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Y:\REAJUSTE\Concessionárias de Distribuição\2020\10 - D09 - CEB (Carrazza)\Estrutura\"/>
    </mc:Choice>
  </mc:AlternateContent>
  <xr:revisionPtr revIDLastSave="0" documentId="13_ncr:1_{BE46AF89-B691-4D38-9437-CAE404BFA9CB}" xr6:coauthVersionLast="45" xr6:coauthVersionMax="45" xr10:uidLastSave="{00000000-0000-0000-0000-000000000000}"/>
  <bookViews>
    <workbookView xWindow="-120" yWindow="-120" windowWidth="25800" windowHeight="11685" firstSheet="20" activeTab="29" xr2:uid="{3C3426B3-EA2E-4E96-AABB-38AE7B61C24B}"/>
  </bookViews>
  <sheets>
    <sheet name="Mercado_Receita" sheetId="1" r:id="rId1"/>
    <sheet name="EVENTOS" sheetId="2" r:id="rId2"/>
    <sheet name="TAR FIN" sheetId="15" r:id="rId3"/>
    <sheet name="MERCADO TUSD" sheetId="3" r:id="rId4"/>
    <sheet name="MERCADO TE" sheetId="4" r:id="rId5"/>
    <sheet name="CUSTOS" sheetId="5" r:id="rId6"/>
    <sheet name="TRANSICAO" sheetId="14" r:id="rId7"/>
    <sheet name="TR TUSD" sheetId="6" r:id="rId8"/>
    <sheet name="TUSD BE" sheetId="7" r:id="rId9"/>
    <sheet name="TUSD BF" sheetId="8" r:id="rId10"/>
    <sheet name="TUSD CVA" sheetId="9" r:id="rId11"/>
    <sheet name="TR TE" sheetId="10" r:id="rId12"/>
    <sheet name="TE BE" sheetId="11" r:id="rId13"/>
    <sheet name="TE BF" sheetId="12" r:id="rId14"/>
    <sheet name="TE CVA" sheetId="13" r:id="rId15"/>
    <sheet name="EFEITO" sheetId="16" r:id="rId16"/>
    <sheet name="SUBSIDIO" sheetId="17" r:id="rId17"/>
    <sheet name="TabDinEfeito" sheetId="18" r:id="rId18"/>
    <sheet name="TabDinSubsidio" sheetId="19" r:id="rId19"/>
    <sheet name="TABELAS REH" sheetId="34" r:id="rId20"/>
    <sheet name="CONSISTENCIA" sheetId="27" r:id="rId21"/>
    <sheet name="TUSD" sheetId="29" r:id="rId22"/>
    <sheet name="TE" sheetId="30" r:id="rId23"/>
    <sheet name="RESUMO TUSD" sheetId="31" r:id="rId24"/>
    <sheet name="RESUMO TE" sheetId="32" r:id="rId25"/>
    <sheet name="Descontos" sheetId="20" r:id="rId26"/>
    <sheet name="ERD" sheetId="33" r:id="rId27"/>
    <sheet name="TA - Aplicação" sheetId="35" r:id="rId28"/>
    <sheet name="TA - BE" sheetId="36" r:id="rId29"/>
    <sheet name="TA - CVA" sheetId="37" r:id="rId30"/>
  </sheets>
  <definedNames>
    <definedName name="DadosExternos_1" localSheetId="27" hidden="1">'TA - Aplicação'!$B$3:$AQ$98</definedName>
    <definedName name="DadosExternos_1" localSheetId="28" hidden="1">'TA - BE'!$B$3:$AQ$98</definedName>
    <definedName name="DadosExternos_1" localSheetId="29" hidden="1">'TA - CVA'!$B$3:$AQ$94</definedName>
  </definedNames>
  <calcPr calcId="191029" iterate="1"/>
  <pivotCaches>
    <pivotCache cacheId="27" r:id="rId31"/>
    <pivotCache cacheId="28" r:id="rId3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33" i="34" l="1"/>
  <c r="V32" i="34"/>
  <c r="V31" i="34"/>
  <c r="V30" i="34"/>
  <c r="V29" i="34"/>
  <c r="V28" i="34"/>
  <c r="V27" i="34"/>
  <c r="V26" i="34"/>
  <c r="V21" i="34"/>
  <c r="V16" i="34"/>
  <c r="V25" i="34"/>
  <c r="V20" i="34"/>
  <c r="V15" i="34"/>
  <c r="V24" i="34"/>
  <c r="V23" i="34"/>
  <c r="V22" i="34"/>
  <c r="V19" i="34"/>
  <c r="V18" i="34"/>
  <c r="V17" i="34"/>
  <c r="V14" i="34"/>
  <c r="V13" i="34"/>
  <c r="V12" i="34"/>
  <c r="V11" i="34"/>
  <c r="V9" i="34"/>
  <c r="V10" i="34"/>
  <c r="V8" i="34"/>
  <c r="V7" i="34"/>
  <c r="V6" i="34"/>
  <c r="V5" i="34"/>
  <c r="J43" i="34"/>
  <c r="J42" i="34"/>
  <c r="J38" i="34"/>
  <c r="J37" i="34"/>
  <c r="J32" i="34"/>
  <c r="J31" i="34"/>
  <c r="J27" i="34"/>
  <c r="J26" i="34"/>
  <c r="J21" i="34"/>
  <c r="J20" i="34"/>
  <c r="J16" i="34"/>
  <c r="J15" i="34"/>
  <c r="J6" i="34"/>
  <c r="J5" i="34"/>
  <c r="H14" i="34"/>
  <c r="H13" i="34"/>
  <c r="H12" i="34"/>
  <c r="F3" i="33" l="1"/>
  <c r="G3" i="33"/>
  <c r="H3" i="33"/>
  <c r="J3" i="33"/>
  <c r="B2" i="33"/>
  <c r="C2" i="33"/>
  <c r="D2" i="33"/>
  <c r="E2" i="33"/>
  <c r="F2" i="33"/>
  <c r="G2" i="33"/>
  <c r="H2" i="33"/>
  <c r="I2" i="33"/>
  <c r="J2" i="33"/>
  <c r="B11" i="33"/>
  <c r="K5" i="32" l="1"/>
  <c r="J5" i="32"/>
  <c r="I5" i="32"/>
  <c r="H5" i="32"/>
  <c r="G5" i="32"/>
  <c r="F5" i="32"/>
  <c r="E5" i="32"/>
  <c r="D5" i="32"/>
  <c r="C5" i="32"/>
  <c r="B5" i="32"/>
  <c r="I2" i="32"/>
  <c r="W5" i="31"/>
  <c r="V5" i="31"/>
  <c r="U5" i="31"/>
  <c r="T5" i="31"/>
  <c r="S5" i="31"/>
  <c r="R5" i="31"/>
  <c r="Q5" i="31"/>
  <c r="P5" i="31"/>
  <c r="O5" i="31"/>
  <c r="N5" i="31"/>
  <c r="M5" i="31"/>
  <c r="L5" i="31"/>
  <c r="K5" i="31"/>
  <c r="J5" i="31"/>
  <c r="I5" i="31"/>
  <c r="H5" i="31"/>
  <c r="G5" i="31"/>
  <c r="F5" i="31"/>
  <c r="E5" i="31"/>
  <c r="D5" i="31"/>
  <c r="C5" i="31"/>
  <c r="B5" i="31"/>
  <c r="I2" i="31"/>
  <c r="AB11" i="29"/>
  <c r="AB10" i="29"/>
  <c r="AB9" i="29"/>
  <c r="AE13" i="27" l="1"/>
  <c r="AD13" i="27"/>
  <c r="AC13" i="27"/>
  <c r="AB13" i="27"/>
  <c r="AA13" i="27"/>
  <c r="W13" i="27"/>
  <c r="V13" i="27"/>
  <c r="U13" i="27"/>
  <c r="AI13" i="27" s="1"/>
  <c r="T13" i="27"/>
  <c r="S13" i="27"/>
  <c r="Y13" i="27" s="1"/>
  <c r="R13" i="27"/>
  <c r="AE12" i="27"/>
  <c r="AD12" i="27"/>
  <c r="AE5" i="27"/>
  <c r="AD5" i="27"/>
  <c r="AC5" i="27"/>
  <c r="AB5" i="27"/>
  <c r="AA5" i="27"/>
  <c r="W5" i="27"/>
  <c r="AJ5" i="27" s="1"/>
  <c r="V5" i="27"/>
  <c r="U5" i="27"/>
  <c r="T5" i="27"/>
  <c r="S5" i="27"/>
  <c r="Y5" i="27" s="1"/>
  <c r="AG5" i="27" s="1"/>
  <c r="R5" i="27"/>
  <c r="AE3" i="27"/>
  <c r="AD3" i="27"/>
  <c r="AC3" i="27"/>
  <c r="AB3" i="27"/>
  <c r="AA3" i="27"/>
  <c r="W3" i="27"/>
  <c r="V3" i="27"/>
  <c r="U3" i="27"/>
  <c r="AI3" i="27" s="1"/>
  <c r="T3" i="27"/>
  <c r="S3" i="27"/>
  <c r="Y3" i="27" s="1"/>
  <c r="AG3" i="27" s="1"/>
  <c r="R3" i="27"/>
  <c r="J2270" i="27"/>
  <c r="M2270" i="27" s="1"/>
  <c r="J2269" i="27"/>
  <c r="J2268" i="27"/>
  <c r="M2268" i="27" s="1"/>
  <c r="J2267" i="27"/>
  <c r="J2266" i="27"/>
  <c r="M2266" i="27" s="1"/>
  <c r="J2265" i="27"/>
  <c r="J2264" i="27"/>
  <c r="M2264" i="27" s="1"/>
  <c r="J2263" i="27"/>
  <c r="J2262" i="27"/>
  <c r="M2262" i="27" s="1"/>
  <c r="J2261" i="27"/>
  <c r="J2260" i="27"/>
  <c r="M2260" i="27" s="1"/>
  <c r="J2259" i="27"/>
  <c r="J2258" i="27"/>
  <c r="M2258" i="27" s="1"/>
  <c r="J2257" i="27"/>
  <c r="J2256" i="27"/>
  <c r="M2256" i="27" s="1"/>
  <c r="J2255" i="27"/>
  <c r="J1258" i="27"/>
  <c r="M1258" i="27" s="1"/>
  <c r="J1257" i="27"/>
  <c r="J1256" i="27"/>
  <c r="M1256" i="27" s="1"/>
  <c r="J1255" i="27"/>
  <c r="J1254" i="27"/>
  <c r="M1254" i="27" s="1"/>
  <c r="J1253" i="27"/>
  <c r="J1252" i="27"/>
  <c r="M1252" i="27" s="1"/>
  <c r="J1251" i="27"/>
  <c r="J1250" i="27"/>
  <c r="M1250" i="27" s="1"/>
  <c r="J1249" i="27"/>
  <c r="J1248" i="27"/>
  <c r="M1248" i="27" s="1"/>
  <c r="J1247" i="27"/>
  <c r="L1246" i="27"/>
  <c r="O1246" i="27" s="1"/>
  <c r="K1246" i="27"/>
  <c r="L1245" i="27"/>
  <c r="O1245" i="27" s="1"/>
  <c r="K1245" i="27"/>
  <c r="L1244" i="27"/>
  <c r="O1244" i="27" s="1"/>
  <c r="K1244" i="27"/>
  <c r="L1243" i="27"/>
  <c r="O1243" i="27" s="1"/>
  <c r="K1243" i="27"/>
  <c r="L1242" i="27"/>
  <c r="O1242" i="27" s="1"/>
  <c r="K1242" i="27"/>
  <c r="L1241" i="27"/>
  <c r="O1241" i="27" s="1"/>
  <c r="K1241" i="27"/>
  <c r="L1240" i="27"/>
  <c r="O1240" i="27" s="1"/>
  <c r="K1240" i="27"/>
  <c r="L1239" i="27"/>
  <c r="O1239" i="27" s="1"/>
  <c r="K1239" i="27"/>
  <c r="L1238" i="27"/>
  <c r="O1238" i="27" s="1"/>
  <c r="K1238" i="27"/>
  <c r="L1237" i="27"/>
  <c r="O1237" i="27" s="1"/>
  <c r="K1237" i="27"/>
  <c r="L1236" i="27"/>
  <c r="O1236" i="27" s="1"/>
  <c r="K1236" i="27"/>
  <c r="L1235" i="27"/>
  <c r="O1235" i="27" s="1"/>
  <c r="K1235" i="27"/>
  <c r="J1234" i="27"/>
  <c r="M1234" i="27" s="1"/>
  <c r="J1233" i="27"/>
  <c r="J1232" i="27"/>
  <c r="M1232" i="27" s="1"/>
  <c r="J1231" i="27"/>
  <c r="J1230" i="27"/>
  <c r="M1230" i="27" s="1"/>
  <c r="J1229" i="27"/>
  <c r="J1228" i="27"/>
  <c r="M1228" i="27" s="1"/>
  <c r="J1227" i="27"/>
  <c r="J1226" i="27"/>
  <c r="M1226" i="27" s="1"/>
  <c r="J1225" i="27"/>
  <c r="J1224" i="27"/>
  <c r="M1224" i="27" s="1"/>
  <c r="J1223" i="27"/>
  <c r="J1222" i="27"/>
  <c r="M1222" i="27" s="1"/>
  <c r="J1221" i="27"/>
  <c r="J1220" i="27"/>
  <c r="M1220" i="27" s="1"/>
  <c r="J1219" i="27"/>
  <c r="J1218" i="27"/>
  <c r="M1218" i="27" s="1"/>
  <c r="J1217" i="27"/>
  <c r="J1216" i="27"/>
  <c r="M1216" i="27" s="1"/>
  <c r="J1215" i="27"/>
  <c r="J1214" i="27"/>
  <c r="M1214" i="27" s="1"/>
  <c r="J1213" i="27"/>
  <c r="J1212" i="27"/>
  <c r="M1212" i="27" s="1"/>
  <c r="J1211" i="27"/>
  <c r="J1210" i="27"/>
  <c r="M1210" i="27" s="1"/>
  <c r="J1209" i="27"/>
  <c r="J1208" i="27"/>
  <c r="M1208" i="27" s="1"/>
  <c r="J1207" i="27"/>
  <c r="J1206" i="27"/>
  <c r="M1206" i="27" s="1"/>
  <c r="J1205" i="27"/>
  <c r="J1204" i="27"/>
  <c r="M1204" i="27" s="1"/>
  <c r="J1203" i="27"/>
  <c r="J1202" i="27"/>
  <c r="M1202" i="27" s="1"/>
  <c r="J1201" i="27"/>
  <c r="J1200" i="27"/>
  <c r="M1200" i="27" s="1"/>
  <c r="J1199" i="27"/>
  <c r="J1198" i="27"/>
  <c r="M1198" i="27" s="1"/>
  <c r="J1197" i="27"/>
  <c r="J1196" i="27"/>
  <c r="M1196" i="27" s="1"/>
  <c r="J1195" i="27"/>
  <c r="J1194" i="27"/>
  <c r="M1194" i="27" s="1"/>
  <c r="J1193" i="27"/>
  <c r="J1192" i="27"/>
  <c r="M1192" i="27" s="1"/>
  <c r="L1191" i="27"/>
  <c r="K1191" i="27"/>
  <c r="N1191" i="27" s="1"/>
  <c r="L1190" i="27"/>
  <c r="K1190" i="27"/>
  <c r="N1190" i="27" s="1"/>
  <c r="L1189" i="27"/>
  <c r="K1189" i="27"/>
  <c r="N1189" i="27" s="1"/>
  <c r="L1188" i="27"/>
  <c r="K1188" i="27"/>
  <c r="N1188" i="27" s="1"/>
  <c r="L1187" i="27"/>
  <c r="K1187" i="27"/>
  <c r="N1187" i="27" s="1"/>
  <c r="L1186" i="27"/>
  <c r="K1186" i="27"/>
  <c r="N1186" i="27" s="1"/>
  <c r="L1185" i="27"/>
  <c r="K1185" i="27"/>
  <c r="N1185" i="27" s="1"/>
  <c r="L1184" i="27"/>
  <c r="K1184" i="27"/>
  <c r="N1184" i="27" s="1"/>
  <c r="L1183" i="27"/>
  <c r="K1183" i="27"/>
  <c r="N1183" i="27" s="1"/>
  <c r="L1182" i="27"/>
  <c r="K1182" i="27"/>
  <c r="N1182" i="27" s="1"/>
  <c r="L1181" i="27"/>
  <c r="K1181" i="27"/>
  <c r="N1181" i="27" s="1"/>
  <c r="L1180" i="27"/>
  <c r="K1180" i="27"/>
  <c r="N1180" i="27" s="1"/>
  <c r="L1179" i="27"/>
  <c r="K1179" i="27"/>
  <c r="N1179" i="27" s="1"/>
  <c r="L1178" i="27"/>
  <c r="K1178" i="27"/>
  <c r="N1178" i="27" s="1"/>
  <c r="L1177" i="27"/>
  <c r="K1177" i="27"/>
  <c r="N1177" i="27" s="1"/>
  <c r="L1176" i="27"/>
  <c r="K1176" i="27"/>
  <c r="N1176" i="27" s="1"/>
  <c r="L1175" i="27"/>
  <c r="K1175" i="27"/>
  <c r="N1175" i="27" s="1"/>
  <c r="L1174" i="27"/>
  <c r="K1174" i="27"/>
  <c r="N1174" i="27" s="1"/>
  <c r="L1173" i="27"/>
  <c r="K1173" i="27"/>
  <c r="N1173" i="27" s="1"/>
  <c r="L1172" i="27"/>
  <c r="K1172" i="27"/>
  <c r="N1172" i="27" s="1"/>
  <c r="L1171" i="27"/>
  <c r="K1171" i="27"/>
  <c r="N1171" i="27" s="1"/>
  <c r="L1170" i="27"/>
  <c r="K1170" i="27"/>
  <c r="N1170" i="27" s="1"/>
  <c r="L1169" i="27"/>
  <c r="K1169" i="27"/>
  <c r="N1169" i="27" s="1"/>
  <c r="L1168" i="27"/>
  <c r="K1168" i="27"/>
  <c r="N1168" i="27" s="1"/>
  <c r="L1167" i="27"/>
  <c r="K1167" i="27"/>
  <c r="N1167" i="27" s="1"/>
  <c r="L1166" i="27"/>
  <c r="K1166" i="27"/>
  <c r="N1166" i="27" s="1"/>
  <c r="L1165" i="27"/>
  <c r="K1165" i="27"/>
  <c r="N1165" i="27" s="1"/>
  <c r="L1164" i="27"/>
  <c r="K1164" i="27"/>
  <c r="N1164" i="27" s="1"/>
  <c r="L1163" i="27"/>
  <c r="K1163" i="27"/>
  <c r="N1163" i="27" s="1"/>
  <c r="L1162" i="27"/>
  <c r="K1162" i="27"/>
  <c r="N1162" i="27" s="1"/>
  <c r="L1161" i="27"/>
  <c r="K1161" i="27"/>
  <c r="N1161" i="27" s="1"/>
  <c r="L1160" i="27"/>
  <c r="K1160" i="27"/>
  <c r="N1160" i="27" s="1"/>
  <c r="L1159" i="27"/>
  <c r="K1159" i="27"/>
  <c r="N1159" i="27" s="1"/>
  <c r="L1158" i="27"/>
  <c r="K1158" i="27"/>
  <c r="N1158" i="27" s="1"/>
  <c r="J1157" i="27"/>
  <c r="J1156" i="27"/>
  <c r="M1156" i="27" s="1"/>
  <c r="J1155" i="27"/>
  <c r="J1154" i="27"/>
  <c r="M1154" i="27" s="1"/>
  <c r="J1153" i="27"/>
  <c r="J1152" i="27"/>
  <c r="M1152" i="27" s="1"/>
  <c r="J1151" i="27"/>
  <c r="J1150" i="27"/>
  <c r="M1150" i="27" s="1"/>
  <c r="J1149" i="27"/>
  <c r="J1148" i="27"/>
  <c r="M1148" i="27" s="1"/>
  <c r="J1147" i="27"/>
  <c r="J1146" i="27"/>
  <c r="M1146" i="27" s="1"/>
  <c r="J1145" i="27"/>
  <c r="J1144" i="27"/>
  <c r="M1144" i="27" s="1"/>
  <c r="J1143" i="27"/>
  <c r="J1142" i="27"/>
  <c r="M1142" i="27" s="1"/>
  <c r="J1141" i="27"/>
  <c r="J1140" i="27"/>
  <c r="M1140" i="27" s="1"/>
  <c r="J1139" i="27"/>
  <c r="J1138" i="27"/>
  <c r="M1138" i="27" s="1"/>
  <c r="J1137" i="27"/>
  <c r="J1136" i="27"/>
  <c r="M1136" i="27" s="1"/>
  <c r="J1135" i="27"/>
  <c r="J1134" i="27"/>
  <c r="M1134" i="27" s="1"/>
  <c r="J1133" i="27"/>
  <c r="J1132" i="27"/>
  <c r="M1132" i="27" s="1"/>
  <c r="J1131" i="27"/>
  <c r="J1130" i="27"/>
  <c r="M1130" i="27" s="1"/>
  <c r="J1129" i="27"/>
  <c r="J1128" i="27"/>
  <c r="M1128" i="27" s="1"/>
  <c r="J1127" i="27"/>
  <c r="J1126" i="27"/>
  <c r="M1126" i="27" s="1"/>
  <c r="J1125" i="27"/>
  <c r="J1124" i="27"/>
  <c r="M1124" i="27" s="1"/>
  <c r="J1123" i="27"/>
  <c r="J1122" i="27"/>
  <c r="M1122" i="27" s="1"/>
  <c r="J1121" i="27"/>
  <c r="J1120" i="27"/>
  <c r="M1120" i="27" s="1"/>
  <c r="J1119" i="27"/>
  <c r="J1118" i="27"/>
  <c r="M1118" i="27" s="1"/>
  <c r="J1117" i="27"/>
  <c r="J1116" i="27"/>
  <c r="M1116" i="27" s="1"/>
  <c r="J1115" i="27"/>
  <c r="J1114" i="27"/>
  <c r="M1114" i="27" s="1"/>
  <c r="J1113" i="27"/>
  <c r="J1112" i="27"/>
  <c r="M1112" i="27" s="1"/>
  <c r="J1111" i="27"/>
  <c r="J1110" i="27"/>
  <c r="M1110" i="27" s="1"/>
  <c r="J1109" i="27"/>
  <c r="J1108" i="27"/>
  <c r="M1108" i="27" s="1"/>
  <c r="J1107" i="27"/>
  <c r="J1106" i="27"/>
  <c r="M1106" i="27" s="1"/>
  <c r="J1105" i="27"/>
  <c r="J1104" i="27"/>
  <c r="M1104" i="27" s="1"/>
  <c r="J1103" i="27"/>
  <c r="L1102" i="27"/>
  <c r="O1102" i="27" s="1"/>
  <c r="K1102" i="27"/>
  <c r="L1101" i="27"/>
  <c r="O1101" i="27" s="1"/>
  <c r="K1101" i="27"/>
  <c r="L1100" i="27"/>
  <c r="O1100" i="27" s="1"/>
  <c r="K1100" i="27"/>
  <c r="L1099" i="27"/>
  <c r="O1099" i="27" s="1"/>
  <c r="K1099" i="27"/>
  <c r="L1098" i="27"/>
  <c r="O1098" i="27" s="1"/>
  <c r="K1098" i="27"/>
  <c r="L1097" i="27"/>
  <c r="O1097" i="27" s="1"/>
  <c r="K1097" i="27"/>
  <c r="L1096" i="27"/>
  <c r="O1096" i="27" s="1"/>
  <c r="K1096" i="27"/>
  <c r="L1095" i="27"/>
  <c r="O1095" i="27" s="1"/>
  <c r="K1095" i="27"/>
  <c r="L1094" i="27"/>
  <c r="O1094" i="27" s="1"/>
  <c r="K1094" i="27"/>
  <c r="L1093" i="27"/>
  <c r="O1093" i="27" s="1"/>
  <c r="K1093" i="27"/>
  <c r="L1092" i="27"/>
  <c r="O1092" i="27" s="1"/>
  <c r="K1092" i="27"/>
  <c r="L1091" i="27"/>
  <c r="O1091" i="27" s="1"/>
  <c r="K1091" i="27"/>
  <c r="L1090" i="27"/>
  <c r="O1090" i="27" s="1"/>
  <c r="K1090" i="27"/>
  <c r="L1089" i="27"/>
  <c r="O1089" i="27" s="1"/>
  <c r="K1089" i="27"/>
  <c r="L1088" i="27"/>
  <c r="O1088" i="27" s="1"/>
  <c r="K1088" i="27"/>
  <c r="L1087" i="27"/>
  <c r="O1087" i="27" s="1"/>
  <c r="K1087" i="27"/>
  <c r="L1086" i="27"/>
  <c r="O1086" i="27" s="1"/>
  <c r="K1086" i="27"/>
  <c r="L1085" i="27"/>
  <c r="O1085" i="27" s="1"/>
  <c r="K1085" i="27"/>
  <c r="L1084" i="27"/>
  <c r="O1084" i="27" s="1"/>
  <c r="K1084" i="27"/>
  <c r="L1083" i="27"/>
  <c r="O1083" i="27" s="1"/>
  <c r="K1083" i="27"/>
  <c r="L1082" i="27"/>
  <c r="O1082" i="27" s="1"/>
  <c r="K1082" i="27"/>
  <c r="L1081" i="27"/>
  <c r="O1081" i="27" s="1"/>
  <c r="K1081" i="27"/>
  <c r="L1080" i="27"/>
  <c r="O1080" i="27" s="1"/>
  <c r="K1080" i="27"/>
  <c r="L1079" i="27"/>
  <c r="O1079" i="27" s="1"/>
  <c r="K1079" i="27"/>
  <c r="J1078" i="27"/>
  <c r="M1078" i="27" s="1"/>
  <c r="J1077" i="27"/>
  <c r="J1076" i="27"/>
  <c r="M1076" i="27" s="1"/>
  <c r="J1075" i="27"/>
  <c r="J1074" i="27"/>
  <c r="M1074" i="27" s="1"/>
  <c r="J1073" i="27"/>
  <c r="J1072" i="27"/>
  <c r="M1072" i="27" s="1"/>
  <c r="J1071" i="27"/>
  <c r="J1070" i="27"/>
  <c r="M1070" i="27" s="1"/>
  <c r="J1069" i="27"/>
  <c r="J1068" i="27"/>
  <c r="M1068" i="27" s="1"/>
  <c r="J1067" i="27"/>
  <c r="J1066" i="27"/>
  <c r="M1066" i="27" s="1"/>
  <c r="J1065" i="27"/>
  <c r="J1064" i="27"/>
  <c r="M1064" i="27" s="1"/>
  <c r="J1063" i="27"/>
  <c r="J1062" i="27"/>
  <c r="M1062" i="27" s="1"/>
  <c r="J1061" i="27"/>
  <c r="J1060" i="27"/>
  <c r="M1060" i="27" s="1"/>
  <c r="J1059" i="27"/>
  <c r="J1058" i="27"/>
  <c r="M1058" i="27" s="1"/>
  <c r="J1057" i="27"/>
  <c r="J1056" i="27"/>
  <c r="M1056" i="27" s="1"/>
  <c r="J1055" i="27"/>
  <c r="J1054" i="27"/>
  <c r="M1054" i="27" s="1"/>
  <c r="J1053" i="27"/>
  <c r="J1052" i="27"/>
  <c r="M1052" i="27" s="1"/>
  <c r="J1051" i="27"/>
  <c r="J1050" i="27"/>
  <c r="M1050" i="27" s="1"/>
  <c r="J1049" i="27"/>
  <c r="J1048" i="27"/>
  <c r="M1048" i="27" s="1"/>
  <c r="J1047" i="27"/>
  <c r="J1046" i="27"/>
  <c r="M1046" i="27" s="1"/>
  <c r="J1045" i="27"/>
  <c r="J1044" i="27"/>
  <c r="M1044" i="27" s="1"/>
  <c r="J1043" i="27"/>
  <c r="J1042" i="27"/>
  <c r="M1042" i="27" s="1"/>
  <c r="J1041" i="27"/>
  <c r="J1040" i="27"/>
  <c r="M1040" i="27" s="1"/>
  <c r="J1039" i="27"/>
  <c r="J1038" i="27"/>
  <c r="M1038" i="27" s="1"/>
  <c r="J1037" i="27"/>
  <c r="J1036" i="27"/>
  <c r="M1036" i="27" s="1"/>
  <c r="J1035" i="27"/>
  <c r="J1034" i="27"/>
  <c r="M1034" i="27" s="1"/>
  <c r="J364" i="27"/>
  <c r="J363" i="27"/>
  <c r="J362" i="27"/>
  <c r="J361" i="27"/>
  <c r="M361" i="27" s="1"/>
  <c r="J360" i="27"/>
  <c r="J359" i="27"/>
  <c r="J358" i="27"/>
  <c r="J357" i="27"/>
  <c r="M357" i="27" s="1"/>
  <c r="J356" i="27"/>
  <c r="J355" i="27"/>
  <c r="J354" i="27"/>
  <c r="J353" i="27"/>
  <c r="M353" i="27" s="1"/>
  <c r="L352" i="27"/>
  <c r="K352" i="27"/>
  <c r="L351" i="27"/>
  <c r="K351" i="27"/>
  <c r="N351" i="27" s="1"/>
  <c r="L350" i="27"/>
  <c r="K350" i="27"/>
  <c r="L349" i="27"/>
  <c r="K349" i="27"/>
  <c r="N349" i="27" s="1"/>
  <c r="L348" i="27"/>
  <c r="K348" i="27"/>
  <c r="L347" i="27"/>
  <c r="K347" i="27"/>
  <c r="N347" i="27" s="1"/>
  <c r="L346" i="27"/>
  <c r="K346" i="27"/>
  <c r="L345" i="27"/>
  <c r="K345" i="27"/>
  <c r="N345" i="27" s="1"/>
  <c r="L344" i="27"/>
  <c r="K344" i="27"/>
  <c r="L343" i="27"/>
  <c r="K343" i="27"/>
  <c r="N343" i="27" s="1"/>
  <c r="L342" i="27"/>
  <c r="K342" i="27"/>
  <c r="L341" i="27"/>
  <c r="K341" i="27"/>
  <c r="N341" i="27" s="1"/>
  <c r="J340" i="27"/>
  <c r="J339" i="27"/>
  <c r="J338" i="27"/>
  <c r="J337" i="27"/>
  <c r="M337" i="27" s="1"/>
  <c r="J336" i="27"/>
  <c r="J335" i="27"/>
  <c r="J334" i="27"/>
  <c r="J333" i="27"/>
  <c r="M333" i="27" s="1"/>
  <c r="J332" i="27"/>
  <c r="J331" i="27"/>
  <c r="J330" i="27"/>
  <c r="J329" i="27"/>
  <c r="M329" i="27" s="1"/>
  <c r="L241" i="27"/>
  <c r="K241" i="27"/>
  <c r="J241" i="27"/>
  <c r="L240" i="27"/>
  <c r="K240" i="27"/>
  <c r="J240" i="27"/>
  <c r="L239" i="27"/>
  <c r="K239" i="27"/>
  <c r="J239" i="27"/>
  <c r="L238" i="27"/>
  <c r="K238" i="27"/>
  <c r="J238" i="27"/>
  <c r="L237" i="27"/>
  <c r="K237" i="27"/>
  <c r="J237" i="27"/>
  <c r="L236" i="27"/>
  <c r="K236" i="27"/>
  <c r="J236" i="27"/>
  <c r="L235" i="27"/>
  <c r="K235" i="27"/>
  <c r="J235" i="27"/>
  <c r="L234" i="27"/>
  <c r="K234" i="27"/>
  <c r="J234" i="27"/>
  <c r="L233" i="27"/>
  <c r="K233" i="27"/>
  <c r="J233" i="27"/>
  <c r="L232" i="27"/>
  <c r="K232" i="27"/>
  <c r="J232" i="27"/>
  <c r="L231" i="27"/>
  <c r="K231" i="27"/>
  <c r="J231" i="27"/>
  <c r="L230" i="27"/>
  <c r="K230" i="27"/>
  <c r="J230" i="27"/>
  <c r="L229" i="27"/>
  <c r="K229" i="27"/>
  <c r="J229" i="27"/>
  <c r="L228" i="27"/>
  <c r="K228" i="27"/>
  <c r="J228" i="27"/>
  <c r="L227" i="27"/>
  <c r="K227" i="27"/>
  <c r="J227" i="27"/>
  <c r="L226" i="27"/>
  <c r="K226" i="27"/>
  <c r="J226" i="27"/>
  <c r="L225" i="27"/>
  <c r="K225" i="27"/>
  <c r="J225" i="27"/>
  <c r="L224" i="27"/>
  <c r="K224" i="27"/>
  <c r="J224" i="27"/>
  <c r="L223" i="27"/>
  <c r="K223" i="27"/>
  <c r="J223" i="27"/>
  <c r="L222" i="27"/>
  <c r="K222" i="27"/>
  <c r="J222" i="27"/>
  <c r="L221" i="27"/>
  <c r="K221" i="27"/>
  <c r="J221" i="27"/>
  <c r="L220" i="27"/>
  <c r="K220" i="27"/>
  <c r="J220" i="27"/>
  <c r="L219" i="27"/>
  <c r="K219" i="27"/>
  <c r="J219" i="27"/>
  <c r="L218" i="27"/>
  <c r="K218" i="27"/>
  <c r="J218" i="27"/>
  <c r="J2285" i="27"/>
  <c r="M2285" i="27" s="1"/>
  <c r="J2284" i="27"/>
  <c r="M2284" i="27" s="1"/>
  <c r="J2283" i="27"/>
  <c r="M2283" i="27" s="1"/>
  <c r="J2282" i="27"/>
  <c r="M2282" i="27" s="1"/>
  <c r="J2281" i="27"/>
  <c r="M2281" i="27" s="1"/>
  <c r="J2280" i="27"/>
  <c r="M2280" i="27" s="1"/>
  <c r="J2279" i="27"/>
  <c r="M2279" i="27" s="1"/>
  <c r="J2278" i="27"/>
  <c r="M2278" i="27" s="1"/>
  <c r="J2277" i="27"/>
  <c r="M2277" i="27" s="1"/>
  <c r="J2276" i="27"/>
  <c r="M2276" i="27" s="1"/>
  <c r="J2275" i="27"/>
  <c r="M2275" i="27" s="1"/>
  <c r="J2274" i="27"/>
  <c r="M2274" i="27" s="1"/>
  <c r="J2273" i="27"/>
  <c r="M2273" i="27" s="1"/>
  <c r="J2272" i="27"/>
  <c r="M2272" i="27" s="1"/>
  <c r="J2271" i="27"/>
  <c r="M2271" i="27" s="1"/>
  <c r="U12" i="27" s="1"/>
  <c r="AI12" i="27" s="1"/>
  <c r="M2269" i="27"/>
  <c r="M2267" i="27"/>
  <c r="M2265" i="27"/>
  <c r="M2263" i="27"/>
  <c r="M2261" i="27"/>
  <c r="M2259" i="27"/>
  <c r="M2257" i="27"/>
  <c r="M2255" i="27"/>
  <c r="J2254" i="27"/>
  <c r="M2254" i="27" s="1"/>
  <c r="J2253" i="27"/>
  <c r="M2253" i="27" s="1"/>
  <c r="J2252" i="27"/>
  <c r="M2252" i="27" s="1"/>
  <c r="M2251" i="27"/>
  <c r="J2251" i="27"/>
  <c r="M2250" i="27"/>
  <c r="J2250" i="27"/>
  <c r="M2249" i="27"/>
  <c r="J2249" i="27"/>
  <c r="J2248" i="27"/>
  <c r="M2248" i="27" s="1"/>
  <c r="J2247" i="27"/>
  <c r="M2247" i="27" s="1"/>
  <c r="J2246" i="27"/>
  <c r="M2246" i="27" s="1"/>
  <c r="J2245" i="27"/>
  <c r="M2245" i="27" s="1"/>
  <c r="J2244" i="27"/>
  <c r="M2244" i="27" s="1"/>
  <c r="M2243" i="27"/>
  <c r="J2243" i="27"/>
  <c r="M2242" i="27"/>
  <c r="J2242" i="27"/>
  <c r="M2241" i="27"/>
  <c r="J2241" i="27"/>
  <c r="M2240" i="27"/>
  <c r="J2240" i="27"/>
  <c r="M2239" i="27"/>
  <c r="J2239" i="27"/>
  <c r="M2238" i="27"/>
  <c r="J2238" i="27"/>
  <c r="M2237" i="27"/>
  <c r="J2237" i="27"/>
  <c r="M2236" i="27"/>
  <c r="J2236" i="27"/>
  <c r="M2235" i="27"/>
  <c r="J2235" i="27"/>
  <c r="M2234" i="27"/>
  <c r="J2234" i="27"/>
  <c r="M2233" i="27"/>
  <c r="J2233" i="27"/>
  <c r="M2232" i="27"/>
  <c r="J2232" i="27"/>
  <c r="M2231" i="27"/>
  <c r="J2231" i="27"/>
  <c r="M2230" i="27"/>
  <c r="J2230" i="27"/>
  <c r="M2229" i="27"/>
  <c r="J2229" i="27"/>
  <c r="M2228" i="27"/>
  <c r="J2228" i="27"/>
  <c r="M2227" i="27"/>
  <c r="J2227" i="27"/>
  <c r="M2226" i="27"/>
  <c r="J2226" i="27"/>
  <c r="M2225" i="27"/>
  <c r="J2225" i="27"/>
  <c r="M2224" i="27"/>
  <c r="J2224" i="27"/>
  <c r="M2223" i="27"/>
  <c r="J2223" i="27"/>
  <c r="M2222" i="27"/>
  <c r="J2222" i="27"/>
  <c r="M2221" i="27"/>
  <c r="J2221" i="27"/>
  <c r="M2220" i="27"/>
  <c r="J2220" i="27"/>
  <c r="M2219" i="27"/>
  <c r="J2219" i="27"/>
  <c r="M2218" i="27"/>
  <c r="J2218" i="27"/>
  <c r="M2217" i="27"/>
  <c r="J2217" i="27"/>
  <c r="M2216" i="27"/>
  <c r="J2216" i="27"/>
  <c r="M2215" i="27"/>
  <c r="J2215" i="27"/>
  <c r="M2214" i="27"/>
  <c r="J2214" i="27"/>
  <c r="M2213" i="27"/>
  <c r="J2213" i="27"/>
  <c r="M2212" i="27"/>
  <c r="J2212" i="27"/>
  <c r="M2211" i="27"/>
  <c r="J2211" i="27"/>
  <c r="M2210" i="27"/>
  <c r="J2210" i="27"/>
  <c r="M2209" i="27"/>
  <c r="J2209" i="27"/>
  <c r="M2208" i="27"/>
  <c r="J2208" i="27"/>
  <c r="M2207" i="27"/>
  <c r="J2207" i="27"/>
  <c r="M2206" i="27"/>
  <c r="J2206" i="27"/>
  <c r="M2205" i="27"/>
  <c r="J2205" i="27"/>
  <c r="M2204" i="27"/>
  <c r="J2204" i="27"/>
  <c r="M2203" i="27"/>
  <c r="J2203" i="27"/>
  <c r="M2202" i="27"/>
  <c r="J2202" i="27"/>
  <c r="M2201" i="27"/>
  <c r="J2201" i="27"/>
  <c r="M2200" i="27"/>
  <c r="J2200" i="27"/>
  <c r="M2199" i="27"/>
  <c r="J2199" i="27"/>
  <c r="M2198" i="27"/>
  <c r="J2198" i="27"/>
  <c r="M2197" i="27"/>
  <c r="J2197" i="27"/>
  <c r="M2196" i="27"/>
  <c r="J2196" i="27"/>
  <c r="M2195" i="27"/>
  <c r="J2195" i="27"/>
  <c r="M2194" i="27"/>
  <c r="J2194" i="27"/>
  <c r="M2193" i="27"/>
  <c r="J2193" i="27"/>
  <c r="M2192" i="27"/>
  <c r="J2192" i="27"/>
  <c r="M2191" i="27"/>
  <c r="J2191" i="27"/>
  <c r="M2190" i="27"/>
  <c r="J2190" i="27"/>
  <c r="M2189" i="27"/>
  <c r="J2189" i="27"/>
  <c r="J2188" i="27"/>
  <c r="M2188" i="27" s="1"/>
  <c r="J2187" i="27"/>
  <c r="M2187" i="27" s="1"/>
  <c r="J2186" i="27"/>
  <c r="M2186" i="27" s="1"/>
  <c r="J2185" i="27"/>
  <c r="M2185" i="27" s="1"/>
  <c r="J2184" i="27"/>
  <c r="M2184" i="27" s="1"/>
  <c r="M2183" i="27"/>
  <c r="J2183" i="27"/>
  <c r="M2182" i="27"/>
  <c r="J2182" i="27"/>
  <c r="M2181" i="27"/>
  <c r="J2181" i="27"/>
  <c r="J2180" i="27"/>
  <c r="M2180" i="27" s="1"/>
  <c r="J2179" i="27"/>
  <c r="M2179" i="27" s="1"/>
  <c r="J2178" i="27"/>
  <c r="M2178" i="27" s="1"/>
  <c r="J2177" i="27"/>
  <c r="M2177" i="27" s="1"/>
  <c r="J2176" i="27"/>
  <c r="M2176" i="27" s="1"/>
  <c r="M2175" i="27"/>
  <c r="J2175" i="27"/>
  <c r="M2174" i="27"/>
  <c r="J2174" i="27"/>
  <c r="M2173" i="27"/>
  <c r="J2173" i="27"/>
  <c r="J2172" i="27"/>
  <c r="M2172" i="27" s="1"/>
  <c r="J2171" i="27"/>
  <c r="M2171" i="27" s="1"/>
  <c r="J2170" i="27"/>
  <c r="M2170" i="27" s="1"/>
  <c r="J2169" i="27"/>
  <c r="M2169" i="27" s="1"/>
  <c r="J2168" i="27"/>
  <c r="M2168" i="27" s="1"/>
  <c r="M2167" i="27"/>
  <c r="J2167" i="27"/>
  <c r="M2166" i="27"/>
  <c r="J2166" i="27"/>
  <c r="M2165" i="27"/>
  <c r="J2165" i="27"/>
  <c r="J2164" i="27"/>
  <c r="M2164" i="27" s="1"/>
  <c r="J2163" i="27"/>
  <c r="M2163" i="27" s="1"/>
  <c r="J2162" i="27"/>
  <c r="M2162" i="27" s="1"/>
  <c r="J2161" i="27"/>
  <c r="M2161" i="27" s="1"/>
  <c r="J2160" i="27"/>
  <c r="M2160" i="27" s="1"/>
  <c r="M2159" i="27"/>
  <c r="J2159" i="27"/>
  <c r="M2158" i="27"/>
  <c r="J2158" i="27"/>
  <c r="M2157" i="27"/>
  <c r="J2157" i="27"/>
  <c r="J2156" i="27"/>
  <c r="M2156" i="27" s="1"/>
  <c r="J2155" i="27"/>
  <c r="M2155" i="27" s="1"/>
  <c r="J2154" i="27"/>
  <c r="M2154" i="27" s="1"/>
  <c r="J2153" i="27"/>
  <c r="M2153" i="27" s="1"/>
  <c r="J2152" i="27"/>
  <c r="M2152" i="27" s="1"/>
  <c r="M2151" i="27"/>
  <c r="J2151" i="27"/>
  <c r="M2150" i="27"/>
  <c r="J2150" i="27"/>
  <c r="M2149" i="27"/>
  <c r="J2149" i="27"/>
  <c r="J2148" i="27"/>
  <c r="M2148" i="27" s="1"/>
  <c r="J2147" i="27"/>
  <c r="M2147" i="27" s="1"/>
  <c r="J2146" i="27"/>
  <c r="M2146" i="27" s="1"/>
  <c r="J2145" i="27"/>
  <c r="M2145" i="27" s="1"/>
  <c r="J2144" i="27"/>
  <c r="M2144" i="27" s="1"/>
  <c r="M2143" i="27"/>
  <c r="J2143" i="27"/>
  <c r="M2142" i="27"/>
  <c r="J2142" i="27"/>
  <c r="M2141" i="27"/>
  <c r="J2141" i="27"/>
  <c r="J2140" i="27"/>
  <c r="M2140" i="27" s="1"/>
  <c r="J2139" i="27"/>
  <c r="M2139" i="27" s="1"/>
  <c r="J2138" i="27"/>
  <c r="M2138" i="27" s="1"/>
  <c r="J2137" i="27"/>
  <c r="M2137" i="27" s="1"/>
  <c r="J2136" i="27"/>
  <c r="M2136" i="27" s="1"/>
  <c r="M2135" i="27"/>
  <c r="J2135" i="27"/>
  <c r="M2134" i="27"/>
  <c r="J2134" i="27"/>
  <c r="M2133" i="27"/>
  <c r="J2133" i="27"/>
  <c r="J2132" i="27"/>
  <c r="M2132" i="27" s="1"/>
  <c r="J2131" i="27"/>
  <c r="M2131" i="27" s="1"/>
  <c r="J2130" i="27"/>
  <c r="M2130" i="27" s="1"/>
  <c r="J2129" i="27"/>
  <c r="M2129" i="27" s="1"/>
  <c r="J2128" i="27"/>
  <c r="M2128" i="27" s="1"/>
  <c r="M2127" i="27"/>
  <c r="J2127" i="27"/>
  <c r="M2126" i="27"/>
  <c r="J2126" i="27"/>
  <c r="M2125" i="27"/>
  <c r="J2125" i="27"/>
  <c r="J2124" i="27"/>
  <c r="M2124" i="27" s="1"/>
  <c r="J2123" i="27"/>
  <c r="M2123" i="27" s="1"/>
  <c r="J2122" i="27"/>
  <c r="M2122" i="27" s="1"/>
  <c r="J2121" i="27"/>
  <c r="M2121" i="27" s="1"/>
  <c r="J2120" i="27"/>
  <c r="M2120" i="27" s="1"/>
  <c r="M2119" i="27"/>
  <c r="J2119" i="27"/>
  <c r="M2118" i="27"/>
  <c r="J2118" i="27"/>
  <c r="M2117" i="27"/>
  <c r="J2117" i="27"/>
  <c r="M2116" i="27"/>
  <c r="J2116" i="27"/>
  <c r="M2115" i="27"/>
  <c r="J2115" i="27"/>
  <c r="M2114" i="27"/>
  <c r="J2114" i="27"/>
  <c r="M2113" i="27"/>
  <c r="J2113" i="27"/>
  <c r="M2112" i="27"/>
  <c r="J2112" i="27"/>
  <c r="M2111" i="27"/>
  <c r="J2111" i="27"/>
  <c r="J2110" i="27"/>
  <c r="M2110" i="27" s="1"/>
  <c r="J2109" i="27"/>
  <c r="M2109" i="27" s="1"/>
  <c r="J2108" i="27"/>
  <c r="M2108" i="27" s="1"/>
  <c r="J2107" i="27"/>
  <c r="M2107" i="27" s="1"/>
  <c r="J2106" i="27"/>
  <c r="M2106" i="27" s="1"/>
  <c r="M2105" i="27"/>
  <c r="J2105" i="27"/>
  <c r="M2104" i="27"/>
  <c r="J2104" i="27"/>
  <c r="M2103" i="27"/>
  <c r="J2103" i="27"/>
  <c r="J2102" i="27"/>
  <c r="M2102" i="27" s="1"/>
  <c r="J2101" i="27"/>
  <c r="M2101" i="27" s="1"/>
  <c r="J2100" i="27"/>
  <c r="M2100" i="27" s="1"/>
  <c r="J2099" i="27"/>
  <c r="M2099" i="27" s="1"/>
  <c r="J2098" i="27"/>
  <c r="M2098" i="27" s="1"/>
  <c r="M2097" i="27"/>
  <c r="J2097" i="27"/>
  <c r="M2096" i="27"/>
  <c r="J2096" i="27"/>
  <c r="M2095" i="27"/>
  <c r="J2095" i="27"/>
  <c r="J2094" i="27"/>
  <c r="M2094" i="27" s="1"/>
  <c r="J2093" i="27"/>
  <c r="M2093" i="27" s="1"/>
  <c r="J2092" i="27"/>
  <c r="M2092" i="27" s="1"/>
  <c r="J2091" i="27"/>
  <c r="M2091" i="27" s="1"/>
  <c r="J2090" i="27"/>
  <c r="M2090" i="27" s="1"/>
  <c r="M2089" i="27"/>
  <c r="J2089" i="27"/>
  <c r="M2088" i="27"/>
  <c r="J2088" i="27"/>
  <c r="M2087" i="27"/>
  <c r="J2087" i="27"/>
  <c r="J2086" i="27"/>
  <c r="M2086" i="27" s="1"/>
  <c r="J2085" i="27"/>
  <c r="M2085" i="27" s="1"/>
  <c r="J2084" i="27"/>
  <c r="M2084" i="27" s="1"/>
  <c r="J2083" i="27"/>
  <c r="M2083" i="27" s="1"/>
  <c r="J2082" i="27"/>
  <c r="M2082" i="27" s="1"/>
  <c r="M2081" i="27"/>
  <c r="J2081" i="27"/>
  <c r="M2080" i="27"/>
  <c r="J2080" i="27"/>
  <c r="M2079" i="27"/>
  <c r="J2079" i="27"/>
  <c r="J2078" i="27"/>
  <c r="M2078" i="27" s="1"/>
  <c r="J2077" i="27"/>
  <c r="M2077" i="27" s="1"/>
  <c r="J2076" i="27"/>
  <c r="M2076" i="27" s="1"/>
  <c r="J2075" i="27"/>
  <c r="M2075" i="27" s="1"/>
  <c r="J2074" i="27"/>
  <c r="M2074" i="27" s="1"/>
  <c r="M2073" i="27"/>
  <c r="J2073" i="27"/>
  <c r="M2072" i="27"/>
  <c r="J2072" i="27"/>
  <c r="M2071" i="27"/>
  <c r="J2071" i="27"/>
  <c r="J2070" i="27"/>
  <c r="M2070" i="27" s="1"/>
  <c r="J2069" i="27"/>
  <c r="M2069" i="27" s="1"/>
  <c r="J2068" i="27"/>
  <c r="M2068" i="27" s="1"/>
  <c r="J2067" i="27"/>
  <c r="M2067" i="27" s="1"/>
  <c r="J2066" i="27"/>
  <c r="M2066" i="27" s="1"/>
  <c r="M2065" i="27"/>
  <c r="J2065" i="27"/>
  <c r="M2064" i="27"/>
  <c r="J2064" i="27"/>
  <c r="M2063" i="27"/>
  <c r="J2063" i="27"/>
  <c r="J2062" i="27"/>
  <c r="M2062" i="27" s="1"/>
  <c r="J2061" i="27"/>
  <c r="M2061" i="27" s="1"/>
  <c r="J2060" i="27"/>
  <c r="M2060" i="27" s="1"/>
  <c r="J2059" i="27"/>
  <c r="M2059" i="27" s="1"/>
  <c r="J2058" i="27"/>
  <c r="M2058" i="27" s="1"/>
  <c r="M2057" i="27"/>
  <c r="J2057" i="27"/>
  <c r="M2056" i="27"/>
  <c r="J2056" i="27"/>
  <c r="M2055" i="27"/>
  <c r="J2055" i="27"/>
  <c r="J2054" i="27"/>
  <c r="M2054" i="27" s="1"/>
  <c r="J2053" i="27"/>
  <c r="M2053" i="27" s="1"/>
  <c r="J2052" i="27"/>
  <c r="M2052" i="27" s="1"/>
  <c r="J2051" i="27"/>
  <c r="M2051" i="27" s="1"/>
  <c r="J2050" i="27"/>
  <c r="M2050" i="27" s="1"/>
  <c r="M2049" i="27"/>
  <c r="J2049" i="27"/>
  <c r="M2048" i="27"/>
  <c r="J2048" i="27"/>
  <c r="M2047" i="27"/>
  <c r="J2047" i="27"/>
  <c r="J2046" i="27"/>
  <c r="M2046" i="27" s="1"/>
  <c r="J2045" i="27"/>
  <c r="M2045" i="27" s="1"/>
  <c r="J2044" i="27"/>
  <c r="M2044" i="27" s="1"/>
  <c r="J2043" i="27"/>
  <c r="M2043" i="27" s="1"/>
  <c r="J2042" i="27"/>
  <c r="M2042" i="27" s="1"/>
  <c r="M2041" i="27"/>
  <c r="J2041" i="27"/>
  <c r="M2040" i="27"/>
  <c r="J2040" i="27"/>
  <c r="M2039" i="27"/>
  <c r="J2039" i="27"/>
  <c r="J2038" i="27"/>
  <c r="M2038" i="27" s="1"/>
  <c r="J2037" i="27"/>
  <c r="M2037" i="27" s="1"/>
  <c r="J2036" i="27"/>
  <c r="M2036" i="27" s="1"/>
  <c r="J2035" i="27"/>
  <c r="M2035" i="27" s="1"/>
  <c r="J2034" i="27"/>
  <c r="M2034" i="27" s="1"/>
  <c r="M2033" i="27"/>
  <c r="J2033" i="27"/>
  <c r="M2032" i="27"/>
  <c r="J2032" i="27"/>
  <c r="M2031" i="27"/>
  <c r="J2031" i="27"/>
  <c r="J2030" i="27"/>
  <c r="M2030" i="27" s="1"/>
  <c r="J2029" i="27"/>
  <c r="M2029" i="27" s="1"/>
  <c r="J2028" i="27"/>
  <c r="M2028" i="27" s="1"/>
  <c r="J2027" i="27"/>
  <c r="M2027" i="27" s="1"/>
  <c r="J2026" i="27"/>
  <c r="M2026" i="27" s="1"/>
  <c r="M2025" i="27"/>
  <c r="J2025" i="27"/>
  <c r="M2024" i="27"/>
  <c r="J2024" i="27"/>
  <c r="M2023" i="27"/>
  <c r="J2023" i="27"/>
  <c r="J2022" i="27"/>
  <c r="M2022" i="27" s="1"/>
  <c r="J2021" i="27"/>
  <c r="M2021" i="27" s="1"/>
  <c r="J2020" i="27"/>
  <c r="M2020" i="27" s="1"/>
  <c r="J2019" i="27"/>
  <c r="M2019" i="27" s="1"/>
  <c r="J2018" i="27"/>
  <c r="M2018" i="27" s="1"/>
  <c r="M2017" i="27"/>
  <c r="J2017" i="27"/>
  <c r="M2016" i="27"/>
  <c r="J2016" i="27"/>
  <c r="M2015" i="27"/>
  <c r="J2015" i="27"/>
  <c r="J2014" i="27"/>
  <c r="M2014" i="27" s="1"/>
  <c r="J2013" i="27"/>
  <c r="M2013" i="27" s="1"/>
  <c r="J2012" i="27"/>
  <c r="M2012" i="27" s="1"/>
  <c r="J2011" i="27"/>
  <c r="M2011" i="27" s="1"/>
  <c r="J2010" i="27"/>
  <c r="M2010" i="27" s="1"/>
  <c r="M2009" i="27"/>
  <c r="J2009" i="27"/>
  <c r="M2008" i="27"/>
  <c r="J2008" i="27"/>
  <c r="M2007" i="27"/>
  <c r="J2007" i="27"/>
  <c r="J2006" i="27"/>
  <c r="M2006" i="27" s="1"/>
  <c r="J2005" i="27"/>
  <c r="M2005" i="27" s="1"/>
  <c r="J2004" i="27"/>
  <c r="M2004" i="27" s="1"/>
  <c r="J2003" i="27"/>
  <c r="M2003" i="27" s="1"/>
  <c r="J2002" i="27"/>
  <c r="M2002" i="27" s="1"/>
  <c r="J2001" i="27"/>
  <c r="M2001" i="27" s="1"/>
  <c r="J2000" i="27"/>
  <c r="M2000" i="27" s="1"/>
  <c r="J1999" i="27"/>
  <c r="J1998" i="27"/>
  <c r="M1998" i="27" s="1"/>
  <c r="J1997" i="27"/>
  <c r="M1997" i="27" s="1"/>
  <c r="J1996" i="27"/>
  <c r="M1996" i="27" s="1"/>
  <c r="J1995" i="27"/>
  <c r="M1995" i="27" s="1"/>
  <c r="J1994" i="27"/>
  <c r="M1994" i="27" s="1"/>
  <c r="J1993" i="27"/>
  <c r="M1993" i="27" s="1"/>
  <c r="J1992" i="27"/>
  <c r="M1992" i="27" s="1"/>
  <c r="J1991" i="27"/>
  <c r="M1991" i="27" s="1"/>
  <c r="J1990" i="27"/>
  <c r="M1990" i="27" s="1"/>
  <c r="J1989" i="27"/>
  <c r="M1989" i="27" s="1"/>
  <c r="J1988" i="27"/>
  <c r="M1988" i="27" s="1"/>
  <c r="J1987" i="27"/>
  <c r="M1987" i="27" s="1"/>
  <c r="J1986" i="27"/>
  <c r="M1986" i="27" s="1"/>
  <c r="J1985" i="27"/>
  <c r="M1985" i="27" s="1"/>
  <c r="J1984" i="27"/>
  <c r="M1984" i="27" s="1"/>
  <c r="J1983" i="27"/>
  <c r="M1983" i="27" s="1"/>
  <c r="J1982" i="27"/>
  <c r="M1982" i="27" s="1"/>
  <c r="J1981" i="27"/>
  <c r="M1981" i="27" s="1"/>
  <c r="J1980" i="27"/>
  <c r="M1980" i="27" s="1"/>
  <c r="J1979" i="27"/>
  <c r="M1979" i="27" s="1"/>
  <c r="J1978" i="27"/>
  <c r="M1978" i="27" s="1"/>
  <c r="J1977" i="27"/>
  <c r="M1977" i="27" s="1"/>
  <c r="J1976" i="27"/>
  <c r="M1976" i="27" s="1"/>
  <c r="J1975" i="27"/>
  <c r="M1975" i="27" s="1"/>
  <c r="J1974" i="27"/>
  <c r="M1974" i="27" s="1"/>
  <c r="J1973" i="27"/>
  <c r="M1973" i="27" s="1"/>
  <c r="J1972" i="27"/>
  <c r="M1972" i="27" s="1"/>
  <c r="J1971" i="27"/>
  <c r="M1971" i="27" s="1"/>
  <c r="J1970" i="27"/>
  <c r="M1970" i="27" s="1"/>
  <c r="J1969" i="27"/>
  <c r="M1969" i="27" s="1"/>
  <c r="J1968" i="27"/>
  <c r="M1968" i="27" s="1"/>
  <c r="J1967" i="27"/>
  <c r="M1967" i="27" s="1"/>
  <c r="J1966" i="27"/>
  <c r="M1966" i="27" s="1"/>
  <c r="J1965" i="27"/>
  <c r="M1965" i="27" s="1"/>
  <c r="J1964" i="27"/>
  <c r="M1964" i="27" s="1"/>
  <c r="J1963" i="27"/>
  <c r="M1963" i="27" s="1"/>
  <c r="J1962" i="27"/>
  <c r="M1962" i="27" s="1"/>
  <c r="J1961" i="27"/>
  <c r="M1961" i="27" s="1"/>
  <c r="J1960" i="27"/>
  <c r="M1960" i="27" s="1"/>
  <c r="J1959" i="27"/>
  <c r="M1959" i="27" s="1"/>
  <c r="J1958" i="27"/>
  <c r="M1958" i="27" s="1"/>
  <c r="J1957" i="27"/>
  <c r="M1957" i="27" s="1"/>
  <c r="J1956" i="27"/>
  <c r="M1956" i="27" s="1"/>
  <c r="J1955" i="27"/>
  <c r="M1955" i="27" s="1"/>
  <c r="J1954" i="27"/>
  <c r="M1954" i="27" s="1"/>
  <c r="J1953" i="27"/>
  <c r="M1953" i="27" s="1"/>
  <c r="J1952" i="27"/>
  <c r="M1952" i="27" s="1"/>
  <c r="J1951" i="27"/>
  <c r="M1951" i="27" s="1"/>
  <c r="J1950" i="27"/>
  <c r="M1950" i="27" s="1"/>
  <c r="J1949" i="27"/>
  <c r="M1949" i="27" s="1"/>
  <c r="J1948" i="27"/>
  <c r="M1948" i="27" s="1"/>
  <c r="J1947" i="27"/>
  <c r="M1947" i="27" s="1"/>
  <c r="J1946" i="27"/>
  <c r="M1946" i="27" s="1"/>
  <c r="M1945" i="27"/>
  <c r="J1945" i="27"/>
  <c r="J1944" i="27"/>
  <c r="M1944" i="27" s="1"/>
  <c r="J1943" i="27"/>
  <c r="M1943" i="27" s="1"/>
  <c r="J1942" i="27"/>
  <c r="M1942" i="27" s="1"/>
  <c r="J1941" i="27"/>
  <c r="M1941" i="27" s="1"/>
  <c r="J1940" i="27"/>
  <c r="M1940" i="27" s="1"/>
  <c r="J1939" i="27"/>
  <c r="M1939" i="27" s="1"/>
  <c r="J1938" i="27"/>
  <c r="M1938" i="27" s="1"/>
  <c r="M1937" i="27"/>
  <c r="J1937" i="27"/>
  <c r="J1936" i="27"/>
  <c r="M1936" i="27" s="1"/>
  <c r="J1935" i="27"/>
  <c r="M1935" i="27" s="1"/>
  <c r="J1934" i="27"/>
  <c r="M1934" i="27" s="1"/>
  <c r="J1933" i="27"/>
  <c r="M1933" i="27" s="1"/>
  <c r="J1932" i="27"/>
  <c r="M1932" i="27" s="1"/>
  <c r="J1931" i="27"/>
  <c r="M1931" i="27" s="1"/>
  <c r="J1930" i="27"/>
  <c r="M1930" i="27" s="1"/>
  <c r="M1929" i="27"/>
  <c r="J1929" i="27"/>
  <c r="J1928" i="27"/>
  <c r="M1928" i="27" s="1"/>
  <c r="J1927" i="27"/>
  <c r="M1927" i="27" s="1"/>
  <c r="J1926" i="27"/>
  <c r="M1926" i="27" s="1"/>
  <c r="J1925" i="27"/>
  <c r="M1925" i="27" s="1"/>
  <c r="J1924" i="27"/>
  <c r="M1924" i="27" s="1"/>
  <c r="J1923" i="27"/>
  <c r="M1923" i="27" s="1"/>
  <c r="J1922" i="27"/>
  <c r="M1922" i="27" s="1"/>
  <c r="J1885" i="27"/>
  <c r="M1885" i="27" s="1"/>
  <c r="M1884" i="27"/>
  <c r="J1884" i="27"/>
  <c r="M1883" i="27"/>
  <c r="J1883" i="27"/>
  <c r="J1882" i="27"/>
  <c r="M1882" i="27" s="1"/>
  <c r="J1881" i="27"/>
  <c r="M1881" i="27" s="1"/>
  <c r="M1880" i="27"/>
  <c r="J1880" i="27"/>
  <c r="M1879" i="27"/>
  <c r="J1879" i="27"/>
  <c r="J1878" i="27"/>
  <c r="M1878" i="27" s="1"/>
  <c r="J1877" i="27"/>
  <c r="M1877" i="27" s="1"/>
  <c r="M1876" i="27"/>
  <c r="J1876" i="27"/>
  <c r="M1875" i="27"/>
  <c r="J1875" i="27"/>
  <c r="J1874" i="27"/>
  <c r="M1874" i="27" s="1"/>
  <c r="J1873" i="27"/>
  <c r="M1873" i="27" s="1"/>
  <c r="M1872" i="27"/>
  <c r="J1872" i="27"/>
  <c r="M1871" i="27"/>
  <c r="J1871" i="27"/>
  <c r="J1870" i="27"/>
  <c r="M1870" i="27" s="1"/>
  <c r="J1869" i="27"/>
  <c r="M1869" i="27" s="1"/>
  <c r="M1868" i="27"/>
  <c r="J1868" i="27"/>
  <c r="M1867" i="27"/>
  <c r="J1867" i="27"/>
  <c r="J1866" i="27"/>
  <c r="M1866" i="27" s="1"/>
  <c r="J1865" i="27"/>
  <c r="M1865" i="27" s="1"/>
  <c r="M1864" i="27"/>
  <c r="J1864" i="27"/>
  <c r="M1863" i="27"/>
  <c r="J1863" i="27"/>
  <c r="J1862" i="27"/>
  <c r="M1862" i="27" s="1"/>
  <c r="J1861" i="27"/>
  <c r="M1861" i="27" s="1"/>
  <c r="M1860" i="27"/>
  <c r="J1860" i="27"/>
  <c r="M1859" i="27"/>
  <c r="J1859" i="27"/>
  <c r="J1858" i="27"/>
  <c r="M1858" i="27" s="1"/>
  <c r="J1857" i="27"/>
  <c r="M1857" i="27" s="1"/>
  <c r="M1856" i="27"/>
  <c r="J1856" i="27"/>
  <c r="M1855" i="27"/>
  <c r="J1855" i="27"/>
  <c r="J1854" i="27"/>
  <c r="M1854" i="27" s="1"/>
  <c r="J1853" i="27"/>
  <c r="M1853" i="27" s="1"/>
  <c r="M1852" i="27"/>
  <c r="J1852" i="27"/>
  <c r="M1851" i="27"/>
  <c r="J1851" i="27"/>
  <c r="J1850" i="27"/>
  <c r="M1850" i="27" s="1"/>
  <c r="J1849" i="27"/>
  <c r="M1849" i="27" s="1"/>
  <c r="M1848" i="27"/>
  <c r="J1848" i="27"/>
  <c r="M1847" i="27"/>
  <c r="J1847" i="27"/>
  <c r="J1846" i="27"/>
  <c r="M1846" i="27" s="1"/>
  <c r="J1845" i="27"/>
  <c r="M1845" i="27" s="1"/>
  <c r="M1844" i="27"/>
  <c r="J1844" i="27"/>
  <c r="M1843" i="27"/>
  <c r="J1843" i="27"/>
  <c r="J1842" i="27"/>
  <c r="M1842" i="27" s="1"/>
  <c r="J1841" i="27"/>
  <c r="M1841" i="27" s="1"/>
  <c r="M1840" i="27"/>
  <c r="J1840" i="27"/>
  <c r="M1839" i="27"/>
  <c r="J1839" i="27"/>
  <c r="J1838" i="27"/>
  <c r="M1838" i="27" s="1"/>
  <c r="J1837" i="27"/>
  <c r="M1837" i="27" s="1"/>
  <c r="M1836" i="27"/>
  <c r="J1836" i="27"/>
  <c r="M1835" i="27"/>
  <c r="J1835" i="27"/>
  <c r="J1834" i="27"/>
  <c r="M1834" i="27" s="1"/>
  <c r="J1833" i="27"/>
  <c r="M1833" i="27" s="1"/>
  <c r="M1832" i="27"/>
  <c r="J1832" i="27"/>
  <c r="M1831" i="27"/>
  <c r="J1831" i="27"/>
  <c r="J1830" i="27"/>
  <c r="M1830" i="27" s="1"/>
  <c r="J1829" i="27"/>
  <c r="M1829" i="27" s="1"/>
  <c r="M1828" i="27"/>
  <c r="J1828" i="27"/>
  <c r="M1827" i="27"/>
  <c r="J1827" i="27"/>
  <c r="J1826" i="27"/>
  <c r="M1826" i="27" s="1"/>
  <c r="J1825" i="27"/>
  <c r="M1825" i="27" s="1"/>
  <c r="J1824" i="27"/>
  <c r="M1824" i="27" s="1"/>
  <c r="J1823" i="27"/>
  <c r="M1823" i="27" s="1"/>
  <c r="J1822" i="27"/>
  <c r="M1822" i="27" s="1"/>
  <c r="J1821" i="27"/>
  <c r="M1821" i="27" s="1"/>
  <c r="J1820" i="27"/>
  <c r="M1820" i="27" s="1"/>
  <c r="J1819" i="27"/>
  <c r="M1819" i="27" s="1"/>
  <c r="J1818" i="27"/>
  <c r="M1818" i="27" s="1"/>
  <c r="J1817" i="27"/>
  <c r="M1817" i="27" s="1"/>
  <c r="J1816" i="27"/>
  <c r="M1816" i="27" s="1"/>
  <c r="J1815" i="27"/>
  <c r="M1815" i="27" s="1"/>
  <c r="J1814" i="27"/>
  <c r="M1814" i="27" s="1"/>
  <c r="J1813" i="27"/>
  <c r="M1813" i="27" s="1"/>
  <c r="J1812" i="27"/>
  <c r="M1812" i="27" s="1"/>
  <c r="J1811" i="27"/>
  <c r="M1811" i="27" s="1"/>
  <c r="J1810" i="27"/>
  <c r="M1810" i="27" s="1"/>
  <c r="J1809" i="27"/>
  <c r="M1809" i="27" s="1"/>
  <c r="J1808" i="27"/>
  <c r="M1808" i="27" s="1"/>
  <c r="J1807" i="27"/>
  <c r="M1807" i="27" s="1"/>
  <c r="J1806" i="27"/>
  <c r="M1806" i="27" s="1"/>
  <c r="J1805" i="27"/>
  <c r="M1805" i="27" s="1"/>
  <c r="J1804" i="27"/>
  <c r="M1804" i="27" s="1"/>
  <c r="J1803" i="27"/>
  <c r="M1803" i="27" s="1"/>
  <c r="J1802" i="27"/>
  <c r="M1802" i="27" s="1"/>
  <c r="J1801" i="27"/>
  <c r="M1801" i="27" s="1"/>
  <c r="J1800" i="27"/>
  <c r="M1800" i="27" s="1"/>
  <c r="J1799" i="27"/>
  <c r="M1799" i="27" s="1"/>
  <c r="J1798" i="27"/>
  <c r="M1798" i="27" s="1"/>
  <c r="J1797" i="27"/>
  <c r="M1797" i="27" s="1"/>
  <c r="J1796" i="27"/>
  <c r="M1796" i="27" s="1"/>
  <c r="J1795" i="27"/>
  <c r="M1795" i="27" s="1"/>
  <c r="M1794" i="27"/>
  <c r="J1794" i="27"/>
  <c r="J1793" i="27"/>
  <c r="M1793" i="27" s="1"/>
  <c r="J1792" i="27"/>
  <c r="M1792" i="27" s="1"/>
  <c r="J1791" i="27"/>
  <c r="M1791" i="27" s="1"/>
  <c r="M1790" i="27"/>
  <c r="J1790" i="27"/>
  <c r="J1789" i="27"/>
  <c r="M1789" i="27" s="1"/>
  <c r="J1788" i="27"/>
  <c r="M1788" i="27" s="1"/>
  <c r="J1787" i="27"/>
  <c r="M1787" i="27" s="1"/>
  <c r="M1786" i="27"/>
  <c r="J1786" i="27"/>
  <c r="J1785" i="27"/>
  <c r="M1785" i="27" s="1"/>
  <c r="J1784" i="27"/>
  <c r="M1784" i="27" s="1"/>
  <c r="J1783" i="27"/>
  <c r="M1783" i="27" s="1"/>
  <c r="M1782" i="27"/>
  <c r="J1782" i="27"/>
  <c r="J1781" i="27"/>
  <c r="M1781" i="27" s="1"/>
  <c r="J1780" i="27"/>
  <c r="M1780" i="27" s="1"/>
  <c r="J1779" i="27"/>
  <c r="M1779" i="27" s="1"/>
  <c r="M1778" i="27"/>
  <c r="J1778" i="27"/>
  <c r="J1777" i="27"/>
  <c r="M1777" i="27" s="1"/>
  <c r="J1776" i="27"/>
  <c r="M1776" i="27" s="1"/>
  <c r="J1775" i="27"/>
  <c r="M1775" i="27" s="1"/>
  <c r="M1774" i="27"/>
  <c r="J1774" i="27"/>
  <c r="J1773" i="27"/>
  <c r="M1773" i="27" s="1"/>
  <c r="J1772" i="27"/>
  <c r="M1772" i="27" s="1"/>
  <c r="J1771" i="27"/>
  <c r="M1771" i="27" s="1"/>
  <c r="M1770" i="27"/>
  <c r="J1770" i="27"/>
  <c r="J1769" i="27"/>
  <c r="M1769" i="27" s="1"/>
  <c r="J1768" i="27"/>
  <c r="M1768" i="27" s="1"/>
  <c r="J1767" i="27"/>
  <c r="M1767" i="27" s="1"/>
  <c r="M1766" i="27"/>
  <c r="J1766" i="27"/>
  <c r="J1765" i="27"/>
  <c r="M1765" i="27" s="1"/>
  <c r="J1764" i="27"/>
  <c r="M1764" i="27" s="1"/>
  <c r="J1763" i="27"/>
  <c r="M1763" i="27" s="1"/>
  <c r="M1762" i="27"/>
  <c r="J1762" i="27"/>
  <c r="J1761" i="27"/>
  <c r="M1761" i="27" s="1"/>
  <c r="J1760" i="27"/>
  <c r="M1760" i="27" s="1"/>
  <c r="J1759" i="27"/>
  <c r="M1759" i="27" s="1"/>
  <c r="M1758" i="27"/>
  <c r="J1758" i="27"/>
  <c r="J1757" i="27"/>
  <c r="M1757" i="27" s="1"/>
  <c r="J1756" i="27"/>
  <c r="M1756" i="27" s="1"/>
  <c r="J1755" i="27"/>
  <c r="M1755" i="27" s="1"/>
  <c r="M1754" i="27"/>
  <c r="J1754" i="27"/>
  <c r="J1753" i="27"/>
  <c r="M1753" i="27" s="1"/>
  <c r="J1752" i="27"/>
  <c r="M1752" i="27" s="1"/>
  <c r="J1751" i="27"/>
  <c r="M1751" i="27" s="1"/>
  <c r="M1750" i="27"/>
  <c r="J1750" i="27"/>
  <c r="J1749" i="27"/>
  <c r="M1749" i="27" s="1"/>
  <c r="J1748" i="27"/>
  <c r="M1748" i="27" s="1"/>
  <c r="J1747" i="27"/>
  <c r="M1747" i="27" s="1"/>
  <c r="M1746" i="27"/>
  <c r="J1746" i="27"/>
  <c r="J1745" i="27"/>
  <c r="M1745" i="27" s="1"/>
  <c r="J1744" i="27"/>
  <c r="M1744" i="27" s="1"/>
  <c r="J1743" i="27"/>
  <c r="M1743" i="27" s="1"/>
  <c r="M1742" i="27"/>
  <c r="J1742" i="27"/>
  <c r="J1741" i="27"/>
  <c r="M1741" i="27" s="1"/>
  <c r="J1740" i="27"/>
  <c r="M1740" i="27" s="1"/>
  <c r="J1739" i="27"/>
  <c r="M1739" i="27" s="1"/>
  <c r="M1738" i="27"/>
  <c r="J1738" i="27"/>
  <c r="J1737" i="27"/>
  <c r="M1737" i="27" s="1"/>
  <c r="J1736" i="27"/>
  <c r="M1736" i="27" s="1"/>
  <c r="J1735" i="27"/>
  <c r="M1735" i="27" s="1"/>
  <c r="M1734" i="27"/>
  <c r="J1734" i="27"/>
  <c r="J1733" i="27"/>
  <c r="M1733" i="27" s="1"/>
  <c r="J1732" i="27"/>
  <c r="M1732" i="27" s="1"/>
  <c r="J1731" i="27"/>
  <c r="M1731" i="27" s="1"/>
  <c r="M1730" i="27"/>
  <c r="J1730" i="27"/>
  <c r="J1729" i="27"/>
  <c r="M1729" i="27" s="1"/>
  <c r="J1728" i="27"/>
  <c r="M1728" i="27" s="1"/>
  <c r="J1727" i="27"/>
  <c r="M1727" i="27" s="1"/>
  <c r="M1726" i="27"/>
  <c r="J1726" i="27"/>
  <c r="J1725" i="27"/>
  <c r="M1725" i="27" s="1"/>
  <c r="J1724" i="27"/>
  <c r="M1724" i="27" s="1"/>
  <c r="J1723" i="27"/>
  <c r="M1723" i="27" s="1"/>
  <c r="M1722" i="27"/>
  <c r="J1722" i="27"/>
  <c r="J1721" i="27"/>
  <c r="M1721" i="27" s="1"/>
  <c r="J1720" i="27"/>
  <c r="M1720" i="27" s="1"/>
  <c r="J1719" i="27"/>
  <c r="M1719" i="27" s="1"/>
  <c r="M1718" i="27"/>
  <c r="J1718" i="27"/>
  <c r="J1717" i="27"/>
  <c r="M1717" i="27" s="1"/>
  <c r="J1716" i="27"/>
  <c r="M1716" i="27" s="1"/>
  <c r="J1715" i="27"/>
  <c r="M1715" i="27" s="1"/>
  <c r="M1714" i="27"/>
  <c r="J1714" i="27"/>
  <c r="J1713" i="27"/>
  <c r="M1713" i="27" s="1"/>
  <c r="J1712" i="27"/>
  <c r="M1712" i="27" s="1"/>
  <c r="J1711" i="27"/>
  <c r="M1711" i="27" s="1"/>
  <c r="M1710" i="27"/>
  <c r="J1710" i="27"/>
  <c r="J1709" i="27"/>
  <c r="M1709" i="27" s="1"/>
  <c r="J1708" i="27"/>
  <c r="M1708" i="27" s="1"/>
  <c r="J1707" i="27"/>
  <c r="M1707" i="27" s="1"/>
  <c r="M1706" i="27"/>
  <c r="J1706" i="27"/>
  <c r="J1705" i="27"/>
  <c r="M1705" i="27" s="1"/>
  <c r="J1704" i="27"/>
  <c r="M1704" i="27" s="1"/>
  <c r="J1703" i="27"/>
  <c r="M1703" i="27" s="1"/>
  <c r="M1702" i="27"/>
  <c r="J1702" i="27"/>
  <c r="J1701" i="27"/>
  <c r="M1701" i="27" s="1"/>
  <c r="J1700" i="27"/>
  <c r="M1700" i="27" s="1"/>
  <c r="J1699" i="27"/>
  <c r="M1699" i="27" s="1"/>
  <c r="M1698" i="27"/>
  <c r="J1698" i="27"/>
  <c r="J1697" i="27"/>
  <c r="M1697" i="27" s="1"/>
  <c r="J1696" i="27"/>
  <c r="M1696" i="27" s="1"/>
  <c r="J1695" i="27"/>
  <c r="M1695" i="27" s="1"/>
  <c r="M1694" i="27"/>
  <c r="J1694" i="27"/>
  <c r="J1693" i="27"/>
  <c r="M1693" i="27" s="1"/>
  <c r="J1692" i="27"/>
  <c r="M1692" i="27" s="1"/>
  <c r="J1691" i="27"/>
  <c r="M1691" i="27" s="1"/>
  <c r="M1690" i="27"/>
  <c r="J1690" i="27"/>
  <c r="J1689" i="27"/>
  <c r="M1689" i="27" s="1"/>
  <c r="J1688" i="27"/>
  <c r="M1688" i="27" s="1"/>
  <c r="J1687" i="27"/>
  <c r="M1687" i="27" s="1"/>
  <c r="M1686" i="27"/>
  <c r="J1686" i="27"/>
  <c r="J1685" i="27"/>
  <c r="M1685" i="27" s="1"/>
  <c r="J1684" i="27"/>
  <c r="M1684" i="27" s="1"/>
  <c r="J1683" i="27"/>
  <c r="M1683" i="27" s="1"/>
  <c r="M1682" i="27"/>
  <c r="J1682" i="27"/>
  <c r="J1681" i="27"/>
  <c r="M1681" i="27" s="1"/>
  <c r="J1680" i="27"/>
  <c r="M1680" i="27" s="1"/>
  <c r="J1679" i="27"/>
  <c r="M1679" i="27" s="1"/>
  <c r="M1678" i="27"/>
  <c r="J1678" i="27"/>
  <c r="J1677" i="27"/>
  <c r="M1677" i="27" s="1"/>
  <c r="J1676" i="27"/>
  <c r="M1676" i="27" s="1"/>
  <c r="J1675" i="27"/>
  <c r="M1675" i="27" s="1"/>
  <c r="M1674" i="27"/>
  <c r="J1674" i="27"/>
  <c r="J1673" i="27"/>
  <c r="M1673" i="27" s="1"/>
  <c r="J1672" i="27"/>
  <c r="M1672" i="27" s="1"/>
  <c r="J1671" i="27"/>
  <c r="M1671" i="27" s="1"/>
  <c r="M1670" i="27"/>
  <c r="J1670" i="27"/>
  <c r="J1669" i="27"/>
  <c r="M1669" i="27" s="1"/>
  <c r="J1668" i="27"/>
  <c r="M1668" i="27" s="1"/>
  <c r="J1667" i="27"/>
  <c r="M1667" i="27" s="1"/>
  <c r="M1666" i="27"/>
  <c r="J1666" i="27"/>
  <c r="J1665" i="27"/>
  <c r="M1665" i="27" s="1"/>
  <c r="J1664" i="27"/>
  <c r="M1664" i="27" s="1"/>
  <c r="J1663" i="27"/>
  <c r="M1663" i="27" s="1"/>
  <c r="M1662" i="27"/>
  <c r="J1662" i="27"/>
  <c r="J1661" i="27"/>
  <c r="M1661" i="27" s="1"/>
  <c r="J1660" i="27"/>
  <c r="M1660" i="27" s="1"/>
  <c r="J1659" i="27"/>
  <c r="M1659" i="27" s="1"/>
  <c r="J1658" i="27"/>
  <c r="M1658" i="27" s="1"/>
  <c r="J1657" i="27"/>
  <c r="M1657" i="27" s="1"/>
  <c r="M1656" i="27"/>
  <c r="J1656" i="27"/>
  <c r="J1655" i="27"/>
  <c r="M1655" i="27" s="1"/>
  <c r="J1654" i="27"/>
  <c r="M1654" i="27" s="1"/>
  <c r="J1653" i="27"/>
  <c r="M1653" i="27" s="1"/>
  <c r="M1652" i="27"/>
  <c r="J1652" i="27"/>
  <c r="J1651" i="27"/>
  <c r="M1651" i="27" s="1"/>
  <c r="J1650" i="27"/>
  <c r="M1650" i="27" s="1"/>
  <c r="J1649" i="27"/>
  <c r="M1649" i="27" s="1"/>
  <c r="M1648" i="27"/>
  <c r="J1648" i="27"/>
  <c r="J1647" i="27"/>
  <c r="M1647" i="27" s="1"/>
  <c r="J1646" i="27"/>
  <c r="M1646" i="27" s="1"/>
  <c r="J1645" i="27"/>
  <c r="M1645" i="27" s="1"/>
  <c r="M1644" i="27"/>
  <c r="J1644" i="27"/>
  <c r="J1643" i="27"/>
  <c r="M1643" i="27" s="1"/>
  <c r="J1642" i="27"/>
  <c r="M1642" i="27" s="1"/>
  <c r="J1641" i="27"/>
  <c r="M1641" i="27" s="1"/>
  <c r="M1640" i="27"/>
  <c r="J1640" i="27"/>
  <c r="J1639" i="27"/>
  <c r="M1639" i="27" s="1"/>
  <c r="J1638" i="27"/>
  <c r="M1638" i="27" s="1"/>
  <c r="J1637" i="27"/>
  <c r="M1637" i="27" s="1"/>
  <c r="M1636" i="27"/>
  <c r="J1636" i="27"/>
  <c r="J1635" i="27"/>
  <c r="M1635" i="27" s="1"/>
  <c r="L1634" i="27"/>
  <c r="O1634" i="27" s="1"/>
  <c r="K1634" i="27"/>
  <c r="N1634" i="27" s="1"/>
  <c r="O1633" i="27"/>
  <c r="L1633" i="27"/>
  <c r="K1633" i="27"/>
  <c r="N1633" i="27" s="1"/>
  <c r="L1632" i="27"/>
  <c r="O1632" i="27" s="1"/>
  <c r="K1632" i="27"/>
  <c r="N1632" i="27" s="1"/>
  <c r="N1631" i="27"/>
  <c r="L1631" i="27"/>
  <c r="O1631" i="27" s="1"/>
  <c r="K1631" i="27"/>
  <c r="L1630" i="27"/>
  <c r="O1630" i="27" s="1"/>
  <c r="K1630" i="27"/>
  <c r="N1630" i="27" s="1"/>
  <c r="O1629" i="27"/>
  <c r="L1629" i="27"/>
  <c r="K1629" i="27"/>
  <c r="N1629" i="27" s="1"/>
  <c r="L1628" i="27"/>
  <c r="O1628" i="27" s="1"/>
  <c r="K1628" i="27"/>
  <c r="N1628" i="27" s="1"/>
  <c r="N1627" i="27"/>
  <c r="L1627" i="27"/>
  <c r="O1627" i="27" s="1"/>
  <c r="K1627" i="27"/>
  <c r="L1626" i="27"/>
  <c r="O1626" i="27" s="1"/>
  <c r="K1626" i="27"/>
  <c r="N1626" i="27" s="1"/>
  <c r="O1625" i="27"/>
  <c r="L1625" i="27"/>
  <c r="K1625" i="27"/>
  <c r="N1625" i="27" s="1"/>
  <c r="L1624" i="27"/>
  <c r="O1624" i="27" s="1"/>
  <c r="K1624" i="27"/>
  <c r="N1624" i="27" s="1"/>
  <c r="N1623" i="27"/>
  <c r="L1623" i="27"/>
  <c r="O1623" i="27" s="1"/>
  <c r="K1623" i="27"/>
  <c r="L1622" i="27"/>
  <c r="O1622" i="27" s="1"/>
  <c r="K1622" i="27"/>
  <c r="N1622" i="27" s="1"/>
  <c r="O1621" i="27"/>
  <c r="L1621" i="27"/>
  <c r="K1621" i="27"/>
  <c r="N1621" i="27" s="1"/>
  <c r="L1620" i="27"/>
  <c r="O1620" i="27" s="1"/>
  <c r="K1620" i="27"/>
  <c r="N1620" i="27" s="1"/>
  <c r="N1619" i="27"/>
  <c r="L1619" i="27"/>
  <c r="O1619" i="27" s="1"/>
  <c r="K1619" i="27"/>
  <c r="L1618" i="27"/>
  <c r="O1618" i="27" s="1"/>
  <c r="K1618" i="27"/>
  <c r="N1618" i="27" s="1"/>
  <c r="O1617" i="27"/>
  <c r="L1617" i="27"/>
  <c r="K1617" i="27"/>
  <c r="N1617" i="27" s="1"/>
  <c r="L1616" i="27"/>
  <c r="O1616" i="27" s="1"/>
  <c r="K1616" i="27"/>
  <c r="N1616" i="27" s="1"/>
  <c r="N1615" i="27"/>
  <c r="L1615" i="27"/>
  <c r="O1615" i="27" s="1"/>
  <c r="K1615" i="27"/>
  <c r="L1614" i="27"/>
  <c r="O1614" i="27" s="1"/>
  <c r="K1614" i="27"/>
  <c r="N1614" i="27" s="1"/>
  <c r="O1613" i="27"/>
  <c r="L1613" i="27"/>
  <c r="K1613" i="27"/>
  <c r="N1613" i="27" s="1"/>
  <c r="L1612" i="27"/>
  <c r="O1612" i="27" s="1"/>
  <c r="K1612" i="27"/>
  <c r="N1612" i="27" s="1"/>
  <c r="N1611" i="27"/>
  <c r="L1611" i="27"/>
  <c r="O1611" i="27" s="1"/>
  <c r="K1611" i="27"/>
  <c r="L1610" i="27"/>
  <c r="O1610" i="27" s="1"/>
  <c r="K1610" i="27"/>
  <c r="N1610" i="27" s="1"/>
  <c r="O1609" i="27"/>
  <c r="L1609" i="27"/>
  <c r="K1609" i="27"/>
  <c r="N1609" i="27" s="1"/>
  <c r="L1608" i="27"/>
  <c r="O1608" i="27" s="1"/>
  <c r="K1608" i="27"/>
  <c r="N1608" i="27" s="1"/>
  <c r="N1607" i="27"/>
  <c r="L1607" i="27"/>
  <c r="O1607" i="27" s="1"/>
  <c r="K1607" i="27"/>
  <c r="J1606" i="27"/>
  <c r="M1606" i="27" s="1"/>
  <c r="J1605" i="27"/>
  <c r="M1605" i="27" s="1"/>
  <c r="M1604" i="27"/>
  <c r="J1604" i="27"/>
  <c r="J1603" i="27"/>
  <c r="M1603" i="27" s="1"/>
  <c r="J1602" i="27"/>
  <c r="M1602" i="27" s="1"/>
  <c r="J1601" i="27"/>
  <c r="M1601" i="27" s="1"/>
  <c r="M1600" i="27"/>
  <c r="J1600" i="27"/>
  <c r="J1599" i="27"/>
  <c r="M1599" i="27" s="1"/>
  <c r="J1598" i="27"/>
  <c r="M1598" i="27" s="1"/>
  <c r="J1597" i="27"/>
  <c r="M1597" i="27" s="1"/>
  <c r="M1596" i="27"/>
  <c r="J1596" i="27"/>
  <c r="J1595" i="27"/>
  <c r="M1595" i="27" s="1"/>
  <c r="J1594" i="27"/>
  <c r="M1594" i="27" s="1"/>
  <c r="J1593" i="27"/>
  <c r="M1593" i="27" s="1"/>
  <c r="M1592" i="27"/>
  <c r="J1592" i="27"/>
  <c r="J1591" i="27"/>
  <c r="M1591" i="27" s="1"/>
  <c r="J1590" i="27"/>
  <c r="M1590" i="27" s="1"/>
  <c r="J1589" i="27"/>
  <c r="M1589" i="27" s="1"/>
  <c r="M1588" i="27"/>
  <c r="J1588" i="27"/>
  <c r="J1587" i="27"/>
  <c r="M1587" i="27" s="1"/>
  <c r="J1586" i="27"/>
  <c r="M1586" i="27" s="1"/>
  <c r="J1585" i="27"/>
  <c r="M1585" i="27" s="1"/>
  <c r="M1584" i="27"/>
  <c r="J1584" i="27"/>
  <c r="J1583" i="27"/>
  <c r="M1583" i="27" s="1"/>
  <c r="J1582" i="27"/>
  <c r="M1582" i="27" s="1"/>
  <c r="J1581" i="27"/>
  <c r="M1581" i="27" s="1"/>
  <c r="M1580" i="27"/>
  <c r="J1580" i="27"/>
  <c r="J1579" i="27"/>
  <c r="M1579" i="27" s="1"/>
  <c r="M1578" i="27"/>
  <c r="L1578" i="27"/>
  <c r="O1578" i="27" s="1"/>
  <c r="J1578" i="27"/>
  <c r="O1577" i="27"/>
  <c r="L1577" i="27"/>
  <c r="J1577" i="27"/>
  <c r="M1577" i="27" s="1"/>
  <c r="L1576" i="27"/>
  <c r="O1576" i="27" s="1"/>
  <c r="J1576" i="27"/>
  <c r="M1576" i="27" s="1"/>
  <c r="O1575" i="27"/>
  <c r="L1575" i="27"/>
  <c r="J1575" i="27"/>
  <c r="M1575" i="27" s="1"/>
  <c r="M1574" i="27"/>
  <c r="L1574" i="27"/>
  <c r="O1574" i="27" s="1"/>
  <c r="J1574" i="27"/>
  <c r="O1573" i="27"/>
  <c r="L1573" i="27"/>
  <c r="J1573" i="27"/>
  <c r="M1573" i="27" s="1"/>
  <c r="L1572" i="27"/>
  <c r="O1572" i="27" s="1"/>
  <c r="J1572" i="27"/>
  <c r="M1572" i="27" s="1"/>
  <c r="O1571" i="27"/>
  <c r="L1571" i="27"/>
  <c r="J1571" i="27"/>
  <c r="M1571" i="27" s="1"/>
  <c r="M1570" i="27"/>
  <c r="L1570" i="27"/>
  <c r="O1570" i="27" s="1"/>
  <c r="J1570" i="27"/>
  <c r="O1569" i="27"/>
  <c r="L1569" i="27"/>
  <c r="J1569" i="27"/>
  <c r="M1569" i="27" s="1"/>
  <c r="L1568" i="27"/>
  <c r="O1568" i="27" s="1"/>
  <c r="J1568" i="27"/>
  <c r="M1568" i="27" s="1"/>
  <c r="O1567" i="27"/>
  <c r="L1567" i="27"/>
  <c r="J1567" i="27"/>
  <c r="M1567" i="27" s="1"/>
  <c r="L1566" i="27"/>
  <c r="O1566" i="27" s="1"/>
  <c r="K1566" i="27"/>
  <c r="N1566" i="27" s="1"/>
  <c r="N1565" i="27"/>
  <c r="L1565" i="27"/>
  <c r="O1565" i="27" s="1"/>
  <c r="K1565" i="27"/>
  <c r="L1564" i="27"/>
  <c r="O1564" i="27" s="1"/>
  <c r="K1564" i="27"/>
  <c r="N1564" i="27" s="1"/>
  <c r="O1563" i="27"/>
  <c r="L1563" i="27"/>
  <c r="K1563" i="27"/>
  <c r="N1563" i="27" s="1"/>
  <c r="L1562" i="27"/>
  <c r="O1562" i="27" s="1"/>
  <c r="K1562" i="27"/>
  <c r="N1562" i="27" s="1"/>
  <c r="N1561" i="27"/>
  <c r="L1561" i="27"/>
  <c r="O1561" i="27" s="1"/>
  <c r="K1561" i="27"/>
  <c r="L1560" i="27"/>
  <c r="O1560" i="27" s="1"/>
  <c r="K1560" i="27"/>
  <c r="N1560" i="27" s="1"/>
  <c r="O1559" i="27"/>
  <c r="L1559" i="27"/>
  <c r="K1559" i="27"/>
  <c r="N1559" i="27" s="1"/>
  <c r="L1558" i="27"/>
  <c r="O1558" i="27" s="1"/>
  <c r="K1558" i="27"/>
  <c r="N1558" i="27" s="1"/>
  <c r="N1557" i="27"/>
  <c r="L1557" i="27"/>
  <c r="O1557" i="27" s="1"/>
  <c r="K1557" i="27"/>
  <c r="L1556" i="27"/>
  <c r="O1556" i="27" s="1"/>
  <c r="K1556" i="27"/>
  <c r="N1556" i="27" s="1"/>
  <c r="O1555" i="27"/>
  <c r="L1555" i="27"/>
  <c r="K1555" i="27"/>
  <c r="N1555" i="27" s="1"/>
  <c r="M1554" i="27"/>
  <c r="L1554" i="27"/>
  <c r="O1554" i="27" s="1"/>
  <c r="J1554" i="27"/>
  <c r="O1553" i="27"/>
  <c r="L1553" i="27"/>
  <c r="J1553" i="27"/>
  <c r="M1553" i="27" s="1"/>
  <c r="L1552" i="27"/>
  <c r="O1552" i="27" s="1"/>
  <c r="J1552" i="27"/>
  <c r="M1552" i="27" s="1"/>
  <c r="O1551" i="27"/>
  <c r="L1551" i="27"/>
  <c r="J1551" i="27"/>
  <c r="M1551" i="27" s="1"/>
  <c r="M1550" i="27"/>
  <c r="L1550" i="27"/>
  <c r="O1550" i="27" s="1"/>
  <c r="J1550" i="27"/>
  <c r="O1549" i="27"/>
  <c r="L1549" i="27"/>
  <c r="J1549" i="27"/>
  <c r="M1549" i="27" s="1"/>
  <c r="L1548" i="27"/>
  <c r="O1548" i="27" s="1"/>
  <c r="J1548" i="27"/>
  <c r="M1548" i="27" s="1"/>
  <c r="O1547" i="27"/>
  <c r="L1547" i="27"/>
  <c r="J1547" i="27"/>
  <c r="M1547" i="27" s="1"/>
  <c r="M1546" i="27"/>
  <c r="L1546" i="27"/>
  <c r="O1546" i="27" s="1"/>
  <c r="J1546" i="27"/>
  <c r="O1545" i="27"/>
  <c r="L1545" i="27"/>
  <c r="J1545" i="27"/>
  <c r="M1545" i="27" s="1"/>
  <c r="L1544" i="27"/>
  <c r="O1544" i="27" s="1"/>
  <c r="J1544" i="27"/>
  <c r="M1544" i="27" s="1"/>
  <c r="O1543" i="27"/>
  <c r="L1543" i="27"/>
  <c r="J1543" i="27"/>
  <c r="M1543" i="27" s="1"/>
  <c r="J1542" i="27"/>
  <c r="M1542" i="27" s="1"/>
  <c r="J1541" i="27"/>
  <c r="M1541" i="27" s="1"/>
  <c r="M1540" i="27"/>
  <c r="J1540" i="27"/>
  <c r="J1539" i="27"/>
  <c r="M1539" i="27" s="1"/>
  <c r="J1538" i="27"/>
  <c r="M1538" i="27" s="1"/>
  <c r="J1537" i="27"/>
  <c r="M1537" i="27" s="1"/>
  <c r="M1536" i="27"/>
  <c r="J1536" i="27"/>
  <c r="J1535" i="27"/>
  <c r="M1535" i="27" s="1"/>
  <c r="J1534" i="27"/>
  <c r="M1534" i="27" s="1"/>
  <c r="J1533" i="27"/>
  <c r="M1533" i="27" s="1"/>
  <c r="M1532" i="27"/>
  <c r="J1532" i="27"/>
  <c r="J1531" i="27"/>
  <c r="M1531" i="27" s="1"/>
  <c r="J1530" i="27"/>
  <c r="M1530" i="27" s="1"/>
  <c r="J1529" i="27"/>
  <c r="M1529" i="27" s="1"/>
  <c r="M1528" i="27"/>
  <c r="J1528" i="27"/>
  <c r="J1527" i="27"/>
  <c r="M1527" i="27" s="1"/>
  <c r="J1526" i="27"/>
  <c r="M1526" i="27" s="1"/>
  <c r="J1525" i="27"/>
  <c r="M1525" i="27" s="1"/>
  <c r="M1524" i="27"/>
  <c r="J1524" i="27"/>
  <c r="J1523" i="27"/>
  <c r="M1523" i="27" s="1"/>
  <c r="J1522" i="27"/>
  <c r="M1522" i="27" s="1"/>
  <c r="J1521" i="27"/>
  <c r="M1521" i="27" s="1"/>
  <c r="M1520" i="27"/>
  <c r="J1520" i="27"/>
  <c r="J1519" i="27"/>
  <c r="M1519" i="27" s="1"/>
  <c r="J1518" i="27"/>
  <c r="M1518" i="27" s="1"/>
  <c r="J1517" i="27"/>
  <c r="M1517" i="27" s="1"/>
  <c r="M1516" i="27"/>
  <c r="J1516" i="27"/>
  <c r="J1515" i="27"/>
  <c r="M1515" i="27" s="1"/>
  <c r="J1514" i="27"/>
  <c r="M1514" i="27" s="1"/>
  <c r="J1513" i="27"/>
  <c r="M1513" i="27" s="1"/>
  <c r="L1512" i="27"/>
  <c r="O1512" i="27" s="1"/>
  <c r="K1512" i="27"/>
  <c r="N1512" i="27" s="1"/>
  <c r="O1511" i="27"/>
  <c r="N1511" i="27"/>
  <c r="L1511" i="27"/>
  <c r="K1511" i="27"/>
  <c r="L1510" i="27"/>
  <c r="O1510" i="27" s="1"/>
  <c r="K1510" i="27"/>
  <c r="N1510" i="27" s="1"/>
  <c r="L1509" i="27"/>
  <c r="O1509" i="27" s="1"/>
  <c r="K1509" i="27"/>
  <c r="N1509" i="27" s="1"/>
  <c r="L1508" i="27"/>
  <c r="O1508" i="27" s="1"/>
  <c r="K1508" i="27"/>
  <c r="N1508" i="27" s="1"/>
  <c r="O1507" i="27"/>
  <c r="N1507" i="27"/>
  <c r="L1507" i="27"/>
  <c r="K1507" i="27"/>
  <c r="L1506" i="27"/>
  <c r="O1506" i="27" s="1"/>
  <c r="K1506" i="27"/>
  <c r="N1506" i="27" s="1"/>
  <c r="L1505" i="27"/>
  <c r="O1505" i="27" s="1"/>
  <c r="K1505" i="27"/>
  <c r="N1505" i="27" s="1"/>
  <c r="L1504" i="27"/>
  <c r="O1504" i="27" s="1"/>
  <c r="K1504" i="27"/>
  <c r="N1504" i="27" s="1"/>
  <c r="O1503" i="27"/>
  <c r="N1503" i="27"/>
  <c r="L1503" i="27"/>
  <c r="K1503" i="27"/>
  <c r="L1502" i="27"/>
  <c r="O1502" i="27" s="1"/>
  <c r="K1502" i="27"/>
  <c r="N1502" i="27" s="1"/>
  <c r="L1501" i="27"/>
  <c r="O1501" i="27" s="1"/>
  <c r="K1501" i="27"/>
  <c r="N1501" i="27" s="1"/>
  <c r="L1500" i="27"/>
  <c r="O1500" i="27" s="1"/>
  <c r="K1500" i="27"/>
  <c r="N1500" i="27" s="1"/>
  <c r="O1499" i="27"/>
  <c r="N1499" i="27"/>
  <c r="L1499" i="27"/>
  <c r="K1499" i="27"/>
  <c r="L1498" i="27"/>
  <c r="O1498" i="27" s="1"/>
  <c r="K1498" i="27"/>
  <c r="N1498" i="27" s="1"/>
  <c r="L1497" i="27"/>
  <c r="O1497" i="27" s="1"/>
  <c r="K1497" i="27"/>
  <c r="N1497" i="27" s="1"/>
  <c r="L1496" i="27"/>
  <c r="O1496" i="27" s="1"/>
  <c r="K1496" i="27"/>
  <c r="N1496" i="27" s="1"/>
  <c r="O1495" i="27"/>
  <c r="N1495" i="27"/>
  <c r="L1495" i="27"/>
  <c r="K1495" i="27"/>
  <c r="L1494" i="27"/>
  <c r="O1494" i="27" s="1"/>
  <c r="K1494" i="27"/>
  <c r="N1494" i="27" s="1"/>
  <c r="L1493" i="27"/>
  <c r="O1493" i="27" s="1"/>
  <c r="K1493" i="27"/>
  <c r="N1493" i="27" s="1"/>
  <c r="L1492" i="27"/>
  <c r="O1492" i="27" s="1"/>
  <c r="K1492" i="27"/>
  <c r="N1492" i="27" s="1"/>
  <c r="O1491" i="27"/>
  <c r="N1491" i="27"/>
  <c r="L1491" i="27"/>
  <c r="K1491" i="27"/>
  <c r="L1490" i="27"/>
  <c r="O1490" i="27" s="1"/>
  <c r="K1490" i="27"/>
  <c r="N1490" i="27" s="1"/>
  <c r="L1489" i="27"/>
  <c r="O1489" i="27" s="1"/>
  <c r="K1489" i="27"/>
  <c r="N1489" i="27" s="1"/>
  <c r="L1488" i="27"/>
  <c r="O1488" i="27" s="1"/>
  <c r="K1488" i="27"/>
  <c r="N1488" i="27" s="1"/>
  <c r="O1487" i="27"/>
  <c r="N1487" i="27"/>
  <c r="L1487" i="27"/>
  <c r="K1487" i="27"/>
  <c r="L1486" i="27"/>
  <c r="O1486" i="27" s="1"/>
  <c r="K1486" i="27"/>
  <c r="N1486" i="27" s="1"/>
  <c r="L1485" i="27"/>
  <c r="O1485" i="27" s="1"/>
  <c r="K1485" i="27"/>
  <c r="N1485" i="27" s="1"/>
  <c r="L1484" i="27"/>
  <c r="O1484" i="27" s="1"/>
  <c r="K1484" i="27"/>
  <c r="N1484" i="27" s="1"/>
  <c r="O1483" i="27"/>
  <c r="N1483" i="27"/>
  <c r="L1483" i="27"/>
  <c r="K1483" i="27"/>
  <c r="L1482" i="27"/>
  <c r="O1482" i="27" s="1"/>
  <c r="K1482" i="27"/>
  <c r="N1482" i="27" s="1"/>
  <c r="L1481" i="27"/>
  <c r="O1481" i="27" s="1"/>
  <c r="K1481" i="27"/>
  <c r="N1481" i="27" s="1"/>
  <c r="L1480" i="27"/>
  <c r="O1480" i="27" s="1"/>
  <c r="K1480" i="27"/>
  <c r="N1480" i="27" s="1"/>
  <c r="O1479" i="27"/>
  <c r="N1479" i="27"/>
  <c r="L1479" i="27"/>
  <c r="K1479" i="27"/>
  <c r="L1478" i="27"/>
  <c r="O1478" i="27" s="1"/>
  <c r="K1478" i="27"/>
  <c r="N1478" i="27" s="1"/>
  <c r="L1477" i="27"/>
  <c r="O1477" i="27" s="1"/>
  <c r="K1477" i="27"/>
  <c r="N1477" i="27" s="1"/>
  <c r="M1476" i="27"/>
  <c r="J1476" i="27"/>
  <c r="J1475" i="27"/>
  <c r="M1475" i="27" s="1"/>
  <c r="J1474" i="27"/>
  <c r="M1474" i="27" s="1"/>
  <c r="J1473" i="27"/>
  <c r="M1473" i="27" s="1"/>
  <c r="M1472" i="27"/>
  <c r="J1472" i="27"/>
  <c r="J1471" i="27"/>
  <c r="M1471" i="27" s="1"/>
  <c r="J1470" i="27"/>
  <c r="M1470" i="27" s="1"/>
  <c r="J1469" i="27"/>
  <c r="M1469" i="27" s="1"/>
  <c r="M1468" i="27"/>
  <c r="J1468" i="27"/>
  <c r="J1467" i="27"/>
  <c r="M1467" i="27" s="1"/>
  <c r="J1466" i="27"/>
  <c r="M1466" i="27" s="1"/>
  <c r="J1465" i="27"/>
  <c r="M1465" i="27" s="1"/>
  <c r="M1464" i="27"/>
  <c r="J1464" i="27"/>
  <c r="J1463" i="27"/>
  <c r="M1463" i="27" s="1"/>
  <c r="J1462" i="27"/>
  <c r="M1462" i="27" s="1"/>
  <c r="J1461" i="27"/>
  <c r="M1461" i="27" s="1"/>
  <c r="M1460" i="27"/>
  <c r="J1460" i="27"/>
  <c r="J1459" i="27"/>
  <c r="M1459" i="27" s="1"/>
  <c r="J1458" i="27"/>
  <c r="M1458" i="27" s="1"/>
  <c r="J1457" i="27"/>
  <c r="M1457" i="27" s="1"/>
  <c r="M1456" i="27"/>
  <c r="J1456" i="27"/>
  <c r="J1455" i="27"/>
  <c r="M1455" i="27" s="1"/>
  <c r="J1454" i="27"/>
  <c r="M1454" i="27" s="1"/>
  <c r="J1453" i="27"/>
  <c r="M1453" i="27" s="1"/>
  <c r="M1452" i="27"/>
  <c r="J1452" i="27"/>
  <c r="J1451" i="27"/>
  <c r="M1451" i="27" s="1"/>
  <c r="J1450" i="27"/>
  <c r="M1450" i="27" s="1"/>
  <c r="J1449" i="27"/>
  <c r="M1449" i="27" s="1"/>
  <c r="M1448" i="27"/>
  <c r="J1448" i="27"/>
  <c r="J1447" i="27"/>
  <c r="M1447" i="27" s="1"/>
  <c r="J1446" i="27"/>
  <c r="M1446" i="27" s="1"/>
  <c r="L1397" i="27"/>
  <c r="O1397" i="27" s="1"/>
  <c r="O1396" i="27"/>
  <c r="L1396" i="27"/>
  <c r="L1395" i="27"/>
  <c r="O1395" i="27" s="1"/>
  <c r="L1394" i="27"/>
  <c r="O1394" i="27" s="1"/>
  <c r="L1393" i="27"/>
  <c r="O1393" i="27" s="1"/>
  <c r="L1392" i="27"/>
  <c r="O1392" i="27" s="1"/>
  <c r="L1391" i="27"/>
  <c r="O1391" i="27" s="1"/>
  <c r="L1390" i="27"/>
  <c r="O1390" i="27" s="1"/>
  <c r="L1389" i="27"/>
  <c r="O1389" i="27" s="1"/>
  <c r="O1388" i="27"/>
  <c r="L1388" i="27"/>
  <c r="L1387" i="27"/>
  <c r="O1387" i="27" s="1"/>
  <c r="L1386" i="27"/>
  <c r="O1386" i="27" s="1"/>
  <c r="M1385" i="27"/>
  <c r="L1385" i="27"/>
  <c r="O1385" i="27" s="1"/>
  <c r="J1385" i="27"/>
  <c r="L1384" i="27"/>
  <c r="O1384" i="27" s="1"/>
  <c r="J1384" i="27"/>
  <c r="M1384" i="27" s="1"/>
  <c r="L1383" i="27"/>
  <c r="O1383" i="27" s="1"/>
  <c r="J1383" i="27"/>
  <c r="M1383" i="27" s="1"/>
  <c r="L1382" i="27"/>
  <c r="O1382" i="27" s="1"/>
  <c r="J1382" i="27"/>
  <c r="M1382" i="27" s="1"/>
  <c r="L1381" i="27"/>
  <c r="O1381" i="27" s="1"/>
  <c r="J1381" i="27"/>
  <c r="M1381" i="27" s="1"/>
  <c r="L1380" i="27"/>
  <c r="O1380" i="27" s="1"/>
  <c r="J1380" i="27"/>
  <c r="M1380" i="27" s="1"/>
  <c r="M1379" i="27"/>
  <c r="L1379" i="27"/>
  <c r="O1379" i="27" s="1"/>
  <c r="J1379" i="27"/>
  <c r="L1378" i="27"/>
  <c r="O1378" i="27" s="1"/>
  <c r="J1378" i="27"/>
  <c r="M1378" i="27" s="1"/>
  <c r="M1377" i="27"/>
  <c r="L1377" i="27"/>
  <c r="O1377" i="27" s="1"/>
  <c r="J1377" i="27"/>
  <c r="L1376" i="27"/>
  <c r="O1376" i="27" s="1"/>
  <c r="J1376" i="27"/>
  <c r="M1376" i="27" s="1"/>
  <c r="L1375" i="27"/>
  <c r="O1375" i="27" s="1"/>
  <c r="J1375" i="27"/>
  <c r="M1375" i="27" s="1"/>
  <c r="L1374" i="27"/>
  <c r="O1374" i="27" s="1"/>
  <c r="J1374" i="27"/>
  <c r="M1374" i="27" s="1"/>
  <c r="L1373" i="27"/>
  <c r="O1373" i="27" s="1"/>
  <c r="L1372" i="27"/>
  <c r="O1372" i="27" s="1"/>
  <c r="L1371" i="27"/>
  <c r="O1371" i="27" s="1"/>
  <c r="L1370" i="27"/>
  <c r="O1370" i="27" s="1"/>
  <c r="L1369" i="27"/>
  <c r="O1369" i="27" s="1"/>
  <c r="O1368" i="27"/>
  <c r="L1368" i="27"/>
  <c r="O1367" i="27"/>
  <c r="L1367" i="27"/>
  <c r="O1366" i="27"/>
  <c r="L1366" i="27"/>
  <c r="O1365" i="27"/>
  <c r="L1365" i="27"/>
  <c r="O1364" i="27"/>
  <c r="L1364" i="27"/>
  <c r="O1363" i="27"/>
  <c r="L1363" i="27"/>
  <c r="O1362" i="27"/>
  <c r="L1362" i="27"/>
  <c r="J1291" i="27"/>
  <c r="M1291" i="27" s="1"/>
  <c r="J1290" i="27"/>
  <c r="M1290" i="27" s="1"/>
  <c r="J1289" i="27"/>
  <c r="M1289" i="27" s="1"/>
  <c r="M1288" i="27"/>
  <c r="J1288" i="27"/>
  <c r="J1287" i="27"/>
  <c r="M1287" i="27" s="1"/>
  <c r="J1286" i="27"/>
  <c r="M1286" i="27" s="1"/>
  <c r="J1285" i="27"/>
  <c r="M1285" i="27" s="1"/>
  <c r="M1284" i="27"/>
  <c r="J1284" i="27"/>
  <c r="J1283" i="27"/>
  <c r="M1283" i="27" s="1"/>
  <c r="J1282" i="27"/>
  <c r="M1282" i="27" s="1"/>
  <c r="J1281" i="27"/>
  <c r="M1281" i="27" s="1"/>
  <c r="L1280" i="27"/>
  <c r="O1280" i="27" s="1"/>
  <c r="K1280" i="27"/>
  <c r="N1280" i="27" s="1"/>
  <c r="L1279" i="27"/>
  <c r="O1279" i="27" s="1"/>
  <c r="K1279" i="27"/>
  <c r="N1279" i="27" s="1"/>
  <c r="N1278" i="27"/>
  <c r="L1278" i="27"/>
  <c r="O1278" i="27" s="1"/>
  <c r="K1278" i="27"/>
  <c r="L1277" i="27"/>
  <c r="O1277" i="27" s="1"/>
  <c r="K1277" i="27"/>
  <c r="N1277" i="27" s="1"/>
  <c r="L1276" i="27"/>
  <c r="O1276" i="27" s="1"/>
  <c r="K1276" i="27"/>
  <c r="N1276" i="27" s="1"/>
  <c r="L1275" i="27"/>
  <c r="O1275" i="27" s="1"/>
  <c r="K1275" i="27"/>
  <c r="N1275" i="27" s="1"/>
  <c r="N1274" i="27"/>
  <c r="L1274" i="27"/>
  <c r="O1274" i="27" s="1"/>
  <c r="K1274" i="27"/>
  <c r="L1273" i="27"/>
  <c r="O1273" i="27" s="1"/>
  <c r="K1273" i="27"/>
  <c r="N1273" i="27" s="1"/>
  <c r="L1272" i="27"/>
  <c r="O1272" i="27" s="1"/>
  <c r="K1272" i="27"/>
  <c r="N1272" i="27" s="1"/>
  <c r="L1271" i="27"/>
  <c r="O1271" i="27" s="1"/>
  <c r="K1271" i="27"/>
  <c r="N1271" i="27" s="1"/>
  <c r="N1270" i="27"/>
  <c r="L1270" i="27"/>
  <c r="O1270" i="27" s="1"/>
  <c r="K1270" i="27"/>
  <c r="J1269" i="27"/>
  <c r="M1269" i="27" s="1"/>
  <c r="M1268" i="27"/>
  <c r="J1268" i="27"/>
  <c r="J1267" i="27"/>
  <c r="M1267" i="27" s="1"/>
  <c r="J1266" i="27"/>
  <c r="M1266" i="27" s="1"/>
  <c r="J1265" i="27"/>
  <c r="M1265" i="27" s="1"/>
  <c r="M1264" i="27"/>
  <c r="J1264" i="27"/>
  <c r="J1263" i="27"/>
  <c r="M1263" i="27" s="1"/>
  <c r="J1262" i="27"/>
  <c r="M1262" i="27" s="1"/>
  <c r="J1261" i="27"/>
  <c r="M1261" i="27" s="1"/>
  <c r="M1260" i="27"/>
  <c r="J1260" i="27"/>
  <c r="J1259" i="27"/>
  <c r="M1259" i="27" s="1"/>
  <c r="M1257" i="27"/>
  <c r="M1255" i="27"/>
  <c r="M1253" i="27"/>
  <c r="M1251" i="27"/>
  <c r="M1249" i="27"/>
  <c r="M1247" i="27"/>
  <c r="N1246" i="27"/>
  <c r="N1245" i="27"/>
  <c r="N1244" i="27"/>
  <c r="N1243" i="27"/>
  <c r="N1242" i="27"/>
  <c r="N1241" i="27"/>
  <c r="N1240" i="27"/>
  <c r="N1239" i="27"/>
  <c r="N1238" i="27"/>
  <c r="N1237" i="27"/>
  <c r="N1236" i="27"/>
  <c r="N1235" i="27"/>
  <c r="M1233" i="27"/>
  <c r="M1231" i="27"/>
  <c r="M1229" i="27"/>
  <c r="M1227" i="27"/>
  <c r="M1225" i="27"/>
  <c r="M1223" i="27"/>
  <c r="M1221" i="27"/>
  <c r="M1219" i="27"/>
  <c r="M1217" i="27"/>
  <c r="M1215" i="27"/>
  <c r="M1213" i="27"/>
  <c r="M1211" i="27"/>
  <c r="M1209" i="27"/>
  <c r="M1207" i="27"/>
  <c r="M1205" i="27"/>
  <c r="M1203" i="27"/>
  <c r="M1201" i="27"/>
  <c r="M1199" i="27"/>
  <c r="M1197" i="27"/>
  <c r="M1195" i="27"/>
  <c r="M1193" i="27"/>
  <c r="O1191" i="27"/>
  <c r="O1190" i="27"/>
  <c r="O1189" i="27"/>
  <c r="O1188" i="27"/>
  <c r="O1187" i="27"/>
  <c r="O1186" i="27"/>
  <c r="O1185" i="27"/>
  <c r="O1184" i="27"/>
  <c r="O1183" i="27"/>
  <c r="O1182" i="27"/>
  <c r="O1181" i="27"/>
  <c r="O1180" i="27"/>
  <c r="O1179" i="27"/>
  <c r="O1178" i="27"/>
  <c r="O1177" i="27"/>
  <c r="O1176" i="27"/>
  <c r="O1175" i="27"/>
  <c r="O1174" i="27"/>
  <c r="O1173" i="27"/>
  <c r="O1172" i="27"/>
  <c r="O1171" i="27"/>
  <c r="O1170" i="27"/>
  <c r="O1169" i="27"/>
  <c r="O1168" i="27"/>
  <c r="O1167" i="27"/>
  <c r="O1166" i="27"/>
  <c r="O1165" i="27"/>
  <c r="O1164" i="27"/>
  <c r="O1163" i="27"/>
  <c r="O1162" i="27"/>
  <c r="O1161" i="27"/>
  <c r="O1160" i="27"/>
  <c r="O1159" i="27"/>
  <c r="O1158" i="27"/>
  <c r="M1157" i="27"/>
  <c r="M1155" i="27"/>
  <c r="M1153" i="27"/>
  <c r="M1151" i="27"/>
  <c r="M1149" i="27"/>
  <c r="M1147" i="27"/>
  <c r="M1145" i="27"/>
  <c r="M1143" i="27"/>
  <c r="M1141" i="27"/>
  <c r="M1139" i="27"/>
  <c r="M1137" i="27"/>
  <c r="M1135" i="27"/>
  <c r="M1133" i="27"/>
  <c r="M1131" i="27"/>
  <c r="M1129" i="27"/>
  <c r="M1127" i="27"/>
  <c r="M1125" i="27"/>
  <c r="M1123" i="27"/>
  <c r="M1121" i="27"/>
  <c r="M1119" i="27"/>
  <c r="M1117" i="27"/>
  <c r="M1115" i="27"/>
  <c r="M1113" i="27"/>
  <c r="M1111" i="27"/>
  <c r="M1109" i="27"/>
  <c r="M1107" i="27"/>
  <c r="M1105" i="27"/>
  <c r="M1103" i="27"/>
  <c r="N1102" i="27"/>
  <c r="N1101" i="27"/>
  <c r="N1100" i="27"/>
  <c r="N1099" i="27"/>
  <c r="N1098" i="27"/>
  <c r="N1097" i="27"/>
  <c r="N1096" i="27"/>
  <c r="N1095" i="27"/>
  <c r="N1094" i="27"/>
  <c r="N1093" i="27"/>
  <c r="N1092" i="27"/>
  <c r="N1091" i="27"/>
  <c r="N1090" i="27"/>
  <c r="N1089" i="27"/>
  <c r="N1088" i="27"/>
  <c r="N1087" i="27"/>
  <c r="N1086" i="27"/>
  <c r="N1085" i="27"/>
  <c r="N1084" i="27"/>
  <c r="N1083" i="27"/>
  <c r="N1082" i="27"/>
  <c r="N1081" i="27"/>
  <c r="N1080" i="27"/>
  <c r="N1079" i="27"/>
  <c r="M1077" i="27"/>
  <c r="M1075" i="27"/>
  <c r="M1073" i="27"/>
  <c r="M1071" i="27"/>
  <c r="M1069" i="27"/>
  <c r="M1067" i="27"/>
  <c r="M1065" i="27"/>
  <c r="M1063" i="27"/>
  <c r="M1061" i="27"/>
  <c r="M1059" i="27"/>
  <c r="M1057" i="27"/>
  <c r="M1055" i="27"/>
  <c r="M1053" i="27"/>
  <c r="M1051" i="27"/>
  <c r="M1049" i="27"/>
  <c r="M1047" i="27"/>
  <c r="M1045" i="27"/>
  <c r="M1043" i="27"/>
  <c r="M1041" i="27"/>
  <c r="M1039" i="27"/>
  <c r="M1037" i="27"/>
  <c r="M1035" i="27"/>
  <c r="J1033" i="27"/>
  <c r="M1033" i="27" s="1"/>
  <c r="J1032" i="27"/>
  <c r="M1032" i="27" s="1"/>
  <c r="J1031" i="27"/>
  <c r="M1031" i="27" s="1"/>
  <c r="J1030" i="27"/>
  <c r="M1030" i="27" s="1"/>
  <c r="J1029" i="27"/>
  <c r="M1029" i="27" s="1"/>
  <c r="J1028" i="27"/>
  <c r="M1028" i="27" s="1"/>
  <c r="J1027" i="27"/>
  <c r="M1027" i="27" s="1"/>
  <c r="J1026" i="27"/>
  <c r="M1026" i="27" s="1"/>
  <c r="J1025" i="27"/>
  <c r="M1025" i="27" s="1"/>
  <c r="J1024" i="27"/>
  <c r="M1024" i="27" s="1"/>
  <c r="J1023" i="27"/>
  <c r="M1023" i="27" s="1"/>
  <c r="J1022" i="27"/>
  <c r="M1022" i="27" s="1"/>
  <c r="J1021" i="27"/>
  <c r="M1021" i="27" s="1"/>
  <c r="J1020" i="27"/>
  <c r="M1020" i="27" s="1"/>
  <c r="J1019" i="27"/>
  <c r="M1019" i="27" s="1"/>
  <c r="J1018" i="27"/>
  <c r="M1018" i="27" s="1"/>
  <c r="J1017" i="27"/>
  <c r="M1017" i="27" s="1"/>
  <c r="J1016" i="27"/>
  <c r="M1016" i="27" s="1"/>
  <c r="J1015" i="27"/>
  <c r="M1015" i="27" s="1"/>
  <c r="J1014" i="27"/>
  <c r="M1014" i="27" s="1"/>
  <c r="J1013" i="27"/>
  <c r="M1013" i="27" s="1"/>
  <c r="J1012" i="27"/>
  <c r="M1012" i="27" s="1"/>
  <c r="J1011" i="27"/>
  <c r="M1011" i="27" s="1"/>
  <c r="J1010" i="27"/>
  <c r="M1010" i="27" s="1"/>
  <c r="J1009" i="27"/>
  <c r="M1009" i="27" s="1"/>
  <c r="J1008" i="27"/>
  <c r="M1008" i="27" s="1"/>
  <c r="J1007" i="27"/>
  <c r="M1007" i="27" s="1"/>
  <c r="J1006" i="27"/>
  <c r="M1006" i="27" s="1"/>
  <c r="J1005" i="27"/>
  <c r="M1005" i="27" s="1"/>
  <c r="J1004" i="27"/>
  <c r="M1004" i="27" s="1"/>
  <c r="J1003" i="27"/>
  <c r="M1003" i="27" s="1"/>
  <c r="J1002" i="27"/>
  <c r="M1002" i="27" s="1"/>
  <c r="J1001" i="27"/>
  <c r="M1001" i="27" s="1"/>
  <c r="L1000" i="27"/>
  <c r="O1000" i="27" s="1"/>
  <c r="K1000" i="27"/>
  <c r="N1000" i="27" s="1"/>
  <c r="L999" i="27"/>
  <c r="O999" i="27" s="1"/>
  <c r="K999" i="27"/>
  <c r="N999" i="27" s="1"/>
  <c r="N998" i="27"/>
  <c r="L998" i="27"/>
  <c r="O998" i="27" s="1"/>
  <c r="K998" i="27"/>
  <c r="L997" i="27"/>
  <c r="O997" i="27" s="1"/>
  <c r="K997" i="27"/>
  <c r="N997" i="27" s="1"/>
  <c r="N996" i="27"/>
  <c r="L996" i="27"/>
  <c r="O996" i="27" s="1"/>
  <c r="K996" i="27"/>
  <c r="L995" i="27"/>
  <c r="O995" i="27" s="1"/>
  <c r="K995" i="27"/>
  <c r="N995" i="27" s="1"/>
  <c r="L994" i="27"/>
  <c r="O994" i="27" s="1"/>
  <c r="K994" i="27"/>
  <c r="N994" i="27" s="1"/>
  <c r="L993" i="27"/>
  <c r="O993" i="27" s="1"/>
  <c r="K993" i="27"/>
  <c r="N993" i="27" s="1"/>
  <c r="L992" i="27"/>
  <c r="O992" i="27" s="1"/>
  <c r="K992" i="27"/>
  <c r="N992" i="27" s="1"/>
  <c r="L991" i="27"/>
  <c r="O991" i="27" s="1"/>
  <c r="K991" i="27"/>
  <c r="N991" i="27" s="1"/>
  <c r="N990" i="27"/>
  <c r="L990" i="27"/>
  <c r="O990" i="27" s="1"/>
  <c r="K990" i="27"/>
  <c r="L989" i="27"/>
  <c r="O989" i="27" s="1"/>
  <c r="K989" i="27"/>
  <c r="N989" i="27" s="1"/>
  <c r="L988" i="27"/>
  <c r="O988" i="27" s="1"/>
  <c r="K988" i="27"/>
  <c r="N988" i="27" s="1"/>
  <c r="N987" i="27"/>
  <c r="L987" i="27"/>
  <c r="O987" i="27" s="1"/>
  <c r="K987" i="27"/>
  <c r="N986" i="27"/>
  <c r="L986" i="27"/>
  <c r="O986" i="27" s="1"/>
  <c r="K986" i="27"/>
  <c r="L985" i="27"/>
  <c r="O985" i="27" s="1"/>
  <c r="K985" i="27"/>
  <c r="N985" i="27" s="1"/>
  <c r="L984" i="27"/>
  <c r="O984" i="27" s="1"/>
  <c r="K984" i="27"/>
  <c r="N984" i="27" s="1"/>
  <c r="L983" i="27"/>
  <c r="O983" i="27" s="1"/>
  <c r="K983" i="27"/>
  <c r="N983" i="27" s="1"/>
  <c r="L982" i="27"/>
  <c r="O982" i="27" s="1"/>
  <c r="K982" i="27"/>
  <c r="N982" i="27" s="1"/>
  <c r="L981" i="27"/>
  <c r="O981" i="27" s="1"/>
  <c r="K981" i="27"/>
  <c r="N981" i="27" s="1"/>
  <c r="N980" i="27"/>
  <c r="L980" i="27"/>
  <c r="O980" i="27" s="1"/>
  <c r="K980" i="27"/>
  <c r="L979" i="27"/>
  <c r="O979" i="27" s="1"/>
  <c r="K979" i="27"/>
  <c r="N979" i="27" s="1"/>
  <c r="N978" i="27"/>
  <c r="L978" i="27"/>
  <c r="O978" i="27" s="1"/>
  <c r="K978" i="27"/>
  <c r="L977" i="27"/>
  <c r="O977" i="27" s="1"/>
  <c r="K977" i="27"/>
  <c r="N977" i="27" s="1"/>
  <c r="L976" i="27"/>
  <c r="O976" i="27" s="1"/>
  <c r="K976" i="27"/>
  <c r="N976" i="27" s="1"/>
  <c r="L975" i="27"/>
  <c r="O975" i="27" s="1"/>
  <c r="K975" i="27"/>
  <c r="N975" i="27" s="1"/>
  <c r="L974" i="27"/>
  <c r="O974" i="27" s="1"/>
  <c r="K974" i="27"/>
  <c r="N974" i="27" s="1"/>
  <c r="L973" i="27"/>
  <c r="O973" i="27" s="1"/>
  <c r="K973" i="27"/>
  <c r="N973" i="27" s="1"/>
  <c r="N972" i="27"/>
  <c r="L972" i="27"/>
  <c r="O972" i="27" s="1"/>
  <c r="K972" i="27"/>
  <c r="L971" i="27"/>
  <c r="O971" i="27" s="1"/>
  <c r="K971" i="27"/>
  <c r="N971" i="27" s="1"/>
  <c r="N970" i="27"/>
  <c r="L970" i="27"/>
  <c r="O970" i="27" s="1"/>
  <c r="K970" i="27"/>
  <c r="L969" i="27"/>
  <c r="O969" i="27" s="1"/>
  <c r="K969" i="27"/>
  <c r="N969" i="27" s="1"/>
  <c r="L968" i="27"/>
  <c r="O968" i="27" s="1"/>
  <c r="K968" i="27"/>
  <c r="N968" i="27" s="1"/>
  <c r="L967" i="27"/>
  <c r="O967" i="27" s="1"/>
  <c r="K967" i="27"/>
  <c r="N967" i="27" s="1"/>
  <c r="J966" i="27"/>
  <c r="M966" i="27" s="1"/>
  <c r="J965" i="27"/>
  <c r="M965" i="27" s="1"/>
  <c r="J964" i="27"/>
  <c r="M964" i="27" s="1"/>
  <c r="J963" i="27"/>
  <c r="M963" i="27" s="1"/>
  <c r="J962" i="27"/>
  <c r="M962" i="27" s="1"/>
  <c r="J961" i="27"/>
  <c r="M961" i="27" s="1"/>
  <c r="J960" i="27"/>
  <c r="M960" i="27" s="1"/>
  <c r="J959" i="27"/>
  <c r="M959" i="27" s="1"/>
  <c r="J958" i="27"/>
  <c r="M958" i="27" s="1"/>
  <c r="J957" i="27"/>
  <c r="M957" i="27" s="1"/>
  <c r="J956" i="27"/>
  <c r="M956" i="27" s="1"/>
  <c r="J955" i="27"/>
  <c r="M955" i="27" s="1"/>
  <c r="J954" i="27"/>
  <c r="M954" i="27" s="1"/>
  <c r="J953" i="27"/>
  <c r="M953" i="27" s="1"/>
  <c r="J952" i="27"/>
  <c r="M952" i="27" s="1"/>
  <c r="J951" i="27"/>
  <c r="M951" i="27" s="1"/>
  <c r="J950" i="27"/>
  <c r="M950" i="27" s="1"/>
  <c r="J949" i="27"/>
  <c r="M949" i="27" s="1"/>
  <c r="J948" i="27"/>
  <c r="M948" i="27" s="1"/>
  <c r="J947" i="27"/>
  <c r="M947" i="27" s="1"/>
  <c r="J946" i="27"/>
  <c r="M946" i="27" s="1"/>
  <c r="J945" i="27"/>
  <c r="M945" i="27" s="1"/>
  <c r="J944" i="27"/>
  <c r="M944" i="27" s="1"/>
  <c r="J943" i="27"/>
  <c r="M943" i="27" s="1"/>
  <c r="J942" i="27"/>
  <c r="M942" i="27" s="1"/>
  <c r="J941" i="27"/>
  <c r="M941" i="27" s="1"/>
  <c r="J940" i="27"/>
  <c r="M940" i="27" s="1"/>
  <c r="J939" i="27"/>
  <c r="M939" i="27" s="1"/>
  <c r="J938" i="27"/>
  <c r="M938" i="27" s="1"/>
  <c r="J937" i="27"/>
  <c r="M937" i="27" s="1"/>
  <c r="J936" i="27"/>
  <c r="M936" i="27" s="1"/>
  <c r="J935" i="27"/>
  <c r="M935" i="27" s="1"/>
  <c r="J934" i="27"/>
  <c r="M934" i="27" s="1"/>
  <c r="M933" i="27"/>
  <c r="J933" i="27"/>
  <c r="J932" i="27"/>
  <c r="M932" i="27" s="1"/>
  <c r="J931" i="27"/>
  <c r="M931" i="27" s="1"/>
  <c r="J930" i="27"/>
  <c r="M930" i="27" s="1"/>
  <c r="M929" i="27"/>
  <c r="J929" i="27"/>
  <c r="J928" i="27"/>
  <c r="M928" i="27" s="1"/>
  <c r="J927" i="27"/>
  <c r="M927" i="27" s="1"/>
  <c r="J926" i="27"/>
  <c r="M926" i="27" s="1"/>
  <c r="M925" i="27"/>
  <c r="J925" i="27"/>
  <c r="J924" i="27"/>
  <c r="M924" i="27" s="1"/>
  <c r="J923" i="27"/>
  <c r="M923" i="27" s="1"/>
  <c r="J922" i="27"/>
  <c r="M922" i="27" s="1"/>
  <c r="J921" i="27"/>
  <c r="M921" i="27" s="1"/>
  <c r="J920" i="27"/>
  <c r="M920" i="27" s="1"/>
  <c r="J919" i="27"/>
  <c r="M919" i="27" s="1"/>
  <c r="J918" i="27"/>
  <c r="M918" i="27" s="1"/>
  <c r="J917" i="27"/>
  <c r="M917" i="27" s="1"/>
  <c r="J916" i="27"/>
  <c r="M916" i="27" s="1"/>
  <c r="J915" i="27"/>
  <c r="M915" i="27" s="1"/>
  <c r="J914" i="27"/>
  <c r="M914" i="27" s="1"/>
  <c r="J913" i="27"/>
  <c r="M913" i="27" s="1"/>
  <c r="J912" i="27"/>
  <c r="M912" i="27" s="1"/>
  <c r="J911" i="27"/>
  <c r="M911" i="27" s="1"/>
  <c r="J910" i="27"/>
  <c r="M910" i="27" s="1"/>
  <c r="J909" i="27"/>
  <c r="M909" i="27" s="1"/>
  <c r="J908" i="27"/>
  <c r="M908" i="27" s="1"/>
  <c r="L907" i="27"/>
  <c r="O907" i="27" s="1"/>
  <c r="K907" i="27"/>
  <c r="N907" i="27" s="1"/>
  <c r="L906" i="27"/>
  <c r="O906" i="27" s="1"/>
  <c r="K906" i="27"/>
  <c r="N906" i="27" s="1"/>
  <c r="N905" i="27"/>
  <c r="L905" i="27"/>
  <c r="O905" i="27" s="1"/>
  <c r="K905" i="27"/>
  <c r="N904" i="27"/>
  <c r="L904" i="27"/>
  <c r="O904" i="27" s="1"/>
  <c r="K904" i="27"/>
  <c r="L903" i="27"/>
  <c r="O903" i="27" s="1"/>
  <c r="K903" i="27"/>
  <c r="N903" i="27" s="1"/>
  <c r="L902" i="27"/>
  <c r="O902" i="27" s="1"/>
  <c r="K902" i="27"/>
  <c r="N902" i="27" s="1"/>
  <c r="N901" i="27"/>
  <c r="L901" i="27"/>
  <c r="O901" i="27" s="1"/>
  <c r="K901" i="27"/>
  <c r="N900" i="27"/>
  <c r="L900" i="27"/>
  <c r="O900" i="27" s="1"/>
  <c r="K900" i="27"/>
  <c r="L899" i="27"/>
  <c r="O899" i="27" s="1"/>
  <c r="K899" i="27"/>
  <c r="N899" i="27" s="1"/>
  <c r="L898" i="27"/>
  <c r="O898" i="27" s="1"/>
  <c r="K898" i="27"/>
  <c r="N898" i="27" s="1"/>
  <c r="N897" i="27"/>
  <c r="L897" i="27"/>
  <c r="O897" i="27" s="1"/>
  <c r="K897" i="27"/>
  <c r="N896" i="27"/>
  <c r="L896" i="27"/>
  <c r="O896" i="27" s="1"/>
  <c r="K896" i="27"/>
  <c r="L895" i="27"/>
  <c r="O895" i="27" s="1"/>
  <c r="K895" i="27"/>
  <c r="N895" i="27" s="1"/>
  <c r="L894" i="27"/>
  <c r="O894" i="27" s="1"/>
  <c r="K894" i="27"/>
  <c r="N894" i="27" s="1"/>
  <c r="N893" i="27"/>
  <c r="L893" i="27"/>
  <c r="O893" i="27" s="1"/>
  <c r="K893" i="27"/>
  <c r="N892" i="27"/>
  <c r="L892" i="27"/>
  <c r="O892" i="27" s="1"/>
  <c r="K892" i="27"/>
  <c r="L891" i="27"/>
  <c r="O891" i="27" s="1"/>
  <c r="K891" i="27"/>
  <c r="N891" i="27" s="1"/>
  <c r="L890" i="27"/>
  <c r="O890" i="27" s="1"/>
  <c r="K890" i="27"/>
  <c r="N890" i="27" s="1"/>
  <c r="L889" i="27"/>
  <c r="O889" i="27" s="1"/>
  <c r="K889" i="27"/>
  <c r="N889" i="27" s="1"/>
  <c r="L888" i="27"/>
  <c r="O888" i="27" s="1"/>
  <c r="K888" i="27"/>
  <c r="N888" i="27" s="1"/>
  <c r="L887" i="27"/>
  <c r="O887" i="27" s="1"/>
  <c r="K887" i="27"/>
  <c r="N887" i="27" s="1"/>
  <c r="N886" i="27"/>
  <c r="L886" i="27"/>
  <c r="O886" i="27" s="1"/>
  <c r="K886" i="27"/>
  <c r="N885" i="27"/>
  <c r="L885" i="27"/>
  <c r="O885" i="27" s="1"/>
  <c r="K885" i="27"/>
  <c r="L884" i="27"/>
  <c r="O884" i="27" s="1"/>
  <c r="K884" i="27"/>
  <c r="N884" i="27" s="1"/>
  <c r="L883" i="27"/>
  <c r="O883" i="27" s="1"/>
  <c r="K883" i="27"/>
  <c r="N883" i="27" s="1"/>
  <c r="N882" i="27"/>
  <c r="L882" i="27"/>
  <c r="O882" i="27" s="1"/>
  <c r="K882" i="27"/>
  <c r="J881" i="27"/>
  <c r="M881" i="27" s="1"/>
  <c r="J880" i="27"/>
  <c r="M880" i="27" s="1"/>
  <c r="J879" i="27"/>
  <c r="M879" i="27" s="1"/>
  <c r="J878" i="27"/>
  <c r="M878" i="27" s="1"/>
  <c r="J877" i="27"/>
  <c r="M877" i="27" s="1"/>
  <c r="J876" i="27"/>
  <c r="M876" i="27" s="1"/>
  <c r="J875" i="27"/>
  <c r="M875" i="27" s="1"/>
  <c r="J874" i="27"/>
  <c r="M874" i="27" s="1"/>
  <c r="J873" i="27"/>
  <c r="M873" i="27" s="1"/>
  <c r="J872" i="27"/>
  <c r="M872" i="27" s="1"/>
  <c r="J871" i="27"/>
  <c r="M871" i="27" s="1"/>
  <c r="J870" i="27"/>
  <c r="M870" i="27" s="1"/>
  <c r="J869" i="27"/>
  <c r="M869" i="27" s="1"/>
  <c r="J868" i="27"/>
  <c r="M868" i="27" s="1"/>
  <c r="J867" i="27"/>
  <c r="M867" i="27" s="1"/>
  <c r="J866" i="27"/>
  <c r="M866" i="27" s="1"/>
  <c r="J865" i="27"/>
  <c r="M865" i="27" s="1"/>
  <c r="J864" i="27"/>
  <c r="M864" i="27" s="1"/>
  <c r="J863" i="27"/>
  <c r="M863" i="27" s="1"/>
  <c r="J862" i="27"/>
  <c r="M862" i="27" s="1"/>
  <c r="J861" i="27"/>
  <c r="M861" i="27" s="1"/>
  <c r="J860" i="27"/>
  <c r="M860" i="27" s="1"/>
  <c r="J859" i="27"/>
  <c r="M859" i="27" s="1"/>
  <c r="J858" i="27"/>
  <c r="M858" i="27" s="1"/>
  <c r="J857" i="27"/>
  <c r="M857" i="27" s="1"/>
  <c r="J856" i="27"/>
  <c r="M856" i="27" s="1"/>
  <c r="M855" i="27"/>
  <c r="J855" i="27"/>
  <c r="M854" i="27"/>
  <c r="J854" i="27"/>
  <c r="M853" i="27"/>
  <c r="J853" i="27"/>
  <c r="M852" i="27"/>
  <c r="J852" i="27"/>
  <c r="M851" i="27"/>
  <c r="J851" i="27"/>
  <c r="M850" i="27"/>
  <c r="J850" i="27"/>
  <c r="M849" i="27"/>
  <c r="J849" i="27"/>
  <c r="M848" i="27"/>
  <c r="J848" i="27"/>
  <c r="M847" i="27"/>
  <c r="J847" i="27"/>
  <c r="M846" i="27"/>
  <c r="J846" i="27"/>
  <c r="M845" i="27"/>
  <c r="J845" i="27"/>
  <c r="M844" i="27"/>
  <c r="J844" i="27"/>
  <c r="M843" i="27"/>
  <c r="J843" i="27"/>
  <c r="M842" i="27"/>
  <c r="J842" i="27"/>
  <c r="M841" i="27"/>
  <c r="J841" i="27"/>
  <c r="M840" i="27"/>
  <c r="J840" i="27"/>
  <c r="M839" i="27"/>
  <c r="J839" i="27"/>
  <c r="M838" i="27"/>
  <c r="J838" i="27"/>
  <c r="M837" i="27"/>
  <c r="J837" i="27"/>
  <c r="M836" i="27"/>
  <c r="J836" i="27"/>
  <c r="M835" i="27"/>
  <c r="J835" i="27"/>
  <c r="M834" i="27"/>
  <c r="J834" i="27"/>
  <c r="M833" i="27"/>
  <c r="J833" i="27"/>
  <c r="M832" i="27"/>
  <c r="J832" i="27"/>
  <c r="M831" i="27"/>
  <c r="J831" i="27"/>
  <c r="M830" i="27"/>
  <c r="J830" i="27"/>
  <c r="M829" i="27"/>
  <c r="J829" i="27"/>
  <c r="M828" i="27"/>
  <c r="J828" i="27"/>
  <c r="M827" i="27"/>
  <c r="J827" i="27"/>
  <c r="M826" i="27"/>
  <c r="J826" i="27"/>
  <c r="M825" i="27"/>
  <c r="J825" i="27"/>
  <c r="M824" i="27"/>
  <c r="J824" i="27"/>
  <c r="O823" i="27"/>
  <c r="L823" i="27"/>
  <c r="K823" i="27"/>
  <c r="N823" i="27" s="1"/>
  <c r="L822" i="27"/>
  <c r="O822" i="27" s="1"/>
  <c r="K822" i="27"/>
  <c r="N822" i="27" s="1"/>
  <c r="O821" i="27"/>
  <c r="L821" i="27"/>
  <c r="K821" i="27"/>
  <c r="N821" i="27" s="1"/>
  <c r="L820" i="27"/>
  <c r="O820" i="27" s="1"/>
  <c r="K820" i="27"/>
  <c r="N820" i="27" s="1"/>
  <c r="O819" i="27"/>
  <c r="L819" i="27"/>
  <c r="K819" i="27"/>
  <c r="N819" i="27" s="1"/>
  <c r="L818" i="27"/>
  <c r="O818" i="27" s="1"/>
  <c r="K818" i="27"/>
  <c r="N818" i="27" s="1"/>
  <c r="O817" i="27"/>
  <c r="L817" i="27"/>
  <c r="K817" i="27"/>
  <c r="N817" i="27" s="1"/>
  <c r="L816" i="27"/>
  <c r="O816" i="27" s="1"/>
  <c r="K816" i="27"/>
  <c r="N816" i="27" s="1"/>
  <c r="O815" i="27"/>
  <c r="L815" i="27"/>
  <c r="K815" i="27"/>
  <c r="N815" i="27" s="1"/>
  <c r="L814" i="27"/>
  <c r="O814" i="27" s="1"/>
  <c r="K814" i="27"/>
  <c r="N814" i="27" s="1"/>
  <c r="O813" i="27"/>
  <c r="L813" i="27"/>
  <c r="K813" i="27"/>
  <c r="N813" i="27" s="1"/>
  <c r="L812" i="27"/>
  <c r="O812" i="27" s="1"/>
  <c r="K812" i="27"/>
  <c r="N812" i="27" s="1"/>
  <c r="O811" i="27"/>
  <c r="L811" i="27"/>
  <c r="K811" i="27"/>
  <c r="N811" i="27" s="1"/>
  <c r="L810" i="27"/>
  <c r="O810" i="27" s="1"/>
  <c r="K810" i="27"/>
  <c r="N810" i="27" s="1"/>
  <c r="O809" i="27"/>
  <c r="L809" i="27"/>
  <c r="K809" i="27"/>
  <c r="N809" i="27" s="1"/>
  <c r="L808" i="27"/>
  <c r="O808" i="27" s="1"/>
  <c r="K808" i="27"/>
  <c r="N808" i="27" s="1"/>
  <c r="O807" i="27"/>
  <c r="L807" i="27"/>
  <c r="K807" i="27"/>
  <c r="N807" i="27" s="1"/>
  <c r="L806" i="27"/>
  <c r="O806" i="27" s="1"/>
  <c r="K806" i="27"/>
  <c r="N806" i="27" s="1"/>
  <c r="O805" i="27"/>
  <c r="L805" i="27"/>
  <c r="K805" i="27"/>
  <c r="N805" i="27" s="1"/>
  <c r="L804" i="27"/>
  <c r="O804" i="27" s="1"/>
  <c r="K804" i="27"/>
  <c r="N804" i="27" s="1"/>
  <c r="O803" i="27"/>
  <c r="L803" i="27"/>
  <c r="K803" i="27"/>
  <c r="N803" i="27" s="1"/>
  <c r="L802" i="27"/>
  <c r="O802" i="27" s="1"/>
  <c r="K802" i="27"/>
  <c r="N802" i="27" s="1"/>
  <c r="O801" i="27"/>
  <c r="L801" i="27"/>
  <c r="K801" i="27"/>
  <c r="N801" i="27" s="1"/>
  <c r="L800" i="27"/>
  <c r="O800" i="27" s="1"/>
  <c r="K800" i="27"/>
  <c r="N800" i="27" s="1"/>
  <c r="O799" i="27"/>
  <c r="L799" i="27"/>
  <c r="K799" i="27"/>
  <c r="N799" i="27" s="1"/>
  <c r="L798" i="27"/>
  <c r="O798" i="27" s="1"/>
  <c r="K798" i="27"/>
  <c r="N798" i="27" s="1"/>
  <c r="O797" i="27"/>
  <c r="L797" i="27"/>
  <c r="K797" i="27"/>
  <c r="N797" i="27" s="1"/>
  <c r="L796" i="27"/>
  <c r="O796" i="27" s="1"/>
  <c r="K796" i="27"/>
  <c r="N796" i="27" s="1"/>
  <c r="O795" i="27"/>
  <c r="L795" i="27"/>
  <c r="K795" i="27"/>
  <c r="N795" i="27" s="1"/>
  <c r="L794" i="27"/>
  <c r="O794" i="27" s="1"/>
  <c r="K794" i="27"/>
  <c r="N794" i="27" s="1"/>
  <c r="O793" i="27"/>
  <c r="L793" i="27"/>
  <c r="K793" i="27"/>
  <c r="N793" i="27" s="1"/>
  <c r="L792" i="27"/>
  <c r="O792" i="27" s="1"/>
  <c r="K792" i="27"/>
  <c r="N792" i="27" s="1"/>
  <c r="O791" i="27"/>
  <c r="L791" i="27"/>
  <c r="K791" i="27"/>
  <c r="N791" i="27" s="1"/>
  <c r="L790" i="27"/>
  <c r="O790" i="27" s="1"/>
  <c r="K790" i="27"/>
  <c r="N790" i="27" s="1"/>
  <c r="O789" i="27"/>
  <c r="L789" i="27"/>
  <c r="K789" i="27"/>
  <c r="N789" i="27" s="1"/>
  <c r="L788" i="27"/>
  <c r="O788" i="27" s="1"/>
  <c r="K788" i="27"/>
  <c r="N788" i="27" s="1"/>
  <c r="M787" i="27"/>
  <c r="J787" i="27"/>
  <c r="M786" i="27"/>
  <c r="J786" i="27"/>
  <c r="M785" i="27"/>
  <c r="J785" i="27"/>
  <c r="M784" i="27"/>
  <c r="J784" i="27"/>
  <c r="M783" i="27"/>
  <c r="J783" i="27"/>
  <c r="M782" i="27"/>
  <c r="J782" i="27"/>
  <c r="M781" i="27"/>
  <c r="J781" i="27"/>
  <c r="M780" i="27"/>
  <c r="J780" i="27"/>
  <c r="M779" i="27"/>
  <c r="J779" i="27"/>
  <c r="M778" i="27"/>
  <c r="J778" i="27"/>
  <c r="M777" i="27"/>
  <c r="J777" i="27"/>
  <c r="M776" i="27"/>
  <c r="J776" i="27"/>
  <c r="M775" i="27"/>
  <c r="J775" i="27"/>
  <c r="M774" i="27"/>
  <c r="J774" i="27"/>
  <c r="M773" i="27"/>
  <c r="J773" i="27"/>
  <c r="M772" i="27"/>
  <c r="J772" i="27"/>
  <c r="M771" i="27"/>
  <c r="J771" i="27"/>
  <c r="M770" i="27"/>
  <c r="J770" i="27"/>
  <c r="M769" i="27"/>
  <c r="J769" i="27"/>
  <c r="M768" i="27"/>
  <c r="J768" i="27"/>
  <c r="M767" i="27"/>
  <c r="J767" i="27"/>
  <c r="M766" i="27"/>
  <c r="J766" i="27"/>
  <c r="M765" i="27"/>
  <c r="J765" i="27"/>
  <c r="M764" i="27"/>
  <c r="J764" i="27"/>
  <c r="M763" i="27"/>
  <c r="J763" i="27"/>
  <c r="M762" i="27"/>
  <c r="J762" i="27"/>
  <c r="M761" i="27"/>
  <c r="J761" i="27"/>
  <c r="M760" i="27"/>
  <c r="J760" i="27"/>
  <c r="M759" i="27"/>
  <c r="J759" i="27"/>
  <c r="M758" i="27"/>
  <c r="J758" i="27"/>
  <c r="M757" i="27"/>
  <c r="J757" i="27"/>
  <c r="M756" i="27"/>
  <c r="J756" i="27"/>
  <c r="M755" i="27"/>
  <c r="J755" i="27"/>
  <c r="M754" i="27"/>
  <c r="J754" i="27"/>
  <c r="L753" i="27"/>
  <c r="O753" i="27" s="1"/>
  <c r="J753" i="27"/>
  <c r="M753" i="27" s="1"/>
  <c r="L752" i="27"/>
  <c r="O752" i="27" s="1"/>
  <c r="J752" i="27"/>
  <c r="M752" i="27" s="1"/>
  <c r="L751" i="27"/>
  <c r="O751" i="27" s="1"/>
  <c r="J751" i="27"/>
  <c r="M751" i="27" s="1"/>
  <c r="L750" i="27"/>
  <c r="O750" i="27" s="1"/>
  <c r="J750" i="27"/>
  <c r="M750" i="27" s="1"/>
  <c r="L749" i="27"/>
  <c r="O749" i="27" s="1"/>
  <c r="J749" i="27"/>
  <c r="M749" i="27" s="1"/>
  <c r="L748" i="27"/>
  <c r="O748" i="27" s="1"/>
  <c r="J748" i="27"/>
  <c r="M748" i="27" s="1"/>
  <c r="L747" i="27"/>
  <c r="O747" i="27" s="1"/>
  <c r="J747" i="27"/>
  <c r="M747" i="27" s="1"/>
  <c r="L746" i="27"/>
  <c r="O746" i="27" s="1"/>
  <c r="J746" i="27"/>
  <c r="M746" i="27" s="1"/>
  <c r="O745" i="27"/>
  <c r="L745" i="27"/>
  <c r="J745" i="27"/>
  <c r="M745" i="27" s="1"/>
  <c r="O744" i="27"/>
  <c r="L744" i="27"/>
  <c r="J744" i="27"/>
  <c r="M744" i="27" s="1"/>
  <c r="L743" i="27"/>
  <c r="O743" i="27" s="1"/>
  <c r="J743" i="27"/>
  <c r="M743" i="27" s="1"/>
  <c r="L742" i="27"/>
  <c r="O742" i="27" s="1"/>
  <c r="J742" i="27"/>
  <c r="M742" i="27" s="1"/>
  <c r="O741" i="27"/>
  <c r="L741" i="27"/>
  <c r="K741" i="27"/>
  <c r="N741" i="27" s="1"/>
  <c r="L740" i="27"/>
  <c r="O740" i="27" s="1"/>
  <c r="K740" i="27"/>
  <c r="N740" i="27" s="1"/>
  <c r="O739" i="27"/>
  <c r="L739" i="27"/>
  <c r="K739" i="27"/>
  <c r="N739" i="27" s="1"/>
  <c r="L738" i="27"/>
  <c r="O738" i="27" s="1"/>
  <c r="K738" i="27"/>
  <c r="N738" i="27" s="1"/>
  <c r="O737" i="27"/>
  <c r="L737" i="27"/>
  <c r="K737" i="27"/>
  <c r="N737" i="27" s="1"/>
  <c r="L736" i="27"/>
  <c r="O736" i="27" s="1"/>
  <c r="K736" i="27"/>
  <c r="N736" i="27" s="1"/>
  <c r="O735" i="27"/>
  <c r="L735" i="27"/>
  <c r="K735" i="27"/>
  <c r="N735" i="27" s="1"/>
  <c r="L734" i="27"/>
  <c r="O734" i="27" s="1"/>
  <c r="K734" i="27"/>
  <c r="N734" i="27" s="1"/>
  <c r="O733" i="27"/>
  <c r="L733" i="27"/>
  <c r="K733" i="27"/>
  <c r="N733" i="27" s="1"/>
  <c r="L732" i="27"/>
  <c r="O732" i="27" s="1"/>
  <c r="K732" i="27"/>
  <c r="N732" i="27" s="1"/>
  <c r="O731" i="27"/>
  <c r="L731" i="27"/>
  <c r="K731" i="27"/>
  <c r="N731" i="27" s="1"/>
  <c r="L730" i="27"/>
  <c r="O730" i="27" s="1"/>
  <c r="K730" i="27"/>
  <c r="N730" i="27" s="1"/>
  <c r="L729" i="27"/>
  <c r="O729" i="27" s="1"/>
  <c r="J729" i="27"/>
  <c r="M729" i="27" s="1"/>
  <c r="L728" i="27"/>
  <c r="O728" i="27" s="1"/>
  <c r="J728" i="27"/>
  <c r="M728" i="27" s="1"/>
  <c r="O727" i="27"/>
  <c r="L727" i="27"/>
  <c r="J727" i="27"/>
  <c r="M727" i="27" s="1"/>
  <c r="O726" i="27"/>
  <c r="L726" i="27"/>
  <c r="J726" i="27"/>
  <c r="M726" i="27" s="1"/>
  <c r="L725" i="27"/>
  <c r="O725" i="27" s="1"/>
  <c r="J725" i="27"/>
  <c r="M725" i="27" s="1"/>
  <c r="L724" i="27"/>
  <c r="O724" i="27" s="1"/>
  <c r="J724" i="27"/>
  <c r="M724" i="27" s="1"/>
  <c r="O723" i="27"/>
  <c r="L723" i="27"/>
  <c r="J723" i="27"/>
  <c r="M723" i="27" s="1"/>
  <c r="O722" i="27"/>
  <c r="L722" i="27"/>
  <c r="J722" i="27"/>
  <c r="M722" i="27" s="1"/>
  <c r="L721" i="27"/>
  <c r="O721" i="27" s="1"/>
  <c r="J721" i="27"/>
  <c r="M721" i="27" s="1"/>
  <c r="L720" i="27"/>
  <c r="O720" i="27" s="1"/>
  <c r="J720" i="27"/>
  <c r="M720" i="27" s="1"/>
  <c r="O719" i="27"/>
  <c r="L719" i="27"/>
  <c r="J719" i="27"/>
  <c r="M719" i="27" s="1"/>
  <c r="O718" i="27"/>
  <c r="L718" i="27"/>
  <c r="J718" i="27"/>
  <c r="M718" i="27" s="1"/>
  <c r="M717" i="27"/>
  <c r="J717" i="27"/>
  <c r="M716" i="27"/>
  <c r="J716" i="27"/>
  <c r="M715" i="27"/>
  <c r="J715" i="27"/>
  <c r="M714" i="27"/>
  <c r="J714" i="27"/>
  <c r="M713" i="27"/>
  <c r="J713" i="27"/>
  <c r="M712" i="27"/>
  <c r="J712" i="27"/>
  <c r="M711" i="27"/>
  <c r="J711" i="27"/>
  <c r="M710" i="27"/>
  <c r="J710" i="27"/>
  <c r="M709" i="27"/>
  <c r="J709" i="27"/>
  <c r="M708" i="27"/>
  <c r="J708" i="27"/>
  <c r="M707" i="27"/>
  <c r="J707" i="27"/>
  <c r="M706" i="27"/>
  <c r="J706" i="27"/>
  <c r="M705" i="27"/>
  <c r="J705" i="27"/>
  <c r="M704" i="27"/>
  <c r="J704" i="27"/>
  <c r="M703" i="27"/>
  <c r="J703" i="27"/>
  <c r="M702" i="27"/>
  <c r="J702" i="27"/>
  <c r="M701" i="27"/>
  <c r="J701" i="27"/>
  <c r="M700" i="27"/>
  <c r="J700" i="27"/>
  <c r="M699" i="27"/>
  <c r="J699" i="27"/>
  <c r="M698" i="27"/>
  <c r="J698" i="27"/>
  <c r="M697" i="27"/>
  <c r="J697" i="27"/>
  <c r="M696" i="27"/>
  <c r="J696" i="27"/>
  <c r="M695" i="27"/>
  <c r="J695" i="27"/>
  <c r="M694" i="27"/>
  <c r="J694" i="27"/>
  <c r="M693" i="27"/>
  <c r="J693" i="27"/>
  <c r="M692" i="27"/>
  <c r="J692" i="27"/>
  <c r="M691" i="27"/>
  <c r="J691" i="27"/>
  <c r="M690" i="27"/>
  <c r="J690" i="27"/>
  <c r="M689" i="27"/>
  <c r="J689" i="27"/>
  <c r="M688" i="27"/>
  <c r="J688" i="27"/>
  <c r="M687" i="27"/>
  <c r="J687" i="27"/>
  <c r="M686" i="27"/>
  <c r="J686" i="27"/>
  <c r="M685" i="27"/>
  <c r="J685" i="27"/>
  <c r="M684" i="27"/>
  <c r="J684" i="27"/>
  <c r="M683" i="27"/>
  <c r="J683" i="27"/>
  <c r="O682" i="27"/>
  <c r="L682" i="27"/>
  <c r="K682" i="27"/>
  <c r="N682" i="27" s="1"/>
  <c r="L681" i="27"/>
  <c r="O681" i="27" s="1"/>
  <c r="K681" i="27"/>
  <c r="N681" i="27" s="1"/>
  <c r="O680" i="27"/>
  <c r="L680" i="27"/>
  <c r="K680" i="27"/>
  <c r="N680" i="27" s="1"/>
  <c r="L679" i="27"/>
  <c r="O679" i="27" s="1"/>
  <c r="K679" i="27"/>
  <c r="N679" i="27" s="1"/>
  <c r="O678" i="27"/>
  <c r="L678" i="27"/>
  <c r="K678" i="27"/>
  <c r="N678" i="27" s="1"/>
  <c r="L677" i="27"/>
  <c r="O677" i="27" s="1"/>
  <c r="K677" i="27"/>
  <c r="N677" i="27" s="1"/>
  <c r="O676" i="27"/>
  <c r="L676" i="27"/>
  <c r="K676" i="27"/>
  <c r="N676" i="27" s="1"/>
  <c r="L675" i="27"/>
  <c r="O675" i="27" s="1"/>
  <c r="K675" i="27"/>
  <c r="N675" i="27" s="1"/>
  <c r="O674" i="27"/>
  <c r="L674" i="27"/>
  <c r="K674" i="27"/>
  <c r="N674" i="27" s="1"/>
  <c r="L673" i="27"/>
  <c r="O673" i="27" s="1"/>
  <c r="K673" i="27"/>
  <c r="N673" i="27" s="1"/>
  <c r="O672" i="27"/>
  <c r="L672" i="27"/>
  <c r="K672" i="27"/>
  <c r="N672" i="27" s="1"/>
  <c r="L671" i="27"/>
  <c r="O671" i="27" s="1"/>
  <c r="K671" i="27"/>
  <c r="N671" i="27" s="1"/>
  <c r="O670" i="27"/>
  <c r="L670" i="27"/>
  <c r="K670" i="27"/>
  <c r="N670" i="27" s="1"/>
  <c r="L669" i="27"/>
  <c r="O669" i="27" s="1"/>
  <c r="K669" i="27"/>
  <c r="N669" i="27" s="1"/>
  <c r="O668" i="27"/>
  <c r="L668" i="27"/>
  <c r="K668" i="27"/>
  <c r="N668" i="27" s="1"/>
  <c r="L667" i="27"/>
  <c r="O667" i="27" s="1"/>
  <c r="K667" i="27"/>
  <c r="N667" i="27" s="1"/>
  <c r="O666" i="27"/>
  <c r="L666" i="27"/>
  <c r="K666" i="27"/>
  <c r="N666" i="27" s="1"/>
  <c r="L665" i="27"/>
  <c r="O665" i="27" s="1"/>
  <c r="K665" i="27"/>
  <c r="N665" i="27" s="1"/>
  <c r="O664" i="27"/>
  <c r="L664" i="27"/>
  <c r="K664" i="27"/>
  <c r="N664" i="27" s="1"/>
  <c r="L663" i="27"/>
  <c r="O663" i="27" s="1"/>
  <c r="K663" i="27"/>
  <c r="N663" i="27" s="1"/>
  <c r="O662" i="27"/>
  <c r="L662" i="27"/>
  <c r="K662" i="27"/>
  <c r="N662" i="27" s="1"/>
  <c r="L661" i="27"/>
  <c r="O661" i="27" s="1"/>
  <c r="K661" i="27"/>
  <c r="N661" i="27" s="1"/>
  <c r="O660" i="27"/>
  <c r="L660" i="27"/>
  <c r="K660" i="27"/>
  <c r="N660" i="27" s="1"/>
  <c r="L659" i="27"/>
  <c r="O659" i="27" s="1"/>
  <c r="K659" i="27"/>
  <c r="N659" i="27" s="1"/>
  <c r="O658" i="27"/>
  <c r="L658" i="27"/>
  <c r="K658" i="27"/>
  <c r="N658" i="27" s="1"/>
  <c r="L657" i="27"/>
  <c r="O657" i="27" s="1"/>
  <c r="K657" i="27"/>
  <c r="N657" i="27" s="1"/>
  <c r="O656" i="27"/>
  <c r="L656" i="27"/>
  <c r="K656" i="27"/>
  <c r="N656" i="27" s="1"/>
  <c r="L655" i="27"/>
  <c r="O655" i="27" s="1"/>
  <c r="K655" i="27"/>
  <c r="N655" i="27" s="1"/>
  <c r="O654" i="27"/>
  <c r="L654" i="27"/>
  <c r="K654" i="27"/>
  <c r="N654" i="27" s="1"/>
  <c r="L653" i="27"/>
  <c r="O653" i="27" s="1"/>
  <c r="K653" i="27"/>
  <c r="N653" i="27" s="1"/>
  <c r="O652" i="27"/>
  <c r="L652" i="27"/>
  <c r="K652" i="27"/>
  <c r="N652" i="27" s="1"/>
  <c r="L651" i="27"/>
  <c r="O651" i="27" s="1"/>
  <c r="K651" i="27"/>
  <c r="N651" i="27" s="1"/>
  <c r="O650" i="27"/>
  <c r="L650" i="27"/>
  <c r="K650" i="27"/>
  <c r="N650" i="27" s="1"/>
  <c r="L649" i="27"/>
  <c r="O649" i="27" s="1"/>
  <c r="K649" i="27"/>
  <c r="N649" i="27" s="1"/>
  <c r="O648" i="27"/>
  <c r="L648" i="27"/>
  <c r="K648" i="27"/>
  <c r="N648" i="27" s="1"/>
  <c r="L647" i="27"/>
  <c r="O647" i="27" s="1"/>
  <c r="K647" i="27"/>
  <c r="N647" i="27" s="1"/>
  <c r="M646" i="27"/>
  <c r="J646" i="27"/>
  <c r="M645" i="27"/>
  <c r="J645" i="27"/>
  <c r="M644" i="27"/>
  <c r="J644" i="27"/>
  <c r="M643" i="27"/>
  <c r="J643" i="27"/>
  <c r="M642" i="27"/>
  <c r="J642" i="27"/>
  <c r="M641" i="27"/>
  <c r="J641" i="27"/>
  <c r="M640" i="27"/>
  <c r="J640" i="27"/>
  <c r="M639" i="27"/>
  <c r="J639" i="27"/>
  <c r="M638" i="27"/>
  <c r="J638" i="27"/>
  <c r="M637" i="27"/>
  <c r="J637" i="27"/>
  <c r="M636" i="27"/>
  <c r="J636" i="27"/>
  <c r="M635" i="27"/>
  <c r="J635" i="27"/>
  <c r="M634" i="27"/>
  <c r="J634" i="27"/>
  <c r="M633" i="27"/>
  <c r="J633" i="27"/>
  <c r="M632" i="27"/>
  <c r="J632" i="27"/>
  <c r="M631" i="27"/>
  <c r="J631" i="27"/>
  <c r="M630" i="27"/>
  <c r="J630" i="27"/>
  <c r="M629" i="27"/>
  <c r="J629" i="27"/>
  <c r="M628" i="27"/>
  <c r="J628" i="27"/>
  <c r="M627" i="27"/>
  <c r="J627" i="27"/>
  <c r="M626" i="27"/>
  <c r="J626" i="27"/>
  <c r="M625" i="27"/>
  <c r="J625" i="27"/>
  <c r="M624" i="27"/>
  <c r="J624" i="27"/>
  <c r="M623" i="27"/>
  <c r="J623" i="27"/>
  <c r="M622" i="27"/>
  <c r="J622" i="27"/>
  <c r="M621" i="27"/>
  <c r="J621" i="27"/>
  <c r="M620" i="27"/>
  <c r="J620" i="27"/>
  <c r="M619" i="27"/>
  <c r="J619" i="27"/>
  <c r="M618" i="27"/>
  <c r="J618" i="27"/>
  <c r="M617" i="27"/>
  <c r="J617" i="27"/>
  <c r="M616" i="27"/>
  <c r="J616" i="27"/>
  <c r="M615" i="27"/>
  <c r="J615" i="27"/>
  <c r="M614" i="27"/>
  <c r="J614" i="27"/>
  <c r="M613" i="27"/>
  <c r="J613" i="27"/>
  <c r="M612" i="27"/>
  <c r="J612" i="27"/>
  <c r="M611" i="27"/>
  <c r="J611" i="27"/>
  <c r="L462" i="27"/>
  <c r="O462" i="27" s="1"/>
  <c r="L461" i="27"/>
  <c r="O461" i="27" s="1"/>
  <c r="L460" i="27"/>
  <c r="O460" i="27" s="1"/>
  <c r="O459" i="27"/>
  <c r="L459" i="27"/>
  <c r="L458" i="27"/>
  <c r="O458" i="27" s="1"/>
  <c r="L457" i="27"/>
  <c r="O457" i="27" s="1"/>
  <c r="L456" i="27"/>
  <c r="O456" i="27" s="1"/>
  <c r="O455" i="27"/>
  <c r="L455" i="27"/>
  <c r="L454" i="27"/>
  <c r="O454" i="27" s="1"/>
  <c r="L453" i="27"/>
  <c r="O453" i="27" s="1"/>
  <c r="L452" i="27"/>
  <c r="O452" i="27" s="1"/>
  <c r="O451" i="27"/>
  <c r="L451" i="27"/>
  <c r="L450" i="27"/>
  <c r="O450" i="27" s="1"/>
  <c r="J450" i="27"/>
  <c r="M450" i="27" s="1"/>
  <c r="L449" i="27"/>
  <c r="O449" i="27" s="1"/>
  <c r="J449" i="27"/>
  <c r="M449" i="27" s="1"/>
  <c r="L448" i="27"/>
  <c r="O448" i="27" s="1"/>
  <c r="J448" i="27"/>
  <c r="M448" i="27" s="1"/>
  <c r="L447" i="27"/>
  <c r="O447" i="27" s="1"/>
  <c r="J447" i="27"/>
  <c r="M447" i="27" s="1"/>
  <c r="M446" i="27"/>
  <c r="L446" i="27"/>
  <c r="O446" i="27" s="1"/>
  <c r="J446" i="27"/>
  <c r="L445" i="27"/>
  <c r="O445" i="27" s="1"/>
  <c r="J445" i="27"/>
  <c r="M445" i="27" s="1"/>
  <c r="M444" i="27"/>
  <c r="L444" i="27"/>
  <c r="O444" i="27" s="1"/>
  <c r="J444" i="27"/>
  <c r="L443" i="27"/>
  <c r="O443" i="27" s="1"/>
  <c r="J443" i="27"/>
  <c r="M443" i="27" s="1"/>
  <c r="L442" i="27"/>
  <c r="O442" i="27" s="1"/>
  <c r="J442" i="27"/>
  <c r="M442" i="27" s="1"/>
  <c r="L441" i="27"/>
  <c r="O441" i="27" s="1"/>
  <c r="J441" i="27"/>
  <c r="M441" i="27" s="1"/>
  <c r="L440" i="27"/>
  <c r="O440" i="27" s="1"/>
  <c r="J440" i="27"/>
  <c r="M440" i="27" s="1"/>
  <c r="L439" i="27"/>
  <c r="O439" i="27" s="1"/>
  <c r="J439" i="27"/>
  <c r="M439" i="27" s="1"/>
  <c r="L438" i="27"/>
  <c r="O438" i="27" s="1"/>
  <c r="L437" i="27"/>
  <c r="O437" i="27" s="1"/>
  <c r="L436" i="27"/>
  <c r="O436" i="27" s="1"/>
  <c r="O435" i="27"/>
  <c r="L435" i="27"/>
  <c r="L434" i="27"/>
  <c r="O434" i="27" s="1"/>
  <c r="L433" i="27"/>
  <c r="O433" i="27" s="1"/>
  <c r="L432" i="27"/>
  <c r="O432" i="27" s="1"/>
  <c r="O431" i="27"/>
  <c r="L431" i="27"/>
  <c r="L430" i="27"/>
  <c r="O430" i="27" s="1"/>
  <c r="L429" i="27"/>
  <c r="O429" i="27" s="1"/>
  <c r="L428" i="27"/>
  <c r="O428" i="27" s="1"/>
  <c r="O427" i="27"/>
  <c r="L427" i="27"/>
  <c r="M364" i="27"/>
  <c r="M363" i="27"/>
  <c r="M362" i="27"/>
  <c r="M360" i="27"/>
  <c r="M359" i="27"/>
  <c r="M358" i="27"/>
  <c r="M356" i="27"/>
  <c r="M355" i="27"/>
  <c r="M354" i="27"/>
  <c r="O352" i="27"/>
  <c r="N352" i="27"/>
  <c r="O351" i="27"/>
  <c r="O350" i="27"/>
  <c r="N350" i="27"/>
  <c r="O349" i="27"/>
  <c r="O348" i="27"/>
  <c r="N348" i="27"/>
  <c r="O347" i="27"/>
  <c r="O346" i="27"/>
  <c r="N346" i="27"/>
  <c r="O345" i="27"/>
  <c r="O344" i="27"/>
  <c r="N344" i="27"/>
  <c r="O343" i="27"/>
  <c r="O342" i="27"/>
  <c r="N342" i="27"/>
  <c r="O341" i="27"/>
  <c r="M340" i="27"/>
  <c r="M339" i="27"/>
  <c r="M338" i="27"/>
  <c r="M336" i="27"/>
  <c r="M335" i="27"/>
  <c r="M334" i="27"/>
  <c r="M332" i="27"/>
  <c r="M331" i="27"/>
  <c r="M330" i="27"/>
  <c r="L328" i="27"/>
  <c r="O328" i="27" s="1"/>
  <c r="J328" i="27"/>
  <c r="M328" i="27" s="1"/>
  <c r="L327" i="27"/>
  <c r="O327" i="27" s="1"/>
  <c r="J327" i="27"/>
  <c r="M327" i="27" s="1"/>
  <c r="M326" i="27"/>
  <c r="L326" i="27"/>
  <c r="O326" i="27" s="1"/>
  <c r="J326" i="27"/>
  <c r="L325" i="27"/>
  <c r="O325" i="27" s="1"/>
  <c r="J325" i="27"/>
  <c r="M325" i="27" s="1"/>
  <c r="M324" i="27"/>
  <c r="L324" i="27"/>
  <c r="O324" i="27" s="1"/>
  <c r="J324" i="27"/>
  <c r="L323" i="27"/>
  <c r="O323" i="27" s="1"/>
  <c r="J323" i="27"/>
  <c r="M323" i="27" s="1"/>
  <c r="L322" i="27"/>
  <c r="O322" i="27" s="1"/>
  <c r="J322" i="27"/>
  <c r="M322" i="27" s="1"/>
  <c r="L321" i="27"/>
  <c r="O321" i="27" s="1"/>
  <c r="J321" i="27"/>
  <c r="M321" i="27" s="1"/>
  <c r="L320" i="27"/>
  <c r="O320" i="27" s="1"/>
  <c r="J320" i="27"/>
  <c r="M320" i="27" s="1"/>
  <c r="L319" i="27"/>
  <c r="O319" i="27" s="1"/>
  <c r="J319" i="27"/>
  <c r="M319" i="27" s="1"/>
  <c r="M318" i="27"/>
  <c r="L318" i="27"/>
  <c r="O318" i="27" s="1"/>
  <c r="J318" i="27"/>
  <c r="L317" i="27"/>
  <c r="O317" i="27" s="1"/>
  <c r="J317" i="27"/>
  <c r="M317" i="27" s="1"/>
  <c r="L316" i="27"/>
  <c r="O316" i="27" s="1"/>
  <c r="K316" i="27"/>
  <c r="N316" i="27" s="1"/>
  <c r="O315" i="27"/>
  <c r="L315" i="27"/>
  <c r="K315" i="27"/>
  <c r="N315" i="27" s="1"/>
  <c r="L314" i="27"/>
  <c r="O314" i="27" s="1"/>
  <c r="K314" i="27"/>
  <c r="N314" i="27" s="1"/>
  <c r="O313" i="27"/>
  <c r="L313" i="27"/>
  <c r="K313" i="27"/>
  <c r="N313" i="27" s="1"/>
  <c r="L312" i="27"/>
  <c r="O312" i="27" s="1"/>
  <c r="K312" i="27"/>
  <c r="N312" i="27" s="1"/>
  <c r="O311" i="27"/>
  <c r="L311" i="27"/>
  <c r="K311" i="27"/>
  <c r="N311" i="27" s="1"/>
  <c r="L310" i="27"/>
  <c r="O310" i="27" s="1"/>
  <c r="K310" i="27"/>
  <c r="N310" i="27" s="1"/>
  <c r="O309" i="27"/>
  <c r="L309" i="27"/>
  <c r="K309" i="27"/>
  <c r="N309" i="27" s="1"/>
  <c r="L308" i="27"/>
  <c r="O308" i="27" s="1"/>
  <c r="K308" i="27"/>
  <c r="N308" i="27" s="1"/>
  <c r="O307" i="27"/>
  <c r="L307" i="27"/>
  <c r="K307" i="27"/>
  <c r="N307" i="27" s="1"/>
  <c r="L306" i="27"/>
  <c r="O306" i="27" s="1"/>
  <c r="K306" i="27"/>
  <c r="N306" i="27" s="1"/>
  <c r="O305" i="27"/>
  <c r="L305" i="27"/>
  <c r="K305" i="27"/>
  <c r="N305" i="27" s="1"/>
  <c r="L304" i="27"/>
  <c r="O304" i="27" s="1"/>
  <c r="J304" i="27"/>
  <c r="M304" i="27" s="1"/>
  <c r="L303" i="27"/>
  <c r="O303" i="27" s="1"/>
  <c r="J303" i="27"/>
  <c r="M303" i="27" s="1"/>
  <c r="M302" i="27"/>
  <c r="L302" i="27"/>
  <c r="O302" i="27" s="1"/>
  <c r="J302" i="27"/>
  <c r="M301" i="27"/>
  <c r="L301" i="27"/>
  <c r="O301" i="27" s="1"/>
  <c r="J301" i="27"/>
  <c r="L300" i="27"/>
  <c r="O300" i="27" s="1"/>
  <c r="J300" i="27"/>
  <c r="M300" i="27" s="1"/>
  <c r="L299" i="27"/>
  <c r="O299" i="27" s="1"/>
  <c r="J299" i="27"/>
  <c r="M299" i="27" s="1"/>
  <c r="M298" i="27"/>
  <c r="L298" i="27"/>
  <c r="O298" i="27" s="1"/>
  <c r="J298" i="27"/>
  <c r="M297" i="27"/>
  <c r="L297" i="27"/>
  <c r="O297" i="27" s="1"/>
  <c r="J297" i="27"/>
  <c r="L296" i="27"/>
  <c r="O296" i="27" s="1"/>
  <c r="J296" i="27"/>
  <c r="M296" i="27" s="1"/>
  <c r="L295" i="27"/>
  <c r="O295" i="27" s="1"/>
  <c r="J295" i="27"/>
  <c r="M295" i="27" s="1"/>
  <c r="M294" i="27"/>
  <c r="L294" i="27"/>
  <c r="O294" i="27" s="1"/>
  <c r="J294" i="27"/>
  <c r="M293" i="27"/>
  <c r="L293" i="27"/>
  <c r="O293" i="27" s="1"/>
  <c r="J293" i="27"/>
  <c r="J292" i="27"/>
  <c r="M292" i="27" s="1"/>
  <c r="J291" i="27"/>
  <c r="M291" i="27" s="1"/>
  <c r="J290" i="27"/>
  <c r="M290" i="27" s="1"/>
  <c r="J289" i="27"/>
  <c r="M289" i="27" s="1"/>
  <c r="J288" i="27"/>
  <c r="M288" i="27" s="1"/>
  <c r="J287" i="27"/>
  <c r="M287" i="27" s="1"/>
  <c r="J286" i="27"/>
  <c r="M286" i="27" s="1"/>
  <c r="J285" i="27"/>
  <c r="M285" i="27" s="1"/>
  <c r="J284" i="27"/>
  <c r="M284" i="27" s="1"/>
  <c r="J283" i="27"/>
  <c r="M283" i="27" s="1"/>
  <c r="J282" i="27"/>
  <c r="M282" i="27" s="1"/>
  <c r="J281" i="27"/>
  <c r="M281" i="27" s="1"/>
  <c r="J280" i="27"/>
  <c r="M280" i="27" s="1"/>
  <c r="L279" i="27"/>
  <c r="O279" i="27" s="1"/>
  <c r="K279" i="27"/>
  <c r="N279" i="27" s="1"/>
  <c r="O278" i="27"/>
  <c r="L278" i="27"/>
  <c r="K278" i="27"/>
  <c r="N278" i="27" s="1"/>
  <c r="L277" i="27"/>
  <c r="O277" i="27" s="1"/>
  <c r="K277" i="27"/>
  <c r="N277" i="27" s="1"/>
  <c r="O276" i="27"/>
  <c r="L276" i="27"/>
  <c r="K276" i="27"/>
  <c r="N276" i="27" s="1"/>
  <c r="L275" i="27"/>
  <c r="O275" i="27" s="1"/>
  <c r="K275" i="27"/>
  <c r="N275" i="27" s="1"/>
  <c r="O274" i="27"/>
  <c r="L274" i="27"/>
  <c r="K274" i="27"/>
  <c r="N274" i="27" s="1"/>
  <c r="L273" i="27"/>
  <c r="O273" i="27" s="1"/>
  <c r="K273" i="27"/>
  <c r="N273" i="27" s="1"/>
  <c r="O272" i="27"/>
  <c r="L272" i="27"/>
  <c r="K272" i="27"/>
  <c r="N272" i="27" s="1"/>
  <c r="L271" i="27"/>
  <c r="O271" i="27" s="1"/>
  <c r="K271" i="27"/>
  <c r="N271" i="27" s="1"/>
  <c r="O270" i="27"/>
  <c r="L270" i="27"/>
  <c r="K270" i="27"/>
  <c r="N270" i="27" s="1"/>
  <c r="L269" i="27"/>
  <c r="O269" i="27" s="1"/>
  <c r="K269" i="27"/>
  <c r="N269" i="27" s="1"/>
  <c r="L268" i="27"/>
  <c r="O268" i="27" s="1"/>
  <c r="K268" i="27"/>
  <c r="N268" i="27" s="1"/>
  <c r="O267" i="27"/>
  <c r="L267" i="27"/>
  <c r="K267" i="27"/>
  <c r="N267" i="27" s="1"/>
  <c r="J266" i="27"/>
  <c r="M266" i="27" s="1"/>
  <c r="J265" i="27"/>
  <c r="M265" i="27" s="1"/>
  <c r="M264" i="27"/>
  <c r="J264" i="27"/>
  <c r="J263" i="27"/>
  <c r="M263" i="27" s="1"/>
  <c r="J262" i="27"/>
  <c r="M262" i="27" s="1"/>
  <c r="J261" i="27"/>
  <c r="M261" i="27" s="1"/>
  <c r="M260" i="27"/>
  <c r="J260" i="27"/>
  <c r="J259" i="27"/>
  <c r="M259" i="27" s="1"/>
  <c r="J258" i="27"/>
  <c r="M258" i="27" s="1"/>
  <c r="J257" i="27"/>
  <c r="M257" i="27" s="1"/>
  <c r="J256" i="27"/>
  <c r="M256" i="27" s="1"/>
  <c r="J255" i="27"/>
  <c r="M255" i="27" s="1"/>
  <c r="J254" i="27"/>
  <c r="M254" i="27" s="1"/>
  <c r="L253" i="27"/>
  <c r="O253" i="27" s="1"/>
  <c r="K253" i="27"/>
  <c r="N253" i="27" s="1"/>
  <c r="N252" i="27"/>
  <c r="L252" i="27"/>
  <c r="O252" i="27" s="1"/>
  <c r="K252" i="27"/>
  <c r="L251" i="27"/>
  <c r="O251" i="27" s="1"/>
  <c r="K251" i="27"/>
  <c r="N251" i="27" s="1"/>
  <c r="L250" i="27"/>
  <c r="O250" i="27" s="1"/>
  <c r="K250" i="27"/>
  <c r="N250" i="27" s="1"/>
  <c r="L249" i="27"/>
  <c r="O249" i="27" s="1"/>
  <c r="K249" i="27"/>
  <c r="N249" i="27" s="1"/>
  <c r="L248" i="27"/>
  <c r="O248" i="27" s="1"/>
  <c r="K248" i="27"/>
  <c r="N248" i="27" s="1"/>
  <c r="L247" i="27"/>
  <c r="O247" i="27" s="1"/>
  <c r="K247" i="27"/>
  <c r="N247" i="27" s="1"/>
  <c r="N246" i="27"/>
  <c r="L246" i="27"/>
  <c r="O246" i="27" s="1"/>
  <c r="K246" i="27"/>
  <c r="L245" i="27"/>
  <c r="O245" i="27" s="1"/>
  <c r="K245" i="27"/>
  <c r="N245" i="27" s="1"/>
  <c r="N244" i="27"/>
  <c r="L244" i="27"/>
  <c r="O244" i="27" s="1"/>
  <c r="K244" i="27"/>
  <c r="L243" i="27"/>
  <c r="O243" i="27" s="1"/>
  <c r="K243" i="27"/>
  <c r="N243" i="27" s="1"/>
  <c r="L242" i="27"/>
  <c r="O242" i="27" s="1"/>
  <c r="K242" i="27"/>
  <c r="N242" i="27" s="1"/>
  <c r="L217" i="27"/>
  <c r="O217" i="27" s="1"/>
  <c r="L216" i="27"/>
  <c r="O216" i="27" s="1"/>
  <c r="L215" i="27"/>
  <c r="O215" i="27" s="1"/>
  <c r="L214" i="27"/>
  <c r="O214" i="27" s="1"/>
  <c r="L213" i="27"/>
  <c r="O213" i="27" s="1"/>
  <c r="L212" i="27"/>
  <c r="O212" i="27" s="1"/>
  <c r="L211" i="27"/>
  <c r="O211" i="27" s="1"/>
  <c r="L210" i="27"/>
  <c r="O210" i="27" s="1"/>
  <c r="L209" i="27"/>
  <c r="O209" i="27" s="1"/>
  <c r="L208" i="27"/>
  <c r="O208" i="27" s="1"/>
  <c r="L207" i="27"/>
  <c r="O207" i="27" s="1"/>
  <c r="L206" i="27"/>
  <c r="O206" i="27" s="1"/>
  <c r="L205" i="27"/>
  <c r="O205" i="27" s="1"/>
  <c r="J205" i="27"/>
  <c r="M205" i="27" s="1"/>
  <c r="L204" i="27"/>
  <c r="O204" i="27" s="1"/>
  <c r="J204" i="27"/>
  <c r="M204" i="27" s="1"/>
  <c r="L203" i="27"/>
  <c r="O203" i="27" s="1"/>
  <c r="J203" i="27"/>
  <c r="M203" i="27" s="1"/>
  <c r="L202" i="27"/>
  <c r="O202" i="27" s="1"/>
  <c r="J202" i="27"/>
  <c r="M202" i="27" s="1"/>
  <c r="L201" i="27"/>
  <c r="O201" i="27" s="1"/>
  <c r="J201" i="27"/>
  <c r="M201" i="27" s="1"/>
  <c r="L200" i="27"/>
  <c r="O200" i="27" s="1"/>
  <c r="J200" i="27"/>
  <c r="M200" i="27" s="1"/>
  <c r="L199" i="27"/>
  <c r="O199" i="27" s="1"/>
  <c r="J199" i="27"/>
  <c r="M199" i="27" s="1"/>
  <c r="L198" i="27"/>
  <c r="O198" i="27" s="1"/>
  <c r="J198" i="27"/>
  <c r="M198" i="27" s="1"/>
  <c r="L197" i="27"/>
  <c r="O197" i="27" s="1"/>
  <c r="J197" i="27"/>
  <c r="M197" i="27" s="1"/>
  <c r="L196" i="27"/>
  <c r="O196" i="27" s="1"/>
  <c r="J196" i="27"/>
  <c r="M196" i="27" s="1"/>
  <c r="L195" i="27"/>
  <c r="O195" i="27" s="1"/>
  <c r="J195" i="27"/>
  <c r="M195" i="27" s="1"/>
  <c r="L194" i="27"/>
  <c r="O194" i="27" s="1"/>
  <c r="J194" i="27"/>
  <c r="M194" i="27" s="1"/>
  <c r="L193" i="27"/>
  <c r="O193" i="27" s="1"/>
  <c r="L192" i="27"/>
  <c r="O192" i="27" s="1"/>
  <c r="L191" i="27"/>
  <c r="O191" i="27" s="1"/>
  <c r="L190" i="27"/>
  <c r="O190" i="27" s="1"/>
  <c r="L189" i="27"/>
  <c r="O189" i="27" s="1"/>
  <c r="L188" i="27"/>
  <c r="O188" i="27" s="1"/>
  <c r="L187" i="27"/>
  <c r="O187" i="27" s="1"/>
  <c r="L186" i="27"/>
  <c r="O186" i="27" s="1"/>
  <c r="L185" i="27"/>
  <c r="O185" i="27" s="1"/>
  <c r="L184" i="27"/>
  <c r="O184" i="27" s="1"/>
  <c r="L183" i="27"/>
  <c r="O183" i="27" s="1"/>
  <c r="L182" i="27"/>
  <c r="O182" i="27" s="1"/>
  <c r="L181" i="27"/>
  <c r="O181" i="27" s="1"/>
  <c r="K181" i="27"/>
  <c r="N181" i="27" s="1"/>
  <c r="N180" i="27"/>
  <c r="L180" i="27"/>
  <c r="O180" i="27" s="1"/>
  <c r="K180" i="27"/>
  <c r="N179" i="27"/>
  <c r="L179" i="27"/>
  <c r="O179" i="27" s="1"/>
  <c r="K179" i="27"/>
  <c r="L178" i="27"/>
  <c r="O178" i="27" s="1"/>
  <c r="K178" i="27"/>
  <c r="N178" i="27" s="1"/>
  <c r="L177" i="27"/>
  <c r="O177" i="27" s="1"/>
  <c r="K177" i="27"/>
  <c r="N177" i="27" s="1"/>
  <c r="N176" i="27"/>
  <c r="L176" i="27"/>
  <c r="O176" i="27" s="1"/>
  <c r="K176" i="27"/>
  <c r="N175" i="27"/>
  <c r="L175" i="27"/>
  <c r="O175" i="27" s="1"/>
  <c r="K175" i="27"/>
  <c r="L174" i="27"/>
  <c r="O174" i="27" s="1"/>
  <c r="K174" i="27"/>
  <c r="N174" i="27" s="1"/>
  <c r="N173" i="27"/>
  <c r="L173" i="27"/>
  <c r="O173" i="27" s="1"/>
  <c r="K173" i="27"/>
  <c r="N172" i="27"/>
  <c r="L172" i="27"/>
  <c r="O172" i="27" s="1"/>
  <c r="K172" i="27"/>
  <c r="L171" i="27"/>
  <c r="O171" i="27" s="1"/>
  <c r="K171" i="27"/>
  <c r="N171" i="27" s="1"/>
  <c r="L170" i="27"/>
  <c r="O170" i="27" s="1"/>
  <c r="K170" i="27"/>
  <c r="N170" i="27" s="1"/>
  <c r="N169" i="27"/>
  <c r="L169" i="27"/>
  <c r="O169" i="27" s="1"/>
  <c r="K169" i="27"/>
  <c r="N168" i="27"/>
  <c r="L168" i="27"/>
  <c r="O168" i="27" s="1"/>
  <c r="K168" i="27"/>
  <c r="L167" i="27"/>
  <c r="O167" i="27" s="1"/>
  <c r="K167" i="27"/>
  <c r="N167" i="27" s="1"/>
  <c r="L166" i="27"/>
  <c r="O166" i="27" s="1"/>
  <c r="K166" i="27"/>
  <c r="N166" i="27" s="1"/>
  <c r="L165" i="27"/>
  <c r="O165" i="27" s="1"/>
  <c r="K165" i="27"/>
  <c r="N165" i="27" s="1"/>
  <c r="N164" i="27"/>
  <c r="L164" i="27"/>
  <c r="O164" i="27" s="1"/>
  <c r="K164" i="27"/>
  <c r="N163" i="27"/>
  <c r="L163" i="27"/>
  <c r="O163" i="27" s="1"/>
  <c r="K163" i="27"/>
  <c r="L162" i="27"/>
  <c r="O162" i="27" s="1"/>
  <c r="K162" i="27"/>
  <c r="N162" i="27" s="1"/>
  <c r="L161" i="27"/>
  <c r="O161" i="27" s="1"/>
  <c r="K161" i="27"/>
  <c r="N161" i="27" s="1"/>
  <c r="N160" i="27"/>
  <c r="L160" i="27"/>
  <c r="O160" i="27" s="1"/>
  <c r="K160" i="27"/>
  <c r="N159" i="27"/>
  <c r="L159" i="27"/>
  <c r="O159" i="27" s="1"/>
  <c r="K159" i="27"/>
  <c r="L158" i="27"/>
  <c r="O158" i="27" s="1"/>
  <c r="K158" i="27"/>
  <c r="N158" i="27" s="1"/>
  <c r="L157" i="27"/>
  <c r="O157" i="27" s="1"/>
  <c r="L156" i="27"/>
  <c r="O156" i="27" s="1"/>
  <c r="L155" i="27"/>
  <c r="O155" i="27" s="1"/>
  <c r="L154" i="27"/>
  <c r="O154" i="27" s="1"/>
  <c r="L153" i="27"/>
  <c r="O153" i="27" s="1"/>
  <c r="L152" i="27"/>
  <c r="O152" i="27" s="1"/>
  <c r="L151" i="27"/>
  <c r="O151" i="27" s="1"/>
  <c r="L150" i="27"/>
  <c r="O150" i="27" s="1"/>
  <c r="L149" i="27"/>
  <c r="O149" i="27" s="1"/>
  <c r="L148" i="27"/>
  <c r="O148" i="27" s="1"/>
  <c r="L147" i="27"/>
  <c r="O147" i="27" s="1"/>
  <c r="L146" i="27"/>
  <c r="O146" i="27" s="1"/>
  <c r="L145" i="27"/>
  <c r="O145" i="27" s="1"/>
  <c r="L144" i="27"/>
  <c r="O144" i="27" s="1"/>
  <c r="L143" i="27"/>
  <c r="O143" i="27" s="1"/>
  <c r="L142" i="27"/>
  <c r="O142" i="27" s="1"/>
  <c r="L141" i="27"/>
  <c r="O141" i="27" s="1"/>
  <c r="L140" i="27"/>
  <c r="O140" i="27" s="1"/>
  <c r="L139" i="27"/>
  <c r="O139" i="27" s="1"/>
  <c r="L138" i="27"/>
  <c r="O138" i="27" s="1"/>
  <c r="L137" i="27"/>
  <c r="O137" i="27" s="1"/>
  <c r="L136" i="27"/>
  <c r="O136" i="27" s="1"/>
  <c r="L135" i="27"/>
  <c r="O135" i="27" s="1"/>
  <c r="L134" i="27"/>
  <c r="O134" i="27" s="1"/>
  <c r="L133" i="27"/>
  <c r="O133" i="27" s="1"/>
  <c r="L132" i="27"/>
  <c r="O132" i="27" s="1"/>
  <c r="L131" i="27"/>
  <c r="O131" i="27" s="1"/>
  <c r="L130" i="27"/>
  <c r="O130" i="27" s="1"/>
  <c r="L129" i="27"/>
  <c r="O129" i="27" s="1"/>
  <c r="L128" i="27"/>
  <c r="O128" i="27" s="1"/>
  <c r="L127" i="27"/>
  <c r="O127" i="27" s="1"/>
  <c r="L126" i="27"/>
  <c r="O126" i="27" s="1"/>
  <c r="L125" i="27"/>
  <c r="O125" i="27" s="1"/>
  <c r="L124" i="27"/>
  <c r="O124" i="27" s="1"/>
  <c r="L123" i="27"/>
  <c r="O123" i="27" s="1"/>
  <c r="L122" i="27"/>
  <c r="O122" i="27" s="1"/>
  <c r="L97" i="27"/>
  <c r="O97" i="27" s="1"/>
  <c r="L96" i="27"/>
  <c r="O96" i="27" s="1"/>
  <c r="L95" i="27"/>
  <c r="O95" i="27" s="1"/>
  <c r="L94" i="27"/>
  <c r="O94" i="27" s="1"/>
  <c r="L93" i="27"/>
  <c r="O93" i="27" s="1"/>
  <c r="L92" i="27"/>
  <c r="O92" i="27" s="1"/>
  <c r="L91" i="27"/>
  <c r="O91" i="27" s="1"/>
  <c r="L90" i="27"/>
  <c r="O90" i="27" s="1"/>
  <c r="L89" i="27"/>
  <c r="O89" i="27" s="1"/>
  <c r="L88" i="27"/>
  <c r="O88" i="27" s="1"/>
  <c r="L87" i="27"/>
  <c r="O87" i="27" s="1"/>
  <c r="L86" i="27"/>
  <c r="O86" i="27" s="1"/>
  <c r="L85" i="27"/>
  <c r="O85" i="27" s="1"/>
  <c r="J85" i="27"/>
  <c r="M85" i="27" s="1"/>
  <c r="L84" i="27"/>
  <c r="O84" i="27" s="1"/>
  <c r="J84" i="27"/>
  <c r="M84" i="27" s="1"/>
  <c r="L83" i="27"/>
  <c r="O83" i="27" s="1"/>
  <c r="J83" i="27"/>
  <c r="M83" i="27" s="1"/>
  <c r="L82" i="27"/>
  <c r="O82" i="27" s="1"/>
  <c r="J82" i="27"/>
  <c r="M82" i="27" s="1"/>
  <c r="L81" i="27"/>
  <c r="O81" i="27" s="1"/>
  <c r="J81" i="27"/>
  <c r="M81" i="27" s="1"/>
  <c r="L80" i="27"/>
  <c r="O80" i="27" s="1"/>
  <c r="J80" i="27"/>
  <c r="M80" i="27" s="1"/>
  <c r="L79" i="27"/>
  <c r="O79" i="27" s="1"/>
  <c r="J79" i="27"/>
  <c r="M79" i="27" s="1"/>
  <c r="L78" i="27"/>
  <c r="O78" i="27" s="1"/>
  <c r="J78" i="27"/>
  <c r="M78" i="27" s="1"/>
  <c r="L77" i="27"/>
  <c r="O77" i="27" s="1"/>
  <c r="J77" i="27"/>
  <c r="M77" i="27" s="1"/>
  <c r="L76" i="27"/>
  <c r="O76" i="27" s="1"/>
  <c r="J76" i="27"/>
  <c r="M76" i="27" s="1"/>
  <c r="L75" i="27"/>
  <c r="O75" i="27" s="1"/>
  <c r="J75" i="27"/>
  <c r="M75" i="27" s="1"/>
  <c r="L74" i="27"/>
  <c r="O74" i="27" s="1"/>
  <c r="J74" i="27"/>
  <c r="M74" i="27" s="1"/>
  <c r="L73" i="27"/>
  <c r="O73" i="27" s="1"/>
  <c r="L72" i="27"/>
  <c r="O72" i="27" s="1"/>
  <c r="L71" i="27"/>
  <c r="O71" i="27" s="1"/>
  <c r="L70" i="27"/>
  <c r="O70" i="27" s="1"/>
  <c r="L69" i="27"/>
  <c r="O69" i="27" s="1"/>
  <c r="L68" i="27"/>
  <c r="O68" i="27" s="1"/>
  <c r="L67" i="27"/>
  <c r="O67" i="27" s="1"/>
  <c r="L66" i="27"/>
  <c r="O66" i="27" s="1"/>
  <c r="L65" i="27"/>
  <c r="O65" i="27" s="1"/>
  <c r="L64" i="27"/>
  <c r="O64" i="27" s="1"/>
  <c r="L63" i="27"/>
  <c r="O63" i="27" s="1"/>
  <c r="L62" i="27"/>
  <c r="O62" i="27" s="1"/>
  <c r="L61" i="27"/>
  <c r="O61" i="27" s="1"/>
  <c r="L60" i="27"/>
  <c r="O60" i="27" s="1"/>
  <c r="L59" i="27"/>
  <c r="O59" i="27" s="1"/>
  <c r="L58" i="27"/>
  <c r="O58" i="27" s="1"/>
  <c r="L57" i="27"/>
  <c r="O57" i="27" s="1"/>
  <c r="L56" i="27"/>
  <c r="O56" i="27" s="1"/>
  <c r="L55" i="27"/>
  <c r="O55" i="27" s="1"/>
  <c r="L54" i="27"/>
  <c r="O54" i="27" s="1"/>
  <c r="L53" i="27"/>
  <c r="O53" i="27" s="1"/>
  <c r="L52" i="27"/>
  <c r="O52" i="27" s="1"/>
  <c r="L51" i="27"/>
  <c r="O51" i="27" s="1"/>
  <c r="L50" i="27"/>
  <c r="O50" i="27" s="1"/>
  <c r="L49" i="27"/>
  <c r="O49" i="27" s="1"/>
  <c r="J49" i="27"/>
  <c r="M49" i="27" s="1"/>
  <c r="L48" i="27"/>
  <c r="O48" i="27" s="1"/>
  <c r="J48" i="27"/>
  <c r="M48" i="27" s="1"/>
  <c r="L47" i="27"/>
  <c r="O47" i="27" s="1"/>
  <c r="J47" i="27"/>
  <c r="M47" i="27" s="1"/>
  <c r="L46" i="27"/>
  <c r="O46" i="27" s="1"/>
  <c r="J46" i="27"/>
  <c r="M46" i="27" s="1"/>
  <c r="L45" i="27"/>
  <c r="O45" i="27" s="1"/>
  <c r="J45" i="27"/>
  <c r="M45" i="27" s="1"/>
  <c r="L44" i="27"/>
  <c r="O44" i="27" s="1"/>
  <c r="J44" i="27"/>
  <c r="M44" i="27" s="1"/>
  <c r="L43" i="27"/>
  <c r="O43" i="27" s="1"/>
  <c r="J43" i="27"/>
  <c r="M43" i="27" s="1"/>
  <c r="L42" i="27"/>
  <c r="O42" i="27" s="1"/>
  <c r="J42" i="27"/>
  <c r="M42" i="27" s="1"/>
  <c r="L41" i="27"/>
  <c r="O41" i="27" s="1"/>
  <c r="J41" i="27"/>
  <c r="M41" i="27" s="1"/>
  <c r="L40" i="27"/>
  <c r="O40" i="27" s="1"/>
  <c r="J40" i="27"/>
  <c r="M40" i="27" s="1"/>
  <c r="L39" i="27"/>
  <c r="O39" i="27" s="1"/>
  <c r="J39" i="27"/>
  <c r="M39" i="27" s="1"/>
  <c r="L38" i="27"/>
  <c r="O38" i="27" s="1"/>
  <c r="J38" i="27"/>
  <c r="M38" i="27" s="1"/>
  <c r="L37" i="27"/>
  <c r="O37" i="27" s="1"/>
  <c r="L36" i="27"/>
  <c r="O36" i="27" s="1"/>
  <c r="L35" i="27"/>
  <c r="O35" i="27" s="1"/>
  <c r="L34" i="27"/>
  <c r="O34" i="27" s="1"/>
  <c r="L33" i="27"/>
  <c r="O33" i="27" s="1"/>
  <c r="L32" i="27"/>
  <c r="O32" i="27" s="1"/>
  <c r="L31" i="27"/>
  <c r="O31" i="27" s="1"/>
  <c r="L30" i="27"/>
  <c r="O30" i="27" s="1"/>
  <c r="L29" i="27"/>
  <c r="O29" i="27" s="1"/>
  <c r="L28" i="27"/>
  <c r="O28" i="27" s="1"/>
  <c r="L27" i="27"/>
  <c r="O27" i="27" s="1"/>
  <c r="L26" i="27"/>
  <c r="O26" i="27" s="1"/>
  <c r="X3" i="27" l="1"/>
  <c r="AF3" i="27" s="1"/>
  <c r="X13" i="27"/>
  <c r="AF13" i="27" s="1"/>
  <c r="AG13" i="27"/>
  <c r="Z5" i="27"/>
  <c r="AH5" i="27" s="1"/>
  <c r="AJ13" i="27"/>
  <c r="AJ3" i="27"/>
  <c r="Z13" i="27"/>
  <c r="AH13" i="27" s="1"/>
  <c r="Z3" i="27"/>
  <c r="AH3" i="27" s="1"/>
  <c r="T6" i="27"/>
  <c r="U9" i="27"/>
  <c r="R11" i="27"/>
  <c r="M1999" i="27"/>
  <c r="U11" i="27" s="1"/>
  <c r="R9" i="27"/>
  <c r="X9" i="27" s="1"/>
  <c r="R12" i="27"/>
  <c r="X12" i="27" s="1"/>
  <c r="X5" i="27"/>
  <c r="AF5" i="27" s="1"/>
  <c r="AI5" i="27"/>
  <c r="P11" i="5"/>
  <c r="P10" i="5"/>
  <c r="P9" i="5"/>
  <c r="X11" i="27" l="1"/>
  <c r="F43" i="5"/>
  <c r="E43" i="5"/>
  <c r="D43" i="5"/>
  <c r="F26" i="5"/>
  <c r="E26" i="5"/>
  <c r="D26" i="5"/>
  <c r="F25" i="5"/>
  <c r="E25" i="5"/>
  <c r="D25" i="5"/>
  <c r="F24" i="5"/>
  <c r="E24" i="5"/>
  <c r="D24" i="5"/>
  <c r="D13" i="5"/>
  <c r="F38" i="5"/>
  <c r="F17" i="5"/>
  <c r="F16" i="5"/>
  <c r="F12" i="5"/>
  <c r="F11" i="5"/>
  <c r="M15" i="5"/>
  <c r="M7" i="5"/>
  <c r="D35" i="5" s="1"/>
  <c r="E35" i="5" l="1"/>
  <c r="D30" i="5" s="1"/>
  <c r="F35" i="5"/>
  <c r="D4" i="5" l="1"/>
  <c r="F30" i="5"/>
  <c r="F4" i="5" l="1"/>
  <c r="E4" i="5"/>
  <c r="E30" i="5"/>
  <c r="X2270" i="16" l="1"/>
  <c r="W2270" i="16"/>
  <c r="X2269" i="16"/>
  <c r="W2269" i="16"/>
  <c r="X2268" i="16"/>
  <c r="W2268" i="16"/>
  <c r="X2267" i="16"/>
  <c r="W2267" i="16"/>
  <c r="X2266" i="16"/>
  <c r="W2266" i="16"/>
  <c r="X2265" i="16"/>
  <c r="W2265" i="16"/>
  <c r="X2264" i="16"/>
  <c r="W2264" i="16"/>
  <c r="X2263" i="16"/>
  <c r="W2263" i="16"/>
  <c r="X2262" i="16"/>
  <c r="W2262" i="16"/>
  <c r="X2261" i="16"/>
  <c r="W2261" i="16"/>
  <c r="X2260" i="16"/>
  <c r="W2260" i="16"/>
  <c r="X2259" i="16"/>
  <c r="W2259" i="16"/>
  <c r="X2258" i="16"/>
  <c r="W2258" i="16"/>
  <c r="X2257" i="16"/>
  <c r="W2257" i="16"/>
  <c r="X2256" i="16"/>
  <c r="W2256" i="16"/>
  <c r="X2255" i="16"/>
  <c r="W2255" i="16"/>
  <c r="X1258" i="16"/>
  <c r="W1258" i="16"/>
  <c r="X1257" i="16"/>
  <c r="W1257" i="16"/>
  <c r="X1256" i="16"/>
  <c r="W1256" i="16"/>
  <c r="X1255" i="16"/>
  <c r="W1255" i="16"/>
  <c r="X1254" i="16"/>
  <c r="W1254" i="16"/>
  <c r="X1253" i="16"/>
  <c r="W1253" i="16"/>
  <c r="X1252" i="16"/>
  <c r="W1252" i="16"/>
  <c r="X1251" i="16"/>
  <c r="W1251" i="16"/>
  <c r="X1250" i="16"/>
  <c r="W1250" i="16"/>
  <c r="X1249" i="16"/>
  <c r="W1249" i="16"/>
  <c r="X1248" i="16"/>
  <c r="W1248" i="16"/>
  <c r="X1247" i="16"/>
  <c r="W1247" i="16"/>
  <c r="V1246" i="16"/>
  <c r="V1245" i="16"/>
  <c r="V1244" i="16"/>
  <c r="V1243" i="16"/>
  <c r="V1242" i="16"/>
  <c r="V1241" i="16"/>
  <c r="V1240" i="16"/>
  <c r="V1239" i="16"/>
  <c r="V1238" i="16"/>
  <c r="V1237" i="16"/>
  <c r="V1236" i="16"/>
  <c r="V1235" i="16"/>
  <c r="X1234" i="16"/>
  <c r="W1234" i="16"/>
  <c r="X1233" i="16"/>
  <c r="W1233" i="16"/>
  <c r="X1232" i="16"/>
  <c r="W1232" i="16"/>
  <c r="X1231" i="16"/>
  <c r="W1231" i="16"/>
  <c r="X1230" i="16"/>
  <c r="W1230" i="16"/>
  <c r="X1229" i="16"/>
  <c r="W1229" i="16"/>
  <c r="X1228" i="16"/>
  <c r="W1228" i="16"/>
  <c r="X1227" i="16"/>
  <c r="W1227" i="16"/>
  <c r="X1226" i="16"/>
  <c r="W1226" i="16"/>
  <c r="X1225" i="16"/>
  <c r="W1225" i="16"/>
  <c r="X1224" i="16"/>
  <c r="W1224" i="16"/>
  <c r="X1223" i="16"/>
  <c r="W1223" i="16"/>
  <c r="X1222" i="16"/>
  <c r="W1222" i="16"/>
  <c r="X1221" i="16"/>
  <c r="W1221" i="16"/>
  <c r="X1220" i="16"/>
  <c r="W1220" i="16"/>
  <c r="X1219" i="16"/>
  <c r="W1219" i="16"/>
  <c r="X1218" i="16"/>
  <c r="W1218" i="16"/>
  <c r="X1217" i="16"/>
  <c r="W1217" i="16"/>
  <c r="X1216" i="16"/>
  <c r="W1216" i="16"/>
  <c r="X1215" i="16"/>
  <c r="W1215" i="16"/>
  <c r="X1214" i="16"/>
  <c r="W1214" i="16"/>
  <c r="X1213" i="16"/>
  <c r="W1213" i="16"/>
  <c r="X1212" i="16"/>
  <c r="W1212" i="16"/>
  <c r="X1211" i="16"/>
  <c r="W1211" i="16"/>
  <c r="X1210" i="16"/>
  <c r="W1210" i="16"/>
  <c r="X1209" i="16"/>
  <c r="W1209" i="16"/>
  <c r="X1208" i="16"/>
  <c r="W1208" i="16"/>
  <c r="X1207" i="16"/>
  <c r="W1207" i="16"/>
  <c r="X1206" i="16"/>
  <c r="W1206" i="16"/>
  <c r="X1205" i="16"/>
  <c r="W1205" i="16"/>
  <c r="X1204" i="16"/>
  <c r="W1204" i="16"/>
  <c r="X1203" i="16"/>
  <c r="W1203" i="16"/>
  <c r="X1202" i="16"/>
  <c r="W1202" i="16"/>
  <c r="X1201" i="16"/>
  <c r="W1201" i="16"/>
  <c r="X1200" i="16"/>
  <c r="W1200" i="16"/>
  <c r="X1199" i="16"/>
  <c r="W1199" i="16"/>
  <c r="X1198" i="16"/>
  <c r="W1198" i="16"/>
  <c r="X1197" i="16"/>
  <c r="W1197" i="16"/>
  <c r="X1196" i="16"/>
  <c r="W1196" i="16"/>
  <c r="X1195" i="16"/>
  <c r="W1195" i="16"/>
  <c r="X1194" i="16"/>
  <c r="W1194" i="16"/>
  <c r="X1193" i="16"/>
  <c r="W1193" i="16"/>
  <c r="X1192" i="16"/>
  <c r="W1192" i="16"/>
  <c r="V1191" i="16"/>
  <c r="V1190" i="16"/>
  <c r="V1189" i="16"/>
  <c r="V1188" i="16"/>
  <c r="V1187" i="16"/>
  <c r="V1186" i="16"/>
  <c r="V1185" i="16"/>
  <c r="V1184" i="16"/>
  <c r="V1183" i="16"/>
  <c r="V1182" i="16"/>
  <c r="V1181" i="16"/>
  <c r="V1180" i="16"/>
  <c r="V1179" i="16"/>
  <c r="V1178" i="16"/>
  <c r="V1177" i="16"/>
  <c r="V1176" i="16"/>
  <c r="V1175" i="16"/>
  <c r="V1174" i="16"/>
  <c r="V1173" i="16"/>
  <c r="V1172" i="16"/>
  <c r="V1171" i="16"/>
  <c r="V1170" i="16"/>
  <c r="V1169" i="16"/>
  <c r="V1168" i="16"/>
  <c r="V1167" i="16"/>
  <c r="V1166" i="16"/>
  <c r="V1165" i="16"/>
  <c r="V1164" i="16"/>
  <c r="V1163" i="16"/>
  <c r="V1162" i="16"/>
  <c r="V1161" i="16"/>
  <c r="V1160" i="16"/>
  <c r="V1159" i="16"/>
  <c r="V1158" i="16"/>
  <c r="X1157" i="16"/>
  <c r="W1157" i="16"/>
  <c r="X1156" i="16"/>
  <c r="W1156" i="16"/>
  <c r="X1155" i="16"/>
  <c r="W1155" i="16"/>
  <c r="X1154" i="16"/>
  <c r="W1154" i="16"/>
  <c r="X1153" i="16"/>
  <c r="W1153" i="16"/>
  <c r="X1152" i="16"/>
  <c r="W1152" i="16"/>
  <c r="X1151" i="16"/>
  <c r="W1151" i="16"/>
  <c r="X1150" i="16"/>
  <c r="W1150" i="16"/>
  <c r="X1149" i="16"/>
  <c r="W1149" i="16"/>
  <c r="X1148" i="16"/>
  <c r="W1148" i="16"/>
  <c r="X1147" i="16"/>
  <c r="W1147" i="16"/>
  <c r="X1146" i="16"/>
  <c r="W1146" i="16"/>
  <c r="X1145" i="16"/>
  <c r="W1145" i="16"/>
  <c r="X1144" i="16"/>
  <c r="W1144" i="16"/>
  <c r="X1143" i="16"/>
  <c r="W1143" i="16"/>
  <c r="X1142" i="16"/>
  <c r="W1142" i="16"/>
  <c r="X1141" i="16"/>
  <c r="W1141" i="16"/>
  <c r="X1140" i="16"/>
  <c r="W1140" i="16"/>
  <c r="X1139" i="16"/>
  <c r="W1139" i="16"/>
  <c r="X1138" i="16"/>
  <c r="W1138" i="16"/>
  <c r="X1137" i="16"/>
  <c r="W1137" i="16"/>
  <c r="X1136" i="16"/>
  <c r="W1136" i="16"/>
  <c r="X1135" i="16"/>
  <c r="W1135" i="16"/>
  <c r="X1134" i="16"/>
  <c r="W1134" i="16"/>
  <c r="X1133" i="16"/>
  <c r="W1133" i="16"/>
  <c r="X1132" i="16"/>
  <c r="W1132" i="16"/>
  <c r="X1131" i="16"/>
  <c r="W1131" i="16"/>
  <c r="X1130" i="16"/>
  <c r="W1130" i="16"/>
  <c r="X1129" i="16"/>
  <c r="W1129" i="16"/>
  <c r="X1128" i="16"/>
  <c r="W1128" i="16"/>
  <c r="X1127" i="16"/>
  <c r="W1127" i="16"/>
  <c r="X1126" i="16"/>
  <c r="W1126" i="16"/>
  <c r="X1125" i="16"/>
  <c r="W1125" i="16"/>
  <c r="X1124" i="16"/>
  <c r="W1124" i="16"/>
  <c r="X1123" i="16"/>
  <c r="W1123" i="16"/>
  <c r="X1122" i="16"/>
  <c r="W1122" i="16"/>
  <c r="X1121" i="16"/>
  <c r="W1121" i="16"/>
  <c r="X1120" i="16"/>
  <c r="W1120" i="16"/>
  <c r="X1119" i="16"/>
  <c r="W1119" i="16"/>
  <c r="X1118" i="16"/>
  <c r="W1118" i="16"/>
  <c r="X1117" i="16"/>
  <c r="W1117" i="16"/>
  <c r="X1116" i="16"/>
  <c r="W1116" i="16"/>
  <c r="X1115" i="16"/>
  <c r="W1115" i="16"/>
  <c r="X1114" i="16"/>
  <c r="W1114" i="16"/>
  <c r="X1113" i="16"/>
  <c r="W1113" i="16"/>
  <c r="X1112" i="16"/>
  <c r="W1112" i="16"/>
  <c r="X1111" i="16"/>
  <c r="W1111" i="16"/>
  <c r="X1110" i="16"/>
  <c r="W1110" i="16"/>
  <c r="X1109" i="16"/>
  <c r="W1109" i="16"/>
  <c r="X1108" i="16"/>
  <c r="W1108" i="16"/>
  <c r="X1107" i="16"/>
  <c r="W1107" i="16"/>
  <c r="X1106" i="16"/>
  <c r="W1106" i="16"/>
  <c r="X1105" i="16"/>
  <c r="W1105" i="16"/>
  <c r="X1104" i="16"/>
  <c r="W1104" i="16"/>
  <c r="X1103" i="16"/>
  <c r="W1103" i="16"/>
  <c r="V1102" i="16"/>
  <c r="V1101" i="16"/>
  <c r="V1100" i="16"/>
  <c r="V1099" i="16"/>
  <c r="V1098" i="16"/>
  <c r="V1097" i="16"/>
  <c r="V1096" i="16"/>
  <c r="V1095" i="16"/>
  <c r="V1094" i="16"/>
  <c r="V1093" i="16"/>
  <c r="V1092" i="16"/>
  <c r="V1091" i="16"/>
  <c r="V1090" i="16"/>
  <c r="V1089" i="16"/>
  <c r="V1088" i="16"/>
  <c r="V1087" i="16"/>
  <c r="V1086" i="16"/>
  <c r="V1085" i="16"/>
  <c r="V1084" i="16"/>
  <c r="V1083" i="16"/>
  <c r="V1082" i="16"/>
  <c r="V1081" i="16"/>
  <c r="V1080" i="16"/>
  <c r="V1079" i="16"/>
  <c r="X1078" i="16"/>
  <c r="W1078" i="16"/>
  <c r="X1077" i="16"/>
  <c r="W1077" i="16"/>
  <c r="X1076" i="16"/>
  <c r="W1076" i="16"/>
  <c r="X1075" i="16"/>
  <c r="W1075" i="16"/>
  <c r="X1074" i="16"/>
  <c r="W1074" i="16"/>
  <c r="X1073" i="16"/>
  <c r="W1073" i="16"/>
  <c r="X1072" i="16"/>
  <c r="W1072" i="16"/>
  <c r="X1071" i="16"/>
  <c r="W1071" i="16"/>
  <c r="X1070" i="16"/>
  <c r="W1070" i="16"/>
  <c r="X1069" i="16"/>
  <c r="W1069" i="16"/>
  <c r="X1068" i="16"/>
  <c r="W1068" i="16"/>
  <c r="X1067" i="16"/>
  <c r="W1067" i="16"/>
  <c r="X1066" i="16"/>
  <c r="W1066" i="16"/>
  <c r="X1065" i="16"/>
  <c r="W1065" i="16"/>
  <c r="X1064" i="16"/>
  <c r="W1064" i="16"/>
  <c r="X1063" i="16"/>
  <c r="W1063" i="16"/>
  <c r="X1062" i="16"/>
  <c r="W1062" i="16"/>
  <c r="X1061" i="16"/>
  <c r="W1061" i="16"/>
  <c r="X1060" i="16"/>
  <c r="W1060" i="16"/>
  <c r="X1059" i="16"/>
  <c r="W1059" i="16"/>
  <c r="X1058" i="16"/>
  <c r="W1058" i="16"/>
  <c r="AD833" i="17"/>
  <c r="X833" i="17"/>
  <c r="W833" i="17"/>
  <c r="AD832" i="17"/>
  <c r="X832" i="17"/>
  <c r="W832" i="17"/>
  <c r="AD831" i="17"/>
  <c r="X831" i="17"/>
  <c r="W831" i="17"/>
  <c r="AD830" i="17"/>
  <c r="X830" i="17"/>
  <c r="W830" i="17"/>
  <c r="AD829" i="17"/>
  <c r="X829" i="17"/>
  <c r="W829" i="17"/>
  <c r="AD828" i="17"/>
  <c r="X828" i="17"/>
  <c r="W828" i="17"/>
  <c r="AD827" i="17"/>
  <c r="X827" i="17"/>
  <c r="W827" i="17"/>
  <c r="AD826" i="17"/>
  <c r="X826" i="17"/>
  <c r="W826" i="17"/>
  <c r="AD825" i="17"/>
  <c r="X825" i="17"/>
  <c r="W825" i="17"/>
  <c r="AD824" i="17"/>
  <c r="X824" i="17"/>
  <c r="W824" i="17"/>
  <c r="AD823" i="17"/>
  <c r="X823" i="17"/>
  <c r="W823" i="17"/>
  <c r="AD822" i="17"/>
  <c r="X822" i="17"/>
  <c r="W822" i="17"/>
  <c r="AD821" i="17"/>
  <c r="X821" i="17"/>
  <c r="W821" i="17"/>
  <c r="AD820" i="17"/>
  <c r="X820" i="17"/>
  <c r="W820" i="17"/>
  <c r="AD819" i="17"/>
  <c r="X819" i="17"/>
  <c r="W819" i="17"/>
  <c r="AD818" i="17"/>
  <c r="AD11" i="27" s="1"/>
  <c r="AI11" i="27" s="1"/>
  <c r="X818" i="17"/>
  <c r="W818" i="17"/>
  <c r="X588" i="16"/>
  <c r="W588" i="16"/>
  <c r="V588" i="16"/>
  <c r="X587" i="16"/>
  <c r="W587" i="16"/>
  <c r="V587" i="16"/>
  <c r="X586" i="16"/>
  <c r="W586" i="16"/>
  <c r="V586" i="16"/>
  <c r="X585" i="16"/>
  <c r="W585" i="16"/>
  <c r="V585" i="16"/>
  <c r="X584" i="16"/>
  <c r="W584" i="16"/>
  <c r="V584" i="16"/>
  <c r="X583" i="16"/>
  <c r="W583" i="16"/>
  <c r="V583" i="16"/>
  <c r="X582" i="16"/>
  <c r="W582" i="16"/>
  <c r="V582" i="16"/>
  <c r="X581" i="16"/>
  <c r="W581" i="16"/>
  <c r="V581" i="16"/>
  <c r="X580" i="16"/>
  <c r="W580" i="16"/>
  <c r="V580" i="16"/>
  <c r="X579" i="16"/>
  <c r="W579" i="16"/>
  <c r="V579" i="16"/>
  <c r="X578" i="16"/>
  <c r="W578" i="16"/>
  <c r="V578" i="16"/>
  <c r="X577" i="16"/>
  <c r="W577" i="16"/>
  <c r="V577" i="16"/>
  <c r="X576" i="16"/>
  <c r="W576" i="16"/>
  <c r="V576" i="16"/>
  <c r="X575" i="16"/>
  <c r="W575" i="16"/>
  <c r="V575" i="16"/>
  <c r="X574" i="16"/>
  <c r="W574" i="16"/>
  <c r="V574" i="16"/>
  <c r="X573" i="16"/>
  <c r="W573" i="16"/>
  <c r="V573" i="16"/>
  <c r="X572" i="16"/>
  <c r="W572" i="16"/>
  <c r="V572" i="16"/>
  <c r="X571" i="16"/>
  <c r="W571" i="16"/>
  <c r="V571" i="16"/>
  <c r="X570" i="16"/>
  <c r="W570" i="16"/>
  <c r="V570" i="16"/>
  <c r="X569" i="16"/>
  <c r="W569" i="16"/>
  <c r="V569" i="16"/>
  <c r="X568" i="16"/>
  <c r="W568" i="16"/>
  <c r="V568" i="16"/>
  <c r="X567" i="16"/>
  <c r="W567" i="16"/>
  <c r="V567" i="16"/>
  <c r="X566" i="16"/>
  <c r="W566" i="16"/>
  <c r="V566" i="16"/>
  <c r="X565" i="16"/>
  <c r="W565" i="16"/>
  <c r="V565" i="16"/>
  <c r="X564" i="16"/>
  <c r="W564" i="16"/>
  <c r="V564" i="16"/>
  <c r="X563" i="16"/>
  <c r="W563" i="16"/>
  <c r="V563" i="16"/>
  <c r="X562" i="16"/>
  <c r="W562" i="16"/>
  <c r="V562" i="16"/>
  <c r="X561" i="16"/>
  <c r="W561" i="16"/>
  <c r="V561" i="16"/>
  <c r="X560" i="16"/>
  <c r="W560" i="16"/>
  <c r="V560" i="16"/>
  <c r="X559" i="16"/>
  <c r="W559" i="16"/>
  <c r="V559" i="16"/>
  <c r="X558" i="16"/>
  <c r="W558" i="16"/>
  <c r="V558" i="16"/>
  <c r="X557" i="16"/>
  <c r="W557" i="16"/>
  <c r="V557" i="16"/>
  <c r="X556" i="16"/>
  <c r="W556" i="16"/>
  <c r="V556" i="16"/>
  <c r="X555" i="16"/>
  <c r="W555" i="16"/>
  <c r="V555" i="16"/>
  <c r="X554" i="16"/>
  <c r="W554" i="16"/>
  <c r="V554" i="16"/>
  <c r="X553" i="16"/>
  <c r="W553" i="16"/>
  <c r="V553" i="16"/>
  <c r="X552" i="16"/>
  <c r="W552" i="16"/>
  <c r="V552" i="16"/>
  <c r="X551" i="16"/>
  <c r="W551" i="16"/>
  <c r="V551" i="16"/>
  <c r="X550" i="16"/>
  <c r="W550" i="16"/>
  <c r="V550" i="16"/>
  <c r="X549" i="16"/>
  <c r="W549" i="16"/>
  <c r="V549" i="16"/>
  <c r="X548" i="16"/>
  <c r="W548" i="16"/>
  <c r="V548" i="16"/>
  <c r="X547" i="16"/>
  <c r="W547" i="16"/>
  <c r="V547" i="16"/>
  <c r="X546" i="16"/>
  <c r="W546" i="16"/>
  <c r="V546" i="16"/>
  <c r="X545" i="16"/>
  <c r="W545" i="16"/>
  <c r="V545" i="16"/>
  <c r="X544" i="16"/>
  <c r="W544" i="16"/>
  <c r="V544" i="16"/>
  <c r="X543" i="16"/>
  <c r="W543" i="16"/>
  <c r="V543" i="16"/>
  <c r="X542" i="16"/>
  <c r="W542" i="16"/>
  <c r="V542" i="16"/>
  <c r="X541" i="16"/>
  <c r="W541" i="16"/>
  <c r="V541" i="16"/>
  <c r="AD540" i="17"/>
  <c r="X540" i="17"/>
  <c r="W540" i="17"/>
  <c r="X540" i="16"/>
  <c r="W540" i="16"/>
  <c r="V540" i="16"/>
  <c r="AD539" i="17"/>
  <c r="X539" i="17"/>
  <c r="W539" i="17"/>
  <c r="AC539" i="17" s="1"/>
  <c r="X539" i="16"/>
  <c r="W539" i="16"/>
  <c r="V539" i="16"/>
  <c r="AD538" i="17"/>
  <c r="X538" i="17"/>
  <c r="W538" i="17"/>
  <c r="AD537" i="17"/>
  <c r="X537" i="17"/>
  <c r="W537" i="17"/>
  <c r="AD536" i="17"/>
  <c r="X536" i="17"/>
  <c r="W536" i="17"/>
  <c r="AD535" i="17"/>
  <c r="X535" i="17"/>
  <c r="W535" i="17"/>
  <c r="AD534" i="17"/>
  <c r="X534" i="17"/>
  <c r="W534" i="17"/>
  <c r="AD533" i="17"/>
  <c r="X533" i="17"/>
  <c r="W533" i="17"/>
  <c r="AD532" i="17"/>
  <c r="X532" i="17"/>
  <c r="W532" i="17"/>
  <c r="AD531" i="17"/>
  <c r="X531" i="17"/>
  <c r="W531" i="17"/>
  <c r="AD530" i="17"/>
  <c r="X530" i="17"/>
  <c r="W530" i="17"/>
  <c r="AD529" i="17"/>
  <c r="X529" i="17"/>
  <c r="W529" i="17"/>
  <c r="AE528" i="17"/>
  <c r="V528" i="17"/>
  <c r="AB528" i="17" s="1"/>
  <c r="AE527" i="17"/>
  <c r="V527" i="17"/>
  <c r="AB527" i="17" s="1"/>
  <c r="AE526" i="17"/>
  <c r="V526" i="17"/>
  <c r="AB526" i="17" s="1"/>
  <c r="AE525" i="17"/>
  <c r="V525" i="17"/>
  <c r="AB525" i="17" s="1"/>
  <c r="AE524" i="17"/>
  <c r="V524" i="17"/>
  <c r="AB524" i="17" s="1"/>
  <c r="AE523" i="17"/>
  <c r="V523" i="17"/>
  <c r="AB523" i="17" s="1"/>
  <c r="AE522" i="17"/>
  <c r="V522" i="17"/>
  <c r="AB522" i="17" s="1"/>
  <c r="AE521" i="17"/>
  <c r="V521" i="17"/>
  <c r="AB521" i="17" s="1"/>
  <c r="AE520" i="17"/>
  <c r="V520" i="17"/>
  <c r="AB520" i="17" s="1"/>
  <c r="AE519" i="17"/>
  <c r="V519" i="17"/>
  <c r="AB519" i="17" s="1"/>
  <c r="AE518" i="17"/>
  <c r="V518" i="17"/>
  <c r="AB518" i="17" s="1"/>
  <c r="AE517" i="17"/>
  <c r="V517" i="17"/>
  <c r="AB517" i="17" s="1"/>
  <c r="AD516" i="17"/>
  <c r="X516" i="17"/>
  <c r="W516" i="17"/>
  <c r="AD515" i="17"/>
  <c r="X515" i="17"/>
  <c r="W515" i="17"/>
  <c r="AD514" i="17"/>
  <c r="X514" i="17"/>
  <c r="W514" i="17"/>
  <c r="AD513" i="17"/>
  <c r="X513" i="17"/>
  <c r="W513" i="17"/>
  <c r="AD512" i="17"/>
  <c r="X512" i="17"/>
  <c r="W512" i="17"/>
  <c r="AD511" i="17"/>
  <c r="X511" i="17"/>
  <c r="W511" i="17"/>
  <c r="AD510" i="17"/>
  <c r="X510" i="17"/>
  <c r="W510" i="17"/>
  <c r="AD509" i="17"/>
  <c r="X509" i="17"/>
  <c r="W509" i="17"/>
  <c r="AD508" i="17"/>
  <c r="X508" i="17"/>
  <c r="W508" i="17"/>
  <c r="AD507" i="17"/>
  <c r="X507" i="17"/>
  <c r="W507" i="17"/>
  <c r="AD506" i="17"/>
  <c r="X506" i="17"/>
  <c r="W506" i="17"/>
  <c r="AD505" i="17"/>
  <c r="X505" i="17"/>
  <c r="W505" i="17"/>
  <c r="AD504" i="17"/>
  <c r="X504" i="17"/>
  <c r="W504" i="17"/>
  <c r="AD503" i="17"/>
  <c r="X503" i="17"/>
  <c r="W503" i="17"/>
  <c r="AD502" i="17"/>
  <c r="X502" i="17"/>
  <c r="W502" i="17"/>
  <c r="AD501" i="17"/>
  <c r="X501" i="17"/>
  <c r="W501" i="17"/>
  <c r="AD500" i="17"/>
  <c r="X500" i="17"/>
  <c r="W500" i="17"/>
  <c r="AD499" i="17"/>
  <c r="X499" i="17"/>
  <c r="W499" i="17"/>
  <c r="AD498" i="17"/>
  <c r="X498" i="17"/>
  <c r="W498" i="17"/>
  <c r="AD497" i="17"/>
  <c r="X497" i="17"/>
  <c r="W497" i="17"/>
  <c r="AD496" i="17"/>
  <c r="X496" i="17"/>
  <c r="W496" i="17"/>
  <c r="AD495" i="17"/>
  <c r="X495" i="17"/>
  <c r="W495" i="17"/>
  <c r="AD494" i="17"/>
  <c r="X494" i="17"/>
  <c r="W494" i="17"/>
  <c r="AD493" i="17"/>
  <c r="X493" i="17"/>
  <c r="W493" i="17"/>
  <c r="AD492" i="17"/>
  <c r="X492" i="17"/>
  <c r="W492" i="17"/>
  <c r="AD491" i="17"/>
  <c r="X491" i="17"/>
  <c r="W491" i="17"/>
  <c r="AD490" i="17"/>
  <c r="X490" i="17"/>
  <c r="W490" i="17"/>
  <c r="AD489" i="17"/>
  <c r="X489" i="17"/>
  <c r="W489" i="17"/>
  <c r="AD488" i="17"/>
  <c r="X488" i="17"/>
  <c r="W488" i="17"/>
  <c r="AD487" i="17"/>
  <c r="X487" i="17"/>
  <c r="W487" i="17"/>
  <c r="AD486" i="17"/>
  <c r="X486" i="17"/>
  <c r="W486" i="17"/>
  <c r="AD485" i="17"/>
  <c r="X485" i="17"/>
  <c r="W485" i="17"/>
  <c r="AD484" i="17"/>
  <c r="X484" i="17"/>
  <c r="W484" i="17"/>
  <c r="AD483" i="17"/>
  <c r="X483" i="17"/>
  <c r="W483" i="17"/>
  <c r="AD482" i="17"/>
  <c r="X482" i="17"/>
  <c r="W482" i="17"/>
  <c r="AD481" i="17"/>
  <c r="X481" i="17"/>
  <c r="W481" i="17"/>
  <c r="AD480" i="17"/>
  <c r="X480" i="17"/>
  <c r="W480" i="17"/>
  <c r="AD479" i="17"/>
  <c r="X479" i="17"/>
  <c r="W479" i="17"/>
  <c r="AD478" i="17"/>
  <c r="X478" i="17"/>
  <c r="W478" i="17"/>
  <c r="AD477" i="17"/>
  <c r="X477" i="17"/>
  <c r="W477" i="17"/>
  <c r="AD476" i="17"/>
  <c r="X476" i="17"/>
  <c r="W476" i="17"/>
  <c r="AD475" i="17"/>
  <c r="X475" i="17"/>
  <c r="W475" i="17"/>
  <c r="AD474" i="17"/>
  <c r="X474" i="17"/>
  <c r="W474" i="17"/>
  <c r="AE473" i="17"/>
  <c r="V473" i="17"/>
  <c r="AB473" i="17" s="1"/>
  <c r="AE472" i="17"/>
  <c r="V472" i="17"/>
  <c r="AB472" i="17" s="1"/>
  <c r="AE471" i="17"/>
  <c r="V471" i="17"/>
  <c r="AB471" i="17" s="1"/>
  <c r="AE470" i="17"/>
  <c r="V470" i="17"/>
  <c r="AB470" i="17" s="1"/>
  <c r="AE469" i="17"/>
  <c r="V469" i="17"/>
  <c r="AB469" i="17" s="1"/>
  <c r="AE468" i="17"/>
  <c r="V468" i="17"/>
  <c r="AB468" i="17" s="1"/>
  <c r="AE467" i="17"/>
  <c r="V467" i="17"/>
  <c r="AB467" i="17" s="1"/>
  <c r="AE466" i="17"/>
  <c r="V466" i="17"/>
  <c r="AB466" i="17" s="1"/>
  <c r="AE465" i="17"/>
  <c r="V465" i="17"/>
  <c r="AB465" i="17" s="1"/>
  <c r="AE464" i="17"/>
  <c r="V464" i="17"/>
  <c r="AB464" i="17" s="1"/>
  <c r="AE463" i="17"/>
  <c r="V463" i="17"/>
  <c r="AB463" i="17" s="1"/>
  <c r="AE462" i="17"/>
  <c r="V462" i="17"/>
  <c r="AB462" i="17" s="1"/>
  <c r="AE461" i="17"/>
  <c r="V461" i="17"/>
  <c r="AB461" i="17" s="1"/>
  <c r="AE460" i="17"/>
  <c r="V460" i="17"/>
  <c r="AB460" i="17" s="1"/>
  <c r="AE459" i="17"/>
  <c r="V459" i="17"/>
  <c r="AB459" i="17" s="1"/>
  <c r="AE458" i="17"/>
  <c r="V458" i="17"/>
  <c r="AB458" i="17" s="1"/>
  <c r="AE457" i="17"/>
  <c r="V457" i="17"/>
  <c r="AB457" i="17" s="1"/>
  <c r="AE456" i="17"/>
  <c r="V456" i="17"/>
  <c r="AB456" i="17" s="1"/>
  <c r="AE455" i="17"/>
  <c r="V455" i="17"/>
  <c r="AB455" i="17" s="1"/>
  <c r="AE454" i="17"/>
  <c r="V454" i="17"/>
  <c r="AB454" i="17" s="1"/>
  <c r="AE453" i="17"/>
  <c r="V453" i="17"/>
  <c r="AB453" i="17" s="1"/>
  <c r="AE452" i="17"/>
  <c r="V452" i="17"/>
  <c r="AB452" i="17" s="1"/>
  <c r="AE451" i="17"/>
  <c r="V451" i="17"/>
  <c r="AB451" i="17" s="1"/>
  <c r="AE450" i="17"/>
  <c r="V450" i="17"/>
  <c r="AB450" i="17" s="1"/>
  <c r="AE449" i="17"/>
  <c r="V449" i="17"/>
  <c r="AB449" i="17" s="1"/>
  <c r="AE448" i="17"/>
  <c r="V448" i="17"/>
  <c r="AB448" i="17" s="1"/>
  <c r="AE447" i="17"/>
  <c r="V447" i="17"/>
  <c r="AB447" i="17" s="1"/>
  <c r="AE446" i="17"/>
  <c r="V446" i="17"/>
  <c r="AB446" i="17" s="1"/>
  <c r="AE445" i="17"/>
  <c r="V445" i="17"/>
  <c r="AB445" i="17" s="1"/>
  <c r="AE444" i="17"/>
  <c r="V444" i="17"/>
  <c r="AB444" i="17" s="1"/>
  <c r="AE443" i="17"/>
  <c r="V443" i="17"/>
  <c r="AB443" i="17" s="1"/>
  <c r="AE442" i="17"/>
  <c r="V442" i="17"/>
  <c r="AB442" i="17" s="1"/>
  <c r="AE441" i="17"/>
  <c r="V441" i="17"/>
  <c r="AB441" i="17" s="1"/>
  <c r="AE440" i="17"/>
  <c r="V440" i="17"/>
  <c r="AB440" i="17" s="1"/>
  <c r="AD439" i="17"/>
  <c r="X439" i="17"/>
  <c r="W439" i="17"/>
  <c r="AD438" i="17"/>
  <c r="X438" i="17"/>
  <c r="W438" i="17"/>
  <c r="AD437" i="17"/>
  <c r="X437" i="17"/>
  <c r="W437" i="17"/>
  <c r="AD436" i="17"/>
  <c r="X436" i="17"/>
  <c r="W436" i="17"/>
  <c r="AD435" i="17"/>
  <c r="X435" i="17"/>
  <c r="W435" i="17"/>
  <c r="AD434" i="17"/>
  <c r="X434" i="17"/>
  <c r="W434" i="17"/>
  <c r="AD433" i="17"/>
  <c r="X433" i="17"/>
  <c r="W433" i="17"/>
  <c r="AD432" i="17"/>
  <c r="X432" i="17"/>
  <c r="W432" i="17"/>
  <c r="AD431" i="17"/>
  <c r="X431" i="17"/>
  <c r="W431" i="17"/>
  <c r="AD430" i="17"/>
  <c r="X430" i="17"/>
  <c r="W430" i="17"/>
  <c r="AD429" i="17"/>
  <c r="X429" i="17"/>
  <c r="W429" i="17"/>
  <c r="AD428" i="17"/>
  <c r="X428" i="17"/>
  <c r="W428" i="17"/>
  <c r="AD427" i="17"/>
  <c r="X427" i="17"/>
  <c r="W427" i="17"/>
  <c r="AD426" i="17"/>
  <c r="X426" i="17"/>
  <c r="W426" i="17"/>
  <c r="AD425" i="17"/>
  <c r="X425" i="17"/>
  <c r="W425" i="17"/>
  <c r="AD424" i="17"/>
  <c r="X424" i="17"/>
  <c r="W424" i="17"/>
  <c r="AD423" i="17"/>
  <c r="X423" i="17"/>
  <c r="W423" i="17"/>
  <c r="AD422" i="17"/>
  <c r="X422" i="17"/>
  <c r="W422" i="17"/>
  <c r="AD421" i="17"/>
  <c r="X421" i="17"/>
  <c r="W421" i="17"/>
  <c r="AD420" i="17"/>
  <c r="X420" i="17"/>
  <c r="W420" i="17"/>
  <c r="AD419" i="17"/>
  <c r="X419" i="17"/>
  <c r="W419" i="17"/>
  <c r="AD418" i="17"/>
  <c r="X418" i="17"/>
  <c r="W418" i="17"/>
  <c r="AD417" i="17"/>
  <c r="X417" i="17"/>
  <c r="W417" i="17"/>
  <c r="AD416" i="17"/>
  <c r="X416" i="17"/>
  <c r="W416" i="17"/>
  <c r="AD415" i="17"/>
  <c r="X415" i="17"/>
  <c r="W415" i="17"/>
  <c r="AD414" i="17"/>
  <c r="X414" i="17"/>
  <c r="W414" i="17"/>
  <c r="AD413" i="17"/>
  <c r="X413" i="17"/>
  <c r="W413" i="17"/>
  <c r="AD412" i="17"/>
  <c r="X412" i="17"/>
  <c r="W412" i="17"/>
  <c r="AD411" i="17"/>
  <c r="X411" i="17"/>
  <c r="W411" i="17"/>
  <c r="AD410" i="17"/>
  <c r="X410" i="17"/>
  <c r="W410" i="17"/>
  <c r="AD409" i="17"/>
  <c r="X409" i="17"/>
  <c r="W409" i="17"/>
  <c r="AD408" i="17"/>
  <c r="X408" i="17"/>
  <c r="W408" i="17"/>
  <c r="AD407" i="17"/>
  <c r="X407" i="17"/>
  <c r="W407" i="17"/>
  <c r="AD406" i="17"/>
  <c r="X406" i="17"/>
  <c r="W406" i="17"/>
  <c r="AD405" i="17"/>
  <c r="X405" i="17"/>
  <c r="W405" i="17"/>
  <c r="AD404" i="17"/>
  <c r="X404" i="17"/>
  <c r="W404" i="17"/>
  <c r="AD403" i="17"/>
  <c r="X403" i="17"/>
  <c r="W403" i="17"/>
  <c r="AD402" i="17"/>
  <c r="X402" i="17"/>
  <c r="W402" i="17"/>
  <c r="AD401" i="17"/>
  <c r="X401" i="17"/>
  <c r="W401" i="17"/>
  <c r="AD400" i="17"/>
  <c r="X400" i="17"/>
  <c r="W400" i="17"/>
  <c r="AD399" i="17"/>
  <c r="X399" i="17"/>
  <c r="W399" i="17"/>
  <c r="AD398" i="17"/>
  <c r="X398" i="17"/>
  <c r="W398" i="17"/>
  <c r="AD397" i="17"/>
  <c r="X397" i="17"/>
  <c r="W397" i="17"/>
  <c r="AD396" i="17"/>
  <c r="X396" i="17"/>
  <c r="W396" i="17"/>
  <c r="AD395" i="17"/>
  <c r="X395" i="17"/>
  <c r="W395" i="17"/>
  <c r="AD394" i="17"/>
  <c r="X394" i="17"/>
  <c r="W394" i="17"/>
  <c r="AD393" i="17"/>
  <c r="X393" i="17"/>
  <c r="W393" i="17"/>
  <c r="AD392" i="17"/>
  <c r="X392" i="17"/>
  <c r="W392" i="17"/>
  <c r="AD391" i="17"/>
  <c r="X391" i="17"/>
  <c r="W391" i="17"/>
  <c r="AD390" i="17"/>
  <c r="X390" i="17"/>
  <c r="W390" i="17"/>
  <c r="AD389" i="17"/>
  <c r="X389" i="17"/>
  <c r="W389" i="17"/>
  <c r="AD388" i="17"/>
  <c r="X388" i="17"/>
  <c r="W388" i="17"/>
  <c r="AD387" i="17"/>
  <c r="X387" i="17"/>
  <c r="W387" i="17"/>
  <c r="AD386" i="17"/>
  <c r="X386" i="17"/>
  <c r="W386" i="17"/>
  <c r="AD385" i="17"/>
  <c r="X385" i="17"/>
  <c r="W385" i="17"/>
  <c r="AE384" i="17"/>
  <c r="V384" i="17"/>
  <c r="AB384" i="17" s="1"/>
  <c r="AE383" i="17"/>
  <c r="V383" i="17"/>
  <c r="AB383" i="17" s="1"/>
  <c r="AE382" i="17"/>
  <c r="V382" i="17"/>
  <c r="AB382" i="17" s="1"/>
  <c r="AE381" i="17"/>
  <c r="V381" i="17"/>
  <c r="AB381" i="17" s="1"/>
  <c r="AE380" i="17"/>
  <c r="V380" i="17"/>
  <c r="AB380" i="17" s="1"/>
  <c r="AE379" i="17"/>
  <c r="AB379" i="17"/>
  <c r="V379" i="17"/>
  <c r="AE378" i="17"/>
  <c r="V378" i="17"/>
  <c r="AB378" i="17" s="1"/>
  <c r="AE377" i="17"/>
  <c r="V377" i="17"/>
  <c r="AB377" i="17" s="1"/>
  <c r="AE376" i="17"/>
  <c r="V376" i="17"/>
  <c r="AB376" i="17" s="1"/>
  <c r="AE375" i="17"/>
  <c r="V375" i="17"/>
  <c r="AB375" i="17" s="1"/>
  <c r="AE374" i="17"/>
  <c r="V374" i="17"/>
  <c r="AB374" i="17" s="1"/>
  <c r="AE373" i="17"/>
  <c r="AB373" i="17"/>
  <c r="V373" i="17"/>
  <c r="AE372" i="17"/>
  <c r="V372" i="17"/>
  <c r="AB372" i="17" s="1"/>
  <c r="AE371" i="17"/>
  <c r="V371" i="17"/>
  <c r="AB371" i="17" s="1"/>
  <c r="AE370" i="17"/>
  <c r="V370" i="17"/>
  <c r="AB370" i="17" s="1"/>
  <c r="AE369" i="17"/>
  <c r="AB369" i="17"/>
  <c r="V369" i="17"/>
  <c r="AE368" i="17"/>
  <c r="V368" i="17"/>
  <c r="AB368" i="17" s="1"/>
  <c r="AE367" i="17"/>
  <c r="V367" i="17"/>
  <c r="AB367" i="17" s="1"/>
  <c r="AE366" i="17"/>
  <c r="V366" i="17"/>
  <c r="AB366" i="17" s="1"/>
  <c r="AE365" i="17"/>
  <c r="V365" i="17"/>
  <c r="AB365" i="17" s="1"/>
  <c r="AE364" i="17"/>
  <c r="V364" i="17"/>
  <c r="AB364" i="17" s="1"/>
  <c r="X364" i="16"/>
  <c r="W364" i="16"/>
  <c r="AE363" i="17"/>
  <c r="AB363" i="17"/>
  <c r="V363" i="17"/>
  <c r="X363" i="16"/>
  <c r="W363" i="16"/>
  <c r="AE362" i="17"/>
  <c r="V362" i="17"/>
  <c r="AB362" i="17" s="1"/>
  <c r="X362" i="16"/>
  <c r="W362" i="16"/>
  <c r="AE361" i="17"/>
  <c r="V361" i="17"/>
  <c r="AB361" i="17" s="1"/>
  <c r="X361" i="16"/>
  <c r="W361" i="16"/>
  <c r="AD360" i="17"/>
  <c r="X360" i="17"/>
  <c r="W360" i="17"/>
  <c r="AC360" i="17" s="1"/>
  <c r="X360" i="16"/>
  <c r="W360" i="16"/>
  <c r="AD359" i="17"/>
  <c r="X359" i="17"/>
  <c r="W359" i="17"/>
  <c r="AC359" i="17" s="1"/>
  <c r="X359" i="16"/>
  <c r="W359" i="16"/>
  <c r="AD358" i="17"/>
  <c r="X358" i="17"/>
  <c r="W358" i="17"/>
  <c r="AC358" i="17" s="1"/>
  <c r="X358" i="16"/>
  <c r="W358" i="16"/>
  <c r="AD357" i="17"/>
  <c r="X357" i="17"/>
  <c r="W357" i="17"/>
  <c r="AC357" i="17" s="1"/>
  <c r="X357" i="16"/>
  <c r="W357" i="16"/>
  <c r="AD356" i="17"/>
  <c r="X356" i="17"/>
  <c r="W356" i="17"/>
  <c r="AC356" i="17" s="1"/>
  <c r="X356" i="16"/>
  <c r="W356" i="16"/>
  <c r="AD355" i="17"/>
  <c r="X355" i="17"/>
  <c r="W355" i="17"/>
  <c r="AC355" i="17" s="1"/>
  <c r="X355" i="16"/>
  <c r="W355" i="16"/>
  <c r="AD354" i="17"/>
  <c r="X354" i="17"/>
  <c r="W354" i="17"/>
  <c r="AC354" i="17" s="1"/>
  <c r="X354" i="16"/>
  <c r="W354" i="16"/>
  <c r="AD353" i="17"/>
  <c r="X353" i="17"/>
  <c r="W353" i="17"/>
  <c r="AC353" i="17" s="1"/>
  <c r="X353" i="16"/>
  <c r="W353" i="16"/>
  <c r="AD352" i="17"/>
  <c r="X352" i="17"/>
  <c r="W352" i="17"/>
  <c r="AC352" i="17" s="1"/>
  <c r="V352" i="16"/>
  <c r="AD351" i="17"/>
  <c r="X351" i="17"/>
  <c r="W351" i="17"/>
  <c r="V351" i="16"/>
  <c r="AD350" i="17"/>
  <c r="X350" i="17"/>
  <c r="W350" i="17"/>
  <c r="AC350" i="17" s="1"/>
  <c r="V350" i="16"/>
  <c r="AD349" i="17"/>
  <c r="X349" i="17"/>
  <c r="W349" i="17"/>
  <c r="V349" i="16"/>
  <c r="AD348" i="17"/>
  <c r="X348" i="17"/>
  <c r="W348" i="17"/>
  <c r="AC348" i="17" s="1"/>
  <c r="V348" i="16"/>
  <c r="AD347" i="17"/>
  <c r="X347" i="17"/>
  <c r="W347" i="17"/>
  <c r="V347" i="16"/>
  <c r="AD346" i="17"/>
  <c r="X346" i="17"/>
  <c r="W346" i="17"/>
  <c r="AC346" i="17" s="1"/>
  <c r="V346" i="16"/>
  <c r="AD345" i="17"/>
  <c r="X345" i="17"/>
  <c r="W345" i="17"/>
  <c r="V345" i="16"/>
  <c r="AD344" i="17"/>
  <c r="X344" i="17"/>
  <c r="W344" i="17"/>
  <c r="AC344" i="17" s="1"/>
  <c r="V344" i="16"/>
  <c r="AD343" i="17"/>
  <c r="X343" i="17"/>
  <c r="W343" i="17"/>
  <c r="V343" i="16"/>
  <c r="AD342" i="17"/>
  <c r="X342" i="17"/>
  <c r="W342" i="17"/>
  <c r="AC342" i="17" s="1"/>
  <c r="V342" i="16"/>
  <c r="AD341" i="17"/>
  <c r="X341" i="17"/>
  <c r="W341" i="17"/>
  <c r="V341" i="16"/>
  <c r="AD340" i="17"/>
  <c r="X340" i="17"/>
  <c r="W340" i="17"/>
  <c r="AC340" i="17" s="1"/>
  <c r="X340" i="16"/>
  <c r="W340" i="16"/>
  <c r="X339" i="16"/>
  <c r="W339" i="16"/>
  <c r="X338" i="16"/>
  <c r="W338" i="16"/>
  <c r="X337" i="16"/>
  <c r="W337" i="16"/>
  <c r="X336" i="16"/>
  <c r="W336" i="16"/>
  <c r="X335" i="16"/>
  <c r="W335" i="16"/>
  <c r="X334" i="16"/>
  <c r="W334" i="16"/>
  <c r="X333" i="16"/>
  <c r="W333" i="16"/>
  <c r="X332" i="16"/>
  <c r="W332" i="16"/>
  <c r="X331" i="16"/>
  <c r="W331" i="16"/>
  <c r="X330" i="16"/>
  <c r="W330" i="16"/>
  <c r="X329" i="16"/>
  <c r="W329" i="16"/>
  <c r="X279" i="17"/>
  <c r="W279" i="17"/>
  <c r="AC279" i="17" s="1"/>
  <c r="V279" i="17"/>
  <c r="AB279" i="17" s="1"/>
  <c r="X278" i="17"/>
  <c r="W278" i="17"/>
  <c r="V278" i="17"/>
  <c r="AB278" i="17" s="1"/>
  <c r="AC277" i="17"/>
  <c r="X277" i="17"/>
  <c r="W277" i="17"/>
  <c r="V277" i="17"/>
  <c r="AB277" i="17" s="1"/>
  <c r="X276" i="17"/>
  <c r="AC276" i="17" s="1"/>
  <c r="W276" i="17"/>
  <c r="V276" i="17"/>
  <c r="AB276" i="17" s="1"/>
  <c r="X275" i="17"/>
  <c r="AC275" i="17" s="1"/>
  <c r="W275" i="17"/>
  <c r="V275" i="17"/>
  <c r="AB275" i="17" s="1"/>
  <c r="X274" i="17"/>
  <c r="W274" i="17"/>
  <c r="V274" i="17"/>
  <c r="AB274" i="17" s="1"/>
  <c r="X273" i="17"/>
  <c r="W273" i="17"/>
  <c r="AC273" i="17" s="1"/>
  <c r="V273" i="17"/>
  <c r="AB273" i="17" s="1"/>
  <c r="X272" i="17"/>
  <c r="AC272" i="17" s="1"/>
  <c r="W272" i="17"/>
  <c r="V272" i="17"/>
  <c r="AB272" i="17" s="1"/>
  <c r="X271" i="17"/>
  <c r="W271" i="17"/>
  <c r="AC271" i="17" s="1"/>
  <c r="V271" i="17"/>
  <c r="AB271" i="17" s="1"/>
  <c r="X270" i="17"/>
  <c r="W270" i="17"/>
  <c r="V270" i="17"/>
  <c r="AB270" i="17" s="1"/>
  <c r="X269" i="17"/>
  <c r="W269" i="17"/>
  <c r="V269" i="17"/>
  <c r="AB269" i="17" s="1"/>
  <c r="X268" i="17"/>
  <c r="W268" i="17"/>
  <c r="AC268" i="17" s="1"/>
  <c r="V268" i="17"/>
  <c r="AB268" i="17" s="1"/>
  <c r="X267" i="17"/>
  <c r="W267" i="17"/>
  <c r="V267" i="17"/>
  <c r="AB267" i="17" s="1"/>
  <c r="X266" i="17"/>
  <c r="W266" i="17"/>
  <c r="AC266" i="17" s="1"/>
  <c r="V266" i="17"/>
  <c r="AB266" i="17" s="1"/>
  <c r="X265" i="17"/>
  <c r="W265" i="17"/>
  <c r="V265" i="17"/>
  <c r="AB265" i="17" s="1"/>
  <c r="X264" i="17"/>
  <c r="W264" i="17"/>
  <c r="AC264" i="17" s="1"/>
  <c r="V264" i="17"/>
  <c r="AB264" i="17" s="1"/>
  <c r="X263" i="17"/>
  <c r="W263" i="17"/>
  <c r="V263" i="17"/>
  <c r="AB263" i="17" s="1"/>
  <c r="X262" i="17"/>
  <c r="W262" i="17"/>
  <c r="AC262" i="17" s="1"/>
  <c r="V262" i="17"/>
  <c r="AB262" i="17" s="1"/>
  <c r="X261" i="17"/>
  <c r="W261" i="17"/>
  <c r="V261" i="17"/>
  <c r="AB261" i="17" s="1"/>
  <c r="X260" i="17"/>
  <c r="W260" i="17"/>
  <c r="AC260" i="17" s="1"/>
  <c r="V260" i="17"/>
  <c r="AB260" i="17" s="1"/>
  <c r="X259" i="17"/>
  <c r="W259" i="17"/>
  <c r="V259" i="17"/>
  <c r="AB259" i="17" s="1"/>
  <c r="X258" i="17"/>
  <c r="W258" i="17"/>
  <c r="AC258" i="17" s="1"/>
  <c r="V258" i="17"/>
  <c r="AB258" i="17" s="1"/>
  <c r="X257" i="17"/>
  <c r="W257" i="17"/>
  <c r="V257" i="17"/>
  <c r="AB257" i="17" s="1"/>
  <c r="X256" i="17"/>
  <c r="W256" i="17"/>
  <c r="AC256" i="17" s="1"/>
  <c r="V256" i="17"/>
  <c r="AB256" i="17" s="1"/>
  <c r="X255" i="17"/>
  <c r="W255" i="17"/>
  <c r="V255" i="17"/>
  <c r="AB255" i="17" s="1"/>
  <c r="X254" i="17"/>
  <c r="W254" i="17"/>
  <c r="AC254" i="17" s="1"/>
  <c r="V254" i="17"/>
  <c r="AB254" i="17" s="1"/>
  <c r="X253" i="17"/>
  <c r="W253" i="17"/>
  <c r="V253" i="17"/>
  <c r="AB253" i="17" s="1"/>
  <c r="X252" i="17"/>
  <c r="W252" i="17"/>
  <c r="AC252" i="17" s="1"/>
  <c r="V252" i="17"/>
  <c r="AB252" i="17" s="1"/>
  <c r="X251" i="17"/>
  <c r="W251" i="17"/>
  <c r="V251" i="17"/>
  <c r="AB251" i="17" s="1"/>
  <c r="X250" i="17"/>
  <c r="W250" i="17"/>
  <c r="AC250" i="17" s="1"/>
  <c r="V250" i="17"/>
  <c r="AB250" i="17" s="1"/>
  <c r="X249" i="17"/>
  <c r="W249" i="17"/>
  <c r="V249" i="17"/>
  <c r="AB249" i="17" s="1"/>
  <c r="X248" i="17"/>
  <c r="W248" i="17"/>
  <c r="AC248" i="17" s="1"/>
  <c r="V248" i="17"/>
  <c r="AB248" i="17" s="1"/>
  <c r="X247" i="17"/>
  <c r="W247" i="17"/>
  <c r="V247" i="17"/>
  <c r="AB247" i="17" s="1"/>
  <c r="X246" i="17"/>
  <c r="W246" i="17"/>
  <c r="AC246" i="17" s="1"/>
  <c r="V246" i="17"/>
  <c r="AB246" i="17" s="1"/>
  <c r="X245" i="17"/>
  <c r="W245" i="17"/>
  <c r="V245" i="17"/>
  <c r="AB245" i="17" s="1"/>
  <c r="X244" i="17"/>
  <c r="AC244" i="17" s="1"/>
  <c r="W244" i="17"/>
  <c r="V244" i="17"/>
  <c r="AB244" i="17" s="1"/>
  <c r="X243" i="17"/>
  <c r="W243" i="17"/>
  <c r="AC243" i="17" s="1"/>
  <c r="V243" i="17"/>
  <c r="AB243" i="17" s="1"/>
  <c r="X242" i="17"/>
  <c r="W242" i="17"/>
  <c r="V242" i="17"/>
  <c r="AB242" i="17" s="1"/>
  <c r="X241" i="17"/>
  <c r="W241" i="17"/>
  <c r="V241" i="17"/>
  <c r="AB241" i="17" s="1"/>
  <c r="X241" i="16"/>
  <c r="W241" i="16"/>
  <c r="V241" i="16"/>
  <c r="X240" i="17"/>
  <c r="W240" i="17"/>
  <c r="V240" i="17"/>
  <c r="AB240" i="17" s="1"/>
  <c r="X240" i="16"/>
  <c r="W240" i="16"/>
  <c r="V240" i="16"/>
  <c r="X239" i="17"/>
  <c r="W239" i="17"/>
  <c r="AC239" i="17" s="1"/>
  <c r="V239" i="17"/>
  <c r="AB239" i="17" s="1"/>
  <c r="X239" i="16"/>
  <c r="W239" i="16"/>
  <c r="V239" i="16"/>
  <c r="X238" i="17"/>
  <c r="W238" i="17"/>
  <c r="V238" i="17"/>
  <c r="AB238" i="17" s="1"/>
  <c r="X238" i="16"/>
  <c r="W238" i="16"/>
  <c r="V238" i="16"/>
  <c r="X237" i="17"/>
  <c r="W237" i="17"/>
  <c r="AC237" i="17" s="1"/>
  <c r="V237" i="17"/>
  <c r="AB237" i="17" s="1"/>
  <c r="X237" i="16"/>
  <c r="W237" i="16"/>
  <c r="V237" i="16"/>
  <c r="X236" i="17"/>
  <c r="W236" i="17"/>
  <c r="AC236" i="17" s="1"/>
  <c r="V236" i="17"/>
  <c r="AB236" i="17" s="1"/>
  <c r="X236" i="16"/>
  <c r="W236" i="16"/>
  <c r="V236" i="16"/>
  <c r="X235" i="17"/>
  <c r="W235" i="17"/>
  <c r="AC235" i="17" s="1"/>
  <c r="V235" i="17"/>
  <c r="AB235" i="17" s="1"/>
  <c r="X235" i="16"/>
  <c r="W235" i="16"/>
  <c r="V235" i="16"/>
  <c r="X234" i="17"/>
  <c r="W234" i="17"/>
  <c r="AC234" i="17" s="1"/>
  <c r="V234" i="17"/>
  <c r="AB234" i="17" s="1"/>
  <c r="X234" i="16"/>
  <c r="W234" i="16"/>
  <c r="V234" i="16"/>
  <c r="X233" i="17"/>
  <c r="W233" i="17"/>
  <c r="AC233" i="17" s="1"/>
  <c r="V233" i="17"/>
  <c r="AB233" i="17" s="1"/>
  <c r="X233" i="16"/>
  <c r="W233" i="16"/>
  <c r="V233" i="16"/>
  <c r="X232" i="17"/>
  <c r="W232" i="17"/>
  <c r="AC232" i="17" s="1"/>
  <c r="V232" i="17"/>
  <c r="AB232" i="17" s="1"/>
  <c r="X232" i="16"/>
  <c r="W232" i="16"/>
  <c r="V232" i="16"/>
  <c r="X231" i="17"/>
  <c r="W231" i="17"/>
  <c r="AC231" i="17" s="1"/>
  <c r="V231" i="17"/>
  <c r="AB231" i="17" s="1"/>
  <c r="X231" i="16"/>
  <c r="W231" i="16"/>
  <c r="V231" i="16"/>
  <c r="X230" i="17"/>
  <c r="W230" i="17"/>
  <c r="AC230" i="17" s="1"/>
  <c r="V230" i="17"/>
  <c r="AB230" i="17" s="1"/>
  <c r="X230" i="16"/>
  <c r="W230" i="16"/>
  <c r="V230" i="16"/>
  <c r="X229" i="16"/>
  <c r="W229" i="16"/>
  <c r="V229" i="16"/>
  <c r="X228" i="16"/>
  <c r="W228" i="16"/>
  <c r="V228" i="16"/>
  <c r="X227" i="16"/>
  <c r="W227" i="16"/>
  <c r="V227" i="16"/>
  <c r="X226" i="16"/>
  <c r="W226" i="16"/>
  <c r="V226" i="16"/>
  <c r="X225" i="16"/>
  <c r="W225" i="16"/>
  <c r="V225" i="16"/>
  <c r="X224" i="16"/>
  <c r="W224" i="16"/>
  <c r="V224" i="16"/>
  <c r="X223" i="16"/>
  <c r="W223" i="16"/>
  <c r="V223" i="16"/>
  <c r="X222" i="16"/>
  <c r="W222" i="16"/>
  <c r="V222" i="16"/>
  <c r="X221" i="16"/>
  <c r="W221" i="16"/>
  <c r="V221" i="16"/>
  <c r="X220" i="16"/>
  <c r="W220" i="16"/>
  <c r="V220" i="16"/>
  <c r="X219" i="16"/>
  <c r="W219" i="16"/>
  <c r="V219" i="16"/>
  <c r="X218" i="16"/>
  <c r="W218" i="16"/>
  <c r="V218" i="16"/>
  <c r="AD193" i="17"/>
  <c r="X193" i="17"/>
  <c r="W193" i="17"/>
  <c r="AC193" i="17" s="1"/>
  <c r="AD192" i="17"/>
  <c r="X192" i="17"/>
  <c r="W192" i="17"/>
  <c r="AC192" i="17" s="1"/>
  <c r="AD191" i="17"/>
  <c r="X191" i="17"/>
  <c r="W191" i="17"/>
  <c r="AC191" i="17" s="1"/>
  <c r="AD190" i="17"/>
  <c r="X190" i="17"/>
  <c r="W190" i="17"/>
  <c r="AC190" i="17" s="1"/>
  <c r="AD189" i="17"/>
  <c r="X189" i="17"/>
  <c r="W189" i="17"/>
  <c r="AC189" i="17" s="1"/>
  <c r="AD188" i="17"/>
  <c r="X188" i="17"/>
  <c r="W188" i="17"/>
  <c r="AC188" i="17" s="1"/>
  <c r="AD187" i="17"/>
  <c r="X187" i="17"/>
  <c r="W187" i="17"/>
  <c r="AC187" i="17" s="1"/>
  <c r="AD186" i="17"/>
  <c r="X186" i="17"/>
  <c r="W186" i="17"/>
  <c r="AC186" i="17" s="1"/>
  <c r="AD185" i="17"/>
  <c r="X185" i="17"/>
  <c r="W185" i="17"/>
  <c r="AC185" i="17" s="1"/>
  <c r="AD184" i="17"/>
  <c r="X184" i="17"/>
  <c r="W184" i="17"/>
  <c r="AC184" i="17" s="1"/>
  <c r="AD183" i="17"/>
  <c r="X183" i="17"/>
  <c r="W183" i="17"/>
  <c r="AC183" i="17" s="1"/>
  <c r="AD182" i="17"/>
  <c r="X182" i="17"/>
  <c r="W182" i="17"/>
  <c r="AC182" i="17" s="1"/>
  <c r="AE181" i="17"/>
  <c r="V181" i="17"/>
  <c r="AB181" i="17" s="1"/>
  <c r="AE180" i="17"/>
  <c r="V180" i="17"/>
  <c r="AB180" i="17" s="1"/>
  <c r="AE179" i="17"/>
  <c r="V179" i="17"/>
  <c r="AB179" i="17" s="1"/>
  <c r="AE178" i="17"/>
  <c r="V178" i="17"/>
  <c r="AB178" i="17" s="1"/>
  <c r="AE177" i="17"/>
  <c r="V177" i="17"/>
  <c r="AB177" i="17" s="1"/>
  <c r="AE176" i="17"/>
  <c r="V176" i="17"/>
  <c r="AB176" i="17" s="1"/>
  <c r="AE175" i="17"/>
  <c r="V175" i="17"/>
  <c r="AB175" i="17" s="1"/>
  <c r="AE174" i="17"/>
  <c r="V174" i="17"/>
  <c r="AB174" i="17" s="1"/>
  <c r="AE173" i="17"/>
  <c r="V173" i="17"/>
  <c r="AB173" i="17" s="1"/>
  <c r="AE172" i="17"/>
  <c r="V172" i="17"/>
  <c r="AB172" i="17" s="1"/>
  <c r="AE171" i="17"/>
  <c r="V171" i="17"/>
  <c r="AB171" i="17" s="1"/>
  <c r="AE170" i="17"/>
  <c r="V170" i="17"/>
  <c r="AB170" i="17" s="1"/>
  <c r="AD169" i="17"/>
  <c r="X169" i="17"/>
  <c r="W169" i="17"/>
  <c r="AC169" i="17" s="1"/>
  <c r="AD168" i="17"/>
  <c r="X168" i="17"/>
  <c r="W168" i="17"/>
  <c r="AC168" i="17" s="1"/>
  <c r="AD167" i="17"/>
  <c r="X167" i="17"/>
  <c r="W167" i="17"/>
  <c r="AC167" i="17" s="1"/>
  <c r="AD166" i="17"/>
  <c r="X166" i="17"/>
  <c r="W166" i="17"/>
  <c r="AC166" i="17" s="1"/>
  <c r="AD165" i="17"/>
  <c r="X165" i="17"/>
  <c r="W165" i="17"/>
  <c r="AC165" i="17" s="1"/>
  <c r="AD164" i="17"/>
  <c r="X164" i="17"/>
  <c r="W164" i="17"/>
  <c r="AC164" i="17" s="1"/>
  <c r="AD163" i="17"/>
  <c r="X163" i="17"/>
  <c r="W163" i="17"/>
  <c r="AC163" i="17" s="1"/>
  <c r="AD162" i="17"/>
  <c r="X162" i="17"/>
  <c r="W162" i="17"/>
  <c r="AC162" i="17" s="1"/>
  <c r="AD161" i="17"/>
  <c r="X161" i="17"/>
  <c r="W161" i="17"/>
  <c r="AC161" i="17" s="1"/>
  <c r="AD160" i="17"/>
  <c r="X160" i="17"/>
  <c r="W160" i="17"/>
  <c r="AC160" i="17" s="1"/>
  <c r="AD159" i="17"/>
  <c r="X159" i="17"/>
  <c r="W159" i="17"/>
  <c r="AC159" i="17" s="1"/>
  <c r="AD158" i="17"/>
  <c r="X158" i="17"/>
  <c r="W158" i="17"/>
  <c r="AC158" i="17" s="1"/>
  <c r="X121" i="16"/>
  <c r="W121" i="16"/>
  <c r="V121" i="16"/>
  <c r="X120" i="16"/>
  <c r="W120" i="16"/>
  <c r="V120" i="16"/>
  <c r="X119" i="16"/>
  <c r="W119" i="16"/>
  <c r="V119" i="16"/>
  <c r="X118" i="16"/>
  <c r="W118" i="16"/>
  <c r="V118" i="16"/>
  <c r="X117" i="16"/>
  <c r="W117" i="16"/>
  <c r="V117" i="16"/>
  <c r="X116" i="16"/>
  <c r="W116" i="16"/>
  <c r="V116" i="16"/>
  <c r="X115" i="16"/>
  <c r="W115" i="16"/>
  <c r="V115" i="16"/>
  <c r="X114" i="16"/>
  <c r="W114" i="16"/>
  <c r="V114" i="16"/>
  <c r="X113" i="16"/>
  <c r="W113" i="16"/>
  <c r="V113" i="16"/>
  <c r="X112" i="16"/>
  <c r="W112" i="16"/>
  <c r="V112" i="16"/>
  <c r="X111" i="16"/>
  <c r="W111" i="16"/>
  <c r="V111" i="16"/>
  <c r="X110" i="16"/>
  <c r="W110" i="16"/>
  <c r="V110" i="16"/>
  <c r="X109" i="17"/>
  <c r="W109" i="17"/>
  <c r="AC109" i="17" s="1"/>
  <c r="V109" i="17"/>
  <c r="AB109" i="17" s="1"/>
  <c r="X109" i="16"/>
  <c r="W109" i="16"/>
  <c r="V109" i="16"/>
  <c r="X108" i="17"/>
  <c r="W108" i="17"/>
  <c r="AC108" i="17" s="1"/>
  <c r="V108" i="17"/>
  <c r="AB108" i="17" s="1"/>
  <c r="X108" i="16"/>
  <c r="W108" i="16"/>
  <c r="V108" i="16"/>
  <c r="X107" i="17"/>
  <c r="W107" i="17"/>
  <c r="AC107" i="17" s="1"/>
  <c r="V107" i="17"/>
  <c r="AB107" i="17" s="1"/>
  <c r="X107" i="16"/>
  <c r="W107" i="16"/>
  <c r="V107" i="16"/>
  <c r="X106" i="17"/>
  <c r="W106" i="17"/>
  <c r="AC106" i="17" s="1"/>
  <c r="V106" i="17"/>
  <c r="AB106" i="17" s="1"/>
  <c r="X106" i="16"/>
  <c r="W106" i="16"/>
  <c r="V106" i="16"/>
  <c r="X105" i="17"/>
  <c r="W105" i="17"/>
  <c r="AC105" i="17" s="1"/>
  <c r="V105" i="17"/>
  <c r="AB105" i="17" s="1"/>
  <c r="X105" i="16"/>
  <c r="W105" i="16"/>
  <c r="V105" i="16"/>
  <c r="X104" i="17"/>
  <c r="W104" i="17"/>
  <c r="AC104" i="17" s="1"/>
  <c r="V104" i="17"/>
  <c r="AB104" i="17" s="1"/>
  <c r="X104" i="16"/>
  <c r="W104" i="16"/>
  <c r="V104" i="16"/>
  <c r="X103" i="17"/>
  <c r="W103" i="17"/>
  <c r="AC103" i="17" s="1"/>
  <c r="V103" i="17"/>
  <c r="AB103" i="17" s="1"/>
  <c r="X103" i="16"/>
  <c r="W103" i="16"/>
  <c r="V103" i="16"/>
  <c r="X102" i="17"/>
  <c r="W102" i="17"/>
  <c r="AC102" i="17" s="1"/>
  <c r="V102" i="17"/>
  <c r="AB102" i="17" s="1"/>
  <c r="X102" i="16"/>
  <c r="W102" i="16"/>
  <c r="V102" i="16"/>
  <c r="X101" i="17"/>
  <c r="W101" i="17"/>
  <c r="AC101" i="17" s="1"/>
  <c r="V101" i="17"/>
  <c r="AB101" i="17" s="1"/>
  <c r="X101" i="16"/>
  <c r="W101" i="16"/>
  <c r="V101" i="16"/>
  <c r="X100" i="17"/>
  <c r="W100" i="17"/>
  <c r="AC100" i="17" s="1"/>
  <c r="V100" i="17"/>
  <c r="AB100" i="17" s="1"/>
  <c r="X100" i="16"/>
  <c r="W100" i="16"/>
  <c r="V100" i="16"/>
  <c r="X99" i="17"/>
  <c r="W99" i="17"/>
  <c r="AC99" i="17" s="1"/>
  <c r="V99" i="17"/>
  <c r="AB99" i="17" s="1"/>
  <c r="X99" i="16"/>
  <c r="W99" i="16"/>
  <c r="V99" i="16"/>
  <c r="X98" i="17"/>
  <c r="W98" i="17"/>
  <c r="AC98" i="17" s="1"/>
  <c r="V98" i="17"/>
  <c r="AB98" i="17" s="1"/>
  <c r="X98" i="16"/>
  <c r="W98" i="16"/>
  <c r="V98" i="16"/>
  <c r="X97" i="17"/>
  <c r="W97" i="17"/>
  <c r="AC97" i="17" s="1"/>
  <c r="V97" i="17"/>
  <c r="AB97" i="17" s="1"/>
  <c r="X96" i="17"/>
  <c r="W96" i="17"/>
  <c r="V96" i="17"/>
  <c r="AB96" i="17" s="1"/>
  <c r="X95" i="17"/>
  <c r="W95" i="17"/>
  <c r="AC95" i="17" s="1"/>
  <c r="V95" i="17"/>
  <c r="AB95" i="17" s="1"/>
  <c r="X94" i="17"/>
  <c r="W94" i="17"/>
  <c r="V94" i="17"/>
  <c r="AB94" i="17" s="1"/>
  <c r="X93" i="17"/>
  <c r="W93" i="17"/>
  <c r="AC93" i="17" s="1"/>
  <c r="V93" i="17"/>
  <c r="AB93" i="17" s="1"/>
  <c r="X92" i="17"/>
  <c r="W92" i="17"/>
  <c r="V92" i="17"/>
  <c r="AB92" i="17" s="1"/>
  <c r="X91" i="17"/>
  <c r="W91" i="17"/>
  <c r="AC91" i="17" s="1"/>
  <c r="V91" i="17"/>
  <c r="AB91" i="17" s="1"/>
  <c r="X90" i="17"/>
  <c r="W90" i="17"/>
  <c r="V90" i="17"/>
  <c r="AB90" i="17" s="1"/>
  <c r="X89" i="17"/>
  <c r="W89" i="17"/>
  <c r="AC89" i="17" s="1"/>
  <c r="V89" i="17"/>
  <c r="AB89" i="17" s="1"/>
  <c r="X88" i="17"/>
  <c r="W88" i="17"/>
  <c r="V88" i="17"/>
  <c r="AB88" i="17" s="1"/>
  <c r="X87" i="17"/>
  <c r="W87" i="17"/>
  <c r="AC87" i="17" s="1"/>
  <c r="V87" i="17"/>
  <c r="AB87" i="17" s="1"/>
  <c r="X86" i="17"/>
  <c r="W86" i="17"/>
  <c r="V86" i="17"/>
  <c r="AB86" i="17" s="1"/>
  <c r="X25" i="17"/>
  <c r="W25" i="17"/>
  <c r="AC25" i="17" s="1"/>
  <c r="V25" i="17"/>
  <c r="AB25" i="17" s="1"/>
  <c r="X24" i="17"/>
  <c r="W24" i="17"/>
  <c r="V24" i="17"/>
  <c r="AB24" i="17" s="1"/>
  <c r="X23" i="17"/>
  <c r="W23" i="17"/>
  <c r="AC23" i="17" s="1"/>
  <c r="V23" i="17"/>
  <c r="AB23" i="17" s="1"/>
  <c r="X22" i="17"/>
  <c r="W22" i="17"/>
  <c r="V22" i="17"/>
  <c r="AB22" i="17" s="1"/>
  <c r="X21" i="17"/>
  <c r="W21" i="17"/>
  <c r="AC21" i="17" s="1"/>
  <c r="V21" i="17"/>
  <c r="AB21" i="17" s="1"/>
  <c r="X20" i="17"/>
  <c r="W20" i="17"/>
  <c r="V20" i="17"/>
  <c r="AB20" i="17" s="1"/>
  <c r="X19" i="17"/>
  <c r="W19" i="17"/>
  <c r="AC19" i="17" s="1"/>
  <c r="V19" i="17"/>
  <c r="AB19" i="17" s="1"/>
  <c r="X18" i="17"/>
  <c r="W18" i="17"/>
  <c r="V18" i="17"/>
  <c r="AB18" i="17" s="1"/>
  <c r="X17" i="17"/>
  <c r="W17" i="17"/>
  <c r="AC17" i="17" s="1"/>
  <c r="V17" i="17"/>
  <c r="AB17" i="17" s="1"/>
  <c r="X16" i="17"/>
  <c r="W16" i="17"/>
  <c r="V16" i="17"/>
  <c r="AB16" i="17" s="1"/>
  <c r="X15" i="17"/>
  <c r="W15" i="17"/>
  <c r="AC15" i="17" s="1"/>
  <c r="V15" i="17"/>
  <c r="AB15" i="17" s="1"/>
  <c r="X14" i="17"/>
  <c r="W14" i="17"/>
  <c r="AC14" i="17" s="1"/>
  <c r="V14" i="17"/>
  <c r="AB14" i="17" s="1"/>
  <c r="X13" i="17"/>
  <c r="W13" i="17"/>
  <c r="AC13" i="17" s="1"/>
  <c r="V13" i="17"/>
  <c r="AB13" i="17" s="1"/>
  <c r="X12" i="17"/>
  <c r="W12" i="17"/>
  <c r="V12" i="17"/>
  <c r="AB12" i="17" s="1"/>
  <c r="X11" i="17"/>
  <c r="W11" i="17"/>
  <c r="AC11" i="17" s="1"/>
  <c r="V11" i="17"/>
  <c r="AB11" i="17" s="1"/>
  <c r="X10" i="17"/>
  <c r="W10" i="17"/>
  <c r="AC10" i="17" s="1"/>
  <c r="V10" i="17"/>
  <c r="AB10" i="17" s="1"/>
  <c r="X9" i="17"/>
  <c r="W9" i="17"/>
  <c r="AC9" i="17" s="1"/>
  <c r="V9" i="17"/>
  <c r="AB9" i="17" s="1"/>
  <c r="X8" i="17"/>
  <c r="W8" i="17"/>
  <c r="V8" i="17"/>
  <c r="AB8" i="17" s="1"/>
  <c r="X7" i="17"/>
  <c r="W7" i="17"/>
  <c r="AC7" i="17" s="1"/>
  <c r="V7" i="17"/>
  <c r="AB7" i="17" s="1"/>
  <c r="X6" i="17"/>
  <c r="W6" i="17"/>
  <c r="AC6" i="17" s="1"/>
  <c r="V6" i="17"/>
  <c r="AB6" i="17" s="1"/>
  <c r="X5" i="17"/>
  <c r="W5" i="17"/>
  <c r="AC5" i="17" s="1"/>
  <c r="V5" i="17"/>
  <c r="AB5" i="17" s="1"/>
  <c r="X4" i="17"/>
  <c r="W4" i="17"/>
  <c r="V4" i="17"/>
  <c r="AB4" i="17" s="1"/>
  <c r="X3" i="17"/>
  <c r="W3" i="17"/>
  <c r="AC3" i="17" s="1"/>
  <c r="V3" i="17"/>
  <c r="AB3" i="17" s="1"/>
  <c r="X2" i="17"/>
  <c r="W2" i="17"/>
  <c r="AC2" i="17" s="1"/>
  <c r="V2" i="17"/>
  <c r="AB2" i="17" s="1"/>
  <c r="M40" i="5"/>
  <c r="M39" i="5"/>
  <c r="M38" i="5"/>
  <c r="AC18" i="17" l="1"/>
  <c r="AC22" i="17"/>
  <c r="AC86" i="17"/>
  <c r="AC90" i="17"/>
  <c r="AC94" i="17"/>
  <c r="AC238" i="17"/>
  <c r="AC242" i="17"/>
  <c r="AC247" i="17"/>
  <c r="AC251" i="17"/>
  <c r="AC255" i="17"/>
  <c r="AC259" i="17"/>
  <c r="AC263" i="17"/>
  <c r="AC267" i="17"/>
  <c r="AC274" i="17"/>
  <c r="AC341" i="17"/>
  <c r="AC345" i="17"/>
  <c r="AC349" i="17"/>
  <c r="AC385" i="17"/>
  <c r="AC386" i="17"/>
  <c r="AC387" i="17"/>
  <c r="AC388" i="17"/>
  <c r="AC389" i="17"/>
  <c r="AC390" i="17"/>
  <c r="AC391" i="17"/>
  <c r="AC392" i="17"/>
  <c r="AC393" i="17"/>
  <c r="AC394" i="17"/>
  <c r="AC395" i="17"/>
  <c r="AC396" i="17"/>
  <c r="AC397" i="17"/>
  <c r="AC398" i="17"/>
  <c r="AC399" i="17"/>
  <c r="AC400" i="17"/>
  <c r="AC401" i="17"/>
  <c r="AC402" i="17"/>
  <c r="AC403" i="17"/>
  <c r="AC404" i="17"/>
  <c r="AC405" i="17"/>
  <c r="AC406" i="17"/>
  <c r="AC407" i="17"/>
  <c r="AC408" i="17"/>
  <c r="AC409" i="17"/>
  <c r="AC410" i="17"/>
  <c r="AC411" i="17"/>
  <c r="AC412" i="17"/>
  <c r="AC413" i="17"/>
  <c r="AC414" i="17"/>
  <c r="AC415" i="17"/>
  <c r="AC416" i="17"/>
  <c r="AC417" i="17"/>
  <c r="AC418" i="17"/>
  <c r="AC419" i="17"/>
  <c r="AC420" i="17"/>
  <c r="AC421" i="17"/>
  <c r="AC422" i="17"/>
  <c r="AC423" i="17"/>
  <c r="AC424" i="17"/>
  <c r="AC425" i="17"/>
  <c r="AC426" i="17"/>
  <c r="AC427" i="17"/>
  <c r="AC428" i="17"/>
  <c r="AC429" i="17"/>
  <c r="AC430" i="17"/>
  <c r="AC431" i="17"/>
  <c r="AC432" i="17"/>
  <c r="AC433" i="17"/>
  <c r="AC434" i="17"/>
  <c r="AC435" i="17"/>
  <c r="AC436" i="17"/>
  <c r="AC437" i="17"/>
  <c r="AC438" i="17"/>
  <c r="AC439" i="17"/>
  <c r="AC540" i="17"/>
  <c r="AC818" i="17"/>
  <c r="AC819" i="17"/>
  <c r="AC820" i="17"/>
  <c r="AC821" i="17"/>
  <c r="AC822" i="17"/>
  <c r="AC823" i="17"/>
  <c r="AC824" i="17"/>
  <c r="AC825" i="17"/>
  <c r="AC826" i="17"/>
  <c r="AC827" i="17"/>
  <c r="AC828" i="17"/>
  <c r="AC829" i="17"/>
  <c r="AC830" i="17"/>
  <c r="AC831" i="17"/>
  <c r="AC832" i="17"/>
  <c r="AC833" i="17"/>
  <c r="J1921" i="27"/>
  <c r="M1921" i="27" s="1"/>
  <c r="J1917" i="27"/>
  <c r="M1917" i="27" s="1"/>
  <c r="J1914" i="27"/>
  <c r="M1914" i="27" s="1"/>
  <c r="J1911" i="27"/>
  <c r="M1911" i="27" s="1"/>
  <c r="J1905" i="27"/>
  <c r="M1905" i="27" s="1"/>
  <c r="J1901" i="27"/>
  <c r="M1901" i="27" s="1"/>
  <c r="J1898" i="27"/>
  <c r="M1898" i="27" s="1"/>
  <c r="J1895" i="27"/>
  <c r="M1895" i="27" s="1"/>
  <c r="J1889" i="27"/>
  <c r="M1889" i="27" s="1"/>
  <c r="J1919" i="27"/>
  <c r="M1919" i="27" s="1"/>
  <c r="J1913" i="27"/>
  <c r="M1913" i="27" s="1"/>
  <c r="J1909" i="27"/>
  <c r="M1909" i="27" s="1"/>
  <c r="J1906" i="27"/>
  <c r="M1906" i="27" s="1"/>
  <c r="J1903" i="27"/>
  <c r="M1903" i="27" s="1"/>
  <c r="J1897" i="27"/>
  <c r="M1897" i="27" s="1"/>
  <c r="J1893" i="27"/>
  <c r="M1893" i="27" s="1"/>
  <c r="J1890" i="27"/>
  <c r="M1890" i="27" s="1"/>
  <c r="J1887" i="27"/>
  <c r="M1887" i="27" s="1"/>
  <c r="J1918" i="27"/>
  <c r="M1918" i="27" s="1"/>
  <c r="J1915" i="27"/>
  <c r="M1915" i="27" s="1"/>
  <c r="J1912" i="27"/>
  <c r="M1912" i="27" s="1"/>
  <c r="J1908" i="27"/>
  <c r="M1908" i="27" s="1"/>
  <c r="J1902" i="27"/>
  <c r="M1902" i="27" s="1"/>
  <c r="J1899" i="27"/>
  <c r="M1899" i="27" s="1"/>
  <c r="J1896" i="27"/>
  <c r="M1896" i="27" s="1"/>
  <c r="J1892" i="27"/>
  <c r="M1892" i="27" s="1"/>
  <c r="J1886" i="27"/>
  <c r="J1916" i="27"/>
  <c r="M1916" i="27" s="1"/>
  <c r="J1904" i="27"/>
  <c r="M1904" i="27" s="1"/>
  <c r="J1891" i="27"/>
  <c r="M1891" i="27" s="1"/>
  <c r="J1900" i="27"/>
  <c r="M1900" i="27" s="1"/>
  <c r="J1888" i="27"/>
  <c r="M1888" i="27" s="1"/>
  <c r="J1910" i="27"/>
  <c r="M1910" i="27" s="1"/>
  <c r="J1920" i="27"/>
  <c r="M1920" i="27" s="1"/>
  <c r="J1907" i="27"/>
  <c r="M1907" i="27" s="1"/>
  <c r="J1894" i="27"/>
  <c r="M1894" i="27" s="1"/>
  <c r="AC4" i="17"/>
  <c r="AC8" i="17"/>
  <c r="AC12" i="17"/>
  <c r="AC16" i="17"/>
  <c r="AC20" i="17"/>
  <c r="AC24" i="17"/>
  <c r="AC88" i="17"/>
  <c r="AC92" i="17"/>
  <c r="AC96" i="17"/>
  <c r="AC249" i="17"/>
  <c r="AC253" i="17"/>
  <c r="AC257" i="17"/>
  <c r="AC261" i="17"/>
  <c r="AC265" i="17"/>
  <c r="AC269" i="17"/>
  <c r="AC270" i="17"/>
  <c r="AC278" i="17"/>
  <c r="AC343" i="17"/>
  <c r="AC347" i="17"/>
  <c r="AC351" i="17"/>
  <c r="AC474" i="17"/>
  <c r="AC475" i="17"/>
  <c r="AC476" i="17"/>
  <c r="AC477" i="17"/>
  <c r="AC478" i="17"/>
  <c r="AC479" i="17"/>
  <c r="AC480" i="17"/>
  <c r="AC481" i="17"/>
  <c r="AC482" i="17"/>
  <c r="AC483" i="17"/>
  <c r="AC484" i="17"/>
  <c r="AC485" i="17"/>
  <c r="AC486" i="17"/>
  <c r="AC487" i="17"/>
  <c r="AC488" i="17"/>
  <c r="AC489" i="17"/>
  <c r="AC490" i="17"/>
  <c r="AC491" i="17"/>
  <c r="AC492" i="17"/>
  <c r="AC493" i="17"/>
  <c r="AC494" i="17"/>
  <c r="AC495" i="17"/>
  <c r="AC496" i="17"/>
  <c r="AC497" i="17"/>
  <c r="AC498" i="17"/>
  <c r="AC499" i="17"/>
  <c r="AC500" i="17"/>
  <c r="AC501" i="17"/>
  <c r="AC502" i="17"/>
  <c r="AC503" i="17"/>
  <c r="AC504" i="17"/>
  <c r="AC505" i="17"/>
  <c r="AC506" i="17"/>
  <c r="AC507" i="17"/>
  <c r="AC508" i="17"/>
  <c r="AC509" i="17"/>
  <c r="AC510" i="17"/>
  <c r="AC511" i="17"/>
  <c r="AC512" i="17"/>
  <c r="AC513" i="17"/>
  <c r="AC514" i="17"/>
  <c r="AC515" i="17"/>
  <c r="AC516" i="17"/>
  <c r="AC529" i="17"/>
  <c r="AC530" i="17"/>
  <c r="AC531" i="17"/>
  <c r="AC532" i="17"/>
  <c r="AC533" i="17"/>
  <c r="AC534" i="17"/>
  <c r="AC535" i="17"/>
  <c r="AC536" i="17"/>
  <c r="AC537" i="17"/>
  <c r="AC538" i="17"/>
  <c r="AC240" i="17"/>
  <c r="AC241" i="17"/>
  <c r="AC245" i="17"/>
  <c r="AJ9" i="17"/>
  <c r="AI9" i="17"/>
  <c r="AJ4" i="17"/>
  <c r="AI4" i="17"/>
  <c r="AD817" i="17"/>
  <c r="AD816" i="17"/>
  <c r="AD815" i="17"/>
  <c r="AD814" i="17"/>
  <c r="AD813" i="17"/>
  <c r="AD812" i="17"/>
  <c r="AD811" i="17"/>
  <c r="AD810" i="17"/>
  <c r="AD809" i="17"/>
  <c r="AD808" i="17"/>
  <c r="AD807" i="17"/>
  <c r="AD806" i="17"/>
  <c r="AD805" i="17"/>
  <c r="AD804" i="17"/>
  <c r="AD803" i="17"/>
  <c r="AD802" i="17"/>
  <c r="AD801" i="17"/>
  <c r="AD800" i="17"/>
  <c r="AD799" i="17"/>
  <c r="AD798" i="17"/>
  <c r="AD797" i="17"/>
  <c r="AD796" i="17"/>
  <c r="AD795" i="17"/>
  <c r="AD794" i="17"/>
  <c r="AD793" i="17"/>
  <c r="AD792" i="17"/>
  <c r="AD791" i="17"/>
  <c r="AD790" i="17"/>
  <c r="AD789" i="17"/>
  <c r="AD788" i="17"/>
  <c r="AD787" i="17"/>
  <c r="AD786" i="17"/>
  <c r="AD785" i="17"/>
  <c r="AD784" i="17"/>
  <c r="AD783" i="17"/>
  <c r="AD782" i="17"/>
  <c r="AD781" i="17"/>
  <c r="AD780" i="17"/>
  <c r="AD779" i="17"/>
  <c r="AD778" i="17"/>
  <c r="AD777" i="17"/>
  <c r="AD776" i="17"/>
  <c r="AD775" i="17"/>
  <c r="AD774" i="17"/>
  <c r="AD773" i="17"/>
  <c r="AD772" i="17"/>
  <c r="AD771" i="17"/>
  <c r="AD770" i="17"/>
  <c r="AD769" i="17"/>
  <c r="AD768" i="17"/>
  <c r="AD767" i="17"/>
  <c r="AD766" i="17"/>
  <c r="AD765" i="17"/>
  <c r="AD764" i="17"/>
  <c r="AD763" i="17"/>
  <c r="AD762" i="17"/>
  <c r="AD761" i="17"/>
  <c r="AD760" i="17"/>
  <c r="AD759" i="17"/>
  <c r="AD758" i="17"/>
  <c r="AD757" i="17"/>
  <c r="AD756" i="17"/>
  <c r="AD755" i="17"/>
  <c r="AD754" i="17"/>
  <c r="AD753" i="17"/>
  <c r="AD752" i="17"/>
  <c r="AD751" i="17"/>
  <c r="AD750" i="17"/>
  <c r="AD749" i="17"/>
  <c r="AD748" i="17"/>
  <c r="AD747" i="17"/>
  <c r="AD746" i="17"/>
  <c r="AD745" i="17"/>
  <c r="AD744" i="17"/>
  <c r="AD743" i="17"/>
  <c r="AD742" i="17"/>
  <c r="AD741" i="17"/>
  <c r="AD740" i="17"/>
  <c r="AD739" i="17"/>
  <c r="AD738" i="17"/>
  <c r="AD737" i="17"/>
  <c r="AD736" i="17"/>
  <c r="AD735" i="17"/>
  <c r="AD734" i="17"/>
  <c r="AD733" i="17"/>
  <c r="AD732" i="17"/>
  <c r="AD731" i="17"/>
  <c r="AD730" i="17"/>
  <c r="AD729" i="17"/>
  <c r="AD728" i="17"/>
  <c r="AD727" i="17"/>
  <c r="AD726" i="17"/>
  <c r="AD725" i="17"/>
  <c r="AD724" i="17"/>
  <c r="AD723" i="17"/>
  <c r="AD722" i="17"/>
  <c r="AD721" i="17"/>
  <c r="AD720" i="17"/>
  <c r="AD719" i="17"/>
  <c r="AD718" i="17"/>
  <c r="AD717" i="17"/>
  <c r="AD716" i="17"/>
  <c r="AD715" i="17"/>
  <c r="AD714" i="17"/>
  <c r="AD713" i="17"/>
  <c r="AD712" i="17"/>
  <c r="AD711" i="17"/>
  <c r="AD710" i="17"/>
  <c r="AD709" i="17"/>
  <c r="AD708" i="17"/>
  <c r="AD707" i="17"/>
  <c r="AD706" i="17"/>
  <c r="AD705" i="17"/>
  <c r="AD10" i="27" s="1"/>
  <c r="AD704" i="17"/>
  <c r="AD703" i="17"/>
  <c r="AD702" i="17"/>
  <c r="AD701" i="17"/>
  <c r="AD700" i="17"/>
  <c r="AD699" i="17"/>
  <c r="AD698" i="17"/>
  <c r="AD697" i="17"/>
  <c r="AD696" i="17"/>
  <c r="AD695" i="17"/>
  <c r="AD694" i="17"/>
  <c r="AD693" i="17"/>
  <c r="AD692" i="17"/>
  <c r="AD691" i="17"/>
  <c r="AD690" i="17"/>
  <c r="AD689" i="17"/>
  <c r="AD688" i="17"/>
  <c r="AD687" i="17"/>
  <c r="AD686" i="17"/>
  <c r="AD685" i="17"/>
  <c r="AD684" i="17"/>
  <c r="AD683" i="17"/>
  <c r="AD682" i="17"/>
  <c r="AD681" i="17"/>
  <c r="AD680" i="17"/>
  <c r="AD679" i="17"/>
  <c r="AD678" i="17"/>
  <c r="AD677" i="17"/>
  <c r="AD676" i="17"/>
  <c r="AD675" i="17"/>
  <c r="AD674" i="17"/>
  <c r="AD673" i="17"/>
  <c r="AD672" i="17"/>
  <c r="AD671" i="17"/>
  <c r="AD670" i="17"/>
  <c r="AD669" i="17"/>
  <c r="AD668" i="17"/>
  <c r="AD667" i="17"/>
  <c r="AD666" i="17"/>
  <c r="AD665" i="17"/>
  <c r="AD664" i="17"/>
  <c r="AD663" i="17"/>
  <c r="AD662" i="17"/>
  <c r="AD661" i="17"/>
  <c r="AD660" i="17"/>
  <c r="AD659" i="17"/>
  <c r="AD658" i="17"/>
  <c r="AD657" i="17"/>
  <c r="AD656" i="17"/>
  <c r="AD655" i="17"/>
  <c r="AD654" i="17"/>
  <c r="AD653" i="17"/>
  <c r="AD652" i="17"/>
  <c r="AD651" i="17"/>
  <c r="AD650" i="17"/>
  <c r="AD649" i="17"/>
  <c r="AD648" i="17"/>
  <c r="AD647" i="17"/>
  <c r="AD646" i="17"/>
  <c r="AD645" i="17"/>
  <c r="AD644" i="17"/>
  <c r="AD643" i="17"/>
  <c r="AD642" i="17"/>
  <c r="AD641" i="17"/>
  <c r="AD640" i="17"/>
  <c r="AD639" i="17"/>
  <c r="AD638" i="17"/>
  <c r="AD637" i="17"/>
  <c r="AD636" i="17"/>
  <c r="AD635" i="17"/>
  <c r="AD634" i="17"/>
  <c r="AD633" i="17"/>
  <c r="AD632" i="17"/>
  <c r="AD631" i="17"/>
  <c r="AD630" i="17"/>
  <c r="AD629" i="17"/>
  <c r="AD628" i="17"/>
  <c r="AD627" i="17"/>
  <c r="AD626" i="17"/>
  <c r="AD625" i="17"/>
  <c r="AD624" i="17"/>
  <c r="AD623" i="17"/>
  <c r="AD622" i="17"/>
  <c r="AD621" i="17"/>
  <c r="AD620" i="17"/>
  <c r="AD619" i="17"/>
  <c r="AD618" i="17"/>
  <c r="AD617" i="17"/>
  <c r="AD616" i="17"/>
  <c r="AD615" i="17"/>
  <c r="AD614" i="17"/>
  <c r="AD613" i="17"/>
  <c r="AD9" i="27" s="1"/>
  <c r="AI9" i="27" s="1"/>
  <c r="AD612" i="17"/>
  <c r="AD611" i="17"/>
  <c r="AD610" i="17"/>
  <c r="AD609" i="17"/>
  <c r="AD608" i="17"/>
  <c r="AD607" i="17"/>
  <c r="AD606" i="17"/>
  <c r="AD605" i="17"/>
  <c r="AD604" i="17"/>
  <c r="AD603" i="17"/>
  <c r="AD602" i="17"/>
  <c r="AD601" i="17"/>
  <c r="AE600" i="17"/>
  <c r="AE599" i="17"/>
  <c r="AE598" i="17"/>
  <c r="AE597" i="17"/>
  <c r="AE596" i="17"/>
  <c r="AE595" i="17"/>
  <c r="AE594" i="17"/>
  <c r="AE593" i="17"/>
  <c r="AE592" i="17"/>
  <c r="AE591" i="17"/>
  <c r="AE590" i="17"/>
  <c r="AE589" i="17"/>
  <c r="AD588" i="17"/>
  <c r="AD587" i="17"/>
  <c r="AD586" i="17"/>
  <c r="AD585" i="17"/>
  <c r="AD584" i="17"/>
  <c r="AD583" i="17"/>
  <c r="AD582" i="17"/>
  <c r="AD581" i="17"/>
  <c r="AD580" i="17"/>
  <c r="AD579" i="17"/>
  <c r="AD578" i="17"/>
  <c r="AD577" i="17"/>
  <c r="AD564" i="17"/>
  <c r="AD563" i="17"/>
  <c r="AD562" i="17"/>
  <c r="AD561" i="17"/>
  <c r="AD560" i="17"/>
  <c r="AD559" i="17"/>
  <c r="AD558" i="17"/>
  <c r="AD557" i="17"/>
  <c r="AD556" i="17"/>
  <c r="AD555" i="17"/>
  <c r="AD554" i="17"/>
  <c r="AD553" i="17"/>
  <c r="AD339" i="17"/>
  <c r="AD338" i="17"/>
  <c r="AD337" i="17"/>
  <c r="AD336" i="17"/>
  <c r="AD335" i="17"/>
  <c r="AD334" i="17"/>
  <c r="AD333" i="17"/>
  <c r="AD332" i="17"/>
  <c r="AD331" i="17"/>
  <c r="AD330" i="17"/>
  <c r="AD329" i="17"/>
  <c r="AD328" i="17"/>
  <c r="AD327" i="17"/>
  <c r="AD326" i="17"/>
  <c r="AD325" i="17"/>
  <c r="AD324" i="17"/>
  <c r="AD323" i="17"/>
  <c r="AD322" i="17"/>
  <c r="AD321" i="17"/>
  <c r="AD320" i="17"/>
  <c r="AD319" i="17"/>
  <c r="AD318" i="17"/>
  <c r="AD317" i="17"/>
  <c r="AD316" i="17"/>
  <c r="AD315" i="17"/>
  <c r="AD314" i="17"/>
  <c r="AD313" i="17"/>
  <c r="AD312" i="17"/>
  <c r="AD311" i="17"/>
  <c r="AD310" i="17"/>
  <c r="AD309" i="17"/>
  <c r="AD308" i="17"/>
  <c r="AD307" i="17"/>
  <c r="AD306" i="17"/>
  <c r="AD305" i="17"/>
  <c r="AD304" i="17"/>
  <c r="AE303" i="17"/>
  <c r="AE302" i="17"/>
  <c r="AE301" i="17"/>
  <c r="AE300" i="17"/>
  <c r="AE299" i="17"/>
  <c r="AE298" i="17"/>
  <c r="AE297" i="17"/>
  <c r="AE296" i="17"/>
  <c r="AE295" i="17"/>
  <c r="AE294" i="17"/>
  <c r="AE293" i="17"/>
  <c r="AE292" i="17"/>
  <c r="AD291" i="17"/>
  <c r="AD290" i="17"/>
  <c r="AD289" i="17"/>
  <c r="AD288" i="17"/>
  <c r="AD287" i="17"/>
  <c r="AD286" i="17"/>
  <c r="AD285" i="17"/>
  <c r="AD284" i="17"/>
  <c r="AD283" i="17"/>
  <c r="AD282" i="17"/>
  <c r="AD281" i="17"/>
  <c r="AD280" i="17"/>
  <c r="AD217" i="17"/>
  <c r="AD216" i="17"/>
  <c r="AD215" i="17"/>
  <c r="AD214" i="17"/>
  <c r="AD213" i="17"/>
  <c r="AD212" i="17"/>
  <c r="AD211" i="17"/>
  <c r="AD210" i="17"/>
  <c r="AD209" i="17"/>
  <c r="AD208" i="17"/>
  <c r="AD207" i="17"/>
  <c r="AD206" i="17"/>
  <c r="AD157" i="17"/>
  <c r="AD156" i="17"/>
  <c r="AD155" i="17"/>
  <c r="AD154" i="17"/>
  <c r="AD153" i="17"/>
  <c r="AD152" i="17"/>
  <c r="AD151" i="17"/>
  <c r="AD150" i="17"/>
  <c r="AD149" i="17"/>
  <c r="AD148" i="17"/>
  <c r="AD147" i="17"/>
  <c r="AD146" i="17"/>
  <c r="AE145" i="17"/>
  <c r="AE144" i="17"/>
  <c r="AE143" i="17"/>
  <c r="AE142" i="17"/>
  <c r="AE141" i="17"/>
  <c r="AE140" i="17"/>
  <c r="AE139" i="17"/>
  <c r="AE138" i="17"/>
  <c r="AE137" i="17"/>
  <c r="AE136" i="17"/>
  <c r="AE135" i="17"/>
  <c r="AE134" i="17"/>
  <c r="AD133" i="17"/>
  <c r="AD132" i="17"/>
  <c r="AD131" i="17"/>
  <c r="AD130" i="17"/>
  <c r="AD129" i="17"/>
  <c r="AD128" i="17"/>
  <c r="AD127" i="17"/>
  <c r="AD126" i="17"/>
  <c r="AD125" i="17"/>
  <c r="AD124" i="17"/>
  <c r="AD123" i="17"/>
  <c r="AD122" i="17"/>
  <c r="AE121" i="17"/>
  <c r="AE120" i="17"/>
  <c r="AE119" i="17"/>
  <c r="AE118" i="17"/>
  <c r="AE117" i="17"/>
  <c r="AE116" i="17"/>
  <c r="AE115" i="17"/>
  <c r="AE114" i="17"/>
  <c r="AE113" i="17"/>
  <c r="AE112" i="17"/>
  <c r="AE111" i="17"/>
  <c r="AE110" i="17"/>
  <c r="AD73" i="17"/>
  <c r="AD72" i="17"/>
  <c r="AD71" i="17"/>
  <c r="AD70" i="17"/>
  <c r="AD69" i="17"/>
  <c r="AD68" i="17"/>
  <c r="AD67" i="17"/>
  <c r="AD66" i="17"/>
  <c r="AD65" i="17"/>
  <c r="AD64" i="17"/>
  <c r="AD63" i="17"/>
  <c r="AD62" i="17"/>
  <c r="AE49" i="17"/>
  <c r="AE48" i="17"/>
  <c r="AE47" i="17"/>
  <c r="AE46" i="17"/>
  <c r="AE45" i="17"/>
  <c r="AE44" i="17"/>
  <c r="AE43" i="17"/>
  <c r="AE42" i="17"/>
  <c r="AE41" i="17"/>
  <c r="AE40" i="17"/>
  <c r="AE39" i="17"/>
  <c r="AE38" i="17"/>
  <c r="AE37" i="17"/>
  <c r="AE36" i="17"/>
  <c r="AE35" i="17"/>
  <c r="AE34" i="17"/>
  <c r="AE33" i="17"/>
  <c r="AE32" i="17"/>
  <c r="AE31" i="17"/>
  <c r="AE30" i="17"/>
  <c r="AE29" i="17"/>
  <c r="AE28" i="17"/>
  <c r="AE27" i="17"/>
  <c r="AE26" i="17"/>
  <c r="V833" i="17"/>
  <c r="AB833" i="17" s="1"/>
  <c r="V832" i="17"/>
  <c r="AB832" i="17" s="1"/>
  <c r="V831" i="17"/>
  <c r="AB831" i="17" s="1"/>
  <c r="V830" i="17"/>
  <c r="AB830" i="17" s="1"/>
  <c r="V829" i="17"/>
  <c r="AB829" i="17" s="1"/>
  <c r="V828" i="17"/>
  <c r="AB828" i="17" s="1"/>
  <c r="V827" i="17"/>
  <c r="AB827" i="17" s="1"/>
  <c r="V826" i="17"/>
  <c r="AB826" i="17" s="1"/>
  <c r="V825" i="17"/>
  <c r="AB825" i="17" s="1"/>
  <c r="V824" i="17"/>
  <c r="AB824" i="17" s="1"/>
  <c r="V823" i="17"/>
  <c r="AB823" i="17" s="1"/>
  <c r="V822" i="17"/>
  <c r="AB822" i="17" s="1"/>
  <c r="V821" i="17"/>
  <c r="AB821" i="17" s="1"/>
  <c r="V820" i="17"/>
  <c r="AB820" i="17" s="1"/>
  <c r="V819" i="17"/>
  <c r="AB819" i="17" s="1"/>
  <c r="V818" i="17"/>
  <c r="AB818" i="17" s="1"/>
  <c r="X817" i="17"/>
  <c r="W817" i="17"/>
  <c r="V817" i="17"/>
  <c r="AB817" i="17" s="1"/>
  <c r="X816" i="17"/>
  <c r="W816" i="17"/>
  <c r="V816" i="17"/>
  <c r="AB816" i="17" s="1"/>
  <c r="X815" i="17"/>
  <c r="W815" i="17"/>
  <c r="V815" i="17"/>
  <c r="AB815" i="17" s="1"/>
  <c r="X814" i="17"/>
  <c r="W814" i="17"/>
  <c r="V814" i="17"/>
  <c r="AB814" i="17" s="1"/>
  <c r="X813" i="17"/>
  <c r="W813" i="17"/>
  <c r="V813" i="17"/>
  <c r="AB813" i="17" s="1"/>
  <c r="X812" i="17"/>
  <c r="W812" i="17"/>
  <c r="V812" i="17"/>
  <c r="AB812" i="17" s="1"/>
  <c r="X811" i="17"/>
  <c r="W811" i="17"/>
  <c r="V811" i="17"/>
  <c r="AB811" i="17" s="1"/>
  <c r="X810" i="17"/>
  <c r="W810" i="17"/>
  <c r="V810" i="17"/>
  <c r="AB810" i="17" s="1"/>
  <c r="X809" i="17"/>
  <c r="W809" i="17"/>
  <c r="V809" i="17"/>
  <c r="AB809" i="17" s="1"/>
  <c r="X808" i="17"/>
  <c r="W808" i="17"/>
  <c r="V808" i="17"/>
  <c r="AB808" i="17" s="1"/>
  <c r="X807" i="17"/>
  <c r="W807" i="17"/>
  <c r="V807" i="17"/>
  <c r="AB807" i="17" s="1"/>
  <c r="X806" i="17"/>
  <c r="W806" i="17"/>
  <c r="V806" i="17"/>
  <c r="AB806" i="17" s="1"/>
  <c r="X805" i="17"/>
  <c r="W805" i="17"/>
  <c r="V805" i="17"/>
  <c r="AB805" i="17" s="1"/>
  <c r="X804" i="17"/>
  <c r="W804" i="17"/>
  <c r="V804" i="17"/>
  <c r="AB804" i="17" s="1"/>
  <c r="X803" i="17"/>
  <c r="W803" i="17"/>
  <c r="V803" i="17"/>
  <c r="AB803" i="17" s="1"/>
  <c r="X802" i="17"/>
  <c r="W802" i="17"/>
  <c r="V802" i="17"/>
  <c r="AB802" i="17" s="1"/>
  <c r="X801" i="17"/>
  <c r="W801" i="17"/>
  <c r="V801" i="17"/>
  <c r="AB801" i="17" s="1"/>
  <c r="X800" i="17"/>
  <c r="W800" i="17"/>
  <c r="V800" i="17"/>
  <c r="AB800" i="17" s="1"/>
  <c r="X799" i="17"/>
  <c r="W799" i="17"/>
  <c r="V799" i="17"/>
  <c r="AB799" i="17" s="1"/>
  <c r="X798" i="17"/>
  <c r="W798" i="17"/>
  <c r="V798" i="17"/>
  <c r="AB798" i="17" s="1"/>
  <c r="X797" i="17"/>
  <c r="W797" i="17"/>
  <c r="V797" i="17"/>
  <c r="AB797" i="17" s="1"/>
  <c r="X796" i="17"/>
  <c r="W796" i="17"/>
  <c r="V796" i="17"/>
  <c r="AB796" i="17" s="1"/>
  <c r="X795" i="17"/>
  <c r="W795" i="17"/>
  <c r="V795" i="17"/>
  <c r="AB795" i="17" s="1"/>
  <c r="X794" i="17"/>
  <c r="W794" i="17"/>
  <c r="V794" i="17"/>
  <c r="AB794" i="17" s="1"/>
  <c r="X793" i="17"/>
  <c r="W793" i="17"/>
  <c r="V793" i="17"/>
  <c r="AB793" i="17" s="1"/>
  <c r="X792" i="17"/>
  <c r="W792" i="17"/>
  <c r="V792" i="17"/>
  <c r="AB792" i="17" s="1"/>
  <c r="X791" i="17"/>
  <c r="W791" i="17"/>
  <c r="V791" i="17"/>
  <c r="AB791" i="17" s="1"/>
  <c r="X790" i="17"/>
  <c r="W790" i="17"/>
  <c r="V790" i="17"/>
  <c r="AB790" i="17" s="1"/>
  <c r="X789" i="17"/>
  <c r="W789" i="17"/>
  <c r="V789" i="17"/>
  <c r="AB789" i="17" s="1"/>
  <c r="X788" i="17"/>
  <c r="W788" i="17"/>
  <c r="V788" i="17"/>
  <c r="AB788" i="17" s="1"/>
  <c r="X787" i="17"/>
  <c r="W787" i="17"/>
  <c r="V787" i="17"/>
  <c r="AB787" i="17" s="1"/>
  <c r="X786" i="17"/>
  <c r="W786" i="17"/>
  <c r="V786" i="17"/>
  <c r="AB786" i="17" s="1"/>
  <c r="X785" i="17"/>
  <c r="W785" i="17"/>
  <c r="V785" i="17"/>
  <c r="AB785" i="17" s="1"/>
  <c r="X784" i="17"/>
  <c r="W784" i="17"/>
  <c r="V784" i="17"/>
  <c r="AB784" i="17" s="1"/>
  <c r="X783" i="17"/>
  <c r="W783" i="17"/>
  <c r="V783" i="17"/>
  <c r="AB783" i="17" s="1"/>
  <c r="X782" i="17"/>
  <c r="W782" i="17"/>
  <c r="V782" i="17"/>
  <c r="AB782" i="17" s="1"/>
  <c r="X781" i="17"/>
  <c r="W781" i="17"/>
  <c r="V781" i="17"/>
  <c r="AB781" i="17" s="1"/>
  <c r="X780" i="17"/>
  <c r="W780" i="17"/>
  <c r="V780" i="17"/>
  <c r="AB780" i="17" s="1"/>
  <c r="X779" i="17"/>
  <c r="W779" i="17"/>
  <c r="V779" i="17"/>
  <c r="AB779" i="17" s="1"/>
  <c r="X778" i="17"/>
  <c r="W778" i="17"/>
  <c r="V778" i="17"/>
  <c r="AB778" i="17" s="1"/>
  <c r="X777" i="17"/>
  <c r="W777" i="17"/>
  <c r="V777" i="17"/>
  <c r="AB777" i="17" s="1"/>
  <c r="X776" i="17"/>
  <c r="W776" i="17"/>
  <c r="V776" i="17"/>
  <c r="AB776" i="17" s="1"/>
  <c r="X775" i="17"/>
  <c r="W775" i="17"/>
  <c r="V775" i="17"/>
  <c r="AB775" i="17" s="1"/>
  <c r="X774" i="17"/>
  <c r="W774" i="17"/>
  <c r="V774" i="17"/>
  <c r="AB774" i="17" s="1"/>
  <c r="X773" i="17"/>
  <c r="W773" i="17"/>
  <c r="V773" i="17"/>
  <c r="AB773" i="17" s="1"/>
  <c r="X772" i="17"/>
  <c r="W772" i="17"/>
  <c r="V772" i="17"/>
  <c r="AB772" i="17" s="1"/>
  <c r="X771" i="17"/>
  <c r="W771" i="17"/>
  <c r="V771" i="17"/>
  <c r="AB771" i="17" s="1"/>
  <c r="X770" i="17"/>
  <c r="W770" i="17"/>
  <c r="V770" i="17"/>
  <c r="AB770" i="17" s="1"/>
  <c r="X769" i="17"/>
  <c r="W769" i="17"/>
  <c r="V769" i="17"/>
  <c r="AB769" i="17" s="1"/>
  <c r="X768" i="17"/>
  <c r="W768" i="17"/>
  <c r="V768" i="17"/>
  <c r="AB768" i="17" s="1"/>
  <c r="X767" i="17"/>
  <c r="W767" i="17"/>
  <c r="V767" i="17"/>
  <c r="AB767" i="17" s="1"/>
  <c r="X766" i="17"/>
  <c r="W766" i="17"/>
  <c r="V766" i="17"/>
  <c r="AB766" i="17" s="1"/>
  <c r="X765" i="17"/>
  <c r="W765" i="17"/>
  <c r="V765" i="17"/>
  <c r="AB765" i="17" s="1"/>
  <c r="X764" i="17"/>
  <c r="W764" i="17"/>
  <c r="V764" i="17"/>
  <c r="AB764" i="17" s="1"/>
  <c r="X763" i="17"/>
  <c r="W763" i="17"/>
  <c r="V763" i="17"/>
  <c r="AB763" i="17" s="1"/>
  <c r="X762" i="17"/>
  <c r="W762" i="17"/>
  <c r="V762" i="17"/>
  <c r="AB762" i="17" s="1"/>
  <c r="X761" i="17"/>
  <c r="W761" i="17"/>
  <c r="V761" i="17"/>
  <c r="AB761" i="17" s="1"/>
  <c r="X760" i="17"/>
  <c r="W760" i="17"/>
  <c r="V760" i="17"/>
  <c r="AB760" i="17" s="1"/>
  <c r="X759" i="17"/>
  <c r="W759" i="17"/>
  <c r="V759" i="17"/>
  <c r="AB759" i="17" s="1"/>
  <c r="X758" i="17"/>
  <c r="W758" i="17"/>
  <c r="V758" i="17"/>
  <c r="AB758" i="17" s="1"/>
  <c r="X757" i="17"/>
  <c r="W757" i="17"/>
  <c r="V757" i="17"/>
  <c r="AB757" i="17" s="1"/>
  <c r="X756" i="17"/>
  <c r="W756" i="17"/>
  <c r="V756" i="17"/>
  <c r="AB756" i="17" s="1"/>
  <c r="X755" i="17"/>
  <c r="W755" i="17"/>
  <c r="V755" i="17"/>
  <c r="AB755" i="17" s="1"/>
  <c r="X754" i="17"/>
  <c r="W754" i="17"/>
  <c r="V754" i="17"/>
  <c r="AB754" i="17" s="1"/>
  <c r="X753" i="17"/>
  <c r="W753" i="17"/>
  <c r="V753" i="17"/>
  <c r="AB753" i="17" s="1"/>
  <c r="X752" i="17"/>
  <c r="W752" i="17"/>
  <c r="V752" i="17"/>
  <c r="AB752" i="17" s="1"/>
  <c r="X751" i="17"/>
  <c r="W751" i="17"/>
  <c r="V751" i="17"/>
  <c r="AB751" i="17" s="1"/>
  <c r="X750" i="17"/>
  <c r="W750" i="17"/>
  <c r="V750" i="17"/>
  <c r="AB750" i="17" s="1"/>
  <c r="X749" i="17"/>
  <c r="W749" i="17"/>
  <c r="V749" i="17"/>
  <c r="AB749" i="17" s="1"/>
  <c r="X748" i="17"/>
  <c r="W748" i="17"/>
  <c r="V748" i="17"/>
  <c r="AB748" i="17" s="1"/>
  <c r="X747" i="17"/>
  <c r="W747" i="17"/>
  <c r="V747" i="17"/>
  <c r="AB747" i="17" s="1"/>
  <c r="X746" i="17"/>
  <c r="W746" i="17"/>
  <c r="V746" i="17"/>
  <c r="AB746" i="17" s="1"/>
  <c r="X745" i="17"/>
  <c r="W745" i="17"/>
  <c r="V745" i="17"/>
  <c r="AB745" i="17" s="1"/>
  <c r="X744" i="17"/>
  <c r="W744" i="17"/>
  <c r="V744" i="17"/>
  <c r="AB744" i="17" s="1"/>
  <c r="X743" i="17"/>
  <c r="W743" i="17"/>
  <c r="V743" i="17"/>
  <c r="AB743" i="17" s="1"/>
  <c r="X742" i="17"/>
  <c r="W742" i="17"/>
  <c r="V742" i="17"/>
  <c r="AB742" i="17" s="1"/>
  <c r="X741" i="17"/>
  <c r="W741" i="17"/>
  <c r="V741" i="17"/>
  <c r="AB741" i="17" s="1"/>
  <c r="X740" i="17"/>
  <c r="W740" i="17"/>
  <c r="AC740" i="17" s="1"/>
  <c r="V740" i="17"/>
  <c r="AB740" i="17" s="1"/>
  <c r="X739" i="17"/>
  <c r="W739" i="17"/>
  <c r="V739" i="17"/>
  <c r="AB739" i="17" s="1"/>
  <c r="X738" i="17"/>
  <c r="W738" i="17"/>
  <c r="V738" i="17"/>
  <c r="AB738" i="17" s="1"/>
  <c r="X737" i="17"/>
  <c r="W737" i="17"/>
  <c r="V737" i="17"/>
  <c r="AB737" i="17" s="1"/>
  <c r="X736" i="17"/>
  <c r="W736" i="17"/>
  <c r="AC736" i="17" s="1"/>
  <c r="V736" i="17"/>
  <c r="AB736" i="17" s="1"/>
  <c r="X735" i="17"/>
  <c r="W735" i="17"/>
  <c r="V735" i="17"/>
  <c r="AB735" i="17" s="1"/>
  <c r="X734" i="17"/>
  <c r="W734" i="17"/>
  <c r="V734" i="17"/>
  <c r="AB734" i="17" s="1"/>
  <c r="X733" i="17"/>
  <c r="W733" i="17"/>
  <c r="V733" i="17"/>
  <c r="AB733" i="17" s="1"/>
  <c r="X732" i="17"/>
  <c r="W732" i="17"/>
  <c r="AC732" i="17" s="1"/>
  <c r="V732" i="17"/>
  <c r="AB732" i="17" s="1"/>
  <c r="X731" i="17"/>
  <c r="W731" i="17"/>
  <c r="V731" i="17"/>
  <c r="AB731" i="17" s="1"/>
  <c r="X730" i="17"/>
  <c r="W730" i="17"/>
  <c r="V730" i="17"/>
  <c r="AB730" i="17" s="1"/>
  <c r="X729" i="17"/>
  <c r="W729" i="17"/>
  <c r="V729" i="17"/>
  <c r="AB729" i="17" s="1"/>
  <c r="X728" i="17"/>
  <c r="W728" i="17"/>
  <c r="AC728" i="17" s="1"/>
  <c r="V728" i="17"/>
  <c r="AB728" i="17" s="1"/>
  <c r="X727" i="17"/>
  <c r="W727" i="17"/>
  <c r="V727" i="17"/>
  <c r="AB727" i="17" s="1"/>
  <c r="X726" i="17"/>
  <c r="W726" i="17"/>
  <c r="V726" i="17"/>
  <c r="AB726" i="17" s="1"/>
  <c r="X725" i="17"/>
  <c r="W725" i="17"/>
  <c r="V725" i="17"/>
  <c r="AB725" i="17" s="1"/>
  <c r="X724" i="17"/>
  <c r="W724" i="17"/>
  <c r="AC724" i="17" s="1"/>
  <c r="V724" i="17"/>
  <c r="AB724" i="17" s="1"/>
  <c r="X723" i="17"/>
  <c r="W723" i="17"/>
  <c r="V723" i="17"/>
  <c r="AB723" i="17" s="1"/>
  <c r="X722" i="17"/>
  <c r="W722" i="17"/>
  <c r="V722" i="17"/>
  <c r="AB722" i="17" s="1"/>
  <c r="X721" i="17"/>
  <c r="W721" i="17"/>
  <c r="V721" i="17"/>
  <c r="AB721" i="17" s="1"/>
  <c r="X720" i="17"/>
  <c r="W720" i="17"/>
  <c r="AC720" i="17" s="1"/>
  <c r="V720" i="17"/>
  <c r="AB720" i="17" s="1"/>
  <c r="X719" i="17"/>
  <c r="W719" i="17"/>
  <c r="V719" i="17"/>
  <c r="AB719" i="17" s="1"/>
  <c r="X718" i="17"/>
  <c r="W718" i="17"/>
  <c r="V718" i="17"/>
  <c r="AB718" i="17" s="1"/>
  <c r="X717" i="17"/>
  <c r="W717" i="17"/>
  <c r="V717" i="17"/>
  <c r="AB717" i="17" s="1"/>
  <c r="X716" i="17"/>
  <c r="W716" i="17"/>
  <c r="AC716" i="17" s="1"/>
  <c r="V716" i="17"/>
  <c r="AB716" i="17" s="1"/>
  <c r="X715" i="17"/>
  <c r="W715" i="17"/>
  <c r="V715" i="17"/>
  <c r="AB715" i="17" s="1"/>
  <c r="X714" i="17"/>
  <c r="W714" i="17"/>
  <c r="V714" i="17"/>
  <c r="AB714" i="17" s="1"/>
  <c r="X713" i="17"/>
  <c r="W713" i="17"/>
  <c r="V713" i="17"/>
  <c r="AB713" i="17" s="1"/>
  <c r="X712" i="17"/>
  <c r="W712" i="17"/>
  <c r="AC712" i="17" s="1"/>
  <c r="V712" i="17"/>
  <c r="AB712" i="17" s="1"/>
  <c r="X711" i="17"/>
  <c r="W711" i="17"/>
  <c r="V711" i="17"/>
  <c r="AB711" i="17" s="1"/>
  <c r="X710" i="17"/>
  <c r="W710" i="17"/>
  <c r="V710" i="17"/>
  <c r="AB710" i="17" s="1"/>
  <c r="X709" i="17"/>
  <c r="W709" i="17"/>
  <c r="V709" i="17"/>
  <c r="AB709" i="17" s="1"/>
  <c r="X708" i="17"/>
  <c r="W708" i="17"/>
  <c r="AC708" i="17" s="1"/>
  <c r="V708" i="17"/>
  <c r="AB708" i="17" s="1"/>
  <c r="X707" i="17"/>
  <c r="W707" i="17"/>
  <c r="V707" i="17"/>
  <c r="AB707" i="17" s="1"/>
  <c r="X706" i="17"/>
  <c r="W706" i="17"/>
  <c r="V706" i="17"/>
  <c r="AB706" i="17" s="1"/>
  <c r="X705" i="17"/>
  <c r="W705" i="17"/>
  <c r="V705" i="17"/>
  <c r="AB705" i="17" s="1"/>
  <c r="X704" i="17"/>
  <c r="W704" i="17"/>
  <c r="V704" i="17"/>
  <c r="AB704" i="17" s="1"/>
  <c r="X703" i="17"/>
  <c r="W703" i="17"/>
  <c r="V703" i="17"/>
  <c r="AB703" i="17" s="1"/>
  <c r="X702" i="17"/>
  <c r="W702" i="17"/>
  <c r="V702" i="17"/>
  <c r="AB702" i="17" s="1"/>
  <c r="X701" i="17"/>
  <c r="W701" i="17"/>
  <c r="V701" i="17"/>
  <c r="AB701" i="17" s="1"/>
  <c r="X700" i="17"/>
  <c r="W700" i="17"/>
  <c r="V700" i="17"/>
  <c r="AB700" i="17" s="1"/>
  <c r="X699" i="17"/>
  <c r="W699" i="17"/>
  <c r="V699" i="17"/>
  <c r="AB699" i="17" s="1"/>
  <c r="X698" i="17"/>
  <c r="W698" i="17"/>
  <c r="V698" i="17"/>
  <c r="AB698" i="17" s="1"/>
  <c r="X697" i="17"/>
  <c r="W697" i="17"/>
  <c r="V697" i="17"/>
  <c r="AB697" i="17" s="1"/>
  <c r="X696" i="17"/>
  <c r="W696" i="17"/>
  <c r="V696" i="17"/>
  <c r="AB696" i="17" s="1"/>
  <c r="X695" i="17"/>
  <c r="W695" i="17"/>
  <c r="V695" i="17"/>
  <c r="AB695" i="17" s="1"/>
  <c r="X694" i="17"/>
  <c r="W694" i="17"/>
  <c r="V694" i="17"/>
  <c r="AB694" i="17" s="1"/>
  <c r="X693" i="17"/>
  <c r="W693" i="17"/>
  <c r="V693" i="17"/>
  <c r="AB693" i="17" s="1"/>
  <c r="X692" i="17"/>
  <c r="W692" i="17"/>
  <c r="V692" i="17"/>
  <c r="AB692" i="17" s="1"/>
  <c r="X691" i="17"/>
  <c r="W691" i="17"/>
  <c r="V691" i="17"/>
  <c r="AB691" i="17" s="1"/>
  <c r="X690" i="17"/>
  <c r="W690" i="17"/>
  <c r="V690" i="17"/>
  <c r="AB690" i="17" s="1"/>
  <c r="X689" i="17"/>
  <c r="W689" i="17"/>
  <c r="V689" i="17"/>
  <c r="AB689" i="17" s="1"/>
  <c r="X688" i="17"/>
  <c r="W688" i="17"/>
  <c r="V688" i="17"/>
  <c r="AB688" i="17" s="1"/>
  <c r="X687" i="17"/>
  <c r="W687" i="17"/>
  <c r="V687" i="17"/>
  <c r="AB687" i="17" s="1"/>
  <c r="X686" i="17"/>
  <c r="W686" i="17"/>
  <c r="V686" i="17"/>
  <c r="AB686" i="17" s="1"/>
  <c r="X685" i="17"/>
  <c r="W685" i="17"/>
  <c r="V685" i="17"/>
  <c r="AB685" i="17" s="1"/>
  <c r="X684" i="17"/>
  <c r="W684" i="17"/>
  <c r="V684" i="17"/>
  <c r="AB684" i="17" s="1"/>
  <c r="X683" i="17"/>
  <c r="W683" i="17"/>
  <c r="V683" i="17"/>
  <c r="AB683" i="17" s="1"/>
  <c r="X682" i="17"/>
  <c r="W682" i="17"/>
  <c r="V682" i="17"/>
  <c r="AB682" i="17" s="1"/>
  <c r="X681" i="17"/>
  <c r="W681" i="17"/>
  <c r="V681" i="17"/>
  <c r="AB681" i="17" s="1"/>
  <c r="X680" i="17"/>
  <c r="W680" i="17"/>
  <c r="AC680" i="17" s="1"/>
  <c r="V680" i="17"/>
  <c r="AB680" i="17" s="1"/>
  <c r="X679" i="17"/>
  <c r="W679" i="17"/>
  <c r="V679" i="17"/>
  <c r="AB679" i="17" s="1"/>
  <c r="X678" i="17"/>
  <c r="W678" i="17"/>
  <c r="V678" i="17"/>
  <c r="AB678" i="17" s="1"/>
  <c r="X677" i="17"/>
  <c r="W677" i="17"/>
  <c r="V677" i="17"/>
  <c r="AB677" i="17" s="1"/>
  <c r="X676" i="17"/>
  <c r="W676" i="17"/>
  <c r="AC676" i="17" s="1"/>
  <c r="V676" i="17"/>
  <c r="AB676" i="17" s="1"/>
  <c r="X675" i="17"/>
  <c r="W675" i="17"/>
  <c r="V675" i="17"/>
  <c r="AB675" i="17" s="1"/>
  <c r="X674" i="17"/>
  <c r="W674" i="17"/>
  <c r="V674" i="17"/>
  <c r="AB674" i="17" s="1"/>
  <c r="X673" i="17"/>
  <c r="W673" i="17"/>
  <c r="V673" i="17"/>
  <c r="AB673" i="17" s="1"/>
  <c r="X672" i="17"/>
  <c r="W672" i="17"/>
  <c r="AC672" i="17" s="1"/>
  <c r="V672" i="17"/>
  <c r="AB672" i="17" s="1"/>
  <c r="X671" i="17"/>
  <c r="W671" i="17"/>
  <c r="V671" i="17"/>
  <c r="AB671" i="17" s="1"/>
  <c r="X670" i="17"/>
  <c r="W670" i="17"/>
  <c r="V670" i="17"/>
  <c r="AB670" i="17" s="1"/>
  <c r="X669" i="17"/>
  <c r="W669" i="17"/>
  <c r="V669" i="17"/>
  <c r="AB669" i="17" s="1"/>
  <c r="X668" i="17"/>
  <c r="W668" i="17"/>
  <c r="AC668" i="17" s="1"/>
  <c r="V668" i="17"/>
  <c r="AB668" i="17" s="1"/>
  <c r="X667" i="17"/>
  <c r="W667" i="17"/>
  <c r="V667" i="17"/>
  <c r="AB667" i="17" s="1"/>
  <c r="X666" i="17"/>
  <c r="W666" i="17"/>
  <c r="V666" i="17"/>
  <c r="AB666" i="17" s="1"/>
  <c r="X665" i="17"/>
  <c r="W665" i="17"/>
  <c r="V665" i="17"/>
  <c r="AB665" i="17" s="1"/>
  <c r="X664" i="17"/>
  <c r="W664" i="17"/>
  <c r="AC664" i="17" s="1"/>
  <c r="V664" i="17"/>
  <c r="AB664" i="17" s="1"/>
  <c r="X663" i="17"/>
  <c r="W663" i="17"/>
  <c r="V663" i="17"/>
  <c r="AB663" i="17" s="1"/>
  <c r="X662" i="17"/>
  <c r="W662" i="17"/>
  <c r="V662" i="17"/>
  <c r="AB662" i="17" s="1"/>
  <c r="X661" i="17"/>
  <c r="W661" i="17"/>
  <c r="V661" i="17"/>
  <c r="AB661" i="17" s="1"/>
  <c r="X660" i="17"/>
  <c r="W660" i="17"/>
  <c r="AC660" i="17" s="1"/>
  <c r="V660" i="17"/>
  <c r="AB660" i="17" s="1"/>
  <c r="X659" i="17"/>
  <c r="W659" i="17"/>
  <c r="V659" i="17"/>
  <c r="AB659" i="17" s="1"/>
  <c r="X658" i="17"/>
  <c r="W658" i="17"/>
  <c r="V658" i="17"/>
  <c r="AB658" i="17" s="1"/>
  <c r="X657" i="17"/>
  <c r="W657" i="17"/>
  <c r="V657" i="17"/>
  <c r="AB657" i="17" s="1"/>
  <c r="X656" i="17"/>
  <c r="W656" i="17"/>
  <c r="AC656" i="17" s="1"/>
  <c r="V656" i="17"/>
  <c r="AB656" i="17" s="1"/>
  <c r="X655" i="17"/>
  <c r="W655" i="17"/>
  <c r="V655" i="17"/>
  <c r="AB655" i="17" s="1"/>
  <c r="X654" i="17"/>
  <c r="W654" i="17"/>
  <c r="V654" i="17"/>
  <c r="AB654" i="17" s="1"/>
  <c r="X653" i="17"/>
  <c r="W653" i="17"/>
  <c r="V653" i="17"/>
  <c r="AB653" i="17" s="1"/>
  <c r="X652" i="17"/>
  <c r="W652" i="17"/>
  <c r="AC652" i="17" s="1"/>
  <c r="V652" i="17"/>
  <c r="AB652" i="17" s="1"/>
  <c r="X651" i="17"/>
  <c r="W651" i="17"/>
  <c r="V651" i="17"/>
  <c r="AB651" i="17" s="1"/>
  <c r="X650" i="17"/>
  <c r="W650" i="17"/>
  <c r="V650" i="17"/>
  <c r="AB650" i="17" s="1"/>
  <c r="X649" i="17"/>
  <c r="W649" i="17"/>
  <c r="V649" i="17"/>
  <c r="AB649" i="17" s="1"/>
  <c r="X648" i="17"/>
  <c r="W648" i="17"/>
  <c r="AC648" i="17" s="1"/>
  <c r="V648" i="17"/>
  <c r="AB648" i="17" s="1"/>
  <c r="X647" i="17"/>
  <c r="W647" i="17"/>
  <c r="V647" i="17"/>
  <c r="AB647" i="17" s="1"/>
  <c r="X646" i="17"/>
  <c r="W646" i="17"/>
  <c r="V646" i="17"/>
  <c r="AB646" i="17" s="1"/>
  <c r="X645" i="17"/>
  <c r="W645" i="17"/>
  <c r="V645" i="17"/>
  <c r="AB645" i="17" s="1"/>
  <c r="X644" i="17"/>
  <c r="W644" i="17"/>
  <c r="AC644" i="17" s="1"/>
  <c r="V644" i="17"/>
  <c r="AB644" i="17" s="1"/>
  <c r="X643" i="17"/>
  <c r="W643" i="17"/>
  <c r="V643" i="17"/>
  <c r="AB643" i="17" s="1"/>
  <c r="X642" i="17"/>
  <c r="W642" i="17"/>
  <c r="V642" i="17"/>
  <c r="AB642" i="17" s="1"/>
  <c r="X641" i="17"/>
  <c r="W641" i="17"/>
  <c r="V641" i="17"/>
  <c r="AB641" i="17" s="1"/>
  <c r="X640" i="17"/>
  <c r="W640" i="17"/>
  <c r="AC640" i="17" s="1"/>
  <c r="V640" i="17"/>
  <c r="AB640" i="17" s="1"/>
  <c r="X639" i="17"/>
  <c r="W639" i="17"/>
  <c r="V639" i="17"/>
  <c r="AB639" i="17" s="1"/>
  <c r="X638" i="17"/>
  <c r="W638" i="17"/>
  <c r="V638" i="17"/>
  <c r="AB638" i="17" s="1"/>
  <c r="X637" i="17"/>
  <c r="W637" i="17"/>
  <c r="V637" i="17"/>
  <c r="AB637" i="17" s="1"/>
  <c r="X636" i="17"/>
  <c r="W636" i="17"/>
  <c r="AC636" i="17" s="1"/>
  <c r="V636" i="17"/>
  <c r="AB636" i="17" s="1"/>
  <c r="X635" i="17"/>
  <c r="W635" i="17"/>
  <c r="V635" i="17"/>
  <c r="AB635" i="17" s="1"/>
  <c r="X634" i="17"/>
  <c r="W634" i="17"/>
  <c r="V634" i="17"/>
  <c r="AB634" i="17" s="1"/>
  <c r="X633" i="17"/>
  <c r="W633" i="17"/>
  <c r="V633" i="17"/>
  <c r="AB633" i="17" s="1"/>
  <c r="X632" i="17"/>
  <c r="W632" i="17"/>
  <c r="AC632" i="17" s="1"/>
  <c r="V632" i="17"/>
  <c r="AB632" i="17" s="1"/>
  <c r="X631" i="17"/>
  <c r="W631" i="17"/>
  <c r="V631" i="17"/>
  <c r="AB631" i="17" s="1"/>
  <c r="X630" i="17"/>
  <c r="W630" i="17"/>
  <c r="V630" i="17"/>
  <c r="AB630" i="17" s="1"/>
  <c r="X629" i="17"/>
  <c r="W629" i="17"/>
  <c r="V629" i="17"/>
  <c r="AB629" i="17" s="1"/>
  <c r="X628" i="17"/>
  <c r="W628" i="17"/>
  <c r="AC628" i="17" s="1"/>
  <c r="V628" i="17"/>
  <c r="AB628" i="17" s="1"/>
  <c r="X627" i="17"/>
  <c r="W627" i="17"/>
  <c r="V627" i="17"/>
  <c r="AB627" i="17" s="1"/>
  <c r="X626" i="17"/>
  <c r="W626" i="17"/>
  <c r="V626" i="17"/>
  <c r="AB626" i="17" s="1"/>
  <c r="X625" i="17"/>
  <c r="W625" i="17"/>
  <c r="V625" i="17"/>
  <c r="AB625" i="17" s="1"/>
  <c r="X624" i="17"/>
  <c r="W624" i="17"/>
  <c r="AC624" i="17" s="1"/>
  <c r="V624" i="17"/>
  <c r="AB624" i="17" s="1"/>
  <c r="X623" i="17"/>
  <c r="W623" i="17"/>
  <c r="V623" i="17"/>
  <c r="AB623" i="17" s="1"/>
  <c r="X622" i="17"/>
  <c r="W622" i="17"/>
  <c r="V622" i="17"/>
  <c r="AB622" i="17" s="1"/>
  <c r="X621" i="17"/>
  <c r="W621" i="17"/>
  <c r="V621" i="17"/>
  <c r="AB621" i="17" s="1"/>
  <c r="X620" i="17"/>
  <c r="W620" i="17"/>
  <c r="AC620" i="17" s="1"/>
  <c r="V620" i="17"/>
  <c r="AB620" i="17" s="1"/>
  <c r="X619" i="17"/>
  <c r="W619" i="17"/>
  <c r="V619" i="17"/>
  <c r="AB619" i="17" s="1"/>
  <c r="X618" i="17"/>
  <c r="W618" i="17"/>
  <c r="V618" i="17"/>
  <c r="AB618" i="17" s="1"/>
  <c r="X617" i="17"/>
  <c r="W617" i="17"/>
  <c r="V617" i="17"/>
  <c r="AB617" i="17" s="1"/>
  <c r="X616" i="17"/>
  <c r="W616" i="17"/>
  <c r="AC616" i="17" s="1"/>
  <c r="V616" i="17"/>
  <c r="AB616" i="17" s="1"/>
  <c r="X615" i="17"/>
  <c r="W615" i="17"/>
  <c r="V615" i="17"/>
  <c r="AB615" i="17" s="1"/>
  <c r="X614" i="17"/>
  <c r="W614" i="17"/>
  <c r="V614" i="17"/>
  <c r="AB614" i="17" s="1"/>
  <c r="X613" i="17"/>
  <c r="W613" i="17"/>
  <c r="V613" i="17"/>
  <c r="AB613" i="17" s="1"/>
  <c r="X612" i="17"/>
  <c r="W612" i="17"/>
  <c r="AC612" i="17" s="1"/>
  <c r="V612" i="17"/>
  <c r="AB612" i="17" s="1"/>
  <c r="X611" i="17"/>
  <c r="W611" i="17"/>
  <c r="V611" i="17"/>
  <c r="AB611" i="17" s="1"/>
  <c r="X610" i="17"/>
  <c r="W610" i="17"/>
  <c r="AC610" i="17" s="1"/>
  <c r="V610" i="17"/>
  <c r="AB610" i="17" s="1"/>
  <c r="X609" i="17"/>
  <c r="W609" i="17"/>
  <c r="V609" i="17"/>
  <c r="AB609" i="17" s="1"/>
  <c r="X608" i="17"/>
  <c r="W608" i="17"/>
  <c r="AC608" i="17" s="1"/>
  <c r="V608" i="17"/>
  <c r="AB608" i="17" s="1"/>
  <c r="X607" i="17"/>
  <c r="W607" i="17"/>
  <c r="V607" i="17"/>
  <c r="AB607" i="17" s="1"/>
  <c r="X606" i="17"/>
  <c r="W606" i="17"/>
  <c r="AC606" i="17" s="1"/>
  <c r="V606" i="17"/>
  <c r="AB606" i="17" s="1"/>
  <c r="X605" i="17"/>
  <c r="W605" i="17"/>
  <c r="V605" i="17"/>
  <c r="AB605" i="17" s="1"/>
  <c r="X604" i="17"/>
  <c r="W604" i="17"/>
  <c r="AC604" i="17" s="1"/>
  <c r="V604" i="17"/>
  <c r="AB604" i="17" s="1"/>
  <c r="X603" i="17"/>
  <c r="W603" i="17"/>
  <c r="V603" i="17"/>
  <c r="AB603" i="17" s="1"/>
  <c r="X602" i="17"/>
  <c r="W602" i="17"/>
  <c r="AC602" i="17" s="1"/>
  <c r="V602" i="17"/>
  <c r="AB602" i="17" s="1"/>
  <c r="X601" i="17"/>
  <c r="W601" i="17"/>
  <c r="V601" i="17"/>
  <c r="AB601" i="17" s="1"/>
  <c r="X600" i="17"/>
  <c r="W600" i="17"/>
  <c r="AC600" i="17" s="1"/>
  <c r="V600" i="17"/>
  <c r="AB600" i="17" s="1"/>
  <c r="X599" i="17"/>
  <c r="W599" i="17"/>
  <c r="V599" i="17"/>
  <c r="AB599" i="17" s="1"/>
  <c r="X598" i="17"/>
  <c r="W598" i="17"/>
  <c r="AC598" i="17" s="1"/>
  <c r="V598" i="17"/>
  <c r="AB598" i="17" s="1"/>
  <c r="X597" i="17"/>
  <c r="W597" i="17"/>
  <c r="V597" i="17"/>
  <c r="AB597" i="17" s="1"/>
  <c r="X596" i="17"/>
  <c r="W596" i="17"/>
  <c r="AC596" i="17" s="1"/>
  <c r="V596" i="17"/>
  <c r="AB596" i="17" s="1"/>
  <c r="X595" i="17"/>
  <c r="W595" i="17"/>
  <c r="V595" i="17"/>
  <c r="AB595" i="17" s="1"/>
  <c r="X594" i="17"/>
  <c r="W594" i="17"/>
  <c r="AC594" i="17" s="1"/>
  <c r="V594" i="17"/>
  <c r="AB594" i="17" s="1"/>
  <c r="X593" i="17"/>
  <c r="W593" i="17"/>
  <c r="V593" i="17"/>
  <c r="AB593" i="17" s="1"/>
  <c r="X592" i="17"/>
  <c r="W592" i="17"/>
  <c r="AC592" i="17" s="1"/>
  <c r="V592" i="17"/>
  <c r="AB592" i="17" s="1"/>
  <c r="X591" i="17"/>
  <c r="W591" i="17"/>
  <c r="V591" i="17"/>
  <c r="AB591" i="17" s="1"/>
  <c r="X590" i="17"/>
  <c r="W590" i="17"/>
  <c r="AC590" i="17" s="1"/>
  <c r="V590" i="17"/>
  <c r="AB590" i="17" s="1"/>
  <c r="X589" i="17"/>
  <c r="W589" i="17"/>
  <c r="V589" i="17"/>
  <c r="AB589" i="17" s="1"/>
  <c r="X588" i="17"/>
  <c r="W588" i="17"/>
  <c r="AC588" i="17" s="1"/>
  <c r="V588" i="17"/>
  <c r="AB588" i="17" s="1"/>
  <c r="X587" i="17"/>
  <c r="W587" i="17"/>
  <c r="V587" i="17"/>
  <c r="AB587" i="17" s="1"/>
  <c r="X586" i="17"/>
  <c r="W586" i="17"/>
  <c r="AC586" i="17" s="1"/>
  <c r="V586" i="17"/>
  <c r="AB586" i="17" s="1"/>
  <c r="X585" i="17"/>
  <c r="W585" i="17"/>
  <c r="V585" i="17"/>
  <c r="AB585" i="17" s="1"/>
  <c r="X584" i="17"/>
  <c r="W584" i="17"/>
  <c r="AC584" i="17" s="1"/>
  <c r="V584" i="17"/>
  <c r="AB584" i="17" s="1"/>
  <c r="X583" i="17"/>
  <c r="W583" i="17"/>
  <c r="V583" i="17"/>
  <c r="AB583" i="17" s="1"/>
  <c r="X582" i="17"/>
  <c r="W582" i="17"/>
  <c r="AC582" i="17" s="1"/>
  <c r="V582" i="17"/>
  <c r="AB582" i="17" s="1"/>
  <c r="X581" i="17"/>
  <c r="W581" i="17"/>
  <c r="V581" i="17"/>
  <c r="AB581" i="17" s="1"/>
  <c r="X580" i="17"/>
  <c r="W580" i="17"/>
  <c r="AC580" i="17" s="1"/>
  <c r="V580" i="17"/>
  <c r="AB580" i="17" s="1"/>
  <c r="X579" i="17"/>
  <c r="W579" i="17"/>
  <c r="V579" i="17"/>
  <c r="AB579" i="17" s="1"/>
  <c r="X578" i="17"/>
  <c r="W578" i="17"/>
  <c r="AC578" i="17" s="1"/>
  <c r="V578" i="17"/>
  <c r="AB578" i="17" s="1"/>
  <c r="X577" i="17"/>
  <c r="W577" i="17"/>
  <c r="V577" i="17"/>
  <c r="AB577" i="17" s="1"/>
  <c r="X576" i="17"/>
  <c r="W576" i="17"/>
  <c r="AC576" i="17" s="1"/>
  <c r="V576" i="17"/>
  <c r="AB576" i="17" s="1"/>
  <c r="X575" i="17"/>
  <c r="W575" i="17"/>
  <c r="V575" i="17"/>
  <c r="AB575" i="17" s="1"/>
  <c r="X574" i="17"/>
  <c r="W574" i="17"/>
  <c r="AC574" i="17" s="1"/>
  <c r="V574" i="17"/>
  <c r="AB574" i="17" s="1"/>
  <c r="X573" i="17"/>
  <c r="W573" i="17"/>
  <c r="V573" i="17"/>
  <c r="AB573" i="17" s="1"/>
  <c r="X572" i="17"/>
  <c r="W572" i="17"/>
  <c r="AC572" i="17" s="1"/>
  <c r="V572" i="17"/>
  <c r="AB572" i="17" s="1"/>
  <c r="X571" i="17"/>
  <c r="W571" i="17"/>
  <c r="V571" i="17"/>
  <c r="AB571" i="17" s="1"/>
  <c r="X570" i="17"/>
  <c r="W570" i="17"/>
  <c r="AC570" i="17" s="1"/>
  <c r="V570" i="17"/>
  <c r="AB570" i="17" s="1"/>
  <c r="X569" i="17"/>
  <c r="W569" i="17"/>
  <c r="V569" i="17"/>
  <c r="AB569" i="17" s="1"/>
  <c r="X568" i="17"/>
  <c r="W568" i="17"/>
  <c r="AC568" i="17" s="1"/>
  <c r="V568" i="17"/>
  <c r="AB568" i="17" s="1"/>
  <c r="X567" i="17"/>
  <c r="W567" i="17"/>
  <c r="V567" i="17"/>
  <c r="AB567" i="17" s="1"/>
  <c r="X566" i="17"/>
  <c r="W566" i="17"/>
  <c r="AC566" i="17" s="1"/>
  <c r="V566" i="17"/>
  <c r="AB566" i="17" s="1"/>
  <c r="X565" i="17"/>
  <c r="W565" i="17"/>
  <c r="V565" i="17"/>
  <c r="AB565" i="17" s="1"/>
  <c r="X564" i="17"/>
  <c r="W564" i="17"/>
  <c r="AC564" i="17" s="1"/>
  <c r="V564" i="17"/>
  <c r="AB564" i="17" s="1"/>
  <c r="X563" i="17"/>
  <c r="W563" i="17"/>
  <c r="V563" i="17"/>
  <c r="AB563" i="17" s="1"/>
  <c r="X562" i="17"/>
  <c r="W562" i="17"/>
  <c r="AC562" i="17" s="1"/>
  <c r="V562" i="17"/>
  <c r="AB562" i="17" s="1"/>
  <c r="X561" i="17"/>
  <c r="W561" i="17"/>
  <c r="V561" i="17"/>
  <c r="AB561" i="17" s="1"/>
  <c r="X560" i="17"/>
  <c r="W560" i="17"/>
  <c r="AC560" i="17" s="1"/>
  <c r="V560" i="17"/>
  <c r="AB560" i="17" s="1"/>
  <c r="X559" i="17"/>
  <c r="W559" i="17"/>
  <c r="V559" i="17"/>
  <c r="AB559" i="17" s="1"/>
  <c r="X558" i="17"/>
  <c r="W558" i="17"/>
  <c r="AC558" i="17" s="1"/>
  <c r="V558" i="17"/>
  <c r="AB558" i="17" s="1"/>
  <c r="X557" i="17"/>
  <c r="W557" i="17"/>
  <c r="V557" i="17"/>
  <c r="AB557" i="17" s="1"/>
  <c r="X556" i="17"/>
  <c r="W556" i="17"/>
  <c r="AC556" i="17" s="1"/>
  <c r="V556" i="17"/>
  <c r="AB556" i="17" s="1"/>
  <c r="X555" i="17"/>
  <c r="W555" i="17"/>
  <c r="V555" i="17"/>
  <c r="AB555" i="17" s="1"/>
  <c r="X554" i="17"/>
  <c r="W554" i="17"/>
  <c r="AC554" i="17" s="1"/>
  <c r="V554" i="17"/>
  <c r="AB554" i="17" s="1"/>
  <c r="X553" i="17"/>
  <c r="W553" i="17"/>
  <c r="V553" i="17"/>
  <c r="AB553" i="17" s="1"/>
  <c r="X552" i="17"/>
  <c r="W552" i="17"/>
  <c r="AC552" i="17" s="1"/>
  <c r="V552" i="17"/>
  <c r="AB552" i="17" s="1"/>
  <c r="X551" i="17"/>
  <c r="W551" i="17"/>
  <c r="V551" i="17"/>
  <c r="AB551" i="17" s="1"/>
  <c r="X550" i="17"/>
  <c r="W550" i="17"/>
  <c r="AC550" i="17" s="1"/>
  <c r="V550" i="17"/>
  <c r="AB550" i="17" s="1"/>
  <c r="X549" i="17"/>
  <c r="W549" i="17"/>
  <c r="V549" i="17"/>
  <c r="AB549" i="17" s="1"/>
  <c r="X548" i="17"/>
  <c r="W548" i="17"/>
  <c r="AC548" i="17" s="1"/>
  <c r="V548" i="17"/>
  <c r="AB548" i="17" s="1"/>
  <c r="X547" i="17"/>
  <c r="W547" i="17"/>
  <c r="V547" i="17"/>
  <c r="AB547" i="17" s="1"/>
  <c r="X546" i="17"/>
  <c r="W546" i="17"/>
  <c r="AC546" i="17" s="1"/>
  <c r="V546" i="17"/>
  <c r="AB546" i="17" s="1"/>
  <c r="X545" i="17"/>
  <c r="W545" i="17"/>
  <c r="V545" i="17"/>
  <c r="AB545" i="17" s="1"/>
  <c r="X544" i="17"/>
  <c r="W544" i="17"/>
  <c r="V544" i="17"/>
  <c r="AB544" i="17" s="1"/>
  <c r="X543" i="17"/>
  <c r="W543" i="17"/>
  <c r="V543" i="17"/>
  <c r="AB543" i="17" s="1"/>
  <c r="X542" i="17"/>
  <c r="W542" i="17"/>
  <c r="AC542" i="17" s="1"/>
  <c r="V542" i="17"/>
  <c r="AB542" i="17" s="1"/>
  <c r="X541" i="17"/>
  <c r="W541" i="17"/>
  <c r="V541" i="17"/>
  <c r="AB541" i="17" s="1"/>
  <c r="V540" i="17"/>
  <c r="AB540" i="17" s="1"/>
  <c r="V539" i="17"/>
  <c r="AB539" i="17" s="1"/>
  <c r="V538" i="17"/>
  <c r="AB538" i="17" s="1"/>
  <c r="V537" i="17"/>
  <c r="AB537" i="17" s="1"/>
  <c r="V536" i="17"/>
  <c r="AB536" i="17" s="1"/>
  <c r="V535" i="17"/>
  <c r="AB535" i="17" s="1"/>
  <c r="V534" i="17"/>
  <c r="AB534" i="17" s="1"/>
  <c r="V533" i="17"/>
  <c r="AB533" i="17" s="1"/>
  <c r="V532" i="17"/>
  <c r="AB532" i="17" s="1"/>
  <c r="V531" i="17"/>
  <c r="AB531" i="17" s="1"/>
  <c r="V530" i="17"/>
  <c r="AB530" i="17" s="1"/>
  <c r="V529" i="17"/>
  <c r="AB529" i="17" s="1"/>
  <c r="X528" i="17"/>
  <c r="W528" i="17"/>
  <c r="AC528" i="17" s="1"/>
  <c r="X527" i="17"/>
  <c r="W527" i="17"/>
  <c r="AC527" i="17" s="1"/>
  <c r="X526" i="17"/>
  <c r="W526" i="17"/>
  <c r="AC526" i="17" s="1"/>
  <c r="X525" i="17"/>
  <c r="W525" i="17"/>
  <c r="AC525" i="17" s="1"/>
  <c r="X524" i="17"/>
  <c r="W524" i="17"/>
  <c r="AC524" i="17" s="1"/>
  <c r="X523" i="17"/>
  <c r="W523" i="17"/>
  <c r="AC523" i="17" s="1"/>
  <c r="X522" i="17"/>
  <c r="W522" i="17"/>
  <c r="AC522" i="17" s="1"/>
  <c r="X521" i="17"/>
  <c r="W521" i="17"/>
  <c r="AC521" i="17" s="1"/>
  <c r="X520" i="17"/>
  <c r="W520" i="17"/>
  <c r="AC520" i="17" s="1"/>
  <c r="X519" i="17"/>
  <c r="W519" i="17"/>
  <c r="AC519" i="17" s="1"/>
  <c r="X518" i="17"/>
  <c r="W518" i="17"/>
  <c r="AC518" i="17" s="1"/>
  <c r="X517" i="17"/>
  <c r="W517" i="17"/>
  <c r="AC517" i="17" s="1"/>
  <c r="V516" i="17"/>
  <c r="AB516" i="17" s="1"/>
  <c r="V515" i="17"/>
  <c r="AB515" i="17" s="1"/>
  <c r="V514" i="17"/>
  <c r="AB514" i="17" s="1"/>
  <c r="V513" i="17"/>
  <c r="AB513" i="17" s="1"/>
  <c r="V512" i="17"/>
  <c r="AB512" i="17" s="1"/>
  <c r="V511" i="17"/>
  <c r="AB511" i="17" s="1"/>
  <c r="V510" i="17"/>
  <c r="AB510" i="17" s="1"/>
  <c r="V509" i="17"/>
  <c r="AB509" i="17" s="1"/>
  <c r="V508" i="17"/>
  <c r="AB508" i="17" s="1"/>
  <c r="V507" i="17"/>
  <c r="AB507" i="17" s="1"/>
  <c r="V506" i="17"/>
  <c r="AB506" i="17" s="1"/>
  <c r="V505" i="17"/>
  <c r="AB505" i="17" s="1"/>
  <c r="V504" i="17"/>
  <c r="AB504" i="17" s="1"/>
  <c r="V503" i="17"/>
  <c r="AB503" i="17" s="1"/>
  <c r="V502" i="17"/>
  <c r="AB502" i="17" s="1"/>
  <c r="V501" i="17"/>
  <c r="AB501" i="17" s="1"/>
  <c r="V500" i="17"/>
  <c r="AB500" i="17" s="1"/>
  <c r="V499" i="17"/>
  <c r="AB499" i="17" s="1"/>
  <c r="V498" i="17"/>
  <c r="AB498" i="17" s="1"/>
  <c r="V497" i="17"/>
  <c r="AB497" i="17" s="1"/>
  <c r="V496" i="17"/>
  <c r="AB496" i="17" s="1"/>
  <c r="V495" i="17"/>
  <c r="AB495" i="17" s="1"/>
  <c r="V494" i="17"/>
  <c r="AB494" i="17" s="1"/>
  <c r="V493" i="17"/>
  <c r="AB493" i="17" s="1"/>
  <c r="V492" i="17"/>
  <c r="AB492" i="17" s="1"/>
  <c r="V491" i="17"/>
  <c r="AB491" i="17" s="1"/>
  <c r="V490" i="17"/>
  <c r="AB490" i="17" s="1"/>
  <c r="V489" i="17"/>
  <c r="AB489" i="17" s="1"/>
  <c r="V488" i="17"/>
  <c r="AB488" i="17" s="1"/>
  <c r="V487" i="17"/>
  <c r="AB487" i="17" s="1"/>
  <c r="V486" i="17"/>
  <c r="AB486" i="17" s="1"/>
  <c r="V485" i="17"/>
  <c r="AB485" i="17" s="1"/>
  <c r="V484" i="17"/>
  <c r="AB484" i="17" s="1"/>
  <c r="V483" i="17"/>
  <c r="AB483" i="17" s="1"/>
  <c r="V482" i="17"/>
  <c r="AB482" i="17" s="1"/>
  <c r="V481" i="17"/>
  <c r="AB481" i="17" s="1"/>
  <c r="V480" i="17"/>
  <c r="AB480" i="17" s="1"/>
  <c r="V479" i="17"/>
  <c r="AB479" i="17" s="1"/>
  <c r="V478" i="17"/>
  <c r="AB478" i="17" s="1"/>
  <c r="V477" i="17"/>
  <c r="AB477" i="17" s="1"/>
  <c r="V476" i="17"/>
  <c r="AB476" i="17" s="1"/>
  <c r="V475" i="17"/>
  <c r="AB475" i="17" s="1"/>
  <c r="V474" i="17"/>
  <c r="AB474" i="17" s="1"/>
  <c r="X473" i="17"/>
  <c r="W473" i="17"/>
  <c r="X472" i="17"/>
  <c r="W472" i="17"/>
  <c r="X471" i="17"/>
  <c r="W471" i="17"/>
  <c r="X470" i="17"/>
  <c r="W470" i="17"/>
  <c r="X469" i="17"/>
  <c r="W469" i="17"/>
  <c r="X468" i="17"/>
  <c r="W468" i="17"/>
  <c r="X467" i="17"/>
  <c r="W467" i="17"/>
  <c r="X466" i="17"/>
  <c r="W466" i="17"/>
  <c r="X465" i="17"/>
  <c r="W465" i="17"/>
  <c r="X464" i="17"/>
  <c r="W464" i="17"/>
  <c r="X463" i="17"/>
  <c r="W463" i="17"/>
  <c r="X462" i="17"/>
  <c r="W462" i="17"/>
  <c r="X461" i="17"/>
  <c r="W461" i="17"/>
  <c r="X460" i="17"/>
  <c r="W460" i="17"/>
  <c r="X459" i="17"/>
  <c r="W459" i="17"/>
  <c r="X458" i="17"/>
  <c r="W458" i="17"/>
  <c r="X457" i="17"/>
  <c r="W457" i="17"/>
  <c r="X456" i="17"/>
  <c r="W456" i="17"/>
  <c r="X455" i="17"/>
  <c r="W455" i="17"/>
  <c r="X454" i="17"/>
  <c r="W454" i="17"/>
  <c r="X453" i="17"/>
  <c r="W453" i="17"/>
  <c r="X452" i="17"/>
  <c r="W452" i="17"/>
  <c r="X451" i="17"/>
  <c r="W451" i="17"/>
  <c r="X450" i="17"/>
  <c r="W450" i="17"/>
  <c r="X449" i="17"/>
  <c r="W449" i="17"/>
  <c r="X448" i="17"/>
  <c r="W448" i="17"/>
  <c r="X447" i="17"/>
  <c r="W447" i="17"/>
  <c r="X446" i="17"/>
  <c r="W446" i="17"/>
  <c r="X445" i="17"/>
  <c r="W445" i="17"/>
  <c r="X444" i="17"/>
  <c r="W444" i="17"/>
  <c r="X443" i="17"/>
  <c r="W443" i="17"/>
  <c r="X442" i="17"/>
  <c r="W442" i="17"/>
  <c r="X441" i="17"/>
  <c r="W441" i="17"/>
  <c r="X440" i="17"/>
  <c r="W440" i="17"/>
  <c r="V439" i="17"/>
  <c r="AB439" i="17" s="1"/>
  <c r="V438" i="17"/>
  <c r="AB438" i="17" s="1"/>
  <c r="V437" i="17"/>
  <c r="AB437" i="17" s="1"/>
  <c r="V436" i="17"/>
  <c r="AB436" i="17" s="1"/>
  <c r="V435" i="17"/>
  <c r="AB435" i="17" s="1"/>
  <c r="V434" i="17"/>
  <c r="AB434" i="17" s="1"/>
  <c r="V433" i="17"/>
  <c r="AB433" i="17" s="1"/>
  <c r="V432" i="17"/>
  <c r="AB432" i="17" s="1"/>
  <c r="V431" i="17"/>
  <c r="AB431" i="17" s="1"/>
  <c r="V430" i="17"/>
  <c r="AB430" i="17" s="1"/>
  <c r="V429" i="17"/>
  <c r="AB429" i="17" s="1"/>
  <c r="V428" i="17"/>
  <c r="AB428" i="17" s="1"/>
  <c r="V427" i="17"/>
  <c r="AB427" i="17" s="1"/>
  <c r="V426" i="17"/>
  <c r="AB426" i="17" s="1"/>
  <c r="V425" i="17"/>
  <c r="AB425" i="17" s="1"/>
  <c r="V424" i="17"/>
  <c r="AB424" i="17" s="1"/>
  <c r="V423" i="17"/>
  <c r="AB423" i="17" s="1"/>
  <c r="V422" i="17"/>
  <c r="AB422" i="17" s="1"/>
  <c r="V421" i="17"/>
  <c r="AB421" i="17" s="1"/>
  <c r="V420" i="17"/>
  <c r="AB420" i="17" s="1"/>
  <c r="V419" i="17"/>
  <c r="AB419" i="17" s="1"/>
  <c r="V418" i="17"/>
  <c r="AB418" i="17" s="1"/>
  <c r="V417" i="17"/>
  <c r="AB417" i="17" s="1"/>
  <c r="V416" i="17"/>
  <c r="AB416" i="17" s="1"/>
  <c r="V415" i="17"/>
  <c r="AB415" i="17" s="1"/>
  <c r="V414" i="17"/>
  <c r="AB414" i="17" s="1"/>
  <c r="V413" i="17"/>
  <c r="AB413" i="17" s="1"/>
  <c r="V412" i="17"/>
  <c r="AB412" i="17" s="1"/>
  <c r="V411" i="17"/>
  <c r="AB411" i="17" s="1"/>
  <c r="V410" i="17"/>
  <c r="AB410" i="17" s="1"/>
  <c r="V409" i="17"/>
  <c r="AB409" i="17" s="1"/>
  <c r="V408" i="17"/>
  <c r="AB408" i="17" s="1"/>
  <c r="V407" i="17"/>
  <c r="AB407" i="17" s="1"/>
  <c r="V406" i="17"/>
  <c r="AB406" i="17" s="1"/>
  <c r="V405" i="17"/>
  <c r="AB405" i="17" s="1"/>
  <c r="V404" i="17"/>
  <c r="AB404" i="17" s="1"/>
  <c r="V403" i="17"/>
  <c r="AB403" i="17" s="1"/>
  <c r="V402" i="17"/>
  <c r="AB402" i="17" s="1"/>
  <c r="V401" i="17"/>
  <c r="AB401" i="17" s="1"/>
  <c r="V400" i="17"/>
  <c r="AB400" i="17" s="1"/>
  <c r="V399" i="17"/>
  <c r="AB399" i="17" s="1"/>
  <c r="V398" i="17"/>
  <c r="AB398" i="17" s="1"/>
  <c r="V397" i="17"/>
  <c r="AB397" i="17" s="1"/>
  <c r="V396" i="17"/>
  <c r="AB396" i="17" s="1"/>
  <c r="V395" i="17"/>
  <c r="AB395" i="17" s="1"/>
  <c r="V394" i="17"/>
  <c r="AB394" i="17" s="1"/>
  <c r="V393" i="17"/>
  <c r="AB393" i="17" s="1"/>
  <c r="V392" i="17"/>
  <c r="AB392" i="17" s="1"/>
  <c r="V391" i="17"/>
  <c r="AB391" i="17" s="1"/>
  <c r="V390" i="17"/>
  <c r="AB390" i="17" s="1"/>
  <c r="V389" i="17"/>
  <c r="AB389" i="17" s="1"/>
  <c r="V388" i="17"/>
  <c r="AB388" i="17" s="1"/>
  <c r="V387" i="17"/>
  <c r="AB387" i="17" s="1"/>
  <c r="V386" i="17"/>
  <c r="AB386" i="17" s="1"/>
  <c r="V385" i="17"/>
  <c r="AB385" i="17" s="1"/>
  <c r="X384" i="17"/>
  <c r="W384" i="17"/>
  <c r="AC384" i="17" s="1"/>
  <c r="X383" i="17"/>
  <c r="W383" i="17"/>
  <c r="AC383" i="17" s="1"/>
  <c r="X382" i="17"/>
  <c r="W382" i="17"/>
  <c r="AC382" i="17" s="1"/>
  <c r="X381" i="17"/>
  <c r="W381" i="17"/>
  <c r="AC381" i="17" s="1"/>
  <c r="X380" i="17"/>
  <c r="W380" i="17"/>
  <c r="AC380" i="17" s="1"/>
  <c r="X379" i="17"/>
  <c r="W379" i="17"/>
  <c r="AC379" i="17" s="1"/>
  <c r="X378" i="17"/>
  <c r="W378" i="17"/>
  <c r="AC378" i="17" s="1"/>
  <c r="X377" i="17"/>
  <c r="W377" i="17"/>
  <c r="AC377" i="17" s="1"/>
  <c r="X376" i="17"/>
  <c r="W376" i="17"/>
  <c r="AC376" i="17" s="1"/>
  <c r="X375" i="17"/>
  <c r="W375" i="17"/>
  <c r="AC375" i="17" s="1"/>
  <c r="X374" i="17"/>
  <c r="W374" i="17"/>
  <c r="AC374" i="17" s="1"/>
  <c r="X373" i="17"/>
  <c r="W373" i="17"/>
  <c r="AC373" i="17" s="1"/>
  <c r="X372" i="17"/>
  <c r="W372" i="17"/>
  <c r="AC372" i="17" s="1"/>
  <c r="X371" i="17"/>
  <c r="W371" i="17"/>
  <c r="AC371" i="17" s="1"/>
  <c r="X370" i="17"/>
  <c r="W370" i="17"/>
  <c r="AC370" i="17" s="1"/>
  <c r="X369" i="17"/>
  <c r="W369" i="17"/>
  <c r="AC369" i="17" s="1"/>
  <c r="X368" i="17"/>
  <c r="W368" i="17"/>
  <c r="AC368" i="17" s="1"/>
  <c r="X367" i="17"/>
  <c r="W367" i="17"/>
  <c r="AC367" i="17" s="1"/>
  <c r="X366" i="17"/>
  <c r="W366" i="17"/>
  <c r="AC366" i="17" s="1"/>
  <c r="X365" i="17"/>
  <c r="W365" i="17"/>
  <c r="AC365" i="17" s="1"/>
  <c r="X364" i="17"/>
  <c r="W364" i="17"/>
  <c r="AC364" i="17" s="1"/>
  <c r="X363" i="17"/>
  <c r="W363" i="17"/>
  <c r="AC363" i="17" s="1"/>
  <c r="X362" i="17"/>
  <c r="W362" i="17"/>
  <c r="AC362" i="17" s="1"/>
  <c r="X361" i="17"/>
  <c r="W361" i="17"/>
  <c r="AC361" i="17" s="1"/>
  <c r="V360" i="17"/>
  <c r="AB360" i="17" s="1"/>
  <c r="V359" i="17"/>
  <c r="AB359" i="17" s="1"/>
  <c r="V358" i="17"/>
  <c r="AB358" i="17" s="1"/>
  <c r="V357" i="17"/>
  <c r="AB357" i="17" s="1"/>
  <c r="V356" i="17"/>
  <c r="AB356" i="17" s="1"/>
  <c r="V355" i="17"/>
  <c r="AB355" i="17" s="1"/>
  <c r="V354" i="17"/>
  <c r="AB354" i="17" s="1"/>
  <c r="V353" i="17"/>
  <c r="AB353" i="17" s="1"/>
  <c r="V352" i="17"/>
  <c r="AB352" i="17" s="1"/>
  <c r="V351" i="17"/>
  <c r="AB351" i="17" s="1"/>
  <c r="V350" i="17"/>
  <c r="AB350" i="17" s="1"/>
  <c r="V349" i="17"/>
  <c r="AB349" i="17" s="1"/>
  <c r="V348" i="17"/>
  <c r="AB348" i="17" s="1"/>
  <c r="V347" i="17"/>
  <c r="AB347" i="17" s="1"/>
  <c r="V346" i="17"/>
  <c r="AB346" i="17" s="1"/>
  <c r="V345" i="17"/>
  <c r="AB345" i="17" s="1"/>
  <c r="V344" i="17"/>
  <c r="AB344" i="17" s="1"/>
  <c r="V343" i="17"/>
  <c r="AB343" i="17" s="1"/>
  <c r="V342" i="17"/>
  <c r="AB342" i="17" s="1"/>
  <c r="V341" i="17"/>
  <c r="AB341" i="17" s="1"/>
  <c r="V340" i="17"/>
  <c r="AB340" i="17" s="1"/>
  <c r="X339" i="17"/>
  <c r="W339" i="17"/>
  <c r="V339" i="17"/>
  <c r="AB339" i="17" s="1"/>
  <c r="X338" i="17"/>
  <c r="W338" i="17"/>
  <c r="AC338" i="17" s="1"/>
  <c r="V338" i="17"/>
  <c r="AB338" i="17" s="1"/>
  <c r="X337" i="17"/>
  <c r="W337" i="17"/>
  <c r="V337" i="17"/>
  <c r="AB337" i="17" s="1"/>
  <c r="X336" i="17"/>
  <c r="W336" i="17"/>
  <c r="V336" i="17"/>
  <c r="AB336" i="17" s="1"/>
  <c r="X335" i="17"/>
  <c r="W335" i="17"/>
  <c r="V335" i="17"/>
  <c r="AB335" i="17" s="1"/>
  <c r="X334" i="17"/>
  <c r="W334" i="17"/>
  <c r="AC334" i="17" s="1"/>
  <c r="V334" i="17"/>
  <c r="AB334" i="17" s="1"/>
  <c r="X333" i="17"/>
  <c r="W333" i="17"/>
  <c r="V333" i="17"/>
  <c r="AB333" i="17" s="1"/>
  <c r="X332" i="17"/>
  <c r="W332" i="17"/>
  <c r="V332" i="17"/>
  <c r="AB332" i="17" s="1"/>
  <c r="X331" i="17"/>
  <c r="W331" i="17"/>
  <c r="V331" i="17"/>
  <c r="AB331" i="17" s="1"/>
  <c r="X330" i="17"/>
  <c r="W330" i="17"/>
  <c r="AC330" i="17" s="1"/>
  <c r="V330" i="17"/>
  <c r="AB330" i="17" s="1"/>
  <c r="X329" i="17"/>
  <c r="W329" i="17"/>
  <c r="V329" i="17"/>
  <c r="AB329" i="17" s="1"/>
  <c r="X328" i="17"/>
  <c r="W328" i="17"/>
  <c r="V328" i="17"/>
  <c r="AB328" i="17" s="1"/>
  <c r="X327" i="17"/>
  <c r="W327" i="17"/>
  <c r="V327" i="17"/>
  <c r="AB327" i="17" s="1"/>
  <c r="X326" i="17"/>
  <c r="W326" i="17"/>
  <c r="AC326" i="17" s="1"/>
  <c r="V326" i="17"/>
  <c r="AB326" i="17" s="1"/>
  <c r="X325" i="17"/>
  <c r="W325" i="17"/>
  <c r="V325" i="17"/>
  <c r="AB325" i="17" s="1"/>
  <c r="X324" i="17"/>
  <c r="W324" i="17"/>
  <c r="V324" i="17"/>
  <c r="AB324" i="17" s="1"/>
  <c r="X323" i="17"/>
  <c r="W323" i="17"/>
  <c r="V323" i="17"/>
  <c r="AB323" i="17" s="1"/>
  <c r="X322" i="17"/>
  <c r="W322" i="17"/>
  <c r="AC322" i="17" s="1"/>
  <c r="V322" i="17"/>
  <c r="AB322" i="17" s="1"/>
  <c r="X321" i="17"/>
  <c r="W321" i="17"/>
  <c r="V321" i="17"/>
  <c r="AB321" i="17" s="1"/>
  <c r="X320" i="17"/>
  <c r="W320" i="17"/>
  <c r="V320" i="17"/>
  <c r="AB320" i="17" s="1"/>
  <c r="X319" i="17"/>
  <c r="W319" i="17"/>
  <c r="V319" i="17"/>
  <c r="AB319" i="17" s="1"/>
  <c r="X318" i="17"/>
  <c r="W318" i="17"/>
  <c r="AC318" i="17" s="1"/>
  <c r="V318" i="17"/>
  <c r="AB318" i="17" s="1"/>
  <c r="X317" i="17"/>
  <c r="W317" i="17"/>
  <c r="V317" i="17"/>
  <c r="AB317" i="17" s="1"/>
  <c r="X316" i="17"/>
  <c r="W316" i="17"/>
  <c r="V316" i="17"/>
  <c r="AB316" i="17" s="1"/>
  <c r="X315" i="17"/>
  <c r="W315" i="17"/>
  <c r="V315" i="17"/>
  <c r="AB315" i="17" s="1"/>
  <c r="X314" i="17"/>
  <c r="W314" i="17"/>
  <c r="V314" i="17"/>
  <c r="AB314" i="17" s="1"/>
  <c r="X313" i="17"/>
  <c r="W313" i="17"/>
  <c r="V313" i="17"/>
  <c r="AB313" i="17" s="1"/>
  <c r="X312" i="17"/>
  <c r="W312" i="17"/>
  <c r="V312" i="17"/>
  <c r="AB312" i="17" s="1"/>
  <c r="X311" i="17"/>
  <c r="W311" i="17"/>
  <c r="V311" i="17"/>
  <c r="AB311" i="17" s="1"/>
  <c r="X310" i="17"/>
  <c r="W310" i="17"/>
  <c r="V310" i="17"/>
  <c r="AB310" i="17" s="1"/>
  <c r="X309" i="17"/>
  <c r="W309" i="17"/>
  <c r="V309" i="17"/>
  <c r="AB309" i="17" s="1"/>
  <c r="X308" i="17"/>
  <c r="W308" i="17"/>
  <c r="V308" i="17"/>
  <c r="AB308" i="17" s="1"/>
  <c r="X307" i="17"/>
  <c r="W307" i="17"/>
  <c r="V307" i="17"/>
  <c r="AB307" i="17" s="1"/>
  <c r="X306" i="17"/>
  <c r="W306" i="17"/>
  <c r="V306" i="17"/>
  <c r="AB306" i="17" s="1"/>
  <c r="X305" i="17"/>
  <c r="W305" i="17"/>
  <c r="V305" i="17"/>
  <c r="AB305" i="17" s="1"/>
  <c r="X304" i="17"/>
  <c r="W304" i="17"/>
  <c r="V304" i="17"/>
  <c r="AB304" i="17" s="1"/>
  <c r="X303" i="17"/>
  <c r="W303" i="17"/>
  <c r="V303" i="17"/>
  <c r="AB303" i="17" s="1"/>
  <c r="X302" i="17"/>
  <c r="W302" i="17"/>
  <c r="V302" i="17"/>
  <c r="AB302" i="17" s="1"/>
  <c r="X301" i="17"/>
  <c r="W301" i="17"/>
  <c r="V301" i="17"/>
  <c r="AB301" i="17" s="1"/>
  <c r="X300" i="17"/>
  <c r="W300" i="17"/>
  <c r="V300" i="17"/>
  <c r="AB300" i="17" s="1"/>
  <c r="X299" i="17"/>
  <c r="W299" i="17"/>
  <c r="V299" i="17"/>
  <c r="AB299" i="17" s="1"/>
  <c r="X298" i="17"/>
  <c r="W298" i="17"/>
  <c r="V298" i="17"/>
  <c r="AB298" i="17" s="1"/>
  <c r="X297" i="17"/>
  <c r="W297" i="17"/>
  <c r="V297" i="17"/>
  <c r="AB297" i="17" s="1"/>
  <c r="X296" i="17"/>
  <c r="W296" i="17"/>
  <c r="V296" i="17"/>
  <c r="AB296" i="17" s="1"/>
  <c r="X295" i="17"/>
  <c r="W295" i="17"/>
  <c r="V295" i="17"/>
  <c r="AB295" i="17" s="1"/>
  <c r="X294" i="17"/>
  <c r="W294" i="17"/>
  <c r="V294" i="17"/>
  <c r="AB294" i="17" s="1"/>
  <c r="X293" i="17"/>
  <c r="W293" i="17"/>
  <c r="V293" i="17"/>
  <c r="AB293" i="17" s="1"/>
  <c r="X292" i="17"/>
  <c r="W292" i="17"/>
  <c r="V292" i="17"/>
  <c r="AB292" i="17" s="1"/>
  <c r="X291" i="17"/>
  <c r="W291" i="17"/>
  <c r="V291" i="17"/>
  <c r="AB291" i="17" s="1"/>
  <c r="X290" i="17"/>
  <c r="W290" i="17"/>
  <c r="V290" i="17"/>
  <c r="AB290" i="17" s="1"/>
  <c r="X289" i="17"/>
  <c r="W289" i="17"/>
  <c r="V289" i="17"/>
  <c r="AB289" i="17" s="1"/>
  <c r="X288" i="17"/>
  <c r="W288" i="17"/>
  <c r="V288" i="17"/>
  <c r="AB288" i="17" s="1"/>
  <c r="X287" i="17"/>
  <c r="W287" i="17"/>
  <c r="V287" i="17"/>
  <c r="AB287" i="17" s="1"/>
  <c r="X286" i="17"/>
  <c r="W286" i="17"/>
  <c r="V286" i="17"/>
  <c r="AB286" i="17" s="1"/>
  <c r="X285" i="17"/>
  <c r="W285" i="17"/>
  <c r="V285" i="17"/>
  <c r="AB285" i="17" s="1"/>
  <c r="X284" i="17"/>
  <c r="W284" i="17"/>
  <c r="V284" i="17"/>
  <c r="AB284" i="17" s="1"/>
  <c r="X283" i="17"/>
  <c r="W283" i="17"/>
  <c r="V283" i="17"/>
  <c r="AB283" i="17" s="1"/>
  <c r="X282" i="17"/>
  <c r="W282" i="17"/>
  <c r="V282" i="17"/>
  <c r="AB282" i="17" s="1"/>
  <c r="X281" i="17"/>
  <c r="W281" i="17"/>
  <c r="V281" i="17"/>
  <c r="AB281" i="17" s="1"/>
  <c r="X280" i="17"/>
  <c r="W280" i="17"/>
  <c r="V280" i="17"/>
  <c r="AB280" i="17" s="1"/>
  <c r="X229" i="17"/>
  <c r="W229" i="17"/>
  <c r="V229" i="17"/>
  <c r="AB229" i="17" s="1"/>
  <c r="X228" i="17"/>
  <c r="W228" i="17"/>
  <c r="V228" i="17"/>
  <c r="AB228" i="17" s="1"/>
  <c r="X227" i="17"/>
  <c r="W227" i="17"/>
  <c r="V227" i="17"/>
  <c r="AB227" i="17" s="1"/>
  <c r="X226" i="17"/>
  <c r="W226" i="17"/>
  <c r="V226" i="17"/>
  <c r="AB226" i="17" s="1"/>
  <c r="X225" i="17"/>
  <c r="W225" i="17"/>
  <c r="V225" i="17"/>
  <c r="AB225" i="17" s="1"/>
  <c r="X224" i="17"/>
  <c r="W224" i="17"/>
  <c r="V224" i="17"/>
  <c r="AB224" i="17" s="1"/>
  <c r="X223" i="17"/>
  <c r="W223" i="17"/>
  <c r="V223" i="17"/>
  <c r="AB223" i="17" s="1"/>
  <c r="X222" i="17"/>
  <c r="W222" i="17"/>
  <c r="V222" i="17"/>
  <c r="AB222" i="17" s="1"/>
  <c r="X221" i="17"/>
  <c r="W221" i="17"/>
  <c r="V221" i="17"/>
  <c r="AB221" i="17" s="1"/>
  <c r="X220" i="17"/>
  <c r="W220" i="17"/>
  <c r="V220" i="17"/>
  <c r="AB220" i="17" s="1"/>
  <c r="X219" i="17"/>
  <c r="W219" i="17"/>
  <c r="V219" i="17"/>
  <c r="AB219" i="17" s="1"/>
  <c r="X218" i="17"/>
  <c r="W218" i="17"/>
  <c r="V218" i="17"/>
  <c r="AB218" i="17" s="1"/>
  <c r="X217" i="17"/>
  <c r="W217" i="17"/>
  <c r="V217" i="17"/>
  <c r="AB217" i="17" s="1"/>
  <c r="X216" i="17"/>
  <c r="W216" i="17"/>
  <c r="V216" i="17"/>
  <c r="AB216" i="17" s="1"/>
  <c r="X215" i="17"/>
  <c r="W215" i="17"/>
  <c r="V215" i="17"/>
  <c r="AB215" i="17" s="1"/>
  <c r="X214" i="17"/>
  <c r="W214" i="17"/>
  <c r="V214" i="17"/>
  <c r="AB214" i="17" s="1"/>
  <c r="X213" i="17"/>
  <c r="W213" i="17"/>
  <c r="V213" i="17"/>
  <c r="AB213" i="17" s="1"/>
  <c r="X212" i="17"/>
  <c r="W212" i="17"/>
  <c r="V212" i="17"/>
  <c r="AB212" i="17" s="1"/>
  <c r="X211" i="17"/>
  <c r="W211" i="17"/>
  <c r="V211" i="17"/>
  <c r="AB211" i="17" s="1"/>
  <c r="X210" i="17"/>
  <c r="W210" i="17"/>
  <c r="V210" i="17"/>
  <c r="AB210" i="17" s="1"/>
  <c r="X209" i="17"/>
  <c r="W209" i="17"/>
  <c r="V209" i="17"/>
  <c r="AB209" i="17" s="1"/>
  <c r="X208" i="17"/>
  <c r="W208" i="17"/>
  <c r="V208" i="17"/>
  <c r="AB208" i="17" s="1"/>
  <c r="X207" i="17"/>
  <c r="W207" i="17"/>
  <c r="V207" i="17"/>
  <c r="AB207" i="17" s="1"/>
  <c r="X206" i="17"/>
  <c r="W206" i="17"/>
  <c r="V206" i="17"/>
  <c r="AB206" i="17" s="1"/>
  <c r="X205" i="17"/>
  <c r="W205" i="17"/>
  <c r="V205" i="17"/>
  <c r="AB205" i="17" s="1"/>
  <c r="X204" i="17"/>
  <c r="W204" i="17"/>
  <c r="V204" i="17"/>
  <c r="AB204" i="17" s="1"/>
  <c r="X203" i="17"/>
  <c r="W203" i="17"/>
  <c r="V203" i="17"/>
  <c r="AB203" i="17" s="1"/>
  <c r="X202" i="17"/>
  <c r="W202" i="17"/>
  <c r="V202" i="17"/>
  <c r="AB202" i="17" s="1"/>
  <c r="X201" i="17"/>
  <c r="W201" i="17"/>
  <c r="V201" i="17"/>
  <c r="AB201" i="17" s="1"/>
  <c r="X200" i="17"/>
  <c r="W200" i="17"/>
  <c r="V200" i="17"/>
  <c r="AB200" i="17" s="1"/>
  <c r="X199" i="17"/>
  <c r="W199" i="17"/>
  <c r="V199" i="17"/>
  <c r="AB199" i="17" s="1"/>
  <c r="X198" i="17"/>
  <c r="W198" i="17"/>
  <c r="V198" i="17"/>
  <c r="AB198" i="17" s="1"/>
  <c r="X197" i="17"/>
  <c r="W197" i="17"/>
  <c r="V197" i="17"/>
  <c r="AB197" i="17" s="1"/>
  <c r="X196" i="17"/>
  <c r="W196" i="17"/>
  <c r="V196" i="17"/>
  <c r="AB196" i="17" s="1"/>
  <c r="X195" i="17"/>
  <c r="W195" i="17"/>
  <c r="V195" i="17"/>
  <c r="AB195" i="17" s="1"/>
  <c r="X194" i="17"/>
  <c r="W194" i="17"/>
  <c r="V194" i="17"/>
  <c r="AB194" i="17" s="1"/>
  <c r="V193" i="17"/>
  <c r="AB193" i="17" s="1"/>
  <c r="V192" i="17"/>
  <c r="AB192" i="17" s="1"/>
  <c r="V191" i="17"/>
  <c r="AB191" i="17" s="1"/>
  <c r="V190" i="17"/>
  <c r="AB190" i="17" s="1"/>
  <c r="V189" i="17"/>
  <c r="AB189" i="17" s="1"/>
  <c r="V188" i="17"/>
  <c r="AB188" i="17" s="1"/>
  <c r="V187" i="17"/>
  <c r="AB187" i="17" s="1"/>
  <c r="V186" i="17"/>
  <c r="AB186" i="17" s="1"/>
  <c r="V185" i="17"/>
  <c r="AB185" i="17" s="1"/>
  <c r="V184" i="17"/>
  <c r="AB184" i="17" s="1"/>
  <c r="V183" i="17"/>
  <c r="AB183" i="17" s="1"/>
  <c r="V182" i="17"/>
  <c r="AB182" i="17" s="1"/>
  <c r="X181" i="17"/>
  <c r="W181" i="17"/>
  <c r="X180" i="17"/>
  <c r="W180" i="17"/>
  <c r="X179" i="17"/>
  <c r="W179" i="17"/>
  <c r="X178" i="17"/>
  <c r="W178" i="17"/>
  <c r="X177" i="17"/>
  <c r="W177" i="17"/>
  <c r="X176" i="17"/>
  <c r="W176" i="17"/>
  <c r="X175" i="17"/>
  <c r="W175" i="17"/>
  <c r="X174" i="17"/>
  <c r="W174" i="17"/>
  <c r="X173" i="17"/>
  <c r="W173" i="17"/>
  <c r="X172" i="17"/>
  <c r="W172" i="17"/>
  <c r="X171" i="17"/>
  <c r="W171" i="17"/>
  <c r="X170" i="17"/>
  <c r="W170" i="17"/>
  <c r="V169" i="17"/>
  <c r="AB169" i="17" s="1"/>
  <c r="V168" i="17"/>
  <c r="AB168" i="17" s="1"/>
  <c r="V167" i="17"/>
  <c r="AB167" i="17" s="1"/>
  <c r="V166" i="17"/>
  <c r="AB166" i="17" s="1"/>
  <c r="V165" i="17"/>
  <c r="AB165" i="17" s="1"/>
  <c r="V164" i="17"/>
  <c r="AB164" i="17" s="1"/>
  <c r="V163" i="17"/>
  <c r="AB163" i="17" s="1"/>
  <c r="V162" i="17"/>
  <c r="AB162" i="17" s="1"/>
  <c r="V161" i="17"/>
  <c r="AB161" i="17" s="1"/>
  <c r="V160" i="17"/>
  <c r="AB160" i="17" s="1"/>
  <c r="V159" i="17"/>
  <c r="AB159" i="17" s="1"/>
  <c r="V158" i="17"/>
  <c r="AB158" i="17" s="1"/>
  <c r="X157" i="17"/>
  <c r="W157" i="17"/>
  <c r="V157" i="17"/>
  <c r="AB157" i="17" s="1"/>
  <c r="X156" i="17"/>
  <c r="W156" i="17"/>
  <c r="AC156" i="17" s="1"/>
  <c r="V156" i="17"/>
  <c r="AB156" i="17" s="1"/>
  <c r="X155" i="17"/>
  <c r="W155" i="17"/>
  <c r="V155" i="17"/>
  <c r="AB155" i="17" s="1"/>
  <c r="X154" i="17"/>
  <c r="W154" i="17"/>
  <c r="AC154" i="17" s="1"/>
  <c r="V154" i="17"/>
  <c r="AB154" i="17" s="1"/>
  <c r="X153" i="17"/>
  <c r="W153" i="17"/>
  <c r="V153" i="17"/>
  <c r="AB153" i="17" s="1"/>
  <c r="X152" i="17"/>
  <c r="W152" i="17"/>
  <c r="AC152" i="17" s="1"/>
  <c r="V152" i="17"/>
  <c r="AB152" i="17" s="1"/>
  <c r="X151" i="17"/>
  <c r="W151" i="17"/>
  <c r="V151" i="17"/>
  <c r="AB151" i="17" s="1"/>
  <c r="X150" i="17"/>
  <c r="W150" i="17"/>
  <c r="AC150" i="17" s="1"/>
  <c r="V150" i="17"/>
  <c r="AB150" i="17" s="1"/>
  <c r="X149" i="17"/>
  <c r="W149" i="17"/>
  <c r="V149" i="17"/>
  <c r="AB149" i="17" s="1"/>
  <c r="X148" i="17"/>
  <c r="W148" i="17"/>
  <c r="AC148" i="17" s="1"/>
  <c r="V148" i="17"/>
  <c r="AB148" i="17" s="1"/>
  <c r="X147" i="17"/>
  <c r="W147" i="17"/>
  <c r="V147" i="17"/>
  <c r="AB147" i="17" s="1"/>
  <c r="X146" i="17"/>
  <c r="W146" i="17"/>
  <c r="AC146" i="17" s="1"/>
  <c r="V146" i="17"/>
  <c r="AB146" i="17" s="1"/>
  <c r="X145" i="17"/>
  <c r="W145" i="17"/>
  <c r="V145" i="17"/>
  <c r="AB145" i="17" s="1"/>
  <c r="X144" i="17"/>
  <c r="W144" i="17"/>
  <c r="AC144" i="17" s="1"/>
  <c r="V144" i="17"/>
  <c r="AB144" i="17" s="1"/>
  <c r="X143" i="17"/>
  <c r="W143" i="17"/>
  <c r="V143" i="17"/>
  <c r="AB143" i="17" s="1"/>
  <c r="X142" i="17"/>
  <c r="W142" i="17"/>
  <c r="AC142" i="17" s="1"/>
  <c r="V142" i="17"/>
  <c r="AB142" i="17" s="1"/>
  <c r="X141" i="17"/>
  <c r="W141" i="17"/>
  <c r="V141" i="17"/>
  <c r="AB141" i="17" s="1"/>
  <c r="X140" i="17"/>
  <c r="W140" i="17"/>
  <c r="AC140" i="17" s="1"/>
  <c r="V140" i="17"/>
  <c r="AB140" i="17" s="1"/>
  <c r="X139" i="17"/>
  <c r="W139" i="17"/>
  <c r="V139" i="17"/>
  <c r="AB139" i="17" s="1"/>
  <c r="X138" i="17"/>
  <c r="W138" i="17"/>
  <c r="AC138" i="17" s="1"/>
  <c r="V138" i="17"/>
  <c r="AB138" i="17" s="1"/>
  <c r="X137" i="17"/>
  <c r="W137" i="17"/>
  <c r="V137" i="17"/>
  <c r="AB137" i="17" s="1"/>
  <c r="X136" i="17"/>
  <c r="W136" i="17"/>
  <c r="AC136" i="17" s="1"/>
  <c r="V136" i="17"/>
  <c r="AB136" i="17" s="1"/>
  <c r="X135" i="17"/>
  <c r="W135" i="17"/>
  <c r="V135" i="17"/>
  <c r="AB135" i="17" s="1"/>
  <c r="X134" i="17"/>
  <c r="W134" i="17"/>
  <c r="AC134" i="17" s="1"/>
  <c r="V134" i="17"/>
  <c r="AB134" i="17" s="1"/>
  <c r="X133" i="17"/>
  <c r="W133" i="17"/>
  <c r="V133" i="17"/>
  <c r="AB133" i="17" s="1"/>
  <c r="X132" i="17"/>
  <c r="W132" i="17"/>
  <c r="AC132" i="17" s="1"/>
  <c r="V132" i="17"/>
  <c r="AB132" i="17" s="1"/>
  <c r="X131" i="17"/>
  <c r="W131" i="17"/>
  <c r="V131" i="17"/>
  <c r="AB131" i="17" s="1"/>
  <c r="X130" i="17"/>
  <c r="W130" i="17"/>
  <c r="AC130" i="17" s="1"/>
  <c r="V130" i="17"/>
  <c r="AB130" i="17" s="1"/>
  <c r="X129" i="17"/>
  <c r="W129" i="17"/>
  <c r="V129" i="17"/>
  <c r="AB129" i="17" s="1"/>
  <c r="X128" i="17"/>
  <c r="W128" i="17"/>
  <c r="AC128" i="17" s="1"/>
  <c r="V128" i="17"/>
  <c r="AB128" i="17" s="1"/>
  <c r="X127" i="17"/>
  <c r="W127" i="17"/>
  <c r="V127" i="17"/>
  <c r="AB127" i="17" s="1"/>
  <c r="X126" i="17"/>
  <c r="W126" i="17"/>
  <c r="AC126" i="17" s="1"/>
  <c r="V126" i="17"/>
  <c r="AB126" i="17" s="1"/>
  <c r="X125" i="17"/>
  <c r="W125" i="17"/>
  <c r="V125" i="17"/>
  <c r="AB125" i="17" s="1"/>
  <c r="X124" i="17"/>
  <c r="W124" i="17"/>
  <c r="AC124" i="17" s="1"/>
  <c r="V124" i="17"/>
  <c r="AB124" i="17" s="1"/>
  <c r="X123" i="17"/>
  <c r="W123" i="17"/>
  <c r="V123" i="17"/>
  <c r="AB123" i="17" s="1"/>
  <c r="X122" i="17"/>
  <c r="W122" i="17"/>
  <c r="AC122" i="17" s="1"/>
  <c r="V122" i="17"/>
  <c r="AB122" i="17" s="1"/>
  <c r="X121" i="17"/>
  <c r="W121" i="17"/>
  <c r="V121" i="17"/>
  <c r="AB121" i="17" s="1"/>
  <c r="X120" i="17"/>
  <c r="W120" i="17"/>
  <c r="AC120" i="17" s="1"/>
  <c r="V120" i="17"/>
  <c r="AB120" i="17" s="1"/>
  <c r="X119" i="17"/>
  <c r="W119" i="17"/>
  <c r="V119" i="17"/>
  <c r="AB119" i="17" s="1"/>
  <c r="X118" i="17"/>
  <c r="W118" i="17"/>
  <c r="AC118" i="17" s="1"/>
  <c r="V118" i="17"/>
  <c r="AB118" i="17" s="1"/>
  <c r="X117" i="17"/>
  <c r="W117" i="17"/>
  <c r="V117" i="17"/>
  <c r="AB117" i="17" s="1"/>
  <c r="X116" i="17"/>
  <c r="W116" i="17"/>
  <c r="AC116" i="17" s="1"/>
  <c r="V116" i="17"/>
  <c r="AB116" i="17" s="1"/>
  <c r="X115" i="17"/>
  <c r="W115" i="17"/>
  <c r="V115" i="17"/>
  <c r="AB115" i="17" s="1"/>
  <c r="X114" i="17"/>
  <c r="W114" i="17"/>
  <c r="AC114" i="17" s="1"/>
  <c r="V114" i="17"/>
  <c r="AB114" i="17" s="1"/>
  <c r="X113" i="17"/>
  <c r="W113" i="17"/>
  <c r="V113" i="17"/>
  <c r="AB113" i="17" s="1"/>
  <c r="X112" i="17"/>
  <c r="W112" i="17"/>
  <c r="AC112" i="17" s="1"/>
  <c r="V112" i="17"/>
  <c r="AB112" i="17" s="1"/>
  <c r="X111" i="17"/>
  <c r="W111" i="17"/>
  <c r="V111" i="17"/>
  <c r="AB111" i="17" s="1"/>
  <c r="X110" i="17"/>
  <c r="W110" i="17"/>
  <c r="AC110" i="17" s="1"/>
  <c r="V110" i="17"/>
  <c r="AB110" i="17" s="1"/>
  <c r="X85" i="17"/>
  <c r="W85" i="17"/>
  <c r="V85" i="17"/>
  <c r="AB85" i="17" s="1"/>
  <c r="X84" i="17"/>
  <c r="W84" i="17"/>
  <c r="V84" i="17"/>
  <c r="AB84" i="17" s="1"/>
  <c r="X83" i="17"/>
  <c r="W83" i="17"/>
  <c r="V83" i="17"/>
  <c r="AB83" i="17" s="1"/>
  <c r="X82" i="17"/>
  <c r="W82" i="17"/>
  <c r="AC82" i="17" s="1"/>
  <c r="V82" i="17"/>
  <c r="AB82" i="17" s="1"/>
  <c r="X81" i="17"/>
  <c r="W81" i="17"/>
  <c r="V81" i="17"/>
  <c r="AB81" i="17" s="1"/>
  <c r="X80" i="17"/>
  <c r="W80" i="17"/>
  <c r="V80" i="17"/>
  <c r="AB80" i="17" s="1"/>
  <c r="X79" i="17"/>
  <c r="W79" i="17"/>
  <c r="V79" i="17"/>
  <c r="AB79" i="17" s="1"/>
  <c r="X78" i="17"/>
  <c r="W78" i="17"/>
  <c r="AC78" i="17" s="1"/>
  <c r="V78" i="17"/>
  <c r="AB78" i="17" s="1"/>
  <c r="X77" i="17"/>
  <c r="W77" i="17"/>
  <c r="V77" i="17"/>
  <c r="AB77" i="17" s="1"/>
  <c r="X76" i="17"/>
  <c r="W76" i="17"/>
  <c r="V76" i="17"/>
  <c r="AB76" i="17" s="1"/>
  <c r="X75" i="17"/>
  <c r="W75" i="17"/>
  <c r="V75" i="17"/>
  <c r="AB75" i="17" s="1"/>
  <c r="X74" i="17"/>
  <c r="W74" i="17"/>
  <c r="AC74" i="17" s="1"/>
  <c r="V74" i="17"/>
  <c r="AB74" i="17" s="1"/>
  <c r="X73" i="17"/>
  <c r="W73" i="17"/>
  <c r="V73" i="17"/>
  <c r="AB73" i="17" s="1"/>
  <c r="X72" i="17"/>
  <c r="W72" i="17"/>
  <c r="AC72" i="17" s="1"/>
  <c r="V72" i="17"/>
  <c r="AB72" i="17" s="1"/>
  <c r="X71" i="17"/>
  <c r="W71" i="17"/>
  <c r="V71" i="17"/>
  <c r="AB71" i="17" s="1"/>
  <c r="X70" i="17"/>
  <c r="W70" i="17"/>
  <c r="AC70" i="17" s="1"/>
  <c r="V70" i="17"/>
  <c r="AB70" i="17" s="1"/>
  <c r="X69" i="17"/>
  <c r="W69" i="17"/>
  <c r="V69" i="17"/>
  <c r="AB69" i="17" s="1"/>
  <c r="X68" i="17"/>
  <c r="W68" i="17"/>
  <c r="AC68" i="17" s="1"/>
  <c r="V68" i="17"/>
  <c r="AB68" i="17" s="1"/>
  <c r="X67" i="17"/>
  <c r="W67" i="17"/>
  <c r="V67" i="17"/>
  <c r="AB67" i="17" s="1"/>
  <c r="X66" i="17"/>
  <c r="W66" i="17"/>
  <c r="AC66" i="17" s="1"/>
  <c r="V66" i="17"/>
  <c r="AB66" i="17" s="1"/>
  <c r="X65" i="17"/>
  <c r="W65" i="17"/>
  <c r="V65" i="17"/>
  <c r="AB65" i="17" s="1"/>
  <c r="X64" i="17"/>
  <c r="W64" i="17"/>
  <c r="AC64" i="17" s="1"/>
  <c r="V64" i="17"/>
  <c r="AB64" i="17" s="1"/>
  <c r="X63" i="17"/>
  <c r="W63" i="17"/>
  <c r="V63" i="17"/>
  <c r="AB63" i="17" s="1"/>
  <c r="X62" i="17"/>
  <c r="W62" i="17"/>
  <c r="AC62" i="17" s="1"/>
  <c r="V62" i="17"/>
  <c r="AB62" i="17" s="1"/>
  <c r="X61" i="17"/>
  <c r="W61" i="17"/>
  <c r="V61" i="17"/>
  <c r="AB61" i="17" s="1"/>
  <c r="X60" i="17"/>
  <c r="W60" i="17"/>
  <c r="V60" i="17"/>
  <c r="AB60" i="17" s="1"/>
  <c r="X59" i="17"/>
  <c r="W59" i="17"/>
  <c r="V59" i="17"/>
  <c r="AB59" i="17" s="1"/>
  <c r="X58" i="17"/>
  <c r="W58" i="17"/>
  <c r="AC58" i="17" s="1"/>
  <c r="V58" i="17"/>
  <c r="AB58" i="17" s="1"/>
  <c r="X57" i="17"/>
  <c r="W57" i="17"/>
  <c r="V57" i="17"/>
  <c r="AB57" i="17" s="1"/>
  <c r="X56" i="17"/>
  <c r="W56" i="17"/>
  <c r="V56" i="17"/>
  <c r="AB56" i="17" s="1"/>
  <c r="X55" i="17"/>
  <c r="W55" i="17"/>
  <c r="V55" i="17"/>
  <c r="AB55" i="17" s="1"/>
  <c r="X54" i="17"/>
  <c r="W54" i="17"/>
  <c r="AC54" i="17" s="1"/>
  <c r="V54" i="17"/>
  <c r="AB54" i="17" s="1"/>
  <c r="X53" i="17"/>
  <c r="W53" i="17"/>
  <c r="V53" i="17"/>
  <c r="AB53" i="17" s="1"/>
  <c r="X52" i="17"/>
  <c r="W52" i="17"/>
  <c r="V52" i="17"/>
  <c r="AB52" i="17" s="1"/>
  <c r="X51" i="17"/>
  <c r="W51" i="17"/>
  <c r="V51" i="17"/>
  <c r="AB51" i="17" s="1"/>
  <c r="X50" i="17"/>
  <c r="W50" i="17"/>
  <c r="AC50" i="17" s="1"/>
  <c r="V50" i="17"/>
  <c r="AB50" i="17" s="1"/>
  <c r="X49" i="17"/>
  <c r="W49" i="17"/>
  <c r="V49" i="17"/>
  <c r="AB49" i="17" s="1"/>
  <c r="X48" i="17"/>
  <c r="W48" i="17"/>
  <c r="AC48" i="17" s="1"/>
  <c r="V48" i="17"/>
  <c r="AB48" i="17" s="1"/>
  <c r="X47" i="17"/>
  <c r="W47" i="17"/>
  <c r="V47" i="17"/>
  <c r="AB47" i="17" s="1"/>
  <c r="X46" i="17"/>
  <c r="W46" i="17"/>
  <c r="AC46" i="17" s="1"/>
  <c r="V46" i="17"/>
  <c r="AB46" i="17" s="1"/>
  <c r="X45" i="17"/>
  <c r="W45" i="17"/>
  <c r="V45" i="17"/>
  <c r="AB45" i="17" s="1"/>
  <c r="X44" i="17"/>
  <c r="W44" i="17"/>
  <c r="AC44" i="17" s="1"/>
  <c r="V44" i="17"/>
  <c r="AB44" i="17" s="1"/>
  <c r="X43" i="17"/>
  <c r="W43" i="17"/>
  <c r="V43" i="17"/>
  <c r="AB43" i="17" s="1"/>
  <c r="X42" i="17"/>
  <c r="W42" i="17"/>
  <c r="AC42" i="17" s="1"/>
  <c r="V42" i="17"/>
  <c r="AB42" i="17" s="1"/>
  <c r="X41" i="17"/>
  <c r="W41" i="17"/>
  <c r="V41" i="17"/>
  <c r="AB41" i="17" s="1"/>
  <c r="X40" i="17"/>
  <c r="W40" i="17"/>
  <c r="AC40" i="17" s="1"/>
  <c r="V40" i="17"/>
  <c r="AB40" i="17" s="1"/>
  <c r="X39" i="17"/>
  <c r="W39" i="17"/>
  <c r="V39" i="17"/>
  <c r="AB39" i="17" s="1"/>
  <c r="X38" i="17"/>
  <c r="W38" i="17"/>
  <c r="AC38" i="17" s="1"/>
  <c r="V38" i="17"/>
  <c r="AB38" i="17" s="1"/>
  <c r="X37" i="17"/>
  <c r="W37" i="17"/>
  <c r="V37" i="17"/>
  <c r="AB37" i="17" s="1"/>
  <c r="X36" i="17"/>
  <c r="W36" i="17"/>
  <c r="AC36" i="17" s="1"/>
  <c r="V36" i="17"/>
  <c r="AB36" i="17" s="1"/>
  <c r="X35" i="17"/>
  <c r="W35" i="17"/>
  <c r="V35" i="17"/>
  <c r="AB35" i="17" s="1"/>
  <c r="X34" i="17"/>
  <c r="W34" i="17"/>
  <c r="AC34" i="17" s="1"/>
  <c r="V34" i="17"/>
  <c r="AB34" i="17" s="1"/>
  <c r="X33" i="17"/>
  <c r="W33" i="17"/>
  <c r="V33" i="17"/>
  <c r="AB33" i="17" s="1"/>
  <c r="X32" i="17"/>
  <c r="W32" i="17"/>
  <c r="AC32" i="17" s="1"/>
  <c r="V32" i="17"/>
  <c r="AB32" i="17" s="1"/>
  <c r="X31" i="17"/>
  <c r="W31" i="17"/>
  <c r="V31" i="17"/>
  <c r="AB31" i="17" s="1"/>
  <c r="X30" i="17"/>
  <c r="W30" i="17"/>
  <c r="AC30" i="17" s="1"/>
  <c r="V30" i="17"/>
  <c r="AB30" i="17" s="1"/>
  <c r="X29" i="17"/>
  <c r="W29" i="17"/>
  <c r="V29" i="17"/>
  <c r="AB29" i="17" s="1"/>
  <c r="X28" i="17"/>
  <c r="W28" i="17"/>
  <c r="AC28" i="17" s="1"/>
  <c r="V28" i="17"/>
  <c r="AB28" i="17" s="1"/>
  <c r="X27" i="17"/>
  <c r="W27" i="17"/>
  <c r="V27" i="17"/>
  <c r="AB27" i="17" s="1"/>
  <c r="X26" i="17"/>
  <c r="W26" i="17"/>
  <c r="AC26" i="17" s="1"/>
  <c r="V26" i="17"/>
  <c r="AB26" i="17" s="1"/>
  <c r="AE2285" i="16"/>
  <c r="AE2284" i="16"/>
  <c r="AE2283" i="16"/>
  <c r="AE2282" i="16"/>
  <c r="AE2281" i="16"/>
  <c r="AE2280" i="16"/>
  <c r="AE2279" i="16"/>
  <c r="AE2278" i="16"/>
  <c r="AE2277" i="16"/>
  <c r="AE2276" i="16"/>
  <c r="AE2275" i="16"/>
  <c r="AE2274" i="16"/>
  <c r="AE2273" i="16"/>
  <c r="AE2272" i="16"/>
  <c r="AE2271" i="16"/>
  <c r="AE2270" i="16"/>
  <c r="AD2270" i="16"/>
  <c r="AC2270" i="16"/>
  <c r="AE2269" i="16"/>
  <c r="AD2269" i="16"/>
  <c r="AC2269" i="16"/>
  <c r="AE2268" i="16"/>
  <c r="AD2268" i="16"/>
  <c r="AC2268" i="16"/>
  <c r="AE2267" i="16"/>
  <c r="AD2267" i="16"/>
  <c r="AC2267" i="16"/>
  <c r="AE2266" i="16"/>
  <c r="AD2266" i="16"/>
  <c r="AC2266" i="16"/>
  <c r="AE2265" i="16"/>
  <c r="AD2265" i="16"/>
  <c r="AC2265" i="16"/>
  <c r="AE2264" i="16"/>
  <c r="AD2264" i="16"/>
  <c r="AC2264" i="16"/>
  <c r="AE2263" i="16"/>
  <c r="AD2263" i="16"/>
  <c r="AC2263" i="16"/>
  <c r="AE2262" i="16"/>
  <c r="AD2262" i="16"/>
  <c r="AC2262" i="16"/>
  <c r="AE2261" i="16"/>
  <c r="AD2261" i="16"/>
  <c r="AC2261" i="16"/>
  <c r="AE2260" i="16"/>
  <c r="AD2260" i="16"/>
  <c r="AC2260" i="16"/>
  <c r="AE2259" i="16"/>
  <c r="AD2259" i="16"/>
  <c r="AC2259" i="16"/>
  <c r="AE2258" i="16"/>
  <c r="AD2258" i="16"/>
  <c r="AC2258" i="16"/>
  <c r="AE2257" i="16"/>
  <c r="AD2257" i="16"/>
  <c r="AC2257" i="16"/>
  <c r="AE2256" i="16"/>
  <c r="AD2256" i="16"/>
  <c r="AC2256" i="16"/>
  <c r="AE2255" i="16"/>
  <c r="AD2255" i="16"/>
  <c r="AC2255" i="16"/>
  <c r="AE2254" i="16"/>
  <c r="AE2253" i="16"/>
  <c r="AE2252" i="16"/>
  <c r="AE2251" i="16"/>
  <c r="AE2250" i="16"/>
  <c r="AE2249" i="16"/>
  <c r="AE2248" i="16"/>
  <c r="AE2247" i="16"/>
  <c r="AE2246" i="16"/>
  <c r="AE2245" i="16"/>
  <c r="AE2244" i="16"/>
  <c r="AE2243" i="16"/>
  <c r="AE2242" i="16"/>
  <c r="AE2241" i="16"/>
  <c r="AE2240" i="16"/>
  <c r="AE2239" i="16"/>
  <c r="AE2238" i="16"/>
  <c r="AE2237" i="16"/>
  <c r="AE2236" i="16"/>
  <c r="AE2235" i="16"/>
  <c r="AE2234" i="16"/>
  <c r="AE2233" i="16"/>
  <c r="AE2232" i="16"/>
  <c r="AE2231" i="16"/>
  <c r="AE2230" i="16"/>
  <c r="AE2229" i="16"/>
  <c r="AE2228" i="16"/>
  <c r="AE2227" i="16"/>
  <c r="AE2226" i="16"/>
  <c r="AE2225" i="16"/>
  <c r="AE2224" i="16"/>
  <c r="AE2223" i="16"/>
  <c r="AE2222" i="16"/>
  <c r="AE2221" i="16"/>
  <c r="AE2220" i="16"/>
  <c r="AE2219" i="16"/>
  <c r="AE2218" i="16"/>
  <c r="AE2217" i="16"/>
  <c r="AE2216" i="16"/>
  <c r="AE2215" i="16"/>
  <c r="AE2214" i="16"/>
  <c r="AE2213" i="16"/>
  <c r="AE2212" i="16"/>
  <c r="AE2211" i="16"/>
  <c r="AE2210" i="16"/>
  <c r="AE2209" i="16"/>
  <c r="AE2208" i="16"/>
  <c r="AE2207" i="16"/>
  <c r="AE2206" i="16"/>
  <c r="AE2205" i="16"/>
  <c r="AE2204" i="16"/>
  <c r="AE2203" i="16"/>
  <c r="AE2202" i="16"/>
  <c r="AE2201" i="16"/>
  <c r="AE2200" i="16"/>
  <c r="AE2199" i="16"/>
  <c r="AE2198" i="16"/>
  <c r="AE2197" i="16"/>
  <c r="AE2196" i="16"/>
  <c r="AE2195" i="16"/>
  <c r="AE2194" i="16"/>
  <c r="AE2193" i="16"/>
  <c r="AE2192" i="16"/>
  <c r="AE2191" i="16"/>
  <c r="AE2190" i="16"/>
  <c r="AE2189" i="16"/>
  <c r="AE2188" i="16"/>
  <c r="AE2187" i="16"/>
  <c r="AE2186" i="16"/>
  <c r="AE2185" i="16"/>
  <c r="AE2184" i="16"/>
  <c r="AE2183" i="16"/>
  <c r="AE2182" i="16"/>
  <c r="AE2181" i="16"/>
  <c r="AE2180" i="16"/>
  <c r="AE2179" i="16"/>
  <c r="AE2178" i="16"/>
  <c r="AE2177" i="16"/>
  <c r="AE2176" i="16"/>
  <c r="AE2175" i="16"/>
  <c r="AE2174" i="16"/>
  <c r="AE2173" i="16"/>
  <c r="AE2172" i="16"/>
  <c r="AE2171" i="16"/>
  <c r="AE2170" i="16"/>
  <c r="AE2169" i="16"/>
  <c r="AE2168" i="16"/>
  <c r="AE2167" i="16"/>
  <c r="AE2166" i="16"/>
  <c r="AE2165" i="16"/>
  <c r="AE2164" i="16"/>
  <c r="AE2163" i="16"/>
  <c r="AE2162" i="16"/>
  <c r="AE2161" i="16"/>
  <c r="AE2160" i="16"/>
  <c r="AE2159" i="16"/>
  <c r="AE2158" i="16"/>
  <c r="AE2157" i="16"/>
  <c r="AE2156" i="16"/>
  <c r="AE2155" i="16"/>
  <c r="AE2154" i="16"/>
  <c r="AE2153" i="16"/>
  <c r="AE2152" i="16"/>
  <c r="AE2151" i="16"/>
  <c r="AE2150" i="16"/>
  <c r="AE2149" i="16"/>
  <c r="AE2148" i="16"/>
  <c r="AE2147" i="16"/>
  <c r="AE2146" i="16"/>
  <c r="AE2145" i="16"/>
  <c r="AE2144" i="16"/>
  <c r="AE2143" i="16"/>
  <c r="AE2142" i="16"/>
  <c r="AE2141" i="16"/>
  <c r="AE2140" i="16"/>
  <c r="AE2139" i="16"/>
  <c r="AE2138" i="16"/>
  <c r="AE2137" i="16"/>
  <c r="AE2136" i="16"/>
  <c r="AE2135" i="16"/>
  <c r="AE2134" i="16"/>
  <c r="AE2133" i="16"/>
  <c r="AE2132" i="16"/>
  <c r="AE2131" i="16"/>
  <c r="AE2130" i="16"/>
  <c r="AE2129" i="16"/>
  <c r="AE2128" i="16"/>
  <c r="AE2127" i="16"/>
  <c r="AE2126" i="16"/>
  <c r="AE2125" i="16"/>
  <c r="AE2124" i="16"/>
  <c r="AE2123" i="16"/>
  <c r="AE2122" i="16"/>
  <c r="AE2121" i="16"/>
  <c r="AE2120" i="16"/>
  <c r="AE2119" i="16"/>
  <c r="AE2118" i="16"/>
  <c r="AE2117" i="16"/>
  <c r="AE2116" i="16"/>
  <c r="AE2115" i="16"/>
  <c r="AE2114" i="16"/>
  <c r="AE2113" i="16"/>
  <c r="AE2112" i="16"/>
  <c r="AE2111" i="16"/>
  <c r="AE2110" i="16"/>
  <c r="AE2109" i="16"/>
  <c r="AE2108" i="16"/>
  <c r="AE2107" i="16"/>
  <c r="AE2106" i="16"/>
  <c r="AE2105" i="16"/>
  <c r="AE2104" i="16"/>
  <c r="AE2103" i="16"/>
  <c r="AE2102" i="16"/>
  <c r="AE2101" i="16"/>
  <c r="AE2100" i="16"/>
  <c r="AE2099" i="16"/>
  <c r="AE2098" i="16"/>
  <c r="AE2097" i="16"/>
  <c r="AE2096" i="16"/>
  <c r="AE2095" i="16"/>
  <c r="AE2094" i="16"/>
  <c r="AE2093" i="16"/>
  <c r="AE2092" i="16"/>
  <c r="AE2091" i="16"/>
  <c r="AE2090" i="16"/>
  <c r="AE2089" i="16"/>
  <c r="AE2088" i="16"/>
  <c r="AE2087" i="16"/>
  <c r="AE2086" i="16"/>
  <c r="AE2085" i="16"/>
  <c r="AE2084" i="16"/>
  <c r="AE2083" i="16"/>
  <c r="AE2082" i="16"/>
  <c r="AE2081" i="16"/>
  <c r="AE2080" i="16"/>
  <c r="AE2079" i="16"/>
  <c r="AE2078" i="16"/>
  <c r="AE2077" i="16"/>
  <c r="AE2076" i="16"/>
  <c r="AE2075" i="16"/>
  <c r="AE2074" i="16"/>
  <c r="AE2073" i="16"/>
  <c r="AE2072" i="16"/>
  <c r="AE2071" i="16"/>
  <c r="AE2070" i="16"/>
  <c r="AE2069" i="16"/>
  <c r="AE2068" i="16"/>
  <c r="AE2067" i="16"/>
  <c r="AE2066" i="16"/>
  <c r="AE2065" i="16"/>
  <c r="AE2064" i="16"/>
  <c r="AE2063" i="16"/>
  <c r="AE2062" i="16"/>
  <c r="AE2061" i="16"/>
  <c r="AE2060" i="16"/>
  <c r="AE2059" i="16"/>
  <c r="AE2058" i="16"/>
  <c r="AE2057" i="16"/>
  <c r="AE2056" i="16"/>
  <c r="AE2055" i="16"/>
  <c r="AE2054" i="16"/>
  <c r="AE2053" i="16"/>
  <c r="AE2052" i="16"/>
  <c r="AE2051" i="16"/>
  <c r="AE2050" i="16"/>
  <c r="AE2049" i="16"/>
  <c r="AE2048" i="16"/>
  <c r="AE2047" i="16"/>
  <c r="AE2046" i="16"/>
  <c r="AE2045" i="16"/>
  <c r="AE2044" i="16"/>
  <c r="AE2043" i="16"/>
  <c r="AE2042" i="16"/>
  <c r="AE2041" i="16"/>
  <c r="AE2040" i="16"/>
  <c r="AE2039" i="16"/>
  <c r="AE2038" i="16"/>
  <c r="AE2037" i="16"/>
  <c r="AE2036" i="16"/>
  <c r="AE2035" i="16"/>
  <c r="AE2034" i="16"/>
  <c r="AE2033" i="16"/>
  <c r="AE2032" i="16"/>
  <c r="AE2031" i="16"/>
  <c r="AE2030" i="16"/>
  <c r="AE2029" i="16"/>
  <c r="AE2028" i="16"/>
  <c r="AE2027" i="16"/>
  <c r="AE2026" i="16"/>
  <c r="AE2025" i="16"/>
  <c r="AE2024" i="16"/>
  <c r="AE2023" i="16"/>
  <c r="AE2022" i="16"/>
  <c r="AE2021" i="16"/>
  <c r="AE2020" i="16"/>
  <c r="AE2019" i="16"/>
  <c r="AE2018" i="16"/>
  <c r="AE2017" i="16"/>
  <c r="AE2016" i="16"/>
  <c r="AE2015" i="16"/>
  <c r="AE2014" i="16"/>
  <c r="AE2013" i="16"/>
  <c r="AE2012" i="16"/>
  <c r="AE2011" i="16"/>
  <c r="AE2010" i="16"/>
  <c r="AE2009" i="16"/>
  <c r="AE2008" i="16"/>
  <c r="AE2007" i="16"/>
  <c r="AE2006" i="16"/>
  <c r="AE2005" i="16"/>
  <c r="AE2004" i="16"/>
  <c r="AE2003" i="16"/>
  <c r="AE2002" i="16"/>
  <c r="AE2001" i="16"/>
  <c r="AE2000" i="16"/>
  <c r="AE1999" i="16"/>
  <c r="AE1998" i="16"/>
  <c r="AE1997" i="16"/>
  <c r="AE1996" i="16"/>
  <c r="AE1995" i="16"/>
  <c r="AE1994" i="16"/>
  <c r="AE1993" i="16"/>
  <c r="AE1992" i="16"/>
  <c r="AE1991" i="16"/>
  <c r="AE1990" i="16"/>
  <c r="AE1989" i="16"/>
  <c r="AE1988" i="16"/>
  <c r="AE1987" i="16"/>
  <c r="AE1986" i="16"/>
  <c r="AE1985" i="16"/>
  <c r="AE1984" i="16"/>
  <c r="AE1983" i="16"/>
  <c r="AE1982" i="16"/>
  <c r="AE1981" i="16"/>
  <c r="AE1980" i="16"/>
  <c r="AE1979" i="16"/>
  <c r="AE1978" i="16"/>
  <c r="AE1977" i="16"/>
  <c r="AE1976" i="16"/>
  <c r="AE1975" i="16"/>
  <c r="AE1974" i="16"/>
  <c r="AE1973" i="16"/>
  <c r="AE1972" i="16"/>
  <c r="AE1971" i="16"/>
  <c r="AE1970" i="16"/>
  <c r="AE1969" i="16"/>
  <c r="AE1968" i="16"/>
  <c r="AE1967" i="16"/>
  <c r="AE1966" i="16"/>
  <c r="AE1965" i="16"/>
  <c r="AE1964" i="16"/>
  <c r="AE1963" i="16"/>
  <c r="AE1962" i="16"/>
  <c r="AE1961" i="16"/>
  <c r="AE1960" i="16"/>
  <c r="AE1959" i="16"/>
  <c r="AE1958" i="16"/>
  <c r="AE1957" i="16"/>
  <c r="AE1956" i="16"/>
  <c r="AE1955" i="16"/>
  <c r="AE1954" i="16"/>
  <c r="AE1953" i="16"/>
  <c r="AE1952" i="16"/>
  <c r="AE1951" i="16"/>
  <c r="AE1950" i="16"/>
  <c r="AE1949" i="16"/>
  <c r="AE1948" i="16"/>
  <c r="AE1947" i="16"/>
  <c r="AE1946" i="16"/>
  <c r="AE1945" i="16"/>
  <c r="AE1944" i="16"/>
  <c r="AE1943" i="16"/>
  <c r="AE1942" i="16"/>
  <c r="AE1941" i="16"/>
  <c r="AE1940" i="16"/>
  <c r="AE1939" i="16"/>
  <c r="AE1938" i="16"/>
  <c r="AE1937" i="16"/>
  <c r="AE1936" i="16"/>
  <c r="AE1935" i="16"/>
  <c r="AE1934" i="16"/>
  <c r="AE1933" i="16"/>
  <c r="AE1932" i="16"/>
  <c r="AE1931" i="16"/>
  <c r="AE1930" i="16"/>
  <c r="AE1929" i="16"/>
  <c r="AE1928" i="16"/>
  <c r="AE1927" i="16"/>
  <c r="AE1926" i="16"/>
  <c r="AE1925" i="16"/>
  <c r="AE1924" i="16"/>
  <c r="AE1923" i="16"/>
  <c r="AE1922" i="16"/>
  <c r="AE1921" i="16"/>
  <c r="AE1920" i="16"/>
  <c r="AE1919" i="16"/>
  <c r="AE1918" i="16"/>
  <c r="AE1917" i="16"/>
  <c r="AE1916" i="16"/>
  <c r="AE1915" i="16"/>
  <c r="AE1914" i="16"/>
  <c r="AE1913" i="16"/>
  <c r="AE1912" i="16"/>
  <c r="AE1911" i="16"/>
  <c r="AE1910" i="16"/>
  <c r="AE1909" i="16"/>
  <c r="AE1908" i="16"/>
  <c r="AE1907" i="16"/>
  <c r="AE1906" i="16"/>
  <c r="AE1905" i="16"/>
  <c r="AE1904" i="16"/>
  <c r="AE1903" i="16"/>
  <c r="AE1902" i="16"/>
  <c r="AE1901" i="16"/>
  <c r="AE1900" i="16"/>
  <c r="AE1899" i="16"/>
  <c r="AE1898" i="16"/>
  <c r="AE1897" i="16"/>
  <c r="AE1896" i="16"/>
  <c r="AE1895" i="16"/>
  <c r="AE1894" i="16"/>
  <c r="AE1893" i="16"/>
  <c r="AE1892" i="16"/>
  <c r="AE1891" i="16"/>
  <c r="AE1890" i="16"/>
  <c r="AE1889" i="16"/>
  <c r="AE1888" i="16"/>
  <c r="AE1887" i="16"/>
  <c r="AE1886" i="16"/>
  <c r="AE1885" i="16"/>
  <c r="AE1884" i="16"/>
  <c r="AE1883" i="16"/>
  <c r="AE1882" i="16"/>
  <c r="AE1881" i="16"/>
  <c r="AE1880" i="16"/>
  <c r="AE1879" i="16"/>
  <c r="AE1878" i="16"/>
  <c r="AE1877" i="16"/>
  <c r="AE1876" i="16"/>
  <c r="AE1875" i="16"/>
  <c r="AE1874" i="16"/>
  <c r="AE1873" i="16"/>
  <c r="AE1872" i="16"/>
  <c r="AE1871" i="16"/>
  <c r="AE1870" i="16"/>
  <c r="AE1869" i="16"/>
  <c r="AE1868" i="16"/>
  <c r="AE1867" i="16"/>
  <c r="AE1866" i="16"/>
  <c r="AE1865" i="16"/>
  <c r="AE1864" i="16"/>
  <c r="AE1863" i="16"/>
  <c r="AE1862" i="16"/>
  <c r="AE1861" i="16"/>
  <c r="AE1860" i="16"/>
  <c r="AE1859" i="16"/>
  <c r="AE1858" i="16"/>
  <c r="AE1857" i="16"/>
  <c r="AE1856" i="16"/>
  <c r="AE1855" i="16"/>
  <c r="AE1854" i="16"/>
  <c r="AE1853" i="16"/>
  <c r="AE1852" i="16"/>
  <c r="AE1851" i="16"/>
  <c r="AE1850" i="16"/>
  <c r="AE1849" i="16"/>
  <c r="AE1848" i="16"/>
  <c r="AE1847" i="16"/>
  <c r="AE1846" i="16"/>
  <c r="AE1845" i="16"/>
  <c r="AE1844" i="16"/>
  <c r="AE1843" i="16"/>
  <c r="AE1842" i="16"/>
  <c r="AE1841" i="16"/>
  <c r="AE1840" i="16"/>
  <c r="AE1839" i="16"/>
  <c r="AE1838" i="16"/>
  <c r="AE1837" i="16"/>
  <c r="AE1836" i="16"/>
  <c r="AE1835" i="16"/>
  <c r="AE1834" i="16"/>
  <c r="AE1833" i="16"/>
  <c r="AE1832" i="16"/>
  <c r="AE1831" i="16"/>
  <c r="AE1830" i="16"/>
  <c r="AE1829" i="16"/>
  <c r="AE1828" i="16"/>
  <c r="AE1827" i="16"/>
  <c r="AE1826" i="16"/>
  <c r="AE1825" i="16"/>
  <c r="AE1824" i="16"/>
  <c r="AE1823" i="16"/>
  <c r="AE1822" i="16"/>
  <c r="AE1821" i="16"/>
  <c r="AE1820" i="16"/>
  <c r="AE1819" i="16"/>
  <c r="AE1818" i="16"/>
  <c r="AE1817" i="16"/>
  <c r="AE1816" i="16"/>
  <c r="AE1815" i="16"/>
  <c r="AE1814" i="16"/>
  <c r="AE1813" i="16"/>
  <c r="AE1812" i="16"/>
  <c r="AE1811" i="16"/>
  <c r="AE1810" i="16"/>
  <c r="AE1809" i="16"/>
  <c r="AE1808" i="16"/>
  <c r="AE1807" i="16"/>
  <c r="AE1806" i="16"/>
  <c r="AE1805" i="16"/>
  <c r="AE1804" i="16"/>
  <c r="AE1803" i="16"/>
  <c r="AE1802" i="16"/>
  <c r="AE1801" i="16"/>
  <c r="AE1800" i="16"/>
  <c r="AE1799" i="16"/>
  <c r="AE1798" i="16"/>
  <c r="AE1797" i="16"/>
  <c r="AE1796" i="16"/>
  <c r="AE1795" i="16"/>
  <c r="AE1794" i="16"/>
  <c r="AE1793" i="16"/>
  <c r="AE1792" i="16"/>
  <c r="AE1791" i="16"/>
  <c r="AE1790" i="16"/>
  <c r="AE1789" i="16"/>
  <c r="AE1788" i="16"/>
  <c r="AE1787" i="16"/>
  <c r="AE1786" i="16"/>
  <c r="AE1785" i="16"/>
  <c r="AE1784" i="16"/>
  <c r="AE1783" i="16"/>
  <c r="AE1782" i="16"/>
  <c r="AE1781" i="16"/>
  <c r="AE1780" i="16"/>
  <c r="AE1779" i="16"/>
  <c r="AE1778" i="16"/>
  <c r="AE1777" i="16"/>
  <c r="AE1776" i="16"/>
  <c r="AE1775" i="16"/>
  <c r="AE1774" i="16"/>
  <c r="AE1773" i="16"/>
  <c r="AE1772" i="16"/>
  <c r="AE1771" i="16"/>
  <c r="AE1770" i="16"/>
  <c r="AE1769" i="16"/>
  <c r="AE1768" i="16"/>
  <c r="AE1767" i="16"/>
  <c r="AE1766" i="16"/>
  <c r="AE1765" i="16"/>
  <c r="AE1764" i="16"/>
  <c r="AE1763" i="16"/>
  <c r="AE1762" i="16"/>
  <c r="AE1761" i="16"/>
  <c r="AE1760" i="16"/>
  <c r="AE1759" i="16"/>
  <c r="AE1758" i="16"/>
  <c r="AE1757" i="16"/>
  <c r="AE1756" i="16"/>
  <c r="AE1755" i="16"/>
  <c r="AE1754" i="16"/>
  <c r="AE1753" i="16"/>
  <c r="AE1752" i="16"/>
  <c r="AE1751" i="16"/>
  <c r="AE1750" i="16"/>
  <c r="AE1749" i="16"/>
  <c r="AE1748" i="16"/>
  <c r="AE1747" i="16"/>
  <c r="AE1746" i="16"/>
  <c r="AE1745" i="16"/>
  <c r="AE1744" i="16"/>
  <c r="AE1743" i="16"/>
  <c r="AE1742" i="16"/>
  <c r="AE1741" i="16"/>
  <c r="AE1740" i="16"/>
  <c r="AE1739" i="16"/>
  <c r="AE1738" i="16"/>
  <c r="AE1737" i="16"/>
  <c r="AE1736" i="16"/>
  <c r="AE1735" i="16"/>
  <c r="AE1734" i="16"/>
  <c r="AE1733" i="16"/>
  <c r="AE1732" i="16"/>
  <c r="AE1731" i="16"/>
  <c r="AE1730" i="16"/>
  <c r="AE1729" i="16"/>
  <c r="AE1728" i="16"/>
  <c r="AE1727" i="16"/>
  <c r="AE1726" i="16"/>
  <c r="AE1725" i="16"/>
  <c r="AE1724" i="16"/>
  <c r="AE1723" i="16"/>
  <c r="AE1722" i="16"/>
  <c r="AE1721" i="16"/>
  <c r="AE1720" i="16"/>
  <c r="AE1719" i="16"/>
  <c r="AE1718" i="16"/>
  <c r="AE1717" i="16"/>
  <c r="AE1716" i="16"/>
  <c r="AE1715" i="16"/>
  <c r="AE1714" i="16"/>
  <c r="AE1713" i="16"/>
  <c r="AE1712" i="16"/>
  <c r="AE1711" i="16"/>
  <c r="AE1710" i="16"/>
  <c r="AE1709" i="16"/>
  <c r="AE1708" i="16"/>
  <c r="AE1707" i="16"/>
  <c r="AE1706" i="16"/>
  <c r="AE1705" i="16"/>
  <c r="AE1704" i="16"/>
  <c r="AE1703" i="16"/>
  <c r="AE1702" i="16"/>
  <c r="AE1701" i="16"/>
  <c r="AE1700" i="16"/>
  <c r="AE1699" i="16"/>
  <c r="AE1698" i="16"/>
  <c r="AE1697" i="16"/>
  <c r="AE1696" i="16"/>
  <c r="AE1695" i="16"/>
  <c r="AE1694" i="16"/>
  <c r="AE1693" i="16"/>
  <c r="AE1692" i="16"/>
  <c r="AE1691" i="16"/>
  <c r="AE1690" i="16"/>
  <c r="AE1689" i="16"/>
  <c r="AE1688" i="16"/>
  <c r="AE1687" i="16"/>
  <c r="AE1686" i="16"/>
  <c r="AE1685" i="16"/>
  <c r="AE1684" i="16"/>
  <c r="AE1683" i="16"/>
  <c r="AE1682" i="16"/>
  <c r="AE1681" i="16"/>
  <c r="AE1680" i="16"/>
  <c r="AE1679" i="16"/>
  <c r="AE1678" i="16"/>
  <c r="AE1677" i="16"/>
  <c r="AE1676" i="16"/>
  <c r="AE1675" i="16"/>
  <c r="AE1674" i="16"/>
  <c r="AE1673" i="16"/>
  <c r="AE1672" i="16"/>
  <c r="AE1671" i="16"/>
  <c r="AE1670" i="16"/>
  <c r="AE1669" i="16"/>
  <c r="AE1668" i="16"/>
  <c r="AE1667" i="16"/>
  <c r="AE1666" i="16"/>
  <c r="AE1665" i="16"/>
  <c r="AE1664" i="16"/>
  <c r="AE1663" i="16"/>
  <c r="AE1662" i="16"/>
  <c r="AE1661" i="16"/>
  <c r="AE1660" i="16"/>
  <c r="AE1659" i="16"/>
  <c r="AE1658" i="16"/>
  <c r="AE1657" i="16"/>
  <c r="AE1656" i="16"/>
  <c r="AE1655" i="16"/>
  <c r="AE1654" i="16"/>
  <c r="AE1653" i="16"/>
  <c r="AE1652" i="16"/>
  <c r="AE1651" i="16"/>
  <c r="AE1650" i="16"/>
  <c r="AE1649" i="16"/>
  <c r="AE1648" i="16"/>
  <c r="AE1647" i="16"/>
  <c r="AE1646" i="16"/>
  <c r="AE1645" i="16"/>
  <c r="AE1644" i="16"/>
  <c r="AE1643" i="16"/>
  <c r="AE1642" i="16"/>
  <c r="AE1641" i="16"/>
  <c r="AE1640" i="16"/>
  <c r="AE1639" i="16"/>
  <c r="AE1638" i="16"/>
  <c r="AE1637" i="16"/>
  <c r="AE1636" i="16"/>
  <c r="AE1635" i="16"/>
  <c r="AG1634" i="16"/>
  <c r="AF1634" i="16"/>
  <c r="AG1633" i="16"/>
  <c r="AF1633" i="16"/>
  <c r="AG1632" i="16"/>
  <c r="AF1632" i="16"/>
  <c r="AG1631" i="16"/>
  <c r="AF1631" i="16"/>
  <c r="AG1630" i="16"/>
  <c r="AF1630" i="16"/>
  <c r="AG1629" i="16"/>
  <c r="AF1629" i="16"/>
  <c r="AG1628" i="16"/>
  <c r="AF1628" i="16"/>
  <c r="AG1627" i="16"/>
  <c r="AF1627" i="16"/>
  <c r="AG1626" i="16"/>
  <c r="AF1626" i="16"/>
  <c r="AG1625" i="16"/>
  <c r="AF1625" i="16"/>
  <c r="AG1624" i="16"/>
  <c r="AF1624" i="16"/>
  <c r="AG1623" i="16"/>
  <c r="AF1623" i="16"/>
  <c r="AG1622" i="16"/>
  <c r="AF1622" i="16"/>
  <c r="AG1621" i="16"/>
  <c r="AF1621" i="16"/>
  <c r="AG1620" i="16"/>
  <c r="AF1620" i="16"/>
  <c r="AG1619" i="16"/>
  <c r="AF1619" i="16"/>
  <c r="AG1618" i="16"/>
  <c r="AF1618" i="16"/>
  <c r="AG1617" i="16"/>
  <c r="AF1617" i="16"/>
  <c r="AG1616" i="16"/>
  <c r="AF1616" i="16"/>
  <c r="AG1615" i="16"/>
  <c r="AF1615" i="16"/>
  <c r="AG1614" i="16"/>
  <c r="AF1614" i="16"/>
  <c r="AG1613" i="16"/>
  <c r="AF1613" i="16"/>
  <c r="AG1612" i="16"/>
  <c r="AF1612" i="16"/>
  <c r="AG1611" i="16"/>
  <c r="AF1611" i="16"/>
  <c r="AG1610" i="16"/>
  <c r="AF1610" i="16"/>
  <c r="AG1609" i="16"/>
  <c r="AF1609" i="16"/>
  <c r="AG1608" i="16"/>
  <c r="AF1608" i="16"/>
  <c r="AG1607" i="16"/>
  <c r="AF1607" i="16"/>
  <c r="AE1606" i="16"/>
  <c r="AE1605" i="16"/>
  <c r="AE1604" i="16"/>
  <c r="AE1603" i="16"/>
  <c r="AE1602" i="16"/>
  <c r="AE1601" i="16"/>
  <c r="AE1600" i="16"/>
  <c r="AE1599" i="16"/>
  <c r="AE1598" i="16"/>
  <c r="AE1597" i="16"/>
  <c r="AE1596" i="16"/>
  <c r="AE1595" i="16"/>
  <c r="AE1594" i="16"/>
  <c r="AE1593" i="16"/>
  <c r="AE1592" i="16"/>
  <c r="AE1591" i="16"/>
  <c r="AE1590" i="16"/>
  <c r="AE1589" i="16"/>
  <c r="AE1588" i="16"/>
  <c r="AE1587" i="16"/>
  <c r="AE1586" i="16"/>
  <c r="AE1585" i="16"/>
  <c r="AE1584" i="16"/>
  <c r="AE1583" i="16"/>
  <c r="AE1582" i="16"/>
  <c r="AE1581" i="16"/>
  <c r="AE1580" i="16"/>
  <c r="AE1579" i="16"/>
  <c r="AG1578" i="16"/>
  <c r="AE1578" i="16"/>
  <c r="AG1577" i="16"/>
  <c r="AE1577" i="16"/>
  <c r="AG1576" i="16"/>
  <c r="AE1576" i="16"/>
  <c r="AG1575" i="16"/>
  <c r="AE1575" i="16"/>
  <c r="AG1574" i="16"/>
  <c r="AE1574" i="16"/>
  <c r="AG1573" i="16"/>
  <c r="AE1573" i="16"/>
  <c r="AG1572" i="16"/>
  <c r="AE1572" i="16"/>
  <c r="AG1571" i="16"/>
  <c r="AE1571" i="16"/>
  <c r="AG1570" i="16"/>
  <c r="AE1570" i="16"/>
  <c r="AG1569" i="16"/>
  <c r="AE1569" i="16"/>
  <c r="AG1568" i="16"/>
  <c r="AE1568" i="16"/>
  <c r="AG1567" i="16"/>
  <c r="AE1567" i="16"/>
  <c r="AG1566" i="16"/>
  <c r="AF1566" i="16"/>
  <c r="AG1565" i="16"/>
  <c r="AF1565" i="16"/>
  <c r="AG1564" i="16"/>
  <c r="AF1564" i="16"/>
  <c r="AG1563" i="16"/>
  <c r="AF1563" i="16"/>
  <c r="AG1562" i="16"/>
  <c r="AF1562" i="16"/>
  <c r="AG1561" i="16"/>
  <c r="AF1561" i="16"/>
  <c r="AG1560" i="16"/>
  <c r="AF1560" i="16"/>
  <c r="AG1559" i="16"/>
  <c r="AF1559" i="16"/>
  <c r="AG1558" i="16"/>
  <c r="AF1558" i="16"/>
  <c r="AG1557" i="16"/>
  <c r="AF1557" i="16"/>
  <c r="AG1556" i="16"/>
  <c r="AF1556" i="16"/>
  <c r="AG1555" i="16"/>
  <c r="AF1555" i="16"/>
  <c r="AG1554" i="16"/>
  <c r="AE1554" i="16"/>
  <c r="AG1553" i="16"/>
  <c r="AE1553" i="16"/>
  <c r="AG1552" i="16"/>
  <c r="AE1552" i="16"/>
  <c r="AG1551" i="16"/>
  <c r="AE1551" i="16"/>
  <c r="AG1550" i="16"/>
  <c r="AE1550" i="16"/>
  <c r="AG1549" i="16"/>
  <c r="AE1549" i="16"/>
  <c r="AG1548" i="16"/>
  <c r="AE1548" i="16"/>
  <c r="AG1547" i="16"/>
  <c r="AE1547" i="16"/>
  <c r="AG1546" i="16"/>
  <c r="AE1546" i="16"/>
  <c r="AG1545" i="16"/>
  <c r="AE1545" i="16"/>
  <c r="AG1544" i="16"/>
  <c r="AE1544" i="16"/>
  <c r="AG1543" i="16"/>
  <c r="AE1543" i="16"/>
  <c r="AE1542" i="16"/>
  <c r="AE1541" i="16"/>
  <c r="AE1540" i="16"/>
  <c r="AE1539" i="16"/>
  <c r="AE1538" i="16"/>
  <c r="AE1537" i="16"/>
  <c r="AE1536" i="16"/>
  <c r="AE1535" i="16"/>
  <c r="AE1534" i="16"/>
  <c r="AE1533" i="16"/>
  <c r="AE1532" i="16"/>
  <c r="AE1531" i="16"/>
  <c r="AE1530" i="16"/>
  <c r="AE1529" i="16"/>
  <c r="AE1528" i="16"/>
  <c r="AE1527" i="16"/>
  <c r="AE1526" i="16"/>
  <c r="AE1525" i="16"/>
  <c r="AE1524" i="16"/>
  <c r="AE1523" i="16"/>
  <c r="AE1522" i="16"/>
  <c r="AE1521" i="16"/>
  <c r="AE1520" i="16"/>
  <c r="AE1519" i="16"/>
  <c r="AE1518" i="16"/>
  <c r="AE1517" i="16"/>
  <c r="AE1516" i="16"/>
  <c r="AE1515" i="16"/>
  <c r="AE1514" i="16"/>
  <c r="AE1513" i="16"/>
  <c r="AG1512" i="16"/>
  <c r="AF1512" i="16"/>
  <c r="AG1511" i="16"/>
  <c r="AF1511" i="16"/>
  <c r="AG1510" i="16"/>
  <c r="AF1510" i="16"/>
  <c r="AG1509" i="16"/>
  <c r="AF1509" i="16"/>
  <c r="AG1508" i="16"/>
  <c r="AF1508" i="16"/>
  <c r="AG1507" i="16"/>
  <c r="AF1507" i="16"/>
  <c r="AG1506" i="16"/>
  <c r="AF1506" i="16"/>
  <c r="AG1505" i="16"/>
  <c r="AF1505" i="16"/>
  <c r="AG1504" i="16"/>
  <c r="AF1504" i="16"/>
  <c r="AG1503" i="16"/>
  <c r="AF1503" i="16"/>
  <c r="AG1502" i="16"/>
  <c r="AF1502" i="16"/>
  <c r="AG1501" i="16"/>
  <c r="AF1501" i="16"/>
  <c r="AG1500" i="16"/>
  <c r="AF1500" i="16"/>
  <c r="AG1499" i="16"/>
  <c r="AF1499" i="16"/>
  <c r="AG1498" i="16"/>
  <c r="AF1498" i="16"/>
  <c r="AG1497" i="16"/>
  <c r="AF1497" i="16"/>
  <c r="AG1496" i="16"/>
  <c r="AF1496" i="16"/>
  <c r="AG1495" i="16"/>
  <c r="AF1495" i="16"/>
  <c r="AG1494" i="16"/>
  <c r="AF1494" i="16"/>
  <c r="AG1493" i="16"/>
  <c r="AF1493" i="16"/>
  <c r="AG1492" i="16"/>
  <c r="AF1492" i="16"/>
  <c r="AG1491" i="16"/>
  <c r="AF1491" i="16"/>
  <c r="AG1490" i="16"/>
  <c r="AF1490" i="16"/>
  <c r="AG1489" i="16"/>
  <c r="AF1489" i="16"/>
  <c r="AG1488" i="16"/>
  <c r="AF1488" i="16"/>
  <c r="AG1487" i="16"/>
  <c r="AF1487" i="16"/>
  <c r="AG1486" i="16"/>
  <c r="AF1486" i="16"/>
  <c r="AG1485" i="16"/>
  <c r="AF1485" i="16"/>
  <c r="AG1484" i="16"/>
  <c r="AF1484" i="16"/>
  <c r="AG1483" i="16"/>
  <c r="AF1483" i="16"/>
  <c r="AG1482" i="16"/>
  <c r="AF1482" i="16"/>
  <c r="AG1481" i="16"/>
  <c r="AF1481" i="16"/>
  <c r="AG1480" i="16"/>
  <c r="AF1480" i="16"/>
  <c r="AG1479" i="16"/>
  <c r="AF1479" i="16"/>
  <c r="AG1478" i="16"/>
  <c r="AF1478" i="16"/>
  <c r="AG1477" i="16"/>
  <c r="AF1477" i="16"/>
  <c r="AE1476" i="16"/>
  <c r="AE1475" i="16"/>
  <c r="AE1474" i="16"/>
  <c r="AE1473" i="16"/>
  <c r="AE1472" i="16"/>
  <c r="AE1471" i="16"/>
  <c r="AE1470" i="16"/>
  <c r="AE1469" i="16"/>
  <c r="AE1468" i="16"/>
  <c r="AE1467" i="16"/>
  <c r="AE1466" i="16"/>
  <c r="AE1465" i="16"/>
  <c r="AE1464" i="16"/>
  <c r="AE1463" i="16"/>
  <c r="AE1462" i="16"/>
  <c r="AE1461" i="16"/>
  <c r="AE1460" i="16"/>
  <c r="AE1459" i="16"/>
  <c r="AE1458" i="16"/>
  <c r="AE1457" i="16"/>
  <c r="AE1456" i="16"/>
  <c r="AE1455" i="16"/>
  <c r="AE1454" i="16"/>
  <c r="AE1453" i="16"/>
  <c r="AE1452" i="16"/>
  <c r="AE1451" i="16"/>
  <c r="AE1450" i="16"/>
  <c r="AE1449" i="16"/>
  <c r="AE1448" i="16"/>
  <c r="AE1447" i="16"/>
  <c r="AE1446" i="16"/>
  <c r="AG1397" i="16"/>
  <c r="AG1396" i="16"/>
  <c r="AG1395" i="16"/>
  <c r="AG1394" i="16"/>
  <c r="AG1393" i="16"/>
  <c r="AG1392" i="16"/>
  <c r="AG1391" i="16"/>
  <c r="AG1390" i="16"/>
  <c r="AG1389" i="16"/>
  <c r="AG1388" i="16"/>
  <c r="AG1387" i="16"/>
  <c r="AG1386" i="16"/>
  <c r="AG1385" i="16"/>
  <c r="AE1385" i="16"/>
  <c r="AG1384" i="16"/>
  <c r="AE1384" i="16"/>
  <c r="AG1383" i="16"/>
  <c r="AE1383" i="16"/>
  <c r="AG1382" i="16"/>
  <c r="AE1382" i="16"/>
  <c r="AG1381" i="16"/>
  <c r="AE1381" i="16"/>
  <c r="AG1380" i="16"/>
  <c r="AE1380" i="16"/>
  <c r="AG1379" i="16"/>
  <c r="AE1379" i="16"/>
  <c r="AG1378" i="16"/>
  <c r="AE1378" i="16"/>
  <c r="AG1377" i="16"/>
  <c r="AE1377" i="16"/>
  <c r="AG1376" i="16"/>
  <c r="AE1376" i="16"/>
  <c r="AG1375" i="16"/>
  <c r="AE1375" i="16"/>
  <c r="AG1374" i="16"/>
  <c r="AE1374" i="16"/>
  <c r="AG1373" i="16"/>
  <c r="AG1372" i="16"/>
  <c r="AG1371" i="16"/>
  <c r="AG1370" i="16"/>
  <c r="AG1369" i="16"/>
  <c r="AG1368" i="16"/>
  <c r="AG1367" i="16"/>
  <c r="AG1366" i="16"/>
  <c r="AG1365" i="16"/>
  <c r="AG1364" i="16"/>
  <c r="AG1363" i="16"/>
  <c r="AG1362" i="16"/>
  <c r="AE1291" i="16"/>
  <c r="AE1290" i="16"/>
  <c r="AE1289" i="16"/>
  <c r="AE1288" i="16"/>
  <c r="AE1287" i="16"/>
  <c r="AE1286" i="16"/>
  <c r="AE1285" i="16"/>
  <c r="AE1284" i="16"/>
  <c r="AE1283" i="16"/>
  <c r="AE1282" i="16"/>
  <c r="AE1281" i="16"/>
  <c r="AG1280" i="16"/>
  <c r="AF1280" i="16"/>
  <c r="AG1279" i="16"/>
  <c r="AF1279" i="16"/>
  <c r="AG1278" i="16"/>
  <c r="AF1278" i="16"/>
  <c r="AG1277" i="16"/>
  <c r="AF1277" i="16"/>
  <c r="AG1276" i="16"/>
  <c r="AF1276" i="16"/>
  <c r="AG1275" i="16"/>
  <c r="AF1275" i="16"/>
  <c r="AG1274" i="16"/>
  <c r="AF1274" i="16"/>
  <c r="AG1273" i="16"/>
  <c r="AF1273" i="16"/>
  <c r="AG1272" i="16"/>
  <c r="AF1272" i="16"/>
  <c r="AG1271" i="16"/>
  <c r="AF1271" i="16"/>
  <c r="AG1270" i="16"/>
  <c r="AF1270" i="16"/>
  <c r="AE1269" i="16"/>
  <c r="AE1268" i="16"/>
  <c r="AE1267" i="16"/>
  <c r="AE1266" i="16"/>
  <c r="AE1265" i="16"/>
  <c r="AE1264" i="16"/>
  <c r="AE1263" i="16"/>
  <c r="AE1262" i="16"/>
  <c r="AE1261" i="16"/>
  <c r="AE1260" i="16"/>
  <c r="AE1259" i="16"/>
  <c r="AE1258" i="16"/>
  <c r="AD1258" i="16"/>
  <c r="AC1258" i="16"/>
  <c r="AE1257" i="16"/>
  <c r="AD1257" i="16"/>
  <c r="AC1257" i="16"/>
  <c r="AE1256" i="16"/>
  <c r="AD1256" i="16"/>
  <c r="AC1256" i="16"/>
  <c r="AE1255" i="16"/>
  <c r="AD1255" i="16"/>
  <c r="AC1255" i="16"/>
  <c r="AE1254" i="16"/>
  <c r="AD1254" i="16"/>
  <c r="AC1254" i="16"/>
  <c r="AE1253" i="16"/>
  <c r="AD1253" i="16"/>
  <c r="AC1253" i="16"/>
  <c r="AE1252" i="16"/>
  <c r="AD1252" i="16"/>
  <c r="AC1252" i="16"/>
  <c r="AE1251" i="16"/>
  <c r="AD1251" i="16"/>
  <c r="AC1251" i="16"/>
  <c r="AE1250" i="16"/>
  <c r="AD1250" i="16"/>
  <c r="AC1250" i="16"/>
  <c r="AE1249" i="16"/>
  <c r="AD1249" i="16"/>
  <c r="AC1249" i="16"/>
  <c r="AE1248" i="16"/>
  <c r="AD1248" i="16"/>
  <c r="AC1248" i="16"/>
  <c r="AE1247" i="16"/>
  <c r="AD1247" i="16"/>
  <c r="AC1247" i="16"/>
  <c r="AG1246" i="16"/>
  <c r="AF1246" i="16"/>
  <c r="AB1246" i="16"/>
  <c r="AG1245" i="16"/>
  <c r="AF1245" i="16"/>
  <c r="AB1245" i="16"/>
  <c r="AG1244" i="16"/>
  <c r="AF1244" i="16"/>
  <c r="AB1244" i="16"/>
  <c r="AG1243" i="16"/>
  <c r="AF1243" i="16"/>
  <c r="AB1243" i="16"/>
  <c r="AG1242" i="16"/>
  <c r="AF1242" i="16"/>
  <c r="AB1242" i="16"/>
  <c r="AG1241" i="16"/>
  <c r="AF1241" i="16"/>
  <c r="AB1241" i="16"/>
  <c r="AG1240" i="16"/>
  <c r="AF1240" i="16"/>
  <c r="AB1240" i="16"/>
  <c r="AG1239" i="16"/>
  <c r="AF1239" i="16"/>
  <c r="AB1239" i="16"/>
  <c r="AG1238" i="16"/>
  <c r="AF1238" i="16"/>
  <c r="AB1238" i="16"/>
  <c r="AG1237" i="16"/>
  <c r="AF1237" i="16"/>
  <c r="AB1237" i="16"/>
  <c r="AG1236" i="16"/>
  <c r="AF1236" i="16"/>
  <c r="AB1236" i="16"/>
  <c r="AG1235" i="16"/>
  <c r="AF1235" i="16"/>
  <c r="AB1235" i="16"/>
  <c r="AE1234" i="16"/>
  <c r="AD1234" i="16"/>
  <c r="AC1234" i="16"/>
  <c r="AE1233" i="16"/>
  <c r="AD1233" i="16"/>
  <c r="AC1233" i="16"/>
  <c r="AE1232" i="16"/>
  <c r="AD1232" i="16"/>
  <c r="AC1232" i="16"/>
  <c r="AE1231" i="16"/>
  <c r="AD1231" i="16"/>
  <c r="AC1231" i="16"/>
  <c r="AE1230" i="16"/>
  <c r="AD1230" i="16"/>
  <c r="AC1230" i="16"/>
  <c r="AE1229" i="16"/>
  <c r="AD1229" i="16"/>
  <c r="AC1229" i="16"/>
  <c r="AE1228" i="16"/>
  <c r="AD1228" i="16"/>
  <c r="AC1228" i="16"/>
  <c r="AE1227" i="16"/>
  <c r="AD1227" i="16"/>
  <c r="AC1227" i="16"/>
  <c r="AE1226" i="16"/>
  <c r="AD1226" i="16"/>
  <c r="AC1226" i="16"/>
  <c r="AE1225" i="16"/>
  <c r="AD1225" i="16"/>
  <c r="AC1225" i="16"/>
  <c r="AE1224" i="16"/>
  <c r="AD1224" i="16"/>
  <c r="AC1224" i="16"/>
  <c r="AE1223" i="16"/>
  <c r="AD1223" i="16"/>
  <c r="AC1223" i="16"/>
  <c r="AE1222" i="16"/>
  <c r="AD1222" i="16"/>
  <c r="AC1222" i="16"/>
  <c r="AE1221" i="16"/>
  <c r="AD1221" i="16"/>
  <c r="AC1221" i="16"/>
  <c r="AE1220" i="16"/>
  <c r="AD1220" i="16"/>
  <c r="AC1220" i="16"/>
  <c r="AE1219" i="16"/>
  <c r="AD1219" i="16"/>
  <c r="AC1219" i="16"/>
  <c r="AE1218" i="16"/>
  <c r="AD1218" i="16"/>
  <c r="AC1218" i="16"/>
  <c r="AE1217" i="16"/>
  <c r="AD1217" i="16"/>
  <c r="AC1217" i="16"/>
  <c r="AE1216" i="16"/>
  <c r="AD1216" i="16"/>
  <c r="AC1216" i="16"/>
  <c r="AE1215" i="16"/>
  <c r="AD1215" i="16"/>
  <c r="AC1215" i="16"/>
  <c r="AE1214" i="16"/>
  <c r="AD1214" i="16"/>
  <c r="AC1214" i="16"/>
  <c r="AE1213" i="16"/>
  <c r="AD1213" i="16"/>
  <c r="AC1213" i="16"/>
  <c r="AE1212" i="16"/>
  <c r="AD1212" i="16"/>
  <c r="AC1212" i="16"/>
  <c r="AE1211" i="16"/>
  <c r="AD1211" i="16"/>
  <c r="AC1211" i="16"/>
  <c r="AE1210" i="16"/>
  <c r="AD1210" i="16"/>
  <c r="AC1210" i="16"/>
  <c r="AE1209" i="16"/>
  <c r="AD1209" i="16"/>
  <c r="AC1209" i="16"/>
  <c r="AE1208" i="16"/>
  <c r="AD1208" i="16"/>
  <c r="AC1208" i="16"/>
  <c r="AE1207" i="16"/>
  <c r="AD1207" i="16"/>
  <c r="AC1207" i="16"/>
  <c r="AE1206" i="16"/>
  <c r="AD1206" i="16"/>
  <c r="AC1206" i="16"/>
  <c r="AE1205" i="16"/>
  <c r="AD1205" i="16"/>
  <c r="AC1205" i="16"/>
  <c r="AE1204" i="16"/>
  <c r="AD1204" i="16"/>
  <c r="AC1204" i="16"/>
  <c r="AE1203" i="16"/>
  <c r="AD1203" i="16"/>
  <c r="AC1203" i="16"/>
  <c r="AE1202" i="16"/>
  <c r="AD1202" i="16"/>
  <c r="AC1202" i="16"/>
  <c r="AE1201" i="16"/>
  <c r="AD1201" i="16"/>
  <c r="AC1201" i="16"/>
  <c r="AE1200" i="16"/>
  <c r="AD1200" i="16"/>
  <c r="AC1200" i="16"/>
  <c r="AE1199" i="16"/>
  <c r="AD1199" i="16"/>
  <c r="AC1199" i="16"/>
  <c r="AE1198" i="16"/>
  <c r="AD1198" i="16"/>
  <c r="AC1198" i="16"/>
  <c r="AE1197" i="16"/>
  <c r="AD1197" i="16"/>
  <c r="AC1197" i="16"/>
  <c r="AE1196" i="16"/>
  <c r="AD1196" i="16"/>
  <c r="AC1196" i="16"/>
  <c r="AE1195" i="16"/>
  <c r="AD1195" i="16"/>
  <c r="AC1195" i="16"/>
  <c r="AE1194" i="16"/>
  <c r="AD1194" i="16"/>
  <c r="AC1194" i="16"/>
  <c r="AE1193" i="16"/>
  <c r="AD1193" i="16"/>
  <c r="AC1193" i="16"/>
  <c r="AE1192" i="16"/>
  <c r="AD1192" i="16"/>
  <c r="AC1192" i="16"/>
  <c r="AG1191" i="16"/>
  <c r="AF1191" i="16"/>
  <c r="AB1191" i="16"/>
  <c r="AG1190" i="16"/>
  <c r="AF1190" i="16"/>
  <c r="AB1190" i="16"/>
  <c r="AG1189" i="16"/>
  <c r="AF1189" i="16"/>
  <c r="AB1189" i="16"/>
  <c r="AG1188" i="16"/>
  <c r="AF1188" i="16"/>
  <c r="AB1188" i="16"/>
  <c r="AG1187" i="16"/>
  <c r="AF1187" i="16"/>
  <c r="AB1187" i="16"/>
  <c r="AG1186" i="16"/>
  <c r="AF1186" i="16"/>
  <c r="AB1186" i="16"/>
  <c r="AG1185" i="16"/>
  <c r="AF1185" i="16"/>
  <c r="AB1185" i="16"/>
  <c r="AG1184" i="16"/>
  <c r="AF1184" i="16"/>
  <c r="AB1184" i="16"/>
  <c r="AG1183" i="16"/>
  <c r="AF1183" i="16"/>
  <c r="AB1183" i="16"/>
  <c r="AG1182" i="16"/>
  <c r="AF1182" i="16"/>
  <c r="AB1182" i="16"/>
  <c r="AG1181" i="16"/>
  <c r="AF1181" i="16"/>
  <c r="AB1181" i="16"/>
  <c r="AG1180" i="16"/>
  <c r="AF1180" i="16"/>
  <c r="AB1180" i="16"/>
  <c r="AG1179" i="16"/>
  <c r="AF1179" i="16"/>
  <c r="AB1179" i="16"/>
  <c r="AG1178" i="16"/>
  <c r="AF1178" i="16"/>
  <c r="AB1178" i="16"/>
  <c r="AG1177" i="16"/>
  <c r="AF1177" i="16"/>
  <c r="AB1177" i="16"/>
  <c r="AG1176" i="16"/>
  <c r="AF1176" i="16"/>
  <c r="AB1176" i="16"/>
  <c r="AG1175" i="16"/>
  <c r="AF1175" i="16"/>
  <c r="AB1175" i="16"/>
  <c r="AG1174" i="16"/>
  <c r="AF1174" i="16"/>
  <c r="AB1174" i="16"/>
  <c r="AG1173" i="16"/>
  <c r="AF1173" i="16"/>
  <c r="AB1173" i="16"/>
  <c r="AG1172" i="16"/>
  <c r="AF1172" i="16"/>
  <c r="AB1172" i="16"/>
  <c r="AG1171" i="16"/>
  <c r="AF1171" i="16"/>
  <c r="AB1171" i="16"/>
  <c r="AG1170" i="16"/>
  <c r="AF1170" i="16"/>
  <c r="AB1170" i="16"/>
  <c r="AG1169" i="16"/>
  <c r="AF1169" i="16"/>
  <c r="AB1169" i="16"/>
  <c r="AG1168" i="16"/>
  <c r="AF1168" i="16"/>
  <c r="AB1168" i="16"/>
  <c r="AG1167" i="16"/>
  <c r="AF1167" i="16"/>
  <c r="AB1167" i="16"/>
  <c r="AG1166" i="16"/>
  <c r="AF1166" i="16"/>
  <c r="AB1166" i="16"/>
  <c r="AG1165" i="16"/>
  <c r="AF1165" i="16"/>
  <c r="AB1165" i="16"/>
  <c r="AG1164" i="16"/>
  <c r="AF1164" i="16"/>
  <c r="AB1164" i="16"/>
  <c r="AG1163" i="16"/>
  <c r="AF1163" i="16"/>
  <c r="AB1163" i="16"/>
  <c r="AG1162" i="16"/>
  <c r="AF1162" i="16"/>
  <c r="AB1162" i="16"/>
  <c r="AG1161" i="16"/>
  <c r="AF1161" i="16"/>
  <c r="AB1161" i="16"/>
  <c r="AG1160" i="16"/>
  <c r="AF1160" i="16"/>
  <c r="AB1160" i="16"/>
  <c r="AG1159" i="16"/>
  <c r="AF1159" i="16"/>
  <c r="AB1159" i="16"/>
  <c r="AG1158" i="16"/>
  <c r="AF1158" i="16"/>
  <c r="AB1158" i="16"/>
  <c r="AE1157" i="16"/>
  <c r="AD1157" i="16"/>
  <c r="AC1157" i="16"/>
  <c r="AE1156" i="16"/>
  <c r="AD1156" i="16"/>
  <c r="AC1156" i="16"/>
  <c r="AE1155" i="16"/>
  <c r="AD1155" i="16"/>
  <c r="AC1155" i="16"/>
  <c r="AE1154" i="16"/>
  <c r="AD1154" i="16"/>
  <c r="AC1154" i="16"/>
  <c r="AE1153" i="16"/>
  <c r="AD1153" i="16"/>
  <c r="AC1153" i="16"/>
  <c r="AE1152" i="16"/>
  <c r="AD1152" i="16"/>
  <c r="AC1152" i="16"/>
  <c r="AE1151" i="16"/>
  <c r="AD1151" i="16"/>
  <c r="AC1151" i="16"/>
  <c r="AE1150" i="16"/>
  <c r="AD1150" i="16"/>
  <c r="AC1150" i="16"/>
  <c r="AE1149" i="16"/>
  <c r="AD1149" i="16"/>
  <c r="AC1149" i="16"/>
  <c r="AE1148" i="16"/>
  <c r="AD1148" i="16"/>
  <c r="AC1148" i="16"/>
  <c r="AE1147" i="16"/>
  <c r="AD1147" i="16"/>
  <c r="AC1147" i="16"/>
  <c r="AE1146" i="16"/>
  <c r="AD1146" i="16"/>
  <c r="AC1146" i="16"/>
  <c r="AE1145" i="16"/>
  <c r="AD1145" i="16"/>
  <c r="AC1145" i="16"/>
  <c r="AE1144" i="16"/>
  <c r="AD1144" i="16"/>
  <c r="AC1144" i="16"/>
  <c r="AE1143" i="16"/>
  <c r="AD1143" i="16"/>
  <c r="AC1143" i="16"/>
  <c r="AE1142" i="16"/>
  <c r="AD1142" i="16"/>
  <c r="AC1142" i="16"/>
  <c r="AE1141" i="16"/>
  <c r="AD1141" i="16"/>
  <c r="AC1141" i="16"/>
  <c r="AE1140" i="16"/>
  <c r="AD1140" i="16"/>
  <c r="AC1140" i="16"/>
  <c r="AE1139" i="16"/>
  <c r="AD1139" i="16"/>
  <c r="AC1139" i="16"/>
  <c r="AE1138" i="16"/>
  <c r="AD1138" i="16"/>
  <c r="AC1138" i="16"/>
  <c r="AE1137" i="16"/>
  <c r="AD1137" i="16"/>
  <c r="AC1137" i="16"/>
  <c r="AE1136" i="16"/>
  <c r="AD1136" i="16"/>
  <c r="AC1136" i="16"/>
  <c r="AE1135" i="16"/>
  <c r="AD1135" i="16"/>
  <c r="AC1135" i="16"/>
  <c r="AE1134" i="16"/>
  <c r="AD1134" i="16"/>
  <c r="AC1134" i="16"/>
  <c r="AE1133" i="16"/>
  <c r="AD1133" i="16"/>
  <c r="AC1133" i="16"/>
  <c r="AE1132" i="16"/>
  <c r="AD1132" i="16"/>
  <c r="AC1132" i="16"/>
  <c r="AE1131" i="16"/>
  <c r="AD1131" i="16"/>
  <c r="AC1131" i="16"/>
  <c r="AE1130" i="16"/>
  <c r="AD1130" i="16"/>
  <c r="AC1130" i="16"/>
  <c r="AE1129" i="16"/>
  <c r="AD1129" i="16"/>
  <c r="AC1129" i="16"/>
  <c r="AE1128" i="16"/>
  <c r="AD1128" i="16"/>
  <c r="AC1128" i="16"/>
  <c r="AE1127" i="16"/>
  <c r="AD1127" i="16"/>
  <c r="AC1127" i="16"/>
  <c r="AE1126" i="16"/>
  <c r="AD1126" i="16"/>
  <c r="AC1126" i="16"/>
  <c r="AE1125" i="16"/>
  <c r="AD1125" i="16"/>
  <c r="AC1125" i="16"/>
  <c r="AE1124" i="16"/>
  <c r="AD1124" i="16"/>
  <c r="AC1124" i="16"/>
  <c r="AE1123" i="16"/>
  <c r="AD1123" i="16"/>
  <c r="AC1123" i="16"/>
  <c r="AE1122" i="16"/>
  <c r="AD1122" i="16"/>
  <c r="AC1122" i="16"/>
  <c r="AE1121" i="16"/>
  <c r="AD1121" i="16"/>
  <c r="AC1121" i="16"/>
  <c r="AE1120" i="16"/>
  <c r="AD1120" i="16"/>
  <c r="AC1120" i="16"/>
  <c r="AE1119" i="16"/>
  <c r="AD1119" i="16"/>
  <c r="AC1119" i="16"/>
  <c r="AE1118" i="16"/>
  <c r="AD1118" i="16"/>
  <c r="AC1118" i="16"/>
  <c r="AE1117" i="16"/>
  <c r="AD1117" i="16"/>
  <c r="AC1117" i="16"/>
  <c r="AE1116" i="16"/>
  <c r="AD1116" i="16"/>
  <c r="AC1116" i="16"/>
  <c r="AE1115" i="16"/>
  <c r="AD1115" i="16"/>
  <c r="AC1115" i="16"/>
  <c r="AE1114" i="16"/>
  <c r="AD1114" i="16"/>
  <c r="AC1114" i="16"/>
  <c r="AE1113" i="16"/>
  <c r="AD1113" i="16"/>
  <c r="AC1113" i="16"/>
  <c r="AE1112" i="16"/>
  <c r="AD1112" i="16"/>
  <c r="AC1112" i="16"/>
  <c r="AE1111" i="16"/>
  <c r="AD1111" i="16"/>
  <c r="AC1111" i="16"/>
  <c r="AE1110" i="16"/>
  <c r="AD1110" i="16"/>
  <c r="AC1110" i="16"/>
  <c r="AE1109" i="16"/>
  <c r="AD1109" i="16"/>
  <c r="AC1109" i="16"/>
  <c r="AE1108" i="16"/>
  <c r="AD1108" i="16"/>
  <c r="AC1108" i="16"/>
  <c r="AE1107" i="16"/>
  <c r="AD1107" i="16"/>
  <c r="AC1107" i="16"/>
  <c r="AE1106" i="16"/>
  <c r="AD1106" i="16"/>
  <c r="AC1106" i="16"/>
  <c r="AE1105" i="16"/>
  <c r="AD1105" i="16"/>
  <c r="AC1105" i="16"/>
  <c r="AE1104" i="16"/>
  <c r="AD1104" i="16"/>
  <c r="AC1104" i="16"/>
  <c r="AE1103" i="16"/>
  <c r="AD1103" i="16"/>
  <c r="AC1103" i="16"/>
  <c r="AG1102" i="16"/>
  <c r="AF1102" i="16"/>
  <c r="AB1102" i="16"/>
  <c r="AG1101" i="16"/>
  <c r="AF1101" i="16"/>
  <c r="AB1101" i="16"/>
  <c r="AG1100" i="16"/>
  <c r="AF1100" i="16"/>
  <c r="AB1100" i="16"/>
  <c r="AG1099" i="16"/>
  <c r="AF1099" i="16"/>
  <c r="AB1099" i="16"/>
  <c r="AG1098" i="16"/>
  <c r="AF1098" i="16"/>
  <c r="AB1098" i="16"/>
  <c r="AG1097" i="16"/>
  <c r="AF1097" i="16"/>
  <c r="AB1097" i="16"/>
  <c r="AG1096" i="16"/>
  <c r="AF1096" i="16"/>
  <c r="AB1096" i="16"/>
  <c r="AG1095" i="16"/>
  <c r="AF1095" i="16"/>
  <c r="AB1095" i="16"/>
  <c r="AG1094" i="16"/>
  <c r="AF1094" i="16"/>
  <c r="AB1094" i="16"/>
  <c r="AG1093" i="16"/>
  <c r="AF1093" i="16"/>
  <c r="AB1093" i="16"/>
  <c r="AG1092" i="16"/>
  <c r="AF1092" i="16"/>
  <c r="AB1092" i="16"/>
  <c r="AG1091" i="16"/>
  <c r="AF1091" i="16"/>
  <c r="AB1091" i="16"/>
  <c r="AG1090" i="16"/>
  <c r="AF1090" i="16"/>
  <c r="AB1090" i="16"/>
  <c r="AG1089" i="16"/>
  <c r="AF1089" i="16"/>
  <c r="AB1089" i="16"/>
  <c r="AG1088" i="16"/>
  <c r="AF1088" i="16"/>
  <c r="AB1088" i="16"/>
  <c r="AG1087" i="16"/>
  <c r="AF1087" i="16"/>
  <c r="AB1087" i="16"/>
  <c r="AG1086" i="16"/>
  <c r="AF1086" i="16"/>
  <c r="AB1086" i="16"/>
  <c r="AG1085" i="16"/>
  <c r="AF1085" i="16"/>
  <c r="AB1085" i="16"/>
  <c r="AG1084" i="16"/>
  <c r="AF1084" i="16"/>
  <c r="AB1084" i="16"/>
  <c r="AG1083" i="16"/>
  <c r="AF1083" i="16"/>
  <c r="AB1083" i="16"/>
  <c r="AG1082" i="16"/>
  <c r="AF1082" i="16"/>
  <c r="AB1082" i="16"/>
  <c r="AG1081" i="16"/>
  <c r="AF1081" i="16"/>
  <c r="AB1081" i="16"/>
  <c r="AG1080" i="16"/>
  <c r="AF1080" i="16"/>
  <c r="AB1080" i="16"/>
  <c r="AG1079" i="16"/>
  <c r="AF1079" i="16"/>
  <c r="AB1079" i="16"/>
  <c r="AE1078" i="16"/>
  <c r="AD1078" i="16"/>
  <c r="AC1078" i="16"/>
  <c r="AE1077" i="16"/>
  <c r="AD1077" i="16"/>
  <c r="AC1077" i="16"/>
  <c r="AE1076" i="16"/>
  <c r="AD1076" i="16"/>
  <c r="AC1076" i="16"/>
  <c r="AE1075" i="16"/>
  <c r="AD1075" i="16"/>
  <c r="AC1075" i="16"/>
  <c r="AE1074" i="16"/>
  <c r="AD1074" i="16"/>
  <c r="AC1074" i="16"/>
  <c r="AE1073" i="16"/>
  <c r="AD1073" i="16"/>
  <c r="AC1073" i="16"/>
  <c r="AE1072" i="16"/>
  <c r="AD1072" i="16"/>
  <c r="AC1072" i="16"/>
  <c r="AE1071" i="16"/>
  <c r="AD1071" i="16"/>
  <c r="AC1071" i="16"/>
  <c r="AE1070" i="16"/>
  <c r="AD1070" i="16"/>
  <c r="AC1070" i="16"/>
  <c r="AE1069" i="16"/>
  <c r="AD1069" i="16"/>
  <c r="AC1069" i="16"/>
  <c r="AE1068" i="16"/>
  <c r="AD1068" i="16"/>
  <c r="AC1068" i="16"/>
  <c r="AE1067" i="16"/>
  <c r="AD1067" i="16"/>
  <c r="AC1067" i="16"/>
  <c r="AE1066" i="16"/>
  <c r="AD1066" i="16"/>
  <c r="AC1066" i="16"/>
  <c r="AE1065" i="16"/>
  <c r="AD1065" i="16"/>
  <c r="AC1065" i="16"/>
  <c r="AE1064" i="16"/>
  <c r="AD1064" i="16"/>
  <c r="AC1064" i="16"/>
  <c r="AE1063" i="16"/>
  <c r="AD1063" i="16"/>
  <c r="AC1063" i="16"/>
  <c r="AE1062" i="16"/>
  <c r="AD1062" i="16"/>
  <c r="AC1062" i="16"/>
  <c r="AE1061" i="16"/>
  <c r="AD1061" i="16"/>
  <c r="AC1061" i="16"/>
  <c r="AE1060" i="16"/>
  <c r="AD1060" i="16"/>
  <c r="AC1060" i="16"/>
  <c r="AE1059" i="16"/>
  <c r="AD1059" i="16"/>
  <c r="AC1059" i="16"/>
  <c r="AE1058" i="16"/>
  <c r="AD1058" i="16"/>
  <c r="AC1058" i="16"/>
  <c r="AE1057" i="16"/>
  <c r="AE1056" i="16"/>
  <c r="AE1055" i="16"/>
  <c r="AE1054" i="16"/>
  <c r="AE1053" i="16"/>
  <c r="AE1052" i="16"/>
  <c r="AE1051" i="16"/>
  <c r="AE1050" i="16"/>
  <c r="AE1049" i="16"/>
  <c r="AE1048" i="16"/>
  <c r="AE1047" i="16"/>
  <c r="AE1046" i="16"/>
  <c r="AE1045" i="16"/>
  <c r="AE1044" i="16"/>
  <c r="AE1043" i="16"/>
  <c r="AE1042" i="16"/>
  <c r="AE1041" i="16"/>
  <c r="AE1040" i="16"/>
  <c r="AE1039" i="16"/>
  <c r="AE1038" i="16"/>
  <c r="AE1037" i="16"/>
  <c r="AE1036" i="16"/>
  <c r="AE1035" i="16"/>
  <c r="AE1034" i="16"/>
  <c r="AE1033" i="16"/>
  <c r="AE1032" i="16"/>
  <c r="AE1031" i="16"/>
  <c r="AE1030" i="16"/>
  <c r="AE1029" i="16"/>
  <c r="AE1028" i="16"/>
  <c r="AE1027" i="16"/>
  <c r="AE1026" i="16"/>
  <c r="AE1025" i="16"/>
  <c r="AE1024" i="16"/>
  <c r="AE1023" i="16"/>
  <c r="AE1022" i="16"/>
  <c r="AE1021" i="16"/>
  <c r="AE1020" i="16"/>
  <c r="AE1019" i="16"/>
  <c r="AE1018" i="16"/>
  <c r="AE1017" i="16"/>
  <c r="AE1016" i="16"/>
  <c r="AE1015" i="16"/>
  <c r="AE1014" i="16"/>
  <c r="AE1013" i="16"/>
  <c r="AE1012" i="16"/>
  <c r="AE1011" i="16"/>
  <c r="AE1010" i="16"/>
  <c r="AE1009" i="16"/>
  <c r="AE1008" i="16"/>
  <c r="AE1007" i="16"/>
  <c r="AE1006" i="16"/>
  <c r="AE1005" i="16"/>
  <c r="AE1004" i="16"/>
  <c r="AE1003" i="16"/>
  <c r="AE1002" i="16"/>
  <c r="AE1001" i="16"/>
  <c r="AG1000" i="16"/>
  <c r="AF1000" i="16"/>
  <c r="AG999" i="16"/>
  <c r="AF999" i="16"/>
  <c r="AG998" i="16"/>
  <c r="AF998" i="16"/>
  <c r="AG997" i="16"/>
  <c r="AF997" i="16"/>
  <c r="AG996" i="16"/>
  <c r="AF996" i="16"/>
  <c r="AG995" i="16"/>
  <c r="AF995" i="16"/>
  <c r="AG994" i="16"/>
  <c r="AF994" i="16"/>
  <c r="AG993" i="16"/>
  <c r="AF993" i="16"/>
  <c r="AG992" i="16"/>
  <c r="AF992" i="16"/>
  <c r="AG991" i="16"/>
  <c r="AF991" i="16"/>
  <c r="AG990" i="16"/>
  <c r="AF990" i="16"/>
  <c r="AG989" i="16"/>
  <c r="AF989" i="16"/>
  <c r="AG988" i="16"/>
  <c r="AF988" i="16"/>
  <c r="AG987" i="16"/>
  <c r="AF987" i="16"/>
  <c r="AG986" i="16"/>
  <c r="AF986" i="16"/>
  <c r="AG985" i="16"/>
  <c r="AF985" i="16"/>
  <c r="AG984" i="16"/>
  <c r="AF984" i="16"/>
  <c r="AG983" i="16"/>
  <c r="AF983" i="16"/>
  <c r="AG982" i="16"/>
  <c r="AF982" i="16"/>
  <c r="AG981" i="16"/>
  <c r="AF981" i="16"/>
  <c r="AG980" i="16"/>
  <c r="AF980" i="16"/>
  <c r="AG979" i="16"/>
  <c r="AF979" i="16"/>
  <c r="AG978" i="16"/>
  <c r="AF978" i="16"/>
  <c r="AG977" i="16"/>
  <c r="AF977" i="16"/>
  <c r="AG976" i="16"/>
  <c r="AF976" i="16"/>
  <c r="AG975" i="16"/>
  <c r="AF975" i="16"/>
  <c r="AG974" i="16"/>
  <c r="AF974" i="16"/>
  <c r="AG973" i="16"/>
  <c r="AF973" i="16"/>
  <c r="AG972" i="16"/>
  <c r="AF972" i="16"/>
  <c r="AG971" i="16"/>
  <c r="AF971" i="16"/>
  <c r="AG970" i="16"/>
  <c r="AF970" i="16"/>
  <c r="AG969" i="16"/>
  <c r="AF969" i="16"/>
  <c r="AG968" i="16"/>
  <c r="AF968" i="16"/>
  <c r="AG967" i="16"/>
  <c r="AF967" i="16"/>
  <c r="AE966" i="16"/>
  <c r="AE965" i="16"/>
  <c r="AE964" i="16"/>
  <c r="AE963" i="16"/>
  <c r="AE962" i="16"/>
  <c r="AE961" i="16"/>
  <c r="AE960" i="16"/>
  <c r="AE959" i="16"/>
  <c r="AE958" i="16"/>
  <c r="AE957" i="16"/>
  <c r="AE956" i="16"/>
  <c r="AE955" i="16"/>
  <c r="AE954" i="16"/>
  <c r="AE953" i="16"/>
  <c r="AE952" i="16"/>
  <c r="AE951" i="16"/>
  <c r="AE950" i="16"/>
  <c r="AE949" i="16"/>
  <c r="AE948" i="16"/>
  <c r="AE947" i="16"/>
  <c r="AE946" i="16"/>
  <c r="AE945" i="16"/>
  <c r="AE944" i="16"/>
  <c r="AE943" i="16"/>
  <c r="AE942" i="16"/>
  <c r="AE941" i="16"/>
  <c r="AE940" i="16"/>
  <c r="AE939" i="16"/>
  <c r="AE938" i="16"/>
  <c r="AE937" i="16"/>
  <c r="AE936" i="16"/>
  <c r="AE935" i="16"/>
  <c r="AE934" i="16"/>
  <c r="AE933" i="16"/>
  <c r="AE932" i="16"/>
  <c r="AE931" i="16"/>
  <c r="AE930" i="16"/>
  <c r="AE929" i="16"/>
  <c r="AE928" i="16"/>
  <c r="AE927" i="16"/>
  <c r="AE926" i="16"/>
  <c r="AE925" i="16"/>
  <c r="AE924" i="16"/>
  <c r="AE923" i="16"/>
  <c r="AE922" i="16"/>
  <c r="AE921" i="16"/>
  <c r="AE920" i="16"/>
  <c r="AE919" i="16"/>
  <c r="AE918" i="16"/>
  <c r="AE917" i="16"/>
  <c r="AE916" i="16"/>
  <c r="AE915" i="16"/>
  <c r="AE914" i="16"/>
  <c r="AE913" i="16"/>
  <c r="AE912" i="16"/>
  <c r="AE911" i="16"/>
  <c r="AE910" i="16"/>
  <c r="AE909" i="16"/>
  <c r="AE908" i="16"/>
  <c r="AG907" i="16"/>
  <c r="AF907" i="16"/>
  <c r="AG906" i="16"/>
  <c r="AF906" i="16"/>
  <c r="AG905" i="16"/>
  <c r="AF905" i="16"/>
  <c r="AG904" i="16"/>
  <c r="AF904" i="16"/>
  <c r="AG903" i="16"/>
  <c r="AF903" i="16"/>
  <c r="AG902" i="16"/>
  <c r="AF902" i="16"/>
  <c r="AG901" i="16"/>
  <c r="AF901" i="16"/>
  <c r="AG900" i="16"/>
  <c r="AF900" i="16"/>
  <c r="AG899" i="16"/>
  <c r="AF899" i="16"/>
  <c r="AG898" i="16"/>
  <c r="AF898" i="16"/>
  <c r="AG897" i="16"/>
  <c r="AF897" i="16"/>
  <c r="AG896" i="16"/>
  <c r="AF896" i="16"/>
  <c r="AG895" i="16"/>
  <c r="AF895" i="16"/>
  <c r="AG894" i="16"/>
  <c r="AF894" i="16"/>
  <c r="AG893" i="16"/>
  <c r="AF893" i="16"/>
  <c r="AG892" i="16"/>
  <c r="AF892" i="16"/>
  <c r="AG891" i="16"/>
  <c r="AF891" i="16"/>
  <c r="AG890" i="16"/>
  <c r="AF890" i="16"/>
  <c r="AG889" i="16"/>
  <c r="AF889" i="16"/>
  <c r="AG888" i="16"/>
  <c r="AF888" i="16"/>
  <c r="AG887" i="16"/>
  <c r="AF887" i="16"/>
  <c r="AG886" i="16"/>
  <c r="AF886" i="16"/>
  <c r="AG885" i="16"/>
  <c r="AF885" i="16"/>
  <c r="AG884" i="16"/>
  <c r="AF884" i="16"/>
  <c r="AG883" i="16"/>
  <c r="AF883" i="16"/>
  <c r="AG882" i="16"/>
  <c r="AF882" i="16"/>
  <c r="AE881" i="16"/>
  <c r="AE880" i="16"/>
  <c r="AE879" i="16"/>
  <c r="AE878" i="16"/>
  <c r="AE877" i="16"/>
  <c r="AE876" i="16"/>
  <c r="AE875" i="16"/>
  <c r="AE874" i="16"/>
  <c r="AE873" i="16"/>
  <c r="AE872" i="16"/>
  <c r="AE871" i="16"/>
  <c r="AE870" i="16"/>
  <c r="AE869" i="16"/>
  <c r="AE868" i="16"/>
  <c r="AE867" i="16"/>
  <c r="AE866" i="16"/>
  <c r="AE865" i="16"/>
  <c r="AE864" i="16"/>
  <c r="AE863" i="16"/>
  <c r="AE862" i="16"/>
  <c r="AE861" i="16"/>
  <c r="AE860" i="16"/>
  <c r="AE859" i="16"/>
  <c r="AE858" i="16"/>
  <c r="AE857" i="16"/>
  <c r="AE856" i="16"/>
  <c r="AE855" i="16"/>
  <c r="AE854" i="16"/>
  <c r="AE853" i="16"/>
  <c r="AE852" i="16"/>
  <c r="AE851" i="16"/>
  <c r="AE850" i="16"/>
  <c r="AE849" i="16"/>
  <c r="AE848" i="16"/>
  <c r="AE847" i="16"/>
  <c r="AE846" i="16"/>
  <c r="AE845" i="16"/>
  <c r="AE844" i="16"/>
  <c r="AE843" i="16"/>
  <c r="AE842" i="16"/>
  <c r="AE841" i="16"/>
  <c r="AE840" i="16"/>
  <c r="AE839" i="16"/>
  <c r="AE838" i="16"/>
  <c r="AE837" i="16"/>
  <c r="AE836" i="16"/>
  <c r="AE835" i="16"/>
  <c r="AE834" i="16"/>
  <c r="AE833" i="16"/>
  <c r="AE832" i="16"/>
  <c r="AE831" i="16"/>
  <c r="AE830" i="16"/>
  <c r="AE829" i="16"/>
  <c r="AE828" i="16"/>
  <c r="AE827" i="16"/>
  <c r="AE826" i="16"/>
  <c r="AE825" i="16"/>
  <c r="AE824" i="16"/>
  <c r="AG823" i="16"/>
  <c r="AF823" i="16"/>
  <c r="AG822" i="16"/>
  <c r="AF822" i="16"/>
  <c r="AG821" i="16"/>
  <c r="AF821" i="16"/>
  <c r="AG820" i="16"/>
  <c r="AF820" i="16"/>
  <c r="AG819" i="16"/>
  <c r="AF819" i="16"/>
  <c r="AG818" i="16"/>
  <c r="AF818" i="16"/>
  <c r="AG817" i="16"/>
  <c r="AF817" i="16"/>
  <c r="AG816" i="16"/>
  <c r="AF816" i="16"/>
  <c r="AG815" i="16"/>
  <c r="AF815" i="16"/>
  <c r="AG814" i="16"/>
  <c r="AF814" i="16"/>
  <c r="AG813" i="16"/>
  <c r="AF813" i="16"/>
  <c r="AG812" i="16"/>
  <c r="AF812" i="16"/>
  <c r="AG811" i="16"/>
  <c r="AF811" i="16"/>
  <c r="AG810" i="16"/>
  <c r="AF810" i="16"/>
  <c r="AG809" i="16"/>
  <c r="AF809" i="16"/>
  <c r="AG808" i="16"/>
  <c r="AF808" i="16"/>
  <c r="AG807" i="16"/>
  <c r="AF807" i="16"/>
  <c r="AG806" i="16"/>
  <c r="AF806" i="16"/>
  <c r="AG805" i="16"/>
  <c r="AF805" i="16"/>
  <c r="AG804" i="16"/>
  <c r="AF804" i="16"/>
  <c r="AG803" i="16"/>
  <c r="AF803" i="16"/>
  <c r="AG802" i="16"/>
  <c r="AF802" i="16"/>
  <c r="AG801" i="16"/>
  <c r="AF801" i="16"/>
  <c r="AG800" i="16"/>
  <c r="AF800" i="16"/>
  <c r="AG799" i="16"/>
  <c r="AF799" i="16"/>
  <c r="AG798" i="16"/>
  <c r="AF798" i="16"/>
  <c r="AG797" i="16"/>
  <c r="AF797" i="16"/>
  <c r="AG796" i="16"/>
  <c r="AF796" i="16"/>
  <c r="AG795" i="16"/>
  <c r="AF795" i="16"/>
  <c r="AG794" i="16"/>
  <c r="AF794" i="16"/>
  <c r="AG793" i="16"/>
  <c r="AF793" i="16"/>
  <c r="AG792" i="16"/>
  <c r="AF792" i="16"/>
  <c r="AG791" i="16"/>
  <c r="AF791" i="16"/>
  <c r="AG790" i="16"/>
  <c r="AF790" i="16"/>
  <c r="AG789" i="16"/>
  <c r="AF789" i="16"/>
  <c r="AG788" i="16"/>
  <c r="AF788" i="16"/>
  <c r="AE787" i="16"/>
  <c r="AE786" i="16"/>
  <c r="AE785" i="16"/>
  <c r="AE784" i="16"/>
  <c r="AE783" i="16"/>
  <c r="AE782" i="16"/>
  <c r="AE781" i="16"/>
  <c r="AE780" i="16"/>
  <c r="AE779" i="16"/>
  <c r="AE778" i="16"/>
  <c r="AE777" i="16"/>
  <c r="AE776" i="16"/>
  <c r="AE775" i="16"/>
  <c r="AE774" i="16"/>
  <c r="AE773" i="16"/>
  <c r="AE772" i="16"/>
  <c r="AE771" i="16"/>
  <c r="AE770" i="16"/>
  <c r="AE769" i="16"/>
  <c r="AE768" i="16"/>
  <c r="AE767" i="16"/>
  <c r="AE766" i="16"/>
  <c r="AE765" i="16"/>
  <c r="AE764" i="16"/>
  <c r="AE763" i="16"/>
  <c r="AE762" i="16"/>
  <c r="AE761" i="16"/>
  <c r="AE760" i="16"/>
  <c r="AE759" i="16"/>
  <c r="AE758" i="16"/>
  <c r="AE757" i="16"/>
  <c r="AE756" i="16"/>
  <c r="AE755" i="16"/>
  <c r="AE754" i="16"/>
  <c r="AG753" i="16"/>
  <c r="AE753" i="16"/>
  <c r="AG752" i="16"/>
  <c r="AE752" i="16"/>
  <c r="AG751" i="16"/>
  <c r="AE751" i="16"/>
  <c r="AG750" i="16"/>
  <c r="AE750" i="16"/>
  <c r="AG749" i="16"/>
  <c r="AE749" i="16"/>
  <c r="AG748" i="16"/>
  <c r="AE748" i="16"/>
  <c r="AG747" i="16"/>
  <c r="AE747" i="16"/>
  <c r="AG746" i="16"/>
  <c r="AE746" i="16"/>
  <c r="AG745" i="16"/>
  <c r="AE745" i="16"/>
  <c r="AG744" i="16"/>
  <c r="AE744" i="16"/>
  <c r="AG743" i="16"/>
  <c r="AE743" i="16"/>
  <c r="AG742" i="16"/>
  <c r="AE742" i="16"/>
  <c r="AG741" i="16"/>
  <c r="AF741" i="16"/>
  <c r="AG740" i="16"/>
  <c r="AF740" i="16"/>
  <c r="AG739" i="16"/>
  <c r="AF739" i="16"/>
  <c r="AG738" i="16"/>
  <c r="AF738" i="16"/>
  <c r="AG737" i="16"/>
  <c r="AF737" i="16"/>
  <c r="AG736" i="16"/>
  <c r="AF736" i="16"/>
  <c r="AG735" i="16"/>
  <c r="AF735" i="16"/>
  <c r="AG734" i="16"/>
  <c r="AF734" i="16"/>
  <c r="AG733" i="16"/>
  <c r="AF733" i="16"/>
  <c r="AG732" i="16"/>
  <c r="AF732" i="16"/>
  <c r="AG731" i="16"/>
  <c r="AF731" i="16"/>
  <c r="AG730" i="16"/>
  <c r="AF730" i="16"/>
  <c r="AG729" i="16"/>
  <c r="AE729" i="16"/>
  <c r="AG728" i="16"/>
  <c r="AE728" i="16"/>
  <c r="AG727" i="16"/>
  <c r="AE727" i="16"/>
  <c r="AG726" i="16"/>
  <c r="AE726" i="16"/>
  <c r="AG725" i="16"/>
  <c r="AE725" i="16"/>
  <c r="AG724" i="16"/>
  <c r="AE724" i="16"/>
  <c r="AG723" i="16"/>
  <c r="AE723" i="16"/>
  <c r="AG722" i="16"/>
  <c r="AE722" i="16"/>
  <c r="AG721" i="16"/>
  <c r="AE721" i="16"/>
  <c r="AG720" i="16"/>
  <c r="AE720" i="16"/>
  <c r="AG719" i="16"/>
  <c r="AE719" i="16"/>
  <c r="AG718" i="16"/>
  <c r="AE718" i="16"/>
  <c r="AE717" i="16"/>
  <c r="AE716" i="16"/>
  <c r="AE715" i="16"/>
  <c r="AE714" i="16"/>
  <c r="AE713" i="16"/>
  <c r="AE712" i="16"/>
  <c r="AE711" i="16"/>
  <c r="AE710" i="16"/>
  <c r="AE709" i="16"/>
  <c r="AE708" i="16"/>
  <c r="AE707" i="16"/>
  <c r="AE706" i="16"/>
  <c r="AE705" i="16"/>
  <c r="AE704" i="16"/>
  <c r="AE703" i="16"/>
  <c r="AE702" i="16"/>
  <c r="AE701" i="16"/>
  <c r="AE700" i="16"/>
  <c r="AE699" i="16"/>
  <c r="AE698" i="16"/>
  <c r="AE697" i="16"/>
  <c r="AE696" i="16"/>
  <c r="AE695" i="16"/>
  <c r="AE694" i="16"/>
  <c r="AE693" i="16"/>
  <c r="AE692" i="16"/>
  <c r="AE691" i="16"/>
  <c r="AE690" i="16"/>
  <c r="AE689" i="16"/>
  <c r="AE688" i="16"/>
  <c r="AE687" i="16"/>
  <c r="AE686" i="16"/>
  <c r="AE685" i="16"/>
  <c r="AE684" i="16"/>
  <c r="AE683" i="16"/>
  <c r="AG682" i="16"/>
  <c r="AF682" i="16"/>
  <c r="AG681" i="16"/>
  <c r="AF681" i="16"/>
  <c r="AG680" i="16"/>
  <c r="AF680" i="16"/>
  <c r="AG679" i="16"/>
  <c r="AF679" i="16"/>
  <c r="AG678" i="16"/>
  <c r="AF678" i="16"/>
  <c r="AG677" i="16"/>
  <c r="AF677" i="16"/>
  <c r="AG676" i="16"/>
  <c r="AF676" i="16"/>
  <c r="AG675" i="16"/>
  <c r="AF675" i="16"/>
  <c r="AG674" i="16"/>
  <c r="AF674" i="16"/>
  <c r="AG673" i="16"/>
  <c r="AF673" i="16"/>
  <c r="AG672" i="16"/>
  <c r="AF672" i="16"/>
  <c r="AG671" i="16"/>
  <c r="AF671" i="16"/>
  <c r="AG670" i="16"/>
  <c r="AF670" i="16"/>
  <c r="AG669" i="16"/>
  <c r="AF669" i="16"/>
  <c r="AG668" i="16"/>
  <c r="AF668" i="16"/>
  <c r="AG667" i="16"/>
  <c r="AF667" i="16"/>
  <c r="AG666" i="16"/>
  <c r="AF666" i="16"/>
  <c r="AG665" i="16"/>
  <c r="AF665" i="16"/>
  <c r="AG664" i="16"/>
  <c r="AF664" i="16"/>
  <c r="AG663" i="16"/>
  <c r="AF663" i="16"/>
  <c r="AG662" i="16"/>
  <c r="AF662" i="16"/>
  <c r="AG661" i="16"/>
  <c r="AF661" i="16"/>
  <c r="AG660" i="16"/>
  <c r="AF660" i="16"/>
  <c r="AG659" i="16"/>
  <c r="AF659" i="16"/>
  <c r="AG658" i="16"/>
  <c r="AF658" i="16"/>
  <c r="AG657" i="16"/>
  <c r="AF657" i="16"/>
  <c r="AG656" i="16"/>
  <c r="AF656" i="16"/>
  <c r="AG655" i="16"/>
  <c r="AF655" i="16"/>
  <c r="AG654" i="16"/>
  <c r="AF654" i="16"/>
  <c r="AG653" i="16"/>
  <c r="AF653" i="16"/>
  <c r="AG652" i="16"/>
  <c r="AF652" i="16"/>
  <c r="AG651" i="16"/>
  <c r="AF651" i="16"/>
  <c r="AG650" i="16"/>
  <c r="AF650" i="16"/>
  <c r="AG649" i="16"/>
  <c r="AF649" i="16"/>
  <c r="AG648" i="16"/>
  <c r="AF648" i="16"/>
  <c r="AG647" i="16"/>
  <c r="AF647" i="16"/>
  <c r="AE646" i="16"/>
  <c r="AE645" i="16"/>
  <c r="AE644" i="16"/>
  <c r="AE643" i="16"/>
  <c r="AE642" i="16"/>
  <c r="AE641" i="16"/>
  <c r="AE640" i="16"/>
  <c r="AE639" i="16"/>
  <c r="AE638" i="16"/>
  <c r="AE637" i="16"/>
  <c r="AE636" i="16"/>
  <c r="AE635" i="16"/>
  <c r="AE634" i="16"/>
  <c r="AE633" i="16"/>
  <c r="AE632" i="16"/>
  <c r="AE631" i="16"/>
  <c r="AE630" i="16"/>
  <c r="AE629" i="16"/>
  <c r="AE628" i="16"/>
  <c r="AE627" i="16"/>
  <c r="AE626" i="16"/>
  <c r="AE625" i="16"/>
  <c r="AE624" i="16"/>
  <c r="AE623" i="16"/>
  <c r="AE622" i="16"/>
  <c r="AE621" i="16"/>
  <c r="AE620" i="16"/>
  <c r="AE619" i="16"/>
  <c r="AE618" i="16"/>
  <c r="AE617" i="16"/>
  <c r="AE616" i="16"/>
  <c r="AE615" i="16"/>
  <c r="AE614" i="16"/>
  <c r="AE613" i="16"/>
  <c r="AE612" i="16"/>
  <c r="AE611" i="16"/>
  <c r="AD588" i="16"/>
  <c r="AC588" i="16"/>
  <c r="AB588" i="16"/>
  <c r="AD587" i="16"/>
  <c r="AC587" i="16"/>
  <c r="AB587" i="16"/>
  <c r="AD586" i="16"/>
  <c r="AC586" i="16"/>
  <c r="AB586" i="16"/>
  <c r="AD585" i="16"/>
  <c r="AC585" i="16"/>
  <c r="AB585" i="16"/>
  <c r="AD584" i="16"/>
  <c r="AC584" i="16"/>
  <c r="AB584" i="16"/>
  <c r="AD583" i="16"/>
  <c r="AC583" i="16"/>
  <c r="AB583" i="16"/>
  <c r="AD582" i="16"/>
  <c r="AC582" i="16"/>
  <c r="AB582" i="16"/>
  <c r="AD581" i="16"/>
  <c r="AC581" i="16"/>
  <c r="AB581" i="16"/>
  <c r="AD580" i="16"/>
  <c r="AC580" i="16"/>
  <c r="AB580" i="16"/>
  <c r="AD579" i="16"/>
  <c r="AC579" i="16"/>
  <c r="AB579" i="16"/>
  <c r="AD578" i="16"/>
  <c r="AC578" i="16"/>
  <c r="AB578" i="16"/>
  <c r="AD577" i="16"/>
  <c r="AC577" i="16"/>
  <c r="AB577" i="16"/>
  <c r="AD576" i="16"/>
  <c r="AC576" i="16"/>
  <c r="AB576" i="16"/>
  <c r="AD575" i="16"/>
  <c r="AC575" i="16"/>
  <c r="AB575" i="16"/>
  <c r="AD574" i="16"/>
  <c r="AC574" i="16"/>
  <c r="AB574" i="16"/>
  <c r="AD573" i="16"/>
  <c r="AC573" i="16"/>
  <c r="AB573" i="16"/>
  <c r="AD572" i="16"/>
  <c r="AC572" i="16"/>
  <c r="AB572" i="16"/>
  <c r="AD571" i="16"/>
  <c r="AC571" i="16"/>
  <c r="AB571" i="16"/>
  <c r="AD570" i="16"/>
  <c r="AC570" i="16"/>
  <c r="AB570" i="16"/>
  <c r="AD569" i="16"/>
  <c r="AC569" i="16"/>
  <c r="AB569" i="16"/>
  <c r="AD568" i="16"/>
  <c r="AC568" i="16"/>
  <c r="AB568" i="16"/>
  <c r="AD567" i="16"/>
  <c r="AC567" i="16"/>
  <c r="AB567" i="16"/>
  <c r="AD566" i="16"/>
  <c r="AC566" i="16"/>
  <c r="AB566" i="16"/>
  <c r="AD565" i="16"/>
  <c r="AC565" i="16"/>
  <c r="AB565" i="16"/>
  <c r="AD564" i="16"/>
  <c r="AC564" i="16"/>
  <c r="AB564" i="16"/>
  <c r="AD563" i="16"/>
  <c r="AC563" i="16"/>
  <c r="AB563" i="16"/>
  <c r="AD562" i="16"/>
  <c r="AC562" i="16"/>
  <c r="AB562" i="16"/>
  <c r="AD561" i="16"/>
  <c r="AC561" i="16"/>
  <c r="AB561" i="16"/>
  <c r="AD560" i="16"/>
  <c r="AC560" i="16"/>
  <c r="AB560" i="16"/>
  <c r="AD559" i="16"/>
  <c r="AC559" i="16"/>
  <c r="AB559" i="16"/>
  <c r="AD558" i="16"/>
  <c r="AC558" i="16"/>
  <c r="AB558" i="16"/>
  <c r="AD557" i="16"/>
  <c r="AC557" i="16"/>
  <c r="AB557" i="16"/>
  <c r="AD556" i="16"/>
  <c r="AC556" i="16"/>
  <c r="AB556" i="16"/>
  <c r="AD555" i="16"/>
  <c r="AC555" i="16"/>
  <c r="AB555" i="16"/>
  <c r="AD554" i="16"/>
  <c r="AC554" i="16"/>
  <c r="AB554" i="16"/>
  <c r="AD553" i="16"/>
  <c r="AC553" i="16"/>
  <c r="AB553" i="16"/>
  <c r="AD552" i="16"/>
  <c r="AC552" i="16"/>
  <c r="AB552" i="16"/>
  <c r="AD551" i="16"/>
  <c r="AC551" i="16"/>
  <c r="AB551" i="16"/>
  <c r="AD550" i="16"/>
  <c r="AC550" i="16"/>
  <c r="AB550" i="16"/>
  <c r="AD549" i="16"/>
  <c r="AC549" i="16"/>
  <c r="AB549" i="16"/>
  <c r="AD548" i="16"/>
  <c r="AC548" i="16"/>
  <c r="AB548" i="16"/>
  <c r="AD547" i="16"/>
  <c r="AC547" i="16"/>
  <c r="AB547" i="16"/>
  <c r="AD546" i="16"/>
  <c r="AC546" i="16"/>
  <c r="AB546" i="16"/>
  <c r="AD545" i="16"/>
  <c r="AC545" i="16"/>
  <c r="AB545" i="16"/>
  <c r="AD544" i="16"/>
  <c r="AC544" i="16"/>
  <c r="AB544" i="16"/>
  <c r="AD543" i="16"/>
  <c r="AC543" i="16"/>
  <c r="AB543" i="16"/>
  <c r="AD542" i="16"/>
  <c r="AC542" i="16"/>
  <c r="AB542" i="16"/>
  <c r="AD541" i="16"/>
  <c r="AC541" i="16"/>
  <c r="AB541" i="16"/>
  <c r="AD540" i="16"/>
  <c r="AC540" i="16"/>
  <c r="AB540" i="16"/>
  <c r="AD539" i="16"/>
  <c r="AC539" i="16"/>
  <c r="AB539" i="16"/>
  <c r="AG462" i="16"/>
  <c r="AG461" i="16"/>
  <c r="AG460" i="16"/>
  <c r="AG459" i="16"/>
  <c r="AG458" i="16"/>
  <c r="AG457" i="16"/>
  <c r="AG456" i="16"/>
  <c r="AG455" i="16"/>
  <c r="AG454" i="16"/>
  <c r="AG453" i="16"/>
  <c r="AG452" i="16"/>
  <c r="AG451" i="16"/>
  <c r="AG450" i="16"/>
  <c r="AE450" i="16"/>
  <c r="AG449" i="16"/>
  <c r="AE449" i="16"/>
  <c r="AG448" i="16"/>
  <c r="AE448" i="16"/>
  <c r="AG447" i="16"/>
  <c r="AE447" i="16"/>
  <c r="AG446" i="16"/>
  <c r="AE446" i="16"/>
  <c r="AG445" i="16"/>
  <c r="AE445" i="16"/>
  <c r="AG444" i="16"/>
  <c r="AE444" i="16"/>
  <c r="AG443" i="16"/>
  <c r="AE443" i="16"/>
  <c r="AG442" i="16"/>
  <c r="AE442" i="16"/>
  <c r="AG441" i="16"/>
  <c r="AE441" i="16"/>
  <c r="AG440" i="16"/>
  <c r="AE440" i="16"/>
  <c r="AG439" i="16"/>
  <c r="AE439" i="16"/>
  <c r="AG438" i="16"/>
  <c r="AG437" i="16"/>
  <c r="AG436" i="16"/>
  <c r="AG435" i="16"/>
  <c r="AG434" i="16"/>
  <c r="AG433" i="16"/>
  <c r="AG432" i="16"/>
  <c r="AG431" i="16"/>
  <c r="AG430" i="16"/>
  <c r="AG429" i="16"/>
  <c r="AG428" i="16"/>
  <c r="AG427" i="16"/>
  <c r="AE364" i="16"/>
  <c r="AD364" i="16"/>
  <c r="AC364" i="16"/>
  <c r="AE363" i="16"/>
  <c r="AD363" i="16"/>
  <c r="AC363" i="16"/>
  <c r="AE362" i="16"/>
  <c r="AD362" i="16"/>
  <c r="AC362" i="16"/>
  <c r="AE361" i="16"/>
  <c r="AD361" i="16"/>
  <c r="AC361" i="16"/>
  <c r="AE360" i="16"/>
  <c r="AD360" i="16"/>
  <c r="AC360" i="16"/>
  <c r="AE359" i="16"/>
  <c r="AD359" i="16"/>
  <c r="AC359" i="16"/>
  <c r="AE358" i="16"/>
  <c r="AD358" i="16"/>
  <c r="AC358" i="16"/>
  <c r="AE357" i="16"/>
  <c r="AD357" i="16"/>
  <c r="AC357" i="16"/>
  <c r="AE356" i="16"/>
  <c r="AD356" i="16"/>
  <c r="AC356" i="16"/>
  <c r="AE355" i="16"/>
  <c r="AD355" i="16"/>
  <c r="AC355" i="16"/>
  <c r="AE354" i="16"/>
  <c r="AD354" i="16"/>
  <c r="AC354" i="16"/>
  <c r="AE353" i="16"/>
  <c r="AD353" i="16"/>
  <c r="AC353" i="16"/>
  <c r="AG352" i="16"/>
  <c r="AF352" i="16"/>
  <c r="AB352" i="16"/>
  <c r="AG351" i="16"/>
  <c r="AF351" i="16"/>
  <c r="AB351" i="16"/>
  <c r="AG350" i="16"/>
  <c r="AF350" i="16"/>
  <c r="AB350" i="16"/>
  <c r="AG349" i="16"/>
  <c r="AF349" i="16"/>
  <c r="AB349" i="16"/>
  <c r="AG348" i="16"/>
  <c r="AF348" i="16"/>
  <c r="AB348" i="16"/>
  <c r="AG347" i="16"/>
  <c r="AF347" i="16"/>
  <c r="AB347" i="16"/>
  <c r="AG346" i="16"/>
  <c r="AF346" i="16"/>
  <c r="AB346" i="16"/>
  <c r="AG345" i="16"/>
  <c r="AF345" i="16"/>
  <c r="AB345" i="16"/>
  <c r="AG344" i="16"/>
  <c r="AF344" i="16"/>
  <c r="AB344" i="16"/>
  <c r="AG343" i="16"/>
  <c r="AF343" i="16"/>
  <c r="AB343" i="16"/>
  <c r="AG342" i="16"/>
  <c r="AF342" i="16"/>
  <c r="AB342" i="16"/>
  <c r="AG341" i="16"/>
  <c r="AF341" i="16"/>
  <c r="AB341" i="16"/>
  <c r="AE340" i="16"/>
  <c r="AD340" i="16"/>
  <c r="AC340" i="16"/>
  <c r="AE339" i="16"/>
  <c r="AD339" i="16"/>
  <c r="AC339" i="16"/>
  <c r="AE338" i="16"/>
  <c r="AD338" i="16"/>
  <c r="AC338" i="16"/>
  <c r="AE337" i="16"/>
  <c r="AD337" i="16"/>
  <c r="AC337" i="16"/>
  <c r="AE336" i="16"/>
  <c r="AD336" i="16"/>
  <c r="AC336" i="16"/>
  <c r="AE335" i="16"/>
  <c r="AD335" i="16"/>
  <c r="AC335" i="16"/>
  <c r="AE334" i="16"/>
  <c r="AD334" i="16"/>
  <c r="AC334" i="16"/>
  <c r="AE333" i="16"/>
  <c r="AD333" i="16"/>
  <c r="AC333" i="16"/>
  <c r="AE332" i="16"/>
  <c r="AD332" i="16"/>
  <c r="AC332" i="16"/>
  <c r="AE331" i="16"/>
  <c r="AD331" i="16"/>
  <c r="AC331" i="16"/>
  <c r="AE330" i="16"/>
  <c r="AD330" i="16"/>
  <c r="AC330" i="16"/>
  <c r="AE329" i="16"/>
  <c r="AD329" i="16"/>
  <c r="AC329" i="16"/>
  <c r="AG328" i="16"/>
  <c r="AE328" i="16"/>
  <c r="AG327" i="16"/>
  <c r="AE327" i="16"/>
  <c r="AG326" i="16"/>
  <c r="AE326" i="16"/>
  <c r="AG325" i="16"/>
  <c r="AE325" i="16"/>
  <c r="AG324" i="16"/>
  <c r="AE324" i="16"/>
  <c r="AG323" i="16"/>
  <c r="AE323" i="16"/>
  <c r="AG322" i="16"/>
  <c r="AE322" i="16"/>
  <c r="AG321" i="16"/>
  <c r="AE321" i="16"/>
  <c r="AG320" i="16"/>
  <c r="AE320" i="16"/>
  <c r="AG319" i="16"/>
  <c r="AE319" i="16"/>
  <c r="AG318" i="16"/>
  <c r="AE318" i="16"/>
  <c r="AG317" i="16"/>
  <c r="AE317" i="16"/>
  <c r="AG316" i="16"/>
  <c r="AF316" i="16"/>
  <c r="AG315" i="16"/>
  <c r="AF315" i="16"/>
  <c r="AG314" i="16"/>
  <c r="AF314" i="16"/>
  <c r="AG313" i="16"/>
  <c r="AF313" i="16"/>
  <c r="AG312" i="16"/>
  <c r="AF312" i="16"/>
  <c r="AG311" i="16"/>
  <c r="AF311" i="16"/>
  <c r="AG310" i="16"/>
  <c r="AF310" i="16"/>
  <c r="AG309" i="16"/>
  <c r="AF309" i="16"/>
  <c r="AG308" i="16"/>
  <c r="AF308" i="16"/>
  <c r="AG307" i="16"/>
  <c r="AF307" i="16"/>
  <c r="AG306" i="16"/>
  <c r="AF306" i="16"/>
  <c r="AG305" i="16"/>
  <c r="AF305" i="16"/>
  <c r="AG304" i="16"/>
  <c r="AE304" i="16"/>
  <c r="AG303" i="16"/>
  <c r="AE303" i="16"/>
  <c r="AG302" i="16"/>
  <c r="AE302" i="16"/>
  <c r="AG301" i="16"/>
  <c r="AE301" i="16"/>
  <c r="AG300" i="16"/>
  <c r="AE300" i="16"/>
  <c r="AG299" i="16"/>
  <c r="AE299" i="16"/>
  <c r="AG298" i="16"/>
  <c r="AE298" i="16"/>
  <c r="AG297" i="16"/>
  <c r="AE297" i="16"/>
  <c r="AG296" i="16"/>
  <c r="AE296" i="16"/>
  <c r="AG295" i="16"/>
  <c r="AE295" i="16"/>
  <c r="AG294" i="16"/>
  <c r="AE294" i="16"/>
  <c r="AG293" i="16"/>
  <c r="AE293" i="16"/>
  <c r="AE292" i="16"/>
  <c r="AE291" i="16"/>
  <c r="AE290" i="16"/>
  <c r="AE289" i="16"/>
  <c r="AE288" i="16"/>
  <c r="AE287" i="16"/>
  <c r="AE286" i="16"/>
  <c r="AE285" i="16"/>
  <c r="AE284" i="16"/>
  <c r="AE283" i="16"/>
  <c r="AE282" i="16"/>
  <c r="AE281" i="16"/>
  <c r="AE280" i="16"/>
  <c r="AG279" i="16"/>
  <c r="AF279" i="16"/>
  <c r="AG278" i="16"/>
  <c r="AF278" i="16"/>
  <c r="AG277" i="16"/>
  <c r="AF277" i="16"/>
  <c r="AG276" i="16"/>
  <c r="AF276" i="16"/>
  <c r="AG275" i="16"/>
  <c r="AF275" i="16"/>
  <c r="AG274" i="16"/>
  <c r="AF274" i="16"/>
  <c r="AG273" i="16"/>
  <c r="AF273" i="16"/>
  <c r="AG272" i="16"/>
  <c r="AF272" i="16"/>
  <c r="AG271" i="16"/>
  <c r="AF271" i="16"/>
  <c r="AG270" i="16"/>
  <c r="AF270" i="16"/>
  <c r="AG269" i="16"/>
  <c r="AF269" i="16"/>
  <c r="AG268" i="16"/>
  <c r="AF268" i="16"/>
  <c r="AG267" i="16"/>
  <c r="AF267" i="16"/>
  <c r="AE266" i="16"/>
  <c r="AE265" i="16"/>
  <c r="AE264" i="16"/>
  <c r="AE263" i="16"/>
  <c r="AE262" i="16"/>
  <c r="AE261" i="16"/>
  <c r="AE260" i="16"/>
  <c r="AE259" i="16"/>
  <c r="AE258" i="16"/>
  <c r="AE257" i="16"/>
  <c r="AE256" i="16"/>
  <c r="AE255" i="16"/>
  <c r="AE254" i="16"/>
  <c r="AG253" i="16"/>
  <c r="AF253" i="16"/>
  <c r="AG252" i="16"/>
  <c r="AF252" i="16"/>
  <c r="AG251" i="16"/>
  <c r="AF251" i="16"/>
  <c r="AG250" i="16"/>
  <c r="AF250" i="16"/>
  <c r="AG249" i="16"/>
  <c r="AF249" i="16"/>
  <c r="AG248" i="16"/>
  <c r="AF248" i="16"/>
  <c r="AG247" i="16"/>
  <c r="AF247" i="16"/>
  <c r="AG246" i="16"/>
  <c r="AF246" i="16"/>
  <c r="AG245" i="16"/>
  <c r="AF245" i="16"/>
  <c r="AG244" i="16"/>
  <c r="AF244" i="16"/>
  <c r="AG243" i="16"/>
  <c r="AF243" i="16"/>
  <c r="AG242" i="16"/>
  <c r="AF242" i="16"/>
  <c r="AD241" i="16"/>
  <c r="AC241" i="16"/>
  <c r="AB241" i="16"/>
  <c r="AD240" i="16"/>
  <c r="AC240" i="16"/>
  <c r="AB240" i="16"/>
  <c r="AD239" i="16"/>
  <c r="AC239" i="16"/>
  <c r="AB239" i="16"/>
  <c r="AD238" i="16"/>
  <c r="AC238" i="16"/>
  <c r="AB238" i="16"/>
  <c r="AD237" i="16"/>
  <c r="AC237" i="16"/>
  <c r="AB237" i="16"/>
  <c r="AD236" i="16"/>
  <c r="AC236" i="16"/>
  <c r="AB236" i="16"/>
  <c r="AD235" i="16"/>
  <c r="AC235" i="16"/>
  <c r="AB235" i="16"/>
  <c r="AD234" i="16"/>
  <c r="AC234" i="16"/>
  <c r="AB234" i="16"/>
  <c r="AD233" i="16"/>
  <c r="AC233" i="16"/>
  <c r="AB233" i="16"/>
  <c r="AD232" i="16"/>
  <c r="AC232" i="16"/>
  <c r="AB232" i="16"/>
  <c r="AD231" i="16"/>
  <c r="AC231" i="16"/>
  <c r="AB231" i="16"/>
  <c r="AD230" i="16"/>
  <c r="AC230" i="16"/>
  <c r="AB230" i="16"/>
  <c r="AD229" i="16"/>
  <c r="AC229" i="16"/>
  <c r="AB229" i="16"/>
  <c r="AD228" i="16"/>
  <c r="AC228" i="16"/>
  <c r="AB228" i="16"/>
  <c r="AD227" i="16"/>
  <c r="AC227" i="16"/>
  <c r="AB227" i="16"/>
  <c r="AD226" i="16"/>
  <c r="AC226" i="16"/>
  <c r="AB226" i="16"/>
  <c r="AD225" i="16"/>
  <c r="AC225" i="16"/>
  <c r="AB225" i="16"/>
  <c r="AD224" i="16"/>
  <c r="AC224" i="16"/>
  <c r="AB224" i="16"/>
  <c r="AD223" i="16"/>
  <c r="AC223" i="16"/>
  <c r="AB223" i="16"/>
  <c r="AD222" i="16"/>
  <c r="AC222" i="16"/>
  <c r="AB222" i="16"/>
  <c r="AD221" i="16"/>
  <c r="AC221" i="16"/>
  <c r="AB221" i="16"/>
  <c r="AD220" i="16"/>
  <c r="AC220" i="16"/>
  <c r="AB220" i="16"/>
  <c r="AD219" i="16"/>
  <c r="AC219" i="16"/>
  <c r="AB219" i="16"/>
  <c r="AD218" i="16"/>
  <c r="AC218" i="16"/>
  <c r="AB218" i="16"/>
  <c r="AG217" i="16"/>
  <c r="AG216" i="16"/>
  <c r="AG215" i="16"/>
  <c r="AG214" i="16"/>
  <c r="AG213" i="16"/>
  <c r="AG212" i="16"/>
  <c r="AG211" i="16"/>
  <c r="AG210" i="16"/>
  <c r="AG209" i="16"/>
  <c r="AG208" i="16"/>
  <c r="AG207" i="16"/>
  <c r="AG206" i="16"/>
  <c r="AG205" i="16"/>
  <c r="AE205" i="16"/>
  <c r="AG204" i="16"/>
  <c r="AE204" i="16"/>
  <c r="AG203" i="16"/>
  <c r="AE203" i="16"/>
  <c r="AG202" i="16"/>
  <c r="AE202" i="16"/>
  <c r="AG201" i="16"/>
  <c r="AE201" i="16"/>
  <c r="AG200" i="16"/>
  <c r="AE200" i="16"/>
  <c r="AG199" i="16"/>
  <c r="AE199" i="16"/>
  <c r="AG198" i="16"/>
  <c r="AE198" i="16"/>
  <c r="AG197" i="16"/>
  <c r="AE197" i="16"/>
  <c r="AG196" i="16"/>
  <c r="AE196" i="16"/>
  <c r="AG195" i="16"/>
  <c r="AE195" i="16"/>
  <c r="AG194" i="16"/>
  <c r="AE194" i="16"/>
  <c r="AG193" i="16"/>
  <c r="AG192" i="16"/>
  <c r="AG191" i="16"/>
  <c r="AG190" i="16"/>
  <c r="AG189" i="16"/>
  <c r="AG188" i="16"/>
  <c r="AG187" i="16"/>
  <c r="AG186" i="16"/>
  <c r="AG185" i="16"/>
  <c r="AG184" i="16"/>
  <c r="AG183" i="16"/>
  <c r="AG182" i="16"/>
  <c r="AG181" i="16"/>
  <c r="AF181" i="16"/>
  <c r="AG180" i="16"/>
  <c r="AF180" i="16"/>
  <c r="AG179" i="16"/>
  <c r="AF179" i="16"/>
  <c r="AG178" i="16"/>
  <c r="AF178" i="16"/>
  <c r="AG177" i="16"/>
  <c r="AF177" i="16"/>
  <c r="AG176" i="16"/>
  <c r="AF176" i="16"/>
  <c r="AG175" i="16"/>
  <c r="AF175" i="16"/>
  <c r="AG174" i="16"/>
  <c r="AF174" i="16"/>
  <c r="AG173" i="16"/>
  <c r="AF173" i="16"/>
  <c r="AG172" i="16"/>
  <c r="AF172" i="16"/>
  <c r="AG171" i="16"/>
  <c r="AF171" i="16"/>
  <c r="AG170" i="16"/>
  <c r="AF170" i="16"/>
  <c r="AG169" i="16"/>
  <c r="AF169" i="16"/>
  <c r="AG168" i="16"/>
  <c r="AF168" i="16"/>
  <c r="AG167" i="16"/>
  <c r="AF167" i="16"/>
  <c r="AG166" i="16"/>
  <c r="AF166" i="16"/>
  <c r="AG165" i="16"/>
  <c r="AF165" i="16"/>
  <c r="AG164" i="16"/>
  <c r="AF164" i="16"/>
  <c r="AG163" i="16"/>
  <c r="AF163" i="16"/>
  <c r="AG162" i="16"/>
  <c r="AF162" i="16"/>
  <c r="AG161" i="16"/>
  <c r="AF161" i="16"/>
  <c r="AG160" i="16"/>
  <c r="AF160" i="16"/>
  <c r="AG159" i="16"/>
  <c r="AF159" i="16"/>
  <c r="AG158" i="16"/>
  <c r="AF158" i="16"/>
  <c r="AG157" i="16"/>
  <c r="AG156" i="16"/>
  <c r="AG155" i="16"/>
  <c r="AG154" i="16"/>
  <c r="AG153" i="16"/>
  <c r="AG152" i="16"/>
  <c r="AG151" i="16"/>
  <c r="AG150" i="16"/>
  <c r="AG149" i="16"/>
  <c r="AG148" i="16"/>
  <c r="AG147" i="16"/>
  <c r="AG146" i="16"/>
  <c r="AG145" i="16"/>
  <c r="AG144" i="16"/>
  <c r="AG143" i="16"/>
  <c r="AG142" i="16"/>
  <c r="AG141" i="16"/>
  <c r="AG140" i="16"/>
  <c r="AG139" i="16"/>
  <c r="AG138" i="16"/>
  <c r="AG137" i="16"/>
  <c r="AG136" i="16"/>
  <c r="AG135" i="16"/>
  <c r="AG134" i="16"/>
  <c r="AG133" i="16"/>
  <c r="AG132" i="16"/>
  <c r="AG131" i="16"/>
  <c r="AG130" i="16"/>
  <c r="AG129" i="16"/>
  <c r="AG128" i="16"/>
  <c r="AG127" i="16"/>
  <c r="AG126" i="16"/>
  <c r="AG125" i="16"/>
  <c r="AG124" i="16"/>
  <c r="AG123" i="16"/>
  <c r="AG122" i="16"/>
  <c r="AD121" i="16"/>
  <c r="AC121" i="16"/>
  <c r="AB121" i="16"/>
  <c r="AD120" i="16"/>
  <c r="AC120" i="16"/>
  <c r="AB120" i="16"/>
  <c r="AD119" i="16"/>
  <c r="AC119" i="16"/>
  <c r="AB119" i="16"/>
  <c r="AD118" i="16"/>
  <c r="AC118" i="16"/>
  <c r="AB118" i="16"/>
  <c r="AD117" i="16"/>
  <c r="AC117" i="16"/>
  <c r="AB117" i="16"/>
  <c r="AD116" i="16"/>
  <c r="AC116" i="16"/>
  <c r="AB116" i="16"/>
  <c r="AD115" i="16"/>
  <c r="AC115" i="16"/>
  <c r="AB115" i="16"/>
  <c r="AD114" i="16"/>
  <c r="AC114" i="16"/>
  <c r="AB114" i="16"/>
  <c r="AD113" i="16"/>
  <c r="AC113" i="16"/>
  <c r="AB113" i="16"/>
  <c r="AD112" i="16"/>
  <c r="AC112" i="16"/>
  <c r="AB112" i="16"/>
  <c r="AD111" i="16"/>
  <c r="AC111" i="16"/>
  <c r="AB111" i="16"/>
  <c r="AD110" i="16"/>
  <c r="AC110" i="16"/>
  <c r="AB110" i="16"/>
  <c r="AD109" i="16"/>
  <c r="AC109" i="16"/>
  <c r="AB109" i="16"/>
  <c r="AD108" i="16"/>
  <c r="AC108" i="16"/>
  <c r="AB108" i="16"/>
  <c r="AD107" i="16"/>
  <c r="AC107" i="16"/>
  <c r="AB107" i="16"/>
  <c r="AD106" i="16"/>
  <c r="AC106" i="16"/>
  <c r="AB106" i="16"/>
  <c r="AD105" i="16"/>
  <c r="AC105" i="16"/>
  <c r="AB105" i="16"/>
  <c r="AD104" i="16"/>
  <c r="AC104" i="16"/>
  <c r="AB104" i="16"/>
  <c r="AD103" i="16"/>
  <c r="AC103" i="16"/>
  <c r="AB103" i="16"/>
  <c r="AD102" i="16"/>
  <c r="AC102" i="16"/>
  <c r="AB102" i="16"/>
  <c r="AD101" i="16"/>
  <c r="AC101" i="16"/>
  <c r="AB101" i="16"/>
  <c r="AD100" i="16"/>
  <c r="AC100" i="16"/>
  <c r="AB100" i="16"/>
  <c r="AD99" i="16"/>
  <c r="AC99" i="16"/>
  <c r="AB99" i="16"/>
  <c r="AD98" i="16"/>
  <c r="AC98" i="16"/>
  <c r="AB98" i="16"/>
  <c r="AG97" i="16"/>
  <c r="AG96" i="16"/>
  <c r="AG95" i="16"/>
  <c r="AG94" i="16"/>
  <c r="AG93" i="16"/>
  <c r="AG92" i="16"/>
  <c r="AG91" i="16"/>
  <c r="AG90" i="16"/>
  <c r="AG89" i="16"/>
  <c r="AG88" i="16"/>
  <c r="AG87" i="16"/>
  <c r="AG86" i="16"/>
  <c r="AG85" i="16"/>
  <c r="AE85" i="16"/>
  <c r="AG84" i="16"/>
  <c r="AE84" i="16"/>
  <c r="AG83" i="16"/>
  <c r="AE83" i="16"/>
  <c r="AG82" i="16"/>
  <c r="AE82" i="16"/>
  <c r="AG81" i="16"/>
  <c r="AE81" i="16"/>
  <c r="AG80" i="16"/>
  <c r="AE80" i="16"/>
  <c r="AG79" i="16"/>
  <c r="AE79" i="16"/>
  <c r="AG78" i="16"/>
  <c r="AE78" i="16"/>
  <c r="AG77" i="16"/>
  <c r="AE77" i="16"/>
  <c r="AG76" i="16"/>
  <c r="AE76" i="16"/>
  <c r="AG75" i="16"/>
  <c r="AE75" i="16"/>
  <c r="AG74" i="16"/>
  <c r="AE74" i="16"/>
  <c r="AG73" i="16"/>
  <c r="AG72" i="16"/>
  <c r="AG71" i="16"/>
  <c r="AG70" i="16"/>
  <c r="AG69" i="16"/>
  <c r="AG68" i="16"/>
  <c r="AG67" i="16"/>
  <c r="AG66" i="16"/>
  <c r="AG65" i="16"/>
  <c r="AG64" i="16"/>
  <c r="AG63" i="16"/>
  <c r="AG62" i="16"/>
  <c r="AG61" i="16"/>
  <c r="AG60" i="16"/>
  <c r="AG59" i="16"/>
  <c r="AG58" i="16"/>
  <c r="AG57" i="16"/>
  <c r="AG56" i="16"/>
  <c r="AG55" i="16"/>
  <c r="AG54" i="16"/>
  <c r="AG53" i="16"/>
  <c r="AG52" i="16"/>
  <c r="AG51" i="16"/>
  <c r="AG50" i="16"/>
  <c r="AG49" i="16"/>
  <c r="AE49" i="16"/>
  <c r="AG48" i="16"/>
  <c r="AE48" i="16"/>
  <c r="AG47" i="16"/>
  <c r="AE47" i="16"/>
  <c r="AG46" i="16"/>
  <c r="AE46" i="16"/>
  <c r="AG45" i="16"/>
  <c r="AE45" i="16"/>
  <c r="AG44" i="16"/>
  <c r="AE44" i="16"/>
  <c r="AG43" i="16"/>
  <c r="AE43" i="16"/>
  <c r="AG42" i="16"/>
  <c r="AE42" i="16"/>
  <c r="AG41" i="16"/>
  <c r="AE41" i="16"/>
  <c r="AG40" i="16"/>
  <c r="AE40" i="16"/>
  <c r="AG39" i="16"/>
  <c r="AE39" i="16"/>
  <c r="AG38" i="16"/>
  <c r="AE38" i="16"/>
  <c r="AG37" i="16"/>
  <c r="AG36" i="16"/>
  <c r="AG35" i="16"/>
  <c r="AG34" i="16"/>
  <c r="AG33" i="16"/>
  <c r="AG32" i="16"/>
  <c r="AG31" i="16"/>
  <c r="AG30" i="16"/>
  <c r="AG29" i="16"/>
  <c r="AG28" i="16"/>
  <c r="AG27" i="16"/>
  <c r="AG26" i="16"/>
  <c r="X2285" i="16"/>
  <c r="AD2285" i="16" s="1"/>
  <c r="W2285" i="16"/>
  <c r="AC2285" i="16" s="1"/>
  <c r="V2285" i="16"/>
  <c r="AB2285" i="16" s="1"/>
  <c r="X2284" i="16"/>
  <c r="AD2284" i="16" s="1"/>
  <c r="W2284" i="16"/>
  <c r="AC2284" i="16" s="1"/>
  <c r="V2284" i="16"/>
  <c r="AB2284" i="16" s="1"/>
  <c r="X2283" i="16"/>
  <c r="AD2283" i="16" s="1"/>
  <c r="W2283" i="16"/>
  <c r="AC2283" i="16" s="1"/>
  <c r="V2283" i="16"/>
  <c r="AB2283" i="16" s="1"/>
  <c r="X2282" i="16"/>
  <c r="AD2282" i="16" s="1"/>
  <c r="W2282" i="16"/>
  <c r="AC2282" i="16" s="1"/>
  <c r="V2282" i="16"/>
  <c r="AB2282" i="16" s="1"/>
  <c r="X2281" i="16"/>
  <c r="AD2281" i="16" s="1"/>
  <c r="W2281" i="16"/>
  <c r="AC2281" i="16" s="1"/>
  <c r="V2281" i="16"/>
  <c r="AB2281" i="16" s="1"/>
  <c r="X2280" i="16"/>
  <c r="AD2280" i="16" s="1"/>
  <c r="W2280" i="16"/>
  <c r="AC2280" i="16" s="1"/>
  <c r="V2280" i="16"/>
  <c r="AB2280" i="16" s="1"/>
  <c r="X2279" i="16"/>
  <c r="AD2279" i="16" s="1"/>
  <c r="W2279" i="16"/>
  <c r="AC2279" i="16" s="1"/>
  <c r="V2279" i="16"/>
  <c r="AB2279" i="16" s="1"/>
  <c r="X2278" i="16"/>
  <c r="AD2278" i="16" s="1"/>
  <c r="W2278" i="16"/>
  <c r="AC2278" i="16" s="1"/>
  <c r="V2278" i="16"/>
  <c r="AB2278" i="16" s="1"/>
  <c r="X2277" i="16"/>
  <c r="AD2277" i="16" s="1"/>
  <c r="W2277" i="16"/>
  <c r="AC2277" i="16" s="1"/>
  <c r="V2277" i="16"/>
  <c r="AB2277" i="16" s="1"/>
  <c r="X2276" i="16"/>
  <c r="AD2276" i="16" s="1"/>
  <c r="W2276" i="16"/>
  <c r="AC2276" i="16" s="1"/>
  <c r="V2276" i="16"/>
  <c r="AB2276" i="16" s="1"/>
  <c r="X2275" i="16"/>
  <c r="AD2275" i="16" s="1"/>
  <c r="W2275" i="16"/>
  <c r="AC2275" i="16" s="1"/>
  <c r="V2275" i="16"/>
  <c r="AB2275" i="16" s="1"/>
  <c r="X2274" i="16"/>
  <c r="AD2274" i="16" s="1"/>
  <c r="W2274" i="16"/>
  <c r="AC2274" i="16" s="1"/>
  <c r="V2274" i="16"/>
  <c r="AB2274" i="16" s="1"/>
  <c r="X2273" i="16"/>
  <c r="AD2273" i="16" s="1"/>
  <c r="W2273" i="16"/>
  <c r="AC2273" i="16" s="1"/>
  <c r="V2273" i="16"/>
  <c r="AB2273" i="16" s="1"/>
  <c r="X2272" i="16"/>
  <c r="AD2272" i="16" s="1"/>
  <c r="W2272" i="16"/>
  <c r="AC2272" i="16" s="1"/>
  <c r="V2272" i="16"/>
  <c r="AB2272" i="16" s="1"/>
  <c r="X2271" i="16"/>
  <c r="AD2271" i="16" s="1"/>
  <c r="AO9" i="16" s="1"/>
  <c r="W2271" i="16"/>
  <c r="AC2271" i="16" s="1"/>
  <c r="V2271" i="16"/>
  <c r="AB2271" i="16" s="1"/>
  <c r="V2270" i="16"/>
  <c r="AB2270" i="16" s="1"/>
  <c r="V2269" i="16"/>
  <c r="AB2269" i="16" s="1"/>
  <c r="V2268" i="16"/>
  <c r="AB2268" i="16" s="1"/>
  <c r="V2267" i="16"/>
  <c r="AB2267" i="16" s="1"/>
  <c r="V2266" i="16"/>
  <c r="AB2266" i="16" s="1"/>
  <c r="V2265" i="16"/>
  <c r="AB2265" i="16" s="1"/>
  <c r="V2264" i="16"/>
  <c r="AB2264" i="16" s="1"/>
  <c r="V2263" i="16"/>
  <c r="AB2263" i="16" s="1"/>
  <c r="V2262" i="16"/>
  <c r="AB2262" i="16" s="1"/>
  <c r="V2261" i="16"/>
  <c r="AB2261" i="16" s="1"/>
  <c r="V2260" i="16"/>
  <c r="AB2260" i="16" s="1"/>
  <c r="V2259" i="16"/>
  <c r="AB2259" i="16" s="1"/>
  <c r="V2258" i="16"/>
  <c r="AB2258" i="16" s="1"/>
  <c r="V2257" i="16"/>
  <c r="AB2257" i="16" s="1"/>
  <c r="V2256" i="16"/>
  <c r="AB2256" i="16" s="1"/>
  <c r="V2255" i="16"/>
  <c r="AB2255" i="16" s="1"/>
  <c r="X2254" i="16"/>
  <c r="AD2254" i="16" s="1"/>
  <c r="W2254" i="16"/>
  <c r="AC2254" i="16" s="1"/>
  <c r="V2254" i="16"/>
  <c r="AB2254" i="16" s="1"/>
  <c r="X2253" i="16"/>
  <c r="AD2253" i="16" s="1"/>
  <c r="W2253" i="16"/>
  <c r="AC2253" i="16" s="1"/>
  <c r="V2253" i="16"/>
  <c r="AB2253" i="16" s="1"/>
  <c r="X2252" i="16"/>
  <c r="AD2252" i="16" s="1"/>
  <c r="W2252" i="16"/>
  <c r="AC2252" i="16" s="1"/>
  <c r="V2252" i="16"/>
  <c r="AB2252" i="16" s="1"/>
  <c r="X2251" i="16"/>
  <c r="AD2251" i="16" s="1"/>
  <c r="W2251" i="16"/>
  <c r="AC2251" i="16" s="1"/>
  <c r="V2251" i="16"/>
  <c r="AB2251" i="16" s="1"/>
  <c r="X2250" i="16"/>
  <c r="AD2250" i="16" s="1"/>
  <c r="W2250" i="16"/>
  <c r="AC2250" i="16" s="1"/>
  <c r="V2250" i="16"/>
  <c r="AB2250" i="16" s="1"/>
  <c r="X2249" i="16"/>
  <c r="AD2249" i="16" s="1"/>
  <c r="W2249" i="16"/>
  <c r="AC2249" i="16" s="1"/>
  <c r="V2249" i="16"/>
  <c r="AB2249" i="16" s="1"/>
  <c r="X2248" i="16"/>
  <c r="AD2248" i="16" s="1"/>
  <c r="W2248" i="16"/>
  <c r="AC2248" i="16" s="1"/>
  <c r="V2248" i="16"/>
  <c r="AB2248" i="16" s="1"/>
  <c r="X2247" i="16"/>
  <c r="AD2247" i="16" s="1"/>
  <c r="W2247" i="16"/>
  <c r="AC2247" i="16" s="1"/>
  <c r="V2247" i="16"/>
  <c r="AB2247" i="16" s="1"/>
  <c r="X2246" i="16"/>
  <c r="AD2246" i="16" s="1"/>
  <c r="W2246" i="16"/>
  <c r="AC2246" i="16" s="1"/>
  <c r="V2246" i="16"/>
  <c r="AB2246" i="16" s="1"/>
  <c r="X2245" i="16"/>
  <c r="AD2245" i="16" s="1"/>
  <c r="W2245" i="16"/>
  <c r="AC2245" i="16" s="1"/>
  <c r="V2245" i="16"/>
  <c r="AB2245" i="16" s="1"/>
  <c r="X2244" i="16"/>
  <c r="AD2244" i="16" s="1"/>
  <c r="W2244" i="16"/>
  <c r="AC2244" i="16" s="1"/>
  <c r="V2244" i="16"/>
  <c r="AB2244" i="16" s="1"/>
  <c r="X2243" i="16"/>
  <c r="AD2243" i="16" s="1"/>
  <c r="W2243" i="16"/>
  <c r="AC2243" i="16" s="1"/>
  <c r="V2243" i="16"/>
  <c r="AB2243" i="16" s="1"/>
  <c r="X2242" i="16"/>
  <c r="AD2242" i="16" s="1"/>
  <c r="W2242" i="16"/>
  <c r="AC2242" i="16" s="1"/>
  <c r="V2242" i="16"/>
  <c r="AB2242" i="16" s="1"/>
  <c r="X2241" i="16"/>
  <c r="AD2241" i="16" s="1"/>
  <c r="W2241" i="16"/>
  <c r="AC2241" i="16" s="1"/>
  <c r="V2241" i="16"/>
  <c r="AB2241" i="16" s="1"/>
  <c r="X2240" i="16"/>
  <c r="AD2240" i="16" s="1"/>
  <c r="W2240" i="16"/>
  <c r="AC2240" i="16" s="1"/>
  <c r="V2240" i="16"/>
  <c r="AB2240" i="16" s="1"/>
  <c r="X2239" i="16"/>
  <c r="AD2239" i="16" s="1"/>
  <c r="W2239" i="16"/>
  <c r="AC2239" i="16" s="1"/>
  <c r="V2239" i="16"/>
  <c r="AB2239" i="16" s="1"/>
  <c r="X2238" i="16"/>
  <c r="AD2238" i="16" s="1"/>
  <c r="W2238" i="16"/>
  <c r="AC2238" i="16" s="1"/>
  <c r="V2238" i="16"/>
  <c r="AB2238" i="16" s="1"/>
  <c r="X2237" i="16"/>
  <c r="AD2237" i="16" s="1"/>
  <c r="W2237" i="16"/>
  <c r="AC2237" i="16" s="1"/>
  <c r="V2237" i="16"/>
  <c r="AB2237" i="16" s="1"/>
  <c r="X2236" i="16"/>
  <c r="AD2236" i="16" s="1"/>
  <c r="W2236" i="16"/>
  <c r="AC2236" i="16" s="1"/>
  <c r="V2236" i="16"/>
  <c r="AB2236" i="16" s="1"/>
  <c r="X2235" i="16"/>
  <c r="AD2235" i="16" s="1"/>
  <c r="W2235" i="16"/>
  <c r="AC2235" i="16" s="1"/>
  <c r="V2235" i="16"/>
  <c r="AB2235" i="16" s="1"/>
  <c r="X2234" i="16"/>
  <c r="AD2234" i="16" s="1"/>
  <c r="W2234" i="16"/>
  <c r="AC2234" i="16" s="1"/>
  <c r="V2234" i="16"/>
  <c r="AB2234" i="16" s="1"/>
  <c r="X2233" i="16"/>
  <c r="AD2233" i="16" s="1"/>
  <c r="W2233" i="16"/>
  <c r="AC2233" i="16" s="1"/>
  <c r="V2233" i="16"/>
  <c r="AB2233" i="16" s="1"/>
  <c r="X2232" i="16"/>
  <c r="AD2232" i="16" s="1"/>
  <c r="W2232" i="16"/>
  <c r="AC2232" i="16" s="1"/>
  <c r="V2232" i="16"/>
  <c r="AB2232" i="16" s="1"/>
  <c r="X2231" i="16"/>
  <c r="AD2231" i="16" s="1"/>
  <c r="W2231" i="16"/>
  <c r="AC2231" i="16" s="1"/>
  <c r="V2231" i="16"/>
  <c r="AB2231" i="16" s="1"/>
  <c r="X2230" i="16"/>
  <c r="AD2230" i="16" s="1"/>
  <c r="W2230" i="16"/>
  <c r="AC2230" i="16" s="1"/>
  <c r="V2230" i="16"/>
  <c r="AB2230" i="16" s="1"/>
  <c r="X2229" i="16"/>
  <c r="AD2229" i="16" s="1"/>
  <c r="W2229" i="16"/>
  <c r="AC2229" i="16" s="1"/>
  <c r="V2229" i="16"/>
  <c r="AB2229" i="16" s="1"/>
  <c r="X2228" i="16"/>
  <c r="AD2228" i="16" s="1"/>
  <c r="W2228" i="16"/>
  <c r="AC2228" i="16" s="1"/>
  <c r="V2228" i="16"/>
  <c r="AB2228" i="16" s="1"/>
  <c r="X2227" i="16"/>
  <c r="AD2227" i="16" s="1"/>
  <c r="W2227" i="16"/>
  <c r="AC2227" i="16" s="1"/>
  <c r="V2227" i="16"/>
  <c r="AB2227" i="16" s="1"/>
  <c r="X2226" i="16"/>
  <c r="AD2226" i="16" s="1"/>
  <c r="W2226" i="16"/>
  <c r="AC2226" i="16" s="1"/>
  <c r="V2226" i="16"/>
  <c r="AB2226" i="16" s="1"/>
  <c r="X2225" i="16"/>
  <c r="AD2225" i="16" s="1"/>
  <c r="W2225" i="16"/>
  <c r="AC2225" i="16" s="1"/>
  <c r="V2225" i="16"/>
  <c r="AB2225" i="16" s="1"/>
  <c r="X2224" i="16"/>
  <c r="AD2224" i="16" s="1"/>
  <c r="W2224" i="16"/>
  <c r="AC2224" i="16" s="1"/>
  <c r="V2224" i="16"/>
  <c r="AB2224" i="16" s="1"/>
  <c r="X2223" i="16"/>
  <c r="AD2223" i="16" s="1"/>
  <c r="W2223" i="16"/>
  <c r="AC2223" i="16" s="1"/>
  <c r="V2223" i="16"/>
  <c r="AB2223" i="16" s="1"/>
  <c r="X2222" i="16"/>
  <c r="AD2222" i="16" s="1"/>
  <c r="W2222" i="16"/>
  <c r="AC2222" i="16" s="1"/>
  <c r="V2222" i="16"/>
  <c r="AB2222" i="16" s="1"/>
  <c r="X2221" i="16"/>
  <c r="AD2221" i="16" s="1"/>
  <c r="W2221" i="16"/>
  <c r="AC2221" i="16" s="1"/>
  <c r="V2221" i="16"/>
  <c r="AB2221" i="16" s="1"/>
  <c r="X2220" i="16"/>
  <c r="AD2220" i="16" s="1"/>
  <c r="W2220" i="16"/>
  <c r="AC2220" i="16" s="1"/>
  <c r="V2220" i="16"/>
  <c r="AB2220" i="16" s="1"/>
  <c r="X2219" i="16"/>
  <c r="AD2219" i="16" s="1"/>
  <c r="W2219" i="16"/>
  <c r="AC2219" i="16" s="1"/>
  <c r="V2219" i="16"/>
  <c r="AB2219" i="16" s="1"/>
  <c r="X2218" i="16"/>
  <c r="AD2218" i="16" s="1"/>
  <c r="W2218" i="16"/>
  <c r="AC2218" i="16" s="1"/>
  <c r="V2218" i="16"/>
  <c r="AB2218" i="16" s="1"/>
  <c r="X2217" i="16"/>
  <c r="AD2217" i="16" s="1"/>
  <c r="W2217" i="16"/>
  <c r="AC2217" i="16" s="1"/>
  <c r="V2217" i="16"/>
  <c r="AB2217" i="16" s="1"/>
  <c r="X2216" i="16"/>
  <c r="AD2216" i="16" s="1"/>
  <c r="W2216" i="16"/>
  <c r="AC2216" i="16" s="1"/>
  <c r="V2216" i="16"/>
  <c r="AB2216" i="16" s="1"/>
  <c r="X2215" i="16"/>
  <c r="AD2215" i="16" s="1"/>
  <c r="W2215" i="16"/>
  <c r="AC2215" i="16" s="1"/>
  <c r="V2215" i="16"/>
  <c r="AB2215" i="16" s="1"/>
  <c r="X2214" i="16"/>
  <c r="AD2214" i="16" s="1"/>
  <c r="W2214" i="16"/>
  <c r="AC2214" i="16" s="1"/>
  <c r="V2214" i="16"/>
  <c r="AB2214" i="16" s="1"/>
  <c r="X2213" i="16"/>
  <c r="AD2213" i="16" s="1"/>
  <c r="W2213" i="16"/>
  <c r="AC2213" i="16" s="1"/>
  <c r="V2213" i="16"/>
  <c r="AB2213" i="16" s="1"/>
  <c r="X2212" i="16"/>
  <c r="AD2212" i="16" s="1"/>
  <c r="W2212" i="16"/>
  <c r="AC2212" i="16" s="1"/>
  <c r="V2212" i="16"/>
  <c r="AB2212" i="16" s="1"/>
  <c r="X2211" i="16"/>
  <c r="AD2211" i="16" s="1"/>
  <c r="W2211" i="16"/>
  <c r="AC2211" i="16" s="1"/>
  <c r="V2211" i="16"/>
  <c r="AB2211" i="16" s="1"/>
  <c r="X2210" i="16"/>
  <c r="AD2210" i="16" s="1"/>
  <c r="W2210" i="16"/>
  <c r="AC2210" i="16" s="1"/>
  <c r="V2210" i="16"/>
  <c r="AB2210" i="16" s="1"/>
  <c r="X2209" i="16"/>
  <c r="AD2209" i="16" s="1"/>
  <c r="W2209" i="16"/>
  <c r="AC2209" i="16" s="1"/>
  <c r="V2209" i="16"/>
  <c r="AB2209" i="16" s="1"/>
  <c r="X2208" i="16"/>
  <c r="AD2208" i="16" s="1"/>
  <c r="W2208" i="16"/>
  <c r="AC2208" i="16" s="1"/>
  <c r="V2208" i="16"/>
  <c r="AB2208" i="16" s="1"/>
  <c r="X2207" i="16"/>
  <c r="AD2207" i="16" s="1"/>
  <c r="W2207" i="16"/>
  <c r="AC2207" i="16" s="1"/>
  <c r="V2207" i="16"/>
  <c r="AB2207" i="16" s="1"/>
  <c r="X2206" i="16"/>
  <c r="AD2206" i="16" s="1"/>
  <c r="W2206" i="16"/>
  <c r="AC2206" i="16" s="1"/>
  <c r="V2206" i="16"/>
  <c r="AB2206" i="16" s="1"/>
  <c r="X2205" i="16"/>
  <c r="AD2205" i="16" s="1"/>
  <c r="W2205" i="16"/>
  <c r="AC2205" i="16" s="1"/>
  <c r="V2205" i="16"/>
  <c r="AB2205" i="16" s="1"/>
  <c r="X2204" i="16"/>
  <c r="AD2204" i="16" s="1"/>
  <c r="W2204" i="16"/>
  <c r="AC2204" i="16" s="1"/>
  <c r="V2204" i="16"/>
  <c r="AB2204" i="16" s="1"/>
  <c r="X2203" i="16"/>
  <c r="AD2203" i="16" s="1"/>
  <c r="W2203" i="16"/>
  <c r="AC2203" i="16" s="1"/>
  <c r="V2203" i="16"/>
  <c r="AB2203" i="16" s="1"/>
  <c r="X2202" i="16"/>
  <c r="AD2202" i="16" s="1"/>
  <c r="W2202" i="16"/>
  <c r="AC2202" i="16" s="1"/>
  <c r="V2202" i="16"/>
  <c r="AB2202" i="16" s="1"/>
  <c r="X2201" i="16"/>
  <c r="AD2201" i="16" s="1"/>
  <c r="W2201" i="16"/>
  <c r="AC2201" i="16" s="1"/>
  <c r="V2201" i="16"/>
  <c r="AB2201" i="16" s="1"/>
  <c r="X2200" i="16"/>
  <c r="AD2200" i="16" s="1"/>
  <c r="W2200" i="16"/>
  <c r="AC2200" i="16" s="1"/>
  <c r="V2200" i="16"/>
  <c r="AB2200" i="16" s="1"/>
  <c r="X2199" i="16"/>
  <c r="AD2199" i="16" s="1"/>
  <c r="W2199" i="16"/>
  <c r="AC2199" i="16" s="1"/>
  <c r="V2199" i="16"/>
  <c r="AB2199" i="16" s="1"/>
  <c r="X2198" i="16"/>
  <c r="AD2198" i="16" s="1"/>
  <c r="W2198" i="16"/>
  <c r="AC2198" i="16" s="1"/>
  <c r="V2198" i="16"/>
  <c r="AB2198" i="16" s="1"/>
  <c r="X2197" i="16"/>
  <c r="AD2197" i="16" s="1"/>
  <c r="W2197" i="16"/>
  <c r="AC2197" i="16" s="1"/>
  <c r="V2197" i="16"/>
  <c r="AB2197" i="16" s="1"/>
  <c r="X2196" i="16"/>
  <c r="AD2196" i="16" s="1"/>
  <c r="W2196" i="16"/>
  <c r="AC2196" i="16" s="1"/>
  <c r="V2196" i="16"/>
  <c r="AB2196" i="16" s="1"/>
  <c r="X2195" i="16"/>
  <c r="AD2195" i="16" s="1"/>
  <c r="W2195" i="16"/>
  <c r="AC2195" i="16" s="1"/>
  <c r="V2195" i="16"/>
  <c r="AB2195" i="16" s="1"/>
  <c r="X2194" i="16"/>
  <c r="AD2194" i="16" s="1"/>
  <c r="W2194" i="16"/>
  <c r="AC2194" i="16" s="1"/>
  <c r="V2194" i="16"/>
  <c r="AB2194" i="16" s="1"/>
  <c r="X2193" i="16"/>
  <c r="AD2193" i="16" s="1"/>
  <c r="W2193" i="16"/>
  <c r="AC2193" i="16" s="1"/>
  <c r="V2193" i="16"/>
  <c r="AB2193" i="16" s="1"/>
  <c r="X2192" i="16"/>
  <c r="AD2192" i="16" s="1"/>
  <c r="W2192" i="16"/>
  <c r="AC2192" i="16" s="1"/>
  <c r="V2192" i="16"/>
  <c r="AB2192" i="16" s="1"/>
  <c r="X2191" i="16"/>
  <c r="AD2191" i="16" s="1"/>
  <c r="W2191" i="16"/>
  <c r="AC2191" i="16" s="1"/>
  <c r="V2191" i="16"/>
  <c r="AB2191" i="16" s="1"/>
  <c r="X2190" i="16"/>
  <c r="AD2190" i="16" s="1"/>
  <c r="W2190" i="16"/>
  <c r="AC2190" i="16" s="1"/>
  <c r="V2190" i="16"/>
  <c r="AB2190" i="16" s="1"/>
  <c r="X2189" i="16"/>
  <c r="AD2189" i="16" s="1"/>
  <c r="W2189" i="16"/>
  <c r="AC2189" i="16" s="1"/>
  <c r="V2189" i="16"/>
  <c r="AB2189" i="16" s="1"/>
  <c r="X2188" i="16"/>
  <c r="AD2188" i="16" s="1"/>
  <c r="W2188" i="16"/>
  <c r="AC2188" i="16" s="1"/>
  <c r="V2188" i="16"/>
  <c r="AB2188" i="16" s="1"/>
  <c r="X2187" i="16"/>
  <c r="AD2187" i="16" s="1"/>
  <c r="W2187" i="16"/>
  <c r="AC2187" i="16" s="1"/>
  <c r="V2187" i="16"/>
  <c r="AB2187" i="16" s="1"/>
  <c r="X2186" i="16"/>
  <c r="AD2186" i="16" s="1"/>
  <c r="W2186" i="16"/>
  <c r="AC2186" i="16" s="1"/>
  <c r="V2186" i="16"/>
  <c r="AB2186" i="16" s="1"/>
  <c r="X2185" i="16"/>
  <c r="AD2185" i="16" s="1"/>
  <c r="W2185" i="16"/>
  <c r="AC2185" i="16" s="1"/>
  <c r="V2185" i="16"/>
  <c r="AB2185" i="16" s="1"/>
  <c r="X2184" i="16"/>
  <c r="AD2184" i="16" s="1"/>
  <c r="W2184" i="16"/>
  <c r="AC2184" i="16" s="1"/>
  <c r="V2184" i="16"/>
  <c r="AB2184" i="16" s="1"/>
  <c r="X2183" i="16"/>
  <c r="AD2183" i="16" s="1"/>
  <c r="W2183" i="16"/>
  <c r="AC2183" i="16" s="1"/>
  <c r="V2183" i="16"/>
  <c r="AB2183" i="16" s="1"/>
  <c r="X2182" i="16"/>
  <c r="AD2182" i="16" s="1"/>
  <c r="W2182" i="16"/>
  <c r="AC2182" i="16" s="1"/>
  <c r="V2182" i="16"/>
  <c r="AB2182" i="16" s="1"/>
  <c r="X2181" i="16"/>
  <c r="AD2181" i="16" s="1"/>
  <c r="W2181" i="16"/>
  <c r="AC2181" i="16" s="1"/>
  <c r="V2181" i="16"/>
  <c r="AB2181" i="16" s="1"/>
  <c r="X2180" i="16"/>
  <c r="AD2180" i="16" s="1"/>
  <c r="W2180" i="16"/>
  <c r="AC2180" i="16" s="1"/>
  <c r="V2180" i="16"/>
  <c r="AB2180" i="16" s="1"/>
  <c r="X2179" i="16"/>
  <c r="AD2179" i="16" s="1"/>
  <c r="W2179" i="16"/>
  <c r="AC2179" i="16" s="1"/>
  <c r="V2179" i="16"/>
  <c r="AB2179" i="16" s="1"/>
  <c r="X2178" i="16"/>
  <c r="AD2178" i="16" s="1"/>
  <c r="W2178" i="16"/>
  <c r="AC2178" i="16" s="1"/>
  <c r="V2178" i="16"/>
  <c r="AB2178" i="16" s="1"/>
  <c r="X2177" i="16"/>
  <c r="AD2177" i="16" s="1"/>
  <c r="W2177" i="16"/>
  <c r="AC2177" i="16" s="1"/>
  <c r="V2177" i="16"/>
  <c r="AB2177" i="16" s="1"/>
  <c r="X2176" i="16"/>
  <c r="AD2176" i="16" s="1"/>
  <c r="W2176" i="16"/>
  <c r="AC2176" i="16" s="1"/>
  <c r="V2176" i="16"/>
  <c r="AB2176" i="16" s="1"/>
  <c r="X2175" i="16"/>
  <c r="AD2175" i="16" s="1"/>
  <c r="W2175" i="16"/>
  <c r="AC2175" i="16" s="1"/>
  <c r="V2175" i="16"/>
  <c r="AB2175" i="16" s="1"/>
  <c r="X2174" i="16"/>
  <c r="AD2174" i="16" s="1"/>
  <c r="W2174" i="16"/>
  <c r="AC2174" i="16" s="1"/>
  <c r="V2174" i="16"/>
  <c r="AB2174" i="16" s="1"/>
  <c r="X2173" i="16"/>
  <c r="AD2173" i="16" s="1"/>
  <c r="W2173" i="16"/>
  <c r="AC2173" i="16" s="1"/>
  <c r="V2173" i="16"/>
  <c r="AB2173" i="16" s="1"/>
  <c r="X2172" i="16"/>
  <c r="AD2172" i="16" s="1"/>
  <c r="W2172" i="16"/>
  <c r="AC2172" i="16" s="1"/>
  <c r="V2172" i="16"/>
  <c r="AB2172" i="16" s="1"/>
  <c r="X2171" i="16"/>
  <c r="AD2171" i="16" s="1"/>
  <c r="W2171" i="16"/>
  <c r="AC2171" i="16" s="1"/>
  <c r="V2171" i="16"/>
  <c r="AB2171" i="16" s="1"/>
  <c r="X2170" i="16"/>
  <c r="AD2170" i="16" s="1"/>
  <c r="W2170" i="16"/>
  <c r="AC2170" i="16" s="1"/>
  <c r="V2170" i="16"/>
  <c r="AB2170" i="16" s="1"/>
  <c r="X2169" i="16"/>
  <c r="AD2169" i="16" s="1"/>
  <c r="W2169" i="16"/>
  <c r="AC2169" i="16" s="1"/>
  <c r="V2169" i="16"/>
  <c r="AB2169" i="16" s="1"/>
  <c r="X2168" i="16"/>
  <c r="AD2168" i="16" s="1"/>
  <c r="W2168" i="16"/>
  <c r="AC2168" i="16" s="1"/>
  <c r="V2168" i="16"/>
  <c r="AB2168" i="16" s="1"/>
  <c r="X2167" i="16"/>
  <c r="AD2167" i="16" s="1"/>
  <c r="W2167" i="16"/>
  <c r="AC2167" i="16" s="1"/>
  <c r="V2167" i="16"/>
  <c r="AB2167" i="16" s="1"/>
  <c r="X2166" i="16"/>
  <c r="AD2166" i="16" s="1"/>
  <c r="W2166" i="16"/>
  <c r="AC2166" i="16" s="1"/>
  <c r="V2166" i="16"/>
  <c r="AB2166" i="16" s="1"/>
  <c r="X2165" i="16"/>
  <c r="AD2165" i="16" s="1"/>
  <c r="W2165" i="16"/>
  <c r="AC2165" i="16" s="1"/>
  <c r="V2165" i="16"/>
  <c r="AB2165" i="16" s="1"/>
  <c r="X2164" i="16"/>
  <c r="AD2164" i="16" s="1"/>
  <c r="W2164" i="16"/>
  <c r="AC2164" i="16" s="1"/>
  <c r="V2164" i="16"/>
  <c r="AB2164" i="16" s="1"/>
  <c r="X2163" i="16"/>
  <c r="AD2163" i="16" s="1"/>
  <c r="W2163" i="16"/>
  <c r="AC2163" i="16" s="1"/>
  <c r="V2163" i="16"/>
  <c r="AB2163" i="16" s="1"/>
  <c r="X2162" i="16"/>
  <c r="AD2162" i="16" s="1"/>
  <c r="W2162" i="16"/>
  <c r="AC2162" i="16" s="1"/>
  <c r="V2162" i="16"/>
  <c r="AB2162" i="16" s="1"/>
  <c r="X2161" i="16"/>
  <c r="AD2161" i="16" s="1"/>
  <c r="W2161" i="16"/>
  <c r="AC2161" i="16" s="1"/>
  <c r="V2161" i="16"/>
  <c r="AB2161" i="16" s="1"/>
  <c r="X2160" i="16"/>
  <c r="AD2160" i="16" s="1"/>
  <c r="W2160" i="16"/>
  <c r="AC2160" i="16" s="1"/>
  <c r="V2160" i="16"/>
  <c r="AB2160" i="16" s="1"/>
  <c r="X2159" i="16"/>
  <c r="AD2159" i="16" s="1"/>
  <c r="W2159" i="16"/>
  <c r="AC2159" i="16" s="1"/>
  <c r="V2159" i="16"/>
  <c r="AB2159" i="16" s="1"/>
  <c r="X2158" i="16"/>
  <c r="AD2158" i="16" s="1"/>
  <c r="W2158" i="16"/>
  <c r="AC2158" i="16" s="1"/>
  <c r="V2158" i="16"/>
  <c r="AB2158" i="16" s="1"/>
  <c r="X2157" i="16"/>
  <c r="AD2157" i="16" s="1"/>
  <c r="W2157" i="16"/>
  <c r="AC2157" i="16" s="1"/>
  <c r="V2157" i="16"/>
  <c r="AB2157" i="16" s="1"/>
  <c r="X2156" i="16"/>
  <c r="AD2156" i="16" s="1"/>
  <c r="W2156" i="16"/>
  <c r="AC2156" i="16" s="1"/>
  <c r="V2156" i="16"/>
  <c r="AB2156" i="16" s="1"/>
  <c r="X2155" i="16"/>
  <c r="AD2155" i="16" s="1"/>
  <c r="W2155" i="16"/>
  <c r="AC2155" i="16" s="1"/>
  <c r="V2155" i="16"/>
  <c r="AB2155" i="16" s="1"/>
  <c r="X2154" i="16"/>
  <c r="AD2154" i="16" s="1"/>
  <c r="W2154" i="16"/>
  <c r="AC2154" i="16" s="1"/>
  <c r="V2154" i="16"/>
  <c r="AB2154" i="16" s="1"/>
  <c r="X2153" i="16"/>
  <c r="AD2153" i="16" s="1"/>
  <c r="W2153" i="16"/>
  <c r="AC2153" i="16" s="1"/>
  <c r="V2153" i="16"/>
  <c r="AB2153" i="16" s="1"/>
  <c r="X2152" i="16"/>
  <c r="AD2152" i="16" s="1"/>
  <c r="W2152" i="16"/>
  <c r="AC2152" i="16" s="1"/>
  <c r="V2152" i="16"/>
  <c r="AB2152" i="16" s="1"/>
  <c r="X2151" i="16"/>
  <c r="AD2151" i="16" s="1"/>
  <c r="W2151" i="16"/>
  <c r="AC2151" i="16" s="1"/>
  <c r="V2151" i="16"/>
  <c r="AB2151" i="16" s="1"/>
  <c r="X2150" i="16"/>
  <c r="AD2150" i="16" s="1"/>
  <c r="W2150" i="16"/>
  <c r="AC2150" i="16" s="1"/>
  <c r="V2150" i="16"/>
  <c r="AB2150" i="16" s="1"/>
  <c r="X2149" i="16"/>
  <c r="AD2149" i="16" s="1"/>
  <c r="W2149" i="16"/>
  <c r="AC2149" i="16" s="1"/>
  <c r="V2149" i="16"/>
  <c r="AB2149" i="16" s="1"/>
  <c r="X2148" i="16"/>
  <c r="AD2148" i="16" s="1"/>
  <c r="W2148" i="16"/>
  <c r="AC2148" i="16" s="1"/>
  <c r="V2148" i="16"/>
  <c r="AB2148" i="16" s="1"/>
  <c r="X2147" i="16"/>
  <c r="AD2147" i="16" s="1"/>
  <c r="W2147" i="16"/>
  <c r="AC2147" i="16" s="1"/>
  <c r="V2147" i="16"/>
  <c r="AB2147" i="16" s="1"/>
  <c r="X2146" i="16"/>
  <c r="AD2146" i="16" s="1"/>
  <c r="W2146" i="16"/>
  <c r="AC2146" i="16" s="1"/>
  <c r="V2146" i="16"/>
  <c r="AB2146" i="16" s="1"/>
  <c r="X2145" i="16"/>
  <c r="AD2145" i="16" s="1"/>
  <c r="W2145" i="16"/>
  <c r="AC2145" i="16" s="1"/>
  <c r="V2145" i="16"/>
  <c r="AB2145" i="16" s="1"/>
  <c r="X2144" i="16"/>
  <c r="AD2144" i="16" s="1"/>
  <c r="W2144" i="16"/>
  <c r="AC2144" i="16" s="1"/>
  <c r="V2144" i="16"/>
  <c r="AB2144" i="16" s="1"/>
  <c r="X2143" i="16"/>
  <c r="AD2143" i="16" s="1"/>
  <c r="W2143" i="16"/>
  <c r="AC2143" i="16" s="1"/>
  <c r="V2143" i="16"/>
  <c r="AB2143" i="16" s="1"/>
  <c r="X2142" i="16"/>
  <c r="AD2142" i="16" s="1"/>
  <c r="W2142" i="16"/>
  <c r="AC2142" i="16" s="1"/>
  <c r="V2142" i="16"/>
  <c r="AB2142" i="16" s="1"/>
  <c r="X2141" i="16"/>
  <c r="AD2141" i="16" s="1"/>
  <c r="W2141" i="16"/>
  <c r="AC2141" i="16" s="1"/>
  <c r="V2141" i="16"/>
  <c r="AB2141" i="16" s="1"/>
  <c r="X2140" i="16"/>
  <c r="AD2140" i="16" s="1"/>
  <c r="W2140" i="16"/>
  <c r="AC2140" i="16" s="1"/>
  <c r="V2140" i="16"/>
  <c r="AB2140" i="16" s="1"/>
  <c r="X2139" i="16"/>
  <c r="AD2139" i="16" s="1"/>
  <c r="W2139" i="16"/>
  <c r="AC2139" i="16" s="1"/>
  <c r="V2139" i="16"/>
  <c r="AB2139" i="16" s="1"/>
  <c r="X2138" i="16"/>
  <c r="AD2138" i="16" s="1"/>
  <c r="W2138" i="16"/>
  <c r="AC2138" i="16" s="1"/>
  <c r="V2138" i="16"/>
  <c r="AB2138" i="16" s="1"/>
  <c r="X2137" i="16"/>
  <c r="AD2137" i="16" s="1"/>
  <c r="W2137" i="16"/>
  <c r="AC2137" i="16" s="1"/>
  <c r="V2137" i="16"/>
  <c r="AB2137" i="16" s="1"/>
  <c r="X2136" i="16"/>
  <c r="AD2136" i="16" s="1"/>
  <c r="W2136" i="16"/>
  <c r="AC2136" i="16" s="1"/>
  <c r="V2136" i="16"/>
  <c r="AB2136" i="16" s="1"/>
  <c r="X2135" i="16"/>
  <c r="AD2135" i="16" s="1"/>
  <c r="W2135" i="16"/>
  <c r="AC2135" i="16" s="1"/>
  <c r="V2135" i="16"/>
  <c r="AB2135" i="16" s="1"/>
  <c r="X2134" i="16"/>
  <c r="AD2134" i="16" s="1"/>
  <c r="W2134" i="16"/>
  <c r="AC2134" i="16" s="1"/>
  <c r="V2134" i="16"/>
  <c r="AB2134" i="16" s="1"/>
  <c r="X2133" i="16"/>
  <c r="AD2133" i="16" s="1"/>
  <c r="W2133" i="16"/>
  <c r="AC2133" i="16" s="1"/>
  <c r="V2133" i="16"/>
  <c r="AB2133" i="16" s="1"/>
  <c r="X2132" i="16"/>
  <c r="AD2132" i="16" s="1"/>
  <c r="W2132" i="16"/>
  <c r="AC2132" i="16" s="1"/>
  <c r="V2132" i="16"/>
  <c r="AB2132" i="16" s="1"/>
  <c r="X2131" i="16"/>
  <c r="AD2131" i="16" s="1"/>
  <c r="W2131" i="16"/>
  <c r="AC2131" i="16" s="1"/>
  <c r="V2131" i="16"/>
  <c r="AB2131" i="16" s="1"/>
  <c r="X2130" i="16"/>
  <c r="AD2130" i="16" s="1"/>
  <c r="W2130" i="16"/>
  <c r="AC2130" i="16" s="1"/>
  <c r="V2130" i="16"/>
  <c r="AB2130" i="16" s="1"/>
  <c r="X2129" i="16"/>
  <c r="AD2129" i="16" s="1"/>
  <c r="W2129" i="16"/>
  <c r="AC2129" i="16" s="1"/>
  <c r="V2129" i="16"/>
  <c r="AB2129" i="16" s="1"/>
  <c r="X2128" i="16"/>
  <c r="AD2128" i="16" s="1"/>
  <c r="W2128" i="16"/>
  <c r="AC2128" i="16" s="1"/>
  <c r="V2128" i="16"/>
  <c r="AB2128" i="16" s="1"/>
  <c r="X2127" i="16"/>
  <c r="AD2127" i="16" s="1"/>
  <c r="W2127" i="16"/>
  <c r="AC2127" i="16" s="1"/>
  <c r="V2127" i="16"/>
  <c r="AB2127" i="16" s="1"/>
  <c r="X2126" i="16"/>
  <c r="AD2126" i="16" s="1"/>
  <c r="W2126" i="16"/>
  <c r="AC2126" i="16" s="1"/>
  <c r="V2126" i="16"/>
  <c r="AB2126" i="16" s="1"/>
  <c r="X2125" i="16"/>
  <c r="AD2125" i="16" s="1"/>
  <c r="W2125" i="16"/>
  <c r="AC2125" i="16" s="1"/>
  <c r="V2125" i="16"/>
  <c r="AB2125" i="16" s="1"/>
  <c r="X2124" i="16"/>
  <c r="AD2124" i="16" s="1"/>
  <c r="W2124" i="16"/>
  <c r="AC2124" i="16" s="1"/>
  <c r="V2124" i="16"/>
  <c r="AB2124" i="16" s="1"/>
  <c r="X2123" i="16"/>
  <c r="AD2123" i="16" s="1"/>
  <c r="W2123" i="16"/>
  <c r="AC2123" i="16" s="1"/>
  <c r="V2123" i="16"/>
  <c r="AB2123" i="16" s="1"/>
  <c r="X2122" i="16"/>
  <c r="AD2122" i="16" s="1"/>
  <c r="W2122" i="16"/>
  <c r="AC2122" i="16" s="1"/>
  <c r="V2122" i="16"/>
  <c r="AB2122" i="16" s="1"/>
  <c r="X2121" i="16"/>
  <c r="AD2121" i="16" s="1"/>
  <c r="W2121" i="16"/>
  <c r="AC2121" i="16" s="1"/>
  <c r="V2121" i="16"/>
  <c r="AB2121" i="16" s="1"/>
  <c r="X2120" i="16"/>
  <c r="AD2120" i="16" s="1"/>
  <c r="W2120" i="16"/>
  <c r="AC2120" i="16" s="1"/>
  <c r="V2120" i="16"/>
  <c r="AB2120" i="16" s="1"/>
  <c r="X2119" i="16"/>
  <c r="AD2119" i="16" s="1"/>
  <c r="W2119" i="16"/>
  <c r="AC2119" i="16" s="1"/>
  <c r="V2119" i="16"/>
  <c r="AB2119" i="16" s="1"/>
  <c r="X2118" i="16"/>
  <c r="AD2118" i="16" s="1"/>
  <c r="W2118" i="16"/>
  <c r="AC2118" i="16" s="1"/>
  <c r="V2118" i="16"/>
  <c r="AB2118" i="16" s="1"/>
  <c r="X2117" i="16"/>
  <c r="AD2117" i="16" s="1"/>
  <c r="W2117" i="16"/>
  <c r="AC2117" i="16" s="1"/>
  <c r="V2117" i="16"/>
  <c r="AB2117" i="16" s="1"/>
  <c r="X2116" i="16"/>
  <c r="AD2116" i="16" s="1"/>
  <c r="W2116" i="16"/>
  <c r="AC2116" i="16" s="1"/>
  <c r="V2116" i="16"/>
  <c r="AB2116" i="16" s="1"/>
  <c r="X2115" i="16"/>
  <c r="AD2115" i="16" s="1"/>
  <c r="W2115" i="16"/>
  <c r="AC2115" i="16" s="1"/>
  <c r="V2115" i="16"/>
  <c r="AB2115" i="16" s="1"/>
  <c r="X2114" i="16"/>
  <c r="AD2114" i="16" s="1"/>
  <c r="W2114" i="16"/>
  <c r="AC2114" i="16" s="1"/>
  <c r="V2114" i="16"/>
  <c r="AB2114" i="16" s="1"/>
  <c r="X2113" i="16"/>
  <c r="AD2113" i="16" s="1"/>
  <c r="W2113" i="16"/>
  <c r="AC2113" i="16" s="1"/>
  <c r="V2113" i="16"/>
  <c r="AB2113" i="16" s="1"/>
  <c r="X2112" i="16"/>
  <c r="AD2112" i="16" s="1"/>
  <c r="W2112" i="16"/>
  <c r="AC2112" i="16" s="1"/>
  <c r="V2112" i="16"/>
  <c r="AB2112" i="16" s="1"/>
  <c r="X2111" i="16"/>
  <c r="AD2111" i="16" s="1"/>
  <c r="W2111" i="16"/>
  <c r="AC2111" i="16" s="1"/>
  <c r="V2111" i="16"/>
  <c r="AB2111" i="16" s="1"/>
  <c r="X2110" i="16"/>
  <c r="AD2110" i="16" s="1"/>
  <c r="W2110" i="16"/>
  <c r="AC2110" i="16" s="1"/>
  <c r="V2110" i="16"/>
  <c r="AB2110" i="16" s="1"/>
  <c r="X2109" i="16"/>
  <c r="AD2109" i="16" s="1"/>
  <c r="W2109" i="16"/>
  <c r="AC2109" i="16" s="1"/>
  <c r="V2109" i="16"/>
  <c r="AB2109" i="16" s="1"/>
  <c r="X2108" i="16"/>
  <c r="AD2108" i="16" s="1"/>
  <c r="W2108" i="16"/>
  <c r="AC2108" i="16" s="1"/>
  <c r="V2108" i="16"/>
  <c r="AB2108" i="16" s="1"/>
  <c r="X2107" i="16"/>
  <c r="AD2107" i="16" s="1"/>
  <c r="W2107" i="16"/>
  <c r="AC2107" i="16" s="1"/>
  <c r="V2107" i="16"/>
  <c r="AB2107" i="16" s="1"/>
  <c r="X2106" i="16"/>
  <c r="AD2106" i="16" s="1"/>
  <c r="W2106" i="16"/>
  <c r="AC2106" i="16" s="1"/>
  <c r="V2106" i="16"/>
  <c r="AB2106" i="16" s="1"/>
  <c r="X2105" i="16"/>
  <c r="AD2105" i="16" s="1"/>
  <c r="W2105" i="16"/>
  <c r="AC2105" i="16" s="1"/>
  <c r="V2105" i="16"/>
  <c r="AB2105" i="16" s="1"/>
  <c r="X2104" i="16"/>
  <c r="AD2104" i="16" s="1"/>
  <c r="W2104" i="16"/>
  <c r="AC2104" i="16" s="1"/>
  <c r="V2104" i="16"/>
  <c r="AB2104" i="16" s="1"/>
  <c r="X2103" i="16"/>
  <c r="AD2103" i="16" s="1"/>
  <c r="W2103" i="16"/>
  <c r="AC2103" i="16" s="1"/>
  <c r="V2103" i="16"/>
  <c r="AB2103" i="16" s="1"/>
  <c r="X2102" i="16"/>
  <c r="AD2102" i="16" s="1"/>
  <c r="W2102" i="16"/>
  <c r="AC2102" i="16" s="1"/>
  <c r="V2102" i="16"/>
  <c r="AB2102" i="16" s="1"/>
  <c r="X2101" i="16"/>
  <c r="AD2101" i="16" s="1"/>
  <c r="W2101" i="16"/>
  <c r="AC2101" i="16" s="1"/>
  <c r="V2101" i="16"/>
  <c r="AB2101" i="16" s="1"/>
  <c r="X2100" i="16"/>
  <c r="AD2100" i="16" s="1"/>
  <c r="W2100" i="16"/>
  <c r="AC2100" i="16" s="1"/>
  <c r="V2100" i="16"/>
  <c r="AB2100" i="16" s="1"/>
  <c r="X2099" i="16"/>
  <c r="AD2099" i="16" s="1"/>
  <c r="W2099" i="16"/>
  <c r="AC2099" i="16" s="1"/>
  <c r="V2099" i="16"/>
  <c r="AB2099" i="16" s="1"/>
  <c r="X2098" i="16"/>
  <c r="AD2098" i="16" s="1"/>
  <c r="W2098" i="16"/>
  <c r="AC2098" i="16" s="1"/>
  <c r="V2098" i="16"/>
  <c r="AB2098" i="16" s="1"/>
  <c r="X2097" i="16"/>
  <c r="AD2097" i="16" s="1"/>
  <c r="W2097" i="16"/>
  <c r="AC2097" i="16" s="1"/>
  <c r="V2097" i="16"/>
  <c r="AB2097" i="16" s="1"/>
  <c r="X2096" i="16"/>
  <c r="AD2096" i="16" s="1"/>
  <c r="W2096" i="16"/>
  <c r="AC2096" i="16" s="1"/>
  <c r="V2096" i="16"/>
  <c r="AB2096" i="16" s="1"/>
  <c r="X2095" i="16"/>
  <c r="AD2095" i="16" s="1"/>
  <c r="W2095" i="16"/>
  <c r="AC2095" i="16" s="1"/>
  <c r="V2095" i="16"/>
  <c r="AB2095" i="16" s="1"/>
  <c r="X2094" i="16"/>
  <c r="AD2094" i="16" s="1"/>
  <c r="W2094" i="16"/>
  <c r="AC2094" i="16" s="1"/>
  <c r="V2094" i="16"/>
  <c r="AB2094" i="16" s="1"/>
  <c r="X2093" i="16"/>
  <c r="AD2093" i="16" s="1"/>
  <c r="W2093" i="16"/>
  <c r="AC2093" i="16" s="1"/>
  <c r="V2093" i="16"/>
  <c r="AB2093" i="16" s="1"/>
  <c r="X2092" i="16"/>
  <c r="AD2092" i="16" s="1"/>
  <c r="W2092" i="16"/>
  <c r="AC2092" i="16" s="1"/>
  <c r="V2092" i="16"/>
  <c r="AB2092" i="16" s="1"/>
  <c r="X2091" i="16"/>
  <c r="AD2091" i="16" s="1"/>
  <c r="W2091" i="16"/>
  <c r="AC2091" i="16" s="1"/>
  <c r="V2091" i="16"/>
  <c r="AB2091" i="16" s="1"/>
  <c r="X2090" i="16"/>
  <c r="AD2090" i="16" s="1"/>
  <c r="W2090" i="16"/>
  <c r="AC2090" i="16" s="1"/>
  <c r="V2090" i="16"/>
  <c r="AB2090" i="16" s="1"/>
  <c r="X2089" i="16"/>
  <c r="AD2089" i="16" s="1"/>
  <c r="W2089" i="16"/>
  <c r="AC2089" i="16" s="1"/>
  <c r="V2089" i="16"/>
  <c r="AB2089" i="16" s="1"/>
  <c r="X2088" i="16"/>
  <c r="AD2088" i="16" s="1"/>
  <c r="W2088" i="16"/>
  <c r="AC2088" i="16" s="1"/>
  <c r="V2088" i="16"/>
  <c r="AB2088" i="16" s="1"/>
  <c r="X2087" i="16"/>
  <c r="AD2087" i="16" s="1"/>
  <c r="W2087" i="16"/>
  <c r="AC2087" i="16" s="1"/>
  <c r="V2087" i="16"/>
  <c r="AB2087" i="16" s="1"/>
  <c r="X2086" i="16"/>
  <c r="AD2086" i="16" s="1"/>
  <c r="W2086" i="16"/>
  <c r="AC2086" i="16" s="1"/>
  <c r="V2086" i="16"/>
  <c r="AB2086" i="16" s="1"/>
  <c r="X2085" i="16"/>
  <c r="AD2085" i="16" s="1"/>
  <c r="W2085" i="16"/>
  <c r="AC2085" i="16" s="1"/>
  <c r="V2085" i="16"/>
  <c r="AB2085" i="16" s="1"/>
  <c r="X2084" i="16"/>
  <c r="AD2084" i="16" s="1"/>
  <c r="W2084" i="16"/>
  <c r="AC2084" i="16" s="1"/>
  <c r="V2084" i="16"/>
  <c r="AB2084" i="16" s="1"/>
  <c r="X2083" i="16"/>
  <c r="AD2083" i="16" s="1"/>
  <c r="W2083" i="16"/>
  <c r="AC2083" i="16" s="1"/>
  <c r="V2083" i="16"/>
  <c r="AB2083" i="16" s="1"/>
  <c r="X2082" i="16"/>
  <c r="AD2082" i="16" s="1"/>
  <c r="W2082" i="16"/>
  <c r="AC2082" i="16" s="1"/>
  <c r="V2082" i="16"/>
  <c r="AB2082" i="16" s="1"/>
  <c r="X2081" i="16"/>
  <c r="AD2081" i="16" s="1"/>
  <c r="W2081" i="16"/>
  <c r="AC2081" i="16" s="1"/>
  <c r="V2081" i="16"/>
  <c r="AB2081" i="16" s="1"/>
  <c r="X2080" i="16"/>
  <c r="AD2080" i="16" s="1"/>
  <c r="W2080" i="16"/>
  <c r="AC2080" i="16" s="1"/>
  <c r="V2080" i="16"/>
  <c r="AB2080" i="16" s="1"/>
  <c r="X2079" i="16"/>
  <c r="AD2079" i="16" s="1"/>
  <c r="W2079" i="16"/>
  <c r="AC2079" i="16" s="1"/>
  <c r="V2079" i="16"/>
  <c r="AB2079" i="16" s="1"/>
  <c r="X2078" i="16"/>
  <c r="AD2078" i="16" s="1"/>
  <c r="W2078" i="16"/>
  <c r="AC2078" i="16" s="1"/>
  <c r="V2078" i="16"/>
  <c r="AB2078" i="16" s="1"/>
  <c r="X2077" i="16"/>
  <c r="AD2077" i="16" s="1"/>
  <c r="W2077" i="16"/>
  <c r="AC2077" i="16" s="1"/>
  <c r="V2077" i="16"/>
  <c r="AB2077" i="16" s="1"/>
  <c r="X2076" i="16"/>
  <c r="AD2076" i="16" s="1"/>
  <c r="W2076" i="16"/>
  <c r="AC2076" i="16" s="1"/>
  <c r="V2076" i="16"/>
  <c r="AB2076" i="16" s="1"/>
  <c r="X2075" i="16"/>
  <c r="AD2075" i="16" s="1"/>
  <c r="W2075" i="16"/>
  <c r="AC2075" i="16" s="1"/>
  <c r="V2075" i="16"/>
  <c r="AB2075" i="16" s="1"/>
  <c r="X2074" i="16"/>
  <c r="AD2074" i="16" s="1"/>
  <c r="W2074" i="16"/>
  <c r="AC2074" i="16" s="1"/>
  <c r="V2074" i="16"/>
  <c r="AB2074" i="16" s="1"/>
  <c r="X2073" i="16"/>
  <c r="AD2073" i="16" s="1"/>
  <c r="W2073" i="16"/>
  <c r="AC2073" i="16" s="1"/>
  <c r="V2073" i="16"/>
  <c r="AB2073" i="16" s="1"/>
  <c r="X2072" i="16"/>
  <c r="AD2072" i="16" s="1"/>
  <c r="W2072" i="16"/>
  <c r="AC2072" i="16" s="1"/>
  <c r="V2072" i="16"/>
  <c r="AB2072" i="16" s="1"/>
  <c r="X2071" i="16"/>
  <c r="AD2071" i="16" s="1"/>
  <c r="W2071" i="16"/>
  <c r="AC2071" i="16" s="1"/>
  <c r="V2071" i="16"/>
  <c r="AB2071" i="16" s="1"/>
  <c r="X2070" i="16"/>
  <c r="AD2070" i="16" s="1"/>
  <c r="W2070" i="16"/>
  <c r="AC2070" i="16" s="1"/>
  <c r="V2070" i="16"/>
  <c r="AB2070" i="16" s="1"/>
  <c r="X2069" i="16"/>
  <c r="AD2069" i="16" s="1"/>
  <c r="W2069" i="16"/>
  <c r="AC2069" i="16" s="1"/>
  <c r="V2069" i="16"/>
  <c r="AB2069" i="16" s="1"/>
  <c r="X2068" i="16"/>
  <c r="AD2068" i="16" s="1"/>
  <c r="W2068" i="16"/>
  <c r="AC2068" i="16" s="1"/>
  <c r="V2068" i="16"/>
  <c r="AB2068" i="16" s="1"/>
  <c r="X2067" i="16"/>
  <c r="AD2067" i="16" s="1"/>
  <c r="W2067" i="16"/>
  <c r="AC2067" i="16" s="1"/>
  <c r="V2067" i="16"/>
  <c r="AB2067" i="16" s="1"/>
  <c r="X2066" i="16"/>
  <c r="AD2066" i="16" s="1"/>
  <c r="W2066" i="16"/>
  <c r="AC2066" i="16" s="1"/>
  <c r="V2066" i="16"/>
  <c r="AB2066" i="16" s="1"/>
  <c r="X2065" i="16"/>
  <c r="AD2065" i="16" s="1"/>
  <c r="W2065" i="16"/>
  <c r="AC2065" i="16" s="1"/>
  <c r="V2065" i="16"/>
  <c r="AB2065" i="16" s="1"/>
  <c r="X2064" i="16"/>
  <c r="AD2064" i="16" s="1"/>
  <c r="W2064" i="16"/>
  <c r="AC2064" i="16" s="1"/>
  <c r="V2064" i="16"/>
  <c r="AB2064" i="16" s="1"/>
  <c r="X2063" i="16"/>
  <c r="AD2063" i="16" s="1"/>
  <c r="W2063" i="16"/>
  <c r="AC2063" i="16" s="1"/>
  <c r="V2063" i="16"/>
  <c r="AB2063" i="16" s="1"/>
  <c r="X2062" i="16"/>
  <c r="AD2062" i="16" s="1"/>
  <c r="W2062" i="16"/>
  <c r="AC2062" i="16" s="1"/>
  <c r="V2062" i="16"/>
  <c r="AB2062" i="16" s="1"/>
  <c r="X2061" i="16"/>
  <c r="AD2061" i="16" s="1"/>
  <c r="W2061" i="16"/>
  <c r="AC2061" i="16" s="1"/>
  <c r="V2061" i="16"/>
  <c r="AB2061" i="16" s="1"/>
  <c r="X2060" i="16"/>
  <c r="AD2060" i="16" s="1"/>
  <c r="W2060" i="16"/>
  <c r="AC2060" i="16" s="1"/>
  <c r="V2060" i="16"/>
  <c r="AB2060" i="16" s="1"/>
  <c r="X2059" i="16"/>
  <c r="AD2059" i="16" s="1"/>
  <c r="W2059" i="16"/>
  <c r="AC2059" i="16" s="1"/>
  <c r="V2059" i="16"/>
  <c r="AB2059" i="16" s="1"/>
  <c r="X2058" i="16"/>
  <c r="AD2058" i="16" s="1"/>
  <c r="W2058" i="16"/>
  <c r="AC2058" i="16" s="1"/>
  <c r="V2058" i="16"/>
  <c r="AB2058" i="16" s="1"/>
  <c r="X2057" i="16"/>
  <c r="AD2057" i="16" s="1"/>
  <c r="W2057" i="16"/>
  <c r="AC2057" i="16" s="1"/>
  <c r="V2057" i="16"/>
  <c r="AB2057" i="16" s="1"/>
  <c r="X2056" i="16"/>
  <c r="AD2056" i="16" s="1"/>
  <c r="W2056" i="16"/>
  <c r="AC2056" i="16" s="1"/>
  <c r="V2056" i="16"/>
  <c r="AB2056" i="16" s="1"/>
  <c r="X2055" i="16"/>
  <c r="AD2055" i="16" s="1"/>
  <c r="W2055" i="16"/>
  <c r="AC2055" i="16" s="1"/>
  <c r="V2055" i="16"/>
  <c r="AB2055" i="16" s="1"/>
  <c r="X2054" i="16"/>
  <c r="AD2054" i="16" s="1"/>
  <c r="W2054" i="16"/>
  <c r="AC2054" i="16" s="1"/>
  <c r="V2054" i="16"/>
  <c r="AB2054" i="16" s="1"/>
  <c r="X2053" i="16"/>
  <c r="AD2053" i="16" s="1"/>
  <c r="W2053" i="16"/>
  <c r="AC2053" i="16" s="1"/>
  <c r="V2053" i="16"/>
  <c r="AB2053" i="16" s="1"/>
  <c r="X2052" i="16"/>
  <c r="AD2052" i="16" s="1"/>
  <c r="W2052" i="16"/>
  <c r="AC2052" i="16" s="1"/>
  <c r="V2052" i="16"/>
  <c r="AB2052" i="16" s="1"/>
  <c r="X2051" i="16"/>
  <c r="AD2051" i="16" s="1"/>
  <c r="W2051" i="16"/>
  <c r="AC2051" i="16" s="1"/>
  <c r="V2051" i="16"/>
  <c r="AB2051" i="16" s="1"/>
  <c r="X2050" i="16"/>
  <c r="AD2050" i="16" s="1"/>
  <c r="W2050" i="16"/>
  <c r="AC2050" i="16" s="1"/>
  <c r="V2050" i="16"/>
  <c r="AB2050" i="16" s="1"/>
  <c r="X2049" i="16"/>
  <c r="AD2049" i="16" s="1"/>
  <c r="W2049" i="16"/>
  <c r="AC2049" i="16" s="1"/>
  <c r="V2049" i="16"/>
  <c r="AB2049" i="16" s="1"/>
  <c r="X2048" i="16"/>
  <c r="AD2048" i="16" s="1"/>
  <c r="W2048" i="16"/>
  <c r="AC2048" i="16" s="1"/>
  <c r="V2048" i="16"/>
  <c r="AB2048" i="16" s="1"/>
  <c r="X2047" i="16"/>
  <c r="AD2047" i="16" s="1"/>
  <c r="W2047" i="16"/>
  <c r="AC2047" i="16" s="1"/>
  <c r="V2047" i="16"/>
  <c r="AB2047" i="16" s="1"/>
  <c r="X2046" i="16"/>
  <c r="AD2046" i="16" s="1"/>
  <c r="W2046" i="16"/>
  <c r="AC2046" i="16" s="1"/>
  <c r="V2046" i="16"/>
  <c r="AB2046" i="16" s="1"/>
  <c r="X2045" i="16"/>
  <c r="AD2045" i="16" s="1"/>
  <c r="W2045" i="16"/>
  <c r="AC2045" i="16" s="1"/>
  <c r="V2045" i="16"/>
  <c r="AB2045" i="16" s="1"/>
  <c r="X2044" i="16"/>
  <c r="AD2044" i="16" s="1"/>
  <c r="W2044" i="16"/>
  <c r="AC2044" i="16" s="1"/>
  <c r="V2044" i="16"/>
  <c r="AB2044" i="16" s="1"/>
  <c r="X2043" i="16"/>
  <c r="AD2043" i="16" s="1"/>
  <c r="W2043" i="16"/>
  <c r="AC2043" i="16" s="1"/>
  <c r="V2043" i="16"/>
  <c r="AB2043" i="16" s="1"/>
  <c r="X2042" i="16"/>
  <c r="AD2042" i="16" s="1"/>
  <c r="W2042" i="16"/>
  <c r="AC2042" i="16" s="1"/>
  <c r="V2042" i="16"/>
  <c r="AB2042" i="16" s="1"/>
  <c r="X2041" i="16"/>
  <c r="AD2041" i="16" s="1"/>
  <c r="W2041" i="16"/>
  <c r="AC2041" i="16" s="1"/>
  <c r="V2041" i="16"/>
  <c r="AB2041" i="16" s="1"/>
  <c r="X2040" i="16"/>
  <c r="AD2040" i="16" s="1"/>
  <c r="W2040" i="16"/>
  <c r="AC2040" i="16" s="1"/>
  <c r="V2040" i="16"/>
  <c r="AB2040" i="16" s="1"/>
  <c r="X2039" i="16"/>
  <c r="AD2039" i="16" s="1"/>
  <c r="W2039" i="16"/>
  <c r="AC2039" i="16" s="1"/>
  <c r="V2039" i="16"/>
  <c r="AB2039" i="16" s="1"/>
  <c r="X2038" i="16"/>
  <c r="AD2038" i="16" s="1"/>
  <c r="W2038" i="16"/>
  <c r="AC2038" i="16" s="1"/>
  <c r="V2038" i="16"/>
  <c r="AB2038" i="16" s="1"/>
  <c r="X2037" i="16"/>
  <c r="AD2037" i="16" s="1"/>
  <c r="W2037" i="16"/>
  <c r="AC2037" i="16" s="1"/>
  <c r="V2037" i="16"/>
  <c r="AB2037" i="16" s="1"/>
  <c r="X2036" i="16"/>
  <c r="AD2036" i="16" s="1"/>
  <c r="W2036" i="16"/>
  <c r="AC2036" i="16" s="1"/>
  <c r="V2036" i="16"/>
  <c r="AB2036" i="16" s="1"/>
  <c r="X2035" i="16"/>
  <c r="AD2035" i="16" s="1"/>
  <c r="W2035" i="16"/>
  <c r="AC2035" i="16" s="1"/>
  <c r="V2035" i="16"/>
  <c r="AB2035" i="16" s="1"/>
  <c r="X2034" i="16"/>
  <c r="AD2034" i="16" s="1"/>
  <c r="W2034" i="16"/>
  <c r="AC2034" i="16" s="1"/>
  <c r="V2034" i="16"/>
  <c r="AB2034" i="16" s="1"/>
  <c r="X2033" i="16"/>
  <c r="AD2033" i="16" s="1"/>
  <c r="W2033" i="16"/>
  <c r="AC2033" i="16" s="1"/>
  <c r="V2033" i="16"/>
  <c r="AB2033" i="16" s="1"/>
  <c r="X2032" i="16"/>
  <c r="AD2032" i="16" s="1"/>
  <c r="W2032" i="16"/>
  <c r="AC2032" i="16" s="1"/>
  <c r="V2032" i="16"/>
  <c r="AB2032" i="16" s="1"/>
  <c r="X2031" i="16"/>
  <c r="AD2031" i="16" s="1"/>
  <c r="W2031" i="16"/>
  <c r="AC2031" i="16" s="1"/>
  <c r="V2031" i="16"/>
  <c r="AB2031" i="16" s="1"/>
  <c r="X2030" i="16"/>
  <c r="AD2030" i="16" s="1"/>
  <c r="W2030" i="16"/>
  <c r="AC2030" i="16" s="1"/>
  <c r="V2030" i="16"/>
  <c r="AB2030" i="16" s="1"/>
  <c r="X2029" i="16"/>
  <c r="AD2029" i="16" s="1"/>
  <c r="W2029" i="16"/>
  <c r="AC2029" i="16" s="1"/>
  <c r="V2029" i="16"/>
  <c r="AB2029" i="16" s="1"/>
  <c r="X2028" i="16"/>
  <c r="AD2028" i="16" s="1"/>
  <c r="W2028" i="16"/>
  <c r="AC2028" i="16" s="1"/>
  <c r="V2028" i="16"/>
  <c r="AB2028" i="16" s="1"/>
  <c r="X2027" i="16"/>
  <c r="AD2027" i="16" s="1"/>
  <c r="W2027" i="16"/>
  <c r="AC2027" i="16" s="1"/>
  <c r="V2027" i="16"/>
  <c r="AB2027" i="16" s="1"/>
  <c r="X2026" i="16"/>
  <c r="AD2026" i="16" s="1"/>
  <c r="W2026" i="16"/>
  <c r="AC2026" i="16" s="1"/>
  <c r="V2026" i="16"/>
  <c r="AB2026" i="16" s="1"/>
  <c r="X2025" i="16"/>
  <c r="AD2025" i="16" s="1"/>
  <c r="W2025" i="16"/>
  <c r="AC2025" i="16" s="1"/>
  <c r="V2025" i="16"/>
  <c r="AB2025" i="16" s="1"/>
  <c r="X2024" i="16"/>
  <c r="AD2024" i="16" s="1"/>
  <c r="W2024" i="16"/>
  <c r="AC2024" i="16" s="1"/>
  <c r="V2024" i="16"/>
  <c r="AB2024" i="16" s="1"/>
  <c r="X2023" i="16"/>
  <c r="AD2023" i="16" s="1"/>
  <c r="W2023" i="16"/>
  <c r="AC2023" i="16" s="1"/>
  <c r="V2023" i="16"/>
  <c r="AB2023" i="16" s="1"/>
  <c r="X2022" i="16"/>
  <c r="AD2022" i="16" s="1"/>
  <c r="W2022" i="16"/>
  <c r="AC2022" i="16" s="1"/>
  <c r="V2022" i="16"/>
  <c r="AB2022" i="16" s="1"/>
  <c r="X2021" i="16"/>
  <c r="AD2021" i="16" s="1"/>
  <c r="W2021" i="16"/>
  <c r="AC2021" i="16" s="1"/>
  <c r="V2021" i="16"/>
  <c r="AB2021" i="16" s="1"/>
  <c r="X2020" i="16"/>
  <c r="AD2020" i="16" s="1"/>
  <c r="W2020" i="16"/>
  <c r="AC2020" i="16" s="1"/>
  <c r="V2020" i="16"/>
  <c r="AB2020" i="16" s="1"/>
  <c r="X2019" i="16"/>
  <c r="AD2019" i="16" s="1"/>
  <c r="W2019" i="16"/>
  <c r="AC2019" i="16" s="1"/>
  <c r="V2019" i="16"/>
  <c r="AB2019" i="16" s="1"/>
  <c r="X2018" i="16"/>
  <c r="AD2018" i="16" s="1"/>
  <c r="W2018" i="16"/>
  <c r="AC2018" i="16" s="1"/>
  <c r="V2018" i="16"/>
  <c r="AB2018" i="16" s="1"/>
  <c r="X2017" i="16"/>
  <c r="AD2017" i="16" s="1"/>
  <c r="W2017" i="16"/>
  <c r="AC2017" i="16" s="1"/>
  <c r="V2017" i="16"/>
  <c r="AB2017" i="16" s="1"/>
  <c r="X2016" i="16"/>
  <c r="AD2016" i="16" s="1"/>
  <c r="W2016" i="16"/>
  <c r="AC2016" i="16" s="1"/>
  <c r="V2016" i="16"/>
  <c r="AB2016" i="16" s="1"/>
  <c r="X2015" i="16"/>
  <c r="AD2015" i="16" s="1"/>
  <c r="W2015" i="16"/>
  <c r="AC2015" i="16" s="1"/>
  <c r="V2015" i="16"/>
  <c r="AB2015" i="16" s="1"/>
  <c r="X2014" i="16"/>
  <c r="AD2014" i="16" s="1"/>
  <c r="W2014" i="16"/>
  <c r="AC2014" i="16" s="1"/>
  <c r="V2014" i="16"/>
  <c r="AB2014" i="16" s="1"/>
  <c r="X2013" i="16"/>
  <c r="AD2013" i="16" s="1"/>
  <c r="W2013" i="16"/>
  <c r="AC2013" i="16" s="1"/>
  <c r="V2013" i="16"/>
  <c r="AB2013" i="16" s="1"/>
  <c r="X2012" i="16"/>
  <c r="AD2012" i="16" s="1"/>
  <c r="W2012" i="16"/>
  <c r="AC2012" i="16" s="1"/>
  <c r="V2012" i="16"/>
  <c r="AB2012" i="16" s="1"/>
  <c r="X2011" i="16"/>
  <c r="AD2011" i="16" s="1"/>
  <c r="W2011" i="16"/>
  <c r="AC2011" i="16" s="1"/>
  <c r="V2011" i="16"/>
  <c r="AB2011" i="16" s="1"/>
  <c r="X2010" i="16"/>
  <c r="AD2010" i="16" s="1"/>
  <c r="W2010" i="16"/>
  <c r="AC2010" i="16" s="1"/>
  <c r="V2010" i="16"/>
  <c r="AB2010" i="16" s="1"/>
  <c r="X2009" i="16"/>
  <c r="AD2009" i="16" s="1"/>
  <c r="W2009" i="16"/>
  <c r="AC2009" i="16" s="1"/>
  <c r="V2009" i="16"/>
  <c r="AB2009" i="16" s="1"/>
  <c r="X2008" i="16"/>
  <c r="AD2008" i="16" s="1"/>
  <c r="W2008" i="16"/>
  <c r="AC2008" i="16" s="1"/>
  <c r="V2008" i="16"/>
  <c r="AB2008" i="16" s="1"/>
  <c r="X2007" i="16"/>
  <c r="AD2007" i="16" s="1"/>
  <c r="W2007" i="16"/>
  <c r="AC2007" i="16" s="1"/>
  <c r="V2007" i="16"/>
  <c r="AB2007" i="16" s="1"/>
  <c r="X2006" i="16"/>
  <c r="AD2006" i="16" s="1"/>
  <c r="W2006" i="16"/>
  <c r="AC2006" i="16" s="1"/>
  <c r="V2006" i="16"/>
  <c r="AB2006" i="16" s="1"/>
  <c r="X2005" i="16"/>
  <c r="AD2005" i="16" s="1"/>
  <c r="W2005" i="16"/>
  <c r="AC2005" i="16" s="1"/>
  <c r="V2005" i="16"/>
  <c r="AB2005" i="16" s="1"/>
  <c r="X2004" i="16"/>
  <c r="AD2004" i="16" s="1"/>
  <c r="W2004" i="16"/>
  <c r="AC2004" i="16" s="1"/>
  <c r="V2004" i="16"/>
  <c r="AB2004" i="16" s="1"/>
  <c r="X2003" i="16"/>
  <c r="AD2003" i="16" s="1"/>
  <c r="W2003" i="16"/>
  <c r="AC2003" i="16" s="1"/>
  <c r="V2003" i="16"/>
  <c r="AB2003" i="16" s="1"/>
  <c r="X2002" i="16"/>
  <c r="AD2002" i="16" s="1"/>
  <c r="W2002" i="16"/>
  <c r="AC2002" i="16" s="1"/>
  <c r="V2002" i="16"/>
  <c r="AB2002" i="16" s="1"/>
  <c r="X2001" i="16"/>
  <c r="AD2001" i="16" s="1"/>
  <c r="W2001" i="16"/>
  <c r="AC2001" i="16" s="1"/>
  <c r="V2001" i="16"/>
  <c r="AB2001" i="16" s="1"/>
  <c r="X2000" i="16"/>
  <c r="AD2000" i="16" s="1"/>
  <c r="W2000" i="16"/>
  <c r="AC2000" i="16" s="1"/>
  <c r="V2000" i="16"/>
  <c r="AB2000" i="16" s="1"/>
  <c r="X1999" i="16"/>
  <c r="AD1999" i="16" s="1"/>
  <c r="W1999" i="16"/>
  <c r="AC1999" i="16" s="1"/>
  <c r="V1999" i="16"/>
  <c r="AB1999" i="16" s="1"/>
  <c r="X1998" i="16"/>
  <c r="AD1998" i="16" s="1"/>
  <c r="W1998" i="16"/>
  <c r="AC1998" i="16" s="1"/>
  <c r="V1998" i="16"/>
  <c r="AB1998" i="16" s="1"/>
  <c r="X1997" i="16"/>
  <c r="AD1997" i="16" s="1"/>
  <c r="W1997" i="16"/>
  <c r="AC1997" i="16" s="1"/>
  <c r="V1997" i="16"/>
  <c r="AB1997" i="16" s="1"/>
  <c r="X1996" i="16"/>
  <c r="AD1996" i="16" s="1"/>
  <c r="W1996" i="16"/>
  <c r="AC1996" i="16" s="1"/>
  <c r="V1996" i="16"/>
  <c r="AB1996" i="16" s="1"/>
  <c r="X1995" i="16"/>
  <c r="AD1995" i="16" s="1"/>
  <c r="W1995" i="16"/>
  <c r="AC1995" i="16" s="1"/>
  <c r="V1995" i="16"/>
  <c r="AB1995" i="16" s="1"/>
  <c r="X1994" i="16"/>
  <c r="AD1994" i="16" s="1"/>
  <c r="W1994" i="16"/>
  <c r="AC1994" i="16" s="1"/>
  <c r="V1994" i="16"/>
  <c r="AB1994" i="16" s="1"/>
  <c r="X1993" i="16"/>
  <c r="AD1993" i="16" s="1"/>
  <c r="W1993" i="16"/>
  <c r="AC1993" i="16" s="1"/>
  <c r="V1993" i="16"/>
  <c r="AB1993" i="16" s="1"/>
  <c r="X1992" i="16"/>
  <c r="AD1992" i="16" s="1"/>
  <c r="W1992" i="16"/>
  <c r="AC1992" i="16" s="1"/>
  <c r="V1992" i="16"/>
  <c r="AB1992" i="16" s="1"/>
  <c r="X1991" i="16"/>
  <c r="AD1991" i="16" s="1"/>
  <c r="W1991" i="16"/>
  <c r="AC1991" i="16" s="1"/>
  <c r="V1991" i="16"/>
  <c r="AB1991" i="16" s="1"/>
  <c r="X1990" i="16"/>
  <c r="AD1990" i="16" s="1"/>
  <c r="W1990" i="16"/>
  <c r="AC1990" i="16" s="1"/>
  <c r="V1990" i="16"/>
  <c r="AB1990" i="16" s="1"/>
  <c r="X1989" i="16"/>
  <c r="AD1989" i="16" s="1"/>
  <c r="W1989" i="16"/>
  <c r="AC1989" i="16" s="1"/>
  <c r="V1989" i="16"/>
  <c r="AB1989" i="16" s="1"/>
  <c r="X1988" i="16"/>
  <c r="AD1988" i="16" s="1"/>
  <c r="W1988" i="16"/>
  <c r="AC1988" i="16" s="1"/>
  <c r="V1988" i="16"/>
  <c r="AB1988" i="16" s="1"/>
  <c r="X1987" i="16"/>
  <c r="AD1987" i="16" s="1"/>
  <c r="W1987" i="16"/>
  <c r="AC1987" i="16" s="1"/>
  <c r="V1987" i="16"/>
  <c r="AB1987" i="16" s="1"/>
  <c r="X1986" i="16"/>
  <c r="AD1986" i="16" s="1"/>
  <c r="W1986" i="16"/>
  <c r="AC1986" i="16" s="1"/>
  <c r="V1986" i="16"/>
  <c r="AB1986" i="16" s="1"/>
  <c r="X1985" i="16"/>
  <c r="AD1985" i="16" s="1"/>
  <c r="W1985" i="16"/>
  <c r="AC1985" i="16" s="1"/>
  <c r="V1985" i="16"/>
  <c r="AB1985" i="16" s="1"/>
  <c r="X1984" i="16"/>
  <c r="AD1984" i="16" s="1"/>
  <c r="W1984" i="16"/>
  <c r="AC1984" i="16" s="1"/>
  <c r="V1984" i="16"/>
  <c r="AB1984" i="16" s="1"/>
  <c r="X1983" i="16"/>
  <c r="AD1983" i="16" s="1"/>
  <c r="W1983" i="16"/>
  <c r="AC1983" i="16" s="1"/>
  <c r="V1983" i="16"/>
  <c r="AB1983" i="16" s="1"/>
  <c r="X1982" i="16"/>
  <c r="AD1982" i="16" s="1"/>
  <c r="W1982" i="16"/>
  <c r="AC1982" i="16" s="1"/>
  <c r="V1982" i="16"/>
  <c r="AB1982" i="16" s="1"/>
  <c r="X1981" i="16"/>
  <c r="AD1981" i="16" s="1"/>
  <c r="W1981" i="16"/>
  <c r="AC1981" i="16" s="1"/>
  <c r="V1981" i="16"/>
  <c r="AB1981" i="16" s="1"/>
  <c r="X1980" i="16"/>
  <c r="AD1980" i="16" s="1"/>
  <c r="W1980" i="16"/>
  <c r="AC1980" i="16" s="1"/>
  <c r="V1980" i="16"/>
  <c r="AB1980" i="16" s="1"/>
  <c r="X1979" i="16"/>
  <c r="AD1979" i="16" s="1"/>
  <c r="W1979" i="16"/>
  <c r="AC1979" i="16" s="1"/>
  <c r="V1979" i="16"/>
  <c r="AB1979" i="16" s="1"/>
  <c r="X1978" i="16"/>
  <c r="AD1978" i="16" s="1"/>
  <c r="W1978" i="16"/>
  <c r="AC1978" i="16" s="1"/>
  <c r="V1978" i="16"/>
  <c r="AB1978" i="16" s="1"/>
  <c r="X1977" i="16"/>
  <c r="AD1977" i="16" s="1"/>
  <c r="W1977" i="16"/>
  <c r="AC1977" i="16" s="1"/>
  <c r="V1977" i="16"/>
  <c r="AB1977" i="16" s="1"/>
  <c r="X1976" i="16"/>
  <c r="AD1976" i="16" s="1"/>
  <c r="W1976" i="16"/>
  <c r="AC1976" i="16" s="1"/>
  <c r="V1976" i="16"/>
  <c r="AB1976" i="16" s="1"/>
  <c r="X1975" i="16"/>
  <c r="AD1975" i="16" s="1"/>
  <c r="W1975" i="16"/>
  <c r="AC1975" i="16" s="1"/>
  <c r="V1975" i="16"/>
  <c r="AB1975" i="16" s="1"/>
  <c r="X1974" i="16"/>
  <c r="AD1974" i="16" s="1"/>
  <c r="W1974" i="16"/>
  <c r="AC1974" i="16" s="1"/>
  <c r="V1974" i="16"/>
  <c r="AB1974" i="16" s="1"/>
  <c r="X1973" i="16"/>
  <c r="AD1973" i="16" s="1"/>
  <c r="W1973" i="16"/>
  <c r="AC1973" i="16" s="1"/>
  <c r="V1973" i="16"/>
  <c r="AB1973" i="16" s="1"/>
  <c r="X1972" i="16"/>
  <c r="AD1972" i="16" s="1"/>
  <c r="W1972" i="16"/>
  <c r="AC1972" i="16" s="1"/>
  <c r="V1972" i="16"/>
  <c r="AB1972" i="16" s="1"/>
  <c r="X1971" i="16"/>
  <c r="AD1971" i="16" s="1"/>
  <c r="W1971" i="16"/>
  <c r="AC1971" i="16" s="1"/>
  <c r="V1971" i="16"/>
  <c r="AB1971" i="16" s="1"/>
  <c r="X1970" i="16"/>
  <c r="AD1970" i="16" s="1"/>
  <c r="W1970" i="16"/>
  <c r="AC1970" i="16" s="1"/>
  <c r="V1970" i="16"/>
  <c r="AB1970" i="16" s="1"/>
  <c r="X1969" i="16"/>
  <c r="AD1969" i="16" s="1"/>
  <c r="W1969" i="16"/>
  <c r="AC1969" i="16" s="1"/>
  <c r="V1969" i="16"/>
  <c r="AB1969" i="16" s="1"/>
  <c r="X1968" i="16"/>
  <c r="AD1968" i="16" s="1"/>
  <c r="W1968" i="16"/>
  <c r="AC1968" i="16" s="1"/>
  <c r="V1968" i="16"/>
  <c r="AB1968" i="16" s="1"/>
  <c r="X1967" i="16"/>
  <c r="AD1967" i="16" s="1"/>
  <c r="W1967" i="16"/>
  <c r="AC1967" i="16" s="1"/>
  <c r="V1967" i="16"/>
  <c r="AB1967" i="16" s="1"/>
  <c r="X1966" i="16"/>
  <c r="AD1966" i="16" s="1"/>
  <c r="W1966" i="16"/>
  <c r="AC1966" i="16" s="1"/>
  <c r="V1966" i="16"/>
  <c r="AB1966" i="16" s="1"/>
  <c r="X1965" i="16"/>
  <c r="AD1965" i="16" s="1"/>
  <c r="W1965" i="16"/>
  <c r="AC1965" i="16" s="1"/>
  <c r="V1965" i="16"/>
  <c r="AB1965" i="16" s="1"/>
  <c r="X1964" i="16"/>
  <c r="AD1964" i="16" s="1"/>
  <c r="W1964" i="16"/>
  <c r="AC1964" i="16" s="1"/>
  <c r="V1964" i="16"/>
  <c r="AB1964" i="16" s="1"/>
  <c r="X1963" i="16"/>
  <c r="AD1963" i="16" s="1"/>
  <c r="W1963" i="16"/>
  <c r="AC1963" i="16" s="1"/>
  <c r="V1963" i="16"/>
  <c r="AB1963" i="16" s="1"/>
  <c r="X1962" i="16"/>
  <c r="AD1962" i="16" s="1"/>
  <c r="W1962" i="16"/>
  <c r="AC1962" i="16" s="1"/>
  <c r="V1962" i="16"/>
  <c r="AB1962" i="16" s="1"/>
  <c r="X1961" i="16"/>
  <c r="AD1961" i="16" s="1"/>
  <c r="W1961" i="16"/>
  <c r="AC1961" i="16" s="1"/>
  <c r="V1961" i="16"/>
  <c r="AB1961" i="16" s="1"/>
  <c r="X1960" i="16"/>
  <c r="AD1960" i="16" s="1"/>
  <c r="W1960" i="16"/>
  <c r="AC1960" i="16" s="1"/>
  <c r="V1960" i="16"/>
  <c r="AB1960" i="16" s="1"/>
  <c r="X1959" i="16"/>
  <c r="AD1959" i="16" s="1"/>
  <c r="W1959" i="16"/>
  <c r="AC1959" i="16" s="1"/>
  <c r="V1959" i="16"/>
  <c r="AB1959" i="16" s="1"/>
  <c r="X1958" i="16"/>
  <c r="AD1958" i="16" s="1"/>
  <c r="W1958" i="16"/>
  <c r="AC1958" i="16" s="1"/>
  <c r="V1958" i="16"/>
  <c r="AB1958" i="16" s="1"/>
  <c r="X1957" i="16"/>
  <c r="AD1957" i="16" s="1"/>
  <c r="W1957" i="16"/>
  <c r="AC1957" i="16" s="1"/>
  <c r="V1957" i="16"/>
  <c r="AB1957" i="16" s="1"/>
  <c r="X1956" i="16"/>
  <c r="AD1956" i="16" s="1"/>
  <c r="W1956" i="16"/>
  <c r="AC1956" i="16" s="1"/>
  <c r="V1956" i="16"/>
  <c r="AB1956" i="16" s="1"/>
  <c r="X1955" i="16"/>
  <c r="AD1955" i="16" s="1"/>
  <c r="W1955" i="16"/>
  <c r="AC1955" i="16" s="1"/>
  <c r="V1955" i="16"/>
  <c r="AB1955" i="16" s="1"/>
  <c r="X1954" i="16"/>
  <c r="AD1954" i="16" s="1"/>
  <c r="W1954" i="16"/>
  <c r="AC1954" i="16" s="1"/>
  <c r="V1954" i="16"/>
  <c r="AB1954" i="16" s="1"/>
  <c r="X1953" i="16"/>
  <c r="AD1953" i="16" s="1"/>
  <c r="W1953" i="16"/>
  <c r="AC1953" i="16" s="1"/>
  <c r="V1953" i="16"/>
  <c r="AB1953" i="16" s="1"/>
  <c r="X1952" i="16"/>
  <c r="AD1952" i="16" s="1"/>
  <c r="W1952" i="16"/>
  <c r="AC1952" i="16" s="1"/>
  <c r="V1952" i="16"/>
  <c r="AB1952" i="16" s="1"/>
  <c r="X1951" i="16"/>
  <c r="AD1951" i="16" s="1"/>
  <c r="W1951" i="16"/>
  <c r="AC1951" i="16" s="1"/>
  <c r="V1951" i="16"/>
  <c r="AB1951" i="16" s="1"/>
  <c r="X1950" i="16"/>
  <c r="AD1950" i="16" s="1"/>
  <c r="W1950" i="16"/>
  <c r="AC1950" i="16" s="1"/>
  <c r="V1950" i="16"/>
  <c r="AB1950" i="16" s="1"/>
  <c r="X1949" i="16"/>
  <c r="AD1949" i="16" s="1"/>
  <c r="W1949" i="16"/>
  <c r="AC1949" i="16" s="1"/>
  <c r="V1949" i="16"/>
  <c r="AB1949" i="16" s="1"/>
  <c r="X1948" i="16"/>
  <c r="AD1948" i="16" s="1"/>
  <c r="W1948" i="16"/>
  <c r="AC1948" i="16" s="1"/>
  <c r="V1948" i="16"/>
  <c r="AB1948" i="16" s="1"/>
  <c r="X1947" i="16"/>
  <c r="AD1947" i="16" s="1"/>
  <c r="W1947" i="16"/>
  <c r="AC1947" i="16" s="1"/>
  <c r="V1947" i="16"/>
  <c r="AB1947" i="16" s="1"/>
  <c r="X1946" i="16"/>
  <c r="AD1946" i="16" s="1"/>
  <c r="W1946" i="16"/>
  <c r="AC1946" i="16" s="1"/>
  <c r="V1946" i="16"/>
  <c r="AB1946" i="16" s="1"/>
  <c r="X1945" i="16"/>
  <c r="AD1945" i="16" s="1"/>
  <c r="W1945" i="16"/>
  <c r="AC1945" i="16" s="1"/>
  <c r="V1945" i="16"/>
  <c r="AB1945" i="16" s="1"/>
  <c r="X1944" i="16"/>
  <c r="AD1944" i="16" s="1"/>
  <c r="W1944" i="16"/>
  <c r="AC1944" i="16" s="1"/>
  <c r="V1944" i="16"/>
  <c r="AB1944" i="16" s="1"/>
  <c r="X1943" i="16"/>
  <c r="AD1943" i="16" s="1"/>
  <c r="W1943" i="16"/>
  <c r="AC1943" i="16" s="1"/>
  <c r="V1943" i="16"/>
  <c r="AB1943" i="16" s="1"/>
  <c r="X1942" i="16"/>
  <c r="AD1942" i="16" s="1"/>
  <c r="W1942" i="16"/>
  <c r="AC1942" i="16" s="1"/>
  <c r="V1942" i="16"/>
  <c r="AB1942" i="16" s="1"/>
  <c r="X1941" i="16"/>
  <c r="AD1941" i="16" s="1"/>
  <c r="W1941" i="16"/>
  <c r="AC1941" i="16" s="1"/>
  <c r="V1941" i="16"/>
  <c r="AB1941" i="16" s="1"/>
  <c r="X1940" i="16"/>
  <c r="AD1940" i="16" s="1"/>
  <c r="W1940" i="16"/>
  <c r="AC1940" i="16" s="1"/>
  <c r="V1940" i="16"/>
  <c r="AB1940" i="16" s="1"/>
  <c r="X1939" i="16"/>
  <c r="AD1939" i="16" s="1"/>
  <c r="W1939" i="16"/>
  <c r="AC1939" i="16" s="1"/>
  <c r="V1939" i="16"/>
  <c r="AB1939" i="16" s="1"/>
  <c r="X1938" i="16"/>
  <c r="AD1938" i="16" s="1"/>
  <c r="W1938" i="16"/>
  <c r="AC1938" i="16" s="1"/>
  <c r="V1938" i="16"/>
  <c r="AB1938" i="16" s="1"/>
  <c r="X1937" i="16"/>
  <c r="AD1937" i="16" s="1"/>
  <c r="W1937" i="16"/>
  <c r="AC1937" i="16" s="1"/>
  <c r="V1937" i="16"/>
  <c r="AB1937" i="16" s="1"/>
  <c r="X1936" i="16"/>
  <c r="AD1936" i="16" s="1"/>
  <c r="W1936" i="16"/>
  <c r="AC1936" i="16" s="1"/>
  <c r="V1936" i="16"/>
  <c r="AB1936" i="16" s="1"/>
  <c r="X1935" i="16"/>
  <c r="AD1935" i="16" s="1"/>
  <c r="W1935" i="16"/>
  <c r="AC1935" i="16" s="1"/>
  <c r="V1935" i="16"/>
  <c r="AB1935" i="16" s="1"/>
  <c r="X1934" i="16"/>
  <c r="AD1934" i="16" s="1"/>
  <c r="W1934" i="16"/>
  <c r="AC1934" i="16" s="1"/>
  <c r="V1934" i="16"/>
  <c r="AB1934" i="16" s="1"/>
  <c r="X1933" i="16"/>
  <c r="AD1933" i="16" s="1"/>
  <c r="W1933" i="16"/>
  <c r="AC1933" i="16" s="1"/>
  <c r="V1933" i="16"/>
  <c r="AB1933" i="16" s="1"/>
  <c r="X1932" i="16"/>
  <c r="AD1932" i="16" s="1"/>
  <c r="W1932" i="16"/>
  <c r="AC1932" i="16" s="1"/>
  <c r="V1932" i="16"/>
  <c r="AB1932" i="16" s="1"/>
  <c r="X1931" i="16"/>
  <c r="AD1931" i="16" s="1"/>
  <c r="W1931" i="16"/>
  <c r="AC1931" i="16" s="1"/>
  <c r="V1931" i="16"/>
  <c r="AB1931" i="16" s="1"/>
  <c r="X1930" i="16"/>
  <c r="AD1930" i="16" s="1"/>
  <c r="W1930" i="16"/>
  <c r="AC1930" i="16" s="1"/>
  <c r="V1930" i="16"/>
  <c r="AB1930" i="16" s="1"/>
  <c r="X1929" i="16"/>
  <c r="AD1929" i="16" s="1"/>
  <c r="W1929" i="16"/>
  <c r="AC1929" i="16" s="1"/>
  <c r="V1929" i="16"/>
  <c r="AB1929" i="16" s="1"/>
  <c r="X1928" i="16"/>
  <c r="AD1928" i="16" s="1"/>
  <c r="W1928" i="16"/>
  <c r="AC1928" i="16" s="1"/>
  <c r="V1928" i="16"/>
  <c r="AB1928" i="16" s="1"/>
  <c r="X1927" i="16"/>
  <c r="AD1927" i="16" s="1"/>
  <c r="W1927" i="16"/>
  <c r="AC1927" i="16" s="1"/>
  <c r="V1927" i="16"/>
  <c r="AB1927" i="16" s="1"/>
  <c r="X1926" i="16"/>
  <c r="AD1926" i="16" s="1"/>
  <c r="W1926" i="16"/>
  <c r="AC1926" i="16" s="1"/>
  <c r="V1926" i="16"/>
  <c r="AB1926" i="16" s="1"/>
  <c r="X1925" i="16"/>
  <c r="AD1925" i="16" s="1"/>
  <c r="W1925" i="16"/>
  <c r="AC1925" i="16" s="1"/>
  <c r="V1925" i="16"/>
  <c r="AB1925" i="16" s="1"/>
  <c r="X1924" i="16"/>
  <c r="AD1924" i="16" s="1"/>
  <c r="W1924" i="16"/>
  <c r="AC1924" i="16" s="1"/>
  <c r="V1924" i="16"/>
  <c r="AB1924" i="16" s="1"/>
  <c r="X1923" i="16"/>
  <c r="AD1923" i="16" s="1"/>
  <c r="W1923" i="16"/>
  <c r="AC1923" i="16" s="1"/>
  <c r="V1923" i="16"/>
  <c r="AB1923" i="16" s="1"/>
  <c r="X1922" i="16"/>
  <c r="AD1922" i="16" s="1"/>
  <c r="W1922" i="16"/>
  <c r="AC1922" i="16" s="1"/>
  <c r="V1922" i="16"/>
  <c r="AB1922" i="16" s="1"/>
  <c r="X1921" i="16"/>
  <c r="AD1921" i="16" s="1"/>
  <c r="W1921" i="16"/>
  <c r="AC1921" i="16" s="1"/>
  <c r="V1921" i="16"/>
  <c r="AB1921" i="16" s="1"/>
  <c r="X1920" i="16"/>
  <c r="AD1920" i="16" s="1"/>
  <c r="W1920" i="16"/>
  <c r="AC1920" i="16" s="1"/>
  <c r="V1920" i="16"/>
  <c r="AB1920" i="16" s="1"/>
  <c r="X1919" i="16"/>
  <c r="AD1919" i="16" s="1"/>
  <c r="W1919" i="16"/>
  <c r="AC1919" i="16" s="1"/>
  <c r="V1919" i="16"/>
  <c r="AB1919" i="16" s="1"/>
  <c r="X1918" i="16"/>
  <c r="AD1918" i="16" s="1"/>
  <c r="W1918" i="16"/>
  <c r="AC1918" i="16" s="1"/>
  <c r="V1918" i="16"/>
  <c r="AB1918" i="16" s="1"/>
  <c r="X1917" i="16"/>
  <c r="AD1917" i="16" s="1"/>
  <c r="W1917" i="16"/>
  <c r="AC1917" i="16" s="1"/>
  <c r="V1917" i="16"/>
  <c r="AB1917" i="16" s="1"/>
  <c r="X1916" i="16"/>
  <c r="AD1916" i="16" s="1"/>
  <c r="W1916" i="16"/>
  <c r="AC1916" i="16" s="1"/>
  <c r="V1916" i="16"/>
  <c r="AB1916" i="16" s="1"/>
  <c r="X1915" i="16"/>
  <c r="AD1915" i="16" s="1"/>
  <c r="W1915" i="16"/>
  <c r="AC1915" i="16" s="1"/>
  <c r="V1915" i="16"/>
  <c r="AB1915" i="16" s="1"/>
  <c r="X1914" i="16"/>
  <c r="AD1914" i="16" s="1"/>
  <c r="W1914" i="16"/>
  <c r="AC1914" i="16" s="1"/>
  <c r="V1914" i="16"/>
  <c r="AB1914" i="16" s="1"/>
  <c r="X1913" i="16"/>
  <c r="AD1913" i="16" s="1"/>
  <c r="W1913" i="16"/>
  <c r="AC1913" i="16" s="1"/>
  <c r="V1913" i="16"/>
  <c r="AB1913" i="16" s="1"/>
  <c r="X1912" i="16"/>
  <c r="AD1912" i="16" s="1"/>
  <c r="W1912" i="16"/>
  <c r="AC1912" i="16" s="1"/>
  <c r="V1912" i="16"/>
  <c r="AB1912" i="16" s="1"/>
  <c r="X1911" i="16"/>
  <c r="AD1911" i="16" s="1"/>
  <c r="W1911" i="16"/>
  <c r="AC1911" i="16" s="1"/>
  <c r="V1911" i="16"/>
  <c r="AB1911" i="16" s="1"/>
  <c r="X1910" i="16"/>
  <c r="AD1910" i="16" s="1"/>
  <c r="W1910" i="16"/>
  <c r="AC1910" i="16" s="1"/>
  <c r="V1910" i="16"/>
  <c r="AB1910" i="16" s="1"/>
  <c r="X1909" i="16"/>
  <c r="AD1909" i="16" s="1"/>
  <c r="W1909" i="16"/>
  <c r="AC1909" i="16" s="1"/>
  <c r="V1909" i="16"/>
  <c r="AB1909" i="16" s="1"/>
  <c r="X1908" i="16"/>
  <c r="AD1908" i="16" s="1"/>
  <c r="W1908" i="16"/>
  <c r="AC1908" i="16" s="1"/>
  <c r="V1908" i="16"/>
  <c r="AB1908" i="16" s="1"/>
  <c r="X1907" i="16"/>
  <c r="AD1907" i="16" s="1"/>
  <c r="W1907" i="16"/>
  <c r="AC1907" i="16" s="1"/>
  <c r="V1907" i="16"/>
  <c r="AB1907" i="16" s="1"/>
  <c r="X1906" i="16"/>
  <c r="AD1906" i="16" s="1"/>
  <c r="W1906" i="16"/>
  <c r="AC1906" i="16" s="1"/>
  <c r="V1906" i="16"/>
  <c r="AB1906" i="16" s="1"/>
  <c r="X1905" i="16"/>
  <c r="AD1905" i="16" s="1"/>
  <c r="W1905" i="16"/>
  <c r="AC1905" i="16" s="1"/>
  <c r="V1905" i="16"/>
  <c r="AB1905" i="16" s="1"/>
  <c r="X1904" i="16"/>
  <c r="AD1904" i="16" s="1"/>
  <c r="W1904" i="16"/>
  <c r="AC1904" i="16" s="1"/>
  <c r="V1904" i="16"/>
  <c r="AB1904" i="16" s="1"/>
  <c r="X1903" i="16"/>
  <c r="AD1903" i="16" s="1"/>
  <c r="W1903" i="16"/>
  <c r="AC1903" i="16" s="1"/>
  <c r="V1903" i="16"/>
  <c r="AB1903" i="16" s="1"/>
  <c r="X1902" i="16"/>
  <c r="AD1902" i="16" s="1"/>
  <c r="W1902" i="16"/>
  <c r="AC1902" i="16" s="1"/>
  <c r="V1902" i="16"/>
  <c r="AB1902" i="16" s="1"/>
  <c r="X1901" i="16"/>
  <c r="AD1901" i="16" s="1"/>
  <c r="W1901" i="16"/>
  <c r="AC1901" i="16" s="1"/>
  <c r="V1901" i="16"/>
  <c r="AB1901" i="16" s="1"/>
  <c r="X1900" i="16"/>
  <c r="AD1900" i="16" s="1"/>
  <c r="W1900" i="16"/>
  <c r="AC1900" i="16" s="1"/>
  <c r="V1900" i="16"/>
  <c r="AB1900" i="16" s="1"/>
  <c r="X1899" i="16"/>
  <c r="AD1899" i="16" s="1"/>
  <c r="W1899" i="16"/>
  <c r="AC1899" i="16" s="1"/>
  <c r="V1899" i="16"/>
  <c r="AB1899" i="16" s="1"/>
  <c r="X1898" i="16"/>
  <c r="AD1898" i="16" s="1"/>
  <c r="W1898" i="16"/>
  <c r="AC1898" i="16" s="1"/>
  <c r="V1898" i="16"/>
  <c r="AB1898" i="16" s="1"/>
  <c r="X1897" i="16"/>
  <c r="AD1897" i="16" s="1"/>
  <c r="W1897" i="16"/>
  <c r="AC1897" i="16" s="1"/>
  <c r="V1897" i="16"/>
  <c r="AB1897" i="16" s="1"/>
  <c r="X1896" i="16"/>
  <c r="AD1896" i="16" s="1"/>
  <c r="W1896" i="16"/>
  <c r="AC1896" i="16" s="1"/>
  <c r="V1896" i="16"/>
  <c r="AB1896" i="16" s="1"/>
  <c r="X1895" i="16"/>
  <c r="AD1895" i="16" s="1"/>
  <c r="W1895" i="16"/>
  <c r="AC1895" i="16" s="1"/>
  <c r="V1895" i="16"/>
  <c r="AB1895" i="16" s="1"/>
  <c r="X1894" i="16"/>
  <c r="AD1894" i="16" s="1"/>
  <c r="W1894" i="16"/>
  <c r="AC1894" i="16" s="1"/>
  <c r="V1894" i="16"/>
  <c r="AB1894" i="16" s="1"/>
  <c r="X1893" i="16"/>
  <c r="AD1893" i="16" s="1"/>
  <c r="W1893" i="16"/>
  <c r="AC1893" i="16" s="1"/>
  <c r="V1893" i="16"/>
  <c r="AB1893" i="16" s="1"/>
  <c r="X1892" i="16"/>
  <c r="AD1892" i="16" s="1"/>
  <c r="W1892" i="16"/>
  <c r="AC1892" i="16" s="1"/>
  <c r="V1892" i="16"/>
  <c r="AB1892" i="16" s="1"/>
  <c r="X1891" i="16"/>
  <c r="AD1891" i="16" s="1"/>
  <c r="W1891" i="16"/>
  <c r="AC1891" i="16" s="1"/>
  <c r="V1891" i="16"/>
  <c r="AB1891" i="16" s="1"/>
  <c r="X1890" i="16"/>
  <c r="AD1890" i="16" s="1"/>
  <c r="W1890" i="16"/>
  <c r="AC1890" i="16" s="1"/>
  <c r="V1890" i="16"/>
  <c r="AB1890" i="16" s="1"/>
  <c r="X1889" i="16"/>
  <c r="AD1889" i="16" s="1"/>
  <c r="W1889" i="16"/>
  <c r="AC1889" i="16" s="1"/>
  <c r="V1889" i="16"/>
  <c r="AB1889" i="16" s="1"/>
  <c r="X1888" i="16"/>
  <c r="AD1888" i="16" s="1"/>
  <c r="W1888" i="16"/>
  <c r="AC1888" i="16" s="1"/>
  <c r="V1888" i="16"/>
  <c r="AB1888" i="16" s="1"/>
  <c r="X1887" i="16"/>
  <c r="AD1887" i="16" s="1"/>
  <c r="W1887" i="16"/>
  <c r="AC1887" i="16" s="1"/>
  <c r="V1887" i="16"/>
  <c r="AB1887" i="16" s="1"/>
  <c r="X1886" i="16"/>
  <c r="AD1886" i="16" s="1"/>
  <c r="AO7" i="16" s="1"/>
  <c r="W1886" i="16"/>
  <c r="AC1886" i="16" s="1"/>
  <c r="V1886" i="16"/>
  <c r="AB1886" i="16" s="1"/>
  <c r="X1885" i="16"/>
  <c r="AD1885" i="16" s="1"/>
  <c r="W1885" i="16"/>
  <c r="AC1885" i="16" s="1"/>
  <c r="V1885" i="16"/>
  <c r="AB1885" i="16" s="1"/>
  <c r="X1884" i="16"/>
  <c r="AD1884" i="16" s="1"/>
  <c r="W1884" i="16"/>
  <c r="AC1884" i="16" s="1"/>
  <c r="V1884" i="16"/>
  <c r="AB1884" i="16" s="1"/>
  <c r="X1883" i="16"/>
  <c r="AD1883" i="16" s="1"/>
  <c r="W1883" i="16"/>
  <c r="AC1883" i="16" s="1"/>
  <c r="V1883" i="16"/>
  <c r="AB1883" i="16" s="1"/>
  <c r="X1882" i="16"/>
  <c r="AD1882" i="16" s="1"/>
  <c r="W1882" i="16"/>
  <c r="AC1882" i="16" s="1"/>
  <c r="V1882" i="16"/>
  <c r="AB1882" i="16" s="1"/>
  <c r="X1881" i="16"/>
  <c r="AD1881" i="16" s="1"/>
  <c r="W1881" i="16"/>
  <c r="AC1881" i="16" s="1"/>
  <c r="V1881" i="16"/>
  <c r="AB1881" i="16" s="1"/>
  <c r="X1880" i="16"/>
  <c r="AD1880" i="16" s="1"/>
  <c r="W1880" i="16"/>
  <c r="AC1880" i="16" s="1"/>
  <c r="V1880" i="16"/>
  <c r="AB1880" i="16" s="1"/>
  <c r="X1879" i="16"/>
  <c r="AD1879" i="16" s="1"/>
  <c r="W1879" i="16"/>
  <c r="AC1879" i="16" s="1"/>
  <c r="V1879" i="16"/>
  <c r="AB1879" i="16" s="1"/>
  <c r="X1878" i="16"/>
  <c r="AD1878" i="16" s="1"/>
  <c r="W1878" i="16"/>
  <c r="AC1878" i="16" s="1"/>
  <c r="V1878" i="16"/>
  <c r="AB1878" i="16" s="1"/>
  <c r="X1877" i="16"/>
  <c r="AD1877" i="16" s="1"/>
  <c r="W1877" i="16"/>
  <c r="AC1877" i="16" s="1"/>
  <c r="V1877" i="16"/>
  <c r="AB1877" i="16" s="1"/>
  <c r="X1876" i="16"/>
  <c r="AD1876" i="16" s="1"/>
  <c r="W1876" i="16"/>
  <c r="AC1876" i="16" s="1"/>
  <c r="V1876" i="16"/>
  <c r="AB1876" i="16" s="1"/>
  <c r="X1875" i="16"/>
  <c r="AD1875" i="16" s="1"/>
  <c r="W1875" i="16"/>
  <c r="AC1875" i="16" s="1"/>
  <c r="V1875" i="16"/>
  <c r="AB1875" i="16" s="1"/>
  <c r="X1874" i="16"/>
  <c r="AD1874" i="16" s="1"/>
  <c r="W1874" i="16"/>
  <c r="AC1874" i="16" s="1"/>
  <c r="V1874" i="16"/>
  <c r="AB1874" i="16" s="1"/>
  <c r="X1873" i="16"/>
  <c r="AD1873" i="16" s="1"/>
  <c r="W1873" i="16"/>
  <c r="AC1873" i="16" s="1"/>
  <c r="V1873" i="16"/>
  <c r="AB1873" i="16" s="1"/>
  <c r="X1872" i="16"/>
  <c r="AD1872" i="16" s="1"/>
  <c r="W1872" i="16"/>
  <c r="AC1872" i="16" s="1"/>
  <c r="V1872" i="16"/>
  <c r="AB1872" i="16" s="1"/>
  <c r="X1871" i="16"/>
  <c r="AD1871" i="16" s="1"/>
  <c r="W1871" i="16"/>
  <c r="AC1871" i="16" s="1"/>
  <c r="V1871" i="16"/>
  <c r="AB1871" i="16" s="1"/>
  <c r="X1870" i="16"/>
  <c r="AD1870" i="16" s="1"/>
  <c r="W1870" i="16"/>
  <c r="AC1870" i="16" s="1"/>
  <c r="V1870" i="16"/>
  <c r="AB1870" i="16" s="1"/>
  <c r="X1869" i="16"/>
  <c r="AD1869" i="16" s="1"/>
  <c r="W1869" i="16"/>
  <c r="AC1869" i="16" s="1"/>
  <c r="V1869" i="16"/>
  <c r="AB1869" i="16" s="1"/>
  <c r="X1868" i="16"/>
  <c r="AD1868" i="16" s="1"/>
  <c r="W1868" i="16"/>
  <c r="AC1868" i="16" s="1"/>
  <c r="V1868" i="16"/>
  <c r="AB1868" i="16" s="1"/>
  <c r="X1867" i="16"/>
  <c r="AD1867" i="16" s="1"/>
  <c r="W1867" i="16"/>
  <c r="AC1867" i="16" s="1"/>
  <c r="V1867" i="16"/>
  <c r="AB1867" i="16" s="1"/>
  <c r="X1866" i="16"/>
  <c r="AD1866" i="16" s="1"/>
  <c r="W1866" i="16"/>
  <c r="AC1866" i="16" s="1"/>
  <c r="V1866" i="16"/>
  <c r="AB1866" i="16" s="1"/>
  <c r="X1865" i="16"/>
  <c r="AD1865" i="16" s="1"/>
  <c r="W1865" i="16"/>
  <c r="AC1865" i="16" s="1"/>
  <c r="V1865" i="16"/>
  <c r="AB1865" i="16" s="1"/>
  <c r="X1864" i="16"/>
  <c r="AD1864" i="16" s="1"/>
  <c r="W1864" i="16"/>
  <c r="AC1864" i="16" s="1"/>
  <c r="V1864" i="16"/>
  <c r="AB1864" i="16" s="1"/>
  <c r="X1863" i="16"/>
  <c r="AD1863" i="16" s="1"/>
  <c r="W1863" i="16"/>
  <c r="AC1863" i="16" s="1"/>
  <c r="V1863" i="16"/>
  <c r="AB1863" i="16" s="1"/>
  <c r="X1862" i="16"/>
  <c r="AD1862" i="16" s="1"/>
  <c r="W1862" i="16"/>
  <c r="AC1862" i="16" s="1"/>
  <c r="V1862" i="16"/>
  <c r="AB1862" i="16" s="1"/>
  <c r="X1861" i="16"/>
  <c r="AD1861" i="16" s="1"/>
  <c r="W1861" i="16"/>
  <c r="AC1861" i="16" s="1"/>
  <c r="V1861" i="16"/>
  <c r="AB1861" i="16" s="1"/>
  <c r="X1860" i="16"/>
  <c r="AD1860" i="16" s="1"/>
  <c r="W1860" i="16"/>
  <c r="AC1860" i="16" s="1"/>
  <c r="V1860" i="16"/>
  <c r="AB1860" i="16" s="1"/>
  <c r="X1859" i="16"/>
  <c r="AD1859" i="16" s="1"/>
  <c r="W1859" i="16"/>
  <c r="AC1859" i="16" s="1"/>
  <c r="V1859" i="16"/>
  <c r="AB1859" i="16" s="1"/>
  <c r="X1858" i="16"/>
  <c r="AD1858" i="16" s="1"/>
  <c r="W1858" i="16"/>
  <c r="AC1858" i="16" s="1"/>
  <c r="V1858" i="16"/>
  <c r="AB1858" i="16" s="1"/>
  <c r="X1857" i="16"/>
  <c r="AD1857" i="16" s="1"/>
  <c r="W1857" i="16"/>
  <c r="AC1857" i="16" s="1"/>
  <c r="V1857" i="16"/>
  <c r="AB1857" i="16" s="1"/>
  <c r="X1856" i="16"/>
  <c r="AD1856" i="16" s="1"/>
  <c r="W1856" i="16"/>
  <c r="AC1856" i="16" s="1"/>
  <c r="V1856" i="16"/>
  <c r="AB1856" i="16" s="1"/>
  <c r="X1855" i="16"/>
  <c r="AD1855" i="16" s="1"/>
  <c r="W1855" i="16"/>
  <c r="AC1855" i="16" s="1"/>
  <c r="V1855" i="16"/>
  <c r="AB1855" i="16" s="1"/>
  <c r="X1854" i="16"/>
  <c r="AD1854" i="16" s="1"/>
  <c r="W1854" i="16"/>
  <c r="AC1854" i="16" s="1"/>
  <c r="V1854" i="16"/>
  <c r="AB1854" i="16" s="1"/>
  <c r="X1853" i="16"/>
  <c r="AD1853" i="16" s="1"/>
  <c r="W1853" i="16"/>
  <c r="AC1853" i="16" s="1"/>
  <c r="V1853" i="16"/>
  <c r="AB1853" i="16" s="1"/>
  <c r="X1852" i="16"/>
  <c r="AD1852" i="16" s="1"/>
  <c r="W1852" i="16"/>
  <c r="AC1852" i="16" s="1"/>
  <c r="V1852" i="16"/>
  <c r="AB1852" i="16" s="1"/>
  <c r="X1851" i="16"/>
  <c r="AD1851" i="16" s="1"/>
  <c r="W1851" i="16"/>
  <c r="AC1851" i="16" s="1"/>
  <c r="V1851" i="16"/>
  <c r="AB1851" i="16" s="1"/>
  <c r="X1850" i="16"/>
  <c r="AD1850" i="16" s="1"/>
  <c r="W1850" i="16"/>
  <c r="AC1850" i="16" s="1"/>
  <c r="V1850" i="16"/>
  <c r="AB1850" i="16" s="1"/>
  <c r="X1849" i="16"/>
  <c r="AD1849" i="16" s="1"/>
  <c r="W1849" i="16"/>
  <c r="AC1849" i="16" s="1"/>
  <c r="V1849" i="16"/>
  <c r="AB1849" i="16" s="1"/>
  <c r="X1848" i="16"/>
  <c r="AD1848" i="16" s="1"/>
  <c r="W1848" i="16"/>
  <c r="AC1848" i="16" s="1"/>
  <c r="V1848" i="16"/>
  <c r="AB1848" i="16" s="1"/>
  <c r="X1847" i="16"/>
  <c r="AD1847" i="16" s="1"/>
  <c r="W1847" i="16"/>
  <c r="AC1847" i="16" s="1"/>
  <c r="V1847" i="16"/>
  <c r="AB1847" i="16" s="1"/>
  <c r="X1846" i="16"/>
  <c r="AD1846" i="16" s="1"/>
  <c r="W1846" i="16"/>
  <c r="AC1846" i="16" s="1"/>
  <c r="V1846" i="16"/>
  <c r="AB1846" i="16" s="1"/>
  <c r="X1845" i="16"/>
  <c r="AD1845" i="16" s="1"/>
  <c r="W1845" i="16"/>
  <c r="AC1845" i="16" s="1"/>
  <c r="V1845" i="16"/>
  <c r="AB1845" i="16" s="1"/>
  <c r="X1844" i="16"/>
  <c r="AD1844" i="16" s="1"/>
  <c r="W1844" i="16"/>
  <c r="AC1844" i="16" s="1"/>
  <c r="V1844" i="16"/>
  <c r="AB1844" i="16" s="1"/>
  <c r="X1843" i="16"/>
  <c r="AD1843" i="16" s="1"/>
  <c r="W1843" i="16"/>
  <c r="AC1843" i="16" s="1"/>
  <c r="V1843" i="16"/>
  <c r="AB1843" i="16" s="1"/>
  <c r="X1842" i="16"/>
  <c r="AD1842" i="16" s="1"/>
  <c r="W1842" i="16"/>
  <c r="AC1842" i="16" s="1"/>
  <c r="V1842" i="16"/>
  <c r="AB1842" i="16" s="1"/>
  <c r="X1841" i="16"/>
  <c r="AD1841" i="16" s="1"/>
  <c r="W1841" i="16"/>
  <c r="AC1841" i="16" s="1"/>
  <c r="V1841" i="16"/>
  <c r="AB1841" i="16" s="1"/>
  <c r="X1840" i="16"/>
  <c r="AD1840" i="16" s="1"/>
  <c r="W1840" i="16"/>
  <c r="AC1840" i="16" s="1"/>
  <c r="V1840" i="16"/>
  <c r="AB1840" i="16" s="1"/>
  <c r="X1839" i="16"/>
  <c r="AD1839" i="16" s="1"/>
  <c r="W1839" i="16"/>
  <c r="AC1839" i="16" s="1"/>
  <c r="V1839" i="16"/>
  <c r="AB1839" i="16" s="1"/>
  <c r="X1838" i="16"/>
  <c r="AD1838" i="16" s="1"/>
  <c r="W1838" i="16"/>
  <c r="AC1838" i="16" s="1"/>
  <c r="V1838" i="16"/>
  <c r="AB1838" i="16" s="1"/>
  <c r="X1837" i="16"/>
  <c r="AD1837" i="16" s="1"/>
  <c r="W1837" i="16"/>
  <c r="AC1837" i="16" s="1"/>
  <c r="V1837" i="16"/>
  <c r="AB1837" i="16" s="1"/>
  <c r="X1836" i="16"/>
  <c r="AD1836" i="16" s="1"/>
  <c r="W1836" i="16"/>
  <c r="AC1836" i="16" s="1"/>
  <c r="V1836" i="16"/>
  <c r="AB1836" i="16" s="1"/>
  <c r="X1835" i="16"/>
  <c r="AD1835" i="16" s="1"/>
  <c r="W1835" i="16"/>
  <c r="AC1835" i="16" s="1"/>
  <c r="V1835" i="16"/>
  <c r="AB1835" i="16" s="1"/>
  <c r="X1834" i="16"/>
  <c r="AD1834" i="16" s="1"/>
  <c r="W1834" i="16"/>
  <c r="AC1834" i="16" s="1"/>
  <c r="V1834" i="16"/>
  <c r="AB1834" i="16" s="1"/>
  <c r="X1833" i="16"/>
  <c r="AD1833" i="16" s="1"/>
  <c r="W1833" i="16"/>
  <c r="AC1833" i="16" s="1"/>
  <c r="V1833" i="16"/>
  <c r="AB1833" i="16" s="1"/>
  <c r="X1832" i="16"/>
  <c r="AD1832" i="16" s="1"/>
  <c r="W1832" i="16"/>
  <c r="AC1832" i="16" s="1"/>
  <c r="V1832" i="16"/>
  <c r="AB1832" i="16" s="1"/>
  <c r="X1831" i="16"/>
  <c r="AD1831" i="16" s="1"/>
  <c r="W1831" i="16"/>
  <c r="AC1831" i="16" s="1"/>
  <c r="V1831" i="16"/>
  <c r="AB1831" i="16" s="1"/>
  <c r="X1830" i="16"/>
  <c r="AD1830" i="16" s="1"/>
  <c r="W1830" i="16"/>
  <c r="AC1830" i="16" s="1"/>
  <c r="V1830" i="16"/>
  <c r="AB1830" i="16" s="1"/>
  <c r="X1829" i="16"/>
  <c r="AD1829" i="16" s="1"/>
  <c r="W1829" i="16"/>
  <c r="AC1829" i="16" s="1"/>
  <c r="V1829" i="16"/>
  <c r="AB1829" i="16" s="1"/>
  <c r="X1828" i="16"/>
  <c r="AD1828" i="16" s="1"/>
  <c r="W1828" i="16"/>
  <c r="AC1828" i="16" s="1"/>
  <c r="V1828" i="16"/>
  <c r="AB1828" i="16" s="1"/>
  <c r="X1827" i="16"/>
  <c r="AD1827" i="16" s="1"/>
  <c r="W1827" i="16"/>
  <c r="AC1827" i="16" s="1"/>
  <c r="V1827" i="16"/>
  <c r="AB1827" i="16" s="1"/>
  <c r="X1826" i="16"/>
  <c r="AD1826" i="16" s="1"/>
  <c r="W1826" i="16"/>
  <c r="AC1826" i="16" s="1"/>
  <c r="V1826" i="16"/>
  <c r="AB1826" i="16" s="1"/>
  <c r="X1825" i="16"/>
  <c r="AD1825" i="16" s="1"/>
  <c r="W1825" i="16"/>
  <c r="AC1825" i="16" s="1"/>
  <c r="V1825" i="16"/>
  <c r="AB1825" i="16" s="1"/>
  <c r="X1824" i="16"/>
  <c r="AD1824" i="16" s="1"/>
  <c r="W1824" i="16"/>
  <c r="AC1824" i="16" s="1"/>
  <c r="V1824" i="16"/>
  <c r="AB1824" i="16" s="1"/>
  <c r="X1823" i="16"/>
  <c r="AD1823" i="16" s="1"/>
  <c r="W1823" i="16"/>
  <c r="AC1823" i="16" s="1"/>
  <c r="V1823" i="16"/>
  <c r="AB1823" i="16" s="1"/>
  <c r="X1822" i="16"/>
  <c r="AD1822" i="16" s="1"/>
  <c r="W1822" i="16"/>
  <c r="AC1822" i="16" s="1"/>
  <c r="V1822" i="16"/>
  <c r="AB1822" i="16" s="1"/>
  <c r="X1821" i="16"/>
  <c r="AD1821" i="16" s="1"/>
  <c r="W1821" i="16"/>
  <c r="AC1821" i="16" s="1"/>
  <c r="V1821" i="16"/>
  <c r="AB1821" i="16" s="1"/>
  <c r="X1820" i="16"/>
  <c r="AD1820" i="16" s="1"/>
  <c r="W1820" i="16"/>
  <c r="AC1820" i="16" s="1"/>
  <c r="V1820" i="16"/>
  <c r="AB1820" i="16" s="1"/>
  <c r="X1819" i="16"/>
  <c r="AD1819" i="16" s="1"/>
  <c r="W1819" i="16"/>
  <c r="AC1819" i="16" s="1"/>
  <c r="V1819" i="16"/>
  <c r="AB1819" i="16" s="1"/>
  <c r="X1818" i="16"/>
  <c r="AD1818" i="16" s="1"/>
  <c r="W1818" i="16"/>
  <c r="AC1818" i="16" s="1"/>
  <c r="V1818" i="16"/>
  <c r="AB1818" i="16" s="1"/>
  <c r="X1817" i="16"/>
  <c r="AD1817" i="16" s="1"/>
  <c r="W1817" i="16"/>
  <c r="AC1817" i="16" s="1"/>
  <c r="V1817" i="16"/>
  <c r="AB1817" i="16" s="1"/>
  <c r="X1816" i="16"/>
  <c r="AD1816" i="16" s="1"/>
  <c r="W1816" i="16"/>
  <c r="AC1816" i="16" s="1"/>
  <c r="V1816" i="16"/>
  <c r="AB1816" i="16" s="1"/>
  <c r="X1815" i="16"/>
  <c r="AD1815" i="16" s="1"/>
  <c r="W1815" i="16"/>
  <c r="AC1815" i="16" s="1"/>
  <c r="V1815" i="16"/>
  <c r="AB1815" i="16" s="1"/>
  <c r="X1814" i="16"/>
  <c r="AD1814" i="16" s="1"/>
  <c r="W1814" i="16"/>
  <c r="AC1814" i="16" s="1"/>
  <c r="V1814" i="16"/>
  <c r="AB1814" i="16" s="1"/>
  <c r="X1813" i="16"/>
  <c r="AD1813" i="16" s="1"/>
  <c r="W1813" i="16"/>
  <c r="AC1813" i="16" s="1"/>
  <c r="V1813" i="16"/>
  <c r="AB1813" i="16" s="1"/>
  <c r="X1812" i="16"/>
  <c r="AD1812" i="16" s="1"/>
  <c r="W1812" i="16"/>
  <c r="AC1812" i="16" s="1"/>
  <c r="V1812" i="16"/>
  <c r="AB1812" i="16" s="1"/>
  <c r="X1811" i="16"/>
  <c r="AD1811" i="16" s="1"/>
  <c r="W1811" i="16"/>
  <c r="AC1811" i="16" s="1"/>
  <c r="V1811" i="16"/>
  <c r="AB1811" i="16" s="1"/>
  <c r="X1810" i="16"/>
  <c r="AD1810" i="16" s="1"/>
  <c r="W1810" i="16"/>
  <c r="AC1810" i="16" s="1"/>
  <c r="V1810" i="16"/>
  <c r="AB1810" i="16" s="1"/>
  <c r="X1809" i="16"/>
  <c r="AD1809" i="16" s="1"/>
  <c r="W1809" i="16"/>
  <c r="AC1809" i="16" s="1"/>
  <c r="V1809" i="16"/>
  <c r="AB1809" i="16" s="1"/>
  <c r="X1808" i="16"/>
  <c r="AD1808" i="16" s="1"/>
  <c r="W1808" i="16"/>
  <c r="AC1808" i="16" s="1"/>
  <c r="V1808" i="16"/>
  <c r="AB1808" i="16" s="1"/>
  <c r="X1807" i="16"/>
  <c r="AD1807" i="16" s="1"/>
  <c r="W1807" i="16"/>
  <c r="AC1807" i="16" s="1"/>
  <c r="V1807" i="16"/>
  <c r="AB1807" i="16" s="1"/>
  <c r="X1806" i="16"/>
  <c r="AD1806" i="16" s="1"/>
  <c r="W1806" i="16"/>
  <c r="AC1806" i="16" s="1"/>
  <c r="V1806" i="16"/>
  <c r="AB1806" i="16" s="1"/>
  <c r="X1805" i="16"/>
  <c r="AD1805" i="16" s="1"/>
  <c r="W1805" i="16"/>
  <c r="AC1805" i="16" s="1"/>
  <c r="V1805" i="16"/>
  <c r="AB1805" i="16" s="1"/>
  <c r="X1804" i="16"/>
  <c r="AD1804" i="16" s="1"/>
  <c r="W1804" i="16"/>
  <c r="AC1804" i="16" s="1"/>
  <c r="V1804" i="16"/>
  <c r="AB1804" i="16" s="1"/>
  <c r="X1803" i="16"/>
  <c r="AD1803" i="16" s="1"/>
  <c r="W1803" i="16"/>
  <c r="AC1803" i="16" s="1"/>
  <c r="V1803" i="16"/>
  <c r="AB1803" i="16" s="1"/>
  <c r="X1802" i="16"/>
  <c r="AD1802" i="16" s="1"/>
  <c r="W1802" i="16"/>
  <c r="AC1802" i="16" s="1"/>
  <c r="V1802" i="16"/>
  <c r="AB1802" i="16" s="1"/>
  <c r="X1801" i="16"/>
  <c r="AD1801" i="16" s="1"/>
  <c r="W1801" i="16"/>
  <c r="AC1801" i="16" s="1"/>
  <c r="V1801" i="16"/>
  <c r="AB1801" i="16" s="1"/>
  <c r="X1800" i="16"/>
  <c r="AD1800" i="16" s="1"/>
  <c r="W1800" i="16"/>
  <c r="AC1800" i="16" s="1"/>
  <c r="V1800" i="16"/>
  <c r="AB1800" i="16" s="1"/>
  <c r="X1799" i="16"/>
  <c r="AD1799" i="16" s="1"/>
  <c r="W1799" i="16"/>
  <c r="AC1799" i="16" s="1"/>
  <c r="V1799" i="16"/>
  <c r="AB1799" i="16" s="1"/>
  <c r="X1798" i="16"/>
  <c r="AD1798" i="16" s="1"/>
  <c r="W1798" i="16"/>
  <c r="AC1798" i="16" s="1"/>
  <c r="V1798" i="16"/>
  <c r="AB1798" i="16" s="1"/>
  <c r="X1797" i="16"/>
  <c r="AD1797" i="16" s="1"/>
  <c r="W1797" i="16"/>
  <c r="AC1797" i="16" s="1"/>
  <c r="V1797" i="16"/>
  <c r="AB1797" i="16" s="1"/>
  <c r="X1796" i="16"/>
  <c r="AD1796" i="16" s="1"/>
  <c r="W1796" i="16"/>
  <c r="AC1796" i="16" s="1"/>
  <c r="V1796" i="16"/>
  <c r="AB1796" i="16" s="1"/>
  <c r="X1795" i="16"/>
  <c r="AD1795" i="16" s="1"/>
  <c r="W1795" i="16"/>
  <c r="AC1795" i="16" s="1"/>
  <c r="V1795" i="16"/>
  <c r="AB1795" i="16" s="1"/>
  <c r="X1794" i="16"/>
  <c r="AD1794" i="16" s="1"/>
  <c r="W1794" i="16"/>
  <c r="AC1794" i="16" s="1"/>
  <c r="V1794" i="16"/>
  <c r="AB1794" i="16" s="1"/>
  <c r="X1793" i="16"/>
  <c r="AD1793" i="16" s="1"/>
  <c r="W1793" i="16"/>
  <c r="AC1793" i="16" s="1"/>
  <c r="V1793" i="16"/>
  <c r="AB1793" i="16" s="1"/>
  <c r="X1792" i="16"/>
  <c r="AD1792" i="16" s="1"/>
  <c r="W1792" i="16"/>
  <c r="AC1792" i="16" s="1"/>
  <c r="V1792" i="16"/>
  <c r="AB1792" i="16" s="1"/>
  <c r="X1791" i="16"/>
  <c r="AD1791" i="16" s="1"/>
  <c r="W1791" i="16"/>
  <c r="AC1791" i="16" s="1"/>
  <c r="V1791" i="16"/>
  <c r="AB1791" i="16" s="1"/>
  <c r="X1790" i="16"/>
  <c r="AD1790" i="16" s="1"/>
  <c r="W1790" i="16"/>
  <c r="AC1790" i="16" s="1"/>
  <c r="V1790" i="16"/>
  <c r="AB1790" i="16" s="1"/>
  <c r="X1789" i="16"/>
  <c r="AD1789" i="16" s="1"/>
  <c r="W1789" i="16"/>
  <c r="AC1789" i="16" s="1"/>
  <c r="V1789" i="16"/>
  <c r="AB1789" i="16" s="1"/>
  <c r="X1788" i="16"/>
  <c r="AD1788" i="16" s="1"/>
  <c r="W1788" i="16"/>
  <c r="AC1788" i="16" s="1"/>
  <c r="V1788" i="16"/>
  <c r="AB1788" i="16" s="1"/>
  <c r="X1787" i="16"/>
  <c r="AD1787" i="16" s="1"/>
  <c r="W1787" i="16"/>
  <c r="AC1787" i="16" s="1"/>
  <c r="V1787" i="16"/>
  <c r="AB1787" i="16" s="1"/>
  <c r="X1786" i="16"/>
  <c r="AD1786" i="16" s="1"/>
  <c r="W1786" i="16"/>
  <c r="AC1786" i="16" s="1"/>
  <c r="V1786" i="16"/>
  <c r="AB1786" i="16" s="1"/>
  <c r="X1785" i="16"/>
  <c r="AD1785" i="16" s="1"/>
  <c r="W1785" i="16"/>
  <c r="AC1785" i="16" s="1"/>
  <c r="V1785" i="16"/>
  <c r="AB1785" i="16" s="1"/>
  <c r="X1784" i="16"/>
  <c r="AD1784" i="16" s="1"/>
  <c r="W1784" i="16"/>
  <c r="AC1784" i="16" s="1"/>
  <c r="V1784" i="16"/>
  <c r="AB1784" i="16" s="1"/>
  <c r="X1783" i="16"/>
  <c r="AD1783" i="16" s="1"/>
  <c r="W1783" i="16"/>
  <c r="AC1783" i="16" s="1"/>
  <c r="V1783" i="16"/>
  <c r="AB1783" i="16" s="1"/>
  <c r="X1782" i="16"/>
  <c r="AD1782" i="16" s="1"/>
  <c r="W1782" i="16"/>
  <c r="AC1782" i="16" s="1"/>
  <c r="V1782" i="16"/>
  <c r="AB1782" i="16" s="1"/>
  <c r="X1781" i="16"/>
  <c r="AD1781" i="16" s="1"/>
  <c r="W1781" i="16"/>
  <c r="AC1781" i="16" s="1"/>
  <c r="V1781" i="16"/>
  <c r="AB1781" i="16" s="1"/>
  <c r="X1780" i="16"/>
  <c r="AD1780" i="16" s="1"/>
  <c r="W1780" i="16"/>
  <c r="AC1780" i="16" s="1"/>
  <c r="V1780" i="16"/>
  <c r="AB1780" i="16" s="1"/>
  <c r="X1779" i="16"/>
  <c r="AD1779" i="16" s="1"/>
  <c r="W1779" i="16"/>
  <c r="AC1779" i="16" s="1"/>
  <c r="V1779" i="16"/>
  <c r="AB1779" i="16" s="1"/>
  <c r="X1778" i="16"/>
  <c r="AD1778" i="16" s="1"/>
  <c r="W1778" i="16"/>
  <c r="AC1778" i="16" s="1"/>
  <c r="V1778" i="16"/>
  <c r="AB1778" i="16" s="1"/>
  <c r="X1777" i="16"/>
  <c r="AD1777" i="16" s="1"/>
  <c r="W1777" i="16"/>
  <c r="AC1777" i="16" s="1"/>
  <c r="V1777" i="16"/>
  <c r="AB1777" i="16" s="1"/>
  <c r="X1776" i="16"/>
  <c r="AD1776" i="16" s="1"/>
  <c r="W1776" i="16"/>
  <c r="AC1776" i="16" s="1"/>
  <c r="V1776" i="16"/>
  <c r="AB1776" i="16" s="1"/>
  <c r="X1775" i="16"/>
  <c r="AD1775" i="16" s="1"/>
  <c r="W1775" i="16"/>
  <c r="AC1775" i="16" s="1"/>
  <c r="V1775" i="16"/>
  <c r="AB1775" i="16" s="1"/>
  <c r="X1774" i="16"/>
  <c r="AD1774" i="16" s="1"/>
  <c r="W1774" i="16"/>
  <c r="AC1774" i="16" s="1"/>
  <c r="V1774" i="16"/>
  <c r="AB1774" i="16" s="1"/>
  <c r="X1773" i="16"/>
  <c r="AD1773" i="16" s="1"/>
  <c r="W1773" i="16"/>
  <c r="AC1773" i="16" s="1"/>
  <c r="V1773" i="16"/>
  <c r="AB1773" i="16" s="1"/>
  <c r="X1772" i="16"/>
  <c r="AD1772" i="16" s="1"/>
  <c r="W1772" i="16"/>
  <c r="AC1772" i="16" s="1"/>
  <c r="V1772" i="16"/>
  <c r="AB1772" i="16" s="1"/>
  <c r="X1771" i="16"/>
  <c r="AD1771" i="16" s="1"/>
  <c r="W1771" i="16"/>
  <c r="AC1771" i="16" s="1"/>
  <c r="V1771" i="16"/>
  <c r="AB1771" i="16" s="1"/>
  <c r="X1770" i="16"/>
  <c r="AD1770" i="16" s="1"/>
  <c r="W1770" i="16"/>
  <c r="AC1770" i="16" s="1"/>
  <c r="V1770" i="16"/>
  <c r="AB1770" i="16" s="1"/>
  <c r="X1769" i="16"/>
  <c r="AD1769" i="16" s="1"/>
  <c r="W1769" i="16"/>
  <c r="AC1769" i="16" s="1"/>
  <c r="V1769" i="16"/>
  <c r="AB1769" i="16" s="1"/>
  <c r="X1768" i="16"/>
  <c r="AD1768" i="16" s="1"/>
  <c r="W1768" i="16"/>
  <c r="AC1768" i="16" s="1"/>
  <c r="V1768" i="16"/>
  <c r="AB1768" i="16" s="1"/>
  <c r="X1767" i="16"/>
  <c r="AD1767" i="16" s="1"/>
  <c r="W1767" i="16"/>
  <c r="AC1767" i="16" s="1"/>
  <c r="V1767" i="16"/>
  <c r="AB1767" i="16" s="1"/>
  <c r="X1766" i="16"/>
  <c r="AD1766" i="16" s="1"/>
  <c r="W1766" i="16"/>
  <c r="AC1766" i="16" s="1"/>
  <c r="V1766" i="16"/>
  <c r="AB1766" i="16" s="1"/>
  <c r="X1765" i="16"/>
  <c r="AD1765" i="16" s="1"/>
  <c r="W1765" i="16"/>
  <c r="AC1765" i="16" s="1"/>
  <c r="V1765" i="16"/>
  <c r="AB1765" i="16" s="1"/>
  <c r="X1764" i="16"/>
  <c r="AD1764" i="16" s="1"/>
  <c r="W1764" i="16"/>
  <c r="AC1764" i="16" s="1"/>
  <c r="V1764" i="16"/>
  <c r="AB1764" i="16" s="1"/>
  <c r="X1763" i="16"/>
  <c r="AD1763" i="16" s="1"/>
  <c r="W1763" i="16"/>
  <c r="AC1763" i="16" s="1"/>
  <c r="V1763" i="16"/>
  <c r="AB1763" i="16" s="1"/>
  <c r="X1762" i="16"/>
  <c r="AD1762" i="16" s="1"/>
  <c r="W1762" i="16"/>
  <c r="AC1762" i="16" s="1"/>
  <c r="V1762" i="16"/>
  <c r="AB1762" i="16" s="1"/>
  <c r="X1761" i="16"/>
  <c r="AD1761" i="16" s="1"/>
  <c r="W1761" i="16"/>
  <c r="AC1761" i="16" s="1"/>
  <c r="V1761" i="16"/>
  <c r="AB1761" i="16" s="1"/>
  <c r="X1760" i="16"/>
  <c r="AD1760" i="16" s="1"/>
  <c r="W1760" i="16"/>
  <c r="AC1760" i="16" s="1"/>
  <c r="V1760" i="16"/>
  <c r="AB1760" i="16" s="1"/>
  <c r="X1759" i="16"/>
  <c r="AD1759" i="16" s="1"/>
  <c r="W1759" i="16"/>
  <c r="AC1759" i="16" s="1"/>
  <c r="V1759" i="16"/>
  <c r="AB1759" i="16" s="1"/>
  <c r="X1758" i="16"/>
  <c r="AD1758" i="16" s="1"/>
  <c r="W1758" i="16"/>
  <c r="AC1758" i="16" s="1"/>
  <c r="V1758" i="16"/>
  <c r="AB1758" i="16" s="1"/>
  <c r="X1757" i="16"/>
  <c r="AD1757" i="16" s="1"/>
  <c r="W1757" i="16"/>
  <c r="AC1757" i="16" s="1"/>
  <c r="V1757" i="16"/>
  <c r="AB1757" i="16" s="1"/>
  <c r="X1756" i="16"/>
  <c r="AD1756" i="16" s="1"/>
  <c r="W1756" i="16"/>
  <c r="AC1756" i="16" s="1"/>
  <c r="V1756" i="16"/>
  <c r="AB1756" i="16" s="1"/>
  <c r="X1755" i="16"/>
  <c r="AD1755" i="16" s="1"/>
  <c r="W1755" i="16"/>
  <c r="AC1755" i="16" s="1"/>
  <c r="V1755" i="16"/>
  <c r="AB1755" i="16" s="1"/>
  <c r="X1754" i="16"/>
  <c r="AD1754" i="16" s="1"/>
  <c r="W1754" i="16"/>
  <c r="AC1754" i="16" s="1"/>
  <c r="V1754" i="16"/>
  <c r="AB1754" i="16" s="1"/>
  <c r="X1753" i="16"/>
  <c r="AD1753" i="16" s="1"/>
  <c r="W1753" i="16"/>
  <c r="AC1753" i="16" s="1"/>
  <c r="V1753" i="16"/>
  <c r="AB1753" i="16" s="1"/>
  <c r="X1752" i="16"/>
  <c r="AD1752" i="16" s="1"/>
  <c r="W1752" i="16"/>
  <c r="AC1752" i="16" s="1"/>
  <c r="V1752" i="16"/>
  <c r="AB1752" i="16" s="1"/>
  <c r="X1751" i="16"/>
  <c r="AD1751" i="16" s="1"/>
  <c r="W1751" i="16"/>
  <c r="AC1751" i="16" s="1"/>
  <c r="V1751" i="16"/>
  <c r="AB1751" i="16" s="1"/>
  <c r="X1750" i="16"/>
  <c r="AD1750" i="16" s="1"/>
  <c r="W1750" i="16"/>
  <c r="AC1750" i="16" s="1"/>
  <c r="V1750" i="16"/>
  <c r="AB1750" i="16" s="1"/>
  <c r="X1749" i="16"/>
  <c r="AD1749" i="16" s="1"/>
  <c r="W1749" i="16"/>
  <c r="AC1749" i="16" s="1"/>
  <c r="V1749" i="16"/>
  <c r="AB1749" i="16" s="1"/>
  <c r="X1748" i="16"/>
  <c r="AD1748" i="16" s="1"/>
  <c r="W1748" i="16"/>
  <c r="AC1748" i="16" s="1"/>
  <c r="V1748" i="16"/>
  <c r="AB1748" i="16" s="1"/>
  <c r="X1747" i="16"/>
  <c r="AD1747" i="16" s="1"/>
  <c r="W1747" i="16"/>
  <c r="AC1747" i="16" s="1"/>
  <c r="V1747" i="16"/>
  <c r="AB1747" i="16" s="1"/>
  <c r="X1746" i="16"/>
  <c r="AD1746" i="16" s="1"/>
  <c r="W1746" i="16"/>
  <c r="AC1746" i="16" s="1"/>
  <c r="V1746" i="16"/>
  <c r="AB1746" i="16" s="1"/>
  <c r="X1745" i="16"/>
  <c r="AD1745" i="16" s="1"/>
  <c r="W1745" i="16"/>
  <c r="AC1745" i="16" s="1"/>
  <c r="V1745" i="16"/>
  <c r="AB1745" i="16" s="1"/>
  <c r="X1744" i="16"/>
  <c r="AD1744" i="16" s="1"/>
  <c r="W1744" i="16"/>
  <c r="AC1744" i="16" s="1"/>
  <c r="V1744" i="16"/>
  <c r="AB1744" i="16" s="1"/>
  <c r="X1743" i="16"/>
  <c r="AD1743" i="16" s="1"/>
  <c r="W1743" i="16"/>
  <c r="AC1743" i="16" s="1"/>
  <c r="V1743" i="16"/>
  <c r="AB1743" i="16" s="1"/>
  <c r="X1742" i="16"/>
  <c r="AD1742" i="16" s="1"/>
  <c r="W1742" i="16"/>
  <c r="AC1742" i="16" s="1"/>
  <c r="V1742" i="16"/>
  <c r="AB1742" i="16" s="1"/>
  <c r="X1741" i="16"/>
  <c r="AD1741" i="16" s="1"/>
  <c r="W1741" i="16"/>
  <c r="AC1741" i="16" s="1"/>
  <c r="V1741" i="16"/>
  <c r="AB1741" i="16" s="1"/>
  <c r="X1740" i="16"/>
  <c r="AD1740" i="16" s="1"/>
  <c r="W1740" i="16"/>
  <c r="AC1740" i="16" s="1"/>
  <c r="V1740" i="16"/>
  <c r="AB1740" i="16" s="1"/>
  <c r="X1739" i="16"/>
  <c r="AD1739" i="16" s="1"/>
  <c r="W1739" i="16"/>
  <c r="AC1739" i="16" s="1"/>
  <c r="V1739" i="16"/>
  <c r="AB1739" i="16" s="1"/>
  <c r="X1738" i="16"/>
  <c r="AD1738" i="16" s="1"/>
  <c r="W1738" i="16"/>
  <c r="AC1738" i="16" s="1"/>
  <c r="V1738" i="16"/>
  <c r="AB1738" i="16" s="1"/>
  <c r="X1737" i="16"/>
  <c r="AD1737" i="16" s="1"/>
  <c r="W1737" i="16"/>
  <c r="AC1737" i="16" s="1"/>
  <c r="V1737" i="16"/>
  <c r="AB1737" i="16" s="1"/>
  <c r="X1736" i="16"/>
  <c r="AD1736" i="16" s="1"/>
  <c r="W1736" i="16"/>
  <c r="AC1736" i="16" s="1"/>
  <c r="V1736" i="16"/>
  <c r="AB1736" i="16" s="1"/>
  <c r="X1735" i="16"/>
  <c r="AD1735" i="16" s="1"/>
  <c r="W1735" i="16"/>
  <c r="AC1735" i="16" s="1"/>
  <c r="V1735" i="16"/>
  <c r="AB1735" i="16" s="1"/>
  <c r="X1734" i="16"/>
  <c r="AD1734" i="16" s="1"/>
  <c r="W1734" i="16"/>
  <c r="AC1734" i="16" s="1"/>
  <c r="V1734" i="16"/>
  <c r="AB1734" i="16" s="1"/>
  <c r="X1733" i="16"/>
  <c r="AD1733" i="16" s="1"/>
  <c r="W1733" i="16"/>
  <c r="AC1733" i="16" s="1"/>
  <c r="V1733" i="16"/>
  <c r="AB1733" i="16" s="1"/>
  <c r="X1732" i="16"/>
  <c r="AD1732" i="16" s="1"/>
  <c r="W1732" i="16"/>
  <c r="AC1732" i="16" s="1"/>
  <c r="V1732" i="16"/>
  <c r="AB1732" i="16" s="1"/>
  <c r="X1731" i="16"/>
  <c r="AD1731" i="16" s="1"/>
  <c r="W1731" i="16"/>
  <c r="AC1731" i="16" s="1"/>
  <c r="V1731" i="16"/>
  <c r="AB1731" i="16" s="1"/>
  <c r="X1730" i="16"/>
  <c r="AD1730" i="16" s="1"/>
  <c r="W1730" i="16"/>
  <c r="AC1730" i="16" s="1"/>
  <c r="V1730" i="16"/>
  <c r="AB1730" i="16" s="1"/>
  <c r="X1729" i="16"/>
  <c r="AD1729" i="16" s="1"/>
  <c r="W1729" i="16"/>
  <c r="AC1729" i="16" s="1"/>
  <c r="V1729" i="16"/>
  <c r="AB1729" i="16" s="1"/>
  <c r="X1728" i="16"/>
  <c r="AD1728" i="16" s="1"/>
  <c r="W1728" i="16"/>
  <c r="AC1728" i="16" s="1"/>
  <c r="V1728" i="16"/>
  <c r="AB1728" i="16" s="1"/>
  <c r="X1727" i="16"/>
  <c r="AD1727" i="16" s="1"/>
  <c r="W1727" i="16"/>
  <c r="AC1727" i="16" s="1"/>
  <c r="V1727" i="16"/>
  <c r="AB1727" i="16" s="1"/>
  <c r="X1726" i="16"/>
  <c r="AD1726" i="16" s="1"/>
  <c r="W1726" i="16"/>
  <c r="AC1726" i="16" s="1"/>
  <c r="V1726" i="16"/>
  <c r="AB1726" i="16" s="1"/>
  <c r="X1725" i="16"/>
  <c r="AD1725" i="16" s="1"/>
  <c r="W1725" i="16"/>
  <c r="AC1725" i="16" s="1"/>
  <c r="V1725" i="16"/>
  <c r="AB1725" i="16" s="1"/>
  <c r="X1724" i="16"/>
  <c r="AD1724" i="16" s="1"/>
  <c r="W1724" i="16"/>
  <c r="AC1724" i="16" s="1"/>
  <c r="V1724" i="16"/>
  <c r="AB1724" i="16" s="1"/>
  <c r="X1723" i="16"/>
  <c r="AD1723" i="16" s="1"/>
  <c r="W1723" i="16"/>
  <c r="AC1723" i="16" s="1"/>
  <c r="V1723" i="16"/>
  <c r="AB1723" i="16" s="1"/>
  <c r="X1722" i="16"/>
  <c r="AD1722" i="16" s="1"/>
  <c r="W1722" i="16"/>
  <c r="AC1722" i="16" s="1"/>
  <c r="V1722" i="16"/>
  <c r="AB1722" i="16" s="1"/>
  <c r="X1721" i="16"/>
  <c r="AD1721" i="16" s="1"/>
  <c r="W1721" i="16"/>
  <c r="AC1721" i="16" s="1"/>
  <c r="V1721" i="16"/>
  <c r="AB1721" i="16" s="1"/>
  <c r="X1720" i="16"/>
  <c r="AD1720" i="16" s="1"/>
  <c r="W1720" i="16"/>
  <c r="AC1720" i="16" s="1"/>
  <c r="V1720" i="16"/>
  <c r="AB1720" i="16" s="1"/>
  <c r="X1719" i="16"/>
  <c r="AD1719" i="16" s="1"/>
  <c r="W1719" i="16"/>
  <c r="AC1719" i="16" s="1"/>
  <c r="V1719" i="16"/>
  <c r="AB1719" i="16" s="1"/>
  <c r="X1718" i="16"/>
  <c r="AD1718" i="16" s="1"/>
  <c r="W1718" i="16"/>
  <c r="AC1718" i="16" s="1"/>
  <c r="V1718" i="16"/>
  <c r="AB1718" i="16" s="1"/>
  <c r="X1717" i="16"/>
  <c r="AD1717" i="16" s="1"/>
  <c r="W1717" i="16"/>
  <c r="AC1717" i="16" s="1"/>
  <c r="V1717" i="16"/>
  <c r="AB1717" i="16" s="1"/>
  <c r="X1716" i="16"/>
  <c r="AD1716" i="16" s="1"/>
  <c r="W1716" i="16"/>
  <c r="AC1716" i="16" s="1"/>
  <c r="V1716" i="16"/>
  <c r="AB1716" i="16" s="1"/>
  <c r="X1715" i="16"/>
  <c r="AD1715" i="16" s="1"/>
  <c r="W1715" i="16"/>
  <c r="AC1715" i="16" s="1"/>
  <c r="V1715" i="16"/>
  <c r="AB1715" i="16" s="1"/>
  <c r="X1714" i="16"/>
  <c r="AD1714" i="16" s="1"/>
  <c r="W1714" i="16"/>
  <c r="AC1714" i="16" s="1"/>
  <c r="V1714" i="16"/>
  <c r="AB1714" i="16" s="1"/>
  <c r="X1713" i="16"/>
  <c r="AD1713" i="16" s="1"/>
  <c r="W1713" i="16"/>
  <c r="AC1713" i="16" s="1"/>
  <c r="V1713" i="16"/>
  <c r="AB1713" i="16" s="1"/>
  <c r="X1712" i="16"/>
  <c r="AD1712" i="16" s="1"/>
  <c r="W1712" i="16"/>
  <c r="AC1712" i="16" s="1"/>
  <c r="V1712" i="16"/>
  <c r="AB1712" i="16" s="1"/>
  <c r="X1711" i="16"/>
  <c r="AD1711" i="16" s="1"/>
  <c r="W1711" i="16"/>
  <c r="AC1711" i="16" s="1"/>
  <c r="V1711" i="16"/>
  <c r="AB1711" i="16" s="1"/>
  <c r="X1710" i="16"/>
  <c r="AD1710" i="16" s="1"/>
  <c r="W1710" i="16"/>
  <c r="AC1710" i="16" s="1"/>
  <c r="V1710" i="16"/>
  <c r="AB1710" i="16" s="1"/>
  <c r="X1709" i="16"/>
  <c r="AD1709" i="16" s="1"/>
  <c r="W1709" i="16"/>
  <c r="AC1709" i="16" s="1"/>
  <c r="V1709" i="16"/>
  <c r="AB1709" i="16" s="1"/>
  <c r="X1708" i="16"/>
  <c r="AD1708" i="16" s="1"/>
  <c r="W1708" i="16"/>
  <c r="AC1708" i="16" s="1"/>
  <c r="V1708" i="16"/>
  <c r="AB1708" i="16" s="1"/>
  <c r="X1707" i="16"/>
  <c r="AD1707" i="16" s="1"/>
  <c r="W1707" i="16"/>
  <c r="AC1707" i="16" s="1"/>
  <c r="V1707" i="16"/>
  <c r="AB1707" i="16" s="1"/>
  <c r="X1706" i="16"/>
  <c r="AD1706" i="16" s="1"/>
  <c r="W1706" i="16"/>
  <c r="AC1706" i="16" s="1"/>
  <c r="V1706" i="16"/>
  <c r="AB1706" i="16" s="1"/>
  <c r="X1705" i="16"/>
  <c r="AD1705" i="16" s="1"/>
  <c r="W1705" i="16"/>
  <c r="AC1705" i="16" s="1"/>
  <c r="V1705" i="16"/>
  <c r="AB1705" i="16" s="1"/>
  <c r="X1704" i="16"/>
  <c r="AD1704" i="16" s="1"/>
  <c r="W1704" i="16"/>
  <c r="AC1704" i="16" s="1"/>
  <c r="V1704" i="16"/>
  <c r="AB1704" i="16" s="1"/>
  <c r="X1703" i="16"/>
  <c r="AD1703" i="16" s="1"/>
  <c r="W1703" i="16"/>
  <c r="AC1703" i="16" s="1"/>
  <c r="V1703" i="16"/>
  <c r="AB1703" i="16" s="1"/>
  <c r="X1702" i="16"/>
  <c r="AD1702" i="16" s="1"/>
  <c r="W1702" i="16"/>
  <c r="AC1702" i="16" s="1"/>
  <c r="V1702" i="16"/>
  <c r="AB1702" i="16" s="1"/>
  <c r="X1701" i="16"/>
  <c r="AD1701" i="16" s="1"/>
  <c r="W1701" i="16"/>
  <c r="AC1701" i="16" s="1"/>
  <c r="V1701" i="16"/>
  <c r="AB1701" i="16" s="1"/>
  <c r="X1700" i="16"/>
  <c r="AD1700" i="16" s="1"/>
  <c r="W1700" i="16"/>
  <c r="AC1700" i="16" s="1"/>
  <c r="V1700" i="16"/>
  <c r="AB1700" i="16" s="1"/>
  <c r="X1699" i="16"/>
  <c r="AD1699" i="16" s="1"/>
  <c r="W1699" i="16"/>
  <c r="AC1699" i="16" s="1"/>
  <c r="V1699" i="16"/>
  <c r="AB1699" i="16" s="1"/>
  <c r="X1698" i="16"/>
  <c r="AD1698" i="16" s="1"/>
  <c r="W1698" i="16"/>
  <c r="AC1698" i="16" s="1"/>
  <c r="V1698" i="16"/>
  <c r="AB1698" i="16" s="1"/>
  <c r="X1697" i="16"/>
  <c r="AD1697" i="16" s="1"/>
  <c r="W1697" i="16"/>
  <c r="AC1697" i="16" s="1"/>
  <c r="V1697" i="16"/>
  <c r="AB1697" i="16" s="1"/>
  <c r="X1696" i="16"/>
  <c r="AD1696" i="16" s="1"/>
  <c r="W1696" i="16"/>
  <c r="AC1696" i="16" s="1"/>
  <c r="V1696" i="16"/>
  <c r="AB1696" i="16" s="1"/>
  <c r="X1695" i="16"/>
  <c r="AD1695" i="16" s="1"/>
  <c r="W1695" i="16"/>
  <c r="AC1695" i="16" s="1"/>
  <c r="V1695" i="16"/>
  <c r="AB1695" i="16" s="1"/>
  <c r="X1694" i="16"/>
  <c r="AD1694" i="16" s="1"/>
  <c r="W1694" i="16"/>
  <c r="AC1694" i="16" s="1"/>
  <c r="V1694" i="16"/>
  <c r="AB1694" i="16" s="1"/>
  <c r="X1693" i="16"/>
  <c r="AD1693" i="16" s="1"/>
  <c r="W1693" i="16"/>
  <c r="AC1693" i="16" s="1"/>
  <c r="V1693" i="16"/>
  <c r="AB1693" i="16" s="1"/>
  <c r="X1692" i="16"/>
  <c r="AD1692" i="16" s="1"/>
  <c r="W1692" i="16"/>
  <c r="AC1692" i="16" s="1"/>
  <c r="V1692" i="16"/>
  <c r="AB1692" i="16" s="1"/>
  <c r="X1691" i="16"/>
  <c r="AD1691" i="16" s="1"/>
  <c r="W1691" i="16"/>
  <c r="AC1691" i="16" s="1"/>
  <c r="V1691" i="16"/>
  <c r="AB1691" i="16" s="1"/>
  <c r="X1690" i="16"/>
  <c r="AD1690" i="16" s="1"/>
  <c r="W1690" i="16"/>
  <c r="AC1690" i="16" s="1"/>
  <c r="V1690" i="16"/>
  <c r="AB1690" i="16" s="1"/>
  <c r="X1689" i="16"/>
  <c r="AD1689" i="16" s="1"/>
  <c r="W1689" i="16"/>
  <c r="AC1689" i="16" s="1"/>
  <c r="V1689" i="16"/>
  <c r="AB1689" i="16" s="1"/>
  <c r="X1688" i="16"/>
  <c r="AD1688" i="16" s="1"/>
  <c r="W1688" i="16"/>
  <c r="AC1688" i="16" s="1"/>
  <c r="V1688" i="16"/>
  <c r="AB1688" i="16" s="1"/>
  <c r="X1687" i="16"/>
  <c r="AD1687" i="16" s="1"/>
  <c r="W1687" i="16"/>
  <c r="AC1687" i="16" s="1"/>
  <c r="V1687" i="16"/>
  <c r="AB1687" i="16" s="1"/>
  <c r="X1686" i="16"/>
  <c r="AD1686" i="16" s="1"/>
  <c r="W1686" i="16"/>
  <c r="AC1686" i="16" s="1"/>
  <c r="V1686" i="16"/>
  <c r="AB1686" i="16" s="1"/>
  <c r="X1685" i="16"/>
  <c r="AD1685" i="16" s="1"/>
  <c r="W1685" i="16"/>
  <c r="AC1685" i="16" s="1"/>
  <c r="V1685" i="16"/>
  <c r="AB1685" i="16" s="1"/>
  <c r="X1684" i="16"/>
  <c r="AD1684" i="16" s="1"/>
  <c r="W1684" i="16"/>
  <c r="AC1684" i="16" s="1"/>
  <c r="V1684" i="16"/>
  <c r="AB1684" i="16" s="1"/>
  <c r="X1683" i="16"/>
  <c r="AD1683" i="16" s="1"/>
  <c r="W1683" i="16"/>
  <c r="AC1683" i="16" s="1"/>
  <c r="V1683" i="16"/>
  <c r="AB1683" i="16" s="1"/>
  <c r="X1682" i="16"/>
  <c r="AD1682" i="16" s="1"/>
  <c r="W1682" i="16"/>
  <c r="AC1682" i="16" s="1"/>
  <c r="V1682" i="16"/>
  <c r="AB1682" i="16" s="1"/>
  <c r="X1681" i="16"/>
  <c r="AD1681" i="16" s="1"/>
  <c r="W1681" i="16"/>
  <c r="AC1681" i="16" s="1"/>
  <c r="V1681" i="16"/>
  <c r="AB1681" i="16" s="1"/>
  <c r="X1680" i="16"/>
  <c r="AD1680" i="16" s="1"/>
  <c r="W1680" i="16"/>
  <c r="AC1680" i="16" s="1"/>
  <c r="V1680" i="16"/>
  <c r="AB1680" i="16" s="1"/>
  <c r="X1679" i="16"/>
  <c r="AD1679" i="16" s="1"/>
  <c r="W1679" i="16"/>
  <c r="AC1679" i="16" s="1"/>
  <c r="V1679" i="16"/>
  <c r="AB1679" i="16" s="1"/>
  <c r="X1678" i="16"/>
  <c r="AD1678" i="16" s="1"/>
  <c r="W1678" i="16"/>
  <c r="AC1678" i="16" s="1"/>
  <c r="V1678" i="16"/>
  <c r="AB1678" i="16" s="1"/>
  <c r="X1677" i="16"/>
  <c r="AD1677" i="16" s="1"/>
  <c r="W1677" i="16"/>
  <c r="AC1677" i="16" s="1"/>
  <c r="V1677" i="16"/>
  <c r="AB1677" i="16" s="1"/>
  <c r="X1676" i="16"/>
  <c r="AD1676" i="16" s="1"/>
  <c r="W1676" i="16"/>
  <c r="AC1676" i="16" s="1"/>
  <c r="V1676" i="16"/>
  <c r="AB1676" i="16" s="1"/>
  <c r="X1675" i="16"/>
  <c r="AD1675" i="16" s="1"/>
  <c r="W1675" i="16"/>
  <c r="AC1675" i="16" s="1"/>
  <c r="V1675" i="16"/>
  <c r="AB1675" i="16" s="1"/>
  <c r="X1674" i="16"/>
  <c r="AD1674" i="16" s="1"/>
  <c r="W1674" i="16"/>
  <c r="AC1674" i="16" s="1"/>
  <c r="V1674" i="16"/>
  <c r="AB1674" i="16" s="1"/>
  <c r="X1673" i="16"/>
  <c r="AD1673" i="16" s="1"/>
  <c r="W1673" i="16"/>
  <c r="AC1673" i="16" s="1"/>
  <c r="V1673" i="16"/>
  <c r="AB1673" i="16" s="1"/>
  <c r="X1672" i="16"/>
  <c r="AD1672" i="16" s="1"/>
  <c r="W1672" i="16"/>
  <c r="AC1672" i="16" s="1"/>
  <c r="V1672" i="16"/>
  <c r="AB1672" i="16" s="1"/>
  <c r="X1671" i="16"/>
  <c r="AD1671" i="16" s="1"/>
  <c r="W1671" i="16"/>
  <c r="AC1671" i="16" s="1"/>
  <c r="V1671" i="16"/>
  <c r="AB1671" i="16" s="1"/>
  <c r="X1670" i="16"/>
  <c r="AD1670" i="16" s="1"/>
  <c r="W1670" i="16"/>
  <c r="AC1670" i="16" s="1"/>
  <c r="V1670" i="16"/>
  <c r="AB1670" i="16" s="1"/>
  <c r="X1669" i="16"/>
  <c r="AD1669" i="16" s="1"/>
  <c r="W1669" i="16"/>
  <c r="AC1669" i="16" s="1"/>
  <c r="V1669" i="16"/>
  <c r="AB1669" i="16" s="1"/>
  <c r="X1668" i="16"/>
  <c r="AD1668" i="16" s="1"/>
  <c r="W1668" i="16"/>
  <c r="AC1668" i="16" s="1"/>
  <c r="V1668" i="16"/>
  <c r="AB1668" i="16" s="1"/>
  <c r="X1667" i="16"/>
  <c r="AD1667" i="16" s="1"/>
  <c r="W1667" i="16"/>
  <c r="AC1667" i="16" s="1"/>
  <c r="V1667" i="16"/>
  <c r="AB1667" i="16" s="1"/>
  <c r="X1666" i="16"/>
  <c r="AD1666" i="16" s="1"/>
  <c r="W1666" i="16"/>
  <c r="AC1666" i="16" s="1"/>
  <c r="V1666" i="16"/>
  <c r="AB1666" i="16" s="1"/>
  <c r="X1665" i="16"/>
  <c r="AD1665" i="16" s="1"/>
  <c r="W1665" i="16"/>
  <c r="AC1665" i="16" s="1"/>
  <c r="V1665" i="16"/>
  <c r="AB1665" i="16" s="1"/>
  <c r="X1664" i="16"/>
  <c r="AD1664" i="16" s="1"/>
  <c r="W1664" i="16"/>
  <c r="AC1664" i="16" s="1"/>
  <c r="V1664" i="16"/>
  <c r="AB1664" i="16" s="1"/>
  <c r="X1663" i="16"/>
  <c r="AD1663" i="16" s="1"/>
  <c r="W1663" i="16"/>
  <c r="AC1663" i="16" s="1"/>
  <c r="V1663" i="16"/>
  <c r="AB1663" i="16" s="1"/>
  <c r="X1662" i="16"/>
  <c r="AD1662" i="16" s="1"/>
  <c r="AO6" i="16" s="1"/>
  <c r="W1662" i="16"/>
  <c r="AC1662" i="16" s="1"/>
  <c r="V1662" i="16"/>
  <c r="AB1662" i="16" s="1"/>
  <c r="X1661" i="16"/>
  <c r="AD1661" i="16" s="1"/>
  <c r="W1661" i="16"/>
  <c r="AC1661" i="16" s="1"/>
  <c r="V1661" i="16"/>
  <c r="AB1661" i="16" s="1"/>
  <c r="X1660" i="16"/>
  <c r="AD1660" i="16" s="1"/>
  <c r="W1660" i="16"/>
  <c r="AC1660" i="16" s="1"/>
  <c r="V1660" i="16"/>
  <c r="AB1660" i="16" s="1"/>
  <c r="X1659" i="16"/>
  <c r="AD1659" i="16" s="1"/>
  <c r="W1659" i="16"/>
  <c r="AC1659" i="16" s="1"/>
  <c r="V1659" i="16"/>
  <c r="AB1659" i="16" s="1"/>
  <c r="X1658" i="16"/>
  <c r="AD1658" i="16" s="1"/>
  <c r="W1658" i="16"/>
  <c r="AC1658" i="16" s="1"/>
  <c r="V1658" i="16"/>
  <c r="AB1658" i="16" s="1"/>
  <c r="X1657" i="16"/>
  <c r="AD1657" i="16" s="1"/>
  <c r="W1657" i="16"/>
  <c r="AC1657" i="16" s="1"/>
  <c r="V1657" i="16"/>
  <c r="AB1657" i="16" s="1"/>
  <c r="X1656" i="16"/>
  <c r="AD1656" i="16" s="1"/>
  <c r="W1656" i="16"/>
  <c r="AC1656" i="16" s="1"/>
  <c r="V1656" i="16"/>
  <c r="AB1656" i="16" s="1"/>
  <c r="X1655" i="16"/>
  <c r="AD1655" i="16" s="1"/>
  <c r="W1655" i="16"/>
  <c r="AC1655" i="16" s="1"/>
  <c r="V1655" i="16"/>
  <c r="AB1655" i="16" s="1"/>
  <c r="X1654" i="16"/>
  <c r="AD1654" i="16" s="1"/>
  <c r="W1654" i="16"/>
  <c r="AC1654" i="16" s="1"/>
  <c r="V1654" i="16"/>
  <c r="AB1654" i="16" s="1"/>
  <c r="X1653" i="16"/>
  <c r="AD1653" i="16" s="1"/>
  <c r="W1653" i="16"/>
  <c r="AC1653" i="16" s="1"/>
  <c r="V1653" i="16"/>
  <c r="AB1653" i="16" s="1"/>
  <c r="X1652" i="16"/>
  <c r="AD1652" i="16" s="1"/>
  <c r="W1652" i="16"/>
  <c r="AC1652" i="16" s="1"/>
  <c r="V1652" i="16"/>
  <c r="AB1652" i="16" s="1"/>
  <c r="X1651" i="16"/>
  <c r="AD1651" i="16" s="1"/>
  <c r="W1651" i="16"/>
  <c r="AC1651" i="16" s="1"/>
  <c r="V1651" i="16"/>
  <c r="AB1651" i="16" s="1"/>
  <c r="X1650" i="16"/>
  <c r="AD1650" i="16" s="1"/>
  <c r="W1650" i="16"/>
  <c r="AC1650" i="16" s="1"/>
  <c r="V1650" i="16"/>
  <c r="AB1650" i="16" s="1"/>
  <c r="X1649" i="16"/>
  <c r="AD1649" i="16" s="1"/>
  <c r="W1649" i="16"/>
  <c r="AC1649" i="16" s="1"/>
  <c r="V1649" i="16"/>
  <c r="AB1649" i="16" s="1"/>
  <c r="X1648" i="16"/>
  <c r="AD1648" i="16" s="1"/>
  <c r="W1648" i="16"/>
  <c r="AC1648" i="16" s="1"/>
  <c r="V1648" i="16"/>
  <c r="AB1648" i="16" s="1"/>
  <c r="X1647" i="16"/>
  <c r="AD1647" i="16" s="1"/>
  <c r="W1647" i="16"/>
  <c r="AC1647" i="16" s="1"/>
  <c r="V1647" i="16"/>
  <c r="AB1647" i="16" s="1"/>
  <c r="X1646" i="16"/>
  <c r="AD1646" i="16" s="1"/>
  <c r="W1646" i="16"/>
  <c r="AC1646" i="16" s="1"/>
  <c r="V1646" i="16"/>
  <c r="AB1646" i="16" s="1"/>
  <c r="X1645" i="16"/>
  <c r="AD1645" i="16" s="1"/>
  <c r="W1645" i="16"/>
  <c r="AC1645" i="16" s="1"/>
  <c r="V1645" i="16"/>
  <c r="AB1645" i="16" s="1"/>
  <c r="X1644" i="16"/>
  <c r="AD1644" i="16" s="1"/>
  <c r="W1644" i="16"/>
  <c r="AC1644" i="16" s="1"/>
  <c r="V1644" i="16"/>
  <c r="AB1644" i="16" s="1"/>
  <c r="X1643" i="16"/>
  <c r="AD1643" i="16" s="1"/>
  <c r="W1643" i="16"/>
  <c r="AC1643" i="16" s="1"/>
  <c r="V1643" i="16"/>
  <c r="AB1643" i="16" s="1"/>
  <c r="X1642" i="16"/>
  <c r="AD1642" i="16" s="1"/>
  <c r="W1642" i="16"/>
  <c r="AC1642" i="16" s="1"/>
  <c r="V1642" i="16"/>
  <c r="AB1642" i="16" s="1"/>
  <c r="X1641" i="16"/>
  <c r="AD1641" i="16" s="1"/>
  <c r="W1641" i="16"/>
  <c r="AC1641" i="16" s="1"/>
  <c r="V1641" i="16"/>
  <c r="AB1641" i="16" s="1"/>
  <c r="X1640" i="16"/>
  <c r="AD1640" i="16" s="1"/>
  <c r="W1640" i="16"/>
  <c r="AC1640" i="16" s="1"/>
  <c r="V1640" i="16"/>
  <c r="AB1640" i="16" s="1"/>
  <c r="X1639" i="16"/>
  <c r="AD1639" i="16" s="1"/>
  <c r="W1639" i="16"/>
  <c r="AC1639" i="16" s="1"/>
  <c r="V1639" i="16"/>
  <c r="AB1639" i="16" s="1"/>
  <c r="X1638" i="16"/>
  <c r="AD1638" i="16" s="1"/>
  <c r="W1638" i="16"/>
  <c r="AC1638" i="16" s="1"/>
  <c r="V1638" i="16"/>
  <c r="AB1638" i="16" s="1"/>
  <c r="X1637" i="16"/>
  <c r="AD1637" i="16" s="1"/>
  <c r="W1637" i="16"/>
  <c r="AC1637" i="16" s="1"/>
  <c r="V1637" i="16"/>
  <c r="AB1637" i="16" s="1"/>
  <c r="X1636" i="16"/>
  <c r="AD1636" i="16" s="1"/>
  <c r="W1636" i="16"/>
  <c r="AC1636" i="16" s="1"/>
  <c r="V1636" i="16"/>
  <c r="AB1636" i="16" s="1"/>
  <c r="X1635" i="16"/>
  <c r="AD1635" i="16" s="1"/>
  <c r="W1635" i="16"/>
  <c r="AC1635" i="16" s="1"/>
  <c r="V1635" i="16"/>
  <c r="AB1635" i="16" s="1"/>
  <c r="X1634" i="16"/>
  <c r="AD1634" i="16" s="1"/>
  <c r="W1634" i="16"/>
  <c r="AC1634" i="16" s="1"/>
  <c r="V1634" i="16"/>
  <c r="AB1634" i="16" s="1"/>
  <c r="X1633" i="16"/>
  <c r="AD1633" i="16" s="1"/>
  <c r="W1633" i="16"/>
  <c r="AC1633" i="16" s="1"/>
  <c r="V1633" i="16"/>
  <c r="AB1633" i="16" s="1"/>
  <c r="X1632" i="16"/>
  <c r="AD1632" i="16" s="1"/>
  <c r="W1632" i="16"/>
  <c r="AC1632" i="16" s="1"/>
  <c r="V1632" i="16"/>
  <c r="AB1632" i="16" s="1"/>
  <c r="X1631" i="16"/>
  <c r="AD1631" i="16" s="1"/>
  <c r="W1631" i="16"/>
  <c r="AC1631" i="16" s="1"/>
  <c r="V1631" i="16"/>
  <c r="AB1631" i="16" s="1"/>
  <c r="X1630" i="16"/>
  <c r="AD1630" i="16" s="1"/>
  <c r="W1630" i="16"/>
  <c r="AC1630" i="16" s="1"/>
  <c r="V1630" i="16"/>
  <c r="AB1630" i="16" s="1"/>
  <c r="X1629" i="16"/>
  <c r="AD1629" i="16" s="1"/>
  <c r="W1629" i="16"/>
  <c r="AC1629" i="16" s="1"/>
  <c r="V1629" i="16"/>
  <c r="AB1629" i="16" s="1"/>
  <c r="X1628" i="16"/>
  <c r="AD1628" i="16" s="1"/>
  <c r="W1628" i="16"/>
  <c r="AC1628" i="16" s="1"/>
  <c r="V1628" i="16"/>
  <c r="AB1628" i="16" s="1"/>
  <c r="X1627" i="16"/>
  <c r="AD1627" i="16" s="1"/>
  <c r="W1627" i="16"/>
  <c r="AC1627" i="16" s="1"/>
  <c r="V1627" i="16"/>
  <c r="AB1627" i="16" s="1"/>
  <c r="X1626" i="16"/>
  <c r="AD1626" i="16" s="1"/>
  <c r="W1626" i="16"/>
  <c r="AC1626" i="16" s="1"/>
  <c r="V1626" i="16"/>
  <c r="AB1626" i="16" s="1"/>
  <c r="X1625" i="16"/>
  <c r="AD1625" i="16" s="1"/>
  <c r="W1625" i="16"/>
  <c r="AC1625" i="16" s="1"/>
  <c r="V1625" i="16"/>
  <c r="AB1625" i="16" s="1"/>
  <c r="X1624" i="16"/>
  <c r="AD1624" i="16" s="1"/>
  <c r="W1624" i="16"/>
  <c r="AC1624" i="16" s="1"/>
  <c r="V1624" i="16"/>
  <c r="AB1624" i="16" s="1"/>
  <c r="X1623" i="16"/>
  <c r="AD1623" i="16" s="1"/>
  <c r="W1623" i="16"/>
  <c r="AC1623" i="16" s="1"/>
  <c r="V1623" i="16"/>
  <c r="AB1623" i="16" s="1"/>
  <c r="X1622" i="16"/>
  <c r="AD1622" i="16" s="1"/>
  <c r="W1622" i="16"/>
  <c r="AC1622" i="16" s="1"/>
  <c r="V1622" i="16"/>
  <c r="AB1622" i="16" s="1"/>
  <c r="X1621" i="16"/>
  <c r="AD1621" i="16" s="1"/>
  <c r="W1621" i="16"/>
  <c r="AC1621" i="16" s="1"/>
  <c r="V1621" i="16"/>
  <c r="AB1621" i="16" s="1"/>
  <c r="X1620" i="16"/>
  <c r="AD1620" i="16" s="1"/>
  <c r="W1620" i="16"/>
  <c r="AC1620" i="16" s="1"/>
  <c r="V1620" i="16"/>
  <c r="AB1620" i="16" s="1"/>
  <c r="X1619" i="16"/>
  <c r="AD1619" i="16" s="1"/>
  <c r="W1619" i="16"/>
  <c r="AC1619" i="16" s="1"/>
  <c r="V1619" i="16"/>
  <c r="AB1619" i="16" s="1"/>
  <c r="X1618" i="16"/>
  <c r="AD1618" i="16" s="1"/>
  <c r="W1618" i="16"/>
  <c r="AC1618" i="16" s="1"/>
  <c r="V1618" i="16"/>
  <c r="AB1618" i="16" s="1"/>
  <c r="X1617" i="16"/>
  <c r="AD1617" i="16" s="1"/>
  <c r="W1617" i="16"/>
  <c r="AC1617" i="16" s="1"/>
  <c r="V1617" i="16"/>
  <c r="AB1617" i="16" s="1"/>
  <c r="X1616" i="16"/>
  <c r="AD1616" i="16" s="1"/>
  <c r="W1616" i="16"/>
  <c r="AC1616" i="16" s="1"/>
  <c r="V1616" i="16"/>
  <c r="AB1616" i="16" s="1"/>
  <c r="X1615" i="16"/>
  <c r="AD1615" i="16" s="1"/>
  <c r="W1615" i="16"/>
  <c r="AC1615" i="16" s="1"/>
  <c r="V1615" i="16"/>
  <c r="AB1615" i="16" s="1"/>
  <c r="X1614" i="16"/>
  <c r="AD1614" i="16" s="1"/>
  <c r="W1614" i="16"/>
  <c r="AC1614" i="16" s="1"/>
  <c r="V1614" i="16"/>
  <c r="AB1614" i="16" s="1"/>
  <c r="X1613" i="16"/>
  <c r="AD1613" i="16" s="1"/>
  <c r="W1613" i="16"/>
  <c r="AC1613" i="16" s="1"/>
  <c r="V1613" i="16"/>
  <c r="AB1613" i="16" s="1"/>
  <c r="X1612" i="16"/>
  <c r="AD1612" i="16" s="1"/>
  <c r="W1612" i="16"/>
  <c r="AC1612" i="16" s="1"/>
  <c r="V1612" i="16"/>
  <c r="AB1612" i="16" s="1"/>
  <c r="X1611" i="16"/>
  <c r="AD1611" i="16" s="1"/>
  <c r="W1611" i="16"/>
  <c r="AC1611" i="16" s="1"/>
  <c r="V1611" i="16"/>
  <c r="AB1611" i="16" s="1"/>
  <c r="X1610" i="16"/>
  <c r="AD1610" i="16" s="1"/>
  <c r="W1610" i="16"/>
  <c r="AC1610" i="16" s="1"/>
  <c r="V1610" i="16"/>
  <c r="AB1610" i="16" s="1"/>
  <c r="X1609" i="16"/>
  <c r="AD1609" i="16" s="1"/>
  <c r="W1609" i="16"/>
  <c r="AC1609" i="16" s="1"/>
  <c r="V1609" i="16"/>
  <c r="AB1609" i="16" s="1"/>
  <c r="X1608" i="16"/>
  <c r="AD1608" i="16" s="1"/>
  <c r="W1608" i="16"/>
  <c r="AC1608" i="16" s="1"/>
  <c r="V1608" i="16"/>
  <c r="AB1608" i="16" s="1"/>
  <c r="X1607" i="16"/>
  <c r="AD1607" i="16" s="1"/>
  <c r="W1607" i="16"/>
  <c r="AC1607" i="16" s="1"/>
  <c r="V1607" i="16"/>
  <c r="AB1607" i="16" s="1"/>
  <c r="X1606" i="16"/>
  <c r="AD1606" i="16" s="1"/>
  <c r="W1606" i="16"/>
  <c r="AC1606" i="16" s="1"/>
  <c r="V1606" i="16"/>
  <c r="AB1606" i="16" s="1"/>
  <c r="X1605" i="16"/>
  <c r="AD1605" i="16" s="1"/>
  <c r="W1605" i="16"/>
  <c r="AC1605" i="16" s="1"/>
  <c r="V1605" i="16"/>
  <c r="AB1605" i="16" s="1"/>
  <c r="X1604" i="16"/>
  <c r="AD1604" i="16" s="1"/>
  <c r="W1604" i="16"/>
  <c r="AC1604" i="16" s="1"/>
  <c r="V1604" i="16"/>
  <c r="AB1604" i="16" s="1"/>
  <c r="X1603" i="16"/>
  <c r="AD1603" i="16" s="1"/>
  <c r="W1603" i="16"/>
  <c r="AC1603" i="16" s="1"/>
  <c r="V1603" i="16"/>
  <c r="AB1603" i="16" s="1"/>
  <c r="X1602" i="16"/>
  <c r="AD1602" i="16" s="1"/>
  <c r="W1602" i="16"/>
  <c r="AC1602" i="16" s="1"/>
  <c r="V1602" i="16"/>
  <c r="AB1602" i="16" s="1"/>
  <c r="X1601" i="16"/>
  <c r="AD1601" i="16" s="1"/>
  <c r="W1601" i="16"/>
  <c r="AC1601" i="16" s="1"/>
  <c r="V1601" i="16"/>
  <c r="AB1601" i="16" s="1"/>
  <c r="X1600" i="16"/>
  <c r="AD1600" i="16" s="1"/>
  <c r="W1600" i="16"/>
  <c r="AC1600" i="16" s="1"/>
  <c r="V1600" i="16"/>
  <c r="AB1600" i="16" s="1"/>
  <c r="X1599" i="16"/>
  <c r="AD1599" i="16" s="1"/>
  <c r="W1599" i="16"/>
  <c r="AC1599" i="16" s="1"/>
  <c r="V1599" i="16"/>
  <c r="AB1599" i="16" s="1"/>
  <c r="X1598" i="16"/>
  <c r="AD1598" i="16" s="1"/>
  <c r="W1598" i="16"/>
  <c r="AC1598" i="16" s="1"/>
  <c r="V1598" i="16"/>
  <c r="AB1598" i="16" s="1"/>
  <c r="X1597" i="16"/>
  <c r="AD1597" i="16" s="1"/>
  <c r="W1597" i="16"/>
  <c r="AC1597" i="16" s="1"/>
  <c r="V1597" i="16"/>
  <c r="AB1597" i="16" s="1"/>
  <c r="X1596" i="16"/>
  <c r="AD1596" i="16" s="1"/>
  <c r="W1596" i="16"/>
  <c r="AC1596" i="16" s="1"/>
  <c r="V1596" i="16"/>
  <c r="AB1596" i="16" s="1"/>
  <c r="X1595" i="16"/>
  <c r="AD1595" i="16" s="1"/>
  <c r="W1595" i="16"/>
  <c r="AC1595" i="16" s="1"/>
  <c r="V1595" i="16"/>
  <c r="AB1595" i="16" s="1"/>
  <c r="X1594" i="16"/>
  <c r="AD1594" i="16" s="1"/>
  <c r="W1594" i="16"/>
  <c r="AC1594" i="16" s="1"/>
  <c r="V1594" i="16"/>
  <c r="AB1594" i="16" s="1"/>
  <c r="X1593" i="16"/>
  <c r="AD1593" i="16" s="1"/>
  <c r="W1593" i="16"/>
  <c r="AC1593" i="16" s="1"/>
  <c r="V1593" i="16"/>
  <c r="AB1593" i="16" s="1"/>
  <c r="X1592" i="16"/>
  <c r="AD1592" i="16" s="1"/>
  <c r="W1592" i="16"/>
  <c r="AC1592" i="16" s="1"/>
  <c r="V1592" i="16"/>
  <c r="AB1592" i="16" s="1"/>
  <c r="X1591" i="16"/>
  <c r="AD1591" i="16" s="1"/>
  <c r="W1591" i="16"/>
  <c r="AC1591" i="16" s="1"/>
  <c r="V1591" i="16"/>
  <c r="AB1591" i="16" s="1"/>
  <c r="X1590" i="16"/>
  <c r="AD1590" i="16" s="1"/>
  <c r="W1590" i="16"/>
  <c r="AC1590" i="16" s="1"/>
  <c r="V1590" i="16"/>
  <c r="AB1590" i="16" s="1"/>
  <c r="X1589" i="16"/>
  <c r="AD1589" i="16" s="1"/>
  <c r="W1589" i="16"/>
  <c r="AC1589" i="16" s="1"/>
  <c r="V1589" i="16"/>
  <c r="AB1589" i="16" s="1"/>
  <c r="X1588" i="16"/>
  <c r="AD1588" i="16" s="1"/>
  <c r="W1588" i="16"/>
  <c r="AC1588" i="16" s="1"/>
  <c r="V1588" i="16"/>
  <c r="AB1588" i="16" s="1"/>
  <c r="X1587" i="16"/>
  <c r="AD1587" i="16" s="1"/>
  <c r="W1587" i="16"/>
  <c r="AC1587" i="16" s="1"/>
  <c r="V1587" i="16"/>
  <c r="AB1587" i="16" s="1"/>
  <c r="X1586" i="16"/>
  <c r="AD1586" i="16" s="1"/>
  <c r="W1586" i="16"/>
  <c r="AC1586" i="16" s="1"/>
  <c r="V1586" i="16"/>
  <c r="AB1586" i="16" s="1"/>
  <c r="X1585" i="16"/>
  <c r="AD1585" i="16" s="1"/>
  <c r="W1585" i="16"/>
  <c r="AC1585" i="16" s="1"/>
  <c r="V1585" i="16"/>
  <c r="AB1585" i="16" s="1"/>
  <c r="X1584" i="16"/>
  <c r="AD1584" i="16" s="1"/>
  <c r="W1584" i="16"/>
  <c r="AC1584" i="16" s="1"/>
  <c r="V1584" i="16"/>
  <c r="AB1584" i="16" s="1"/>
  <c r="X1583" i="16"/>
  <c r="AD1583" i="16" s="1"/>
  <c r="W1583" i="16"/>
  <c r="AC1583" i="16" s="1"/>
  <c r="V1583" i="16"/>
  <c r="AB1583" i="16" s="1"/>
  <c r="X1582" i="16"/>
  <c r="AD1582" i="16" s="1"/>
  <c r="W1582" i="16"/>
  <c r="AC1582" i="16" s="1"/>
  <c r="V1582" i="16"/>
  <c r="AB1582" i="16" s="1"/>
  <c r="X1581" i="16"/>
  <c r="AD1581" i="16" s="1"/>
  <c r="W1581" i="16"/>
  <c r="AC1581" i="16" s="1"/>
  <c r="V1581" i="16"/>
  <c r="AB1581" i="16" s="1"/>
  <c r="X1580" i="16"/>
  <c r="AD1580" i="16" s="1"/>
  <c r="W1580" i="16"/>
  <c r="AC1580" i="16" s="1"/>
  <c r="V1580" i="16"/>
  <c r="AB1580" i="16" s="1"/>
  <c r="X1579" i="16"/>
  <c r="AD1579" i="16" s="1"/>
  <c r="W1579" i="16"/>
  <c r="AC1579" i="16" s="1"/>
  <c r="V1579" i="16"/>
  <c r="AB1579" i="16" s="1"/>
  <c r="X1578" i="16"/>
  <c r="AD1578" i="16" s="1"/>
  <c r="W1578" i="16"/>
  <c r="AC1578" i="16" s="1"/>
  <c r="V1578" i="16"/>
  <c r="AB1578" i="16" s="1"/>
  <c r="X1577" i="16"/>
  <c r="AD1577" i="16" s="1"/>
  <c r="W1577" i="16"/>
  <c r="AC1577" i="16" s="1"/>
  <c r="V1577" i="16"/>
  <c r="AB1577" i="16" s="1"/>
  <c r="X1576" i="16"/>
  <c r="AD1576" i="16" s="1"/>
  <c r="W1576" i="16"/>
  <c r="AC1576" i="16" s="1"/>
  <c r="V1576" i="16"/>
  <c r="AB1576" i="16" s="1"/>
  <c r="X1575" i="16"/>
  <c r="AD1575" i="16" s="1"/>
  <c r="W1575" i="16"/>
  <c r="AC1575" i="16" s="1"/>
  <c r="V1575" i="16"/>
  <c r="AB1575" i="16" s="1"/>
  <c r="X1574" i="16"/>
  <c r="AD1574" i="16" s="1"/>
  <c r="W1574" i="16"/>
  <c r="AC1574" i="16" s="1"/>
  <c r="V1574" i="16"/>
  <c r="AB1574" i="16" s="1"/>
  <c r="X1573" i="16"/>
  <c r="AD1573" i="16" s="1"/>
  <c r="W1573" i="16"/>
  <c r="AC1573" i="16" s="1"/>
  <c r="V1573" i="16"/>
  <c r="AB1573" i="16" s="1"/>
  <c r="X1572" i="16"/>
  <c r="AD1572" i="16" s="1"/>
  <c r="W1572" i="16"/>
  <c r="AC1572" i="16" s="1"/>
  <c r="V1572" i="16"/>
  <c r="AB1572" i="16" s="1"/>
  <c r="X1571" i="16"/>
  <c r="AD1571" i="16" s="1"/>
  <c r="W1571" i="16"/>
  <c r="AC1571" i="16" s="1"/>
  <c r="V1571" i="16"/>
  <c r="AB1571" i="16" s="1"/>
  <c r="X1570" i="16"/>
  <c r="AD1570" i="16" s="1"/>
  <c r="W1570" i="16"/>
  <c r="AC1570" i="16" s="1"/>
  <c r="V1570" i="16"/>
  <c r="AB1570" i="16" s="1"/>
  <c r="X1569" i="16"/>
  <c r="AD1569" i="16" s="1"/>
  <c r="W1569" i="16"/>
  <c r="AC1569" i="16" s="1"/>
  <c r="V1569" i="16"/>
  <c r="AB1569" i="16" s="1"/>
  <c r="X1568" i="16"/>
  <c r="AD1568" i="16" s="1"/>
  <c r="W1568" i="16"/>
  <c r="AC1568" i="16" s="1"/>
  <c r="V1568" i="16"/>
  <c r="AB1568" i="16" s="1"/>
  <c r="X1567" i="16"/>
  <c r="AD1567" i="16" s="1"/>
  <c r="W1567" i="16"/>
  <c r="AC1567" i="16" s="1"/>
  <c r="V1567" i="16"/>
  <c r="AB1567" i="16" s="1"/>
  <c r="X1566" i="16"/>
  <c r="AD1566" i="16" s="1"/>
  <c r="W1566" i="16"/>
  <c r="AC1566" i="16" s="1"/>
  <c r="V1566" i="16"/>
  <c r="AB1566" i="16" s="1"/>
  <c r="X1565" i="16"/>
  <c r="AD1565" i="16" s="1"/>
  <c r="W1565" i="16"/>
  <c r="AC1565" i="16" s="1"/>
  <c r="V1565" i="16"/>
  <c r="AB1565" i="16" s="1"/>
  <c r="X1564" i="16"/>
  <c r="AD1564" i="16" s="1"/>
  <c r="W1564" i="16"/>
  <c r="AC1564" i="16" s="1"/>
  <c r="V1564" i="16"/>
  <c r="AB1564" i="16" s="1"/>
  <c r="X1563" i="16"/>
  <c r="AD1563" i="16" s="1"/>
  <c r="W1563" i="16"/>
  <c r="AC1563" i="16" s="1"/>
  <c r="V1563" i="16"/>
  <c r="AB1563" i="16" s="1"/>
  <c r="X1562" i="16"/>
  <c r="AD1562" i="16" s="1"/>
  <c r="W1562" i="16"/>
  <c r="AC1562" i="16" s="1"/>
  <c r="V1562" i="16"/>
  <c r="AB1562" i="16" s="1"/>
  <c r="X1561" i="16"/>
  <c r="AD1561" i="16" s="1"/>
  <c r="W1561" i="16"/>
  <c r="AC1561" i="16" s="1"/>
  <c r="V1561" i="16"/>
  <c r="AB1561" i="16" s="1"/>
  <c r="X1560" i="16"/>
  <c r="AD1560" i="16" s="1"/>
  <c r="W1560" i="16"/>
  <c r="AC1560" i="16" s="1"/>
  <c r="V1560" i="16"/>
  <c r="AB1560" i="16" s="1"/>
  <c r="X1559" i="16"/>
  <c r="AD1559" i="16" s="1"/>
  <c r="W1559" i="16"/>
  <c r="AC1559" i="16" s="1"/>
  <c r="V1559" i="16"/>
  <c r="AB1559" i="16" s="1"/>
  <c r="X1558" i="16"/>
  <c r="AD1558" i="16" s="1"/>
  <c r="W1558" i="16"/>
  <c r="AC1558" i="16" s="1"/>
  <c r="V1558" i="16"/>
  <c r="AB1558" i="16" s="1"/>
  <c r="X1557" i="16"/>
  <c r="AD1557" i="16" s="1"/>
  <c r="W1557" i="16"/>
  <c r="AC1557" i="16" s="1"/>
  <c r="V1557" i="16"/>
  <c r="AB1557" i="16" s="1"/>
  <c r="X1556" i="16"/>
  <c r="AD1556" i="16" s="1"/>
  <c r="W1556" i="16"/>
  <c r="AC1556" i="16" s="1"/>
  <c r="V1556" i="16"/>
  <c r="AB1556" i="16" s="1"/>
  <c r="X1555" i="16"/>
  <c r="AD1555" i="16" s="1"/>
  <c r="W1555" i="16"/>
  <c r="AC1555" i="16" s="1"/>
  <c r="V1555" i="16"/>
  <c r="AB1555" i="16" s="1"/>
  <c r="X1554" i="16"/>
  <c r="AD1554" i="16" s="1"/>
  <c r="W1554" i="16"/>
  <c r="AC1554" i="16" s="1"/>
  <c r="V1554" i="16"/>
  <c r="AB1554" i="16" s="1"/>
  <c r="X1553" i="16"/>
  <c r="AD1553" i="16" s="1"/>
  <c r="W1553" i="16"/>
  <c r="AC1553" i="16" s="1"/>
  <c r="V1553" i="16"/>
  <c r="AB1553" i="16" s="1"/>
  <c r="X1552" i="16"/>
  <c r="AD1552" i="16" s="1"/>
  <c r="W1552" i="16"/>
  <c r="AC1552" i="16" s="1"/>
  <c r="V1552" i="16"/>
  <c r="AB1552" i="16" s="1"/>
  <c r="X1551" i="16"/>
  <c r="AD1551" i="16" s="1"/>
  <c r="W1551" i="16"/>
  <c r="AC1551" i="16" s="1"/>
  <c r="V1551" i="16"/>
  <c r="AB1551" i="16" s="1"/>
  <c r="X1550" i="16"/>
  <c r="AD1550" i="16" s="1"/>
  <c r="W1550" i="16"/>
  <c r="AC1550" i="16" s="1"/>
  <c r="V1550" i="16"/>
  <c r="AB1550" i="16" s="1"/>
  <c r="X1549" i="16"/>
  <c r="AD1549" i="16" s="1"/>
  <c r="W1549" i="16"/>
  <c r="AC1549" i="16" s="1"/>
  <c r="V1549" i="16"/>
  <c r="AB1549" i="16" s="1"/>
  <c r="X1548" i="16"/>
  <c r="AD1548" i="16" s="1"/>
  <c r="W1548" i="16"/>
  <c r="AC1548" i="16" s="1"/>
  <c r="V1548" i="16"/>
  <c r="AB1548" i="16" s="1"/>
  <c r="X1547" i="16"/>
  <c r="AD1547" i="16" s="1"/>
  <c r="W1547" i="16"/>
  <c r="AC1547" i="16" s="1"/>
  <c r="V1547" i="16"/>
  <c r="AB1547" i="16" s="1"/>
  <c r="X1546" i="16"/>
  <c r="AD1546" i="16" s="1"/>
  <c r="W1546" i="16"/>
  <c r="AC1546" i="16" s="1"/>
  <c r="V1546" i="16"/>
  <c r="AB1546" i="16" s="1"/>
  <c r="X1545" i="16"/>
  <c r="AD1545" i="16" s="1"/>
  <c r="W1545" i="16"/>
  <c r="AC1545" i="16" s="1"/>
  <c r="V1545" i="16"/>
  <c r="AB1545" i="16" s="1"/>
  <c r="X1544" i="16"/>
  <c r="AD1544" i="16" s="1"/>
  <c r="W1544" i="16"/>
  <c r="AC1544" i="16" s="1"/>
  <c r="V1544" i="16"/>
  <c r="AB1544" i="16" s="1"/>
  <c r="X1543" i="16"/>
  <c r="AD1543" i="16" s="1"/>
  <c r="W1543" i="16"/>
  <c r="AC1543" i="16" s="1"/>
  <c r="V1543" i="16"/>
  <c r="AB1543" i="16" s="1"/>
  <c r="X1542" i="16"/>
  <c r="AD1542" i="16" s="1"/>
  <c r="W1542" i="16"/>
  <c r="AC1542" i="16" s="1"/>
  <c r="V1542" i="16"/>
  <c r="AB1542" i="16" s="1"/>
  <c r="X1541" i="16"/>
  <c r="AD1541" i="16" s="1"/>
  <c r="W1541" i="16"/>
  <c r="AC1541" i="16" s="1"/>
  <c r="V1541" i="16"/>
  <c r="AB1541" i="16" s="1"/>
  <c r="X1540" i="16"/>
  <c r="AD1540" i="16" s="1"/>
  <c r="W1540" i="16"/>
  <c r="AC1540" i="16" s="1"/>
  <c r="V1540" i="16"/>
  <c r="AB1540" i="16" s="1"/>
  <c r="X1539" i="16"/>
  <c r="AD1539" i="16" s="1"/>
  <c r="W1539" i="16"/>
  <c r="AC1539" i="16" s="1"/>
  <c r="V1539" i="16"/>
  <c r="AB1539" i="16" s="1"/>
  <c r="X1538" i="16"/>
  <c r="AD1538" i="16" s="1"/>
  <c r="W1538" i="16"/>
  <c r="AC1538" i="16" s="1"/>
  <c r="V1538" i="16"/>
  <c r="AB1538" i="16" s="1"/>
  <c r="X1537" i="16"/>
  <c r="AD1537" i="16" s="1"/>
  <c r="W1537" i="16"/>
  <c r="AC1537" i="16" s="1"/>
  <c r="V1537" i="16"/>
  <c r="AB1537" i="16" s="1"/>
  <c r="X1536" i="16"/>
  <c r="AD1536" i="16" s="1"/>
  <c r="W1536" i="16"/>
  <c r="AC1536" i="16" s="1"/>
  <c r="V1536" i="16"/>
  <c r="AB1536" i="16" s="1"/>
  <c r="X1535" i="16"/>
  <c r="AD1535" i="16" s="1"/>
  <c r="W1535" i="16"/>
  <c r="AC1535" i="16" s="1"/>
  <c r="V1535" i="16"/>
  <c r="AB1535" i="16" s="1"/>
  <c r="X1534" i="16"/>
  <c r="AD1534" i="16" s="1"/>
  <c r="W1534" i="16"/>
  <c r="AC1534" i="16" s="1"/>
  <c r="V1534" i="16"/>
  <c r="AB1534" i="16" s="1"/>
  <c r="X1533" i="16"/>
  <c r="AD1533" i="16" s="1"/>
  <c r="W1533" i="16"/>
  <c r="AC1533" i="16" s="1"/>
  <c r="V1533" i="16"/>
  <c r="AB1533" i="16" s="1"/>
  <c r="X1532" i="16"/>
  <c r="AD1532" i="16" s="1"/>
  <c r="W1532" i="16"/>
  <c r="AC1532" i="16" s="1"/>
  <c r="V1532" i="16"/>
  <c r="AB1532" i="16" s="1"/>
  <c r="X1531" i="16"/>
  <c r="AD1531" i="16" s="1"/>
  <c r="W1531" i="16"/>
  <c r="AC1531" i="16" s="1"/>
  <c r="V1531" i="16"/>
  <c r="AB1531" i="16" s="1"/>
  <c r="X1530" i="16"/>
  <c r="AD1530" i="16" s="1"/>
  <c r="W1530" i="16"/>
  <c r="AC1530" i="16" s="1"/>
  <c r="V1530" i="16"/>
  <c r="AB1530" i="16" s="1"/>
  <c r="X1529" i="16"/>
  <c r="AD1529" i="16" s="1"/>
  <c r="W1529" i="16"/>
  <c r="AC1529" i="16" s="1"/>
  <c r="V1529" i="16"/>
  <c r="AB1529" i="16" s="1"/>
  <c r="X1528" i="16"/>
  <c r="AD1528" i="16" s="1"/>
  <c r="W1528" i="16"/>
  <c r="AC1528" i="16" s="1"/>
  <c r="V1528" i="16"/>
  <c r="AB1528" i="16" s="1"/>
  <c r="X1527" i="16"/>
  <c r="AD1527" i="16" s="1"/>
  <c r="W1527" i="16"/>
  <c r="AC1527" i="16" s="1"/>
  <c r="V1527" i="16"/>
  <c r="AB1527" i="16" s="1"/>
  <c r="X1526" i="16"/>
  <c r="AD1526" i="16" s="1"/>
  <c r="W1526" i="16"/>
  <c r="AC1526" i="16" s="1"/>
  <c r="V1526" i="16"/>
  <c r="AB1526" i="16" s="1"/>
  <c r="X1525" i="16"/>
  <c r="AD1525" i="16" s="1"/>
  <c r="W1525" i="16"/>
  <c r="AC1525" i="16" s="1"/>
  <c r="V1525" i="16"/>
  <c r="AB1525" i="16" s="1"/>
  <c r="X1524" i="16"/>
  <c r="AD1524" i="16" s="1"/>
  <c r="W1524" i="16"/>
  <c r="AC1524" i="16" s="1"/>
  <c r="V1524" i="16"/>
  <c r="AB1524" i="16" s="1"/>
  <c r="X1523" i="16"/>
  <c r="AD1523" i="16" s="1"/>
  <c r="W1523" i="16"/>
  <c r="AC1523" i="16" s="1"/>
  <c r="V1523" i="16"/>
  <c r="AB1523" i="16" s="1"/>
  <c r="X1522" i="16"/>
  <c r="AD1522" i="16" s="1"/>
  <c r="W1522" i="16"/>
  <c r="AC1522" i="16" s="1"/>
  <c r="V1522" i="16"/>
  <c r="AB1522" i="16" s="1"/>
  <c r="X1521" i="16"/>
  <c r="AD1521" i="16" s="1"/>
  <c r="W1521" i="16"/>
  <c r="AC1521" i="16" s="1"/>
  <c r="V1521" i="16"/>
  <c r="AB1521" i="16" s="1"/>
  <c r="X1520" i="16"/>
  <c r="AD1520" i="16" s="1"/>
  <c r="W1520" i="16"/>
  <c r="AC1520" i="16" s="1"/>
  <c r="V1520" i="16"/>
  <c r="AB1520" i="16" s="1"/>
  <c r="X1519" i="16"/>
  <c r="AD1519" i="16" s="1"/>
  <c r="W1519" i="16"/>
  <c r="AC1519" i="16" s="1"/>
  <c r="V1519" i="16"/>
  <c r="AB1519" i="16" s="1"/>
  <c r="X1518" i="16"/>
  <c r="AD1518" i="16" s="1"/>
  <c r="W1518" i="16"/>
  <c r="AC1518" i="16" s="1"/>
  <c r="V1518" i="16"/>
  <c r="AB1518" i="16" s="1"/>
  <c r="X1517" i="16"/>
  <c r="AD1517" i="16" s="1"/>
  <c r="W1517" i="16"/>
  <c r="AC1517" i="16" s="1"/>
  <c r="V1517" i="16"/>
  <c r="AB1517" i="16" s="1"/>
  <c r="X1516" i="16"/>
  <c r="AD1516" i="16" s="1"/>
  <c r="W1516" i="16"/>
  <c r="AC1516" i="16" s="1"/>
  <c r="V1516" i="16"/>
  <c r="AB1516" i="16" s="1"/>
  <c r="X1515" i="16"/>
  <c r="AD1515" i="16" s="1"/>
  <c r="W1515" i="16"/>
  <c r="AC1515" i="16" s="1"/>
  <c r="V1515" i="16"/>
  <c r="AB1515" i="16" s="1"/>
  <c r="X1514" i="16"/>
  <c r="AD1514" i="16" s="1"/>
  <c r="W1514" i="16"/>
  <c r="AC1514" i="16" s="1"/>
  <c r="V1514" i="16"/>
  <c r="AB1514" i="16" s="1"/>
  <c r="X1513" i="16"/>
  <c r="AD1513" i="16" s="1"/>
  <c r="W1513" i="16"/>
  <c r="AC1513" i="16" s="1"/>
  <c r="V1513" i="16"/>
  <c r="AB1513" i="16" s="1"/>
  <c r="X1512" i="16"/>
  <c r="AD1512" i="16" s="1"/>
  <c r="W1512" i="16"/>
  <c r="AC1512" i="16" s="1"/>
  <c r="V1512" i="16"/>
  <c r="AB1512" i="16" s="1"/>
  <c r="X1511" i="16"/>
  <c r="AD1511" i="16" s="1"/>
  <c r="W1511" i="16"/>
  <c r="AC1511" i="16" s="1"/>
  <c r="V1511" i="16"/>
  <c r="AB1511" i="16" s="1"/>
  <c r="X1510" i="16"/>
  <c r="AD1510" i="16" s="1"/>
  <c r="W1510" i="16"/>
  <c r="AC1510" i="16" s="1"/>
  <c r="V1510" i="16"/>
  <c r="AB1510" i="16" s="1"/>
  <c r="X1509" i="16"/>
  <c r="AD1509" i="16" s="1"/>
  <c r="W1509" i="16"/>
  <c r="AC1509" i="16" s="1"/>
  <c r="V1509" i="16"/>
  <c r="AB1509" i="16" s="1"/>
  <c r="X1508" i="16"/>
  <c r="AD1508" i="16" s="1"/>
  <c r="W1508" i="16"/>
  <c r="AC1508" i="16" s="1"/>
  <c r="V1508" i="16"/>
  <c r="AB1508" i="16" s="1"/>
  <c r="X1507" i="16"/>
  <c r="AD1507" i="16" s="1"/>
  <c r="W1507" i="16"/>
  <c r="AC1507" i="16" s="1"/>
  <c r="V1507" i="16"/>
  <c r="AB1507" i="16" s="1"/>
  <c r="X1506" i="16"/>
  <c r="AD1506" i="16" s="1"/>
  <c r="W1506" i="16"/>
  <c r="AC1506" i="16" s="1"/>
  <c r="V1506" i="16"/>
  <c r="AB1506" i="16" s="1"/>
  <c r="X1505" i="16"/>
  <c r="AD1505" i="16" s="1"/>
  <c r="W1505" i="16"/>
  <c r="AC1505" i="16" s="1"/>
  <c r="V1505" i="16"/>
  <c r="AB1505" i="16" s="1"/>
  <c r="X1504" i="16"/>
  <c r="AD1504" i="16" s="1"/>
  <c r="W1504" i="16"/>
  <c r="AC1504" i="16" s="1"/>
  <c r="V1504" i="16"/>
  <c r="AB1504" i="16" s="1"/>
  <c r="X1503" i="16"/>
  <c r="AD1503" i="16" s="1"/>
  <c r="W1503" i="16"/>
  <c r="AC1503" i="16" s="1"/>
  <c r="V1503" i="16"/>
  <c r="AB1503" i="16" s="1"/>
  <c r="X1502" i="16"/>
  <c r="AD1502" i="16" s="1"/>
  <c r="W1502" i="16"/>
  <c r="AC1502" i="16" s="1"/>
  <c r="V1502" i="16"/>
  <c r="AB1502" i="16" s="1"/>
  <c r="X1501" i="16"/>
  <c r="AD1501" i="16" s="1"/>
  <c r="W1501" i="16"/>
  <c r="AC1501" i="16" s="1"/>
  <c r="V1501" i="16"/>
  <c r="AB1501" i="16" s="1"/>
  <c r="X1500" i="16"/>
  <c r="AD1500" i="16" s="1"/>
  <c r="W1500" i="16"/>
  <c r="AC1500" i="16" s="1"/>
  <c r="V1500" i="16"/>
  <c r="AB1500" i="16" s="1"/>
  <c r="X1499" i="16"/>
  <c r="AD1499" i="16" s="1"/>
  <c r="W1499" i="16"/>
  <c r="AC1499" i="16" s="1"/>
  <c r="V1499" i="16"/>
  <c r="AB1499" i="16" s="1"/>
  <c r="X1498" i="16"/>
  <c r="AD1498" i="16" s="1"/>
  <c r="W1498" i="16"/>
  <c r="AC1498" i="16" s="1"/>
  <c r="V1498" i="16"/>
  <c r="AB1498" i="16" s="1"/>
  <c r="X1497" i="16"/>
  <c r="AD1497" i="16" s="1"/>
  <c r="W1497" i="16"/>
  <c r="AC1497" i="16" s="1"/>
  <c r="V1497" i="16"/>
  <c r="AB1497" i="16" s="1"/>
  <c r="X1496" i="16"/>
  <c r="AD1496" i="16" s="1"/>
  <c r="W1496" i="16"/>
  <c r="AC1496" i="16" s="1"/>
  <c r="V1496" i="16"/>
  <c r="AB1496" i="16" s="1"/>
  <c r="X1495" i="16"/>
  <c r="AD1495" i="16" s="1"/>
  <c r="W1495" i="16"/>
  <c r="AC1495" i="16" s="1"/>
  <c r="V1495" i="16"/>
  <c r="AB1495" i="16" s="1"/>
  <c r="X1494" i="16"/>
  <c r="AD1494" i="16" s="1"/>
  <c r="W1494" i="16"/>
  <c r="AC1494" i="16" s="1"/>
  <c r="V1494" i="16"/>
  <c r="AB1494" i="16" s="1"/>
  <c r="X1493" i="16"/>
  <c r="AD1493" i="16" s="1"/>
  <c r="W1493" i="16"/>
  <c r="AC1493" i="16" s="1"/>
  <c r="V1493" i="16"/>
  <c r="AB1493" i="16" s="1"/>
  <c r="X1492" i="16"/>
  <c r="AD1492" i="16" s="1"/>
  <c r="W1492" i="16"/>
  <c r="AC1492" i="16" s="1"/>
  <c r="V1492" i="16"/>
  <c r="AB1492" i="16" s="1"/>
  <c r="X1491" i="16"/>
  <c r="AD1491" i="16" s="1"/>
  <c r="W1491" i="16"/>
  <c r="AC1491" i="16" s="1"/>
  <c r="V1491" i="16"/>
  <c r="AB1491" i="16" s="1"/>
  <c r="X1490" i="16"/>
  <c r="AD1490" i="16" s="1"/>
  <c r="W1490" i="16"/>
  <c r="AC1490" i="16" s="1"/>
  <c r="V1490" i="16"/>
  <c r="AB1490" i="16" s="1"/>
  <c r="X1489" i="16"/>
  <c r="AD1489" i="16" s="1"/>
  <c r="W1489" i="16"/>
  <c r="AC1489" i="16" s="1"/>
  <c r="V1489" i="16"/>
  <c r="AB1489" i="16" s="1"/>
  <c r="X1488" i="16"/>
  <c r="AD1488" i="16" s="1"/>
  <c r="W1488" i="16"/>
  <c r="AC1488" i="16" s="1"/>
  <c r="V1488" i="16"/>
  <c r="AB1488" i="16" s="1"/>
  <c r="X1487" i="16"/>
  <c r="AD1487" i="16" s="1"/>
  <c r="W1487" i="16"/>
  <c r="AC1487" i="16" s="1"/>
  <c r="V1487" i="16"/>
  <c r="AB1487" i="16" s="1"/>
  <c r="X1486" i="16"/>
  <c r="AD1486" i="16" s="1"/>
  <c r="W1486" i="16"/>
  <c r="AC1486" i="16" s="1"/>
  <c r="V1486" i="16"/>
  <c r="AB1486" i="16" s="1"/>
  <c r="X1485" i="16"/>
  <c r="AD1485" i="16" s="1"/>
  <c r="W1485" i="16"/>
  <c r="AC1485" i="16" s="1"/>
  <c r="V1485" i="16"/>
  <c r="AB1485" i="16" s="1"/>
  <c r="X1484" i="16"/>
  <c r="AD1484" i="16" s="1"/>
  <c r="W1484" i="16"/>
  <c r="AC1484" i="16" s="1"/>
  <c r="V1484" i="16"/>
  <c r="AB1484" i="16" s="1"/>
  <c r="X1483" i="16"/>
  <c r="AD1483" i="16" s="1"/>
  <c r="W1483" i="16"/>
  <c r="AC1483" i="16" s="1"/>
  <c r="V1483" i="16"/>
  <c r="AB1483" i="16" s="1"/>
  <c r="X1482" i="16"/>
  <c r="AD1482" i="16" s="1"/>
  <c r="W1482" i="16"/>
  <c r="AC1482" i="16" s="1"/>
  <c r="V1482" i="16"/>
  <c r="AB1482" i="16" s="1"/>
  <c r="X1481" i="16"/>
  <c r="AD1481" i="16" s="1"/>
  <c r="W1481" i="16"/>
  <c r="AC1481" i="16" s="1"/>
  <c r="V1481" i="16"/>
  <c r="AB1481" i="16" s="1"/>
  <c r="X1480" i="16"/>
  <c r="AD1480" i="16" s="1"/>
  <c r="W1480" i="16"/>
  <c r="AC1480" i="16" s="1"/>
  <c r="V1480" i="16"/>
  <c r="AB1480" i="16" s="1"/>
  <c r="X1479" i="16"/>
  <c r="AD1479" i="16" s="1"/>
  <c r="W1479" i="16"/>
  <c r="AC1479" i="16" s="1"/>
  <c r="V1479" i="16"/>
  <c r="AB1479" i="16" s="1"/>
  <c r="X1478" i="16"/>
  <c r="AD1478" i="16" s="1"/>
  <c r="W1478" i="16"/>
  <c r="AC1478" i="16" s="1"/>
  <c r="V1478" i="16"/>
  <c r="AB1478" i="16" s="1"/>
  <c r="X1477" i="16"/>
  <c r="AD1477" i="16" s="1"/>
  <c r="W1477" i="16"/>
  <c r="AC1477" i="16" s="1"/>
  <c r="V1477" i="16"/>
  <c r="AB1477" i="16" s="1"/>
  <c r="X1476" i="16"/>
  <c r="AD1476" i="16" s="1"/>
  <c r="W1476" i="16"/>
  <c r="AC1476" i="16" s="1"/>
  <c r="V1476" i="16"/>
  <c r="AB1476" i="16" s="1"/>
  <c r="X1475" i="16"/>
  <c r="AD1475" i="16" s="1"/>
  <c r="W1475" i="16"/>
  <c r="AC1475" i="16" s="1"/>
  <c r="V1475" i="16"/>
  <c r="AB1475" i="16" s="1"/>
  <c r="X1474" i="16"/>
  <c r="AD1474" i="16" s="1"/>
  <c r="W1474" i="16"/>
  <c r="AC1474" i="16" s="1"/>
  <c r="V1474" i="16"/>
  <c r="AB1474" i="16" s="1"/>
  <c r="X1473" i="16"/>
  <c r="AD1473" i="16" s="1"/>
  <c r="W1473" i="16"/>
  <c r="AC1473" i="16" s="1"/>
  <c r="V1473" i="16"/>
  <c r="AB1473" i="16" s="1"/>
  <c r="X1472" i="16"/>
  <c r="AD1472" i="16" s="1"/>
  <c r="W1472" i="16"/>
  <c r="AC1472" i="16" s="1"/>
  <c r="V1472" i="16"/>
  <c r="AB1472" i="16" s="1"/>
  <c r="X1471" i="16"/>
  <c r="AD1471" i="16" s="1"/>
  <c r="W1471" i="16"/>
  <c r="AC1471" i="16" s="1"/>
  <c r="V1471" i="16"/>
  <c r="AB1471" i="16" s="1"/>
  <c r="X1470" i="16"/>
  <c r="AD1470" i="16" s="1"/>
  <c r="W1470" i="16"/>
  <c r="AC1470" i="16" s="1"/>
  <c r="V1470" i="16"/>
  <c r="AB1470" i="16" s="1"/>
  <c r="X1469" i="16"/>
  <c r="AD1469" i="16" s="1"/>
  <c r="W1469" i="16"/>
  <c r="AC1469" i="16" s="1"/>
  <c r="V1469" i="16"/>
  <c r="AB1469" i="16" s="1"/>
  <c r="X1468" i="16"/>
  <c r="AD1468" i="16" s="1"/>
  <c r="W1468" i="16"/>
  <c r="AC1468" i="16" s="1"/>
  <c r="V1468" i="16"/>
  <c r="AB1468" i="16" s="1"/>
  <c r="X1467" i="16"/>
  <c r="AD1467" i="16" s="1"/>
  <c r="W1467" i="16"/>
  <c r="AC1467" i="16" s="1"/>
  <c r="V1467" i="16"/>
  <c r="AB1467" i="16" s="1"/>
  <c r="X1466" i="16"/>
  <c r="AD1466" i="16" s="1"/>
  <c r="W1466" i="16"/>
  <c r="AC1466" i="16" s="1"/>
  <c r="V1466" i="16"/>
  <c r="AB1466" i="16" s="1"/>
  <c r="X1465" i="16"/>
  <c r="AD1465" i="16" s="1"/>
  <c r="W1465" i="16"/>
  <c r="AC1465" i="16" s="1"/>
  <c r="V1465" i="16"/>
  <c r="AB1465" i="16" s="1"/>
  <c r="X1464" i="16"/>
  <c r="AD1464" i="16" s="1"/>
  <c r="W1464" i="16"/>
  <c r="AC1464" i="16" s="1"/>
  <c r="V1464" i="16"/>
  <c r="AB1464" i="16" s="1"/>
  <c r="X1463" i="16"/>
  <c r="AD1463" i="16" s="1"/>
  <c r="W1463" i="16"/>
  <c r="AC1463" i="16" s="1"/>
  <c r="V1463" i="16"/>
  <c r="AB1463" i="16" s="1"/>
  <c r="X1462" i="16"/>
  <c r="AD1462" i="16" s="1"/>
  <c r="W1462" i="16"/>
  <c r="AC1462" i="16" s="1"/>
  <c r="V1462" i="16"/>
  <c r="AB1462" i="16" s="1"/>
  <c r="X1461" i="16"/>
  <c r="AD1461" i="16" s="1"/>
  <c r="W1461" i="16"/>
  <c r="AC1461" i="16" s="1"/>
  <c r="V1461" i="16"/>
  <c r="AB1461" i="16" s="1"/>
  <c r="X1460" i="16"/>
  <c r="AD1460" i="16" s="1"/>
  <c r="W1460" i="16"/>
  <c r="AC1460" i="16" s="1"/>
  <c r="V1460" i="16"/>
  <c r="AB1460" i="16" s="1"/>
  <c r="X1459" i="16"/>
  <c r="AD1459" i="16" s="1"/>
  <c r="W1459" i="16"/>
  <c r="AC1459" i="16" s="1"/>
  <c r="V1459" i="16"/>
  <c r="AB1459" i="16" s="1"/>
  <c r="X1458" i="16"/>
  <c r="AD1458" i="16" s="1"/>
  <c r="W1458" i="16"/>
  <c r="AC1458" i="16" s="1"/>
  <c r="V1458" i="16"/>
  <c r="AB1458" i="16" s="1"/>
  <c r="X1457" i="16"/>
  <c r="AD1457" i="16" s="1"/>
  <c r="W1457" i="16"/>
  <c r="AC1457" i="16" s="1"/>
  <c r="V1457" i="16"/>
  <c r="AB1457" i="16" s="1"/>
  <c r="X1456" i="16"/>
  <c r="AD1456" i="16" s="1"/>
  <c r="W1456" i="16"/>
  <c r="AC1456" i="16" s="1"/>
  <c r="V1456" i="16"/>
  <c r="AB1456" i="16" s="1"/>
  <c r="X1455" i="16"/>
  <c r="AD1455" i="16" s="1"/>
  <c r="W1455" i="16"/>
  <c r="AC1455" i="16" s="1"/>
  <c r="V1455" i="16"/>
  <c r="AB1455" i="16" s="1"/>
  <c r="X1454" i="16"/>
  <c r="AD1454" i="16" s="1"/>
  <c r="W1454" i="16"/>
  <c r="AC1454" i="16" s="1"/>
  <c r="V1454" i="16"/>
  <c r="AB1454" i="16" s="1"/>
  <c r="X1453" i="16"/>
  <c r="AD1453" i="16" s="1"/>
  <c r="W1453" i="16"/>
  <c r="AC1453" i="16" s="1"/>
  <c r="V1453" i="16"/>
  <c r="AB1453" i="16" s="1"/>
  <c r="X1452" i="16"/>
  <c r="AD1452" i="16" s="1"/>
  <c r="W1452" i="16"/>
  <c r="AC1452" i="16" s="1"/>
  <c r="V1452" i="16"/>
  <c r="AB1452" i="16" s="1"/>
  <c r="X1451" i="16"/>
  <c r="AD1451" i="16" s="1"/>
  <c r="W1451" i="16"/>
  <c r="AC1451" i="16" s="1"/>
  <c r="V1451" i="16"/>
  <c r="AB1451" i="16" s="1"/>
  <c r="X1450" i="16"/>
  <c r="AD1450" i="16" s="1"/>
  <c r="W1450" i="16"/>
  <c r="AC1450" i="16" s="1"/>
  <c r="V1450" i="16"/>
  <c r="AB1450" i="16" s="1"/>
  <c r="X1449" i="16"/>
  <c r="AD1449" i="16" s="1"/>
  <c r="W1449" i="16"/>
  <c r="AC1449" i="16" s="1"/>
  <c r="V1449" i="16"/>
  <c r="AB1449" i="16" s="1"/>
  <c r="X1448" i="16"/>
  <c r="AD1448" i="16" s="1"/>
  <c r="W1448" i="16"/>
  <c r="AC1448" i="16" s="1"/>
  <c r="V1448" i="16"/>
  <c r="AB1448" i="16" s="1"/>
  <c r="X1447" i="16"/>
  <c r="AD1447" i="16" s="1"/>
  <c r="W1447" i="16"/>
  <c r="AC1447" i="16" s="1"/>
  <c r="V1447" i="16"/>
  <c r="AB1447" i="16" s="1"/>
  <c r="X1446" i="16"/>
  <c r="AD1446" i="16" s="1"/>
  <c r="W1446" i="16"/>
  <c r="AC1446" i="16" s="1"/>
  <c r="V1446" i="16"/>
  <c r="AB1446" i="16" s="1"/>
  <c r="X1445" i="16"/>
  <c r="AD1445" i="16" s="1"/>
  <c r="W1445" i="16"/>
  <c r="AC1445" i="16" s="1"/>
  <c r="V1445" i="16"/>
  <c r="AB1445" i="16" s="1"/>
  <c r="X1444" i="16"/>
  <c r="AD1444" i="16" s="1"/>
  <c r="W1444" i="16"/>
  <c r="AC1444" i="16" s="1"/>
  <c r="V1444" i="16"/>
  <c r="AB1444" i="16" s="1"/>
  <c r="X1443" i="16"/>
  <c r="AD1443" i="16" s="1"/>
  <c r="W1443" i="16"/>
  <c r="AC1443" i="16" s="1"/>
  <c r="V1443" i="16"/>
  <c r="AB1443" i="16" s="1"/>
  <c r="X1442" i="16"/>
  <c r="AD1442" i="16" s="1"/>
  <c r="W1442" i="16"/>
  <c r="AC1442" i="16" s="1"/>
  <c r="V1442" i="16"/>
  <c r="AB1442" i="16" s="1"/>
  <c r="X1441" i="16"/>
  <c r="AD1441" i="16" s="1"/>
  <c r="W1441" i="16"/>
  <c r="AC1441" i="16" s="1"/>
  <c r="V1441" i="16"/>
  <c r="AB1441" i="16" s="1"/>
  <c r="X1440" i="16"/>
  <c r="AD1440" i="16" s="1"/>
  <c r="W1440" i="16"/>
  <c r="AC1440" i="16" s="1"/>
  <c r="V1440" i="16"/>
  <c r="AB1440" i="16" s="1"/>
  <c r="X1439" i="16"/>
  <c r="AD1439" i="16" s="1"/>
  <c r="W1439" i="16"/>
  <c r="AC1439" i="16" s="1"/>
  <c r="V1439" i="16"/>
  <c r="AB1439" i="16" s="1"/>
  <c r="X1438" i="16"/>
  <c r="AD1438" i="16" s="1"/>
  <c r="W1438" i="16"/>
  <c r="AC1438" i="16" s="1"/>
  <c r="V1438" i="16"/>
  <c r="AB1438" i="16" s="1"/>
  <c r="X1437" i="16"/>
  <c r="AD1437" i="16" s="1"/>
  <c r="W1437" i="16"/>
  <c r="AC1437" i="16" s="1"/>
  <c r="V1437" i="16"/>
  <c r="AB1437" i="16" s="1"/>
  <c r="X1436" i="16"/>
  <c r="AD1436" i="16" s="1"/>
  <c r="W1436" i="16"/>
  <c r="AC1436" i="16" s="1"/>
  <c r="V1436" i="16"/>
  <c r="AB1436" i="16" s="1"/>
  <c r="X1435" i="16"/>
  <c r="AD1435" i="16" s="1"/>
  <c r="W1435" i="16"/>
  <c r="AC1435" i="16" s="1"/>
  <c r="V1435" i="16"/>
  <c r="AB1435" i="16" s="1"/>
  <c r="X1434" i="16"/>
  <c r="AD1434" i="16" s="1"/>
  <c r="W1434" i="16"/>
  <c r="AC1434" i="16" s="1"/>
  <c r="V1434" i="16"/>
  <c r="AB1434" i="16" s="1"/>
  <c r="X1433" i="16"/>
  <c r="AD1433" i="16" s="1"/>
  <c r="W1433" i="16"/>
  <c r="AC1433" i="16" s="1"/>
  <c r="V1433" i="16"/>
  <c r="AB1433" i="16" s="1"/>
  <c r="X1432" i="16"/>
  <c r="AD1432" i="16" s="1"/>
  <c r="W1432" i="16"/>
  <c r="AC1432" i="16" s="1"/>
  <c r="V1432" i="16"/>
  <c r="AB1432" i="16" s="1"/>
  <c r="X1431" i="16"/>
  <c r="AD1431" i="16" s="1"/>
  <c r="W1431" i="16"/>
  <c r="AC1431" i="16" s="1"/>
  <c r="V1431" i="16"/>
  <c r="AB1431" i="16" s="1"/>
  <c r="X1430" i="16"/>
  <c r="AD1430" i="16" s="1"/>
  <c r="W1430" i="16"/>
  <c r="AC1430" i="16" s="1"/>
  <c r="V1430" i="16"/>
  <c r="AB1430" i="16" s="1"/>
  <c r="X1429" i="16"/>
  <c r="AD1429" i="16" s="1"/>
  <c r="W1429" i="16"/>
  <c r="AC1429" i="16" s="1"/>
  <c r="V1429" i="16"/>
  <c r="AB1429" i="16" s="1"/>
  <c r="X1428" i="16"/>
  <c r="AD1428" i="16" s="1"/>
  <c r="W1428" i="16"/>
  <c r="AC1428" i="16" s="1"/>
  <c r="V1428" i="16"/>
  <c r="AB1428" i="16" s="1"/>
  <c r="X1427" i="16"/>
  <c r="AD1427" i="16" s="1"/>
  <c r="W1427" i="16"/>
  <c r="AC1427" i="16" s="1"/>
  <c r="V1427" i="16"/>
  <c r="AB1427" i="16" s="1"/>
  <c r="X1426" i="16"/>
  <c r="AD1426" i="16" s="1"/>
  <c r="W1426" i="16"/>
  <c r="AC1426" i="16" s="1"/>
  <c r="V1426" i="16"/>
  <c r="AB1426" i="16" s="1"/>
  <c r="X1425" i="16"/>
  <c r="AD1425" i="16" s="1"/>
  <c r="W1425" i="16"/>
  <c r="AC1425" i="16" s="1"/>
  <c r="V1425" i="16"/>
  <c r="AB1425" i="16" s="1"/>
  <c r="X1424" i="16"/>
  <c r="AD1424" i="16" s="1"/>
  <c r="W1424" i="16"/>
  <c r="AC1424" i="16" s="1"/>
  <c r="V1424" i="16"/>
  <c r="AB1424" i="16" s="1"/>
  <c r="X1423" i="16"/>
  <c r="AD1423" i="16" s="1"/>
  <c r="W1423" i="16"/>
  <c r="AC1423" i="16" s="1"/>
  <c r="V1423" i="16"/>
  <c r="AB1423" i="16" s="1"/>
  <c r="X1422" i="16"/>
  <c r="AD1422" i="16" s="1"/>
  <c r="W1422" i="16"/>
  <c r="AC1422" i="16" s="1"/>
  <c r="V1422" i="16"/>
  <c r="AB1422" i="16" s="1"/>
  <c r="X1421" i="16"/>
  <c r="AD1421" i="16" s="1"/>
  <c r="W1421" i="16"/>
  <c r="AC1421" i="16" s="1"/>
  <c r="V1421" i="16"/>
  <c r="AB1421" i="16" s="1"/>
  <c r="X1420" i="16"/>
  <c r="AD1420" i="16" s="1"/>
  <c r="W1420" i="16"/>
  <c r="AC1420" i="16" s="1"/>
  <c r="V1420" i="16"/>
  <c r="AB1420" i="16" s="1"/>
  <c r="X1419" i="16"/>
  <c r="AD1419" i="16" s="1"/>
  <c r="W1419" i="16"/>
  <c r="AC1419" i="16" s="1"/>
  <c r="V1419" i="16"/>
  <c r="AB1419" i="16" s="1"/>
  <c r="X1418" i="16"/>
  <c r="AD1418" i="16" s="1"/>
  <c r="W1418" i="16"/>
  <c r="AC1418" i="16" s="1"/>
  <c r="V1418" i="16"/>
  <c r="AB1418" i="16" s="1"/>
  <c r="X1417" i="16"/>
  <c r="AD1417" i="16" s="1"/>
  <c r="W1417" i="16"/>
  <c r="AC1417" i="16" s="1"/>
  <c r="V1417" i="16"/>
  <c r="AB1417" i="16" s="1"/>
  <c r="X1416" i="16"/>
  <c r="AD1416" i="16" s="1"/>
  <c r="W1416" i="16"/>
  <c r="AC1416" i="16" s="1"/>
  <c r="V1416" i="16"/>
  <c r="AB1416" i="16" s="1"/>
  <c r="X1415" i="16"/>
  <c r="AD1415" i="16" s="1"/>
  <c r="W1415" i="16"/>
  <c r="AC1415" i="16" s="1"/>
  <c r="V1415" i="16"/>
  <c r="AB1415" i="16" s="1"/>
  <c r="X1414" i="16"/>
  <c r="AD1414" i="16" s="1"/>
  <c r="W1414" i="16"/>
  <c r="AC1414" i="16" s="1"/>
  <c r="V1414" i="16"/>
  <c r="AB1414" i="16" s="1"/>
  <c r="X1413" i="16"/>
  <c r="AD1413" i="16" s="1"/>
  <c r="W1413" i="16"/>
  <c r="AC1413" i="16" s="1"/>
  <c r="V1413" i="16"/>
  <c r="AB1413" i="16" s="1"/>
  <c r="X1412" i="16"/>
  <c r="AD1412" i="16" s="1"/>
  <c r="W1412" i="16"/>
  <c r="AC1412" i="16" s="1"/>
  <c r="V1412" i="16"/>
  <c r="AB1412" i="16" s="1"/>
  <c r="X1411" i="16"/>
  <c r="AD1411" i="16" s="1"/>
  <c r="W1411" i="16"/>
  <c r="AC1411" i="16" s="1"/>
  <c r="V1411" i="16"/>
  <c r="AB1411" i="16" s="1"/>
  <c r="X1410" i="16"/>
  <c r="AD1410" i="16" s="1"/>
  <c r="W1410" i="16"/>
  <c r="AC1410" i="16" s="1"/>
  <c r="V1410" i="16"/>
  <c r="AB1410" i="16" s="1"/>
  <c r="X1409" i="16"/>
  <c r="AD1409" i="16" s="1"/>
  <c r="W1409" i="16"/>
  <c r="AC1409" i="16" s="1"/>
  <c r="V1409" i="16"/>
  <c r="AB1409" i="16" s="1"/>
  <c r="X1408" i="16"/>
  <c r="AD1408" i="16" s="1"/>
  <c r="W1408" i="16"/>
  <c r="AC1408" i="16" s="1"/>
  <c r="V1408" i="16"/>
  <c r="AB1408" i="16" s="1"/>
  <c r="X1407" i="16"/>
  <c r="AD1407" i="16" s="1"/>
  <c r="W1407" i="16"/>
  <c r="AC1407" i="16" s="1"/>
  <c r="V1407" i="16"/>
  <c r="AB1407" i="16" s="1"/>
  <c r="X1406" i="16"/>
  <c r="AD1406" i="16" s="1"/>
  <c r="W1406" i="16"/>
  <c r="AC1406" i="16" s="1"/>
  <c r="V1406" i="16"/>
  <c r="AB1406" i="16" s="1"/>
  <c r="X1405" i="16"/>
  <c r="AD1405" i="16" s="1"/>
  <c r="W1405" i="16"/>
  <c r="AC1405" i="16" s="1"/>
  <c r="V1405" i="16"/>
  <c r="AB1405" i="16" s="1"/>
  <c r="X1404" i="16"/>
  <c r="AD1404" i="16" s="1"/>
  <c r="W1404" i="16"/>
  <c r="AC1404" i="16" s="1"/>
  <c r="V1404" i="16"/>
  <c r="AB1404" i="16" s="1"/>
  <c r="X1403" i="16"/>
  <c r="AD1403" i="16" s="1"/>
  <c r="W1403" i="16"/>
  <c r="AC1403" i="16" s="1"/>
  <c r="V1403" i="16"/>
  <c r="AB1403" i="16" s="1"/>
  <c r="X1402" i="16"/>
  <c r="AD1402" i="16" s="1"/>
  <c r="W1402" i="16"/>
  <c r="AC1402" i="16" s="1"/>
  <c r="V1402" i="16"/>
  <c r="AB1402" i="16" s="1"/>
  <c r="X1401" i="16"/>
  <c r="AD1401" i="16" s="1"/>
  <c r="W1401" i="16"/>
  <c r="AC1401" i="16" s="1"/>
  <c r="V1401" i="16"/>
  <c r="AB1401" i="16" s="1"/>
  <c r="X1400" i="16"/>
  <c r="AD1400" i="16" s="1"/>
  <c r="W1400" i="16"/>
  <c r="AC1400" i="16" s="1"/>
  <c r="V1400" i="16"/>
  <c r="AB1400" i="16" s="1"/>
  <c r="X1399" i="16"/>
  <c r="AD1399" i="16" s="1"/>
  <c r="W1399" i="16"/>
  <c r="AC1399" i="16" s="1"/>
  <c r="V1399" i="16"/>
  <c r="AB1399" i="16" s="1"/>
  <c r="X1398" i="16"/>
  <c r="AD1398" i="16" s="1"/>
  <c r="W1398" i="16"/>
  <c r="AC1398" i="16" s="1"/>
  <c r="V1398" i="16"/>
  <c r="AB1398" i="16" s="1"/>
  <c r="X1397" i="16"/>
  <c r="AD1397" i="16" s="1"/>
  <c r="W1397" i="16"/>
  <c r="AC1397" i="16" s="1"/>
  <c r="V1397" i="16"/>
  <c r="AB1397" i="16" s="1"/>
  <c r="X1396" i="16"/>
  <c r="AD1396" i="16" s="1"/>
  <c r="W1396" i="16"/>
  <c r="AC1396" i="16" s="1"/>
  <c r="V1396" i="16"/>
  <c r="AB1396" i="16" s="1"/>
  <c r="X1395" i="16"/>
  <c r="AD1395" i="16" s="1"/>
  <c r="W1395" i="16"/>
  <c r="AC1395" i="16" s="1"/>
  <c r="V1395" i="16"/>
  <c r="AB1395" i="16" s="1"/>
  <c r="X1394" i="16"/>
  <c r="AD1394" i="16" s="1"/>
  <c r="W1394" i="16"/>
  <c r="AC1394" i="16" s="1"/>
  <c r="V1394" i="16"/>
  <c r="AB1394" i="16" s="1"/>
  <c r="X1393" i="16"/>
  <c r="AD1393" i="16" s="1"/>
  <c r="W1393" i="16"/>
  <c r="AC1393" i="16" s="1"/>
  <c r="V1393" i="16"/>
  <c r="AB1393" i="16" s="1"/>
  <c r="X1392" i="16"/>
  <c r="AD1392" i="16" s="1"/>
  <c r="W1392" i="16"/>
  <c r="AC1392" i="16" s="1"/>
  <c r="V1392" i="16"/>
  <c r="AB1392" i="16" s="1"/>
  <c r="X1391" i="16"/>
  <c r="AD1391" i="16" s="1"/>
  <c r="W1391" i="16"/>
  <c r="AC1391" i="16" s="1"/>
  <c r="V1391" i="16"/>
  <c r="AB1391" i="16" s="1"/>
  <c r="X1390" i="16"/>
  <c r="AD1390" i="16" s="1"/>
  <c r="W1390" i="16"/>
  <c r="AC1390" i="16" s="1"/>
  <c r="V1390" i="16"/>
  <c r="AB1390" i="16" s="1"/>
  <c r="X1389" i="16"/>
  <c r="AD1389" i="16" s="1"/>
  <c r="W1389" i="16"/>
  <c r="AC1389" i="16" s="1"/>
  <c r="V1389" i="16"/>
  <c r="AB1389" i="16" s="1"/>
  <c r="X1388" i="16"/>
  <c r="AD1388" i="16" s="1"/>
  <c r="W1388" i="16"/>
  <c r="AC1388" i="16" s="1"/>
  <c r="V1388" i="16"/>
  <c r="AB1388" i="16" s="1"/>
  <c r="X1387" i="16"/>
  <c r="AD1387" i="16" s="1"/>
  <c r="W1387" i="16"/>
  <c r="AC1387" i="16" s="1"/>
  <c r="V1387" i="16"/>
  <c r="AB1387" i="16" s="1"/>
  <c r="X1386" i="16"/>
  <c r="AD1386" i="16" s="1"/>
  <c r="W1386" i="16"/>
  <c r="AC1386" i="16" s="1"/>
  <c r="V1386" i="16"/>
  <c r="AB1386" i="16" s="1"/>
  <c r="X1385" i="16"/>
  <c r="AD1385" i="16" s="1"/>
  <c r="W1385" i="16"/>
  <c r="AC1385" i="16" s="1"/>
  <c r="V1385" i="16"/>
  <c r="AB1385" i="16" s="1"/>
  <c r="X1384" i="16"/>
  <c r="AD1384" i="16" s="1"/>
  <c r="W1384" i="16"/>
  <c r="AC1384" i="16" s="1"/>
  <c r="V1384" i="16"/>
  <c r="AB1384" i="16" s="1"/>
  <c r="X1383" i="16"/>
  <c r="AD1383" i="16" s="1"/>
  <c r="W1383" i="16"/>
  <c r="AC1383" i="16" s="1"/>
  <c r="V1383" i="16"/>
  <c r="AB1383" i="16" s="1"/>
  <c r="X1382" i="16"/>
  <c r="AD1382" i="16" s="1"/>
  <c r="W1382" i="16"/>
  <c r="AC1382" i="16" s="1"/>
  <c r="V1382" i="16"/>
  <c r="AB1382" i="16" s="1"/>
  <c r="X1381" i="16"/>
  <c r="AD1381" i="16" s="1"/>
  <c r="W1381" i="16"/>
  <c r="AC1381" i="16" s="1"/>
  <c r="V1381" i="16"/>
  <c r="AB1381" i="16" s="1"/>
  <c r="X1380" i="16"/>
  <c r="AD1380" i="16" s="1"/>
  <c r="W1380" i="16"/>
  <c r="AC1380" i="16" s="1"/>
  <c r="V1380" i="16"/>
  <c r="AB1380" i="16" s="1"/>
  <c r="X1379" i="16"/>
  <c r="AD1379" i="16" s="1"/>
  <c r="W1379" i="16"/>
  <c r="AC1379" i="16" s="1"/>
  <c r="V1379" i="16"/>
  <c r="AB1379" i="16" s="1"/>
  <c r="X1378" i="16"/>
  <c r="AD1378" i="16" s="1"/>
  <c r="W1378" i="16"/>
  <c r="AC1378" i="16" s="1"/>
  <c r="V1378" i="16"/>
  <c r="AB1378" i="16" s="1"/>
  <c r="X1377" i="16"/>
  <c r="AD1377" i="16" s="1"/>
  <c r="W1377" i="16"/>
  <c r="AC1377" i="16" s="1"/>
  <c r="V1377" i="16"/>
  <c r="AB1377" i="16" s="1"/>
  <c r="X1376" i="16"/>
  <c r="AD1376" i="16" s="1"/>
  <c r="W1376" i="16"/>
  <c r="AC1376" i="16" s="1"/>
  <c r="V1376" i="16"/>
  <c r="AB1376" i="16" s="1"/>
  <c r="X1375" i="16"/>
  <c r="AD1375" i="16" s="1"/>
  <c r="W1375" i="16"/>
  <c r="AC1375" i="16" s="1"/>
  <c r="V1375" i="16"/>
  <c r="AB1375" i="16" s="1"/>
  <c r="X1374" i="16"/>
  <c r="AD1374" i="16" s="1"/>
  <c r="W1374" i="16"/>
  <c r="AC1374" i="16" s="1"/>
  <c r="V1374" i="16"/>
  <c r="AB1374" i="16" s="1"/>
  <c r="X1373" i="16"/>
  <c r="AD1373" i="16" s="1"/>
  <c r="W1373" i="16"/>
  <c r="AC1373" i="16" s="1"/>
  <c r="V1373" i="16"/>
  <c r="AB1373" i="16" s="1"/>
  <c r="X1372" i="16"/>
  <c r="AD1372" i="16" s="1"/>
  <c r="W1372" i="16"/>
  <c r="AC1372" i="16" s="1"/>
  <c r="V1372" i="16"/>
  <c r="AB1372" i="16" s="1"/>
  <c r="X1371" i="16"/>
  <c r="AD1371" i="16" s="1"/>
  <c r="W1371" i="16"/>
  <c r="AC1371" i="16" s="1"/>
  <c r="V1371" i="16"/>
  <c r="AB1371" i="16" s="1"/>
  <c r="X1370" i="16"/>
  <c r="AD1370" i="16" s="1"/>
  <c r="W1370" i="16"/>
  <c r="AC1370" i="16" s="1"/>
  <c r="V1370" i="16"/>
  <c r="AB1370" i="16" s="1"/>
  <c r="X1369" i="16"/>
  <c r="AD1369" i="16" s="1"/>
  <c r="W1369" i="16"/>
  <c r="AC1369" i="16" s="1"/>
  <c r="V1369" i="16"/>
  <c r="AB1369" i="16" s="1"/>
  <c r="X1368" i="16"/>
  <c r="AD1368" i="16" s="1"/>
  <c r="W1368" i="16"/>
  <c r="AC1368" i="16" s="1"/>
  <c r="V1368" i="16"/>
  <c r="AB1368" i="16" s="1"/>
  <c r="X1367" i="16"/>
  <c r="AD1367" i="16" s="1"/>
  <c r="W1367" i="16"/>
  <c r="AC1367" i="16" s="1"/>
  <c r="V1367" i="16"/>
  <c r="AB1367" i="16" s="1"/>
  <c r="X1366" i="16"/>
  <c r="AD1366" i="16" s="1"/>
  <c r="W1366" i="16"/>
  <c r="AC1366" i="16" s="1"/>
  <c r="V1366" i="16"/>
  <c r="AB1366" i="16" s="1"/>
  <c r="X1365" i="16"/>
  <c r="AD1365" i="16" s="1"/>
  <c r="W1365" i="16"/>
  <c r="AC1365" i="16" s="1"/>
  <c r="V1365" i="16"/>
  <c r="AB1365" i="16" s="1"/>
  <c r="X1364" i="16"/>
  <c r="AD1364" i="16" s="1"/>
  <c r="W1364" i="16"/>
  <c r="AC1364" i="16" s="1"/>
  <c r="V1364" i="16"/>
  <c r="AB1364" i="16" s="1"/>
  <c r="X1363" i="16"/>
  <c r="AD1363" i="16" s="1"/>
  <c r="W1363" i="16"/>
  <c r="AC1363" i="16" s="1"/>
  <c r="V1363" i="16"/>
  <c r="AB1363" i="16" s="1"/>
  <c r="X1362" i="16"/>
  <c r="AD1362" i="16" s="1"/>
  <c r="W1362" i="16"/>
  <c r="AC1362" i="16" s="1"/>
  <c r="V1362" i="16"/>
  <c r="AB1362" i="16" s="1"/>
  <c r="X1361" i="16"/>
  <c r="AD1361" i="16" s="1"/>
  <c r="W1361" i="16"/>
  <c r="AC1361" i="16" s="1"/>
  <c r="V1361" i="16"/>
  <c r="AB1361" i="16" s="1"/>
  <c r="X1360" i="16"/>
  <c r="AD1360" i="16" s="1"/>
  <c r="W1360" i="16"/>
  <c r="AC1360" i="16" s="1"/>
  <c r="V1360" i="16"/>
  <c r="AB1360" i="16" s="1"/>
  <c r="X1359" i="16"/>
  <c r="AD1359" i="16" s="1"/>
  <c r="W1359" i="16"/>
  <c r="AC1359" i="16" s="1"/>
  <c r="V1359" i="16"/>
  <c r="AB1359" i="16" s="1"/>
  <c r="X1358" i="16"/>
  <c r="AD1358" i="16" s="1"/>
  <c r="W1358" i="16"/>
  <c r="AC1358" i="16" s="1"/>
  <c r="V1358" i="16"/>
  <c r="AB1358" i="16" s="1"/>
  <c r="X1357" i="16"/>
  <c r="AD1357" i="16" s="1"/>
  <c r="W1357" i="16"/>
  <c r="AC1357" i="16" s="1"/>
  <c r="V1357" i="16"/>
  <c r="AB1357" i="16" s="1"/>
  <c r="X1356" i="16"/>
  <c r="AD1356" i="16" s="1"/>
  <c r="W1356" i="16"/>
  <c r="AC1356" i="16" s="1"/>
  <c r="V1356" i="16"/>
  <c r="AB1356" i="16" s="1"/>
  <c r="X1355" i="16"/>
  <c r="AD1355" i="16" s="1"/>
  <c r="W1355" i="16"/>
  <c r="AC1355" i="16" s="1"/>
  <c r="V1355" i="16"/>
  <c r="AB1355" i="16" s="1"/>
  <c r="X1354" i="16"/>
  <c r="AD1354" i="16" s="1"/>
  <c r="W1354" i="16"/>
  <c r="AC1354" i="16" s="1"/>
  <c r="V1354" i="16"/>
  <c r="AB1354" i="16" s="1"/>
  <c r="X1353" i="16"/>
  <c r="AD1353" i="16" s="1"/>
  <c r="W1353" i="16"/>
  <c r="AC1353" i="16" s="1"/>
  <c r="V1353" i="16"/>
  <c r="AB1353" i="16" s="1"/>
  <c r="X1352" i="16"/>
  <c r="AD1352" i="16" s="1"/>
  <c r="W1352" i="16"/>
  <c r="AC1352" i="16" s="1"/>
  <c r="V1352" i="16"/>
  <c r="AB1352" i="16" s="1"/>
  <c r="X1351" i="16"/>
  <c r="AD1351" i="16" s="1"/>
  <c r="W1351" i="16"/>
  <c r="AC1351" i="16" s="1"/>
  <c r="V1351" i="16"/>
  <c r="AB1351" i="16" s="1"/>
  <c r="X1350" i="16"/>
  <c r="AD1350" i="16" s="1"/>
  <c r="W1350" i="16"/>
  <c r="AC1350" i="16" s="1"/>
  <c r="V1350" i="16"/>
  <c r="AB1350" i="16" s="1"/>
  <c r="X1349" i="16"/>
  <c r="AD1349" i="16" s="1"/>
  <c r="W1349" i="16"/>
  <c r="AC1349" i="16" s="1"/>
  <c r="V1349" i="16"/>
  <c r="AB1349" i="16" s="1"/>
  <c r="X1348" i="16"/>
  <c r="AD1348" i="16" s="1"/>
  <c r="W1348" i="16"/>
  <c r="AC1348" i="16" s="1"/>
  <c r="V1348" i="16"/>
  <c r="AB1348" i="16" s="1"/>
  <c r="X1347" i="16"/>
  <c r="AD1347" i="16" s="1"/>
  <c r="W1347" i="16"/>
  <c r="AC1347" i="16" s="1"/>
  <c r="V1347" i="16"/>
  <c r="AB1347" i="16" s="1"/>
  <c r="X1346" i="16"/>
  <c r="AD1346" i="16" s="1"/>
  <c r="W1346" i="16"/>
  <c r="AC1346" i="16" s="1"/>
  <c r="V1346" i="16"/>
  <c r="AB1346" i="16" s="1"/>
  <c r="X1345" i="16"/>
  <c r="AD1345" i="16" s="1"/>
  <c r="W1345" i="16"/>
  <c r="AC1345" i="16" s="1"/>
  <c r="V1345" i="16"/>
  <c r="AB1345" i="16" s="1"/>
  <c r="X1344" i="16"/>
  <c r="AD1344" i="16" s="1"/>
  <c r="W1344" i="16"/>
  <c r="AC1344" i="16" s="1"/>
  <c r="V1344" i="16"/>
  <c r="AB1344" i="16" s="1"/>
  <c r="X1343" i="16"/>
  <c r="AD1343" i="16" s="1"/>
  <c r="W1343" i="16"/>
  <c r="AC1343" i="16" s="1"/>
  <c r="V1343" i="16"/>
  <c r="AB1343" i="16" s="1"/>
  <c r="X1342" i="16"/>
  <c r="AD1342" i="16" s="1"/>
  <c r="W1342" i="16"/>
  <c r="AC1342" i="16" s="1"/>
  <c r="V1342" i="16"/>
  <c r="AB1342" i="16" s="1"/>
  <c r="X1341" i="16"/>
  <c r="AD1341" i="16" s="1"/>
  <c r="W1341" i="16"/>
  <c r="AC1341" i="16" s="1"/>
  <c r="V1341" i="16"/>
  <c r="AB1341" i="16" s="1"/>
  <c r="X1340" i="16"/>
  <c r="AD1340" i="16" s="1"/>
  <c r="W1340" i="16"/>
  <c r="AC1340" i="16" s="1"/>
  <c r="V1340" i="16"/>
  <c r="AB1340" i="16" s="1"/>
  <c r="X1339" i="16"/>
  <c r="AD1339" i="16" s="1"/>
  <c r="W1339" i="16"/>
  <c r="AC1339" i="16" s="1"/>
  <c r="V1339" i="16"/>
  <c r="AB1339" i="16" s="1"/>
  <c r="X1338" i="16"/>
  <c r="AD1338" i="16" s="1"/>
  <c r="W1338" i="16"/>
  <c r="AC1338" i="16" s="1"/>
  <c r="V1338" i="16"/>
  <c r="AB1338" i="16" s="1"/>
  <c r="X1337" i="16"/>
  <c r="AD1337" i="16" s="1"/>
  <c r="W1337" i="16"/>
  <c r="AC1337" i="16" s="1"/>
  <c r="V1337" i="16"/>
  <c r="AB1337" i="16" s="1"/>
  <c r="X1336" i="16"/>
  <c r="AD1336" i="16" s="1"/>
  <c r="W1336" i="16"/>
  <c r="AC1336" i="16" s="1"/>
  <c r="V1336" i="16"/>
  <c r="AB1336" i="16" s="1"/>
  <c r="X1335" i="16"/>
  <c r="AD1335" i="16" s="1"/>
  <c r="W1335" i="16"/>
  <c r="AC1335" i="16" s="1"/>
  <c r="V1335" i="16"/>
  <c r="AB1335" i="16" s="1"/>
  <c r="X1334" i="16"/>
  <c r="AD1334" i="16" s="1"/>
  <c r="W1334" i="16"/>
  <c r="AC1334" i="16" s="1"/>
  <c r="V1334" i="16"/>
  <c r="AB1334" i="16" s="1"/>
  <c r="X1333" i="16"/>
  <c r="AD1333" i="16" s="1"/>
  <c r="W1333" i="16"/>
  <c r="AC1333" i="16" s="1"/>
  <c r="V1333" i="16"/>
  <c r="AB1333" i="16" s="1"/>
  <c r="X1332" i="16"/>
  <c r="AD1332" i="16" s="1"/>
  <c r="W1332" i="16"/>
  <c r="AC1332" i="16" s="1"/>
  <c r="V1332" i="16"/>
  <c r="AB1332" i="16" s="1"/>
  <c r="X1331" i="16"/>
  <c r="AD1331" i="16" s="1"/>
  <c r="W1331" i="16"/>
  <c r="AC1331" i="16" s="1"/>
  <c r="V1331" i="16"/>
  <c r="AB1331" i="16" s="1"/>
  <c r="X1330" i="16"/>
  <c r="AD1330" i="16" s="1"/>
  <c r="W1330" i="16"/>
  <c r="AC1330" i="16" s="1"/>
  <c r="V1330" i="16"/>
  <c r="AB1330" i="16" s="1"/>
  <c r="X1329" i="16"/>
  <c r="AD1329" i="16" s="1"/>
  <c r="W1329" i="16"/>
  <c r="AC1329" i="16" s="1"/>
  <c r="V1329" i="16"/>
  <c r="AB1329" i="16" s="1"/>
  <c r="X1328" i="16"/>
  <c r="AD1328" i="16" s="1"/>
  <c r="W1328" i="16"/>
  <c r="AC1328" i="16" s="1"/>
  <c r="V1328" i="16"/>
  <c r="AB1328" i="16" s="1"/>
  <c r="X1327" i="16"/>
  <c r="AD1327" i="16" s="1"/>
  <c r="W1327" i="16"/>
  <c r="AC1327" i="16" s="1"/>
  <c r="V1327" i="16"/>
  <c r="AB1327" i="16" s="1"/>
  <c r="X1326" i="16"/>
  <c r="AD1326" i="16" s="1"/>
  <c r="W1326" i="16"/>
  <c r="AC1326" i="16" s="1"/>
  <c r="V1326" i="16"/>
  <c r="AB1326" i="16" s="1"/>
  <c r="X1325" i="16"/>
  <c r="AD1325" i="16" s="1"/>
  <c r="W1325" i="16"/>
  <c r="AC1325" i="16" s="1"/>
  <c r="V1325" i="16"/>
  <c r="AB1325" i="16" s="1"/>
  <c r="X1324" i="16"/>
  <c r="AD1324" i="16" s="1"/>
  <c r="W1324" i="16"/>
  <c r="AC1324" i="16" s="1"/>
  <c r="V1324" i="16"/>
  <c r="AB1324" i="16" s="1"/>
  <c r="X1323" i="16"/>
  <c r="AD1323" i="16" s="1"/>
  <c r="W1323" i="16"/>
  <c r="AC1323" i="16" s="1"/>
  <c r="V1323" i="16"/>
  <c r="AB1323" i="16" s="1"/>
  <c r="X1322" i="16"/>
  <c r="AD1322" i="16" s="1"/>
  <c r="W1322" i="16"/>
  <c r="AC1322" i="16" s="1"/>
  <c r="V1322" i="16"/>
  <c r="AB1322" i="16" s="1"/>
  <c r="X1321" i="16"/>
  <c r="AD1321" i="16" s="1"/>
  <c r="W1321" i="16"/>
  <c r="AC1321" i="16" s="1"/>
  <c r="V1321" i="16"/>
  <c r="AB1321" i="16" s="1"/>
  <c r="X1320" i="16"/>
  <c r="AD1320" i="16" s="1"/>
  <c r="W1320" i="16"/>
  <c r="AC1320" i="16" s="1"/>
  <c r="V1320" i="16"/>
  <c r="AB1320" i="16" s="1"/>
  <c r="X1319" i="16"/>
  <c r="AD1319" i="16" s="1"/>
  <c r="W1319" i="16"/>
  <c r="AC1319" i="16" s="1"/>
  <c r="V1319" i="16"/>
  <c r="AB1319" i="16" s="1"/>
  <c r="X1318" i="16"/>
  <c r="AD1318" i="16" s="1"/>
  <c r="W1318" i="16"/>
  <c r="AC1318" i="16" s="1"/>
  <c r="V1318" i="16"/>
  <c r="AB1318" i="16" s="1"/>
  <c r="X1317" i="16"/>
  <c r="AD1317" i="16" s="1"/>
  <c r="W1317" i="16"/>
  <c r="AC1317" i="16" s="1"/>
  <c r="V1317" i="16"/>
  <c r="AB1317" i="16" s="1"/>
  <c r="X1316" i="16"/>
  <c r="AD1316" i="16" s="1"/>
  <c r="W1316" i="16"/>
  <c r="AC1316" i="16" s="1"/>
  <c r="V1316" i="16"/>
  <c r="AB1316" i="16" s="1"/>
  <c r="X1315" i="16"/>
  <c r="AD1315" i="16" s="1"/>
  <c r="W1315" i="16"/>
  <c r="AC1315" i="16" s="1"/>
  <c r="V1315" i="16"/>
  <c r="AB1315" i="16" s="1"/>
  <c r="X1314" i="16"/>
  <c r="AD1314" i="16" s="1"/>
  <c r="W1314" i="16"/>
  <c r="AC1314" i="16" s="1"/>
  <c r="V1314" i="16"/>
  <c r="AB1314" i="16" s="1"/>
  <c r="X1313" i="16"/>
  <c r="AD1313" i="16" s="1"/>
  <c r="W1313" i="16"/>
  <c r="AC1313" i="16" s="1"/>
  <c r="V1313" i="16"/>
  <c r="AB1313" i="16" s="1"/>
  <c r="X1312" i="16"/>
  <c r="AD1312" i="16" s="1"/>
  <c r="W1312" i="16"/>
  <c r="AC1312" i="16" s="1"/>
  <c r="V1312" i="16"/>
  <c r="AB1312" i="16" s="1"/>
  <c r="X1311" i="16"/>
  <c r="AD1311" i="16" s="1"/>
  <c r="W1311" i="16"/>
  <c r="AC1311" i="16" s="1"/>
  <c r="V1311" i="16"/>
  <c r="AB1311" i="16" s="1"/>
  <c r="X1310" i="16"/>
  <c r="AD1310" i="16" s="1"/>
  <c r="W1310" i="16"/>
  <c r="AC1310" i="16" s="1"/>
  <c r="V1310" i="16"/>
  <c r="AB1310" i="16" s="1"/>
  <c r="X1309" i="16"/>
  <c r="AD1309" i="16" s="1"/>
  <c r="W1309" i="16"/>
  <c r="AC1309" i="16" s="1"/>
  <c r="V1309" i="16"/>
  <c r="AB1309" i="16" s="1"/>
  <c r="X1308" i="16"/>
  <c r="AD1308" i="16" s="1"/>
  <c r="W1308" i="16"/>
  <c r="AC1308" i="16" s="1"/>
  <c r="V1308" i="16"/>
  <c r="AB1308" i="16" s="1"/>
  <c r="X1307" i="16"/>
  <c r="AD1307" i="16" s="1"/>
  <c r="W1307" i="16"/>
  <c r="AC1307" i="16" s="1"/>
  <c r="V1307" i="16"/>
  <c r="AB1307" i="16" s="1"/>
  <c r="X1306" i="16"/>
  <c r="AD1306" i="16" s="1"/>
  <c r="W1306" i="16"/>
  <c r="AC1306" i="16" s="1"/>
  <c r="V1306" i="16"/>
  <c r="AB1306" i="16" s="1"/>
  <c r="X1305" i="16"/>
  <c r="AD1305" i="16" s="1"/>
  <c r="W1305" i="16"/>
  <c r="AC1305" i="16" s="1"/>
  <c r="V1305" i="16"/>
  <c r="AB1305" i="16" s="1"/>
  <c r="X1304" i="16"/>
  <c r="AD1304" i="16" s="1"/>
  <c r="W1304" i="16"/>
  <c r="AC1304" i="16" s="1"/>
  <c r="V1304" i="16"/>
  <c r="AB1304" i="16" s="1"/>
  <c r="X1303" i="16"/>
  <c r="AD1303" i="16" s="1"/>
  <c r="W1303" i="16"/>
  <c r="AC1303" i="16" s="1"/>
  <c r="V1303" i="16"/>
  <c r="AB1303" i="16" s="1"/>
  <c r="X1302" i="16"/>
  <c r="AD1302" i="16" s="1"/>
  <c r="W1302" i="16"/>
  <c r="AC1302" i="16" s="1"/>
  <c r="V1302" i="16"/>
  <c r="AB1302" i="16" s="1"/>
  <c r="X1301" i="16"/>
  <c r="AD1301" i="16" s="1"/>
  <c r="W1301" i="16"/>
  <c r="AC1301" i="16" s="1"/>
  <c r="V1301" i="16"/>
  <c r="AB1301" i="16" s="1"/>
  <c r="X1300" i="16"/>
  <c r="AD1300" i="16" s="1"/>
  <c r="W1300" i="16"/>
  <c r="AC1300" i="16" s="1"/>
  <c r="V1300" i="16"/>
  <c r="AB1300" i="16" s="1"/>
  <c r="X1299" i="16"/>
  <c r="AD1299" i="16" s="1"/>
  <c r="W1299" i="16"/>
  <c r="AC1299" i="16" s="1"/>
  <c r="V1299" i="16"/>
  <c r="AB1299" i="16" s="1"/>
  <c r="X1298" i="16"/>
  <c r="AD1298" i="16" s="1"/>
  <c r="W1298" i="16"/>
  <c r="AC1298" i="16" s="1"/>
  <c r="V1298" i="16"/>
  <c r="AB1298" i="16" s="1"/>
  <c r="X1297" i="16"/>
  <c r="AD1297" i="16" s="1"/>
  <c r="W1297" i="16"/>
  <c r="AC1297" i="16" s="1"/>
  <c r="V1297" i="16"/>
  <c r="AB1297" i="16" s="1"/>
  <c r="X1296" i="16"/>
  <c r="AD1296" i="16" s="1"/>
  <c r="W1296" i="16"/>
  <c r="AC1296" i="16" s="1"/>
  <c r="V1296" i="16"/>
  <c r="AB1296" i="16" s="1"/>
  <c r="X1295" i="16"/>
  <c r="AD1295" i="16" s="1"/>
  <c r="W1295" i="16"/>
  <c r="AC1295" i="16" s="1"/>
  <c r="V1295" i="16"/>
  <c r="AB1295" i="16" s="1"/>
  <c r="X1294" i="16"/>
  <c r="AD1294" i="16" s="1"/>
  <c r="W1294" i="16"/>
  <c r="AC1294" i="16" s="1"/>
  <c r="V1294" i="16"/>
  <c r="AB1294" i="16" s="1"/>
  <c r="X1293" i="16"/>
  <c r="AD1293" i="16" s="1"/>
  <c r="W1293" i="16"/>
  <c r="AC1293" i="16" s="1"/>
  <c r="V1293" i="16"/>
  <c r="AB1293" i="16" s="1"/>
  <c r="X1292" i="16"/>
  <c r="AD1292" i="16" s="1"/>
  <c r="AO5" i="16" s="1"/>
  <c r="W1292" i="16"/>
  <c r="AC1292" i="16" s="1"/>
  <c r="V1292" i="16"/>
  <c r="AB1292" i="16" s="1"/>
  <c r="X1291" i="16"/>
  <c r="AD1291" i="16" s="1"/>
  <c r="W1291" i="16"/>
  <c r="AC1291" i="16" s="1"/>
  <c r="V1291" i="16"/>
  <c r="AB1291" i="16" s="1"/>
  <c r="X1290" i="16"/>
  <c r="AD1290" i="16" s="1"/>
  <c r="W1290" i="16"/>
  <c r="AC1290" i="16" s="1"/>
  <c r="V1290" i="16"/>
  <c r="AB1290" i="16" s="1"/>
  <c r="X1289" i="16"/>
  <c r="AD1289" i="16" s="1"/>
  <c r="W1289" i="16"/>
  <c r="AC1289" i="16" s="1"/>
  <c r="V1289" i="16"/>
  <c r="AB1289" i="16" s="1"/>
  <c r="X1288" i="16"/>
  <c r="AD1288" i="16" s="1"/>
  <c r="W1288" i="16"/>
  <c r="AC1288" i="16" s="1"/>
  <c r="V1288" i="16"/>
  <c r="AB1288" i="16" s="1"/>
  <c r="X1287" i="16"/>
  <c r="AD1287" i="16" s="1"/>
  <c r="W1287" i="16"/>
  <c r="AC1287" i="16" s="1"/>
  <c r="V1287" i="16"/>
  <c r="AB1287" i="16" s="1"/>
  <c r="X1286" i="16"/>
  <c r="AD1286" i="16" s="1"/>
  <c r="W1286" i="16"/>
  <c r="AC1286" i="16" s="1"/>
  <c r="V1286" i="16"/>
  <c r="AB1286" i="16" s="1"/>
  <c r="X1285" i="16"/>
  <c r="AD1285" i="16" s="1"/>
  <c r="W1285" i="16"/>
  <c r="AC1285" i="16" s="1"/>
  <c r="V1285" i="16"/>
  <c r="AB1285" i="16" s="1"/>
  <c r="X1284" i="16"/>
  <c r="AD1284" i="16" s="1"/>
  <c r="W1284" i="16"/>
  <c r="AC1284" i="16" s="1"/>
  <c r="V1284" i="16"/>
  <c r="AB1284" i="16" s="1"/>
  <c r="X1283" i="16"/>
  <c r="AD1283" i="16" s="1"/>
  <c r="W1283" i="16"/>
  <c r="AC1283" i="16" s="1"/>
  <c r="V1283" i="16"/>
  <c r="AB1283" i="16" s="1"/>
  <c r="X1282" i="16"/>
  <c r="AD1282" i="16" s="1"/>
  <c r="W1282" i="16"/>
  <c r="AC1282" i="16" s="1"/>
  <c r="V1282" i="16"/>
  <c r="AB1282" i="16" s="1"/>
  <c r="X1281" i="16"/>
  <c r="AD1281" i="16" s="1"/>
  <c r="W1281" i="16"/>
  <c r="AC1281" i="16" s="1"/>
  <c r="V1281" i="16"/>
  <c r="AB1281" i="16" s="1"/>
  <c r="X1280" i="16"/>
  <c r="AD1280" i="16" s="1"/>
  <c r="W1280" i="16"/>
  <c r="AC1280" i="16" s="1"/>
  <c r="V1280" i="16"/>
  <c r="AB1280" i="16" s="1"/>
  <c r="X1279" i="16"/>
  <c r="AD1279" i="16" s="1"/>
  <c r="W1279" i="16"/>
  <c r="AC1279" i="16" s="1"/>
  <c r="V1279" i="16"/>
  <c r="AB1279" i="16" s="1"/>
  <c r="X1278" i="16"/>
  <c r="AD1278" i="16" s="1"/>
  <c r="W1278" i="16"/>
  <c r="AC1278" i="16" s="1"/>
  <c r="V1278" i="16"/>
  <c r="AB1278" i="16" s="1"/>
  <c r="X1277" i="16"/>
  <c r="AD1277" i="16" s="1"/>
  <c r="W1277" i="16"/>
  <c r="AC1277" i="16" s="1"/>
  <c r="V1277" i="16"/>
  <c r="AB1277" i="16" s="1"/>
  <c r="X1276" i="16"/>
  <c r="AD1276" i="16" s="1"/>
  <c r="W1276" i="16"/>
  <c r="AC1276" i="16" s="1"/>
  <c r="V1276" i="16"/>
  <c r="AB1276" i="16" s="1"/>
  <c r="X1275" i="16"/>
  <c r="AD1275" i="16" s="1"/>
  <c r="W1275" i="16"/>
  <c r="AC1275" i="16" s="1"/>
  <c r="V1275" i="16"/>
  <c r="AB1275" i="16" s="1"/>
  <c r="X1274" i="16"/>
  <c r="AD1274" i="16" s="1"/>
  <c r="W1274" i="16"/>
  <c r="AC1274" i="16" s="1"/>
  <c r="V1274" i="16"/>
  <c r="AB1274" i="16" s="1"/>
  <c r="X1273" i="16"/>
  <c r="AD1273" i="16" s="1"/>
  <c r="W1273" i="16"/>
  <c r="AC1273" i="16" s="1"/>
  <c r="V1273" i="16"/>
  <c r="AB1273" i="16" s="1"/>
  <c r="X1272" i="16"/>
  <c r="AD1272" i="16" s="1"/>
  <c r="W1272" i="16"/>
  <c r="AC1272" i="16" s="1"/>
  <c r="V1272" i="16"/>
  <c r="AB1272" i="16" s="1"/>
  <c r="X1271" i="16"/>
  <c r="AD1271" i="16" s="1"/>
  <c r="W1271" i="16"/>
  <c r="AC1271" i="16" s="1"/>
  <c r="V1271" i="16"/>
  <c r="AB1271" i="16" s="1"/>
  <c r="X1270" i="16"/>
  <c r="AD1270" i="16" s="1"/>
  <c r="W1270" i="16"/>
  <c r="AC1270" i="16" s="1"/>
  <c r="V1270" i="16"/>
  <c r="AB1270" i="16" s="1"/>
  <c r="X1269" i="16"/>
  <c r="AD1269" i="16" s="1"/>
  <c r="W1269" i="16"/>
  <c r="AC1269" i="16" s="1"/>
  <c r="V1269" i="16"/>
  <c r="AB1269" i="16" s="1"/>
  <c r="X1268" i="16"/>
  <c r="AD1268" i="16" s="1"/>
  <c r="W1268" i="16"/>
  <c r="AC1268" i="16" s="1"/>
  <c r="V1268" i="16"/>
  <c r="AB1268" i="16" s="1"/>
  <c r="X1267" i="16"/>
  <c r="AD1267" i="16" s="1"/>
  <c r="W1267" i="16"/>
  <c r="AC1267" i="16" s="1"/>
  <c r="V1267" i="16"/>
  <c r="AB1267" i="16" s="1"/>
  <c r="X1266" i="16"/>
  <c r="AD1266" i="16" s="1"/>
  <c r="W1266" i="16"/>
  <c r="AC1266" i="16" s="1"/>
  <c r="V1266" i="16"/>
  <c r="AB1266" i="16" s="1"/>
  <c r="X1265" i="16"/>
  <c r="AD1265" i="16" s="1"/>
  <c r="W1265" i="16"/>
  <c r="AC1265" i="16" s="1"/>
  <c r="V1265" i="16"/>
  <c r="AB1265" i="16" s="1"/>
  <c r="X1264" i="16"/>
  <c r="AD1264" i="16" s="1"/>
  <c r="W1264" i="16"/>
  <c r="AC1264" i="16" s="1"/>
  <c r="V1264" i="16"/>
  <c r="AB1264" i="16" s="1"/>
  <c r="X1263" i="16"/>
  <c r="AD1263" i="16" s="1"/>
  <c r="W1263" i="16"/>
  <c r="AC1263" i="16" s="1"/>
  <c r="V1263" i="16"/>
  <c r="AB1263" i="16" s="1"/>
  <c r="X1262" i="16"/>
  <c r="AD1262" i="16" s="1"/>
  <c r="W1262" i="16"/>
  <c r="AC1262" i="16" s="1"/>
  <c r="V1262" i="16"/>
  <c r="AB1262" i="16" s="1"/>
  <c r="X1261" i="16"/>
  <c r="AD1261" i="16" s="1"/>
  <c r="W1261" i="16"/>
  <c r="AC1261" i="16" s="1"/>
  <c r="V1261" i="16"/>
  <c r="AB1261" i="16" s="1"/>
  <c r="X1260" i="16"/>
  <c r="AD1260" i="16" s="1"/>
  <c r="W1260" i="16"/>
  <c r="AC1260" i="16" s="1"/>
  <c r="V1260" i="16"/>
  <c r="AB1260" i="16" s="1"/>
  <c r="X1259" i="16"/>
  <c r="AD1259" i="16" s="1"/>
  <c r="W1259" i="16"/>
  <c r="AC1259" i="16" s="1"/>
  <c r="V1259" i="16"/>
  <c r="AB1259" i="16" s="1"/>
  <c r="V1258" i="16"/>
  <c r="AB1258" i="16" s="1"/>
  <c r="V1257" i="16"/>
  <c r="AB1257" i="16" s="1"/>
  <c r="V1256" i="16"/>
  <c r="AB1256" i="16" s="1"/>
  <c r="V1255" i="16"/>
  <c r="AB1255" i="16" s="1"/>
  <c r="V1254" i="16"/>
  <c r="AB1254" i="16" s="1"/>
  <c r="V1253" i="16"/>
  <c r="AB1253" i="16" s="1"/>
  <c r="V1252" i="16"/>
  <c r="AB1252" i="16" s="1"/>
  <c r="V1251" i="16"/>
  <c r="AB1251" i="16" s="1"/>
  <c r="V1250" i="16"/>
  <c r="AB1250" i="16" s="1"/>
  <c r="V1249" i="16"/>
  <c r="AB1249" i="16" s="1"/>
  <c r="V1248" i="16"/>
  <c r="AB1248" i="16" s="1"/>
  <c r="V1247" i="16"/>
  <c r="AB1247" i="16" s="1"/>
  <c r="X1246" i="16"/>
  <c r="AD1246" i="16" s="1"/>
  <c r="W1246" i="16"/>
  <c r="AC1246" i="16" s="1"/>
  <c r="X1245" i="16"/>
  <c r="AD1245" i="16" s="1"/>
  <c r="W1245" i="16"/>
  <c r="AC1245" i="16" s="1"/>
  <c r="X1244" i="16"/>
  <c r="AD1244" i="16" s="1"/>
  <c r="W1244" i="16"/>
  <c r="AC1244" i="16" s="1"/>
  <c r="X1243" i="16"/>
  <c r="AD1243" i="16" s="1"/>
  <c r="W1243" i="16"/>
  <c r="AC1243" i="16" s="1"/>
  <c r="X1242" i="16"/>
  <c r="AD1242" i="16" s="1"/>
  <c r="W1242" i="16"/>
  <c r="AC1242" i="16" s="1"/>
  <c r="X1241" i="16"/>
  <c r="AD1241" i="16" s="1"/>
  <c r="W1241" i="16"/>
  <c r="AC1241" i="16" s="1"/>
  <c r="X1240" i="16"/>
  <c r="AD1240" i="16" s="1"/>
  <c r="W1240" i="16"/>
  <c r="AC1240" i="16" s="1"/>
  <c r="X1239" i="16"/>
  <c r="AD1239" i="16" s="1"/>
  <c r="W1239" i="16"/>
  <c r="AC1239" i="16" s="1"/>
  <c r="X1238" i="16"/>
  <c r="AD1238" i="16" s="1"/>
  <c r="W1238" i="16"/>
  <c r="AC1238" i="16" s="1"/>
  <c r="X1237" i="16"/>
  <c r="AD1237" i="16" s="1"/>
  <c r="W1237" i="16"/>
  <c r="AC1237" i="16" s="1"/>
  <c r="X1236" i="16"/>
  <c r="AD1236" i="16" s="1"/>
  <c r="W1236" i="16"/>
  <c r="AC1236" i="16" s="1"/>
  <c r="X1235" i="16"/>
  <c r="AD1235" i="16" s="1"/>
  <c r="W1235" i="16"/>
  <c r="AC1235" i="16" s="1"/>
  <c r="V1234" i="16"/>
  <c r="AB1234" i="16" s="1"/>
  <c r="V1233" i="16"/>
  <c r="AB1233" i="16" s="1"/>
  <c r="V1232" i="16"/>
  <c r="AB1232" i="16" s="1"/>
  <c r="V1231" i="16"/>
  <c r="AB1231" i="16" s="1"/>
  <c r="V1230" i="16"/>
  <c r="AB1230" i="16" s="1"/>
  <c r="V1229" i="16"/>
  <c r="AB1229" i="16" s="1"/>
  <c r="V1228" i="16"/>
  <c r="AB1228" i="16" s="1"/>
  <c r="V1227" i="16"/>
  <c r="AB1227" i="16" s="1"/>
  <c r="V1226" i="16"/>
  <c r="AB1226" i="16" s="1"/>
  <c r="V1225" i="16"/>
  <c r="AB1225" i="16" s="1"/>
  <c r="V1224" i="16"/>
  <c r="AB1224" i="16" s="1"/>
  <c r="V1223" i="16"/>
  <c r="AB1223" i="16" s="1"/>
  <c r="V1222" i="16"/>
  <c r="AB1222" i="16" s="1"/>
  <c r="V1221" i="16"/>
  <c r="AB1221" i="16" s="1"/>
  <c r="V1220" i="16"/>
  <c r="AB1220" i="16" s="1"/>
  <c r="V1219" i="16"/>
  <c r="AB1219" i="16" s="1"/>
  <c r="V1218" i="16"/>
  <c r="AB1218" i="16" s="1"/>
  <c r="V1217" i="16"/>
  <c r="AB1217" i="16" s="1"/>
  <c r="V1216" i="16"/>
  <c r="AB1216" i="16" s="1"/>
  <c r="V1215" i="16"/>
  <c r="AB1215" i="16" s="1"/>
  <c r="V1214" i="16"/>
  <c r="AB1214" i="16" s="1"/>
  <c r="V1213" i="16"/>
  <c r="AB1213" i="16" s="1"/>
  <c r="V1212" i="16"/>
  <c r="AB1212" i="16" s="1"/>
  <c r="V1211" i="16"/>
  <c r="AB1211" i="16" s="1"/>
  <c r="V1210" i="16"/>
  <c r="AB1210" i="16" s="1"/>
  <c r="V1209" i="16"/>
  <c r="AB1209" i="16" s="1"/>
  <c r="V1208" i="16"/>
  <c r="AB1208" i="16" s="1"/>
  <c r="V1207" i="16"/>
  <c r="AB1207" i="16" s="1"/>
  <c r="V1206" i="16"/>
  <c r="AB1206" i="16" s="1"/>
  <c r="V1205" i="16"/>
  <c r="AB1205" i="16" s="1"/>
  <c r="V1204" i="16"/>
  <c r="AB1204" i="16" s="1"/>
  <c r="V1203" i="16"/>
  <c r="AB1203" i="16" s="1"/>
  <c r="V1202" i="16"/>
  <c r="AB1202" i="16" s="1"/>
  <c r="V1201" i="16"/>
  <c r="AB1201" i="16" s="1"/>
  <c r="V1200" i="16"/>
  <c r="AB1200" i="16" s="1"/>
  <c r="V1199" i="16"/>
  <c r="AB1199" i="16" s="1"/>
  <c r="V1198" i="16"/>
  <c r="AB1198" i="16" s="1"/>
  <c r="V1197" i="16"/>
  <c r="AB1197" i="16" s="1"/>
  <c r="V1196" i="16"/>
  <c r="AB1196" i="16" s="1"/>
  <c r="V1195" i="16"/>
  <c r="AB1195" i="16" s="1"/>
  <c r="V1194" i="16"/>
  <c r="AB1194" i="16" s="1"/>
  <c r="V1193" i="16"/>
  <c r="AB1193" i="16" s="1"/>
  <c r="V1192" i="16"/>
  <c r="AB1192" i="16" s="1"/>
  <c r="X1191" i="16"/>
  <c r="AD1191" i="16" s="1"/>
  <c r="W1191" i="16"/>
  <c r="AC1191" i="16" s="1"/>
  <c r="X1190" i="16"/>
  <c r="AD1190" i="16" s="1"/>
  <c r="W1190" i="16"/>
  <c r="AC1190" i="16" s="1"/>
  <c r="X1189" i="16"/>
  <c r="AD1189" i="16" s="1"/>
  <c r="W1189" i="16"/>
  <c r="AC1189" i="16" s="1"/>
  <c r="X1188" i="16"/>
  <c r="AD1188" i="16" s="1"/>
  <c r="W1188" i="16"/>
  <c r="AC1188" i="16" s="1"/>
  <c r="X1187" i="16"/>
  <c r="AD1187" i="16" s="1"/>
  <c r="W1187" i="16"/>
  <c r="AC1187" i="16" s="1"/>
  <c r="X1186" i="16"/>
  <c r="AD1186" i="16" s="1"/>
  <c r="W1186" i="16"/>
  <c r="AC1186" i="16" s="1"/>
  <c r="X1185" i="16"/>
  <c r="AD1185" i="16" s="1"/>
  <c r="W1185" i="16"/>
  <c r="AC1185" i="16" s="1"/>
  <c r="X1184" i="16"/>
  <c r="AD1184" i="16" s="1"/>
  <c r="W1184" i="16"/>
  <c r="AC1184" i="16" s="1"/>
  <c r="X1183" i="16"/>
  <c r="AD1183" i="16" s="1"/>
  <c r="W1183" i="16"/>
  <c r="AC1183" i="16" s="1"/>
  <c r="X1182" i="16"/>
  <c r="AD1182" i="16" s="1"/>
  <c r="W1182" i="16"/>
  <c r="AC1182" i="16" s="1"/>
  <c r="X1181" i="16"/>
  <c r="AD1181" i="16" s="1"/>
  <c r="W1181" i="16"/>
  <c r="AC1181" i="16" s="1"/>
  <c r="X1180" i="16"/>
  <c r="AD1180" i="16" s="1"/>
  <c r="W1180" i="16"/>
  <c r="AC1180" i="16" s="1"/>
  <c r="X1179" i="16"/>
  <c r="AD1179" i="16" s="1"/>
  <c r="W1179" i="16"/>
  <c r="AC1179" i="16" s="1"/>
  <c r="X1178" i="16"/>
  <c r="AD1178" i="16" s="1"/>
  <c r="W1178" i="16"/>
  <c r="AC1178" i="16" s="1"/>
  <c r="X1177" i="16"/>
  <c r="AD1177" i="16" s="1"/>
  <c r="W1177" i="16"/>
  <c r="AC1177" i="16" s="1"/>
  <c r="X1176" i="16"/>
  <c r="AD1176" i="16" s="1"/>
  <c r="W1176" i="16"/>
  <c r="AC1176" i="16" s="1"/>
  <c r="X1175" i="16"/>
  <c r="AD1175" i="16" s="1"/>
  <c r="W1175" i="16"/>
  <c r="AC1175" i="16" s="1"/>
  <c r="X1174" i="16"/>
  <c r="AD1174" i="16" s="1"/>
  <c r="W1174" i="16"/>
  <c r="AC1174" i="16" s="1"/>
  <c r="X1173" i="16"/>
  <c r="AD1173" i="16" s="1"/>
  <c r="W1173" i="16"/>
  <c r="AC1173" i="16" s="1"/>
  <c r="X1172" i="16"/>
  <c r="AD1172" i="16" s="1"/>
  <c r="W1172" i="16"/>
  <c r="AC1172" i="16" s="1"/>
  <c r="X1171" i="16"/>
  <c r="AD1171" i="16" s="1"/>
  <c r="W1171" i="16"/>
  <c r="AC1171" i="16" s="1"/>
  <c r="X1170" i="16"/>
  <c r="AD1170" i="16" s="1"/>
  <c r="W1170" i="16"/>
  <c r="AC1170" i="16" s="1"/>
  <c r="X1169" i="16"/>
  <c r="AD1169" i="16" s="1"/>
  <c r="W1169" i="16"/>
  <c r="AC1169" i="16" s="1"/>
  <c r="X1168" i="16"/>
  <c r="AD1168" i="16" s="1"/>
  <c r="W1168" i="16"/>
  <c r="AC1168" i="16" s="1"/>
  <c r="X1167" i="16"/>
  <c r="AD1167" i="16" s="1"/>
  <c r="W1167" i="16"/>
  <c r="AC1167" i="16" s="1"/>
  <c r="X1166" i="16"/>
  <c r="AD1166" i="16" s="1"/>
  <c r="W1166" i="16"/>
  <c r="AC1166" i="16" s="1"/>
  <c r="X1165" i="16"/>
  <c r="AD1165" i="16" s="1"/>
  <c r="W1165" i="16"/>
  <c r="AC1165" i="16" s="1"/>
  <c r="X1164" i="16"/>
  <c r="AD1164" i="16" s="1"/>
  <c r="W1164" i="16"/>
  <c r="AC1164" i="16" s="1"/>
  <c r="X1163" i="16"/>
  <c r="AD1163" i="16" s="1"/>
  <c r="W1163" i="16"/>
  <c r="AC1163" i="16" s="1"/>
  <c r="X1162" i="16"/>
  <c r="AD1162" i="16" s="1"/>
  <c r="W1162" i="16"/>
  <c r="AC1162" i="16" s="1"/>
  <c r="X1161" i="16"/>
  <c r="AD1161" i="16" s="1"/>
  <c r="W1161" i="16"/>
  <c r="AC1161" i="16" s="1"/>
  <c r="X1160" i="16"/>
  <c r="AD1160" i="16" s="1"/>
  <c r="W1160" i="16"/>
  <c r="AC1160" i="16" s="1"/>
  <c r="X1159" i="16"/>
  <c r="AD1159" i="16" s="1"/>
  <c r="W1159" i="16"/>
  <c r="AC1159" i="16" s="1"/>
  <c r="X1158" i="16"/>
  <c r="AD1158" i="16" s="1"/>
  <c r="W1158" i="16"/>
  <c r="AC1158" i="16" s="1"/>
  <c r="V1157" i="16"/>
  <c r="AB1157" i="16" s="1"/>
  <c r="V1156" i="16"/>
  <c r="AB1156" i="16" s="1"/>
  <c r="V1155" i="16"/>
  <c r="AB1155" i="16" s="1"/>
  <c r="V1154" i="16"/>
  <c r="AB1154" i="16" s="1"/>
  <c r="V1153" i="16"/>
  <c r="AB1153" i="16" s="1"/>
  <c r="V1152" i="16"/>
  <c r="AB1152" i="16" s="1"/>
  <c r="V1151" i="16"/>
  <c r="AB1151" i="16" s="1"/>
  <c r="V1150" i="16"/>
  <c r="AB1150" i="16" s="1"/>
  <c r="V1149" i="16"/>
  <c r="AB1149" i="16" s="1"/>
  <c r="V1148" i="16"/>
  <c r="AB1148" i="16" s="1"/>
  <c r="V1147" i="16"/>
  <c r="AB1147" i="16" s="1"/>
  <c r="V1146" i="16"/>
  <c r="AB1146" i="16" s="1"/>
  <c r="V1145" i="16"/>
  <c r="AB1145" i="16" s="1"/>
  <c r="V1144" i="16"/>
  <c r="AB1144" i="16" s="1"/>
  <c r="V1143" i="16"/>
  <c r="AB1143" i="16" s="1"/>
  <c r="V1142" i="16"/>
  <c r="AB1142" i="16" s="1"/>
  <c r="V1141" i="16"/>
  <c r="AB1141" i="16" s="1"/>
  <c r="V1140" i="16"/>
  <c r="AB1140" i="16" s="1"/>
  <c r="V1139" i="16"/>
  <c r="AB1139" i="16" s="1"/>
  <c r="V1138" i="16"/>
  <c r="AB1138" i="16" s="1"/>
  <c r="V1137" i="16"/>
  <c r="AB1137" i="16" s="1"/>
  <c r="V1136" i="16"/>
  <c r="AB1136" i="16" s="1"/>
  <c r="V1135" i="16"/>
  <c r="AB1135" i="16" s="1"/>
  <c r="V1134" i="16"/>
  <c r="AB1134" i="16" s="1"/>
  <c r="V1133" i="16"/>
  <c r="AB1133" i="16" s="1"/>
  <c r="V1132" i="16"/>
  <c r="AB1132" i="16" s="1"/>
  <c r="V1131" i="16"/>
  <c r="AB1131" i="16" s="1"/>
  <c r="V1130" i="16"/>
  <c r="AB1130" i="16" s="1"/>
  <c r="V1129" i="16"/>
  <c r="AB1129" i="16" s="1"/>
  <c r="V1128" i="16"/>
  <c r="AB1128" i="16" s="1"/>
  <c r="V1127" i="16"/>
  <c r="AB1127" i="16" s="1"/>
  <c r="V1126" i="16"/>
  <c r="AB1126" i="16" s="1"/>
  <c r="V1125" i="16"/>
  <c r="AB1125" i="16" s="1"/>
  <c r="V1124" i="16"/>
  <c r="AB1124" i="16" s="1"/>
  <c r="V1123" i="16"/>
  <c r="AB1123" i="16" s="1"/>
  <c r="V1122" i="16"/>
  <c r="AB1122" i="16" s="1"/>
  <c r="V1121" i="16"/>
  <c r="AB1121" i="16" s="1"/>
  <c r="V1120" i="16"/>
  <c r="AB1120" i="16" s="1"/>
  <c r="V1119" i="16"/>
  <c r="AB1119" i="16" s="1"/>
  <c r="V1118" i="16"/>
  <c r="AB1118" i="16" s="1"/>
  <c r="V1117" i="16"/>
  <c r="AB1117" i="16" s="1"/>
  <c r="V1116" i="16"/>
  <c r="AB1116" i="16" s="1"/>
  <c r="V1115" i="16"/>
  <c r="AB1115" i="16" s="1"/>
  <c r="V1114" i="16"/>
  <c r="AB1114" i="16" s="1"/>
  <c r="V1113" i="16"/>
  <c r="AB1113" i="16" s="1"/>
  <c r="V1112" i="16"/>
  <c r="AB1112" i="16" s="1"/>
  <c r="V1111" i="16"/>
  <c r="AB1111" i="16" s="1"/>
  <c r="V1110" i="16"/>
  <c r="AB1110" i="16" s="1"/>
  <c r="V1109" i="16"/>
  <c r="AB1109" i="16" s="1"/>
  <c r="V1108" i="16"/>
  <c r="AB1108" i="16" s="1"/>
  <c r="V1107" i="16"/>
  <c r="AB1107" i="16" s="1"/>
  <c r="V1106" i="16"/>
  <c r="AB1106" i="16" s="1"/>
  <c r="V1105" i="16"/>
  <c r="AB1105" i="16" s="1"/>
  <c r="V1104" i="16"/>
  <c r="AB1104" i="16" s="1"/>
  <c r="V1103" i="16"/>
  <c r="AB1103" i="16" s="1"/>
  <c r="X1102" i="16"/>
  <c r="AD1102" i="16" s="1"/>
  <c r="W1102" i="16"/>
  <c r="AC1102" i="16" s="1"/>
  <c r="X1101" i="16"/>
  <c r="AD1101" i="16" s="1"/>
  <c r="W1101" i="16"/>
  <c r="AC1101" i="16" s="1"/>
  <c r="X1100" i="16"/>
  <c r="AD1100" i="16" s="1"/>
  <c r="W1100" i="16"/>
  <c r="AC1100" i="16" s="1"/>
  <c r="X1099" i="16"/>
  <c r="AD1099" i="16" s="1"/>
  <c r="W1099" i="16"/>
  <c r="AC1099" i="16" s="1"/>
  <c r="X1098" i="16"/>
  <c r="AD1098" i="16" s="1"/>
  <c r="W1098" i="16"/>
  <c r="AC1098" i="16" s="1"/>
  <c r="X1097" i="16"/>
  <c r="AD1097" i="16" s="1"/>
  <c r="W1097" i="16"/>
  <c r="AC1097" i="16" s="1"/>
  <c r="X1096" i="16"/>
  <c r="AD1096" i="16" s="1"/>
  <c r="W1096" i="16"/>
  <c r="AC1096" i="16" s="1"/>
  <c r="X1095" i="16"/>
  <c r="AD1095" i="16" s="1"/>
  <c r="W1095" i="16"/>
  <c r="AC1095" i="16" s="1"/>
  <c r="X1094" i="16"/>
  <c r="AD1094" i="16" s="1"/>
  <c r="W1094" i="16"/>
  <c r="AC1094" i="16" s="1"/>
  <c r="X1093" i="16"/>
  <c r="AD1093" i="16" s="1"/>
  <c r="W1093" i="16"/>
  <c r="AC1093" i="16" s="1"/>
  <c r="X1092" i="16"/>
  <c r="AD1092" i="16" s="1"/>
  <c r="W1092" i="16"/>
  <c r="AC1092" i="16" s="1"/>
  <c r="X1091" i="16"/>
  <c r="AD1091" i="16" s="1"/>
  <c r="W1091" i="16"/>
  <c r="AC1091" i="16" s="1"/>
  <c r="X1090" i="16"/>
  <c r="AD1090" i="16" s="1"/>
  <c r="W1090" i="16"/>
  <c r="AC1090" i="16" s="1"/>
  <c r="X1089" i="16"/>
  <c r="AD1089" i="16" s="1"/>
  <c r="W1089" i="16"/>
  <c r="AC1089" i="16" s="1"/>
  <c r="X1088" i="16"/>
  <c r="AD1088" i="16" s="1"/>
  <c r="W1088" i="16"/>
  <c r="AC1088" i="16" s="1"/>
  <c r="X1087" i="16"/>
  <c r="AD1087" i="16" s="1"/>
  <c r="W1087" i="16"/>
  <c r="AC1087" i="16" s="1"/>
  <c r="X1086" i="16"/>
  <c r="AD1086" i="16" s="1"/>
  <c r="W1086" i="16"/>
  <c r="AC1086" i="16" s="1"/>
  <c r="X1085" i="16"/>
  <c r="AD1085" i="16" s="1"/>
  <c r="W1085" i="16"/>
  <c r="AC1085" i="16" s="1"/>
  <c r="X1084" i="16"/>
  <c r="AD1084" i="16" s="1"/>
  <c r="W1084" i="16"/>
  <c r="AC1084" i="16" s="1"/>
  <c r="X1083" i="16"/>
  <c r="AD1083" i="16" s="1"/>
  <c r="W1083" i="16"/>
  <c r="AC1083" i="16" s="1"/>
  <c r="X1082" i="16"/>
  <c r="AD1082" i="16" s="1"/>
  <c r="W1082" i="16"/>
  <c r="AC1082" i="16" s="1"/>
  <c r="X1081" i="16"/>
  <c r="AD1081" i="16" s="1"/>
  <c r="W1081" i="16"/>
  <c r="AC1081" i="16" s="1"/>
  <c r="X1080" i="16"/>
  <c r="AD1080" i="16" s="1"/>
  <c r="W1080" i="16"/>
  <c r="AC1080" i="16" s="1"/>
  <c r="X1079" i="16"/>
  <c r="AD1079" i="16" s="1"/>
  <c r="W1079" i="16"/>
  <c r="AC1079" i="16" s="1"/>
  <c r="V1078" i="16"/>
  <c r="AB1078" i="16" s="1"/>
  <c r="V1077" i="16"/>
  <c r="AB1077" i="16" s="1"/>
  <c r="V1076" i="16"/>
  <c r="AB1076" i="16" s="1"/>
  <c r="V1075" i="16"/>
  <c r="AB1075" i="16" s="1"/>
  <c r="V1074" i="16"/>
  <c r="AB1074" i="16" s="1"/>
  <c r="V1073" i="16"/>
  <c r="AB1073" i="16" s="1"/>
  <c r="V1072" i="16"/>
  <c r="AB1072" i="16" s="1"/>
  <c r="V1071" i="16"/>
  <c r="AB1071" i="16" s="1"/>
  <c r="V1070" i="16"/>
  <c r="AB1070" i="16" s="1"/>
  <c r="V1069" i="16"/>
  <c r="AB1069" i="16" s="1"/>
  <c r="V1068" i="16"/>
  <c r="AB1068" i="16" s="1"/>
  <c r="V1067" i="16"/>
  <c r="AB1067" i="16" s="1"/>
  <c r="V1066" i="16"/>
  <c r="AB1066" i="16" s="1"/>
  <c r="V1065" i="16"/>
  <c r="AB1065" i="16" s="1"/>
  <c r="V1064" i="16"/>
  <c r="AB1064" i="16" s="1"/>
  <c r="V1063" i="16"/>
  <c r="AB1063" i="16" s="1"/>
  <c r="V1062" i="16"/>
  <c r="AB1062" i="16" s="1"/>
  <c r="V1061" i="16"/>
  <c r="AB1061" i="16" s="1"/>
  <c r="V1060" i="16"/>
  <c r="AB1060" i="16" s="1"/>
  <c r="V1059" i="16"/>
  <c r="AB1059" i="16" s="1"/>
  <c r="V1058" i="16"/>
  <c r="AB1058" i="16" s="1"/>
  <c r="X1057" i="16"/>
  <c r="AD1057" i="16" s="1"/>
  <c r="W1057" i="16"/>
  <c r="AC1057" i="16" s="1"/>
  <c r="V1057" i="16"/>
  <c r="AB1057" i="16" s="1"/>
  <c r="X1056" i="16"/>
  <c r="AD1056" i="16" s="1"/>
  <c r="W1056" i="16"/>
  <c r="AC1056" i="16" s="1"/>
  <c r="V1056" i="16"/>
  <c r="AB1056" i="16" s="1"/>
  <c r="X1055" i="16"/>
  <c r="AD1055" i="16" s="1"/>
  <c r="W1055" i="16"/>
  <c r="AC1055" i="16" s="1"/>
  <c r="V1055" i="16"/>
  <c r="AB1055" i="16" s="1"/>
  <c r="X1054" i="16"/>
  <c r="AD1054" i="16" s="1"/>
  <c r="W1054" i="16"/>
  <c r="AC1054" i="16" s="1"/>
  <c r="V1054" i="16"/>
  <c r="AB1054" i="16" s="1"/>
  <c r="X1053" i="16"/>
  <c r="AD1053" i="16" s="1"/>
  <c r="W1053" i="16"/>
  <c r="AC1053" i="16" s="1"/>
  <c r="V1053" i="16"/>
  <c r="AB1053" i="16" s="1"/>
  <c r="X1052" i="16"/>
  <c r="AD1052" i="16" s="1"/>
  <c r="W1052" i="16"/>
  <c r="AC1052" i="16" s="1"/>
  <c r="V1052" i="16"/>
  <c r="AB1052" i="16" s="1"/>
  <c r="X1051" i="16"/>
  <c r="AD1051" i="16" s="1"/>
  <c r="W1051" i="16"/>
  <c r="AC1051" i="16" s="1"/>
  <c r="V1051" i="16"/>
  <c r="AB1051" i="16" s="1"/>
  <c r="X1050" i="16"/>
  <c r="AD1050" i="16" s="1"/>
  <c r="W1050" i="16"/>
  <c r="AC1050" i="16" s="1"/>
  <c r="V1050" i="16"/>
  <c r="AB1050" i="16" s="1"/>
  <c r="X1049" i="16"/>
  <c r="AD1049" i="16" s="1"/>
  <c r="W1049" i="16"/>
  <c r="AC1049" i="16" s="1"/>
  <c r="V1049" i="16"/>
  <c r="AB1049" i="16" s="1"/>
  <c r="X1048" i="16"/>
  <c r="AD1048" i="16" s="1"/>
  <c r="W1048" i="16"/>
  <c r="AC1048" i="16" s="1"/>
  <c r="V1048" i="16"/>
  <c r="AB1048" i="16" s="1"/>
  <c r="X1047" i="16"/>
  <c r="AD1047" i="16" s="1"/>
  <c r="W1047" i="16"/>
  <c r="AC1047" i="16" s="1"/>
  <c r="V1047" i="16"/>
  <c r="AB1047" i="16" s="1"/>
  <c r="X1046" i="16"/>
  <c r="AD1046" i="16" s="1"/>
  <c r="W1046" i="16"/>
  <c r="AC1046" i="16" s="1"/>
  <c r="V1046" i="16"/>
  <c r="AB1046" i="16" s="1"/>
  <c r="X1045" i="16"/>
  <c r="AD1045" i="16" s="1"/>
  <c r="W1045" i="16"/>
  <c r="AC1045" i="16" s="1"/>
  <c r="V1045" i="16"/>
  <c r="AB1045" i="16" s="1"/>
  <c r="X1044" i="16"/>
  <c r="AD1044" i="16" s="1"/>
  <c r="W1044" i="16"/>
  <c r="AC1044" i="16" s="1"/>
  <c r="V1044" i="16"/>
  <c r="AB1044" i="16" s="1"/>
  <c r="X1043" i="16"/>
  <c r="AD1043" i="16" s="1"/>
  <c r="W1043" i="16"/>
  <c r="AC1043" i="16" s="1"/>
  <c r="V1043" i="16"/>
  <c r="AB1043" i="16" s="1"/>
  <c r="X1042" i="16"/>
  <c r="AD1042" i="16" s="1"/>
  <c r="W1042" i="16"/>
  <c r="AC1042" i="16" s="1"/>
  <c r="V1042" i="16"/>
  <c r="AB1042" i="16" s="1"/>
  <c r="X1041" i="16"/>
  <c r="AD1041" i="16" s="1"/>
  <c r="W1041" i="16"/>
  <c r="AC1041" i="16" s="1"/>
  <c r="V1041" i="16"/>
  <c r="AB1041" i="16" s="1"/>
  <c r="X1040" i="16"/>
  <c r="AD1040" i="16" s="1"/>
  <c r="W1040" i="16"/>
  <c r="AC1040" i="16" s="1"/>
  <c r="V1040" i="16"/>
  <c r="AB1040" i="16" s="1"/>
  <c r="X1039" i="16"/>
  <c r="AD1039" i="16" s="1"/>
  <c r="W1039" i="16"/>
  <c r="AC1039" i="16" s="1"/>
  <c r="V1039" i="16"/>
  <c r="AB1039" i="16" s="1"/>
  <c r="X1038" i="16"/>
  <c r="AD1038" i="16" s="1"/>
  <c r="W1038" i="16"/>
  <c r="AC1038" i="16" s="1"/>
  <c r="V1038" i="16"/>
  <c r="AB1038" i="16" s="1"/>
  <c r="X1037" i="16"/>
  <c r="AD1037" i="16" s="1"/>
  <c r="W1037" i="16"/>
  <c r="AC1037" i="16" s="1"/>
  <c r="V1037" i="16"/>
  <c r="AB1037" i="16" s="1"/>
  <c r="X1036" i="16"/>
  <c r="AD1036" i="16" s="1"/>
  <c r="W1036" i="16"/>
  <c r="AC1036" i="16" s="1"/>
  <c r="V1036" i="16"/>
  <c r="AB1036" i="16" s="1"/>
  <c r="X1035" i="16"/>
  <c r="AD1035" i="16" s="1"/>
  <c r="W1035" i="16"/>
  <c r="AC1035" i="16" s="1"/>
  <c r="V1035" i="16"/>
  <c r="AB1035" i="16" s="1"/>
  <c r="X1034" i="16"/>
  <c r="AD1034" i="16" s="1"/>
  <c r="W1034" i="16"/>
  <c r="AC1034" i="16" s="1"/>
  <c r="V1034" i="16"/>
  <c r="AB1034" i="16" s="1"/>
  <c r="X1033" i="16"/>
  <c r="AD1033" i="16" s="1"/>
  <c r="W1033" i="16"/>
  <c r="AC1033" i="16" s="1"/>
  <c r="V1033" i="16"/>
  <c r="AB1033" i="16" s="1"/>
  <c r="X1032" i="16"/>
  <c r="AD1032" i="16" s="1"/>
  <c r="W1032" i="16"/>
  <c r="AC1032" i="16" s="1"/>
  <c r="V1032" i="16"/>
  <c r="AB1032" i="16" s="1"/>
  <c r="X1031" i="16"/>
  <c r="AD1031" i="16" s="1"/>
  <c r="W1031" i="16"/>
  <c r="AC1031" i="16" s="1"/>
  <c r="V1031" i="16"/>
  <c r="AB1031" i="16" s="1"/>
  <c r="X1030" i="16"/>
  <c r="AD1030" i="16" s="1"/>
  <c r="W1030" i="16"/>
  <c r="AC1030" i="16" s="1"/>
  <c r="V1030" i="16"/>
  <c r="AB1030" i="16" s="1"/>
  <c r="X1029" i="16"/>
  <c r="AD1029" i="16" s="1"/>
  <c r="W1029" i="16"/>
  <c r="AC1029" i="16" s="1"/>
  <c r="V1029" i="16"/>
  <c r="AB1029" i="16" s="1"/>
  <c r="X1028" i="16"/>
  <c r="AD1028" i="16" s="1"/>
  <c r="W1028" i="16"/>
  <c r="AC1028" i="16" s="1"/>
  <c r="V1028" i="16"/>
  <c r="AB1028" i="16" s="1"/>
  <c r="X1027" i="16"/>
  <c r="AD1027" i="16" s="1"/>
  <c r="W1027" i="16"/>
  <c r="AC1027" i="16" s="1"/>
  <c r="V1027" i="16"/>
  <c r="AB1027" i="16" s="1"/>
  <c r="X1026" i="16"/>
  <c r="AD1026" i="16" s="1"/>
  <c r="W1026" i="16"/>
  <c r="AC1026" i="16" s="1"/>
  <c r="V1026" i="16"/>
  <c r="AB1026" i="16" s="1"/>
  <c r="X1025" i="16"/>
  <c r="AD1025" i="16" s="1"/>
  <c r="W1025" i="16"/>
  <c r="AC1025" i="16" s="1"/>
  <c r="V1025" i="16"/>
  <c r="AB1025" i="16" s="1"/>
  <c r="X1024" i="16"/>
  <c r="AD1024" i="16" s="1"/>
  <c r="W1024" i="16"/>
  <c r="AC1024" i="16" s="1"/>
  <c r="V1024" i="16"/>
  <c r="AB1024" i="16" s="1"/>
  <c r="X1023" i="16"/>
  <c r="AD1023" i="16" s="1"/>
  <c r="W1023" i="16"/>
  <c r="AC1023" i="16" s="1"/>
  <c r="V1023" i="16"/>
  <c r="AB1023" i="16" s="1"/>
  <c r="X1022" i="16"/>
  <c r="AD1022" i="16" s="1"/>
  <c r="W1022" i="16"/>
  <c r="AC1022" i="16" s="1"/>
  <c r="V1022" i="16"/>
  <c r="AB1022" i="16" s="1"/>
  <c r="X1021" i="16"/>
  <c r="AD1021" i="16" s="1"/>
  <c r="W1021" i="16"/>
  <c r="AC1021" i="16" s="1"/>
  <c r="V1021" i="16"/>
  <c r="AB1021" i="16" s="1"/>
  <c r="X1020" i="16"/>
  <c r="AD1020" i="16" s="1"/>
  <c r="W1020" i="16"/>
  <c r="AC1020" i="16" s="1"/>
  <c r="V1020" i="16"/>
  <c r="AB1020" i="16" s="1"/>
  <c r="X1019" i="16"/>
  <c r="AD1019" i="16" s="1"/>
  <c r="W1019" i="16"/>
  <c r="AC1019" i="16" s="1"/>
  <c r="V1019" i="16"/>
  <c r="AB1019" i="16" s="1"/>
  <c r="X1018" i="16"/>
  <c r="AD1018" i="16" s="1"/>
  <c r="W1018" i="16"/>
  <c r="AC1018" i="16" s="1"/>
  <c r="V1018" i="16"/>
  <c r="AB1018" i="16" s="1"/>
  <c r="X1017" i="16"/>
  <c r="AD1017" i="16" s="1"/>
  <c r="W1017" i="16"/>
  <c r="AC1017" i="16" s="1"/>
  <c r="V1017" i="16"/>
  <c r="AB1017" i="16" s="1"/>
  <c r="X1016" i="16"/>
  <c r="AD1016" i="16" s="1"/>
  <c r="W1016" i="16"/>
  <c r="AC1016" i="16" s="1"/>
  <c r="V1016" i="16"/>
  <c r="AB1016" i="16" s="1"/>
  <c r="X1015" i="16"/>
  <c r="AD1015" i="16" s="1"/>
  <c r="W1015" i="16"/>
  <c r="AC1015" i="16" s="1"/>
  <c r="V1015" i="16"/>
  <c r="AB1015" i="16" s="1"/>
  <c r="X1014" i="16"/>
  <c r="AD1014" i="16" s="1"/>
  <c r="W1014" i="16"/>
  <c r="AC1014" i="16" s="1"/>
  <c r="V1014" i="16"/>
  <c r="AB1014" i="16" s="1"/>
  <c r="X1013" i="16"/>
  <c r="AD1013" i="16" s="1"/>
  <c r="W1013" i="16"/>
  <c r="AC1013" i="16" s="1"/>
  <c r="V1013" i="16"/>
  <c r="AB1013" i="16" s="1"/>
  <c r="X1012" i="16"/>
  <c r="AD1012" i="16" s="1"/>
  <c r="W1012" i="16"/>
  <c r="AC1012" i="16" s="1"/>
  <c r="V1012" i="16"/>
  <c r="AB1012" i="16" s="1"/>
  <c r="X1011" i="16"/>
  <c r="AD1011" i="16" s="1"/>
  <c r="W1011" i="16"/>
  <c r="AC1011" i="16" s="1"/>
  <c r="V1011" i="16"/>
  <c r="AB1011" i="16" s="1"/>
  <c r="X1010" i="16"/>
  <c r="AD1010" i="16" s="1"/>
  <c r="W1010" i="16"/>
  <c r="AC1010" i="16" s="1"/>
  <c r="V1010" i="16"/>
  <c r="AB1010" i="16" s="1"/>
  <c r="X1009" i="16"/>
  <c r="AD1009" i="16" s="1"/>
  <c r="W1009" i="16"/>
  <c r="AC1009" i="16" s="1"/>
  <c r="V1009" i="16"/>
  <c r="AB1009" i="16" s="1"/>
  <c r="X1008" i="16"/>
  <c r="AD1008" i="16" s="1"/>
  <c r="W1008" i="16"/>
  <c r="AC1008" i="16" s="1"/>
  <c r="V1008" i="16"/>
  <c r="AB1008" i="16" s="1"/>
  <c r="X1007" i="16"/>
  <c r="AD1007" i="16" s="1"/>
  <c r="W1007" i="16"/>
  <c r="AC1007" i="16" s="1"/>
  <c r="V1007" i="16"/>
  <c r="AB1007" i="16" s="1"/>
  <c r="X1006" i="16"/>
  <c r="AD1006" i="16" s="1"/>
  <c r="W1006" i="16"/>
  <c r="AC1006" i="16" s="1"/>
  <c r="V1006" i="16"/>
  <c r="AB1006" i="16" s="1"/>
  <c r="X1005" i="16"/>
  <c r="AD1005" i="16" s="1"/>
  <c r="W1005" i="16"/>
  <c r="AC1005" i="16" s="1"/>
  <c r="V1005" i="16"/>
  <c r="AB1005" i="16" s="1"/>
  <c r="X1004" i="16"/>
  <c r="AD1004" i="16" s="1"/>
  <c r="W1004" i="16"/>
  <c r="AC1004" i="16" s="1"/>
  <c r="V1004" i="16"/>
  <c r="AB1004" i="16" s="1"/>
  <c r="X1003" i="16"/>
  <c r="AD1003" i="16" s="1"/>
  <c r="W1003" i="16"/>
  <c r="AC1003" i="16" s="1"/>
  <c r="V1003" i="16"/>
  <c r="AB1003" i="16" s="1"/>
  <c r="X1002" i="16"/>
  <c r="AD1002" i="16" s="1"/>
  <c r="W1002" i="16"/>
  <c r="AC1002" i="16" s="1"/>
  <c r="V1002" i="16"/>
  <c r="AB1002" i="16" s="1"/>
  <c r="X1001" i="16"/>
  <c r="AD1001" i="16" s="1"/>
  <c r="W1001" i="16"/>
  <c r="AC1001" i="16" s="1"/>
  <c r="V1001" i="16"/>
  <c r="AB1001" i="16" s="1"/>
  <c r="X1000" i="16"/>
  <c r="AD1000" i="16" s="1"/>
  <c r="W1000" i="16"/>
  <c r="AC1000" i="16" s="1"/>
  <c r="V1000" i="16"/>
  <c r="AB1000" i="16" s="1"/>
  <c r="X999" i="16"/>
  <c r="AD999" i="16" s="1"/>
  <c r="W999" i="16"/>
  <c r="AC999" i="16" s="1"/>
  <c r="V999" i="16"/>
  <c r="AB999" i="16" s="1"/>
  <c r="X998" i="16"/>
  <c r="AD998" i="16" s="1"/>
  <c r="W998" i="16"/>
  <c r="AC998" i="16" s="1"/>
  <c r="V998" i="16"/>
  <c r="AB998" i="16" s="1"/>
  <c r="X997" i="16"/>
  <c r="AD997" i="16" s="1"/>
  <c r="W997" i="16"/>
  <c r="AC997" i="16" s="1"/>
  <c r="V997" i="16"/>
  <c r="AB997" i="16" s="1"/>
  <c r="X996" i="16"/>
  <c r="AD996" i="16" s="1"/>
  <c r="W996" i="16"/>
  <c r="AC996" i="16" s="1"/>
  <c r="V996" i="16"/>
  <c r="AB996" i="16" s="1"/>
  <c r="X995" i="16"/>
  <c r="AD995" i="16" s="1"/>
  <c r="W995" i="16"/>
  <c r="AC995" i="16" s="1"/>
  <c r="V995" i="16"/>
  <c r="AB995" i="16" s="1"/>
  <c r="X994" i="16"/>
  <c r="AD994" i="16" s="1"/>
  <c r="W994" i="16"/>
  <c r="AC994" i="16" s="1"/>
  <c r="V994" i="16"/>
  <c r="AB994" i="16" s="1"/>
  <c r="X993" i="16"/>
  <c r="AD993" i="16" s="1"/>
  <c r="W993" i="16"/>
  <c r="AC993" i="16" s="1"/>
  <c r="V993" i="16"/>
  <c r="AB993" i="16" s="1"/>
  <c r="X992" i="16"/>
  <c r="AD992" i="16" s="1"/>
  <c r="W992" i="16"/>
  <c r="AC992" i="16" s="1"/>
  <c r="V992" i="16"/>
  <c r="AB992" i="16" s="1"/>
  <c r="X991" i="16"/>
  <c r="AD991" i="16" s="1"/>
  <c r="W991" i="16"/>
  <c r="AC991" i="16" s="1"/>
  <c r="V991" i="16"/>
  <c r="AB991" i="16" s="1"/>
  <c r="X990" i="16"/>
  <c r="AD990" i="16" s="1"/>
  <c r="W990" i="16"/>
  <c r="AC990" i="16" s="1"/>
  <c r="V990" i="16"/>
  <c r="AB990" i="16" s="1"/>
  <c r="X989" i="16"/>
  <c r="AD989" i="16" s="1"/>
  <c r="W989" i="16"/>
  <c r="AC989" i="16" s="1"/>
  <c r="V989" i="16"/>
  <c r="AB989" i="16" s="1"/>
  <c r="X988" i="16"/>
  <c r="AD988" i="16" s="1"/>
  <c r="W988" i="16"/>
  <c r="AC988" i="16" s="1"/>
  <c r="V988" i="16"/>
  <c r="AB988" i="16" s="1"/>
  <c r="X987" i="16"/>
  <c r="AD987" i="16" s="1"/>
  <c r="W987" i="16"/>
  <c r="AC987" i="16" s="1"/>
  <c r="V987" i="16"/>
  <c r="AB987" i="16" s="1"/>
  <c r="X986" i="16"/>
  <c r="AD986" i="16" s="1"/>
  <c r="W986" i="16"/>
  <c r="AC986" i="16" s="1"/>
  <c r="V986" i="16"/>
  <c r="AB986" i="16" s="1"/>
  <c r="X985" i="16"/>
  <c r="AD985" i="16" s="1"/>
  <c r="W985" i="16"/>
  <c r="AC985" i="16" s="1"/>
  <c r="V985" i="16"/>
  <c r="AB985" i="16" s="1"/>
  <c r="X984" i="16"/>
  <c r="AD984" i="16" s="1"/>
  <c r="W984" i="16"/>
  <c r="AC984" i="16" s="1"/>
  <c r="V984" i="16"/>
  <c r="AB984" i="16" s="1"/>
  <c r="X983" i="16"/>
  <c r="AD983" i="16" s="1"/>
  <c r="W983" i="16"/>
  <c r="AC983" i="16" s="1"/>
  <c r="V983" i="16"/>
  <c r="AB983" i="16" s="1"/>
  <c r="X982" i="16"/>
  <c r="AD982" i="16" s="1"/>
  <c r="W982" i="16"/>
  <c r="AC982" i="16" s="1"/>
  <c r="V982" i="16"/>
  <c r="AB982" i="16" s="1"/>
  <c r="X981" i="16"/>
  <c r="AD981" i="16" s="1"/>
  <c r="W981" i="16"/>
  <c r="AC981" i="16" s="1"/>
  <c r="V981" i="16"/>
  <c r="AB981" i="16" s="1"/>
  <c r="X980" i="16"/>
  <c r="AD980" i="16" s="1"/>
  <c r="W980" i="16"/>
  <c r="AC980" i="16" s="1"/>
  <c r="V980" i="16"/>
  <c r="AB980" i="16" s="1"/>
  <c r="X979" i="16"/>
  <c r="AD979" i="16" s="1"/>
  <c r="W979" i="16"/>
  <c r="AC979" i="16" s="1"/>
  <c r="V979" i="16"/>
  <c r="AB979" i="16" s="1"/>
  <c r="X978" i="16"/>
  <c r="AD978" i="16" s="1"/>
  <c r="W978" i="16"/>
  <c r="AC978" i="16" s="1"/>
  <c r="V978" i="16"/>
  <c r="AB978" i="16" s="1"/>
  <c r="X977" i="16"/>
  <c r="AD977" i="16" s="1"/>
  <c r="W977" i="16"/>
  <c r="AC977" i="16" s="1"/>
  <c r="V977" i="16"/>
  <c r="AB977" i="16" s="1"/>
  <c r="X976" i="16"/>
  <c r="AD976" i="16" s="1"/>
  <c r="W976" i="16"/>
  <c r="AC976" i="16" s="1"/>
  <c r="V976" i="16"/>
  <c r="AB976" i="16" s="1"/>
  <c r="X975" i="16"/>
  <c r="AD975" i="16" s="1"/>
  <c r="W975" i="16"/>
  <c r="AC975" i="16" s="1"/>
  <c r="V975" i="16"/>
  <c r="AB975" i="16" s="1"/>
  <c r="X974" i="16"/>
  <c r="AD974" i="16" s="1"/>
  <c r="W974" i="16"/>
  <c r="AC974" i="16" s="1"/>
  <c r="V974" i="16"/>
  <c r="AB974" i="16" s="1"/>
  <c r="X973" i="16"/>
  <c r="AD973" i="16" s="1"/>
  <c r="W973" i="16"/>
  <c r="AC973" i="16" s="1"/>
  <c r="V973" i="16"/>
  <c r="AB973" i="16" s="1"/>
  <c r="X972" i="16"/>
  <c r="AD972" i="16" s="1"/>
  <c r="W972" i="16"/>
  <c r="AC972" i="16" s="1"/>
  <c r="V972" i="16"/>
  <c r="AB972" i="16" s="1"/>
  <c r="X971" i="16"/>
  <c r="AD971" i="16" s="1"/>
  <c r="W971" i="16"/>
  <c r="AC971" i="16" s="1"/>
  <c r="V971" i="16"/>
  <c r="AB971" i="16" s="1"/>
  <c r="X970" i="16"/>
  <c r="AD970" i="16" s="1"/>
  <c r="W970" i="16"/>
  <c r="AC970" i="16" s="1"/>
  <c r="V970" i="16"/>
  <c r="AB970" i="16" s="1"/>
  <c r="X969" i="16"/>
  <c r="AD969" i="16" s="1"/>
  <c r="W969" i="16"/>
  <c r="AC969" i="16" s="1"/>
  <c r="V969" i="16"/>
  <c r="AB969" i="16" s="1"/>
  <c r="X968" i="16"/>
  <c r="AD968" i="16" s="1"/>
  <c r="W968" i="16"/>
  <c r="AC968" i="16" s="1"/>
  <c r="V968" i="16"/>
  <c r="AB968" i="16" s="1"/>
  <c r="X967" i="16"/>
  <c r="AD967" i="16" s="1"/>
  <c r="W967" i="16"/>
  <c r="AC967" i="16" s="1"/>
  <c r="V967" i="16"/>
  <c r="AB967" i="16" s="1"/>
  <c r="X966" i="16"/>
  <c r="AD966" i="16" s="1"/>
  <c r="W966" i="16"/>
  <c r="AC966" i="16" s="1"/>
  <c r="V966" i="16"/>
  <c r="AB966" i="16" s="1"/>
  <c r="X965" i="16"/>
  <c r="AD965" i="16" s="1"/>
  <c r="W965" i="16"/>
  <c r="AC965" i="16" s="1"/>
  <c r="V965" i="16"/>
  <c r="AB965" i="16" s="1"/>
  <c r="X964" i="16"/>
  <c r="AD964" i="16" s="1"/>
  <c r="W964" i="16"/>
  <c r="AC964" i="16" s="1"/>
  <c r="V964" i="16"/>
  <c r="AB964" i="16" s="1"/>
  <c r="X963" i="16"/>
  <c r="AD963" i="16" s="1"/>
  <c r="W963" i="16"/>
  <c r="AC963" i="16" s="1"/>
  <c r="V963" i="16"/>
  <c r="AB963" i="16" s="1"/>
  <c r="X962" i="16"/>
  <c r="AD962" i="16" s="1"/>
  <c r="W962" i="16"/>
  <c r="AC962" i="16" s="1"/>
  <c r="V962" i="16"/>
  <c r="AB962" i="16" s="1"/>
  <c r="X961" i="16"/>
  <c r="AD961" i="16" s="1"/>
  <c r="W961" i="16"/>
  <c r="AC961" i="16" s="1"/>
  <c r="V961" i="16"/>
  <c r="AB961" i="16" s="1"/>
  <c r="X960" i="16"/>
  <c r="AD960" i="16" s="1"/>
  <c r="W960" i="16"/>
  <c r="AC960" i="16" s="1"/>
  <c r="V960" i="16"/>
  <c r="AB960" i="16" s="1"/>
  <c r="X959" i="16"/>
  <c r="AD959" i="16" s="1"/>
  <c r="W959" i="16"/>
  <c r="AC959" i="16" s="1"/>
  <c r="V959" i="16"/>
  <c r="AB959" i="16" s="1"/>
  <c r="X958" i="16"/>
  <c r="AD958" i="16" s="1"/>
  <c r="W958" i="16"/>
  <c r="AC958" i="16" s="1"/>
  <c r="V958" i="16"/>
  <c r="AB958" i="16" s="1"/>
  <c r="X957" i="16"/>
  <c r="AD957" i="16" s="1"/>
  <c r="W957" i="16"/>
  <c r="AC957" i="16" s="1"/>
  <c r="V957" i="16"/>
  <c r="AB957" i="16" s="1"/>
  <c r="X956" i="16"/>
  <c r="AD956" i="16" s="1"/>
  <c r="W956" i="16"/>
  <c r="AC956" i="16" s="1"/>
  <c r="V956" i="16"/>
  <c r="AB956" i="16" s="1"/>
  <c r="X955" i="16"/>
  <c r="AD955" i="16" s="1"/>
  <c r="W955" i="16"/>
  <c r="AC955" i="16" s="1"/>
  <c r="V955" i="16"/>
  <c r="AB955" i="16" s="1"/>
  <c r="X954" i="16"/>
  <c r="AD954" i="16" s="1"/>
  <c r="W954" i="16"/>
  <c r="AC954" i="16" s="1"/>
  <c r="V954" i="16"/>
  <c r="AB954" i="16" s="1"/>
  <c r="X953" i="16"/>
  <c r="AD953" i="16" s="1"/>
  <c r="W953" i="16"/>
  <c r="AC953" i="16" s="1"/>
  <c r="V953" i="16"/>
  <c r="AB953" i="16" s="1"/>
  <c r="X952" i="16"/>
  <c r="AD952" i="16" s="1"/>
  <c r="W952" i="16"/>
  <c r="AC952" i="16" s="1"/>
  <c r="V952" i="16"/>
  <c r="AB952" i="16" s="1"/>
  <c r="X951" i="16"/>
  <c r="AD951" i="16" s="1"/>
  <c r="W951" i="16"/>
  <c r="AC951" i="16" s="1"/>
  <c r="V951" i="16"/>
  <c r="AB951" i="16" s="1"/>
  <c r="X950" i="16"/>
  <c r="AD950" i="16" s="1"/>
  <c r="W950" i="16"/>
  <c r="AC950" i="16" s="1"/>
  <c r="V950" i="16"/>
  <c r="AB950" i="16" s="1"/>
  <c r="X949" i="16"/>
  <c r="AD949" i="16" s="1"/>
  <c r="W949" i="16"/>
  <c r="AC949" i="16" s="1"/>
  <c r="V949" i="16"/>
  <c r="AB949" i="16" s="1"/>
  <c r="X948" i="16"/>
  <c r="AD948" i="16" s="1"/>
  <c r="W948" i="16"/>
  <c r="AC948" i="16" s="1"/>
  <c r="V948" i="16"/>
  <c r="AB948" i="16" s="1"/>
  <c r="X947" i="16"/>
  <c r="AD947" i="16" s="1"/>
  <c r="W947" i="16"/>
  <c r="AC947" i="16" s="1"/>
  <c r="V947" i="16"/>
  <c r="AB947" i="16" s="1"/>
  <c r="X946" i="16"/>
  <c r="AD946" i="16" s="1"/>
  <c r="W946" i="16"/>
  <c r="AC946" i="16" s="1"/>
  <c r="V946" i="16"/>
  <c r="AB946" i="16" s="1"/>
  <c r="X945" i="16"/>
  <c r="AD945" i="16" s="1"/>
  <c r="W945" i="16"/>
  <c r="AC945" i="16" s="1"/>
  <c r="V945" i="16"/>
  <c r="AB945" i="16" s="1"/>
  <c r="X944" i="16"/>
  <c r="AD944" i="16" s="1"/>
  <c r="W944" i="16"/>
  <c r="AC944" i="16" s="1"/>
  <c r="V944" i="16"/>
  <c r="AB944" i="16" s="1"/>
  <c r="X943" i="16"/>
  <c r="AD943" i="16" s="1"/>
  <c r="W943" i="16"/>
  <c r="AC943" i="16" s="1"/>
  <c r="V943" i="16"/>
  <c r="AB943" i="16" s="1"/>
  <c r="X942" i="16"/>
  <c r="AD942" i="16" s="1"/>
  <c r="W942" i="16"/>
  <c r="AC942" i="16" s="1"/>
  <c r="V942" i="16"/>
  <c r="AB942" i="16" s="1"/>
  <c r="X941" i="16"/>
  <c r="AD941" i="16" s="1"/>
  <c r="W941" i="16"/>
  <c r="AC941" i="16" s="1"/>
  <c r="V941" i="16"/>
  <c r="AB941" i="16" s="1"/>
  <c r="X940" i="16"/>
  <c r="AD940" i="16" s="1"/>
  <c r="W940" i="16"/>
  <c r="AC940" i="16" s="1"/>
  <c r="V940" i="16"/>
  <c r="AB940" i="16" s="1"/>
  <c r="X939" i="16"/>
  <c r="AD939" i="16" s="1"/>
  <c r="W939" i="16"/>
  <c r="AC939" i="16" s="1"/>
  <c r="V939" i="16"/>
  <c r="AB939" i="16" s="1"/>
  <c r="X938" i="16"/>
  <c r="AD938" i="16" s="1"/>
  <c r="W938" i="16"/>
  <c r="AC938" i="16" s="1"/>
  <c r="V938" i="16"/>
  <c r="AB938" i="16" s="1"/>
  <c r="X937" i="16"/>
  <c r="AD937" i="16" s="1"/>
  <c r="W937" i="16"/>
  <c r="AC937" i="16" s="1"/>
  <c r="V937" i="16"/>
  <c r="AB937" i="16" s="1"/>
  <c r="X936" i="16"/>
  <c r="AD936" i="16" s="1"/>
  <c r="W936" i="16"/>
  <c r="AC936" i="16" s="1"/>
  <c r="V936" i="16"/>
  <c r="AB936" i="16" s="1"/>
  <c r="X935" i="16"/>
  <c r="AD935" i="16" s="1"/>
  <c r="W935" i="16"/>
  <c r="AC935" i="16" s="1"/>
  <c r="V935" i="16"/>
  <c r="AB935" i="16" s="1"/>
  <c r="X934" i="16"/>
  <c r="AD934" i="16" s="1"/>
  <c r="W934" i="16"/>
  <c r="AC934" i="16" s="1"/>
  <c r="V934" i="16"/>
  <c r="AB934" i="16" s="1"/>
  <c r="X933" i="16"/>
  <c r="AD933" i="16" s="1"/>
  <c r="W933" i="16"/>
  <c r="AC933" i="16" s="1"/>
  <c r="V933" i="16"/>
  <c r="AB933" i="16" s="1"/>
  <c r="X932" i="16"/>
  <c r="AD932" i="16" s="1"/>
  <c r="W932" i="16"/>
  <c r="AC932" i="16" s="1"/>
  <c r="V932" i="16"/>
  <c r="AB932" i="16" s="1"/>
  <c r="X931" i="16"/>
  <c r="AD931" i="16" s="1"/>
  <c r="W931" i="16"/>
  <c r="AC931" i="16" s="1"/>
  <c r="V931" i="16"/>
  <c r="AB931" i="16" s="1"/>
  <c r="X930" i="16"/>
  <c r="AD930" i="16" s="1"/>
  <c r="W930" i="16"/>
  <c r="AC930" i="16" s="1"/>
  <c r="V930" i="16"/>
  <c r="AB930" i="16" s="1"/>
  <c r="X929" i="16"/>
  <c r="AD929" i="16" s="1"/>
  <c r="W929" i="16"/>
  <c r="AC929" i="16" s="1"/>
  <c r="V929" i="16"/>
  <c r="AB929" i="16" s="1"/>
  <c r="X928" i="16"/>
  <c r="AD928" i="16" s="1"/>
  <c r="W928" i="16"/>
  <c r="AC928" i="16" s="1"/>
  <c r="V928" i="16"/>
  <c r="AB928" i="16" s="1"/>
  <c r="X927" i="16"/>
  <c r="AD927" i="16" s="1"/>
  <c r="W927" i="16"/>
  <c r="AC927" i="16" s="1"/>
  <c r="V927" i="16"/>
  <c r="AB927" i="16" s="1"/>
  <c r="X926" i="16"/>
  <c r="AD926" i="16" s="1"/>
  <c r="W926" i="16"/>
  <c r="AC926" i="16" s="1"/>
  <c r="V926" i="16"/>
  <c r="AB926" i="16" s="1"/>
  <c r="X925" i="16"/>
  <c r="AD925" i="16" s="1"/>
  <c r="W925" i="16"/>
  <c r="AC925" i="16" s="1"/>
  <c r="V925" i="16"/>
  <c r="AB925" i="16" s="1"/>
  <c r="X924" i="16"/>
  <c r="AD924" i="16" s="1"/>
  <c r="W924" i="16"/>
  <c r="AC924" i="16" s="1"/>
  <c r="V924" i="16"/>
  <c r="AB924" i="16" s="1"/>
  <c r="X923" i="16"/>
  <c r="AD923" i="16" s="1"/>
  <c r="W923" i="16"/>
  <c r="AC923" i="16" s="1"/>
  <c r="V923" i="16"/>
  <c r="AB923" i="16" s="1"/>
  <c r="X922" i="16"/>
  <c r="AD922" i="16" s="1"/>
  <c r="W922" i="16"/>
  <c r="AC922" i="16" s="1"/>
  <c r="V922" i="16"/>
  <c r="AB922" i="16" s="1"/>
  <c r="X921" i="16"/>
  <c r="AD921" i="16" s="1"/>
  <c r="W921" i="16"/>
  <c r="AC921" i="16" s="1"/>
  <c r="V921" i="16"/>
  <c r="AB921" i="16" s="1"/>
  <c r="X920" i="16"/>
  <c r="AD920" i="16" s="1"/>
  <c r="W920" i="16"/>
  <c r="AC920" i="16" s="1"/>
  <c r="V920" i="16"/>
  <c r="AB920" i="16" s="1"/>
  <c r="X919" i="16"/>
  <c r="AD919" i="16" s="1"/>
  <c r="W919" i="16"/>
  <c r="AC919" i="16" s="1"/>
  <c r="V919" i="16"/>
  <c r="AB919" i="16" s="1"/>
  <c r="X918" i="16"/>
  <c r="AD918" i="16" s="1"/>
  <c r="W918" i="16"/>
  <c r="AC918" i="16" s="1"/>
  <c r="V918" i="16"/>
  <c r="AB918" i="16" s="1"/>
  <c r="X917" i="16"/>
  <c r="AD917" i="16" s="1"/>
  <c r="W917" i="16"/>
  <c r="AC917" i="16" s="1"/>
  <c r="V917" i="16"/>
  <c r="AB917" i="16" s="1"/>
  <c r="X916" i="16"/>
  <c r="AD916" i="16" s="1"/>
  <c r="W916" i="16"/>
  <c r="AC916" i="16" s="1"/>
  <c r="V916" i="16"/>
  <c r="AB916" i="16" s="1"/>
  <c r="X915" i="16"/>
  <c r="AD915" i="16" s="1"/>
  <c r="W915" i="16"/>
  <c r="AC915" i="16" s="1"/>
  <c r="V915" i="16"/>
  <c r="AB915" i="16" s="1"/>
  <c r="X914" i="16"/>
  <c r="AD914" i="16" s="1"/>
  <c r="W914" i="16"/>
  <c r="AC914" i="16" s="1"/>
  <c r="V914" i="16"/>
  <c r="AB914" i="16" s="1"/>
  <c r="X913" i="16"/>
  <c r="AD913" i="16" s="1"/>
  <c r="W913" i="16"/>
  <c r="AC913" i="16" s="1"/>
  <c r="V913" i="16"/>
  <c r="AB913" i="16" s="1"/>
  <c r="X912" i="16"/>
  <c r="AD912" i="16" s="1"/>
  <c r="W912" i="16"/>
  <c r="AC912" i="16" s="1"/>
  <c r="V912" i="16"/>
  <c r="AB912" i="16" s="1"/>
  <c r="X911" i="16"/>
  <c r="AD911" i="16" s="1"/>
  <c r="W911" i="16"/>
  <c r="AC911" i="16" s="1"/>
  <c r="V911" i="16"/>
  <c r="AB911" i="16" s="1"/>
  <c r="X910" i="16"/>
  <c r="AD910" i="16" s="1"/>
  <c r="W910" i="16"/>
  <c r="AC910" i="16" s="1"/>
  <c r="V910" i="16"/>
  <c r="AB910" i="16" s="1"/>
  <c r="X909" i="16"/>
  <c r="AD909" i="16" s="1"/>
  <c r="W909" i="16"/>
  <c r="AC909" i="16" s="1"/>
  <c r="V909" i="16"/>
  <c r="AB909" i="16" s="1"/>
  <c r="X908" i="16"/>
  <c r="AD908" i="16" s="1"/>
  <c r="W908" i="16"/>
  <c r="AC908" i="16" s="1"/>
  <c r="V908" i="16"/>
  <c r="AB908" i="16" s="1"/>
  <c r="X907" i="16"/>
  <c r="AD907" i="16" s="1"/>
  <c r="W907" i="16"/>
  <c r="AC907" i="16" s="1"/>
  <c r="V907" i="16"/>
  <c r="AB907" i="16" s="1"/>
  <c r="X906" i="16"/>
  <c r="AD906" i="16" s="1"/>
  <c r="W906" i="16"/>
  <c r="AC906" i="16" s="1"/>
  <c r="V906" i="16"/>
  <c r="AB906" i="16" s="1"/>
  <c r="X905" i="16"/>
  <c r="AD905" i="16" s="1"/>
  <c r="W905" i="16"/>
  <c r="AC905" i="16" s="1"/>
  <c r="V905" i="16"/>
  <c r="AB905" i="16" s="1"/>
  <c r="X904" i="16"/>
  <c r="AD904" i="16" s="1"/>
  <c r="W904" i="16"/>
  <c r="AC904" i="16" s="1"/>
  <c r="V904" i="16"/>
  <c r="AB904" i="16" s="1"/>
  <c r="X903" i="16"/>
  <c r="AD903" i="16" s="1"/>
  <c r="W903" i="16"/>
  <c r="AC903" i="16" s="1"/>
  <c r="V903" i="16"/>
  <c r="AB903" i="16" s="1"/>
  <c r="X902" i="16"/>
  <c r="AD902" i="16" s="1"/>
  <c r="W902" i="16"/>
  <c r="AC902" i="16" s="1"/>
  <c r="V902" i="16"/>
  <c r="AB902" i="16" s="1"/>
  <c r="X901" i="16"/>
  <c r="AD901" i="16" s="1"/>
  <c r="W901" i="16"/>
  <c r="AC901" i="16" s="1"/>
  <c r="V901" i="16"/>
  <c r="AB901" i="16" s="1"/>
  <c r="X900" i="16"/>
  <c r="AD900" i="16" s="1"/>
  <c r="W900" i="16"/>
  <c r="AC900" i="16" s="1"/>
  <c r="V900" i="16"/>
  <c r="AB900" i="16" s="1"/>
  <c r="X899" i="16"/>
  <c r="AD899" i="16" s="1"/>
  <c r="W899" i="16"/>
  <c r="AC899" i="16" s="1"/>
  <c r="V899" i="16"/>
  <c r="AB899" i="16" s="1"/>
  <c r="X898" i="16"/>
  <c r="AD898" i="16" s="1"/>
  <c r="W898" i="16"/>
  <c r="AC898" i="16" s="1"/>
  <c r="V898" i="16"/>
  <c r="AB898" i="16" s="1"/>
  <c r="X897" i="16"/>
  <c r="AD897" i="16" s="1"/>
  <c r="W897" i="16"/>
  <c r="AC897" i="16" s="1"/>
  <c r="V897" i="16"/>
  <c r="AB897" i="16" s="1"/>
  <c r="X896" i="16"/>
  <c r="AD896" i="16" s="1"/>
  <c r="W896" i="16"/>
  <c r="AC896" i="16" s="1"/>
  <c r="V896" i="16"/>
  <c r="AB896" i="16" s="1"/>
  <c r="X895" i="16"/>
  <c r="AD895" i="16" s="1"/>
  <c r="W895" i="16"/>
  <c r="AC895" i="16" s="1"/>
  <c r="V895" i="16"/>
  <c r="AB895" i="16" s="1"/>
  <c r="X894" i="16"/>
  <c r="AD894" i="16" s="1"/>
  <c r="W894" i="16"/>
  <c r="AC894" i="16" s="1"/>
  <c r="V894" i="16"/>
  <c r="AB894" i="16" s="1"/>
  <c r="X893" i="16"/>
  <c r="AD893" i="16" s="1"/>
  <c r="W893" i="16"/>
  <c r="AC893" i="16" s="1"/>
  <c r="V893" i="16"/>
  <c r="AB893" i="16" s="1"/>
  <c r="X892" i="16"/>
  <c r="AD892" i="16" s="1"/>
  <c r="W892" i="16"/>
  <c r="AC892" i="16" s="1"/>
  <c r="V892" i="16"/>
  <c r="AB892" i="16" s="1"/>
  <c r="X891" i="16"/>
  <c r="AD891" i="16" s="1"/>
  <c r="W891" i="16"/>
  <c r="AC891" i="16" s="1"/>
  <c r="V891" i="16"/>
  <c r="AB891" i="16" s="1"/>
  <c r="X890" i="16"/>
  <c r="AD890" i="16" s="1"/>
  <c r="W890" i="16"/>
  <c r="AC890" i="16" s="1"/>
  <c r="V890" i="16"/>
  <c r="AB890" i="16" s="1"/>
  <c r="X889" i="16"/>
  <c r="AD889" i="16" s="1"/>
  <c r="W889" i="16"/>
  <c r="AC889" i="16" s="1"/>
  <c r="V889" i="16"/>
  <c r="AB889" i="16" s="1"/>
  <c r="X888" i="16"/>
  <c r="AD888" i="16" s="1"/>
  <c r="W888" i="16"/>
  <c r="AC888" i="16" s="1"/>
  <c r="V888" i="16"/>
  <c r="AB888" i="16" s="1"/>
  <c r="X887" i="16"/>
  <c r="AD887" i="16" s="1"/>
  <c r="W887" i="16"/>
  <c r="AC887" i="16" s="1"/>
  <c r="V887" i="16"/>
  <c r="AB887" i="16" s="1"/>
  <c r="X886" i="16"/>
  <c r="AD886" i="16" s="1"/>
  <c r="W886" i="16"/>
  <c r="AC886" i="16" s="1"/>
  <c r="V886" i="16"/>
  <c r="AB886" i="16" s="1"/>
  <c r="X885" i="16"/>
  <c r="AD885" i="16" s="1"/>
  <c r="W885" i="16"/>
  <c r="AC885" i="16" s="1"/>
  <c r="V885" i="16"/>
  <c r="AB885" i="16" s="1"/>
  <c r="X884" i="16"/>
  <c r="AD884" i="16" s="1"/>
  <c r="W884" i="16"/>
  <c r="AC884" i="16" s="1"/>
  <c r="V884" i="16"/>
  <c r="AB884" i="16" s="1"/>
  <c r="X883" i="16"/>
  <c r="AD883" i="16" s="1"/>
  <c r="W883" i="16"/>
  <c r="AC883" i="16" s="1"/>
  <c r="V883" i="16"/>
  <c r="AB883" i="16" s="1"/>
  <c r="X882" i="16"/>
  <c r="AD882" i="16" s="1"/>
  <c r="W882" i="16"/>
  <c r="AC882" i="16" s="1"/>
  <c r="V882" i="16"/>
  <c r="AB882" i="16" s="1"/>
  <c r="X881" i="16"/>
  <c r="AD881" i="16" s="1"/>
  <c r="W881" i="16"/>
  <c r="AC881" i="16" s="1"/>
  <c r="V881" i="16"/>
  <c r="AB881" i="16" s="1"/>
  <c r="X880" i="16"/>
  <c r="AD880" i="16" s="1"/>
  <c r="W880" i="16"/>
  <c r="AC880" i="16" s="1"/>
  <c r="V880" i="16"/>
  <c r="AB880" i="16" s="1"/>
  <c r="X879" i="16"/>
  <c r="AD879" i="16" s="1"/>
  <c r="W879" i="16"/>
  <c r="AC879" i="16" s="1"/>
  <c r="V879" i="16"/>
  <c r="AB879" i="16" s="1"/>
  <c r="X878" i="16"/>
  <c r="AD878" i="16" s="1"/>
  <c r="W878" i="16"/>
  <c r="AC878" i="16" s="1"/>
  <c r="V878" i="16"/>
  <c r="AB878" i="16" s="1"/>
  <c r="X877" i="16"/>
  <c r="AD877" i="16" s="1"/>
  <c r="W877" i="16"/>
  <c r="AC877" i="16" s="1"/>
  <c r="V877" i="16"/>
  <c r="AB877" i="16" s="1"/>
  <c r="X876" i="16"/>
  <c r="AD876" i="16" s="1"/>
  <c r="W876" i="16"/>
  <c r="AC876" i="16" s="1"/>
  <c r="V876" i="16"/>
  <c r="AB876" i="16" s="1"/>
  <c r="X875" i="16"/>
  <c r="AD875" i="16" s="1"/>
  <c r="W875" i="16"/>
  <c r="AC875" i="16" s="1"/>
  <c r="V875" i="16"/>
  <c r="AB875" i="16" s="1"/>
  <c r="X874" i="16"/>
  <c r="AD874" i="16" s="1"/>
  <c r="W874" i="16"/>
  <c r="AC874" i="16" s="1"/>
  <c r="V874" i="16"/>
  <c r="AB874" i="16" s="1"/>
  <c r="X873" i="16"/>
  <c r="AD873" i="16" s="1"/>
  <c r="W873" i="16"/>
  <c r="AC873" i="16" s="1"/>
  <c r="V873" i="16"/>
  <c r="AB873" i="16" s="1"/>
  <c r="X872" i="16"/>
  <c r="AD872" i="16" s="1"/>
  <c r="W872" i="16"/>
  <c r="AC872" i="16" s="1"/>
  <c r="V872" i="16"/>
  <c r="AB872" i="16" s="1"/>
  <c r="X871" i="16"/>
  <c r="AD871" i="16" s="1"/>
  <c r="W871" i="16"/>
  <c r="AC871" i="16" s="1"/>
  <c r="V871" i="16"/>
  <c r="AB871" i="16" s="1"/>
  <c r="X870" i="16"/>
  <c r="AD870" i="16" s="1"/>
  <c r="W870" i="16"/>
  <c r="AC870" i="16" s="1"/>
  <c r="V870" i="16"/>
  <c r="AB870" i="16" s="1"/>
  <c r="X869" i="16"/>
  <c r="AD869" i="16" s="1"/>
  <c r="W869" i="16"/>
  <c r="AC869" i="16" s="1"/>
  <c r="V869" i="16"/>
  <c r="AB869" i="16" s="1"/>
  <c r="X868" i="16"/>
  <c r="AD868" i="16" s="1"/>
  <c r="W868" i="16"/>
  <c r="AC868" i="16" s="1"/>
  <c r="V868" i="16"/>
  <c r="AB868" i="16" s="1"/>
  <c r="X867" i="16"/>
  <c r="AD867" i="16" s="1"/>
  <c r="W867" i="16"/>
  <c r="AC867" i="16" s="1"/>
  <c r="V867" i="16"/>
  <c r="AB867" i="16" s="1"/>
  <c r="X866" i="16"/>
  <c r="AD866" i="16" s="1"/>
  <c r="W866" i="16"/>
  <c r="AC866" i="16" s="1"/>
  <c r="V866" i="16"/>
  <c r="AB866" i="16" s="1"/>
  <c r="X865" i="16"/>
  <c r="AD865" i="16" s="1"/>
  <c r="W865" i="16"/>
  <c r="AC865" i="16" s="1"/>
  <c r="V865" i="16"/>
  <c r="AB865" i="16" s="1"/>
  <c r="X864" i="16"/>
  <c r="AD864" i="16" s="1"/>
  <c r="W864" i="16"/>
  <c r="AC864" i="16" s="1"/>
  <c r="V864" i="16"/>
  <c r="AB864" i="16" s="1"/>
  <c r="X863" i="16"/>
  <c r="AD863" i="16" s="1"/>
  <c r="W863" i="16"/>
  <c r="AC863" i="16" s="1"/>
  <c r="V863" i="16"/>
  <c r="AB863" i="16" s="1"/>
  <c r="X862" i="16"/>
  <c r="AD862" i="16" s="1"/>
  <c r="W862" i="16"/>
  <c r="AC862" i="16" s="1"/>
  <c r="V862" i="16"/>
  <c r="AB862" i="16" s="1"/>
  <c r="X861" i="16"/>
  <c r="AD861" i="16" s="1"/>
  <c r="W861" i="16"/>
  <c r="AC861" i="16" s="1"/>
  <c r="V861" i="16"/>
  <c r="AB861" i="16" s="1"/>
  <c r="X860" i="16"/>
  <c r="AD860" i="16" s="1"/>
  <c r="W860" i="16"/>
  <c r="AC860" i="16" s="1"/>
  <c r="V860" i="16"/>
  <c r="AB860" i="16" s="1"/>
  <c r="X859" i="16"/>
  <c r="AD859" i="16" s="1"/>
  <c r="W859" i="16"/>
  <c r="AC859" i="16" s="1"/>
  <c r="V859" i="16"/>
  <c r="AB859" i="16" s="1"/>
  <c r="X858" i="16"/>
  <c r="AD858" i="16" s="1"/>
  <c r="W858" i="16"/>
  <c r="AC858" i="16" s="1"/>
  <c r="V858" i="16"/>
  <c r="AB858" i="16" s="1"/>
  <c r="X857" i="16"/>
  <c r="AD857" i="16" s="1"/>
  <c r="W857" i="16"/>
  <c r="AC857" i="16" s="1"/>
  <c r="V857" i="16"/>
  <c r="AB857" i="16" s="1"/>
  <c r="X856" i="16"/>
  <c r="AD856" i="16" s="1"/>
  <c r="W856" i="16"/>
  <c r="AC856" i="16" s="1"/>
  <c r="V856" i="16"/>
  <c r="AB856" i="16" s="1"/>
  <c r="X855" i="16"/>
  <c r="AD855" i="16" s="1"/>
  <c r="W855" i="16"/>
  <c r="AC855" i="16" s="1"/>
  <c r="V855" i="16"/>
  <c r="AB855" i="16" s="1"/>
  <c r="X854" i="16"/>
  <c r="AD854" i="16" s="1"/>
  <c r="W854" i="16"/>
  <c r="AC854" i="16" s="1"/>
  <c r="V854" i="16"/>
  <c r="AB854" i="16" s="1"/>
  <c r="X853" i="16"/>
  <c r="AD853" i="16" s="1"/>
  <c r="W853" i="16"/>
  <c r="AC853" i="16" s="1"/>
  <c r="V853" i="16"/>
  <c r="AB853" i="16" s="1"/>
  <c r="X852" i="16"/>
  <c r="AD852" i="16" s="1"/>
  <c r="W852" i="16"/>
  <c r="AC852" i="16" s="1"/>
  <c r="V852" i="16"/>
  <c r="AB852" i="16" s="1"/>
  <c r="X851" i="16"/>
  <c r="AD851" i="16" s="1"/>
  <c r="W851" i="16"/>
  <c r="AC851" i="16" s="1"/>
  <c r="V851" i="16"/>
  <c r="AB851" i="16" s="1"/>
  <c r="X850" i="16"/>
  <c r="AD850" i="16" s="1"/>
  <c r="W850" i="16"/>
  <c r="AC850" i="16" s="1"/>
  <c r="V850" i="16"/>
  <c r="AB850" i="16" s="1"/>
  <c r="X849" i="16"/>
  <c r="AD849" i="16" s="1"/>
  <c r="W849" i="16"/>
  <c r="AC849" i="16" s="1"/>
  <c r="V849" i="16"/>
  <c r="AB849" i="16" s="1"/>
  <c r="X848" i="16"/>
  <c r="AD848" i="16" s="1"/>
  <c r="W848" i="16"/>
  <c r="AC848" i="16" s="1"/>
  <c r="V848" i="16"/>
  <c r="AB848" i="16" s="1"/>
  <c r="X847" i="16"/>
  <c r="AD847" i="16" s="1"/>
  <c r="W847" i="16"/>
  <c r="AC847" i="16" s="1"/>
  <c r="V847" i="16"/>
  <c r="AB847" i="16" s="1"/>
  <c r="X846" i="16"/>
  <c r="AD846" i="16" s="1"/>
  <c r="W846" i="16"/>
  <c r="AC846" i="16" s="1"/>
  <c r="V846" i="16"/>
  <c r="AB846" i="16" s="1"/>
  <c r="X845" i="16"/>
  <c r="AD845" i="16" s="1"/>
  <c r="W845" i="16"/>
  <c r="AC845" i="16" s="1"/>
  <c r="V845" i="16"/>
  <c r="AB845" i="16" s="1"/>
  <c r="X844" i="16"/>
  <c r="AD844" i="16" s="1"/>
  <c r="W844" i="16"/>
  <c r="AC844" i="16" s="1"/>
  <c r="V844" i="16"/>
  <c r="AB844" i="16" s="1"/>
  <c r="X843" i="16"/>
  <c r="AD843" i="16" s="1"/>
  <c r="W843" i="16"/>
  <c r="AC843" i="16" s="1"/>
  <c r="V843" i="16"/>
  <c r="AB843" i="16" s="1"/>
  <c r="X842" i="16"/>
  <c r="AD842" i="16" s="1"/>
  <c r="W842" i="16"/>
  <c r="AC842" i="16" s="1"/>
  <c r="V842" i="16"/>
  <c r="AB842" i="16" s="1"/>
  <c r="X841" i="16"/>
  <c r="AD841" i="16" s="1"/>
  <c r="W841" i="16"/>
  <c r="AC841" i="16" s="1"/>
  <c r="V841" i="16"/>
  <c r="AB841" i="16" s="1"/>
  <c r="X840" i="16"/>
  <c r="AD840" i="16" s="1"/>
  <c r="W840" i="16"/>
  <c r="AC840" i="16" s="1"/>
  <c r="V840" i="16"/>
  <c r="AB840" i="16" s="1"/>
  <c r="X839" i="16"/>
  <c r="AD839" i="16" s="1"/>
  <c r="W839" i="16"/>
  <c r="AC839" i="16" s="1"/>
  <c r="V839" i="16"/>
  <c r="AB839" i="16" s="1"/>
  <c r="X838" i="16"/>
  <c r="AD838" i="16" s="1"/>
  <c r="W838" i="16"/>
  <c r="AC838" i="16" s="1"/>
  <c r="V838" i="16"/>
  <c r="AB838" i="16" s="1"/>
  <c r="X837" i="16"/>
  <c r="AD837" i="16" s="1"/>
  <c r="W837" i="16"/>
  <c r="AC837" i="16" s="1"/>
  <c r="V837" i="16"/>
  <c r="AB837" i="16" s="1"/>
  <c r="X836" i="16"/>
  <c r="AD836" i="16" s="1"/>
  <c r="W836" i="16"/>
  <c r="AC836" i="16" s="1"/>
  <c r="V836" i="16"/>
  <c r="AB836" i="16" s="1"/>
  <c r="X835" i="16"/>
  <c r="AD835" i="16" s="1"/>
  <c r="W835" i="16"/>
  <c r="AC835" i="16" s="1"/>
  <c r="V835" i="16"/>
  <c r="AB835" i="16" s="1"/>
  <c r="X834" i="16"/>
  <c r="AD834" i="16" s="1"/>
  <c r="W834" i="16"/>
  <c r="AC834" i="16" s="1"/>
  <c r="V834" i="16"/>
  <c r="AB834" i="16" s="1"/>
  <c r="X833" i="16"/>
  <c r="AD833" i="16" s="1"/>
  <c r="W833" i="16"/>
  <c r="AC833" i="16" s="1"/>
  <c r="V833" i="16"/>
  <c r="AB833" i="16" s="1"/>
  <c r="X832" i="16"/>
  <c r="AD832" i="16" s="1"/>
  <c r="W832" i="16"/>
  <c r="AC832" i="16" s="1"/>
  <c r="V832" i="16"/>
  <c r="AB832" i="16" s="1"/>
  <c r="X831" i="16"/>
  <c r="AD831" i="16" s="1"/>
  <c r="W831" i="16"/>
  <c r="AC831" i="16" s="1"/>
  <c r="V831" i="16"/>
  <c r="AB831" i="16" s="1"/>
  <c r="X830" i="16"/>
  <c r="AD830" i="16" s="1"/>
  <c r="W830" i="16"/>
  <c r="AC830" i="16" s="1"/>
  <c r="V830" i="16"/>
  <c r="AB830" i="16" s="1"/>
  <c r="X829" i="16"/>
  <c r="AD829" i="16" s="1"/>
  <c r="W829" i="16"/>
  <c r="AC829" i="16" s="1"/>
  <c r="V829" i="16"/>
  <c r="AB829" i="16" s="1"/>
  <c r="X828" i="16"/>
  <c r="AD828" i="16" s="1"/>
  <c r="W828" i="16"/>
  <c r="AC828" i="16" s="1"/>
  <c r="V828" i="16"/>
  <c r="AB828" i="16" s="1"/>
  <c r="X827" i="16"/>
  <c r="AD827" i="16" s="1"/>
  <c r="W827" i="16"/>
  <c r="AC827" i="16" s="1"/>
  <c r="V827" i="16"/>
  <c r="AB827" i="16" s="1"/>
  <c r="X826" i="16"/>
  <c r="AD826" i="16" s="1"/>
  <c r="W826" i="16"/>
  <c r="AC826" i="16" s="1"/>
  <c r="V826" i="16"/>
  <c r="AB826" i="16" s="1"/>
  <c r="X825" i="16"/>
  <c r="AD825" i="16" s="1"/>
  <c r="W825" i="16"/>
  <c r="AC825" i="16" s="1"/>
  <c r="V825" i="16"/>
  <c r="AB825" i="16" s="1"/>
  <c r="X824" i="16"/>
  <c r="AD824" i="16" s="1"/>
  <c r="W824" i="16"/>
  <c r="AC824" i="16" s="1"/>
  <c r="V824" i="16"/>
  <c r="AB824" i="16" s="1"/>
  <c r="X823" i="16"/>
  <c r="AD823" i="16" s="1"/>
  <c r="W823" i="16"/>
  <c r="AC823" i="16" s="1"/>
  <c r="V823" i="16"/>
  <c r="AB823" i="16" s="1"/>
  <c r="X822" i="16"/>
  <c r="AD822" i="16" s="1"/>
  <c r="W822" i="16"/>
  <c r="AC822" i="16" s="1"/>
  <c r="V822" i="16"/>
  <c r="AB822" i="16" s="1"/>
  <c r="X821" i="16"/>
  <c r="AD821" i="16" s="1"/>
  <c r="W821" i="16"/>
  <c r="AC821" i="16" s="1"/>
  <c r="V821" i="16"/>
  <c r="AB821" i="16" s="1"/>
  <c r="X820" i="16"/>
  <c r="AD820" i="16" s="1"/>
  <c r="W820" i="16"/>
  <c r="AC820" i="16" s="1"/>
  <c r="V820" i="16"/>
  <c r="AB820" i="16" s="1"/>
  <c r="X819" i="16"/>
  <c r="AD819" i="16" s="1"/>
  <c r="W819" i="16"/>
  <c r="AC819" i="16" s="1"/>
  <c r="V819" i="16"/>
  <c r="AB819" i="16" s="1"/>
  <c r="X818" i="16"/>
  <c r="AD818" i="16" s="1"/>
  <c r="W818" i="16"/>
  <c r="AC818" i="16" s="1"/>
  <c r="V818" i="16"/>
  <c r="AB818" i="16" s="1"/>
  <c r="X817" i="16"/>
  <c r="AD817" i="16" s="1"/>
  <c r="W817" i="16"/>
  <c r="AC817" i="16" s="1"/>
  <c r="V817" i="16"/>
  <c r="AB817" i="16" s="1"/>
  <c r="X816" i="16"/>
  <c r="AD816" i="16" s="1"/>
  <c r="W816" i="16"/>
  <c r="AC816" i="16" s="1"/>
  <c r="V816" i="16"/>
  <c r="AB816" i="16" s="1"/>
  <c r="X815" i="16"/>
  <c r="AD815" i="16" s="1"/>
  <c r="W815" i="16"/>
  <c r="AC815" i="16" s="1"/>
  <c r="V815" i="16"/>
  <c r="AB815" i="16" s="1"/>
  <c r="X814" i="16"/>
  <c r="AD814" i="16" s="1"/>
  <c r="W814" i="16"/>
  <c r="AC814" i="16" s="1"/>
  <c r="V814" i="16"/>
  <c r="AB814" i="16" s="1"/>
  <c r="X813" i="16"/>
  <c r="AD813" i="16" s="1"/>
  <c r="W813" i="16"/>
  <c r="AC813" i="16" s="1"/>
  <c r="V813" i="16"/>
  <c r="AB813" i="16" s="1"/>
  <c r="X812" i="16"/>
  <c r="AD812" i="16" s="1"/>
  <c r="W812" i="16"/>
  <c r="AC812" i="16" s="1"/>
  <c r="V812" i="16"/>
  <c r="AB812" i="16" s="1"/>
  <c r="X811" i="16"/>
  <c r="AD811" i="16" s="1"/>
  <c r="W811" i="16"/>
  <c r="AC811" i="16" s="1"/>
  <c r="V811" i="16"/>
  <c r="AB811" i="16" s="1"/>
  <c r="X810" i="16"/>
  <c r="AD810" i="16" s="1"/>
  <c r="W810" i="16"/>
  <c r="AC810" i="16" s="1"/>
  <c r="V810" i="16"/>
  <c r="AB810" i="16" s="1"/>
  <c r="X809" i="16"/>
  <c r="AD809" i="16" s="1"/>
  <c r="W809" i="16"/>
  <c r="AC809" i="16" s="1"/>
  <c r="V809" i="16"/>
  <c r="AB809" i="16" s="1"/>
  <c r="X808" i="16"/>
  <c r="AD808" i="16" s="1"/>
  <c r="W808" i="16"/>
  <c r="AC808" i="16" s="1"/>
  <c r="V808" i="16"/>
  <c r="AB808" i="16" s="1"/>
  <c r="X807" i="16"/>
  <c r="AD807" i="16" s="1"/>
  <c r="W807" i="16"/>
  <c r="AC807" i="16" s="1"/>
  <c r="V807" i="16"/>
  <c r="AB807" i="16" s="1"/>
  <c r="X806" i="16"/>
  <c r="AD806" i="16" s="1"/>
  <c r="W806" i="16"/>
  <c r="AC806" i="16" s="1"/>
  <c r="V806" i="16"/>
  <c r="AB806" i="16" s="1"/>
  <c r="X805" i="16"/>
  <c r="AD805" i="16" s="1"/>
  <c r="W805" i="16"/>
  <c r="AC805" i="16" s="1"/>
  <c r="V805" i="16"/>
  <c r="AB805" i="16" s="1"/>
  <c r="X804" i="16"/>
  <c r="AD804" i="16" s="1"/>
  <c r="W804" i="16"/>
  <c r="AC804" i="16" s="1"/>
  <c r="V804" i="16"/>
  <c r="AB804" i="16" s="1"/>
  <c r="X803" i="16"/>
  <c r="AD803" i="16" s="1"/>
  <c r="W803" i="16"/>
  <c r="AC803" i="16" s="1"/>
  <c r="V803" i="16"/>
  <c r="AB803" i="16" s="1"/>
  <c r="X802" i="16"/>
  <c r="AD802" i="16" s="1"/>
  <c r="W802" i="16"/>
  <c r="AC802" i="16" s="1"/>
  <c r="V802" i="16"/>
  <c r="AB802" i="16" s="1"/>
  <c r="X801" i="16"/>
  <c r="AD801" i="16" s="1"/>
  <c r="W801" i="16"/>
  <c r="AC801" i="16" s="1"/>
  <c r="V801" i="16"/>
  <c r="AB801" i="16" s="1"/>
  <c r="X800" i="16"/>
  <c r="AD800" i="16" s="1"/>
  <c r="W800" i="16"/>
  <c r="AC800" i="16" s="1"/>
  <c r="V800" i="16"/>
  <c r="AB800" i="16" s="1"/>
  <c r="X799" i="16"/>
  <c r="AD799" i="16" s="1"/>
  <c r="W799" i="16"/>
  <c r="AC799" i="16" s="1"/>
  <c r="V799" i="16"/>
  <c r="AB799" i="16" s="1"/>
  <c r="X798" i="16"/>
  <c r="AD798" i="16" s="1"/>
  <c r="W798" i="16"/>
  <c r="AC798" i="16" s="1"/>
  <c r="V798" i="16"/>
  <c r="AB798" i="16" s="1"/>
  <c r="X797" i="16"/>
  <c r="AD797" i="16" s="1"/>
  <c r="W797" i="16"/>
  <c r="AC797" i="16" s="1"/>
  <c r="V797" i="16"/>
  <c r="AB797" i="16" s="1"/>
  <c r="X796" i="16"/>
  <c r="AD796" i="16" s="1"/>
  <c r="W796" i="16"/>
  <c r="AC796" i="16" s="1"/>
  <c r="V796" i="16"/>
  <c r="AB796" i="16" s="1"/>
  <c r="X795" i="16"/>
  <c r="AD795" i="16" s="1"/>
  <c r="W795" i="16"/>
  <c r="AC795" i="16" s="1"/>
  <c r="V795" i="16"/>
  <c r="AB795" i="16" s="1"/>
  <c r="X794" i="16"/>
  <c r="AD794" i="16" s="1"/>
  <c r="W794" i="16"/>
  <c r="AC794" i="16" s="1"/>
  <c r="V794" i="16"/>
  <c r="AB794" i="16" s="1"/>
  <c r="X793" i="16"/>
  <c r="AD793" i="16" s="1"/>
  <c r="W793" i="16"/>
  <c r="AC793" i="16" s="1"/>
  <c r="V793" i="16"/>
  <c r="AB793" i="16" s="1"/>
  <c r="X792" i="16"/>
  <c r="AD792" i="16" s="1"/>
  <c r="W792" i="16"/>
  <c r="AC792" i="16" s="1"/>
  <c r="V792" i="16"/>
  <c r="AB792" i="16" s="1"/>
  <c r="X791" i="16"/>
  <c r="AD791" i="16" s="1"/>
  <c r="W791" i="16"/>
  <c r="AC791" i="16" s="1"/>
  <c r="V791" i="16"/>
  <c r="AB791" i="16" s="1"/>
  <c r="X790" i="16"/>
  <c r="AD790" i="16" s="1"/>
  <c r="W790" i="16"/>
  <c r="AC790" i="16" s="1"/>
  <c r="V790" i="16"/>
  <c r="AB790" i="16" s="1"/>
  <c r="X789" i="16"/>
  <c r="AD789" i="16" s="1"/>
  <c r="W789" i="16"/>
  <c r="AC789" i="16" s="1"/>
  <c r="V789" i="16"/>
  <c r="AB789" i="16" s="1"/>
  <c r="X788" i="16"/>
  <c r="AD788" i="16" s="1"/>
  <c r="W788" i="16"/>
  <c r="AC788" i="16" s="1"/>
  <c r="V788" i="16"/>
  <c r="AB788" i="16" s="1"/>
  <c r="X787" i="16"/>
  <c r="AD787" i="16" s="1"/>
  <c r="W787" i="16"/>
  <c r="AC787" i="16" s="1"/>
  <c r="V787" i="16"/>
  <c r="AB787" i="16" s="1"/>
  <c r="X786" i="16"/>
  <c r="AD786" i="16" s="1"/>
  <c r="W786" i="16"/>
  <c r="AC786" i="16" s="1"/>
  <c r="V786" i="16"/>
  <c r="AB786" i="16" s="1"/>
  <c r="X785" i="16"/>
  <c r="AD785" i="16" s="1"/>
  <c r="W785" i="16"/>
  <c r="AC785" i="16" s="1"/>
  <c r="V785" i="16"/>
  <c r="AB785" i="16" s="1"/>
  <c r="X784" i="16"/>
  <c r="AD784" i="16" s="1"/>
  <c r="W784" i="16"/>
  <c r="AC784" i="16" s="1"/>
  <c r="V784" i="16"/>
  <c r="AB784" i="16" s="1"/>
  <c r="X783" i="16"/>
  <c r="AD783" i="16" s="1"/>
  <c r="W783" i="16"/>
  <c r="AC783" i="16" s="1"/>
  <c r="V783" i="16"/>
  <c r="AB783" i="16" s="1"/>
  <c r="X782" i="16"/>
  <c r="AD782" i="16" s="1"/>
  <c r="W782" i="16"/>
  <c r="AC782" i="16" s="1"/>
  <c r="V782" i="16"/>
  <c r="AB782" i="16" s="1"/>
  <c r="X781" i="16"/>
  <c r="AD781" i="16" s="1"/>
  <c r="W781" i="16"/>
  <c r="AC781" i="16" s="1"/>
  <c r="V781" i="16"/>
  <c r="AB781" i="16" s="1"/>
  <c r="X780" i="16"/>
  <c r="AD780" i="16" s="1"/>
  <c r="W780" i="16"/>
  <c r="AC780" i="16" s="1"/>
  <c r="V780" i="16"/>
  <c r="AB780" i="16" s="1"/>
  <c r="X779" i="16"/>
  <c r="AD779" i="16" s="1"/>
  <c r="W779" i="16"/>
  <c r="AC779" i="16" s="1"/>
  <c r="V779" i="16"/>
  <c r="AB779" i="16" s="1"/>
  <c r="X778" i="16"/>
  <c r="AD778" i="16" s="1"/>
  <c r="W778" i="16"/>
  <c r="AC778" i="16" s="1"/>
  <c r="V778" i="16"/>
  <c r="AB778" i="16" s="1"/>
  <c r="X777" i="16"/>
  <c r="AD777" i="16" s="1"/>
  <c r="W777" i="16"/>
  <c r="AC777" i="16" s="1"/>
  <c r="V777" i="16"/>
  <c r="AB777" i="16" s="1"/>
  <c r="X776" i="16"/>
  <c r="AD776" i="16" s="1"/>
  <c r="W776" i="16"/>
  <c r="AC776" i="16" s="1"/>
  <c r="V776" i="16"/>
  <c r="AB776" i="16" s="1"/>
  <c r="X775" i="16"/>
  <c r="AD775" i="16" s="1"/>
  <c r="W775" i="16"/>
  <c r="AC775" i="16" s="1"/>
  <c r="V775" i="16"/>
  <c r="AB775" i="16" s="1"/>
  <c r="X774" i="16"/>
  <c r="AD774" i="16" s="1"/>
  <c r="W774" i="16"/>
  <c r="AC774" i="16" s="1"/>
  <c r="V774" i="16"/>
  <c r="AB774" i="16" s="1"/>
  <c r="X773" i="16"/>
  <c r="AD773" i="16" s="1"/>
  <c r="W773" i="16"/>
  <c r="AC773" i="16" s="1"/>
  <c r="V773" i="16"/>
  <c r="AB773" i="16" s="1"/>
  <c r="X772" i="16"/>
  <c r="AD772" i="16" s="1"/>
  <c r="W772" i="16"/>
  <c r="AC772" i="16" s="1"/>
  <c r="V772" i="16"/>
  <c r="AB772" i="16" s="1"/>
  <c r="X771" i="16"/>
  <c r="AD771" i="16" s="1"/>
  <c r="W771" i="16"/>
  <c r="AC771" i="16" s="1"/>
  <c r="V771" i="16"/>
  <c r="AB771" i="16" s="1"/>
  <c r="X770" i="16"/>
  <c r="AD770" i="16" s="1"/>
  <c r="W770" i="16"/>
  <c r="AC770" i="16" s="1"/>
  <c r="V770" i="16"/>
  <c r="AB770" i="16" s="1"/>
  <c r="X769" i="16"/>
  <c r="AD769" i="16" s="1"/>
  <c r="W769" i="16"/>
  <c r="AC769" i="16" s="1"/>
  <c r="V769" i="16"/>
  <c r="AB769" i="16" s="1"/>
  <c r="X768" i="16"/>
  <c r="AD768" i="16" s="1"/>
  <c r="W768" i="16"/>
  <c r="AC768" i="16" s="1"/>
  <c r="V768" i="16"/>
  <c r="AB768" i="16" s="1"/>
  <c r="X767" i="16"/>
  <c r="AD767" i="16" s="1"/>
  <c r="W767" i="16"/>
  <c r="AC767" i="16" s="1"/>
  <c r="V767" i="16"/>
  <c r="AB767" i="16" s="1"/>
  <c r="X766" i="16"/>
  <c r="AD766" i="16" s="1"/>
  <c r="W766" i="16"/>
  <c r="AC766" i="16" s="1"/>
  <c r="V766" i="16"/>
  <c r="AB766" i="16" s="1"/>
  <c r="X765" i="16"/>
  <c r="AD765" i="16" s="1"/>
  <c r="W765" i="16"/>
  <c r="AC765" i="16" s="1"/>
  <c r="V765" i="16"/>
  <c r="AB765" i="16" s="1"/>
  <c r="X764" i="16"/>
  <c r="AD764" i="16" s="1"/>
  <c r="W764" i="16"/>
  <c r="AC764" i="16" s="1"/>
  <c r="V764" i="16"/>
  <c r="AB764" i="16" s="1"/>
  <c r="X763" i="16"/>
  <c r="AD763" i="16" s="1"/>
  <c r="W763" i="16"/>
  <c r="AC763" i="16" s="1"/>
  <c r="V763" i="16"/>
  <c r="AB763" i="16" s="1"/>
  <c r="X762" i="16"/>
  <c r="AD762" i="16" s="1"/>
  <c r="W762" i="16"/>
  <c r="AC762" i="16" s="1"/>
  <c r="V762" i="16"/>
  <c r="AB762" i="16" s="1"/>
  <c r="X761" i="16"/>
  <c r="AD761" i="16" s="1"/>
  <c r="W761" i="16"/>
  <c r="AC761" i="16" s="1"/>
  <c r="V761" i="16"/>
  <c r="AB761" i="16" s="1"/>
  <c r="X760" i="16"/>
  <c r="AD760" i="16" s="1"/>
  <c r="W760" i="16"/>
  <c r="AC760" i="16" s="1"/>
  <c r="V760" i="16"/>
  <c r="AB760" i="16" s="1"/>
  <c r="X759" i="16"/>
  <c r="AD759" i="16" s="1"/>
  <c r="W759" i="16"/>
  <c r="AC759" i="16" s="1"/>
  <c r="V759" i="16"/>
  <c r="AB759" i="16" s="1"/>
  <c r="X758" i="16"/>
  <c r="AD758" i="16" s="1"/>
  <c r="W758" i="16"/>
  <c r="AC758" i="16" s="1"/>
  <c r="V758" i="16"/>
  <c r="AB758" i="16" s="1"/>
  <c r="X757" i="16"/>
  <c r="AD757" i="16" s="1"/>
  <c r="W757" i="16"/>
  <c r="AC757" i="16" s="1"/>
  <c r="V757" i="16"/>
  <c r="AB757" i="16" s="1"/>
  <c r="X756" i="16"/>
  <c r="AD756" i="16" s="1"/>
  <c r="W756" i="16"/>
  <c r="AC756" i="16" s="1"/>
  <c r="V756" i="16"/>
  <c r="AB756" i="16" s="1"/>
  <c r="X755" i="16"/>
  <c r="AD755" i="16" s="1"/>
  <c r="W755" i="16"/>
  <c r="AC755" i="16" s="1"/>
  <c r="V755" i="16"/>
  <c r="AB755" i="16" s="1"/>
  <c r="X754" i="16"/>
  <c r="AD754" i="16" s="1"/>
  <c r="W754" i="16"/>
  <c r="AC754" i="16" s="1"/>
  <c r="V754" i="16"/>
  <c r="AB754" i="16" s="1"/>
  <c r="X753" i="16"/>
  <c r="AD753" i="16" s="1"/>
  <c r="W753" i="16"/>
  <c r="AC753" i="16" s="1"/>
  <c r="V753" i="16"/>
  <c r="AB753" i="16" s="1"/>
  <c r="X752" i="16"/>
  <c r="AD752" i="16" s="1"/>
  <c r="W752" i="16"/>
  <c r="AC752" i="16" s="1"/>
  <c r="V752" i="16"/>
  <c r="AB752" i="16" s="1"/>
  <c r="X751" i="16"/>
  <c r="AD751" i="16" s="1"/>
  <c r="W751" i="16"/>
  <c r="AC751" i="16" s="1"/>
  <c r="V751" i="16"/>
  <c r="AB751" i="16" s="1"/>
  <c r="X750" i="16"/>
  <c r="AD750" i="16" s="1"/>
  <c r="W750" i="16"/>
  <c r="AC750" i="16" s="1"/>
  <c r="V750" i="16"/>
  <c r="AB750" i="16" s="1"/>
  <c r="X749" i="16"/>
  <c r="AD749" i="16" s="1"/>
  <c r="W749" i="16"/>
  <c r="AC749" i="16" s="1"/>
  <c r="V749" i="16"/>
  <c r="AB749" i="16" s="1"/>
  <c r="X748" i="16"/>
  <c r="AD748" i="16" s="1"/>
  <c r="W748" i="16"/>
  <c r="AC748" i="16" s="1"/>
  <c r="V748" i="16"/>
  <c r="AB748" i="16" s="1"/>
  <c r="X747" i="16"/>
  <c r="AD747" i="16" s="1"/>
  <c r="W747" i="16"/>
  <c r="AC747" i="16" s="1"/>
  <c r="V747" i="16"/>
  <c r="AB747" i="16" s="1"/>
  <c r="X746" i="16"/>
  <c r="AD746" i="16" s="1"/>
  <c r="W746" i="16"/>
  <c r="AC746" i="16" s="1"/>
  <c r="V746" i="16"/>
  <c r="AB746" i="16" s="1"/>
  <c r="X745" i="16"/>
  <c r="AD745" i="16" s="1"/>
  <c r="W745" i="16"/>
  <c r="AC745" i="16" s="1"/>
  <c r="V745" i="16"/>
  <c r="AB745" i="16" s="1"/>
  <c r="X744" i="16"/>
  <c r="AD744" i="16" s="1"/>
  <c r="W744" i="16"/>
  <c r="AC744" i="16" s="1"/>
  <c r="V744" i="16"/>
  <c r="AB744" i="16" s="1"/>
  <c r="X743" i="16"/>
  <c r="AD743" i="16" s="1"/>
  <c r="W743" i="16"/>
  <c r="AC743" i="16" s="1"/>
  <c r="V743" i="16"/>
  <c r="AB743" i="16" s="1"/>
  <c r="X742" i="16"/>
  <c r="AD742" i="16" s="1"/>
  <c r="W742" i="16"/>
  <c r="AC742" i="16" s="1"/>
  <c r="V742" i="16"/>
  <c r="AB742" i="16" s="1"/>
  <c r="X741" i="16"/>
  <c r="AD741" i="16" s="1"/>
  <c r="W741" i="16"/>
  <c r="AC741" i="16" s="1"/>
  <c r="V741" i="16"/>
  <c r="AB741" i="16" s="1"/>
  <c r="X740" i="16"/>
  <c r="AD740" i="16" s="1"/>
  <c r="W740" i="16"/>
  <c r="AC740" i="16" s="1"/>
  <c r="V740" i="16"/>
  <c r="AB740" i="16" s="1"/>
  <c r="X739" i="16"/>
  <c r="AD739" i="16" s="1"/>
  <c r="W739" i="16"/>
  <c r="AC739" i="16" s="1"/>
  <c r="V739" i="16"/>
  <c r="AB739" i="16" s="1"/>
  <c r="X738" i="16"/>
  <c r="AD738" i="16" s="1"/>
  <c r="W738" i="16"/>
  <c r="AC738" i="16" s="1"/>
  <c r="V738" i="16"/>
  <c r="AB738" i="16" s="1"/>
  <c r="X737" i="16"/>
  <c r="AD737" i="16" s="1"/>
  <c r="W737" i="16"/>
  <c r="AC737" i="16" s="1"/>
  <c r="V737" i="16"/>
  <c r="AB737" i="16" s="1"/>
  <c r="X736" i="16"/>
  <c r="AD736" i="16" s="1"/>
  <c r="W736" i="16"/>
  <c r="AC736" i="16" s="1"/>
  <c r="V736" i="16"/>
  <c r="AB736" i="16" s="1"/>
  <c r="X735" i="16"/>
  <c r="AD735" i="16" s="1"/>
  <c r="W735" i="16"/>
  <c r="AC735" i="16" s="1"/>
  <c r="V735" i="16"/>
  <c r="AB735" i="16" s="1"/>
  <c r="X734" i="16"/>
  <c r="AD734" i="16" s="1"/>
  <c r="W734" i="16"/>
  <c r="AC734" i="16" s="1"/>
  <c r="V734" i="16"/>
  <c r="AB734" i="16" s="1"/>
  <c r="X733" i="16"/>
  <c r="AD733" i="16" s="1"/>
  <c r="W733" i="16"/>
  <c r="AC733" i="16" s="1"/>
  <c r="V733" i="16"/>
  <c r="AB733" i="16" s="1"/>
  <c r="X732" i="16"/>
  <c r="AD732" i="16" s="1"/>
  <c r="W732" i="16"/>
  <c r="AC732" i="16" s="1"/>
  <c r="V732" i="16"/>
  <c r="AB732" i="16" s="1"/>
  <c r="X731" i="16"/>
  <c r="AD731" i="16" s="1"/>
  <c r="W731" i="16"/>
  <c r="AC731" i="16" s="1"/>
  <c r="V731" i="16"/>
  <c r="AB731" i="16" s="1"/>
  <c r="X730" i="16"/>
  <c r="AD730" i="16" s="1"/>
  <c r="W730" i="16"/>
  <c r="AC730" i="16" s="1"/>
  <c r="V730" i="16"/>
  <c r="AB730" i="16" s="1"/>
  <c r="X729" i="16"/>
  <c r="AD729" i="16" s="1"/>
  <c r="W729" i="16"/>
  <c r="AC729" i="16" s="1"/>
  <c r="V729" i="16"/>
  <c r="AB729" i="16" s="1"/>
  <c r="X728" i="16"/>
  <c r="AD728" i="16" s="1"/>
  <c r="W728" i="16"/>
  <c r="AC728" i="16" s="1"/>
  <c r="V728" i="16"/>
  <c r="AB728" i="16" s="1"/>
  <c r="X727" i="16"/>
  <c r="AD727" i="16" s="1"/>
  <c r="W727" i="16"/>
  <c r="AC727" i="16" s="1"/>
  <c r="V727" i="16"/>
  <c r="AB727" i="16" s="1"/>
  <c r="X726" i="16"/>
  <c r="AD726" i="16" s="1"/>
  <c r="W726" i="16"/>
  <c r="AC726" i="16" s="1"/>
  <c r="V726" i="16"/>
  <c r="AB726" i="16" s="1"/>
  <c r="X725" i="16"/>
  <c r="AD725" i="16" s="1"/>
  <c r="W725" i="16"/>
  <c r="AC725" i="16" s="1"/>
  <c r="V725" i="16"/>
  <c r="AB725" i="16" s="1"/>
  <c r="X724" i="16"/>
  <c r="AD724" i="16" s="1"/>
  <c r="W724" i="16"/>
  <c r="AC724" i="16" s="1"/>
  <c r="V724" i="16"/>
  <c r="AB724" i="16" s="1"/>
  <c r="X723" i="16"/>
  <c r="AD723" i="16" s="1"/>
  <c r="W723" i="16"/>
  <c r="AC723" i="16" s="1"/>
  <c r="V723" i="16"/>
  <c r="AB723" i="16" s="1"/>
  <c r="X722" i="16"/>
  <c r="AD722" i="16" s="1"/>
  <c r="W722" i="16"/>
  <c r="AC722" i="16" s="1"/>
  <c r="V722" i="16"/>
  <c r="AB722" i="16" s="1"/>
  <c r="X721" i="16"/>
  <c r="AD721" i="16" s="1"/>
  <c r="W721" i="16"/>
  <c r="AC721" i="16" s="1"/>
  <c r="V721" i="16"/>
  <c r="AB721" i="16" s="1"/>
  <c r="X720" i="16"/>
  <c r="AD720" i="16" s="1"/>
  <c r="W720" i="16"/>
  <c r="AC720" i="16" s="1"/>
  <c r="V720" i="16"/>
  <c r="AB720" i="16" s="1"/>
  <c r="X719" i="16"/>
  <c r="AD719" i="16" s="1"/>
  <c r="W719" i="16"/>
  <c r="AC719" i="16" s="1"/>
  <c r="V719" i="16"/>
  <c r="AB719" i="16" s="1"/>
  <c r="X718" i="16"/>
  <c r="AD718" i="16" s="1"/>
  <c r="W718" i="16"/>
  <c r="AC718" i="16" s="1"/>
  <c r="V718" i="16"/>
  <c r="AB718" i="16" s="1"/>
  <c r="X717" i="16"/>
  <c r="AD717" i="16" s="1"/>
  <c r="W717" i="16"/>
  <c r="AC717" i="16" s="1"/>
  <c r="V717" i="16"/>
  <c r="AB717" i="16" s="1"/>
  <c r="X716" i="16"/>
  <c r="AD716" i="16" s="1"/>
  <c r="W716" i="16"/>
  <c r="AC716" i="16" s="1"/>
  <c r="V716" i="16"/>
  <c r="AB716" i="16" s="1"/>
  <c r="X715" i="16"/>
  <c r="AD715" i="16" s="1"/>
  <c r="W715" i="16"/>
  <c r="AC715" i="16" s="1"/>
  <c r="V715" i="16"/>
  <c r="AB715" i="16" s="1"/>
  <c r="X714" i="16"/>
  <c r="AD714" i="16" s="1"/>
  <c r="W714" i="16"/>
  <c r="AC714" i="16" s="1"/>
  <c r="V714" i="16"/>
  <c r="AB714" i="16" s="1"/>
  <c r="X713" i="16"/>
  <c r="AD713" i="16" s="1"/>
  <c r="W713" i="16"/>
  <c r="AC713" i="16" s="1"/>
  <c r="V713" i="16"/>
  <c r="AB713" i="16" s="1"/>
  <c r="X712" i="16"/>
  <c r="AD712" i="16" s="1"/>
  <c r="W712" i="16"/>
  <c r="AC712" i="16" s="1"/>
  <c r="V712" i="16"/>
  <c r="AB712" i="16" s="1"/>
  <c r="X711" i="16"/>
  <c r="AD711" i="16" s="1"/>
  <c r="W711" i="16"/>
  <c r="AC711" i="16" s="1"/>
  <c r="V711" i="16"/>
  <c r="AB711" i="16" s="1"/>
  <c r="X710" i="16"/>
  <c r="AD710" i="16" s="1"/>
  <c r="W710" i="16"/>
  <c r="AC710" i="16" s="1"/>
  <c r="V710" i="16"/>
  <c r="AB710" i="16" s="1"/>
  <c r="X709" i="16"/>
  <c r="AD709" i="16" s="1"/>
  <c r="W709" i="16"/>
  <c r="AC709" i="16" s="1"/>
  <c r="V709" i="16"/>
  <c r="AB709" i="16" s="1"/>
  <c r="X708" i="16"/>
  <c r="AD708" i="16" s="1"/>
  <c r="W708" i="16"/>
  <c r="AC708" i="16" s="1"/>
  <c r="V708" i="16"/>
  <c r="AB708" i="16" s="1"/>
  <c r="X707" i="16"/>
  <c r="AD707" i="16" s="1"/>
  <c r="W707" i="16"/>
  <c r="AC707" i="16" s="1"/>
  <c r="V707" i="16"/>
  <c r="AB707" i="16" s="1"/>
  <c r="X706" i="16"/>
  <c r="AD706" i="16" s="1"/>
  <c r="W706" i="16"/>
  <c r="AC706" i="16" s="1"/>
  <c r="V706" i="16"/>
  <c r="AB706" i="16" s="1"/>
  <c r="X705" i="16"/>
  <c r="AD705" i="16" s="1"/>
  <c r="W705" i="16"/>
  <c r="AC705" i="16" s="1"/>
  <c r="V705" i="16"/>
  <c r="AB705" i="16" s="1"/>
  <c r="X704" i="16"/>
  <c r="AD704" i="16" s="1"/>
  <c r="W704" i="16"/>
  <c r="AC704" i="16" s="1"/>
  <c r="V704" i="16"/>
  <c r="AB704" i="16" s="1"/>
  <c r="X703" i="16"/>
  <c r="AD703" i="16" s="1"/>
  <c r="W703" i="16"/>
  <c r="AC703" i="16" s="1"/>
  <c r="V703" i="16"/>
  <c r="AB703" i="16" s="1"/>
  <c r="X702" i="16"/>
  <c r="AD702" i="16" s="1"/>
  <c r="W702" i="16"/>
  <c r="AC702" i="16" s="1"/>
  <c r="V702" i="16"/>
  <c r="AB702" i="16" s="1"/>
  <c r="X701" i="16"/>
  <c r="AD701" i="16" s="1"/>
  <c r="W701" i="16"/>
  <c r="AC701" i="16" s="1"/>
  <c r="V701" i="16"/>
  <c r="AB701" i="16" s="1"/>
  <c r="X700" i="16"/>
  <c r="AD700" i="16" s="1"/>
  <c r="W700" i="16"/>
  <c r="AC700" i="16" s="1"/>
  <c r="V700" i="16"/>
  <c r="AB700" i="16" s="1"/>
  <c r="X699" i="16"/>
  <c r="AD699" i="16" s="1"/>
  <c r="W699" i="16"/>
  <c r="AC699" i="16" s="1"/>
  <c r="V699" i="16"/>
  <c r="AB699" i="16" s="1"/>
  <c r="X698" i="16"/>
  <c r="AD698" i="16" s="1"/>
  <c r="W698" i="16"/>
  <c r="AC698" i="16" s="1"/>
  <c r="V698" i="16"/>
  <c r="AB698" i="16" s="1"/>
  <c r="X697" i="16"/>
  <c r="AD697" i="16" s="1"/>
  <c r="W697" i="16"/>
  <c r="AC697" i="16" s="1"/>
  <c r="V697" i="16"/>
  <c r="AB697" i="16" s="1"/>
  <c r="X696" i="16"/>
  <c r="AD696" i="16" s="1"/>
  <c r="W696" i="16"/>
  <c r="AC696" i="16" s="1"/>
  <c r="V696" i="16"/>
  <c r="AB696" i="16" s="1"/>
  <c r="X695" i="16"/>
  <c r="AD695" i="16" s="1"/>
  <c r="W695" i="16"/>
  <c r="AC695" i="16" s="1"/>
  <c r="V695" i="16"/>
  <c r="AB695" i="16" s="1"/>
  <c r="X694" i="16"/>
  <c r="AD694" i="16" s="1"/>
  <c r="W694" i="16"/>
  <c r="AC694" i="16" s="1"/>
  <c r="V694" i="16"/>
  <c r="AB694" i="16" s="1"/>
  <c r="X693" i="16"/>
  <c r="AD693" i="16" s="1"/>
  <c r="W693" i="16"/>
  <c r="AC693" i="16" s="1"/>
  <c r="V693" i="16"/>
  <c r="AB693" i="16" s="1"/>
  <c r="X692" i="16"/>
  <c r="AD692" i="16" s="1"/>
  <c r="W692" i="16"/>
  <c r="AC692" i="16" s="1"/>
  <c r="V692" i="16"/>
  <c r="AB692" i="16" s="1"/>
  <c r="X691" i="16"/>
  <c r="AD691" i="16" s="1"/>
  <c r="W691" i="16"/>
  <c r="AC691" i="16" s="1"/>
  <c r="V691" i="16"/>
  <c r="AB691" i="16" s="1"/>
  <c r="X690" i="16"/>
  <c r="AD690" i="16" s="1"/>
  <c r="W690" i="16"/>
  <c r="AC690" i="16" s="1"/>
  <c r="V690" i="16"/>
  <c r="AB690" i="16" s="1"/>
  <c r="X689" i="16"/>
  <c r="AD689" i="16" s="1"/>
  <c r="W689" i="16"/>
  <c r="AC689" i="16" s="1"/>
  <c r="V689" i="16"/>
  <c r="AB689" i="16" s="1"/>
  <c r="X688" i="16"/>
  <c r="AD688" i="16" s="1"/>
  <c r="W688" i="16"/>
  <c r="AC688" i="16" s="1"/>
  <c r="V688" i="16"/>
  <c r="AB688" i="16" s="1"/>
  <c r="X687" i="16"/>
  <c r="AD687" i="16" s="1"/>
  <c r="W687" i="16"/>
  <c r="AC687" i="16" s="1"/>
  <c r="V687" i="16"/>
  <c r="AB687" i="16" s="1"/>
  <c r="X686" i="16"/>
  <c r="AD686" i="16" s="1"/>
  <c r="W686" i="16"/>
  <c r="AC686" i="16" s="1"/>
  <c r="V686" i="16"/>
  <c r="AB686" i="16" s="1"/>
  <c r="X685" i="16"/>
  <c r="AD685" i="16" s="1"/>
  <c r="W685" i="16"/>
  <c r="AC685" i="16" s="1"/>
  <c r="V685" i="16"/>
  <c r="AB685" i="16" s="1"/>
  <c r="X684" i="16"/>
  <c r="AD684" i="16" s="1"/>
  <c r="W684" i="16"/>
  <c r="AC684" i="16" s="1"/>
  <c r="V684" i="16"/>
  <c r="AB684" i="16" s="1"/>
  <c r="X683" i="16"/>
  <c r="AD683" i="16" s="1"/>
  <c r="W683" i="16"/>
  <c r="AC683" i="16" s="1"/>
  <c r="V683" i="16"/>
  <c r="AB683" i="16" s="1"/>
  <c r="X682" i="16"/>
  <c r="AD682" i="16" s="1"/>
  <c r="W682" i="16"/>
  <c r="AC682" i="16" s="1"/>
  <c r="V682" i="16"/>
  <c r="AB682" i="16" s="1"/>
  <c r="X681" i="16"/>
  <c r="AD681" i="16" s="1"/>
  <c r="W681" i="16"/>
  <c r="AC681" i="16" s="1"/>
  <c r="V681" i="16"/>
  <c r="AB681" i="16" s="1"/>
  <c r="X680" i="16"/>
  <c r="AD680" i="16" s="1"/>
  <c r="W680" i="16"/>
  <c r="AC680" i="16" s="1"/>
  <c r="V680" i="16"/>
  <c r="AB680" i="16" s="1"/>
  <c r="X679" i="16"/>
  <c r="AD679" i="16" s="1"/>
  <c r="W679" i="16"/>
  <c r="AC679" i="16" s="1"/>
  <c r="V679" i="16"/>
  <c r="AB679" i="16" s="1"/>
  <c r="X678" i="16"/>
  <c r="AD678" i="16" s="1"/>
  <c r="W678" i="16"/>
  <c r="AC678" i="16" s="1"/>
  <c r="V678" i="16"/>
  <c r="AB678" i="16" s="1"/>
  <c r="X677" i="16"/>
  <c r="AD677" i="16" s="1"/>
  <c r="W677" i="16"/>
  <c r="AC677" i="16" s="1"/>
  <c r="V677" i="16"/>
  <c r="AB677" i="16" s="1"/>
  <c r="X676" i="16"/>
  <c r="AD676" i="16" s="1"/>
  <c r="W676" i="16"/>
  <c r="AC676" i="16" s="1"/>
  <c r="V676" i="16"/>
  <c r="AB676" i="16" s="1"/>
  <c r="X675" i="16"/>
  <c r="AD675" i="16" s="1"/>
  <c r="W675" i="16"/>
  <c r="AC675" i="16" s="1"/>
  <c r="V675" i="16"/>
  <c r="AB675" i="16" s="1"/>
  <c r="X674" i="16"/>
  <c r="AD674" i="16" s="1"/>
  <c r="W674" i="16"/>
  <c r="AC674" i="16" s="1"/>
  <c r="V674" i="16"/>
  <c r="AB674" i="16" s="1"/>
  <c r="X673" i="16"/>
  <c r="AD673" i="16" s="1"/>
  <c r="W673" i="16"/>
  <c r="AC673" i="16" s="1"/>
  <c r="V673" i="16"/>
  <c r="AB673" i="16" s="1"/>
  <c r="X672" i="16"/>
  <c r="AD672" i="16" s="1"/>
  <c r="W672" i="16"/>
  <c r="AC672" i="16" s="1"/>
  <c r="V672" i="16"/>
  <c r="AB672" i="16" s="1"/>
  <c r="X671" i="16"/>
  <c r="AD671" i="16" s="1"/>
  <c r="W671" i="16"/>
  <c r="AC671" i="16" s="1"/>
  <c r="V671" i="16"/>
  <c r="AB671" i="16" s="1"/>
  <c r="X670" i="16"/>
  <c r="AD670" i="16" s="1"/>
  <c r="W670" i="16"/>
  <c r="AC670" i="16" s="1"/>
  <c r="V670" i="16"/>
  <c r="AB670" i="16" s="1"/>
  <c r="X669" i="16"/>
  <c r="AD669" i="16" s="1"/>
  <c r="W669" i="16"/>
  <c r="AC669" i="16" s="1"/>
  <c r="V669" i="16"/>
  <c r="AB669" i="16" s="1"/>
  <c r="X668" i="16"/>
  <c r="AD668" i="16" s="1"/>
  <c r="W668" i="16"/>
  <c r="AC668" i="16" s="1"/>
  <c r="V668" i="16"/>
  <c r="AB668" i="16" s="1"/>
  <c r="X667" i="16"/>
  <c r="AD667" i="16" s="1"/>
  <c r="W667" i="16"/>
  <c r="AC667" i="16" s="1"/>
  <c r="V667" i="16"/>
  <c r="AB667" i="16" s="1"/>
  <c r="X666" i="16"/>
  <c r="AD666" i="16" s="1"/>
  <c r="W666" i="16"/>
  <c r="AC666" i="16" s="1"/>
  <c r="V666" i="16"/>
  <c r="AB666" i="16" s="1"/>
  <c r="X665" i="16"/>
  <c r="AD665" i="16" s="1"/>
  <c r="W665" i="16"/>
  <c r="AC665" i="16" s="1"/>
  <c r="V665" i="16"/>
  <c r="AB665" i="16" s="1"/>
  <c r="X664" i="16"/>
  <c r="AD664" i="16" s="1"/>
  <c r="W664" i="16"/>
  <c r="AC664" i="16" s="1"/>
  <c r="V664" i="16"/>
  <c r="AB664" i="16" s="1"/>
  <c r="X663" i="16"/>
  <c r="AD663" i="16" s="1"/>
  <c r="W663" i="16"/>
  <c r="AC663" i="16" s="1"/>
  <c r="V663" i="16"/>
  <c r="AB663" i="16" s="1"/>
  <c r="X662" i="16"/>
  <c r="AD662" i="16" s="1"/>
  <c r="W662" i="16"/>
  <c r="AC662" i="16" s="1"/>
  <c r="V662" i="16"/>
  <c r="AB662" i="16" s="1"/>
  <c r="X661" i="16"/>
  <c r="AD661" i="16" s="1"/>
  <c r="W661" i="16"/>
  <c r="AC661" i="16" s="1"/>
  <c r="V661" i="16"/>
  <c r="AB661" i="16" s="1"/>
  <c r="X660" i="16"/>
  <c r="AD660" i="16" s="1"/>
  <c r="W660" i="16"/>
  <c r="AC660" i="16" s="1"/>
  <c r="V660" i="16"/>
  <c r="AB660" i="16" s="1"/>
  <c r="X659" i="16"/>
  <c r="AD659" i="16" s="1"/>
  <c r="W659" i="16"/>
  <c r="AC659" i="16" s="1"/>
  <c r="V659" i="16"/>
  <c r="AB659" i="16" s="1"/>
  <c r="X658" i="16"/>
  <c r="AD658" i="16" s="1"/>
  <c r="W658" i="16"/>
  <c r="AC658" i="16" s="1"/>
  <c r="V658" i="16"/>
  <c r="AB658" i="16" s="1"/>
  <c r="X657" i="16"/>
  <c r="AD657" i="16" s="1"/>
  <c r="W657" i="16"/>
  <c r="AC657" i="16" s="1"/>
  <c r="V657" i="16"/>
  <c r="AB657" i="16" s="1"/>
  <c r="X656" i="16"/>
  <c r="AD656" i="16" s="1"/>
  <c r="W656" i="16"/>
  <c r="AC656" i="16" s="1"/>
  <c r="V656" i="16"/>
  <c r="AB656" i="16" s="1"/>
  <c r="X655" i="16"/>
  <c r="AD655" i="16" s="1"/>
  <c r="W655" i="16"/>
  <c r="AC655" i="16" s="1"/>
  <c r="V655" i="16"/>
  <c r="AB655" i="16" s="1"/>
  <c r="X654" i="16"/>
  <c r="AD654" i="16" s="1"/>
  <c r="W654" i="16"/>
  <c r="AC654" i="16" s="1"/>
  <c r="V654" i="16"/>
  <c r="AB654" i="16" s="1"/>
  <c r="X653" i="16"/>
  <c r="AD653" i="16" s="1"/>
  <c r="W653" i="16"/>
  <c r="AC653" i="16" s="1"/>
  <c r="V653" i="16"/>
  <c r="AB653" i="16" s="1"/>
  <c r="X652" i="16"/>
  <c r="AD652" i="16" s="1"/>
  <c r="W652" i="16"/>
  <c r="AC652" i="16" s="1"/>
  <c r="V652" i="16"/>
  <c r="AB652" i="16" s="1"/>
  <c r="X651" i="16"/>
  <c r="AD651" i="16" s="1"/>
  <c r="W651" i="16"/>
  <c r="AC651" i="16" s="1"/>
  <c r="V651" i="16"/>
  <c r="AB651" i="16" s="1"/>
  <c r="X650" i="16"/>
  <c r="AD650" i="16" s="1"/>
  <c r="W650" i="16"/>
  <c r="AC650" i="16" s="1"/>
  <c r="V650" i="16"/>
  <c r="AB650" i="16" s="1"/>
  <c r="X649" i="16"/>
  <c r="AD649" i="16" s="1"/>
  <c r="W649" i="16"/>
  <c r="AC649" i="16" s="1"/>
  <c r="V649" i="16"/>
  <c r="AB649" i="16" s="1"/>
  <c r="X648" i="16"/>
  <c r="AD648" i="16" s="1"/>
  <c r="W648" i="16"/>
  <c r="AC648" i="16" s="1"/>
  <c r="V648" i="16"/>
  <c r="AB648" i="16" s="1"/>
  <c r="X647" i="16"/>
  <c r="AD647" i="16" s="1"/>
  <c r="W647" i="16"/>
  <c r="AC647" i="16" s="1"/>
  <c r="V647" i="16"/>
  <c r="AB647" i="16" s="1"/>
  <c r="X646" i="16"/>
  <c r="AD646" i="16" s="1"/>
  <c r="W646" i="16"/>
  <c r="AC646" i="16" s="1"/>
  <c r="V646" i="16"/>
  <c r="AB646" i="16" s="1"/>
  <c r="X645" i="16"/>
  <c r="AD645" i="16" s="1"/>
  <c r="W645" i="16"/>
  <c r="AC645" i="16" s="1"/>
  <c r="V645" i="16"/>
  <c r="AB645" i="16" s="1"/>
  <c r="X644" i="16"/>
  <c r="AD644" i="16" s="1"/>
  <c r="W644" i="16"/>
  <c r="AC644" i="16" s="1"/>
  <c r="V644" i="16"/>
  <c r="AB644" i="16" s="1"/>
  <c r="X643" i="16"/>
  <c r="AD643" i="16" s="1"/>
  <c r="W643" i="16"/>
  <c r="AC643" i="16" s="1"/>
  <c r="V643" i="16"/>
  <c r="AB643" i="16" s="1"/>
  <c r="X642" i="16"/>
  <c r="AD642" i="16" s="1"/>
  <c r="W642" i="16"/>
  <c r="AC642" i="16" s="1"/>
  <c r="V642" i="16"/>
  <c r="AB642" i="16" s="1"/>
  <c r="X641" i="16"/>
  <c r="AD641" i="16" s="1"/>
  <c r="W641" i="16"/>
  <c r="AC641" i="16" s="1"/>
  <c r="V641" i="16"/>
  <c r="AB641" i="16" s="1"/>
  <c r="X640" i="16"/>
  <c r="AD640" i="16" s="1"/>
  <c r="W640" i="16"/>
  <c r="AC640" i="16" s="1"/>
  <c r="V640" i="16"/>
  <c r="AB640" i="16" s="1"/>
  <c r="X639" i="16"/>
  <c r="AD639" i="16" s="1"/>
  <c r="W639" i="16"/>
  <c r="AC639" i="16" s="1"/>
  <c r="V639" i="16"/>
  <c r="AB639" i="16" s="1"/>
  <c r="X638" i="16"/>
  <c r="AD638" i="16" s="1"/>
  <c r="W638" i="16"/>
  <c r="AC638" i="16" s="1"/>
  <c r="V638" i="16"/>
  <c r="AB638" i="16" s="1"/>
  <c r="X637" i="16"/>
  <c r="AD637" i="16" s="1"/>
  <c r="W637" i="16"/>
  <c r="AC637" i="16" s="1"/>
  <c r="V637" i="16"/>
  <c r="AB637" i="16" s="1"/>
  <c r="X636" i="16"/>
  <c r="AD636" i="16" s="1"/>
  <c r="W636" i="16"/>
  <c r="AC636" i="16" s="1"/>
  <c r="V636" i="16"/>
  <c r="AB636" i="16" s="1"/>
  <c r="X635" i="16"/>
  <c r="AD635" i="16" s="1"/>
  <c r="W635" i="16"/>
  <c r="AC635" i="16" s="1"/>
  <c r="V635" i="16"/>
  <c r="AB635" i="16" s="1"/>
  <c r="X634" i="16"/>
  <c r="AD634" i="16" s="1"/>
  <c r="W634" i="16"/>
  <c r="AC634" i="16" s="1"/>
  <c r="V634" i="16"/>
  <c r="AB634" i="16" s="1"/>
  <c r="X633" i="16"/>
  <c r="AD633" i="16" s="1"/>
  <c r="W633" i="16"/>
  <c r="AC633" i="16" s="1"/>
  <c r="V633" i="16"/>
  <c r="AB633" i="16" s="1"/>
  <c r="X632" i="16"/>
  <c r="AD632" i="16" s="1"/>
  <c r="W632" i="16"/>
  <c r="AC632" i="16" s="1"/>
  <c r="V632" i="16"/>
  <c r="AB632" i="16" s="1"/>
  <c r="X631" i="16"/>
  <c r="AD631" i="16" s="1"/>
  <c r="W631" i="16"/>
  <c r="AC631" i="16" s="1"/>
  <c r="V631" i="16"/>
  <c r="AB631" i="16" s="1"/>
  <c r="X630" i="16"/>
  <c r="AD630" i="16" s="1"/>
  <c r="W630" i="16"/>
  <c r="AC630" i="16" s="1"/>
  <c r="V630" i="16"/>
  <c r="AB630" i="16" s="1"/>
  <c r="X629" i="16"/>
  <c r="AD629" i="16" s="1"/>
  <c r="W629" i="16"/>
  <c r="AC629" i="16" s="1"/>
  <c r="V629" i="16"/>
  <c r="AB629" i="16" s="1"/>
  <c r="X628" i="16"/>
  <c r="AD628" i="16" s="1"/>
  <c r="W628" i="16"/>
  <c r="AC628" i="16" s="1"/>
  <c r="V628" i="16"/>
  <c r="AB628" i="16" s="1"/>
  <c r="X627" i="16"/>
  <c r="AD627" i="16" s="1"/>
  <c r="W627" i="16"/>
  <c r="AC627" i="16" s="1"/>
  <c r="V627" i="16"/>
  <c r="AB627" i="16" s="1"/>
  <c r="X626" i="16"/>
  <c r="AD626" i="16" s="1"/>
  <c r="W626" i="16"/>
  <c r="AC626" i="16" s="1"/>
  <c r="V626" i="16"/>
  <c r="AB626" i="16" s="1"/>
  <c r="X625" i="16"/>
  <c r="AD625" i="16" s="1"/>
  <c r="W625" i="16"/>
  <c r="AC625" i="16" s="1"/>
  <c r="V625" i="16"/>
  <c r="AB625" i="16" s="1"/>
  <c r="X624" i="16"/>
  <c r="AD624" i="16" s="1"/>
  <c r="W624" i="16"/>
  <c r="AC624" i="16" s="1"/>
  <c r="V624" i="16"/>
  <c r="AB624" i="16" s="1"/>
  <c r="X623" i="16"/>
  <c r="AD623" i="16" s="1"/>
  <c r="W623" i="16"/>
  <c r="AC623" i="16" s="1"/>
  <c r="V623" i="16"/>
  <c r="AB623" i="16" s="1"/>
  <c r="X622" i="16"/>
  <c r="AD622" i="16" s="1"/>
  <c r="W622" i="16"/>
  <c r="AC622" i="16" s="1"/>
  <c r="V622" i="16"/>
  <c r="AB622" i="16" s="1"/>
  <c r="X621" i="16"/>
  <c r="AD621" i="16" s="1"/>
  <c r="W621" i="16"/>
  <c r="AC621" i="16" s="1"/>
  <c r="V621" i="16"/>
  <c r="AB621" i="16" s="1"/>
  <c r="X620" i="16"/>
  <c r="AD620" i="16" s="1"/>
  <c r="W620" i="16"/>
  <c r="AC620" i="16" s="1"/>
  <c r="V620" i="16"/>
  <c r="AB620" i="16" s="1"/>
  <c r="X619" i="16"/>
  <c r="AD619" i="16" s="1"/>
  <c r="W619" i="16"/>
  <c r="AC619" i="16" s="1"/>
  <c r="V619" i="16"/>
  <c r="AB619" i="16" s="1"/>
  <c r="X618" i="16"/>
  <c r="AD618" i="16" s="1"/>
  <c r="W618" i="16"/>
  <c r="AC618" i="16" s="1"/>
  <c r="V618" i="16"/>
  <c r="AB618" i="16" s="1"/>
  <c r="X617" i="16"/>
  <c r="AD617" i="16" s="1"/>
  <c r="W617" i="16"/>
  <c r="AC617" i="16" s="1"/>
  <c r="V617" i="16"/>
  <c r="AB617" i="16" s="1"/>
  <c r="X616" i="16"/>
  <c r="AD616" i="16" s="1"/>
  <c r="W616" i="16"/>
  <c r="AC616" i="16" s="1"/>
  <c r="V616" i="16"/>
  <c r="AB616" i="16" s="1"/>
  <c r="X615" i="16"/>
  <c r="AD615" i="16" s="1"/>
  <c r="W615" i="16"/>
  <c r="AC615" i="16" s="1"/>
  <c r="V615" i="16"/>
  <c r="AB615" i="16" s="1"/>
  <c r="X614" i="16"/>
  <c r="AD614" i="16" s="1"/>
  <c r="W614" i="16"/>
  <c r="AC614" i="16" s="1"/>
  <c r="V614" i="16"/>
  <c r="AB614" i="16" s="1"/>
  <c r="X613" i="16"/>
  <c r="AD613" i="16" s="1"/>
  <c r="W613" i="16"/>
  <c r="AC613" i="16" s="1"/>
  <c r="V613" i="16"/>
  <c r="AB613" i="16" s="1"/>
  <c r="X612" i="16"/>
  <c r="AD612" i="16" s="1"/>
  <c r="W612" i="16"/>
  <c r="AC612" i="16" s="1"/>
  <c r="V612" i="16"/>
  <c r="AB612" i="16" s="1"/>
  <c r="X611" i="16"/>
  <c r="AD611" i="16" s="1"/>
  <c r="W611" i="16"/>
  <c r="AC611" i="16" s="1"/>
  <c r="V611" i="16"/>
  <c r="AB611" i="16" s="1"/>
  <c r="X610" i="16"/>
  <c r="AD610" i="16" s="1"/>
  <c r="W610" i="16"/>
  <c r="AC610" i="16" s="1"/>
  <c r="V610" i="16"/>
  <c r="AB610" i="16" s="1"/>
  <c r="X609" i="16"/>
  <c r="AD609" i="16" s="1"/>
  <c r="W609" i="16"/>
  <c r="AC609" i="16" s="1"/>
  <c r="V609" i="16"/>
  <c r="AB609" i="16" s="1"/>
  <c r="X608" i="16"/>
  <c r="AD608" i="16" s="1"/>
  <c r="W608" i="16"/>
  <c r="AC608" i="16" s="1"/>
  <c r="V608" i="16"/>
  <c r="AB608" i="16" s="1"/>
  <c r="X607" i="16"/>
  <c r="AD607" i="16" s="1"/>
  <c r="W607" i="16"/>
  <c r="AC607" i="16" s="1"/>
  <c r="V607" i="16"/>
  <c r="AB607" i="16" s="1"/>
  <c r="X606" i="16"/>
  <c r="AD606" i="16" s="1"/>
  <c r="W606" i="16"/>
  <c r="AC606" i="16" s="1"/>
  <c r="V606" i="16"/>
  <c r="AB606" i="16" s="1"/>
  <c r="X605" i="16"/>
  <c r="AD605" i="16" s="1"/>
  <c r="W605" i="16"/>
  <c r="AC605" i="16" s="1"/>
  <c r="V605" i="16"/>
  <c r="AB605" i="16" s="1"/>
  <c r="X604" i="16"/>
  <c r="AD604" i="16" s="1"/>
  <c r="W604" i="16"/>
  <c r="AC604" i="16" s="1"/>
  <c r="V604" i="16"/>
  <c r="AB604" i="16" s="1"/>
  <c r="X603" i="16"/>
  <c r="AD603" i="16" s="1"/>
  <c r="W603" i="16"/>
  <c r="AC603" i="16" s="1"/>
  <c r="V603" i="16"/>
  <c r="AB603" i="16" s="1"/>
  <c r="X602" i="16"/>
  <c r="AD602" i="16" s="1"/>
  <c r="W602" i="16"/>
  <c r="AC602" i="16" s="1"/>
  <c r="V602" i="16"/>
  <c r="AB602" i="16" s="1"/>
  <c r="X601" i="16"/>
  <c r="AD601" i="16" s="1"/>
  <c r="W601" i="16"/>
  <c r="AC601" i="16" s="1"/>
  <c r="V601" i="16"/>
  <c r="AB601" i="16" s="1"/>
  <c r="X600" i="16"/>
  <c r="AD600" i="16" s="1"/>
  <c r="W600" i="16"/>
  <c r="AC600" i="16" s="1"/>
  <c r="V600" i="16"/>
  <c r="AB600" i="16" s="1"/>
  <c r="X599" i="16"/>
  <c r="AD599" i="16" s="1"/>
  <c r="W599" i="16"/>
  <c r="AC599" i="16" s="1"/>
  <c r="V599" i="16"/>
  <c r="AB599" i="16" s="1"/>
  <c r="X598" i="16"/>
  <c r="AD598" i="16" s="1"/>
  <c r="W598" i="16"/>
  <c r="AC598" i="16" s="1"/>
  <c r="V598" i="16"/>
  <c r="AB598" i="16" s="1"/>
  <c r="X597" i="16"/>
  <c r="AD597" i="16" s="1"/>
  <c r="W597" i="16"/>
  <c r="AC597" i="16" s="1"/>
  <c r="V597" i="16"/>
  <c r="AB597" i="16" s="1"/>
  <c r="X596" i="16"/>
  <c r="AD596" i="16" s="1"/>
  <c r="W596" i="16"/>
  <c r="AC596" i="16" s="1"/>
  <c r="V596" i="16"/>
  <c r="AB596" i="16" s="1"/>
  <c r="X595" i="16"/>
  <c r="AD595" i="16" s="1"/>
  <c r="W595" i="16"/>
  <c r="AC595" i="16" s="1"/>
  <c r="V595" i="16"/>
  <c r="AB595" i="16" s="1"/>
  <c r="X594" i="16"/>
  <c r="AD594" i="16" s="1"/>
  <c r="W594" i="16"/>
  <c r="AC594" i="16" s="1"/>
  <c r="V594" i="16"/>
  <c r="AB594" i="16" s="1"/>
  <c r="X593" i="16"/>
  <c r="AD593" i="16" s="1"/>
  <c r="W593" i="16"/>
  <c r="AC593" i="16" s="1"/>
  <c r="V593" i="16"/>
  <c r="AB593" i="16" s="1"/>
  <c r="X592" i="16"/>
  <c r="AD592" i="16" s="1"/>
  <c r="W592" i="16"/>
  <c r="AC592" i="16" s="1"/>
  <c r="V592" i="16"/>
  <c r="AB592" i="16" s="1"/>
  <c r="X591" i="16"/>
  <c r="AD591" i="16" s="1"/>
  <c r="W591" i="16"/>
  <c r="AC591" i="16" s="1"/>
  <c r="V591" i="16"/>
  <c r="AB591" i="16" s="1"/>
  <c r="X590" i="16"/>
  <c r="AD590" i="16" s="1"/>
  <c r="W590" i="16"/>
  <c r="AC590" i="16" s="1"/>
  <c r="V590" i="16"/>
  <c r="AB590" i="16" s="1"/>
  <c r="X589" i="16"/>
  <c r="AD589" i="16" s="1"/>
  <c r="W589" i="16"/>
  <c r="AC589" i="16" s="1"/>
  <c r="V589" i="16"/>
  <c r="AB589" i="16" s="1"/>
  <c r="X538" i="16"/>
  <c r="AD538" i="16" s="1"/>
  <c r="W538" i="16"/>
  <c r="AC538" i="16" s="1"/>
  <c r="V538" i="16"/>
  <c r="AB538" i="16" s="1"/>
  <c r="X537" i="16"/>
  <c r="AD537" i="16" s="1"/>
  <c r="W537" i="16"/>
  <c r="AC537" i="16" s="1"/>
  <c r="V537" i="16"/>
  <c r="AB537" i="16" s="1"/>
  <c r="X536" i="16"/>
  <c r="AD536" i="16" s="1"/>
  <c r="W536" i="16"/>
  <c r="AC536" i="16" s="1"/>
  <c r="V536" i="16"/>
  <c r="AB536" i="16" s="1"/>
  <c r="X535" i="16"/>
  <c r="AD535" i="16" s="1"/>
  <c r="W535" i="16"/>
  <c r="AC535" i="16" s="1"/>
  <c r="V535" i="16"/>
  <c r="AB535" i="16" s="1"/>
  <c r="X534" i="16"/>
  <c r="AD534" i="16" s="1"/>
  <c r="W534" i="16"/>
  <c r="AC534" i="16" s="1"/>
  <c r="V534" i="16"/>
  <c r="AB534" i="16" s="1"/>
  <c r="X533" i="16"/>
  <c r="AD533" i="16" s="1"/>
  <c r="W533" i="16"/>
  <c r="AC533" i="16" s="1"/>
  <c r="V533" i="16"/>
  <c r="AB533" i="16" s="1"/>
  <c r="X532" i="16"/>
  <c r="AD532" i="16" s="1"/>
  <c r="W532" i="16"/>
  <c r="AC532" i="16" s="1"/>
  <c r="V532" i="16"/>
  <c r="AB532" i="16" s="1"/>
  <c r="X531" i="16"/>
  <c r="AD531" i="16" s="1"/>
  <c r="W531" i="16"/>
  <c r="AC531" i="16" s="1"/>
  <c r="V531" i="16"/>
  <c r="AB531" i="16" s="1"/>
  <c r="X530" i="16"/>
  <c r="AD530" i="16" s="1"/>
  <c r="W530" i="16"/>
  <c r="AC530" i="16" s="1"/>
  <c r="V530" i="16"/>
  <c r="AB530" i="16" s="1"/>
  <c r="X529" i="16"/>
  <c r="AD529" i="16" s="1"/>
  <c r="W529" i="16"/>
  <c r="AC529" i="16" s="1"/>
  <c r="V529" i="16"/>
  <c r="AB529" i="16" s="1"/>
  <c r="X528" i="16"/>
  <c r="AD528" i="16" s="1"/>
  <c r="W528" i="16"/>
  <c r="AC528" i="16" s="1"/>
  <c r="V528" i="16"/>
  <c r="AB528" i="16" s="1"/>
  <c r="X527" i="16"/>
  <c r="AD527" i="16" s="1"/>
  <c r="W527" i="16"/>
  <c r="AC527" i="16" s="1"/>
  <c r="V527" i="16"/>
  <c r="AB527" i="16" s="1"/>
  <c r="X526" i="16"/>
  <c r="AD526" i="16" s="1"/>
  <c r="W526" i="16"/>
  <c r="AC526" i="16" s="1"/>
  <c r="V526" i="16"/>
  <c r="AB526" i="16" s="1"/>
  <c r="X525" i="16"/>
  <c r="AD525" i="16" s="1"/>
  <c r="W525" i="16"/>
  <c r="AC525" i="16" s="1"/>
  <c r="V525" i="16"/>
  <c r="AB525" i="16" s="1"/>
  <c r="X524" i="16"/>
  <c r="AD524" i="16" s="1"/>
  <c r="W524" i="16"/>
  <c r="AC524" i="16" s="1"/>
  <c r="V524" i="16"/>
  <c r="AB524" i="16" s="1"/>
  <c r="X523" i="16"/>
  <c r="AD523" i="16" s="1"/>
  <c r="W523" i="16"/>
  <c r="AC523" i="16" s="1"/>
  <c r="V523" i="16"/>
  <c r="AB523" i="16" s="1"/>
  <c r="X522" i="16"/>
  <c r="AD522" i="16" s="1"/>
  <c r="W522" i="16"/>
  <c r="AC522" i="16" s="1"/>
  <c r="V522" i="16"/>
  <c r="AB522" i="16" s="1"/>
  <c r="X521" i="16"/>
  <c r="AD521" i="16" s="1"/>
  <c r="W521" i="16"/>
  <c r="AC521" i="16" s="1"/>
  <c r="V521" i="16"/>
  <c r="AB521" i="16" s="1"/>
  <c r="X520" i="16"/>
  <c r="AD520" i="16" s="1"/>
  <c r="W520" i="16"/>
  <c r="AC520" i="16" s="1"/>
  <c r="V520" i="16"/>
  <c r="AB520" i="16" s="1"/>
  <c r="X519" i="16"/>
  <c r="AD519" i="16" s="1"/>
  <c r="W519" i="16"/>
  <c r="AC519" i="16" s="1"/>
  <c r="V519" i="16"/>
  <c r="AB519" i="16" s="1"/>
  <c r="X518" i="16"/>
  <c r="AD518" i="16" s="1"/>
  <c r="W518" i="16"/>
  <c r="AC518" i="16" s="1"/>
  <c r="V518" i="16"/>
  <c r="AB518" i="16" s="1"/>
  <c r="X517" i="16"/>
  <c r="AD517" i="16" s="1"/>
  <c r="W517" i="16"/>
  <c r="AC517" i="16" s="1"/>
  <c r="V517" i="16"/>
  <c r="AB517" i="16" s="1"/>
  <c r="X516" i="16"/>
  <c r="AD516" i="16" s="1"/>
  <c r="W516" i="16"/>
  <c r="AC516" i="16" s="1"/>
  <c r="V516" i="16"/>
  <c r="AB516" i="16" s="1"/>
  <c r="X515" i="16"/>
  <c r="AD515" i="16" s="1"/>
  <c r="W515" i="16"/>
  <c r="AC515" i="16" s="1"/>
  <c r="V515" i="16"/>
  <c r="AB515" i="16" s="1"/>
  <c r="X514" i="16"/>
  <c r="AD514" i="16" s="1"/>
  <c r="W514" i="16"/>
  <c r="AC514" i="16" s="1"/>
  <c r="V514" i="16"/>
  <c r="AB514" i="16" s="1"/>
  <c r="X513" i="16"/>
  <c r="AD513" i="16" s="1"/>
  <c r="W513" i="16"/>
  <c r="AC513" i="16" s="1"/>
  <c r="V513" i="16"/>
  <c r="AB513" i="16" s="1"/>
  <c r="X512" i="16"/>
  <c r="AD512" i="16" s="1"/>
  <c r="W512" i="16"/>
  <c r="AC512" i="16" s="1"/>
  <c r="V512" i="16"/>
  <c r="AB512" i="16" s="1"/>
  <c r="X511" i="16"/>
  <c r="AD511" i="16" s="1"/>
  <c r="W511" i="16"/>
  <c r="AC511" i="16" s="1"/>
  <c r="V511" i="16"/>
  <c r="AB511" i="16" s="1"/>
  <c r="X510" i="16"/>
  <c r="AD510" i="16" s="1"/>
  <c r="W510" i="16"/>
  <c r="AC510" i="16" s="1"/>
  <c r="V510" i="16"/>
  <c r="AB510" i="16" s="1"/>
  <c r="X509" i="16"/>
  <c r="AD509" i="16" s="1"/>
  <c r="W509" i="16"/>
  <c r="AC509" i="16" s="1"/>
  <c r="V509" i="16"/>
  <c r="AB509" i="16" s="1"/>
  <c r="X508" i="16"/>
  <c r="AD508" i="16" s="1"/>
  <c r="W508" i="16"/>
  <c r="AC508" i="16" s="1"/>
  <c r="V508" i="16"/>
  <c r="AB508" i="16" s="1"/>
  <c r="X507" i="16"/>
  <c r="AD507" i="16" s="1"/>
  <c r="W507" i="16"/>
  <c r="AC507" i="16" s="1"/>
  <c r="V507" i="16"/>
  <c r="AB507" i="16" s="1"/>
  <c r="X506" i="16"/>
  <c r="AD506" i="16" s="1"/>
  <c r="W506" i="16"/>
  <c r="AC506" i="16" s="1"/>
  <c r="V506" i="16"/>
  <c r="AB506" i="16" s="1"/>
  <c r="X505" i="16"/>
  <c r="AD505" i="16" s="1"/>
  <c r="W505" i="16"/>
  <c r="AC505" i="16" s="1"/>
  <c r="V505" i="16"/>
  <c r="AB505" i="16" s="1"/>
  <c r="X504" i="16"/>
  <c r="AD504" i="16" s="1"/>
  <c r="W504" i="16"/>
  <c r="AC504" i="16" s="1"/>
  <c r="V504" i="16"/>
  <c r="AB504" i="16" s="1"/>
  <c r="X503" i="16"/>
  <c r="AD503" i="16" s="1"/>
  <c r="W503" i="16"/>
  <c r="AC503" i="16" s="1"/>
  <c r="V503" i="16"/>
  <c r="AB503" i="16" s="1"/>
  <c r="X502" i="16"/>
  <c r="AD502" i="16" s="1"/>
  <c r="W502" i="16"/>
  <c r="AC502" i="16" s="1"/>
  <c r="V502" i="16"/>
  <c r="AB502" i="16" s="1"/>
  <c r="X501" i="16"/>
  <c r="AD501" i="16" s="1"/>
  <c r="W501" i="16"/>
  <c r="AC501" i="16" s="1"/>
  <c r="V501" i="16"/>
  <c r="AB501" i="16" s="1"/>
  <c r="X500" i="16"/>
  <c r="AD500" i="16" s="1"/>
  <c r="W500" i="16"/>
  <c r="AC500" i="16" s="1"/>
  <c r="V500" i="16"/>
  <c r="AB500" i="16" s="1"/>
  <c r="X499" i="16"/>
  <c r="AD499" i="16" s="1"/>
  <c r="W499" i="16"/>
  <c r="AC499" i="16" s="1"/>
  <c r="V499" i="16"/>
  <c r="AB499" i="16" s="1"/>
  <c r="X498" i="16"/>
  <c r="AD498" i="16" s="1"/>
  <c r="W498" i="16"/>
  <c r="AC498" i="16" s="1"/>
  <c r="V498" i="16"/>
  <c r="AB498" i="16" s="1"/>
  <c r="X497" i="16"/>
  <c r="AD497" i="16" s="1"/>
  <c r="W497" i="16"/>
  <c r="AC497" i="16" s="1"/>
  <c r="V497" i="16"/>
  <c r="AB497" i="16" s="1"/>
  <c r="X496" i="16"/>
  <c r="AD496" i="16" s="1"/>
  <c r="W496" i="16"/>
  <c r="AC496" i="16" s="1"/>
  <c r="V496" i="16"/>
  <c r="AB496" i="16" s="1"/>
  <c r="X495" i="16"/>
  <c r="AD495" i="16" s="1"/>
  <c r="W495" i="16"/>
  <c r="AC495" i="16" s="1"/>
  <c r="V495" i="16"/>
  <c r="AB495" i="16" s="1"/>
  <c r="X494" i="16"/>
  <c r="AD494" i="16" s="1"/>
  <c r="W494" i="16"/>
  <c r="AC494" i="16" s="1"/>
  <c r="V494" i="16"/>
  <c r="AB494" i="16" s="1"/>
  <c r="X493" i="16"/>
  <c r="AD493" i="16" s="1"/>
  <c r="W493" i="16"/>
  <c r="AC493" i="16" s="1"/>
  <c r="V493" i="16"/>
  <c r="AB493" i="16" s="1"/>
  <c r="X492" i="16"/>
  <c r="AD492" i="16" s="1"/>
  <c r="W492" i="16"/>
  <c r="AC492" i="16" s="1"/>
  <c r="V492" i="16"/>
  <c r="AB492" i="16" s="1"/>
  <c r="X491" i="16"/>
  <c r="AD491" i="16" s="1"/>
  <c r="W491" i="16"/>
  <c r="AC491" i="16" s="1"/>
  <c r="V491" i="16"/>
  <c r="AB491" i="16" s="1"/>
  <c r="X490" i="16"/>
  <c r="AD490" i="16" s="1"/>
  <c r="W490" i="16"/>
  <c r="AC490" i="16" s="1"/>
  <c r="V490" i="16"/>
  <c r="AB490" i="16" s="1"/>
  <c r="X489" i="16"/>
  <c r="AD489" i="16" s="1"/>
  <c r="W489" i="16"/>
  <c r="AC489" i="16" s="1"/>
  <c r="V489" i="16"/>
  <c r="AB489" i="16" s="1"/>
  <c r="X488" i="16"/>
  <c r="AD488" i="16" s="1"/>
  <c r="W488" i="16"/>
  <c r="AC488" i="16" s="1"/>
  <c r="V488" i="16"/>
  <c r="AB488" i="16" s="1"/>
  <c r="X487" i="16"/>
  <c r="AD487" i="16" s="1"/>
  <c r="W487" i="16"/>
  <c r="AC487" i="16" s="1"/>
  <c r="V487" i="16"/>
  <c r="AB487" i="16" s="1"/>
  <c r="X486" i="16"/>
  <c r="AD486" i="16" s="1"/>
  <c r="W486" i="16"/>
  <c r="AC486" i="16" s="1"/>
  <c r="V486" i="16"/>
  <c r="AB486" i="16" s="1"/>
  <c r="X485" i="16"/>
  <c r="AD485" i="16" s="1"/>
  <c r="W485" i="16"/>
  <c r="AC485" i="16" s="1"/>
  <c r="V485" i="16"/>
  <c r="AB485" i="16" s="1"/>
  <c r="X484" i="16"/>
  <c r="AD484" i="16" s="1"/>
  <c r="W484" i="16"/>
  <c r="AC484" i="16" s="1"/>
  <c r="V484" i="16"/>
  <c r="AB484" i="16" s="1"/>
  <c r="X483" i="16"/>
  <c r="AD483" i="16" s="1"/>
  <c r="W483" i="16"/>
  <c r="AC483" i="16" s="1"/>
  <c r="V483" i="16"/>
  <c r="AB483" i="16" s="1"/>
  <c r="X482" i="16"/>
  <c r="AD482" i="16" s="1"/>
  <c r="W482" i="16"/>
  <c r="AC482" i="16" s="1"/>
  <c r="V482" i="16"/>
  <c r="AB482" i="16" s="1"/>
  <c r="X481" i="16"/>
  <c r="AD481" i="16" s="1"/>
  <c r="W481" i="16"/>
  <c r="AC481" i="16" s="1"/>
  <c r="V481" i="16"/>
  <c r="AB481" i="16" s="1"/>
  <c r="X480" i="16"/>
  <c r="AD480" i="16" s="1"/>
  <c r="W480" i="16"/>
  <c r="AC480" i="16" s="1"/>
  <c r="V480" i="16"/>
  <c r="AB480" i="16" s="1"/>
  <c r="X479" i="16"/>
  <c r="AD479" i="16" s="1"/>
  <c r="W479" i="16"/>
  <c r="AC479" i="16" s="1"/>
  <c r="V479" i="16"/>
  <c r="AB479" i="16" s="1"/>
  <c r="X478" i="16"/>
  <c r="AD478" i="16" s="1"/>
  <c r="W478" i="16"/>
  <c r="AC478" i="16" s="1"/>
  <c r="V478" i="16"/>
  <c r="AB478" i="16" s="1"/>
  <c r="X477" i="16"/>
  <c r="AD477" i="16" s="1"/>
  <c r="W477" i="16"/>
  <c r="AC477" i="16" s="1"/>
  <c r="V477" i="16"/>
  <c r="AB477" i="16" s="1"/>
  <c r="X476" i="16"/>
  <c r="AD476" i="16" s="1"/>
  <c r="W476" i="16"/>
  <c r="AC476" i="16" s="1"/>
  <c r="V476" i="16"/>
  <c r="AB476" i="16" s="1"/>
  <c r="X475" i="16"/>
  <c r="AD475" i="16" s="1"/>
  <c r="W475" i="16"/>
  <c r="AC475" i="16" s="1"/>
  <c r="V475" i="16"/>
  <c r="AB475" i="16" s="1"/>
  <c r="X474" i="16"/>
  <c r="AD474" i="16" s="1"/>
  <c r="W474" i="16"/>
  <c r="AC474" i="16" s="1"/>
  <c r="V474" i="16"/>
  <c r="AB474" i="16" s="1"/>
  <c r="X473" i="16"/>
  <c r="AD473" i="16" s="1"/>
  <c r="W473" i="16"/>
  <c r="AC473" i="16" s="1"/>
  <c r="V473" i="16"/>
  <c r="AB473" i="16" s="1"/>
  <c r="X472" i="16"/>
  <c r="AD472" i="16" s="1"/>
  <c r="W472" i="16"/>
  <c r="AC472" i="16" s="1"/>
  <c r="V472" i="16"/>
  <c r="AB472" i="16" s="1"/>
  <c r="X471" i="16"/>
  <c r="AD471" i="16" s="1"/>
  <c r="W471" i="16"/>
  <c r="AC471" i="16" s="1"/>
  <c r="V471" i="16"/>
  <c r="AB471" i="16" s="1"/>
  <c r="X470" i="16"/>
  <c r="AD470" i="16" s="1"/>
  <c r="W470" i="16"/>
  <c r="AC470" i="16" s="1"/>
  <c r="V470" i="16"/>
  <c r="AB470" i="16" s="1"/>
  <c r="X469" i="16"/>
  <c r="AD469" i="16" s="1"/>
  <c r="W469" i="16"/>
  <c r="AC469" i="16" s="1"/>
  <c r="V469" i="16"/>
  <c r="AB469" i="16" s="1"/>
  <c r="X468" i="16"/>
  <c r="AD468" i="16" s="1"/>
  <c r="W468" i="16"/>
  <c r="AC468" i="16" s="1"/>
  <c r="V468" i="16"/>
  <c r="AB468" i="16" s="1"/>
  <c r="X467" i="16"/>
  <c r="AD467" i="16" s="1"/>
  <c r="W467" i="16"/>
  <c r="AC467" i="16" s="1"/>
  <c r="V467" i="16"/>
  <c r="AB467" i="16" s="1"/>
  <c r="X466" i="16"/>
  <c r="AD466" i="16" s="1"/>
  <c r="W466" i="16"/>
  <c r="AC466" i="16" s="1"/>
  <c r="V466" i="16"/>
  <c r="AB466" i="16" s="1"/>
  <c r="X465" i="16"/>
  <c r="AD465" i="16" s="1"/>
  <c r="W465" i="16"/>
  <c r="AC465" i="16" s="1"/>
  <c r="V465" i="16"/>
  <c r="AB465" i="16" s="1"/>
  <c r="X464" i="16"/>
  <c r="AD464" i="16" s="1"/>
  <c r="W464" i="16"/>
  <c r="AC464" i="16" s="1"/>
  <c r="V464" i="16"/>
  <c r="AB464" i="16" s="1"/>
  <c r="X463" i="16"/>
  <c r="AD463" i="16" s="1"/>
  <c r="W463" i="16"/>
  <c r="AC463" i="16" s="1"/>
  <c r="V463" i="16"/>
  <c r="AB463" i="16" s="1"/>
  <c r="X462" i="16"/>
  <c r="AD462" i="16" s="1"/>
  <c r="W462" i="16"/>
  <c r="AC462" i="16" s="1"/>
  <c r="V462" i="16"/>
  <c r="AB462" i="16" s="1"/>
  <c r="X461" i="16"/>
  <c r="AD461" i="16" s="1"/>
  <c r="W461" i="16"/>
  <c r="AC461" i="16" s="1"/>
  <c r="V461" i="16"/>
  <c r="AB461" i="16" s="1"/>
  <c r="X460" i="16"/>
  <c r="AD460" i="16" s="1"/>
  <c r="W460" i="16"/>
  <c r="AC460" i="16" s="1"/>
  <c r="V460" i="16"/>
  <c r="AB460" i="16" s="1"/>
  <c r="X459" i="16"/>
  <c r="AD459" i="16" s="1"/>
  <c r="W459" i="16"/>
  <c r="AC459" i="16" s="1"/>
  <c r="V459" i="16"/>
  <c r="AB459" i="16" s="1"/>
  <c r="X458" i="16"/>
  <c r="AD458" i="16" s="1"/>
  <c r="W458" i="16"/>
  <c r="AC458" i="16" s="1"/>
  <c r="V458" i="16"/>
  <c r="AB458" i="16" s="1"/>
  <c r="X457" i="16"/>
  <c r="AD457" i="16" s="1"/>
  <c r="W457" i="16"/>
  <c r="AC457" i="16" s="1"/>
  <c r="V457" i="16"/>
  <c r="AB457" i="16" s="1"/>
  <c r="X456" i="16"/>
  <c r="AD456" i="16" s="1"/>
  <c r="W456" i="16"/>
  <c r="AC456" i="16" s="1"/>
  <c r="V456" i="16"/>
  <c r="AB456" i="16" s="1"/>
  <c r="X455" i="16"/>
  <c r="AD455" i="16" s="1"/>
  <c r="W455" i="16"/>
  <c r="AC455" i="16" s="1"/>
  <c r="V455" i="16"/>
  <c r="AB455" i="16" s="1"/>
  <c r="X454" i="16"/>
  <c r="AD454" i="16" s="1"/>
  <c r="W454" i="16"/>
  <c r="AC454" i="16" s="1"/>
  <c r="V454" i="16"/>
  <c r="AB454" i="16" s="1"/>
  <c r="X453" i="16"/>
  <c r="AD453" i="16" s="1"/>
  <c r="W453" i="16"/>
  <c r="AC453" i="16" s="1"/>
  <c r="V453" i="16"/>
  <c r="AB453" i="16" s="1"/>
  <c r="X452" i="16"/>
  <c r="AD452" i="16" s="1"/>
  <c r="W452" i="16"/>
  <c r="AC452" i="16" s="1"/>
  <c r="V452" i="16"/>
  <c r="AB452" i="16" s="1"/>
  <c r="X451" i="16"/>
  <c r="AD451" i="16" s="1"/>
  <c r="W451" i="16"/>
  <c r="AC451" i="16" s="1"/>
  <c r="V451" i="16"/>
  <c r="AB451" i="16" s="1"/>
  <c r="X450" i="16"/>
  <c r="AD450" i="16" s="1"/>
  <c r="W450" i="16"/>
  <c r="AC450" i="16" s="1"/>
  <c r="V450" i="16"/>
  <c r="AB450" i="16" s="1"/>
  <c r="X449" i="16"/>
  <c r="AD449" i="16" s="1"/>
  <c r="W449" i="16"/>
  <c r="AC449" i="16" s="1"/>
  <c r="V449" i="16"/>
  <c r="AB449" i="16" s="1"/>
  <c r="X448" i="16"/>
  <c r="AD448" i="16" s="1"/>
  <c r="W448" i="16"/>
  <c r="AC448" i="16" s="1"/>
  <c r="V448" i="16"/>
  <c r="AB448" i="16" s="1"/>
  <c r="X447" i="16"/>
  <c r="AD447" i="16" s="1"/>
  <c r="W447" i="16"/>
  <c r="AC447" i="16" s="1"/>
  <c r="V447" i="16"/>
  <c r="AB447" i="16" s="1"/>
  <c r="X446" i="16"/>
  <c r="AD446" i="16" s="1"/>
  <c r="W446" i="16"/>
  <c r="AC446" i="16" s="1"/>
  <c r="V446" i="16"/>
  <c r="AB446" i="16" s="1"/>
  <c r="X445" i="16"/>
  <c r="AD445" i="16" s="1"/>
  <c r="W445" i="16"/>
  <c r="AC445" i="16" s="1"/>
  <c r="V445" i="16"/>
  <c r="AB445" i="16" s="1"/>
  <c r="X444" i="16"/>
  <c r="AD444" i="16" s="1"/>
  <c r="W444" i="16"/>
  <c r="AC444" i="16" s="1"/>
  <c r="V444" i="16"/>
  <c r="AB444" i="16" s="1"/>
  <c r="X443" i="16"/>
  <c r="AD443" i="16" s="1"/>
  <c r="W443" i="16"/>
  <c r="AC443" i="16" s="1"/>
  <c r="V443" i="16"/>
  <c r="AB443" i="16" s="1"/>
  <c r="X442" i="16"/>
  <c r="AD442" i="16" s="1"/>
  <c r="W442" i="16"/>
  <c r="AC442" i="16" s="1"/>
  <c r="V442" i="16"/>
  <c r="AB442" i="16" s="1"/>
  <c r="X441" i="16"/>
  <c r="AD441" i="16" s="1"/>
  <c r="W441" i="16"/>
  <c r="AC441" i="16" s="1"/>
  <c r="V441" i="16"/>
  <c r="AB441" i="16" s="1"/>
  <c r="X440" i="16"/>
  <c r="AD440" i="16" s="1"/>
  <c r="W440" i="16"/>
  <c r="AC440" i="16" s="1"/>
  <c r="V440" i="16"/>
  <c r="AB440" i="16" s="1"/>
  <c r="X439" i="16"/>
  <c r="AD439" i="16" s="1"/>
  <c r="W439" i="16"/>
  <c r="AC439" i="16" s="1"/>
  <c r="V439" i="16"/>
  <c r="AB439" i="16" s="1"/>
  <c r="X438" i="16"/>
  <c r="AD438" i="16" s="1"/>
  <c r="W438" i="16"/>
  <c r="AC438" i="16" s="1"/>
  <c r="V438" i="16"/>
  <c r="AB438" i="16" s="1"/>
  <c r="X437" i="16"/>
  <c r="AD437" i="16" s="1"/>
  <c r="W437" i="16"/>
  <c r="AC437" i="16" s="1"/>
  <c r="V437" i="16"/>
  <c r="AB437" i="16" s="1"/>
  <c r="X436" i="16"/>
  <c r="AD436" i="16" s="1"/>
  <c r="W436" i="16"/>
  <c r="AC436" i="16" s="1"/>
  <c r="V436" i="16"/>
  <c r="AB436" i="16" s="1"/>
  <c r="X435" i="16"/>
  <c r="AD435" i="16" s="1"/>
  <c r="W435" i="16"/>
  <c r="AC435" i="16" s="1"/>
  <c r="V435" i="16"/>
  <c r="AB435" i="16" s="1"/>
  <c r="X434" i="16"/>
  <c r="AD434" i="16" s="1"/>
  <c r="W434" i="16"/>
  <c r="AC434" i="16" s="1"/>
  <c r="V434" i="16"/>
  <c r="AB434" i="16" s="1"/>
  <c r="X433" i="16"/>
  <c r="AD433" i="16" s="1"/>
  <c r="W433" i="16"/>
  <c r="AC433" i="16" s="1"/>
  <c r="V433" i="16"/>
  <c r="AB433" i="16" s="1"/>
  <c r="X432" i="16"/>
  <c r="AD432" i="16" s="1"/>
  <c r="W432" i="16"/>
  <c r="AC432" i="16" s="1"/>
  <c r="V432" i="16"/>
  <c r="AB432" i="16" s="1"/>
  <c r="X431" i="16"/>
  <c r="AD431" i="16" s="1"/>
  <c r="W431" i="16"/>
  <c r="AC431" i="16" s="1"/>
  <c r="V431" i="16"/>
  <c r="AB431" i="16" s="1"/>
  <c r="X430" i="16"/>
  <c r="AD430" i="16" s="1"/>
  <c r="W430" i="16"/>
  <c r="AC430" i="16" s="1"/>
  <c r="V430" i="16"/>
  <c r="AB430" i="16" s="1"/>
  <c r="X429" i="16"/>
  <c r="AD429" i="16" s="1"/>
  <c r="W429" i="16"/>
  <c r="AC429" i="16" s="1"/>
  <c r="V429" i="16"/>
  <c r="AB429" i="16" s="1"/>
  <c r="X428" i="16"/>
  <c r="AD428" i="16" s="1"/>
  <c r="W428" i="16"/>
  <c r="AC428" i="16" s="1"/>
  <c r="V428" i="16"/>
  <c r="AB428" i="16" s="1"/>
  <c r="X427" i="16"/>
  <c r="AD427" i="16" s="1"/>
  <c r="W427" i="16"/>
  <c r="AC427" i="16" s="1"/>
  <c r="V427" i="16"/>
  <c r="AB427" i="16" s="1"/>
  <c r="X426" i="16"/>
  <c r="AD426" i="16" s="1"/>
  <c r="W426" i="16"/>
  <c r="AC426" i="16" s="1"/>
  <c r="V426" i="16"/>
  <c r="AB426" i="16" s="1"/>
  <c r="X425" i="16"/>
  <c r="AD425" i="16" s="1"/>
  <c r="W425" i="16"/>
  <c r="AC425" i="16" s="1"/>
  <c r="V425" i="16"/>
  <c r="AB425" i="16" s="1"/>
  <c r="X424" i="16"/>
  <c r="AD424" i="16" s="1"/>
  <c r="W424" i="16"/>
  <c r="AC424" i="16" s="1"/>
  <c r="V424" i="16"/>
  <c r="AB424" i="16" s="1"/>
  <c r="X423" i="16"/>
  <c r="AD423" i="16" s="1"/>
  <c r="W423" i="16"/>
  <c r="AC423" i="16" s="1"/>
  <c r="V423" i="16"/>
  <c r="AB423" i="16" s="1"/>
  <c r="X422" i="16"/>
  <c r="AD422" i="16" s="1"/>
  <c r="W422" i="16"/>
  <c r="AC422" i="16" s="1"/>
  <c r="V422" i="16"/>
  <c r="AB422" i="16" s="1"/>
  <c r="X421" i="16"/>
  <c r="AD421" i="16" s="1"/>
  <c r="W421" i="16"/>
  <c r="AC421" i="16" s="1"/>
  <c r="V421" i="16"/>
  <c r="AB421" i="16" s="1"/>
  <c r="X420" i="16"/>
  <c r="AD420" i="16" s="1"/>
  <c r="W420" i="16"/>
  <c r="AC420" i="16" s="1"/>
  <c r="V420" i="16"/>
  <c r="AB420" i="16" s="1"/>
  <c r="X419" i="16"/>
  <c r="AD419" i="16" s="1"/>
  <c r="W419" i="16"/>
  <c r="AC419" i="16" s="1"/>
  <c r="V419" i="16"/>
  <c r="AB419" i="16" s="1"/>
  <c r="X418" i="16"/>
  <c r="AD418" i="16" s="1"/>
  <c r="W418" i="16"/>
  <c r="AC418" i="16" s="1"/>
  <c r="V418" i="16"/>
  <c r="AB418" i="16" s="1"/>
  <c r="X417" i="16"/>
  <c r="AD417" i="16" s="1"/>
  <c r="W417" i="16"/>
  <c r="AC417" i="16" s="1"/>
  <c r="V417" i="16"/>
  <c r="AB417" i="16" s="1"/>
  <c r="X416" i="16"/>
  <c r="AD416" i="16" s="1"/>
  <c r="W416" i="16"/>
  <c r="AC416" i="16" s="1"/>
  <c r="V416" i="16"/>
  <c r="AB416" i="16" s="1"/>
  <c r="X415" i="16"/>
  <c r="AD415" i="16" s="1"/>
  <c r="W415" i="16"/>
  <c r="AC415" i="16" s="1"/>
  <c r="V415" i="16"/>
  <c r="AB415" i="16" s="1"/>
  <c r="X414" i="16"/>
  <c r="AD414" i="16" s="1"/>
  <c r="W414" i="16"/>
  <c r="AC414" i="16" s="1"/>
  <c r="V414" i="16"/>
  <c r="AB414" i="16" s="1"/>
  <c r="X413" i="16"/>
  <c r="AD413" i="16" s="1"/>
  <c r="W413" i="16"/>
  <c r="AC413" i="16" s="1"/>
  <c r="V413" i="16"/>
  <c r="AB413" i="16" s="1"/>
  <c r="X412" i="16"/>
  <c r="AD412" i="16" s="1"/>
  <c r="W412" i="16"/>
  <c r="AC412" i="16" s="1"/>
  <c r="V412" i="16"/>
  <c r="AB412" i="16" s="1"/>
  <c r="X411" i="16"/>
  <c r="AD411" i="16" s="1"/>
  <c r="W411" i="16"/>
  <c r="AC411" i="16" s="1"/>
  <c r="V411" i="16"/>
  <c r="AB411" i="16" s="1"/>
  <c r="X410" i="16"/>
  <c r="AD410" i="16" s="1"/>
  <c r="W410" i="16"/>
  <c r="AC410" i="16" s="1"/>
  <c r="V410" i="16"/>
  <c r="AB410" i="16" s="1"/>
  <c r="X409" i="16"/>
  <c r="AD409" i="16" s="1"/>
  <c r="W409" i="16"/>
  <c r="AC409" i="16" s="1"/>
  <c r="V409" i="16"/>
  <c r="AB409" i="16" s="1"/>
  <c r="X408" i="16"/>
  <c r="AD408" i="16" s="1"/>
  <c r="W408" i="16"/>
  <c r="AC408" i="16" s="1"/>
  <c r="V408" i="16"/>
  <c r="AB408" i="16" s="1"/>
  <c r="X407" i="16"/>
  <c r="AD407" i="16" s="1"/>
  <c r="W407" i="16"/>
  <c r="AC407" i="16" s="1"/>
  <c r="V407" i="16"/>
  <c r="AB407" i="16" s="1"/>
  <c r="X406" i="16"/>
  <c r="AD406" i="16" s="1"/>
  <c r="W406" i="16"/>
  <c r="AC406" i="16" s="1"/>
  <c r="V406" i="16"/>
  <c r="AB406" i="16" s="1"/>
  <c r="X405" i="16"/>
  <c r="AD405" i="16" s="1"/>
  <c r="W405" i="16"/>
  <c r="AC405" i="16" s="1"/>
  <c r="V405" i="16"/>
  <c r="AB405" i="16" s="1"/>
  <c r="X404" i="16"/>
  <c r="AD404" i="16" s="1"/>
  <c r="W404" i="16"/>
  <c r="AC404" i="16" s="1"/>
  <c r="V404" i="16"/>
  <c r="AB404" i="16" s="1"/>
  <c r="X403" i="16"/>
  <c r="AD403" i="16" s="1"/>
  <c r="W403" i="16"/>
  <c r="AC403" i="16" s="1"/>
  <c r="V403" i="16"/>
  <c r="AB403" i="16" s="1"/>
  <c r="X402" i="16"/>
  <c r="AD402" i="16" s="1"/>
  <c r="W402" i="16"/>
  <c r="AC402" i="16" s="1"/>
  <c r="V402" i="16"/>
  <c r="AB402" i="16" s="1"/>
  <c r="X401" i="16"/>
  <c r="AD401" i="16" s="1"/>
  <c r="W401" i="16"/>
  <c r="AC401" i="16" s="1"/>
  <c r="V401" i="16"/>
  <c r="AB401" i="16" s="1"/>
  <c r="X400" i="16"/>
  <c r="AD400" i="16" s="1"/>
  <c r="W400" i="16"/>
  <c r="AC400" i="16" s="1"/>
  <c r="V400" i="16"/>
  <c r="AB400" i="16" s="1"/>
  <c r="X399" i="16"/>
  <c r="AD399" i="16" s="1"/>
  <c r="W399" i="16"/>
  <c r="AC399" i="16" s="1"/>
  <c r="V399" i="16"/>
  <c r="AB399" i="16" s="1"/>
  <c r="X398" i="16"/>
  <c r="AD398" i="16" s="1"/>
  <c r="W398" i="16"/>
  <c r="AC398" i="16" s="1"/>
  <c r="V398" i="16"/>
  <c r="AB398" i="16" s="1"/>
  <c r="X397" i="16"/>
  <c r="AD397" i="16" s="1"/>
  <c r="W397" i="16"/>
  <c r="AC397" i="16" s="1"/>
  <c r="V397" i="16"/>
  <c r="AB397" i="16" s="1"/>
  <c r="X396" i="16"/>
  <c r="AD396" i="16" s="1"/>
  <c r="W396" i="16"/>
  <c r="AC396" i="16" s="1"/>
  <c r="V396" i="16"/>
  <c r="AB396" i="16" s="1"/>
  <c r="X395" i="16"/>
  <c r="AD395" i="16" s="1"/>
  <c r="W395" i="16"/>
  <c r="AC395" i="16" s="1"/>
  <c r="V395" i="16"/>
  <c r="AB395" i="16" s="1"/>
  <c r="X394" i="16"/>
  <c r="AD394" i="16" s="1"/>
  <c r="W394" i="16"/>
  <c r="AC394" i="16" s="1"/>
  <c r="V394" i="16"/>
  <c r="AB394" i="16" s="1"/>
  <c r="X393" i="16"/>
  <c r="AD393" i="16" s="1"/>
  <c r="W393" i="16"/>
  <c r="AC393" i="16" s="1"/>
  <c r="V393" i="16"/>
  <c r="AB393" i="16" s="1"/>
  <c r="X392" i="16"/>
  <c r="AD392" i="16" s="1"/>
  <c r="W392" i="16"/>
  <c r="AC392" i="16" s="1"/>
  <c r="V392" i="16"/>
  <c r="AB392" i="16" s="1"/>
  <c r="X391" i="16"/>
  <c r="AD391" i="16" s="1"/>
  <c r="W391" i="16"/>
  <c r="AC391" i="16" s="1"/>
  <c r="V391" i="16"/>
  <c r="AB391" i="16" s="1"/>
  <c r="X390" i="16"/>
  <c r="AD390" i="16" s="1"/>
  <c r="W390" i="16"/>
  <c r="AC390" i="16" s="1"/>
  <c r="V390" i="16"/>
  <c r="AB390" i="16" s="1"/>
  <c r="X389" i="16"/>
  <c r="AD389" i="16" s="1"/>
  <c r="W389" i="16"/>
  <c r="AC389" i="16" s="1"/>
  <c r="V389" i="16"/>
  <c r="AB389" i="16" s="1"/>
  <c r="X388" i="16"/>
  <c r="AD388" i="16" s="1"/>
  <c r="W388" i="16"/>
  <c r="AC388" i="16" s="1"/>
  <c r="V388" i="16"/>
  <c r="AB388" i="16" s="1"/>
  <c r="X387" i="16"/>
  <c r="AD387" i="16" s="1"/>
  <c r="W387" i="16"/>
  <c r="AC387" i="16" s="1"/>
  <c r="V387" i="16"/>
  <c r="AB387" i="16" s="1"/>
  <c r="X386" i="16"/>
  <c r="AD386" i="16" s="1"/>
  <c r="W386" i="16"/>
  <c r="AC386" i="16" s="1"/>
  <c r="V386" i="16"/>
  <c r="AB386" i="16" s="1"/>
  <c r="X385" i="16"/>
  <c r="AD385" i="16" s="1"/>
  <c r="W385" i="16"/>
  <c r="AC385" i="16" s="1"/>
  <c r="V385" i="16"/>
  <c r="AB385" i="16" s="1"/>
  <c r="X384" i="16"/>
  <c r="AD384" i="16" s="1"/>
  <c r="W384" i="16"/>
  <c r="AC384" i="16" s="1"/>
  <c r="V384" i="16"/>
  <c r="AB384" i="16" s="1"/>
  <c r="X383" i="16"/>
  <c r="AD383" i="16" s="1"/>
  <c r="W383" i="16"/>
  <c r="AC383" i="16" s="1"/>
  <c r="V383" i="16"/>
  <c r="AB383" i="16" s="1"/>
  <c r="X382" i="16"/>
  <c r="AD382" i="16" s="1"/>
  <c r="W382" i="16"/>
  <c r="AC382" i="16" s="1"/>
  <c r="V382" i="16"/>
  <c r="AB382" i="16" s="1"/>
  <c r="X381" i="16"/>
  <c r="AD381" i="16" s="1"/>
  <c r="W381" i="16"/>
  <c r="AC381" i="16" s="1"/>
  <c r="V381" i="16"/>
  <c r="AB381" i="16" s="1"/>
  <c r="X380" i="16"/>
  <c r="AD380" i="16" s="1"/>
  <c r="W380" i="16"/>
  <c r="AC380" i="16" s="1"/>
  <c r="V380" i="16"/>
  <c r="AB380" i="16" s="1"/>
  <c r="X379" i="16"/>
  <c r="AD379" i="16" s="1"/>
  <c r="W379" i="16"/>
  <c r="AC379" i="16" s="1"/>
  <c r="V379" i="16"/>
  <c r="AB379" i="16" s="1"/>
  <c r="X378" i="16"/>
  <c r="AD378" i="16" s="1"/>
  <c r="W378" i="16"/>
  <c r="AC378" i="16" s="1"/>
  <c r="V378" i="16"/>
  <c r="AB378" i="16" s="1"/>
  <c r="X377" i="16"/>
  <c r="AD377" i="16" s="1"/>
  <c r="W377" i="16"/>
  <c r="AC377" i="16" s="1"/>
  <c r="V377" i="16"/>
  <c r="AB377" i="16" s="1"/>
  <c r="X376" i="16"/>
  <c r="AD376" i="16" s="1"/>
  <c r="W376" i="16"/>
  <c r="AC376" i="16" s="1"/>
  <c r="V376" i="16"/>
  <c r="AB376" i="16" s="1"/>
  <c r="X375" i="16"/>
  <c r="AD375" i="16" s="1"/>
  <c r="W375" i="16"/>
  <c r="AC375" i="16" s="1"/>
  <c r="V375" i="16"/>
  <c r="AB375" i="16" s="1"/>
  <c r="X374" i="16"/>
  <c r="AD374" i="16" s="1"/>
  <c r="W374" i="16"/>
  <c r="AC374" i="16" s="1"/>
  <c r="V374" i="16"/>
  <c r="AB374" i="16" s="1"/>
  <c r="X373" i="16"/>
  <c r="AD373" i="16" s="1"/>
  <c r="W373" i="16"/>
  <c r="AC373" i="16" s="1"/>
  <c r="V373" i="16"/>
  <c r="AB373" i="16" s="1"/>
  <c r="X372" i="16"/>
  <c r="AD372" i="16" s="1"/>
  <c r="W372" i="16"/>
  <c r="AC372" i="16" s="1"/>
  <c r="V372" i="16"/>
  <c r="AB372" i="16" s="1"/>
  <c r="X371" i="16"/>
  <c r="AD371" i="16" s="1"/>
  <c r="W371" i="16"/>
  <c r="AC371" i="16" s="1"/>
  <c r="V371" i="16"/>
  <c r="AB371" i="16" s="1"/>
  <c r="X370" i="16"/>
  <c r="AD370" i="16" s="1"/>
  <c r="W370" i="16"/>
  <c r="AC370" i="16" s="1"/>
  <c r="V370" i="16"/>
  <c r="AB370" i="16" s="1"/>
  <c r="X369" i="16"/>
  <c r="AD369" i="16" s="1"/>
  <c r="W369" i="16"/>
  <c r="AC369" i="16" s="1"/>
  <c r="V369" i="16"/>
  <c r="AB369" i="16" s="1"/>
  <c r="X368" i="16"/>
  <c r="AD368" i="16" s="1"/>
  <c r="W368" i="16"/>
  <c r="AC368" i="16" s="1"/>
  <c r="V368" i="16"/>
  <c r="AB368" i="16" s="1"/>
  <c r="X367" i="16"/>
  <c r="AD367" i="16" s="1"/>
  <c r="W367" i="16"/>
  <c r="AC367" i="16" s="1"/>
  <c r="V367" i="16"/>
  <c r="AB367" i="16" s="1"/>
  <c r="X366" i="16"/>
  <c r="AD366" i="16" s="1"/>
  <c r="W366" i="16"/>
  <c r="AC366" i="16" s="1"/>
  <c r="V366" i="16"/>
  <c r="AB366" i="16" s="1"/>
  <c r="X365" i="16"/>
  <c r="AD365" i="16" s="1"/>
  <c r="W365" i="16"/>
  <c r="AC365" i="16" s="1"/>
  <c r="V365" i="16"/>
  <c r="AB365" i="16" s="1"/>
  <c r="V364" i="16"/>
  <c r="AB364" i="16" s="1"/>
  <c r="V363" i="16"/>
  <c r="AB363" i="16" s="1"/>
  <c r="V362" i="16"/>
  <c r="AB362" i="16" s="1"/>
  <c r="V361" i="16"/>
  <c r="AB361" i="16" s="1"/>
  <c r="V360" i="16"/>
  <c r="AB360" i="16" s="1"/>
  <c r="V359" i="16"/>
  <c r="AB359" i="16" s="1"/>
  <c r="V358" i="16"/>
  <c r="AB358" i="16" s="1"/>
  <c r="V357" i="16"/>
  <c r="AB357" i="16" s="1"/>
  <c r="V356" i="16"/>
  <c r="AB356" i="16" s="1"/>
  <c r="V355" i="16"/>
  <c r="AB355" i="16" s="1"/>
  <c r="V354" i="16"/>
  <c r="AB354" i="16" s="1"/>
  <c r="V353" i="16"/>
  <c r="AB353" i="16" s="1"/>
  <c r="X352" i="16"/>
  <c r="AD352" i="16" s="1"/>
  <c r="W352" i="16"/>
  <c r="AC352" i="16" s="1"/>
  <c r="X351" i="16"/>
  <c r="AD351" i="16" s="1"/>
  <c r="W351" i="16"/>
  <c r="AC351" i="16" s="1"/>
  <c r="X350" i="16"/>
  <c r="AD350" i="16" s="1"/>
  <c r="W350" i="16"/>
  <c r="AC350" i="16" s="1"/>
  <c r="X349" i="16"/>
  <c r="AD349" i="16" s="1"/>
  <c r="W349" i="16"/>
  <c r="AC349" i="16" s="1"/>
  <c r="X348" i="16"/>
  <c r="AD348" i="16" s="1"/>
  <c r="W348" i="16"/>
  <c r="AC348" i="16" s="1"/>
  <c r="X347" i="16"/>
  <c r="AD347" i="16" s="1"/>
  <c r="W347" i="16"/>
  <c r="AC347" i="16" s="1"/>
  <c r="X346" i="16"/>
  <c r="AD346" i="16" s="1"/>
  <c r="W346" i="16"/>
  <c r="AC346" i="16" s="1"/>
  <c r="X345" i="16"/>
  <c r="AD345" i="16" s="1"/>
  <c r="W345" i="16"/>
  <c r="AC345" i="16" s="1"/>
  <c r="X344" i="16"/>
  <c r="AD344" i="16" s="1"/>
  <c r="W344" i="16"/>
  <c r="AC344" i="16" s="1"/>
  <c r="X343" i="16"/>
  <c r="AD343" i="16" s="1"/>
  <c r="W343" i="16"/>
  <c r="AC343" i="16" s="1"/>
  <c r="X342" i="16"/>
  <c r="AD342" i="16" s="1"/>
  <c r="W342" i="16"/>
  <c r="AC342" i="16" s="1"/>
  <c r="X341" i="16"/>
  <c r="AD341" i="16" s="1"/>
  <c r="W341" i="16"/>
  <c r="AC341" i="16" s="1"/>
  <c r="V340" i="16"/>
  <c r="AB340" i="16" s="1"/>
  <c r="V339" i="16"/>
  <c r="AB339" i="16" s="1"/>
  <c r="V338" i="16"/>
  <c r="AB338" i="16" s="1"/>
  <c r="V337" i="16"/>
  <c r="AB337" i="16" s="1"/>
  <c r="V336" i="16"/>
  <c r="AB336" i="16" s="1"/>
  <c r="V335" i="16"/>
  <c r="AB335" i="16" s="1"/>
  <c r="V334" i="16"/>
  <c r="AB334" i="16" s="1"/>
  <c r="V333" i="16"/>
  <c r="AB333" i="16" s="1"/>
  <c r="V332" i="16"/>
  <c r="AB332" i="16" s="1"/>
  <c r="V331" i="16"/>
  <c r="AB331" i="16" s="1"/>
  <c r="V330" i="16"/>
  <c r="AB330" i="16" s="1"/>
  <c r="V329" i="16"/>
  <c r="AB329" i="16" s="1"/>
  <c r="X328" i="16"/>
  <c r="AD328" i="16" s="1"/>
  <c r="W328" i="16"/>
  <c r="AC328" i="16" s="1"/>
  <c r="V328" i="16"/>
  <c r="AB328" i="16" s="1"/>
  <c r="X327" i="16"/>
  <c r="AD327" i="16" s="1"/>
  <c r="W327" i="16"/>
  <c r="AC327" i="16" s="1"/>
  <c r="V327" i="16"/>
  <c r="AB327" i="16" s="1"/>
  <c r="X326" i="16"/>
  <c r="AD326" i="16" s="1"/>
  <c r="W326" i="16"/>
  <c r="AC326" i="16" s="1"/>
  <c r="V326" i="16"/>
  <c r="AB326" i="16" s="1"/>
  <c r="X325" i="16"/>
  <c r="AD325" i="16" s="1"/>
  <c r="W325" i="16"/>
  <c r="AC325" i="16" s="1"/>
  <c r="V325" i="16"/>
  <c r="AB325" i="16" s="1"/>
  <c r="X324" i="16"/>
  <c r="AD324" i="16" s="1"/>
  <c r="W324" i="16"/>
  <c r="AC324" i="16" s="1"/>
  <c r="V324" i="16"/>
  <c r="AB324" i="16" s="1"/>
  <c r="X323" i="16"/>
  <c r="AD323" i="16" s="1"/>
  <c r="W323" i="16"/>
  <c r="AC323" i="16" s="1"/>
  <c r="V323" i="16"/>
  <c r="AB323" i="16" s="1"/>
  <c r="X322" i="16"/>
  <c r="AD322" i="16" s="1"/>
  <c r="W322" i="16"/>
  <c r="AC322" i="16" s="1"/>
  <c r="V322" i="16"/>
  <c r="AB322" i="16" s="1"/>
  <c r="X321" i="16"/>
  <c r="AD321" i="16" s="1"/>
  <c r="W321" i="16"/>
  <c r="AC321" i="16" s="1"/>
  <c r="V321" i="16"/>
  <c r="AB321" i="16" s="1"/>
  <c r="X320" i="16"/>
  <c r="AD320" i="16" s="1"/>
  <c r="W320" i="16"/>
  <c r="AC320" i="16" s="1"/>
  <c r="V320" i="16"/>
  <c r="AB320" i="16" s="1"/>
  <c r="X319" i="16"/>
  <c r="AD319" i="16" s="1"/>
  <c r="W319" i="16"/>
  <c r="AC319" i="16" s="1"/>
  <c r="V319" i="16"/>
  <c r="AB319" i="16" s="1"/>
  <c r="X318" i="16"/>
  <c r="AD318" i="16" s="1"/>
  <c r="W318" i="16"/>
  <c r="AC318" i="16" s="1"/>
  <c r="V318" i="16"/>
  <c r="AB318" i="16" s="1"/>
  <c r="X317" i="16"/>
  <c r="AD317" i="16" s="1"/>
  <c r="W317" i="16"/>
  <c r="AC317" i="16" s="1"/>
  <c r="V317" i="16"/>
  <c r="AB317" i="16" s="1"/>
  <c r="X316" i="16"/>
  <c r="AD316" i="16" s="1"/>
  <c r="W316" i="16"/>
  <c r="AC316" i="16" s="1"/>
  <c r="V316" i="16"/>
  <c r="AB316" i="16" s="1"/>
  <c r="X315" i="16"/>
  <c r="AD315" i="16" s="1"/>
  <c r="W315" i="16"/>
  <c r="AC315" i="16" s="1"/>
  <c r="V315" i="16"/>
  <c r="AB315" i="16" s="1"/>
  <c r="X314" i="16"/>
  <c r="AD314" i="16" s="1"/>
  <c r="W314" i="16"/>
  <c r="AC314" i="16" s="1"/>
  <c r="V314" i="16"/>
  <c r="AB314" i="16" s="1"/>
  <c r="X313" i="16"/>
  <c r="AD313" i="16" s="1"/>
  <c r="W313" i="16"/>
  <c r="AC313" i="16" s="1"/>
  <c r="V313" i="16"/>
  <c r="AB313" i="16" s="1"/>
  <c r="X312" i="16"/>
  <c r="AD312" i="16" s="1"/>
  <c r="W312" i="16"/>
  <c r="AC312" i="16" s="1"/>
  <c r="V312" i="16"/>
  <c r="AB312" i="16" s="1"/>
  <c r="X311" i="16"/>
  <c r="AD311" i="16" s="1"/>
  <c r="W311" i="16"/>
  <c r="AC311" i="16" s="1"/>
  <c r="V311" i="16"/>
  <c r="AB311" i="16" s="1"/>
  <c r="X310" i="16"/>
  <c r="AD310" i="16" s="1"/>
  <c r="W310" i="16"/>
  <c r="AC310" i="16" s="1"/>
  <c r="V310" i="16"/>
  <c r="AB310" i="16" s="1"/>
  <c r="X309" i="16"/>
  <c r="AD309" i="16" s="1"/>
  <c r="W309" i="16"/>
  <c r="AC309" i="16" s="1"/>
  <c r="V309" i="16"/>
  <c r="AB309" i="16" s="1"/>
  <c r="X308" i="16"/>
  <c r="AD308" i="16" s="1"/>
  <c r="W308" i="16"/>
  <c r="AC308" i="16" s="1"/>
  <c r="V308" i="16"/>
  <c r="AB308" i="16" s="1"/>
  <c r="X307" i="16"/>
  <c r="AD307" i="16" s="1"/>
  <c r="W307" i="16"/>
  <c r="AC307" i="16" s="1"/>
  <c r="V307" i="16"/>
  <c r="AB307" i="16" s="1"/>
  <c r="X306" i="16"/>
  <c r="AD306" i="16" s="1"/>
  <c r="W306" i="16"/>
  <c r="AC306" i="16" s="1"/>
  <c r="V306" i="16"/>
  <c r="AB306" i="16" s="1"/>
  <c r="X305" i="16"/>
  <c r="AD305" i="16" s="1"/>
  <c r="W305" i="16"/>
  <c r="AC305" i="16" s="1"/>
  <c r="V305" i="16"/>
  <c r="AB305" i="16" s="1"/>
  <c r="X304" i="16"/>
  <c r="AD304" i="16" s="1"/>
  <c r="W304" i="16"/>
  <c r="AC304" i="16" s="1"/>
  <c r="V304" i="16"/>
  <c r="AB304" i="16" s="1"/>
  <c r="X303" i="16"/>
  <c r="AD303" i="16" s="1"/>
  <c r="W303" i="16"/>
  <c r="AC303" i="16" s="1"/>
  <c r="V303" i="16"/>
  <c r="AB303" i="16" s="1"/>
  <c r="X302" i="16"/>
  <c r="AD302" i="16" s="1"/>
  <c r="W302" i="16"/>
  <c r="AC302" i="16" s="1"/>
  <c r="V302" i="16"/>
  <c r="AB302" i="16" s="1"/>
  <c r="X301" i="16"/>
  <c r="AD301" i="16" s="1"/>
  <c r="W301" i="16"/>
  <c r="AC301" i="16" s="1"/>
  <c r="V301" i="16"/>
  <c r="AB301" i="16" s="1"/>
  <c r="X300" i="16"/>
  <c r="AD300" i="16" s="1"/>
  <c r="W300" i="16"/>
  <c r="AC300" i="16" s="1"/>
  <c r="V300" i="16"/>
  <c r="AB300" i="16" s="1"/>
  <c r="X299" i="16"/>
  <c r="AD299" i="16" s="1"/>
  <c r="W299" i="16"/>
  <c r="AC299" i="16" s="1"/>
  <c r="V299" i="16"/>
  <c r="AB299" i="16" s="1"/>
  <c r="X298" i="16"/>
  <c r="AD298" i="16" s="1"/>
  <c r="W298" i="16"/>
  <c r="AC298" i="16" s="1"/>
  <c r="V298" i="16"/>
  <c r="AB298" i="16" s="1"/>
  <c r="X297" i="16"/>
  <c r="AD297" i="16" s="1"/>
  <c r="W297" i="16"/>
  <c r="AC297" i="16" s="1"/>
  <c r="V297" i="16"/>
  <c r="AB297" i="16" s="1"/>
  <c r="X296" i="16"/>
  <c r="AD296" i="16" s="1"/>
  <c r="W296" i="16"/>
  <c r="AC296" i="16" s="1"/>
  <c r="V296" i="16"/>
  <c r="AB296" i="16" s="1"/>
  <c r="X295" i="16"/>
  <c r="AD295" i="16" s="1"/>
  <c r="W295" i="16"/>
  <c r="AC295" i="16" s="1"/>
  <c r="V295" i="16"/>
  <c r="AB295" i="16" s="1"/>
  <c r="X294" i="16"/>
  <c r="AD294" i="16" s="1"/>
  <c r="W294" i="16"/>
  <c r="AC294" i="16" s="1"/>
  <c r="V294" i="16"/>
  <c r="AB294" i="16" s="1"/>
  <c r="X293" i="16"/>
  <c r="AD293" i="16" s="1"/>
  <c r="W293" i="16"/>
  <c r="AC293" i="16" s="1"/>
  <c r="V293" i="16"/>
  <c r="AB293" i="16" s="1"/>
  <c r="X292" i="16"/>
  <c r="AD292" i="16" s="1"/>
  <c r="W292" i="16"/>
  <c r="AC292" i="16" s="1"/>
  <c r="V292" i="16"/>
  <c r="AB292" i="16" s="1"/>
  <c r="X291" i="16"/>
  <c r="AD291" i="16" s="1"/>
  <c r="W291" i="16"/>
  <c r="AC291" i="16" s="1"/>
  <c r="V291" i="16"/>
  <c r="AB291" i="16" s="1"/>
  <c r="X290" i="16"/>
  <c r="AD290" i="16" s="1"/>
  <c r="W290" i="16"/>
  <c r="AC290" i="16" s="1"/>
  <c r="V290" i="16"/>
  <c r="AB290" i="16" s="1"/>
  <c r="X289" i="16"/>
  <c r="AD289" i="16" s="1"/>
  <c r="W289" i="16"/>
  <c r="AC289" i="16" s="1"/>
  <c r="V289" i="16"/>
  <c r="AB289" i="16" s="1"/>
  <c r="X288" i="16"/>
  <c r="AD288" i="16" s="1"/>
  <c r="W288" i="16"/>
  <c r="AC288" i="16" s="1"/>
  <c r="V288" i="16"/>
  <c r="AB288" i="16" s="1"/>
  <c r="X287" i="16"/>
  <c r="AD287" i="16" s="1"/>
  <c r="W287" i="16"/>
  <c r="AC287" i="16" s="1"/>
  <c r="V287" i="16"/>
  <c r="AB287" i="16" s="1"/>
  <c r="X286" i="16"/>
  <c r="AD286" i="16" s="1"/>
  <c r="W286" i="16"/>
  <c r="AC286" i="16" s="1"/>
  <c r="V286" i="16"/>
  <c r="AB286" i="16" s="1"/>
  <c r="X285" i="16"/>
  <c r="AD285" i="16" s="1"/>
  <c r="W285" i="16"/>
  <c r="AC285" i="16" s="1"/>
  <c r="V285" i="16"/>
  <c r="AB285" i="16" s="1"/>
  <c r="X284" i="16"/>
  <c r="AD284" i="16" s="1"/>
  <c r="W284" i="16"/>
  <c r="AC284" i="16" s="1"/>
  <c r="V284" i="16"/>
  <c r="AB284" i="16" s="1"/>
  <c r="X283" i="16"/>
  <c r="AD283" i="16" s="1"/>
  <c r="W283" i="16"/>
  <c r="AC283" i="16" s="1"/>
  <c r="V283" i="16"/>
  <c r="AB283" i="16" s="1"/>
  <c r="X282" i="16"/>
  <c r="AD282" i="16" s="1"/>
  <c r="W282" i="16"/>
  <c r="AC282" i="16" s="1"/>
  <c r="V282" i="16"/>
  <c r="AB282" i="16" s="1"/>
  <c r="X281" i="16"/>
  <c r="AD281" i="16" s="1"/>
  <c r="W281" i="16"/>
  <c r="AC281" i="16" s="1"/>
  <c r="V281" i="16"/>
  <c r="AB281" i="16" s="1"/>
  <c r="X280" i="16"/>
  <c r="AD280" i="16" s="1"/>
  <c r="W280" i="16"/>
  <c r="AC280" i="16" s="1"/>
  <c r="V280" i="16"/>
  <c r="AB280" i="16" s="1"/>
  <c r="X279" i="16"/>
  <c r="AD279" i="16" s="1"/>
  <c r="W279" i="16"/>
  <c r="AC279" i="16" s="1"/>
  <c r="V279" i="16"/>
  <c r="AB279" i="16" s="1"/>
  <c r="X278" i="16"/>
  <c r="AD278" i="16" s="1"/>
  <c r="W278" i="16"/>
  <c r="AC278" i="16" s="1"/>
  <c r="V278" i="16"/>
  <c r="AB278" i="16" s="1"/>
  <c r="X277" i="16"/>
  <c r="AD277" i="16" s="1"/>
  <c r="W277" i="16"/>
  <c r="AC277" i="16" s="1"/>
  <c r="V277" i="16"/>
  <c r="AB277" i="16" s="1"/>
  <c r="X276" i="16"/>
  <c r="AD276" i="16" s="1"/>
  <c r="W276" i="16"/>
  <c r="AC276" i="16" s="1"/>
  <c r="V276" i="16"/>
  <c r="AB276" i="16" s="1"/>
  <c r="X275" i="16"/>
  <c r="AD275" i="16" s="1"/>
  <c r="W275" i="16"/>
  <c r="AC275" i="16" s="1"/>
  <c r="V275" i="16"/>
  <c r="AB275" i="16" s="1"/>
  <c r="X274" i="16"/>
  <c r="AD274" i="16" s="1"/>
  <c r="W274" i="16"/>
  <c r="AC274" i="16" s="1"/>
  <c r="V274" i="16"/>
  <c r="AB274" i="16" s="1"/>
  <c r="X273" i="16"/>
  <c r="AD273" i="16" s="1"/>
  <c r="W273" i="16"/>
  <c r="AC273" i="16" s="1"/>
  <c r="V273" i="16"/>
  <c r="AB273" i="16" s="1"/>
  <c r="X272" i="16"/>
  <c r="AD272" i="16" s="1"/>
  <c r="W272" i="16"/>
  <c r="AC272" i="16" s="1"/>
  <c r="V272" i="16"/>
  <c r="AB272" i="16" s="1"/>
  <c r="X271" i="16"/>
  <c r="AD271" i="16" s="1"/>
  <c r="W271" i="16"/>
  <c r="AC271" i="16" s="1"/>
  <c r="V271" i="16"/>
  <c r="AB271" i="16" s="1"/>
  <c r="X270" i="16"/>
  <c r="AD270" i="16" s="1"/>
  <c r="W270" i="16"/>
  <c r="AC270" i="16" s="1"/>
  <c r="V270" i="16"/>
  <c r="AB270" i="16" s="1"/>
  <c r="X269" i="16"/>
  <c r="AD269" i="16" s="1"/>
  <c r="W269" i="16"/>
  <c r="AC269" i="16" s="1"/>
  <c r="V269" i="16"/>
  <c r="AB269" i="16" s="1"/>
  <c r="X268" i="16"/>
  <c r="AD268" i="16" s="1"/>
  <c r="W268" i="16"/>
  <c r="AC268" i="16" s="1"/>
  <c r="V268" i="16"/>
  <c r="AB268" i="16" s="1"/>
  <c r="X267" i="16"/>
  <c r="AD267" i="16" s="1"/>
  <c r="W267" i="16"/>
  <c r="AC267" i="16" s="1"/>
  <c r="V267" i="16"/>
  <c r="AB267" i="16" s="1"/>
  <c r="X266" i="16"/>
  <c r="AD266" i="16" s="1"/>
  <c r="W266" i="16"/>
  <c r="AC266" i="16" s="1"/>
  <c r="V266" i="16"/>
  <c r="AB266" i="16" s="1"/>
  <c r="X265" i="16"/>
  <c r="AD265" i="16" s="1"/>
  <c r="W265" i="16"/>
  <c r="AC265" i="16" s="1"/>
  <c r="V265" i="16"/>
  <c r="AB265" i="16" s="1"/>
  <c r="X264" i="16"/>
  <c r="AD264" i="16" s="1"/>
  <c r="W264" i="16"/>
  <c r="AC264" i="16" s="1"/>
  <c r="V264" i="16"/>
  <c r="AB264" i="16" s="1"/>
  <c r="X263" i="16"/>
  <c r="AD263" i="16" s="1"/>
  <c r="W263" i="16"/>
  <c r="AC263" i="16" s="1"/>
  <c r="V263" i="16"/>
  <c r="AB263" i="16" s="1"/>
  <c r="X262" i="16"/>
  <c r="AD262" i="16" s="1"/>
  <c r="W262" i="16"/>
  <c r="AC262" i="16" s="1"/>
  <c r="V262" i="16"/>
  <c r="AB262" i="16" s="1"/>
  <c r="X261" i="16"/>
  <c r="AD261" i="16" s="1"/>
  <c r="W261" i="16"/>
  <c r="AC261" i="16" s="1"/>
  <c r="V261" i="16"/>
  <c r="AB261" i="16" s="1"/>
  <c r="X260" i="16"/>
  <c r="AD260" i="16" s="1"/>
  <c r="W260" i="16"/>
  <c r="AC260" i="16" s="1"/>
  <c r="V260" i="16"/>
  <c r="AB260" i="16" s="1"/>
  <c r="X259" i="16"/>
  <c r="AD259" i="16" s="1"/>
  <c r="W259" i="16"/>
  <c r="AC259" i="16" s="1"/>
  <c r="V259" i="16"/>
  <c r="AB259" i="16" s="1"/>
  <c r="X258" i="16"/>
  <c r="AD258" i="16" s="1"/>
  <c r="W258" i="16"/>
  <c r="AC258" i="16" s="1"/>
  <c r="V258" i="16"/>
  <c r="AB258" i="16" s="1"/>
  <c r="X257" i="16"/>
  <c r="AD257" i="16" s="1"/>
  <c r="W257" i="16"/>
  <c r="AC257" i="16" s="1"/>
  <c r="V257" i="16"/>
  <c r="AB257" i="16" s="1"/>
  <c r="X256" i="16"/>
  <c r="AD256" i="16" s="1"/>
  <c r="W256" i="16"/>
  <c r="AC256" i="16" s="1"/>
  <c r="V256" i="16"/>
  <c r="AB256" i="16" s="1"/>
  <c r="X255" i="16"/>
  <c r="AD255" i="16" s="1"/>
  <c r="W255" i="16"/>
  <c r="AC255" i="16" s="1"/>
  <c r="V255" i="16"/>
  <c r="AB255" i="16" s="1"/>
  <c r="X254" i="16"/>
  <c r="AD254" i="16" s="1"/>
  <c r="W254" i="16"/>
  <c r="AC254" i="16" s="1"/>
  <c r="V254" i="16"/>
  <c r="AB254" i="16" s="1"/>
  <c r="X253" i="16"/>
  <c r="AD253" i="16" s="1"/>
  <c r="W253" i="16"/>
  <c r="AC253" i="16" s="1"/>
  <c r="V253" i="16"/>
  <c r="AB253" i="16" s="1"/>
  <c r="X252" i="16"/>
  <c r="AD252" i="16" s="1"/>
  <c r="W252" i="16"/>
  <c r="AC252" i="16" s="1"/>
  <c r="V252" i="16"/>
  <c r="AB252" i="16" s="1"/>
  <c r="X251" i="16"/>
  <c r="AD251" i="16" s="1"/>
  <c r="W251" i="16"/>
  <c r="AC251" i="16" s="1"/>
  <c r="V251" i="16"/>
  <c r="AB251" i="16" s="1"/>
  <c r="X250" i="16"/>
  <c r="AD250" i="16" s="1"/>
  <c r="W250" i="16"/>
  <c r="AC250" i="16" s="1"/>
  <c r="V250" i="16"/>
  <c r="AB250" i="16" s="1"/>
  <c r="X249" i="16"/>
  <c r="AD249" i="16" s="1"/>
  <c r="W249" i="16"/>
  <c r="AC249" i="16" s="1"/>
  <c r="V249" i="16"/>
  <c r="AB249" i="16" s="1"/>
  <c r="X248" i="16"/>
  <c r="AD248" i="16" s="1"/>
  <c r="W248" i="16"/>
  <c r="AC248" i="16" s="1"/>
  <c r="V248" i="16"/>
  <c r="AB248" i="16" s="1"/>
  <c r="X247" i="16"/>
  <c r="AD247" i="16" s="1"/>
  <c r="W247" i="16"/>
  <c r="AC247" i="16" s="1"/>
  <c r="V247" i="16"/>
  <c r="AB247" i="16" s="1"/>
  <c r="X246" i="16"/>
  <c r="AD246" i="16" s="1"/>
  <c r="W246" i="16"/>
  <c r="AC246" i="16" s="1"/>
  <c r="V246" i="16"/>
  <c r="AB246" i="16" s="1"/>
  <c r="X245" i="16"/>
  <c r="AD245" i="16" s="1"/>
  <c r="W245" i="16"/>
  <c r="AC245" i="16" s="1"/>
  <c r="V245" i="16"/>
  <c r="AB245" i="16" s="1"/>
  <c r="X244" i="16"/>
  <c r="AD244" i="16" s="1"/>
  <c r="W244" i="16"/>
  <c r="AC244" i="16" s="1"/>
  <c r="V244" i="16"/>
  <c r="AB244" i="16" s="1"/>
  <c r="X243" i="16"/>
  <c r="AD243" i="16" s="1"/>
  <c r="W243" i="16"/>
  <c r="AC243" i="16" s="1"/>
  <c r="V243" i="16"/>
  <c r="AB243" i="16" s="1"/>
  <c r="X242" i="16"/>
  <c r="AD242" i="16" s="1"/>
  <c r="W242" i="16"/>
  <c r="AC242" i="16" s="1"/>
  <c r="V242" i="16"/>
  <c r="AB242" i="16" s="1"/>
  <c r="X217" i="16"/>
  <c r="AD217" i="16" s="1"/>
  <c r="W217" i="16"/>
  <c r="AC217" i="16" s="1"/>
  <c r="V217" i="16"/>
  <c r="AB217" i="16" s="1"/>
  <c r="X216" i="16"/>
  <c r="AD216" i="16" s="1"/>
  <c r="W216" i="16"/>
  <c r="AC216" i="16" s="1"/>
  <c r="V216" i="16"/>
  <c r="AB216" i="16" s="1"/>
  <c r="X215" i="16"/>
  <c r="AD215" i="16" s="1"/>
  <c r="W215" i="16"/>
  <c r="AC215" i="16" s="1"/>
  <c r="V215" i="16"/>
  <c r="AB215" i="16" s="1"/>
  <c r="X214" i="16"/>
  <c r="AD214" i="16" s="1"/>
  <c r="W214" i="16"/>
  <c r="AC214" i="16" s="1"/>
  <c r="V214" i="16"/>
  <c r="AB214" i="16" s="1"/>
  <c r="X213" i="16"/>
  <c r="AD213" i="16" s="1"/>
  <c r="W213" i="16"/>
  <c r="AC213" i="16" s="1"/>
  <c r="V213" i="16"/>
  <c r="AB213" i="16" s="1"/>
  <c r="X212" i="16"/>
  <c r="AD212" i="16" s="1"/>
  <c r="W212" i="16"/>
  <c r="AC212" i="16" s="1"/>
  <c r="V212" i="16"/>
  <c r="AB212" i="16" s="1"/>
  <c r="X211" i="16"/>
  <c r="AD211" i="16" s="1"/>
  <c r="W211" i="16"/>
  <c r="AC211" i="16" s="1"/>
  <c r="V211" i="16"/>
  <c r="AB211" i="16" s="1"/>
  <c r="X210" i="16"/>
  <c r="AD210" i="16" s="1"/>
  <c r="W210" i="16"/>
  <c r="AC210" i="16" s="1"/>
  <c r="V210" i="16"/>
  <c r="AB210" i="16" s="1"/>
  <c r="X209" i="16"/>
  <c r="AD209" i="16" s="1"/>
  <c r="W209" i="16"/>
  <c r="AC209" i="16" s="1"/>
  <c r="V209" i="16"/>
  <c r="AB209" i="16" s="1"/>
  <c r="X208" i="16"/>
  <c r="AD208" i="16" s="1"/>
  <c r="W208" i="16"/>
  <c r="AC208" i="16" s="1"/>
  <c r="V208" i="16"/>
  <c r="AB208" i="16" s="1"/>
  <c r="X207" i="16"/>
  <c r="AD207" i="16" s="1"/>
  <c r="W207" i="16"/>
  <c r="AC207" i="16" s="1"/>
  <c r="V207" i="16"/>
  <c r="AB207" i="16" s="1"/>
  <c r="X206" i="16"/>
  <c r="AD206" i="16" s="1"/>
  <c r="W206" i="16"/>
  <c r="AC206" i="16" s="1"/>
  <c r="V206" i="16"/>
  <c r="AB206" i="16" s="1"/>
  <c r="X205" i="16"/>
  <c r="AD205" i="16" s="1"/>
  <c r="W205" i="16"/>
  <c r="AC205" i="16" s="1"/>
  <c r="V205" i="16"/>
  <c r="AB205" i="16" s="1"/>
  <c r="X204" i="16"/>
  <c r="AD204" i="16" s="1"/>
  <c r="W204" i="16"/>
  <c r="AC204" i="16" s="1"/>
  <c r="V204" i="16"/>
  <c r="AB204" i="16" s="1"/>
  <c r="X203" i="16"/>
  <c r="AD203" i="16" s="1"/>
  <c r="W203" i="16"/>
  <c r="AC203" i="16" s="1"/>
  <c r="V203" i="16"/>
  <c r="AB203" i="16" s="1"/>
  <c r="X202" i="16"/>
  <c r="AD202" i="16" s="1"/>
  <c r="W202" i="16"/>
  <c r="AC202" i="16" s="1"/>
  <c r="V202" i="16"/>
  <c r="AB202" i="16" s="1"/>
  <c r="X201" i="16"/>
  <c r="AD201" i="16" s="1"/>
  <c r="W201" i="16"/>
  <c r="AC201" i="16" s="1"/>
  <c r="V201" i="16"/>
  <c r="AB201" i="16" s="1"/>
  <c r="X200" i="16"/>
  <c r="AD200" i="16" s="1"/>
  <c r="W200" i="16"/>
  <c r="AC200" i="16" s="1"/>
  <c r="V200" i="16"/>
  <c r="AB200" i="16" s="1"/>
  <c r="X199" i="16"/>
  <c r="AD199" i="16" s="1"/>
  <c r="W199" i="16"/>
  <c r="AC199" i="16" s="1"/>
  <c r="V199" i="16"/>
  <c r="AB199" i="16" s="1"/>
  <c r="X198" i="16"/>
  <c r="AD198" i="16" s="1"/>
  <c r="W198" i="16"/>
  <c r="AC198" i="16" s="1"/>
  <c r="V198" i="16"/>
  <c r="AB198" i="16" s="1"/>
  <c r="X197" i="16"/>
  <c r="AD197" i="16" s="1"/>
  <c r="W197" i="16"/>
  <c r="AC197" i="16" s="1"/>
  <c r="V197" i="16"/>
  <c r="AB197" i="16" s="1"/>
  <c r="X196" i="16"/>
  <c r="AD196" i="16" s="1"/>
  <c r="W196" i="16"/>
  <c r="AC196" i="16" s="1"/>
  <c r="V196" i="16"/>
  <c r="AB196" i="16" s="1"/>
  <c r="X195" i="16"/>
  <c r="AD195" i="16" s="1"/>
  <c r="W195" i="16"/>
  <c r="AC195" i="16" s="1"/>
  <c r="V195" i="16"/>
  <c r="AB195" i="16" s="1"/>
  <c r="X194" i="16"/>
  <c r="AD194" i="16" s="1"/>
  <c r="W194" i="16"/>
  <c r="AC194" i="16" s="1"/>
  <c r="V194" i="16"/>
  <c r="AB194" i="16" s="1"/>
  <c r="X193" i="16"/>
  <c r="AD193" i="16" s="1"/>
  <c r="W193" i="16"/>
  <c r="AC193" i="16" s="1"/>
  <c r="V193" i="16"/>
  <c r="AB193" i="16" s="1"/>
  <c r="X192" i="16"/>
  <c r="AD192" i="16" s="1"/>
  <c r="W192" i="16"/>
  <c r="AC192" i="16" s="1"/>
  <c r="V192" i="16"/>
  <c r="AB192" i="16" s="1"/>
  <c r="X191" i="16"/>
  <c r="AD191" i="16" s="1"/>
  <c r="W191" i="16"/>
  <c r="AC191" i="16" s="1"/>
  <c r="V191" i="16"/>
  <c r="AB191" i="16" s="1"/>
  <c r="X190" i="16"/>
  <c r="AD190" i="16" s="1"/>
  <c r="W190" i="16"/>
  <c r="AC190" i="16" s="1"/>
  <c r="V190" i="16"/>
  <c r="AB190" i="16" s="1"/>
  <c r="X189" i="16"/>
  <c r="AD189" i="16" s="1"/>
  <c r="W189" i="16"/>
  <c r="AC189" i="16" s="1"/>
  <c r="V189" i="16"/>
  <c r="AB189" i="16" s="1"/>
  <c r="X188" i="16"/>
  <c r="AD188" i="16" s="1"/>
  <c r="W188" i="16"/>
  <c r="AC188" i="16" s="1"/>
  <c r="V188" i="16"/>
  <c r="AB188" i="16" s="1"/>
  <c r="X187" i="16"/>
  <c r="AD187" i="16" s="1"/>
  <c r="W187" i="16"/>
  <c r="AC187" i="16" s="1"/>
  <c r="V187" i="16"/>
  <c r="AB187" i="16" s="1"/>
  <c r="X186" i="16"/>
  <c r="AD186" i="16" s="1"/>
  <c r="W186" i="16"/>
  <c r="AC186" i="16" s="1"/>
  <c r="V186" i="16"/>
  <c r="AB186" i="16" s="1"/>
  <c r="X185" i="16"/>
  <c r="AD185" i="16" s="1"/>
  <c r="W185" i="16"/>
  <c r="AC185" i="16" s="1"/>
  <c r="V185" i="16"/>
  <c r="AB185" i="16" s="1"/>
  <c r="X184" i="16"/>
  <c r="AD184" i="16" s="1"/>
  <c r="W184" i="16"/>
  <c r="AC184" i="16" s="1"/>
  <c r="V184" i="16"/>
  <c r="AB184" i="16" s="1"/>
  <c r="X183" i="16"/>
  <c r="AD183" i="16" s="1"/>
  <c r="W183" i="16"/>
  <c r="AC183" i="16" s="1"/>
  <c r="V183" i="16"/>
  <c r="AB183" i="16" s="1"/>
  <c r="X182" i="16"/>
  <c r="AD182" i="16" s="1"/>
  <c r="W182" i="16"/>
  <c r="AC182" i="16" s="1"/>
  <c r="V182" i="16"/>
  <c r="AB182" i="16" s="1"/>
  <c r="X181" i="16"/>
  <c r="AD181" i="16" s="1"/>
  <c r="W181" i="16"/>
  <c r="AC181" i="16" s="1"/>
  <c r="V181" i="16"/>
  <c r="AB181" i="16" s="1"/>
  <c r="X180" i="16"/>
  <c r="AD180" i="16" s="1"/>
  <c r="W180" i="16"/>
  <c r="AC180" i="16" s="1"/>
  <c r="V180" i="16"/>
  <c r="AB180" i="16" s="1"/>
  <c r="X179" i="16"/>
  <c r="AD179" i="16" s="1"/>
  <c r="W179" i="16"/>
  <c r="AC179" i="16" s="1"/>
  <c r="V179" i="16"/>
  <c r="AB179" i="16" s="1"/>
  <c r="X178" i="16"/>
  <c r="AD178" i="16" s="1"/>
  <c r="W178" i="16"/>
  <c r="AC178" i="16" s="1"/>
  <c r="V178" i="16"/>
  <c r="AB178" i="16" s="1"/>
  <c r="X177" i="16"/>
  <c r="AD177" i="16" s="1"/>
  <c r="W177" i="16"/>
  <c r="AC177" i="16" s="1"/>
  <c r="V177" i="16"/>
  <c r="AB177" i="16" s="1"/>
  <c r="X176" i="16"/>
  <c r="AD176" i="16" s="1"/>
  <c r="W176" i="16"/>
  <c r="AC176" i="16" s="1"/>
  <c r="V176" i="16"/>
  <c r="AB176" i="16" s="1"/>
  <c r="X175" i="16"/>
  <c r="AD175" i="16" s="1"/>
  <c r="W175" i="16"/>
  <c r="AC175" i="16" s="1"/>
  <c r="V175" i="16"/>
  <c r="AB175" i="16" s="1"/>
  <c r="X174" i="16"/>
  <c r="AD174" i="16" s="1"/>
  <c r="W174" i="16"/>
  <c r="AC174" i="16" s="1"/>
  <c r="V174" i="16"/>
  <c r="AB174" i="16" s="1"/>
  <c r="X173" i="16"/>
  <c r="AD173" i="16" s="1"/>
  <c r="W173" i="16"/>
  <c r="AC173" i="16" s="1"/>
  <c r="V173" i="16"/>
  <c r="AB173" i="16" s="1"/>
  <c r="X172" i="16"/>
  <c r="AD172" i="16" s="1"/>
  <c r="W172" i="16"/>
  <c r="AC172" i="16" s="1"/>
  <c r="V172" i="16"/>
  <c r="AB172" i="16" s="1"/>
  <c r="X171" i="16"/>
  <c r="AD171" i="16" s="1"/>
  <c r="W171" i="16"/>
  <c r="AC171" i="16" s="1"/>
  <c r="V171" i="16"/>
  <c r="AB171" i="16" s="1"/>
  <c r="X170" i="16"/>
  <c r="AD170" i="16" s="1"/>
  <c r="W170" i="16"/>
  <c r="AC170" i="16" s="1"/>
  <c r="V170" i="16"/>
  <c r="AB170" i="16" s="1"/>
  <c r="X169" i="16"/>
  <c r="AD169" i="16" s="1"/>
  <c r="W169" i="16"/>
  <c r="AC169" i="16" s="1"/>
  <c r="V169" i="16"/>
  <c r="AB169" i="16" s="1"/>
  <c r="X168" i="16"/>
  <c r="AD168" i="16" s="1"/>
  <c r="W168" i="16"/>
  <c r="AC168" i="16" s="1"/>
  <c r="V168" i="16"/>
  <c r="AB168" i="16" s="1"/>
  <c r="X167" i="16"/>
  <c r="AD167" i="16" s="1"/>
  <c r="W167" i="16"/>
  <c r="AC167" i="16" s="1"/>
  <c r="V167" i="16"/>
  <c r="AB167" i="16" s="1"/>
  <c r="X166" i="16"/>
  <c r="AD166" i="16" s="1"/>
  <c r="W166" i="16"/>
  <c r="AC166" i="16" s="1"/>
  <c r="V166" i="16"/>
  <c r="AB166" i="16" s="1"/>
  <c r="X165" i="16"/>
  <c r="AD165" i="16" s="1"/>
  <c r="W165" i="16"/>
  <c r="AC165" i="16" s="1"/>
  <c r="V165" i="16"/>
  <c r="AB165" i="16" s="1"/>
  <c r="X164" i="16"/>
  <c r="AD164" i="16" s="1"/>
  <c r="W164" i="16"/>
  <c r="AC164" i="16" s="1"/>
  <c r="V164" i="16"/>
  <c r="AB164" i="16" s="1"/>
  <c r="X163" i="16"/>
  <c r="AD163" i="16" s="1"/>
  <c r="W163" i="16"/>
  <c r="AC163" i="16" s="1"/>
  <c r="V163" i="16"/>
  <c r="AB163" i="16" s="1"/>
  <c r="X162" i="16"/>
  <c r="AD162" i="16" s="1"/>
  <c r="W162" i="16"/>
  <c r="AC162" i="16" s="1"/>
  <c r="V162" i="16"/>
  <c r="AB162" i="16" s="1"/>
  <c r="X161" i="16"/>
  <c r="AD161" i="16" s="1"/>
  <c r="W161" i="16"/>
  <c r="AC161" i="16" s="1"/>
  <c r="V161" i="16"/>
  <c r="AB161" i="16" s="1"/>
  <c r="X160" i="16"/>
  <c r="AD160" i="16" s="1"/>
  <c r="W160" i="16"/>
  <c r="AC160" i="16" s="1"/>
  <c r="V160" i="16"/>
  <c r="AB160" i="16" s="1"/>
  <c r="X159" i="16"/>
  <c r="AD159" i="16" s="1"/>
  <c r="W159" i="16"/>
  <c r="AC159" i="16" s="1"/>
  <c r="V159" i="16"/>
  <c r="AB159" i="16" s="1"/>
  <c r="X158" i="16"/>
  <c r="AD158" i="16" s="1"/>
  <c r="W158" i="16"/>
  <c r="AC158" i="16" s="1"/>
  <c r="V158" i="16"/>
  <c r="AB158" i="16" s="1"/>
  <c r="X157" i="16"/>
  <c r="AD157" i="16" s="1"/>
  <c r="W157" i="16"/>
  <c r="AC157" i="16" s="1"/>
  <c r="V157" i="16"/>
  <c r="AB157" i="16" s="1"/>
  <c r="X156" i="16"/>
  <c r="AD156" i="16" s="1"/>
  <c r="W156" i="16"/>
  <c r="AC156" i="16" s="1"/>
  <c r="V156" i="16"/>
  <c r="AB156" i="16" s="1"/>
  <c r="X155" i="16"/>
  <c r="AD155" i="16" s="1"/>
  <c r="W155" i="16"/>
  <c r="AC155" i="16" s="1"/>
  <c r="V155" i="16"/>
  <c r="AB155" i="16" s="1"/>
  <c r="X154" i="16"/>
  <c r="AD154" i="16" s="1"/>
  <c r="W154" i="16"/>
  <c r="AC154" i="16" s="1"/>
  <c r="V154" i="16"/>
  <c r="AB154" i="16" s="1"/>
  <c r="X153" i="16"/>
  <c r="AD153" i="16" s="1"/>
  <c r="W153" i="16"/>
  <c r="AC153" i="16" s="1"/>
  <c r="V153" i="16"/>
  <c r="AB153" i="16" s="1"/>
  <c r="X152" i="16"/>
  <c r="AD152" i="16" s="1"/>
  <c r="W152" i="16"/>
  <c r="AC152" i="16" s="1"/>
  <c r="V152" i="16"/>
  <c r="AB152" i="16" s="1"/>
  <c r="X151" i="16"/>
  <c r="AD151" i="16" s="1"/>
  <c r="W151" i="16"/>
  <c r="AC151" i="16" s="1"/>
  <c r="V151" i="16"/>
  <c r="AB151" i="16" s="1"/>
  <c r="X150" i="16"/>
  <c r="AD150" i="16" s="1"/>
  <c r="W150" i="16"/>
  <c r="AC150" i="16" s="1"/>
  <c r="V150" i="16"/>
  <c r="AB150" i="16" s="1"/>
  <c r="X149" i="16"/>
  <c r="AD149" i="16" s="1"/>
  <c r="W149" i="16"/>
  <c r="AC149" i="16" s="1"/>
  <c r="V149" i="16"/>
  <c r="AB149" i="16" s="1"/>
  <c r="X148" i="16"/>
  <c r="AD148" i="16" s="1"/>
  <c r="W148" i="16"/>
  <c r="AC148" i="16" s="1"/>
  <c r="V148" i="16"/>
  <c r="AB148" i="16" s="1"/>
  <c r="X147" i="16"/>
  <c r="AD147" i="16" s="1"/>
  <c r="W147" i="16"/>
  <c r="AC147" i="16" s="1"/>
  <c r="V147" i="16"/>
  <c r="AB147" i="16" s="1"/>
  <c r="X146" i="16"/>
  <c r="AD146" i="16" s="1"/>
  <c r="W146" i="16"/>
  <c r="AC146" i="16" s="1"/>
  <c r="V146" i="16"/>
  <c r="AB146" i="16" s="1"/>
  <c r="X145" i="16"/>
  <c r="AD145" i="16" s="1"/>
  <c r="W145" i="16"/>
  <c r="AC145" i="16" s="1"/>
  <c r="V145" i="16"/>
  <c r="AB145" i="16" s="1"/>
  <c r="X144" i="16"/>
  <c r="AD144" i="16" s="1"/>
  <c r="W144" i="16"/>
  <c r="AC144" i="16" s="1"/>
  <c r="V144" i="16"/>
  <c r="AB144" i="16" s="1"/>
  <c r="X143" i="16"/>
  <c r="AD143" i="16" s="1"/>
  <c r="W143" i="16"/>
  <c r="AC143" i="16" s="1"/>
  <c r="V143" i="16"/>
  <c r="AB143" i="16" s="1"/>
  <c r="X142" i="16"/>
  <c r="AD142" i="16" s="1"/>
  <c r="W142" i="16"/>
  <c r="AC142" i="16" s="1"/>
  <c r="V142" i="16"/>
  <c r="AB142" i="16" s="1"/>
  <c r="X141" i="16"/>
  <c r="AD141" i="16" s="1"/>
  <c r="W141" i="16"/>
  <c r="AC141" i="16" s="1"/>
  <c r="V141" i="16"/>
  <c r="AB141" i="16" s="1"/>
  <c r="X140" i="16"/>
  <c r="AD140" i="16" s="1"/>
  <c r="W140" i="16"/>
  <c r="AC140" i="16" s="1"/>
  <c r="V140" i="16"/>
  <c r="AB140" i="16" s="1"/>
  <c r="X139" i="16"/>
  <c r="AD139" i="16" s="1"/>
  <c r="W139" i="16"/>
  <c r="AC139" i="16" s="1"/>
  <c r="V139" i="16"/>
  <c r="AB139" i="16" s="1"/>
  <c r="X138" i="16"/>
  <c r="AD138" i="16" s="1"/>
  <c r="W138" i="16"/>
  <c r="AC138" i="16" s="1"/>
  <c r="V138" i="16"/>
  <c r="AB138" i="16" s="1"/>
  <c r="X137" i="16"/>
  <c r="AD137" i="16" s="1"/>
  <c r="W137" i="16"/>
  <c r="AC137" i="16" s="1"/>
  <c r="V137" i="16"/>
  <c r="AB137" i="16" s="1"/>
  <c r="X136" i="16"/>
  <c r="AD136" i="16" s="1"/>
  <c r="W136" i="16"/>
  <c r="AC136" i="16" s="1"/>
  <c r="V136" i="16"/>
  <c r="AB136" i="16" s="1"/>
  <c r="X135" i="16"/>
  <c r="AD135" i="16" s="1"/>
  <c r="W135" i="16"/>
  <c r="AC135" i="16" s="1"/>
  <c r="V135" i="16"/>
  <c r="AB135" i="16" s="1"/>
  <c r="X134" i="16"/>
  <c r="AD134" i="16" s="1"/>
  <c r="W134" i="16"/>
  <c r="AC134" i="16" s="1"/>
  <c r="V134" i="16"/>
  <c r="AB134" i="16" s="1"/>
  <c r="X133" i="16"/>
  <c r="AD133" i="16" s="1"/>
  <c r="W133" i="16"/>
  <c r="AC133" i="16" s="1"/>
  <c r="V133" i="16"/>
  <c r="AB133" i="16" s="1"/>
  <c r="X132" i="16"/>
  <c r="AD132" i="16" s="1"/>
  <c r="W132" i="16"/>
  <c r="AC132" i="16" s="1"/>
  <c r="V132" i="16"/>
  <c r="AB132" i="16" s="1"/>
  <c r="X131" i="16"/>
  <c r="AD131" i="16" s="1"/>
  <c r="W131" i="16"/>
  <c r="AC131" i="16" s="1"/>
  <c r="V131" i="16"/>
  <c r="AB131" i="16" s="1"/>
  <c r="X130" i="16"/>
  <c r="AD130" i="16" s="1"/>
  <c r="W130" i="16"/>
  <c r="AC130" i="16" s="1"/>
  <c r="V130" i="16"/>
  <c r="AB130" i="16" s="1"/>
  <c r="X129" i="16"/>
  <c r="AD129" i="16" s="1"/>
  <c r="W129" i="16"/>
  <c r="AC129" i="16" s="1"/>
  <c r="V129" i="16"/>
  <c r="AB129" i="16" s="1"/>
  <c r="X128" i="16"/>
  <c r="AD128" i="16" s="1"/>
  <c r="W128" i="16"/>
  <c r="AC128" i="16" s="1"/>
  <c r="V128" i="16"/>
  <c r="AB128" i="16" s="1"/>
  <c r="X127" i="16"/>
  <c r="AD127" i="16" s="1"/>
  <c r="W127" i="16"/>
  <c r="AC127" i="16" s="1"/>
  <c r="V127" i="16"/>
  <c r="AB127" i="16" s="1"/>
  <c r="X126" i="16"/>
  <c r="AD126" i="16" s="1"/>
  <c r="W126" i="16"/>
  <c r="AC126" i="16" s="1"/>
  <c r="V126" i="16"/>
  <c r="AB126" i="16" s="1"/>
  <c r="X125" i="16"/>
  <c r="AD125" i="16" s="1"/>
  <c r="W125" i="16"/>
  <c r="AC125" i="16" s="1"/>
  <c r="V125" i="16"/>
  <c r="AB125" i="16" s="1"/>
  <c r="X124" i="16"/>
  <c r="AD124" i="16" s="1"/>
  <c r="W124" i="16"/>
  <c r="AC124" i="16" s="1"/>
  <c r="V124" i="16"/>
  <c r="AB124" i="16" s="1"/>
  <c r="X123" i="16"/>
  <c r="AD123" i="16" s="1"/>
  <c r="W123" i="16"/>
  <c r="AC123" i="16" s="1"/>
  <c r="V123" i="16"/>
  <c r="AB123" i="16" s="1"/>
  <c r="X122" i="16"/>
  <c r="AD122" i="16" s="1"/>
  <c r="W122" i="16"/>
  <c r="AC122" i="16" s="1"/>
  <c r="V122" i="16"/>
  <c r="AB122" i="16" s="1"/>
  <c r="X97" i="16"/>
  <c r="AD97" i="16" s="1"/>
  <c r="W97" i="16"/>
  <c r="AC97" i="16" s="1"/>
  <c r="V97" i="16"/>
  <c r="AB97" i="16" s="1"/>
  <c r="X96" i="16"/>
  <c r="AD96" i="16" s="1"/>
  <c r="W96" i="16"/>
  <c r="AC96" i="16" s="1"/>
  <c r="V96" i="16"/>
  <c r="AB96" i="16" s="1"/>
  <c r="X95" i="16"/>
  <c r="AD95" i="16" s="1"/>
  <c r="W95" i="16"/>
  <c r="AC95" i="16" s="1"/>
  <c r="V95" i="16"/>
  <c r="AB95" i="16" s="1"/>
  <c r="X94" i="16"/>
  <c r="AD94" i="16" s="1"/>
  <c r="W94" i="16"/>
  <c r="AC94" i="16" s="1"/>
  <c r="V94" i="16"/>
  <c r="AB94" i="16" s="1"/>
  <c r="X93" i="16"/>
  <c r="AD93" i="16" s="1"/>
  <c r="W93" i="16"/>
  <c r="AC93" i="16" s="1"/>
  <c r="V93" i="16"/>
  <c r="AB93" i="16" s="1"/>
  <c r="X92" i="16"/>
  <c r="AD92" i="16" s="1"/>
  <c r="W92" i="16"/>
  <c r="AC92" i="16" s="1"/>
  <c r="V92" i="16"/>
  <c r="AB92" i="16" s="1"/>
  <c r="X91" i="16"/>
  <c r="AD91" i="16" s="1"/>
  <c r="W91" i="16"/>
  <c r="AC91" i="16" s="1"/>
  <c r="V91" i="16"/>
  <c r="AB91" i="16" s="1"/>
  <c r="X90" i="16"/>
  <c r="AD90" i="16" s="1"/>
  <c r="W90" i="16"/>
  <c r="AC90" i="16" s="1"/>
  <c r="V90" i="16"/>
  <c r="AB90" i="16" s="1"/>
  <c r="X89" i="16"/>
  <c r="AD89" i="16" s="1"/>
  <c r="W89" i="16"/>
  <c r="AC89" i="16" s="1"/>
  <c r="V89" i="16"/>
  <c r="AB89" i="16" s="1"/>
  <c r="X88" i="16"/>
  <c r="AD88" i="16" s="1"/>
  <c r="W88" i="16"/>
  <c r="AC88" i="16" s="1"/>
  <c r="V88" i="16"/>
  <c r="AB88" i="16" s="1"/>
  <c r="X87" i="16"/>
  <c r="AD87" i="16" s="1"/>
  <c r="W87" i="16"/>
  <c r="AC87" i="16" s="1"/>
  <c r="V87" i="16"/>
  <c r="AB87" i="16" s="1"/>
  <c r="X86" i="16"/>
  <c r="AD86" i="16" s="1"/>
  <c r="W86" i="16"/>
  <c r="AC86" i="16" s="1"/>
  <c r="V86" i="16"/>
  <c r="AB86" i="16" s="1"/>
  <c r="X85" i="16"/>
  <c r="AD85" i="16" s="1"/>
  <c r="W85" i="16"/>
  <c r="AC85" i="16" s="1"/>
  <c r="V85" i="16"/>
  <c r="AB85" i="16" s="1"/>
  <c r="X84" i="16"/>
  <c r="AD84" i="16" s="1"/>
  <c r="W84" i="16"/>
  <c r="AC84" i="16" s="1"/>
  <c r="V84" i="16"/>
  <c r="AB84" i="16" s="1"/>
  <c r="X83" i="16"/>
  <c r="AD83" i="16" s="1"/>
  <c r="W83" i="16"/>
  <c r="AC83" i="16" s="1"/>
  <c r="V83" i="16"/>
  <c r="AB83" i="16" s="1"/>
  <c r="X82" i="16"/>
  <c r="AD82" i="16" s="1"/>
  <c r="W82" i="16"/>
  <c r="AC82" i="16" s="1"/>
  <c r="V82" i="16"/>
  <c r="AB82" i="16" s="1"/>
  <c r="X81" i="16"/>
  <c r="AD81" i="16" s="1"/>
  <c r="W81" i="16"/>
  <c r="AC81" i="16" s="1"/>
  <c r="V81" i="16"/>
  <c r="AB81" i="16" s="1"/>
  <c r="X80" i="16"/>
  <c r="AD80" i="16" s="1"/>
  <c r="W80" i="16"/>
  <c r="AC80" i="16" s="1"/>
  <c r="V80" i="16"/>
  <c r="AB80" i="16" s="1"/>
  <c r="X79" i="16"/>
  <c r="AD79" i="16" s="1"/>
  <c r="W79" i="16"/>
  <c r="AC79" i="16" s="1"/>
  <c r="V79" i="16"/>
  <c r="AB79" i="16" s="1"/>
  <c r="X78" i="16"/>
  <c r="AD78" i="16" s="1"/>
  <c r="W78" i="16"/>
  <c r="AC78" i="16" s="1"/>
  <c r="V78" i="16"/>
  <c r="AB78" i="16" s="1"/>
  <c r="X77" i="16"/>
  <c r="AD77" i="16" s="1"/>
  <c r="W77" i="16"/>
  <c r="AC77" i="16" s="1"/>
  <c r="V77" i="16"/>
  <c r="AB77" i="16" s="1"/>
  <c r="X76" i="16"/>
  <c r="AD76" i="16" s="1"/>
  <c r="W76" i="16"/>
  <c r="AC76" i="16" s="1"/>
  <c r="V76" i="16"/>
  <c r="AB76" i="16" s="1"/>
  <c r="X75" i="16"/>
  <c r="AD75" i="16" s="1"/>
  <c r="W75" i="16"/>
  <c r="AC75" i="16" s="1"/>
  <c r="V75" i="16"/>
  <c r="AB75" i="16" s="1"/>
  <c r="X74" i="16"/>
  <c r="AD74" i="16" s="1"/>
  <c r="W74" i="16"/>
  <c r="AC74" i="16" s="1"/>
  <c r="V74" i="16"/>
  <c r="AB74" i="16" s="1"/>
  <c r="X73" i="16"/>
  <c r="AD73" i="16" s="1"/>
  <c r="W73" i="16"/>
  <c r="AC73" i="16" s="1"/>
  <c r="V73" i="16"/>
  <c r="AB73" i="16" s="1"/>
  <c r="X72" i="16"/>
  <c r="AD72" i="16" s="1"/>
  <c r="W72" i="16"/>
  <c r="AC72" i="16" s="1"/>
  <c r="V72" i="16"/>
  <c r="AB72" i="16" s="1"/>
  <c r="X71" i="16"/>
  <c r="AD71" i="16" s="1"/>
  <c r="W71" i="16"/>
  <c r="AC71" i="16" s="1"/>
  <c r="V71" i="16"/>
  <c r="AB71" i="16" s="1"/>
  <c r="X70" i="16"/>
  <c r="AD70" i="16" s="1"/>
  <c r="W70" i="16"/>
  <c r="AC70" i="16" s="1"/>
  <c r="V70" i="16"/>
  <c r="AB70" i="16" s="1"/>
  <c r="X69" i="16"/>
  <c r="AD69" i="16" s="1"/>
  <c r="W69" i="16"/>
  <c r="AC69" i="16" s="1"/>
  <c r="V69" i="16"/>
  <c r="AB69" i="16" s="1"/>
  <c r="X68" i="16"/>
  <c r="AD68" i="16" s="1"/>
  <c r="W68" i="16"/>
  <c r="AC68" i="16" s="1"/>
  <c r="V68" i="16"/>
  <c r="AB68" i="16" s="1"/>
  <c r="X67" i="16"/>
  <c r="AD67" i="16" s="1"/>
  <c r="W67" i="16"/>
  <c r="AC67" i="16" s="1"/>
  <c r="V67" i="16"/>
  <c r="AB67" i="16" s="1"/>
  <c r="X66" i="16"/>
  <c r="AD66" i="16" s="1"/>
  <c r="W66" i="16"/>
  <c r="AC66" i="16" s="1"/>
  <c r="V66" i="16"/>
  <c r="AB66" i="16" s="1"/>
  <c r="X65" i="16"/>
  <c r="AD65" i="16" s="1"/>
  <c r="W65" i="16"/>
  <c r="AC65" i="16" s="1"/>
  <c r="V65" i="16"/>
  <c r="AB65" i="16" s="1"/>
  <c r="X64" i="16"/>
  <c r="AD64" i="16" s="1"/>
  <c r="W64" i="16"/>
  <c r="AC64" i="16" s="1"/>
  <c r="V64" i="16"/>
  <c r="AB64" i="16" s="1"/>
  <c r="X63" i="16"/>
  <c r="AD63" i="16" s="1"/>
  <c r="W63" i="16"/>
  <c r="AC63" i="16" s="1"/>
  <c r="V63" i="16"/>
  <c r="AB63" i="16" s="1"/>
  <c r="X62" i="16"/>
  <c r="AD62" i="16" s="1"/>
  <c r="W62" i="16"/>
  <c r="AC62" i="16" s="1"/>
  <c r="V62" i="16"/>
  <c r="AB62" i="16" s="1"/>
  <c r="X61" i="16"/>
  <c r="AD61" i="16" s="1"/>
  <c r="W61" i="16"/>
  <c r="AC61" i="16" s="1"/>
  <c r="V61" i="16"/>
  <c r="AB61" i="16" s="1"/>
  <c r="X60" i="16"/>
  <c r="AD60" i="16" s="1"/>
  <c r="W60" i="16"/>
  <c r="AC60" i="16" s="1"/>
  <c r="V60" i="16"/>
  <c r="AB60" i="16" s="1"/>
  <c r="X59" i="16"/>
  <c r="AD59" i="16" s="1"/>
  <c r="W59" i="16"/>
  <c r="AC59" i="16" s="1"/>
  <c r="V59" i="16"/>
  <c r="AB59" i="16" s="1"/>
  <c r="X58" i="16"/>
  <c r="AD58" i="16" s="1"/>
  <c r="W58" i="16"/>
  <c r="AC58" i="16" s="1"/>
  <c r="V58" i="16"/>
  <c r="AB58" i="16" s="1"/>
  <c r="X57" i="16"/>
  <c r="AD57" i="16" s="1"/>
  <c r="W57" i="16"/>
  <c r="AC57" i="16" s="1"/>
  <c r="V57" i="16"/>
  <c r="AB57" i="16" s="1"/>
  <c r="X56" i="16"/>
  <c r="AD56" i="16" s="1"/>
  <c r="W56" i="16"/>
  <c r="AC56" i="16" s="1"/>
  <c r="V56" i="16"/>
  <c r="AB56" i="16" s="1"/>
  <c r="X55" i="16"/>
  <c r="AD55" i="16" s="1"/>
  <c r="W55" i="16"/>
  <c r="AC55" i="16" s="1"/>
  <c r="V55" i="16"/>
  <c r="AB55" i="16" s="1"/>
  <c r="X54" i="16"/>
  <c r="AD54" i="16" s="1"/>
  <c r="W54" i="16"/>
  <c r="AC54" i="16" s="1"/>
  <c r="V54" i="16"/>
  <c r="AB54" i="16" s="1"/>
  <c r="X53" i="16"/>
  <c r="AD53" i="16" s="1"/>
  <c r="W53" i="16"/>
  <c r="AC53" i="16" s="1"/>
  <c r="V53" i="16"/>
  <c r="AB53" i="16" s="1"/>
  <c r="X52" i="16"/>
  <c r="AD52" i="16" s="1"/>
  <c r="W52" i="16"/>
  <c r="AC52" i="16" s="1"/>
  <c r="V52" i="16"/>
  <c r="AB52" i="16" s="1"/>
  <c r="X51" i="16"/>
  <c r="AD51" i="16" s="1"/>
  <c r="W51" i="16"/>
  <c r="AC51" i="16" s="1"/>
  <c r="V51" i="16"/>
  <c r="AB51" i="16" s="1"/>
  <c r="X50" i="16"/>
  <c r="AD50" i="16" s="1"/>
  <c r="W50" i="16"/>
  <c r="AC50" i="16" s="1"/>
  <c r="V50" i="16"/>
  <c r="AB50" i="16" s="1"/>
  <c r="X49" i="16"/>
  <c r="AD49" i="16" s="1"/>
  <c r="W49" i="16"/>
  <c r="AC49" i="16" s="1"/>
  <c r="V49" i="16"/>
  <c r="AB49" i="16" s="1"/>
  <c r="X48" i="16"/>
  <c r="AD48" i="16" s="1"/>
  <c r="W48" i="16"/>
  <c r="AC48" i="16" s="1"/>
  <c r="V48" i="16"/>
  <c r="AB48" i="16" s="1"/>
  <c r="X47" i="16"/>
  <c r="AD47" i="16" s="1"/>
  <c r="W47" i="16"/>
  <c r="AC47" i="16" s="1"/>
  <c r="V47" i="16"/>
  <c r="AB47" i="16" s="1"/>
  <c r="X46" i="16"/>
  <c r="AD46" i="16" s="1"/>
  <c r="W46" i="16"/>
  <c r="AC46" i="16" s="1"/>
  <c r="V46" i="16"/>
  <c r="AB46" i="16" s="1"/>
  <c r="X45" i="16"/>
  <c r="AD45" i="16" s="1"/>
  <c r="W45" i="16"/>
  <c r="AC45" i="16" s="1"/>
  <c r="V45" i="16"/>
  <c r="AB45" i="16" s="1"/>
  <c r="X44" i="16"/>
  <c r="AD44" i="16" s="1"/>
  <c r="W44" i="16"/>
  <c r="AC44" i="16" s="1"/>
  <c r="V44" i="16"/>
  <c r="AB44" i="16" s="1"/>
  <c r="X43" i="16"/>
  <c r="AD43" i="16" s="1"/>
  <c r="W43" i="16"/>
  <c r="AC43" i="16" s="1"/>
  <c r="V43" i="16"/>
  <c r="AB43" i="16" s="1"/>
  <c r="X42" i="16"/>
  <c r="AD42" i="16" s="1"/>
  <c r="W42" i="16"/>
  <c r="AC42" i="16" s="1"/>
  <c r="V42" i="16"/>
  <c r="AB42" i="16" s="1"/>
  <c r="X41" i="16"/>
  <c r="AD41" i="16" s="1"/>
  <c r="W41" i="16"/>
  <c r="AC41" i="16" s="1"/>
  <c r="V41" i="16"/>
  <c r="AB41" i="16" s="1"/>
  <c r="X40" i="16"/>
  <c r="AD40" i="16" s="1"/>
  <c r="W40" i="16"/>
  <c r="AC40" i="16" s="1"/>
  <c r="V40" i="16"/>
  <c r="AB40" i="16" s="1"/>
  <c r="X39" i="16"/>
  <c r="AD39" i="16" s="1"/>
  <c r="W39" i="16"/>
  <c r="AC39" i="16" s="1"/>
  <c r="V39" i="16"/>
  <c r="AB39" i="16" s="1"/>
  <c r="X38" i="16"/>
  <c r="AD38" i="16" s="1"/>
  <c r="W38" i="16"/>
  <c r="AC38" i="16" s="1"/>
  <c r="V38" i="16"/>
  <c r="AB38" i="16" s="1"/>
  <c r="X37" i="16"/>
  <c r="AD37" i="16" s="1"/>
  <c r="W37" i="16"/>
  <c r="AC37" i="16" s="1"/>
  <c r="V37" i="16"/>
  <c r="AB37" i="16" s="1"/>
  <c r="X36" i="16"/>
  <c r="AD36" i="16" s="1"/>
  <c r="W36" i="16"/>
  <c r="AC36" i="16" s="1"/>
  <c r="V36" i="16"/>
  <c r="AB36" i="16" s="1"/>
  <c r="X35" i="16"/>
  <c r="AD35" i="16" s="1"/>
  <c r="W35" i="16"/>
  <c r="AC35" i="16" s="1"/>
  <c r="V35" i="16"/>
  <c r="AB35" i="16" s="1"/>
  <c r="X34" i="16"/>
  <c r="AD34" i="16" s="1"/>
  <c r="W34" i="16"/>
  <c r="AC34" i="16" s="1"/>
  <c r="V34" i="16"/>
  <c r="AB34" i="16" s="1"/>
  <c r="X33" i="16"/>
  <c r="AD33" i="16" s="1"/>
  <c r="W33" i="16"/>
  <c r="AC33" i="16" s="1"/>
  <c r="V33" i="16"/>
  <c r="AB33" i="16" s="1"/>
  <c r="X32" i="16"/>
  <c r="AD32" i="16" s="1"/>
  <c r="W32" i="16"/>
  <c r="AC32" i="16" s="1"/>
  <c r="V32" i="16"/>
  <c r="AB32" i="16" s="1"/>
  <c r="X31" i="16"/>
  <c r="AD31" i="16" s="1"/>
  <c r="W31" i="16"/>
  <c r="AC31" i="16" s="1"/>
  <c r="V31" i="16"/>
  <c r="AB31" i="16" s="1"/>
  <c r="X30" i="16"/>
  <c r="AD30" i="16" s="1"/>
  <c r="W30" i="16"/>
  <c r="AC30" i="16" s="1"/>
  <c r="V30" i="16"/>
  <c r="AB30" i="16" s="1"/>
  <c r="X29" i="16"/>
  <c r="AD29" i="16" s="1"/>
  <c r="W29" i="16"/>
  <c r="AC29" i="16" s="1"/>
  <c r="V29" i="16"/>
  <c r="AB29" i="16" s="1"/>
  <c r="X28" i="16"/>
  <c r="AD28" i="16" s="1"/>
  <c r="W28" i="16"/>
  <c r="AC28" i="16" s="1"/>
  <c r="V28" i="16"/>
  <c r="AB28" i="16" s="1"/>
  <c r="X27" i="16"/>
  <c r="AD27" i="16" s="1"/>
  <c r="W27" i="16"/>
  <c r="AC27" i="16" s="1"/>
  <c r="V27" i="16"/>
  <c r="AB27" i="16" s="1"/>
  <c r="X26" i="16"/>
  <c r="AD26" i="16" s="1"/>
  <c r="W26" i="16"/>
  <c r="AC26" i="16" s="1"/>
  <c r="V26" i="16"/>
  <c r="AB26" i="16" s="1"/>
  <c r="X25" i="16"/>
  <c r="AD25" i="16" s="1"/>
  <c r="W25" i="16"/>
  <c r="AC25" i="16" s="1"/>
  <c r="V25" i="16"/>
  <c r="AB25" i="16" s="1"/>
  <c r="X24" i="16"/>
  <c r="AD24" i="16" s="1"/>
  <c r="W24" i="16"/>
  <c r="AC24" i="16" s="1"/>
  <c r="V24" i="16"/>
  <c r="AB24" i="16" s="1"/>
  <c r="X23" i="16"/>
  <c r="AD23" i="16" s="1"/>
  <c r="W23" i="16"/>
  <c r="AC23" i="16" s="1"/>
  <c r="V23" i="16"/>
  <c r="AB23" i="16" s="1"/>
  <c r="X22" i="16"/>
  <c r="AD22" i="16" s="1"/>
  <c r="W22" i="16"/>
  <c r="AC22" i="16" s="1"/>
  <c r="V22" i="16"/>
  <c r="AB22" i="16" s="1"/>
  <c r="X21" i="16"/>
  <c r="AD21" i="16" s="1"/>
  <c r="W21" i="16"/>
  <c r="AC21" i="16" s="1"/>
  <c r="V21" i="16"/>
  <c r="AB21" i="16" s="1"/>
  <c r="X20" i="16"/>
  <c r="AD20" i="16" s="1"/>
  <c r="W20" i="16"/>
  <c r="AC20" i="16" s="1"/>
  <c r="V20" i="16"/>
  <c r="AB20" i="16" s="1"/>
  <c r="X19" i="16"/>
  <c r="AD19" i="16" s="1"/>
  <c r="W19" i="16"/>
  <c r="AC19" i="16" s="1"/>
  <c r="V19" i="16"/>
  <c r="AB19" i="16" s="1"/>
  <c r="X18" i="16"/>
  <c r="AD18" i="16" s="1"/>
  <c r="W18" i="16"/>
  <c r="AC18" i="16" s="1"/>
  <c r="V18" i="16"/>
  <c r="AB18" i="16" s="1"/>
  <c r="X17" i="16"/>
  <c r="AD17" i="16" s="1"/>
  <c r="W17" i="16"/>
  <c r="AC17" i="16" s="1"/>
  <c r="V17" i="16"/>
  <c r="AB17" i="16" s="1"/>
  <c r="X16" i="16"/>
  <c r="AD16" i="16" s="1"/>
  <c r="W16" i="16"/>
  <c r="AC16" i="16" s="1"/>
  <c r="V16" i="16"/>
  <c r="AB16" i="16" s="1"/>
  <c r="X15" i="16"/>
  <c r="AD15" i="16" s="1"/>
  <c r="W15" i="16"/>
  <c r="AC15" i="16" s="1"/>
  <c r="V15" i="16"/>
  <c r="AB15" i="16" s="1"/>
  <c r="X14" i="16"/>
  <c r="AD14" i="16" s="1"/>
  <c r="W14" i="16"/>
  <c r="AC14" i="16" s="1"/>
  <c r="V14" i="16"/>
  <c r="AB14" i="16" s="1"/>
  <c r="X13" i="16"/>
  <c r="AD13" i="16" s="1"/>
  <c r="W13" i="16"/>
  <c r="AC13" i="16" s="1"/>
  <c r="V13" i="16"/>
  <c r="AB13" i="16" s="1"/>
  <c r="X12" i="16"/>
  <c r="AD12" i="16" s="1"/>
  <c r="W12" i="16"/>
  <c r="AC12" i="16" s="1"/>
  <c r="V12" i="16"/>
  <c r="AB12" i="16" s="1"/>
  <c r="X11" i="16"/>
  <c r="AD11" i="16" s="1"/>
  <c r="W11" i="16"/>
  <c r="AC11" i="16" s="1"/>
  <c r="V11" i="16"/>
  <c r="AB11" i="16" s="1"/>
  <c r="X10" i="16"/>
  <c r="AD10" i="16" s="1"/>
  <c r="W10" i="16"/>
  <c r="AC10" i="16" s="1"/>
  <c r="V10" i="16"/>
  <c r="AB10" i="16" s="1"/>
  <c r="X9" i="16"/>
  <c r="AD9" i="16" s="1"/>
  <c r="W9" i="16"/>
  <c r="AC9" i="16" s="1"/>
  <c r="V9" i="16"/>
  <c r="AB9" i="16" s="1"/>
  <c r="X8" i="16"/>
  <c r="AD8" i="16" s="1"/>
  <c r="W8" i="16"/>
  <c r="AC8" i="16" s="1"/>
  <c r="V8" i="16"/>
  <c r="AB8" i="16" s="1"/>
  <c r="X7" i="16"/>
  <c r="AD7" i="16" s="1"/>
  <c r="W7" i="16"/>
  <c r="AC7" i="16" s="1"/>
  <c r="V7" i="16"/>
  <c r="AB7" i="16" s="1"/>
  <c r="X6" i="16"/>
  <c r="AD6" i="16" s="1"/>
  <c r="W6" i="16"/>
  <c r="AC6" i="16" s="1"/>
  <c r="V6" i="16"/>
  <c r="AB6" i="16" s="1"/>
  <c r="X5" i="16"/>
  <c r="AD5" i="16" s="1"/>
  <c r="W5" i="16"/>
  <c r="AC5" i="16" s="1"/>
  <c r="V5" i="16"/>
  <c r="AB5" i="16" s="1"/>
  <c r="X4" i="16"/>
  <c r="AD4" i="16" s="1"/>
  <c r="W4" i="16"/>
  <c r="AC4" i="16" s="1"/>
  <c r="V4" i="16"/>
  <c r="AB4" i="16" s="1"/>
  <c r="X3" i="16"/>
  <c r="AD3" i="16" s="1"/>
  <c r="W3" i="16"/>
  <c r="AC3" i="16" s="1"/>
  <c r="V3" i="16"/>
  <c r="AB3" i="16" s="1"/>
  <c r="X2" i="16"/>
  <c r="AD2" i="16" s="1"/>
  <c r="W2" i="16"/>
  <c r="AC2" i="16" s="1"/>
  <c r="V2" i="16"/>
  <c r="AB2" i="16" s="1"/>
  <c r="AT5" i="16" l="1"/>
  <c r="AJ5" i="16"/>
  <c r="AO3" i="16"/>
  <c r="AT8" i="16"/>
  <c r="AJ9" i="16"/>
  <c r="AT9" i="16"/>
  <c r="AJ3" i="16"/>
  <c r="AT4" i="16"/>
  <c r="AT6" i="16"/>
  <c r="AJ6" i="16"/>
  <c r="AJ7" i="16"/>
  <c r="AT7" i="16"/>
  <c r="AJ2" i="16"/>
  <c r="AO2" i="16"/>
  <c r="AO4" i="16"/>
  <c r="AA9" i="27"/>
  <c r="AF9" i="27" s="1"/>
  <c r="AA10" i="27"/>
  <c r="AA11" i="27"/>
  <c r="AF11" i="27" s="1"/>
  <c r="AA12" i="27"/>
  <c r="AF12" i="27" s="1"/>
  <c r="M1886" i="27"/>
  <c r="U10" i="27" s="1"/>
  <c r="AI10" i="27" s="1"/>
  <c r="R10" i="27"/>
  <c r="AO8" i="16"/>
  <c r="AC29" i="17"/>
  <c r="AC33" i="17"/>
  <c r="AC37" i="17"/>
  <c r="AC53" i="17"/>
  <c r="AC57" i="17"/>
  <c r="AC61" i="17"/>
  <c r="AC65" i="17"/>
  <c r="AC69" i="17"/>
  <c r="AC73" i="17"/>
  <c r="AC77" i="17"/>
  <c r="AC81" i="17"/>
  <c r="AC85" i="17"/>
  <c r="AC171" i="17"/>
  <c r="AC173" i="17"/>
  <c r="AC175" i="17"/>
  <c r="AC177" i="17"/>
  <c r="AC179" i="17"/>
  <c r="AC181" i="17"/>
  <c r="AC197" i="17"/>
  <c r="AC201" i="17"/>
  <c r="AC205" i="17"/>
  <c r="AC221" i="17"/>
  <c r="AC225" i="17"/>
  <c r="AC229" i="17"/>
  <c r="AC441" i="17"/>
  <c r="AC443" i="17"/>
  <c r="AC445" i="17"/>
  <c r="AC447" i="17"/>
  <c r="AC449" i="17"/>
  <c r="AC451" i="17"/>
  <c r="AC453" i="17"/>
  <c r="AC455" i="17"/>
  <c r="AC457" i="17"/>
  <c r="AC459" i="17"/>
  <c r="AC461" i="17"/>
  <c r="AC463" i="17"/>
  <c r="AC465" i="17"/>
  <c r="AC467" i="17"/>
  <c r="AC469" i="17"/>
  <c r="AC471" i="17"/>
  <c r="AC473" i="17"/>
  <c r="AC555" i="17"/>
  <c r="AC559" i="17"/>
  <c r="AC563" i="17"/>
  <c r="AC579" i="17"/>
  <c r="AC583" i="17"/>
  <c r="AC587" i="17"/>
  <c r="AC591" i="17"/>
  <c r="AC595" i="17"/>
  <c r="AC599" i="17"/>
  <c r="AC603" i="17"/>
  <c r="AC607" i="17"/>
  <c r="AC611" i="17"/>
  <c r="AC27" i="17"/>
  <c r="AI3" i="17" s="1"/>
  <c r="AC31" i="17"/>
  <c r="AC35" i="17"/>
  <c r="AC43" i="17"/>
  <c r="AC47" i="17"/>
  <c r="AC51" i="17"/>
  <c r="AI2" i="17" s="1"/>
  <c r="AC55" i="17"/>
  <c r="AC59" i="17"/>
  <c r="AC75" i="17"/>
  <c r="AC79" i="17"/>
  <c r="AC83" i="17"/>
  <c r="AC111" i="17"/>
  <c r="AC115" i="17"/>
  <c r="AC119" i="17"/>
  <c r="AC123" i="17"/>
  <c r="AC127" i="17"/>
  <c r="AC131" i="17"/>
  <c r="AC135" i="17"/>
  <c r="AC139" i="17"/>
  <c r="AC143" i="17"/>
  <c r="AC147" i="17"/>
  <c r="AC151" i="17"/>
  <c r="AC155" i="17"/>
  <c r="AC170" i="17"/>
  <c r="AI5" i="17" s="1"/>
  <c r="AC172" i="17"/>
  <c r="AC174" i="17"/>
  <c r="AC176" i="17"/>
  <c r="AC178" i="17"/>
  <c r="AC180" i="17"/>
  <c r="AC195" i="17"/>
  <c r="AC199" i="17"/>
  <c r="AC203" i="17"/>
  <c r="AC219" i="17"/>
  <c r="AC223" i="17"/>
  <c r="AC227" i="17"/>
  <c r="AC317" i="17"/>
  <c r="AC321" i="17"/>
  <c r="AC325" i="17"/>
  <c r="AC329" i="17"/>
  <c r="AC333" i="17"/>
  <c r="AC337" i="17"/>
  <c r="AC440" i="17"/>
  <c r="AC442" i="17"/>
  <c r="AC444" i="17"/>
  <c r="AC446" i="17"/>
  <c r="AC448" i="17"/>
  <c r="AC450" i="17"/>
  <c r="AC452" i="17"/>
  <c r="AC454" i="17"/>
  <c r="AC456" i="17"/>
  <c r="AC458" i="17"/>
  <c r="AC460" i="17"/>
  <c r="AC462" i="17"/>
  <c r="AC464" i="17"/>
  <c r="AC466" i="17"/>
  <c r="AC468" i="17"/>
  <c r="AC470" i="17"/>
  <c r="AC472" i="17"/>
  <c r="AC541" i="17"/>
  <c r="AC545" i="17"/>
  <c r="AC549" i="17"/>
  <c r="AC553" i="17"/>
  <c r="AC557" i="17"/>
  <c r="AC561" i="17"/>
  <c r="AC565" i="17"/>
  <c r="AC569" i="17"/>
  <c r="AC573" i="17"/>
  <c r="AC577" i="17"/>
  <c r="AC581" i="17"/>
  <c r="AC585" i="17"/>
  <c r="AC589" i="17"/>
  <c r="AC593" i="17"/>
  <c r="AC597" i="17"/>
  <c r="AC601" i="17"/>
  <c r="AC605" i="17"/>
  <c r="AC609" i="17"/>
  <c r="AC613" i="17"/>
  <c r="AC617" i="17"/>
  <c r="AC621" i="17"/>
  <c r="AC625" i="17"/>
  <c r="AC629" i="17"/>
  <c r="AC633" i="17"/>
  <c r="AC637" i="17"/>
  <c r="AC705" i="17"/>
  <c r="AC709" i="17"/>
  <c r="AC713" i="17"/>
  <c r="AC717" i="17"/>
  <c r="AC721" i="17"/>
  <c r="AC725" i="17"/>
  <c r="AC729" i="17"/>
  <c r="AC733" i="17"/>
  <c r="AC737" i="17"/>
  <c r="AO10" i="16"/>
  <c r="AO11" i="16"/>
  <c r="AT3" i="16"/>
  <c r="AT2" i="16"/>
  <c r="AT10" i="16" s="1"/>
  <c r="AT12" i="16" s="1"/>
  <c r="AJ4" i="16"/>
  <c r="AJ10" i="16" s="1"/>
  <c r="AJ12" i="16" s="1"/>
  <c r="AT11" i="16"/>
  <c r="AJ8" i="16"/>
  <c r="AJ11" i="16"/>
  <c r="AI6" i="17"/>
  <c r="AC41" i="17"/>
  <c r="AC45" i="17"/>
  <c r="AC49" i="17"/>
  <c r="AC63" i="17"/>
  <c r="AC67" i="17"/>
  <c r="AC71" i="17"/>
  <c r="AC113" i="17"/>
  <c r="AC117" i="17"/>
  <c r="AC121" i="17"/>
  <c r="AC125" i="17"/>
  <c r="AC129" i="17"/>
  <c r="AC133" i="17"/>
  <c r="AC137" i="17"/>
  <c r="AC141" i="17"/>
  <c r="AC145" i="17"/>
  <c r="AC149" i="17"/>
  <c r="AC153" i="17"/>
  <c r="AC157" i="17"/>
  <c r="AC39" i="17"/>
  <c r="AC319" i="17"/>
  <c r="AC323" i="17"/>
  <c r="AC327" i="17"/>
  <c r="AC331" i="17"/>
  <c r="AC335" i="17"/>
  <c r="AC339" i="17"/>
  <c r="AC544" i="17"/>
  <c r="AC194" i="17"/>
  <c r="AC198" i="17"/>
  <c r="AC202" i="17"/>
  <c r="AC206" i="17"/>
  <c r="AC207" i="17"/>
  <c r="AC208" i="17"/>
  <c r="AC209" i="17"/>
  <c r="AC210" i="17"/>
  <c r="AC211" i="17"/>
  <c r="AC212" i="17"/>
  <c r="AC213" i="17"/>
  <c r="AC214" i="17"/>
  <c r="AC215" i="17"/>
  <c r="AC216" i="17"/>
  <c r="AC217" i="17"/>
  <c r="AC218" i="17"/>
  <c r="AC222" i="17"/>
  <c r="AC226" i="17"/>
  <c r="AC280" i="17"/>
  <c r="AC281" i="17"/>
  <c r="AC282" i="17"/>
  <c r="AC283" i="17"/>
  <c r="AC284" i="17"/>
  <c r="AC285" i="17"/>
  <c r="AC286" i="17"/>
  <c r="AC287" i="17"/>
  <c r="AC288" i="17"/>
  <c r="AC289" i="17"/>
  <c r="AC290" i="17"/>
  <c r="AC291" i="17"/>
  <c r="AC292" i="17"/>
  <c r="AC293" i="17"/>
  <c r="AC294" i="17"/>
  <c r="AC295" i="17"/>
  <c r="AC296" i="17"/>
  <c r="AC297" i="17"/>
  <c r="AC298" i="17"/>
  <c r="AC299" i="17"/>
  <c r="AC300" i="17"/>
  <c r="AC301" i="17"/>
  <c r="AC302" i="17"/>
  <c r="AC303" i="17"/>
  <c r="AC304" i="17"/>
  <c r="AC305" i="17"/>
  <c r="AC306" i="17"/>
  <c r="AC307" i="17"/>
  <c r="AC308" i="17"/>
  <c r="AC309" i="17"/>
  <c r="AC310" i="17"/>
  <c r="AC311" i="17"/>
  <c r="AC312" i="17"/>
  <c r="AC313" i="17"/>
  <c r="AC314" i="17"/>
  <c r="AC315" i="17"/>
  <c r="AC316" i="17"/>
  <c r="AI7" i="17" s="1"/>
  <c r="AC320" i="17"/>
  <c r="AC324" i="17"/>
  <c r="AC328" i="17"/>
  <c r="AC332" i="17"/>
  <c r="AC336" i="17"/>
  <c r="AC52" i="17"/>
  <c r="AC56" i="17"/>
  <c r="AC60" i="17"/>
  <c r="AC76" i="17"/>
  <c r="AC80" i="17"/>
  <c r="AC84" i="17"/>
  <c r="AC196" i="17"/>
  <c r="AC200" i="17"/>
  <c r="AC204" i="17"/>
  <c r="AC220" i="17"/>
  <c r="AC224" i="17"/>
  <c r="AC228" i="17"/>
  <c r="AC614" i="17"/>
  <c r="AI8" i="17" s="1"/>
  <c r="AC618" i="17"/>
  <c r="AC622" i="17"/>
  <c r="AC626" i="17"/>
  <c r="AC630" i="17"/>
  <c r="AC634" i="17"/>
  <c r="AC638" i="17"/>
  <c r="AC642" i="17"/>
  <c r="AC646" i="17"/>
  <c r="AC650" i="17"/>
  <c r="AC654" i="17"/>
  <c r="AC658" i="17"/>
  <c r="AC662" i="17"/>
  <c r="AC666" i="17"/>
  <c r="AC670" i="17"/>
  <c r="AC674" i="17"/>
  <c r="AC678" i="17"/>
  <c r="AC682" i="17"/>
  <c r="AC686" i="17"/>
  <c r="AC690" i="17"/>
  <c r="AC694" i="17"/>
  <c r="AC698" i="17"/>
  <c r="AC702" i="17"/>
  <c r="AC706" i="17"/>
  <c r="AC710" i="17"/>
  <c r="AC714" i="17"/>
  <c r="AC718" i="17"/>
  <c r="AC722" i="17"/>
  <c r="AC726" i="17"/>
  <c r="AC730" i="17"/>
  <c r="AC734" i="17"/>
  <c r="AC738" i="17"/>
  <c r="AC742" i="17"/>
  <c r="AC746" i="17"/>
  <c r="AC750" i="17"/>
  <c r="AC754" i="17"/>
  <c r="AC758" i="17"/>
  <c r="AC762" i="17"/>
  <c r="AC766" i="17"/>
  <c r="AC770" i="17"/>
  <c r="AC774" i="17"/>
  <c r="AC778" i="17"/>
  <c r="AC782" i="17"/>
  <c r="AC786" i="17"/>
  <c r="AC790" i="17"/>
  <c r="AC794" i="17"/>
  <c r="AC798" i="17"/>
  <c r="AC802" i="17"/>
  <c r="AC806" i="17"/>
  <c r="AC810" i="17"/>
  <c r="AC814" i="17"/>
  <c r="AC543" i="17"/>
  <c r="AC547" i="17"/>
  <c r="AC551" i="17"/>
  <c r="AC567" i="17"/>
  <c r="AC571" i="17"/>
  <c r="AC575" i="17"/>
  <c r="AC615" i="17"/>
  <c r="AC619" i="17"/>
  <c r="AC623" i="17"/>
  <c r="AC627" i="17"/>
  <c r="AC631" i="17"/>
  <c r="AC635" i="17"/>
  <c r="AC639" i="17"/>
  <c r="AC643" i="17"/>
  <c r="AC647" i="17"/>
  <c r="AC651" i="17"/>
  <c r="AC655" i="17"/>
  <c r="AC659" i="17"/>
  <c r="AC663" i="17"/>
  <c r="AC667" i="17"/>
  <c r="AC671" i="17"/>
  <c r="AC675" i="17"/>
  <c r="AC679" i="17"/>
  <c r="AC683" i="17"/>
  <c r="AC687" i="17"/>
  <c r="AC691" i="17"/>
  <c r="AC695" i="17"/>
  <c r="AC699" i="17"/>
  <c r="AC703" i="17"/>
  <c r="AC707" i="17"/>
  <c r="AC711" i="17"/>
  <c r="AC715" i="17"/>
  <c r="AC719" i="17"/>
  <c r="AC723" i="17"/>
  <c r="AC727" i="17"/>
  <c r="AC731" i="17"/>
  <c r="AC735" i="17"/>
  <c r="AC739" i="17"/>
  <c r="AC743" i="17"/>
  <c r="AC747" i="17"/>
  <c r="AC751" i="17"/>
  <c r="AC755" i="17"/>
  <c r="AC759" i="17"/>
  <c r="AC763" i="17"/>
  <c r="AC767" i="17"/>
  <c r="AC771" i="17"/>
  <c r="AC775" i="17"/>
  <c r="AC779" i="17"/>
  <c r="AC783" i="17"/>
  <c r="AC787" i="17"/>
  <c r="AC791" i="17"/>
  <c r="AC795" i="17"/>
  <c r="AC799" i="17"/>
  <c r="AC803" i="17"/>
  <c r="AC807" i="17"/>
  <c r="AC811" i="17"/>
  <c r="AC815" i="17"/>
  <c r="AC684" i="17"/>
  <c r="AC688" i="17"/>
  <c r="AC692" i="17"/>
  <c r="AC696" i="17"/>
  <c r="AC700" i="17"/>
  <c r="AC704" i="17"/>
  <c r="AC744" i="17"/>
  <c r="AC748" i="17"/>
  <c r="AC752" i="17"/>
  <c r="AC756" i="17"/>
  <c r="AC760" i="17"/>
  <c r="AC764" i="17"/>
  <c r="AC768" i="17"/>
  <c r="AC772" i="17"/>
  <c r="AC776" i="17"/>
  <c r="AC780" i="17"/>
  <c r="AC784" i="17"/>
  <c r="AC788" i="17"/>
  <c r="AC792" i="17"/>
  <c r="AC796" i="17"/>
  <c r="AC800" i="17"/>
  <c r="AC804" i="17"/>
  <c r="AC808" i="17"/>
  <c r="AC812" i="17"/>
  <c r="AC816" i="17"/>
  <c r="AO12" i="16"/>
  <c r="AC641" i="17"/>
  <c r="AC645" i="17"/>
  <c r="AC649" i="17"/>
  <c r="AC653" i="17"/>
  <c r="AC657" i="17"/>
  <c r="AC661" i="17"/>
  <c r="AC665" i="17"/>
  <c r="AC669" i="17"/>
  <c r="AC673" i="17"/>
  <c r="AC677" i="17"/>
  <c r="AC681" i="17"/>
  <c r="AC685" i="17"/>
  <c r="AC689" i="17"/>
  <c r="AC693" i="17"/>
  <c r="AC697" i="17"/>
  <c r="AC701" i="17"/>
  <c r="AC741" i="17"/>
  <c r="AC745" i="17"/>
  <c r="AC749" i="17"/>
  <c r="AC753" i="17"/>
  <c r="AC757" i="17"/>
  <c r="AC761" i="17"/>
  <c r="AC765" i="17"/>
  <c r="AC769" i="17"/>
  <c r="AC773" i="17"/>
  <c r="AC777" i="17"/>
  <c r="AC781" i="17"/>
  <c r="AC785" i="17"/>
  <c r="AC789" i="17"/>
  <c r="AC793" i="17"/>
  <c r="AC797" i="17"/>
  <c r="AC801" i="17"/>
  <c r="AC805" i="17"/>
  <c r="AC809" i="17"/>
  <c r="AC813" i="17"/>
  <c r="AC817" i="17"/>
  <c r="AD86" i="6"/>
  <c r="AB86" i="6"/>
  <c r="AA86" i="6"/>
  <c r="Z86" i="6"/>
  <c r="Y86" i="6"/>
  <c r="X86" i="6"/>
  <c r="AD85" i="6"/>
  <c r="AB85" i="6"/>
  <c r="AA85" i="6"/>
  <c r="Z85" i="6"/>
  <c r="Y85" i="6"/>
  <c r="X85" i="6"/>
  <c r="AD84" i="6"/>
  <c r="AB84" i="6"/>
  <c r="AA84" i="6"/>
  <c r="Z84" i="6"/>
  <c r="Y84" i="6"/>
  <c r="X84" i="6"/>
  <c r="AD83" i="6"/>
  <c r="AB83" i="6"/>
  <c r="AA83" i="6"/>
  <c r="Z83" i="6"/>
  <c r="Y83" i="6"/>
  <c r="X83" i="6"/>
  <c r="U83" i="6"/>
  <c r="AD82" i="6"/>
  <c r="AB82" i="6"/>
  <c r="AA82" i="6"/>
  <c r="Z82" i="6"/>
  <c r="Y82" i="6"/>
  <c r="X82" i="6"/>
  <c r="AD81" i="6"/>
  <c r="AB81" i="6"/>
  <c r="AA81" i="6"/>
  <c r="Z81" i="6"/>
  <c r="Y81" i="6"/>
  <c r="X81" i="6"/>
  <c r="AD80" i="6"/>
  <c r="AB80" i="6"/>
  <c r="AA80" i="6"/>
  <c r="Z80" i="6"/>
  <c r="Y80" i="6"/>
  <c r="X80" i="6"/>
  <c r="AD79" i="6"/>
  <c r="AB79" i="6"/>
  <c r="AA79" i="6"/>
  <c r="Z79" i="6"/>
  <c r="Y79" i="6"/>
  <c r="X79" i="6"/>
  <c r="U79" i="6"/>
  <c r="AD78" i="6"/>
  <c r="AB78" i="6"/>
  <c r="AA78" i="6"/>
  <c r="Z78" i="6"/>
  <c r="Y78" i="6"/>
  <c r="X78" i="6"/>
  <c r="AD77" i="6"/>
  <c r="AB77" i="6"/>
  <c r="AA77" i="6"/>
  <c r="Z77" i="6"/>
  <c r="Y77" i="6"/>
  <c r="X77" i="6"/>
  <c r="AD76" i="6"/>
  <c r="AB76" i="6"/>
  <c r="AA76" i="6"/>
  <c r="Z76" i="6"/>
  <c r="Y76" i="6"/>
  <c r="X76" i="6"/>
  <c r="AD75" i="6"/>
  <c r="AB75" i="6"/>
  <c r="AA75" i="6"/>
  <c r="Z75" i="6"/>
  <c r="Y75" i="6"/>
  <c r="X75" i="6"/>
  <c r="U75" i="6"/>
  <c r="AD74" i="6"/>
  <c r="AB74" i="6"/>
  <c r="AA74" i="6"/>
  <c r="Z74" i="6"/>
  <c r="Y74" i="6"/>
  <c r="X74" i="6"/>
  <c r="AD73" i="6"/>
  <c r="AB73" i="6"/>
  <c r="AA73" i="6"/>
  <c r="Z73" i="6"/>
  <c r="Y73" i="6"/>
  <c r="X73" i="6"/>
  <c r="AD72" i="6"/>
  <c r="AB72" i="6"/>
  <c r="AA72" i="6"/>
  <c r="Z72" i="6"/>
  <c r="Y72" i="6"/>
  <c r="X72" i="6"/>
  <c r="AD71" i="6"/>
  <c r="AB71" i="6"/>
  <c r="AA71" i="6"/>
  <c r="Z71" i="6"/>
  <c r="Y71" i="6"/>
  <c r="X71" i="6"/>
  <c r="U71" i="6"/>
  <c r="AD70" i="6"/>
  <c r="AB70" i="6"/>
  <c r="AA70" i="6"/>
  <c r="Z70" i="6"/>
  <c r="Y70" i="6"/>
  <c r="X70" i="6"/>
  <c r="AD69" i="6"/>
  <c r="AB69" i="6"/>
  <c r="AA69" i="6"/>
  <c r="Z69" i="6"/>
  <c r="Y69" i="6"/>
  <c r="X69" i="6"/>
  <c r="AD68" i="6"/>
  <c r="AB68" i="6"/>
  <c r="AA68" i="6"/>
  <c r="Z68" i="6"/>
  <c r="Y68" i="6"/>
  <c r="X68" i="6"/>
  <c r="AD67" i="6"/>
  <c r="AB67" i="6"/>
  <c r="AA67" i="6"/>
  <c r="Z67" i="6"/>
  <c r="Y67" i="6"/>
  <c r="X67" i="6"/>
  <c r="U67" i="6"/>
  <c r="AD66" i="6"/>
  <c r="AB66" i="6"/>
  <c r="AA66" i="6"/>
  <c r="Z66" i="6"/>
  <c r="Y66" i="6"/>
  <c r="X66" i="6"/>
  <c r="AD65" i="6"/>
  <c r="AB65" i="6"/>
  <c r="AA65" i="6"/>
  <c r="Z65" i="6"/>
  <c r="Y65" i="6"/>
  <c r="X65" i="6"/>
  <c r="AD64" i="6"/>
  <c r="AB64" i="6"/>
  <c r="AA64" i="6"/>
  <c r="Z64" i="6"/>
  <c r="Y64" i="6"/>
  <c r="X64" i="6"/>
  <c r="AD63" i="6"/>
  <c r="AB63" i="6"/>
  <c r="AA63" i="6"/>
  <c r="Z63" i="6"/>
  <c r="Y63" i="6"/>
  <c r="X63" i="6"/>
  <c r="U63" i="6"/>
  <c r="AD62" i="6"/>
  <c r="AB62" i="6"/>
  <c r="AA62" i="6"/>
  <c r="Z62" i="6"/>
  <c r="Y62" i="6"/>
  <c r="X62" i="6"/>
  <c r="AD61" i="6"/>
  <c r="AB61" i="6"/>
  <c r="AA61" i="6"/>
  <c r="Z61" i="6"/>
  <c r="Y61" i="6"/>
  <c r="X61" i="6"/>
  <c r="AD60" i="6"/>
  <c r="AC60" i="6"/>
  <c r="AB60" i="6"/>
  <c r="AA60" i="6"/>
  <c r="Z60" i="6"/>
  <c r="Y60" i="6"/>
  <c r="X60" i="6"/>
  <c r="W60" i="6"/>
  <c r="V60" i="6"/>
  <c r="U60" i="6"/>
  <c r="AD59" i="6"/>
  <c r="AB59" i="6"/>
  <c r="AA59" i="6"/>
  <c r="Z59" i="6"/>
  <c r="Y59" i="6"/>
  <c r="X59" i="6"/>
  <c r="U59" i="6"/>
  <c r="AD58" i="6"/>
  <c r="AB58" i="6"/>
  <c r="AA58" i="6"/>
  <c r="Z58" i="6"/>
  <c r="Y58" i="6"/>
  <c r="X58" i="6"/>
  <c r="AD57" i="6"/>
  <c r="AB57" i="6"/>
  <c r="AA57" i="6"/>
  <c r="Z57" i="6"/>
  <c r="Y57" i="6"/>
  <c r="X57" i="6"/>
  <c r="AD56" i="6"/>
  <c r="AB56" i="6"/>
  <c r="AA56" i="6"/>
  <c r="Z56" i="6"/>
  <c r="Y56" i="6"/>
  <c r="X56" i="6"/>
  <c r="AD55" i="6"/>
  <c r="AC55" i="6"/>
  <c r="AB55" i="6"/>
  <c r="AA55" i="6"/>
  <c r="Z55" i="6"/>
  <c r="Y55" i="6"/>
  <c r="X55" i="6"/>
  <c r="W55" i="6"/>
  <c r="V55" i="6"/>
  <c r="U55" i="6"/>
  <c r="AD54" i="6"/>
  <c r="AC54" i="6"/>
  <c r="AB54" i="6"/>
  <c r="AA54" i="6"/>
  <c r="Z54" i="6"/>
  <c r="Y54" i="6"/>
  <c r="X54" i="6"/>
  <c r="W54" i="6"/>
  <c r="V54" i="6"/>
  <c r="U54" i="6"/>
  <c r="AD53" i="6"/>
  <c r="AC53" i="6"/>
  <c r="AB53" i="6"/>
  <c r="AA53" i="6"/>
  <c r="Z53" i="6"/>
  <c r="Y53" i="6"/>
  <c r="X53" i="6"/>
  <c r="W53" i="6"/>
  <c r="V53" i="6"/>
  <c r="U53" i="6"/>
  <c r="AD52" i="6"/>
  <c r="AC52" i="6"/>
  <c r="AB52" i="6"/>
  <c r="AA52" i="6"/>
  <c r="Z52" i="6"/>
  <c r="Y52" i="6"/>
  <c r="X52" i="6"/>
  <c r="W52" i="6"/>
  <c r="V52" i="6"/>
  <c r="U52" i="6"/>
  <c r="AD51" i="6"/>
  <c r="AC51" i="6"/>
  <c r="AB51" i="6"/>
  <c r="AA51" i="6"/>
  <c r="Z51" i="6"/>
  <c r="Y51" i="6"/>
  <c r="X51" i="6"/>
  <c r="W51" i="6"/>
  <c r="V51" i="6"/>
  <c r="U51" i="6"/>
  <c r="AD50" i="6"/>
  <c r="AC50" i="6"/>
  <c r="AB50" i="6"/>
  <c r="AA50" i="6"/>
  <c r="Z50" i="6"/>
  <c r="Y50" i="6"/>
  <c r="X50" i="6"/>
  <c r="W50" i="6"/>
  <c r="V50" i="6"/>
  <c r="U50" i="6"/>
  <c r="AD49" i="6"/>
  <c r="AC49" i="6"/>
  <c r="AB49" i="6"/>
  <c r="AA49" i="6"/>
  <c r="Z49" i="6"/>
  <c r="Y49" i="6"/>
  <c r="X49" i="6"/>
  <c r="W49" i="6"/>
  <c r="V49" i="6"/>
  <c r="U49" i="6"/>
  <c r="AD48" i="6"/>
  <c r="AC48" i="6"/>
  <c r="AB48" i="6"/>
  <c r="AA48" i="6"/>
  <c r="Z48" i="6"/>
  <c r="Y48" i="6"/>
  <c r="X48" i="6"/>
  <c r="W48" i="6"/>
  <c r="V48" i="6"/>
  <c r="U48" i="6"/>
  <c r="AD47" i="6"/>
  <c r="AC47" i="6"/>
  <c r="AB47" i="6"/>
  <c r="AA47" i="6"/>
  <c r="Z47" i="6"/>
  <c r="Y47" i="6"/>
  <c r="X47" i="6"/>
  <c r="W47" i="6"/>
  <c r="V47" i="6"/>
  <c r="U47" i="6"/>
  <c r="AD46" i="6"/>
  <c r="AC46" i="6"/>
  <c r="AB46" i="6"/>
  <c r="AA46" i="6"/>
  <c r="Z46" i="6"/>
  <c r="Y46" i="6"/>
  <c r="X46" i="6"/>
  <c r="W46" i="6"/>
  <c r="V46" i="6"/>
  <c r="U46" i="6"/>
  <c r="AD45" i="6"/>
  <c r="AC45" i="6"/>
  <c r="AB45" i="6"/>
  <c r="AA45" i="6"/>
  <c r="Z45" i="6"/>
  <c r="Y45" i="6"/>
  <c r="X45" i="6"/>
  <c r="W45" i="6"/>
  <c r="V45" i="6"/>
  <c r="U45" i="6"/>
  <c r="AD44" i="6"/>
  <c r="AC44" i="6"/>
  <c r="AB44" i="6"/>
  <c r="AA44" i="6"/>
  <c r="Z44" i="6"/>
  <c r="Y44" i="6"/>
  <c r="X44" i="6"/>
  <c r="W44" i="6"/>
  <c r="V44" i="6"/>
  <c r="U44" i="6"/>
  <c r="AD43" i="6"/>
  <c r="AC43" i="6"/>
  <c r="AB43" i="6"/>
  <c r="AA43" i="6"/>
  <c r="Z43" i="6"/>
  <c r="Y43" i="6"/>
  <c r="X43" i="6"/>
  <c r="W43" i="6"/>
  <c r="V43" i="6"/>
  <c r="U43" i="6"/>
  <c r="AD42" i="6"/>
  <c r="AC42" i="6"/>
  <c r="AB42" i="6"/>
  <c r="AA42" i="6"/>
  <c r="Z42" i="6"/>
  <c r="Y42" i="6"/>
  <c r="X42" i="6"/>
  <c r="W42" i="6"/>
  <c r="V42" i="6"/>
  <c r="U42" i="6"/>
  <c r="AD41" i="6"/>
  <c r="AC41" i="6"/>
  <c r="AB41" i="6"/>
  <c r="AA41" i="6"/>
  <c r="Z41" i="6"/>
  <c r="Y41" i="6"/>
  <c r="X41" i="6"/>
  <c r="W41" i="6"/>
  <c r="V41" i="6"/>
  <c r="U41" i="6"/>
  <c r="AD40" i="6"/>
  <c r="AC40" i="6"/>
  <c r="AB40" i="6"/>
  <c r="AA40" i="6"/>
  <c r="Z40" i="6"/>
  <c r="Y40" i="6"/>
  <c r="X40" i="6"/>
  <c r="W40" i="6"/>
  <c r="V40" i="6"/>
  <c r="U40" i="6"/>
  <c r="AD39" i="6"/>
  <c r="AC39" i="6"/>
  <c r="AB39" i="6"/>
  <c r="AA39" i="6"/>
  <c r="Z39" i="6"/>
  <c r="Y39" i="6"/>
  <c r="X39" i="6"/>
  <c r="W39" i="6"/>
  <c r="V39" i="6"/>
  <c r="U39" i="6"/>
  <c r="AD38" i="6"/>
  <c r="AC38" i="6"/>
  <c r="AB38" i="6"/>
  <c r="AA38" i="6"/>
  <c r="Z38" i="6"/>
  <c r="Y38" i="6"/>
  <c r="X38" i="6"/>
  <c r="W38" i="6"/>
  <c r="V38" i="6"/>
  <c r="U38" i="6"/>
  <c r="AD37" i="6"/>
  <c r="AC37" i="6"/>
  <c r="AB37" i="6"/>
  <c r="AA37" i="6"/>
  <c r="Z37" i="6"/>
  <c r="Y37" i="6"/>
  <c r="X37" i="6"/>
  <c r="W37" i="6"/>
  <c r="V37" i="6"/>
  <c r="U37" i="6"/>
  <c r="AD36" i="6"/>
  <c r="AC36" i="6"/>
  <c r="AB36" i="6"/>
  <c r="AA36" i="6"/>
  <c r="Z36" i="6"/>
  <c r="Y36" i="6"/>
  <c r="X36" i="6"/>
  <c r="W36" i="6"/>
  <c r="V36" i="6"/>
  <c r="U36" i="6"/>
  <c r="AD35" i="6"/>
  <c r="AC35" i="6"/>
  <c r="AB35" i="6"/>
  <c r="AA35" i="6"/>
  <c r="Z35" i="6"/>
  <c r="Y35" i="6"/>
  <c r="X35" i="6"/>
  <c r="W35" i="6"/>
  <c r="V35" i="6"/>
  <c r="U35" i="6"/>
  <c r="AD34" i="6"/>
  <c r="AC34" i="6"/>
  <c r="AB34" i="6"/>
  <c r="AA34" i="6"/>
  <c r="Z34" i="6"/>
  <c r="Y34" i="6"/>
  <c r="X34" i="6"/>
  <c r="W34" i="6"/>
  <c r="V34" i="6"/>
  <c r="U34" i="6"/>
  <c r="AD33" i="6"/>
  <c r="AC33" i="6"/>
  <c r="AB33" i="6"/>
  <c r="AA33" i="6"/>
  <c r="Z33" i="6"/>
  <c r="Y33" i="6"/>
  <c r="X33" i="6"/>
  <c r="W33" i="6"/>
  <c r="V33" i="6"/>
  <c r="U33" i="6"/>
  <c r="AD32" i="6"/>
  <c r="AC32" i="6"/>
  <c r="AB32" i="6"/>
  <c r="AA32" i="6"/>
  <c r="Z32" i="6"/>
  <c r="Y32" i="6"/>
  <c r="X32" i="6"/>
  <c r="W32" i="6"/>
  <c r="V32" i="6"/>
  <c r="U32" i="6"/>
  <c r="AD31" i="6"/>
  <c r="AC31" i="6"/>
  <c r="AB31" i="6"/>
  <c r="AA31" i="6"/>
  <c r="Z31" i="6"/>
  <c r="Y31" i="6"/>
  <c r="X31" i="6"/>
  <c r="W31" i="6"/>
  <c r="V31" i="6"/>
  <c r="U31" i="6"/>
  <c r="AD30" i="6"/>
  <c r="AC30" i="6"/>
  <c r="AB30" i="6"/>
  <c r="AA30" i="6"/>
  <c r="Z30" i="6"/>
  <c r="Y30" i="6"/>
  <c r="X30" i="6"/>
  <c r="W30" i="6"/>
  <c r="V30" i="6"/>
  <c r="U30" i="6"/>
  <c r="AD29" i="6"/>
  <c r="AC29" i="6"/>
  <c r="AB29" i="6"/>
  <c r="AA29" i="6"/>
  <c r="Z29" i="6"/>
  <c r="Y29" i="6"/>
  <c r="X29" i="6"/>
  <c r="W29" i="6"/>
  <c r="V29" i="6"/>
  <c r="U29" i="6"/>
  <c r="AD28" i="6"/>
  <c r="AC28" i="6"/>
  <c r="AB28" i="6"/>
  <c r="AA28" i="6"/>
  <c r="Z28" i="6"/>
  <c r="Y28" i="6"/>
  <c r="X28" i="6"/>
  <c r="W28" i="6"/>
  <c r="V28" i="6"/>
  <c r="U28" i="6"/>
  <c r="AD27" i="6"/>
  <c r="AC27" i="6"/>
  <c r="AB27" i="6"/>
  <c r="AA27" i="6"/>
  <c r="Z27" i="6"/>
  <c r="Y27" i="6"/>
  <c r="X27" i="6"/>
  <c r="W27" i="6"/>
  <c r="V27" i="6"/>
  <c r="U27" i="6"/>
  <c r="AD26" i="6"/>
  <c r="AC26" i="6"/>
  <c r="AB26" i="6"/>
  <c r="AA26" i="6"/>
  <c r="Z26" i="6"/>
  <c r="Y26" i="6"/>
  <c r="X26" i="6"/>
  <c r="W26" i="6"/>
  <c r="V26" i="6"/>
  <c r="U26" i="6"/>
  <c r="AD25" i="6"/>
  <c r="AC25" i="6"/>
  <c r="AB25" i="6"/>
  <c r="AA25" i="6"/>
  <c r="Z25" i="6"/>
  <c r="Y25" i="6"/>
  <c r="X25" i="6"/>
  <c r="W25" i="6"/>
  <c r="V25" i="6"/>
  <c r="U25" i="6"/>
  <c r="AD24" i="6"/>
  <c r="AC24" i="6"/>
  <c r="AB24" i="6"/>
  <c r="AA24" i="6"/>
  <c r="Z24" i="6"/>
  <c r="Y24" i="6"/>
  <c r="X24" i="6"/>
  <c r="W24" i="6"/>
  <c r="V24" i="6"/>
  <c r="U24" i="6"/>
  <c r="AD23" i="6"/>
  <c r="AC23" i="6"/>
  <c r="AB23" i="6"/>
  <c r="AA23" i="6"/>
  <c r="Z23" i="6"/>
  <c r="Y23" i="6"/>
  <c r="X23" i="6"/>
  <c r="W23" i="6"/>
  <c r="V23" i="6"/>
  <c r="U23" i="6"/>
  <c r="AD22" i="6"/>
  <c r="AC22" i="6"/>
  <c r="AB22" i="6"/>
  <c r="AA22" i="6"/>
  <c r="Z22" i="6"/>
  <c r="Y22" i="6"/>
  <c r="X22" i="6"/>
  <c r="W22" i="6"/>
  <c r="V22" i="6"/>
  <c r="U22" i="6"/>
  <c r="AD21" i="6"/>
  <c r="AC21" i="6"/>
  <c r="AB21" i="6"/>
  <c r="AA21" i="6"/>
  <c r="Z21" i="6"/>
  <c r="Y21" i="6"/>
  <c r="X21" i="6"/>
  <c r="W21" i="6"/>
  <c r="V21" i="6"/>
  <c r="U21" i="6"/>
  <c r="AD20" i="6"/>
  <c r="AC20" i="6"/>
  <c r="AB20" i="6"/>
  <c r="AA20" i="6"/>
  <c r="Z20" i="6"/>
  <c r="Y20" i="6"/>
  <c r="X20" i="6"/>
  <c r="W20" i="6"/>
  <c r="V20" i="6"/>
  <c r="U20" i="6"/>
  <c r="AD19" i="6"/>
  <c r="AC19" i="6"/>
  <c r="AB19" i="6"/>
  <c r="AA19" i="6"/>
  <c r="Z19" i="6"/>
  <c r="Y19" i="6"/>
  <c r="X19" i="6"/>
  <c r="W19" i="6"/>
  <c r="V19" i="6"/>
  <c r="U19" i="6"/>
  <c r="AD18" i="6"/>
  <c r="AC18" i="6"/>
  <c r="AB18" i="6"/>
  <c r="AA18" i="6"/>
  <c r="Z18" i="6"/>
  <c r="Y18" i="6"/>
  <c r="X18" i="6"/>
  <c r="W18" i="6"/>
  <c r="V18" i="6"/>
  <c r="U18" i="6"/>
  <c r="AD17" i="6"/>
  <c r="AC17" i="6"/>
  <c r="AB17" i="6"/>
  <c r="AA17" i="6"/>
  <c r="Z17" i="6"/>
  <c r="Y17" i="6"/>
  <c r="X17" i="6"/>
  <c r="W17" i="6"/>
  <c r="V17" i="6"/>
  <c r="U17" i="6"/>
  <c r="AD16" i="6"/>
  <c r="AC16" i="6"/>
  <c r="AB16" i="6"/>
  <c r="AA16" i="6"/>
  <c r="Z16" i="6"/>
  <c r="Y16" i="6"/>
  <c r="X16" i="6"/>
  <c r="W16" i="6"/>
  <c r="V16" i="6"/>
  <c r="U16" i="6"/>
  <c r="AD15" i="6"/>
  <c r="AC15" i="6"/>
  <c r="AB15" i="6"/>
  <c r="AA15" i="6"/>
  <c r="Z15" i="6"/>
  <c r="Y15" i="6"/>
  <c r="X15" i="6"/>
  <c r="W15" i="6"/>
  <c r="V15" i="6"/>
  <c r="U15" i="6"/>
  <c r="AD14" i="6"/>
  <c r="AC14" i="6"/>
  <c r="AB14" i="6"/>
  <c r="AA14" i="6"/>
  <c r="Z14" i="6"/>
  <c r="Y14" i="6"/>
  <c r="X14" i="6"/>
  <c r="W14" i="6"/>
  <c r="V14" i="6"/>
  <c r="U14" i="6"/>
  <c r="AD13" i="6"/>
  <c r="AC13" i="6"/>
  <c r="AB13" i="6"/>
  <c r="AA13" i="6"/>
  <c r="Z13" i="6"/>
  <c r="Y13" i="6"/>
  <c r="X13" i="6"/>
  <c r="W13" i="6"/>
  <c r="V13" i="6"/>
  <c r="U13" i="6"/>
  <c r="AD12" i="6"/>
  <c r="AC12" i="6"/>
  <c r="AB12" i="6"/>
  <c r="AA12" i="6"/>
  <c r="Z12" i="6"/>
  <c r="Y12" i="6"/>
  <c r="X12" i="6"/>
  <c r="W12" i="6"/>
  <c r="V12" i="6"/>
  <c r="U12" i="6"/>
  <c r="AD11" i="6"/>
  <c r="AC11" i="6"/>
  <c r="AB11" i="6"/>
  <c r="AA11" i="6"/>
  <c r="Z11" i="6"/>
  <c r="Y11" i="6"/>
  <c r="X11" i="6"/>
  <c r="W11" i="6"/>
  <c r="V11" i="6"/>
  <c r="U11" i="6"/>
  <c r="AD10" i="6"/>
  <c r="AC10" i="6"/>
  <c r="AB10" i="6"/>
  <c r="AA10" i="6"/>
  <c r="Z10" i="6"/>
  <c r="Y10" i="6"/>
  <c r="X10" i="6"/>
  <c r="W10" i="6"/>
  <c r="V10" i="6"/>
  <c r="U10" i="6"/>
  <c r="AD9" i="6"/>
  <c r="AC9" i="6"/>
  <c r="AB9" i="6"/>
  <c r="AA9" i="6"/>
  <c r="Z9" i="6"/>
  <c r="Y9" i="6"/>
  <c r="X9" i="6"/>
  <c r="W9" i="6"/>
  <c r="V9" i="6"/>
  <c r="U9" i="6"/>
  <c r="AD8" i="6"/>
  <c r="AC8" i="6"/>
  <c r="AB8" i="6"/>
  <c r="AA8" i="6"/>
  <c r="Z8" i="6"/>
  <c r="Y8" i="6"/>
  <c r="X8" i="6"/>
  <c r="W8" i="6"/>
  <c r="V8" i="6"/>
  <c r="U8" i="6"/>
  <c r="AD7" i="6"/>
  <c r="AC7" i="6"/>
  <c r="AB7" i="6"/>
  <c r="AA7" i="6"/>
  <c r="Z7" i="6"/>
  <c r="Y7" i="6"/>
  <c r="X7" i="6"/>
  <c r="W7" i="6"/>
  <c r="V7" i="6"/>
  <c r="U7" i="6"/>
  <c r="AD6" i="6"/>
  <c r="AC6" i="6"/>
  <c r="AB6" i="6"/>
  <c r="AA6" i="6"/>
  <c r="Z6" i="6"/>
  <c r="Y6" i="6"/>
  <c r="X6" i="6"/>
  <c r="W6" i="6"/>
  <c r="V6" i="6"/>
  <c r="U6" i="6"/>
  <c r="AD5" i="6"/>
  <c r="AC5" i="6"/>
  <c r="AB5" i="6"/>
  <c r="AA5" i="6"/>
  <c r="Z5" i="6"/>
  <c r="Y5" i="6"/>
  <c r="X5" i="6"/>
  <c r="W5" i="6"/>
  <c r="V5" i="6"/>
  <c r="U5" i="6"/>
  <c r="AP86" i="14"/>
  <c r="AC86" i="14"/>
  <c r="AC86" i="6" s="1"/>
  <c r="W86" i="14"/>
  <c r="W86" i="6" s="1"/>
  <c r="V86" i="14"/>
  <c r="V86" i="6" s="1"/>
  <c r="U86" i="14"/>
  <c r="U86" i="6" s="1"/>
  <c r="AP85" i="14"/>
  <c r="AC85" i="14"/>
  <c r="AC85" i="6" s="1"/>
  <c r="W85" i="14"/>
  <c r="W85" i="6" s="1"/>
  <c r="V85" i="14"/>
  <c r="V85" i="6" s="1"/>
  <c r="U85" i="14"/>
  <c r="U85" i="6" s="1"/>
  <c r="AP84" i="14"/>
  <c r="AC84" i="14"/>
  <c r="AC84" i="6" s="1"/>
  <c r="W84" i="14"/>
  <c r="W84" i="6" s="1"/>
  <c r="V84" i="14"/>
  <c r="V84" i="6" s="1"/>
  <c r="U84" i="14"/>
  <c r="U84" i="6" s="1"/>
  <c r="AP83" i="14"/>
  <c r="AC83" i="14"/>
  <c r="AC83" i="6" s="1"/>
  <c r="W83" i="14"/>
  <c r="W83" i="6" s="1"/>
  <c r="V83" i="14"/>
  <c r="V83" i="6" s="1"/>
  <c r="U83" i="14"/>
  <c r="AP82" i="14"/>
  <c r="AC82" i="14"/>
  <c r="AC82" i="6" s="1"/>
  <c r="W82" i="14"/>
  <c r="W82" i="6" s="1"/>
  <c r="V82" i="14"/>
  <c r="V82" i="6" s="1"/>
  <c r="U82" i="14"/>
  <c r="U82" i="6" s="1"/>
  <c r="AP81" i="14"/>
  <c r="AC81" i="14"/>
  <c r="AC81" i="6" s="1"/>
  <c r="W81" i="14"/>
  <c r="W81" i="6" s="1"/>
  <c r="V81" i="14"/>
  <c r="V81" i="6" s="1"/>
  <c r="U81" i="14"/>
  <c r="U81" i="6" s="1"/>
  <c r="AP80" i="14"/>
  <c r="AC80" i="14"/>
  <c r="AC80" i="6" s="1"/>
  <c r="W80" i="14"/>
  <c r="W80" i="6" s="1"/>
  <c r="V80" i="14"/>
  <c r="V80" i="6" s="1"/>
  <c r="U80" i="14"/>
  <c r="U80" i="6" s="1"/>
  <c r="AP79" i="14"/>
  <c r="AC79" i="14"/>
  <c r="AC79" i="6" s="1"/>
  <c r="W79" i="14"/>
  <c r="W79" i="6" s="1"/>
  <c r="V79" i="14"/>
  <c r="V79" i="6" s="1"/>
  <c r="U79" i="14"/>
  <c r="AP78" i="14"/>
  <c r="AC78" i="14"/>
  <c r="AC78" i="6" s="1"/>
  <c r="W78" i="14"/>
  <c r="W78" i="6" s="1"/>
  <c r="V78" i="14"/>
  <c r="V78" i="6" s="1"/>
  <c r="U78" i="14"/>
  <c r="U78" i="6" s="1"/>
  <c r="AP77" i="14"/>
  <c r="AC77" i="14"/>
  <c r="AC77" i="6" s="1"/>
  <c r="W77" i="14"/>
  <c r="W77" i="6" s="1"/>
  <c r="V77" i="14"/>
  <c r="V77" i="6" s="1"/>
  <c r="U77" i="14"/>
  <c r="U77" i="6" s="1"/>
  <c r="AP76" i="14"/>
  <c r="AC76" i="14"/>
  <c r="AC76" i="6" s="1"/>
  <c r="W76" i="14"/>
  <c r="W76" i="6" s="1"/>
  <c r="V76" i="14"/>
  <c r="V76" i="6" s="1"/>
  <c r="U76" i="14"/>
  <c r="U76" i="6" s="1"/>
  <c r="AP75" i="14"/>
  <c r="AC75" i="14"/>
  <c r="AC75" i="6" s="1"/>
  <c r="W75" i="14"/>
  <c r="W75" i="6" s="1"/>
  <c r="V75" i="14"/>
  <c r="V75" i="6" s="1"/>
  <c r="U75" i="14"/>
  <c r="AP74" i="14"/>
  <c r="AC74" i="14"/>
  <c r="AC74" i="6" s="1"/>
  <c r="W74" i="14"/>
  <c r="W74" i="6" s="1"/>
  <c r="V74" i="14"/>
  <c r="V74" i="6" s="1"/>
  <c r="U74" i="14"/>
  <c r="U74" i="6" s="1"/>
  <c r="AP73" i="14"/>
  <c r="AC73" i="14"/>
  <c r="AC73" i="6" s="1"/>
  <c r="W73" i="14"/>
  <c r="W73" i="6" s="1"/>
  <c r="V73" i="14"/>
  <c r="V73" i="6" s="1"/>
  <c r="U73" i="14"/>
  <c r="U73" i="6" s="1"/>
  <c r="AP72" i="14"/>
  <c r="AC72" i="14"/>
  <c r="AC72" i="6" s="1"/>
  <c r="W72" i="14"/>
  <c r="W72" i="6" s="1"/>
  <c r="V72" i="14"/>
  <c r="V72" i="6" s="1"/>
  <c r="U72" i="14"/>
  <c r="U72" i="6" s="1"/>
  <c r="AP71" i="14"/>
  <c r="AC71" i="14"/>
  <c r="AC71" i="6" s="1"/>
  <c r="W71" i="14"/>
  <c r="W71" i="6" s="1"/>
  <c r="V71" i="14"/>
  <c r="V71" i="6" s="1"/>
  <c r="U71" i="14"/>
  <c r="AP70" i="14"/>
  <c r="AC70" i="14"/>
  <c r="AC70" i="6" s="1"/>
  <c r="W70" i="14"/>
  <c r="W70" i="6" s="1"/>
  <c r="V70" i="14"/>
  <c r="V70" i="6" s="1"/>
  <c r="U70" i="14"/>
  <c r="U70" i="6" s="1"/>
  <c r="AP69" i="14"/>
  <c r="AC69" i="14"/>
  <c r="AC69" i="6" s="1"/>
  <c r="W69" i="14"/>
  <c r="W69" i="6" s="1"/>
  <c r="V69" i="14"/>
  <c r="V69" i="6" s="1"/>
  <c r="U69" i="14"/>
  <c r="U69" i="6" s="1"/>
  <c r="AP68" i="14"/>
  <c r="AC68" i="14"/>
  <c r="AC68" i="6" s="1"/>
  <c r="W68" i="14"/>
  <c r="W68" i="6" s="1"/>
  <c r="V68" i="14"/>
  <c r="V68" i="6" s="1"/>
  <c r="U68" i="14"/>
  <c r="U68" i="6" s="1"/>
  <c r="AP67" i="14"/>
  <c r="AC67" i="14"/>
  <c r="AC67" i="6" s="1"/>
  <c r="W67" i="14"/>
  <c r="W67" i="6" s="1"/>
  <c r="V67" i="14"/>
  <c r="V67" i="6" s="1"/>
  <c r="U67" i="14"/>
  <c r="AP66" i="14"/>
  <c r="AC66" i="14"/>
  <c r="AC66" i="6" s="1"/>
  <c r="W66" i="14"/>
  <c r="W66" i="6" s="1"/>
  <c r="V66" i="14"/>
  <c r="V66" i="6" s="1"/>
  <c r="U66" i="14"/>
  <c r="U66" i="6" s="1"/>
  <c r="AP65" i="14"/>
  <c r="AC65" i="14"/>
  <c r="AC65" i="6" s="1"/>
  <c r="W65" i="14"/>
  <c r="W65" i="6" s="1"/>
  <c r="V65" i="14"/>
  <c r="V65" i="6" s="1"/>
  <c r="U65" i="14"/>
  <c r="U65" i="6" s="1"/>
  <c r="AP64" i="14"/>
  <c r="AC64" i="14"/>
  <c r="AC64" i="6" s="1"/>
  <c r="W64" i="14"/>
  <c r="W64" i="6" s="1"/>
  <c r="V64" i="14"/>
  <c r="V64" i="6" s="1"/>
  <c r="U64" i="14"/>
  <c r="U64" i="6" s="1"/>
  <c r="AP63" i="14"/>
  <c r="AC63" i="14"/>
  <c r="AC63" i="6" s="1"/>
  <c r="W63" i="14"/>
  <c r="W63" i="6" s="1"/>
  <c r="V63" i="14"/>
  <c r="V63" i="6" s="1"/>
  <c r="U63" i="14"/>
  <c r="AP62" i="14"/>
  <c r="AC62" i="14"/>
  <c r="AC62" i="6" s="1"/>
  <c r="W62" i="14"/>
  <c r="W62" i="6" s="1"/>
  <c r="V62" i="14"/>
  <c r="V62" i="6" s="1"/>
  <c r="U62" i="14"/>
  <c r="U62" i="6" s="1"/>
  <c r="AP61" i="14"/>
  <c r="AC61" i="14"/>
  <c r="AC61" i="6" s="1"/>
  <c r="W61" i="14"/>
  <c r="W61" i="6" s="1"/>
  <c r="V61" i="14"/>
  <c r="V61" i="6" s="1"/>
  <c r="U61" i="14"/>
  <c r="U61" i="6" s="1"/>
  <c r="AP59" i="14"/>
  <c r="AC59" i="14"/>
  <c r="AC59" i="6" s="1"/>
  <c r="W59" i="14"/>
  <c r="W59" i="6" s="1"/>
  <c r="V59" i="14"/>
  <c r="V59" i="6" s="1"/>
  <c r="U59" i="14"/>
  <c r="AP58" i="14"/>
  <c r="AC58" i="14"/>
  <c r="AC58" i="6" s="1"/>
  <c r="W58" i="14"/>
  <c r="W58" i="6" s="1"/>
  <c r="V58" i="14"/>
  <c r="V58" i="6" s="1"/>
  <c r="U58" i="14"/>
  <c r="U58" i="6" s="1"/>
  <c r="AP57" i="14"/>
  <c r="AC57" i="14"/>
  <c r="AC57" i="6" s="1"/>
  <c r="W57" i="14"/>
  <c r="W57" i="6" s="1"/>
  <c r="V57" i="14"/>
  <c r="V57" i="6" s="1"/>
  <c r="U57" i="14"/>
  <c r="U57" i="6" s="1"/>
  <c r="AP56" i="14"/>
  <c r="AC56" i="14"/>
  <c r="AC56" i="6" s="1"/>
  <c r="W56" i="14"/>
  <c r="W56" i="6" s="1"/>
  <c r="V56" i="14"/>
  <c r="V56" i="6" s="1"/>
  <c r="U56" i="14"/>
  <c r="U56" i="6" s="1"/>
  <c r="X10" i="27" l="1"/>
  <c r="AF10" i="27" s="1"/>
  <c r="W55" i="13"/>
  <c r="U55" i="13"/>
  <c r="S55" i="13"/>
  <c r="O55" i="13"/>
  <c r="N55" i="13"/>
  <c r="M55" i="13"/>
  <c r="U54" i="13"/>
  <c r="T54" i="13"/>
  <c r="S54" i="13"/>
  <c r="O54" i="13"/>
  <c r="N54" i="13"/>
  <c r="M54" i="13"/>
  <c r="W53" i="13"/>
  <c r="U53" i="13"/>
  <c r="T53" i="13"/>
  <c r="S53" i="13"/>
  <c r="O53" i="13"/>
  <c r="N53" i="13"/>
  <c r="M53" i="13"/>
  <c r="W55" i="12"/>
  <c r="U55" i="12"/>
  <c r="S55" i="12"/>
  <c r="O55" i="12"/>
  <c r="N55" i="12"/>
  <c r="M55" i="12"/>
  <c r="U54" i="12"/>
  <c r="T54" i="12"/>
  <c r="S54" i="12"/>
  <c r="O54" i="12"/>
  <c r="N54" i="12"/>
  <c r="M54" i="12"/>
  <c r="W53" i="12"/>
  <c r="U53" i="12"/>
  <c r="U57" i="12" s="1"/>
  <c r="T53" i="12"/>
  <c r="S53" i="12"/>
  <c r="S57" i="12" s="1"/>
  <c r="O53" i="12"/>
  <c r="O57" i="12" s="1"/>
  <c r="N53" i="12"/>
  <c r="N57" i="12" s="1"/>
  <c r="M53" i="12"/>
  <c r="M57" i="12" s="1"/>
  <c r="X50" i="11" l="1"/>
  <c r="X49" i="11"/>
  <c r="X48" i="11"/>
  <c r="X47" i="11"/>
  <c r="X46" i="11"/>
  <c r="X45" i="11"/>
  <c r="X44" i="11"/>
  <c r="X43" i="11"/>
  <c r="X42" i="11"/>
  <c r="X41" i="11"/>
  <c r="X40" i="11"/>
  <c r="X39" i="11"/>
  <c r="X38" i="11"/>
  <c r="X37" i="11"/>
  <c r="X36" i="11"/>
  <c r="X35" i="11"/>
  <c r="X34" i="11"/>
  <c r="X33" i="11"/>
  <c r="X32" i="11"/>
  <c r="X31" i="11"/>
  <c r="X30" i="11"/>
  <c r="X29" i="11"/>
  <c r="X28" i="11"/>
  <c r="X27" i="11"/>
  <c r="X26" i="11"/>
  <c r="X25" i="11"/>
  <c r="X24" i="11"/>
  <c r="X23" i="11"/>
  <c r="X22" i="11"/>
  <c r="X21" i="11"/>
  <c r="X20" i="11"/>
  <c r="X19" i="11"/>
  <c r="X18" i="11"/>
  <c r="X17" i="11"/>
  <c r="X16" i="11"/>
  <c r="X15" i="11"/>
  <c r="X14" i="11"/>
  <c r="X13" i="11"/>
  <c r="X12" i="11"/>
  <c r="X11" i="11"/>
  <c r="X10" i="11"/>
  <c r="X9" i="11"/>
  <c r="X8" i="11"/>
  <c r="X7" i="11"/>
  <c r="X6" i="11"/>
  <c r="X5" i="11"/>
  <c r="W55" i="11"/>
  <c r="U55" i="11"/>
  <c r="S55" i="11"/>
  <c r="O55" i="11"/>
  <c r="N55" i="11"/>
  <c r="M55" i="11"/>
  <c r="U54" i="11"/>
  <c r="T54" i="11"/>
  <c r="S54" i="11"/>
  <c r="O54" i="11"/>
  <c r="N54" i="11"/>
  <c r="M54" i="11"/>
  <c r="W53" i="11"/>
  <c r="U53" i="11"/>
  <c r="U57" i="11" s="1"/>
  <c r="T53" i="11"/>
  <c r="S53" i="11"/>
  <c r="O53" i="11"/>
  <c r="O57" i="11" s="1"/>
  <c r="N53" i="11"/>
  <c r="N57" i="11" s="1"/>
  <c r="M53" i="11"/>
  <c r="S57" i="11" l="1"/>
  <c r="M57" i="11"/>
  <c r="T57" i="11"/>
  <c r="W55" i="10"/>
  <c r="W53" i="10"/>
  <c r="U55" i="10"/>
  <c r="U54" i="10"/>
  <c r="U53" i="10"/>
  <c r="T54" i="10"/>
  <c r="T53" i="10"/>
  <c r="S55" i="10"/>
  <c r="S54" i="10"/>
  <c r="S53" i="10"/>
  <c r="Q56" i="10"/>
  <c r="O55" i="10"/>
  <c r="O54" i="10"/>
  <c r="O53" i="10"/>
  <c r="N55" i="10"/>
  <c r="N54" i="10"/>
  <c r="N53" i="10"/>
  <c r="M55" i="10"/>
  <c r="M54" i="10"/>
  <c r="M53" i="10"/>
  <c r="Y50" i="10"/>
  <c r="Y49" i="10"/>
  <c r="Y48" i="10"/>
  <c r="Y47" i="10"/>
  <c r="Y46" i="10"/>
  <c r="Y45" i="10"/>
  <c r="Y44" i="10"/>
  <c r="Y43" i="10"/>
  <c r="Y42" i="10"/>
  <c r="Y41" i="10"/>
  <c r="Y40" i="10"/>
  <c r="Y39" i="10"/>
  <c r="Y38" i="10"/>
  <c r="Y37" i="10"/>
  <c r="Y36" i="10"/>
  <c r="Y35" i="10"/>
  <c r="Y34" i="10"/>
  <c r="Y33" i="10"/>
  <c r="Y32" i="10"/>
  <c r="Y31" i="10"/>
  <c r="Y30" i="10"/>
  <c r="Y29" i="10"/>
  <c r="Y28" i="10"/>
  <c r="Y27" i="10"/>
  <c r="Y26" i="10"/>
  <c r="Y25" i="10"/>
  <c r="Y23" i="10"/>
  <c r="Y22" i="10"/>
  <c r="Y21" i="10"/>
  <c r="Y20" i="10"/>
  <c r="U50" i="10"/>
  <c r="U49" i="10"/>
  <c r="U48" i="10"/>
  <c r="U47" i="10"/>
  <c r="U46" i="10"/>
  <c r="U45" i="10"/>
  <c r="U44" i="10"/>
  <c r="U43" i="10"/>
  <c r="U42" i="10"/>
  <c r="U41" i="10"/>
  <c r="U40" i="10"/>
  <c r="U39" i="10"/>
  <c r="U38" i="10"/>
  <c r="U37" i="10"/>
  <c r="U36" i="10"/>
  <c r="U35" i="10"/>
  <c r="U34" i="10"/>
  <c r="U33" i="10"/>
  <c r="U32" i="10"/>
  <c r="U31" i="10"/>
  <c r="U30" i="10"/>
  <c r="U29" i="10"/>
  <c r="U28" i="10"/>
  <c r="U27" i="10"/>
  <c r="U26" i="10"/>
  <c r="U25" i="10"/>
  <c r="U23" i="10"/>
  <c r="U22" i="10"/>
  <c r="U21" i="10"/>
  <c r="U20" i="10"/>
  <c r="T50" i="10"/>
  <c r="T49" i="10"/>
  <c r="T48" i="10"/>
  <c r="T47" i="10"/>
  <c r="T46" i="10"/>
  <c r="T45" i="10"/>
  <c r="T44" i="10"/>
  <c r="T43" i="10"/>
  <c r="T42" i="10"/>
  <c r="T41" i="10"/>
  <c r="T40" i="10"/>
  <c r="T39" i="10"/>
  <c r="T38" i="10"/>
  <c r="T37" i="10"/>
  <c r="T36" i="10"/>
  <c r="T35" i="10"/>
  <c r="T34" i="10"/>
  <c r="T33" i="10"/>
  <c r="T32" i="10"/>
  <c r="T31" i="10"/>
  <c r="T30" i="10"/>
  <c r="T29" i="10"/>
  <c r="T28" i="10"/>
  <c r="T27" i="10"/>
  <c r="T26" i="10"/>
  <c r="T25" i="10"/>
  <c r="T23" i="10"/>
  <c r="T22" i="10"/>
  <c r="T21" i="10"/>
  <c r="T20" i="10"/>
  <c r="S50" i="10"/>
  <c r="S49" i="10"/>
  <c r="S48" i="10"/>
  <c r="S47" i="10"/>
  <c r="S46" i="10"/>
  <c r="S45" i="10"/>
  <c r="S44" i="10"/>
  <c r="S43" i="10"/>
  <c r="S42" i="10"/>
  <c r="S41" i="10"/>
  <c r="S40" i="10"/>
  <c r="S39" i="10"/>
  <c r="S38" i="10"/>
  <c r="S37" i="10"/>
  <c r="S36" i="10"/>
  <c r="S35" i="10"/>
  <c r="S34" i="10"/>
  <c r="S33" i="10"/>
  <c r="S32" i="10"/>
  <c r="S31" i="10"/>
  <c r="S30" i="10"/>
  <c r="S29" i="10"/>
  <c r="S28" i="10"/>
  <c r="S27" i="10"/>
  <c r="S26" i="10"/>
  <c r="S25" i="10"/>
  <c r="S23" i="10"/>
  <c r="S22" i="10"/>
  <c r="S21" i="10"/>
  <c r="S20" i="10"/>
  <c r="Q50" i="10"/>
  <c r="Q49" i="10"/>
  <c r="Q48" i="10"/>
  <c r="Q47" i="10"/>
  <c r="Q46" i="10"/>
  <c r="Q45" i="10"/>
  <c r="Q44" i="10"/>
  <c r="Q43" i="10"/>
  <c r="Q42" i="10"/>
  <c r="Q41" i="10"/>
  <c r="Q40" i="10"/>
  <c r="Q39" i="10"/>
  <c r="Q38" i="10"/>
  <c r="Q37" i="10"/>
  <c r="Q36" i="10"/>
  <c r="Q35" i="10"/>
  <c r="Q34" i="10"/>
  <c r="Q33" i="10"/>
  <c r="Q32" i="10"/>
  <c r="Q31" i="10"/>
  <c r="Q30" i="10"/>
  <c r="Q29" i="10"/>
  <c r="Q28" i="10"/>
  <c r="Q27" i="10"/>
  <c r="Q26" i="10"/>
  <c r="Q25" i="10"/>
  <c r="Q23" i="10"/>
  <c r="Q22" i="10"/>
  <c r="Q21" i="10"/>
  <c r="Q20" i="10"/>
  <c r="O50" i="10"/>
  <c r="O49" i="10"/>
  <c r="O48" i="10"/>
  <c r="O47" i="10"/>
  <c r="O46" i="10"/>
  <c r="O45" i="10"/>
  <c r="O44" i="10"/>
  <c r="O43" i="10"/>
  <c r="O42" i="10"/>
  <c r="O41" i="10"/>
  <c r="O40" i="10"/>
  <c r="O39" i="10"/>
  <c r="O38" i="10"/>
  <c r="O37" i="10"/>
  <c r="O36" i="10"/>
  <c r="O35" i="10"/>
  <c r="O34" i="10"/>
  <c r="O33" i="10"/>
  <c r="O32" i="10"/>
  <c r="O31" i="10"/>
  <c r="O30" i="10"/>
  <c r="O29" i="10"/>
  <c r="O28" i="10"/>
  <c r="O27" i="10"/>
  <c r="O26" i="10"/>
  <c r="O25" i="10"/>
  <c r="O23" i="10"/>
  <c r="O22" i="10"/>
  <c r="O21" i="10"/>
  <c r="O20" i="10"/>
  <c r="N50" i="10"/>
  <c r="N49" i="10"/>
  <c r="N48" i="10"/>
  <c r="N47" i="10"/>
  <c r="N46" i="10"/>
  <c r="N45" i="10"/>
  <c r="N44" i="10"/>
  <c r="N43" i="10"/>
  <c r="N42" i="10"/>
  <c r="N41" i="10"/>
  <c r="N40" i="10"/>
  <c r="N39" i="10"/>
  <c r="N38" i="10"/>
  <c r="N37" i="10"/>
  <c r="N36" i="10"/>
  <c r="N35" i="10"/>
  <c r="N34" i="10"/>
  <c r="N33" i="10"/>
  <c r="N32" i="10"/>
  <c r="N31" i="10"/>
  <c r="N30" i="10"/>
  <c r="N29" i="10"/>
  <c r="N28" i="10"/>
  <c r="N27" i="10"/>
  <c r="N26" i="10"/>
  <c r="N25" i="10"/>
  <c r="N23" i="10"/>
  <c r="N22" i="10"/>
  <c r="N21" i="10"/>
  <c r="N20" i="10"/>
  <c r="M50" i="10"/>
  <c r="M49" i="10"/>
  <c r="M48" i="10"/>
  <c r="M47" i="10"/>
  <c r="M46" i="10"/>
  <c r="M45" i="10"/>
  <c r="M44" i="10"/>
  <c r="M43" i="10"/>
  <c r="M42" i="10"/>
  <c r="M41" i="10"/>
  <c r="M40" i="10"/>
  <c r="M39" i="10"/>
  <c r="M38" i="10"/>
  <c r="M37" i="10"/>
  <c r="M36" i="10"/>
  <c r="M35" i="10"/>
  <c r="M34" i="10"/>
  <c r="M33" i="10"/>
  <c r="M32" i="10"/>
  <c r="M31" i="10"/>
  <c r="M30" i="10"/>
  <c r="M29" i="10"/>
  <c r="M28" i="10"/>
  <c r="M27" i="10"/>
  <c r="M26" i="10"/>
  <c r="M25" i="10"/>
  <c r="M23" i="10"/>
  <c r="M22" i="10"/>
  <c r="M21" i="10"/>
  <c r="M20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3" i="10"/>
  <c r="L22" i="10"/>
  <c r="L21" i="10"/>
  <c r="L20" i="10"/>
  <c r="AK91" i="9" l="1"/>
  <c r="AF91" i="9"/>
  <c r="AP89" i="9" s="1"/>
  <c r="AE91" i="9"/>
  <c r="AO89" i="9" s="1"/>
  <c r="AC91" i="9"/>
  <c r="Y91" i="9"/>
  <c r="X91" i="9"/>
  <c r="W91" i="9"/>
  <c r="S91" i="9"/>
  <c r="R91" i="9"/>
  <c r="Q91" i="9"/>
  <c r="P91" i="9"/>
  <c r="O91" i="9"/>
  <c r="M91" i="9"/>
  <c r="L91" i="9"/>
  <c r="AK90" i="9"/>
  <c r="AF90" i="9"/>
  <c r="AC90" i="9"/>
  <c r="AA90" i="9"/>
  <c r="Z90" i="9"/>
  <c r="Y90" i="9"/>
  <c r="X90" i="9"/>
  <c r="W90" i="9"/>
  <c r="V90" i="9"/>
  <c r="U90" i="9"/>
  <c r="S90" i="9"/>
  <c r="R90" i="9"/>
  <c r="Q90" i="9"/>
  <c r="P90" i="9"/>
  <c r="O90" i="9"/>
  <c r="M90" i="9"/>
  <c r="L90" i="9"/>
  <c r="AL92" i="8"/>
  <c r="AG92" i="8"/>
  <c r="AD92" i="8"/>
  <c r="AB92" i="8"/>
  <c r="T92" i="8"/>
  <c r="AK91" i="8"/>
  <c r="AF91" i="8"/>
  <c r="AE91" i="8"/>
  <c r="AC91" i="8"/>
  <c r="Y91" i="8"/>
  <c r="X91" i="8"/>
  <c r="W91" i="8"/>
  <c r="S91" i="8"/>
  <c r="R91" i="8"/>
  <c r="Q91" i="8"/>
  <c r="P91" i="8"/>
  <c r="O91" i="8"/>
  <c r="M91" i="8"/>
  <c r="L91" i="8"/>
  <c r="AK90" i="8"/>
  <c r="AF90" i="8"/>
  <c r="AP89" i="8" s="1"/>
  <c r="AC90" i="8"/>
  <c r="AA90" i="8"/>
  <c r="Z90" i="8"/>
  <c r="Y90" i="8"/>
  <c r="X90" i="8"/>
  <c r="W90" i="8"/>
  <c r="V90" i="8"/>
  <c r="U90" i="8"/>
  <c r="S90" i="8"/>
  <c r="R90" i="8"/>
  <c r="Q90" i="8"/>
  <c r="P90" i="8"/>
  <c r="O90" i="8"/>
  <c r="M90" i="8"/>
  <c r="L90" i="8"/>
  <c r="AL92" i="7" l="1"/>
  <c r="AG92" i="7"/>
  <c r="AD92" i="7"/>
  <c r="AB92" i="7"/>
  <c r="T92" i="7"/>
  <c r="AG86" i="7"/>
  <c r="AA86" i="7"/>
  <c r="Z86" i="7"/>
  <c r="AG85" i="7"/>
  <c r="AA85" i="7"/>
  <c r="Z85" i="7"/>
  <c r="AG84" i="7"/>
  <c r="AA84" i="7"/>
  <c r="Z84" i="7"/>
  <c r="AG83" i="7"/>
  <c r="AA83" i="7"/>
  <c r="Z83" i="7"/>
  <c r="AG82" i="7"/>
  <c r="AA82" i="7"/>
  <c r="Z82" i="7"/>
  <c r="AG81" i="7"/>
  <c r="AA81" i="7"/>
  <c r="Z81" i="7"/>
  <c r="AG80" i="7"/>
  <c r="AA80" i="7"/>
  <c r="Z80" i="7"/>
  <c r="AG79" i="7"/>
  <c r="AA79" i="7"/>
  <c r="Z79" i="7"/>
  <c r="AG78" i="7"/>
  <c r="AA78" i="7"/>
  <c r="Z78" i="7"/>
  <c r="AG77" i="7"/>
  <c r="AA77" i="7"/>
  <c r="Z77" i="7"/>
  <c r="AG76" i="7"/>
  <c r="AA76" i="7"/>
  <c r="Z76" i="7"/>
  <c r="AG75" i="7"/>
  <c r="AA75" i="7"/>
  <c r="Z75" i="7"/>
  <c r="AG74" i="7"/>
  <c r="AA74" i="7"/>
  <c r="Z74" i="7"/>
  <c r="AG73" i="7"/>
  <c r="AA73" i="7"/>
  <c r="Z73" i="7"/>
  <c r="AG72" i="7"/>
  <c r="AA72" i="7"/>
  <c r="Z72" i="7"/>
  <c r="AG71" i="7"/>
  <c r="AA71" i="7"/>
  <c r="Z71" i="7"/>
  <c r="AG70" i="7"/>
  <c r="AA70" i="7"/>
  <c r="Z70" i="7"/>
  <c r="AG69" i="7"/>
  <c r="AA69" i="7"/>
  <c r="Z69" i="7"/>
  <c r="AG68" i="7"/>
  <c r="AA68" i="7"/>
  <c r="Z68" i="7"/>
  <c r="AG67" i="7"/>
  <c r="AA67" i="7"/>
  <c r="Z67" i="7"/>
  <c r="AG66" i="7"/>
  <c r="AA66" i="7"/>
  <c r="Z66" i="7"/>
  <c r="AG65" i="7"/>
  <c r="AA65" i="7"/>
  <c r="Z65" i="7"/>
  <c r="AG64" i="7"/>
  <c r="AA64" i="7"/>
  <c r="Z64" i="7"/>
  <c r="AG63" i="7"/>
  <c r="AA63" i="7"/>
  <c r="Z63" i="7"/>
  <c r="AG62" i="7"/>
  <c r="AA62" i="7"/>
  <c r="Z62" i="7"/>
  <c r="AG61" i="7"/>
  <c r="AA61" i="7"/>
  <c r="Z61" i="7"/>
  <c r="AG60" i="7"/>
  <c r="AA60" i="7"/>
  <c r="Z60" i="7"/>
  <c r="AG59" i="7"/>
  <c r="AA59" i="7"/>
  <c r="Z59" i="7"/>
  <c r="AG58" i="7"/>
  <c r="AA58" i="7"/>
  <c r="Z58" i="7"/>
  <c r="AG57" i="7"/>
  <c r="AA57" i="7"/>
  <c r="Z57" i="7"/>
  <c r="AG56" i="7"/>
  <c r="AA56" i="7"/>
  <c r="Z56" i="7"/>
  <c r="AG55" i="7"/>
  <c r="AA55" i="7"/>
  <c r="Z55" i="7"/>
  <c r="AG54" i="7"/>
  <c r="AA54" i="7"/>
  <c r="Z54" i="7"/>
  <c r="AG53" i="7"/>
  <c r="AA53" i="7"/>
  <c r="Z53" i="7"/>
  <c r="AG52" i="7"/>
  <c r="AA52" i="7"/>
  <c r="Z52" i="7"/>
  <c r="AG51" i="7"/>
  <c r="AA51" i="7"/>
  <c r="Z51" i="7"/>
  <c r="AG50" i="7"/>
  <c r="AA50" i="7"/>
  <c r="Z50" i="7"/>
  <c r="AG49" i="7"/>
  <c r="AA49" i="7"/>
  <c r="Z49" i="7"/>
  <c r="AG48" i="7"/>
  <c r="AA48" i="7"/>
  <c r="Z48" i="7"/>
  <c r="AG47" i="7"/>
  <c r="AA47" i="7"/>
  <c r="Z47" i="7"/>
  <c r="AG46" i="7"/>
  <c r="AA46" i="7"/>
  <c r="Z46" i="7"/>
  <c r="AG45" i="7"/>
  <c r="AA45" i="7"/>
  <c r="Z45" i="7"/>
  <c r="AG44" i="7"/>
  <c r="AA44" i="7"/>
  <c r="Z44" i="7"/>
  <c r="AG43" i="7"/>
  <c r="AA43" i="7"/>
  <c r="Z43" i="7"/>
  <c r="AG42" i="7"/>
  <c r="AA42" i="7"/>
  <c r="Z42" i="7"/>
  <c r="AG41" i="7"/>
  <c r="AA41" i="7"/>
  <c r="Z41" i="7"/>
  <c r="AG40" i="7"/>
  <c r="AA40" i="7"/>
  <c r="Z40" i="7"/>
  <c r="AG39" i="7"/>
  <c r="AA39" i="7"/>
  <c r="Z39" i="7"/>
  <c r="AG38" i="7"/>
  <c r="AA38" i="7"/>
  <c r="Z38" i="7"/>
  <c r="AG37" i="7"/>
  <c r="AA37" i="7"/>
  <c r="Z37" i="7"/>
  <c r="AG36" i="7"/>
  <c r="AA36" i="7"/>
  <c r="Z36" i="7"/>
  <c r="AG35" i="7"/>
  <c r="AA35" i="7"/>
  <c r="Z35" i="7"/>
  <c r="AG34" i="7"/>
  <c r="AA34" i="7"/>
  <c r="Z34" i="7"/>
  <c r="AG33" i="7"/>
  <c r="AA33" i="7"/>
  <c r="Z33" i="7"/>
  <c r="AG32" i="7"/>
  <c r="AA32" i="7"/>
  <c r="Z32" i="7"/>
  <c r="AG31" i="7"/>
  <c r="AA31" i="7"/>
  <c r="Z31" i="7"/>
  <c r="AG30" i="7"/>
  <c r="AA30" i="7"/>
  <c r="Z30" i="7"/>
  <c r="AG29" i="7"/>
  <c r="AA29" i="7"/>
  <c r="Z29" i="7"/>
  <c r="AG28" i="7"/>
  <c r="AA28" i="7"/>
  <c r="Z28" i="7"/>
  <c r="AG27" i="7"/>
  <c r="AA27" i="7"/>
  <c r="Z27" i="7"/>
  <c r="AG26" i="7"/>
  <c r="AA26" i="7"/>
  <c r="Z26" i="7"/>
  <c r="AG25" i="7"/>
  <c r="AA25" i="7"/>
  <c r="Z25" i="7"/>
  <c r="AG24" i="7"/>
  <c r="AA24" i="7"/>
  <c r="Z24" i="7"/>
  <c r="AG23" i="7"/>
  <c r="AA23" i="7"/>
  <c r="Z23" i="7"/>
  <c r="AG22" i="7"/>
  <c r="AA22" i="7"/>
  <c r="Z22" i="7"/>
  <c r="AG21" i="7"/>
  <c r="AA21" i="7"/>
  <c r="Z21" i="7"/>
  <c r="AG20" i="7"/>
  <c r="AA20" i="7"/>
  <c r="Z20" i="7"/>
  <c r="AG19" i="7"/>
  <c r="AA19" i="7"/>
  <c r="Z19" i="7"/>
  <c r="AG18" i="7"/>
  <c r="AA18" i="7"/>
  <c r="Z18" i="7"/>
  <c r="AG17" i="7"/>
  <c r="AA17" i="7"/>
  <c r="Z17" i="7"/>
  <c r="AG16" i="7"/>
  <c r="AA16" i="7"/>
  <c r="Z16" i="7"/>
  <c r="AG15" i="7"/>
  <c r="AA15" i="7"/>
  <c r="Z15" i="7"/>
  <c r="AJ14" i="7"/>
  <c r="AI14" i="7"/>
  <c r="AH14" i="7"/>
  <c r="AG14" i="7"/>
  <c r="AC14" i="7"/>
  <c r="AA14" i="7"/>
  <c r="Z14" i="7"/>
  <c r="Y14" i="7"/>
  <c r="X14" i="7"/>
  <c r="W14" i="7"/>
  <c r="V14" i="7"/>
  <c r="U14" i="7"/>
  <c r="S14" i="7"/>
  <c r="R14" i="7"/>
  <c r="Q14" i="7"/>
  <c r="P14" i="7"/>
  <c r="O14" i="7"/>
  <c r="M14" i="7"/>
  <c r="L14" i="7"/>
  <c r="AJ13" i="7"/>
  <c r="AI13" i="7"/>
  <c r="AH13" i="7"/>
  <c r="AG13" i="7"/>
  <c r="AC13" i="7"/>
  <c r="AA13" i="7"/>
  <c r="Z13" i="7"/>
  <c r="Y13" i="7"/>
  <c r="X13" i="7"/>
  <c r="W13" i="7"/>
  <c r="V13" i="7"/>
  <c r="U13" i="7"/>
  <c r="S13" i="7"/>
  <c r="R13" i="7"/>
  <c r="Q13" i="7"/>
  <c r="P13" i="7"/>
  <c r="O13" i="7"/>
  <c r="M13" i="7"/>
  <c r="L13" i="7"/>
  <c r="AJ12" i="7"/>
  <c r="AI12" i="7"/>
  <c r="AH12" i="7"/>
  <c r="AG12" i="7"/>
  <c r="AC12" i="7"/>
  <c r="AA12" i="7"/>
  <c r="Z12" i="7"/>
  <c r="Y12" i="7"/>
  <c r="X12" i="7"/>
  <c r="W12" i="7"/>
  <c r="V12" i="7"/>
  <c r="U12" i="7"/>
  <c r="S12" i="7"/>
  <c r="R12" i="7"/>
  <c r="Q12" i="7"/>
  <c r="P12" i="7"/>
  <c r="O12" i="7"/>
  <c r="M12" i="7"/>
  <c r="L12" i="7"/>
  <c r="AG11" i="7"/>
  <c r="AA11" i="7"/>
  <c r="Z11" i="7"/>
  <c r="AG10" i="7"/>
  <c r="AA10" i="7"/>
  <c r="Z10" i="7"/>
  <c r="AG9" i="7"/>
  <c r="AA9" i="7"/>
  <c r="Z9" i="7"/>
  <c r="AG8" i="7"/>
  <c r="AA8" i="7"/>
  <c r="Z8" i="7"/>
  <c r="AG7" i="7"/>
  <c r="AA7" i="7"/>
  <c r="Z7" i="7"/>
  <c r="AG6" i="7"/>
  <c r="AA6" i="7"/>
  <c r="Z6" i="7"/>
  <c r="AG5" i="7"/>
  <c r="AA5" i="7"/>
  <c r="Z5" i="7"/>
  <c r="AK91" i="7"/>
  <c r="AF91" i="7"/>
  <c r="AE91" i="7"/>
  <c r="AC91" i="7"/>
  <c r="Y91" i="7"/>
  <c r="X91" i="7"/>
  <c r="W91" i="7"/>
  <c r="S91" i="7"/>
  <c r="R91" i="7"/>
  <c r="Q91" i="7"/>
  <c r="P91" i="7"/>
  <c r="O91" i="7"/>
  <c r="M91" i="7"/>
  <c r="L91" i="7"/>
  <c r="AK90" i="7"/>
  <c r="AF90" i="7"/>
  <c r="AC90" i="7"/>
  <c r="AA90" i="7"/>
  <c r="Z90" i="7"/>
  <c r="Y90" i="7"/>
  <c r="X90" i="7"/>
  <c r="W90" i="7"/>
  <c r="V90" i="7"/>
  <c r="U90" i="7"/>
  <c r="S90" i="7"/>
  <c r="R90" i="7"/>
  <c r="Q90" i="7"/>
  <c r="P90" i="7"/>
  <c r="O90" i="7"/>
  <c r="M90" i="7"/>
  <c r="L90" i="7"/>
  <c r="AP86" i="7"/>
  <c r="AP85" i="7"/>
  <c r="AP84" i="7"/>
  <c r="AP83" i="7"/>
  <c r="AP82" i="7"/>
  <c r="AP81" i="7"/>
  <c r="AP80" i="7"/>
  <c r="AP79" i="7"/>
  <c r="AP78" i="7"/>
  <c r="AP77" i="7"/>
  <c r="AP76" i="7"/>
  <c r="AP75" i="7"/>
  <c r="AP74" i="7"/>
  <c r="AP73" i="7"/>
  <c r="AP72" i="7"/>
  <c r="AP71" i="7"/>
  <c r="AP70" i="7"/>
  <c r="AP69" i="7"/>
  <c r="AP68" i="7"/>
  <c r="AP67" i="7"/>
  <c r="AP66" i="7"/>
  <c r="AP65" i="7"/>
  <c r="AP64" i="7"/>
  <c r="AP63" i="7"/>
  <c r="AP62" i="7"/>
  <c r="AP61" i="7"/>
  <c r="AP59" i="7"/>
  <c r="AP58" i="7"/>
  <c r="AP57" i="7"/>
  <c r="AP56" i="7"/>
  <c r="AD14" i="7" l="1"/>
  <c r="AM92" i="7"/>
  <c r="AD12" i="7"/>
  <c r="AD13" i="7"/>
  <c r="AB13" i="7"/>
  <c r="AB12" i="7"/>
  <c r="AB14" i="7"/>
  <c r="AK93" i="6"/>
  <c r="AK92" i="6"/>
  <c r="AK91" i="6"/>
  <c r="AF93" i="6"/>
  <c r="AF92" i="6"/>
  <c r="AF91" i="6"/>
  <c r="AE93" i="6"/>
  <c r="AE91" i="6"/>
  <c r="AC93" i="6"/>
  <c r="AC92" i="6"/>
  <c r="AC91" i="6"/>
  <c r="AA92" i="6"/>
  <c r="Z92" i="6"/>
  <c r="Y93" i="6"/>
  <c r="Y92" i="6"/>
  <c r="X93" i="6"/>
  <c r="X92" i="6"/>
  <c r="X91" i="6"/>
  <c r="W93" i="6"/>
  <c r="W92" i="6"/>
  <c r="V92" i="6"/>
  <c r="U92" i="6"/>
  <c r="U91" i="6"/>
  <c r="S93" i="6"/>
  <c r="S92" i="6"/>
  <c r="S91" i="6"/>
  <c r="R93" i="6"/>
  <c r="R92" i="6"/>
  <c r="R91" i="6"/>
  <c r="Q93" i="6"/>
  <c r="Q92" i="6"/>
  <c r="Q91" i="6"/>
  <c r="P93" i="6"/>
  <c r="P92" i="6"/>
  <c r="P91" i="6"/>
  <c r="O93" i="6"/>
  <c r="O92" i="6"/>
  <c r="O91" i="6"/>
  <c r="M93" i="6"/>
  <c r="M92" i="6"/>
  <c r="M91" i="6"/>
  <c r="L93" i="6"/>
  <c r="L92" i="6"/>
  <c r="L91" i="6"/>
  <c r="AK51" i="6"/>
  <c r="AK50" i="6"/>
  <c r="AK48" i="6"/>
  <c r="AK43" i="6"/>
  <c r="AK40" i="6"/>
  <c r="AK39" i="6"/>
  <c r="AK37" i="6"/>
  <c r="AK32" i="6"/>
  <c r="AK31" i="6"/>
  <c r="AK28" i="6"/>
  <c r="AK27" i="6"/>
  <c r="AK25" i="6"/>
  <c r="AK20" i="6"/>
  <c r="AK19" i="6"/>
  <c r="AK16" i="6"/>
  <c r="AK15" i="6"/>
  <c r="AK14" i="6"/>
  <c r="AK14" i="7" s="1"/>
  <c r="AL14" i="7" s="1"/>
  <c r="AK13" i="6"/>
  <c r="AK13" i="7" s="1"/>
  <c r="AL13" i="7" s="1"/>
  <c r="AK12" i="6"/>
  <c r="AK11" i="6"/>
  <c r="AK10" i="6"/>
  <c r="AK9" i="6"/>
  <c r="AK6" i="6"/>
  <c r="AK5" i="6"/>
  <c r="AI86" i="6"/>
  <c r="AI85" i="6"/>
  <c r="AI84" i="6"/>
  <c r="AI83" i="6"/>
  <c r="AI82" i="6"/>
  <c r="AI81" i="6"/>
  <c r="AI80" i="6"/>
  <c r="AI79" i="6"/>
  <c r="AI78" i="6"/>
  <c r="AI77" i="6"/>
  <c r="AI76" i="6"/>
  <c r="AI75" i="6"/>
  <c r="AI74" i="6"/>
  <c r="AI73" i="6"/>
  <c r="AI72" i="6"/>
  <c r="AI71" i="6"/>
  <c r="AI70" i="6"/>
  <c r="AI69" i="6"/>
  <c r="AI68" i="6"/>
  <c r="AI67" i="6"/>
  <c r="AI66" i="6"/>
  <c r="AI65" i="6"/>
  <c r="AI64" i="6"/>
  <c r="AI63" i="6"/>
  <c r="AI62" i="6"/>
  <c r="AI61" i="6"/>
  <c r="AI59" i="6"/>
  <c r="AI58" i="6"/>
  <c r="AI57" i="6"/>
  <c r="AI56" i="6"/>
  <c r="AH86" i="6"/>
  <c r="AH85" i="6"/>
  <c r="AH84" i="6"/>
  <c r="AH83" i="6"/>
  <c r="AH82" i="6"/>
  <c r="AH81" i="6"/>
  <c r="AH80" i="6"/>
  <c r="AH79" i="6"/>
  <c r="AH78" i="6"/>
  <c r="AH77" i="6"/>
  <c r="AH76" i="6"/>
  <c r="AH75" i="6"/>
  <c r="AH74" i="6"/>
  <c r="AH73" i="6"/>
  <c r="AH72" i="6"/>
  <c r="AH71" i="6"/>
  <c r="AH70" i="6"/>
  <c r="AH69" i="6"/>
  <c r="AH68" i="6"/>
  <c r="AH67" i="6"/>
  <c r="AH66" i="6"/>
  <c r="AH65" i="6"/>
  <c r="AH64" i="6"/>
  <c r="AH63" i="6"/>
  <c r="AH62" i="6"/>
  <c r="AH61" i="6"/>
  <c r="AH59" i="6"/>
  <c r="AH58" i="6"/>
  <c r="AH57" i="6"/>
  <c r="AH56" i="6"/>
  <c r="S86" i="6"/>
  <c r="S85" i="6"/>
  <c r="S84" i="6"/>
  <c r="S83" i="6"/>
  <c r="S82" i="6"/>
  <c r="S81" i="6"/>
  <c r="S80" i="6"/>
  <c r="S79" i="6"/>
  <c r="S78" i="6"/>
  <c r="S77" i="6"/>
  <c r="S76" i="6"/>
  <c r="S75" i="6"/>
  <c r="S74" i="6"/>
  <c r="S73" i="6"/>
  <c r="S72" i="6"/>
  <c r="S71" i="6"/>
  <c r="S70" i="6"/>
  <c r="S69" i="6"/>
  <c r="S68" i="6"/>
  <c r="S67" i="6"/>
  <c r="S66" i="6"/>
  <c r="S65" i="6"/>
  <c r="S64" i="6"/>
  <c r="S63" i="6"/>
  <c r="S62" i="6"/>
  <c r="S61" i="6"/>
  <c r="S59" i="6"/>
  <c r="S58" i="6"/>
  <c r="S57" i="6"/>
  <c r="S56" i="6"/>
  <c r="R86" i="6"/>
  <c r="R85" i="6"/>
  <c r="R84" i="6"/>
  <c r="R83" i="6"/>
  <c r="R82" i="6"/>
  <c r="R81" i="6"/>
  <c r="R80" i="6"/>
  <c r="R79" i="6"/>
  <c r="R78" i="6"/>
  <c r="R77" i="6"/>
  <c r="R76" i="6"/>
  <c r="R75" i="6"/>
  <c r="R74" i="6"/>
  <c r="R73" i="6"/>
  <c r="R72" i="6"/>
  <c r="R71" i="6"/>
  <c r="R70" i="6"/>
  <c r="R69" i="6"/>
  <c r="R68" i="6"/>
  <c r="R67" i="6"/>
  <c r="R66" i="6"/>
  <c r="R65" i="6"/>
  <c r="Q86" i="6"/>
  <c r="Q85" i="6"/>
  <c r="Q84" i="6"/>
  <c r="Q83" i="6"/>
  <c r="Q82" i="6"/>
  <c r="Q81" i="6"/>
  <c r="Q80" i="6"/>
  <c r="Q79" i="6"/>
  <c r="Q78" i="6"/>
  <c r="Q77" i="6"/>
  <c r="Q76" i="6"/>
  <c r="Q75" i="6"/>
  <c r="Q74" i="6"/>
  <c r="Q73" i="6"/>
  <c r="Q72" i="6"/>
  <c r="Q71" i="6"/>
  <c r="Q70" i="6"/>
  <c r="Q69" i="6"/>
  <c r="Q68" i="6"/>
  <c r="Q67" i="6"/>
  <c r="Q66" i="6"/>
  <c r="Q65" i="6"/>
  <c r="Q60" i="6"/>
  <c r="Q55" i="6"/>
  <c r="Q54" i="6"/>
  <c r="Q53" i="6"/>
  <c r="Q52" i="6"/>
  <c r="Q49" i="6"/>
  <c r="Q45" i="6"/>
  <c r="Q44" i="6"/>
  <c r="Q41" i="6"/>
  <c r="Q38" i="6"/>
  <c r="Q34" i="6"/>
  <c r="Q33" i="6"/>
  <c r="Q29" i="6"/>
  <c r="Q26" i="6"/>
  <c r="Q22" i="6"/>
  <c r="Q21" i="6"/>
  <c r="Q17" i="6"/>
  <c r="Q7" i="6"/>
  <c r="P86" i="6"/>
  <c r="P85" i="6"/>
  <c r="P84" i="6"/>
  <c r="P83" i="6"/>
  <c r="P82" i="6"/>
  <c r="P81" i="6"/>
  <c r="P80" i="6"/>
  <c r="P79" i="6"/>
  <c r="P78" i="6"/>
  <c r="P77" i="6"/>
  <c r="P76" i="6"/>
  <c r="P75" i="6"/>
  <c r="P74" i="6"/>
  <c r="P73" i="6"/>
  <c r="P72" i="6"/>
  <c r="P71" i="6"/>
  <c r="P70" i="6"/>
  <c r="P69" i="6"/>
  <c r="P68" i="6"/>
  <c r="P67" i="6"/>
  <c r="P66" i="6"/>
  <c r="P65" i="6"/>
  <c r="O86" i="6"/>
  <c r="O85" i="6"/>
  <c r="O84" i="6"/>
  <c r="O83" i="6"/>
  <c r="O82" i="6"/>
  <c r="O81" i="6"/>
  <c r="O80" i="6"/>
  <c r="O79" i="6"/>
  <c r="O78" i="6"/>
  <c r="O77" i="6"/>
  <c r="O76" i="6"/>
  <c r="O75" i="6"/>
  <c r="O74" i="6"/>
  <c r="O73" i="6"/>
  <c r="O72" i="6"/>
  <c r="O71" i="6"/>
  <c r="O70" i="6"/>
  <c r="O69" i="6"/>
  <c r="O68" i="6"/>
  <c r="O67" i="6"/>
  <c r="O66" i="6"/>
  <c r="O65" i="6"/>
  <c r="O64" i="6"/>
  <c r="O63" i="6"/>
  <c r="O62" i="6"/>
  <c r="O61" i="6"/>
  <c r="O59" i="6"/>
  <c r="O58" i="6"/>
  <c r="O57" i="6"/>
  <c r="O56" i="6"/>
  <c r="N51" i="6"/>
  <c r="N50" i="6"/>
  <c r="N31" i="6"/>
  <c r="N19" i="6"/>
  <c r="N14" i="6"/>
  <c r="N14" i="7" s="1"/>
  <c r="T14" i="7" s="1"/>
  <c r="N13" i="6"/>
  <c r="N13" i="7" s="1"/>
  <c r="T13" i="7" s="1"/>
  <c r="AM13" i="7" s="1"/>
  <c r="N12" i="6"/>
  <c r="AP86" i="6"/>
  <c r="AP85" i="6"/>
  <c r="AP84" i="6"/>
  <c r="AP83" i="6"/>
  <c r="AP82" i="6"/>
  <c r="AP81" i="6"/>
  <c r="AP80" i="6"/>
  <c r="AP79" i="6"/>
  <c r="AP78" i="6"/>
  <c r="AP77" i="6"/>
  <c r="AP76" i="6"/>
  <c r="AP75" i="6"/>
  <c r="AP74" i="6"/>
  <c r="AP73" i="6"/>
  <c r="AP72" i="6"/>
  <c r="AP71" i="6"/>
  <c r="AP70" i="6"/>
  <c r="AP69" i="6"/>
  <c r="AP68" i="6"/>
  <c r="AP67" i="6"/>
  <c r="AP66" i="6"/>
  <c r="AP65" i="6"/>
  <c r="AP64" i="6"/>
  <c r="AP63" i="6"/>
  <c r="AP62" i="6"/>
  <c r="AP61" i="6"/>
  <c r="AP59" i="6"/>
  <c r="AP58" i="6"/>
  <c r="AP57" i="6"/>
  <c r="AP56" i="6"/>
  <c r="N12" i="7" l="1"/>
  <c r="T12" i="7" s="1"/>
  <c r="AK12" i="7"/>
  <c r="AL12" i="7" s="1"/>
  <c r="AO12" i="8" s="1"/>
  <c r="AO12" i="9"/>
  <c r="AP12" i="9"/>
  <c r="AP12" i="8"/>
  <c r="AM12" i="7"/>
  <c r="AP14" i="9"/>
  <c r="AP14" i="8"/>
  <c r="AO14" i="9"/>
  <c r="AO14" i="8"/>
  <c r="AP13" i="9"/>
  <c r="AP13" i="8"/>
  <c r="AO13" i="9"/>
  <c r="AO13" i="8"/>
  <c r="P89" i="8"/>
  <c r="P93" i="8" s="1"/>
  <c r="P89" i="9"/>
  <c r="P89" i="7"/>
  <c r="U89" i="8"/>
  <c r="U89" i="9"/>
  <c r="U89" i="7"/>
  <c r="X89" i="8"/>
  <c r="X93" i="8" s="1"/>
  <c r="X89" i="9"/>
  <c r="X89" i="7"/>
  <c r="AC89" i="8"/>
  <c r="AC93" i="8" s="1"/>
  <c r="AC89" i="9"/>
  <c r="AC89" i="7"/>
  <c r="AF89" i="8"/>
  <c r="AF89" i="9"/>
  <c r="AF89" i="7"/>
  <c r="O89" i="8"/>
  <c r="O93" i="8" s="1"/>
  <c r="O89" i="9"/>
  <c r="O89" i="7"/>
  <c r="S89" i="8"/>
  <c r="S89" i="9"/>
  <c r="S89" i="7"/>
  <c r="M89" i="8"/>
  <c r="M93" i="8" s="1"/>
  <c r="M89" i="9"/>
  <c r="M89" i="7"/>
  <c r="R89" i="8"/>
  <c r="R93" i="8" s="1"/>
  <c r="R89" i="9"/>
  <c r="R89" i="7"/>
  <c r="AE89" i="8"/>
  <c r="AE89" i="9"/>
  <c r="AE89" i="7"/>
  <c r="AK89" i="8"/>
  <c r="AK93" i="8" s="1"/>
  <c r="AK89" i="9"/>
  <c r="AK89" i="7"/>
  <c r="L89" i="8"/>
  <c r="L93" i="8" s="1"/>
  <c r="L89" i="9"/>
  <c r="L89" i="7"/>
  <c r="Q89" i="8"/>
  <c r="Q93" i="8" s="1"/>
  <c r="Q89" i="9"/>
  <c r="Q89" i="7"/>
  <c r="AM14" i="7"/>
  <c r="R13" i="9" l="1"/>
  <c r="R12" i="9"/>
  <c r="R14" i="9"/>
  <c r="P14" i="9"/>
  <c r="P13" i="9"/>
  <c r="P12" i="9"/>
  <c r="L12" i="9"/>
  <c r="L13" i="9"/>
  <c r="L14" i="9"/>
  <c r="Q13" i="9"/>
  <c r="Q12" i="9"/>
  <c r="Q14" i="9"/>
  <c r="AK13" i="9"/>
  <c r="AK12" i="9"/>
  <c r="AK14" i="9"/>
  <c r="X13" i="9"/>
  <c r="X12" i="9"/>
  <c r="X14" i="9"/>
  <c r="M13" i="9"/>
  <c r="M12" i="9"/>
  <c r="M14" i="9"/>
  <c r="O13" i="9"/>
  <c r="O14" i="9"/>
  <c r="O12" i="9"/>
  <c r="AC13" i="9"/>
  <c r="AD13" i="9" s="1"/>
  <c r="AC12" i="9"/>
  <c r="AD12" i="9" s="1"/>
  <c r="AC14" i="9"/>
  <c r="AD14" i="9" s="1"/>
  <c r="AJ91" i="6"/>
  <c r="AI91" i="6"/>
  <c r="AH91" i="6"/>
  <c r="W91" i="6"/>
  <c r="F44" i="5"/>
  <c r="E44" i="5"/>
  <c r="D44" i="5"/>
  <c r="F42" i="5"/>
  <c r="D42" i="5"/>
  <c r="E40" i="5"/>
  <c r="D40" i="5"/>
  <c r="F23" i="5"/>
  <c r="D23" i="5"/>
  <c r="AG91" i="6" s="1"/>
  <c r="F20" i="5"/>
  <c r="E20" i="5"/>
  <c r="D20" i="5"/>
  <c r="AD91" i="6" s="1"/>
  <c r="E18" i="5"/>
  <c r="AG91" i="9" l="1"/>
  <c r="AG91" i="8"/>
  <c r="AG91" i="7"/>
  <c r="AG93" i="6"/>
  <c r="Z55" i="13"/>
  <c r="Z55" i="12"/>
  <c r="Z55" i="11"/>
  <c r="Z55" i="10"/>
  <c r="V91" i="9"/>
  <c r="V91" i="8"/>
  <c r="V91" i="7"/>
  <c r="V93" i="6"/>
  <c r="AI89" i="8"/>
  <c r="AI89" i="9"/>
  <c r="AI89" i="7"/>
  <c r="AJ90" i="9"/>
  <c r="AJ90" i="8"/>
  <c r="AJ90" i="7"/>
  <c r="AJ92" i="6"/>
  <c r="Y55" i="13"/>
  <c r="Y55" i="12"/>
  <c r="Y55" i="11"/>
  <c r="Y55" i="10"/>
  <c r="AD90" i="9"/>
  <c r="AD90" i="8"/>
  <c r="AD90" i="7"/>
  <c r="AD92" i="6"/>
  <c r="D28" i="5"/>
  <c r="AL91" i="6" s="1"/>
  <c r="X55" i="13"/>
  <c r="X55" i="12"/>
  <c r="X55" i="11"/>
  <c r="X55" i="10"/>
  <c r="Q53" i="13"/>
  <c r="Q53" i="12"/>
  <c r="Q53" i="11"/>
  <c r="Q53" i="10"/>
  <c r="F18" i="5"/>
  <c r="Z91" i="9"/>
  <c r="Z91" i="8"/>
  <c r="Z91" i="7"/>
  <c r="Z93" i="6"/>
  <c r="AH89" i="8"/>
  <c r="AH89" i="9"/>
  <c r="AH89" i="7"/>
  <c r="E28" i="5"/>
  <c r="AI90" i="9"/>
  <c r="AI90" i="8"/>
  <c r="AI90" i="7"/>
  <c r="AI92" i="6"/>
  <c r="F28" i="5"/>
  <c r="AJ91" i="9"/>
  <c r="AJ91" i="8"/>
  <c r="AJ91" i="7"/>
  <c r="AJ93" i="6"/>
  <c r="D18" i="5"/>
  <c r="AB91" i="6" s="1"/>
  <c r="AD91" i="9"/>
  <c r="AD91" i="8"/>
  <c r="AD91" i="7"/>
  <c r="AD93" i="6"/>
  <c r="V53" i="13"/>
  <c r="V53" i="12"/>
  <c r="V53" i="11"/>
  <c r="V53" i="10"/>
  <c r="Z53" i="13"/>
  <c r="Z53" i="12"/>
  <c r="Z53" i="11"/>
  <c r="Z53" i="10"/>
  <c r="AA91" i="9"/>
  <c r="AA91" i="8"/>
  <c r="AA91" i="7"/>
  <c r="AA93" i="6"/>
  <c r="AH90" i="9"/>
  <c r="AH90" i="8"/>
  <c r="AH90" i="7"/>
  <c r="AH92" i="6"/>
  <c r="AI91" i="9"/>
  <c r="AI91" i="8"/>
  <c r="AI91" i="7"/>
  <c r="AI93" i="6"/>
  <c r="Y53" i="13"/>
  <c r="Y53" i="12"/>
  <c r="Y53" i="11"/>
  <c r="Y53" i="10"/>
  <c r="AD89" i="8"/>
  <c r="AD89" i="9"/>
  <c r="AD89" i="7"/>
  <c r="X53" i="13"/>
  <c r="X53" i="12"/>
  <c r="X53" i="11"/>
  <c r="X53" i="10"/>
  <c r="W89" i="8"/>
  <c r="W93" i="8" s="1"/>
  <c r="W89" i="9"/>
  <c r="W89" i="7"/>
  <c r="AB90" i="9"/>
  <c r="AB90" i="8"/>
  <c r="AB90" i="7"/>
  <c r="AB92" i="6"/>
  <c r="AG89" i="8"/>
  <c r="AG89" i="9"/>
  <c r="AG89" i="7"/>
  <c r="V54" i="13"/>
  <c r="V54" i="12"/>
  <c r="V54" i="11"/>
  <c r="V54" i="10"/>
  <c r="Z54" i="13"/>
  <c r="Z54" i="12"/>
  <c r="Z54" i="11"/>
  <c r="Z54" i="10"/>
  <c r="U91" i="9"/>
  <c r="U91" i="8"/>
  <c r="U93" i="8" s="1"/>
  <c r="U91" i="7"/>
  <c r="U93" i="6"/>
  <c r="F40" i="5"/>
  <c r="T55" i="13"/>
  <c r="T55" i="12"/>
  <c r="T57" i="12" s="1"/>
  <c r="T55" i="11"/>
  <c r="T55" i="10"/>
  <c r="AH91" i="9"/>
  <c r="AH91" i="8"/>
  <c r="AH91" i="7"/>
  <c r="AH93" i="6"/>
  <c r="AJ89" i="8"/>
  <c r="AJ93" i="8" s="1"/>
  <c r="AJ89" i="9"/>
  <c r="AJ89" i="7"/>
  <c r="Y54" i="13"/>
  <c r="Y54" i="12"/>
  <c r="Y54" i="11"/>
  <c r="Y54" i="10"/>
  <c r="D36" i="5"/>
  <c r="T47" i="4"/>
  <c r="S47" i="4"/>
  <c r="R47" i="4"/>
  <c r="Q47" i="4"/>
  <c r="P47" i="4"/>
  <c r="O47" i="4"/>
  <c r="N47" i="4"/>
  <c r="M47" i="4"/>
  <c r="L47" i="4"/>
  <c r="K47" i="4"/>
  <c r="J47" i="4"/>
  <c r="I47" i="4"/>
  <c r="U47" i="4" s="1"/>
  <c r="T46" i="4"/>
  <c r="S46" i="4"/>
  <c r="R46" i="4"/>
  <c r="Q46" i="4"/>
  <c r="P46" i="4"/>
  <c r="O46" i="4"/>
  <c r="N46" i="4"/>
  <c r="M46" i="4"/>
  <c r="L46" i="4"/>
  <c r="K46" i="4"/>
  <c r="J46" i="4"/>
  <c r="I46" i="4"/>
  <c r="U46" i="4" s="1"/>
  <c r="T45" i="4"/>
  <c r="S45" i="4"/>
  <c r="R45" i="4"/>
  <c r="Q45" i="4"/>
  <c r="P45" i="4"/>
  <c r="O45" i="4"/>
  <c r="N45" i="4"/>
  <c r="M45" i="4"/>
  <c r="L45" i="4"/>
  <c r="K45" i="4"/>
  <c r="J45" i="4"/>
  <c r="I45" i="4"/>
  <c r="U45" i="4" s="1"/>
  <c r="T44" i="4"/>
  <c r="S44" i="4"/>
  <c r="R44" i="4"/>
  <c r="Q44" i="4"/>
  <c r="P44" i="4"/>
  <c r="O44" i="4"/>
  <c r="N44" i="4"/>
  <c r="M44" i="4"/>
  <c r="L44" i="4"/>
  <c r="K44" i="4"/>
  <c r="J44" i="4"/>
  <c r="I44" i="4"/>
  <c r="U44" i="4" s="1"/>
  <c r="T43" i="4"/>
  <c r="S43" i="4"/>
  <c r="R43" i="4"/>
  <c r="Q43" i="4"/>
  <c r="P43" i="4"/>
  <c r="O43" i="4"/>
  <c r="N43" i="4"/>
  <c r="M43" i="4"/>
  <c r="L43" i="4"/>
  <c r="K43" i="4"/>
  <c r="J43" i="4"/>
  <c r="I43" i="4"/>
  <c r="U43" i="4" s="1"/>
  <c r="T42" i="4"/>
  <c r="S42" i="4"/>
  <c r="R42" i="4"/>
  <c r="Q42" i="4"/>
  <c r="P42" i="4"/>
  <c r="O42" i="4"/>
  <c r="N42" i="4"/>
  <c r="M42" i="4"/>
  <c r="L42" i="4"/>
  <c r="K42" i="4"/>
  <c r="J42" i="4"/>
  <c r="I42" i="4"/>
  <c r="U42" i="4" s="1"/>
  <c r="T41" i="4"/>
  <c r="S41" i="4"/>
  <c r="R41" i="4"/>
  <c r="Q41" i="4"/>
  <c r="P41" i="4"/>
  <c r="O41" i="4"/>
  <c r="N41" i="4"/>
  <c r="M41" i="4"/>
  <c r="L41" i="4"/>
  <c r="K41" i="4"/>
  <c r="J41" i="4"/>
  <c r="I41" i="4"/>
  <c r="U41" i="4" s="1"/>
  <c r="T40" i="4"/>
  <c r="S40" i="4"/>
  <c r="R40" i="4"/>
  <c r="Q40" i="4"/>
  <c r="P40" i="4"/>
  <c r="O40" i="4"/>
  <c r="N40" i="4"/>
  <c r="M40" i="4"/>
  <c r="L40" i="4"/>
  <c r="K40" i="4"/>
  <c r="J40" i="4"/>
  <c r="I40" i="4"/>
  <c r="U40" i="4" s="1"/>
  <c r="T39" i="4"/>
  <c r="S39" i="4"/>
  <c r="R39" i="4"/>
  <c r="Q39" i="4"/>
  <c r="P39" i="4"/>
  <c r="O39" i="4"/>
  <c r="N39" i="4"/>
  <c r="M39" i="4"/>
  <c r="L39" i="4"/>
  <c r="K39" i="4"/>
  <c r="J39" i="4"/>
  <c r="I39" i="4"/>
  <c r="U39" i="4" s="1"/>
  <c r="T38" i="4"/>
  <c r="S38" i="4"/>
  <c r="R38" i="4"/>
  <c r="Q38" i="4"/>
  <c r="P38" i="4"/>
  <c r="O38" i="4"/>
  <c r="N38" i="4"/>
  <c r="M38" i="4"/>
  <c r="L38" i="4"/>
  <c r="K38" i="4"/>
  <c r="J38" i="4"/>
  <c r="I38" i="4"/>
  <c r="U38" i="4" s="1"/>
  <c r="T37" i="4"/>
  <c r="S37" i="4"/>
  <c r="R37" i="4"/>
  <c r="Q37" i="4"/>
  <c r="P37" i="4"/>
  <c r="O37" i="4"/>
  <c r="N37" i="4"/>
  <c r="M37" i="4"/>
  <c r="L37" i="4"/>
  <c r="K37" i="4"/>
  <c r="J37" i="4"/>
  <c r="I37" i="4"/>
  <c r="U37" i="4" s="1"/>
  <c r="T36" i="4"/>
  <c r="S36" i="4"/>
  <c r="R36" i="4"/>
  <c r="Q36" i="4"/>
  <c r="P36" i="4"/>
  <c r="O36" i="4"/>
  <c r="N36" i="4"/>
  <c r="M36" i="4"/>
  <c r="L36" i="4"/>
  <c r="K36" i="4"/>
  <c r="J36" i="4"/>
  <c r="I36" i="4"/>
  <c r="U36" i="4" s="1"/>
  <c r="T35" i="4"/>
  <c r="S35" i="4"/>
  <c r="R35" i="4"/>
  <c r="Q35" i="4"/>
  <c r="P35" i="4"/>
  <c r="O35" i="4"/>
  <c r="N35" i="4"/>
  <c r="M35" i="4"/>
  <c r="L35" i="4"/>
  <c r="K35" i="4"/>
  <c r="J35" i="4"/>
  <c r="I35" i="4"/>
  <c r="U35" i="4" s="1"/>
  <c r="T34" i="4"/>
  <c r="S34" i="4"/>
  <c r="R34" i="4"/>
  <c r="Q34" i="4"/>
  <c r="P34" i="4"/>
  <c r="O34" i="4"/>
  <c r="N34" i="4"/>
  <c r="M34" i="4"/>
  <c r="L34" i="4"/>
  <c r="K34" i="4"/>
  <c r="J34" i="4"/>
  <c r="I34" i="4"/>
  <c r="U34" i="4" s="1"/>
  <c r="T33" i="4"/>
  <c r="S33" i="4"/>
  <c r="R33" i="4"/>
  <c r="Q33" i="4"/>
  <c r="P33" i="4"/>
  <c r="O33" i="4"/>
  <c r="N33" i="4"/>
  <c r="M33" i="4"/>
  <c r="L33" i="4"/>
  <c r="K33" i="4"/>
  <c r="J33" i="4"/>
  <c r="I33" i="4"/>
  <c r="U33" i="4" s="1"/>
  <c r="T32" i="4"/>
  <c r="S32" i="4"/>
  <c r="R32" i="4"/>
  <c r="Q32" i="4"/>
  <c r="P32" i="4"/>
  <c r="O32" i="4"/>
  <c r="N32" i="4"/>
  <c r="M32" i="4"/>
  <c r="L32" i="4"/>
  <c r="K32" i="4"/>
  <c r="J32" i="4"/>
  <c r="I32" i="4"/>
  <c r="U32" i="4" s="1"/>
  <c r="T31" i="4"/>
  <c r="S31" i="4"/>
  <c r="R31" i="4"/>
  <c r="Q31" i="4"/>
  <c r="P31" i="4"/>
  <c r="O31" i="4"/>
  <c r="N31" i="4"/>
  <c r="M31" i="4"/>
  <c r="L31" i="4"/>
  <c r="K31" i="4"/>
  <c r="J31" i="4"/>
  <c r="I31" i="4"/>
  <c r="U31" i="4" s="1"/>
  <c r="T30" i="4"/>
  <c r="S30" i="4"/>
  <c r="R30" i="4"/>
  <c r="Q30" i="4"/>
  <c r="P30" i="4"/>
  <c r="O30" i="4"/>
  <c r="N30" i="4"/>
  <c r="M30" i="4"/>
  <c r="L30" i="4"/>
  <c r="K30" i="4"/>
  <c r="J30" i="4"/>
  <c r="I30" i="4"/>
  <c r="U30" i="4" s="1"/>
  <c r="T29" i="4"/>
  <c r="S29" i="4"/>
  <c r="R29" i="4"/>
  <c r="Q29" i="4"/>
  <c r="P29" i="4"/>
  <c r="O29" i="4"/>
  <c r="N29" i="4"/>
  <c r="M29" i="4"/>
  <c r="L29" i="4"/>
  <c r="K29" i="4"/>
  <c r="J29" i="4"/>
  <c r="I29" i="4"/>
  <c r="U29" i="4" s="1"/>
  <c r="T28" i="4"/>
  <c r="S28" i="4"/>
  <c r="R28" i="4"/>
  <c r="Q28" i="4"/>
  <c r="P28" i="4"/>
  <c r="O28" i="4"/>
  <c r="N28" i="4"/>
  <c r="M28" i="4"/>
  <c r="L28" i="4"/>
  <c r="K28" i="4"/>
  <c r="J28" i="4"/>
  <c r="I28" i="4"/>
  <c r="U28" i="4" s="1"/>
  <c r="T27" i="4"/>
  <c r="S27" i="4"/>
  <c r="R27" i="4"/>
  <c r="Q27" i="4"/>
  <c r="P27" i="4"/>
  <c r="O27" i="4"/>
  <c r="N27" i="4"/>
  <c r="M27" i="4"/>
  <c r="L27" i="4"/>
  <c r="K27" i="4"/>
  <c r="J27" i="4"/>
  <c r="I27" i="4"/>
  <c r="U27" i="4" s="1"/>
  <c r="T26" i="4"/>
  <c r="S26" i="4"/>
  <c r="R26" i="4"/>
  <c r="Q26" i="4"/>
  <c r="P26" i="4"/>
  <c r="O26" i="4"/>
  <c r="N26" i="4"/>
  <c r="M26" i="4"/>
  <c r="L26" i="4"/>
  <c r="K26" i="4"/>
  <c r="J26" i="4"/>
  <c r="I26" i="4"/>
  <c r="U26" i="4" s="1"/>
  <c r="T25" i="4"/>
  <c r="S25" i="4"/>
  <c r="R25" i="4"/>
  <c r="Q25" i="4"/>
  <c r="P25" i="4"/>
  <c r="O25" i="4"/>
  <c r="N25" i="4"/>
  <c r="M25" i="4"/>
  <c r="L25" i="4"/>
  <c r="K25" i="4"/>
  <c r="J25" i="4"/>
  <c r="I25" i="4"/>
  <c r="U25" i="4" s="1"/>
  <c r="T24" i="4"/>
  <c r="S24" i="4"/>
  <c r="R24" i="4"/>
  <c r="Q24" i="4"/>
  <c r="P24" i="4"/>
  <c r="O24" i="4"/>
  <c r="N24" i="4"/>
  <c r="M24" i="4"/>
  <c r="L24" i="4"/>
  <c r="K24" i="4"/>
  <c r="J24" i="4"/>
  <c r="I24" i="4"/>
  <c r="U24" i="4" s="1"/>
  <c r="T23" i="4"/>
  <c r="S23" i="4"/>
  <c r="R23" i="4"/>
  <c r="Q23" i="4"/>
  <c r="P23" i="4"/>
  <c r="O23" i="4"/>
  <c r="N23" i="4"/>
  <c r="M23" i="4"/>
  <c r="L23" i="4"/>
  <c r="K23" i="4"/>
  <c r="J23" i="4"/>
  <c r="I23" i="4"/>
  <c r="U23" i="4" s="1"/>
  <c r="T22" i="4"/>
  <c r="S22" i="4"/>
  <c r="R22" i="4"/>
  <c r="Q22" i="4"/>
  <c r="P22" i="4"/>
  <c r="O22" i="4"/>
  <c r="N22" i="4"/>
  <c r="M22" i="4"/>
  <c r="L22" i="4"/>
  <c r="K22" i="4"/>
  <c r="J22" i="4"/>
  <c r="I22" i="4"/>
  <c r="U22" i="4" s="1"/>
  <c r="T21" i="4"/>
  <c r="S21" i="4"/>
  <c r="R21" i="4"/>
  <c r="Q21" i="4"/>
  <c r="P21" i="4"/>
  <c r="O21" i="4"/>
  <c r="N21" i="4"/>
  <c r="M21" i="4"/>
  <c r="L21" i="4"/>
  <c r="K21" i="4"/>
  <c r="J21" i="4"/>
  <c r="I21" i="4"/>
  <c r="U21" i="4" s="1"/>
  <c r="T20" i="4"/>
  <c r="S20" i="4"/>
  <c r="R20" i="4"/>
  <c r="Q20" i="4"/>
  <c r="P20" i="4"/>
  <c r="O20" i="4"/>
  <c r="N20" i="4"/>
  <c r="M20" i="4"/>
  <c r="L20" i="4"/>
  <c r="K20" i="4"/>
  <c r="J20" i="4"/>
  <c r="I20" i="4"/>
  <c r="U20" i="4" s="1"/>
  <c r="T19" i="4"/>
  <c r="S19" i="4"/>
  <c r="R19" i="4"/>
  <c r="Q19" i="4"/>
  <c r="P19" i="4"/>
  <c r="O19" i="4"/>
  <c r="N19" i="4"/>
  <c r="M19" i="4"/>
  <c r="L19" i="4"/>
  <c r="K19" i="4"/>
  <c r="J19" i="4"/>
  <c r="I19" i="4"/>
  <c r="U19" i="4" s="1"/>
  <c r="T18" i="4"/>
  <c r="S18" i="4"/>
  <c r="R18" i="4"/>
  <c r="Q18" i="4"/>
  <c r="P18" i="4"/>
  <c r="O18" i="4"/>
  <c r="N18" i="4"/>
  <c r="M18" i="4"/>
  <c r="L18" i="4"/>
  <c r="K18" i="4"/>
  <c r="J18" i="4"/>
  <c r="I18" i="4"/>
  <c r="U18" i="4" s="1"/>
  <c r="T17" i="4"/>
  <c r="S17" i="4"/>
  <c r="R17" i="4"/>
  <c r="Q17" i="4"/>
  <c r="P17" i="4"/>
  <c r="O17" i="4"/>
  <c r="N17" i="4"/>
  <c r="M17" i="4"/>
  <c r="L17" i="4"/>
  <c r="K17" i="4"/>
  <c r="J17" i="4"/>
  <c r="I17" i="4"/>
  <c r="U17" i="4" s="1"/>
  <c r="T16" i="4"/>
  <c r="S16" i="4"/>
  <c r="R16" i="4"/>
  <c r="Q16" i="4"/>
  <c r="P16" i="4"/>
  <c r="O16" i="4"/>
  <c r="N16" i="4"/>
  <c r="M16" i="4"/>
  <c r="L16" i="4"/>
  <c r="K16" i="4"/>
  <c r="J16" i="4"/>
  <c r="I16" i="4"/>
  <c r="U16" i="4" s="1"/>
  <c r="T15" i="4"/>
  <c r="S15" i="4"/>
  <c r="R15" i="4"/>
  <c r="Q15" i="4"/>
  <c r="P15" i="4"/>
  <c r="O15" i="4"/>
  <c r="N15" i="4"/>
  <c r="M15" i="4"/>
  <c r="L15" i="4"/>
  <c r="K15" i="4"/>
  <c r="J15" i="4"/>
  <c r="I15" i="4"/>
  <c r="U15" i="4" s="1"/>
  <c r="T14" i="4"/>
  <c r="S14" i="4"/>
  <c r="R14" i="4"/>
  <c r="Q14" i="4"/>
  <c r="P14" i="4"/>
  <c r="O14" i="4"/>
  <c r="N14" i="4"/>
  <c r="M14" i="4"/>
  <c r="L14" i="4"/>
  <c r="K14" i="4"/>
  <c r="J14" i="4"/>
  <c r="I14" i="4"/>
  <c r="U14" i="4" s="1"/>
  <c r="T13" i="4"/>
  <c r="S13" i="4"/>
  <c r="R13" i="4"/>
  <c r="Q13" i="4"/>
  <c r="P13" i="4"/>
  <c r="O13" i="4"/>
  <c r="N13" i="4"/>
  <c r="M13" i="4"/>
  <c r="L13" i="4"/>
  <c r="K13" i="4"/>
  <c r="J13" i="4"/>
  <c r="I13" i="4"/>
  <c r="U13" i="4" s="1"/>
  <c r="T12" i="4"/>
  <c r="S12" i="4"/>
  <c r="R12" i="4"/>
  <c r="Q12" i="4"/>
  <c r="P12" i="4"/>
  <c r="O12" i="4"/>
  <c r="N12" i="4"/>
  <c r="M12" i="4"/>
  <c r="L12" i="4"/>
  <c r="K12" i="4"/>
  <c r="J12" i="4"/>
  <c r="I12" i="4"/>
  <c r="U12" i="4" s="1"/>
  <c r="T11" i="4"/>
  <c r="S11" i="4"/>
  <c r="R11" i="4"/>
  <c r="Q11" i="4"/>
  <c r="P11" i="4"/>
  <c r="O11" i="4"/>
  <c r="N11" i="4"/>
  <c r="M11" i="4"/>
  <c r="L11" i="4"/>
  <c r="K11" i="4"/>
  <c r="J11" i="4"/>
  <c r="I11" i="4"/>
  <c r="U11" i="4" s="1"/>
  <c r="T10" i="4"/>
  <c r="S10" i="4"/>
  <c r="R10" i="4"/>
  <c r="Q10" i="4"/>
  <c r="P10" i="4"/>
  <c r="O10" i="4"/>
  <c r="N10" i="4"/>
  <c r="M10" i="4"/>
  <c r="L10" i="4"/>
  <c r="K10" i="4"/>
  <c r="J10" i="4"/>
  <c r="I10" i="4"/>
  <c r="U10" i="4" s="1"/>
  <c r="T9" i="4"/>
  <c r="S9" i="4"/>
  <c r="R9" i="4"/>
  <c r="Q9" i="4"/>
  <c r="P9" i="4"/>
  <c r="O9" i="4"/>
  <c r="N9" i="4"/>
  <c r="M9" i="4"/>
  <c r="L9" i="4"/>
  <c r="K9" i="4"/>
  <c r="J9" i="4"/>
  <c r="I9" i="4"/>
  <c r="U9" i="4" s="1"/>
  <c r="T8" i="4"/>
  <c r="S8" i="4"/>
  <c r="R8" i="4"/>
  <c r="Q8" i="4"/>
  <c r="P8" i="4"/>
  <c r="O8" i="4"/>
  <c r="N8" i="4"/>
  <c r="M8" i="4"/>
  <c r="L8" i="4"/>
  <c r="K8" i="4"/>
  <c r="J8" i="4"/>
  <c r="I8" i="4"/>
  <c r="U8" i="4" s="1"/>
  <c r="T7" i="4"/>
  <c r="S7" i="4"/>
  <c r="R7" i="4"/>
  <c r="Q7" i="4"/>
  <c r="P7" i="4"/>
  <c r="O7" i="4"/>
  <c r="N7" i="4"/>
  <c r="M7" i="4"/>
  <c r="L7" i="4"/>
  <c r="K7" i="4"/>
  <c r="J7" i="4"/>
  <c r="I7" i="4"/>
  <c r="U7" i="4" s="1"/>
  <c r="T6" i="4"/>
  <c r="S6" i="4"/>
  <c r="R6" i="4"/>
  <c r="Q6" i="4"/>
  <c r="P6" i="4"/>
  <c r="O6" i="4"/>
  <c r="N6" i="4"/>
  <c r="M6" i="4"/>
  <c r="L6" i="4"/>
  <c r="K6" i="4"/>
  <c r="J6" i="4"/>
  <c r="I6" i="4"/>
  <c r="U6" i="4" s="1"/>
  <c r="T5" i="4"/>
  <c r="S5" i="4"/>
  <c r="R5" i="4"/>
  <c r="Q5" i="4"/>
  <c r="P5" i="4"/>
  <c r="O5" i="4"/>
  <c r="N5" i="4"/>
  <c r="M5" i="4"/>
  <c r="L5" i="4"/>
  <c r="K5" i="4"/>
  <c r="J5" i="4"/>
  <c r="I5" i="4"/>
  <c r="U5" i="4" s="1"/>
  <c r="T4" i="4"/>
  <c r="S4" i="4"/>
  <c r="R4" i="4"/>
  <c r="Q4" i="4"/>
  <c r="P4" i="4"/>
  <c r="O4" i="4"/>
  <c r="N4" i="4"/>
  <c r="M4" i="4"/>
  <c r="L4" i="4"/>
  <c r="K4" i="4"/>
  <c r="J4" i="4"/>
  <c r="I4" i="4"/>
  <c r="U4" i="4" s="1"/>
  <c r="T3" i="4"/>
  <c r="S3" i="4"/>
  <c r="R3" i="4"/>
  <c r="Q3" i="4"/>
  <c r="P3" i="4"/>
  <c r="O3" i="4"/>
  <c r="N3" i="4"/>
  <c r="M3" i="4"/>
  <c r="L3" i="4"/>
  <c r="K3" i="4"/>
  <c r="J3" i="4"/>
  <c r="I3" i="4"/>
  <c r="U3" i="4" s="1"/>
  <c r="T2" i="4"/>
  <c r="S2" i="4"/>
  <c r="R2" i="4"/>
  <c r="Q2" i="4"/>
  <c r="P2" i="4"/>
  <c r="O2" i="4"/>
  <c r="N2" i="4"/>
  <c r="M2" i="4"/>
  <c r="L2" i="4"/>
  <c r="K2" i="4"/>
  <c r="J2" i="4"/>
  <c r="I2" i="4"/>
  <c r="U2" i="4" s="1"/>
  <c r="I7" i="30" l="1"/>
  <c r="I7" i="13"/>
  <c r="I7" i="12"/>
  <c r="I7" i="11"/>
  <c r="I7" i="10"/>
  <c r="I5" i="30"/>
  <c r="P14" i="5"/>
  <c r="P17" i="5" s="1"/>
  <c r="I5" i="13"/>
  <c r="I5" i="12"/>
  <c r="I5" i="11"/>
  <c r="I5" i="10"/>
  <c r="I6" i="30"/>
  <c r="I6" i="13"/>
  <c r="I6" i="12"/>
  <c r="I6" i="11"/>
  <c r="I6" i="10"/>
  <c r="I8" i="30"/>
  <c r="I8" i="13"/>
  <c r="I8" i="12"/>
  <c r="I8" i="11"/>
  <c r="I8" i="10"/>
  <c r="I9" i="30"/>
  <c r="I9" i="13"/>
  <c r="I9" i="12"/>
  <c r="I9" i="11"/>
  <c r="I9" i="10"/>
  <c r="I10" i="30"/>
  <c r="I10" i="13"/>
  <c r="I10" i="12"/>
  <c r="I10" i="11"/>
  <c r="I10" i="10"/>
  <c r="I11" i="30"/>
  <c r="I11" i="13"/>
  <c r="I11" i="12"/>
  <c r="I11" i="11"/>
  <c r="I11" i="10"/>
  <c r="I12" i="30"/>
  <c r="I12" i="13"/>
  <c r="I12" i="12"/>
  <c r="I12" i="11"/>
  <c r="I12" i="10"/>
  <c r="I13" i="30"/>
  <c r="I13" i="13"/>
  <c r="I13" i="12"/>
  <c r="I13" i="11"/>
  <c r="I13" i="10"/>
  <c r="I14" i="30"/>
  <c r="I14" i="12"/>
  <c r="I14" i="13"/>
  <c r="I14" i="11"/>
  <c r="I14" i="10"/>
  <c r="I15" i="30"/>
  <c r="I15" i="13"/>
  <c r="I15" i="12"/>
  <c r="I15" i="11"/>
  <c r="I15" i="10"/>
  <c r="I16" i="30"/>
  <c r="I16" i="12"/>
  <c r="I16" i="13"/>
  <c r="I16" i="11"/>
  <c r="I16" i="10"/>
  <c r="I17" i="30"/>
  <c r="I17" i="13"/>
  <c r="I17" i="12"/>
  <c r="I17" i="11"/>
  <c r="I17" i="10"/>
  <c r="I18" i="30"/>
  <c r="I18" i="12"/>
  <c r="I18" i="13"/>
  <c r="I18" i="11"/>
  <c r="I18" i="10"/>
  <c r="I19" i="30"/>
  <c r="I19" i="13"/>
  <c r="I19" i="12"/>
  <c r="I19" i="11"/>
  <c r="I19" i="10"/>
  <c r="I20" i="30"/>
  <c r="I20" i="13"/>
  <c r="I20" i="12"/>
  <c r="I20" i="11"/>
  <c r="I20" i="10"/>
  <c r="I21" i="30"/>
  <c r="I21" i="13"/>
  <c r="I21" i="12"/>
  <c r="I21" i="11"/>
  <c r="I21" i="10"/>
  <c r="I22" i="30"/>
  <c r="I22" i="13"/>
  <c r="I22" i="12"/>
  <c r="I22" i="11"/>
  <c r="I22" i="10"/>
  <c r="I23" i="30"/>
  <c r="I23" i="13"/>
  <c r="I23" i="12"/>
  <c r="I23" i="11"/>
  <c r="I23" i="10"/>
  <c r="I24" i="30"/>
  <c r="I24" i="13"/>
  <c r="I24" i="12"/>
  <c r="I24" i="11"/>
  <c r="I24" i="10"/>
  <c r="I25" i="30"/>
  <c r="I25" i="13"/>
  <c r="I25" i="12"/>
  <c r="I25" i="11"/>
  <c r="I25" i="10"/>
  <c r="I26" i="30"/>
  <c r="I26" i="13"/>
  <c r="I26" i="12"/>
  <c r="I26" i="11"/>
  <c r="I26" i="10"/>
  <c r="I27" i="30"/>
  <c r="I27" i="12"/>
  <c r="I27" i="13"/>
  <c r="I27" i="11"/>
  <c r="I27" i="10"/>
  <c r="I28" i="30"/>
  <c r="I28" i="13"/>
  <c r="I28" i="12"/>
  <c r="I28" i="11"/>
  <c r="I28" i="10"/>
  <c r="I29" i="30"/>
  <c r="I29" i="12"/>
  <c r="I29" i="13"/>
  <c r="I29" i="11"/>
  <c r="I29" i="10"/>
  <c r="I30" i="30"/>
  <c r="I30" i="13"/>
  <c r="I30" i="12"/>
  <c r="I30" i="11"/>
  <c r="I30" i="10"/>
  <c r="I31" i="30"/>
  <c r="I31" i="13"/>
  <c r="I31" i="12"/>
  <c r="I31" i="11"/>
  <c r="I31" i="10"/>
  <c r="I32" i="30"/>
  <c r="I32" i="12"/>
  <c r="I32" i="13"/>
  <c r="I32" i="11"/>
  <c r="I32" i="10"/>
  <c r="I33" i="30"/>
  <c r="I33" i="13"/>
  <c r="I33" i="12"/>
  <c r="I33" i="11"/>
  <c r="I33" i="10"/>
  <c r="I34" i="30"/>
  <c r="I34" i="13"/>
  <c r="I34" i="12"/>
  <c r="I34" i="11"/>
  <c r="I34" i="10"/>
  <c r="I35" i="30"/>
  <c r="I35" i="13"/>
  <c r="I35" i="12"/>
  <c r="I35" i="11"/>
  <c r="I35" i="10"/>
  <c r="I36" i="30"/>
  <c r="I36" i="13"/>
  <c r="I36" i="12"/>
  <c r="I36" i="11"/>
  <c r="I36" i="10"/>
  <c r="I37" i="30"/>
  <c r="I37" i="12"/>
  <c r="I37" i="13"/>
  <c r="I37" i="11"/>
  <c r="I37" i="10"/>
  <c r="I38" i="30"/>
  <c r="I38" i="12"/>
  <c r="I38" i="13"/>
  <c r="I38" i="11"/>
  <c r="I38" i="10"/>
  <c r="I39" i="30"/>
  <c r="I39" i="13"/>
  <c r="I39" i="12"/>
  <c r="I39" i="11"/>
  <c r="I39" i="10"/>
  <c r="I40" i="30"/>
  <c r="I40" i="13"/>
  <c r="I40" i="12"/>
  <c r="I40" i="11"/>
  <c r="I40" i="10"/>
  <c r="I41" i="30"/>
  <c r="I41" i="13"/>
  <c r="I41" i="12"/>
  <c r="I41" i="11"/>
  <c r="I41" i="10"/>
  <c r="I42" i="30"/>
  <c r="I42" i="13"/>
  <c r="I42" i="12"/>
  <c r="I42" i="11"/>
  <c r="I42" i="10"/>
  <c r="I43" i="30"/>
  <c r="I43" i="13"/>
  <c r="I43" i="12"/>
  <c r="I43" i="11"/>
  <c r="I43" i="10"/>
  <c r="I44" i="30"/>
  <c r="I44" i="13"/>
  <c r="I44" i="12"/>
  <c r="I44" i="11"/>
  <c r="I44" i="10"/>
  <c r="I45" i="30"/>
  <c r="I45" i="12"/>
  <c r="I45" i="13"/>
  <c r="I45" i="11"/>
  <c r="I45" i="10"/>
  <c r="I46" i="30"/>
  <c r="I46" i="13"/>
  <c r="I46" i="12"/>
  <c r="I46" i="11"/>
  <c r="I46" i="10"/>
  <c r="I47" i="30"/>
  <c r="I47" i="13"/>
  <c r="I47" i="12"/>
  <c r="I47" i="11"/>
  <c r="I47" i="10"/>
  <c r="I48" i="30"/>
  <c r="I48" i="13"/>
  <c r="I48" i="12"/>
  <c r="I48" i="11"/>
  <c r="I48" i="10"/>
  <c r="I49" i="30"/>
  <c r="I49" i="13"/>
  <c r="I49" i="12"/>
  <c r="I49" i="11"/>
  <c r="I49" i="10"/>
  <c r="I50" i="30"/>
  <c r="I50" i="13"/>
  <c r="I50" i="12"/>
  <c r="I50" i="11"/>
  <c r="I50" i="10"/>
  <c r="Y57" i="12"/>
  <c r="F36" i="5"/>
  <c r="Q55" i="13"/>
  <c r="Q55" i="12"/>
  <c r="Q55" i="11"/>
  <c r="Q55" i="10"/>
  <c r="AJ13" i="9"/>
  <c r="AJ12" i="9"/>
  <c r="AJ14" i="9"/>
  <c r="U13" i="9"/>
  <c r="U12" i="9"/>
  <c r="U14" i="9"/>
  <c r="Y57" i="11"/>
  <c r="AL89" i="8"/>
  <c r="AL89" i="9"/>
  <c r="AL89" i="7"/>
  <c r="AI93" i="8"/>
  <c r="E36" i="5"/>
  <c r="Q54" i="13"/>
  <c r="Q54" i="12"/>
  <c r="Q54" i="11"/>
  <c r="Q54" i="10"/>
  <c r="V55" i="13"/>
  <c r="V55" i="12"/>
  <c r="V55" i="11"/>
  <c r="V55" i="10"/>
  <c r="Q57" i="11"/>
  <c r="Q56" i="11" s="1"/>
  <c r="AL91" i="9"/>
  <c r="AL91" i="8"/>
  <c r="AL91" i="7"/>
  <c r="AL93" i="6"/>
  <c r="AH93" i="8"/>
  <c r="Q57" i="12"/>
  <c r="Q56" i="12" s="1"/>
  <c r="R53" i="13"/>
  <c r="R53" i="12"/>
  <c r="R53" i="11"/>
  <c r="R53" i="10"/>
  <c r="W14" i="9"/>
  <c r="W13" i="9"/>
  <c r="W12" i="9"/>
  <c r="AB89" i="8"/>
  <c r="AB89" i="9"/>
  <c r="AB89" i="7"/>
  <c r="AL90" i="9"/>
  <c r="AL90" i="8"/>
  <c r="AL90" i="7"/>
  <c r="AL92" i="6"/>
  <c r="AB91" i="9"/>
  <c r="AB91" i="8"/>
  <c r="AB91" i="7"/>
  <c r="AB93" i="6"/>
  <c r="T83" i="3"/>
  <c r="S83" i="3"/>
  <c r="R83" i="3"/>
  <c r="Q83" i="3"/>
  <c r="P83" i="3"/>
  <c r="O83" i="3"/>
  <c r="N83" i="3"/>
  <c r="M83" i="3"/>
  <c r="L83" i="3"/>
  <c r="K83" i="3"/>
  <c r="J83" i="3"/>
  <c r="I83" i="3"/>
  <c r="U83" i="3" s="1"/>
  <c r="T82" i="3"/>
  <c r="S82" i="3"/>
  <c r="R82" i="3"/>
  <c r="Q82" i="3"/>
  <c r="P82" i="3"/>
  <c r="O82" i="3"/>
  <c r="N82" i="3"/>
  <c r="M82" i="3"/>
  <c r="L82" i="3"/>
  <c r="K82" i="3"/>
  <c r="J82" i="3"/>
  <c r="I82" i="3"/>
  <c r="U82" i="3" s="1"/>
  <c r="T81" i="3"/>
  <c r="S81" i="3"/>
  <c r="R81" i="3"/>
  <c r="Q81" i="3"/>
  <c r="P81" i="3"/>
  <c r="O81" i="3"/>
  <c r="N81" i="3"/>
  <c r="M81" i="3"/>
  <c r="L81" i="3"/>
  <c r="K81" i="3"/>
  <c r="J81" i="3"/>
  <c r="I81" i="3"/>
  <c r="U81" i="3" s="1"/>
  <c r="T80" i="3"/>
  <c r="S80" i="3"/>
  <c r="R80" i="3"/>
  <c r="Q80" i="3"/>
  <c r="P80" i="3"/>
  <c r="O80" i="3"/>
  <c r="N80" i="3"/>
  <c r="M80" i="3"/>
  <c r="L80" i="3"/>
  <c r="K80" i="3"/>
  <c r="J80" i="3"/>
  <c r="I80" i="3"/>
  <c r="U80" i="3" s="1"/>
  <c r="T79" i="3"/>
  <c r="S79" i="3"/>
  <c r="R79" i="3"/>
  <c r="Q79" i="3"/>
  <c r="P79" i="3"/>
  <c r="O79" i="3"/>
  <c r="N79" i="3"/>
  <c r="M79" i="3"/>
  <c r="L79" i="3"/>
  <c r="K79" i="3"/>
  <c r="J79" i="3"/>
  <c r="I79" i="3"/>
  <c r="U79" i="3" s="1"/>
  <c r="T78" i="3"/>
  <c r="S78" i="3"/>
  <c r="R78" i="3"/>
  <c r="Q78" i="3"/>
  <c r="P78" i="3"/>
  <c r="O78" i="3"/>
  <c r="N78" i="3"/>
  <c r="M78" i="3"/>
  <c r="L78" i="3"/>
  <c r="K78" i="3"/>
  <c r="J78" i="3"/>
  <c r="I78" i="3"/>
  <c r="U78" i="3" s="1"/>
  <c r="T77" i="3"/>
  <c r="S77" i="3"/>
  <c r="R77" i="3"/>
  <c r="Q77" i="3"/>
  <c r="P77" i="3"/>
  <c r="O77" i="3"/>
  <c r="N77" i="3"/>
  <c r="M77" i="3"/>
  <c r="L77" i="3"/>
  <c r="K77" i="3"/>
  <c r="J77" i="3"/>
  <c r="I77" i="3"/>
  <c r="U77" i="3" s="1"/>
  <c r="T76" i="3"/>
  <c r="S76" i="3"/>
  <c r="R76" i="3"/>
  <c r="Q76" i="3"/>
  <c r="P76" i="3"/>
  <c r="O76" i="3"/>
  <c r="N76" i="3"/>
  <c r="M76" i="3"/>
  <c r="L76" i="3"/>
  <c r="K76" i="3"/>
  <c r="J76" i="3"/>
  <c r="I76" i="3"/>
  <c r="U76" i="3" s="1"/>
  <c r="T75" i="3"/>
  <c r="S75" i="3"/>
  <c r="R75" i="3"/>
  <c r="Q75" i="3"/>
  <c r="P75" i="3"/>
  <c r="O75" i="3"/>
  <c r="N75" i="3"/>
  <c r="M75" i="3"/>
  <c r="L75" i="3"/>
  <c r="K75" i="3"/>
  <c r="J75" i="3"/>
  <c r="I75" i="3"/>
  <c r="U75" i="3" s="1"/>
  <c r="T74" i="3"/>
  <c r="S74" i="3"/>
  <c r="R74" i="3"/>
  <c r="Q74" i="3"/>
  <c r="P74" i="3"/>
  <c r="O74" i="3"/>
  <c r="N74" i="3"/>
  <c r="M74" i="3"/>
  <c r="L74" i="3"/>
  <c r="K74" i="3"/>
  <c r="J74" i="3"/>
  <c r="I74" i="3"/>
  <c r="U74" i="3" s="1"/>
  <c r="T73" i="3"/>
  <c r="S73" i="3"/>
  <c r="R73" i="3"/>
  <c r="Q73" i="3"/>
  <c r="P73" i="3"/>
  <c r="O73" i="3"/>
  <c r="N73" i="3"/>
  <c r="M73" i="3"/>
  <c r="L73" i="3"/>
  <c r="K73" i="3"/>
  <c r="J73" i="3"/>
  <c r="I73" i="3"/>
  <c r="U73" i="3" s="1"/>
  <c r="T72" i="3"/>
  <c r="S72" i="3"/>
  <c r="R72" i="3"/>
  <c r="Q72" i="3"/>
  <c r="P72" i="3"/>
  <c r="O72" i="3"/>
  <c r="N72" i="3"/>
  <c r="M72" i="3"/>
  <c r="L72" i="3"/>
  <c r="K72" i="3"/>
  <c r="J72" i="3"/>
  <c r="I72" i="3"/>
  <c r="U72" i="3" s="1"/>
  <c r="T71" i="3"/>
  <c r="S71" i="3"/>
  <c r="R71" i="3"/>
  <c r="Q71" i="3"/>
  <c r="P71" i="3"/>
  <c r="O71" i="3"/>
  <c r="N71" i="3"/>
  <c r="M71" i="3"/>
  <c r="L71" i="3"/>
  <c r="K71" i="3"/>
  <c r="J71" i="3"/>
  <c r="I71" i="3"/>
  <c r="U71" i="3" s="1"/>
  <c r="T70" i="3"/>
  <c r="S70" i="3"/>
  <c r="R70" i="3"/>
  <c r="Q70" i="3"/>
  <c r="P70" i="3"/>
  <c r="O70" i="3"/>
  <c r="N70" i="3"/>
  <c r="M70" i="3"/>
  <c r="L70" i="3"/>
  <c r="K70" i="3"/>
  <c r="J70" i="3"/>
  <c r="I70" i="3"/>
  <c r="U70" i="3" s="1"/>
  <c r="T69" i="3"/>
  <c r="S69" i="3"/>
  <c r="R69" i="3"/>
  <c r="Q69" i="3"/>
  <c r="P69" i="3"/>
  <c r="O69" i="3"/>
  <c r="N69" i="3"/>
  <c r="M69" i="3"/>
  <c r="L69" i="3"/>
  <c r="K69" i="3"/>
  <c r="J69" i="3"/>
  <c r="I69" i="3"/>
  <c r="U69" i="3" s="1"/>
  <c r="T68" i="3"/>
  <c r="S68" i="3"/>
  <c r="R68" i="3"/>
  <c r="Q68" i="3"/>
  <c r="P68" i="3"/>
  <c r="O68" i="3"/>
  <c r="N68" i="3"/>
  <c r="M68" i="3"/>
  <c r="L68" i="3"/>
  <c r="K68" i="3"/>
  <c r="J68" i="3"/>
  <c r="I68" i="3"/>
  <c r="U68" i="3" s="1"/>
  <c r="T67" i="3"/>
  <c r="S67" i="3"/>
  <c r="R67" i="3"/>
  <c r="Q67" i="3"/>
  <c r="P67" i="3"/>
  <c r="O67" i="3"/>
  <c r="N67" i="3"/>
  <c r="M67" i="3"/>
  <c r="L67" i="3"/>
  <c r="K67" i="3"/>
  <c r="J67" i="3"/>
  <c r="I67" i="3"/>
  <c r="U67" i="3" s="1"/>
  <c r="T66" i="3"/>
  <c r="S66" i="3"/>
  <c r="R66" i="3"/>
  <c r="Q66" i="3"/>
  <c r="P66" i="3"/>
  <c r="O66" i="3"/>
  <c r="N66" i="3"/>
  <c r="M66" i="3"/>
  <c r="L66" i="3"/>
  <c r="K66" i="3"/>
  <c r="J66" i="3"/>
  <c r="I66" i="3"/>
  <c r="U66" i="3" s="1"/>
  <c r="T65" i="3"/>
  <c r="S65" i="3"/>
  <c r="R65" i="3"/>
  <c r="Q65" i="3"/>
  <c r="P65" i="3"/>
  <c r="O65" i="3"/>
  <c r="N65" i="3"/>
  <c r="M65" i="3"/>
  <c r="L65" i="3"/>
  <c r="K65" i="3"/>
  <c r="J65" i="3"/>
  <c r="I65" i="3"/>
  <c r="U65" i="3" s="1"/>
  <c r="T64" i="3"/>
  <c r="S64" i="3"/>
  <c r="R64" i="3"/>
  <c r="Q64" i="3"/>
  <c r="P64" i="3"/>
  <c r="O64" i="3"/>
  <c r="N64" i="3"/>
  <c r="M64" i="3"/>
  <c r="L64" i="3"/>
  <c r="K64" i="3"/>
  <c r="J64" i="3"/>
  <c r="I64" i="3"/>
  <c r="U64" i="3" s="1"/>
  <c r="T63" i="3"/>
  <c r="S63" i="3"/>
  <c r="R63" i="3"/>
  <c r="Q63" i="3"/>
  <c r="P63" i="3"/>
  <c r="O63" i="3"/>
  <c r="N63" i="3"/>
  <c r="M63" i="3"/>
  <c r="L63" i="3"/>
  <c r="K63" i="3"/>
  <c r="J63" i="3"/>
  <c r="I63" i="3"/>
  <c r="U63" i="3" s="1"/>
  <c r="T62" i="3"/>
  <c r="S62" i="3"/>
  <c r="R62" i="3"/>
  <c r="Q62" i="3"/>
  <c r="P62" i="3"/>
  <c r="O62" i="3"/>
  <c r="N62" i="3"/>
  <c r="M62" i="3"/>
  <c r="L62" i="3"/>
  <c r="K62" i="3"/>
  <c r="J62" i="3"/>
  <c r="I62" i="3"/>
  <c r="U62" i="3" s="1"/>
  <c r="T61" i="3"/>
  <c r="S61" i="3"/>
  <c r="R61" i="3"/>
  <c r="Q61" i="3"/>
  <c r="P61" i="3"/>
  <c r="O61" i="3"/>
  <c r="N61" i="3"/>
  <c r="M61" i="3"/>
  <c r="L61" i="3"/>
  <c r="K61" i="3"/>
  <c r="J61" i="3"/>
  <c r="I61" i="3"/>
  <c r="U61" i="3" s="1"/>
  <c r="T60" i="3"/>
  <c r="S60" i="3"/>
  <c r="R60" i="3"/>
  <c r="Q60" i="3"/>
  <c r="P60" i="3"/>
  <c r="O60" i="3"/>
  <c r="N60" i="3"/>
  <c r="M60" i="3"/>
  <c r="L60" i="3"/>
  <c r="K60" i="3"/>
  <c r="J60" i="3"/>
  <c r="I60" i="3"/>
  <c r="U60" i="3" s="1"/>
  <c r="T59" i="3"/>
  <c r="S59" i="3"/>
  <c r="R59" i="3"/>
  <c r="Q59" i="3"/>
  <c r="P59" i="3"/>
  <c r="O59" i="3"/>
  <c r="N59" i="3"/>
  <c r="M59" i="3"/>
  <c r="L59" i="3"/>
  <c r="K59" i="3"/>
  <c r="J59" i="3"/>
  <c r="I59" i="3"/>
  <c r="U59" i="3" s="1"/>
  <c r="T58" i="3"/>
  <c r="S58" i="3"/>
  <c r="R58" i="3"/>
  <c r="Q58" i="3"/>
  <c r="P58" i="3"/>
  <c r="O58" i="3"/>
  <c r="N58" i="3"/>
  <c r="M58" i="3"/>
  <c r="L58" i="3"/>
  <c r="K58" i="3"/>
  <c r="J58" i="3"/>
  <c r="I58" i="3"/>
  <c r="U58" i="3" s="1"/>
  <c r="T57" i="3"/>
  <c r="S57" i="3"/>
  <c r="R57" i="3"/>
  <c r="Q57" i="3"/>
  <c r="P57" i="3"/>
  <c r="O57" i="3"/>
  <c r="N57" i="3"/>
  <c r="M57" i="3"/>
  <c r="L57" i="3"/>
  <c r="K57" i="3"/>
  <c r="J57" i="3"/>
  <c r="I57" i="3"/>
  <c r="U57" i="3" s="1"/>
  <c r="T56" i="3"/>
  <c r="S56" i="3"/>
  <c r="R56" i="3"/>
  <c r="Q56" i="3"/>
  <c r="P56" i="3"/>
  <c r="O56" i="3"/>
  <c r="N56" i="3"/>
  <c r="M56" i="3"/>
  <c r="L56" i="3"/>
  <c r="K56" i="3"/>
  <c r="J56" i="3"/>
  <c r="I56" i="3"/>
  <c r="U56" i="3" s="1"/>
  <c r="T55" i="3"/>
  <c r="S55" i="3"/>
  <c r="R55" i="3"/>
  <c r="Q55" i="3"/>
  <c r="P55" i="3"/>
  <c r="O55" i="3"/>
  <c r="N55" i="3"/>
  <c r="M55" i="3"/>
  <c r="L55" i="3"/>
  <c r="K55" i="3"/>
  <c r="J55" i="3"/>
  <c r="I55" i="3"/>
  <c r="U55" i="3" s="1"/>
  <c r="T54" i="3"/>
  <c r="S54" i="3"/>
  <c r="R54" i="3"/>
  <c r="Q54" i="3"/>
  <c r="P54" i="3"/>
  <c r="O54" i="3"/>
  <c r="N54" i="3"/>
  <c r="M54" i="3"/>
  <c r="L54" i="3"/>
  <c r="K54" i="3"/>
  <c r="J54" i="3"/>
  <c r="I54" i="3"/>
  <c r="U54" i="3" s="1"/>
  <c r="T53" i="3"/>
  <c r="S53" i="3"/>
  <c r="R53" i="3"/>
  <c r="Q53" i="3"/>
  <c r="P53" i="3"/>
  <c r="O53" i="3"/>
  <c r="N53" i="3"/>
  <c r="M53" i="3"/>
  <c r="L53" i="3"/>
  <c r="K53" i="3"/>
  <c r="J53" i="3"/>
  <c r="I53" i="3"/>
  <c r="U53" i="3" s="1"/>
  <c r="T52" i="3"/>
  <c r="S52" i="3"/>
  <c r="R52" i="3"/>
  <c r="Q52" i="3"/>
  <c r="P52" i="3"/>
  <c r="O52" i="3"/>
  <c r="N52" i="3"/>
  <c r="M52" i="3"/>
  <c r="L52" i="3"/>
  <c r="K52" i="3"/>
  <c r="J52" i="3"/>
  <c r="I52" i="3"/>
  <c r="U52" i="3" s="1"/>
  <c r="T51" i="3"/>
  <c r="S51" i="3"/>
  <c r="R51" i="3"/>
  <c r="Q51" i="3"/>
  <c r="P51" i="3"/>
  <c r="O51" i="3"/>
  <c r="N51" i="3"/>
  <c r="M51" i="3"/>
  <c r="L51" i="3"/>
  <c r="K51" i="3"/>
  <c r="J51" i="3"/>
  <c r="I51" i="3"/>
  <c r="U51" i="3" s="1"/>
  <c r="T50" i="3"/>
  <c r="S50" i="3"/>
  <c r="R50" i="3"/>
  <c r="Q50" i="3"/>
  <c r="P50" i="3"/>
  <c r="O50" i="3"/>
  <c r="N50" i="3"/>
  <c r="M50" i="3"/>
  <c r="L50" i="3"/>
  <c r="K50" i="3"/>
  <c r="J50" i="3"/>
  <c r="I50" i="3"/>
  <c r="U50" i="3" s="1"/>
  <c r="T49" i="3"/>
  <c r="S49" i="3"/>
  <c r="R49" i="3"/>
  <c r="Q49" i="3"/>
  <c r="P49" i="3"/>
  <c r="O49" i="3"/>
  <c r="N49" i="3"/>
  <c r="M49" i="3"/>
  <c r="L49" i="3"/>
  <c r="K49" i="3"/>
  <c r="J49" i="3"/>
  <c r="I49" i="3"/>
  <c r="U49" i="3" s="1"/>
  <c r="T48" i="3"/>
  <c r="S48" i="3"/>
  <c r="R48" i="3"/>
  <c r="Q48" i="3"/>
  <c r="P48" i="3"/>
  <c r="O48" i="3"/>
  <c r="N48" i="3"/>
  <c r="M48" i="3"/>
  <c r="L48" i="3"/>
  <c r="K48" i="3"/>
  <c r="J48" i="3"/>
  <c r="I48" i="3"/>
  <c r="U48" i="3" s="1"/>
  <c r="T47" i="3"/>
  <c r="S47" i="3"/>
  <c r="R47" i="3"/>
  <c r="Q47" i="3"/>
  <c r="P47" i="3"/>
  <c r="O47" i="3"/>
  <c r="N47" i="3"/>
  <c r="M47" i="3"/>
  <c r="L47" i="3"/>
  <c r="K47" i="3"/>
  <c r="J47" i="3"/>
  <c r="I47" i="3"/>
  <c r="U47" i="3" s="1"/>
  <c r="T46" i="3"/>
  <c r="S46" i="3"/>
  <c r="R46" i="3"/>
  <c r="Q46" i="3"/>
  <c r="P46" i="3"/>
  <c r="O46" i="3"/>
  <c r="N46" i="3"/>
  <c r="M46" i="3"/>
  <c r="L46" i="3"/>
  <c r="K46" i="3"/>
  <c r="J46" i="3"/>
  <c r="I46" i="3"/>
  <c r="U46" i="3" s="1"/>
  <c r="T45" i="3"/>
  <c r="S45" i="3"/>
  <c r="R45" i="3"/>
  <c r="Q45" i="3"/>
  <c r="P45" i="3"/>
  <c r="O45" i="3"/>
  <c r="N45" i="3"/>
  <c r="M45" i="3"/>
  <c r="L45" i="3"/>
  <c r="K45" i="3"/>
  <c r="J45" i="3"/>
  <c r="I45" i="3"/>
  <c r="U45" i="3" s="1"/>
  <c r="T44" i="3"/>
  <c r="S44" i="3"/>
  <c r="R44" i="3"/>
  <c r="Q44" i="3"/>
  <c r="P44" i="3"/>
  <c r="O44" i="3"/>
  <c r="N44" i="3"/>
  <c r="M44" i="3"/>
  <c r="L44" i="3"/>
  <c r="K44" i="3"/>
  <c r="J44" i="3"/>
  <c r="I44" i="3"/>
  <c r="U44" i="3" s="1"/>
  <c r="T43" i="3"/>
  <c r="S43" i="3"/>
  <c r="R43" i="3"/>
  <c r="Q43" i="3"/>
  <c r="P43" i="3"/>
  <c r="O43" i="3"/>
  <c r="N43" i="3"/>
  <c r="M43" i="3"/>
  <c r="L43" i="3"/>
  <c r="K43" i="3"/>
  <c r="J43" i="3"/>
  <c r="I43" i="3"/>
  <c r="U43" i="3" s="1"/>
  <c r="T42" i="3"/>
  <c r="S42" i="3"/>
  <c r="R42" i="3"/>
  <c r="Q42" i="3"/>
  <c r="P42" i="3"/>
  <c r="O42" i="3"/>
  <c r="N42" i="3"/>
  <c r="M42" i="3"/>
  <c r="L42" i="3"/>
  <c r="K42" i="3"/>
  <c r="J42" i="3"/>
  <c r="I42" i="3"/>
  <c r="U42" i="3" s="1"/>
  <c r="T41" i="3"/>
  <c r="S41" i="3"/>
  <c r="R41" i="3"/>
  <c r="Q41" i="3"/>
  <c r="P41" i="3"/>
  <c r="O41" i="3"/>
  <c r="N41" i="3"/>
  <c r="M41" i="3"/>
  <c r="L41" i="3"/>
  <c r="K41" i="3"/>
  <c r="J41" i="3"/>
  <c r="I41" i="3"/>
  <c r="U41" i="3" s="1"/>
  <c r="T40" i="3"/>
  <c r="S40" i="3"/>
  <c r="R40" i="3"/>
  <c r="Q40" i="3"/>
  <c r="P40" i="3"/>
  <c r="O40" i="3"/>
  <c r="N40" i="3"/>
  <c r="M40" i="3"/>
  <c r="L40" i="3"/>
  <c r="K40" i="3"/>
  <c r="J40" i="3"/>
  <c r="I40" i="3"/>
  <c r="U40" i="3" s="1"/>
  <c r="T39" i="3"/>
  <c r="S39" i="3"/>
  <c r="R39" i="3"/>
  <c r="Q39" i="3"/>
  <c r="P39" i="3"/>
  <c r="O39" i="3"/>
  <c r="N39" i="3"/>
  <c r="M39" i="3"/>
  <c r="L39" i="3"/>
  <c r="K39" i="3"/>
  <c r="J39" i="3"/>
  <c r="I39" i="3"/>
  <c r="U39" i="3" s="1"/>
  <c r="T38" i="3"/>
  <c r="S38" i="3"/>
  <c r="R38" i="3"/>
  <c r="Q38" i="3"/>
  <c r="P38" i="3"/>
  <c r="O38" i="3"/>
  <c r="N38" i="3"/>
  <c r="M38" i="3"/>
  <c r="L38" i="3"/>
  <c r="K38" i="3"/>
  <c r="J38" i="3"/>
  <c r="I38" i="3"/>
  <c r="U38" i="3" s="1"/>
  <c r="T37" i="3"/>
  <c r="S37" i="3"/>
  <c r="R37" i="3"/>
  <c r="Q37" i="3"/>
  <c r="P37" i="3"/>
  <c r="O37" i="3"/>
  <c r="N37" i="3"/>
  <c r="M37" i="3"/>
  <c r="L37" i="3"/>
  <c r="K37" i="3"/>
  <c r="J37" i="3"/>
  <c r="I37" i="3"/>
  <c r="U37" i="3" s="1"/>
  <c r="T36" i="3"/>
  <c r="S36" i="3"/>
  <c r="R36" i="3"/>
  <c r="Q36" i="3"/>
  <c r="P36" i="3"/>
  <c r="O36" i="3"/>
  <c r="N36" i="3"/>
  <c r="M36" i="3"/>
  <c r="L36" i="3"/>
  <c r="K36" i="3"/>
  <c r="J36" i="3"/>
  <c r="I36" i="3"/>
  <c r="U36" i="3" s="1"/>
  <c r="T35" i="3"/>
  <c r="S35" i="3"/>
  <c r="R35" i="3"/>
  <c r="Q35" i="3"/>
  <c r="P35" i="3"/>
  <c r="O35" i="3"/>
  <c r="N35" i="3"/>
  <c r="M35" i="3"/>
  <c r="L35" i="3"/>
  <c r="K35" i="3"/>
  <c r="J35" i="3"/>
  <c r="I35" i="3"/>
  <c r="U35" i="3" s="1"/>
  <c r="T34" i="3"/>
  <c r="S34" i="3"/>
  <c r="R34" i="3"/>
  <c r="Q34" i="3"/>
  <c r="P34" i="3"/>
  <c r="O34" i="3"/>
  <c r="N34" i="3"/>
  <c r="M34" i="3"/>
  <c r="L34" i="3"/>
  <c r="K34" i="3"/>
  <c r="J34" i="3"/>
  <c r="I34" i="3"/>
  <c r="U34" i="3" s="1"/>
  <c r="T33" i="3"/>
  <c r="S33" i="3"/>
  <c r="R33" i="3"/>
  <c r="Q33" i="3"/>
  <c r="P33" i="3"/>
  <c r="O33" i="3"/>
  <c r="N33" i="3"/>
  <c r="M33" i="3"/>
  <c r="L33" i="3"/>
  <c r="K33" i="3"/>
  <c r="J33" i="3"/>
  <c r="I33" i="3"/>
  <c r="U33" i="3" s="1"/>
  <c r="T32" i="3"/>
  <c r="S32" i="3"/>
  <c r="R32" i="3"/>
  <c r="Q32" i="3"/>
  <c r="P32" i="3"/>
  <c r="O32" i="3"/>
  <c r="N32" i="3"/>
  <c r="M32" i="3"/>
  <c r="L32" i="3"/>
  <c r="K32" i="3"/>
  <c r="J32" i="3"/>
  <c r="I32" i="3"/>
  <c r="U32" i="3" s="1"/>
  <c r="T31" i="3"/>
  <c r="S31" i="3"/>
  <c r="R31" i="3"/>
  <c r="Q31" i="3"/>
  <c r="P31" i="3"/>
  <c r="O31" i="3"/>
  <c r="N31" i="3"/>
  <c r="M31" i="3"/>
  <c r="L31" i="3"/>
  <c r="K31" i="3"/>
  <c r="J31" i="3"/>
  <c r="I31" i="3"/>
  <c r="U31" i="3" s="1"/>
  <c r="T30" i="3"/>
  <c r="S30" i="3"/>
  <c r="R30" i="3"/>
  <c r="Q30" i="3"/>
  <c r="P30" i="3"/>
  <c r="O30" i="3"/>
  <c r="N30" i="3"/>
  <c r="M30" i="3"/>
  <c r="L30" i="3"/>
  <c r="K30" i="3"/>
  <c r="J30" i="3"/>
  <c r="I30" i="3"/>
  <c r="U30" i="3" s="1"/>
  <c r="T29" i="3"/>
  <c r="S29" i="3"/>
  <c r="R29" i="3"/>
  <c r="Q29" i="3"/>
  <c r="P29" i="3"/>
  <c r="O29" i="3"/>
  <c r="N29" i="3"/>
  <c r="M29" i="3"/>
  <c r="L29" i="3"/>
  <c r="K29" i="3"/>
  <c r="J29" i="3"/>
  <c r="I29" i="3"/>
  <c r="U29" i="3" s="1"/>
  <c r="T28" i="3"/>
  <c r="S28" i="3"/>
  <c r="R28" i="3"/>
  <c r="Q28" i="3"/>
  <c r="P28" i="3"/>
  <c r="O28" i="3"/>
  <c r="N28" i="3"/>
  <c r="M28" i="3"/>
  <c r="L28" i="3"/>
  <c r="K28" i="3"/>
  <c r="J28" i="3"/>
  <c r="I28" i="3"/>
  <c r="U28" i="3" s="1"/>
  <c r="T27" i="3"/>
  <c r="S27" i="3"/>
  <c r="R27" i="3"/>
  <c r="Q27" i="3"/>
  <c r="P27" i="3"/>
  <c r="O27" i="3"/>
  <c r="N27" i="3"/>
  <c r="M27" i="3"/>
  <c r="L27" i="3"/>
  <c r="K27" i="3"/>
  <c r="J27" i="3"/>
  <c r="I27" i="3"/>
  <c r="U27" i="3" s="1"/>
  <c r="T26" i="3"/>
  <c r="S26" i="3"/>
  <c r="R26" i="3"/>
  <c r="Q26" i="3"/>
  <c r="P26" i="3"/>
  <c r="O26" i="3"/>
  <c r="N26" i="3"/>
  <c r="M26" i="3"/>
  <c r="L26" i="3"/>
  <c r="K26" i="3"/>
  <c r="J26" i="3"/>
  <c r="I26" i="3"/>
  <c r="U26" i="3" s="1"/>
  <c r="T25" i="3"/>
  <c r="S25" i="3"/>
  <c r="R25" i="3"/>
  <c r="Q25" i="3"/>
  <c r="P25" i="3"/>
  <c r="O25" i="3"/>
  <c r="N25" i="3"/>
  <c r="M25" i="3"/>
  <c r="L25" i="3"/>
  <c r="K25" i="3"/>
  <c r="J25" i="3"/>
  <c r="I25" i="3"/>
  <c r="U25" i="3" s="1"/>
  <c r="T24" i="3"/>
  <c r="S24" i="3"/>
  <c r="R24" i="3"/>
  <c r="Q24" i="3"/>
  <c r="P24" i="3"/>
  <c r="O24" i="3"/>
  <c r="N24" i="3"/>
  <c r="M24" i="3"/>
  <c r="L24" i="3"/>
  <c r="K24" i="3"/>
  <c r="J24" i="3"/>
  <c r="I24" i="3"/>
  <c r="U24" i="3" s="1"/>
  <c r="T23" i="3"/>
  <c r="S23" i="3"/>
  <c r="R23" i="3"/>
  <c r="Q23" i="3"/>
  <c r="P23" i="3"/>
  <c r="O23" i="3"/>
  <c r="N23" i="3"/>
  <c r="M23" i="3"/>
  <c r="L23" i="3"/>
  <c r="K23" i="3"/>
  <c r="J23" i="3"/>
  <c r="I23" i="3"/>
  <c r="U23" i="3" s="1"/>
  <c r="T22" i="3"/>
  <c r="S22" i="3"/>
  <c r="R22" i="3"/>
  <c r="Q22" i="3"/>
  <c r="P22" i="3"/>
  <c r="O22" i="3"/>
  <c r="N22" i="3"/>
  <c r="M22" i="3"/>
  <c r="L22" i="3"/>
  <c r="K22" i="3"/>
  <c r="J22" i="3"/>
  <c r="I22" i="3"/>
  <c r="U22" i="3" s="1"/>
  <c r="T21" i="3"/>
  <c r="S21" i="3"/>
  <c r="R21" i="3"/>
  <c r="Q21" i="3"/>
  <c r="P21" i="3"/>
  <c r="O21" i="3"/>
  <c r="N21" i="3"/>
  <c r="M21" i="3"/>
  <c r="L21" i="3"/>
  <c r="K21" i="3"/>
  <c r="J21" i="3"/>
  <c r="I21" i="3"/>
  <c r="U21" i="3" s="1"/>
  <c r="T20" i="3"/>
  <c r="S20" i="3"/>
  <c r="R20" i="3"/>
  <c r="Q20" i="3"/>
  <c r="P20" i="3"/>
  <c r="O20" i="3"/>
  <c r="N20" i="3"/>
  <c r="M20" i="3"/>
  <c r="L20" i="3"/>
  <c r="K20" i="3"/>
  <c r="J20" i="3"/>
  <c r="I20" i="3"/>
  <c r="U20" i="3" s="1"/>
  <c r="T19" i="3"/>
  <c r="S19" i="3"/>
  <c r="R19" i="3"/>
  <c r="Q19" i="3"/>
  <c r="P19" i="3"/>
  <c r="O19" i="3"/>
  <c r="N19" i="3"/>
  <c r="M19" i="3"/>
  <c r="L19" i="3"/>
  <c r="K19" i="3"/>
  <c r="J19" i="3"/>
  <c r="I19" i="3"/>
  <c r="U19" i="3" s="1"/>
  <c r="T18" i="3"/>
  <c r="S18" i="3"/>
  <c r="R18" i="3"/>
  <c r="Q18" i="3"/>
  <c r="P18" i="3"/>
  <c r="O18" i="3"/>
  <c r="N18" i="3"/>
  <c r="M18" i="3"/>
  <c r="L18" i="3"/>
  <c r="K18" i="3"/>
  <c r="J18" i="3"/>
  <c r="I18" i="3"/>
  <c r="U18" i="3" s="1"/>
  <c r="T17" i="3"/>
  <c r="S17" i="3"/>
  <c r="R17" i="3"/>
  <c r="Q17" i="3"/>
  <c r="P17" i="3"/>
  <c r="O17" i="3"/>
  <c r="N17" i="3"/>
  <c r="M17" i="3"/>
  <c r="L17" i="3"/>
  <c r="K17" i="3"/>
  <c r="J17" i="3"/>
  <c r="I17" i="3"/>
  <c r="U17" i="3" s="1"/>
  <c r="T16" i="3"/>
  <c r="S16" i="3"/>
  <c r="R16" i="3"/>
  <c r="Q16" i="3"/>
  <c r="P16" i="3"/>
  <c r="O16" i="3"/>
  <c r="N16" i="3"/>
  <c r="M16" i="3"/>
  <c r="L16" i="3"/>
  <c r="K16" i="3"/>
  <c r="J16" i="3"/>
  <c r="I16" i="3"/>
  <c r="U16" i="3" s="1"/>
  <c r="T15" i="3"/>
  <c r="S15" i="3"/>
  <c r="R15" i="3"/>
  <c r="Q15" i="3"/>
  <c r="P15" i="3"/>
  <c r="O15" i="3"/>
  <c r="N15" i="3"/>
  <c r="M15" i="3"/>
  <c r="L15" i="3"/>
  <c r="K15" i="3"/>
  <c r="J15" i="3"/>
  <c r="I15" i="3"/>
  <c r="U15" i="3" s="1"/>
  <c r="T14" i="3"/>
  <c r="S14" i="3"/>
  <c r="R14" i="3"/>
  <c r="Q14" i="3"/>
  <c r="P14" i="3"/>
  <c r="O14" i="3"/>
  <c r="N14" i="3"/>
  <c r="M14" i="3"/>
  <c r="L14" i="3"/>
  <c r="K14" i="3"/>
  <c r="J14" i="3"/>
  <c r="I14" i="3"/>
  <c r="U14" i="3" s="1"/>
  <c r="T13" i="3"/>
  <c r="S13" i="3"/>
  <c r="R13" i="3"/>
  <c r="Q13" i="3"/>
  <c r="P13" i="3"/>
  <c r="O13" i="3"/>
  <c r="N13" i="3"/>
  <c r="M13" i="3"/>
  <c r="L13" i="3"/>
  <c r="K13" i="3"/>
  <c r="J13" i="3"/>
  <c r="I13" i="3"/>
  <c r="U13" i="3" s="1"/>
  <c r="T12" i="3"/>
  <c r="S12" i="3"/>
  <c r="R12" i="3"/>
  <c r="Q12" i="3"/>
  <c r="P12" i="3"/>
  <c r="O12" i="3"/>
  <c r="N12" i="3"/>
  <c r="M12" i="3"/>
  <c r="L12" i="3"/>
  <c r="K12" i="3"/>
  <c r="J12" i="3"/>
  <c r="I12" i="3"/>
  <c r="U12" i="3" s="1"/>
  <c r="T11" i="3"/>
  <c r="S11" i="3"/>
  <c r="R11" i="3"/>
  <c r="Q11" i="3"/>
  <c r="P11" i="3"/>
  <c r="O11" i="3"/>
  <c r="N11" i="3"/>
  <c r="M11" i="3"/>
  <c r="L11" i="3"/>
  <c r="K11" i="3"/>
  <c r="J11" i="3"/>
  <c r="I11" i="3"/>
  <c r="U11" i="3" s="1"/>
  <c r="T10" i="3"/>
  <c r="S10" i="3"/>
  <c r="R10" i="3"/>
  <c r="Q10" i="3"/>
  <c r="P10" i="3"/>
  <c r="O10" i="3"/>
  <c r="N10" i="3"/>
  <c r="M10" i="3"/>
  <c r="L10" i="3"/>
  <c r="K10" i="3"/>
  <c r="J10" i="3"/>
  <c r="I10" i="3"/>
  <c r="U10" i="3" s="1"/>
  <c r="T9" i="3"/>
  <c r="S9" i="3"/>
  <c r="R9" i="3"/>
  <c r="Q9" i="3"/>
  <c r="P9" i="3"/>
  <c r="O9" i="3"/>
  <c r="N9" i="3"/>
  <c r="M9" i="3"/>
  <c r="L9" i="3"/>
  <c r="K9" i="3"/>
  <c r="J9" i="3"/>
  <c r="I9" i="3"/>
  <c r="U9" i="3" s="1"/>
  <c r="T8" i="3"/>
  <c r="P8" i="3"/>
  <c r="L8" i="3"/>
  <c r="T7" i="3"/>
  <c r="S7" i="3"/>
  <c r="R7" i="3"/>
  <c r="Q7" i="3"/>
  <c r="Q8" i="3" s="1"/>
  <c r="P7" i="3"/>
  <c r="O7" i="3"/>
  <c r="N7" i="3"/>
  <c r="M7" i="3"/>
  <c r="M8" i="3" s="1"/>
  <c r="L7" i="3"/>
  <c r="K7" i="3"/>
  <c r="J7" i="3"/>
  <c r="I7" i="3"/>
  <c r="I8" i="3" s="1"/>
  <c r="U8" i="3" s="1"/>
  <c r="T6" i="3"/>
  <c r="S6" i="3"/>
  <c r="S8" i="3" s="1"/>
  <c r="R6" i="3"/>
  <c r="R8" i="3" s="1"/>
  <c r="Q6" i="3"/>
  <c r="P6" i="3"/>
  <c r="O6" i="3"/>
  <c r="O8" i="3" s="1"/>
  <c r="N6" i="3"/>
  <c r="N8" i="3" s="1"/>
  <c r="M6" i="3"/>
  <c r="L6" i="3"/>
  <c r="K6" i="3"/>
  <c r="K8" i="3" s="1"/>
  <c r="J6" i="3"/>
  <c r="J8" i="3" s="1"/>
  <c r="I6" i="3"/>
  <c r="U6" i="3" s="1"/>
  <c r="T5" i="3"/>
  <c r="S5" i="3"/>
  <c r="R5" i="3"/>
  <c r="Q5" i="3"/>
  <c r="P5" i="3"/>
  <c r="O5" i="3"/>
  <c r="N5" i="3"/>
  <c r="M5" i="3"/>
  <c r="L5" i="3"/>
  <c r="K5" i="3"/>
  <c r="J5" i="3"/>
  <c r="I5" i="3"/>
  <c r="U5" i="3" s="1"/>
  <c r="T4" i="3"/>
  <c r="S4" i="3"/>
  <c r="R4" i="3"/>
  <c r="Q4" i="3"/>
  <c r="P4" i="3"/>
  <c r="O4" i="3"/>
  <c r="N4" i="3"/>
  <c r="M4" i="3"/>
  <c r="L4" i="3"/>
  <c r="K4" i="3"/>
  <c r="J4" i="3"/>
  <c r="I4" i="3"/>
  <c r="U4" i="3" s="1"/>
  <c r="T3" i="3"/>
  <c r="S3" i="3"/>
  <c r="R3" i="3"/>
  <c r="Q3" i="3"/>
  <c r="P3" i="3"/>
  <c r="O3" i="3"/>
  <c r="N3" i="3"/>
  <c r="M3" i="3"/>
  <c r="L3" i="3"/>
  <c r="K3" i="3"/>
  <c r="J3" i="3"/>
  <c r="I3" i="3"/>
  <c r="U3" i="3" s="1"/>
  <c r="T2" i="3"/>
  <c r="S2" i="3"/>
  <c r="R2" i="3"/>
  <c r="Q2" i="3"/>
  <c r="P2" i="3"/>
  <c r="O2" i="3"/>
  <c r="N2" i="3"/>
  <c r="M2" i="3"/>
  <c r="L2" i="3"/>
  <c r="K2" i="3"/>
  <c r="J2" i="3"/>
  <c r="I2" i="3"/>
  <c r="U2" i="3" s="1"/>
  <c r="I11" i="29" l="1"/>
  <c r="I11" i="14"/>
  <c r="I11" i="9"/>
  <c r="I11" i="8"/>
  <c r="I11" i="7"/>
  <c r="I11" i="6"/>
  <c r="I5" i="29"/>
  <c r="I5" i="14"/>
  <c r="I5" i="9"/>
  <c r="I5" i="8"/>
  <c r="I5" i="7"/>
  <c r="I5" i="6"/>
  <c r="I6" i="29"/>
  <c r="I6" i="14"/>
  <c r="I6" i="9"/>
  <c r="I6" i="8"/>
  <c r="I6" i="7"/>
  <c r="I6" i="6"/>
  <c r="I7" i="29"/>
  <c r="P13" i="5"/>
  <c r="P16" i="5" s="1"/>
  <c r="I7" i="14"/>
  <c r="I7" i="9"/>
  <c r="I7" i="8"/>
  <c r="I7" i="7"/>
  <c r="M98" i="6" s="1"/>
  <c r="I7" i="6"/>
  <c r="I8" i="29"/>
  <c r="I8" i="14"/>
  <c r="I8" i="8"/>
  <c r="I8" i="9"/>
  <c r="I8" i="7"/>
  <c r="I8" i="6"/>
  <c r="I9" i="29"/>
  <c r="I9" i="14"/>
  <c r="I9" i="9"/>
  <c r="I9" i="8"/>
  <c r="I9" i="7"/>
  <c r="I9" i="6"/>
  <c r="I12" i="29"/>
  <c r="I12" i="14"/>
  <c r="I12" i="8"/>
  <c r="I12" i="9"/>
  <c r="I12" i="7"/>
  <c r="I12" i="6"/>
  <c r="I13" i="29"/>
  <c r="I13" i="14"/>
  <c r="I13" i="8"/>
  <c r="I13" i="9"/>
  <c r="I13" i="7"/>
  <c r="I13" i="6"/>
  <c r="I14" i="29"/>
  <c r="I14" i="14"/>
  <c r="I14" i="8"/>
  <c r="I14" i="9"/>
  <c r="I14" i="7"/>
  <c r="I14" i="6"/>
  <c r="I15" i="29"/>
  <c r="I15" i="14"/>
  <c r="I15" i="8"/>
  <c r="I15" i="9"/>
  <c r="I15" i="7"/>
  <c r="I15" i="6"/>
  <c r="I16" i="29"/>
  <c r="I16" i="14"/>
  <c r="I16" i="9"/>
  <c r="I16" i="8"/>
  <c r="I16" i="7"/>
  <c r="I16" i="6"/>
  <c r="I17" i="29"/>
  <c r="I17" i="14"/>
  <c r="I17" i="9"/>
  <c r="I17" i="8"/>
  <c r="I17" i="7"/>
  <c r="I17" i="6"/>
  <c r="I18" i="29"/>
  <c r="I18" i="14"/>
  <c r="I18" i="9"/>
  <c r="I18" i="8"/>
  <c r="I18" i="7"/>
  <c r="I18" i="6"/>
  <c r="I19" i="29"/>
  <c r="I19" i="14"/>
  <c r="I19" i="9"/>
  <c r="I19" i="8"/>
  <c r="I19" i="7"/>
  <c r="I19" i="6"/>
  <c r="I20" i="29"/>
  <c r="I20" i="14"/>
  <c r="I20" i="8"/>
  <c r="I20" i="9"/>
  <c r="I20" i="7"/>
  <c r="I20" i="6"/>
  <c r="I21" i="29"/>
  <c r="I21" i="14"/>
  <c r="I21" i="9"/>
  <c r="I21" i="8"/>
  <c r="I21" i="7"/>
  <c r="I21" i="6"/>
  <c r="I22" i="29"/>
  <c r="I22" i="14"/>
  <c r="I22" i="9"/>
  <c r="I22" i="8"/>
  <c r="I22" i="7"/>
  <c r="I22" i="6"/>
  <c r="I23" i="29"/>
  <c r="I23" i="14"/>
  <c r="I23" i="9"/>
  <c r="I23" i="8"/>
  <c r="I23" i="7"/>
  <c r="I23" i="6"/>
  <c r="I24" i="29"/>
  <c r="I24" i="14"/>
  <c r="I24" i="9"/>
  <c r="I24" i="8"/>
  <c r="I24" i="7"/>
  <c r="I24" i="6"/>
  <c r="I25" i="29"/>
  <c r="I25" i="14"/>
  <c r="I25" i="9"/>
  <c r="I25" i="8"/>
  <c r="I25" i="7"/>
  <c r="I25" i="6"/>
  <c r="I26" i="29"/>
  <c r="I26" i="14"/>
  <c r="I26" i="9"/>
  <c r="I26" i="8"/>
  <c r="I26" i="7"/>
  <c r="I26" i="6"/>
  <c r="I27" i="29"/>
  <c r="I27" i="14"/>
  <c r="I27" i="8"/>
  <c r="I27" i="9"/>
  <c r="I27" i="7"/>
  <c r="I27" i="6"/>
  <c r="I28" i="29"/>
  <c r="I28" i="14"/>
  <c r="I28" i="8"/>
  <c r="I28" i="9"/>
  <c r="I28" i="7"/>
  <c r="I28" i="6"/>
  <c r="I29" i="29"/>
  <c r="I29" i="14"/>
  <c r="I29" i="8"/>
  <c r="I29" i="9"/>
  <c r="I29" i="7"/>
  <c r="I29" i="6"/>
  <c r="I30" i="29"/>
  <c r="I30" i="14"/>
  <c r="I30" i="9"/>
  <c r="I30" i="8"/>
  <c r="I30" i="7"/>
  <c r="I30" i="6"/>
  <c r="I31" i="29"/>
  <c r="I31" i="14"/>
  <c r="I31" i="9"/>
  <c r="I31" i="8"/>
  <c r="I31" i="7"/>
  <c r="I31" i="6"/>
  <c r="I32" i="29"/>
  <c r="I32" i="14"/>
  <c r="I32" i="9"/>
  <c r="I32" i="8"/>
  <c r="I32" i="7"/>
  <c r="I32" i="6"/>
  <c r="I33" i="29"/>
  <c r="I33" i="14"/>
  <c r="I33" i="9"/>
  <c r="I33" i="8"/>
  <c r="I33" i="7"/>
  <c r="I33" i="6"/>
  <c r="I34" i="29"/>
  <c r="I34" i="14"/>
  <c r="I34" i="8"/>
  <c r="I34" i="9"/>
  <c r="I34" i="7"/>
  <c r="I34" i="6"/>
  <c r="I35" i="29"/>
  <c r="I35" i="14"/>
  <c r="I35" i="9"/>
  <c r="I35" i="8"/>
  <c r="I35" i="7"/>
  <c r="I35" i="6"/>
  <c r="I36" i="29"/>
  <c r="I36" i="14"/>
  <c r="I36" i="8"/>
  <c r="I36" i="9"/>
  <c r="I36" i="7"/>
  <c r="I36" i="6"/>
  <c r="I37" i="29"/>
  <c r="I37" i="14"/>
  <c r="I37" i="9"/>
  <c r="I37" i="8"/>
  <c r="I37" i="7"/>
  <c r="I37" i="6"/>
  <c r="I38" i="29"/>
  <c r="I38" i="14"/>
  <c r="I38" i="9"/>
  <c r="I38" i="8"/>
  <c r="I38" i="7"/>
  <c r="I38" i="6"/>
  <c r="I39" i="29"/>
  <c r="I39" i="14"/>
  <c r="I39" i="9"/>
  <c r="I39" i="8"/>
  <c r="I39" i="7"/>
  <c r="I39" i="6"/>
  <c r="I40" i="29"/>
  <c r="I40" i="14"/>
  <c r="I40" i="8"/>
  <c r="I40" i="9"/>
  <c r="I40" i="7"/>
  <c r="I40" i="6"/>
  <c r="I41" i="29"/>
  <c r="I41" i="14"/>
  <c r="I41" i="9"/>
  <c r="I41" i="8"/>
  <c r="I41" i="7"/>
  <c r="I41" i="6"/>
  <c r="I42" i="29"/>
  <c r="I42" i="14"/>
  <c r="I42" i="9"/>
  <c r="I42" i="8"/>
  <c r="I42" i="7"/>
  <c r="I42" i="6"/>
  <c r="I43" i="29"/>
  <c r="I43" i="14"/>
  <c r="I43" i="9"/>
  <c r="I43" i="8"/>
  <c r="I43" i="7"/>
  <c r="I43" i="6"/>
  <c r="I44" i="29"/>
  <c r="I44" i="14"/>
  <c r="I44" i="9"/>
  <c r="I44" i="8"/>
  <c r="I44" i="7"/>
  <c r="I44" i="6"/>
  <c r="I45" i="29"/>
  <c r="I45" i="14"/>
  <c r="I45" i="8"/>
  <c r="I45" i="9"/>
  <c r="I45" i="7"/>
  <c r="I45" i="6"/>
  <c r="I46" i="29"/>
  <c r="I46" i="14"/>
  <c r="I46" i="9"/>
  <c r="I46" i="8"/>
  <c r="I46" i="7"/>
  <c r="I46" i="6"/>
  <c r="I47" i="29"/>
  <c r="I47" i="14"/>
  <c r="I47" i="8"/>
  <c r="I47" i="9"/>
  <c r="I47" i="7"/>
  <c r="I47" i="6"/>
  <c r="I48" i="29"/>
  <c r="I48" i="14"/>
  <c r="I48" i="8"/>
  <c r="I48" i="9"/>
  <c r="I48" i="7"/>
  <c r="I48" i="6"/>
  <c r="I49" i="29"/>
  <c r="I49" i="14"/>
  <c r="I49" i="9"/>
  <c r="I49" i="8"/>
  <c r="I49" i="7"/>
  <c r="I49" i="6"/>
  <c r="I50" i="29"/>
  <c r="I50" i="14"/>
  <c r="I50" i="9"/>
  <c r="I50" i="8"/>
  <c r="I50" i="7"/>
  <c r="I50" i="6"/>
  <c r="I51" i="29"/>
  <c r="I51" i="14"/>
  <c r="I51" i="9"/>
  <c r="I51" i="8"/>
  <c r="I51" i="7"/>
  <c r="I51" i="6"/>
  <c r="I52" i="29"/>
  <c r="I52" i="14"/>
  <c r="I52" i="9"/>
  <c r="I52" i="8"/>
  <c r="I52" i="7"/>
  <c r="I52" i="6"/>
  <c r="I53" i="29"/>
  <c r="I53" i="14"/>
  <c r="I53" i="9"/>
  <c r="I53" i="8"/>
  <c r="I53" i="7"/>
  <c r="I53" i="6"/>
  <c r="I54" i="29"/>
  <c r="I54" i="14"/>
  <c r="I54" i="9"/>
  <c r="I54" i="8"/>
  <c r="I54" i="7"/>
  <c r="I54" i="6"/>
  <c r="I55" i="29"/>
  <c r="I55" i="14"/>
  <c r="I55" i="9"/>
  <c r="I55" i="8"/>
  <c r="I55" i="7"/>
  <c r="I55" i="6"/>
  <c r="I56" i="29"/>
  <c r="I56" i="14"/>
  <c r="I56" i="8"/>
  <c r="I56" i="9"/>
  <c r="I56" i="7"/>
  <c r="I56" i="6"/>
  <c r="I57" i="29"/>
  <c r="I57" i="14"/>
  <c r="I57" i="9"/>
  <c r="I57" i="8"/>
  <c r="I57" i="7"/>
  <c r="I57" i="6"/>
  <c r="I58" i="29"/>
  <c r="I58" i="14"/>
  <c r="I58" i="9"/>
  <c r="I58" i="8"/>
  <c r="I58" i="7"/>
  <c r="I58" i="6"/>
  <c r="I59" i="29"/>
  <c r="I59" i="14"/>
  <c r="I59" i="9"/>
  <c r="I59" i="8"/>
  <c r="I59" i="7"/>
  <c r="I59" i="6"/>
  <c r="I60" i="29"/>
  <c r="I60" i="14"/>
  <c r="I60" i="8"/>
  <c r="I60" i="9"/>
  <c r="I60" i="7"/>
  <c r="I60" i="6"/>
  <c r="I61" i="29"/>
  <c r="I61" i="14"/>
  <c r="I61" i="8"/>
  <c r="I61" i="9"/>
  <c r="I61" i="7"/>
  <c r="I61" i="6"/>
  <c r="I62" i="29"/>
  <c r="I62" i="14"/>
  <c r="I62" i="9"/>
  <c r="I62" i="8"/>
  <c r="I62" i="7"/>
  <c r="I62" i="6"/>
  <c r="I63" i="29"/>
  <c r="I63" i="14"/>
  <c r="I63" i="9"/>
  <c r="I63" i="8"/>
  <c r="I63" i="7"/>
  <c r="I63" i="6"/>
  <c r="I64" i="29"/>
  <c r="I64" i="14"/>
  <c r="I64" i="9"/>
  <c r="I64" i="8"/>
  <c r="I64" i="7"/>
  <c r="I64" i="6"/>
  <c r="I65" i="29"/>
  <c r="I65" i="14"/>
  <c r="I65" i="9"/>
  <c r="I65" i="8"/>
  <c r="I65" i="7"/>
  <c r="I65" i="6"/>
  <c r="I66" i="29"/>
  <c r="I66" i="14"/>
  <c r="I66" i="9"/>
  <c r="I66" i="8"/>
  <c r="I66" i="7"/>
  <c r="I66" i="6"/>
  <c r="I67" i="29"/>
  <c r="I67" i="14"/>
  <c r="I67" i="9"/>
  <c r="I67" i="8"/>
  <c r="I67" i="7"/>
  <c r="I67" i="6"/>
  <c r="I68" i="29"/>
  <c r="I68" i="14"/>
  <c r="I68" i="9"/>
  <c r="I68" i="8"/>
  <c r="I68" i="7"/>
  <c r="I68" i="6"/>
  <c r="I69" i="29"/>
  <c r="I69" i="14"/>
  <c r="I69" i="9"/>
  <c r="I69" i="8"/>
  <c r="I69" i="7"/>
  <c r="I69" i="6"/>
  <c r="I70" i="29"/>
  <c r="I70" i="14"/>
  <c r="I70" i="9"/>
  <c r="I70" i="8"/>
  <c r="I70" i="7"/>
  <c r="I70" i="6"/>
  <c r="I71" i="29"/>
  <c r="I71" i="14"/>
  <c r="I71" i="9"/>
  <c r="I71" i="8"/>
  <c r="I71" i="7"/>
  <c r="I71" i="6"/>
  <c r="I72" i="29"/>
  <c r="I72" i="14"/>
  <c r="I72" i="8"/>
  <c r="I72" i="9"/>
  <c r="I72" i="7"/>
  <c r="I72" i="6"/>
  <c r="I73" i="29"/>
  <c r="I73" i="14"/>
  <c r="I73" i="8"/>
  <c r="I73" i="9"/>
  <c r="I73" i="7"/>
  <c r="I73" i="6"/>
  <c r="I74" i="29"/>
  <c r="I74" i="14"/>
  <c r="I74" i="9"/>
  <c r="I74" i="8"/>
  <c r="I74" i="7"/>
  <c r="I74" i="6"/>
  <c r="I75" i="29"/>
  <c r="I75" i="14"/>
  <c r="I75" i="9"/>
  <c r="I75" i="8"/>
  <c r="I75" i="7"/>
  <c r="I75" i="6"/>
  <c r="I76" i="29"/>
  <c r="I76" i="14"/>
  <c r="I76" i="9"/>
  <c r="I76" i="8"/>
  <c r="I76" i="7"/>
  <c r="I76" i="6"/>
  <c r="I77" i="29"/>
  <c r="I77" i="14"/>
  <c r="I77" i="9"/>
  <c r="I77" i="8"/>
  <c r="I77" i="7"/>
  <c r="I77" i="6"/>
  <c r="I78" i="29"/>
  <c r="I78" i="14"/>
  <c r="I78" i="9"/>
  <c r="I78" i="8"/>
  <c r="I78" i="7"/>
  <c r="I78" i="6"/>
  <c r="I79" i="29"/>
  <c r="I79" i="14"/>
  <c r="I79" i="9"/>
  <c r="I79" i="8"/>
  <c r="I79" i="7"/>
  <c r="I79" i="6"/>
  <c r="I80" i="29"/>
  <c r="I80" i="14"/>
  <c r="I80" i="8"/>
  <c r="I80" i="9"/>
  <c r="I80" i="7"/>
  <c r="I80" i="6"/>
  <c r="I81" i="29"/>
  <c r="I81" i="14"/>
  <c r="I81" i="9"/>
  <c r="I81" i="8"/>
  <c r="I81" i="7"/>
  <c r="I81" i="6"/>
  <c r="I82" i="29"/>
  <c r="I82" i="14"/>
  <c r="I82" i="9"/>
  <c r="I82" i="8"/>
  <c r="I82" i="7"/>
  <c r="I82" i="6"/>
  <c r="I83" i="29"/>
  <c r="I83" i="14"/>
  <c r="I83" i="9"/>
  <c r="I83" i="8"/>
  <c r="I83" i="7"/>
  <c r="I83" i="6"/>
  <c r="I84" i="29"/>
  <c r="I84" i="14"/>
  <c r="I84" i="8"/>
  <c r="I84" i="9"/>
  <c r="I84" i="7"/>
  <c r="I84" i="6"/>
  <c r="I85" i="29"/>
  <c r="I85" i="14"/>
  <c r="I85" i="8"/>
  <c r="I85" i="9"/>
  <c r="I85" i="7"/>
  <c r="M107" i="6" s="1"/>
  <c r="I85" i="6"/>
  <c r="I86" i="29"/>
  <c r="I86" i="14"/>
  <c r="I86" i="9"/>
  <c r="I86" i="8"/>
  <c r="I86" i="7"/>
  <c r="I86" i="6"/>
  <c r="U7" i="3"/>
  <c r="P12" i="5" s="1"/>
  <c r="P15" i="5" s="1"/>
  <c r="AD98" i="30"/>
  <c r="W98" i="30"/>
  <c r="Y98" i="30"/>
  <c r="AB98" i="30"/>
  <c r="AE98" i="30"/>
  <c r="AF98" i="30"/>
  <c r="Z98" i="30"/>
  <c r="AC98" i="30"/>
  <c r="X98" i="30"/>
  <c r="AA98" i="30"/>
  <c r="AD94" i="30"/>
  <c r="AF94" i="30"/>
  <c r="Z94" i="30"/>
  <c r="X94" i="30"/>
  <c r="AA94" i="30"/>
  <c r="AC94" i="30"/>
  <c r="AB94" i="30"/>
  <c r="AE94" i="30"/>
  <c r="Y94" i="30"/>
  <c r="W94" i="30"/>
  <c r="AB90" i="30"/>
  <c r="AA90" i="30"/>
  <c r="AC90" i="30"/>
  <c r="Y90" i="30"/>
  <c r="Z90" i="30"/>
  <c r="X90" i="30"/>
  <c r="W90" i="30"/>
  <c r="AF90" i="30"/>
  <c r="AE90" i="30"/>
  <c r="AD90" i="30"/>
  <c r="AE86" i="30"/>
  <c r="AD86" i="30"/>
  <c r="AF86" i="30"/>
  <c r="AC86" i="30"/>
  <c r="Z86" i="30"/>
  <c r="AA86" i="30"/>
  <c r="X86" i="30"/>
  <c r="W86" i="30"/>
  <c r="Y86" i="30"/>
  <c r="AB86" i="30"/>
  <c r="AA82" i="30"/>
  <c r="X82" i="30"/>
  <c r="AD82" i="30"/>
  <c r="AB82" i="30"/>
  <c r="W82" i="30"/>
  <c r="Y82" i="30"/>
  <c r="AF82" i="30"/>
  <c r="AE82" i="30"/>
  <c r="AC82" i="30"/>
  <c r="Z82" i="30"/>
  <c r="W78" i="30"/>
  <c r="AC78" i="30"/>
  <c r="AB78" i="30"/>
  <c r="AA78" i="30"/>
  <c r="AD78" i="30"/>
  <c r="X78" i="30"/>
  <c r="Y78" i="30"/>
  <c r="Z78" i="30"/>
  <c r="AF78" i="30"/>
  <c r="AE78" i="30"/>
  <c r="AB74" i="30"/>
  <c r="AE74" i="30"/>
  <c r="AC74" i="30"/>
  <c r="X74" i="30"/>
  <c r="W74" i="30"/>
  <c r="Y74" i="30"/>
  <c r="AD74" i="30"/>
  <c r="Z74" i="30"/>
  <c r="AF74" i="30"/>
  <c r="AA74" i="30"/>
  <c r="AF70" i="30"/>
  <c r="Y70" i="30"/>
  <c r="AE70" i="30"/>
  <c r="Z70" i="30"/>
  <c r="AB70" i="30"/>
  <c r="AA70" i="30"/>
  <c r="AC70" i="30"/>
  <c r="X70" i="30"/>
  <c r="W70" i="30"/>
  <c r="AD70" i="30"/>
  <c r="W66" i="30"/>
  <c r="X66" i="30"/>
  <c r="AD66" i="30"/>
  <c r="AF66" i="30"/>
  <c r="AE66" i="30"/>
  <c r="Z66" i="30"/>
  <c r="Y66" i="30"/>
  <c r="AC66" i="30"/>
  <c r="AB66" i="30"/>
  <c r="AA66" i="30"/>
  <c r="X62" i="30"/>
  <c r="AA62" i="30"/>
  <c r="Z62" i="30"/>
  <c r="AD62" i="30"/>
  <c r="AF62" i="30"/>
  <c r="AE62" i="30"/>
  <c r="AB62" i="30"/>
  <c r="W62" i="30"/>
  <c r="Y62" i="30"/>
  <c r="AC62" i="30"/>
  <c r="R52" i="10"/>
  <c r="Y57" i="30"/>
  <c r="AF57" i="30"/>
  <c r="X57" i="30"/>
  <c r="AA57" i="30"/>
  <c r="AC57" i="30"/>
  <c r="AB57" i="30"/>
  <c r="AE57" i="30"/>
  <c r="Z57" i="30"/>
  <c r="W57" i="30"/>
  <c r="AD57" i="30"/>
  <c r="AE101" i="30"/>
  <c r="AF101" i="30"/>
  <c r="AB101" i="30"/>
  <c r="AA101" i="30"/>
  <c r="Y101" i="30"/>
  <c r="AC101" i="30"/>
  <c r="Z101" i="30"/>
  <c r="AD101" i="30"/>
  <c r="X101" i="30"/>
  <c r="W101" i="30"/>
  <c r="X97" i="30"/>
  <c r="AA97" i="30"/>
  <c r="Y97" i="30"/>
  <c r="AF97" i="30"/>
  <c r="AD97" i="30"/>
  <c r="W97" i="30"/>
  <c r="AC97" i="30"/>
  <c r="AB97" i="30"/>
  <c r="Z97" i="30"/>
  <c r="AE97" i="30"/>
  <c r="AF93" i="30"/>
  <c r="AD93" i="30"/>
  <c r="X93" i="30"/>
  <c r="AA93" i="30"/>
  <c r="Y93" i="30"/>
  <c r="AB93" i="30"/>
  <c r="AE93" i="30"/>
  <c r="Z93" i="30"/>
  <c r="AC93" i="30"/>
  <c r="W93" i="30"/>
  <c r="AE89" i="30"/>
  <c r="AB89" i="30"/>
  <c r="W89" i="30"/>
  <c r="X89" i="30"/>
  <c r="Y89" i="30"/>
  <c r="Z89" i="30"/>
  <c r="AA89" i="30"/>
  <c r="AC89" i="30"/>
  <c r="AF89" i="30"/>
  <c r="AD89" i="30"/>
  <c r="Z85" i="30"/>
  <c r="AE85" i="30"/>
  <c r="AD85" i="30"/>
  <c r="AC85" i="30"/>
  <c r="W85" i="30"/>
  <c r="AA85" i="30"/>
  <c r="AB85" i="30"/>
  <c r="Y85" i="30"/>
  <c r="X85" i="30"/>
  <c r="AF85" i="30"/>
  <c r="AE81" i="30"/>
  <c r="AD81" i="30"/>
  <c r="AC81" i="30"/>
  <c r="Z81" i="30"/>
  <c r="W81" i="30"/>
  <c r="AA81" i="30"/>
  <c r="AB81" i="30"/>
  <c r="Y81" i="30"/>
  <c r="X81" i="30"/>
  <c r="AF81" i="30"/>
  <c r="Y77" i="30"/>
  <c r="X77" i="30"/>
  <c r="AA77" i="30"/>
  <c r="AF77" i="30"/>
  <c r="W77" i="30"/>
  <c r="Z77" i="30"/>
  <c r="AD77" i="30"/>
  <c r="AB77" i="30"/>
  <c r="AC77" i="30"/>
  <c r="AE77" i="30"/>
  <c r="Y73" i="30"/>
  <c r="AF73" i="30"/>
  <c r="X73" i="30"/>
  <c r="AA73" i="30"/>
  <c r="Z73" i="30"/>
  <c r="AC73" i="30"/>
  <c r="AB73" i="30"/>
  <c r="AE73" i="30"/>
  <c r="W73" i="30"/>
  <c r="AD73" i="30"/>
  <c r="Y69" i="30"/>
  <c r="X69" i="30"/>
  <c r="AA69" i="30"/>
  <c r="AF69" i="30"/>
  <c r="W69" i="30"/>
  <c r="AC69" i="30"/>
  <c r="AB69" i="30"/>
  <c r="AD69" i="30"/>
  <c r="Z69" i="30"/>
  <c r="AE69" i="30"/>
  <c r="Y65" i="30"/>
  <c r="AF65" i="30"/>
  <c r="Z65" i="30"/>
  <c r="AC65" i="30"/>
  <c r="X65" i="30"/>
  <c r="AA65" i="30"/>
  <c r="AB65" i="30"/>
  <c r="AE65" i="30"/>
  <c r="W65" i="30"/>
  <c r="AD65" i="30"/>
  <c r="Y61" i="30"/>
  <c r="X61" i="30"/>
  <c r="AA61" i="30"/>
  <c r="AF61" i="30"/>
  <c r="W61" i="30"/>
  <c r="Z61" i="30"/>
  <c r="AE61" i="30"/>
  <c r="AC61" i="30"/>
  <c r="AD61" i="30"/>
  <c r="AB61" i="30"/>
  <c r="AA52" i="10"/>
  <c r="T56" i="10"/>
  <c r="M52" i="10"/>
  <c r="L52" i="10"/>
  <c r="O52" i="10"/>
  <c r="P52" i="10"/>
  <c r="W52" i="10"/>
  <c r="W57" i="10" s="1"/>
  <c r="U52" i="10"/>
  <c r="W56" i="10"/>
  <c r="N52" i="10"/>
  <c r="O56" i="10"/>
  <c r="Q52" i="10"/>
  <c r="Q57" i="10" s="1"/>
  <c r="Z52" i="10"/>
  <c r="X52" i="10"/>
  <c r="M56" i="10"/>
  <c r="S56" i="10"/>
  <c r="N56" i="10"/>
  <c r="T52" i="10"/>
  <c r="T57" i="10" s="1"/>
  <c r="Y52" i="10"/>
  <c r="S52" i="10"/>
  <c r="S57" i="10" s="1"/>
  <c r="U56" i="10"/>
  <c r="O58" i="10"/>
  <c r="V52" i="10"/>
  <c r="Y56" i="10"/>
  <c r="Y56" i="12" s="1"/>
  <c r="AF100" i="30"/>
  <c r="Z100" i="30"/>
  <c r="AD100" i="30"/>
  <c r="Y100" i="30"/>
  <c r="AB100" i="30"/>
  <c r="AA100" i="30"/>
  <c r="AE100" i="30"/>
  <c r="AC100" i="30"/>
  <c r="W100" i="30"/>
  <c r="X100" i="30"/>
  <c r="X96" i="30"/>
  <c r="AA96" i="30"/>
  <c r="AC96" i="30"/>
  <c r="Y96" i="30"/>
  <c r="AF96" i="30"/>
  <c r="AE96" i="30"/>
  <c r="AD96" i="30"/>
  <c r="AB96" i="30"/>
  <c r="W96" i="30"/>
  <c r="Z96" i="30"/>
  <c r="AF92" i="30"/>
  <c r="Z92" i="30"/>
  <c r="AD92" i="30"/>
  <c r="X92" i="30"/>
  <c r="W92" i="30"/>
  <c r="AE92" i="30"/>
  <c r="AC92" i="30"/>
  <c r="Y92" i="30"/>
  <c r="AB92" i="30"/>
  <c r="AA92" i="30"/>
  <c r="AA88" i="30"/>
  <c r="AB88" i="30"/>
  <c r="X88" i="30"/>
  <c r="AD88" i="30"/>
  <c r="AF88" i="30"/>
  <c r="AC88" i="30"/>
  <c r="AE88" i="30"/>
  <c r="Z88" i="30"/>
  <c r="Y88" i="30"/>
  <c r="W88" i="30"/>
  <c r="AE84" i="30"/>
  <c r="AC84" i="30"/>
  <c r="AB84" i="30"/>
  <c r="W84" i="30"/>
  <c r="AF84" i="30"/>
  <c r="Y84" i="30"/>
  <c r="AD84" i="30"/>
  <c r="X84" i="30"/>
  <c r="AA84" i="30"/>
  <c r="Z84" i="30"/>
  <c r="AA80" i="30"/>
  <c r="Z80" i="30"/>
  <c r="AB80" i="30"/>
  <c r="AD80" i="30"/>
  <c r="X80" i="30"/>
  <c r="W80" i="30"/>
  <c r="AC80" i="30"/>
  <c r="AF80" i="30"/>
  <c r="AE80" i="30"/>
  <c r="Y80" i="30"/>
  <c r="AB76" i="30"/>
  <c r="AE76" i="30"/>
  <c r="AC76" i="30"/>
  <c r="AF76" i="30"/>
  <c r="AA76" i="30"/>
  <c r="Z76" i="30"/>
  <c r="X76" i="30"/>
  <c r="W76" i="30"/>
  <c r="Y76" i="30"/>
  <c r="AD76" i="30"/>
  <c r="W72" i="30"/>
  <c r="AF72" i="30"/>
  <c r="AE72" i="30"/>
  <c r="AD72" i="30"/>
  <c r="Y72" i="30"/>
  <c r="Z72" i="30"/>
  <c r="X72" i="30"/>
  <c r="AB72" i="30"/>
  <c r="AA72" i="30"/>
  <c r="AC72" i="30"/>
  <c r="AB68" i="30"/>
  <c r="AE68" i="30"/>
  <c r="Z68" i="30"/>
  <c r="X68" i="30"/>
  <c r="AF68" i="30"/>
  <c r="AA68" i="30"/>
  <c r="AD68" i="30"/>
  <c r="AC68" i="30"/>
  <c r="W68" i="30"/>
  <c r="Y68" i="30"/>
  <c r="W64" i="30"/>
  <c r="Z64" i="30"/>
  <c r="AD64" i="30"/>
  <c r="Y64" i="30"/>
  <c r="AF64" i="30"/>
  <c r="AE64" i="30"/>
  <c r="AB64" i="30"/>
  <c r="AA64" i="30"/>
  <c r="AC64" i="30"/>
  <c r="X64" i="30"/>
  <c r="AB60" i="30"/>
  <c r="AE60" i="30"/>
  <c r="AC60" i="30"/>
  <c r="Z60" i="30"/>
  <c r="Y60" i="30"/>
  <c r="AF60" i="30"/>
  <c r="AA60" i="30"/>
  <c r="X60" i="30"/>
  <c r="W60" i="30"/>
  <c r="AD60" i="30"/>
  <c r="X52" i="11"/>
  <c r="W52" i="11"/>
  <c r="AB56" i="30"/>
  <c r="AA56" i="30"/>
  <c r="AF56" i="30"/>
  <c r="W56" i="30"/>
  <c r="AC56" i="30"/>
  <c r="AD56" i="30"/>
  <c r="Y56" i="30"/>
  <c r="Z56" i="30"/>
  <c r="X56" i="30"/>
  <c r="AE56" i="30"/>
  <c r="Z99" i="30"/>
  <c r="AF99" i="30"/>
  <c r="AD99" i="30"/>
  <c r="X99" i="30"/>
  <c r="AA99" i="30"/>
  <c r="Y99" i="30"/>
  <c r="AB99" i="30"/>
  <c r="AE99" i="30"/>
  <c r="AC99" i="30"/>
  <c r="W99" i="30"/>
  <c r="Z95" i="30"/>
  <c r="X95" i="30"/>
  <c r="AA95" i="30"/>
  <c r="Y95" i="30"/>
  <c r="AF95" i="30"/>
  <c r="AD95" i="30"/>
  <c r="W95" i="30"/>
  <c r="AC95" i="30"/>
  <c r="AB95" i="30"/>
  <c r="AE95" i="30"/>
  <c r="Z91" i="30"/>
  <c r="AF91" i="30"/>
  <c r="AD91" i="30"/>
  <c r="X91" i="30"/>
  <c r="AA91" i="30"/>
  <c r="Y91" i="30"/>
  <c r="AB91" i="30"/>
  <c r="AE91" i="30"/>
  <c r="AC91" i="30"/>
  <c r="W91" i="30"/>
  <c r="AE87" i="30"/>
  <c r="AC87" i="30"/>
  <c r="W87" i="30"/>
  <c r="Z87" i="30"/>
  <c r="X87" i="30"/>
  <c r="AA87" i="30"/>
  <c r="AF87" i="30"/>
  <c r="AD87" i="30"/>
  <c r="AB87" i="30"/>
  <c r="Y87" i="30"/>
  <c r="X83" i="30"/>
  <c r="AA83" i="30"/>
  <c r="AD83" i="30"/>
  <c r="AB83" i="30"/>
  <c r="Z83" i="30"/>
  <c r="AC83" i="30"/>
  <c r="AE83" i="30"/>
  <c r="AF83" i="30"/>
  <c r="W83" i="30"/>
  <c r="Y83" i="30"/>
  <c r="AC79" i="30"/>
  <c r="W79" i="30"/>
  <c r="Y79" i="30"/>
  <c r="X79" i="30"/>
  <c r="AE79" i="30"/>
  <c r="AF79" i="30"/>
  <c r="AA79" i="30"/>
  <c r="AD79" i="30"/>
  <c r="AB79" i="30"/>
  <c r="Z79" i="30"/>
  <c r="AC75" i="30"/>
  <c r="Z75" i="30"/>
  <c r="AF75" i="30"/>
  <c r="X75" i="30"/>
  <c r="AA75" i="30"/>
  <c r="AD75" i="30"/>
  <c r="Y75" i="30"/>
  <c r="AB75" i="30"/>
  <c r="AE75" i="30"/>
  <c r="W75" i="30"/>
  <c r="AC71" i="30"/>
  <c r="X71" i="30"/>
  <c r="AA71" i="30"/>
  <c r="AF71" i="30"/>
  <c r="AD71" i="30"/>
  <c r="Y71" i="30"/>
  <c r="Z71" i="30"/>
  <c r="W71" i="30"/>
  <c r="AE71" i="30"/>
  <c r="AB71" i="30"/>
  <c r="AC67" i="30"/>
  <c r="Y67" i="30"/>
  <c r="AF67" i="30"/>
  <c r="Z67" i="30"/>
  <c r="X67" i="30"/>
  <c r="AA67" i="30"/>
  <c r="AD67" i="30"/>
  <c r="AB67" i="30"/>
  <c r="AE67" i="30"/>
  <c r="W67" i="30"/>
  <c r="AC63" i="30"/>
  <c r="X63" i="30"/>
  <c r="AA63" i="30"/>
  <c r="Y63" i="30"/>
  <c r="AF63" i="30"/>
  <c r="AD63" i="30"/>
  <c r="W63" i="30"/>
  <c r="Z63" i="30"/>
  <c r="AE63" i="30"/>
  <c r="AB63" i="30"/>
  <c r="AC59" i="30"/>
  <c r="Z59" i="30"/>
  <c r="AF59" i="30"/>
  <c r="Y59" i="30"/>
  <c r="X59" i="30"/>
  <c r="AA59" i="30"/>
  <c r="AD59" i="30"/>
  <c r="AB59" i="30"/>
  <c r="AE59" i="30"/>
  <c r="W59" i="30"/>
  <c r="AB58" i="30"/>
  <c r="AE58" i="30"/>
  <c r="AC58" i="30"/>
  <c r="AD58" i="30"/>
  <c r="Z58" i="30"/>
  <c r="AF58" i="30"/>
  <c r="AA58" i="30"/>
  <c r="W58" i="30"/>
  <c r="X58" i="30"/>
  <c r="Y58" i="30"/>
  <c r="Y57" i="10"/>
  <c r="Y56" i="11"/>
  <c r="AI12" i="9"/>
  <c r="AI14" i="9"/>
  <c r="AI13" i="9"/>
  <c r="AH12" i="9"/>
  <c r="AH13" i="9"/>
  <c r="AL13" i="9" s="1"/>
  <c r="AH14" i="9"/>
  <c r="R55" i="13"/>
  <c r="R55" i="12"/>
  <c r="R55" i="11"/>
  <c r="R55" i="10"/>
  <c r="L53" i="13"/>
  <c r="L53" i="12"/>
  <c r="L53" i="11"/>
  <c r="L53" i="10"/>
  <c r="R54" i="13"/>
  <c r="R54" i="12"/>
  <c r="R54" i="11"/>
  <c r="R54" i="10"/>
  <c r="D34" i="5"/>
  <c r="N91" i="6"/>
  <c r="H1" i="2"/>
  <c r="C8" i="32" l="1"/>
  <c r="C10" i="32"/>
  <c r="C6" i="32"/>
  <c r="E8" i="32"/>
  <c r="E6" i="32"/>
  <c r="E10" i="32"/>
  <c r="B8" i="32"/>
  <c r="B10" i="32"/>
  <c r="B6" i="32"/>
  <c r="T26" i="11"/>
  <c r="T37" i="11"/>
  <c r="T40" i="11"/>
  <c r="T39" i="11"/>
  <c r="T17" i="11"/>
  <c r="T14" i="11"/>
  <c r="T10" i="11"/>
  <c r="T7" i="11"/>
  <c r="T35" i="11"/>
  <c r="T38" i="11"/>
  <c r="T25" i="11"/>
  <c r="T28" i="11"/>
  <c r="T27" i="11"/>
  <c r="T46" i="11"/>
  <c r="T20" i="11"/>
  <c r="T23" i="11"/>
  <c r="T22" i="11"/>
  <c r="T42" i="11"/>
  <c r="T16" i="11"/>
  <c r="T6" i="11"/>
  <c r="T9" i="11"/>
  <c r="T13" i="11"/>
  <c r="T49" i="11"/>
  <c r="T36" i="11"/>
  <c r="T21" i="11"/>
  <c r="T48" i="11"/>
  <c r="T47" i="11"/>
  <c r="T30" i="11"/>
  <c r="T24" i="11"/>
  <c r="T15" i="11"/>
  <c r="T12" i="11"/>
  <c r="T5" i="11"/>
  <c r="T33" i="11"/>
  <c r="T45" i="11"/>
  <c r="T32" i="11"/>
  <c r="T31" i="11"/>
  <c r="T50" i="11"/>
  <c r="T18" i="11"/>
  <c r="T19" i="11"/>
  <c r="T11" i="11"/>
  <c r="T8" i="11"/>
  <c r="T29" i="11"/>
  <c r="T34" i="11"/>
  <c r="T41" i="11"/>
  <c r="T44" i="11"/>
  <c r="T43" i="11"/>
  <c r="N57" i="10"/>
  <c r="T56" i="11"/>
  <c r="T56" i="12"/>
  <c r="AE89" i="6"/>
  <c r="N89" i="6"/>
  <c r="AF89" i="6"/>
  <c r="S89" i="6"/>
  <c r="L89" i="6"/>
  <c r="X89" i="6"/>
  <c r="AI89" i="6"/>
  <c r="M89" i="6"/>
  <c r="W89" i="6"/>
  <c r="AK89" i="6"/>
  <c r="P89" i="6"/>
  <c r="V89" i="6"/>
  <c r="O89" i="6"/>
  <c r="R89" i="6"/>
  <c r="Q89" i="6"/>
  <c r="Y89" i="6"/>
  <c r="AJ89" i="6"/>
  <c r="U89" i="6"/>
  <c r="AA89" i="6"/>
  <c r="AA91" i="6" s="1"/>
  <c r="AC89" i="6"/>
  <c r="AH89" i="6"/>
  <c r="Z89" i="6"/>
  <c r="Z91" i="6" s="1"/>
  <c r="AT94" i="29"/>
  <c r="AW94" i="29"/>
  <c r="AQ94" i="29"/>
  <c r="BB94" i="29"/>
  <c r="AL94" i="29"/>
  <c r="AO94" i="29"/>
  <c r="AK94" i="29"/>
  <c r="AI94" i="29"/>
  <c r="AR94" i="29"/>
  <c r="AN94" i="29"/>
  <c r="AY94" i="29"/>
  <c r="AZ94" i="29"/>
  <c r="AM94" i="29"/>
  <c r="AX94" i="29"/>
  <c r="BA94" i="29"/>
  <c r="AJ94" i="29"/>
  <c r="AV94" i="29"/>
  <c r="AP94" i="29"/>
  <c r="BD94" i="29"/>
  <c r="AS94" i="29"/>
  <c r="AU94" i="29"/>
  <c r="BC94" i="29"/>
  <c r="J8" i="32"/>
  <c r="J10" i="32"/>
  <c r="J6" i="32"/>
  <c r="D8" i="32"/>
  <c r="D6" i="32"/>
  <c r="D10" i="32"/>
  <c r="K8" i="32"/>
  <c r="K10" i="32"/>
  <c r="K6" i="32"/>
  <c r="U56" i="11"/>
  <c r="U56" i="12"/>
  <c r="N56" i="12"/>
  <c r="N56" i="11"/>
  <c r="O57" i="10"/>
  <c r="AZ173" i="29"/>
  <c r="AJ173" i="29"/>
  <c r="AP173" i="29"/>
  <c r="AS173" i="29"/>
  <c r="AM173" i="29"/>
  <c r="AI173" i="29"/>
  <c r="AR173" i="29"/>
  <c r="AX173" i="29"/>
  <c r="BA173" i="29"/>
  <c r="AK173" i="29"/>
  <c r="AU173" i="29"/>
  <c r="AN173" i="29"/>
  <c r="AT173" i="29"/>
  <c r="AW173" i="29"/>
  <c r="BC173" i="29"/>
  <c r="AY173" i="29"/>
  <c r="AL173" i="29"/>
  <c r="AO173" i="29"/>
  <c r="BD173" i="29"/>
  <c r="AV173" i="29"/>
  <c r="AQ173" i="29"/>
  <c r="BB173" i="29"/>
  <c r="BA171" i="29"/>
  <c r="AV171" i="29"/>
  <c r="AU171" i="29"/>
  <c r="AM171" i="29"/>
  <c r="AJ171" i="29"/>
  <c r="AI171" i="29"/>
  <c r="AN171" i="29"/>
  <c r="BB171" i="29"/>
  <c r="AW171" i="29"/>
  <c r="AP171" i="29"/>
  <c r="AO171" i="29"/>
  <c r="AX171" i="29"/>
  <c r="AS171" i="29"/>
  <c r="AL171" i="29"/>
  <c r="AK171" i="29"/>
  <c r="BD171" i="29"/>
  <c r="AY171" i="29"/>
  <c r="AT171" i="29"/>
  <c r="AZ171" i="29"/>
  <c r="AR171" i="29"/>
  <c r="BC171" i="29"/>
  <c r="AQ171" i="29"/>
  <c r="BB169" i="29"/>
  <c r="AL169" i="29"/>
  <c r="AO169" i="29"/>
  <c r="AM169" i="29"/>
  <c r="AR169" i="29"/>
  <c r="AY169" i="29"/>
  <c r="AP169" i="29"/>
  <c r="BA169" i="29"/>
  <c r="AU169" i="29"/>
  <c r="AJ169" i="29"/>
  <c r="AI169" i="29"/>
  <c r="AN169" i="29"/>
  <c r="AW169" i="29"/>
  <c r="AX169" i="29"/>
  <c r="AS169" i="29"/>
  <c r="BD169" i="29"/>
  <c r="AQ169" i="29"/>
  <c r="AK169" i="29"/>
  <c r="AV169" i="29"/>
  <c r="BC169" i="29"/>
  <c r="AT169" i="29"/>
  <c r="AZ169" i="29"/>
  <c r="M106" i="6"/>
  <c r="AT167" i="29"/>
  <c r="AW167" i="29"/>
  <c r="BC167" i="29"/>
  <c r="AI167" i="29"/>
  <c r="AV167" i="29"/>
  <c r="AP167" i="29"/>
  <c r="AS167" i="29"/>
  <c r="AU167" i="29"/>
  <c r="AZ167" i="29"/>
  <c r="AN167" i="29"/>
  <c r="BB167" i="29"/>
  <c r="AL167" i="29"/>
  <c r="AO167" i="29"/>
  <c r="AM167" i="29"/>
  <c r="AR167" i="29"/>
  <c r="AY167" i="29"/>
  <c r="AK167" i="29"/>
  <c r="AQ167" i="29"/>
  <c r="BA167" i="29"/>
  <c r="AJ167" i="29"/>
  <c r="AX167" i="29"/>
  <c r="BD167" i="29"/>
  <c r="BB165" i="29"/>
  <c r="AL165" i="29"/>
  <c r="AO165" i="29"/>
  <c r="AM165" i="29"/>
  <c r="AR165" i="29"/>
  <c r="AY165" i="29"/>
  <c r="AT165" i="29"/>
  <c r="AW165" i="29"/>
  <c r="BC165" i="29"/>
  <c r="AI165" i="29"/>
  <c r="AV165" i="29"/>
  <c r="AP165" i="29"/>
  <c r="AS165" i="29"/>
  <c r="AU165" i="29"/>
  <c r="AN165" i="29"/>
  <c r="AK165" i="29"/>
  <c r="AQ165" i="29"/>
  <c r="AZ165" i="29"/>
  <c r="BA165" i="29"/>
  <c r="AX165" i="29"/>
  <c r="BD165" i="29"/>
  <c r="AJ165" i="29"/>
  <c r="AX163" i="29"/>
  <c r="BA163" i="29"/>
  <c r="AK163" i="29"/>
  <c r="AJ163" i="29"/>
  <c r="AQ163" i="29"/>
  <c r="BD163" i="29"/>
  <c r="AT163" i="29"/>
  <c r="AW163" i="29"/>
  <c r="BC163" i="29"/>
  <c r="AI163" i="29"/>
  <c r="AV163" i="29"/>
  <c r="AP163" i="29"/>
  <c r="AS163" i="29"/>
  <c r="AU163" i="29"/>
  <c r="AZ163" i="29"/>
  <c r="AN163" i="29"/>
  <c r="AL163" i="29"/>
  <c r="AM163" i="29"/>
  <c r="BB163" i="29"/>
  <c r="AR163" i="29"/>
  <c r="AO163" i="29"/>
  <c r="AY163" i="29"/>
  <c r="AP161" i="29"/>
  <c r="AS161" i="29"/>
  <c r="AU161" i="29"/>
  <c r="AZ161" i="29"/>
  <c r="AN161" i="29"/>
  <c r="AX161" i="29"/>
  <c r="BA161" i="29"/>
  <c r="AK161" i="29"/>
  <c r="AJ161" i="29"/>
  <c r="AQ161" i="29"/>
  <c r="BD161" i="29"/>
  <c r="AT161" i="29"/>
  <c r="AW161" i="29"/>
  <c r="BC161" i="29"/>
  <c r="AV161" i="29"/>
  <c r="AL161" i="29"/>
  <c r="AO161" i="29"/>
  <c r="AM161" i="29"/>
  <c r="AY161" i="29"/>
  <c r="AI161" i="29"/>
  <c r="AR161" i="29"/>
  <c r="BB161" i="29"/>
  <c r="BB159" i="29"/>
  <c r="AL159" i="29"/>
  <c r="AO159" i="29"/>
  <c r="AM159" i="29"/>
  <c r="AR159" i="29"/>
  <c r="AY159" i="29"/>
  <c r="AX159" i="29"/>
  <c r="BA159" i="29"/>
  <c r="AK159" i="29"/>
  <c r="AJ159" i="29"/>
  <c r="AQ159" i="29"/>
  <c r="BD159" i="29"/>
  <c r="AT159" i="29"/>
  <c r="AW159" i="29"/>
  <c r="BC159" i="29"/>
  <c r="AI159" i="29"/>
  <c r="AV159" i="29"/>
  <c r="AS159" i="29"/>
  <c r="AZ159" i="29"/>
  <c r="AP159" i="29"/>
  <c r="AU159" i="29"/>
  <c r="AN159" i="29"/>
  <c r="AP157" i="29"/>
  <c r="BA157" i="29"/>
  <c r="AK157" i="29"/>
  <c r="AU157" i="29"/>
  <c r="AJ157" i="29"/>
  <c r="AY157" i="29"/>
  <c r="BB157" i="29"/>
  <c r="AO157" i="29"/>
  <c r="AM157" i="29"/>
  <c r="AZ157" i="29"/>
  <c r="BD157" i="29"/>
  <c r="AX157" i="29"/>
  <c r="AR157" i="29"/>
  <c r="AQ157" i="29"/>
  <c r="AV157" i="29"/>
  <c r="AT157" i="29"/>
  <c r="AW157" i="29"/>
  <c r="AI157" i="29"/>
  <c r="AN157" i="29"/>
  <c r="AL157" i="29"/>
  <c r="AS157" i="29"/>
  <c r="BC157" i="29"/>
  <c r="AO155" i="29"/>
  <c r="AV155" i="29"/>
  <c r="AQ155" i="29"/>
  <c r="AX155" i="29"/>
  <c r="BA155" i="29"/>
  <c r="AK155" i="29"/>
  <c r="AR155" i="29"/>
  <c r="BC155" i="29"/>
  <c r="AM155" i="29"/>
  <c r="AT155" i="29"/>
  <c r="AW155" i="29"/>
  <c r="BD155" i="29"/>
  <c r="AN155" i="29"/>
  <c r="AY155" i="29"/>
  <c r="AI155" i="29"/>
  <c r="AP155" i="29"/>
  <c r="AS155" i="29"/>
  <c r="AL155" i="29"/>
  <c r="AJ155" i="29"/>
  <c r="BB155" i="29"/>
  <c r="AU155" i="29"/>
  <c r="AZ155" i="29"/>
  <c r="AW153" i="29"/>
  <c r="BD153" i="29"/>
  <c r="AN153" i="29"/>
  <c r="AY153" i="29"/>
  <c r="BA153" i="29"/>
  <c r="AV153" i="29"/>
  <c r="AU153" i="29"/>
  <c r="BB153" i="29"/>
  <c r="AL153" i="29"/>
  <c r="AO153" i="29"/>
  <c r="AJ153" i="29"/>
  <c r="AM153" i="29"/>
  <c r="AT153" i="29"/>
  <c r="AK153" i="29"/>
  <c r="AI153" i="29"/>
  <c r="AP153" i="29"/>
  <c r="AZ153" i="29"/>
  <c r="BC153" i="29"/>
  <c r="AQ153" i="29"/>
  <c r="AX153" i="29"/>
  <c r="AS153" i="29"/>
  <c r="AR153" i="29"/>
  <c r="AS151" i="29"/>
  <c r="AY151" i="29"/>
  <c r="AI151" i="29"/>
  <c r="R151" i="29"/>
  <c r="AP151" i="29"/>
  <c r="AN151" i="29"/>
  <c r="AO151" i="29"/>
  <c r="P151" i="29"/>
  <c r="AU151" i="29"/>
  <c r="BB151" i="29"/>
  <c r="AL151" i="29"/>
  <c r="AR151" i="29"/>
  <c r="BA151" i="29"/>
  <c r="AK151" i="29"/>
  <c r="AQ151" i="29"/>
  <c r="AX151" i="29"/>
  <c r="AV151" i="29"/>
  <c r="AZ151" i="29"/>
  <c r="BC151" i="29"/>
  <c r="AT151" i="29"/>
  <c r="AJ151" i="29"/>
  <c r="AM151" i="29"/>
  <c r="AW151" i="29"/>
  <c r="BD151" i="29"/>
  <c r="AO149" i="29"/>
  <c r="AU149" i="29"/>
  <c r="BB149" i="29"/>
  <c r="AL149" i="29"/>
  <c r="BA149" i="29"/>
  <c r="AK149" i="29"/>
  <c r="AQ149" i="29"/>
  <c r="AX149" i="29"/>
  <c r="BD149" i="29"/>
  <c r="AZ149" i="29"/>
  <c r="AV149" i="29"/>
  <c r="AR149" i="29"/>
  <c r="AY149" i="29"/>
  <c r="R149" i="29"/>
  <c r="AJ149" i="29"/>
  <c r="AS149" i="29"/>
  <c r="AI149" i="29"/>
  <c r="AP149" i="29"/>
  <c r="P149" i="29"/>
  <c r="BC149" i="29"/>
  <c r="AM149" i="29"/>
  <c r="AN149" i="29"/>
  <c r="AT149" i="29"/>
  <c r="AW149" i="29"/>
  <c r="AY147" i="29"/>
  <c r="AI147" i="29"/>
  <c r="AP147" i="29"/>
  <c r="AJ147" i="29"/>
  <c r="AO147" i="29"/>
  <c r="AV147" i="29"/>
  <c r="AU147" i="29"/>
  <c r="BB147" i="29"/>
  <c r="AL147" i="29"/>
  <c r="AN147" i="29"/>
  <c r="BA147" i="29"/>
  <c r="AQ147" i="29"/>
  <c r="AX147" i="29"/>
  <c r="AZ147" i="29"/>
  <c r="AS147" i="29"/>
  <c r="BC147" i="29"/>
  <c r="AT147" i="29"/>
  <c r="BD147" i="29"/>
  <c r="AM147" i="29"/>
  <c r="AR147" i="29"/>
  <c r="AK147" i="29"/>
  <c r="AW147" i="29"/>
  <c r="AU145" i="29"/>
  <c r="BB145" i="29"/>
  <c r="AL145" i="29"/>
  <c r="AN145" i="29"/>
  <c r="BA145" i="29"/>
  <c r="AY145" i="29"/>
  <c r="AT145" i="29"/>
  <c r="BD145" i="29"/>
  <c r="AQ145" i="29"/>
  <c r="AP145" i="29"/>
  <c r="AZ145" i="29"/>
  <c r="AW145" i="29"/>
  <c r="AV145" i="29"/>
  <c r="AS145" i="29"/>
  <c r="AM145" i="29"/>
  <c r="R145" i="29"/>
  <c r="AR145" i="29"/>
  <c r="AO145" i="29"/>
  <c r="AK145" i="29"/>
  <c r="BC145" i="29"/>
  <c r="AJ145" i="29"/>
  <c r="AI145" i="29"/>
  <c r="P145" i="29"/>
  <c r="AX145" i="29"/>
  <c r="BC143" i="29"/>
  <c r="AR143" i="29"/>
  <c r="AY143" i="29"/>
  <c r="AI143" i="29"/>
  <c r="R143" i="29"/>
  <c r="AP143" i="29"/>
  <c r="AS143" i="29"/>
  <c r="BB143" i="29"/>
  <c r="AN143" i="29"/>
  <c r="AU143" i="29"/>
  <c r="BD143" i="29"/>
  <c r="AL143" i="29"/>
  <c r="AO143" i="29"/>
  <c r="P143" i="29"/>
  <c r="AZ143" i="29"/>
  <c r="AJ143" i="29"/>
  <c r="AQ143" i="29"/>
  <c r="AX143" i="29"/>
  <c r="BA143" i="29"/>
  <c r="AK143" i="29"/>
  <c r="AT143" i="29"/>
  <c r="AV143" i="29"/>
  <c r="AM143" i="29"/>
  <c r="AW143" i="29"/>
  <c r="AV141" i="29"/>
  <c r="AQ141" i="29"/>
  <c r="AX141" i="29"/>
  <c r="BA141" i="29"/>
  <c r="AK141" i="29"/>
  <c r="AR141" i="29"/>
  <c r="BC141" i="29"/>
  <c r="AM141" i="29"/>
  <c r="AT141" i="29"/>
  <c r="AW141" i="29"/>
  <c r="AJ141" i="29"/>
  <c r="AU141" i="29"/>
  <c r="BB141" i="29"/>
  <c r="AZ141" i="29"/>
  <c r="AL141" i="29"/>
  <c r="AO141" i="29"/>
  <c r="AN141" i="29"/>
  <c r="AY141" i="29"/>
  <c r="AI141" i="29"/>
  <c r="AS141" i="29"/>
  <c r="BD141" i="29"/>
  <c r="AP141" i="29"/>
  <c r="M104" i="6"/>
  <c r="BD139" i="29"/>
  <c r="AN139" i="29"/>
  <c r="AY139" i="29"/>
  <c r="AI139" i="29"/>
  <c r="AP139" i="29"/>
  <c r="AV139" i="29"/>
  <c r="AQ139" i="29"/>
  <c r="AX139" i="29"/>
  <c r="BA139" i="29"/>
  <c r="AM139" i="29"/>
  <c r="AT139" i="29"/>
  <c r="AW139" i="29"/>
  <c r="AZ139" i="29"/>
  <c r="AL139" i="29"/>
  <c r="AS139" i="29"/>
  <c r="AR139" i="29"/>
  <c r="BC139" i="29"/>
  <c r="AO139" i="29"/>
  <c r="BB139" i="29"/>
  <c r="AJ139" i="29"/>
  <c r="AK139" i="29"/>
  <c r="AU139" i="29"/>
  <c r="AZ137" i="29"/>
  <c r="AJ137" i="29"/>
  <c r="AU137" i="29"/>
  <c r="BB137" i="29"/>
  <c r="AL137" i="29"/>
  <c r="AO137" i="29"/>
  <c r="AV137" i="29"/>
  <c r="AQ137" i="29"/>
  <c r="AX137" i="29"/>
  <c r="BA137" i="29"/>
  <c r="AK137" i="29"/>
  <c r="AN137" i="29"/>
  <c r="AY137" i="29"/>
  <c r="BD137" i="29"/>
  <c r="AI137" i="29"/>
  <c r="AP137" i="29"/>
  <c r="AS137" i="29"/>
  <c r="AR137" i="29"/>
  <c r="BC137" i="29"/>
  <c r="AM137" i="29"/>
  <c r="AT137" i="29"/>
  <c r="AW137" i="29"/>
  <c r="AR135" i="29"/>
  <c r="BC135" i="29"/>
  <c r="AM135" i="29"/>
  <c r="AT135" i="29"/>
  <c r="AW135" i="29"/>
  <c r="AZ135" i="29"/>
  <c r="AJ135" i="29"/>
  <c r="AU135" i="29"/>
  <c r="BB135" i="29"/>
  <c r="AL135" i="29"/>
  <c r="AO135" i="29"/>
  <c r="AQ135" i="29"/>
  <c r="AX135" i="29"/>
  <c r="BA135" i="29"/>
  <c r="BD135" i="29"/>
  <c r="AI135" i="29"/>
  <c r="AP135" i="29"/>
  <c r="AS135" i="29"/>
  <c r="AV135" i="29"/>
  <c r="AK135" i="29"/>
  <c r="AN135" i="29"/>
  <c r="AY135" i="29"/>
  <c r="AZ133" i="29"/>
  <c r="AJ133" i="29"/>
  <c r="AU133" i="29"/>
  <c r="BB133" i="29"/>
  <c r="AL133" i="29"/>
  <c r="AO133" i="29"/>
  <c r="AR133" i="29"/>
  <c r="AQ133" i="29"/>
  <c r="AP133" i="29"/>
  <c r="BA133" i="29"/>
  <c r="AN133" i="29"/>
  <c r="AM133" i="29"/>
  <c r="AW133" i="29"/>
  <c r="BD133" i="29"/>
  <c r="BC133" i="29"/>
  <c r="AI133" i="29"/>
  <c r="AX133" i="29"/>
  <c r="AS133" i="29"/>
  <c r="AV133" i="29"/>
  <c r="AT133" i="29"/>
  <c r="AY133" i="29"/>
  <c r="AK133" i="29"/>
  <c r="AV131" i="29"/>
  <c r="AP131" i="29"/>
  <c r="AS131" i="29"/>
  <c r="AY131" i="29"/>
  <c r="BD131" i="29"/>
  <c r="AN131" i="29"/>
  <c r="AX131" i="29"/>
  <c r="BA131" i="29"/>
  <c r="AK131" i="29"/>
  <c r="AM131" i="29"/>
  <c r="AJ131" i="29"/>
  <c r="AT131" i="29"/>
  <c r="AW131" i="29"/>
  <c r="AQ131" i="29"/>
  <c r="AU131" i="29"/>
  <c r="AL131" i="29"/>
  <c r="AO131" i="29"/>
  <c r="BC131" i="29"/>
  <c r="AZ131" i="29"/>
  <c r="BB131" i="29"/>
  <c r="AR131" i="29"/>
  <c r="AI131" i="29"/>
  <c r="BD129" i="29"/>
  <c r="AN129" i="29"/>
  <c r="AX129" i="29"/>
  <c r="BA129" i="29"/>
  <c r="AK129" i="29"/>
  <c r="AU129" i="29"/>
  <c r="BC129" i="29"/>
  <c r="AZ129" i="29"/>
  <c r="AJ129" i="29"/>
  <c r="AT129" i="29"/>
  <c r="AW129" i="29"/>
  <c r="AY129" i="29"/>
  <c r="AM129" i="29"/>
  <c r="AR129" i="29"/>
  <c r="BB129" i="29"/>
  <c r="AP129" i="29"/>
  <c r="AL129" i="29"/>
  <c r="AO129" i="29"/>
  <c r="AV129" i="29"/>
  <c r="AQ129" i="29"/>
  <c r="AS129" i="29"/>
  <c r="AI129" i="29"/>
  <c r="AZ127" i="29"/>
  <c r="AJ127" i="29"/>
  <c r="AT127" i="29"/>
  <c r="AW127" i="29"/>
  <c r="AQ127" i="29"/>
  <c r="AU127" i="29"/>
  <c r="BD127" i="29"/>
  <c r="BB127" i="29"/>
  <c r="AS127" i="29"/>
  <c r="AM127" i="29"/>
  <c r="AV127" i="29"/>
  <c r="AX127" i="29"/>
  <c r="AO127" i="29"/>
  <c r="AY127" i="29"/>
  <c r="AR127" i="29"/>
  <c r="AP127" i="29"/>
  <c r="AK127" i="29"/>
  <c r="AI127" i="29"/>
  <c r="AL127" i="29"/>
  <c r="BA127" i="29"/>
  <c r="AN127" i="29"/>
  <c r="BC127" i="29"/>
  <c r="BD125" i="29"/>
  <c r="AN125" i="29"/>
  <c r="AX125" i="29"/>
  <c r="BA125" i="29"/>
  <c r="AK125" i="29"/>
  <c r="AQ125" i="29"/>
  <c r="AM125" i="29"/>
  <c r="AJ125" i="29"/>
  <c r="AP125" i="29"/>
  <c r="AI125" i="29"/>
  <c r="AZ125" i="29"/>
  <c r="AL125" i="29"/>
  <c r="AW125" i="29"/>
  <c r="AV125" i="29"/>
  <c r="BB125" i="29"/>
  <c r="AS125" i="29"/>
  <c r="AU125" i="29"/>
  <c r="BC125" i="29"/>
  <c r="AO125" i="29"/>
  <c r="AR125" i="29"/>
  <c r="AY125" i="29"/>
  <c r="AT125" i="29"/>
  <c r="AX123" i="29"/>
  <c r="BA123" i="29"/>
  <c r="AK123" i="29"/>
  <c r="AU123" i="29"/>
  <c r="AZ123" i="29"/>
  <c r="AP123" i="29"/>
  <c r="AS123" i="29"/>
  <c r="AV123" i="29"/>
  <c r="AJ123" i="29"/>
  <c r="AQ123" i="29"/>
  <c r="AL123" i="29"/>
  <c r="AO123" i="29"/>
  <c r="AN123" i="29"/>
  <c r="AI123" i="29"/>
  <c r="AR123" i="29"/>
  <c r="BB123" i="29"/>
  <c r="BC123" i="29"/>
  <c r="BD123" i="29"/>
  <c r="AW123" i="29"/>
  <c r="AM123" i="29"/>
  <c r="AT123" i="29"/>
  <c r="AY123" i="29"/>
  <c r="AP121" i="29"/>
  <c r="AS121" i="29"/>
  <c r="AV121" i="29"/>
  <c r="AJ121" i="29"/>
  <c r="AQ121" i="29"/>
  <c r="BB121" i="29"/>
  <c r="AL121" i="29"/>
  <c r="AO121" i="29"/>
  <c r="AN121" i="29"/>
  <c r="BC121" i="29"/>
  <c r="AI121" i="29"/>
  <c r="AT121" i="29"/>
  <c r="AW121" i="29"/>
  <c r="BD121" i="29"/>
  <c r="AM121" i="29"/>
  <c r="AY121" i="29"/>
  <c r="AK121" i="29"/>
  <c r="AZ121" i="29"/>
  <c r="AR121" i="29"/>
  <c r="AX121" i="29"/>
  <c r="BA121" i="29"/>
  <c r="AU121" i="29"/>
  <c r="AP119" i="29"/>
  <c r="AS119" i="29"/>
  <c r="AV119" i="29"/>
  <c r="AJ119" i="29"/>
  <c r="AQ119" i="29"/>
  <c r="BB119" i="29"/>
  <c r="AL119" i="29"/>
  <c r="AO119" i="29"/>
  <c r="AN119" i="29"/>
  <c r="BC119" i="29"/>
  <c r="AI119" i="29"/>
  <c r="AX119" i="29"/>
  <c r="BA119" i="29"/>
  <c r="AK119" i="29"/>
  <c r="AU119" i="29"/>
  <c r="AZ119" i="29"/>
  <c r="AW119" i="29"/>
  <c r="AM119" i="29"/>
  <c r="AR119" i="29"/>
  <c r="AT119" i="29"/>
  <c r="BD119" i="29"/>
  <c r="AY119" i="29"/>
  <c r="AV117" i="29"/>
  <c r="AQ117" i="29"/>
  <c r="AX117" i="29"/>
  <c r="BA117" i="29"/>
  <c r="AK117" i="29"/>
  <c r="AR117" i="29"/>
  <c r="BC117" i="29"/>
  <c r="AM117" i="29"/>
  <c r="AT117" i="29"/>
  <c r="AW117" i="29"/>
  <c r="AZ117" i="29"/>
  <c r="AL117" i="29"/>
  <c r="AO117" i="29"/>
  <c r="AN117" i="29"/>
  <c r="AY117" i="29"/>
  <c r="AJ117" i="29"/>
  <c r="AU117" i="29"/>
  <c r="BB117" i="29"/>
  <c r="BD117" i="29"/>
  <c r="AI117" i="29"/>
  <c r="AP117" i="29"/>
  <c r="AS117" i="29"/>
  <c r="BD115" i="29"/>
  <c r="AN115" i="29"/>
  <c r="AY115" i="29"/>
  <c r="AI115" i="29"/>
  <c r="AP115" i="29"/>
  <c r="AS115" i="29"/>
  <c r="AV115" i="29"/>
  <c r="AU115" i="29"/>
  <c r="AT115" i="29"/>
  <c r="AK115" i="29"/>
  <c r="AR115" i="29"/>
  <c r="AQ115" i="29"/>
  <c r="AL115" i="29"/>
  <c r="BA115" i="29"/>
  <c r="AJ115" i="29"/>
  <c r="AM115" i="29"/>
  <c r="BB115" i="29"/>
  <c r="AW115" i="29"/>
  <c r="BC115" i="29"/>
  <c r="AO115" i="29"/>
  <c r="AZ115" i="29"/>
  <c r="AX115" i="29"/>
  <c r="AR113" i="29"/>
  <c r="BC113" i="29"/>
  <c r="AM113" i="29"/>
  <c r="AT113" i="29"/>
  <c r="AW113" i="29"/>
  <c r="AZ113" i="29"/>
  <c r="AY113" i="29"/>
  <c r="AX113" i="29"/>
  <c r="AO113" i="29"/>
  <c r="AV113" i="29"/>
  <c r="AU113" i="29"/>
  <c r="AP113" i="29"/>
  <c r="AK113" i="29"/>
  <c r="AN113" i="29"/>
  <c r="AQ113" i="29"/>
  <c r="AL113" i="29"/>
  <c r="BA113" i="29"/>
  <c r="AS113" i="29"/>
  <c r="AI113" i="29"/>
  <c r="BD113" i="29"/>
  <c r="BB113" i="29"/>
  <c r="AJ113" i="29"/>
  <c r="AV111" i="29"/>
  <c r="AQ111" i="29"/>
  <c r="AX111" i="29"/>
  <c r="BA111" i="29"/>
  <c r="AK111" i="29"/>
  <c r="AR111" i="29"/>
  <c r="BC111" i="29"/>
  <c r="AM111" i="29"/>
  <c r="AT111" i="29"/>
  <c r="AW111" i="29"/>
  <c r="BD111" i="29"/>
  <c r="AN111" i="29"/>
  <c r="AY111" i="29"/>
  <c r="AI111" i="29"/>
  <c r="AP111" i="29"/>
  <c r="AS111" i="29"/>
  <c r="AZ111" i="29"/>
  <c r="AO111" i="29"/>
  <c r="AJ111" i="29"/>
  <c r="BB111" i="29"/>
  <c r="AL111" i="29"/>
  <c r="AU111" i="29"/>
  <c r="AZ109" i="29"/>
  <c r="AJ109" i="29"/>
  <c r="AU109" i="29"/>
  <c r="BB109" i="29"/>
  <c r="AL109" i="29"/>
  <c r="AO109" i="29"/>
  <c r="AV109" i="29"/>
  <c r="AQ109" i="29"/>
  <c r="AX109" i="29"/>
  <c r="BA109" i="29"/>
  <c r="AK109" i="29"/>
  <c r="BD109" i="29"/>
  <c r="AI109" i="29"/>
  <c r="AP109" i="29"/>
  <c r="AS109" i="29"/>
  <c r="AR109" i="29"/>
  <c r="BC109" i="29"/>
  <c r="AN109" i="29"/>
  <c r="AY109" i="29"/>
  <c r="AM109" i="29"/>
  <c r="AT109" i="29"/>
  <c r="AW109" i="29"/>
  <c r="AV107" i="29"/>
  <c r="AQ107" i="29"/>
  <c r="AT107" i="29"/>
  <c r="AW107" i="29"/>
  <c r="AR107" i="29"/>
  <c r="BC107" i="29"/>
  <c r="AM107" i="29"/>
  <c r="AP107" i="29"/>
  <c r="AS107" i="29"/>
  <c r="BD107" i="29"/>
  <c r="AN107" i="29"/>
  <c r="AY107" i="29"/>
  <c r="AI107" i="29"/>
  <c r="BB107" i="29"/>
  <c r="AL107" i="29"/>
  <c r="AO107" i="29"/>
  <c r="AU107" i="29"/>
  <c r="BA107" i="29"/>
  <c r="AZ107" i="29"/>
  <c r="AK107" i="29"/>
  <c r="AJ107" i="29"/>
  <c r="AX107" i="29"/>
  <c r="AV105" i="29"/>
  <c r="AP105" i="29"/>
  <c r="AS105" i="29"/>
  <c r="AR105" i="29"/>
  <c r="BB105" i="29"/>
  <c r="AL105" i="29"/>
  <c r="AO105" i="29"/>
  <c r="AJ105" i="29"/>
  <c r="AT105" i="29"/>
  <c r="AW105" i="29"/>
  <c r="BD105" i="29"/>
  <c r="AK105" i="29"/>
  <c r="AZ105" i="29"/>
  <c r="AU105" i="29"/>
  <c r="AN105" i="29"/>
  <c r="AX105" i="29"/>
  <c r="BA105" i="29"/>
  <c r="AI105" i="29"/>
  <c r="AY105" i="29"/>
  <c r="AM105" i="29"/>
  <c r="BC105" i="29"/>
  <c r="AQ105" i="29"/>
  <c r="BC103" i="29"/>
  <c r="AV103" i="29"/>
  <c r="AP103" i="29"/>
  <c r="AS103" i="29"/>
  <c r="AM103" i="29"/>
  <c r="BD103" i="29"/>
  <c r="AN103" i="29"/>
  <c r="AX103" i="29"/>
  <c r="BA103" i="29"/>
  <c r="AK103" i="29"/>
  <c r="AZ103" i="29"/>
  <c r="AR103" i="29"/>
  <c r="BB103" i="29"/>
  <c r="AU103" i="29"/>
  <c r="AJ103" i="29"/>
  <c r="AT103" i="29"/>
  <c r="AW103" i="29"/>
  <c r="AQ103" i="29"/>
  <c r="AL103" i="29"/>
  <c r="AO103" i="29"/>
  <c r="AI103" i="29"/>
  <c r="AY103" i="29"/>
  <c r="BC101" i="29"/>
  <c r="AI101" i="29"/>
  <c r="BD101" i="29"/>
  <c r="AN101" i="29"/>
  <c r="AX101" i="29"/>
  <c r="BA101" i="29"/>
  <c r="AK101" i="29"/>
  <c r="AU101" i="29"/>
  <c r="AY101" i="29"/>
  <c r="AM101" i="29"/>
  <c r="AR101" i="29"/>
  <c r="AP101" i="29"/>
  <c r="AJ101" i="29"/>
  <c r="AL101" i="29"/>
  <c r="AW101" i="29"/>
  <c r="AZ101" i="29"/>
  <c r="BB101" i="29"/>
  <c r="AS101" i="29"/>
  <c r="AQ101" i="29"/>
  <c r="AV101" i="29"/>
  <c r="AO101" i="29"/>
  <c r="AT101" i="29"/>
  <c r="BB99" i="29"/>
  <c r="AL99" i="29"/>
  <c r="AO99" i="29"/>
  <c r="AX99" i="29"/>
  <c r="BA99" i="29"/>
  <c r="AK99" i="29"/>
  <c r="AT99" i="29"/>
  <c r="AW99" i="29"/>
  <c r="AP99" i="29"/>
  <c r="AM99" i="29"/>
  <c r="AS99" i="29"/>
  <c r="BC99" i="29"/>
  <c r="AV99" i="29"/>
  <c r="AI99" i="29"/>
  <c r="AR99" i="29"/>
  <c r="AU99" i="29"/>
  <c r="BD99" i="29"/>
  <c r="AQ99" i="29"/>
  <c r="AJ99" i="29"/>
  <c r="AN99" i="29"/>
  <c r="AZ99" i="29"/>
  <c r="AY99" i="29"/>
  <c r="AY95" i="29"/>
  <c r="AM95" i="29"/>
  <c r="BC95" i="29"/>
  <c r="AT95" i="29"/>
  <c r="AW95" i="29"/>
  <c r="AN95" i="29"/>
  <c r="AV95" i="29"/>
  <c r="AI95" i="29"/>
  <c r="AL95" i="29"/>
  <c r="BA95" i="29"/>
  <c r="AR95" i="29"/>
  <c r="AU95" i="29"/>
  <c r="AQ95" i="29"/>
  <c r="BB95" i="29"/>
  <c r="AS95" i="29"/>
  <c r="AZ95" i="29"/>
  <c r="BD95" i="29"/>
  <c r="AX95" i="29"/>
  <c r="AO95" i="29"/>
  <c r="AK95" i="29"/>
  <c r="AJ95" i="29"/>
  <c r="AP95" i="29"/>
  <c r="BB92" i="29"/>
  <c r="BA92" i="29"/>
  <c r="AX92" i="29"/>
  <c r="AW92" i="29"/>
  <c r="AT92" i="29"/>
  <c r="AS92" i="29"/>
  <c r="AP92" i="29"/>
  <c r="AO92" i="29"/>
  <c r="AQ92" i="29"/>
  <c r="AY92" i="29"/>
  <c r="AL92" i="29"/>
  <c r="AU92" i="29"/>
  <c r="AJ92" i="29"/>
  <c r="AR92" i="29"/>
  <c r="BC92" i="29"/>
  <c r="AZ92" i="29"/>
  <c r="AI92" i="29"/>
  <c r="AV92" i="29"/>
  <c r="AK92" i="29"/>
  <c r="AM92" i="29"/>
  <c r="BD92" i="29"/>
  <c r="AN92" i="29"/>
  <c r="I8" i="32"/>
  <c r="I10" i="32"/>
  <c r="I6" i="32"/>
  <c r="F8" i="32"/>
  <c r="F10" i="32"/>
  <c r="F6" i="32"/>
  <c r="S18" i="11"/>
  <c r="S19" i="11"/>
  <c r="S12" i="11"/>
  <c r="S5" i="11"/>
  <c r="S44" i="11"/>
  <c r="S42" i="11"/>
  <c r="S48" i="11"/>
  <c r="S46" i="11"/>
  <c r="S33" i="11"/>
  <c r="S31" i="11"/>
  <c r="S20" i="11"/>
  <c r="S35" i="11"/>
  <c r="S17" i="11"/>
  <c r="S14" i="11"/>
  <c r="S11" i="11"/>
  <c r="S8" i="11"/>
  <c r="S25" i="11"/>
  <c r="S22" i="11"/>
  <c r="S29" i="11"/>
  <c r="S27" i="11"/>
  <c r="S49" i="11"/>
  <c r="S47" i="11"/>
  <c r="S37" i="11"/>
  <c r="S16" i="11"/>
  <c r="S13" i="11"/>
  <c r="S10" i="11"/>
  <c r="S7" i="11"/>
  <c r="S41" i="11"/>
  <c r="S39" i="11"/>
  <c r="S45" i="11"/>
  <c r="S43" i="11"/>
  <c r="S34" i="11"/>
  <c r="S23" i="11"/>
  <c r="S21" i="11"/>
  <c r="S24" i="11"/>
  <c r="S15" i="11"/>
  <c r="S6" i="11"/>
  <c r="S9" i="11"/>
  <c r="S28" i="11"/>
  <c r="S26" i="11"/>
  <c r="S32" i="11"/>
  <c r="S30" i="11"/>
  <c r="S36" i="11"/>
  <c r="S50" i="11"/>
  <c r="S40" i="11"/>
  <c r="S38" i="11"/>
  <c r="S56" i="11"/>
  <c r="S56" i="12"/>
  <c r="Q13" i="11"/>
  <c r="Q17" i="11"/>
  <c r="Q18" i="11"/>
  <c r="Q7" i="11"/>
  <c r="Q26" i="11"/>
  <c r="Q23" i="11"/>
  <c r="Q30" i="11"/>
  <c r="Q28" i="11"/>
  <c r="Q34" i="11"/>
  <c r="Q32" i="11"/>
  <c r="Q21" i="11"/>
  <c r="Q33" i="11"/>
  <c r="Q11" i="11"/>
  <c r="Q15" i="11"/>
  <c r="Q16" i="11"/>
  <c r="Q5" i="11"/>
  <c r="Q42" i="11"/>
  <c r="Q40" i="11"/>
  <c r="Q46" i="11"/>
  <c r="Q44" i="11"/>
  <c r="Q50" i="11"/>
  <c r="Q48" i="11"/>
  <c r="Q38" i="11"/>
  <c r="Q49" i="11"/>
  <c r="Q14" i="11"/>
  <c r="Q24" i="11"/>
  <c r="Q10" i="11"/>
  <c r="Q8" i="11"/>
  <c r="Q22" i="11"/>
  <c r="Q20" i="11"/>
  <c r="Q27" i="11"/>
  <c r="Q25" i="11"/>
  <c r="Q31" i="11"/>
  <c r="Q29" i="11"/>
  <c r="Q35" i="11"/>
  <c r="Q12" i="11"/>
  <c r="Q19" i="11"/>
  <c r="Q9" i="11"/>
  <c r="Q6" i="11"/>
  <c r="Q39" i="11"/>
  <c r="Q37" i="11"/>
  <c r="Q43" i="11"/>
  <c r="Q41" i="11"/>
  <c r="Q47" i="11"/>
  <c r="Q45" i="11"/>
  <c r="Q36" i="11"/>
  <c r="U57" i="10"/>
  <c r="AP93" i="29"/>
  <c r="AS93" i="29"/>
  <c r="BB93" i="29"/>
  <c r="AL93" i="29"/>
  <c r="AO93" i="29"/>
  <c r="AT93" i="29"/>
  <c r="AW93" i="29"/>
  <c r="BC93" i="29"/>
  <c r="AK93" i="29"/>
  <c r="AM93" i="29"/>
  <c r="AX93" i="29"/>
  <c r="BA93" i="29"/>
  <c r="BD93" i="29"/>
  <c r="AI93" i="29"/>
  <c r="AZ93" i="29"/>
  <c r="AQ93" i="29"/>
  <c r="AU93" i="29"/>
  <c r="AN93" i="29"/>
  <c r="AY93" i="29"/>
  <c r="AR93" i="29"/>
  <c r="AV93" i="29"/>
  <c r="AJ93" i="29"/>
  <c r="AL14" i="9"/>
  <c r="H8" i="32"/>
  <c r="H10" i="32"/>
  <c r="H6" i="32"/>
  <c r="G8" i="32"/>
  <c r="G6" i="32"/>
  <c r="G10" i="32"/>
  <c r="M56" i="12"/>
  <c r="M56" i="11"/>
  <c r="O56" i="12"/>
  <c r="O56" i="11"/>
  <c r="M57" i="10"/>
  <c r="I10" i="29"/>
  <c r="I10" i="14"/>
  <c r="I10" i="9"/>
  <c r="I10" i="8"/>
  <c r="I10" i="7"/>
  <c r="I10" i="6"/>
  <c r="L74" i="6" s="1"/>
  <c r="AX172" i="29"/>
  <c r="BA172" i="29"/>
  <c r="AK172" i="29"/>
  <c r="AI172" i="29"/>
  <c r="AM172" i="29"/>
  <c r="AN172" i="29"/>
  <c r="AT172" i="29"/>
  <c r="AW172" i="29"/>
  <c r="AZ172" i="29"/>
  <c r="AU172" i="29"/>
  <c r="AP172" i="29"/>
  <c r="AS172" i="29"/>
  <c r="AR172" i="29"/>
  <c r="AY172" i="29"/>
  <c r="AV172" i="29"/>
  <c r="BB172" i="29"/>
  <c r="AL172" i="29"/>
  <c r="AJ172" i="29"/>
  <c r="BD172" i="29"/>
  <c r="AQ172" i="29"/>
  <c r="AO172" i="29"/>
  <c r="BC172" i="29"/>
  <c r="AT170" i="29"/>
  <c r="AW170" i="29"/>
  <c r="AY170" i="29"/>
  <c r="AU170" i="29"/>
  <c r="AZ170" i="29"/>
  <c r="BB170" i="29"/>
  <c r="AL170" i="29"/>
  <c r="AO170" i="29"/>
  <c r="AI170" i="29"/>
  <c r="AV170" i="29"/>
  <c r="AJ170" i="29"/>
  <c r="AK170" i="29"/>
  <c r="BC170" i="29"/>
  <c r="BD170" i="29"/>
  <c r="AM170" i="29"/>
  <c r="AX170" i="29"/>
  <c r="BA170" i="29"/>
  <c r="AN170" i="29"/>
  <c r="AQ170" i="29"/>
  <c r="AS170" i="29"/>
  <c r="AP170" i="29"/>
  <c r="AR170" i="29"/>
  <c r="BB168" i="29"/>
  <c r="AL168" i="29"/>
  <c r="AO168" i="29"/>
  <c r="AI168" i="29"/>
  <c r="AV168" i="29"/>
  <c r="AJ168" i="29"/>
  <c r="AX168" i="29"/>
  <c r="BA168" i="29"/>
  <c r="AK168" i="29"/>
  <c r="AN168" i="29"/>
  <c r="BC168" i="29"/>
  <c r="AT168" i="29"/>
  <c r="AW168" i="29"/>
  <c r="AY168" i="29"/>
  <c r="AU168" i="29"/>
  <c r="AZ168" i="29"/>
  <c r="BD168" i="29"/>
  <c r="AS168" i="29"/>
  <c r="AM168" i="29"/>
  <c r="AR168" i="29"/>
  <c r="AQ168" i="29"/>
  <c r="AP168" i="29"/>
  <c r="AX166" i="29"/>
  <c r="BA166" i="29"/>
  <c r="AK166" i="29"/>
  <c r="AN166" i="29"/>
  <c r="BC166" i="29"/>
  <c r="AP166" i="29"/>
  <c r="AS166" i="29"/>
  <c r="AQ166" i="29"/>
  <c r="BD166" i="29"/>
  <c r="AM166" i="29"/>
  <c r="AR166" i="29"/>
  <c r="AL166" i="29"/>
  <c r="AO166" i="29"/>
  <c r="AI166" i="29"/>
  <c r="AJ166" i="29"/>
  <c r="AU166" i="29"/>
  <c r="BB166" i="29"/>
  <c r="AV166" i="29"/>
  <c r="AY166" i="29"/>
  <c r="AT166" i="29"/>
  <c r="AZ166" i="29"/>
  <c r="AW166" i="29"/>
  <c r="AP164" i="29"/>
  <c r="AS164" i="29"/>
  <c r="AQ164" i="29"/>
  <c r="BD164" i="29"/>
  <c r="AM164" i="29"/>
  <c r="AR164" i="29"/>
  <c r="BB164" i="29"/>
  <c r="AL164" i="29"/>
  <c r="AO164" i="29"/>
  <c r="AI164" i="29"/>
  <c r="AV164" i="29"/>
  <c r="AJ164" i="29"/>
  <c r="AX164" i="29"/>
  <c r="BA164" i="29"/>
  <c r="AK164" i="29"/>
  <c r="AN164" i="29"/>
  <c r="BC164" i="29"/>
  <c r="AU164" i="29"/>
  <c r="AW164" i="29"/>
  <c r="AT164" i="29"/>
  <c r="AY164" i="29"/>
  <c r="AZ164" i="29"/>
  <c r="BB162" i="29"/>
  <c r="AL162" i="29"/>
  <c r="AO162" i="29"/>
  <c r="AI162" i="29"/>
  <c r="AV162" i="29"/>
  <c r="AJ162" i="29"/>
  <c r="AT162" i="29"/>
  <c r="AW162" i="29"/>
  <c r="AY162" i="29"/>
  <c r="AU162" i="29"/>
  <c r="AZ162" i="29"/>
  <c r="AP162" i="29"/>
  <c r="AS162" i="29"/>
  <c r="AQ162" i="29"/>
  <c r="AR162" i="29"/>
  <c r="AK162" i="29"/>
  <c r="BC162" i="29"/>
  <c r="BD162" i="29"/>
  <c r="AM162" i="29"/>
  <c r="AX162" i="29"/>
  <c r="AN162" i="29"/>
  <c r="BA162" i="29"/>
  <c r="AT160" i="29"/>
  <c r="AW160" i="29"/>
  <c r="AY160" i="29"/>
  <c r="AU160" i="29"/>
  <c r="AZ160" i="29"/>
  <c r="AP160" i="29"/>
  <c r="AS160" i="29"/>
  <c r="AQ160" i="29"/>
  <c r="BD160" i="29"/>
  <c r="AM160" i="29"/>
  <c r="AR160" i="29"/>
  <c r="BB160" i="29"/>
  <c r="AL160" i="29"/>
  <c r="AO160" i="29"/>
  <c r="AI160" i="29"/>
  <c r="AV160" i="29"/>
  <c r="AJ160" i="29"/>
  <c r="AX160" i="29"/>
  <c r="BA160" i="29"/>
  <c r="AN160" i="29"/>
  <c r="AK160" i="29"/>
  <c r="BC160" i="29"/>
  <c r="AP158" i="29"/>
  <c r="AS158" i="29"/>
  <c r="AQ158" i="29"/>
  <c r="BD158" i="29"/>
  <c r="AM158" i="29"/>
  <c r="AR158" i="29"/>
  <c r="AX158" i="29"/>
  <c r="BA158" i="29"/>
  <c r="AK158" i="29"/>
  <c r="AN158" i="29"/>
  <c r="BC158" i="29"/>
  <c r="AT158" i="29"/>
  <c r="AW158" i="29"/>
  <c r="AY158" i="29"/>
  <c r="AZ158" i="29"/>
  <c r="AL158" i="29"/>
  <c r="AO158" i="29"/>
  <c r="AI158" i="29"/>
  <c r="AJ158" i="29"/>
  <c r="AU158" i="29"/>
  <c r="BB158" i="29"/>
  <c r="AV158" i="29"/>
  <c r="AO156" i="29"/>
  <c r="AV156" i="29"/>
  <c r="AQ156" i="29"/>
  <c r="AX156" i="29"/>
  <c r="BA156" i="29"/>
  <c r="AZ156" i="29"/>
  <c r="AY156" i="29"/>
  <c r="AT156" i="29"/>
  <c r="AW156" i="29"/>
  <c r="AR156" i="29"/>
  <c r="AU156" i="29"/>
  <c r="AP156" i="29"/>
  <c r="AS156" i="29"/>
  <c r="AN156" i="29"/>
  <c r="AM156" i="29"/>
  <c r="AL156" i="29"/>
  <c r="AJ156" i="29"/>
  <c r="BC156" i="29"/>
  <c r="AK156" i="29"/>
  <c r="AI156" i="29"/>
  <c r="BD156" i="29"/>
  <c r="BB156" i="29"/>
  <c r="AS154" i="29"/>
  <c r="AZ154" i="29"/>
  <c r="AJ154" i="29"/>
  <c r="AU154" i="29"/>
  <c r="BB154" i="29"/>
  <c r="AL154" i="29"/>
  <c r="BA154" i="29"/>
  <c r="AK154" i="29"/>
  <c r="AR154" i="29"/>
  <c r="BC154" i="29"/>
  <c r="AM154" i="29"/>
  <c r="AT154" i="29"/>
  <c r="AW154" i="29"/>
  <c r="BD154" i="29"/>
  <c r="AI154" i="29"/>
  <c r="AP154" i="29"/>
  <c r="AO154" i="29"/>
  <c r="AV154" i="29"/>
  <c r="AN154" i="29"/>
  <c r="AY154" i="29"/>
  <c r="AQ154" i="29"/>
  <c r="AX154" i="29"/>
  <c r="M105" i="6"/>
  <c r="AS152" i="29"/>
  <c r="BC152" i="29"/>
  <c r="AM152" i="29"/>
  <c r="AT152" i="29"/>
  <c r="AJ152" i="29"/>
  <c r="AO152" i="29"/>
  <c r="AY152" i="29"/>
  <c r="AI152" i="29"/>
  <c r="AP152" i="29"/>
  <c r="AR152" i="29"/>
  <c r="BA152" i="29"/>
  <c r="AK152" i="29"/>
  <c r="AU152" i="29"/>
  <c r="BB152" i="29"/>
  <c r="AQ152" i="29"/>
  <c r="AW152" i="29"/>
  <c r="AX152" i="29"/>
  <c r="AZ152" i="29"/>
  <c r="AN152" i="29"/>
  <c r="BD152" i="29"/>
  <c r="AL152" i="29"/>
  <c r="AV152" i="29"/>
  <c r="AW150" i="29"/>
  <c r="BC150" i="29"/>
  <c r="AM150" i="29"/>
  <c r="AT150" i="29"/>
  <c r="AZ150" i="29"/>
  <c r="AO150" i="29"/>
  <c r="P150" i="29"/>
  <c r="AU150" i="29"/>
  <c r="BB150" i="29"/>
  <c r="AL150" i="29"/>
  <c r="AN150" i="29"/>
  <c r="BA150" i="29"/>
  <c r="AS150" i="29"/>
  <c r="AY150" i="29"/>
  <c r="R150" i="29"/>
  <c r="AJ150" i="29"/>
  <c r="AK150" i="29"/>
  <c r="AQ150" i="29"/>
  <c r="AX150" i="29"/>
  <c r="AR150" i="29"/>
  <c r="AV150" i="29"/>
  <c r="AP150" i="29"/>
  <c r="AI150" i="29"/>
  <c r="BD150" i="29"/>
  <c r="AY148" i="29"/>
  <c r="AI148" i="29"/>
  <c r="R148" i="29"/>
  <c r="AP148" i="29"/>
  <c r="AN148" i="29"/>
  <c r="BA148" i="29"/>
  <c r="AU148" i="29"/>
  <c r="BB148" i="29"/>
  <c r="AL148" i="29"/>
  <c r="AS148" i="29"/>
  <c r="AZ148" i="29"/>
  <c r="P148" i="29"/>
  <c r="AQ148" i="29"/>
  <c r="AX148" i="29"/>
  <c r="BD148" i="29"/>
  <c r="AK148" i="29"/>
  <c r="AR148" i="29"/>
  <c r="AW148" i="29"/>
  <c r="AT148" i="29"/>
  <c r="BC148" i="29"/>
  <c r="AJ148" i="29"/>
  <c r="AM148" i="29"/>
  <c r="AV148" i="29"/>
  <c r="AO148" i="29"/>
  <c r="BC146" i="29"/>
  <c r="AM146" i="29"/>
  <c r="AT146" i="29"/>
  <c r="AV146" i="29"/>
  <c r="AJ146" i="29"/>
  <c r="AO146" i="29"/>
  <c r="AU146" i="29"/>
  <c r="BB146" i="29"/>
  <c r="AL146" i="29"/>
  <c r="AS146" i="29"/>
  <c r="AZ146" i="29"/>
  <c r="P146" i="29"/>
  <c r="AR146" i="29"/>
  <c r="AY146" i="29"/>
  <c r="R146" i="29"/>
  <c r="BA146" i="29"/>
  <c r="AQ146" i="29"/>
  <c r="AX146" i="29"/>
  <c r="BD146" i="29"/>
  <c r="AK146" i="29"/>
  <c r="AW146" i="29"/>
  <c r="AN146" i="29"/>
  <c r="AI146" i="29"/>
  <c r="AP146" i="29"/>
  <c r="AU144" i="29"/>
  <c r="BB144" i="29"/>
  <c r="AL144" i="29"/>
  <c r="AS144" i="29"/>
  <c r="AZ144" i="29"/>
  <c r="P144" i="29"/>
  <c r="AY144" i="29"/>
  <c r="AT144" i="29"/>
  <c r="AQ144" i="29"/>
  <c r="AP144" i="29"/>
  <c r="BD144" i="29"/>
  <c r="AW144" i="29"/>
  <c r="AM144" i="29"/>
  <c r="R144" i="29"/>
  <c r="AV144" i="29"/>
  <c r="BA144" i="29"/>
  <c r="AR144" i="29"/>
  <c r="AO144" i="29"/>
  <c r="AX144" i="29"/>
  <c r="AJ144" i="29"/>
  <c r="BC144" i="29"/>
  <c r="AN144" i="29"/>
  <c r="AI144" i="29"/>
  <c r="AK144" i="29"/>
  <c r="AR142" i="29"/>
  <c r="BC142" i="29"/>
  <c r="AM142" i="29"/>
  <c r="AT142" i="29"/>
  <c r="AW142" i="29"/>
  <c r="AZ142" i="29"/>
  <c r="AJ142" i="29"/>
  <c r="AU142" i="29"/>
  <c r="BB142" i="29"/>
  <c r="AL142" i="29"/>
  <c r="AO142" i="29"/>
  <c r="AQ142" i="29"/>
  <c r="AX142" i="29"/>
  <c r="BA142" i="29"/>
  <c r="BD142" i="29"/>
  <c r="AI142" i="29"/>
  <c r="AP142" i="29"/>
  <c r="AS142" i="29"/>
  <c r="AV142" i="29"/>
  <c r="AK142" i="29"/>
  <c r="AN142" i="29"/>
  <c r="AY142" i="29"/>
  <c r="AZ140" i="29"/>
  <c r="AJ140" i="29"/>
  <c r="AU140" i="29"/>
  <c r="BB140" i="29"/>
  <c r="AL140" i="29"/>
  <c r="AO140" i="29"/>
  <c r="AV140" i="29"/>
  <c r="AQ140" i="29"/>
  <c r="AX140" i="29"/>
  <c r="BA140" i="29"/>
  <c r="AK140" i="29"/>
  <c r="AR140" i="29"/>
  <c r="BC140" i="29"/>
  <c r="AM140" i="29"/>
  <c r="AT140" i="29"/>
  <c r="AW140" i="29"/>
  <c r="AN140" i="29"/>
  <c r="AP140" i="29"/>
  <c r="AY140" i="29"/>
  <c r="BD140" i="29"/>
  <c r="AI140" i="29"/>
  <c r="AS140" i="29"/>
  <c r="AV138" i="29"/>
  <c r="AQ138" i="29"/>
  <c r="AX138" i="29"/>
  <c r="BA138" i="29"/>
  <c r="AK138" i="29"/>
  <c r="BD138" i="29"/>
  <c r="AN138" i="29"/>
  <c r="AY138" i="29"/>
  <c r="AI138" i="29"/>
  <c r="AP138" i="29"/>
  <c r="AS138" i="29"/>
  <c r="AJ138" i="29"/>
  <c r="AU138" i="29"/>
  <c r="BB138" i="29"/>
  <c r="AM138" i="29"/>
  <c r="AT138" i="29"/>
  <c r="AW138" i="29"/>
  <c r="AZ138" i="29"/>
  <c r="AL138" i="29"/>
  <c r="AO138" i="29"/>
  <c r="BC138" i="29"/>
  <c r="AR138" i="29"/>
  <c r="BD136" i="29"/>
  <c r="AN136" i="29"/>
  <c r="AY136" i="29"/>
  <c r="AI136" i="29"/>
  <c r="AP136" i="29"/>
  <c r="AS136" i="29"/>
  <c r="AZ136" i="29"/>
  <c r="AJ136" i="29"/>
  <c r="AU136" i="29"/>
  <c r="BB136" i="29"/>
  <c r="AL136" i="29"/>
  <c r="AO136" i="29"/>
  <c r="AV136" i="29"/>
  <c r="AQ136" i="29"/>
  <c r="AX136" i="29"/>
  <c r="BA136" i="29"/>
  <c r="AK136" i="29"/>
  <c r="AR136" i="29"/>
  <c r="AM136" i="29"/>
  <c r="AW136" i="29"/>
  <c r="AT136" i="29"/>
  <c r="BC136" i="29"/>
  <c r="AZ134" i="29"/>
  <c r="AJ134" i="29"/>
  <c r="AU134" i="29"/>
  <c r="BB134" i="29"/>
  <c r="AL134" i="29"/>
  <c r="AO134" i="29"/>
  <c r="AR134" i="29"/>
  <c r="BC134" i="29"/>
  <c r="AM134" i="29"/>
  <c r="AT134" i="29"/>
  <c r="AW134" i="29"/>
  <c r="AN134" i="29"/>
  <c r="AY134" i="29"/>
  <c r="AQ134" i="29"/>
  <c r="AX134" i="29"/>
  <c r="BA134" i="29"/>
  <c r="BD134" i="29"/>
  <c r="AI134" i="29"/>
  <c r="AP134" i="29"/>
  <c r="AS134" i="29"/>
  <c r="AV134" i="29"/>
  <c r="AK134" i="29"/>
  <c r="BD132" i="29"/>
  <c r="AN132" i="29"/>
  <c r="AY132" i="29"/>
  <c r="AI132" i="29"/>
  <c r="AP132" i="29"/>
  <c r="AS132" i="29"/>
  <c r="AZ132" i="29"/>
  <c r="AJ132" i="29"/>
  <c r="AU132" i="29"/>
  <c r="BB132" i="29"/>
  <c r="AL132" i="29"/>
  <c r="AO132" i="29"/>
  <c r="AV132" i="29"/>
  <c r="AQ132" i="29"/>
  <c r="AX132" i="29"/>
  <c r="BA132" i="29"/>
  <c r="AK132" i="29"/>
  <c r="BC132" i="29"/>
  <c r="AM132" i="29"/>
  <c r="AW132" i="29"/>
  <c r="AR132" i="29"/>
  <c r="AT132" i="29"/>
  <c r="BD130" i="29"/>
  <c r="AN130" i="29"/>
  <c r="AX130" i="29"/>
  <c r="BA130" i="29"/>
  <c r="AK130" i="29"/>
  <c r="AY130" i="29"/>
  <c r="AV130" i="29"/>
  <c r="AP130" i="29"/>
  <c r="AS130" i="29"/>
  <c r="AM130" i="29"/>
  <c r="AR130" i="29"/>
  <c r="BB130" i="29"/>
  <c r="AU130" i="29"/>
  <c r="AJ130" i="29"/>
  <c r="AT130" i="29"/>
  <c r="AW130" i="29"/>
  <c r="BC130" i="29"/>
  <c r="AQ130" i="29"/>
  <c r="AL130" i="29"/>
  <c r="AO130" i="29"/>
  <c r="AZ130" i="29"/>
  <c r="AI130" i="29"/>
  <c r="M101" i="6"/>
  <c r="AZ128" i="29"/>
  <c r="AJ128" i="29"/>
  <c r="AT128" i="29"/>
  <c r="AW128" i="29"/>
  <c r="AU128" i="29"/>
  <c r="BC128" i="29"/>
  <c r="AI128" i="29"/>
  <c r="AR128" i="29"/>
  <c r="AP128" i="29"/>
  <c r="AK128" i="29"/>
  <c r="AN128" i="29"/>
  <c r="AL128" i="29"/>
  <c r="BA128" i="29"/>
  <c r="AQ128" i="29"/>
  <c r="AY128" i="29"/>
  <c r="BD128" i="29"/>
  <c r="BB128" i="29"/>
  <c r="AS128" i="29"/>
  <c r="AX128" i="29"/>
  <c r="AM128" i="29"/>
  <c r="AV128" i="29"/>
  <c r="AO128" i="29"/>
  <c r="AR126" i="29"/>
  <c r="BB126" i="29"/>
  <c r="AL126" i="29"/>
  <c r="AO126" i="29"/>
  <c r="AU126" i="29"/>
  <c r="AZ126" i="29"/>
  <c r="AJ126" i="29"/>
  <c r="AT126" i="29"/>
  <c r="AW126" i="29"/>
  <c r="BC126" i="29"/>
  <c r="AI126" i="29"/>
  <c r="AQ126" i="29"/>
  <c r="AV126" i="29"/>
  <c r="AN126" i="29"/>
  <c r="AX126" i="29"/>
  <c r="BA126" i="29"/>
  <c r="AP126" i="29"/>
  <c r="AS126" i="29"/>
  <c r="AM126" i="29"/>
  <c r="BD126" i="29"/>
  <c r="AY126" i="29"/>
  <c r="AK126" i="29"/>
  <c r="AP124" i="29"/>
  <c r="AS124" i="29"/>
  <c r="AR124" i="29"/>
  <c r="AY124" i="29"/>
  <c r="AU124" i="29"/>
  <c r="BB124" i="29"/>
  <c r="AL124" i="29"/>
  <c r="AO124" i="29"/>
  <c r="AJ124" i="29"/>
  <c r="AQ124" i="29"/>
  <c r="BD124" i="29"/>
  <c r="AM124" i="29"/>
  <c r="AX124" i="29"/>
  <c r="BA124" i="29"/>
  <c r="AK124" i="29"/>
  <c r="AI124" i="29"/>
  <c r="AV124" i="29"/>
  <c r="AW124" i="29"/>
  <c r="AN124" i="29"/>
  <c r="AT124" i="29"/>
  <c r="AZ124" i="29"/>
  <c r="BC124" i="29"/>
  <c r="AT122" i="29"/>
  <c r="AW122" i="29"/>
  <c r="AZ122" i="29"/>
  <c r="AN122" i="29"/>
  <c r="BC122" i="29"/>
  <c r="BB122" i="29"/>
  <c r="AL122" i="29"/>
  <c r="AO122" i="29"/>
  <c r="AJ122" i="29"/>
  <c r="AQ122" i="29"/>
  <c r="BD122" i="29"/>
  <c r="AM122" i="29"/>
  <c r="AX122" i="29"/>
  <c r="BA122" i="29"/>
  <c r="AI122" i="29"/>
  <c r="AP122" i="29"/>
  <c r="AS122" i="29"/>
  <c r="AR122" i="29"/>
  <c r="AU122" i="29"/>
  <c r="AK122" i="29"/>
  <c r="AV122" i="29"/>
  <c r="AY122" i="29"/>
  <c r="AP120" i="29"/>
  <c r="AS120" i="29"/>
  <c r="AR120" i="29"/>
  <c r="AY120" i="29"/>
  <c r="AU120" i="29"/>
  <c r="BB120" i="29"/>
  <c r="AL120" i="29"/>
  <c r="AO120" i="29"/>
  <c r="AJ120" i="29"/>
  <c r="AQ120" i="29"/>
  <c r="BD120" i="29"/>
  <c r="AM120" i="29"/>
  <c r="AX120" i="29"/>
  <c r="BA120" i="29"/>
  <c r="AK120" i="29"/>
  <c r="AI120" i="29"/>
  <c r="AV120" i="29"/>
  <c r="AT120" i="29"/>
  <c r="AZ120" i="29"/>
  <c r="BC120" i="29"/>
  <c r="AW120" i="29"/>
  <c r="AN120" i="29"/>
  <c r="AX118" i="29"/>
  <c r="BA118" i="29"/>
  <c r="AK118" i="29"/>
  <c r="BD118" i="29"/>
  <c r="AU118" i="29"/>
  <c r="AP118" i="29"/>
  <c r="AS118" i="29"/>
  <c r="AR118" i="29"/>
  <c r="AQ118" i="29"/>
  <c r="AN118" i="29"/>
  <c r="BB118" i="29"/>
  <c r="AO118" i="29"/>
  <c r="BC118" i="29"/>
  <c r="AT118" i="29"/>
  <c r="AZ118" i="29"/>
  <c r="AY118" i="29"/>
  <c r="AV118" i="29"/>
  <c r="AM118" i="29"/>
  <c r="AL118" i="29"/>
  <c r="AJ118" i="29"/>
  <c r="AI118" i="29"/>
  <c r="AW118" i="29"/>
  <c r="P100" i="6"/>
  <c r="BD116" i="29"/>
  <c r="AN116" i="29"/>
  <c r="AY116" i="29"/>
  <c r="AI116" i="29"/>
  <c r="AP116" i="29"/>
  <c r="AS116" i="29"/>
  <c r="AJ116" i="29"/>
  <c r="AM116" i="29"/>
  <c r="BB116" i="29"/>
  <c r="AW116" i="29"/>
  <c r="AZ116" i="29"/>
  <c r="BC116" i="29"/>
  <c r="AX116" i="29"/>
  <c r="AO116" i="29"/>
  <c r="AV116" i="29"/>
  <c r="AU116" i="29"/>
  <c r="AT116" i="29"/>
  <c r="AK116" i="29"/>
  <c r="AR116" i="29"/>
  <c r="AL116" i="29"/>
  <c r="BA116" i="29"/>
  <c r="AQ116" i="29"/>
  <c r="BD114" i="29"/>
  <c r="AN114" i="29"/>
  <c r="AY114" i="29"/>
  <c r="AI114" i="29"/>
  <c r="AP114" i="29"/>
  <c r="AS114" i="29"/>
  <c r="AV114" i="29"/>
  <c r="AQ114" i="29"/>
  <c r="AX114" i="29"/>
  <c r="BA114" i="29"/>
  <c r="AK114" i="29"/>
  <c r="AM114" i="29"/>
  <c r="AT114" i="29"/>
  <c r="AW114" i="29"/>
  <c r="AZ114" i="29"/>
  <c r="AL114" i="29"/>
  <c r="AO114" i="29"/>
  <c r="AR114" i="29"/>
  <c r="BC114" i="29"/>
  <c r="BB114" i="29"/>
  <c r="AU114" i="29"/>
  <c r="AJ114" i="29"/>
  <c r="AV112" i="29"/>
  <c r="AQ112" i="29"/>
  <c r="AX112" i="29"/>
  <c r="BA112" i="29"/>
  <c r="AK112" i="29"/>
  <c r="AR112" i="29"/>
  <c r="BC112" i="29"/>
  <c r="AM112" i="29"/>
  <c r="AT112" i="29"/>
  <c r="AW112" i="29"/>
  <c r="BD112" i="29"/>
  <c r="AN112" i="29"/>
  <c r="AY112" i="29"/>
  <c r="AI112" i="29"/>
  <c r="AP112" i="29"/>
  <c r="AS112" i="29"/>
  <c r="AL112" i="29"/>
  <c r="AU112" i="29"/>
  <c r="AZ112" i="29"/>
  <c r="AO112" i="29"/>
  <c r="AJ112" i="29"/>
  <c r="BB112" i="29"/>
  <c r="AR110" i="29"/>
  <c r="BC110" i="29"/>
  <c r="AM110" i="29"/>
  <c r="AT110" i="29"/>
  <c r="AW110" i="29"/>
  <c r="AZ110" i="29"/>
  <c r="AJ110" i="29"/>
  <c r="AU110" i="29"/>
  <c r="BB110" i="29"/>
  <c r="AL110" i="29"/>
  <c r="AO110" i="29"/>
  <c r="AQ110" i="29"/>
  <c r="AX110" i="29"/>
  <c r="BA110" i="29"/>
  <c r="BD110" i="29"/>
  <c r="AI110" i="29"/>
  <c r="AP110" i="29"/>
  <c r="AS110" i="29"/>
  <c r="AV110" i="29"/>
  <c r="AK110" i="29"/>
  <c r="AN110" i="29"/>
  <c r="AY110" i="29"/>
  <c r="AR108" i="29"/>
  <c r="BC108" i="29"/>
  <c r="AM108" i="29"/>
  <c r="AT108" i="29"/>
  <c r="AW108" i="29"/>
  <c r="AZ108" i="29"/>
  <c r="AY108" i="29"/>
  <c r="AX108" i="29"/>
  <c r="AO108" i="29"/>
  <c r="AV108" i="29"/>
  <c r="AU108" i="29"/>
  <c r="AP108" i="29"/>
  <c r="AK108" i="29"/>
  <c r="AN108" i="29"/>
  <c r="AQ108" i="29"/>
  <c r="AL108" i="29"/>
  <c r="BA108" i="29"/>
  <c r="BD108" i="29"/>
  <c r="BB108" i="29"/>
  <c r="AJ108" i="29"/>
  <c r="AS108" i="29"/>
  <c r="AI108" i="29"/>
  <c r="BD106" i="29"/>
  <c r="AN106" i="29"/>
  <c r="AX106" i="29"/>
  <c r="BA106" i="29"/>
  <c r="AK106" i="29"/>
  <c r="AI106" i="29"/>
  <c r="AV106" i="29"/>
  <c r="AP106" i="29"/>
  <c r="AS106" i="29"/>
  <c r="AR106" i="29"/>
  <c r="BB106" i="29"/>
  <c r="AM106" i="29"/>
  <c r="AJ106" i="29"/>
  <c r="AT106" i="29"/>
  <c r="AW106" i="29"/>
  <c r="BC106" i="29"/>
  <c r="AL106" i="29"/>
  <c r="AO106" i="29"/>
  <c r="AQ106" i="29"/>
  <c r="AU106" i="29"/>
  <c r="AZ106" i="29"/>
  <c r="AY106" i="29"/>
  <c r="P99" i="6"/>
  <c r="AU104" i="29"/>
  <c r="AQ104" i="29"/>
  <c r="BD104" i="29"/>
  <c r="AN104" i="29"/>
  <c r="AX104" i="29"/>
  <c r="BA104" i="29"/>
  <c r="AK104" i="29"/>
  <c r="AY104" i="29"/>
  <c r="AM104" i="29"/>
  <c r="AZ104" i="29"/>
  <c r="AJ104" i="29"/>
  <c r="AT104" i="29"/>
  <c r="AW104" i="29"/>
  <c r="AV104" i="29"/>
  <c r="AP104" i="29"/>
  <c r="AS104" i="29"/>
  <c r="AO104" i="29"/>
  <c r="AR104" i="29"/>
  <c r="BB104" i="29"/>
  <c r="AI104" i="29"/>
  <c r="BC104" i="29"/>
  <c r="AL104" i="29"/>
  <c r="AZ102" i="29"/>
  <c r="AJ102" i="29"/>
  <c r="AT102" i="29"/>
  <c r="AW102" i="29"/>
  <c r="AY102" i="29"/>
  <c r="AR102" i="29"/>
  <c r="BB102" i="29"/>
  <c r="AL102" i="29"/>
  <c r="AO102" i="29"/>
  <c r="BD102" i="29"/>
  <c r="AK102" i="29"/>
  <c r="BC102" i="29"/>
  <c r="AV102" i="29"/>
  <c r="AN102" i="29"/>
  <c r="AX102" i="29"/>
  <c r="BA102" i="29"/>
  <c r="AI102" i="29"/>
  <c r="AS102" i="29"/>
  <c r="AP102" i="29"/>
  <c r="AU102" i="29"/>
  <c r="AM102" i="29"/>
  <c r="AQ102" i="29"/>
  <c r="BB100" i="29"/>
  <c r="AL100" i="29"/>
  <c r="AO100" i="29"/>
  <c r="AX100" i="29"/>
  <c r="BA100" i="29"/>
  <c r="AK100" i="29"/>
  <c r="AT100" i="29"/>
  <c r="AW100" i="29"/>
  <c r="AS100" i="29"/>
  <c r="AP100" i="29"/>
  <c r="AQ100" i="29"/>
  <c r="AY100" i="29"/>
  <c r="AJ100" i="29"/>
  <c r="AR100" i="29"/>
  <c r="AM100" i="29"/>
  <c r="AZ100" i="29"/>
  <c r="AI100" i="29"/>
  <c r="AU100" i="29"/>
  <c r="AN100" i="29"/>
  <c r="BC100" i="29"/>
  <c r="AV100" i="29"/>
  <c r="BD100" i="29"/>
  <c r="BC96" i="29"/>
  <c r="AQ96" i="29"/>
  <c r="AZ96" i="29"/>
  <c r="AT96" i="29"/>
  <c r="AW96" i="29"/>
  <c r="AB96" i="29"/>
  <c r="AV96" i="29"/>
  <c r="AI96" i="29"/>
  <c r="AY96" i="29"/>
  <c r="AJ96" i="29"/>
  <c r="AL96" i="29"/>
  <c r="BA96" i="29"/>
  <c r="AN96" i="29"/>
  <c r="AR96" i="29"/>
  <c r="BB96" i="29"/>
  <c r="AS96" i="29"/>
  <c r="BD96" i="29"/>
  <c r="AM96" i="29"/>
  <c r="AX96" i="29"/>
  <c r="AO96" i="29"/>
  <c r="AP96" i="29"/>
  <c r="AU96" i="29"/>
  <c r="AK96" i="29"/>
  <c r="U90" i="6"/>
  <c r="U95" i="6" s="1"/>
  <c r="AE90" i="6"/>
  <c r="AE95" i="6" s="1"/>
  <c r="W90" i="6"/>
  <c r="W95" i="6" s="1"/>
  <c r="AC90" i="6"/>
  <c r="AC95" i="6" s="1"/>
  <c r="S90" i="6"/>
  <c r="S95" i="6" s="1"/>
  <c r="R90" i="6"/>
  <c r="R95" i="6" s="1"/>
  <c r="AI90" i="6"/>
  <c r="AI95" i="6" s="1"/>
  <c r="V90" i="6"/>
  <c r="AF90" i="6"/>
  <c r="AF95" i="6" s="1"/>
  <c r="Q90" i="6"/>
  <c r="Q95" i="6" s="1"/>
  <c r="Y90" i="6"/>
  <c r="Y95" i="6" s="1"/>
  <c r="AH90" i="6"/>
  <c r="AH95" i="6" s="1"/>
  <c r="Z90" i="6"/>
  <c r="AA90" i="6"/>
  <c r="X90" i="6"/>
  <c r="X95" i="6" s="1"/>
  <c r="P90" i="6"/>
  <c r="P95" i="6" s="1"/>
  <c r="O90" i="6"/>
  <c r="O95" i="6" s="1"/>
  <c r="BB98" i="29"/>
  <c r="AL98" i="29"/>
  <c r="AO98" i="29"/>
  <c r="AQ98" i="29"/>
  <c r="AT98" i="29"/>
  <c r="AW98" i="29"/>
  <c r="AB98" i="29"/>
  <c r="AP98" i="29"/>
  <c r="AS98" i="29"/>
  <c r="AU98" i="29"/>
  <c r="BD98" i="29"/>
  <c r="AK98" i="29"/>
  <c r="AJ98" i="29"/>
  <c r="BC98" i="29"/>
  <c r="AI98" i="29"/>
  <c r="AR98" i="29"/>
  <c r="BA98" i="29"/>
  <c r="AN98" i="29"/>
  <c r="AX98" i="29"/>
  <c r="AY98" i="29"/>
  <c r="AV98" i="29"/>
  <c r="AZ98" i="29"/>
  <c r="AM98" i="29"/>
  <c r="AL12" i="9"/>
  <c r="N89" i="8"/>
  <c r="N89" i="9"/>
  <c r="N89" i="7"/>
  <c r="L56" i="10"/>
  <c r="Y24" i="11"/>
  <c r="Y18" i="11"/>
  <c r="Y16" i="11"/>
  <c r="Y17" i="11"/>
  <c r="Y15" i="11"/>
  <c r="Y19" i="11"/>
  <c r="Y14" i="11"/>
  <c r="Y13" i="11"/>
  <c r="Y6" i="11"/>
  <c r="Y5" i="11"/>
  <c r="Y11" i="11"/>
  <c r="Y10" i="11"/>
  <c r="Y9" i="11"/>
  <c r="Y8" i="11"/>
  <c r="Y12" i="11"/>
  <c r="Y7" i="11"/>
  <c r="Y34" i="11"/>
  <c r="Y50" i="11"/>
  <c r="Y31" i="11"/>
  <c r="Y47" i="11"/>
  <c r="Y32" i="11"/>
  <c r="Y48" i="11"/>
  <c r="Y29" i="11"/>
  <c r="Y45" i="11"/>
  <c r="Y21" i="11"/>
  <c r="Y38" i="11"/>
  <c r="Y35" i="11"/>
  <c r="Y36" i="11"/>
  <c r="Y33" i="11"/>
  <c r="Y49" i="11"/>
  <c r="Y26" i="11"/>
  <c r="Y42" i="11"/>
  <c r="Y22" i="11"/>
  <c r="Y39" i="11"/>
  <c r="Y23" i="11"/>
  <c r="Y40" i="11"/>
  <c r="Y20" i="11"/>
  <c r="Y37" i="11"/>
  <c r="Y30" i="11"/>
  <c r="Y46" i="11"/>
  <c r="Y27" i="11"/>
  <c r="Y43" i="11"/>
  <c r="Y28" i="11"/>
  <c r="Y44" i="11"/>
  <c r="Y25" i="11"/>
  <c r="Y41" i="11"/>
  <c r="D45" i="5"/>
  <c r="P53" i="13"/>
  <c r="P53" i="12"/>
  <c r="P53" i="11"/>
  <c r="P53" i="10"/>
  <c r="D10" i="5"/>
  <c r="T91" i="6" s="1"/>
  <c r="P72" i="7" l="1"/>
  <c r="P82" i="7"/>
  <c r="P60" i="7"/>
  <c r="P16" i="7"/>
  <c r="P53" i="7"/>
  <c r="P41" i="7"/>
  <c r="P33" i="7"/>
  <c r="P25" i="7"/>
  <c r="P17" i="7"/>
  <c r="P56" i="7"/>
  <c r="P10" i="7"/>
  <c r="P49" i="7"/>
  <c r="P40" i="7"/>
  <c r="P32" i="7"/>
  <c r="P24" i="7"/>
  <c r="P8" i="7"/>
  <c r="P75" i="7"/>
  <c r="P85" i="7"/>
  <c r="P55" i="7"/>
  <c r="P11" i="7"/>
  <c r="P50" i="7"/>
  <c r="P39" i="7"/>
  <c r="P31" i="7"/>
  <c r="P23" i="7"/>
  <c r="P9" i="7"/>
  <c r="P51" i="7"/>
  <c r="P62" i="7"/>
  <c r="P47" i="7"/>
  <c r="P38" i="7"/>
  <c r="P30" i="7"/>
  <c r="P22" i="7"/>
  <c r="P5" i="7"/>
  <c r="P71" i="7"/>
  <c r="P69" i="7"/>
  <c r="P80" i="7"/>
  <c r="P83" i="7"/>
  <c r="P86" i="7"/>
  <c r="P81" i="7"/>
  <c r="P52" i="7"/>
  <c r="P61" i="7"/>
  <c r="P48" i="7"/>
  <c r="P37" i="7"/>
  <c r="P29" i="7"/>
  <c r="P21" i="7"/>
  <c r="P64" i="7"/>
  <c r="P46" i="7"/>
  <c r="P57" i="7"/>
  <c r="P44" i="7"/>
  <c r="P36" i="7"/>
  <c r="P28" i="7"/>
  <c r="P20" i="7"/>
  <c r="P6" i="7"/>
  <c r="P78" i="7"/>
  <c r="P74" i="7"/>
  <c r="P76" i="7"/>
  <c r="P67" i="7"/>
  <c r="P65" i="7"/>
  <c r="P68" i="7"/>
  <c r="P63" i="7"/>
  <c r="P45" i="7"/>
  <c r="P58" i="7"/>
  <c r="P43" i="7"/>
  <c r="P35" i="7"/>
  <c r="P27" i="7"/>
  <c r="P19" i="7"/>
  <c r="P59" i="7"/>
  <c r="P15" i="7"/>
  <c r="P54" i="7"/>
  <c r="P42" i="7"/>
  <c r="P34" i="7"/>
  <c r="P26" i="7"/>
  <c r="P18" i="7"/>
  <c r="P7" i="7"/>
  <c r="P79" i="7"/>
  <c r="P77" i="7"/>
  <c r="P70" i="7"/>
  <c r="P73" i="7"/>
  <c r="P84" i="7"/>
  <c r="P66" i="7"/>
  <c r="AH46" i="7"/>
  <c r="AH37" i="7"/>
  <c r="AH29" i="7"/>
  <c r="AH21" i="7"/>
  <c r="AH54" i="7"/>
  <c r="AH10" i="7"/>
  <c r="AH47" i="7"/>
  <c r="AH36" i="7"/>
  <c r="AH28" i="7"/>
  <c r="AH20" i="7"/>
  <c r="AH8" i="7"/>
  <c r="AH9" i="7"/>
  <c r="AH74" i="7"/>
  <c r="AH61" i="7"/>
  <c r="AH58" i="7"/>
  <c r="AH65" i="7"/>
  <c r="AH63" i="7"/>
  <c r="AH85" i="7"/>
  <c r="AH83" i="7"/>
  <c r="AH73" i="7"/>
  <c r="AH43" i="7"/>
  <c r="AH35" i="7"/>
  <c r="AH27" i="7"/>
  <c r="AH19" i="7"/>
  <c r="AH51" i="7"/>
  <c r="AH60" i="7"/>
  <c r="AH42" i="7"/>
  <c r="AH34" i="7"/>
  <c r="AH26" i="7"/>
  <c r="AH18" i="7"/>
  <c r="AH55" i="7"/>
  <c r="AH6" i="7"/>
  <c r="AH71" i="7"/>
  <c r="AH77" i="7"/>
  <c r="AH75" i="7"/>
  <c r="AH81" i="7"/>
  <c r="AH79" i="7"/>
  <c r="AH70" i="7"/>
  <c r="AH59" i="7"/>
  <c r="AH53" i="7"/>
  <c r="AH41" i="7"/>
  <c r="AH33" i="7"/>
  <c r="AH25" i="7"/>
  <c r="AH17" i="7"/>
  <c r="AH44" i="7"/>
  <c r="AH52" i="7"/>
  <c r="AH40" i="7"/>
  <c r="AH32" i="7"/>
  <c r="AH24" i="7"/>
  <c r="AH16" i="7"/>
  <c r="AH50" i="7"/>
  <c r="AH5" i="7"/>
  <c r="AH68" i="7"/>
  <c r="AH62" i="7"/>
  <c r="AH72" i="7"/>
  <c r="AH66" i="7"/>
  <c r="AH76" i="7"/>
  <c r="AH86" i="7"/>
  <c r="AH80" i="7"/>
  <c r="AH48" i="7"/>
  <c r="AH39" i="7"/>
  <c r="AH31" i="7"/>
  <c r="AH23" i="7"/>
  <c r="AH7" i="7"/>
  <c r="AH15" i="7"/>
  <c r="AH49" i="7"/>
  <c r="AH38" i="7"/>
  <c r="AH30" i="7"/>
  <c r="AH22" i="7"/>
  <c r="AH11" i="7"/>
  <c r="AH45" i="7"/>
  <c r="AH57" i="7"/>
  <c r="AH64" i="7"/>
  <c r="AH78" i="7"/>
  <c r="AH84" i="7"/>
  <c r="AH82" i="7"/>
  <c r="AH69" i="7"/>
  <c r="AH67" i="7"/>
  <c r="AH56" i="7"/>
  <c r="AC64" i="7"/>
  <c r="AC68" i="7"/>
  <c r="AC67" i="7"/>
  <c r="AC80" i="7"/>
  <c r="AC54" i="7"/>
  <c r="AC42" i="7"/>
  <c r="AC34" i="7"/>
  <c r="AC26" i="7"/>
  <c r="AC18" i="7"/>
  <c r="AC52" i="7"/>
  <c r="AC53" i="7"/>
  <c r="AC41" i="7"/>
  <c r="AC33" i="7"/>
  <c r="AC25" i="7"/>
  <c r="AC17" i="7"/>
  <c r="AC15" i="7"/>
  <c r="AC6" i="7"/>
  <c r="AC79" i="7"/>
  <c r="AC76" i="7"/>
  <c r="AC86" i="7"/>
  <c r="AC82" i="7"/>
  <c r="AC49" i="7"/>
  <c r="AC40" i="7"/>
  <c r="AC32" i="7"/>
  <c r="AC24" i="7"/>
  <c r="AC8" i="7"/>
  <c r="AC45" i="7"/>
  <c r="AC50" i="7"/>
  <c r="AC39" i="7"/>
  <c r="AC31" i="7"/>
  <c r="AC23" i="7"/>
  <c r="AC9" i="7"/>
  <c r="AC10" i="7"/>
  <c r="AC63" i="7"/>
  <c r="AC59" i="7"/>
  <c r="AC58" i="7"/>
  <c r="AC62" i="7"/>
  <c r="AC57" i="7"/>
  <c r="AC81" i="7"/>
  <c r="AC78" i="7"/>
  <c r="AC77" i="7"/>
  <c r="AC47" i="7"/>
  <c r="AC38" i="7"/>
  <c r="AC30" i="7"/>
  <c r="AC22" i="7"/>
  <c r="AC60" i="7"/>
  <c r="AC16" i="7"/>
  <c r="AC48" i="7"/>
  <c r="AC37" i="7"/>
  <c r="AC29" i="7"/>
  <c r="AC21" i="7"/>
  <c r="AC51" i="7"/>
  <c r="AC7" i="7"/>
  <c r="AC70" i="7"/>
  <c r="AC71" i="7"/>
  <c r="AC65" i="7"/>
  <c r="AC84" i="7"/>
  <c r="AC83" i="7"/>
  <c r="AC61" i="7"/>
  <c r="AC44" i="7"/>
  <c r="AC36" i="7"/>
  <c r="AC28" i="7"/>
  <c r="AC20" i="7"/>
  <c r="AC55" i="7"/>
  <c r="AC11" i="7"/>
  <c r="AC43" i="7"/>
  <c r="AC35" i="7"/>
  <c r="AC27" i="7"/>
  <c r="AC19" i="7"/>
  <c r="AC46" i="7"/>
  <c r="AC5" i="7"/>
  <c r="AC74" i="7"/>
  <c r="AC73" i="7"/>
  <c r="AC66" i="7"/>
  <c r="AC85" i="7"/>
  <c r="AC72" i="7"/>
  <c r="AC56" i="7"/>
  <c r="AC75" i="7"/>
  <c r="AC69" i="7"/>
  <c r="M100" i="6"/>
  <c r="M99" i="6"/>
  <c r="AX97" i="29"/>
  <c r="BA97" i="29"/>
  <c r="AK97" i="29"/>
  <c r="AT97" i="29"/>
  <c r="AW97" i="29"/>
  <c r="AB97" i="29"/>
  <c r="BB97" i="29"/>
  <c r="BC97" i="29"/>
  <c r="AP97" i="29"/>
  <c r="AS97" i="29"/>
  <c r="AL97" i="29"/>
  <c r="AO97" i="29"/>
  <c r="AM97" i="29"/>
  <c r="AU97" i="29"/>
  <c r="AN97" i="29"/>
  <c r="AY97" i="29"/>
  <c r="AJ97" i="29"/>
  <c r="AV97" i="29"/>
  <c r="BD97" i="29"/>
  <c r="AI97" i="29"/>
  <c r="AR97" i="29"/>
  <c r="AQ97" i="29"/>
  <c r="AZ97" i="29"/>
  <c r="L7" i="6"/>
  <c r="M17" i="6"/>
  <c r="M34" i="6"/>
  <c r="M29" i="6"/>
  <c r="M33" i="6"/>
  <c r="L35" i="6"/>
  <c r="L38" i="6"/>
  <c r="L26" i="6"/>
  <c r="L47" i="6"/>
  <c r="L42" i="6"/>
  <c r="M47" i="6"/>
  <c r="M45" i="6"/>
  <c r="Q47" i="13"/>
  <c r="R47" i="13" s="1"/>
  <c r="R47" i="11"/>
  <c r="Q47" i="12"/>
  <c r="R47" i="12" s="1"/>
  <c r="Q39" i="13"/>
  <c r="R39" i="13" s="1"/>
  <c r="R39" i="11"/>
  <c r="Q39" i="12"/>
  <c r="R39" i="12" s="1"/>
  <c r="R12" i="11"/>
  <c r="Q12" i="12"/>
  <c r="R12" i="12" s="1"/>
  <c r="Q12" i="13"/>
  <c r="R12" i="13" s="1"/>
  <c r="Q25" i="12"/>
  <c r="R25" i="12" s="1"/>
  <c r="Q25" i="13"/>
  <c r="R25" i="13" s="1"/>
  <c r="R25" i="11"/>
  <c r="Q8" i="12"/>
  <c r="R8" i="12" s="1"/>
  <c r="Q8" i="13"/>
  <c r="R8" i="13" s="1"/>
  <c r="R8" i="11"/>
  <c r="R49" i="11"/>
  <c r="Q49" i="12"/>
  <c r="R49" i="12" s="1"/>
  <c r="Q49" i="13"/>
  <c r="R49" i="13" s="1"/>
  <c r="R44" i="11"/>
  <c r="Q44" i="12"/>
  <c r="R44" i="12" s="1"/>
  <c r="Q44" i="13"/>
  <c r="R44" i="13" s="1"/>
  <c r="Q52" i="11"/>
  <c r="Q5" i="12"/>
  <c r="Q5" i="13"/>
  <c r="R5" i="11"/>
  <c r="Q33" i="13"/>
  <c r="R33" i="13" s="1"/>
  <c r="Q33" i="12"/>
  <c r="R33" i="12" s="1"/>
  <c r="R33" i="11"/>
  <c r="Q28" i="12"/>
  <c r="R28" i="12" s="1"/>
  <c r="Q28" i="13"/>
  <c r="R28" i="13" s="1"/>
  <c r="R28" i="11"/>
  <c r="Q7" i="13"/>
  <c r="R7" i="13" s="1"/>
  <c r="R7" i="11"/>
  <c r="Q7" i="12"/>
  <c r="R7" i="12" s="1"/>
  <c r="S50" i="13"/>
  <c r="S50" i="12"/>
  <c r="Q50" i="30" s="1"/>
  <c r="Q101" i="30" s="1"/>
  <c r="S26" i="12"/>
  <c r="S26" i="13"/>
  <c r="S15" i="12"/>
  <c r="S15" i="13"/>
  <c r="S34" i="12"/>
  <c r="S34" i="13"/>
  <c r="S41" i="12"/>
  <c r="S41" i="13"/>
  <c r="S16" i="12"/>
  <c r="S16" i="13"/>
  <c r="S27" i="13"/>
  <c r="S27" i="12"/>
  <c r="Q27" i="30" s="1"/>
  <c r="Q78" i="30" s="1"/>
  <c r="S8" i="12"/>
  <c r="S8" i="13"/>
  <c r="S35" i="12"/>
  <c r="Q35" i="30" s="1"/>
  <c r="Q86" i="30" s="1"/>
  <c r="S35" i="13"/>
  <c r="S46" i="12"/>
  <c r="S46" i="13"/>
  <c r="S5" i="12"/>
  <c r="S5" i="13"/>
  <c r="S52" i="11"/>
  <c r="O8" i="31"/>
  <c r="O10" i="31"/>
  <c r="O6" i="31"/>
  <c r="K8" i="31"/>
  <c r="K10" i="31"/>
  <c r="K6" i="31"/>
  <c r="H8" i="31"/>
  <c r="H6" i="31"/>
  <c r="H10" i="31"/>
  <c r="M8" i="31"/>
  <c r="M10" i="31"/>
  <c r="M6" i="31"/>
  <c r="U8" i="31"/>
  <c r="U10" i="31"/>
  <c r="U6" i="31"/>
  <c r="M102" i="6"/>
  <c r="M108" i="6" s="1"/>
  <c r="AC88" i="7"/>
  <c r="AC93" i="7" s="1"/>
  <c r="AE88" i="7"/>
  <c r="V91" i="6"/>
  <c r="Y91" i="6"/>
  <c r="L85" i="6"/>
  <c r="L84" i="6"/>
  <c r="M76" i="6"/>
  <c r="L57" i="6"/>
  <c r="M85" i="6"/>
  <c r="L83" i="6"/>
  <c r="L70" i="6"/>
  <c r="M53" i="6"/>
  <c r="M66" i="6"/>
  <c r="M83" i="6"/>
  <c r="L66" i="6"/>
  <c r="L81" i="6"/>
  <c r="M81" i="6"/>
  <c r="L59" i="6"/>
  <c r="M74" i="6"/>
  <c r="L61" i="6"/>
  <c r="L71" i="6"/>
  <c r="L58" i="6"/>
  <c r="N15" i="11"/>
  <c r="N16" i="11"/>
  <c r="N13" i="11"/>
  <c r="N7" i="11"/>
  <c r="N50" i="11"/>
  <c r="N33" i="11"/>
  <c r="N39" i="11"/>
  <c r="N37" i="11"/>
  <c r="N43" i="11"/>
  <c r="N41" i="11"/>
  <c r="N47" i="11"/>
  <c r="N45" i="11"/>
  <c r="N24" i="11"/>
  <c r="N14" i="11"/>
  <c r="N6" i="11"/>
  <c r="N5" i="11"/>
  <c r="N42" i="11"/>
  <c r="N49" i="11"/>
  <c r="N23" i="11"/>
  <c r="N38" i="11"/>
  <c r="N28" i="11"/>
  <c r="N46" i="11"/>
  <c r="N32" i="11"/>
  <c r="N19" i="11"/>
  <c r="N12" i="11"/>
  <c r="N10" i="11"/>
  <c r="N8" i="11"/>
  <c r="N35" i="11"/>
  <c r="N30" i="11"/>
  <c r="N40" i="11"/>
  <c r="N26" i="11"/>
  <c r="N44" i="11"/>
  <c r="N34" i="11"/>
  <c r="N48" i="11"/>
  <c r="N17" i="11"/>
  <c r="N18" i="11"/>
  <c r="N11" i="11"/>
  <c r="N9" i="11"/>
  <c r="N21" i="11"/>
  <c r="N36" i="11"/>
  <c r="N22" i="11"/>
  <c r="N20" i="11"/>
  <c r="N27" i="11"/>
  <c r="N25" i="11"/>
  <c r="N31" i="11"/>
  <c r="N29" i="11"/>
  <c r="T34" i="12"/>
  <c r="R34" i="30" s="1"/>
  <c r="R85" i="30" s="1"/>
  <c r="T34" i="13"/>
  <c r="T19" i="12"/>
  <c r="R19" i="30" s="1"/>
  <c r="R70" i="30" s="1"/>
  <c r="T19" i="13"/>
  <c r="R32" i="30"/>
  <c r="R83" i="30" s="1"/>
  <c r="T32" i="12"/>
  <c r="T32" i="13"/>
  <c r="R12" i="30"/>
  <c r="R63" i="30" s="1"/>
  <c r="T12" i="12"/>
  <c r="T12" i="13"/>
  <c r="T47" i="12"/>
  <c r="R47" i="30" s="1"/>
  <c r="R98" i="30" s="1"/>
  <c r="T47" i="13"/>
  <c r="T49" i="12"/>
  <c r="R49" i="30" s="1"/>
  <c r="R100" i="30" s="1"/>
  <c r="T49" i="13"/>
  <c r="R16" i="30"/>
  <c r="R67" i="30" s="1"/>
  <c r="T16" i="12"/>
  <c r="T16" i="13"/>
  <c r="R20" i="30"/>
  <c r="R71" i="30" s="1"/>
  <c r="T20" i="12"/>
  <c r="T20" i="13"/>
  <c r="T25" i="12"/>
  <c r="R25" i="30" s="1"/>
  <c r="R76" i="30" s="1"/>
  <c r="T25" i="13"/>
  <c r="T10" i="12"/>
  <c r="R10" i="30" s="1"/>
  <c r="R61" i="30" s="1"/>
  <c r="T10" i="13"/>
  <c r="R40" i="30"/>
  <c r="R91" i="30" s="1"/>
  <c r="T40" i="12"/>
  <c r="T40" i="13"/>
  <c r="L10" i="32"/>
  <c r="X74" i="7"/>
  <c r="X47" i="7"/>
  <c r="X30" i="7"/>
  <c r="X52" i="7"/>
  <c r="X69" i="7"/>
  <c r="X33" i="7"/>
  <c r="X17" i="7"/>
  <c r="X15" i="7"/>
  <c r="X70" i="7"/>
  <c r="X16" i="7"/>
  <c r="X48" i="7"/>
  <c r="X29" i="7"/>
  <c r="X51" i="7"/>
  <c r="X80" i="7"/>
  <c r="X72" i="7"/>
  <c r="X57" i="7"/>
  <c r="X44" i="7"/>
  <c r="X36" i="7"/>
  <c r="X28" i="7"/>
  <c r="X20" i="7"/>
  <c r="X63" i="7"/>
  <c r="X45" i="7"/>
  <c r="X83" i="7"/>
  <c r="X75" i="7"/>
  <c r="X66" i="7"/>
  <c r="X50" i="7"/>
  <c r="X39" i="7"/>
  <c r="X31" i="7"/>
  <c r="X23" i="7"/>
  <c r="X9" i="7"/>
  <c r="X56" i="7"/>
  <c r="X10" i="7"/>
  <c r="X81" i="7"/>
  <c r="X86" i="7"/>
  <c r="X78" i="7"/>
  <c r="X54" i="7"/>
  <c r="X34" i="7"/>
  <c r="X26" i="7"/>
  <c r="X18" i="7"/>
  <c r="X60" i="7"/>
  <c r="X73" i="7"/>
  <c r="X37" i="7"/>
  <c r="X67" i="7"/>
  <c r="X84" i="7"/>
  <c r="X76" i="7"/>
  <c r="X65" i="7"/>
  <c r="X49" i="7"/>
  <c r="X40" i="7"/>
  <c r="X32" i="7"/>
  <c r="X24" i="7"/>
  <c r="X8" i="7"/>
  <c r="X55" i="7"/>
  <c r="X11" i="7"/>
  <c r="X79" i="7"/>
  <c r="X71" i="7"/>
  <c r="X58" i="7"/>
  <c r="X43" i="7"/>
  <c r="X35" i="7"/>
  <c r="X27" i="7"/>
  <c r="X19" i="7"/>
  <c r="X64" i="7"/>
  <c r="X46" i="7"/>
  <c r="X5" i="7"/>
  <c r="X82" i="7"/>
  <c r="X62" i="7"/>
  <c r="X38" i="7"/>
  <c r="X22" i="7"/>
  <c r="X68" i="7"/>
  <c r="X85" i="7"/>
  <c r="X77" i="7"/>
  <c r="X53" i="7"/>
  <c r="X41" i="7"/>
  <c r="X25" i="7"/>
  <c r="X59" i="7"/>
  <c r="X6" i="7"/>
  <c r="X42" i="7"/>
  <c r="X61" i="7"/>
  <c r="X21" i="7"/>
  <c r="X7" i="7"/>
  <c r="Y68" i="7"/>
  <c r="Y52" i="7"/>
  <c r="Y85" i="7"/>
  <c r="Y77" i="7"/>
  <c r="Y69" i="7"/>
  <c r="Y53" i="7"/>
  <c r="Y41" i="7"/>
  <c r="Y33" i="7"/>
  <c r="Y25" i="7"/>
  <c r="Y17" i="7"/>
  <c r="Y59" i="7"/>
  <c r="Y15" i="7"/>
  <c r="Y84" i="7"/>
  <c r="Y76" i="7"/>
  <c r="Y65" i="7"/>
  <c r="Y49" i="7"/>
  <c r="Y40" i="7"/>
  <c r="Y32" i="7"/>
  <c r="Y24" i="7"/>
  <c r="Y8" i="7"/>
  <c r="Y63" i="7"/>
  <c r="Y45" i="7"/>
  <c r="Y83" i="7"/>
  <c r="Y75" i="7"/>
  <c r="Y66" i="7"/>
  <c r="Y50" i="7"/>
  <c r="Y39" i="7"/>
  <c r="Y31" i="7"/>
  <c r="Y23" i="7"/>
  <c r="Y9" i="7"/>
  <c r="Y56" i="7"/>
  <c r="Y10" i="7"/>
  <c r="Y82" i="7"/>
  <c r="Y74" i="7"/>
  <c r="Y62" i="7"/>
  <c r="Y47" i="7"/>
  <c r="Y38" i="7"/>
  <c r="Y30" i="7"/>
  <c r="Y22" i="7"/>
  <c r="Y5" i="7"/>
  <c r="Y60" i="7"/>
  <c r="Y16" i="7"/>
  <c r="Y81" i="7"/>
  <c r="Y73" i="7"/>
  <c r="Y61" i="7"/>
  <c r="Y48" i="7"/>
  <c r="Y37" i="7"/>
  <c r="Y29" i="7"/>
  <c r="Y21" i="7"/>
  <c r="Y67" i="7"/>
  <c r="Y51" i="7"/>
  <c r="Y7" i="7"/>
  <c r="Y80" i="7"/>
  <c r="Y72" i="7"/>
  <c r="Y57" i="7"/>
  <c r="Y44" i="7"/>
  <c r="Y36" i="7"/>
  <c r="Y28" i="7"/>
  <c r="Y20" i="7"/>
  <c r="Y6" i="7"/>
  <c r="Y55" i="7"/>
  <c r="Y11" i="7"/>
  <c r="Y79" i="7"/>
  <c r="Y71" i="7"/>
  <c r="Y58" i="7"/>
  <c r="Y43" i="7"/>
  <c r="Y35" i="7"/>
  <c r="Y27" i="7"/>
  <c r="Y19" i="7"/>
  <c r="Y64" i="7"/>
  <c r="Y46" i="7"/>
  <c r="Y86" i="7"/>
  <c r="Y78" i="7"/>
  <c r="Y70" i="7"/>
  <c r="Y54" i="7"/>
  <c r="Y42" i="7"/>
  <c r="Y34" i="7"/>
  <c r="Y26" i="7"/>
  <c r="Y18" i="7"/>
  <c r="AI44" i="7"/>
  <c r="AI52" i="7"/>
  <c r="AI40" i="7"/>
  <c r="AI32" i="7"/>
  <c r="AI24" i="7"/>
  <c r="AI16" i="7"/>
  <c r="AI50" i="7"/>
  <c r="AI48" i="7"/>
  <c r="AI39" i="7"/>
  <c r="AI31" i="7"/>
  <c r="AI23" i="7"/>
  <c r="AI7" i="7"/>
  <c r="AI76" i="7"/>
  <c r="AI74" i="7"/>
  <c r="AI80" i="7"/>
  <c r="AI78" i="7"/>
  <c r="AI84" i="7"/>
  <c r="AI82" i="7"/>
  <c r="AI85" i="7"/>
  <c r="AI75" i="7"/>
  <c r="AI15" i="7"/>
  <c r="AI49" i="7"/>
  <c r="AI38" i="7"/>
  <c r="AI30" i="7"/>
  <c r="AI22" i="7"/>
  <c r="AI11" i="7"/>
  <c r="AI45" i="7"/>
  <c r="AI46" i="7"/>
  <c r="AI37" i="7"/>
  <c r="AI29" i="7"/>
  <c r="AI21" i="7"/>
  <c r="AI5" i="7"/>
  <c r="AI56" i="7"/>
  <c r="AI63" i="7"/>
  <c r="AI61" i="7"/>
  <c r="AI67" i="7"/>
  <c r="AI65" i="7"/>
  <c r="AI71" i="7"/>
  <c r="AI70" i="7"/>
  <c r="AI54" i="7"/>
  <c r="AI10" i="7"/>
  <c r="AI47" i="7"/>
  <c r="AI36" i="7"/>
  <c r="AI28" i="7"/>
  <c r="AI20" i="7"/>
  <c r="AI8" i="7"/>
  <c r="AI9" i="7"/>
  <c r="AI43" i="7"/>
  <c r="AI35" i="7"/>
  <c r="AI27" i="7"/>
  <c r="AI19" i="7"/>
  <c r="AI6" i="7"/>
  <c r="AI73" i="7"/>
  <c r="AI79" i="7"/>
  <c r="AI77" i="7"/>
  <c r="AI83" i="7"/>
  <c r="AI81" i="7"/>
  <c r="AI72" i="7"/>
  <c r="AI86" i="7"/>
  <c r="AI51" i="7"/>
  <c r="AI60" i="7"/>
  <c r="AI42" i="7"/>
  <c r="AI34" i="7"/>
  <c r="AI26" i="7"/>
  <c r="AI18" i="7"/>
  <c r="AI55" i="7"/>
  <c r="AI53" i="7"/>
  <c r="AI41" i="7"/>
  <c r="AI33" i="7"/>
  <c r="AI25" i="7"/>
  <c r="AI17" i="7"/>
  <c r="AI59" i="7"/>
  <c r="AI57" i="7"/>
  <c r="AI64" i="7"/>
  <c r="AI62" i="7"/>
  <c r="AI68" i="7"/>
  <c r="AI66" i="7"/>
  <c r="AI69" i="7"/>
  <c r="AI58" i="7"/>
  <c r="W46" i="7"/>
  <c r="W54" i="7"/>
  <c r="W42" i="7"/>
  <c r="W34" i="7"/>
  <c r="W26" i="7"/>
  <c r="W18" i="7"/>
  <c r="W52" i="7"/>
  <c r="W53" i="7"/>
  <c r="W41" i="7"/>
  <c r="W33" i="7"/>
  <c r="W25" i="7"/>
  <c r="W17" i="7"/>
  <c r="W70" i="7"/>
  <c r="W68" i="7"/>
  <c r="W74" i="7"/>
  <c r="W61" i="7"/>
  <c r="W58" i="7"/>
  <c r="W65" i="7"/>
  <c r="W63" i="7"/>
  <c r="W69" i="7"/>
  <c r="W15" i="7"/>
  <c r="W49" i="7"/>
  <c r="W40" i="7"/>
  <c r="W32" i="7"/>
  <c r="W24" i="7"/>
  <c r="W8" i="7"/>
  <c r="W45" i="7"/>
  <c r="W50" i="7"/>
  <c r="W39" i="7"/>
  <c r="W31" i="7"/>
  <c r="W23" i="7"/>
  <c r="W9" i="7"/>
  <c r="W86" i="7"/>
  <c r="W56" i="7"/>
  <c r="W71" i="7"/>
  <c r="W77" i="7"/>
  <c r="W75" i="7"/>
  <c r="W81" i="7"/>
  <c r="W79" i="7"/>
  <c r="W85" i="7"/>
  <c r="W10" i="7"/>
  <c r="W47" i="7"/>
  <c r="W38" i="7"/>
  <c r="W30" i="7"/>
  <c r="W22" i="7"/>
  <c r="W60" i="7"/>
  <c r="W16" i="7"/>
  <c r="W48" i="7"/>
  <c r="W37" i="7"/>
  <c r="W29" i="7"/>
  <c r="W21" i="7"/>
  <c r="W5" i="7"/>
  <c r="W67" i="7"/>
  <c r="W73" i="7"/>
  <c r="W64" i="7"/>
  <c r="W62" i="7"/>
  <c r="W76" i="7"/>
  <c r="W66" i="7"/>
  <c r="W84" i="7"/>
  <c r="W51" i="7"/>
  <c r="W7" i="7"/>
  <c r="W44" i="7"/>
  <c r="W36" i="7"/>
  <c r="W28" i="7"/>
  <c r="W20" i="7"/>
  <c r="W55" i="7"/>
  <c r="W11" i="7"/>
  <c r="W43" i="7"/>
  <c r="W35" i="7"/>
  <c r="W27" i="7"/>
  <c r="W19" i="7"/>
  <c r="W6" i="7"/>
  <c r="W83" i="7"/>
  <c r="W57" i="7"/>
  <c r="W72" i="7"/>
  <c r="W78" i="7"/>
  <c r="W80" i="7"/>
  <c r="W82" i="7"/>
  <c r="W59" i="7"/>
  <c r="M44" i="11"/>
  <c r="M32" i="11"/>
  <c r="M14" i="11"/>
  <c r="M24" i="11"/>
  <c r="M8" i="11"/>
  <c r="M10" i="11"/>
  <c r="M22" i="11"/>
  <c r="M35" i="11"/>
  <c r="M21" i="11"/>
  <c r="M20" i="11"/>
  <c r="M28" i="11"/>
  <c r="M12" i="11"/>
  <c r="M19" i="11"/>
  <c r="M11" i="11"/>
  <c r="M9" i="11"/>
  <c r="M41" i="11"/>
  <c r="M48" i="11"/>
  <c r="M47" i="11"/>
  <c r="M50" i="11"/>
  <c r="M49" i="11"/>
  <c r="M43" i="11"/>
  <c r="M46" i="11"/>
  <c r="M45" i="11"/>
  <c r="M17" i="11"/>
  <c r="M18" i="11"/>
  <c r="M13" i="11"/>
  <c r="M7" i="11"/>
  <c r="M42" i="11"/>
  <c r="M25" i="11"/>
  <c r="M36" i="11"/>
  <c r="M31" i="11"/>
  <c r="M34" i="11"/>
  <c r="M33" i="11"/>
  <c r="M27" i="11"/>
  <c r="M30" i="11"/>
  <c r="M29" i="11"/>
  <c r="M15" i="11"/>
  <c r="M16" i="11"/>
  <c r="M6" i="11"/>
  <c r="M5" i="11"/>
  <c r="M39" i="11"/>
  <c r="M26" i="11"/>
  <c r="M23" i="11"/>
  <c r="M38" i="11"/>
  <c r="M37" i="11"/>
  <c r="M40" i="11"/>
  <c r="M8" i="6"/>
  <c r="L36" i="6"/>
  <c r="L21" i="6"/>
  <c r="L18" i="6"/>
  <c r="M30" i="6"/>
  <c r="M21" i="6"/>
  <c r="L30" i="6"/>
  <c r="M18" i="6"/>
  <c r="L46" i="6"/>
  <c r="L41" i="6"/>
  <c r="M46" i="6"/>
  <c r="U13" i="11"/>
  <c r="U17" i="11"/>
  <c r="U10" i="11"/>
  <c r="U7" i="11"/>
  <c r="U29" i="11"/>
  <c r="U27" i="11"/>
  <c r="V27" i="11" s="1"/>
  <c r="U49" i="11"/>
  <c r="U47" i="11"/>
  <c r="U37" i="11"/>
  <c r="U28" i="11"/>
  <c r="U26" i="11"/>
  <c r="U12" i="11"/>
  <c r="U16" i="11"/>
  <c r="V16" i="11" s="1"/>
  <c r="U9" i="11"/>
  <c r="U6" i="11"/>
  <c r="U45" i="11"/>
  <c r="U43" i="11"/>
  <c r="U34" i="11"/>
  <c r="U23" i="11"/>
  <c r="U21" i="11"/>
  <c r="U44" i="11"/>
  <c r="U42" i="11"/>
  <c r="U19" i="11"/>
  <c r="U24" i="11"/>
  <c r="U15" i="11"/>
  <c r="V15" i="11" s="1"/>
  <c r="U5" i="11"/>
  <c r="U32" i="11"/>
  <c r="U30" i="11"/>
  <c r="U36" i="11"/>
  <c r="U50" i="11"/>
  <c r="V50" i="11" s="1"/>
  <c r="U40" i="11"/>
  <c r="U38" i="11"/>
  <c r="U25" i="11"/>
  <c r="U22" i="11"/>
  <c r="U14" i="11"/>
  <c r="U18" i="11"/>
  <c r="U11" i="11"/>
  <c r="U8" i="11"/>
  <c r="U48" i="11"/>
  <c r="U46" i="11"/>
  <c r="U33" i="11"/>
  <c r="U31" i="11"/>
  <c r="U20" i="11"/>
  <c r="V20" i="11" s="1"/>
  <c r="U35" i="11"/>
  <c r="U41" i="11"/>
  <c r="V41" i="11" s="1"/>
  <c r="U39" i="11"/>
  <c r="P41" i="30"/>
  <c r="P92" i="30" s="1"/>
  <c r="R41" i="11"/>
  <c r="Q41" i="12"/>
  <c r="R41" i="12" s="1"/>
  <c r="Q41" i="13"/>
  <c r="R41" i="13" s="1"/>
  <c r="P6" i="30"/>
  <c r="P57" i="30" s="1"/>
  <c r="Q6" i="12"/>
  <c r="R6" i="12" s="1"/>
  <c r="Q6" i="13"/>
  <c r="R6" i="13" s="1"/>
  <c r="R6" i="11"/>
  <c r="P35" i="30"/>
  <c r="P86" i="30" s="1"/>
  <c r="R35" i="11"/>
  <c r="Q35" i="12"/>
  <c r="R35" i="12" s="1"/>
  <c r="Q35" i="13"/>
  <c r="R35" i="13" s="1"/>
  <c r="P27" i="30"/>
  <c r="P78" i="30" s="1"/>
  <c r="R27" i="11"/>
  <c r="Q27" i="12"/>
  <c r="R27" i="12" s="1"/>
  <c r="Q27" i="13"/>
  <c r="R27" i="13" s="1"/>
  <c r="P10" i="30"/>
  <c r="P61" i="30" s="1"/>
  <c r="Q10" i="12"/>
  <c r="R10" i="12" s="1"/>
  <c r="Q10" i="13"/>
  <c r="R10" i="13" s="1"/>
  <c r="R10" i="11"/>
  <c r="P38" i="30"/>
  <c r="P89" i="30" s="1"/>
  <c r="Q38" i="12"/>
  <c r="R38" i="12" s="1"/>
  <c r="Q38" i="13"/>
  <c r="R38" i="13" s="1"/>
  <c r="R38" i="11"/>
  <c r="P46" i="30"/>
  <c r="P97" i="30" s="1"/>
  <c r="Q46" i="12"/>
  <c r="R46" i="12" s="1"/>
  <c r="Q46" i="13"/>
  <c r="R46" i="13" s="1"/>
  <c r="R46" i="11"/>
  <c r="P16" i="30"/>
  <c r="P67" i="30" s="1"/>
  <c r="Q16" i="12"/>
  <c r="R16" i="12" s="1"/>
  <c r="Q16" i="13"/>
  <c r="R16" i="13" s="1"/>
  <c r="R16" i="11"/>
  <c r="P21" i="30"/>
  <c r="P72" i="30" s="1"/>
  <c r="R21" i="11"/>
  <c r="Q21" i="12"/>
  <c r="R21" i="12" s="1"/>
  <c r="Q21" i="13"/>
  <c r="R21" i="13" s="1"/>
  <c r="P30" i="30"/>
  <c r="P81" i="30" s="1"/>
  <c r="Q30" i="12"/>
  <c r="R30" i="12" s="1"/>
  <c r="R30" i="11"/>
  <c r="Q30" i="13"/>
  <c r="R30" i="13" s="1"/>
  <c r="P18" i="30"/>
  <c r="P69" i="30" s="1"/>
  <c r="Q18" i="13"/>
  <c r="R18" i="13" s="1"/>
  <c r="R18" i="11"/>
  <c r="Q18" i="12"/>
  <c r="R18" i="12" s="1"/>
  <c r="Q36" i="30"/>
  <c r="Q87" i="30" s="1"/>
  <c r="V36" i="11"/>
  <c r="S36" i="12"/>
  <c r="S36" i="13"/>
  <c r="Q28" i="30"/>
  <c r="Q79" i="30" s="1"/>
  <c r="V28" i="11"/>
  <c r="S28" i="12"/>
  <c r="S28" i="13"/>
  <c r="Q24" i="30"/>
  <c r="Q75" i="30" s="1"/>
  <c r="S24" i="13"/>
  <c r="S24" i="12"/>
  <c r="Q43" i="30"/>
  <c r="Q94" i="30" s="1"/>
  <c r="V43" i="11"/>
  <c r="S43" i="12"/>
  <c r="S43" i="13"/>
  <c r="Q7" i="30"/>
  <c r="Q58" i="30" s="1"/>
  <c r="S7" i="13"/>
  <c r="S7" i="12"/>
  <c r="Q37" i="30"/>
  <c r="Q88" i="30" s="1"/>
  <c r="S37" i="13"/>
  <c r="S37" i="12"/>
  <c r="V37" i="11"/>
  <c r="Q29" i="30"/>
  <c r="Q80" i="30" s="1"/>
  <c r="S29" i="12"/>
  <c r="S29" i="13"/>
  <c r="V29" i="11"/>
  <c r="Q11" i="30"/>
  <c r="Q62" i="30" s="1"/>
  <c r="V11" i="11"/>
  <c r="S11" i="12"/>
  <c r="S11" i="13"/>
  <c r="Q20" i="30"/>
  <c r="Q71" i="30" s="1"/>
  <c r="S20" i="12"/>
  <c r="S20" i="13"/>
  <c r="Q48" i="30"/>
  <c r="Q99" i="30" s="1"/>
  <c r="S48" i="12"/>
  <c r="S48" i="13"/>
  <c r="Q12" i="30"/>
  <c r="Q63" i="30" s="1"/>
  <c r="S12" i="12"/>
  <c r="S12" i="13"/>
  <c r="F8" i="31"/>
  <c r="F10" i="31"/>
  <c r="F6" i="31"/>
  <c r="N8" i="31"/>
  <c r="N10" i="31"/>
  <c r="N6" i="31"/>
  <c r="R8" i="31"/>
  <c r="R10" i="31"/>
  <c r="R6" i="31"/>
  <c r="P8" i="31"/>
  <c r="P10" i="31"/>
  <c r="P6" i="31"/>
  <c r="AH88" i="7"/>
  <c r="AH93" i="7" s="1"/>
  <c r="Y88" i="7"/>
  <c r="Y93" i="7" s="1"/>
  <c r="AF88" i="7"/>
  <c r="AA89" i="9"/>
  <c r="AA89" i="7"/>
  <c r="AA89" i="8"/>
  <c r="AA93" i="8" s="1"/>
  <c r="M70" i="6"/>
  <c r="L52" i="6"/>
  <c r="M68" i="6"/>
  <c r="M57" i="6"/>
  <c r="M77" i="6"/>
  <c r="L67" i="6"/>
  <c r="L54" i="6"/>
  <c r="L63" i="6"/>
  <c r="L53" i="6"/>
  <c r="M67" i="6"/>
  <c r="M80" i="6"/>
  <c r="L65" i="6"/>
  <c r="M73" i="6"/>
  <c r="M52" i="6"/>
  <c r="L69" i="6"/>
  <c r="L68" i="6"/>
  <c r="L55" i="6"/>
  <c r="M86" i="6"/>
  <c r="T43" i="12"/>
  <c r="R43" i="30" s="1"/>
  <c r="R94" i="30" s="1"/>
  <c r="T43" i="13"/>
  <c r="R29" i="30"/>
  <c r="R80" i="30" s="1"/>
  <c r="T29" i="12"/>
  <c r="T29" i="13"/>
  <c r="R18" i="30"/>
  <c r="R69" i="30" s="1"/>
  <c r="T18" i="12"/>
  <c r="T18" i="13"/>
  <c r="T45" i="12"/>
  <c r="R45" i="30" s="1"/>
  <c r="R96" i="30" s="1"/>
  <c r="T45" i="13"/>
  <c r="T15" i="12"/>
  <c r="R15" i="30" s="1"/>
  <c r="R66" i="30" s="1"/>
  <c r="T15" i="13"/>
  <c r="R48" i="30"/>
  <c r="R99" i="30" s="1"/>
  <c r="T48" i="12"/>
  <c r="T48" i="13"/>
  <c r="R13" i="30"/>
  <c r="R64" i="30" s="1"/>
  <c r="T13" i="12"/>
  <c r="T13" i="13"/>
  <c r="T42" i="12"/>
  <c r="R42" i="30" s="1"/>
  <c r="R93" i="30" s="1"/>
  <c r="T42" i="13"/>
  <c r="T46" i="12"/>
  <c r="R46" i="30" s="1"/>
  <c r="R97" i="30" s="1"/>
  <c r="T46" i="13"/>
  <c r="R38" i="30"/>
  <c r="R89" i="30" s="1"/>
  <c r="T38" i="12"/>
  <c r="T38" i="13"/>
  <c r="R14" i="30"/>
  <c r="R65" i="30" s="1"/>
  <c r="T14" i="12"/>
  <c r="T14" i="13"/>
  <c r="T37" i="12"/>
  <c r="R37" i="30" s="1"/>
  <c r="R88" i="30" s="1"/>
  <c r="T37" i="13"/>
  <c r="L8" i="32"/>
  <c r="Q76" i="7"/>
  <c r="Q67" i="7"/>
  <c r="Q53" i="7"/>
  <c r="Q58" i="7"/>
  <c r="Q39" i="7"/>
  <c r="Q27" i="7"/>
  <c r="Q9" i="7"/>
  <c r="Q51" i="7"/>
  <c r="Q7" i="7"/>
  <c r="Q42" i="7"/>
  <c r="Q30" i="7"/>
  <c r="Q18" i="7"/>
  <c r="Q11" i="7"/>
  <c r="Q79" i="7"/>
  <c r="Q73" i="7"/>
  <c r="Q85" i="7"/>
  <c r="Q29" i="7"/>
  <c r="Q45" i="7"/>
  <c r="Q26" i="7"/>
  <c r="Q82" i="7"/>
  <c r="Q50" i="7"/>
  <c r="Q37" i="7"/>
  <c r="Q25" i="7"/>
  <c r="Q64" i="7"/>
  <c r="Q46" i="7"/>
  <c r="Q62" i="7"/>
  <c r="Q40" i="7"/>
  <c r="Q28" i="7"/>
  <c r="Q8" i="7"/>
  <c r="Q6" i="7"/>
  <c r="Q55" i="7"/>
  <c r="Q74" i="7"/>
  <c r="Q44" i="7"/>
  <c r="Q75" i="7"/>
  <c r="Q66" i="7"/>
  <c r="Q70" i="7"/>
  <c r="Q69" i="7"/>
  <c r="Q52" i="7"/>
  <c r="Q65" i="7"/>
  <c r="Q22" i="7"/>
  <c r="Q86" i="7"/>
  <c r="Q60" i="7"/>
  <c r="Q48" i="7"/>
  <c r="Q35" i="7"/>
  <c r="Q23" i="7"/>
  <c r="Q59" i="7"/>
  <c r="Q15" i="7"/>
  <c r="Q57" i="7"/>
  <c r="Q36" i="7"/>
  <c r="Q24" i="7"/>
  <c r="Q63" i="7"/>
  <c r="Q5" i="7"/>
  <c r="Q41" i="7"/>
  <c r="Q49" i="7"/>
  <c r="Q33" i="7"/>
  <c r="Q71" i="7"/>
  <c r="Q83" i="7"/>
  <c r="Q34" i="7"/>
  <c r="Q77" i="7"/>
  <c r="Q61" i="7"/>
  <c r="Q43" i="7"/>
  <c r="Q31" i="7"/>
  <c r="Q19" i="7"/>
  <c r="Q56" i="7"/>
  <c r="Q10" i="7"/>
  <c r="Q47" i="7"/>
  <c r="Q32" i="7"/>
  <c r="Q20" i="7"/>
  <c r="Q16" i="7"/>
  <c r="Q78" i="7"/>
  <c r="Q68" i="7"/>
  <c r="Q80" i="7"/>
  <c r="Q38" i="7"/>
  <c r="Q72" i="7"/>
  <c r="Q17" i="7"/>
  <c r="Q54" i="7"/>
  <c r="Q81" i="7"/>
  <c r="Q21" i="7"/>
  <c r="Q84" i="7"/>
  <c r="R86" i="7"/>
  <c r="R59" i="7"/>
  <c r="R15" i="7"/>
  <c r="R57" i="7"/>
  <c r="R44" i="7"/>
  <c r="R36" i="7"/>
  <c r="R28" i="7"/>
  <c r="R20" i="7"/>
  <c r="R60" i="7"/>
  <c r="R16" i="7"/>
  <c r="R53" i="7"/>
  <c r="R41" i="7"/>
  <c r="R33" i="7"/>
  <c r="R25" i="7"/>
  <c r="R17" i="7"/>
  <c r="R84" i="7"/>
  <c r="R69" i="7"/>
  <c r="R76" i="7"/>
  <c r="R80" i="7"/>
  <c r="R81" i="7"/>
  <c r="R74" i="7"/>
  <c r="R56" i="7"/>
  <c r="R10" i="7"/>
  <c r="R54" i="7"/>
  <c r="R42" i="7"/>
  <c r="R34" i="7"/>
  <c r="R26" i="7"/>
  <c r="R18" i="7"/>
  <c r="R55" i="7"/>
  <c r="R11" i="7"/>
  <c r="R50" i="7"/>
  <c r="R39" i="7"/>
  <c r="R31" i="7"/>
  <c r="R23" i="7"/>
  <c r="R9" i="7"/>
  <c r="R66" i="7"/>
  <c r="R65" i="7"/>
  <c r="R68" i="7"/>
  <c r="R77" i="7"/>
  <c r="R71" i="7"/>
  <c r="R51" i="7"/>
  <c r="R7" i="7"/>
  <c r="R49" i="7"/>
  <c r="R40" i="7"/>
  <c r="R32" i="7"/>
  <c r="R24" i="7"/>
  <c r="R8" i="7"/>
  <c r="R52" i="7"/>
  <c r="R61" i="7"/>
  <c r="R48" i="7"/>
  <c r="R37" i="7"/>
  <c r="R29" i="7"/>
  <c r="R21" i="7"/>
  <c r="R5" i="7"/>
  <c r="R83" i="7"/>
  <c r="R78" i="7"/>
  <c r="R82" i="7"/>
  <c r="R64" i="7"/>
  <c r="R46" i="7"/>
  <c r="R62" i="7"/>
  <c r="R47" i="7"/>
  <c r="R38" i="7"/>
  <c r="R30" i="7"/>
  <c r="R22" i="7"/>
  <c r="R63" i="7"/>
  <c r="R45" i="7"/>
  <c r="R58" i="7"/>
  <c r="R43" i="7"/>
  <c r="R35" i="7"/>
  <c r="R27" i="7"/>
  <c r="R19" i="7"/>
  <c r="R6" i="7"/>
  <c r="R73" i="7"/>
  <c r="R67" i="7"/>
  <c r="R85" i="7"/>
  <c r="R79" i="7"/>
  <c r="R72" i="7"/>
  <c r="R75" i="7"/>
  <c r="R70" i="7"/>
  <c r="M7" i="6"/>
  <c r="M35" i="6"/>
  <c r="M38" i="6"/>
  <c r="M36" i="6"/>
  <c r="L23" i="6"/>
  <c r="L34" i="6"/>
  <c r="L17" i="6"/>
  <c r="L33" i="6"/>
  <c r="M49" i="6"/>
  <c r="L45" i="6"/>
  <c r="M42" i="6"/>
  <c r="R36" i="11"/>
  <c r="Q36" i="12"/>
  <c r="R36" i="12" s="1"/>
  <c r="Q36" i="13"/>
  <c r="R36" i="13" s="1"/>
  <c r="R43" i="11"/>
  <c r="Q43" i="12"/>
  <c r="R43" i="12" s="1"/>
  <c r="Q43" i="13"/>
  <c r="R43" i="13" s="1"/>
  <c r="P9" i="30"/>
  <c r="P60" i="30" s="1"/>
  <c r="Q9" i="12"/>
  <c r="R9" i="12" s="1"/>
  <c r="Q9" i="13"/>
  <c r="R9" i="13" s="1"/>
  <c r="R9" i="11"/>
  <c r="Q29" i="13"/>
  <c r="R29" i="13" s="1"/>
  <c r="R29" i="11"/>
  <c r="Q29" i="12"/>
  <c r="R29" i="12" s="1"/>
  <c r="Q20" i="13"/>
  <c r="R20" i="13" s="1"/>
  <c r="R20" i="11"/>
  <c r="Q20" i="12"/>
  <c r="R20" i="12" s="1"/>
  <c r="Q24" i="13"/>
  <c r="R24" i="13" s="1"/>
  <c r="R24" i="11"/>
  <c r="Q24" i="12"/>
  <c r="R24" i="12" s="1"/>
  <c r="P48" i="30"/>
  <c r="P99" i="30" s="1"/>
  <c r="Q48" i="12"/>
  <c r="R48" i="12" s="1"/>
  <c r="Q48" i="13"/>
  <c r="R48" i="13" s="1"/>
  <c r="R48" i="11"/>
  <c r="P40" i="30"/>
  <c r="P91" i="30" s="1"/>
  <c r="Q40" i="12"/>
  <c r="R40" i="12" s="1"/>
  <c r="Q40" i="13"/>
  <c r="R40" i="13" s="1"/>
  <c r="R40" i="11"/>
  <c r="R15" i="11"/>
  <c r="Q15" i="12"/>
  <c r="R15" i="12" s="1"/>
  <c r="Q15" i="13"/>
  <c r="R15" i="13" s="1"/>
  <c r="Q32" i="12"/>
  <c r="R32" i="12" s="1"/>
  <c r="R32" i="11"/>
  <c r="Q32" i="13"/>
  <c r="R32" i="13" s="1"/>
  <c r="R23" i="11"/>
  <c r="Q23" i="13"/>
  <c r="R23" i="13" s="1"/>
  <c r="Q23" i="12"/>
  <c r="R23" i="12" s="1"/>
  <c r="R17" i="11"/>
  <c r="Q17" i="12"/>
  <c r="R17" i="12" s="1"/>
  <c r="Q17" i="13"/>
  <c r="R17" i="13" s="1"/>
  <c r="V38" i="11"/>
  <c r="S38" i="12"/>
  <c r="S38" i="13"/>
  <c r="Q38" i="30" s="1"/>
  <c r="Q89" i="30" s="1"/>
  <c r="Q30" i="30"/>
  <c r="Q81" i="30" s="1"/>
  <c r="S30" i="12"/>
  <c r="S30" i="13"/>
  <c r="V30" i="11"/>
  <c r="Q9" i="30"/>
  <c r="Q60" i="30" s="1"/>
  <c r="S9" i="12"/>
  <c r="S9" i="13"/>
  <c r="V9" i="11"/>
  <c r="Q21" i="30"/>
  <c r="Q72" i="30" s="1"/>
  <c r="S21" i="12"/>
  <c r="S21" i="13"/>
  <c r="V21" i="11"/>
  <c r="V45" i="11"/>
  <c r="S45" i="13"/>
  <c r="S45" i="12"/>
  <c r="Q45" i="30" s="1"/>
  <c r="Q96" i="30" s="1"/>
  <c r="V10" i="11"/>
  <c r="S10" i="12"/>
  <c r="S10" i="13"/>
  <c r="Q10" i="30" s="1"/>
  <c r="Q61" i="30" s="1"/>
  <c r="V47" i="11"/>
  <c r="S47" i="12"/>
  <c r="S47" i="13"/>
  <c r="Q47" i="30" s="1"/>
  <c r="Q98" i="30" s="1"/>
  <c r="V22" i="11"/>
  <c r="S22" i="12"/>
  <c r="S22" i="13"/>
  <c r="Q22" i="30" s="1"/>
  <c r="Q73" i="30" s="1"/>
  <c r="S14" i="13"/>
  <c r="V14" i="11"/>
  <c r="S14" i="12"/>
  <c r="Q14" i="30" s="1"/>
  <c r="Q65" i="30" s="1"/>
  <c r="V31" i="11"/>
  <c r="S31" i="12"/>
  <c r="S31" i="13"/>
  <c r="Q31" i="30" s="1"/>
  <c r="Q82" i="30" s="1"/>
  <c r="S42" i="13"/>
  <c r="V42" i="11"/>
  <c r="S42" i="12"/>
  <c r="Q42" i="30" s="1"/>
  <c r="Q93" i="30" s="1"/>
  <c r="Q19" i="30"/>
  <c r="Q70" i="30" s="1"/>
  <c r="S19" i="12"/>
  <c r="S19" i="13"/>
  <c r="V19" i="11"/>
  <c r="G8" i="31"/>
  <c r="G10" i="31"/>
  <c r="G6" i="31"/>
  <c r="B8" i="31"/>
  <c r="B10" i="31"/>
  <c r="B6" i="31"/>
  <c r="V8" i="31"/>
  <c r="V10" i="31"/>
  <c r="V6" i="31"/>
  <c r="J8" i="31"/>
  <c r="J10" i="31"/>
  <c r="J6" i="31"/>
  <c r="I8" i="31"/>
  <c r="I10" i="31"/>
  <c r="I6" i="31"/>
  <c r="Q8" i="31"/>
  <c r="Q6" i="31"/>
  <c r="Q10" i="31"/>
  <c r="O18" i="11"/>
  <c r="O17" i="11"/>
  <c r="O9" i="11"/>
  <c r="O12" i="11"/>
  <c r="O37" i="11"/>
  <c r="O23" i="11"/>
  <c r="O41" i="11"/>
  <c r="O39" i="11"/>
  <c r="O45" i="11"/>
  <c r="O43" i="11"/>
  <c r="O34" i="11"/>
  <c r="O16" i="11"/>
  <c r="O15" i="11"/>
  <c r="O7" i="11"/>
  <c r="O11" i="11"/>
  <c r="O21" i="11"/>
  <c r="O44" i="11"/>
  <c r="O26" i="11"/>
  <c r="O28" i="11"/>
  <c r="O30" i="11"/>
  <c r="O36" i="11"/>
  <c r="O50" i="11"/>
  <c r="O24" i="11"/>
  <c r="O13" i="11"/>
  <c r="O6" i="11"/>
  <c r="O5" i="11"/>
  <c r="O40" i="11"/>
  <c r="O38" i="11"/>
  <c r="O32" i="11"/>
  <c r="O42" i="11"/>
  <c r="O48" i="11"/>
  <c r="O46" i="11"/>
  <c r="O33" i="11"/>
  <c r="O31" i="11"/>
  <c r="O19" i="11"/>
  <c r="O14" i="11"/>
  <c r="O10" i="11"/>
  <c r="O8" i="11"/>
  <c r="O20" i="11"/>
  <c r="O35" i="11"/>
  <c r="O25" i="11"/>
  <c r="O22" i="11"/>
  <c r="O29" i="11"/>
  <c r="O27" i="11"/>
  <c r="O49" i="11"/>
  <c r="O47" i="11"/>
  <c r="X88" i="7"/>
  <c r="X93" i="7" s="1"/>
  <c r="AA88" i="7"/>
  <c r="AA93" i="7" s="1"/>
  <c r="AG88" i="7"/>
  <c r="Z89" i="8"/>
  <c r="Z93" i="8" s="1"/>
  <c r="Z89" i="9"/>
  <c r="Z89" i="7"/>
  <c r="L77" i="6"/>
  <c r="M63" i="6"/>
  <c r="M55" i="6"/>
  <c r="L80" i="6"/>
  <c r="M69" i="6"/>
  <c r="M58" i="6"/>
  <c r="L60" i="6"/>
  <c r="L82" i="6"/>
  <c r="M54" i="6"/>
  <c r="L79" i="6"/>
  <c r="M72" i="6"/>
  <c r="L72" i="6"/>
  <c r="M65" i="6"/>
  <c r="L78" i="6"/>
  <c r="M78" i="6"/>
  <c r="M79" i="6"/>
  <c r="M60" i="6"/>
  <c r="T44" i="12"/>
  <c r="R44" i="30" s="1"/>
  <c r="R95" i="30" s="1"/>
  <c r="T44" i="13"/>
  <c r="R8" i="30"/>
  <c r="R59" i="30" s="1"/>
  <c r="T8" i="12"/>
  <c r="T8" i="13"/>
  <c r="R50" i="30"/>
  <c r="R101" i="30" s="1"/>
  <c r="T50" i="12"/>
  <c r="T50" i="13"/>
  <c r="T33" i="12"/>
  <c r="R33" i="30" s="1"/>
  <c r="R84" i="30" s="1"/>
  <c r="T33" i="13"/>
  <c r="T24" i="12"/>
  <c r="R24" i="30" s="1"/>
  <c r="R75" i="30" s="1"/>
  <c r="T24" i="13"/>
  <c r="R21" i="30"/>
  <c r="R72" i="30" s="1"/>
  <c r="T21" i="12"/>
  <c r="T21" i="13"/>
  <c r="R9" i="30"/>
  <c r="R60" i="30" s="1"/>
  <c r="T9" i="12"/>
  <c r="T9" i="13"/>
  <c r="T22" i="12"/>
  <c r="R22" i="30" s="1"/>
  <c r="R73" i="30" s="1"/>
  <c r="T22" i="13"/>
  <c r="T27" i="12"/>
  <c r="R27" i="30" s="1"/>
  <c r="R78" i="30" s="1"/>
  <c r="T27" i="13"/>
  <c r="R35" i="30"/>
  <c r="R86" i="30" s="1"/>
  <c r="T35" i="12"/>
  <c r="T35" i="13"/>
  <c r="R17" i="30"/>
  <c r="R68" i="30" s="1"/>
  <c r="T17" i="12"/>
  <c r="T17" i="13"/>
  <c r="T26" i="12"/>
  <c r="R26" i="30" s="1"/>
  <c r="R77" i="30" s="1"/>
  <c r="T26" i="13"/>
  <c r="O62" i="7"/>
  <c r="O61" i="7"/>
  <c r="O72" i="7"/>
  <c r="O58" i="7"/>
  <c r="O66" i="7"/>
  <c r="O73" i="7"/>
  <c r="O71" i="7"/>
  <c r="O57" i="7"/>
  <c r="O44" i="7"/>
  <c r="O36" i="7"/>
  <c r="O28" i="7"/>
  <c r="O20" i="7"/>
  <c r="O55" i="7"/>
  <c r="O11" i="7"/>
  <c r="O43" i="7"/>
  <c r="O35" i="7"/>
  <c r="O27" i="7"/>
  <c r="O19" i="7"/>
  <c r="O46" i="7"/>
  <c r="O5" i="7"/>
  <c r="O85" i="7"/>
  <c r="O79" i="7"/>
  <c r="O59" i="7"/>
  <c r="O56" i="7"/>
  <c r="O64" i="7"/>
  <c r="O54" i="7"/>
  <c r="O42" i="7"/>
  <c r="O34" i="7"/>
  <c r="O26" i="7"/>
  <c r="O18" i="7"/>
  <c r="O52" i="7"/>
  <c r="O53" i="7"/>
  <c r="O41" i="7"/>
  <c r="O33" i="7"/>
  <c r="O25" i="7"/>
  <c r="O17" i="7"/>
  <c r="O15" i="7"/>
  <c r="O6" i="7"/>
  <c r="O69" i="7"/>
  <c r="O67" i="7"/>
  <c r="O82" i="7"/>
  <c r="O81" i="7"/>
  <c r="O84" i="7"/>
  <c r="O63" i="7"/>
  <c r="O74" i="7"/>
  <c r="O49" i="7"/>
  <c r="O40" i="7"/>
  <c r="O32" i="7"/>
  <c r="O24" i="7"/>
  <c r="O8" i="7"/>
  <c r="O45" i="7"/>
  <c r="O50" i="7"/>
  <c r="O39" i="7"/>
  <c r="O31" i="7"/>
  <c r="O23" i="7"/>
  <c r="O9" i="7"/>
  <c r="O10" i="7"/>
  <c r="O86" i="7"/>
  <c r="O77" i="7"/>
  <c r="O76" i="7"/>
  <c r="O75" i="7"/>
  <c r="O70" i="7"/>
  <c r="O68" i="7"/>
  <c r="O47" i="7"/>
  <c r="O38" i="7"/>
  <c r="O30" i="7"/>
  <c r="O22" i="7"/>
  <c r="O60" i="7"/>
  <c r="O16" i="7"/>
  <c r="O48" i="7"/>
  <c r="O37" i="7"/>
  <c r="O29" i="7"/>
  <c r="O21" i="7"/>
  <c r="O51" i="7"/>
  <c r="O7" i="7"/>
  <c r="O83" i="7"/>
  <c r="O78" i="7"/>
  <c r="O80" i="7"/>
  <c r="O65" i="7"/>
  <c r="S54" i="7"/>
  <c r="S42" i="7"/>
  <c r="S34" i="7"/>
  <c r="S26" i="7"/>
  <c r="S18" i="7"/>
  <c r="S52" i="7"/>
  <c r="S53" i="7"/>
  <c r="S41" i="7"/>
  <c r="S33" i="7"/>
  <c r="S25" i="7"/>
  <c r="S17" i="7"/>
  <c r="S15" i="7"/>
  <c r="S6" i="7"/>
  <c r="S79" i="7"/>
  <c r="S57" i="7"/>
  <c r="S73" i="7"/>
  <c r="S85" i="7"/>
  <c r="S66" i="7"/>
  <c r="S83" i="7"/>
  <c r="S49" i="7"/>
  <c r="S40" i="7"/>
  <c r="S32" i="7"/>
  <c r="S24" i="7"/>
  <c r="S8" i="7"/>
  <c r="S45" i="7"/>
  <c r="S50" i="7"/>
  <c r="S39" i="7"/>
  <c r="S31" i="7"/>
  <c r="S23" i="7"/>
  <c r="S9" i="7"/>
  <c r="S10" i="7"/>
  <c r="S63" i="7"/>
  <c r="S70" i="7"/>
  <c r="S56" i="7"/>
  <c r="S76" i="7"/>
  <c r="S75" i="7"/>
  <c r="S69" i="7"/>
  <c r="S68" i="7"/>
  <c r="S81" i="7"/>
  <c r="S77" i="7"/>
  <c r="S59" i="7"/>
  <c r="S47" i="7"/>
  <c r="S38" i="7"/>
  <c r="S30" i="7"/>
  <c r="S22" i="7"/>
  <c r="S60" i="7"/>
  <c r="S16" i="7"/>
  <c r="S48" i="7"/>
  <c r="S37" i="7"/>
  <c r="S29" i="7"/>
  <c r="S21" i="7"/>
  <c r="S51" i="7"/>
  <c r="S7" i="7"/>
  <c r="S58" i="7"/>
  <c r="S62" i="7"/>
  <c r="S71" i="7"/>
  <c r="S65" i="7"/>
  <c r="S72" i="7"/>
  <c r="S84" i="7"/>
  <c r="S78" i="7"/>
  <c r="S61" i="7"/>
  <c r="S44" i="7"/>
  <c r="S36" i="7"/>
  <c r="S28" i="7"/>
  <c r="S20" i="7"/>
  <c r="S55" i="7"/>
  <c r="S11" i="7"/>
  <c r="S43" i="7"/>
  <c r="S35" i="7"/>
  <c r="S27" i="7"/>
  <c r="S19" i="7"/>
  <c r="S46" i="7"/>
  <c r="S5" i="7"/>
  <c r="S86" i="7"/>
  <c r="S82" i="7"/>
  <c r="S74" i="7"/>
  <c r="S64" i="7"/>
  <c r="S67" i="7"/>
  <c r="S80" i="7"/>
  <c r="U52" i="7"/>
  <c r="U53" i="7"/>
  <c r="U41" i="7"/>
  <c r="U33" i="7"/>
  <c r="U25" i="7"/>
  <c r="U17" i="7"/>
  <c r="U15" i="7"/>
  <c r="U49" i="7"/>
  <c r="U40" i="7"/>
  <c r="U32" i="7"/>
  <c r="U24" i="7"/>
  <c r="U8" i="7"/>
  <c r="U82" i="7"/>
  <c r="U64" i="7"/>
  <c r="U86" i="7"/>
  <c r="U72" i="7"/>
  <c r="U74" i="7"/>
  <c r="U61" i="7"/>
  <c r="U58" i="7"/>
  <c r="U81" i="7"/>
  <c r="U45" i="7"/>
  <c r="U50" i="7"/>
  <c r="U39" i="7"/>
  <c r="U31" i="7"/>
  <c r="U23" i="7"/>
  <c r="U9" i="7"/>
  <c r="U10" i="7"/>
  <c r="U47" i="7"/>
  <c r="U38" i="7"/>
  <c r="U30" i="7"/>
  <c r="U22" i="7"/>
  <c r="U5" i="7"/>
  <c r="U88" i="7" s="1"/>
  <c r="U93" i="7" s="1"/>
  <c r="U63" i="7"/>
  <c r="U69" i="7"/>
  <c r="U67" i="7"/>
  <c r="U56" i="7"/>
  <c r="U71" i="7"/>
  <c r="U77" i="7"/>
  <c r="U75" i="7"/>
  <c r="U60" i="7"/>
  <c r="U16" i="7"/>
  <c r="U48" i="7"/>
  <c r="U37" i="7"/>
  <c r="U29" i="7"/>
  <c r="U21" i="7"/>
  <c r="U51" i="7"/>
  <c r="U7" i="7"/>
  <c r="U44" i="7"/>
  <c r="U36" i="7"/>
  <c r="U28" i="7"/>
  <c r="U20" i="7"/>
  <c r="U6" i="7"/>
  <c r="U79" i="7"/>
  <c r="U85" i="7"/>
  <c r="U83" i="7"/>
  <c r="U73" i="7"/>
  <c r="U68" i="7"/>
  <c r="U62" i="7"/>
  <c r="U76" i="7"/>
  <c r="U55" i="7"/>
  <c r="U11" i="7"/>
  <c r="U43" i="7"/>
  <c r="U35" i="7"/>
  <c r="U27" i="7"/>
  <c r="U19" i="7"/>
  <c r="U46" i="7"/>
  <c r="U54" i="7"/>
  <c r="U42" i="7"/>
  <c r="U34" i="7"/>
  <c r="U26" i="7"/>
  <c r="U18" i="7"/>
  <c r="U66" i="7"/>
  <c r="U84" i="7"/>
  <c r="U70" i="7"/>
  <c r="U59" i="7"/>
  <c r="U57" i="7"/>
  <c r="U80" i="7"/>
  <c r="U78" i="7"/>
  <c r="U65" i="7"/>
  <c r="L8" i="6"/>
  <c r="M23" i="6"/>
  <c r="L22" i="6"/>
  <c r="L24" i="6"/>
  <c r="M26" i="6"/>
  <c r="M22" i="6"/>
  <c r="M24" i="6"/>
  <c r="L29" i="6"/>
  <c r="L44" i="6"/>
  <c r="M44" i="6"/>
  <c r="L49" i="6"/>
  <c r="M41" i="6"/>
  <c r="P45" i="30"/>
  <c r="P96" i="30" s="1"/>
  <c r="Q45" i="12"/>
  <c r="R45" i="12" s="1"/>
  <c r="Q45" i="13"/>
  <c r="R45" i="13" s="1"/>
  <c r="R45" i="11"/>
  <c r="P37" i="30"/>
  <c r="P88" i="30" s="1"/>
  <c r="Q37" i="12"/>
  <c r="R37" i="12" s="1"/>
  <c r="Q37" i="13"/>
  <c r="R37" i="13" s="1"/>
  <c r="R37" i="11"/>
  <c r="P19" i="30"/>
  <c r="P70" i="30" s="1"/>
  <c r="Q19" i="12"/>
  <c r="R19" i="12" s="1"/>
  <c r="Q19" i="13"/>
  <c r="R19" i="13" s="1"/>
  <c r="R19" i="11"/>
  <c r="Q31" i="13"/>
  <c r="R31" i="13" s="1"/>
  <c r="R31" i="11"/>
  <c r="Q31" i="12"/>
  <c r="R31" i="12" s="1"/>
  <c r="R22" i="11"/>
  <c r="Q22" i="12"/>
  <c r="R22" i="12" s="1"/>
  <c r="Q22" i="13"/>
  <c r="R22" i="13" s="1"/>
  <c r="R14" i="11"/>
  <c r="Q14" i="12"/>
  <c r="R14" i="12" s="1"/>
  <c r="Q14" i="13"/>
  <c r="R14" i="13" s="1"/>
  <c r="R50" i="11"/>
  <c r="Q50" i="12"/>
  <c r="R50" i="12" s="1"/>
  <c r="Q50" i="13"/>
  <c r="R50" i="13" s="1"/>
  <c r="R42" i="11"/>
  <c r="Q42" i="12"/>
  <c r="R42" i="12" s="1"/>
  <c r="Q42" i="13"/>
  <c r="R42" i="13" s="1"/>
  <c r="P11" i="30"/>
  <c r="P62" i="30" s="1"/>
  <c r="Q11" i="12"/>
  <c r="R11" i="12" s="1"/>
  <c r="Q11" i="13"/>
  <c r="R11" i="13" s="1"/>
  <c r="R11" i="11"/>
  <c r="P34" i="30"/>
  <c r="P85" i="30" s="1"/>
  <c r="Q34" i="13"/>
  <c r="R34" i="13" s="1"/>
  <c r="Q34" i="12"/>
  <c r="R34" i="12" s="1"/>
  <c r="R34" i="11"/>
  <c r="P26" i="30"/>
  <c r="P77" i="30" s="1"/>
  <c r="Q26" i="13"/>
  <c r="R26" i="13" s="1"/>
  <c r="Q26" i="12"/>
  <c r="R26" i="12" s="1"/>
  <c r="R26" i="11"/>
  <c r="R13" i="11"/>
  <c r="Q13" i="12"/>
  <c r="R13" i="12" s="1"/>
  <c r="Q13" i="13"/>
  <c r="R13" i="13" s="1"/>
  <c r="V40" i="11"/>
  <c r="S40" i="12"/>
  <c r="S40" i="13"/>
  <c r="Q40" i="30" s="1"/>
  <c r="Q91" i="30" s="1"/>
  <c r="S32" i="13"/>
  <c r="V32" i="11"/>
  <c r="S32" i="12"/>
  <c r="Q32" i="30" s="1"/>
  <c r="Q83" i="30" s="1"/>
  <c r="V6" i="11"/>
  <c r="S6" i="12"/>
  <c r="S6" i="13"/>
  <c r="Q6" i="30" s="1"/>
  <c r="Q57" i="30" s="1"/>
  <c r="S23" i="13"/>
  <c r="V23" i="11"/>
  <c r="S23" i="12"/>
  <c r="Q23" i="30" s="1"/>
  <c r="Q74" i="30" s="1"/>
  <c r="V39" i="11"/>
  <c r="S39" i="12"/>
  <c r="S39" i="13"/>
  <c r="Q39" i="30" s="1"/>
  <c r="Q90" i="30" s="1"/>
  <c r="Q13" i="30"/>
  <c r="Q64" i="30" s="1"/>
  <c r="S13" i="12"/>
  <c r="S13" i="13"/>
  <c r="V13" i="11"/>
  <c r="S49" i="12"/>
  <c r="V49" i="11"/>
  <c r="S49" i="13"/>
  <c r="Q49" i="30" s="1"/>
  <c r="Q100" i="30" s="1"/>
  <c r="V25" i="11"/>
  <c r="S25" i="12"/>
  <c r="S25" i="13"/>
  <c r="Q25" i="30" s="1"/>
  <c r="Q76" i="30" s="1"/>
  <c r="V17" i="11"/>
  <c r="S17" i="12"/>
  <c r="S17" i="13"/>
  <c r="Q17" i="30" s="1"/>
  <c r="Q68" i="30" s="1"/>
  <c r="Q33" i="30"/>
  <c r="Q84" i="30" s="1"/>
  <c r="S33" i="12"/>
  <c r="S33" i="13"/>
  <c r="V33" i="11"/>
  <c r="V44" i="11"/>
  <c r="S44" i="12"/>
  <c r="S44" i="13"/>
  <c r="Q44" i="30" s="1"/>
  <c r="Q95" i="30" s="1"/>
  <c r="V18" i="11"/>
  <c r="S18" i="12"/>
  <c r="S18" i="13"/>
  <c r="Q18" i="30" s="1"/>
  <c r="Q69" i="30" s="1"/>
  <c r="W8" i="31"/>
  <c r="W10" i="31"/>
  <c r="W6" i="31"/>
  <c r="D8" i="31"/>
  <c r="D10" i="31"/>
  <c r="D6" i="31"/>
  <c r="S8" i="31"/>
  <c r="S10" i="31"/>
  <c r="S6" i="31"/>
  <c r="C8" i="31"/>
  <c r="C10" i="31"/>
  <c r="C6" i="31"/>
  <c r="E8" i="31"/>
  <c r="E6" i="31"/>
  <c r="E10" i="31"/>
  <c r="L8" i="31"/>
  <c r="L10" i="31"/>
  <c r="L6" i="31"/>
  <c r="T8" i="31"/>
  <c r="T10" i="31"/>
  <c r="T6" i="31"/>
  <c r="W88" i="7"/>
  <c r="W93" i="7" s="1"/>
  <c r="P88" i="7"/>
  <c r="P93" i="7" s="1"/>
  <c r="R88" i="7"/>
  <c r="Z88" i="7"/>
  <c r="Z93" i="7" s="1"/>
  <c r="M59" i="6"/>
  <c r="M84" i="6"/>
  <c r="L73" i="6"/>
  <c r="L64" i="6"/>
  <c r="M61" i="6"/>
  <c r="L86" i="6"/>
  <c r="M75" i="6"/>
  <c r="M82" i="6"/>
  <c r="L76" i="6"/>
  <c r="M56" i="6"/>
  <c r="M64" i="6"/>
  <c r="L56" i="6"/>
  <c r="L75" i="6"/>
  <c r="L62" i="6"/>
  <c r="M62" i="6"/>
  <c r="M71" i="6"/>
  <c r="T41" i="12"/>
  <c r="R41" i="30" s="1"/>
  <c r="R92" i="30" s="1"/>
  <c r="T41" i="13"/>
  <c r="R11" i="30"/>
  <c r="R62" i="30" s="1"/>
  <c r="T11" i="12"/>
  <c r="T11" i="13"/>
  <c r="T31" i="12"/>
  <c r="R31" i="30" s="1"/>
  <c r="R82" i="30" s="1"/>
  <c r="T31" i="13"/>
  <c r="T5" i="12"/>
  <c r="T5" i="13"/>
  <c r="T52" i="13" s="1"/>
  <c r="T52" i="11"/>
  <c r="T30" i="12"/>
  <c r="R30" i="30" s="1"/>
  <c r="R81" i="30" s="1"/>
  <c r="T30" i="13"/>
  <c r="T36" i="12"/>
  <c r="R36" i="30" s="1"/>
  <c r="R87" i="30" s="1"/>
  <c r="T36" i="13"/>
  <c r="R6" i="30"/>
  <c r="R57" i="30" s="1"/>
  <c r="T6" i="12"/>
  <c r="T6" i="13"/>
  <c r="T23" i="12"/>
  <c r="R23" i="30" s="1"/>
  <c r="R74" i="30" s="1"/>
  <c r="T23" i="13"/>
  <c r="T28" i="12"/>
  <c r="R28" i="30" s="1"/>
  <c r="R79" i="30" s="1"/>
  <c r="T28" i="13"/>
  <c r="T7" i="12"/>
  <c r="R7" i="30" s="1"/>
  <c r="R58" i="30" s="1"/>
  <c r="T7" i="13"/>
  <c r="R39" i="30"/>
  <c r="R90" i="30" s="1"/>
  <c r="T39" i="12"/>
  <c r="T39" i="13"/>
  <c r="L6" i="32"/>
  <c r="E34" i="5"/>
  <c r="L54" i="13"/>
  <c r="L54" i="12"/>
  <c r="L54" i="11"/>
  <c r="L57" i="11" s="1"/>
  <c r="L56" i="11" s="1"/>
  <c r="L54" i="10"/>
  <c r="Y41" i="12"/>
  <c r="Z41" i="12" s="1"/>
  <c r="Y41" i="13"/>
  <c r="Z41" i="13" s="1"/>
  <c r="Z41" i="11"/>
  <c r="Z43" i="11"/>
  <c r="Y43" i="12"/>
  <c r="Z43" i="12" s="1"/>
  <c r="Y43" i="13"/>
  <c r="Z43" i="13" s="1"/>
  <c r="Y37" i="12"/>
  <c r="Z37" i="12" s="1"/>
  <c r="Y37" i="13"/>
  <c r="Z37" i="13" s="1"/>
  <c r="Z37" i="11"/>
  <c r="Z39" i="11"/>
  <c r="Y39" i="12"/>
  <c r="Z39" i="12" s="1"/>
  <c r="Y39" i="13"/>
  <c r="Z39" i="13" s="1"/>
  <c r="Y49" i="12"/>
  <c r="Z49" i="12" s="1"/>
  <c r="Y49" i="13"/>
  <c r="Z49" i="13" s="1"/>
  <c r="Z49" i="11"/>
  <c r="Z38" i="11"/>
  <c r="Y38" i="12"/>
  <c r="Z38" i="12" s="1"/>
  <c r="Y38" i="13"/>
  <c r="Z38" i="13" s="1"/>
  <c r="Z48" i="11"/>
  <c r="Y48" i="12"/>
  <c r="Z48" i="12" s="1"/>
  <c r="Y48" i="13"/>
  <c r="Z48" i="13" s="1"/>
  <c r="Z50" i="11"/>
  <c r="Y50" i="12"/>
  <c r="Z50" i="12" s="1"/>
  <c r="Y50" i="13"/>
  <c r="Z50" i="13" s="1"/>
  <c r="Y8" i="12"/>
  <c r="Z8" i="12" s="1"/>
  <c r="Y8" i="13"/>
  <c r="Z8" i="13" s="1"/>
  <c r="Z8" i="11"/>
  <c r="Y5" i="12"/>
  <c r="U5" i="30" s="1"/>
  <c r="U56" i="30" s="1"/>
  <c r="Y5" i="13"/>
  <c r="Z5" i="11"/>
  <c r="Y52" i="11"/>
  <c r="Y19" i="12"/>
  <c r="Z19" i="12" s="1"/>
  <c r="Y19" i="13"/>
  <c r="Z19" i="13" s="1"/>
  <c r="Z19" i="11"/>
  <c r="Z18" i="11"/>
  <c r="Y18" i="12"/>
  <c r="Z18" i="12" s="1"/>
  <c r="Y18" i="13"/>
  <c r="Z18" i="13" s="1"/>
  <c r="T89" i="8"/>
  <c r="T89" i="9"/>
  <c r="T89" i="7"/>
  <c r="F34" i="5"/>
  <c r="L55" i="13"/>
  <c r="L55" i="12"/>
  <c r="L57" i="12" s="1"/>
  <c r="L56" i="12" s="1"/>
  <c r="L55" i="11"/>
  <c r="L55" i="10"/>
  <c r="Y25" i="12"/>
  <c r="Z25" i="12" s="1"/>
  <c r="Y25" i="13"/>
  <c r="Z25" i="13" s="1"/>
  <c r="Z25" i="11"/>
  <c r="Z27" i="11"/>
  <c r="Y27" i="12"/>
  <c r="Z27" i="12" s="1"/>
  <c r="Y27" i="13"/>
  <c r="Z27" i="13" s="1"/>
  <c r="Z20" i="11"/>
  <c r="Y20" i="12"/>
  <c r="Z20" i="12" s="1"/>
  <c r="Y20" i="13"/>
  <c r="Z20" i="13" s="1"/>
  <c r="Z22" i="11"/>
  <c r="Y22" i="12"/>
  <c r="Z22" i="12" s="1"/>
  <c r="Y22" i="13"/>
  <c r="Z22" i="13" s="1"/>
  <c r="Y33" i="12"/>
  <c r="Z33" i="12" s="1"/>
  <c r="Y33" i="13"/>
  <c r="Z33" i="13" s="1"/>
  <c r="Z33" i="11"/>
  <c r="Y21" i="12"/>
  <c r="Z21" i="12" s="1"/>
  <c r="Y21" i="13"/>
  <c r="Z21" i="13" s="1"/>
  <c r="Z21" i="11"/>
  <c r="Z32" i="11"/>
  <c r="Y32" i="12"/>
  <c r="Z32" i="12" s="1"/>
  <c r="Y32" i="13"/>
  <c r="Z32" i="13" s="1"/>
  <c r="Z34" i="11"/>
  <c r="Y34" i="12"/>
  <c r="Z34" i="12" s="1"/>
  <c r="Y34" i="13"/>
  <c r="Z34" i="13" s="1"/>
  <c r="Y9" i="12"/>
  <c r="Z9" i="12" s="1"/>
  <c r="Y9" i="13"/>
  <c r="Z9" i="13" s="1"/>
  <c r="Z9" i="11"/>
  <c r="Z6" i="11"/>
  <c r="Y6" i="12"/>
  <c r="Z6" i="12" s="1"/>
  <c r="Y6" i="13"/>
  <c r="Z6" i="13" s="1"/>
  <c r="Y15" i="12"/>
  <c r="Z15" i="12" s="1"/>
  <c r="Y15" i="13"/>
  <c r="Z15" i="13" s="1"/>
  <c r="Z15" i="11"/>
  <c r="Y24" i="12"/>
  <c r="Z24" i="12" s="1"/>
  <c r="Y24" i="13"/>
  <c r="Z24" i="13" s="1"/>
  <c r="Z24" i="11"/>
  <c r="AA53" i="13"/>
  <c r="AA53" i="12"/>
  <c r="W57" i="12" s="1"/>
  <c r="AA53" i="11"/>
  <c r="AA53" i="10"/>
  <c r="Z44" i="11"/>
  <c r="Y44" i="12"/>
  <c r="Z44" i="12" s="1"/>
  <c r="Y44" i="13"/>
  <c r="Z44" i="13" s="1"/>
  <c r="Z46" i="11"/>
  <c r="Y46" i="12"/>
  <c r="Z46" i="12" s="1"/>
  <c r="Y46" i="13"/>
  <c r="Z46" i="13" s="1"/>
  <c r="Z40" i="11"/>
  <c r="Y40" i="12"/>
  <c r="Z40" i="12" s="1"/>
  <c r="Y40" i="13"/>
  <c r="Z40" i="13" s="1"/>
  <c r="Z42" i="11"/>
  <c r="Y42" i="12"/>
  <c r="Z42" i="12" s="1"/>
  <c r="Y42" i="13"/>
  <c r="Z42" i="13" s="1"/>
  <c r="Z36" i="11"/>
  <c r="Y36" i="12"/>
  <c r="Z36" i="12" s="1"/>
  <c r="Y36" i="13"/>
  <c r="Z36" i="13" s="1"/>
  <c r="Y45" i="12"/>
  <c r="Z45" i="12" s="1"/>
  <c r="Y45" i="13"/>
  <c r="Z45" i="13" s="1"/>
  <c r="Z45" i="11"/>
  <c r="Z47" i="11"/>
  <c r="Y47" i="12"/>
  <c r="Z47" i="12" s="1"/>
  <c r="Y47" i="13"/>
  <c r="Z47" i="13" s="1"/>
  <c r="Y7" i="12"/>
  <c r="Z7" i="12" s="1"/>
  <c r="Y7" i="13"/>
  <c r="Z7" i="13" s="1"/>
  <c r="Z7" i="11"/>
  <c r="Z10" i="11"/>
  <c r="Y10" i="12"/>
  <c r="Z10" i="12" s="1"/>
  <c r="Y10" i="13"/>
  <c r="Z10" i="13" s="1"/>
  <c r="Y13" i="12"/>
  <c r="Z13" i="12" s="1"/>
  <c r="Y13" i="13"/>
  <c r="Z13" i="13" s="1"/>
  <c r="Z13" i="11"/>
  <c r="Y17" i="12"/>
  <c r="Z17" i="12" s="1"/>
  <c r="Y17" i="13"/>
  <c r="Z17" i="13" s="1"/>
  <c r="Z17" i="11"/>
  <c r="N90" i="9"/>
  <c r="N90" i="8"/>
  <c r="N90" i="7"/>
  <c r="N91" i="9"/>
  <c r="N91" i="8"/>
  <c r="N93" i="8" s="1"/>
  <c r="N91" i="7"/>
  <c r="Y28" i="12"/>
  <c r="Z28" i="12" s="1"/>
  <c r="Y28" i="13"/>
  <c r="Z28" i="13" s="1"/>
  <c r="Z28" i="11"/>
  <c r="Z30" i="11"/>
  <c r="Y30" i="12"/>
  <c r="Z30" i="12" s="1"/>
  <c r="Y30" i="13"/>
  <c r="Z30" i="13" s="1"/>
  <c r="Y23" i="12"/>
  <c r="Z23" i="12" s="1"/>
  <c r="Y23" i="13"/>
  <c r="Z23" i="13" s="1"/>
  <c r="Z23" i="11"/>
  <c r="Z26" i="11"/>
  <c r="Y26" i="12"/>
  <c r="Z26" i="12" s="1"/>
  <c r="Y26" i="13"/>
  <c r="Z26" i="13" s="1"/>
  <c r="Z35" i="11"/>
  <c r="Y35" i="12"/>
  <c r="Z35" i="12" s="1"/>
  <c r="Y35" i="13"/>
  <c r="Z35" i="13" s="1"/>
  <c r="Y29" i="12"/>
  <c r="Z29" i="12" s="1"/>
  <c r="Y29" i="13"/>
  <c r="Z29" i="13" s="1"/>
  <c r="Z29" i="11"/>
  <c r="Y31" i="12"/>
  <c r="Z31" i="12" s="1"/>
  <c r="Y31" i="13"/>
  <c r="Z31" i="13" s="1"/>
  <c r="Z31" i="11"/>
  <c r="Y12" i="12"/>
  <c r="Z12" i="12" s="1"/>
  <c r="Y12" i="13"/>
  <c r="Z12" i="13" s="1"/>
  <c r="Z12" i="11"/>
  <c r="Y11" i="12"/>
  <c r="Z11" i="12" s="1"/>
  <c r="Y11" i="13"/>
  <c r="Z11" i="13" s="1"/>
  <c r="Z11" i="11"/>
  <c r="Z14" i="11"/>
  <c r="Y14" i="12"/>
  <c r="Z14" i="12" s="1"/>
  <c r="Y14" i="13"/>
  <c r="Z14" i="13" s="1"/>
  <c r="Y16" i="12"/>
  <c r="Z16" i="12" s="1"/>
  <c r="Y16" i="13"/>
  <c r="Z16" i="13" s="1"/>
  <c r="Z16" i="11"/>
  <c r="L57" i="10"/>
  <c r="E10" i="5"/>
  <c r="N92" i="6"/>
  <c r="F10" i="5"/>
  <c r="F29" i="5" s="1"/>
  <c r="N93" i="6"/>
  <c r="D46" i="5"/>
  <c r="D29" i="5"/>
  <c r="U72" i="8" l="1"/>
  <c r="U13" i="8"/>
  <c r="U12" i="8"/>
  <c r="U14" i="8"/>
  <c r="Z79" i="8"/>
  <c r="Z71" i="8"/>
  <c r="Z60" i="8"/>
  <c r="Z45" i="8"/>
  <c r="Z74" i="8"/>
  <c r="Z56" i="8"/>
  <c r="Z40" i="8"/>
  <c r="Z67" i="8"/>
  <c r="Z51" i="8"/>
  <c r="Z72" i="8"/>
  <c r="Z58" i="8"/>
  <c r="Z42" i="8"/>
  <c r="Z24" i="8"/>
  <c r="Z10" i="8"/>
  <c r="Z31" i="8"/>
  <c r="Z17" i="8"/>
  <c r="Z38" i="8"/>
  <c r="Z22" i="8"/>
  <c r="Z5" i="8"/>
  <c r="Z25" i="8"/>
  <c r="Z81" i="8"/>
  <c r="Z85" i="8"/>
  <c r="Z57" i="8"/>
  <c r="Z41" i="8"/>
  <c r="Z68" i="8"/>
  <c r="Z52" i="8"/>
  <c r="Z82" i="8"/>
  <c r="Z64" i="8"/>
  <c r="Z47" i="8"/>
  <c r="Z70" i="8"/>
  <c r="Z54" i="8"/>
  <c r="Z36" i="8"/>
  <c r="Z18" i="8"/>
  <c r="Z7" i="8"/>
  <c r="Z27" i="8"/>
  <c r="Z15" i="8"/>
  <c r="Z34" i="8"/>
  <c r="Z19" i="8"/>
  <c r="Z37" i="8"/>
  <c r="Z21" i="8"/>
  <c r="Z86" i="8"/>
  <c r="Z78" i="8"/>
  <c r="Z69" i="8"/>
  <c r="Z53" i="8"/>
  <c r="Z84" i="8"/>
  <c r="Z62" i="8"/>
  <c r="Z48" i="8"/>
  <c r="Z76" i="8"/>
  <c r="Z61" i="8"/>
  <c r="Z43" i="8"/>
  <c r="Z66" i="8"/>
  <c r="Z50" i="8"/>
  <c r="Z32" i="8"/>
  <c r="Z13" i="8"/>
  <c r="Z39" i="8"/>
  <c r="Z23" i="8"/>
  <c r="Z14" i="8"/>
  <c r="Z30" i="8"/>
  <c r="Z11" i="8"/>
  <c r="Z33" i="8"/>
  <c r="Z16" i="8"/>
  <c r="Z83" i="8"/>
  <c r="Z75" i="8"/>
  <c r="Z65" i="8"/>
  <c r="Z49" i="8"/>
  <c r="Z77" i="8"/>
  <c r="Z59" i="8"/>
  <c r="Z44" i="8"/>
  <c r="Z73" i="8"/>
  <c r="Z55" i="8"/>
  <c r="Z80" i="8"/>
  <c r="Z63" i="8"/>
  <c r="Z46" i="8"/>
  <c r="Z28" i="8"/>
  <c r="Z12" i="8"/>
  <c r="Z35" i="8"/>
  <c r="Z20" i="8"/>
  <c r="Z6" i="8"/>
  <c r="Z26" i="8"/>
  <c r="Z9" i="8"/>
  <c r="Z29" i="8"/>
  <c r="Z8" i="8"/>
  <c r="P13" i="30"/>
  <c r="P64" i="30" s="1"/>
  <c r="P42" i="30"/>
  <c r="P93" i="30" s="1"/>
  <c r="P50" i="30"/>
  <c r="P101" i="30" s="1"/>
  <c r="P14" i="30"/>
  <c r="P65" i="30" s="1"/>
  <c r="P22" i="30"/>
  <c r="P73" i="30" s="1"/>
  <c r="P31" i="30"/>
  <c r="P82" i="30" s="1"/>
  <c r="U78" i="9"/>
  <c r="U78" i="8"/>
  <c r="T78" i="29" s="1"/>
  <c r="T165" i="29" s="1"/>
  <c r="U70" i="9"/>
  <c r="U70" i="8"/>
  <c r="T70" i="29" s="1"/>
  <c r="T157" i="29" s="1"/>
  <c r="U26" i="9"/>
  <c r="U26" i="8"/>
  <c r="T26" i="29" s="1"/>
  <c r="T113" i="29" s="1"/>
  <c r="U46" i="9"/>
  <c r="U46" i="8"/>
  <c r="T46" i="29" s="1"/>
  <c r="T133" i="29" s="1"/>
  <c r="U43" i="9"/>
  <c r="U43" i="8"/>
  <c r="T43" i="29" s="1"/>
  <c r="T130" i="29" s="1"/>
  <c r="U62" i="9"/>
  <c r="U62" i="8"/>
  <c r="T62" i="29" s="1"/>
  <c r="T149" i="29" s="1"/>
  <c r="U85" i="9"/>
  <c r="U85" i="8"/>
  <c r="T85" i="29" s="1"/>
  <c r="T172" i="29" s="1"/>
  <c r="U28" i="9"/>
  <c r="U28" i="8"/>
  <c r="T28" i="29" s="1"/>
  <c r="T115" i="29" s="1"/>
  <c r="U51" i="9"/>
  <c r="U51" i="8"/>
  <c r="T51" i="29" s="1"/>
  <c r="T138" i="29" s="1"/>
  <c r="U48" i="9"/>
  <c r="U48" i="8"/>
  <c r="T48" i="29" s="1"/>
  <c r="T135" i="29" s="1"/>
  <c r="U77" i="9"/>
  <c r="U77" i="8"/>
  <c r="T77" i="29" s="1"/>
  <c r="T164" i="29" s="1"/>
  <c r="U69" i="9"/>
  <c r="U69" i="8"/>
  <c r="T69" i="29" s="1"/>
  <c r="T156" i="29" s="1"/>
  <c r="U30" i="9"/>
  <c r="U30" i="8"/>
  <c r="T30" i="29" s="1"/>
  <c r="T117" i="29" s="1"/>
  <c r="U9" i="9"/>
  <c r="U9" i="8"/>
  <c r="T9" i="29" s="1"/>
  <c r="T96" i="29" s="1"/>
  <c r="U50" i="9"/>
  <c r="U50" i="8"/>
  <c r="T50" i="29" s="1"/>
  <c r="T137" i="29" s="1"/>
  <c r="U61" i="9"/>
  <c r="U61" i="8"/>
  <c r="T61" i="29" s="1"/>
  <c r="T148" i="29" s="1"/>
  <c r="U64" i="9"/>
  <c r="U64" i="8"/>
  <c r="T64" i="29" s="1"/>
  <c r="T151" i="29" s="1"/>
  <c r="U32" i="9"/>
  <c r="U32" i="8"/>
  <c r="T32" i="29" s="1"/>
  <c r="T119" i="29" s="1"/>
  <c r="U17" i="9"/>
  <c r="U17" i="8"/>
  <c r="T17" i="29" s="1"/>
  <c r="T104" i="29" s="1"/>
  <c r="U53" i="9"/>
  <c r="U53" i="8"/>
  <c r="T53" i="29" s="1"/>
  <c r="T140" i="29" s="1"/>
  <c r="O83" i="9"/>
  <c r="O29" i="9"/>
  <c r="O60" i="9"/>
  <c r="O47" i="9"/>
  <c r="O76" i="9"/>
  <c r="O9" i="9"/>
  <c r="O50" i="9"/>
  <c r="O32" i="9"/>
  <c r="O63" i="9"/>
  <c r="O67" i="9"/>
  <c r="O17" i="9"/>
  <c r="O53" i="9"/>
  <c r="O34" i="9"/>
  <c r="O56" i="9"/>
  <c r="O5" i="9"/>
  <c r="O35" i="9"/>
  <c r="O20" i="9"/>
  <c r="O57" i="9"/>
  <c r="O58" i="9"/>
  <c r="U18" i="30"/>
  <c r="U69" i="30" s="1"/>
  <c r="U50" i="30"/>
  <c r="U101" i="30" s="1"/>
  <c r="U39" i="30"/>
  <c r="U90" i="30" s="1"/>
  <c r="O29" i="12"/>
  <c r="O29" i="30" s="1"/>
  <c r="O80" i="30" s="1"/>
  <c r="O29" i="13"/>
  <c r="O20" i="12"/>
  <c r="O20" i="13"/>
  <c r="O20" i="30" s="1"/>
  <c r="O71" i="30" s="1"/>
  <c r="O19" i="30"/>
  <c r="O70" i="30" s="1"/>
  <c r="O19" i="12"/>
  <c r="O19" i="13"/>
  <c r="O48" i="12"/>
  <c r="O48" i="30" s="1"/>
  <c r="O99" i="30" s="1"/>
  <c r="O48" i="13"/>
  <c r="O40" i="12"/>
  <c r="O40" i="30" s="1"/>
  <c r="O91" i="30" s="1"/>
  <c r="O40" i="13"/>
  <c r="O24" i="12"/>
  <c r="O24" i="13"/>
  <c r="O24" i="30" s="1"/>
  <c r="O75" i="30" s="1"/>
  <c r="O28" i="30"/>
  <c r="O79" i="30" s="1"/>
  <c r="O28" i="12"/>
  <c r="O28" i="13"/>
  <c r="O11" i="12"/>
  <c r="O11" i="30" s="1"/>
  <c r="O62" i="30" s="1"/>
  <c r="O11" i="13"/>
  <c r="O34" i="12"/>
  <c r="O34" i="30" s="1"/>
  <c r="O85" i="30" s="1"/>
  <c r="O34" i="13"/>
  <c r="O41" i="12"/>
  <c r="O41" i="13"/>
  <c r="O41" i="30" s="1"/>
  <c r="O92" i="30" s="1"/>
  <c r="O9" i="30"/>
  <c r="O60" i="30" s="1"/>
  <c r="O9" i="12"/>
  <c r="O9" i="13"/>
  <c r="X10" i="31"/>
  <c r="P17" i="30"/>
  <c r="P68" i="30" s="1"/>
  <c r="P23" i="30"/>
  <c r="P74" i="30" s="1"/>
  <c r="P32" i="30"/>
  <c r="P83" i="30" s="1"/>
  <c r="P15" i="30"/>
  <c r="P66" i="30" s="1"/>
  <c r="P24" i="30"/>
  <c r="P75" i="30" s="1"/>
  <c r="P20" i="30"/>
  <c r="P71" i="30" s="1"/>
  <c r="P29" i="30"/>
  <c r="P80" i="30" s="1"/>
  <c r="P43" i="30"/>
  <c r="P94" i="30" s="1"/>
  <c r="P36" i="30"/>
  <c r="P87" i="30" s="1"/>
  <c r="R72" i="9"/>
  <c r="R73" i="9"/>
  <c r="R35" i="9"/>
  <c r="R63" i="9"/>
  <c r="R47" i="9"/>
  <c r="R82" i="9"/>
  <c r="R21" i="9"/>
  <c r="R61" i="9"/>
  <c r="R32" i="9"/>
  <c r="R51" i="9"/>
  <c r="R65" i="9"/>
  <c r="R31" i="9"/>
  <c r="R55" i="9"/>
  <c r="R42" i="9"/>
  <c r="R74" i="9"/>
  <c r="R69" i="9"/>
  <c r="R33" i="9"/>
  <c r="R60" i="9"/>
  <c r="R44" i="9"/>
  <c r="R86" i="9"/>
  <c r="Q54" i="9"/>
  <c r="Q80" i="9"/>
  <c r="Q20" i="9"/>
  <c r="Q56" i="9"/>
  <c r="Q61" i="9"/>
  <c r="Q71" i="9"/>
  <c r="Q5" i="9"/>
  <c r="Q57" i="9"/>
  <c r="Q35" i="9"/>
  <c r="Q22" i="9"/>
  <c r="Q70" i="9"/>
  <c r="Q74" i="9"/>
  <c r="Q28" i="9"/>
  <c r="Q64" i="9"/>
  <c r="Q82" i="9"/>
  <c r="Q85" i="9"/>
  <c r="Q18" i="9"/>
  <c r="Q51" i="9"/>
  <c r="Q58" i="9"/>
  <c r="U16" i="30"/>
  <c r="U67" i="30" s="1"/>
  <c r="U31" i="30"/>
  <c r="U82" i="30" s="1"/>
  <c r="U23" i="30"/>
  <c r="U74" i="30" s="1"/>
  <c r="M90" i="6"/>
  <c r="M95" i="6" s="1"/>
  <c r="M82" i="7" s="1"/>
  <c r="L90" i="6"/>
  <c r="L95" i="6" s="1"/>
  <c r="L8" i="7" s="1"/>
  <c r="AH16" i="8"/>
  <c r="AH14" i="8"/>
  <c r="AD14" i="29" s="1"/>
  <c r="AD101" i="29" s="1"/>
  <c r="AH13" i="8"/>
  <c r="AD13" i="29" s="1"/>
  <c r="AD100" i="29" s="1"/>
  <c r="AH12" i="8"/>
  <c r="AD12" i="29" s="1"/>
  <c r="AD99" i="29" s="1"/>
  <c r="V7" i="13"/>
  <c r="U35" i="13"/>
  <c r="U35" i="12"/>
  <c r="V35" i="12" s="1"/>
  <c r="U46" i="12"/>
  <c r="U46" i="13"/>
  <c r="S46" i="30" s="1"/>
  <c r="S97" i="30" s="1"/>
  <c r="S18" i="30"/>
  <c r="S69" i="30" s="1"/>
  <c r="U18" i="12"/>
  <c r="U18" i="13"/>
  <c r="S38" i="30"/>
  <c r="S89" i="30" s="1"/>
  <c r="U38" i="12"/>
  <c r="U38" i="13"/>
  <c r="U30" i="12"/>
  <c r="S30" i="30" s="1"/>
  <c r="S81" i="30" s="1"/>
  <c r="U30" i="13"/>
  <c r="U24" i="12"/>
  <c r="U24" i="13"/>
  <c r="V24" i="13" s="1"/>
  <c r="S21" i="30"/>
  <c r="S72" i="30" s="1"/>
  <c r="U21" i="12"/>
  <c r="U21" i="13"/>
  <c r="S45" i="30"/>
  <c r="S96" i="30" s="1"/>
  <c r="U45" i="12"/>
  <c r="U45" i="13"/>
  <c r="U12" i="12"/>
  <c r="V12" i="12" s="1"/>
  <c r="U12" i="13"/>
  <c r="U47" i="12"/>
  <c r="U47" i="13"/>
  <c r="S47" i="30" s="1"/>
  <c r="S98" i="30" s="1"/>
  <c r="S7" i="30"/>
  <c r="S58" i="30" s="1"/>
  <c r="U7" i="13"/>
  <c r="U7" i="12"/>
  <c r="M46" i="7"/>
  <c r="M40" i="12"/>
  <c r="M40" i="30" s="1"/>
  <c r="M91" i="30" s="1"/>
  <c r="M40" i="13"/>
  <c r="M26" i="12"/>
  <c r="M26" i="13"/>
  <c r="M26" i="30" s="1"/>
  <c r="M77" i="30" s="1"/>
  <c r="M16" i="30"/>
  <c r="M67" i="30" s="1"/>
  <c r="M16" i="12"/>
  <c r="M16" i="13"/>
  <c r="M27" i="30"/>
  <c r="M78" i="30" s="1"/>
  <c r="M27" i="12"/>
  <c r="M27" i="13"/>
  <c r="M36" i="12"/>
  <c r="M36" i="30" s="1"/>
  <c r="M87" i="30" s="1"/>
  <c r="M36" i="13"/>
  <c r="M13" i="12"/>
  <c r="M13" i="13"/>
  <c r="M13" i="30" s="1"/>
  <c r="M64" i="30" s="1"/>
  <c r="M46" i="30"/>
  <c r="M97" i="30" s="1"/>
  <c r="M46" i="12"/>
  <c r="M46" i="13"/>
  <c r="M47" i="30"/>
  <c r="M98" i="30" s="1"/>
  <c r="M47" i="12"/>
  <c r="M47" i="13"/>
  <c r="M11" i="12"/>
  <c r="M11" i="30" s="1"/>
  <c r="M62" i="30" s="1"/>
  <c r="M11" i="13"/>
  <c r="M20" i="13"/>
  <c r="M20" i="12"/>
  <c r="M20" i="30" s="1"/>
  <c r="M71" i="30" s="1"/>
  <c r="M10" i="30"/>
  <c r="M61" i="30" s="1"/>
  <c r="M10" i="12"/>
  <c r="M10" i="13"/>
  <c r="M32" i="30"/>
  <c r="M83" i="30" s="1"/>
  <c r="M32" i="12"/>
  <c r="M32" i="13"/>
  <c r="W80" i="9"/>
  <c r="W80" i="8"/>
  <c r="V80" i="29" s="1"/>
  <c r="V167" i="29" s="1"/>
  <c r="W83" i="8"/>
  <c r="W83" i="9"/>
  <c r="V83" i="29" s="1"/>
  <c r="V170" i="29" s="1"/>
  <c r="V35" i="29"/>
  <c r="V122" i="29" s="1"/>
  <c r="W35" i="9"/>
  <c r="W35" i="8"/>
  <c r="V20" i="29"/>
  <c r="V107" i="29" s="1"/>
  <c r="W20" i="9"/>
  <c r="W20" i="8"/>
  <c r="W7" i="9"/>
  <c r="W7" i="8"/>
  <c r="V7" i="29" s="1"/>
  <c r="V94" i="29" s="1"/>
  <c r="W76" i="9"/>
  <c r="W76" i="8"/>
  <c r="V76" i="29" s="1"/>
  <c r="V163" i="29" s="1"/>
  <c r="V67" i="29"/>
  <c r="V154" i="29" s="1"/>
  <c r="W67" i="9"/>
  <c r="W67" i="8"/>
  <c r="V37" i="29"/>
  <c r="V124" i="29" s="1"/>
  <c r="W37" i="9"/>
  <c r="W37" i="8"/>
  <c r="W22" i="9"/>
  <c r="W22" i="8"/>
  <c r="V22" i="29" s="1"/>
  <c r="V109" i="29" s="1"/>
  <c r="W10" i="8"/>
  <c r="W10" i="9"/>
  <c r="V10" i="29" s="1"/>
  <c r="V97" i="29" s="1"/>
  <c r="V75" i="29"/>
  <c r="V162" i="29" s="1"/>
  <c r="W75" i="8"/>
  <c r="W75" i="9"/>
  <c r="V86" i="29"/>
  <c r="V173" i="29" s="1"/>
  <c r="W86" i="8"/>
  <c r="W86" i="9"/>
  <c r="W39" i="9"/>
  <c r="W39" i="8"/>
  <c r="V39" i="29" s="1"/>
  <c r="V126" i="29" s="1"/>
  <c r="W24" i="9"/>
  <c r="W24" i="8"/>
  <c r="V24" i="29" s="1"/>
  <c r="V111" i="29" s="1"/>
  <c r="V15" i="29"/>
  <c r="V102" i="29" s="1"/>
  <c r="W15" i="9"/>
  <c r="W15" i="8"/>
  <c r="V58" i="29"/>
  <c r="V145" i="29" s="1"/>
  <c r="W58" i="8"/>
  <c r="W58" i="9"/>
  <c r="W70" i="9"/>
  <c r="W70" i="8"/>
  <c r="V70" i="29" s="1"/>
  <c r="V157" i="29" s="1"/>
  <c r="W41" i="8"/>
  <c r="W41" i="9"/>
  <c r="V41" i="29" s="1"/>
  <c r="V128" i="29" s="1"/>
  <c r="V26" i="29"/>
  <c r="V113" i="29" s="1"/>
  <c r="W26" i="8"/>
  <c r="W26" i="9"/>
  <c r="V46" i="29"/>
  <c r="V133" i="29" s="1"/>
  <c r="W46" i="8"/>
  <c r="W46" i="9"/>
  <c r="AI68" i="9"/>
  <c r="AI59" i="9"/>
  <c r="AI41" i="9"/>
  <c r="AI26" i="9"/>
  <c r="AI51" i="9"/>
  <c r="AI83" i="9"/>
  <c r="AI6" i="9"/>
  <c r="AI43" i="9"/>
  <c r="AI28" i="9"/>
  <c r="AI54" i="9"/>
  <c r="AI67" i="9"/>
  <c r="AI5" i="9"/>
  <c r="AI46" i="9"/>
  <c r="AI30" i="9"/>
  <c r="AI75" i="9"/>
  <c r="AI78" i="9"/>
  <c r="AI7" i="9"/>
  <c r="AI48" i="9"/>
  <c r="AI32" i="9"/>
  <c r="Y18" i="8"/>
  <c r="Y54" i="8"/>
  <c r="Y46" i="8"/>
  <c r="Y35" i="8"/>
  <c r="Y79" i="8"/>
  <c r="Y57" i="8"/>
  <c r="Y51" i="8"/>
  <c r="Y37" i="8"/>
  <c r="Y81" i="8"/>
  <c r="Y22" i="8"/>
  <c r="Y62" i="8"/>
  <c r="Y56" i="8"/>
  <c r="Y39" i="8"/>
  <c r="Y83" i="8"/>
  <c r="Y24" i="8"/>
  <c r="Y65" i="8"/>
  <c r="Y59" i="8"/>
  <c r="Y41" i="8"/>
  <c r="Y85" i="8"/>
  <c r="X21" i="9"/>
  <c r="X21" i="8"/>
  <c r="W21" i="29" s="1"/>
  <c r="W108" i="29" s="1"/>
  <c r="X59" i="8"/>
  <c r="X59" i="9"/>
  <c r="W59" i="29" s="1"/>
  <c r="W146" i="29" s="1"/>
  <c r="W77" i="29"/>
  <c r="W164" i="29" s="1"/>
  <c r="X77" i="8"/>
  <c r="X77" i="9"/>
  <c r="W38" i="29"/>
  <c r="W125" i="29" s="1"/>
  <c r="X38" i="8"/>
  <c r="X38" i="9"/>
  <c r="X46" i="9"/>
  <c r="X46" i="8"/>
  <c r="W46" i="29" s="1"/>
  <c r="W133" i="29" s="1"/>
  <c r="X35" i="9"/>
  <c r="X35" i="8"/>
  <c r="W35" i="29" s="1"/>
  <c r="W122" i="29" s="1"/>
  <c r="W79" i="29"/>
  <c r="W166" i="29" s="1"/>
  <c r="X79" i="9"/>
  <c r="X79" i="8"/>
  <c r="W24" i="29"/>
  <c r="W111" i="29" s="1"/>
  <c r="X24" i="9"/>
  <c r="X24" i="8"/>
  <c r="X65" i="9"/>
  <c r="X65" i="8"/>
  <c r="W65" i="29" s="1"/>
  <c r="W152" i="29" s="1"/>
  <c r="X37" i="9"/>
  <c r="X37" i="8"/>
  <c r="W37" i="29" s="1"/>
  <c r="W124" i="29" s="1"/>
  <c r="W26" i="29"/>
  <c r="W113" i="29" s="1"/>
  <c r="X26" i="9"/>
  <c r="X26" i="8"/>
  <c r="W86" i="29"/>
  <c r="W173" i="29" s="1"/>
  <c r="X86" i="9"/>
  <c r="X86" i="8"/>
  <c r="X9" i="9"/>
  <c r="X9" i="8"/>
  <c r="W9" i="29" s="1"/>
  <c r="W96" i="29" s="1"/>
  <c r="X50" i="9"/>
  <c r="X50" i="8"/>
  <c r="W50" i="29" s="1"/>
  <c r="W137" i="29" s="1"/>
  <c r="W45" i="29"/>
  <c r="W132" i="29" s="1"/>
  <c r="X45" i="9"/>
  <c r="X45" i="8"/>
  <c r="W36" i="29"/>
  <c r="W123" i="29" s="1"/>
  <c r="X36" i="9"/>
  <c r="X36" i="8"/>
  <c r="X80" i="9"/>
  <c r="X80" i="8"/>
  <c r="W80" i="29" s="1"/>
  <c r="W167" i="29" s="1"/>
  <c r="X16" i="9"/>
  <c r="X16" i="8"/>
  <c r="W16" i="29" s="1"/>
  <c r="W103" i="29" s="1"/>
  <c r="W33" i="29"/>
  <c r="W120" i="29" s="1"/>
  <c r="X33" i="8"/>
  <c r="X33" i="9"/>
  <c r="W47" i="29"/>
  <c r="W134" i="29" s="1"/>
  <c r="X47" i="8"/>
  <c r="X47" i="9"/>
  <c r="U10" i="30"/>
  <c r="U61" i="30" s="1"/>
  <c r="U36" i="30"/>
  <c r="U87" i="30" s="1"/>
  <c r="U44" i="30"/>
  <c r="U95" i="30" s="1"/>
  <c r="N31" i="12"/>
  <c r="N31" i="13"/>
  <c r="N31" i="30" s="1"/>
  <c r="N82" i="30" s="1"/>
  <c r="N22" i="30"/>
  <c r="N73" i="30" s="1"/>
  <c r="N22" i="12"/>
  <c r="N22" i="13"/>
  <c r="N11" i="30"/>
  <c r="N62" i="30" s="1"/>
  <c r="N11" i="12"/>
  <c r="N11" i="13"/>
  <c r="N34" i="12"/>
  <c r="N34" i="30" s="1"/>
  <c r="N85" i="30" s="1"/>
  <c r="N34" i="13"/>
  <c r="N30" i="12"/>
  <c r="N30" i="13"/>
  <c r="N30" i="30" s="1"/>
  <c r="N81" i="30" s="1"/>
  <c r="N12" i="30"/>
  <c r="N63" i="30" s="1"/>
  <c r="N12" i="12"/>
  <c r="N12" i="13"/>
  <c r="N28" i="30"/>
  <c r="N79" i="30" s="1"/>
  <c r="N28" i="13"/>
  <c r="N28" i="12"/>
  <c r="N42" i="13"/>
  <c r="N42" i="12"/>
  <c r="N42" i="30" s="1"/>
  <c r="N93" i="30" s="1"/>
  <c r="N24" i="12"/>
  <c r="N24" i="13"/>
  <c r="N24" i="30" s="1"/>
  <c r="N75" i="30" s="1"/>
  <c r="N43" i="30"/>
  <c r="N94" i="30" s="1"/>
  <c r="N43" i="12"/>
  <c r="N43" i="13"/>
  <c r="N50" i="30"/>
  <c r="N101" i="30" s="1"/>
  <c r="N50" i="12"/>
  <c r="N50" i="13"/>
  <c r="N15" i="12"/>
  <c r="N15" i="30" s="1"/>
  <c r="N66" i="30" s="1"/>
  <c r="N15" i="13"/>
  <c r="L70" i="7"/>
  <c r="M76" i="7"/>
  <c r="V89" i="8"/>
  <c r="V93" i="8" s="1"/>
  <c r="V89" i="9"/>
  <c r="V89" i="7"/>
  <c r="S52" i="13"/>
  <c r="V46" i="12"/>
  <c r="V35" i="13"/>
  <c r="R5" i="13"/>
  <c r="R52" i="13" s="1"/>
  <c r="Q52" i="13"/>
  <c r="M45" i="7"/>
  <c r="AA69" i="29"/>
  <c r="AA156" i="29" s="1"/>
  <c r="AC69" i="8"/>
  <c r="AD69" i="8" s="1"/>
  <c r="AC69" i="9"/>
  <c r="AD69" i="9" s="1"/>
  <c r="AD69" i="7"/>
  <c r="AA85" i="29"/>
  <c r="AA172" i="29" s="1"/>
  <c r="AD85" i="7"/>
  <c r="AC85" i="9"/>
  <c r="AD85" i="9" s="1"/>
  <c r="AC85" i="8"/>
  <c r="AD85" i="8" s="1"/>
  <c r="AC5" i="9"/>
  <c r="AD5" i="7"/>
  <c r="AD35" i="7"/>
  <c r="AC35" i="9"/>
  <c r="AD35" i="9" s="1"/>
  <c r="AC35" i="8"/>
  <c r="AD35" i="8" s="1"/>
  <c r="AD20" i="7"/>
  <c r="AC20" i="9"/>
  <c r="AD20" i="9" s="1"/>
  <c r="AC20" i="8"/>
  <c r="AD20" i="8" s="1"/>
  <c r="AC61" i="9"/>
  <c r="AD61" i="9" s="1"/>
  <c r="AD61" i="7"/>
  <c r="AC61" i="8"/>
  <c r="AD61" i="8" s="1"/>
  <c r="AD71" i="7"/>
  <c r="AC71" i="9"/>
  <c r="AD71" i="9" s="1"/>
  <c r="AC71" i="8"/>
  <c r="AD71" i="8" s="1"/>
  <c r="AD21" i="7"/>
  <c r="AC21" i="8"/>
  <c r="AD21" i="8" s="1"/>
  <c r="AC21" i="9"/>
  <c r="AD21" i="9" s="1"/>
  <c r="AC16" i="8"/>
  <c r="AD16" i="8" s="1"/>
  <c r="AD16" i="7"/>
  <c r="AC16" i="9"/>
  <c r="AD16" i="9" s="1"/>
  <c r="AD38" i="7"/>
  <c r="AC38" i="8"/>
  <c r="AD38" i="8" s="1"/>
  <c r="AC38" i="9"/>
  <c r="AD38" i="9" s="1"/>
  <c r="AD81" i="7"/>
  <c r="AC81" i="8"/>
  <c r="AD81" i="8" s="1"/>
  <c r="AC81" i="9"/>
  <c r="AD81" i="9" s="1"/>
  <c r="AD59" i="7"/>
  <c r="AC59" i="8"/>
  <c r="AD59" i="8" s="1"/>
  <c r="AC59" i="9"/>
  <c r="AD59" i="9" s="1"/>
  <c r="AC23" i="9"/>
  <c r="AD23" i="9" s="1"/>
  <c r="AC23" i="8"/>
  <c r="AD23" i="8" s="1"/>
  <c r="AD23" i="7"/>
  <c r="AC45" i="9"/>
  <c r="AD45" i="9" s="1"/>
  <c r="AD45" i="7"/>
  <c r="AC45" i="8"/>
  <c r="AD45" i="8" s="1"/>
  <c r="AC40" i="9"/>
  <c r="AD40" i="9" s="1"/>
  <c r="AD40" i="7"/>
  <c r="AC40" i="8"/>
  <c r="AD40" i="8" s="1"/>
  <c r="AD76" i="7"/>
  <c r="AC76" i="8"/>
  <c r="AD76" i="8" s="1"/>
  <c r="AC76" i="9"/>
  <c r="AD76" i="9" s="1"/>
  <c r="AC17" i="8"/>
  <c r="AD17" i="8" s="1"/>
  <c r="AC17" i="9"/>
  <c r="AD17" i="9" s="1"/>
  <c r="AD17" i="7"/>
  <c r="AC53" i="8"/>
  <c r="AD53" i="8" s="1"/>
  <c r="AC53" i="9"/>
  <c r="AD53" i="9" s="1"/>
  <c r="AD53" i="7"/>
  <c r="AC34" i="8"/>
  <c r="AD34" i="8" s="1"/>
  <c r="AC34" i="9"/>
  <c r="AD34" i="9" s="1"/>
  <c r="AD34" i="7"/>
  <c r="AD67" i="7"/>
  <c r="AC67" i="8"/>
  <c r="AD67" i="8" s="1"/>
  <c r="AC67" i="9"/>
  <c r="AD67" i="9" s="1"/>
  <c r="AH56" i="8"/>
  <c r="AD56" i="29" s="1"/>
  <c r="AD143" i="29" s="1"/>
  <c r="AH56" i="9"/>
  <c r="AH84" i="8"/>
  <c r="AH84" i="9"/>
  <c r="AD84" i="29" s="1"/>
  <c r="AD171" i="29" s="1"/>
  <c r="AD45" i="29"/>
  <c r="AD132" i="29" s="1"/>
  <c r="AH45" i="8"/>
  <c r="AH45" i="9"/>
  <c r="AD38" i="29"/>
  <c r="AD125" i="29" s="1"/>
  <c r="AH38" i="8"/>
  <c r="AH38" i="9"/>
  <c r="AH23" i="8"/>
  <c r="AD23" i="29" s="1"/>
  <c r="AD110" i="29" s="1"/>
  <c r="AH23" i="9"/>
  <c r="AH80" i="8"/>
  <c r="AH80" i="9"/>
  <c r="AD80" i="29" s="1"/>
  <c r="AD167" i="29" s="1"/>
  <c r="AD72" i="29"/>
  <c r="AD159" i="29" s="1"/>
  <c r="AH72" i="9"/>
  <c r="AH72" i="8"/>
  <c r="AD50" i="29"/>
  <c r="AD137" i="29" s="1"/>
  <c r="AH50" i="9"/>
  <c r="AH50" i="8"/>
  <c r="AH40" i="9"/>
  <c r="AH40" i="8"/>
  <c r="AD40" i="29" s="1"/>
  <c r="AD127" i="29" s="1"/>
  <c r="AH25" i="9"/>
  <c r="AH25" i="8"/>
  <c r="AD25" i="29" s="1"/>
  <c r="AD112" i="29" s="1"/>
  <c r="AD59" i="29"/>
  <c r="AD146" i="29" s="1"/>
  <c r="AH59" i="8"/>
  <c r="AH59" i="9"/>
  <c r="AD75" i="29"/>
  <c r="AD162" i="29" s="1"/>
  <c r="AH75" i="8"/>
  <c r="AH75" i="9"/>
  <c r="AH55" i="8"/>
  <c r="AD55" i="29" s="1"/>
  <c r="AD142" i="29" s="1"/>
  <c r="AH55" i="9"/>
  <c r="AH42" i="8"/>
  <c r="AH42" i="9"/>
  <c r="AD42" i="29" s="1"/>
  <c r="AD129" i="29" s="1"/>
  <c r="AD27" i="29"/>
  <c r="AD114" i="29" s="1"/>
  <c r="AH27" i="8"/>
  <c r="AH27" i="9"/>
  <c r="AD83" i="29"/>
  <c r="AD170" i="29" s="1"/>
  <c r="AH83" i="8"/>
  <c r="AH83" i="9"/>
  <c r="AH58" i="8"/>
  <c r="AD58" i="29" s="1"/>
  <c r="AD145" i="29" s="1"/>
  <c r="AH58" i="9"/>
  <c r="AH8" i="8"/>
  <c r="AH8" i="9"/>
  <c r="AD8" i="29" s="1"/>
  <c r="AD95" i="29" s="1"/>
  <c r="AD47" i="29"/>
  <c r="AD134" i="29" s="1"/>
  <c r="AH47" i="8"/>
  <c r="AH47" i="9"/>
  <c r="AD29" i="29"/>
  <c r="AD116" i="29" s="1"/>
  <c r="AH29" i="8"/>
  <c r="AH29" i="9"/>
  <c r="P84" i="8"/>
  <c r="P84" i="29" s="1"/>
  <c r="P171" i="29" s="1"/>
  <c r="P84" i="9"/>
  <c r="P79" i="9"/>
  <c r="P79" i="8"/>
  <c r="P79" i="29" s="1"/>
  <c r="P166" i="29" s="1"/>
  <c r="P34" i="29"/>
  <c r="P121" i="29" s="1"/>
  <c r="P34" i="9"/>
  <c r="P34" i="8"/>
  <c r="P59" i="9"/>
  <c r="P59" i="8"/>
  <c r="P43" i="9"/>
  <c r="P43" i="8"/>
  <c r="P43" i="29" s="1"/>
  <c r="P130" i="29" s="1"/>
  <c r="P68" i="9"/>
  <c r="P74" i="9"/>
  <c r="P74" i="8"/>
  <c r="P74" i="29" s="1"/>
  <c r="P161" i="29" s="1"/>
  <c r="P28" i="9"/>
  <c r="P28" i="8"/>
  <c r="P28" i="29" s="1"/>
  <c r="P115" i="29" s="1"/>
  <c r="P46" i="29"/>
  <c r="P133" i="29" s="1"/>
  <c r="P46" i="9"/>
  <c r="P46" i="8"/>
  <c r="P37" i="29"/>
  <c r="P124" i="29" s="1"/>
  <c r="P37" i="9"/>
  <c r="P37" i="8"/>
  <c r="P81" i="9"/>
  <c r="P81" i="8"/>
  <c r="P81" i="29" s="1"/>
  <c r="P168" i="29" s="1"/>
  <c r="P69" i="8"/>
  <c r="P69" i="9"/>
  <c r="P69" i="29" s="1"/>
  <c r="P156" i="29" s="1"/>
  <c r="P30" i="29"/>
  <c r="P117" i="29" s="1"/>
  <c r="P30" i="9"/>
  <c r="P30" i="8"/>
  <c r="P51" i="29"/>
  <c r="P138" i="29" s="1"/>
  <c r="P51" i="9"/>
  <c r="P51" i="8"/>
  <c r="P39" i="9"/>
  <c r="P39" i="8"/>
  <c r="P39" i="29" s="1"/>
  <c r="P126" i="29" s="1"/>
  <c r="P85" i="8"/>
  <c r="P85" i="9"/>
  <c r="P85" i="29" s="1"/>
  <c r="P172" i="29" s="1"/>
  <c r="P32" i="29"/>
  <c r="P119" i="29" s="1"/>
  <c r="P32" i="8"/>
  <c r="P32" i="9"/>
  <c r="P56" i="8"/>
  <c r="P56" i="9"/>
  <c r="P41" i="8"/>
  <c r="P41" i="9"/>
  <c r="P41" i="29" s="1"/>
  <c r="P128" i="29" s="1"/>
  <c r="P82" i="29"/>
  <c r="P169" i="29" s="1"/>
  <c r="P82" i="9"/>
  <c r="P82" i="8"/>
  <c r="U6" i="30"/>
  <c r="U57" i="30" s="1"/>
  <c r="K9" i="32" s="1"/>
  <c r="U21" i="30"/>
  <c r="U72" i="30" s="1"/>
  <c r="U27" i="30"/>
  <c r="U78" i="30" s="1"/>
  <c r="M75" i="7"/>
  <c r="V18" i="13"/>
  <c r="M41" i="7"/>
  <c r="L29" i="7"/>
  <c r="L24" i="7"/>
  <c r="U80" i="9"/>
  <c r="U80" i="8"/>
  <c r="T80" i="29" s="1"/>
  <c r="T167" i="29" s="1"/>
  <c r="U84" i="9"/>
  <c r="U84" i="8"/>
  <c r="T84" i="29" s="1"/>
  <c r="T171" i="29" s="1"/>
  <c r="U34" i="9"/>
  <c r="U34" i="8"/>
  <c r="T34" i="29" s="1"/>
  <c r="T121" i="29" s="1"/>
  <c r="U19" i="9"/>
  <c r="U19" i="8"/>
  <c r="T19" i="29" s="1"/>
  <c r="T106" i="29" s="1"/>
  <c r="U11" i="9"/>
  <c r="U11" i="8"/>
  <c r="T11" i="29" s="1"/>
  <c r="T98" i="29" s="1"/>
  <c r="U68" i="9"/>
  <c r="U68" i="8"/>
  <c r="T68" i="29" s="1"/>
  <c r="T155" i="29" s="1"/>
  <c r="U79" i="9"/>
  <c r="U79" i="8"/>
  <c r="T79" i="29" s="1"/>
  <c r="T166" i="29" s="1"/>
  <c r="U36" i="9"/>
  <c r="U36" i="8"/>
  <c r="T36" i="29" s="1"/>
  <c r="T123" i="29" s="1"/>
  <c r="U21" i="9"/>
  <c r="U21" i="8"/>
  <c r="T21" i="29" s="1"/>
  <c r="T108" i="29" s="1"/>
  <c r="U16" i="9"/>
  <c r="U16" i="8"/>
  <c r="T16" i="29" s="1"/>
  <c r="T103" i="29" s="1"/>
  <c r="U71" i="9"/>
  <c r="U71" i="8"/>
  <c r="T71" i="29" s="1"/>
  <c r="T158" i="29" s="1"/>
  <c r="U63" i="9"/>
  <c r="U63" i="8"/>
  <c r="T63" i="29" s="1"/>
  <c r="T150" i="29" s="1"/>
  <c r="U38" i="8"/>
  <c r="T38" i="29" s="1"/>
  <c r="T125" i="29" s="1"/>
  <c r="U38" i="9"/>
  <c r="U23" i="9"/>
  <c r="U23" i="8"/>
  <c r="T23" i="29" s="1"/>
  <c r="T110" i="29" s="1"/>
  <c r="U45" i="9"/>
  <c r="U45" i="8"/>
  <c r="T45" i="29" s="1"/>
  <c r="T132" i="29" s="1"/>
  <c r="U74" i="9"/>
  <c r="U74" i="8"/>
  <c r="T74" i="29" s="1"/>
  <c r="T161" i="29" s="1"/>
  <c r="U82" i="9"/>
  <c r="U82" i="8"/>
  <c r="T82" i="29" s="1"/>
  <c r="T169" i="29" s="1"/>
  <c r="U40" i="9"/>
  <c r="U40" i="8"/>
  <c r="T40" i="29" s="1"/>
  <c r="T127" i="29" s="1"/>
  <c r="U25" i="9"/>
  <c r="U25" i="8"/>
  <c r="T25" i="29" s="1"/>
  <c r="T112" i="29" s="1"/>
  <c r="U52" i="9"/>
  <c r="U52" i="8"/>
  <c r="T52" i="29" s="1"/>
  <c r="T139" i="29" s="1"/>
  <c r="O65" i="9"/>
  <c r="O7" i="9"/>
  <c r="O37" i="9"/>
  <c r="O22" i="9"/>
  <c r="O68" i="9"/>
  <c r="O77" i="9"/>
  <c r="O23" i="9"/>
  <c r="O45" i="9"/>
  <c r="O40" i="9"/>
  <c r="O84" i="9"/>
  <c r="O69" i="9"/>
  <c r="O25" i="9"/>
  <c r="O52" i="9"/>
  <c r="O42" i="9"/>
  <c r="O59" i="9"/>
  <c r="O46" i="9"/>
  <c r="O43" i="9"/>
  <c r="O28" i="9"/>
  <c r="O71" i="9"/>
  <c r="O72" i="9"/>
  <c r="U19" i="30"/>
  <c r="U70" i="30" s="1"/>
  <c r="U48" i="30"/>
  <c r="U99" i="30" s="1"/>
  <c r="U37" i="30"/>
  <c r="U88" i="30" s="1"/>
  <c r="M79" i="7"/>
  <c r="L72" i="7"/>
  <c r="L82" i="7"/>
  <c r="AA82" i="8"/>
  <c r="AA77" i="8"/>
  <c r="AA75" i="8"/>
  <c r="AA56" i="8"/>
  <c r="AA40" i="8"/>
  <c r="AA64" i="8"/>
  <c r="AA47" i="8"/>
  <c r="AA70" i="8"/>
  <c r="AA54" i="8"/>
  <c r="AA79" i="8"/>
  <c r="AA60" i="8"/>
  <c r="AA45" i="8"/>
  <c r="AA31" i="8"/>
  <c r="AA17" i="8"/>
  <c r="AA38" i="8"/>
  <c r="AA22" i="8"/>
  <c r="AA5" i="8"/>
  <c r="AA25" i="8"/>
  <c r="AA36" i="8"/>
  <c r="AA18" i="8"/>
  <c r="AA7" i="8"/>
  <c r="AA76" i="8"/>
  <c r="AA74" i="8"/>
  <c r="AA68" i="8"/>
  <c r="AA52" i="8"/>
  <c r="AA83" i="8"/>
  <c r="AA61" i="8"/>
  <c r="AA43" i="8"/>
  <c r="AA66" i="8"/>
  <c r="AA50" i="8"/>
  <c r="AA71" i="8"/>
  <c r="AA57" i="8"/>
  <c r="AA41" i="8"/>
  <c r="AA27" i="8"/>
  <c r="AA15" i="8"/>
  <c r="AA34" i="8"/>
  <c r="AA19" i="8"/>
  <c r="AA37" i="8"/>
  <c r="AA21" i="8"/>
  <c r="AA32" i="8"/>
  <c r="AA13" i="8"/>
  <c r="AA84" i="8"/>
  <c r="AA86" i="8"/>
  <c r="AA62" i="8"/>
  <c r="AA48" i="8"/>
  <c r="AA73" i="8"/>
  <c r="AA55" i="8"/>
  <c r="AA81" i="8"/>
  <c r="AA63" i="8"/>
  <c r="AA46" i="8"/>
  <c r="AA69" i="8"/>
  <c r="AA53" i="8"/>
  <c r="AA39" i="8"/>
  <c r="AA23" i="8"/>
  <c r="AA14" i="8"/>
  <c r="AA30" i="8"/>
  <c r="AA11" i="8"/>
  <c r="AA33" i="8"/>
  <c r="AA16" i="8"/>
  <c r="AA28" i="8"/>
  <c r="AA12" i="8"/>
  <c r="AA85" i="8"/>
  <c r="AA80" i="8"/>
  <c r="AA78" i="8"/>
  <c r="AA59" i="8"/>
  <c r="AA44" i="8"/>
  <c r="AA67" i="8"/>
  <c r="AA51" i="8"/>
  <c r="AA72" i="8"/>
  <c r="AA58" i="8"/>
  <c r="AA42" i="8"/>
  <c r="AA65" i="8"/>
  <c r="AA49" i="8"/>
  <c r="AA35" i="8"/>
  <c r="AA20" i="8"/>
  <c r="AA6" i="8"/>
  <c r="AA26" i="8"/>
  <c r="AA9" i="8"/>
  <c r="AA29" i="8"/>
  <c r="AA8" i="8"/>
  <c r="AA24" i="8"/>
  <c r="AA10" i="8"/>
  <c r="O47" i="30"/>
  <c r="O98" i="30" s="1"/>
  <c r="O47" i="13"/>
  <c r="O47" i="12"/>
  <c r="O22" i="30"/>
  <c r="O73" i="30" s="1"/>
  <c r="O22" i="13"/>
  <c r="O22" i="12"/>
  <c r="O8" i="13"/>
  <c r="O8" i="12"/>
  <c r="O8" i="30" s="1"/>
  <c r="O59" i="30" s="1"/>
  <c r="O31" i="12"/>
  <c r="O31" i="13"/>
  <c r="O31" i="30" s="1"/>
  <c r="O82" i="30" s="1"/>
  <c r="O42" i="30"/>
  <c r="O93" i="30" s="1"/>
  <c r="O42" i="12"/>
  <c r="O42" i="13"/>
  <c r="O5" i="30"/>
  <c r="O56" i="30" s="1"/>
  <c r="O5" i="12"/>
  <c r="O5" i="13"/>
  <c r="O52" i="11"/>
  <c r="O58" i="11" s="1"/>
  <c r="O50" i="30"/>
  <c r="O101" i="30" s="1"/>
  <c r="O50" i="12"/>
  <c r="O50" i="13"/>
  <c r="O26" i="12"/>
  <c r="O26" i="30" s="1"/>
  <c r="O77" i="30" s="1"/>
  <c r="O26" i="13"/>
  <c r="O7" i="12"/>
  <c r="O7" i="13"/>
  <c r="O7" i="30" s="1"/>
  <c r="O58" i="30" s="1"/>
  <c r="O43" i="30"/>
  <c r="O94" i="30" s="1"/>
  <c r="O43" i="13"/>
  <c r="O43" i="12"/>
  <c r="O23" i="30"/>
  <c r="O74" i="30" s="1"/>
  <c r="O23" i="13"/>
  <c r="O23" i="12"/>
  <c r="O17" i="13"/>
  <c r="O17" i="12"/>
  <c r="O17" i="30" s="1"/>
  <c r="O68" i="30" s="1"/>
  <c r="X8" i="31"/>
  <c r="V14" i="12"/>
  <c r="V47" i="13"/>
  <c r="V10" i="13"/>
  <c r="V45" i="12"/>
  <c r="V38" i="13"/>
  <c r="M42" i="7"/>
  <c r="L17" i="7"/>
  <c r="M38" i="7"/>
  <c r="R79" i="9"/>
  <c r="R6" i="9"/>
  <c r="R43" i="9"/>
  <c r="R22" i="9"/>
  <c r="R62" i="9"/>
  <c r="R78" i="9"/>
  <c r="R29" i="9"/>
  <c r="R52" i="9"/>
  <c r="R40" i="9"/>
  <c r="R71" i="9"/>
  <c r="R66" i="9"/>
  <c r="R39" i="9"/>
  <c r="R18" i="9"/>
  <c r="R54" i="9"/>
  <c r="R81" i="9"/>
  <c r="R84" i="9"/>
  <c r="R41" i="9"/>
  <c r="R20" i="9"/>
  <c r="R57" i="9"/>
  <c r="Q84" i="9"/>
  <c r="Q17" i="9"/>
  <c r="Q68" i="9"/>
  <c r="Q32" i="9"/>
  <c r="Q19" i="9"/>
  <c r="Q77" i="9"/>
  <c r="Q33" i="9"/>
  <c r="Q63" i="9"/>
  <c r="Q15" i="9"/>
  <c r="Q48" i="9"/>
  <c r="Q65" i="9"/>
  <c r="Q66" i="9"/>
  <c r="Q55" i="9"/>
  <c r="Q40" i="9"/>
  <c r="Q25" i="9"/>
  <c r="Q26" i="9"/>
  <c r="Q73" i="9"/>
  <c r="Q30" i="9"/>
  <c r="Q9" i="9"/>
  <c r="Q53" i="9"/>
  <c r="U14" i="30"/>
  <c r="U65" i="30" s="1"/>
  <c r="U29" i="30"/>
  <c r="U80" i="30" s="1"/>
  <c r="U30" i="30"/>
  <c r="U81" i="30" s="1"/>
  <c r="L55" i="7"/>
  <c r="M73" i="7"/>
  <c r="L53" i="7"/>
  <c r="M77" i="7"/>
  <c r="M70" i="7"/>
  <c r="U20" i="12"/>
  <c r="S20" i="30" s="1"/>
  <c r="S71" i="30" s="1"/>
  <c r="U20" i="13"/>
  <c r="U48" i="12"/>
  <c r="V48" i="12" s="1"/>
  <c r="U48" i="13"/>
  <c r="S48" i="30" s="1"/>
  <c r="S99" i="30" s="1"/>
  <c r="S14" i="30"/>
  <c r="S65" i="30" s="1"/>
  <c r="U14" i="12"/>
  <c r="U14" i="13"/>
  <c r="S40" i="30"/>
  <c r="S91" i="30" s="1"/>
  <c r="U40" i="13"/>
  <c r="V40" i="13" s="1"/>
  <c r="U40" i="12"/>
  <c r="U32" i="13"/>
  <c r="U32" i="12"/>
  <c r="V32" i="12" s="1"/>
  <c r="U19" i="12"/>
  <c r="U19" i="13"/>
  <c r="S19" i="30" s="1"/>
  <c r="S70" i="30" s="1"/>
  <c r="S23" i="30"/>
  <c r="S74" i="30" s="1"/>
  <c r="U23" i="12"/>
  <c r="V23" i="12" s="1"/>
  <c r="U23" i="13"/>
  <c r="S6" i="30"/>
  <c r="S57" i="30" s="1"/>
  <c r="U6" i="13"/>
  <c r="V6" i="13" s="1"/>
  <c r="U6" i="12"/>
  <c r="U26" i="12"/>
  <c r="V26" i="12" s="1"/>
  <c r="U26" i="13"/>
  <c r="U49" i="12"/>
  <c r="U49" i="13"/>
  <c r="V49" i="13" s="1"/>
  <c r="S10" i="30"/>
  <c r="S61" i="30" s="1"/>
  <c r="U10" i="12"/>
  <c r="U10" i="13"/>
  <c r="L41" i="7"/>
  <c r="M21" i="7"/>
  <c r="L36" i="7"/>
  <c r="M37" i="12"/>
  <c r="M37" i="30" s="1"/>
  <c r="M88" i="30" s="1"/>
  <c r="M37" i="13"/>
  <c r="M39" i="12"/>
  <c r="M39" i="13"/>
  <c r="M39" i="30" s="1"/>
  <c r="M90" i="30" s="1"/>
  <c r="M15" i="30"/>
  <c r="M66" i="30" s="1"/>
  <c r="M15" i="13"/>
  <c r="M15" i="12"/>
  <c r="M33" i="30"/>
  <c r="M84" i="30" s="1"/>
  <c r="M33" i="12"/>
  <c r="M33" i="13"/>
  <c r="M25" i="13"/>
  <c r="M25" i="12"/>
  <c r="M25" i="30" s="1"/>
  <c r="M76" i="30" s="1"/>
  <c r="M18" i="13"/>
  <c r="M18" i="12"/>
  <c r="M18" i="30" s="1"/>
  <c r="M69" i="30" s="1"/>
  <c r="M43" i="30"/>
  <c r="M94" i="30" s="1"/>
  <c r="M43" i="12"/>
  <c r="M43" i="13"/>
  <c r="M48" i="30"/>
  <c r="M99" i="30" s="1"/>
  <c r="M48" i="13"/>
  <c r="M48" i="12"/>
  <c r="M19" i="13"/>
  <c r="M19" i="12"/>
  <c r="M19" i="30" s="1"/>
  <c r="M70" i="30" s="1"/>
  <c r="M21" i="12"/>
  <c r="M21" i="13"/>
  <c r="M21" i="30" s="1"/>
  <c r="M72" i="30" s="1"/>
  <c r="M8" i="30"/>
  <c r="M59" i="30" s="1"/>
  <c r="M8" i="12"/>
  <c r="M8" i="13"/>
  <c r="M44" i="30"/>
  <c r="M95" i="30" s="1"/>
  <c r="M44" i="12"/>
  <c r="M44" i="13"/>
  <c r="W78" i="8"/>
  <c r="V78" i="29" s="1"/>
  <c r="V165" i="29" s="1"/>
  <c r="W78" i="9"/>
  <c r="W6" i="8"/>
  <c r="W6" i="9"/>
  <c r="V6" i="29" s="1"/>
  <c r="V93" i="29" s="1"/>
  <c r="V43" i="29"/>
  <c r="V130" i="29" s="1"/>
  <c r="W43" i="8"/>
  <c r="W43" i="9"/>
  <c r="V28" i="29"/>
  <c r="V115" i="29" s="1"/>
  <c r="W28" i="8"/>
  <c r="W28" i="9"/>
  <c r="W51" i="8"/>
  <c r="V51" i="29" s="1"/>
  <c r="V138" i="29" s="1"/>
  <c r="W51" i="9"/>
  <c r="W62" i="9"/>
  <c r="W62" i="8"/>
  <c r="V62" i="29" s="1"/>
  <c r="V149" i="29" s="1"/>
  <c r="V5" i="29"/>
  <c r="V92" i="29" s="1"/>
  <c r="W5" i="9"/>
  <c r="W5" i="8"/>
  <c r="V48" i="29"/>
  <c r="V135" i="29" s="1"/>
  <c r="W48" i="9"/>
  <c r="W48" i="8"/>
  <c r="W30" i="9"/>
  <c r="W30" i="8"/>
  <c r="V30" i="29" s="1"/>
  <c r="V117" i="29" s="1"/>
  <c r="W85" i="9"/>
  <c r="W85" i="8"/>
  <c r="V85" i="29" s="1"/>
  <c r="V172" i="29" s="1"/>
  <c r="V77" i="29"/>
  <c r="V164" i="29" s="1"/>
  <c r="W77" i="9"/>
  <c r="W77" i="8"/>
  <c r="V9" i="29"/>
  <c r="V96" i="29" s="1"/>
  <c r="W9" i="9"/>
  <c r="W9" i="8"/>
  <c r="W50" i="8"/>
  <c r="V50" i="29" s="1"/>
  <c r="V137" i="29" s="1"/>
  <c r="W50" i="9"/>
  <c r="W32" i="8"/>
  <c r="W32" i="9"/>
  <c r="V32" i="29" s="1"/>
  <c r="V119" i="29" s="1"/>
  <c r="V69" i="29"/>
  <c r="V156" i="29" s="1"/>
  <c r="W69" i="9"/>
  <c r="W69" i="8"/>
  <c r="V61" i="29"/>
  <c r="V148" i="29" s="1"/>
  <c r="W61" i="9"/>
  <c r="W61" i="8"/>
  <c r="W17" i="8"/>
  <c r="V17" i="29" s="1"/>
  <c r="V104" i="29" s="1"/>
  <c r="W17" i="9"/>
  <c r="W53" i="8"/>
  <c r="W53" i="9"/>
  <c r="V53" i="29" s="1"/>
  <c r="V140" i="29" s="1"/>
  <c r="V34" i="29"/>
  <c r="V121" i="29" s="1"/>
  <c r="W34" i="8"/>
  <c r="W34" i="9"/>
  <c r="AI58" i="9"/>
  <c r="AI62" i="9"/>
  <c r="AI17" i="9"/>
  <c r="AI53" i="9"/>
  <c r="AI34" i="9"/>
  <c r="AI86" i="9"/>
  <c r="AI77" i="9"/>
  <c r="AI19" i="9"/>
  <c r="AI9" i="9"/>
  <c r="AI36" i="9"/>
  <c r="AI70" i="9"/>
  <c r="AI61" i="9"/>
  <c r="AI21" i="9"/>
  <c r="AI45" i="9"/>
  <c r="AI38" i="9"/>
  <c r="AI85" i="9"/>
  <c r="AI80" i="9"/>
  <c r="AI23" i="9"/>
  <c r="AI50" i="9"/>
  <c r="AI40" i="9"/>
  <c r="Y26" i="8"/>
  <c r="Y70" i="8"/>
  <c r="Y64" i="8"/>
  <c r="Y43" i="8"/>
  <c r="Y11" i="8"/>
  <c r="Y28" i="8"/>
  <c r="Y72" i="8"/>
  <c r="Y67" i="8"/>
  <c r="Y48" i="8"/>
  <c r="Y16" i="8"/>
  <c r="Y30" i="8"/>
  <c r="Y74" i="8"/>
  <c r="Y9" i="8"/>
  <c r="Y50" i="8"/>
  <c r="Y45" i="8"/>
  <c r="Y32" i="8"/>
  <c r="Y76" i="8"/>
  <c r="Y17" i="8"/>
  <c r="Y53" i="8"/>
  <c r="Y52" i="8"/>
  <c r="X61" i="9"/>
  <c r="X61" i="8"/>
  <c r="W61" i="29" s="1"/>
  <c r="W148" i="29" s="1"/>
  <c r="X25" i="8"/>
  <c r="X25" i="9"/>
  <c r="W25" i="29" s="1"/>
  <c r="W112" i="29" s="1"/>
  <c r="W85" i="29"/>
  <c r="W172" i="29" s="1"/>
  <c r="X85" i="8"/>
  <c r="X85" i="9"/>
  <c r="W62" i="29"/>
  <c r="W149" i="29" s="1"/>
  <c r="X62" i="8"/>
  <c r="X62" i="9"/>
  <c r="X64" i="9"/>
  <c r="X64" i="8"/>
  <c r="W64" i="29" s="1"/>
  <c r="W151" i="29" s="1"/>
  <c r="X43" i="9"/>
  <c r="X43" i="8"/>
  <c r="W43" i="29" s="1"/>
  <c r="W130" i="29" s="1"/>
  <c r="W11" i="29"/>
  <c r="W98" i="29" s="1"/>
  <c r="X11" i="9"/>
  <c r="X11" i="8"/>
  <c r="W32" i="29"/>
  <c r="W119" i="29" s="1"/>
  <c r="X32" i="9"/>
  <c r="X32" i="8"/>
  <c r="X76" i="9"/>
  <c r="X76" i="8"/>
  <c r="W76" i="29" s="1"/>
  <c r="W163" i="29" s="1"/>
  <c r="X73" i="9"/>
  <c r="X73" i="8"/>
  <c r="W73" i="29" s="1"/>
  <c r="W160" i="29" s="1"/>
  <c r="W34" i="29"/>
  <c r="W121" i="29" s="1"/>
  <c r="X34" i="9"/>
  <c r="X34" i="8"/>
  <c r="W81" i="29"/>
  <c r="W168" i="29" s="1"/>
  <c r="X81" i="9"/>
  <c r="X81" i="8"/>
  <c r="X23" i="9"/>
  <c r="X23" i="8"/>
  <c r="W23" i="29" s="1"/>
  <c r="W110" i="29" s="1"/>
  <c r="X66" i="9"/>
  <c r="X66" i="8"/>
  <c r="W66" i="29" s="1"/>
  <c r="W153" i="29" s="1"/>
  <c r="W63" i="29"/>
  <c r="W150" i="29" s="1"/>
  <c r="X63" i="9"/>
  <c r="X63" i="8"/>
  <c r="W44" i="29"/>
  <c r="W131" i="29" s="1"/>
  <c r="X44" i="9"/>
  <c r="X44" i="8"/>
  <c r="X51" i="9"/>
  <c r="W70" i="29"/>
  <c r="W157" i="29" s="1"/>
  <c r="X70" i="9"/>
  <c r="X70" i="8"/>
  <c r="W69" i="29"/>
  <c r="W156" i="29" s="1"/>
  <c r="X69" i="8"/>
  <c r="X69" i="9"/>
  <c r="X74" i="8"/>
  <c r="W74" i="29" s="1"/>
  <c r="W161" i="29" s="1"/>
  <c r="X74" i="9"/>
  <c r="U7" i="30"/>
  <c r="U58" i="30" s="1"/>
  <c r="U42" i="30"/>
  <c r="U93" i="30" s="1"/>
  <c r="N25" i="30"/>
  <c r="N76" i="30" s="1"/>
  <c r="N25" i="13"/>
  <c r="N25" i="12"/>
  <c r="N36" i="30"/>
  <c r="N87" i="30" s="1"/>
  <c r="N36" i="13"/>
  <c r="N36" i="12"/>
  <c r="N18" i="13"/>
  <c r="N18" i="12"/>
  <c r="N18" i="30" s="1"/>
  <c r="N69" i="30" s="1"/>
  <c r="N44" i="12"/>
  <c r="N44" i="13"/>
  <c r="N44" i="30" s="1"/>
  <c r="N95" i="30" s="1"/>
  <c r="N35" i="30"/>
  <c r="N86" i="30" s="1"/>
  <c r="N35" i="12"/>
  <c r="N35" i="13"/>
  <c r="N19" i="30"/>
  <c r="N70" i="30" s="1"/>
  <c r="N19" i="12"/>
  <c r="N19" i="13"/>
  <c r="N38" i="12"/>
  <c r="N38" i="30" s="1"/>
  <c r="N89" i="30" s="1"/>
  <c r="N38" i="13"/>
  <c r="N5" i="12"/>
  <c r="N5" i="13"/>
  <c r="N5" i="30" s="1"/>
  <c r="N56" i="30" s="1"/>
  <c r="N52" i="11"/>
  <c r="N45" i="12"/>
  <c r="N45" i="13"/>
  <c r="N45" i="30" s="1"/>
  <c r="N96" i="30" s="1"/>
  <c r="N37" i="30"/>
  <c r="N88" i="30" s="1"/>
  <c r="N37" i="12"/>
  <c r="N37" i="13"/>
  <c r="N7" i="30"/>
  <c r="N58" i="30" s="1"/>
  <c r="N7" i="12"/>
  <c r="N7" i="13"/>
  <c r="L58" i="7"/>
  <c r="L59" i="7"/>
  <c r="M83" i="7"/>
  <c r="L83" i="7"/>
  <c r="L84" i="7"/>
  <c r="V5" i="12"/>
  <c r="S52" i="12"/>
  <c r="V46" i="11"/>
  <c r="V27" i="13"/>
  <c r="V26" i="11"/>
  <c r="R5" i="12"/>
  <c r="R52" i="12" s="1"/>
  <c r="Q52" i="12"/>
  <c r="M47" i="7"/>
  <c r="L38" i="7"/>
  <c r="M34" i="7"/>
  <c r="AI88" i="7"/>
  <c r="AI93" i="7" s="1"/>
  <c r="AI26" i="8" s="1"/>
  <c r="AE26" i="29" s="1"/>
  <c r="AE113" i="29" s="1"/>
  <c r="AD75" i="7"/>
  <c r="AC75" i="8"/>
  <c r="AD75" i="8" s="1"/>
  <c r="AC75" i="9"/>
  <c r="AD75" i="9" s="1"/>
  <c r="AC66" i="9"/>
  <c r="AD66" i="9" s="1"/>
  <c r="AD66" i="7"/>
  <c r="AC66" i="8"/>
  <c r="AD66" i="8" s="1"/>
  <c r="AC46" i="9"/>
  <c r="AD46" i="9" s="1"/>
  <c r="AD46" i="7"/>
  <c r="AC46" i="8"/>
  <c r="AD46" i="8" s="1"/>
  <c r="AD43" i="7"/>
  <c r="AC43" i="9"/>
  <c r="AD43" i="9" s="1"/>
  <c r="AC43" i="8"/>
  <c r="AD43" i="8" s="1"/>
  <c r="AD28" i="7"/>
  <c r="AC28" i="9"/>
  <c r="AD28" i="9" s="1"/>
  <c r="AC28" i="8"/>
  <c r="AD28" i="8" s="1"/>
  <c r="AD83" i="7"/>
  <c r="AC83" i="8"/>
  <c r="AD83" i="8" s="1"/>
  <c r="AC83" i="9"/>
  <c r="AD83" i="9" s="1"/>
  <c r="AD70" i="7"/>
  <c r="AC70" i="8"/>
  <c r="AD70" i="8" s="1"/>
  <c r="AC70" i="9"/>
  <c r="AD70" i="9" s="1"/>
  <c r="AC29" i="8"/>
  <c r="AD29" i="8" s="1"/>
  <c r="AC29" i="9"/>
  <c r="AD29" i="9" s="1"/>
  <c r="AD29" i="7"/>
  <c r="AC60" i="9"/>
  <c r="AD60" i="9" s="1"/>
  <c r="AD60" i="7"/>
  <c r="AC60" i="8"/>
  <c r="AD60" i="8" s="1"/>
  <c r="AC47" i="8"/>
  <c r="AD47" i="8" s="1"/>
  <c r="AC47" i="9"/>
  <c r="AD47" i="9" s="1"/>
  <c r="AD47" i="7"/>
  <c r="AC57" i="9"/>
  <c r="AD57" i="9" s="1"/>
  <c r="AD57" i="7"/>
  <c r="AC57" i="8"/>
  <c r="AD57" i="8" s="1"/>
  <c r="AC63" i="8"/>
  <c r="AD63" i="8" s="1"/>
  <c r="AC63" i="9"/>
  <c r="AD63" i="9" s="1"/>
  <c r="AD63" i="7"/>
  <c r="AD31" i="7"/>
  <c r="AC31" i="8"/>
  <c r="AD31" i="8" s="1"/>
  <c r="AC31" i="9"/>
  <c r="AD31" i="9" s="1"/>
  <c r="AD8" i="7"/>
  <c r="AC8" i="8"/>
  <c r="AD8" i="8" s="1"/>
  <c r="AC8" i="9"/>
  <c r="AD8" i="9" s="1"/>
  <c r="AD49" i="7"/>
  <c r="AC49" i="8"/>
  <c r="AD49" i="8" s="1"/>
  <c r="AC49" i="9"/>
  <c r="AD49" i="9" s="1"/>
  <c r="AC79" i="9"/>
  <c r="AD79" i="9" s="1"/>
  <c r="AD79" i="7"/>
  <c r="AC79" i="8"/>
  <c r="AD79" i="8" s="1"/>
  <c r="AC25" i="9"/>
  <c r="AD25" i="9" s="1"/>
  <c r="AD25" i="7"/>
  <c r="AC25" i="8"/>
  <c r="AD25" i="8" s="1"/>
  <c r="AC52" i="9"/>
  <c r="AD52" i="9" s="1"/>
  <c r="AC52" i="8"/>
  <c r="AD52" i="8" s="1"/>
  <c r="AD52" i="7"/>
  <c r="AC42" i="9"/>
  <c r="AD42" i="9" s="1"/>
  <c r="AD42" i="7"/>
  <c r="AC42" i="8"/>
  <c r="AD42" i="8" s="1"/>
  <c r="AC68" i="9"/>
  <c r="AD68" i="9" s="1"/>
  <c r="AD68" i="7"/>
  <c r="AC68" i="8"/>
  <c r="AD68" i="8" s="1"/>
  <c r="AH67" i="9"/>
  <c r="AH67" i="8"/>
  <c r="AD67" i="29" s="1"/>
  <c r="AD154" i="29" s="1"/>
  <c r="AD78" i="29"/>
  <c r="AD165" i="29" s="1"/>
  <c r="AH78" i="9"/>
  <c r="AH78" i="8"/>
  <c r="AD11" i="29"/>
  <c r="AD98" i="29" s="1"/>
  <c r="AH11" i="9"/>
  <c r="AH11" i="8"/>
  <c r="AH49" i="9"/>
  <c r="AH49" i="8"/>
  <c r="AD49" i="29" s="1"/>
  <c r="AD136" i="29" s="1"/>
  <c r="AH31" i="9"/>
  <c r="AH31" i="8"/>
  <c r="AD31" i="29" s="1"/>
  <c r="AD118" i="29" s="1"/>
  <c r="AD86" i="29"/>
  <c r="AD173" i="29" s="1"/>
  <c r="AH86" i="9"/>
  <c r="AH86" i="8"/>
  <c r="AD62" i="29"/>
  <c r="AD149" i="29" s="1"/>
  <c r="AH62" i="9"/>
  <c r="AH62" i="8"/>
  <c r="AH16" i="9"/>
  <c r="AD16" i="29" s="1"/>
  <c r="AD103" i="29" s="1"/>
  <c r="AD52" i="29"/>
  <c r="AD139" i="29" s="1"/>
  <c r="AH52" i="9"/>
  <c r="AH52" i="8"/>
  <c r="AD33" i="29"/>
  <c r="AD120" i="29" s="1"/>
  <c r="AH33" i="8"/>
  <c r="AH33" i="9"/>
  <c r="AH70" i="8"/>
  <c r="AD70" i="29" s="1"/>
  <c r="AD157" i="29" s="1"/>
  <c r="AH70" i="9"/>
  <c r="AH77" i="8"/>
  <c r="AH77" i="9"/>
  <c r="AD77" i="29" s="1"/>
  <c r="AD164" i="29" s="1"/>
  <c r="AD18" i="29"/>
  <c r="AD105" i="29" s="1"/>
  <c r="AH18" i="8"/>
  <c r="AH18" i="9"/>
  <c r="AD60" i="29"/>
  <c r="AD147" i="29" s="1"/>
  <c r="AH60" i="8"/>
  <c r="AH60" i="9"/>
  <c r="AH35" i="8"/>
  <c r="AD35" i="29" s="1"/>
  <c r="AD122" i="29" s="1"/>
  <c r="AH35" i="9"/>
  <c r="AH85" i="9"/>
  <c r="AH85" i="8"/>
  <c r="AD85" i="29" s="1"/>
  <c r="AD172" i="29" s="1"/>
  <c r="AD61" i="29"/>
  <c r="AD148" i="29" s="1"/>
  <c r="AH61" i="9"/>
  <c r="AH61" i="8"/>
  <c r="AD20" i="29"/>
  <c r="AD107" i="29" s="1"/>
  <c r="AH20" i="9"/>
  <c r="AH20" i="8"/>
  <c r="AH10" i="9"/>
  <c r="AH10" i="8"/>
  <c r="AD10" i="29" s="1"/>
  <c r="AD97" i="29" s="1"/>
  <c r="AH37" i="9"/>
  <c r="AH37" i="8"/>
  <c r="AD37" i="29" s="1"/>
  <c r="AD124" i="29" s="1"/>
  <c r="P73" i="29"/>
  <c r="P160" i="29" s="1"/>
  <c r="P73" i="9"/>
  <c r="P73" i="8"/>
  <c r="P7" i="29"/>
  <c r="P94" i="29" s="1"/>
  <c r="P7" i="9"/>
  <c r="P7" i="8"/>
  <c r="P42" i="9"/>
  <c r="P42" i="8"/>
  <c r="P42" i="29" s="1"/>
  <c r="P129" i="29" s="1"/>
  <c r="P19" i="9"/>
  <c r="P19" i="8"/>
  <c r="P19" i="29" s="1"/>
  <c r="P106" i="29" s="1"/>
  <c r="P58" i="9"/>
  <c r="P58" i="8"/>
  <c r="P65" i="9"/>
  <c r="P65" i="8"/>
  <c r="P65" i="29" s="1"/>
  <c r="P152" i="29" s="1"/>
  <c r="P78" i="9"/>
  <c r="P78" i="8"/>
  <c r="P78" i="29" s="1"/>
  <c r="P165" i="29" s="1"/>
  <c r="P36" i="29"/>
  <c r="P123" i="29" s="1"/>
  <c r="P36" i="9"/>
  <c r="P36" i="8"/>
  <c r="P64" i="9"/>
  <c r="P64" i="8"/>
  <c r="P48" i="9"/>
  <c r="P48" i="8"/>
  <c r="P48" i="29" s="1"/>
  <c r="P135" i="29" s="1"/>
  <c r="P86" i="29"/>
  <c r="P173" i="29" s="1"/>
  <c r="P86" i="9"/>
  <c r="P86" i="8"/>
  <c r="P71" i="29"/>
  <c r="P158" i="29" s="1"/>
  <c r="P71" i="9"/>
  <c r="P71" i="8"/>
  <c r="P38" i="9"/>
  <c r="P38" i="8"/>
  <c r="P38" i="29" s="1"/>
  <c r="P125" i="29" s="1"/>
  <c r="P9" i="9"/>
  <c r="P9" i="8"/>
  <c r="P9" i="29" s="1"/>
  <c r="P96" i="29" s="1"/>
  <c r="P50" i="29"/>
  <c r="P137" i="29" s="1"/>
  <c r="P50" i="9"/>
  <c r="P50" i="8"/>
  <c r="P75" i="29"/>
  <c r="P162" i="29" s="1"/>
  <c r="P75" i="9"/>
  <c r="P75" i="8"/>
  <c r="P40" i="9"/>
  <c r="P40" i="8"/>
  <c r="P40" i="29" s="1"/>
  <c r="P127" i="29" s="1"/>
  <c r="P17" i="9"/>
  <c r="P17" i="8"/>
  <c r="P17" i="29" s="1"/>
  <c r="P104" i="29" s="1"/>
  <c r="P53" i="29"/>
  <c r="P140" i="29" s="1"/>
  <c r="P53" i="9"/>
  <c r="P53" i="8"/>
  <c r="P72" i="29"/>
  <c r="P159" i="29" s="1"/>
  <c r="P72" i="9"/>
  <c r="P72" i="8"/>
  <c r="U9" i="30"/>
  <c r="U60" i="30" s="1"/>
  <c r="U33" i="30"/>
  <c r="U84" i="30" s="1"/>
  <c r="U25" i="30"/>
  <c r="U76" i="30" s="1"/>
  <c r="T52" i="12"/>
  <c r="M64" i="7"/>
  <c r="R93" i="7"/>
  <c r="R63" i="8" s="1"/>
  <c r="S93" i="7"/>
  <c r="S47" i="8" s="1"/>
  <c r="R5" i="30"/>
  <c r="R56" i="30" s="1"/>
  <c r="L62" i="7"/>
  <c r="M56" i="7"/>
  <c r="L86" i="7"/>
  <c r="M84" i="7"/>
  <c r="P68" i="8"/>
  <c r="P68" i="29" s="1"/>
  <c r="P155" i="29" s="1"/>
  <c r="P13" i="8"/>
  <c r="P13" i="29" s="1"/>
  <c r="P100" i="29" s="1"/>
  <c r="P12" i="8"/>
  <c r="P12" i="29" s="1"/>
  <c r="P99" i="29" s="1"/>
  <c r="P14" i="8"/>
  <c r="P14" i="29" s="1"/>
  <c r="P101" i="29" s="1"/>
  <c r="V18" i="12"/>
  <c r="V39" i="12"/>
  <c r="V6" i="12"/>
  <c r="V40" i="12"/>
  <c r="L49" i="7"/>
  <c r="M24" i="7"/>
  <c r="L22" i="7"/>
  <c r="U57" i="9"/>
  <c r="U57" i="8"/>
  <c r="T57" i="29" s="1"/>
  <c r="T144" i="29" s="1"/>
  <c r="U66" i="9"/>
  <c r="U66" i="8"/>
  <c r="T66" i="29" s="1"/>
  <c r="T153" i="29" s="1"/>
  <c r="U42" i="9"/>
  <c r="U42" i="8"/>
  <c r="T42" i="29" s="1"/>
  <c r="T129" i="29" s="1"/>
  <c r="U27" i="9"/>
  <c r="U27" i="8"/>
  <c r="T27" i="29" s="1"/>
  <c r="T114" i="29" s="1"/>
  <c r="U55" i="9"/>
  <c r="U55" i="8"/>
  <c r="T55" i="29" s="1"/>
  <c r="T142" i="29" s="1"/>
  <c r="U73" i="9"/>
  <c r="U73" i="8"/>
  <c r="T73" i="29" s="1"/>
  <c r="T160" i="29" s="1"/>
  <c r="U6" i="9"/>
  <c r="U6" i="8"/>
  <c r="T6" i="29" s="1"/>
  <c r="T93" i="29" s="1"/>
  <c r="U44" i="9"/>
  <c r="U44" i="8"/>
  <c r="T44" i="29" s="1"/>
  <c r="T131" i="29" s="1"/>
  <c r="U29" i="9"/>
  <c r="U29" i="8"/>
  <c r="T29" i="29" s="1"/>
  <c r="T116" i="29" s="1"/>
  <c r="U60" i="9"/>
  <c r="U60" i="8"/>
  <c r="T60" i="29" s="1"/>
  <c r="T147" i="29" s="1"/>
  <c r="U56" i="9"/>
  <c r="U56" i="8"/>
  <c r="T56" i="29" s="1"/>
  <c r="T143" i="29" s="1"/>
  <c r="U5" i="9"/>
  <c r="U5" i="8"/>
  <c r="T5" i="29" s="1"/>
  <c r="T92" i="29" s="1"/>
  <c r="U47" i="9"/>
  <c r="U47" i="8"/>
  <c r="T47" i="29" s="1"/>
  <c r="T134" i="29" s="1"/>
  <c r="U31" i="9"/>
  <c r="U31" i="8"/>
  <c r="T31" i="29" s="1"/>
  <c r="T118" i="29" s="1"/>
  <c r="U81" i="9"/>
  <c r="U81" i="8"/>
  <c r="T81" i="29" s="1"/>
  <c r="T168" i="29" s="1"/>
  <c r="U72" i="9"/>
  <c r="T72" i="29" s="1"/>
  <c r="T159" i="29" s="1"/>
  <c r="U8" i="9"/>
  <c r="U8" i="8"/>
  <c r="T8" i="29" s="1"/>
  <c r="T95" i="29" s="1"/>
  <c r="U49" i="9"/>
  <c r="U49" i="8"/>
  <c r="T49" i="29" s="1"/>
  <c r="T136" i="29" s="1"/>
  <c r="U33" i="9"/>
  <c r="U33" i="8"/>
  <c r="T33" i="29" s="1"/>
  <c r="T120" i="29" s="1"/>
  <c r="O80" i="9"/>
  <c r="O51" i="9"/>
  <c r="O48" i="9"/>
  <c r="O30" i="9"/>
  <c r="O70" i="9"/>
  <c r="O86" i="9"/>
  <c r="O31" i="9"/>
  <c r="O8" i="9"/>
  <c r="O49" i="9"/>
  <c r="O81" i="9"/>
  <c r="O6" i="9"/>
  <c r="O33" i="9"/>
  <c r="O18" i="9"/>
  <c r="O54" i="9"/>
  <c r="O79" i="9"/>
  <c r="O19" i="9"/>
  <c r="O11" i="9"/>
  <c r="O36" i="9"/>
  <c r="O73" i="9"/>
  <c r="O61" i="9"/>
  <c r="U38" i="30"/>
  <c r="U89" i="30" s="1"/>
  <c r="U43" i="30"/>
  <c r="U94" i="30" s="1"/>
  <c r="M78" i="7"/>
  <c r="M72" i="7"/>
  <c r="L60" i="7"/>
  <c r="M55" i="7"/>
  <c r="S88" i="7"/>
  <c r="O49" i="30"/>
  <c r="O100" i="30" s="1"/>
  <c r="O49" i="12"/>
  <c r="O49" i="13"/>
  <c r="O25" i="30"/>
  <c r="O76" i="30" s="1"/>
  <c r="O25" i="12"/>
  <c r="O25" i="13"/>
  <c r="O10" i="12"/>
  <c r="O10" i="30" s="1"/>
  <c r="O61" i="30" s="1"/>
  <c r="O10" i="13"/>
  <c r="O33" i="12"/>
  <c r="O33" i="13"/>
  <c r="O33" i="30" s="1"/>
  <c r="O84" i="30" s="1"/>
  <c r="O32" i="30"/>
  <c r="O83" i="30" s="1"/>
  <c r="O32" i="12"/>
  <c r="O32" i="13"/>
  <c r="O6" i="30"/>
  <c r="O57" i="30" s="1"/>
  <c r="O6" i="12"/>
  <c r="O6" i="13"/>
  <c r="O36" i="12"/>
  <c r="O36" i="30" s="1"/>
  <c r="O87" i="30" s="1"/>
  <c r="O36" i="13"/>
  <c r="O44" i="12"/>
  <c r="O44" i="13"/>
  <c r="O44" i="30" s="1"/>
  <c r="O95" i="30" s="1"/>
  <c r="O15" i="30"/>
  <c r="O66" i="30" s="1"/>
  <c r="O15" i="12"/>
  <c r="O15" i="13"/>
  <c r="O45" i="30"/>
  <c r="O96" i="30" s="1"/>
  <c r="O45" i="12"/>
  <c r="O45" i="13"/>
  <c r="O37" i="12"/>
  <c r="O37" i="30" s="1"/>
  <c r="O88" i="30" s="1"/>
  <c r="O37" i="13"/>
  <c r="O18" i="12"/>
  <c r="O18" i="13"/>
  <c r="O18" i="30" s="1"/>
  <c r="O69" i="30" s="1"/>
  <c r="V19" i="13"/>
  <c r="V47" i="12"/>
  <c r="V10" i="12"/>
  <c r="V45" i="13"/>
  <c r="V21" i="13"/>
  <c r="V9" i="13"/>
  <c r="V30" i="13"/>
  <c r="V38" i="12"/>
  <c r="L45" i="7"/>
  <c r="L34" i="7"/>
  <c r="M35" i="7"/>
  <c r="R70" i="9"/>
  <c r="R70" i="8"/>
  <c r="R70" i="29" s="1"/>
  <c r="R157" i="29" s="1"/>
  <c r="S70" i="8"/>
  <c r="R85" i="9"/>
  <c r="R19" i="9"/>
  <c r="R58" i="9"/>
  <c r="R30" i="9"/>
  <c r="S30" i="8"/>
  <c r="R46" i="9"/>
  <c r="S46" i="8"/>
  <c r="R83" i="9"/>
  <c r="R37" i="9"/>
  <c r="R8" i="9"/>
  <c r="S8" i="8"/>
  <c r="R49" i="9"/>
  <c r="S49" i="8"/>
  <c r="R77" i="9"/>
  <c r="R9" i="9"/>
  <c r="R50" i="9"/>
  <c r="R50" i="8"/>
  <c r="R50" i="29" s="1"/>
  <c r="R137" i="29" s="1"/>
  <c r="R26" i="9"/>
  <c r="S26" i="8"/>
  <c r="R10" i="9"/>
  <c r="S10" i="8"/>
  <c r="R80" i="9"/>
  <c r="R17" i="9"/>
  <c r="S17" i="8"/>
  <c r="R53" i="9"/>
  <c r="S53" i="8"/>
  <c r="R28" i="9"/>
  <c r="S28" i="8"/>
  <c r="R15" i="9"/>
  <c r="Q21" i="9"/>
  <c r="Q72" i="9"/>
  <c r="Q78" i="9"/>
  <c r="Q47" i="9"/>
  <c r="Q31" i="9"/>
  <c r="Q34" i="9"/>
  <c r="Q49" i="9"/>
  <c r="Q24" i="9"/>
  <c r="Q59" i="9"/>
  <c r="Q60" i="9"/>
  <c r="Q52" i="9"/>
  <c r="Q75" i="9"/>
  <c r="Q6" i="9"/>
  <c r="Q62" i="9"/>
  <c r="Q37" i="9"/>
  <c r="Q45" i="9"/>
  <c r="Q79" i="9"/>
  <c r="Q42" i="9"/>
  <c r="Q27" i="9"/>
  <c r="Q67" i="9"/>
  <c r="U11" i="30"/>
  <c r="U62" i="30" s="1"/>
  <c r="U35" i="30"/>
  <c r="U86" i="30" s="1"/>
  <c r="U28" i="30"/>
  <c r="U79" i="30" s="1"/>
  <c r="L68" i="7"/>
  <c r="L65" i="7"/>
  <c r="L63" i="7"/>
  <c r="M57" i="7"/>
  <c r="AA81" i="9"/>
  <c r="AA60" i="9"/>
  <c r="AA42" i="9"/>
  <c r="AA35" i="9"/>
  <c r="AA14" i="9"/>
  <c r="AA75" i="9"/>
  <c r="AA58" i="9"/>
  <c r="AA40" i="9"/>
  <c r="AA33" i="9"/>
  <c r="AA12" i="9"/>
  <c r="AA78" i="9"/>
  <c r="AA72" i="9"/>
  <c r="AA46" i="9"/>
  <c r="AA43" i="9"/>
  <c r="AA22" i="9"/>
  <c r="AA76" i="9"/>
  <c r="AA68" i="9"/>
  <c r="AA47" i="9"/>
  <c r="AA31" i="9"/>
  <c r="AA6" i="9"/>
  <c r="AA69" i="9"/>
  <c r="AA52" i="9"/>
  <c r="AA34" i="9"/>
  <c r="AA21" i="9"/>
  <c r="AA9" i="9"/>
  <c r="AA67" i="9"/>
  <c r="AA50" i="9"/>
  <c r="AA32" i="9"/>
  <c r="AA19" i="9"/>
  <c r="AA7" i="9"/>
  <c r="AA73" i="9"/>
  <c r="AA56" i="9"/>
  <c r="AA38" i="9"/>
  <c r="AA25" i="9"/>
  <c r="AA11" i="9"/>
  <c r="AA84" i="9"/>
  <c r="AA64" i="9"/>
  <c r="AA44" i="9"/>
  <c r="AA39" i="9"/>
  <c r="AA16" i="9"/>
  <c r="AA85" i="9"/>
  <c r="AA74" i="9"/>
  <c r="AA51" i="9"/>
  <c r="AA26" i="9"/>
  <c r="AA15" i="9"/>
  <c r="AA80" i="9"/>
  <c r="AA70" i="9"/>
  <c r="AA57" i="9"/>
  <c r="AA45" i="9"/>
  <c r="AA13" i="9"/>
  <c r="AA82" i="9"/>
  <c r="AA65" i="9"/>
  <c r="AA48" i="9"/>
  <c r="AA30" i="9"/>
  <c r="AA17" i="9"/>
  <c r="AA5" i="9"/>
  <c r="AA71" i="9"/>
  <c r="AA54" i="9"/>
  <c r="AA36" i="9"/>
  <c r="AA23" i="9"/>
  <c r="AA10" i="9"/>
  <c r="AA86" i="9"/>
  <c r="AA61" i="9"/>
  <c r="AA55" i="9"/>
  <c r="AA37" i="9"/>
  <c r="AA24" i="9"/>
  <c r="AA83" i="9"/>
  <c r="AA66" i="9"/>
  <c r="AA53" i="9"/>
  <c r="AA29" i="9"/>
  <c r="AA27" i="9"/>
  <c r="AA77" i="9"/>
  <c r="AA62" i="9"/>
  <c r="AA49" i="9"/>
  <c r="AA41" i="9"/>
  <c r="AA8" i="9"/>
  <c r="AA79" i="9"/>
  <c r="AA63" i="9"/>
  <c r="AA59" i="9"/>
  <c r="AA28" i="9"/>
  <c r="AA18" i="9"/>
  <c r="AA20" i="9"/>
  <c r="Y20" i="8"/>
  <c r="Y13" i="8"/>
  <c r="Y12" i="8"/>
  <c r="Y14" i="8"/>
  <c r="V12" i="11"/>
  <c r="V48" i="13"/>
  <c r="V20" i="13"/>
  <c r="V7" i="12"/>
  <c r="V24" i="12"/>
  <c r="U39" i="12"/>
  <c r="U39" i="13"/>
  <c r="V39" i="13" s="1"/>
  <c r="S31" i="30"/>
  <c r="S82" i="30" s="1"/>
  <c r="U31" i="13"/>
  <c r="V31" i="13" s="1"/>
  <c r="U31" i="12"/>
  <c r="V31" i="12" s="1"/>
  <c r="S8" i="30"/>
  <c r="S59" i="30" s="1"/>
  <c r="U8" i="12"/>
  <c r="V8" i="12" s="1"/>
  <c r="U8" i="13"/>
  <c r="V8" i="13" s="1"/>
  <c r="U22" i="12"/>
  <c r="V22" i="12" s="1"/>
  <c r="U22" i="13"/>
  <c r="V22" i="13" s="1"/>
  <c r="U50" i="12"/>
  <c r="U50" i="13"/>
  <c r="S50" i="30" s="1"/>
  <c r="S101" i="30" s="1"/>
  <c r="S5" i="30"/>
  <c r="S56" i="30" s="1"/>
  <c r="U5" i="12"/>
  <c r="U5" i="13"/>
  <c r="U52" i="11"/>
  <c r="S42" i="30"/>
  <c r="S93" i="30" s="1"/>
  <c r="U42" i="12"/>
  <c r="V42" i="12" s="1"/>
  <c r="U42" i="13"/>
  <c r="S34" i="30"/>
  <c r="S85" i="30" s="1"/>
  <c r="U34" i="12"/>
  <c r="V34" i="12" s="1"/>
  <c r="U34" i="13"/>
  <c r="V34" i="13" s="1"/>
  <c r="U9" i="12"/>
  <c r="S9" i="30" s="1"/>
  <c r="S60" i="30" s="1"/>
  <c r="U9" i="13"/>
  <c r="U28" i="12"/>
  <c r="U28" i="13"/>
  <c r="V28" i="13" s="1"/>
  <c r="S27" i="30"/>
  <c r="S78" i="30" s="1"/>
  <c r="U27" i="13"/>
  <c r="U27" i="12"/>
  <c r="S17" i="30"/>
  <c r="S68" i="30" s="1"/>
  <c r="U17" i="13"/>
  <c r="V17" i="13" s="1"/>
  <c r="U17" i="12"/>
  <c r="V17" i="12" s="1"/>
  <c r="L46" i="7"/>
  <c r="M30" i="7"/>
  <c r="M8" i="7"/>
  <c r="M38" i="12"/>
  <c r="M38" i="13"/>
  <c r="M38" i="30" s="1"/>
  <c r="M89" i="30" s="1"/>
  <c r="M5" i="30"/>
  <c r="M56" i="30" s="1"/>
  <c r="M5" i="12"/>
  <c r="M5" i="13"/>
  <c r="M52" i="11"/>
  <c r="M29" i="30"/>
  <c r="M80" i="30" s="1"/>
  <c r="M29" i="12"/>
  <c r="M29" i="13"/>
  <c r="M34" i="30"/>
  <c r="M85" i="30" s="1"/>
  <c r="M34" i="12"/>
  <c r="M34" i="13"/>
  <c r="M42" i="12"/>
  <c r="M42" i="30" s="1"/>
  <c r="M93" i="30" s="1"/>
  <c r="M42" i="13"/>
  <c r="M17" i="12"/>
  <c r="M17" i="13"/>
  <c r="M17" i="30" s="1"/>
  <c r="M68" i="30" s="1"/>
  <c r="M49" i="30"/>
  <c r="M100" i="30" s="1"/>
  <c r="M49" i="12"/>
  <c r="M49" i="13"/>
  <c r="M41" i="30"/>
  <c r="M92" i="30" s="1"/>
  <c r="M41" i="12"/>
  <c r="M41" i="13"/>
  <c r="M12" i="12"/>
  <c r="M12" i="30" s="1"/>
  <c r="M63" i="30" s="1"/>
  <c r="M12" i="13"/>
  <c r="M35" i="13"/>
  <c r="M35" i="12"/>
  <c r="M35" i="30" s="1"/>
  <c r="M86" i="30" s="1"/>
  <c r="M24" i="30"/>
  <c r="M75" i="30" s="1"/>
  <c r="M24" i="12"/>
  <c r="M24" i="13"/>
  <c r="V59" i="29"/>
  <c r="V146" i="29" s="1"/>
  <c r="W59" i="8"/>
  <c r="W59" i="9"/>
  <c r="W72" i="8"/>
  <c r="V72" i="29" s="1"/>
  <c r="V159" i="29" s="1"/>
  <c r="W72" i="9"/>
  <c r="W19" i="8"/>
  <c r="W19" i="9"/>
  <c r="V19" i="29" s="1"/>
  <c r="V106" i="29" s="1"/>
  <c r="V11" i="29"/>
  <c r="V98" i="29" s="1"/>
  <c r="W11" i="9"/>
  <c r="W11" i="8"/>
  <c r="V36" i="29"/>
  <c r="V123" i="29" s="1"/>
  <c r="W36" i="9"/>
  <c r="W36" i="8"/>
  <c r="W84" i="9"/>
  <c r="W84" i="8"/>
  <c r="V84" i="29" s="1"/>
  <c r="V171" i="29" s="1"/>
  <c r="W64" i="9"/>
  <c r="W64" i="8"/>
  <c r="V64" i="29" s="1"/>
  <c r="V151" i="29" s="1"/>
  <c r="V21" i="29"/>
  <c r="V108" i="29" s="1"/>
  <c r="W21" i="9"/>
  <c r="W21" i="8"/>
  <c r="V16" i="29"/>
  <c r="V103" i="29" s="1"/>
  <c r="W16" i="9"/>
  <c r="W16" i="8"/>
  <c r="W38" i="9"/>
  <c r="W38" i="8"/>
  <c r="V38" i="29" s="1"/>
  <c r="V125" i="29" s="1"/>
  <c r="W79" i="8"/>
  <c r="W79" i="9"/>
  <c r="V79" i="29" s="1"/>
  <c r="V166" i="29" s="1"/>
  <c r="V71" i="29"/>
  <c r="V158" i="29" s="1"/>
  <c r="W71" i="8"/>
  <c r="W71" i="9"/>
  <c r="V23" i="29"/>
  <c r="V110" i="29" s="1"/>
  <c r="W23" i="8"/>
  <c r="W23" i="9"/>
  <c r="W45" i="9"/>
  <c r="W45" i="8"/>
  <c r="V45" i="29" s="1"/>
  <c r="V132" i="29" s="1"/>
  <c r="W40" i="9"/>
  <c r="W40" i="8"/>
  <c r="V40" i="29" s="1"/>
  <c r="V127" i="29" s="1"/>
  <c r="V63" i="29"/>
  <c r="V150" i="29" s="1"/>
  <c r="W63" i="8"/>
  <c r="W63" i="9"/>
  <c r="V74" i="29"/>
  <c r="V161" i="29" s="1"/>
  <c r="W74" i="8"/>
  <c r="W74" i="9"/>
  <c r="W25" i="8"/>
  <c r="V25" i="29" s="1"/>
  <c r="V112" i="29" s="1"/>
  <c r="W25" i="9"/>
  <c r="W52" i="8"/>
  <c r="W52" i="9"/>
  <c r="V52" i="29" s="1"/>
  <c r="V139" i="29" s="1"/>
  <c r="V42" i="29"/>
  <c r="V129" i="29" s="1"/>
  <c r="W42" i="8"/>
  <c r="W42" i="9"/>
  <c r="AE69" i="29"/>
  <c r="AE156" i="29" s="1"/>
  <c r="AI69" i="9"/>
  <c r="AI69" i="8"/>
  <c r="AI64" i="9"/>
  <c r="AI64" i="8"/>
  <c r="AE64" i="29" s="1"/>
  <c r="AE151" i="29" s="1"/>
  <c r="AI25" i="9"/>
  <c r="AI25" i="8"/>
  <c r="AE25" i="29" s="1"/>
  <c r="AE112" i="29" s="1"/>
  <c r="AE55" i="29"/>
  <c r="AE142" i="29" s="1"/>
  <c r="AI55" i="9"/>
  <c r="AI55" i="8"/>
  <c r="AE42" i="29"/>
  <c r="AE129" i="29" s="1"/>
  <c r="AI42" i="9"/>
  <c r="AI42" i="8"/>
  <c r="AI72" i="9"/>
  <c r="AI72" i="8"/>
  <c r="AE72" i="29" s="1"/>
  <c r="AE159" i="29" s="1"/>
  <c r="AI79" i="9"/>
  <c r="AI79" i="8"/>
  <c r="AE79" i="29" s="1"/>
  <c r="AE166" i="29" s="1"/>
  <c r="AE27" i="29"/>
  <c r="AE114" i="29" s="1"/>
  <c r="AI27" i="9"/>
  <c r="AI27" i="8"/>
  <c r="AE8" i="29"/>
  <c r="AE95" i="29" s="1"/>
  <c r="AI8" i="9"/>
  <c r="AI8" i="8"/>
  <c r="AI47" i="9"/>
  <c r="AI47" i="8"/>
  <c r="AE47" i="29" s="1"/>
  <c r="AE134" i="29" s="1"/>
  <c r="AI71" i="9"/>
  <c r="AI71" i="8"/>
  <c r="AE71" i="29" s="1"/>
  <c r="AE158" i="29" s="1"/>
  <c r="AE63" i="29"/>
  <c r="AE150" i="29" s="1"/>
  <c r="AI63" i="9"/>
  <c r="AI63" i="8"/>
  <c r="AE29" i="29"/>
  <c r="AE116" i="29" s="1"/>
  <c r="AI29" i="9"/>
  <c r="AI29" i="8"/>
  <c r="AI11" i="9"/>
  <c r="AI11" i="8"/>
  <c r="AE11" i="29" s="1"/>
  <c r="AE98" i="29" s="1"/>
  <c r="AI49" i="9"/>
  <c r="AI49" i="8"/>
  <c r="AE49" i="29" s="1"/>
  <c r="AE136" i="29" s="1"/>
  <c r="AE82" i="29"/>
  <c r="AE169" i="29" s="1"/>
  <c r="AI82" i="9"/>
  <c r="AI82" i="8"/>
  <c r="AE74" i="29"/>
  <c r="AE161" i="29" s="1"/>
  <c r="AI74" i="9"/>
  <c r="AI74" i="8"/>
  <c r="AI31" i="9"/>
  <c r="AI31" i="8"/>
  <c r="AE31" i="29" s="1"/>
  <c r="AE118" i="29" s="1"/>
  <c r="AI16" i="9"/>
  <c r="AI16" i="8"/>
  <c r="AE16" i="29" s="1"/>
  <c r="AE103" i="29" s="1"/>
  <c r="AE52" i="29"/>
  <c r="AE139" i="29" s="1"/>
  <c r="AI52" i="9"/>
  <c r="AI52" i="8"/>
  <c r="Y34" i="8"/>
  <c r="Y78" i="8"/>
  <c r="Y19" i="8"/>
  <c r="Y58" i="8"/>
  <c r="Y55" i="8"/>
  <c r="Y36" i="8"/>
  <c r="Y80" i="8"/>
  <c r="Y21" i="8"/>
  <c r="Y61" i="8"/>
  <c r="Y60" i="8"/>
  <c r="Y38" i="8"/>
  <c r="Y82" i="8"/>
  <c r="Y23" i="8"/>
  <c r="Y66" i="8"/>
  <c r="Y63" i="8"/>
  <c r="Y40" i="8"/>
  <c r="Y84" i="8"/>
  <c r="Y25" i="8"/>
  <c r="Y69" i="8"/>
  <c r="Y68" i="8"/>
  <c r="W42" i="29"/>
  <c r="W129" i="29" s="1"/>
  <c r="X42" i="9"/>
  <c r="X42" i="8"/>
  <c r="X41" i="8"/>
  <c r="W41" i="29" s="1"/>
  <c r="W128" i="29" s="1"/>
  <c r="X41" i="9"/>
  <c r="X68" i="8"/>
  <c r="X68" i="9"/>
  <c r="W68" i="29" s="1"/>
  <c r="W155" i="29" s="1"/>
  <c r="W82" i="29"/>
  <c r="W169" i="29" s="1"/>
  <c r="X82" i="8"/>
  <c r="X82" i="9"/>
  <c r="W19" i="29"/>
  <c r="W106" i="29" s="1"/>
  <c r="X19" i="9"/>
  <c r="X19" i="8"/>
  <c r="X58" i="9"/>
  <c r="X58" i="8"/>
  <c r="W58" i="29" s="1"/>
  <c r="W145" i="29" s="1"/>
  <c r="X55" i="9"/>
  <c r="X55" i="8"/>
  <c r="W55" i="29" s="1"/>
  <c r="W142" i="29" s="1"/>
  <c r="W40" i="29"/>
  <c r="W127" i="29" s="1"/>
  <c r="X40" i="8"/>
  <c r="X40" i="9"/>
  <c r="W84" i="29"/>
  <c r="W171" i="29" s="1"/>
  <c r="X84" i="8"/>
  <c r="X84" i="9"/>
  <c r="X60" i="9"/>
  <c r="X60" i="8"/>
  <c r="W60" i="29" s="1"/>
  <c r="W147" i="29" s="1"/>
  <c r="X54" i="9"/>
  <c r="X54" i="8"/>
  <c r="W54" i="29" s="1"/>
  <c r="W141" i="29" s="1"/>
  <c r="W10" i="29"/>
  <c r="W97" i="29" s="1"/>
  <c r="X10" i="9"/>
  <c r="X10" i="8"/>
  <c r="W31" i="29"/>
  <c r="W118" i="29" s="1"/>
  <c r="X31" i="9"/>
  <c r="X31" i="8"/>
  <c r="X75" i="9"/>
  <c r="X75" i="8"/>
  <c r="W75" i="29" s="1"/>
  <c r="W162" i="29" s="1"/>
  <c r="X20" i="9"/>
  <c r="X20" i="8"/>
  <c r="W20" i="29" s="1"/>
  <c r="W107" i="29" s="1"/>
  <c r="W57" i="29"/>
  <c r="W144" i="29" s="1"/>
  <c r="X57" i="9"/>
  <c r="X57" i="8"/>
  <c r="W29" i="29"/>
  <c r="W116" i="29" s="1"/>
  <c r="X29" i="9"/>
  <c r="X29" i="8"/>
  <c r="X15" i="8"/>
  <c r="W15" i="29" s="1"/>
  <c r="W102" i="29" s="1"/>
  <c r="X15" i="9"/>
  <c r="X52" i="8"/>
  <c r="X52" i="9"/>
  <c r="W52" i="29" s="1"/>
  <c r="W139" i="29" s="1"/>
  <c r="U17" i="30"/>
  <c r="U68" i="30" s="1"/>
  <c r="U47" i="30"/>
  <c r="U98" i="30" s="1"/>
  <c r="U40" i="30"/>
  <c r="U91" i="30" s="1"/>
  <c r="N27" i="30"/>
  <c r="N78" i="30" s="1"/>
  <c r="N27" i="12"/>
  <c r="N27" i="13"/>
  <c r="N21" i="12"/>
  <c r="N21" i="30" s="1"/>
  <c r="N72" i="30" s="1"/>
  <c r="N21" i="13"/>
  <c r="N17" i="12"/>
  <c r="N17" i="13"/>
  <c r="N17" i="30" s="1"/>
  <c r="N68" i="30" s="1"/>
  <c r="N26" i="30"/>
  <c r="N77" i="30" s="1"/>
  <c r="N26" i="12"/>
  <c r="N26" i="13"/>
  <c r="N8" i="30"/>
  <c r="N59" i="30" s="1"/>
  <c r="N8" i="12"/>
  <c r="N8" i="13"/>
  <c r="N32" i="13"/>
  <c r="N32" i="12"/>
  <c r="N32" i="30" s="1"/>
  <c r="N83" i="30" s="1"/>
  <c r="N23" i="13"/>
  <c r="N23" i="12"/>
  <c r="N23" i="30" s="1"/>
  <c r="N74" i="30" s="1"/>
  <c r="N6" i="30"/>
  <c r="N57" i="30" s="1"/>
  <c r="N6" i="12"/>
  <c r="N6" i="13"/>
  <c r="N47" i="30"/>
  <c r="N98" i="30" s="1"/>
  <c r="N47" i="12"/>
  <c r="N47" i="13"/>
  <c r="N39" i="12"/>
  <c r="N39" i="30" s="1"/>
  <c r="N90" i="30" s="1"/>
  <c r="N39" i="13"/>
  <c r="N13" i="12"/>
  <c r="N13" i="13"/>
  <c r="N13" i="30" s="1"/>
  <c r="N64" i="30" s="1"/>
  <c r="L71" i="7"/>
  <c r="M81" i="7"/>
  <c r="M85" i="7"/>
  <c r="L85" i="7"/>
  <c r="O88" i="7"/>
  <c r="O93" i="7" s="1"/>
  <c r="O60" i="8" s="1"/>
  <c r="O60" i="29" s="1"/>
  <c r="O147" i="29" s="1"/>
  <c r="Q5" i="30"/>
  <c r="Q56" i="30" s="1"/>
  <c r="Q46" i="30"/>
  <c r="Q97" i="30" s="1"/>
  <c r="Q8" i="30"/>
  <c r="Q59" i="30" s="1"/>
  <c r="Q16" i="30"/>
  <c r="Q67" i="30" s="1"/>
  <c r="Q41" i="30"/>
  <c r="Q92" i="30" s="1"/>
  <c r="Q34" i="30"/>
  <c r="Q85" i="30" s="1"/>
  <c r="Q15" i="30"/>
  <c r="Q66" i="30" s="1"/>
  <c r="Q26" i="30"/>
  <c r="Q77" i="30" s="1"/>
  <c r="P7" i="30"/>
  <c r="P58" i="30" s="1"/>
  <c r="P28" i="30"/>
  <c r="P79" i="30" s="1"/>
  <c r="P33" i="30"/>
  <c r="P84" i="30" s="1"/>
  <c r="L42" i="7"/>
  <c r="L35" i="7"/>
  <c r="M17" i="7"/>
  <c r="AA56" i="29"/>
  <c r="AA143" i="29" s="1"/>
  <c r="AC56" i="8"/>
  <c r="AD56" i="8" s="1"/>
  <c r="AC56" i="9"/>
  <c r="AD56" i="9" s="1"/>
  <c r="AD56" i="7"/>
  <c r="AA73" i="29"/>
  <c r="AA160" i="29" s="1"/>
  <c r="AC73" i="8"/>
  <c r="AD73" i="8" s="1"/>
  <c r="AC73" i="9"/>
  <c r="AD73" i="9" s="1"/>
  <c r="AD73" i="7"/>
  <c r="AA19" i="29"/>
  <c r="AA106" i="29" s="1"/>
  <c r="AD19" i="7"/>
  <c r="AC19" i="9"/>
  <c r="AD19" i="9" s="1"/>
  <c r="AC19" i="8"/>
  <c r="AD19" i="8" s="1"/>
  <c r="AA11" i="29"/>
  <c r="AA98" i="29" s="1"/>
  <c r="AD11" i="7"/>
  <c r="AC11" i="9"/>
  <c r="AD11" i="9" s="1"/>
  <c r="AC11" i="8"/>
  <c r="AD11" i="8" s="1"/>
  <c r="AA36" i="29"/>
  <c r="AA123" i="29" s="1"/>
  <c r="AD36" i="7"/>
  <c r="AC36" i="9"/>
  <c r="AD36" i="9" s="1"/>
  <c r="AC36" i="8"/>
  <c r="AD36" i="8" s="1"/>
  <c r="AA84" i="29"/>
  <c r="AA171" i="29" s="1"/>
  <c r="AD84" i="7"/>
  <c r="AC84" i="8"/>
  <c r="AD84" i="8" s="1"/>
  <c r="AC84" i="9"/>
  <c r="AD84" i="9" s="1"/>
  <c r="AA7" i="29"/>
  <c r="AA94" i="29" s="1"/>
  <c r="AC7" i="9"/>
  <c r="AD7" i="9" s="1"/>
  <c r="AD7" i="7"/>
  <c r="AC7" i="8"/>
  <c r="AD7" i="8" s="1"/>
  <c r="AA37" i="29"/>
  <c r="AA124" i="29" s="1"/>
  <c r="AC37" i="9"/>
  <c r="AD37" i="9" s="1"/>
  <c r="AD37" i="7"/>
  <c r="AC37" i="8"/>
  <c r="AD37" i="8" s="1"/>
  <c r="AA22" i="29"/>
  <c r="AA109" i="29" s="1"/>
  <c r="AC22" i="9"/>
  <c r="AD22" i="9" s="1"/>
  <c r="AD22" i="7"/>
  <c r="AC22" i="8"/>
  <c r="AD22" i="8" s="1"/>
  <c r="AA77" i="29"/>
  <c r="AA164" i="29" s="1"/>
  <c r="AC77" i="8"/>
  <c r="AD77" i="8" s="1"/>
  <c r="AC77" i="9"/>
  <c r="AD77" i="9" s="1"/>
  <c r="AD77" i="7"/>
  <c r="AA62" i="29"/>
  <c r="AA149" i="29" s="1"/>
  <c r="AC62" i="8"/>
  <c r="AD62" i="8" s="1"/>
  <c r="AC62" i="9"/>
  <c r="AD62" i="9" s="1"/>
  <c r="AD62" i="7"/>
  <c r="AA10" i="29"/>
  <c r="AA97" i="29" s="1"/>
  <c r="AD10" i="7"/>
  <c r="AC10" i="8"/>
  <c r="AD10" i="8" s="1"/>
  <c r="AC10" i="9"/>
  <c r="AD10" i="9" s="1"/>
  <c r="AA39" i="29"/>
  <c r="AA126" i="29" s="1"/>
  <c r="AD39" i="7"/>
  <c r="AC39" i="8"/>
  <c r="AD39" i="8" s="1"/>
  <c r="AC39" i="9"/>
  <c r="AD39" i="9" s="1"/>
  <c r="AA24" i="29"/>
  <c r="AA111" i="29" s="1"/>
  <c r="AD24" i="7"/>
  <c r="AC24" i="8"/>
  <c r="AD24" i="8" s="1"/>
  <c r="AC24" i="9"/>
  <c r="AD24" i="9" s="1"/>
  <c r="AA82" i="29"/>
  <c r="AA169" i="29" s="1"/>
  <c r="AC82" i="9"/>
  <c r="AD82" i="9" s="1"/>
  <c r="AD82" i="7"/>
  <c r="AC82" i="8"/>
  <c r="AD82" i="8" s="1"/>
  <c r="AA6" i="29"/>
  <c r="AA93" i="29" s="1"/>
  <c r="AD6" i="7"/>
  <c r="AC6" i="8"/>
  <c r="AD6" i="8" s="1"/>
  <c r="AC6" i="9"/>
  <c r="AD6" i="9" s="1"/>
  <c r="AA33" i="29"/>
  <c r="AA120" i="29" s="1"/>
  <c r="AD33" i="7"/>
  <c r="AC33" i="8"/>
  <c r="AD33" i="8" s="1"/>
  <c r="AC33" i="9"/>
  <c r="AD33" i="9" s="1"/>
  <c r="AA18" i="29"/>
  <c r="AA105" i="29" s="1"/>
  <c r="AD18" i="7"/>
  <c r="AC18" i="8"/>
  <c r="AD18" i="8" s="1"/>
  <c r="AC18" i="9"/>
  <c r="AD18" i="9" s="1"/>
  <c r="AA54" i="29"/>
  <c r="AA141" i="29" s="1"/>
  <c r="AC54" i="8"/>
  <c r="AD54" i="8" s="1"/>
  <c r="AC54" i="9"/>
  <c r="AD54" i="9" s="1"/>
  <c r="AD54" i="7"/>
  <c r="AA64" i="29"/>
  <c r="AA151" i="29" s="1"/>
  <c r="AC64" i="9"/>
  <c r="AD64" i="9" s="1"/>
  <c r="AD64" i="7"/>
  <c r="AC64" i="8"/>
  <c r="AD64" i="8" s="1"/>
  <c r="AD69" i="29"/>
  <c r="AD156" i="29" s="1"/>
  <c r="AH69" i="8"/>
  <c r="AH69" i="9"/>
  <c r="AH64" i="8"/>
  <c r="AD64" i="29" s="1"/>
  <c r="AD151" i="29" s="1"/>
  <c r="AH64" i="9"/>
  <c r="AH22" i="8"/>
  <c r="AH22" i="9"/>
  <c r="AD22" i="29" s="1"/>
  <c r="AD109" i="29" s="1"/>
  <c r="AD15" i="29"/>
  <c r="AD102" i="29" s="1"/>
  <c r="AH15" i="8"/>
  <c r="AH15" i="9"/>
  <c r="AD39" i="29"/>
  <c r="AD126" i="29" s="1"/>
  <c r="AH39" i="8"/>
  <c r="AH39" i="9"/>
  <c r="AH76" i="8"/>
  <c r="AD76" i="29" s="1"/>
  <c r="AD163" i="29" s="1"/>
  <c r="AH76" i="9"/>
  <c r="AH68" i="8"/>
  <c r="AH68" i="9"/>
  <c r="AD68" i="29" s="1"/>
  <c r="AD155" i="29" s="1"/>
  <c r="AD24" i="29"/>
  <c r="AD111" i="29" s="1"/>
  <c r="AH24" i="8"/>
  <c r="AH24" i="9"/>
  <c r="AD44" i="29"/>
  <c r="AD131" i="29" s="1"/>
  <c r="AH44" i="9"/>
  <c r="AH44" i="8"/>
  <c r="AH41" i="8"/>
  <c r="AD41" i="29" s="1"/>
  <c r="AD128" i="29" s="1"/>
  <c r="AH41" i="9"/>
  <c r="AH79" i="8"/>
  <c r="AH79" i="9"/>
  <c r="AD79" i="29" s="1"/>
  <c r="AD166" i="29" s="1"/>
  <c r="AD71" i="29"/>
  <c r="AD158" i="29" s="1"/>
  <c r="AH71" i="8"/>
  <c r="AH71" i="9"/>
  <c r="AD26" i="29"/>
  <c r="AD113" i="29" s="1"/>
  <c r="AH26" i="8"/>
  <c r="AH26" i="9"/>
  <c r="AH51" i="8"/>
  <c r="AD51" i="29" s="1"/>
  <c r="AD138" i="29" s="1"/>
  <c r="AH51" i="9"/>
  <c r="AH43" i="8"/>
  <c r="AH43" i="9"/>
  <c r="AD43" i="29" s="1"/>
  <c r="AD130" i="29" s="1"/>
  <c r="AD63" i="29"/>
  <c r="AD150" i="29" s="1"/>
  <c r="AH63" i="8"/>
  <c r="AH63" i="9"/>
  <c r="AD74" i="29"/>
  <c r="AD161" i="29" s="1"/>
  <c r="AH74" i="8"/>
  <c r="AH74" i="9"/>
  <c r="AH28" i="8"/>
  <c r="AD28" i="29" s="1"/>
  <c r="AD115" i="29" s="1"/>
  <c r="AH28" i="9"/>
  <c r="AH54" i="8"/>
  <c r="AH54" i="9"/>
  <c r="AD54" i="29" s="1"/>
  <c r="AD141" i="29" s="1"/>
  <c r="AD46" i="29"/>
  <c r="AD133" i="29" s="1"/>
  <c r="AH46" i="8"/>
  <c r="AH46" i="9"/>
  <c r="P70" i="29"/>
  <c r="P157" i="29" s="1"/>
  <c r="P70" i="9"/>
  <c r="P70" i="8"/>
  <c r="P18" i="9"/>
  <c r="P18" i="8"/>
  <c r="P18" i="29" s="1"/>
  <c r="P105" i="29" s="1"/>
  <c r="P54" i="9"/>
  <c r="P54" i="8"/>
  <c r="P54" i="29" s="1"/>
  <c r="P141" i="29" s="1"/>
  <c r="P27" i="29"/>
  <c r="P114" i="29" s="1"/>
  <c r="P27" i="9"/>
  <c r="P27" i="8"/>
  <c r="P45" i="29"/>
  <c r="P132" i="29" s="1"/>
  <c r="P45" i="8"/>
  <c r="P45" i="9"/>
  <c r="P67" i="9"/>
  <c r="P67" i="8"/>
  <c r="P67" i="29" s="1"/>
  <c r="P154" i="29" s="1"/>
  <c r="P6" i="9"/>
  <c r="P6" i="8"/>
  <c r="P6" i="29" s="1"/>
  <c r="P93" i="29" s="1"/>
  <c r="P44" i="29"/>
  <c r="P131" i="29" s="1"/>
  <c r="P44" i="9"/>
  <c r="P44" i="8"/>
  <c r="P21" i="29"/>
  <c r="P108" i="29" s="1"/>
  <c r="P21" i="9"/>
  <c r="P21" i="8"/>
  <c r="P61" i="9"/>
  <c r="P61" i="8"/>
  <c r="P83" i="29"/>
  <c r="P170" i="29" s="1"/>
  <c r="P83" i="9"/>
  <c r="P83" i="8"/>
  <c r="P5" i="29"/>
  <c r="P92" i="29" s="1"/>
  <c r="P5" i="9"/>
  <c r="P5" i="8"/>
  <c r="P47" i="9"/>
  <c r="P47" i="8"/>
  <c r="P47" i="29" s="1"/>
  <c r="P134" i="29" s="1"/>
  <c r="P23" i="9"/>
  <c r="P23" i="8"/>
  <c r="P23" i="29" s="1"/>
  <c r="P110" i="29" s="1"/>
  <c r="P11" i="29"/>
  <c r="P98" i="29" s="1"/>
  <c r="P11" i="9"/>
  <c r="P11" i="8"/>
  <c r="P8" i="29"/>
  <c r="P95" i="29" s="1"/>
  <c r="P8" i="8"/>
  <c r="P8" i="9"/>
  <c r="P49" i="8"/>
  <c r="P49" i="29" s="1"/>
  <c r="P136" i="29" s="1"/>
  <c r="P49" i="9"/>
  <c r="P25" i="8"/>
  <c r="P25" i="9"/>
  <c r="P25" i="29" s="1"/>
  <c r="P112" i="29" s="1"/>
  <c r="P16" i="29"/>
  <c r="P103" i="29" s="1"/>
  <c r="P16" i="8"/>
  <c r="P16" i="9"/>
  <c r="U24" i="30"/>
  <c r="U75" i="30" s="1"/>
  <c r="U34" i="30"/>
  <c r="U85" i="30" s="1"/>
  <c r="U22" i="30"/>
  <c r="U73" i="30" s="1"/>
  <c r="L73" i="7"/>
  <c r="L75" i="7"/>
  <c r="L76" i="7"/>
  <c r="M61" i="7"/>
  <c r="M59" i="7"/>
  <c r="W66" i="8"/>
  <c r="V66" i="29" s="1"/>
  <c r="V153" i="29" s="1"/>
  <c r="W12" i="8"/>
  <c r="V12" i="29" s="1"/>
  <c r="V99" i="29" s="1"/>
  <c r="W14" i="8"/>
  <c r="V14" i="29" s="1"/>
  <c r="V101" i="29" s="1"/>
  <c r="W13" i="8"/>
  <c r="V13" i="29" s="1"/>
  <c r="V100" i="29" s="1"/>
  <c r="V49" i="12"/>
  <c r="V23" i="13"/>
  <c r="V32" i="13"/>
  <c r="M44" i="7"/>
  <c r="M22" i="7"/>
  <c r="M23" i="7"/>
  <c r="T65" i="29"/>
  <c r="T152" i="29" s="1"/>
  <c r="U65" i="9"/>
  <c r="U65" i="8"/>
  <c r="T59" i="29"/>
  <c r="T146" i="29" s="1"/>
  <c r="U59" i="9"/>
  <c r="U59" i="8"/>
  <c r="U18" i="9"/>
  <c r="U18" i="8"/>
  <c r="T18" i="29" s="1"/>
  <c r="T105" i="29" s="1"/>
  <c r="U54" i="9"/>
  <c r="U54" i="8"/>
  <c r="T54" i="29" s="1"/>
  <c r="T141" i="29" s="1"/>
  <c r="U35" i="9"/>
  <c r="U35" i="8"/>
  <c r="T35" i="29" s="1"/>
  <c r="T122" i="29" s="1"/>
  <c r="T76" i="29"/>
  <c r="T163" i="29" s="1"/>
  <c r="U76" i="9"/>
  <c r="U76" i="8"/>
  <c r="U83" i="9"/>
  <c r="U83" i="8"/>
  <c r="T83" i="29" s="1"/>
  <c r="T170" i="29" s="1"/>
  <c r="U20" i="9"/>
  <c r="U20" i="8"/>
  <c r="T20" i="29" s="1"/>
  <c r="T107" i="29" s="1"/>
  <c r="T7" i="29"/>
  <c r="T94" i="29" s="1"/>
  <c r="U7" i="9"/>
  <c r="U7" i="8"/>
  <c r="U37" i="9"/>
  <c r="U37" i="8"/>
  <c r="U75" i="9"/>
  <c r="U75" i="8"/>
  <c r="T75" i="29" s="1"/>
  <c r="T162" i="29" s="1"/>
  <c r="T67" i="29"/>
  <c r="T154" i="29" s="1"/>
  <c r="U67" i="9"/>
  <c r="U67" i="8"/>
  <c r="U22" i="9"/>
  <c r="U22" i="8"/>
  <c r="T22" i="29" s="1"/>
  <c r="T109" i="29" s="1"/>
  <c r="U10" i="9"/>
  <c r="U10" i="8"/>
  <c r="T10" i="29" s="1"/>
  <c r="T97" i="29" s="1"/>
  <c r="U39" i="9"/>
  <c r="U39" i="8"/>
  <c r="T39" i="29" s="1"/>
  <c r="T126" i="29" s="1"/>
  <c r="U58" i="9"/>
  <c r="U58" i="8"/>
  <c r="T58" i="29" s="1"/>
  <c r="T145" i="29" s="1"/>
  <c r="T86" i="29"/>
  <c r="T173" i="29" s="1"/>
  <c r="U86" i="9"/>
  <c r="U86" i="8"/>
  <c r="T24" i="29"/>
  <c r="T111" i="29" s="1"/>
  <c r="U24" i="9"/>
  <c r="U24" i="8"/>
  <c r="T15" i="29"/>
  <c r="T102" i="29" s="1"/>
  <c r="U15" i="9"/>
  <c r="U15" i="8"/>
  <c r="U41" i="9"/>
  <c r="U41" i="8"/>
  <c r="T41" i="29" s="1"/>
  <c r="T128" i="29" s="1"/>
  <c r="O78" i="9"/>
  <c r="O21" i="9"/>
  <c r="O16" i="9"/>
  <c r="O16" i="8"/>
  <c r="O16" i="29" s="1"/>
  <c r="O103" i="29" s="1"/>
  <c r="O38" i="9"/>
  <c r="O38" i="8"/>
  <c r="O38" i="29" s="1"/>
  <c r="O125" i="29" s="1"/>
  <c r="O75" i="9"/>
  <c r="O10" i="9"/>
  <c r="O39" i="9"/>
  <c r="O39" i="8"/>
  <c r="O39" i="29" s="1"/>
  <c r="O126" i="29" s="1"/>
  <c r="O24" i="9"/>
  <c r="O24" i="8"/>
  <c r="O24" i="29" s="1"/>
  <c r="O111" i="29" s="1"/>
  <c r="O74" i="9"/>
  <c r="O82" i="9"/>
  <c r="O15" i="9"/>
  <c r="O15" i="8"/>
  <c r="O15" i="29" s="1"/>
  <c r="O102" i="29" s="1"/>
  <c r="O41" i="9"/>
  <c r="O41" i="8"/>
  <c r="O41" i="29" s="1"/>
  <c r="O128" i="29" s="1"/>
  <c r="O26" i="9"/>
  <c r="O64" i="9"/>
  <c r="O85" i="9"/>
  <c r="O85" i="8"/>
  <c r="O85" i="29" s="1"/>
  <c r="O172" i="29" s="1"/>
  <c r="O27" i="9"/>
  <c r="O27" i="8"/>
  <c r="O27" i="29" s="1"/>
  <c r="O114" i="29" s="1"/>
  <c r="O55" i="9"/>
  <c r="O44" i="9"/>
  <c r="O66" i="9"/>
  <c r="O66" i="8"/>
  <c r="O66" i="29" s="1"/>
  <c r="O153" i="29" s="1"/>
  <c r="O62" i="9"/>
  <c r="O62" i="8"/>
  <c r="O62" i="29" s="1"/>
  <c r="O149" i="29" s="1"/>
  <c r="U8" i="30"/>
  <c r="U59" i="30" s="1"/>
  <c r="U49" i="30"/>
  <c r="U100" i="30" s="1"/>
  <c r="U41" i="30"/>
  <c r="U92" i="30" s="1"/>
  <c r="L78" i="7"/>
  <c r="L79" i="7"/>
  <c r="M58" i="7"/>
  <c r="M63" i="7"/>
  <c r="Z78" i="9"/>
  <c r="Z53" i="9"/>
  <c r="Z36" i="9"/>
  <c r="Z20" i="9"/>
  <c r="Z12" i="9"/>
  <c r="Z76" i="9"/>
  <c r="Z69" i="9"/>
  <c r="Z58" i="9"/>
  <c r="Z30" i="9"/>
  <c r="Z17" i="9"/>
  <c r="Z75" i="9"/>
  <c r="Z68" i="9"/>
  <c r="Z52" i="9"/>
  <c r="Z39" i="9"/>
  <c r="Z26" i="9"/>
  <c r="Z82" i="9"/>
  <c r="Z63" i="9"/>
  <c r="Z49" i="9"/>
  <c r="Z38" i="9"/>
  <c r="Z25" i="9"/>
  <c r="Z85" i="9"/>
  <c r="Z60" i="9"/>
  <c r="Z42" i="9"/>
  <c r="Z34" i="9"/>
  <c r="Z15" i="9"/>
  <c r="Z7" i="9"/>
  <c r="Z72" i="9"/>
  <c r="Z48" i="9"/>
  <c r="Z33" i="9"/>
  <c r="Z28" i="9"/>
  <c r="Z11" i="9"/>
  <c r="Z74" i="9"/>
  <c r="Z66" i="9"/>
  <c r="Z55" i="9"/>
  <c r="Z27" i="9"/>
  <c r="Z16" i="9"/>
  <c r="Z86" i="9"/>
  <c r="Z56" i="9"/>
  <c r="Z50" i="9"/>
  <c r="Z23" i="9"/>
  <c r="Z14" i="9"/>
  <c r="Z77" i="9"/>
  <c r="Z62" i="9"/>
  <c r="Z51" i="9"/>
  <c r="Z29" i="9"/>
  <c r="Z24" i="9"/>
  <c r="Z83" i="9"/>
  <c r="Z73" i="9"/>
  <c r="Z40" i="9"/>
  <c r="Z31" i="9"/>
  <c r="Z13" i="9"/>
  <c r="Z5" i="9"/>
  <c r="Z67" i="9"/>
  <c r="Z46" i="9"/>
  <c r="Z45" i="9"/>
  <c r="Z21" i="9"/>
  <c r="Z10" i="9"/>
  <c r="Z64" i="9"/>
  <c r="Z44" i="9"/>
  <c r="Z41" i="9"/>
  <c r="Z18" i="9"/>
  <c r="Z9" i="9"/>
  <c r="Z80" i="9"/>
  <c r="Z61" i="9"/>
  <c r="Z47" i="9"/>
  <c r="Z35" i="9"/>
  <c r="Z22" i="9"/>
  <c r="Z84" i="9"/>
  <c r="Z71" i="9"/>
  <c r="Z57" i="9"/>
  <c r="Z43" i="9"/>
  <c r="Z19" i="9"/>
  <c r="Z81" i="9"/>
  <c r="Z70" i="9"/>
  <c r="Z59" i="9"/>
  <c r="Z37" i="9"/>
  <c r="Z8" i="9"/>
  <c r="Z79" i="9"/>
  <c r="Z65" i="9"/>
  <c r="Z54" i="9"/>
  <c r="Z32" i="9"/>
  <c r="Z6" i="9"/>
  <c r="X51" i="8"/>
  <c r="W51" i="29" s="1"/>
  <c r="W138" i="29" s="1"/>
  <c r="X14" i="8"/>
  <c r="W14" i="29" s="1"/>
  <c r="W101" i="29" s="1"/>
  <c r="X13" i="8"/>
  <c r="W13" i="29" s="1"/>
  <c r="W100" i="29" s="1"/>
  <c r="X12" i="8"/>
  <c r="W12" i="29" s="1"/>
  <c r="W99" i="29" s="1"/>
  <c r="O27" i="13"/>
  <c r="O27" i="12"/>
  <c r="O27" i="30" s="1"/>
  <c r="O78" i="30" s="1"/>
  <c r="O35" i="30"/>
  <c r="O86" i="30" s="1"/>
  <c r="O35" i="13"/>
  <c r="O35" i="12"/>
  <c r="O14" i="30"/>
  <c r="O65" i="30" s="1"/>
  <c r="O14" i="13"/>
  <c r="O14" i="12"/>
  <c r="O46" i="12"/>
  <c r="O46" i="30" s="1"/>
  <c r="O97" i="30" s="1"/>
  <c r="O46" i="13"/>
  <c r="O38" i="12"/>
  <c r="O38" i="13"/>
  <c r="O38" i="30" s="1"/>
  <c r="O89" i="30" s="1"/>
  <c r="O13" i="30"/>
  <c r="O64" i="30" s="1"/>
  <c r="O13" i="13"/>
  <c r="O13" i="12"/>
  <c r="O30" i="30"/>
  <c r="O81" i="30" s="1"/>
  <c r="O30" i="12"/>
  <c r="O30" i="13"/>
  <c r="O21" i="12"/>
  <c r="O21" i="30" s="1"/>
  <c r="O72" i="30" s="1"/>
  <c r="O21" i="13"/>
  <c r="O16" i="12"/>
  <c r="O16" i="13"/>
  <c r="O16" i="30" s="1"/>
  <c r="O67" i="30" s="1"/>
  <c r="O39" i="30"/>
  <c r="O90" i="30" s="1"/>
  <c r="O39" i="13"/>
  <c r="O39" i="12"/>
  <c r="O12" i="30"/>
  <c r="O63" i="30" s="1"/>
  <c r="O12" i="13"/>
  <c r="O12" i="12"/>
  <c r="X6" i="31"/>
  <c r="V19" i="12"/>
  <c r="V42" i="13"/>
  <c r="V14" i="13"/>
  <c r="V21" i="12"/>
  <c r="V9" i="12"/>
  <c r="V30" i="12"/>
  <c r="M49" i="7"/>
  <c r="L23" i="7"/>
  <c r="M7" i="7"/>
  <c r="R75" i="29"/>
  <c r="R162" i="29" s="1"/>
  <c r="R75" i="9"/>
  <c r="R75" i="8"/>
  <c r="S75" i="8"/>
  <c r="R67" i="9"/>
  <c r="S67" i="8"/>
  <c r="R67" i="8"/>
  <c r="R67" i="29" s="1"/>
  <c r="R154" i="29" s="1"/>
  <c r="R27" i="9"/>
  <c r="R27" i="8"/>
  <c r="R27" i="29" s="1"/>
  <c r="R114" i="29" s="1"/>
  <c r="S27" i="8"/>
  <c r="R45" i="29"/>
  <c r="R132" i="29" s="1"/>
  <c r="R45" i="9"/>
  <c r="R45" i="8"/>
  <c r="S45" i="8"/>
  <c r="R38" i="29"/>
  <c r="R125" i="29" s="1"/>
  <c r="R38" i="9"/>
  <c r="R38" i="8"/>
  <c r="S38" i="8"/>
  <c r="R64" i="9"/>
  <c r="R64" i="8"/>
  <c r="S64" i="8"/>
  <c r="R5" i="9"/>
  <c r="S5" i="8"/>
  <c r="R5" i="8"/>
  <c r="R5" i="29" s="1"/>
  <c r="R92" i="29" s="1"/>
  <c r="R48" i="9"/>
  <c r="S48" i="8"/>
  <c r="R48" i="8"/>
  <c r="R48" i="29" s="1"/>
  <c r="R135" i="29" s="1"/>
  <c r="R24" i="29"/>
  <c r="R111" i="29" s="1"/>
  <c r="R24" i="9"/>
  <c r="S24" i="8"/>
  <c r="R24" i="8"/>
  <c r="R7" i="9"/>
  <c r="S7" i="8"/>
  <c r="R7" i="8"/>
  <c r="R7" i="29" s="1"/>
  <c r="R94" i="29" s="1"/>
  <c r="R68" i="9"/>
  <c r="R68" i="8"/>
  <c r="R68" i="29" s="1"/>
  <c r="R155" i="29" s="1"/>
  <c r="S68" i="8"/>
  <c r="R23" i="9"/>
  <c r="R23" i="8"/>
  <c r="R23" i="29" s="1"/>
  <c r="R110" i="29" s="1"/>
  <c r="S23" i="8"/>
  <c r="R11" i="29"/>
  <c r="R98" i="29" s="1"/>
  <c r="R11" i="9"/>
  <c r="R11" i="8"/>
  <c r="S11" i="8"/>
  <c r="R34" i="29"/>
  <c r="R121" i="29" s="1"/>
  <c r="R34" i="9"/>
  <c r="R34" i="8"/>
  <c r="S34" i="8"/>
  <c r="R56" i="9"/>
  <c r="S56" i="8"/>
  <c r="R56" i="8"/>
  <c r="R76" i="9"/>
  <c r="R76" i="8"/>
  <c r="R76" i="29" s="1"/>
  <c r="R163" i="29" s="1"/>
  <c r="S76" i="8"/>
  <c r="R25" i="9"/>
  <c r="R25" i="8"/>
  <c r="R25" i="29" s="1"/>
  <c r="R112" i="29" s="1"/>
  <c r="S25" i="8"/>
  <c r="R16" i="29"/>
  <c r="R103" i="29" s="1"/>
  <c r="R16" i="9"/>
  <c r="R16" i="8"/>
  <c r="S16" i="8"/>
  <c r="R36" i="9"/>
  <c r="S36" i="8"/>
  <c r="R36" i="8"/>
  <c r="R36" i="29" s="1"/>
  <c r="R123" i="29" s="1"/>
  <c r="R59" i="9"/>
  <c r="R59" i="8"/>
  <c r="S59" i="8"/>
  <c r="Q81" i="9"/>
  <c r="Q38" i="9"/>
  <c r="Q16" i="9"/>
  <c r="Q10" i="9"/>
  <c r="Q43" i="9"/>
  <c r="Q43" i="8"/>
  <c r="Q43" i="29" s="1"/>
  <c r="Q130" i="29" s="1"/>
  <c r="Q83" i="9"/>
  <c r="Q41" i="9"/>
  <c r="Q36" i="9"/>
  <c r="Q23" i="9"/>
  <c r="Q23" i="8"/>
  <c r="Q23" i="29" s="1"/>
  <c r="Q110" i="29" s="1"/>
  <c r="Q86" i="9"/>
  <c r="Q69" i="9"/>
  <c r="Q44" i="8"/>
  <c r="Q44" i="29" s="1"/>
  <c r="Q131" i="29" s="1"/>
  <c r="Q44" i="9"/>
  <c r="Q8" i="9"/>
  <c r="Q46" i="9"/>
  <c r="Q50" i="9"/>
  <c r="Q29" i="8"/>
  <c r="Q29" i="29" s="1"/>
  <c r="Q116" i="29" s="1"/>
  <c r="Q29" i="9"/>
  <c r="Q11" i="9"/>
  <c r="Q11" i="8"/>
  <c r="Q11" i="29" s="1"/>
  <c r="Q98" i="29" s="1"/>
  <c r="Q7" i="9"/>
  <c r="Q39" i="9"/>
  <c r="Q76" i="9"/>
  <c r="U12" i="30"/>
  <c r="U63" i="30" s="1"/>
  <c r="U26" i="30"/>
  <c r="U77" i="30" s="1"/>
  <c r="L69" i="7"/>
  <c r="M80" i="7"/>
  <c r="L54" i="7"/>
  <c r="M68" i="7"/>
  <c r="Q88" i="7"/>
  <c r="Q93" i="7" s="1"/>
  <c r="Q80" i="8" s="1"/>
  <c r="Q80" i="29" s="1"/>
  <c r="Q167" i="29" s="1"/>
  <c r="V12" i="13"/>
  <c r="V48" i="11"/>
  <c r="V20" i="12"/>
  <c r="V7" i="11"/>
  <c r="V43" i="12"/>
  <c r="V24" i="11"/>
  <c r="V28" i="12"/>
  <c r="V36" i="12"/>
  <c r="S41" i="30"/>
  <c r="S92" i="30" s="1"/>
  <c r="U41" i="12"/>
  <c r="V41" i="12" s="1"/>
  <c r="U41" i="13"/>
  <c r="S33" i="30"/>
  <c r="S84" i="30" s="1"/>
  <c r="U33" i="12"/>
  <c r="V33" i="12" s="1"/>
  <c r="U33" i="13"/>
  <c r="V33" i="13" s="1"/>
  <c r="U11" i="12"/>
  <c r="V11" i="12" s="1"/>
  <c r="U11" i="13"/>
  <c r="V11" i="13" s="1"/>
  <c r="U25" i="13"/>
  <c r="V25" i="13" s="1"/>
  <c r="U25" i="12"/>
  <c r="S25" i="30" s="1"/>
  <c r="S76" i="30" s="1"/>
  <c r="S36" i="30"/>
  <c r="S87" i="30" s="1"/>
  <c r="U36" i="13"/>
  <c r="V36" i="13" s="1"/>
  <c r="U36" i="12"/>
  <c r="S15" i="30"/>
  <c r="S66" i="30" s="1"/>
  <c r="U15" i="12"/>
  <c r="V15" i="12" s="1"/>
  <c r="U15" i="13"/>
  <c r="U44" i="12"/>
  <c r="V44" i="12" s="1"/>
  <c r="U44" i="13"/>
  <c r="V44" i="13" s="1"/>
  <c r="U43" i="12"/>
  <c r="U43" i="13"/>
  <c r="V43" i="13" s="1"/>
  <c r="S16" i="30"/>
  <c r="S67" i="30" s="1"/>
  <c r="U16" i="13"/>
  <c r="U16" i="12"/>
  <c r="V16" i="12" s="1"/>
  <c r="S37" i="30"/>
  <c r="S88" i="30" s="1"/>
  <c r="U37" i="12"/>
  <c r="V37" i="12" s="1"/>
  <c r="U37" i="13"/>
  <c r="V37" i="13" s="1"/>
  <c r="U29" i="12"/>
  <c r="V29" i="12" s="1"/>
  <c r="U29" i="13"/>
  <c r="V29" i="13" s="1"/>
  <c r="U13" i="12"/>
  <c r="V13" i="12" s="1"/>
  <c r="U13" i="13"/>
  <c r="V13" i="13" s="1"/>
  <c r="M18" i="7"/>
  <c r="L18" i="7"/>
  <c r="M23" i="12"/>
  <c r="M23" i="30" s="1"/>
  <c r="M74" i="30" s="1"/>
  <c r="M23" i="13"/>
  <c r="M6" i="13"/>
  <c r="M6" i="12"/>
  <c r="M6" i="30" s="1"/>
  <c r="M57" i="30" s="1"/>
  <c r="M30" i="30"/>
  <c r="M81" i="30" s="1"/>
  <c r="M30" i="13"/>
  <c r="M30" i="12"/>
  <c r="M31" i="30"/>
  <c r="M82" i="30" s="1"/>
  <c r="M31" i="12"/>
  <c r="M31" i="13"/>
  <c r="M7" i="13"/>
  <c r="M7" i="12"/>
  <c r="M7" i="30" s="1"/>
  <c r="M58" i="30" s="1"/>
  <c r="M45" i="12"/>
  <c r="M45" i="13"/>
  <c r="M45" i="30" s="1"/>
  <c r="M96" i="30" s="1"/>
  <c r="M50" i="30"/>
  <c r="M101" i="30" s="1"/>
  <c r="M50" i="13"/>
  <c r="M50" i="12"/>
  <c r="M9" i="30"/>
  <c r="M60" i="30" s="1"/>
  <c r="M9" i="13"/>
  <c r="M9" i="12"/>
  <c r="M28" i="12"/>
  <c r="M28" i="30" s="1"/>
  <c r="M79" i="30" s="1"/>
  <c r="M28" i="13"/>
  <c r="M22" i="12"/>
  <c r="M22" i="13"/>
  <c r="M22" i="30" s="1"/>
  <c r="M73" i="30" s="1"/>
  <c r="M14" i="30"/>
  <c r="M65" i="30" s="1"/>
  <c r="M14" i="12"/>
  <c r="M14" i="13"/>
  <c r="V82" i="29"/>
  <c r="V169" i="29" s="1"/>
  <c r="W82" i="8"/>
  <c r="W82" i="9"/>
  <c r="W57" i="8"/>
  <c r="V57" i="29" s="1"/>
  <c r="V144" i="29" s="1"/>
  <c r="W57" i="9"/>
  <c r="W27" i="8"/>
  <c r="W27" i="9"/>
  <c r="V27" i="29" s="1"/>
  <c r="V114" i="29" s="1"/>
  <c r="V55" i="29"/>
  <c r="V142" i="29" s="1"/>
  <c r="W55" i="8"/>
  <c r="W55" i="9"/>
  <c r="V44" i="29"/>
  <c r="V131" i="29" s="1"/>
  <c r="W44" i="8"/>
  <c r="W44" i="9"/>
  <c r="W66" i="9"/>
  <c r="V73" i="29"/>
  <c r="V160" i="29" s="1"/>
  <c r="W73" i="9"/>
  <c r="W73" i="8"/>
  <c r="V29" i="29"/>
  <c r="V116" i="29" s="1"/>
  <c r="W29" i="9"/>
  <c r="W29" i="8"/>
  <c r="W60" i="9"/>
  <c r="W60" i="8"/>
  <c r="V60" i="29" s="1"/>
  <c r="V147" i="29" s="1"/>
  <c r="W47" i="9"/>
  <c r="W47" i="8"/>
  <c r="V47" i="29" s="1"/>
  <c r="V134" i="29" s="1"/>
  <c r="V81" i="29"/>
  <c r="V168" i="29" s="1"/>
  <c r="W81" i="9"/>
  <c r="W81" i="8"/>
  <c r="V56" i="29"/>
  <c r="V143" i="29" s="1"/>
  <c r="W56" i="9"/>
  <c r="W56" i="8"/>
  <c r="W31" i="8"/>
  <c r="V31" i="29" s="1"/>
  <c r="V118" i="29" s="1"/>
  <c r="W31" i="9"/>
  <c r="W8" i="9"/>
  <c r="W8" i="8"/>
  <c r="V8" i="29" s="1"/>
  <c r="V95" i="29" s="1"/>
  <c r="V49" i="29"/>
  <c r="V136" i="29" s="1"/>
  <c r="W49" i="8"/>
  <c r="W49" i="9"/>
  <c r="V65" i="29"/>
  <c r="V152" i="29" s="1"/>
  <c r="W65" i="9"/>
  <c r="W65" i="8"/>
  <c r="W68" i="8"/>
  <c r="V68" i="29" s="1"/>
  <c r="V155" i="29" s="1"/>
  <c r="W68" i="9"/>
  <c r="W33" i="9"/>
  <c r="W33" i="8"/>
  <c r="V33" i="29" s="1"/>
  <c r="V120" i="29" s="1"/>
  <c r="V18" i="29"/>
  <c r="V105" i="29" s="1"/>
  <c r="W18" i="8"/>
  <c r="W18" i="9"/>
  <c r="V54" i="29"/>
  <c r="V141" i="29" s="1"/>
  <c r="W54" i="8"/>
  <c r="W54" i="9"/>
  <c r="AI66" i="9"/>
  <c r="AI66" i="8"/>
  <c r="AE66" i="29" s="1"/>
  <c r="AE153" i="29" s="1"/>
  <c r="AI57" i="9"/>
  <c r="AI57" i="8"/>
  <c r="AE57" i="29" s="1"/>
  <c r="AE144" i="29" s="1"/>
  <c r="AE33" i="29"/>
  <c r="AE120" i="29" s="1"/>
  <c r="AI33" i="9"/>
  <c r="AI33" i="8"/>
  <c r="AE18" i="29"/>
  <c r="AE105" i="29" s="1"/>
  <c r="AI18" i="9"/>
  <c r="AI18" i="8"/>
  <c r="AI60" i="9"/>
  <c r="AI60" i="8"/>
  <c r="AE60" i="29" s="1"/>
  <c r="AE147" i="29" s="1"/>
  <c r="AI81" i="9"/>
  <c r="AI81" i="8"/>
  <c r="AE81" i="29" s="1"/>
  <c r="AE168" i="29" s="1"/>
  <c r="AE73" i="29"/>
  <c r="AE160" i="29" s="1"/>
  <c r="AI73" i="9"/>
  <c r="AI73" i="8"/>
  <c r="AE35" i="29"/>
  <c r="AE122" i="29" s="1"/>
  <c r="AI35" i="9"/>
  <c r="AI35" i="8"/>
  <c r="AI20" i="9"/>
  <c r="AI20" i="8"/>
  <c r="AE20" i="29" s="1"/>
  <c r="AE107" i="29" s="1"/>
  <c r="AI10" i="9"/>
  <c r="AI10" i="8"/>
  <c r="AE10" i="29" s="1"/>
  <c r="AE97" i="29" s="1"/>
  <c r="AE65" i="29"/>
  <c r="AE152" i="29" s="1"/>
  <c r="AI65" i="9"/>
  <c r="AI65" i="8"/>
  <c r="AE56" i="29"/>
  <c r="AE143" i="29" s="1"/>
  <c r="AI56" i="9"/>
  <c r="AI56" i="8"/>
  <c r="AI37" i="9"/>
  <c r="AI37" i="8"/>
  <c r="AE37" i="29" s="1"/>
  <c r="AE124" i="29" s="1"/>
  <c r="AI22" i="9"/>
  <c r="AI22" i="8"/>
  <c r="AE22" i="29" s="1"/>
  <c r="AE109" i="29" s="1"/>
  <c r="AE15" i="29"/>
  <c r="AE102" i="29" s="1"/>
  <c r="AI15" i="9"/>
  <c r="AI15" i="8"/>
  <c r="AE84" i="29"/>
  <c r="AE171" i="29" s="1"/>
  <c r="AI84" i="9"/>
  <c r="AI84" i="8"/>
  <c r="AI76" i="9"/>
  <c r="AI76" i="8"/>
  <c r="AE76" i="29" s="1"/>
  <c r="AE163" i="29" s="1"/>
  <c r="AI39" i="9"/>
  <c r="AI39" i="8"/>
  <c r="AE39" i="29" s="1"/>
  <c r="AE126" i="29" s="1"/>
  <c r="AE24" i="29"/>
  <c r="AE111" i="29" s="1"/>
  <c r="AI24" i="9"/>
  <c r="AI24" i="8"/>
  <c r="AE44" i="29"/>
  <c r="AE131" i="29" s="1"/>
  <c r="AI44" i="9"/>
  <c r="AI44" i="8"/>
  <c r="Y42" i="8"/>
  <c r="X42" i="29" s="1"/>
  <c r="X129" i="29" s="1"/>
  <c r="Y42" i="9"/>
  <c r="Y86" i="8"/>
  <c r="Y27" i="8"/>
  <c r="X71" i="29"/>
  <c r="X158" i="29" s="1"/>
  <c r="Y71" i="9"/>
  <c r="Y71" i="8"/>
  <c r="Y6" i="9"/>
  <c r="Y6" i="8"/>
  <c r="X6" i="29" s="1"/>
  <c r="X93" i="29" s="1"/>
  <c r="Y44" i="8"/>
  <c r="Y7" i="8"/>
  <c r="X29" i="29"/>
  <c r="X116" i="29" s="1"/>
  <c r="Y29" i="9"/>
  <c r="Y29" i="8"/>
  <c r="Y73" i="9"/>
  <c r="Y73" i="8"/>
  <c r="X73" i="29" s="1"/>
  <c r="X160" i="29" s="1"/>
  <c r="Y5" i="8"/>
  <c r="X47" i="29"/>
  <c r="X134" i="29" s="1"/>
  <c r="Y47" i="9"/>
  <c r="Y47" i="8"/>
  <c r="Y10" i="9"/>
  <c r="Y10" i="8"/>
  <c r="X10" i="29" s="1"/>
  <c r="X97" i="29" s="1"/>
  <c r="Y31" i="8"/>
  <c r="Y75" i="8"/>
  <c r="X8" i="29"/>
  <c r="X95" i="29" s="1"/>
  <c r="Y8" i="9"/>
  <c r="Y8" i="8"/>
  <c r="Y49" i="9"/>
  <c r="Y49" i="8"/>
  <c r="X49" i="29" s="1"/>
  <c r="X136" i="29" s="1"/>
  <c r="Y15" i="8"/>
  <c r="Y33" i="8"/>
  <c r="X77" i="29"/>
  <c r="X164" i="29" s="1"/>
  <c r="Y77" i="9"/>
  <c r="Y77" i="8"/>
  <c r="X7" i="9"/>
  <c r="X7" i="8"/>
  <c r="W7" i="29" s="1"/>
  <c r="W94" i="29" s="1"/>
  <c r="X6" i="8"/>
  <c r="X6" i="9"/>
  <c r="W6" i="29" s="1"/>
  <c r="W93" i="29" s="1"/>
  <c r="W53" i="29"/>
  <c r="W140" i="29" s="1"/>
  <c r="X53" i="8"/>
  <c r="X53" i="9"/>
  <c r="W22" i="29"/>
  <c r="W109" i="29" s="1"/>
  <c r="X22" i="8"/>
  <c r="X22" i="9"/>
  <c r="X5" i="9"/>
  <c r="X5" i="8"/>
  <c r="W5" i="29" s="1"/>
  <c r="W92" i="29" s="1"/>
  <c r="X27" i="8"/>
  <c r="X27" i="9"/>
  <c r="W27" i="29" s="1"/>
  <c r="W114" i="29" s="1"/>
  <c r="W71" i="29"/>
  <c r="W158" i="29" s="1"/>
  <c r="X71" i="8"/>
  <c r="X71" i="9"/>
  <c r="X8" i="9"/>
  <c r="W8" i="29" s="1"/>
  <c r="W95" i="29" s="1"/>
  <c r="X8" i="8"/>
  <c r="X49" i="9"/>
  <c r="X49" i="8"/>
  <c r="W49" i="29" s="1"/>
  <c r="W136" i="29" s="1"/>
  <c r="X67" i="9"/>
  <c r="X67" i="8"/>
  <c r="W67" i="29" s="1"/>
  <c r="W154" i="29" s="1"/>
  <c r="W18" i="29"/>
  <c r="W105" i="29" s="1"/>
  <c r="X18" i="9"/>
  <c r="X18" i="8"/>
  <c r="X78" i="9"/>
  <c r="W78" i="29" s="1"/>
  <c r="W165" i="29" s="1"/>
  <c r="X78" i="8"/>
  <c r="X56" i="9"/>
  <c r="X56" i="8"/>
  <c r="W56" i="29" s="1"/>
  <c r="W143" i="29" s="1"/>
  <c r="X39" i="9"/>
  <c r="X39" i="8"/>
  <c r="W39" i="29" s="1"/>
  <c r="W126" i="29" s="1"/>
  <c r="W83" i="29"/>
  <c r="W170" i="29" s="1"/>
  <c r="X83" i="9"/>
  <c r="X83" i="8"/>
  <c r="X28" i="9"/>
  <c r="W28" i="29" s="1"/>
  <c r="W115" i="29" s="1"/>
  <c r="X28" i="8"/>
  <c r="X72" i="9"/>
  <c r="X72" i="8"/>
  <c r="W72" i="29" s="1"/>
  <c r="W159" i="29" s="1"/>
  <c r="X48" i="9"/>
  <c r="X48" i="8"/>
  <c r="W48" i="29" s="1"/>
  <c r="W135" i="29" s="1"/>
  <c r="W17" i="29"/>
  <c r="W104" i="29" s="1"/>
  <c r="X17" i="8"/>
  <c r="X17" i="9"/>
  <c r="X30" i="8"/>
  <c r="W30" i="29" s="1"/>
  <c r="W117" i="29" s="1"/>
  <c r="X30" i="9"/>
  <c r="U13" i="30"/>
  <c r="U64" i="30" s="1"/>
  <c r="U45" i="30"/>
  <c r="U96" i="30" s="1"/>
  <c r="U46" i="30"/>
  <c r="U97" i="30" s="1"/>
  <c r="N29" i="13"/>
  <c r="N29" i="12"/>
  <c r="N29" i="30" s="1"/>
  <c r="N80" i="30" s="1"/>
  <c r="N20" i="30"/>
  <c r="N71" i="30" s="1"/>
  <c r="N20" i="13"/>
  <c r="N20" i="12"/>
  <c r="N9" i="13"/>
  <c r="N9" i="30" s="1"/>
  <c r="N60" i="30" s="1"/>
  <c r="N9" i="12"/>
  <c r="N48" i="12"/>
  <c r="N48" i="30" s="1"/>
  <c r="N99" i="30" s="1"/>
  <c r="N48" i="13"/>
  <c r="N40" i="12"/>
  <c r="N40" i="13"/>
  <c r="N40" i="30" s="1"/>
  <c r="N91" i="30" s="1"/>
  <c r="N10" i="30"/>
  <c r="N61" i="30" s="1"/>
  <c r="N10" i="12"/>
  <c r="N10" i="13"/>
  <c r="N46" i="12"/>
  <c r="N46" i="30" s="1"/>
  <c r="N97" i="30" s="1"/>
  <c r="N46" i="13"/>
  <c r="N49" i="12"/>
  <c r="N49" i="30" s="1"/>
  <c r="N100" i="30" s="1"/>
  <c r="N49" i="13"/>
  <c r="N14" i="12"/>
  <c r="N14" i="13"/>
  <c r="N14" i="30" s="1"/>
  <c r="N65" i="30" s="1"/>
  <c r="N41" i="30"/>
  <c r="N92" i="30" s="1"/>
  <c r="N41" i="12"/>
  <c r="N41" i="13"/>
  <c r="N33" i="12"/>
  <c r="N33" i="30" s="1"/>
  <c r="N84" i="30" s="1"/>
  <c r="N33" i="13"/>
  <c r="N16" i="12"/>
  <c r="N16" i="30" s="1"/>
  <c r="N67" i="30" s="1"/>
  <c r="N16" i="13"/>
  <c r="L61" i="7"/>
  <c r="L81" i="7"/>
  <c r="M53" i="7"/>
  <c r="L57" i="7"/>
  <c r="Y89" i="8"/>
  <c r="Y93" i="8" s="1"/>
  <c r="Y46" i="9" s="1"/>
  <c r="Y89" i="9"/>
  <c r="Y89" i="7"/>
  <c r="AC5" i="8"/>
  <c r="AC14" i="8"/>
  <c r="AC13" i="8"/>
  <c r="AC12" i="8"/>
  <c r="V5" i="11"/>
  <c r="V52" i="11" s="1"/>
  <c r="V46" i="13"/>
  <c r="V35" i="11"/>
  <c r="V8" i="11"/>
  <c r="V27" i="12"/>
  <c r="V16" i="13"/>
  <c r="V41" i="13"/>
  <c r="V34" i="11"/>
  <c r="V15" i="13"/>
  <c r="V26" i="13"/>
  <c r="V50" i="12"/>
  <c r="R52" i="11"/>
  <c r="P5" i="30"/>
  <c r="P56" i="30" s="1"/>
  <c r="P44" i="30"/>
  <c r="P95" i="30" s="1"/>
  <c r="P49" i="30"/>
  <c r="P100" i="30" s="1"/>
  <c r="P8" i="30"/>
  <c r="P59" i="30" s="1"/>
  <c r="P25" i="30"/>
  <c r="P76" i="30" s="1"/>
  <c r="P12" i="30"/>
  <c r="P63" i="30" s="1"/>
  <c r="P39" i="30"/>
  <c r="P90" i="30" s="1"/>
  <c r="P47" i="30"/>
  <c r="P98" i="30" s="1"/>
  <c r="L47" i="7"/>
  <c r="M33" i="7"/>
  <c r="L7" i="7"/>
  <c r="AA72" i="29"/>
  <c r="AA159" i="29" s="1"/>
  <c r="AD72" i="7"/>
  <c r="AC72" i="8"/>
  <c r="AD72" i="8" s="1"/>
  <c r="AC72" i="9"/>
  <c r="AD72" i="9" s="1"/>
  <c r="AA74" i="29"/>
  <c r="AA161" i="29" s="1"/>
  <c r="AD74" i="7"/>
  <c r="AC74" i="8"/>
  <c r="AD74" i="8" s="1"/>
  <c r="AC74" i="9"/>
  <c r="AD74" i="9" s="1"/>
  <c r="AA27" i="29"/>
  <c r="AA114" i="29" s="1"/>
  <c r="AD27" i="7"/>
  <c r="AC27" i="9"/>
  <c r="AD27" i="9" s="1"/>
  <c r="AC27" i="8"/>
  <c r="AD27" i="8" s="1"/>
  <c r="AA55" i="29"/>
  <c r="AA142" i="29" s="1"/>
  <c r="AD55" i="7"/>
  <c r="AC55" i="9"/>
  <c r="AD55" i="9" s="1"/>
  <c r="AC55" i="8"/>
  <c r="AD55" i="8" s="1"/>
  <c r="AC44" i="9"/>
  <c r="AD44" i="9" s="1"/>
  <c r="AD44" i="7"/>
  <c r="AC44" i="8"/>
  <c r="AD44" i="8" s="1"/>
  <c r="AA65" i="29"/>
  <c r="AA152" i="29" s="1"/>
  <c r="AD65" i="7"/>
  <c r="AC65" i="8"/>
  <c r="AD65" i="8" s="1"/>
  <c r="AC65" i="9"/>
  <c r="AD65" i="9" s="1"/>
  <c r="AA51" i="29"/>
  <c r="AA138" i="29" s="1"/>
  <c r="AD51" i="7"/>
  <c r="AC51" i="9"/>
  <c r="AD51" i="9" s="1"/>
  <c r="AC51" i="8"/>
  <c r="AD51" i="8" s="1"/>
  <c r="AA48" i="29"/>
  <c r="AA135" i="29" s="1"/>
  <c r="AD48" i="7"/>
  <c r="AC48" i="8"/>
  <c r="AD48" i="8" s="1"/>
  <c r="AC48" i="9"/>
  <c r="AD48" i="9" s="1"/>
  <c r="AA30" i="29"/>
  <c r="AA117" i="29" s="1"/>
  <c r="AD30" i="7"/>
  <c r="AC30" i="8"/>
  <c r="AD30" i="8" s="1"/>
  <c r="AC30" i="9"/>
  <c r="AD30" i="9" s="1"/>
  <c r="AA78" i="29"/>
  <c r="AA165" i="29" s="1"/>
  <c r="AD78" i="7"/>
  <c r="AC78" i="8"/>
  <c r="AD78" i="8" s="1"/>
  <c r="AC78" i="9"/>
  <c r="AD78" i="9" s="1"/>
  <c r="AC58" i="8"/>
  <c r="AD58" i="8" s="1"/>
  <c r="AC58" i="9"/>
  <c r="AD58" i="9" s="1"/>
  <c r="AD58" i="7"/>
  <c r="AC9" i="8"/>
  <c r="AD9" i="8" s="1"/>
  <c r="AD9" i="7"/>
  <c r="AC9" i="9"/>
  <c r="AD9" i="9" s="1"/>
  <c r="AC50" i="9"/>
  <c r="AD50" i="9" s="1"/>
  <c r="AD50" i="7"/>
  <c r="AC50" i="8"/>
  <c r="AD50" i="8" s="1"/>
  <c r="AC32" i="8"/>
  <c r="AD32" i="8" s="1"/>
  <c r="AC32" i="9"/>
  <c r="AD32" i="9" s="1"/>
  <c r="AD32" i="7"/>
  <c r="AA86" i="29"/>
  <c r="AA173" i="29" s="1"/>
  <c r="AD86" i="7"/>
  <c r="AC86" i="8"/>
  <c r="AD86" i="8" s="1"/>
  <c r="AC86" i="9"/>
  <c r="AD86" i="9" s="1"/>
  <c r="AA15" i="29"/>
  <c r="AA102" i="29" s="1"/>
  <c r="AD15" i="7"/>
  <c r="AC15" i="8"/>
  <c r="AD15" i="8" s="1"/>
  <c r="AC15" i="9"/>
  <c r="AD15" i="9" s="1"/>
  <c r="AA41" i="29"/>
  <c r="AA128" i="29" s="1"/>
  <c r="AD41" i="7"/>
  <c r="AC41" i="8"/>
  <c r="AD41" i="8" s="1"/>
  <c r="AC41" i="9"/>
  <c r="AD41" i="9" s="1"/>
  <c r="AA26" i="29"/>
  <c r="AA113" i="29" s="1"/>
  <c r="AD26" i="7"/>
  <c r="AC26" i="8"/>
  <c r="AD26" i="8" s="1"/>
  <c r="AC26" i="9"/>
  <c r="AD26" i="9" s="1"/>
  <c r="AA80" i="29"/>
  <c r="AA167" i="29" s="1"/>
  <c r="AD80" i="7"/>
  <c r="AC80" i="8"/>
  <c r="AD80" i="8" s="1"/>
  <c r="AC80" i="9"/>
  <c r="AD80" i="9" s="1"/>
  <c r="V95" i="6"/>
  <c r="AD82" i="29"/>
  <c r="AD169" i="29" s="1"/>
  <c r="AH82" i="9"/>
  <c r="AH82" i="8"/>
  <c r="AH57" i="9"/>
  <c r="AD57" i="29" s="1"/>
  <c r="AD144" i="29" s="1"/>
  <c r="AH57" i="8"/>
  <c r="AH30" i="9"/>
  <c r="AH30" i="8"/>
  <c r="AD30" i="29" s="1"/>
  <c r="AD117" i="29" s="1"/>
  <c r="AH7" i="9"/>
  <c r="AH7" i="8"/>
  <c r="AD7" i="29" s="1"/>
  <c r="AD94" i="29" s="1"/>
  <c r="AD48" i="29"/>
  <c r="AD135" i="29" s="1"/>
  <c r="AH48" i="9"/>
  <c r="AH48" i="8"/>
  <c r="AH66" i="9"/>
  <c r="AD66" i="29" s="1"/>
  <c r="AD153" i="29" s="1"/>
  <c r="AH66" i="8"/>
  <c r="AH5" i="9"/>
  <c r="AH5" i="8"/>
  <c r="AH88" i="8" s="1"/>
  <c r="AH32" i="8"/>
  <c r="AH32" i="9"/>
  <c r="AD32" i="29" s="1"/>
  <c r="AD119" i="29" s="1"/>
  <c r="AD17" i="29"/>
  <c r="AD104" i="29" s="1"/>
  <c r="AH17" i="8"/>
  <c r="AH17" i="9"/>
  <c r="AH53" i="8"/>
  <c r="AD53" i="29" s="1"/>
  <c r="AD140" i="29" s="1"/>
  <c r="AH53" i="9"/>
  <c r="AH81" i="8"/>
  <c r="AD81" i="29" s="1"/>
  <c r="AD168" i="29" s="1"/>
  <c r="AH81" i="9"/>
  <c r="AH6" i="8"/>
  <c r="AH6" i="9"/>
  <c r="AD6" i="29" s="1"/>
  <c r="AD93" i="29" s="1"/>
  <c r="AD34" i="29"/>
  <c r="AD121" i="29" s="1"/>
  <c r="AH34" i="8"/>
  <c r="AH34" i="9"/>
  <c r="AH19" i="8"/>
  <c r="AD19" i="29" s="1"/>
  <c r="AD106" i="29" s="1"/>
  <c r="AH19" i="9"/>
  <c r="AH73" i="9"/>
  <c r="AH73" i="8"/>
  <c r="AD73" i="29" s="1"/>
  <c r="AD160" i="29" s="1"/>
  <c r="AH65" i="9"/>
  <c r="AH65" i="8"/>
  <c r="AD65" i="29" s="1"/>
  <c r="AD152" i="29" s="1"/>
  <c r="AD9" i="29"/>
  <c r="AD96" i="29" s="1"/>
  <c r="AH9" i="9"/>
  <c r="AH9" i="8"/>
  <c r="AH36" i="9"/>
  <c r="AD36" i="29" s="1"/>
  <c r="AD123" i="29" s="1"/>
  <c r="AH36" i="8"/>
  <c r="AH21" i="9"/>
  <c r="AH21" i="8"/>
  <c r="AD21" i="29" s="1"/>
  <c r="AD108" i="29" s="1"/>
  <c r="P66" i="9"/>
  <c r="P66" i="8"/>
  <c r="P66" i="29" s="1"/>
  <c r="P153" i="29" s="1"/>
  <c r="P77" i="29"/>
  <c r="P164" i="29" s="1"/>
  <c r="P77" i="8"/>
  <c r="P77" i="9"/>
  <c r="P26" i="9"/>
  <c r="P26" i="29" s="1"/>
  <c r="P113" i="29" s="1"/>
  <c r="P26" i="8"/>
  <c r="P15" i="9"/>
  <c r="P15" i="8"/>
  <c r="P15" i="29" s="1"/>
  <c r="P102" i="29" s="1"/>
  <c r="P35" i="9"/>
  <c r="P35" i="8"/>
  <c r="P35" i="29" s="1"/>
  <c r="P122" i="29" s="1"/>
  <c r="P63" i="9"/>
  <c r="P63" i="8"/>
  <c r="P76" i="9"/>
  <c r="P76" i="8"/>
  <c r="P76" i="29" s="1"/>
  <c r="P163" i="29" s="1"/>
  <c r="P20" i="9"/>
  <c r="P20" i="8"/>
  <c r="P20" i="29" s="1"/>
  <c r="P107" i="29" s="1"/>
  <c r="P57" i="9"/>
  <c r="P57" i="8"/>
  <c r="P29" i="9"/>
  <c r="P29" i="8"/>
  <c r="P29" i="29" s="1"/>
  <c r="P116" i="29" s="1"/>
  <c r="P52" i="9"/>
  <c r="P52" i="8"/>
  <c r="P52" i="29" s="1"/>
  <c r="P139" i="29" s="1"/>
  <c r="P80" i="29"/>
  <c r="P167" i="29" s="1"/>
  <c r="P80" i="8"/>
  <c r="P80" i="9"/>
  <c r="P22" i="9"/>
  <c r="P22" i="29" s="1"/>
  <c r="P109" i="29" s="1"/>
  <c r="P22" i="8"/>
  <c r="P62" i="9"/>
  <c r="P62" i="8"/>
  <c r="P31" i="29"/>
  <c r="P118" i="29" s="1"/>
  <c r="P31" i="9"/>
  <c r="P31" i="8"/>
  <c r="P55" i="9"/>
  <c r="P55" i="29" s="1"/>
  <c r="P142" i="29" s="1"/>
  <c r="P55" i="8"/>
  <c r="P24" i="9"/>
  <c r="P24" i="8"/>
  <c r="P24" i="29" s="1"/>
  <c r="P111" i="29" s="1"/>
  <c r="P10" i="9"/>
  <c r="P10" i="8"/>
  <c r="P10" i="29" s="1"/>
  <c r="P97" i="29" s="1"/>
  <c r="P33" i="29"/>
  <c r="P120" i="29" s="1"/>
  <c r="P33" i="9"/>
  <c r="P33" i="8"/>
  <c r="P60" i="9"/>
  <c r="P60" i="29" s="1"/>
  <c r="P147" i="29" s="1"/>
  <c r="P60" i="8"/>
  <c r="U15" i="30"/>
  <c r="U66" i="30" s="1"/>
  <c r="U32" i="30"/>
  <c r="U83" i="30" s="1"/>
  <c r="U20" i="30"/>
  <c r="U71" i="30" s="1"/>
  <c r="F46" i="5"/>
  <c r="E41" i="5"/>
  <c r="E21" i="5"/>
  <c r="N13" i="9"/>
  <c r="N14" i="9"/>
  <c r="N12" i="9"/>
  <c r="AM91" i="6"/>
  <c r="AM89" i="9"/>
  <c r="AM89" i="7"/>
  <c r="AM89" i="8" s="1"/>
  <c r="L13" i="11"/>
  <c r="L11" i="11"/>
  <c r="L14" i="11"/>
  <c r="L12" i="11"/>
  <c r="L17" i="11"/>
  <c r="L15" i="11"/>
  <c r="L24" i="11"/>
  <c r="L19" i="11"/>
  <c r="L18" i="11"/>
  <c r="L16" i="11"/>
  <c r="L10" i="11"/>
  <c r="L9" i="11"/>
  <c r="L7" i="11"/>
  <c r="L5" i="11"/>
  <c r="L8" i="11"/>
  <c r="L6" i="11"/>
  <c r="L28" i="11"/>
  <c r="L50" i="11"/>
  <c r="L38" i="11"/>
  <c r="L31" i="11"/>
  <c r="L47" i="11"/>
  <c r="L48" i="11"/>
  <c r="L29" i="11"/>
  <c r="L45" i="11"/>
  <c r="L21" i="11"/>
  <c r="L32" i="11"/>
  <c r="L46" i="11"/>
  <c r="L35" i="11"/>
  <c r="L23" i="11"/>
  <c r="L36" i="11"/>
  <c r="L33" i="11"/>
  <c r="L49" i="11"/>
  <c r="L34" i="11"/>
  <c r="L26" i="11"/>
  <c r="L22" i="11"/>
  <c r="L39" i="11"/>
  <c r="L40" i="11"/>
  <c r="L20" i="11"/>
  <c r="L37" i="11"/>
  <c r="L42" i="11"/>
  <c r="L30" i="11"/>
  <c r="L27" i="11"/>
  <c r="L43" i="11"/>
  <c r="L44" i="11"/>
  <c r="L25" i="11"/>
  <c r="L41" i="11"/>
  <c r="F45" i="5"/>
  <c r="P55" i="13"/>
  <c r="P55" i="12"/>
  <c r="P55" i="11"/>
  <c r="P55" i="10"/>
  <c r="Z52" i="11"/>
  <c r="AM93" i="6"/>
  <c r="AM91" i="9"/>
  <c r="AM91" i="8"/>
  <c r="AM91" i="7"/>
  <c r="T93" i="6"/>
  <c r="T91" i="9"/>
  <c r="T91" i="8"/>
  <c r="T91" i="7"/>
  <c r="Z5" i="13"/>
  <c r="Z52" i="13" s="1"/>
  <c r="Y52" i="13"/>
  <c r="Z5" i="12"/>
  <c r="Z52" i="12" s="1"/>
  <c r="Y52" i="12"/>
  <c r="T92" i="6"/>
  <c r="T90" i="9"/>
  <c r="T90" i="8"/>
  <c r="T90" i="7"/>
  <c r="P54" i="13"/>
  <c r="P54" i="12"/>
  <c r="P54" i="11"/>
  <c r="P54" i="10"/>
  <c r="K15" i="32" l="1"/>
  <c r="K14" i="32"/>
  <c r="X46" i="29"/>
  <c r="X133" i="29" s="1"/>
  <c r="M82" i="9"/>
  <c r="M9" i="31"/>
  <c r="M11" i="31"/>
  <c r="M7" i="31"/>
  <c r="D11" i="32"/>
  <c r="D7" i="32"/>
  <c r="D13" i="32" s="1"/>
  <c r="D9" i="32"/>
  <c r="L8" i="9"/>
  <c r="V48" i="7"/>
  <c r="V37" i="7"/>
  <c r="V29" i="7"/>
  <c r="V21" i="7"/>
  <c r="V51" i="7"/>
  <c r="V7" i="7"/>
  <c r="V44" i="7"/>
  <c r="V36" i="7"/>
  <c r="V28" i="7"/>
  <c r="V20" i="7"/>
  <c r="V55" i="7"/>
  <c r="V11" i="7"/>
  <c r="V84" i="7"/>
  <c r="V66" i="7"/>
  <c r="V85" i="7"/>
  <c r="V75" i="7"/>
  <c r="V73" i="7"/>
  <c r="V79" i="7"/>
  <c r="V77" i="7"/>
  <c r="V83" i="7"/>
  <c r="V43" i="7"/>
  <c r="V35" i="7"/>
  <c r="V27" i="7"/>
  <c r="V19" i="7"/>
  <c r="V46" i="7"/>
  <c r="V54" i="7"/>
  <c r="V42" i="7"/>
  <c r="V34" i="7"/>
  <c r="V26" i="7"/>
  <c r="V18" i="7"/>
  <c r="V52" i="7"/>
  <c r="V6" i="7"/>
  <c r="V65" i="7"/>
  <c r="V71" i="7"/>
  <c r="V62" i="7"/>
  <c r="V59" i="7"/>
  <c r="V70" i="7"/>
  <c r="V64" i="7"/>
  <c r="V78" i="7"/>
  <c r="V53" i="7"/>
  <c r="V41" i="7"/>
  <c r="V33" i="7"/>
  <c r="V25" i="7"/>
  <c r="V17" i="7"/>
  <c r="V15" i="7"/>
  <c r="V49" i="7"/>
  <c r="V40" i="7"/>
  <c r="V32" i="7"/>
  <c r="V24" i="7"/>
  <c r="V8" i="7"/>
  <c r="V45" i="7"/>
  <c r="V5" i="7"/>
  <c r="V81" i="7"/>
  <c r="V72" i="7"/>
  <c r="V74" i="7"/>
  <c r="V76" i="7"/>
  <c r="V82" i="7"/>
  <c r="V80" i="7"/>
  <c r="V57" i="7"/>
  <c r="V50" i="7"/>
  <c r="V39" i="7"/>
  <c r="V31" i="7"/>
  <c r="V23" i="7"/>
  <c r="V9" i="7"/>
  <c r="V10" i="7"/>
  <c r="V47" i="7"/>
  <c r="V38" i="7"/>
  <c r="V30" i="7"/>
  <c r="V22" i="7"/>
  <c r="V60" i="7"/>
  <c r="V16" i="7"/>
  <c r="V68" i="7"/>
  <c r="V86" i="7"/>
  <c r="V69" i="7"/>
  <c r="V58" i="7"/>
  <c r="V56" i="7"/>
  <c r="V63" i="7"/>
  <c r="V61" i="7"/>
  <c r="V67" i="7"/>
  <c r="AA9" i="29"/>
  <c r="AA96" i="29" s="1"/>
  <c r="AA58" i="29"/>
  <c r="AA145" i="29" s="1"/>
  <c r="M53" i="9"/>
  <c r="M7" i="9"/>
  <c r="AD5" i="29"/>
  <c r="AD92" i="29" s="1"/>
  <c r="L7" i="9"/>
  <c r="AA13" i="29"/>
  <c r="AA100" i="29" s="1"/>
  <c r="AD13" i="8"/>
  <c r="L81" i="9"/>
  <c r="Y15" i="9"/>
  <c r="X15" i="29" s="1"/>
  <c r="X102" i="29" s="1"/>
  <c r="Y31" i="9"/>
  <c r="X31" i="29" s="1"/>
  <c r="X118" i="29" s="1"/>
  <c r="Y88" i="8"/>
  <c r="Y44" i="9"/>
  <c r="X44" i="29" s="1"/>
  <c r="X131" i="29" s="1"/>
  <c r="Y27" i="9"/>
  <c r="X27" i="29" s="1"/>
  <c r="X114" i="29" s="1"/>
  <c r="Y86" i="9"/>
  <c r="X86" i="29" s="1"/>
  <c r="X173" i="29" s="1"/>
  <c r="S29" i="30"/>
  <c r="S80" i="30" s="1"/>
  <c r="S44" i="30"/>
  <c r="S95" i="30" s="1"/>
  <c r="S11" i="30"/>
  <c r="S62" i="30" s="1"/>
  <c r="L54" i="9"/>
  <c r="Q7" i="8"/>
  <c r="Q7" i="29" s="1"/>
  <c r="Q94" i="29" s="1"/>
  <c r="Q8" i="8"/>
  <c r="Q8" i="29" s="1"/>
  <c r="Q95" i="29" s="1"/>
  <c r="Q83" i="8"/>
  <c r="Q83" i="29" s="1"/>
  <c r="Q170" i="29" s="1"/>
  <c r="Q81" i="8"/>
  <c r="Q81" i="29" s="1"/>
  <c r="Q168" i="29" s="1"/>
  <c r="R88" i="9"/>
  <c r="L23" i="9"/>
  <c r="M13" i="31"/>
  <c r="Z88" i="9"/>
  <c r="M63" i="9"/>
  <c r="O55" i="8"/>
  <c r="O55" i="29" s="1"/>
  <c r="O142" i="29" s="1"/>
  <c r="O26" i="8"/>
  <c r="O26" i="29" s="1"/>
  <c r="O113" i="29" s="1"/>
  <c r="O74" i="8"/>
  <c r="O74" i="29" s="1"/>
  <c r="O161" i="29" s="1"/>
  <c r="O75" i="8"/>
  <c r="O75" i="29" s="1"/>
  <c r="O162" i="29" s="1"/>
  <c r="O78" i="8"/>
  <c r="O78" i="29" s="1"/>
  <c r="O165" i="29" s="1"/>
  <c r="M22" i="9"/>
  <c r="M61" i="9"/>
  <c r="M17" i="9"/>
  <c r="M85" i="9"/>
  <c r="Y68" i="9"/>
  <c r="X68" i="29" s="1"/>
  <c r="X155" i="29" s="1"/>
  <c r="Y40" i="9"/>
  <c r="X40" i="29" s="1"/>
  <c r="X127" i="29" s="1"/>
  <c r="Y63" i="9"/>
  <c r="X63" i="29" s="1"/>
  <c r="X150" i="29" s="1"/>
  <c r="Y38" i="9"/>
  <c r="X38" i="29" s="1"/>
  <c r="X125" i="29" s="1"/>
  <c r="Y19" i="9"/>
  <c r="X19" i="29" s="1"/>
  <c r="X106" i="29" s="1"/>
  <c r="M52" i="13"/>
  <c r="L46" i="9"/>
  <c r="U52" i="13"/>
  <c r="S22" i="30"/>
  <c r="S73" i="30" s="1"/>
  <c r="L68" i="9"/>
  <c r="Q27" i="8"/>
  <c r="Q27" i="29" s="1"/>
  <c r="Q114" i="29" s="1"/>
  <c r="Q45" i="8"/>
  <c r="Q45" i="29" s="1"/>
  <c r="Q132" i="29" s="1"/>
  <c r="Q75" i="8"/>
  <c r="Q75" i="29" s="1"/>
  <c r="Q162" i="29" s="1"/>
  <c r="Q59" i="8"/>
  <c r="Q59" i="29" s="1"/>
  <c r="Q146" i="29" s="1"/>
  <c r="Q31" i="8"/>
  <c r="Q31" i="29" s="1"/>
  <c r="Q118" i="29" s="1"/>
  <c r="Q21" i="8"/>
  <c r="Q21" i="29" s="1"/>
  <c r="Q108" i="29" s="1"/>
  <c r="S15" i="8"/>
  <c r="R17" i="8"/>
  <c r="R17" i="29" s="1"/>
  <c r="R104" i="29" s="1"/>
  <c r="S80" i="8"/>
  <c r="S50" i="8"/>
  <c r="R9" i="8"/>
  <c r="R9" i="29" s="1"/>
  <c r="R96" i="29" s="1"/>
  <c r="R8" i="8"/>
  <c r="R8" i="29" s="1"/>
  <c r="R95" i="29" s="1"/>
  <c r="S37" i="8"/>
  <c r="R30" i="8"/>
  <c r="R30" i="29" s="1"/>
  <c r="R117" i="29" s="1"/>
  <c r="S58" i="8"/>
  <c r="R19" i="8"/>
  <c r="R19" i="29" s="1"/>
  <c r="R106" i="29" s="1"/>
  <c r="L45" i="9"/>
  <c r="M55" i="9"/>
  <c r="O36" i="8"/>
  <c r="O36" i="29" s="1"/>
  <c r="O123" i="29" s="1"/>
  <c r="O54" i="8"/>
  <c r="O54" i="29" s="1"/>
  <c r="O141" i="29" s="1"/>
  <c r="O81" i="8"/>
  <c r="O81" i="29" s="1"/>
  <c r="O168" i="29" s="1"/>
  <c r="O86" i="8"/>
  <c r="O86" i="29" s="1"/>
  <c r="O173" i="29" s="1"/>
  <c r="O51" i="8"/>
  <c r="O51" i="29" s="1"/>
  <c r="O138" i="29" s="1"/>
  <c r="V25" i="12"/>
  <c r="L62" i="9"/>
  <c r="M64" i="9"/>
  <c r="L38" i="9"/>
  <c r="V50" i="13"/>
  <c r="L84" i="9"/>
  <c r="L58" i="9"/>
  <c r="N52" i="12"/>
  <c r="Y17" i="9"/>
  <c r="X17" i="29" s="1"/>
  <c r="X104" i="29" s="1"/>
  <c r="Y50" i="9"/>
  <c r="X50" i="29" s="1"/>
  <c r="X137" i="29" s="1"/>
  <c r="Y16" i="9"/>
  <c r="X16" i="29" s="1"/>
  <c r="X103" i="29" s="1"/>
  <c r="Y28" i="9"/>
  <c r="X28" i="29" s="1"/>
  <c r="X115" i="29" s="1"/>
  <c r="Y70" i="9"/>
  <c r="X70" i="29" s="1"/>
  <c r="X157" i="29" s="1"/>
  <c r="AI50" i="8"/>
  <c r="AE50" i="29" s="1"/>
  <c r="AE137" i="29" s="1"/>
  <c r="AI38" i="8"/>
  <c r="AE38" i="29" s="1"/>
  <c r="AE125" i="29" s="1"/>
  <c r="AI70" i="8"/>
  <c r="AE70" i="29" s="1"/>
  <c r="AE157" i="29" s="1"/>
  <c r="AI77" i="8"/>
  <c r="AE77" i="29" s="1"/>
  <c r="AE164" i="29" s="1"/>
  <c r="AI17" i="8"/>
  <c r="AE17" i="29" s="1"/>
  <c r="AE104" i="29" s="1"/>
  <c r="W88" i="8"/>
  <c r="S26" i="30"/>
  <c r="S77" i="30" s="1"/>
  <c r="S32" i="30"/>
  <c r="S83" i="30" s="1"/>
  <c r="M73" i="9"/>
  <c r="Q9" i="8"/>
  <c r="Q9" i="29" s="1"/>
  <c r="Q96" i="29" s="1"/>
  <c r="Q25" i="8"/>
  <c r="Q25" i="29" s="1"/>
  <c r="Q112" i="29" s="1"/>
  <c r="Q40" i="8"/>
  <c r="Q40" i="29" s="1"/>
  <c r="Q127" i="29" s="1"/>
  <c r="Q33" i="8"/>
  <c r="Q33" i="29" s="1"/>
  <c r="Q120" i="29" s="1"/>
  <c r="Q68" i="8"/>
  <c r="Q68" i="29" s="1"/>
  <c r="Q155" i="29" s="1"/>
  <c r="S41" i="8"/>
  <c r="S84" i="8"/>
  <c r="S18" i="8"/>
  <c r="R39" i="8"/>
  <c r="R39" i="29" s="1"/>
  <c r="R126" i="29" s="1"/>
  <c r="R40" i="8"/>
  <c r="R40" i="29" s="1"/>
  <c r="R127" i="29" s="1"/>
  <c r="S52" i="8"/>
  <c r="R62" i="8"/>
  <c r="S22" i="8"/>
  <c r="R43" i="8"/>
  <c r="R43" i="29" s="1"/>
  <c r="R130" i="29" s="1"/>
  <c r="M42" i="9"/>
  <c r="Z24" i="29"/>
  <c r="Z111" i="29" s="1"/>
  <c r="Z26" i="29"/>
  <c r="Z113" i="29" s="1"/>
  <c r="Z49" i="29"/>
  <c r="Z136" i="29" s="1"/>
  <c r="Z72" i="29"/>
  <c r="Z159" i="29" s="1"/>
  <c r="Z59" i="29"/>
  <c r="Z146" i="29" s="1"/>
  <c r="Z12" i="29"/>
  <c r="Z99" i="29" s="1"/>
  <c r="Z11" i="29"/>
  <c r="Z98" i="29" s="1"/>
  <c r="Z39" i="29"/>
  <c r="Z126" i="29" s="1"/>
  <c r="Z63" i="29"/>
  <c r="Z150" i="29" s="1"/>
  <c r="Z48" i="29"/>
  <c r="Z135" i="29" s="1"/>
  <c r="Z13" i="29"/>
  <c r="Z100" i="29" s="1"/>
  <c r="Z19" i="29"/>
  <c r="Z106" i="29" s="1"/>
  <c r="Z41" i="29"/>
  <c r="Z128" i="29" s="1"/>
  <c r="Z66" i="29"/>
  <c r="Z153" i="29" s="1"/>
  <c r="Z52" i="29"/>
  <c r="Z139" i="29" s="1"/>
  <c r="Z7" i="29"/>
  <c r="Z94" i="29" s="1"/>
  <c r="Z5" i="29"/>
  <c r="Z92" i="29" s="1"/>
  <c r="AA88" i="8"/>
  <c r="Z31" i="29"/>
  <c r="Z118" i="29" s="1"/>
  <c r="Z54" i="29"/>
  <c r="Z141" i="29" s="1"/>
  <c r="Z40" i="29"/>
  <c r="Z127" i="29" s="1"/>
  <c r="Z82" i="29"/>
  <c r="Z169" i="29" s="1"/>
  <c r="M79" i="9"/>
  <c r="O72" i="8"/>
  <c r="O72" i="29" s="1"/>
  <c r="O159" i="29" s="1"/>
  <c r="O46" i="8"/>
  <c r="O46" i="29" s="1"/>
  <c r="O133" i="29" s="1"/>
  <c r="O25" i="8"/>
  <c r="O25" i="29" s="1"/>
  <c r="O112" i="29" s="1"/>
  <c r="O45" i="8"/>
  <c r="O45" i="29" s="1"/>
  <c r="O132" i="29" s="1"/>
  <c r="O22" i="8"/>
  <c r="O22" i="29" s="1"/>
  <c r="O109" i="29" s="1"/>
  <c r="O65" i="8"/>
  <c r="O65" i="29" s="1"/>
  <c r="O152" i="29" s="1"/>
  <c r="M41" i="9"/>
  <c r="M62" i="7"/>
  <c r="AA67" i="29"/>
  <c r="AA154" i="29" s="1"/>
  <c r="AA34" i="29"/>
  <c r="AA121" i="29" s="1"/>
  <c r="AA53" i="29"/>
  <c r="AA140" i="29" s="1"/>
  <c r="AA17" i="29"/>
  <c r="AA104" i="29" s="1"/>
  <c r="AA76" i="29"/>
  <c r="AA163" i="29" s="1"/>
  <c r="AA40" i="29"/>
  <c r="AA127" i="29" s="1"/>
  <c r="AA45" i="29"/>
  <c r="AA132" i="29" s="1"/>
  <c r="AA23" i="29"/>
  <c r="AA110" i="29" s="1"/>
  <c r="AA59" i="29"/>
  <c r="AA146" i="29" s="1"/>
  <c r="AA81" i="29"/>
  <c r="AA168" i="29" s="1"/>
  <c r="AA38" i="29"/>
  <c r="AA125" i="29" s="1"/>
  <c r="AA16" i="29"/>
  <c r="AA103" i="29" s="1"/>
  <c r="AA21" i="29"/>
  <c r="AA108" i="29" s="1"/>
  <c r="AA71" i="29"/>
  <c r="AA158" i="29" s="1"/>
  <c r="AA61" i="29"/>
  <c r="AA148" i="29" s="1"/>
  <c r="AA20" i="29"/>
  <c r="AA107" i="29" s="1"/>
  <c r="AA35" i="29"/>
  <c r="AA122" i="29" s="1"/>
  <c r="M29" i="7"/>
  <c r="L66" i="7"/>
  <c r="Y41" i="9"/>
  <c r="X41" i="29" s="1"/>
  <c r="X128" i="29" s="1"/>
  <c r="Y83" i="9"/>
  <c r="X83" i="29" s="1"/>
  <c r="X170" i="29" s="1"/>
  <c r="Y39" i="9"/>
  <c r="X39" i="29" s="1"/>
  <c r="X126" i="29" s="1"/>
  <c r="Y22" i="9"/>
  <c r="X22" i="29" s="1"/>
  <c r="X109" i="29" s="1"/>
  <c r="AI67" i="8"/>
  <c r="AE67" i="29" s="1"/>
  <c r="AE154" i="29" s="1"/>
  <c r="AI6" i="8"/>
  <c r="AE6" i="29" s="1"/>
  <c r="AE93" i="29" s="1"/>
  <c r="AI41" i="8"/>
  <c r="AE41" i="29" s="1"/>
  <c r="AE128" i="29" s="1"/>
  <c r="S12" i="30"/>
  <c r="S63" i="30" s="1"/>
  <c r="S35" i="30"/>
  <c r="S86" i="30" s="1"/>
  <c r="L52" i="7"/>
  <c r="M52" i="7"/>
  <c r="Q18" i="8"/>
  <c r="Q18" i="29" s="1"/>
  <c r="Q105" i="29" s="1"/>
  <c r="Q28" i="8"/>
  <c r="Q28" i="29" s="1"/>
  <c r="Q115" i="29" s="1"/>
  <c r="Q22" i="8"/>
  <c r="Q22" i="29" s="1"/>
  <c r="Q109" i="29" s="1"/>
  <c r="Q71" i="8"/>
  <c r="Q71" i="29" s="1"/>
  <c r="Q158" i="29" s="1"/>
  <c r="S86" i="8"/>
  <c r="S44" i="8"/>
  <c r="R69" i="8"/>
  <c r="R69" i="29" s="1"/>
  <c r="R156" i="29" s="1"/>
  <c r="S74" i="8"/>
  <c r="S31" i="8"/>
  <c r="S65" i="8"/>
  <c r="R61" i="8"/>
  <c r="S21" i="8"/>
  <c r="S82" i="8"/>
  <c r="R73" i="8"/>
  <c r="R73" i="29" s="1"/>
  <c r="R160" i="29" s="1"/>
  <c r="S72" i="8"/>
  <c r="M36" i="7"/>
  <c r="M65" i="7"/>
  <c r="O57" i="8"/>
  <c r="O57" i="29" s="1"/>
  <c r="O144" i="29" s="1"/>
  <c r="O67" i="8"/>
  <c r="O67" i="29" s="1"/>
  <c r="O154" i="29" s="1"/>
  <c r="O9" i="8"/>
  <c r="O9" i="29" s="1"/>
  <c r="O96" i="29" s="1"/>
  <c r="O29" i="8"/>
  <c r="O29" i="29" s="1"/>
  <c r="O116" i="29" s="1"/>
  <c r="L44" i="7"/>
  <c r="Y29" i="29"/>
  <c r="Y116" i="29" s="1"/>
  <c r="Y20" i="29"/>
  <c r="Y107" i="29" s="1"/>
  <c r="Y46" i="29"/>
  <c r="Y133" i="29" s="1"/>
  <c r="Y73" i="29"/>
  <c r="Y160" i="29" s="1"/>
  <c r="Y49" i="29"/>
  <c r="Y136" i="29" s="1"/>
  <c r="Y16" i="29"/>
  <c r="Y103" i="29" s="1"/>
  <c r="Y14" i="29"/>
  <c r="Y101" i="29" s="1"/>
  <c r="Y32" i="29"/>
  <c r="Y119" i="29" s="1"/>
  <c r="Y61" i="29"/>
  <c r="Y148" i="29" s="1"/>
  <c r="Y84" i="29"/>
  <c r="Y171" i="29" s="1"/>
  <c r="Y86" i="29"/>
  <c r="Y173" i="29" s="1"/>
  <c r="Y34" i="29"/>
  <c r="Y121" i="29" s="1"/>
  <c r="Y18" i="29"/>
  <c r="Y105" i="29" s="1"/>
  <c r="Y47" i="29"/>
  <c r="Y134" i="29" s="1"/>
  <c r="Y68" i="29"/>
  <c r="Y155" i="29" s="1"/>
  <c r="Y81" i="29"/>
  <c r="Y168" i="29" s="1"/>
  <c r="Y38" i="29"/>
  <c r="Y125" i="29" s="1"/>
  <c r="Y24" i="29"/>
  <c r="Y111" i="29" s="1"/>
  <c r="Y51" i="29"/>
  <c r="Y138" i="29" s="1"/>
  <c r="Y74" i="29"/>
  <c r="Y161" i="29" s="1"/>
  <c r="Y79" i="29"/>
  <c r="Y166" i="29" s="1"/>
  <c r="M71" i="7"/>
  <c r="AA32" i="29"/>
  <c r="AA119" i="29" s="1"/>
  <c r="AA44" i="29"/>
  <c r="AA131" i="29" s="1"/>
  <c r="AA12" i="29"/>
  <c r="AA99" i="29" s="1"/>
  <c r="AD12" i="8"/>
  <c r="M68" i="9"/>
  <c r="M33" i="9"/>
  <c r="AA14" i="29"/>
  <c r="AA101" i="29" s="1"/>
  <c r="AD14" i="8"/>
  <c r="Y5" i="9"/>
  <c r="Y12" i="9"/>
  <c r="X12" i="29" s="1"/>
  <c r="X99" i="29" s="1"/>
  <c r="Y13" i="9"/>
  <c r="Y14" i="9"/>
  <c r="L61" i="9"/>
  <c r="Y33" i="9"/>
  <c r="X33" i="29" s="1"/>
  <c r="X120" i="29" s="1"/>
  <c r="Y75" i="9"/>
  <c r="X75" i="29" s="1"/>
  <c r="X162" i="29" s="1"/>
  <c r="Y7" i="9"/>
  <c r="X7" i="29" s="1"/>
  <c r="X94" i="29" s="1"/>
  <c r="L18" i="9"/>
  <c r="S13" i="30"/>
  <c r="S64" i="30" s="1"/>
  <c r="S43" i="30"/>
  <c r="S94" i="30" s="1"/>
  <c r="M80" i="9"/>
  <c r="Q39" i="8"/>
  <c r="Q39" i="29" s="1"/>
  <c r="Q126" i="29" s="1"/>
  <c r="Q50" i="8"/>
  <c r="Q50" i="29" s="1"/>
  <c r="Q137" i="29" s="1"/>
  <c r="Q46" i="8"/>
  <c r="Q46" i="29" s="1"/>
  <c r="Q133" i="29" s="1"/>
  <c r="Q69" i="8"/>
  <c r="Q69" i="29" s="1"/>
  <c r="Q156" i="29" s="1"/>
  <c r="Q86" i="8"/>
  <c r="Q86" i="29" s="1"/>
  <c r="Q173" i="29" s="1"/>
  <c r="Q41" i="8"/>
  <c r="Q41" i="29" s="1"/>
  <c r="Q128" i="29" s="1"/>
  <c r="Q16" i="8"/>
  <c r="Q16" i="29" s="1"/>
  <c r="Q103" i="29" s="1"/>
  <c r="Q38" i="8"/>
  <c r="Q38" i="29" s="1"/>
  <c r="Q125" i="29" s="1"/>
  <c r="M49" i="9"/>
  <c r="M58" i="9"/>
  <c r="O44" i="8"/>
  <c r="O44" i="29" s="1"/>
  <c r="O131" i="29" s="1"/>
  <c r="O64" i="8"/>
  <c r="O64" i="29" s="1"/>
  <c r="O151" i="29" s="1"/>
  <c r="O82" i="8"/>
  <c r="O82" i="29" s="1"/>
  <c r="O169" i="29" s="1"/>
  <c r="O10" i="8"/>
  <c r="O10" i="29" s="1"/>
  <c r="O97" i="29" s="1"/>
  <c r="O21" i="8"/>
  <c r="O21" i="29" s="1"/>
  <c r="O108" i="29" s="1"/>
  <c r="M44" i="9"/>
  <c r="L76" i="9"/>
  <c r="P88" i="8"/>
  <c r="L35" i="9"/>
  <c r="G11" i="32"/>
  <c r="G7" i="32"/>
  <c r="G13" i="32" s="1"/>
  <c r="G9" i="32"/>
  <c r="M81" i="9"/>
  <c r="Y84" i="9"/>
  <c r="X84" i="29" s="1"/>
  <c r="X171" i="29" s="1"/>
  <c r="Y82" i="9"/>
  <c r="X82" i="29" s="1"/>
  <c r="X169" i="29" s="1"/>
  <c r="Y61" i="9"/>
  <c r="X61" i="29" s="1"/>
  <c r="X148" i="29" s="1"/>
  <c r="Y21" i="9"/>
  <c r="X21" i="29" s="1"/>
  <c r="X108" i="29" s="1"/>
  <c r="Y58" i="9"/>
  <c r="X58" i="29" s="1"/>
  <c r="X145" i="29" s="1"/>
  <c r="M52" i="12"/>
  <c r="S28" i="30"/>
  <c r="S79" i="30" s="1"/>
  <c r="U52" i="12"/>
  <c r="S39" i="30"/>
  <c r="S90" i="30" s="1"/>
  <c r="X13" i="29"/>
  <c r="X100" i="29" s="1"/>
  <c r="AA88" i="9"/>
  <c r="M57" i="9"/>
  <c r="Q67" i="8"/>
  <c r="Q67" i="29" s="1"/>
  <c r="Q154" i="29" s="1"/>
  <c r="Q6" i="8"/>
  <c r="Q6" i="29" s="1"/>
  <c r="Q93" i="29" s="1"/>
  <c r="Q72" i="8"/>
  <c r="Q72" i="29" s="1"/>
  <c r="Q159" i="29" s="1"/>
  <c r="R15" i="8"/>
  <c r="R15" i="29" s="1"/>
  <c r="R102" i="29" s="1"/>
  <c r="R28" i="8"/>
  <c r="R28" i="29" s="1"/>
  <c r="R115" i="29" s="1"/>
  <c r="R80" i="8"/>
  <c r="R80" i="29" s="1"/>
  <c r="R167" i="29" s="1"/>
  <c r="R10" i="8"/>
  <c r="R10" i="29" s="1"/>
  <c r="R97" i="29" s="1"/>
  <c r="S9" i="8"/>
  <c r="S77" i="8"/>
  <c r="R37" i="8"/>
  <c r="R37" i="29" s="1"/>
  <c r="R124" i="29" s="1"/>
  <c r="S83" i="8"/>
  <c r="R58" i="8"/>
  <c r="S19" i="8"/>
  <c r="S85" i="8"/>
  <c r="L60" i="9"/>
  <c r="O73" i="8"/>
  <c r="O73" i="29" s="1"/>
  <c r="O160" i="29" s="1"/>
  <c r="O79" i="8"/>
  <c r="O79" i="29" s="1"/>
  <c r="O166" i="29" s="1"/>
  <c r="O6" i="8"/>
  <c r="O6" i="29" s="1"/>
  <c r="O93" i="29" s="1"/>
  <c r="O31" i="8"/>
  <c r="O31" i="29" s="1"/>
  <c r="O118" i="29" s="1"/>
  <c r="O48" i="8"/>
  <c r="O48" i="29" s="1"/>
  <c r="O135" i="29" s="1"/>
  <c r="L22" i="9"/>
  <c r="M84" i="9"/>
  <c r="H9" i="32"/>
  <c r="H7" i="32"/>
  <c r="H13" i="32" s="1"/>
  <c r="H11" i="32"/>
  <c r="AA68" i="29"/>
  <c r="AA155" i="29" s="1"/>
  <c r="AA42" i="29"/>
  <c r="AA129" i="29" s="1"/>
  <c r="AA52" i="29"/>
  <c r="AA139" i="29" s="1"/>
  <c r="AA25" i="29"/>
  <c r="AA112" i="29" s="1"/>
  <c r="AA79" i="29"/>
  <c r="AA166" i="29" s="1"/>
  <c r="AA49" i="29"/>
  <c r="AA136" i="29" s="1"/>
  <c r="AA8" i="29"/>
  <c r="AA95" i="29" s="1"/>
  <c r="AA31" i="29"/>
  <c r="AA118" i="29" s="1"/>
  <c r="AA63" i="29"/>
  <c r="AA150" i="29" s="1"/>
  <c r="AA57" i="29"/>
  <c r="AA144" i="29" s="1"/>
  <c r="AA47" i="29"/>
  <c r="AA134" i="29" s="1"/>
  <c r="AA60" i="29"/>
  <c r="AA147" i="29" s="1"/>
  <c r="AA29" i="29"/>
  <c r="AA116" i="29" s="1"/>
  <c r="AA70" i="29"/>
  <c r="AA157" i="29" s="1"/>
  <c r="AA83" i="29"/>
  <c r="AA170" i="29" s="1"/>
  <c r="AA28" i="29"/>
  <c r="AA115" i="29" s="1"/>
  <c r="AA43" i="29"/>
  <c r="AA130" i="29" s="1"/>
  <c r="AA46" i="29"/>
  <c r="AA133" i="29" s="1"/>
  <c r="AA66" i="29"/>
  <c r="AA153" i="29" s="1"/>
  <c r="AA75" i="29"/>
  <c r="AA162" i="29" s="1"/>
  <c r="M47" i="9"/>
  <c r="L83" i="9"/>
  <c r="Y53" i="9"/>
  <c r="X53" i="29" s="1"/>
  <c r="X140" i="29" s="1"/>
  <c r="Y45" i="9"/>
  <c r="X45" i="29" s="1"/>
  <c r="X132" i="29" s="1"/>
  <c r="Y30" i="9"/>
  <c r="X30" i="29" s="1"/>
  <c r="X117" i="29" s="1"/>
  <c r="Y72" i="9"/>
  <c r="X72" i="29" s="1"/>
  <c r="X159" i="29" s="1"/>
  <c r="Y64" i="9"/>
  <c r="X64" i="29" s="1"/>
  <c r="X151" i="29" s="1"/>
  <c r="AI40" i="8"/>
  <c r="AE40" i="29" s="1"/>
  <c r="AE127" i="29" s="1"/>
  <c r="AI85" i="8"/>
  <c r="AE85" i="29" s="1"/>
  <c r="AE172" i="29" s="1"/>
  <c r="AI61" i="8"/>
  <c r="AE61" i="29" s="1"/>
  <c r="AE148" i="29" s="1"/>
  <c r="AI19" i="8"/>
  <c r="AE19" i="29" s="1"/>
  <c r="AE106" i="29" s="1"/>
  <c r="AI53" i="8"/>
  <c r="AE53" i="29" s="1"/>
  <c r="AE140" i="29" s="1"/>
  <c r="W88" i="9"/>
  <c r="L36" i="9"/>
  <c r="S49" i="30"/>
  <c r="S100" i="30" s="1"/>
  <c r="M70" i="9"/>
  <c r="L55" i="9"/>
  <c r="Q53" i="8"/>
  <c r="Q53" i="29" s="1"/>
  <c r="Q140" i="29" s="1"/>
  <c r="Q26" i="8"/>
  <c r="Q26" i="29" s="1"/>
  <c r="Q113" i="29" s="1"/>
  <c r="Q65" i="8"/>
  <c r="Q65" i="29" s="1"/>
  <c r="Q152" i="29" s="1"/>
  <c r="Q63" i="8"/>
  <c r="Q63" i="29" s="1"/>
  <c r="Q150" i="29" s="1"/>
  <c r="Q32" i="8"/>
  <c r="Q32" i="29" s="1"/>
  <c r="Q119" i="29" s="1"/>
  <c r="R84" i="8"/>
  <c r="R84" i="29" s="1"/>
  <c r="R171" i="29" s="1"/>
  <c r="S81" i="8"/>
  <c r="S39" i="8"/>
  <c r="R66" i="8"/>
  <c r="R66" i="29" s="1"/>
  <c r="R153" i="29" s="1"/>
  <c r="R52" i="8"/>
  <c r="R52" i="29" s="1"/>
  <c r="R139" i="29" s="1"/>
  <c r="R29" i="8"/>
  <c r="R29" i="29" s="1"/>
  <c r="R116" i="29" s="1"/>
  <c r="S43" i="8"/>
  <c r="R6" i="8"/>
  <c r="R6" i="29" s="1"/>
  <c r="R93" i="29" s="1"/>
  <c r="H9" i="31" s="1"/>
  <c r="M15" i="31"/>
  <c r="O52" i="13"/>
  <c r="Z8" i="29"/>
  <c r="Z95" i="29" s="1"/>
  <c r="Z6" i="29"/>
  <c r="Z93" i="29" s="1"/>
  <c r="Z65" i="29"/>
  <c r="Z152" i="29" s="1"/>
  <c r="Z51" i="29"/>
  <c r="Z138" i="29" s="1"/>
  <c r="Z78" i="29"/>
  <c r="Z165" i="29" s="1"/>
  <c r="Z28" i="29"/>
  <c r="Z115" i="29" s="1"/>
  <c r="Z30" i="29"/>
  <c r="Z117" i="29" s="1"/>
  <c r="Z53" i="29"/>
  <c r="Z140" i="29" s="1"/>
  <c r="Z81" i="29"/>
  <c r="Z168" i="29" s="1"/>
  <c r="Z62" i="29"/>
  <c r="Z149" i="29" s="1"/>
  <c r="Z32" i="29"/>
  <c r="Z119" i="29" s="1"/>
  <c r="Z34" i="29"/>
  <c r="Z121" i="29" s="1"/>
  <c r="Z57" i="29"/>
  <c r="Z144" i="29" s="1"/>
  <c r="Z43" i="29"/>
  <c r="Z130" i="29" s="1"/>
  <c r="Z68" i="29"/>
  <c r="Z155" i="29" s="1"/>
  <c r="Z18" i="29"/>
  <c r="Z105" i="29" s="1"/>
  <c r="Z22" i="29"/>
  <c r="Z109" i="29" s="1"/>
  <c r="Z45" i="29"/>
  <c r="Z132" i="29" s="1"/>
  <c r="Z70" i="29"/>
  <c r="Z157" i="29" s="1"/>
  <c r="Z56" i="29"/>
  <c r="Z143" i="29" s="1"/>
  <c r="L80" i="7"/>
  <c r="O43" i="8"/>
  <c r="O43" i="29" s="1"/>
  <c r="O130" i="29" s="1"/>
  <c r="O52" i="8"/>
  <c r="O52" i="29" s="1"/>
  <c r="O139" i="29" s="1"/>
  <c r="O40" i="8"/>
  <c r="O40" i="29" s="1"/>
  <c r="O127" i="29" s="1"/>
  <c r="O68" i="8"/>
  <c r="O68" i="29" s="1"/>
  <c r="O155" i="29" s="1"/>
  <c r="AD88" i="7"/>
  <c r="L26" i="7"/>
  <c r="V13" i="9"/>
  <c r="AB13" i="9" s="1"/>
  <c r="V14" i="9"/>
  <c r="AB14" i="9" s="1"/>
  <c r="V12" i="9"/>
  <c r="AB12" i="9" s="1"/>
  <c r="M74" i="7"/>
  <c r="Y85" i="9"/>
  <c r="X85" i="29" s="1"/>
  <c r="X172" i="29" s="1"/>
  <c r="Y24" i="9"/>
  <c r="X24" i="29" s="1"/>
  <c r="X111" i="29" s="1"/>
  <c r="Y51" i="9"/>
  <c r="X51" i="29" s="1"/>
  <c r="X138" i="29" s="1"/>
  <c r="Y57" i="9"/>
  <c r="X57" i="29" s="1"/>
  <c r="X144" i="29" s="1"/>
  <c r="Y35" i="9"/>
  <c r="X35" i="29" s="1"/>
  <c r="X122" i="29" s="1"/>
  <c r="AI32" i="8"/>
  <c r="AE32" i="29" s="1"/>
  <c r="AE119" i="29" s="1"/>
  <c r="AI78" i="8"/>
  <c r="AE78" i="29" s="1"/>
  <c r="AE165" i="29" s="1"/>
  <c r="AI75" i="8"/>
  <c r="AE75" i="29" s="1"/>
  <c r="AE162" i="29" s="1"/>
  <c r="AI5" i="8"/>
  <c r="AI43" i="8"/>
  <c r="AE43" i="29" s="1"/>
  <c r="AE130" i="29" s="1"/>
  <c r="L21" i="7"/>
  <c r="S24" i="30"/>
  <c r="S75" i="30" s="1"/>
  <c r="I7" i="32" s="1"/>
  <c r="I13" i="32" s="1"/>
  <c r="L67" i="7"/>
  <c r="M86" i="7"/>
  <c r="Q51" i="8"/>
  <c r="Q51" i="29" s="1"/>
  <c r="Q138" i="29" s="1"/>
  <c r="Q64" i="8"/>
  <c r="Q64" i="29" s="1"/>
  <c r="Q151" i="29" s="1"/>
  <c r="Q5" i="8"/>
  <c r="Q20" i="8"/>
  <c r="Q20" i="29" s="1"/>
  <c r="Q107" i="29" s="1"/>
  <c r="R44" i="8"/>
  <c r="R44" i="29" s="1"/>
  <c r="R131" i="29" s="1"/>
  <c r="S60" i="8"/>
  <c r="R74" i="8"/>
  <c r="R74" i="29" s="1"/>
  <c r="R161" i="29" s="1"/>
  <c r="S42" i="8"/>
  <c r="R65" i="8"/>
  <c r="R65" i="29" s="1"/>
  <c r="R152" i="29" s="1"/>
  <c r="S51" i="8"/>
  <c r="R82" i="8"/>
  <c r="R82" i="29" s="1"/>
  <c r="R169" i="29" s="1"/>
  <c r="R72" i="8"/>
  <c r="R72" i="29" s="1"/>
  <c r="R159" i="29" s="1"/>
  <c r="L33" i="7"/>
  <c r="L77" i="7"/>
  <c r="M60" i="7"/>
  <c r="O58" i="8"/>
  <c r="O58" i="29" s="1"/>
  <c r="O145" i="29" s="1"/>
  <c r="O5" i="8"/>
  <c r="O56" i="8"/>
  <c r="O56" i="29" s="1"/>
  <c r="O143" i="29" s="1"/>
  <c r="O17" i="8"/>
  <c r="O17" i="29" s="1"/>
  <c r="O104" i="29" s="1"/>
  <c r="O50" i="8"/>
  <c r="O50" i="29" s="1"/>
  <c r="O137" i="29" s="1"/>
  <c r="Y9" i="29"/>
  <c r="Y96" i="29" s="1"/>
  <c r="Y35" i="29"/>
  <c r="Y122" i="29" s="1"/>
  <c r="Y63" i="29"/>
  <c r="Y150" i="29" s="1"/>
  <c r="Y44" i="29"/>
  <c r="Y131" i="29" s="1"/>
  <c r="Y65" i="29"/>
  <c r="Y152" i="29" s="1"/>
  <c r="Y33" i="29"/>
  <c r="Y120" i="29" s="1"/>
  <c r="Y23" i="29"/>
  <c r="Y110" i="29" s="1"/>
  <c r="Y50" i="29"/>
  <c r="Y137" i="29" s="1"/>
  <c r="Y76" i="29"/>
  <c r="Y163" i="29" s="1"/>
  <c r="Y53" i="29"/>
  <c r="Y140" i="29" s="1"/>
  <c r="Y21" i="29"/>
  <c r="Y108" i="29" s="1"/>
  <c r="Y15" i="29"/>
  <c r="Y102" i="29" s="1"/>
  <c r="Y36" i="29"/>
  <c r="Y123" i="29" s="1"/>
  <c r="Y64" i="29"/>
  <c r="Y151" i="29" s="1"/>
  <c r="Y41" i="29"/>
  <c r="Y128" i="29" s="1"/>
  <c r="Y25" i="29"/>
  <c r="Y112" i="29" s="1"/>
  <c r="Y17" i="29"/>
  <c r="Y104" i="29" s="1"/>
  <c r="Y42" i="29"/>
  <c r="Y129" i="29" s="1"/>
  <c r="Y67" i="29"/>
  <c r="Y154" i="29" s="1"/>
  <c r="Y45" i="29"/>
  <c r="Y132" i="29" s="1"/>
  <c r="L64" i="7"/>
  <c r="T14" i="29"/>
  <c r="T101" i="29" s="1"/>
  <c r="K7" i="32"/>
  <c r="K13" i="32" s="1"/>
  <c r="L47" i="9"/>
  <c r="F7" i="32"/>
  <c r="F13" i="32" s="1"/>
  <c r="F9" i="32"/>
  <c r="F11" i="32"/>
  <c r="AD5" i="8"/>
  <c r="AD88" i="8" s="1"/>
  <c r="AC88" i="8"/>
  <c r="L57" i="9"/>
  <c r="X88" i="8"/>
  <c r="M18" i="9"/>
  <c r="Q79" i="8"/>
  <c r="Q79" i="29" s="1"/>
  <c r="Q166" i="29" s="1"/>
  <c r="Q13" i="8"/>
  <c r="Q13" i="29" s="1"/>
  <c r="Q100" i="29" s="1"/>
  <c r="Q12" i="8"/>
  <c r="Q12" i="29" s="1"/>
  <c r="Q99" i="29" s="1"/>
  <c r="Q14" i="8"/>
  <c r="Q14" i="29" s="1"/>
  <c r="Q101" i="29" s="1"/>
  <c r="L69" i="9"/>
  <c r="Q76" i="8"/>
  <c r="Q76" i="29" s="1"/>
  <c r="Q163" i="29" s="1"/>
  <c r="Q36" i="8"/>
  <c r="Q36" i="29" s="1"/>
  <c r="Q123" i="29" s="1"/>
  <c r="Q10" i="8"/>
  <c r="Q10" i="29" s="1"/>
  <c r="Q97" i="29" s="1"/>
  <c r="L79" i="9"/>
  <c r="T37" i="29"/>
  <c r="T124" i="29" s="1"/>
  <c r="L75" i="9"/>
  <c r="P88" i="9"/>
  <c r="L42" i="9"/>
  <c r="O7" i="8"/>
  <c r="O7" i="29" s="1"/>
  <c r="O94" i="29" s="1"/>
  <c r="O14" i="8"/>
  <c r="O14" i="29" s="1"/>
  <c r="O101" i="29" s="1"/>
  <c r="O13" i="8"/>
  <c r="O13" i="29" s="1"/>
  <c r="O100" i="29" s="1"/>
  <c r="O12" i="8"/>
  <c r="O12" i="29" s="1"/>
  <c r="O99" i="29" s="1"/>
  <c r="L71" i="9"/>
  <c r="Y25" i="9"/>
  <c r="X25" i="29" s="1"/>
  <c r="X112" i="29" s="1"/>
  <c r="Y23" i="9"/>
  <c r="X23" i="29" s="1"/>
  <c r="X110" i="29" s="1"/>
  <c r="Y55" i="9"/>
  <c r="X55" i="29" s="1"/>
  <c r="X142" i="29" s="1"/>
  <c r="Y34" i="9"/>
  <c r="X34" i="29" s="1"/>
  <c r="X121" i="29" s="1"/>
  <c r="C7" i="32"/>
  <c r="C13" i="32" s="1"/>
  <c r="C9" i="32"/>
  <c r="C11" i="32"/>
  <c r="M8" i="9"/>
  <c r="I11" i="32"/>
  <c r="I9" i="32"/>
  <c r="L63" i="9"/>
  <c r="Q62" i="8"/>
  <c r="Q62" i="29" s="1"/>
  <c r="Q149" i="29" s="1"/>
  <c r="Q60" i="8"/>
  <c r="Q60" i="29" s="1"/>
  <c r="Q147" i="29" s="1"/>
  <c r="Q49" i="8"/>
  <c r="Q49" i="29" s="1"/>
  <c r="Q136" i="29" s="1"/>
  <c r="Q34" i="8"/>
  <c r="Q34" i="29" s="1"/>
  <c r="Q121" i="29" s="1"/>
  <c r="R53" i="8"/>
  <c r="R53" i="29" s="1"/>
  <c r="R140" i="29" s="1"/>
  <c r="R26" i="8"/>
  <c r="R26" i="29" s="1"/>
  <c r="R113" i="29" s="1"/>
  <c r="R77" i="8"/>
  <c r="R77" i="29" s="1"/>
  <c r="R164" i="29" s="1"/>
  <c r="R49" i="8"/>
  <c r="R49" i="29" s="1"/>
  <c r="R136" i="29" s="1"/>
  <c r="R83" i="8"/>
  <c r="R83" i="29" s="1"/>
  <c r="R170" i="29" s="1"/>
  <c r="R46" i="8"/>
  <c r="R46" i="29" s="1"/>
  <c r="R133" i="29" s="1"/>
  <c r="R85" i="8"/>
  <c r="R85" i="29" s="1"/>
  <c r="R172" i="29" s="1"/>
  <c r="M35" i="9"/>
  <c r="M72" i="9"/>
  <c r="O61" i="8"/>
  <c r="O61" i="29" s="1"/>
  <c r="O148" i="29" s="1"/>
  <c r="O19" i="8"/>
  <c r="O19" i="29" s="1"/>
  <c r="O106" i="29" s="1"/>
  <c r="O33" i="8"/>
  <c r="O33" i="29" s="1"/>
  <c r="O120" i="29" s="1"/>
  <c r="O8" i="8"/>
  <c r="O8" i="29" s="1"/>
  <c r="O95" i="29" s="1"/>
  <c r="O30" i="8"/>
  <c r="O30" i="29" s="1"/>
  <c r="O117" i="29" s="1"/>
  <c r="U88" i="8"/>
  <c r="M24" i="9"/>
  <c r="L86" i="9"/>
  <c r="S13" i="8"/>
  <c r="S14" i="8"/>
  <c r="S12" i="8"/>
  <c r="AI58" i="8"/>
  <c r="AE58" i="29" s="1"/>
  <c r="AE145" i="29" s="1"/>
  <c r="AI14" i="8"/>
  <c r="AE14" i="29" s="1"/>
  <c r="AE101" i="29" s="1"/>
  <c r="AI13" i="8"/>
  <c r="AE13" i="29" s="1"/>
  <c r="AE100" i="29" s="1"/>
  <c r="AI12" i="8"/>
  <c r="AE12" i="29" s="1"/>
  <c r="AE99" i="29" s="1"/>
  <c r="M83" i="9"/>
  <c r="Y52" i="9"/>
  <c r="X52" i="29" s="1"/>
  <c r="X139" i="29" s="1"/>
  <c r="Y32" i="9"/>
  <c r="X32" i="29" s="1"/>
  <c r="X119" i="29" s="1"/>
  <c r="Y74" i="9"/>
  <c r="X74" i="29" s="1"/>
  <c r="X161" i="29" s="1"/>
  <c r="Y67" i="9"/>
  <c r="X67" i="29" s="1"/>
  <c r="X154" i="29" s="1"/>
  <c r="Y43" i="9"/>
  <c r="X43" i="29" s="1"/>
  <c r="X130" i="29" s="1"/>
  <c r="AI80" i="8"/>
  <c r="AE80" i="29" s="1"/>
  <c r="AE167" i="29" s="1"/>
  <c r="AI21" i="8"/>
  <c r="AE21" i="29" s="1"/>
  <c r="AE108" i="29" s="1"/>
  <c r="AI9" i="8"/>
  <c r="AE9" i="29" s="1"/>
  <c r="AE96" i="29" s="1"/>
  <c r="AI34" i="8"/>
  <c r="AE34" i="29" s="1"/>
  <c r="AE121" i="29" s="1"/>
  <c r="L11" i="31"/>
  <c r="L7" i="31"/>
  <c r="L13" i="31" s="1"/>
  <c r="L9" i="31"/>
  <c r="L15" i="31" s="1"/>
  <c r="M21" i="9"/>
  <c r="M77" i="9"/>
  <c r="Q73" i="8"/>
  <c r="Q73" i="29" s="1"/>
  <c r="Q160" i="29" s="1"/>
  <c r="Q55" i="8"/>
  <c r="Q55" i="29" s="1"/>
  <c r="Q142" i="29" s="1"/>
  <c r="Q66" i="8"/>
  <c r="Q66" i="29" s="1"/>
  <c r="Q153" i="29" s="1"/>
  <c r="Q15" i="8"/>
  <c r="Q15" i="29" s="1"/>
  <c r="Q102" i="29" s="1"/>
  <c r="Q19" i="8"/>
  <c r="Q19" i="29" s="1"/>
  <c r="Q106" i="29" s="1"/>
  <c r="Q84" i="8"/>
  <c r="Q84" i="29" s="1"/>
  <c r="Q171" i="29" s="1"/>
  <c r="S57" i="8"/>
  <c r="S20" i="8"/>
  <c r="R81" i="8"/>
  <c r="R81" i="29" s="1"/>
  <c r="R168" i="29" s="1"/>
  <c r="R54" i="8"/>
  <c r="R54" i="29" s="1"/>
  <c r="R141" i="29" s="1"/>
  <c r="S66" i="8"/>
  <c r="S71" i="8"/>
  <c r="S29" i="8"/>
  <c r="R78" i="8"/>
  <c r="R78" i="29" s="1"/>
  <c r="R165" i="29" s="1"/>
  <c r="S6" i="8"/>
  <c r="R79" i="8"/>
  <c r="R79" i="29" s="1"/>
  <c r="R166" i="29" s="1"/>
  <c r="M38" i="9"/>
  <c r="O52" i="12"/>
  <c r="Z29" i="29"/>
  <c r="Z116" i="29" s="1"/>
  <c r="Z20" i="29"/>
  <c r="Z107" i="29" s="1"/>
  <c r="Z42" i="29"/>
  <c r="Z129" i="29" s="1"/>
  <c r="Z67" i="29"/>
  <c r="Z154" i="29" s="1"/>
  <c r="Z80" i="29"/>
  <c r="Z167" i="29" s="1"/>
  <c r="Z16" i="29"/>
  <c r="Z103" i="29" s="1"/>
  <c r="Z14" i="29"/>
  <c r="Z101" i="29" s="1"/>
  <c r="Z69" i="29"/>
  <c r="Z156" i="29" s="1"/>
  <c r="Z55" i="29"/>
  <c r="Z142" i="29" s="1"/>
  <c r="Z86" i="29"/>
  <c r="Z173" i="29" s="1"/>
  <c r="Z21" i="29"/>
  <c r="Z108" i="29" s="1"/>
  <c r="Z15" i="29"/>
  <c r="Z102" i="29" s="1"/>
  <c r="Z71" i="29"/>
  <c r="Z158" i="29" s="1"/>
  <c r="Z61" i="29"/>
  <c r="Z148" i="29" s="1"/>
  <c r="Z74" i="29"/>
  <c r="Z161" i="29" s="1"/>
  <c r="Z36" i="29"/>
  <c r="Z123" i="29" s="1"/>
  <c r="Z38" i="29"/>
  <c r="Z125" i="29" s="1"/>
  <c r="Z60" i="29"/>
  <c r="Z147" i="29" s="1"/>
  <c r="Z47" i="29"/>
  <c r="Z134" i="29" s="1"/>
  <c r="Z75" i="29"/>
  <c r="Z162" i="29" s="1"/>
  <c r="L82" i="9"/>
  <c r="O28" i="8"/>
  <c r="O28" i="29" s="1"/>
  <c r="O115" i="29" s="1"/>
  <c r="O42" i="8"/>
  <c r="O42" i="29" s="1"/>
  <c r="O129" i="29" s="1"/>
  <c r="O84" i="8"/>
  <c r="O84" i="29" s="1"/>
  <c r="O171" i="29" s="1"/>
  <c r="O77" i="8"/>
  <c r="O77" i="29" s="1"/>
  <c r="O164" i="29" s="1"/>
  <c r="L24" i="9"/>
  <c r="AD5" i="9"/>
  <c r="AD88" i="9" s="1"/>
  <c r="AC88" i="9"/>
  <c r="M45" i="9"/>
  <c r="V5" i="13"/>
  <c r="V52" i="13" s="1"/>
  <c r="M76" i="9"/>
  <c r="Y65" i="9"/>
  <c r="X65" i="29" s="1"/>
  <c r="X152" i="29" s="1"/>
  <c r="Y56" i="9"/>
  <c r="X56" i="29" s="1"/>
  <c r="X143" i="29" s="1"/>
  <c r="Y62" i="9"/>
  <c r="X62" i="29" s="1"/>
  <c r="X149" i="29" s="1"/>
  <c r="Y79" i="9"/>
  <c r="X79" i="29" s="1"/>
  <c r="X166" i="29" s="1"/>
  <c r="Y18" i="9"/>
  <c r="X18" i="29" s="1"/>
  <c r="X105" i="29" s="1"/>
  <c r="AI46" i="8"/>
  <c r="AE46" i="29" s="1"/>
  <c r="AE133" i="29" s="1"/>
  <c r="AI88" i="9"/>
  <c r="AI28" i="8"/>
  <c r="AE28" i="29" s="1"/>
  <c r="AE115" i="29" s="1"/>
  <c r="AI51" i="8"/>
  <c r="AE51" i="29" s="1"/>
  <c r="AE138" i="29" s="1"/>
  <c r="AI68" i="8"/>
  <c r="AE68" i="29" s="1"/>
  <c r="AE155" i="29" s="1"/>
  <c r="L30" i="7"/>
  <c r="M67" i="7"/>
  <c r="Q58" i="8"/>
  <c r="Q58" i="29" s="1"/>
  <c r="Q145" i="29" s="1"/>
  <c r="Q85" i="8"/>
  <c r="Q85" i="29" s="1"/>
  <c r="Q172" i="29" s="1"/>
  <c r="Q82" i="8"/>
  <c r="Q82" i="29" s="1"/>
  <c r="Q169" i="29" s="1"/>
  <c r="Q74" i="8"/>
  <c r="Q74" i="29" s="1"/>
  <c r="Q161" i="29" s="1"/>
  <c r="Q70" i="8"/>
  <c r="Q70" i="29" s="1"/>
  <c r="Q157" i="29" s="1"/>
  <c r="Q57" i="8"/>
  <c r="Q57" i="29" s="1"/>
  <c r="Q144" i="29" s="1"/>
  <c r="Q88" i="9"/>
  <c r="Q56" i="8"/>
  <c r="Q56" i="29" s="1"/>
  <c r="Q143" i="29" s="1"/>
  <c r="R60" i="8"/>
  <c r="R60" i="29" s="1"/>
  <c r="R147" i="29" s="1"/>
  <c r="S33" i="8"/>
  <c r="R42" i="8"/>
  <c r="R42" i="29" s="1"/>
  <c r="R129" i="29" s="1"/>
  <c r="R55" i="8"/>
  <c r="R55" i="29" s="1"/>
  <c r="R142" i="29" s="1"/>
  <c r="R51" i="8"/>
  <c r="R51" i="29" s="1"/>
  <c r="R138" i="29" s="1"/>
  <c r="S32" i="8"/>
  <c r="R47" i="8"/>
  <c r="R47" i="29" s="1"/>
  <c r="R134" i="29" s="1"/>
  <c r="S35" i="8"/>
  <c r="M69" i="7"/>
  <c r="O35" i="8"/>
  <c r="O35" i="29" s="1"/>
  <c r="O122" i="29" s="1"/>
  <c r="O88" i="9"/>
  <c r="O53" i="8"/>
  <c r="O53" i="29" s="1"/>
  <c r="O140" i="29" s="1"/>
  <c r="O32" i="8"/>
  <c r="O32" i="29" s="1"/>
  <c r="O119" i="29" s="1"/>
  <c r="O47" i="8"/>
  <c r="O47" i="29" s="1"/>
  <c r="O134" i="29" s="1"/>
  <c r="Y26" i="29"/>
  <c r="Y113" i="29" s="1"/>
  <c r="Y12" i="29"/>
  <c r="Y99" i="29" s="1"/>
  <c r="Y80" i="29"/>
  <c r="Y167" i="29" s="1"/>
  <c r="Y59" i="29"/>
  <c r="Y146" i="29" s="1"/>
  <c r="Y75" i="29"/>
  <c r="Y162" i="29" s="1"/>
  <c r="Y11" i="29"/>
  <c r="Y98" i="29" s="1"/>
  <c r="Y39" i="29"/>
  <c r="Y126" i="29" s="1"/>
  <c r="Y66" i="29"/>
  <c r="Y153" i="29" s="1"/>
  <c r="Y48" i="29"/>
  <c r="Y135" i="29" s="1"/>
  <c r="Y69" i="29"/>
  <c r="Y156" i="29" s="1"/>
  <c r="Y37" i="29"/>
  <c r="Y124" i="29" s="1"/>
  <c r="Y27" i="29"/>
  <c r="Y114" i="29" s="1"/>
  <c r="Y54" i="29"/>
  <c r="Y141" i="29" s="1"/>
  <c r="Y82" i="29"/>
  <c r="Y169" i="29" s="1"/>
  <c r="Y57" i="29"/>
  <c r="Y144" i="29" s="1"/>
  <c r="Y5" i="29"/>
  <c r="Y92" i="29" s="1"/>
  <c r="Z88" i="8"/>
  <c r="Y31" i="29"/>
  <c r="Y118" i="29" s="1"/>
  <c r="Y58" i="29"/>
  <c r="Y145" i="29" s="1"/>
  <c r="Y40" i="29"/>
  <c r="Y127" i="29" s="1"/>
  <c r="Y60" i="29"/>
  <c r="Y147" i="29" s="1"/>
  <c r="T12" i="29"/>
  <c r="T99" i="29" s="1"/>
  <c r="J9" i="31" s="1"/>
  <c r="K11" i="32"/>
  <c r="AH88" i="9"/>
  <c r="AA50" i="29"/>
  <c r="AA137" i="29" s="1"/>
  <c r="X88" i="9"/>
  <c r="L78" i="9"/>
  <c r="M23" i="9"/>
  <c r="M59" i="9"/>
  <c r="L73" i="9"/>
  <c r="F11" i="31"/>
  <c r="F9" i="31"/>
  <c r="F15" i="31" s="1"/>
  <c r="F7" i="31"/>
  <c r="F13" i="31" s="1"/>
  <c r="L85" i="9"/>
  <c r="Y69" i="9"/>
  <c r="X69" i="29" s="1"/>
  <c r="X156" i="29" s="1"/>
  <c r="Y66" i="9"/>
  <c r="X66" i="29" s="1"/>
  <c r="X153" i="29" s="1"/>
  <c r="Y60" i="9"/>
  <c r="X60" i="29" s="1"/>
  <c r="X147" i="29" s="1"/>
  <c r="Y80" i="9"/>
  <c r="X80" i="29" s="1"/>
  <c r="X167" i="29" s="1"/>
  <c r="Y36" i="9"/>
  <c r="X36" i="29" s="1"/>
  <c r="X123" i="29" s="1"/>
  <c r="Y78" i="9"/>
  <c r="X78" i="29" s="1"/>
  <c r="X165" i="29" s="1"/>
  <c r="M30" i="9"/>
  <c r="X14" i="29"/>
  <c r="X101" i="29" s="1"/>
  <c r="L65" i="9"/>
  <c r="Q42" i="8"/>
  <c r="Q42" i="29" s="1"/>
  <c r="Q129" i="29" s="1"/>
  <c r="Q37" i="8"/>
  <c r="Q37" i="29" s="1"/>
  <c r="Q124" i="29" s="1"/>
  <c r="Q52" i="8"/>
  <c r="Q52" i="29" s="1"/>
  <c r="Q139" i="29" s="1"/>
  <c r="Q24" i="8"/>
  <c r="Q24" i="29" s="1"/>
  <c r="Q111" i="29" s="1"/>
  <c r="Q47" i="8"/>
  <c r="Q47" i="29" s="1"/>
  <c r="Q134" i="29" s="1"/>
  <c r="Q78" i="8"/>
  <c r="Q78" i="29" s="1"/>
  <c r="Q165" i="29" s="1"/>
  <c r="L34" i="9"/>
  <c r="M78" i="9"/>
  <c r="O11" i="8"/>
  <c r="O11" i="29" s="1"/>
  <c r="O98" i="29" s="1"/>
  <c r="O18" i="8"/>
  <c r="O18" i="29" s="1"/>
  <c r="O105" i="29" s="1"/>
  <c r="O49" i="8"/>
  <c r="O49" i="29" s="1"/>
  <c r="O136" i="29" s="1"/>
  <c r="O70" i="8"/>
  <c r="O70" i="29" s="1"/>
  <c r="O157" i="29" s="1"/>
  <c r="O80" i="8"/>
  <c r="O80" i="29" s="1"/>
  <c r="O167" i="29" s="1"/>
  <c r="U88" i="9"/>
  <c r="L49" i="9"/>
  <c r="M56" i="9"/>
  <c r="R14" i="8"/>
  <c r="R14" i="29" s="1"/>
  <c r="R101" i="29" s="1"/>
  <c r="R13" i="8"/>
  <c r="R13" i="29" s="1"/>
  <c r="R100" i="29" s="1"/>
  <c r="R12" i="8"/>
  <c r="R12" i="29" s="1"/>
  <c r="R99" i="29" s="1"/>
  <c r="M34" i="9"/>
  <c r="V52" i="12"/>
  <c r="L59" i="9"/>
  <c r="N52" i="13"/>
  <c r="Y76" i="9"/>
  <c r="X76" i="29" s="1"/>
  <c r="X163" i="29" s="1"/>
  <c r="Y9" i="9"/>
  <c r="X9" i="29" s="1"/>
  <c r="X96" i="29" s="1"/>
  <c r="Y48" i="9"/>
  <c r="X48" i="29" s="1"/>
  <c r="X135" i="29" s="1"/>
  <c r="Y11" i="9"/>
  <c r="X11" i="29" s="1"/>
  <c r="X98" i="29" s="1"/>
  <c r="Y26" i="9"/>
  <c r="X26" i="29" s="1"/>
  <c r="X113" i="29" s="1"/>
  <c r="AI23" i="8"/>
  <c r="AE23" i="29" s="1"/>
  <c r="AE110" i="29" s="1"/>
  <c r="AI45" i="8"/>
  <c r="AE45" i="29" s="1"/>
  <c r="AE132" i="29" s="1"/>
  <c r="AI36" i="8"/>
  <c r="AE36" i="29" s="1"/>
  <c r="AE123" i="29" s="1"/>
  <c r="AI86" i="8"/>
  <c r="AE86" i="29" s="1"/>
  <c r="AE173" i="29" s="1"/>
  <c r="AI62" i="8"/>
  <c r="AE62" i="29" s="1"/>
  <c r="AE149" i="29" s="1"/>
  <c r="L41" i="9"/>
  <c r="L53" i="9"/>
  <c r="Q30" i="8"/>
  <c r="Q30" i="29" s="1"/>
  <c r="Q117" i="29" s="1"/>
  <c r="Q48" i="8"/>
  <c r="Q48" i="29" s="1"/>
  <c r="Q135" i="29" s="1"/>
  <c r="Q77" i="8"/>
  <c r="Q77" i="29" s="1"/>
  <c r="Q164" i="29" s="1"/>
  <c r="Q17" i="8"/>
  <c r="Q17" i="29" s="1"/>
  <c r="Q104" i="29" s="1"/>
  <c r="R57" i="8"/>
  <c r="R20" i="8"/>
  <c r="R20" i="29" s="1"/>
  <c r="R107" i="29" s="1"/>
  <c r="R41" i="8"/>
  <c r="R41" i="29" s="1"/>
  <c r="R128" i="29" s="1"/>
  <c r="S54" i="8"/>
  <c r="R18" i="8"/>
  <c r="R18" i="29" s="1"/>
  <c r="R105" i="29" s="1"/>
  <c r="R71" i="8"/>
  <c r="R71" i="29" s="1"/>
  <c r="R158" i="29" s="1"/>
  <c r="S40" i="8"/>
  <c r="S78" i="8"/>
  <c r="S62" i="8"/>
  <c r="R22" i="8"/>
  <c r="R22" i="29" s="1"/>
  <c r="R109" i="29" s="1"/>
  <c r="S79" i="8"/>
  <c r="L17" i="9"/>
  <c r="E11" i="32"/>
  <c r="E7" i="32"/>
  <c r="E13" i="32" s="1"/>
  <c r="E9" i="32"/>
  <c r="Z10" i="29"/>
  <c r="Z97" i="29" s="1"/>
  <c r="Z9" i="29"/>
  <c r="Z96" i="29" s="1"/>
  <c r="Z35" i="29"/>
  <c r="Z122" i="29" s="1"/>
  <c r="Z58" i="29"/>
  <c r="Z145" i="29" s="1"/>
  <c r="Z44" i="29"/>
  <c r="Z131" i="29" s="1"/>
  <c r="Z85" i="29"/>
  <c r="Z172" i="29" s="1"/>
  <c r="Z33" i="29"/>
  <c r="Z120" i="29" s="1"/>
  <c r="Z23" i="29"/>
  <c r="Z110" i="29" s="1"/>
  <c r="Z46" i="29"/>
  <c r="Z133" i="29" s="1"/>
  <c r="Z73" i="29"/>
  <c r="Z160" i="29" s="1"/>
  <c r="Z84" i="29"/>
  <c r="Z171" i="29" s="1"/>
  <c r="Z37" i="29"/>
  <c r="Z124" i="29" s="1"/>
  <c r="Z27" i="29"/>
  <c r="Z114" i="29" s="1"/>
  <c r="Z50" i="29"/>
  <c r="Z137" i="29" s="1"/>
  <c r="Z83" i="29"/>
  <c r="Z170" i="29" s="1"/>
  <c r="Z76" i="29"/>
  <c r="Z163" i="29" s="1"/>
  <c r="Z25" i="29"/>
  <c r="Z112" i="29" s="1"/>
  <c r="Z17" i="29"/>
  <c r="Z104" i="29" s="1"/>
  <c r="Z79" i="29"/>
  <c r="Z166" i="29" s="1"/>
  <c r="Z64" i="29"/>
  <c r="Z151" i="29" s="1"/>
  <c r="Z77" i="29"/>
  <c r="Z164" i="29" s="1"/>
  <c r="L72" i="9"/>
  <c r="O71" i="8"/>
  <c r="O71" i="29" s="1"/>
  <c r="O158" i="29" s="1"/>
  <c r="O59" i="8"/>
  <c r="O59" i="29" s="1"/>
  <c r="O146" i="29" s="1"/>
  <c r="O69" i="8"/>
  <c r="O69" i="29" s="1"/>
  <c r="O156" i="29" s="1"/>
  <c r="O23" i="8"/>
  <c r="O23" i="29" s="1"/>
  <c r="O110" i="29" s="1"/>
  <c r="O37" i="8"/>
  <c r="O37" i="29" s="1"/>
  <c r="O124" i="29" s="1"/>
  <c r="L29" i="9"/>
  <c r="M75" i="9"/>
  <c r="AA5" i="29"/>
  <c r="AA92" i="29" s="1"/>
  <c r="L70" i="9"/>
  <c r="Y59" i="9"/>
  <c r="X59" i="29" s="1"/>
  <c r="X146" i="29" s="1"/>
  <c r="Y81" i="9"/>
  <c r="X81" i="29" s="1"/>
  <c r="X168" i="29" s="1"/>
  <c r="Y37" i="9"/>
  <c r="X37" i="29" s="1"/>
  <c r="X124" i="29" s="1"/>
  <c r="Y20" i="9"/>
  <c r="X20" i="29" s="1"/>
  <c r="X107" i="29" s="1"/>
  <c r="Y54" i="9"/>
  <c r="X54" i="29" s="1"/>
  <c r="X141" i="29" s="1"/>
  <c r="AI48" i="8"/>
  <c r="AE48" i="29" s="1"/>
  <c r="AE135" i="29" s="1"/>
  <c r="AI7" i="8"/>
  <c r="AE7" i="29" s="1"/>
  <c r="AE94" i="29" s="1"/>
  <c r="AI30" i="8"/>
  <c r="AE30" i="29" s="1"/>
  <c r="AE117" i="29" s="1"/>
  <c r="AI54" i="8"/>
  <c r="AE54" i="29" s="1"/>
  <c r="AE141" i="29" s="1"/>
  <c r="AI83" i="8"/>
  <c r="AE83" i="29" s="1"/>
  <c r="AE170" i="29" s="1"/>
  <c r="AI59" i="8"/>
  <c r="AE59" i="29" s="1"/>
  <c r="AE146" i="29" s="1"/>
  <c r="M46" i="9"/>
  <c r="L43" i="7"/>
  <c r="L27" i="7"/>
  <c r="L51" i="7"/>
  <c r="L32" i="7"/>
  <c r="L11" i="7"/>
  <c r="L39" i="7"/>
  <c r="L25" i="7"/>
  <c r="L15" i="7"/>
  <c r="L28" i="7"/>
  <c r="L6" i="7"/>
  <c r="L50" i="7"/>
  <c r="L37" i="7"/>
  <c r="L19" i="7"/>
  <c r="L10" i="7"/>
  <c r="L20" i="7"/>
  <c r="L5" i="7"/>
  <c r="L48" i="7"/>
  <c r="L31" i="7"/>
  <c r="L9" i="7"/>
  <c r="L40" i="7"/>
  <c r="L16" i="7"/>
  <c r="L74" i="7"/>
  <c r="M66" i="7"/>
  <c r="M15" i="7"/>
  <c r="M28" i="7"/>
  <c r="M50" i="7"/>
  <c r="M37" i="7"/>
  <c r="M19" i="7"/>
  <c r="M10" i="7"/>
  <c r="M20" i="7"/>
  <c r="M48" i="7"/>
  <c r="M31" i="7"/>
  <c r="M9" i="7"/>
  <c r="M40" i="7"/>
  <c r="M16" i="7"/>
  <c r="M43" i="7"/>
  <c r="M27" i="7"/>
  <c r="M5" i="7"/>
  <c r="M51" i="7"/>
  <c r="M32" i="7"/>
  <c r="M11" i="7"/>
  <c r="M39" i="7"/>
  <c r="M25" i="7"/>
  <c r="M6" i="7"/>
  <c r="Q35" i="8"/>
  <c r="Q35" i="29" s="1"/>
  <c r="Q122" i="29" s="1"/>
  <c r="Q61" i="8"/>
  <c r="Q61" i="29" s="1"/>
  <c r="Q148" i="29" s="1"/>
  <c r="Q54" i="8"/>
  <c r="Q54" i="29" s="1"/>
  <c r="Q141" i="29" s="1"/>
  <c r="R86" i="8"/>
  <c r="R86" i="29" s="1"/>
  <c r="R173" i="29" s="1"/>
  <c r="R33" i="8"/>
  <c r="R33" i="29" s="1"/>
  <c r="R120" i="29" s="1"/>
  <c r="S69" i="8"/>
  <c r="S55" i="8"/>
  <c r="R31" i="8"/>
  <c r="R31" i="29" s="1"/>
  <c r="R118" i="29" s="1"/>
  <c r="R32" i="8"/>
  <c r="R32" i="29" s="1"/>
  <c r="R119" i="29" s="1"/>
  <c r="S61" i="8"/>
  <c r="R21" i="8"/>
  <c r="R21" i="29" s="1"/>
  <c r="R108" i="29" s="1"/>
  <c r="S63" i="8"/>
  <c r="R35" i="8"/>
  <c r="R35" i="29" s="1"/>
  <c r="R122" i="29" s="1"/>
  <c r="S73" i="8"/>
  <c r="M14" i="31"/>
  <c r="M54" i="7"/>
  <c r="O20" i="8"/>
  <c r="O20" i="29" s="1"/>
  <c r="O107" i="29" s="1"/>
  <c r="O34" i="8"/>
  <c r="O34" i="29" s="1"/>
  <c r="O121" i="29" s="1"/>
  <c r="O63" i="8"/>
  <c r="O63" i="29" s="1"/>
  <c r="O150" i="29" s="1"/>
  <c r="O76" i="8"/>
  <c r="O76" i="29" s="1"/>
  <c r="O163" i="29" s="1"/>
  <c r="O83" i="8"/>
  <c r="O83" i="29" s="1"/>
  <c r="O170" i="29" s="1"/>
  <c r="M26" i="7"/>
  <c r="Y8" i="29"/>
  <c r="Y95" i="29" s="1"/>
  <c r="Y6" i="29"/>
  <c r="Y93" i="29" s="1"/>
  <c r="Y28" i="29"/>
  <c r="Y115" i="29" s="1"/>
  <c r="Y55" i="29"/>
  <c r="Y142" i="29" s="1"/>
  <c r="Y77" i="29"/>
  <c r="Y164" i="29" s="1"/>
  <c r="Y83" i="29"/>
  <c r="Y170" i="29" s="1"/>
  <c r="Y30" i="29"/>
  <c r="Y117" i="29" s="1"/>
  <c r="Y13" i="29"/>
  <c r="Y100" i="29" s="1"/>
  <c r="Y43" i="29"/>
  <c r="Y130" i="29" s="1"/>
  <c r="Y62" i="29"/>
  <c r="Y149" i="29" s="1"/>
  <c r="Y78" i="29"/>
  <c r="Y165" i="29" s="1"/>
  <c r="Y19" i="29"/>
  <c r="Y106" i="29" s="1"/>
  <c r="Y7" i="29"/>
  <c r="Y94" i="29" s="1"/>
  <c r="Y70" i="29"/>
  <c r="Y157" i="29" s="1"/>
  <c r="Y52" i="29"/>
  <c r="Y139" i="29" s="1"/>
  <c r="Y85" i="29"/>
  <c r="Y172" i="29" s="1"/>
  <c r="Y22" i="29"/>
  <c r="Y109" i="29" s="1"/>
  <c r="Y10" i="29"/>
  <c r="Y97" i="29" s="1"/>
  <c r="Y72" i="29"/>
  <c r="Y159" i="29" s="1"/>
  <c r="Y56" i="29"/>
  <c r="Y143" i="29" s="1"/>
  <c r="Y71" i="29"/>
  <c r="Y158" i="29" s="1"/>
  <c r="L56" i="7"/>
  <c r="T13" i="29"/>
  <c r="T100" i="29" s="1"/>
  <c r="P41" i="11"/>
  <c r="AA41" i="11" s="1"/>
  <c r="L41" i="12"/>
  <c r="P41" i="12" s="1"/>
  <c r="L41" i="13"/>
  <c r="P41" i="13" s="1"/>
  <c r="P27" i="11"/>
  <c r="AA27" i="11" s="1"/>
  <c r="L27" i="12"/>
  <c r="P27" i="12" s="1"/>
  <c r="L27" i="13"/>
  <c r="P27" i="13" s="1"/>
  <c r="P20" i="11"/>
  <c r="AA20" i="11" s="1"/>
  <c r="L20" i="12"/>
  <c r="P20" i="12" s="1"/>
  <c r="L20" i="13"/>
  <c r="P20" i="13" s="1"/>
  <c r="P26" i="11"/>
  <c r="AA26" i="11" s="1"/>
  <c r="L26" i="12"/>
  <c r="P26" i="12" s="1"/>
  <c r="L26" i="13"/>
  <c r="P26" i="13" s="1"/>
  <c r="P36" i="11"/>
  <c r="AA36" i="11" s="1"/>
  <c r="L36" i="12"/>
  <c r="P36" i="12" s="1"/>
  <c r="L36" i="13"/>
  <c r="P36" i="13" s="1"/>
  <c r="P32" i="11"/>
  <c r="AA32" i="11" s="1"/>
  <c r="L32" i="12"/>
  <c r="P32" i="12" s="1"/>
  <c r="L32" i="13"/>
  <c r="P32" i="13" s="1"/>
  <c r="P48" i="11"/>
  <c r="AA48" i="11" s="1"/>
  <c r="L48" i="12"/>
  <c r="P48" i="12" s="1"/>
  <c r="L48" i="13"/>
  <c r="P48" i="13" s="1"/>
  <c r="P50" i="11"/>
  <c r="AA50" i="11" s="1"/>
  <c r="L50" i="12"/>
  <c r="P50" i="12" s="1"/>
  <c r="L50" i="13"/>
  <c r="P50" i="13" s="1"/>
  <c r="P5" i="11"/>
  <c r="L5" i="12"/>
  <c r="L5" i="30" s="1"/>
  <c r="L56" i="30" s="1"/>
  <c r="L5" i="13"/>
  <c r="L52" i="11"/>
  <c r="P16" i="11"/>
  <c r="AA16" i="11" s="1"/>
  <c r="L16" i="12"/>
  <c r="P16" i="12" s="1"/>
  <c r="L16" i="13"/>
  <c r="P16" i="13" s="1"/>
  <c r="P15" i="11"/>
  <c r="AA15" i="11" s="1"/>
  <c r="L15" i="12"/>
  <c r="P15" i="12" s="1"/>
  <c r="L15" i="13"/>
  <c r="P15" i="13" s="1"/>
  <c r="P11" i="11"/>
  <c r="AA11" i="11" s="1"/>
  <c r="L11" i="12"/>
  <c r="P11" i="12" s="1"/>
  <c r="L11" i="13"/>
  <c r="P11" i="13" s="1"/>
  <c r="P25" i="11"/>
  <c r="AA25" i="11" s="1"/>
  <c r="L25" i="12"/>
  <c r="P25" i="12" s="1"/>
  <c r="L25" i="13"/>
  <c r="P25" i="13" s="1"/>
  <c r="P30" i="11"/>
  <c r="AA30" i="11" s="1"/>
  <c r="L30" i="12"/>
  <c r="P30" i="12" s="1"/>
  <c r="L30" i="13"/>
  <c r="P30" i="13" s="1"/>
  <c r="P40" i="11"/>
  <c r="AA40" i="11" s="1"/>
  <c r="L40" i="12"/>
  <c r="P40" i="12" s="1"/>
  <c r="L40" i="13"/>
  <c r="P40" i="13" s="1"/>
  <c r="P34" i="11"/>
  <c r="AA34" i="11" s="1"/>
  <c r="L34" i="12"/>
  <c r="P34" i="12" s="1"/>
  <c r="L34" i="13"/>
  <c r="P34" i="13" s="1"/>
  <c r="P23" i="11"/>
  <c r="AA23" i="11" s="1"/>
  <c r="L23" i="12"/>
  <c r="P23" i="12" s="1"/>
  <c r="L23" i="13"/>
  <c r="P23" i="13" s="1"/>
  <c r="P21" i="11"/>
  <c r="AA21" i="11" s="1"/>
  <c r="L21" i="12"/>
  <c r="P21" i="12" s="1"/>
  <c r="L21" i="13"/>
  <c r="P21" i="13" s="1"/>
  <c r="P47" i="11"/>
  <c r="AA47" i="11" s="1"/>
  <c r="L47" i="12"/>
  <c r="P47" i="12" s="1"/>
  <c r="L47" i="13"/>
  <c r="P47" i="13" s="1"/>
  <c r="P28" i="11"/>
  <c r="AA28" i="11" s="1"/>
  <c r="L28" i="12"/>
  <c r="P28" i="12" s="1"/>
  <c r="L28" i="13"/>
  <c r="P28" i="13" s="1"/>
  <c r="P7" i="11"/>
  <c r="AA7" i="11" s="1"/>
  <c r="L7" i="12"/>
  <c r="P7" i="12" s="1"/>
  <c r="L7" i="13"/>
  <c r="P7" i="13" s="1"/>
  <c r="P18" i="11"/>
  <c r="AA18" i="11" s="1"/>
  <c r="L18" i="12"/>
  <c r="P18" i="12" s="1"/>
  <c r="L18" i="13"/>
  <c r="P18" i="13" s="1"/>
  <c r="P17" i="11"/>
  <c r="AA17" i="11" s="1"/>
  <c r="L17" i="12"/>
  <c r="P17" i="12" s="1"/>
  <c r="L17" i="13"/>
  <c r="P17" i="13" s="1"/>
  <c r="P13" i="11"/>
  <c r="AA13" i="11" s="1"/>
  <c r="L13" i="12"/>
  <c r="P13" i="12" s="1"/>
  <c r="L13" i="13"/>
  <c r="P13" i="13" s="1"/>
  <c r="AA55" i="13"/>
  <c r="AA55" i="12"/>
  <c r="AA55" i="11"/>
  <c r="AA55" i="10"/>
  <c r="P44" i="11"/>
  <c r="AA44" i="11" s="1"/>
  <c r="L44" i="12"/>
  <c r="P44" i="12" s="1"/>
  <c r="L44" i="13"/>
  <c r="P44" i="13" s="1"/>
  <c r="P42" i="11"/>
  <c r="AA42" i="11" s="1"/>
  <c r="L42" i="12"/>
  <c r="P42" i="12" s="1"/>
  <c r="L42" i="13"/>
  <c r="P42" i="13" s="1"/>
  <c r="P39" i="11"/>
  <c r="AA39" i="11" s="1"/>
  <c r="L39" i="12"/>
  <c r="P39" i="12" s="1"/>
  <c r="L39" i="13"/>
  <c r="P39" i="13" s="1"/>
  <c r="P49" i="11"/>
  <c r="AA49" i="11" s="1"/>
  <c r="L49" i="12"/>
  <c r="P49" i="12" s="1"/>
  <c r="L49" i="13"/>
  <c r="P49" i="13" s="1"/>
  <c r="P35" i="11"/>
  <c r="AA35" i="11" s="1"/>
  <c r="L35" i="12"/>
  <c r="P35" i="12" s="1"/>
  <c r="L35" i="13"/>
  <c r="P35" i="13" s="1"/>
  <c r="P45" i="11"/>
  <c r="AA45" i="11" s="1"/>
  <c r="L45" i="12"/>
  <c r="P45" i="12" s="1"/>
  <c r="L45" i="13"/>
  <c r="P45" i="13" s="1"/>
  <c r="P31" i="11"/>
  <c r="AA31" i="11" s="1"/>
  <c r="L31" i="12"/>
  <c r="P31" i="12" s="1"/>
  <c r="L31" i="13"/>
  <c r="P31" i="13" s="1"/>
  <c r="P6" i="11"/>
  <c r="AA6" i="11" s="1"/>
  <c r="L6" i="12"/>
  <c r="P6" i="12" s="1"/>
  <c r="L6" i="13"/>
  <c r="P6" i="13" s="1"/>
  <c r="P9" i="11"/>
  <c r="AA9" i="11" s="1"/>
  <c r="L9" i="12"/>
  <c r="P9" i="12" s="1"/>
  <c r="L9" i="13"/>
  <c r="P9" i="13" s="1"/>
  <c r="P19" i="11"/>
  <c r="AA19" i="11" s="1"/>
  <c r="L19" i="12"/>
  <c r="P19" i="12" s="1"/>
  <c r="L19" i="13"/>
  <c r="P19" i="13" s="1"/>
  <c r="P12" i="11"/>
  <c r="AA12" i="11" s="1"/>
  <c r="L12" i="12"/>
  <c r="P12" i="12" s="1"/>
  <c r="L12" i="13"/>
  <c r="P12" i="13" s="1"/>
  <c r="E42" i="5"/>
  <c r="W54" i="13"/>
  <c r="W54" i="12"/>
  <c r="W54" i="11"/>
  <c r="W57" i="11" s="1"/>
  <c r="W54" i="10"/>
  <c r="AE90" i="9"/>
  <c r="AE90" i="8"/>
  <c r="AO89" i="8" s="1"/>
  <c r="AE90" i="7"/>
  <c r="P43" i="11"/>
  <c r="AA43" i="11" s="1"/>
  <c r="L43" i="12"/>
  <c r="P43" i="12" s="1"/>
  <c r="L43" i="13"/>
  <c r="P43" i="13" s="1"/>
  <c r="P37" i="11"/>
  <c r="AA37" i="11" s="1"/>
  <c r="L37" i="12"/>
  <c r="P37" i="12" s="1"/>
  <c r="L37" i="13"/>
  <c r="P37" i="13" s="1"/>
  <c r="P22" i="11"/>
  <c r="AA22" i="11" s="1"/>
  <c r="L22" i="12"/>
  <c r="P22" i="12" s="1"/>
  <c r="L22" i="13"/>
  <c r="P22" i="13" s="1"/>
  <c r="P33" i="11"/>
  <c r="AA33" i="11" s="1"/>
  <c r="L33" i="12"/>
  <c r="P33" i="12" s="1"/>
  <c r="L33" i="13"/>
  <c r="P33" i="13" s="1"/>
  <c r="P46" i="11"/>
  <c r="AA46" i="11" s="1"/>
  <c r="L46" i="12"/>
  <c r="P46" i="12" s="1"/>
  <c r="L46" i="13"/>
  <c r="P46" i="13" s="1"/>
  <c r="P29" i="11"/>
  <c r="AA29" i="11" s="1"/>
  <c r="L29" i="12"/>
  <c r="P29" i="12" s="1"/>
  <c r="L29" i="13"/>
  <c r="P29" i="13" s="1"/>
  <c r="P38" i="11"/>
  <c r="AA38" i="11" s="1"/>
  <c r="L38" i="12"/>
  <c r="P38" i="12" s="1"/>
  <c r="L38" i="13"/>
  <c r="P38" i="13" s="1"/>
  <c r="P8" i="11"/>
  <c r="AA8" i="11" s="1"/>
  <c r="L8" i="12"/>
  <c r="P8" i="12" s="1"/>
  <c r="L8" i="13"/>
  <c r="P8" i="13" s="1"/>
  <c r="P10" i="11"/>
  <c r="AA10" i="11" s="1"/>
  <c r="L10" i="12"/>
  <c r="P10" i="12" s="1"/>
  <c r="L10" i="13"/>
  <c r="P10" i="13" s="1"/>
  <c r="P24" i="11"/>
  <c r="AA24" i="11" s="1"/>
  <c r="L24" i="12"/>
  <c r="P24" i="12" s="1"/>
  <c r="L24" i="13"/>
  <c r="P24" i="13" s="1"/>
  <c r="P14" i="11"/>
  <c r="AA14" i="11" s="1"/>
  <c r="L14" i="12"/>
  <c r="P14" i="12" s="1"/>
  <c r="L14" i="13"/>
  <c r="P14" i="13" s="1"/>
  <c r="E23" i="5"/>
  <c r="E29" i="5" s="1"/>
  <c r="AE92" i="6"/>
  <c r="L14" i="31" l="1"/>
  <c r="J15" i="31"/>
  <c r="J14" i="31"/>
  <c r="H15" i="31"/>
  <c r="H14" i="31"/>
  <c r="L56" i="9"/>
  <c r="M39" i="9"/>
  <c r="M5" i="9"/>
  <c r="M88" i="7"/>
  <c r="M93" i="7" s="1"/>
  <c r="M20" i="8" s="1"/>
  <c r="M20" i="29" s="1"/>
  <c r="M107" i="29" s="1"/>
  <c r="M40" i="9"/>
  <c r="M20" i="9"/>
  <c r="M50" i="9"/>
  <c r="L74" i="9"/>
  <c r="L31" i="9"/>
  <c r="L10" i="9"/>
  <c r="L6" i="9"/>
  <c r="L39" i="9"/>
  <c r="L27" i="9"/>
  <c r="L27" i="30"/>
  <c r="L78" i="30" s="1"/>
  <c r="L37" i="30"/>
  <c r="L88" i="30" s="1"/>
  <c r="M67" i="9"/>
  <c r="I14" i="32"/>
  <c r="I15" i="32"/>
  <c r="F14" i="32"/>
  <c r="F15" i="32"/>
  <c r="L64" i="9"/>
  <c r="O88" i="8"/>
  <c r="O5" i="29"/>
  <c r="O92" i="29" s="1"/>
  <c r="L33" i="9"/>
  <c r="L21" i="9"/>
  <c r="L9" i="30"/>
  <c r="L60" i="30" s="1"/>
  <c r="L35" i="30"/>
  <c r="L86" i="30" s="1"/>
  <c r="L44" i="30"/>
  <c r="L95" i="30" s="1"/>
  <c r="L15" i="30"/>
  <c r="L66" i="30" s="1"/>
  <c r="L41" i="30"/>
  <c r="L92" i="30" s="1"/>
  <c r="L22" i="30"/>
  <c r="L73" i="30" s="1"/>
  <c r="L44" i="9"/>
  <c r="M65" i="29"/>
  <c r="M152" i="29" s="1"/>
  <c r="M65" i="8"/>
  <c r="M65" i="9"/>
  <c r="L66" i="9"/>
  <c r="L17" i="30"/>
  <c r="L68" i="30" s="1"/>
  <c r="L47" i="30"/>
  <c r="L98" i="30" s="1"/>
  <c r="L40" i="30"/>
  <c r="L91" i="30" s="1"/>
  <c r="V56" i="9"/>
  <c r="AB56" i="9" s="1"/>
  <c r="AB56" i="7"/>
  <c r="V68" i="9"/>
  <c r="AB68" i="9" s="1"/>
  <c r="AB68" i="7"/>
  <c r="V30" i="9"/>
  <c r="AB30" i="9" s="1"/>
  <c r="AB30" i="7"/>
  <c r="V9" i="9"/>
  <c r="AB9" i="9" s="1"/>
  <c r="AB9" i="7"/>
  <c r="V50" i="9"/>
  <c r="AB50" i="9" s="1"/>
  <c r="AB50" i="7"/>
  <c r="V76" i="9"/>
  <c r="AB76" i="9" s="1"/>
  <c r="AB76" i="7"/>
  <c r="V5" i="9"/>
  <c r="V88" i="7"/>
  <c r="V93" i="7" s="1"/>
  <c r="AB5" i="7"/>
  <c r="V32" i="9"/>
  <c r="AB32" i="9" s="1"/>
  <c r="V32" i="8"/>
  <c r="AB32" i="8" s="1"/>
  <c r="AB32" i="7"/>
  <c r="V17" i="9"/>
  <c r="AB17" i="9" s="1"/>
  <c r="V17" i="8"/>
  <c r="AB17" i="8" s="1"/>
  <c r="AB17" i="7"/>
  <c r="V53" i="9"/>
  <c r="AB53" i="9" s="1"/>
  <c r="V53" i="8"/>
  <c r="AB53" i="8" s="1"/>
  <c r="AB53" i="7"/>
  <c r="V59" i="8"/>
  <c r="AB59" i="8" s="1"/>
  <c r="V59" i="9"/>
  <c r="AB59" i="9" s="1"/>
  <c r="AB59" i="7"/>
  <c r="V6" i="9"/>
  <c r="AB6" i="9" s="1"/>
  <c r="V6" i="8"/>
  <c r="AB6" i="8" s="1"/>
  <c r="AB6" i="7"/>
  <c r="V34" i="8"/>
  <c r="AB34" i="8" s="1"/>
  <c r="V34" i="9"/>
  <c r="AB34" i="9" s="1"/>
  <c r="AB34" i="7"/>
  <c r="V19" i="9"/>
  <c r="AB19" i="9" s="1"/>
  <c r="V19" i="8"/>
  <c r="AB19" i="8" s="1"/>
  <c r="AB19" i="7"/>
  <c r="V83" i="9"/>
  <c r="AB83" i="9" s="1"/>
  <c r="V83" i="8"/>
  <c r="AB83" i="8" s="1"/>
  <c r="AB83" i="7"/>
  <c r="V75" i="9"/>
  <c r="AB75" i="9" s="1"/>
  <c r="V75" i="8"/>
  <c r="AB75" i="8" s="1"/>
  <c r="AB75" i="7"/>
  <c r="V11" i="9"/>
  <c r="AB11" i="9" s="1"/>
  <c r="V11" i="8"/>
  <c r="AB11" i="8" s="1"/>
  <c r="AB11" i="7"/>
  <c r="V36" i="9"/>
  <c r="AB36" i="9" s="1"/>
  <c r="V36" i="8"/>
  <c r="AB36" i="8" s="1"/>
  <c r="AB36" i="7"/>
  <c r="V21" i="9"/>
  <c r="AB21" i="9" s="1"/>
  <c r="V21" i="8"/>
  <c r="AB21" i="8" s="1"/>
  <c r="AB21" i="7"/>
  <c r="L11" i="30"/>
  <c r="L62" i="30" s="1"/>
  <c r="L20" i="30"/>
  <c r="L71" i="30" s="1"/>
  <c r="L43" i="30"/>
  <c r="L94" i="30" s="1"/>
  <c r="J7" i="31"/>
  <c r="J13" i="31" s="1"/>
  <c r="H11" i="31"/>
  <c r="F14" i="31"/>
  <c r="M11" i="9"/>
  <c r="M11" i="8"/>
  <c r="M11" i="29" s="1"/>
  <c r="M98" i="29" s="1"/>
  <c r="M27" i="29"/>
  <c r="M114" i="29" s="1"/>
  <c r="M27" i="9"/>
  <c r="M27" i="8"/>
  <c r="M9" i="29"/>
  <c r="M96" i="29" s="1"/>
  <c r="M9" i="8"/>
  <c r="M9" i="9"/>
  <c r="M10" i="8"/>
  <c r="M10" i="29" s="1"/>
  <c r="M97" i="29" s="1"/>
  <c r="M10" i="9"/>
  <c r="M28" i="8"/>
  <c r="M28" i="29" s="1"/>
  <c r="M115" i="29" s="1"/>
  <c r="M28" i="9"/>
  <c r="L16" i="9"/>
  <c r="L48" i="9"/>
  <c r="L19" i="9"/>
  <c r="L28" i="9"/>
  <c r="L11" i="9"/>
  <c r="L43" i="9"/>
  <c r="E14" i="32"/>
  <c r="E15" i="32"/>
  <c r="L14" i="30"/>
  <c r="L65" i="30" s="1"/>
  <c r="O9" i="31"/>
  <c r="O7" i="31"/>
  <c r="O13" i="31" s="1"/>
  <c r="O11" i="31"/>
  <c r="L30" i="9"/>
  <c r="M86" i="9"/>
  <c r="M86" i="8"/>
  <c r="M86" i="29" s="1"/>
  <c r="M173" i="29" s="1"/>
  <c r="L80" i="9"/>
  <c r="L6" i="30"/>
  <c r="L57" i="30" s="1"/>
  <c r="B7" i="32" s="1"/>
  <c r="B13" i="32" s="1"/>
  <c r="L49" i="30"/>
  <c r="L100" i="30" s="1"/>
  <c r="M36" i="9"/>
  <c r="M36" i="8"/>
  <c r="M36" i="29" s="1"/>
  <c r="M123" i="29" s="1"/>
  <c r="M52" i="9"/>
  <c r="M52" i="8"/>
  <c r="M52" i="29" s="1"/>
  <c r="M139" i="29" s="1"/>
  <c r="M29" i="8"/>
  <c r="M29" i="29" s="1"/>
  <c r="M116" i="29" s="1"/>
  <c r="M29" i="9"/>
  <c r="T9" i="31"/>
  <c r="T7" i="31"/>
  <c r="T13" i="31" s="1"/>
  <c r="T11" i="31"/>
  <c r="L18" i="30"/>
  <c r="L69" i="30" s="1"/>
  <c r="L21" i="30"/>
  <c r="L72" i="30" s="1"/>
  <c r="L30" i="30"/>
  <c r="L81" i="30" s="1"/>
  <c r="V67" i="9"/>
  <c r="AB67" i="9" s="1"/>
  <c r="V67" i="8"/>
  <c r="AB67" i="8" s="1"/>
  <c r="AB67" i="7"/>
  <c r="V58" i="9"/>
  <c r="AB58" i="9" s="1"/>
  <c r="V58" i="8"/>
  <c r="AB58" i="8" s="1"/>
  <c r="AB58" i="7"/>
  <c r="V16" i="9"/>
  <c r="AB16" i="9" s="1"/>
  <c r="V16" i="8"/>
  <c r="AB16" i="8" s="1"/>
  <c r="AB16" i="7"/>
  <c r="V38" i="9"/>
  <c r="AB38" i="9" s="1"/>
  <c r="V38" i="8"/>
  <c r="AB38" i="8" s="1"/>
  <c r="AB38" i="7"/>
  <c r="V23" i="9"/>
  <c r="AB23" i="9" s="1"/>
  <c r="V23" i="8"/>
  <c r="AB23" i="8" s="1"/>
  <c r="AB23" i="7"/>
  <c r="V57" i="9"/>
  <c r="AB57" i="9" s="1"/>
  <c r="V57" i="8"/>
  <c r="AB57" i="8" s="1"/>
  <c r="AB57" i="7"/>
  <c r="V74" i="9"/>
  <c r="AB74" i="9" s="1"/>
  <c r="V74" i="8"/>
  <c r="AB74" i="8" s="1"/>
  <c r="AB74" i="7"/>
  <c r="V45" i="9"/>
  <c r="AB45" i="9" s="1"/>
  <c r="V45" i="8"/>
  <c r="AB45" i="8" s="1"/>
  <c r="AB45" i="7"/>
  <c r="V40" i="9"/>
  <c r="AB40" i="9" s="1"/>
  <c r="V40" i="8"/>
  <c r="AB40" i="8" s="1"/>
  <c r="AB40" i="7"/>
  <c r="V25" i="9"/>
  <c r="AB25" i="9" s="1"/>
  <c r="V25" i="8"/>
  <c r="AB25" i="8" s="1"/>
  <c r="AB25" i="7"/>
  <c r="V78" i="9"/>
  <c r="AB78" i="9" s="1"/>
  <c r="V78" i="8"/>
  <c r="AB78" i="8" s="1"/>
  <c r="AB78" i="7"/>
  <c r="V62" i="8"/>
  <c r="AB62" i="8" s="1"/>
  <c r="V62" i="9"/>
  <c r="AB62" i="9" s="1"/>
  <c r="AB62" i="7"/>
  <c r="V52" i="9"/>
  <c r="AB52" i="9" s="1"/>
  <c r="V52" i="8"/>
  <c r="AB52" i="8" s="1"/>
  <c r="AB52" i="7"/>
  <c r="V42" i="9"/>
  <c r="AB42" i="9" s="1"/>
  <c r="V42" i="8"/>
  <c r="AB42" i="8" s="1"/>
  <c r="AB42" i="7"/>
  <c r="V27" i="9"/>
  <c r="AB27" i="9" s="1"/>
  <c r="V27" i="8"/>
  <c r="AB27" i="8" s="1"/>
  <c r="AB27" i="7"/>
  <c r="V77" i="9"/>
  <c r="AB77" i="9" s="1"/>
  <c r="V77" i="8"/>
  <c r="AB77" i="8" s="1"/>
  <c r="AB77" i="7"/>
  <c r="V85" i="9"/>
  <c r="AB85" i="9" s="1"/>
  <c r="V85" i="8"/>
  <c r="AB85" i="8" s="1"/>
  <c r="AB85" i="7"/>
  <c r="V55" i="9"/>
  <c r="AB55" i="9" s="1"/>
  <c r="V55" i="8"/>
  <c r="AB55" i="8" s="1"/>
  <c r="AB55" i="7"/>
  <c r="V44" i="9"/>
  <c r="AB44" i="9" s="1"/>
  <c r="V44" i="8"/>
  <c r="AB44" i="8" s="1"/>
  <c r="AB44" i="7"/>
  <c r="V29" i="9"/>
  <c r="AB29" i="9" s="1"/>
  <c r="V29" i="8"/>
  <c r="AB29" i="8" s="1"/>
  <c r="AB29" i="7"/>
  <c r="L16" i="30"/>
  <c r="L67" i="30" s="1"/>
  <c r="L24" i="30"/>
  <c r="L75" i="30" s="1"/>
  <c r="J11" i="31"/>
  <c r="H7" i="31"/>
  <c r="H13" i="31" s="1"/>
  <c r="M26" i="9"/>
  <c r="M26" i="8"/>
  <c r="M26" i="29" s="1"/>
  <c r="M113" i="29" s="1"/>
  <c r="M54" i="8"/>
  <c r="M54" i="29" s="1"/>
  <c r="M141" i="29" s="1"/>
  <c r="M54" i="9"/>
  <c r="M6" i="9"/>
  <c r="M6" i="8"/>
  <c r="M6" i="29" s="1"/>
  <c r="M93" i="29" s="1"/>
  <c r="M32" i="29"/>
  <c r="M119" i="29" s="1"/>
  <c r="M32" i="9"/>
  <c r="M32" i="8"/>
  <c r="M43" i="29"/>
  <c r="M130" i="29" s="1"/>
  <c r="M43" i="9"/>
  <c r="M43" i="8"/>
  <c r="M31" i="8"/>
  <c r="M31" i="29" s="1"/>
  <c r="M118" i="29" s="1"/>
  <c r="M31" i="9"/>
  <c r="M19" i="9"/>
  <c r="M19" i="8"/>
  <c r="M19" i="29" s="1"/>
  <c r="M106" i="29" s="1"/>
  <c r="M15" i="29"/>
  <c r="M102" i="29" s="1"/>
  <c r="M15" i="9"/>
  <c r="M15" i="8"/>
  <c r="L40" i="9"/>
  <c r="L5" i="9"/>
  <c r="L5" i="8"/>
  <c r="L88" i="7"/>
  <c r="L93" i="7" s="1"/>
  <c r="L37" i="9"/>
  <c r="L37" i="8"/>
  <c r="L37" i="29" s="1"/>
  <c r="L124" i="29" s="1"/>
  <c r="L15" i="9"/>
  <c r="L15" i="8"/>
  <c r="L15" i="29" s="1"/>
  <c r="L102" i="29" s="1"/>
  <c r="L32" i="29"/>
  <c r="L119" i="29" s="1"/>
  <c r="L32" i="9"/>
  <c r="L32" i="8"/>
  <c r="L8" i="30"/>
  <c r="L59" i="30" s="1"/>
  <c r="M60" i="9"/>
  <c r="M60" i="8"/>
  <c r="M60" i="29" s="1"/>
  <c r="M147" i="29" s="1"/>
  <c r="Q88" i="8"/>
  <c r="Q5" i="29"/>
  <c r="Q92" i="29" s="1"/>
  <c r="L67" i="9"/>
  <c r="L67" i="8"/>
  <c r="L67" i="29" s="1"/>
  <c r="L154" i="29" s="1"/>
  <c r="AI88" i="8"/>
  <c r="AE5" i="29"/>
  <c r="AE92" i="29" s="1"/>
  <c r="H15" i="32"/>
  <c r="H14" i="32"/>
  <c r="G15" i="32"/>
  <c r="G14" i="32"/>
  <c r="L12" i="30"/>
  <c r="L63" i="30" s="1"/>
  <c r="L31" i="30"/>
  <c r="L82" i="30" s="1"/>
  <c r="L39" i="30"/>
  <c r="L90" i="30" s="1"/>
  <c r="L48" i="30"/>
  <c r="L99" i="30" s="1"/>
  <c r="L10" i="30"/>
  <c r="L61" i="30" s="1"/>
  <c r="M71" i="9"/>
  <c r="M71" i="8"/>
  <c r="M71" i="29" s="1"/>
  <c r="M158" i="29" s="1"/>
  <c r="L52" i="9"/>
  <c r="L52" i="8"/>
  <c r="L52" i="29" s="1"/>
  <c r="L139" i="29" s="1"/>
  <c r="L7" i="30"/>
  <c r="L58" i="30" s="1"/>
  <c r="L23" i="30"/>
  <c r="L74" i="30" s="1"/>
  <c r="L25" i="30"/>
  <c r="L76" i="30" s="1"/>
  <c r="V61" i="9"/>
  <c r="AB61" i="9" s="1"/>
  <c r="V61" i="8"/>
  <c r="AB61" i="8" s="1"/>
  <c r="AB61" i="7"/>
  <c r="V69" i="9"/>
  <c r="AB69" i="9" s="1"/>
  <c r="V69" i="8"/>
  <c r="AB69" i="8" s="1"/>
  <c r="AB69" i="7"/>
  <c r="V60" i="9"/>
  <c r="AB60" i="9" s="1"/>
  <c r="V60" i="8"/>
  <c r="AB60" i="8" s="1"/>
  <c r="AB60" i="7"/>
  <c r="V47" i="9"/>
  <c r="AB47" i="9" s="1"/>
  <c r="V47" i="8"/>
  <c r="AB47" i="8" s="1"/>
  <c r="AB47" i="7"/>
  <c r="V31" i="9"/>
  <c r="AB31" i="9" s="1"/>
  <c r="V31" i="8"/>
  <c r="AB31" i="8" s="1"/>
  <c r="AB31" i="7"/>
  <c r="V80" i="9"/>
  <c r="AB80" i="9" s="1"/>
  <c r="V80" i="8"/>
  <c r="AB80" i="8" s="1"/>
  <c r="AB80" i="7"/>
  <c r="V72" i="9"/>
  <c r="AB72" i="9" s="1"/>
  <c r="V72" i="8"/>
  <c r="AB72" i="8" s="1"/>
  <c r="AB72" i="7"/>
  <c r="V8" i="9"/>
  <c r="AB8" i="9" s="1"/>
  <c r="V8" i="8"/>
  <c r="AB8" i="8" s="1"/>
  <c r="AB8" i="7"/>
  <c r="V49" i="9"/>
  <c r="AB49" i="9" s="1"/>
  <c r="V49" i="8"/>
  <c r="AB49" i="8" s="1"/>
  <c r="AB49" i="7"/>
  <c r="V33" i="9"/>
  <c r="AB33" i="9" s="1"/>
  <c r="V33" i="8"/>
  <c r="AB33" i="8" s="1"/>
  <c r="AB33" i="7"/>
  <c r="V64" i="8"/>
  <c r="AB64" i="8" s="1"/>
  <c r="V64" i="9"/>
  <c r="AB64" i="9" s="1"/>
  <c r="AB64" i="7"/>
  <c r="V71" i="9"/>
  <c r="AB71" i="9" s="1"/>
  <c r="V71" i="8"/>
  <c r="AB71" i="8" s="1"/>
  <c r="AB71" i="7"/>
  <c r="V18" i="8"/>
  <c r="AB18" i="8" s="1"/>
  <c r="V18" i="9"/>
  <c r="AB18" i="9" s="1"/>
  <c r="AB18" i="7"/>
  <c r="V54" i="8"/>
  <c r="AB54" i="8" s="1"/>
  <c r="V54" i="9"/>
  <c r="AB54" i="9" s="1"/>
  <c r="AB54" i="7"/>
  <c r="V35" i="8"/>
  <c r="AB35" i="8" s="1"/>
  <c r="V35" i="9"/>
  <c r="AB35" i="9" s="1"/>
  <c r="AB35" i="7"/>
  <c r="V79" i="9"/>
  <c r="AB79" i="9" s="1"/>
  <c r="V79" i="8"/>
  <c r="AB79" i="8" s="1"/>
  <c r="AB79" i="7"/>
  <c r="V66" i="9"/>
  <c r="AB66" i="9" s="1"/>
  <c r="AB66" i="7"/>
  <c r="V20" i="9"/>
  <c r="AB20" i="9" s="1"/>
  <c r="V20" i="8"/>
  <c r="AB20" i="8" s="1"/>
  <c r="AB20" i="7"/>
  <c r="V7" i="9"/>
  <c r="AB7" i="9" s="1"/>
  <c r="V7" i="8"/>
  <c r="AB7" i="8" s="1"/>
  <c r="AB7" i="7"/>
  <c r="V37" i="9"/>
  <c r="AB37" i="9" s="1"/>
  <c r="V37" i="8"/>
  <c r="AB37" i="8" s="1"/>
  <c r="AB37" i="7"/>
  <c r="L50" i="30"/>
  <c r="L101" i="30" s="1"/>
  <c r="L38" i="30"/>
  <c r="L89" i="30" s="1"/>
  <c r="M25" i="9"/>
  <c r="M25" i="8"/>
  <c r="M25" i="29" s="1"/>
  <c r="M112" i="29" s="1"/>
  <c r="M51" i="9"/>
  <c r="M51" i="8"/>
  <c r="M51" i="29" s="1"/>
  <c r="M138" i="29" s="1"/>
  <c r="M16" i="29"/>
  <c r="M103" i="29" s="1"/>
  <c r="M16" i="9"/>
  <c r="M16" i="8"/>
  <c r="M48" i="8"/>
  <c r="M48" i="29" s="1"/>
  <c r="M135" i="29" s="1"/>
  <c r="M48" i="9"/>
  <c r="M37" i="8"/>
  <c r="M37" i="29" s="1"/>
  <c r="M124" i="29" s="1"/>
  <c r="M37" i="9"/>
  <c r="M66" i="9"/>
  <c r="M66" i="8"/>
  <c r="M66" i="29" s="1"/>
  <c r="M153" i="29" s="1"/>
  <c r="L9" i="29"/>
  <c r="L96" i="29" s="1"/>
  <c r="L9" i="9"/>
  <c r="L9" i="8"/>
  <c r="L20" i="9"/>
  <c r="L20" i="29" s="1"/>
  <c r="L107" i="29" s="1"/>
  <c r="L20" i="8"/>
  <c r="L50" i="9"/>
  <c r="L50" i="8"/>
  <c r="L50" i="29" s="1"/>
  <c r="L137" i="29" s="1"/>
  <c r="L25" i="9"/>
  <c r="L25" i="8"/>
  <c r="L25" i="29" s="1"/>
  <c r="L112" i="29" s="1"/>
  <c r="L51" i="29"/>
  <c r="L138" i="29" s="1"/>
  <c r="L51" i="9"/>
  <c r="L51" i="8"/>
  <c r="Q9" i="31"/>
  <c r="Q7" i="31"/>
  <c r="Q13" i="31" s="1"/>
  <c r="Q11" i="31"/>
  <c r="L32" i="30"/>
  <c r="L83" i="30" s="1"/>
  <c r="L46" i="30"/>
  <c r="L97" i="30" s="1"/>
  <c r="M69" i="9"/>
  <c r="M69" i="8"/>
  <c r="M69" i="29" s="1"/>
  <c r="M156" i="29" s="1"/>
  <c r="C14" i="32"/>
  <c r="C15" i="32"/>
  <c r="R88" i="8"/>
  <c r="S93" i="8" s="1"/>
  <c r="L77" i="29"/>
  <c r="L164" i="29" s="1"/>
  <c r="L77" i="9"/>
  <c r="L77" i="8"/>
  <c r="M74" i="29"/>
  <c r="M161" i="29" s="1"/>
  <c r="M74" i="9"/>
  <c r="M74" i="8"/>
  <c r="L26" i="29"/>
  <c r="L113" i="29" s="1"/>
  <c r="L26" i="9"/>
  <c r="L26" i="8"/>
  <c r="Y88" i="9"/>
  <c r="X5" i="29"/>
  <c r="X92" i="29" s="1"/>
  <c r="L19" i="30"/>
  <c r="L70" i="30" s="1"/>
  <c r="L45" i="30"/>
  <c r="L96" i="30" s="1"/>
  <c r="L42" i="30"/>
  <c r="L93" i="30" s="1"/>
  <c r="L26" i="30"/>
  <c r="L77" i="30" s="1"/>
  <c r="L29" i="30"/>
  <c r="L80" i="30" s="1"/>
  <c r="M62" i="29"/>
  <c r="M149" i="29" s="1"/>
  <c r="M62" i="9"/>
  <c r="M62" i="8"/>
  <c r="P9" i="31"/>
  <c r="P7" i="31"/>
  <c r="P13" i="31" s="1"/>
  <c r="P11" i="31"/>
  <c r="L13" i="30"/>
  <c r="L64" i="30" s="1"/>
  <c r="L28" i="30"/>
  <c r="L79" i="30" s="1"/>
  <c r="L34" i="30"/>
  <c r="L85" i="30" s="1"/>
  <c r="S88" i="8"/>
  <c r="V63" i="9"/>
  <c r="AB63" i="9" s="1"/>
  <c r="V63" i="8"/>
  <c r="AB63" i="8" s="1"/>
  <c r="AB63" i="7"/>
  <c r="V86" i="9"/>
  <c r="AB86" i="9" s="1"/>
  <c r="V86" i="8"/>
  <c r="AB86" i="8" s="1"/>
  <c r="AB86" i="7"/>
  <c r="V22" i="9"/>
  <c r="AB22" i="9" s="1"/>
  <c r="V22" i="8"/>
  <c r="AB22" i="8" s="1"/>
  <c r="AB22" i="7"/>
  <c r="V10" i="9"/>
  <c r="AB10" i="9" s="1"/>
  <c r="V10" i="8"/>
  <c r="AB10" i="8" s="1"/>
  <c r="AB10" i="7"/>
  <c r="V39" i="9"/>
  <c r="AB39" i="9" s="1"/>
  <c r="V39" i="8"/>
  <c r="AB39" i="8" s="1"/>
  <c r="AB39" i="7"/>
  <c r="V82" i="9"/>
  <c r="AB82" i="9" s="1"/>
  <c r="V82" i="8"/>
  <c r="AB82" i="8" s="1"/>
  <c r="AB82" i="7"/>
  <c r="V81" i="9"/>
  <c r="AB81" i="9" s="1"/>
  <c r="V81" i="8"/>
  <c r="AB81" i="8" s="1"/>
  <c r="AB81" i="7"/>
  <c r="V24" i="9"/>
  <c r="AB24" i="9" s="1"/>
  <c r="V24" i="8"/>
  <c r="AB24" i="8" s="1"/>
  <c r="AB24" i="7"/>
  <c r="V15" i="9"/>
  <c r="AB15" i="9" s="1"/>
  <c r="V15" i="8"/>
  <c r="AB15" i="8" s="1"/>
  <c r="AB15" i="7"/>
  <c r="V41" i="9"/>
  <c r="AB41" i="9" s="1"/>
  <c r="V41" i="8"/>
  <c r="AB41" i="8" s="1"/>
  <c r="AB41" i="7"/>
  <c r="V70" i="9"/>
  <c r="AB70" i="9" s="1"/>
  <c r="V70" i="8"/>
  <c r="AB70" i="8" s="1"/>
  <c r="AB70" i="7"/>
  <c r="V65" i="8"/>
  <c r="AB65" i="8" s="1"/>
  <c r="V65" i="9"/>
  <c r="AB65" i="9" s="1"/>
  <c r="AB65" i="7"/>
  <c r="V26" i="9"/>
  <c r="AB26" i="9" s="1"/>
  <c r="V26" i="8"/>
  <c r="AB26" i="8" s="1"/>
  <c r="AB26" i="7"/>
  <c r="V46" i="9"/>
  <c r="AB46" i="9" s="1"/>
  <c r="V46" i="8"/>
  <c r="AB46" i="8" s="1"/>
  <c r="AB46" i="7"/>
  <c r="V43" i="9"/>
  <c r="AB43" i="9" s="1"/>
  <c r="V43" i="8"/>
  <c r="AB43" i="8" s="1"/>
  <c r="AB43" i="7"/>
  <c r="V73" i="9"/>
  <c r="AB73" i="9" s="1"/>
  <c r="V73" i="8"/>
  <c r="AB73" i="8" s="1"/>
  <c r="AB73" i="7"/>
  <c r="V84" i="9"/>
  <c r="AB84" i="9" s="1"/>
  <c r="V84" i="8"/>
  <c r="AB84" i="8" s="1"/>
  <c r="AB84" i="7"/>
  <c r="V28" i="9"/>
  <c r="AB28" i="9" s="1"/>
  <c r="V28" i="8"/>
  <c r="AB28" i="8" s="1"/>
  <c r="AB28" i="7"/>
  <c r="V51" i="9"/>
  <c r="AB51" i="9" s="1"/>
  <c r="V51" i="8"/>
  <c r="AB51" i="8" s="1"/>
  <c r="AB51" i="7"/>
  <c r="V48" i="9"/>
  <c r="AB48" i="9" s="1"/>
  <c r="V48" i="8"/>
  <c r="AB48" i="8" s="1"/>
  <c r="AB48" i="7"/>
  <c r="L36" i="30"/>
  <c r="L87" i="30" s="1"/>
  <c r="L33" i="30"/>
  <c r="L84" i="30" s="1"/>
  <c r="D14" i="32"/>
  <c r="D15" i="32"/>
  <c r="AM92" i="6"/>
  <c r="AM90" i="9"/>
  <c r="AM90" i="8"/>
  <c r="AM90" i="7"/>
  <c r="W33" i="12"/>
  <c r="X33" i="12" s="1"/>
  <c r="W33" i="13"/>
  <c r="W12" i="12"/>
  <c r="X12" i="12" s="1"/>
  <c r="AA12" i="12" s="1"/>
  <c r="W12" i="13"/>
  <c r="W31" i="12"/>
  <c r="X31" i="12" s="1"/>
  <c r="W31" i="13"/>
  <c r="W39" i="12"/>
  <c r="X39" i="12" s="1"/>
  <c r="W39" i="13"/>
  <c r="W17" i="12"/>
  <c r="X17" i="12" s="1"/>
  <c r="W17" i="13"/>
  <c r="W47" i="12"/>
  <c r="X47" i="12" s="1"/>
  <c r="AA47" i="12" s="1"/>
  <c r="W47" i="13"/>
  <c r="W40" i="12"/>
  <c r="X40" i="12" s="1"/>
  <c r="W40" i="13"/>
  <c r="W15" i="12"/>
  <c r="X15" i="12" s="1"/>
  <c r="W15" i="13"/>
  <c r="W32" i="12"/>
  <c r="X32" i="12" s="1"/>
  <c r="W32" i="13"/>
  <c r="W27" i="12"/>
  <c r="X27" i="12" s="1"/>
  <c r="W27" i="13"/>
  <c r="W8" i="12"/>
  <c r="X8" i="12" s="1"/>
  <c r="W8" i="13"/>
  <c r="W10" i="12"/>
  <c r="X10" i="12" s="1"/>
  <c r="AA10" i="12" s="1"/>
  <c r="W10" i="13"/>
  <c r="W46" i="12"/>
  <c r="X46" i="12" s="1"/>
  <c r="AA46" i="12" s="1"/>
  <c r="W46" i="13"/>
  <c r="W43" i="12"/>
  <c r="X43" i="12" s="1"/>
  <c r="AA43" i="12" s="1"/>
  <c r="W43" i="13"/>
  <c r="E45" i="5"/>
  <c r="X54" i="13"/>
  <c r="X54" i="12"/>
  <c r="X54" i="11"/>
  <c r="X54" i="10"/>
  <c r="W6" i="12"/>
  <c r="X6" i="12" s="1"/>
  <c r="AA6" i="12" s="1"/>
  <c r="W6" i="13"/>
  <c r="T6" i="30" s="1"/>
  <c r="T57" i="30" s="1"/>
  <c r="W49" i="12"/>
  <c r="X49" i="12" s="1"/>
  <c r="AA49" i="12" s="1"/>
  <c r="W49" i="13"/>
  <c r="W13" i="12"/>
  <c r="X13" i="12" s="1"/>
  <c r="AA13" i="12" s="1"/>
  <c r="W13" i="13"/>
  <c r="T13" i="30" s="1"/>
  <c r="T64" i="30" s="1"/>
  <c r="W28" i="12"/>
  <c r="X28" i="12" s="1"/>
  <c r="AA28" i="12" s="1"/>
  <c r="W28" i="13"/>
  <c r="W34" i="12"/>
  <c r="X34" i="12" s="1"/>
  <c r="AA34" i="12" s="1"/>
  <c r="W34" i="13"/>
  <c r="T34" i="30" s="1"/>
  <c r="T85" i="30" s="1"/>
  <c r="W11" i="12"/>
  <c r="X11" i="12" s="1"/>
  <c r="AA11" i="12" s="1"/>
  <c r="W11" i="13"/>
  <c r="P5" i="13"/>
  <c r="L52" i="13"/>
  <c r="W48" i="12"/>
  <c r="X48" i="12" s="1"/>
  <c r="AA48" i="12" s="1"/>
  <c r="W48" i="13"/>
  <c r="W20" i="12"/>
  <c r="X20" i="12" s="1"/>
  <c r="AA20" i="12" s="1"/>
  <c r="W20" i="13"/>
  <c r="T20" i="30" s="1"/>
  <c r="T71" i="30" s="1"/>
  <c r="W29" i="12"/>
  <c r="X29" i="12" s="1"/>
  <c r="AA29" i="12" s="1"/>
  <c r="W29" i="13"/>
  <c r="W37" i="12"/>
  <c r="X37" i="12" s="1"/>
  <c r="AA37" i="12" s="1"/>
  <c r="W37" i="13"/>
  <c r="T37" i="30" s="1"/>
  <c r="T88" i="30" s="1"/>
  <c r="W9" i="12"/>
  <c r="X9" i="12" s="1"/>
  <c r="AA9" i="12" s="1"/>
  <c r="W9" i="13"/>
  <c r="W35" i="12"/>
  <c r="X35" i="12" s="1"/>
  <c r="AA35" i="12" s="1"/>
  <c r="W35" i="13"/>
  <c r="T35" i="30" s="1"/>
  <c r="T86" i="30" s="1"/>
  <c r="W44" i="12"/>
  <c r="X44" i="12" s="1"/>
  <c r="AA44" i="12" s="1"/>
  <c r="W44" i="13"/>
  <c r="W7" i="12"/>
  <c r="X7" i="12" s="1"/>
  <c r="AA7" i="12" s="1"/>
  <c r="W7" i="13"/>
  <c r="T7" i="30" s="1"/>
  <c r="T58" i="30" s="1"/>
  <c r="W23" i="12"/>
  <c r="X23" i="12" s="1"/>
  <c r="AA23" i="12" s="1"/>
  <c r="W23" i="13"/>
  <c r="W25" i="12"/>
  <c r="X25" i="12" s="1"/>
  <c r="AA25" i="12" s="1"/>
  <c r="W25" i="13"/>
  <c r="T25" i="30" s="1"/>
  <c r="T76" i="30" s="1"/>
  <c r="P5" i="12"/>
  <c r="L52" i="12"/>
  <c r="W50" i="12"/>
  <c r="X50" i="12" s="1"/>
  <c r="AA50" i="12" s="1"/>
  <c r="W50" i="13"/>
  <c r="T50" i="30" s="1"/>
  <c r="T101" i="30" s="1"/>
  <c r="W26" i="12"/>
  <c r="X26" i="12" s="1"/>
  <c r="AA26" i="12" s="1"/>
  <c r="W26" i="13"/>
  <c r="AG92" i="6"/>
  <c r="AG90" i="9"/>
  <c r="AG90" i="8"/>
  <c r="AG90" i="7"/>
  <c r="E46" i="5"/>
  <c r="F51" i="5" s="1"/>
  <c r="W24" i="12"/>
  <c r="X24" i="12" s="1"/>
  <c r="AA24" i="12" s="1"/>
  <c r="W24" i="13"/>
  <c r="T24" i="30" s="1"/>
  <c r="T75" i="30" s="1"/>
  <c r="W14" i="12"/>
  <c r="X14" i="12" s="1"/>
  <c r="AA14" i="12" s="1"/>
  <c r="W14" i="13"/>
  <c r="AA8" i="12"/>
  <c r="W38" i="12"/>
  <c r="X38" i="12" s="1"/>
  <c r="AA38" i="12" s="1"/>
  <c r="W38" i="13"/>
  <c r="AA33" i="12"/>
  <c r="W22" i="12"/>
  <c r="X22" i="12" s="1"/>
  <c r="AA22" i="12" s="1"/>
  <c r="W22" i="13"/>
  <c r="T22" i="30" s="1"/>
  <c r="T73" i="30" s="1"/>
  <c r="W19" i="12"/>
  <c r="X19" i="12" s="1"/>
  <c r="AA19" i="12" s="1"/>
  <c r="W19" i="13"/>
  <c r="T19" i="30" s="1"/>
  <c r="T70" i="30" s="1"/>
  <c r="AA31" i="12"/>
  <c r="W45" i="12"/>
  <c r="X45" i="12" s="1"/>
  <c r="AA45" i="12" s="1"/>
  <c r="W45" i="13"/>
  <c r="AA39" i="12"/>
  <c r="W42" i="12"/>
  <c r="X42" i="12" s="1"/>
  <c r="AA42" i="12" s="1"/>
  <c r="W42" i="13"/>
  <c r="AA17" i="12"/>
  <c r="W18" i="12"/>
  <c r="X18" i="12" s="1"/>
  <c r="AA18" i="12" s="1"/>
  <c r="W18" i="13"/>
  <c r="T18" i="30" s="1"/>
  <c r="T69" i="30" s="1"/>
  <c r="W21" i="12"/>
  <c r="X21" i="12" s="1"/>
  <c r="AA21" i="12" s="1"/>
  <c r="W21" i="13"/>
  <c r="T21" i="30" s="1"/>
  <c r="T72" i="30" s="1"/>
  <c r="AA40" i="12"/>
  <c r="W30" i="12"/>
  <c r="X30" i="12" s="1"/>
  <c r="AA30" i="12" s="1"/>
  <c r="W30" i="13"/>
  <c r="AA15" i="12"/>
  <c r="W16" i="12"/>
  <c r="X16" i="12" s="1"/>
  <c r="AA16" i="12" s="1"/>
  <c r="W16" i="13"/>
  <c r="P52" i="11"/>
  <c r="AA5" i="11"/>
  <c r="AA32" i="12"/>
  <c r="W36" i="12"/>
  <c r="X36" i="12" s="1"/>
  <c r="AA36" i="12" s="1"/>
  <c r="W36" i="13"/>
  <c r="AA27" i="12"/>
  <c r="W41" i="12"/>
  <c r="X41" i="12" s="1"/>
  <c r="AA41" i="12" s="1"/>
  <c r="W41" i="13"/>
  <c r="T41" i="30" l="1"/>
  <c r="T92" i="30" s="1"/>
  <c r="T16" i="30"/>
  <c r="T67" i="30" s="1"/>
  <c r="T42" i="30"/>
  <c r="T93" i="30" s="1"/>
  <c r="T38" i="30"/>
  <c r="T89" i="30" s="1"/>
  <c r="T26" i="30"/>
  <c r="T77" i="30" s="1"/>
  <c r="T23" i="30"/>
  <c r="T74" i="30" s="1"/>
  <c r="T44" i="30"/>
  <c r="T95" i="30" s="1"/>
  <c r="T9" i="30"/>
  <c r="T60" i="30" s="1"/>
  <c r="T29" i="30"/>
  <c r="T80" i="30" s="1"/>
  <c r="T48" i="30"/>
  <c r="T99" i="30" s="1"/>
  <c r="T11" i="30"/>
  <c r="T62" i="30" s="1"/>
  <c r="T28" i="30"/>
  <c r="T79" i="30" s="1"/>
  <c r="T49" i="30"/>
  <c r="T100" i="30" s="1"/>
  <c r="U48" i="29"/>
  <c r="U135" i="29" s="1"/>
  <c r="U51" i="29"/>
  <c r="U138" i="29" s="1"/>
  <c r="U28" i="29"/>
  <c r="U115" i="29" s="1"/>
  <c r="U84" i="29"/>
  <c r="U171" i="29" s="1"/>
  <c r="U73" i="29"/>
  <c r="U160" i="29" s="1"/>
  <c r="U43" i="29"/>
  <c r="U130" i="29" s="1"/>
  <c r="U46" i="29"/>
  <c r="U133" i="29" s="1"/>
  <c r="U26" i="29"/>
  <c r="U113" i="29" s="1"/>
  <c r="U65" i="29"/>
  <c r="U152" i="29" s="1"/>
  <c r="U70" i="29"/>
  <c r="U157" i="29" s="1"/>
  <c r="U41" i="29"/>
  <c r="U128" i="29" s="1"/>
  <c r="U15" i="29"/>
  <c r="U102" i="29" s="1"/>
  <c r="U24" i="29"/>
  <c r="U111" i="29" s="1"/>
  <c r="U81" i="29"/>
  <c r="U168" i="29" s="1"/>
  <c r="U82" i="29"/>
  <c r="U169" i="29" s="1"/>
  <c r="U39" i="29"/>
  <c r="U126" i="29" s="1"/>
  <c r="U10" i="29"/>
  <c r="U97" i="29" s="1"/>
  <c r="U22" i="29"/>
  <c r="U109" i="29" s="1"/>
  <c r="U86" i="29"/>
  <c r="U173" i="29" s="1"/>
  <c r="U63" i="29"/>
  <c r="U150" i="29" s="1"/>
  <c r="U37" i="29"/>
  <c r="U124" i="29" s="1"/>
  <c r="U7" i="29"/>
  <c r="U94" i="29" s="1"/>
  <c r="U20" i="29"/>
  <c r="U107" i="29" s="1"/>
  <c r="G7" i="31"/>
  <c r="G13" i="31" s="1"/>
  <c r="G11" i="31"/>
  <c r="G9" i="31"/>
  <c r="L14" i="8"/>
  <c r="L14" i="29" s="1"/>
  <c r="L101" i="29" s="1"/>
  <c r="L13" i="8"/>
  <c r="L13" i="29" s="1"/>
  <c r="L100" i="29" s="1"/>
  <c r="L12" i="8"/>
  <c r="L12" i="29" s="1"/>
  <c r="L99" i="29" s="1"/>
  <c r="L45" i="8"/>
  <c r="L45" i="29" s="1"/>
  <c r="L132" i="29" s="1"/>
  <c r="L62" i="8"/>
  <c r="L62" i="29" s="1"/>
  <c r="L149" i="29" s="1"/>
  <c r="L18" i="8"/>
  <c r="L18" i="29" s="1"/>
  <c r="L105" i="29" s="1"/>
  <c r="L69" i="8"/>
  <c r="L69" i="29" s="1"/>
  <c r="L156" i="29" s="1"/>
  <c r="L85" i="8"/>
  <c r="L85" i="29" s="1"/>
  <c r="L172" i="29" s="1"/>
  <c r="L59" i="8"/>
  <c r="L59" i="29" s="1"/>
  <c r="L146" i="29" s="1"/>
  <c r="L29" i="8"/>
  <c r="L29" i="29" s="1"/>
  <c r="L116" i="29" s="1"/>
  <c r="L7" i="8"/>
  <c r="L7" i="29" s="1"/>
  <c r="L94" i="29" s="1"/>
  <c r="L68" i="8"/>
  <c r="L68" i="29" s="1"/>
  <c r="L155" i="29" s="1"/>
  <c r="L58" i="8"/>
  <c r="L58" i="29" s="1"/>
  <c r="L145" i="29" s="1"/>
  <c r="L22" i="8"/>
  <c r="L22" i="29" s="1"/>
  <c r="L109" i="29" s="1"/>
  <c r="L83" i="8"/>
  <c r="L83" i="29" s="1"/>
  <c r="L170" i="29" s="1"/>
  <c r="L47" i="8"/>
  <c r="L47" i="29" s="1"/>
  <c r="L134" i="29" s="1"/>
  <c r="L57" i="8"/>
  <c r="L57" i="29" s="1"/>
  <c r="L144" i="29" s="1"/>
  <c r="L86" i="8"/>
  <c r="L86" i="29" s="1"/>
  <c r="L173" i="29" s="1"/>
  <c r="L65" i="8"/>
  <c r="L65" i="29" s="1"/>
  <c r="L152" i="29" s="1"/>
  <c r="L53" i="8"/>
  <c r="L53" i="29" s="1"/>
  <c r="L140" i="29" s="1"/>
  <c r="L8" i="8"/>
  <c r="L8" i="29" s="1"/>
  <c r="L95" i="29" s="1"/>
  <c r="L81" i="8"/>
  <c r="L81" i="29" s="1"/>
  <c r="L168" i="29" s="1"/>
  <c r="L54" i="8"/>
  <c r="L54" i="29" s="1"/>
  <c r="L141" i="29" s="1"/>
  <c r="L23" i="8"/>
  <c r="L23" i="29" s="1"/>
  <c r="L110" i="29" s="1"/>
  <c r="L38" i="8"/>
  <c r="L38" i="29" s="1"/>
  <c r="L125" i="29" s="1"/>
  <c r="L84" i="8"/>
  <c r="L84" i="29" s="1"/>
  <c r="L171" i="29" s="1"/>
  <c r="L61" i="8"/>
  <c r="L61" i="29" s="1"/>
  <c r="L148" i="29" s="1"/>
  <c r="L76" i="8"/>
  <c r="L76" i="29" s="1"/>
  <c r="L163" i="29" s="1"/>
  <c r="L35" i="8"/>
  <c r="L35" i="29" s="1"/>
  <c r="L122" i="29" s="1"/>
  <c r="L55" i="8"/>
  <c r="L55" i="29" s="1"/>
  <c r="L142" i="29" s="1"/>
  <c r="L71" i="8"/>
  <c r="L71" i="29" s="1"/>
  <c r="L158" i="29" s="1"/>
  <c r="L63" i="8"/>
  <c r="L63" i="29" s="1"/>
  <c r="L150" i="29" s="1"/>
  <c r="L24" i="8"/>
  <c r="L24" i="29" s="1"/>
  <c r="L111" i="29" s="1"/>
  <c r="L78" i="8"/>
  <c r="L78" i="29" s="1"/>
  <c r="L165" i="29" s="1"/>
  <c r="L73" i="8"/>
  <c r="L73" i="29" s="1"/>
  <c r="L160" i="29" s="1"/>
  <c r="L34" i="8"/>
  <c r="L34" i="29" s="1"/>
  <c r="L121" i="29" s="1"/>
  <c r="L41" i="8"/>
  <c r="L41" i="29" s="1"/>
  <c r="L128" i="29" s="1"/>
  <c r="L72" i="8"/>
  <c r="L72" i="29" s="1"/>
  <c r="L159" i="29" s="1"/>
  <c r="L46" i="8"/>
  <c r="L46" i="29" s="1"/>
  <c r="L133" i="29" s="1"/>
  <c r="L60" i="8"/>
  <c r="L60" i="29" s="1"/>
  <c r="L147" i="29" s="1"/>
  <c r="L36" i="8"/>
  <c r="L36" i="29" s="1"/>
  <c r="L123" i="29" s="1"/>
  <c r="L79" i="8"/>
  <c r="L79" i="29" s="1"/>
  <c r="L166" i="29" s="1"/>
  <c r="L75" i="8"/>
  <c r="L75" i="29" s="1"/>
  <c r="L162" i="29" s="1"/>
  <c r="L42" i="8"/>
  <c r="L42" i="29" s="1"/>
  <c r="L129" i="29" s="1"/>
  <c r="L82" i="8"/>
  <c r="L82" i="29" s="1"/>
  <c r="L169" i="29" s="1"/>
  <c r="L49" i="8"/>
  <c r="L49" i="29" s="1"/>
  <c r="L136" i="29" s="1"/>
  <c r="L17" i="8"/>
  <c r="L17" i="29" s="1"/>
  <c r="L104" i="29" s="1"/>
  <c r="L70" i="8"/>
  <c r="L70" i="29" s="1"/>
  <c r="L157" i="29" s="1"/>
  <c r="L40" i="8"/>
  <c r="L40" i="29" s="1"/>
  <c r="L127" i="29" s="1"/>
  <c r="U29" i="29"/>
  <c r="U116" i="29" s="1"/>
  <c r="U44" i="29"/>
  <c r="U131" i="29" s="1"/>
  <c r="U55" i="29"/>
  <c r="U142" i="29" s="1"/>
  <c r="U85" i="29"/>
  <c r="U172" i="29" s="1"/>
  <c r="U77" i="29"/>
  <c r="U164" i="29" s="1"/>
  <c r="U27" i="29"/>
  <c r="U114" i="29" s="1"/>
  <c r="U42" i="29"/>
  <c r="U129" i="29" s="1"/>
  <c r="U52" i="29"/>
  <c r="U139" i="29" s="1"/>
  <c r="U62" i="29"/>
  <c r="U149" i="29" s="1"/>
  <c r="U78" i="29"/>
  <c r="U165" i="29" s="1"/>
  <c r="U25" i="29"/>
  <c r="U112" i="29" s="1"/>
  <c r="U40" i="29"/>
  <c r="U127" i="29" s="1"/>
  <c r="U45" i="29"/>
  <c r="U132" i="29" s="1"/>
  <c r="U74" i="29"/>
  <c r="U161" i="29" s="1"/>
  <c r="U57" i="29"/>
  <c r="U144" i="29" s="1"/>
  <c r="U23" i="29"/>
  <c r="U110" i="29" s="1"/>
  <c r="U38" i="29"/>
  <c r="U125" i="29" s="1"/>
  <c r="U16" i="29"/>
  <c r="U103" i="29" s="1"/>
  <c r="U58" i="29"/>
  <c r="U145" i="29" s="1"/>
  <c r="U67" i="29"/>
  <c r="U154" i="29" s="1"/>
  <c r="L43" i="8"/>
  <c r="L43" i="29" s="1"/>
  <c r="L130" i="29" s="1"/>
  <c r="L48" i="8"/>
  <c r="L48" i="29" s="1"/>
  <c r="L135" i="29" s="1"/>
  <c r="AB88" i="7"/>
  <c r="E9" i="31"/>
  <c r="E7" i="31"/>
  <c r="E13" i="31" s="1"/>
  <c r="E11" i="31"/>
  <c r="L10" i="8"/>
  <c r="L10" i="29" s="1"/>
  <c r="L97" i="29" s="1"/>
  <c r="M88" i="9"/>
  <c r="L56" i="8"/>
  <c r="L56" i="29" s="1"/>
  <c r="L143" i="29" s="1"/>
  <c r="T43" i="30"/>
  <c r="T94" i="30" s="1"/>
  <c r="T10" i="30"/>
  <c r="T61" i="30" s="1"/>
  <c r="T27" i="30"/>
  <c r="T78" i="30" s="1"/>
  <c r="T15" i="30"/>
  <c r="T66" i="30" s="1"/>
  <c r="T47" i="30"/>
  <c r="T98" i="30" s="1"/>
  <c r="T39" i="30"/>
  <c r="T90" i="30" s="1"/>
  <c r="T12" i="30"/>
  <c r="T63" i="30" s="1"/>
  <c r="N7" i="31"/>
  <c r="N13" i="31" s="1"/>
  <c r="N9" i="31"/>
  <c r="N11" i="31"/>
  <c r="L19" i="8"/>
  <c r="L19" i="29" s="1"/>
  <c r="L106" i="29" s="1"/>
  <c r="V66" i="8"/>
  <c r="V12" i="8"/>
  <c r="V14" i="8"/>
  <c r="V13" i="8"/>
  <c r="L33" i="8"/>
  <c r="L33" i="29" s="1"/>
  <c r="L120" i="29" s="1"/>
  <c r="M67" i="8"/>
  <c r="M67" i="29" s="1"/>
  <c r="M154" i="29" s="1"/>
  <c r="L6" i="8"/>
  <c r="L6" i="29" s="1"/>
  <c r="L93" i="29" s="1"/>
  <c r="M50" i="8"/>
  <c r="M50" i="29" s="1"/>
  <c r="M137" i="29" s="1"/>
  <c r="B11" i="32"/>
  <c r="P15" i="31"/>
  <c r="P14" i="31"/>
  <c r="Q14" i="31"/>
  <c r="Q15" i="31"/>
  <c r="L88" i="9"/>
  <c r="T15" i="31"/>
  <c r="T14" i="31"/>
  <c r="L80" i="8"/>
  <c r="L80" i="29" s="1"/>
  <c r="L167" i="29" s="1"/>
  <c r="L30" i="8"/>
  <c r="L30" i="29" s="1"/>
  <c r="L117" i="29" s="1"/>
  <c r="L28" i="8"/>
  <c r="L28" i="29" s="1"/>
  <c r="L115" i="29" s="1"/>
  <c r="V5" i="8"/>
  <c r="V76" i="8"/>
  <c r="V50" i="8"/>
  <c r="V9" i="8"/>
  <c r="V30" i="8"/>
  <c r="V68" i="8"/>
  <c r="V56" i="8"/>
  <c r="L66" i="8"/>
  <c r="L66" i="29" s="1"/>
  <c r="L153" i="29" s="1"/>
  <c r="L21" i="8"/>
  <c r="L21" i="29" s="1"/>
  <c r="L108" i="29" s="1"/>
  <c r="L64" i="8"/>
  <c r="L64" i="29" s="1"/>
  <c r="L151" i="29" s="1"/>
  <c r="L39" i="8"/>
  <c r="L39" i="29" s="1"/>
  <c r="L126" i="29" s="1"/>
  <c r="L74" i="8"/>
  <c r="L74" i="29" s="1"/>
  <c r="L161" i="29" s="1"/>
  <c r="M77" i="8"/>
  <c r="M77" i="29" s="1"/>
  <c r="M164" i="29" s="1"/>
  <c r="M14" i="8"/>
  <c r="M14" i="29" s="1"/>
  <c r="M101" i="29" s="1"/>
  <c r="M13" i="8"/>
  <c r="M13" i="29" s="1"/>
  <c r="M100" i="29" s="1"/>
  <c r="M12" i="8"/>
  <c r="M12" i="29" s="1"/>
  <c r="M99" i="29" s="1"/>
  <c r="M22" i="8"/>
  <c r="M22" i="29" s="1"/>
  <c r="M109" i="29" s="1"/>
  <c r="M61" i="8"/>
  <c r="M61" i="29" s="1"/>
  <c r="M148" i="29" s="1"/>
  <c r="M33" i="8"/>
  <c r="M33" i="29" s="1"/>
  <c r="M120" i="29" s="1"/>
  <c r="M35" i="8"/>
  <c r="M35" i="29" s="1"/>
  <c r="M122" i="29" s="1"/>
  <c r="M23" i="8"/>
  <c r="M23" i="29" s="1"/>
  <c r="M110" i="29" s="1"/>
  <c r="M78" i="8"/>
  <c r="M78" i="29" s="1"/>
  <c r="M165" i="29" s="1"/>
  <c r="M34" i="8"/>
  <c r="M34" i="29" s="1"/>
  <c r="M121" i="29" s="1"/>
  <c r="M82" i="8"/>
  <c r="M82" i="29" s="1"/>
  <c r="M169" i="29" s="1"/>
  <c r="M85" i="8"/>
  <c r="M85" i="29" s="1"/>
  <c r="M172" i="29" s="1"/>
  <c r="M68" i="8"/>
  <c r="M68" i="29" s="1"/>
  <c r="M155" i="29" s="1"/>
  <c r="M80" i="8"/>
  <c r="M80" i="29" s="1"/>
  <c r="M167" i="29" s="1"/>
  <c r="M47" i="8"/>
  <c r="M47" i="29" s="1"/>
  <c r="M134" i="29" s="1"/>
  <c r="M18" i="8"/>
  <c r="M18" i="29" s="1"/>
  <c r="M105" i="29" s="1"/>
  <c r="M30" i="8"/>
  <c r="M30" i="29" s="1"/>
  <c r="M117" i="29" s="1"/>
  <c r="M46" i="8"/>
  <c r="M46" i="29" s="1"/>
  <c r="M133" i="29" s="1"/>
  <c r="M63" i="8"/>
  <c r="M63" i="29" s="1"/>
  <c r="M150" i="29" s="1"/>
  <c r="M17" i="8"/>
  <c r="M17" i="29" s="1"/>
  <c r="M104" i="29" s="1"/>
  <c r="M64" i="8"/>
  <c r="M64" i="29" s="1"/>
  <c r="M151" i="29" s="1"/>
  <c r="M73" i="8"/>
  <c r="M73" i="29" s="1"/>
  <c r="M160" i="29" s="1"/>
  <c r="M42" i="8"/>
  <c r="M42" i="29" s="1"/>
  <c r="M129" i="29" s="1"/>
  <c r="M58" i="8"/>
  <c r="M58" i="29" s="1"/>
  <c r="M145" i="29" s="1"/>
  <c r="M57" i="8"/>
  <c r="M57" i="29" s="1"/>
  <c r="M144" i="29" s="1"/>
  <c r="M70" i="8"/>
  <c r="M70" i="29" s="1"/>
  <c r="M157" i="29" s="1"/>
  <c r="M24" i="8"/>
  <c r="M24" i="29" s="1"/>
  <c r="M111" i="29" s="1"/>
  <c r="M21" i="8"/>
  <c r="M21" i="29" s="1"/>
  <c r="M108" i="29" s="1"/>
  <c r="M45" i="8"/>
  <c r="M45" i="29" s="1"/>
  <c r="M132" i="29" s="1"/>
  <c r="M76" i="8"/>
  <c r="M76" i="29" s="1"/>
  <c r="M163" i="29" s="1"/>
  <c r="M56" i="8"/>
  <c r="M56" i="29" s="1"/>
  <c r="M143" i="29" s="1"/>
  <c r="M53" i="8"/>
  <c r="M53" i="29" s="1"/>
  <c r="M140" i="29" s="1"/>
  <c r="M7" i="8"/>
  <c r="M7" i="29" s="1"/>
  <c r="M94" i="29" s="1"/>
  <c r="M55" i="8"/>
  <c r="M55" i="29" s="1"/>
  <c r="M142" i="29" s="1"/>
  <c r="M79" i="8"/>
  <c r="M79" i="29" s="1"/>
  <c r="M166" i="29" s="1"/>
  <c r="M41" i="8"/>
  <c r="M41" i="29" s="1"/>
  <c r="M128" i="29" s="1"/>
  <c r="M49" i="8"/>
  <c r="M49" i="29" s="1"/>
  <c r="M136" i="29" s="1"/>
  <c r="M44" i="8"/>
  <c r="M44" i="29" s="1"/>
  <c r="M131" i="29" s="1"/>
  <c r="M81" i="8"/>
  <c r="M81" i="29" s="1"/>
  <c r="M168" i="29" s="1"/>
  <c r="M84" i="8"/>
  <c r="M84" i="29" s="1"/>
  <c r="M171" i="29" s="1"/>
  <c r="M8" i="8"/>
  <c r="M8" i="29" s="1"/>
  <c r="M95" i="29" s="1"/>
  <c r="M72" i="8"/>
  <c r="M72" i="29" s="1"/>
  <c r="M159" i="29" s="1"/>
  <c r="M83" i="8"/>
  <c r="M83" i="29" s="1"/>
  <c r="M170" i="29" s="1"/>
  <c r="M38" i="8"/>
  <c r="M38" i="29" s="1"/>
  <c r="M125" i="29" s="1"/>
  <c r="M59" i="8"/>
  <c r="M59" i="29" s="1"/>
  <c r="M146" i="29" s="1"/>
  <c r="M75" i="8"/>
  <c r="M75" i="29" s="1"/>
  <c r="M162" i="29" s="1"/>
  <c r="M39" i="8"/>
  <c r="M39" i="29" s="1"/>
  <c r="M126" i="29" s="1"/>
  <c r="B9" i="32"/>
  <c r="T36" i="30"/>
  <c r="T87" i="30" s="1"/>
  <c r="T30" i="30"/>
  <c r="T81" i="30" s="1"/>
  <c r="T45" i="30"/>
  <c r="T96" i="30" s="1"/>
  <c r="T14" i="30"/>
  <c r="T65" i="30" s="1"/>
  <c r="T46" i="30"/>
  <c r="T97" i="30" s="1"/>
  <c r="T8" i="30"/>
  <c r="T59" i="30" s="1"/>
  <c r="T32" i="30"/>
  <c r="T83" i="30" s="1"/>
  <c r="T40" i="30"/>
  <c r="T91" i="30" s="1"/>
  <c r="T17" i="30"/>
  <c r="T68" i="30" s="1"/>
  <c r="T31" i="30"/>
  <c r="T82" i="30" s="1"/>
  <c r="T33" i="30"/>
  <c r="T84" i="30" s="1"/>
  <c r="S12" i="9"/>
  <c r="S14" i="9"/>
  <c r="S13" i="9"/>
  <c r="S72" i="9"/>
  <c r="S72" i="29" s="1"/>
  <c r="S159" i="29" s="1"/>
  <c r="S82" i="9"/>
  <c r="S82" i="29" s="1"/>
  <c r="S169" i="29" s="1"/>
  <c r="S65" i="9"/>
  <c r="S65" i="29" s="1"/>
  <c r="S152" i="29" s="1"/>
  <c r="S74" i="9"/>
  <c r="S74" i="29" s="1"/>
  <c r="S161" i="29" s="1"/>
  <c r="S44" i="9"/>
  <c r="S44" i="29" s="1"/>
  <c r="S131" i="29" s="1"/>
  <c r="S43" i="9"/>
  <c r="S43" i="29" s="1"/>
  <c r="S130" i="29" s="1"/>
  <c r="S52" i="9"/>
  <c r="S52" i="29" s="1"/>
  <c r="S139" i="29" s="1"/>
  <c r="S39" i="9"/>
  <c r="S39" i="29" s="1"/>
  <c r="S126" i="29" s="1"/>
  <c r="S84" i="9"/>
  <c r="S84" i="29" s="1"/>
  <c r="S171" i="29" s="1"/>
  <c r="S19" i="9"/>
  <c r="S19" i="29" s="1"/>
  <c r="S106" i="29" s="1"/>
  <c r="S58" i="9"/>
  <c r="S58" i="29" s="1"/>
  <c r="S145" i="29" s="1"/>
  <c r="S37" i="9"/>
  <c r="S37" i="29" s="1"/>
  <c r="S124" i="29" s="1"/>
  <c r="S9" i="9"/>
  <c r="S9" i="29" s="1"/>
  <c r="S96" i="29" s="1"/>
  <c r="S80" i="9"/>
  <c r="S80" i="29" s="1"/>
  <c r="S167" i="29" s="1"/>
  <c r="S15" i="9"/>
  <c r="S15" i="29" s="1"/>
  <c r="S102" i="29" s="1"/>
  <c r="S45" i="9"/>
  <c r="S45" i="29" s="1"/>
  <c r="S132" i="29" s="1"/>
  <c r="S24" i="9"/>
  <c r="S24" i="29" s="1"/>
  <c r="S111" i="29" s="1"/>
  <c r="S11" i="9"/>
  <c r="S11" i="29" s="1"/>
  <c r="S98" i="29" s="1"/>
  <c r="S16" i="9"/>
  <c r="S16" i="29" s="1"/>
  <c r="S103" i="29" s="1"/>
  <c r="S73" i="9"/>
  <c r="S73" i="29" s="1"/>
  <c r="S160" i="29" s="1"/>
  <c r="S21" i="9"/>
  <c r="S21" i="29" s="1"/>
  <c r="S108" i="29" s="1"/>
  <c r="S61" i="9"/>
  <c r="S61" i="29" s="1"/>
  <c r="S148" i="29" s="1"/>
  <c r="S31" i="9"/>
  <c r="S31" i="29" s="1"/>
  <c r="S118" i="29" s="1"/>
  <c r="S69" i="9"/>
  <c r="S69" i="29" s="1"/>
  <c r="S156" i="29" s="1"/>
  <c r="S86" i="9"/>
  <c r="S86" i="29" s="1"/>
  <c r="S173" i="29" s="1"/>
  <c r="S22" i="9"/>
  <c r="S22" i="29" s="1"/>
  <c r="S109" i="29" s="1"/>
  <c r="S62" i="9"/>
  <c r="S62" i="29" s="1"/>
  <c r="S149" i="29" s="1"/>
  <c r="S40" i="9"/>
  <c r="S40" i="29" s="1"/>
  <c r="S127" i="29" s="1"/>
  <c r="S18" i="9"/>
  <c r="S18" i="29" s="1"/>
  <c r="S105" i="29" s="1"/>
  <c r="S41" i="9"/>
  <c r="S41" i="29" s="1"/>
  <c r="S128" i="29" s="1"/>
  <c r="S30" i="9"/>
  <c r="S30" i="29" s="1"/>
  <c r="S117" i="29" s="1"/>
  <c r="S8" i="9"/>
  <c r="S8" i="29" s="1"/>
  <c r="S95" i="29" s="1"/>
  <c r="S50" i="9"/>
  <c r="S50" i="29" s="1"/>
  <c r="S137" i="29" s="1"/>
  <c r="S17" i="9"/>
  <c r="S17" i="29" s="1"/>
  <c r="S104" i="29" s="1"/>
  <c r="S75" i="9"/>
  <c r="S75" i="29" s="1"/>
  <c r="S162" i="29" s="1"/>
  <c r="S38" i="9"/>
  <c r="S38" i="29" s="1"/>
  <c r="S125" i="29" s="1"/>
  <c r="S64" i="9"/>
  <c r="S64" i="29" s="1"/>
  <c r="S151" i="29" s="1"/>
  <c r="S7" i="9"/>
  <c r="S7" i="29" s="1"/>
  <c r="S94" i="29" s="1"/>
  <c r="S34" i="9"/>
  <c r="S34" i="29" s="1"/>
  <c r="S121" i="29" s="1"/>
  <c r="S56" i="9"/>
  <c r="S56" i="29" s="1"/>
  <c r="S143" i="29" s="1"/>
  <c r="S36" i="9"/>
  <c r="S36" i="29" s="1"/>
  <c r="S123" i="29" s="1"/>
  <c r="S59" i="9"/>
  <c r="S59" i="29" s="1"/>
  <c r="S146" i="29" s="1"/>
  <c r="S35" i="9"/>
  <c r="S35" i="29" s="1"/>
  <c r="S122" i="29" s="1"/>
  <c r="S63" i="9"/>
  <c r="S63" i="29" s="1"/>
  <c r="S150" i="29" s="1"/>
  <c r="S32" i="9"/>
  <c r="S32" i="29" s="1"/>
  <c r="S119" i="29" s="1"/>
  <c r="S55" i="9"/>
  <c r="S55" i="29" s="1"/>
  <c r="S142" i="29" s="1"/>
  <c r="S33" i="9"/>
  <c r="S33" i="29" s="1"/>
  <c r="S120" i="29" s="1"/>
  <c r="S79" i="9"/>
  <c r="S79" i="29" s="1"/>
  <c r="S166" i="29" s="1"/>
  <c r="S78" i="9"/>
  <c r="S78" i="29" s="1"/>
  <c r="S165" i="29" s="1"/>
  <c r="S71" i="9"/>
  <c r="S71" i="29" s="1"/>
  <c r="S158" i="29" s="1"/>
  <c r="S54" i="9"/>
  <c r="S54" i="29" s="1"/>
  <c r="S141" i="29" s="1"/>
  <c r="S20" i="9"/>
  <c r="S20" i="29" s="1"/>
  <c r="S107" i="29" s="1"/>
  <c r="S57" i="9"/>
  <c r="S57" i="29" s="1"/>
  <c r="S144" i="29" s="1"/>
  <c r="S70" i="9"/>
  <c r="S70" i="29" s="1"/>
  <c r="S157" i="29" s="1"/>
  <c r="S46" i="9"/>
  <c r="S46" i="29" s="1"/>
  <c r="S133" i="29" s="1"/>
  <c r="S49" i="9"/>
  <c r="S49" i="29" s="1"/>
  <c r="S136" i="29" s="1"/>
  <c r="S26" i="9"/>
  <c r="S26" i="29" s="1"/>
  <c r="S113" i="29" s="1"/>
  <c r="S53" i="9"/>
  <c r="S53" i="29" s="1"/>
  <c r="S140" i="29" s="1"/>
  <c r="S67" i="9"/>
  <c r="S67" i="29" s="1"/>
  <c r="S154" i="29" s="1"/>
  <c r="S5" i="9"/>
  <c r="S68" i="9"/>
  <c r="S68" i="29" s="1"/>
  <c r="S155" i="29" s="1"/>
  <c r="S76" i="9"/>
  <c r="S76" i="29" s="1"/>
  <c r="S163" i="29" s="1"/>
  <c r="S47" i="9"/>
  <c r="S47" i="29" s="1"/>
  <c r="S134" i="29" s="1"/>
  <c r="S51" i="9"/>
  <c r="S51" i="29" s="1"/>
  <c r="S138" i="29" s="1"/>
  <c r="S42" i="9"/>
  <c r="S42" i="29" s="1"/>
  <c r="S129" i="29" s="1"/>
  <c r="S60" i="9"/>
  <c r="S60" i="29" s="1"/>
  <c r="S147" i="29" s="1"/>
  <c r="S6" i="9"/>
  <c r="S6" i="29" s="1"/>
  <c r="S93" i="29" s="1"/>
  <c r="S29" i="9"/>
  <c r="S29" i="29" s="1"/>
  <c r="S116" i="29" s="1"/>
  <c r="S66" i="9"/>
  <c r="S66" i="29" s="1"/>
  <c r="S153" i="29" s="1"/>
  <c r="S81" i="9"/>
  <c r="S81" i="29" s="1"/>
  <c r="S168" i="29" s="1"/>
  <c r="S85" i="9"/>
  <c r="S85" i="29" s="1"/>
  <c r="S172" i="29" s="1"/>
  <c r="S83" i="9"/>
  <c r="S83" i="29" s="1"/>
  <c r="S170" i="29" s="1"/>
  <c r="S77" i="9"/>
  <c r="S77" i="29" s="1"/>
  <c r="S164" i="29" s="1"/>
  <c r="S10" i="9"/>
  <c r="S10" i="29" s="1"/>
  <c r="S97" i="29" s="1"/>
  <c r="S28" i="9"/>
  <c r="S28" i="29" s="1"/>
  <c r="S115" i="29" s="1"/>
  <c r="S27" i="9"/>
  <c r="S27" i="29" s="1"/>
  <c r="S114" i="29" s="1"/>
  <c r="S48" i="9"/>
  <c r="S48" i="29" s="1"/>
  <c r="S135" i="29" s="1"/>
  <c r="S23" i="9"/>
  <c r="S23" i="29" s="1"/>
  <c r="S110" i="29" s="1"/>
  <c r="S25" i="9"/>
  <c r="S25" i="29" s="1"/>
  <c r="S112" i="29" s="1"/>
  <c r="U79" i="29"/>
  <c r="U166" i="29" s="1"/>
  <c r="U35" i="29"/>
  <c r="U122" i="29" s="1"/>
  <c r="U54" i="29"/>
  <c r="U141" i="29" s="1"/>
  <c r="U18" i="29"/>
  <c r="U105" i="29" s="1"/>
  <c r="U71" i="29"/>
  <c r="U158" i="29" s="1"/>
  <c r="U64" i="29"/>
  <c r="U151" i="29" s="1"/>
  <c r="U33" i="29"/>
  <c r="U120" i="29" s="1"/>
  <c r="U49" i="29"/>
  <c r="U136" i="29" s="1"/>
  <c r="U8" i="29"/>
  <c r="U95" i="29" s="1"/>
  <c r="U72" i="29"/>
  <c r="U159" i="29" s="1"/>
  <c r="U80" i="29"/>
  <c r="U167" i="29" s="1"/>
  <c r="U31" i="29"/>
  <c r="U118" i="29" s="1"/>
  <c r="U47" i="29"/>
  <c r="U134" i="29" s="1"/>
  <c r="U60" i="29"/>
  <c r="U147" i="29" s="1"/>
  <c r="U69" i="29"/>
  <c r="U156" i="29" s="1"/>
  <c r="U61" i="29"/>
  <c r="U148" i="29" s="1"/>
  <c r="U9" i="31"/>
  <c r="U11" i="31"/>
  <c r="U7" i="31"/>
  <c r="U13" i="31" s="1"/>
  <c r="L5" i="29"/>
  <c r="L92" i="29" s="1"/>
  <c r="O14" i="31"/>
  <c r="O15" i="31"/>
  <c r="L11" i="8"/>
  <c r="L11" i="29" s="1"/>
  <c r="L98" i="29" s="1"/>
  <c r="L16" i="8"/>
  <c r="L16" i="29" s="1"/>
  <c r="L103" i="29" s="1"/>
  <c r="U21" i="29"/>
  <c r="U108" i="29" s="1"/>
  <c r="U36" i="29"/>
  <c r="U123" i="29" s="1"/>
  <c r="U11" i="29"/>
  <c r="U98" i="29" s="1"/>
  <c r="U75" i="29"/>
  <c r="U162" i="29" s="1"/>
  <c r="U83" i="29"/>
  <c r="U170" i="29" s="1"/>
  <c r="U19" i="29"/>
  <c r="U106" i="29" s="1"/>
  <c r="U34" i="29"/>
  <c r="U121" i="29" s="1"/>
  <c r="U6" i="29"/>
  <c r="U93" i="29" s="1"/>
  <c r="U59" i="29"/>
  <c r="U146" i="29" s="1"/>
  <c r="U53" i="29"/>
  <c r="U140" i="29" s="1"/>
  <c r="U17" i="29"/>
  <c r="U104" i="29" s="1"/>
  <c r="U32" i="29"/>
  <c r="U119" i="29" s="1"/>
  <c r="AB5" i="9"/>
  <c r="AB88" i="9" s="1"/>
  <c r="V88" i="9"/>
  <c r="L44" i="8"/>
  <c r="L44" i="29" s="1"/>
  <c r="L131" i="29" s="1"/>
  <c r="L27" i="8"/>
  <c r="L27" i="29" s="1"/>
  <c r="L114" i="29" s="1"/>
  <c r="L31" i="8"/>
  <c r="L31" i="29" s="1"/>
  <c r="L118" i="29" s="1"/>
  <c r="M40" i="8"/>
  <c r="M40" i="29" s="1"/>
  <c r="M127" i="29" s="1"/>
  <c r="M5" i="8"/>
  <c r="X30" i="13"/>
  <c r="AA30" i="13" s="1"/>
  <c r="S13" i="34" s="1"/>
  <c r="X22" i="13"/>
  <c r="AA22" i="13" s="1"/>
  <c r="X46" i="13"/>
  <c r="AA46" i="13" s="1"/>
  <c r="S29" i="34" s="1"/>
  <c r="X32" i="13"/>
  <c r="AA32" i="13" s="1"/>
  <c r="AA813" i="17" s="1"/>
  <c r="X17" i="13"/>
  <c r="AA17" i="13" s="1"/>
  <c r="S6" i="34" s="1"/>
  <c r="X29" i="13"/>
  <c r="AA29" i="13" s="1"/>
  <c r="S12" i="34" s="1"/>
  <c r="X11" i="13"/>
  <c r="AA11" i="13" s="1"/>
  <c r="X42" i="13"/>
  <c r="AA42" i="13" s="1"/>
  <c r="X45" i="13"/>
  <c r="AA45" i="13" s="1"/>
  <c r="S28" i="34" s="1"/>
  <c r="X50" i="13"/>
  <c r="AA50" i="13" s="1"/>
  <c r="S33" i="34" s="1"/>
  <c r="X7" i="13"/>
  <c r="AA7" i="13" s="1"/>
  <c r="X35" i="13"/>
  <c r="AA35" i="13" s="1"/>
  <c r="S19" i="34" s="1"/>
  <c r="X43" i="13"/>
  <c r="AA43" i="13" s="1"/>
  <c r="X10" i="13"/>
  <c r="AA10" i="13" s="1"/>
  <c r="X27" i="13"/>
  <c r="AA27" i="13" s="1"/>
  <c r="X15" i="13"/>
  <c r="AA15" i="13" s="1"/>
  <c r="X47" i="13"/>
  <c r="AA47" i="13" s="1"/>
  <c r="S31" i="34" s="1"/>
  <c r="X39" i="13"/>
  <c r="AA39" i="13" s="1"/>
  <c r="S24" i="34" s="1"/>
  <c r="X12" i="13"/>
  <c r="AA12" i="13" s="1"/>
  <c r="X16" i="13"/>
  <c r="AA16" i="13" s="1"/>
  <c r="X44" i="13"/>
  <c r="AA44" i="13" s="1"/>
  <c r="S27" i="34" s="1"/>
  <c r="X8" i="13"/>
  <c r="AA8" i="13" s="1"/>
  <c r="X31" i="13"/>
  <c r="AA31" i="13" s="1"/>
  <c r="S14" i="34" s="1"/>
  <c r="X19" i="13"/>
  <c r="AA19" i="13" s="1"/>
  <c r="AA1761" i="16" s="1"/>
  <c r="L1761" i="27" s="1"/>
  <c r="O1761" i="27" s="1"/>
  <c r="X48" i="13"/>
  <c r="AA48" i="13" s="1"/>
  <c r="S30" i="34" s="1"/>
  <c r="X28" i="13"/>
  <c r="AA28" i="13" s="1"/>
  <c r="X49" i="13"/>
  <c r="AA49" i="13" s="1"/>
  <c r="S32" i="34" s="1"/>
  <c r="X36" i="13"/>
  <c r="AA36" i="13" s="1"/>
  <c r="X25" i="13"/>
  <c r="AA25" i="13" s="1"/>
  <c r="S10" i="34" s="1"/>
  <c r="X41" i="13"/>
  <c r="AA41" i="13" s="1"/>
  <c r="X21" i="13"/>
  <c r="AA21" i="13" s="1"/>
  <c r="X18" i="13"/>
  <c r="AA18" i="13" s="1"/>
  <c r="AA1678" i="16" s="1"/>
  <c r="L1678" i="27" s="1"/>
  <c r="O1678" i="27" s="1"/>
  <c r="X38" i="13"/>
  <c r="AA38" i="13" s="1"/>
  <c r="S23" i="34" s="1"/>
  <c r="X14" i="13"/>
  <c r="AA14" i="13" s="1"/>
  <c r="X37" i="13"/>
  <c r="AA37" i="13" s="1"/>
  <c r="S22" i="34" s="1"/>
  <c r="X20" i="13"/>
  <c r="AA20" i="13" s="1"/>
  <c r="AA623" i="17" s="1"/>
  <c r="X34" i="13"/>
  <c r="AA34" i="13" s="1"/>
  <c r="S18" i="34" s="1"/>
  <c r="X13" i="13"/>
  <c r="AA13" i="13" s="1"/>
  <c r="X6" i="13"/>
  <c r="AA6" i="13" s="1"/>
  <c r="G6" i="34" s="1"/>
  <c r="X23" i="13"/>
  <c r="AA23" i="13" s="1"/>
  <c r="AA1864" i="16" s="1"/>
  <c r="X26" i="13"/>
  <c r="AA26" i="13" s="1"/>
  <c r="X9" i="13"/>
  <c r="AA9" i="13" s="1"/>
  <c r="X40" i="13"/>
  <c r="AA40" i="13" s="1"/>
  <c r="X33" i="13"/>
  <c r="AA33" i="13" s="1"/>
  <c r="S17" i="34" s="1"/>
  <c r="X24" i="13"/>
  <c r="AA24" i="13" s="1"/>
  <c r="S8" i="34" s="1"/>
  <c r="AA832" i="17"/>
  <c r="AA821" i="17"/>
  <c r="AA1193" i="16"/>
  <c r="AG1193" i="16" s="1"/>
  <c r="AA1117" i="16"/>
  <c r="AG1117" i="16" s="1"/>
  <c r="AA584" i="16"/>
  <c r="AA581" i="16"/>
  <c r="AG581" i="16" s="1"/>
  <c r="AA562" i="16"/>
  <c r="AG562" i="16" s="1"/>
  <c r="AA560" i="16"/>
  <c r="AG560" i="16" s="1"/>
  <c r="AA556" i="16"/>
  <c r="AA554" i="16"/>
  <c r="AA552" i="16"/>
  <c r="AG552" i="16" s="1"/>
  <c r="AA1222" i="16"/>
  <c r="AG1222" i="16" s="1"/>
  <c r="AA1214" i="16"/>
  <c r="AA1206" i="16"/>
  <c r="AG1206" i="16" s="1"/>
  <c r="AA1122" i="16"/>
  <c r="AG1122" i="16" s="1"/>
  <c r="AA1114" i="16"/>
  <c r="AA1106" i="16"/>
  <c r="AG1106" i="16" s="1"/>
  <c r="AA1255" i="16"/>
  <c r="AG1255" i="16" s="1"/>
  <c r="AA1247" i="16"/>
  <c r="AG1247" i="16" s="1"/>
  <c r="AA1219" i="16"/>
  <c r="AA1203" i="16"/>
  <c r="AG1203" i="16" s="1"/>
  <c r="AA1195" i="16"/>
  <c r="AG1195" i="16" s="1"/>
  <c r="AA1120" i="16"/>
  <c r="AG1120" i="16" s="1"/>
  <c r="AA1104" i="16"/>
  <c r="AG1104" i="16" s="1"/>
  <c r="AA540" i="17"/>
  <c r="AA539" i="17"/>
  <c r="AA504" i="17"/>
  <c r="AA500" i="17"/>
  <c r="AA496" i="17"/>
  <c r="AA488" i="17"/>
  <c r="AA484" i="17"/>
  <c r="AA480" i="17"/>
  <c r="AA404" i="17"/>
  <c r="AA400" i="17"/>
  <c r="AA396" i="17"/>
  <c r="AA388" i="17"/>
  <c r="AA273" i="17"/>
  <c r="AA272" i="17"/>
  <c r="AA1248" i="16"/>
  <c r="AG1248" i="16" s="1"/>
  <c r="AA1220" i="16"/>
  <c r="AG1220" i="16" s="1"/>
  <c r="AA1212" i="16"/>
  <c r="AA1196" i="16"/>
  <c r="AG1196" i="16" s="1"/>
  <c r="AA1123" i="16"/>
  <c r="AG1123" i="16" s="1"/>
  <c r="AA1115" i="16"/>
  <c r="AA538" i="17"/>
  <c r="AA532" i="17"/>
  <c r="AA503" i="17"/>
  <c r="AA495" i="17"/>
  <c r="AA491" i="17"/>
  <c r="AA487" i="17"/>
  <c r="AA479" i="17"/>
  <c r="AA475" i="17"/>
  <c r="AA403" i="17"/>
  <c r="AA399" i="17"/>
  <c r="AA395" i="17"/>
  <c r="AA391" i="17"/>
  <c r="AA387" i="17"/>
  <c r="AA279" i="17"/>
  <c r="AA278" i="17"/>
  <c r="AA271" i="17"/>
  <c r="AA270" i="17"/>
  <c r="AA269" i="17"/>
  <c r="AA268" i="17"/>
  <c r="AA1251" i="16"/>
  <c r="AG1251" i="16" s="1"/>
  <c r="AA1207" i="16"/>
  <c r="AA1108" i="16"/>
  <c r="AG1108" i="16" s="1"/>
  <c r="AA531" i="17"/>
  <c r="AA502" i="17"/>
  <c r="AA494" i="17"/>
  <c r="AA486" i="17"/>
  <c r="AA478" i="17"/>
  <c r="AA401" i="17"/>
  <c r="AA393" i="17"/>
  <c r="AA385" i="17"/>
  <c r="AA253" i="17"/>
  <c r="AA247" i="17"/>
  <c r="AA1103" i="16"/>
  <c r="AA535" i="17"/>
  <c r="AA497" i="17"/>
  <c r="AA386" i="17"/>
  <c r="AA1252" i="16"/>
  <c r="AA1208" i="16"/>
  <c r="AG1208" i="16" s="1"/>
  <c r="AA1192" i="16"/>
  <c r="AG1192" i="16" s="1"/>
  <c r="AA1111" i="16"/>
  <c r="AG1111" i="16" s="1"/>
  <c r="AA530" i="17"/>
  <c r="AA501" i="17"/>
  <c r="AA493" i="17"/>
  <c r="AA485" i="17"/>
  <c r="AA477" i="17"/>
  <c r="AA398" i="17"/>
  <c r="AA390" i="17"/>
  <c r="AA277" i="17"/>
  <c r="AA276" i="17"/>
  <c r="AA1215" i="16"/>
  <c r="AG1215" i="16" s="1"/>
  <c r="AA1199" i="16"/>
  <c r="AG1199" i="16" s="1"/>
  <c r="AA1116" i="16"/>
  <c r="AG1116" i="16" s="1"/>
  <c r="AA536" i="17"/>
  <c r="AA498" i="17"/>
  <c r="AA490" i="17"/>
  <c r="AA482" i="17"/>
  <c r="AA474" i="17"/>
  <c r="AA405" i="17"/>
  <c r="AA397" i="17"/>
  <c r="AA389" i="17"/>
  <c r="AA275" i="17"/>
  <c r="AA274" i="17"/>
  <c r="AA255" i="17"/>
  <c r="AA254" i="17"/>
  <c r="AA252" i="17"/>
  <c r="AA251" i="17"/>
  <c r="AA250" i="17"/>
  <c r="AA249" i="17"/>
  <c r="AA248" i="17"/>
  <c r="AA246" i="17"/>
  <c r="AA245" i="17"/>
  <c r="AA1216" i="16"/>
  <c r="AG1216" i="16" s="1"/>
  <c r="AA1200" i="16"/>
  <c r="AA1119" i="16"/>
  <c r="AG1119" i="16" s="1"/>
  <c r="AA489" i="17"/>
  <c r="AA481" i="17"/>
  <c r="AA402" i="17"/>
  <c r="AA394" i="17"/>
  <c r="AA244" i="17"/>
  <c r="AA243" i="17"/>
  <c r="AA1233" i="16"/>
  <c r="AA1153" i="16"/>
  <c r="AA1137" i="16"/>
  <c r="AG1137" i="16" s="1"/>
  <c r="AA1077" i="16"/>
  <c r="AA1061" i="16"/>
  <c r="AA573" i="16"/>
  <c r="AA569" i="16"/>
  <c r="AG569" i="16" s="1"/>
  <c r="AA565" i="16"/>
  <c r="AA548" i="16"/>
  <c r="AA1234" i="16"/>
  <c r="AA1150" i="16"/>
  <c r="AG1150" i="16" s="1"/>
  <c r="AA1134" i="16"/>
  <c r="AA1074" i="16"/>
  <c r="AA1058" i="16"/>
  <c r="AA1144" i="16"/>
  <c r="AG1144" i="16" s="1"/>
  <c r="AA1064" i="16"/>
  <c r="AA436" i="17"/>
  <c r="AA420" i="17"/>
  <c r="AA1228" i="16"/>
  <c r="AG1228" i="16" s="1"/>
  <c r="AA1131" i="16"/>
  <c r="AA515" i="17"/>
  <c r="AA435" i="17"/>
  <c r="AA419" i="17"/>
  <c r="AA360" i="17"/>
  <c r="AA356" i="17"/>
  <c r="AA352" i="17"/>
  <c r="AA344" i="17"/>
  <c r="AA266" i="17"/>
  <c r="AA262" i="17"/>
  <c r="AA258" i="17"/>
  <c r="AA1156" i="16"/>
  <c r="AG1156" i="16" s="1"/>
  <c r="AA539" i="16"/>
  <c r="AA417" i="17"/>
  <c r="AA1151" i="16"/>
  <c r="AA410" i="17"/>
  <c r="AA1071" i="16"/>
  <c r="AA543" i="16"/>
  <c r="AG543" i="16" s="1"/>
  <c r="AA541" i="16"/>
  <c r="AA438" i="17"/>
  <c r="AA422" i="17"/>
  <c r="AA406" i="17"/>
  <c r="AA1231" i="16"/>
  <c r="AA1132" i="16"/>
  <c r="AG1132" i="16" s="1"/>
  <c r="AA1060" i="16"/>
  <c r="AA506" i="17"/>
  <c r="AA429" i="17"/>
  <c r="AA413" i="17"/>
  <c r="AA1232" i="16"/>
  <c r="AA1063" i="16"/>
  <c r="AG1063" i="16" s="1"/>
  <c r="AA426" i="17"/>
  <c r="AA341" i="17"/>
  <c r="AA241" i="17"/>
  <c r="AA239" i="17"/>
  <c r="AA237" i="17"/>
  <c r="AA235" i="17"/>
  <c r="AA233" i="17"/>
  <c r="AA231" i="17"/>
  <c r="AA109" i="16"/>
  <c r="AA105" i="16"/>
  <c r="AG105" i="16" s="1"/>
  <c r="AA101" i="16"/>
  <c r="AA98" i="16"/>
  <c r="AA5" i="17"/>
  <c r="AA9" i="17"/>
  <c r="AA340" i="16"/>
  <c r="AA336" i="16"/>
  <c r="AG336" i="16" s="1"/>
  <c r="AA332" i="16"/>
  <c r="AG332" i="16" s="1"/>
  <c r="AA337" i="16"/>
  <c r="AG337" i="16" s="1"/>
  <c r="AA333" i="16"/>
  <c r="AA329" i="16"/>
  <c r="AG329" i="16" s="1"/>
  <c r="AA338" i="16"/>
  <c r="AG338" i="16" s="1"/>
  <c r="AA330" i="16"/>
  <c r="AG330" i="16" s="1"/>
  <c r="AA166" i="17"/>
  <c r="AA162" i="17"/>
  <c r="AA158" i="17"/>
  <c r="AA168" i="17"/>
  <c r="AA160" i="17"/>
  <c r="AA339" i="16"/>
  <c r="AG339" i="16" s="1"/>
  <c r="AA331" i="16"/>
  <c r="AG331" i="16" s="1"/>
  <c r="AA169" i="17"/>
  <c r="AA165" i="17"/>
  <c r="AA161" i="17"/>
  <c r="AA334" i="16"/>
  <c r="AG334" i="16" s="1"/>
  <c r="AA164" i="17"/>
  <c r="AA335" i="16"/>
  <c r="AA229" i="16"/>
  <c r="O229" i="27" s="1"/>
  <c r="AA228" i="16"/>
  <c r="O228" i="27" s="1"/>
  <c r="AA227" i="16"/>
  <c r="O227" i="27" s="1"/>
  <c r="AA226" i="16"/>
  <c r="O226" i="27" s="1"/>
  <c r="AA225" i="16"/>
  <c r="O225" i="27" s="1"/>
  <c r="AA224" i="16"/>
  <c r="O224" i="27" s="1"/>
  <c r="AA223" i="16"/>
  <c r="O223" i="27" s="1"/>
  <c r="AA222" i="16"/>
  <c r="O222" i="27" s="1"/>
  <c r="AA221" i="16"/>
  <c r="AA220" i="16"/>
  <c r="O220" i="27" s="1"/>
  <c r="AA219" i="16"/>
  <c r="O219" i="27" s="1"/>
  <c r="AA218" i="16"/>
  <c r="O218" i="27" s="1"/>
  <c r="W6" i="27" s="1"/>
  <c r="Z6" i="27" s="1"/>
  <c r="AA167" i="17"/>
  <c r="AA163" i="17"/>
  <c r="AA159" i="17"/>
  <c r="AA96" i="17"/>
  <c r="AA95" i="17"/>
  <c r="AA93" i="17"/>
  <c r="AA91" i="17"/>
  <c r="AA89" i="17"/>
  <c r="AA87" i="17"/>
  <c r="AA97" i="17"/>
  <c r="AA94" i="17"/>
  <c r="AA92" i="17"/>
  <c r="AA90" i="17"/>
  <c r="AA88" i="17"/>
  <c r="AA86" i="17"/>
  <c r="AA364" i="16"/>
  <c r="AA361" i="16"/>
  <c r="AG361" i="16" s="1"/>
  <c r="AA360" i="16"/>
  <c r="AA359" i="16"/>
  <c r="AG359" i="16" s="1"/>
  <c r="AA358" i="16"/>
  <c r="AA357" i="16"/>
  <c r="AG357" i="16" s="1"/>
  <c r="AA356" i="16"/>
  <c r="AG356" i="16" s="1"/>
  <c r="AA355" i="16"/>
  <c r="AG355" i="16" s="1"/>
  <c r="AA354" i="16"/>
  <c r="AA353" i="16"/>
  <c r="AG353" i="16" s="1"/>
  <c r="AA362" i="16"/>
  <c r="AG362" i="16" s="1"/>
  <c r="AA190" i="17"/>
  <c r="AA186" i="17"/>
  <c r="AA182" i="17"/>
  <c r="AA188" i="17"/>
  <c r="AA193" i="17"/>
  <c r="AA189" i="17"/>
  <c r="AA185" i="17"/>
  <c r="AA192" i="17"/>
  <c r="AA184" i="17"/>
  <c r="AA363" i="16"/>
  <c r="AA241" i="16"/>
  <c r="O241" i="27" s="1"/>
  <c r="AA240" i="16"/>
  <c r="O240" i="27" s="1"/>
  <c r="AA239" i="16"/>
  <c r="O239" i="27" s="1"/>
  <c r="AA238" i="16"/>
  <c r="O238" i="27" s="1"/>
  <c r="AA237" i="16"/>
  <c r="O237" i="27" s="1"/>
  <c r="AA236" i="16"/>
  <c r="O236" i="27" s="1"/>
  <c r="AA235" i="16"/>
  <c r="O235" i="27" s="1"/>
  <c r="AA234" i="16"/>
  <c r="O234" i="27" s="1"/>
  <c r="AA233" i="16"/>
  <c r="O233" i="27" s="1"/>
  <c r="AA232" i="16"/>
  <c r="O232" i="27" s="1"/>
  <c r="AA231" i="16"/>
  <c r="O231" i="27" s="1"/>
  <c r="AA230" i="16"/>
  <c r="O230" i="27" s="1"/>
  <c r="AA191" i="17"/>
  <c r="AA187" i="17"/>
  <c r="AA183" i="17"/>
  <c r="AA109" i="17"/>
  <c r="AA108" i="17"/>
  <c r="AA107" i="17"/>
  <c r="AA106" i="17"/>
  <c r="AA105" i="17"/>
  <c r="AA104" i="17"/>
  <c r="AA103" i="17"/>
  <c r="AA102" i="17"/>
  <c r="AA101" i="17"/>
  <c r="AA99" i="17"/>
  <c r="AA98" i="17"/>
  <c r="AA100" i="17"/>
  <c r="AA2251" i="16"/>
  <c r="L2251" i="27" s="1"/>
  <c r="O2251" i="27" s="1"/>
  <c r="AA2247" i="16"/>
  <c r="L2247" i="27" s="1"/>
  <c r="O2247" i="27" s="1"/>
  <c r="AA2243" i="16"/>
  <c r="L2243" i="27" s="1"/>
  <c r="O2243" i="27" s="1"/>
  <c r="AA2239" i="16"/>
  <c r="L2239" i="27" s="1"/>
  <c r="O2239" i="27" s="1"/>
  <c r="AA2235" i="16"/>
  <c r="L2235" i="27" s="1"/>
  <c r="O2235" i="27" s="1"/>
  <c r="AA2231" i="16"/>
  <c r="L2231" i="27" s="1"/>
  <c r="O2231" i="27" s="1"/>
  <c r="AA2227" i="16"/>
  <c r="L2227" i="27" s="1"/>
  <c r="O2227" i="27" s="1"/>
  <c r="AA2223" i="16"/>
  <c r="L2223" i="27" s="1"/>
  <c r="O2223" i="27" s="1"/>
  <c r="AA2219" i="16"/>
  <c r="L2219" i="27" s="1"/>
  <c r="O2219" i="27" s="1"/>
  <c r="AA2215" i="16"/>
  <c r="L2215" i="27" s="1"/>
  <c r="O2215" i="27" s="1"/>
  <c r="AA2211" i="16"/>
  <c r="L2211" i="27" s="1"/>
  <c r="O2211" i="27" s="1"/>
  <c r="AA2207" i="16"/>
  <c r="L2207" i="27" s="1"/>
  <c r="O2207" i="27" s="1"/>
  <c r="AA2203" i="16"/>
  <c r="L2203" i="27" s="1"/>
  <c r="O2203" i="27" s="1"/>
  <c r="AA2199" i="16"/>
  <c r="L2199" i="27" s="1"/>
  <c r="O2199" i="27" s="1"/>
  <c r="AA2195" i="16"/>
  <c r="L2195" i="27" s="1"/>
  <c r="O2195" i="27" s="1"/>
  <c r="AA2191" i="16"/>
  <c r="L2191" i="27" s="1"/>
  <c r="O2191" i="27" s="1"/>
  <c r="AA2187" i="16"/>
  <c r="L2187" i="27" s="1"/>
  <c r="O2187" i="27" s="1"/>
  <c r="AA2183" i="16"/>
  <c r="L2183" i="27" s="1"/>
  <c r="O2183" i="27" s="1"/>
  <c r="AA2179" i="16"/>
  <c r="L2179" i="27" s="1"/>
  <c r="O2179" i="27" s="1"/>
  <c r="AA2175" i="16"/>
  <c r="L2175" i="27" s="1"/>
  <c r="O2175" i="27" s="1"/>
  <c r="AA2171" i="16"/>
  <c r="L2171" i="27" s="1"/>
  <c r="O2171" i="27" s="1"/>
  <c r="AA2167" i="16"/>
  <c r="L2167" i="27" s="1"/>
  <c r="O2167" i="27" s="1"/>
  <c r="AA2163" i="16"/>
  <c r="L2163" i="27" s="1"/>
  <c r="O2163" i="27" s="1"/>
  <c r="AA2159" i="16"/>
  <c r="L2159" i="27" s="1"/>
  <c r="O2159" i="27" s="1"/>
  <c r="AA2155" i="16"/>
  <c r="L2155" i="27" s="1"/>
  <c r="O2155" i="27" s="1"/>
  <c r="AA2151" i="16"/>
  <c r="L2151" i="27" s="1"/>
  <c r="O2151" i="27" s="1"/>
  <c r="AA2147" i="16"/>
  <c r="L2147" i="27" s="1"/>
  <c r="O2147" i="27" s="1"/>
  <c r="AA2143" i="16"/>
  <c r="L2143" i="27" s="1"/>
  <c r="O2143" i="27" s="1"/>
  <c r="AA2139" i="16"/>
  <c r="L2139" i="27" s="1"/>
  <c r="O2139" i="27" s="1"/>
  <c r="AA2135" i="16"/>
  <c r="L2135" i="27" s="1"/>
  <c r="O2135" i="27" s="1"/>
  <c r="AA2131" i="16"/>
  <c r="L2131" i="27" s="1"/>
  <c r="O2131" i="27" s="1"/>
  <c r="AA2127" i="16"/>
  <c r="L2127" i="27" s="1"/>
  <c r="O2127" i="27" s="1"/>
  <c r="AA2254" i="16"/>
  <c r="AA2250" i="16"/>
  <c r="L2250" i="27" s="1"/>
  <c r="O2250" i="27" s="1"/>
  <c r="AA2246" i="16"/>
  <c r="L2246" i="27" s="1"/>
  <c r="O2246" i="27" s="1"/>
  <c r="AA2242" i="16"/>
  <c r="L2242" i="27" s="1"/>
  <c r="O2242" i="27" s="1"/>
  <c r="AA2238" i="16"/>
  <c r="L2238" i="27" s="1"/>
  <c r="O2238" i="27" s="1"/>
  <c r="AA2234" i="16"/>
  <c r="L2234" i="27" s="1"/>
  <c r="O2234" i="27" s="1"/>
  <c r="AA2230" i="16"/>
  <c r="L2230" i="27" s="1"/>
  <c r="O2230" i="27" s="1"/>
  <c r="AA2226" i="16"/>
  <c r="L2226" i="27" s="1"/>
  <c r="O2226" i="27" s="1"/>
  <c r="AA2222" i="16"/>
  <c r="L2222" i="27" s="1"/>
  <c r="O2222" i="27" s="1"/>
  <c r="AA2218" i="16"/>
  <c r="L2218" i="27" s="1"/>
  <c r="O2218" i="27" s="1"/>
  <c r="AA2214" i="16"/>
  <c r="L2214" i="27" s="1"/>
  <c r="O2214" i="27" s="1"/>
  <c r="AA2210" i="16"/>
  <c r="L2210" i="27" s="1"/>
  <c r="O2210" i="27" s="1"/>
  <c r="AA2206" i="16"/>
  <c r="L2206" i="27" s="1"/>
  <c r="O2206" i="27" s="1"/>
  <c r="AA2202" i="16"/>
  <c r="L2202" i="27" s="1"/>
  <c r="O2202" i="27" s="1"/>
  <c r="AA2198" i="16"/>
  <c r="L2198" i="27" s="1"/>
  <c r="O2198" i="27" s="1"/>
  <c r="AA2194" i="16"/>
  <c r="L2194" i="27" s="1"/>
  <c r="O2194" i="27" s="1"/>
  <c r="AA2190" i="16"/>
  <c r="L2190" i="27" s="1"/>
  <c r="O2190" i="27" s="1"/>
  <c r="AA2186" i="16"/>
  <c r="L2186" i="27" s="1"/>
  <c r="O2186" i="27" s="1"/>
  <c r="AA2182" i="16"/>
  <c r="L2182" i="27" s="1"/>
  <c r="O2182" i="27" s="1"/>
  <c r="AA2178" i="16"/>
  <c r="L2178" i="27" s="1"/>
  <c r="O2178" i="27" s="1"/>
  <c r="AA2174" i="16"/>
  <c r="L2174" i="27" s="1"/>
  <c r="O2174" i="27" s="1"/>
  <c r="AA2170" i="16"/>
  <c r="L2170" i="27" s="1"/>
  <c r="O2170" i="27" s="1"/>
  <c r="AA2166" i="16"/>
  <c r="L2166" i="27" s="1"/>
  <c r="O2166" i="27" s="1"/>
  <c r="AA2162" i="16"/>
  <c r="L2162" i="27" s="1"/>
  <c r="O2162" i="27" s="1"/>
  <c r="AA2158" i="16"/>
  <c r="L2158" i="27" s="1"/>
  <c r="O2158" i="27" s="1"/>
  <c r="AA2154" i="16"/>
  <c r="L2154" i="27" s="1"/>
  <c r="O2154" i="27" s="1"/>
  <c r="AA2150" i="16"/>
  <c r="L2150" i="27" s="1"/>
  <c r="O2150" i="27" s="1"/>
  <c r="AA2146" i="16"/>
  <c r="L2146" i="27" s="1"/>
  <c r="O2146" i="27" s="1"/>
  <c r="AA2142" i="16"/>
  <c r="L2142" i="27" s="1"/>
  <c r="O2142" i="27" s="1"/>
  <c r="AA2138" i="16"/>
  <c r="L2138" i="27" s="1"/>
  <c r="O2138" i="27" s="1"/>
  <c r="AA2134" i="16"/>
  <c r="L2134" i="27" s="1"/>
  <c r="O2134" i="27" s="1"/>
  <c r="AA2130" i="16"/>
  <c r="L2130" i="27" s="1"/>
  <c r="O2130" i="27" s="1"/>
  <c r="AA2253" i="16"/>
  <c r="L2253" i="27" s="1"/>
  <c r="O2253" i="27" s="1"/>
  <c r="AA2249" i="16"/>
  <c r="L2249" i="27" s="1"/>
  <c r="O2249" i="27" s="1"/>
  <c r="AA2245" i="16"/>
  <c r="L2245" i="27" s="1"/>
  <c r="O2245" i="27" s="1"/>
  <c r="AA2241" i="16"/>
  <c r="L2241" i="27" s="1"/>
  <c r="O2241" i="27" s="1"/>
  <c r="AA2237" i="16"/>
  <c r="L2237" i="27" s="1"/>
  <c r="O2237" i="27" s="1"/>
  <c r="AA2233" i="16"/>
  <c r="L2233" i="27" s="1"/>
  <c r="O2233" i="27" s="1"/>
  <c r="AA2229" i="16"/>
  <c r="L2229" i="27" s="1"/>
  <c r="O2229" i="27" s="1"/>
  <c r="AA2225" i="16"/>
  <c r="L2225" i="27" s="1"/>
  <c r="O2225" i="27" s="1"/>
  <c r="AA2221" i="16"/>
  <c r="L2221" i="27" s="1"/>
  <c r="O2221" i="27" s="1"/>
  <c r="AA2217" i="16"/>
  <c r="L2217" i="27" s="1"/>
  <c r="O2217" i="27" s="1"/>
  <c r="AA2213" i="16"/>
  <c r="L2213" i="27" s="1"/>
  <c r="O2213" i="27" s="1"/>
  <c r="AA2209" i="16"/>
  <c r="L2209" i="27" s="1"/>
  <c r="O2209" i="27" s="1"/>
  <c r="AA2205" i="16"/>
  <c r="L2205" i="27" s="1"/>
  <c r="O2205" i="27" s="1"/>
  <c r="AA2201" i="16"/>
  <c r="L2201" i="27" s="1"/>
  <c r="O2201" i="27" s="1"/>
  <c r="AA2197" i="16"/>
  <c r="L2197" i="27" s="1"/>
  <c r="O2197" i="27" s="1"/>
  <c r="AA2193" i="16"/>
  <c r="L2193" i="27" s="1"/>
  <c r="O2193" i="27" s="1"/>
  <c r="AA2189" i="16"/>
  <c r="L2189" i="27" s="1"/>
  <c r="O2189" i="27" s="1"/>
  <c r="AA2185" i="16"/>
  <c r="L2185" i="27" s="1"/>
  <c r="O2185" i="27" s="1"/>
  <c r="AA2181" i="16"/>
  <c r="L2181" i="27" s="1"/>
  <c r="O2181" i="27" s="1"/>
  <c r="AA2177" i="16"/>
  <c r="L2177" i="27" s="1"/>
  <c r="O2177" i="27" s="1"/>
  <c r="AA2173" i="16"/>
  <c r="L2173" i="27" s="1"/>
  <c r="O2173" i="27" s="1"/>
  <c r="AA2169" i="16"/>
  <c r="L2169" i="27" s="1"/>
  <c r="O2169" i="27" s="1"/>
  <c r="AA2165" i="16"/>
  <c r="L2165" i="27" s="1"/>
  <c r="O2165" i="27" s="1"/>
  <c r="AA2161" i="16"/>
  <c r="L2161" i="27" s="1"/>
  <c r="O2161" i="27" s="1"/>
  <c r="AA2157" i="16"/>
  <c r="L2157" i="27" s="1"/>
  <c r="O2157" i="27" s="1"/>
  <c r="AA2153" i="16"/>
  <c r="L2153" i="27" s="1"/>
  <c r="O2153" i="27" s="1"/>
  <c r="AA2149" i="16"/>
  <c r="L2149" i="27" s="1"/>
  <c r="O2149" i="27" s="1"/>
  <c r="AA2145" i="16"/>
  <c r="L2145" i="27" s="1"/>
  <c r="O2145" i="27" s="1"/>
  <c r="AA2141" i="16"/>
  <c r="L2141" i="27" s="1"/>
  <c r="O2141" i="27" s="1"/>
  <c r="AA2137" i="16"/>
  <c r="L2137" i="27" s="1"/>
  <c r="O2137" i="27" s="1"/>
  <c r="AA2133" i="16"/>
  <c r="L2133" i="27" s="1"/>
  <c r="O2133" i="27" s="1"/>
  <c r="AA2129" i="16"/>
  <c r="L2129" i="27" s="1"/>
  <c r="O2129" i="27" s="1"/>
  <c r="AA2252" i="16"/>
  <c r="L2252" i="27" s="1"/>
  <c r="O2252" i="27" s="1"/>
  <c r="AA2248" i="16"/>
  <c r="L2248" i="27" s="1"/>
  <c r="O2248" i="27" s="1"/>
  <c r="AA2244" i="16"/>
  <c r="L2244" i="27" s="1"/>
  <c r="O2244" i="27" s="1"/>
  <c r="AA2240" i="16"/>
  <c r="L2240" i="27" s="1"/>
  <c r="O2240" i="27" s="1"/>
  <c r="AA2236" i="16"/>
  <c r="L2236" i="27" s="1"/>
  <c r="O2236" i="27" s="1"/>
  <c r="AA2232" i="16"/>
  <c r="L2232" i="27" s="1"/>
  <c r="O2232" i="27" s="1"/>
  <c r="AA2228" i="16"/>
  <c r="L2228" i="27" s="1"/>
  <c r="O2228" i="27" s="1"/>
  <c r="AA2224" i="16"/>
  <c r="L2224" i="27" s="1"/>
  <c r="O2224" i="27" s="1"/>
  <c r="AA2220" i="16"/>
  <c r="L2220" i="27" s="1"/>
  <c r="O2220" i="27" s="1"/>
  <c r="AA2216" i="16"/>
  <c r="L2216" i="27" s="1"/>
  <c r="O2216" i="27" s="1"/>
  <c r="AA2212" i="16"/>
  <c r="L2212" i="27" s="1"/>
  <c r="O2212" i="27" s="1"/>
  <c r="AA2208" i="16"/>
  <c r="L2208" i="27" s="1"/>
  <c r="O2208" i="27" s="1"/>
  <c r="AA2204" i="16"/>
  <c r="L2204" i="27" s="1"/>
  <c r="O2204" i="27" s="1"/>
  <c r="AA2200" i="16"/>
  <c r="L2200" i="27" s="1"/>
  <c r="O2200" i="27" s="1"/>
  <c r="AA2196" i="16"/>
  <c r="L2196" i="27" s="1"/>
  <c r="O2196" i="27" s="1"/>
  <c r="AA2192" i="16"/>
  <c r="L2192" i="27" s="1"/>
  <c r="O2192" i="27" s="1"/>
  <c r="AA2188" i="16"/>
  <c r="L2188" i="27" s="1"/>
  <c r="O2188" i="27" s="1"/>
  <c r="AA2184" i="16"/>
  <c r="L2184" i="27" s="1"/>
  <c r="O2184" i="27" s="1"/>
  <c r="AA2180" i="16"/>
  <c r="L2180" i="27" s="1"/>
  <c r="O2180" i="27" s="1"/>
  <c r="AA2176" i="16"/>
  <c r="L2176" i="27" s="1"/>
  <c r="O2176" i="27" s="1"/>
  <c r="AA2172" i="16"/>
  <c r="L2172" i="27" s="1"/>
  <c r="O2172" i="27" s="1"/>
  <c r="AA2168" i="16"/>
  <c r="L2168" i="27" s="1"/>
  <c r="O2168" i="27" s="1"/>
  <c r="AA2164" i="16"/>
  <c r="L2164" i="27" s="1"/>
  <c r="O2164" i="27" s="1"/>
  <c r="AA2160" i="16"/>
  <c r="L2160" i="27" s="1"/>
  <c r="O2160" i="27" s="1"/>
  <c r="AA2156" i="16"/>
  <c r="L2156" i="27" s="1"/>
  <c r="O2156" i="27" s="1"/>
  <c r="AA2152" i="16"/>
  <c r="L2152" i="27" s="1"/>
  <c r="O2152" i="27" s="1"/>
  <c r="AA2148" i="16"/>
  <c r="L2148" i="27" s="1"/>
  <c r="O2148" i="27" s="1"/>
  <c r="AA2144" i="16"/>
  <c r="L2144" i="27" s="1"/>
  <c r="O2144" i="27" s="1"/>
  <c r="AA2140" i="16"/>
  <c r="L2140" i="27" s="1"/>
  <c r="O2140" i="27" s="1"/>
  <c r="AA2136" i="16"/>
  <c r="L2136" i="27" s="1"/>
  <c r="O2136" i="27" s="1"/>
  <c r="AA2132" i="16"/>
  <c r="L2132" i="27" s="1"/>
  <c r="O2132" i="27" s="1"/>
  <c r="AA2128" i="16"/>
  <c r="L2128" i="27" s="1"/>
  <c r="O2128" i="27" s="1"/>
  <c r="AA1289" i="16"/>
  <c r="L1289" i="27" s="1"/>
  <c r="O1289" i="27" s="1"/>
  <c r="AA1285" i="16"/>
  <c r="L1285" i="27" s="1"/>
  <c r="O1285" i="27" s="1"/>
  <c r="AA1281" i="16"/>
  <c r="L1281" i="27" s="1"/>
  <c r="O1281" i="27" s="1"/>
  <c r="AG1214" i="16"/>
  <c r="AA1032" i="16"/>
  <c r="L1032" i="27" s="1"/>
  <c r="O1032" i="27" s="1"/>
  <c r="AA1028" i="16"/>
  <c r="L1028" i="27" s="1"/>
  <c r="O1028" i="27" s="1"/>
  <c r="AA1024" i="16"/>
  <c r="L1024" i="27" s="1"/>
  <c r="O1024" i="27" s="1"/>
  <c r="AA1020" i="16"/>
  <c r="L1020" i="27" s="1"/>
  <c r="O1020" i="27" s="1"/>
  <c r="AA1016" i="16"/>
  <c r="L1016" i="27" s="1"/>
  <c r="O1016" i="27" s="1"/>
  <c r="AA1012" i="16"/>
  <c r="L1012" i="27" s="1"/>
  <c r="O1012" i="27" s="1"/>
  <c r="AA1008" i="16"/>
  <c r="L1008" i="27" s="1"/>
  <c r="O1008" i="27" s="1"/>
  <c r="AA1004" i="16"/>
  <c r="L1004" i="27" s="1"/>
  <c r="O1004" i="27" s="1"/>
  <c r="AA930" i="16"/>
  <c r="L930" i="27" s="1"/>
  <c r="O930" i="27" s="1"/>
  <c r="AA926" i="16"/>
  <c r="L926" i="27" s="1"/>
  <c r="O926" i="27" s="1"/>
  <c r="AA922" i="16"/>
  <c r="L922" i="27" s="1"/>
  <c r="O922" i="27" s="1"/>
  <c r="AA918" i="16"/>
  <c r="L918" i="27" s="1"/>
  <c r="O918" i="27" s="1"/>
  <c r="AA914" i="16"/>
  <c r="L914" i="27" s="1"/>
  <c r="O914" i="27" s="1"/>
  <c r="AA910" i="16"/>
  <c r="L910" i="27" s="1"/>
  <c r="O910" i="27" s="1"/>
  <c r="AA852" i="16"/>
  <c r="L852" i="27" s="1"/>
  <c r="O852" i="27" s="1"/>
  <c r="AA848" i="16"/>
  <c r="L848" i="27" s="1"/>
  <c r="O848" i="27" s="1"/>
  <c r="AA844" i="16"/>
  <c r="L844" i="27" s="1"/>
  <c r="O844" i="27" s="1"/>
  <c r="AA840" i="16"/>
  <c r="L840" i="27" s="1"/>
  <c r="O840" i="27" s="1"/>
  <c r="AA836" i="16"/>
  <c r="L836" i="27" s="1"/>
  <c r="O836" i="27" s="1"/>
  <c r="AA832" i="16"/>
  <c r="L832" i="27" s="1"/>
  <c r="O832" i="27" s="1"/>
  <c r="AA828" i="16"/>
  <c r="L828" i="27" s="1"/>
  <c r="O828" i="27" s="1"/>
  <c r="AA824" i="16"/>
  <c r="L824" i="27" s="1"/>
  <c r="O824" i="27" s="1"/>
  <c r="AA716" i="16"/>
  <c r="L716" i="27" s="1"/>
  <c r="O716" i="27" s="1"/>
  <c r="AA712" i="16"/>
  <c r="L712" i="27" s="1"/>
  <c r="O712" i="27" s="1"/>
  <c r="AA708" i="16"/>
  <c r="L708" i="27" s="1"/>
  <c r="O708" i="27" s="1"/>
  <c r="AA704" i="16"/>
  <c r="L704" i="27" s="1"/>
  <c r="O704" i="27" s="1"/>
  <c r="AA700" i="16"/>
  <c r="L700" i="27" s="1"/>
  <c r="O700" i="27" s="1"/>
  <c r="AA696" i="16"/>
  <c r="L696" i="27" s="1"/>
  <c r="O696" i="27" s="1"/>
  <c r="AA692" i="16"/>
  <c r="L692" i="27" s="1"/>
  <c r="O692" i="27" s="1"/>
  <c r="AA688" i="16"/>
  <c r="L688" i="27" s="1"/>
  <c r="O688" i="27" s="1"/>
  <c r="AA684" i="16"/>
  <c r="L684" i="27" s="1"/>
  <c r="O684" i="27" s="1"/>
  <c r="AA608" i="16"/>
  <c r="L608" i="27" s="1"/>
  <c r="O608" i="27" s="1"/>
  <c r="AA604" i="16"/>
  <c r="L604" i="27" s="1"/>
  <c r="O604" i="27" s="1"/>
  <c r="AA600" i="16"/>
  <c r="L600" i="27" s="1"/>
  <c r="O600" i="27" s="1"/>
  <c r="AG584" i="16"/>
  <c r="AG556" i="16"/>
  <c r="AA536" i="16"/>
  <c r="L536" i="27" s="1"/>
  <c r="O536" i="27" s="1"/>
  <c r="AA532" i="16"/>
  <c r="L532" i="27" s="1"/>
  <c r="O532" i="27" s="1"/>
  <c r="AA528" i="16"/>
  <c r="L528" i="27" s="1"/>
  <c r="O528" i="27" s="1"/>
  <c r="AA524" i="16"/>
  <c r="L524" i="27" s="1"/>
  <c r="O524" i="27" s="1"/>
  <c r="AA520" i="16"/>
  <c r="L520" i="27" s="1"/>
  <c r="O520" i="27" s="1"/>
  <c r="AA516" i="16"/>
  <c r="L516" i="27" s="1"/>
  <c r="O516" i="27" s="1"/>
  <c r="AA488" i="16"/>
  <c r="L488" i="27" s="1"/>
  <c r="O488" i="27" s="1"/>
  <c r="AA484" i="16"/>
  <c r="L484" i="27" s="1"/>
  <c r="O484" i="27" s="1"/>
  <c r="AA480" i="16"/>
  <c r="L480" i="27" s="1"/>
  <c r="O480" i="27" s="1"/>
  <c r="AA424" i="16"/>
  <c r="L424" i="27" s="1"/>
  <c r="O424" i="27" s="1"/>
  <c r="AA420" i="16"/>
  <c r="L420" i="27" s="1"/>
  <c r="O420" i="27" s="1"/>
  <c r="AA416" i="16"/>
  <c r="L416" i="27" s="1"/>
  <c r="O416" i="27" s="1"/>
  <c r="AA412" i="16"/>
  <c r="L412" i="27" s="1"/>
  <c r="O412" i="27" s="1"/>
  <c r="AA408" i="16"/>
  <c r="L408" i="27" s="1"/>
  <c r="O408" i="27" s="1"/>
  <c r="AA404" i="16"/>
  <c r="L404" i="27" s="1"/>
  <c r="O404" i="27" s="1"/>
  <c r="AA400" i="16"/>
  <c r="L400" i="27" s="1"/>
  <c r="O400" i="27" s="1"/>
  <c r="AA396" i="16"/>
  <c r="L396" i="27" s="1"/>
  <c r="O396" i="27" s="1"/>
  <c r="AA1288" i="16"/>
  <c r="L1288" i="27" s="1"/>
  <c r="O1288" i="27" s="1"/>
  <c r="AA1284" i="16"/>
  <c r="L1284" i="27" s="1"/>
  <c r="O1284" i="27" s="1"/>
  <c r="AG1115" i="16"/>
  <c r="AG1103" i="16"/>
  <c r="AA1031" i="16"/>
  <c r="L1031" i="27" s="1"/>
  <c r="O1031" i="27" s="1"/>
  <c r="AA1027" i="16"/>
  <c r="L1027" i="27" s="1"/>
  <c r="O1027" i="27" s="1"/>
  <c r="AA1023" i="16"/>
  <c r="L1023" i="27" s="1"/>
  <c r="O1023" i="27" s="1"/>
  <c r="AA1019" i="16"/>
  <c r="L1019" i="27" s="1"/>
  <c r="O1019" i="27" s="1"/>
  <c r="AA1015" i="16"/>
  <c r="L1015" i="27" s="1"/>
  <c r="O1015" i="27" s="1"/>
  <c r="AA1011" i="16"/>
  <c r="L1011" i="27" s="1"/>
  <c r="O1011" i="27" s="1"/>
  <c r="AA1007" i="16"/>
  <c r="L1007" i="27" s="1"/>
  <c r="O1007" i="27" s="1"/>
  <c r="AA1003" i="16"/>
  <c r="L1003" i="27" s="1"/>
  <c r="O1003" i="27" s="1"/>
  <c r="AA933" i="16"/>
  <c r="L933" i="27" s="1"/>
  <c r="O933" i="27" s="1"/>
  <c r="AA929" i="16"/>
  <c r="L929" i="27" s="1"/>
  <c r="O929" i="27" s="1"/>
  <c r="AA925" i="16"/>
  <c r="L925" i="27" s="1"/>
  <c r="O925" i="27" s="1"/>
  <c r="AA921" i="16"/>
  <c r="L921" i="27" s="1"/>
  <c r="O921" i="27" s="1"/>
  <c r="AA917" i="16"/>
  <c r="L917" i="27" s="1"/>
  <c r="O917" i="27" s="1"/>
  <c r="AA913" i="16"/>
  <c r="L913" i="27" s="1"/>
  <c r="O913" i="27" s="1"/>
  <c r="AA909" i="16"/>
  <c r="L909" i="27" s="1"/>
  <c r="O909" i="27" s="1"/>
  <c r="AA855" i="16"/>
  <c r="L855" i="27" s="1"/>
  <c r="O855" i="27" s="1"/>
  <c r="AA851" i="16"/>
  <c r="L851" i="27" s="1"/>
  <c r="O851" i="27" s="1"/>
  <c r="AA847" i="16"/>
  <c r="L847" i="27" s="1"/>
  <c r="O847" i="27" s="1"/>
  <c r="AA843" i="16"/>
  <c r="L843" i="27" s="1"/>
  <c r="O843" i="27" s="1"/>
  <c r="AA839" i="16"/>
  <c r="L839" i="27" s="1"/>
  <c r="O839" i="27" s="1"/>
  <c r="AA835" i="16"/>
  <c r="L835" i="27" s="1"/>
  <c r="O835" i="27" s="1"/>
  <c r="AA831" i="16"/>
  <c r="L831" i="27" s="1"/>
  <c r="O831" i="27" s="1"/>
  <c r="AA827" i="16"/>
  <c r="L827" i="27" s="1"/>
  <c r="O827" i="27" s="1"/>
  <c r="AA715" i="16"/>
  <c r="L715" i="27" s="1"/>
  <c r="O715" i="27" s="1"/>
  <c r="AA711" i="16"/>
  <c r="L711" i="27" s="1"/>
  <c r="O711" i="27" s="1"/>
  <c r="AA707" i="16"/>
  <c r="L707" i="27" s="1"/>
  <c r="O707" i="27" s="1"/>
  <c r="AA703" i="16"/>
  <c r="L703" i="27" s="1"/>
  <c r="O703" i="27" s="1"/>
  <c r="AA699" i="16"/>
  <c r="L699" i="27" s="1"/>
  <c r="O699" i="27" s="1"/>
  <c r="AA695" i="16"/>
  <c r="L695" i="27" s="1"/>
  <c r="O695" i="27" s="1"/>
  <c r="AA691" i="16"/>
  <c r="L691" i="27" s="1"/>
  <c r="O691" i="27" s="1"/>
  <c r="AA687" i="16"/>
  <c r="L687" i="27" s="1"/>
  <c r="O687" i="27" s="1"/>
  <c r="AA683" i="16"/>
  <c r="L683" i="27" s="1"/>
  <c r="O683" i="27" s="1"/>
  <c r="AA607" i="16"/>
  <c r="L607" i="27" s="1"/>
  <c r="O607" i="27" s="1"/>
  <c r="AA603" i="16"/>
  <c r="L603" i="27" s="1"/>
  <c r="O603" i="27" s="1"/>
  <c r="AA535" i="16"/>
  <c r="L535" i="27" s="1"/>
  <c r="O535" i="27" s="1"/>
  <c r="AA531" i="16"/>
  <c r="L531" i="27" s="1"/>
  <c r="O531" i="27" s="1"/>
  <c r="AA527" i="16"/>
  <c r="L527" i="27" s="1"/>
  <c r="O527" i="27" s="1"/>
  <c r="AA523" i="16"/>
  <c r="L523" i="27" s="1"/>
  <c r="O523" i="27" s="1"/>
  <c r="AA519" i="16"/>
  <c r="L519" i="27" s="1"/>
  <c r="O519" i="27" s="1"/>
  <c r="AA515" i="16"/>
  <c r="L515" i="27" s="1"/>
  <c r="O515" i="27" s="1"/>
  <c r="AA487" i="16"/>
  <c r="L487" i="27" s="1"/>
  <c r="O487" i="27" s="1"/>
  <c r="AA483" i="16"/>
  <c r="L483" i="27" s="1"/>
  <c r="O483" i="27" s="1"/>
  <c r="AA479" i="16"/>
  <c r="L479" i="27" s="1"/>
  <c r="O479" i="27" s="1"/>
  <c r="AA423" i="16"/>
  <c r="L423" i="27" s="1"/>
  <c r="O423" i="27" s="1"/>
  <c r="AA419" i="16"/>
  <c r="L419" i="27" s="1"/>
  <c r="O419" i="27" s="1"/>
  <c r="AA415" i="16"/>
  <c r="L415" i="27" s="1"/>
  <c r="O415" i="27" s="1"/>
  <c r="AA411" i="16"/>
  <c r="L411" i="27" s="1"/>
  <c r="O411" i="27" s="1"/>
  <c r="AA407" i="16"/>
  <c r="L407" i="27" s="1"/>
  <c r="O407" i="27" s="1"/>
  <c r="AA403" i="16"/>
  <c r="L403" i="27" s="1"/>
  <c r="O403" i="27" s="1"/>
  <c r="AA399" i="16"/>
  <c r="L399" i="27" s="1"/>
  <c r="O399" i="27" s="1"/>
  <c r="AA1291" i="16"/>
  <c r="L1291" i="27" s="1"/>
  <c r="O1291" i="27" s="1"/>
  <c r="AA1287" i="16"/>
  <c r="L1287" i="27" s="1"/>
  <c r="O1287" i="27" s="1"/>
  <c r="AA1283" i="16"/>
  <c r="L1283" i="27" s="1"/>
  <c r="O1283" i="27" s="1"/>
  <c r="AG1252" i="16"/>
  <c r="AG1212" i="16"/>
  <c r="AG1200" i="16"/>
  <c r="AG1114" i="16"/>
  <c r="AA1030" i="16"/>
  <c r="L1030" i="27" s="1"/>
  <c r="O1030" i="27" s="1"/>
  <c r="AA1026" i="16"/>
  <c r="L1026" i="27" s="1"/>
  <c r="O1026" i="27" s="1"/>
  <c r="AA1022" i="16"/>
  <c r="L1022" i="27" s="1"/>
  <c r="O1022" i="27" s="1"/>
  <c r="AA1018" i="16"/>
  <c r="L1018" i="27" s="1"/>
  <c r="O1018" i="27" s="1"/>
  <c r="AA1014" i="16"/>
  <c r="L1014" i="27" s="1"/>
  <c r="O1014" i="27" s="1"/>
  <c r="AA1010" i="16"/>
  <c r="L1010" i="27" s="1"/>
  <c r="O1010" i="27" s="1"/>
  <c r="AA1006" i="16"/>
  <c r="L1006" i="27" s="1"/>
  <c r="O1006" i="27" s="1"/>
  <c r="AA1002" i="16"/>
  <c r="L1002" i="27" s="1"/>
  <c r="O1002" i="27" s="1"/>
  <c r="AA932" i="16"/>
  <c r="L932" i="27" s="1"/>
  <c r="O932" i="27" s="1"/>
  <c r="AA928" i="16"/>
  <c r="L928" i="27" s="1"/>
  <c r="O928" i="27" s="1"/>
  <c r="AA924" i="16"/>
  <c r="L924" i="27" s="1"/>
  <c r="O924" i="27" s="1"/>
  <c r="AA920" i="16"/>
  <c r="L920" i="27" s="1"/>
  <c r="O920" i="27" s="1"/>
  <c r="AA916" i="16"/>
  <c r="L916" i="27" s="1"/>
  <c r="O916" i="27" s="1"/>
  <c r="AA912" i="16"/>
  <c r="L912" i="27" s="1"/>
  <c r="O912" i="27" s="1"/>
  <c r="AA908" i="16"/>
  <c r="L908" i="27" s="1"/>
  <c r="O908" i="27" s="1"/>
  <c r="AA854" i="16"/>
  <c r="L854" i="27" s="1"/>
  <c r="O854" i="27" s="1"/>
  <c r="AA850" i="16"/>
  <c r="L850" i="27" s="1"/>
  <c r="O850" i="27" s="1"/>
  <c r="AA846" i="16"/>
  <c r="L846" i="27" s="1"/>
  <c r="O846" i="27" s="1"/>
  <c r="AA842" i="16"/>
  <c r="L842" i="27" s="1"/>
  <c r="O842" i="27" s="1"/>
  <c r="AA838" i="16"/>
  <c r="L838" i="27" s="1"/>
  <c r="O838" i="27" s="1"/>
  <c r="AA834" i="16"/>
  <c r="L834" i="27" s="1"/>
  <c r="O834" i="27" s="1"/>
  <c r="AA830" i="16"/>
  <c r="L830" i="27" s="1"/>
  <c r="O830" i="27" s="1"/>
  <c r="AA826" i="16"/>
  <c r="L826" i="27" s="1"/>
  <c r="O826" i="27" s="1"/>
  <c r="AA714" i="16"/>
  <c r="L714" i="27" s="1"/>
  <c r="O714" i="27" s="1"/>
  <c r="AA710" i="16"/>
  <c r="L710" i="27" s="1"/>
  <c r="O710" i="27" s="1"/>
  <c r="AA706" i="16"/>
  <c r="L706" i="27" s="1"/>
  <c r="O706" i="27" s="1"/>
  <c r="AA702" i="16"/>
  <c r="L702" i="27" s="1"/>
  <c r="O702" i="27" s="1"/>
  <c r="AA698" i="16"/>
  <c r="L698" i="27" s="1"/>
  <c r="O698" i="27" s="1"/>
  <c r="AA694" i="16"/>
  <c r="L694" i="27" s="1"/>
  <c r="O694" i="27" s="1"/>
  <c r="AA690" i="16"/>
  <c r="L690" i="27" s="1"/>
  <c r="O690" i="27" s="1"/>
  <c r="AA686" i="16"/>
  <c r="L686" i="27" s="1"/>
  <c r="O686" i="27" s="1"/>
  <c r="AA610" i="16"/>
  <c r="L610" i="27" s="1"/>
  <c r="O610" i="27" s="1"/>
  <c r="AA606" i="16"/>
  <c r="L606" i="27" s="1"/>
  <c r="O606" i="27" s="1"/>
  <c r="AA602" i="16"/>
  <c r="L602" i="27" s="1"/>
  <c r="O602" i="27" s="1"/>
  <c r="AG554" i="16"/>
  <c r="AA538" i="16"/>
  <c r="AA534" i="16"/>
  <c r="L534" i="27" s="1"/>
  <c r="O534" i="27" s="1"/>
  <c r="AA530" i="16"/>
  <c r="L530" i="27" s="1"/>
  <c r="O530" i="27" s="1"/>
  <c r="AA526" i="16"/>
  <c r="L526" i="27" s="1"/>
  <c r="O526" i="27" s="1"/>
  <c r="AA522" i="16"/>
  <c r="L522" i="27" s="1"/>
  <c r="O522" i="27" s="1"/>
  <c r="AA518" i="16"/>
  <c r="L518" i="27" s="1"/>
  <c r="O518" i="27" s="1"/>
  <c r="AA490" i="16"/>
  <c r="L490" i="27" s="1"/>
  <c r="O490" i="27" s="1"/>
  <c r="AA486" i="16"/>
  <c r="L486" i="27" s="1"/>
  <c r="O486" i="27" s="1"/>
  <c r="AA482" i="16"/>
  <c r="L482" i="27" s="1"/>
  <c r="O482" i="27" s="1"/>
  <c r="AA478" i="16"/>
  <c r="L478" i="27" s="1"/>
  <c r="O478" i="27" s="1"/>
  <c r="AA426" i="16"/>
  <c r="L426" i="27" s="1"/>
  <c r="O426" i="27" s="1"/>
  <c r="AA422" i="16"/>
  <c r="L422" i="27" s="1"/>
  <c r="O422" i="27" s="1"/>
  <c r="AA418" i="16"/>
  <c r="L418" i="27" s="1"/>
  <c r="O418" i="27" s="1"/>
  <c r="AA414" i="16"/>
  <c r="L414" i="27" s="1"/>
  <c r="O414" i="27" s="1"/>
  <c r="AA410" i="16"/>
  <c r="L410" i="27" s="1"/>
  <c r="O410" i="27" s="1"/>
  <c r="AA406" i="16"/>
  <c r="L406" i="27" s="1"/>
  <c r="O406" i="27" s="1"/>
  <c r="AA402" i="16"/>
  <c r="L402" i="27" s="1"/>
  <c r="O402" i="27" s="1"/>
  <c r="AA398" i="16"/>
  <c r="L398" i="27" s="1"/>
  <c r="O398" i="27" s="1"/>
  <c r="AA1286" i="16"/>
  <c r="L1286" i="27" s="1"/>
  <c r="O1286" i="27" s="1"/>
  <c r="AA1029" i="16"/>
  <c r="L1029" i="27" s="1"/>
  <c r="O1029" i="27" s="1"/>
  <c r="AA1013" i="16"/>
  <c r="L1013" i="27" s="1"/>
  <c r="O1013" i="27" s="1"/>
  <c r="AA931" i="16"/>
  <c r="L931" i="27" s="1"/>
  <c r="O931" i="27" s="1"/>
  <c r="AA915" i="16"/>
  <c r="L915" i="27" s="1"/>
  <c r="O915" i="27" s="1"/>
  <c r="AA841" i="16"/>
  <c r="L841" i="27" s="1"/>
  <c r="O841" i="27" s="1"/>
  <c r="AA825" i="16"/>
  <c r="L825" i="27" s="1"/>
  <c r="O825" i="27" s="1"/>
  <c r="AA705" i="16"/>
  <c r="L705" i="27" s="1"/>
  <c r="O705" i="27" s="1"/>
  <c r="AA689" i="16"/>
  <c r="L689" i="27" s="1"/>
  <c r="O689" i="27" s="1"/>
  <c r="AA605" i="16"/>
  <c r="L605" i="27" s="1"/>
  <c r="O605" i="27" s="1"/>
  <c r="AA525" i="16"/>
  <c r="L525" i="27" s="1"/>
  <c r="O525" i="27" s="1"/>
  <c r="AA477" i="16"/>
  <c r="L477" i="27" s="1"/>
  <c r="O477" i="27" s="1"/>
  <c r="AA425" i="16"/>
  <c r="L425" i="27" s="1"/>
  <c r="O425" i="27" s="1"/>
  <c r="AA409" i="16"/>
  <c r="L409" i="27" s="1"/>
  <c r="O409" i="27" s="1"/>
  <c r="AG1207" i="16"/>
  <c r="AA1021" i="16"/>
  <c r="L1021" i="27" s="1"/>
  <c r="O1021" i="27" s="1"/>
  <c r="AA923" i="16"/>
  <c r="L923" i="27" s="1"/>
  <c r="O923" i="27" s="1"/>
  <c r="AA833" i="16"/>
  <c r="L833" i="27" s="1"/>
  <c r="O833" i="27" s="1"/>
  <c r="AA713" i="16"/>
  <c r="L713" i="27" s="1"/>
  <c r="O713" i="27" s="1"/>
  <c r="AA533" i="16"/>
  <c r="L533" i="27" s="1"/>
  <c r="O533" i="27" s="1"/>
  <c r="AA485" i="16"/>
  <c r="L485" i="27" s="1"/>
  <c r="O485" i="27" s="1"/>
  <c r="AA417" i="16"/>
  <c r="L417" i="27" s="1"/>
  <c r="O417" i="27" s="1"/>
  <c r="AA1290" i="16"/>
  <c r="L1290" i="27" s="1"/>
  <c r="O1290" i="27" s="1"/>
  <c r="AA1282" i="16"/>
  <c r="L1282" i="27" s="1"/>
  <c r="O1282" i="27" s="1"/>
  <c r="AA1025" i="16"/>
  <c r="L1025" i="27" s="1"/>
  <c r="O1025" i="27" s="1"/>
  <c r="AA1009" i="16"/>
  <c r="L1009" i="27" s="1"/>
  <c r="O1009" i="27" s="1"/>
  <c r="AA927" i="16"/>
  <c r="L927" i="27" s="1"/>
  <c r="O927" i="27" s="1"/>
  <c r="AA911" i="16"/>
  <c r="L911" i="27" s="1"/>
  <c r="O911" i="27" s="1"/>
  <c r="AA853" i="16"/>
  <c r="L853" i="27" s="1"/>
  <c r="O853" i="27" s="1"/>
  <c r="AA837" i="16"/>
  <c r="L837" i="27" s="1"/>
  <c r="O837" i="27" s="1"/>
  <c r="AA717" i="16"/>
  <c r="L717" i="27" s="1"/>
  <c r="O717" i="27" s="1"/>
  <c r="AA701" i="16"/>
  <c r="L701" i="27" s="1"/>
  <c r="O701" i="27" s="1"/>
  <c r="AA685" i="16"/>
  <c r="L685" i="27" s="1"/>
  <c r="O685" i="27" s="1"/>
  <c r="AA601" i="16"/>
  <c r="L601" i="27" s="1"/>
  <c r="O601" i="27" s="1"/>
  <c r="AA537" i="16"/>
  <c r="L537" i="27" s="1"/>
  <c r="O537" i="27" s="1"/>
  <c r="AA521" i="16"/>
  <c r="L521" i="27" s="1"/>
  <c r="O521" i="27" s="1"/>
  <c r="AA489" i="16"/>
  <c r="L489" i="27" s="1"/>
  <c r="O489" i="27" s="1"/>
  <c r="AA421" i="16"/>
  <c r="L421" i="27" s="1"/>
  <c r="O421" i="27" s="1"/>
  <c r="AA405" i="16"/>
  <c r="L405" i="27" s="1"/>
  <c r="O405" i="27" s="1"/>
  <c r="AA1005" i="16"/>
  <c r="L1005" i="27" s="1"/>
  <c r="O1005" i="27" s="1"/>
  <c r="AA849" i="16"/>
  <c r="L849" i="27" s="1"/>
  <c r="O849" i="27" s="1"/>
  <c r="AA697" i="16"/>
  <c r="L697" i="27" s="1"/>
  <c r="O697" i="27" s="1"/>
  <c r="AA517" i="16"/>
  <c r="L517" i="27" s="1"/>
  <c r="O517" i="27" s="1"/>
  <c r="AA401" i="16"/>
  <c r="L401" i="27" s="1"/>
  <c r="O401" i="27" s="1"/>
  <c r="AG1219" i="16"/>
  <c r="AA1033" i="16"/>
  <c r="AA1017" i="16"/>
  <c r="L1017" i="27" s="1"/>
  <c r="O1017" i="27" s="1"/>
  <c r="AA1001" i="16"/>
  <c r="L1001" i="27" s="1"/>
  <c r="O1001" i="27" s="1"/>
  <c r="AA919" i="16"/>
  <c r="L919" i="27" s="1"/>
  <c r="O919" i="27" s="1"/>
  <c r="AA845" i="16"/>
  <c r="L845" i="27" s="1"/>
  <c r="O845" i="27" s="1"/>
  <c r="AA829" i="16"/>
  <c r="L829" i="27" s="1"/>
  <c r="O829" i="27" s="1"/>
  <c r="AA709" i="16"/>
  <c r="L709" i="27" s="1"/>
  <c r="O709" i="27" s="1"/>
  <c r="AA693" i="16"/>
  <c r="L693" i="27" s="1"/>
  <c r="O693" i="27" s="1"/>
  <c r="AA609" i="16"/>
  <c r="L609" i="27" s="1"/>
  <c r="O609" i="27" s="1"/>
  <c r="AA529" i="16"/>
  <c r="L529" i="27" s="1"/>
  <c r="O529" i="27" s="1"/>
  <c r="AA481" i="16"/>
  <c r="L481" i="27" s="1"/>
  <c r="O481" i="27" s="1"/>
  <c r="AA413" i="16"/>
  <c r="L413" i="27" s="1"/>
  <c r="O413" i="27" s="1"/>
  <c r="AA397" i="16"/>
  <c r="L397" i="27" s="1"/>
  <c r="O397" i="27" s="1"/>
  <c r="AA339" i="17"/>
  <c r="AA338" i="17"/>
  <c r="AA337" i="17"/>
  <c r="AA336" i="17"/>
  <c r="AA335" i="17"/>
  <c r="AA334" i="17"/>
  <c r="AA333" i="17"/>
  <c r="AA332" i="17"/>
  <c r="AA331" i="17"/>
  <c r="AA330" i="17"/>
  <c r="AA329" i="17"/>
  <c r="AA328" i="17"/>
  <c r="AA327" i="17"/>
  <c r="AA326" i="17"/>
  <c r="AA325" i="17"/>
  <c r="AA324" i="17"/>
  <c r="AA323" i="17"/>
  <c r="AA322" i="17"/>
  <c r="AA321" i="17"/>
  <c r="AA320" i="17"/>
  <c r="AA319" i="17"/>
  <c r="AA318" i="17"/>
  <c r="AA317" i="17"/>
  <c r="AA316" i="17"/>
  <c r="AA1266" i="16"/>
  <c r="L1266" i="27" s="1"/>
  <c r="O1266" i="27" s="1"/>
  <c r="AA1262" i="16"/>
  <c r="L1262" i="27" s="1"/>
  <c r="O1262" i="27" s="1"/>
  <c r="AG1234" i="16"/>
  <c r="AG1064" i="16"/>
  <c r="AG1060" i="16"/>
  <c r="AA1056" i="16"/>
  <c r="AG1056" i="16" s="1"/>
  <c r="AA1052" i="16"/>
  <c r="AG1052" i="16" s="1"/>
  <c r="AA1048" i="16"/>
  <c r="AG1048" i="16" s="1"/>
  <c r="AA1044" i="16"/>
  <c r="AG1044" i="16" s="1"/>
  <c r="AA1040" i="16"/>
  <c r="AG1040" i="16" s="1"/>
  <c r="AA1036" i="16"/>
  <c r="AG1036" i="16" s="1"/>
  <c r="AA966" i="16"/>
  <c r="AA962" i="16"/>
  <c r="L962" i="27" s="1"/>
  <c r="O962" i="27" s="1"/>
  <c r="AA958" i="16"/>
  <c r="L958" i="27" s="1"/>
  <c r="O958" i="27" s="1"/>
  <c r="AA954" i="16"/>
  <c r="L954" i="27" s="1"/>
  <c r="O954" i="27" s="1"/>
  <c r="AA950" i="16"/>
  <c r="L950" i="27" s="1"/>
  <c r="O950" i="27" s="1"/>
  <c r="AA946" i="16"/>
  <c r="L946" i="27" s="1"/>
  <c r="O946" i="27" s="1"/>
  <c r="AA942" i="16"/>
  <c r="L942" i="27" s="1"/>
  <c r="O942" i="27" s="1"/>
  <c r="AA938" i="16"/>
  <c r="L938" i="27" s="1"/>
  <c r="O938" i="27" s="1"/>
  <c r="AA934" i="16"/>
  <c r="L934" i="27" s="1"/>
  <c r="O934" i="27" s="1"/>
  <c r="AA880" i="16"/>
  <c r="L880" i="27" s="1"/>
  <c r="O880" i="27" s="1"/>
  <c r="AA876" i="16"/>
  <c r="L876" i="27" s="1"/>
  <c r="O876" i="27" s="1"/>
  <c r="AA872" i="16"/>
  <c r="L872" i="27" s="1"/>
  <c r="O872" i="27" s="1"/>
  <c r="AA868" i="16"/>
  <c r="L868" i="27" s="1"/>
  <c r="O868" i="27" s="1"/>
  <c r="AA864" i="16"/>
  <c r="L864" i="27" s="1"/>
  <c r="O864" i="27" s="1"/>
  <c r="AA860" i="16"/>
  <c r="L860" i="27" s="1"/>
  <c r="O860" i="27" s="1"/>
  <c r="AA856" i="16"/>
  <c r="L856" i="27" s="1"/>
  <c r="O856" i="27" s="1"/>
  <c r="AA784" i="16"/>
  <c r="L784" i="27" s="1"/>
  <c r="O784" i="27" s="1"/>
  <c r="AA780" i="16"/>
  <c r="L780" i="27" s="1"/>
  <c r="O780" i="27" s="1"/>
  <c r="AA776" i="16"/>
  <c r="L776" i="27" s="1"/>
  <c r="O776" i="27" s="1"/>
  <c r="AA772" i="16"/>
  <c r="L772" i="27" s="1"/>
  <c r="O772" i="27" s="1"/>
  <c r="AA768" i="16"/>
  <c r="L768" i="27" s="1"/>
  <c r="O768" i="27" s="1"/>
  <c r="AA764" i="16"/>
  <c r="L764" i="27" s="1"/>
  <c r="O764" i="27" s="1"/>
  <c r="AA760" i="16"/>
  <c r="L760" i="27" s="1"/>
  <c r="O760" i="27" s="1"/>
  <c r="AA756" i="16"/>
  <c r="L756" i="27" s="1"/>
  <c r="O756" i="27" s="1"/>
  <c r="AA644" i="16"/>
  <c r="L644" i="27" s="1"/>
  <c r="O644" i="27" s="1"/>
  <c r="AA640" i="16"/>
  <c r="L640" i="27" s="1"/>
  <c r="O640" i="27" s="1"/>
  <c r="AA636" i="16"/>
  <c r="L636" i="27" s="1"/>
  <c r="O636" i="27" s="1"/>
  <c r="AA632" i="16"/>
  <c r="L632" i="27" s="1"/>
  <c r="O632" i="27" s="1"/>
  <c r="AA628" i="16"/>
  <c r="L628" i="27" s="1"/>
  <c r="O628" i="27" s="1"/>
  <c r="AA624" i="16"/>
  <c r="L624" i="27" s="1"/>
  <c r="O624" i="27" s="1"/>
  <c r="AA620" i="16"/>
  <c r="L620" i="27" s="1"/>
  <c r="O620" i="27" s="1"/>
  <c r="AA616" i="16"/>
  <c r="L616" i="27" s="1"/>
  <c r="O616" i="27" s="1"/>
  <c r="AA612" i="16"/>
  <c r="L612" i="27" s="1"/>
  <c r="O612" i="27" s="1"/>
  <c r="AA596" i="16"/>
  <c r="L596" i="27" s="1"/>
  <c r="O596" i="27" s="1"/>
  <c r="AA592" i="16"/>
  <c r="L592" i="27" s="1"/>
  <c r="O592" i="27" s="1"/>
  <c r="AG548" i="16"/>
  <c r="AA512" i="16"/>
  <c r="L512" i="27" s="1"/>
  <c r="O512" i="27" s="1"/>
  <c r="AA508" i="16"/>
  <c r="L508" i="27" s="1"/>
  <c r="O508" i="27" s="1"/>
  <c r="AA504" i="16"/>
  <c r="L504" i="27" s="1"/>
  <c r="O504" i="27" s="1"/>
  <c r="AA500" i="16"/>
  <c r="L500" i="27" s="1"/>
  <c r="O500" i="27" s="1"/>
  <c r="AA496" i="16"/>
  <c r="L496" i="27" s="1"/>
  <c r="O496" i="27" s="1"/>
  <c r="AA492" i="16"/>
  <c r="L492" i="27" s="1"/>
  <c r="O492" i="27" s="1"/>
  <c r="AA476" i="16"/>
  <c r="L476" i="27" s="1"/>
  <c r="O476" i="27" s="1"/>
  <c r="AA472" i="16"/>
  <c r="L472" i="27" s="1"/>
  <c r="O472" i="27" s="1"/>
  <c r="AA468" i="16"/>
  <c r="L468" i="27" s="1"/>
  <c r="O468" i="27" s="1"/>
  <c r="AA464" i="16"/>
  <c r="L464" i="27" s="1"/>
  <c r="O464" i="27" s="1"/>
  <c r="AA392" i="16"/>
  <c r="L392" i="27" s="1"/>
  <c r="O392" i="27" s="1"/>
  <c r="AA388" i="16"/>
  <c r="L388" i="27" s="1"/>
  <c r="O388" i="27" s="1"/>
  <c r="AA384" i="16"/>
  <c r="L384" i="27" s="1"/>
  <c r="O384" i="27" s="1"/>
  <c r="AA380" i="16"/>
  <c r="L380" i="27" s="1"/>
  <c r="O380" i="27" s="1"/>
  <c r="AA376" i="16"/>
  <c r="L376" i="27" s="1"/>
  <c r="O376" i="27" s="1"/>
  <c r="AA372" i="16"/>
  <c r="L372" i="27" s="1"/>
  <c r="O372" i="27" s="1"/>
  <c r="AA368" i="16"/>
  <c r="L368" i="27" s="1"/>
  <c r="O368" i="27" s="1"/>
  <c r="AA1269" i="16"/>
  <c r="L1269" i="27" s="1"/>
  <c r="O1269" i="27" s="1"/>
  <c r="AA1265" i="16"/>
  <c r="L1265" i="27" s="1"/>
  <c r="O1265" i="27" s="1"/>
  <c r="AA1261" i="16"/>
  <c r="L1261" i="27" s="1"/>
  <c r="O1261" i="27" s="1"/>
  <c r="AG1233" i="16"/>
  <c r="AG1151" i="16"/>
  <c r="AG1131" i="16"/>
  <c r="AG1071" i="16"/>
  <c r="AA1055" i="16"/>
  <c r="AG1055" i="16" s="1"/>
  <c r="AA1051" i="16"/>
  <c r="AG1051" i="16" s="1"/>
  <c r="AA1047" i="16"/>
  <c r="AG1047" i="16" s="1"/>
  <c r="AA1043" i="16"/>
  <c r="AG1043" i="16" s="1"/>
  <c r="AA1039" i="16"/>
  <c r="AG1039" i="16" s="1"/>
  <c r="AA1035" i="16"/>
  <c r="AG1035" i="16" s="1"/>
  <c r="AA965" i="16"/>
  <c r="L965" i="27" s="1"/>
  <c r="O965" i="27" s="1"/>
  <c r="AA961" i="16"/>
  <c r="L961" i="27" s="1"/>
  <c r="O961" i="27" s="1"/>
  <c r="AA957" i="16"/>
  <c r="L957" i="27" s="1"/>
  <c r="O957" i="27" s="1"/>
  <c r="AA953" i="16"/>
  <c r="L953" i="27" s="1"/>
  <c r="O953" i="27" s="1"/>
  <c r="AA949" i="16"/>
  <c r="L949" i="27" s="1"/>
  <c r="O949" i="27" s="1"/>
  <c r="AA945" i="16"/>
  <c r="L945" i="27" s="1"/>
  <c r="O945" i="27" s="1"/>
  <c r="AA941" i="16"/>
  <c r="L941" i="27" s="1"/>
  <c r="O941" i="27" s="1"/>
  <c r="AA937" i="16"/>
  <c r="L937" i="27" s="1"/>
  <c r="O937" i="27" s="1"/>
  <c r="AA879" i="16"/>
  <c r="L879" i="27" s="1"/>
  <c r="O879" i="27" s="1"/>
  <c r="AA875" i="16"/>
  <c r="L875" i="27" s="1"/>
  <c r="O875" i="27" s="1"/>
  <c r="AA871" i="16"/>
  <c r="L871" i="27" s="1"/>
  <c r="O871" i="27" s="1"/>
  <c r="AA867" i="16"/>
  <c r="L867" i="27" s="1"/>
  <c r="O867" i="27" s="1"/>
  <c r="AA863" i="16"/>
  <c r="L863" i="27" s="1"/>
  <c r="O863" i="27" s="1"/>
  <c r="AA859" i="16"/>
  <c r="L859" i="27" s="1"/>
  <c r="O859" i="27" s="1"/>
  <c r="AA787" i="16"/>
  <c r="L787" i="27" s="1"/>
  <c r="O787" i="27" s="1"/>
  <c r="AA783" i="16"/>
  <c r="L783" i="27" s="1"/>
  <c r="O783" i="27" s="1"/>
  <c r="AA779" i="16"/>
  <c r="L779" i="27" s="1"/>
  <c r="O779" i="27" s="1"/>
  <c r="AA775" i="16"/>
  <c r="L775" i="27" s="1"/>
  <c r="O775" i="27" s="1"/>
  <c r="AA771" i="16"/>
  <c r="L771" i="27" s="1"/>
  <c r="O771" i="27" s="1"/>
  <c r="AA767" i="16"/>
  <c r="L767" i="27" s="1"/>
  <c r="O767" i="27" s="1"/>
  <c r="AA763" i="16"/>
  <c r="L763" i="27" s="1"/>
  <c r="O763" i="27" s="1"/>
  <c r="AA759" i="16"/>
  <c r="L759" i="27" s="1"/>
  <c r="O759" i="27" s="1"/>
  <c r="AA755" i="16"/>
  <c r="L755" i="27" s="1"/>
  <c r="O755" i="27" s="1"/>
  <c r="AA643" i="16"/>
  <c r="L643" i="27" s="1"/>
  <c r="O643" i="27" s="1"/>
  <c r="AA639" i="16"/>
  <c r="L639" i="27" s="1"/>
  <c r="O639" i="27" s="1"/>
  <c r="AA635" i="16"/>
  <c r="L635" i="27" s="1"/>
  <c r="O635" i="27" s="1"/>
  <c r="AA631" i="16"/>
  <c r="L631" i="27" s="1"/>
  <c r="O631" i="27" s="1"/>
  <c r="AA627" i="16"/>
  <c r="L627" i="27" s="1"/>
  <c r="O627" i="27" s="1"/>
  <c r="AA623" i="16"/>
  <c r="L623" i="27" s="1"/>
  <c r="O623" i="27" s="1"/>
  <c r="AA619" i="16"/>
  <c r="L619" i="27" s="1"/>
  <c r="O619" i="27" s="1"/>
  <c r="AA615" i="16"/>
  <c r="L615" i="27" s="1"/>
  <c r="O615" i="27" s="1"/>
  <c r="AA611" i="16"/>
  <c r="L611" i="27" s="1"/>
  <c r="O611" i="27" s="1"/>
  <c r="AA599" i="16"/>
  <c r="L599" i="27" s="1"/>
  <c r="O599" i="27" s="1"/>
  <c r="AA595" i="16"/>
  <c r="L595" i="27" s="1"/>
  <c r="O595" i="27" s="1"/>
  <c r="AA591" i="16"/>
  <c r="L591" i="27" s="1"/>
  <c r="O591" i="27" s="1"/>
  <c r="AG539" i="16"/>
  <c r="AA511" i="16"/>
  <c r="L511" i="27" s="1"/>
  <c r="O511" i="27" s="1"/>
  <c r="AA507" i="16"/>
  <c r="L507" i="27" s="1"/>
  <c r="O507" i="27" s="1"/>
  <c r="AA503" i="16"/>
  <c r="L503" i="27" s="1"/>
  <c r="O503" i="27" s="1"/>
  <c r="AA499" i="16"/>
  <c r="L499" i="27" s="1"/>
  <c r="O499" i="27" s="1"/>
  <c r="AA495" i="16"/>
  <c r="L495" i="27" s="1"/>
  <c r="O495" i="27" s="1"/>
  <c r="AA491" i="16"/>
  <c r="L491" i="27" s="1"/>
  <c r="O491" i="27" s="1"/>
  <c r="AA475" i="16"/>
  <c r="L475" i="27" s="1"/>
  <c r="O475" i="27" s="1"/>
  <c r="AA471" i="16"/>
  <c r="L471" i="27" s="1"/>
  <c r="O471" i="27" s="1"/>
  <c r="AA467" i="16"/>
  <c r="L467" i="27" s="1"/>
  <c r="O467" i="27" s="1"/>
  <c r="AA463" i="16"/>
  <c r="L463" i="27" s="1"/>
  <c r="O463" i="27" s="1"/>
  <c r="AA395" i="16"/>
  <c r="L395" i="27" s="1"/>
  <c r="O395" i="27" s="1"/>
  <c r="AA391" i="16"/>
  <c r="L391" i="27" s="1"/>
  <c r="O391" i="27" s="1"/>
  <c r="AA387" i="16"/>
  <c r="L387" i="27" s="1"/>
  <c r="O387" i="27" s="1"/>
  <c r="AA383" i="16"/>
  <c r="L383" i="27" s="1"/>
  <c r="O383" i="27" s="1"/>
  <c r="AA379" i="16"/>
  <c r="L379" i="27" s="1"/>
  <c r="O379" i="27" s="1"/>
  <c r="AA375" i="16"/>
  <c r="L375" i="27" s="1"/>
  <c r="O375" i="27" s="1"/>
  <c r="AA371" i="16"/>
  <c r="L371" i="27" s="1"/>
  <c r="O371" i="27" s="1"/>
  <c r="AA367" i="16"/>
  <c r="L367" i="27" s="1"/>
  <c r="O367" i="27" s="1"/>
  <c r="AA1268" i="16"/>
  <c r="L1268" i="27" s="1"/>
  <c r="O1268" i="27" s="1"/>
  <c r="AA1264" i="16"/>
  <c r="L1264" i="27" s="1"/>
  <c r="O1264" i="27" s="1"/>
  <c r="AA1260" i="16"/>
  <c r="L1260" i="27" s="1"/>
  <c r="O1260" i="27" s="1"/>
  <c r="AG1232" i="16"/>
  <c r="AG1134" i="16"/>
  <c r="AG1074" i="16"/>
  <c r="AG1058" i="16"/>
  <c r="AA1054" i="16"/>
  <c r="AG1054" i="16" s="1"/>
  <c r="AA1050" i="16"/>
  <c r="AG1050" i="16" s="1"/>
  <c r="AA1046" i="16"/>
  <c r="AG1046" i="16" s="1"/>
  <c r="AA1042" i="16"/>
  <c r="AG1042" i="16" s="1"/>
  <c r="AA1038" i="16"/>
  <c r="AG1038" i="16" s="1"/>
  <c r="AA1034" i="16"/>
  <c r="AG1034" i="16" s="1"/>
  <c r="AA964" i="16"/>
  <c r="L964" i="27" s="1"/>
  <c r="O964" i="27" s="1"/>
  <c r="AA960" i="16"/>
  <c r="L960" i="27" s="1"/>
  <c r="O960" i="27" s="1"/>
  <c r="AA956" i="16"/>
  <c r="L956" i="27" s="1"/>
  <c r="O956" i="27" s="1"/>
  <c r="AA952" i="16"/>
  <c r="L952" i="27" s="1"/>
  <c r="O952" i="27" s="1"/>
  <c r="AA948" i="16"/>
  <c r="L948" i="27" s="1"/>
  <c r="O948" i="27" s="1"/>
  <c r="AA944" i="16"/>
  <c r="L944" i="27" s="1"/>
  <c r="O944" i="27" s="1"/>
  <c r="AA940" i="16"/>
  <c r="L940" i="27" s="1"/>
  <c r="O940" i="27" s="1"/>
  <c r="AA936" i="16"/>
  <c r="L936" i="27" s="1"/>
  <c r="O936" i="27" s="1"/>
  <c r="AA878" i="16"/>
  <c r="L878" i="27" s="1"/>
  <c r="O878" i="27" s="1"/>
  <c r="AA874" i="16"/>
  <c r="L874" i="27" s="1"/>
  <c r="O874" i="27" s="1"/>
  <c r="AA870" i="16"/>
  <c r="L870" i="27" s="1"/>
  <c r="O870" i="27" s="1"/>
  <c r="AA866" i="16"/>
  <c r="L866" i="27" s="1"/>
  <c r="O866" i="27" s="1"/>
  <c r="AA862" i="16"/>
  <c r="L862" i="27" s="1"/>
  <c r="O862" i="27" s="1"/>
  <c r="AA858" i="16"/>
  <c r="L858" i="27" s="1"/>
  <c r="O858" i="27" s="1"/>
  <c r="AA786" i="16"/>
  <c r="L786" i="27" s="1"/>
  <c r="O786" i="27" s="1"/>
  <c r="AA782" i="16"/>
  <c r="L782" i="27" s="1"/>
  <c r="O782" i="27" s="1"/>
  <c r="AA778" i="16"/>
  <c r="L778" i="27" s="1"/>
  <c r="O778" i="27" s="1"/>
  <c r="AA774" i="16"/>
  <c r="L774" i="27" s="1"/>
  <c r="O774" i="27" s="1"/>
  <c r="AA770" i="16"/>
  <c r="L770" i="27" s="1"/>
  <c r="O770" i="27" s="1"/>
  <c r="AA766" i="16"/>
  <c r="L766" i="27" s="1"/>
  <c r="O766" i="27" s="1"/>
  <c r="AA762" i="16"/>
  <c r="L762" i="27" s="1"/>
  <c r="O762" i="27" s="1"/>
  <c r="AA758" i="16"/>
  <c r="L758" i="27" s="1"/>
  <c r="O758" i="27" s="1"/>
  <c r="AA754" i="16"/>
  <c r="L754" i="27" s="1"/>
  <c r="O754" i="27" s="1"/>
  <c r="AA646" i="16"/>
  <c r="L646" i="27" s="1"/>
  <c r="O646" i="27" s="1"/>
  <c r="AA642" i="16"/>
  <c r="L642" i="27" s="1"/>
  <c r="O642" i="27" s="1"/>
  <c r="AA638" i="16"/>
  <c r="L638" i="27" s="1"/>
  <c r="O638" i="27" s="1"/>
  <c r="AA634" i="16"/>
  <c r="L634" i="27" s="1"/>
  <c r="O634" i="27" s="1"/>
  <c r="AA630" i="16"/>
  <c r="L630" i="27" s="1"/>
  <c r="O630" i="27" s="1"/>
  <c r="AA626" i="16"/>
  <c r="L626" i="27" s="1"/>
  <c r="O626" i="27" s="1"/>
  <c r="AA622" i="16"/>
  <c r="L622" i="27" s="1"/>
  <c r="O622" i="27" s="1"/>
  <c r="AA618" i="16"/>
  <c r="L618" i="27" s="1"/>
  <c r="O618" i="27" s="1"/>
  <c r="AA614" i="16"/>
  <c r="L614" i="27" s="1"/>
  <c r="O614" i="27" s="1"/>
  <c r="AA598" i="16"/>
  <c r="L598" i="27" s="1"/>
  <c r="O598" i="27" s="1"/>
  <c r="AA594" i="16"/>
  <c r="L594" i="27" s="1"/>
  <c r="O594" i="27" s="1"/>
  <c r="AA590" i="16"/>
  <c r="L590" i="27" s="1"/>
  <c r="O590" i="27" s="1"/>
  <c r="AA514" i="16"/>
  <c r="AA510" i="16"/>
  <c r="L510" i="27" s="1"/>
  <c r="O510" i="27" s="1"/>
  <c r="AA506" i="16"/>
  <c r="L506" i="27" s="1"/>
  <c r="O506" i="27" s="1"/>
  <c r="AA502" i="16"/>
  <c r="L502" i="27" s="1"/>
  <c r="O502" i="27" s="1"/>
  <c r="AA498" i="16"/>
  <c r="L498" i="27" s="1"/>
  <c r="O498" i="27" s="1"/>
  <c r="AA494" i="16"/>
  <c r="L494" i="27" s="1"/>
  <c r="O494" i="27" s="1"/>
  <c r="AA474" i="16"/>
  <c r="L474" i="27" s="1"/>
  <c r="O474" i="27" s="1"/>
  <c r="AA470" i="16"/>
  <c r="L470" i="27" s="1"/>
  <c r="O470" i="27" s="1"/>
  <c r="AA466" i="16"/>
  <c r="L466" i="27" s="1"/>
  <c r="O466" i="27" s="1"/>
  <c r="AA394" i="16"/>
  <c r="L394" i="27" s="1"/>
  <c r="O394" i="27" s="1"/>
  <c r="AA390" i="16"/>
  <c r="L390" i="27" s="1"/>
  <c r="O390" i="27" s="1"/>
  <c r="AA386" i="16"/>
  <c r="L386" i="27" s="1"/>
  <c r="O386" i="27" s="1"/>
  <c r="AA382" i="16"/>
  <c r="L382" i="27" s="1"/>
  <c r="O382" i="27" s="1"/>
  <c r="AA378" i="16"/>
  <c r="L378" i="27" s="1"/>
  <c r="O378" i="27" s="1"/>
  <c r="AA374" i="16"/>
  <c r="L374" i="27" s="1"/>
  <c r="O374" i="27" s="1"/>
  <c r="AA370" i="16"/>
  <c r="L370" i="27" s="1"/>
  <c r="O370" i="27" s="1"/>
  <c r="AA366" i="16"/>
  <c r="L366" i="27" s="1"/>
  <c r="O366" i="27" s="1"/>
  <c r="AA1259" i="16"/>
  <c r="L1259" i="27" s="1"/>
  <c r="O1259" i="27" s="1"/>
  <c r="AG1231" i="16"/>
  <c r="AG1077" i="16"/>
  <c r="AG1061" i="16"/>
  <c r="AA1045" i="16"/>
  <c r="AG1045" i="16" s="1"/>
  <c r="AA963" i="16"/>
  <c r="L963" i="27" s="1"/>
  <c r="O963" i="27" s="1"/>
  <c r="AA947" i="16"/>
  <c r="L947" i="27" s="1"/>
  <c r="O947" i="27" s="1"/>
  <c r="AA873" i="16"/>
  <c r="L873" i="27" s="1"/>
  <c r="O873" i="27" s="1"/>
  <c r="AA857" i="16"/>
  <c r="L857" i="27" s="1"/>
  <c r="O857" i="27" s="1"/>
  <c r="AA773" i="16"/>
  <c r="L773" i="27" s="1"/>
  <c r="O773" i="27" s="1"/>
  <c r="AA757" i="16"/>
  <c r="L757" i="27" s="1"/>
  <c r="O757" i="27" s="1"/>
  <c r="AA637" i="16"/>
  <c r="L637" i="27" s="1"/>
  <c r="O637" i="27" s="1"/>
  <c r="AA621" i="16"/>
  <c r="L621" i="27" s="1"/>
  <c r="O621" i="27" s="1"/>
  <c r="AA589" i="16"/>
  <c r="L589" i="27" s="1"/>
  <c r="O589" i="27" s="1"/>
  <c r="AG573" i="16"/>
  <c r="AG541" i="16"/>
  <c r="AA509" i="16"/>
  <c r="L509" i="27" s="1"/>
  <c r="O509" i="27" s="1"/>
  <c r="AA493" i="16"/>
  <c r="L493" i="27" s="1"/>
  <c r="O493" i="27" s="1"/>
  <c r="AA393" i="16"/>
  <c r="L393" i="27" s="1"/>
  <c r="O393" i="27" s="1"/>
  <c r="AA377" i="16"/>
  <c r="L377" i="27" s="1"/>
  <c r="O377" i="27" s="1"/>
  <c r="AA1267" i="16"/>
  <c r="L1267" i="27" s="1"/>
  <c r="O1267" i="27" s="1"/>
  <c r="AA1037" i="16"/>
  <c r="AG1037" i="16" s="1"/>
  <c r="AA955" i="16"/>
  <c r="L955" i="27" s="1"/>
  <c r="O955" i="27" s="1"/>
  <c r="AA865" i="16"/>
  <c r="L865" i="27" s="1"/>
  <c r="O865" i="27" s="1"/>
  <c r="AA765" i="16"/>
  <c r="L765" i="27" s="1"/>
  <c r="O765" i="27" s="1"/>
  <c r="AA645" i="16"/>
  <c r="L645" i="27" s="1"/>
  <c r="O645" i="27" s="1"/>
  <c r="AA613" i="16"/>
  <c r="L613" i="27" s="1"/>
  <c r="O613" i="27" s="1"/>
  <c r="AG565" i="16"/>
  <c r="AA385" i="16"/>
  <c r="L385" i="27" s="1"/>
  <c r="O385" i="27" s="1"/>
  <c r="AA1057" i="16"/>
  <c r="AG1057" i="16" s="1"/>
  <c r="AA1041" i="16"/>
  <c r="AG1041" i="16" s="1"/>
  <c r="AA959" i="16"/>
  <c r="L959" i="27" s="1"/>
  <c r="O959" i="27" s="1"/>
  <c r="AA943" i="16"/>
  <c r="L943" i="27" s="1"/>
  <c r="O943" i="27" s="1"/>
  <c r="AA869" i="16"/>
  <c r="L869" i="27" s="1"/>
  <c r="O869" i="27" s="1"/>
  <c r="AA785" i="16"/>
  <c r="L785" i="27" s="1"/>
  <c r="O785" i="27" s="1"/>
  <c r="AA769" i="16"/>
  <c r="L769" i="27" s="1"/>
  <c r="O769" i="27" s="1"/>
  <c r="AA633" i="16"/>
  <c r="L633" i="27" s="1"/>
  <c r="O633" i="27" s="1"/>
  <c r="AA617" i="16"/>
  <c r="L617" i="27" s="1"/>
  <c r="O617" i="27" s="1"/>
  <c r="AA505" i="16"/>
  <c r="L505" i="27" s="1"/>
  <c r="O505" i="27" s="1"/>
  <c r="AA473" i="16"/>
  <c r="L473" i="27" s="1"/>
  <c r="O473" i="27" s="1"/>
  <c r="AA389" i="16"/>
  <c r="L389" i="27" s="1"/>
  <c r="O389" i="27" s="1"/>
  <c r="AA373" i="16"/>
  <c r="L373" i="27" s="1"/>
  <c r="O373" i="27" s="1"/>
  <c r="AA1053" i="16"/>
  <c r="AG1053" i="16" s="1"/>
  <c r="AA939" i="16"/>
  <c r="L939" i="27" s="1"/>
  <c r="O939" i="27" s="1"/>
  <c r="AA881" i="16"/>
  <c r="L881" i="27" s="1"/>
  <c r="O881" i="27" s="1"/>
  <c r="AA781" i="16"/>
  <c r="L781" i="27" s="1"/>
  <c r="O781" i="27" s="1"/>
  <c r="AA629" i="16"/>
  <c r="L629" i="27" s="1"/>
  <c r="O629" i="27" s="1"/>
  <c r="AA597" i="16"/>
  <c r="L597" i="27" s="1"/>
  <c r="O597" i="27" s="1"/>
  <c r="AA501" i="16"/>
  <c r="L501" i="27" s="1"/>
  <c r="O501" i="27" s="1"/>
  <c r="AA469" i="16"/>
  <c r="L469" i="27" s="1"/>
  <c r="O469" i="27" s="1"/>
  <c r="AA369" i="16"/>
  <c r="L369" i="27" s="1"/>
  <c r="O369" i="27" s="1"/>
  <c r="AA1263" i="16"/>
  <c r="L1263" i="27" s="1"/>
  <c r="O1263" i="27" s="1"/>
  <c r="AG1153" i="16"/>
  <c r="AA1049" i="16"/>
  <c r="AG1049" i="16" s="1"/>
  <c r="AA951" i="16"/>
  <c r="L951" i="27" s="1"/>
  <c r="O951" i="27" s="1"/>
  <c r="AA935" i="16"/>
  <c r="L935" i="27" s="1"/>
  <c r="O935" i="27" s="1"/>
  <c r="AA877" i="16"/>
  <c r="L877" i="27" s="1"/>
  <c r="O877" i="27" s="1"/>
  <c r="AA861" i="16"/>
  <c r="L861" i="27" s="1"/>
  <c r="O861" i="27" s="1"/>
  <c r="AA777" i="16"/>
  <c r="L777" i="27" s="1"/>
  <c r="O777" i="27" s="1"/>
  <c r="AA761" i="16"/>
  <c r="L761" i="27" s="1"/>
  <c r="O761" i="27" s="1"/>
  <c r="AA641" i="16"/>
  <c r="L641" i="27" s="1"/>
  <c r="O641" i="27" s="1"/>
  <c r="AA625" i="16"/>
  <c r="L625" i="27" s="1"/>
  <c r="O625" i="27" s="1"/>
  <c r="AA593" i="16"/>
  <c r="L593" i="27" s="1"/>
  <c r="O593" i="27" s="1"/>
  <c r="AA513" i="16"/>
  <c r="L513" i="27" s="1"/>
  <c r="O513" i="27" s="1"/>
  <c r="AA497" i="16"/>
  <c r="L497" i="27" s="1"/>
  <c r="O497" i="27" s="1"/>
  <c r="AA465" i="16"/>
  <c r="L465" i="27" s="1"/>
  <c r="O465" i="27" s="1"/>
  <c r="AA381" i="16"/>
  <c r="L381" i="27" s="1"/>
  <c r="O381" i="27" s="1"/>
  <c r="AA365" i="16"/>
  <c r="L365" i="27" s="1"/>
  <c r="AA1661" i="16"/>
  <c r="L1661" i="27" s="1"/>
  <c r="O1661" i="27" s="1"/>
  <c r="AA1657" i="16"/>
  <c r="L1657" i="27" s="1"/>
  <c r="O1657" i="27" s="1"/>
  <c r="AA1653" i="16"/>
  <c r="L1653" i="27" s="1"/>
  <c r="O1653" i="27" s="1"/>
  <c r="AA1649" i="16"/>
  <c r="L1649" i="27" s="1"/>
  <c r="O1649" i="27" s="1"/>
  <c r="AA1645" i="16"/>
  <c r="L1645" i="27" s="1"/>
  <c r="O1645" i="27" s="1"/>
  <c r="AA1641" i="16"/>
  <c r="L1641" i="27" s="1"/>
  <c r="O1641" i="27" s="1"/>
  <c r="AA1637" i="16"/>
  <c r="L1637" i="27" s="1"/>
  <c r="O1637" i="27" s="1"/>
  <c r="AA1541" i="16"/>
  <c r="L1541" i="27" s="1"/>
  <c r="O1541" i="27" s="1"/>
  <c r="AA1537" i="16"/>
  <c r="L1537" i="27" s="1"/>
  <c r="O1537" i="27" s="1"/>
  <c r="AA1533" i="16"/>
  <c r="L1533" i="27" s="1"/>
  <c r="O1533" i="27" s="1"/>
  <c r="AA1529" i="16"/>
  <c r="L1529" i="27" s="1"/>
  <c r="O1529" i="27" s="1"/>
  <c r="AA1525" i="16"/>
  <c r="L1525" i="27" s="1"/>
  <c r="O1525" i="27" s="1"/>
  <c r="AA1521" i="16"/>
  <c r="L1521" i="27" s="1"/>
  <c r="O1521" i="27" s="1"/>
  <c r="AA1517" i="16"/>
  <c r="L1517" i="27" s="1"/>
  <c r="O1517" i="27" s="1"/>
  <c r="AA1513" i="16"/>
  <c r="L1513" i="27" s="1"/>
  <c r="O1513" i="27" s="1"/>
  <c r="AA1445" i="16"/>
  <c r="L1445" i="27" s="1"/>
  <c r="O1445" i="27" s="1"/>
  <c r="AA1441" i="16"/>
  <c r="L1441" i="27" s="1"/>
  <c r="O1441" i="27" s="1"/>
  <c r="AA1437" i="16"/>
  <c r="L1437" i="27" s="1"/>
  <c r="O1437" i="27" s="1"/>
  <c r="AA1433" i="16"/>
  <c r="L1433" i="27" s="1"/>
  <c r="O1433" i="27" s="1"/>
  <c r="AA1429" i="16"/>
  <c r="L1429" i="27" s="1"/>
  <c r="O1429" i="27" s="1"/>
  <c r="AA1425" i="16"/>
  <c r="L1425" i="27" s="1"/>
  <c r="O1425" i="27" s="1"/>
  <c r="AA1361" i="16"/>
  <c r="L1361" i="27" s="1"/>
  <c r="O1361" i="27" s="1"/>
  <c r="AA1357" i="16"/>
  <c r="L1357" i="27" s="1"/>
  <c r="O1357" i="27" s="1"/>
  <c r="AA1353" i="16"/>
  <c r="L1353" i="27" s="1"/>
  <c r="O1353" i="27" s="1"/>
  <c r="AA1349" i="16"/>
  <c r="L1349" i="27" s="1"/>
  <c r="O1349" i="27" s="1"/>
  <c r="AA1345" i="16"/>
  <c r="L1345" i="27" s="1"/>
  <c r="O1345" i="27" s="1"/>
  <c r="AA1341" i="16"/>
  <c r="L1341" i="27" s="1"/>
  <c r="O1341" i="27" s="1"/>
  <c r="AA1337" i="16"/>
  <c r="L1337" i="27" s="1"/>
  <c r="O1337" i="27" s="1"/>
  <c r="AA1333" i="16"/>
  <c r="L1333" i="27" s="1"/>
  <c r="O1333" i="27" s="1"/>
  <c r="AA1329" i="16"/>
  <c r="L1329" i="27" s="1"/>
  <c r="O1329" i="27" s="1"/>
  <c r="AA1660" i="16"/>
  <c r="L1660" i="27" s="1"/>
  <c r="O1660" i="27" s="1"/>
  <c r="AA1656" i="16"/>
  <c r="L1656" i="27" s="1"/>
  <c r="O1656" i="27" s="1"/>
  <c r="AA1652" i="16"/>
  <c r="L1652" i="27" s="1"/>
  <c r="O1652" i="27" s="1"/>
  <c r="AA1648" i="16"/>
  <c r="L1648" i="27" s="1"/>
  <c r="O1648" i="27" s="1"/>
  <c r="AA1644" i="16"/>
  <c r="L1644" i="27" s="1"/>
  <c r="O1644" i="27" s="1"/>
  <c r="AA1640" i="16"/>
  <c r="L1640" i="27" s="1"/>
  <c r="O1640" i="27" s="1"/>
  <c r="AA1636" i="16"/>
  <c r="L1636" i="27" s="1"/>
  <c r="O1636" i="27" s="1"/>
  <c r="AA1540" i="16"/>
  <c r="L1540" i="27" s="1"/>
  <c r="O1540" i="27" s="1"/>
  <c r="AA1536" i="16"/>
  <c r="L1536" i="27" s="1"/>
  <c r="O1536" i="27" s="1"/>
  <c r="AA1532" i="16"/>
  <c r="L1532" i="27" s="1"/>
  <c r="O1532" i="27" s="1"/>
  <c r="AA1528" i="16"/>
  <c r="L1528" i="27" s="1"/>
  <c r="O1528" i="27" s="1"/>
  <c r="AA1524" i="16"/>
  <c r="L1524" i="27" s="1"/>
  <c r="O1524" i="27" s="1"/>
  <c r="AA1520" i="16"/>
  <c r="L1520" i="27" s="1"/>
  <c r="O1520" i="27" s="1"/>
  <c r="AA1516" i="16"/>
  <c r="L1516" i="27" s="1"/>
  <c r="O1516" i="27" s="1"/>
  <c r="AA1444" i="16"/>
  <c r="L1444" i="27" s="1"/>
  <c r="O1444" i="27" s="1"/>
  <c r="AA1440" i="16"/>
  <c r="L1440" i="27" s="1"/>
  <c r="O1440" i="27" s="1"/>
  <c r="AA1436" i="16"/>
  <c r="L1436" i="27" s="1"/>
  <c r="O1436" i="27" s="1"/>
  <c r="AA1432" i="16"/>
  <c r="L1432" i="27" s="1"/>
  <c r="O1432" i="27" s="1"/>
  <c r="AA1428" i="16"/>
  <c r="L1428" i="27" s="1"/>
  <c r="O1428" i="27" s="1"/>
  <c r="AA1424" i="16"/>
  <c r="L1424" i="27" s="1"/>
  <c r="O1424" i="27" s="1"/>
  <c r="AA1360" i="16"/>
  <c r="L1360" i="27" s="1"/>
  <c r="O1360" i="27" s="1"/>
  <c r="AA1356" i="16"/>
  <c r="L1356" i="27" s="1"/>
  <c r="O1356" i="27" s="1"/>
  <c r="AA1352" i="16"/>
  <c r="L1352" i="27" s="1"/>
  <c r="O1352" i="27" s="1"/>
  <c r="AA1348" i="16"/>
  <c r="L1348" i="27" s="1"/>
  <c r="O1348" i="27" s="1"/>
  <c r="AA1344" i="16"/>
  <c r="L1344" i="27" s="1"/>
  <c r="O1344" i="27" s="1"/>
  <c r="AA1340" i="16"/>
  <c r="L1340" i="27" s="1"/>
  <c r="O1340" i="27" s="1"/>
  <c r="AA1336" i="16"/>
  <c r="L1336" i="27" s="1"/>
  <c r="O1336" i="27" s="1"/>
  <c r="AA1332" i="16"/>
  <c r="L1332" i="27" s="1"/>
  <c r="O1332" i="27" s="1"/>
  <c r="AA1328" i="16"/>
  <c r="L1328" i="27" s="1"/>
  <c r="O1328" i="27" s="1"/>
  <c r="AA1659" i="16"/>
  <c r="L1659" i="27" s="1"/>
  <c r="O1659" i="27" s="1"/>
  <c r="AA1655" i="16"/>
  <c r="L1655" i="27" s="1"/>
  <c r="O1655" i="27" s="1"/>
  <c r="AA1651" i="16"/>
  <c r="L1651" i="27" s="1"/>
  <c r="O1651" i="27" s="1"/>
  <c r="AA1647" i="16"/>
  <c r="L1647" i="27" s="1"/>
  <c r="O1647" i="27" s="1"/>
  <c r="AA1643" i="16"/>
  <c r="L1643" i="27" s="1"/>
  <c r="O1643" i="27" s="1"/>
  <c r="AA1639" i="16"/>
  <c r="L1639" i="27" s="1"/>
  <c r="O1639" i="27" s="1"/>
  <c r="AA1635" i="16"/>
  <c r="L1635" i="27" s="1"/>
  <c r="O1635" i="27" s="1"/>
  <c r="AA1539" i="16"/>
  <c r="L1539" i="27" s="1"/>
  <c r="O1539" i="27" s="1"/>
  <c r="AA1535" i="16"/>
  <c r="L1535" i="27" s="1"/>
  <c r="O1535" i="27" s="1"/>
  <c r="AA1531" i="16"/>
  <c r="L1531" i="27" s="1"/>
  <c r="O1531" i="27" s="1"/>
  <c r="AA1527" i="16"/>
  <c r="L1527" i="27" s="1"/>
  <c r="O1527" i="27" s="1"/>
  <c r="AA1523" i="16"/>
  <c r="L1523" i="27" s="1"/>
  <c r="O1523" i="27" s="1"/>
  <c r="AA1519" i="16"/>
  <c r="L1519" i="27" s="1"/>
  <c r="O1519" i="27" s="1"/>
  <c r="AA1515" i="16"/>
  <c r="L1515" i="27" s="1"/>
  <c r="O1515" i="27" s="1"/>
  <c r="AA1443" i="16"/>
  <c r="L1443" i="27" s="1"/>
  <c r="O1443" i="27" s="1"/>
  <c r="AA1439" i="16"/>
  <c r="L1439" i="27" s="1"/>
  <c r="O1439" i="27" s="1"/>
  <c r="AA1435" i="16"/>
  <c r="L1435" i="27" s="1"/>
  <c r="O1435" i="27" s="1"/>
  <c r="AA1431" i="16"/>
  <c r="L1431" i="27" s="1"/>
  <c r="O1431" i="27" s="1"/>
  <c r="AA1427" i="16"/>
  <c r="L1427" i="27" s="1"/>
  <c r="O1427" i="27" s="1"/>
  <c r="AA1423" i="16"/>
  <c r="L1423" i="27" s="1"/>
  <c r="O1423" i="27" s="1"/>
  <c r="AA1359" i="16"/>
  <c r="L1359" i="27" s="1"/>
  <c r="O1359" i="27" s="1"/>
  <c r="AA1355" i="16"/>
  <c r="L1355" i="27" s="1"/>
  <c r="O1355" i="27" s="1"/>
  <c r="AA1351" i="16"/>
  <c r="L1351" i="27" s="1"/>
  <c r="O1351" i="27" s="1"/>
  <c r="AA1347" i="16"/>
  <c r="L1347" i="27" s="1"/>
  <c r="O1347" i="27" s="1"/>
  <c r="AA1343" i="16"/>
  <c r="L1343" i="27" s="1"/>
  <c r="O1343" i="27" s="1"/>
  <c r="AA1339" i="16"/>
  <c r="L1339" i="27" s="1"/>
  <c r="O1339" i="27" s="1"/>
  <c r="AA1335" i="16"/>
  <c r="L1335" i="27" s="1"/>
  <c r="O1335" i="27" s="1"/>
  <c r="AA1331" i="16"/>
  <c r="L1331" i="27" s="1"/>
  <c r="O1331" i="27" s="1"/>
  <c r="AA1327" i="16"/>
  <c r="L1327" i="27" s="1"/>
  <c r="O1327" i="27" s="1"/>
  <c r="AA1646" i="16"/>
  <c r="L1646" i="27" s="1"/>
  <c r="O1646" i="27" s="1"/>
  <c r="AA1534" i="16"/>
  <c r="L1534" i="27" s="1"/>
  <c r="O1534" i="27" s="1"/>
  <c r="AA1518" i="16"/>
  <c r="L1518" i="27" s="1"/>
  <c r="O1518" i="27" s="1"/>
  <c r="AA1434" i="16"/>
  <c r="L1434" i="27" s="1"/>
  <c r="O1434" i="27" s="1"/>
  <c r="AA1350" i="16"/>
  <c r="L1350" i="27" s="1"/>
  <c r="O1350" i="27" s="1"/>
  <c r="AA1334" i="16"/>
  <c r="L1334" i="27" s="1"/>
  <c r="O1334" i="27" s="1"/>
  <c r="AA1654" i="16"/>
  <c r="L1654" i="27" s="1"/>
  <c r="O1654" i="27" s="1"/>
  <c r="AA1442" i="16"/>
  <c r="L1442" i="27" s="1"/>
  <c r="O1442" i="27" s="1"/>
  <c r="AA1342" i="16"/>
  <c r="L1342" i="27" s="1"/>
  <c r="O1342" i="27" s="1"/>
  <c r="AA1650" i="16"/>
  <c r="L1650" i="27" s="1"/>
  <c r="O1650" i="27" s="1"/>
  <c r="AA1538" i="16"/>
  <c r="L1538" i="27" s="1"/>
  <c r="O1538" i="27" s="1"/>
  <c r="AA1522" i="16"/>
  <c r="L1522" i="27" s="1"/>
  <c r="O1522" i="27" s="1"/>
  <c r="AA1438" i="16"/>
  <c r="L1438" i="27" s="1"/>
  <c r="O1438" i="27" s="1"/>
  <c r="AA1422" i="16"/>
  <c r="L1422" i="27" s="1"/>
  <c r="O1422" i="27" s="1"/>
  <c r="AA1354" i="16"/>
  <c r="L1354" i="27" s="1"/>
  <c r="O1354" i="27" s="1"/>
  <c r="AA1338" i="16"/>
  <c r="L1338" i="27" s="1"/>
  <c r="O1338" i="27" s="1"/>
  <c r="AA1658" i="16"/>
  <c r="L1658" i="27" s="1"/>
  <c r="O1658" i="27" s="1"/>
  <c r="AA1642" i="16"/>
  <c r="L1642" i="27" s="1"/>
  <c r="O1642" i="27" s="1"/>
  <c r="AA1530" i="16"/>
  <c r="L1530" i="27" s="1"/>
  <c r="O1530" i="27" s="1"/>
  <c r="AA1514" i="16"/>
  <c r="L1514" i="27" s="1"/>
  <c r="O1514" i="27" s="1"/>
  <c r="AA1430" i="16"/>
  <c r="L1430" i="27" s="1"/>
  <c r="O1430" i="27" s="1"/>
  <c r="AA1346" i="16"/>
  <c r="L1346" i="27" s="1"/>
  <c r="O1346" i="27" s="1"/>
  <c r="AA1330" i="16"/>
  <c r="L1330" i="27" s="1"/>
  <c r="O1330" i="27" s="1"/>
  <c r="AA1638" i="16"/>
  <c r="L1638" i="27" s="1"/>
  <c r="O1638" i="27" s="1"/>
  <c r="AA1542" i="16"/>
  <c r="L1542" i="27" s="1"/>
  <c r="O1542" i="27" s="1"/>
  <c r="AA1526" i="16"/>
  <c r="L1526" i="27" s="1"/>
  <c r="O1526" i="27" s="1"/>
  <c r="AA1426" i="16"/>
  <c r="L1426" i="27" s="1"/>
  <c r="O1426" i="27" s="1"/>
  <c r="AA1358" i="16"/>
  <c r="L1358" i="27" s="1"/>
  <c r="O1358" i="27" s="1"/>
  <c r="AA2283" i="16"/>
  <c r="L2283" i="27" s="1"/>
  <c r="O2283" i="27" s="1"/>
  <c r="AA2279" i="16"/>
  <c r="L2279" i="27" s="1"/>
  <c r="O2279" i="27" s="1"/>
  <c r="AA2275" i="16"/>
  <c r="L2275" i="27" s="1"/>
  <c r="O2275" i="27" s="1"/>
  <c r="AA2271" i="16"/>
  <c r="L2271" i="27" s="1"/>
  <c r="AA2282" i="16"/>
  <c r="L2282" i="27" s="1"/>
  <c r="O2282" i="27" s="1"/>
  <c r="AA2278" i="16"/>
  <c r="L2278" i="27" s="1"/>
  <c r="O2278" i="27" s="1"/>
  <c r="AA2274" i="16"/>
  <c r="L2274" i="27" s="1"/>
  <c r="O2274" i="27" s="1"/>
  <c r="AA2285" i="16"/>
  <c r="L2285" i="27" s="1"/>
  <c r="O2285" i="27" s="1"/>
  <c r="AA2281" i="16"/>
  <c r="L2281" i="27" s="1"/>
  <c r="O2281" i="27" s="1"/>
  <c r="AA2277" i="16"/>
  <c r="L2277" i="27" s="1"/>
  <c r="O2277" i="27" s="1"/>
  <c r="AA2273" i="16"/>
  <c r="L2273" i="27" s="1"/>
  <c r="O2273" i="27" s="1"/>
  <c r="AA2284" i="16"/>
  <c r="L2284" i="27" s="1"/>
  <c r="O2284" i="27" s="1"/>
  <c r="AA2280" i="16"/>
  <c r="L2280" i="27" s="1"/>
  <c r="O2280" i="27" s="1"/>
  <c r="AA2276" i="16"/>
  <c r="L2276" i="27" s="1"/>
  <c r="O2276" i="27" s="1"/>
  <c r="AA2272" i="16"/>
  <c r="L2272" i="27" s="1"/>
  <c r="O2272" i="27" s="1"/>
  <c r="AA11" i="16"/>
  <c r="L11" i="27" s="1"/>
  <c r="O11" i="27" s="1"/>
  <c r="AA7" i="16"/>
  <c r="L7" i="27" s="1"/>
  <c r="O7" i="27" s="1"/>
  <c r="AA3" i="16"/>
  <c r="L3" i="27" s="1"/>
  <c r="O3" i="27" s="1"/>
  <c r="AG98" i="16"/>
  <c r="AA10" i="16"/>
  <c r="L10" i="27" s="1"/>
  <c r="O10" i="27" s="1"/>
  <c r="AA6" i="16"/>
  <c r="L6" i="27" s="1"/>
  <c r="O6" i="27" s="1"/>
  <c r="AA2" i="16"/>
  <c r="L2" i="27" s="1"/>
  <c r="AG109" i="16"/>
  <c r="AG101" i="16"/>
  <c r="AA13" i="16"/>
  <c r="AA9" i="16"/>
  <c r="L9" i="27" s="1"/>
  <c r="O9" i="27" s="1"/>
  <c r="AA5" i="16"/>
  <c r="L5" i="27" s="1"/>
  <c r="O5" i="27" s="1"/>
  <c r="AA8" i="16"/>
  <c r="L8" i="27" s="1"/>
  <c r="O8" i="27" s="1"/>
  <c r="AA4" i="16"/>
  <c r="L4" i="27" s="1"/>
  <c r="O4" i="27" s="1"/>
  <c r="AA12" i="16"/>
  <c r="L12" i="27" s="1"/>
  <c r="O12" i="27" s="1"/>
  <c r="AA1605" i="16"/>
  <c r="L1605" i="27" s="1"/>
  <c r="O1605" i="27" s="1"/>
  <c r="AA1601" i="16"/>
  <c r="L1601" i="27" s="1"/>
  <c r="O1601" i="27" s="1"/>
  <c r="AA1597" i="16"/>
  <c r="L1597" i="27" s="1"/>
  <c r="O1597" i="27" s="1"/>
  <c r="AA1593" i="16"/>
  <c r="L1593" i="27" s="1"/>
  <c r="O1593" i="27" s="1"/>
  <c r="AA1589" i="16"/>
  <c r="L1589" i="27" s="1"/>
  <c r="O1589" i="27" s="1"/>
  <c r="AA1585" i="16"/>
  <c r="L1585" i="27" s="1"/>
  <c r="O1585" i="27" s="1"/>
  <c r="AA1581" i="16"/>
  <c r="L1581" i="27" s="1"/>
  <c r="O1581" i="27" s="1"/>
  <c r="AA1473" i="16"/>
  <c r="L1473" i="27" s="1"/>
  <c r="O1473" i="27" s="1"/>
  <c r="AA1469" i="16"/>
  <c r="L1469" i="27" s="1"/>
  <c r="O1469" i="27" s="1"/>
  <c r="AA1465" i="16"/>
  <c r="L1465" i="27" s="1"/>
  <c r="O1465" i="27" s="1"/>
  <c r="AA1461" i="16"/>
  <c r="L1461" i="27" s="1"/>
  <c r="O1461" i="27" s="1"/>
  <c r="AA1457" i="16"/>
  <c r="L1457" i="27" s="1"/>
  <c r="O1457" i="27" s="1"/>
  <c r="AA1453" i="16"/>
  <c r="L1453" i="27" s="1"/>
  <c r="O1453" i="27" s="1"/>
  <c r="AA1449" i="16"/>
  <c r="L1449" i="27" s="1"/>
  <c r="O1449" i="27" s="1"/>
  <c r="AA1421" i="16"/>
  <c r="L1421" i="27" s="1"/>
  <c r="O1421" i="27" s="1"/>
  <c r="AA1417" i="16"/>
  <c r="L1417" i="27" s="1"/>
  <c r="O1417" i="27" s="1"/>
  <c r="AA1413" i="16"/>
  <c r="L1413" i="27" s="1"/>
  <c r="O1413" i="27" s="1"/>
  <c r="AA1409" i="16"/>
  <c r="L1409" i="27" s="1"/>
  <c r="O1409" i="27" s="1"/>
  <c r="AA1405" i="16"/>
  <c r="L1405" i="27" s="1"/>
  <c r="O1405" i="27" s="1"/>
  <c r="AA1401" i="16"/>
  <c r="L1401" i="27" s="1"/>
  <c r="O1401" i="27" s="1"/>
  <c r="AA1325" i="16"/>
  <c r="L1325" i="27" s="1"/>
  <c r="O1325" i="27" s="1"/>
  <c r="AA1321" i="16"/>
  <c r="L1321" i="27" s="1"/>
  <c r="O1321" i="27" s="1"/>
  <c r="AA1317" i="16"/>
  <c r="L1317" i="27" s="1"/>
  <c r="O1317" i="27" s="1"/>
  <c r="AA1313" i="16"/>
  <c r="L1313" i="27" s="1"/>
  <c r="O1313" i="27" s="1"/>
  <c r="AA1309" i="16"/>
  <c r="L1309" i="27" s="1"/>
  <c r="O1309" i="27" s="1"/>
  <c r="AA1305" i="16"/>
  <c r="L1305" i="27" s="1"/>
  <c r="O1305" i="27" s="1"/>
  <c r="AA1301" i="16"/>
  <c r="L1301" i="27" s="1"/>
  <c r="O1301" i="27" s="1"/>
  <c r="AA1297" i="16"/>
  <c r="L1297" i="27" s="1"/>
  <c r="O1297" i="27" s="1"/>
  <c r="AA1293" i="16"/>
  <c r="L1293" i="27" s="1"/>
  <c r="O1293" i="27" s="1"/>
  <c r="AA1604" i="16"/>
  <c r="L1604" i="27" s="1"/>
  <c r="O1604" i="27" s="1"/>
  <c r="AA1600" i="16"/>
  <c r="L1600" i="27" s="1"/>
  <c r="O1600" i="27" s="1"/>
  <c r="AA1596" i="16"/>
  <c r="L1596" i="27" s="1"/>
  <c r="O1596" i="27" s="1"/>
  <c r="AA1592" i="16"/>
  <c r="L1592" i="27" s="1"/>
  <c r="O1592" i="27" s="1"/>
  <c r="AA1588" i="16"/>
  <c r="L1588" i="27" s="1"/>
  <c r="O1588" i="27" s="1"/>
  <c r="AA1584" i="16"/>
  <c r="L1584" i="27" s="1"/>
  <c r="O1584" i="27" s="1"/>
  <c r="AA1580" i="16"/>
  <c r="L1580" i="27" s="1"/>
  <c r="O1580" i="27" s="1"/>
  <c r="AA1476" i="16"/>
  <c r="L1476" i="27" s="1"/>
  <c r="O1476" i="27" s="1"/>
  <c r="AA1472" i="16"/>
  <c r="L1472" i="27" s="1"/>
  <c r="O1472" i="27" s="1"/>
  <c r="AA1468" i="16"/>
  <c r="L1468" i="27" s="1"/>
  <c r="O1468" i="27" s="1"/>
  <c r="AA1464" i="16"/>
  <c r="L1464" i="27" s="1"/>
  <c r="O1464" i="27" s="1"/>
  <c r="AA1460" i="16"/>
  <c r="L1460" i="27" s="1"/>
  <c r="O1460" i="27" s="1"/>
  <c r="AA1456" i="16"/>
  <c r="L1456" i="27" s="1"/>
  <c r="O1456" i="27" s="1"/>
  <c r="AA1452" i="16"/>
  <c r="L1452" i="27" s="1"/>
  <c r="O1452" i="27" s="1"/>
  <c r="AA1448" i="16"/>
  <c r="L1448" i="27" s="1"/>
  <c r="O1448" i="27" s="1"/>
  <c r="AA1420" i="16"/>
  <c r="L1420" i="27" s="1"/>
  <c r="O1420" i="27" s="1"/>
  <c r="AA1416" i="16"/>
  <c r="L1416" i="27" s="1"/>
  <c r="O1416" i="27" s="1"/>
  <c r="AA1412" i="16"/>
  <c r="L1412" i="27" s="1"/>
  <c r="O1412" i="27" s="1"/>
  <c r="AA1408" i="16"/>
  <c r="L1408" i="27" s="1"/>
  <c r="O1408" i="27" s="1"/>
  <c r="AA1404" i="16"/>
  <c r="L1404" i="27" s="1"/>
  <c r="O1404" i="27" s="1"/>
  <c r="AA1400" i="16"/>
  <c r="L1400" i="27" s="1"/>
  <c r="O1400" i="27" s="1"/>
  <c r="AA1324" i="16"/>
  <c r="L1324" i="27" s="1"/>
  <c r="O1324" i="27" s="1"/>
  <c r="AA1320" i="16"/>
  <c r="L1320" i="27" s="1"/>
  <c r="O1320" i="27" s="1"/>
  <c r="AA1316" i="16"/>
  <c r="L1316" i="27" s="1"/>
  <c r="O1316" i="27" s="1"/>
  <c r="AA1312" i="16"/>
  <c r="L1312" i="27" s="1"/>
  <c r="O1312" i="27" s="1"/>
  <c r="AA1308" i="16"/>
  <c r="L1308" i="27" s="1"/>
  <c r="O1308" i="27" s="1"/>
  <c r="AA1304" i="16"/>
  <c r="L1304" i="27" s="1"/>
  <c r="O1304" i="27" s="1"/>
  <c r="AA1300" i="16"/>
  <c r="L1300" i="27" s="1"/>
  <c r="O1300" i="27" s="1"/>
  <c r="AA1296" i="16"/>
  <c r="L1296" i="27" s="1"/>
  <c r="O1296" i="27" s="1"/>
  <c r="AA1292" i="16"/>
  <c r="L1292" i="27" s="1"/>
  <c r="AA1603" i="16"/>
  <c r="L1603" i="27" s="1"/>
  <c r="O1603" i="27" s="1"/>
  <c r="AA1599" i="16"/>
  <c r="L1599" i="27" s="1"/>
  <c r="O1599" i="27" s="1"/>
  <c r="AA1595" i="16"/>
  <c r="L1595" i="27" s="1"/>
  <c r="O1595" i="27" s="1"/>
  <c r="AA1591" i="16"/>
  <c r="L1591" i="27" s="1"/>
  <c r="O1591" i="27" s="1"/>
  <c r="AA1587" i="16"/>
  <c r="L1587" i="27" s="1"/>
  <c r="O1587" i="27" s="1"/>
  <c r="AA1583" i="16"/>
  <c r="L1583" i="27" s="1"/>
  <c r="O1583" i="27" s="1"/>
  <c r="AA1579" i="16"/>
  <c r="L1579" i="27" s="1"/>
  <c r="O1579" i="27" s="1"/>
  <c r="AA1475" i="16"/>
  <c r="L1475" i="27" s="1"/>
  <c r="O1475" i="27" s="1"/>
  <c r="AA1471" i="16"/>
  <c r="L1471" i="27" s="1"/>
  <c r="O1471" i="27" s="1"/>
  <c r="AA1467" i="16"/>
  <c r="L1467" i="27" s="1"/>
  <c r="O1467" i="27" s="1"/>
  <c r="AA1463" i="16"/>
  <c r="L1463" i="27" s="1"/>
  <c r="O1463" i="27" s="1"/>
  <c r="AA1459" i="16"/>
  <c r="L1459" i="27" s="1"/>
  <c r="O1459" i="27" s="1"/>
  <c r="AA1455" i="16"/>
  <c r="L1455" i="27" s="1"/>
  <c r="O1455" i="27" s="1"/>
  <c r="AA1451" i="16"/>
  <c r="L1451" i="27" s="1"/>
  <c r="O1451" i="27" s="1"/>
  <c r="AA1447" i="16"/>
  <c r="L1447" i="27" s="1"/>
  <c r="O1447" i="27" s="1"/>
  <c r="AA1419" i="16"/>
  <c r="L1419" i="27" s="1"/>
  <c r="O1419" i="27" s="1"/>
  <c r="AA1415" i="16"/>
  <c r="L1415" i="27" s="1"/>
  <c r="O1415" i="27" s="1"/>
  <c r="AA1411" i="16"/>
  <c r="L1411" i="27" s="1"/>
  <c r="O1411" i="27" s="1"/>
  <c r="AA1407" i="16"/>
  <c r="L1407" i="27" s="1"/>
  <c r="O1407" i="27" s="1"/>
  <c r="AA1403" i="16"/>
  <c r="L1403" i="27" s="1"/>
  <c r="O1403" i="27" s="1"/>
  <c r="AA1399" i="16"/>
  <c r="L1399" i="27" s="1"/>
  <c r="O1399" i="27" s="1"/>
  <c r="AA1323" i="16"/>
  <c r="L1323" i="27" s="1"/>
  <c r="O1323" i="27" s="1"/>
  <c r="AA1319" i="16"/>
  <c r="L1319" i="27" s="1"/>
  <c r="O1319" i="27" s="1"/>
  <c r="AA1315" i="16"/>
  <c r="L1315" i="27" s="1"/>
  <c r="O1315" i="27" s="1"/>
  <c r="AA1311" i="16"/>
  <c r="L1311" i="27" s="1"/>
  <c r="O1311" i="27" s="1"/>
  <c r="AA1307" i="16"/>
  <c r="L1307" i="27" s="1"/>
  <c r="O1307" i="27" s="1"/>
  <c r="AA1303" i="16"/>
  <c r="L1303" i="27" s="1"/>
  <c r="O1303" i="27" s="1"/>
  <c r="AA1299" i="16"/>
  <c r="L1299" i="27" s="1"/>
  <c r="O1299" i="27" s="1"/>
  <c r="AA1295" i="16"/>
  <c r="L1295" i="27" s="1"/>
  <c r="O1295" i="27" s="1"/>
  <c r="AA1602" i="16"/>
  <c r="L1602" i="27" s="1"/>
  <c r="O1602" i="27" s="1"/>
  <c r="AA1586" i="16"/>
  <c r="L1586" i="27" s="1"/>
  <c r="O1586" i="27" s="1"/>
  <c r="AA1466" i="16"/>
  <c r="L1466" i="27" s="1"/>
  <c r="O1466" i="27" s="1"/>
  <c r="AA1450" i="16"/>
  <c r="L1450" i="27" s="1"/>
  <c r="O1450" i="27" s="1"/>
  <c r="AA1418" i="16"/>
  <c r="L1418" i="27" s="1"/>
  <c r="O1418" i="27" s="1"/>
  <c r="AA1402" i="16"/>
  <c r="L1402" i="27" s="1"/>
  <c r="O1402" i="27" s="1"/>
  <c r="AA1318" i="16"/>
  <c r="L1318" i="27" s="1"/>
  <c r="O1318" i="27" s="1"/>
  <c r="AA1302" i="16"/>
  <c r="L1302" i="27" s="1"/>
  <c r="O1302" i="27" s="1"/>
  <c r="AA1594" i="16"/>
  <c r="L1594" i="27" s="1"/>
  <c r="O1594" i="27" s="1"/>
  <c r="AA1474" i="16"/>
  <c r="L1474" i="27" s="1"/>
  <c r="O1474" i="27" s="1"/>
  <c r="AA1410" i="16"/>
  <c r="L1410" i="27" s="1"/>
  <c r="O1410" i="27" s="1"/>
  <c r="AA1310" i="16"/>
  <c r="L1310" i="27" s="1"/>
  <c r="O1310" i="27" s="1"/>
  <c r="AA1606" i="16"/>
  <c r="L1606" i="27" s="1"/>
  <c r="O1606" i="27" s="1"/>
  <c r="AA1590" i="16"/>
  <c r="L1590" i="27" s="1"/>
  <c r="O1590" i="27" s="1"/>
  <c r="AA1470" i="16"/>
  <c r="L1470" i="27" s="1"/>
  <c r="O1470" i="27" s="1"/>
  <c r="AA1454" i="16"/>
  <c r="L1454" i="27" s="1"/>
  <c r="O1454" i="27" s="1"/>
  <c r="AA1406" i="16"/>
  <c r="L1406" i="27" s="1"/>
  <c r="O1406" i="27" s="1"/>
  <c r="AA1322" i="16"/>
  <c r="L1322" i="27" s="1"/>
  <c r="O1322" i="27" s="1"/>
  <c r="AA1306" i="16"/>
  <c r="L1306" i="27" s="1"/>
  <c r="O1306" i="27" s="1"/>
  <c r="AA1598" i="16"/>
  <c r="L1598" i="27" s="1"/>
  <c r="O1598" i="27" s="1"/>
  <c r="AA1582" i="16"/>
  <c r="L1582" i="27" s="1"/>
  <c r="O1582" i="27" s="1"/>
  <c r="AA1462" i="16"/>
  <c r="L1462" i="27" s="1"/>
  <c r="O1462" i="27" s="1"/>
  <c r="AA1446" i="16"/>
  <c r="L1446" i="27" s="1"/>
  <c r="O1446" i="27" s="1"/>
  <c r="AA1414" i="16"/>
  <c r="L1414" i="27" s="1"/>
  <c r="O1414" i="27" s="1"/>
  <c r="AA1398" i="16"/>
  <c r="L1398" i="27" s="1"/>
  <c r="O1398" i="27" s="1"/>
  <c r="AA1314" i="16"/>
  <c r="L1314" i="27" s="1"/>
  <c r="O1314" i="27" s="1"/>
  <c r="AA1298" i="16"/>
  <c r="L1298" i="27" s="1"/>
  <c r="O1298" i="27" s="1"/>
  <c r="AA1458" i="16"/>
  <c r="L1458" i="27" s="1"/>
  <c r="O1458" i="27" s="1"/>
  <c r="AA1326" i="16"/>
  <c r="L1326" i="27" s="1"/>
  <c r="O1326" i="27" s="1"/>
  <c r="AA1294" i="16"/>
  <c r="L1294" i="27" s="1"/>
  <c r="O1294" i="27" s="1"/>
  <c r="AA2123" i="16"/>
  <c r="L2123" i="27" s="1"/>
  <c r="O2123" i="27" s="1"/>
  <c r="AA2107" i="16"/>
  <c r="L2107" i="27" s="1"/>
  <c r="O2107" i="27" s="1"/>
  <c r="AA2103" i="16"/>
  <c r="L2103" i="27" s="1"/>
  <c r="O2103" i="27" s="1"/>
  <c r="AA2099" i="16"/>
  <c r="L2099" i="27" s="1"/>
  <c r="O2099" i="27" s="1"/>
  <c r="AA2067" i="16"/>
  <c r="L2067" i="27" s="1"/>
  <c r="O2067" i="27" s="1"/>
  <c r="AA2063" i="16"/>
  <c r="L2063" i="27" s="1"/>
  <c r="O2063" i="27" s="1"/>
  <c r="AA2059" i="16"/>
  <c r="L2059" i="27" s="1"/>
  <c r="O2059" i="27" s="1"/>
  <c r="AA2055" i="16"/>
  <c r="L2055" i="27" s="1"/>
  <c r="O2055" i="27" s="1"/>
  <c r="AA2051" i="16"/>
  <c r="L2051" i="27" s="1"/>
  <c r="O2051" i="27" s="1"/>
  <c r="AA2047" i="16"/>
  <c r="L2047" i="27" s="1"/>
  <c r="O2047" i="27" s="1"/>
  <c r="AA2126" i="16"/>
  <c r="L2126" i="27" s="1"/>
  <c r="O2126" i="27" s="1"/>
  <c r="AA2122" i="16"/>
  <c r="L2122" i="27" s="1"/>
  <c r="O2122" i="27" s="1"/>
  <c r="AA2106" i="16"/>
  <c r="L2106" i="27" s="1"/>
  <c r="O2106" i="27" s="1"/>
  <c r="AA2102" i="16"/>
  <c r="L2102" i="27" s="1"/>
  <c r="O2102" i="27" s="1"/>
  <c r="AA2098" i="16"/>
  <c r="L2098" i="27" s="1"/>
  <c r="O2098" i="27" s="1"/>
  <c r="AA2066" i="16"/>
  <c r="L2066" i="27" s="1"/>
  <c r="O2066" i="27" s="1"/>
  <c r="AA2062" i="16"/>
  <c r="L2062" i="27" s="1"/>
  <c r="O2062" i="27" s="1"/>
  <c r="AA2058" i="16"/>
  <c r="L2058" i="27" s="1"/>
  <c r="O2058" i="27" s="1"/>
  <c r="AA2054" i="16"/>
  <c r="L2054" i="27" s="1"/>
  <c r="O2054" i="27" s="1"/>
  <c r="AA2050" i="16"/>
  <c r="L2050" i="27" s="1"/>
  <c r="O2050" i="27" s="1"/>
  <c r="AA2046" i="16"/>
  <c r="L2046" i="27" s="1"/>
  <c r="O2046" i="27" s="1"/>
  <c r="AA2125" i="16"/>
  <c r="L2125" i="27" s="1"/>
  <c r="O2125" i="27" s="1"/>
  <c r="AA2121" i="16"/>
  <c r="L2121" i="27" s="1"/>
  <c r="O2121" i="27" s="1"/>
  <c r="AA2105" i="16"/>
  <c r="L2105" i="27" s="1"/>
  <c r="O2105" i="27" s="1"/>
  <c r="AA2101" i="16"/>
  <c r="L2101" i="27" s="1"/>
  <c r="O2101" i="27" s="1"/>
  <c r="AA2097" i="16"/>
  <c r="L2097" i="27" s="1"/>
  <c r="O2097" i="27" s="1"/>
  <c r="AA2069" i="16"/>
  <c r="L2069" i="27" s="1"/>
  <c r="O2069" i="27" s="1"/>
  <c r="AA2065" i="16"/>
  <c r="L2065" i="27" s="1"/>
  <c r="O2065" i="27" s="1"/>
  <c r="AA2061" i="16"/>
  <c r="L2061" i="27" s="1"/>
  <c r="O2061" i="27" s="1"/>
  <c r="AA2057" i="16"/>
  <c r="L2057" i="27" s="1"/>
  <c r="O2057" i="27" s="1"/>
  <c r="AA2053" i="16"/>
  <c r="L2053" i="27" s="1"/>
  <c r="O2053" i="27" s="1"/>
  <c r="AA2049" i="16"/>
  <c r="L2049" i="27" s="1"/>
  <c r="O2049" i="27" s="1"/>
  <c r="AA2124" i="16"/>
  <c r="L2124" i="27" s="1"/>
  <c r="O2124" i="27" s="1"/>
  <c r="AA2108" i="16"/>
  <c r="L2108" i="27" s="1"/>
  <c r="O2108" i="27" s="1"/>
  <c r="AA2104" i="16"/>
  <c r="L2104" i="27" s="1"/>
  <c r="O2104" i="27" s="1"/>
  <c r="AA2100" i="16"/>
  <c r="L2100" i="27" s="1"/>
  <c r="O2100" i="27" s="1"/>
  <c r="AA2096" i="16"/>
  <c r="L2096" i="27" s="1"/>
  <c r="O2096" i="27" s="1"/>
  <c r="AA2068" i="16"/>
  <c r="L2068" i="27" s="1"/>
  <c r="O2068" i="27" s="1"/>
  <c r="AA2064" i="16"/>
  <c r="L2064" i="27" s="1"/>
  <c r="O2064" i="27" s="1"/>
  <c r="AA2060" i="16"/>
  <c r="L2060" i="27" s="1"/>
  <c r="O2060" i="27" s="1"/>
  <c r="AA2056" i="16"/>
  <c r="L2056" i="27" s="1"/>
  <c r="O2056" i="27" s="1"/>
  <c r="AA2052" i="16"/>
  <c r="L2052" i="27" s="1"/>
  <c r="O2052" i="27" s="1"/>
  <c r="AA2048" i="16"/>
  <c r="L2048" i="27" s="1"/>
  <c r="O2048" i="27" s="1"/>
  <c r="AA659" i="17"/>
  <c r="AA658" i="17"/>
  <c r="AA657" i="17"/>
  <c r="AA656" i="17"/>
  <c r="AA655" i="17"/>
  <c r="AA654" i="17"/>
  <c r="AA653" i="17"/>
  <c r="AA652" i="17"/>
  <c r="AA651" i="17"/>
  <c r="AA650" i="17"/>
  <c r="AA649" i="17"/>
  <c r="AA648" i="17"/>
  <c r="AA647" i="17"/>
  <c r="AA646" i="17"/>
  <c r="AA645" i="17"/>
  <c r="AA644" i="17"/>
  <c r="AA643" i="17"/>
  <c r="AA642" i="17"/>
  <c r="AA641" i="17"/>
  <c r="AA640" i="17"/>
  <c r="AA639" i="17"/>
  <c r="AA638" i="17"/>
  <c r="AA637" i="17"/>
  <c r="AA1837" i="16"/>
  <c r="AG1837" i="16" s="1"/>
  <c r="AA1833" i="16"/>
  <c r="AG1833" i="16" s="1"/>
  <c r="AA1829" i="16"/>
  <c r="AG1829" i="16" s="1"/>
  <c r="AA1825" i="16"/>
  <c r="AG1825" i="16" s="1"/>
  <c r="AA1821" i="16"/>
  <c r="AG1821" i="16" s="1"/>
  <c r="AA1840" i="16"/>
  <c r="AG1840" i="16" s="1"/>
  <c r="AA1836" i="16"/>
  <c r="AG1836" i="16" s="1"/>
  <c r="AA1832" i="16"/>
  <c r="AG1832" i="16" s="1"/>
  <c r="AA1828" i="16"/>
  <c r="AG1828" i="16" s="1"/>
  <c r="AA1824" i="16"/>
  <c r="AG1824" i="16" s="1"/>
  <c r="AA1820" i="16"/>
  <c r="AG1820" i="16" s="1"/>
  <c r="AA1839" i="16"/>
  <c r="AG1839" i="16" s="1"/>
  <c r="AA1835" i="16"/>
  <c r="AG1835" i="16" s="1"/>
  <c r="AA1831" i="16"/>
  <c r="AG1831" i="16" s="1"/>
  <c r="AA1827" i="16"/>
  <c r="AG1827" i="16" s="1"/>
  <c r="AA1823" i="16"/>
  <c r="AG1823" i="16" s="1"/>
  <c r="AA1819" i="16"/>
  <c r="AG1819" i="16" s="1"/>
  <c r="AA1838" i="16"/>
  <c r="AG1838" i="16" s="1"/>
  <c r="AA1822" i="16"/>
  <c r="AG1822" i="16" s="1"/>
  <c r="AA1826" i="16"/>
  <c r="AG1826" i="16" s="1"/>
  <c r="AA1834" i="16"/>
  <c r="AG1834" i="16" s="1"/>
  <c r="AA1818" i="16"/>
  <c r="AG1818" i="16" s="1"/>
  <c r="AA1830" i="16"/>
  <c r="AG1830" i="16" s="1"/>
  <c r="AA682" i="17"/>
  <c r="AA681" i="17"/>
  <c r="AA680" i="17"/>
  <c r="AA679" i="17"/>
  <c r="AA678" i="17"/>
  <c r="AA677" i="17"/>
  <c r="AA676" i="17"/>
  <c r="AA675" i="17"/>
  <c r="AA674" i="17"/>
  <c r="AA673" i="17"/>
  <c r="AA672" i="17"/>
  <c r="AA671" i="17"/>
  <c r="AA670" i="17"/>
  <c r="AA669" i="17"/>
  <c r="AA668" i="17"/>
  <c r="AA667" i="17"/>
  <c r="AA666" i="17"/>
  <c r="AA665" i="17"/>
  <c r="AA664" i="17"/>
  <c r="AA663" i="17"/>
  <c r="AA662" i="17"/>
  <c r="AA661" i="17"/>
  <c r="AA660" i="17"/>
  <c r="AA1861" i="16"/>
  <c r="AG1861" i="16" s="1"/>
  <c r="AA1857" i="16"/>
  <c r="AG1857" i="16" s="1"/>
  <c r="AA1853" i="16"/>
  <c r="AG1853" i="16" s="1"/>
  <c r="AA1849" i="16"/>
  <c r="AG1849" i="16" s="1"/>
  <c r="AA1845" i="16"/>
  <c r="AG1845" i="16" s="1"/>
  <c r="AA1841" i="16"/>
  <c r="AG1841" i="16" s="1"/>
  <c r="AA1860" i="16"/>
  <c r="AG1860" i="16" s="1"/>
  <c r="AA1856" i="16"/>
  <c r="AG1856" i="16" s="1"/>
  <c r="AA1852" i="16"/>
  <c r="AG1852" i="16" s="1"/>
  <c r="AA1848" i="16"/>
  <c r="AG1848" i="16" s="1"/>
  <c r="AA1844" i="16"/>
  <c r="AG1844" i="16" s="1"/>
  <c r="AA1863" i="16"/>
  <c r="AG1863" i="16" s="1"/>
  <c r="AA1859" i="16"/>
  <c r="AG1859" i="16" s="1"/>
  <c r="AA1855" i="16"/>
  <c r="AG1855" i="16" s="1"/>
  <c r="AA1851" i="16"/>
  <c r="AG1851" i="16" s="1"/>
  <c r="AA1847" i="16"/>
  <c r="AG1847" i="16" s="1"/>
  <c r="AA1843" i="16"/>
  <c r="AG1843" i="16" s="1"/>
  <c r="AA1854" i="16"/>
  <c r="AG1854" i="16" s="1"/>
  <c r="AA1846" i="16"/>
  <c r="AG1846" i="16" s="1"/>
  <c r="AA1858" i="16"/>
  <c r="AG1858" i="16" s="1"/>
  <c r="AA1842" i="16"/>
  <c r="AG1842" i="16" s="1"/>
  <c r="AA1850" i="16"/>
  <c r="AG1850" i="16" s="1"/>
  <c r="AA1862" i="16"/>
  <c r="AG1862" i="16" s="1"/>
  <c r="AA2111" i="16"/>
  <c r="L2111" i="27" s="1"/>
  <c r="O2111" i="27" s="1"/>
  <c r="AA2079" i="16"/>
  <c r="L2079" i="27" s="1"/>
  <c r="O2079" i="27" s="1"/>
  <c r="AA2075" i="16"/>
  <c r="L2075" i="27" s="1"/>
  <c r="O2075" i="27" s="1"/>
  <c r="AA2071" i="16"/>
  <c r="L2071" i="27" s="1"/>
  <c r="O2071" i="27" s="1"/>
  <c r="AA2019" i="16"/>
  <c r="L2019" i="27" s="1"/>
  <c r="O2019" i="27" s="1"/>
  <c r="AA2015" i="16"/>
  <c r="L2015" i="27" s="1"/>
  <c r="O2015" i="27" s="1"/>
  <c r="AA2011" i="16"/>
  <c r="L2011" i="27" s="1"/>
  <c r="O2011" i="27" s="1"/>
  <c r="AA2007" i="16"/>
  <c r="L2007" i="27" s="1"/>
  <c r="O2007" i="27" s="1"/>
  <c r="AA2003" i="16"/>
  <c r="L2003" i="27" s="1"/>
  <c r="O2003" i="27" s="1"/>
  <c r="AA1999" i="16"/>
  <c r="L1999" i="27" s="1"/>
  <c r="AA2114" i="16"/>
  <c r="L2114" i="27" s="1"/>
  <c r="O2114" i="27" s="1"/>
  <c r="AA2110" i="16"/>
  <c r="L2110" i="27" s="1"/>
  <c r="O2110" i="27" s="1"/>
  <c r="AA2082" i="16"/>
  <c r="L2082" i="27" s="1"/>
  <c r="O2082" i="27" s="1"/>
  <c r="AA2078" i="16"/>
  <c r="L2078" i="27" s="1"/>
  <c r="O2078" i="27" s="1"/>
  <c r="AA2074" i="16"/>
  <c r="L2074" i="27" s="1"/>
  <c r="O2074" i="27" s="1"/>
  <c r="AA2070" i="16"/>
  <c r="L2070" i="27" s="1"/>
  <c r="O2070" i="27" s="1"/>
  <c r="AA2018" i="16"/>
  <c r="L2018" i="27" s="1"/>
  <c r="O2018" i="27" s="1"/>
  <c r="AA2014" i="16"/>
  <c r="L2014" i="27" s="1"/>
  <c r="O2014" i="27" s="1"/>
  <c r="AA2010" i="16"/>
  <c r="L2010" i="27" s="1"/>
  <c r="O2010" i="27" s="1"/>
  <c r="AA2006" i="16"/>
  <c r="L2006" i="27" s="1"/>
  <c r="O2006" i="27" s="1"/>
  <c r="AA2002" i="16"/>
  <c r="L2002" i="27" s="1"/>
  <c r="O2002" i="27" s="1"/>
  <c r="AA2113" i="16"/>
  <c r="L2113" i="27" s="1"/>
  <c r="O2113" i="27" s="1"/>
  <c r="AA2109" i="16"/>
  <c r="L2109" i="27" s="1"/>
  <c r="O2109" i="27" s="1"/>
  <c r="AA2081" i="16"/>
  <c r="L2081" i="27" s="1"/>
  <c r="O2081" i="27" s="1"/>
  <c r="AA2077" i="16"/>
  <c r="L2077" i="27" s="1"/>
  <c r="O2077" i="27" s="1"/>
  <c r="AA2073" i="16"/>
  <c r="L2073" i="27" s="1"/>
  <c r="O2073" i="27" s="1"/>
  <c r="AA2021" i="16"/>
  <c r="L2021" i="27" s="1"/>
  <c r="O2021" i="27" s="1"/>
  <c r="AA2017" i="16"/>
  <c r="L2017" i="27" s="1"/>
  <c r="O2017" i="27" s="1"/>
  <c r="AA2013" i="16"/>
  <c r="L2013" i="27" s="1"/>
  <c r="O2013" i="27" s="1"/>
  <c r="AA2009" i="16"/>
  <c r="L2009" i="27" s="1"/>
  <c r="O2009" i="27" s="1"/>
  <c r="AA2005" i="16"/>
  <c r="L2005" i="27" s="1"/>
  <c r="O2005" i="27" s="1"/>
  <c r="AA2001" i="16"/>
  <c r="L2001" i="27" s="1"/>
  <c r="O2001" i="27" s="1"/>
  <c r="AA2112" i="16"/>
  <c r="L2112" i="27" s="1"/>
  <c r="O2112" i="27" s="1"/>
  <c r="AA2080" i="16"/>
  <c r="L2080" i="27" s="1"/>
  <c r="O2080" i="27" s="1"/>
  <c r="AA2076" i="16"/>
  <c r="L2076" i="27" s="1"/>
  <c r="O2076" i="27" s="1"/>
  <c r="AA2072" i="16"/>
  <c r="L2072" i="27" s="1"/>
  <c r="O2072" i="27" s="1"/>
  <c r="AA2020" i="16"/>
  <c r="L2020" i="27" s="1"/>
  <c r="O2020" i="27" s="1"/>
  <c r="AA2016" i="16"/>
  <c r="L2016" i="27" s="1"/>
  <c r="O2016" i="27" s="1"/>
  <c r="AA2012" i="16"/>
  <c r="L2012" i="27" s="1"/>
  <c r="O2012" i="27" s="1"/>
  <c r="AA2008" i="16"/>
  <c r="L2008" i="27" s="1"/>
  <c r="O2008" i="27" s="1"/>
  <c r="AA2004" i="16"/>
  <c r="L2004" i="27" s="1"/>
  <c r="O2004" i="27" s="1"/>
  <c r="AA2000" i="16"/>
  <c r="L2000" i="27" s="1"/>
  <c r="O2000" i="27" s="1"/>
  <c r="AG340" i="16"/>
  <c r="AA263" i="16"/>
  <c r="L263" i="27" s="1"/>
  <c r="O263" i="27" s="1"/>
  <c r="AA259" i="16"/>
  <c r="L259" i="27" s="1"/>
  <c r="O259" i="27" s="1"/>
  <c r="AA255" i="16"/>
  <c r="L255" i="27" s="1"/>
  <c r="O255" i="27" s="1"/>
  <c r="AG335" i="16"/>
  <c r="AA266" i="16"/>
  <c r="AA262" i="16"/>
  <c r="L262" i="27" s="1"/>
  <c r="O262" i="27" s="1"/>
  <c r="AA258" i="16"/>
  <c r="L258" i="27" s="1"/>
  <c r="O258" i="27" s="1"/>
  <c r="AA254" i="16"/>
  <c r="L254" i="27" s="1"/>
  <c r="O254" i="27" s="1"/>
  <c r="AG226" i="16"/>
  <c r="AG222" i="16"/>
  <c r="AG218" i="16"/>
  <c r="AA265" i="16"/>
  <c r="L265" i="27" s="1"/>
  <c r="O265" i="27" s="1"/>
  <c r="AA261" i="16"/>
  <c r="L261" i="27" s="1"/>
  <c r="O261" i="27" s="1"/>
  <c r="AA257" i="16"/>
  <c r="L257" i="27" s="1"/>
  <c r="O257" i="27" s="1"/>
  <c r="AG333" i="16"/>
  <c r="AG224" i="16"/>
  <c r="AA264" i="16"/>
  <c r="L264" i="27" s="1"/>
  <c r="O264" i="27" s="1"/>
  <c r="AA260" i="16"/>
  <c r="L260" i="27" s="1"/>
  <c r="O260" i="27" s="1"/>
  <c r="AA256" i="16"/>
  <c r="L256" i="27" s="1"/>
  <c r="O256" i="27" s="1"/>
  <c r="AA1717" i="16"/>
  <c r="L1717" i="27" s="1"/>
  <c r="O1717" i="27" s="1"/>
  <c r="AA1713" i="16"/>
  <c r="L1713" i="27" s="1"/>
  <c r="O1713" i="27" s="1"/>
  <c r="AA1709" i="16"/>
  <c r="L1709" i="27" s="1"/>
  <c r="O1709" i="27" s="1"/>
  <c r="AA1705" i="16"/>
  <c r="L1705" i="27" s="1"/>
  <c r="O1705" i="27" s="1"/>
  <c r="AA1701" i="16"/>
  <c r="L1701" i="27" s="1"/>
  <c r="O1701" i="27" s="1"/>
  <c r="AA1697" i="16"/>
  <c r="L1697" i="27" s="1"/>
  <c r="O1697" i="27" s="1"/>
  <c r="AA1693" i="16"/>
  <c r="L1693" i="27" s="1"/>
  <c r="O1693" i="27" s="1"/>
  <c r="AA1716" i="16"/>
  <c r="L1716" i="27" s="1"/>
  <c r="O1716" i="27" s="1"/>
  <c r="AA1712" i="16"/>
  <c r="L1712" i="27" s="1"/>
  <c r="O1712" i="27" s="1"/>
  <c r="AA1708" i="16"/>
  <c r="L1708" i="27" s="1"/>
  <c r="O1708" i="27" s="1"/>
  <c r="AA1704" i="16"/>
  <c r="L1704" i="27" s="1"/>
  <c r="O1704" i="27" s="1"/>
  <c r="AA1700" i="16"/>
  <c r="L1700" i="27" s="1"/>
  <c r="O1700" i="27" s="1"/>
  <c r="AA1696" i="16"/>
  <c r="L1696" i="27" s="1"/>
  <c r="O1696" i="27" s="1"/>
  <c r="AA1692" i="16"/>
  <c r="L1692" i="27" s="1"/>
  <c r="O1692" i="27" s="1"/>
  <c r="AA1719" i="16"/>
  <c r="L1719" i="27" s="1"/>
  <c r="O1719" i="27" s="1"/>
  <c r="AA1715" i="16"/>
  <c r="L1715" i="27" s="1"/>
  <c r="O1715" i="27" s="1"/>
  <c r="AA1711" i="16"/>
  <c r="L1711" i="27" s="1"/>
  <c r="O1711" i="27" s="1"/>
  <c r="AA1707" i="16"/>
  <c r="L1707" i="27" s="1"/>
  <c r="O1707" i="27" s="1"/>
  <c r="AA1703" i="16"/>
  <c r="L1703" i="27" s="1"/>
  <c r="O1703" i="27" s="1"/>
  <c r="AA1699" i="16"/>
  <c r="L1699" i="27" s="1"/>
  <c r="O1699" i="27" s="1"/>
  <c r="AA1695" i="16"/>
  <c r="L1695" i="27" s="1"/>
  <c r="O1695" i="27" s="1"/>
  <c r="AA1691" i="16"/>
  <c r="L1691" i="27" s="1"/>
  <c r="O1691" i="27" s="1"/>
  <c r="AA1710" i="16"/>
  <c r="L1710" i="27" s="1"/>
  <c r="O1710" i="27" s="1"/>
  <c r="AA1694" i="16"/>
  <c r="L1694" i="27" s="1"/>
  <c r="O1694" i="27" s="1"/>
  <c r="AA1718" i="16"/>
  <c r="L1718" i="27" s="1"/>
  <c r="O1718" i="27" s="1"/>
  <c r="AA1702" i="16"/>
  <c r="L1702" i="27" s="1"/>
  <c r="O1702" i="27" s="1"/>
  <c r="AA1714" i="16"/>
  <c r="L1714" i="27" s="1"/>
  <c r="O1714" i="27" s="1"/>
  <c r="AA1698" i="16"/>
  <c r="L1698" i="27" s="1"/>
  <c r="O1698" i="27" s="1"/>
  <c r="AA1706" i="16"/>
  <c r="L1706" i="27" s="1"/>
  <c r="O1706" i="27" s="1"/>
  <c r="AA716" i="17"/>
  <c r="AA715" i="17"/>
  <c r="AA714" i="17"/>
  <c r="AA713" i="17"/>
  <c r="AA712" i="17"/>
  <c r="AA711" i="17"/>
  <c r="AA710" i="17"/>
  <c r="AA709" i="17"/>
  <c r="AA708" i="17"/>
  <c r="AA707" i="17"/>
  <c r="AA706" i="17"/>
  <c r="AA705" i="17"/>
  <c r="AA1897" i="16"/>
  <c r="L1897" i="27" s="1"/>
  <c r="O1897" i="27" s="1"/>
  <c r="AA1893" i="16"/>
  <c r="L1893" i="27" s="1"/>
  <c r="O1893" i="27" s="1"/>
  <c r="AA1889" i="16"/>
  <c r="L1889" i="27" s="1"/>
  <c r="O1889" i="27" s="1"/>
  <c r="AA1896" i="16"/>
  <c r="L1896" i="27" s="1"/>
  <c r="O1896" i="27" s="1"/>
  <c r="AA1892" i="16"/>
  <c r="L1892" i="27" s="1"/>
  <c r="O1892" i="27" s="1"/>
  <c r="AA1888" i="16"/>
  <c r="L1888" i="27" s="1"/>
  <c r="O1888" i="27" s="1"/>
  <c r="AA1895" i="16"/>
  <c r="L1895" i="27" s="1"/>
  <c r="O1895" i="27" s="1"/>
  <c r="AA1891" i="16"/>
  <c r="L1891" i="27" s="1"/>
  <c r="O1891" i="27" s="1"/>
  <c r="AA1887" i="16"/>
  <c r="L1887" i="27" s="1"/>
  <c r="O1887" i="27" s="1"/>
  <c r="AA1886" i="16"/>
  <c r="L1886" i="27" s="1"/>
  <c r="AA1894" i="16"/>
  <c r="L1894" i="27" s="1"/>
  <c r="O1894" i="27" s="1"/>
  <c r="AA1890" i="16"/>
  <c r="L1890" i="27" s="1"/>
  <c r="O1890" i="27" s="1"/>
  <c r="AA728" i="17"/>
  <c r="AA727" i="17"/>
  <c r="AA726" i="17"/>
  <c r="AA725" i="17"/>
  <c r="AA724" i="17"/>
  <c r="AA723" i="17"/>
  <c r="AA722" i="17"/>
  <c r="AA721" i="17"/>
  <c r="AA720" i="17"/>
  <c r="AA719" i="17"/>
  <c r="AA718" i="17"/>
  <c r="AA717" i="17"/>
  <c r="AA1909" i="16"/>
  <c r="L1909" i="27" s="1"/>
  <c r="O1909" i="27" s="1"/>
  <c r="AA1905" i="16"/>
  <c r="L1905" i="27" s="1"/>
  <c r="O1905" i="27" s="1"/>
  <c r="AA1901" i="16"/>
  <c r="L1901" i="27" s="1"/>
  <c r="O1901" i="27" s="1"/>
  <c r="AA1908" i="16"/>
  <c r="L1908" i="27" s="1"/>
  <c r="O1908" i="27" s="1"/>
  <c r="AA1904" i="16"/>
  <c r="L1904" i="27" s="1"/>
  <c r="O1904" i="27" s="1"/>
  <c r="AA1900" i="16"/>
  <c r="L1900" i="27" s="1"/>
  <c r="O1900" i="27" s="1"/>
  <c r="AA1907" i="16"/>
  <c r="L1907" i="27" s="1"/>
  <c r="O1907" i="27" s="1"/>
  <c r="AA1903" i="16"/>
  <c r="L1903" i="27" s="1"/>
  <c r="O1903" i="27" s="1"/>
  <c r="AA1899" i="16"/>
  <c r="L1899" i="27" s="1"/>
  <c r="O1899" i="27" s="1"/>
  <c r="AA1902" i="16"/>
  <c r="L1902" i="27" s="1"/>
  <c r="O1902" i="27" s="1"/>
  <c r="AA1906" i="16"/>
  <c r="L1906" i="27" s="1"/>
  <c r="O1906" i="27" s="1"/>
  <c r="AA1898" i="16"/>
  <c r="L1898" i="27" s="1"/>
  <c r="O1898" i="27" s="1"/>
  <c r="AA2119" i="16"/>
  <c r="L2119" i="27" s="1"/>
  <c r="O2119" i="27" s="1"/>
  <c r="AA2115" i="16"/>
  <c r="L2115" i="27" s="1"/>
  <c r="O2115" i="27" s="1"/>
  <c r="AA2095" i="16"/>
  <c r="L2095" i="27" s="1"/>
  <c r="O2095" i="27" s="1"/>
  <c r="AA2091" i="16"/>
  <c r="L2091" i="27" s="1"/>
  <c r="O2091" i="27" s="1"/>
  <c r="AA2087" i="16"/>
  <c r="L2087" i="27" s="1"/>
  <c r="O2087" i="27" s="1"/>
  <c r="AA2083" i="16"/>
  <c r="L2083" i="27" s="1"/>
  <c r="O2083" i="27" s="1"/>
  <c r="AA2043" i="16"/>
  <c r="L2043" i="27" s="1"/>
  <c r="O2043" i="27" s="1"/>
  <c r="AA2039" i="16"/>
  <c r="L2039" i="27" s="1"/>
  <c r="O2039" i="27" s="1"/>
  <c r="AA2035" i="16"/>
  <c r="L2035" i="27" s="1"/>
  <c r="O2035" i="27" s="1"/>
  <c r="AA2031" i="16"/>
  <c r="L2031" i="27" s="1"/>
  <c r="O2031" i="27" s="1"/>
  <c r="AA2027" i="16"/>
  <c r="L2027" i="27" s="1"/>
  <c r="O2027" i="27" s="1"/>
  <c r="AA2023" i="16"/>
  <c r="L2023" i="27" s="1"/>
  <c r="O2023" i="27" s="1"/>
  <c r="AA2118" i="16"/>
  <c r="L2118" i="27" s="1"/>
  <c r="O2118" i="27" s="1"/>
  <c r="AA2094" i="16"/>
  <c r="L2094" i="27" s="1"/>
  <c r="O2094" i="27" s="1"/>
  <c r="AA2090" i="16"/>
  <c r="L2090" i="27" s="1"/>
  <c r="O2090" i="27" s="1"/>
  <c r="AA2086" i="16"/>
  <c r="L2086" i="27" s="1"/>
  <c r="O2086" i="27" s="1"/>
  <c r="AA2042" i="16"/>
  <c r="L2042" i="27" s="1"/>
  <c r="O2042" i="27" s="1"/>
  <c r="AA2038" i="16"/>
  <c r="L2038" i="27" s="1"/>
  <c r="O2038" i="27" s="1"/>
  <c r="AA2034" i="16"/>
  <c r="L2034" i="27" s="1"/>
  <c r="O2034" i="27" s="1"/>
  <c r="AA2030" i="16"/>
  <c r="L2030" i="27" s="1"/>
  <c r="O2030" i="27" s="1"/>
  <c r="AA2026" i="16"/>
  <c r="L2026" i="27" s="1"/>
  <c r="O2026" i="27" s="1"/>
  <c r="AA2022" i="16"/>
  <c r="L2022" i="27" s="1"/>
  <c r="O2022" i="27" s="1"/>
  <c r="AA2117" i="16"/>
  <c r="L2117" i="27" s="1"/>
  <c r="O2117" i="27" s="1"/>
  <c r="AA2093" i="16"/>
  <c r="L2093" i="27" s="1"/>
  <c r="O2093" i="27" s="1"/>
  <c r="AA2089" i="16"/>
  <c r="L2089" i="27" s="1"/>
  <c r="O2089" i="27" s="1"/>
  <c r="AA2085" i="16"/>
  <c r="L2085" i="27" s="1"/>
  <c r="O2085" i="27" s="1"/>
  <c r="AA2045" i="16"/>
  <c r="L2045" i="27" s="1"/>
  <c r="O2045" i="27" s="1"/>
  <c r="AA2041" i="16"/>
  <c r="L2041" i="27" s="1"/>
  <c r="O2041" i="27" s="1"/>
  <c r="AA2037" i="16"/>
  <c r="L2037" i="27" s="1"/>
  <c r="O2037" i="27" s="1"/>
  <c r="AA2033" i="16"/>
  <c r="L2033" i="27" s="1"/>
  <c r="O2033" i="27" s="1"/>
  <c r="AA2029" i="16"/>
  <c r="L2029" i="27" s="1"/>
  <c r="O2029" i="27" s="1"/>
  <c r="AA2025" i="16"/>
  <c r="L2025" i="27" s="1"/>
  <c r="O2025" i="27" s="1"/>
  <c r="AA2120" i="16"/>
  <c r="L2120" i="27" s="1"/>
  <c r="O2120" i="27" s="1"/>
  <c r="AA2116" i="16"/>
  <c r="L2116" i="27" s="1"/>
  <c r="O2116" i="27" s="1"/>
  <c r="AA2092" i="16"/>
  <c r="L2092" i="27" s="1"/>
  <c r="O2092" i="27" s="1"/>
  <c r="AA2088" i="16"/>
  <c r="L2088" i="27" s="1"/>
  <c r="O2088" i="27" s="1"/>
  <c r="AA2084" i="16"/>
  <c r="L2084" i="27" s="1"/>
  <c r="O2084" i="27" s="1"/>
  <c r="AA2044" i="16"/>
  <c r="L2044" i="27" s="1"/>
  <c r="O2044" i="27" s="1"/>
  <c r="AA2040" i="16"/>
  <c r="L2040" i="27" s="1"/>
  <c r="O2040" i="27" s="1"/>
  <c r="AA2036" i="16"/>
  <c r="L2036" i="27" s="1"/>
  <c r="O2036" i="27" s="1"/>
  <c r="AA2032" i="16"/>
  <c r="L2032" i="27" s="1"/>
  <c r="O2032" i="27" s="1"/>
  <c r="AA2028" i="16"/>
  <c r="L2028" i="27" s="1"/>
  <c r="O2028" i="27" s="1"/>
  <c r="AA2024" i="16"/>
  <c r="L2024" i="27" s="1"/>
  <c r="O2024" i="27" s="1"/>
  <c r="AA1808" i="16"/>
  <c r="AG1808" i="16" s="1"/>
  <c r="AG364" i="16"/>
  <c r="AG360" i="16"/>
  <c r="AA292" i="16"/>
  <c r="AA288" i="16"/>
  <c r="L288" i="27" s="1"/>
  <c r="O288" i="27" s="1"/>
  <c r="AA284" i="16"/>
  <c r="L284" i="27" s="1"/>
  <c r="O284" i="27" s="1"/>
  <c r="AA280" i="16"/>
  <c r="L280" i="27" s="1"/>
  <c r="O280" i="27" s="1"/>
  <c r="AG363" i="16"/>
  <c r="AA291" i="16"/>
  <c r="L291" i="27" s="1"/>
  <c r="O291" i="27" s="1"/>
  <c r="AA287" i="16"/>
  <c r="L287" i="27" s="1"/>
  <c r="O287" i="27" s="1"/>
  <c r="AA283" i="16"/>
  <c r="L283" i="27" s="1"/>
  <c r="O283" i="27" s="1"/>
  <c r="AG238" i="16"/>
  <c r="AG234" i="16"/>
  <c r="AG230" i="16"/>
  <c r="AG358" i="16"/>
  <c r="AG354" i="16"/>
  <c r="AA290" i="16"/>
  <c r="L290" i="27" s="1"/>
  <c r="O290" i="27" s="1"/>
  <c r="AA286" i="16"/>
  <c r="L286" i="27" s="1"/>
  <c r="O286" i="27" s="1"/>
  <c r="AA282" i="16"/>
  <c r="L282" i="27" s="1"/>
  <c r="O282" i="27" s="1"/>
  <c r="AA281" i="16"/>
  <c r="L281" i="27" s="1"/>
  <c r="O281" i="27" s="1"/>
  <c r="AA289" i="16"/>
  <c r="L289" i="27" s="1"/>
  <c r="O289" i="27" s="1"/>
  <c r="AA285" i="16"/>
  <c r="L285" i="27" s="1"/>
  <c r="O285" i="27" s="1"/>
  <c r="AA740" i="17"/>
  <c r="AA739" i="17"/>
  <c r="AA738" i="17"/>
  <c r="AA737" i="17"/>
  <c r="AA736" i="17"/>
  <c r="AA735" i="17"/>
  <c r="AA734" i="17"/>
  <c r="AA733" i="17"/>
  <c r="AA732" i="17"/>
  <c r="AA731" i="17"/>
  <c r="AA730" i="17"/>
  <c r="AA729" i="17"/>
  <c r="AA1921" i="16"/>
  <c r="L1921" i="27" s="1"/>
  <c r="O1921" i="27" s="1"/>
  <c r="AA1917" i="16"/>
  <c r="L1917" i="27" s="1"/>
  <c r="O1917" i="27" s="1"/>
  <c r="AA1913" i="16"/>
  <c r="L1913" i="27" s="1"/>
  <c r="O1913" i="27" s="1"/>
  <c r="AA1920" i="16"/>
  <c r="L1920" i="27" s="1"/>
  <c r="O1920" i="27" s="1"/>
  <c r="AA1916" i="16"/>
  <c r="L1916" i="27" s="1"/>
  <c r="O1916" i="27" s="1"/>
  <c r="AA1912" i="16"/>
  <c r="L1912" i="27" s="1"/>
  <c r="O1912" i="27" s="1"/>
  <c r="AA1914" i="16"/>
  <c r="L1914" i="27" s="1"/>
  <c r="O1914" i="27" s="1"/>
  <c r="AA1919" i="16"/>
  <c r="L1919" i="27" s="1"/>
  <c r="O1919" i="27" s="1"/>
  <c r="AA1915" i="16"/>
  <c r="L1915" i="27" s="1"/>
  <c r="O1915" i="27" s="1"/>
  <c r="AA1911" i="16"/>
  <c r="L1911" i="27" s="1"/>
  <c r="O1911" i="27" s="1"/>
  <c r="AA1918" i="16"/>
  <c r="L1918" i="27" s="1"/>
  <c r="O1918" i="27" s="1"/>
  <c r="AA1910" i="16"/>
  <c r="L1910" i="27" s="1"/>
  <c r="O1910" i="27" s="1"/>
  <c r="W5" i="12"/>
  <c r="W5" i="13"/>
  <c r="AA52" i="11"/>
  <c r="AA54" i="13"/>
  <c r="AA54" i="12"/>
  <c r="AA54" i="11"/>
  <c r="AA54" i="10"/>
  <c r="P52" i="12"/>
  <c r="P52" i="13"/>
  <c r="AA749" i="17" l="1"/>
  <c r="AA687" i="17"/>
  <c r="AA1743" i="16"/>
  <c r="L1743" i="27" s="1"/>
  <c r="O1743" i="27" s="1"/>
  <c r="S5" i="34"/>
  <c r="AA1745" i="16"/>
  <c r="L1745" i="27" s="1"/>
  <c r="O1745" i="27" s="1"/>
  <c r="G20" i="34"/>
  <c r="G15" i="34"/>
  <c r="AA1225" i="16"/>
  <c r="AG1225" i="16" s="1"/>
  <c r="G27" i="34"/>
  <c r="G32" i="34"/>
  <c r="AA1669" i="16"/>
  <c r="L1669" i="27" s="1"/>
  <c r="O1669" i="27" s="1"/>
  <c r="S7" i="34"/>
  <c r="G37" i="34"/>
  <c r="G42" i="34"/>
  <c r="G38" i="34"/>
  <c r="G43" i="34"/>
  <c r="S25" i="34"/>
  <c r="S15" i="34"/>
  <c r="S20" i="34"/>
  <c r="G21" i="34"/>
  <c r="G16" i="34"/>
  <c r="AA1217" i="16"/>
  <c r="AG1217" i="16" s="1"/>
  <c r="G31" i="34"/>
  <c r="G26" i="34"/>
  <c r="AA618" i="17"/>
  <c r="S11" i="34"/>
  <c r="AA1787" i="16"/>
  <c r="L1787" i="27" s="1"/>
  <c r="O1787" i="27" s="1"/>
  <c r="S9" i="34"/>
  <c r="AA797" i="17"/>
  <c r="S26" i="34"/>
  <c r="S16" i="34"/>
  <c r="S21" i="34"/>
  <c r="AA1971" i="16"/>
  <c r="AG1971" i="16" s="1"/>
  <c r="AA1810" i="16"/>
  <c r="AG1810" i="16" s="1"/>
  <c r="AA1801" i="16"/>
  <c r="AG1801" i="16" s="1"/>
  <c r="AA1936" i="16"/>
  <c r="AG1936" i="16" s="1"/>
  <c r="AA765" i="17"/>
  <c r="AG223" i="16"/>
  <c r="AA703" i="17"/>
  <c r="AA1799" i="16"/>
  <c r="AG1799" i="16" s="1"/>
  <c r="AA1817" i="16"/>
  <c r="AG1817" i="16" s="1"/>
  <c r="AA1937" i="16"/>
  <c r="AG1937" i="16" s="1"/>
  <c r="AA781" i="17"/>
  <c r="AA1778" i="16"/>
  <c r="L1778" i="27" s="1"/>
  <c r="O1778" i="27" s="1"/>
  <c r="AA1815" i="16"/>
  <c r="AG1815" i="16" s="1"/>
  <c r="AA1966" i="16"/>
  <c r="AG1966" i="16" s="1"/>
  <c r="AA1993" i="16"/>
  <c r="AG1993" i="16" s="1"/>
  <c r="AA483" i="17"/>
  <c r="AA499" i="17"/>
  <c r="AA1107" i="16"/>
  <c r="AG1107" i="16" s="1"/>
  <c r="AA1204" i="16"/>
  <c r="AG1204" i="16" s="1"/>
  <c r="AA1256" i="16"/>
  <c r="AG1256" i="16" s="1"/>
  <c r="AA392" i="17"/>
  <c r="AA476" i="17"/>
  <c r="AA492" i="17"/>
  <c r="AA534" i="17"/>
  <c r="AA1112" i="16"/>
  <c r="AG1112" i="16" s="1"/>
  <c r="AA1211" i="16"/>
  <c r="AG1211" i="16" s="1"/>
  <c r="AA533" i="17"/>
  <c r="AA1198" i="16"/>
  <c r="AG1198" i="16" s="1"/>
  <c r="AA1254" i="16"/>
  <c r="AG1254" i="16" s="1"/>
  <c r="AA558" i="16"/>
  <c r="AG558" i="16" s="1"/>
  <c r="AA578" i="16"/>
  <c r="AG578" i="16" s="1"/>
  <c r="AA1105" i="16"/>
  <c r="AG1105" i="16" s="1"/>
  <c r="AA1249" i="16"/>
  <c r="AG1249" i="16" s="1"/>
  <c r="AA564" i="16"/>
  <c r="AG564" i="16" s="1"/>
  <c r="AA586" i="16"/>
  <c r="AG586" i="16" s="1"/>
  <c r="AA1205" i="16"/>
  <c r="AG1205" i="16" s="1"/>
  <c r="AB9" i="8"/>
  <c r="U9" i="29"/>
  <c r="U96" i="29" s="1"/>
  <c r="U14" i="29"/>
  <c r="U101" i="29" s="1"/>
  <c r="AB14" i="8"/>
  <c r="L88" i="8"/>
  <c r="E15" i="31"/>
  <c r="E14" i="31"/>
  <c r="U15" i="31"/>
  <c r="U14" i="31"/>
  <c r="S88" i="9"/>
  <c r="S5" i="29"/>
  <c r="S92" i="29" s="1"/>
  <c r="T13" i="9"/>
  <c r="S13" i="29"/>
  <c r="S100" i="29" s="1"/>
  <c r="AB56" i="8"/>
  <c r="U56" i="29"/>
  <c r="U143" i="29" s="1"/>
  <c r="AB50" i="8"/>
  <c r="U50" i="29"/>
  <c r="U137" i="29" s="1"/>
  <c r="U12" i="29"/>
  <c r="U99" i="29" s="1"/>
  <c r="AB12" i="8"/>
  <c r="G15" i="31"/>
  <c r="G14" i="31"/>
  <c r="B7" i="31"/>
  <c r="B13" i="31" s="1"/>
  <c r="B11" i="31"/>
  <c r="B9" i="31"/>
  <c r="T14" i="9"/>
  <c r="S14" i="29"/>
  <c r="S101" i="29" s="1"/>
  <c r="AB68" i="8"/>
  <c r="U68" i="29"/>
  <c r="U155" i="29" s="1"/>
  <c r="AB76" i="8"/>
  <c r="U76" i="29"/>
  <c r="U163" i="29" s="1"/>
  <c r="AB66" i="8"/>
  <c r="U66" i="29"/>
  <c r="U153" i="29" s="1"/>
  <c r="N15" i="31"/>
  <c r="N14" i="31"/>
  <c r="T5" i="30"/>
  <c r="T56" i="30" s="1"/>
  <c r="M88" i="8"/>
  <c r="M5" i="29"/>
  <c r="M92" i="29" s="1"/>
  <c r="T12" i="9"/>
  <c r="S12" i="29"/>
  <c r="S99" i="29" s="1"/>
  <c r="B14" i="32"/>
  <c r="B15" i="32"/>
  <c r="AB30" i="8"/>
  <c r="U30" i="29"/>
  <c r="U117" i="29" s="1"/>
  <c r="V88" i="8"/>
  <c r="AB5" i="8"/>
  <c r="AB88" i="8" s="1"/>
  <c r="U5" i="29"/>
  <c r="U92" i="29" s="1"/>
  <c r="U13" i="29"/>
  <c r="U100" i="29" s="1"/>
  <c r="AB13" i="8"/>
  <c r="AA6" i="17"/>
  <c r="AA3" i="17"/>
  <c r="AA12" i="17"/>
  <c r="AA7" i="17"/>
  <c r="AA104" i="16"/>
  <c r="AG104" i="16" s="1"/>
  <c r="AA108" i="16"/>
  <c r="AG108" i="16" s="1"/>
  <c r="AA232" i="17"/>
  <c r="AA236" i="17"/>
  <c r="AA240" i="17"/>
  <c r="AA349" i="17"/>
  <c r="AA1135" i="16"/>
  <c r="AG1135" i="16" s="1"/>
  <c r="AA421" i="17"/>
  <c r="AA514" i="17"/>
  <c r="AA1148" i="16"/>
  <c r="AG1148" i="16" s="1"/>
  <c r="AA414" i="17"/>
  <c r="AA509" i="17"/>
  <c r="AA544" i="16"/>
  <c r="AG544" i="16" s="1"/>
  <c r="AA1224" i="16"/>
  <c r="AG1224" i="16" s="1"/>
  <c r="AA505" i="17"/>
  <c r="AA409" i="17"/>
  <c r="AA510" i="17"/>
  <c r="AA1140" i="16"/>
  <c r="AG1140" i="16" s="1"/>
  <c r="AA257" i="17"/>
  <c r="AA261" i="17"/>
  <c r="AA265" i="17"/>
  <c r="AA342" i="17"/>
  <c r="AA350" i="17"/>
  <c r="AA355" i="17"/>
  <c r="AA359" i="17"/>
  <c r="AA415" i="17"/>
  <c r="AA431" i="17"/>
  <c r="AA511" i="17"/>
  <c r="AA1075" i="16"/>
  <c r="AG1075" i="16" s="1"/>
  <c r="AA1155" i="16"/>
  <c r="AG1155" i="16" s="1"/>
  <c r="AA416" i="17"/>
  <c r="AA432" i="17"/>
  <c r="AA516" i="17"/>
  <c r="AA1136" i="16"/>
  <c r="AG1136" i="16" s="1"/>
  <c r="AA540" i="16"/>
  <c r="AG540" i="16" s="1"/>
  <c r="AA1070" i="16"/>
  <c r="AG1070" i="16" s="1"/>
  <c r="AA1130" i="16"/>
  <c r="AG1130" i="16" s="1"/>
  <c r="AA1146" i="16"/>
  <c r="AG1146" i="16" s="1"/>
  <c r="AA1230" i="16"/>
  <c r="AG1230" i="16" s="1"/>
  <c r="AA547" i="16"/>
  <c r="AG547" i="16" s="1"/>
  <c r="AA551" i="16"/>
  <c r="AG551" i="16" s="1"/>
  <c r="AA568" i="16"/>
  <c r="AG568" i="16" s="1"/>
  <c r="AA572" i="16"/>
  <c r="AG572" i="16" s="1"/>
  <c r="AA576" i="16"/>
  <c r="AG576" i="16" s="1"/>
  <c r="AA1073" i="16"/>
  <c r="AG1073" i="16" s="1"/>
  <c r="AA1133" i="16"/>
  <c r="AG1133" i="16" s="1"/>
  <c r="AA1149" i="16"/>
  <c r="AG1149" i="16" s="1"/>
  <c r="AA1229" i="16"/>
  <c r="AG1229" i="16" s="1"/>
  <c r="AA2" i="17"/>
  <c r="AA11" i="17"/>
  <c r="AA8" i="17"/>
  <c r="AA99" i="16"/>
  <c r="AG99" i="16" s="1"/>
  <c r="AA102" i="16"/>
  <c r="AG102" i="16" s="1"/>
  <c r="AA106" i="16"/>
  <c r="AG106" i="16" s="1"/>
  <c r="AA230" i="17"/>
  <c r="AA234" i="17"/>
  <c r="AA238" i="17"/>
  <c r="AA242" i="17"/>
  <c r="AA513" i="17"/>
  <c r="AA347" i="17"/>
  <c r="AA437" i="17"/>
  <c r="AA1076" i="16"/>
  <c r="AG1076" i="16" s="1"/>
  <c r="AA345" i="17"/>
  <c r="AA430" i="17"/>
  <c r="AA542" i="16"/>
  <c r="AG542" i="16" s="1"/>
  <c r="AA1127" i="16"/>
  <c r="AG1127" i="16" s="1"/>
  <c r="AA418" i="17"/>
  <c r="AA343" i="17"/>
  <c r="AA425" i="17"/>
  <c r="AA1068" i="16"/>
  <c r="AG1068" i="16" s="1"/>
  <c r="AA1223" i="16"/>
  <c r="AG1223" i="16" s="1"/>
  <c r="AA259" i="17"/>
  <c r="AA263" i="17"/>
  <c r="AA267" i="17"/>
  <c r="AA346" i="17"/>
  <c r="AA353" i="17"/>
  <c r="AA357" i="17"/>
  <c r="AA407" i="17"/>
  <c r="AA423" i="17"/>
  <c r="AA439" i="17"/>
  <c r="AA1059" i="16"/>
  <c r="AG1059" i="16" s="1"/>
  <c r="AA1139" i="16"/>
  <c r="AG1139" i="16" s="1"/>
  <c r="AA408" i="17"/>
  <c r="AA424" i="17"/>
  <c r="AA508" i="17"/>
  <c r="AA1072" i="16"/>
  <c r="AG1072" i="16" s="1"/>
  <c r="AA1152" i="16"/>
  <c r="AG1152" i="16" s="1"/>
  <c r="AA1062" i="16"/>
  <c r="AG1062" i="16" s="1"/>
  <c r="AA1078" i="16"/>
  <c r="AG1078" i="16" s="1"/>
  <c r="AA1138" i="16"/>
  <c r="AG1138" i="16" s="1"/>
  <c r="AA1154" i="16"/>
  <c r="AG1154" i="16" s="1"/>
  <c r="AA545" i="16"/>
  <c r="AG545" i="16" s="1"/>
  <c r="AA549" i="16"/>
  <c r="AG549" i="16" s="1"/>
  <c r="AA566" i="16"/>
  <c r="AG566" i="16" s="1"/>
  <c r="AA570" i="16"/>
  <c r="AG570" i="16" s="1"/>
  <c r="AA574" i="16"/>
  <c r="AG574" i="16" s="1"/>
  <c r="AA1065" i="16"/>
  <c r="AG1065" i="16" s="1"/>
  <c r="AA1125" i="16"/>
  <c r="AG1125" i="16" s="1"/>
  <c r="AA1141" i="16"/>
  <c r="AG1141" i="16" s="1"/>
  <c r="AA1157" i="16"/>
  <c r="AG1157" i="16" s="1"/>
  <c r="AA4" i="17"/>
  <c r="AA13" i="17"/>
  <c r="AA10" i="17"/>
  <c r="AA100" i="16"/>
  <c r="AG100" i="16" s="1"/>
  <c r="AA103" i="16"/>
  <c r="AG103" i="16" s="1"/>
  <c r="AA107" i="16"/>
  <c r="AG107" i="16" s="1"/>
  <c r="AA1143" i="16"/>
  <c r="AG1143" i="16" s="1"/>
  <c r="AA434" i="17"/>
  <c r="AA351" i="17"/>
  <c r="AA433" i="17"/>
  <c r="AA1124" i="16"/>
  <c r="AG1124" i="16" s="1"/>
  <c r="AA256" i="17"/>
  <c r="AA260" i="17"/>
  <c r="AA264" i="17"/>
  <c r="AA340" i="17"/>
  <c r="AA348" i="17"/>
  <c r="AA354" i="17"/>
  <c r="AA358" i="17"/>
  <c r="AA411" i="17"/>
  <c r="AA427" i="17"/>
  <c r="AA507" i="17"/>
  <c r="AA1067" i="16"/>
  <c r="AG1067" i="16" s="1"/>
  <c r="AA1147" i="16"/>
  <c r="AG1147" i="16" s="1"/>
  <c r="AA412" i="17"/>
  <c r="AA428" i="17"/>
  <c r="AA512" i="17"/>
  <c r="AA1128" i="16"/>
  <c r="AG1128" i="16" s="1"/>
  <c r="AA1227" i="16"/>
  <c r="AG1227" i="16" s="1"/>
  <c r="AA1066" i="16"/>
  <c r="AG1066" i="16" s="1"/>
  <c r="AA1126" i="16"/>
  <c r="AG1126" i="16" s="1"/>
  <c r="AA1142" i="16"/>
  <c r="AG1142" i="16" s="1"/>
  <c r="AA1226" i="16"/>
  <c r="AG1226" i="16" s="1"/>
  <c r="AA546" i="16"/>
  <c r="AG546" i="16" s="1"/>
  <c r="AA550" i="16"/>
  <c r="AG550" i="16" s="1"/>
  <c r="AA567" i="16"/>
  <c r="AG567" i="16" s="1"/>
  <c r="AA571" i="16"/>
  <c r="AG571" i="16" s="1"/>
  <c r="AA575" i="16"/>
  <c r="AG575" i="16" s="1"/>
  <c r="AA1069" i="16"/>
  <c r="AG1069" i="16" s="1"/>
  <c r="AA1129" i="16"/>
  <c r="AG1129" i="16" s="1"/>
  <c r="AA1145" i="16"/>
  <c r="AG1145" i="16" s="1"/>
  <c r="O221" i="27"/>
  <c r="AG221" i="16"/>
  <c r="AA702" i="17"/>
  <c r="AA698" i="17"/>
  <c r="AA694" i="17"/>
  <c r="AA690" i="17"/>
  <c r="AA686" i="17"/>
  <c r="AA1885" i="16"/>
  <c r="AG1885" i="16" s="1"/>
  <c r="AA1869" i="16"/>
  <c r="AG1869" i="16" s="1"/>
  <c r="AA1876" i="16"/>
  <c r="AG1876" i="16" s="1"/>
  <c r="AA1883" i="16"/>
  <c r="AG1883" i="16" s="1"/>
  <c r="AA1867" i="16"/>
  <c r="AG1867" i="16" s="1"/>
  <c r="AA1866" i="16"/>
  <c r="AG1866" i="16" s="1"/>
  <c r="AA701" i="17"/>
  <c r="AA697" i="17"/>
  <c r="AA693" i="17"/>
  <c r="AA689" i="17"/>
  <c r="AA685" i="17"/>
  <c r="AA1881" i="16"/>
  <c r="AG1881" i="16" s="1"/>
  <c r="AA1865" i="16"/>
  <c r="AG1865" i="16" s="1"/>
  <c r="AA1872" i="16"/>
  <c r="AG1872" i="16" s="1"/>
  <c r="AA1879" i="16"/>
  <c r="AG1879" i="16" s="1"/>
  <c r="AA1870" i="16"/>
  <c r="AG1870" i="16" s="1"/>
  <c r="AA1874" i="16"/>
  <c r="AG1874" i="16" s="1"/>
  <c r="AA704" i="17"/>
  <c r="AA700" i="17"/>
  <c r="AA696" i="17"/>
  <c r="AA692" i="17"/>
  <c r="AA688" i="17"/>
  <c r="AA684" i="17"/>
  <c r="AA1877" i="16"/>
  <c r="AG1877" i="16" s="1"/>
  <c r="AA1884" i="16"/>
  <c r="AG1884" i="16" s="1"/>
  <c r="AA1868" i="16"/>
  <c r="AG1868" i="16" s="1"/>
  <c r="AA1875" i="16"/>
  <c r="AG1875" i="16" s="1"/>
  <c r="AA1878" i="16"/>
  <c r="AG1878" i="16" s="1"/>
  <c r="AA634" i="17"/>
  <c r="AA630" i="17"/>
  <c r="AA626" i="17"/>
  <c r="AA633" i="17"/>
  <c r="AA629" i="17"/>
  <c r="AA625" i="17"/>
  <c r="AA636" i="17"/>
  <c r="AA632" i="17"/>
  <c r="AA628" i="17"/>
  <c r="AA624" i="17"/>
  <c r="AA620" i="17"/>
  <c r="AA616" i="17"/>
  <c r="AA1681" i="16"/>
  <c r="L1681" i="27" s="1"/>
  <c r="O1681" i="27" s="1"/>
  <c r="AA1665" i="16"/>
  <c r="L1665" i="27" s="1"/>
  <c r="O1665" i="27" s="1"/>
  <c r="AA1676" i="16"/>
  <c r="L1676" i="27" s="1"/>
  <c r="O1676" i="27" s="1"/>
  <c r="AA1687" i="16"/>
  <c r="L1687" i="27" s="1"/>
  <c r="O1687" i="27" s="1"/>
  <c r="AA1671" i="16"/>
  <c r="L1671" i="27" s="1"/>
  <c r="O1671" i="27" s="1"/>
  <c r="AA1662" i="16"/>
  <c r="L1662" i="27" s="1"/>
  <c r="AA1690" i="16"/>
  <c r="L1690" i="27" s="1"/>
  <c r="O1690" i="27" s="1"/>
  <c r="AA1677" i="16"/>
  <c r="L1677" i="27" s="1"/>
  <c r="O1677" i="27" s="1"/>
  <c r="AA1688" i="16"/>
  <c r="L1688" i="27" s="1"/>
  <c r="O1688" i="27" s="1"/>
  <c r="AA1672" i="16"/>
  <c r="L1672" i="27" s="1"/>
  <c r="O1672" i="27" s="1"/>
  <c r="AA1683" i="16"/>
  <c r="L1683" i="27" s="1"/>
  <c r="O1683" i="27" s="1"/>
  <c r="AA1667" i="16"/>
  <c r="L1667" i="27" s="1"/>
  <c r="O1667" i="27" s="1"/>
  <c r="AA1670" i="16"/>
  <c r="L1670" i="27" s="1"/>
  <c r="O1670" i="27" s="1"/>
  <c r="AA1674" i="16"/>
  <c r="L1674" i="27" s="1"/>
  <c r="O1674" i="27" s="1"/>
  <c r="AA1689" i="16"/>
  <c r="L1689" i="27" s="1"/>
  <c r="O1689" i="27" s="1"/>
  <c r="AA1673" i="16"/>
  <c r="L1673" i="27" s="1"/>
  <c r="O1673" i="27" s="1"/>
  <c r="AA1684" i="16"/>
  <c r="L1684" i="27" s="1"/>
  <c r="O1684" i="27" s="1"/>
  <c r="AA1668" i="16"/>
  <c r="L1668" i="27" s="1"/>
  <c r="O1668" i="27" s="1"/>
  <c r="AA1679" i="16"/>
  <c r="L1679" i="27" s="1"/>
  <c r="O1679" i="27" s="1"/>
  <c r="AA1663" i="16"/>
  <c r="L1663" i="27" s="1"/>
  <c r="O1663" i="27" s="1"/>
  <c r="AA1682" i="16"/>
  <c r="L1682" i="27" s="1"/>
  <c r="O1682" i="27" s="1"/>
  <c r="AA1686" i="16"/>
  <c r="L1686" i="27" s="1"/>
  <c r="O1686" i="27" s="1"/>
  <c r="AA1789" i="16"/>
  <c r="L1789" i="27" s="1"/>
  <c r="O1789" i="27" s="1"/>
  <c r="AA1773" i="16"/>
  <c r="L1773" i="27" s="1"/>
  <c r="O1773" i="27" s="1"/>
  <c r="AA1757" i="16"/>
  <c r="L1757" i="27" s="1"/>
  <c r="O1757" i="27" s="1"/>
  <c r="AA1788" i="16"/>
  <c r="L1788" i="27" s="1"/>
  <c r="O1788" i="27" s="1"/>
  <c r="AA1772" i="16"/>
  <c r="L1772" i="27" s="1"/>
  <c r="O1772" i="27" s="1"/>
  <c r="AA1756" i="16"/>
  <c r="L1756" i="27" s="1"/>
  <c r="O1756" i="27" s="1"/>
  <c r="AA1783" i="16"/>
  <c r="L1783" i="27" s="1"/>
  <c r="O1783" i="27" s="1"/>
  <c r="AA1767" i="16"/>
  <c r="L1767" i="27" s="1"/>
  <c r="O1767" i="27" s="1"/>
  <c r="AA1751" i="16"/>
  <c r="L1751" i="27" s="1"/>
  <c r="O1751" i="27" s="1"/>
  <c r="AA1782" i="16"/>
  <c r="L1782" i="27" s="1"/>
  <c r="O1782" i="27" s="1"/>
  <c r="AA1762" i="16"/>
  <c r="L1762" i="27" s="1"/>
  <c r="O1762" i="27" s="1"/>
  <c r="AA1766" i="16"/>
  <c r="L1766" i="27" s="1"/>
  <c r="O1766" i="27" s="1"/>
  <c r="AA1785" i="16"/>
  <c r="L1785" i="27" s="1"/>
  <c r="O1785" i="27" s="1"/>
  <c r="AA1769" i="16"/>
  <c r="L1769" i="27" s="1"/>
  <c r="O1769" i="27" s="1"/>
  <c r="AA1753" i="16"/>
  <c r="L1753" i="27" s="1"/>
  <c r="O1753" i="27" s="1"/>
  <c r="AA1784" i="16"/>
  <c r="L1784" i="27" s="1"/>
  <c r="O1784" i="27" s="1"/>
  <c r="AA1768" i="16"/>
  <c r="L1768" i="27" s="1"/>
  <c r="O1768" i="27" s="1"/>
  <c r="AA1752" i="16"/>
  <c r="L1752" i="27" s="1"/>
  <c r="O1752" i="27" s="1"/>
  <c r="AA1779" i="16"/>
  <c r="L1779" i="27" s="1"/>
  <c r="O1779" i="27" s="1"/>
  <c r="AA1763" i="16"/>
  <c r="L1763" i="27" s="1"/>
  <c r="O1763" i="27" s="1"/>
  <c r="AA1790" i="16"/>
  <c r="L1790" i="27" s="1"/>
  <c r="O1790" i="27" s="1"/>
  <c r="AA1750" i="16"/>
  <c r="L1750" i="27" s="1"/>
  <c r="O1750" i="27" s="1"/>
  <c r="AA1786" i="16"/>
  <c r="L1786" i="27" s="1"/>
  <c r="O1786" i="27" s="1"/>
  <c r="AA613" i="17"/>
  <c r="AA1781" i="16"/>
  <c r="L1781" i="27" s="1"/>
  <c r="O1781" i="27" s="1"/>
  <c r="AA1765" i="16"/>
  <c r="L1765" i="27" s="1"/>
  <c r="O1765" i="27" s="1"/>
  <c r="AA1749" i="16"/>
  <c r="L1995" i="27" s="1"/>
  <c r="AA1780" i="16"/>
  <c r="L1780" i="27" s="1"/>
  <c r="O1780" i="27" s="1"/>
  <c r="AA1764" i="16"/>
  <c r="L1764" i="27" s="1"/>
  <c r="O1764" i="27" s="1"/>
  <c r="AA1791" i="16"/>
  <c r="L1791" i="27" s="1"/>
  <c r="O1791" i="27" s="1"/>
  <c r="AA1775" i="16"/>
  <c r="L1775" i="27" s="1"/>
  <c r="O1775" i="27" s="1"/>
  <c r="AA1759" i="16"/>
  <c r="L1759" i="27" s="1"/>
  <c r="O1759" i="27" s="1"/>
  <c r="AA1774" i="16"/>
  <c r="L1774" i="27" s="1"/>
  <c r="O1774" i="27" s="1"/>
  <c r="AA1794" i="16"/>
  <c r="L1794" i="27" s="1"/>
  <c r="O1794" i="27" s="1"/>
  <c r="AA1770" i="16"/>
  <c r="L1770" i="27" s="1"/>
  <c r="O1770" i="27" s="1"/>
  <c r="AA1741" i="16"/>
  <c r="L1741" i="27" s="1"/>
  <c r="O1741" i="27" s="1"/>
  <c r="AA1725" i="16"/>
  <c r="L1725" i="27" s="1"/>
  <c r="O1725" i="27" s="1"/>
  <c r="AA1740" i="16"/>
  <c r="L1740" i="27" s="1"/>
  <c r="O1740" i="27" s="1"/>
  <c r="AA1724" i="16"/>
  <c r="L1724" i="27" s="1"/>
  <c r="O1724" i="27" s="1"/>
  <c r="AA1739" i="16"/>
  <c r="L1739" i="27" s="1"/>
  <c r="O1739" i="27" s="1"/>
  <c r="AA1723" i="16"/>
  <c r="L1723" i="27" s="1"/>
  <c r="O1723" i="27" s="1"/>
  <c r="AA1730" i="16"/>
  <c r="L1730" i="27" s="1"/>
  <c r="O1730" i="27" s="1"/>
  <c r="AA1737" i="16"/>
  <c r="L1737" i="27" s="1"/>
  <c r="O1737" i="27" s="1"/>
  <c r="AA1721" i="16"/>
  <c r="L1721" i="27" s="1"/>
  <c r="O1721" i="27" s="1"/>
  <c r="AA1736" i="16"/>
  <c r="L1736" i="27" s="1"/>
  <c r="O1736" i="27" s="1"/>
  <c r="AA1720" i="16"/>
  <c r="L1720" i="27" s="1"/>
  <c r="O1720" i="27" s="1"/>
  <c r="AA1735" i="16"/>
  <c r="L1735" i="27" s="1"/>
  <c r="O1735" i="27" s="1"/>
  <c r="AA1742" i="16"/>
  <c r="L1742" i="27" s="1"/>
  <c r="O1742" i="27" s="1"/>
  <c r="AA1738" i="16"/>
  <c r="L1738" i="27" s="1"/>
  <c r="O1738" i="27" s="1"/>
  <c r="AA1733" i="16"/>
  <c r="L1733" i="27" s="1"/>
  <c r="O1733" i="27" s="1"/>
  <c r="AA1748" i="16"/>
  <c r="L1748" i="27" s="1"/>
  <c r="O1748" i="27" s="1"/>
  <c r="AA1732" i="16"/>
  <c r="L1732" i="27" s="1"/>
  <c r="O1732" i="27" s="1"/>
  <c r="AA1747" i="16"/>
  <c r="L1747" i="27" s="1"/>
  <c r="O1747" i="27" s="1"/>
  <c r="AA1731" i="16"/>
  <c r="L1731" i="27" s="1"/>
  <c r="O1731" i="27" s="1"/>
  <c r="AA1726" i="16"/>
  <c r="L1726" i="27" s="1"/>
  <c r="O1726" i="27" s="1"/>
  <c r="AA1722" i="16"/>
  <c r="L1722" i="27" s="1"/>
  <c r="O1722" i="27" s="1"/>
  <c r="AA816" i="17"/>
  <c r="AA812" i="17"/>
  <c r="AA808" i="17"/>
  <c r="AA804" i="17"/>
  <c r="AA800" i="17"/>
  <c r="AA796" i="17"/>
  <c r="AA792" i="17"/>
  <c r="AA788" i="17"/>
  <c r="AA784" i="17"/>
  <c r="AA780" i="17"/>
  <c r="AA776" i="17"/>
  <c r="AA772" i="17"/>
  <c r="AA768" i="17"/>
  <c r="AA764" i="17"/>
  <c r="AA760" i="17"/>
  <c r="AA756" i="17"/>
  <c r="AA752" i="17"/>
  <c r="AA748" i="17"/>
  <c r="AA744" i="17"/>
  <c r="AA1995" i="16"/>
  <c r="AG1995" i="16" s="1"/>
  <c r="AA1994" i="16"/>
  <c r="AG1994" i="16" s="1"/>
  <c r="AA1996" i="16"/>
  <c r="AG1996" i="16" s="1"/>
  <c r="AA1981" i="16"/>
  <c r="AG1981" i="16" s="1"/>
  <c r="AA1965" i="16"/>
  <c r="AG1965" i="16" s="1"/>
  <c r="AA1949" i="16"/>
  <c r="AG1949" i="16" s="1"/>
  <c r="AA1933" i="16"/>
  <c r="AG1933" i="16" s="1"/>
  <c r="AA1980" i="16"/>
  <c r="AG1980" i="16" s="1"/>
  <c r="AA1964" i="16"/>
  <c r="AG1964" i="16" s="1"/>
  <c r="AA1948" i="16"/>
  <c r="AG1948" i="16" s="1"/>
  <c r="AA1932" i="16"/>
  <c r="AG1932" i="16" s="1"/>
  <c r="AA1974" i="16"/>
  <c r="AG1974" i="16" s="1"/>
  <c r="AA1938" i="16"/>
  <c r="AG1938" i="16" s="1"/>
  <c r="AA1983" i="16"/>
  <c r="AG1983" i="16" s="1"/>
  <c r="AA1967" i="16"/>
  <c r="AG1967" i="16" s="1"/>
  <c r="AA1951" i="16"/>
  <c r="AG1951" i="16" s="1"/>
  <c r="AA1935" i="16"/>
  <c r="AG1935" i="16" s="1"/>
  <c r="AA1986" i="16"/>
  <c r="AG1986" i="16" s="1"/>
  <c r="AA1958" i="16"/>
  <c r="AG1958" i="16" s="1"/>
  <c r="AA1926" i="16"/>
  <c r="AG1926" i="16" s="1"/>
  <c r="AA815" i="17"/>
  <c r="AA811" i="17"/>
  <c r="AA807" i="17"/>
  <c r="AA803" i="17"/>
  <c r="AA799" i="17"/>
  <c r="AA795" i="17"/>
  <c r="AA791" i="17"/>
  <c r="AA787" i="17"/>
  <c r="AA783" i="17"/>
  <c r="AA779" i="17"/>
  <c r="AA775" i="17"/>
  <c r="AA771" i="17"/>
  <c r="AA767" i="17"/>
  <c r="AA763" i="17"/>
  <c r="AA759" i="17"/>
  <c r="AA755" i="17"/>
  <c r="AA751" i="17"/>
  <c r="AA747" i="17"/>
  <c r="AA743" i="17"/>
  <c r="AA1991" i="16"/>
  <c r="AG1991" i="16" s="1"/>
  <c r="AA1990" i="16"/>
  <c r="AG1990" i="16" s="1"/>
  <c r="AA1992" i="16"/>
  <c r="AG1992" i="16" s="1"/>
  <c r="AA1977" i="16"/>
  <c r="AG1977" i="16" s="1"/>
  <c r="AA1961" i="16"/>
  <c r="AG1961" i="16" s="1"/>
  <c r="AA1945" i="16"/>
  <c r="AG1945" i="16" s="1"/>
  <c r="AA1929" i="16"/>
  <c r="AG1929" i="16" s="1"/>
  <c r="AA1976" i="16"/>
  <c r="AG1976" i="16" s="1"/>
  <c r="AA1960" i="16"/>
  <c r="AG1960" i="16" s="1"/>
  <c r="AA1944" i="16"/>
  <c r="AG1944" i="16" s="1"/>
  <c r="AA1928" i="16"/>
  <c r="AG1928" i="16" s="1"/>
  <c r="AA1962" i="16"/>
  <c r="AG1962" i="16" s="1"/>
  <c r="AA1930" i="16"/>
  <c r="AG1930" i="16" s="1"/>
  <c r="AA1979" i="16"/>
  <c r="AG1979" i="16" s="1"/>
  <c r="AA1963" i="16"/>
  <c r="AG1963" i="16" s="1"/>
  <c r="AA1947" i="16"/>
  <c r="AG1947" i="16" s="1"/>
  <c r="AA1931" i="16"/>
  <c r="AG1931" i="16" s="1"/>
  <c r="AA1978" i="16"/>
  <c r="AG1978" i="16" s="1"/>
  <c r="AA1950" i="16"/>
  <c r="AG1950" i="16" s="1"/>
  <c r="AA814" i="17"/>
  <c r="AA810" i="17"/>
  <c r="AA806" i="17"/>
  <c r="AA802" i="17"/>
  <c r="AA798" i="17"/>
  <c r="AA794" i="17"/>
  <c r="AA790" i="17"/>
  <c r="AA786" i="17"/>
  <c r="AA782" i="17"/>
  <c r="AA778" i="17"/>
  <c r="AA774" i="17"/>
  <c r="AA770" i="17"/>
  <c r="AA766" i="17"/>
  <c r="AA762" i="17"/>
  <c r="AA758" i="17"/>
  <c r="AA754" i="17"/>
  <c r="AA750" i="17"/>
  <c r="AA746" i="17"/>
  <c r="AA742" i="17"/>
  <c r="AA1987" i="16"/>
  <c r="AG1987" i="16" s="1"/>
  <c r="AA1997" i="16"/>
  <c r="AG1997" i="16" s="1"/>
  <c r="AA1988" i="16"/>
  <c r="AG1988" i="16" s="1"/>
  <c r="AA1973" i="16"/>
  <c r="AG1973" i="16" s="1"/>
  <c r="AA1957" i="16"/>
  <c r="AG1957" i="16" s="1"/>
  <c r="AA1941" i="16"/>
  <c r="AG1941" i="16" s="1"/>
  <c r="AA1925" i="16"/>
  <c r="AG1925" i="16" s="1"/>
  <c r="AA1972" i="16"/>
  <c r="AG1972" i="16" s="1"/>
  <c r="AA1956" i="16"/>
  <c r="AG1956" i="16" s="1"/>
  <c r="AA1940" i="16"/>
  <c r="AG1940" i="16" s="1"/>
  <c r="AA1924" i="16"/>
  <c r="AG1924" i="16" s="1"/>
  <c r="AA1954" i="16"/>
  <c r="AG1954" i="16" s="1"/>
  <c r="AA1922" i="16"/>
  <c r="AG1922" i="16" s="1"/>
  <c r="AA1975" i="16"/>
  <c r="AG1975" i="16" s="1"/>
  <c r="AA1959" i="16"/>
  <c r="AG1959" i="16" s="1"/>
  <c r="AA1943" i="16"/>
  <c r="AG1943" i="16" s="1"/>
  <c r="AA1927" i="16"/>
  <c r="AG1927" i="16" s="1"/>
  <c r="AA1970" i="16"/>
  <c r="AG1970" i="16" s="1"/>
  <c r="AA1942" i="16"/>
  <c r="AG1942" i="16" s="1"/>
  <c r="J9" i="32"/>
  <c r="J11" i="32"/>
  <c r="L11" i="32" s="1"/>
  <c r="J7" i="32"/>
  <c r="AA1814" i="16"/>
  <c r="AG1814" i="16" s="1"/>
  <c r="AA1803" i="16"/>
  <c r="AG1803" i="16" s="1"/>
  <c r="AA1796" i="16"/>
  <c r="AG1796" i="16" s="1"/>
  <c r="AA1812" i="16"/>
  <c r="AG1812" i="16" s="1"/>
  <c r="AA1805" i="16"/>
  <c r="AG1805" i="16" s="1"/>
  <c r="AA614" i="17"/>
  <c r="AA619" i="17"/>
  <c r="AA627" i="17"/>
  <c r="AA1675" i="16"/>
  <c r="L1675" i="27" s="1"/>
  <c r="O1675" i="27" s="1"/>
  <c r="AA1685" i="16"/>
  <c r="L1685" i="27" s="1"/>
  <c r="O1685" i="27" s="1"/>
  <c r="AA1923" i="16"/>
  <c r="AG1923" i="16" s="1"/>
  <c r="AA1989" i="16"/>
  <c r="AG1989" i="16" s="1"/>
  <c r="AA1952" i="16"/>
  <c r="AG1952" i="16" s="1"/>
  <c r="AA1953" i="16"/>
  <c r="AG1953" i="16" s="1"/>
  <c r="AA1998" i="16"/>
  <c r="AG1998" i="16" s="1"/>
  <c r="AA753" i="17"/>
  <c r="AA769" i="17"/>
  <c r="AA785" i="17"/>
  <c r="AA801" i="17"/>
  <c r="AA817" i="17"/>
  <c r="AA1758" i="16"/>
  <c r="L1758" i="27" s="1"/>
  <c r="O1758" i="27" s="1"/>
  <c r="AA1760" i="16"/>
  <c r="L1760" i="27" s="1"/>
  <c r="O1760" i="27" s="1"/>
  <c r="AA1777" i="16"/>
  <c r="L1777" i="27" s="1"/>
  <c r="O1777" i="27" s="1"/>
  <c r="AA1734" i="16"/>
  <c r="L1734" i="27" s="1"/>
  <c r="O1734" i="27" s="1"/>
  <c r="AA1728" i="16"/>
  <c r="L1728" i="27" s="1"/>
  <c r="O1728" i="27" s="1"/>
  <c r="AA1880" i="16"/>
  <c r="AG1880" i="16" s="1"/>
  <c r="AA691" i="17"/>
  <c r="AA1798" i="16"/>
  <c r="AG1798" i="16" s="1"/>
  <c r="AA1806" i="16"/>
  <c r="AG1806" i="16" s="1"/>
  <c r="AA1807" i="16"/>
  <c r="AG1807" i="16" s="1"/>
  <c r="AA1800" i="16"/>
  <c r="AG1800" i="16" s="1"/>
  <c r="AA1816" i="16"/>
  <c r="AG1816" i="16" s="1"/>
  <c r="AA1809" i="16"/>
  <c r="AG1809" i="16" s="1"/>
  <c r="AA615" i="17"/>
  <c r="AA621" i="17"/>
  <c r="AA631" i="17"/>
  <c r="AA1664" i="16"/>
  <c r="L1664" i="27" s="1"/>
  <c r="O1664" i="27" s="1"/>
  <c r="AA1939" i="16"/>
  <c r="AG1939" i="16" s="1"/>
  <c r="AA1946" i="16"/>
  <c r="AG1946" i="16" s="1"/>
  <c r="AA1968" i="16"/>
  <c r="AG1968" i="16" s="1"/>
  <c r="AA1969" i="16"/>
  <c r="AG1969" i="16" s="1"/>
  <c r="AA741" i="17"/>
  <c r="AA757" i="17"/>
  <c r="AA773" i="17"/>
  <c r="AA789" i="17"/>
  <c r="AA805" i="17"/>
  <c r="AA1755" i="16"/>
  <c r="L1755" i="27" s="1"/>
  <c r="O1755" i="27" s="1"/>
  <c r="AA1776" i="16"/>
  <c r="L1776" i="27" s="1"/>
  <c r="O1776" i="27" s="1"/>
  <c r="AA1793" i="16"/>
  <c r="L1793" i="27" s="1"/>
  <c r="O1793" i="27" s="1"/>
  <c r="AA1746" i="16"/>
  <c r="L1746" i="27" s="1"/>
  <c r="O1746" i="27" s="1"/>
  <c r="AA1744" i="16"/>
  <c r="L1744" i="27" s="1"/>
  <c r="O1744" i="27" s="1"/>
  <c r="AA1882" i="16"/>
  <c r="AG1882" i="16" s="1"/>
  <c r="AA1873" i="16"/>
  <c r="AG1873" i="16" s="1"/>
  <c r="AA695" i="17"/>
  <c r="AG241" i="16"/>
  <c r="AA1802" i="16"/>
  <c r="AG1802" i="16" s="1"/>
  <c r="AA1795" i="16"/>
  <c r="AG1795" i="16" s="1"/>
  <c r="AA1811" i="16"/>
  <c r="AG1811" i="16" s="1"/>
  <c r="AA1804" i="16"/>
  <c r="AG1804" i="16" s="1"/>
  <c r="AA1797" i="16"/>
  <c r="AG1797" i="16" s="1"/>
  <c r="AA1813" i="16"/>
  <c r="AG1813" i="16" s="1"/>
  <c r="AA617" i="17"/>
  <c r="AA622" i="17"/>
  <c r="AA635" i="17"/>
  <c r="AA1666" i="16"/>
  <c r="L1666" i="27" s="1"/>
  <c r="O1666" i="27" s="1"/>
  <c r="AA1680" i="16"/>
  <c r="L1680" i="27" s="1"/>
  <c r="O1680" i="27" s="1"/>
  <c r="AA1934" i="16"/>
  <c r="AG1934" i="16" s="1"/>
  <c r="AA1955" i="16"/>
  <c r="AG1955" i="16" s="1"/>
  <c r="AA1982" i="16"/>
  <c r="AG1982" i="16" s="1"/>
  <c r="AA1984" i="16"/>
  <c r="AG1984" i="16" s="1"/>
  <c r="AA1985" i="16"/>
  <c r="AG1985" i="16" s="1"/>
  <c r="AA745" i="17"/>
  <c r="AA761" i="17"/>
  <c r="AA777" i="17"/>
  <c r="AA793" i="17"/>
  <c r="AA809" i="17"/>
  <c r="AA1754" i="16"/>
  <c r="L1754" i="27" s="1"/>
  <c r="O1754" i="27" s="1"/>
  <c r="AA1771" i="16"/>
  <c r="L1771" i="27" s="1"/>
  <c r="O1771" i="27" s="1"/>
  <c r="AA1792" i="16"/>
  <c r="L1792" i="27" s="1"/>
  <c r="O1792" i="27" s="1"/>
  <c r="AA1727" i="16"/>
  <c r="L1727" i="27" s="1"/>
  <c r="O1727" i="27" s="1"/>
  <c r="AA1729" i="16"/>
  <c r="L1729" i="27" s="1"/>
  <c r="O1729" i="27" s="1"/>
  <c r="AA1871" i="16"/>
  <c r="AG1871" i="16" s="1"/>
  <c r="AA683" i="17"/>
  <c r="AA699" i="17"/>
  <c r="AA537" i="17"/>
  <c r="AA1118" i="16"/>
  <c r="AG1118" i="16" s="1"/>
  <c r="AA1202" i="16"/>
  <c r="AG1202" i="16" s="1"/>
  <c r="AA1218" i="16"/>
  <c r="AG1218" i="16" s="1"/>
  <c r="AA1258" i="16"/>
  <c r="AG1258" i="16" s="1"/>
  <c r="AA555" i="16"/>
  <c r="AG555" i="16" s="1"/>
  <c r="AA559" i="16"/>
  <c r="AG559" i="16" s="1"/>
  <c r="AA563" i="16"/>
  <c r="AG563" i="16" s="1"/>
  <c r="AA580" i="16"/>
  <c r="AG580" i="16" s="1"/>
  <c r="AA585" i="16"/>
  <c r="AG585" i="16" s="1"/>
  <c r="AA1109" i="16"/>
  <c r="AG1109" i="16" s="1"/>
  <c r="AA1201" i="16"/>
  <c r="AG1201" i="16" s="1"/>
  <c r="AA529" i="17"/>
  <c r="AA1110" i="16"/>
  <c r="AG1110" i="16" s="1"/>
  <c r="AA1194" i="16"/>
  <c r="AG1194" i="16" s="1"/>
  <c r="AA1210" i="16"/>
  <c r="AG1210" i="16" s="1"/>
  <c r="AA1250" i="16"/>
  <c r="AG1250" i="16" s="1"/>
  <c r="AA553" i="16"/>
  <c r="AG553" i="16" s="1"/>
  <c r="AA557" i="16"/>
  <c r="AG557" i="16" s="1"/>
  <c r="AA561" i="16"/>
  <c r="AG561" i="16" s="1"/>
  <c r="AA577" i="16"/>
  <c r="AG577" i="16" s="1"/>
  <c r="AA582" i="16"/>
  <c r="AG582" i="16" s="1"/>
  <c r="AA588" i="16"/>
  <c r="AG588" i="16" s="1"/>
  <c r="AA1121" i="16"/>
  <c r="AG1121" i="16" s="1"/>
  <c r="AA1253" i="16"/>
  <c r="AG1253" i="16" s="1"/>
  <c r="AG231" i="16"/>
  <c r="AG232" i="16"/>
  <c r="AG240" i="16"/>
  <c r="AG220" i="16"/>
  <c r="AA1221" i="16"/>
  <c r="AG1221" i="16" s="1"/>
  <c r="AA830" i="17"/>
  <c r="AG236" i="16"/>
  <c r="AG228" i="16"/>
  <c r="AG235" i="16"/>
  <c r="AG227" i="16"/>
  <c r="AG239" i="16"/>
  <c r="AA1209" i="16"/>
  <c r="AG1209" i="16" s="1"/>
  <c r="AA1257" i="16"/>
  <c r="AG1257" i="16" s="1"/>
  <c r="AA2265" i="16"/>
  <c r="AG2265" i="16" s="1"/>
  <c r="AG219" i="16"/>
  <c r="L362" i="27"/>
  <c r="O362" i="27" s="1"/>
  <c r="L358" i="27"/>
  <c r="O358" i="27" s="1"/>
  <c r="L354" i="27"/>
  <c r="O354" i="27" s="1"/>
  <c r="L364" i="27"/>
  <c r="O364" i="27" s="1"/>
  <c r="L361" i="27"/>
  <c r="O361" i="27" s="1"/>
  <c r="L356" i="27"/>
  <c r="O356" i="27" s="1"/>
  <c r="L353" i="27"/>
  <c r="O353" i="27" s="1"/>
  <c r="L360" i="27"/>
  <c r="O360" i="27" s="1"/>
  <c r="L357" i="27"/>
  <c r="O357" i="27" s="1"/>
  <c r="L363" i="27"/>
  <c r="O363" i="27" s="1"/>
  <c r="L355" i="27"/>
  <c r="O355" i="27" s="1"/>
  <c r="L359" i="27"/>
  <c r="O359" i="27" s="1"/>
  <c r="L292" i="27"/>
  <c r="O292" i="27" s="1"/>
  <c r="O1886" i="27"/>
  <c r="L1884" i="27"/>
  <c r="L1882" i="27"/>
  <c r="O1882" i="27" s="1"/>
  <c r="L1880" i="27"/>
  <c r="L1878" i="27"/>
  <c r="O1878" i="27" s="1"/>
  <c r="L1876" i="27"/>
  <c r="O1876" i="27" s="1"/>
  <c r="L1874" i="27"/>
  <c r="L1872" i="27"/>
  <c r="L1870" i="27"/>
  <c r="O1870" i="27" s="1"/>
  <c r="L1868" i="27"/>
  <c r="L1866" i="27"/>
  <c r="O1866" i="27" s="1"/>
  <c r="L1864" i="27"/>
  <c r="O1864" i="27" s="1"/>
  <c r="L1862" i="27"/>
  <c r="O1862" i="27" s="1"/>
  <c r="L1860" i="27"/>
  <c r="O1860" i="27" s="1"/>
  <c r="L1858" i="27"/>
  <c r="O1858" i="27" s="1"/>
  <c r="L1856" i="27"/>
  <c r="O1856" i="27" s="1"/>
  <c r="L1854" i="27"/>
  <c r="O1854" i="27" s="1"/>
  <c r="L1852" i="27"/>
  <c r="O1852" i="27" s="1"/>
  <c r="L1850" i="27"/>
  <c r="O1850" i="27" s="1"/>
  <c r="L1848" i="27"/>
  <c r="O1848" i="27" s="1"/>
  <c r="L1846" i="27"/>
  <c r="O1846" i="27" s="1"/>
  <c r="L1844" i="27"/>
  <c r="O1844" i="27" s="1"/>
  <c r="L1842" i="27"/>
  <c r="O1842" i="27" s="1"/>
  <c r="L1840" i="27"/>
  <c r="O1840" i="27" s="1"/>
  <c r="L1838" i="27"/>
  <c r="O1838" i="27" s="1"/>
  <c r="L1836" i="27"/>
  <c r="O1836" i="27" s="1"/>
  <c r="L1834" i="27"/>
  <c r="O1834" i="27" s="1"/>
  <c r="L1832" i="27"/>
  <c r="O1832" i="27" s="1"/>
  <c r="L1830" i="27"/>
  <c r="O1830" i="27" s="1"/>
  <c r="L1828" i="27"/>
  <c r="O1828" i="27" s="1"/>
  <c r="L1826" i="27"/>
  <c r="O1826" i="27" s="1"/>
  <c r="L1824" i="27"/>
  <c r="O1824" i="27" s="1"/>
  <c r="L1822" i="27"/>
  <c r="O1822" i="27" s="1"/>
  <c r="L1820" i="27"/>
  <c r="O1820" i="27" s="1"/>
  <c r="L1818" i="27"/>
  <c r="O1818" i="27" s="1"/>
  <c r="L1816" i="27"/>
  <c r="O1816" i="27" s="1"/>
  <c r="L1814" i="27"/>
  <c r="L1812" i="27"/>
  <c r="O1812" i="27" s="1"/>
  <c r="L1810" i="27"/>
  <c r="L1808" i="27"/>
  <c r="O1808" i="27" s="1"/>
  <c r="L1806" i="27"/>
  <c r="L1804" i="27"/>
  <c r="O1804" i="27" s="1"/>
  <c r="L1802" i="27"/>
  <c r="O1802" i="27" s="1"/>
  <c r="L1800" i="27"/>
  <c r="L1798" i="27"/>
  <c r="O1798" i="27" s="1"/>
  <c r="L1796" i="27"/>
  <c r="O1796" i="27" s="1"/>
  <c r="L1879" i="27"/>
  <c r="L1871" i="27"/>
  <c r="L1863" i="27"/>
  <c r="O1863" i="27" s="1"/>
  <c r="L1855" i="27"/>
  <c r="O1855" i="27" s="1"/>
  <c r="L1847" i="27"/>
  <c r="O1847" i="27" s="1"/>
  <c r="L1839" i="27"/>
  <c r="O1839" i="27" s="1"/>
  <c r="L1831" i="27"/>
  <c r="O1831" i="27" s="1"/>
  <c r="L1823" i="27"/>
  <c r="O1823" i="27" s="1"/>
  <c r="L1815" i="27"/>
  <c r="O1815" i="27" s="1"/>
  <c r="L1807" i="27"/>
  <c r="L1799" i="27"/>
  <c r="L1883" i="27"/>
  <c r="O1883" i="27" s="1"/>
  <c r="L1875" i="27"/>
  <c r="L1867" i="27"/>
  <c r="L1859" i="27"/>
  <c r="O1859" i="27" s="1"/>
  <c r="L1851" i="27"/>
  <c r="O1851" i="27" s="1"/>
  <c r="L1843" i="27"/>
  <c r="O1843" i="27" s="1"/>
  <c r="L1835" i="27"/>
  <c r="O1835" i="27" s="1"/>
  <c r="L1827" i="27"/>
  <c r="O1827" i="27" s="1"/>
  <c r="L1819" i="27"/>
  <c r="O1819" i="27" s="1"/>
  <c r="L1811" i="27"/>
  <c r="O1811" i="27" s="1"/>
  <c r="L1803" i="27"/>
  <c r="L1795" i="27"/>
  <c r="L1873" i="27"/>
  <c r="L1857" i="27"/>
  <c r="O1857" i="27" s="1"/>
  <c r="L1841" i="27"/>
  <c r="O1841" i="27" s="1"/>
  <c r="L1825" i="27"/>
  <c r="O1825" i="27" s="1"/>
  <c r="L1809" i="27"/>
  <c r="L1877" i="27"/>
  <c r="O1877" i="27" s="1"/>
  <c r="L1861" i="27"/>
  <c r="O1861" i="27" s="1"/>
  <c r="L1845" i="27"/>
  <c r="O1845" i="27" s="1"/>
  <c r="L1829" i="27"/>
  <c r="O1829" i="27" s="1"/>
  <c r="L1813" i="27"/>
  <c r="L1797" i="27"/>
  <c r="O1797" i="27" s="1"/>
  <c r="L1881" i="27"/>
  <c r="O1881" i="27" s="1"/>
  <c r="L1865" i="27"/>
  <c r="L1849" i="27"/>
  <c r="O1849" i="27" s="1"/>
  <c r="L1833" i="27"/>
  <c r="O1833" i="27" s="1"/>
  <c r="L1817" i="27"/>
  <c r="L1801" i="27"/>
  <c r="O1801" i="27" s="1"/>
  <c r="L1853" i="27"/>
  <c r="O1853" i="27" s="1"/>
  <c r="L1869" i="27"/>
  <c r="L1805" i="27"/>
  <c r="L1885" i="27"/>
  <c r="L1821" i="27"/>
  <c r="O1821" i="27" s="1"/>
  <c r="L1837" i="27"/>
  <c r="O1837" i="27" s="1"/>
  <c r="AA823" i="17"/>
  <c r="O1999" i="27"/>
  <c r="T8" i="27"/>
  <c r="O1292" i="27"/>
  <c r="W8" i="27" s="1"/>
  <c r="T12" i="27"/>
  <c r="O2271" i="27"/>
  <c r="W12" i="27" s="1"/>
  <c r="O365" i="27"/>
  <c r="L2267" i="27"/>
  <c r="L2263" i="27"/>
  <c r="L2259" i="27"/>
  <c r="L2255" i="27"/>
  <c r="L2268" i="27"/>
  <c r="L2260" i="27"/>
  <c r="L2266" i="27"/>
  <c r="L2264" i="27"/>
  <c r="L2257" i="27"/>
  <c r="L2265" i="27"/>
  <c r="L2261" i="27"/>
  <c r="L2256" i="27"/>
  <c r="L2269" i="27"/>
  <c r="L2254" i="27"/>
  <c r="O2254" i="27" s="1"/>
  <c r="L2270" i="27"/>
  <c r="L2258" i="27"/>
  <c r="L2262" i="27"/>
  <c r="L338" i="27"/>
  <c r="O338" i="27" s="1"/>
  <c r="L334" i="27"/>
  <c r="O334" i="27" s="1"/>
  <c r="L330" i="27"/>
  <c r="O330" i="27" s="1"/>
  <c r="L335" i="27"/>
  <c r="O335" i="27" s="1"/>
  <c r="L339" i="27"/>
  <c r="O339" i="27" s="1"/>
  <c r="L331" i="27"/>
  <c r="O331" i="27" s="1"/>
  <c r="L340" i="27"/>
  <c r="O340" i="27" s="1"/>
  <c r="L336" i="27"/>
  <c r="O336" i="27" s="1"/>
  <c r="L332" i="27"/>
  <c r="O332" i="27" s="1"/>
  <c r="L337" i="27"/>
  <c r="O337" i="27" s="1"/>
  <c r="L333" i="27"/>
  <c r="O333" i="27" s="1"/>
  <c r="L329" i="27"/>
  <c r="O329" i="27" s="1"/>
  <c r="L266" i="27"/>
  <c r="O266" i="27" s="1"/>
  <c r="L107" i="27"/>
  <c r="O107" i="27" s="1"/>
  <c r="L103" i="27"/>
  <c r="O103" i="27" s="1"/>
  <c r="L99" i="27"/>
  <c r="O99" i="27" s="1"/>
  <c r="L109" i="27"/>
  <c r="O109" i="27" s="1"/>
  <c r="L102" i="27"/>
  <c r="L100" i="27"/>
  <c r="L108" i="27"/>
  <c r="L101" i="27"/>
  <c r="O101" i="27" s="1"/>
  <c r="L106" i="27"/>
  <c r="O106" i="27" s="1"/>
  <c r="L105" i="27"/>
  <c r="O105" i="27" s="1"/>
  <c r="L98" i="27"/>
  <c r="O98" i="27" s="1"/>
  <c r="L104" i="27"/>
  <c r="L13" i="27"/>
  <c r="O13" i="27" s="1"/>
  <c r="O2" i="27"/>
  <c r="L1255" i="27"/>
  <c r="O1255" i="27" s="1"/>
  <c r="L1251" i="27"/>
  <c r="O1251" i="27" s="1"/>
  <c r="L1247" i="27"/>
  <c r="O1247" i="27" s="1"/>
  <c r="L1219" i="27"/>
  <c r="O1219" i="27" s="1"/>
  <c r="L1215" i="27"/>
  <c r="O1215" i="27" s="1"/>
  <c r="L1211" i="27"/>
  <c r="L1207" i="27"/>
  <c r="O1207" i="27" s="1"/>
  <c r="L1203" i="27"/>
  <c r="O1203" i="27" s="1"/>
  <c r="L1199" i="27"/>
  <c r="O1199" i="27" s="1"/>
  <c r="L1195" i="27"/>
  <c r="O1195" i="27" s="1"/>
  <c r="L1256" i="27"/>
  <c r="L1248" i="27"/>
  <c r="O1248" i="27" s="1"/>
  <c r="L1222" i="27"/>
  <c r="O1222" i="27" s="1"/>
  <c r="L1217" i="27"/>
  <c r="L1214" i="27"/>
  <c r="O1214" i="27" s="1"/>
  <c r="L1209" i="27"/>
  <c r="L1206" i="27"/>
  <c r="O1206" i="27" s="1"/>
  <c r="L1201" i="27"/>
  <c r="O1201" i="27" s="1"/>
  <c r="L1198" i="27"/>
  <c r="L1193" i="27"/>
  <c r="O1193" i="27" s="1"/>
  <c r="L1122" i="27"/>
  <c r="O1122" i="27" s="1"/>
  <c r="L1118" i="27"/>
  <c r="L1114" i="27"/>
  <c r="O1114" i="27" s="1"/>
  <c r="L1110" i="27"/>
  <c r="O1110" i="27" s="1"/>
  <c r="L1106" i="27"/>
  <c r="O1106" i="27" s="1"/>
  <c r="L1254" i="27"/>
  <c r="L1252" i="27"/>
  <c r="O1252" i="27" s="1"/>
  <c r="L1119" i="27"/>
  <c r="O1119" i="27" s="1"/>
  <c r="L1111" i="27"/>
  <c r="O1111" i="27" s="1"/>
  <c r="L1103" i="27"/>
  <c r="O1103" i="27" s="1"/>
  <c r="L1250" i="27"/>
  <c r="L1220" i="27"/>
  <c r="O1220" i="27" s="1"/>
  <c r="L1218" i="27"/>
  <c r="O1218" i="27" s="1"/>
  <c r="L1208" i="27"/>
  <c r="O1208" i="27" s="1"/>
  <c r="L1205" i="27"/>
  <c r="L1123" i="27"/>
  <c r="O1123" i="27" s="1"/>
  <c r="L1116" i="27"/>
  <c r="O1116" i="27" s="1"/>
  <c r="L1109" i="27"/>
  <c r="L1107" i="27"/>
  <c r="O1107" i="27" s="1"/>
  <c r="L1258" i="27"/>
  <c r="L1253" i="27"/>
  <c r="L1221" i="27"/>
  <c r="L1204" i="27"/>
  <c r="O1204" i="27" s="1"/>
  <c r="L1202" i="27"/>
  <c r="L1194" i="27"/>
  <c r="L1121" i="27"/>
  <c r="O1121" i="27" s="1"/>
  <c r="L1108" i="27"/>
  <c r="O1108" i="27" s="1"/>
  <c r="L1104" i="27"/>
  <c r="O1104" i="27" s="1"/>
  <c r="L1257" i="27"/>
  <c r="L1249" i="27"/>
  <c r="L1120" i="27"/>
  <c r="O1120" i="27" s="1"/>
  <c r="L1115" i="27"/>
  <c r="O1115" i="27" s="1"/>
  <c r="L1105" i="27"/>
  <c r="O1105" i="27" s="1"/>
  <c r="L1212" i="27"/>
  <c r="O1212" i="27" s="1"/>
  <c r="L1196" i="27"/>
  <c r="O1196" i="27" s="1"/>
  <c r="L1113" i="27"/>
  <c r="L1216" i="27"/>
  <c r="O1216" i="27" s="1"/>
  <c r="L1213" i="27"/>
  <c r="L1192" i="27"/>
  <c r="O1192" i="27" s="1"/>
  <c r="L1117" i="27"/>
  <c r="O1117" i="27" s="1"/>
  <c r="L1200" i="27"/>
  <c r="O1200" i="27" s="1"/>
  <c r="L1197" i="27"/>
  <c r="L1210" i="27"/>
  <c r="O1210" i="27" s="1"/>
  <c r="L1112" i="27"/>
  <c r="O1112" i="27" s="1"/>
  <c r="L1033" i="27"/>
  <c r="O1033" i="27" s="1"/>
  <c r="L586" i="27"/>
  <c r="O586" i="27" s="1"/>
  <c r="L582" i="27"/>
  <c r="L578" i="27"/>
  <c r="O578" i="27" s="1"/>
  <c r="L585" i="27"/>
  <c r="L583" i="27"/>
  <c r="L564" i="27"/>
  <c r="O564" i="27" s="1"/>
  <c r="L560" i="27"/>
  <c r="O560" i="27" s="1"/>
  <c r="L556" i="27"/>
  <c r="O556" i="27" s="1"/>
  <c r="L552" i="27"/>
  <c r="O552" i="27" s="1"/>
  <c r="L587" i="27"/>
  <c r="L580" i="27"/>
  <c r="L563" i="27"/>
  <c r="O563" i="27" s="1"/>
  <c r="L561" i="27"/>
  <c r="O561" i="27" s="1"/>
  <c r="L554" i="27"/>
  <c r="O554" i="27" s="1"/>
  <c r="L588" i="27"/>
  <c r="L581" i="27"/>
  <c r="O581" i="27" s="1"/>
  <c r="L562" i="27"/>
  <c r="O562" i="27" s="1"/>
  <c r="L555" i="27"/>
  <c r="L553" i="27"/>
  <c r="O553" i="27" s="1"/>
  <c r="L584" i="27"/>
  <c r="O584" i="27" s="1"/>
  <c r="L579" i="27"/>
  <c r="L557" i="27"/>
  <c r="O557" i="27" s="1"/>
  <c r="L577" i="27"/>
  <c r="L559" i="27"/>
  <c r="L558" i="27"/>
  <c r="L538" i="27"/>
  <c r="O538" i="27" s="1"/>
  <c r="O1662" i="27"/>
  <c r="L1997" i="27"/>
  <c r="O1997" i="27" s="1"/>
  <c r="L1989" i="27"/>
  <c r="O1989" i="27" s="1"/>
  <c r="L1981" i="27"/>
  <c r="L1973" i="27"/>
  <c r="L1965" i="27"/>
  <c r="L1957" i="27"/>
  <c r="L1945" i="27"/>
  <c r="L1929" i="27"/>
  <c r="L1942" i="27"/>
  <c r="L1926" i="27"/>
  <c r="L1940" i="27"/>
  <c r="O1940" i="27" s="1"/>
  <c r="L1924" i="27"/>
  <c r="L1974" i="27"/>
  <c r="L1938" i="27"/>
  <c r="L1984" i="27"/>
  <c r="L1952" i="27"/>
  <c r="L1970" i="27"/>
  <c r="O1970" i="27" s="1"/>
  <c r="L1939" i="27"/>
  <c r="L1988" i="27"/>
  <c r="L1956" i="27"/>
  <c r="L576" i="27"/>
  <c r="L572" i="27"/>
  <c r="O572" i="27" s="1"/>
  <c r="L568" i="27"/>
  <c r="L548" i="27"/>
  <c r="O548" i="27" s="1"/>
  <c r="L544" i="27"/>
  <c r="L540" i="27"/>
  <c r="O540" i="27" s="1"/>
  <c r="L570" i="27"/>
  <c r="O570" i="27" s="1"/>
  <c r="L547" i="27"/>
  <c r="L545" i="27"/>
  <c r="L571" i="27"/>
  <c r="L569" i="27"/>
  <c r="O569" i="27" s="1"/>
  <c r="L546" i="27"/>
  <c r="L539" i="27"/>
  <c r="O539" i="27" s="1"/>
  <c r="L575" i="27"/>
  <c r="O575" i="27" s="1"/>
  <c r="L550" i="27"/>
  <c r="L543" i="27"/>
  <c r="O543" i="27" s="1"/>
  <c r="L574" i="27"/>
  <c r="L567" i="27"/>
  <c r="O567" i="27" s="1"/>
  <c r="L549" i="27"/>
  <c r="L542" i="27"/>
  <c r="L573" i="27"/>
  <c r="O573" i="27" s="1"/>
  <c r="L566" i="27"/>
  <c r="L541" i="27"/>
  <c r="O541" i="27" s="1"/>
  <c r="L565" i="27"/>
  <c r="O565" i="27" s="1"/>
  <c r="L551" i="27"/>
  <c r="L514" i="27"/>
  <c r="O514" i="27" s="1"/>
  <c r="L1231" i="27"/>
  <c r="O1231" i="27" s="1"/>
  <c r="L1227" i="27"/>
  <c r="L1223" i="27"/>
  <c r="O1223" i="27" s="1"/>
  <c r="L1233" i="27"/>
  <c r="O1233" i="27" s="1"/>
  <c r="L1230" i="27"/>
  <c r="O1230" i="27" s="1"/>
  <c r="L1225" i="27"/>
  <c r="L1154" i="27"/>
  <c r="O1154" i="27" s="1"/>
  <c r="L1150" i="27"/>
  <c r="O1150" i="27" s="1"/>
  <c r="L1146" i="27"/>
  <c r="L1142" i="27"/>
  <c r="O1142" i="27" s="1"/>
  <c r="L1138" i="27"/>
  <c r="O1138" i="27" s="1"/>
  <c r="L1134" i="27"/>
  <c r="O1134" i="27" s="1"/>
  <c r="L1130" i="27"/>
  <c r="L1126" i="27"/>
  <c r="L1078" i="27"/>
  <c r="L1074" i="27"/>
  <c r="O1074" i="27" s="1"/>
  <c r="L1070" i="27"/>
  <c r="O1070" i="27" s="1"/>
  <c r="L1151" i="27"/>
  <c r="O1151" i="27" s="1"/>
  <c r="L1143" i="27"/>
  <c r="O1143" i="27" s="1"/>
  <c r="L1135" i="27"/>
  <c r="O1135" i="27" s="1"/>
  <c r="L1127" i="27"/>
  <c r="L1075" i="27"/>
  <c r="L1067" i="27"/>
  <c r="O1067" i="27" s="1"/>
  <c r="L1063" i="27"/>
  <c r="O1063" i="27" s="1"/>
  <c r="L1059" i="27"/>
  <c r="L1055" i="27"/>
  <c r="O1055" i="27" s="1"/>
  <c r="L1051" i="27"/>
  <c r="O1051" i="27" s="1"/>
  <c r="L1047" i="27"/>
  <c r="O1047" i="27" s="1"/>
  <c r="L1043" i="27"/>
  <c r="O1043" i="27" s="1"/>
  <c r="L1039" i="27"/>
  <c r="O1039" i="27" s="1"/>
  <c r="L1035" i="27"/>
  <c r="O1035" i="27" s="1"/>
  <c r="L1157" i="27"/>
  <c r="L1155" i="27"/>
  <c r="L1148" i="27"/>
  <c r="L1141" i="27"/>
  <c r="O1141" i="27" s="1"/>
  <c r="L1139" i="27"/>
  <c r="L1132" i="27"/>
  <c r="O1132" i="27" s="1"/>
  <c r="L1125" i="27"/>
  <c r="L1076" i="27"/>
  <c r="O1076" i="27" s="1"/>
  <c r="L1069" i="27"/>
  <c r="L1064" i="27"/>
  <c r="O1064" i="27" s="1"/>
  <c r="L1056" i="27"/>
  <c r="O1056" i="27" s="1"/>
  <c r="L1048" i="27"/>
  <c r="O1048" i="27" s="1"/>
  <c r="L1040" i="27"/>
  <c r="O1040" i="27" s="1"/>
  <c r="L1232" i="27"/>
  <c r="O1232" i="27" s="1"/>
  <c r="L1229" i="27"/>
  <c r="L1224" i="27"/>
  <c r="O1224" i="27" s="1"/>
  <c r="L1153" i="27"/>
  <c r="O1153" i="27" s="1"/>
  <c r="L1140" i="27"/>
  <c r="L1136" i="27"/>
  <c r="L1131" i="27"/>
  <c r="O1131" i="27" s="1"/>
  <c r="L1072" i="27"/>
  <c r="L1066" i="27"/>
  <c r="L1057" i="27"/>
  <c r="O1057" i="27" s="1"/>
  <c r="L1050" i="27"/>
  <c r="O1050" i="27" s="1"/>
  <c r="L1041" i="27"/>
  <c r="O1041" i="27" s="1"/>
  <c r="L1034" i="27"/>
  <c r="O1034" i="27" s="1"/>
  <c r="L1228" i="27"/>
  <c r="O1228" i="27" s="1"/>
  <c r="L1156" i="27"/>
  <c r="O1156" i="27" s="1"/>
  <c r="L1152" i="27"/>
  <c r="O1152" i="27" s="1"/>
  <c r="L1147" i="27"/>
  <c r="O1147" i="27" s="1"/>
  <c r="L1137" i="27"/>
  <c r="O1137" i="27" s="1"/>
  <c r="L1124" i="27"/>
  <c r="O1124" i="27" s="1"/>
  <c r="L1077" i="27"/>
  <c r="O1077" i="27" s="1"/>
  <c r="L1073" i="27"/>
  <c r="L1071" i="27"/>
  <c r="O1071" i="27" s="1"/>
  <c r="L1065" i="27"/>
  <c r="L1058" i="27"/>
  <c r="O1058" i="27" s="1"/>
  <c r="L1049" i="27"/>
  <c r="O1049" i="27" s="1"/>
  <c r="L1042" i="27"/>
  <c r="O1042" i="27" s="1"/>
  <c r="L1133" i="27"/>
  <c r="O1133" i="27" s="1"/>
  <c r="L1145" i="27"/>
  <c r="L1128" i="27"/>
  <c r="O1128" i="27" s="1"/>
  <c r="L1068" i="27"/>
  <c r="L1061" i="27"/>
  <c r="O1061" i="27" s="1"/>
  <c r="L1054" i="27"/>
  <c r="O1054" i="27" s="1"/>
  <c r="L1052" i="27"/>
  <c r="O1052" i="27" s="1"/>
  <c r="L1045" i="27"/>
  <c r="O1045" i="27" s="1"/>
  <c r="L1038" i="27"/>
  <c r="O1038" i="27" s="1"/>
  <c r="L1036" i="27"/>
  <c r="O1036" i="27" s="1"/>
  <c r="L1234" i="27"/>
  <c r="O1234" i="27" s="1"/>
  <c r="L1149" i="27"/>
  <c r="O1149" i="27" s="1"/>
  <c r="L1053" i="27"/>
  <c r="O1053" i="27" s="1"/>
  <c r="L1044" i="27"/>
  <c r="O1044" i="27" s="1"/>
  <c r="L1226" i="27"/>
  <c r="O1226" i="27" s="1"/>
  <c r="L1046" i="27"/>
  <c r="O1046" i="27" s="1"/>
  <c r="L1144" i="27"/>
  <c r="O1144" i="27" s="1"/>
  <c r="L1060" i="27"/>
  <c r="O1060" i="27" s="1"/>
  <c r="L1037" i="27"/>
  <c r="O1037" i="27" s="1"/>
  <c r="L1129" i="27"/>
  <c r="O1129" i="27" s="1"/>
  <c r="L1062" i="27"/>
  <c r="L966" i="27"/>
  <c r="O966" i="27" s="1"/>
  <c r="AG225" i="16"/>
  <c r="AG233" i="16"/>
  <c r="AG229" i="16"/>
  <c r="AG237" i="16"/>
  <c r="AA2259" i="16"/>
  <c r="AG2259" i="16" s="1"/>
  <c r="AA820" i="17"/>
  <c r="AA2268" i="16"/>
  <c r="AG2268" i="16" s="1"/>
  <c r="AA2266" i="16"/>
  <c r="AG2266" i="16" s="1"/>
  <c r="AA579" i="16"/>
  <c r="AG579" i="16" s="1"/>
  <c r="AA583" i="16"/>
  <c r="AG583" i="16" s="1"/>
  <c r="AA587" i="16"/>
  <c r="AG587" i="16" s="1"/>
  <c r="AA1113" i="16"/>
  <c r="AG1113" i="16" s="1"/>
  <c r="AA1197" i="16"/>
  <c r="AG1197" i="16" s="1"/>
  <c r="AA1213" i="16"/>
  <c r="AG1213" i="16" s="1"/>
  <c r="AA828" i="17"/>
  <c r="AA822" i="17"/>
  <c r="AA831" i="17"/>
  <c r="AA2255" i="16"/>
  <c r="AG2255" i="16" s="1"/>
  <c r="AA2263" i="16"/>
  <c r="AG2263" i="16" s="1"/>
  <c r="AA833" i="17"/>
  <c r="AA826" i="17"/>
  <c r="AA2270" i="16"/>
  <c r="AG2270" i="16" s="1"/>
  <c r="AA2261" i="16"/>
  <c r="AG2261" i="16" s="1"/>
  <c r="AA829" i="17"/>
  <c r="AA2260" i="16"/>
  <c r="AG2260" i="16" s="1"/>
  <c r="AA2267" i="16"/>
  <c r="AG2267" i="16" s="1"/>
  <c r="AA2262" i="16"/>
  <c r="AG2262" i="16" s="1"/>
  <c r="AA827" i="17"/>
  <c r="AA2269" i="16"/>
  <c r="AG2269" i="16" s="1"/>
  <c r="AA2256" i="16"/>
  <c r="AG2256" i="16" s="1"/>
  <c r="AA2264" i="16"/>
  <c r="AG2264" i="16" s="1"/>
  <c r="AA824" i="17"/>
  <c r="AA825" i="17"/>
  <c r="AA818" i="17"/>
  <c r="AA2258" i="16"/>
  <c r="AG2258" i="16" s="1"/>
  <c r="AA819" i="17"/>
  <c r="AA2257" i="16"/>
  <c r="AG2257" i="16" s="1"/>
  <c r="AG1919" i="16"/>
  <c r="AG1918" i="16"/>
  <c r="AG1914" i="16"/>
  <c r="AG1913" i="16"/>
  <c r="AG289" i="16"/>
  <c r="AG286" i="16"/>
  <c r="AG283" i="16"/>
  <c r="AG292" i="16"/>
  <c r="AG2032" i="16"/>
  <c r="AG2084" i="16"/>
  <c r="AG2120" i="16"/>
  <c r="AG2037" i="16"/>
  <c r="AG2089" i="16"/>
  <c r="AG2026" i="16"/>
  <c r="AG2042" i="16"/>
  <c r="AG2118" i="16"/>
  <c r="AG2035" i="16"/>
  <c r="AG2087" i="16"/>
  <c r="AG2119" i="16"/>
  <c r="AG1678" i="16"/>
  <c r="AG1669" i="16"/>
  <c r="AG1902" i="16"/>
  <c r="AG1900" i="16"/>
  <c r="AG1905" i="16"/>
  <c r="AG1886" i="16"/>
  <c r="AG1888" i="16"/>
  <c r="AG1893" i="16"/>
  <c r="AG1714" i="16"/>
  <c r="AG1710" i="16"/>
  <c r="AG1703" i="16"/>
  <c r="AG1719" i="16"/>
  <c r="AG1704" i="16"/>
  <c r="AG1693" i="16"/>
  <c r="AG1709" i="16"/>
  <c r="AG260" i="16"/>
  <c r="AG262" i="16"/>
  <c r="AG255" i="16"/>
  <c r="AG2008" i="16"/>
  <c r="AG2072" i="16"/>
  <c r="AG2001" i="16"/>
  <c r="AG2017" i="16"/>
  <c r="AG2081" i="16"/>
  <c r="AG2006" i="16"/>
  <c r="AG2070" i="16"/>
  <c r="AG2110" i="16"/>
  <c r="AG2007" i="16"/>
  <c r="AG2071" i="16"/>
  <c r="AG1794" i="16"/>
  <c r="AG1791" i="16"/>
  <c r="AG1765" i="16"/>
  <c r="AG1731" i="16"/>
  <c r="AG1732" i="16"/>
  <c r="AG1733" i="16"/>
  <c r="AG2048" i="16"/>
  <c r="AG2064" i="16"/>
  <c r="AG2104" i="16"/>
  <c r="AG2053" i="16"/>
  <c r="AG2069" i="16"/>
  <c r="AG2121" i="16"/>
  <c r="AG2054" i="16"/>
  <c r="AG2098" i="16"/>
  <c r="AG2126" i="16"/>
  <c r="AG2059" i="16"/>
  <c r="AG2103" i="16"/>
  <c r="AG1326" i="16"/>
  <c r="AG1398" i="16"/>
  <c r="AG1582" i="16"/>
  <c r="AG1406" i="16"/>
  <c r="AG1606" i="16"/>
  <c r="AG1594" i="16"/>
  <c r="AG1418" i="16"/>
  <c r="AG1602" i="16"/>
  <c r="AG1307" i="16"/>
  <c r="AG1323" i="16"/>
  <c r="AG1411" i="16"/>
  <c r="AG1451" i="16"/>
  <c r="AG1467" i="16"/>
  <c r="AG1583" i="16"/>
  <c r="AG1599" i="16"/>
  <c r="AG1300" i="16"/>
  <c r="AG1316" i="16"/>
  <c r="AG1404" i="16"/>
  <c r="AG1420" i="16"/>
  <c r="AG1460" i="16"/>
  <c r="AG1476" i="16"/>
  <c r="AG1592" i="16"/>
  <c r="AG1293" i="16"/>
  <c r="AG1309" i="16"/>
  <c r="AG1325" i="16"/>
  <c r="AG1413" i="16"/>
  <c r="AG1453" i="16"/>
  <c r="AG1469" i="16"/>
  <c r="AG1589" i="16"/>
  <c r="AG1605" i="16"/>
  <c r="AG9" i="16"/>
  <c r="AG7" i="16"/>
  <c r="AG2284" i="16"/>
  <c r="AG2285" i="16"/>
  <c r="AG2271" i="16"/>
  <c r="AG1358" i="16"/>
  <c r="AG1638" i="16"/>
  <c r="AG1514" i="16"/>
  <c r="AG1338" i="16"/>
  <c r="AG1522" i="16"/>
  <c r="AG1442" i="16"/>
  <c r="AG1434" i="16"/>
  <c r="AG1327" i="16"/>
  <c r="AG1343" i="16"/>
  <c r="AG1359" i="16"/>
  <c r="AG1435" i="16"/>
  <c r="AG1519" i="16"/>
  <c r="AG1535" i="16"/>
  <c r="AG1643" i="16"/>
  <c r="AG1659" i="16"/>
  <c r="AG1340" i="16"/>
  <c r="AG1356" i="16"/>
  <c r="AG1432" i="16"/>
  <c r="AG1516" i="16"/>
  <c r="AG1532" i="16"/>
  <c r="AG1640" i="16"/>
  <c r="AG1656" i="16"/>
  <c r="AG1337" i="16"/>
  <c r="AG1353" i="16"/>
  <c r="AG1429" i="16"/>
  <c r="AG1445" i="16"/>
  <c r="AG1525" i="16"/>
  <c r="AG1541" i="16"/>
  <c r="AG1649" i="16"/>
  <c r="AG365" i="16"/>
  <c r="AG513" i="16"/>
  <c r="AG641" i="16"/>
  <c r="AG877" i="16"/>
  <c r="AG369" i="16"/>
  <c r="AG597" i="16"/>
  <c r="AG939" i="16"/>
  <c r="AG373" i="16"/>
  <c r="AG785" i="16"/>
  <c r="AG613" i="16"/>
  <c r="AG955" i="16"/>
  <c r="AG493" i="16"/>
  <c r="AG589" i="16"/>
  <c r="AG773" i="16"/>
  <c r="AG963" i="16"/>
  <c r="AG366" i="16"/>
  <c r="AG382" i="16"/>
  <c r="AG466" i="16"/>
  <c r="AG498" i="16"/>
  <c r="AG514" i="16"/>
  <c r="AG594" i="16"/>
  <c r="AG622" i="16"/>
  <c r="AG638" i="16"/>
  <c r="AG758" i="16"/>
  <c r="AG774" i="16"/>
  <c r="AG858" i="16"/>
  <c r="AG874" i="16"/>
  <c r="AG944" i="16"/>
  <c r="AG960" i="16"/>
  <c r="AG367" i="16"/>
  <c r="AG383" i="16"/>
  <c r="AG463" i="16"/>
  <c r="AG491" i="16"/>
  <c r="AG507" i="16"/>
  <c r="AG611" i="16"/>
  <c r="AG627" i="16"/>
  <c r="AG643" i="16"/>
  <c r="AG767" i="16"/>
  <c r="AG783" i="16"/>
  <c r="AG867" i="16"/>
  <c r="AG937" i="16"/>
  <c r="AG953" i="16"/>
  <c r="AG1269" i="16"/>
  <c r="AG380" i="16"/>
  <c r="AG464" i="16"/>
  <c r="AG492" i="16"/>
  <c r="AG508" i="16"/>
  <c r="AG592" i="16"/>
  <c r="AG620" i="16"/>
  <c r="AG636" i="16"/>
  <c r="AG760" i="16"/>
  <c r="AG776" i="16"/>
  <c r="AG860" i="16"/>
  <c r="AG876" i="16"/>
  <c r="AG942" i="16"/>
  <c r="AG958" i="16"/>
  <c r="AG397" i="16"/>
  <c r="AG709" i="16"/>
  <c r="AG1001" i="16"/>
  <c r="AG401" i="16"/>
  <c r="AG1005" i="16"/>
  <c r="AG489" i="16"/>
  <c r="AG717" i="16"/>
  <c r="AG927" i="16"/>
  <c r="AG1290" i="16"/>
  <c r="AG1021" i="16"/>
  <c r="AG425" i="16"/>
  <c r="AG605" i="16"/>
  <c r="AG841" i="16"/>
  <c r="AG1029" i="16"/>
  <c r="AG1286" i="16"/>
  <c r="AG410" i="16"/>
  <c r="AG426" i="16"/>
  <c r="AG490" i="16"/>
  <c r="AG530" i="16"/>
  <c r="AG686" i="16"/>
  <c r="AG702" i="16"/>
  <c r="AG826" i="16"/>
  <c r="AG842" i="16"/>
  <c r="AG908" i="16"/>
  <c r="AG924" i="16"/>
  <c r="AG1006" i="16"/>
  <c r="AG1022" i="16"/>
  <c r="AG1287" i="16"/>
  <c r="AG407" i="16"/>
  <c r="AG423" i="16"/>
  <c r="AG515" i="16"/>
  <c r="AG531" i="16"/>
  <c r="AG603" i="16"/>
  <c r="AG691" i="16"/>
  <c r="AG707" i="16"/>
  <c r="AG831" i="16"/>
  <c r="AG847" i="16"/>
  <c r="AG913" i="16"/>
  <c r="AG929" i="16"/>
  <c r="AG1011" i="16"/>
  <c r="AG1027" i="16"/>
  <c r="AG1288" i="16"/>
  <c r="AG408" i="16"/>
  <c r="AG424" i="16"/>
  <c r="AG516" i="16"/>
  <c r="AG532" i="16"/>
  <c r="AG684" i="16"/>
  <c r="AG700" i="16"/>
  <c r="AG716" i="16"/>
  <c r="AG836" i="16"/>
  <c r="AG852" i="16"/>
  <c r="AG922" i="16"/>
  <c r="AG1008" i="16"/>
  <c r="AG1024" i="16"/>
  <c r="AG1285" i="16"/>
  <c r="AG2136" i="16"/>
  <c r="AG2152" i="16"/>
  <c r="AG2168" i="16"/>
  <c r="AG2184" i="16"/>
  <c r="AG2200" i="16"/>
  <c r="AG2216" i="16"/>
  <c r="AG2232" i="16"/>
  <c r="AG2248" i="16"/>
  <c r="AG2137" i="16"/>
  <c r="AG2153" i="16"/>
  <c r="AG2169" i="16"/>
  <c r="AG2185" i="16"/>
  <c r="AG2201" i="16"/>
  <c r="AG2217" i="16"/>
  <c r="AG2233" i="16"/>
  <c r="AG2249" i="16"/>
  <c r="AG2138" i="16"/>
  <c r="AG2154" i="16"/>
  <c r="AG2170" i="16"/>
  <c r="AG2186" i="16"/>
  <c r="AG2202" i="16"/>
  <c r="AG2218" i="16"/>
  <c r="AG2234" i="16"/>
  <c r="AG2250" i="16"/>
  <c r="AG2135" i="16"/>
  <c r="AG2151" i="16"/>
  <c r="AG2167" i="16"/>
  <c r="AG2183" i="16"/>
  <c r="AG2199" i="16"/>
  <c r="AG2215" i="16"/>
  <c r="AG2231" i="16"/>
  <c r="AG2247" i="16"/>
  <c r="AG1920" i="16"/>
  <c r="AG1912" i="16"/>
  <c r="AG290" i="16"/>
  <c r="AG287" i="16"/>
  <c r="AG280" i="16"/>
  <c r="AG2036" i="16"/>
  <c r="AG2088" i="16"/>
  <c r="AG2025" i="16"/>
  <c r="AG2041" i="16"/>
  <c r="AG2093" i="16"/>
  <c r="AG2030" i="16"/>
  <c r="AG2086" i="16"/>
  <c r="AG2023" i="16"/>
  <c r="AG2039" i="16"/>
  <c r="AG2091" i="16"/>
  <c r="AG1686" i="16"/>
  <c r="AG1682" i="16"/>
  <c r="AG1668" i="16"/>
  <c r="AG1673" i="16"/>
  <c r="AG1899" i="16"/>
  <c r="AG1904" i="16"/>
  <c r="AG1909" i="16"/>
  <c r="AG1887" i="16"/>
  <c r="AG1892" i="16"/>
  <c r="AG1897" i="16"/>
  <c r="AG1702" i="16"/>
  <c r="AG1691" i="16"/>
  <c r="AG1707" i="16"/>
  <c r="AG1692" i="16"/>
  <c r="AG1708" i="16"/>
  <c r="AG1697" i="16"/>
  <c r="AG1713" i="16"/>
  <c r="AG257" i="16"/>
  <c r="AG266" i="16"/>
  <c r="AG259" i="16"/>
  <c r="AG2012" i="16"/>
  <c r="AG2076" i="16"/>
  <c r="AG2005" i="16"/>
  <c r="AG2021" i="16"/>
  <c r="AG2109" i="16"/>
  <c r="AG2010" i="16"/>
  <c r="AG2074" i="16"/>
  <c r="AG2114" i="16"/>
  <c r="AG2011" i="16"/>
  <c r="AG2075" i="16"/>
  <c r="AG1750" i="16"/>
  <c r="AG1779" i="16"/>
  <c r="AG1752" i="16"/>
  <c r="AG1769" i="16"/>
  <c r="AG1720" i="16"/>
  <c r="AG1721" i="16"/>
  <c r="AG2052" i="16"/>
  <c r="AG2068" i="16"/>
  <c r="AG2108" i="16"/>
  <c r="AG2057" i="16"/>
  <c r="AG2097" i="16"/>
  <c r="AG2125" i="16"/>
  <c r="AG2058" i="16"/>
  <c r="AG2102" i="16"/>
  <c r="AG2047" i="16"/>
  <c r="AG2063" i="16"/>
  <c r="AG2107" i="16"/>
  <c r="AG1458" i="16"/>
  <c r="AG1414" i="16"/>
  <c r="AG1598" i="16"/>
  <c r="AG1454" i="16"/>
  <c r="AG1310" i="16"/>
  <c r="AG1302" i="16"/>
  <c r="AG1450" i="16"/>
  <c r="AG1295" i="16"/>
  <c r="AG1311" i="16"/>
  <c r="AG1399" i="16"/>
  <c r="AG1415" i="16"/>
  <c r="AG1455" i="16"/>
  <c r="AG1471" i="16"/>
  <c r="AG1587" i="16"/>
  <c r="AG1603" i="16"/>
  <c r="AG1304" i="16"/>
  <c r="AG1320" i="16"/>
  <c r="AG1408" i="16"/>
  <c r="AG1448" i="16"/>
  <c r="AG1464" i="16"/>
  <c r="AG1580" i="16"/>
  <c r="AG1596" i="16"/>
  <c r="AG1297" i="16"/>
  <c r="AG1313" i="16"/>
  <c r="AG1401" i="16"/>
  <c r="AG1417" i="16"/>
  <c r="AG1457" i="16"/>
  <c r="AG1473" i="16"/>
  <c r="AG1593" i="16"/>
  <c r="AG12" i="16"/>
  <c r="AG13" i="16"/>
  <c r="AG2" i="16"/>
  <c r="AG11" i="16"/>
  <c r="AG2272" i="16"/>
  <c r="AG2273" i="16"/>
  <c r="AG2274" i="16"/>
  <c r="AG2275" i="16"/>
  <c r="AG1426" i="16"/>
  <c r="AG1330" i="16"/>
  <c r="AG1530" i="16"/>
  <c r="AG1354" i="16"/>
  <c r="AG1538" i="16"/>
  <c r="AG1654" i="16"/>
  <c r="AG1518" i="16"/>
  <c r="AG1331" i="16"/>
  <c r="AG1347" i="16"/>
  <c r="AG1423" i="16"/>
  <c r="AG1439" i="16"/>
  <c r="AG1523" i="16"/>
  <c r="AG1539" i="16"/>
  <c r="AG1647" i="16"/>
  <c r="AG1328" i="16"/>
  <c r="AG1344" i="16"/>
  <c r="AG1360" i="16"/>
  <c r="AG1436" i="16"/>
  <c r="AG1520" i="16"/>
  <c r="AG1536" i="16"/>
  <c r="AG1644" i="16"/>
  <c r="AG1660" i="16"/>
  <c r="AG1341" i="16"/>
  <c r="AG1357" i="16"/>
  <c r="AG1433" i="16"/>
  <c r="AG1513" i="16"/>
  <c r="AG1529" i="16"/>
  <c r="AG1637" i="16"/>
  <c r="AG1653" i="16"/>
  <c r="AG381" i="16"/>
  <c r="AG761" i="16"/>
  <c r="AG935" i="16"/>
  <c r="AG469" i="16"/>
  <c r="AG629" i="16"/>
  <c r="AG389" i="16"/>
  <c r="AG617" i="16"/>
  <c r="AG869" i="16"/>
  <c r="AG645" i="16"/>
  <c r="AG1267" i="16"/>
  <c r="AG509" i="16"/>
  <c r="AG621" i="16"/>
  <c r="AG857" i="16"/>
  <c r="AG370" i="16"/>
  <c r="AG386" i="16"/>
  <c r="AG470" i="16"/>
  <c r="AG502" i="16"/>
  <c r="AG598" i="16"/>
  <c r="AG626" i="16"/>
  <c r="AG642" i="16"/>
  <c r="AG762" i="16"/>
  <c r="AG778" i="16"/>
  <c r="AG862" i="16"/>
  <c r="AG878" i="16"/>
  <c r="AG948" i="16"/>
  <c r="AG964" i="16"/>
  <c r="AG1260" i="16"/>
  <c r="AG371" i="16"/>
  <c r="AG387" i="16"/>
  <c r="AG467" i="16"/>
  <c r="AG495" i="16"/>
  <c r="AG511" i="16"/>
  <c r="AG591" i="16"/>
  <c r="AG615" i="16"/>
  <c r="AG631" i="16"/>
  <c r="AG755" i="16"/>
  <c r="AG771" i="16"/>
  <c r="AG787" i="16"/>
  <c r="AG871" i="16"/>
  <c r="AG941" i="16"/>
  <c r="AG957" i="16"/>
  <c r="AG368" i="16"/>
  <c r="AG384" i="16"/>
  <c r="AG468" i="16"/>
  <c r="AG496" i="16"/>
  <c r="AG512" i="16"/>
  <c r="AG596" i="16"/>
  <c r="AG624" i="16"/>
  <c r="AG640" i="16"/>
  <c r="AG764" i="16"/>
  <c r="AG780" i="16"/>
  <c r="AG864" i="16"/>
  <c r="AG880" i="16"/>
  <c r="AG946" i="16"/>
  <c r="AG962" i="16"/>
  <c r="AG413" i="16"/>
  <c r="AG829" i="16"/>
  <c r="AG1017" i="16"/>
  <c r="AG517" i="16"/>
  <c r="AG521" i="16"/>
  <c r="AG601" i="16"/>
  <c r="AG837" i="16"/>
  <c r="AG1009" i="16"/>
  <c r="AG417" i="16"/>
  <c r="AG713" i="16"/>
  <c r="AG477" i="16"/>
  <c r="AG689" i="16"/>
  <c r="AG915" i="16"/>
  <c r="AG398" i="16"/>
  <c r="AG414" i="16"/>
  <c r="AG478" i="16"/>
  <c r="AG518" i="16"/>
  <c r="AG534" i="16"/>
  <c r="AG602" i="16"/>
  <c r="AG690" i="16"/>
  <c r="AG706" i="16"/>
  <c r="AG830" i="16"/>
  <c r="AG846" i="16"/>
  <c r="AG912" i="16"/>
  <c r="AG928" i="16"/>
  <c r="AG1010" i="16"/>
  <c r="AG1026" i="16"/>
  <c r="AG1291" i="16"/>
  <c r="AG411" i="16"/>
  <c r="AG479" i="16"/>
  <c r="AG519" i="16"/>
  <c r="AG535" i="16"/>
  <c r="AG607" i="16"/>
  <c r="AG695" i="16"/>
  <c r="AG711" i="16"/>
  <c r="AG835" i="16"/>
  <c r="AG851" i="16"/>
  <c r="AG917" i="16"/>
  <c r="AG933" i="16"/>
  <c r="AG1015" i="16"/>
  <c r="AG1031" i="16"/>
  <c r="AG396" i="16"/>
  <c r="AG412" i="16"/>
  <c r="AG480" i="16"/>
  <c r="AG520" i="16"/>
  <c r="AG536" i="16"/>
  <c r="AG600" i="16"/>
  <c r="AG688" i="16"/>
  <c r="AG704" i="16"/>
  <c r="AG824" i="16"/>
  <c r="AG840" i="16"/>
  <c r="AG910" i="16"/>
  <c r="AG926" i="16"/>
  <c r="AG1012" i="16"/>
  <c r="AG1028" i="16"/>
  <c r="AG1289" i="16"/>
  <c r="AG2140" i="16"/>
  <c r="AG2156" i="16"/>
  <c r="AG2172" i="16"/>
  <c r="AG2188" i="16"/>
  <c r="AG2204" i="16"/>
  <c r="AG2220" i="16"/>
  <c r="AG2236" i="16"/>
  <c r="AG2252" i="16"/>
  <c r="AG2141" i="16"/>
  <c r="AG2157" i="16"/>
  <c r="AG2173" i="16"/>
  <c r="AG2189" i="16"/>
  <c r="AG2205" i="16"/>
  <c r="AG2221" i="16"/>
  <c r="AG2237" i="16"/>
  <c r="AG2253" i="16"/>
  <c r="AG2142" i="16"/>
  <c r="AG2158" i="16"/>
  <c r="AG2174" i="16"/>
  <c r="AG2190" i="16"/>
  <c r="AG2206" i="16"/>
  <c r="AG2222" i="16"/>
  <c r="AG2238" i="16"/>
  <c r="AG2254" i="16"/>
  <c r="AG2139" i="16"/>
  <c r="AG2155" i="16"/>
  <c r="AG2171" i="16"/>
  <c r="AG2187" i="16"/>
  <c r="AG2203" i="16"/>
  <c r="AG2219" i="16"/>
  <c r="AG2235" i="16"/>
  <c r="AG2251" i="16"/>
  <c r="AG285" i="16"/>
  <c r="AG1911" i="16"/>
  <c r="AG1917" i="16"/>
  <c r="AG1915" i="16"/>
  <c r="AG1916" i="16"/>
  <c r="AG1921" i="16"/>
  <c r="AG281" i="16"/>
  <c r="AG291" i="16"/>
  <c r="AG284" i="16"/>
  <c r="AG2024" i="16"/>
  <c r="AG2040" i="16"/>
  <c r="AG2092" i="16"/>
  <c r="AG2029" i="16"/>
  <c r="AG2045" i="16"/>
  <c r="AG2117" i="16"/>
  <c r="AG2034" i="16"/>
  <c r="AG2090" i="16"/>
  <c r="AG2027" i="16"/>
  <c r="AG2043" i="16"/>
  <c r="AG2095" i="16"/>
  <c r="AG1674" i="16"/>
  <c r="AG1672" i="16"/>
  <c r="AG1898" i="16"/>
  <c r="AG1903" i="16"/>
  <c r="AG1908" i="16"/>
  <c r="AG1890" i="16"/>
  <c r="AG1891" i="16"/>
  <c r="AG1896" i="16"/>
  <c r="AG1706" i="16"/>
  <c r="AG1718" i="16"/>
  <c r="AG1695" i="16"/>
  <c r="AG1711" i="16"/>
  <c r="AG1696" i="16"/>
  <c r="AG1712" i="16"/>
  <c r="AG1701" i="16"/>
  <c r="AG1717" i="16"/>
  <c r="AG256" i="16"/>
  <c r="AG264" i="16"/>
  <c r="AG261" i="16"/>
  <c r="AG254" i="16"/>
  <c r="AG263" i="16"/>
  <c r="AG2000" i="16"/>
  <c r="AG2016" i="16"/>
  <c r="AG2080" i="16"/>
  <c r="AG2009" i="16"/>
  <c r="AG2073" i="16"/>
  <c r="AG2113" i="16"/>
  <c r="AG2014" i="16"/>
  <c r="AG2078" i="16"/>
  <c r="AG1999" i="16"/>
  <c r="AG2015" i="16"/>
  <c r="AG2079" i="16"/>
  <c r="AG1762" i="16"/>
  <c r="AG1782" i="16"/>
  <c r="AG1756" i="16"/>
  <c r="AG1757" i="16"/>
  <c r="AG1773" i="16"/>
  <c r="AG1730" i="16"/>
  <c r="AG1739" i="16"/>
  <c r="AG1740" i="16"/>
  <c r="AG2056" i="16"/>
  <c r="AG2096" i="16"/>
  <c r="AG2124" i="16"/>
  <c r="AG2061" i="16"/>
  <c r="AG2101" i="16"/>
  <c r="AG2046" i="16"/>
  <c r="AG2062" i="16"/>
  <c r="AG2106" i="16"/>
  <c r="AG2051" i="16"/>
  <c r="AG2067" i="16"/>
  <c r="AG2123" i="16"/>
  <c r="AG1298" i="16"/>
  <c r="AG1446" i="16"/>
  <c r="AG1306" i="16"/>
  <c r="AG1470" i="16"/>
  <c r="AG1410" i="16"/>
  <c r="AG1318" i="16"/>
  <c r="AG1466" i="16"/>
  <c r="AG1299" i="16"/>
  <c r="AG1315" i="16"/>
  <c r="AG1403" i="16"/>
  <c r="AG1419" i="16"/>
  <c r="AG1459" i="16"/>
  <c r="AG1475" i="16"/>
  <c r="AG1591" i="16"/>
  <c r="AG1292" i="16"/>
  <c r="AG1308" i="16"/>
  <c r="AG1324" i="16"/>
  <c r="AG1412" i="16"/>
  <c r="AG1452" i="16"/>
  <c r="AG1468" i="16"/>
  <c r="AG1584" i="16"/>
  <c r="AG1600" i="16"/>
  <c r="AG1301" i="16"/>
  <c r="AG1317" i="16"/>
  <c r="AG1405" i="16"/>
  <c r="AG1421" i="16"/>
  <c r="AG1461" i="16"/>
  <c r="AG1581" i="16"/>
  <c r="AG1597" i="16"/>
  <c r="AG4" i="16"/>
  <c r="AG8" i="16"/>
  <c r="AG6" i="16"/>
  <c r="AG2276" i="16"/>
  <c r="AG2277" i="16"/>
  <c r="AG2278" i="16"/>
  <c r="AG2279" i="16"/>
  <c r="AG1526" i="16"/>
  <c r="AG1346" i="16"/>
  <c r="AG1642" i="16"/>
  <c r="AG1422" i="16"/>
  <c r="AG1650" i="16"/>
  <c r="AG1334" i="16"/>
  <c r="AG1534" i="16"/>
  <c r="AG1335" i="16"/>
  <c r="AG1351" i="16"/>
  <c r="AG1427" i="16"/>
  <c r="AG1443" i="16"/>
  <c r="AG1527" i="16"/>
  <c r="AG1635" i="16"/>
  <c r="AG1651" i="16"/>
  <c r="AG1332" i="16"/>
  <c r="AG1348" i="16"/>
  <c r="AG1424" i="16"/>
  <c r="AG1440" i="16"/>
  <c r="AG1524" i="16"/>
  <c r="AG1540" i="16"/>
  <c r="AG1648" i="16"/>
  <c r="AG1329" i="16"/>
  <c r="AG1345" i="16"/>
  <c r="AG1361" i="16"/>
  <c r="AG1437" i="16"/>
  <c r="AG1517" i="16"/>
  <c r="AG1533" i="16"/>
  <c r="AG1641" i="16"/>
  <c r="AG1657" i="16"/>
  <c r="AG465" i="16"/>
  <c r="AG593" i="16"/>
  <c r="AG777" i="16"/>
  <c r="AG951" i="16"/>
  <c r="AG501" i="16"/>
  <c r="AG781" i="16"/>
  <c r="AG473" i="16"/>
  <c r="AG633" i="16"/>
  <c r="AG943" i="16"/>
  <c r="AG385" i="16"/>
  <c r="AG765" i="16"/>
  <c r="AG377" i="16"/>
  <c r="AG637" i="16"/>
  <c r="AG873" i="16"/>
  <c r="AG374" i="16"/>
  <c r="AG390" i="16"/>
  <c r="AG474" i="16"/>
  <c r="AG506" i="16"/>
  <c r="AG614" i="16"/>
  <c r="AG630" i="16"/>
  <c r="AG646" i="16"/>
  <c r="AG766" i="16"/>
  <c r="AG782" i="16"/>
  <c r="AG866" i="16"/>
  <c r="AG936" i="16"/>
  <c r="AG952" i="16"/>
  <c r="AG1264" i="16"/>
  <c r="AG375" i="16"/>
  <c r="AG391" i="16"/>
  <c r="AG471" i="16"/>
  <c r="AG499" i="16"/>
  <c r="AG595" i="16"/>
  <c r="AG619" i="16"/>
  <c r="AG635" i="16"/>
  <c r="AG759" i="16"/>
  <c r="AG775" i="16"/>
  <c r="AG859" i="16"/>
  <c r="AG875" i="16"/>
  <c r="AG945" i="16"/>
  <c r="AG961" i="16"/>
  <c r="AG1261" i="16"/>
  <c r="AG372" i="16"/>
  <c r="AG388" i="16"/>
  <c r="AG472" i="16"/>
  <c r="AG500" i="16"/>
  <c r="AG612" i="16"/>
  <c r="AG628" i="16"/>
  <c r="AG644" i="16"/>
  <c r="AG768" i="16"/>
  <c r="AG784" i="16"/>
  <c r="AG868" i="16"/>
  <c r="AG934" i="16"/>
  <c r="AG950" i="16"/>
  <c r="AG966" i="16"/>
  <c r="AG1262" i="16"/>
  <c r="AG1864" i="16"/>
  <c r="AG481" i="16"/>
  <c r="AG609" i="16"/>
  <c r="AG845" i="16"/>
  <c r="AG1033" i="16"/>
  <c r="AG697" i="16"/>
  <c r="AG405" i="16"/>
  <c r="AG537" i="16"/>
  <c r="AG685" i="16"/>
  <c r="AG853" i="16"/>
  <c r="AG1025" i="16"/>
  <c r="AG485" i="16"/>
  <c r="AG833" i="16"/>
  <c r="AG525" i="16"/>
  <c r="AG705" i="16"/>
  <c r="AG931" i="16"/>
  <c r="AG402" i="16"/>
  <c r="AG418" i="16"/>
  <c r="AG482" i="16"/>
  <c r="AG522" i="16"/>
  <c r="AG538" i="16"/>
  <c r="AG606" i="16"/>
  <c r="AG694" i="16"/>
  <c r="AG710" i="16"/>
  <c r="AG834" i="16"/>
  <c r="AG850" i="16"/>
  <c r="AG916" i="16"/>
  <c r="AG932" i="16"/>
  <c r="AG1014" i="16"/>
  <c r="AG1030" i="16"/>
  <c r="AG399" i="16"/>
  <c r="AG415" i="16"/>
  <c r="AG483" i="16"/>
  <c r="AG523" i="16"/>
  <c r="AG683" i="16"/>
  <c r="AG699" i="16"/>
  <c r="AG715" i="16"/>
  <c r="AG839" i="16"/>
  <c r="AG855" i="16"/>
  <c r="AG921" i="16"/>
  <c r="AG1003" i="16"/>
  <c r="AG1019" i="16"/>
  <c r="AG400" i="16"/>
  <c r="AG416" i="16"/>
  <c r="AG484" i="16"/>
  <c r="AG524" i="16"/>
  <c r="AG604" i="16"/>
  <c r="AG692" i="16"/>
  <c r="AG708" i="16"/>
  <c r="AG828" i="16"/>
  <c r="AG844" i="16"/>
  <c r="AG914" i="16"/>
  <c r="AG930" i="16"/>
  <c r="AG1016" i="16"/>
  <c r="AG1032" i="16"/>
  <c r="AG2128" i="16"/>
  <c r="AG2144" i="16"/>
  <c r="AG2160" i="16"/>
  <c r="AG2176" i="16"/>
  <c r="AG2192" i="16"/>
  <c r="AG2208" i="16"/>
  <c r="AG2224" i="16"/>
  <c r="AG2240" i="16"/>
  <c r="AG2129" i="16"/>
  <c r="AG2145" i="16"/>
  <c r="AG2161" i="16"/>
  <c r="AG2177" i="16"/>
  <c r="AG2193" i="16"/>
  <c r="AG2209" i="16"/>
  <c r="AG2225" i="16"/>
  <c r="AG2241" i="16"/>
  <c r="AG2130" i="16"/>
  <c r="AG2146" i="16"/>
  <c r="AG2162" i="16"/>
  <c r="AG2178" i="16"/>
  <c r="AG2194" i="16"/>
  <c r="AG2210" i="16"/>
  <c r="AG2226" i="16"/>
  <c r="AG2242" i="16"/>
  <c r="AG2127" i="16"/>
  <c r="AG2143" i="16"/>
  <c r="AG2159" i="16"/>
  <c r="AG2175" i="16"/>
  <c r="AG2191" i="16"/>
  <c r="AG2207" i="16"/>
  <c r="AG2223" i="16"/>
  <c r="AG2239" i="16"/>
  <c r="AG1910" i="16"/>
  <c r="AG282" i="16"/>
  <c r="AG288" i="16"/>
  <c r="AG2028" i="16"/>
  <c r="AG2044" i="16"/>
  <c r="AG2116" i="16"/>
  <c r="AG2033" i="16"/>
  <c r="AG2085" i="16"/>
  <c r="AG2022" i="16"/>
  <c r="AG2038" i="16"/>
  <c r="AG2094" i="16"/>
  <c r="AG2031" i="16"/>
  <c r="AG2083" i="16"/>
  <c r="AG2115" i="16"/>
  <c r="AG1662" i="16"/>
  <c r="AG1665" i="16"/>
  <c r="AG1681" i="16"/>
  <c r="AG1906" i="16"/>
  <c r="AG1907" i="16"/>
  <c r="AG1901" i="16"/>
  <c r="AG1894" i="16"/>
  <c r="AG1895" i="16"/>
  <c r="AG1889" i="16"/>
  <c r="AG1698" i="16"/>
  <c r="AG1694" i="16"/>
  <c r="AG1699" i="16"/>
  <c r="AG1715" i="16"/>
  <c r="AG1700" i="16"/>
  <c r="AG1716" i="16"/>
  <c r="AG1705" i="16"/>
  <c r="AG265" i="16"/>
  <c r="AG258" i="16"/>
  <c r="AG2004" i="16"/>
  <c r="AG2020" i="16"/>
  <c r="AG2112" i="16"/>
  <c r="AG2013" i="16"/>
  <c r="AG2077" i="16"/>
  <c r="AG2002" i="16"/>
  <c r="AG2018" i="16"/>
  <c r="AG2082" i="16"/>
  <c r="AG2003" i="16"/>
  <c r="AG2019" i="16"/>
  <c r="AG2111" i="16"/>
  <c r="AG1787" i="16"/>
  <c r="AG1776" i="16"/>
  <c r="AG1792" i="16"/>
  <c r="AG1761" i="16"/>
  <c r="AG1734" i="16"/>
  <c r="AG1727" i="16"/>
  <c r="AG1743" i="16"/>
  <c r="AG1745" i="16"/>
  <c r="AG2060" i="16"/>
  <c r="AG2100" i="16"/>
  <c r="AG2049" i="16"/>
  <c r="AG2065" i="16"/>
  <c r="AG2105" i="16"/>
  <c r="AG2050" i="16"/>
  <c r="AG2066" i="16"/>
  <c r="AG2122" i="16"/>
  <c r="AG2055" i="16"/>
  <c r="AG2099" i="16"/>
  <c r="AG1294" i="16"/>
  <c r="AG1314" i="16"/>
  <c r="AG1462" i="16"/>
  <c r="AG1322" i="16"/>
  <c r="AG1590" i="16"/>
  <c r="AG1474" i="16"/>
  <c r="AG1402" i="16"/>
  <c r="AG1586" i="16"/>
  <c r="AG1303" i="16"/>
  <c r="AG1319" i="16"/>
  <c r="AG1407" i="16"/>
  <c r="AG1447" i="16"/>
  <c r="AG1463" i="16"/>
  <c r="AG1579" i="16"/>
  <c r="AG1595" i="16"/>
  <c r="AG1296" i="16"/>
  <c r="AG1312" i="16"/>
  <c r="AG1400" i="16"/>
  <c r="AG1416" i="16"/>
  <c r="AG1456" i="16"/>
  <c r="AG1472" i="16"/>
  <c r="AG1588" i="16"/>
  <c r="AG1604" i="16"/>
  <c r="AG1305" i="16"/>
  <c r="AG1321" i="16"/>
  <c r="AG1409" i="16"/>
  <c r="AG1449" i="16"/>
  <c r="AG1465" i="16"/>
  <c r="AG1585" i="16"/>
  <c r="AG1601" i="16"/>
  <c r="AG5" i="16"/>
  <c r="AG10" i="16"/>
  <c r="AG3" i="16"/>
  <c r="AG2280" i="16"/>
  <c r="AG2281" i="16"/>
  <c r="AG2282" i="16"/>
  <c r="AG2283" i="16"/>
  <c r="AG1542" i="16"/>
  <c r="AG1430" i="16"/>
  <c r="AG1658" i="16"/>
  <c r="AG1438" i="16"/>
  <c r="AG1342" i="16"/>
  <c r="AG1350" i="16"/>
  <c r="AG1646" i="16"/>
  <c r="AG1339" i="16"/>
  <c r="AG1355" i="16"/>
  <c r="AG1431" i="16"/>
  <c r="AG1515" i="16"/>
  <c r="AG1531" i="16"/>
  <c r="AG1639" i="16"/>
  <c r="AG1655" i="16"/>
  <c r="AG1336" i="16"/>
  <c r="AG1352" i="16"/>
  <c r="AG1428" i="16"/>
  <c r="AG1444" i="16"/>
  <c r="AG1528" i="16"/>
  <c r="AG1636" i="16"/>
  <c r="AG1652" i="16"/>
  <c r="AG1333" i="16"/>
  <c r="AG1349" i="16"/>
  <c r="AG1425" i="16"/>
  <c r="AG1441" i="16"/>
  <c r="AG1521" i="16"/>
  <c r="AG1537" i="16"/>
  <c r="AG1645" i="16"/>
  <c r="AG1661" i="16"/>
  <c r="AG497" i="16"/>
  <c r="AG625" i="16"/>
  <c r="AG861" i="16"/>
  <c r="AG1263" i="16"/>
  <c r="AG881" i="16"/>
  <c r="AG505" i="16"/>
  <c r="AG769" i="16"/>
  <c r="AG959" i="16"/>
  <c r="AG865" i="16"/>
  <c r="AG393" i="16"/>
  <c r="AG757" i="16"/>
  <c r="AG947" i="16"/>
  <c r="AG1259" i="16"/>
  <c r="AG378" i="16"/>
  <c r="AG394" i="16"/>
  <c r="AG494" i="16"/>
  <c r="AG510" i="16"/>
  <c r="AG590" i="16"/>
  <c r="AG618" i="16"/>
  <c r="AG634" i="16"/>
  <c r="AG754" i="16"/>
  <c r="AG770" i="16"/>
  <c r="AG786" i="16"/>
  <c r="AG870" i="16"/>
  <c r="AG940" i="16"/>
  <c r="AG956" i="16"/>
  <c r="AG1268" i="16"/>
  <c r="AG379" i="16"/>
  <c r="AG395" i="16"/>
  <c r="AG475" i="16"/>
  <c r="AG503" i="16"/>
  <c r="AG599" i="16"/>
  <c r="AG623" i="16"/>
  <c r="AG639" i="16"/>
  <c r="AG763" i="16"/>
  <c r="AG779" i="16"/>
  <c r="AG863" i="16"/>
  <c r="AG879" i="16"/>
  <c r="AG949" i="16"/>
  <c r="AG965" i="16"/>
  <c r="AG1265" i="16"/>
  <c r="AG376" i="16"/>
  <c r="AG392" i="16"/>
  <c r="AG476" i="16"/>
  <c r="AG504" i="16"/>
  <c r="AG616" i="16"/>
  <c r="AG632" i="16"/>
  <c r="AG756" i="16"/>
  <c r="AG772" i="16"/>
  <c r="AG856" i="16"/>
  <c r="AG872" i="16"/>
  <c r="AG938" i="16"/>
  <c r="AG954" i="16"/>
  <c r="AG1266" i="16"/>
  <c r="AG529" i="16"/>
  <c r="AG693" i="16"/>
  <c r="AG919" i="16"/>
  <c r="AG849" i="16"/>
  <c r="AG421" i="16"/>
  <c r="AG701" i="16"/>
  <c r="AG911" i="16"/>
  <c r="AG1282" i="16"/>
  <c r="AG533" i="16"/>
  <c r="AG923" i="16"/>
  <c r="AG409" i="16"/>
  <c r="AG825" i="16"/>
  <c r="AG1013" i="16"/>
  <c r="AG406" i="16"/>
  <c r="AG422" i="16"/>
  <c r="AG486" i="16"/>
  <c r="AG526" i="16"/>
  <c r="AG610" i="16"/>
  <c r="AG698" i="16"/>
  <c r="AG714" i="16"/>
  <c r="AG838" i="16"/>
  <c r="AG854" i="16"/>
  <c r="AG920" i="16"/>
  <c r="AG1002" i="16"/>
  <c r="AG1018" i="16"/>
  <c r="AG1283" i="16"/>
  <c r="AG403" i="16"/>
  <c r="AG419" i="16"/>
  <c r="AG487" i="16"/>
  <c r="AG527" i="16"/>
  <c r="AG687" i="16"/>
  <c r="AG703" i="16"/>
  <c r="AG827" i="16"/>
  <c r="AG843" i="16"/>
  <c r="AG909" i="16"/>
  <c r="AG925" i="16"/>
  <c r="AG1007" i="16"/>
  <c r="AG1023" i="16"/>
  <c r="AG1284" i="16"/>
  <c r="AG404" i="16"/>
  <c r="AG420" i="16"/>
  <c r="AG488" i="16"/>
  <c r="AG528" i="16"/>
  <c r="AG608" i="16"/>
  <c r="AG696" i="16"/>
  <c r="AG712" i="16"/>
  <c r="AG832" i="16"/>
  <c r="AG848" i="16"/>
  <c r="AG918" i="16"/>
  <c r="AG1004" i="16"/>
  <c r="AG1020" i="16"/>
  <c r="AG1281" i="16"/>
  <c r="AG2132" i="16"/>
  <c r="AG2148" i="16"/>
  <c r="AG2164" i="16"/>
  <c r="AG2180" i="16"/>
  <c r="AG2196" i="16"/>
  <c r="AG2212" i="16"/>
  <c r="AG2228" i="16"/>
  <c r="AG2244" i="16"/>
  <c r="AG2133" i="16"/>
  <c r="AG2149" i="16"/>
  <c r="AG2165" i="16"/>
  <c r="AG2181" i="16"/>
  <c r="AG2197" i="16"/>
  <c r="AG2213" i="16"/>
  <c r="AG2229" i="16"/>
  <c r="AG2245" i="16"/>
  <c r="AG2134" i="16"/>
  <c r="AG2150" i="16"/>
  <c r="AG2166" i="16"/>
  <c r="AG2182" i="16"/>
  <c r="AG2198" i="16"/>
  <c r="AG2214" i="16"/>
  <c r="AG2230" i="16"/>
  <c r="AG2246" i="16"/>
  <c r="AG2131" i="16"/>
  <c r="AG2147" i="16"/>
  <c r="AG2163" i="16"/>
  <c r="AG2179" i="16"/>
  <c r="AG2195" i="16"/>
  <c r="AG2211" i="16"/>
  <c r="AG2227" i="16"/>
  <c r="AG2243" i="16"/>
  <c r="X5" i="13"/>
  <c r="W52" i="13"/>
  <c r="X5" i="12"/>
  <c r="W52" i="12"/>
  <c r="AG1778" i="16" l="1"/>
  <c r="AG1670" i="16"/>
  <c r="AG1775" i="16"/>
  <c r="O1145" i="27"/>
  <c r="O1157" i="27"/>
  <c r="O571" i="27"/>
  <c r="L1964" i="27"/>
  <c r="O1964" i="27" s="1"/>
  <c r="L1996" i="27"/>
  <c r="O1996" i="27" s="1"/>
  <c r="L1947" i="27"/>
  <c r="O1947" i="27" s="1"/>
  <c r="L1978" i="27"/>
  <c r="O1978" i="27" s="1"/>
  <c r="L1960" i="27"/>
  <c r="L1992" i="27"/>
  <c r="L1946" i="27"/>
  <c r="L1982" i="27"/>
  <c r="L1925" i="27"/>
  <c r="L1941" i="27"/>
  <c r="O1941" i="27" s="1"/>
  <c r="L1927" i="27"/>
  <c r="L1943" i="27"/>
  <c r="O1943" i="27" s="1"/>
  <c r="L1936" i="27"/>
  <c r="O1936" i="27" s="1"/>
  <c r="L1949" i="27"/>
  <c r="O1949" i="27" s="1"/>
  <c r="L1959" i="27"/>
  <c r="L1967" i="27"/>
  <c r="O1967" i="27" s="1"/>
  <c r="L1975" i="27"/>
  <c r="O1975" i="27" s="1"/>
  <c r="L1983" i="27"/>
  <c r="L1991" i="27"/>
  <c r="O1209" i="27"/>
  <c r="O100" i="27"/>
  <c r="AG1671" i="16"/>
  <c r="AG1783" i="16"/>
  <c r="AG1753" i="16"/>
  <c r="AG1786" i="16"/>
  <c r="AG1684" i="16"/>
  <c r="O1062" i="27"/>
  <c r="O574" i="27"/>
  <c r="O545" i="27"/>
  <c r="O576" i="27"/>
  <c r="L1972" i="27"/>
  <c r="L1923" i="27"/>
  <c r="O1923" i="27" s="1"/>
  <c r="L1954" i="27"/>
  <c r="L1986" i="27"/>
  <c r="O1986" i="27" s="1"/>
  <c r="L1968" i="27"/>
  <c r="O1968" i="27" s="1"/>
  <c r="L1922" i="27"/>
  <c r="O1922" i="27" s="1"/>
  <c r="L1958" i="27"/>
  <c r="O1958" i="27" s="1"/>
  <c r="L1990" i="27"/>
  <c r="O1990" i="27" s="1"/>
  <c r="L1932" i="27"/>
  <c r="O1932" i="27" s="1"/>
  <c r="L1951" i="27"/>
  <c r="O1951" i="27" s="1"/>
  <c r="L1934" i="27"/>
  <c r="O1934" i="27" s="1"/>
  <c r="L1950" i="27"/>
  <c r="O1950" i="27" s="1"/>
  <c r="L1937" i="27"/>
  <c r="O1937" i="27" s="1"/>
  <c r="L1953" i="27"/>
  <c r="L1961" i="27"/>
  <c r="O1961" i="27" s="1"/>
  <c r="L1969" i="27"/>
  <c r="O1969" i="27" s="1"/>
  <c r="L1977" i="27"/>
  <c r="O1977" i="27" s="1"/>
  <c r="L1985" i="27"/>
  <c r="O1985" i="27" s="1"/>
  <c r="L1993" i="27"/>
  <c r="O1993" i="27" s="1"/>
  <c r="O1205" i="27"/>
  <c r="O1250" i="27"/>
  <c r="O1198" i="27"/>
  <c r="O1256" i="27"/>
  <c r="O1885" i="27"/>
  <c r="O1865" i="27"/>
  <c r="O1809" i="27"/>
  <c r="O1873" i="27"/>
  <c r="O1884" i="27"/>
  <c r="AG1688" i="16"/>
  <c r="AG1749" i="16"/>
  <c r="AG1770" i="16"/>
  <c r="AG1675" i="16"/>
  <c r="O1229" i="27"/>
  <c r="O1225" i="27"/>
  <c r="O1227" i="27"/>
  <c r="O547" i="27"/>
  <c r="L1948" i="27"/>
  <c r="L1980" i="27"/>
  <c r="L1931" i="27"/>
  <c r="L1962" i="27"/>
  <c r="O1962" i="27" s="1"/>
  <c r="L1994" i="27"/>
  <c r="L1976" i="27"/>
  <c r="O1976" i="27" s="1"/>
  <c r="L1930" i="27"/>
  <c r="L1966" i="27"/>
  <c r="O1966" i="27" s="1"/>
  <c r="L1998" i="27"/>
  <c r="L1933" i="27"/>
  <c r="O1933" i="27" s="1"/>
  <c r="L1749" i="27"/>
  <c r="O1749" i="27" s="1"/>
  <c r="L1935" i="27"/>
  <c r="T10" i="27" s="1"/>
  <c r="L1928" i="27"/>
  <c r="L1944" i="27"/>
  <c r="L1955" i="27"/>
  <c r="O1955" i="27" s="1"/>
  <c r="L1963" i="27"/>
  <c r="O1963" i="27" s="1"/>
  <c r="L1971" i="27"/>
  <c r="O1971" i="27" s="1"/>
  <c r="L1979" i="27"/>
  <c r="L1987" i="27"/>
  <c r="O1987" i="27" s="1"/>
  <c r="O1799" i="27"/>
  <c r="AG1736" i="16"/>
  <c r="AG1747" i="16"/>
  <c r="O1068" i="27"/>
  <c r="O1136" i="27"/>
  <c r="O1125" i="27"/>
  <c r="O1148" i="27"/>
  <c r="O1126" i="27"/>
  <c r="O1948" i="27"/>
  <c r="O1994" i="27"/>
  <c r="O1998" i="27"/>
  <c r="O1928" i="27"/>
  <c r="O558" i="27"/>
  <c r="O1109" i="27"/>
  <c r="O1217" i="27"/>
  <c r="O1211" i="27"/>
  <c r="AG1744" i="16"/>
  <c r="AG1777" i="16"/>
  <c r="AG1723" i="16"/>
  <c r="AG1768" i="16"/>
  <c r="O1140" i="27"/>
  <c r="O1155" i="27"/>
  <c r="O1127" i="27"/>
  <c r="O1146" i="27"/>
  <c r="O550" i="27"/>
  <c r="O568" i="27"/>
  <c r="O1956" i="27"/>
  <c r="O1929" i="27"/>
  <c r="O1957" i="27"/>
  <c r="O559" i="27"/>
  <c r="O1194" i="27"/>
  <c r="O108" i="27"/>
  <c r="O1800" i="27"/>
  <c r="AG1755" i="16"/>
  <c r="AG1725" i="16"/>
  <c r="AG1738" i="16"/>
  <c r="AG1781" i="16"/>
  <c r="O1072" i="27"/>
  <c r="O1069" i="27"/>
  <c r="O1139" i="27"/>
  <c r="O566" i="27"/>
  <c r="O1992" i="27"/>
  <c r="O1946" i="27"/>
  <c r="O1927" i="27"/>
  <c r="O1983" i="27"/>
  <c r="O588" i="27"/>
  <c r="O1202" i="27"/>
  <c r="O1875" i="27"/>
  <c r="O1879" i="27"/>
  <c r="O1810" i="27"/>
  <c r="AG1760" i="16"/>
  <c r="AG1741" i="16"/>
  <c r="AG1751" i="16"/>
  <c r="AG1667" i="16"/>
  <c r="AG1785" i="16"/>
  <c r="AG1680" i="16"/>
  <c r="O1065" i="27"/>
  <c r="O1078" i="27"/>
  <c r="O551" i="27"/>
  <c r="O544" i="27"/>
  <c r="O1972" i="27"/>
  <c r="O1954" i="27"/>
  <c r="O1953" i="27"/>
  <c r="O555" i="27"/>
  <c r="O582" i="27"/>
  <c r="O102" i="27"/>
  <c r="O1868" i="27"/>
  <c r="AG1687" i="16"/>
  <c r="AG1772" i="16"/>
  <c r="AG1677" i="16"/>
  <c r="AG1774" i="16"/>
  <c r="O1075" i="27"/>
  <c r="O542" i="27"/>
  <c r="O546" i="27"/>
  <c r="O1944" i="27"/>
  <c r="O1979" i="27"/>
  <c r="O1995" i="27"/>
  <c r="O1249" i="27"/>
  <c r="O1254" i="27"/>
  <c r="O1118" i="27"/>
  <c r="O104" i="27"/>
  <c r="O1817" i="27"/>
  <c r="AG1746" i="16"/>
  <c r="AG1771" i="16"/>
  <c r="AG1789" i="16"/>
  <c r="AG1742" i="16"/>
  <c r="AG1790" i="16"/>
  <c r="AG1663" i="16"/>
  <c r="AG1722" i="16"/>
  <c r="AG1764" i="16"/>
  <c r="AG1685" i="16"/>
  <c r="O1073" i="27"/>
  <c r="O1066" i="27"/>
  <c r="O1059" i="27"/>
  <c r="O1130" i="27"/>
  <c r="O549" i="27"/>
  <c r="O1939" i="27"/>
  <c r="O1984" i="27"/>
  <c r="O1938" i="27"/>
  <c r="O1945" i="27"/>
  <c r="O1965" i="27"/>
  <c r="O1973" i="27"/>
  <c r="O585" i="27"/>
  <c r="O1253" i="27"/>
  <c r="O1869" i="27"/>
  <c r="O1803" i="27"/>
  <c r="O1807" i="27"/>
  <c r="O1871" i="27"/>
  <c r="O1872" i="27"/>
  <c r="O1880" i="27"/>
  <c r="B15" i="31"/>
  <c r="B14" i="31"/>
  <c r="I9" i="31"/>
  <c r="I7" i="31"/>
  <c r="I13" i="31" s="1"/>
  <c r="I11" i="31"/>
  <c r="K9" i="31"/>
  <c r="K7" i="31"/>
  <c r="K13" i="31" s="1"/>
  <c r="K11" i="31"/>
  <c r="C9" i="31"/>
  <c r="C7" i="31"/>
  <c r="C13" i="31" s="1"/>
  <c r="C11" i="31"/>
  <c r="AG1728" i="16"/>
  <c r="AG1754" i="16"/>
  <c r="AG1788" i="16"/>
  <c r="AG1767" i="16"/>
  <c r="AG1766" i="16"/>
  <c r="AG1784" i="16"/>
  <c r="AG1763" i="16"/>
  <c r="AG1748" i="16"/>
  <c r="AG1726" i="16"/>
  <c r="O1980" i="27"/>
  <c r="O1931" i="27"/>
  <c r="O1930" i="27"/>
  <c r="O2265" i="27"/>
  <c r="Z12" i="27"/>
  <c r="O1805" i="27"/>
  <c r="O1795" i="27"/>
  <c r="O1806" i="27"/>
  <c r="O1814" i="27"/>
  <c r="L7" i="32"/>
  <c r="L13" i="32" s="1"/>
  <c r="J13" i="32"/>
  <c r="AG1793" i="16"/>
  <c r="AG1676" i="16"/>
  <c r="AG1690" i="16"/>
  <c r="AG1724" i="16"/>
  <c r="AG1780" i="16"/>
  <c r="AG1759" i="16"/>
  <c r="AG1666" i="16"/>
  <c r="O1988" i="27"/>
  <c r="O1952" i="27"/>
  <c r="O1974" i="27"/>
  <c r="O1924" i="27"/>
  <c r="O1926" i="27"/>
  <c r="O1942" i="27"/>
  <c r="O1981" i="27"/>
  <c r="O1867" i="27"/>
  <c r="AG1729" i="16"/>
  <c r="AG1758" i="16"/>
  <c r="AG1683" i="16"/>
  <c r="AG1737" i="16"/>
  <c r="AG1735" i="16"/>
  <c r="AG1689" i="16"/>
  <c r="AG1679" i="16"/>
  <c r="AG1664" i="16"/>
  <c r="O1960" i="27"/>
  <c r="O1982" i="27"/>
  <c r="O1925" i="27"/>
  <c r="O1959" i="27"/>
  <c r="O1991" i="27"/>
  <c r="O577" i="27"/>
  <c r="O580" i="27"/>
  <c r="O1258" i="27"/>
  <c r="O1813" i="27"/>
  <c r="O1874" i="27"/>
  <c r="J15" i="32"/>
  <c r="L9" i="32"/>
  <c r="J14" i="32"/>
  <c r="O1257" i="27"/>
  <c r="T9" i="27"/>
  <c r="O1221" i="27"/>
  <c r="AP7" i="16"/>
  <c r="AQ7" i="16" s="1"/>
  <c r="AC11" i="27"/>
  <c r="AC6" i="27"/>
  <c r="AH6" i="27" s="1"/>
  <c r="AC12" i="27"/>
  <c r="O2270" i="27"/>
  <c r="O2261" i="27"/>
  <c r="O2266" i="27"/>
  <c r="O2259" i="27"/>
  <c r="T7" i="27"/>
  <c r="Z8" i="27"/>
  <c r="O1113" i="27"/>
  <c r="O2260" i="27"/>
  <c r="O2263" i="27"/>
  <c r="AC7" i="27"/>
  <c r="AP8" i="16"/>
  <c r="AQ8" i="16" s="1"/>
  <c r="AC10" i="27"/>
  <c r="O587" i="27"/>
  <c r="O2262" i="27"/>
  <c r="O2269" i="27"/>
  <c r="O2257" i="27"/>
  <c r="O2268" i="27"/>
  <c r="O2267" i="27"/>
  <c r="T11" i="27"/>
  <c r="AC8" i="27"/>
  <c r="O579" i="27"/>
  <c r="O583" i="27"/>
  <c r="O1197" i="27"/>
  <c r="O1213" i="27"/>
  <c r="O2258" i="27"/>
  <c r="O2256" i="27"/>
  <c r="O2264" i="27"/>
  <c r="O2255" i="27"/>
  <c r="AP4" i="16"/>
  <c r="AQ4" i="16" s="1"/>
  <c r="AP9" i="16"/>
  <c r="AQ9" i="16" s="1"/>
  <c r="AP3" i="16"/>
  <c r="AQ3" i="16" s="1"/>
  <c r="AP5" i="16"/>
  <c r="AQ5" i="16" s="1"/>
  <c r="X52" i="12"/>
  <c r="AA5" i="12"/>
  <c r="AA52" i="12" s="1"/>
  <c r="X52" i="13"/>
  <c r="AA5" i="13"/>
  <c r="G5" i="34" s="1"/>
  <c r="O1935" i="27" l="1"/>
  <c r="AH12" i="27"/>
  <c r="AP6" i="16"/>
  <c r="AQ6" i="16" s="1"/>
  <c r="W10" i="27"/>
  <c r="W9" i="27"/>
  <c r="Z9" i="27" s="1"/>
  <c r="I14" i="31"/>
  <c r="I15" i="31"/>
  <c r="K14" i="31"/>
  <c r="K15" i="31"/>
  <c r="C15" i="31"/>
  <c r="C14" i="31"/>
  <c r="AC9" i="27"/>
  <c r="L15" i="32"/>
  <c r="L14" i="32"/>
  <c r="W11" i="27"/>
  <c r="Z11" i="27" s="1"/>
  <c r="AH11" i="27" s="1"/>
  <c r="Z10" i="27"/>
  <c r="AH10" i="27" s="1"/>
  <c r="W7" i="27"/>
  <c r="Z7" i="27" s="1"/>
  <c r="AH7" i="27" s="1"/>
  <c r="AH8" i="27"/>
  <c r="AA121" i="16"/>
  <c r="AG121" i="16" s="1"/>
  <c r="AA120" i="16"/>
  <c r="AG120" i="16" s="1"/>
  <c r="AA119" i="16"/>
  <c r="AG119" i="16" s="1"/>
  <c r="AA118" i="16"/>
  <c r="AG118" i="16" s="1"/>
  <c r="AA117" i="16"/>
  <c r="AG117" i="16" s="1"/>
  <c r="AA116" i="16"/>
  <c r="AG116" i="16" s="1"/>
  <c r="AA115" i="16"/>
  <c r="AG115" i="16" s="1"/>
  <c r="AA114" i="16"/>
  <c r="AG114" i="16" s="1"/>
  <c r="AA113" i="16"/>
  <c r="AG113" i="16" s="1"/>
  <c r="AA112" i="16"/>
  <c r="AG112" i="16" s="1"/>
  <c r="AA111" i="16"/>
  <c r="AG111" i="16" s="1"/>
  <c r="AA110" i="16"/>
  <c r="AG110" i="16" s="1"/>
  <c r="AA25" i="17"/>
  <c r="AA22" i="17"/>
  <c r="AA20" i="17"/>
  <c r="AA18" i="17"/>
  <c r="AA16" i="17"/>
  <c r="AA14" i="17"/>
  <c r="AA24" i="17"/>
  <c r="AA23" i="17"/>
  <c r="AA21" i="17"/>
  <c r="AA19" i="17"/>
  <c r="AA17" i="17"/>
  <c r="AA15" i="17"/>
  <c r="AA52" i="13"/>
  <c r="AA23" i="16"/>
  <c r="L23" i="27" s="1"/>
  <c r="O23" i="27" s="1"/>
  <c r="AA19" i="16"/>
  <c r="L19" i="27" s="1"/>
  <c r="O19" i="27" s="1"/>
  <c r="AA15" i="16"/>
  <c r="L15" i="27" s="1"/>
  <c r="O15" i="27" s="1"/>
  <c r="AA22" i="16"/>
  <c r="L22" i="27" s="1"/>
  <c r="O22" i="27" s="1"/>
  <c r="AA18" i="16"/>
  <c r="L18" i="27" s="1"/>
  <c r="O18" i="27" s="1"/>
  <c r="AA14" i="16"/>
  <c r="L14" i="27" s="1"/>
  <c r="AA25" i="16"/>
  <c r="AA21" i="16"/>
  <c r="L21" i="27" s="1"/>
  <c r="O21" i="27" s="1"/>
  <c r="AA17" i="16"/>
  <c r="L17" i="27" s="1"/>
  <c r="O17" i="27" s="1"/>
  <c r="AA24" i="16"/>
  <c r="L24" i="27" s="1"/>
  <c r="O24" i="27" s="1"/>
  <c r="AA20" i="16"/>
  <c r="L20" i="27" s="1"/>
  <c r="O20" i="27" s="1"/>
  <c r="AA16" i="16"/>
  <c r="L16" i="27" s="1"/>
  <c r="O16" i="27" s="1"/>
  <c r="AP11" i="16" l="1"/>
  <c r="AQ11" i="16" s="1"/>
  <c r="AH9" i="27"/>
  <c r="L119" i="27"/>
  <c r="O119" i="27" s="1"/>
  <c r="L115" i="27"/>
  <c r="O115" i="27" s="1"/>
  <c r="L111" i="27"/>
  <c r="O111" i="27" s="1"/>
  <c r="L118" i="27"/>
  <c r="O118" i="27" s="1"/>
  <c r="L116" i="27"/>
  <c r="O116" i="27" s="1"/>
  <c r="L117" i="27"/>
  <c r="O117" i="27" s="1"/>
  <c r="L110" i="27"/>
  <c r="O110" i="27" s="1"/>
  <c r="L121" i="27"/>
  <c r="O121" i="27" s="1"/>
  <c r="L114" i="27"/>
  <c r="O114" i="27" s="1"/>
  <c r="L120" i="27"/>
  <c r="O120" i="27" s="1"/>
  <c r="L113" i="27"/>
  <c r="O113" i="27" s="1"/>
  <c r="L112" i="27"/>
  <c r="O112" i="27" s="1"/>
  <c r="L25" i="27"/>
  <c r="O25" i="27" s="1"/>
  <c r="O14" i="27"/>
  <c r="AG25" i="16"/>
  <c r="AG17" i="16"/>
  <c r="AG18" i="16"/>
  <c r="AG20" i="16"/>
  <c r="AG21" i="16"/>
  <c r="AG22" i="16"/>
  <c r="AG15" i="16"/>
  <c r="AG24" i="16"/>
  <c r="AG19" i="16"/>
  <c r="AG16" i="16"/>
  <c r="AG14" i="16"/>
  <c r="AG23" i="16"/>
  <c r="T4" i="27" l="1"/>
  <c r="W4" i="27"/>
  <c r="AC4" i="27"/>
  <c r="AP2" i="16"/>
  <c r="AQ2" i="16" s="1"/>
  <c r="Z4" i="27" l="1"/>
  <c r="AH4" i="27" s="1"/>
  <c r="AP10" i="16"/>
  <c r="AQ10" i="16" s="1"/>
  <c r="AP12" i="16" l="1"/>
  <c r="AQ12" i="16" s="1"/>
  <c r="J2" i="27" l="1"/>
  <c r="K2" i="27"/>
  <c r="M2" i="27"/>
  <c r="N2" i="27"/>
  <c r="J3" i="27"/>
  <c r="K3" i="27"/>
  <c r="M3" i="27"/>
  <c r="N3" i="27"/>
  <c r="J4" i="27"/>
  <c r="K4" i="27"/>
  <c r="M4" i="27"/>
  <c r="N4" i="27"/>
  <c r="R4" i="27"/>
  <c r="S4" i="27"/>
  <c r="U4" i="27"/>
  <c r="V4" i="27"/>
  <c r="X4" i="27"/>
  <c r="Y4" i="27"/>
  <c r="AA4" i="27"/>
  <c r="AB4" i="27"/>
  <c r="AD4" i="27"/>
  <c r="AE4" i="27"/>
  <c r="AF4" i="27"/>
  <c r="AG4" i="27"/>
  <c r="AI4" i="27"/>
  <c r="AJ4" i="27"/>
  <c r="J5" i="27"/>
  <c r="K5" i="27"/>
  <c r="M5" i="27"/>
  <c r="N5" i="27"/>
  <c r="J6" i="27"/>
  <c r="K6" i="27"/>
  <c r="M6" i="27"/>
  <c r="N6" i="27"/>
  <c r="R6" i="27"/>
  <c r="S6" i="27"/>
  <c r="U6" i="27"/>
  <c r="V6" i="27"/>
  <c r="X6" i="27"/>
  <c r="Y6" i="27"/>
  <c r="AA6" i="27"/>
  <c r="AB6" i="27"/>
  <c r="AD6" i="27"/>
  <c r="AE6" i="27"/>
  <c r="AF6" i="27"/>
  <c r="AG6" i="27"/>
  <c r="AI6" i="27"/>
  <c r="AJ6" i="27"/>
  <c r="J7" i="27"/>
  <c r="K7" i="27"/>
  <c r="M7" i="27"/>
  <c r="N7" i="27"/>
  <c r="R7" i="27"/>
  <c r="S7" i="27"/>
  <c r="U7" i="27"/>
  <c r="V7" i="27"/>
  <c r="X7" i="27"/>
  <c r="Y7" i="27"/>
  <c r="AA7" i="27"/>
  <c r="AB7" i="27"/>
  <c r="AD7" i="27"/>
  <c r="AE7" i="27"/>
  <c r="AF7" i="27"/>
  <c r="AG7" i="27"/>
  <c r="AI7" i="27"/>
  <c r="AJ7" i="27"/>
  <c r="J8" i="27"/>
  <c r="K8" i="27"/>
  <c r="M8" i="27"/>
  <c r="N8" i="27"/>
  <c r="R8" i="27"/>
  <c r="S8" i="27"/>
  <c r="U8" i="27"/>
  <c r="V8" i="27"/>
  <c r="X8" i="27"/>
  <c r="Y8" i="27"/>
  <c r="AA8" i="27"/>
  <c r="AB8" i="27"/>
  <c r="AD8" i="27"/>
  <c r="AE8" i="27"/>
  <c r="AF8" i="27"/>
  <c r="AG8" i="27"/>
  <c r="AI8" i="27"/>
  <c r="AJ8" i="27"/>
  <c r="J9" i="27"/>
  <c r="K9" i="27"/>
  <c r="M9" i="27"/>
  <c r="N9" i="27"/>
  <c r="S9" i="27"/>
  <c r="V9" i="27"/>
  <c r="Y9" i="27"/>
  <c r="AB9" i="27"/>
  <c r="AE9" i="27"/>
  <c r="AG9" i="27"/>
  <c r="AJ9" i="27"/>
  <c r="J10" i="27"/>
  <c r="K10" i="27"/>
  <c r="M10" i="27"/>
  <c r="N10" i="27"/>
  <c r="S10" i="27"/>
  <c r="V10" i="27"/>
  <c r="Y10" i="27"/>
  <c r="AB10" i="27"/>
  <c r="AE10" i="27"/>
  <c r="AG10" i="27"/>
  <c r="AJ10" i="27"/>
  <c r="J11" i="27"/>
  <c r="K11" i="27"/>
  <c r="M11" i="27"/>
  <c r="N11" i="27"/>
  <c r="S11" i="27"/>
  <c r="V11" i="27"/>
  <c r="Y11" i="27"/>
  <c r="AB11" i="27"/>
  <c r="AE11" i="27"/>
  <c r="AG11" i="27"/>
  <c r="AJ11" i="27"/>
  <c r="J12" i="27"/>
  <c r="K12" i="27"/>
  <c r="M12" i="27"/>
  <c r="N12" i="27"/>
  <c r="S12" i="27"/>
  <c r="V12" i="27"/>
  <c r="Y12" i="27"/>
  <c r="AB12" i="27"/>
  <c r="AG12" i="27"/>
  <c r="AJ12" i="27"/>
  <c r="J13" i="27"/>
  <c r="K13" i="27"/>
  <c r="M13" i="27"/>
  <c r="N13" i="27"/>
  <c r="J14" i="27"/>
  <c r="K14" i="27"/>
  <c r="M14" i="27"/>
  <c r="N14" i="27"/>
  <c r="J15" i="27"/>
  <c r="K15" i="27"/>
  <c r="M15" i="27"/>
  <c r="N15" i="27"/>
  <c r="J16" i="27"/>
  <c r="K16" i="27"/>
  <c r="M16" i="27"/>
  <c r="N16" i="27"/>
  <c r="J17" i="27"/>
  <c r="K17" i="27"/>
  <c r="M17" i="27"/>
  <c r="N17" i="27"/>
  <c r="J18" i="27"/>
  <c r="K18" i="27"/>
  <c r="M18" i="27"/>
  <c r="N18" i="27"/>
  <c r="J19" i="27"/>
  <c r="K19" i="27"/>
  <c r="M19" i="27"/>
  <c r="N19" i="27"/>
  <c r="J20" i="27"/>
  <c r="K20" i="27"/>
  <c r="M20" i="27"/>
  <c r="N20" i="27"/>
  <c r="J21" i="27"/>
  <c r="K21" i="27"/>
  <c r="M21" i="27"/>
  <c r="N21" i="27"/>
  <c r="J22" i="27"/>
  <c r="K22" i="27"/>
  <c r="M22" i="27"/>
  <c r="N22" i="27"/>
  <c r="J23" i="27"/>
  <c r="K23" i="27"/>
  <c r="M23" i="27"/>
  <c r="N23" i="27"/>
  <c r="J24" i="27"/>
  <c r="K24" i="27"/>
  <c r="M24" i="27"/>
  <c r="N24" i="27"/>
  <c r="J25" i="27"/>
  <c r="K25" i="27"/>
  <c r="M25" i="27"/>
  <c r="N25" i="27"/>
  <c r="J26" i="27"/>
  <c r="K26" i="27"/>
  <c r="M26" i="27"/>
  <c r="N26" i="27"/>
  <c r="J27" i="27"/>
  <c r="K27" i="27"/>
  <c r="M27" i="27"/>
  <c r="N27" i="27"/>
  <c r="J28" i="27"/>
  <c r="K28" i="27"/>
  <c r="M28" i="27"/>
  <c r="N28" i="27"/>
  <c r="J29" i="27"/>
  <c r="K29" i="27"/>
  <c r="M29" i="27"/>
  <c r="N29" i="27"/>
  <c r="J30" i="27"/>
  <c r="K30" i="27"/>
  <c r="M30" i="27"/>
  <c r="N30" i="27"/>
  <c r="J31" i="27"/>
  <c r="K31" i="27"/>
  <c r="M31" i="27"/>
  <c r="N31" i="27"/>
  <c r="J32" i="27"/>
  <c r="K32" i="27"/>
  <c r="M32" i="27"/>
  <c r="N32" i="27"/>
  <c r="J33" i="27"/>
  <c r="K33" i="27"/>
  <c r="M33" i="27"/>
  <c r="N33" i="27"/>
  <c r="J34" i="27"/>
  <c r="K34" i="27"/>
  <c r="M34" i="27"/>
  <c r="N34" i="27"/>
  <c r="J35" i="27"/>
  <c r="K35" i="27"/>
  <c r="M35" i="27"/>
  <c r="N35" i="27"/>
  <c r="J36" i="27"/>
  <c r="K36" i="27"/>
  <c r="M36" i="27"/>
  <c r="N36" i="27"/>
  <c r="J37" i="27"/>
  <c r="K37" i="27"/>
  <c r="M37" i="27"/>
  <c r="N37" i="27"/>
  <c r="K38" i="27"/>
  <c r="N38" i="27"/>
  <c r="K39" i="27"/>
  <c r="N39" i="27"/>
  <c r="K40" i="27"/>
  <c r="N40" i="27"/>
  <c r="K41" i="27"/>
  <c r="N41" i="27"/>
  <c r="K42" i="27"/>
  <c r="N42" i="27"/>
  <c r="K43" i="27"/>
  <c r="N43" i="27"/>
  <c r="K44" i="27"/>
  <c r="N44" i="27"/>
  <c r="K45" i="27"/>
  <c r="N45" i="27"/>
  <c r="K46" i="27"/>
  <c r="N46" i="27"/>
  <c r="K47" i="27"/>
  <c r="N47" i="27"/>
  <c r="K48" i="27"/>
  <c r="N48" i="27"/>
  <c r="K49" i="27"/>
  <c r="N49" i="27"/>
  <c r="J50" i="27"/>
  <c r="K50" i="27"/>
  <c r="M50" i="27"/>
  <c r="N50" i="27"/>
  <c r="J51" i="27"/>
  <c r="K51" i="27"/>
  <c r="M51" i="27"/>
  <c r="N51" i="27"/>
  <c r="J52" i="27"/>
  <c r="K52" i="27"/>
  <c r="M52" i="27"/>
  <c r="N52" i="27"/>
  <c r="J53" i="27"/>
  <c r="K53" i="27"/>
  <c r="M53" i="27"/>
  <c r="N53" i="27"/>
  <c r="J54" i="27"/>
  <c r="K54" i="27"/>
  <c r="M54" i="27"/>
  <c r="N54" i="27"/>
  <c r="J55" i="27"/>
  <c r="K55" i="27"/>
  <c r="M55" i="27"/>
  <c r="N55" i="27"/>
  <c r="J56" i="27"/>
  <c r="K56" i="27"/>
  <c r="M56" i="27"/>
  <c r="N56" i="27"/>
  <c r="J57" i="27"/>
  <c r="K57" i="27"/>
  <c r="M57" i="27"/>
  <c r="N57" i="27"/>
  <c r="J58" i="27"/>
  <c r="K58" i="27"/>
  <c r="M58" i="27"/>
  <c r="N58" i="27"/>
  <c r="J59" i="27"/>
  <c r="K59" i="27"/>
  <c r="M59" i="27"/>
  <c r="N59" i="27"/>
  <c r="J60" i="27"/>
  <c r="K60" i="27"/>
  <c r="M60" i="27"/>
  <c r="N60" i="27"/>
  <c r="J61" i="27"/>
  <c r="K61" i="27"/>
  <c r="M61" i="27"/>
  <c r="N61" i="27"/>
  <c r="J62" i="27"/>
  <c r="K62" i="27"/>
  <c r="M62" i="27"/>
  <c r="N62" i="27"/>
  <c r="J63" i="27"/>
  <c r="K63" i="27"/>
  <c r="M63" i="27"/>
  <c r="N63" i="27"/>
  <c r="J64" i="27"/>
  <c r="K64" i="27"/>
  <c r="M64" i="27"/>
  <c r="N64" i="27"/>
  <c r="J65" i="27"/>
  <c r="K65" i="27"/>
  <c r="M65" i="27"/>
  <c r="N65" i="27"/>
  <c r="J66" i="27"/>
  <c r="K66" i="27"/>
  <c r="M66" i="27"/>
  <c r="N66" i="27"/>
  <c r="J67" i="27"/>
  <c r="K67" i="27"/>
  <c r="M67" i="27"/>
  <c r="N67" i="27"/>
  <c r="J68" i="27"/>
  <c r="K68" i="27"/>
  <c r="M68" i="27"/>
  <c r="N68" i="27"/>
  <c r="J69" i="27"/>
  <c r="K69" i="27"/>
  <c r="M69" i="27"/>
  <c r="N69" i="27"/>
  <c r="J70" i="27"/>
  <c r="K70" i="27"/>
  <c r="M70" i="27"/>
  <c r="N70" i="27"/>
  <c r="J71" i="27"/>
  <c r="K71" i="27"/>
  <c r="M71" i="27"/>
  <c r="N71" i="27"/>
  <c r="J72" i="27"/>
  <c r="K72" i="27"/>
  <c r="M72" i="27"/>
  <c r="N72" i="27"/>
  <c r="J73" i="27"/>
  <c r="K73" i="27"/>
  <c r="M73" i="27"/>
  <c r="N73" i="27"/>
  <c r="K74" i="27"/>
  <c r="N74" i="27"/>
  <c r="K75" i="27"/>
  <c r="N75" i="27"/>
  <c r="K76" i="27"/>
  <c r="N76" i="27"/>
  <c r="K77" i="27"/>
  <c r="N77" i="27"/>
  <c r="K78" i="27"/>
  <c r="N78" i="27"/>
  <c r="K79" i="27"/>
  <c r="N79" i="27"/>
  <c r="K80" i="27"/>
  <c r="N80" i="27"/>
  <c r="K81" i="27"/>
  <c r="N81" i="27"/>
  <c r="K82" i="27"/>
  <c r="N82" i="27"/>
  <c r="K83" i="27"/>
  <c r="N83" i="27"/>
  <c r="K84" i="27"/>
  <c r="N84" i="27"/>
  <c r="K85" i="27"/>
  <c r="N85" i="27"/>
  <c r="J86" i="27"/>
  <c r="K86" i="27"/>
  <c r="M86" i="27"/>
  <c r="N86" i="27"/>
  <c r="J87" i="27"/>
  <c r="K87" i="27"/>
  <c r="M87" i="27"/>
  <c r="N87" i="27"/>
  <c r="J88" i="27"/>
  <c r="K88" i="27"/>
  <c r="M88" i="27"/>
  <c r="N88" i="27"/>
  <c r="J89" i="27"/>
  <c r="K89" i="27"/>
  <c r="M89" i="27"/>
  <c r="N89" i="27"/>
  <c r="J90" i="27"/>
  <c r="K90" i="27"/>
  <c r="M90" i="27"/>
  <c r="N90" i="27"/>
  <c r="J91" i="27"/>
  <c r="K91" i="27"/>
  <c r="M91" i="27"/>
  <c r="N91" i="27"/>
  <c r="J92" i="27"/>
  <c r="K92" i="27"/>
  <c r="M92" i="27"/>
  <c r="N92" i="27"/>
  <c r="J93" i="27"/>
  <c r="K93" i="27"/>
  <c r="M93" i="27"/>
  <c r="N93" i="27"/>
  <c r="J94" i="27"/>
  <c r="K94" i="27"/>
  <c r="M94" i="27"/>
  <c r="N94" i="27"/>
  <c r="J95" i="27"/>
  <c r="K95" i="27"/>
  <c r="M95" i="27"/>
  <c r="N95" i="27"/>
  <c r="J96" i="27"/>
  <c r="K96" i="27"/>
  <c r="M96" i="27"/>
  <c r="N96" i="27"/>
  <c r="J97" i="27"/>
  <c r="K97" i="27"/>
  <c r="M97" i="27"/>
  <c r="N97" i="27"/>
  <c r="J98" i="27"/>
  <c r="K98" i="27"/>
  <c r="M98" i="27"/>
  <c r="N98" i="27"/>
  <c r="J99" i="27"/>
  <c r="K99" i="27"/>
  <c r="M99" i="27"/>
  <c r="N99" i="27"/>
  <c r="J100" i="27"/>
  <c r="K100" i="27"/>
  <c r="M100" i="27"/>
  <c r="N100" i="27"/>
  <c r="J101" i="27"/>
  <c r="K101" i="27"/>
  <c r="M101" i="27"/>
  <c r="N101" i="27"/>
  <c r="J102" i="27"/>
  <c r="K102" i="27"/>
  <c r="M102" i="27"/>
  <c r="N102" i="27"/>
  <c r="J103" i="27"/>
  <c r="K103" i="27"/>
  <c r="M103" i="27"/>
  <c r="N103" i="27"/>
  <c r="J104" i="27"/>
  <c r="K104" i="27"/>
  <c r="M104" i="27"/>
  <c r="N104" i="27"/>
  <c r="J105" i="27"/>
  <c r="K105" i="27"/>
  <c r="M105" i="27"/>
  <c r="N105" i="27"/>
  <c r="J106" i="27"/>
  <c r="K106" i="27"/>
  <c r="M106" i="27"/>
  <c r="N106" i="27"/>
  <c r="J107" i="27"/>
  <c r="K107" i="27"/>
  <c r="M107" i="27"/>
  <c r="N107" i="27"/>
  <c r="J108" i="27"/>
  <c r="K108" i="27"/>
  <c r="M108" i="27"/>
  <c r="N108" i="27"/>
  <c r="J109" i="27"/>
  <c r="K109" i="27"/>
  <c r="M109" i="27"/>
  <c r="N109" i="27"/>
  <c r="J110" i="27"/>
  <c r="K110" i="27"/>
  <c r="M110" i="27"/>
  <c r="N110" i="27"/>
  <c r="J111" i="27"/>
  <c r="K111" i="27"/>
  <c r="M111" i="27"/>
  <c r="N111" i="27"/>
  <c r="J112" i="27"/>
  <c r="K112" i="27"/>
  <c r="M112" i="27"/>
  <c r="N112" i="27"/>
  <c r="J113" i="27"/>
  <c r="K113" i="27"/>
  <c r="M113" i="27"/>
  <c r="N113" i="27"/>
  <c r="J114" i="27"/>
  <c r="K114" i="27"/>
  <c r="M114" i="27"/>
  <c r="N114" i="27"/>
  <c r="J115" i="27"/>
  <c r="K115" i="27"/>
  <c r="M115" i="27"/>
  <c r="N115" i="27"/>
  <c r="J116" i="27"/>
  <c r="K116" i="27"/>
  <c r="M116" i="27"/>
  <c r="N116" i="27"/>
  <c r="J117" i="27"/>
  <c r="K117" i="27"/>
  <c r="M117" i="27"/>
  <c r="N117" i="27"/>
  <c r="J118" i="27"/>
  <c r="K118" i="27"/>
  <c r="M118" i="27"/>
  <c r="N118" i="27"/>
  <c r="J119" i="27"/>
  <c r="K119" i="27"/>
  <c r="M119" i="27"/>
  <c r="N119" i="27"/>
  <c r="J120" i="27"/>
  <c r="K120" i="27"/>
  <c r="M120" i="27"/>
  <c r="N120" i="27"/>
  <c r="J121" i="27"/>
  <c r="K121" i="27"/>
  <c r="M121" i="27"/>
  <c r="N121" i="27"/>
  <c r="J122" i="27"/>
  <c r="K122" i="27"/>
  <c r="M122" i="27"/>
  <c r="N122" i="27"/>
  <c r="J123" i="27"/>
  <c r="K123" i="27"/>
  <c r="M123" i="27"/>
  <c r="N123" i="27"/>
  <c r="J124" i="27"/>
  <c r="K124" i="27"/>
  <c r="M124" i="27"/>
  <c r="N124" i="27"/>
  <c r="J125" i="27"/>
  <c r="K125" i="27"/>
  <c r="M125" i="27"/>
  <c r="N125" i="27"/>
  <c r="J126" i="27"/>
  <c r="K126" i="27"/>
  <c r="M126" i="27"/>
  <c r="N126" i="27"/>
  <c r="J127" i="27"/>
  <c r="K127" i="27"/>
  <c r="M127" i="27"/>
  <c r="N127" i="27"/>
  <c r="J128" i="27"/>
  <c r="K128" i="27"/>
  <c r="M128" i="27"/>
  <c r="N128" i="27"/>
  <c r="J129" i="27"/>
  <c r="K129" i="27"/>
  <c r="M129" i="27"/>
  <c r="N129" i="27"/>
  <c r="J130" i="27"/>
  <c r="K130" i="27"/>
  <c r="M130" i="27"/>
  <c r="N130" i="27"/>
  <c r="J131" i="27"/>
  <c r="K131" i="27"/>
  <c r="M131" i="27"/>
  <c r="N131" i="27"/>
  <c r="J132" i="27"/>
  <c r="K132" i="27"/>
  <c r="M132" i="27"/>
  <c r="N132" i="27"/>
  <c r="J133" i="27"/>
  <c r="K133" i="27"/>
  <c r="M133" i="27"/>
  <c r="N133" i="27"/>
  <c r="J134" i="27"/>
  <c r="K134" i="27"/>
  <c r="M134" i="27"/>
  <c r="N134" i="27"/>
  <c r="J135" i="27"/>
  <c r="K135" i="27"/>
  <c r="M135" i="27"/>
  <c r="N135" i="27"/>
  <c r="J136" i="27"/>
  <c r="K136" i="27"/>
  <c r="M136" i="27"/>
  <c r="N136" i="27"/>
  <c r="J137" i="27"/>
  <c r="K137" i="27"/>
  <c r="M137" i="27"/>
  <c r="N137" i="27"/>
  <c r="J138" i="27"/>
  <c r="K138" i="27"/>
  <c r="M138" i="27"/>
  <c r="N138" i="27"/>
  <c r="J139" i="27"/>
  <c r="K139" i="27"/>
  <c r="M139" i="27"/>
  <c r="N139" i="27"/>
  <c r="J140" i="27"/>
  <c r="K140" i="27"/>
  <c r="M140" i="27"/>
  <c r="N140" i="27"/>
  <c r="J141" i="27"/>
  <c r="K141" i="27"/>
  <c r="M141" i="27"/>
  <c r="N141" i="27"/>
  <c r="J142" i="27"/>
  <c r="K142" i="27"/>
  <c r="M142" i="27"/>
  <c r="N142" i="27"/>
  <c r="J143" i="27"/>
  <c r="K143" i="27"/>
  <c r="M143" i="27"/>
  <c r="N143" i="27"/>
  <c r="J144" i="27"/>
  <c r="K144" i="27"/>
  <c r="M144" i="27"/>
  <c r="N144" i="27"/>
  <c r="J145" i="27"/>
  <c r="K145" i="27"/>
  <c r="M145" i="27"/>
  <c r="N145" i="27"/>
  <c r="J146" i="27"/>
  <c r="K146" i="27"/>
  <c r="M146" i="27"/>
  <c r="N146" i="27"/>
  <c r="J147" i="27"/>
  <c r="K147" i="27"/>
  <c r="M147" i="27"/>
  <c r="N147" i="27"/>
  <c r="J148" i="27"/>
  <c r="K148" i="27"/>
  <c r="M148" i="27"/>
  <c r="N148" i="27"/>
  <c r="J149" i="27"/>
  <c r="K149" i="27"/>
  <c r="M149" i="27"/>
  <c r="N149" i="27"/>
  <c r="J150" i="27"/>
  <c r="K150" i="27"/>
  <c r="M150" i="27"/>
  <c r="N150" i="27"/>
  <c r="J151" i="27"/>
  <c r="K151" i="27"/>
  <c r="M151" i="27"/>
  <c r="N151" i="27"/>
  <c r="J152" i="27"/>
  <c r="K152" i="27"/>
  <c r="M152" i="27"/>
  <c r="N152" i="27"/>
  <c r="J153" i="27"/>
  <c r="K153" i="27"/>
  <c r="M153" i="27"/>
  <c r="N153" i="27"/>
  <c r="J154" i="27"/>
  <c r="K154" i="27"/>
  <c r="M154" i="27"/>
  <c r="N154" i="27"/>
  <c r="J155" i="27"/>
  <c r="K155" i="27"/>
  <c r="M155" i="27"/>
  <c r="N155" i="27"/>
  <c r="J156" i="27"/>
  <c r="K156" i="27"/>
  <c r="M156" i="27"/>
  <c r="N156" i="27"/>
  <c r="J157" i="27"/>
  <c r="K157" i="27"/>
  <c r="M157" i="27"/>
  <c r="N157" i="27"/>
  <c r="J158" i="27"/>
  <c r="M158" i="27"/>
  <c r="J159" i="27"/>
  <c r="M159" i="27"/>
  <c r="J160" i="27"/>
  <c r="M160" i="27"/>
  <c r="J161" i="27"/>
  <c r="M161" i="27"/>
  <c r="J162" i="27"/>
  <c r="M162" i="27"/>
  <c r="J163" i="27"/>
  <c r="M163" i="27"/>
  <c r="J164" i="27"/>
  <c r="M164" i="27"/>
  <c r="J165" i="27"/>
  <c r="M165" i="27"/>
  <c r="J166" i="27"/>
  <c r="M166" i="27"/>
  <c r="J167" i="27"/>
  <c r="M167" i="27"/>
  <c r="J168" i="27"/>
  <c r="M168" i="27"/>
  <c r="J169" i="27"/>
  <c r="M169" i="27"/>
  <c r="J170" i="27"/>
  <c r="M170" i="27"/>
  <c r="J171" i="27"/>
  <c r="M171" i="27"/>
  <c r="J172" i="27"/>
  <c r="M172" i="27"/>
  <c r="J173" i="27"/>
  <c r="M173" i="27"/>
  <c r="J174" i="27"/>
  <c r="M174" i="27"/>
  <c r="J175" i="27"/>
  <c r="M175" i="27"/>
  <c r="J176" i="27"/>
  <c r="M176" i="27"/>
  <c r="J177" i="27"/>
  <c r="M177" i="27"/>
  <c r="J178" i="27"/>
  <c r="M178" i="27"/>
  <c r="J179" i="27"/>
  <c r="M179" i="27"/>
  <c r="J180" i="27"/>
  <c r="M180" i="27"/>
  <c r="J181" i="27"/>
  <c r="M181" i="27"/>
  <c r="J182" i="27"/>
  <c r="K182" i="27"/>
  <c r="M182" i="27"/>
  <c r="N182" i="27"/>
  <c r="J183" i="27"/>
  <c r="K183" i="27"/>
  <c r="M183" i="27"/>
  <c r="N183" i="27"/>
  <c r="J184" i="27"/>
  <c r="K184" i="27"/>
  <c r="M184" i="27"/>
  <c r="N184" i="27"/>
  <c r="J185" i="27"/>
  <c r="K185" i="27"/>
  <c r="M185" i="27"/>
  <c r="N185" i="27"/>
  <c r="J186" i="27"/>
  <c r="K186" i="27"/>
  <c r="M186" i="27"/>
  <c r="N186" i="27"/>
  <c r="J187" i="27"/>
  <c r="K187" i="27"/>
  <c r="M187" i="27"/>
  <c r="N187" i="27"/>
  <c r="J188" i="27"/>
  <c r="K188" i="27"/>
  <c r="M188" i="27"/>
  <c r="N188" i="27"/>
  <c r="J189" i="27"/>
  <c r="K189" i="27"/>
  <c r="M189" i="27"/>
  <c r="N189" i="27"/>
  <c r="J190" i="27"/>
  <c r="K190" i="27"/>
  <c r="M190" i="27"/>
  <c r="N190" i="27"/>
  <c r="J191" i="27"/>
  <c r="K191" i="27"/>
  <c r="M191" i="27"/>
  <c r="N191" i="27"/>
  <c r="J192" i="27"/>
  <c r="K192" i="27"/>
  <c r="M192" i="27"/>
  <c r="N192" i="27"/>
  <c r="J193" i="27"/>
  <c r="K193" i="27"/>
  <c r="M193" i="27"/>
  <c r="N193" i="27"/>
  <c r="K194" i="27"/>
  <c r="N194" i="27"/>
  <c r="K195" i="27"/>
  <c r="N195" i="27"/>
  <c r="K196" i="27"/>
  <c r="N196" i="27"/>
  <c r="K197" i="27"/>
  <c r="N197" i="27"/>
  <c r="K198" i="27"/>
  <c r="N198" i="27"/>
  <c r="K199" i="27"/>
  <c r="N199" i="27"/>
  <c r="K200" i="27"/>
  <c r="N200" i="27"/>
  <c r="K201" i="27"/>
  <c r="N201" i="27"/>
  <c r="K202" i="27"/>
  <c r="N202" i="27"/>
  <c r="K203" i="27"/>
  <c r="N203" i="27"/>
  <c r="K204" i="27"/>
  <c r="N204" i="27"/>
  <c r="K205" i="27"/>
  <c r="N205" i="27"/>
  <c r="J206" i="27"/>
  <c r="K206" i="27"/>
  <c r="M206" i="27"/>
  <c r="N206" i="27"/>
  <c r="J207" i="27"/>
  <c r="K207" i="27"/>
  <c r="M207" i="27"/>
  <c r="N207" i="27"/>
  <c r="J208" i="27"/>
  <c r="K208" i="27"/>
  <c r="M208" i="27"/>
  <c r="N208" i="27"/>
  <c r="J209" i="27"/>
  <c r="K209" i="27"/>
  <c r="M209" i="27"/>
  <c r="N209" i="27"/>
  <c r="J210" i="27"/>
  <c r="K210" i="27"/>
  <c r="M210" i="27"/>
  <c r="N210" i="27"/>
  <c r="J211" i="27"/>
  <c r="K211" i="27"/>
  <c r="M211" i="27"/>
  <c r="N211" i="27"/>
  <c r="J212" i="27"/>
  <c r="K212" i="27"/>
  <c r="M212" i="27"/>
  <c r="N212" i="27"/>
  <c r="J213" i="27"/>
  <c r="K213" i="27"/>
  <c r="M213" i="27"/>
  <c r="N213" i="27"/>
  <c r="J214" i="27"/>
  <c r="K214" i="27"/>
  <c r="M214" i="27"/>
  <c r="N214" i="27"/>
  <c r="J215" i="27"/>
  <c r="K215" i="27"/>
  <c r="M215" i="27"/>
  <c r="N215" i="27"/>
  <c r="J216" i="27"/>
  <c r="K216" i="27"/>
  <c r="M216" i="27"/>
  <c r="N216" i="27"/>
  <c r="J217" i="27"/>
  <c r="K217" i="27"/>
  <c r="M217" i="27"/>
  <c r="N217" i="27"/>
  <c r="M218" i="27"/>
  <c r="N218" i="27"/>
  <c r="M219" i="27"/>
  <c r="N219" i="27"/>
  <c r="M220" i="27"/>
  <c r="N220" i="27"/>
  <c r="M221" i="27"/>
  <c r="N221" i="27"/>
  <c r="M222" i="27"/>
  <c r="N222" i="27"/>
  <c r="M223" i="27"/>
  <c r="N223" i="27"/>
  <c r="M224" i="27"/>
  <c r="N224" i="27"/>
  <c r="M225" i="27"/>
  <c r="N225" i="27"/>
  <c r="M226" i="27"/>
  <c r="N226" i="27"/>
  <c r="M227" i="27"/>
  <c r="N227" i="27"/>
  <c r="M228" i="27"/>
  <c r="N228" i="27"/>
  <c r="M229" i="27"/>
  <c r="N229" i="27"/>
  <c r="M230" i="27"/>
  <c r="N230" i="27"/>
  <c r="M231" i="27"/>
  <c r="N231" i="27"/>
  <c r="M232" i="27"/>
  <c r="N232" i="27"/>
  <c r="M233" i="27"/>
  <c r="N233" i="27"/>
  <c r="M234" i="27"/>
  <c r="N234" i="27"/>
  <c r="M235" i="27"/>
  <c r="N235" i="27"/>
  <c r="M236" i="27"/>
  <c r="N236" i="27"/>
  <c r="M237" i="27"/>
  <c r="N237" i="27"/>
  <c r="M238" i="27"/>
  <c r="N238" i="27"/>
  <c r="M239" i="27"/>
  <c r="N239" i="27"/>
  <c r="M240" i="27"/>
  <c r="N240" i="27"/>
  <c r="M241" i="27"/>
  <c r="N241" i="27"/>
  <c r="J242" i="27"/>
  <c r="M242" i="27"/>
  <c r="J243" i="27"/>
  <c r="M243" i="27"/>
  <c r="J244" i="27"/>
  <c r="M244" i="27"/>
  <c r="J245" i="27"/>
  <c r="M245" i="27"/>
  <c r="J246" i="27"/>
  <c r="M246" i="27"/>
  <c r="J247" i="27"/>
  <c r="M247" i="27"/>
  <c r="J248" i="27"/>
  <c r="M248" i="27"/>
  <c r="J249" i="27"/>
  <c r="M249" i="27"/>
  <c r="J250" i="27"/>
  <c r="M250" i="27"/>
  <c r="J251" i="27"/>
  <c r="M251" i="27"/>
  <c r="J252" i="27"/>
  <c r="M252" i="27"/>
  <c r="J253" i="27"/>
  <c r="M253" i="27"/>
  <c r="K254" i="27"/>
  <c r="N254" i="27"/>
  <c r="K255" i="27"/>
  <c r="N255" i="27"/>
  <c r="K256" i="27"/>
  <c r="N256" i="27"/>
  <c r="K257" i="27"/>
  <c r="N257" i="27"/>
  <c r="K258" i="27"/>
  <c r="N258" i="27"/>
  <c r="K259" i="27"/>
  <c r="N259" i="27"/>
  <c r="K260" i="27"/>
  <c r="N260" i="27"/>
  <c r="K261" i="27"/>
  <c r="N261" i="27"/>
  <c r="K262" i="27"/>
  <c r="N262" i="27"/>
  <c r="K263" i="27"/>
  <c r="N263" i="27"/>
  <c r="K264" i="27"/>
  <c r="N264" i="27"/>
  <c r="K265" i="27"/>
  <c r="N265" i="27"/>
  <c r="K266" i="27"/>
  <c r="N266" i="27"/>
  <c r="J267" i="27"/>
  <c r="M267" i="27"/>
  <c r="J268" i="27"/>
  <c r="M268" i="27"/>
  <c r="J269" i="27"/>
  <c r="M269" i="27"/>
  <c r="J270" i="27"/>
  <c r="M270" i="27"/>
  <c r="J271" i="27"/>
  <c r="M271" i="27"/>
  <c r="J272" i="27"/>
  <c r="M272" i="27"/>
  <c r="J273" i="27"/>
  <c r="M273" i="27"/>
  <c r="J274" i="27"/>
  <c r="M274" i="27"/>
  <c r="J275" i="27"/>
  <c r="M275" i="27"/>
  <c r="J276" i="27"/>
  <c r="M276" i="27"/>
  <c r="J277" i="27"/>
  <c r="M277" i="27"/>
  <c r="J278" i="27"/>
  <c r="M278" i="27"/>
  <c r="J279" i="27"/>
  <c r="M279" i="27"/>
  <c r="K280" i="27"/>
  <c r="N280" i="27"/>
  <c r="K281" i="27"/>
  <c r="N281" i="27"/>
  <c r="K282" i="27"/>
  <c r="N282" i="27"/>
  <c r="K283" i="27"/>
  <c r="N283" i="27"/>
  <c r="K284" i="27"/>
  <c r="N284" i="27"/>
  <c r="K285" i="27"/>
  <c r="N285" i="27"/>
  <c r="K286" i="27"/>
  <c r="N286" i="27"/>
  <c r="K287" i="27"/>
  <c r="N287" i="27"/>
  <c r="K288" i="27"/>
  <c r="N288" i="27"/>
  <c r="K289" i="27"/>
  <c r="N289" i="27"/>
  <c r="K290" i="27"/>
  <c r="N290" i="27"/>
  <c r="K291" i="27"/>
  <c r="N291" i="27"/>
  <c r="K292" i="27"/>
  <c r="N292" i="27"/>
  <c r="K293" i="27"/>
  <c r="N293" i="27"/>
  <c r="K294" i="27"/>
  <c r="N294" i="27"/>
  <c r="K295" i="27"/>
  <c r="N295" i="27"/>
  <c r="K296" i="27"/>
  <c r="N296" i="27"/>
  <c r="K297" i="27"/>
  <c r="N297" i="27"/>
  <c r="K298" i="27"/>
  <c r="N298" i="27"/>
  <c r="K299" i="27"/>
  <c r="N299" i="27"/>
  <c r="K300" i="27"/>
  <c r="N300" i="27"/>
  <c r="K301" i="27"/>
  <c r="N301" i="27"/>
  <c r="K302" i="27"/>
  <c r="N302" i="27"/>
  <c r="K303" i="27"/>
  <c r="N303" i="27"/>
  <c r="K304" i="27"/>
  <c r="N304" i="27"/>
  <c r="J305" i="27"/>
  <c r="M305" i="27"/>
  <c r="J306" i="27"/>
  <c r="M306" i="27"/>
  <c r="J307" i="27"/>
  <c r="M307" i="27"/>
  <c r="J308" i="27"/>
  <c r="M308" i="27"/>
  <c r="J309" i="27"/>
  <c r="M309" i="27"/>
  <c r="J310" i="27"/>
  <c r="M310" i="27"/>
  <c r="J311" i="27"/>
  <c r="M311" i="27"/>
  <c r="J312" i="27"/>
  <c r="M312" i="27"/>
  <c r="J313" i="27"/>
  <c r="M313" i="27"/>
  <c r="J314" i="27"/>
  <c r="M314" i="27"/>
  <c r="J315" i="27"/>
  <c r="M315" i="27"/>
  <c r="J316" i="27"/>
  <c r="M316" i="27"/>
  <c r="K317" i="27"/>
  <c r="N317" i="27"/>
  <c r="K318" i="27"/>
  <c r="N318" i="27"/>
  <c r="K319" i="27"/>
  <c r="N319" i="27"/>
  <c r="K320" i="27"/>
  <c r="N320" i="27"/>
  <c r="K321" i="27"/>
  <c r="N321" i="27"/>
  <c r="K322" i="27"/>
  <c r="N322" i="27"/>
  <c r="K323" i="27"/>
  <c r="N323" i="27"/>
  <c r="K324" i="27"/>
  <c r="N324" i="27"/>
  <c r="K325" i="27"/>
  <c r="N325" i="27"/>
  <c r="K326" i="27"/>
  <c r="N326" i="27"/>
  <c r="K327" i="27"/>
  <c r="N327" i="27"/>
  <c r="K328" i="27"/>
  <c r="N328" i="27"/>
  <c r="K329" i="27"/>
  <c r="N329" i="27"/>
  <c r="K330" i="27"/>
  <c r="N330" i="27"/>
  <c r="K331" i="27"/>
  <c r="N331" i="27"/>
  <c r="K332" i="27"/>
  <c r="N332" i="27"/>
  <c r="K333" i="27"/>
  <c r="N333" i="27"/>
  <c r="K334" i="27"/>
  <c r="N334" i="27"/>
  <c r="K335" i="27"/>
  <c r="N335" i="27"/>
  <c r="K336" i="27"/>
  <c r="N336" i="27"/>
  <c r="K337" i="27"/>
  <c r="N337" i="27"/>
  <c r="K338" i="27"/>
  <c r="N338" i="27"/>
  <c r="K339" i="27"/>
  <c r="N339" i="27"/>
  <c r="K340" i="27"/>
  <c r="N340" i="27"/>
  <c r="J341" i="27"/>
  <c r="M341" i="27"/>
  <c r="J342" i="27"/>
  <c r="M342" i="27"/>
  <c r="J343" i="27"/>
  <c r="M343" i="27"/>
  <c r="J344" i="27"/>
  <c r="M344" i="27"/>
  <c r="J345" i="27"/>
  <c r="M345" i="27"/>
  <c r="J346" i="27"/>
  <c r="M346" i="27"/>
  <c r="J347" i="27"/>
  <c r="M347" i="27"/>
  <c r="J348" i="27"/>
  <c r="M348" i="27"/>
  <c r="J349" i="27"/>
  <c r="M349" i="27"/>
  <c r="J350" i="27"/>
  <c r="M350" i="27"/>
  <c r="J351" i="27"/>
  <c r="M351" i="27"/>
  <c r="J352" i="27"/>
  <c r="M352" i="27"/>
  <c r="K353" i="27"/>
  <c r="N353" i="27"/>
  <c r="K354" i="27"/>
  <c r="N354" i="27"/>
  <c r="K355" i="27"/>
  <c r="N355" i="27"/>
  <c r="K356" i="27"/>
  <c r="N356" i="27"/>
  <c r="K357" i="27"/>
  <c r="N357" i="27"/>
  <c r="K358" i="27"/>
  <c r="N358" i="27"/>
  <c r="K359" i="27"/>
  <c r="N359" i="27"/>
  <c r="K360" i="27"/>
  <c r="N360" i="27"/>
  <c r="K361" i="27"/>
  <c r="N361" i="27"/>
  <c r="K362" i="27"/>
  <c r="N362" i="27"/>
  <c r="K363" i="27"/>
  <c r="N363" i="27"/>
  <c r="K364" i="27"/>
  <c r="N364" i="27"/>
  <c r="J365" i="27"/>
  <c r="K365" i="27"/>
  <c r="M365" i="27"/>
  <c r="N365" i="27"/>
  <c r="J366" i="27"/>
  <c r="K366" i="27"/>
  <c r="M366" i="27"/>
  <c r="N366" i="27"/>
  <c r="J367" i="27"/>
  <c r="K367" i="27"/>
  <c r="M367" i="27"/>
  <c r="N367" i="27"/>
  <c r="J368" i="27"/>
  <c r="K368" i="27"/>
  <c r="M368" i="27"/>
  <c r="N368" i="27"/>
  <c r="J369" i="27"/>
  <c r="K369" i="27"/>
  <c r="M369" i="27"/>
  <c r="N369" i="27"/>
  <c r="J370" i="27"/>
  <c r="K370" i="27"/>
  <c r="M370" i="27"/>
  <c r="N370" i="27"/>
  <c r="J371" i="27"/>
  <c r="K371" i="27"/>
  <c r="M371" i="27"/>
  <c r="N371" i="27"/>
  <c r="J372" i="27"/>
  <c r="K372" i="27"/>
  <c r="M372" i="27"/>
  <c r="N372" i="27"/>
  <c r="J373" i="27"/>
  <c r="K373" i="27"/>
  <c r="M373" i="27"/>
  <c r="N373" i="27"/>
  <c r="J374" i="27"/>
  <c r="K374" i="27"/>
  <c r="M374" i="27"/>
  <c r="N374" i="27"/>
  <c r="J375" i="27"/>
  <c r="K375" i="27"/>
  <c r="M375" i="27"/>
  <c r="N375" i="27"/>
  <c r="J376" i="27"/>
  <c r="K376" i="27"/>
  <c r="M376" i="27"/>
  <c r="N376" i="27"/>
  <c r="J377" i="27"/>
  <c r="K377" i="27"/>
  <c r="M377" i="27"/>
  <c r="N377" i="27"/>
  <c r="J378" i="27"/>
  <c r="K378" i="27"/>
  <c r="M378" i="27"/>
  <c r="N378" i="27"/>
  <c r="J379" i="27"/>
  <c r="K379" i="27"/>
  <c r="M379" i="27"/>
  <c r="N379" i="27"/>
  <c r="J380" i="27"/>
  <c r="K380" i="27"/>
  <c r="M380" i="27"/>
  <c r="N380" i="27"/>
  <c r="J381" i="27"/>
  <c r="K381" i="27"/>
  <c r="M381" i="27"/>
  <c r="N381" i="27"/>
  <c r="J382" i="27"/>
  <c r="K382" i="27"/>
  <c r="M382" i="27"/>
  <c r="N382" i="27"/>
  <c r="J383" i="27"/>
  <c r="K383" i="27"/>
  <c r="M383" i="27"/>
  <c r="N383" i="27"/>
  <c r="J384" i="27"/>
  <c r="K384" i="27"/>
  <c r="M384" i="27"/>
  <c r="N384" i="27"/>
  <c r="J385" i="27"/>
  <c r="K385" i="27"/>
  <c r="M385" i="27"/>
  <c r="N385" i="27"/>
  <c r="J386" i="27"/>
  <c r="K386" i="27"/>
  <c r="M386" i="27"/>
  <c r="N386" i="27"/>
  <c r="J387" i="27"/>
  <c r="K387" i="27"/>
  <c r="M387" i="27"/>
  <c r="N387" i="27"/>
  <c r="J388" i="27"/>
  <c r="K388" i="27"/>
  <c r="M388" i="27"/>
  <c r="N388" i="27"/>
  <c r="J389" i="27"/>
  <c r="K389" i="27"/>
  <c r="M389" i="27"/>
  <c r="N389" i="27"/>
  <c r="J390" i="27"/>
  <c r="K390" i="27"/>
  <c r="M390" i="27"/>
  <c r="N390" i="27"/>
  <c r="J391" i="27"/>
  <c r="K391" i="27"/>
  <c r="M391" i="27"/>
  <c r="N391" i="27"/>
  <c r="J392" i="27"/>
  <c r="K392" i="27"/>
  <c r="M392" i="27"/>
  <c r="N392" i="27"/>
  <c r="J393" i="27"/>
  <c r="K393" i="27"/>
  <c r="M393" i="27"/>
  <c r="N393" i="27"/>
  <c r="J394" i="27"/>
  <c r="K394" i="27"/>
  <c r="M394" i="27"/>
  <c r="N394" i="27"/>
  <c r="J395" i="27"/>
  <c r="K395" i="27"/>
  <c r="M395" i="27"/>
  <c r="N395" i="27"/>
  <c r="J396" i="27"/>
  <c r="K396" i="27"/>
  <c r="M396" i="27"/>
  <c r="N396" i="27"/>
  <c r="J397" i="27"/>
  <c r="K397" i="27"/>
  <c r="M397" i="27"/>
  <c r="N397" i="27"/>
  <c r="J398" i="27"/>
  <c r="K398" i="27"/>
  <c r="M398" i="27"/>
  <c r="N398" i="27"/>
  <c r="J399" i="27"/>
  <c r="K399" i="27"/>
  <c r="M399" i="27"/>
  <c r="N399" i="27"/>
  <c r="J400" i="27"/>
  <c r="K400" i="27"/>
  <c r="M400" i="27"/>
  <c r="N400" i="27"/>
  <c r="J401" i="27"/>
  <c r="K401" i="27"/>
  <c r="M401" i="27"/>
  <c r="N401" i="27"/>
  <c r="J402" i="27"/>
  <c r="K402" i="27"/>
  <c r="M402" i="27"/>
  <c r="N402" i="27"/>
  <c r="J403" i="27"/>
  <c r="K403" i="27"/>
  <c r="M403" i="27"/>
  <c r="N403" i="27"/>
  <c r="J404" i="27"/>
  <c r="K404" i="27"/>
  <c r="M404" i="27"/>
  <c r="N404" i="27"/>
  <c r="J405" i="27"/>
  <c r="K405" i="27"/>
  <c r="M405" i="27"/>
  <c r="N405" i="27"/>
  <c r="J406" i="27"/>
  <c r="K406" i="27"/>
  <c r="M406" i="27"/>
  <c r="N406" i="27"/>
  <c r="J407" i="27"/>
  <c r="K407" i="27"/>
  <c r="M407" i="27"/>
  <c r="N407" i="27"/>
  <c r="J408" i="27"/>
  <c r="K408" i="27"/>
  <c r="M408" i="27"/>
  <c r="N408" i="27"/>
  <c r="J409" i="27"/>
  <c r="K409" i="27"/>
  <c r="M409" i="27"/>
  <c r="N409" i="27"/>
  <c r="J410" i="27"/>
  <c r="K410" i="27"/>
  <c r="M410" i="27"/>
  <c r="N410" i="27"/>
  <c r="J411" i="27"/>
  <c r="K411" i="27"/>
  <c r="M411" i="27"/>
  <c r="N411" i="27"/>
  <c r="J412" i="27"/>
  <c r="K412" i="27"/>
  <c r="M412" i="27"/>
  <c r="N412" i="27"/>
  <c r="J413" i="27"/>
  <c r="K413" i="27"/>
  <c r="M413" i="27"/>
  <c r="N413" i="27"/>
  <c r="J414" i="27"/>
  <c r="K414" i="27"/>
  <c r="M414" i="27"/>
  <c r="N414" i="27"/>
  <c r="J415" i="27"/>
  <c r="K415" i="27"/>
  <c r="M415" i="27"/>
  <c r="N415" i="27"/>
  <c r="J416" i="27"/>
  <c r="K416" i="27"/>
  <c r="M416" i="27"/>
  <c r="N416" i="27"/>
  <c r="J417" i="27"/>
  <c r="K417" i="27"/>
  <c r="M417" i="27"/>
  <c r="N417" i="27"/>
  <c r="J418" i="27"/>
  <c r="K418" i="27"/>
  <c r="M418" i="27"/>
  <c r="N418" i="27"/>
  <c r="J419" i="27"/>
  <c r="K419" i="27"/>
  <c r="M419" i="27"/>
  <c r="N419" i="27"/>
  <c r="J420" i="27"/>
  <c r="K420" i="27"/>
  <c r="M420" i="27"/>
  <c r="N420" i="27"/>
  <c r="J421" i="27"/>
  <c r="K421" i="27"/>
  <c r="M421" i="27"/>
  <c r="N421" i="27"/>
  <c r="J422" i="27"/>
  <c r="K422" i="27"/>
  <c r="M422" i="27"/>
  <c r="N422" i="27"/>
  <c r="J423" i="27"/>
  <c r="K423" i="27"/>
  <c r="M423" i="27"/>
  <c r="N423" i="27"/>
  <c r="J424" i="27"/>
  <c r="K424" i="27"/>
  <c r="M424" i="27"/>
  <c r="N424" i="27"/>
  <c r="J425" i="27"/>
  <c r="K425" i="27"/>
  <c r="M425" i="27"/>
  <c r="N425" i="27"/>
  <c r="J426" i="27"/>
  <c r="K426" i="27"/>
  <c r="M426" i="27"/>
  <c r="N426" i="27"/>
  <c r="J427" i="27"/>
  <c r="K427" i="27"/>
  <c r="M427" i="27"/>
  <c r="N427" i="27"/>
  <c r="J428" i="27"/>
  <c r="K428" i="27"/>
  <c r="M428" i="27"/>
  <c r="N428" i="27"/>
  <c r="J429" i="27"/>
  <c r="K429" i="27"/>
  <c r="M429" i="27"/>
  <c r="N429" i="27"/>
  <c r="J430" i="27"/>
  <c r="K430" i="27"/>
  <c r="M430" i="27"/>
  <c r="N430" i="27"/>
  <c r="J431" i="27"/>
  <c r="K431" i="27"/>
  <c r="M431" i="27"/>
  <c r="N431" i="27"/>
  <c r="J432" i="27"/>
  <c r="K432" i="27"/>
  <c r="M432" i="27"/>
  <c r="N432" i="27"/>
  <c r="J433" i="27"/>
  <c r="K433" i="27"/>
  <c r="M433" i="27"/>
  <c r="N433" i="27"/>
  <c r="J434" i="27"/>
  <c r="K434" i="27"/>
  <c r="M434" i="27"/>
  <c r="N434" i="27"/>
  <c r="J435" i="27"/>
  <c r="K435" i="27"/>
  <c r="M435" i="27"/>
  <c r="N435" i="27"/>
  <c r="J436" i="27"/>
  <c r="K436" i="27"/>
  <c r="M436" i="27"/>
  <c r="N436" i="27"/>
  <c r="J437" i="27"/>
  <c r="K437" i="27"/>
  <c r="M437" i="27"/>
  <c r="N437" i="27"/>
  <c r="J438" i="27"/>
  <c r="K438" i="27"/>
  <c r="M438" i="27"/>
  <c r="N438" i="27"/>
  <c r="K439" i="27"/>
  <c r="N439" i="27"/>
  <c r="K440" i="27"/>
  <c r="N440" i="27"/>
  <c r="K441" i="27"/>
  <c r="N441" i="27"/>
  <c r="K442" i="27"/>
  <c r="N442" i="27"/>
  <c r="K443" i="27"/>
  <c r="N443" i="27"/>
  <c r="K444" i="27"/>
  <c r="N444" i="27"/>
  <c r="K445" i="27"/>
  <c r="N445" i="27"/>
  <c r="K446" i="27"/>
  <c r="N446" i="27"/>
  <c r="K447" i="27"/>
  <c r="N447" i="27"/>
  <c r="K448" i="27"/>
  <c r="N448" i="27"/>
  <c r="K449" i="27"/>
  <c r="N449" i="27"/>
  <c r="K450" i="27"/>
  <c r="N450" i="27"/>
  <c r="J451" i="27"/>
  <c r="K451" i="27"/>
  <c r="M451" i="27"/>
  <c r="N451" i="27"/>
  <c r="J452" i="27"/>
  <c r="K452" i="27"/>
  <c r="M452" i="27"/>
  <c r="N452" i="27"/>
  <c r="J453" i="27"/>
  <c r="K453" i="27"/>
  <c r="M453" i="27"/>
  <c r="N453" i="27"/>
  <c r="J454" i="27"/>
  <c r="K454" i="27"/>
  <c r="M454" i="27"/>
  <c r="N454" i="27"/>
  <c r="J455" i="27"/>
  <c r="K455" i="27"/>
  <c r="M455" i="27"/>
  <c r="N455" i="27"/>
  <c r="J456" i="27"/>
  <c r="K456" i="27"/>
  <c r="M456" i="27"/>
  <c r="N456" i="27"/>
  <c r="J457" i="27"/>
  <c r="K457" i="27"/>
  <c r="M457" i="27"/>
  <c r="N457" i="27"/>
  <c r="J458" i="27"/>
  <c r="K458" i="27"/>
  <c r="M458" i="27"/>
  <c r="N458" i="27"/>
  <c r="J459" i="27"/>
  <c r="K459" i="27"/>
  <c r="M459" i="27"/>
  <c r="N459" i="27"/>
  <c r="J460" i="27"/>
  <c r="K460" i="27"/>
  <c r="M460" i="27"/>
  <c r="N460" i="27"/>
  <c r="J461" i="27"/>
  <c r="K461" i="27"/>
  <c r="M461" i="27"/>
  <c r="N461" i="27"/>
  <c r="J462" i="27"/>
  <c r="K462" i="27"/>
  <c r="M462" i="27"/>
  <c r="N462" i="27"/>
  <c r="J463" i="27"/>
  <c r="K463" i="27"/>
  <c r="M463" i="27"/>
  <c r="N463" i="27"/>
  <c r="J464" i="27"/>
  <c r="K464" i="27"/>
  <c r="M464" i="27"/>
  <c r="N464" i="27"/>
  <c r="J465" i="27"/>
  <c r="K465" i="27"/>
  <c r="M465" i="27"/>
  <c r="N465" i="27"/>
  <c r="J466" i="27"/>
  <c r="K466" i="27"/>
  <c r="M466" i="27"/>
  <c r="N466" i="27"/>
  <c r="J467" i="27"/>
  <c r="K467" i="27"/>
  <c r="M467" i="27"/>
  <c r="N467" i="27"/>
  <c r="J468" i="27"/>
  <c r="K468" i="27"/>
  <c r="M468" i="27"/>
  <c r="N468" i="27"/>
  <c r="J469" i="27"/>
  <c r="K469" i="27"/>
  <c r="M469" i="27"/>
  <c r="N469" i="27"/>
  <c r="J470" i="27"/>
  <c r="K470" i="27"/>
  <c r="M470" i="27"/>
  <c r="N470" i="27"/>
  <c r="J471" i="27"/>
  <c r="K471" i="27"/>
  <c r="M471" i="27"/>
  <c r="N471" i="27"/>
  <c r="J472" i="27"/>
  <c r="K472" i="27"/>
  <c r="M472" i="27"/>
  <c r="N472" i="27"/>
  <c r="J473" i="27"/>
  <c r="K473" i="27"/>
  <c r="M473" i="27"/>
  <c r="N473" i="27"/>
  <c r="J474" i="27"/>
  <c r="K474" i="27"/>
  <c r="M474" i="27"/>
  <c r="N474" i="27"/>
  <c r="J475" i="27"/>
  <c r="K475" i="27"/>
  <c r="M475" i="27"/>
  <c r="N475" i="27"/>
  <c r="J476" i="27"/>
  <c r="K476" i="27"/>
  <c r="M476" i="27"/>
  <c r="N476" i="27"/>
  <c r="J477" i="27"/>
  <c r="K477" i="27"/>
  <c r="M477" i="27"/>
  <c r="N477" i="27"/>
  <c r="J478" i="27"/>
  <c r="K478" i="27"/>
  <c r="M478" i="27"/>
  <c r="N478" i="27"/>
  <c r="J479" i="27"/>
  <c r="K479" i="27"/>
  <c r="M479" i="27"/>
  <c r="N479" i="27"/>
  <c r="J480" i="27"/>
  <c r="K480" i="27"/>
  <c r="M480" i="27"/>
  <c r="N480" i="27"/>
  <c r="J481" i="27"/>
  <c r="K481" i="27"/>
  <c r="M481" i="27"/>
  <c r="N481" i="27"/>
  <c r="J482" i="27"/>
  <c r="K482" i="27"/>
  <c r="M482" i="27"/>
  <c r="N482" i="27"/>
  <c r="J483" i="27"/>
  <c r="K483" i="27"/>
  <c r="M483" i="27"/>
  <c r="N483" i="27"/>
  <c r="J484" i="27"/>
  <c r="K484" i="27"/>
  <c r="M484" i="27"/>
  <c r="N484" i="27"/>
  <c r="J485" i="27"/>
  <c r="K485" i="27"/>
  <c r="M485" i="27"/>
  <c r="N485" i="27"/>
  <c r="J486" i="27"/>
  <c r="K486" i="27"/>
  <c r="M486" i="27"/>
  <c r="N486" i="27"/>
  <c r="J487" i="27"/>
  <c r="K487" i="27"/>
  <c r="M487" i="27"/>
  <c r="N487" i="27"/>
  <c r="J488" i="27"/>
  <c r="K488" i="27"/>
  <c r="M488" i="27"/>
  <c r="N488" i="27"/>
  <c r="J489" i="27"/>
  <c r="K489" i="27"/>
  <c r="M489" i="27"/>
  <c r="N489" i="27"/>
  <c r="J490" i="27"/>
  <c r="K490" i="27"/>
  <c r="M490" i="27"/>
  <c r="N490" i="27"/>
  <c r="J491" i="27"/>
  <c r="K491" i="27"/>
  <c r="M491" i="27"/>
  <c r="N491" i="27"/>
  <c r="J492" i="27"/>
  <c r="K492" i="27"/>
  <c r="M492" i="27"/>
  <c r="N492" i="27"/>
  <c r="J493" i="27"/>
  <c r="K493" i="27"/>
  <c r="M493" i="27"/>
  <c r="N493" i="27"/>
  <c r="J494" i="27"/>
  <c r="K494" i="27"/>
  <c r="M494" i="27"/>
  <c r="N494" i="27"/>
  <c r="J495" i="27"/>
  <c r="K495" i="27"/>
  <c r="M495" i="27"/>
  <c r="N495" i="27"/>
  <c r="J496" i="27"/>
  <c r="K496" i="27"/>
  <c r="M496" i="27"/>
  <c r="N496" i="27"/>
  <c r="J497" i="27"/>
  <c r="K497" i="27"/>
  <c r="M497" i="27"/>
  <c r="N497" i="27"/>
  <c r="J498" i="27"/>
  <c r="K498" i="27"/>
  <c r="M498" i="27"/>
  <c r="N498" i="27"/>
  <c r="J499" i="27"/>
  <c r="K499" i="27"/>
  <c r="M499" i="27"/>
  <c r="N499" i="27"/>
  <c r="J500" i="27"/>
  <c r="K500" i="27"/>
  <c r="M500" i="27"/>
  <c r="N500" i="27"/>
  <c r="J501" i="27"/>
  <c r="K501" i="27"/>
  <c r="M501" i="27"/>
  <c r="N501" i="27"/>
  <c r="J502" i="27"/>
  <c r="K502" i="27"/>
  <c r="M502" i="27"/>
  <c r="N502" i="27"/>
  <c r="J503" i="27"/>
  <c r="K503" i="27"/>
  <c r="M503" i="27"/>
  <c r="N503" i="27"/>
  <c r="J504" i="27"/>
  <c r="K504" i="27"/>
  <c r="M504" i="27"/>
  <c r="N504" i="27"/>
  <c r="J505" i="27"/>
  <c r="K505" i="27"/>
  <c r="M505" i="27"/>
  <c r="N505" i="27"/>
  <c r="J506" i="27"/>
  <c r="K506" i="27"/>
  <c r="M506" i="27"/>
  <c r="N506" i="27"/>
  <c r="J507" i="27"/>
  <c r="K507" i="27"/>
  <c r="M507" i="27"/>
  <c r="N507" i="27"/>
  <c r="J508" i="27"/>
  <c r="K508" i="27"/>
  <c r="M508" i="27"/>
  <c r="N508" i="27"/>
  <c r="J509" i="27"/>
  <c r="K509" i="27"/>
  <c r="M509" i="27"/>
  <c r="N509" i="27"/>
  <c r="J510" i="27"/>
  <c r="K510" i="27"/>
  <c r="M510" i="27"/>
  <c r="N510" i="27"/>
  <c r="J511" i="27"/>
  <c r="K511" i="27"/>
  <c r="M511" i="27"/>
  <c r="N511" i="27"/>
  <c r="J512" i="27"/>
  <c r="K512" i="27"/>
  <c r="M512" i="27"/>
  <c r="N512" i="27"/>
  <c r="J513" i="27"/>
  <c r="K513" i="27"/>
  <c r="M513" i="27"/>
  <c r="N513" i="27"/>
  <c r="J514" i="27"/>
  <c r="K514" i="27"/>
  <c r="M514" i="27"/>
  <c r="N514" i="27"/>
  <c r="J515" i="27"/>
  <c r="K515" i="27"/>
  <c r="M515" i="27"/>
  <c r="N515" i="27"/>
  <c r="J516" i="27"/>
  <c r="K516" i="27"/>
  <c r="M516" i="27"/>
  <c r="N516" i="27"/>
  <c r="J517" i="27"/>
  <c r="K517" i="27"/>
  <c r="M517" i="27"/>
  <c r="N517" i="27"/>
  <c r="J518" i="27"/>
  <c r="K518" i="27"/>
  <c r="M518" i="27"/>
  <c r="N518" i="27"/>
  <c r="J519" i="27"/>
  <c r="K519" i="27"/>
  <c r="M519" i="27"/>
  <c r="N519" i="27"/>
  <c r="J520" i="27"/>
  <c r="K520" i="27"/>
  <c r="M520" i="27"/>
  <c r="N520" i="27"/>
  <c r="J521" i="27"/>
  <c r="K521" i="27"/>
  <c r="M521" i="27"/>
  <c r="N521" i="27"/>
  <c r="J522" i="27"/>
  <c r="K522" i="27"/>
  <c r="M522" i="27"/>
  <c r="N522" i="27"/>
  <c r="J523" i="27"/>
  <c r="K523" i="27"/>
  <c r="M523" i="27"/>
  <c r="N523" i="27"/>
  <c r="J524" i="27"/>
  <c r="K524" i="27"/>
  <c r="M524" i="27"/>
  <c r="N524" i="27"/>
  <c r="J525" i="27"/>
  <c r="K525" i="27"/>
  <c r="M525" i="27"/>
  <c r="N525" i="27"/>
  <c r="J526" i="27"/>
  <c r="K526" i="27"/>
  <c r="M526" i="27"/>
  <c r="N526" i="27"/>
  <c r="J527" i="27"/>
  <c r="K527" i="27"/>
  <c r="M527" i="27"/>
  <c r="N527" i="27"/>
  <c r="J528" i="27"/>
  <c r="K528" i="27"/>
  <c r="M528" i="27"/>
  <c r="N528" i="27"/>
  <c r="J529" i="27"/>
  <c r="K529" i="27"/>
  <c r="M529" i="27"/>
  <c r="N529" i="27"/>
  <c r="J530" i="27"/>
  <c r="K530" i="27"/>
  <c r="M530" i="27"/>
  <c r="N530" i="27"/>
  <c r="J531" i="27"/>
  <c r="K531" i="27"/>
  <c r="M531" i="27"/>
  <c r="N531" i="27"/>
  <c r="J532" i="27"/>
  <c r="K532" i="27"/>
  <c r="M532" i="27"/>
  <c r="N532" i="27"/>
  <c r="J533" i="27"/>
  <c r="K533" i="27"/>
  <c r="M533" i="27"/>
  <c r="N533" i="27"/>
  <c r="J534" i="27"/>
  <c r="K534" i="27"/>
  <c r="M534" i="27"/>
  <c r="N534" i="27"/>
  <c r="J535" i="27"/>
  <c r="K535" i="27"/>
  <c r="M535" i="27"/>
  <c r="N535" i="27"/>
  <c r="J536" i="27"/>
  <c r="K536" i="27"/>
  <c r="M536" i="27"/>
  <c r="N536" i="27"/>
  <c r="J537" i="27"/>
  <c r="K537" i="27"/>
  <c r="M537" i="27"/>
  <c r="N537" i="27"/>
  <c r="J538" i="27"/>
  <c r="K538" i="27"/>
  <c r="M538" i="27"/>
  <c r="N538" i="27"/>
  <c r="J539" i="27"/>
  <c r="K539" i="27"/>
  <c r="M539" i="27"/>
  <c r="N539" i="27"/>
  <c r="J540" i="27"/>
  <c r="K540" i="27"/>
  <c r="M540" i="27"/>
  <c r="N540" i="27"/>
  <c r="J541" i="27"/>
  <c r="K541" i="27"/>
  <c r="M541" i="27"/>
  <c r="N541" i="27"/>
  <c r="J542" i="27"/>
  <c r="K542" i="27"/>
  <c r="M542" i="27"/>
  <c r="N542" i="27"/>
  <c r="J543" i="27"/>
  <c r="K543" i="27"/>
  <c r="M543" i="27"/>
  <c r="N543" i="27"/>
  <c r="J544" i="27"/>
  <c r="K544" i="27"/>
  <c r="M544" i="27"/>
  <c r="N544" i="27"/>
  <c r="J545" i="27"/>
  <c r="K545" i="27"/>
  <c r="M545" i="27"/>
  <c r="N545" i="27"/>
  <c r="J546" i="27"/>
  <c r="K546" i="27"/>
  <c r="M546" i="27"/>
  <c r="N546" i="27"/>
  <c r="J547" i="27"/>
  <c r="K547" i="27"/>
  <c r="M547" i="27"/>
  <c r="N547" i="27"/>
  <c r="J548" i="27"/>
  <c r="K548" i="27"/>
  <c r="M548" i="27"/>
  <c r="N548" i="27"/>
  <c r="J549" i="27"/>
  <c r="K549" i="27"/>
  <c r="M549" i="27"/>
  <c r="N549" i="27"/>
  <c r="J550" i="27"/>
  <c r="K550" i="27"/>
  <c r="M550" i="27"/>
  <c r="N550" i="27"/>
  <c r="J551" i="27"/>
  <c r="K551" i="27"/>
  <c r="M551" i="27"/>
  <c r="N551" i="27"/>
  <c r="J552" i="27"/>
  <c r="K552" i="27"/>
  <c r="M552" i="27"/>
  <c r="N552" i="27"/>
  <c r="J553" i="27"/>
  <c r="K553" i="27"/>
  <c r="M553" i="27"/>
  <c r="N553" i="27"/>
  <c r="J554" i="27"/>
  <c r="K554" i="27"/>
  <c r="M554" i="27"/>
  <c r="N554" i="27"/>
  <c r="J555" i="27"/>
  <c r="K555" i="27"/>
  <c r="M555" i="27"/>
  <c r="N555" i="27"/>
  <c r="J556" i="27"/>
  <c r="K556" i="27"/>
  <c r="M556" i="27"/>
  <c r="N556" i="27"/>
  <c r="J557" i="27"/>
  <c r="K557" i="27"/>
  <c r="M557" i="27"/>
  <c r="N557" i="27"/>
  <c r="J558" i="27"/>
  <c r="K558" i="27"/>
  <c r="M558" i="27"/>
  <c r="N558" i="27"/>
  <c r="J559" i="27"/>
  <c r="K559" i="27"/>
  <c r="M559" i="27"/>
  <c r="N559" i="27"/>
  <c r="J560" i="27"/>
  <c r="K560" i="27"/>
  <c r="M560" i="27"/>
  <c r="N560" i="27"/>
  <c r="J561" i="27"/>
  <c r="K561" i="27"/>
  <c r="M561" i="27"/>
  <c r="N561" i="27"/>
  <c r="J562" i="27"/>
  <c r="K562" i="27"/>
  <c r="M562" i="27"/>
  <c r="N562" i="27"/>
  <c r="J563" i="27"/>
  <c r="K563" i="27"/>
  <c r="M563" i="27"/>
  <c r="N563" i="27"/>
  <c r="J564" i="27"/>
  <c r="K564" i="27"/>
  <c r="M564" i="27"/>
  <c r="N564" i="27"/>
  <c r="J565" i="27"/>
  <c r="K565" i="27"/>
  <c r="M565" i="27"/>
  <c r="N565" i="27"/>
  <c r="J566" i="27"/>
  <c r="K566" i="27"/>
  <c r="M566" i="27"/>
  <c r="N566" i="27"/>
  <c r="J567" i="27"/>
  <c r="K567" i="27"/>
  <c r="M567" i="27"/>
  <c r="N567" i="27"/>
  <c r="J568" i="27"/>
  <c r="K568" i="27"/>
  <c r="M568" i="27"/>
  <c r="N568" i="27"/>
  <c r="J569" i="27"/>
  <c r="K569" i="27"/>
  <c r="M569" i="27"/>
  <c r="N569" i="27"/>
  <c r="J570" i="27"/>
  <c r="K570" i="27"/>
  <c r="M570" i="27"/>
  <c r="N570" i="27"/>
  <c r="J571" i="27"/>
  <c r="K571" i="27"/>
  <c r="M571" i="27"/>
  <c r="N571" i="27"/>
  <c r="J572" i="27"/>
  <c r="K572" i="27"/>
  <c r="M572" i="27"/>
  <c r="N572" i="27"/>
  <c r="J573" i="27"/>
  <c r="K573" i="27"/>
  <c r="M573" i="27"/>
  <c r="N573" i="27"/>
  <c r="J574" i="27"/>
  <c r="K574" i="27"/>
  <c r="M574" i="27"/>
  <c r="N574" i="27"/>
  <c r="J575" i="27"/>
  <c r="K575" i="27"/>
  <c r="M575" i="27"/>
  <c r="N575" i="27"/>
  <c r="J576" i="27"/>
  <c r="K576" i="27"/>
  <c r="M576" i="27"/>
  <c r="N576" i="27"/>
  <c r="J577" i="27"/>
  <c r="K577" i="27"/>
  <c r="M577" i="27"/>
  <c r="N577" i="27"/>
  <c r="J578" i="27"/>
  <c r="K578" i="27"/>
  <c r="M578" i="27"/>
  <c r="N578" i="27"/>
  <c r="J579" i="27"/>
  <c r="K579" i="27"/>
  <c r="M579" i="27"/>
  <c r="N579" i="27"/>
  <c r="J580" i="27"/>
  <c r="K580" i="27"/>
  <c r="M580" i="27"/>
  <c r="N580" i="27"/>
  <c r="J581" i="27"/>
  <c r="K581" i="27"/>
  <c r="M581" i="27"/>
  <c r="N581" i="27"/>
  <c r="J582" i="27"/>
  <c r="K582" i="27"/>
  <c r="M582" i="27"/>
  <c r="N582" i="27"/>
  <c r="J583" i="27"/>
  <c r="K583" i="27"/>
  <c r="M583" i="27"/>
  <c r="N583" i="27"/>
  <c r="J584" i="27"/>
  <c r="K584" i="27"/>
  <c r="M584" i="27"/>
  <c r="N584" i="27"/>
  <c r="J585" i="27"/>
  <c r="K585" i="27"/>
  <c r="M585" i="27"/>
  <c r="N585" i="27"/>
  <c r="J586" i="27"/>
  <c r="K586" i="27"/>
  <c r="M586" i="27"/>
  <c r="N586" i="27"/>
  <c r="J587" i="27"/>
  <c r="K587" i="27"/>
  <c r="M587" i="27"/>
  <c r="N587" i="27"/>
  <c r="J588" i="27"/>
  <c r="K588" i="27"/>
  <c r="M588" i="27"/>
  <c r="N588" i="27"/>
  <c r="J589" i="27"/>
  <c r="K589" i="27"/>
  <c r="M589" i="27"/>
  <c r="N589" i="27"/>
  <c r="J590" i="27"/>
  <c r="K590" i="27"/>
  <c r="M590" i="27"/>
  <c r="N590" i="27"/>
  <c r="J591" i="27"/>
  <c r="K591" i="27"/>
  <c r="M591" i="27"/>
  <c r="N591" i="27"/>
  <c r="J592" i="27"/>
  <c r="K592" i="27"/>
  <c r="M592" i="27"/>
  <c r="N592" i="27"/>
  <c r="J593" i="27"/>
  <c r="K593" i="27"/>
  <c r="M593" i="27"/>
  <c r="N593" i="27"/>
  <c r="J594" i="27"/>
  <c r="K594" i="27"/>
  <c r="M594" i="27"/>
  <c r="N594" i="27"/>
  <c r="J595" i="27"/>
  <c r="K595" i="27"/>
  <c r="M595" i="27"/>
  <c r="N595" i="27"/>
  <c r="J596" i="27"/>
  <c r="K596" i="27"/>
  <c r="M596" i="27"/>
  <c r="N596" i="27"/>
  <c r="J597" i="27"/>
  <c r="K597" i="27"/>
  <c r="M597" i="27"/>
  <c r="N597" i="27"/>
  <c r="J598" i="27"/>
  <c r="K598" i="27"/>
  <c r="M598" i="27"/>
  <c r="N598" i="27"/>
  <c r="J599" i="27"/>
  <c r="K599" i="27"/>
  <c r="M599" i="27"/>
  <c r="N599" i="27"/>
  <c r="J600" i="27"/>
  <c r="K600" i="27"/>
  <c r="M600" i="27"/>
  <c r="N600" i="27"/>
  <c r="J601" i="27"/>
  <c r="K601" i="27"/>
  <c r="M601" i="27"/>
  <c r="N601" i="27"/>
  <c r="J602" i="27"/>
  <c r="K602" i="27"/>
  <c r="M602" i="27"/>
  <c r="N602" i="27"/>
  <c r="J603" i="27"/>
  <c r="K603" i="27"/>
  <c r="M603" i="27"/>
  <c r="N603" i="27"/>
  <c r="J604" i="27"/>
  <c r="K604" i="27"/>
  <c r="M604" i="27"/>
  <c r="N604" i="27"/>
  <c r="J605" i="27"/>
  <c r="K605" i="27"/>
  <c r="M605" i="27"/>
  <c r="N605" i="27"/>
  <c r="J606" i="27"/>
  <c r="K606" i="27"/>
  <c r="M606" i="27"/>
  <c r="N606" i="27"/>
  <c r="J607" i="27"/>
  <c r="K607" i="27"/>
  <c r="M607" i="27"/>
  <c r="N607" i="27"/>
  <c r="J608" i="27"/>
  <c r="K608" i="27"/>
  <c r="M608" i="27"/>
  <c r="N608" i="27"/>
  <c r="J609" i="27"/>
  <c r="K609" i="27"/>
  <c r="M609" i="27"/>
  <c r="N609" i="27"/>
  <c r="J610" i="27"/>
  <c r="K610" i="27"/>
  <c r="M610" i="27"/>
  <c r="N610" i="27"/>
  <c r="K611" i="27"/>
  <c r="N611" i="27"/>
  <c r="K612" i="27"/>
  <c r="N612" i="27"/>
  <c r="K613" i="27"/>
  <c r="N613" i="27"/>
  <c r="K614" i="27"/>
  <c r="N614" i="27"/>
  <c r="K615" i="27"/>
  <c r="N615" i="27"/>
  <c r="K616" i="27"/>
  <c r="N616" i="27"/>
  <c r="K617" i="27"/>
  <c r="N617" i="27"/>
  <c r="K618" i="27"/>
  <c r="N618" i="27"/>
  <c r="K619" i="27"/>
  <c r="N619" i="27"/>
  <c r="K620" i="27"/>
  <c r="N620" i="27"/>
  <c r="K621" i="27"/>
  <c r="N621" i="27"/>
  <c r="K622" i="27"/>
  <c r="N622" i="27"/>
  <c r="K623" i="27"/>
  <c r="N623" i="27"/>
  <c r="K624" i="27"/>
  <c r="N624" i="27"/>
  <c r="K625" i="27"/>
  <c r="N625" i="27"/>
  <c r="K626" i="27"/>
  <c r="N626" i="27"/>
  <c r="K627" i="27"/>
  <c r="N627" i="27"/>
  <c r="K628" i="27"/>
  <c r="N628" i="27"/>
  <c r="K629" i="27"/>
  <c r="N629" i="27"/>
  <c r="K630" i="27"/>
  <c r="N630" i="27"/>
  <c r="K631" i="27"/>
  <c r="N631" i="27"/>
  <c r="K632" i="27"/>
  <c r="N632" i="27"/>
  <c r="K633" i="27"/>
  <c r="N633" i="27"/>
  <c r="K634" i="27"/>
  <c r="N634" i="27"/>
  <c r="K635" i="27"/>
  <c r="N635" i="27"/>
  <c r="K636" i="27"/>
  <c r="N636" i="27"/>
  <c r="K637" i="27"/>
  <c r="N637" i="27"/>
  <c r="K638" i="27"/>
  <c r="N638" i="27"/>
  <c r="K639" i="27"/>
  <c r="N639" i="27"/>
  <c r="K640" i="27"/>
  <c r="N640" i="27"/>
  <c r="K641" i="27"/>
  <c r="N641" i="27"/>
  <c r="K642" i="27"/>
  <c r="N642" i="27"/>
  <c r="K643" i="27"/>
  <c r="N643" i="27"/>
  <c r="K644" i="27"/>
  <c r="N644" i="27"/>
  <c r="K645" i="27"/>
  <c r="N645" i="27"/>
  <c r="K646" i="27"/>
  <c r="N646" i="27"/>
  <c r="J647" i="27"/>
  <c r="M647" i="27"/>
  <c r="J648" i="27"/>
  <c r="M648" i="27"/>
  <c r="J649" i="27"/>
  <c r="M649" i="27"/>
  <c r="J650" i="27"/>
  <c r="M650" i="27"/>
  <c r="J651" i="27"/>
  <c r="M651" i="27"/>
  <c r="J652" i="27"/>
  <c r="M652" i="27"/>
  <c r="J653" i="27"/>
  <c r="M653" i="27"/>
  <c r="J654" i="27"/>
  <c r="M654" i="27"/>
  <c r="J655" i="27"/>
  <c r="M655" i="27"/>
  <c r="J656" i="27"/>
  <c r="M656" i="27"/>
  <c r="J657" i="27"/>
  <c r="M657" i="27"/>
  <c r="J658" i="27"/>
  <c r="M658" i="27"/>
  <c r="J659" i="27"/>
  <c r="M659" i="27"/>
  <c r="J660" i="27"/>
  <c r="M660" i="27"/>
  <c r="J661" i="27"/>
  <c r="M661" i="27"/>
  <c r="J662" i="27"/>
  <c r="M662" i="27"/>
  <c r="J663" i="27"/>
  <c r="M663" i="27"/>
  <c r="J664" i="27"/>
  <c r="M664" i="27"/>
  <c r="J665" i="27"/>
  <c r="M665" i="27"/>
  <c r="J666" i="27"/>
  <c r="M666" i="27"/>
  <c r="J667" i="27"/>
  <c r="M667" i="27"/>
  <c r="J668" i="27"/>
  <c r="M668" i="27"/>
  <c r="J669" i="27"/>
  <c r="M669" i="27"/>
  <c r="J670" i="27"/>
  <c r="M670" i="27"/>
  <c r="J671" i="27"/>
  <c r="M671" i="27"/>
  <c r="J672" i="27"/>
  <c r="M672" i="27"/>
  <c r="J673" i="27"/>
  <c r="M673" i="27"/>
  <c r="J674" i="27"/>
  <c r="M674" i="27"/>
  <c r="J675" i="27"/>
  <c r="M675" i="27"/>
  <c r="J676" i="27"/>
  <c r="M676" i="27"/>
  <c r="J677" i="27"/>
  <c r="M677" i="27"/>
  <c r="J678" i="27"/>
  <c r="M678" i="27"/>
  <c r="J679" i="27"/>
  <c r="M679" i="27"/>
  <c r="J680" i="27"/>
  <c r="M680" i="27"/>
  <c r="J681" i="27"/>
  <c r="M681" i="27"/>
  <c r="J682" i="27"/>
  <c r="M682" i="27"/>
  <c r="K683" i="27"/>
  <c r="N683" i="27"/>
  <c r="K684" i="27"/>
  <c r="N684" i="27"/>
  <c r="K685" i="27"/>
  <c r="N685" i="27"/>
  <c r="K686" i="27"/>
  <c r="N686" i="27"/>
  <c r="K687" i="27"/>
  <c r="N687" i="27"/>
  <c r="K688" i="27"/>
  <c r="N688" i="27"/>
  <c r="K689" i="27"/>
  <c r="N689" i="27"/>
  <c r="K690" i="27"/>
  <c r="N690" i="27"/>
  <c r="K691" i="27"/>
  <c r="N691" i="27"/>
  <c r="K692" i="27"/>
  <c r="N692" i="27"/>
  <c r="K693" i="27"/>
  <c r="N693" i="27"/>
  <c r="K694" i="27"/>
  <c r="N694" i="27"/>
  <c r="K695" i="27"/>
  <c r="N695" i="27"/>
  <c r="K696" i="27"/>
  <c r="N696" i="27"/>
  <c r="K697" i="27"/>
  <c r="N697" i="27"/>
  <c r="K698" i="27"/>
  <c r="N698" i="27"/>
  <c r="K699" i="27"/>
  <c r="N699" i="27"/>
  <c r="K700" i="27"/>
  <c r="N700" i="27"/>
  <c r="K701" i="27"/>
  <c r="N701" i="27"/>
  <c r="K702" i="27"/>
  <c r="N702" i="27"/>
  <c r="K703" i="27"/>
  <c r="N703" i="27"/>
  <c r="K704" i="27"/>
  <c r="N704" i="27"/>
  <c r="K705" i="27"/>
  <c r="N705" i="27"/>
  <c r="K706" i="27"/>
  <c r="N706" i="27"/>
  <c r="K707" i="27"/>
  <c r="N707" i="27"/>
  <c r="K708" i="27"/>
  <c r="N708" i="27"/>
  <c r="K709" i="27"/>
  <c r="N709" i="27"/>
  <c r="K710" i="27"/>
  <c r="N710" i="27"/>
  <c r="K711" i="27"/>
  <c r="N711" i="27"/>
  <c r="K712" i="27"/>
  <c r="N712" i="27"/>
  <c r="K713" i="27"/>
  <c r="N713" i="27"/>
  <c r="K714" i="27"/>
  <c r="N714" i="27"/>
  <c r="K715" i="27"/>
  <c r="N715" i="27"/>
  <c r="K716" i="27"/>
  <c r="N716" i="27"/>
  <c r="K717" i="27"/>
  <c r="N717" i="27"/>
  <c r="K718" i="27"/>
  <c r="N718" i="27"/>
  <c r="K719" i="27"/>
  <c r="N719" i="27"/>
  <c r="K720" i="27"/>
  <c r="N720" i="27"/>
  <c r="K721" i="27"/>
  <c r="N721" i="27"/>
  <c r="K722" i="27"/>
  <c r="N722" i="27"/>
  <c r="K723" i="27"/>
  <c r="N723" i="27"/>
  <c r="K724" i="27"/>
  <c r="N724" i="27"/>
  <c r="K725" i="27"/>
  <c r="N725" i="27"/>
  <c r="K726" i="27"/>
  <c r="N726" i="27"/>
  <c r="K727" i="27"/>
  <c r="N727" i="27"/>
  <c r="K728" i="27"/>
  <c r="N728" i="27"/>
  <c r="K729" i="27"/>
  <c r="N729" i="27"/>
  <c r="J730" i="27"/>
  <c r="M730" i="27"/>
  <c r="J731" i="27"/>
  <c r="M731" i="27"/>
  <c r="J732" i="27"/>
  <c r="M732" i="27"/>
  <c r="J733" i="27"/>
  <c r="M733" i="27"/>
  <c r="J734" i="27"/>
  <c r="M734" i="27"/>
  <c r="J735" i="27"/>
  <c r="M735" i="27"/>
  <c r="J736" i="27"/>
  <c r="M736" i="27"/>
  <c r="J737" i="27"/>
  <c r="M737" i="27"/>
  <c r="J738" i="27"/>
  <c r="M738" i="27"/>
  <c r="J739" i="27"/>
  <c r="M739" i="27"/>
  <c r="J740" i="27"/>
  <c r="M740" i="27"/>
  <c r="J741" i="27"/>
  <c r="M741" i="27"/>
  <c r="K742" i="27"/>
  <c r="N742" i="27"/>
  <c r="K743" i="27"/>
  <c r="N743" i="27"/>
  <c r="K744" i="27"/>
  <c r="N744" i="27"/>
  <c r="K745" i="27"/>
  <c r="N745" i="27"/>
  <c r="K746" i="27"/>
  <c r="N746" i="27"/>
  <c r="K747" i="27"/>
  <c r="N747" i="27"/>
  <c r="K748" i="27"/>
  <c r="N748" i="27"/>
  <c r="K749" i="27"/>
  <c r="N749" i="27"/>
  <c r="K750" i="27"/>
  <c r="N750" i="27"/>
  <c r="K751" i="27"/>
  <c r="N751" i="27"/>
  <c r="K752" i="27"/>
  <c r="N752" i="27"/>
  <c r="K753" i="27"/>
  <c r="N753" i="27"/>
  <c r="K754" i="27"/>
  <c r="N754" i="27"/>
  <c r="K755" i="27"/>
  <c r="N755" i="27"/>
  <c r="K756" i="27"/>
  <c r="N756" i="27"/>
  <c r="K757" i="27"/>
  <c r="N757" i="27"/>
  <c r="K758" i="27"/>
  <c r="N758" i="27"/>
  <c r="K759" i="27"/>
  <c r="N759" i="27"/>
  <c r="K760" i="27"/>
  <c r="N760" i="27"/>
  <c r="K761" i="27"/>
  <c r="N761" i="27"/>
  <c r="K762" i="27"/>
  <c r="N762" i="27"/>
  <c r="K763" i="27"/>
  <c r="N763" i="27"/>
  <c r="K764" i="27"/>
  <c r="N764" i="27"/>
  <c r="K765" i="27"/>
  <c r="N765" i="27"/>
  <c r="K766" i="27"/>
  <c r="N766" i="27"/>
  <c r="K767" i="27"/>
  <c r="N767" i="27"/>
  <c r="K768" i="27"/>
  <c r="N768" i="27"/>
  <c r="K769" i="27"/>
  <c r="N769" i="27"/>
  <c r="K770" i="27"/>
  <c r="N770" i="27"/>
  <c r="K771" i="27"/>
  <c r="N771" i="27"/>
  <c r="K772" i="27"/>
  <c r="N772" i="27"/>
  <c r="K773" i="27"/>
  <c r="N773" i="27"/>
  <c r="K774" i="27"/>
  <c r="N774" i="27"/>
  <c r="K775" i="27"/>
  <c r="N775" i="27"/>
  <c r="K776" i="27"/>
  <c r="N776" i="27"/>
  <c r="K777" i="27"/>
  <c r="N777" i="27"/>
  <c r="K778" i="27"/>
  <c r="N778" i="27"/>
  <c r="K779" i="27"/>
  <c r="N779" i="27"/>
  <c r="K780" i="27"/>
  <c r="N780" i="27"/>
  <c r="K781" i="27"/>
  <c r="N781" i="27"/>
  <c r="K782" i="27"/>
  <c r="N782" i="27"/>
  <c r="K783" i="27"/>
  <c r="N783" i="27"/>
  <c r="K784" i="27"/>
  <c r="N784" i="27"/>
  <c r="K785" i="27"/>
  <c r="N785" i="27"/>
  <c r="K786" i="27"/>
  <c r="N786" i="27"/>
  <c r="K787" i="27"/>
  <c r="N787" i="27"/>
  <c r="J788" i="27"/>
  <c r="M788" i="27"/>
  <c r="J789" i="27"/>
  <c r="M789" i="27"/>
  <c r="J790" i="27"/>
  <c r="M790" i="27"/>
  <c r="J791" i="27"/>
  <c r="M791" i="27"/>
  <c r="J792" i="27"/>
  <c r="M792" i="27"/>
  <c r="J793" i="27"/>
  <c r="M793" i="27"/>
  <c r="J794" i="27"/>
  <c r="M794" i="27"/>
  <c r="J795" i="27"/>
  <c r="M795" i="27"/>
  <c r="J796" i="27"/>
  <c r="M796" i="27"/>
  <c r="J797" i="27"/>
  <c r="M797" i="27"/>
  <c r="J798" i="27"/>
  <c r="M798" i="27"/>
  <c r="J799" i="27"/>
  <c r="M799" i="27"/>
  <c r="J800" i="27"/>
  <c r="M800" i="27"/>
  <c r="J801" i="27"/>
  <c r="M801" i="27"/>
  <c r="J802" i="27"/>
  <c r="M802" i="27"/>
  <c r="J803" i="27"/>
  <c r="M803" i="27"/>
  <c r="J804" i="27"/>
  <c r="M804" i="27"/>
  <c r="J805" i="27"/>
  <c r="M805" i="27"/>
  <c r="J806" i="27"/>
  <c r="M806" i="27"/>
  <c r="J807" i="27"/>
  <c r="M807" i="27"/>
  <c r="J808" i="27"/>
  <c r="M808" i="27"/>
  <c r="J809" i="27"/>
  <c r="M809" i="27"/>
  <c r="J810" i="27"/>
  <c r="M810" i="27"/>
  <c r="J811" i="27"/>
  <c r="M811" i="27"/>
  <c r="J812" i="27"/>
  <c r="M812" i="27"/>
  <c r="J813" i="27"/>
  <c r="M813" i="27"/>
  <c r="J814" i="27"/>
  <c r="M814" i="27"/>
  <c r="J815" i="27"/>
  <c r="M815" i="27"/>
  <c r="J816" i="27"/>
  <c r="M816" i="27"/>
  <c r="J817" i="27"/>
  <c r="M817" i="27"/>
  <c r="J818" i="27"/>
  <c r="M818" i="27"/>
  <c r="J819" i="27"/>
  <c r="M819" i="27"/>
  <c r="J820" i="27"/>
  <c r="M820" i="27"/>
  <c r="J821" i="27"/>
  <c r="M821" i="27"/>
  <c r="J822" i="27"/>
  <c r="M822" i="27"/>
  <c r="J823" i="27"/>
  <c r="M823" i="27"/>
  <c r="K824" i="27"/>
  <c r="N824" i="27"/>
  <c r="K825" i="27"/>
  <c r="N825" i="27"/>
  <c r="K826" i="27"/>
  <c r="N826" i="27"/>
  <c r="K827" i="27"/>
  <c r="N827" i="27"/>
  <c r="K828" i="27"/>
  <c r="N828" i="27"/>
  <c r="K829" i="27"/>
  <c r="N829" i="27"/>
  <c r="K830" i="27"/>
  <c r="N830" i="27"/>
  <c r="K831" i="27"/>
  <c r="N831" i="27"/>
  <c r="K832" i="27"/>
  <c r="N832" i="27"/>
  <c r="K833" i="27"/>
  <c r="N833" i="27"/>
  <c r="K834" i="27"/>
  <c r="N834" i="27"/>
  <c r="K835" i="27"/>
  <c r="N835" i="27"/>
  <c r="K836" i="27"/>
  <c r="N836" i="27"/>
  <c r="K837" i="27"/>
  <c r="N837" i="27"/>
  <c r="K838" i="27"/>
  <c r="N838" i="27"/>
  <c r="K839" i="27"/>
  <c r="N839" i="27"/>
  <c r="K840" i="27"/>
  <c r="N840" i="27"/>
  <c r="K841" i="27"/>
  <c r="N841" i="27"/>
  <c r="K842" i="27"/>
  <c r="N842" i="27"/>
  <c r="K843" i="27"/>
  <c r="N843" i="27"/>
  <c r="K844" i="27"/>
  <c r="N844" i="27"/>
  <c r="K845" i="27"/>
  <c r="N845" i="27"/>
  <c r="K846" i="27"/>
  <c r="N846" i="27"/>
  <c r="K847" i="27"/>
  <c r="N847" i="27"/>
  <c r="K848" i="27"/>
  <c r="N848" i="27"/>
  <c r="K849" i="27"/>
  <c r="N849" i="27"/>
  <c r="K850" i="27"/>
  <c r="N850" i="27"/>
  <c r="K851" i="27"/>
  <c r="N851" i="27"/>
  <c r="K852" i="27"/>
  <c r="N852" i="27"/>
  <c r="K853" i="27"/>
  <c r="N853" i="27"/>
  <c r="K854" i="27"/>
  <c r="N854" i="27"/>
  <c r="K855" i="27"/>
  <c r="N855" i="27"/>
  <c r="K856" i="27"/>
  <c r="N856" i="27"/>
  <c r="K857" i="27"/>
  <c r="N857" i="27"/>
  <c r="K858" i="27"/>
  <c r="N858" i="27"/>
  <c r="K859" i="27"/>
  <c r="N859" i="27"/>
  <c r="K860" i="27"/>
  <c r="N860" i="27"/>
  <c r="K861" i="27"/>
  <c r="N861" i="27"/>
  <c r="K862" i="27"/>
  <c r="N862" i="27"/>
  <c r="K863" i="27"/>
  <c r="N863" i="27"/>
  <c r="K864" i="27"/>
  <c r="N864" i="27"/>
  <c r="K865" i="27"/>
  <c r="N865" i="27"/>
  <c r="K866" i="27"/>
  <c r="N866" i="27"/>
  <c r="K867" i="27"/>
  <c r="N867" i="27"/>
  <c r="K868" i="27"/>
  <c r="N868" i="27"/>
  <c r="K869" i="27"/>
  <c r="N869" i="27"/>
  <c r="K870" i="27"/>
  <c r="N870" i="27"/>
  <c r="K871" i="27"/>
  <c r="N871" i="27"/>
  <c r="K872" i="27"/>
  <c r="N872" i="27"/>
  <c r="K873" i="27"/>
  <c r="N873" i="27"/>
  <c r="K874" i="27"/>
  <c r="N874" i="27"/>
  <c r="K875" i="27"/>
  <c r="N875" i="27"/>
  <c r="K876" i="27"/>
  <c r="N876" i="27"/>
  <c r="K877" i="27"/>
  <c r="N877" i="27"/>
  <c r="K878" i="27"/>
  <c r="N878" i="27"/>
  <c r="K879" i="27"/>
  <c r="N879" i="27"/>
  <c r="K880" i="27"/>
  <c r="N880" i="27"/>
  <c r="K881" i="27"/>
  <c r="N881" i="27"/>
  <c r="J882" i="27"/>
  <c r="M882" i="27"/>
  <c r="J883" i="27"/>
  <c r="M883" i="27"/>
  <c r="J884" i="27"/>
  <c r="M884" i="27"/>
  <c r="J885" i="27"/>
  <c r="M885" i="27"/>
  <c r="J886" i="27"/>
  <c r="M886" i="27"/>
  <c r="J887" i="27"/>
  <c r="M887" i="27"/>
  <c r="J888" i="27"/>
  <c r="M888" i="27"/>
  <c r="J889" i="27"/>
  <c r="M889" i="27"/>
  <c r="J890" i="27"/>
  <c r="M890" i="27"/>
  <c r="J891" i="27"/>
  <c r="M891" i="27"/>
  <c r="J892" i="27"/>
  <c r="M892" i="27"/>
  <c r="J893" i="27"/>
  <c r="M893" i="27"/>
  <c r="J894" i="27"/>
  <c r="M894" i="27"/>
  <c r="J895" i="27"/>
  <c r="M895" i="27"/>
  <c r="J896" i="27"/>
  <c r="M896" i="27"/>
  <c r="J897" i="27"/>
  <c r="M897" i="27"/>
  <c r="J898" i="27"/>
  <c r="M898" i="27"/>
  <c r="J899" i="27"/>
  <c r="M899" i="27"/>
  <c r="J900" i="27"/>
  <c r="M900" i="27"/>
  <c r="J901" i="27"/>
  <c r="M901" i="27"/>
  <c r="J902" i="27"/>
  <c r="M902" i="27"/>
  <c r="J903" i="27"/>
  <c r="M903" i="27"/>
  <c r="J904" i="27"/>
  <c r="M904" i="27"/>
  <c r="J905" i="27"/>
  <c r="M905" i="27"/>
  <c r="J906" i="27"/>
  <c r="M906" i="27"/>
  <c r="J907" i="27"/>
  <c r="M907" i="27"/>
  <c r="K908" i="27"/>
  <c r="N908" i="27"/>
  <c r="K909" i="27"/>
  <c r="N909" i="27"/>
  <c r="K910" i="27"/>
  <c r="N910" i="27"/>
  <c r="K911" i="27"/>
  <c r="N911" i="27"/>
  <c r="K912" i="27"/>
  <c r="N912" i="27"/>
  <c r="K913" i="27"/>
  <c r="N913" i="27"/>
  <c r="K914" i="27"/>
  <c r="N914" i="27"/>
  <c r="K915" i="27"/>
  <c r="N915" i="27"/>
  <c r="K916" i="27"/>
  <c r="N916" i="27"/>
  <c r="K917" i="27"/>
  <c r="N917" i="27"/>
  <c r="K918" i="27"/>
  <c r="N918" i="27"/>
  <c r="K919" i="27"/>
  <c r="N919" i="27"/>
  <c r="K920" i="27"/>
  <c r="N920" i="27"/>
  <c r="K921" i="27"/>
  <c r="N921" i="27"/>
  <c r="K922" i="27"/>
  <c r="N922" i="27"/>
  <c r="K923" i="27"/>
  <c r="N923" i="27"/>
  <c r="K924" i="27"/>
  <c r="N924" i="27"/>
  <c r="K925" i="27"/>
  <c r="N925" i="27"/>
  <c r="K926" i="27"/>
  <c r="N926" i="27"/>
  <c r="K927" i="27"/>
  <c r="N927" i="27"/>
  <c r="K928" i="27"/>
  <c r="N928" i="27"/>
  <c r="K929" i="27"/>
  <c r="N929" i="27"/>
  <c r="K930" i="27"/>
  <c r="N930" i="27"/>
  <c r="K931" i="27"/>
  <c r="N931" i="27"/>
  <c r="K932" i="27"/>
  <c r="N932" i="27"/>
  <c r="K933" i="27"/>
  <c r="N933" i="27"/>
  <c r="K934" i="27"/>
  <c r="N934" i="27"/>
  <c r="K935" i="27"/>
  <c r="N935" i="27"/>
  <c r="K936" i="27"/>
  <c r="N936" i="27"/>
  <c r="K937" i="27"/>
  <c r="N937" i="27"/>
  <c r="K938" i="27"/>
  <c r="N938" i="27"/>
  <c r="K939" i="27"/>
  <c r="N939" i="27"/>
  <c r="K940" i="27"/>
  <c r="N940" i="27"/>
  <c r="K941" i="27"/>
  <c r="N941" i="27"/>
  <c r="K942" i="27"/>
  <c r="N942" i="27"/>
  <c r="K943" i="27"/>
  <c r="N943" i="27"/>
  <c r="K944" i="27"/>
  <c r="N944" i="27"/>
  <c r="K945" i="27"/>
  <c r="N945" i="27"/>
  <c r="K946" i="27"/>
  <c r="N946" i="27"/>
  <c r="K947" i="27"/>
  <c r="N947" i="27"/>
  <c r="K948" i="27"/>
  <c r="N948" i="27"/>
  <c r="K949" i="27"/>
  <c r="N949" i="27"/>
  <c r="K950" i="27"/>
  <c r="N950" i="27"/>
  <c r="K951" i="27"/>
  <c r="N951" i="27"/>
  <c r="K952" i="27"/>
  <c r="N952" i="27"/>
  <c r="K953" i="27"/>
  <c r="N953" i="27"/>
  <c r="K954" i="27"/>
  <c r="N954" i="27"/>
  <c r="K955" i="27"/>
  <c r="N955" i="27"/>
  <c r="K956" i="27"/>
  <c r="N956" i="27"/>
  <c r="K957" i="27"/>
  <c r="N957" i="27"/>
  <c r="K958" i="27"/>
  <c r="N958" i="27"/>
  <c r="K959" i="27"/>
  <c r="N959" i="27"/>
  <c r="K960" i="27"/>
  <c r="N960" i="27"/>
  <c r="K961" i="27"/>
  <c r="N961" i="27"/>
  <c r="K962" i="27"/>
  <c r="N962" i="27"/>
  <c r="K963" i="27"/>
  <c r="N963" i="27"/>
  <c r="K964" i="27"/>
  <c r="N964" i="27"/>
  <c r="K965" i="27"/>
  <c r="N965" i="27"/>
  <c r="K966" i="27"/>
  <c r="N966" i="27"/>
  <c r="J967" i="27"/>
  <c r="M967" i="27"/>
  <c r="J968" i="27"/>
  <c r="M968" i="27"/>
  <c r="J969" i="27"/>
  <c r="M969" i="27"/>
  <c r="J970" i="27"/>
  <c r="M970" i="27"/>
  <c r="J971" i="27"/>
  <c r="M971" i="27"/>
  <c r="J972" i="27"/>
  <c r="M972" i="27"/>
  <c r="J973" i="27"/>
  <c r="M973" i="27"/>
  <c r="J974" i="27"/>
  <c r="M974" i="27"/>
  <c r="J975" i="27"/>
  <c r="M975" i="27"/>
  <c r="J976" i="27"/>
  <c r="M976" i="27"/>
  <c r="J977" i="27"/>
  <c r="M977" i="27"/>
  <c r="J978" i="27"/>
  <c r="M978" i="27"/>
  <c r="J979" i="27"/>
  <c r="M979" i="27"/>
  <c r="J980" i="27"/>
  <c r="M980" i="27"/>
  <c r="J981" i="27"/>
  <c r="M981" i="27"/>
  <c r="J982" i="27"/>
  <c r="M982" i="27"/>
  <c r="J983" i="27"/>
  <c r="M983" i="27"/>
  <c r="J984" i="27"/>
  <c r="M984" i="27"/>
  <c r="J985" i="27"/>
  <c r="M985" i="27"/>
  <c r="J986" i="27"/>
  <c r="M986" i="27"/>
  <c r="J987" i="27"/>
  <c r="M987" i="27"/>
  <c r="J988" i="27"/>
  <c r="M988" i="27"/>
  <c r="J989" i="27"/>
  <c r="M989" i="27"/>
  <c r="J990" i="27"/>
  <c r="M990" i="27"/>
  <c r="J991" i="27"/>
  <c r="M991" i="27"/>
  <c r="J992" i="27"/>
  <c r="M992" i="27"/>
  <c r="J993" i="27"/>
  <c r="M993" i="27"/>
  <c r="J994" i="27"/>
  <c r="M994" i="27"/>
  <c r="J995" i="27"/>
  <c r="M995" i="27"/>
  <c r="J996" i="27"/>
  <c r="M996" i="27"/>
  <c r="J997" i="27"/>
  <c r="M997" i="27"/>
  <c r="J998" i="27"/>
  <c r="M998" i="27"/>
  <c r="J999" i="27"/>
  <c r="M999" i="27"/>
  <c r="J1000" i="27"/>
  <c r="M1000" i="27"/>
  <c r="K1001" i="27"/>
  <c r="N1001" i="27"/>
  <c r="K1002" i="27"/>
  <c r="N1002" i="27"/>
  <c r="K1003" i="27"/>
  <c r="N1003" i="27"/>
  <c r="K1004" i="27"/>
  <c r="N1004" i="27"/>
  <c r="K1005" i="27"/>
  <c r="N1005" i="27"/>
  <c r="K1006" i="27"/>
  <c r="N1006" i="27"/>
  <c r="K1007" i="27"/>
  <c r="N1007" i="27"/>
  <c r="K1008" i="27"/>
  <c r="N1008" i="27"/>
  <c r="K1009" i="27"/>
  <c r="N1009" i="27"/>
  <c r="K1010" i="27"/>
  <c r="N1010" i="27"/>
  <c r="K1011" i="27"/>
  <c r="N1011" i="27"/>
  <c r="K1012" i="27"/>
  <c r="N1012" i="27"/>
  <c r="K1013" i="27"/>
  <c r="N1013" i="27"/>
  <c r="K1014" i="27"/>
  <c r="N1014" i="27"/>
  <c r="K1015" i="27"/>
  <c r="N1015" i="27"/>
  <c r="K1016" i="27"/>
  <c r="N1016" i="27"/>
  <c r="K1017" i="27"/>
  <c r="N1017" i="27"/>
  <c r="K1018" i="27"/>
  <c r="N1018" i="27"/>
  <c r="K1019" i="27"/>
  <c r="N1019" i="27"/>
  <c r="K1020" i="27"/>
  <c r="N1020" i="27"/>
  <c r="K1021" i="27"/>
  <c r="N1021" i="27"/>
  <c r="K1022" i="27"/>
  <c r="N1022" i="27"/>
  <c r="K1023" i="27"/>
  <c r="N1023" i="27"/>
  <c r="K1024" i="27"/>
  <c r="N1024" i="27"/>
  <c r="K1025" i="27"/>
  <c r="N1025" i="27"/>
  <c r="K1026" i="27"/>
  <c r="N1026" i="27"/>
  <c r="K1027" i="27"/>
  <c r="N1027" i="27"/>
  <c r="K1028" i="27"/>
  <c r="N1028" i="27"/>
  <c r="K1029" i="27"/>
  <c r="N1029" i="27"/>
  <c r="K1030" i="27"/>
  <c r="N1030" i="27"/>
  <c r="K1031" i="27"/>
  <c r="N1031" i="27"/>
  <c r="K1032" i="27"/>
  <c r="N1032" i="27"/>
  <c r="K1033" i="27"/>
  <c r="N1033" i="27"/>
  <c r="K1034" i="27"/>
  <c r="N1034" i="27"/>
  <c r="K1035" i="27"/>
  <c r="N1035" i="27"/>
  <c r="K1036" i="27"/>
  <c r="N1036" i="27"/>
  <c r="K1037" i="27"/>
  <c r="N1037" i="27"/>
  <c r="K1038" i="27"/>
  <c r="N1038" i="27"/>
  <c r="K1039" i="27"/>
  <c r="N1039" i="27"/>
  <c r="K1040" i="27"/>
  <c r="N1040" i="27"/>
  <c r="K1041" i="27"/>
  <c r="N1041" i="27"/>
  <c r="K1042" i="27"/>
  <c r="N1042" i="27"/>
  <c r="K1043" i="27"/>
  <c r="N1043" i="27"/>
  <c r="K1044" i="27"/>
  <c r="N1044" i="27"/>
  <c r="K1045" i="27"/>
  <c r="N1045" i="27"/>
  <c r="K1046" i="27"/>
  <c r="N1046" i="27"/>
  <c r="K1047" i="27"/>
  <c r="N1047" i="27"/>
  <c r="K1048" i="27"/>
  <c r="N1048" i="27"/>
  <c r="K1049" i="27"/>
  <c r="N1049" i="27"/>
  <c r="K1050" i="27"/>
  <c r="N1050" i="27"/>
  <c r="K1051" i="27"/>
  <c r="N1051" i="27"/>
  <c r="K1052" i="27"/>
  <c r="N1052" i="27"/>
  <c r="K1053" i="27"/>
  <c r="N1053" i="27"/>
  <c r="K1054" i="27"/>
  <c r="N1054" i="27"/>
  <c r="K1055" i="27"/>
  <c r="N1055" i="27"/>
  <c r="K1056" i="27"/>
  <c r="N1056" i="27"/>
  <c r="K1057" i="27"/>
  <c r="N1057" i="27"/>
  <c r="K1058" i="27"/>
  <c r="N1058" i="27"/>
  <c r="K1059" i="27"/>
  <c r="N1059" i="27"/>
  <c r="K1060" i="27"/>
  <c r="N1060" i="27"/>
  <c r="K1061" i="27"/>
  <c r="N1061" i="27"/>
  <c r="K1062" i="27"/>
  <c r="N1062" i="27"/>
  <c r="K1063" i="27"/>
  <c r="N1063" i="27"/>
  <c r="K1064" i="27"/>
  <c r="N1064" i="27"/>
  <c r="K1065" i="27"/>
  <c r="N1065" i="27"/>
  <c r="K1066" i="27"/>
  <c r="N1066" i="27"/>
  <c r="K1067" i="27"/>
  <c r="N1067" i="27"/>
  <c r="K1068" i="27"/>
  <c r="N1068" i="27"/>
  <c r="K1069" i="27"/>
  <c r="N1069" i="27"/>
  <c r="K1070" i="27"/>
  <c r="N1070" i="27"/>
  <c r="K1071" i="27"/>
  <c r="N1071" i="27"/>
  <c r="K1072" i="27"/>
  <c r="N1072" i="27"/>
  <c r="K1073" i="27"/>
  <c r="N1073" i="27"/>
  <c r="K1074" i="27"/>
  <c r="N1074" i="27"/>
  <c r="K1075" i="27"/>
  <c r="N1075" i="27"/>
  <c r="K1076" i="27"/>
  <c r="N1076" i="27"/>
  <c r="K1077" i="27"/>
  <c r="N1077" i="27"/>
  <c r="K1078" i="27"/>
  <c r="N1078" i="27"/>
  <c r="J1079" i="27"/>
  <c r="M1079" i="27"/>
  <c r="J1080" i="27"/>
  <c r="M1080" i="27"/>
  <c r="J1081" i="27"/>
  <c r="M1081" i="27"/>
  <c r="J1082" i="27"/>
  <c r="M1082" i="27"/>
  <c r="J1083" i="27"/>
  <c r="M1083" i="27"/>
  <c r="J1084" i="27"/>
  <c r="M1084" i="27"/>
  <c r="J1085" i="27"/>
  <c r="M1085" i="27"/>
  <c r="J1086" i="27"/>
  <c r="M1086" i="27"/>
  <c r="J1087" i="27"/>
  <c r="M1087" i="27"/>
  <c r="J1088" i="27"/>
  <c r="M1088" i="27"/>
  <c r="J1089" i="27"/>
  <c r="M1089" i="27"/>
  <c r="J1090" i="27"/>
  <c r="M1090" i="27"/>
  <c r="J1091" i="27"/>
  <c r="M1091" i="27"/>
  <c r="J1092" i="27"/>
  <c r="M1092" i="27"/>
  <c r="J1093" i="27"/>
  <c r="M1093" i="27"/>
  <c r="J1094" i="27"/>
  <c r="M1094" i="27"/>
  <c r="J1095" i="27"/>
  <c r="M1095" i="27"/>
  <c r="J1096" i="27"/>
  <c r="M1096" i="27"/>
  <c r="J1097" i="27"/>
  <c r="M1097" i="27"/>
  <c r="J1098" i="27"/>
  <c r="M1098" i="27"/>
  <c r="J1099" i="27"/>
  <c r="M1099" i="27"/>
  <c r="J1100" i="27"/>
  <c r="M1100" i="27"/>
  <c r="J1101" i="27"/>
  <c r="M1101" i="27"/>
  <c r="J1102" i="27"/>
  <c r="M1102" i="27"/>
  <c r="K1103" i="27"/>
  <c r="N1103" i="27"/>
  <c r="K1104" i="27"/>
  <c r="N1104" i="27"/>
  <c r="K1105" i="27"/>
  <c r="N1105" i="27"/>
  <c r="K1106" i="27"/>
  <c r="N1106" i="27"/>
  <c r="K1107" i="27"/>
  <c r="N1107" i="27"/>
  <c r="K1108" i="27"/>
  <c r="N1108" i="27"/>
  <c r="K1109" i="27"/>
  <c r="N1109" i="27"/>
  <c r="K1110" i="27"/>
  <c r="N1110" i="27"/>
  <c r="K1111" i="27"/>
  <c r="N1111" i="27"/>
  <c r="K1112" i="27"/>
  <c r="N1112" i="27"/>
  <c r="K1113" i="27"/>
  <c r="N1113" i="27"/>
  <c r="K1114" i="27"/>
  <c r="N1114" i="27"/>
  <c r="K1115" i="27"/>
  <c r="N1115" i="27"/>
  <c r="K1116" i="27"/>
  <c r="N1116" i="27"/>
  <c r="K1117" i="27"/>
  <c r="N1117" i="27"/>
  <c r="K1118" i="27"/>
  <c r="N1118" i="27"/>
  <c r="K1119" i="27"/>
  <c r="N1119" i="27"/>
  <c r="K1120" i="27"/>
  <c r="N1120" i="27"/>
  <c r="K1121" i="27"/>
  <c r="N1121" i="27"/>
  <c r="K1122" i="27"/>
  <c r="N1122" i="27"/>
  <c r="K1123" i="27"/>
  <c r="N1123" i="27"/>
  <c r="K1124" i="27"/>
  <c r="N1124" i="27"/>
  <c r="K1125" i="27"/>
  <c r="N1125" i="27"/>
  <c r="K1126" i="27"/>
  <c r="N1126" i="27"/>
  <c r="K1127" i="27"/>
  <c r="N1127" i="27"/>
  <c r="K1128" i="27"/>
  <c r="N1128" i="27"/>
  <c r="K1129" i="27"/>
  <c r="N1129" i="27"/>
  <c r="K1130" i="27"/>
  <c r="N1130" i="27"/>
  <c r="K1131" i="27"/>
  <c r="N1131" i="27"/>
  <c r="K1132" i="27"/>
  <c r="N1132" i="27"/>
  <c r="K1133" i="27"/>
  <c r="N1133" i="27"/>
  <c r="K1134" i="27"/>
  <c r="N1134" i="27"/>
  <c r="K1135" i="27"/>
  <c r="N1135" i="27"/>
  <c r="K1136" i="27"/>
  <c r="N1136" i="27"/>
  <c r="K1137" i="27"/>
  <c r="N1137" i="27"/>
  <c r="K1138" i="27"/>
  <c r="N1138" i="27"/>
  <c r="K1139" i="27"/>
  <c r="N1139" i="27"/>
  <c r="K1140" i="27"/>
  <c r="N1140" i="27"/>
  <c r="K1141" i="27"/>
  <c r="N1141" i="27"/>
  <c r="K1142" i="27"/>
  <c r="N1142" i="27"/>
  <c r="K1143" i="27"/>
  <c r="N1143" i="27"/>
  <c r="K1144" i="27"/>
  <c r="N1144" i="27"/>
  <c r="K1145" i="27"/>
  <c r="N1145" i="27"/>
  <c r="K1146" i="27"/>
  <c r="N1146" i="27"/>
  <c r="K1147" i="27"/>
  <c r="N1147" i="27"/>
  <c r="K1148" i="27"/>
  <c r="N1148" i="27"/>
  <c r="K1149" i="27"/>
  <c r="N1149" i="27"/>
  <c r="K1150" i="27"/>
  <c r="N1150" i="27"/>
  <c r="K1151" i="27"/>
  <c r="N1151" i="27"/>
  <c r="K1152" i="27"/>
  <c r="N1152" i="27"/>
  <c r="K1153" i="27"/>
  <c r="N1153" i="27"/>
  <c r="K1154" i="27"/>
  <c r="N1154" i="27"/>
  <c r="K1155" i="27"/>
  <c r="N1155" i="27"/>
  <c r="K1156" i="27"/>
  <c r="N1156" i="27"/>
  <c r="K1157" i="27"/>
  <c r="N1157" i="27"/>
  <c r="J1158" i="27"/>
  <c r="M1158" i="27"/>
  <c r="J1159" i="27"/>
  <c r="M1159" i="27"/>
  <c r="J1160" i="27"/>
  <c r="M1160" i="27"/>
  <c r="J1161" i="27"/>
  <c r="M1161" i="27"/>
  <c r="J1162" i="27"/>
  <c r="M1162" i="27"/>
  <c r="J1163" i="27"/>
  <c r="M1163" i="27"/>
  <c r="J1164" i="27"/>
  <c r="M1164" i="27"/>
  <c r="J1165" i="27"/>
  <c r="M1165" i="27"/>
  <c r="J1166" i="27"/>
  <c r="M1166" i="27"/>
  <c r="J1167" i="27"/>
  <c r="M1167" i="27"/>
  <c r="J1168" i="27"/>
  <c r="M1168" i="27"/>
  <c r="J1169" i="27"/>
  <c r="M1169" i="27"/>
  <c r="J1170" i="27"/>
  <c r="M1170" i="27"/>
  <c r="J1171" i="27"/>
  <c r="M1171" i="27"/>
  <c r="J1172" i="27"/>
  <c r="M1172" i="27"/>
  <c r="J1173" i="27"/>
  <c r="M1173" i="27"/>
  <c r="J1174" i="27"/>
  <c r="M1174" i="27"/>
  <c r="J1175" i="27"/>
  <c r="M1175" i="27"/>
  <c r="J1176" i="27"/>
  <c r="M1176" i="27"/>
  <c r="J1177" i="27"/>
  <c r="M1177" i="27"/>
  <c r="J1178" i="27"/>
  <c r="M1178" i="27"/>
  <c r="J1179" i="27"/>
  <c r="M1179" i="27"/>
  <c r="J1180" i="27"/>
  <c r="M1180" i="27"/>
  <c r="J1181" i="27"/>
  <c r="M1181" i="27"/>
  <c r="J1182" i="27"/>
  <c r="M1182" i="27"/>
  <c r="J1183" i="27"/>
  <c r="M1183" i="27"/>
  <c r="J1184" i="27"/>
  <c r="M1184" i="27"/>
  <c r="J1185" i="27"/>
  <c r="M1185" i="27"/>
  <c r="J1186" i="27"/>
  <c r="M1186" i="27"/>
  <c r="J1187" i="27"/>
  <c r="M1187" i="27"/>
  <c r="J1188" i="27"/>
  <c r="M1188" i="27"/>
  <c r="J1189" i="27"/>
  <c r="M1189" i="27"/>
  <c r="J1190" i="27"/>
  <c r="M1190" i="27"/>
  <c r="J1191" i="27"/>
  <c r="M1191" i="27"/>
  <c r="K1192" i="27"/>
  <c r="N1192" i="27"/>
  <c r="K1193" i="27"/>
  <c r="N1193" i="27"/>
  <c r="K1194" i="27"/>
  <c r="N1194" i="27"/>
  <c r="K1195" i="27"/>
  <c r="N1195" i="27"/>
  <c r="K1196" i="27"/>
  <c r="N1196" i="27"/>
  <c r="K1197" i="27"/>
  <c r="N1197" i="27"/>
  <c r="K1198" i="27"/>
  <c r="N1198" i="27"/>
  <c r="K1199" i="27"/>
  <c r="N1199" i="27"/>
  <c r="K1200" i="27"/>
  <c r="N1200" i="27"/>
  <c r="K1201" i="27"/>
  <c r="N1201" i="27"/>
  <c r="K1202" i="27"/>
  <c r="N1202" i="27"/>
  <c r="K1203" i="27"/>
  <c r="N1203" i="27"/>
  <c r="K1204" i="27"/>
  <c r="N1204" i="27"/>
  <c r="K1205" i="27"/>
  <c r="N1205" i="27"/>
  <c r="K1206" i="27"/>
  <c r="N1206" i="27"/>
  <c r="K1207" i="27"/>
  <c r="N1207" i="27"/>
  <c r="K1208" i="27"/>
  <c r="N1208" i="27"/>
  <c r="K1209" i="27"/>
  <c r="N1209" i="27"/>
  <c r="K1210" i="27"/>
  <c r="N1210" i="27"/>
  <c r="K1211" i="27"/>
  <c r="N1211" i="27"/>
  <c r="K1212" i="27"/>
  <c r="N1212" i="27"/>
  <c r="K1213" i="27"/>
  <c r="N1213" i="27"/>
  <c r="K1214" i="27"/>
  <c r="N1214" i="27"/>
  <c r="K1215" i="27"/>
  <c r="N1215" i="27"/>
  <c r="K1216" i="27"/>
  <c r="N1216" i="27"/>
  <c r="K1217" i="27"/>
  <c r="N1217" i="27"/>
  <c r="K1218" i="27"/>
  <c r="N1218" i="27"/>
  <c r="K1219" i="27"/>
  <c r="N1219" i="27"/>
  <c r="K1220" i="27"/>
  <c r="N1220" i="27"/>
  <c r="K1221" i="27"/>
  <c r="N1221" i="27"/>
  <c r="K1222" i="27"/>
  <c r="N1222" i="27"/>
  <c r="K1223" i="27"/>
  <c r="N1223" i="27"/>
  <c r="K1224" i="27"/>
  <c r="N1224" i="27"/>
  <c r="K1225" i="27"/>
  <c r="N1225" i="27"/>
  <c r="K1226" i="27"/>
  <c r="N1226" i="27"/>
  <c r="K1227" i="27"/>
  <c r="N1227" i="27"/>
  <c r="K1228" i="27"/>
  <c r="N1228" i="27"/>
  <c r="K1229" i="27"/>
  <c r="N1229" i="27"/>
  <c r="K1230" i="27"/>
  <c r="N1230" i="27"/>
  <c r="K1231" i="27"/>
  <c r="N1231" i="27"/>
  <c r="K1232" i="27"/>
  <c r="N1232" i="27"/>
  <c r="K1233" i="27"/>
  <c r="N1233" i="27"/>
  <c r="K1234" i="27"/>
  <c r="N1234" i="27"/>
  <c r="J1235" i="27"/>
  <c r="M1235" i="27"/>
  <c r="J1236" i="27"/>
  <c r="M1236" i="27"/>
  <c r="J1237" i="27"/>
  <c r="M1237" i="27"/>
  <c r="J1238" i="27"/>
  <c r="M1238" i="27"/>
  <c r="J1239" i="27"/>
  <c r="M1239" i="27"/>
  <c r="J1240" i="27"/>
  <c r="M1240" i="27"/>
  <c r="J1241" i="27"/>
  <c r="M1241" i="27"/>
  <c r="J1242" i="27"/>
  <c r="M1242" i="27"/>
  <c r="J1243" i="27"/>
  <c r="M1243" i="27"/>
  <c r="J1244" i="27"/>
  <c r="M1244" i="27"/>
  <c r="J1245" i="27"/>
  <c r="M1245" i="27"/>
  <c r="J1246" i="27"/>
  <c r="M1246" i="27"/>
  <c r="K1247" i="27"/>
  <c r="N1247" i="27"/>
  <c r="K1248" i="27"/>
  <c r="N1248" i="27"/>
  <c r="K1249" i="27"/>
  <c r="N1249" i="27"/>
  <c r="K1250" i="27"/>
  <c r="N1250" i="27"/>
  <c r="K1251" i="27"/>
  <c r="N1251" i="27"/>
  <c r="K1252" i="27"/>
  <c r="N1252" i="27"/>
  <c r="K1253" i="27"/>
  <c r="N1253" i="27"/>
  <c r="K1254" i="27"/>
  <c r="N1254" i="27"/>
  <c r="K1255" i="27"/>
  <c r="N1255" i="27"/>
  <c r="K1256" i="27"/>
  <c r="N1256" i="27"/>
  <c r="K1257" i="27"/>
  <c r="N1257" i="27"/>
  <c r="K1258" i="27"/>
  <c r="N1258" i="27"/>
  <c r="K1259" i="27"/>
  <c r="N1259" i="27"/>
  <c r="K1260" i="27"/>
  <c r="N1260" i="27"/>
  <c r="K1261" i="27"/>
  <c r="N1261" i="27"/>
  <c r="K1262" i="27"/>
  <c r="N1262" i="27"/>
  <c r="K1263" i="27"/>
  <c r="N1263" i="27"/>
  <c r="K1264" i="27"/>
  <c r="N1264" i="27"/>
  <c r="K1265" i="27"/>
  <c r="N1265" i="27"/>
  <c r="K1266" i="27"/>
  <c r="N1266" i="27"/>
  <c r="K1267" i="27"/>
  <c r="N1267" i="27"/>
  <c r="K1268" i="27"/>
  <c r="N1268" i="27"/>
  <c r="K1269" i="27"/>
  <c r="N1269" i="27"/>
  <c r="J1270" i="27"/>
  <c r="M1270" i="27"/>
  <c r="J1271" i="27"/>
  <c r="M1271" i="27"/>
  <c r="J1272" i="27"/>
  <c r="M1272" i="27"/>
  <c r="J1273" i="27"/>
  <c r="M1273" i="27"/>
  <c r="J1274" i="27"/>
  <c r="M1274" i="27"/>
  <c r="J1275" i="27"/>
  <c r="M1275" i="27"/>
  <c r="J1276" i="27"/>
  <c r="M1276" i="27"/>
  <c r="J1277" i="27"/>
  <c r="M1277" i="27"/>
  <c r="J1278" i="27"/>
  <c r="M1278" i="27"/>
  <c r="J1279" i="27"/>
  <c r="M1279" i="27"/>
  <c r="J1280" i="27"/>
  <c r="M1280" i="27"/>
  <c r="K1281" i="27"/>
  <c r="N1281" i="27"/>
  <c r="K1282" i="27"/>
  <c r="N1282" i="27"/>
  <c r="K1283" i="27"/>
  <c r="N1283" i="27"/>
  <c r="K1284" i="27"/>
  <c r="N1284" i="27"/>
  <c r="K1285" i="27"/>
  <c r="N1285" i="27"/>
  <c r="K1286" i="27"/>
  <c r="N1286" i="27"/>
  <c r="K1287" i="27"/>
  <c r="N1287" i="27"/>
  <c r="K1288" i="27"/>
  <c r="N1288" i="27"/>
  <c r="K1289" i="27"/>
  <c r="N1289" i="27"/>
  <c r="K1290" i="27"/>
  <c r="N1290" i="27"/>
  <c r="K1291" i="27"/>
  <c r="N1291" i="27"/>
  <c r="J1292" i="27"/>
  <c r="K1292" i="27"/>
  <c r="M1292" i="27"/>
  <c r="N1292" i="27"/>
  <c r="J1293" i="27"/>
  <c r="K1293" i="27"/>
  <c r="M1293" i="27"/>
  <c r="N1293" i="27"/>
  <c r="J1294" i="27"/>
  <c r="K1294" i="27"/>
  <c r="M1294" i="27"/>
  <c r="N1294" i="27"/>
  <c r="J1295" i="27"/>
  <c r="K1295" i="27"/>
  <c r="M1295" i="27"/>
  <c r="N1295" i="27"/>
  <c r="J1296" i="27"/>
  <c r="K1296" i="27"/>
  <c r="M1296" i="27"/>
  <c r="N1296" i="27"/>
  <c r="J1297" i="27"/>
  <c r="K1297" i="27"/>
  <c r="M1297" i="27"/>
  <c r="N1297" i="27"/>
  <c r="J1298" i="27"/>
  <c r="K1298" i="27"/>
  <c r="M1298" i="27"/>
  <c r="N1298" i="27"/>
  <c r="J1299" i="27"/>
  <c r="K1299" i="27"/>
  <c r="M1299" i="27"/>
  <c r="N1299" i="27"/>
  <c r="J1300" i="27"/>
  <c r="K1300" i="27"/>
  <c r="M1300" i="27"/>
  <c r="N1300" i="27"/>
  <c r="J1301" i="27"/>
  <c r="K1301" i="27"/>
  <c r="M1301" i="27"/>
  <c r="N1301" i="27"/>
  <c r="J1302" i="27"/>
  <c r="K1302" i="27"/>
  <c r="M1302" i="27"/>
  <c r="N1302" i="27"/>
  <c r="J1303" i="27"/>
  <c r="K1303" i="27"/>
  <c r="M1303" i="27"/>
  <c r="N1303" i="27"/>
  <c r="J1304" i="27"/>
  <c r="K1304" i="27"/>
  <c r="M1304" i="27"/>
  <c r="N1304" i="27"/>
  <c r="J1305" i="27"/>
  <c r="K1305" i="27"/>
  <c r="M1305" i="27"/>
  <c r="N1305" i="27"/>
  <c r="J1306" i="27"/>
  <c r="K1306" i="27"/>
  <c r="M1306" i="27"/>
  <c r="N1306" i="27"/>
  <c r="J1307" i="27"/>
  <c r="K1307" i="27"/>
  <c r="M1307" i="27"/>
  <c r="N1307" i="27"/>
  <c r="J1308" i="27"/>
  <c r="K1308" i="27"/>
  <c r="M1308" i="27"/>
  <c r="N1308" i="27"/>
  <c r="J1309" i="27"/>
  <c r="K1309" i="27"/>
  <c r="M1309" i="27"/>
  <c r="N1309" i="27"/>
  <c r="J1310" i="27"/>
  <c r="K1310" i="27"/>
  <c r="M1310" i="27"/>
  <c r="N1310" i="27"/>
  <c r="J1311" i="27"/>
  <c r="K1311" i="27"/>
  <c r="M1311" i="27"/>
  <c r="N1311" i="27"/>
  <c r="J1312" i="27"/>
  <c r="K1312" i="27"/>
  <c r="M1312" i="27"/>
  <c r="N1312" i="27"/>
  <c r="J1313" i="27"/>
  <c r="K1313" i="27"/>
  <c r="M1313" i="27"/>
  <c r="N1313" i="27"/>
  <c r="J1314" i="27"/>
  <c r="K1314" i="27"/>
  <c r="M1314" i="27"/>
  <c r="N1314" i="27"/>
  <c r="J1315" i="27"/>
  <c r="K1315" i="27"/>
  <c r="M1315" i="27"/>
  <c r="N1315" i="27"/>
  <c r="J1316" i="27"/>
  <c r="K1316" i="27"/>
  <c r="M1316" i="27"/>
  <c r="N1316" i="27"/>
  <c r="J1317" i="27"/>
  <c r="K1317" i="27"/>
  <c r="M1317" i="27"/>
  <c r="N1317" i="27"/>
  <c r="J1318" i="27"/>
  <c r="K1318" i="27"/>
  <c r="M1318" i="27"/>
  <c r="N1318" i="27"/>
  <c r="J1319" i="27"/>
  <c r="K1319" i="27"/>
  <c r="M1319" i="27"/>
  <c r="N1319" i="27"/>
  <c r="J1320" i="27"/>
  <c r="K1320" i="27"/>
  <c r="M1320" i="27"/>
  <c r="N1320" i="27"/>
  <c r="J1321" i="27"/>
  <c r="K1321" i="27"/>
  <c r="M1321" i="27"/>
  <c r="N1321" i="27"/>
  <c r="J1322" i="27"/>
  <c r="K1322" i="27"/>
  <c r="M1322" i="27"/>
  <c r="N1322" i="27"/>
  <c r="J1323" i="27"/>
  <c r="K1323" i="27"/>
  <c r="M1323" i="27"/>
  <c r="N1323" i="27"/>
  <c r="J1324" i="27"/>
  <c r="K1324" i="27"/>
  <c r="M1324" i="27"/>
  <c r="N1324" i="27"/>
  <c r="J1325" i="27"/>
  <c r="K1325" i="27"/>
  <c r="M1325" i="27"/>
  <c r="N1325" i="27"/>
  <c r="J1326" i="27"/>
  <c r="K1326" i="27"/>
  <c r="M1326" i="27"/>
  <c r="N1326" i="27"/>
  <c r="J1327" i="27"/>
  <c r="K1327" i="27"/>
  <c r="M1327" i="27"/>
  <c r="N1327" i="27"/>
  <c r="J1328" i="27"/>
  <c r="K1328" i="27"/>
  <c r="M1328" i="27"/>
  <c r="N1328" i="27"/>
  <c r="J1329" i="27"/>
  <c r="K1329" i="27"/>
  <c r="M1329" i="27"/>
  <c r="N1329" i="27"/>
  <c r="J1330" i="27"/>
  <c r="K1330" i="27"/>
  <c r="M1330" i="27"/>
  <c r="N1330" i="27"/>
  <c r="J1331" i="27"/>
  <c r="K1331" i="27"/>
  <c r="M1331" i="27"/>
  <c r="N1331" i="27"/>
  <c r="J1332" i="27"/>
  <c r="K1332" i="27"/>
  <c r="M1332" i="27"/>
  <c r="N1332" i="27"/>
  <c r="J1333" i="27"/>
  <c r="K1333" i="27"/>
  <c r="M1333" i="27"/>
  <c r="N1333" i="27"/>
  <c r="J1334" i="27"/>
  <c r="K1334" i="27"/>
  <c r="M1334" i="27"/>
  <c r="N1334" i="27"/>
  <c r="J1335" i="27"/>
  <c r="K1335" i="27"/>
  <c r="M1335" i="27"/>
  <c r="N1335" i="27"/>
  <c r="J1336" i="27"/>
  <c r="K1336" i="27"/>
  <c r="M1336" i="27"/>
  <c r="N1336" i="27"/>
  <c r="J1337" i="27"/>
  <c r="K1337" i="27"/>
  <c r="M1337" i="27"/>
  <c r="N1337" i="27"/>
  <c r="J1338" i="27"/>
  <c r="K1338" i="27"/>
  <c r="M1338" i="27"/>
  <c r="N1338" i="27"/>
  <c r="J1339" i="27"/>
  <c r="K1339" i="27"/>
  <c r="M1339" i="27"/>
  <c r="N1339" i="27"/>
  <c r="J1340" i="27"/>
  <c r="K1340" i="27"/>
  <c r="M1340" i="27"/>
  <c r="N1340" i="27"/>
  <c r="J1341" i="27"/>
  <c r="K1341" i="27"/>
  <c r="M1341" i="27"/>
  <c r="N1341" i="27"/>
  <c r="J1342" i="27"/>
  <c r="K1342" i="27"/>
  <c r="M1342" i="27"/>
  <c r="N1342" i="27"/>
  <c r="J1343" i="27"/>
  <c r="K1343" i="27"/>
  <c r="M1343" i="27"/>
  <c r="N1343" i="27"/>
  <c r="J1344" i="27"/>
  <c r="K1344" i="27"/>
  <c r="M1344" i="27"/>
  <c r="N1344" i="27"/>
  <c r="J1345" i="27"/>
  <c r="K1345" i="27"/>
  <c r="M1345" i="27"/>
  <c r="N1345" i="27"/>
  <c r="J1346" i="27"/>
  <c r="K1346" i="27"/>
  <c r="M1346" i="27"/>
  <c r="N1346" i="27"/>
  <c r="J1347" i="27"/>
  <c r="K1347" i="27"/>
  <c r="M1347" i="27"/>
  <c r="N1347" i="27"/>
  <c r="J1348" i="27"/>
  <c r="K1348" i="27"/>
  <c r="M1348" i="27"/>
  <c r="N1348" i="27"/>
  <c r="J1349" i="27"/>
  <c r="K1349" i="27"/>
  <c r="M1349" i="27"/>
  <c r="N1349" i="27"/>
  <c r="J1350" i="27"/>
  <c r="K1350" i="27"/>
  <c r="M1350" i="27"/>
  <c r="N1350" i="27"/>
  <c r="J1351" i="27"/>
  <c r="K1351" i="27"/>
  <c r="M1351" i="27"/>
  <c r="N1351" i="27"/>
  <c r="J1352" i="27"/>
  <c r="K1352" i="27"/>
  <c r="M1352" i="27"/>
  <c r="N1352" i="27"/>
  <c r="J1353" i="27"/>
  <c r="K1353" i="27"/>
  <c r="M1353" i="27"/>
  <c r="N1353" i="27"/>
  <c r="J1354" i="27"/>
  <c r="K1354" i="27"/>
  <c r="M1354" i="27"/>
  <c r="N1354" i="27"/>
  <c r="J1355" i="27"/>
  <c r="K1355" i="27"/>
  <c r="M1355" i="27"/>
  <c r="N1355" i="27"/>
  <c r="J1356" i="27"/>
  <c r="K1356" i="27"/>
  <c r="M1356" i="27"/>
  <c r="N1356" i="27"/>
  <c r="J1357" i="27"/>
  <c r="K1357" i="27"/>
  <c r="M1357" i="27"/>
  <c r="N1357" i="27"/>
  <c r="J1358" i="27"/>
  <c r="K1358" i="27"/>
  <c r="M1358" i="27"/>
  <c r="N1358" i="27"/>
  <c r="J1359" i="27"/>
  <c r="K1359" i="27"/>
  <c r="M1359" i="27"/>
  <c r="N1359" i="27"/>
  <c r="J1360" i="27"/>
  <c r="K1360" i="27"/>
  <c r="M1360" i="27"/>
  <c r="N1360" i="27"/>
  <c r="J1361" i="27"/>
  <c r="K1361" i="27"/>
  <c r="M1361" i="27"/>
  <c r="N1361" i="27"/>
  <c r="J1362" i="27"/>
  <c r="K1362" i="27"/>
  <c r="M1362" i="27"/>
  <c r="N1362" i="27"/>
  <c r="J1363" i="27"/>
  <c r="K1363" i="27"/>
  <c r="M1363" i="27"/>
  <c r="N1363" i="27"/>
  <c r="J1364" i="27"/>
  <c r="K1364" i="27"/>
  <c r="M1364" i="27"/>
  <c r="N1364" i="27"/>
  <c r="J1365" i="27"/>
  <c r="K1365" i="27"/>
  <c r="M1365" i="27"/>
  <c r="N1365" i="27"/>
  <c r="J1366" i="27"/>
  <c r="K1366" i="27"/>
  <c r="M1366" i="27"/>
  <c r="N1366" i="27"/>
  <c r="J1367" i="27"/>
  <c r="K1367" i="27"/>
  <c r="M1367" i="27"/>
  <c r="N1367" i="27"/>
  <c r="J1368" i="27"/>
  <c r="K1368" i="27"/>
  <c r="M1368" i="27"/>
  <c r="N1368" i="27"/>
  <c r="J1369" i="27"/>
  <c r="K1369" i="27"/>
  <c r="M1369" i="27"/>
  <c r="N1369" i="27"/>
  <c r="J1370" i="27"/>
  <c r="K1370" i="27"/>
  <c r="M1370" i="27"/>
  <c r="N1370" i="27"/>
  <c r="J1371" i="27"/>
  <c r="K1371" i="27"/>
  <c r="M1371" i="27"/>
  <c r="N1371" i="27"/>
  <c r="J1372" i="27"/>
  <c r="K1372" i="27"/>
  <c r="M1372" i="27"/>
  <c r="N1372" i="27"/>
  <c r="J1373" i="27"/>
  <c r="K1373" i="27"/>
  <c r="M1373" i="27"/>
  <c r="N1373" i="27"/>
  <c r="K1374" i="27"/>
  <c r="N1374" i="27"/>
  <c r="K1375" i="27"/>
  <c r="N1375" i="27"/>
  <c r="K1376" i="27"/>
  <c r="N1376" i="27"/>
  <c r="K1377" i="27"/>
  <c r="N1377" i="27"/>
  <c r="K1378" i="27"/>
  <c r="N1378" i="27"/>
  <c r="K1379" i="27"/>
  <c r="N1379" i="27"/>
  <c r="K1380" i="27"/>
  <c r="N1380" i="27"/>
  <c r="K1381" i="27"/>
  <c r="N1381" i="27"/>
  <c r="K1382" i="27"/>
  <c r="N1382" i="27"/>
  <c r="K1383" i="27"/>
  <c r="N1383" i="27"/>
  <c r="K1384" i="27"/>
  <c r="N1384" i="27"/>
  <c r="K1385" i="27"/>
  <c r="N1385" i="27"/>
  <c r="J1386" i="27"/>
  <c r="K1386" i="27"/>
  <c r="M1386" i="27"/>
  <c r="N1386" i="27"/>
  <c r="J1387" i="27"/>
  <c r="K1387" i="27"/>
  <c r="M1387" i="27"/>
  <c r="N1387" i="27"/>
  <c r="J1388" i="27"/>
  <c r="K1388" i="27"/>
  <c r="M1388" i="27"/>
  <c r="N1388" i="27"/>
  <c r="J1389" i="27"/>
  <c r="K1389" i="27"/>
  <c r="M1389" i="27"/>
  <c r="N1389" i="27"/>
  <c r="J1390" i="27"/>
  <c r="K1390" i="27"/>
  <c r="M1390" i="27"/>
  <c r="N1390" i="27"/>
  <c r="J1391" i="27"/>
  <c r="K1391" i="27"/>
  <c r="M1391" i="27"/>
  <c r="N1391" i="27"/>
  <c r="J1392" i="27"/>
  <c r="K1392" i="27"/>
  <c r="M1392" i="27"/>
  <c r="N1392" i="27"/>
  <c r="J1393" i="27"/>
  <c r="K1393" i="27"/>
  <c r="M1393" i="27"/>
  <c r="N1393" i="27"/>
  <c r="J1394" i="27"/>
  <c r="K1394" i="27"/>
  <c r="M1394" i="27"/>
  <c r="N1394" i="27"/>
  <c r="J1395" i="27"/>
  <c r="K1395" i="27"/>
  <c r="M1395" i="27"/>
  <c r="N1395" i="27"/>
  <c r="J1396" i="27"/>
  <c r="K1396" i="27"/>
  <c r="M1396" i="27"/>
  <c r="N1396" i="27"/>
  <c r="J1397" i="27"/>
  <c r="K1397" i="27"/>
  <c r="M1397" i="27"/>
  <c r="N1397" i="27"/>
  <c r="J1398" i="27"/>
  <c r="K1398" i="27"/>
  <c r="M1398" i="27"/>
  <c r="N1398" i="27"/>
  <c r="J1399" i="27"/>
  <c r="K1399" i="27"/>
  <c r="M1399" i="27"/>
  <c r="N1399" i="27"/>
  <c r="J1400" i="27"/>
  <c r="K1400" i="27"/>
  <c r="M1400" i="27"/>
  <c r="N1400" i="27"/>
  <c r="J1401" i="27"/>
  <c r="K1401" i="27"/>
  <c r="M1401" i="27"/>
  <c r="N1401" i="27"/>
  <c r="J1402" i="27"/>
  <c r="K1402" i="27"/>
  <c r="M1402" i="27"/>
  <c r="N1402" i="27"/>
  <c r="J1403" i="27"/>
  <c r="K1403" i="27"/>
  <c r="M1403" i="27"/>
  <c r="N1403" i="27"/>
  <c r="J1404" i="27"/>
  <c r="K1404" i="27"/>
  <c r="M1404" i="27"/>
  <c r="N1404" i="27"/>
  <c r="J1405" i="27"/>
  <c r="K1405" i="27"/>
  <c r="M1405" i="27"/>
  <c r="N1405" i="27"/>
  <c r="J1406" i="27"/>
  <c r="K1406" i="27"/>
  <c r="M1406" i="27"/>
  <c r="N1406" i="27"/>
  <c r="J1407" i="27"/>
  <c r="K1407" i="27"/>
  <c r="M1407" i="27"/>
  <c r="N1407" i="27"/>
  <c r="J1408" i="27"/>
  <c r="K1408" i="27"/>
  <c r="M1408" i="27"/>
  <c r="N1408" i="27"/>
  <c r="J1409" i="27"/>
  <c r="K1409" i="27"/>
  <c r="M1409" i="27"/>
  <c r="N1409" i="27"/>
  <c r="J1410" i="27"/>
  <c r="K1410" i="27"/>
  <c r="M1410" i="27"/>
  <c r="N1410" i="27"/>
  <c r="J1411" i="27"/>
  <c r="K1411" i="27"/>
  <c r="M1411" i="27"/>
  <c r="N1411" i="27"/>
  <c r="J1412" i="27"/>
  <c r="K1412" i="27"/>
  <c r="M1412" i="27"/>
  <c r="N1412" i="27"/>
  <c r="J1413" i="27"/>
  <c r="K1413" i="27"/>
  <c r="M1413" i="27"/>
  <c r="N1413" i="27"/>
  <c r="J1414" i="27"/>
  <c r="K1414" i="27"/>
  <c r="M1414" i="27"/>
  <c r="N1414" i="27"/>
  <c r="J1415" i="27"/>
  <c r="K1415" i="27"/>
  <c r="M1415" i="27"/>
  <c r="N1415" i="27"/>
  <c r="J1416" i="27"/>
  <c r="K1416" i="27"/>
  <c r="M1416" i="27"/>
  <c r="N1416" i="27"/>
  <c r="J1417" i="27"/>
  <c r="K1417" i="27"/>
  <c r="M1417" i="27"/>
  <c r="N1417" i="27"/>
  <c r="J1418" i="27"/>
  <c r="K1418" i="27"/>
  <c r="M1418" i="27"/>
  <c r="N1418" i="27"/>
  <c r="J1419" i="27"/>
  <c r="K1419" i="27"/>
  <c r="M1419" i="27"/>
  <c r="N1419" i="27"/>
  <c r="J1420" i="27"/>
  <c r="K1420" i="27"/>
  <c r="M1420" i="27"/>
  <c r="N1420" i="27"/>
  <c r="J1421" i="27"/>
  <c r="K1421" i="27"/>
  <c r="M1421" i="27"/>
  <c r="N1421" i="27"/>
  <c r="J1422" i="27"/>
  <c r="K1422" i="27"/>
  <c r="M1422" i="27"/>
  <c r="N1422" i="27"/>
  <c r="J1423" i="27"/>
  <c r="K1423" i="27"/>
  <c r="M1423" i="27"/>
  <c r="N1423" i="27"/>
  <c r="J1424" i="27"/>
  <c r="K1424" i="27"/>
  <c r="M1424" i="27"/>
  <c r="N1424" i="27"/>
  <c r="J1425" i="27"/>
  <c r="K1425" i="27"/>
  <c r="M1425" i="27"/>
  <c r="N1425" i="27"/>
  <c r="J1426" i="27"/>
  <c r="K1426" i="27"/>
  <c r="M1426" i="27"/>
  <c r="N1426" i="27"/>
  <c r="J1427" i="27"/>
  <c r="K1427" i="27"/>
  <c r="M1427" i="27"/>
  <c r="N1427" i="27"/>
  <c r="J1428" i="27"/>
  <c r="K1428" i="27"/>
  <c r="M1428" i="27"/>
  <c r="N1428" i="27"/>
  <c r="J1429" i="27"/>
  <c r="K1429" i="27"/>
  <c r="M1429" i="27"/>
  <c r="N1429" i="27"/>
  <c r="J1430" i="27"/>
  <c r="K1430" i="27"/>
  <c r="M1430" i="27"/>
  <c r="N1430" i="27"/>
  <c r="J1431" i="27"/>
  <c r="K1431" i="27"/>
  <c r="M1431" i="27"/>
  <c r="N1431" i="27"/>
  <c r="J1432" i="27"/>
  <c r="K1432" i="27"/>
  <c r="M1432" i="27"/>
  <c r="N1432" i="27"/>
  <c r="J1433" i="27"/>
  <c r="K1433" i="27"/>
  <c r="M1433" i="27"/>
  <c r="N1433" i="27"/>
  <c r="J1434" i="27"/>
  <c r="K1434" i="27"/>
  <c r="M1434" i="27"/>
  <c r="N1434" i="27"/>
  <c r="J1435" i="27"/>
  <c r="K1435" i="27"/>
  <c r="M1435" i="27"/>
  <c r="N1435" i="27"/>
  <c r="J1436" i="27"/>
  <c r="K1436" i="27"/>
  <c r="M1436" i="27"/>
  <c r="N1436" i="27"/>
  <c r="J1437" i="27"/>
  <c r="K1437" i="27"/>
  <c r="M1437" i="27"/>
  <c r="N1437" i="27"/>
  <c r="J1438" i="27"/>
  <c r="K1438" i="27"/>
  <c r="M1438" i="27"/>
  <c r="N1438" i="27"/>
  <c r="J1439" i="27"/>
  <c r="K1439" i="27"/>
  <c r="M1439" i="27"/>
  <c r="N1439" i="27"/>
  <c r="J1440" i="27"/>
  <c r="K1440" i="27"/>
  <c r="M1440" i="27"/>
  <c r="N1440" i="27"/>
  <c r="J1441" i="27"/>
  <c r="K1441" i="27"/>
  <c r="M1441" i="27"/>
  <c r="N1441" i="27"/>
  <c r="J1442" i="27"/>
  <c r="K1442" i="27"/>
  <c r="M1442" i="27"/>
  <c r="N1442" i="27"/>
  <c r="J1443" i="27"/>
  <c r="K1443" i="27"/>
  <c r="M1443" i="27"/>
  <c r="N1443" i="27"/>
  <c r="J1444" i="27"/>
  <c r="K1444" i="27"/>
  <c r="M1444" i="27"/>
  <c r="N1444" i="27"/>
  <c r="J1445" i="27"/>
  <c r="K1445" i="27"/>
  <c r="M1445" i="27"/>
  <c r="N1445" i="27"/>
  <c r="K1446" i="27"/>
  <c r="N1446" i="27"/>
  <c r="K1447" i="27"/>
  <c r="N1447" i="27"/>
  <c r="K1448" i="27"/>
  <c r="N1448" i="27"/>
  <c r="K1449" i="27"/>
  <c r="N1449" i="27"/>
  <c r="K1450" i="27"/>
  <c r="N1450" i="27"/>
  <c r="K1451" i="27"/>
  <c r="N1451" i="27"/>
  <c r="K1452" i="27"/>
  <c r="N1452" i="27"/>
  <c r="K1453" i="27"/>
  <c r="N1453" i="27"/>
  <c r="K1454" i="27"/>
  <c r="N1454" i="27"/>
  <c r="K1455" i="27"/>
  <c r="N1455" i="27"/>
  <c r="K1456" i="27"/>
  <c r="N1456" i="27"/>
  <c r="K1457" i="27"/>
  <c r="N1457" i="27"/>
  <c r="K1458" i="27"/>
  <c r="N1458" i="27"/>
  <c r="K1459" i="27"/>
  <c r="N1459" i="27"/>
  <c r="K1460" i="27"/>
  <c r="N1460" i="27"/>
  <c r="K1461" i="27"/>
  <c r="N1461" i="27"/>
  <c r="K1462" i="27"/>
  <c r="N1462" i="27"/>
  <c r="K1463" i="27"/>
  <c r="N1463" i="27"/>
  <c r="K1464" i="27"/>
  <c r="N1464" i="27"/>
  <c r="K1465" i="27"/>
  <c r="N1465" i="27"/>
  <c r="K1466" i="27"/>
  <c r="N1466" i="27"/>
  <c r="K1467" i="27"/>
  <c r="N1467" i="27"/>
  <c r="K1468" i="27"/>
  <c r="N1468" i="27"/>
  <c r="K1469" i="27"/>
  <c r="N1469" i="27"/>
  <c r="K1470" i="27"/>
  <c r="N1470" i="27"/>
  <c r="K1471" i="27"/>
  <c r="N1471" i="27"/>
  <c r="K1472" i="27"/>
  <c r="N1472" i="27"/>
  <c r="K1473" i="27"/>
  <c r="N1473" i="27"/>
  <c r="K1474" i="27"/>
  <c r="N1474" i="27"/>
  <c r="K1475" i="27"/>
  <c r="N1475" i="27"/>
  <c r="K1476" i="27"/>
  <c r="N1476" i="27"/>
  <c r="J1477" i="27"/>
  <c r="M1477" i="27"/>
  <c r="J1478" i="27"/>
  <c r="M1478" i="27"/>
  <c r="J1479" i="27"/>
  <c r="M1479" i="27"/>
  <c r="J1480" i="27"/>
  <c r="M1480" i="27"/>
  <c r="J1481" i="27"/>
  <c r="M1481" i="27"/>
  <c r="J1482" i="27"/>
  <c r="M1482" i="27"/>
  <c r="J1483" i="27"/>
  <c r="M1483" i="27"/>
  <c r="J1484" i="27"/>
  <c r="M1484" i="27"/>
  <c r="J1485" i="27"/>
  <c r="M1485" i="27"/>
  <c r="J1486" i="27"/>
  <c r="M1486" i="27"/>
  <c r="J1487" i="27"/>
  <c r="M1487" i="27"/>
  <c r="J1488" i="27"/>
  <c r="M1488" i="27"/>
  <c r="J1489" i="27"/>
  <c r="M1489" i="27"/>
  <c r="J1490" i="27"/>
  <c r="M1490" i="27"/>
  <c r="J1491" i="27"/>
  <c r="M1491" i="27"/>
  <c r="J1492" i="27"/>
  <c r="M1492" i="27"/>
  <c r="J1493" i="27"/>
  <c r="M1493" i="27"/>
  <c r="J1494" i="27"/>
  <c r="M1494" i="27"/>
  <c r="J1495" i="27"/>
  <c r="M1495" i="27"/>
  <c r="J1496" i="27"/>
  <c r="M1496" i="27"/>
  <c r="J1497" i="27"/>
  <c r="M1497" i="27"/>
  <c r="J1498" i="27"/>
  <c r="M1498" i="27"/>
  <c r="J1499" i="27"/>
  <c r="M1499" i="27"/>
  <c r="J1500" i="27"/>
  <c r="M1500" i="27"/>
  <c r="J1501" i="27"/>
  <c r="M1501" i="27"/>
  <c r="J1502" i="27"/>
  <c r="M1502" i="27"/>
  <c r="J1503" i="27"/>
  <c r="M1503" i="27"/>
  <c r="J1504" i="27"/>
  <c r="M1504" i="27"/>
  <c r="J1505" i="27"/>
  <c r="M1505" i="27"/>
  <c r="J1506" i="27"/>
  <c r="M1506" i="27"/>
  <c r="J1507" i="27"/>
  <c r="M1507" i="27"/>
  <c r="J1508" i="27"/>
  <c r="M1508" i="27"/>
  <c r="J1509" i="27"/>
  <c r="M1509" i="27"/>
  <c r="J1510" i="27"/>
  <c r="M1510" i="27"/>
  <c r="J1511" i="27"/>
  <c r="M1511" i="27"/>
  <c r="J1512" i="27"/>
  <c r="M1512" i="27"/>
  <c r="K1513" i="27"/>
  <c r="N1513" i="27"/>
  <c r="K1514" i="27"/>
  <c r="N1514" i="27"/>
  <c r="K1515" i="27"/>
  <c r="N1515" i="27"/>
  <c r="K1516" i="27"/>
  <c r="N1516" i="27"/>
  <c r="K1517" i="27"/>
  <c r="N1517" i="27"/>
  <c r="K1518" i="27"/>
  <c r="N1518" i="27"/>
  <c r="K1519" i="27"/>
  <c r="N1519" i="27"/>
  <c r="K1520" i="27"/>
  <c r="N1520" i="27"/>
  <c r="K1521" i="27"/>
  <c r="N1521" i="27"/>
  <c r="K1522" i="27"/>
  <c r="N1522" i="27"/>
  <c r="K1523" i="27"/>
  <c r="N1523" i="27"/>
  <c r="K1524" i="27"/>
  <c r="N1524" i="27"/>
  <c r="K1525" i="27"/>
  <c r="N1525" i="27"/>
  <c r="K1526" i="27"/>
  <c r="N1526" i="27"/>
  <c r="K1527" i="27"/>
  <c r="N1527" i="27"/>
  <c r="K1528" i="27"/>
  <c r="N1528" i="27"/>
  <c r="K1529" i="27"/>
  <c r="N1529" i="27"/>
  <c r="K1530" i="27"/>
  <c r="N1530" i="27"/>
  <c r="K1531" i="27"/>
  <c r="N1531" i="27"/>
  <c r="K1532" i="27"/>
  <c r="N1532" i="27"/>
  <c r="K1533" i="27"/>
  <c r="N1533" i="27"/>
  <c r="K1534" i="27"/>
  <c r="N1534" i="27"/>
  <c r="K1535" i="27"/>
  <c r="N1535" i="27"/>
  <c r="K1536" i="27"/>
  <c r="N1536" i="27"/>
  <c r="K1537" i="27"/>
  <c r="N1537" i="27"/>
  <c r="K1538" i="27"/>
  <c r="N1538" i="27"/>
  <c r="K1539" i="27"/>
  <c r="N1539" i="27"/>
  <c r="K1540" i="27"/>
  <c r="N1540" i="27"/>
  <c r="K1541" i="27"/>
  <c r="N1541" i="27"/>
  <c r="K1542" i="27"/>
  <c r="N1542" i="27"/>
  <c r="K1543" i="27"/>
  <c r="N1543" i="27"/>
  <c r="K1544" i="27"/>
  <c r="N1544" i="27"/>
  <c r="K1545" i="27"/>
  <c r="N1545" i="27"/>
  <c r="K1546" i="27"/>
  <c r="N1546" i="27"/>
  <c r="K1547" i="27"/>
  <c r="N1547" i="27"/>
  <c r="K1548" i="27"/>
  <c r="N1548" i="27"/>
  <c r="K1549" i="27"/>
  <c r="N1549" i="27"/>
  <c r="K1550" i="27"/>
  <c r="N1550" i="27"/>
  <c r="K1551" i="27"/>
  <c r="N1551" i="27"/>
  <c r="K1552" i="27"/>
  <c r="N1552" i="27"/>
  <c r="K1553" i="27"/>
  <c r="N1553" i="27"/>
  <c r="K1554" i="27"/>
  <c r="N1554" i="27"/>
  <c r="J1555" i="27"/>
  <c r="M1555" i="27"/>
  <c r="J1556" i="27"/>
  <c r="M1556" i="27"/>
  <c r="J1557" i="27"/>
  <c r="M1557" i="27"/>
  <c r="J1558" i="27"/>
  <c r="M1558" i="27"/>
  <c r="J1559" i="27"/>
  <c r="M1559" i="27"/>
  <c r="J1560" i="27"/>
  <c r="M1560" i="27"/>
  <c r="J1561" i="27"/>
  <c r="M1561" i="27"/>
  <c r="J1562" i="27"/>
  <c r="M1562" i="27"/>
  <c r="J1563" i="27"/>
  <c r="M1563" i="27"/>
  <c r="J1564" i="27"/>
  <c r="M1564" i="27"/>
  <c r="J1565" i="27"/>
  <c r="M1565" i="27"/>
  <c r="J1566" i="27"/>
  <c r="M1566" i="27"/>
  <c r="K1567" i="27"/>
  <c r="N1567" i="27"/>
  <c r="K1568" i="27"/>
  <c r="N1568" i="27"/>
  <c r="K1569" i="27"/>
  <c r="N1569" i="27"/>
  <c r="K1570" i="27"/>
  <c r="N1570" i="27"/>
  <c r="K1571" i="27"/>
  <c r="N1571" i="27"/>
  <c r="K1572" i="27"/>
  <c r="N1572" i="27"/>
  <c r="K1573" i="27"/>
  <c r="N1573" i="27"/>
  <c r="K1574" i="27"/>
  <c r="N1574" i="27"/>
  <c r="K1575" i="27"/>
  <c r="N1575" i="27"/>
  <c r="K1576" i="27"/>
  <c r="N1576" i="27"/>
  <c r="K1577" i="27"/>
  <c r="N1577" i="27"/>
  <c r="K1578" i="27"/>
  <c r="N1578" i="27"/>
  <c r="K1579" i="27"/>
  <c r="N1579" i="27"/>
  <c r="K1580" i="27"/>
  <c r="N1580" i="27"/>
  <c r="K1581" i="27"/>
  <c r="N1581" i="27"/>
  <c r="K1582" i="27"/>
  <c r="N1582" i="27"/>
  <c r="K1583" i="27"/>
  <c r="N1583" i="27"/>
  <c r="K1584" i="27"/>
  <c r="N1584" i="27"/>
  <c r="K1585" i="27"/>
  <c r="N1585" i="27"/>
  <c r="K1586" i="27"/>
  <c r="N1586" i="27"/>
  <c r="K1587" i="27"/>
  <c r="N1587" i="27"/>
  <c r="K1588" i="27"/>
  <c r="N1588" i="27"/>
  <c r="K1589" i="27"/>
  <c r="N1589" i="27"/>
  <c r="K1590" i="27"/>
  <c r="N1590" i="27"/>
  <c r="K1591" i="27"/>
  <c r="N1591" i="27"/>
  <c r="K1592" i="27"/>
  <c r="N1592" i="27"/>
  <c r="K1593" i="27"/>
  <c r="N1593" i="27"/>
  <c r="K1594" i="27"/>
  <c r="N1594" i="27"/>
  <c r="K1595" i="27"/>
  <c r="N1595" i="27"/>
  <c r="K1596" i="27"/>
  <c r="N1596" i="27"/>
  <c r="K1597" i="27"/>
  <c r="N1597" i="27"/>
  <c r="K1598" i="27"/>
  <c r="N1598" i="27"/>
  <c r="K1599" i="27"/>
  <c r="N1599" i="27"/>
  <c r="K1600" i="27"/>
  <c r="N1600" i="27"/>
  <c r="K1601" i="27"/>
  <c r="N1601" i="27"/>
  <c r="K1602" i="27"/>
  <c r="N1602" i="27"/>
  <c r="K1603" i="27"/>
  <c r="N1603" i="27"/>
  <c r="K1604" i="27"/>
  <c r="N1604" i="27"/>
  <c r="K1605" i="27"/>
  <c r="N1605" i="27"/>
  <c r="K1606" i="27"/>
  <c r="N1606" i="27"/>
  <c r="J1607" i="27"/>
  <c r="M1607" i="27"/>
  <c r="J1608" i="27"/>
  <c r="M1608" i="27"/>
  <c r="J1609" i="27"/>
  <c r="M1609" i="27"/>
  <c r="J1610" i="27"/>
  <c r="M1610" i="27"/>
  <c r="J1611" i="27"/>
  <c r="M1611" i="27"/>
  <c r="J1612" i="27"/>
  <c r="M1612" i="27"/>
  <c r="J1613" i="27"/>
  <c r="M1613" i="27"/>
  <c r="J1614" i="27"/>
  <c r="M1614" i="27"/>
  <c r="J1615" i="27"/>
  <c r="M1615" i="27"/>
  <c r="J1616" i="27"/>
  <c r="M1616" i="27"/>
  <c r="J1617" i="27"/>
  <c r="M1617" i="27"/>
  <c r="J1618" i="27"/>
  <c r="M1618" i="27"/>
  <c r="J1619" i="27"/>
  <c r="M1619" i="27"/>
  <c r="J1620" i="27"/>
  <c r="M1620" i="27"/>
  <c r="J1621" i="27"/>
  <c r="M1621" i="27"/>
  <c r="J1622" i="27"/>
  <c r="M1622" i="27"/>
  <c r="J1623" i="27"/>
  <c r="M1623" i="27"/>
  <c r="J1624" i="27"/>
  <c r="M1624" i="27"/>
  <c r="J1625" i="27"/>
  <c r="M1625" i="27"/>
  <c r="J1626" i="27"/>
  <c r="M1626" i="27"/>
  <c r="J1627" i="27"/>
  <c r="M1627" i="27"/>
  <c r="J1628" i="27"/>
  <c r="M1628" i="27"/>
  <c r="J1629" i="27"/>
  <c r="M1629" i="27"/>
  <c r="J1630" i="27"/>
  <c r="M1630" i="27"/>
  <c r="J1631" i="27"/>
  <c r="M1631" i="27"/>
  <c r="J1632" i="27"/>
  <c r="M1632" i="27"/>
  <c r="J1633" i="27"/>
  <c r="M1633" i="27"/>
  <c r="J1634" i="27"/>
  <c r="M1634" i="27"/>
  <c r="K1635" i="27"/>
  <c r="N1635" i="27"/>
  <c r="K1636" i="27"/>
  <c r="N1636" i="27"/>
  <c r="K1637" i="27"/>
  <c r="N1637" i="27"/>
  <c r="K1638" i="27"/>
  <c r="N1638" i="27"/>
  <c r="K1639" i="27"/>
  <c r="N1639" i="27"/>
  <c r="K1640" i="27"/>
  <c r="N1640" i="27"/>
  <c r="K1641" i="27"/>
  <c r="N1641" i="27"/>
  <c r="K1642" i="27"/>
  <c r="N1642" i="27"/>
  <c r="K1643" i="27"/>
  <c r="N1643" i="27"/>
  <c r="K1644" i="27"/>
  <c r="N1644" i="27"/>
  <c r="K1645" i="27"/>
  <c r="N1645" i="27"/>
  <c r="K1646" i="27"/>
  <c r="N1646" i="27"/>
  <c r="K1647" i="27"/>
  <c r="N1647" i="27"/>
  <c r="K1648" i="27"/>
  <c r="N1648" i="27"/>
  <c r="K1649" i="27"/>
  <c r="N1649" i="27"/>
  <c r="K1650" i="27"/>
  <c r="N1650" i="27"/>
  <c r="K1651" i="27"/>
  <c r="N1651" i="27"/>
  <c r="K1652" i="27"/>
  <c r="N1652" i="27"/>
  <c r="K1653" i="27"/>
  <c r="N1653" i="27"/>
  <c r="K1654" i="27"/>
  <c r="N1654" i="27"/>
  <c r="K1655" i="27"/>
  <c r="N1655" i="27"/>
  <c r="K1656" i="27"/>
  <c r="N1656" i="27"/>
  <c r="K1657" i="27"/>
  <c r="N1657" i="27"/>
  <c r="K1658" i="27"/>
  <c r="N1658" i="27"/>
  <c r="K1659" i="27"/>
  <c r="N1659" i="27"/>
  <c r="K1660" i="27"/>
  <c r="N1660" i="27"/>
  <c r="K1661" i="27"/>
  <c r="N1661" i="27"/>
  <c r="K1662" i="27"/>
  <c r="N1662" i="27"/>
  <c r="K1663" i="27"/>
  <c r="N1663" i="27"/>
  <c r="K1664" i="27"/>
  <c r="N1664" i="27"/>
  <c r="K1665" i="27"/>
  <c r="N1665" i="27"/>
  <c r="K1666" i="27"/>
  <c r="N1666" i="27"/>
  <c r="K1667" i="27"/>
  <c r="N1667" i="27"/>
  <c r="K1668" i="27"/>
  <c r="N1668" i="27"/>
  <c r="K1669" i="27"/>
  <c r="N1669" i="27"/>
  <c r="K1670" i="27"/>
  <c r="N1670" i="27"/>
  <c r="K1671" i="27"/>
  <c r="N1671" i="27"/>
  <c r="K1672" i="27"/>
  <c r="N1672" i="27"/>
  <c r="K1673" i="27"/>
  <c r="N1673" i="27"/>
  <c r="K1674" i="27"/>
  <c r="N1674" i="27"/>
  <c r="K1675" i="27"/>
  <c r="N1675" i="27"/>
  <c r="K1676" i="27"/>
  <c r="N1676" i="27"/>
  <c r="K1677" i="27"/>
  <c r="N1677" i="27"/>
  <c r="K1678" i="27"/>
  <c r="N1678" i="27"/>
  <c r="K1679" i="27"/>
  <c r="N1679" i="27"/>
  <c r="K1680" i="27"/>
  <c r="N1680" i="27"/>
  <c r="K1681" i="27"/>
  <c r="N1681" i="27"/>
  <c r="K1682" i="27"/>
  <c r="N1682" i="27"/>
  <c r="K1683" i="27"/>
  <c r="N1683" i="27"/>
  <c r="K1684" i="27"/>
  <c r="N1684" i="27"/>
  <c r="K1685" i="27"/>
  <c r="N1685" i="27"/>
  <c r="K1686" i="27"/>
  <c r="N1686" i="27"/>
  <c r="K1687" i="27"/>
  <c r="N1687" i="27"/>
  <c r="K1688" i="27"/>
  <c r="N1688" i="27"/>
  <c r="K1689" i="27"/>
  <c r="N1689" i="27"/>
  <c r="K1690" i="27"/>
  <c r="N1690" i="27"/>
  <c r="K1691" i="27"/>
  <c r="N1691" i="27"/>
  <c r="K1692" i="27"/>
  <c r="N1692" i="27"/>
  <c r="K1693" i="27"/>
  <c r="N1693" i="27"/>
  <c r="K1694" i="27"/>
  <c r="N1694" i="27"/>
  <c r="K1695" i="27"/>
  <c r="N1695" i="27"/>
  <c r="K1696" i="27"/>
  <c r="N1696" i="27"/>
  <c r="K1697" i="27"/>
  <c r="N1697" i="27"/>
  <c r="K1698" i="27"/>
  <c r="N1698" i="27"/>
  <c r="K1699" i="27"/>
  <c r="N1699" i="27"/>
  <c r="K1700" i="27"/>
  <c r="N1700" i="27"/>
  <c r="K1701" i="27"/>
  <c r="N1701" i="27"/>
  <c r="K1702" i="27"/>
  <c r="N1702" i="27"/>
  <c r="K1703" i="27"/>
  <c r="N1703" i="27"/>
  <c r="K1704" i="27"/>
  <c r="N1704" i="27"/>
  <c r="K1705" i="27"/>
  <c r="N1705" i="27"/>
  <c r="K1706" i="27"/>
  <c r="N1706" i="27"/>
  <c r="K1707" i="27"/>
  <c r="N1707" i="27"/>
  <c r="K1708" i="27"/>
  <c r="N1708" i="27"/>
  <c r="K1709" i="27"/>
  <c r="N1709" i="27"/>
  <c r="K1710" i="27"/>
  <c r="N1710" i="27"/>
  <c r="K1711" i="27"/>
  <c r="N1711" i="27"/>
  <c r="K1712" i="27"/>
  <c r="N1712" i="27"/>
  <c r="K1713" i="27"/>
  <c r="N1713" i="27"/>
  <c r="K1714" i="27"/>
  <c r="N1714" i="27"/>
  <c r="K1715" i="27"/>
  <c r="N1715" i="27"/>
  <c r="K1716" i="27"/>
  <c r="N1716" i="27"/>
  <c r="K1717" i="27"/>
  <c r="N1717" i="27"/>
  <c r="K1718" i="27"/>
  <c r="N1718" i="27"/>
  <c r="K1719" i="27"/>
  <c r="N1719" i="27"/>
  <c r="K1720" i="27"/>
  <c r="N1720" i="27"/>
  <c r="K1721" i="27"/>
  <c r="N1721" i="27"/>
  <c r="K1722" i="27"/>
  <c r="N1722" i="27"/>
  <c r="K1723" i="27"/>
  <c r="N1723" i="27"/>
  <c r="K1724" i="27"/>
  <c r="N1724" i="27"/>
  <c r="K1725" i="27"/>
  <c r="N1725" i="27"/>
  <c r="K1726" i="27"/>
  <c r="N1726" i="27"/>
  <c r="K1727" i="27"/>
  <c r="N1727" i="27"/>
  <c r="K1728" i="27"/>
  <c r="N1728" i="27"/>
  <c r="K1729" i="27"/>
  <c r="N1729" i="27"/>
  <c r="K1730" i="27"/>
  <c r="N1730" i="27"/>
  <c r="K1731" i="27"/>
  <c r="N1731" i="27"/>
  <c r="K1732" i="27"/>
  <c r="N1732" i="27"/>
  <c r="K1733" i="27"/>
  <c r="N1733" i="27"/>
  <c r="K1734" i="27"/>
  <c r="N1734" i="27"/>
  <c r="K1735" i="27"/>
  <c r="N1735" i="27"/>
  <c r="K1736" i="27"/>
  <c r="N1736" i="27"/>
  <c r="K1737" i="27"/>
  <c r="N1737" i="27"/>
  <c r="K1738" i="27"/>
  <c r="N1738" i="27"/>
  <c r="K1739" i="27"/>
  <c r="N1739" i="27"/>
  <c r="K1740" i="27"/>
  <c r="N1740" i="27"/>
  <c r="K1741" i="27"/>
  <c r="N1741" i="27"/>
  <c r="K1742" i="27"/>
  <c r="N1742" i="27"/>
  <c r="K1743" i="27"/>
  <c r="N1743" i="27"/>
  <c r="K1744" i="27"/>
  <c r="N1744" i="27"/>
  <c r="K1745" i="27"/>
  <c r="N1745" i="27"/>
  <c r="K1746" i="27"/>
  <c r="N1746" i="27"/>
  <c r="K1747" i="27"/>
  <c r="N1747" i="27"/>
  <c r="K1748" i="27"/>
  <c r="N1748" i="27"/>
  <c r="K1749" i="27"/>
  <c r="N1749" i="27"/>
  <c r="K1750" i="27"/>
  <c r="N1750" i="27"/>
  <c r="K1751" i="27"/>
  <c r="N1751" i="27"/>
  <c r="K1752" i="27"/>
  <c r="N1752" i="27"/>
  <c r="K1753" i="27"/>
  <c r="N1753" i="27"/>
  <c r="K1754" i="27"/>
  <c r="N1754" i="27"/>
  <c r="K1755" i="27"/>
  <c r="N1755" i="27"/>
  <c r="K1756" i="27"/>
  <c r="N1756" i="27"/>
  <c r="K1757" i="27"/>
  <c r="N1757" i="27"/>
  <c r="K1758" i="27"/>
  <c r="N1758" i="27"/>
  <c r="K1759" i="27"/>
  <c r="N1759" i="27"/>
  <c r="K1760" i="27"/>
  <c r="N1760" i="27"/>
  <c r="K1761" i="27"/>
  <c r="N1761" i="27"/>
  <c r="K1762" i="27"/>
  <c r="N1762" i="27"/>
  <c r="K1763" i="27"/>
  <c r="N1763" i="27"/>
  <c r="K1764" i="27"/>
  <c r="N1764" i="27"/>
  <c r="K1765" i="27"/>
  <c r="N1765" i="27"/>
  <c r="K1766" i="27"/>
  <c r="N1766" i="27"/>
  <c r="K1767" i="27"/>
  <c r="N1767" i="27"/>
  <c r="K1768" i="27"/>
  <c r="N1768" i="27"/>
  <c r="K1769" i="27"/>
  <c r="N1769" i="27"/>
  <c r="K1770" i="27"/>
  <c r="N1770" i="27"/>
  <c r="K1771" i="27"/>
  <c r="N1771" i="27"/>
  <c r="K1772" i="27"/>
  <c r="N1772" i="27"/>
  <c r="K1773" i="27"/>
  <c r="N1773" i="27"/>
  <c r="K1774" i="27"/>
  <c r="N1774" i="27"/>
  <c r="K1775" i="27"/>
  <c r="N1775" i="27"/>
  <c r="K1776" i="27"/>
  <c r="N1776" i="27"/>
  <c r="K1777" i="27"/>
  <c r="N1777" i="27"/>
  <c r="K1778" i="27"/>
  <c r="N1778" i="27"/>
  <c r="K1779" i="27"/>
  <c r="N1779" i="27"/>
  <c r="K1780" i="27"/>
  <c r="N1780" i="27"/>
  <c r="K1781" i="27"/>
  <c r="N1781" i="27"/>
  <c r="K1782" i="27"/>
  <c r="N1782" i="27"/>
  <c r="K1783" i="27"/>
  <c r="N1783" i="27"/>
  <c r="K1784" i="27"/>
  <c r="N1784" i="27"/>
  <c r="K1785" i="27"/>
  <c r="N1785" i="27"/>
  <c r="K1786" i="27"/>
  <c r="N1786" i="27"/>
  <c r="K1787" i="27"/>
  <c r="N1787" i="27"/>
  <c r="K1788" i="27"/>
  <c r="N1788" i="27"/>
  <c r="K1789" i="27"/>
  <c r="N1789" i="27"/>
  <c r="K1790" i="27"/>
  <c r="N1790" i="27"/>
  <c r="K1791" i="27"/>
  <c r="N1791" i="27"/>
  <c r="K1792" i="27"/>
  <c r="N1792" i="27"/>
  <c r="K1793" i="27"/>
  <c r="N1793" i="27"/>
  <c r="K1794" i="27"/>
  <c r="N1794" i="27"/>
  <c r="K1795" i="27"/>
  <c r="N1795" i="27"/>
  <c r="K1796" i="27"/>
  <c r="N1796" i="27"/>
  <c r="K1797" i="27"/>
  <c r="N1797" i="27"/>
  <c r="K1798" i="27"/>
  <c r="N1798" i="27"/>
  <c r="K1799" i="27"/>
  <c r="N1799" i="27"/>
  <c r="K1800" i="27"/>
  <c r="N1800" i="27"/>
  <c r="K1801" i="27"/>
  <c r="N1801" i="27"/>
  <c r="K1802" i="27"/>
  <c r="N1802" i="27"/>
  <c r="K1803" i="27"/>
  <c r="N1803" i="27"/>
  <c r="K1804" i="27"/>
  <c r="N1804" i="27"/>
  <c r="K1805" i="27"/>
  <c r="N1805" i="27"/>
  <c r="K1806" i="27"/>
  <c r="N1806" i="27"/>
  <c r="K1807" i="27"/>
  <c r="N1807" i="27"/>
  <c r="K1808" i="27"/>
  <c r="N1808" i="27"/>
  <c r="K1809" i="27"/>
  <c r="N1809" i="27"/>
  <c r="K1810" i="27"/>
  <c r="N1810" i="27"/>
  <c r="K1811" i="27"/>
  <c r="N1811" i="27"/>
  <c r="K1812" i="27"/>
  <c r="N1812" i="27"/>
  <c r="K1813" i="27"/>
  <c r="N1813" i="27"/>
  <c r="K1814" i="27"/>
  <c r="N1814" i="27"/>
  <c r="K1815" i="27"/>
  <c r="N1815" i="27"/>
  <c r="K1816" i="27"/>
  <c r="N1816" i="27"/>
  <c r="K1817" i="27"/>
  <c r="N1817" i="27"/>
  <c r="K1818" i="27"/>
  <c r="N1818" i="27"/>
  <c r="K1819" i="27"/>
  <c r="N1819" i="27"/>
  <c r="K1820" i="27"/>
  <c r="N1820" i="27"/>
  <c r="K1821" i="27"/>
  <c r="N1821" i="27"/>
  <c r="K1822" i="27"/>
  <c r="N1822" i="27"/>
  <c r="K1823" i="27"/>
  <c r="N1823" i="27"/>
  <c r="K1824" i="27"/>
  <c r="N1824" i="27"/>
  <c r="K1825" i="27"/>
  <c r="N1825" i="27"/>
  <c r="K1826" i="27"/>
  <c r="N1826" i="27"/>
  <c r="K1827" i="27"/>
  <c r="N1827" i="27"/>
  <c r="K1828" i="27"/>
  <c r="N1828" i="27"/>
  <c r="K1829" i="27"/>
  <c r="N1829" i="27"/>
  <c r="K1830" i="27"/>
  <c r="N1830" i="27"/>
  <c r="K1831" i="27"/>
  <c r="N1831" i="27"/>
  <c r="K1832" i="27"/>
  <c r="N1832" i="27"/>
  <c r="K1833" i="27"/>
  <c r="N1833" i="27"/>
  <c r="K1834" i="27"/>
  <c r="N1834" i="27"/>
  <c r="K1835" i="27"/>
  <c r="N1835" i="27"/>
  <c r="K1836" i="27"/>
  <c r="N1836" i="27"/>
  <c r="K1837" i="27"/>
  <c r="N1837" i="27"/>
  <c r="K1838" i="27"/>
  <c r="N1838" i="27"/>
  <c r="K1839" i="27"/>
  <c r="N1839" i="27"/>
  <c r="K1840" i="27"/>
  <c r="N1840" i="27"/>
  <c r="K1841" i="27"/>
  <c r="N1841" i="27"/>
  <c r="K1842" i="27"/>
  <c r="N1842" i="27"/>
  <c r="K1843" i="27"/>
  <c r="N1843" i="27"/>
  <c r="K1844" i="27"/>
  <c r="N1844" i="27"/>
  <c r="K1845" i="27"/>
  <c r="N1845" i="27"/>
  <c r="K1846" i="27"/>
  <c r="N1846" i="27"/>
  <c r="K1847" i="27"/>
  <c r="N1847" i="27"/>
  <c r="K1848" i="27"/>
  <c r="N1848" i="27"/>
  <c r="K1849" i="27"/>
  <c r="N1849" i="27"/>
  <c r="K1850" i="27"/>
  <c r="N1850" i="27"/>
  <c r="K1851" i="27"/>
  <c r="N1851" i="27"/>
  <c r="K1852" i="27"/>
  <c r="N1852" i="27"/>
  <c r="K1853" i="27"/>
  <c r="N1853" i="27"/>
  <c r="K1854" i="27"/>
  <c r="N1854" i="27"/>
  <c r="K1855" i="27"/>
  <c r="N1855" i="27"/>
  <c r="K1856" i="27"/>
  <c r="N1856" i="27"/>
  <c r="K1857" i="27"/>
  <c r="N1857" i="27"/>
  <c r="K1858" i="27"/>
  <c r="N1858" i="27"/>
  <c r="K1859" i="27"/>
  <c r="N1859" i="27"/>
  <c r="K1860" i="27"/>
  <c r="N1860" i="27"/>
  <c r="K1861" i="27"/>
  <c r="N1861" i="27"/>
  <c r="K1862" i="27"/>
  <c r="N1862" i="27"/>
  <c r="K1863" i="27"/>
  <c r="N1863" i="27"/>
  <c r="K1864" i="27"/>
  <c r="N1864" i="27"/>
  <c r="K1865" i="27"/>
  <c r="N1865" i="27"/>
  <c r="K1866" i="27"/>
  <c r="N1866" i="27"/>
  <c r="K1867" i="27"/>
  <c r="N1867" i="27"/>
  <c r="K1868" i="27"/>
  <c r="N1868" i="27"/>
  <c r="K1869" i="27"/>
  <c r="N1869" i="27"/>
  <c r="K1870" i="27"/>
  <c r="N1870" i="27"/>
  <c r="K1871" i="27"/>
  <c r="N1871" i="27"/>
  <c r="K1872" i="27"/>
  <c r="N1872" i="27"/>
  <c r="K1873" i="27"/>
  <c r="N1873" i="27"/>
  <c r="K1874" i="27"/>
  <c r="N1874" i="27"/>
  <c r="K1875" i="27"/>
  <c r="N1875" i="27"/>
  <c r="K1876" i="27"/>
  <c r="N1876" i="27"/>
  <c r="K1877" i="27"/>
  <c r="N1877" i="27"/>
  <c r="K1878" i="27"/>
  <c r="N1878" i="27"/>
  <c r="K1879" i="27"/>
  <c r="N1879" i="27"/>
  <c r="K1880" i="27"/>
  <c r="N1880" i="27"/>
  <c r="K1881" i="27"/>
  <c r="N1881" i="27"/>
  <c r="K1882" i="27"/>
  <c r="N1882" i="27"/>
  <c r="K1883" i="27"/>
  <c r="N1883" i="27"/>
  <c r="K1884" i="27"/>
  <c r="N1884" i="27"/>
  <c r="K1885" i="27"/>
  <c r="N1885" i="27"/>
  <c r="K1886" i="27"/>
  <c r="N1886" i="27"/>
  <c r="K1887" i="27"/>
  <c r="N1887" i="27"/>
  <c r="K1888" i="27"/>
  <c r="N1888" i="27"/>
  <c r="K1889" i="27"/>
  <c r="N1889" i="27"/>
  <c r="K1890" i="27"/>
  <c r="N1890" i="27"/>
  <c r="K1891" i="27"/>
  <c r="N1891" i="27"/>
  <c r="K1892" i="27"/>
  <c r="N1892" i="27"/>
  <c r="K1893" i="27"/>
  <c r="N1893" i="27"/>
  <c r="K1894" i="27"/>
  <c r="N1894" i="27"/>
  <c r="K1895" i="27"/>
  <c r="N1895" i="27"/>
  <c r="K1896" i="27"/>
  <c r="N1896" i="27"/>
  <c r="K1897" i="27"/>
  <c r="N1897" i="27"/>
  <c r="K1898" i="27"/>
  <c r="N1898" i="27"/>
  <c r="K1899" i="27"/>
  <c r="N1899" i="27"/>
  <c r="K1900" i="27"/>
  <c r="N1900" i="27"/>
  <c r="K1901" i="27"/>
  <c r="N1901" i="27"/>
  <c r="K1902" i="27"/>
  <c r="N1902" i="27"/>
  <c r="K1903" i="27"/>
  <c r="N1903" i="27"/>
  <c r="K1904" i="27"/>
  <c r="N1904" i="27"/>
  <c r="K1905" i="27"/>
  <c r="N1905" i="27"/>
  <c r="K1906" i="27"/>
  <c r="N1906" i="27"/>
  <c r="K1907" i="27"/>
  <c r="N1907" i="27"/>
  <c r="K1908" i="27"/>
  <c r="N1908" i="27"/>
  <c r="K1909" i="27"/>
  <c r="N1909" i="27"/>
  <c r="K1910" i="27"/>
  <c r="N1910" i="27"/>
  <c r="K1911" i="27"/>
  <c r="N1911" i="27"/>
  <c r="K1912" i="27"/>
  <c r="N1912" i="27"/>
  <c r="K1913" i="27"/>
  <c r="N1913" i="27"/>
  <c r="K1914" i="27"/>
  <c r="N1914" i="27"/>
  <c r="K1915" i="27"/>
  <c r="N1915" i="27"/>
  <c r="K1916" i="27"/>
  <c r="N1916" i="27"/>
  <c r="K1917" i="27"/>
  <c r="N1917" i="27"/>
  <c r="K1918" i="27"/>
  <c r="N1918" i="27"/>
  <c r="K1919" i="27"/>
  <c r="N1919" i="27"/>
  <c r="K1920" i="27"/>
  <c r="N1920" i="27"/>
  <c r="K1921" i="27"/>
  <c r="N1921" i="27"/>
  <c r="K1922" i="27"/>
  <c r="N1922" i="27"/>
  <c r="K1923" i="27"/>
  <c r="N1923" i="27"/>
  <c r="K1924" i="27"/>
  <c r="N1924" i="27"/>
  <c r="K1925" i="27"/>
  <c r="N1925" i="27"/>
  <c r="K1926" i="27"/>
  <c r="N1926" i="27"/>
  <c r="K1927" i="27"/>
  <c r="N1927" i="27"/>
  <c r="K1928" i="27"/>
  <c r="N1928" i="27"/>
  <c r="K1929" i="27"/>
  <c r="N1929" i="27"/>
  <c r="K1930" i="27"/>
  <c r="N1930" i="27"/>
  <c r="K1931" i="27"/>
  <c r="N1931" i="27"/>
  <c r="K1932" i="27"/>
  <c r="N1932" i="27"/>
  <c r="K1933" i="27"/>
  <c r="N1933" i="27"/>
  <c r="K1934" i="27"/>
  <c r="N1934" i="27"/>
  <c r="K1935" i="27"/>
  <c r="N1935" i="27"/>
  <c r="K1936" i="27"/>
  <c r="N1936" i="27"/>
  <c r="K1937" i="27"/>
  <c r="N1937" i="27"/>
  <c r="K1938" i="27"/>
  <c r="N1938" i="27"/>
  <c r="K1939" i="27"/>
  <c r="N1939" i="27"/>
  <c r="K1940" i="27"/>
  <c r="N1940" i="27"/>
  <c r="K1941" i="27"/>
  <c r="N1941" i="27"/>
  <c r="K1942" i="27"/>
  <c r="N1942" i="27"/>
  <c r="K1943" i="27"/>
  <c r="N1943" i="27"/>
  <c r="K1944" i="27"/>
  <c r="N1944" i="27"/>
  <c r="K1945" i="27"/>
  <c r="N1945" i="27"/>
  <c r="K1946" i="27"/>
  <c r="N1946" i="27"/>
  <c r="K1947" i="27"/>
  <c r="N1947" i="27"/>
  <c r="K1948" i="27"/>
  <c r="N1948" i="27"/>
  <c r="K1949" i="27"/>
  <c r="N1949" i="27"/>
  <c r="K1950" i="27"/>
  <c r="N1950" i="27"/>
  <c r="K1951" i="27"/>
  <c r="N1951" i="27"/>
  <c r="K1952" i="27"/>
  <c r="N1952" i="27"/>
  <c r="K1953" i="27"/>
  <c r="N1953" i="27"/>
  <c r="K1954" i="27"/>
  <c r="N1954" i="27"/>
  <c r="K1955" i="27"/>
  <c r="N1955" i="27"/>
  <c r="K1956" i="27"/>
  <c r="N1956" i="27"/>
  <c r="K1957" i="27"/>
  <c r="N1957" i="27"/>
  <c r="K1958" i="27"/>
  <c r="N1958" i="27"/>
  <c r="K1959" i="27"/>
  <c r="N1959" i="27"/>
  <c r="K1960" i="27"/>
  <c r="N1960" i="27"/>
  <c r="K1961" i="27"/>
  <c r="N1961" i="27"/>
  <c r="K1962" i="27"/>
  <c r="N1962" i="27"/>
  <c r="K1963" i="27"/>
  <c r="N1963" i="27"/>
  <c r="K1964" i="27"/>
  <c r="N1964" i="27"/>
  <c r="K1965" i="27"/>
  <c r="N1965" i="27"/>
  <c r="K1966" i="27"/>
  <c r="N1966" i="27"/>
  <c r="K1967" i="27"/>
  <c r="N1967" i="27"/>
  <c r="K1968" i="27"/>
  <c r="N1968" i="27"/>
  <c r="K1969" i="27"/>
  <c r="N1969" i="27"/>
  <c r="K1970" i="27"/>
  <c r="N1970" i="27"/>
  <c r="K1971" i="27"/>
  <c r="N1971" i="27"/>
  <c r="K1972" i="27"/>
  <c r="N1972" i="27"/>
  <c r="K1973" i="27"/>
  <c r="N1973" i="27"/>
  <c r="K1974" i="27"/>
  <c r="N1974" i="27"/>
  <c r="K1975" i="27"/>
  <c r="N1975" i="27"/>
  <c r="K1976" i="27"/>
  <c r="N1976" i="27"/>
  <c r="K1977" i="27"/>
  <c r="N1977" i="27"/>
  <c r="K1978" i="27"/>
  <c r="N1978" i="27"/>
  <c r="K1979" i="27"/>
  <c r="N1979" i="27"/>
  <c r="K1980" i="27"/>
  <c r="N1980" i="27"/>
  <c r="K1981" i="27"/>
  <c r="N1981" i="27"/>
  <c r="K1982" i="27"/>
  <c r="N1982" i="27"/>
  <c r="K1983" i="27"/>
  <c r="N1983" i="27"/>
  <c r="K1984" i="27"/>
  <c r="N1984" i="27"/>
  <c r="K1985" i="27"/>
  <c r="N1985" i="27"/>
  <c r="K1986" i="27"/>
  <c r="N1986" i="27"/>
  <c r="K1987" i="27"/>
  <c r="N1987" i="27"/>
  <c r="K1988" i="27"/>
  <c r="N1988" i="27"/>
  <c r="K1989" i="27"/>
  <c r="N1989" i="27"/>
  <c r="K1990" i="27"/>
  <c r="N1990" i="27"/>
  <c r="K1991" i="27"/>
  <c r="N1991" i="27"/>
  <c r="K1992" i="27"/>
  <c r="N1992" i="27"/>
  <c r="K1993" i="27"/>
  <c r="N1993" i="27"/>
  <c r="K1994" i="27"/>
  <c r="N1994" i="27"/>
  <c r="K1995" i="27"/>
  <c r="N1995" i="27"/>
  <c r="K1996" i="27"/>
  <c r="N1996" i="27"/>
  <c r="K1997" i="27"/>
  <c r="N1997" i="27"/>
  <c r="K1998" i="27"/>
  <c r="N1998" i="27"/>
  <c r="K1999" i="27"/>
  <c r="N1999" i="27"/>
  <c r="K2000" i="27"/>
  <c r="N2000" i="27"/>
  <c r="K2001" i="27"/>
  <c r="N2001" i="27"/>
  <c r="K2002" i="27"/>
  <c r="N2002" i="27"/>
  <c r="K2003" i="27"/>
  <c r="N2003" i="27"/>
  <c r="K2004" i="27"/>
  <c r="N2004" i="27"/>
  <c r="K2005" i="27"/>
  <c r="N2005" i="27"/>
  <c r="K2006" i="27"/>
  <c r="N2006" i="27"/>
  <c r="K2007" i="27"/>
  <c r="N2007" i="27"/>
  <c r="K2008" i="27"/>
  <c r="N2008" i="27"/>
  <c r="K2009" i="27"/>
  <c r="N2009" i="27"/>
  <c r="K2010" i="27"/>
  <c r="N2010" i="27"/>
  <c r="K2011" i="27"/>
  <c r="N2011" i="27"/>
  <c r="K2012" i="27"/>
  <c r="N2012" i="27"/>
  <c r="K2013" i="27"/>
  <c r="N2013" i="27"/>
  <c r="K2014" i="27"/>
  <c r="N2014" i="27"/>
  <c r="K2015" i="27"/>
  <c r="N2015" i="27"/>
  <c r="K2016" i="27"/>
  <c r="N2016" i="27"/>
  <c r="K2017" i="27"/>
  <c r="N2017" i="27"/>
  <c r="K2018" i="27"/>
  <c r="N2018" i="27"/>
  <c r="K2019" i="27"/>
  <c r="N2019" i="27"/>
  <c r="K2020" i="27"/>
  <c r="N2020" i="27"/>
  <c r="K2021" i="27"/>
  <c r="N2021" i="27"/>
  <c r="K2022" i="27"/>
  <c r="N2022" i="27"/>
  <c r="K2023" i="27"/>
  <c r="N2023" i="27"/>
  <c r="K2024" i="27"/>
  <c r="N2024" i="27"/>
  <c r="K2025" i="27"/>
  <c r="N2025" i="27"/>
  <c r="K2026" i="27"/>
  <c r="N2026" i="27"/>
  <c r="K2027" i="27"/>
  <c r="N2027" i="27"/>
  <c r="K2028" i="27"/>
  <c r="N2028" i="27"/>
  <c r="K2029" i="27"/>
  <c r="N2029" i="27"/>
  <c r="K2030" i="27"/>
  <c r="N2030" i="27"/>
  <c r="K2031" i="27"/>
  <c r="N2031" i="27"/>
  <c r="K2032" i="27"/>
  <c r="N2032" i="27"/>
  <c r="K2033" i="27"/>
  <c r="N2033" i="27"/>
  <c r="K2034" i="27"/>
  <c r="N2034" i="27"/>
  <c r="K2035" i="27"/>
  <c r="N2035" i="27"/>
  <c r="K2036" i="27"/>
  <c r="N2036" i="27"/>
  <c r="K2037" i="27"/>
  <c r="N2037" i="27"/>
  <c r="K2038" i="27"/>
  <c r="N2038" i="27"/>
  <c r="K2039" i="27"/>
  <c r="N2039" i="27"/>
  <c r="K2040" i="27"/>
  <c r="N2040" i="27"/>
  <c r="K2041" i="27"/>
  <c r="N2041" i="27"/>
  <c r="K2042" i="27"/>
  <c r="N2042" i="27"/>
  <c r="K2043" i="27"/>
  <c r="N2043" i="27"/>
  <c r="K2044" i="27"/>
  <c r="N2044" i="27"/>
  <c r="K2045" i="27"/>
  <c r="N2045" i="27"/>
  <c r="K2046" i="27"/>
  <c r="N2046" i="27"/>
  <c r="K2047" i="27"/>
  <c r="N2047" i="27"/>
  <c r="K2048" i="27"/>
  <c r="N2048" i="27"/>
  <c r="K2049" i="27"/>
  <c r="N2049" i="27"/>
  <c r="K2050" i="27"/>
  <c r="N2050" i="27"/>
  <c r="K2051" i="27"/>
  <c r="N2051" i="27"/>
  <c r="K2052" i="27"/>
  <c r="N2052" i="27"/>
  <c r="K2053" i="27"/>
  <c r="N2053" i="27"/>
  <c r="K2054" i="27"/>
  <c r="N2054" i="27"/>
  <c r="K2055" i="27"/>
  <c r="N2055" i="27"/>
  <c r="K2056" i="27"/>
  <c r="N2056" i="27"/>
  <c r="K2057" i="27"/>
  <c r="N2057" i="27"/>
  <c r="K2058" i="27"/>
  <c r="N2058" i="27"/>
  <c r="K2059" i="27"/>
  <c r="N2059" i="27"/>
  <c r="K2060" i="27"/>
  <c r="N2060" i="27"/>
  <c r="K2061" i="27"/>
  <c r="N2061" i="27"/>
  <c r="K2062" i="27"/>
  <c r="N2062" i="27"/>
  <c r="K2063" i="27"/>
  <c r="N2063" i="27"/>
  <c r="K2064" i="27"/>
  <c r="N2064" i="27"/>
  <c r="K2065" i="27"/>
  <c r="N2065" i="27"/>
  <c r="K2066" i="27"/>
  <c r="N2066" i="27"/>
  <c r="K2067" i="27"/>
  <c r="N2067" i="27"/>
  <c r="K2068" i="27"/>
  <c r="N2068" i="27"/>
  <c r="K2069" i="27"/>
  <c r="N2069" i="27"/>
  <c r="K2070" i="27"/>
  <c r="N2070" i="27"/>
  <c r="K2071" i="27"/>
  <c r="N2071" i="27"/>
  <c r="K2072" i="27"/>
  <c r="N2072" i="27"/>
  <c r="K2073" i="27"/>
  <c r="N2073" i="27"/>
  <c r="K2074" i="27"/>
  <c r="N2074" i="27"/>
  <c r="K2075" i="27"/>
  <c r="N2075" i="27"/>
  <c r="K2076" i="27"/>
  <c r="N2076" i="27"/>
  <c r="K2077" i="27"/>
  <c r="N2077" i="27"/>
  <c r="K2078" i="27"/>
  <c r="N2078" i="27"/>
  <c r="K2079" i="27"/>
  <c r="N2079" i="27"/>
  <c r="K2080" i="27"/>
  <c r="N2080" i="27"/>
  <c r="K2081" i="27"/>
  <c r="N2081" i="27"/>
  <c r="K2082" i="27"/>
  <c r="N2082" i="27"/>
  <c r="K2083" i="27"/>
  <c r="N2083" i="27"/>
  <c r="K2084" i="27"/>
  <c r="N2084" i="27"/>
  <c r="K2085" i="27"/>
  <c r="N2085" i="27"/>
  <c r="K2086" i="27"/>
  <c r="N2086" i="27"/>
  <c r="K2087" i="27"/>
  <c r="N2087" i="27"/>
  <c r="K2088" i="27"/>
  <c r="N2088" i="27"/>
  <c r="K2089" i="27"/>
  <c r="N2089" i="27"/>
  <c r="K2090" i="27"/>
  <c r="N2090" i="27"/>
  <c r="K2091" i="27"/>
  <c r="N2091" i="27"/>
  <c r="K2092" i="27"/>
  <c r="N2092" i="27"/>
  <c r="K2093" i="27"/>
  <c r="N2093" i="27"/>
  <c r="K2094" i="27"/>
  <c r="N2094" i="27"/>
  <c r="K2095" i="27"/>
  <c r="N2095" i="27"/>
  <c r="K2096" i="27"/>
  <c r="N2096" i="27"/>
  <c r="K2097" i="27"/>
  <c r="N2097" i="27"/>
  <c r="K2098" i="27"/>
  <c r="N2098" i="27"/>
  <c r="K2099" i="27"/>
  <c r="N2099" i="27"/>
  <c r="K2100" i="27"/>
  <c r="N2100" i="27"/>
  <c r="K2101" i="27"/>
  <c r="N2101" i="27"/>
  <c r="K2102" i="27"/>
  <c r="N2102" i="27"/>
  <c r="K2103" i="27"/>
  <c r="N2103" i="27"/>
  <c r="K2104" i="27"/>
  <c r="N2104" i="27"/>
  <c r="K2105" i="27"/>
  <c r="N2105" i="27"/>
  <c r="K2106" i="27"/>
  <c r="N2106" i="27"/>
  <c r="K2107" i="27"/>
  <c r="N2107" i="27"/>
  <c r="K2108" i="27"/>
  <c r="N2108" i="27"/>
  <c r="K2109" i="27"/>
  <c r="N2109" i="27"/>
  <c r="K2110" i="27"/>
  <c r="N2110" i="27"/>
  <c r="K2111" i="27"/>
  <c r="N2111" i="27"/>
  <c r="K2112" i="27"/>
  <c r="N2112" i="27"/>
  <c r="K2113" i="27"/>
  <c r="N2113" i="27"/>
  <c r="K2114" i="27"/>
  <c r="N2114" i="27"/>
  <c r="K2115" i="27"/>
  <c r="N2115" i="27"/>
  <c r="K2116" i="27"/>
  <c r="N2116" i="27"/>
  <c r="K2117" i="27"/>
  <c r="N2117" i="27"/>
  <c r="K2118" i="27"/>
  <c r="N2118" i="27"/>
  <c r="K2119" i="27"/>
  <c r="N2119" i="27"/>
  <c r="K2120" i="27"/>
  <c r="N2120" i="27"/>
  <c r="K2121" i="27"/>
  <c r="N2121" i="27"/>
  <c r="K2122" i="27"/>
  <c r="N2122" i="27"/>
  <c r="K2123" i="27"/>
  <c r="N2123" i="27"/>
  <c r="K2124" i="27"/>
  <c r="N2124" i="27"/>
  <c r="K2125" i="27"/>
  <c r="N2125" i="27"/>
  <c r="K2126" i="27"/>
  <c r="N2126" i="27"/>
  <c r="K2127" i="27"/>
  <c r="N2127" i="27"/>
  <c r="K2128" i="27"/>
  <c r="N2128" i="27"/>
  <c r="K2129" i="27"/>
  <c r="N2129" i="27"/>
  <c r="K2130" i="27"/>
  <c r="N2130" i="27"/>
  <c r="K2131" i="27"/>
  <c r="N2131" i="27"/>
  <c r="K2132" i="27"/>
  <c r="N2132" i="27"/>
  <c r="K2133" i="27"/>
  <c r="N2133" i="27"/>
  <c r="K2134" i="27"/>
  <c r="N2134" i="27"/>
  <c r="K2135" i="27"/>
  <c r="N2135" i="27"/>
  <c r="K2136" i="27"/>
  <c r="N2136" i="27"/>
  <c r="K2137" i="27"/>
  <c r="N2137" i="27"/>
  <c r="K2138" i="27"/>
  <c r="N2138" i="27"/>
  <c r="K2139" i="27"/>
  <c r="N2139" i="27"/>
  <c r="K2140" i="27"/>
  <c r="N2140" i="27"/>
  <c r="K2141" i="27"/>
  <c r="N2141" i="27"/>
  <c r="K2142" i="27"/>
  <c r="N2142" i="27"/>
  <c r="K2143" i="27"/>
  <c r="N2143" i="27"/>
  <c r="K2144" i="27"/>
  <c r="N2144" i="27"/>
  <c r="K2145" i="27"/>
  <c r="N2145" i="27"/>
  <c r="K2146" i="27"/>
  <c r="N2146" i="27"/>
  <c r="K2147" i="27"/>
  <c r="N2147" i="27"/>
  <c r="K2148" i="27"/>
  <c r="N2148" i="27"/>
  <c r="K2149" i="27"/>
  <c r="N2149" i="27"/>
  <c r="K2150" i="27"/>
  <c r="N2150" i="27"/>
  <c r="K2151" i="27"/>
  <c r="N2151" i="27"/>
  <c r="K2152" i="27"/>
  <c r="N2152" i="27"/>
  <c r="K2153" i="27"/>
  <c r="N2153" i="27"/>
  <c r="K2154" i="27"/>
  <c r="N2154" i="27"/>
  <c r="K2155" i="27"/>
  <c r="N2155" i="27"/>
  <c r="K2156" i="27"/>
  <c r="N2156" i="27"/>
  <c r="K2157" i="27"/>
  <c r="N2157" i="27"/>
  <c r="K2158" i="27"/>
  <c r="N2158" i="27"/>
  <c r="K2159" i="27"/>
  <c r="N2159" i="27"/>
  <c r="K2160" i="27"/>
  <c r="N2160" i="27"/>
  <c r="K2161" i="27"/>
  <c r="N2161" i="27"/>
  <c r="K2162" i="27"/>
  <c r="N2162" i="27"/>
  <c r="K2163" i="27"/>
  <c r="N2163" i="27"/>
  <c r="K2164" i="27"/>
  <c r="N2164" i="27"/>
  <c r="K2165" i="27"/>
  <c r="N2165" i="27"/>
  <c r="K2166" i="27"/>
  <c r="N2166" i="27"/>
  <c r="K2167" i="27"/>
  <c r="N2167" i="27"/>
  <c r="K2168" i="27"/>
  <c r="N2168" i="27"/>
  <c r="K2169" i="27"/>
  <c r="N2169" i="27"/>
  <c r="K2170" i="27"/>
  <c r="N2170" i="27"/>
  <c r="K2171" i="27"/>
  <c r="N2171" i="27"/>
  <c r="K2172" i="27"/>
  <c r="N2172" i="27"/>
  <c r="K2173" i="27"/>
  <c r="N2173" i="27"/>
  <c r="K2174" i="27"/>
  <c r="N2174" i="27"/>
  <c r="K2175" i="27"/>
  <c r="N2175" i="27"/>
  <c r="K2176" i="27"/>
  <c r="N2176" i="27"/>
  <c r="K2177" i="27"/>
  <c r="N2177" i="27"/>
  <c r="K2178" i="27"/>
  <c r="N2178" i="27"/>
  <c r="K2179" i="27"/>
  <c r="N2179" i="27"/>
  <c r="K2180" i="27"/>
  <c r="N2180" i="27"/>
  <c r="K2181" i="27"/>
  <c r="N2181" i="27"/>
  <c r="K2182" i="27"/>
  <c r="N2182" i="27"/>
  <c r="K2183" i="27"/>
  <c r="N2183" i="27"/>
  <c r="K2184" i="27"/>
  <c r="N2184" i="27"/>
  <c r="K2185" i="27"/>
  <c r="N2185" i="27"/>
  <c r="K2186" i="27"/>
  <c r="N2186" i="27"/>
  <c r="K2187" i="27"/>
  <c r="N2187" i="27"/>
  <c r="K2188" i="27"/>
  <c r="N2188" i="27"/>
  <c r="K2189" i="27"/>
  <c r="N2189" i="27"/>
  <c r="K2190" i="27"/>
  <c r="N2190" i="27"/>
  <c r="K2191" i="27"/>
  <c r="N2191" i="27"/>
  <c r="K2192" i="27"/>
  <c r="N2192" i="27"/>
  <c r="K2193" i="27"/>
  <c r="N2193" i="27"/>
  <c r="K2194" i="27"/>
  <c r="N2194" i="27"/>
  <c r="K2195" i="27"/>
  <c r="N2195" i="27"/>
  <c r="K2196" i="27"/>
  <c r="N2196" i="27"/>
  <c r="K2197" i="27"/>
  <c r="N2197" i="27"/>
  <c r="K2198" i="27"/>
  <c r="N2198" i="27"/>
  <c r="K2199" i="27"/>
  <c r="N2199" i="27"/>
  <c r="K2200" i="27"/>
  <c r="N2200" i="27"/>
  <c r="K2201" i="27"/>
  <c r="N2201" i="27"/>
  <c r="K2202" i="27"/>
  <c r="N2202" i="27"/>
  <c r="K2203" i="27"/>
  <c r="N2203" i="27"/>
  <c r="K2204" i="27"/>
  <c r="N2204" i="27"/>
  <c r="K2205" i="27"/>
  <c r="N2205" i="27"/>
  <c r="K2206" i="27"/>
  <c r="N2206" i="27"/>
  <c r="K2207" i="27"/>
  <c r="N2207" i="27"/>
  <c r="K2208" i="27"/>
  <c r="N2208" i="27"/>
  <c r="K2209" i="27"/>
  <c r="N2209" i="27"/>
  <c r="K2210" i="27"/>
  <c r="N2210" i="27"/>
  <c r="K2211" i="27"/>
  <c r="N2211" i="27"/>
  <c r="K2212" i="27"/>
  <c r="N2212" i="27"/>
  <c r="K2213" i="27"/>
  <c r="N2213" i="27"/>
  <c r="K2214" i="27"/>
  <c r="N2214" i="27"/>
  <c r="K2215" i="27"/>
  <c r="N2215" i="27"/>
  <c r="K2216" i="27"/>
  <c r="N2216" i="27"/>
  <c r="K2217" i="27"/>
  <c r="N2217" i="27"/>
  <c r="K2218" i="27"/>
  <c r="N2218" i="27"/>
  <c r="K2219" i="27"/>
  <c r="N2219" i="27"/>
  <c r="K2220" i="27"/>
  <c r="N2220" i="27"/>
  <c r="K2221" i="27"/>
  <c r="N2221" i="27"/>
  <c r="K2222" i="27"/>
  <c r="N2222" i="27"/>
  <c r="K2223" i="27"/>
  <c r="N2223" i="27"/>
  <c r="K2224" i="27"/>
  <c r="N2224" i="27"/>
  <c r="K2225" i="27"/>
  <c r="N2225" i="27"/>
  <c r="K2226" i="27"/>
  <c r="N2226" i="27"/>
  <c r="K2227" i="27"/>
  <c r="N2227" i="27"/>
  <c r="K2228" i="27"/>
  <c r="N2228" i="27"/>
  <c r="K2229" i="27"/>
  <c r="N2229" i="27"/>
  <c r="K2230" i="27"/>
  <c r="N2230" i="27"/>
  <c r="K2231" i="27"/>
  <c r="N2231" i="27"/>
  <c r="K2232" i="27"/>
  <c r="N2232" i="27"/>
  <c r="K2233" i="27"/>
  <c r="N2233" i="27"/>
  <c r="K2234" i="27"/>
  <c r="N2234" i="27"/>
  <c r="K2235" i="27"/>
  <c r="N2235" i="27"/>
  <c r="K2236" i="27"/>
  <c r="N2236" i="27"/>
  <c r="K2237" i="27"/>
  <c r="N2237" i="27"/>
  <c r="K2238" i="27"/>
  <c r="N2238" i="27"/>
  <c r="K2239" i="27"/>
  <c r="N2239" i="27"/>
  <c r="K2240" i="27"/>
  <c r="N2240" i="27"/>
  <c r="K2241" i="27"/>
  <c r="N2241" i="27"/>
  <c r="K2242" i="27"/>
  <c r="N2242" i="27"/>
  <c r="K2243" i="27"/>
  <c r="N2243" i="27"/>
  <c r="K2244" i="27"/>
  <c r="N2244" i="27"/>
  <c r="K2245" i="27"/>
  <c r="N2245" i="27"/>
  <c r="K2246" i="27"/>
  <c r="N2246" i="27"/>
  <c r="K2247" i="27"/>
  <c r="N2247" i="27"/>
  <c r="K2248" i="27"/>
  <c r="N2248" i="27"/>
  <c r="K2249" i="27"/>
  <c r="N2249" i="27"/>
  <c r="K2250" i="27"/>
  <c r="N2250" i="27"/>
  <c r="K2251" i="27"/>
  <c r="N2251" i="27"/>
  <c r="K2252" i="27"/>
  <c r="N2252" i="27"/>
  <c r="K2253" i="27"/>
  <c r="N2253" i="27"/>
  <c r="K2254" i="27"/>
  <c r="N2254" i="27"/>
  <c r="K2255" i="27"/>
  <c r="N2255" i="27"/>
  <c r="K2256" i="27"/>
  <c r="N2256" i="27"/>
  <c r="K2257" i="27"/>
  <c r="N2257" i="27"/>
  <c r="K2258" i="27"/>
  <c r="N2258" i="27"/>
  <c r="K2259" i="27"/>
  <c r="N2259" i="27"/>
  <c r="K2260" i="27"/>
  <c r="N2260" i="27"/>
  <c r="K2261" i="27"/>
  <c r="N2261" i="27"/>
  <c r="K2262" i="27"/>
  <c r="N2262" i="27"/>
  <c r="K2263" i="27"/>
  <c r="N2263" i="27"/>
  <c r="K2264" i="27"/>
  <c r="N2264" i="27"/>
  <c r="K2265" i="27"/>
  <c r="N2265" i="27"/>
  <c r="K2266" i="27"/>
  <c r="N2266" i="27"/>
  <c r="K2267" i="27"/>
  <c r="N2267" i="27"/>
  <c r="K2268" i="27"/>
  <c r="N2268" i="27"/>
  <c r="K2269" i="27"/>
  <c r="N2269" i="27"/>
  <c r="K2270" i="27"/>
  <c r="N2270" i="27"/>
  <c r="K2271" i="27"/>
  <c r="N2271" i="27"/>
  <c r="K2272" i="27"/>
  <c r="N2272" i="27"/>
  <c r="K2273" i="27"/>
  <c r="N2273" i="27"/>
  <c r="K2274" i="27"/>
  <c r="N2274" i="27"/>
  <c r="K2275" i="27"/>
  <c r="N2275" i="27"/>
  <c r="K2276" i="27"/>
  <c r="N2276" i="27"/>
  <c r="K2277" i="27"/>
  <c r="N2277" i="27"/>
  <c r="K2278" i="27"/>
  <c r="N2278" i="27"/>
  <c r="K2279" i="27"/>
  <c r="N2279" i="27"/>
  <c r="K2280" i="27"/>
  <c r="N2280" i="27"/>
  <c r="K2281" i="27"/>
  <c r="N2281" i="27"/>
  <c r="K2282" i="27"/>
  <c r="N2282" i="27"/>
  <c r="K2283" i="27"/>
  <c r="N2283" i="27"/>
  <c r="K2284" i="27"/>
  <c r="N2284" i="27"/>
  <c r="K2285" i="27"/>
  <c r="N2285" i="27"/>
  <c r="D47" i="5"/>
  <c r="E47" i="5"/>
  <c r="F47" i="5"/>
  <c r="D48" i="5"/>
  <c r="E48" i="5"/>
  <c r="F48" i="5"/>
  <c r="F52" i="5"/>
  <c r="Y2" i="16"/>
  <c r="Z2" i="16"/>
  <c r="AE2" i="16"/>
  <c r="AF2" i="16"/>
  <c r="AK2" i="16"/>
  <c r="AL2" i="16"/>
  <c r="AU2" i="16"/>
  <c r="AV2" i="16"/>
  <c r="Y3" i="16"/>
  <c r="Z3" i="16"/>
  <c r="AE3" i="16"/>
  <c r="AF3" i="16"/>
  <c r="AK3" i="16"/>
  <c r="AL3" i="16"/>
  <c r="AU3" i="16"/>
  <c r="AV3" i="16"/>
  <c r="Y4" i="16"/>
  <c r="Z4" i="16"/>
  <c r="AE4" i="16"/>
  <c r="AF4" i="16"/>
  <c r="AK4" i="16"/>
  <c r="AL4" i="16"/>
  <c r="AU4" i="16"/>
  <c r="AV4" i="16"/>
  <c r="Y5" i="16"/>
  <c r="Z5" i="16"/>
  <c r="AE5" i="16"/>
  <c r="AF5" i="16"/>
  <c r="AK5" i="16"/>
  <c r="AL5" i="16"/>
  <c r="AU5" i="16"/>
  <c r="AV5" i="16"/>
  <c r="Y6" i="16"/>
  <c r="Z6" i="16"/>
  <c r="AE6" i="16"/>
  <c r="AF6" i="16"/>
  <c r="AK6" i="16"/>
  <c r="AL6" i="16"/>
  <c r="AU6" i="16"/>
  <c r="AV6" i="16"/>
  <c r="Y7" i="16"/>
  <c r="Z7" i="16"/>
  <c r="AE7" i="16"/>
  <c r="AF7" i="16"/>
  <c r="AK7" i="16"/>
  <c r="AL7" i="16"/>
  <c r="AU7" i="16"/>
  <c r="AV7" i="16"/>
  <c r="Y8" i="16"/>
  <c r="Z8" i="16"/>
  <c r="AE8" i="16"/>
  <c r="AF8" i="16"/>
  <c r="AK8" i="16"/>
  <c r="AL8" i="16"/>
  <c r="AU8" i="16"/>
  <c r="AV8" i="16"/>
  <c r="Y9" i="16"/>
  <c r="Z9" i="16"/>
  <c r="AE9" i="16"/>
  <c r="AF9" i="16"/>
  <c r="AK9" i="16"/>
  <c r="AL9" i="16"/>
  <c r="AU9" i="16"/>
  <c r="AV9" i="16"/>
  <c r="Y10" i="16"/>
  <c r="Z10" i="16"/>
  <c r="AE10" i="16"/>
  <c r="AF10" i="16"/>
  <c r="AK10" i="16"/>
  <c r="AL10" i="16"/>
  <c r="AU10" i="16"/>
  <c r="AV10" i="16"/>
  <c r="Y11" i="16"/>
  <c r="Z11" i="16"/>
  <c r="AE11" i="16"/>
  <c r="AF11" i="16"/>
  <c r="AK11" i="16"/>
  <c r="AL11" i="16"/>
  <c r="AU11" i="16"/>
  <c r="AV11" i="16"/>
  <c r="Y12" i="16"/>
  <c r="Z12" i="16"/>
  <c r="AE12" i="16"/>
  <c r="AF12" i="16"/>
  <c r="AK12" i="16"/>
  <c r="AL12" i="16"/>
  <c r="AU12" i="16"/>
  <c r="AV12" i="16"/>
  <c r="Y13" i="16"/>
  <c r="Z13" i="16"/>
  <c r="AE13" i="16"/>
  <c r="AF13" i="16"/>
  <c r="Y14" i="16"/>
  <c r="Z14" i="16"/>
  <c r="AE14" i="16"/>
  <c r="AF14" i="16"/>
  <c r="Y15" i="16"/>
  <c r="Z15" i="16"/>
  <c r="AE15" i="16"/>
  <c r="AF15" i="16"/>
  <c r="Y16" i="16"/>
  <c r="Z16" i="16"/>
  <c r="AE16" i="16"/>
  <c r="AF16" i="16"/>
  <c r="Y17" i="16"/>
  <c r="Z17" i="16"/>
  <c r="AE17" i="16"/>
  <c r="AF17" i="16"/>
  <c r="Y18" i="16"/>
  <c r="Z18" i="16"/>
  <c r="AE18" i="16"/>
  <c r="AF18" i="16"/>
  <c r="Y19" i="16"/>
  <c r="Z19" i="16"/>
  <c r="AE19" i="16"/>
  <c r="AF19" i="16"/>
  <c r="Y20" i="16"/>
  <c r="Z20" i="16"/>
  <c r="AE20" i="16"/>
  <c r="AF20" i="16"/>
  <c r="Y21" i="16"/>
  <c r="Z21" i="16"/>
  <c r="AE21" i="16"/>
  <c r="AF21" i="16"/>
  <c r="Y22" i="16"/>
  <c r="Z22" i="16"/>
  <c r="AE22" i="16"/>
  <c r="AF22" i="16"/>
  <c r="Y23" i="16"/>
  <c r="Z23" i="16"/>
  <c r="AE23" i="16"/>
  <c r="AF23" i="16"/>
  <c r="Y24" i="16"/>
  <c r="Z24" i="16"/>
  <c r="AE24" i="16"/>
  <c r="AF24" i="16"/>
  <c r="Y25" i="16"/>
  <c r="Z25" i="16"/>
  <c r="AE25" i="16"/>
  <c r="AF25" i="16"/>
  <c r="Y26" i="16"/>
  <c r="Z26" i="16"/>
  <c r="AE26" i="16"/>
  <c r="AF26" i="16"/>
  <c r="Y27" i="16"/>
  <c r="Z27" i="16"/>
  <c r="AE27" i="16"/>
  <c r="AF27" i="16"/>
  <c r="Y28" i="16"/>
  <c r="Z28" i="16"/>
  <c r="AE28" i="16"/>
  <c r="AF28" i="16"/>
  <c r="Y29" i="16"/>
  <c r="Z29" i="16"/>
  <c r="AE29" i="16"/>
  <c r="AF29" i="16"/>
  <c r="Y30" i="16"/>
  <c r="Z30" i="16"/>
  <c r="AE30" i="16"/>
  <c r="AF30" i="16"/>
  <c r="Y31" i="16"/>
  <c r="Z31" i="16"/>
  <c r="AE31" i="16"/>
  <c r="AF31" i="16"/>
  <c r="Y32" i="16"/>
  <c r="Z32" i="16"/>
  <c r="AE32" i="16"/>
  <c r="AF32" i="16"/>
  <c r="Y33" i="16"/>
  <c r="Z33" i="16"/>
  <c r="AE33" i="16"/>
  <c r="AF33" i="16"/>
  <c r="Y34" i="16"/>
  <c r="Z34" i="16"/>
  <c r="AE34" i="16"/>
  <c r="AF34" i="16"/>
  <c r="Y35" i="16"/>
  <c r="Z35" i="16"/>
  <c r="AE35" i="16"/>
  <c r="AF35" i="16"/>
  <c r="Y36" i="16"/>
  <c r="Z36" i="16"/>
  <c r="AE36" i="16"/>
  <c r="AF36" i="16"/>
  <c r="Y37" i="16"/>
  <c r="Z37" i="16"/>
  <c r="AE37" i="16"/>
  <c r="AF37" i="16"/>
  <c r="Z38" i="16"/>
  <c r="AF38" i="16"/>
  <c r="Z39" i="16"/>
  <c r="AF39" i="16"/>
  <c r="Z40" i="16"/>
  <c r="AF40" i="16"/>
  <c r="Z41" i="16"/>
  <c r="AF41" i="16"/>
  <c r="Z42" i="16"/>
  <c r="AF42" i="16"/>
  <c r="Z43" i="16"/>
  <c r="AF43" i="16"/>
  <c r="Z44" i="16"/>
  <c r="AF44" i="16"/>
  <c r="Z45" i="16"/>
  <c r="AF45" i="16"/>
  <c r="Z46" i="16"/>
  <c r="AF46" i="16"/>
  <c r="Z47" i="16"/>
  <c r="AF47" i="16"/>
  <c r="Z48" i="16"/>
  <c r="AF48" i="16"/>
  <c r="Z49" i="16"/>
  <c r="AF49" i="16"/>
  <c r="Y50" i="16"/>
  <c r="Z50" i="16"/>
  <c r="AE50" i="16"/>
  <c r="AF50" i="16"/>
  <c r="Y51" i="16"/>
  <c r="Z51" i="16"/>
  <c r="AE51" i="16"/>
  <c r="AF51" i="16"/>
  <c r="Y52" i="16"/>
  <c r="Z52" i="16"/>
  <c r="AE52" i="16"/>
  <c r="AF52" i="16"/>
  <c r="Y53" i="16"/>
  <c r="Z53" i="16"/>
  <c r="AE53" i="16"/>
  <c r="AF53" i="16"/>
  <c r="Y54" i="16"/>
  <c r="Z54" i="16"/>
  <c r="AE54" i="16"/>
  <c r="AF54" i="16"/>
  <c r="Y55" i="16"/>
  <c r="Z55" i="16"/>
  <c r="AE55" i="16"/>
  <c r="AF55" i="16"/>
  <c r="Y56" i="16"/>
  <c r="Z56" i="16"/>
  <c r="AE56" i="16"/>
  <c r="AF56" i="16"/>
  <c r="Y57" i="16"/>
  <c r="Z57" i="16"/>
  <c r="AE57" i="16"/>
  <c r="AF57" i="16"/>
  <c r="Y58" i="16"/>
  <c r="Z58" i="16"/>
  <c r="AE58" i="16"/>
  <c r="AF58" i="16"/>
  <c r="Y59" i="16"/>
  <c r="Z59" i="16"/>
  <c r="AE59" i="16"/>
  <c r="AF59" i="16"/>
  <c r="Y60" i="16"/>
  <c r="Z60" i="16"/>
  <c r="AE60" i="16"/>
  <c r="AF60" i="16"/>
  <c r="Y61" i="16"/>
  <c r="Z61" i="16"/>
  <c r="AE61" i="16"/>
  <c r="AF61" i="16"/>
  <c r="Y62" i="16"/>
  <c r="Z62" i="16"/>
  <c r="AE62" i="16"/>
  <c r="AF62" i="16"/>
  <c r="Y63" i="16"/>
  <c r="Z63" i="16"/>
  <c r="AE63" i="16"/>
  <c r="AF63" i="16"/>
  <c r="Y64" i="16"/>
  <c r="Z64" i="16"/>
  <c r="AE64" i="16"/>
  <c r="AF64" i="16"/>
  <c r="Y65" i="16"/>
  <c r="Z65" i="16"/>
  <c r="AE65" i="16"/>
  <c r="AF65" i="16"/>
  <c r="Y66" i="16"/>
  <c r="Z66" i="16"/>
  <c r="AE66" i="16"/>
  <c r="AF66" i="16"/>
  <c r="Y67" i="16"/>
  <c r="Z67" i="16"/>
  <c r="AE67" i="16"/>
  <c r="AF67" i="16"/>
  <c r="Y68" i="16"/>
  <c r="Z68" i="16"/>
  <c r="AE68" i="16"/>
  <c r="AF68" i="16"/>
  <c r="Y69" i="16"/>
  <c r="Z69" i="16"/>
  <c r="AE69" i="16"/>
  <c r="AF69" i="16"/>
  <c r="Y70" i="16"/>
  <c r="Z70" i="16"/>
  <c r="AE70" i="16"/>
  <c r="AF70" i="16"/>
  <c r="Y71" i="16"/>
  <c r="Z71" i="16"/>
  <c r="AE71" i="16"/>
  <c r="AF71" i="16"/>
  <c r="Y72" i="16"/>
  <c r="Z72" i="16"/>
  <c r="AE72" i="16"/>
  <c r="AF72" i="16"/>
  <c r="Y73" i="16"/>
  <c r="Z73" i="16"/>
  <c r="AE73" i="16"/>
  <c r="AF73" i="16"/>
  <c r="Z74" i="16"/>
  <c r="AF74" i="16"/>
  <c r="Z75" i="16"/>
  <c r="AF75" i="16"/>
  <c r="Z76" i="16"/>
  <c r="AF76" i="16"/>
  <c r="Z77" i="16"/>
  <c r="AF77" i="16"/>
  <c r="Z78" i="16"/>
  <c r="AF78" i="16"/>
  <c r="Z79" i="16"/>
  <c r="AF79" i="16"/>
  <c r="Z80" i="16"/>
  <c r="AF80" i="16"/>
  <c r="Z81" i="16"/>
  <c r="AF81" i="16"/>
  <c r="Z82" i="16"/>
  <c r="AF82" i="16"/>
  <c r="Z83" i="16"/>
  <c r="AF83" i="16"/>
  <c r="Z84" i="16"/>
  <c r="AF84" i="16"/>
  <c r="Z85" i="16"/>
  <c r="AF85" i="16"/>
  <c r="Y86" i="16"/>
  <c r="Z86" i="16"/>
  <c r="AE86" i="16"/>
  <c r="AF86" i="16"/>
  <c r="Y87" i="16"/>
  <c r="Z87" i="16"/>
  <c r="AE87" i="16"/>
  <c r="AF87" i="16"/>
  <c r="Y88" i="16"/>
  <c r="Z88" i="16"/>
  <c r="AE88" i="16"/>
  <c r="AF88" i="16"/>
  <c r="Y89" i="16"/>
  <c r="Z89" i="16"/>
  <c r="AE89" i="16"/>
  <c r="AF89" i="16"/>
  <c r="Y90" i="16"/>
  <c r="Z90" i="16"/>
  <c r="AE90" i="16"/>
  <c r="AF90" i="16"/>
  <c r="Y91" i="16"/>
  <c r="Z91" i="16"/>
  <c r="AE91" i="16"/>
  <c r="AF91" i="16"/>
  <c r="Y92" i="16"/>
  <c r="Z92" i="16"/>
  <c r="AE92" i="16"/>
  <c r="AF92" i="16"/>
  <c r="Y93" i="16"/>
  <c r="Z93" i="16"/>
  <c r="AE93" i="16"/>
  <c r="AF93" i="16"/>
  <c r="Y94" i="16"/>
  <c r="Z94" i="16"/>
  <c r="AE94" i="16"/>
  <c r="AF94" i="16"/>
  <c r="Y95" i="16"/>
  <c r="Z95" i="16"/>
  <c r="AE95" i="16"/>
  <c r="AF95" i="16"/>
  <c r="Y96" i="16"/>
  <c r="Z96" i="16"/>
  <c r="AE96" i="16"/>
  <c r="AF96" i="16"/>
  <c r="Y97" i="16"/>
  <c r="Z97" i="16"/>
  <c r="AE97" i="16"/>
  <c r="AF97" i="16"/>
  <c r="Y98" i="16"/>
  <c r="Z98" i="16"/>
  <c r="AE98" i="16"/>
  <c r="AF98" i="16"/>
  <c r="Y99" i="16"/>
  <c r="Z99" i="16"/>
  <c r="AE99" i="16"/>
  <c r="AF99" i="16"/>
  <c r="Y100" i="16"/>
  <c r="Z100" i="16"/>
  <c r="AE100" i="16"/>
  <c r="AF100" i="16"/>
  <c r="Y101" i="16"/>
  <c r="Z101" i="16"/>
  <c r="AE101" i="16"/>
  <c r="AF101" i="16"/>
  <c r="Y102" i="16"/>
  <c r="Z102" i="16"/>
  <c r="AE102" i="16"/>
  <c r="AF102" i="16"/>
  <c r="Y103" i="16"/>
  <c r="Z103" i="16"/>
  <c r="AE103" i="16"/>
  <c r="AF103" i="16"/>
  <c r="Y104" i="16"/>
  <c r="Z104" i="16"/>
  <c r="AE104" i="16"/>
  <c r="AF104" i="16"/>
  <c r="Y105" i="16"/>
  <c r="Z105" i="16"/>
  <c r="AE105" i="16"/>
  <c r="AF105" i="16"/>
  <c r="Y106" i="16"/>
  <c r="Z106" i="16"/>
  <c r="AE106" i="16"/>
  <c r="AF106" i="16"/>
  <c r="Y107" i="16"/>
  <c r="Z107" i="16"/>
  <c r="AE107" i="16"/>
  <c r="AF107" i="16"/>
  <c r="Y108" i="16"/>
  <c r="Z108" i="16"/>
  <c r="AE108" i="16"/>
  <c r="AF108" i="16"/>
  <c r="Y109" i="16"/>
  <c r="Z109" i="16"/>
  <c r="AE109" i="16"/>
  <c r="AF109" i="16"/>
  <c r="Y110" i="16"/>
  <c r="Z110" i="16"/>
  <c r="AE110" i="16"/>
  <c r="AF110" i="16"/>
  <c r="Y111" i="16"/>
  <c r="Z111" i="16"/>
  <c r="AE111" i="16"/>
  <c r="AF111" i="16"/>
  <c r="Y112" i="16"/>
  <c r="Z112" i="16"/>
  <c r="AE112" i="16"/>
  <c r="AF112" i="16"/>
  <c r="Y113" i="16"/>
  <c r="Z113" i="16"/>
  <c r="AE113" i="16"/>
  <c r="AF113" i="16"/>
  <c r="Y114" i="16"/>
  <c r="Z114" i="16"/>
  <c r="AE114" i="16"/>
  <c r="AF114" i="16"/>
  <c r="Y115" i="16"/>
  <c r="Z115" i="16"/>
  <c r="AE115" i="16"/>
  <c r="AF115" i="16"/>
  <c r="Y116" i="16"/>
  <c r="Z116" i="16"/>
  <c r="AE116" i="16"/>
  <c r="AF116" i="16"/>
  <c r="Y117" i="16"/>
  <c r="Z117" i="16"/>
  <c r="AE117" i="16"/>
  <c r="AF117" i="16"/>
  <c r="Y118" i="16"/>
  <c r="Z118" i="16"/>
  <c r="AE118" i="16"/>
  <c r="AF118" i="16"/>
  <c r="Y119" i="16"/>
  <c r="Z119" i="16"/>
  <c r="AE119" i="16"/>
  <c r="AF119" i="16"/>
  <c r="Y120" i="16"/>
  <c r="Z120" i="16"/>
  <c r="AE120" i="16"/>
  <c r="AF120" i="16"/>
  <c r="Y121" i="16"/>
  <c r="Z121" i="16"/>
  <c r="AE121" i="16"/>
  <c r="AF121" i="16"/>
  <c r="Y122" i="16"/>
  <c r="Z122" i="16"/>
  <c r="AE122" i="16"/>
  <c r="AF122" i="16"/>
  <c r="Y123" i="16"/>
  <c r="Z123" i="16"/>
  <c r="AE123" i="16"/>
  <c r="AF123" i="16"/>
  <c r="Y124" i="16"/>
  <c r="Z124" i="16"/>
  <c r="AE124" i="16"/>
  <c r="AF124" i="16"/>
  <c r="Y125" i="16"/>
  <c r="Z125" i="16"/>
  <c r="AE125" i="16"/>
  <c r="AF125" i="16"/>
  <c r="Y126" i="16"/>
  <c r="Z126" i="16"/>
  <c r="AE126" i="16"/>
  <c r="AF126" i="16"/>
  <c r="Y127" i="16"/>
  <c r="Z127" i="16"/>
  <c r="AE127" i="16"/>
  <c r="AF127" i="16"/>
  <c r="Y128" i="16"/>
  <c r="Z128" i="16"/>
  <c r="AE128" i="16"/>
  <c r="AF128" i="16"/>
  <c r="Y129" i="16"/>
  <c r="Z129" i="16"/>
  <c r="AE129" i="16"/>
  <c r="AF129" i="16"/>
  <c r="Y130" i="16"/>
  <c r="Z130" i="16"/>
  <c r="AE130" i="16"/>
  <c r="AF130" i="16"/>
  <c r="Y131" i="16"/>
  <c r="Z131" i="16"/>
  <c r="AE131" i="16"/>
  <c r="AF131" i="16"/>
  <c r="Y132" i="16"/>
  <c r="Z132" i="16"/>
  <c r="AE132" i="16"/>
  <c r="AF132" i="16"/>
  <c r="Y133" i="16"/>
  <c r="Z133" i="16"/>
  <c r="AE133" i="16"/>
  <c r="AF133" i="16"/>
  <c r="Y134" i="16"/>
  <c r="Z134" i="16"/>
  <c r="AE134" i="16"/>
  <c r="AF134" i="16"/>
  <c r="Y135" i="16"/>
  <c r="Z135" i="16"/>
  <c r="AE135" i="16"/>
  <c r="AF135" i="16"/>
  <c r="Y136" i="16"/>
  <c r="Z136" i="16"/>
  <c r="AE136" i="16"/>
  <c r="AF136" i="16"/>
  <c r="Y137" i="16"/>
  <c r="Z137" i="16"/>
  <c r="AE137" i="16"/>
  <c r="AF137" i="16"/>
  <c r="Y138" i="16"/>
  <c r="Z138" i="16"/>
  <c r="AE138" i="16"/>
  <c r="AF138" i="16"/>
  <c r="Y139" i="16"/>
  <c r="Z139" i="16"/>
  <c r="AE139" i="16"/>
  <c r="AF139" i="16"/>
  <c r="Y140" i="16"/>
  <c r="Z140" i="16"/>
  <c r="AE140" i="16"/>
  <c r="AF140" i="16"/>
  <c r="Y141" i="16"/>
  <c r="Z141" i="16"/>
  <c r="AE141" i="16"/>
  <c r="AF141" i="16"/>
  <c r="Y142" i="16"/>
  <c r="Z142" i="16"/>
  <c r="AE142" i="16"/>
  <c r="AF142" i="16"/>
  <c r="Y143" i="16"/>
  <c r="Z143" i="16"/>
  <c r="AE143" i="16"/>
  <c r="AF143" i="16"/>
  <c r="Y144" i="16"/>
  <c r="Z144" i="16"/>
  <c r="AE144" i="16"/>
  <c r="AF144" i="16"/>
  <c r="Y145" i="16"/>
  <c r="Z145" i="16"/>
  <c r="AE145" i="16"/>
  <c r="AF145" i="16"/>
  <c r="Y146" i="16"/>
  <c r="Z146" i="16"/>
  <c r="AE146" i="16"/>
  <c r="AF146" i="16"/>
  <c r="Y147" i="16"/>
  <c r="Z147" i="16"/>
  <c r="AE147" i="16"/>
  <c r="AF147" i="16"/>
  <c r="Y148" i="16"/>
  <c r="Z148" i="16"/>
  <c r="AE148" i="16"/>
  <c r="AF148" i="16"/>
  <c r="Y149" i="16"/>
  <c r="Z149" i="16"/>
  <c r="AE149" i="16"/>
  <c r="AF149" i="16"/>
  <c r="Y150" i="16"/>
  <c r="Z150" i="16"/>
  <c r="AE150" i="16"/>
  <c r="AF150" i="16"/>
  <c r="Y151" i="16"/>
  <c r="Z151" i="16"/>
  <c r="AE151" i="16"/>
  <c r="AF151" i="16"/>
  <c r="Y152" i="16"/>
  <c r="Z152" i="16"/>
  <c r="AE152" i="16"/>
  <c r="AF152" i="16"/>
  <c r="Y153" i="16"/>
  <c r="Z153" i="16"/>
  <c r="AE153" i="16"/>
  <c r="AF153" i="16"/>
  <c r="Y154" i="16"/>
  <c r="Z154" i="16"/>
  <c r="AE154" i="16"/>
  <c r="AF154" i="16"/>
  <c r="Y155" i="16"/>
  <c r="Z155" i="16"/>
  <c r="AE155" i="16"/>
  <c r="AF155" i="16"/>
  <c r="Y156" i="16"/>
  <c r="Z156" i="16"/>
  <c r="AE156" i="16"/>
  <c r="AF156" i="16"/>
  <c r="Y157" i="16"/>
  <c r="Z157" i="16"/>
  <c r="AE157" i="16"/>
  <c r="AF157" i="16"/>
  <c r="Y158" i="16"/>
  <c r="AE158" i="16"/>
  <c r="Y159" i="16"/>
  <c r="AE159" i="16"/>
  <c r="Y160" i="16"/>
  <c r="AE160" i="16"/>
  <c r="Y161" i="16"/>
  <c r="AE161" i="16"/>
  <c r="Y162" i="16"/>
  <c r="AE162" i="16"/>
  <c r="Y163" i="16"/>
  <c r="AE163" i="16"/>
  <c r="Y164" i="16"/>
  <c r="AE164" i="16"/>
  <c r="Y165" i="16"/>
  <c r="AE165" i="16"/>
  <c r="Y166" i="16"/>
  <c r="AE166" i="16"/>
  <c r="Y167" i="16"/>
  <c r="AE167" i="16"/>
  <c r="Y168" i="16"/>
  <c r="AE168" i="16"/>
  <c r="Y169" i="16"/>
  <c r="AE169" i="16"/>
  <c r="Y170" i="16"/>
  <c r="AE170" i="16"/>
  <c r="Y171" i="16"/>
  <c r="AE171" i="16"/>
  <c r="Y172" i="16"/>
  <c r="AE172" i="16"/>
  <c r="Y173" i="16"/>
  <c r="AE173" i="16"/>
  <c r="Y174" i="16"/>
  <c r="AE174" i="16"/>
  <c r="Y175" i="16"/>
  <c r="AE175" i="16"/>
  <c r="Y176" i="16"/>
  <c r="AE176" i="16"/>
  <c r="Y177" i="16"/>
  <c r="AE177" i="16"/>
  <c r="Y178" i="16"/>
  <c r="AE178" i="16"/>
  <c r="Y179" i="16"/>
  <c r="AE179" i="16"/>
  <c r="Y180" i="16"/>
  <c r="AE180" i="16"/>
  <c r="Y181" i="16"/>
  <c r="AE181" i="16"/>
  <c r="Y182" i="16"/>
  <c r="Z182" i="16"/>
  <c r="AE182" i="16"/>
  <c r="AF182" i="16"/>
  <c r="Y183" i="16"/>
  <c r="Z183" i="16"/>
  <c r="AE183" i="16"/>
  <c r="AF183" i="16"/>
  <c r="Y184" i="16"/>
  <c r="Z184" i="16"/>
  <c r="AE184" i="16"/>
  <c r="AF184" i="16"/>
  <c r="Y185" i="16"/>
  <c r="Z185" i="16"/>
  <c r="AE185" i="16"/>
  <c r="AF185" i="16"/>
  <c r="Y186" i="16"/>
  <c r="Z186" i="16"/>
  <c r="AE186" i="16"/>
  <c r="AF186" i="16"/>
  <c r="Y187" i="16"/>
  <c r="Z187" i="16"/>
  <c r="AE187" i="16"/>
  <c r="AF187" i="16"/>
  <c r="Y188" i="16"/>
  <c r="Z188" i="16"/>
  <c r="AE188" i="16"/>
  <c r="AF188" i="16"/>
  <c r="Y189" i="16"/>
  <c r="Z189" i="16"/>
  <c r="AE189" i="16"/>
  <c r="AF189" i="16"/>
  <c r="Y190" i="16"/>
  <c r="Z190" i="16"/>
  <c r="AE190" i="16"/>
  <c r="AF190" i="16"/>
  <c r="Y191" i="16"/>
  <c r="Z191" i="16"/>
  <c r="AE191" i="16"/>
  <c r="AF191" i="16"/>
  <c r="Y192" i="16"/>
  <c r="Z192" i="16"/>
  <c r="AE192" i="16"/>
  <c r="AF192" i="16"/>
  <c r="Y193" i="16"/>
  <c r="Z193" i="16"/>
  <c r="AE193" i="16"/>
  <c r="AF193" i="16"/>
  <c r="Z194" i="16"/>
  <c r="AF194" i="16"/>
  <c r="Z195" i="16"/>
  <c r="AF195" i="16"/>
  <c r="Z196" i="16"/>
  <c r="AF196" i="16"/>
  <c r="Z197" i="16"/>
  <c r="AF197" i="16"/>
  <c r="Z198" i="16"/>
  <c r="AF198" i="16"/>
  <c r="Z199" i="16"/>
  <c r="AF199" i="16"/>
  <c r="Z200" i="16"/>
  <c r="AF200" i="16"/>
  <c r="Z201" i="16"/>
  <c r="AF201" i="16"/>
  <c r="Z202" i="16"/>
  <c r="AF202" i="16"/>
  <c r="Z203" i="16"/>
  <c r="AF203" i="16"/>
  <c r="Z204" i="16"/>
  <c r="AF204" i="16"/>
  <c r="Z205" i="16"/>
  <c r="AF205" i="16"/>
  <c r="Y206" i="16"/>
  <c r="Z206" i="16"/>
  <c r="AE206" i="16"/>
  <c r="AF206" i="16"/>
  <c r="Y207" i="16"/>
  <c r="Z207" i="16"/>
  <c r="AE207" i="16"/>
  <c r="AF207" i="16"/>
  <c r="Y208" i="16"/>
  <c r="Z208" i="16"/>
  <c r="AE208" i="16"/>
  <c r="AF208" i="16"/>
  <c r="Y209" i="16"/>
  <c r="Z209" i="16"/>
  <c r="AE209" i="16"/>
  <c r="AF209" i="16"/>
  <c r="Y210" i="16"/>
  <c r="Z210" i="16"/>
  <c r="AE210" i="16"/>
  <c r="AF210" i="16"/>
  <c r="Y211" i="16"/>
  <c r="Z211" i="16"/>
  <c r="AE211" i="16"/>
  <c r="AF211" i="16"/>
  <c r="Y212" i="16"/>
  <c r="Z212" i="16"/>
  <c r="AE212" i="16"/>
  <c r="AF212" i="16"/>
  <c r="Y213" i="16"/>
  <c r="Z213" i="16"/>
  <c r="AE213" i="16"/>
  <c r="AF213" i="16"/>
  <c r="Y214" i="16"/>
  <c r="Z214" i="16"/>
  <c r="AE214" i="16"/>
  <c r="AF214" i="16"/>
  <c r="Y215" i="16"/>
  <c r="Z215" i="16"/>
  <c r="AE215" i="16"/>
  <c r="AF215" i="16"/>
  <c r="Y216" i="16"/>
  <c r="Z216" i="16"/>
  <c r="AE216" i="16"/>
  <c r="AF216" i="16"/>
  <c r="Y217" i="16"/>
  <c r="Z217" i="16"/>
  <c r="AE217" i="16"/>
  <c r="AF217" i="16"/>
  <c r="Y218" i="16"/>
  <c r="Z218" i="16"/>
  <c r="AE218" i="16"/>
  <c r="AF218" i="16"/>
  <c r="Y219" i="16"/>
  <c r="Z219" i="16"/>
  <c r="AE219" i="16"/>
  <c r="AF219" i="16"/>
  <c r="Y220" i="16"/>
  <c r="Z220" i="16"/>
  <c r="AE220" i="16"/>
  <c r="AF220" i="16"/>
  <c r="Y221" i="16"/>
  <c r="Z221" i="16"/>
  <c r="AE221" i="16"/>
  <c r="AF221" i="16"/>
  <c r="Y222" i="16"/>
  <c r="Z222" i="16"/>
  <c r="AE222" i="16"/>
  <c r="AF222" i="16"/>
  <c r="Y223" i="16"/>
  <c r="Z223" i="16"/>
  <c r="AE223" i="16"/>
  <c r="AF223" i="16"/>
  <c r="Y224" i="16"/>
  <c r="Z224" i="16"/>
  <c r="AE224" i="16"/>
  <c r="AF224" i="16"/>
  <c r="Y225" i="16"/>
  <c r="Z225" i="16"/>
  <c r="AE225" i="16"/>
  <c r="AF225" i="16"/>
  <c r="Y226" i="16"/>
  <c r="Z226" i="16"/>
  <c r="AE226" i="16"/>
  <c r="AF226" i="16"/>
  <c r="Y227" i="16"/>
  <c r="Z227" i="16"/>
  <c r="AE227" i="16"/>
  <c r="AF227" i="16"/>
  <c r="Y228" i="16"/>
  <c r="Z228" i="16"/>
  <c r="AE228" i="16"/>
  <c r="AF228" i="16"/>
  <c r="Y229" i="16"/>
  <c r="Z229" i="16"/>
  <c r="AE229" i="16"/>
  <c r="AF229" i="16"/>
  <c r="Y230" i="16"/>
  <c r="Z230" i="16"/>
  <c r="AE230" i="16"/>
  <c r="AF230" i="16"/>
  <c r="Y231" i="16"/>
  <c r="Z231" i="16"/>
  <c r="AE231" i="16"/>
  <c r="AF231" i="16"/>
  <c r="Y232" i="16"/>
  <c r="Z232" i="16"/>
  <c r="AE232" i="16"/>
  <c r="AF232" i="16"/>
  <c r="Y233" i="16"/>
  <c r="Z233" i="16"/>
  <c r="AE233" i="16"/>
  <c r="AF233" i="16"/>
  <c r="Y234" i="16"/>
  <c r="Z234" i="16"/>
  <c r="AE234" i="16"/>
  <c r="AF234" i="16"/>
  <c r="Y235" i="16"/>
  <c r="Z235" i="16"/>
  <c r="AE235" i="16"/>
  <c r="AF235" i="16"/>
  <c r="Y236" i="16"/>
  <c r="Z236" i="16"/>
  <c r="AE236" i="16"/>
  <c r="AF236" i="16"/>
  <c r="Y237" i="16"/>
  <c r="Z237" i="16"/>
  <c r="AE237" i="16"/>
  <c r="AF237" i="16"/>
  <c r="Y238" i="16"/>
  <c r="Z238" i="16"/>
  <c r="AE238" i="16"/>
  <c r="AF238" i="16"/>
  <c r="Y239" i="16"/>
  <c r="Z239" i="16"/>
  <c r="AE239" i="16"/>
  <c r="AF239" i="16"/>
  <c r="Y240" i="16"/>
  <c r="Z240" i="16"/>
  <c r="AE240" i="16"/>
  <c r="AF240" i="16"/>
  <c r="Y241" i="16"/>
  <c r="Z241" i="16"/>
  <c r="AE241" i="16"/>
  <c r="AF241" i="16"/>
  <c r="Y242" i="16"/>
  <c r="AE242" i="16"/>
  <c r="Y243" i="16"/>
  <c r="AE243" i="16"/>
  <c r="Y244" i="16"/>
  <c r="AE244" i="16"/>
  <c r="Y245" i="16"/>
  <c r="AE245" i="16"/>
  <c r="Y246" i="16"/>
  <c r="AE246" i="16"/>
  <c r="Y247" i="16"/>
  <c r="AE247" i="16"/>
  <c r="Y248" i="16"/>
  <c r="AE248" i="16"/>
  <c r="Y249" i="16"/>
  <c r="AE249" i="16"/>
  <c r="Y250" i="16"/>
  <c r="AE250" i="16"/>
  <c r="Y251" i="16"/>
  <c r="AE251" i="16"/>
  <c r="Y252" i="16"/>
  <c r="AE252" i="16"/>
  <c r="Y253" i="16"/>
  <c r="AE253" i="16"/>
  <c r="Z254" i="16"/>
  <c r="AF254" i="16"/>
  <c r="Z255" i="16"/>
  <c r="AF255" i="16"/>
  <c r="Z256" i="16"/>
  <c r="AF256" i="16"/>
  <c r="Z257" i="16"/>
  <c r="AF257" i="16"/>
  <c r="Z258" i="16"/>
  <c r="AF258" i="16"/>
  <c r="Z259" i="16"/>
  <c r="AF259" i="16"/>
  <c r="Z260" i="16"/>
  <c r="AF260" i="16"/>
  <c r="Z261" i="16"/>
  <c r="AF261" i="16"/>
  <c r="Z262" i="16"/>
  <c r="AF262" i="16"/>
  <c r="Z263" i="16"/>
  <c r="AF263" i="16"/>
  <c r="Z264" i="16"/>
  <c r="AF264" i="16"/>
  <c r="Z265" i="16"/>
  <c r="AF265" i="16"/>
  <c r="Z266" i="16"/>
  <c r="AF266" i="16"/>
  <c r="Y267" i="16"/>
  <c r="AE267" i="16"/>
  <c r="Y268" i="16"/>
  <c r="AE268" i="16"/>
  <c r="Y269" i="16"/>
  <c r="AE269" i="16"/>
  <c r="Y270" i="16"/>
  <c r="AE270" i="16"/>
  <c r="Y271" i="16"/>
  <c r="AE271" i="16"/>
  <c r="Y272" i="16"/>
  <c r="AE272" i="16"/>
  <c r="Y273" i="16"/>
  <c r="AE273" i="16"/>
  <c r="Y274" i="16"/>
  <c r="AE274" i="16"/>
  <c r="Y275" i="16"/>
  <c r="AE275" i="16"/>
  <c r="Y276" i="16"/>
  <c r="AE276" i="16"/>
  <c r="Y277" i="16"/>
  <c r="AE277" i="16"/>
  <c r="Y278" i="16"/>
  <c r="AE278" i="16"/>
  <c r="Y279" i="16"/>
  <c r="AE279" i="16"/>
  <c r="Z280" i="16"/>
  <c r="AF280" i="16"/>
  <c r="Z281" i="16"/>
  <c r="AF281" i="16"/>
  <c r="Z282" i="16"/>
  <c r="AF282" i="16"/>
  <c r="Z283" i="16"/>
  <c r="AF283" i="16"/>
  <c r="Z284" i="16"/>
  <c r="AF284" i="16"/>
  <c r="Z285" i="16"/>
  <c r="AF285" i="16"/>
  <c r="Z286" i="16"/>
  <c r="AF286" i="16"/>
  <c r="Z287" i="16"/>
  <c r="AF287" i="16"/>
  <c r="Z288" i="16"/>
  <c r="AF288" i="16"/>
  <c r="Z289" i="16"/>
  <c r="AF289" i="16"/>
  <c r="Z290" i="16"/>
  <c r="AF290" i="16"/>
  <c r="Z291" i="16"/>
  <c r="AF291" i="16"/>
  <c r="Z292" i="16"/>
  <c r="AF292" i="16"/>
  <c r="Z293" i="16"/>
  <c r="AF293" i="16"/>
  <c r="Z294" i="16"/>
  <c r="AF294" i="16"/>
  <c r="Z295" i="16"/>
  <c r="AF295" i="16"/>
  <c r="Z296" i="16"/>
  <c r="AF296" i="16"/>
  <c r="Z297" i="16"/>
  <c r="AF297" i="16"/>
  <c r="Z298" i="16"/>
  <c r="AF298" i="16"/>
  <c r="Z299" i="16"/>
  <c r="AF299" i="16"/>
  <c r="Z300" i="16"/>
  <c r="AF300" i="16"/>
  <c r="Z301" i="16"/>
  <c r="AF301" i="16"/>
  <c r="Z302" i="16"/>
  <c r="AF302" i="16"/>
  <c r="Z303" i="16"/>
  <c r="AF303" i="16"/>
  <c r="Z304" i="16"/>
  <c r="AF304" i="16"/>
  <c r="Y305" i="16"/>
  <c r="AE305" i="16"/>
  <c r="Y306" i="16"/>
  <c r="AE306" i="16"/>
  <c r="Y307" i="16"/>
  <c r="AE307" i="16"/>
  <c r="Y308" i="16"/>
  <c r="AE308" i="16"/>
  <c r="Y309" i="16"/>
  <c r="AE309" i="16"/>
  <c r="Y310" i="16"/>
  <c r="AE310" i="16"/>
  <c r="Y311" i="16"/>
  <c r="AE311" i="16"/>
  <c r="Y312" i="16"/>
  <c r="AE312" i="16"/>
  <c r="Y313" i="16"/>
  <c r="AE313" i="16"/>
  <c r="Y314" i="16"/>
  <c r="AE314" i="16"/>
  <c r="Y315" i="16"/>
  <c r="AE315" i="16"/>
  <c r="Y316" i="16"/>
  <c r="AE316" i="16"/>
  <c r="Z317" i="16"/>
  <c r="AF317" i="16"/>
  <c r="Z318" i="16"/>
  <c r="AF318" i="16"/>
  <c r="Z319" i="16"/>
  <c r="AF319" i="16"/>
  <c r="Z320" i="16"/>
  <c r="AF320" i="16"/>
  <c r="Z321" i="16"/>
  <c r="AF321" i="16"/>
  <c r="Z322" i="16"/>
  <c r="AF322" i="16"/>
  <c r="Z323" i="16"/>
  <c r="AF323" i="16"/>
  <c r="Z324" i="16"/>
  <c r="AF324" i="16"/>
  <c r="Z325" i="16"/>
  <c r="AF325" i="16"/>
  <c r="Z326" i="16"/>
  <c r="AF326" i="16"/>
  <c r="Z327" i="16"/>
  <c r="AF327" i="16"/>
  <c r="Z328" i="16"/>
  <c r="AF328" i="16"/>
  <c r="Z329" i="16"/>
  <c r="AF329" i="16"/>
  <c r="Z330" i="16"/>
  <c r="AF330" i="16"/>
  <c r="Z331" i="16"/>
  <c r="AF331" i="16"/>
  <c r="Z332" i="16"/>
  <c r="AF332" i="16"/>
  <c r="Z333" i="16"/>
  <c r="AF333" i="16"/>
  <c r="Z334" i="16"/>
  <c r="AF334" i="16"/>
  <c r="Z335" i="16"/>
  <c r="AF335" i="16"/>
  <c r="Z336" i="16"/>
  <c r="AF336" i="16"/>
  <c r="Z337" i="16"/>
  <c r="AF337" i="16"/>
  <c r="Z338" i="16"/>
  <c r="AF338" i="16"/>
  <c r="Z339" i="16"/>
  <c r="AF339" i="16"/>
  <c r="Z340" i="16"/>
  <c r="AF340" i="16"/>
  <c r="Y341" i="16"/>
  <c r="AE341" i="16"/>
  <c r="Y342" i="16"/>
  <c r="AE342" i="16"/>
  <c r="Y343" i="16"/>
  <c r="AE343" i="16"/>
  <c r="Y344" i="16"/>
  <c r="AE344" i="16"/>
  <c r="Y345" i="16"/>
  <c r="AE345" i="16"/>
  <c r="Y346" i="16"/>
  <c r="AE346" i="16"/>
  <c r="Y347" i="16"/>
  <c r="AE347" i="16"/>
  <c r="Y348" i="16"/>
  <c r="AE348" i="16"/>
  <c r="Y349" i="16"/>
  <c r="AE349" i="16"/>
  <c r="Y350" i="16"/>
  <c r="AE350" i="16"/>
  <c r="Y351" i="16"/>
  <c r="AE351" i="16"/>
  <c r="Y352" i="16"/>
  <c r="AE352" i="16"/>
  <c r="Z353" i="16"/>
  <c r="AF353" i="16"/>
  <c r="Z354" i="16"/>
  <c r="AF354" i="16"/>
  <c r="Z355" i="16"/>
  <c r="AF355" i="16"/>
  <c r="Z356" i="16"/>
  <c r="AF356" i="16"/>
  <c r="Z357" i="16"/>
  <c r="AF357" i="16"/>
  <c r="Z358" i="16"/>
  <c r="AF358" i="16"/>
  <c r="Z359" i="16"/>
  <c r="AF359" i="16"/>
  <c r="Z360" i="16"/>
  <c r="AF360" i="16"/>
  <c r="Z361" i="16"/>
  <c r="AF361" i="16"/>
  <c r="Z362" i="16"/>
  <c r="AF362" i="16"/>
  <c r="Z363" i="16"/>
  <c r="AF363" i="16"/>
  <c r="Z364" i="16"/>
  <c r="AF364" i="16"/>
  <c r="Y365" i="16"/>
  <c r="Z365" i="16"/>
  <c r="AE365" i="16"/>
  <c r="AF365" i="16"/>
  <c r="Y366" i="16"/>
  <c r="Z366" i="16"/>
  <c r="AE366" i="16"/>
  <c r="AF366" i="16"/>
  <c r="Y367" i="16"/>
  <c r="Z367" i="16"/>
  <c r="AE367" i="16"/>
  <c r="AF367" i="16"/>
  <c r="Y368" i="16"/>
  <c r="Z368" i="16"/>
  <c r="AE368" i="16"/>
  <c r="AF368" i="16"/>
  <c r="Y369" i="16"/>
  <c r="Z369" i="16"/>
  <c r="AE369" i="16"/>
  <c r="AF369" i="16"/>
  <c r="Y370" i="16"/>
  <c r="Z370" i="16"/>
  <c r="AE370" i="16"/>
  <c r="AF370" i="16"/>
  <c r="Y371" i="16"/>
  <c r="Z371" i="16"/>
  <c r="AE371" i="16"/>
  <c r="AF371" i="16"/>
  <c r="Y372" i="16"/>
  <c r="Z372" i="16"/>
  <c r="AE372" i="16"/>
  <c r="AF372" i="16"/>
  <c r="Y373" i="16"/>
  <c r="Z373" i="16"/>
  <c r="AE373" i="16"/>
  <c r="AF373" i="16"/>
  <c r="Y374" i="16"/>
  <c r="Z374" i="16"/>
  <c r="AE374" i="16"/>
  <c r="AF374" i="16"/>
  <c r="Y375" i="16"/>
  <c r="Z375" i="16"/>
  <c r="AE375" i="16"/>
  <c r="AF375" i="16"/>
  <c r="Y376" i="16"/>
  <c r="Z376" i="16"/>
  <c r="AE376" i="16"/>
  <c r="AF376" i="16"/>
  <c r="Y377" i="16"/>
  <c r="Z377" i="16"/>
  <c r="AE377" i="16"/>
  <c r="AF377" i="16"/>
  <c r="Y378" i="16"/>
  <c r="Z378" i="16"/>
  <c r="AE378" i="16"/>
  <c r="AF378" i="16"/>
  <c r="Y379" i="16"/>
  <c r="Z379" i="16"/>
  <c r="AE379" i="16"/>
  <c r="AF379" i="16"/>
  <c r="Y380" i="16"/>
  <c r="Z380" i="16"/>
  <c r="AE380" i="16"/>
  <c r="AF380" i="16"/>
  <c r="Y381" i="16"/>
  <c r="Z381" i="16"/>
  <c r="AE381" i="16"/>
  <c r="AF381" i="16"/>
  <c r="Y382" i="16"/>
  <c r="Z382" i="16"/>
  <c r="AE382" i="16"/>
  <c r="AF382" i="16"/>
  <c r="Y383" i="16"/>
  <c r="Z383" i="16"/>
  <c r="AE383" i="16"/>
  <c r="AF383" i="16"/>
  <c r="Y384" i="16"/>
  <c r="Z384" i="16"/>
  <c r="AE384" i="16"/>
  <c r="AF384" i="16"/>
  <c r="Y385" i="16"/>
  <c r="Z385" i="16"/>
  <c r="AE385" i="16"/>
  <c r="AF385" i="16"/>
  <c r="Y386" i="16"/>
  <c r="Z386" i="16"/>
  <c r="AE386" i="16"/>
  <c r="AF386" i="16"/>
  <c r="Y387" i="16"/>
  <c r="Z387" i="16"/>
  <c r="AE387" i="16"/>
  <c r="AF387" i="16"/>
  <c r="Y388" i="16"/>
  <c r="Z388" i="16"/>
  <c r="AE388" i="16"/>
  <c r="AF388" i="16"/>
  <c r="Y389" i="16"/>
  <c r="Z389" i="16"/>
  <c r="AE389" i="16"/>
  <c r="AF389" i="16"/>
  <c r="Y390" i="16"/>
  <c r="Z390" i="16"/>
  <c r="AE390" i="16"/>
  <c r="AF390" i="16"/>
  <c r="Y391" i="16"/>
  <c r="Z391" i="16"/>
  <c r="AE391" i="16"/>
  <c r="AF391" i="16"/>
  <c r="Y392" i="16"/>
  <c r="Z392" i="16"/>
  <c r="AE392" i="16"/>
  <c r="AF392" i="16"/>
  <c r="Y393" i="16"/>
  <c r="Z393" i="16"/>
  <c r="AE393" i="16"/>
  <c r="AF393" i="16"/>
  <c r="Y394" i="16"/>
  <c r="Z394" i="16"/>
  <c r="AE394" i="16"/>
  <c r="AF394" i="16"/>
  <c r="Y395" i="16"/>
  <c r="Z395" i="16"/>
  <c r="AE395" i="16"/>
  <c r="AF395" i="16"/>
  <c r="Y396" i="16"/>
  <c r="Z396" i="16"/>
  <c r="AE396" i="16"/>
  <c r="AF396" i="16"/>
  <c r="Y397" i="16"/>
  <c r="Z397" i="16"/>
  <c r="AE397" i="16"/>
  <c r="AF397" i="16"/>
  <c r="Y398" i="16"/>
  <c r="Z398" i="16"/>
  <c r="AE398" i="16"/>
  <c r="AF398" i="16"/>
  <c r="Y399" i="16"/>
  <c r="Z399" i="16"/>
  <c r="AE399" i="16"/>
  <c r="AF399" i="16"/>
  <c r="Y400" i="16"/>
  <c r="Z400" i="16"/>
  <c r="AE400" i="16"/>
  <c r="AF400" i="16"/>
  <c r="Y401" i="16"/>
  <c r="Z401" i="16"/>
  <c r="AE401" i="16"/>
  <c r="AF401" i="16"/>
  <c r="Y402" i="16"/>
  <c r="Z402" i="16"/>
  <c r="AE402" i="16"/>
  <c r="AF402" i="16"/>
  <c r="Y403" i="16"/>
  <c r="Z403" i="16"/>
  <c r="AE403" i="16"/>
  <c r="AF403" i="16"/>
  <c r="Y404" i="16"/>
  <c r="Z404" i="16"/>
  <c r="AE404" i="16"/>
  <c r="AF404" i="16"/>
  <c r="Y405" i="16"/>
  <c r="Z405" i="16"/>
  <c r="AE405" i="16"/>
  <c r="AF405" i="16"/>
  <c r="Y406" i="16"/>
  <c r="Z406" i="16"/>
  <c r="AE406" i="16"/>
  <c r="AF406" i="16"/>
  <c r="Y407" i="16"/>
  <c r="Z407" i="16"/>
  <c r="AE407" i="16"/>
  <c r="AF407" i="16"/>
  <c r="Y408" i="16"/>
  <c r="Z408" i="16"/>
  <c r="AE408" i="16"/>
  <c r="AF408" i="16"/>
  <c r="Y409" i="16"/>
  <c r="Z409" i="16"/>
  <c r="AE409" i="16"/>
  <c r="AF409" i="16"/>
  <c r="Y410" i="16"/>
  <c r="Z410" i="16"/>
  <c r="AE410" i="16"/>
  <c r="AF410" i="16"/>
  <c r="Y411" i="16"/>
  <c r="Z411" i="16"/>
  <c r="AE411" i="16"/>
  <c r="AF411" i="16"/>
  <c r="Y412" i="16"/>
  <c r="Z412" i="16"/>
  <c r="AE412" i="16"/>
  <c r="AF412" i="16"/>
  <c r="Y413" i="16"/>
  <c r="Z413" i="16"/>
  <c r="AE413" i="16"/>
  <c r="AF413" i="16"/>
  <c r="Y414" i="16"/>
  <c r="Z414" i="16"/>
  <c r="AE414" i="16"/>
  <c r="AF414" i="16"/>
  <c r="Y415" i="16"/>
  <c r="Z415" i="16"/>
  <c r="AE415" i="16"/>
  <c r="AF415" i="16"/>
  <c r="Y416" i="16"/>
  <c r="Z416" i="16"/>
  <c r="AE416" i="16"/>
  <c r="AF416" i="16"/>
  <c r="Y417" i="16"/>
  <c r="Z417" i="16"/>
  <c r="AE417" i="16"/>
  <c r="AF417" i="16"/>
  <c r="Y418" i="16"/>
  <c r="Z418" i="16"/>
  <c r="AE418" i="16"/>
  <c r="AF418" i="16"/>
  <c r="Y419" i="16"/>
  <c r="Z419" i="16"/>
  <c r="AE419" i="16"/>
  <c r="AF419" i="16"/>
  <c r="Y420" i="16"/>
  <c r="Z420" i="16"/>
  <c r="AE420" i="16"/>
  <c r="AF420" i="16"/>
  <c r="Y421" i="16"/>
  <c r="Z421" i="16"/>
  <c r="AE421" i="16"/>
  <c r="AF421" i="16"/>
  <c r="Y422" i="16"/>
  <c r="Z422" i="16"/>
  <c r="AE422" i="16"/>
  <c r="AF422" i="16"/>
  <c r="Y423" i="16"/>
  <c r="Z423" i="16"/>
  <c r="AE423" i="16"/>
  <c r="AF423" i="16"/>
  <c r="Y424" i="16"/>
  <c r="Z424" i="16"/>
  <c r="AE424" i="16"/>
  <c r="AF424" i="16"/>
  <c r="Y425" i="16"/>
  <c r="Z425" i="16"/>
  <c r="AE425" i="16"/>
  <c r="AF425" i="16"/>
  <c r="Y426" i="16"/>
  <c r="Z426" i="16"/>
  <c r="AE426" i="16"/>
  <c r="AF426" i="16"/>
  <c r="Y427" i="16"/>
  <c r="Z427" i="16"/>
  <c r="AE427" i="16"/>
  <c r="AF427" i="16"/>
  <c r="Y428" i="16"/>
  <c r="Z428" i="16"/>
  <c r="AE428" i="16"/>
  <c r="AF428" i="16"/>
  <c r="Y429" i="16"/>
  <c r="Z429" i="16"/>
  <c r="AE429" i="16"/>
  <c r="AF429" i="16"/>
  <c r="Y430" i="16"/>
  <c r="Z430" i="16"/>
  <c r="AE430" i="16"/>
  <c r="AF430" i="16"/>
  <c r="Y431" i="16"/>
  <c r="Z431" i="16"/>
  <c r="AE431" i="16"/>
  <c r="AF431" i="16"/>
  <c r="Y432" i="16"/>
  <c r="Z432" i="16"/>
  <c r="AE432" i="16"/>
  <c r="AF432" i="16"/>
  <c r="Y433" i="16"/>
  <c r="Z433" i="16"/>
  <c r="AE433" i="16"/>
  <c r="AF433" i="16"/>
  <c r="Y434" i="16"/>
  <c r="Z434" i="16"/>
  <c r="AE434" i="16"/>
  <c r="AF434" i="16"/>
  <c r="Y435" i="16"/>
  <c r="Z435" i="16"/>
  <c r="AE435" i="16"/>
  <c r="AF435" i="16"/>
  <c r="Y436" i="16"/>
  <c r="Z436" i="16"/>
  <c r="AE436" i="16"/>
  <c r="AF436" i="16"/>
  <c r="Y437" i="16"/>
  <c r="Z437" i="16"/>
  <c r="AE437" i="16"/>
  <c r="AF437" i="16"/>
  <c r="Y438" i="16"/>
  <c r="Z438" i="16"/>
  <c r="AE438" i="16"/>
  <c r="AF438" i="16"/>
  <c r="Z439" i="16"/>
  <c r="AF439" i="16"/>
  <c r="Z440" i="16"/>
  <c r="AF440" i="16"/>
  <c r="Z441" i="16"/>
  <c r="AF441" i="16"/>
  <c r="Z442" i="16"/>
  <c r="AF442" i="16"/>
  <c r="Z443" i="16"/>
  <c r="AF443" i="16"/>
  <c r="Z444" i="16"/>
  <c r="AF444" i="16"/>
  <c r="Z445" i="16"/>
  <c r="AF445" i="16"/>
  <c r="Z446" i="16"/>
  <c r="AF446" i="16"/>
  <c r="Z447" i="16"/>
  <c r="AF447" i="16"/>
  <c r="Z448" i="16"/>
  <c r="AF448" i="16"/>
  <c r="Z449" i="16"/>
  <c r="AF449" i="16"/>
  <c r="Z450" i="16"/>
  <c r="AF450" i="16"/>
  <c r="Y451" i="16"/>
  <c r="Z451" i="16"/>
  <c r="AE451" i="16"/>
  <c r="AF451" i="16"/>
  <c r="Y452" i="16"/>
  <c r="Z452" i="16"/>
  <c r="AE452" i="16"/>
  <c r="AF452" i="16"/>
  <c r="Y453" i="16"/>
  <c r="Z453" i="16"/>
  <c r="AE453" i="16"/>
  <c r="AF453" i="16"/>
  <c r="Y454" i="16"/>
  <c r="Z454" i="16"/>
  <c r="AE454" i="16"/>
  <c r="AF454" i="16"/>
  <c r="Y455" i="16"/>
  <c r="Z455" i="16"/>
  <c r="AE455" i="16"/>
  <c r="AF455" i="16"/>
  <c r="Y456" i="16"/>
  <c r="Z456" i="16"/>
  <c r="AE456" i="16"/>
  <c r="AF456" i="16"/>
  <c r="Y457" i="16"/>
  <c r="Z457" i="16"/>
  <c r="AE457" i="16"/>
  <c r="AF457" i="16"/>
  <c r="Y458" i="16"/>
  <c r="Z458" i="16"/>
  <c r="AE458" i="16"/>
  <c r="AF458" i="16"/>
  <c r="Y459" i="16"/>
  <c r="Z459" i="16"/>
  <c r="AE459" i="16"/>
  <c r="AF459" i="16"/>
  <c r="Y460" i="16"/>
  <c r="Z460" i="16"/>
  <c r="AE460" i="16"/>
  <c r="AF460" i="16"/>
  <c r="Y461" i="16"/>
  <c r="Z461" i="16"/>
  <c r="AE461" i="16"/>
  <c r="AF461" i="16"/>
  <c r="Y462" i="16"/>
  <c r="Z462" i="16"/>
  <c r="AE462" i="16"/>
  <c r="AF462" i="16"/>
  <c r="Y463" i="16"/>
  <c r="Z463" i="16"/>
  <c r="AE463" i="16"/>
  <c r="AF463" i="16"/>
  <c r="Y464" i="16"/>
  <c r="Z464" i="16"/>
  <c r="AE464" i="16"/>
  <c r="AF464" i="16"/>
  <c r="Y465" i="16"/>
  <c r="Z465" i="16"/>
  <c r="AE465" i="16"/>
  <c r="AF465" i="16"/>
  <c r="Y466" i="16"/>
  <c r="Z466" i="16"/>
  <c r="AE466" i="16"/>
  <c r="AF466" i="16"/>
  <c r="Y467" i="16"/>
  <c r="Z467" i="16"/>
  <c r="AE467" i="16"/>
  <c r="AF467" i="16"/>
  <c r="Y468" i="16"/>
  <c r="Z468" i="16"/>
  <c r="AE468" i="16"/>
  <c r="AF468" i="16"/>
  <c r="Y469" i="16"/>
  <c r="Z469" i="16"/>
  <c r="AE469" i="16"/>
  <c r="AF469" i="16"/>
  <c r="Y470" i="16"/>
  <c r="Z470" i="16"/>
  <c r="AE470" i="16"/>
  <c r="AF470" i="16"/>
  <c r="Y471" i="16"/>
  <c r="Z471" i="16"/>
  <c r="AE471" i="16"/>
  <c r="AF471" i="16"/>
  <c r="Y472" i="16"/>
  <c r="Z472" i="16"/>
  <c r="AE472" i="16"/>
  <c r="AF472" i="16"/>
  <c r="Y473" i="16"/>
  <c r="Z473" i="16"/>
  <c r="AE473" i="16"/>
  <c r="AF473" i="16"/>
  <c r="Y474" i="16"/>
  <c r="Z474" i="16"/>
  <c r="AE474" i="16"/>
  <c r="AF474" i="16"/>
  <c r="Y475" i="16"/>
  <c r="Z475" i="16"/>
  <c r="AE475" i="16"/>
  <c r="AF475" i="16"/>
  <c r="Y476" i="16"/>
  <c r="Z476" i="16"/>
  <c r="AE476" i="16"/>
  <c r="AF476" i="16"/>
  <c r="Y477" i="16"/>
  <c r="Z477" i="16"/>
  <c r="AE477" i="16"/>
  <c r="AF477" i="16"/>
  <c r="Y478" i="16"/>
  <c r="Z478" i="16"/>
  <c r="AE478" i="16"/>
  <c r="AF478" i="16"/>
  <c r="Y479" i="16"/>
  <c r="Z479" i="16"/>
  <c r="AE479" i="16"/>
  <c r="AF479" i="16"/>
  <c r="Y480" i="16"/>
  <c r="Z480" i="16"/>
  <c r="AE480" i="16"/>
  <c r="AF480" i="16"/>
  <c r="Y481" i="16"/>
  <c r="Z481" i="16"/>
  <c r="AE481" i="16"/>
  <c r="AF481" i="16"/>
  <c r="Y482" i="16"/>
  <c r="Z482" i="16"/>
  <c r="AE482" i="16"/>
  <c r="AF482" i="16"/>
  <c r="Y483" i="16"/>
  <c r="Z483" i="16"/>
  <c r="AE483" i="16"/>
  <c r="AF483" i="16"/>
  <c r="Y484" i="16"/>
  <c r="Z484" i="16"/>
  <c r="AE484" i="16"/>
  <c r="AF484" i="16"/>
  <c r="Y485" i="16"/>
  <c r="Z485" i="16"/>
  <c r="AE485" i="16"/>
  <c r="AF485" i="16"/>
  <c r="Y486" i="16"/>
  <c r="Z486" i="16"/>
  <c r="AE486" i="16"/>
  <c r="AF486" i="16"/>
  <c r="Y487" i="16"/>
  <c r="Z487" i="16"/>
  <c r="AE487" i="16"/>
  <c r="AF487" i="16"/>
  <c r="Y488" i="16"/>
  <c r="Z488" i="16"/>
  <c r="AE488" i="16"/>
  <c r="AF488" i="16"/>
  <c r="Y489" i="16"/>
  <c r="Z489" i="16"/>
  <c r="AE489" i="16"/>
  <c r="AF489" i="16"/>
  <c r="Y490" i="16"/>
  <c r="Z490" i="16"/>
  <c r="AE490" i="16"/>
  <c r="AF490" i="16"/>
  <c r="Y491" i="16"/>
  <c r="Z491" i="16"/>
  <c r="AE491" i="16"/>
  <c r="AF491" i="16"/>
  <c r="Y492" i="16"/>
  <c r="Z492" i="16"/>
  <c r="AE492" i="16"/>
  <c r="AF492" i="16"/>
  <c r="Y493" i="16"/>
  <c r="Z493" i="16"/>
  <c r="AE493" i="16"/>
  <c r="AF493" i="16"/>
  <c r="Y494" i="16"/>
  <c r="Z494" i="16"/>
  <c r="AE494" i="16"/>
  <c r="AF494" i="16"/>
  <c r="Y495" i="16"/>
  <c r="Z495" i="16"/>
  <c r="AE495" i="16"/>
  <c r="AF495" i="16"/>
  <c r="Y496" i="16"/>
  <c r="Z496" i="16"/>
  <c r="AE496" i="16"/>
  <c r="AF496" i="16"/>
  <c r="Y497" i="16"/>
  <c r="Z497" i="16"/>
  <c r="AE497" i="16"/>
  <c r="AF497" i="16"/>
  <c r="Y498" i="16"/>
  <c r="Z498" i="16"/>
  <c r="AE498" i="16"/>
  <c r="AF498" i="16"/>
  <c r="Y499" i="16"/>
  <c r="Z499" i="16"/>
  <c r="AE499" i="16"/>
  <c r="AF499" i="16"/>
  <c r="Y500" i="16"/>
  <c r="Z500" i="16"/>
  <c r="AE500" i="16"/>
  <c r="AF500" i="16"/>
  <c r="Y501" i="16"/>
  <c r="Z501" i="16"/>
  <c r="AE501" i="16"/>
  <c r="AF501" i="16"/>
  <c r="Y502" i="16"/>
  <c r="Z502" i="16"/>
  <c r="AE502" i="16"/>
  <c r="AF502" i="16"/>
  <c r="Y503" i="16"/>
  <c r="Z503" i="16"/>
  <c r="AE503" i="16"/>
  <c r="AF503" i="16"/>
  <c r="Y504" i="16"/>
  <c r="Z504" i="16"/>
  <c r="AE504" i="16"/>
  <c r="AF504" i="16"/>
  <c r="Y505" i="16"/>
  <c r="Z505" i="16"/>
  <c r="AE505" i="16"/>
  <c r="AF505" i="16"/>
  <c r="Y506" i="16"/>
  <c r="Z506" i="16"/>
  <c r="AE506" i="16"/>
  <c r="AF506" i="16"/>
  <c r="Y507" i="16"/>
  <c r="Z507" i="16"/>
  <c r="AE507" i="16"/>
  <c r="AF507" i="16"/>
  <c r="Y508" i="16"/>
  <c r="Z508" i="16"/>
  <c r="AE508" i="16"/>
  <c r="AF508" i="16"/>
  <c r="Y509" i="16"/>
  <c r="Z509" i="16"/>
  <c r="AE509" i="16"/>
  <c r="AF509" i="16"/>
  <c r="Y510" i="16"/>
  <c r="Z510" i="16"/>
  <c r="AE510" i="16"/>
  <c r="AF510" i="16"/>
  <c r="Y511" i="16"/>
  <c r="Z511" i="16"/>
  <c r="AE511" i="16"/>
  <c r="AF511" i="16"/>
  <c r="Y512" i="16"/>
  <c r="Z512" i="16"/>
  <c r="AE512" i="16"/>
  <c r="AF512" i="16"/>
  <c r="Y513" i="16"/>
  <c r="Z513" i="16"/>
  <c r="AE513" i="16"/>
  <c r="AF513" i="16"/>
  <c r="Y514" i="16"/>
  <c r="Z514" i="16"/>
  <c r="AE514" i="16"/>
  <c r="AF514" i="16"/>
  <c r="Y515" i="16"/>
  <c r="Z515" i="16"/>
  <c r="AE515" i="16"/>
  <c r="AF515" i="16"/>
  <c r="Y516" i="16"/>
  <c r="Z516" i="16"/>
  <c r="AE516" i="16"/>
  <c r="AF516" i="16"/>
  <c r="Y517" i="16"/>
  <c r="Z517" i="16"/>
  <c r="AE517" i="16"/>
  <c r="AF517" i="16"/>
  <c r="Y518" i="16"/>
  <c r="Z518" i="16"/>
  <c r="AE518" i="16"/>
  <c r="AF518" i="16"/>
  <c r="Y519" i="16"/>
  <c r="Z519" i="16"/>
  <c r="AE519" i="16"/>
  <c r="AF519" i="16"/>
  <c r="Y520" i="16"/>
  <c r="Z520" i="16"/>
  <c r="AE520" i="16"/>
  <c r="AF520" i="16"/>
  <c r="Y521" i="16"/>
  <c r="Z521" i="16"/>
  <c r="AE521" i="16"/>
  <c r="AF521" i="16"/>
  <c r="Y522" i="16"/>
  <c r="Z522" i="16"/>
  <c r="AE522" i="16"/>
  <c r="AF522" i="16"/>
  <c r="Y523" i="16"/>
  <c r="Z523" i="16"/>
  <c r="AE523" i="16"/>
  <c r="AF523" i="16"/>
  <c r="Y524" i="16"/>
  <c r="Z524" i="16"/>
  <c r="AE524" i="16"/>
  <c r="AF524" i="16"/>
  <c r="Y525" i="16"/>
  <c r="Z525" i="16"/>
  <c r="AE525" i="16"/>
  <c r="AF525" i="16"/>
  <c r="Y526" i="16"/>
  <c r="Z526" i="16"/>
  <c r="AE526" i="16"/>
  <c r="AF526" i="16"/>
  <c r="Y527" i="16"/>
  <c r="Z527" i="16"/>
  <c r="AE527" i="16"/>
  <c r="AF527" i="16"/>
  <c r="Y528" i="16"/>
  <c r="Z528" i="16"/>
  <c r="AE528" i="16"/>
  <c r="AF528" i="16"/>
  <c r="Y529" i="16"/>
  <c r="Z529" i="16"/>
  <c r="AE529" i="16"/>
  <c r="AF529" i="16"/>
  <c r="Y530" i="16"/>
  <c r="Z530" i="16"/>
  <c r="AE530" i="16"/>
  <c r="AF530" i="16"/>
  <c r="Y531" i="16"/>
  <c r="Z531" i="16"/>
  <c r="AE531" i="16"/>
  <c r="AF531" i="16"/>
  <c r="Y532" i="16"/>
  <c r="Z532" i="16"/>
  <c r="AE532" i="16"/>
  <c r="AF532" i="16"/>
  <c r="Y533" i="16"/>
  <c r="Z533" i="16"/>
  <c r="AE533" i="16"/>
  <c r="AF533" i="16"/>
  <c r="Y534" i="16"/>
  <c r="Z534" i="16"/>
  <c r="AE534" i="16"/>
  <c r="AF534" i="16"/>
  <c r="Y535" i="16"/>
  <c r="Z535" i="16"/>
  <c r="AE535" i="16"/>
  <c r="AF535" i="16"/>
  <c r="Y536" i="16"/>
  <c r="Z536" i="16"/>
  <c r="AE536" i="16"/>
  <c r="AF536" i="16"/>
  <c r="Y537" i="16"/>
  <c r="Z537" i="16"/>
  <c r="AE537" i="16"/>
  <c r="AF537" i="16"/>
  <c r="Y538" i="16"/>
  <c r="Z538" i="16"/>
  <c r="AE538" i="16"/>
  <c r="AF538" i="16"/>
  <c r="Y539" i="16"/>
  <c r="Z539" i="16"/>
  <c r="AE539" i="16"/>
  <c r="AF539" i="16"/>
  <c r="Y540" i="16"/>
  <c r="Z540" i="16"/>
  <c r="AE540" i="16"/>
  <c r="AF540" i="16"/>
  <c r="Y541" i="16"/>
  <c r="Z541" i="16"/>
  <c r="AE541" i="16"/>
  <c r="AF541" i="16"/>
  <c r="Y542" i="16"/>
  <c r="Z542" i="16"/>
  <c r="AE542" i="16"/>
  <c r="AF542" i="16"/>
  <c r="Y543" i="16"/>
  <c r="Z543" i="16"/>
  <c r="AE543" i="16"/>
  <c r="AF543" i="16"/>
  <c r="Y544" i="16"/>
  <c r="Z544" i="16"/>
  <c r="AE544" i="16"/>
  <c r="AF544" i="16"/>
  <c r="Y545" i="16"/>
  <c r="Z545" i="16"/>
  <c r="AE545" i="16"/>
  <c r="AF545" i="16"/>
  <c r="Y546" i="16"/>
  <c r="Z546" i="16"/>
  <c r="AE546" i="16"/>
  <c r="AF546" i="16"/>
  <c r="Y547" i="16"/>
  <c r="Z547" i="16"/>
  <c r="AE547" i="16"/>
  <c r="AF547" i="16"/>
  <c r="Y548" i="16"/>
  <c r="Z548" i="16"/>
  <c r="AE548" i="16"/>
  <c r="AF548" i="16"/>
  <c r="Y549" i="16"/>
  <c r="Z549" i="16"/>
  <c r="AE549" i="16"/>
  <c r="AF549" i="16"/>
  <c r="Y550" i="16"/>
  <c r="Z550" i="16"/>
  <c r="AE550" i="16"/>
  <c r="AF550" i="16"/>
  <c r="Y551" i="16"/>
  <c r="Z551" i="16"/>
  <c r="AE551" i="16"/>
  <c r="AF551" i="16"/>
  <c r="Y552" i="16"/>
  <c r="Z552" i="16"/>
  <c r="AE552" i="16"/>
  <c r="AF552" i="16"/>
  <c r="Y553" i="16"/>
  <c r="Z553" i="16"/>
  <c r="AE553" i="16"/>
  <c r="AF553" i="16"/>
  <c r="Y554" i="16"/>
  <c r="Z554" i="16"/>
  <c r="AE554" i="16"/>
  <c r="AF554" i="16"/>
  <c r="Y555" i="16"/>
  <c r="Z555" i="16"/>
  <c r="AE555" i="16"/>
  <c r="AF555" i="16"/>
  <c r="Y556" i="16"/>
  <c r="Z556" i="16"/>
  <c r="AE556" i="16"/>
  <c r="AF556" i="16"/>
  <c r="Y557" i="16"/>
  <c r="Z557" i="16"/>
  <c r="AE557" i="16"/>
  <c r="AF557" i="16"/>
  <c r="Y558" i="16"/>
  <c r="Z558" i="16"/>
  <c r="AE558" i="16"/>
  <c r="AF558" i="16"/>
  <c r="Y559" i="16"/>
  <c r="Z559" i="16"/>
  <c r="AE559" i="16"/>
  <c r="AF559" i="16"/>
  <c r="Y560" i="16"/>
  <c r="Z560" i="16"/>
  <c r="AE560" i="16"/>
  <c r="AF560" i="16"/>
  <c r="Y561" i="16"/>
  <c r="Z561" i="16"/>
  <c r="AE561" i="16"/>
  <c r="AF561" i="16"/>
  <c r="Y562" i="16"/>
  <c r="Z562" i="16"/>
  <c r="AE562" i="16"/>
  <c r="AF562" i="16"/>
  <c r="Y563" i="16"/>
  <c r="Z563" i="16"/>
  <c r="AE563" i="16"/>
  <c r="AF563" i="16"/>
  <c r="Y564" i="16"/>
  <c r="Z564" i="16"/>
  <c r="AE564" i="16"/>
  <c r="AF564" i="16"/>
  <c r="Y565" i="16"/>
  <c r="Z565" i="16"/>
  <c r="AE565" i="16"/>
  <c r="AF565" i="16"/>
  <c r="Y566" i="16"/>
  <c r="Z566" i="16"/>
  <c r="AE566" i="16"/>
  <c r="AF566" i="16"/>
  <c r="Y567" i="16"/>
  <c r="Z567" i="16"/>
  <c r="AE567" i="16"/>
  <c r="AF567" i="16"/>
  <c r="Y568" i="16"/>
  <c r="Z568" i="16"/>
  <c r="AE568" i="16"/>
  <c r="AF568" i="16"/>
  <c r="Y569" i="16"/>
  <c r="Z569" i="16"/>
  <c r="AE569" i="16"/>
  <c r="AF569" i="16"/>
  <c r="Y570" i="16"/>
  <c r="Z570" i="16"/>
  <c r="AE570" i="16"/>
  <c r="AF570" i="16"/>
  <c r="Y571" i="16"/>
  <c r="Z571" i="16"/>
  <c r="AE571" i="16"/>
  <c r="AF571" i="16"/>
  <c r="Y572" i="16"/>
  <c r="Z572" i="16"/>
  <c r="AE572" i="16"/>
  <c r="AF572" i="16"/>
  <c r="Y573" i="16"/>
  <c r="Z573" i="16"/>
  <c r="AE573" i="16"/>
  <c r="AF573" i="16"/>
  <c r="Y574" i="16"/>
  <c r="Z574" i="16"/>
  <c r="AE574" i="16"/>
  <c r="AF574" i="16"/>
  <c r="Y575" i="16"/>
  <c r="Z575" i="16"/>
  <c r="AE575" i="16"/>
  <c r="AF575" i="16"/>
  <c r="Y576" i="16"/>
  <c r="Z576" i="16"/>
  <c r="AE576" i="16"/>
  <c r="AF576" i="16"/>
  <c r="Y577" i="16"/>
  <c r="Z577" i="16"/>
  <c r="AE577" i="16"/>
  <c r="AF577" i="16"/>
  <c r="Y578" i="16"/>
  <c r="Z578" i="16"/>
  <c r="AE578" i="16"/>
  <c r="AF578" i="16"/>
  <c r="Y579" i="16"/>
  <c r="Z579" i="16"/>
  <c r="AE579" i="16"/>
  <c r="AF579" i="16"/>
  <c r="Y580" i="16"/>
  <c r="Z580" i="16"/>
  <c r="AE580" i="16"/>
  <c r="AF580" i="16"/>
  <c r="Y581" i="16"/>
  <c r="Z581" i="16"/>
  <c r="AE581" i="16"/>
  <c r="AF581" i="16"/>
  <c r="Y582" i="16"/>
  <c r="Z582" i="16"/>
  <c r="AE582" i="16"/>
  <c r="AF582" i="16"/>
  <c r="Y583" i="16"/>
  <c r="Z583" i="16"/>
  <c r="AE583" i="16"/>
  <c r="AF583" i="16"/>
  <c r="Y584" i="16"/>
  <c r="Z584" i="16"/>
  <c r="AE584" i="16"/>
  <c r="AF584" i="16"/>
  <c r="Y585" i="16"/>
  <c r="Z585" i="16"/>
  <c r="AE585" i="16"/>
  <c r="AF585" i="16"/>
  <c r="Y586" i="16"/>
  <c r="Z586" i="16"/>
  <c r="AE586" i="16"/>
  <c r="AF586" i="16"/>
  <c r="Y587" i="16"/>
  <c r="Z587" i="16"/>
  <c r="AE587" i="16"/>
  <c r="AF587" i="16"/>
  <c r="Y588" i="16"/>
  <c r="Z588" i="16"/>
  <c r="AE588" i="16"/>
  <c r="AF588" i="16"/>
  <c r="Y589" i="16"/>
  <c r="Z589" i="16"/>
  <c r="AE589" i="16"/>
  <c r="AF589" i="16"/>
  <c r="Y590" i="16"/>
  <c r="Z590" i="16"/>
  <c r="AE590" i="16"/>
  <c r="AF590" i="16"/>
  <c r="Y591" i="16"/>
  <c r="Z591" i="16"/>
  <c r="AE591" i="16"/>
  <c r="AF591" i="16"/>
  <c r="Y592" i="16"/>
  <c r="Z592" i="16"/>
  <c r="AE592" i="16"/>
  <c r="AF592" i="16"/>
  <c r="Y593" i="16"/>
  <c r="Z593" i="16"/>
  <c r="AE593" i="16"/>
  <c r="AF593" i="16"/>
  <c r="Y594" i="16"/>
  <c r="Z594" i="16"/>
  <c r="AE594" i="16"/>
  <c r="AF594" i="16"/>
  <c r="Y595" i="16"/>
  <c r="Z595" i="16"/>
  <c r="AE595" i="16"/>
  <c r="AF595" i="16"/>
  <c r="Y596" i="16"/>
  <c r="Z596" i="16"/>
  <c r="AE596" i="16"/>
  <c r="AF596" i="16"/>
  <c r="Y597" i="16"/>
  <c r="Z597" i="16"/>
  <c r="AE597" i="16"/>
  <c r="AF597" i="16"/>
  <c r="Y598" i="16"/>
  <c r="Z598" i="16"/>
  <c r="AE598" i="16"/>
  <c r="AF598" i="16"/>
  <c r="Y599" i="16"/>
  <c r="Z599" i="16"/>
  <c r="AE599" i="16"/>
  <c r="AF599" i="16"/>
  <c r="Y600" i="16"/>
  <c r="Z600" i="16"/>
  <c r="AE600" i="16"/>
  <c r="AF600" i="16"/>
  <c r="Y601" i="16"/>
  <c r="Z601" i="16"/>
  <c r="AE601" i="16"/>
  <c r="AF601" i="16"/>
  <c r="Y602" i="16"/>
  <c r="Z602" i="16"/>
  <c r="AE602" i="16"/>
  <c r="AF602" i="16"/>
  <c r="Y603" i="16"/>
  <c r="Z603" i="16"/>
  <c r="AE603" i="16"/>
  <c r="AF603" i="16"/>
  <c r="Y604" i="16"/>
  <c r="Z604" i="16"/>
  <c r="AE604" i="16"/>
  <c r="AF604" i="16"/>
  <c r="Y605" i="16"/>
  <c r="Z605" i="16"/>
  <c r="AE605" i="16"/>
  <c r="AF605" i="16"/>
  <c r="Y606" i="16"/>
  <c r="Z606" i="16"/>
  <c r="AE606" i="16"/>
  <c r="AF606" i="16"/>
  <c r="Y607" i="16"/>
  <c r="Z607" i="16"/>
  <c r="AE607" i="16"/>
  <c r="AF607" i="16"/>
  <c r="Y608" i="16"/>
  <c r="Z608" i="16"/>
  <c r="AE608" i="16"/>
  <c r="AF608" i="16"/>
  <c r="Y609" i="16"/>
  <c r="Z609" i="16"/>
  <c r="AE609" i="16"/>
  <c r="AF609" i="16"/>
  <c r="Y610" i="16"/>
  <c r="Z610" i="16"/>
  <c r="AE610" i="16"/>
  <c r="AF610" i="16"/>
  <c r="Z611" i="16"/>
  <c r="AF611" i="16"/>
  <c r="Z612" i="16"/>
  <c r="AF612" i="16"/>
  <c r="Z613" i="16"/>
  <c r="AF613" i="16"/>
  <c r="Z614" i="16"/>
  <c r="AF614" i="16"/>
  <c r="Z615" i="16"/>
  <c r="AF615" i="16"/>
  <c r="Z616" i="16"/>
  <c r="AF616" i="16"/>
  <c r="Z617" i="16"/>
  <c r="AF617" i="16"/>
  <c r="Z618" i="16"/>
  <c r="AF618" i="16"/>
  <c r="Z619" i="16"/>
  <c r="AF619" i="16"/>
  <c r="Z620" i="16"/>
  <c r="AF620" i="16"/>
  <c r="Z621" i="16"/>
  <c r="AF621" i="16"/>
  <c r="Z622" i="16"/>
  <c r="AF622" i="16"/>
  <c r="Z623" i="16"/>
  <c r="AF623" i="16"/>
  <c r="Z624" i="16"/>
  <c r="AF624" i="16"/>
  <c r="Z625" i="16"/>
  <c r="AF625" i="16"/>
  <c r="Z626" i="16"/>
  <c r="AF626" i="16"/>
  <c r="Z627" i="16"/>
  <c r="AF627" i="16"/>
  <c r="Z628" i="16"/>
  <c r="AF628" i="16"/>
  <c r="Z629" i="16"/>
  <c r="AF629" i="16"/>
  <c r="Z630" i="16"/>
  <c r="AF630" i="16"/>
  <c r="Z631" i="16"/>
  <c r="AF631" i="16"/>
  <c r="Z632" i="16"/>
  <c r="AF632" i="16"/>
  <c r="Z633" i="16"/>
  <c r="AF633" i="16"/>
  <c r="Z634" i="16"/>
  <c r="AF634" i="16"/>
  <c r="Z635" i="16"/>
  <c r="AF635" i="16"/>
  <c r="Z636" i="16"/>
  <c r="AF636" i="16"/>
  <c r="Z637" i="16"/>
  <c r="AF637" i="16"/>
  <c r="Z638" i="16"/>
  <c r="AF638" i="16"/>
  <c r="Z639" i="16"/>
  <c r="AF639" i="16"/>
  <c r="Z640" i="16"/>
  <c r="AF640" i="16"/>
  <c r="Z641" i="16"/>
  <c r="AF641" i="16"/>
  <c r="Z642" i="16"/>
  <c r="AF642" i="16"/>
  <c r="Z643" i="16"/>
  <c r="AF643" i="16"/>
  <c r="Z644" i="16"/>
  <c r="AF644" i="16"/>
  <c r="Z645" i="16"/>
  <c r="AF645" i="16"/>
  <c r="Z646" i="16"/>
  <c r="AF646" i="16"/>
  <c r="Y647" i="16"/>
  <c r="AE647" i="16"/>
  <c r="Y648" i="16"/>
  <c r="AE648" i="16"/>
  <c r="Y649" i="16"/>
  <c r="AE649" i="16"/>
  <c r="Y650" i="16"/>
  <c r="AE650" i="16"/>
  <c r="Y651" i="16"/>
  <c r="AE651" i="16"/>
  <c r="Y652" i="16"/>
  <c r="AE652" i="16"/>
  <c r="Y653" i="16"/>
  <c r="AE653" i="16"/>
  <c r="Y654" i="16"/>
  <c r="AE654" i="16"/>
  <c r="Y655" i="16"/>
  <c r="AE655" i="16"/>
  <c r="Y656" i="16"/>
  <c r="AE656" i="16"/>
  <c r="Y657" i="16"/>
  <c r="AE657" i="16"/>
  <c r="Y658" i="16"/>
  <c r="AE658" i="16"/>
  <c r="Y659" i="16"/>
  <c r="AE659" i="16"/>
  <c r="Y660" i="16"/>
  <c r="AE660" i="16"/>
  <c r="Y661" i="16"/>
  <c r="AE661" i="16"/>
  <c r="Y662" i="16"/>
  <c r="AE662" i="16"/>
  <c r="Y663" i="16"/>
  <c r="AE663" i="16"/>
  <c r="Y664" i="16"/>
  <c r="AE664" i="16"/>
  <c r="Y665" i="16"/>
  <c r="AE665" i="16"/>
  <c r="Y666" i="16"/>
  <c r="AE666" i="16"/>
  <c r="Y667" i="16"/>
  <c r="AE667" i="16"/>
  <c r="Y668" i="16"/>
  <c r="AE668" i="16"/>
  <c r="Y669" i="16"/>
  <c r="AE669" i="16"/>
  <c r="Y670" i="16"/>
  <c r="AE670" i="16"/>
  <c r="Y671" i="16"/>
  <c r="AE671" i="16"/>
  <c r="Y672" i="16"/>
  <c r="AE672" i="16"/>
  <c r="Y673" i="16"/>
  <c r="AE673" i="16"/>
  <c r="Y674" i="16"/>
  <c r="AE674" i="16"/>
  <c r="Y675" i="16"/>
  <c r="AE675" i="16"/>
  <c r="Y676" i="16"/>
  <c r="AE676" i="16"/>
  <c r="Y677" i="16"/>
  <c r="AE677" i="16"/>
  <c r="Y678" i="16"/>
  <c r="AE678" i="16"/>
  <c r="Y679" i="16"/>
  <c r="AE679" i="16"/>
  <c r="Y680" i="16"/>
  <c r="AE680" i="16"/>
  <c r="Y681" i="16"/>
  <c r="AE681" i="16"/>
  <c r="Y682" i="16"/>
  <c r="AE682" i="16"/>
  <c r="Z683" i="16"/>
  <c r="AF683" i="16"/>
  <c r="Z684" i="16"/>
  <c r="AF684" i="16"/>
  <c r="Z685" i="16"/>
  <c r="AF685" i="16"/>
  <c r="Z686" i="16"/>
  <c r="AF686" i="16"/>
  <c r="Z687" i="16"/>
  <c r="AF687" i="16"/>
  <c r="Z688" i="16"/>
  <c r="AF688" i="16"/>
  <c r="Z689" i="16"/>
  <c r="AF689" i="16"/>
  <c r="Z690" i="16"/>
  <c r="AF690" i="16"/>
  <c r="Z691" i="16"/>
  <c r="AF691" i="16"/>
  <c r="Z692" i="16"/>
  <c r="AF692" i="16"/>
  <c r="Z693" i="16"/>
  <c r="AF693" i="16"/>
  <c r="Z694" i="16"/>
  <c r="AF694" i="16"/>
  <c r="Z695" i="16"/>
  <c r="AF695" i="16"/>
  <c r="Z696" i="16"/>
  <c r="AF696" i="16"/>
  <c r="Z697" i="16"/>
  <c r="AF697" i="16"/>
  <c r="Z698" i="16"/>
  <c r="AF698" i="16"/>
  <c r="Z699" i="16"/>
  <c r="AF699" i="16"/>
  <c r="Z700" i="16"/>
  <c r="AF700" i="16"/>
  <c r="Z701" i="16"/>
  <c r="AF701" i="16"/>
  <c r="Z702" i="16"/>
  <c r="AF702" i="16"/>
  <c r="Z703" i="16"/>
  <c r="AF703" i="16"/>
  <c r="Z704" i="16"/>
  <c r="AF704" i="16"/>
  <c r="Z705" i="16"/>
  <c r="AF705" i="16"/>
  <c r="Z706" i="16"/>
  <c r="AF706" i="16"/>
  <c r="Z707" i="16"/>
  <c r="AF707" i="16"/>
  <c r="Z708" i="16"/>
  <c r="AF708" i="16"/>
  <c r="Z709" i="16"/>
  <c r="AF709" i="16"/>
  <c r="Z710" i="16"/>
  <c r="AF710" i="16"/>
  <c r="Z711" i="16"/>
  <c r="AF711" i="16"/>
  <c r="Z712" i="16"/>
  <c r="AF712" i="16"/>
  <c r="Z713" i="16"/>
  <c r="AF713" i="16"/>
  <c r="Z714" i="16"/>
  <c r="AF714" i="16"/>
  <c r="Z715" i="16"/>
  <c r="AF715" i="16"/>
  <c r="Z716" i="16"/>
  <c r="AF716" i="16"/>
  <c r="Z717" i="16"/>
  <c r="AF717" i="16"/>
  <c r="Z718" i="16"/>
  <c r="AF718" i="16"/>
  <c r="Z719" i="16"/>
  <c r="AF719" i="16"/>
  <c r="Z720" i="16"/>
  <c r="AF720" i="16"/>
  <c r="Z721" i="16"/>
  <c r="AF721" i="16"/>
  <c r="Z722" i="16"/>
  <c r="AF722" i="16"/>
  <c r="Z723" i="16"/>
  <c r="AF723" i="16"/>
  <c r="Z724" i="16"/>
  <c r="AF724" i="16"/>
  <c r="Z725" i="16"/>
  <c r="AF725" i="16"/>
  <c r="Z726" i="16"/>
  <c r="AF726" i="16"/>
  <c r="Z727" i="16"/>
  <c r="AF727" i="16"/>
  <c r="Z728" i="16"/>
  <c r="AF728" i="16"/>
  <c r="Z729" i="16"/>
  <c r="AF729" i="16"/>
  <c r="Y730" i="16"/>
  <c r="AE730" i="16"/>
  <c r="Y731" i="16"/>
  <c r="AE731" i="16"/>
  <c r="Y732" i="16"/>
  <c r="AE732" i="16"/>
  <c r="Y733" i="16"/>
  <c r="AE733" i="16"/>
  <c r="Y734" i="16"/>
  <c r="AE734" i="16"/>
  <c r="Y735" i="16"/>
  <c r="AE735" i="16"/>
  <c r="Y736" i="16"/>
  <c r="AE736" i="16"/>
  <c r="Y737" i="16"/>
  <c r="AE737" i="16"/>
  <c r="Y738" i="16"/>
  <c r="AE738" i="16"/>
  <c r="Y739" i="16"/>
  <c r="AE739" i="16"/>
  <c r="Y740" i="16"/>
  <c r="AE740" i="16"/>
  <c r="Y741" i="16"/>
  <c r="AE741" i="16"/>
  <c r="Z742" i="16"/>
  <c r="AF742" i="16"/>
  <c r="Z743" i="16"/>
  <c r="AF743" i="16"/>
  <c r="Z744" i="16"/>
  <c r="AF744" i="16"/>
  <c r="Z745" i="16"/>
  <c r="AF745" i="16"/>
  <c r="Z746" i="16"/>
  <c r="AF746" i="16"/>
  <c r="Z747" i="16"/>
  <c r="AF747" i="16"/>
  <c r="Z748" i="16"/>
  <c r="AF748" i="16"/>
  <c r="Z749" i="16"/>
  <c r="AF749" i="16"/>
  <c r="Z750" i="16"/>
  <c r="AF750" i="16"/>
  <c r="Z751" i="16"/>
  <c r="AF751" i="16"/>
  <c r="Z752" i="16"/>
  <c r="AF752" i="16"/>
  <c r="Z753" i="16"/>
  <c r="AF753" i="16"/>
  <c r="Z754" i="16"/>
  <c r="AF754" i="16"/>
  <c r="Z755" i="16"/>
  <c r="AF755" i="16"/>
  <c r="Z756" i="16"/>
  <c r="AF756" i="16"/>
  <c r="Z757" i="16"/>
  <c r="AF757" i="16"/>
  <c r="Z758" i="16"/>
  <c r="AF758" i="16"/>
  <c r="Z759" i="16"/>
  <c r="AF759" i="16"/>
  <c r="Z760" i="16"/>
  <c r="AF760" i="16"/>
  <c r="Z761" i="16"/>
  <c r="AF761" i="16"/>
  <c r="Z762" i="16"/>
  <c r="AF762" i="16"/>
  <c r="Z763" i="16"/>
  <c r="AF763" i="16"/>
  <c r="Z764" i="16"/>
  <c r="AF764" i="16"/>
  <c r="Z765" i="16"/>
  <c r="AF765" i="16"/>
  <c r="Z766" i="16"/>
  <c r="AF766" i="16"/>
  <c r="Z767" i="16"/>
  <c r="AF767" i="16"/>
  <c r="Z768" i="16"/>
  <c r="AF768" i="16"/>
  <c r="Z769" i="16"/>
  <c r="AF769" i="16"/>
  <c r="Z770" i="16"/>
  <c r="AF770" i="16"/>
  <c r="Z771" i="16"/>
  <c r="AF771" i="16"/>
  <c r="Z772" i="16"/>
  <c r="AF772" i="16"/>
  <c r="Z773" i="16"/>
  <c r="AF773" i="16"/>
  <c r="Z774" i="16"/>
  <c r="AF774" i="16"/>
  <c r="Z775" i="16"/>
  <c r="AF775" i="16"/>
  <c r="Z776" i="16"/>
  <c r="AF776" i="16"/>
  <c r="Z777" i="16"/>
  <c r="AF777" i="16"/>
  <c r="Z778" i="16"/>
  <c r="AF778" i="16"/>
  <c r="Z779" i="16"/>
  <c r="AF779" i="16"/>
  <c r="Z780" i="16"/>
  <c r="AF780" i="16"/>
  <c r="Z781" i="16"/>
  <c r="AF781" i="16"/>
  <c r="Z782" i="16"/>
  <c r="AF782" i="16"/>
  <c r="Z783" i="16"/>
  <c r="AF783" i="16"/>
  <c r="Z784" i="16"/>
  <c r="AF784" i="16"/>
  <c r="Z785" i="16"/>
  <c r="AF785" i="16"/>
  <c r="Z786" i="16"/>
  <c r="AF786" i="16"/>
  <c r="Z787" i="16"/>
  <c r="AF787" i="16"/>
  <c r="Y788" i="16"/>
  <c r="AE788" i="16"/>
  <c r="Y789" i="16"/>
  <c r="AE789" i="16"/>
  <c r="Y790" i="16"/>
  <c r="AE790" i="16"/>
  <c r="Y791" i="16"/>
  <c r="AE791" i="16"/>
  <c r="Y792" i="16"/>
  <c r="AE792" i="16"/>
  <c r="Y793" i="16"/>
  <c r="AE793" i="16"/>
  <c r="Y794" i="16"/>
  <c r="AE794" i="16"/>
  <c r="Y795" i="16"/>
  <c r="AE795" i="16"/>
  <c r="Y796" i="16"/>
  <c r="AE796" i="16"/>
  <c r="Y797" i="16"/>
  <c r="AE797" i="16"/>
  <c r="Y798" i="16"/>
  <c r="AE798" i="16"/>
  <c r="Y799" i="16"/>
  <c r="AE799" i="16"/>
  <c r="Y800" i="16"/>
  <c r="AE800" i="16"/>
  <c r="Y801" i="16"/>
  <c r="AE801" i="16"/>
  <c r="Y802" i="16"/>
  <c r="AE802" i="16"/>
  <c r="Y803" i="16"/>
  <c r="AE803" i="16"/>
  <c r="Y804" i="16"/>
  <c r="AE804" i="16"/>
  <c r="Y805" i="16"/>
  <c r="AE805" i="16"/>
  <c r="Y806" i="16"/>
  <c r="AE806" i="16"/>
  <c r="Y807" i="16"/>
  <c r="AE807" i="16"/>
  <c r="Y808" i="16"/>
  <c r="AE808" i="16"/>
  <c r="Y809" i="16"/>
  <c r="AE809" i="16"/>
  <c r="Y810" i="16"/>
  <c r="AE810" i="16"/>
  <c r="Y811" i="16"/>
  <c r="AE811" i="16"/>
  <c r="Y812" i="16"/>
  <c r="AE812" i="16"/>
  <c r="Y813" i="16"/>
  <c r="AE813" i="16"/>
  <c r="Y814" i="16"/>
  <c r="AE814" i="16"/>
  <c r="Y815" i="16"/>
  <c r="AE815" i="16"/>
  <c r="Y816" i="16"/>
  <c r="AE816" i="16"/>
  <c r="Y817" i="16"/>
  <c r="AE817" i="16"/>
  <c r="Y818" i="16"/>
  <c r="AE818" i="16"/>
  <c r="Y819" i="16"/>
  <c r="AE819" i="16"/>
  <c r="Y820" i="16"/>
  <c r="AE820" i="16"/>
  <c r="Y821" i="16"/>
  <c r="AE821" i="16"/>
  <c r="Y822" i="16"/>
  <c r="AE822" i="16"/>
  <c r="Y823" i="16"/>
  <c r="AE823" i="16"/>
  <c r="Z824" i="16"/>
  <c r="AF824" i="16"/>
  <c r="Z825" i="16"/>
  <c r="AF825" i="16"/>
  <c r="Z826" i="16"/>
  <c r="AF826" i="16"/>
  <c r="Z827" i="16"/>
  <c r="AF827" i="16"/>
  <c r="Z828" i="16"/>
  <c r="AF828" i="16"/>
  <c r="Z829" i="16"/>
  <c r="AF829" i="16"/>
  <c r="Z830" i="16"/>
  <c r="AF830" i="16"/>
  <c r="Z831" i="16"/>
  <c r="AF831" i="16"/>
  <c r="Z832" i="16"/>
  <c r="AF832" i="16"/>
  <c r="Z833" i="16"/>
  <c r="AF833" i="16"/>
  <c r="Z834" i="16"/>
  <c r="AF834" i="16"/>
  <c r="Z835" i="16"/>
  <c r="AF835" i="16"/>
  <c r="Z836" i="16"/>
  <c r="AF836" i="16"/>
  <c r="Z837" i="16"/>
  <c r="AF837" i="16"/>
  <c r="Z838" i="16"/>
  <c r="AF838" i="16"/>
  <c r="Z839" i="16"/>
  <c r="AF839" i="16"/>
  <c r="Z840" i="16"/>
  <c r="AF840" i="16"/>
  <c r="Z841" i="16"/>
  <c r="AF841" i="16"/>
  <c r="Z842" i="16"/>
  <c r="AF842" i="16"/>
  <c r="Z843" i="16"/>
  <c r="AF843" i="16"/>
  <c r="Z844" i="16"/>
  <c r="AF844" i="16"/>
  <c r="Z845" i="16"/>
  <c r="AF845" i="16"/>
  <c r="Z846" i="16"/>
  <c r="AF846" i="16"/>
  <c r="Z847" i="16"/>
  <c r="AF847" i="16"/>
  <c r="Z848" i="16"/>
  <c r="AF848" i="16"/>
  <c r="Z849" i="16"/>
  <c r="AF849" i="16"/>
  <c r="Z850" i="16"/>
  <c r="AF850" i="16"/>
  <c r="Z851" i="16"/>
  <c r="AF851" i="16"/>
  <c r="Z852" i="16"/>
  <c r="AF852" i="16"/>
  <c r="Z853" i="16"/>
  <c r="AF853" i="16"/>
  <c r="Z854" i="16"/>
  <c r="AF854" i="16"/>
  <c r="Z855" i="16"/>
  <c r="AF855" i="16"/>
  <c r="Z856" i="16"/>
  <c r="AF856" i="16"/>
  <c r="Z857" i="16"/>
  <c r="AF857" i="16"/>
  <c r="Z858" i="16"/>
  <c r="AF858" i="16"/>
  <c r="Z859" i="16"/>
  <c r="AF859" i="16"/>
  <c r="Z860" i="16"/>
  <c r="AF860" i="16"/>
  <c r="Z861" i="16"/>
  <c r="AF861" i="16"/>
  <c r="Z862" i="16"/>
  <c r="AF862" i="16"/>
  <c r="Z863" i="16"/>
  <c r="AF863" i="16"/>
  <c r="Z864" i="16"/>
  <c r="AF864" i="16"/>
  <c r="Z865" i="16"/>
  <c r="AF865" i="16"/>
  <c r="Z866" i="16"/>
  <c r="AF866" i="16"/>
  <c r="Z867" i="16"/>
  <c r="AF867" i="16"/>
  <c r="Z868" i="16"/>
  <c r="AF868" i="16"/>
  <c r="Z869" i="16"/>
  <c r="AF869" i="16"/>
  <c r="Z870" i="16"/>
  <c r="AF870" i="16"/>
  <c r="Z871" i="16"/>
  <c r="AF871" i="16"/>
  <c r="Z872" i="16"/>
  <c r="AF872" i="16"/>
  <c r="Z873" i="16"/>
  <c r="AF873" i="16"/>
  <c r="Z874" i="16"/>
  <c r="AF874" i="16"/>
  <c r="Z875" i="16"/>
  <c r="AF875" i="16"/>
  <c r="Z876" i="16"/>
  <c r="AF876" i="16"/>
  <c r="Z877" i="16"/>
  <c r="AF877" i="16"/>
  <c r="Z878" i="16"/>
  <c r="AF878" i="16"/>
  <c r="Z879" i="16"/>
  <c r="AF879" i="16"/>
  <c r="Z880" i="16"/>
  <c r="AF880" i="16"/>
  <c r="Z881" i="16"/>
  <c r="AF881" i="16"/>
  <c r="Y882" i="16"/>
  <c r="AE882" i="16"/>
  <c r="Y883" i="16"/>
  <c r="AE883" i="16"/>
  <c r="Y884" i="16"/>
  <c r="AE884" i="16"/>
  <c r="Y885" i="16"/>
  <c r="AE885" i="16"/>
  <c r="Y886" i="16"/>
  <c r="AE886" i="16"/>
  <c r="Y887" i="16"/>
  <c r="AE887" i="16"/>
  <c r="Y888" i="16"/>
  <c r="AE888" i="16"/>
  <c r="Y889" i="16"/>
  <c r="AE889" i="16"/>
  <c r="Y890" i="16"/>
  <c r="AE890" i="16"/>
  <c r="Y891" i="16"/>
  <c r="AE891" i="16"/>
  <c r="Y892" i="16"/>
  <c r="AE892" i="16"/>
  <c r="Y893" i="16"/>
  <c r="AE893" i="16"/>
  <c r="Y894" i="16"/>
  <c r="AE894" i="16"/>
  <c r="Y895" i="16"/>
  <c r="AE895" i="16"/>
  <c r="Y896" i="16"/>
  <c r="AE896" i="16"/>
  <c r="Y897" i="16"/>
  <c r="AE897" i="16"/>
  <c r="Y898" i="16"/>
  <c r="AE898" i="16"/>
  <c r="Y899" i="16"/>
  <c r="AE899" i="16"/>
  <c r="Y900" i="16"/>
  <c r="AE900" i="16"/>
  <c r="Y901" i="16"/>
  <c r="AE901" i="16"/>
  <c r="Y902" i="16"/>
  <c r="AE902" i="16"/>
  <c r="Y903" i="16"/>
  <c r="AE903" i="16"/>
  <c r="Y904" i="16"/>
  <c r="AE904" i="16"/>
  <c r="Y905" i="16"/>
  <c r="AE905" i="16"/>
  <c r="Y906" i="16"/>
  <c r="AE906" i="16"/>
  <c r="Y907" i="16"/>
  <c r="AE907" i="16"/>
  <c r="Z908" i="16"/>
  <c r="AF908" i="16"/>
  <c r="Z909" i="16"/>
  <c r="AF909" i="16"/>
  <c r="Z910" i="16"/>
  <c r="AF910" i="16"/>
  <c r="Z911" i="16"/>
  <c r="AF911" i="16"/>
  <c r="Z912" i="16"/>
  <c r="AF912" i="16"/>
  <c r="Z913" i="16"/>
  <c r="AF913" i="16"/>
  <c r="Z914" i="16"/>
  <c r="AF914" i="16"/>
  <c r="Z915" i="16"/>
  <c r="AF915" i="16"/>
  <c r="Z916" i="16"/>
  <c r="AF916" i="16"/>
  <c r="Z917" i="16"/>
  <c r="AF917" i="16"/>
  <c r="Z918" i="16"/>
  <c r="AF918" i="16"/>
  <c r="Z919" i="16"/>
  <c r="AF919" i="16"/>
  <c r="Z920" i="16"/>
  <c r="AF920" i="16"/>
  <c r="Z921" i="16"/>
  <c r="AF921" i="16"/>
  <c r="Z922" i="16"/>
  <c r="AF922" i="16"/>
  <c r="Z923" i="16"/>
  <c r="AF923" i="16"/>
  <c r="Z924" i="16"/>
  <c r="AF924" i="16"/>
  <c r="Z925" i="16"/>
  <c r="AF925" i="16"/>
  <c r="Z926" i="16"/>
  <c r="AF926" i="16"/>
  <c r="Z927" i="16"/>
  <c r="AF927" i="16"/>
  <c r="Z928" i="16"/>
  <c r="AF928" i="16"/>
  <c r="Z929" i="16"/>
  <c r="AF929" i="16"/>
  <c r="Z930" i="16"/>
  <c r="AF930" i="16"/>
  <c r="Z931" i="16"/>
  <c r="AF931" i="16"/>
  <c r="Z932" i="16"/>
  <c r="AF932" i="16"/>
  <c r="Z933" i="16"/>
  <c r="AF933" i="16"/>
  <c r="Z934" i="16"/>
  <c r="AF934" i="16"/>
  <c r="Z935" i="16"/>
  <c r="AF935" i="16"/>
  <c r="Z936" i="16"/>
  <c r="AF936" i="16"/>
  <c r="Z937" i="16"/>
  <c r="AF937" i="16"/>
  <c r="Z938" i="16"/>
  <c r="AF938" i="16"/>
  <c r="Z939" i="16"/>
  <c r="AF939" i="16"/>
  <c r="Z940" i="16"/>
  <c r="AF940" i="16"/>
  <c r="Z941" i="16"/>
  <c r="AF941" i="16"/>
  <c r="Z942" i="16"/>
  <c r="AF942" i="16"/>
  <c r="Z943" i="16"/>
  <c r="AF943" i="16"/>
  <c r="Z944" i="16"/>
  <c r="AF944" i="16"/>
  <c r="Z945" i="16"/>
  <c r="AF945" i="16"/>
  <c r="Z946" i="16"/>
  <c r="AF946" i="16"/>
  <c r="Z947" i="16"/>
  <c r="AF947" i="16"/>
  <c r="Z948" i="16"/>
  <c r="AF948" i="16"/>
  <c r="Z949" i="16"/>
  <c r="AF949" i="16"/>
  <c r="Z950" i="16"/>
  <c r="AF950" i="16"/>
  <c r="Z951" i="16"/>
  <c r="AF951" i="16"/>
  <c r="Z952" i="16"/>
  <c r="AF952" i="16"/>
  <c r="Z953" i="16"/>
  <c r="AF953" i="16"/>
  <c r="Z954" i="16"/>
  <c r="AF954" i="16"/>
  <c r="Z955" i="16"/>
  <c r="AF955" i="16"/>
  <c r="Z956" i="16"/>
  <c r="AF956" i="16"/>
  <c r="Z957" i="16"/>
  <c r="AF957" i="16"/>
  <c r="Z958" i="16"/>
  <c r="AF958" i="16"/>
  <c r="Z959" i="16"/>
  <c r="AF959" i="16"/>
  <c r="Z960" i="16"/>
  <c r="AF960" i="16"/>
  <c r="Z961" i="16"/>
  <c r="AF961" i="16"/>
  <c r="Z962" i="16"/>
  <c r="AF962" i="16"/>
  <c r="Z963" i="16"/>
  <c r="AF963" i="16"/>
  <c r="Z964" i="16"/>
  <c r="AF964" i="16"/>
  <c r="Z965" i="16"/>
  <c r="AF965" i="16"/>
  <c r="Z966" i="16"/>
  <c r="AF966" i="16"/>
  <c r="Y967" i="16"/>
  <c r="AE967" i="16"/>
  <c r="Y968" i="16"/>
  <c r="AE968" i="16"/>
  <c r="Y969" i="16"/>
  <c r="AE969" i="16"/>
  <c r="Y970" i="16"/>
  <c r="AE970" i="16"/>
  <c r="Y971" i="16"/>
  <c r="AE971" i="16"/>
  <c r="Y972" i="16"/>
  <c r="AE972" i="16"/>
  <c r="Y973" i="16"/>
  <c r="AE973" i="16"/>
  <c r="Y974" i="16"/>
  <c r="AE974" i="16"/>
  <c r="Y975" i="16"/>
  <c r="AE975" i="16"/>
  <c r="Y976" i="16"/>
  <c r="AE976" i="16"/>
  <c r="Y977" i="16"/>
  <c r="AE977" i="16"/>
  <c r="Y978" i="16"/>
  <c r="AE978" i="16"/>
  <c r="Y979" i="16"/>
  <c r="AE979" i="16"/>
  <c r="Y980" i="16"/>
  <c r="AE980" i="16"/>
  <c r="Y981" i="16"/>
  <c r="AE981" i="16"/>
  <c r="Y982" i="16"/>
  <c r="AE982" i="16"/>
  <c r="Y983" i="16"/>
  <c r="AE983" i="16"/>
  <c r="Y984" i="16"/>
  <c r="AE984" i="16"/>
  <c r="Y985" i="16"/>
  <c r="AE985" i="16"/>
  <c r="Y986" i="16"/>
  <c r="AE986" i="16"/>
  <c r="Y987" i="16"/>
  <c r="AE987" i="16"/>
  <c r="Y988" i="16"/>
  <c r="AE988" i="16"/>
  <c r="Y989" i="16"/>
  <c r="AE989" i="16"/>
  <c r="Y990" i="16"/>
  <c r="AE990" i="16"/>
  <c r="Y991" i="16"/>
  <c r="AE991" i="16"/>
  <c r="Y992" i="16"/>
  <c r="AE992" i="16"/>
  <c r="Y993" i="16"/>
  <c r="AE993" i="16"/>
  <c r="Y994" i="16"/>
  <c r="AE994" i="16"/>
  <c r="Y995" i="16"/>
  <c r="AE995" i="16"/>
  <c r="Y996" i="16"/>
  <c r="AE996" i="16"/>
  <c r="Y997" i="16"/>
  <c r="AE997" i="16"/>
  <c r="Y998" i="16"/>
  <c r="AE998" i="16"/>
  <c r="Y999" i="16"/>
  <c r="AE999" i="16"/>
  <c r="Y1000" i="16"/>
  <c r="AE1000" i="16"/>
  <c r="Z1001" i="16"/>
  <c r="AF1001" i="16"/>
  <c r="Z1002" i="16"/>
  <c r="AF1002" i="16"/>
  <c r="Z1003" i="16"/>
  <c r="AF1003" i="16"/>
  <c r="Z1004" i="16"/>
  <c r="AF1004" i="16"/>
  <c r="Z1005" i="16"/>
  <c r="AF1005" i="16"/>
  <c r="Z1006" i="16"/>
  <c r="AF1006" i="16"/>
  <c r="Z1007" i="16"/>
  <c r="AF1007" i="16"/>
  <c r="Z1008" i="16"/>
  <c r="AF1008" i="16"/>
  <c r="Z1009" i="16"/>
  <c r="AF1009" i="16"/>
  <c r="Z1010" i="16"/>
  <c r="AF1010" i="16"/>
  <c r="Z1011" i="16"/>
  <c r="AF1011" i="16"/>
  <c r="Z1012" i="16"/>
  <c r="AF1012" i="16"/>
  <c r="Z1013" i="16"/>
  <c r="AF1013" i="16"/>
  <c r="Z1014" i="16"/>
  <c r="AF1014" i="16"/>
  <c r="Z1015" i="16"/>
  <c r="AF1015" i="16"/>
  <c r="Z1016" i="16"/>
  <c r="AF1016" i="16"/>
  <c r="Z1017" i="16"/>
  <c r="AF1017" i="16"/>
  <c r="Z1018" i="16"/>
  <c r="AF1018" i="16"/>
  <c r="Z1019" i="16"/>
  <c r="AF1019" i="16"/>
  <c r="Z1020" i="16"/>
  <c r="AF1020" i="16"/>
  <c r="Z1021" i="16"/>
  <c r="AF1021" i="16"/>
  <c r="Z1022" i="16"/>
  <c r="AF1022" i="16"/>
  <c r="Z1023" i="16"/>
  <c r="AF1023" i="16"/>
  <c r="Z1024" i="16"/>
  <c r="AF1024" i="16"/>
  <c r="Z1025" i="16"/>
  <c r="AF1025" i="16"/>
  <c r="Z1026" i="16"/>
  <c r="AF1026" i="16"/>
  <c r="Z1027" i="16"/>
  <c r="AF1027" i="16"/>
  <c r="Z1028" i="16"/>
  <c r="AF1028" i="16"/>
  <c r="Z1029" i="16"/>
  <c r="AF1029" i="16"/>
  <c r="Z1030" i="16"/>
  <c r="AF1030" i="16"/>
  <c r="Z1031" i="16"/>
  <c r="AF1031" i="16"/>
  <c r="Z1032" i="16"/>
  <c r="AF1032" i="16"/>
  <c r="Z1033" i="16"/>
  <c r="AF1033" i="16"/>
  <c r="Z1034" i="16"/>
  <c r="AF1034" i="16"/>
  <c r="Z1035" i="16"/>
  <c r="AF1035" i="16"/>
  <c r="Z1036" i="16"/>
  <c r="AF1036" i="16"/>
  <c r="Z1037" i="16"/>
  <c r="AF1037" i="16"/>
  <c r="Z1038" i="16"/>
  <c r="AF1038" i="16"/>
  <c r="Z1039" i="16"/>
  <c r="AF1039" i="16"/>
  <c r="Z1040" i="16"/>
  <c r="AF1040" i="16"/>
  <c r="Z1041" i="16"/>
  <c r="AF1041" i="16"/>
  <c r="Z1042" i="16"/>
  <c r="AF1042" i="16"/>
  <c r="Z1043" i="16"/>
  <c r="AF1043" i="16"/>
  <c r="Z1044" i="16"/>
  <c r="AF1044" i="16"/>
  <c r="Z1045" i="16"/>
  <c r="AF1045" i="16"/>
  <c r="Z1046" i="16"/>
  <c r="AF1046" i="16"/>
  <c r="Z1047" i="16"/>
  <c r="AF1047" i="16"/>
  <c r="Z1048" i="16"/>
  <c r="AF1048" i="16"/>
  <c r="Z1049" i="16"/>
  <c r="AF1049" i="16"/>
  <c r="Z1050" i="16"/>
  <c r="AF1050" i="16"/>
  <c r="Z1051" i="16"/>
  <c r="AF1051" i="16"/>
  <c r="Z1052" i="16"/>
  <c r="AF1052" i="16"/>
  <c r="Z1053" i="16"/>
  <c r="AF1053" i="16"/>
  <c r="Z1054" i="16"/>
  <c r="AF1054" i="16"/>
  <c r="Z1055" i="16"/>
  <c r="AF1055" i="16"/>
  <c r="Z1056" i="16"/>
  <c r="AF1056" i="16"/>
  <c r="Z1057" i="16"/>
  <c r="AF1057" i="16"/>
  <c r="Z1058" i="16"/>
  <c r="AF1058" i="16"/>
  <c r="Z1059" i="16"/>
  <c r="AF1059" i="16"/>
  <c r="Z1060" i="16"/>
  <c r="AF1060" i="16"/>
  <c r="Z1061" i="16"/>
  <c r="AF1061" i="16"/>
  <c r="Z1062" i="16"/>
  <c r="AF1062" i="16"/>
  <c r="Z1063" i="16"/>
  <c r="AF1063" i="16"/>
  <c r="Z1064" i="16"/>
  <c r="AF1064" i="16"/>
  <c r="Z1065" i="16"/>
  <c r="AF1065" i="16"/>
  <c r="Z1066" i="16"/>
  <c r="AF1066" i="16"/>
  <c r="Z1067" i="16"/>
  <c r="AF1067" i="16"/>
  <c r="Z1068" i="16"/>
  <c r="AF1068" i="16"/>
  <c r="Z1069" i="16"/>
  <c r="AF1069" i="16"/>
  <c r="Z1070" i="16"/>
  <c r="AF1070" i="16"/>
  <c r="Z1071" i="16"/>
  <c r="AF1071" i="16"/>
  <c r="Z1072" i="16"/>
  <c r="AF1072" i="16"/>
  <c r="Z1073" i="16"/>
  <c r="AF1073" i="16"/>
  <c r="Z1074" i="16"/>
  <c r="AF1074" i="16"/>
  <c r="Z1075" i="16"/>
  <c r="AF1075" i="16"/>
  <c r="Z1076" i="16"/>
  <c r="AF1076" i="16"/>
  <c r="Z1077" i="16"/>
  <c r="AF1077" i="16"/>
  <c r="Z1078" i="16"/>
  <c r="AF1078" i="16"/>
  <c r="Y1079" i="16"/>
  <c r="AE1079" i="16"/>
  <c r="Y1080" i="16"/>
  <c r="AE1080" i="16"/>
  <c r="Y1081" i="16"/>
  <c r="AE1081" i="16"/>
  <c r="Y1082" i="16"/>
  <c r="AE1082" i="16"/>
  <c r="Y1083" i="16"/>
  <c r="AE1083" i="16"/>
  <c r="Y1084" i="16"/>
  <c r="AE1084" i="16"/>
  <c r="Y1085" i="16"/>
  <c r="AE1085" i="16"/>
  <c r="Y1086" i="16"/>
  <c r="AE1086" i="16"/>
  <c r="Y1087" i="16"/>
  <c r="AE1087" i="16"/>
  <c r="Y1088" i="16"/>
  <c r="AE1088" i="16"/>
  <c r="Y1089" i="16"/>
  <c r="AE1089" i="16"/>
  <c r="Y1090" i="16"/>
  <c r="AE1090" i="16"/>
  <c r="Y1091" i="16"/>
  <c r="AE1091" i="16"/>
  <c r="Y1092" i="16"/>
  <c r="AE1092" i="16"/>
  <c r="Y1093" i="16"/>
  <c r="AE1093" i="16"/>
  <c r="Y1094" i="16"/>
  <c r="AE1094" i="16"/>
  <c r="Y1095" i="16"/>
  <c r="AE1095" i="16"/>
  <c r="Y1096" i="16"/>
  <c r="AE1096" i="16"/>
  <c r="Y1097" i="16"/>
  <c r="AE1097" i="16"/>
  <c r="Y1098" i="16"/>
  <c r="AE1098" i="16"/>
  <c r="Y1099" i="16"/>
  <c r="AE1099" i="16"/>
  <c r="Y1100" i="16"/>
  <c r="AE1100" i="16"/>
  <c r="Y1101" i="16"/>
  <c r="AE1101" i="16"/>
  <c r="Y1102" i="16"/>
  <c r="AE1102" i="16"/>
  <c r="Z1103" i="16"/>
  <c r="AF1103" i="16"/>
  <c r="Z1104" i="16"/>
  <c r="AF1104" i="16"/>
  <c r="Z1105" i="16"/>
  <c r="AF1105" i="16"/>
  <c r="Z1106" i="16"/>
  <c r="AF1106" i="16"/>
  <c r="Z1107" i="16"/>
  <c r="AF1107" i="16"/>
  <c r="Z1108" i="16"/>
  <c r="AF1108" i="16"/>
  <c r="Z1109" i="16"/>
  <c r="AF1109" i="16"/>
  <c r="Z1110" i="16"/>
  <c r="AF1110" i="16"/>
  <c r="Z1111" i="16"/>
  <c r="AF1111" i="16"/>
  <c r="Z1112" i="16"/>
  <c r="AF1112" i="16"/>
  <c r="Z1113" i="16"/>
  <c r="AF1113" i="16"/>
  <c r="Z1114" i="16"/>
  <c r="AF1114" i="16"/>
  <c r="Z1115" i="16"/>
  <c r="AF1115" i="16"/>
  <c r="Z1116" i="16"/>
  <c r="AF1116" i="16"/>
  <c r="Z1117" i="16"/>
  <c r="AF1117" i="16"/>
  <c r="Z1118" i="16"/>
  <c r="AF1118" i="16"/>
  <c r="Z1119" i="16"/>
  <c r="AF1119" i="16"/>
  <c r="Z1120" i="16"/>
  <c r="AF1120" i="16"/>
  <c r="Z1121" i="16"/>
  <c r="AF1121" i="16"/>
  <c r="Z1122" i="16"/>
  <c r="AF1122" i="16"/>
  <c r="Z1123" i="16"/>
  <c r="AF1123" i="16"/>
  <c r="Z1124" i="16"/>
  <c r="AF1124" i="16"/>
  <c r="Z1125" i="16"/>
  <c r="AF1125" i="16"/>
  <c r="Z1126" i="16"/>
  <c r="AF1126" i="16"/>
  <c r="Z1127" i="16"/>
  <c r="AF1127" i="16"/>
  <c r="Z1128" i="16"/>
  <c r="AF1128" i="16"/>
  <c r="Z1129" i="16"/>
  <c r="AF1129" i="16"/>
  <c r="Z1130" i="16"/>
  <c r="AF1130" i="16"/>
  <c r="Z1131" i="16"/>
  <c r="AF1131" i="16"/>
  <c r="Z1132" i="16"/>
  <c r="AF1132" i="16"/>
  <c r="Z1133" i="16"/>
  <c r="AF1133" i="16"/>
  <c r="Z1134" i="16"/>
  <c r="AF1134" i="16"/>
  <c r="Z1135" i="16"/>
  <c r="AF1135" i="16"/>
  <c r="Z1136" i="16"/>
  <c r="AF1136" i="16"/>
  <c r="Z1137" i="16"/>
  <c r="AF1137" i="16"/>
  <c r="Z1138" i="16"/>
  <c r="AF1138" i="16"/>
  <c r="Z1139" i="16"/>
  <c r="AF1139" i="16"/>
  <c r="Z1140" i="16"/>
  <c r="AF1140" i="16"/>
  <c r="Z1141" i="16"/>
  <c r="AF1141" i="16"/>
  <c r="Z1142" i="16"/>
  <c r="AF1142" i="16"/>
  <c r="Z1143" i="16"/>
  <c r="AF1143" i="16"/>
  <c r="Z1144" i="16"/>
  <c r="AF1144" i="16"/>
  <c r="Z1145" i="16"/>
  <c r="AF1145" i="16"/>
  <c r="Z1146" i="16"/>
  <c r="AF1146" i="16"/>
  <c r="Z1147" i="16"/>
  <c r="AF1147" i="16"/>
  <c r="Z1148" i="16"/>
  <c r="AF1148" i="16"/>
  <c r="Z1149" i="16"/>
  <c r="AF1149" i="16"/>
  <c r="Z1150" i="16"/>
  <c r="AF1150" i="16"/>
  <c r="Z1151" i="16"/>
  <c r="AF1151" i="16"/>
  <c r="Z1152" i="16"/>
  <c r="AF1152" i="16"/>
  <c r="Z1153" i="16"/>
  <c r="AF1153" i="16"/>
  <c r="Z1154" i="16"/>
  <c r="AF1154" i="16"/>
  <c r="Z1155" i="16"/>
  <c r="AF1155" i="16"/>
  <c r="Z1156" i="16"/>
  <c r="AF1156" i="16"/>
  <c r="Z1157" i="16"/>
  <c r="AF1157" i="16"/>
  <c r="Y1158" i="16"/>
  <c r="AE1158" i="16"/>
  <c r="Y1159" i="16"/>
  <c r="AE1159" i="16"/>
  <c r="Y1160" i="16"/>
  <c r="AE1160" i="16"/>
  <c r="Y1161" i="16"/>
  <c r="AE1161" i="16"/>
  <c r="Y1162" i="16"/>
  <c r="AE1162" i="16"/>
  <c r="Y1163" i="16"/>
  <c r="AE1163" i="16"/>
  <c r="Y1164" i="16"/>
  <c r="AE1164" i="16"/>
  <c r="Y1165" i="16"/>
  <c r="AE1165" i="16"/>
  <c r="Y1166" i="16"/>
  <c r="AE1166" i="16"/>
  <c r="Y1167" i="16"/>
  <c r="AE1167" i="16"/>
  <c r="Y1168" i="16"/>
  <c r="AE1168" i="16"/>
  <c r="Y1169" i="16"/>
  <c r="AE1169" i="16"/>
  <c r="Y1170" i="16"/>
  <c r="AE1170" i="16"/>
  <c r="Y1171" i="16"/>
  <c r="AE1171" i="16"/>
  <c r="Y1172" i="16"/>
  <c r="AE1172" i="16"/>
  <c r="Y1173" i="16"/>
  <c r="AE1173" i="16"/>
  <c r="Y1174" i="16"/>
  <c r="AE1174" i="16"/>
  <c r="Y1175" i="16"/>
  <c r="AE1175" i="16"/>
  <c r="Y1176" i="16"/>
  <c r="AE1176" i="16"/>
  <c r="Y1177" i="16"/>
  <c r="AE1177" i="16"/>
  <c r="Y1178" i="16"/>
  <c r="AE1178" i="16"/>
  <c r="Y1179" i="16"/>
  <c r="AE1179" i="16"/>
  <c r="Y1180" i="16"/>
  <c r="AE1180" i="16"/>
  <c r="Y1181" i="16"/>
  <c r="AE1181" i="16"/>
  <c r="Y1182" i="16"/>
  <c r="AE1182" i="16"/>
  <c r="Y1183" i="16"/>
  <c r="AE1183" i="16"/>
  <c r="Y1184" i="16"/>
  <c r="AE1184" i="16"/>
  <c r="Y1185" i="16"/>
  <c r="AE1185" i="16"/>
  <c r="Y1186" i="16"/>
  <c r="AE1186" i="16"/>
  <c r="Y1187" i="16"/>
  <c r="AE1187" i="16"/>
  <c r="Y1188" i="16"/>
  <c r="AE1188" i="16"/>
  <c r="Y1189" i="16"/>
  <c r="AE1189" i="16"/>
  <c r="Y1190" i="16"/>
  <c r="AE1190" i="16"/>
  <c r="Y1191" i="16"/>
  <c r="AE1191" i="16"/>
  <c r="Z1192" i="16"/>
  <c r="AF1192" i="16"/>
  <c r="Z1193" i="16"/>
  <c r="AF1193" i="16"/>
  <c r="Z1194" i="16"/>
  <c r="AF1194" i="16"/>
  <c r="Z1195" i="16"/>
  <c r="AF1195" i="16"/>
  <c r="Z1196" i="16"/>
  <c r="AF1196" i="16"/>
  <c r="Z1197" i="16"/>
  <c r="AF1197" i="16"/>
  <c r="Z1198" i="16"/>
  <c r="AF1198" i="16"/>
  <c r="Z1199" i="16"/>
  <c r="AF1199" i="16"/>
  <c r="Z1200" i="16"/>
  <c r="AF1200" i="16"/>
  <c r="Z1201" i="16"/>
  <c r="AF1201" i="16"/>
  <c r="Z1202" i="16"/>
  <c r="AF1202" i="16"/>
  <c r="Z1203" i="16"/>
  <c r="AF1203" i="16"/>
  <c r="Z1204" i="16"/>
  <c r="AF1204" i="16"/>
  <c r="Z1205" i="16"/>
  <c r="AF1205" i="16"/>
  <c r="Z1206" i="16"/>
  <c r="AF1206" i="16"/>
  <c r="Z1207" i="16"/>
  <c r="AF1207" i="16"/>
  <c r="Z1208" i="16"/>
  <c r="AF1208" i="16"/>
  <c r="Z1209" i="16"/>
  <c r="AF1209" i="16"/>
  <c r="Z1210" i="16"/>
  <c r="AF1210" i="16"/>
  <c r="Z1211" i="16"/>
  <c r="AF1211" i="16"/>
  <c r="Z1212" i="16"/>
  <c r="AF1212" i="16"/>
  <c r="Z1213" i="16"/>
  <c r="AF1213" i="16"/>
  <c r="Z1214" i="16"/>
  <c r="AF1214" i="16"/>
  <c r="Z1215" i="16"/>
  <c r="AF1215" i="16"/>
  <c r="Z1216" i="16"/>
  <c r="AF1216" i="16"/>
  <c r="Z1217" i="16"/>
  <c r="AF1217" i="16"/>
  <c r="Z1218" i="16"/>
  <c r="AF1218" i="16"/>
  <c r="Z1219" i="16"/>
  <c r="AF1219" i="16"/>
  <c r="Z1220" i="16"/>
  <c r="AF1220" i="16"/>
  <c r="Z1221" i="16"/>
  <c r="AF1221" i="16"/>
  <c r="Z1222" i="16"/>
  <c r="AF1222" i="16"/>
  <c r="Z1223" i="16"/>
  <c r="AF1223" i="16"/>
  <c r="Z1224" i="16"/>
  <c r="AF1224" i="16"/>
  <c r="Z1225" i="16"/>
  <c r="AF1225" i="16"/>
  <c r="Z1226" i="16"/>
  <c r="AF1226" i="16"/>
  <c r="Z1227" i="16"/>
  <c r="AF1227" i="16"/>
  <c r="Z1228" i="16"/>
  <c r="AF1228" i="16"/>
  <c r="Z1229" i="16"/>
  <c r="AF1229" i="16"/>
  <c r="Z1230" i="16"/>
  <c r="AF1230" i="16"/>
  <c r="Z1231" i="16"/>
  <c r="AF1231" i="16"/>
  <c r="Z1232" i="16"/>
  <c r="AF1232" i="16"/>
  <c r="Z1233" i="16"/>
  <c r="AF1233" i="16"/>
  <c r="Z1234" i="16"/>
  <c r="AF1234" i="16"/>
  <c r="Y1235" i="16"/>
  <c r="AE1235" i="16"/>
  <c r="Y1236" i="16"/>
  <c r="AE1236" i="16"/>
  <c r="Y1237" i="16"/>
  <c r="AE1237" i="16"/>
  <c r="Y1238" i="16"/>
  <c r="AE1238" i="16"/>
  <c r="Y1239" i="16"/>
  <c r="AE1239" i="16"/>
  <c r="Y1240" i="16"/>
  <c r="AE1240" i="16"/>
  <c r="Y1241" i="16"/>
  <c r="AE1241" i="16"/>
  <c r="Y1242" i="16"/>
  <c r="AE1242" i="16"/>
  <c r="Y1243" i="16"/>
  <c r="AE1243" i="16"/>
  <c r="Y1244" i="16"/>
  <c r="AE1244" i="16"/>
  <c r="Y1245" i="16"/>
  <c r="AE1245" i="16"/>
  <c r="Y1246" i="16"/>
  <c r="AE1246" i="16"/>
  <c r="Z1247" i="16"/>
  <c r="AF1247" i="16"/>
  <c r="Z1248" i="16"/>
  <c r="AF1248" i="16"/>
  <c r="Z1249" i="16"/>
  <c r="AF1249" i="16"/>
  <c r="Z1250" i="16"/>
  <c r="AF1250" i="16"/>
  <c r="Z1251" i="16"/>
  <c r="AF1251" i="16"/>
  <c r="Z1252" i="16"/>
  <c r="AF1252" i="16"/>
  <c r="Z1253" i="16"/>
  <c r="AF1253" i="16"/>
  <c r="Z1254" i="16"/>
  <c r="AF1254" i="16"/>
  <c r="Z1255" i="16"/>
  <c r="AF1255" i="16"/>
  <c r="Z1256" i="16"/>
  <c r="AF1256" i="16"/>
  <c r="Z1257" i="16"/>
  <c r="AF1257" i="16"/>
  <c r="Z1258" i="16"/>
  <c r="AF1258" i="16"/>
  <c r="Z1259" i="16"/>
  <c r="AF1259" i="16"/>
  <c r="Z1260" i="16"/>
  <c r="AF1260" i="16"/>
  <c r="Z1261" i="16"/>
  <c r="AF1261" i="16"/>
  <c r="Z1262" i="16"/>
  <c r="AF1262" i="16"/>
  <c r="Z1263" i="16"/>
  <c r="AF1263" i="16"/>
  <c r="Z1264" i="16"/>
  <c r="AF1264" i="16"/>
  <c r="Z1265" i="16"/>
  <c r="AF1265" i="16"/>
  <c r="Z1266" i="16"/>
  <c r="AF1266" i="16"/>
  <c r="Z1267" i="16"/>
  <c r="AF1267" i="16"/>
  <c r="Z1268" i="16"/>
  <c r="AF1268" i="16"/>
  <c r="Z1269" i="16"/>
  <c r="AF1269" i="16"/>
  <c r="Y1270" i="16"/>
  <c r="AE1270" i="16"/>
  <c r="Y1271" i="16"/>
  <c r="AE1271" i="16"/>
  <c r="Y1272" i="16"/>
  <c r="AE1272" i="16"/>
  <c r="Y1273" i="16"/>
  <c r="AE1273" i="16"/>
  <c r="Y1274" i="16"/>
  <c r="AE1274" i="16"/>
  <c r="Y1275" i="16"/>
  <c r="AE1275" i="16"/>
  <c r="Y1276" i="16"/>
  <c r="AE1276" i="16"/>
  <c r="Y1277" i="16"/>
  <c r="AE1277" i="16"/>
  <c r="Y1278" i="16"/>
  <c r="AE1278" i="16"/>
  <c r="Y1279" i="16"/>
  <c r="AE1279" i="16"/>
  <c r="Y1280" i="16"/>
  <c r="AE1280" i="16"/>
  <c r="Z1281" i="16"/>
  <c r="AF1281" i="16"/>
  <c r="Z1282" i="16"/>
  <c r="AF1282" i="16"/>
  <c r="Z1283" i="16"/>
  <c r="AF1283" i="16"/>
  <c r="Z1284" i="16"/>
  <c r="AF1284" i="16"/>
  <c r="Z1285" i="16"/>
  <c r="AF1285" i="16"/>
  <c r="Z1286" i="16"/>
  <c r="AF1286" i="16"/>
  <c r="Z1287" i="16"/>
  <c r="AF1287" i="16"/>
  <c r="Z1288" i="16"/>
  <c r="AF1288" i="16"/>
  <c r="Z1289" i="16"/>
  <c r="AF1289" i="16"/>
  <c r="Z1290" i="16"/>
  <c r="AF1290" i="16"/>
  <c r="Z1291" i="16"/>
  <c r="AF1291" i="16"/>
  <c r="Y1292" i="16"/>
  <c r="Z1292" i="16"/>
  <c r="AE1292" i="16"/>
  <c r="AF1292" i="16"/>
  <c r="Y1293" i="16"/>
  <c r="Z1293" i="16"/>
  <c r="AE1293" i="16"/>
  <c r="AF1293" i="16"/>
  <c r="Y1294" i="16"/>
  <c r="Z1294" i="16"/>
  <c r="AE1294" i="16"/>
  <c r="AF1294" i="16"/>
  <c r="Y1295" i="16"/>
  <c r="Z1295" i="16"/>
  <c r="AE1295" i="16"/>
  <c r="AF1295" i="16"/>
  <c r="Y1296" i="16"/>
  <c r="Z1296" i="16"/>
  <c r="AE1296" i="16"/>
  <c r="AF1296" i="16"/>
  <c r="Y1297" i="16"/>
  <c r="Z1297" i="16"/>
  <c r="AE1297" i="16"/>
  <c r="AF1297" i="16"/>
  <c r="Y1298" i="16"/>
  <c r="Z1298" i="16"/>
  <c r="AE1298" i="16"/>
  <c r="AF1298" i="16"/>
  <c r="Y1299" i="16"/>
  <c r="Z1299" i="16"/>
  <c r="AE1299" i="16"/>
  <c r="AF1299" i="16"/>
  <c r="Y1300" i="16"/>
  <c r="Z1300" i="16"/>
  <c r="AE1300" i="16"/>
  <c r="AF1300" i="16"/>
  <c r="Y1301" i="16"/>
  <c r="Z1301" i="16"/>
  <c r="AE1301" i="16"/>
  <c r="AF1301" i="16"/>
  <c r="Y1302" i="16"/>
  <c r="Z1302" i="16"/>
  <c r="AE1302" i="16"/>
  <c r="AF1302" i="16"/>
  <c r="Y1303" i="16"/>
  <c r="Z1303" i="16"/>
  <c r="AE1303" i="16"/>
  <c r="AF1303" i="16"/>
  <c r="Y1304" i="16"/>
  <c r="Z1304" i="16"/>
  <c r="AE1304" i="16"/>
  <c r="AF1304" i="16"/>
  <c r="Y1305" i="16"/>
  <c r="Z1305" i="16"/>
  <c r="AE1305" i="16"/>
  <c r="AF1305" i="16"/>
  <c r="Y1306" i="16"/>
  <c r="Z1306" i="16"/>
  <c r="AE1306" i="16"/>
  <c r="AF1306" i="16"/>
  <c r="Y1307" i="16"/>
  <c r="Z1307" i="16"/>
  <c r="AE1307" i="16"/>
  <c r="AF1307" i="16"/>
  <c r="Y1308" i="16"/>
  <c r="Z1308" i="16"/>
  <c r="AE1308" i="16"/>
  <c r="AF1308" i="16"/>
  <c r="Y1309" i="16"/>
  <c r="Z1309" i="16"/>
  <c r="AE1309" i="16"/>
  <c r="AF1309" i="16"/>
  <c r="Y1310" i="16"/>
  <c r="Z1310" i="16"/>
  <c r="AE1310" i="16"/>
  <c r="AF1310" i="16"/>
  <c r="Y1311" i="16"/>
  <c r="Z1311" i="16"/>
  <c r="AE1311" i="16"/>
  <c r="AF1311" i="16"/>
  <c r="Y1312" i="16"/>
  <c r="Z1312" i="16"/>
  <c r="AE1312" i="16"/>
  <c r="AF1312" i="16"/>
  <c r="Y1313" i="16"/>
  <c r="Z1313" i="16"/>
  <c r="AE1313" i="16"/>
  <c r="AF1313" i="16"/>
  <c r="Y1314" i="16"/>
  <c r="Z1314" i="16"/>
  <c r="AE1314" i="16"/>
  <c r="AF1314" i="16"/>
  <c r="Y1315" i="16"/>
  <c r="Z1315" i="16"/>
  <c r="AE1315" i="16"/>
  <c r="AF1315" i="16"/>
  <c r="Y1316" i="16"/>
  <c r="Z1316" i="16"/>
  <c r="AE1316" i="16"/>
  <c r="AF1316" i="16"/>
  <c r="Y1317" i="16"/>
  <c r="Z1317" i="16"/>
  <c r="AE1317" i="16"/>
  <c r="AF1317" i="16"/>
  <c r="Y1318" i="16"/>
  <c r="Z1318" i="16"/>
  <c r="AE1318" i="16"/>
  <c r="AF1318" i="16"/>
  <c r="Y1319" i="16"/>
  <c r="Z1319" i="16"/>
  <c r="AE1319" i="16"/>
  <c r="AF1319" i="16"/>
  <c r="Y1320" i="16"/>
  <c r="Z1320" i="16"/>
  <c r="AE1320" i="16"/>
  <c r="AF1320" i="16"/>
  <c r="Y1321" i="16"/>
  <c r="Z1321" i="16"/>
  <c r="AE1321" i="16"/>
  <c r="AF1321" i="16"/>
  <c r="Y1322" i="16"/>
  <c r="Z1322" i="16"/>
  <c r="AE1322" i="16"/>
  <c r="AF1322" i="16"/>
  <c r="Y1323" i="16"/>
  <c r="Z1323" i="16"/>
  <c r="AE1323" i="16"/>
  <c r="AF1323" i="16"/>
  <c r="Y1324" i="16"/>
  <c r="Z1324" i="16"/>
  <c r="AE1324" i="16"/>
  <c r="AF1324" i="16"/>
  <c r="Y1325" i="16"/>
  <c r="Z1325" i="16"/>
  <c r="AE1325" i="16"/>
  <c r="AF1325" i="16"/>
  <c r="Y1326" i="16"/>
  <c r="Z1326" i="16"/>
  <c r="AE1326" i="16"/>
  <c r="AF1326" i="16"/>
  <c r="Y1327" i="16"/>
  <c r="Z1327" i="16"/>
  <c r="AE1327" i="16"/>
  <c r="AF1327" i="16"/>
  <c r="Y1328" i="16"/>
  <c r="Z1328" i="16"/>
  <c r="AE1328" i="16"/>
  <c r="AF1328" i="16"/>
  <c r="Y1329" i="16"/>
  <c r="Z1329" i="16"/>
  <c r="AE1329" i="16"/>
  <c r="AF1329" i="16"/>
  <c r="Y1330" i="16"/>
  <c r="Z1330" i="16"/>
  <c r="AE1330" i="16"/>
  <c r="AF1330" i="16"/>
  <c r="Y1331" i="16"/>
  <c r="Z1331" i="16"/>
  <c r="AE1331" i="16"/>
  <c r="AF1331" i="16"/>
  <c r="Y1332" i="16"/>
  <c r="Z1332" i="16"/>
  <c r="AE1332" i="16"/>
  <c r="AF1332" i="16"/>
  <c r="Y1333" i="16"/>
  <c r="Z1333" i="16"/>
  <c r="AE1333" i="16"/>
  <c r="AF1333" i="16"/>
  <c r="Y1334" i="16"/>
  <c r="Z1334" i="16"/>
  <c r="AE1334" i="16"/>
  <c r="AF1334" i="16"/>
  <c r="Y1335" i="16"/>
  <c r="Z1335" i="16"/>
  <c r="AE1335" i="16"/>
  <c r="AF1335" i="16"/>
  <c r="Y1336" i="16"/>
  <c r="Z1336" i="16"/>
  <c r="AE1336" i="16"/>
  <c r="AF1336" i="16"/>
  <c r="Y1337" i="16"/>
  <c r="Z1337" i="16"/>
  <c r="AE1337" i="16"/>
  <c r="AF1337" i="16"/>
  <c r="Y1338" i="16"/>
  <c r="Z1338" i="16"/>
  <c r="AE1338" i="16"/>
  <c r="AF1338" i="16"/>
  <c r="Y1339" i="16"/>
  <c r="Z1339" i="16"/>
  <c r="AE1339" i="16"/>
  <c r="AF1339" i="16"/>
  <c r="Y1340" i="16"/>
  <c r="Z1340" i="16"/>
  <c r="AE1340" i="16"/>
  <c r="AF1340" i="16"/>
  <c r="Y1341" i="16"/>
  <c r="Z1341" i="16"/>
  <c r="AE1341" i="16"/>
  <c r="AF1341" i="16"/>
  <c r="Y1342" i="16"/>
  <c r="Z1342" i="16"/>
  <c r="AE1342" i="16"/>
  <c r="AF1342" i="16"/>
  <c r="Y1343" i="16"/>
  <c r="Z1343" i="16"/>
  <c r="AE1343" i="16"/>
  <c r="AF1343" i="16"/>
  <c r="Y1344" i="16"/>
  <c r="Z1344" i="16"/>
  <c r="AE1344" i="16"/>
  <c r="AF1344" i="16"/>
  <c r="Y1345" i="16"/>
  <c r="Z1345" i="16"/>
  <c r="AE1345" i="16"/>
  <c r="AF1345" i="16"/>
  <c r="Y1346" i="16"/>
  <c r="Z1346" i="16"/>
  <c r="AE1346" i="16"/>
  <c r="AF1346" i="16"/>
  <c r="Y1347" i="16"/>
  <c r="Z1347" i="16"/>
  <c r="AE1347" i="16"/>
  <c r="AF1347" i="16"/>
  <c r="Y1348" i="16"/>
  <c r="Z1348" i="16"/>
  <c r="AE1348" i="16"/>
  <c r="AF1348" i="16"/>
  <c r="Y1349" i="16"/>
  <c r="Z1349" i="16"/>
  <c r="AE1349" i="16"/>
  <c r="AF1349" i="16"/>
  <c r="Y1350" i="16"/>
  <c r="Z1350" i="16"/>
  <c r="AE1350" i="16"/>
  <c r="AF1350" i="16"/>
  <c r="Y1351" i="16"/>
  <c r="Z1351" i="16"/>
  <c r="AE1351" i="16"/>
  <c r="AF1351" i="16"/>
  <c r="Y1352" i="16"/>
  <c r="Z1352" i="16"/>
  <c r="AE1352" i="16"/>
  <c r="AF1352" i="16"/>
  <c r="Y1353" i="16"/>
  <c r="Z1353" i="16"/>
  <c r="AE1353" i="16"/>
  <c r="AF1353" i="16"/>
  <c r="Y1354" i="16"/>
  <c r="Z1354" i="16"/>
  <c r="AE1354" i="16"/>
  <c r="AF1354" i="16"/>
  <c r="Y1355" i="16"/>
  <c r="Z1355" i="16"/>
  <c r="AE1355" i="16"/>
  <c r="AF1355" i="16"/>
  <c r="Y1356" i="16"/>
  <c r="Z1356" i="16"/>
  <c r="AE1356" i="16"/>
  <c r="AF1356" i="16"/>
  <c r="Y1357" i="16"/>
  <c r="Z1357" i="16"/>
  <c r="AE1357" i="16"/>
  <c r="AF1357" i="16"/>
  <c r="Y1358" i="16"/>
  <c r="Z1358" i="16"/>
  <c r="AE1358" i="16"/>
  <c r="AF1358" i="16"/>
  <c r="Y1359" i="16"/>
  <c r="Z1359" i="16"/>
  <c r="AE1359" i="16"/>
  <c r="AF1359" i="16"/>
  <c r="Y1360" i="16"/>
  <c r="Z1360" i="16"/>
  <c r="AE1360" i="16"/>
  <c r="AF1360" i="16"/>
  <c r="Y1361" i="16"/>
  <c r="Z1361" i="16"/>
  <c r="AE1361" i="16"/>
  <c r="AF1361" i="16"/>
  <c r="Y1362" i="16"/>
  <c r="Z1362" i="16"/>
  <c r="AE1362" i="16"/>
  <c r="AF1362" i="16"/>
  <c r="Y1363" i="16"/>
  <c r="Z1363" i="16"/>
  <c r="AE1363" i="16"/>
  <c r="AF1363" i="16"/>
  <c r="Y1364" i="16"/>
  <c r="Z1364" i="16"/>
  <c r="AE1364" i="16"/>
  <c r="AF1364" i="16"/>
  <c r="Y1365" i="16"/>
  <c r="Z1365" i="16"/>
  <c r="AE1365" i="16"/>
  <c r="AF1365" i="16"/>
  <c r="Y1366" i="16"/>
  <c r="Z1366" i="16"/>
  <c r="AE1366" i="16"/>
  <c r="AF1366" i="16"/>
  <c r="Y1367" i="16"/>
  <c r="Z1367" i="16"/>
  <c r="AE1367" i="16"/>
  <c r="AF1367" i="16"/>
  <c r="Y1368" i="16"/>
  <c r="Z1368" i="16"/>
  <c r="AE1368" i="16"/>
  <c r="AF1368" i="16"/>
  <c r="Y1369" i="16"/>
  <c r="Z1369" i="16"/>
  <c r="AE1369" i="16"/>
  <c r="AF1369" i="16"/>
  <c r="Y1370" i="16"/>
  <c r="Z1370" i="16"/>
  <c r="AE1370" i="16"/>
  <c r="AF1370" i="16"/>
  <c r="Y1371" i="16"/>
  <c r="Z1371" i="16"/>
  <c r="AE1371" i="16"/>
  <c r="AF1371" i="16"/>
  <c r="Y1372" i="16"/>
  <c r="Z1372" i="16"/>
  <c r="AE1372" i="16"/>
  <c r="AF1372" i="16"/>
  <c r="Y1373" i="16"/>
  <c r="Z1373" i="16"/>
  <c r="AE1373" i="16"/>
  <c r="AF1373" i="16"/>
  <c r="Z1374" i="16"/>
  <c r="AF1374" i="16"/>
  <c r="Z1375" i="16"/>
  <c r="AF1375" i="16"/>
  <c r="Z1376" i="16"/>
  <c r="AF1376" i="16"/>
  <c r="Z1377" i="16"/>
  <c r="AF1377" i="16"/>
  <c r="Z1378" i="16"/>
  <c r="AF1378" i="16"/>
  <c r="Z1379" i="16"/>
  <c r="AF1379" i="16"/>
  <c r="Z1380" i="16"/>
  <c r="AF1380" i="16"/>
  <c r="Z1381" i="16"/>
  <c r="AF1381" i="16"/>
  <c r="Z1382" i="16"/>
  <c r="AF1382" i="16"/>
  <c r="Z1383" i="16"/>
  <c r="AF1383" i="16"/>
  <c r="Z1384" i="16"/>
  <c r="AF1384" i="16"/>
  <c r="Z1385" i="16"/>
  <c r="AF1385" i="16"/>
  <c r="Y1386" i="16"/>
  <c r="Z1386" i="16"/>
  <c r="AE1386" i="16"/>
  <c r="AF1386" i="16"/>
  <c r="Y1387" i="16"/>
  <c r="Z1387" i="16"/>
  <c r="AE1387" i="16"/>
  <c r="AF1387" i="16"/>
  <c r="Y1388" i="16"/>
  <c r="Z1388" i="16"/>
  <c r="AE1388" i="16"/>
  <c r="AF1388" i="16"/>
  <c r="Y1389" i="16"/>
  <c r="Z1389" i="16"/>
  <c r="AE1389" i="16"/>
  <c r="AF1389" i="16"/>
  <c r="Y1390" i="16"/>
  <c r="Z1390" i="16"/>
  <c r="AE1390" i="16"/>
  <c r="AF1390" i="16"/>
  <c r="Y1391" i="16"/>
  <c r="Z1391" i="16"/>
  <c r="AE1391" i="16"/>
  <c r="AF1391" i="16"/>
  <c r="Y1392" i="16"/>
  <c r="Z1392" i="16"/>
  <c r="AE1392" i="16"/>
  <c r="AF1392" i="16"/>
  <c r="Y1393" i="16"/>
  <c r="Z1393" i="16"/>
  <c r="AE1393" i="16"/>
  <c r="AF1393" i="16"/>
  <c r="Y1394" i="16"/>
  <c r="Z1394" i="16"/>
  <c r="AE1394" i="16"/>
  <c r="AF1394" i="16"/>
  <c r="Y1395" i="16"/>
  <c r="Z1395" i="16"/>
  <c r="AE1395" i="16"/>
  <c r="AF1395" i="16"/>
  <c r="Y1396" i="16"/>
  <c r="Z1396" i="16"/>
  <c r="AE1396" i="16"/>
  <c r="AF1396" i="16"/>
  <c r="Y1397" i="16"/>
  <c r="Z1397" i="16"/>
  <c r="AE1397" i="16"/>
  <c r="AF1397" i="16"/>
  <c r="Y1398" i="16"/>
  <c r="Z1398" i="16"/>
  <c r="AE1398" i="16"/>
  <c r="AF1398" i="16"/>
  <c r="Y1399" i="16"/>
  <c r="Z1399" i="16"/>
  <c r="AE1399" i="16"/>
  <c r="AF1399" i="16"/>
  <c r="Y1400" i="16"/>
  <c r="Z1400" i="16"/>
  <c r="AE1400" i="16"/>
  <c r="AF1400" i="16"/>
  <c r="Y1401" i="16"/>
  <c r="Z1401" i="16"/>
  <c r="AE1401" i="16"/>
  <c r="AF1401" i="16"/>
  <c r="Y1402" i="16"/>
  <c r="Z1402" i="16"/>
  <c r="AE1402" i="16"/>
  <c r="AF1402" i="16"/>
  <c r="Y1403" i="16"/>
  <c r="Z1403" i="16"/>
  <c r="AE1403" i="16"/>
  <c r="AF1403" i="16"/>
  <c r="Y1404" i="16"/>
  <c r="Z1404" i="16"/>
  <c r="AE1404" i="16"/>
  <c r="AF1404" i="16"/>
  <c r="Y1405" i="16"/>
  <c r="Z1405" i="16"/>
  <c r="AE1405" i="16"/>
  <c r="AF1405" i="16"/>
  <c r="Y1406" i="16"/>
  <c r="Z1406" i="16"/>
  <c r="AE1406" i="16"/>
  <c r="AF1406" i="16"/>
  <c r="Y1407" i="16"/>
  <c r="Z1407" i="16"/>
  <c r="AE1407" i="16"/>
  <c r="AF1407" i="16"/>
  <c r="Y1408" i="16"/>
  <c r="Z1408" i="16"/>
  <c r="AE1408" i="16"/>
  <c r="AF1408" i="16"/>
  <c r="Y1409" i="16"/>
  <c r="Z1409" i="16"/>
  <c r="AE1409" i="16"/>
  <c r="AF1409" i="16"/>
  <c r="Y1410" i="16"/>
  <c r="Z1410" i="16"/>
  <c r="AE1410" i="16"/>
  <c r="AF1410" i="16"/>
  <c r="Y1411" i="16"/>
  <c r="Z1411" i="16"/>
  <c r="AE1411" i="16"/>
  <c r="AF1411" i="16"/>
  <c r="Y1412" i="16"/>
  <c r="Z1412" i="16"/>
  <c r="AE1412" i="16"/>
  <c r="AF1412" i="16"/>
  <c r="Y1413" i="16"/>
  <c r="Z1413" i="16"/>
  <c r="AE1413" i="16"/>
  <c r="AF1413" i="16"/>
  <c r="Y1414" i="16"/>
  <c r="Z1414" i="16"/>
  <c r="AE1414" i="16"/>
  <c r="AF1414" i="16"/>
  <c r="Y1415" i="16"/>
  <c r="Z1415" i="16"/>
  <c r="AE1415" i="16"/>
  <c r="AF1415" i="16"/>
  <c r="Y1416" i="16"/>
  <c r="Z1416" i="16"/>
  <c r="AE1416" i="16"/>
  <c r="AF1416" i="16"/>
  <c r="Y1417" i="16"/>
  <c r="Z1417" i="16"/>
  <c r="AE1417" i="16"/>
  <c r="AF1417" i="16"/>
  <c r="Y1418" i="16"/>
  <c r="Z1418" i="16"/>
  <c r="AE1418" i="16"/>
  <c r="AF1418" i="16"/>
  <c r="Y1419" i="16"/>
  <c r="Z1419" i="16"/>
  <c r="AE1419" i="16"/>
  <c r="AF1419" i="16"/>
  <c r="Y1420" i="16"/>
  <c r="Z1420" i="16"/>
  <c r="AE1420" i="16"/>
  <c r="AF1420" i="16"/>
  <c r="Y1421" i="16"/>
  <c r="Z1421" i="16"/>
  <c r="AE1421" i="16"/>
  <c r="AF1421" i="16"/>
  <c r="Y1422" i="16"/>
  <c r="Z1422" i="16"/>
  <c r="AE1422" i="16"/>
  <c r="AF1422" i="16"/>
  <c r="Y1423" i="16"/>
  <c r="Z1423" i="16"/>
  <c r="AE1423" i="16"/>
  <c r="AF1423" i="16"/>
  <c r="Y1424" i="16"/>
  <c r="Z1424" i="16"/>
  <c r="AE1424" i="16"/>
  <c r="AF1424" i="16"/>
  <c r="Y1425" i="16"/>
  <c r="Z1425" i="16"/>
  <c r="AE1425" i="16"/>
  <c r="AF1425" i="16"/>
  <c r="Y1426" i="16"/>
  <c r="Z1426" i="16"/>
  <c r="AE1426" i="16"/>
  <c r="AF1426" i="16"/>
  <c r="Y1427" i="16"/>
  <c r="Z1427" i="16"/>
  <c r="AE1427" i="16"/>
  <c r="AF1427" i="16"/>
  <c r="Y1428" i="16"/>
  <c r="Z1428" i="16"/>
  <c r="AE1428" i="16"/>
  <c r="AF1428" i="16"/>
  <c r="Y1429" i="16"/>
  <c r="Z1429" i="16"/>
  <c r="AE1429" i="16"/>
  <c r="AF1429" i="16"/>
  <c r="Y1430" i="16"/>
  <c r="Z1430" i="16"/>
  <c r="AE1430" i="16"/>
  <c r="AF1430" i="16"/>
  <c r="Y1431" i="16"/>
  <c r="Z1431" i="16"/>
  <c r="AE1431" i="16"/>
  <c r="AF1431" i="16"/>
  <c r="Y1432" i="16"/>
  <c r="Z1432" i="16"/>
  <c r="AE1432" i="16"/>
  <c r="AF1432" i="16"/>
  <c r="Y1433" i="16"/>
  <c r="Z1433" i="16"/>
  <c r="AE1433" i="16"/>
  <c r="AF1433" i="16"/>
  <c r="Y1434" i="16"/>
  <c r="Z1434" i="16"/>
  <c r="AE1434" i="16"/>
  <c r="AF1434" i="16"/>
  <c r="Y1435" i="16"/>
  <c r="Z1435" i="16"/>
  <c r="AE1435" i="16"/>
  <c r="AF1435" i="16"/>
  <c r="Y1436" i="16"/>
  <c r="Z1436" i="16"/>
  <c r="AE1436" i="16"/>
  <c r="AF1436" i="16"/>
  <c r="Y1437" i="16"/>
  <c r="Z1437" i="16"/>
  <c r="AE1437" i="16"/>
  <c r="AF1437" i="16"/>
  <c r="Y1438" i="16"/>
  <c r="Z1438" i="16"/>
  <c r="AE1438" i="16"/>
  <c r="AF1438" i="16"/>
  <c r="Y1439" i="16"/>
  <c r="Z1439" i="16"/>
  <c r="AE1439" i="16"/>
  <c r="AF1439" i="16"/>
  <c r="Y1440" i="16"/>
  <c r="Z1440" i="16"/>
  <c r="AE1440" i="16"/>
  <c r="AF1440" i="16"/>
  <c r="Y1441" i="16"/>
  <c r="Z1441" i="16"/>
  <c r="AE1441" i="16"/>
  <c r="AF1441" i="16"/>
  <c r="Y1442" i="16"/>
  <c r="Z1442" i="16"/>
  <c r="AE1442" i="16"/>
  <c r="AF1442" i="16"/>
  <c r="Y1443" i="16"/>
  <c r="Z1443" i="16"/>
  <c r="AE1443" i="16"/>
  <c r="AF1443" i="16"/>
  <c r="Y1444" i="16"/>
  <c r="Z1444" i="16"/>
  <c r="AE1444" i="16"/>
  <c r="AF1444" i="16"/>
  <c r="Y1445" i="16"/>
  <c r="Z1445" i="16"/>
  <c r="AE1445" i="16"/>
  <c r="AF1445" i="16"/>
  <c r="Z1446" i="16"/>
  <c r="AF1446" i="16"/>
  <c r="Z1447" i="16"/>
  <c r="AF1447" i="16"/>
  <c r="Z1448" i="16"/>
  <c r="AF1448" i="16"/>
  <c r="Z1449" i="16"/>
  <c r="AF1449" i="16"/>
  <c r="Z1450" i="16"/>
  <c r="AF1450" i="16"/>
  <c r="Z1451" i="16"/>
  <c r="AF1451" i="16"/>
  <c r="Z1452" i="16"/>
  <c r="AF1452" i="16"/>
  <c r="Z1453" i="16"/>
  <c r="AF1453" i="16"/>
  <c r="Z1454" i="16"/>
  <c r="AF1454" i="16"/>
  <c r="Z1455" i="16"/>
  <c r="AF1455" i="16"/>
  <c r="Z1456" i="16"/>
  <c r="AF1456" i="16"/>
  <c r="Z1457" i="16"/>
  <c r="AF1457" i="16"/>
  <c r="Z1458" i="16"/>
  <c r="AF1458" i="16"/>
  <c r="Z1459" i="16"/>
  <c r="AF1459" i="16"/>
  <c r="Z1460" i="16"/>
  <c r="AF1460" i="16"/>
  <c r="Z1461" i="16"/>
  <c r="AF1461" i="16"/>
  <c r="Z1462" i="16"/>
  <c r="AF1462" i="16"/>
  <c r="Z1463" i="16"/>
  <c r="AF1463" i="16"/>
  <c r="Z1464" i="16"/>
  <c r="AF1464" i="16"/>
  <c r="Z1465" i="16"/>
  <c r="AF1465" i="16"/>
  <c r="Z1466" i="16"/>
  <c r="AF1466" i="16"/>
  <c r="Z1467" i="16"/>
  <c r="AF1467" i="16"/>
  <c r="Z1468" i="16"/>
  <c r="AF1468" i="16"/>
  <c r="Z1469" i="16"/>
  <c r="AF1469" i="16"/>
  <c r="Z1470" i="16"/>
  <c r="AF1470" i="16"/>
  <c r="Z1471" i="16"/>
  <c r="AF1471" i="16"/>
  <c r="Z1472" i="16"/>
  <c r="AF1472" i="16"/>
  <c r="Z1473" i="16"/>
  <c r="AF1473" i="16"/>
  <c r="Z1474" i="16"/>
  <c r="AF1474" i="16"/>
  <c r="Z1475" i="16"/>
  <c r="AF1475" i="16"/>
  <c r="Z1476" i="16"/>
  <c r="AF1476" i="16"/>
  <c r="Y1477" i="16"/>
  <c r="AE1477" i="16"/>
  <c r="Y1478" i="16"/>
  <c r="AE1478" i="16"/>
  <c r="Y1479" i="16"/>
  <c r="AE1479" i="16"/>
  <c r="Y1480" i="16"/>
  <c r="AE1480" i="16"/>
  <c r="Y1481" i="16"/>
  <c r="AE1481" i="16"/>
  <c r="Y1482" i="16"/>
  <c r="AE1482" i="16"/>
  <c r="Y1483" i="16"/>
  <c r="AE1483" i="16"/>
  <c r="Y1484" i="16"/>
  <c r="AE1484" i="16"/>
  <c r="Y1485" i="16"/>
  <c r="AE1485" i="16"/>
  <c r="Y1486" i="16"/>
  <c r="AE1486" i="16"/>
  <c r="Y1487" i="16"/>
  <c r="AE1487" i="16"/>
  <c r="Y1488" i="16"/>
  <c r="AE1488" i="16"/>
  <c r="Y1489" i="16"/>
  <c r="AE1489" i="16"/>
  <c r="Y1490" i="16"/>
  <c r="AE1490" i="16"/>
  <c r="Y1491" i="16"/>
  <c r="AE1491" i="16"/>
  <c r="Y1492" i="16"/>
  <c r="AE1492" i="16"/>
  <c r="Y1493" i="16"/>
  <c r="AE1493" i="16"/>
  <c r="Y1494" i="16"/>
  <c r="AE1494" i="16"/>
  <c r="Y1495" i="16"/>
  <c r="AE1495" i="16"/>
  <c r="Y1496" i="16"/>
  <c r="AE1496" i="16"/>
  <c r="Y1497" i="16"/>
  <c r="AE1497" i="16"/>
  <c r="Y1498" i="16"/>
  <c r="AE1498" i="16"/>
  <c r="Y1499" i="16"/>
  <c r="AE1499" i="16"/>
  <c r="Y1500" i="16"/>
  <c r="AE1500" i="16"/>
  <c r="Y1501" i="16"/>
  <c r="AE1501" i="16"/>
  <c r="Y1502" i="16"/>
  <c r="AE1502" i="16"/>
  <c r="Y1503" i="16"/>
  <c r="AE1503" i="16"/>
  <c r="Y1504" i="16"/>
  <c r="AE1504" i="16"/>
  <c r="Y1505" i="16"/>
  <c r="AE1505" i="16"/>
  <c r="Y1506" i="16"/>
  <c r="AE1506" i="16"/>
  <c r="Y1507" i="16"/>
  <c r="AE1507" i="16"/>
  <c r="Y1508" i="16"/>
  <c r="AE1508" i="16"/>
  <c r="Y1509" i="16"/>
  <c r="AE1509" i="16"/>
  <c r="Y1510" i="16"/>
  <c r="AE1510" i="16"/>
  <c r="Y1511" i="16"/>
  <c r="AE1511" i="16"/>
  <c r="Y1512" i="16"/>
  <c r="AE1512" i="16"/>
  <c r="Z1513" i="16"/>
  <c r="AF1513" i="16"/>
  <c r="Z1514" i="16"/>
  <c r="AF1514" i="16"/>
  <c r="Z1515" i="16"/>
  <c r="AF1515" i="16"/>
  <c r="Z1516" i="16"/>
  <c r="AF1516" i="16"/>
  <c r="Z1517" i="16"/>
  <c r="AF1517" i="16"/>
  <c r="Z1518" i="16"/>
  <c r="AF1518" i="16"/>
  <c r="Z1519" i="16"/>
  <c r="AF1519" i="16"/>
  <c r="Z1520" i="16"/>
  <c r="AF1520" i="16"/>
  <c r="Z1521" i="16"/>
  <c r="AF1521" i="16"/>
  <c r="Z1522" i="16"/>
  <c r="AF1522" i="16"/>
  <c r="Z1523" i="16"/>
  <c r="AF1523" i="16"/>
  <c r="Z1524" i="16"/>
  <c r="AF1524" i="16"/>
  <c r="Z1525" i="16"/>
  <c r="AF1525" i="16"/>
  <c r="Z1526" i="16"/>
  <c r="AF1526" i="16"/>
  <c r="Z1527" i="16"/>
  <c r="AF1527" i="16"/>
  <c r="Z1528" i="16"/>
  <c r="AF1528" i="16"/>
  <c r="Z1529" i="16"/>
  <c r="AF1529" i="16"/>
  <c r="Z1530" i="16"/>
  <c r="AF1530" i="16"/>
  <c r="Z1531" i="16"/>
  <c r="AF1531" i="16"/>
  <c r="Z1532" i="16"/>
  <c r="AF1532" i="16"/>
  <c r="Z1533" i="16"/>
  <c r="AF1533" i="16"/>
  <c r="Z1534" i="16"/>
  <c r="AF1534" i="16"/>
  <c r="Z1535" i="16"/>
  <c r="AF1535" i="16"/>
  <c r="Z1536" i="16"/>
  <c r="AF1536" i="16"/>
  <c r="Z1537" i="16"/>
  <c r="AF1537" i="16"/>
  <c r="Z1538" i="16"/>
  <c r="AF1538" i="16"/>
  <c r="Z1539" i="16"/>
  <c r="AF1539" i="16"/>
  <c r="Z1540" i="16"/>
  <c r="AF1540" i="16"/>
  <c r="Z1541" i="16"/>
  <c r="AF1541" i="16"/>
  <c r="Z1542" i="16"/>
  <c r="AF1542" i="16"/>
  <c r="Z1543" i="16"/>
  <c r="AF1543" i="16"/>
  <c r="Z1544" i="16"/>
  <c r="AF1544" i="16"/>
  <c r="Z1545" i="16"/>
  <c r="AF1545" i="16"/>
  <c r="Z1546" i="16"/>
  <c r="AF1546" i="16"/>
  <c r="Z1547" i="16"/>
  <c r="AF1547" i="16"/>
  <c r="Z1548" i="16"/>
  <c r="AF1548" i="16"/>
  <c r="Z1549" i="16"/>
  <c r="AF1549" i="16"/>
  <c r="Z1550" i="16"/>
  <c r="AF1550" i="16"/>
  <c r="Z1551" i="16"/>
  <c r="AF1551" i="16"/>
  <c r="Z1552" i="16"/>
  <c r="AF1552" i="16"/>
  <c r="Z1553" i="16"/>
  <c r="AF1553" i="16"/>
  <c r="Z1554" i="16"/>
  <c r="AF1554" i="16"/>
  <c r="Y1555" i="16"/>
  <c r="AE1555" i="16"/>
  <c r="Y1556" i="16"/>
  <c r="AE1556" i="16"/>
  <c r="Y1557" i="16"/>
  <c r="AE1557" i="16"/>
  <c r="Y1558" i="16"/>
  <c r="AE1558" i="16"/>
  <c r="Y1559" i="16"/>
  <c r="AE1559" i="16"/>
  <c r="Y1560" i="16"/>
  <c r="AE1560" i="16"/>
  <c r="Y1561" i="16"/>
  <c r="AE1561" i="16"/>
  <c r="Y1562" i="16"/>
  <c r="AE1562" i="16"/>
  <c r="Y1563" i="16"/>
  <c r="AE1563" i="16"/>
  <c r="Y1564" i="16"/>
  <c r="AE1564" i="16"/>
  <c r="Y1565" i="16"/>
  <c r="AE1565" i="16"/>
  <c r="Y1566" i="16"/>
  <c r="AE1566" i="16"/>
  <c r="Z1567" i="16"/>
  <c r="AF1567" i="16"/>
  <c r="Z1568" i="16"/>
  <c r="AF1568" i="16"/>
  <c r="Z1569" i="16"/>
  <c r="AF1569" i="16"/>
  <c r="Z1570" i="16"/>
  <c r="AF1570" i="16"/>
  <c r="Z1571" i="16"/>
  <c r="AF1571" i="16"/>
  <c r="Z1572" i="16"/>
  <c r="AF1572" i="16"/>
  <c r="Z1573" i="16"/>
  <c r="AF1573" i="16"/>
  <c r="Z1574" i="16"/>
  <c r="AF1574" i="16"/>
  <c r="Z1575" i="16"/>
  <c r="AF1575" i="16"/>
  <c r="Z1576" i="16"/>
  <c r="AF1576" i="16"/>
  <c r="Z1577" i="16"/>
  <c r="AF1577" i="16"/>
  <c r="Z1578" i="16"/>
  <c r="AF1578" i="16"/>
  <c r="Z1579" i="16"/>
  <c r="AF1579" i="16"/>
  <c r="Z1580" i="16"/>
  <c r="AF1580" i="16"/>
  <c r="Z1581" i="16"/>
  <c r="AF1581" i="16"/>
  <c r="Z1582" i="16"/>
  <c r="AF1582" i="16"/>
  <c r="Z1583" i="16"/>
  <c r="AF1583" i="16"/>
  <c r="Z1584" i="16"/>
  <c r="AF1584" i="16"/>
  <c r="Z1585" i="16"/>
  <c r="AF1585" i="16"/>
  <c r="Z1586" i="16"/>
  <c r="AF1586" i="16"/>
  <c r="Z1587" i="16"/>
  <c r="AF1587" i="16"/>
  <c r="Z1588" i="16"/>
  <c r="AF1588" i="16"/>
  <c r="Z1589" i="16"/>
  <c r="AF1589" i="16"/>
  <c r="Z1590" i="16"/>
  <c r="AF1590" i="16"/>
  <c r="Z1591" i="16"/>
  <c r="AF1591" i="16"/>
  <c r="Z1592" i="16"/>
  <c r="AF1592" i="16"/>
  <c r="Z1593" i="16"/>
  <c r="AF1593" i="16"/>
  <c r="Z1594" i="16"/>
  <c r="AF1594" i="16"/>
  <c r="Z1595" i="16"/>
  <c r="AF1595" i="16"/>
  <c r="Z1596" i="16"/>
  <c r="AF1596" i="16"/>
  <c r="Z1597" i="16"/>
  <c r="AF1597" i="16"/>
  <c r="Z1598" i="16"/>
  <c r="AF1598" i="16"/>
  <c r="Z1599" i="16"/>
  <c r="AF1599" i="16"/>
  <c r="Z1600" i="16"/>
  <c r="AF1600" i="16"/>
  <c r="Z1601" i="16"/>
  <c r="AF1601" i="16"/>
  <c r="Z1602" i="16"/>
  <c r="AF1602" i="16"/>
  <c r="Z1603" i="16"/>
  <c r="AF1603" i="16"/>
  <c r="Z1604" i="16"/>
  <c r="AF1604" i="16"/>
  <c r="Z1605" i="16"/>
  <c r="AF1605" i="16"/>
  <c r="Z1606" i="16"/>
  <c r="AF1606" i="16"/>
  <c r="Y1607" i="16"/>
  <c r="AE1607" i="16"/>
  <c r="Y1608" i="16"/>
  <c r="AE1608" i="16"/>
  <c r="Y1609" i="16"/>
  <c r="AE1609" i="16"/>
  <c r="Y1610" i="16"/>
  <c r="AE1610" i="16"/>
  <c r="Y1611" i="16"/>
  <c r="AE1611" i="16"/>
  <c r="Y1612" i="16"/>
  <c r="AE1612" i="16"/>
  <c r="Y1613" i="16"/>
  <c r="AE1613" i="16"/>
  <c r="Y1614" i="16"/>
  <c r="AE1614" i="16"/>
  <c r="Y1615" i="16"/>
  <c r="AE1615" i="16"/>
  <c r="Y1616" i="16"/>
  <c r="AE1616" i="16"/>
  <c r="Y1617" i="16"/>
  <c r="AE1617" i="16"/>
  <c r="Y1618" i="16"/>
  <c r="AE1618" i="16"/>
  <c r="Y1619" i="16"/>
  <c r="AE1619" i="16"/>
  <c r="Y1620" i="16"/>
  <c r="AE1620" i="16"/>
  <c r="Y1621" i="16"/>
  <c r="AE1621" i="16"/>
  <c r="Y1622" i="16"/>
  <c r="AE1622" i="16"/>
  <c r="Y1623" i="16"/>
  <c r="AE1623" i="16"/>
  <c r="Y1624" i="16"/>
  <c r="AE1624" i="16"/>
  <c r="Y1625" i="16"/>
  <c r="AE1625" i="16"/>
  <c r="Y1626" i="16"/>
  <c r="AE1626" i="16"/>
  <c r="Y1627" i="16"/>
  <c r="AE1627" i="16"/>
  <c r="Y1628" i="16"/>
  <c r="AE1628" i="16"/>
  <c r="Y1629" i="16"/>
  <c r="AE1629" i="16"/>
  <c r="Y1630" i="16"/>
  <c r="AE1630" i="16"/>
  <c r="Y1631" i="16"/>
  <c r="AE1631" i="16"/>
  <c r="Y1632" i="16"/>
  <c r="AE1632" i="16"/>
  <c r="Y1633" i="16"/>
  <c r="AE1633" i="16"/>
  <c r="Y1634" i="16"/>
  <c r="AE1634" i="16"/>
  <c r="Z1635" i="16"/>
  <c r="AF1635" i="16"/>
  <c r="Z1636" i="16"/>
  <c r="AF1636" i="16"/>
  <c r="Z1637" i="16"/>
  <c r="AF1637" i="16"/>
  <c r="Z1638" i="16"/>
  <c r="AF1638" i="16"/>
  <c r="Z1639" i="16"/>
  <c r="AF1639" i="16"/>
  <c r="Z1640" i="16"/>
  <c r="AF1640" i="16"/>
  <c r="Z1641" i="16"/>
  <c r="AF1641" i="16"/>
  <c r="Z1642" i="16"/>
  <c r="AF1642" i="16"/>
  <c r="Z1643" i="16"/>
  <c r="AF1643" i="16"/>
  <c r="Z1644" i="16"/>
  <c r="AF1644" i="16"/>
  <c r="Z1645" i="16"/>
  <c r="AF1645" i="16"/>
  <c r="Z1646" i="16"/>
  <c r="AF1646" i="16"/>
  <c r="Z1647" i="16"/>
  <c r="AF1647" i="16"/>
  <c r="Z1648" i="16"/>
  <c r="AF1648" i="16"/>
  <c r="Z1649" i="16"/>
  <c r="AF1649" i="16"/>
  <c r="Z1650" i="16"/>
  <c r="AF1650" i="16"/>
  <c r="Z1651" i="16"/>
  <c r="AF1651" i="16"/>
  <c r="Z1652" i="16"/>
  <c r="AF1652" i="16"/>
  <c r="Z1653" i="16"/>
  <c r="AF1653" i="16"/>
  <c r="Z1654" i="16"/>
  <c r="AF1654" i="16"/>
  <c r="Z1655" i="16"/>
  <c r="AF1655" i="16"/>
  <c r="Z1656" i="16"/>
  <c r="AF1656" i="16"/>
  <c r="Z1657" i="16"/>
  <c r="AF1657" i="16"/>
  <c r="Z1658" i="16"/>
  <c r="AF1658" i="16"/>
  <c r="Z1659" i="16"/>
  <c r="AF1659" i="16"/>
  <c r="Z1660" i="16"/>
  <c r="AF1660" i="16"/>
  <c r="Z1661" i="16"/>
  <c r="AF1661" i="16"/>
  <c r="Z1662" i="16"/>
  <c r="AF1662" i="16"/>
  <c r="Z1663" i="16"/>
  <c r="AF1663" i="16"/>
  <c r="Z1664" i="16"/>
  <c r="AF1664" i="16"/>
  <c r="Z1665" i="16"/>
  <c r="AF1665" i="16"/>
  <c r="Z1666" i="16"/>
  <c r="AF1666" i="16"/>
  <c r="Z1667" i="16"/>
  <c r="AF1667" i="16"/>
  <c r="Z1668" i="16"/>
  <c r="AF1668" i="16"/>
  <c r="Z1669" i="16"/>
  <c r="AF1669" i="16"/>
  <c r="Z1670" i="16"/>
  <c r="AF1670" i="16"/>
  <c r="Z1671" i="16"/>
  <c r="AF1671" i="16"/>
  <c r="Z1672" i="16"/>
  <c r="AF1672" i="16"/>
  <c r="Z1673" i="16"/>
  <c r="AF1673" i="16"/>
  <c r="Z1674" i="16"/>
  <c r="AF1674" i="16"/>
  <c r="Z1675" i="16"/>
  <c r="AF1675" i="16"/>
  <c r="Z1676" i="16"/>
  <c r="AF1676" i="16"/>
  <c r="Z1677" i="16"/>
  <c r="AF1677" i="16"/>
  <c r="Z1678" i="16"/>
  <c r="AF1678" i="16"/>
  <c r="Z1679" i="16"/>
  <c r="AF1679" i="16"/>
  <c r="Z1680" i="16"/>
  <c r="AF1680" i="16"/>
  <c r="Z1681" i="16"/>
  <c r="AF1681" i="16"/>
  <c r="Z1682" i="16"/>
  <c r="AF1682" i="16"/>
  <c r="Z1683" i="16"/>
  <c r="AF1683" i="16"/>
  <c r="Z1684" i="16"/>
  <c r="AF1684" i="16"/>
  <c r="Z1685" i="16"/>
  <c r="AF1685" i="16"/>
  <c r="Z1686" i="16"/>
  <c r="AF1686" i="16"/>
  <c r="Z1687" i="16"/>
  <c r="AF1687" i="16"/>
  <c r="Z1688" i="16"/>
  <c r="AF1688" i="16"/>
  <c r="Z1689" i="16"/>
  <c r="AF1689" i="16"/>
  <c r="Z1690" i="16"/>
  <c r="AF1690" i="16"/>
  <c r="Z1691" i="16"/>
  <c r="AF1691" i="16"/>
  <c r="Z1692" i="16"/>
  <c r="AF1692" i="16"/>
  <c r="Z1693" i="16"/>
  <c r="AF1693" i="16"/>
  <c r="Z1694" i="16"/>
  <c r="AF1694" i="16"/>
  <c r="Z1695" i="16"/>
  <c r="AF1695" i="16"/>
  <c r="Z1696" i="16"/>
  <c r="AF1696" i="16"/>
  <c r="Z1697" i="16"/>
  <c r="AF1697" i="16"/>
  <c r="Z1698" i="16"/>
  <c r="AF1698" i="16"/>
  <c r="Z1699" i="16"/>
  <c r="AF1699" i="16"/>
  <c r="Z1700" i="16"/>
  <c r="AF1700" i="16"/>
  <c r="Z1701" i="16"/>
  <c r="AF1701" i="16"/>
  <c r="Z1702" i="16"/>
  <c r="AF1702" i="16"/>
  <c r="Z1703" i="16"/>
  <c r="AF1703" i="16"/>
  <c r="Z1704" i="16"/>
  <c r="AF1704" i="16"/>
  <c r="Z1705" i="16"/>
  <c r="AF1705" i="16"/>
  <c r="Z1706" i="16"/>
  <c r="AF1706" i="16"/>
  <c r="Z1707" i="16"/>
  <c r="AF1707" i="16"/>
  <c r="Z1708" i="16"/>
  <c r="AF1708" i="16"/>
  <c r="Z1709" i="16"/>
  <c r="AF1709" i="16"/>
  <c r="Z1710" i="16"/>
  <c r="AF1710" i="16"/>
  <c r="Z1711" i="16"/>
  <c r="AF1711" i="16"/>
  <c r="Z1712" i="16"/>
  <c r="AF1712" i="16"/>
  <c r="Z1713" i="16"/>
  <c r="AF1713" i="16"/>
  <c r="Z1714" i="16"/>
  <c r="AF1714" i="16"/>
  <c r="Z1715" i="16"/>
  <c r="AF1715" i="16"/>
  <c r="Z1716" i="16"/>
  <c r="AF1716" i="16"/>
  <c r="Z1717" i="16"/>
  <c r="AF1717" i="16"/>
  <c r="Z1718" i="16"/>
  <c r="AF1718" i="16"/>
  <c r="Z1719" i="16"/>
  <c r="AF1719" i="16"/>
  <c r="Z1720" i="16"/>
  <c r="AF1720" i="16"/>
  <c r="Z1721" i="16"/>
  <c r="AF1721" i="16"/>
  <c r="Z1722" i="16"/>
  <c r="AF1722" i="16"/>
  <c r="Z1723" i="16"/>
  <c r="AF1723" i="16"/>
  <c r="Z1724" i="16"/>
  <c r="AF1724" i="16"/>
  <c r="Z1725" i="16"/>
  <c r="AF1725" i="16"/>
  <c r="Z1726" i="16"/>
  <c r="AF1726" i="16"/>
  <c r="Z1727" i="16"/>
  <c r="AF1727" i="16"/>
  <c r="Z1728" i="16"/>
  <c r="AF1728" i="16"/>
  <c r="Z1729" i="16"/>
  <c r="AF1729" i="16"/>
  <c r="Z1730" i="16"/>
  <c r="AF1730" i="16"/>
  <c r="Z1731" i="16"/>
  <c r="AF1731" i="16"/>
  <c r="Z1732" i="16"/>
  <c r="AF1732" i="16"/>
  <c r="Z1733" i="16"/>
  <c r="AF1733" i="16"/>
  <c r="Z1734" i="16"/>
  <c r="AF1734" i="16"/>
  <c r="Z1735" i="16"/>
  <c r="AF1735" i="16"/>
  <c r="Z1736" i="16"/>
  <c r="AF1736" i="16"/>
  <c r="Z1737" i="16"/>
  <c r="AF1737" i="16"/>
  <c r="Z1738" i="16"/>
  <c r="AF1738" i="16"/>
  <c r="Z1739" i="16"/>
  <c r="AF1739" i="16"/>
  <c r="Z1740" i="16"/>
  <c r="AF1740" i="16"/>
  <c r="Z1741" i="16"/>
  <c r="AF1741" i="16"/>
  <c r="Z1742" i="16"/>
  <c r="AF1742" i="16"/>
  <c r="Z1743" i="16"/>
  <c r="AF1743" i="16"/>
  <c r="Z1744" i="16"/>
  <c r="AF1744" i="16"/>
  <c r="Z1745" i="16"/>
  <c r="AF1745" i="16"/>
  <c r="Z1746" i="16"/>
  <c r="AF1746" i="16"/>
  <c r="Z1747" i="16"/>
  <c r="AF1747" i="16"/>
  <c r="Z1748" i="16"/>
  <c r="AF1748" i="16"/>
  <c r="Z1749" i="16"/>
  <c r="AF1749" i="16"/>
  <c r="Z1750" i="16"/>
  <c r="AF1750" i="16"/>
  <c r="Z1751" i="16"/>
  <c r="AF1751" i="16"/>
  <c r="Z1752" i="16"/>
  <c r="AF1752" i="16"/>
  <c r="Z1753" i="16"/>
  <c r="AF1753" i="16"/>
  <c r="Z1754" i="16"/>
  <c r="AF1754" i="16"/>
  <c r="Z1755" i="16"/>
  <c r="AF1755" i="16"/>
  <c r="Z1756" i="16"/>
  <c r="AF1756" i="16"/>
  <c r="Z1757" i="16"/>
  <c r="AF1757" i="16"/>
  <c r="Z1758" i="16"/>
  <c r="AF1758" i="16"/>
  <c r="Z1759" i="16"/>
  <c r="AF1759" i="16"/>
  <c r="Z1760" i="16"/>
  <c r="AF1760" i="16"/>
  <c r="Z1761" i="16"/>
  <c r="AF1761" i="16"/>
  <c r="Z1762" i="16"/>
  <c r="AF1762" i="16"/>
  <c r="Z1763" i="16"/>
  <c r="AF1763" i="16"/>
  <c r="Z1764" i="16"/>
  <c r="AF1764" i="16"/>
  <c r="Z1765" i="16"/>
  <c r="AF1765" i="16"/>
  <c r="Z1766" i="16"/>
  <c r="AF1766" i="16"/>
  <c r="Z1767" i="16"/>
  <c r="AF1767" i="16"/>
  <c r="Z1768" i="16"/>
  <c r="AF1768" i="16"/>
  <c r="Z1769" i="16"/>
  <c r="AF1769" i="16"/>
  <c r="Z1770" i="16"/>
  <c r="AF1770" i="16"/>
  <c r="Z1771" i="16"/>
  <c r="AF1771" i="16"/>
  <c r="Z1772" i="16"/>
  <c r="AF1772" i="16"/>
  <c r="Z1773" i="16"/>
  <c r="AF1773" i="16"/>
  <c r="Z1774" i="16"/>
  <c r="AF1774" i="16"/>
  <c r="Z1775" i="16"/>
  <c r="AF1775" i="16"/>
  <c r="Z1776" i="16"/>
  <c r="AF1776" i="16"/>
  <c r="Z1777" i="16"/>
  <c r="AF1777" i="16"/>
  <c r="Z1778" i="16"/>
  <c r="AF1778" i="16"/>
  <c r="Z1779" i="16"/>
  <c r="AF1779" i="16"/>
  <c r="Z1780" i="16"/>
  <c r="AF1780" i="16"/>
  <c r="Z1781" i="16"/>
  <c r="AF1781" i="16"/>
  <c r="Z1782" i="16"/>
  <c r="AF1782" i="16"/>
  <c r="Z1783" i="16"/>
  <c r="AF1783" i="16"/>
  <c r="Z1784" i="16"/>
  <c r="AF1784" i="16"/>
  <c r="Z1785" i="16"/>
  <c r="AF1785" i="16"/>
  <c r="Z1786" i="16"/>
  <c r="AF1786" i="16"/>
  <c r="Z1787" i="16"/>
  <c r="AF1787" i="16"/>
  <c r="Z1788" i="16"/>
  <c r="AF1788" i="16"/>
  <c r="Z1789" i="16"/>
  <c r="AF1789" i="16"/>
  <c r="Z1790" i="16"/>
  <c r="AF1790" i="16"/>
  <c r="Z1791" i="16"/>
  <c r="AF1791" i="16"/>
  <c r="Z1792" i="16"/>
  <c r="AF1792" i="16"/>
  <c r="Z1793" i="16"/>
  <c r="AF1793" i="16"/>
  <c r="Z1794" i="16"/>
  <c r="AF1794" i="16"/>
  <c r="Z1795" i="16"/>
  <c r="AF1795" i="16"/>
  <c r="Z1796" i="16"/>
  <c r="AF1796" i="16"/>
  <c r="Z1797" i="16"/>
  <c r="AF1797" i="16"/>
  <c r="Z1798" i="16"/>
  <c r="AF1798" i="16"/>
  <c r="Z1799" i="16"/>
  <c r="AF1799" i="16"/>
  <c r="Z1800" i="16"/>
  <c r="AF1800" i="16"/>
  <c r="Z1801" i="16"/>
  <c r="AF1801" i="16"/>
  <c r="Z1802" i="16"/>
  <c r="AF1802" i="16"/>
  <c r="Z1803" i="16"/>
  <c r="AF1803" i="16"/>
  <c r="Z1804" i="16"/>
  <c r="AF1804" i="16"/>
  <c r="Z1805" i="16"/>
  <c r="AF1805" i="16"/>
  <c r="Z1806" i="16"/>
  <c r="AF1806" i="16"/>
  <c r="Z1807" i="16"/>
  <c r="AF1807" i="16"/>
  <c r="Z1808" i="16"/>
  <c r="AF1808" i="16"/>
  <c r="Z1809" i="16"/>
  <c r="AF1809" i="16"/>
  <c r="Z1810" i="16"/>
  <c r="AF1810" i="16"/>
  <c r="Z1811" i="16"/>
  <c r="AF1811" i="16"/>
  <c r="Z1812" i="16"/>
  <c r="AF1812" i="16"/>
  <c r="Z1813" i="16"/>
  <c r="AF1813" i="16"/>
  <c r="Z1814" i="16"/>
  <c r="AF1814" i="16"/>
  <c r="Z1815" i="16"/>
  <c r="AF1815" i="16"/>
  <c r="Z1816" i="16"/>
  <c r="AF1816" i="16"/>
  <c r="Z1817" i="16"/>
  <c r="AF1817" i="16"/>
  <c r="Z1818" i="16"/>
  <c r="AF1818" i="16"/>
  <c r="Z1819" i="16"/>
  <c r="AF1819" i="16"/>
  <c r="Z1820" i="16"/>
  <c r="AF1820" i="16"/>
  <c r="Z1821" i="16"/>
  <c r="AF1821" i="16"/>
  <c r="Z1822" i="16"/>
  <c r="AF1822" i="16"/>
  <c r="Z1823" i="16"/>
  <c r="AF1823" i="16"/>
  <c r="Z1824" i="16"/>
  <c r="AF1824" i="16"/>
  <c r="Z1825" i="16"/>
  <c r="AF1825" i="16"/>
  <c r="Z1826" i="16"/>
  <c r="AF1826" i="16"/>
  <c r="Z1827" i="16"/>
  <c r="AF1827" i="16"/>
  <c r="Z1828" i="16"/>
  <c r="AF1828" i="16"/>
  <c r="Z1829" i="16"/>
  <c r="AF1829" i="16"/>
  <c r="Z1830" i="16"/>
  <c r="AF1830" i="16"/>
  <c r="Z1831" i="16"/>
  <c r="AF1831" i="16"/>
  <c r="Z1832" i="16"/>
  <c r="AF1832" i="16"/>
  <c r="Z1833" i="16"/>
  <c r="AF1833" i="16"/>
  <c r="Z1834" i="16"/>
  <c r="AF1834" i="16"/>
  <c r="Z1835" i="16"/>
  <c r="AF1835" i="16"/>
  <c r="Z1836" i="16"/>
  <c r="AF1836" i="16"/>
  <c r="Z1837" i="16"/>
  <c r="AF1837" i="16"/>
  <c r="Z1838" i="16"/>
  <c r="AF1838" i="16"/>
  <c r="Z1839" i="16"/>
  <c r="AF1839" i="16"/>
  <c r="Z1840" i="16"/>
  <c r="AF1840" i="16"/>
  <c r="Z1841" i="16"/>
  <c r="AF1841" i="16"/>
  <c r="Z1842" i="16"/>
  <c r="AF1842" i="16"/>
  <c r="Z1843" i="16"/>
  <c r="AF1843" i="16"/>
  <c r="Z1844" i="16"/>
  <c r="AF1844" i="16"/>
  <c r="Z1845" i="16"/>
  <c r="AF1845" i="16"/>
  <c r="Z1846" i="16"/>
  <c r="AF1846" i="16"/>
  <c r="Z1847" i="16"/>
  <c r="AF1847" i="16"/>
  <c r="Z1848" i="16"/>
  <c r="AF1848" i="16"/>
  <c r="Z1849" i="16"/>
  <c r="AF1849" i="16"/>
  <c r="Z1850" i="16"/>
  <c r="AF1850" i="16"/>
  <c r="Z1851" i="16"/>
  <c r="AF1851" i="16"/>
  <c r="Z1852" i="16"/>
  <c r="AF1852" i="16"/>
  <c r="Z1853" i="16"/>
  <c r="AF1853" i="16"/>
  <c r="Z1854" i="16"/>
  <c r="AF1854" i="16"/>
  <c r="Z1855" i="16"/>
  <c r="AF1855" i="16"/>
  <c r="Z1856" i="16"/>
  <c r="AF1856" i="16"/>
  <c r="Z1857" i="16"/>
  <c r="AF1857" i="16"/>
  <c r="Z1858" i="16"/>
  <c r="AF1858" i="16"/>
  <c r="Z1859" i="16"/>
  <c r="AF1859" i="16"/>
  <c r="Z1860" i="16"/>
  <c r="AF1860" i="16"/>
  <c r="Z1861" i="16"/>
  <c r="AF1861" i="16"/>
  <c r="Z1862" i="16"/>
  <c r="AF1862" i="16"/>
  <c r="Z1863" i="16"/>
  <c r="AF1863" i="16"/>
  <c r="Z1864" i="16"/>
  <c r="AF1864" i="16"/>
  <c r="Z1865" i="16"/>
  <c r="AF1865" i="16"/>
  <c r="Z1866" i="16"/>
  <c r="AF1866" i="16"/>
  <c r="Z1867" i="16"/>
  <c r="AF1867" i="16"/>
  <c r="Z1868" i="16"/>
  <c r="AF1868" i="16"/>
  <c r="Z1869" i="16"/>
  <c r="AF1869" i="16"/>
  <c r="Z1870" i="16"/>
  <c r="AF1870" i="16"/>
  <c r="Z1871" i="16"/>
  <c r="AF1871" i="16"/>
  <c r="Z1872" i="16"/>
  <c r="AF1872" i="16"/>
  <c r="Z1873" i="16"/>
  <c r="AF1873" i="16"/>
  <c r="Z1874" i="16"/>
  <c r="AF1874" i="16"/>
  <c r="Z1875" i="16"/>
  <c r="AF1875" i="16"/>
  <c r="Z1876" i="16"/>
  <c r="AF1876" i="16"/>
  <c r="Z1877" i="16"/>
  <c r="AF1877" i="16"/>
  <c r="Z1878" i="16"/>
  <c r="AF1878" i="16"/>
  <c r="Z1879" i="16"/>
  <c r="AF1879" i="16"/>
  <c r="Z1880" i="16"/>
  <c r="AF1880" i="16"/>
  <c r="Z1881" i="16"/>
  <c r="AF1881" i="16"/>
  <c r="Z1882" i="16"/>
  <c r="AF1882" i="16"/>
  <c r="Z1883" i="16"/>
  <c r="AF1883" i="16"/>
  <c r="Z1884" i="16"/>
  <c r="AF1884" i="16"/>
  <c r="Z1885" i="16"/>
  <c r="AF1885" i="16"/>
  <c r="Z1886" i="16"/>
  <c r="AF1886" i="16"/>
  <c r="Z1887" i="16"/>
  <c r="AF1887" i="16"/>
  <c r="Z1888" i="16"/>
  <c r="AF1888" i="16"/>
  <c r="Z1889" i="16"/>
  <c r="AF1889" i="16"/>
  <c r="Z1890" i="16"/>
  <c r="AF1890" i="16"/>
  <c r="Z1891" i="16"/>
  <c r="AF1891" i="16"/>
  <c r="Z1892" i="16"/>
  <c r="AF1892" i="16"/>
  <c r="Z1893" i="16"/>
  <c r="AF1893" i="16"/>
  <c r="Z1894" i="16"/>
  <c r="AF1894" i="16"/>
  <c r="Z1895" i="16"/>
  <c r="AF1895" i="16"/>
  <c r="Z1896" i="16"/>
  <c r="AF1896" i="16"/>
  <c r="Z1897" i="16"/>
  <c r="AF1897" i="16"/>
  <c r="Z1898" i="16"/>
  <c r="AF1898" i="16"/>
  <c r="Z1899" i="16"/>
  <c r="AF1899" i="16"/>
  <c r="Z1900" i="16"/>
  <c r="AF1900" i="16"/>
  <c r="Z1901" i="16"/>
  <c r="AF1901" i="16"/>
  <c r="Z1902" i="16"/>
  <c r="AF1902" i="16"/>
  <c r="Z1903" i="16"/>
  <c r="AF1903" i="16"/>
  <c r="Z1904" i="16"/>
  <c r="AF1904" i="16"/>
  <c r="Z1905" i="16"/>
  <c r="AF1905" i="16"/>
  <c r="Z1906" i="16"/>
  <c r="AF1906" i="16"/>
  <c r="Z1907" i="16"/>
  <c r="AF1907" i="16"/>
  <c r="Z1908" i="16"/>
  <c r="AF1908" i="16"/>
  <c r="Z1909" i="16"/>
  <c r="AF1909" i="16"/>
  <c r="Z1910" i="16"/>
  <c r="AF1910" i="16"/>
  <c r="Z1911" i="16"/>
  <c r="AF1911" i="16"/>
  <c r="Z1912" i="16"/>
  <c r="AF1912" i="16"/>
  <c r="Z1913" i="16"/>
  <c r="AF1913" i="16"/>
  <c r="Z1914" i="16"/>
  <c r="AF1914" i="16"/>
  <c r="Z1915" i="16"/>
  <c r="AF1915" i="16"/>
  <c r="Z1916" i="16"/>
  <c r="AF1916" i="16"/>
  <c r="Z1917" i="16"/>
  <c r="AF1917" i="16"/>
  <c r="Z1918" i="16"/>
  <c r="AF1918" i="16"/>
  <c r="Z1919" i="16"/>
  <c r="AF1919" i="16"/>
  <c r="Z1920" i="16"/>
  <c r="AF1920" i="16"/>
  <c r="Z1921" i="16"/>
  <c r="AF1921" i="16"/>
  <c r="Z1922" i="16"/>
  <c r="AF1922" i="16"/>
  <c r="Z1923" i="16"/>
  <c r="AF1923" i="16"/>
  <c r="Z1924" i="16"/>
  <c r="AF1924" i="16"/>
  <c r="Z1925" i="16"/>
  <c r="AF1925" i="16"/>
  <c r="Z1926" i="16"/>
  <c r="AF1926" i="16"/>
  <c r="Z1927" i="16"/>
  <c r="AF1927" i="16"/>
  <c r="Z1928" i="16"/>
  <c r="AF1928" i="16"/>
  <c r="Z1929" i="16"/>
  <c r="AF1929" i="16"/>
  <c r="Z1930" i="16"/>
  <c r="AF1930" i="16"/>
  <c r="Z1931" i="16"/>
  <c r="AF1931" i="16"/>
  <c r="Z1932" i="16"/>
  <c r="AF1932" i="16"/>
  <c r="Z1933" i="16"/>
  <c r="AF1933" i="16"/>
  <c r="Z1934" i="16"/>
  <c r="AF1934" i="16"/>
  <c r="Z1935" i="16"/>
  <c r="AF1935" i="16"/>
  <c r="Z1936" i="16"/>
  <c r="AF1936" i="16"/>
  <c r="Z1937" i="16"/>
  <c r="AF1937" i="16"/>
  <c r="Z1938" i="16"/>
  <c r="AF1938" i="16"/>
  <c r="Z1939" i="16"/>
  <c r="AF1939" i="16"/>
  <c r="Z1940" i="16"/>
  <c r="AF1940" i="16"/>
  <c r="Z1941" i="16"/>
  <c r="AF1941" i="16"/>
  <c r="Z1942" i="16"/>
  <c r="AF1942" i="16"/>
  <c r="Z1943" i="16"/>
  <c r="AF1943" i="16"/>
  <c r="Z1944" i="16"/>
  <c r="AF1944" i="16"/>
  <c r="Z1945" i="16"/>
  <c r="AF1945" i="16"/>
  <c r="Z1946" i="16"/>
  <c r="AF1946" i="16"/>
  <c r="Z1947" i="16"/>
  <c r="AF1947" i="16"/>
  <c r="Z1948" i="16"/>
  <c r="AF1948" i="16"/>
  <c r="Z1949" i="16"/>
  <c r="AF1949" i="16"/>
  <c r="Z1950" i="16"/>
  <c r="AF1950" i="16"/>
  <c r="Z1951" i="16"/>
  <c r="AF1951" i="16"/>
  <c r="Z1952" i="16"/>
  <c r="AF1952" i="16"/>
  <c r="Z1953" i="16"/>
  <c r="AF1953" i="16"/>
  <c r="Z1954" i="16"/>
  <c r="AF1954" i="16"/>
  <c r="Z1955" i="16"/>
  <c r="AF1955" i="16"/>
  <c r="Z1956" i="16"/>
  <c r="AF1956" i="16"/>
  <c r="Z1957" i="16"/>
  <c r="AF1957" i="16"/>
  <c r="Z1958" i="16"/>
  <c r="AF1958" i="16"/>
  <c r="Z1959" i="16"/>
  <c r="AF1959" i="16"/>
  <c r="Z1960" i="16"/>
  <c r="AF1960" i="16"/>
  <c r="Z1961" i="16"/>
  <c r="AF1961" i="16"/>
  <c r="Z1962" i="16"/>
  <c r="AF1962" i="16"/>
  <c r="Z1963" i="16"/>
  <c r="AF1963" i="16"/>
  <c r="Z1964" i="16"/>
  <c r="AF1964" i="16"/>
  <c r="Z1965" i="16"/>
  <c r="AF1965" i="16"/>
  <c r="Z1966" i="16"/>
  <c r="AF1966" i="16"/>
  <c r="Z1967" i="16"/>
  <c r="AF1967" i="16"/>
  <c r="Z1968" i="16"/>
  <c r="AF1968" i="16"/>
  <c r="Z1969" i="16"/>
  <c r="AF1969" i="16"/>
  <c r="Z1970" i="16"/>
  <c r="AF1970" i="16"/>
  <c r="Z1971" i="16"/>
  <c r="AF1971" i="16"/>
  <c r="Z1972" i="16"/>
  <c r="AF1972" i="16"/>
  <c r="Z1973" i="16"/>
  <c r="AF1973" i="16"/>
  <c r="Z1974" i="16"/>
  <c r="AF1974" i="16"/>
  <c r="Z1975" i="16"/>
  <c r="AF1975" i="16"/>
  <c r="Z1976" i="16"/>
  <c r="AF1976" i="16"/>
  <c r="Z1977" i="16"/>
  <c r="AF1977" i="16"/>
  <c r="Z1978" i="16"/>
  <c r="AF1978" i="16"/>
  <c r="Z1979" i="16"/>
  <c r="AF1979" i="16"/>
  <c r="Z1980" i="16"/>
  <c r="AF1980" i="16"/>
  <c r="Z1981" i="16"/>
  <c r="AF1981" i="16"/>
  <c r="Z1982" i="16"/>
  <c r="AF1982" i="16"/>
  <c r="Z1983" i="16"/>
  <c r="AF1983" i="16"/>
  <c r="Z1984" i="16"/>
  <c r="AF1984" i="16"/>
  <c r="Z1985" i="16"/>
  <c r="AF1985" i="16"/>
  <c r="Z1986" i="16"/>
  <c r="AF1986" i="16"/>
  <c r="Z1987" i="16"/>
  <c r="AF1987" i="16"/>
  <c r="Z1988" i="16"/>
  <c r="AF1988" i="16"/>
  <c r="Z1989" i="16"/>
  <c r="AF1989" i="16"/>
  <c r="Z1990" i="16"/>
  <c r="AF1990" i="16"/>
  <c r="Z1991" i="16"/>
  <c r="AF1991" i="16"/>
  <c r="Z1992" i="16"/>
  <c r="AF1992" i="16"/>
  <c r="Z1993" i="16"/>
  <c r="AF1993" i="16"/>
  <c r="Z1994" i="16"/>
  <c r="AF1994" i="16"/>
  <c r="Z1995" i="16"/>
  <c r="AF1995" i="16"/>
  <c r="Z1996" i="16"/>
  <c r="AF1996" i="16"/>
  <c r="Z1997" i="16"/>
  <c r="AF1997" i="16"/>
  <c r="Z1998" i="16"/>
  <c r="AF1998" i="16"/>
  <c r="Z1999" i="16"/>
  <c r="AF1999" i="16"/>
  <c r="Z2000" i="16"/>
  <c r="AF2000" i="16"/>
  <c r="Z2001" i="16"/>
  <c r="AF2001" i="16"/>
  <c r="Z2002" i="16"/>
  <c r="AF2002" i="16"/>
  <c r="Z2003" i="16"/>
  <c r="AF2003" i="16"/>
  <c r="Z2004" i="16"/>
  <c r="AF2004" i="16"/>
  <c r="Z2005" i="16"/>
  <c r="AF2005" i="16"/>
  <c r="Z2006" i="16"/>
  <c r="AF2006" i="16"/>
  <c r="Z2007" i="16"/>
  <c r="AF2007" i="16"/>
  <c r="Z2008" i="16"/>
  <c r="AF2008" i="16"/>
  <c r="Z2009" i="16"/>
  <c r="AF2009" i="16"/>
  <c r="Z2010" i="16"/>
  <c r="AF2010" i="16"/>
  <c r="Z2011" i="16"/>
  <c r="AF2011" i="16"/>
  <c r="Z2012" i="16"/>
  <c r="AF2012" i="16"/>
  <c r="Z2013" i="16"/>
  <c r="AF2013" i="16"/>
  <c r="Z2014" i="16"/>
  <c r="AF2014" i="16"/>
  <c r="Z2015" i="16"/>
  <c r="AF2015" i="16"/>
  <c r="Z2016" i="16"/>
  <c r="AF2016" i="16"/>
  <c r="Z2017" i="16"/>
  <c r="AF2017" i="16"/>
  <c r="Z2018" i="16"/>
  <c r="AF2018" i="16"/>
  <c r="Z2019" i="16"/>
  <c r="AF2019" i="16"/>
  <c r="Z2020" i="16"/>
  <c r="AF2020" i="16"/>
  <c r="Z2021" i="16"/>
  <c r="AF2021" i="16"/>
  <c r="Z2022" i="16"/>
  <c r="AF2022" i="16"/>
  <c r="Z2023" i="16"/>
  <c r="AF2023" i="16"/>
  <c r="Z2024" i="16"/>
  <c r="AF2024" i="16"/>
  <c r="Z2025" i="16"/>
  <c r="AF2025" i="16"/>
  <c r="Z2026" i="16"/>
  <c r="AF2026" i="16"/>
  <c r="Z2027" i="16"/>
  <c r="AF2027" i="16"/>
  <c r="Z2028" i="16"/>
  <c r="AF2028" i="16"/>
  <c r="Z2029" i="16"/>
  <c r="AF2029" i="16"/>
  <c r="Z2030" i="16"/>
  <c r="AF2030" i="16"/>
  <c r="Z2031" i="16"/>
  <c r="AF2031" i="16"/>
  <c r="Z2032" i="16"/>
  <c r="AF2032" i="16"/>
  <c r="Z2033" i="16"/>
  <c r="AF2033" i="16"/>
  <c r="Z2034" i="16"/>
  <c r="AF2034" i="16"/>
  <c r="Z2035" i="16"/>
  <c r="AF2035" i="16"/>
  <c r="Z2036" i="16"/>
  <c r="AF2036" i="16"/>
  <c r="Z2037" i="16"/>
  <c r="AF2037" i="16"/>
  <c r="Z2038" i="16"/>
  <c r="AF2038" i="16"/>
  <c r="Z2039" i="16"/>
  <c r="AF2039" i="16"/>
  <c r="Z2040" i="16"/>
  <c r="AF2040" i="16"/>
  <c r="Z2041" i="16"/>
  <c r="AF2041" i="16"/>
  <c r="Z2042" i="16"/>
  <c r="AF2042" i="16"/>
  <c r="Z2043" i="16"/>
  <c r="AF2043" i="16"/>
  <c r="Z2044" i="16"/>
  <c r="AF2044" i="16"/>
  <c r="Z2045" i="16"/>
  <c r="AF2045" i="16"/>
  <c r="Z2046" i="16"/>
  <c r="AF2046" i="16"/>
  <c r="Z2047" i="16"/>
  <c r="AF2047" i="16"/>
  <c r="Z2048" i="16"/>
  <c r="AF2048" i="16"/>
  <c r="Z2049" i="16"/>
  <c r="AF2049" i="16"/>
  <c r="Z2050" i="16"/>
  <c r="AF2050" i="16"/>
  <c r="Z2051" i="16"/>
  <c r="AF2051" i="16"/>
  <c r="Z2052" i="16"/>
  <c r="AF2052" i="16"/>
  <c r="Z2053" i="16"/>
  <c r="AF2053" i="16"/>
  <c r="Z2054" i="16"/>
  <c r="AF2054" i="16"/>
  <c r="Z2055" i="16"/>
  <c r="AF2055" i="16"/>
  <c r="Z2056" i="16"/>
  <c r="AF2056" i="16"/>
  <c r="Z2057" i="16"/>
  <c r="AF2057" i="16"/>
  <c r="Z2058" i="16"/>
  <c r="AF2058" i="16"/>
  <c r="Z2059" i="16"/>
  <c r="AF2059" i="16"/>
  <c r="Z2060" i="16"/>
  <c r="AF2060" i="16"/>
  <c r="Z2061" i="16"/>
  <c r="AF2061" i="16"/>
  <c r="Z2062" i="16"/>
  <c r="AF2062" i="16"/>
  <c r="Z2063" i="16"/>
  <c r="AF2063" i="16"/>
  <c r="Z2064" i="16"/>
  <c r="AF2064" i="16"/>
  <c r="Z2065" i="16"/>
  <c r="AF2065" i="16"/>
  <c r="Z2066" i="16"/>
  <c r="AF2066" i="16"/>
  <c r="Z2067" i="16"/>
  <c r="AF2067" i="16"/>
  <c r="Z2068" i="16"/>
  <c r="AF2068" i="16"/>
  <c r="Z2069" i="16"/>
  <c r="AF2069" i="16"/>
  <c r="Z2070" i="16"/>
  <c r="AF2070" i="16"/>
  <c r="Z2071" i="16"/>
  <c r="AF2071" i="16"/>
  <c r="Z2072" i="16"/>
  <c r="AF2072" i="16"/>
  <c r="Z2073" i="16"/>
  <c r="AF2073" i="16"/>
  <c r="Z2074" i="16"/>
  <c r="AF2074" i="16"/>
  <c r="Z2075" i="16"/>
  <c r="AF2075" i="16"/>
  <c r="Z2076" i="16"/>
  <c r="AF2076" i="16"/>
  <c r="Z2077" i="16"/>
  <c r="AF2077" i="16"/>
  <c r="Z2078" i="16"/>
  <c r="AF2078" i="16"/>
  <c r="Z2079" i="16"/>
  <c r="AF2079" i="16"/>
  <c r="Z2080" i="16"/>
  <c r="AF2080" i="16"/>
  <c r="Z2081" i="16"/>
  <c r="AF2081" i="16"/>
  <c r="Z2082" i="16"/>
  <c r="AF2082" i="16"/>
  <c r="Z2083" i="16"/>
  <c r="AF2083" i="16"/>
  <c r="Z2084" i="16"/>
  <c r="AF2084" i="16"/>
  <c r="Z2085" i="16"/>
  <c r="AF2085" i="16"/>
  <c r="Z2086" i="16"/>
  <c r="AF2086" i="16"/>
  <c r="Z2087" i="16"/>
  <c r="AF2087" i="16"/>
  <c r="Z2088" i="16"/>
  <c r="AF2088" i="16"/>
  <c r="Z2089" i="16"/>
  <c r="AF2089" i="16"/>
  <c r="Z2090" i="16"/>
  <c r="AF2090" i="16"/>
  <c r="Z2091" i="16"/>
  <c r="AF2091" i="16"/>
  <c r="Z2092" i="16"/>
  <c r="AF2092" i="16"/>
  <c r="Z2093" i="16"/>
  <c r="AF2093" i="16"/>
  <c r="Z2094" i="16"/>
  <c r="AF2094" i="16"/>
  <c r="Z2095" i="16"/>
  <c r="AF2095" i="16"/>
  <c r="Z2096" i="16"/>
  <c r="AF2096" i="16"/>
  <c r="Z2097" i="16"/>
  <c r="AF2097" i="16"/>
  <c r="Z2098" i="16"/>
  <c r="AF2098" i="16"/>
  <c r="Z2099" i="16"/>
  <c r="AF2099" i="16"/>
  <c r="Z2100" i="16"/>
  <c r="AF2100" i="16"/>
  <c r="Z2101" i="16"/>
  <c r="AF2101" i="16"/>
  <c r="Z2102" i="16"/>
  <c r="AF2102" i="16"/>
  <c r="Z2103" i="16"/>
  <c r="AF2103" i="16"/>
  <c r="Z2104" i="16"/>
  <c r="AF2104" i="16"/>
  <c r="Z2105" i="16"/>
  <c r="AF2105" i="16"/>
  <c r="Z2106" i="16"/>
  <c r="AF2106" i="16"/>
  <c r="Z2107" i="16"/>
  <c r="AF2107" i="16"/>
  <c r="Z2108" i="16"/>
  <c r="AF2108" i="16"/>
  <c r="Z2109" i="16"/>
  <c r="AF2109" i="16"/>
  <c r="Z2110" i="16"/>
  <c r="AF2110" i="16"/>
  <c r="Z2111" i="16"/>
  <c r="AF2111" i="16"/>
  <c r="Z2112" i="16"/>
  <c r="AF2112" i="16"/>
  <c r="Z2113" i="16"/>
  <c r="AF2113" i="16"/>
  <c r="Z2114" i="16"/>
  <c r="AF2114" i="16"/>
  <c r="Z2115" i="16"/>
  <c r="AF2115" i="16"/>
  <c r="Z2116" i="16"/>
  <c r="AF2116" i="16"/>
  <c r="Z2117" i="16"/>
  <c r="AF2117" i="16"/>
  <c r="Z2118" i="16"/>
  <c r="AF2118" i="16"/>
  <c r="Z2119" i="16"/>
  <c r="AF2119" i="16"/>
  <c r="Z2120" i="16"/>
  <c r="AF2120" i="16"/>
  <c r="Z2121" i="16"/>
  <c r="AF2121" i="16"/>
  <c r="Z2122" i="16"/>
  <c r="AF2122" i="16"/>
  <c r="Z2123" i="16"/>
  <c r="AF2123" i="16"/>
  <c r="Z2124" i="16"/>
  <c r="AF2124" i="16"/>
  <c r="Z2125" i="16"/>
  <c r="AF2125" i="16"/>
  <c r="Z2126" i="16"/>
  <c r="AF2126" i="16"/>
  <c r="Z2127" i="16"/>
  <c r="AF2127" i="16"/>
  <c r="Z2128" i="16"/>
  <c r="AF2128" i="16"/>
  <c r="Z2129" i="16"/>
  <c r="AF2129" i="16"/>
  <c r="Z2130" i="16"/>
  <c r="AF2130" i="16"/>
  <c r="Z2131" i="16"/>
  <c r="AF2131" i="16"/>
  <c r="Z2132" i="16"/>
  <c r="AF2132" i="16"/>
  <c r="Z2133" i="16"/>
  <c r="AF2133" i="16"/>
  <c r="Z2134" i="16"/>
  <c r="AF2134" i="16"/>
  <c r="Z2135" i="16"/>
  <c r="AF2135" i="16"/>
  <c r="Z2136" i="16"/>
  <c r="AF2136" i="16"/>
  <c r="Z2137" i="16"/>
  <c r="AF2137" i="16"/>
  <c r="Z2138" i="16"/>
  <c r="AF2138" i="16"/>
  <c r="Z2139" i="16"/>
  <c r="AF2139" i="16"/>
  <c r="Z2140" i="16"/>
  <c r="AF2140" i="16"/>
  <c r="Z2141" i="16"/>
  <c r="AF2141" i="16"/>
  <c r="Z2142" i="16"/>
  <c r="AF2142" i="16"/>
  <c r="Z2143" i="16"/>
  <c r="AF2143" i="16"/>
  <c r="Z2144" i="16"/>
  <c r="AF2144" i="16"/>
  <c r="Z2145" i="16"/>
  <c r="AF2145" i="16"/>
  <c r="Z2146" i="16"/>
  <c r="AF2146" i="16"/>
  <c r="Z2147" i="16"/>
  <c r="AF2147" i="16"/>
  <c r="Z2148" i="16"/>
  <c r="AF2148" i="16"/>
  <c r="Z2149" i="16"/>
  <c r="AF2149" i="16"/>
  <c r="Z2150" i="16"/>
  <c r="AF2150" i="16"/>
  <c r="Z2151" i="16"/>
  <c r="AF2151" i="16"/>
  <c r="Z2152" i="16"/>
  <c r="AF2152" i="16"/>
  <c r="Z2153" i="16"/>
  <c r="AF2153" i="16"/>
  <c r="Z2154" i="16"/>
  <c r="AF2154" i="16"/>
  <c r="Z2155" i="16"/>
  <c r="AF2155" i="16"/>
  <c r="Z2156" i="16"/>
  <c r="AF2156" i="16"/>
  <c r="Z2157" i="16"/>
  <c r="AF2157" i="16"/>
  <c r="Z2158" i="16"/>
  <c r="AF2158" i="16"/>
  <c r="Z2159" i="16"/>
  <c r="AF2159" i="16"/>
  <c r="Z2160" i="16"/>
  <c r="AF2160" i="16"/>
  <c r="Z2161" i="16"/>
  <c r="AF2161" i="16"/>
  <c r="Z2162" i="16"/>
  <c r="AF2162" i="16"/>
  <c r="Z2163" i="16"/>
  <c r="AF2163" i="16"/>
  <c r="Z2164" i="16"/>
  <c r="AF2164" i="16"/>
  <c r="Z2165" i="16"/>
  <c r="AF2165" i="16"/>
  <c r="Z2166" i="16"/>
  <c r="AF2166" i="16"/>
  <c r="Z2167" i="16"/>
  <c r="AF2167" i="16"/>
  <c r="Z2168" i="16"/>
  <c r="AF2168" i="16"/>
  <c r="Z2169" i="16"/>
  <c r="AF2169" i="16"/>
  <c r="Z2170" i="16"/>
  <c r="AF2170" i="16"/>
  <c r="Z2171" i="16"/>
  <c r="AF2171" i="16"/>
  <c r="Z2172" i="16"/>
  <c r="AF2172" i="16"/>
  <c r="Z2173" i="16"/>
  <c r="AF2173" i="16"/>
  <c r="Z2174" i="16"/>
  <c r="AF2174" i="16"/>
  <c r="Z2175" i="16"/>
  <c r="AF2175" i="16"/>
  <c r="Z2176" i="16"/>
  <c r="AF2176" i="16"/>
  <c r="Z2177" i="16"/>
  <c r="AF2177" i="16"/>
  <c r="Z2178" i="16"/>
  <c r="AF2178" i="16"/>
  <c r="Z2179" i="16"/>
  <c r="AF2179" i="16"/>
  <c r="Z2180" i="16"/>
  <c r="AF2180" i="16"/>
  <c r="Z2181" i="16"/>
  <c r="AF2181" i="16"/>
  <c r="Z2182" i="16"/>
  <c r="AF2182" i="16"/>
  <c r="Z2183" i="16"/>
  <c r="AF2183" i="16"/>
  <c r="Z2184" i="16"/>
  <c r="AF2184" i="16"/>
  <c r="Z2185" i="16"/>
  <c r="AF2185" i="16"/>
  <c r="Z2186" i="16"/>
  <c r="AF2186" i="16"/>
  <c r="Z2187" i="16"/>
  <c r="AF2187" i="16"/>
  <c r="Z2188" i="16"/>
  <c r="AF2188" i="16"/>
  <c r="Z2189" i="16"/>
  <c r="AF2189" i="16"/>
  <c r="Z2190" i="16"/>
  <c r="AF2190" i="16"/>
  <c r="Z2191" i="16"/>
  <c r="AF2191" i="16"/>
  <c r="Z2192" i="16"/>
  <c r="AF2192" i="16"/>
  <c r="Z2193" i="16"/>
  <c r="AF2193" i="16"/>
  <c r="Z2194" i="16"/>
  <c r="AF2194" i="16"/>
  <c r="Z2195" i="16"/>
  <c r="AF2195" i="16"/>
  <c r="Z2196" i="16"/>
  <c r="AF2196" i="16"/>
  <c r="Z2197" i="16"/>
  <c r="AF2197" i="16"/>
  <c r="Z2198" i="16"/>
  <c r="AF2198" i="16"/>
  <c r="Z2199" i="16"/>
  <c r="AF2199" i="16"/>
  <c r="Z2200" i="16"/>
  <c r="AF2200" i="16"/>
  <c r="Z2201" i="16"/>
  <c r="AF2201" i="16"/>
  <c r="Z2202" i="16"/>
  <c r="AF2202" i="16"/>
  <c r="Z2203" i="16"/>
  <c r="AF2203" i="16"/>
  <c r="Z2204" i="16"/>
  <c r="AF2204" i="16"/>
  <c r="Z2205" i="16"/>
  <c r="AF2205" i="16"/>
  <c r="Z2206" i="16"/>
  <c r="AF2206" i="16"/>
  <c r="Z2207" i="16"/>
  <c r="AF2207" i="16"/>
  <c r="Z2208" i="16"/>
  <c r="AF2208" i="16"/>
  <c r="Z2209" i="16"/>
  <c r="AF2209" i="16"/>
  <c r="Z2210" i="16"/>
  <c r="AF2210" i="16"/>
  <c r="Z2211" i="16"/>
  <c r="AF2211" i="16"/>
  <c r="Z2212" i="16"/>
  <c r="AF2212" i="16"/>
  <c r="Z2213" i="16"/>
  <c r="AF2213" i="16"/>
  <c r="Z2214" i="16"/>
  <c r="AF2214" i="16"/>
  <c r="Z2215" i="16"/>
  <c r="AF2215" i="16"/>
  <c r="Z2216" i="16"/>
  <c r="AF2216" i="16"/>
  <c r="Z2217" i="16"/>
  <c r="AF2217" i="16"/>
  <c r="Z2218" i="16"/>
  <c r="AF2218" i="16"/>
  <c r="Z2219" i="16"/>
  <c r="AF2219" i="16"/>
  <c r="Z2220" i="16"/>
  <c r="AF2220" i="16"/>
  <c r="Z2221" i="16"/>
  <c r="AF2221" i="16"/>
  <c r="Z2222" i="16"/>
  <c r="AF2222" i="16"/>
  <c r="Z2223" i="16"/>
  <c r="AF2223" i="16"/>
  <c r="Z2224" i="16"/>
  <c r="AF2224" i="16"/>
  <c r="Z2225" i="16"/>
  <c r="AF2225" i="16"/>
  <c r="Z2226" i="16"/>
  <c r="AF2226" i="16"/>
  <c r="Z2227" i="16"/>
  <c r="AF2227" i="16"/>
  <c r="Z2228" i="16"/>
  <c r="AF2228" i="16"/>
  <c r="Z2229" i="16"/>
  <c r="AF2229" i="16"/>
  <c r="Z2230" i="16"/>
  <c r="AF2230" i="16"/>
  <c r="Z2231" i="16"/>
  <c r="AF2231" i="16"/>
  <c r="Z2232" i="16"/>
  <c r="AF2232" i="16"/>
  <c r="Z2233" i="16"/>
  <c r="AF2233" i="16"/>
  <c r="Z2234" i="16"/>
  <c r="AF2234" i="16"/>
  <c r="Z2235" i="16"/>
  <c r="AF2235" i="16"/>
  <c r="Z2236" i="16"/>
  <c r="AF2236" i="16"/>
  <c r="Z2237" i="16"/>
  <c r="AF2237" i="16"/>
  <c r="Z2238" i="16"/>
  <c r="AF2238" i="16"/>
  <c r="Z2239" i="16"/>
  <c r="AF2239" i="16"/>
  <c r="Z2240" i="16"/>
  <c r="AF2240" i="16"/>
  <c r="Z2241" i="16"/>
  <c r="AF2241" i="16"/>
  <c r="Z2242" i="16"/>
  <c r="AF2242" i="16"/>
  <c r="Z2243" i="16"/>
  <c r="AF2243" i="16"/>
  <c r="Z2244" i="16"/>
  <c r="AF2244" i="16"/>
  <c r="Z2245" i="16"/>
  <c r="AF2245" i="16"/>
  <c r="Z2246" i="16"/>
  <c r="AF2246" i="16"/>
  <c r="Z2247" i="16"/>
  <c r="AF2247" i="16"/>
  <c r="Z2248" i="16"/>
  <c r="AF2248" i="16"/>
  <c r="Z2249" i="16"/>
  <c r="AF2249" i="16"/>
  <c r="Z2250" i="16"/>
  <c r="AF2250" i="16"/>
  <c r="Z2251" i="16"/>
  <c r="AF2251" i="16"/>
  <c r="Z2252" i="16"/>
  <c r="AF2252" i="16"/>
  <c r="Z2253" i="16"/>
  <c r="AF2253" i="16"/>
  <c r="Z2254" i="16"/>
  <c r="AF2254" i="16"/>
  <c r="Z2255" i="16"/>
  <c r="AF2255" i="16"/>
  <c r="Z2256" i="16"/>
  <c r="AF2256" i="16"/>
  <c r="Z2257" i="16"/>
  <c r="AF2257" i="16"/>
  <c r="Z2258" i="16"/>
  <c r="AF2258" i="16"/>
  <c r="Z2259" i="16"/>
  <c r="AF2259" i="16"/>
  <c r="Z2260" i="16"/>
  <c r="AF2260" i="16"/>
  <c r="Z2261" i="16"/>
  <c r="AF2261" i="16"/>
  <c r="Z2262" i="16"/>
  <c r="AF2262" i="16"/>
  <c r="Z2263" i="16"/>
  <c r="AF2263" i="16"/>
  <c r="Z2264" i="16"/>
  <c r="AF2264" i="16"/>
  <c r="Z2265" i="16"/>
  <c r="AF2265" i="16"/>
  <c r="Z2266" i="16"/>
  <c r="AF2266" i="16"/>
  <c r="Z2267" i="16"/>
  <c r="AF2267" i="16"/>
  <c r="Z2268" i="16"/>
  <c r="AF2268" i="16"/>
  <c r="Z2269" i="16"/>
  <c r="AF2269" i="16"/>
  <c r="Z2270" i="16"/>
  <c r="AF2270" i="16"/>
  <c r="Z2271" i="16"/>
  <c r="AF2271" i="16"/>
  <c r="Z2272" i="16"/>
  <c r="AF2272" i="16"/>
  <c r="Z2273" i="16"/>
  <c r="AF2273" i="16"/>
  <c r="Z2274" i="16"/>
  <c r="AF2274" i="16"/>
  <c r="Z2275" i="16"/>
  <c r="AF2275" i="16"/>
  <c r="Z2276" i="16"/>
  <c r="AF2276" i="16"/>
  <c r="Z2277" i="16"/>
  <c r="AF2277" i="16"/>
  <c r="Z2278" i="16"/>
  <c r="AF2278" i="16"/>
  <c r="Z2279" i="16"/>
  <c r="AF2279" i="16"/>
  <c r="Z2280" i="16"/>
  <c r="AF2280" i="16"/>
  <c r="Z2281" i="16"/>
  <c r="AF2281" i="16"/>
  <c r="Z2282" i="16"/>
  <c r="AF2282" i="16"/>
  <c r="Z2283" i="16"/>
  <c r="AF2283" i="16"/>
  <c r="Z2284" i="16"/>
  <c r="AF2284" i="16"/>
  <c r="Z2285" i="16"/>
  <c r="AF2285" i="16"/>
  <c r="D7" i="31"/>
  <c r="R7" i="31"/>
  <c r="S7" i="31"/>
  <c r="V7" i="31"/>
  <c r="W7" i="31"/>
  <c r="X7" i="31"/>
  <c r="D9" i="31"/>
  <c r="R9" i="31"/>
  <c r="S9" i="31"/>
  <c r="V9" i="31"/>
  <c r="W9" i="31"/>
  <c r="X9" i="31"/>
  <c r="D11" i="31"/>
  <c r="R11" i="31"/>
  <c r="S11" i="31"/>
  <c r="V11" i="31"/>
  <c r="W11" i="31"/>
  <c r="X11" i="31"/>
  <c r="D13" i="31"/>
  <c r="R13" i="31"/>
  <c r="S13" i="31"/>
  <c r="V13" i="31"/>
  <c r="W13" i="31"/>
  <c r="X13" i="31"/>
  <c r="D14" i="31"/>
  <c r="R14" i="31"/>
  <c r="S14" i="31"/>
  <c r="V14" i="31"/>
  <c r="W14" i="31"/>
  <c r="X14" i="31"/>
  <c r="D15" i="31"/>
  <c r="R15" i="31"/>
  <c r="S15" i="31"/>
  <c r="V15" i="31"/>
  <c r="W15" i="31"/>
  <c r="X15" i="31"/>
  <c r="Y2" i="17"/>
  <c r="Z2" i="17"/>
  <c r="AD2" i="17"/>
  <c r="AE2" i="17"/>
  <c r="AJ2" i="17"/>
  <c r="Y3" i="17"/>
  <c r="Z3" i="17"/>
  <c r="AD3" i="17"/>
  <c r="AE3" i="17"/>
  <c r="AJ3" i="17"/>
  <c r="Y4" i="17"/>
  <c r="Z4" i="17"/>
  <c r="AD4" i="17"/>
  <c r="AE4" i="17"/>
  <c r="Y5" i="17"/>
  <c r="Z5" i="17"/>
  <c r="AD5" i="17"/>
  <c r="AE5" i="17"/>
  <c r="AJ5" i="17"/>
  <c r="Y6" i="17"/>
  <c r="Z6" i="17"/>
  <c r="AD6" i="17"/>
  <c r="AE6" i="17"/>
  <c r="AJ6" i="17"/>
  <c r="Y7" i="17"/>
  <c r="Z7" i="17"/>
  <c r="AD7" i="17"/>
  <c r="AE7" i="17"/>
  <c r="AJ7" i="17"/>
  <c r="Y8" i="17"/>
  <c r="Z8" i="17"/>
  <c r="AD8" i="17"/>
  <c r="AE8" i="17"/>
  <c r="AJ8" i="17"/>
  <c r="Y9" i="17"/>
  <c r="Z9" i="17"/>
  <c r="AD9" i="17"/>
  <c r="AE9" i="17"/>
  <c r="Y10" i="17"/>
  <c r="Z10" i="17"/>
  <c r="AD10" i="17"/>
  <c r="AE10" i="17"/>
  <c r="Y11" i="17"/>
  <c r="Z11" i="17"/>
  <c r="AD11" i="17"/>
  <c r="AE11" i="17"/>
  <c r="Y12" i="17"/>
  <c r="Z12" i="17"/>
  <c r="AD12" i="17"/>
  <c r="AE12" i="17"/>
  <c r="Y13" i="17"/>
  <c r="Z13" i="17"/>
  <c r="AD13" i="17"/>
  <c r="AE13" i="17"/>
  <c r="Y14" i="17"/>
  <c r="Z14" i="17"/>
  <c r="AD14" i="17"/>
  <c r="AE14" i="17"/>
  <c r="Y15" i="17"/>
  <c r="Z15" i="17"/>
  <c r="AD15" i="17"/>
  <c r="AE15" i="17"/>
  <c r="Y16" i="17"/>
  <c r="Z16" i="17"/>
  <c r="AD16" i="17"/>
  <c r="AE16" i="17"/>
  <c r="Y17" i="17"/>
  <c r="Z17" i="17"/>
  <c r="AD17" i="17"/>
  <c r="AE17" i="17"/>
  <c r="Y18" i="17"/>
  <c r="Z18" i="17"/>
  <c r="AD18" i="17"/>
  <c r="AE18" i="17"/>
  <c r="Y19" i="17"/>
  <c r="Z19" i="17"/>
  <c r="AD19" i="17"/>
  <c r="AE19" i="17"/>
  <c r="Y20" i="17"/>
  <c r="Z20" i="17"/>
  <c r="AD20" i="17"/>
  <c r="AE20" i="17"/>
  <c r="Y21" i="17"/>
  <c r="Z21" i="17"/>
  <c r="AD21" i="17"/>
  <c r="AE21" i="17"/>
  <c r="Y22" i="17"/>
  <c r="Z22" i="17"/>
  <c r="AD22" i="17"/>
  <c r="AE22" i="17"/>
  <c r="Y23" i="17"/>
  <c r="Z23" i="17"/>
  <c r="AD23" i="17"/>
  <c r="AE23" i="17"/>
  <c r="Y24" i="17"/>
  <c r="Z24" i="17"/>
  <c r="AD24" i="17"/>
  <c r="AE24" i="17"/>
  <c r="Y25" i="17"/>
  <c r="Z25" i="17"/>
  <c r="AD25" i="17"/>
  <c r="AE25" i="17"/>
  <c r="Y26" i="17"/>
  <c r="AD26" i="17"/>
  <c r="Y27" i="17"/>
  <c r="AD27" i="17"/>
  <c r="Y28" i="17"/>
  <c r="AD28" i="17"/>
  <c r="Y29" i="17"/>
  <c r="AD29" i="17"/>
  <c r="Y30" i="17"/>
  <c r="AD30" i="17"/>
  <c r="Y31" i="17"/>
  <c r="AD31" i="17"/>
  <c r="Y32" i="17"/>
  <c r="AD32" i="17"/>
  <c r="Y33" i="17"/>
  <c r="AD33" i="17"/>
  <c r="Y34" i="17"/>
  <c r="AD34" i="17"/>
  <c r="Y35" i="17"/>
  <c r="AD35" i="17"/>
  <c r="Y36" i="17"/>
  <c r="AD36" i="17"/>
  <c r="Y37" i="17"/>
  <c r="AD37" i="17"/>
  <c r="Y38" i="17"/>
  <c r="AD38" i="17"/>
  <c r="Y39" i="17"/>
  <c r="AD39" i="17"/>
  <c r="Y40" i="17"/>
  <c r="AD40" i="17"/>
  <c r="Y41" i="17"/>
  <c r="AD41" i="17"/>
  <c r="Y42" i="17"/>
  <c r="AD42" i="17"/>
  <c r="Y43" i="17"/>
  <c r="AD43" i="17"/>
  <c r="Y44" i="17"/>
  <c r="AD44" i="17"/>
  <c r="Y45" i="17"/>
  <c r="AD45" i="17"/>
  <c r="Y46" i="17"/>
  <c r="AD46" i="17"/>
  <c r="Y47" i="17"/>
  <c r="AD47" i="17"/>
  <c r="Y48" i="17"/>
  <c r="AD48" i="17"/>
  <c r="Y49" i="17"/>
  <c r="AD49" i="17"/>
  <c r="Y50" i="17"/>
  <c r="Z50" i="17"/>
  <c r="AD50" i="17"/>
  <c r="AE50" i="17"/>
  <c r="Y51" i="17"/>
  <c r="Z51" i="17"/>
  <c r="AD51" i="17"/>
  <c r="AE51" i="17"/>
  <c r="Y52" i="17"/>
  <c r="Z52" i="17"/>
  <c r="AD52" i="17"/>
  <c r="AE52" i="17"/>
  <c r="Y53" i="17"/>
  <c r="Z53" i="17"/>
  <c r="AD53" i="17"/>
  <c r="AE53" i="17"/>
  <c r="Y54" i="17"/>
  <c r="Z54" i="17"/>
  <c r="AD54" i="17"/>
  <c r="AE54" i="17"/>
  <c r="Y55" i="17"/>
  <c r="Z55" i="17"/>
  <c r="AD55" i="17"/>
  <c r="AE55" i="17"/>
  <c r="Y56" i="17"/>
  <c r="Z56" i="17"/>
  <c r="AD56" i="17"/>
  <c r="AE56" i="17"/>
  <c r="Y57" i="17"/>
  <c r="Z57" i="17"/>
  <c r="AD57" i="17"/>
  <c r="AE57" i="17"/>
  <c r="Y58" i="17"/>
  <c r="Z58" i="17"/>
  <c r="AD58" i="17"/>
  <c r="AE58" i="17"/>
  <c r="Y59" i="17"/>
  <c r="Z59" i="17"/>
  <c r="AD59" i="17"/>
  <c r="AE59" i="17"/>
  <c r="Y60" i="17"/>
  <c r="Z60" i="17"/>
  <c r="AD60" i="17"/>
  <c r="AE60" i="17"/>
  <c r="Y61" i="17"/>
  <c r="Z61" i="17"/>
  <c r="AD61" i="17"/>
  <c r="AE61" i="17"/>
  <c r="Z62" i="17"/>
  <c r="AE62" i="17"/>
  <c r="Z63" i="17"/>
  <c r="AE63" i="17"/>
  <c r="Z64" i="17"/>
  <c r="AE64" i="17"/>
  <c r="Z65" i="17"/>
  <c r="AE65" i="17"/>
  <c r="Z66" i="17"/>
  <c r="AE66" i="17"/>
  <c r="Z67" i="17"/>
  <c r="AE67" i="17"/>
  <c r="Z68" i="17"/>
  <c r="AE68" i="17"/>
  <c r="Z69" i="17"/>
  <c r="AE69" i="17"/>
  <c r="Z70" i="17"/>
  <c r="AE70" i="17"/>
  <c r="Z71" i="17"/>
  <c r="AE71" i="17"/>
  <c r="Z72" i="17"/>
  <c r="AE72" i="17"/>
  <c r="Z73" i="17"/>
  <c r="AE73" i="17"/>
  <c r="Y74" i="17"/>
  <c r="Z74" i="17"/>
  <c r="AD74" i="17"/>
  <c r="AE74" i="17"/>
  <c r="Y75" i="17"/>
  <c r="Z75" i="17"/>
  <c r="AD75" i="17"/>
  <c r="AE75" i="17"/>
  <c r="Y76" i="17"/>
  <c r="Z76" i="17"/>
  <c r="AD76" i="17"/>
  <c r="AE76" i="17"/>
  <c r="Y77" i="17"/>
  <c r="Z77" i="17"/>
  <c r="AD77" i="17"/>
  <c r="AE77" i="17"/>
  <c r="Y78" i="17"/>
  <c r="Z78" i="17"/>
  <c r="AD78" i="17"/>
  <c r="AE78" i="17"/>
  <c r="Y79" i="17"/>
  <c r="Z79" i="17"/>
  <c r="AD79" i="17"/>
  <c r="AE79" i="17"/>
  <c r="Y80" i="17"/>
  <c r="Z80" i="17"/>
  <c r="AD80" i="17"/>
  <c r="AE80" i="17"/>
  <c r="Y81" i="17"/>
  <c r="Z81" i="17"/>
  <c r="AD81" i="17"/>
  <c r="AE81" i="17"/>
  <c r="Y82" i="17"/>
  <c r="Z82" i="17"/>
  <c r="AD82" i="17"/>
  <c r="AE82" i="17"/>
  <c r="Y83" i="17"/>
  <c r="Z83" i="17"/>
  <c r="AD83" i="17"/>
  <c r="AE83" i="17"/>
  <c r="Y84" i="17"/>
  <c r="Z84" i="17"/>
  <c r="AD84" i="17"/>
  <c r="AE84" i="17"/>
  <c r="Y85" i="17"/>
  <c r="Z85" i="17"/>
  <c r="AD85" i="17"/>
  <c r="AE85" i="17"/>
  <c r="Y86" i="17"/>
  <c r="Z86" i="17"/>
  <c r="AD86" i="17"/>
  <c r="AE86" i="17"/>
  <c r="Y87" i="17"/>
  <c r="Z87" i="17"/>
  <c r="AD87" i="17"/>
  <c r="AE87" i="17"/>
  <c r="Y88" i="17"/>
  <c r="Z88" i="17"/>
  <c r="AD88" i="17"/>
  <c r="AE88" i="17"/>
  <c r="Y89" i="17"/>
  <c r="Z89" i="17"/>
  <c r="AD89" i="17"/>
  <c r="AE89" i="17"/>
  <c r="Y90" i="17"/>
  <c r="Z90" i="17"/>
  <c r="AD90" i="17"/>
  <c r="AE90" i="17"/>
  <c r="Y91" i="17"/>
  <c r="Z91" i="17"/>
  <c r="AD91" i="17"/>
  <c r="AE91" i="17"/>
  <c r="Y92" i="17"/>
  <c r="Z92" i="17"/>
  <c r="AD92" i="17"/>
  <c r="AE92" i="17"/>
  <c r="Y93" i="17"/>
  <c r="Z93" i="17"/>
  <c r="AD93" i="17"/>
  <c r="AE93" i="17"/>
  <c r="Y94" i="17"/>
  <c r="Z94" i="17"/>
  <c r="AD94" i="17"/>
  <c r="AE94" i="17"/>
  <c r="Y95" i="17"/>
  <c r="Z95" i="17"/>
  <c r="AD95" i="17"/>
  <c r="AE95" i="17"/>
  <c r="Y96" i="17"/>
  <c r="Z96" i="17"/>
  <c r="AD96" i="17"/>
  <c r="AE96" i="17"/>
  <c r="Y97" i="17"/>
  <c r="Z97" i="17"/>
  <c r="AD97" i="17"/>
  <c r="AE97" i="17"/>
  <c r="Y98" i="17"/>
  <c r="Z98" i="17"/>
  <c r="AD98" i="17"/>
  <c r="AE98" i="17"/>
  <c r="Y99" i="17"/>
  <c r="Z99" i="17"/>
  <c r="AD99" i="17"/>
  <c r="AE99" i="17"/>
  <c r="Y100" i="17"/>
  <c r="Z100" i="17"/>
  <c r="AD100" i="17"/>
  <c r="AE100" i="17"/>
  <c r="Y101" i="17"/>
  <c r="Z101" i="17"/>
  <c r="AD101" i="17"/>
  <c r="AE101" i="17"/>
  <c r="Y102" i="17"/>
  <c r="Z102" i="17"/>
  <c r="AD102" i="17"/>
  <c r="AE102" i="17"/>
  <c r="Y103" i="17"/>
  <c r="Z103" i="17"/>
  <c r="AD103" i="17"/>
  <c r="AE103" i="17"/>
  <c r="Y104" i="17"/>
  <c r="Z104" i="17"/>
  <c r="AD104" i="17"/>
  <c r="AE104" i="17"/>
  <c r="Y105" i="17"/>
  <c r="Z105" i="17"/>
  <c r="AD105" i="17"/>
  <c r="AE105" i="17"/>
  <c r="Y106" i="17"/>
  <c r="Z106" i="17"/>
  <c r="AD106" i="17"/>
  <c r="AE106" i="17"/>
  <c r="Y107" i="17"/>
  <c r="Z107" i="17"/>
  <c r="AD107" i="17"/>
  <c r="AE107" i="17"/>
  <c r="Y108" i="17"/>
  <c r="Z108" i="17"/>
  <c r="AD108" i="17"/>
  <c r="AE108" i="17"/>
  <c r="Y109" i="17"/>
  <c r="Z109" i="17"/>
  <c r="AD109" i="17"/>
  <c r="AE109" i="17"/>
  <c r="Y110" i="17"/>
  <c r="AD110" i="17"/>
  <c r="Y111" i="17"/>
  <c r="AD111" i="17"/>
  <c r="Y112" i="17"/>
  <c r="AD112" i="17"/>
  <c r="Y113" i="17"/>
  <c r="AD113" i="17"/>
  <c r="Y114" i="17"/>
  <c r="AD114" i="17"/>
  <c r="Y115" i="17"/>
  <c r="AD115" i="17"/>
  <c r="Y116" i="17"/>
  <c r="AD116" i="17"/>
  <c r="Y117" i="17"/>
  <c r="AD117" i="17"/>
  <c r="Y118" i="17"/>
  <c r="AD118" i="17"/>
  <c r="Y119" i="17"/>
  <c r="AD119" i="17"/>
  <c r="Y120" i="17"/>
  <c r="AD120" i="17"/>
  <c r="Y121" i="17"/>
  <c r="AD121" i="17"/>
  <c r="Z122" i="17"/>
  <c r="AE122" i="17"/>
  <c r="Z123" i="17"/>
  <c r="AE123" i="17"/>
  <c r="Z124" i="17"/>
  <c r="AE124" i="17"/>
  <c r="Z125" i="17"/>
  <c r="AE125" i="17"/>
  <c r="Z126" i="17"/>
  <c r="AE126" i="17"/>
  <c r="Z127" i="17"/>
  <c r="AE127" i="17"/>
  <c r="Z128" i="17"/>
  <c r="AE128" i="17"/>
  <c r="Z129" i="17"/>
  <c r="AE129" i="17"/>
  <c r="Z130" i="17"/>
  <c r="AE130" i="17"/>
  <c r="Z131" i="17"/>
  <c r="AE131" i="17"/>
  <c r="Z132" i="17"/>
  <c r="AE132" i="17"/>
  <c r="Z133" i="17"/>
  <c r="AE133" i="17"/>
  <c r="Y134" i="17"/>
  <c r="AD134" i="17"/>
  <c r="Y135" i="17"/>
  <c r="AD135" i="17"/>
  <c r="Y136" i="17"/>
  <c r="AD136" i="17"/>
  <c r="Y137" i="17"/>
  <c r="AD137" i="17"/>
  <c r="Y138" i="17"/>
  <c r="AD138" i="17"/>
  <c r="Y139" i="17"/>
  <c r="AD139" i="17"/>
  <c r="Y140" i="17"/>
  <c r="AD140" i="17"/>
  <c r="Y141" i="17"/>
  <c r="AD141" i="17"/>
  <c r="Y142" i="17"/>
  <c r="AD142" i="17"/>
  <c r="Y143" i="17"/>
  <c r="AD143" i="17"/>
  <c r="Y144" i="17"/>
  <c r="AD144" i="17"/>
  <c r="Y145" i="17"/>
  <c r="AD145" i="17"/>
  <c r="Z146" i="17"/>
  <c r="AE146" i="17"/>
  <c r="Z147" i="17"/>
  <c r="AE147" i="17"/>
  <c r="Z148" i="17"/>
  <c r="AE148" i="17"/>
  <c r="Z149" i="17"/>
  <c r="AE149" i="17"/>
  <c r="Z150" i="17"/>
  <c r="AE150" i="17"/>
  <c r="Z151" i="17"/>
  <c r="AE151" i="17"/>
  <c r="Z152" i="17"/>
  <c r="AE152" i="17"/>
  <c r="Z153" i="17"/>
  <c r="AE153" i="17"/>
  <c r="Z154" i="17"/>
  <c r="AE154" i="17"/>
  <c r="Z155" i="17"/>
  <c r="AE155" i="17"/>
  <c r="Z156" i="17"/>
  <c r="AE156" i="17"/>
  <c r="Z157" i="17"/>
  <c r="AE157" i="17"/>
  <c r="Z158" i="17"/>
  <c r="AE158" i="17"/>
  <c r="Z159" i="17"/>
  <c r="AE159" i="17"/>
  <c r="Z160" i="17"/>
  <c r="AE160" i="17"/>
  <c r="Z161" i="17"/>
  <c r="AE161" i="17"/>
  <c r="Z162" i="17"/>
  <c r="AE162" i="17"/>
  <c r="Z163" i="17"/>
  <c r="AE163" i="17"/>
  <c r="Z164" i="17"/>
  <c r="AE164" i="17"/>
  <c r="Z165" i="17"/>
  <c r="AE165" i="17"/>
  <c r="Z166" i="17"/>
  <c r="AE166" i="17"/>
  <c r="Z167" i="17"/>
  <c r="AE167" i="17"/>
  <c r="Z168" i="17"/>
  <c r="AE168" i="17"/>
  <c r="Z169" i="17"/>
  <c r="AE169" i="17"/>
  <c r="Y170" i="17"/>
  <c r="AD170" i="17"/>
  <c r="Y171" i="17"/>
  <c r="AD171" i="17"/>
  <c r="Y172" i="17"/>
  <c r="AD172" i="17"/>
  <c r="Y173" i="17"/>
  <c r="AD173" i="17"/>
  <c r="Y174" i="17"/>
  <c r="AD174" i="17"/>
  <c r="Y175" i="17"/>
  <c r="AD175" i="17"/>
  <c r="Y176" i="17"/>
  <c r="AD176" i="17"/>
  <c r="Y177" i="17"/>
  <c r="AD177" i="17"/>
  <c r="Y178" i="17"/>
  <c r="AD178" i="17"/>
  <c r="Y179" i="17"/>
  <c r="AD179" i="17"/>
  <c r="Y180" i="17"/>
  <c r="AD180" i="17"/>
  <c r="Y181" i="17"/>
  <c r="AD181" i="17"/>
  <c r="Z182" i="17"/>
  <c r="AE182" i="17"/>
  <c r="Z183" i="17"/>
  <c r="AE183" i="17"/>
  <c r="Z184" i="17"/>
  <c r="AE184" i="17"/>
  <c r="Z185" i="17"/>
  <c r="AE185" i="17"/>
  <c r="Z186" i="17"/>
  <c r="AE186" i="17"/>
  <c r="Z187" i="17"/>
  <c r="AE187" i="17"/>
  <c r="Z188" i="17"/>
  <c r="AE188" i="17"/>
  <c r="Z189" i="17"/>
  <c r="AE189" i="17"/>
  <c r="Z190" i="17"/>
  <c r="AE190" i="17"/>
  <c r="Z191" i="17"/>
  <c r="AE191" i="17"/>
  <c r="Z192" i="17"/>
  <c r="AE192" i="17"/>
  <c r="Z193" i="17"/>
  <c r="AE193" i="17"/>
  <c r="Y194" i="17"/>
  <c r="Z194" i="17"/>
  <c r="AD194" i="17"/>
  <c r="AE194" i="17"/>
  <c r="Y195" i="17"/>
  <c r="Z195" i="17"/>
  <c r="AD195" i="17"/>
  <c r="AE195" i="17"/>
  <c r="Y196" i="17"/>
  <c r="Z196" i="17"/>
  <c r="AD196" i="17"/>
  <c r="AE196" i="17"/>
  <c r="Y197" i="17"/>
  <c r="Z197" i="17"/>
  <c r="AD197" i="17"/>
  <c r="AE197" i="17"/>
  <c r="Y198" i="17"/>
  <c r="Z198" i="17"/>
  <c r="AD198" i="17"/>
  <c r="AE198" i="17"/>
  <c r="Y199" i="17"/>
  <c r="Z199" i="17"/>
  <c r="AD199" i="17"/>
  <c r="AE199" i="17"/>
  <c r="Y200" i="17"/>
  <c r="Z200" i="17"/>
  <c r="AD200" i="17"/>
  <c r="AE200" i="17"/>
  <c r="Y201" i="17"/>
  <c r="Z201" i="17"/>
  <c r="AD201" i="17"/>
  <c r="AE201" i="17"/>
  <c r="Y202" i="17"/>
  <c r="Z202" i="17"/>
  <c r="AD202" i="17"/>
  <c r="AE202" i="17"/>
  <c r="Y203" i="17"/>
  <c r="Z203" i="17"/>
  <c r="AD203" i="17"/>
  <c r="AE203" i="17"/>
  <c r="Y204" i="17"/>
  <c r="Z204" i="17"/>
  <c r="AD204" i="17"/>
  <c r="AE204" i="17"/>
  <c r="Y205" i="17"/>
  <c r="Z205" i="17"/>
  <c r="AD205" i="17"/>
  <c r="AE205" i="17"/>
  <c r="Z206" i="17"/>
  <c r="AE206" i="17"/>
  <c r="Z207" i="17"/>
  <c r="AE207" i="17"/>
  <c r="Z208" i="17"/>
  <c r="AE208" i="17"/>
  <c r="Z209" i="17"/>
  <c r="AE209" i="17"/>
  <c r="Z210" i="17"/>
  <c r="AE210" i="17"/>
  <c r="Z211" i="17"/>
  <c r="AE211" i="17"/>
  <c r="Z212" i="17"/>
  <c r="AE212" i="17"/>
  <c r="Z213" i="17"/>
  <c r="AE213" i="17"/>
  <c r="Z214" i="17"/>
  <c r="AE214" i="17"/>
  <c r="Z215" i="17"/>
  <c r="AE215" i="17"/>
  <c r="Z216" i="17"/>
  <c r="AE216" i="17"/>
  <c r="Z217" i="17"/>
  <c r="AE217" i="17"/>
  <c r="Y218" i="17"/>
  <c r="Z218" i="17"/>
  <c r="AD218" i="17"/>
  <c r="AE218" i="17"/>
  <c r="Y219" i="17"/>
  <c r="Z219" i="17"/>
  <c r="AD219" i="17"/>
  <c r="AE219" i="17"/>
  <c r="Y220" i="17"/>
  <c r="Z220" i="17"/>
  <c r="AD220" i="17"/>
  <c r="AE220" i="17"/>
  <c r="Y221" i="17"/>
  <c r="Z221" i="17"/>
  <c r="AD221" i="17"/>
  <c r="AE221" i="17"/>
  <c r="Y222" i="17"/>
  <c r="Z222" i="17"/>
  <c r="AD222" i="17"/>
  <c r="AE222" i="17"/>
  <c r="Y223" i="17"/>
  <c r="Z223" i="17"/>
  <c r="AD223" i="17"/>
  <c r="AE223" i="17"/>
  <c r="Y224" i="17"/>
  <c r="Z224" i="17"/>
  <c r="AD224" i="17"/>
  <c r="AE224" i="17"/>
  <c r="Y225" i="17"/>
  <c r="Z225" i="17"/>
  <c r="AD225" i="17"/>
  <c r="AE225" i="17"/>
  <c r="Y226" i="17"/>
  <c r="Z226" i="17"/>
  <c r="AD226" i="17"/>
  <c r="AE226" i="17"/>
  <c r="Y227" i="17"/>
  <c r="Z227" i="17"/>
  <c r="AD227" i="17"/>
  <c r="AE227" i="17"/>
  <c r="Y228" i="17"/>
  <c r="Z228" i="17"/>
  <c r="AD228" i="17"/>
  <c r="AE228" i="17"/>
  <c r="Y229" i="17"/>
  <c r="Z229" i="17"/>
  <c r="AD229" i="17"/>
  <c r="AE229" i="17"/>
  <c r="Y230" i="17"/>
  <c r="Z230" i="17"/>
  <c r="AD230" i="17"/>
  <c r="AE230" i="17"/>
  <c r="Y231" i="17"/>
  <c r="Z231" i="17"/>
  <c r="AD231" i="17"/>
  <c r="AE231" i="17"/>
  <c r="Y232" i="17"/>
  <c r="Z232" i="17"/>
  <c r="AD232" i="17"/>
  <c r="AE232" i="17"/>
  <c r="Y233" i="17"/>
  <c r="Z233" i="17"/>
  <c r="AD233" i="17"/>
  <c r="AE233" i="17"/>
  <c r="Y234" i="17"/>
  <c r="Z234" i="17"/>
  <c r="AD234" i="17"/>
  <c r="AE234" i="17"/>
  <c r="Y235" i="17"/>
  <c r="Z235" i="17"/>
  <c r="AD235" i="17"/>
  <c r="AE235" i="17"/>
  <c r="Y236" i="17"/>
  <c r="Z236" i="17"/>
  <c r="AD236" i="17"/>
  <c r="AE236" i="17"/>
  <c r="Y237" i="17"/>
  <c r="Z237" i="17"/>
  <c r="AD237" i="17"/>
  <c r="AE237" i="17"/>
  <c r="Y238" i="17"/>
  <c r="Z238" i="17"/>
  <c r="AD238" i="17"/>
  <c r="AE238" i="17"/>
  <c r="Y239" i="17"/>
  <c r="Z239" i="17"/>
  <c r="AD239" i="17"/>
  <c r="AE239" i="17"/>
  <c r="Y240" i="17"/>
  <c r="Z240" i="17"/>
  <c r="AD240" i="17"/>
  <c r="AE240" i="17"/>
  <c r="Y241" i="17"/>
  <c r="Z241" i="17"/>
  <c r="AD241" i="17"/>
  <c r="AE241" i="17"/>
  <c r="Y242" i="17"/>
  <c r="Z242" i="17"/>
  <c r="AD242" i="17"/>
  <c r="AE242" i="17"/>
  <c r="Y243" i="17"/>
  <c r="Z243" i="17"/>
  <c r="AD243" i="17"/>
  <c r="AE243" i="17"/>
  <c r="Y244" i="17"/>
  <c r="Z244" i="17"/>
  <c r="AD244" i="17"/>
  <c r="AE244" i="17"/>
  <c r="Y245" i="17"/>
  <c r="Z245" i="17"/>
  <c r="AD245" i="17"/>
  <c r="AE245" i="17"/>
  <c r="Y246" i="17"/>
  <c r="Z246" i="17"/>
  <c r="AD246" i="17"/>
  <c r="AE246" i="17"/>
  <c r="Y247" i="17"/>
  <c r="Z247" i="17"/>
  <c r="AD247" i="17"/>
  <c r="AE247" i="17"/>
  <c r="Y248" i="17"/>
  <c r="Z248" i="17"/>
  <c r="AD248" i="17"/>
  <c r="AE248" i="17"/>
  <c r="Y249" i="17"/>
  <c r="Z249" i="17"/>
  <c r="AD249" i="17"/>
  <c r="AE249" i="17"/>
  <c r="Y250" i="17"/>
  <c r="Z250" i="17"/>
  <c r="AD250" i="17"/>
  <c r="AE250" i="17"/>
  <c r="Y251" i="17"/>
  <c r="Z251" i="17"/>
  <c r="AD251" i="17"/>
  <c r="AE251" i="17"/>
  <c r="Y252" i="17"/>
  <c r="Z252" i="17"/>
  <c r="AD252" i="17"/>
  <c r="AE252" i="17"/>
  <c r="Y253" i="17"/>
  <c r="Z253" i="17"/>
  <c r="AD253" i="17"/>
  <c r="AE253" i="17"/>
  <c r="Y254" i="17"/>
  <c r="Z254" i="17"/>
  <c r="AD254" i="17"/>
  <c r="AE254" i="17"/>
  <c r="Y255" i="17"/>
  <c r="Z255" i="17"/>
  <c r="AD255" i="17"/>
  <c r="AE255" i="17"/>
  <c r="Y256" i="17"/>
  <c r="Z256" i="17"/>
  <c r="AD256" i="17"/>
  <c r="AE256" i="17"/>
  <c r="Y257" i="17"/>
  <c r="Z257" i="17"/>
  <c r="AD257" i="17"/>
  <c r="AE257" i="17"/>
  <c r="Y258" i="17"/>
  <c r="Z258" i="17"/>
  <c r="AD258" i="17"/>
  <c r="AE258" i="17"/>
  <c r="Y259" i="17"/>
  <c r="Z259" i="17"/>
  <c r="AD259" i="17"/>
  <c r="AE259" i="17"/>
  <c r="Y260" i="17"/>
  <c r="Z260" i="17"/>
  <c r="AD260" i="17"/>
  <c r="AE260" i="17"/>
  <c r="Y261" i="17"/>
  <c r="Z261" i="17"/>
  <c r="AD261" i="17"/>
  <c r="AE261" i="17"/>
  <c r="Y262" i="17"/>
  <c r="Z262" i="17"/>
  <c r="AD262" i="17"/>
  <c r="AE262" i="17"/>
  <c r="Y263" i="17"/>
  <c r="Z263" i="17"/>
  <c r="AD263" i="17"/>
  <c r="AE263" i="17"/>
  <c r="Y264" i="17"/>
  <c r="Z264" i="17"/>
  <c r="AD264" i="17"/>
  <c r="AE264" i="17"/>
  <c r="Y265" i="17"/>
  <c r="Z265" i="17"/>
  <c r="AD265" i="17"/>
  <c r="AE265" i="17"/>
  <c r="Y266" i="17"/>
  <c r="Z266" i="17"/>
  <c r="AD266" i="17"/>
  <c r="AE266" i="17"/>
  <c r="Y267" i="17"/>
  <c r="Z267" i="17"/>
  <c r="AD267" i="17"/>
  <c r="AE267" i="17"/>
  <c r="Y268" i="17"/>
  <c r="Z268" i="17"/>
  <c r="AD268" i="17"/>
  <c r="AE268" i="17"/>
  <c r="Y269" i="17"/>
  <c r="Z269" i="17"/>
  <c r="AD269" i="17"/>
  <c r="AE269" i="17"/>
  <c r="Y270" i="17"/>
  <c r="Z270" i="17"/>
  <c r="AD270" i="17"/>
  <c r="AE270" i="17"/>
  <c r="Y271" i="17"/>
  <c r="Z271" i="17"/>
  <c r="AD271" i="17"/>
  <c r="AE271" i="17"/>
  <c r="Y272" i="17"/>
  <c r="Z272" i="17"/>
  <c r="AD272" i="17"/>
  <c r="AE272" i="17"/>
  <c r="Y273" i="17"/>
  <c r="Z273" i="17"/>
  <c r="AD273" i="17"/>
  <c r="AE273" i="17"/>
  <c r="Y274" i="17"/>
  <c r="Z274" i="17"/>
  <c r="AD274" i="17"/>
  <c r="AE274" i="17"/>
  <c r="Y275" i="17"/>
  <c r="Z275" i="17"/>
  <c r="AD275" i="17"/>
  <c r="AE275" i="17"/>
  <c r="Y276" i="17"/>
  <c r="Z276" i="17"/>
  <c r="AD276" i="17"/>
  <c r="AE276" i="17"/>
  <c r="Y277" i="17"/>
  <c r="Z277" i="17"/>
  <c r="AD277" i="17"/>
  <c r="AE277" i="17"/>
  <c r="Y278" i="17"/>
  <c r="Z278" i="17"/>
  <c r="AD278" i="17"/>
  <c r="AE278" i="17"/>
  <c r="Y279" i="17"/>
  <c r="Z279" i="17"/>
  <c r="AD279" i="17"/>
  <c r="AE279" i="17"/>
  <c r="Z280" i="17"/>
  <c r="AE280" i="17"/>
  <c r="Z281" i="17"/>
  <c r="AE281" i="17"/>
  <c r="Z282" i="17"/>
  <c r="AE282" i="17"/>
  <c r="Z283" i="17"/>
  <c r="AE283" i="17"/>
  <c r="Z284" i="17"/>
  <c r="AE284" i="17"/>
  <c r="Z285" i="17"/>
  <c r="AE285" i="17"/>
  <c r="Z286" i="17"/>
  <c r="AE286" i="17"/>
  <c r="Z287" i="17"/>
  <c r="AE287" i="17"/>
  <c r="Z288" i="17"/>
  <c r="AE288" i="17"/>
  <c r="Z289" i="17"/>
  <c r="AE289" i="17"/>
  <c r="Z290" i="17"/>
  <c r="AE290" i="17"/>
  <c r="Z291" i="17"/>
  <c r="AE291" i="17"/>
  <c r="Y292" i="17"/>
  <c r="AD292" i="17"/>
  <c r="Y293" i="17"/>
  <c r="AD293" i="17"/>
  <c r="Y294" i="17"/>
  <c r="AD294" i="17"/>
  <c r="Y295" i="17"/>
  <c r="AD295" i="17"/>
  <c r="Y296" i="17"/>
  <c r="AD296" i="17"/>
  <c r="Y297" i="17"/>
  <c r="AD297" i="17"/>
  <c r="Y298" i="17"/>
  <c r="AD298" i="17"/>
  <c r="Y299" i="17"/>
  <c r="AD299" i="17"/>
  <c r="Y300" i="17"/>
  <c r="AD300" i="17"/>
  <c r="Y301" i="17"/>
  <c r="AD301" i="17"/>
  <c r="Y302" i="17"/>
  <c r="AD302" i="17"/>
  <c r="Y303" i="17"/>
  <c r="AD303" i="17"/>
  <c r="Z304" i="17"/>
  <c r="AE304" i="17"/>
  <c r="Z305" i="17"/>
  <c r="AE305" i="17"/>
  <c r="Z306" i="17"/>
  <c r="AE306" i="17"/>
  <c r="Z307" i="17"/>
  <c r="AE307" i="17"/>
  <c r="Z308" i="17"/>
  <c r="AE308" i="17"/>
  <c r="Z309" i="17"/>
  <c r="AE309" i="17"/>
  <c r="Z310" i="17"/>
  <c r="AE310" i="17"/>
  <c r="Z311" i="17"/>
  <c r="AE311" i="17"/>
  <c r="Z312" i="17"/>
  <c r="AE312" i="17"/>
  <c r="Z313" i="17"/>
  <c r="AE313" i="17"/>
  <c r="Z314" i="17"/>
  <c r="AE314" i="17"/>
  <c r="Z315" i="17"/>
  <c r="AE315" i="17"/>
  <c r="Z316" i="17"/>
  <c r="AE316" i="17"/>
  <c r="Z317" i="17"/>
  <c r="AE317" i="17"/>
  <c r="Z318" i="17"/>
  <c r="AE318" i="17"/>
  <c r="Z319" i="17"/>
  <c r="AE319" i="17"/>
  <c r="Z320" i="17"/>
  <c r="AE320" i="17"/>
  <c r="Z321" i="17"/>
  <c r="AE321" i="17"/>
  <c r="Z322" i="17"/>
  <c r="AE322" i="17"/>
  <c r="Z323" i="17"/>
  <c r="AE323" i="17"/>
  <c r="Z324" i="17"/>
  <c r="AE324" i="17"/>
  <c r="Z325" i="17"/>
  <c r="AE325" i="17"/>
  <c r="Z326" i="17"/>
  <c r="AE326" i="17"/>
  <c r="Z327" i="17"/>
  <c r="AE327" i="17"/>
  <c r="Z328" i="17"/>
  <c r="AE328" i="17"/>
  <c r="Z329" i="17"/>
  <c r="AE329" i="17"/>
  <c r="Z330" i="17"/>
  <c r="AE330" i="17"/>
  <c r="Z331" i="17"/>
  <c r="AE331" i="17"/>
  <c r="Z332" i="17"/>
  <c r="AE332" i="17"/>
  <c r="Z333" i="17"/>
  <c r="AE333" i="17"/>
  <c r="Z334" i="17"/>
  <c r="AE334" i="17"/>
  <c r="Z335" i="17"/>
  <c r="AE335" i="17"/>
  <c r="Z336" i="17"/>
  <c r="AE336" i="17"/>
  <c r="Z337" i="17"/>
  <c r="AE337" i="17"/>
  <c r="Z338" i="17"/>
  <c r="AE338" i="17"/>
  <c r="Z339" i="17"/>
  <c r="AE339" i="17"/>
  <c r="Z340" i="17"/>
  <c r="AE340" i="17"/>
  <c r="Z341" i="17"/>
  <c r="AE341" i="17"/>
  <c r="Z342" i="17"/>
  <c r="AE342" i="17"/>
  <c r="Z343" i="17"/>
  <c r="AE343" i="17"/>
  <c r="Z344" i="17"/>
  <c r="AE344" i="17"/>
  <c r="Z345" i="17"/>
  <c r="AE345" i="17"/>
  <c r="Z346" i="17"/>
  <c r="AE346" i="17"/>
  <c r="Z347" i="17"/>
  <c r="AE347" i="17"/>
  <c r="Z348" i="17"/>
  <c r="AE348" i="17"/>
  <c r="Z349" i="17"/>
  <c r="AE349" i="17"/>
  <c r="Z350" i="17"/>
  <c r="AE350" i="17"/>
  <c r="Z351" i="17"/>
  <c r="AE351" i="17"/>
  <c r="Z352" i="17"/>
  <c r="AE352" i="17"/>
  <c r="Z353" i="17"/>
  <c r="AE353" i="17"/>
  <c r="Z354" i="17"/>
  <c r="AE354" i="17"/>
  <c r="Z355" i="17"/>
  <c r="AE355" i="17"/>
  <c r="Z356" i="17"/>
  <c r="AE356" i="17"/>
  <c r="Z357" i="17"/>
  <c r="AE357" i="17"/>
  <c r="Z358" i="17"/>
  <c r="AE358" i="17"/>
  <c r="Z359" i="17"/>
  <c r="AE359" i="17"/>
  <c r="Z360" i="17"/>
  <c r="AE360" i="17"/>
  <c r="Y361" i="17"/>
  <c r="AD361" i="17"/>
  <c r="Y362" i="17"/>
  <c r="AD362" i="17"/>
  <c r="Y363" i="17"/>
  <c r="AD363" i="17"/>
  <c r="Y364" i="17"/>
  <c r="AD364" i="17"/>
  <c r="Y365" i="17"/>
  <c r="AD365" i="17"/>
  <c r="Y366" i="17"/>
  <c r="AD366" i="17"/>
  <c r="Y367" i="17"/>
  <c r="AD367" i="17"/>
  <c r="Y368" i="17"/>
  <c r="AD368" i="17"/>
  <c r="Y369" i="17"/>
  <c r="AD369" i="17"/>
  <c r="Y370" i="17"/>
  <c r="AD370" i="17"/>
  <c r="Y371" i="17"/>
  <c r="AD371" i="17"/>
  <c r="Y372" i="17"/>
  <c r="AD372" i="17"/>
  <c r="Y373" i="17"/>
  <c r="AD373" i="17"/>
  <c r="Y374" i="17"/>
  <c r="AD374" i="17"/>
  <c r="Y375" i="17"/>
  <c r="AD375" i="17"/>
  <c r="Y376" i="17"/>
  <c r="AD376" i="17"/>
  <c r="Y377" i="17"/>
  <c r="AD377" i="17"/>
  <c r="Y378" i="17"/>
  <c r="AD378" i="17"/>
  <c r="Y379" i="17"/>
  <c r="AD379" i="17"/>
  <c r="Y380" i="17"/>
  <c r="AD380" i="17"/>
  <c r="Y381" i="17"/>
  <c r="AD381" i="17"/>
  <c r="Y382" i="17"/>
  <c r="AD382" i="17"/>
  <c r="Y383" i="17"/>
  <c r="AD383" i="17"/>
  <c r="Y384" i="17"/>
  <c r="AD384" i="17"/>
  <c r="Z385" i="17"/>
  <c r="AE385" i="17"/>
  <c r="Z386" i="17"/>
  <c r="AE386" i="17"/>
  <c r="Z387" i="17"/>
  <c r="AE387" i="17"/>
  <c r="Z388" i="17"/>
  <c r="AE388" i="17"/>
  <c r="Z389" i="17"/>
  <c r="AE389" i="17"/>
  <c r="Z390" i="17"/>
  <c r="AE390" i="17"/>
  <c r="Z391" i="17"/>
  <c r="AE391" i="17"/>
  <c r="Z392" i="17"/>
  <c r="AE392" i="17"/>
  <c r="Z393" i="17"/>
  <c r="AE393" i="17"/>
  <c r="Z394" i="17"/>
  <c r="AE394" i="17"/>
  <c r="Z395" i="17"/>
  <c r="AE395" i="17"/>
  <c r="Z396" i="17"/>
  <c r="AE396" i="17"/>
  <c r="Z397" i="17"/>
  <c r="AE397" i="17"/>
  <c r="Z398" i="17"/>
  <c r="AE398" i="17"/>
  <c r="Z399" i="17"/>
  <c r="AE399" i="17"/>
  <c r="Z400" i="17"/>
  <c r="AE400" i="17"/>
  <c r="Z401" i="17"/>
  <c r="AE401" i="17"/>
  <c r="Z402" i="17"/>
  <c r="AE402" i="17"/>
  <c r="Z403" i="17"/>
  <c r="AE403" i="17"/>
  <c r="Z404" i="17"/>
  <c r="AE404" i="17"/>
  <c r="Z405" i="17"/>
  <c r="AE405" i="17"/>
  <c r="Z406" i="17"/>
  <c r="AE406" i="17"/>
  <c r="Z407" i="17"/>
  <c r="AE407" i="17"/>
  <c r="Z408" i="17"/>
  <c r="AE408" i="17"/>
  <c r="Z409" i="17"/>
  <c r="AE409" i="17"/>
  <c r="Z410" i="17"/>
  <c r="AE410" i="17"/>
  <c r="Z411" i="17"/>
  <c r="AE411" i="17"/>
  <c r="Z412" i="17"/>
  <c r="AE412" i="17"/>
  <c r="Z413" i="17"/>
  <c r="AE413" i="17"/>
  <c r="Z414" i="17"/>
  <c r="AE414" i="17"/>
  <c r="Z415" i="17"/>
  <c r="AE415" i="17"/>
  <c r="Z416" i="17"/>
  <c r="AE416" i="17"/>
  <c r="Z417" i="17"/>
  <c r="AE417" i="17"/>
  <c r="Z418" i="17"/>
  <c r="AE418" i="17"/>
  <c r="Z419" i="17"/>
  <c r="AE419" i="17"/>
  <c r="Z420" i="17"/>
  <c r="AE420" i="17"/>
  <c r="Z421" i="17"/>
  <c r="AE421" i="17"/>
  <c r="Z422" i="17"/>
  <c r="AE422" i="17"/>
  <c r="Z423" i="17"/>
  <c r="AE423" i="17"/>
  <c r="Z424" i="17"/>
  <c r="AE424" i="17"/>
  <c r="Z425" i="17"/>
  <c r="AE425" i="17"/>
  <c r="Z426" i="17"/>
  <c r="AE426" i="17"/>
  <c r="Z427" i="17"/>
  <c r="AE427" i="17"/>
  <c r="Z428" i="17"/>
  <c r="AE428" i="17"/>
  <c r="Z429" i="17"/>
  <c r="AE429" i="17"/>
  <c r="Z430" i="17"/>
  <c r="AE430" i="17"/>
  <c r="Z431" i="17"/>
  <c r="AE431" i="17"/>
  <c r="Z432" i="17"/>
  <c r="AE432" i="17"/>
  <c r="Z433" i="17"/>
  <c r="AE433" i="17"/>
  <c r="Z434" i="17"/>
  <c r="AE434" i="17"/>
  <c r="Z435" i="17"/>
  <c r="AE435" i="17"/>
  <c r="Z436" i="17"/>
  <c r="AE436" i="17"/>
  <c r="Z437" i="17"/>
  <c r="AE437" i="17"/>
  <c r="Z438" i="17"/>
  <c r="AE438" i="17"/>
  <c r="Z439" i="17"/>
  <c r="AE439" i="17"/>
  <c r="Y440" i="17"/>
  <c r="AD440" i="17"/>
  <c r="Y441" i="17"/>
  <c r="AD441" i="17"/>
  <c r="Y442" i="17"/>
  <c r="AD442" i="17"/>
  <c r="Y443" i="17"/>
  <c r="AD443" i="17"/>
  <c r="Y444" i="17"/>
  <c r="AD444" i="17"/>
  <c r="Y445" i="17"/>
  <c r="AD445" i="17"/>
  <c r="Y446" i="17"/>
  <c r="AD446" i="17"/>
  <c r="Y447" i="17"/>
  <c r="AD447" i="17"/>
  <c r="Y448" i="17"/>
  <c r="AD448" i="17"/>
  <c r="Y449" i="17"/>
  <c r="AD449" i="17"/>
  <c r="Y450" i="17"/>
  <c r="AD450" i="17"/>
  <c r="Y451" i="17"/>
  <c r="AD451" i="17"/>
  <c r="Y452" i="17"/>
  <c r="AD452" i="17"/>
  <c r="Y453" i="17"/>
  <c r="AD453" i="17"/>
  <c r="Y454" i="17"/>
  <c r="AD454" i="17"/>
  <c r="Y455" i="17"/>
  <c r="AD455" i="17"/>
  <c r="Y456" i="17"/>
  <c r="AD456" i="17"/>
  <c r="Y457" i="17"/>
  <c r="AD457" i="17"/>
  <c r="Y458" i="17"/>
  <c r="AD458" i="17"/>
  <c r="Y459" i="17"/>
  <c r="AD459" i="17"/>
  <c r="Y460" i="17"/>
  <c r="AD460" i="17"/>
  <c r="Y461" i="17"/>
  <c r="AD461" i="17"/>
  <c r="Y462" i="17"/>
  <c r="AD462" i="17"/>
  <c r="Y463" i="17"/>
  <c r="AD463" i="17"/>
  <c r="Y464" i="17"/>
  <c r="AD464" i="17"/>
  <c r="Y465" i="17"/>
  <c r="AD465" i="17"/>
  <c r="Y466" i="17"/>
  <c r="AD466" i="17"/>
  <c r="Y467" i="17"/>
  <c r="AD467" i="17"/>
  <c r="Y468" i="17"/>
  <c r="AD468" i="17"/>
  <c r="Y469" i="17"/>
  <c r="AD469" i="17"/>
  <c r="Y470" i="17"/>
  <c r="AD470" i="17"/>
  <c r="Y471" i="17"/>
  <c r="AD471" i="17"/>
  <c r="Y472" i="17"/>
  <c r="AD472" i="17"/>
  <c r="Y473" i="17"/>
  <c r="AD473" i="17"/>
  <c r="Z474" i="17"/>
  <c r="AE474" i="17"/>
  <c r="Z475" i="17"/>
  <c r="AE475" i="17"/>
  <c r="Z476" i="17"/>
  <c r="AE476" i="17"/>
  <c r="Z477" i="17"/>
  <c r="AE477" i="17"/>
  <c r="Z478" i="17"/>
  <c r="AE478" i="17"/>
  <c r="Z479" i="17"/>
  <c r="AE479" i="17"/>
  <c r="Z480" i="17"/>
  <c r="AE480" i="17"/>
  <c r="Z481" i="17"/>
  <c r="AE481" i="17"/>
  <c r="Z482" i="17"/>
  <c r="AE482" i="17"/>
  <c r="Z483" i="17"/>
  <c r="AE483" i="17"/>
  <c r="Z484" i="17"/>
  <c r="AE484" i="17"/>
  <c r="Z485" i="17"/>
  <c r="AE485" i="17"/>
  <c r="Z486" i="17"/>
  <c r="AE486" i="17"/>
  <c r="Z487" i="17"/>
  <c r="AE487" i="17"/>
  <c r="Z488" i="17"/>
  <c r="AE488" i="17"/>
  <c r="Z489" i="17"/>
  <c r="AE489" i="17"/>
  <c r="Z490" i="17"/>
  <c r="AE490" i="17"/>
  <c r="Z491" i="17"/>
  <c r="AE491" i="17"/>
  <c r="Z492" i="17"/>
  <c r="AE492" i="17"/>
  <c r="Z493" i="17"/>
  <c r="AE493" i="17"/>
  <c r="Z494" i="17"/>
  <c r="AE494" i="17"/>
  <c r="Z495" i="17"/>
  <c r="AE495" i="17"/>
  <c r="Z496" i="17"/>
  <c r="AE496" i="17"/>
  <c r="Z497" i="17"/>
  <c r="AE497" i="17"/>
  <c r="Z498" i="17"/>
  <c r="AE498" i="17"/>
  <c r="Z499" i="17"/>
  <c r="AE499" i="17"/>
  <c r="Z500" i="17"/>
  <c r="AE500" i="17"/>
  <c r="Z501" i="17"/>
  <c r="AE501" i="17"/>
  <c r="Z502" i="17"/>
  <c r="AE502" i="17"/>
  <c r="Z503" i="17"/>
  <c r="AE503" i="17"/>
  <c r="Z504" i="17"/>
  <c r="AE504" i="17"/>
  <c r="Z505" i="17"/>
  <c r="AE505" i="17"/>
  <c r="Z506" i="17"/>
  <c r="AE506" i="17"/>
  <c r="Z507" i="17"/>
  <c r="AE507" i="17"/>
  <c r="Z508" i="17"/>
  <c r="AE508" i="17"/>
  <c r="Z509" i="17"/>
  <c r="AE509" i="17"/>
  <c r="Z510" i="17"/>
  <c r="AE510" i="17"/>
  <c r="Z511" i="17"/>
  <c r="AE511" i="17"/>
  <c r="Z512" i="17"/>
  <c r="AE512" i="17"/>
  <c r="Z513" i="17"/>
  <c r="AE513" i="17"/>
  <c r="Z514" i="17"/>
  <c r="AE514" i="17"/>
  <c r="Z515" i="17"/>
  <c r="AE515" i="17"/>
  <c r="Z516" i="17"/>
  <c r="AE516" i="17"/>
  <c r="Y517" i="17"/>
  <c r="AD517" i="17"/>
  <c r="Y518" i="17"/>
  <c r="AD518" i="17"/>
  <c r="Y519" i="17"/>
  <c r="AD519" i="17"/>
  <c r="Y520" i="17"/>
  <c r="AD520" i="17"/>
  <c r="Y521" i="17"/>
  <c r="AD521" i="17"/>
  <c r="Y522" i="17"/>
  <c r="AD522" i="17"/>
  <c r="Y523" i="17"/>
  <c r="AD523" i="17"/>
  <c r="Y524" i="17"/>
  <c r="AD524" i="17"/>
  <c r="Y525" i="17"/>
  <c r="AD525" i="17"/>
  <c r="Y526" i="17"/>
  <c r="AD526" i="17"/>
  <c r="Y527" i="17"/>
  <c r="AD527" i="17"/>
  <c r="Y528" i="17"/>
  <c r="AD528" i="17"/>
  <c r="Z529" i="17"/>
  <c r="AE529" i="17"/>
  <c r="Z530" i="17"/>
  <c r="AE530" i="17"/>
  <c r="Z531" i="17"/>
  <c r="AE531" i="17"/>
  <c r="Z532" i="17"/>
  <c r="AE532" i="17"/>
  <c r="Z533" i="17"/>
  <c r="AE533" i="17"/>
  <c r="Z534" i="17"/>
  <c r="AE534" i="17"/>
  <c r="Z535" i="17"/>
  <c r="AE535" i="17"/>
  <c r="Z536" i="17"/>
  <c r="AE536" i="17"/>
  <c r="Z537" i="17"/>
  <c r="AE537" i="17"/>
  <c r="Z538" i="17"/>
  <c r="AE538" i="17"/>
  <c r="Z539" i="17"/>
  <c r="AE539" i="17"/>
  <c r="Z540" i="17"/>
  <c r="AE540" i="17"/>
  <c r="Y541" i="17"/>
  <c r="Z541" i="17"/>
  <c r="AD541" i="17"/>
  <c r="AE541" i="17"/>
  <c r="Y542" i="17"/>
  <c r="Z542" i="17"/>
  <c r="AD542" i="17"/>
  <c r="AE542" i="17"/>
  <c r="Y543" i="17"/>
  <c r="Z543" i="17"/>
  <c r="AD543" i="17"/>
  <c r="AE543" i="17"/>
  <c r="Y544" i="17"/>
  <c r="Z544" i="17"/>
  <c r="AD544" i="17"/>
  <c r="AE544" i="17"/>
  <c r="Y545" i="17"/>
  <c r="Z545" i="17"/>
  <c r="AD545" i="17"/>
  <c r="AE545" i="17"/>
  <c r="Y546" i="17"/>
  <c r="Z546" i="17"/>
  <c r="AD546" i="17"/>
  <c r="AE546" i="17"/>
  <c r="Y547" i="17"/>
  <c r="Z547" i="17"/>
  <c r="AD547" i="17"/>
  <c r="AE547" i="17"/>
  <c r="Y548" i="17"/>
  <c r="Z548" i="17"/>
  <c r="AD548" i="17"/>
  <c r="AE548" i="17"/>
  <c r="Y549" i="17"/>
  <c r="Z549" i="17"/>
  <c r="AD549" i="17"/>
  <c r="AE549" i="17"/>
  <c r="Y550" i="17"/>
  <c r="Z550" i="17"/>
  <c r="AD550" i="17"/>
  <c r="AE550" i="17"/>
  <c r="Y551" i="17"/>
  <c r="Z551" i="17"/>
  <c r="AD551" i="17"/>
  <c r="AE551" i="17"/>
  <c r="Y552" i="17"/>
  <c r="Z552" i="17"/>
  <c r="AD552" i="17"/>
  <c r="AE552" i="17"/>
  <c r="Z553" i="17"/>
  <c r="AE553" i="17"/>
  <c r="Z554" i="17"/>
  <c r="AE554" i="17"/>
  <c r="Z555" i="17"/>
  <c r="AE555" i="17"/>
  <c r="Z556" i="17"/>
  <c r="AE556" i="17"/>
  <c r="Z557" i="17"/>
  <c r="AE557" i="17"/>
  <c r="Z558" i="17"/>
  <c r="AE558" i="17"/>
  <c r="Z559" i="17"/>
  <c r="AE559" i="17"/>
  <c r="Z560" i="17"/>
  <c r="AE560" i="17"/>
  <c r="Z561" i="17"/>
  <c r="AE561" i="17"/>
  <c r="Z562" i="17"/>
  <c r="AE562" i="17"/>
  <c r="Z563" i="17"/>
  <c r="AE563" i="17"/>
  <c r="Z564" i="17"/>
  <c r="AE564" i="17"/>
  <c r="Y565" i="17"/>
  <c r="Z565" i="17"/>
  <c r="AD565" i="17"/>
  <c r="AE565" i="17"/>
  <c r="Y566" i="17"/>
  <c r="Z566" i="17"/>
  <c r="AD566" i="17"/>
  <c r="AE566" i="17"/>
  <c r="Y567" i="17"/>
  <c r="Z567" i="17"/>
  <c r="AD567" i="17"/>
  <c r="AE567" i="17"/>
  <c r="Y568" i="17"/>
  <c r="Z568" i="17"/>
  <c r="AD568" i="17"/>
  <c r="AE568" i="17"/>
  <c r="Y569" i="17"/>
  <c r="Z569" i="17"/>
  <c r="AD569" i="17"/>
  <c r="AE569" i="17"/>
  <c r="Y570" i="17"/>
  <c r="Z570" i="17"/>
  <c r="AD570" i="17"/>
  <c r="AE570" i="17"/>
  <c r="Y571" i="17"/>
  <c r="Z571" i="17"/>
  <c r="AD571" i="17"/>
  <c r="AE571" i="17"/>
  <c r="Y572" i="17"/>
  <c r="Z572" i="17"/>
  <c r="AD572" i="17"/>
  <c r="AE572" i="17"/>
  <c r="Y573" i="17"/>
  <c r="Z573" i="17"/>
  <c r="AD573" i="17"/>
  <c r="AE573" i="17"/>
  <c r="Y574" i="17"/>
  <c r="Z574" i="17"/>
  <c r="AD574" i="17"/>
  <c r="AE574" i="17"/>
  <c r="Y575" i="17"/>
  <c r="Z575" i="17"/>
  <c r="AD575" i="17"/>
  <c r="AE575" i="17"/>
  <c r="Y576" i="17"/>
  <c r="Z576" i="17"/>
  <c r="AD576" i="17"/>
  <c r="AE576" i="17"/>
  <c r="Z577" i="17"/>
  <c r="AE577" i="17"/>
  <c r="Z578" i="17"/>
  <c r="AE578" i="17"/>
  <c r="Z579" i="17"/>
  <c r="AE579" i="17"/>
  <c r="Z580" i="17"/>
  <c r="AE580" i="17"/>
  <c r="Z581" i="17"/>
  <c r="AE581" i="17"/>
  <c r="Z582" i="17"/>
  <c r="AE582" i="17"/>
  <c r="Z583" i="17"/>
  <c r="AE583" i="17"/>
  <c r="Z584" i="17"/>
  <c r="AE584" i="17"/>
  <c r="Z585" i="17"/>
  <c r="AE585" i="17"/>
  <c r="Z586" i="17"/>
  <c r="AE586" i="17"/>
  <c r="Z587" i="17"/>
  <c r="AE587" i="17"/>
  <c r="Z588" i="17"/>
  <c r="AE588" i="17"/>
  <c r="Y589" i="17"/>
  <c r="AD589" i="17"/>
  <c r="Y590" i="17"/>
  <c r="AD590" i="17"/>
  <c r="Y591" i="17"/>
  <c r="AD591" i="17"/>
  <c r="Y592" i="17"/>
  <c r="AD592" i="17"/>
  <c r="Y593" i="17"/>
  <c r="AD593" i="17"/>
  <c r="Y594" i="17"/>
  <c r="AD594" i="17"/>
  <c r="Y595" i="17"/>
  <c r="AD595" i="17"/>
  <c r="Y596" i="17"/>
  <c r="AD596" i="17"/>
  <c r="Y597" i="17"/>
  <c r="AD597" i="17"/>
  <c r="Y598" i="17"/>
  <c r="AD598" i="17"/>
  <c r="Y599" i="17"/>
  <c r="AD599" i="17"/>
  <c r="Y600" i="17"/>
  <c r="AD600" i="17"/>
  <c r="Z601" i="17"/>
  <c r="AE601" i="17"/>
  <c r="Z602" i="17"/>
  <c r="AE602" i="17"/>
  <c r="Z603" i="17"/>
  <c r="AE603" i="17"/>
  <c r="Z604" i="17"/>
  <c r="AE604" i="17"/>
  <c r="Z605" i="17"/>
  <c r="AE605" i="17"/>
  <c r="Z606" i="17"/>
  <c r="AE606" i="17"/>
  <c r="Z607" i="17"/>
  <c r="AE607" i="17"/>
  <c r="Z608" i="17"/>
  <c r="AE608" i="17"/>
  <c r="Z609" i="17"/>
  <c r="AE609" i="17"/>
  <c r="Z610" i="17"/>
  <c r="AE610" i="17"/>
  <c r="Z611" i="17"/>
  <c r="AE611" i="17"/>
  <c r="Z612" i="17"/>
  <c r="AE612" i="17"/>
  <c r="Z613" i="17"/>
  <c r="AE613" i="17"/>
  <c r="Z614" i="17"/>
  <c r="AE614" i="17"/>
  <c r="Z615" i="17"/>
  <c r="AE615" i="17"/>
  <c r="Z616" i="17"/>
  <c r="AE616" i="17"/>
  <c r="Z617" i="17"/>
  <c r="AE617" i="17"/>
  <c r="Z618" i="17"/>
  <c r="AE618" i="17"/>
  <c r="Z619" i="17"/>
  <c r="AE619" i="17"/>
  <c r="Z620" i="17"/>
  <c r="AE620" i="17"/>
  <c r="Z621" i="17"/>
  <c r="AE621" i="17"/>
  <c r="Z622" i="17"/>
  <c r="AE622" i="17"/>
  <c r="Z623" i="17"/>
  <c r="AE623" i="17"/>
  <c r="Z624" i="17"/>
  <c r="AE624" i="17"/>
  <c r="Z625" i="17"/>
  <c r="AE625" i="17"/>
  <c r="Z626" i="17"/>
  <c r="AE626" i="17"/>
  <c r="Z627" i="17"/>
  <c r="AE627" i="17"/>
  <c r="Z628" i="17"/>
  <c r="AE628" i="17"/>
  <c r="Z629" i="17"/>
  <c r="AE629" i="17"/>
  <c r="Z630" i="17"/>
  <c r="AE630" i="17"/>
  <c r="Z631" i="17"/>
  <c r="AE631" i="17"/>
  <c r="Z632" i="17"/>
  <c r="AE632" i="17"/>
  <c r="Z633" i="17"/>
  <c r="AE633" i="17"/>
  <c r="Z634" i="17"/>
  <c r="AE634" i="17"/>
  <c r="Z635" i="17"/>
  <c r="AE635" i="17"/>
  <c r="Z636" i="17"/>
  <c r="AE636" i="17"/>
  <c r="Z637" i="17"/>
  <c r="AE637" i="17"/>
  <c r="Z638" i="17"/>
  <c r="AE638" i="17"/>
  <c r="Z639" i="17"/>
  <c r="AE639" i="17"/>
  <c r="Z640" i="17"/>
  <c r="AE640" i="17"/>
  <c r="Z641" i="17"/>
  <c r="AE641" i="17"/>
  <c r="Z642" i="17"/>
  <c r="AE642" i="17"/>
  <c r="Z643" i="17"/>
  <c r="AE643" i="17"/>
  <c r="Z644" i="17"/>
  <c r="AE644" i="17"/>
  <c r="Z645" i="17"/>
  <c r="AE645" i="17"/>
  <c r="Z646" i="17"/>
  <c r="AE646" i="17"/>
  <c r="Z647" i="17"/>
  <c r="AE647" i="17"/>
  <c r="Z648" i="17"/>
  <c r="AE648" i="17"/>
  <c r="Z649" i="17"/>
  <c r="AE649" i="17"/>
  <c r="Z650" i="17"/>
  <c r="AE650" i="17"/>
  <c r="Z651" i="17"/>
  <c r="AE651" i="17"/>
  <c r="Z652" i="17"/>
  <c r="AE652" i="17"/>
  <c r="Z653" i="17"/>
  <c r="AE653" i="17"/>
  <c r="Z654" i="17"/>
  <c r="AE654" i="17"/>
  <c r="Z655" i="17"/>
  <c r="AE655" i="17"/>
  <c r="Z656" i="17"/>
  <c r="AE656" i="17"/>
  <c r="Z657" i="17"/>
  <c r="AE657" i="17"/>
  <c r="Z658" i="17"/>
  <c r="AE658" i="17"/>
  <c r="Z659" i="17"/>
  <c r="AE659" i="17"/>
  <c r="Z660" i="17"/>
  <c r="AE660" i="17"/>
  <c r="Z661" i="17"/>
  <c r="AE661" i="17"/>
  <c r="Z662" i="17"/>
  <c r="AE662" i="17"/>
  <c r="Z663" i="17"/>
  <c r="AE663" i="17"/>
  <c r="Z664" i="17"/>
  <c r="AE664" i="17"/>
  <c r="Z665" i="17"/>
  <c r="AE665" i="17"/>
  <c r="Z666" i="17"/>
  <c r="AE666" i="17"/>
  <c r="Z667" i="17"/>
  <c r="AE667" i="17"/>
  <c r="Z668" i="17"/>
  <c r="AE668" i="17"/>
  <c r="Z669" i="17"/>
  <c r="AE669" i="17"/>
  <c r="Z670" i="17"/>
  <c r="AE670" i="17"/>
  <c r="Z671" i="17"/>
  <c r="AE671" i="17"/>
  <c r="Z672" i="17"/>
  <c r="AE672" i="17"/>
  <c r="Z673" i="17"/>
  <c r="AE673" i="17"/>
  <c r="Z674" i="17"/>
  <c r="AE674" i="17"/>
  <c r="Z675" i="17"/>
  <c r="AE675" i="17"/>
  <c r="Z676" i="17"/>
  <c r="AE676" i="17"/>
  <c r="Z677" i="17"/>
  <c r="AE677" i="17"/>
  <c r="Z678" i="17"/>
  <c r="AE678" i="17"/>
  <c r="Z679" i="17"/>
  <c r="AE679" i="17"/>
  <c r="Z680" i="17"/>
  <c r="AE680" i="17"/>
  <c r="Z681" i="17"/>
  <c r="AE681" i="17"/>
  <c r="Z682" i="17"/>
  <c r="AE682" i="17"/>
  <c r="Z683" i="17"/>
  <c r="AE683" i="17"/>
  <c r="Z684" i="17"/>
  <c r="AE684" i="17"/>
  <c r="Z685" i="17"/>
  <c r="AE685" i="17"/>
  <c r="Z686" i="17"/>
  <c r="AE686" i="17"/>
  <c r="Z687" i="17"/>
  <c r="AE687" i="17"/>
  <c r="Z688" i="17"/>
  <c r="AE688" i="17"/>
  <c r="Z689" i="17"/>
  <c r="AE689" i="17"/>
  <c r="Z690" i="17"/>
  <c r="AE690" i="17"/>
  <c r="Z691" i="17"/>
  <c r="AE691" i="17"/>
  <c r="Z692" i="17"/>
  <c r="AE692" i="17"/>
  <c r="Z693" i="17"/>
  <c r="AE693" i="17"/>
  <c r="Z694" i="17"/>
  <c r="AE694" i="17"/>
  <c r="Z695" i="17"/>
  <c r="AE695" i="17"/>
  <c r="Z696" i="17"/>
  <c r="AE696" i="17"/>
  <c r="Z697" i="17"/>
  <c r="AE697" i="17"/>
  <c r="Z698" i="17"/>
  <c r="AE698" i="17"/>
  <c r="Z699" i="17"/>
  <c r="AE699" i="17"/>
  <c r="Z700" i="17"/>
  <c r="AE700" i="17"/>
  <c r="Z701" i="17"/>
  <c r="AE701" i="17"/>
  <c r="Z702" i="17"/>
  <c r="AE702" i="17"/>
  <c r="Z703" i="17"/>
  <c r="AE703" i="17"/>
  <c r="Z704" i="17"/>
  <c r="AE704" i="17"/>
  <c r="Z705" i="17"/>
  <c r="AE705" i="17"/>
  <c r="Z706" i="17"/>
  <c r="AE706" i="17"/>
  <c r="Z707" i="17"/>
  <c r="AE707" i="17"/>
  <c r="Z708" i="17"/>
  <c r="AE708" i="17"/>
  <c r="Z709" i="17"/>
  <c r="AE709" i="17"/>
  <c r="Z710" i="17"/>
  <c r="AE710" i="17"/>
  <c r="Z711" i="17"/>
  <c r="AE711" i="17"/>
  <c r="Z712" i="17"/>
  <c r="AE712" i="17"/>
  <c r="Z713" i="17"/>
  <c r="AE713" i="17"/>
  <c r="Z714" i="17"/>
  <c r="AE714" i="17"/>
  <c r="Z715" i="17"/>
  <c r="AE715" i="17"/>
  <c r="Z716" i="17"/>
  <c r="AE716" i="17"/>
  <c r="Z717" i="17"/>
  <c r="AE717" i="17"/>
  <c r="Z718" i="17"/>
  <c r="AE718" i="17"/>
  <c r="Z719" i="17"/>
  <c r="AE719" i="17"/>
  <c r="Z720" i="17"/>
  <c r="AE720" i="17"/>
  <c r="Z721" i="17"/>
  <c r="AE721" i="17"/>
  <c r="Z722" i="17"/>
  <c r="AE722" i="17"/>
  <c r="Z723" i="17"/>
  <c r="AE723" i="17"/>
  <c r="Z724" i="17"/>
  <c r="AE724" i="17"/>
  <c r="Z725" i="17"/>
  <c r="AE725" i="17"/>
  <c r="Z726" i="17"/>
  <c r="AE726" i="17"/>
  <c r="Z727" i="17"/>
  <c r="AE727" i="17"/>
  <c r="Z728" i="17"/>
  <c r="AE728" i="17"/>
  <c r="Z729" i="17"/>
  <c r="AE729" i="17"/>
  <c r="Z730" i="17"/>
  <c r="AE730" i="17"/>
  <c r="Z731" i="17"/>
  <c r="AE731" i="17"/>
  <c r="Z732" i="17"/>
  <c r="AE732" i="17"/>
  <c r="Z733" i="17"/>
  <c r="AE733" i="17"/>
  <c r="Z734" i="17"/>
  <c r="AE734" i="17"/>
  <c r="Z735" i="17"/>
  <c r="AE735" i="17"/>
  <c r="Z736" i="17"/>
  <c r="AE736" i="17"/>
  <c r="Z737" i="17"/>
  <c r="AE737" i="17"/>
  <c r="Z738" i="17"/>
  <c r="AE738" i="17"/>
  <c r="Z739" i="17"/>
  <c r="AE739" i="17"/>
  <c r="Z740" i="17"/>
  <c r="AE740" i="17"/>
  <c r="Z741" i="17"/>
  <c r="AE741" i="17"/>
  <c r="Z742" i="17"/>
  <c r="AE742" i="17"/>
  <c r="Z743" i="17"/>
  <c r="AE743" i="17"/>
  <c r="Z744" i="17"/>
  <c r="AE744" i="17"/>
  <c r="Z745" i="17"/>
  <c r="AE745" i="17"/>
  <c r="Z746" i="17"/>
  <c r="AE746" i="17"/>
  <c r="Z747" i="17"/>
  <c r="AE747" i="17"/>
  <c r="Z748" i="17"/>
  <c r="AE748" i="17"/>
  <c r="Z749" i="17"/>
  <c r="AE749" i="17"/>
  <c r="Z750" i="17"/>
  <c r="AE750" i="17"/>
  <c r="Z751" i="17"/>
  <c r="AE751" i="17"/>
  <c r="Z752" i="17"/>
  <c r="AE752" i="17"/>
  <c r="Z753" i="17"/>
  <c r="AE753" i="17"/>
  <c r="Z754" i="17"/>
  <c r="AE754" i="17"/>
  <c r="Z755" i="17"/>
  <c r="AE755" i="17"/>
  <c r="Z756" i="17"/>
  <c r="AE756" i="17"/>
  <c r="Z757" i="17"/>
  <c r="AE757" i="17"/>
  <c r="Z758" i="17"/>
  <c r="AE758" i="17"/>
  <c r="Z759" i="17"/>
  <c r="AE759" i="17"/>
  <c r="Z760" i="17"/>
  <c r="AE760" i="17"/>
  <c r="Z761" i="17"/>
  <c r="AE761" i="17"/>
  <c r="Z762" i="17"/>
  <c r="AE762" i="17"/>
  <c r="Z763" i="17"/>
  <c r="AE763" i="17"/>
  <c r="Z764" i="17"/>
  <c r="AE764" i="17"/>
  <c r="Z765" i="17"/>
  <c r="AE765" i="17"/>
  <c r="Z766" i="17"/>
  <c r="AE766" i="17"/>
  <c r="Z767" i="17"/>
  <c r="AE767" i="17"/>
  <c r="Z768" i="17"/>
  <c r="AE768" i="17"/>
  <c r="Z769" i="17"/>
  <c r="AE769" i="17"/>
  <c r="Z770" i="17"/>
  <c r="AE770" i="17"/>
  <c r="Z771" i="17"/>
  <c r="AE771" i="17"/>
  <c r="Z772" i="17"/>
  <c r="AE772" i="17"/>
  <c r="Z773" i="17"/>
  <c r="AE773" i="17"/>
  <c r="Z774" i="17"/>
  <c r="AE774" i="17"/>
  <c r="Z775" i="17"/>
  <c r="AE775" i="17"/>
  <c r="Z776" i="17"/>
  <c r="AE776" i="17"/>
  <c r="Z777" i="17"/>
  <c r="AE777" i="17"/>
  <c r="Z778" i="17"/>
  <c r="AE778" i="17"/>
  <c r="Z779" i="17"/>
  <c r="AE779" i="17"/>
  <c r="Z780" i="17"/>
  <c r="AE780" i="17"/>
  <c r="Z781" i="17"/>
  <c r="AE781" i="17"/>
  <c r="Z782" i="17"/>
  <c r="AE782" i="17"/>
  <c r="Z783" i="17"/>
  <c r="AE783" i="17"/>
  <c r="Z784" i="17"/>
  <c r="AE784" i="17"/>
  <c r="Z785" i="17"/>
  <c r="AE785" i="17"/>
  <c r="Z786" i="17"/>
  <c r="AE786" i="17"/>
  <c r="Z787" i="17"/>
  <c r="AE787" i="17"/>
  <c r="Z788" i="17"/>
  <c r="AE788" i="17"/>
  <c r="Z789" i="17"/>
  <c r="AE789" i="17"/>
  <c r="Z790" i="17"/>
  <c r="AE790" i="17"/>
  <c r="Z791" i="17"/>
  <c r="AE791" i="17"/>
  <c r="Z792" i="17"/>
  <c r="AE792" i="17"/>
  <c r="Z793" i="17"/>
  <c r="AE793" i="17"/>
  <c r="Z794" i="17"/>
  <c r="AE794" i="17"/>
  <c r="Z795" i="17"/>
  <c r="AE795" i="17"/>
  <c r="Z796" i="17"/>
  <c r="AE796" i="17"/>
  <c r="Z797" i="17"/>
  <c r="AE797" i="17"/>
  <c r="Z798" i="17"/>
  <c r="AE798" i="17"/>
  <c r="Z799" i="17"/>
  <c r="AE799" i="17"/>
  <c r="Z800" i="17"/>
  <c r="AE800" i="17"/>
  <c r="Z801" i="17"/>
  <c r="AE801" i="17"/>
  <c r="Z802" i="17"/>
  <c r="AE802" i="17"/>
  <c r="Z803" i="17"/>
  <c r="AE803" i="17"/>
  <c r="Z804" i="17"/>
  <c r="AE804" i="17"/>
  <c r="Z805" i="17"/>
  <c r="AE805" i="17"/>
  <c r="Z806" i="17"/>
  <c r="AE806" i="17"/>
  <c r="Z807" i="17"/>
  <c r="AE807" i="17"/>
  <c r="Z808" i="17"/>
  <c r="AE808" i="17"/>
  <c r="Z809" i="17"/>
  <c r="AE809" i="17"/>
  <c r="Z810" i="17"/>
  <c r="AE810" i="17"/>
  <c r="Z811" i="17"/>
  <c r="AE811" i="17"/>
  <c r="Z812" i="17"/>
  <c r="AE812" i="17"/>
  <c r="Z813" i="17"/>
  <c r="AE813" i="17"/>
  <c r="Z814" i="17"/>
  <c r="AE814" i="17"/>
  <c r="Z815" i="17"/>
  <c r="AE815" i="17"/>
  <c r="Z816" i="17"/>
  <c r="AE816" i="17"/>
  <c r="Z817" i="17"/>
  <c r="AE817" i="17"/>
  <c r="Z818" i="17"/>
  <c r="AE818" i="17"/>
  <c r="Z819" i="17"/>
  <c r="AE819" i="17"/>
  <c r="Z820" i="17"/>
  <c r="AE820" i="17"/>
  <c r="Z821" i="17"/>
  <c r="AE821" i="17"/>
  <c r="Z822" i="17"/>
  <c r="AE822" i="17"/>
  <c r="Z823" i="17"/>
  <c r="AE823" i="17"/>
  <c r="Z824" i="17"/>
  <c r="AE824" i="17"/>
  <c r="Z825" i="17"/>
  <c r="AE825" i="17"/>
  <c r="Z826" i="17"/>
  <c r="AE826" i="17"/>
  <c r="Z827" i="17"/>
  <c r="AE827" i="17"/>
  <c r="Z828" i="17"/>
  <c r="AE828" i="17"/>
  <c r="Z829" i="17"/>
  <c r="AE829" i="17"/>
  <c r="Z830" i="17"/>
  <c r="AE830" i="17"/>
  <c r="Z831" i="17"/>
  <c r="AE831" i="17"/>
  <c r="Z832" i="17"/>
  <c r="AE832" i="17"/>
  <c r="Z833" i="17"/>
  <c r="AE833" i="17"/>
  <c r="E5" i="34"/>
  <c r="F5" i="34"/>
  <c r="H5" i="34"/>
  <c r="I5" i="34"/>
  <c r="R5" i="34"/>
  <c r="U5" i="34"/>
  <c r="E6" i="34"/>
  <c r="F6" i="34"/>
  <c r="H6" i="34"/>
  <c r="I6" i="34"/>
  <c r="R6" i="34"/>
  <c r="U6" i="34"/>
  <c r="E7" i="34"/>
  <c r="F7" i="34"/>
  <c r="H7" i="34"/>
  <c r="I7" i="34"/>
  <c r="R7" i="34"/>
  <c r="U7" i="34"/>
  <c r="E8" i="34"/>
  <c r="F8" i="34"/>
  <c r="H8" i="34"/>
  <c r="I8" i="34"/>
  <c r="R8" i="34"/>
  <c r="U8" i="34"/>
  <c r="E9" i="34"/>
  <c r="F9" i="34"/>
  <c r="H9" i="34"/>
  <c r="I9" i="34"/>
  <c r="R9" i="34"/>
  <c r="U9" i="34"/>
  <c r="E10" i="34"/>
  <c r="F10" i="34"/>
  <c r="H10" i="34"/>
  <c r="I10" i="34"/>
  <c r="R10" i="34"/>
  <c r="U10" i="34"/>
  <c r="R11" i="34"/>
  <c r="U11" i="34"/>
  <c r="E12" i="34"/>
  <c r="R12" i="34"/>
  <c r="U12" i="34"/>
  <c r="E13" i="34"/>
  <c r="R13" i="34"/>
  <c r="U13" i="34"/>
  <c r="E14" i="34"/>
  <c r="R14" i="34"/>
  <c r="U14" i="34"/>
  <c r="E15" i="34"/>
  <c r="F15" i="34"/>
  <c r="H15" i="34"/>
  <c r="I15" i="34"/>
  <c r="R15" i="34"/>
  <c r="U15" i="34"/>
  <c r="E16" i="34"/>
  <c r="F16" i="34"/>
  <c r="H16" i="34"/>
  <c r="I16" i="34"/>
  <c r="R16" i="34"/>
  <c r="U16" i="34"/>
  <c r="E17" i="34"/>
  <c r="F17" i="34"/>
  <c r="H17" i="34"/>
  <c r="I17" i="34"/>
  <c r="R17" i="34"/>
  <c r="U17" i="34"/>
  <c r="E18" i="34"/>
  <c r="F18" i="34"/>
  <c r="H18" i="34"/>
  <c r="I18" i="34"/>
  <c r="R18" i="34"/>
  <c r="U18" i="34"/>
  <c r="E19" i="34"/>
  <c r="H19" i="34"/>
  <c r="R19" i="34"/>
  <c r="U19" i="34"/>
  <c r="F20" i="34"/>
  <c r="I20" i="34"/>
  <c r="R20" i="34"/>
  <c r="U20" i="34"/>
  <c r="F21" i="34"/>
  <c r="I21" i="34"/>
  <c r="R21" i="34"/>
  <c r="U21" i="34"/>
  <c r="E22" i="34"/>
  <c r="H22" i="34"/>
  <c r="R22" i="34"/>
  <c r="U22" i="34"/>
  <c r="F23" i="34"/>
  <c r="I23" i="34"/>
  <c r="R23" i="34"/>
  <c r="U23" i="34"/>
  <c r="F24" i="34"/>
  <c r="I24" i="34"/>
  <c r="R24" i="34"/>
  <c r="U24" i="34"/>
  <c r="E25" i="34"/>
  <c r="H25" i="34"/>
  <c r="R25" i="34"/>
  <c r="U25" i="34"/>
  <c r="E26" i="34"/>
  <c r="F26" i="34"/>
  <c r="H26" i="34"/>
  <c r="I26" i="34"/>
  <c r="R26" i="34"/>
  <c r="U26" i="34"/>
  <c r="E27" i="34"/>
  <c r="F27" i="34"/>
  <c r="H27" i="34"/>
  <c r="I27" i="34"/>
  <c r="R27" i="34"/>
  <c r="U27" i="34"/>
  <c r="E28" i="34"/>
  <c r="F28" i="34"/>
  <c r="H28" i="34"/>
  <c r="I28" i="34"/>
  <c r="R28" i="34"/>
  <c r="U28" i="34"/>
  <c r="E29" i="34"/>
  <c r="F29" i="34"/>
  <c r="H29" i="34"/>
  <c r="I29" i="34"/>
  <c r="R29" i="34"/>
  <c r="U29" i="34"/>
  <c r="E30" i="34"/>
  <c r="H30" i="34"/>
  <c r="R30" i="34"/>
  <c r="U30" i="34"/>
  <c r="F31" i="34"/>
  <c r="I31" i="34"/>
  <c r="R31" i="34"/>
  <c r="U31" i="34"/>
  <c r="F32" i="34"/>
  <c r="I32" i="34"/>
  <c r="R32" i="34"/>
  <c r="U32" i="34"/>
  <c r="E33" i="34"/>
  <c r="H33" i="34"/>
  <c r="R33" i="34"/>
  <c r="U33" i="34"/>
  <c r="F34" i="34"/>
  <c r="I34" i="34"/>
  <c r="Q34" i="34"/>
  <c r="T34" i="34"/>
  <c r="F35" i="34"/>
  <c r="I35" i="34"/>
  <c r="Q35" i="34"/>
  <c r="T35" i="34"/>
  <c r="E36" i="34"/>
  <c r="H36" i="34"/>
  <c r="E37" i="34"/>
  <c r="F37" i="34"/>
  <c r="H37" i="34"/>
  <c r="I37" i="34"/>
  <c r="E38" i="34"/>
  <c r="F38" i="34"/>
  <c r="H38" i="34"/>
  <c r="I38" i="34"/>
  <c r="E39" i="34"/>
  <c r="F39" i="34"/>
  <c r="H39" i="34"/>
  <c r="I39" i="34"/>
  <c r="E40" i="34"/>
  <c r="F40" i="34"/>
  <c r="H40" i="34"/>
  <c r="I40" i="34"/>
  <c r="E41" i="34"/>
  <c r="H41" i="34"/>
  <c r="F42" i="34"/>
  <c r="I42" i="34"/>
  <c r="F43" i="34"/>
  <c r="I43" i="34"/>
  <c r="E44" i="34"/>
  <c r="H44" i="34"/>
  <c r="F45" i="34"/>
  <c r="I45" i="34"/>
  <c r="F46" i="34"/>
  <c r="I46" i="34"/>
  <c r="N7" i="6"/>
  <c r="AJ7" i="6"/>
  <c r="AK7" i="6"/>
  <c r="N8" i="6"/>
  <c r="AJ8" i="6"/>
  <c r="AK8" i="6"/>
  <c r="N17" i="6"/>
  <c r="AJ17" i="6"/>
  <c r="AK17" i="6"/>
  <c r="N18" i="6"/>
  <c r="AJ18" i="6"/>
  <c r="AK18" i="6"/>
  <c r="N21" i="6"/>
  <c r="AJ21" i="6"/>
  <c r="AK21" i="6"/>
  <c r="N22" i="6"/>
  <c r="AJ22" i="6"/>
  <c r="AK22" i="6"/>
  <c r="N23" i="6"/>
  <c r="AJ23" i="6"/>
  <c r="AK23" i="6"/>
  <c r="N24" i="6"/>
  <c r="AJ24" i="6"/>
  <c r="AK24" i="6"/>
  <c r="N26" i="6"/>
  <c r="AJ26" i="6"/>
  <c r="AK26" i="6"/>
  <c r="N29" i="6"/>
  <c r="AJ29" i="6"/>
  <c r="AK29" i="6"/>
  <c r="N30" i="6"/>
  <c r="AJ30" i="6"/>
  <c r="AK30" i="6"/>
  <c r="N33" i="6"/>
  <c r="AJ33" i="6"/>
  <c r="AK33" i="6"/>
  <c r="N34" i="6"/>
  <c r="AJ34" i="6"/>
  <c r="AK34" i="6"/>
  <c r="N35" i="6"/>
  <c r="AJ35" i="6"/>
  <c r="AK35" i="6"/>
  <c r="N36" i="6"/>
  <c r="AJ36" i="6"/>
  <c r="AK36" i="6"/>
  <c r="N38" i="6"/>
  <c r="AJ38" i="6"/>
  <c r="AK38" i="6"/>
  <c r="N41" i="6"/>
  <c r="AJ41" i="6"/>
  <c r="AK41" i="6"/>
  <c r="N42" i="6"/>
  <c r="AJ42" i="6"/>
  <c r="AK42" i="6"/>
  <c r="N44" i="6"/>
  <c r="AJ44" i="6"/>
  <c r="AK44" i="6"/>
  <c r="N45" i="6"/>
  <c r="AJ45" i="6"/>
  <c r="AK45" i="6"/>
  <c r="N46" i="6"/>
  <c r="AJ46" i="6"/>
  <c r="AK46" i="6"/>
  <c r="N47" i="6"/>
  <c r="AJ47" i="6"/>
  <c r="AK47" i="6"/>
  <c r="N49" i="6"/>
  <c r="AJ49" i="6"/>
  <c r="AK49" i="6"/>
  <c r="N52" i="6"/>
  <c r="AJ52" i="6"/>
  <c r="AK52" i="6"/>
  <c r="N53" i="6"/>
  <c r="AJ53" i="6"/>
  <c r="AK53" i="6"/>
  <c r="N54" i="6"/>
  <c r="AJ54" i="6"/>
  <c r="AK54" i="6"/>
  <c r="N55" i="6"/>
  <c r="AJ55" i="6"/>
  <c r="AK55" i="6"/>
  <c r="N56" i="6"/>
  <c r="AJ56" i="6"/>
  <c r="AK56" i="6"/>
  <c r="N57" i="6"/>
  <c r="AJ57" i="6"/>
  <c r="AK57" i="6"/>
  <c r="N58" i="6"/>
  <c r="AJ58" i="6"/>
  <c r="AK58" i="6"/>
  <c r="N59" i="6"/>
  <c r="AJ59" i="6"/>
  <c r="AK59" i="6"/>
  <c r="N60" i="6"/>
  <c r="AJ60" i="6"/>
  <c r="AK60" i="6"/>
  <c r="N61" i="6"/>
  <c r="AJ61" i="6"/>
  <c r="AK61" i="6"/>
  <c r="N62" i="6"/>
  <c r="AJ62" i="6"/>
  <c r="AK62" i="6"/>
  <c r="N63" i="6"/>
  <c r="AJ63" i="6"/>
  <c r="AK63" i="6"/>
  <c r="N64" i="6"/>
  <c r="AJ64" i="6"/>
  <c r="AK64" i="6"/>
  <c r="N65" i="6"/>
  <c r="AJ65" i="6"/>
  <c r="AK65" i="6"/>
  <c r="N66" i="6"/>
  <c r="AJ66" i="6"/>
  <c r="AK66" i="6"/>
  <c r="N67" i="6"/>
  <c r="AJ67" i="6"/>
  <c r="AK67" i="6"/>
  <c r="N68" i="6"/>
  <c r="AJ68" i="6"/>
  <c r="AK68" i="6"/>
  <c r="N69" i="6"/>
  <c r="AJ69" i="6"/>
  <c r="AK69" i="6"/>
  <c r="N70" i="6"/>
  <c r="AJ70" i="6"/>
  <c r="AK70" i="6"/>
  <c r="N71" i="6"/>
  <c r="AJ71" i="6"/>
  <c r="AK71" i="6"/>
  <c r="N72" i="6"/>
  <c r="AJ72" i="6"/>
  <c r="AK72" i="6"/>
  <c r="N73" i="6"/>
  <c r="AJ73" i="6"/>
  <c r="AK73" i="6"/>
  <c r="N74" i="6"/>
  <c r="AJ74" i="6"/>
  <c r="AK74" i="6"/>
  <c r="N75" i="6"/>
  <c r="AJ75" i="6"/>
  <c r="AK75" i="6"/>
  <c r="N76" i="6"/>
  <c r="AJ76" i="6"/>
  <c r="AK76" i="6"/>
  <c r="N77" i="6"/>
  <c r="AJ77" i="6"/>
  <c r="AK77" i="6"/>
  <c r="N78" i="6"/>
  <c r="AJ78" i="6"/>
  <c r="AK78" i="6"/>
  <c r="N79" i="6"/>
  <c r="AJ79" i="6"/>
  <c r="AK79" i="6"/>
  <c r="N80" i="6"/>
  <c r="AJ80" i="6"/>
  <c r="AK80" i="6"/>
  <c r="N81" i="6"/>
  <c r="AJ81" i="6"/>
  <c r="AK81" i="6"/>
  <c r="N82" i="6"/>
  <c r="AJ82" i="6"/>
  <c r="AK82" i="6"/>
  <c r="N83" i="6"/>
  <c r="AJ83" i="6"/>
  <c r="AK83" i="6"/>
  <c r="N84" i="6"/>
  <c r="AJ84" i="6"/>
  <c r="AK84" i="6"/>
  <c r="N85" i="6"/>
  <c r="AJ85" i="6"/>
  <c r="AK85" i="6"/>
  <c r="N86" i="6"/>
  <c r="AJ86" i="6"/>
  <c r="AK86" i="6"/>
  <c r="N90" i="6"/>
  <c r="AJ90" i="6"/>
  <c r="AK90" i="6"/>
  <c r="N95" i="6"/>
  <c r="AJ95" i="6"/>
  <c r="AK95" i="6"/>
  <c r="L98" i="6"/>
  <c r="N98" i="6"/>
  <c r="L99" i="6"/>
  <c r="N99" i="6"/>
  <c r="O99" i="6"/>
  <c r="L100" i="6"/>
  <c r="N100" i="6"/>
  <c r="O100" i="6"/>
  <c r="L101" i="6"/>
  <c r="N101" i="6"/>
  <c r="L102" i="6"/>
  <c r="N102" i="6"/>
  <c r="N103" i="6"/>
  <c r="L104" i="6"/>
  <c r="L105" i="6"/>
  <c r="L106" i="6"/>
  <c r="L107" i="6"/>
  <c r="L108" i="6"/>
  <c r="N5" i="29"/>
  <c r="AB5" i="29"/>
  <c r="AC5" i="29"/>
  <c r="AF5" i="29"/>
  <c r="AG5" i="29"/>
  <c r="N6" i="29"/>
  <c r="AB6" i="29"/>
  <c r="AC6" i="29"/>
  <c r="AF6" i="29"/>
  <c r="AG6" i="29"/>
  <c r="N7" i="29"/>
  <c r="AB7" i="29"/>
  <c r="AC7" i="29"/>
  <c r="AF7" i="29"/>
  <c r="AG7" i="29"/>
  <c r="N8" i="29"/>
  <c r="AB8" i="29"/>
  <c r="AC8" i="29"/>
  <c r="AF8" i="29"/>
  <c r="AG8" i="29"/>
  <c r="N9" i="29"/>
  <c r="AC9" i="29"/>
  <c r="AF9" i="29"/>
  <c r="AG9" i="29"/>
  <c r="N10" i="29"/>
  <c r="AC10" i="29"/>
  <c r="AF10" i="29"/>
  <c r="AG10" i="29"/>
  <c r="N11" i="29"/>
  <c r="AC11" i="29"/>
  <c r="AF11" i="29"/>
  <c r="AG11" i="29"/>
  <c r="N12" i="29"/>
  <c r="AB12" i="29"/>
  <c r="AC12" i="29"/>
  <c r="AF12" i="29"/>
  <c r="AG12" i="29"/>
  <c r="N13" i="29"/>
  <c r="AB13" i="29"/>
  <c r="AC13" i="29"/>
  <c r="AF13" i="29"/>
  <c r="AG13" i="29"/>
  <c r="N14" i="29"/>
  <c r="AB14" i="29"/>
  <c r="AC14" i="29"/>
  <c r="AF14" i="29"/>
  <c r="AG14" i="29"/>
  <c r="N15" i="29"/>
  <c r="AB15" i="29"/>
  <c r="AC15" i="29"/>
  <c r="AF15" i="29"/>
  <c r="AG15" i="29"/>
  <c r="N16" i="29"/>
  <c r="AB16" i="29"/>
  <c r="AC16" i="29"/>
  <c r="AF16" i="29"/>
  <c r="AG16" i="29"/>
  <c r="N17" i="29"/>
  <c r="AB17" i="29"/>
  <c r="AC17" i="29"/>
  <c r="AF17" i="29"/>
  <c r="AG17" i="29"/>
  <c r="N18" i="29"/>
  <c r="AB18" i="29"/>
  <c r="AC18" i="29"/>
  <c r="AF18" i="29"/>
  <c r="AG18" i="29"/>
  <c r="N19" i="29"/>
  <c r="AB19" i="29"/>
  <c r="AC19" i="29"/>
  <c r="AF19" i="29"/>
  <c r="AG19" i="29"/>
  <c r="N20" i="29"/>
  <c r="AB20" i="29"/>
  <c r="AC20" i="29"/>
  <c r="AF20" i="29"/>
  <c r="AG20" i="29"/>
  <c r="N21" i="29"/>
  <c r="AB21" i="29"/>
  <c r="AC21" i="29"/>
  <c r="AF21" i="29"/>
  <c r="AG21" i="29"/>
  <c r="N22" i="29"/>
  <c r="AB22" i="29"/>
  <c r="AC22" i="29"/>
  <c r="AF22" i="29"/>
  <c r="AG22" i="29"/>
  <c r="N23" i="29"/>
  <c r="AB23" i="29"/>
  <c r="AC23" i="29"/>
  <c r="AF23" i="29"/>
  <c r="AG23" i="29"/>
  <c r="N24" i="29"/>
  <c r="AB24" i="29"/>
  <c r="AC24" i="29"/>
  <c r="AF24" i="29"/>
  <c r="AG24" i="29"/>
  <c r="N25" i="29"/>
  <c r="AB25" i="29"/>
  <c r="AC25" i="29"/>
  <c r="AF25" i="29"/>
  <c r="AG25" i="29"/>
  <c r="N26" i="29"/>
  <c r="AB26" i="29"/>
  <c r="AC26" i="29"/>
  <c r="AF26" i="29"/>
  <c r="AG26" i="29"/>
  <c r="N27" i="29"/>
  <c r="AB27" i="29"/>
  <c r="AC27" i="29"/>
  <c r="AF27" i="29"/>
  <c r="AG27" i="29"/>
  <c r="N28" i="29"/>
  <c r="AB28" i="29"/>
  <c r="AC28" i="29"/>
  <c r="AF28" i="29"/>
  <c r="AG28" i="29"/>
  <c r="N29" i="29"/>
  <c r="AB29" i="29"/>
  <c r="AC29" i="29"/>
  <c r="AF29" i="29"/>
  <c r="AG29" i="29"/>
  <c r="N30" i="29"/>
  <c r="AB30" i="29"/>
  <c r="AC30" i="29"/>
  <c r="AF30" i="29"/>
  <c r="AG30" i="29"/>
  <c r="N31" i="29"/>
  <c r="AB31" i="29"/>
  <c r="AC31" i="29"/>
  <c r="AF31" i="29"/>
  <c r="AG31" i="29"/>
  <c r="N32" i="29"/>
  <c r="AB32" i="29"/>
  <c r="AC32" i="29"/>
  <c r="AF32" i="29"/>
  <c r="AG32" i="29"/>
  <c r="N33" i="29"/>
  <c r="AB33" i="29"/>
  <c r="AC33" i="29"/>
  <c r="AF33" i="29"/>
  <c r="AG33" i="29"/>
  <c r="N34" i="29"/>
  <c r="AB34" i="29"/>
  <c r="AC34" i="29"/>
  <c r="AF34" i="29"/>
  <c r="AG34" i="29"/>
  <c r="N35" i="29"/>
  <c r="AB35" i="29"/>
  <c r="AC35" i="29"/>
  <c r="AF35" i="29"/>
  <c r="AG35" i="29"/>
  <c r="N36" i="29"/>
  <c r="AB36" i="29"/>
  <c r="AC36" i="29"/>
  <c r="AF36" i="29"/>
  <c r="AG36" i="29"/>
  <c r="N37" i="29"/>
  <c r="AB37" i="29"/>
  <c r="AC37" i="29"/>
  <c r="AF37" i="29"/>
  <c r="AG37" i="29"/>
  <c r="N38" i="29"/>
  <c r="AB38" i="29"/>
  <c r="AC38" i="29"/>
  <c r="AF38" i="29"/>
  <c r="AG38" i="29"/>
  <c r="N39" i="29"/>
  <c r="AB39" i="29"/>
  <c r="AC39" i="29"/>
  <c r="AF39" i="29"/>
  <c r="AG39" i="29"/>
  <c r="N40" i="29"/>
  <c r="AB40" i="29"/>
  <c r="AC40" i="29"/>
  <c r="AF40" i="29"/>
  <c r="AG40" i="29"/>
  <c r="N41" i="29"/>
  <c r="AB41" i="29"/>
  <c r="AC41" i="29"/>
  <c r="AF41" i="29"/>
  <c r="AG41" i="29"/>
  <c r="N42" i="29"/>
  <c r="AB42" i="29"/>
  <c r="AC42" i="29"/>
  <c r="AF42" i="29"/>
  <c r="AG42" i="29"/>
  <c r="N43" i="29"/>
  <c r="AB43" i="29"/>
  <c r="AC43" i="29"/>
  <c r="AF43" i="29"/>
  <c r="AG43" i="29"/>
  <c r="N44" i="29"/>
  <c r="AB44" i="29"/>
  <c r="AC44" i="29"/>
  <c r="AF44" i="29"/>
  <c r="AG44" i="29"/>
  <c r="N45" i="29"/>
  <c r="AB45" i="29"/>
  <c r="AC45" i="29"/>
  <c r="AF45" i="29"/>
  <c r="AG45" i="29"/>
  <c r="N46" i="29"/>
  <c r="AB46" i="29"/>
  <c r="AC46" i="29"/>
  <c r="AF46" i="29"/>
  <c r="AG46" i="29"/>
  <c r="N47" i="29"/>
  <c r="AB47" i="29"/>
  <c r="AC47" i="29"/>
  <c r="AF47" i="29"/>
  <c r="AG47" i="29"/>
  <c r="N48" i="29"/>
  <c r="AB48" i="29"/>
  <c r="AC48" i="29"/>
  <c r="AF48" i="29"/>
  <c r="AG48" i="29"/>
  <c r="N49" i="29"/>
  <c r="AB49" i="29"/>
  <c r="AC49" i="29"/>
  <c r="AF49" i="29"/>
  <c r="AG49" i="29"/>
  <c r="N50" i="29"/>
  <c r="AB50" i="29"/>
  <c r="AC50" i="29"/>
  <c r="AF50" i="29"/>
  <c r="AG50" i="29"/>
  <c r="N51" i="29"/>
  <c r="AB51" i="29"/>
  <c r="AC51" i="29"/>
  <c r="AF51" i="29"/>
  <c r="AG51" i="29"/>
  <c r="N52" i="29"/>
  <c r="AB52" i="29"/>
  <c r="AC52" i="29"/>
  <c r="AF52" i="29"/>
  <c r="AG52" i="29"/>
  <c r="N53" i="29"/>
  <c r="AB53" i="29"/>
  <c r="AC53" i="29"/>
  <c r="AF53" i="29"/>
  <c r="AG53" i="29"/>
  <c r="N54" i="29"/>
  <c r="AB54" i="29"/>
  <c r="AC54" i="29"/>
  <c r="AF54" i="29"/>
  <c r="AG54" i="29"/>
  <c r="N55" i="29"/>
  <c r="AB55" i="29"/>
  <c r="AC55" i="29"/>
  <c r="AF55" i="29"/>
  <c r="AG55" i="29"/>
  <c r="N56" i="29"/>
  <c r="AB56" i="29"/>
  <c r="AC56" i="29"/>
  <c r="AF56" i="29"/>
  <c r="AG56" i="29"/>
  <c r="N57" i="29"/>
  <c r="AB57" i="29"/>
  <c r="AC57" i="29"/>
  <c r="AF57" i="29"/>
  <c r="AG57" i="29"/>
  <c r="N58" i="29"/>
  <c r="AB58" i="29"/>
  <c r="AC58" i="29"/>
  <c r="AF58" i="29"/>
  <c r="AG58" i="29"/>
  <c r="N59" i="29"/>
  <c r="AB59" i="29"/>
  <c r="AC59" i="29"/>
  <c r="AF59" i="29"/>
  <c r="AG59" i="29"/>
  <c r="N60" i="29"/>
  <c r="AB60" i="29"/>
  <c r="AC60" i="29"/>
  <c r="AF60" i="29"/>
  <c r="AG60" i="29"/>
  <c r="N61" i="29"/>
  <c r="AB61" i="29"/>
  <c r="AC61" i="29"/>
  <c r="AF61" i="29"/>
  <c r="AG61" i="29"/>
  <c r="N62" i="29"/>
  <c r="AB62" i="29"/>
  <c r="AC62" i="29"/>
  <c r="AF62" i="29"/>
  <c r="AG62" i="29"/>
  <c r="N63" i="29"/>
  <c r="AB63" i="29"/>
  <c r="AC63" i="29"/>
  <c r="AF63" i="29"/>
  <c r="AG63" i="29"/>
  <c r="N64" i="29"/>
  <c r="AB64" i="29"/>
  <c r="AC64" i="29"/>
  <c r="AF64" i="29"/>
  <c r="AG64" i="29"/>
  <c r="N65" i="29"/>
  <c r="AB65" i="29"/>
  <c r="AC65" i="29"/>
  <c r="AF65" i="29"/>
  <c r="AG65" i="29"/>
  <c r="N66" i="29"/>
  <c r="AB66" i="29"/>
  <c r="AC66" i="29"/>
  <c r="AF66" i="29"/>
  <c r="AG66" i="29"/>
  <c r="N67" i="29"/>
  <c r="AB67" i="29"/>
  <c r="AC67" i="29"/>
  <c r="AF67" i="29"/>
  <c r="AG67" i="29"/>
  <c r="N68" i="29"/>
  <c r="AB68" i="29"/>
  <c r="AC68" i="29"/>
  <c r="AF68" i="29"/>
  <c r="AG68" i="29"/>
  <c r="N69" i="29"/>
  <c r="AB69" i="29"/>
  <c r="AC69" i="29"/>
  <c r="AF69" i="29"/>
  <c r="AG69" i="29"/>
  <c r="N70" i="29"/>
  <c r="AB70" i="29"/>
  <c r="AC70" i="29"/>
  <c r="AF70" i="29"/>
  <c r="AG70" i="29"/>
  <c r="N71" i="29"/>
  <c r="AB71" i="29"/>
  <c r="AC71" i="29"/>
  <c r="AF71" i="29"/>
  <c r="AG71" i="29"/>
  <c r="N72" i="29"/>
  <c r="AB72" i="29"/>
  <c r="AC72" i="29"/>
  <c r="AF72" i="29"/>
  <c r="AG72" i="29"/>
  <c r="N73" i="29"/>
  <c r="AB73" i="29"/>
  <c r="AC73" i="29"/>
  <c r="AF73" i="29"/>
  <c r="AG73" i="29"/>
  <c r="N74" i="29"/>
  <c r="AB74" i="29"/>
  <c r="AC74" i="29"/>
  <c r="AF74" i="29"/>
  <c r="AG74" i="29"/>
  <c r="N75" i="29"/>
  <c r="AB75" i="29"/>
  <c r="AC75" i="29"/>
  <c r="AF75" i="29"/>
  <c r="AG75" i="29"/>
  <c r="N76" i="29"/>
  <c r="AB76" i="29"/>
  <c r="AC76" i="29"/>
  <c r="AF76" i="29"/>
  <c r="AG76" i="29"/>
  <c r="N77" i="29"/>
  <c r="AB77" i="29"/>
  <c r="AC77" i="29"/>
  <c r="AF77" i="29"/>
  <c r="AG77" i="29"/>
  <c r="N78" i="29"/>
  <c r="AB78" i="29"/>
  <c r="AC78" i="29"/>
  <c r="AF78" i="29"/>
  <c r="AG78" i="29"/>
  <c r="N79" i="29"/>
  <c r="AB79" i="29"/>
  <c r="AC79" i="29"/>
  <c r="AF79" i="29"/>
  <c r="AG79" i="29"/>
  <c r="N80" i="29"/>
  <c r="AB80" i="29"/>
  <c r="AC80" i="29"/>
  <c r="AF80" i="29"/>
  <c r="AG80" i="29"/>
  <c r="N81" i="29"/>
  <c r="AB81" i="29"/>
  <c r="AC81" i="29"/>
  <c r="AF81" i="29"/>
  <c r="AG81" i="29"/>
  <c r="N82" i="29"/>
  <c r="AB82" i="29"/>
  <c r="AC82" i="29"/>
  <c r="AF82" i="29"/>
  <c r="AG82" i="29"/>
  <c r="N83" i="29"/>
  <c r="AB83" i="29"/>
  <c r="AC83" i="29"/>
  <c r="AF83" i="29"/>
  <c r="AG83" i="29"/>
  <c r="N84" i="29"/>
  <c r="AB84" i="29"/>
  <c r="AC84" i="29"/>
  <c r="AF84" i="29"/>
  <c r="AG84" i="29"/>
  <c r="N85" i="29"/>
  <c r="AB85" i="29"/>
  <c r="AC85" i="29"/>
  <c r="AF85" i="29"/>
  <c r="AG85" i="29"/>
  <c r="N86" i="29"/>
  <c r="AB86" i="29"/>
  <c r="AC86" i="29"/>
  <c r="AF86" i="29"/>
  <c r="AG86" i="29"/>
  <c r="N92" i="29"/>
  <c r="AB92" i="29"/>
  <c r="AC92" i="29"/>
  <c r="AF92" i="29"/>
  <c r="AG92" i="29"/>
  <c r="N93" i="29"/>
  <c r="AB93" i="29"/>
  <c r="AC93" i="29"/>
  <c r="AF93" i="29"/>
  <c r="AG93" i="29"/>
  <c r="N94" i="29"/>
  <c r="AB94" i="29"/>
  <c r="AC94" i="29"/>
  <c r="AF94" i="29"/>
  <c r="AG94" i="29"/>
  <c r="N95" i="29"/>
  <c r="AB95" i="29"/>
  <c r="AC95" i="29"/>
  <c r="AF95" i="29"/>
  <c r="AG95" i="29"/>
  <c r="N96" i="29"/>
  <c r="AC96" i="29"/>
  <c r="AF96" i="29"/>
  <c r="AG96" i="29"/>
  <c r="N97" i="29"/>
  <c r="AC97" i="29"/>
  <c r="AF97" i="29"/>
  <c r="AG97" i="29"/>
  <c r="N98" i="29"/>
  <c r="AC98" i="29"/>
  <c r="AF98" i="29"/>
  <c r="AG98" i="29"/>
  <c r="N99" i="29"/>
  <c r="AB99" i="29"/>
  <c r="AC99" i="29"/>
  <c r="AF99" i="29"/>
  <c r="AG99" i="29"/>
  <c r="N100" i="29"/>
  <c r="AB100" i="29"/>
  <c r="AC100" i="29"/>
  <c r="AF100" i="29"/>
  <c r="AG100" i="29"/>
  <c r="N101" i="29"/>
  <c r="AB101" i="29"/>
  <c r="AC101" i="29"/>
  <c r="AF101" i="29"/>
  <c r="AG101" i="29"/>
  <c r="N102" i="29"/>
  <c r="AB102" i="29"/>
  <c r="AC102" i="29"/>
  <c r="AF102" i="29"/>
  <c r="AG102" i="29"/>
  <c r="N103" i="29"/>
  <c r="AB103" i="29"/>
  <c r="AC103" i="29"/>
  <c r="AF103" i="29"/>
  <c r="AG103" i="29"/>
  <c r="N104" i="29"/>
  <c r="AB104" i="29"/>
  <c r="AC104" i="29"/>
  <c r="AF104" i="29"/>
  <c r="AG104" i="29"/>
  <c r="N105" i="29"/>
  <c r="AB105" i="29"/>
  <c r="AC105" i="29"/>
  <c r="AF105" i="29"/>
  <c r="AG105" i="29"/>
  <c r="N106" i="29"/>
  <c r="AB106" i="29"/>
  <c r="AC106" i="29"/>
  <c r="AF106" i="29"/>
  <c r="AG106" i="29"/>
  <c r="N107" i="29"/>
  <c r="AB107" i="29"/>
  <c r="AC107" i="29"/>
  <c r="AF107" i="29"/>
  <c r="AG107" i="29"/>
  <c r="N108" i="29"/>
  <c r="AB108" i="29"/>
  <c r="AC108" i="29"/>
  <c r="AF108" i="29"/>
  <c r="AG108" i="29"/>
  <c r="N109" i="29"/>
  <c r="AB109" i="29"/>
  <c r="AC109" i="29"/>
  <c r="AF109" i="29"/>
  <c r="AG109" i="29"/>
  <c r="N110" i="29"/>
  <c r="AB110" i="29"/>
  <c r="AC110" i="29"/>
  <c r="AF110" i="29"/>
  <c r="AG110" i="29"/>
  <c r="N111" i="29"/>
  <c r="AB111" i="29"/>
  <c r="AC111" i="29"/>
  <c r="AF111" i="29"/>
  <c r="AG111" i="29"/>
  <c r="N112" i="29"/>
  <c r="AB112" i="29"/>
  <c r="AC112" i="29"/>
  <c r="AF112" i="29"/>
  <c r="AG112" i="29"/>
  <c r="N113" i="29"/>
  <c r="AB113" i="29"/>
  <c r="AC113" i="29"/>
  <c r="AF113" i="29"/>
  <c r="AG113" i="29"/>
  <c r="N114" i="29"/>
  <c r="AB114" i="29"/>
  <c r="AC114" i="29"/>
  <c r="AF114" i="29"/>
  <c r="AG114" i="29"/>
  <c r="N115" i="29"/>
  <c r="AB115" i="29"/>
  <c r="AC115" i="29"/>
  <c r="AF115" i="29"/>
  <c r="AG115" i="29"/>
  <c r="N116" i="29"/>
  <c r="AB116" i="29"/>
  <c r="AC116" i="29"/>
  <c r="AF116" i="29"/>
  <c r="AG116" i="29"/>
  <c r="N117" i="29"/>
  <c r="AB117" i="29"/>
  <c r="AC117" i="29"/>
  <c r="AF117" i="29"/>
  <c r="AG117" i="29"/>
  <c r="N118" i="29"/>
  <c r="AB118" i="29"/>
  <c r="AC118" i="29"/>
  <c r="AF118" i="29"/>
  <c r="AG118" i="29"/>
  <c r="N119" i="29"/>
  <c r="AB119" i="29"/>
  <c r="AC119" i="29"/>
  <c r="AF119" i="29"/>
  <c r="AG119" i="29"/>
  <c r="N120" i="29"/>
  <c r="AB120" i="29"/>
  <c r="AC120" i="29"/>
  <c r="AF120" i="29"/>
  <c r="AG120" i="29"/>
  <c r="N121" i="29"/>
  <c r="AB121" i="29"/>
  <c r="AC121" i="29"/>
  <c r="AF121" i="29"/>
  <c r="AG121" i="29"/>
  <c r="N122" i="29"/>
  <c r="AB122" i="29"/>
  <c r="AC122" i="29"/>
  <c r="AF122" i="29"/>
  <c r="AG122" i="29"/>
  <c r="N123" i="29"/>
  <c r="AB123" i="29"/>
  <c r="AC123" i="29"/>
  <c r="AF123" i="29"/>
  <c r="AG123" i="29"/>
  <c r="N124" i="29"/>
  <c r="AB124" i="29"/>
  <c r="AC124" i="29"/>
  <c r="AF124" i="29"/>
  <c r="AG124" i="29"/>
  <c r="N125" i="29"/>
  <c r="AB125" i="29"/>
  <c r="AC125" i="29"/>
  <c r="AF125" i="29"/>
  <c r="AG125" i="29"/>
  <c r="N126" i="29"/>
  <c r="AB126" i="29"/>
  <c r="AC126" i="29"/>
  <c r="AF126" i="29"/>
  <c r="AG126" i="29"/>
  <c r="N127" i="29"/>
  <c r="AB127" i="29"/>
  <c r="AC127" i="29"/>
  <c r="AF127" i="29"/>
  <c r="AG127" i="29"/>
  <c r="N128" i="29"/>
  <c r="AB128" i="29"/>
  <c r="AC128" i="29"/>
  <c r="AF128" i="29"/>
  <c r="AG128" i="29"/>
  <c r="N129" i="29"/>
  <c r="AB129" i="29"/>
  <c r="AC129" i="29"/>
  <c r="AF129" i="29"/>
  <c r="AG129" i="29"/>
  <c r="N130" i="29"/>
  <c r="AB130" i="29"/>
  <c r="AC130" i="29"/>
  <c r="AF130" i="29"/>
  <c r="AG130" i="29"/>
  <c r="N131" i="29"/>
  <c r="AB131" i="29"/>
  <c r="AC131" i="29"/>
  <c r="AF131" i="29"/>
  <c r="AG131" i="29"/>
  <c r="N132" i="29"/>
  <c r="AB132" i="29"/>
  <c r="AC132" i="29"/>
  <c r="AF132" i="29"/>
  <c r="AG132" i="29"/>
  <c r="N133" i="29"/>
  <c r="AB133" i="29"/>
  <c r="AC133" i="29"/>
  <c r="AF133" i="29"/>
  <c r="AG133" i="29"/>
  <c r="N134" i="29"/>
  <c r="AB134" i="29"/>
  <c r="AC134" i="29"/>
  <c r="AF134" i="29"/>
  <c r="AG134" i="29"/>
  <c r="N135" i="29"/>
  <c r="AB135" i="29"/>
  <c r="AC135" i="29"/>
  <c r="AF135" i="29"/>
  <c r="AG135" i="29"/>
  <c r="N136" i="29"/>
  <c r="AB136" i="29"/>
  <c r="AC136" i="29"/>
  <c r="AF136" i="29"/>
  <c r="AG136" i="29"/>
  <c r="N137" i="29"/>
  <c r="AB137" i="29"/>
  <c r="AC137" i="29"/>
  <c r="AF137" i="29"/>
  <c r="AG137" i="29"/>
  <c r="N138" i="29"/>
  <c r="AB138" i="29"/>
  <c r="AC138" i="29"/>
  <c r="AF138" i="29"/>
  <c r="AG138" i="29"/>
  <c r="N139" i="29"/>
  <c r="AB139" i="29"/>
  <c r="AC139" i="29"/>
  <c r="AF139" i="29"/>
  <c r="AG139" i="29"/>
  <c r="N140" i="29"/>
  <c r="AB140" i="29"/>
  <c r="AC140" i="29"/>
  <c r="AF140" i="29"/>
  <c r="AG140" i="29"/>
  <c r="N141" i="29"/>
  <c r="AB141" i="29"/>
  <c r="AC141" i="29"/>
  <c r="AF141" i="29"/>
  <c r="AG141" i="29"/>
  <c r="N142" i="29"/>
  <c r="AB142" i="29"/>
  <c r="AC142" i="29"/>
  <c r="AF142" i="29"/>
  <c r="AG142" i="29"/>
  <c r="N143" i="29"/>
  <c r="AB143" i="29"/>
  <c r="AC143" i="29"/>
  <c r="AF143" i="29"/>
  <c r="AG143" i="29"/>
  <c r="N144" i="29"/>
  <c r="AB144" i="29"/>
  <c r="AC144" i="29"/>
  <c r="AF144" i="29"/>
  <c r="AG144" i="29"/>
  <c r="N145" i="29"/>
  <c r="AB145" i="29"/>
  <c r="AC145" i="29"/>
  <c r="AF145" i="29"/>
  <c r="AG145" i="29"/>
  <c r="N146" i="29"/>
  <c r="AB146" i="29"/>
  <c r="AC146" i="29"/>
  <c r="AF146" i="29"/>
  <c r="AG146" i="29"/>
  <c r="N147" i="29"/>
  <c r="AB147" i="29"/>
  <c r="AC147" i="29"/>
  <c r="AF147" i="29"/>
  <c r="AG147" i="29"/>
  <c r="N148" i="29"/>
  <c r="AB148" i="29"/>
  <c r="AC148" i="29"/>
  <c r="AF148" i="29"/>
  <c r="AG148" i="29"/>
  <c r="N149" i="29"/>
  <c r="AB149" i="29"/>
  <c r="AC149" i="29"/>
  <c r="AF149" i="29"/>
  <c r="AG149" i="29"/>
  <c r="N150" i="29"/>
  <c r="AB150" i="29"/>
  <c r="AC150" i="29"/>
  <c r="AF150" i="29"/>
  <c r="AG150" i="29"/>
  <c r="N151" i="29"/>
  <c r="AB151" i="29"/>
  <c r="AC151" i="29"/>
  <c r="AF151" i="29"/>
  <c r="AG151" i="29"/>
  <c r="N152" i="29"/>
  <c r="AB152" i="29"/>
  <c r="AC152" i="29"/>
  <c r="AF152" i="29"/>
  <c r="AG152" i="29"/>
  <c r="N153" i="29"/>
  <c r="AB153" i="29"/>
  <c r="AC153" i="29"/>
  <c r="AF153" i="29"/>
  <c r="AG153" i="29"/>
  <c r="N154" i="29"/>
  <c r="AB154" i="29"/>
  <c r="AC154" i="29"/>
  <c r="AF154" i="29"/>
  <c r="AG154" i="29"/>
  <c r="N155" i="29"/>
  <c r="AB155" i="29"/>
  <c r="AC155" i="29"/>
  <c r="AF155" i="29"/>
  <c r="AG155" i="29"/>
  <c r="N156" i="29"/>
  <c r="AB156" i="29"/>
  <c r="AC156" i="29"/>
  <c r="AF156" i="29"/>
  <c r="AG156" i="29"/>
  <c r="N157" i="29"/>
  <c r="AB157" i="29"/>
  <c r="AC157" i="29"/>
  <c r="AF157" i="29"/>
  <c r="AG157" i="29"/>
  <c r="N158" i="29"/>
  <c r="AB158" i="29"/>
  <c r="AC158" i="29"/>
  <c r="AF158" i="29"/>
  <c r="AG158" i="29"/>
  <c r="N159" i="29"/>
  <c r="AB159" i="29"/>
  <c r="AC159" i="29"/>
  <c r="AF159" i="29"/>
  <c r="AG159" i="29"/>
  <c r="N160" i="29"/>
  <c r="AB160" i="29"/>
  <c r="AC160" i="29"/>
  <c r="AF160" i="29"/>
  <c r="AG160" i="29"/>
  <c r="N161" i="29"/>
  <c r="AB161" i="29"/>
  <c r="AC161" i="29"/>
  <c r="AF161" i="29"/>
  <c r="AG161" i="29"/>
  <c r="N162" i="29"/>
  <c r="AB162" i="29"/>
  <c r="AC162" i="29"/>
  <c r="AF162" i="29"/>
  <c r="AG162" i="29"/>
  <c r="N163" i="29"/>
  <c r="AB163" i="29"/>
  <c r="AC163" i="29"/>
  <c r="AF163" i="29"/>
  <c r="AG163" i="29"/>
  <c r="N164" i="29"/>
  <c r="AB164" i="29"/>
  <c r="AC164" i="29"/>
  <c r="AF164" i="29"/>
  <c r="AG164" i="29"/>
  <c r="N165" i="29"/>
  <c r="AB165" i="29"/>
  <c r="AC165" i="29"/>
  <c r="AF165" i="29"/>
  <c r="AG165" i="29"/>
  <c r="N166" i="29"/>
  <c r="AB166" i="29"/>
  <c r="AC166" i="29"/>
  <c r="AF166" i="29"/>
  <c r="AG166" i="29"/>
  <c r="N167" i="29"/>
  <c r="AB167" i="29"/>
  <c r="AC167" i="29"/>
  <c r="AF167" i="29"/>
  <c r="AG167" i="29"/>
  <c r="N168" i="29"/>
  <c r="AB168" i="29"/>
  <c r="AC168" i="29"/>
  <c r="AF168" i="29"/>
  <c r="AG168" i="29"/>
  <c r="N169" i="29"/>
  <c r="AB169" i="29"/>
  <c r="AC169" i="29"/>
  <c r="AF169" i="29"/>
  <c r="AG169" i="29"/>
  <c r="N170" i="29"/>
  <c r="AB170" i="29"/>
  <c r="AC170" i="29"/>
  <c r="AF170" i="29"/>
  <c r="AG170" i="29"/>
  <c r="N171" i="29"/>
  <c r="AB171" i="29"/>
  <c r="AC171" i="29"/>
  <c r="AF171" i="29"/>
  <c r="AG171" i="29"/>
  <c r="N172" i="29"/>
  <c r="AB172" i="29"/>
  <c r="AC172" i="29"/>
  <c r="AF172" i="29"/>
  <c r="AG172" i="29"/>
  <c r="N173" i="29"/>
  <c r="AB173" i="29"/>
  <c r="AC173" i="29"/>
  <c r="AF173" i="29"/>
  <c r="AG173" i="29"/>
  <c r="N5" i="7"/>
  <c r="T5" i="7"/>
  <c r="AJ5" i="7"/>
  <c r="AK5" i="7"/>
  <c r="AL5" i="7"/>
  <c r="AM5" i="7"/>
  <c r="N6" i="7"/>
  <c r="T6" i="7"/>
  <c r="AJ6" i="7"/>
  <c r="AK6" i="7"/>
  <c r="AL6" i="7"/>
  <c r="AM6" i="7"/>
  <c r="N7" i="7"/>
  <c r="T7" i="7"/>
  <c r="AJ7" i="7"/>
  <c r="AK7" i="7"/>
  <c r="AL7" i="7"/>
  <c r="AM7" i="7"/>
  <c r="N8" i="7"/>
  <c r="T8" i="7"/>
  <c r="AJ8" i="7"/>
  <c r="AK8" i="7"/>
  <c r="AL8" i="7"/>
  <c r="AM8" i="7"/>
  <c r="N9" i="7"/>
  <c r="T9" i="7"/>
  <c r="AJ9" i="7"/>
  <c r="AK9" i="7"/>
  <c r="AL9" i="7"/>
  <c r="AM9" i="7"/>
  <c r="N10" i="7"/>
  <c r="T10" i="7"/>
  <c r="AJ10" i="7"/>
  <c r="AK10" i="7"/>
  <c r="AL10" i="7"/>
  <c r="AM10" i="7"/>
  <c r="N11" i="7"/>
  <c r="T11" i="7"/>
  <c r="AJ11" i="7"/>
  <c r="AK11" i="7"/>
  <c r="AL11" i="7"/>
  <c r="AM11" i="7"/>
  <c r="N15" i="7"/>
  <c r="T15" i="7"/>
  <c r="AJ15" i="7"/>
  <c r="AK15" i="7"/>
  <c r="AL15" i="7"/>
  <c r="AM15" i="7"/>
  <c r="N16" i="7"/>
  <c r="T16" i="7"/>
  <c r="AJ16" i="7"/>
  <c r="AK16" i="7"/>
  <c r="AL16" i="7"/>
  <c r="AM16" i="7"/>
  <c r="N17" i="7"/>
  <c r="T17" i="7"/>
  <c r="AJ17" i="7"/>
  <c r="AK17" i="7"/>
  <c r="AL17" i="7"/>
  <c r="AM17" i="7"/>
  <c r="N18" i="7"/>
  <c r="T18" i="7"/>
  <c r="AJ18" i="7"/>
  <c r="AK18" i="7"/>
  <c r="AL18" i="7"/>
  <c r="AM18" i="7"/>
  <c r="N19" i="7"/>
  <c r="T19" i="7"/>
  <c r="AJ19" i="7"/>
  <c r="AK19" i="7"/>
  <c r="AL19" i="7"/>
  <c r="AM19" i="7"/>
  <c r="N20" i="7"/>
  <c r="T20" i="7"/>
  <c r="AJ20" i="7"/>
  <c r="AK20" i="7"/>
  <c r="AL20" i="7"/>
  <c r="AM20" i="7"/>
  <c r="N21" i="7"/>
  <c r="T21" i="7"/>
  <c r="AJ21" i="7"/>
  <c r="AK21" i="7"/>
  <c r="AL21" i="7"/>
  <c r="AM21" i="7"/>
  <c r="N22" i="7"/>
  <c r="T22" i="7"/>
  <c r="AJ22" i="7"/>
  <c r="AK22" i="7"/>
  <c r="AL22" i="7"/>
  <c r="AM22" i="7"/>
  <c r="N23" i="7"/>
  <c r="T23" i="7"/>
  <c r="AJ23" i="7"/>
  <c r="AK23" i="7"/>
  <c r="AL23" i="7"/>
  <c r="AM23" i="7"/>
  <c r="N24" i="7"/>
  <c r="T24" i="7"/>
  <c r="AJ24" i="7"/>
  <c r="AK24" i="7"/>
  <c r="AL24" i="7"/>
  <c r="AM24" i="7"/>
  <c r="N25" i="7"/>
  <c r="T25" i="7"/>
  <c r="AJ25" i="7"/>
  <c r="AK25" i="7"/>
  <c r="AL25" i="7"/>
  <c r="AM25" i="7"/>
  <c r="N26" i="7"/>
  <c r="T26" i="7"/>
  <c r="AJ26" i="7"/>
  <c r="AK26" i="7"/>
  <c r="AL26" i="7"/>
  <c r="AM26" i="7"/>
  <c r="N27" i="7"/>
  <c r="T27" i="7"/>
  <c r="AJ27" i="7"/>
  <c r="AK27" i="7"/>
  <c r="AL27" i="7"/>
  <c r="AM27" i="7"/>
  <c r="N28" i="7"/>
  <c r="T28" i="7"/>
  <c r="AJ28" i="7"/>
  <c r="AK28" i="7"/>
  <c r="AL28" i="7"/>
  <c r="AM28" i="7"/>
  <c r="N29" i="7"/>
  <c r="T29" i="7"/>
  <c r="AJ29" i="7"/>
  <c r="AK29" i="7"/>
  <c r="AL29" i="7"/>
  <c r="AM29" i="7"/>
  <c r="N30" i="7"/>
  <c r="T30" i="7"/>
  <c r="AJ30" i="7"/>
  <c r="AK30" i="7"/>
  <c r="AL30" i="7"/>
  <c r="AM30" i="7"/>
  <c r="N31" i="7"/>
  <c r="T31" i="7"/>
  <c r="AJ31" i="7"/>
  <c r="AK31" i="7"/>
  <c r="AL31" i="7"/>
  <c r="AM31" i="7"/>
  <c r="N32" i="7"/>
  <c r="T32" i="7"/>
  <c r="AJ32" i="7"/>
  <c r="AK32" i="7"/>
  <c r="AL32" i="7"/>
  <c r="AM32" i="7"/>
  <c r="N33" i="7"/>
  <c r="T33" i="7"/>
  <c r="AJ33" i="7"/>
  <c r="AK33" i="7"/>
  <c r="AL33" i="7"/>
  <c r="AM33" i="7"/>
  <c r="N34" i="7"/>
  <c r="T34" i="7"/>
  <c r="AJ34" i="7"/>
  <c r="AK34" i="7"/>
  <c r="AL34" i="7"/>
  <c r="AM34" i="7"/>
  <c r="N35" i="7"/>
  <c r="T35" i="7"/>
  <c r="AJ35" i="7"/>
  <c r="AK35" i="7"/>
  <c r="AL35" i="7"/>
  <c r="AM35" i="7"/>
  <c r="N36" i="7"/>
  <c r="T36" i="7"/>
  <c r="AJ36" i="7"/>
  <c r="AK36" i="7"/>
  <c r="AL36" i="7"/>
  <c r="AM36" i="7"/>
  <c r="N37" i="7"/>
  <c r="T37" i="7"/>
  <c r="AJ37" i="7"/>
  <c r="AK37" i="7"/>
  <c r="AL37" i="7"/>
  <c r="AM37" i="7"/>
  <c r="N38" i="7"/>
  <c r="T38" i="7"/>
  <c r="AJ38" i="7"/>
  <c r="AK38" i="7"/>
  <c r="AL38" i="7"/>
  <c r="AM38" i="7"/>
  <c r="N39" i="7"/>
  <c r="T39" i="7"/>
  <c r="AJ39" i="7"/>
  <c r="AK39" i="7"/>
  <c r="AL39" i="7"/>
  <c r="AM39" i="7"/>
  <c r="N40" i="7"/>
  <c r="T40" i="7"/>
  <c r="AJ40" i="7"/>
  <c r="AK40" i="7"/>
  <c r="AL40" i="7"/>
  <c r="AM40" i="7"/>
  <c r="N41" i="7"/>
  <c r="T41" i="7"/>
  <c r="AJ41" i="7"/>
  <c r="AK41" i="7"/>
  <c r="AL41" i="7"/>
  <c r="AM41" i="7"/>
  <c r="N42" i="7"/>
  <c r="T42" i="7"/>
  <c r="AJ42" i="7"/>
  <c r="AK42" i="7"/>
  <c r="AL42" i="7"/>
  <c r="AM42" i="7"/>
  <c r="N43" i="7"/>
  <c r="T43" i="7"/>
  <c r="AJ43" i="7"/>
  <c r="AK43" i="7"/>
  <c r="AL43" i="7"/>
  <c r="AM43" i="7"/>
  <c r="N44" i="7"/>
  <c r="T44" i="7"/>
  <c r="AJ44" i="7"/>
  <c r="AK44" i="7"/>
  <c r="AL44" i="7"/>
  <c r="AM44" i="7"/>
  <c r="N45" i="7"/>
  <c r="T45" i="7"/>
  <c r="AJ45" i="7"/>
  <c r="AK45" i="7"/>
  <c r="AL45" i="7"/>
  <c r="AM45" i="7"/>
  <c r="N46" i="7"/>
  <c r="T46" i="7"/>
  <c r="AJ46" i="7"/>
  <c r="AK46" i="7"/>
  <c r="AL46" i="7"/>
  <c r="AM46" i="7"/>
  <c r="N47" i="7"/>
  <c r="T47" i="7"/>
  <c r="AJ47" i="7"/>
  <c r="AK47" i="7"/>
  <c r="AL47" i="7"/>
  <c r="AM47" i="7"/>
  <c r="N48" i="7"/>
  <c r="T48" i="7"/>
  <c r="AJ48" i="7"/>
  <c r="AK48" i="7"/>
  <c r="AL48" i="7"/>
  <c r="AM48" i="7"/>
  <c r="N49" i="7"/>
  <c r="T49" i="7"/>
  <c r="AJ49" i="7"/>
  <c r="AK49" i="7"/>
  <c r="AL49" i="7"/>
  <c r="AM49" i="7"/>
  <c r="N50" i="7"/>
  <c r="T50" i="7"/>
  <c r="AJ50" i="7"/>
  <c r="AK50" i="7"/>
  <c r="AL50" i="7"/>
  <c r="AM50" i="7"/>
  <c r="N51" i="7"/>
  <c r="T51" i="7"/>
  <c r="AJ51" i="7"/>
  <c r="AK51" i="7"/>
  <c r="AL51" i="7"/>
  <c r="AM51" i="7"/>
  <c r="N52" i="7"/>
  <c r="T52" i="7"/>
  <c r="AJ52" i="7"/>
  <c r="AK52" i="7"/>
  <c r="AL52" i="7"/>
  <c r="AM52" i="7"/>
  <c r="N53" i="7"/>
  <c r="T53" i="7"/>
  <c r="AJ53" i="7"/>
  <c r="AK53" i="7"/>
  <c r="AL53" i="7"/>
  <c r="AM53" i="7"/>
  <c r="N54" i="7"/>
  <c r="T54" i="7"/>
  <c r="AJ54" i="7"/>
  <c r="AK54" i="7"/>
  <c r="AL54" i="7"/>
  <c r="AM54" i="7"/>
  <c r="N55" i="7"/>
  <c r="T55" i="7"/>
  <c r="AJ55" i="7"/>
  <c r="AK55" i="7"/>
  <c r="AL55" i="7"/>
  <c r="AM55" i="7"/>
  <c r="N56" i="7"/>
  <c r="T56" i="7"/>
  <c r="AJ56" i="7"/>
  <c r="AK56" i="7"/>
  <c r="AL56" i="7"/>
  <c r="AM56" i="7"/>
  <c r="N57" i="7"/>
  <c r="T57" i="7"/>
  <c r="AJ57" i="7"/>
  <c r="AK57" i="7"/>
  <c r="AL57" i="7"/>
  <c r="AM57" i="7"/>
  <c r="N58" i="7"/>
  <c r="T58" i="7"/>
  <c r="AJ58" i="7"/>
  <c r="AK58" i="7"/>
  <c r="AL58" i="7"/>
  <c r="AM58" i="7"/>
  <c r="N59" i="7"/>
  <c r="T59" i="7"/>
  <c r="AJ59" i="7"/>
  <c r="AK59" i="7"/>
  <c r="AL59" i="7"/>
  <c r="AM59" i="7"/>
  <c r="N60" i="7"/>
  <c r="T60" i="7"/>
  <c r="AJ60" i="7"/>
  <c r="AK60" i="7"/>
  <c r="AL60" i="7"/>
  <c r="AM60" i="7"/>
  <c r="N61" i="7"/>
  <c r="T61" i="7"/>
  <c r="AJ61" i="7"/>
  <c r="AK61" i="7"/>
  <c r="AL61" i="7"/>
  <c r="AM61" i="7"/>
  <c r="N62" i="7"/>
  <c r="T62" i="7"/>
  <c r="AJ62" i="7"/>
  <c r="AK62" i="7"/>
  <c r="AL62" i="7"/>
  <c r="AM62" i="7"/>
  <c r="N63" i="7"/>
  <c r="T63" i="7"/>
  <c r="AJ63" i="7"/>
  <c r="AK63" i="7"/>
  <c r="AL63" i="7"/>
  <c r="AM63" i="7"/>
  <c r="N64" i="7"/>
  <c r="T64" i="7"/>
  <c r="AJ64" i="7"/>
  <c r="AK64" i="7"/>
  <c r="AL64" i="7"/>
  <c r="AM64" i="7"/>
  <c r="N65" i="7"/>
  <c r="T65" i="7"/>
  <c r="AJ65" i="7"/>
  <c r="AK65" i="7"/>
  <c r="AL65" i="7"/>
  <c r="AM65" i="7"/>
  <c r="N66" i="7"/>
  <c r="T66" i="7"/>
  <c r="AJ66" i="7"/>
  <c r="AK66" i="7"/>
  <c r="AL66" i="7"/>
  <c r="AM66" i="7"/>
  <c r="N67" i="7"/>
  <c r="T67" i="7"/>
  <c r="AJ67" i="7"/>
  <c r="AK67" i="7"/>
  <c r="AL67" i="7"/>
  <c r="AM67" i="7"/>
  <c r="N68" i="7"/>
  <c r="T68" i="7"/>
  <c r="AJ68" i="7"/>
  <c r="AK68" i="7"/>
  <c r="AL68" i="7"/>
  <c r="AM68" i="7"/>
  <c r="N69" i="7"/>
  <c r="T69" i="7"/>
  <c r="AJ69" i="7"/>
  <c r="AK69" i="7"/>
  <c r="AL69" i="7"/>
  <c r="AM69" i="7"/>
  <c r="N70" i="7"/>
  <c r="T70" i="7"/>
  <c r="AJ70" i="7"/>
  <c r="AK70" i="7"/>
  <c r="AL70" i="7"/>
  <c r="AM70" i="7"/>
  <c r="N71" i="7"/>
  <c r="T71" i="7"/>
  <c r="AJ71" i="7"/>
  <c r="AK71" i="7"/>
  <c r="AL71" i="7"/>
  <c r="AM71" i="7"/>
  <c r="N72" i="7"/>
  <c r="T72" i="7"/>
  <c r="AJ72" i="7"/>
  <c r="AK72" i="7"/>
  <c r="AL72" i="7"/>
  <c r="AM72" i="7"/>
  <c r="N73" i="7"/>
  <c r="T73" i="7"/>
  <c r="AJ73" i="7"/>
  <c r="AK73" i="7"/>
  <c r="AL73" i="7"/>
  <c r="AM73" i="7"/>
  <c r="N74" i="7"/>
  <c r="T74" i="7"/>
  <c r="AJ74" i="7"/>
  <c r="AK74" i="7"/>
  <c r="AL74" i="7"/>
  <c r="AM74" i="7"/>
  <c r="N75" i="7"/>
  <c r="T75" i="7"/>
  <c r="AJ75" i="7"/>
  <c r="AK75" i="7"/>
  <c r="AL75" i="7"/>
  <c r="AM75" i="7"/>
  <c r="N76" i="7"/>
  <c r="T76" i="7"/>
  <c r="AJ76" i="7"/>
  <c r="AK76" i="7"/>
  <c r="AL76" i="7"/>
  <c r="AM76" i="7"/>
  <c r="N77" i="7"/>
  <c r="T77" i="7"/>
  <c r="AJ77" i="7"/>
  <c r="AK77" i="7"/>
  <c r="AL77" i="7"/>
  <c r="AM77" i="7"/>
  <c r="N78" i="7"/>
  <c r="T78" i="7"/>
  <c r="AJ78" i="7"/>
  <c r="AK78" i="7"/>
  <c r="AL78" i="7"/>
  <c r="AM78" i="7"/>
  <c r="N79" i="7"/>
  <c r="T79" i="7"/>
  <c r="AJ79" i="7"/>
  <c r="AK79" i="7"/>
  <c r="AL79" i="7"/>
  <c r="AM79" i="7"/>
  <c r="N80" i="7"/>
  <c r="T80" i="7"/>
  <c r="AJ80" i="7"/>
  <c r="AK80" i="7"/>
  <c r="AL80" i="7"/>
  <c r="AM80" i="7"/>
  <c r="N81" i="7"/>
  <c r="T81" i="7"/>
  <c r="AJ81" i="7"/>
  <c r="AK81" i="7"/>
  <c r="AL81" i="7"/>
  <c r="AM81" i="7"/>
  <c r="N82" i="7"/>
  <c r="T82" i="7"/>
  <c r="AJ82" i="7"/>
  <c r="AK82" i="7"/>
  <c r="AL82" i="7"/>
  <c r="AM82" i="7"/>
  <c r="N83" i="7"/>
  <c r="T83" i="7"/>
  <c r="AJ83" i="7"/>
  <c r="AK83" i="7"/>
  <c r="AL83" i="7"/>
  <c r="AM83" i="7"/>
  <c r="N84" i="7"/>
  <c r="T84" i="7"/>
  <c r="AJ84" i="7"/>
  <c r="AK84" i="7"/>
  <c r="AL84" i="7"/>
  <c r="AM84" i="7"/>
  <c r="N85" i="7"/>
  <c r="T85" i="7"/>
  <c r="AJ85" i="7"/>
  <c r="AK85" i="7"/>
  <c r="AL85" i="7"/>
  <c r="AM85" i="7"/>
  <c r="N86" i="7"/>
  <c r="T86" i="7"/>
  <c r="AJ86" i="7"/>
  <c r="AK86" i="7"/>
  <c r="AL86" i="7"/>
  <c r="AM86" i="7"/>
  <c r="N88" i="7"/>
  <c r="T88" i="7"/>
  <c r="AJ88" i="7"/>
  <c r="AK88" i="7"/>
  <c r="AL88" i="7"/>
  <c r="AM88" i="7"/>
  <c r="N93" i="7"/>
  <c r="AE93" i="7"/>
  <c r="AF93" i="7"/>
  <c r="AJ93" i="7"/>
  <c r="AK93" i="7"/>
  <c r="N5" i="8"/>
  <c r="T5" i="8"/>
  <c r="AE5" i="8"/>
  <c r="AF5" i="8"/>
  <c r="AG5" i="8"/>
  <c r="AJ5" i="8"/>
  <c r="AK5" i="8"/>
  <c r="AL5" i="8"/>
  <c r="AM5" i="8"/>
  <c r="AO5" i="8"/>
  <c r="AP5" i="8"/>
  <c r="N6" i="8"/>
  <c r="T6" i="8"/>
  <c r="AE6" i="8"/>
  <c r="AF6" i="8"/>
  <c r="AG6" i="8"/>
  <c r="AJ6" i="8"/>
  <c r="AK6" i="8"/>
  <c r="AL6" i="8"/>
  <c r="AM6" i="8"/>
  <c r="AO6" i="8"/>
  <c r="AP6" i="8"/>
  <c r="N7" i="8"/>
  <c r="T7" i="8"/>
  <c r="AE7" i="8"/>
  <c r="AF7" i="8"/>
  <c r="AG7" i="8"/>
  <c r="AJ7" i="8"/>
  <c r="AK7" i="8"/>
  <c r="AL7" i="8"/>
  <c r="AM7" i="8"/>
  <c r="AO7" i="8"/>
  <c r="AP7" i="8"/>
  <c r="N8" i="8"/>
  <c r="T8" i="8"/>
  <c r="AE8" i="8"/>
  <c r="AF8" i="8"/>
  <c r="AG8" i="8"/>
  <c r="AJ8" i="8"/>
  <c r="AK8" i="8"/>
  <c r="AL8" i="8"/>
  <c r="AM8" i="8"/>
  <c r="AO8" i="8"/>
  <c r="AP8" i="8"/>
  <c r="N9" i="8"/>
  <c r="T9" i="8"/>
  <c r="AF9" i="8"/>
  <c r="AG9" i="8"/>
  <c r="AJ9" i="8"/>
  <c r="AK9" i="8"/>
  <c r="AL9" i="8"/>
  <c r="AM9" i="8"/>
  <c r="AP9" i="8"/>
  <c r="N10" i="8"/>
  <c r="T10" i="8"/>
  <c r="AF10" i="8"/>
  <c r="AG10" i="8"/>
  <c r="AJ10" i="8"/>
  <c r="AK10" i="8"/>
  <c r="AL10" i="8"/>
  <c r="AM10" i="8"/>
  <c r="AP10" i="8"/>
  <c r="N11" i="8"/>
  <c r="T11" i="8"/>
  <c r="AF11" i="8"/>
  <c r="AG11" i="8"/>
  <c r="AJ11" i="8"/>
  <c r="AK11" i="8"/>
  <c r="AL11" i="8"/>
  <c r="AM11" i="8"/>
  <c r="AP11" i="8"/>
  <c r="N12" i="8"/>
  <c r="T12" i="8"/>
  <c r="AE12" i="8"/>
  <c r="AF12" i="8"/>
  <c r="AG12" i="8"/>
  <c r="AJ12" i="8"/>
  <c r="AK12" i="8"/>
  <c r="AL12" i="8"/>
  <c r="AM12" i="8"/>
  <c r="N13" i="8"/>
  <c r="T13" i="8"/>
  <c r="AE13" i="8"/>
  <c r="AF13" i="8"/>
  <c r="AG13" i="8"/>
  <c r="AJ13" i="8"/>
  <c r="AK13" i="8"/>
  <c r="AL13" i="8"/>
  <c r="AM13" i="8"/>
  <c r="N14" i="8"/>
  <c r="T14" i="8"/>
  <c r="AE14" i="8"/>
  <c r="AF14" i="8"/>
  <c r="AG14" i="8"/>
  <c r="AJ14" i="8"/>
  <c r="AK14" i="8"/>
  <c r="AL14" i="8"/>
  <c r="AM14" i="8"/>
  <c r="N15" i="8"/>
  <c r="T15" i="8"/>
  <c r="AE15" i="8"/>
  <c r="AF15" i="8"/>
  <c r="AG15" i="8"/>
  <c r="AJ15" i="8"/>
  <c r="AK15" i="8"/>
  <c r="AL15" i="8"/>
  <c r="AM15" i="8"/>
  <c r="AO15" i="8"/>
  <c r="AP15" i="8"/>
  <c r="N16" i="8"/>
  <c r="T16" i="8"/>
  <c r="AE16" i="8"/>
  <c r="AF16" i="8"/>
  <c r="AG16" i="8"/>
  <c r="AJ16" i="8"/>
  <c r="AK16" i="8"/>
  <c r="AL16" i="8"/>
  <c r="AM16" i="8"/>
  <c r="AO16" i="8"/>
  <c r="AP16" i="8"/>
  <c r="N17" i="8"/>
  <c r="T17" i="8"/>
  <c r="AE17" i="8"/>
  <c r="AF17" i="8"/>
  <c r="AG17" i="8"/>
  <c r="AJ17" i="8"/>
  <c r="AK17" i="8"/>
  <c r="AL17" i="8"/>
  <c r="AM17" i="8"/>
  <c r="AO17" i="8"/>
  <c r="AP17" i="8"/>
  <c r="N18" i="8"/>
  <c r="T18" i="8"/>
  <c r="AE18" i="8"/>
  <c r="AF18" i="8"/>
  <c r="AG18" i="8"/>
  <c r="AJ18" i="8"/>
  <c r="AK18" i="8"/>
  <c r="AL18" i="8"/>
  <c r="AM18" i="8"/>
  <c r="AO18" i="8"/>
  <c r="AP18" i="8"/>
  <c r="N19" i="8"/>
  <c r="T19" i="8"/>
  <c r="AE19" i="8"/>
  <c r="AF19" i="8"/>
  <c r="AG19" i="8"/>
  <c r="AJ19" i="8"/>
  <c r="AK19" i="8"/>
  <c r="AL19" i="8"/>
  <c r="AM19" i="8"/>
  <c r="AO19" i="8"/>
  <c r="AP19" i="8"/>
  <c r="N20" i="8"/>
  <c r="T20" i="8"/>
  <c r="AE20" i="8"/>
  <c r="AF20" i="8"/>
  <c r="AG20" i="8"/>
  <c r="AJ20" i="8"/>
  <c r="AK20" i="8"/>
  <c r="AL20" i="8"/>
  <c r="AM20" i="8"/>
  <c r="AO20" i="8"/>
  <c r="AP20" i="8"/>
  <c r="N21" i="8"/>
  <c r="T21" i="8"/>
  <c r="AE21" i="8"/>
  <c r="AF21" i="8"/>
  <c r="AG21" i="8"/>
  <c r="AJ21" i="8"/>
  <c r="AK21" i="8"/>
  <c r="AL21" i="8"/>
  <c r="AM21" i="8"/>
  <c r="AO21" i="8"/>
  <c r="AP21" i="8"/>
  <c r="N22" i="8"/>
  <c r="T22" i="8"/>
  <c r="AE22" i="8"/>
  <c r="AF22" i="8"/>
  <c r="AG22" i="8"/>
  <c r="AJ22" i="8"/>
  <c r="AK22" i="8"/>
  <c r="AL22" i="8"/>
  <c r="AM22" i="8"/>
  <c r="AO22" i="8"/>
  <c r="AP22" i="8"/>
  <c r="N23" i="8"/>
  <c r="T23" i="8"/>
  <c r="AE23" i="8"/>
  <c r="AF23" i="8"/>
  <c r="AG23" i="8"/>
  <c r="AJ23" i="8"/>
  <c r="AK23" i="8"/>
  <c r="AL23" i="8"/>
  <c r="AM23" i="8"/>
  <c r="AO23" i="8"/>
  <c r="AP23" i="8"/>
  <c r="N24" i="8"/>
  <c r="T24" i="8"/>
  <c r="AE24" i="8"/>
  <c r="AF24" i="8"/>
  <c r="AG24" i="8"/>
  <c r="AJ24" i="8"/>
  <c r="AK24" i="8"/>
  <c r="AL24" i="8"/>
  <c r="AM24" i="8"/>
  <c r="AO24" i="8"/>
  <c r="AP24" i="8"/>
  <c r="N25" i="8"/>
  <c r="T25" i="8"/>
  <c r="AE25" i="8"/>
  <c r="AF25" i="8"/>
  <c r="AG25" i="8"/>
  <c r="AJ25" i="8"/>
  <c r="AK25" i="8"/>
  <c r="AL25" i="8"/>
  <c r="AM25" i="8"/>
  <c r="AO25" i="8"/>
  <c r="AP25" i="8"/>
  <c r="N26" i="8"/>
  <c r="T26" i="8"/>
  <c r="AE26" i="8"/>
  <c r="AF26" i="8"/>
  <c r="AG26" i="8"/>
  <c r="AJ26" i="8"/>
  <c r="AK26" i="8"/>
  <c r="AL26" i="8"/>
  <c r="AM26" i="8"/>
  <c r="AO26" i="8"/>
  <c r="AP26" i="8"/>
  <c r="N27" i="8"/>
  <c r="T27" i="8"/>
  <c r="AE27" i="8"/>
  <c r="AF27" i="8"/>
  <c r="AG27" i="8"/>
  <c r="AJ27" i="8"/>
  <c r="AK27" i="8"/>
  <c r="AL27" i="8"/>
  <c r="AM27" i="8"/>
  <c r="AO27" i="8"/>
  <c r="AP27" i="8"/>
  <c r="N28" i="8"/>
  <c r="T28" i="8"/>
  <c r="AE28" i="8"/>
  <c r="AF28" i="8"/>
  <c r="AG28" i="8"/>
  <c r="AJ28" i="8"/>
  <c r="AK28" i="8"/>
  <c r="AL28" i="8"/>
  <c r="AM28" i="8"/>
  <c r="AO28" i="8"/>
  <c r="AP28" i="8"/>
  <c r="N29" i="8"/>
  <c r="T29" i="8"/>
  <c r="AE29" i="8"/>
  <c r="AF29" i="8"/>
  <c r="AG29" i="8"/>
  <c r="AJ29" i="8"/>
  <c r="AK29" i="8"/>
  <c r="AL29" i="8"/>
  <c r="AM29" i="8"/>
  <c r="AO29" i="8"/>
  <c r="AP29" i="8"/>
  <c r="N30" i="8"/>
  <c r="T30" i="8"/>
  <c r="AE30" i="8"/>
  <c r="AF30" i="8"/>
  <c r="AG30" i="8"/>
  <c r="AJ30" i="8"/>
  <c r="AK30" i="8"/>
  <c r="AL30" i="8"/>
  <c r="AM30" i="8"/>
  <c r="AO30" i="8"/>
  <c r="AP30" i="8"/>
  <c r="N31" i="8"/>
  <c r="T31" i="8"/>
  <c r="AE31" i="8"/>
  <c r="AF31" i="8"/>
  <c r="AG31" i="8"/>
  <c r="AJ31" i="8"/>
  <c r="AK31" i="8"/>
  <c r="AL31" i="8"/>
  <c r="AM31" i="8"/>
  <c r="AO31" i="8"/>
  <c r="AP31" i="8"/>
  <c r="N32" i="8"/>
  <c r="T32" i="8"/>
  <c r="AE32" i="8"/>
  <c r="AF32" i="8"/>
  <c r="AG32" i="8"/>
  <c r="AJ32" i="8"/>
  <c r="AK32" i="8"/>
  <c r="AL32" i="8"/>
  <c r="AM32" i="8"/>
  <c r="AO32" i="8"/>
  <c r="AP32" i="8"/>
  <c r="N33" i="8"/>
  <c r="T33" i="8"/>
  <c r="AE33" i="8"/>
  <c r="AF33" i="8"/>
  <c r="AG33" i="8"/>
  <c r="AJ33" i="8"/>
  <c r="AK33" i="8"/>
  <c r="AL33" i="8"/>
  <c r="AM33" i="8"/>
  <c r="AO33" i="8"/>
  <c r="AP33" i="8"/>
  <c r="N34" i="8"/>
  <c r="T34" i="8"/>
  <c r="AE34" i="8"/>
  <c r="AF34" i="8"/>
  <c r="AG34" i="8"/>
  <c r="AJ34" i="8"/>
  <c r="AK34" i="8"/>
  <c r="AL34" i="8"/>
  <c r="AM34" i="8"/>
  <c r="AO34" i="8"/>
  <c r="AP34" i="8"/>
  <c r="N35" i="8"/>
  <c r="T35" i="8"/>
  <c r="AE35" i="8"/>
  <c r="AF35" i="8"/>
  <c r="AG35" i="8"/>
  <c r="AJ35" i="8"/>
  <c r="AK35" i="8"/>
  <c r="AL35" i="8"/>
  <c r="AM35" i="8"/>
  <c r="AO35" i="8"/>
  <c r="AP35" i="8"/>
  <c r="N36" i="8"/>
  <c r="T36" i="8"/>
  <c r="AE36" i="8"/>
  <c r="AF36" i="8"/>
  <c r="AG36" i="8"/>
  <c r="AJ36" i="8"/>
  <c r="AK36" i="8"/>
  <c r="AL36" i="8"/>
  <c r="AM36" i="8"/>
  <c r="AO36" i="8"/>
  <c r="AP36" i="8"/>
  <c r="N37" i="8"/>
  <c r="T37" i="8"/>
  <c r="AE37" i="8"/>
  <c r="AF37" i="8"/>
  <c r="AG37" i="8"/>
  <c r="AJ37" i="8"/>
  <c r="AK37" i="8"/>
  <c r="AL37" i="8"/>
  <c r="AM37" i="8"/>
  <c r="AO37" i="8"/>
  <c r="AP37" i="8"/>
  <c r="N38" i="8"/>
  <c r="T38" i="8"/>
  <c r="AE38" i="8"/>
  <c r="AF38" i="8"/>
  <c r="AG38" i="8"/>
  <c r="AJ38" i="8"/>
  <c r="AK38" i="8"/>
  <c r="AL38" i="8"/>
  <c r="AM38" i="8"/>
  <c r="AO38" i="8"/>
  <c r="AP38" i="8"/>
  <c r="N39" i="8"/>
  <c r="T39" i="8"/>
  <c r="AE39" i="8"/>
  <c r="AF39" i="8"/>
  <c r="AG39" i="8"/>
  <c r="AJ39" i="8"/>
  <c r="AK39" i="8"/>
  <c r="AL39" i="8"/>
  <c r="AM39" i="8"/>
  <c r="AO39" i="8"/>
  <c r="AP39" i="8"/>
  <c r="N40" i="8"/>
  <c r="T40" i="8"/>
  <c r="AE40" i="8"/>
  <c r="AF40" i="8"/>
  <c r="AG40" i="8"/>
  <c r="AJ40" i="8"/>
  <c r="AK40" i="8"/>
  <c r="AL40" i="8"/>
  <c r="AM40" i="8"/>
  <c r="AO40" i="8"/>
  <c r="AP40" i="8"/>
  <c r="N41" i="8"/>
  <c r="T41" i="8"/>
  <c r="AE41" i="8"/>
  <c r="AF41" i="8"/>
  <c r="AG41" i="8"/>
  <c r="AJ41" i="8"/>
  <c r="AK41" i="8"/>
  <c r="AL41" i="8"/>
  <c r="AM41" i="8"/>
  <c r="AO41" i="8"/>
  <c r="AP41" i="8"/>
  <c r="N42" i="8"/>
  <c r="T42" i="8"/>
  <c r="AE42" i="8"/>
  <c r="AF42" i="8"/>
  <c r="AG42" i="8"/>
  <c r="AJ42" i="8"/>
  <c r="AK42" i="8"/>
  <c r="AL42" i="8"/>
  <c r="AM42" i="8"/>
  <c r="AO42" i="8"/>
  <c r="AP42" i="8"/>
  <c r="N43" i="8"/>
  <c r="T43" i="8"/>
  <c r="AE43" i="8"/>
  <c r="AF43" i="8"/>
  <c r="AG43" i="8"/>
  <c r="AJ43" i="8"/>
  <c r="AK43" i="8"/>
  <c r="AL43" i="8"/>
  <c r="AM43" i="8"/>
  <c r="AO43" i="8"/>
  <c r="AP43" i="8"/>
  <c r="N44" i="8"/>
  <c r="T44" i="8"/>
  <c r="AE44" i="8"/>
  <c r="AF44" i="8"/>
  <c r="AG44" i="8"/>
  <c r="AJ44" i="8"/>
  <c r="AK44" i="8"/>
  <c r="AL44" i="8"/>
  <c r="AM44" i="8"/>
  <c r="AO44" i="8"/>
  <c r="AP44" i="8"/>
  <c r="N45" i="8"/>
  <c r="T45" i="8"/>
  <c r="AE45" i="8"/>
  <c r="AF45" i="8"/>
  <c r="AG45" i="8"/>
  <c r="AJ45" i="8"/>
  <c r="AK45" i="8"/>
  <c r="AL45" i="8"/>
  <c r="AM45" i="8"/>
  <c r="AO45" i="8"/>
  <c r="AP45" i="8"/>
  <c r="N46" i="8"/>
  <c r="T46" i="8"/>
  <c r="AE46" i="8"/>
  <c r="AF46" i="8"/>
  <c r="AG46" i="8"/>
  <c r="AJ46" i="8"/>
  <c r="AK46" i="8"/>
  <c r="AL46" i="8"/>
  <c r="AM46" i="8"/>
  <c r="AO46" i="8"/>
  <c r="AP46" i="8"/>
  <c r="N47" i="8"/>
  <c r="T47" i="8"/>
  <c r="AE47" i="8"/>
  <c r="AF47" i="8"/>
  <c r="AG47" i="8"/>
  <c r="AJ47" i="8"/>
  <c r="AK47" i="8"/>
  <c r="AL47" i="8"/>
  <c r="AM47" i="8"/>
  <c r="AO47" i="8"/>
  <c r="AP47" i="8"/>
  <c r="N48" i="8"/>
  <c r="T48" i="8"/>
  <c r="AE48" i="8"/>
  <c r="AF48" i="8"/>
  <c r="AG48" i="8"/>
  <c r="AJ48" i="8"/>
  <c r="AK48" i="8"/>
  <c r="AL48" i="8"/>
  <c r="AM48" i="8"/>
  <c r="AO48" i="8"/>
  <c r="AP48" i="8"/>
  <c r="N49" i="8"/>
  <c r="T49" i="8"/>
  <c r="AE49" i="8"/>
  <c r="AF49" i="8"/>
  <c r="AG49" i="8"/>
  <c r="AJ49" i="8"/>
  <c r="AK49" i="8"/>
  <c r="AL49" i="8"/>
  <c r="AM49" i="8"/>
  <c r="AO49" i="8"/>
  <c r="AP49" i="8"/>
  <c r="N50" i="8"/>
  <c r="T50" i="8"/>
  <c r="AE50" i="8"/>
  <c r="AF50" i="8"/>
  <c r="AG50" i="8"/>
  <c r="AJ50" i="8"/>
  <c r="AK50" i="8"/>
  <c r="AL50" i="8"/>
  <c r="AM50" i="8"/>
  <c r="AO50" i="8"/>
  <c r="AP50" i="8"/>
  <c r="N51" i="8"/>
  <c r="T51" i="8"/>
  <c r="AE51" i="8"/>
  <c r="AF51" i="8"/>
  <c r="AG51" i="8"/>
  <c r="AJ51" i="8"/>
  <c r="AK51" i="8"/>
  <c r="AL51" i="8"/>
  <c r="AM51" i="8"/>
  <c r="AO51" i="8"/>
  <c r="AP51" i="8"/>
  <c r="N52" i="8"/>
  <c r="T52" i="8"/>
  <c r="AE52" i="8"/>
  <c r="AF52" i="8"/>
  <c r="AG52" i="8"/>
  <c r="AJ52" i="8"/>
  <c r="AK52" i="8"/>
  <c r="AL52" i="8"/>
  <c r="AM52" i="8"/>
  <c r="AO52" i="8"/>
  <c r="AP52" i="8"/>
  <c r="N53" i="8"/>
  <c r="T53" i="8"/>
  <c r="AE53" i="8"/>
  <c r="AF53" i="8"/>
  <c r="AG53" i="8"/>
  <c r="AJ53" i="8"/>
  <c r="AK53" i="8"/>
  <c r="AL53" i="8"/>
  <c r="AM53" i="8"/>
  <c r="AO53" i="8"/>
  <c r="AP53" i="8"/>
  <c r="N54" i="8"/>
  <c r="T54" i="8"/>
  <c r="AE54" i="8"/>
  <c r="AF54" i="8"/>
  <c r="AG54" i="8"/>
  <c r="AJ54" i="8"/>
  <c r="AK54" i="8"/>
  <c r="AL54" i="8"/>
  <c r="AM54" i="8"/>
  <c r="AO54" i="8"/>
  <c r="AP54" i="8"/>
  <c r="N55" i="8"/>
  <c r="T55" i="8"/>
  <c r="AE55" i="8"/>
  <c r="AF55" i="8"/>
  <c r="AG55" i="8"/>
  <c r="AJ55" i="8"/>
  <c r="AK55" i="8"/>
  <c r="AL55" i="8"/>
  <c r="AM55" i="8"/>
  <c r="AO55" i="8"/>
  <c r="AP55" i="8"/>
  <c r="N56" i="8"/>
  <c r="T56" i="8"/>
  <c r="AE56" i="8"/>
  <c r="AF56" i="8"/>
  <c r="AG56" i="8"/>
  <c r="AJ56" i="8"/>
  <c r="AK56" i="8"/>
  <c r="AL56" i="8"/>
  <c r="AM56" i="8"/>
  <c r="AO56" i="8"/>
  <c r="AP56" i="8"/>
  <c r="N57" i="8"/>
  <c r="T57" i="8"/>
  <c r="AE57" i="8"/>
  <c r="AF57" i="8"/>
  <c r="AG57" i="8"/>
  <c r="AJ57" i="8"/>
  <c r="AK57" i="8"/>
  <c r="AL57" i="8"/>
  <c r="AM57" i="8"/>
  <c r="AO57" i="8"/>
  <c r="AP57" i="8"/>
  <c r="N58" i="8"/>
  <c r="T58" i="8"/>
  <c r="AE58" i="8"/>
  <c r="AF58" i="8"/>
  <c r="AG58" i="8"/>
  <c r="AJ58" i="8"/>
  <c r="AK58" i="8"/>
  <c r="AL58" i="8"/>
  <c r="AM58" i="8"/>
  <c r="AO58" i="8"/>
  <c r="AP58" i="8"/>
  <c r="N59" i="8"/>
  <c r="T59" i="8"/>
  <c r="AE59" i="8"/>
  <c r="AF59" i="8"/>
  <c r="AG59" i="8"/>
  <c r="AJ59" i="8"/>
  <c r="AK59" i="8"/>
  <c r="AL59" i="8"/>
  <c r="AM59" i="8"/>
  <c r="AO59" i="8"/>
  <c r="AP59" i="8"/>
  <c r="N60" i="8"/>
  <c r="T60" i="8"/>
  <c r="AE60" i="8"/>
  <c r="AF60" i="8"/>
  <c r="AG60" i="8"/>
  <c r="AJ60" i="8"/>
  <c r="AK60" i="8"/>
  <c r="AL60" i="8"/>
  <c r="AM60" i="8"/>
  <c r="AO60" i="8"/>
  <c r="AP60" i="8"/>
  <c r="N61" i="8"/>
  <c r="T61" i="8"/>
  <c r="AE61" i="8"/>
  <c r="AF61" i="8"/>
  <c r="AG61" i="8"/>
  <c r="AJ61" i="8"/>
  <c r="AK61" i="8"/>
  <c r="AL61" i="8"/>
  <c r="AM61" i="8"/>
  <c r="AO61" i="8"/>
  <c r="AP61" i="8"/>
  <c r="N62" i="8"/>
  <c r="T62" i="8"/>
  <c r="AE62" i="8"/>
  <c r="AF62" i="8"/>
  <c r="AG62" i="8"/>
  <c r="AJ62" i="8"/>
  <c r="AK62" i="8"/>
  <c r="AL62" i="8"/>
  <c r="AM62" i="8"/>
  <c r="AO62" i="8"/>
  <c r="AP62" i="8"/>
  <c r="N63" i="8"/>
  <c r="T63" i="8"/>
  <c r="AE63" i="8"/>
  <c r="AF63" i="8"/>
  <c r="AG63" i="8"/>
  <c r="AJ63" i="8"/>
  <c r="AK63" i="8"/>
  <c r="AL63" i="8"/>
  <c r="AM63" i="8"/>
  <c r="AO63" i="8"/>
  <c r="AP63" i="8"/>
  <c r="N64" i="8"/>
  <c r="T64" i="8"/>
  <c r="AE64" i="8"/>
  <c r="AF64" i="8"/>
  <c r="AG64" i="8"/>
  <c r="AJ64" i="8"/>
  <c r="AK64" i="8"/>
  <c r="AL64" i="8"/>
  <c r="AM64" i="8"/>
  <c r="AO64" i="8"/>
  <c r="AP64" i="8"/>
  <c r="N65" i="8"/>
  <c r="T65" i="8"/>
  <c r="AE65" i="8"/>
  <c r="AF65" i="8"/>
  <c r="AG65" i="8"/>
  <c r="AJ65" i="8"/>
  <c r="AK65" i="8"/>
  <c r="AL65" i="8"/>
  <c r="AM65" i="8"/>
  <c r="AO65" i="8"/>
  <c r="AP65" i="8"/>
  <c r="N66" i="8"/>
  <c r="T66" i="8"/>
  <c r="AE66" i="8"/>
  <c r="AF66" i="8"/>
  <c r="AG66" i="8"/>
  <c r="AJ66" i="8"/>
  <c r="AK66" i="8"/>
  <c r="AL66" i="8"/>
  <c r="AM66" i="8"/>
  <c r="AO66" i="8"/>
  <c r="AP66" i="8"/>
  <c r="N67" i="8"/>
  <c r="T67" i="8"/>
  <c r="AE67" i="8"/>
  <c r="AF67" i="8"/>
  <c r="AG67" i="8"/>
  <c r="AJ67" i="8"/>
  <c r="AK67" i="8"/>
  <c r="AL67" i="8"/>
  <c r="AM67" i="8"/>
  <c r="AO67" i="8"/>
  <c r="AP67" i="8"/>
  <c r="N68" i="8"/>
  <c r="T68" i="8"/>
  <c r="AE68" i="8"/>
  <c r="AF68" i="8"/>
  <c r="AG68" i="8"/>
  <c r="AJ68" i="8"/>
  <c r="AK68" i="8"/>
  <c r="AL68" i="8"/>
  <c r="AM68" i="8"/>
  <c r="AO68" i="8"/>
  <c r="AP68" i="8"/>
  <c r="N69" i="8"/>
  <c r="T69" i="8"/>
  <c r="AE69" i="8"/>
  <c r="AF69" i="8"/>
  <c r="AG69" i="8"/>
  <c r="AJ69" i="8"/>
  <c r="AK69" i="8"/>
  <c r="AL69" i="8"/>
  <c r="AM69" i="8"/>
  <c r="AO69" i="8"/>
  <c r="AP69" i="8"/>
  <c r="N70" i="8"/>
  <c r="T70" i="8"/>
  <c r="AE70" i="8"/>
  <c r="AF70" i="8"/>
  <c r="AG70" i="8"/>
  <c r="AJ70" i="8"/>
  <c r="AK70" i="8"/>
  <c r="AL70" i="8"/>
  <c r="AM70" i="8"/>
  <c r="AO70" i="8"/>
  <c r="AP70" i="8"/>
  <c r="N71" i="8"/>
  <c r="T71" i="8"/>
  <c r="AE71" i="8"/>
  <c r="AF71" i="8"/>
  <c r="AG71" i="8"/>
  <c r="AJ71" i="8"/>
  <c r="AK71" i="8"/>
  <c r="AL71" i="8"/>
  <c r="AM71" i="8"/>
  <c r="AO71" i="8"/>
  <c r="AP71" i="8"/>
  <c r="N72" i="8"/>
  <c r="T72" i="8"/>
  <c r="AE72" i="8"/>
  <c r="AF72" i="8"/>
  <c r="AG72" i="8"/>
  <c r="AJ72" i="8"/>
  <c r="AK72" i="8"/>
  <c r="AL72" i="8"/>
  <c r="AM72" i="8"/>
  <c r="AO72" i="8"/>
  <c r="AP72" i="8"/>
  <c r="N73" i="8"/>
  <c r="T73" i="8"/>
  <c r="AE73" i="8"/>
  <c r="AF73" i="8"/>
  <c r="AG73" i="8"/>
  <c r="AJ73" i="8"/>
  <c r="AK73" i="8"/>
  <c r="AL73" i="8"/>
  <c r="AM73" i="8"/>
  <c r="AO73" i="8"/>
  <c r="AP73" i="8"/>
  <c r="N74" i="8"/>
  <c r="T74" i="8"/>
  <c r="AE74" i="8"/>
  <c r="AF74" i="8"/>
  <c r="AG74" i="8"/>
  <c r="AJ74" i="8"/>
  <c r="AK74" i="8"/>
  <c r="AL74" i="8"/>
  <c r="AM74" i="8"/>
  <c r="AO74" i="8"/>
  <c r="AP74" i="8"/>
  <c r="N75" i="8"/>
  <c r="T75" i="8"/>
  <c r="AE75" i="8"/>
  <c r="AF75" i="8"/>
  <c r="AG75" i="8"/>
  <c r="AJ75" i="8"/>
  <c r="AK75" i="8"/>
  <c r="AL75" i="8"/>
  <c r="AM75" i="8"/>
  <c r="AO75" i="8"/>
  <c r="AP75" i="8"/>
  <c r="N76" i="8"/>
  <c r="T76" i="8"/>
  <c r="AE76" i="8"/>
  <c r="AF76" i="8"/>
  <c r="AG76" i="8"/>
  <c r="AJ76" i="8"/>
  <c r="AK76" i="8"/>
  <c r="AL76" i="8"/>
  <c r="AM76" i="8"/>
  <c r="AO76" i="8"/>
  <c r="AP76" i="8"/>
  <c r="N77" i="8"/>
  <c r="T77" i="8"/>
  <c r="AE77" i="8"/>
  <c r="AF77" i="8"/>
  <c r="AG77" i="8"/>
  <c r="AJ77" i="8"/>
  <c r="AK77" i="8"/>
  <c r="AL77" i="8"/>
  <c r="AM77" i="8"/>
  <c r="AO77" i="8"/>
  <c r="AP77" i="8"/>
  <c r="N78" i="8"/>
  <c r="T78" i="8"/>
  <c r="AE78" i="8"/>
  <c r="AF78" i="8"/>
  <c r="AG78" i="8"/>
  <c r="AJ78" i="8"/>
  <c r="AK78" i="8"/>
  <c r="AL78" i="8"/>
  <c r="AM78" i="8"/>
  <c r="AO78" i="8"/>
  <c r="AP78" i="8"/>
  <c r="N79" i="8"/>
  <c r="T79" i="8"/>
  <c r="AE79" i="8"/>
  <c r="AF79" i="8"/>
  <c r="AG79" i="8"/>
  <c r="AJ79" i="8"/>
  <c r="AK79" i="8"/>
  <c r="AL79" i="8"/>
  <c r="AM79" i="8"/>
  <c r="AO79" i="8"/>
  <c r="AP79" i="8"/>
  <c r="N80" i="8"/>
  <c r="T80" i="8"/>
  <c r="AE80" i="8"/>
  <c r="AF80" i="8"/>
  <c r="AG80" i="8"/>
  <c r="AJ80" i="8"/>
  <c r="AK80" i="8"/>
  <c r="AL80" i="8"/>
  <c r="AM80" i="8"/>
  <c r="AO80" i="8"/>
  <c r="AP80" i="8"/>
  <c r="N81" i="8"/>
  <c r="T81" i="8"/>
  <c r="AE81" i="8"/>
  <c r="AF81" i="8"/>
  <c r="AG81" i="8"/>
  <c r="AJ81" i="8"/>
  <c r="AK81" i="8"/>
  <c r="AL81" i="8"/>
  <c r="AM81" i="8"/>
  <c r="AO81" i="8"/>
  <c r="AP81" i="8"/>
  <c r="N82" i="8"/>
  <c r="T82" i="8"/>
  <c r="AE82" i="8"/>
  <c r="AF82" i="8"/>
  <c r="AG82" i="8"/>
  <c r="AJ82" i="8"/>
  <c r="AK82" i="8"/>
  <c r="AL82" i="8"/>
  <c r="AM82" i="8"/>
  <c r="AO82" i="8"/>
  <c r="AP82" i="8"/>
  <c r="N83" i="8"/>
  <c r="T83" i="8"/>
  <c r="AE83" i="8"/>
  <c r="AF83" i="8"/>
  <c r="AG83" i="8"/>
  <c r="AJ83" i="8"/>
  <c r="AK83" i="8"/>
  <c r="AL83" i="8"/>
  <c r="AM83" i="8"/>
  <c r="AO83" i="8"/>
  <c r="AP83" i="8"/>
  <c r="N84" i="8"/>
  <c r="T84" i="8"/>
  <c r="AE84" i="8"/>
  <c r="AF84" i="8"/>
  <c r="AG84" i="8"/>
  <c r="AJ84" i="8"/>
  <c r="AK84" i="8"/>
  <c r="AL84" i="8"/>
  <c r="AM84" i="8"/>
  <c r="AO84" i="8"/>
  <c r="AP84" i="8"/>
  <c r="N85" i="8"/>
  <c r="T85" i="8"/>
  <c r="AE85" i="8"/>
  <c r="AF85" i="8"/>
  <c r="AG85" i="8"/>
  <c r="AJ85" i="8"/>
  <c r="AK85" i="8"/>
  <c r="AL85" i="8"/>
  <c r="AM85" i="8"/>
  <c r="AO85" i="8"/>
  <c r="AP85" i="8"/>
  <c r="N86" i="8"/>
  <c r="T86" i="8"/>
  <c r="AE86" i="8"/>
  <c r="AF86" i="8"/>
  <c r="AG86" i="8"/>
  <c r="AJ86" i="8"/>
  <c r="AK86" i="8"/>
  <c r="AL86" i="8"/>
  <c r="AM86" i="8"/>
  <c r="AO86" i="8"/>
  <c r="AP86" i="8"/>
  <c r="N88" i="8"/>
  <c r="T88" i="8"/>
  <c r="AE88" i="8"/>
  <c r="AF88" i="8"/>
  <c r="AG88" i="8"/>
  <c r="AJ88" i="8"/>
  <c r="AK88" i="8"/>
  <c r="AL88" i="8"/>
  <c r="AM88" i="8"/>
  <c r="AO88" i="8"/>
  <c r="AP88" i="8"/>
  <c r="AO90" i="8"/>
  <c r="AP90" i="8"/>
  <c r="AE93" i="8"/>
  <c r="AF93" i="8"/>
  <c r="N5" i="9"/>
  <c r="T5" i="9"/>
  <c r="AE5" i="9"/>
  <c r="AF5" i="9"/>
  <c r="AG5" i="9"/>
  <c r="AJ5" i="9"/>
  <c r="AK5" i="9"/>
  <c r="AL5" i="9"/>
  <c r="AM5" i="9"/>
  <c r="AO5" i="9"/>
  <c r="AP5" i="9"/>
  <c r="N6" i="9"/>
  <c r="T6" i="9"/>
  <c r="AE6" i="9"/>
  <c r="AF6" i="9"/>
  <c r="AG6" i="9"/>
  <c r="AJ6" i="9"/>
  <c r="AK6" i="9"/>
  <c r="AL6" i="9"/>
  <c r="AM6" i="9"/>
  <c r="AO6" i="9"/>
  <c r="AP6" i="9"/>
  <c r="N7" i="9"/>
  <c r="T7" i="9"/>
  <c r="AE7" i="9"/>
  <c r="AF7" i="9"/>
  <c r="AG7" i="9"/>
  <c r="AJ7" i="9"/>
  <c r="AK7" i="9"/>
  <c r="AL7" i="9"/>
  <c r="AM7" i="9"/>
  <c r="AO7" i="9"/>
  <c r="AP7" i="9"/>
  <c r="N8" i="9"/>
  <c r="T8" i="9"/>
  <c r="AE8" i="9"/>
  <c r="AF8" i="9"/>
  <c r="AG8" i="9"/>
  <c r="AJ8" i="9"/>
  <c r="AK8" i="9"/>
  <c r="AL8" i="9"/>
  <c r="AM8" i="9"/>
  <c r="AO8" i="9"/>
  <c r="AP8" i="9"/>
  <c r="N9" i="9"/>
  <c r="T9" i="9"/>
  <c r="AF9" i="9"/>
  <c r="AG9" i="9"/>
  <c r="AJ9" i="9"/>
  <c r="AK9" i="9"/>
  <c r="AL9" i="9"/>
  <c r="AM9" i="9"/>
  <c r="AP9" i="9"/>
  <c r="N10" i="9"/>
  <c r="T10" i="9"/>
  <c r="AF10" i="9"/>
  <c r="AG10" i="9"/>
  <c r="AJ10" i="9"/>
  <c r="AK10" i="9"/>
  <c r="AL10" i="9"/>
  <c r="AM10" i="9"/>
  <c r="AP10" i="9"/>
  <c r="N11" i="9"/>
  <c r="T11" i="9"/>
  <c r="AF11" i="9"/>
  <c r="AG11" i="9"/>
  <c r="AJ11" i="9"/>
  <c r="AK11" i="9"/>
  <c r="AL11" i="9"/>
  <c r="AM11" i="9"/>
  <c r="AP11" i="9"/>
  <c r="AE12" i="9"/>
  <c r="AF12" i="9"/>
  <c r="AG12" i="9"/>
  <c r="AM12" i="9"/>
  <c r="AE13" i="9"/>
  <c r="AF13" i="9"/>
  <c r="AG13" i="9"/>
  <c r="AM13" i="9"/>
  <c r="AE14" i="9"/>
  <c r="AF14" i="9"/>
  <c r="AG14" i="9"/>
  <c r="AM14" i="9"/>
  <c r="N15" i="9"/>
  <c r="T15" i="9"/>
  <c r="AE15" i="9"/>
  <c r="AF15" i="9"/>
  <c r="AG15" i="9"/>
  <c r="AJ15" i="9"/>
  <c r="AK15" i="9"/>
  <c r="AL15" i="9"/>
  <c r="AM15" i="9"/>
  <c r="AO15" i="9"/>
  <c r="AP15" i="9"/>
  <c r="N16" i="9"/>
  <c r="T16" i="9"/>
  <c r="AE16" i="9"/>
  <c r="AF16" i="9"/>
  <c r="AG16" i="9"/>
  <c r="AJ16" i="9"/>
  <c r="AK16" i="9"/>
  <c r="AL16" i="9"/>
  <c r="AM16" i="9"/>
  <c r="AO16" i="9"/>
  <c r="AP16" i="9"/>
  <c r="N17" i="9"/>
  <c r="T17" i="9"/>
  <c r="AE17" i="9"/>
  <c r="AF17" i="9"/>
  <c r="AG17" i="9"/>
  <c r="AJ17" i="9"/>
  <c r="AK17" i="9"/>
  <c r="AL17" i="9"/>
  <c r="AM17" i="9"/>
  <c r="AO17" i="9"/>
  <c r="AP17" i="9"/>
  <c r="N18" i="9"/>
  <c r="T18" i="9"/>
  <c r="AE18" i="9"/>
  <c r="AF18" i="9"/>
  <c r="AG18" i="9"/>
  <c r="AJ18" i="9"/>
  <c r="AK18" i="9"/>
  <c r="AL18" i="9"/>
  <c r="AM18" i="9"/>
  <c r="AO18" i="9"/>
  <c r="AP18" i="9"/>
  <c r="N19" i="9"/>
  <c r="T19" i="9"/>
  <c r="AE19" i="9"/>
  <c r="AF19" i="9"/>
  <c r="AG19" i="9"/>
  <c r="AJ19" i="9"/>
  <c r="AK19" i="9"/>
  <c r="AL19" i="9"/>
  <c r="AM19" i="9"/>
  <c r="AO19" i="9"/>
  <c r="AP19" i="9"/>
  <c r="N20" i="9"/>
  <c r="T20" i="9"/>
  <c r="AE20" i="9"/>
  <c r="AF20" i="9"/>
  <c r="AG20" i="9"/>
  <c r="AJ20" i="9"/>
  <c r="AK20" i="9"/>
  <c r="AL20" i="9"/>
  <c r="AM20" i="9"/>
  <c r="AO20" i="9"/>
  <c r="AP20" i="9"/>
  <c r="N21" i="9"/>
  <c r="T21" i="9"/>
  <c r="AE21" i="9"/>
  <c r="AF21" i="9"/>
  <c r="AG21" i="9"/>
  <c r="AJ21" i="9"/>
  <c r="AK21" i="9"/>
  <c r="AL21" i="9"/>
  <c r="AM21" i="9"/>
  <c r="AO21" i="9"/>
  <c r="AP21" i="9"/>
  <c r="N22" i="9"/>
  <c r="T22" i="9"/>
  <c r="AE22" i="9"/>
  <c r="AF22" i="9"/>
  <c r="AG22" i="9"/>
  <c r="AJ22" i="9"/>
  <c r="AK22" i="9"/>
  <c r="AL22" i="9"/>
  <c r="AM22" i="9"/>
  <c r="AO22" i="9"/>
  <c r="AP22" i="9"/>
  <c r="N23" i="9"/>
  <c r="T23" i="9"/>
  <c r="AE23" i="9"/>
  <c r="AF23" i="9"/>
  <c r="AG23" i="9"/>
  <c r="AJ23" i="9"/>
  <c r="AK23" i="9"/>
  <c r="AL23" i="9"/>
  <c r="AM23" i="9"/>
  <c r="AO23" i="9"/>
  <c r="AP23" i="9"/>
  <c r="N24" i="9"/>
  <c r="T24" i="9"/>
  <c r="AE24" i="9"/>
  <c r="AF24" i="9"/>
  <c r="AG24" i="9"/>
  <c r="AJ24" i="9"/>
  <c r="AK24" i="9"/>
  <c r="AL24" i="9"/>
  <c r="AM24" i="9"/>
  <c r="AO24" i="9"/>
  <c r="AP24" i="9"/>
  <c r="N25" i="9"/>
  <c r="T25" i="9"/>
  <c r="AE25" i="9"/>
  <c r="AF25" i="9"/>
  <c r="AG25" i="9"/>
  <c r="AJ25" i="9"/>
  <c r="AK25" i="9"/>
  <c r="AL25" i="9"/>
  <c r="AM25" i="9"/>
  <c r="AO25" i="9"/>
  <c r="AP25" i="9"/>
  <c r="N26" i="9"/>
  <c r="T26" i="9"/>
  <c r="AE26" i="9"/>
  <c r="AF26" i="9"/>
  <c r="AG26" i="9"/>
  <c r="AJ26" i="9"/>
  <c r="AK26" i="9"/>
  <c r="AL26" i="9"/>
  <c r="AM26" i="9"/>
  <c r="AO26" i="9"/>
  <c r="AP26" i="9"/>
  <c r="N27" i="9"/>
  <c r="T27" i="9"/>
  <c r="AE27" i="9"/>
  <c r="AF27" i="9"/>
  <c r="AG27" i="9"/>
  <c r="AJ27" i="9"/>
  <c r="AK27" i="9"/>
  <c r="AL27" i="9"/>
  <c r="AM27" i="9"/>
  <c r="AO27" i="9"/>
  <c r="AP27" i="9"/>
  <c r="N28" i="9"/>
  <c r="T28" i="9"/>
  <c r="AE28" i="9"/>
  <c r="AF28" i="9"/>
  <c r="AG28" i="9"/>
  <c r="AJ28" i="9"/>
  <c r="AK28" i="9"/>
  <c r="AL28" i="9"/>
  <c r="AM28" i="9"/>
  <c r="AO28" i="9"/>
  <c r="AP28" i="9"/>
  <c r="N29" i="9"/>
  <c r="T29" i="9"/>
  <c r="AE29" i="9"/>
  <c r="AF29" i="9"/>
  <c r="AG29" i="9"/>
  <c r="AJ29" i="9"/>
  <c r="AK29" i="9"/>
  <c r="AL29" i="9"/>
  <c r="AM29" i="9"/>
  <c r="AO29" i="9"/>
  <c r="AP29" i="9"/>
  <c r="N30" i="9"/>
  <c r="T30" i="9"/>
  <c r="AE30" i="9"/>
  <c r="AF30" i="9"/>
  <c r="AG30" i="9"/>
  <c r="AJ30" i="9"/>
  <c r="AK30" i="9"/>
  <c r="AL30" i="9"/>
  <c r="AM30" i="9"/>
  <c r="AO30" i="9"/>
  <c r="AP30" i="9"/>
  <c r="N31" i="9"/>
  <c r="T31" i="9"/>
  <c r="AE31" i="9"/>
  <c r="AF31" i="9"/>
  <c r="AG31" i="9"/>
  <c r="AJ31" i="9"/>
  <c r="AK31" i="9"/>
  <c r="AL31" i="9"/>
  <c r="AM31" i="9"/>
  <c r="AO31" i="9"/>
  <c r="AP31" i="9"/>
  <c r="N32" i="9"/>
  <c r="T32" i="9"/>
  <c r="AE32" i="9"/>
  <c r="AF32" i="9"/>
  <c r="AG32" i="9"/>
  <c r="AJ32" i="9"/>
  <c r="AK32" i="9"/>
  <c r="AL32" i="9"/>
  <c r="AM32" i="9"/>
  <c r="AO32" i="9"/>
  <c r="AP32" i="9"/>
  <c r="N33" i="9"/>
  <c r="T33" i="9"/>
  <c r="AE33" i="9"/>
  <c r="AF33" i="9"/>
  <c r="AG33" i="9"/>
  <c r="AJ33" i="9"/>
  <c r="AK33" i="9"/>
  <c r="AL33" i="9"/>
  <c r="AM33" i="9"/>
  <c r="AO33" i="9"/>
  <c r="AP33" i="9"/>
  <c r="N34" i="9"/>
  <c r="T34" i="9"/>
  <c r="AE34" i="9"/>
  <c r="AF34" i="9"/>
  <c r="AG34" i="9"/>
  <c r="AJ34" i="9"/>
  <c r="AK34" i="9"/>
  <c r="AL34" i="9"/>
  <c r="AM34" i="9"/>
  <c r="AO34" i="9"/>
  <c r="AP34" i="9"/>
  <c r="N35" i="9"/>
  <c r="T35" i="9"/>
  <c r="AE35" i="9"/>
  <c r="AF35" i="9"/>
  <c r="AG35" i="9"/>
  <c r="AJ35" i="9"/>
  <c r="AK35" i="9"/>
  <c r="AL35" i="9"/>
  <c r="AM35" i="9"/>
  <c r="AO35" i="9"/>
  <c r="AP35" i="9"/>
  <c r="N36" i="9"/>
  <c r="T36" i="9"/>
  <c r="AE36" i="9"/>
  <c r="AF36" i="9"/>
  <c r="AG36" i="9"/>
  <c r="AJ36" i="9"/>
  <c r="AK36" i="9"/>
  <c r="AL36" i="9"/>
  <c r="AM36" i="9"/>
  <c r="AO36" i="9"/>
  <c r="AP36" i="9"/>
  <c r="N37" i="9"/>
  <c r="T37" i="9"/>
  <c r="AE37" i="9"/>
  <c r="AF37" i="9"/>
  <c r="AG37" i="9"/>
  <c r="AJ37" i="9"/>
  <c r="AK37" i="9"/>
  <c r="AL37" i="9"/>
  <c r="AM37" i="9"/>
  <c r="AO37" i="9"/>
  <c r="AP37" i="9"/>
  <c r="N38" i="9"/>
  <c r="T38" i="9"/>
  <c r="AE38" i="9"/>
  <c r="AF38" i="9"/>
  <c r="AG38" i="9"/>
  <c r="AJ38" i="9"/>
  <c r="AK38" i="9"/>
  <c r="AL38" i="9"/>
  <c r="AM38" i="9"/>
  <c r="AO38" i="9"/>
  <c r="AP38" i="9"/>
  <c r="N39" i="9"/>
  <c r="T39" i="9"/>
  <c r="AE39" i="9"/>
  <c r="AF39" i="9"/>
  <c r="AG39" i="9"/>
  <c r="AJ39" i="9"/>
  <c r="AK39" i="9"/>
  <c r="AL39" i="9"/>
  <c r="AM39" i="9"/>
  <c r="AO39" i="9"/>
  <c r="AP39" i="9"/>
  <c r="N40" i="9"/>
  <c r="T40" i="9"/>
  <c r="AE40" i="9"/>
  <c r="AF40" i="9"/>
  <c r="AG40" i="9"/>
  <c r="AJ40" i="9"/>
  <c r="AK40" i="9"/>
  <c r="AL40" i="9"/>
  <c r="AM40" i="9"/>
  <c r="AO40" i="9"/>
  <c r="AP40" i="9"/>
  <c r="N41" i="9"/>
  <c r="T41" i="9"/>
  <c r="AE41" i="9"/>
  <c r="AF41" i="9"/>
  <c r="AG41" i="9"/>
  <c r="AJ41" i="9"/>
  <c r="AK41" i="9"/>
  <c r="AL41" i="9"/>
  <c r="AM41" i="9"/>
  <c r="AO41" i="9"/>
  <c r="AP41" i="9"/>
  <c r="N42" i="9"/>
  <c r="T42" i="9"/>
  <c r="AE42" i="9"/>
  <c r="AF42" i="9"/>
  <c r="AG42" i="9"/>
  <c r="AJ42" i="9"/>
  <c r="AK42" i="9"/>
  <c r="AL42" i="9"/>
  <c r="AM42" i="9"/>
  <c r="AO42" i="9"/>
  <c r="AP42" i="9"/>
  <c r="N43" i="9"/>
  <c r="T43" i="9"/>
  <c r="AE43" i="9"/>
  <c r="AF43" i="9"/>
  <c r="AG43" i="9"/>
  <c r="AJ43" i="9"/>
  <c r="AK43" i="9"/>
  <c r="AL43" i="9"/>
  <c r="AM43" i="9"/>
  <c r="AO43" i="9"/>
  <c r="AP43" i="9"/>
  <c r="N44" i="9"/>
  <c r="T44" i="9"/>
  <c r="AE44" i="9"/>
  <c r="AF44" i="9"/>
  <c r="AG44" i="9"/>
  <c r="AJ44" i="9"/>
  <c r="AK44" i="9"/>
  <c r="AL44" i="9"/>
  <c r="AM44" i="9"/>
  <c r="AO44" i="9"/>
  <c r="AP44" i="9"/>
  <c r="N45" i="9"/>
  <c r="T45" i="9"/>
  <c r="AE45" i="9"/>
  <c r="AF45" i="9"/>
  <c r="AG45" i="9"/>
  <c r="AJ45" i="9"/>
  <c r="AK45" i="9"/>
  <c r="AL45" i="9"/>
  <c r="AM45" i="9"/>
  <c r="AO45" i="9"/>
  <c r="AP45" i="9"/>
  <c r="N46" i="9"/>
  <c r="T46" i="9"/>
  <c r="AE46" i="9"/>
  <c r="AF46" i="9"/>
  <c r="AG46" i="9"/>
  <c r="AJ46" i="9"/>
  <c r="AK46" i="9"/>
  <c r="AL46" i="9"/>
  <c r="AM46" i="9"/>
  <c r="AO46" i="9"/>
  <c r="AP46" i="9"/>
  <c r="N47" i="9"/>
  <c r="T47" i="9"/>
  <c r="AE47" i="9"/>
  <c r="AF47" i="9"/>
  <c r="AG47" i="9"/>
  <c r="AJ47" i="9"/>
  <c r="AK47" i="9"/>
  <c r="AL47" i="9"/>
  <c r="AM47" i="9"/>
  <c r="AO47" i="9"/>
  <c r="AP47" i="9"/>
  <c r="N48" i="9"/>
  <c r="T48" i="9"/>
  <c r="AE48" i="9"/>
  <c r="AF48" i="9"/>
  <c r="AG48" i="9"/>
  <c r="AJ48" i="9"/>
  <c r="AK48" i="9"/>
  <c r="AL48" i="9"/>
  <c r="AM48" i="9"/>
  <c r="AO48" i="9"/>
  <c r="AP48" i="9"/>
  <c r="N49" i="9"/>
  <c r="T49" i="9"/>
  <c r="AE49" i="9"/>
  <c r="AF49" i="9"/>
  <c r="AG49" i="9"/>
  <c r="AJ49" i="9"/>
  <c r="AK49" i="9"/>
  <c r="AL49" i="9"/>
  <c r="AM49" i="9"/>
  <c r="AO49" i="9"/>
  <c r="AP49" i="9"/>
  <c r="N50" i="9"/>
  <c r="T50" i="9"/>
  <c r="AE50" i="9"/>
  <c r="AF50" i="9"/>
  <c r="AG50" i="9"/>
  <c r="AJ50" i="9"/>
  <c r="AK50" i="9"/>
  <c r="AL50" i="9"/>
  <c r="AM50" i="9"/>
  <c r="AO50" i="9"/>
  <c r="AP50" i="9"/>
  <c r="N51" i="9"/>
  <c r="T51" i="9"/>
  <c r="AE51" i="9"/>
  <c r="AF51" i="9"/>
  <c r="AG51" i="9"/>
  <c r="AJ51" i="9"/>
  <c r="AK51" i="9"/>
  <c r="AL51" i="9"/>
  <c r="AM51" i="9"/>
  <c r="AO51" i="9"/>
  <c r="AP51" i="9"/>
  <c r="N52" i="9"/>
  <c r="T52" i="9"/>
  <c r="AE52" i="9"/>
  <c r="AF52" i="9"/>
  <c r="AG52" i="9"/>
  <c r="AJ52" i="9"/>
  <c r="AK52" i="9"/>
  <c r="AL52" i="9"/>
  <c r="AM52" i="9"/>
  <c r="AO52" i="9"/>
  <c r="AP52" i="9"/>
  <c r="N53" i="9"/>
  <c r="T53" i="9"/>
  <c r="AE53" i="9"/>
  <c r="AF53" i="9"/>
  <c r="AG53" i="9"/>
  <c r="AJ53" i="9"/>
  <c r="AK53" i="9"/>
  <c r="AL53" i="9"/>
  <c r="AM53" i="9"/>
  <c r="AO53" i="9"/>
  <c r="AP53" i="9"/>
  <c r="N54" i="9"/>
  <c r="T54" i="9"/>
  <c r="AE54" i="9"/>
  <c r="AF54" i="9"/>
  <c r="AG54" i="9"/>
  <c r="AJ54" i="9"/>
  <c r="AK54" i="9"/>
  <c r="AL54" i="9"/>
  <c r="AM54" i="9"/>
  <c r="AO54" i="9"/>
  <c r="AP54" i="9"/>
  <c r="N55" i="9"/>
  <c r="T55" i="9"/>
  <c r="AE55" i="9"/>
  <c r="AF55" i="9"/>
  <c r="AG55" i="9"/>
  <c r="AJ55" i="9"/>
  <c r="AK55" i="9"/>
  <c r="AL55" i="9"/>
  <c r="AM55" i="9"/>
  <c r="AO55" i="9"/>
  <c r="AP55" i="9"/>
  <c r="N56" i="9"/>
  <c r="T56" i="9"/>
  <c r="AE56" i="9"/>
  <c r="AF56" i="9"/>
  <c r="AG56" i="9"/>
  <c r="AJ56" i="9"/>
  <c r="AK56" i="9"/>
  <c r="AL56" i="9"/>
  <c r="AM56" i="9"/>
  <c r="AO56" i="9"/>
  <c r="AP56" i="9"/>
  <c r="N57" i="9"/>
  <c r="T57" i="9"/>
  <c r="AE57" i="9"/>
  <c r="AF57" i="9"/>
  <c r="AG57" i="9"/>
  <c r="AJ57" i="9"/>
  <c r="AK57" i="9"/>
  <c r="AL57" i="9"/>
  <c r="AM57" i="9"/>
  <c r="AO57" i="9"/>
  <c r="AP57" i="9"/>
  <c r="N58" i="9"/>
  <c r="T58" i="9"/>
  <c r="AE58" i="9"/>
  <c r="AF58" i="9"/>
  <c r="AG58" i="9"/>
  <c r="AJ58" i="9"/>
  <c r="AK58" i="9"/>
  <c r="AL58" i="9"/>
  <c r="AM58" i="9"/>
  <c r="AO58" i="9"/>
  <c r="AP58" i="9"/>
  <c r="N59" i="9"/>
  <c r="T59" i="9"/>
  <c r="AE59" i="9"/>
  <c r="AF59" i="9"/>
  <c r="AG59" i="9"/>
  <c r="AJ59" i="9"/>
  <c r="AK59" i="9"/>
  <c r="AL59" i="9"/>
  <c r="AM59" i="9"/>
  <c r="AO59" i="9"/>
  <c r="AP59" i="9"/>
  <c r="N60" i="9"/>
  <c r="T60" i="9"/>
  <c r="AE60" i="9"/>
  <c r="AF60" i="9"/>
  <c r="AG60" i="9"/>
  <c r="AJ60" i="9"/>
  <c r="AK60" i="9"/>
  <c r="AL60" i="9"/>
  <c r="AM60" i="9"/>
  <c r="AO60" i="9"/>
  <c r="AP60" i="9"/>
  <c r="N61" i="9"/>
  <c r="T61" i="9"/>
  <c r="AE61" i="9"/>
  <c r="AF61" i="9"/>
  <c r="AG61" i="9"/>
  <c r="AJ61" i="9"/>
  <c r="AK61" i="9"/>
  <c r="AL61" i="9"/>
  <c r="AM61" i="9"/>
  <c r="AO61" i="9"/>
  <c r="AP61" i="9"/>
  <c r="N62" i="9"/>
  <c r="T62" i="9"/>
  <c r="AE62" i="9"/>
  <c r="AF62" i="9"/>
  <c r="AG62" i="9"/>
  <c r="AJ62" i="9"/>
  <c r="AK62" i="9"/>
  <c r="AL62" i="9"/>
  <c r="AM62" i="9"/>
  <c r="AO62" i="9"/>
  <c r="AP62" i="9"/>
  <c r="N63" i="9"/>
  <c r="T63" i="9"/>
  <c r="AE63" i="9"/>
  <c r="AF63" i="9"/>
  <c r="AG63" i="9"/>
  <c r="AJ63" i="9"/>
  <c r="AK63" i="9"/>
  <c r="AL63" i="9"/>
  <c r="AM63" i="9"/>
  <c r="AO63" i="9"/>
  <c r="AP63" i="9"/>
  <c r="N64" i="9"/>
  <c r="T64" i="9"/>
  <c r="AE64" i="9"/>
  <c r="AF64" i="9"/>
  <c r="AG64" i="9"/>
  <c r="AJ64" i="9"/>
  <c r="AK64" i="9"/>
  <c r="AL64" i="9"/>
  <c r="AM64" i="9"/>
  <c r="AO64" i="9"/>
  <c r="AP64" i="9"/>
  <c r="N65" i="9"/>
  <c r="T65" i="9"/>
  <c r="AE65" i="9"/>
  <c r="AF65" i="9"/>
  <c r="AG65" i="9"/>
  <c r="AJ65" i="9"/>
  <c r="AK65" i="9"/>
  <c r="AL65" i="9"/>
  <c r="AM65" i="9"/>
  <c r="AO65" i="9"/>
  <c r="AP65" i="9"/>
  <c r="N66" i="9"/>
  <c r="T66" i="9"/>
  <c r="AE66" i="9"/>
  <c r="AF66" i="9"/>
  <c r="AG66" i="9"/>
  <c r="AJ66" i="9"/>
  <c r="AK66" i="9"/>
  <c r="AL66" i="9"/>
  <c r="AM66" i="9"/>
  <c r="AO66" i="9"/>
  <c r="AP66" i="9"/>
  <c r="N67" i="9"/>
  <c r="T67" i="9"/>
  <c r="AE67" i="9"/>
  <c r="AF67" i="9"/>
  <c r="AG67" i="9"/>
  <c r="AJ67" i="9"/>
  <c r="AK67" i="9"/>
  <c r="AL67" i="9"/>
  <c r="AM67" i="9"/>
  <c r="AO67" i="9"/>
  <c r="AP67" i="9"/>
  <c r="N68" i="9"/>
  <c r="T68" i="9"/>
  <c r="AE68" i="9"/>
  <c r="AF68" i="9"/>
  <c r="AG68" i="9"/>
  <c r="AJ68" i="9"/>
  <c r="AK68" i="9"/>
  <c r="AL68" i="9"/>
  <c r="AM68" i="9"/>
  <c r="AO68" i="9"/>
  <c r="AP68" i="9"/>
  <c r="N69" i="9"/>
  <c r="T69" i="9"/>
  <c r="AE69" i="9"/>
  <c r="AF69" i="9"/>
  <c r="AG69" i="9"/>
  <c r="AJ69" i="9"/>
  <c r="AK69" i="9"/>
  <c r="AL69" i="9"/>
  <c r="AM69" i="9"/>
  <c r="AO69" i="9"/>
  <c r="AP69" i="9"/>
  <c r="N70" i="9"/>
  <c r="T70" i="9"/>
  <c r="AE70" i="9"/>
  <c r="AF70" i="9"/>
  <c r="AG70" i="9"/>
  <c r="AJ70" i="9"/>
  <c r="AK70" i="9"/>
  <c r="AL70" i="9"/>
  <c r="AM70" i="9"/>
  <c r="AO70" i="9"/>
  <c r="AP70" i="9"/>
  <c r="N71" i="9"/>
  <c r="T71" i="9"/>
  <c r="AE71" i="9"/>
  <c r="AF71" i="9"/>
  <c r="AG71" i="9"/>
  <c r="AJ71" i="9"/>
  <c r="AK71" i="9"/>
  <c r="AL71" i="9"/>
  <c r="AM71" i="9"/>
  <c r="AO71" i="9"/>
  <c r="AP71" i="9"/>
  <c r="N72" i="9"/>
  <c r="T72" i="9"/>
  <c r="AE72" i="9"/>
  <c r="AF72" i="9"/>
  <c r="AG72" i="9"/>
  <c r="AJ72" i="9"/>
  <c r="AK72" i="9"/>
  <c r="AL72" i="9"/>
  <c r="AM72" i="9"/>
  <c r="AO72" i="9"/>
  <c r="AP72" i="9"/>
  <c r="N73" i="9"/>
  <c r="T73" i="9"/>
  <c r="AE73" i="9"/>
  <c r="AF73" i="9"/>
  <c r="AG73" i="9"/>
  <c r="AJ73" i="9"/>
  <c r="AK73" i="9"/>
  <c r="AL73" i="9"/>
  <c r="AM73" i="9"/>
  <c r="AO73" i="9"/>
  <c r="AP73" i="9"/>
  <c r="N74" i="9"/>
  <c r="T74" i="9"/>
  <c r="AE74" i="9"/>
  <c r="AF74" i="9"/>
  <c r="AG74" i="9"/>
  <c r="AJ74" i="9"/>
  <c r="AK74" i="9"/>
  <c r="AL74" i="9"/>
  <c r="AM74" i="9"/>
  <c r="AO74" i="9"/>
  <c r="AP74" i="9"/>
  <c r="N75" i="9"/>
  <c r="T75" i="9"/>
  <c r="AE75" i="9"/>
  <c r="AF75" i="9"/>
  <c r="AG75" i="9"/>
  <c r="AJ75" i="9"/>
  <c r="AK75" i="9"/>
  <c r="AL75" i="9"/>
  <c r="AM75" i="9"/>
  <c r="AO75" i="9"/>
  <c r="AP75" i="9"/>
  <c r="N76" i="9"/>
  <c r="T76" i="9"/>
  <c r="AE76" i="9"/>
  <c r="AF76" i="9"/>
  <c r="AG76" i="9"/>
  <c r="AJ76" i="9"/>
  <c r="AK76" i="9"/>
  <c r="AL76" i="9"/>
  <c r="AM76" i="9"/>
  <c r="AO76" i="9"/>
  <c r="AP76" i="9"/>
  <c r="N77" i="9"/>
  <c r="T77" i="9"/>
  <c r="AE77" i="9"/>
  <c r="AF77" i="9"/>
  <c r="AG77" i="9"/>
  <c r="AJ77" i="9"/>
  <c r="AK77" i="9"/>
  <c r="AL77" i="9"/>
  <c r="AM77" i="9"/>
  <c r="AO77" i="9"/>
  <c r="AP77" i="9"/>
  <c r="N78" i="9"/>
  <c r="T78" i="9"/>
  <c r="AE78" i="9"/>
  <c r="AF78" i="9"/>
  <c r="AG78" i="9"/>
  <c r="AJ78" i="9"/>
  <c r="AK78" i="9"/>
  <c r="AL78" i="9"/>
  <c r="AM78" i="9"/>
  <c r="AO78" i="9"/>
  <c r="AP78" i="9"/>
  <c r="N79" i="9"/>
  <c r="T79" i="9"/>
  <c r="AE79" i="9"/>
  <c r="AF79" i="9"/>
  <c r="AG79" i="9"/>
  <c r="AJ79" i="9"/>
  <c r="AK79" i="9"/>
  <c r="AL79" i="9"/>
  <c r="AM79" i="9"/>
  <c r="AO79" i="9"/>
  <c r="AP79" i="9"/>
  <c r="N80" i="9"/>
  <c r="T80" i="9"/>
  <c r="AE80" i="9"/>
  <c r="AF80" i="9"/>
  <c r="AG80" i="9"/>
  <c r="AJ80" i="9"/>
  <c r="AK80" i="9"/>
  <c r="AL80" i="9"/>
  <c r="AM80" i="9"/>
  <c r="AO80" i="9"/>
  <c r="AP80" i="9"/>
  <c r="N81" i="9"/>
  <c r="T81" i="9"/>
  <c r="AE81" i="9"/>
  <c r="AF81" i="9"/>
  <c r="AG81" i="9"/>
  <c r="AJ81" i="9"/>
  <c r="AK81" i="9"/>
  <c r="AL81" i="9"/>
  <c r="AM81" i="9"/>
  <c r="AO81" i="9"/>
  <c r="AP81" i="9"/>
  <c r="N82" i="9"/>
  <c r="T82" i="9"/>
  <c r="AE82" i="9"/>
  <c r="AF82" i="9"/>
  <c r="AG82" i="9"/>
  <c r="AJ82" i="9"/>
  <c r="AK82" i="9"/>
  <c r="AL82" i="9"/>
  <c r="AM82" i="9"/>
  <c r="AO82" i="9"/>
  <c r="AP82" i="9"/>
  <c r="N83" i="9"/>
  <c r="T83" i="9"/>
  <c r="AE83" i="9"/>
  <c r="AF83" i="9"/>
  <c r="AG83" i="9"/>
  <c r="AJ83" i="9"/>
  <c r="AK83" i="9"/>
  <c r="AL83" i="9"/>
  <c r="AM83" i="9"/>
  <c r="AO83" i="9"/>
  <c r="AP83" i="9"/>
  <c r="N84" i="9"/>
  <c r="T84" i="9"/>
  <c r="AE84" i="9"/>
  <c r="AF84" i="9"/>
  <c r="AG84" i="9"/>
  <c r="AJ84" i="9"/>
  <c r="AK84" i="9"/>
  <c r="AL84" i="9"/>
  <c r="AM84" i="9"/>
  <c r="AO84" i="9"/>
  <c r="AP84" i="9"/>
  <c r="N85" i="9"/>
  <c r="T85" i="9"/>
  <c r="AE85" i="9"/>
  <c r="AF85" i="9"/>
  <c r="AG85" i="9"/>
  <c r="AJ85" i="9"/>
  <c r="AK85" i="9"/>
  <c r="AL85" i="9"/>
  <c r="AM85" i="9"/>
  <c r="AO85" i="9"/>
  <c r="AP85" i="9"/>
  <c r="N86" i="9"/>
  <c r="T86" i="9"/>
  <c r="AE86" i="9"/>
  <c r="AF86" i="9"/>
  <c r="AG86" i="9"/>
  <c r="AJ86" i="9"/>
  <c r="AK86" i="9"/>
  <c r="AL86" i="9"/>
  <c r="AM86" i="9"/>
  <c r="AO86" i="9"/>
  <c r="AP86" i="9"/>
  <c r="N88" i="9"/>
  <c r="T88" i="9"/>
  <c r="AE88" i="9"/>
  <c r="AF88" i="9"/>
  <c r="AG88" i="9"/>
  <c r="AJ88" i="9"/>
  <c r="AK88" i="9"/>
  <c r="AL88" i="9"/>
  <c r="AM88" i="9"/>
  <c r="AO88" i="9"/>
  <c r="AP88" i="9"/>
  <c r="AO90" i="9"/>
  <c r="AP90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537C825-95B1-40A5-B12A-24F210593F84}" name="Conexão" type="7" refreshedVersion="6" background="1" saveData="1"/>
  <connection id="2" xr16:uid="{7BD6FB01-54F8-4292-9AB4-89CA073F101D}" name="Conexão1" type="7" refreshedVersion="6" background="1" saveData="1"/>
  <connection id="3" xr16:uid="{97E91D02-B3BE-4437-BD78-1D9DB82B0079}" name="Conexão2" type="7" refreshedVersion="6" background="1" saveData="1"/>
</connections>
</file>

<file path=xl/sharedStrings.xml><?xml version="1.0" encoding="utf-8"?>
<sst xmlns="http://schemas.openxmlformats.org/spreadsheetml/2006/main" count="83552" uniqueCount="1774">
  <si>
    <t>TipoMercado</t>
  </si>
  <si>
    <t>Subgrupo</t>
  </si>
  <si>
    <t>Modalidade</t>
  </si>
  <si>
    <t>Classe</t>
  </si>
  <si>
    <t>Subclasse</t>
  </si>
  <si>
    <t>Detalhe</t>
  </si>
  <si>
    <t>Agente</t>
  </si>
  <si>
    <t>Posto</t>
  </si>
  <si>
    <t>AnoMes</t>
  </si>
  <si>
    <t>D</t>
  </si>
  <si>
    <t>Daj</t>
  </si>
  <si>
    <t>TUSD_E</t>
  </si>
  <si>
    <t>TUSD_Eaj</t>
  </si>
  <si>
    <t>TE_E</t>
  </si>
  <si>
    <t>TE_Eaj</t>
  </si>
  <si>
    <t>UC</t>
  </si>
  <si>
    <t>OPÇÃO</t>
  </si>
  <si>
    <t>CóD. AUX.</t>
  </si>
  <si>
    <t>CóD. AUX. TUSD R$/kW</t>
  </si>
  <si>
    <t>CóD. AUX. TUSD R$/MWh</t>
  </si>
  <si>
    <t>CóD. AUX. TE R$/MWh</t>
  </si>
  <si>
    <t>Regular</t>
  </si>
  <si>
    <t>B1</t>
  </si>
  <si>
    <t>Convencional</t>
  </si>
  <si>
    <t>Residencial</t>
  </si>
  <si>
    <t>Não se aplica</t>
  </si>
  <si>
    <t>CATIVO</t>
  </si>
  <si>
    <t>Refaturamento - Regular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</si>
  <si>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</si>
  <si>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</si>
  <si>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</si>
  <si>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</si>
  <si>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</si>
  <si>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A4</t>
  </si>
  <si>
    <t>Verde</t>
  </si>
  <si>
    <t>Ponta</t>
  </si>
  <si>
    <t>Fora ponta</t>
  </si>
  <si>
    <t>Branca</t>
  </si>
  <si>
    <t>Intermediário</t>
  </si>
  <si>
    <t>B3</t>
  </si>
  <si>
    <t>Industrial</t>
  </si>
  <si>
    <t>Azul</t>
  </si>
  <si>
    <t>Comercial</t>
  </si>
  <si>
    <t>A2</t>
  </si>
  <si>
    <t>AS</t>
  </si>
  <si>
    <t>A3a</t>
  </si>
  <si>
    <t>B2</t>
  </si>
  <si>
    <t>Rural</t>
  </si>
  <si>
    <t>Poder público</t>
  </si>
  <si>
    <t>B4</t>
  </si>
  <si>
    <t>Iluminação pública</t>
  </si>
  <si>
    <t>Iluminação pública – B4a</t>
  </si>
  <si>
    <t>Serviço público</t>
  </si>
  <si>
    <t>Água, esgoto e saneamento</t>
  </si>
  <si>
    <t>Consumo próprio</t>
  </si>
  <si>
    <t>Agropecuária rural</t>
  </si>
  <si>
    <t>IRRIG./AQUIC.</t>
  </si>
  <si>
    <t>IRRIG./AQUIC. PR</t>
  </si>
  <si>
    <t>Tração elétrica</t>
  </si>
  <si>
    <t>PROJETADO</t>
  </si>
  <si>
    <t>LIVRE</t>
  </si>
  <si>
    <t>APE</t>
  </si>
  <si>
    <t>LIVRE APE</t>
  </si>
  <si>
    <t>Fonte incentivada</t>
  </si>
  <si>
    <t>Geração</t>
  </si>
  <si>
    <t>Paranoá</t>
  </si>
  <si>
    <t>GERAÇÃO</t>
  </si>
  <si>
    <t>Distribuição</t>
  </si>
  <si>
    <t>Enel GO</t>
  </si>
  <si>
    <t>DISTRIBUIÇÃO</t>
  </si>
  <si>
    <t>UHE CORUMBA IV</t>
  </si>
  <si>
    <t>UHE CORUMBA III</t>
  </si>
  <si>
    <t>TIPO ALERTA</t>
  </si>
  <si>
    <t>DETALHE ALERTA</t>
  </si>
  <si>
    <t>ABA</t>
  </si>
  <si>
    <t>LINHA</t>
  </si>
  <si>
    <t>COLUNA</t>
  </si>
  <si>
    <t>VARIÁVEL AUXILIAR</t>
  </si>
  <si>
    <t>SUBGRUPO</t>
  </si>
  <si>
    <t>MODALIDADE</t>
  </si>
  <si>
    <t>CLASSE</t>
  </si>
  <si>
    <t>SUBCLASSE</t>
  </si>
  <si>
    <t>DETALHE</t>
  </si>
  <si>
    <t>NOME UC</t>
  </si>
  <si>
    <t>POSTO</t>
  </si>
  <si>
    <t>UNIDADE</t>
  </si>
  <si>
    <t>SOMA MERCADO</t>
  </si>
  <si>
    <t>Energia horária</t>
  </si>
  <si>
    <t>MWh</t>
  </si>
  <si>
    <t>EP</t>
  </si>
  <si>
    <t>EFP</t>
  </si>
  <si>
    <t>kW</t>
  </si>
  <si>
    <t>DP</t>
  </si>
  <si>
    <t>DFP</t>
  </si>
  <si>
    <t>E</t>
  </si>
  <si>
    <t>NOVO GERADOR</t>
  </si>
  <si>
    <t>Energia convencional</t>
  </si>
  <si>
    <t>B</t>
  </si>
  <si>
    <t>TIPO 01</t>
  </si>
  <si>
    <t>TIPO 02</t>
  </si>
  <si>
    <t>EINT</t>
  </si>
  <si>
    <t>Energia convencional pré-pagamento</t>
  </si>
  <si>
    <t>Convencional pré-pagamento</t>
  </si>
  <si>
    <t>Cooperativa de eletrificação rural</t>
  </si>
  <si>
    <t>Serviço público de irrigação rural</t>
  </si>
  <si>
    <t>Iluminação pública – B4b</t>
  </si>
  <si>
    <t>CHAVE TUSD</t>
  </si>
  <si>
    <t>43739A2AzulNão se aplicaNão se aplicaNão se aplicaNão se aplicaFora ponta</t>
  </si>
  <si>
    <t>43770A2AzulNão se aplicaNão se aplicaNão se aplicaNão se aplicaFora ponta</t>
  </si>
  <si>
    <t>43800A2AzulNão se aplicaNão se aplicaNão se aplicaNão se aplicaFora ponta</t>
  </si>
  <si>
    <t>43831A2AzulNão se aplicaNão se aplicaNão se aplicaNão se aplicaFora ponta</t>
  </si>
  <si>
    <t>43862A2AzulNão se aplicaNão se aplicaNão se aplicaNão se aplicaFora ponta</t>
  </si>
  <si>
    <t>43891A2AzulNão se aplicaNão se aplicaNão se aplicaNão se aplicaFora ponta</t>
  </si>
  <si>
    <t>43922A2AzulNão se aplicaNão se aplicaNão se aplicaNão se aplicaFora ponta</t>
  </si>
  <si>
    <t>43952A2AzulNão se aplicaNão se aplicaNão se aplicaNão se aplicaFora ponta</t>
  </si>
  <si>
    <t>43983A2AzulNão se aplicaNão se aplicaNão se aplicaNão se aplicaFora ponta</t>
  </si>
  <si>
    <t>44013A2AzulNão se aplicaNão se aplicaNão se aplicaNão se aplicaFora ponta</t>
  </si>
  <si>
    <t>44044A2AzulNão se aplicaNão se aplicaNão se aplicaNão se aplicaFora ponta</t>
  </si>
  <si>
    <t>44075A2AzulNão se aplicaNão se aplicaNão se aplicaNão se aplicaFora ponta</t>
  </si>
  <si>
    <t>43739A2AzulNão se aplicaNão se aplicaNão se aplicaNão se aplicaPonta</t>
  </si>
  <si>
    <t>43770A2AzulNão se aplicaNão se aplicaNão se aplicaNão se aplicaPonta</t>
  </si>
  <si>
    <t>43800A2AzulNão se aplicaNão se aplicaNão se aplicaNão se aplicaPonta</t>
  </si>
  <si>
    <t>43831A2AzulNão se aplicaNão se aplicaNão se aplicaNão se aplicaPonta</t>
  </si>
  <si>
    <t>43862A2AzulNão se aplicaNão se aplicaNão se aplicaNão se aplicaPonta</t>
  </si>
  <si>
    <t>43891A2AzulNão se aplicaNão se aplicaNão se aplicaNão se aplicaPonta</t>
  </si>
  <si>
    <t>43922A2AzulNão se aplicaNão se aplicaNão se aplicaNão se aplicaPonta</t>
  </si>
  <si>
    <t>43952A2AzulNão se aplicaNão se aplicaNão se aplicaNão se aplicaPonta</t>
  </si>
  <si>
    <t>43983A2AzulNão se aplicaNão se aplicaNão se aplicaNão se aplicaPonta</t>
  </si>
  <si>
    <t>44013A2AzulNão se aplicaNão se aplicaNão se aplicaNão se aplicaPonta</t>
  </si>
  <si>
    <t>44044A2AzulNão se aplicaNão se aplicaNão se aplicaNão se aplicaPonta</t>
  </si>
  <si>
    <t>44075A2AzulNão se aplicaNão se aplicaNão se aplicaNão se aplicaPonta</t>
  </si>
  <si>
    <t>43739A2AzulNão se aplicaNão se aplicaAPENão se aplicaNão se aplica</t>
  </si>
  <si>
    <t>43770A2AzulNão se aplicaNão se aplicaAPENão se aplicaNão se aplica</t>
  </si>
  <si>
    <t>43800A2AzulNão se aplicaNão se aplicaAPENão se aplicaNão se aplica</t>
  </si>
  <si>
    <t>43831A2AzulNão se aplicaNão se aplicaAPENão se aplicaNão se aplica</t>
  </si>
  <si>
    <t>43862A2AzulNão se aplicaNão se aplicaAPENão se aplicaNão se aplica</t>
  </si>
  <si>
    <t>43891A2AzulNão se aplicaNão se aplicaAPENão se aplicaNão se aplica</t>
  </si>
  <si>
    <t>43922A2AzulNão se aplicaNão se aplicaAPENão se aplicaNão se aplica</t>
  </si>
  <si>
    <t>43952A2AzulNão se aplicaNão se aplicaAPENão se aplicaNão se aplica</t>
  </si>
  <si>
    <t>43983A2AzulNão se aplicaNão se aplicaAPENão se aplicaNão se aplica</t>
  </si>
  <si>
    <t>44013A2AzulNão se aplicaNão se aplicaAPENão se aplicaNão se aplica</t>
  </si>
  <si>
    <t>44044A2AzulNão se aplicaNão se aplicaAPENão se aplicaNão se aplica</t>
  </si>
  <si>
    <t>44075A2AzulNão se aplicaNão se aplicaAPENão se aplicaNão se aplica</t>
  </si>
  <si>
    <t>43739A2AzulNão se aplicaNão se aplicaNão se aplicaNão se aplicaNão se aplica</t>
  </si>
  <si>
    <t>43770A2AzulNão se aplicaNão se aplicaNão se aplicaNão se aplicaNão se aplica</t>
  </si>
  <si>
    <t>43800A2AzulNão se aplicaNão se aplicaNão se aplicaNão se aplicaNão se aplica</t>
  </si>
  <si>
    <t>43831A2AzulNão se aplicaNão se aplicaNão se aplicaNão se aplicaNão se aplica</t>
  </si>
  <si>
    <t>43862A2AzulNão se aplicaNão se aplicaNão se aplicaNão se aplicaNão se aplica</t>
  </si>
  <si>
    <t>43891A2AzulNão se aplicaNão se aplicaNão se aplicaNão se aplicaNão se aplica</t>
  </si>
  <si>
    <t>43922A2AzulNão se aplicaNão se aplicaNão se aplicaNão se aplicaNão se aplica</t>
  </si>
  <si>
    <t>43952A2AzulNão se aplicaNão se aplicaNão se aplicaNão se aplicaNão se aplica</t>
  </si>
  <si>
    <t>43983A2AzulNão se aplicaNão se aplicaNão se aplicaNão se aplicaNão se aplica</t>
  </si>
  <si>
    <t>44013A2AzulNão se aplicaNão se aplicaNão se aplicaNão se aplicaNão se aplica</t>
  </si>
  <si>
    <t>44044A2AzulNão se aplicaNão se aplicaNão se aplicaNão se aplicaNão se aplica</t>
  </si>
  <si>
    <t>44075A2AzulNão se aplicaNão se aplicaNão se aplicaNão se aplicaNão se aplica</t>
  </si>
  <si>
    <t>43739A2DistribuiçãoNão se aplicaNão se aplicaNão se aplicaEnel GOFora ponta</t>
  </si>
  <si>
    <t>43770A2DistribuiçãoNão se aplicaNão se aplicaNão se aplicaEnel GOFora ponta</t>
  </si>
  <si>
    <t>43800A2DistribuiçãoNão se aplicaNão se aplicaNão se aplicaEnel GOFora ponta</t>
  </si>
  <si>
    <t>43831A2DistribuiçãoNão se aplicaNão se aplicaNão se aplicaEnel GOFora ponta</t>
  </si>
  <si>
    <t>43862A2DistribuiçãoNão se aplicaNão se aplicaNão se aplicaEnel GOFora ponta</t>
  </si>
  <si>
    <t>43891A2DistribuiçãoNão se aplicaNão se aplicaNão se aplicaEnel GOFora ponta</t>
  </si>
  <si>
    <t>43922A2DistribuiçãoNão se aplicaNão se aplicaNão se aplicaEnel GOFora ponta</t>
  </si>
  <si>
    <t>43952A2DistribuiçãoNão se aplicaNão se aplicaNão se aplicaEnel GOFora ponta</t>
  </si>
  <si>
    <t>43983A2DistribuiçãoNão se aplicaNão se aplicaNão se aplicaEnel GOFora ponta</t>
  </si>
  <si>
    <t>44013A2DistribuiçãoNão se aplicaNão se aplicaNão se aplicaEnel GOFora ponta</t>
  </si>
  <si>
    <t>44044A2DistribuiçãoNão se aplicaNão se aplicaNão se aplicaEnel GOFora ponta</t>
  </si>
  <si>
    <t>44075A2DistribuiçãoNão se aplicaNão se aplicaNão se aplicaEnel GOFora ponta</t>
  </si>
  <si>
    <t>43739A2DistribuiçãoNão se aplicaNão se aplicaNão se aplicaEnel GONão se aplica</t>
  </si>
  <si>
    <t>43770A2DistribuiçãoNão se aplicaNão se aplicaNão se aplicaEnel GONão se aplica</t>
  </si>
  <si>
    <t>43800A2DistribuiçãoNão se aplicaNão se aplicaNão se aplicaEnel GONão se aplica</t>
  </si>
  <si>
    <t>43831A2DistribuiçãoNão se aplicaNão se aplicaNão se aplicaEnel GONão se aplica</t>
  </si>
  <si>
    <t>43862A2DistribuiçãoNão se aplicaNão se aplicaNão se aplicaEnel GONão se aplica</t>
  </si>
  <si>
    <t>43891A2DistribuiçãoNão se aplicaNão se aplicaNão se aplicaEnel GONão se aplica</t>
  </si>
  <si>
    <t>43922A2DistribuiçãoNão se aplicaNão se aplicaNão se aplicaEnel GONão se aplica</t>
  </si>
  <si>
    <t>43952A2DistribuiçãoNão se aplicaNão se aplicaNão se aplicaEnel GONão se aplica</t>
  </si>
  <si>
    <t>43983A2DistribuiçãoNão se aplicaNão se aplicaNão se aplicaEnel GONão se aplica</t>
  </si>
  <si>
    <t>44013A2DistribuiçãoNão se aplicaNão se aplicaNão se aplicaEnel GONão se aplica</t>
  </si>
  <si>
    <t>44044A2DistribuiçãoNão se aplicaNão se aplicaNão se aplicaEnel GONão se aplica</t>
  </si>
  <si>
    <t>44075A2DistribuiçãoNão se aplicaNão se aplicaNão se aplicaEnel GONão se aplica</t>
  </si>
  <si>
    <t>43739A2DistribuiçãoNão se aplicaNão se aplicaNão se aplicaEnel GOPonta</t>
  </si>
  <si>
    <t>43770A2DistribuiçãoNão se aplicaNão se aplicaNão se aplicaEnel GOPonta</t>
  </si>
  <si>
    <t>43800A2DistribuiçãoNão se aplicaNão se aplicaNão se aplicaEnel GOPonta</t>
  </si>
  <si>
    <t>43831A2DistribuiçãoNão se aplicaNão se aplicaNão se aplicaEnel GOPonta</t>
  </si>
  <si>
    <t>43862A2DistribuiçãoNão se aplicaNão se aplicaNão se aplicaEnel GOPonta</t>
  </si>
  <si>
    <t>43891A2DistribuiçãoNão se aplicaNão se aplicaNão se aplicaEnel GOPonta</t>
  </si>
  <si>
    <t>43922A2DistribuiçãoNão se aplicaNão se aplicaNão se aplicaEnel GOPonta</t>
  </si>
  <si>
    <t>43952A2DistribuiçãoNão se aplicaNão se aplicaNão se aplicaEnel GOPonta</t>
  </si>
  <si>
    <t>43983A2DistribuiçãoNão se aplicaNão se aplicaNão se aplicaEnel GOPonta</t>
  </si>
  <si>
    <t>44013A2DistribuiçãoNão se aplicaNão se aplicaNão se aplicaEnel GOPonta</t>
  </si>
  <si>
    <t>44044A2DistribuiçãoNão se aplicaNão se aplicaNão se aplicaEnel GOPonta</t>
  </si>
  <si>
    <t>44075A2DistribuiçãoNão se aplicaNão se aplicaNão se aplicaEnel GOPonta</t>
  </si>
  <si>
    <t>43739A2GeraçãoNão se aplicaNão se aplicaNão se aplicaUHE CORUMBA IVNão se aplica</t>
  </si>
  <si>
    <t>43739A2GeraçãoNão se aplicaNão se aplicaNão se aplicaUHE CORUMBA IIINão se aplica</t>
  </si>
  <si>
    <t>43770A2GeraçãoNão se aplicaNão se aplicaNão se aplicaUHE CORUMBA IVNão se aplica</t>
  </si>
  <si>
    <t>43770A2GeraçãoNão se aplicaNão se aplicaNão se aplicaUHE CORUMBA IIINão se aplica</t>
  </si>
  <si>
    <t>43800A2GeraçãoNão se aplicaNão se aplicaNão se aplicaUHE CORUMBA IVNão se aplica</t>
  </si>
  <si>
    <t>43800A2GeraçãoNão se aplicaNão se aplicaNão se aplicaUHE CORUMBA IIINão se aplica</t>
  </si>
  <si>
    <t>43831A2GeraçãoNão se aplicaNão se aplicaNão se aplicaUHE CORUMBA IVNão se aplica</t>
  </si>
  <si>
    <t>43831A2GeraçãoNão se aplicaNão se aplicaNão se aplicaUHE CORUMBA IIINão se aplica</t>
  </si>
  <si>
    <t>43862A2GeraçãoNão se aplicaNão se aplicaNão se aplicaUHE CORUMBA IVNão se aplica</t>
  </si>
  <si>
    <t>43862A2GeraçãoNão se aplicaNão se aplicaNão se aplicaUHE CORUMBA IIINão se aplica</t>
  </si>
  <si>
    <t>43891A2GeraçãoNão se aplicaNão se aplicaNão se aplicaUHE CORUMBA IVNão se aplica</t>
  </si>
  <si>
    <t>43891A2GeraçãoNão se aplicaNão se aplicaNão se aplicaUHE CORUMBA IIINão se aplica</t>
  </si>
  <si>
    <t>43922A2GeraçãoNão se aplicaNão se aplicaNão se aplicaUHE CORUMBA IVNão se aplica</t>
  </si>
  <si>
    <t>43922A2GeraçãoNão se aplicaNão se aplicaNão se aplicaUHE CORUMBA IIINão se aplica</t>
  </si>
  <si>
    <t>43952A2GeraçãoNão se aplicaNão se aplicaNão se aplicaUHE CORUMBA IVNão se aplica</t>
  </si>
  <si>
    <t>43952A2GeraçãoNão se aplicaNão se aplicaNão se aplicaUHE CORUMBA IIINão se aplica</t>
  </si>
  <si>
    <t>43983A2GeraçãoNão se aplicaNão se aplicaNão se aplicaUHE CORUMBA IVNão se aplica</t>
  </si>
  <si>
    <t>43983A2GeraçãoNão se aplicaNão se aplicaNão se aplicaUHE CORUMBA IIINão se aplica</t>
  </si>
  <si>
    <t>44013A2GeraçãoNão se aplicaNão se aplicaNão se aplicaUHE CORUMBA IVNão se aplica</t>
  </si>
  <si>
    <t>44013A2GeraçãoNão se aplicaNão se aplicaNão se aplicaUHE CORUMBA IIINão se aplica</t>
  </si>
  <si>
    <t>44044A2GeraçãoNão se aplicaNão se aplicaNão se aplicaUHE CORUMBA IVNão se aplica</t>
  </si>
  <si>
    <t>44044A2GeraçãoNão se aplicaNão se aplicaNão se aplicaUHE CORUMBA IIINão se aplica</t>
  </si>
  <si>
    <t>44075A2GeraçãoNão se aplicaNão se aplicaNão se aplicaUHE CORUMBA IVNão se aplica</t>
  </si>
  <si>
    <t>44075A2GeraçãoNão se aplicaNão se aplicaNão se aplicaUHE CORUMBA IIINão se aplica</t>
  </si>
  <si>
    <t>43739A3aAzulNão se aplicaNão se aplicaNão se aplicaNão se aplicaFora ponta</t>
  </si>
  <si>
    <t>43770A3aAzulNão se aplicaNão se aplicaNão se aplicaNão se aplicaFora ponta</t>
  </si>
  <si>
    <t>43800A3aAzulNão se aplicaNão se aplicaNão se aplicaNão se aplicaFora ponta</t>
  </si>
  <si>
    <t>43831A3aAzulNão se aplicaNão se aplicaNão se aplicaNão se aplicaFora ponta</t>
  </si>
  <si>
    <t>43862A3aAzulNão se aplicaNão se aplicaNão se aplicaNão se aplicaFora ponta</t>
  </si>
  <si>
    <t>43891A3aAzulNão se aplicaNão se aplicaNão se aplicaNão se aplicaFora ponta</t>
  </si>
  <si>
    <t>43922A3aAzulNão se aplicaNão se aplicaNão se aplicaNão se aplicaFora ponta</t>
  </si>
  <si>
    <t>43952A3aAzulNão se aplicaNão se aplicaNão se aplicaNão se aplicaFora ponta</t>
  </si>
  <si>
    <t>43983A3aAzulNão se aplicaNão se aplicaNão se aplicaNão se aplicaFora ponta</t>
  </si>
  <si>
    <t>44013A3aAzulNão se aplicaNão se aplicaNão se aplicaNão se aplicaFora ponta</t>
  </si>
  <si>
    <t>44044A3aAzulNão se aplicaNão se aplicaNão se aplicaNão se aplicaFora ponta</t>
  </si>
  <si>
    <t>44075A3aAzulNão se aplicaNão se aplicaNão se aplicaNão se aplicaFora ponta</t>
  </si>
  <si>
    <t>43739A3aAzulNão se aplicaNão se aplicaNão se aplicaNão se aplicaNão se aplica</t>
  </si>
  <si>
    <t>43770A3aAzulNão se aplicaNão se aplicaNão se aplicaNão se aplicaNão se aplica</t>
  </si>
  <si>
    <t>43800A3aAzulNão se aplicaNão se aplicaNão se aplicaNão se aplicaNão se aplica</t>
  </si>
  <si>
    <t>43831A3aAzulNão se aplicaNão se aplicaNão se aplicaNão se aplicaNão se aplica</t>
  </si>
  <si>
    <t>43862A3aAzulNão se aplicaNão se aplicaNão se aplicaNão se aplicaNão se aplica</t>
  </si>
  <si>
    <t>43891A3aAzulNão se aplicaNão se aplicaNão se aplicaNão se aplicaNão se aplica</t>
  </si>
  <si>
    <t>43922A3aAzulNão se aplicaNão se aplicaNão se aplicaNão se aplicaNão se aplica</t>
  </si>
  <si>
    <t>43952A3aAzulNão se aplicaNão se aplicaNão se aplicaNão se aplicaNão se aplica</t>
  </si>
  <si>
    <t>43983A3aAzulNão se aplicaNão se aplicaNão se aplicaNão se aplicaNão se aplica</t>
  </si>
  <si>
    <t>44013A3aAzulNão se aplicaNão se aplicaNão se aplicaNão se aplicaNão se aplica</t>
  </si>
  <si>
    <t>44044A3aAzulNão se aplicaNão se aplicaNão se aplicaNão se aplicaNão se aplica</t>
  </si>
  <si>
    <t>44075A3aAzulNão se aplicaNão se aplicaNão se aplicaNão se aplicaNão se aplica</t>
  </si>
  <si>
    <t>43739A3aAzulNão se aplicaNão se aplicaNão se aplicaNão se aplicaPonta</t>
  </si>
  <si>
    <t>43770A3aAzulNão se aplicaNão se aplicaNão se aplicaNão se aplicaPonta</t>
  </si>
  <si>
    <t>43800A3aAzulNão se aplicaNão se aplicaNão se aplicaNão se aplicaPonta</t>
  </si>
  <si>
    <t>43831A3aAzulNão se aplicaNão se aplicaNão se aplicaNão se aplicaPonta</t>
  </si>
  <si>
    <t>43862A3aAzulNão se aplicaNão se aplicaNão se aplicaNão se aplicaPonta</t>
  </si>
  <si>
    <t>43891A3aAzulNão se aplicaNão se aplicaNão se aplicaNão se aplicaPonta</t>
  </si>
  <si>
    <t>43922A3aAzulNão se aplicaNão se aplicaNão se aplicaNão se aplicaPonta</t>
  </si>
  <si>
    <t>43952A3aAzulNão se aplicaNão se aplicaNão se aplicaNão se aplicaPonta</t>
  </si>
  <si>
    <t>43983A3aAzulNão se aplicaNão se aplicaNão se aplicaNão se aplicaPonta</t>
  </si>
  <si>
    <t>44013A3aAzulNão se aplicaNão se aplicaNão se aplicaNão se aplicaPonta</t>
  </si>
  <si>
    <t>44044A3aAzulNão se aplicaNão se aplicaNão se aplicaNão se aplicaPonta</t>
  </si>
  <si>
    <t>44075A3aAzulNão se aplicaNão se aplicaNão se aplicaNão se aplicaPonta</t>
  </si>
  <si>
    <t>43739A3aGeraçãoNão se aplicaNão se aplicaNão se aplicaNão se aplicaNão se aplica</t>
  </si>
  <si>
    <t>43770A3aGeraçãoNão se aplicaNão se aplicaNão se aplicaNão se aplicaNão se aplica</t>
  </si>
  <si>
    <t>43800A3aGeraçãoNão se aplicaNão se aplicaNão se aplicaNão se aplicaNão se aplica</t>
  </si>
  <si>
    <t>43831A3aGeraçãoNão se aplicaNão se aplicaNão se aplicaNão se aplicaNão se aplica</t>
  </si>
  <si>
    <t>43862A3aGeraçãoNão se aplicaNão se aplicaNão se aplicaNão se aplicaNão se aplica</t>
  </si>
  <si>
    <t>43891A3aGeraçãoNão se aplicaNão se aplicaNão se aplicaNão se aplicaNão se aplica</t>
  </si>
  <si>
    <t>43922A3aGeraçãoNão se aplicaNão se aplicaNão se aplicaNão se aplicaNão se aplica</t>
  </si>
  <si>
    <t>43952A3aGeraçãoNão se aplicaNão se aplicaNão se aplicaNão se aplicaNão se aplica</t>
  </si>
  <si>
    <t>43983A3aGeraçãoNão se aplicaNão se aplicaNão se aplicaNão se aplicaNão se aplica</t>
  </si>
  <si>
    <t>44013A3aGeraçãoNão se aplicaNão se aplicaNão se aplicaNão se aplicaNão se aplica</t>
  </si>
  <si>
    <t>44044A3aGeraçãoNão se aplicaNão se aplicaNão se aplicaNão se aplicaNão se aplica</t>
  </si>
  <si>
    <t>44075A3aGeraçãoNão se aplicaNão se aplicaNão se aplicaNão se aplicaNão se aplica</t>
  </si>
  <si>
    <t>43739A3aVerdeNão se aplicaNão se aplicaNão se aplicaNão se aplicaFora ponta</t>
  </si>
  <si>
    <t>43770A3aVerdeNão se aplicaNão se aplicaNão se aplicaNão se aplicaFora ponta</t>
  </si>
  <si>
    <t>43800A3aVerdeNão se aplicaNão se aplicaNão se aplicaNão se aplicaFora ponta</t>
  </si>
  <si>
    <t>43831A3aVerdeNão se aplicaNão se aplicaNão se aplicaNão se aplicaFora ponta</t>
  </si>
  <si>
    <t>43862A3aVerdeNão se aplicaNão se aplicaNão se aplicaNão se aplicaFora ponta</t>
  </si>
  <si>
    <t>43891A3aVerdeNão se aplicaNão se aplicaNão se aplicaNão se aplicaFora ponta</t>
  </si>
  <si>
    <t>43922A3aVerdeNão se aplicaNão se aplicaNão se aplicaNão se aplicaFora ponta</t>
  </si>
  <si>
    <t>43952A3aVerdeNão se aplicaNão se aplicaNão se aplicaNão se aplicaFora ponta</t>
  </si>
  <si>
    <t>43983A3aVerdeNão se aplicaNão se aplicaNão se aplicaNão se aplicaFora ponta</t>
  </si>
  <si>
    <t>44013A3aVerdeNão se aplicaNão se aplicaNão se aplicaNão se aplicaFora ponta</t>
  </si>
  <si>
    <t>44044A3aVerdeNão se aplicaNão se aplicaNão se aplicaNão se aplicaFora ponta</t>
  </si>
  <si>
    <t>44075A3aVerdeNão se aplicaNão se aplicaNão se aplicaNão se aplicaFora ponta</t>
  </si>
  <si>
    <t>43739A3aVerdeNão se aplicaNão se aplicaNão se aplicaNão se aplicaNão se aplica</t>
  </si>
  <si>
    <t>43770A3aVerdeNão se aplicaNão se aplicaNão se aplicaNão se aplicaNão se aplica</t>
  </si>
  <si>
    <t>43800A3aVerdeNão se aplicaNão se aplicaNão se aplicaNão se aplicaNão se aplica</t>
  </si>
  <si>
    <t>43831A3aVerdeNão se aplicaNão se aplicaNão se aplicaNão se aplicaNão se aplica</t>
  </si>
  <si>
    <t>43862A3aVerdeNão se aplicaNão se aplicaNão se aplicaNão se aplicaNão se aplica</t>
  </si>
  <si>
    <t>43891A3aVerdeNão se aplicaNão se aplicaNão se aplicaNão se aplicaNão se aplica</t>
  </si>
  <si>
    <t>43922A3aVerdeNão se aplicaNão se aplicaNão se aplicaNão se aplicaNão se aplica</t>
  </si>
  <si>
    <t>43952A3aVerdeNão se aplicaNão se aplicaNão se aplicaNão se aplicaNão se aplica</t>
  </si>
  <si>
    <t>43983A3aVerdeNão se aplicaNão se aplicaNão se aplicaNão se aplicaNão se aplica</t>
  </si>
  <si>
    <t>44013A3aVerdeNão se aplicaNão se aplicaNão se aplicaNão se aplicaNão se aplica</t>
  </si>
  <si>
    <t>44044A3aVerdeNão se aplicaNão se aplicaNão se aplicaNão se aplicaNão se aplica</t>
  </si>
  <si>
    <t>44075A3aVerdeNão se aplicaNão se aplicaNão se aplicaNão se aplicaNão se aplica</t>
  </si>
  <si>
    <t>43739A3aVerdeNão se aplicaNão se aplicaNão se aplicaNão se aplicaPonta</t>
  </si>
  <si>
    <t>43770A3aVerdeNão se aplicaNão se aplicaNão se aplicaNão se aplicaPonta</t>
  </si>
  <si>
    <t>43800A3aVerdeNão se aplicaNão se aplicaNão se aplicaNão se aplicaPonta</t>
  </si>
  <si>
    <t>43831A3aVerdeNão se aplicaNão se aplicaNão se aplicaNão se aplicaPonta</t>
  </si>
  <si>
    <t>43862A3aVerdeNão se aplicaNão se aplicaNão se aplicaNão se aplicaPonta</t>
  </si>
  <si>
    <t>43891A3aVerdeNão se aplicaNão se aplicaNão se aplicaNão se aplicaPonta</t>
  </si>
  <si>
    <t>43922A3aVerdeNão se aplicaNão se aplicaNão se aplicaNão se aplicaPonta</t>
  </si>
  <si>
    <t>43952A3aVerdeNão se aplicaNão se aplicaNão se aplicaNão se aplicaPonta</t>
  </si>
  <si>
    <t>43983A3aVerdeNão se aplicaNão se aplicaNão se aplicaNão se aplicaPonta</t>
  </si>
  <si>
    <t>44013A3aVerdeNão se aplicaNão se aplicaNão se aplicaNão se aplicaPonta</t>
  </si>
  <si>
    <t>44044A3aVerdeNão se aplicaNão se aplicaNão se aplicaNão se aplicaPonta</t>
  </si>
  <si>
    <t>44075A3aVerdeNão se aplicaNão se aplicaNão se aplicaNão se aplicaPonta</t>
  </si>
  <si>
    <t>43739A4AzulNão se aplicaNão se aplicaNão se aplicaNão se aplicaFora ponta</t>
  </si>
  <si>
    <t>43770A4AzulNão se aplicaNão se aplicaNão se aplicaNão se aplicaFora ponta</t>
  </si>
  <si>
    <t>43800A4AzulNão se aplicaNão se aplicaNão se aplicaNão se aplicaFora ponta</t>
  </si>
  <si>
    <t>43831A4AzulNão se aplicaNão se aplicaNão se aplicaNão se aplicaFora ponta</t>
  </si>
  <si>
    <t>43862A4AzulNão se aplicaNão se aplicaNão se aplicaNão se aplicaFora ponta</t>
  </si>
  <si>
    <t>43891A4AzulNão se aplicaNão se aplicaNão se aplicaNão se aplicaFora ponta</t>
  </si>
  <si>
    <t>43922A4AzulNão se aplicaNão se aplicaNão se aplicaNão se aplicaFora ponta</t>
  </si>
  <si>
    <t>43952A4AzulNão se aplicaNão se aplicaNão se aplicaNão se aplicaFora ponta</t>
  </si>
  <si>
    <t>43983A4AzulNão se aplicaNão se aplicaNão se aplicaNão se aplicaFora ponta</t>
  </si>
  <si>
    <t>44013A4AzulNão se aplicaNão se aplicaNão se aplicaNão se aplicaFora ponta</t>
  </si>
  <si>
    <t>44044A4AzulNão se aplicaNão se aplicaNão se aplicaNão se aplicaFora ponta</t>
  </si>
  <si>
    <t>44075A4AzulNão se aplicaNão se aplicaNão se aplicaNão se aplicaFora ponta</t>
  </si>
  <si>
    <t>43739A4AzulNão se aplicaNão se aplicaNão se aplicaNão se aplicaPonta</t>
  </si>
  <si>
    <t>43770A4AzulNão se aplicaNão se aplicaNão se aplicaNão se aplicaPonta</t>
  </si>
  <si>
    <t>43800A4AzulNão se aplicaNão se aplicaNão se aplicaNão se aplicaPonta</t>
  </si>
  <si>
    <t>43831A4AzulNão se aplicaNão se aplicaNão se aplicaNão se aplicaPonta</t>
  </si>
  <si>
    <t>43862A4AzulNão se aplicaNão se aplicaNão se aplicaNão se aplicaPonta</t>
  </si>
  <si>
    <t>43891A4AzulNão se aplicaNão se aplicaNão se aplicaNão se aplicaPonta</t>
  </si>
  <si>
    <t>43922A4AzulNão se aplicaNão se aplicaNão se aplicaNão se aplicaPonta</t>
  </si>
  <si>
    <t>43952A4AzulNão se aplicaNão se aplicaNão se aplicaNão se aplicaPonta</t>
  </si>
  <si>
    <t>43983A4AzulNão se aplicaNão se aplicaNão se aplicaNão se aplicaPonta</t>
  </si>
  <si>
    <t>44013A4AzulNão se aplicaNão se aplicaNão se aplicaNão se aplicaPonta</t>
  </si>
  <si>
    <t>44044A4AzulNão se aplicaNão se aplicaNão se aplicaNão se aplicaPonta</t>
  </si>
  <si>
    <t>44075A4AzulNão se aplicaNão se aplicaNão se aplicaNão se aplicaPonta</t>
  </si>
  <si>
    <t>43739A4AzulNão se aplicaNão se aplicaNão se aplicaNão se aplicaNão se aplica</t>
  </si>
  <si>
    <t>43770A4AzulNão se aplicaNão se aplicaNão se aplicaNão se aplicaNão se aplica</t>
  </si>
  <si>
    <t>43800A4AzulNão se aplicaNão se aplicaNão se aplicaNão se aplicaNão se aplica</t>
  </si>
  <si>
    <t>43831A4AzulNão se aplicaNão se aplicaNão se aplicaNão se aplicaNão se aplica</t>
  </si>
  <si>
    <t>43862A4AzulNão se aplicaNão se aplicaNão se aplicaNão se aplicaNão se aplica</t>
  </si>
  <si>
    <t>43891A4AzulNão se aplicaNão se aplicaNão se aplicaNão se aplicaNão se aplica</t>
  </si>
  <si>
    <t>43922A4AzulNão se aplicaNão se aplicaNão se aplicaNão se aplicaNão se aplica</t>
  </si>
  <si>
    <t>43952A4AzulNão se aplicaNão se aplicaNão se aplicaNão se aplicaNão se aplica</t>
  </si>
  <si>
    <t>43983A4AzulNão se aplicaNão se aplicaNão se aplicaNão se aplicaNão se aplica</t>
  </si>
  <si>
    <t>44013A4AzulNão se aplicaNão se aplicaNão se aplicaNão se aplicaNão se aplica</t>
  </si>
  <si>
    <t>44044A4AzulNão se aplicaNão se aplicaNão se aplicaNão se aplicaNão se aplica</t>
  </si>
  <si>
    <t>44075A4AzulNão se aplicaNão se aplicaNão se aplicaNão se aplicaNão se aplica</t>
  </si>
  <si>
    <t>43739A4VerdeNão se aplicaNão se aplicaNão se aplicaNão se aplicaFora ponta</t>
  </si>
  <si>
    <t>43770A4VerdeNão se aplicaNão se aplicaNão se aplicaNão se aplicaFora ponta</t>
  </si>
  <si>
    <t>43800A4VerdeNão se aplicaNão se aplicaNão se aplicaNão se aplicaFora ponta</t>
  </si>
  <si>
    <t>43831A4VerdeNão se aplicaNão se aplicaNão se aplicaNão se aplicaFora ponta</t>
  </si>
  <si>
    <t>43862A4VerdeNão se aplicaNão se aplicaNão se aplicaNão se aplicaFora ponta</t>
  </si>
  <si>
    <t>43891A4VerdeNão se aplicaNão se aplicaNão se aplicaNão se aplicaFora ponta</t>
  </si>
  <si>
    <t>43922A4VerdeNão se aplicaNão se aplicaNão se aplicaNão se aplicaFora ponta</t>
  </si>
  <si>
    <t>43952A4VerdeNão se aplicaNão se aplicaNão se aplicaNão se aplicaFora ponta</t>
  </si>
  <si>
    <t>43983A4VerdeNão se aplicaNão se aplicaNão se aplicaNão se aplicaFora ponta</t>
  </si>
  <si>
    <t>44013A4VerdeNão se aplicaNão se aplicaNão se aplicaNão se aplicaFora ponta</t>
  </si>
  <si>
    <t>44044A4VerdeNão se aplicaNão se aplicaNão se aplicaNão se aplicaFora ponta</t>
  </si>
  <si>
    <t>44075A4VerdeNão se aplicaNão se aplicaNão se aplicaNão se aplicaFora ponta</t>
  </si>
  <si>
    <t>43739A4VerdeNão se aplicaNão se aplicaNão se aplicaNão se aplicaNão se aplica</t>
  </si>
  <si>
    <t>43770A4VerdeNão se aplicaNão se aplicaNão se aplicaNão se aplicaNão se aplica</t>
  </si>
  <si>
    <t>43800A4VerdeNão se aplicaNão se aplicaNão se aplicaNão se aplicaNão se aplica</t>
  </si>
  <si>
    <t>43831A4VerdeNão se aplicaNão se aplicaNão se aplicaNão se aplicaNão se aplica</t>
  </si>
  <si>
    <t>43862A4VerdeNão se aplicaNão se aplicaNão se aplicaNão se aplicaNão se aplica</t>
  </si>
  <si>
    <t>43891A4VerdeNão se aplicaNão se aplicaNão se aplicaNão se aplicaNão se aplica</t>
  </si>
  <si>
    <t>43922A4VerdeNão se aplicaNão se aplicaNão se aplicaNão se aplicaNão se aplica</t>
  </si>
  <si>
    <t>43952A4VerdeNão se aplicaNão se aplicaNão se aplicaNão se aplicaNão se aplica</t>
  </si>
  <si>
    <t>43983A4VerdeNão se aplicaNão se aplicaNão se aplicaNão se aplicaNão se aplica</t>
  </si>
  <si>
    <t>44013A4VerdeNão se aplicaNão se aplicaNão se aplicaNão se aplicaNão se aplica</t>
  </si>
  <si>
    <t>44044A4VerdeNão se aplicaNão se aplicaNão se aplicaNão se aplicaNão se aplica</t>
  </si>
  <si>
    <t>44075A4VerdeNão se aplicaNão se aplicaNão se aplicaNão se aplicaNão se aplica</t>
  </si>
  <si>
    <t>43739A4VerdeNão se aplicaNão se aplicaNão se aplicaNão se aplicaPonta</t>
  </si>
  <si>
    <t>43770A4VerdeNão se aplicaNão se aplicaNão se aplicaNão se aplicaPonta</t>
  </si>
  <si>
    <t>43800A4VerdeNão se aplicaNão se aplicaNão se aplicaNão se aplicaPonta</t>
  </si>
  <si>
    <t>43831A4VerdeNão se aplicaNão se aplicaNão se aplicaNão se aplicaPonta</t>
  </si>
  <si>
    <t>43862A4VerdeNão se aplicaNão se aplicaNão se aplicaNão se aplicaPonta</t>
  </si>
  <si>
    <t>43891A4VerdeNão se aplicaNão se aplicaNão se aplicaNão se aplicaPonta</t>
  </si>
  <si>
    <t>43922A4VerdeNão se aplicaNão se aplicaNão se aplicaNão se aplicaPonta</t>
  </si>
  <si>
    <t>43952A4VerdeNão se aplicaNão se aplicaNão se aplicaNão se aplicaPonta</t>
  </si>
  <si>
    <t>43983A4VerdeNão se aplicaNão se aplicaNão se aplicaNão se aplicaPonta</t>
  </si>
  <si>
    <t>44013A4VerdeNão se aplicaNão se aplicaNão se aplicaNão se aplicaPonta</t>
  </si>
  <si>
    <t>44044A4VerdeNão se aplicaNão se aplicaNão se aplicaNão se aplicaPonta</t>
  </si>
  <si>
    <t>44075A4VerdeNão se aplicaNão se aplicaNão se aplicaNão se aplicaPonta</t>
  </si>
  <si>
    <t>43739ASAzulNão se aplicaNão se aplicaNão se aplicaNão se aplicaFora ponta</t>
  </si>
  <si>
    <t>43770ASAzulNão se aplicaNão se aplicaNão se aplicaNão se aplicaFora ponta</t>
  </si>
  <si>
    <t>43800ASAzulNão se aplicaNão se aplicaNão se aplicaNão se aplicaFora ponta</t>
  </si>
  <si>
    <t>43831ASAzulNão se aplicaNão se aplicaNão se aplicaNão se aplicaFora ponta</t>
  </si>
  <si>
    <t>43862ASAzulNão se aplicaNão se aplicaNão se aplicaNão se aplicaFora ponta</t>
  </si>
  <si>
    <t>43891ASAzulNão se aplicaNão se aplicaNão se aplicaNão se aplicaFora ponta</t>
  </si>
  <si>
    <t>43922ASAzulNão se aplicaNão se aplicaNão se aplicaNão se aplicaFora ponta</t>
  </si>
  <si>
    <t>43952ASAzulNão se aplicaNão se aplicaNão se aplicaNão se aplicaFora ponta</t>
  </si>
  <si>
    <t>43983ASAzulNão se aplicaNão se aplicaNão se aplicaNão se aplicaFora ponta</t>
  </si>
  <si>
    <t>44013ASAzulNão se aplicaNão se aplicaNão se aplicaNão se aplicaFora ponta</t>
  </si>
  <si>
    <t>44044ASAzulNão se aplicaNão se aplicaNão se aplicaNão se aplicaFora ponta</t>
  </si>
  <si>
    <t>44075ASAzulNão se aplicaNão se aplicaNão se aplicaNão se aplicaFora ponta</t>
  </si>
  <si>
    <t>43739ASAzulNão se aplicaNão se aplicaNão se aplicaNão se aplicaPonta</t>
  </si>
  <si>
    <t>43770ASAzulNão se aplicaNão se aplicaNão se aplicaNão se aplicaPonta</t>
  </si>
  <si>
    <t>43800ASAzulNão se aplicaNão se aplicaNão se aplicaNão se aplicaPonta</t>
  </si>
  <si>
    <t>43831ASAzulNão se aplicaNão se aplicaNão se aplicaNão se aplicaPonta</t>
  </si>
  <si>
    <t>43862ASAzulNão se aplicaNão se aplicaNão se aplicaNão se aplicaPonta</t>
  </si>
  <si>
    <t>43891ASAzulNão se aplicaNão se aplicaNão se aplicaNão se aplicaPonta</t>
  </si>
  <si>
    <t>43922ASAzulNão se aplicaNão se aplicaNão se aplicaNão se aplicaPonta</t>
  </si>
  <si>
    <t>43952ASAzulNão se aplicaNão se aplicaNão se aplicaNão se aplicaPonta</t>
  </si>
  <si>
    <t>43983ASAzulNão se aplicaNão se aplicaNão se aplicaNão se aplicaPonta</t>
  </si>
  <si>
    <t>44013ASAzulNão se aplicaNão se aplicaNão se aplicaNão se aplicaPonta</t>
  </si>
  <si>
    <t>44044ASAzulNão se aplicaNão se aplicaNão se aplicaNão se aplicaPonta</t>
  </si>
  <si>
    <t>44075ASAzulNão se aplicaNão se aplicaNão se aplicaNão se aplicaPonta</t>
  </si>
  <si>
    <t>43739ASAzulNão se aplicaNão se aplicaNão se aplicaNão se aplicaNão se aplica</t>
  </si>
  <si>
    <t>43770ASAzulNão se aplicaNão se aplicaNão se aplicaNão se aplicaNão se aplica</t>
  </si>
  <si>
    <t>43800ASAzulNão se aplicaNão se aplicaNão se aplicaNão se aplicaNão se aplica</t>
  </si>
  <si>
    <t>43831ASAzulNão se aplicaNão se aplicaNão se aplicaNão se aplicaNão se aplica</t>
  </si>
  <si>
    <t>43862ASAzulNão se aplicaNão se aplicaNão se aplicaNão se aplicaNão se aplica</t>
  </si>
  <si>
    <t>43891ASAzulNão se aplicaNão se aplicaNão se aplicaNão se aplicaNão se aplica</t>
  </si>
  <si>
    <t>43922ASAzulNão se aplicaNão se aplicaNão se aplicaNão se aplicaNão se aplica</t>
  </si>
  <si>
    <t>43952ASAzulNão se aplicaNão se aplicaNão se aplicaNão se aplicaNão se aplica</t>
  </si>
  <si>
    <t>43983ASAzulNão se aplicaNão se aplicaNão se aplicaNão se aplicaNão se aplica</t>
  </si>
  <si>
    <t>44013ASAzulNão se aplicaNão se aplicaNão se aplicaNão se aplicaNão se aplica</t>
  </si>
  <si>
    <t>44044ASAzulNão se aplicaNão se aplicaNão se aplicaNão se aplicaNão se aplica</t>
  </si>
  <si>
    <t>44075ASAzulNão se aplicaNão se aplicaNão se aplicaNão se aplicaNão se aplica</t>
  </si>
  <si>
    <t>43739ASVerdeNão se aplicaNão se aplicaNão se aplicaNão se aplicaFora ponta</t>
  </si>
  <si>
    <t>43770ASVerdeNão se aplicaNão se aplicaNão se aplicaNão se aplicaFora ponta</t>
  </si>
  <si>
    <t>43800ASVerdeNão se aplicaNão se aplicaNão se aplicaNão se aplicaFora ponta</t>
  </si>
  <si>
    <t>43831ASVerdeNão se aplicaNão se aplicaNão se aplicaNão se aplicaFora ponta</t>
  </si>
  <si>
    <t>43862ASVerdeNão se aplicaNão se aplicaNão se aplicaNão se aplicaFora ponta</t>
  </si>
  <si>
    <t>43891ASVerdeNão se aplicaNão se aplicaNão se aplicaNão se aplicaFora ponta</t>
  </si>
  <si>
    <t>43922ASVerdeNão se aplicaNão se aplicaNão se aplicaNão se aplicaFora ponta</t>
  </si>
  <si>
    <t>43952ASVerdeNão se aplicaNão se aplicaNão se aplicaNão se aplicaFora ponta</t>
  </si>
  <si>
    <t>43983ASVerdeNão se aplicaNão se aplicaNão se aplicaNão se aplicaFora ponta</t>
  </si>
  <si>
    <t>44013ASVerdeNão se aplicaNão se aplicaNão se aplicaNão se aplicaFora ponta</t>
  </si>
  <si>
    <t>44044ASVerdeNão se aplicaNão se aplicaNão se aplicaNão se aplicaFora ponta</t>
  </si>
  <si>
    <t>44075ASVerdeNão se aplicaNão se aplicaNão se aplicaNão se aplicaFora ponta</t>
  </si>
  <si>
    <t>43739ASVerdeNão se aplicaNão se aplicaNão se aplicaNão se aplicaNão se aplica</t>
  </si>
  <si>
    <t>43770ASVerdeNão se aplicaNão se aplicaNão se aplicaNão se aplicaNão se aplica</t>
  </si>
  <si>
    <t>43800ASVerdeNão se aplicaNão se aplicaNão se aplicaNão se aplicaNão se aplica</t>
  </si>
  <si>
    <t>43831ASVerdeNão se aplicaNão se aplicaNão se aplicaNão se aplicaNão se aplica</t>
  </si>
  <si>
    <t>43862ASVerdeNão se aplicaNão se aplicaNão se aplicaNão se aplicaNão se aplica</t>
  </si>
  <si>
    <t>43891ASVerdeNão se aplicaNão se aplicaNão se aplicaNão se aplicaNão se aplica</t>
  </si>
  <si>
    <t>43922ASVerdeNão se aplicaNão se aplicaNão se aplicaNão se aplicaNão se aplica</t>
  </si>
  <si>
    <t>43952ASVerdeNão se aplicaNão se aplicaNão se aplicaNão se aplicaNão se aplica</t>
  </si>
  <si>
    <t>43983ASVerdeNão se aplicaNão se aplicaNão se aplicaNão se aplicaNão se aplica</t>
  </si>
  <si>
    <t>44013ASVerdeNão se aplicaNão se aplicaNão se aplicaNão se aplicaNão se aplica</t>
  </si>
  <si>
    <t>44044ASVerdeNão se aplicaNão se aplicaNão se aplicaNão se aplicaNão se aplica</t>
  </si>
  <si>
    <t>44075ASVerdeNão se aplicaNão se aplicaNão se aplicaNão se aplicaNão se aplica</t>
  </si>
  <si>
    <t>43739ASVerdeNão se aplicaNão se aplicaNão se aplicaNão se aplicaPonta</t>
  </si>
  <si>
    <t>43770ASVerdeNão se aplicaNão se aplicaNão se aplicaNão se aplicaPonta</t>
  </si>
  <si>
    <t>43800ASVerdeNão se aplicaNão se aplicaNão se aplicaNão se aplicaPonta</t>
  </si>
  <si>
    <t>43831ASVerdeNão se aplicaNão se aplicaNão se aplicaNão se aplicaPonta</t>
  </si>
  <si>
    <t>43862ASVerdeNão se aplicaNão se aplicaNão se aplicaNão se aplicaPonta</t>
  </si>
  <si>
    <t>43891ASVerdeNão se aplicaNão se aplicaNão se aplicaNão se aplicaPonta</t>
  </si>
  <si>
    <t>43922ASVerdeNão se aplicaNão se aplicaNão se aplicaNão se aplicaPonta</t>
  </si>
  <si>
    <t>43952ASVerdeNão se aplicaNão se aplicaNão se aplicaNão se aplicaPonta</t>
  </si>
  <si>
    <t>43983ASVerdeNão se aplicaNão se aplicaNão se aplicaNão se aplicaPonta</t>
  </si>
  <si>
    <t>44013ASVerdeNão se aplicaNão se aplicaNão se aplicaNão se aplicaPonta</t>
  </si>
  <si>
    <t>44044ASVerdeNão se aplicaNão se aplicaNão se aplicaNão se aplicaPonta</t>
  </si>
  <si>
    <t>44075ASVerdeNão se aplicaNão se aplicaNão se aplicaNão se aplicaPonta</t>
  </si>
  <si>
    <t>43739B1BrancaResidencialResidencialNão se aplicaNão se aplicaFora ponta</t>
  </si>
  <si>
    <t>43770B1BrancaResidencialResidencialNão se aplicaNão se aplicaFora ponta</t>
  </si>
  <si>
    <t>43800B1BrancaResidencialResidencialNão se aplicaNão se aplicaFora ponta</t>
  </si>
  <si>
    <t>43831B1BrancaResidencialResidencialNão se aplicaNão se aplicaFora ponta</t>
  </si>
  <si>
    <t>43862B1BrancaResidencialResidencialNão se aplicaNão se aplicaFora ponta</t>
  </si>
  <si>
    <t>43891B1BrancaResidencialResidencialNão se aplicaNão se aplicaFora ponta</t>
  </si>
  <si>
    <t>43922B1BrancaResidencialResidencialNão se aplicaNão se aplicaFora ponta</t>
  </si>
  <si>
    <t>43952B1BrancaResidencialResidencialNão se aplicaNão se aplicaFora ponta</t>
  </si>
  <si>
    <t>43983B1BrancaResidencialResidencialNão se aplicaNão se aplicaFora ponta</t>
  </si>
  <si>
    <t>44013B1BrancaResidencialResidencialNão se aplicaNão se aplicaFora ponta</t>
  </si>
  <si>
    <t>44044B1BrancaResidencialResidencialNão se aplicaNão se aplicaFora ponta</t>
  </si>
  <si>
    <t>44075B1BrancaResidencialResidencialNão se aplicaNão se aplicaFora ponta</t>
  </si>
  <si>
    <t>43739B1BrancaResidencialResidencialNão se aplicaNão se aplicaIntermediário</t>
  </si>
  <si>
    <t>43770B1BrancaResidencialResidencialNão se aplicaNão se aplicaIntermediário</t>
  </si>
  <si>
    <t>43800B1BrancaResidencialResidencialNão se aplicaNão se aplicaIntermediário</t>
  </si>
  <si>
    <t>43831B1BrancaResidencialResidencialNão se aplicaNão se aplicaIntermediário</t>
  </si>
  <si>
    <t>43862B1BrancaResidencialResidencialNão se aplicaNão se aplicaIntermediário</t>
  </si>
  <si>
    <t>43891B1BrancaResidencialResidencialNão se aplicaNão se aplicaIntermediário</t>
  </si>
  <si>
    <t>43922B1BrancaResidencialResidencialNão se aplicaNão se aplicaIntermediário</t>
  </si>
  <si>
    <t>43952B1BrancaResidencialResidencialNão se aplicaNão se aplicaIntermediário</t>
  </si>
  <si>
    <t>43983B1BrancaResidencialResidencialNão se aplicaNão se aplicaIntermediário</t>
  </si>
  <si>
    <t>44013B1BrancaResidencialResidencialNão se aplicaNão se aplicaIntermediário</t>
  </si>
  <si>
    <t>44044B1BrancaResidencialResidencialNão se aplicaNão se aplicaIntermediário</t>
  </si>
  <si>
    <t>44075B1BrancaResidencialResidencialNão se aplicaNão se aplicaIntermediário</t>
  </si>
  <si>
    <t>43739B1BrancaResidencialResidencialNão se aplicaNão se aplicaPonta</t>
  </si>
  <si>
    <t>43770B1BrancaResidencialResidencialNão se aplicaNão se aplicaPonta</t>
  </si>
  <si>
    <t>43800B1BrancaResidencialResidencialNão se aplicaNão se aplicaPonta</t>
  </si>
  <si>
    <t>43831B1BrancaResidencialResidencialNão se aplicaNão se aplicaPonta</t>
  </si>
  <si>
    <t>43862B1BrancaResidencialResidencialNão se aplicaNão se aplicaPonta</t>
  </si>
  <si>
    <t>43891B1BrancaResidencialResidencialNão se aplicaNão se aplicaPonta</t>
  </si>
  <si>
    <t>43922B1BrancaResidencialResidencialNão se aplicaNão se aplicaPonta</t>
  </si>
  <si>
    <t>43952B1BrancaResidencialResidencialNão se aplicaNão se aplicaPonta</t>
  </si>
  <si>
    <t>43983B1BrancaResidencialResidencialNão se aplicaNão se aplicaPonta</t>
  </si>
  <si>
    <t>44013B1BrancaResidencialResidencialNão se aplicaNão se aplicaPonta</t>
  </si>
  <si>
    <t>44044B1BrancaResidencialResidencialNão se aplicaNão se aplicaPonta</t>
  </si>
  <si>
    <t>44075B1BrancaResidencialResidencialNão se aplicaNão se aplicaPonta</t>
  </si>
  <si>
    <t>43739B1ConvencionalResidencialResidencialNão se aplicaNão se aplicaNão se aplica</t>
  </si>
  <si>
    <t>43770B1ConvencionalResidencialResidencialNão se aplicaNão se aplicaNão se aplica</t>
  </si>
  <si>
    <t>43800B1ConvencionalResidencialResidencialNão se aplicaNão se aplicaNão se aplica</t>
  </si>
  <si>
    <t>43831B1ConvencionalResidencialResidencialNão se aplicaNão se aplicaNão se aplica</t>
  </si>
  <si>
    <t>43862B1ConvencionalResidencialResidencialNão se aplicaNão se aplicaNão se aplica</t>
  </si>
  <si>
    <t>43891B1ConvencionalResidencialResidencialNão se aplicaNão se aplicaNão se aplica</t>
  </si>
  <si>
    <t>43922B1ConvencionalResidencialResidencialNão se aplicaNão se aplicaNão se aplica</t>
  </si>
  <si>
    <t>43952B1ConvencionalResidencialResidencialNão se aplicaNão se aplicaNão se aplica</t>
  </si>
  <si>
    <t>43983B1ConvencionalResidencialResidencialNão se aplicaNão se aplicaNão se aplica</t>
  </si>
  <si>
    <t>44013B1ConvencionalResidencialResidencialNão se aplicaNão se aplicaNão se aplica</t>
  </si>
  <si>
    <t>44044B1ConvencionalResidencialResidencialNão se aplicaNão se aplicaNão se aplica</t>
  </si>
  <si>
    <t>44075B1ConvencionalResidencialResidencialNão se aplicaNão se aplicaNão se aplica</t>
  </si>
  <si>
    <t>43739B1ConvencionalResidencialResidencial baixa renda – faixa 01Não se aplicaNão se aplicaNão se aplica</t>
  </si>
  <si>
    <t>43770B1ConvencionalResidencialResidencial baixa renda – faixa 01Não se aplicaNão se aplicaNão se aplica</t>
  </si>
  <si>
    <t>43800B1ConvencionalResidencialResidencial baixa renda – faixa 01Não se aplicaNão se aplicaNão se aplica</t>
  </si>
  <si>
    <t>43831B1ConvencionalResidencialResidencial baixa renda – faixa 01Não se aplicaNão se aplicaNão se aplica</t>
  </si>
  <si>
    <t>43862B1ConvencionalResidencialResidencial baixa renda – faixa 01Não se aplicaNão se aplicaNão se aplica</t>
  </si>
  <si>
    <t>43891B1ConvencionalResidencialResidencial baixa renda – faixa 01Não se aplicaNão se aplicaNão se aplica</t>
  </si>
  <si>
    <t>43922B1ConvencionalResidencialResidencial baixa renda – faixa 01Não se aplicaNão se aplicaNão se aplica</t>
  </si>
  <si>
    <t>43952B1ConvencionalResidencialResidencial baixa renda – faixa 01Não se aplicaNão se aplicaNão se aplica</t>
  </si>
  <si>
    <t>43983B1ConvencionalResidencialResidencial baixa renda – faixa 01Não se aplicaNão se aplicaNão se aplica</t>
  </si>
  <si>
    <t>44013B1ConvencionalResidencialResidencial baixa renda – faixa 01Não se aplicaNão se aplicaNão se aplica</t>
  </si>
  <si>
    <t>44044B1ConvencionalResidencialResidencial baixa renda – faixa 01Não se aplicaNão se aplicaNão se aplica</t>
  </si>
  <si>
    <t>44075B1ConvencionalResidencialResidencial baixa renda – faixa 01Não se aplicaNão se aplicaNão se aplica</t>
  </si>
  <si>
    <t>43739B1ConvencionalResidencialResidencial baixa renda – faixa 02Não se aplicaNão se aplicaNão se aplica</t>
  </si>
  <si>
    <t>43770B1ConvencionalResidencialResidencial baixa renda – faixa 02Não se aplicaNão se aplicaNão se aplica</t>
  </si>
  <si>
    <t>43800B1ConvencionalResidencialResidencial baixa renda – faixa 02Não se aplicaNão se aplicaNão se aplica</t>
  </si>
  <si>
    <t>43831B1ConvencionalResidencialResidencial baixa renda – faixa 02Não se aplicaNão se aplicaNão se aplica</t>
  </si>
  <si>
    <t>43862B1ConvencionalResidencialResidencial baixa renda – faixa 02Não se aplicaNão se aplicaNão se aplica</t>
  </si>
  <si>
    <t>43891B1ConvencionalResidencialResidencial baixa renda – faixa 02Não se aplicaNão se aplicaNão se aplica</t>
  </si>
  <si>
    <t>43922B1ConvencionalResidencialResidencial baixa renda – faixa 02Não se aplicaNão se aplicaNão se aplica</t>
  </si>
  <si>
    <t>43952B1ConvencionalResidencialResidencial baixa renda – faixa 02Não se aplicaNão se aplicaNão se aplica</t>
  </si>
  <si>
    <t>43983B1ConvencionalResidencialResidencial baixa renda – faixa 02Não se aplicaNão se aplicaNão se aplica</t>
  </si>
  <si>
    <t>44013B1ConvencionalResidencialResidencial baixa renda – faixa 02Não se aplicaNão se aplicaNão se aplica</t>
  </si>
  <si>
    <t>44044B1ConvencionalResidencialResidencial baixa renda – faixa 02Não se aplicaNão se aplicaNão se aplica</t>
  </si>
  <si>
    <t>44075B1ConvencionalResidencialResidencial baixa renda – faixa 02Não se aplicaNão se aplicaNão se aplica</t>
  </si>
  <si>
    <t>43739B1ConvencionalResidencialResidencial baixa renda – faixa 03Não se aplicaNão se aplicaNão se aplica</t>
  </si>
  <si>
    <t>43770B1ConvencionalResidencialResidencial baixa renda – faixa 03Não se aplicaNão se aplicaNão se aplica</t>
  </si>
  <si>
    <t>43800B1ConvencionalResidencialResidencial baixa renda – faixa 03Não se aplicaNão se aplicaNão se aplica</t>
  </si>
  <si>
    <t>43831B1ConvencionalResidencialResidencial baixa renda – faixa 03Não se aplicaNão se aplicaNão se aplica</t>
  </si>
  <si>
    <t>43862B1ConvencionalResidencialResidencial baixa renda – faixa 03Não se aplicaNão se aplicaNão se aplica</t>
  </si>
  <si>
    <t>43891B1ConvencionalResidencialResidencial baixa renda – faixa 03Não se aplicaNão se aplicaNão se aplica</t>
  </si>
  <si>
    <t>43922B1ConvencionalResidencialResidencial baixa renda – faixa 03Não se aplicaNão se aplicaNão se aplica</t>
  </si>
  <si>
    <t>43952B1ConvencionalResidencialResidencial baixa renda – faixa 03Não se aplicaNão se aplicaNão se aplica</t>
  </si>
  <si>
    <t>43983B1ConvencionalResidencialResidencial baixa renda – faixa 03Não se aplicaNão se aplicaNão se aplica</t>
  </si>
  <si>
    <t>44013B1ConvencionalResidencialResidencial baixa renda – faixa 03Não se aplicaNão se aplicaNão se aplica</t>
  </si>
  <si>
    <t>44044B1ConvencionalResidencialResidencial baixa renda – faixa 03Não se aplicaNão se aplicaNão se aplica</t>
  </si>
  <si>
    <t>44075B1ConvencionalResidencialResidencial baixa renda – faixa 03Não se aplicaNão se aplicaNão se aplica</t>
  </si>
  <si>
    <t>43739B1ConvencionalResidencialResidencial baixa renda – faixa 04Não se aplicaNão se aplicaNão se aplica</t>
  </si>
  <si>
    <t>43770B1ConvencionalResidencialResidencial baixa renda – faixa 04Não se aplicaNão se aplicaNão se aplica</t>
  </si>
  <si>
    <t>43800B1ConvencionalResidencialResidencial baixa renda – faixa 04Não se aplicaNão se aplicaNão se aplica</t>
  </si>
  <si>
    <t>43831B1ConvencionalResidencialResidencial baixa renda – faixa 04Não se aplicaNão se aplicaNão se aplica</t>
  </si>
  <si>
    <t>43862B1ConvencionalResidencialResidencial baixa renda – faixa 04Não se aplicaNão se aplicaNão se aplica</t>
  </si>
  <si>
    <t>43891B1ConvencionalResidencialResidencial baixa renda – faixa 04Não se aplicaNão se aplicaNão se aplica</t>
  </si>
  <si>
    <t>43922B1ConvencionalResidencialResidencial baixa renda – faixa 04Não se aplicaNão se aplicaNão se aplica</t>
  </si>
  <si>
    <t>43952B1ConvencionalResidencialResidencial baixa renda – faixa 04Não se aplicaNão se aplicaNão se aplica</t>
  </si>
  <si>
    <t>43983B1ConvencionalResidencialResidencial baixa renda – faixa 04Não se aplicaNão se aplicaNão se aplica</t>
  </si>
  <si>
    <t>44013B1ConvencionalResidencialResidencial baixa renda – faixa 04Não se aplicaNão se aplicaNão se aplica</t>
  </si>
  <si>
    <t>44044B1ConvencionalResidencialResidencial baixa renda – faixa 04Não se aplicaNão se aplicaNão se aplica</t>
  </si>
  <si>
    <t>44075B1ConvencionalResidencialResidencial baixa renda – faixa 04Não se aplicaNão se aplicaNão se aplica</t>
  </si>
  <si>
    <t>43739B2BrancaRuralNão se aplicaNão se aplicaNão se aplicaFora ponta</t>
  </si>
  <si>
    <t>43770B2BrancaRuralNão se aplicaNão se aplicaNão se aplicaFora ponta</t>
  </si>
  <si>
    <t>43800B2BrancaRuralNão se aplicaNão se aplicaNão se aplicaFora ponta</t>
  </si>
  <si>
    <t>43831B2BrancaRuralNão se aplicaNão se aplicaNão se aplicaFora ponta</t>
  </si>
  <si>
    <t>43862B2BrancaRuralNão se aplicaNão se aplicaNão se aplicaFora ponta</t>
  </si>
  <si>
    <t>43891B2BrancaRuralNão se aplicaNão se aplicaNão se aplicaFora ponta</t>
  </si>
  <si>
    <t>43922B2BrancaRuralNão se aplicaNão se aplicaNão se aplicaFora ponta</t>
  </si>
  <si>
    <t>43952B2BrancaRuralNão se aplicaNão se aplicaNão se aplicaFora ponta</t>
  </si>
  <si>
    <t>43983B2BrancaRuralNão se aplicaNão se aplicaNão se aplicaFora ponta</t>
  </si>
  <si>
    <t>44013B2BrancaRuralNão se aplicaNão se aplicaNão se aplicaFora ponta</t>
  </si>
  <si>
    <t>44044B2BrancaRuralNão se aplicaNão se aplicaNão se aplicaFora ponta</t>
  </si>
  <si>
    <t>44075B2BrancaRuralNão se aplicaNão se aplicaNão se aplicaFora ponta</t>
  </si>
  <si>
    <t>43739B2BrancaRuralNão se aplicaNão se aplicaNão se aplicaIntermediário</t>
  </si>
  <si>
    <t>43770B2BrancaRuralNão se aplicaNão se aplicaNão se aplicaIntermediário</t>
  </si>
  <si>
    <t>43800B2BrancaRuralNão se aplicaNão se aplicaNão se aplicaIntermediário</t>
  </si>
  <si>
    <t>43831B2BrancaRuralNão se aplicaNão se aplicaNão se aplicaIntermediário</t>
  </si>
  <si>
    <t>43862B2BrancaRuralNão se aplicaNão se aplicaNão se aplicaIntermediário</t>
  </si>
  <si>
    <t>43891B2BrancaRuralNão se aplicaNão se aplicaNão se aplicaIntermediário</t>
  </si>
  <si>
    <t>43922B2BrancaRuralNão se aplicaNão se aplicaNão se aplicaIntermediário</t>
  </si>
  <si>
    <t>43952B2BrancaRuralNão se aplicaNão se aplicaNão se aplicaIntermediário</t>
  </si>
  <si>
    <t>43983B2BrancaRuralNão se aplicaNão se aplicaNão se aplicaIntermediário</t>
  </si>
  <si>
    <t>44013B2BrancaRuralNão se aplicaNão se aplicaNão se aplicaIntermediário</t>
  </si>
  <si>
    <t>44044B2BrancaRuralNão se aplicaNão se aplicaNão se aplicaIntermediário</t>
  </si>
  <si>
    <t>44075B2BrancaRuralNão se aplicaNão se aplicaNão se aplicaIntermediário</t>
  </si>
  <si>
    <t>43739B2BrancaRuralNão se aplicaNão se aplicaNão se aplicaPonta</t>
  </si>
  <si>
    <t>43770B2BrancaRuralNão se aplicaNão se aplicaNão se aplicaPonta</t>
  </si>
  <si>
    <t>43800B2BrancaRuralNão se aplicaNão se aplicaNão se aplicaPonta</t>
  </si>
  <si>
    <t>43831B2BrancaRuralNão se aplicaNão se aplicaNão se aplicaPonta</t>
  </si>
  <si>
    <t>43862B2BrancaRuralNão se aplicaNão se aplicaNão se aplicaPonta</t>
  </si>
  <si>
    <t>43891B2BrancaRuralNão se aplicaNão se aplicaNão se aplicaPonta</t>
  </si>
  <si>
    <t>43922B2BrancaRuralNão se aplicaNão se aplicaNão se aplicaPonta</t>
  </si>
  <si>
    <t>43952B2BrancaRuralNão se aplicaNão se aplicaNão se aplicaPonta</t>
  </si>
  <si>
    <t>43983B2BrancaRuralNão se aplicaNão se aplicaNão se aplicaPonta</t>
  </si>
  <si>
    <t>44013B2BrancaRuralNão se aplicaNão se aplicaNão se aplicaPonta</t>
  </si>
  <si>
    <t>44044B2BrancaRuralNão se aplicaNão se aplicaNão se aplicaPonta</t>
  </si>
  <si>
    <t>44075B2BrancaRuralNão se aplicaNão se aplicaNão se aplicaPonta</t>
  </si>
  <si>
    <t>43739B2ConvencionalRuralNão se aplicaNão se aplicaNão se aplicaNão se aplica</t>
  </si>
  <si>
    <t>43770B2ConvencionalRuralNão se aplicaNão se aplicaNão se aplicaNão se aplica</t>
  </si>
  <si>
    <t>43800B2ConvencionalRuralNão se aplicaNão se aplicaNão se aplicaNão se aplica</t>
  </si>
  <si>
    <t>43831B2ConvencionalRuralNão se aplicaNão se aplicaNão se aplicaNão se aplica</t>
  </si>
  <si>
    <t>43862B2ConvencionalRuralNão se aplicaNão se aplicaNão se aplicaNão se aplica</t>
  </si>
  <si>
    <t>43891B2ConvencionalRuralNão se aplicaNão se aplicaNão se aplicaNão se aplica</t>
  </si>
  <si>
    <t>43922B2ConvencionalRuralNão se aplicaNão se aplicaNão se aplicaNão se aplica</t>
  </si>
  <si>
    <t>43952B2ConvencionalRuralNão se aplicaNão se aplicaNão se aplicaNão se aplica</t>
  </si>
  <si>
    <t>43983B2ConvencionalRuralNão se aplicaNão se aplicaNão se aplicaNão se aplica</t>
  </si>
  <si>
    <t>44013B2ConvencionalRuralNão se aplicaNão se aplicaNão se aplicaNão se aplica</t>
  </si>
  <si>
    <t>44044B2ConvencionalRuralNão se aplicaNão se aplicaNão se aplicaNão se aplica</t>
  </si>
  <si>
    <t>44075B2ConvencionalRuralNão se aplicaNão se aplicaNão se aplicaNão se aplica</t>
  </si>
  <si>
    <t>43739B3BrancaNão se aplicaNão se aplicaNão se aplicaNão se aplicaFora ponta</t>
  </si>
  <si>
    <t>43770B3BrancaNão se aplicaNão se aplicaNão se aplicaNão se aplicaFora ponta</t>
  </si>
  <si>
    <t>43800B3BrancaNão se aplicaNão se aplicaNão se aplicaNão se aplicaFora ponta</t>
  </si>
  <si>
    <t>43831B3BrancaNão se aplicaNão se aplicaNão se aplicaNão se aplicaFora ponta</t>
  </si>
  <si>
    <t>43862B3BrancaNão se aplicaNão se aplicaNão se aplicaNão se aplicaFora ponta</t>
  </si>
  <si>
    <t>43891B3BrancaNão se aplicaNão se aplicaNão se aplicaNão se aplicaFora ponta</t>
  </si>
  <si>
    <t>43922B3BrancaNão se aplicaNão se aplicaNão se aplicaNão se aplicaFora ponta</t>
  </si>
  <si>
    <t>43952B3BrancaNão se aplicaNão se aplicaNão se aplicaNão se aplicaFora ponta</t>
  </si>
  <si>
    <t>43983B3BrancaNão se aplicaNão se aplicaNão se aplicaNão se aplicaFora ponta</t>
  </si>
  <si>
    <t>44013B3BrancaNão se aplicaNão se aplicaNão se aplicaNão se aplicaFora ponta</t>
  </si>
  <si>
    <t>44044B3BrancaNão se aplicaNão se aplicaNão se aplicaNão se aplicaFora ponta</t>
  </si>
  <si>
    <t>44075B3BrancaNão se aplicaNão se aplicaNão se aplicaNão se aplicaFora ponta</t>
  </si>
  <si>
    <t>43739B3BrancaNão se aplicaNão se aplicaNão se aplicaNão se aplicaIntermediário</t>
  </si>
  <si>
    <t>43770B3BrancaNão se aplicaNão se aplicaNão se aplicaNão se aplicaIntermediário</t>
  </si>
  <si>
    <t>43800B3BrancaNão se aplicaNão se aplicaNão se aplicaNão se aplicaIntermediário</t>
  </si>
  <si>
    <t>43831B3BrancaNão se aplicaNão se aplicaNão se aplicaNão se aplicaIntermediário</t>
  </si>
  <si>
    <t>43862B3BrancaNão se aplicaNão se aplicaNão se aplicaNão se aplicaIntermediário</t>
  </si>
  <si>
    <t>43891B3BrancaNão se aplicaNão se aplicaNão se aplicaNão se aplicaIntermediário</t>
  </si>
  <si>
    <t>43922B3BrancaNão se aplicaNão se aplicaNão se aplicaNão se aplicaIntermediário</t>
  </si>
  <si>
    <t>43952B3BrancaNão se aplicaNão se aplicaNão se aplicaNão se aplicaIntermediário</t>
  </si>
  <si>
    <t>43983B3BrancaNão se aplicaNão se aplicaNão se aplicaNão se aplicaIntermediário</t>
  </si>
  <si>
    <t>44013B3BrancaNão se aplicaNão se aplicaNão se aplicaNão se aplicaIntermediário</t>
  </si>
  <si>
    <t>44044B3BrancaNão se aplicaNão se aplicaNão se aplicaNão se aplicaIntermediário</t>
  </si>
  <si>
    <t>44075B3BrancaNão se aplicaNão se aplicaNão se aplicaNão se aplicaIntermediário</t>
  </si>
  <si>
    <t>43739B3BrancaNão se aplicaNão se aplicaNão se aplicaNão se aplicaPonta</t>
  </si>
  <si>
    <t>43770B3BrancaNão se aplicaNão se aplicaNão se aplicaNão se aplicaPonta</t>
  </si>
  <si>
    <t>43800B3BrancaNão se aplicaNão se aplicaNão se aplicaNão se aplicaPonta</t>
  </si>
  <si>
    <t>43831B3BrancaNão se aplicaNão se aplicaNão se aplicaNão se aplicaPonta</t>
  </si>
  <si>
    <t>43862B3BrancaNão se aplicaNão se aplicaNão se aplicaNão se aplicaPonta</t>
  </si>
  <si>
    <t>43891B3BrancaNão se aplicaNão se aplicaNão se aplicaNão se aplicaPonta</t>
  </si>
  <si>
    <t>43922B3BrancaNão se aplicaNão se aplicaNão se aplicaNão se aplicaPonta</t>
  </si>
  <si>
    <t>43952B3BrancaNão se aplicaNão se aplicaNão se aplicaNão se aplicaPonta</t>
  </si>
  <si>
    <t>43983B3BrancaNão se aplicaNão se aplicaNão se aplicaNão se aplicaPonta</t>
  </si>
  <si>
    <t>44013B3BrancaNão se aplicaNão se aplicaNão se aplicaNão se aplicaPonta</t>
  </si>
  <si>
    <t>44044B3BrancaNão se aplicaNão se aplicaNão se aplicaNão se aplicaPonta</t>
  </si>
  <si>
    <t>44075B3BrancaNão se aplicaNão se aplicaNão se aplicaNão se aplicaPonta</t>
  </si>
  <si>
    <t>43739B3ConvencionalNão se aplicaNão se aplicaNão se aplicaNão se aplicaNão se aplica</t>
  </si>
  <si>
    <t>43770B3ConvencionalNão se aplicaNão se aplicaNão se aplicaNão se aplicaNão se aplica</t>
  </si>
  <si>
    <t>43800B3ConvencionalNão se aplicaNão se aplicaNão se aplicaNão se aplicaNão se aplica</t>
  </si>
  <si>
    <t>43831B3ConvencionalNão se aplicaNão se aplicaNão se aplicaNão se aplicaNão se aplica</t>
  </si>
  <si>
    <t>43862B3ConvencionalNão se aplicaNão se aplicaNão se aplicaNão se aplicaNão se aplica</t>
  </si>
  <si>
    <t>43891B3ConvencionalNão se aplicaNão se aplicaNão se aplicaNão se aplicaNão se aplica</t>
  </si>
  <si>
    <t>43922B3ConvencionalNão se aplicaNão se aplicaNão se aplicaNão se aplicaNão se aplica</t>
  </si>
  <si>
    <t>43952B3ConvencionalNão se aplicaNão se aplicaNão se aplicaNão se aplicaNão se aplica</t>
  </si>
  <si>
    <t>43983B3ConvencionalNão se aplicaNão se aplicaNão se aplicaNão se aplicaNão se aplica</t>
  </si>
  <si>
    <t>44013B3ConvencionalNão se aplicaNão se aplicaNão se aplicaNão se aplicaNão se aplica</t>
  </si>
  <si>
    <t>44044B3ConvencionalNão se aplicaNão se aplicaNão se aplicaNão se aplicaNão se aplica</t>
  </si>
  <si>
    <t>44075B3ConvencionalNão se aplicaNão se aplicaNão se aplicaNão se aplicaNão se aplica</t>
  </si>
  <si>
    <t>43739B4ConvencionalIluminação públicaIluminação pública – B4aNão se aplicaNão se aplicaNão se aplica</t>
  </si>
  <si>
    <t>43770B4ConvencionalIluminação públicaIluminação pública – B4aNão se aplicaNão se aplicaNão se aplica</t>
  </si>
  <si>
    <t>43800B4ConvencionalIluminação públicaIluminação pública – B4aNão se aplicaNão se aplicaNão se aplica</t>
  </si>
  <si>
    <t>43831B4ConvencionalIluminação públicaIluminação pública – B4aNão se aplicaNão se aplicaNão se aplica</t>
  </si>
  <si>
    <t>43862B4ConvencionalIluminação públicaIluminação pública – B4aNão se aplicaNão se aplicaNão se aplica</t>
  </si>
  <si>
    <t>43891B4ConvencionalIluminação públicaIluminação pública – B4aNão se aplicaNão se aplicaNão se aplica</t>
  </si>
  <si>
    <t>43922B4ConvencionalIluminação públicaIluminação pública – B4aNão se aplicaNão se aplicaNão se aplica</t>
  </si>
  <si>
    <t>43952B4ConvencionalIluminação públicaIluminação pública – B4aNão se aplicaNão se aplicaNão se aplica</t>
  </si>
  <si>
    <t>43983B4ConvencionalIluminação públicaIluminação pública – B4aNão se aplicaNão se aplicaNão se aplica</t>
  </si>
  <si>
    <t>44013B4ConvencionalIluminação públicaIluminação pública – B4aNão se aplicaNão se aplicaNão se aplica</t>
  </si>
  <si>
    <t>44044B4ConvencionalIluminação públicaIluminação pública – B4aNão se aplicaNão se aplicaNão se aplica</t>
  </si>
  <si>
    <t>44075B4ConvencionalIluminação públicaIluminação pública – B4aNão se aplicaNão se aplicaNão se aplica</t>
  </si>
  <si>
    <t>CHAVE TE</t>
  </si>
  <si>
    <t>43739A2Energia horáriaNão se aplicaNão se aplicaNão se aplicaNão se aplicaFora ponta</t>
  </si>
  <si>
    <t>43770A2Energia horáriaNão se aplicaNão se aplicaNão se aplicaNão se aplicaFora ponta</t>
  </si>
  <si>
    <t>43800A2Energia horáriaNão se aplicaNão se aplicaNão se aplicaNão se aplicaFora ponta</t>
  </si>
  <si>
    <t>43831A2Energia horáriaNão se aplicaNão se aplicaNão se aplicaNão se aplicaFora ponta</t>
  </si>
  <si>
    <t>43862A2Energia horáriaNão se aplicaNão se aplicaNão se aplicaNão se aplicaFora ponta</t>
  </si>
  <si>
    <t>43891A2Energia horáriaNão se aplicaNão se aplicaNão se aplicaNão se aplicaFora ponta</t>
  </si>
  <si>
    <t>43922A2Energia horáriaNão se aplicaNão se aplicaNão se aplicaNão se aplicaFora ponta</t>
  </si>
  <si>
    <t>43952A2Energia horáriaNão se aplicaNão se aplicaNão se aplicaNão se aplicaFora ponta</t>
  </si>
  <si>
    <t>43983A2Energia horáriaNão se aplicaNão se aplicaNão se aplicaNão se aplicaFora ponta</t>
  </si>
  <si>
    <t>44013A2Energia horáriaNão se aplicaNão se aplicaNão se aplicaNão se aplicaFora ponta</t>
  </si>
  <si>
    <t>44044A2Energia horáriaNão se aplicaNão se aplicaNão se aplicaNão se aplicaFora ponta</t>
  </si>
  <si>
    <t>44075A2Energia horáriaNão se aplicaNão se aplicaNão se aplicaNão se aplicaFora ponta</t>
  </si>
  <si>
    <t>43739A2Energia horáriaNão se aplicaNão se aplicaNão se aplicaNão se aplicaPonta</t>
  </si>
  <si>
    <t>43770A2Energia horáriaNão se aplicaNão se aplicaNão se aplicaNão se aplicaPonta</t>
  </si>
  <si>
    <t>43800A2Energia horáriaNão se aplicaNão se aplicaNão se aplicaNão se aplicaPonta</t>
  </si>
  <si>
    <t>43831A2Energia horáriaNão se aplicaNão se aplicaNão se aplicaNão se aplicaPonta</t>
  </si>
  <si>
    <t>43862A2Energia horáriaNão se aplicaNão se aplicaNão se aplicaNão se aplicaPonta</t>
  </si>
  <si>
    <t>43891A2Energia horáriaNão se aplicaNão se aplicaNão se aplicaNão se aplicaPonta</t>
  </si>
  <si>
    <t>43922A2Energia horáriaNão se aplicaNão se aplicaNão se aplicaNão se aplicaPonta</t>
  </si>
  <si>
    <t>43952A2Energia horáriaNão se aplicaNão se aplicaNão se aplicaNão se aplicaPonta</t>
  </si>
  <si>
    <t>43983A2Energia horáriaNão se aplicaNão se aplicaNão se aplicaNão se aplicaPonta</t>
  </si>
  <si>
    <t>44013A2Energia horáriaNão se aplicaNão se aplicaNão se aplicaNão se aplicaPonta</t>
  </si>
  <si>
    <t>44044A2Energia horáriaNão se aplicaNão se aplicaNão se aplicaNão se aplicaPonta</t>
  </si>
  <si>
    <t>44075A2Energia horáriaNão se aplicaNão se aplicaNão se aplicaNão se aplicaPonta</t>
  </si>
  <si>
    <t>43739A3aEnergia horáriaNão se aplicaNão se aplicaNão se aplicaNão se aplicaFora ponta</t>
  </si>
  <si>
    <t>43770A3aEnergia horáriaNão se aplicaNão se aplicaNão se aplicaNão se aplicaFora ponta</t>
  </si>
  <si>
    <t>43800A3aEnergia horáriaNão se aplicaNão se aplicaNão se aplicaNão se aplicaFora ponta</t>
  </si>
  <si>
    <t>43831A3aEnergia horáriaNão se aplicaNão se aplicaNão se aplicaNão se aplicaFora ponta</t>
  </si>
  <si>
    <t>43862A3aEnergia horáriaNão se aplicaNão se aplicaNão se aplicaNão se aplicaFora ponta</t>
  </si>
  <si>
    <t>43891A3aEnergia horáriaNão se aplicaNão se aplicaNão se aplicaNão se aplicaFora ponta</t>
  </si>
  <si>
    <t>43922A3aEnergia horáriaNão se aplicaNão se aplicaNão se aplicaNão se aplicaFora ponta</t>
  </si>
  <si>
    <t>43952A3aEnergia horáriaNão se aplicaNão se aplicaNão se aplicaNão se aplicaFora ponta</t>
  </si>
  <si>
    <t>43983A3aEnergia horáriaNão se aplicaNão se aplicaNão se aplicaNão se aplicaFora ponta</t>
  </si>
  <si>
    <t>44013A3aEnergia horáriaNão se aplicaNão se aplicaNão se aplicaNão se aplicaFora ponta</t>
  </si>
  <si>
    <t>44044A3aEnergia horáriaNão se aplicaNão se aplicaNão se aplicaNão se aplicaFora ponta</t>
  </si>
  <si>
    <t>44075A3aEnergia horáriaNão se aplicaNão se aplicaNão se aplicaNão se aplicaFora ponta</t>
  </si>
  <si>
    <t>43739A3aEnergia horáriaNão se aplicaNão se aplicaNão se aplicaNão se aplicaPonta</t>
  </si>
  <si>
    <t>43770A3aEnergia horáriaNão se aplicaNão se aplicaNão se aplicaNão se aplicaPonta</t>
  </si>
  <si>
    <t>43800A3aEnergia horáriaNão se aplicaNão se aplicaNão se aplicaNão se aplicaPonta</t>
  </si>
  <si>
    <t>43831A3aEnergia horáriaNão se aplicaNão se aplicaNão se aplicaNão se aplicaPonta</t>
  </si>
  <si>
    <t>43862A3aEnergia horáriaNão se aplicaNão se aplicaNão se aplicaNão se aplicaPonta</t>
  </si>
  <si>
    <t>43891A3aEnergia horáriaNão se aplicaNão se aplicaNão se aplicaNão se aplicaPonta</t>
  </si>
  <si>
    <t>43922A3aEnergia horáriaNão se aplicaNão se aplicaNão se aplicaNão se aplicaPonta</t>
  </si>
  <si>
    <t>43952A3aEnergia horáriaNão se aplicaNão se aplicaNão se aplicaNão se aplicaPonta</t>
  </si>
  <si>
    <t>43983A3aEnergia horáriaNão se aplicaNão se aplicaNão se aplicaNão se aplicaPonta</t>
  </si>
  <si>
    <t>44013A3aEnergia horáriaNão se aplicaNão se aplicaNão se aplicaNão se aplicaPonta</t>
  </si>
  <si>
    <t>44044A3aEnergia horáriaNão se aplicaNão se aplicaNão se aplicaNão se aplicaPonta</t>
  </si>
  <si>
    <t>44075A3aEnergia horáriaNão se aplicaNão se aplicaNão se aplicaNão se aplicaPonta</t>
  </si>
  <si>
    <t>CUIDADO</t>
  </si>
  <si>
    <t>Desculpe, mas não foi encontrado posto Não se aplica, modalidade Energia horária, subgrupo A3a no banco de regras.</t>
  </si>
  <si>
    <t>Mercado_Receita</t>
  </si>
  <si>
    <t>S</t>
  </si>
  <si>
    <t>43739A4Energia horáriaNão se aplicaNão se aplicaNão se aplicaNão se aplicaFora ponta</t>
  </si>
  <si>
    <t>43770A4Energia horáriaNão se aplicaNão se aplicaNão se aplicaNão se aplicaFora ponta</t>
  </si>
  <si>
    <t>43800A4Energia horáriaNão se aplicaNão se aplicaNão se aplicaNão se aplicaFora ponta</t>
  </si>
  <si>
    <t>43831A4Energia horáriaNão se aplicaNão se aplicaNão se aplicaNão se aplicaFora ponta</t>
  </si>
  <si>
    <t>43862A4Energia horáriaNão se aplicaNão se aplicaNão se aplicaNão se aplicaFora ponta</t>
  </si>
  <si>
    <t>43891A4Energia horáriaNão se aplicaNão se aplicaNão se aplicaNão se aplicaFora ponta</t>
  </si>
  <si>
    <t>43922A4Energia horáriaNão se aplicaNão se aplicaNão se aplicaNão se aplicaFora ponta</t>
  </si>
  <si>
    <t>43952A4Energia horáriaNão se aplicaNão se aplicaNão se aplicaNão se aplicaFora ponta</t>
  </si>
  <si>
    <t>43983A4Energia horáriaNão se aplicaNão se aplicaNão se aplicaNão se aplicaFora ponta</t>
  </si>
  <si>
    <t>44013A4Energia horáriaNão se aplicaNão se aplicaNão se aplicaNão se aplicaFora ponta</t>
  </si>
  <si>
    <t>44044A4Energia horáriaNão se aplicaNão se aplicaNão se aplicaNão se aplicaFora ponta</t>
  </si>
  <si>
    <t>44075A4Energia horáriaNão se aplicaNão se aplicaNão se aplicaNão se aplicaFora ponta</t>
  </si>
  <si>
    <t>43739A4Energia horáriaNão se aplicaNão se aplicaNão se aplicaNão se aplicaPonta</t>
  </si>
  <si>
    <t>43770A4Energia horáriaNão se aplicaNão se aplicaNão se aplicaNão se aplicaPonta</t>
  </si>
  <si>
    <t>43800A4Energia horáriaNão se aplicaNão se aplicaNão se aplicaNão se aplicaPonta</t>
  </si>
  <si>
    <t>43831A4Energia horáriaNão se aplicaNão se aplicaNão se aplicaNão se aplicaPonta</t>
  </si>
  <si>
    <t>43862A4Energia horáriaNão se aplicaNão se aplicaNão se aplicaNão se aplicaPonta</t>
  </si>
  <si>
    <t>43891A4Energia horáriaNão se aplicaNão se aplicaNão se aplicaNão se aplicaPonta</t>
  </si>
  <si>
    <t>43922A4Energia horáriaNão se aplicaNão se aplicaNão se aplicaNão se aplicaPonta</t>
  </si>
  <si>
    <t>43952A4Energia horáriaNão se aplicaNão se aplicaNão se aplicaNão se aplicaPonta</t>
  </si>
  <si>
    <t>43983A4Energia horáriaNão se aplicaNão se aplicaNão se aplicaNão se aplicaPonta</t>
  </si>
  <si>
    <t>44013A4Energia horáriaNão se aplicaNão se aplicaNão se aplicaNão se aplicaPonta</t>
  </si>
  <si>
    <t>44044A4Energia horáriaNão se aplicaNão se aplicaNão se aplicaNão se aplicaPonta</t>
  </si>
  <si>
    <t>44075A4Energia horáriaNão se aplicaNão se aplicaNão se aplicaNão se aplicaPonta</t>
  </si>
  <si>
    <t>Desculpe, mas não foi encontrado posto Não se aplica, modalidade Energia horária, subgrupo A4 no banco de regras.</t>
  </si>
  <si>
    <t>43739ASEnergia horáriaNão se aplicaNão se aplicaNão se aplicaNão se aplicaFora ponta</t>
  </si>
  <si>
    <t>43770ASEnergia horáriaNão se aplicaNão se aplicaNão se aplicaNão se aplicaFora ponta</t>
  </si>
  <si>
    <t>43800ASEnergia horáriaNão se aplicaNão se aplicaNão se aplicaNão se aplicaFora ponta</t>
  </si>
  <si>
    <t>43831ASEnergia horáriaNão se aplicaNão se aplicaNão se aplicaNão se aplicaFora ponta</t>
  </si>
  <si>
    <t>43862ASEnergia horáriaNão se aplicaNão se aplicaNão se aplicaNão se aplicaFora ponta</t>
  </si>
  <si>
    <t>43891ASEnergia horáriaNão se aplicaNão se aplicaNão se aplicaNão se aplicaFora ponta</t>
  </si>
  <si>
    <t>43922ASEnergia horáriaNão se aplicaNão se aplicaNão se aplicaNão se aplicaFora ponta</t>
  </si>
  <si>
    <t>43952ASEnergia horáriaNão se aplicaNão se aplicaNão se aplicaNão se aplicaFora ponta</t>
  </si>
  <si>
    <t>43983ASEnergia horáriaNão se aplicaNão se aplicaNão se aplicaNão se aplicaFora ponta</t>
  </si>
  <si>
    <t>44013ASEnergia horáriaNão se aplicaNão se aplicaNão se aplicaNão se aplicaFora ponta</t>
  </si>
  <si>
    <t>44044ASEnergia horáriaNão se aplicaNão se aplicaNão se aplicaNão se aplicaFora ponta</t>
  </si>
  <si>
    <t>44075ASEnergia horáriaNão se aplicaNão se aplicaNão se aplicaNão se aplicaFora ponta</t>
  </si>
  <si>
    <t>43739ASEnergia horáriaNão se aplicaNão se aplicaNão se aplicaNão se aplicaPonta</t>
  </si>
  <si>
    <t>43770ASEnergia horáriaNão se aplicaNão se aplicaNão se aplicaNão se aplicaPonta</t>
  </si>
  <si>
    <t>43800ASEnergia horáriaNão se aplicaNão se aplicaNão se aplicaNão se aplicaPonta</t>
  </si>
  <si>
    <t>43831ASEnergia horáriaNão se aplicaNão se aplicaNão se aplicaNão se aplicaPonta</t>
  </si>
  <si>
    <t>43862ASEnergia horáriaNão se aplicaNão se aplicaNão se aplicaNão se aplicaPonta</t>
  </si>
  <si>
    <t>43891ASEnergia horáriaNão se aplicaNão se aplicaNão se aplicaNão se aplicaPonta</t>
  </si>
  <si>
    <t>43922ASEnergia horáriaNão se aplicaNão se aplicaNão se aplicaNão se aplicaPonta</t>
  </si>
  <si>
    <t>43952ASEnergia horáriaNão se aplicaNão se aplicaNão se aplicaNão se aplicaPonta</t>
  </si>
  <si>
    <t>43983ASEnergia horáriaNão se aplicaNão se aplicaNão se aplicaNão se aplicaPonta</t>
  </si>
  <si>
    <t>44013ASEnergia horáriaNão se aplicaNão se aplicaNão se aplicaNão se aplicaPonta</t>
  </si>
  <si>
    <t>44044ASEnergia horáriaNão se aplicaNão se aplicaNão se aplicaNão se aplicaPonta</t>
  </si>
  <si>
    <t>44075ASEnergia horáriaNão se aplicaNão se aplicaNão se aplicaNão se aplicaPonta</t>
  </si>
  <si>
    <t>Desculpe, mas não foi encontrado posto Não se aplica, modalidade Energia horária, subgrupo AS no banco de regras.</t>
  </si>
  <si>
    <t>43739B1Energia horáriaResidencialResidencialNão se aplicaNão se aplicaFora ponta</t>
  </si>
  <si>
    <t>43770B1Energia horáriaResidencialResidencialNão se aplicaNão se aplicaFora ponta</t>
  </si>
  <si>
    <t>43800B1Energia horáriaResidencialResidencialNão se aplicaNão se aplicaFora ponta</t>
  </si>
  <si>
    <t>43831B1Energia horáriaResidencialResidencialNão se aplicaNão se aplicaFora ponta</t>
  </si>
  <si>
    <t>43862B1Energia horáriaResidencialResidencialNão se aplicaNão se aplicaFora ponta</t>
  </si>
  <si>
    <t>43891B1Energia horáriaResidencialResidencialNão se aplicaNão se aplicaFora ponta</t>
  </si>
  <si>
    <t>43922B1Energia horáriaResidencialResidencialNão se aplicaNão se aplicaFora ponta</t>
  </si>
  <si>
    <t>43952B1Energia horáriaResidencialResidencialNão se aplicaNão se aplicaFora ponta</t>
  </si>
  <si>
    <t>43983B1Energia horáriaResidencialResidencialNão se aplicaNão se aplicaFora ponta</t>
  </si>
  <si>
    <t>44013B1Energia horáriaResidencialResidencialNão se aplicaNão se aplicaFora ponta</t>
  </si>
  <si>
    <t>44044B1Energia horáriaResidencialResidencialNão se aplicaNão se aplicaFora ponta</t>
  </si>
  <si>
    <t>44075B1Energia horáriaResidencialResidencialNão se aplicaNão se aplicaFora ponta</t>
  </si>
  <si>
    <t>43739B1Energia horáriaResidencialResidencialNão se aplicaNão se aplicaIntermediário</t>
  </si>
  <si>
    <t>43770B1Energia horáriaResidencialResidencialNão se aplicaNão se aplicaIntermediário</t>
  </si>
  <si>
    <t>43800B1Energia horáriaResidencialResidencialNão se aplicaNão se aplicaIntermediário</t>
  </si>
  <si>
    <t>43831B1Energia horáriaResidencialResidencialNão se aplicaNão se aplicaIntermediário</t>
  </si>
  <si>
    <t>43862B1Energia horáriaResidencialResidencialNão se aplicaNão se aplicaIntermediário</t>
  </si>
  <si>
    <t>43891B1Energia horáriaResidencialResidencialNão se aplicaNão se aplicaIntermediário</t>
  </si>
  <si>
    <t>43922B1Energia horáriaResidencialResidencialNão se aplicaNão se aplicaIntermediário</t>
  </si>
  <si>
    <t>43952B1Energia horáriaResidencialResidencialNão se aplicaNão se aplicaIntermediário</t>
  </si>
  <si>
    <t>43983B1Energia horáriaResidencialResidencialNão se aplicaNão se aplicaIntermediário</t>
  </si>
  <si>
    <t>44013B1Energia horáriaResidencialResidencialNão se aplicaNão se aplicaIntermediário</t>
  </si>
  <si>
    <t>44044B1Energia horáriaResidencialResidencialNão se aplicaNão se aplicaIntermediário</t>
  </si>
  <si>
    <t>44075B1Energia horáriaResidencialResidencialNão se aplicaNão se aplicaIntermediário</t>
  </si>
  <si>
    <t>43739B1Energia horáriaResidencialResidencialNão se aplicaNão se aplicaPonta</t>
  </si>
  <si>
    <t>43770B1Energia horáriaResidencialResidencialNão se aplicaNão se aplicaPonta</t>
  </si>
  <si>
    <t>43800B1Energia horáriaResidencialResidencialNão se aplicaNão se aplicaPonta</t>
  </si>
  <si>
    <t>43831B1Energia horáriaResidencialResidencialNão se aplicaNão se aplicaPonta</t>
  </si>
  <si>
    <t>43862B1Energia horáriaResidencialResidencialNão se aplicaNão se aplicaPonta</t>
  </si>
  <si>
    <t>43891B1Energia horáriaResidencialResidencialNão se aplicaNão se aplicaPonta</t>
  </si>
  <si>
    <t>43922B1Energia horáriaResidencialResidencialNão se aplicaNão se aplicaPonta</t>
  </si>
  <si>
    <t>43952B1Energia horáriaResidencialResidencialNão se aplicaNão se aplicaPonta</t>
  </si>
  <si>
    <t>43983B1Energia horáriaResidencialResidencialNão se aplicaNão se aplicaPonta</t>
  </si>
  <si>
    <t>44013B1Energia horáriaResidencialResidencialNão se aplicaNão se aplicaPonta</t>
  </si>
  <si>
    <t>44044B1Energia horáriaResidencialResidencialNão se aplicaNão se aplicaPonta</t>
  </si>
  <si>
    <t>44075B1Energia horáriaResidencialResidencialNão se aplicaNão se aplicaPonta</t>
  </si>
  <si>
    <t>43739B1Energia convencionalResidencialResidencialNão se aplicaNão se aplicaNão se aplica</t>
  </si>
  <si>
    <t>43770B1Energia convencionalResidencialResidencialNão se aplicaNão se aplicaNão se aplica</t>
  </si>
  <si>
    <t>43800B1Energia convencionalResidencialResidencialNão se aplicaNão se aplicaNão se aplica</t>
  </si>
  <si>
    <t>43831B1Energia convencionalResidencialResidencialNão se aplicaNão se aplicaNão se aplica</t>
  </si>
  <si>
    <t>43862B1Energia convencionalResidencialResidencialNão se aplicaNão se aplicaNão se aplica</t>
  </si>
  <si>
    <t>43891B1Energia convencionalResidencialResidencialNão se aplicaNão se aplicaNão se aplica</t>
  </si>
  <si>
    <t>43922B1Energia convencionalResidencialResidencialNão se aplicaNão se aplicaNão se aplica</t>
  </si>
  <si>
    <t>43952B1Energia convencionalResidencialResidencialNão se aplicaNão se aplicaNão se aplica</t>
  </si>
  <si>
    <t>43983B1Energia convencionalResidencialResidencialNão se aplicaNão se aplicaNão se aplica</t>
  </si>
  <si>
    <t>44013B1Energia convencionalResidencialResidencialNão se aplicaNão se aplicaNão se aplica</t>
  </si>
  <si>
    <t>44044B1Energia convencionalResidencialResidencialNão se aplicaNão se aplicaNão se aplica</t>
  </si>
  <si>
    <t>44075B1Energia convencionalResidencialResidencialNão se aplicaNão se aplicaNão se aplica</t>
  </si>
  <si>
    <t>43739B1Energia convencionalResidencialResidencial baixa renda – faixa 01Não se aplicaNão se aplicaNão se aplica</t>
  </si>
  <si>
    <t>43770B1Energia convencionalResidencialResidencial baixa renda – faixa 01Não se aplicaNão se aplicaNão se aplica</t>
  </si>
  <si>
    <t>43800B1Energia convencionalResidencialResidencial baixa renda – faixa 01Não se aplicaNão se aplicaNão se aplica</t>
  </si>
  <si>
    <t>43831B1Energia convencionalResidencialResidencial baixa renda – faixa 01Não se aplicaNão se aplicaNão se aplica</t>
  </si>
  <si>
    <t>43862B1Energia convencionalResidencialResidencial baixa renda – faixa 01Não se aplicaNão se aplicaNão se aplica</t>
  </si>
  <si>
    <t>43891B1Energia convencionalResidencialResidencial baixa renda – faixa 01Não se aplicaNão se aplicaNão se aplica</t>
  </si>
  <si>
    <t>43922B1Energia convencionalResidencialResidencial baixa renda – faixa 01Não se aplicaNão se aplicaNão se aplica</t>
  </si>
  <si>
    <t>43952B1Energia convencionalResidencialResidencial baixa renda – faixa 01Não se aplicaNão se aplicaNão se aplica</t>
  </si>
  <si>
    <t>43983B1Energia convencionalResidencialResidencial baixa renda – faixa 01Não se aplicaNão se aplicaNão se aplica</t>
  </si>
  <si>
    <t>44013B1Energia convencionalResidencialResidencial baixa renda – faixa 01Não se aplicaNão se aplicaNão se aplica</t>
  </si>
  <si>
    <t>44044B1Energia convencionalResidencialResidencial baixa renda – faixa 01Não se aplicaNão se aplicaNão se aplica</t>
  </si>
  <si>
    <t>44075B1Energia convencionalResidencialResidencial baixa renda – faixa 01Não se aplicaNão se aplicaNão se aplica</t>
  </si>
  <si>
    <t>43739B1Energia convencionalResidencialResidencial baixa renda – faixa 02Não se aplicaNão se aplicaNão se aplica</t>
  </si>
  <si>
    <t>43770B1Energia convencionalResidencialResidencial baixa renda – faixa 02Não se aplicaNão se aplicaNão se aplica</t>
  </si>
  <si>
    <t>43800B1Energia convencionalResidencialResidencial baixa renda – faixa 02Não se aplicaNão se aplicaNão se aplica</t>
  </si>
  <si>
    <t>43831B1Energia convencionalResidencialResidencial baixa renda – faixa 02Não se aplicaNão se aplicaNão se aplica</t>
  </si>
  <si>
    <t>43862B1Energia convencionalResidencialResidencial baixa renda – faixa 02Não se aplicaNão se aplicaNão se aplica</t>
  </si>
  <si>
    <t>43891B1Energia convencionalResidencialResidencial baixa renda – faixa 02Não se aplicaNão se aplicaNão se aplica</t>
  </si>
  <si>
    <t>43922B1Energia convencionalResidencialResidencial baixa renda – faixa 02Não se aplicaNão se aplicaNão se aplica</t>
  </si>
  <si>
    <t>43952B1Energia convencionalResidencialResidencial baixa renda – faixa 02Não se aplicaNão se aplicaNão se aplica</t>
  </si>
  <si>
    <t>43983B1Energia convencionalResidencialResidencial baixa renda – faixa 02Não se aplicaNão se aplicaNão se aplica</t>
  </si>
  <si>
    <t>44013B1Energia convencionalResidencialResidencial baixa renda – faixa 02Não se aplicaNão se aplicaNão se aplica</t>
  </si>
  <si>
    <t>44044B1Energia convencionalResidencialResidencial baixa renda – faixa 02Não se aplicaNão se aplicaNão se aplica</t>
  </si>
  <si>
    <t>44075B1Energia convencionalResidencialResidencial baixa renda – faixa 02Não se aplicaNão se aplicaNão se aplica</t>
  </si>
  <si>
    <t>43739B1Energia convencionalResidencialResidencial baixa renda – faixa 03Não se aplicaNão se aplicaNão se aplica</t>
  </si>
  <si>
    <t>43770B1Energia convencionalResidencialResidencial baixa renda – faixa 03Não se aplicaNão se aplicaNão se aplica</t>
  </si>
  <si>
    <t>43800B1Energia convencionalResidencialResidencial baixa renda – faixa 03Não se aplicaNão se aplicaNão se aplica</t>
  </si>
  <si>
    <t>43831B1Energia convencionalResidencialResidencial baixa renda – faixa 03Não se aplicaNão se aplicaNão se aplica</t>
  </si>
  <si>
    <t>43862B1Energia convencionalResidencialResidencial baixa renda – faixa 03Não se aplicaNão se aplicaNão se aplica</t>
  </si>
  <si>
    <t>43891B1Energia convencionalResidencialResidencial baixa renda – faixa 03Não se aplicaNão se aplicaNão se aplica</t>
  </si>
  <si>
    <t>43922B1Energia convencionalResidencialResidencial baixa renda – faixa 03Não se aplicaNão se aplicaNão se aplica</t>
  </si>
  <si>
    <t>43952B1Energia convencionalResidencialResidencial baixa renda – faixa 03Não se aplicaNão se aplicaNão se aplica</t>
  </si>
  <si>
    <t>43983B1Energia convencionalResidencialResidencial baixa renda – faixa 03Não se aplicaNão se aplicaNão se aplica</t>
  </si>
  <si>
    <t>44013B1Energia convencionalResidencialResidencial baixa renda – faixa 03Não se aplicaNão se aplicaNão se aplica</t>
  </si>
  <si>
    <t>44044B1Energia convencionalResidencialResidencial baixa renda – faixa 03Não se aplicaNão se aplicaNão se aplica</t>
  </si>
  <si>
    <t>44075B1Energia convencionalResidencialResidencial baixa renda – faixa 03Não se aplicaNão se aplicaNão se aplica</t>
  </si>
  <si>
    <t>43739B1Energia convencionalResidencialResidencial baixa renda – faixa 04Não se aplicaNão se aplicaNão se aplica</t>
  </si>
  <si>
    <t>43770B1Energia convencionalResidencialResidencial baixa renda – faixa 04Não se aplicaNão se aplicaNão se aplica</t>
  </si>
  <si>
    <t>43800B1Energia convencionalResidencialResidencial baixa renda – faixa 04Não se aplicaNão se aplicaNão se aplica</t>
  </si>
  <si>
    <t>43831B1Energia convencionalResidencialResidencial baixa renda – faixa 04Não se aplicaNão se aplicaNão se aplica</t>
  </si>
  <si>
    <t>43862B1Energia convencionalResidencialResidencial baixa renda – faixa 04Não se aplicaNão se aplicaNão se aplica</t>
  </si>
  <si>
    <t>43891B1Energia convencionalResidencialResidencial baixa renda – faixa 04Não se aplicaNão se aplicaNão se aplica</t>
  </si>
  <si>
    <t>43922B1Energia convencionalResidencialResidencial baixa renda – faixa 04Não se aplicaNão se aplicaNão se aplica</t>
  </si>
  <si>
    <t>43952B1Energia convencionalResidencialResidencial baixa renda – faixa 04Não se aplicaNão se aplicaNão se aplica</t>
  </si>
  <si>
    <t>43983B1Energia convencionalResidencialResidencial baixa renda – faixa 04Não se aplicaNão se aplicaNão se aplica</t>
  </si>
  <si>
    <t>44013B1Energia convencionalResidencialResidencial baixa renda – faixa 04Não se aplicaNão se aplicaNão se aplica</t>
  </si>
  <si>
    <t>44044B1Energia convencionalResidencialResidencial baixa renda – faixa 04Não se aplicaNão se aplicaNão se aplica</t>
  </si>
  <si>
    <t>44075B1Energia convencionalResidencialResidencial baixa renda – faixa 04Não se aplicaNão se aplicaNão se aplica</t>
  </si>
  <si>
    <t>43739B2Energia horáriaRuralNão se aplicaNão se aplicaNão se aplicaFora ponta</t>
  </si>
  <si>
    <t>43770B2Energia horáriaRuralNão se aplicaNão se aplicaNão se aplicaFora ponta</t>
  </si>
  <si>
    <t>43800B2Energia horáriaRuralNão se aplicaNão se aplicaNão se aplicaFora ponta</t>
  </si>
  <si>
    <t>43831B2Energia horáriaRuralNão se aplicaNão se aplicaNão se aplicaFora ponta</t>
  </si>
  <si>
    <t>43862B2Energia horáriaRuralNão se aplicaNão se aplicaNão se aplicaFora ponta</t>
  </si>
  <si>
    <t>43891B2Energia horáriaRuralNão se aplicaNão se aplicaNão se aplicaFora ponta</t>
  </si>
  <si>
    <t>43922B2Energia horáriaRuralNão se aplicaNão se aplicaNão se aplicaFora ponta</t>
  </si>
  <si>
    <t>43952B2Energia horáriaRuralNão se aplicaNão se aplicaNão se aplicaFora ponta</t>
  </si>
  <si>
    <t>43983B2Energia horáriaRuralNão se aplicaNão se aplicaNão se aplicaFora ponta</t>
  </si>
  <si>
    <t>44013B2Energia horáriaRuralNão se aplicaNão se aplicaNão se aplicaFora ponta</t>
  </si>
  <si>
    <t>44044B2Energia horáriaRuralNão se aplicaNão se aplicaNão se aplicaFora ponta</t>
  </si>
  <si>
    <t>44075B2Energia horáriaRuralNão se aplicaNão se aplicaNão se aplicaFora ponta</t>
  </si>
  <si>
    <t>43739B2Energia horáriaRuralNão se aplicaNão se aplicaNão se aplicaIntermediário</t>
  </si>
  <si>
    <t>43770B2Energia horáriaRuralNão se aplicaNão se aplicaNão se aplicaIntermediário</t>
  </si>
  <si>
    <t>43800B2Energia horáriaRuralNão se aplicaNão se aplicaNão se aplicaIntermediário</t>
  </si>
  <si>
    <t>43831B2Energia horáriaRuralNão se aplicaNão se aplicaNão se aplicaIntermediário</t>
  </si>
  <si>
    <t>43862B2Energia horáriaRuralNão se aplicaNão se aplicaNão se aplicaIntermediário</t>
  </si>
  <si>
    <t>43891B2Energia horáriaRuralNão se aplicaNão se aplicaNão se aplicaIntermediário</t>
  </si>
  <si>
    <t>43922B2Energia horáriaRuralNão se aplicaNão se aplicaNão se aplicaIntermediário</t>
  </si>
  <si>
    <t>43952B2Energia horáriaRuralNão se aplicaNão se aplicaNão se aplicaIntermediário</t>
  </si>
  <si>
    <t>43983B2Energia horáriaRuralNão se aplicaNão se aplicaNão se aplicaIntermediário</t>
  </si>
  <si>
    <t>44013B2Energia horáriaRuralNão se aplicaNão se aplicaNão se aplicaIntermediário</t>
  </si>
  <si>
    <t>44044B2Energia horáriaRuralNão se aplicaNão se aplicaNão se aplicaIntermediário</t>
  </si>
  <si>
    <t>44075B2Energia horáriaRuralNão se aplicaNão se aplicaNão se aplicaIntermediário</t>
  </si>
  <si>
    <t>43739B2Energia horáriaRuralNão se aplicaNão se aplicaNão se aplicaPonta</t>
  </si>
  <si>
    <t>43770B2Energia horáriaRuralNão se aplicaNão se aplicaNão se aplicaPonta</t>
  </si>
  <si>
    <t>43800B2Energia horáriaRuralNão se aplicaNão se aplicaNão se aplicaPonta</t>
  </si>
  <si>
    <t>43831B2Energia horáriaRuralNão se aplicaNão se aplicaNão se aplicaPonta</t>
  </si>
  <si>
    <t>43862B2Energia horáriaRuralNão se aplicaNão se aplicaNão se aplicaPonta</t>
  </si>
  <si>
    <t>43891B2Energia horáriaRuralNão se aplicaNão se aplicaNão se aplicaPonta</t>
  </si>
  <si>
    <t>43922B2Energia horáriaRuralNão se aplicaNão se aplicaNão se aplicaPonta</t>
  </si>
  <si>
    <t>43952B2Energia horáriaRuralNão se aplicaNão se aplicaNão se aplicaPonta</t>
  </si>
  <si>
    <t>43983B2Energia horáriaRuralNão se aplicaNão se aplicaNão se aplicaPonta</t>
  </si>
  <si>
    <t>44013B2Energia horáriaRuralNão se aplicaNão se aplicaNão se aplicaPonta</t>
  </si>
  <si>
    <t>44044B2Energia horáriaRuralNão se aplicaNão se aplicaNão se aplicaPonta</t>
  </si>
  <si>
    <t>44075B2Energia horáriaRuralNão se aplicaNão se aplicaNão se aplicaPonta</t>
  </si>
  <si>
    <t>43739B2Energia convencionalRuralNão se aplicaNão se aplicaNão se aplicaNão se aplica</t>
  </si>
  <si>
    <t>43770B2Energia convencionalRuralNão se aplicaNão se aplicaNão se aplicaNão se aplica</t>
  </si>
  <si>
    <t>43800B2Energia convencionalRuralNão se aplicaNão se aplicaNão se aplicaNão se aplica</t>
  </si>
  <si>
    <t>43831B2Energia convencionalRuralNão se aplicaNão se aplicaNão se aplicaNão se aplica</t>
  </si>
  <si>
    <t>43862B2Energia convencionalRuralNão se aplicaNão se aplicaNão se aplicaNão se aplica</t>
  </si>
  <si>
    <t>43891B2Energia convencionalRuralNão se aplicaNão se aplicaNão se aplicaNão se aplica</t>
  </si>
  <si>
    <t>43922B2Energia convencionalRuralNão se aplicaNão se aplicaNão se aplicaNão se aplica</t>
  </si>
  <si>
    <t>43952B2Energia convencionalRuralNão se aplicaNão se aplicaNão se aplicaNão se aplica</t>
  </si>
  <si>
    <t>43983B2Energia convencionalRuralNão se aplicaNão se aplicaNão se aplicaNão se aplica</t>
  </si>
  <si>
    <t>44013B2Energia convencionalRuralNão se aplicaNão se aplicaNão se aplicaNão se aplica</t>
  </si>
  <si>
    <t>44044B2Energia convencionalRuralNão se aplicaNão se aplicaNão se aplicaNão se aplica</t>
  </si>
  <si>
    <t>44075B2Energia convencionalRuralNão se aplicaNão se aplicaNão se aplicaNão se aplica</t>
  </si>
  <si>
    <t>43739B3Energia horáriaNão se aplicaNão se aplicaNão se aplicaNão se aplicaFora ponta</t>
  </si>
  <si>
    <t>43770B3Energia horáriaNão se aplicaNão se aplicaNão se aplicaNão se aplicaFora ponta</t>
  </si>
  <si>
    <t>43800B3Energia horáriaNão se aplicaNão se aplicaNão se aplicaNão se aplicaFora ponta</t>
  </si>
  <si>
    <t>43831B3Energia horáriaNão se aplicaNão se aplicaNão se aplicaNão se aplicaFora ponta</t>
  </si>
  <si>
    <t>43862B3Energia horáriaNão se aplicaNão se aplicaNão se aplicaNão se aplicaFora ponta</t>
  </si>
  <si>
    <t>43891B3Energia horáriaNão se aplicaNão se aplicaNão se aplicaNão se aplicaFora ponta</t>
  </si>
  <si>
    <t>43922B3Energia horáriaNão se aplicaNão se aplicaNão se aplicaNão se aplicaFora ponta</t>
  </si>
  <si>
    <t>43952B3Energia horáriaNão se aplicaNão se aplicaNão se aplicaNão se aplicaFora ponta</t>
  </si>
  <si>
    <t>43983B3Energia horáriaNão se aplicaNão se aplicaNão se aplicaNão se aplicaFora ponta</t>
  </si>
  <si>
    <t>44013B3Energia horáriaNão se aplicaNão se aplicaNão se aplicaNão se aplicaFora ponta</t>
  </si>
  <si>
    <t>44044B3Energia horáriaNão se aplicaNão se aplicaNão se aplicaNão se aplicaFora ponta</t>
  </si>
  <si>
    <t>44075B3Energia horáriaNão se aplicaNão se aplicaNão se aplicaNão se aplicaFora ponta</t>
  </si>
  <si>
    <t>43739B3Energia horáriaNão se aplicaNão se aplicaNão se aplicaNão se aplicaIntermediário</t>
  </si>
  <si>
    <t>43770B3Energia horáriaNão se aplicaNão se aplicaNão se aplicaNão se aplicaIntermediário</t>
  </si>
  <si>
    <t>43800B3Energia horáriaNão se aplicaNão se aplicaNão se aplicaNão se aplicaIntermediário</t>
  </si>
  <si>
    <t>43831B3Energia horáriaNão se aplicaNão se aplicaNão se aplicaNão se aplicaIntermediário</t>
  </si>
  <si>
    <t>43862B3Energia horáriaNão se aplicaNão se aplicaNão se aplicaNão se aplicaIntermediário</t>
  </si>
  <si>
    <t>43891B3Energia horáriaNão se aplicaNão se aplicaNão se aplicaNão se aplicaIntermediário</t>
  </si>
  <si>
    <t>43922B3Energia horáriaNão se aplicaNão se aplicaNão se aplicaNão se aplicaIntermediário</t>
  </si>
  <si>
    <t>43952B3Energia horáriaNão se aplicaNão se aplicaNão se aplicaNão se aplicaIntermediário</t>
  </si>
  <si>
    <t>43983B3Energia horáriaNão se aplicaNão se aplicaNão se aplicaNão se aplicaIntermediário</t>
  </si>
  <si>
    <t>44013B3Energia horáriaNão se aplicaNão se aplicaNão se aplicaNão se aplicaIntermediário</t>
  </si>
  <si>
    <t>44044B3Energia horáriaNão se aplicaNão se aplicaNão se aplicaNão se aplicaIntermediário</t>
  </si>
  <si>
    <t>44075B3Energia horáriaNão se aplicaNão se aplicaNão se aplicaNão se aplicaIntermediário</t>
  </si>
  <si>
    <t>43739B3Energia horáriaNão se aplicaNão se aplicaNão se aplicaNão se aplicaPonta</t>
  </si>
  <si>
    <t>43770B3Energia horáriaNão se aplicaNão se aplicaNão se aplicaNão se aplicaPonta</t>
  </si>
  <si>
    <t>43800B3Energia horáriaNão se aplicaNão se aplicaNão se aplicaNão se aplicaPonta</t>
  </si>
  <si>
    <t>43831B3Energia horáriaNão se aplicaNão se aplicaNão se aplicaNão se aplicaPonta</t>
  </si>
  <si>
    <t>43862B3Energia horáriaNão se aplicaNão se aplicaNão se aplicaNão se aplicaPonta</t>
  </si>
  <si>
    <t>43891B3Energia horáriaNão se aplicaNão se aplicaNão se aplicaNão se aplicaPonta</t>
  </si>
  <si>
    <t>43922B3Energia horáriaNão se aplicaNão se aplicaNão se aplicaNão se aplicaPonta</t>
  </si>
  <si>
    <t>43952B3Energia horáriaNão se aplicaNão se aplicaNão se aplicaNão se aplicaPonta</t>
  </si>
  <si>
    <t>43983B3Energia horáriaNão se aplicaNão se aplicaNão se aplicaNão se aplicaPonta</t>
  </si>
  <si>
    <t>44013B3Energia horáriaNão se aplicaNão se aplicaNão se aplicaNão se aplicaPonta</t>
  </si>
  <si>
    <t>44044B3Energia horáriaNão se aplicaNão se aplicaNão se aplicaNão se aplicaPonta</t>
  </si>
  <si>
    <t>44075B3Energia horáriaNão se aplicaNão se aplicaNão se aplicaNão se aplicaPonta</t>
  </si>
  <si>
    <t>43739B3Energia convencionalNão se aplicaNão se aplicaNão se aplicaNão se aplicaNão se aplica</t>
  </si>
  <si>
    <t>43770B3Energia convencionalNão se aplicaNão se aplicaNão se aplicaNão se aplicaNão se aplica</t>
  </si>
  <si>
    <t>43800B3Energia convencionalNão se aplicaNão se aplicaNão se aplicaNão se aplicaNão se aplica</t>
  </si>
  <si>
    <t>43831B3Energia convencionalNão se aplicaNão se aplicaNão se aplicaNão se aplicaNão se aplica</t>
  </si>
  <si>
    <t>43862B3Energia convencionalNão se aplicaNão se aplicaNão se aplicaNão se aplicaNão se aplica</t>
  </si>
  <si>
    <t>43891B3Energia convencionalNão se aplicaNão se aplicaNão se aplicaNão se aplicaNão se aplica</t>
  </si>
  <si>
    <t>43922B3Energia convencionalNão se aplicaNão se aplicaNão se aplicaNão se aplicaNão se aplica</t>
  </si>
  <si>
    <t>43952B3Energia convencionalNão se aplicaNão se aplicaNão se aplicaNão se aplicaNão se aplica</t>
  </si>
  <si>
    <t>43983B3Energia convencionalNão se aplicaNão se aplicaNão se aplicaNão se aplicaNão se aplica</t>
  </si>
  <si>
    <t>44013B3Energia convencionalNão se aplicaNão se aplicaNão se aplicaNão se aplicaNão se aplica</t>
  </si>
  <si>
    <t>44044B3Energia convencionalNão se aplicaNão se aplicaNão se aplicaNão se aplicaNão se aplica</t>
  </si>
  <si>
    <t>44075B3Energia convencionalNão se aplicaNão se aplicaNão se aplicaNão se aplicaNão se aplica</t>
  </si>
  <si>
    <t>43739B4Energia convencionalIluminação públicaIluminação pública – B4aNão se aplicaNão se aplicaNão se aplica</t>
  </si>
  <si>
    <t>43770B4Energia convencionalIluminação públicaIluminação pública – B4aNão se aplicaNão se aplicaNão se aplica</t>
  </si>
  <si>
    <t>43800B4Energia convencionalIluminação públicaIluminação pública – B4aNão se aplicaNão se aplicaNão se aplica</t>
  </si>
  <si>
    <t>43831B4Energia convencionalIluminação públicaIluminação pública – B4aNão se aplicaNão se aplicaNão se aplica</t>
  </si>
  <si>
    <t>43862B4Energia convencionalIluminação públicaIluminação pública – B4aNão se aplicaNão se aplicaNão se aplica</t>
  </si>
  <si>
    <t>43891B4Energia convencionalIluminação públicaIluminação pública – B4aNão se aplicaNão se aplicaNão se aplica</t>
  </si>
  <si>
    <t>43922B4Energia convencionalIluminação públicaIluminação pública – B4aNão se aplicaNão se aplicaNão se aplica</t>
  </si>
  <si>
    <t>43952B4Energia convencionalIluminação públicaIluminação pública – B4aNão se aplicaNão se aplicaNão se aplica</t>
  </si>
  <si>
    <t>43983B4Energia convencionalIluminação públicaIluminação pública – B4aNão se aplicaNão se aplicaNão se aplica</t>
  </si>
  <si>
    <t>44013B4Energia convencionalIluminação públicaIluminação pública – B4aNão se aplicaNão se aplicaNão se aplica</t>
  </si>
  <si>
    <t>44044B4Energia convencionalIluminação públicaIluminação pública – B4aNão se aplicaNão se aplicaNão se aplica</t>
  </si>
  <si>
    <t>44075B4Energia convencionalIluminação públicaIluminação pública – B4aNão se aplicaNão se aplicaNão se aplica</t>
  </si>
  <si>
    <t>RECEITA VERIFICADA</t>
  </si>
  <si>
    <t>TUSD</t>
  </si>
  <si>
    <t>ENCARGO</t>
  </si>
  <si>
    <t>RGR</t>
  </si>
  <si>
    <t>TFSEE</t>
  </si>
  <si>
    <t>P&amp;D</t>
  </si>
  <si>
    <t>ONS</t>
  </si>
  <si>
    <t>CCC</t>
  </si>
  <si>
    <t>CDE</t>
  </si>
  <si>
    <t>PROINFA</t>
  </si>
  <si>
    <t>LIMINAR 1</t>
  </si>
  <si>
    <t>SUBTOTAL</t>
  </si>
  <si>
    <t>FIO A</t>
  </si>
  <si>
    <t>TUSD RB</t>
  </si>
  <si>
    <t>TUSD FR</t>
  </si>
  <si>
    <t>CONEXAO T</t>
  </si>
  <si>
    <t>CONEXAO D</t>
  </si>
  <si>
    <t>CUSD</t>
  </si>
  <si>
    <t>TUSDG-T</t>
  </si>
  <si>
    <t>TUSDG-ONS</t>
  </si>
  <si>
    <t>FIO B</t>
  </si>
  <si>
    <t>DISTRIBUICAO</t>
  </si>
  <si>
    <t>Nao se aplica</t>
  </si>
  <si>
    <t>SUBSIDIO</t>
  </si>
  <si>
    <t>OUTROS</t>
  </si>
  <si>
    <t>PERDAS</t>
  </si>
  <si>
    <t>PERDAS TECNICAS</t>
  </si>
  <si>
    <t>PERDAS RB/ PERDAS D</t>
  </si>
  <si>
    <t>PERDAS NAO TECNICAS</t>
  </si>
  <si>
    <t>RI</t>
  </si>
  <si>
    <t>TE</t>
  </si>
  <si>
    <t>ESS/ERR</t>
  </si>
  <si>
    <t>CFURH</t>
  </si>
  <si>
    <t>CDE ENERGIA</t>
  </si>
  <si>
    <t>ENERGIA</t>
  </si>
  <si>
    <t>ENERGIA REVENDA</t>
  </si>
  <si>
    <t>ITAIPU</t>
  </si>
  <si>
    <t>TUST ITAIPU</t>
  </si>
  <si>
    <t>TUST CI</t>
  </si>
  <si>
    <t>PERDAS RB/C</t>
  </si>
  <si>
    <t>TOTAL</t>
  </si>
  <si>
    <t>TIPO TARIFA</t>
  </si>
  <si>
    <t>GRUPO DE CUSTO</t>
  </si>
  <si>
    <t>CUSTO</t>
  </si>
  <si>
    <t>BASE ECONÔMICA</t>
  </si>
  <si>
    <t>BASE FINANCEIRA</t>
  </si>
  <si>
    <t>CVA</t>
  </si>
  <si>
    <t>Parâmetros de cálculo</t>
  </si>
  <si>
    <t>IRP ECONÔMICO (%)</t>
  </si>
  <si>
    <t>IRP FINANCEIRO (%)</t>
  </si>
  <si>
    <t>IGP-M (%)</t>
  </si>
  <si>
    <t>ALÍQUOTA P&amp;D (%)</t>
  </si>
  <si>
    <t>PROJEÇÃO MERC. (%)</t>
  </si>
  <si>
    <t>Perdas TOTAIS (MWh)</t>
  </si>
  <si>
    <t>Perdas Técnicas (MWh)</t>
  </si>
  <si>
    <t>Perdas Não Técnicas (MWh)</t>
  </si>
  <si>
    <t>Perdas na RB (sobre perdas na D) (MWh)</t>
  </si>
  <si>
    <t>Perdas na RB (sobre mercado cativo) (MWh)</t>
  </si>
  <si>
    <t>ENERGIA REQUERIDA (MWh)</t>
  </si>
  <si>
    <t>PROINFA (MWh)</t>
  </si>
  <si>
    <t>MIX COMPRA (R$/MWh)</t>
  </si>
  <si>
    <t>ENERGIA ECON. (R$)</t>
  </si>
  <si>
    <t>ENERGIA FIN. (R$)</t>
  </si>
  <si>
    <t>ENERGIA CVA (R$)</t>
  </si>
  <si>
    <t>RB FIN. (R$)</t>
  </si>
  <si>
    <t>RB CVA (R$)</t>
  </si>
  <si>
    <t>P&amp;D FIN. (R$)</t>
  </si>
  <si>
    <t>P&amp;D CVA (R$)</t>
  </si>
  <si>
    <t>VERSÃO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</si>
  <si>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</si>
  <si>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</si>
  <si>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</si>
  <si>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</si>
  <si>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</si>
  <si>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</si>
  <si>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</si>
  <si>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</si>
  <si>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</si>
  <si>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</si>
  <si>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</si>
  <si>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</si>
  <si>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</si>
  <si>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</si>
  <si>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</si>
  <si>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</si>
  <si>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</si>
  <si>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Conexão CONS. A1</t>
  </si>
  <si>
    <t>CDE ENERGIA ACR</t>
  </si>
  <si>
    <t>P&amp;D ECON. (R$)</t>
  </si>
  <si>
    <t>CUSTOS</t>
  </si>
  <si>
    <t>ABA Merc. Rec. TUSD (kW)</t>
  </si>
  <si>
    <t>ABA Merc. Rec. TUSD (MWh)</t>
  </si>
  <si>
    <t>ABA Merc. Rec. TE (MWh)</t>
  </si>
  <si>
    <t>ABA Merc. TUSD TUSD (kW)</t>
  </si>
  <si>
    <t>ABA Merc. TUSD TUSD (MWh)</t>
  </si>
  <si>
    <t>ABA Merc. TE TE (MWh)</t>
  </si>
  <si>
    <t>TESTE TUSD (kW)</t>
  </si>
  <si>
    <t>TESTE TUSD (MWh)</t>
  </si>
  <si>
    <t>TESTE TE (MWh)</t>
  </si>
  <si>
    <t>Resolução</t>
  </si>
  <si>
    <t>RESOLUÇÃO HOMOLOGATÓRIA Nº 2.625, DE 15 DE OUTUBRO DE 2019</t>
  </si>
  <si>
    <t>MERC.</t>
  </si>
  <si>
    <t>TR TUSD</t>
  </si>
  <si>
    <t>VAR AUX</t>
  </si>
  <si>
    <t>CUSTO REC. CAR.</t>
  </si>
  <si>
    <t>CUSTO REC. GER.</t>
  </si>
  <si>
    <t>CUSTO REC. DEM.</t>
  </si>
  <si>
    <t>CON. D/T</t>
  </si>
  <si>
    <t>COEF. AJ. BE</t>
  </si>
  <si>
    <t>TUSD BE</t>
  </si>
  <si>
    <t>CUSTO TEÓRICO</t>
  </si>
  <si>
    <t>COEF. AJ. BF</t>
  </si>
  <si>
    <t>(SUB)GRUPO</t>
  </si>
  <si>
    <t>TUSD (R$)</t>
  </si>
  <si>
    <t>TUSD (MWh)</t>
  </si>
  <si>
    <t>PNT (R$/MWh)</t>
  </si>
  <si>
    <t>VAR. AX01</t>
  </si>
  <si>
    <t>VAR. AX02</t>
  </si>
  <si>
    <t>TUSD BF</t>
  </si>
  <si>
    <t>COEF. AJ. CVA</t>
  </si>
  <si>
    <t>AUX. SUBS.</t>
  </si>
  <si>
    <t>TUSD CVA</t>
  </si>
  <si>
    <t>TR TE</t>
  </si>
  <si>
    <t>BASE TEÓRICA</t>
  </si>
  <si>
    <t>TE SUP.</t>
  </si>
  <si>
    <t>COEF. AJ. BE CDE S/ ACR</t>
  </si>
  <si>
    <t>COEF. AJ. BE CDE SÓ ACR</t>
  </si>
  <si>
    <t>TE BE</t>
  </si>
  <si>
    <t>TE BF</t>
  </si>
  <si>
    <t>TE CVA</t>
  </si>
  <si>
    <t>TOTAL ABAS</t>
  </si>
  <si>
    <t>AVALIAÇÃO</t>
  </si>
  <si>
    <t>Coeficientes de transição</t>
  </si>
  <si>
    <t>A3</t>
  </si>
  <si>
    <t>Carga</t>
  </si>
  <si>
    <t>Ajustado para o passo 2 da transição. Não altere.</t>
  </si>
  <si>
    <t>TipoTarifa</t>
  </si>
  <si>
    <t>UP</t>
  </si>
  <si>
    <t>US</t>
  </si>
  <si>
    <t>UT</t>
  </si>
  <si>
    <t>AnoRef</t>
  </si>
  <si>
    <t>Evento</t>
  </si>
  <si>
    <t>Potência</t>
  </si>
  <si>
    <t>Ativa</t>
  </si>
  <si>
    <t>Energia</t>
  </si>
  <si>
    <t>CÓD.</t>
  </si>
  <si>
    <t>TUSD (R$/kW)</t>
  </si>
  <si>
    <t>TUSD (R$/MWh)</t>
  </si>
  <si>
    <t>TE (R$/MWh)</t>
  </si>
  <si>
    <t>TUSD (R$/kW) NOVA</t>
  </si>
  <si>
    <t>TUSD (R$/MWh) NOVA</t>
  </si>
  <si>
    <t>TE (R$/MWh) NOVA</t>
  </si>
  <si>
    <t>Empresa</t>
  </si>
  <si>
    <t>Ramo</t>
  </si>
  <si>
    <t>Tipo</t>
  </si>
  <si>
    <t>Unidade</t>
  </si>
  <si>
    <t>Percentual Desconto</t>
  </si>
  <si>
    <t>modalidade</t>
  </si>
  <si>
    <t>subgrupo</t>
  </si>
  <si>
    <t>classe</t>
  </si>
  <si>
    <t>subclasse</t>
  </si>
  <si>
    <t>detalhe</t>
  </si>
  <si>
    <t>Passo atual</t>
  </si>
  <si>
    <t>desconto 0 - 8</t>
  </si>
  <si>
    <t>RA0 ou RV - TUSD (kW)</t>
  </si>
  <si>
    <t>RA0 ou RV - TUSD (MWh)</t>
  </si>
  <si>
    <t>RA0 ou RV - TE (MWh)</t>
  </si>
  <si>
    <t>RA1 ou RRD - TUSD (kW)</t>
  </si>
  <si>
    <t>RA1 ou RRD - TUSD (MWh)</t>
  </si>
  <si>
    <t>RA1 ou RRD - TE (MWh)</t>
  </si>
  <si>
    <t>RA0 ou RV - TUSD</t>
  </si>
  <si>
    <t>RA1 ou RRD - TUSD</t>
  </si>
  <si>
    <t>VARIAÇÃO</t>
  </si>
  <si>
    <t>RA0 ou RV - TE</t>
  </si>
  <si>
    <t>RA1 ou RRD - TE</t>
  </si>
  <si>
    <t>RA0 ou RV</t>
  </si>
  <si>
    <t>RA1 ou RRD</t>
  </si>
  <si>
    <t>A</t>
  </si>
  <si>
    <t>A+B</t>
  </si>
  <si>
    <t>Rótulos de Linha</t>
  </si>
  <si>
    <t>Soma de RA0 ou RV - TUSD (kW)</t>
  </si>
  <si>
    <t>Soma de RA1 ou RRD - TUSD (kW)</t>
  </si>
  <si>
    <t>Soma de RA0 ou RV - TUSD (MWh)</t>
  </si>
  <si>
    <t>Soma de RA1 ou RRD - TUSD (MWh)</t>
  </si>
  <si>
    <t>Soma de RA0 ou RV - TE (MWh)</t>
  </si>
  <si>
    <t>Soma de RA1 ou RRD - TE (MWh)</t>
  </si>
  <si>
    <t>Soma de Variação TUSD</t>
  </si>
  <si>
    <t>Soma de Variação TE</t>
  </si>
  <si>
    <t>Soma de Variação</t>
  </si>
  <si>
    <t>SUBSIDIO kW - TV</t>
  </si>
  <si>
    <t>SUBSIDIO MWh - TV</t>
  </si>
  <si>
    <t>SUBSIDIO kW - TN</t>
  </si>
  <si>
    <t>SUBSIDIO MWh - TN</t>
  </si>
  <si>
    <t>TIPO</t>
  </si>
  <si>
    <t>SUBSIDIO ÁGUA, ESGOTO E SANEAMENTO</t>
  </si>
  <si>
    <t>SUBSIDIO GERAÇÃO FONTE INCENTIVADA</t>
  </si>
  <si>
    <t>SUBSIDIO CARGA FONTE INCENTIVADA</t>
  </si>
  <si>
    <t>SUBSIDIO RURAL</t>
  </si>
  <si>
    <t>SUBSIDIO IRRIGANTE/AQUICULTOR</t>
  </si>
  <si>
    <t>SUBSIDIO BAIXA RENDA</t>
  </si>
  <si>
    <t>R$ (TV)</t>
  </si>
  <si>
    <t>R$ (TN)</t>
  </si>
  <si>
    <t>SUBSIDIO DISTRIBUIÇÃO</t>
  </si>
  <si>
    <t>AJUSTE ABRACE</t>
  </si>
  <si>
    <t>(vazio)</t>
  </si>
  <si>
    <t>Soma de SUBSIDIO kW - TV</t>
  </si>
  <si>
    <t>Soma de SUBSIDIO MWh - TV</t>
  </si>
  <si>
    <t>Soma de SUBSIDIO kW - TN</t>
  </si>
  <si>
    <t>Soma de SUBSIDIO MWh - TN</t>
  </si>
  <si>
    <t>Soma de TOTAL TV</t>
  </si>
  <si>
    <t>Soma de TOTAL TN</t>
  </si>
  <si>
    <t>Azul1RuralNão se aplicaPlanilha CustoA4</t>
  </si>
  <si>
    <t>2019</t>
  </si>
  <si>
    <t>Planilha Custo</t>
  </si>
  <si>
    <t>Verde1RuralNão se aplicaPlanilha CustoA4</t>
  </si>
  <si>
    <t>Convencional1RuralNão se aplicaPlanilha CustoA4</t>
  </si>
  <si>
    <t>Azul1Serviço públicoÁgua, esgoto e saneamentoPlanilha CUSTOA4</t>
  </si>
  <si>
    <t>Planilha CUSTO</t>
  </si>
  <si>
    <t>Verde1Serviço públicoÁgua, esgoto e saneamentoPlanilha CUSTOA4</t>
  </si>
  <si>
    <t>Convencional 1Serviço públicoÁgua, esgoto e saneamentoPlanilha CUSTOA4</t>
  </si>
  <si>
    <t xml:space="preserve">Convencional </t>
  </si>
  <si>
    <t>Convencional1RuralNão se aplicaRuralB2</t>
  </si>
  <si>
    <t>Branca1RuralNão se aplicaRuralB2</t>
  </si>
  <si>
    <t>Convencional1RuralCooperativa de eletrificação ruralPlanilha CUSTOB2</t>
  </si>
  <si>
    <t>Branca 1RuralCooperativa de eletrificação ruralPlanilha CUSTOB2</t>
  </si>
  <si>
    <t xml:space="preserve">Branca </t>
  </si>
  <si>
    <t>Convencional1RuralServiço público de irrigação ruralPlanilha CUSTOB2</t>
  </si>
  <si>
    <t>Branca 1RuralServiço público de irrigação ruralPlanilha CUSTOB2</t>
  </si>
  <si>
    <t>Convencional1Serviço públicoÁgua, esgoto e saneamentoPlanilha CUSTOB3</t>
  </si>
  <si>
    <t>Branca1Serviço públicoÁgua, esgoto e saneamentoPlanilha CUSTOB3</t>
  </si>
  <si>
    <t>Azul1Serviço públicoÁgua, esgoto e saneamentoPlanilha CUSTOA3a</t>
  </si>
  <si>
    <t>Verde1Serviço públicoÁgua, esgoto e saneamentoPlanilha CUSTOA3a</t>
  </si>
  <si>
    <t>Azul1Serviço públicoÁgua, esgoto e saneamentoPlanilha CUSTOA2</t>
  </si>
  <si>
    <t>Chave</t>
  </si>
  <si>
    <t>Cod</t>
  </si>
  <si>
    <t>idagente</t>
  </si>
  <si>
    <t>IdUC</t>
  </si>
  <si>
    <t>SubClasse</t>
  </si>
  <si>
    <t>D0</t>
  </si>
  <si>
    <t>D1</t>
  </si>
  <si>
    <t>D2</t>
  </si>
  <si>
    <t>D3</t>
  </si>
  <si>
    <t>D4</t>
  </si>
  <si>
    <t>D5</t>
  </si>
  <si>
    <t>D6</t>
  </si>
  <si>
    <t>D7</t>
  </si>
  <si>
    <t>D8</t>
  </si>
  <si>
    <t>Passo_Atual</t>
  </si>
  <si>
    <t>TUSD kW R$</t>
  </si>
  <si>
    <t>TUSD MW R$</t>
  </si>
  <si>
    <t>TE MWh R$</t>
  </si>
  <si>
    <t>SUB TUSD kW R$</t>
  </si>
  <si>
    <t>SUB TUSD MW R$</t>
  </si>
  <si>
    <t>SUB TE MWh R$</t>
  </si>
  <si>
    <t>TABELA CONSISTÊNCIA</t>
  </si>
  <si>
    <t>A1</t>
  </si>
  <si>
    <t>TUSD kW COMP. PR. R$</t>
  </si>
  <si>
    <t>TUSD MWh COMP. PR. R$</t>
  </si>
  <si>
    <t>TE MWh COMP. PR. R$</t>
  </si>
  <si>
    <t>TUSD kW SUB. PR. R$</t>
  </si>
  <si>
    <t>TUSD MWh SUB. PR. R$</t>
  </si>
  <si>
    <t>TE MWh SUB. PR. R$</t>
  </si>
  <si>
    <t>TUSD kW EFT. PR. R$</t>
  </si>
  <si>
    <t>TUSD MWh EFT. PR. R$</t>
  </si>
  <si>
    <t>TE MWh EFT. PR. R$</t>
  </si>
  <si>
    <t>TUSD kW EFT. VR. R$</t>
  </si>
  <si>
    <t>TUSD MWh EFT. VR. R$</t>
  </si>
  <si>
    <t>TE MWh EFT. VR. R$</t>
  </si>
  <si>
    <t>TUSD kW SUB. VR. R$</t>
  </si>
  <si>
    <t>TUSD+TE MWh SUB. VR. R$</t>
  </si>
  <si>
    <t>EFT. TUSD kW</t>
  </si>
  <si>
    <t>EFT. TUSD MWh</t>
  </si>
  <si>
    <t>EFT. TE MWh</t>
  </si>
  <si>
    <t>SUB. TUSD kW</t>
  </si>
  <si>
    <t>SUB. TUSD+TE MWh</t>
  </si>
  <si>
    <t>PLANILHA</t>
  </si>
  <si>
    <t>ERRO DETECTADO</t>
  </si>
  <si>
    <t>TABELA 1 - TARIFAS DE APLICAÇÃO E BASE ECONÔMICA PARA O GRUPO A</t>
  </si>
  <si>
    <t>ACESSANTE</t>
  </si>
  <si>
    <t>TARIFAS DE APLICAÇÃO</t>
  </si>
  <si>
    <t>R$/kW</t>
  </si>
  <si>
    <t>R$/MWh</t>
  </si>
  <si>
    <t>P</t>
  </si>
  <si>
    <t>FP</t>
  </si>
  <si>
    <t>Azul APE</t>
  </si>
  <si>
    <t>NA</t>
  </si>
  <si>
    <t>Verde APE</t>
  </si>
  <si>
    <t>TABELA 2 - TARIFAS DE APLICAÇÃO E BASE ECONÔMICA PARA O GRUPO B</t>
  </si>
  <si>
    <t>BRANCA</t>
  </si>
  <si>
    <t>RESIDENCIAL</t>
  </si>
  <si>
    <t>INT</t>
  </si>
  <si>
    <t>PRÉ-PAGAMENTO</t>
  </si>
  <si>
    <t>BAIXA RENDA</t>
  </si>
  <si>
    <t>CONVENCIONAL</t>
  </si>
  <si>
    <t>RURAL</t>
  </si>
  <si>
    <t>NÃO SE APLICA</t>
  </si>
  <si>
    <t>COOPERATIVA DE ELETRIFICAÇÃO RURAL</t>
  </si>
  <si>
    <t>SERVIÇO PÚBLICO DE IRRIGAÇÃO RURAL</t>
  </si>
  <si>
    <t>ILUMINAÇÃO PÚBLICA</t>
  </si>
  <si>
    <t>ILUMINAÇÃO PÚBLICA – B4A</t>
  </si>
  <si>
    <t>ILUMINAÇÃO PÚBLICA – B4B</t>
  </si>
  <si>
    <t>TUSD BASE FINANCEIRA NOVA</t>
  </si>
  <si>
    <t>TUSD BASE FINANCEIRA VIGENTE</t>
  </si>
  <si>
    <t>A2Azul</t>
  </si>
  <si>
    <t>A2AzulNão se aplica</t>
  </si>
  <si>
    <t>A2AzulNão se aplicaNão se aplica</t>
  </si>
  <si>
    <t>A2AzulNão se aplicaNão se aplicaNão se aplica</t>
  </si>
  <si>
    <t>A2AzulNão se aplicaNão se aplicaNão se aplicaNão se aplica</t>
  </si>
  <si>
    <t>A2AzulNão se aplicaNão se aplicaNão se aplicaNão se aplicaDP</t>
  </si>
  <si>
    <t>A2AzulNão se aplicaNão se aplicaNão se aplicaNão se aplicaDFP</t>
  </si>
  <si>
    <t>A2AzulNão se aplicaNão se aplicaNão se aplicaNão se aplicaE</t>
  </si>
  <si>
    <t>A2AzulNão se aplicaNão se aplicaAPE</t>
  </si>
  <si>
    <t>A2AzulNão se aplicaNão se aplicaAPENão se aplica</t>
  </si>
  <si>
    <t>A2AzulNão se aplicaNão se aplicaAPENão se aplicaE</t>
  </si>
  <si>
    <t>A2Distribuição</t>
  </si>
  <si>
    <t>A2DistribuiçãoNão se aplica</t>
  </si>
  <si>
    <t>A2DistribuiçãoNão se aplicaNão se aplica</t>
  </si>
  <si>
    <t>A2DistribuiçãoNão se aplicaNão se aplicaNão se aplica</t>
  </si>
  <si>
    <t>A2DistribuiçãoNão se aplicaNão se aplicaNão se aplicaEnel GO</t>
  </si>
  <si>
    <t>A2DistribuiçãoNão se aplicaNão se aplicaNão se aplicaEnel GODP</t>
  </si>
  <si>
    <t>A2DistribuiçãoNão se aplicaNão se aplicaNão se aplicaEnel GODFP</t>
  </si>
  <si>
    <t>A2DistribuiçãoNão se aplicaNão se aplicaNão se aplicaEnel GOE</t>
  </si>
  <si>
    <t>A2Geração</t>
  </si>
  <si>
    <t>A2GeraçãoNão se aplica</t>
  </si>
  <si>
    <t>A2GeraçãoNão se aplicaNão se aplica</t>
  </si>
  <si>
    <t>A2GeraçãoNão se aplicaNão se aplicaNão se aplica</t>
  </si>
  <si>
    <t>A2GeraçãoNão se aplicaNão se aplicaNão se aplicaUHE CORUMBA IV</t>
  </si>
  <si>
    <t>A2GeraçãoNão se aplicaNão se aplicaNão se aplicaUHE CORUMBA IVD</t>
  </si>
  <si>
    <t>A2GeraçãoNão se aplicaNão se aplicaNão se aplicaUHE CORUMBA III</t>
  </si>
  <si>
    <t>A2GeraçãoNão se aplicaNão se aplicaNão se aplicaUHE CORUMBA IIID</t>
  </si>
  <si>
    <t>A2GeraçãoNão se aplicaNão se aplicaNão se aplicaNOVO GERADOR</t>
  </si>
  <si>
    <t>A2GeraçãoNão se aplicaNão se aplicaNão se aplicaNOVO GERADORD</t>
  </si>
  <si>
    <t>A3aAzul</t>
  </si>
  <si>
    <t>A3aAzulNão se aplica</t>
  </si>
  <si>
    <t>A3aAzulNão se aplicaNão se aplica</t>
  </si>
  <si>
    <t>A3aAzulNão se aplicaNão se aplicaNão se aplica</t>
  </si>
  <si>
    <t>A3aAzulNão se aplicaNão se aplicaNão se aplicaNão se aplica</t>
  </si>
  <si>
    <t>A3aAzulNão se aplicaNão se aplicaNão se aplicaNão se aplicaDP</t>
  </si>
  <si>
    <t>A3aAzulNão se aplicaNão se aplicaNão se aplicaNão se aplicaDFP</t>
  </si>
  <si>
    <t>A3aAzulNão se aplicaNão se aplicaNão se aplicaNão se aplicaE</t>
  </si>
  <si>
    <t>A3aAzulNão se aplicaNão se aplicaAPE</t>
  </si>
  <si>
    <t>A3aAzulNão se aplicaNão se aplicaAPENão se aplica</t>
  </si>
  <si>
    <t>A3aAzulNão se aplicaNão se aplicaAPENão se aplicaE</t>
  </si>
  <si>
    <t>A3aGeração</t>
  </si>
  <si>
    <t>A3aGeraçãoNão se aplica</t>
  </si>
  <si>
    <t>A3aGeraçãoNão se aplicaNão se aplica</t>
  </si>
  <si>
    <t>A3aGeraçãoNão se aplicaNão se aplicaNão se aplica</t>
  </si>
  <si>
    <t>A3aGeraçãoNão se aplicaNão se aplicaNão se aplicaNão se aplica</t>
  </si>
  <si>
    <t>A3aGeraçãoNão se aplicaNão se aplicaNão se aplicaNão se aplicaD</t>
  </si>
  <si>
    <t>A3aVerde</t>
  </si>
  <si>
    <t>A3aVerdeNão se aplica</t>
  </si>
  <si>
    <t>A3aVerdeNão se aplicaNão se aplica</t>
  </si>
  <si>
    <t>A3aVerdeNão se aplicaNão se aplicaNão se aplica</t>
  </si>
  <si>
    <t>A3aVerdeNão se aplicaNão se aplicaNão se aplicaNão se aplica</t>
  </si>
  <si>
    <t>A3aVerdeNão se aplicaNão se aplicaNão se aplicaNão se aplicaD</t>
  </si>
  <si>
    <t>A3aVerdeNão se aplicaNão se aplicaNão se aplicaNão se aplicaEP</t>
  </si>
  <si>
    <t>A3aVerdeNão se aplicaNão se aplicaNão se aplicaNão se aplicaEFP</t>
  </si>
  <si>
    <t>A3aVerdeNão se aplicaNão se aplicaAPE</t>
  </si>
  <si>
    <t>A3aVerdeNão se aplicaNão se aplicaAPENão se aplica</t>
  </si>
  <si>
    <t>A3aVerdeNão se aplicaNão se aplicaAPENão se aplicaEP</t>
  </si>
  <si>
    <t>A3aVerdeNão se aplicaNão se aplicaAPENão se aplicaEFP</t>
  </si>
  <si>
    <t>A3aConvencional</t>
  </si>
  <si>
    <t>A3aConvencionalNão se aplica</t>
  </si>
  <si>
    <t>A3aConvencionalNão se aplicaNão se aplica</t>
  </si>
  <si>
    <t>A3aConvencionalNão se aplicaNão se aplicaNão se aplica</t>
  </si>
  <si>
    <t>A3aConvencionalNão se aplicaNão se aplicaNão se aplicaNão se aplica</t>
  </si>
  <si>
    <t>A3aConvencionalNão se aplicaNão se aplicaNão se aplicaNão se aplicaD</t>
  </si>
  <si>
    <t>A3aConvencionalNão se aplicaNão se aplicaNão se aplicaNão se aplicaE</t>
  </si>
  <si>
    <t>A4Azul</t>
  </si>
  <si>
    <t>A4AzulNão se aplica</t>
  </si>
  <si>
    <t>A4AzulNão se aplicaNão se aplica</t>
  </si>
  <si>
    <t>A4AzulNão se aplicaNão se aplicaNão se aplica</t>
  </si>
  <si>
    <t>A4AzulNão se aplicaNão se aplicaNão se aplicaNão se aplica</t>
  </si>
  <si>
    <t>A4AzulNão se aplicaNão se aplicaNão se aplicaNão se aplicaDP</t>
  </si>
  <si>
    <t>A4AzulNão se aplicaNão se aplicaNão se aplicaNão se aplicaDFP</t>
  </si>
  <si>
    <t>A4AzulNão se aplicaNão se aplicaNão se aplicaNão se aplicaE</t>
  </si>
  <si>
    <t>A4AzulNão se aplicaNão se aplicaAPE</t>
  </si>
  <si>
    <t>A4AzulNão se aplicaNão se aplicaAPENão se aplica</t>
  </si>
  <si>
    <t>A4AzulNão se aplicaNão se aplicaAPENão se aplicaE</t>
  </si>
  <si>
    <t>A4Geração</t>
  </si>
  <si>
    <t>A4GeraçãoNão se aplica</t>
  </si>
  <si>
    <t>A4GeraçãoNão se aplicaNão se aplica</t>
  </si>
  <si>
    <t>A4GeraçãoNão se aplicaNão se aplicaNão se aplica</t>
  </si>
  <si>
    <t>A4GeraçãoNão se aplicaNão se aplicaNão se aplicaNão se aplica</t>
  </si>
  <si>
    <t>A4GeraçãoNão se aplicaNão se aplicaNão se aplicaNão se aplicaD</t>
  </si>
  <si>
    <t>A4Verde</t>
  </si>
  <si>
    <t>A4VerdeNão se aplica</t>
  </si>
  <si>
    <t>A4VerdeNão se aplicaNão se aplica</t>
  </si>
  <si>
    <t>A4VerdeNão se aplicaNão se aplicaNão se aplica</t>
  </si>
  <si>
    <t>A4VerdeNão se aplicaNão se aplicaNão se aplicaNão se aplica</t>
  </si>
  <si>
    <t>A4VerdeNão se aplicaNão se aplicaNão se aplicaNão se aplicaD</t>
  </si>
  <si>
    <t>A4VerdeNão se aplicaNão se aplicaNão se aplicaNão se aplicaEP</t>
  </si>
  <si>
    <t>A4VerdeNão se aplicaNão se aplicaNão se aplicaNão se aplicaEFP</t>
  </si>
  <si>
    <t>A4VerdeNão se aplicaNão se aplicaAPE</t>
  </si>
  <si>
    <t>A4VerdeNão se aplicaNão se aplicaAPENão se aplica</t>
  </si>
  <si>
    <t>A4VerdeNão se aplicaNão se aplicaAPENão se aplicaEP</t>
  </si>
  <si>
    <t>A4VerdeNão se aplicaNão se aplicaAPENão se aplicaEFP</t>
  </si>
  <si>
    <t>A4Convencional</t>
  </si>
  <si>
    <t>A4ConvencionalNão se aplica</t>
  </si>
  <si>
    <t>A4ConvencionalNão se aplicaNão se aplica</t>
  </si>
  <si>
    <t>A4ConvencionalNão se aplicaNão se aplicaNão se aplica</t>
  </si>
  <si>
    <t>A4ConvencionalNão se aplicaNão se aplicaNão se aplicaNão se aplica</t>
  </si>
  <si>
    <t>A4ConvencionalNão se aplicaNão se aplicaNão se aplicaNão se aplicaD</t>
  </si>
  <si>
    <t>A4ConvencionalNão se aplicaNão se aplicaNão se aplicaNão se aplicaE</t>
  </si>
  <si>
    <t>ASAzul</t>
  </si>
  <si>
    <t>ASAzulNão se aplica</t>
  </si>
  <si>
    <t>ASAzulNão se aplicaNão se aplica</t>
  </si>
  <si>
    <t>ASAzulNão se aplicaNão se aplicaNão se aplica</t>
  </si>
  <si>
    <t>ASAzulNão se aplicaNão se aplicaNão se aplicaNão se aplica</t>
  </si>
  <si>
    <t>ASAzulNão se aplicaNão se aplicaNão se aplicaNão se aplicaDP</t>
  </si>
  <si>
    <t>ASAzulNão se aplicaNão se aplicaNão se aplicaNão se aplicaDFP</t>
  </si>
  <si>
    <t>ASAzulNão se aplicaNão se aplicaNão se aplicaNão se aplicaE</t>
  </si>
  <si>
    <t>ASAzulNão se aplicaNão se aplicaAPE</t>
  </si>
  <si>
    <t>ASAzulNão se aplicaNão se aplicaAPENão se aplica</t>
  </si>
  <si>
    <t>ASAzulNão se aplicaNão se aplicaAPENão se aplicaE</t>
  </si>
  <si>
    <t>ASVerde</t>
  </si>
  <si>
    <t>ASVerdeNão se aplica</t>
  </si>
  <si>
    <t>ASVerdeNão se aplicaNão se aplica</t>
  </si>
  <si>
    <t>ASVerdeNão se aplicaNão se aplicaNão se aplica</t>
  </si>
  <si>
    <t>ASVerdeNão se aplicaNão se aplicaNão se aplicaNão se aplica</t>
  </si>
  <si>
    <t>ASVerdeNão se aplicaNão se aplicaNão se aplicaNão se aplicaD</t>
  </si>
  <si>
    <t>ASVerdeNão se aplicaNão se aplicaNão se aplicaNão se aplicaEP</t>
  </si>
  <si>
    <t>ASVerdeNão se aplicaNão se aplicaNão se aplicaNão se aplicaEFP</t>
  </si>
  <si>
    <t>ASVerdeNão se aplicaNão se aplicaAPE</t>
  </si>
  <si>
    <t>ASVerdeNão se aplicaNão se aplicaAPENão se aplica</t>
  </si>
  <si>
    <t>ASVerdeNão se aplicaNão se aplicaAPENão se aplicaEP</t>
  </si>
  <si>
    <t>ASVerdeNão se aplicaNão se aplicaAPENão se aplicaEFP</t>
  </si>
  <si>
    <t>ASConvencional</t>
  </si>
  <si>
    <t>ASConvencionalNão se aplica</t>
  </si>
  <si>
    <t>ASConvencionalNão se aplicaNão se aplica</t>
  </si>
  <si>
    <t>ASConvencionalNão se aplicaNão se aplicaNão se aplica</t>
  </si>
  <si>
    <t>ASConvencionalNão se aplicaNão se aplicaNão se aplicaNão se aplica</t>
  </si>
  <si>
    <t>ASConvencionalNão se aplicaNão se aplicaNão se aplicaNão se aplicaD</t>
  </si>
  <si>
    <t>ASConvencionalNão se aplicaNão se aplicaNão se aplicaNão se aplicaE</t>
  </si>
  <si>
    <t>BGeração</t>
  </si>
  <si>
    <t>BGeraçãoNão se aplica</t>
  </si>
  <si>
    <t>BGeraçãoNão se aplicaNão se aplica</t>
  </si>
  <si>
    <t>BGeraçãoNão se aplicaNão se aplicaTIPO 01</t>
  </si>
  <si>
    <t>BGeraçãoNão se aplicaNão se aplicaTIPO 01Não se aplica</t>
  </si>
  <si>
    <t>BGeraçãoNão se aplicaNão se aplicaTIPO 01Não se aplicaD</t>
  </si>
  <si>
    <t>BGeraçãoNão se aplicaNão se aplicaTIPO 02</t>
  </si>
  <si>
    <t>BGeraçãoNão se aplicaNão se aplicaTIPO 02Não se aplica</t>
  </si>
  <si>
    <t>BGeraçãoNão se aplicaNão se aplicaTIPO 02Não se aplicaD</t>
  </si>
  <si>
    <t>B1Branca</t>
  </si>
  <si>
    <t>B1BrancaResidencial</t>
  </si>
  <si>
    <t>B1BrancaResidencialResidencial</t>
  </si>
  <si>
    <t>B1BrancaResidencialResidencialNão se aplica</t>
  </si>
  <si>
    <t>B1BrancaResidencialResidencialNão se aplicaNão se aplica</t>
  </si>
  <si>
    <t>B1BrancaResidencialResidencialNão se aplicaNão se aplicaEP</t>
  </si>
  <si>
    <t>B1BrancaResidencialResidencialNão se aplicaNão se aplicaEINT</t>
  </si>
  <si>
    <t>B1BrancaResidencialResidencialNão se aplicaNão se aplicaEFP</t>
  </si>
  <si>
    <t>B1Convencional</t>
  </si>
  <si>
    <t>B1ConvencionalResidencial</t>
  </si>
  <si>
    <t>B1ConvencionalResidencialResidencial</t>
  </si>
  <si>
    <t>B1ConvencionalResidencialResidencialNão se aplica</t>
  </si>
  <si>
    <t>B1ConvencionalResidencialResidencialNão se aplicaNão se aplica</t>
  </si>
  <si>
    <t>B1ConvencionalResidencialResidencialNão se aplicaNão se aplicaE</t>
  </si>
  <si>
    <t>B1ConvencionalResidencialResidencial baixa renda – faixa 01</t>
  </si>
  <si>
    <t>B1ConvencionalResidencialResidencial baixa renda – faixa 01Não se aplica</t>
  </si>
  <si>
    <t>B1ConvencionalResidencialResidencial baixa renda – faixa 01Não se aplicaNão se aplica</t>
  </si>
  <si>
    <t>B1ConvencionalResidencialResidencial baixa renda – faixa 01Não se aplicaNão se aplicaE</t>
  </si>
  <si>
    <t>B1ConvencionalResidencialResidencial baixa renda – faixa 02</t>
  </si>
  <si>
    <t>B1ConvencionalResidencialResidencial baixa renda – faixa 02Não se aplica</t>
  </si>
  <si>
    <t>B1ConvencionalResidencialResidencial baixa renda – faixa 02Não se aplicaNão se aplica</t>
  </si>
  <si>
    <t>B1ConvencionalResidencialResidencial baixa renda – faixa 02Não se aplicaNão se aplicaE</t>
  </si>
  <si>
    <t>B1ConvencionalResidencialResidencial baixa renda – faixa 03</t>
  </si>
  <si>
    <t>B1ConvencionalResidencialResidencial baixa renda – faixa 03Não se aplica</t>
  </si>
  <si>
    <t>B1ConvencionalResidencialResidencial baixa renda – faixa 03Não se aplicaNão se aplica</t>
  </si>
  <si>
    <t>B1ConvencionalResidencialResidencial baixa renda – faixa 03Não se aplicaNão se aplicaE</t>
  </si>
  <si>
    <t>B1ConvencionalResidencialResidencial baixa renda – faixa 04</t>
  </si>
  <si>
    <t>B1ConvencionalResidencialResidencial baixa renda – faixa 04Não se aplica</t>
  </si>
  <si>
    <t>B1ConvencionalResidencialResidencial baixa renda – faixa 04Não se aplicaNão se aplica</t>
  </si>
  <si>
    <t>B1ConvencionalResidencialResidencial baixa renda – faixa 04Não se aplicaNão se aplicaE</t>
  </si>
  <si>
    <t>B1Convencional pré-pagamento</t>
  </si>
  <si>
    <t>B1Convencional pré-pagamentoResidencial</t>
  </si>
  <si>
    <t>B1Convencional pré-pagamentoResidencialResidencial</t>
  </si>
  <si>
    <t>B1Convencional pré-pagamentoResidencialResidencialNão se aplica</t>
  </si>
  <si>
    <t>B1Convencional pré-pagamentoResidencialResidencialNão se aplicaNão se aplica</t>
  </si>
  <si>
    <t>B1Convencional pré-pagamentoResidencialResidencialNão se aplicaNão se aplicaE</t>
  </si>
  <si>
    <t>B1Convencional pré-pagamentoResidencialResidencial baixa renda – faixa 01</t>
  </si>
  <si>
    <t>B1Convencional pré-pagamentoResidencialResidencial baixa renda – faixa 01Não se aplica</t>
  </si>
  <si>
    <t>B1Convencional pré-pagamentoResidencialResidencial baixa renda – faixa 01Não se aplicaNão se aplica</t>
  </si>
  <si>
    <t>B1Convencional pré-pagamentoResidencialResidencial baixa renda – faixa 01Não se aplicaNão se aplicaE</t>
  </si>
  <si>
    <t>B1Convencional pré-pagamentoResidencialResidencial baixa renda – faixa 02</t>
  </si>
  <si>
    <t>B1Convencional pré-pagamentoResidencialResidencial baixa renda – faixa 02Não se aplica</t>
  </si>
  <si>
    <t>B1Convencional pré-pagamentoResidencialResidencial baixa renda – faixa 02Não se aplicaNão se aplica</t>
  </si>
  <si>
    <t>B1Convencional pré-pagamentoResidencialResidencial baixa renda – faixa 02Não se aplicaNão se aplicaE</t>
  </si>
  <si>
    <t>B1Convencional pré-pagamentoResidencialResidencial baixa renda – faixa 03</t>
  </si>
  <si>
    <t>B1Convencional pré-pagamentoResidencialResidencial baixa renda – faixa 03Não se aplica</t>
  </si>
  <si>
    <t>B1Convencional pré-pagamentoResidencialResidencial baixa renda – faixa 03Não se aplicaNão se aplica</t>
  </si>
  <si>
    <t>B1Convencional pré-pagamentoResidencialResidencial baixa renda – faixa 03Não se aplicaNão se aplicaE</t>
  </si>
  <si>
    <t>B1Convencional pré-pagamentoResidencialResidencial baixa renda – faixa 04</t>
  </si>
  <si>
    <t>B1Convencional pré-pagamentoResidencialResidencial baixa renda – faixa 04Não se aplica</t>
  </si>
  <si>
    <t>B1Convencional pré-pagamentoResidencialResidencial baixa renda – faixa 04Não se aplicaNão se aplica</t>
  </si>
  <si>
    <t>B1Convencional pré-pagamentoResidencialResidencial baixa renda – faixa 04Não se aplicaNão se aplicaE</t>
  </si>
  <si>
    <t>B2Branca</t>
  </si>
  <si>
    <t>B2BrancaRural</t>
  </si>
  <si>
    <t>B2BrancaRuralNão se aplica</t>
  </si>
  <si>
    <t>B2BrancaRuralNão se aplicaNão se aplica</t>
  </si>
  <si>
    <t>B2BrancaRuralNão se aplicaNão se aplicaNão se aplica</t>
  </si>
  <si>
    <t>B2BrancaRuralNão se aplicaNão se aplicaNão se aplicaEP</t>
  </si>
  <si>
    <t>B2BrancaRuralNão se aplicaNão se aplicaNão se aplicaEINT</t>
  </si>
  <si>
    <t>B2BrancaRuralNão se aplicaNão se aplicaNão se aplicaEFP</t>
  </si>
  <si>
    <t>B2Convencional</t>
  </si>
  <si>
    <t>B2ConvencionalRural</t>
  </si>
  <si>
    <t>B2ConvencionalRuralNão se aplica</t>
  </si>
  <si>
    <t>B2ConvencionalRuralNão se aplicaNão se aplica</t>
  </si>
  <si>
    <t>B2ConvencionalRuralNão se aplicaNão se aplicaNão se aplica</t>
  </si>
  <si>
    <t>B2ConvencionalRuralNão se aplicaNão se aplicaNão se aplicaE</t>
  </si>
  <si>
    <t>B2BrancaRuralCooperativa de eletrificação rural</t>
  </si>
  <si>
    <t>B2BrancaRuralCooperativa de eletrificação ruralNão se aplica</t>
  </si>
  <si>
    <t>B2BrancaRuralCooperativa de eletrificação ruralNão se aplicaNão se aplica</t>
  </si>
  <si>
    <t>B2BrancaRuralCooperativa de eletrificação ruralNão se aplicaNão se aplicaEP</t>
  </si>
  <si>
    <t>B2BrancaRuralCooperativa de eletrificação ruralNão se aplicaNão se aplicaEINT</t>
  </si>
  <si>
    <t>B2BrancaRuralCooperativa de eletrificação ruralNão se aplicaNão se aplicaEFP</t>
  </si>
  <si>
    <t>B2ConvencionalRuralCooperativa de eletrificação rural</t>
  </si>
  <si>
    <t>B2ConvencionalRuralCooperativa de eletrificação ruralNão se aplica</t>
  </si>
  <si>
    <t>B2ConvencionalRuralCooperativa de eletrificação ruralNão se aplicaNão se aplica</t>
  </si>
  <si>
    <t>B2ConvencionalRuralCooperativa de eletrificação ruralNão se aplicaNão se aplicaE</t>
  </si>
  <si>
    <t>B2BrancaRuralServiço público de irrigação rural</t>
  </si>
  <si>
    <t>B2BrancaRuralServiço público de irrigação ruralNão se aplica</t>
  </si>
  <si>
    <t>B2BrancaRuralServiço público de irrigação ruralNão se aplicaNão se aplica</t>
  </si>
  <si>
    <t>B2BrancaRuralServiço público de irrigação ruralNão se aplicaNão se aplicaEP</t>
  </si>
  <si>
    <t>B2BrancaRuralServiço público de irrigação ruralNão se aplicaNão se aplicaEINT</t>
  </si>
  <si>
    <t>B2BrancaRuralServiço público de irrigação ruralNão se aplicaNão se aplicaEFP</t>
  </si>
  <si>
    <t>B2ConvencionalRuralServiço público de irrigação rural</t>
  </si>
  <si>
    <t>B2ConvencionalRuralServiço público de irrigação ruralNão se aplica</t>
  </si>
  <si>
    <t>B2ConvencionalRuralServiço público de irrigação ruralNão se aplicaNão se aplica</t>
  </si>
  <si>
    <t>B2ConvencionalRuralServiço público de irrigação ruralNão se aplicaNão se aplicaE</t>
  </si>
  <si>
    <t>B2Convencional pré-pagamento</t>
  </si>
  <si>
    <t>B2Convencional pré-pagamentoRural</t>
  </si>
  <si>
    <t>B2Convencional pré-pagamentoRuralNão se aplica</t>
  </si>
  <si>
    <t>B2Convencional pré-pagamentoRuralNão se aplicaNão se aplica</t>
  </si>
  <si>
    <t>B2Convencional pré-pagamentoRuralNão se aplicaNão se aplicaNão se aplica</t>
  </si>
  <si>
    <t>B2Convencional pré-pagamentoRuralNão se aplicaNão se aplicaNão se aplicaE</t>
  </si>
  <si>
    <t>B2Convencional pré-pagamentoRuralCooperativa de eletrificação rural</t>
  </si>
  <si>
    <t>B2Convencional pré-pagamentoRuralCooperativa de eletrificação ruralNão se aplica</t>
  </si>
  <si>
    <t>B2Convencional pré-pagamentoRuralCooperativa de eletrificação ruralNão se aplicaNão se aplica</t>
  </si>
  <si>
    <t>B2Convencional pré-pagamentoRuralCooperativa de eletrificação ruralNão se aplicaNão se aplicaE</t>
  </si>
  <si>
    <t>B2Convencional pré-pagamentoRuralServiço público de irrigação rural</t>
  </si>
  <si>
    <t>B2Convencional pré-pagamentoRuralServiço público de irrigação ruralNão se aplica</t>
  </si>
  <si>
    <t>B2Convencional pré-pagamentoRuralServiço público de irrigação ruralNão se aplicaNão se aplica</t>
  </si>
  <si>
    <t>B2Convencional pré-pagamentoRuralServiço público de irrigação ruralNão se aplicaNão se aplicaE</t>
  </si>
  <si>
    <t>B3Branca</t>
  </si>
  <si>
    <t>B3BrancaNão se aplica</t>
  </si>
  <si>
    <t>B3BrancaNão se aplicaNão se aplica</t>
  </si>
  <si>
    <t>B3BrancaNão se aplicaNão se aplicaNão se aplica</t>
  </si>
  <si>
    <t>B3BrancaNão se aplicaNão se aplicaNão se aplicaNão se aplica</t>
  </si>
  <si>
    <t>B3BrancaNão se aplicaNão se aplicaNão se aplicaNão se aplicaEP</t>
  </si>
  <si>
    <t>B3BrancaNão se aplicaNão se aplicaNão se aplicaNão se aplicaEINT</t>
  </si>
  <si>
    <t>B3BrancaNão se aplicaNão se aplicaNão se aplicaNão se aplicaEFP</t>
  </si>
  <si>
    <t>B3Convencional</t>
  </si>
  <si>
    <t>B3ConvencionalNão se aplica</t>
  </si>
  <si>
    <t>B3ConvencionalNão se aplicaNão se aplica</t>
  </si>
  <si>
    <t>B3ConvencionalNão se aplicaNão se aplicaNão se aplica</t>
  </si>
  <si>
    <t>B3ConvencionalNão se aplicaNão se aplicaNão se aplicaNão se aplica</t>
  </si>
  <si>
    <t>B3ConvencionalNão se aplicaNão se aplicaNão se aplicaNão se aplicaE</t>
  </si>
  <si>
    <t>B3Convencional pré-pagamento</t>
  </si>
  <si>
    <t>B3Convencional pré-pagamentoNão se aplica</t>
  </si>
  <si>
    <t>B3Convencional pré-pagamentoNão se aplicaNão se aplica</t>
  </si>
  <si>
    <t>B3Convencional pré-pagamentoNão se aplicaNão se aplicaNão se aplica</t>
  </si>
  <si>
    <t>B3Convencional pré-pagamentoNão se aplicaNão se aplicaNão se aplicaNão se aplica</t>
  </si>
  <si>
    <t>B3Convencional pré-pagamentoNão se aplicaNão se aplicaNão se aplicaNão se aplicaE</t>
  </si>
  <si>
    <t>B4Convencional</t>
  </si>
  <si>
    <t>B4ConvencionalIluminação pública</t>
  </si>
  <si>
    <t>B4ConvencionalIluminação públicaIluminação pública – B4a</t>
  </si>
  <si>
    <t>B4ConvencionalIluminação públicaIluminação pública – B4aNão se aplica</t>
  </si>
  <si>
    <t>B4ConvencionalIluminação públicaIluminação pública – B4aNão se aplicaNão se aplica</t>
  </si>
  <si>
    <t>B4ConvencionalIluminação públicaIluminação pública – B4aNão se aplicaNão se aplicaE</t>
  </si>
  <si>
    <t>B4ConvencionalIluminação públicaIluminação pública – B4b</t>
  </si>
  <si>
    <t>B4ConvencionalIluminação públicaIluminação pública – B4bNão se aplica</t>
  </si>
  <si>
    <t>B4ConvencionalIluminação públicaIluminação pública – B4bNão se aplicaNão se aplica</t>
  </si>
  <si>
    <t>B4ConvencionalIluminação públicaIluminação pública – B4bNão se aplicaNão se aplicaE</t>
  </si>
  <si>
    <t>TE BASE FINANCEIRA NOVA</t>
  </si>
  <si>
    <t>TE BASE FINANCEIRA VIGENTE</t>
  </si>
  <si>
    <t>A2Energia horária</t>
  </si>
  <si>
    <t>A2Energia horáriaNão se aplica</t>
  </si>
  <si>
    <t>A2Energia horáriaNão se aplicaNão se aplica</t>
  </si>
  <si>
    <t>A2Energia horáriaNão se aplicaNão se aplicaNão se aplica</t>
  </si>
  <si>
    <t>A2Energia horáriaNão se aplicaNão se aplicaNão se aplicaNão se aplica</t>
  </si>
  <si>
    <t>A2Energia horáriaNão se aplicaNão se aplicaNão se aplicaNão se aplicaEP</t>
  </si>
  <si>
    <t>A2Energia horáriaNão se aplicaNão se aplicaNão se aplicaNão se aplicaEFP</t>
  </si>
  <si>
    <t>A3aEnergia horária</t>
  </si>
  <si>
    <t>A3aEnergia horáriaNão se aplica</t>
  </si>
  <si>
    <t>A3aEnergia horáriaNão se aplicaNão se aplica</t>
  </si>
  <si>
    <t>A3aEnergia horáriaNão se aplicaNão se aplicaNão se aplica</t>
  </si>
  <si>
    <t>A3aEnergia horáriaNão se aplicaNão se aplicaNão se aplicaNão se aplica</t>
  </si>
  <si>
    <t>A3aEnergia horáriaNão se aplicaNão se aplicaNão se aplicaNão se aplicaEP</t>
  </si>
  <si>
    <t>A3aEnergia horáriaNão se aplicaNão se aplicaNão se aplicaNão se aplicaEFP</t>
  </si>
  <si>
    <t>A3aEnergia convencional</t>
  </si>
  <si>
    <t>A3aEnergia convencionalNão se aplica</t>
  </si>
  <si>
    <t>A3aEnergia convencionalNão se aplicaNão se aplica</t>
  </si>
  <si>
    <t>A3aEnergia convencionalNão se aplicaNão se aplicaNão se aplica</t>
  </si>
  <si>
    <t>A3aEnergia convencionalNão se aplicaNão se aplicaNão se aplicaNão se aplica</t>
  </si>
  <si>
    <t>A3aEnergia convencionalNão se aplicaNão se aplicaNão se aplicaNão se aplicaE</t>
  </si>
  <si>
    <t>A4Energia horária</t>
  </si>
  <si>
    <t>A4Energia horáriaNão se aplica</t>
  </si>
  <si>
    <t>A4Energia horáriaNão se aplicaNão se aplica</t>
  </si>
  <si>
    <t>A4Energia horáriaNão se aplicaNão se aplicaNão se aplica</t>
  </si>
  <si>
    <t>A4Energia horáriaNão se aplicaNão se aplicaNão se aplicaNão se aplica</t>
  </si>
  <si>
    <t>A4Energia horáriaNão se aplicaNão se aplicaNão se aplicaNão se aplicaEP</t>
  </si>
  <si>
    <t>A4Energia horáriaNão se aplicaNão se aplicaNão se aplicaNão se aplicaEFP</t>
  </si>
  <si>
    <t>A4Energia convencional</t>
  </si>
  <si>
    <t>A4Energia convencionalNão se aplica</t>
  </si>
  <si>
    <t>A4Energia convencionalNão se aplicaNão se aplica</t>
  </si>
  <si>
    <t>A4Energia convencionalNão se aplicaNão se aplicaNão se aplica</t>
  </si>
  <si>
    <t>A4Energia convencionalNão se aplicaNão se aplicaNão se aplicaNão se aplica</t>
  </si>
  <si>
    <t>A4Energia convencionalNão se aplicaNão se aplicaNão se aplicaNão se aplicaE</t>
  </si>
  <si>
    <t>ASEnergia horária</t>
  </si>
  <si>
    <t>ASEnergia horáriaNão se aplica</t>
  </si>
  <si>
    <t>ASEnergia horáriaNão se aplicaNão se aplica</t>
  </si>
  <si>
    <t>ASEnergia horáriaNão se aplicaNão se aplicaNão se aplica</t>
  </si>
  <si>
    <t>ASEnergia horáriaNão se aplicaNão se aplicaNão se aplicaNão se aplica</t>
  </si>
  <si>
    <t>ASEnergia horáriaNão se aplicaNão se aplicaNão se aplicaNão se aplicaEP</t>
  </si>
  <si>
    <t>ASEnergia horáriaNão se aplicaNão se aplicaNão se aplicaNão se aplicaEFP</t>
  </si>
  <si>
    <t>ASEnergia convencional</t>
  </si>
  <si>
    <t>ASEnergia convencionalNão se aplica</t>
  </si>
  <si>
    <t>ASEnergia convencionalNão se aplicaNão se aplica</t>
  </si>
  <si>
    <t>ASEnergia convencionalNão se aplicaNão se aplicaNão se aplica</t>
  </si>
  <si>
    <t>ASEnergia convencionalNão se aplicaNão se aplicaNão se aplicaNão se aplica</t>
  </si>
  <si>
    <t>ASEnergia convencionalNão se aplicaNão se aplicaNão se aplicaNão se aplicaE</t>
  </si>
  <si>
    <t>B1Energia horária</t>
  </si>
  <si>
    <t>B1Energia horáriaResidencial</t>
  </si>
  <si>
    <t>B1Energia horáriaResidencialResidencial</t>
  </si>
  <si>
    <t>B1Energia horáriaResidencialResidencialNão se aplica</t>
  </si>
  <si>
    <t>B1Energia horáriaResidencialResidencialNão se aplicaNão se aplica</t>
  </si>
  <si>
    <t>B1Energia horáriaResidencialResidencialNão se aplicaNão se aplicaEP</t>
  </si>
  <si>
    <t>B1Energia horáriaResidencialResidencialNão se aplicaNão se aplicaEINT</t>
  </si>
  <si>
    <t>B1Energia horáriaResidencialResidencialNão se aplicaNão se aplicaEFP</t>
  </si>
  <si>
    <t>B1Energia convencional</t>
  </si>
  <si>
    <t>B1Energia convencionalResidencial</t>
  </si>
  <si>
    <t>B1Energia convencionalResidencialResidencial</t>
  </si>
  <si>
    <t>B1Energia convencionalResidencialResidencialNão se aplica</t>
  </si>
  <si>
    <t>B1Energia convencionalResidencialResidencialNão se aplicaNão se aplica</t>
  </si>
  <si>
    <t>B1Energia convencionalResidencialResidencialNão se aplicaNão se aplicaE</t>
  </si>
  <si>
    <t>B1Energia convencionalResidencialResidencial baixa renda – faixa 01</t>
  </si>
  <si>
    <t>B1Energia convencionalResidencialResidencial baixa renda – faixa 01Não se aplica</t>
  </si>
  <si>
    <t>B1Energia convencionalResidencialResidencial baixa renda – faixa 01Não se aplicaNão se aplica</t>
  </si>
  <si>
    <t>B1Energia convencionalResidencialResidencial baixa renda – faixa 01Não se aplicaNão se aplicaE</t>
  </si>
  <si>
    <t>B1Energia convencionalResidencialResidencial baixa renda – faixa 02</t>
  </si>
  <si>
    <t>B1Energia convencionalResidencialResidencial baixa renda – faixa 02Não se aplica</t>
  </si>
  <si>
    <t>B1Energia convencionalResidencialResidencial baixa renda – faixa 02Não se aplicaNão se aplica</t>
  </si>
  <si>
    <t>B1Energia convencionalResidencialResidencial baixa renda – faixa 02Não se aplicaNão se aplicaE</t>
  </si>
  <si>
    <t>B1Energia convencionalResidencialResidencial baixa renda – faixa 03</t>
  </si>
  <si>
    <t>B1Energia convencionalResidencialResidencial baixa renda – faixa 03Não se aplica</t>
  </si>
  <si>
    <t>B1Energia convencionalResidencialResidencial baixa renda – faixa 03Não se aplicaNão se aplica</t>
  </si>
  <si>
    <t>B1Energia convencionalResidencialResidencial baixa renda – faixa 03Não se aplicaNão se aplicaE</t>
  </si>
  <si>
    <t>B1Energia convencionalResidencialResidencial baixa renda – faixa 04</t>
  </si>
  <si>
    <t>B1Energia convencionalResidencialResidencial baixa renda – faixa 04Não se aplica</t>
  </si>
  <si>
    <t>B1Energia convencionalResidencialResidencial baixa renda – faixa 04Não se aplicaNão se aplica</t>
  </si>
  <si>
    <t>B1Energia convencionalResidencialResidencial baixa renda – faixa 04Não se aplicaNão se aplicaE</t>
  </si>
  <si>
    <t>B1Energia convencional pré-pagamento</t>
  </si>
  <si>
    <t>B1Energia convencional pré-pagamentoResidencial</t>
  </si>
  <si>
    <t>B1Energia convencional pré-pagamentoResidencialResidencial</t>
  </si>
  <si>
    <t>B1Energia convencional pré-pagamentoResidencialResidencialNão se aplica</t>
  </si>
  <si>
    <t>B1Energia convencional pré-pagamentoResidencialResidencialNão se aplicaNão se aplica</t>
  </si>
  <si>
    <t>B1Energia convencional pré-pagamentoResidencialResidencialNão se aplicaNão se aplicaE</t>
  </si>
  <si>
    <t>B1Energia convencional pré-pagamentoResidencialResidencial baixa renda – faixa 01</t>
  </si>
  <si>
    <t>B1Energia convencional pré-pagamentoResidencialResidencial baixa renda – faixa 01Não se aplica</t>
  </si>
  <si>
    <t>B1Energia convencional pré-pagamentoResidencialResidencial baixa renda – faixa 01Não se aplicaNão se aplica</t>
  </si>
  <si>
    <t>B1Energia convencional pré-pagamentoResidencialResidencial baixa renda – faixa 01Não se aplicaNão se aplicaE</t>
  </si>
  <si>
    <t>B1Energia convencional pré-pagamentoResidencialResidencial baixa renda – faixa 02</t>
  </si>
  <si>
    <t>B1Energia convencional pré-pagamentoResidencialResidencial baixa renda – faixa 02Não se aplica</t>
  </si>
  <si>
    <t>B1Energia convencional pré-pagamentoResidencialResidencial baixa renda – faixa 02Não se aplicaNão se aplica</t>
  </si>
  <si>
    <t>B1Energia convencional pré-pagamentoResidencialResidencial baixa renda – faixa 02Não se aplicaNão se aplicaE</t>
  </si>
  <si>
    <t>B1Energia convencional pré-pagamentoResidencialResidencial baixa renda – faixa 03</t>
  </si>
  <si>
    <t>B1Energia convencional pré-pagamentoResidencialResidencial baixa renda – faixa 03Não se aplica</t>
  </si>
  <si>
    <t>B1Energia convencional pré-pagamentoResidencialResidencial baixa renda – faixa 03Não se aplicaNão se aplica</t>
  </si>
  <si>
    <t>B1Energia convencional pré-pagamentoResidencialResidencial baixa renda – faixa 03Não se aplicaNão se aplicaE</t>
  </si>
  <si>
    <t>B1Energia convencional pré-pagamentoResidencialResidencial baixa renda – faixa 04</t>
  </si>
  <si>
    <t>B1Energia convencional pré-pagamentoResidencialResidencial baixa renda – faixa 04Não se aplica</t>
  </si>
  <si>
    <t>B1Energia convencional pré-pagamentoResidencialResidencial baixa renda – faixa 04Não se aplicaNão se aplica</t>
  </si>
  <si>
    <t>B1Energia convencional pré-pagamentoResidencialResidencial baixa renda – faixa 04Não se aplicaNão se aplicaE</t>
  </si>
  <si>
    <t>B2Energia horária</t>
  </si>
  <si>
    <t>B2Energia horáriaRural</t>
  </si>
  <si>
    <t>B2Energia horáriaRuralNão se aplica</t>
  </si>
  <si>
    <t>B2Energia horáriaRuralNão se aplicaNão se aplica</t>
  </si>
  <si>
    <t>B2Energia horáriaRuralNão se aplicaNão se aplicaNão se aplica</t>
  </si>
  <si>
    <t>B2Energia horáriaRuralNão se aplicaNão se aplicaNão se aplicaEP</t>
  </si>
  <si>
    <t>B2Energia horáriaRuralNão se aplicaNão se aplicaNão se aplicaEINT</t>
  </si>
  <si>
    <t>B2Energia horáriaRuralNão se aplicaNão se aplicaNão se aplicaEFP</t>
  </si>
  <si>
    <t>B2Energia convencional</t>
  </si>
  <si>
    <t>B2Energia convencionalRural</t>
  </si>
  <si>
    <t>B2Energia convencionalRuralNão se aplica</t>
  </si>
  <si>
    <t>B2Energia convencionalRuralNão se aplicaNão se aplica</t>
  </si>
  <si>
    <t>B2Energia convencionalRuralNão se aplicaNão se aplicaNão se aplica</t>
  </si>
  <si>
    <t>B2Energia convencionalRuralNão se aplicaNão se aplicaNão se aplicaE</t>
  </si>
  <si>
    <t>B2Energia horáriaRuralCooperativa de eletrificação rural</t>
  </si>
  <si>
    <t>B2Energia horáriaRuralCooperativa de eletrificação ruralNão se aplica</t>
  </si>
  <si>
    <t>B2Energia horáriaRuralCooperativa de eletrificação ruralNão se aplicaNão se aplica</t>
  </si>
  <si>
    <t>B2Energia horáriaRuralCooperativa de eletrificação ruralNão se aplicaNão se aplicaEP</t>
  </si>
  <si>
    <t>B2Energia horáriaRuralCooperativa de eletrificação ruralNão se aplicaNão se aplicaEINT</t>
  </si>
  <si>
    <t>B2Energia horáriaRuralCooperativa de eletrificação ruralNão se aplicaNão se aplicaEFP</t>
  </si>
  <si>
    <t>B2Energia convencionalRuralCooperativa de eletrificação rural</t>
  </si>
  <si>
    <t>B2Energia convencionalRuralCooperativa de eletrificação ruralNão se aplica</t>
  </si>
  <si>
    <t>B2Energia convencionalRuralCooperativa de eletrificação ruralNão se aplicaNão se aplica</t>
  </si>
  <si>
    <t>B2Energia convencionalRuralCooperativa de eletrificação ruralNão se aplicaNão se aplicaE</t>
  </si>
  <si>
    <t>B2Energia horáriaRuralServiço público de irrigação rural</t>
  </si>
  <si>
    <t>B2Energia horáriaRuralServiço público de irrigação ruralNão se aplica</t>
  </si>
  <si>
    <t>B2Energia horáriaRuralServiço público de irrigação ruralNão se aplicaNão se aplica</t>
  </si>
  <si>
    <t>B2Energia horáriaRuralServiço público de irrigação ruralNão se aplicaNão se aplicaEP</t>
  </si>
  <si>
    <t>B2Energia horáriaRuralServiço público de irrigação ruralNão se aplicaNão se aplicaEINT</t>
  </si>
  <si>
    <t>B2Energia horáriaRuralServiço público de irrigação ruralNão se aplicaNão se aplicaEFP</t>
  </si>
  <si>
    <t>B2Energia convencionalRuralServiço público de irrigação rural</t>
  </si>
  <si>
    <t>B2Energia convencionalRuralServiço público de irrigação ruralNão se aplica</t>
  </si>
  <si>
    <t>B2Energia convencionalRuralServiço público de irrigação ruralNão se aplicaNão se aplica</t>
  </si>
  <si>
    <t>B2Energia convencionalRuralServiço público de irrigação ruralNão se aplicaNão se aplicaE</t>
  </si>
  <si>
    <t>B2Energia convencional pré-pagamento</t>
  </si>
  <si>
    <t>B2Energia convencional pré-pagamentoRural</t>
  </si>
  <si>
    <t>B2Energia convencional pré-pagamentoRuralNão se aplica</t>
  </si>
  <si>
    <t>B2Energia convencional pré-pagamentoRuralNão se aplicaNão se aplica</t>
  </si>
  <si>
    <t>B2Energia convencional pré-pagamentoRuralNão se aplicaNão se aplicaNão se aplica</t>
  </si>
  <si>
    <t>B2Energia convencional pré-pagamentoRuralNão se aplicaNão se aplicaNão se aplicaE</t>
  </si>
  <si>
    <t>B2Energia convencional pré-pagamentoRuralCooperativa de eletrificação rural</t>
  </si>
  <si>
    <t>B2Energia convencional pré-pagamentoRuralCooperativa de eletrificação ruralNão se aplica</t>
  </si>
  <si>
    <t>B2Energia convencional pré-pagamentoRuralCooperativa de eletrificação ruralNão se aplicaNão se aplica</t>
  </si>
  <si>
    <t>B2Energia convencional pré-pagamentoRuralCooperativa de eletrificação ruralNão se aplicaNão se aplicaE</t>
  </si>
  <si>
    <t>B2Energia convencional pré-pagamentoRuralServiço público de irrigação rural</t>
  </si>
  <si>
    <t>B2Energia convencional pré-pagamentoRuralServiço público de irrigação ruralNão se aplica</t>
  </si>
  <si>
    <t>B2Energia convencional pré-pagamentoRuralServiço público de irrigação ruralNão se aplicaNão se aplica</t>
  </si>
  <si>
    <t>B2Energia convencional pré-pagamentoRuralServiço público de irrigação ruralNão se aplicaNão se aplicaE</t>
  </si>
  <si>
    <t>B3Energia horária</t>
  </si>
  <si>
    <t>B3Energia horáriaNão se aplica</t>
  </si>
  <si>
    <t>B3Energia horáriaNão se aplicaNão se aplica</t>
  </si>
  <si>
    <t>B3Energia horáriaNão se aplicaNão se aplicaNão se aplica</t>
  </si>
  <si>
    <t>B3Energia horáriaNão se aplicaNão se aplicaNão se aplicaNão se aplica</t>
  </si>
  <si>
    <t>B3Energia horáriaNão se aplicaNão se aplicaNão se aplicaNão se aplicaEP</t>
  </si>
  <si>
    <t>B3Energia horáriaNão se aplicaNão se aplicaNão se aplicaNão se aplicaEINT</t>
  </si>
  <si>
    <t>B3Energia horáriaNão se aplicaNão se aplicaNão se aplicaNão se aplicaEFP</t>
  </si>
  <si>
    <t>B3Energia convencional</t>
  </si>
  <si>
    <t>B3Energia convencionalNão se aplica</t>
  </si>
  <si>
    <t>B3Energia convencionalNão se aplicaNão se aplica</t>
  </si>
  <si>
    <t>B3Energia convencionalNão se aplicaNão se aplicaNão se aplica</t>
  </si>
  <si>
    <t>B3Energia convencionalNão se aplicaNão se aplicaNão se aplicaNão se aplica</t>
  </si>
  <si>
    <t>B3Energia convencionalNão se aplicaNão se aplicaNão se aplicaNão se aplicaE</t>
  </si>
  <si>
    <t>B3Energia convencional pré-pagamento</t>
  </si>
  <si>
    <t>B3Energia convencional pré-pagamentoNão se aplica</t>
  </si>
  <si>
    <t>B3Energia convencional pré-pagamentoNão se aplicaNão se aplica</t>
  </si>
  <si>
    <t>B3Energia convencional pré-pagamentoNão se aplicaNão se aplicaNão se aplica</t>
  </si>
  <si>
    <t>B3Energia convencional pré-pagamentoNão se aplicaNão se aplicaNão se aplicaNão se aplica</t>
  </si>
  <si>
    <t>B3Energia convencional pré-pagamentoNão se aplicaNão se aplicaNão se aplicaNão se aplicaE</t>
  </si>
  <si>
    <t>B4Energia convencional</t>
  </si>
  <si>
    <t>B4Energia convencionalIluminação pública</t>
  </si>
  <si>
    <t>B4Energia convencionalIluminação públicaIluminação pública – B4a</t>
  </si>
  <si>
    <t>B4Energia convencionalIluminação públicaIluminação pública – B4aNão se aplica</t>
  </si>
  <si>
    <t>B4Energia convencionalIluminação públicaIluminação pública – B4aNão se aplicaNão se aplica</t>
  </si>
  <si>
    <t>B4Energia convencionalIluminação públicaIluminação pública – B4aNão se aplicaNão se aplicaE</t>
  </si>
  <si>
    <t>B4Energia convencionalIluminação públicaIluminação pública – B4b</t>
  </si>
  <si>
    <t>B4Energia convencionalIluminação públicaIluminação pública – B4bNão se aplica</t>
  </si>
  <si>
    <t>B4Energia convencionalIluminação públicaIluminação pública – B4bNão se aplicaNão se aplica</t>
  </si>
  <si>
    <t>B4Energia convencionalIluminação públicaIluminação pública – B4bNão se aplicaNão se aplicaE</t>
  </si>
  <si>
    <t>CUSTOS REGULATÓRIOS</t>
  </si>
  <si>
    <t>TOTAL RA0/RV</t>
  </si>
  <si>
    <t>TOTAL RA1/RRD</t>
  </si>
  <si>
    <t>TOTAL SUBGRUPO A0</t>
  </si>
  <si>
    <t>TOTAL SUBGRUPO A1</t>
  </si>
  <si>
    <t>TOTAL ANÁLISE A0</t>
  </si>
  <si>
    <t>TOTAL ANÁLISE A1</t>
  </si>
  <si>
    <t>CHAVE</t>
  </si>
  <si>
    <t>VAR. GLOBAL</t>
  </si>
  <si>
    <t>VAR. SELEÇÃO SUBG.</t>
  </si>
  <si>
    <t>VAR. SELEÇÃO MDT</t>
  </si>
  <si>
    <t>FRC</t>
  </si>
  <si>
    <t>OPERAÇÃO E MANUTENÇÃO - O&amp;M (R$)</t>
  </si>
  <si>
    <t>TAXA DE DEPRECIAÇÃO - D (%)</t>
  </si>
  <si>
    <t>PARCELA B REVISÃO (R$)</t>
  </si>
  <si>
    <t>CARGA TRIBUTÁRIA (%)</t>
  </si>
  <si>
    <t>WACC ANTES DOS TRIBUTOS (%)</t>
  </si>
  <si>
    <t>VALOR</t>
  </si>
  <si>
    <t>DESCRIÇÃO PARÂMETROS</t>
  </si>
  <si>
    <t>TUSD FIO B - FORA PONTA (R$/kW)</t>
  </si>
  <si>
    <t>K</t>
  </si>
  <si>
    <t>B2-IRRIGANTE</t>
  </si>
  <si>
    <t>B2-RURAL</t>
  </si>
  <si>
    <t>SUBGRUPO TARIFÁRIO</t>
  </si>
  <si>
    <t>6,04</t>
  </si>
  <si>
    <t>4,95</t>
  </si>
  <si>
    <t>4,59</t>
  </si>
  <si>
    <t>SubGrupo</t>
  </si>
  <si>
    <t>Modalidade_TA</t>
  </si>
  <si>
    <t>unidade</t>
  </si>
  <si>
    <t>Acessante</t>
  </si>
  <si>
    <t>TotalTUSD</t>
  </si>
  <si>
    <t>TotalTE</t>
  </si>
  <si>
    <t>TUSD_RGR</t>
  </si>
  <si>
    <t>TUSD_TFSEE</t>
  </si>
  <si>
    <t>TUSD_PeD</t>
  </si>
  <si>
    <t>TUSD_ONS</t>
  </si>
  <si>
    <t>TUSD_CCC</t>
  </si>
  <si>
    <t>TUSD_CDE</t>
  </si>
  <si>
    <t>TUSD_PROINFA</t>
  </si>
  <si>
    <t>TUSD_Liminar1</t>
  </si>
  <si>
    <t>TUSD_RB</t>
  </si>
  <si>
    <t>TUSD_FR</t>
  </si>
  <si>
    <t>TUSD_CCT</t>
  </si>
  <si>
    <t>TUSD_CCD</t>
  </si>
  <si>
    <t>TUSD_CUSD</t>
  </si>
  <si>
    <t>TUSDG_T</t>
  </si>
  <si>
    <t>TUSDG_ONS</t>
  </si>
  <si>
    <t>TUSD_FioB</t>
  </si>
  <si>
    <t>TUSD_SUBSIDIO</t>
  </si>
  <si>
    <t>TUSD_OUTROS</t>
  </si>
  <si>
    <t>TUSD_PT</t>
  </si>
  <si>
    <t>TUSD_Per_RB/D</t>
  </si>
  <si>
    <t>TUSD_PNT</t>
  </si>
  <si>
    <t>TUSD_RI</t>
  </si>
  <si>
    <t>TE_PeD</t>
  </si>
  <si>
    <t>TE_ESSERR</t>
  </si>
  <si>
    <t>TE_CFURH</t>
  </si>
  <si>
    <t>TE_CDE_E</t>
  </si>
  <si>
    <t>TE_Energia</t>
  </si>
  <si>
    <t>TE_TranItaipu</t>
  </si>
  <si>
    <t>TE_TUST_ITAIPU</t>
  </si>
  <si>
    <t>TE_TUST_CI</t>
  </si>
  <si>
    <t>TE_SUBSIDIO</t>
  </si>
  <si>
    <t>TE_Per_RB</t>
  </si>
  <si>
    <t>Baixa Renda</t>
  </si>
  <si>
    <t>Perdas</t>
  </si>
  <si>
    <t xml:space="preserve">TUSD </t>
  </si>
  <si>
    <t xml:space="preserve">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</si>
</sst>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0.00%_);[Red]\(#,##0.00%\)"/>
    <numFmt numFmtId="165" formatCode="#0.00%;[Red]#0.00%"/>
    <numFmt numFmtId="166" formatCode="0.00%_);[Red]\(0.00%\)"/>
    <numFmt numFmtId="167" formatCode="#,##0.00_ ;[Red]\-#,##0.00\ "/>
    <numFmt numFmtId="168" formatCode="#,##0.00;[Red]#,##0.00"/>
  </numFmts>
  <fonts count="11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11"/>
      <color theme="1"/>
      <name val="Calibri"/>
      <family val="2"/>
      <scheme val="minor"/>
    </font>
    <font>
      <sz val="8"/>
      <color indexed="10"/>
      <name val="Arial"/>
      <family val="2"/>
    </font>
    <font>
      <sz val="8"/>
      <color theme="3" tint="-0.249977111117893"/>
      <name val="Arial"/>
      <family val="2"/>
    </font>
    <font>
      <b/>
      <sz val="8"/>
      <color theme="0"/>
      <name val="Arial"/>
      <family val="2"/>
    </font>
    <font>
      <sz val="8"/>
      <name val="Calibri"/>
      <family val="2"/>
      <scheme val="minor"/>
    </font>
    <font>
      <sz val="8"/>
      <color theme="1" tint="4.9989318521683403E-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indexed="65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theme="3" tint="-0.499984740745262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53">
    <xf numFmtId="0" fontId="0" fillId="0" borderId="0" xfId="0"/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40" fontId="2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40" fontId="1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1" xfId="0" applyFont="1" applyBorder="1" applyAlignment="1">
      <alignment horizontal="center" vertical="center"/>
    </xf>
    <xf numFmtId="17" fontId="4" fillId="0" borderId="1" xfId="0" applyNumberFormat="1" applyFont="1" applyBorder="1" applyAlignment="1">
      <alignment horizontal="center" vertical="center"/>
    </xf>
    <xf numFmtId="40" fontId="3" fillId="0" borderId="1" xfId="0" applyNumberFormat="1" applyFont="1" applyBorder="1" applyAlignment="1">
      <alignment vertical="center"/>
    </xf>
    <xf numFmtId="40" fontId="3" fillId="0" borderId="1" xfId="0" applyNumberFormat="1" applyFon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40" fontId="3" fillId="0" borderId="1" xfId="0" applyNumberFormat="1" applyFont="1" applyBorder="1" applyAlignment="1">
      <alignment vertical="center"/>
    </xf>
    <xf numFmtId="0" fontId="3" fillId="0" borderId="0" xfId="0" applyFont="1"/>
    <xf numFmtId="40" fontId="3" fillId="0" borderId="0" xfId="0" applyNumberFormat="1" applyFont="1" applyAlignment="1">
      <alignment vertical="center"/>
    </xf>
    <xf numFmtId="0" fontId="3" fillId="0" borderId="1" xfId="0" applyFont="1" applyBorder="1" applyAlignment="1">
      <alignment vertical="center"/>
    </xf>
    <xf numFmtId="40" fontId="3" fillId="0" borderId="1" xfId="0" applyNumberFormat="1" applyFont="1" applyBorder="1" applyAlignment="1">
      <alignment vertical="center"/>
    </xf>
    <xf numFmtId="40" fontId="3" fillId="0" borderId="1" xfId="0" applyNumberFormat="1" applyFont="1" applyBorder="1" applyAlignment="1">
      <alignment vertical="center"/>
    </xf>
    <xf numFmtId="40" fontId="3" fillId="0" borderId="8" xfId="0" applyNumberFormat="1" applyFont="1" applyBorder="1" applyAlignment="1">
      <alignment vertical="center"/>
    </xf>
    <xf numFmtId="40" fontId="3" fillId="0" borderId="8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40" fontId="3" fillId="0" borderId="1" xfId="0" applyNumberFormat="1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40" fontId="3" fillId="0" borderId="8" xfId="0" applyNumberFormat="1" applyFont="1" applyBorder="1" applyAlignment="1">
      <alignment horizontal="left" vertical="center"/>
    </xf>
    <xf numFmtId="40" fontId="4" fillId="0" borderId="8" xfId="0" applyNumberFormat="1" applyFont="1" applyBorder="1" applyAlignment="1">
      <alignment horizontal="center" vertical="center"/>
    </xf>
    <xf numFmtId="40" fontId="3" fillId="0" borderId="9" xfId="0" applyNumberFormat="1" applyFont="1" applyBorder="1" applyAlignment="1">
      <alignment vertical="center"/>
    </xf>
    <xf numFmtId="40" fontId="4" fillId="0" borderId="9" xfId="0" applyNumberFormat="1" applyFont="1" applyBorder="1" applyAlignment="1">
      <alignment horizontal="center" vertical="center"/>
    </xf>
    <xf numFmtId="40" fontId="3" fillId="0" borderId="13" xfId="0" applyNumberFormat="1" applyFont="1" applyBorder="1" applyAlignment="1">
      <alignment vertical="center"/>
    </xf>
    <xf numFmtId="40" fontId="3" fillId="0" borderId="13" xfId="0" applyNumberFormat="1" applyFont="1" applyBorder="1" applyAlignment="1">
      <alignment horizontal="left" vertical="center"/>
    </xf>
    <xf numFmtId="0" fontId="4" fillId="0" borderId="9" xfId="0" applyFont="1" applyBorder="1" applyAlignment="1">
      <alignment horizontal="center" vertical="center"/>
    </xf>
    <xf numFmtId="0" fontId="3" fillId="0" borderId="9" xfId="0" applyFont="1" applyBorder="1" applyAlignment="1">
      <alignment vertical="center"/>
    </xf>
    <xf numFmtId="0" fontId="4" fillId="0" borderId="9" xfId="0" applyFont="1" applyBorder="1" applyAlignment="1">
      <alignment horizontal="center" vertical="center"/>
    </xf>
    <xf numFmtId="0" fontId="3" fillId="0" borderId="9" xfId="0" applyFont="1" applyBorder="1" applyAlignment="1">
      <alignment vertical="center"/>
    </xf>
    <xf numFmtId="40" fontId="3" fillId="0" borderId="13" xfId="0" applyNumberFormat="1" applyFon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40" fontId="3" fillId="0" borderId="8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40" fontId="3" fillId="0" borderId="13" xfId="0" applyNumberFormat="1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40" fontId="4" fillId="0" borderId="13" xfId="0" applyNumberFormat="1" applyFont="1" applyBorder="1" applyAlignment="1">
      <alignment horizontal="center" vertical="center"/>
    </xf>
    <xf numFmtId="40" fontId="3" fillId="0" borderId="13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0" fillId="0" borderId="10" xfId="0" applyBorder="1"/>
    <xf numFmtId="0" fontId="0" fillId="0" borderId="13" xfId="0" applyBorder="1"/>
    <xf numFmtId="0" fontId="2" fillId="0" borderId="13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40" fontId="1" fillId="0" borderId="13" xfId="0" applyNumberFormat="1" applyFont="1" applyBorder="1" applyAlignment="1">
      <alignment horizontal="center" vertical="center"/>
    </xf>
    <xf numFmtId="165" fontId="1" fillId="0" borderId="13" xfId="0" applyNumberFormat="1" applyFont="1" applyBorder="1" applyAlignment="1">
      <alignment horizontal="center" vertical="center"/>
    </xf>
    <xf numFmtId="0" fontId="3" fillId="0" borderId="0" xfId="0" pivotButton="1" applyFont="1"/>
    <xf numFmtId="40" fontId="3" fillId="0" borderId="0" xfId="0" applyNumberFormat="1" applyFont="1"/>
    <xf numFmtId="166" fontId="3" fillId="0" borderId="0" xfId="0" applyNumberFormat="1" applyFo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3" fillId="0" borderId="0" xfId="0" applyFont="1" applyAlignment="1">
      <alignment horizontal="left" indent="2"/>
    </xf>
    <xf numFmtId="0" fontId="3" fillId="0" borderId="0" xfId="0" applyFont="1" applyAlignment="1">
      <alignment horizontal="left" indent="3"/>
    </xf>
    <xf numFmtId="0" fontId="3" fillId="0" borderId="0" xfId="0" applyFont="1" applyAlignment="1">
      <alignment horizontal="left" indent="4"/>
    </xf>
    <xf numFmtId="0" fontId="3" fillId="0" borderId="0" xfId="0" applyFont="1" applyAlignment="1">
      <alignment horizontal="left" indent="5"/>
    </xf>
    <xf numFmtId="0" fontId="3" fillId="0" borderId="0" xfId="0" applyFont="1" applyAlignment="1">
      <alignment horizontal="left" indent="6"/>
    </xf>
    <xf numFmtId="0" fontId="3" fillId="0" borderId="0" xfId="0" applyFont="1" applyAlignment="1">
      <alignment horizontal="left" indent="7"/>
    </xf>
    <xf numFmtId="14" fontId="3" fillId="0" borderId="0" xfId="0" applyNumberFormat="1" applyFont="1" applyAlignment="1">
      <alignment horizontal="left" indent="8"/>
    </xf>
    <xf numFmtId="0" fontId="3" fillId="0" borderId="13" xfId="0" applyFont="1" applyBorder="1"/>
    <xf numFmtId="0" fontId="4" fillId="0" borderId="13" xfId="0" applyFont="1" applyBorder="1"/>
    <xf numFmtId="40" fontId="6" fillId="2" borderId="0" xfId="0" applyNumberFormat="1" applyFont="1" applyFill="1" applyAlignment="1">
      <alignment horizontal="center" vertical="center"/>
    </xf>
    <xf numFmtId="40" fontId="1" fillId="2" borderId="0" xfId="0" applyNumberFormat="1" applyFont="1" applyFill="1" applyAlignment="1">
      <alignment horizontal="center" vertical="center"/>
    </xf>
    <xf numFmtId="14" fontId="2" fillId="0" borderId="13" xfId="0" applyNumberFormat="1" applyFont="1" applyBorder="1" applyAlignment="1">
      <alignment horizontal="center" vertical="center"/>
    </xf>
    <xf numFmtId="14" fontId="1" fillId="0" borderId="13" xfId="0" applyNumberFormat="1" applyFont="1" applyBorder="1" applyAlignment="1">
      <alignment horizontal="center" vertical="center"/>
    </xf>
    <xf numFmtId="40" fontId="3" fillId="0" borderId="13" xfId="0" applyNumberFormat="1" applyFont="1" applyBorder="1"/>
    <xf numFmtId="40" fontId="2" fillId="0" borderId="13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164" fontId="3" fillId="0" borderId="0" xfId="0" applyNumberFormat="1" applyFont="1"/>
    <xf numFmtId="0" fontId="3" fillId="0" borderId="13" xfId="0" applyFont="1" applyBorder="1" applyAlignment="1">
      <alignment vertical="center"/>
    </xf>
    <xf numFmtId="167" fontId="3" fillId="0" borderId="0" xfId="0" applyNumberFormat="1" applyFont="1"/>
    <xf numFmtId="164" fontId="3" fillId="0" borderId="13" xfId="0" applyNumberFormat="1" applyFont="1" applyBorder="1" applyAlignment="1">
      <alignment vertical="center"/>
    </xf>
    <xf numFmtId="40" fontId="3" fillId="0" borderId="13" xfId="0" applyNumberFormat="1" applyFont="1" applyBorder="1" applyAlignment="1">
      <alignment horizontal="left" vertical="center" indent="1"/>
    </xf>
    <xf numFmtId="40" fontId="3" fillId="0" borderId="13" xfId="0" quotePrefix="1" applyNumberFormat="1" applyFont="1" applyBorder="1" applyAlignment="1">
      <alignment horizontal="left" vertical="center" indent="1"/>
    </xf>
    <xf numFmtId="0" fontId="4" fillId="0" borderId="0" xfId="0" applyFont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40" fontId="3" fillId="0" borderId="1" xfId="0" applyNumberFormat="1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40" fontId="3" fillId="0" borderId="8" xfId="0" applyNumberFormat="1" applyFont="1" applyBorder="1" applyAlignment="1">
      <alignment horizontal="left" vertical="center"/>
    </xf>
    <xf numFmtId="40" fontId="3" fillId="0" borderId="13" xfId="0" applyNumberFormat="1" applyFont="1" applyBorder="1" applyAlignment="1">
      <alignment horizontal="left" vertical="center"/>
    </xf>
    <xf numFmtId="0" fontId="4" fillId="0" borderId="9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10" fontId="3" fillId="0" borderId="0" xfId="0" applyNumberFormat="1" applyFont="1"/>
    <xf numFmtId="2" fontId="7" fillId="3" borderId="15" xfId="0" applyNumberFormat="1" applyFont="1" applyFill="1" applyBorder="1" applyAlignment="1">
      <alignment horizontal="center" vertical="center"/>
    </xf>
    <xf numFmtId="0" fontId="7" fillId="3" borderId="15" xfId="0" applyFont="1" applyFill="1" applyBorder="1" applyAlignment="1">
      <alignment horizontal="left" vertical="center" indent="1"/>
    </xf>
    <xf numFmtId="4" fontId="7" fillId="4" borderId="0" xfId="0" applyNumberFormat="1" applyFont="1" applyFill="1" applyAlignment="1">
      <alignment vertical="center"/>
    </xf>
    <xf numFmtId="0" fontId="7" fillId="4" borderId="0" xfId="0" applyFont="1" applyFill="1" applyAlignment="1">
      <alignment horizontal="left" vertical="center" indent="1"/>
    </xf>
    <xf numFmtId="10" fontId="7" fillId="3" borderId="0" xfId="0" applyNumberFormat="1" applyFont="1" applyFill="1" applyAlignment="1">
      <alignment vertical="center"/>
    </xf>
    <xf numFmtId="0" fontId="7" fillId="3" borderId="0" xfId="0" applyFont="1" applyFill="1" applyAlignment="1">
      <alignment horizontal="left" vertical="center" indent="1"/>
    </xf>
    <xf numFmtId="10" fontId="7" fillId="4" borderId="0" xfId="0" applyNumberFormat="1" applyFont="1" applyFill="1" applyAlignment="1">
      <alignment vertical="center"/>
    </xf>
    <xf numFmtId="0" fontId="8" fillId="5" borderId="16" xfId="0" applyFont="1" applyFill="1" applyBorder="1" applyAlignment="1">
      <alignment horizontal="center" vertical="center"/>
    </xf>
    <xf numFmtId="0" fontId="7" fillId="3" borderId="15" xfId="0" applyFont="1" applyFill="1" applyBorder="1" applyAlignment="1">
      <alignment horizontal="center" vertical="center"/>
    </xf>
    <xf numFmtId="168" fontId="7" fillId="4" borderId="0" xfId="0" applyNumberFormat="1" applyFont="1" applyFill="1" applyAlignment="1">
      <alignment horizontal="center" vertical="center"/>
    </xf>
    <xf numFmtId="40" fontId="7" fillId="3" borderId="15" xfId="0" applyNumberFormat="1" applyFont="1" applyFill="1" applyBorder="1" applyAlignment="1">
      <alignment horizontal="center" vertical="center"/>
    </xf>
    <xf numFmtId="40" fontId="3" fillId="0" borderId="1" xfId="0" applyNumberFormat="1" applyFont="1" applyBorder="1" applyAlignment="1">
      <alignment horizontal="left" vertical="center"/>
    </xf>
    <xf numFmtId="40" fontId="0" fillId="0" borderId="1" xfId="0" applyNumberForma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40" fontId="0" fillId="0" borderId="1" xfId="0" applyNumberFormat="1" applyBorder="1" applyAlignment="1">
      <alignment vertical="center"/>
    </xf>
    <xf numFmtId="0" fontId="3" fillId="0" borderId="2" xfId="0" applyFont="1" applyBorder="1" applyAlignment="1">
      <alignment vertical="center"/>
    </xf>
    <xf numFmtId="0" fontId="0" fillId="0" borderId="4" xfId="0" applyBorder="1" applyAlignment="1">
      <alignment vertical="center"/>
    </xf>
    <xf numFmtId="0" fontId="3" fillId="0" borderId="5" xfId="0" applyFont="1" applyBorder="1" applyAlignment="1">
      <alignment vertical="center"/>
    </xf>
    <xf numFmtId="0" fontId="0" fillId="0" borderId="6" xfId="0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0" borderId="13" xfId="0" applyFont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7" xfId="0" applyBorder="1" applyAlignment="1">
      <alignment vertical="center"/>
    </xf>
    <xf numFmtId="0" fontId="4" fillId="0" borderId="14" xfId="0" applyFont="1" applyBorder="1" applyAlignment="1">
      <alignment horizontal="center" vertical="center"/>
    </xf>
    <xf numFmtId="0" fontId="0" fillId="0" borderId="3" xfId="0" applyBorder="1" applyAlignment="1">
      <alignment vertical="center"/>
    </xf>
    <xf numFmtId="40" fontId="3" fillId="0" borderId="8" xfId="0" applyNumberFormat="1" applyFont="1" applyBorder="1" applyAlignment="1">
      <alignment horizontal="left" vertical="center"/>
    </xf>
    <xf numFmtId="0" fontId="4" fillId="0" borderId="8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40" fontId="4" fillId="0" borderId="10" xfId="0" applyNumberFormat="1" applyFont="1" applyBorder="1" applyAlignment="1">
      <alignment horizontal="center" vertical="center"/>
    </xf>
    <xf numFmtId="40" fontId="5" fillId="0" borderId="11" xfId="0" applyNumberFormat="1" applyFont="1" applyBorder="1" applyAlignment="1">
      <alignment horizontal="center" vertical="center"/>
    </xf>
    <xf numFmtId="40" fontId="5" fillId="0" borderId="12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3" fillId="0" borderId="9" xfId="0" applyFont="1" applyBorder="1" applyAlignment="1">
      <alignment vertical="center"/>
    </xf>
    <xf numFmtId="0" fontId="4" fillId="0" borderId="13" xfId="0" applyFont="1" applyBorder="1" applyAlignment="1">
      <alignment horizontal="center" vertical="center"/>
    </xf>
    <xf numFmtId="40" fontId="3" fillId="0" borderId="13" xfId="0" applyNumberFormat="1" applyFont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4" fontId="10" fillId="6" borderId="18" xfId="0" applyNumberFormat="1" applyFont="1" applyFill="1" applyBorder="1"/>
    <xf numFmtId="4" fontId="10" fillId="6" borderId="12" xfId="0" applyNumberFormat="1" applyFont="1" applyFill="1" applyBorder="1"/>
    <xf numFmtId="4" fontId="10" fillId="6" borderId="19" xfId="0" applyNumberFormat="1" applyFont="1" applyFill="1" applyBorder="1"/>
    <xf numFmtId="4" fontId="10" fillId="6" borderId="6" xfId="0" applyNumberFormat="1" applyFont="1" applyFill="1" applyBorder="1"/>
    <xf numFmtId="4" fontId="10" fillId="6" borderId="13" xfId="0" applyNumberFormat="1" applyFont="1" applyFill="1" applyBorder="1"/>
    <xf numFmtId="4" fontId="10" fillId="6" borderId="5" xfId="0" applyNumberFormat="1" applyFont="1" applyFill="1" applyBorder="1"/>
    <xf numFmtId="4" fontId="10" fillId="6" borderId="20" xfId="0" applyNumberFormat="1" applyFont="1" applyFill="1" applyBorder="1"/>
    <xf numFmtId="4" fontId="10" fillId="6" borderId="10" xfId="0" applyNumberFormat="1" applyFont="1" applyFill="1" applyBorder="1"/>
    <xf numFmtId="4" fontId="10" fillId="6" borderId="17" xfId="0" applyNumberFormat="1" applyFont="1" applyFill="1" applyBorder="1"/>
    <xf numFmtId="4" fontId="10" fillId="6" borderId="13" xfId="0" applyNumberFormat="1" applyFont="1" applyFill="1" applyBorder="1" applyAlignment="1">
      <alignment horizontal="center"/>
    </xf>
    <xf numFmtId="4" fontId="10" fillId="6" borderId="5" xfId="0" applyNumberFormat="1" applyFont="1" applyFill="1" applyBorder="1" applyAlignment="1">
      <alignment horizontal="center"/>
    </xf>
    <xf numFmtId="4" fontId="10" fillId="6" borderId="12" xfId="0" applyNumberFormat="1" applyFont="1" applyFill="1" applyBorder="1" applyAlignment="1">
      <alignment horizontal="center"/>
    </xf>
    <xf numFmtId="4" fontId="10" fillId="6" borderId="19" xfId="0" applyNumberFormat="1" applyFont="1" applyFill="1" applyBorder="1" applyAlignment="1">
      <alignment horizontal="center"/>
    </xf>
    <xf numFmtId="4" fontId="10" fillId="6" borderId="19" xfId="0" applyNumberFormat="1" applyFont="1" applyFill="1" applyBorder="1" applyAlignment="1">
      <alignment horizontal="center"/>
    </xf>
    <xf numFmtId="4" fontId="10" fillId="6" borderId="12" xfId="0" applyNumberFormat="1" applyFont="1" applyFill="1" applyBorder="1" applyAlignment="1">
      <alignment horizontal="center"/>
    </xf>
  </cellXfs>
  <cellStyles count="1">
    <cellStyle name="Normal" xfId="0" builtinId="0"/>
  </cellStyles>
  <dxfs count="1642"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9" formatCode="#,##0.00_);[Red]\(#,##0.00\)"/>
    </dxf>
    <dxf>
      <numFmt numFmtId="169" formatCode="#,##0.00_);[Red]\(#,##0.00\)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6" formatCode="0.00%_);[Red]\(0.00%\)"/>
    </dxf>
    <dxf>
      <numFmt numFmtId="166" formatCode="0.00%_);[Red]\(0.00%\)"/>
    </dxf>
    <dxf>
      <numFmt numFmtId="169" formatCode="#,##0.00_);[Red]\(#,##0.00\)"/>
    </dxf>
    <dxf>
      <numFmt numFmtId="169" formatCode="#,##0.00_);[Red]\(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TUSD'!$A$13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RGR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TUSD'!$B$13:$W$13</c:f>
              <c:numCache>
                <c:formatCode>General</c:formatCode>
                <c:ptCount val="22"/>
                <c:pt idx="0">
                  <c:v>0</c:v>
                </c:pt>
                <c:pt idx="1">
                  <c:v>-1.6581329040198262E-5</c:v>
                </c:pt>
                <c:pt idx="2">
                  <c:v>-1.3979626550958833E-4</c:v>
                </c:pt>
                <c:pt idx="3">
                  <c:v>0</c:v>
                </c:pt>
                <c:pt idx="4">
                  <c:v>0</c:v>
                </c:pt>
                <c:pt idx="5">
                  <c:v>5.1442527795806117E-2</c:v>
                </c:pt>
                <c:pt idx="6">
                  <c:v>-1.4314081864723906E-2</c:v>
                </c:pt>
                <c:pt idx="7">
                  <c:v>0</c:v>
                </c:pt>
                <c:pt idx="8">
                  <c:v>6.978442068894021E-2</c:v>
                </c:pt>
                <c:pt idx="9">
                  <c:v>1.6693577278542693E-2</c:v>
                </c:pt>
                <c:pt idx="10">
                  <c:v>2.1561963653116338E-3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1.1965709156061861E-4</c:v>
                </c:pt>
                <c:pt idx="15">
                  <c:v>1.292507758139921E-2</c:v>
                </c:pt>
                <c:pt idx="16">
                  <c:v>0</c:v>
                </c:pt>
                <c:pt idx="17">
                  <c:v>0</c:v>
                </c:pt>
                <c:pt idx="18">
                  <c:v>-1.6995307827293138E-2</c:v>
                </c:pt>
                <c:pt idx="19">
                  <c:v>-6.2264235398384329E-4</c:v>
                </c:pt>
                <c:pt idx="20">
                  <c:v>-8.1328352479124576E-3</c:v>
                </c:pt>
                <c:pt idx="21">
                  <c:v>3.7584831054897913E-4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65-4608-B6EA-316AB3C29EA2}"/>
            </c:ext>
          </c:extLst>
        </c:ser>
        <c:ser>
          <c:idx val="1"/>
          <c:order val="1"/>
          <c:tx>
            <c:strRef>
              <c:f>'RESUMO TUSD'!$A$14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RGR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TUSD'!$B$14:$W$14</c:f>
              <c:numCache>
                <c:formatCode>General</c:formatCode>
                <c:ptCount val="22"/>
                <c:pt idx="0">
                  <c:v>0</c:v>
                </c:pt>
                <c:pt idx="1">
                  <c:v>3.308441317018879E-4</c:v>
                </c:pt>
                <c:pt idx="2">
                  <c:v>1.4178474045196184E-3</c:v>
                </c:pt>
                <c:pt idx="3">
                  <c:v>0</c:v>
                </c:pt>
                <c:pt idx="4">
                  <c:v>0</c:v>
                </c:pt>
                <c:pt idx="5">
                  <c:v>4.2685607068467725E-2</c:v>
                </c:pt>
                <c:pt idx="6">
                  <c:v>-2.2969932536396065E-2</c:v>
                </c:pt>
                <c:pt idx="7">
                  <c:v>0</c:v>
                </c:pt>
                <c:pt idx="8">
                  <c:v>0.1412646298208248</c:v>
                </c:pt>
                <c:pt idx="9">
                  <c:v>3.5860412450348808E-2</c:v>
                </c:pt>
                <c:pt idx="10">
                  <c:v>4.0022416369558441E-3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2.9239840168473119E-3</c:v>
                </c:pt>
                <c:pt idx="15">
                  <c:v>1.7675500026764261E-2</c:v>
                </c:pt>
                <c:pt idx="16">
                  <c:v>0</c:v>
                </c:pt>
                <c:pt idx="17">
                  <c:v>0</c:v>
                </c:pt>
                <c:pt idx="18">
                  <c:v>-1.0465496931305567E-2</c:v>
                </c:pt>
                <c:pt idx="19">
                  <c:v>-3.8346564609849392E-4</c:v>
                </c:pt>
                <c:pt idx="20">
                  <c:v>-5.1547280323849575E-3</c:v>
                </c:pt>
                <c:pt idx="21">
                  <c:v>3.6973805793751773E-4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65-4608-B6EA-316AB3C29EA2}"/>
            </c:ext>
          </c:extLst>
        </c:ser>
        <c:ser>
          <c:idx val="2"/>
          <c:order val="2"/>
          <c:tx>
            <c:strRef>
              <c:f>'RESUMO TUSD'!$A$15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RGR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TUSD'!$B$15:$W$15</c:f>
              <c:numCache>
                <c:formatCode>General</c:formatCode>
                <c:ptCount val="22"/>
                <c:pt idx="0">
                  <c:v>0</c:v>
                </c:pt>
                <c:pt idx="1">
                  <c:v>3.308441317018879E-4</c:v>
                </c:pt>
                <c:pt idx="2">
                  <c:v>1.4178474045196184E-3</c:v>
                </c:pt>
                <c:pt idx="3">
                  <c:v>0</c:v>
                </c:pt>
                <c:pt idx="4">
                  <c:v>0</c:v>
                </c:pt>
                <c:pt idx="5">
                  <c:v>4.2685607068467725E-2</c:v>
                </c:pt>
                <c:pt idx="6">
                  <c:v>-2.2969932536396065E-2</c:v>
                </c:pt>
                <c:pt idx="7">
                  <c:v>0</c:v>
                </c:pt>
                <c:pt idx="8">
                  <c:v>0.1412646298208248</c:v>
                </c:pt>
                <c:pt idx="9">
                  <c:v>3.5860412450348808E-2</c:v>
                </c:pt>
                <c:pt idx="10">
                  <c:v>4.0022416369558441E-3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2.9239840168473119E-3</c:v>
                </c:pt>
                <c:pt idx="15">
                  <c:v>1.7675500026764261E-2</c:v>
                </c:pt>
                <c:pt idx="16">
                  <c:v>0</c:v>
                </c:pt>
                <c:pt idx="17">
                  <c:v>0</c:v>
                </c:pt>
                <c:pt idx="18">
                  <c:v>-1.0465496931305567E-2</c:v>
                </c:pt>
                <c:pt idx="19">
                  <c:v>-3.8346564609849392E-4</c:v>
                </c:pt>
                <c:pt idx="20">
                  <c:v>-5.1547280323849575E-3</c:v>
                </c:pt>
                <c:pt idx="21">
                  <c:v>3.6973805793751773E-4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65-4608-B6EA-316AB3C29EA2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F365-4608-B6EA-316AB3C29EA2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F365-4608-B6EA-316AB3C29EA2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F365-4608-B6EA-316AB3C29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3008304"/>
        <c:axId val="739656768"/>
      </c:radarChart>
      <c:catAx>
        <c:axId val="90300830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739656768"/>
        <c:crosses val="autoZero"/>
        <c:auto val="1"/>
        <c:lblAlgn val="ctr"/>
        <c:lblOffset val="100"/>
        <c:noMultiLvlLbl val="0"/>
      </c:catAx>
      <c:valAx>
        <c:axId val="7396567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03008304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TE'!$A$13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TE'!$B$5:$K$5</c:f>
              <c:strCache>
                <c:ptCount val="10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ENERGIA</c:v>
                </c:pt>
                <c:pt idx="4">
                  <c:v>ENERGIA REVENDA</c:v>
                </c:pt>
                <c:pt idx="5">
                  <c:v>ITAIPU</c:v>
                </c:pt>
                <c:pt idx="6">
                  <c:v>TUST ITAIPU</c:v>
                </c:pt>
                <c:pt idx="7">
                  <c:v>TUST CI</c:v>
                </c:pt>
                <c:pt idx="8">
                  <c:v>SUBSIDIO</c:v>
                </c:pt>
                <c:pt idx="9">
                  <c:v>PERDAS RB/C</c:v>
                </c:pt>
              </c:strCache>
            </c:strRef>
          </c:cat>
          <c:val>
            <c:numRef>
              <c:f>'RESUMO TE'!$B$13:$K$13</c:f>
              <c:numCache>
                <c:formatCode>General</c:formatCode>
                <c:ptCount val="10"/>
                <c:pt idx="0">
                  <c:v>-3.2251899414623299E-4</c:v>
                </c:pt>
                <c:pt idx="1">
                  <c:v>5.5779897852216258E-2</c:v>
                </c:pt>
                <c:pt idx="2">
                  <c:v>0</c:v>
                </c:pt>
                <c:pt idx="3">
                  <c:v>-5.7602089457339913E-3</c:v>
                </c:pt>
                <c:pt idx="4">
                  <c:v>-0.16028071593723447</c:v>
                </c:pt>
                <c:pt idx="5">
                  <c:v>3.8093792624287253E-3</c:v>
                </c:pt>
                <c:pt idx="6">
                  <c:v>8.1553374773989714E-3</c:v>
                </c:pt>
                <c:pt idx="7">
                  <c:v>0</c:v>
                </c:pt>
                <c:pt idx="8">
                  <c:v>0</c:v>
                </c:pt>
                <c:pt idx="9">
                  <c:v>-3.9822664466462225E-3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07-49A2-AD4E-D303D57B2951}"/>
            </c:ext>
          </c:extLst>
        </c:ser>
        <c:ser>
          <c:idx val="1"/>
          <c:order val="1"/>
          <c:tx>
            <c:strRef>
              <c:f>'RESUMO TE'!$A$14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TE'!$B$5:$K$5</c:f>
              <c:strCache>
                <c:ptCount val="10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ENERGIA</c:v>
                </c:pt>
                <c:pt idx="4">
                  <c:v>ENERGIA REVENDA</c:v>
                </c:pt>
                <c:pt idx="5">
                  <c:v>ITAIPU</c:v>
                </c:pt>
                <c:pt idx="6">
                  <c:v>TUST ITAIPU</c:v>
                </c:pt>
                <c:pt idx="7">
                  <c:v>TUST CI</c:v>
                </c:pt>
                <c:pt idx="8">
                  <c:v>SUBSIDIO</c:v>
                </c:pt>
                <c:pt idx="9">
                  <c:v>PERDAS RB/C</c:v>
                </c:pt>
              </c:strCache>
            </c:strRef>
          </c:cat>
          <c:val>
            <c:numRef>
              <c:f>'RESUMO TE'!$B$14:$K$14</c:f>
              <c:numCache>
                <c:formatCode>General</c:formatCode>
                <c:ptCount val="10"/>
                <c:pt idx="0">
                  <c:v>-3.373012917780044E-4</c:v>
                </c:pt>
                <c:pt idx="1">
                  <c:v>5.6735586403359496E-2</c:v>
                </c:pt>
                <c:pt idx="2">
                  <c:v>0</c:v>
                </c:pt>
                <c:pt idx="3">
                  <c:v>-5.8425509600459908E-3</c:v>
                </c:pt>
                <c:pt idx="4">
                  <c:v>-0.16087367940831621</c:v>
                </c:pt>
                <c:pt idx="5">
                  <c:v>3.8503241887106387E-3</c:v>
                </c:pt>
                <c:pt idx="6">
                  <c:v>8.2799580970852535E-3</c:v>
                </c:pt>
                <c:pt idx="7">
                  <c:v>0</c:v>
                </c:pt>
                <c:pt idx="8">
                  <c:v>0</c:v>
                </c:pt>
                <c:pt idx="9">
                  <c:v>-4.0730530697574794E-3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07-49A2-AD4E-D303D57B2951}"/>
            </c:ext>
          </c:extLst>
        </c:ser>
        <c:ser>
          <c:idx val="2"/>
          <c:order val="2"/>
          <c:tx>
            <c:strRef>
              <c:f>'RESUMO TE'!$A$15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TE'!$B$5:$K$5</c:f>
              <c:strCache>
                <c:ptCount val="10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ENERGIA</c:v>
                </c:pt>
                <c:pt idx="4">
                  <c:v>ENERGIA REVENDA</c:v>
                </c:pt>
                <c:pt idx="5">
                  <c:v>ITAIPU</c:v>
                </c:pt>
                <c:pt idx="6">
                  <c:v>TUST ITAIPU</c:v>
                </c:pt>
                <c:pt idx="7">
                  <c:v>TUST CI</c:v>
                </c:pt>
                <c:pt idx="8">
                  <c:v>SUBSIDIO</c:v>
                </c:pt>
                <c:pt idx="9">
                  <c:v>PERDAS RB/C</c:v>
                </c:pt>
              </c:strCache>
            </c:strRef>
          </c:cat>
          <c:val>
            <c:numRef>
              <c:f>'RESUMO TE'!$B$15:$K$15</c:f>
              <c:numCache>
                <c:formatCode>General</c:formatCode>
                <c:ptCount val="10"/>
                <c:pt idx="0">
                  <c:v>-3.373012917780044E-4</c:v>
                </c:pt>
                <c:pt idx="1">
                  <c:v>5.6735586403359496E-2</c:v>
                </c:pt>
                <c:pt idx="2">
                  <c:v>0</c:v>
                </c:pt>
                <c:pt idx="3">
                  <c:v>-5.8425509600459908E-3</c:v>
                </c:pt>
                <c:pt idx="4">
                  <c:v>-0.16087367940831621</c:v>
                </c:pt>
                <c:pt idx="5">
                  <c:v>3.8503241887106387E-3</c:v>
                </c:pt>
                <c:pt idx="6">
                  <c:v>8.2799580970852535E-3</c:v>
                </c:pt>
                <c:pt idx="7">
                  <c:v>0</c:v>
                </c:pt>
                <c:pt idx="8">
                  <c:v>0</c:v>
                </c:pt>
                <c:pt idx="9">
                  <c:v>-4.0730530697574794E-3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07-49A2-AD4E-D303D57B2951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B307-49A2-AD4E-D303D57B2951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B307-49A2-AD4E-D303D57B2951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B307-49A2-AD4E-D303D57B2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0367648"/>
        <c:axId val="739065584"/>
      </c:radarChart>
      <c:catAx>
        <c:axId val="90036764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739065584"/>
        <c:crosses val="autoZero"/>
        <c:auto val="1"/>
        <c:lblAlgn val="ctr"/>
        <c:lblOffset val="100"/>
        <c:noMultiLvlLbl val="0"/>
      </c:catAx>
      <c:valAx>
        <c:axId val="7390655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00367648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695326</xdr:colOff>
      <xdr:row>16</xdr:row>
      <xdr:rowOff>0</xdr:rowOff>
    </xdr:from>
    <xdr:to>
      <xdr:col>14</xdr:col>
      <xdr:colOff>152401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9BDE070-30CF-49CC-905A-7FED8D7328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638176</xdr:colOff>
      <xdr:row>16</xdr:row>
      <xdr:rowOff>0</xdr:rowOff>
    </xdr:from>
    <xdr:to>
      <xdr:col>13</xdr:col>
      <xdr:colOff>409576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4AF538C-91EA-41F9-B5BA-D9CDB8137D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117.689219328706" createdVersion="5" refreshedVersion="6" minRefreshableVersion="3" recordCount="2284" xr:uid="{1FEFAD88-5B42-4EBC-AAD1-9DB529D9A043}">
  <cacheSource type="worksheet">
    <worksheetSource name="Efeito"/>
  </cacheSource>
  <cacheFields count="36">
    <cacheField name="TipoMercado" numFmtId="0">
      <sharedItems/>
    </cacheField>
    <cacheField name="Subgrupo" numFmtId="0">
      <sharedItems count="8">
        <s v="A2"/>
        <s v="A3a"/>
        <s v="A4"/>
        <s v="AS"/>
        <s v="B1"/>
        <s v="B2"/>
        <s v="B3"/>
        <s v="B4"/>
      </sharedItems>
    </cacheField>
    <cacheField name="Modalidade" numFmtId="0">
      <sharedItems count="6">
        <s v="Azul"/>
        <s v="Distribuição"/>
        <s v="Geração"/>
        <s v="Verde"/>
        <s v="Branca"/>
        <s v="Convencional"/>
      </sharedItems>
    </cacheField>
    <cacheField name="Classe" numFmtId="0">
      <sharedItems count="9">
        <s v="Comercial"/>
        <s v="Industrial"/>
        <s v="Serviço público"/>
        <s v="Não se aplica"/>
        <s v="Poder público"/>
        <s v="Rural"/>
        <s v="Residencial"/>
        <s v="Consumo próprio"/>
        <s v="Iluminação pública"/>
      </sharedItems>
    </cacheField>
    <cacheField name="Subclasse" numFmtId="0">
      <sharedItems count="10">
        <s v="Não se aplica"/>
        <s v="Água, esgoto e saneamento"/>
        <s v="Tração elétrica"/>
        <s v="Residencial"/>
        <s v="Agropecuária rural"/>
        <s v="Residencial baixa renda – faixa 01"/>
        <s v="Residencial baixa renda – faixa 02"/>
        <s v="Residencial baixa renda – faixa 03"/>
        <s v="Residencial baixa renda – faixa 04"/>
        <s v="Iluminação pública – B4a"/>
      </sharedItems>
    </cacheField>
    <cacheField name="Detalhe" numFmtId="0">
      <sharedItems count="5">
        <s v="Não se aplica"/>
        <s v="APE"/>
        <s v="Fonte incentivada"/>
        <s v="IRRIG./AQUIC. PR"/>
        <s v="IRRIG./AQUIC."/>
      </sharedItems>
    </cacheField>
    <cacheField name="Agente" numFmtId="0">
      <sharedItems count="5">
        <s v="Não se aplica"/>
        <s v="Enel GO"/>
        <s v="UHE CORUMBA IV"/>
        <s v="UHE CORUMBA III"/>
        <s v="Paranoá"/>
      </sharedItems>
    </cacheField>
    <cacheField name="Posto" numFmtId="0">
      <sharedItems count="4">
        <s v="Fora ponta"/>
        <s v="Ponta"/>
        <s v="Não se aplica"/>
        <s v="Intermediário"/>
      </sharedItems>
    </cacheField>
    <cacheField name="AnoMes" numFmtId="14">
      <sharedItems containsSemiMixedTypes="0" containsNonDate="0" containsDate="1" containsString="0" minDate="2019-10-01T00:00:00" maxDate="2020-09-02T00:00:00" count="12"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</sharedItems>
    </cacheField>
    <cacheField name="D" numFmtId="40">
      <sharedItems containsSemiMixedTypes="0" containsString="0" containsNumber="1" containsInteger="1" minValue="0" maxValue="124583"/>
    </cacheField>
    <cacheField name="Daj" numFmtId="40">
      <sharedItems containsSemiMixedTypes="0" containsString="0" containsNumber="1" minValue="0" maxValue="124583"/>
    </cacheField>
    <cacheField name="TUSD_E" numFmtId="40">
      <sharedItems containsSemiMixedTypes="0" containsString="0" containsNumber="1" minValue="-973.471" maxValue="207331.63500000001"/>
    </cacheField>
    <cacheField name="TUSD_Eaj" numFmtId="40">
      <sharedItems containsSemiMixedTypes="0" containsString="0" containsNumber="1" minValue="-973.471" maxValue="207331.63500000001"/>
    </cacheField>
    <cacheField name="TE_E" numFmtId="40">
      <sharedItems containsSemiMixedTypes="0" containsString="0" containsNumber="1" minValue="-973.471" maxValue="207331.63500000001"/>
    </cacheField>
    <cacheField name="TE_Eaj" numFmtId="40">
      <sharedItems containsSemiMixedTypes="0" containsString="0" containsNumber="1" minValue="-973.471" maxValue="207331.63500000001"/>
    </cacheField>
    <cacheField name="UC" numFmtId="40">
      <sharedItems containsSemiMixedTypes="0" containsString="0" containsNumber="1" containsInteger="1" minValue="0" maxValue="944128"/>
    </cacheField>
    <cacheField name="OPÇÃO" numFmtId="0">
      <sharedItems count="5">
        <s v="CATIVO"/>
        <s v="LIVRE APE"/>
        <s v="LIVRE"/>
        <s v="DISTRIBUIÇÃO"/>
        <s v="GERAÇÃO"/>
      </sharedItems>
    </cacheField>
    <cacheField name="CóD. AUX." numFmtId="0">
      <sharedItems containsSemiMixedTypes="0" containsString="0" containsNumber="1" containsInteger="1" minValue="0" maxValue="28352"/>
    </cacheField>
    <cacheField name="CóD. AUX. TUSD R$/kW" numFmtId="40">
      <sharedItems containsSemiMixedTypes="0" containsString="0" containsNumber="1" containsInteger="1" minValue="0" maxValue="35"/>
    </cacheField>
    <cacheField name="CóD. AUX. TUSD R$/MWh" numFmtId="40">
      <sharedItems containsSemiMixedTypes="0" containsString="0" containsNumber="1" containsInteger="1" minValue="0" maxValue="75"/>
    </cacheField>
    <cacheField name="CóD. AUX. TE R$/MWh" numFmtId="40">
      <sharedItems containsSemiMixedTypes="0" containsString="0" containsNumber="1" containsInteger="1" minValue="0" maxValue="118"/>
    </cacheField>
    <cacheField name="TUSD (R$/kW)" numFmtId="40">
      <sharedItems containsSemiMixedTypes="0" containsString="0" containsNumber="1" minValue="0" maxValue="43.76"/>
    </cacheField>
    <cacheField name="TUSD (R$/MWh)" numFmtId="40">
      <sharedItems containsSemiMixedTypes="0" containsString="0" containsNumber="1" minValue="0" maxValue="1174.6600000000001"/>
    </cacheField>
    <cacheField name="TE (R$/MWh)" numFmtId="40">
      <sharedItems containsSemiMixedTypes="0" containsString="0" containsNumber="1" minValue="0" maxValue="430.87"/>
    </cacheField>
    <cacheField name="TUSD (R$/kW) NOVA" numFmtId="40">
      <sharedItems containsString="0" containsBlank="1" containsNumber="1" minValue="3.2397980171553011" maxValue="49.088494763430781"/>
    </cacheField>
    <cacheField name="TUSD (R$/MWh) NOVA" numFmtId="40">
      <sharedItems containsString="0" containsBlank="1" containsNumber="1" minValue="4.2695390151495172" maxValue="1305.5515491455487"/>
    </cacheField>
    <cacheField name="TE (R$/MWh) NOVA" numFmtId="40">
      <sharedItems containsString="0" containsBlank="1" containsNumber="1" minValue="85.020241328358424" maxValue="375.70671275609089"/>
    </cacheField>
    <cacheField name="RA0 ou RV - TUSD (kW)" numFmtId="40">
      <sharedItems containsSemiMixedTypes="0" containsString="0" containsNumber="1" minValue="0" maxValue="1097576.23"/>
    </cacheField>
    <cacheField name="RA0 ou RV - TUSD (MWh)" numFmtId="40">
      <sharedItems containsSemiMixedTypes="0" containsString="0" containsNumber="1" minValue="-535380.14674" maxValue="51229573.692150004"/>
    </cacheField>
    <cacheField name="RA0 ou RV - TE (MWh)" numFmtId="40">
      <sharedItems containsSemiMixedTypes="0" containsString="0" containsNumber="1" minValue="-417889.61038000003" maxValue="56170286.554200009"/>
    </cacheField>
    <cacheField name="RA1 ou RRD - TUSD (kW)" numFmtId="40">
      <sharedItems containsSemiMixedTypes="0" containsString="0" containsNumber="1" minValue="0" maxValue="1426768.9483591609"/>
    </cacheField>
    <cacheField name="RA1 ou RRD - TUSD (MWh)" numFmtId="40">
      <sharedItems containsSemiMixedTypes="0" containsString="0" containsNumber="1" minValue="-606990.37000444881" maxValue="56368577.461353354"/>
    </cacheField>
    <cacheField name="RA1 ou RRD - TE (MWh)" numFmtId="40">
      <sharedItems containsSemiMixedTypes="0" containsString="0" containsNumber="1" minValue="-364388.17232760089" maxValue="50363958.979151793"/>
    </cacheField>
    <cacheField name="Variação TUSD" numFmtId="0" formula="IF(('RA0 ou RV - TUSD (MWh)'+'RA0 ou RV - TUSD (kW)') &lt;&gt;0,('RA1 ou RRD - TUSD (MWh)'+'RA1 ou RRD - TUSD (kW)') /('RA0 ou RV - TUSD (MWh)'+'RA0 ou RV - TUSD (kW)') -1,0)" databaseField="0"/>
    <cacheField name="Variação TE" numFmtId="0" formula="IF('RA0 ou RV - TE (MWh)'&lt;&gt;0,'RA1 ou RRD - TE (MWh)'/'RA0 ou RV - TE (MWh)'-1,0)" databaseField="0"/>
    <cacheField name="Variação" numFmtId="0" formula="IF(('RA0 ou RV - TUSD (MWh)'+'RA0 ou RV - TUSD (kW)'+'RA0 ou RV - TE (MWh)') &lt;&gt;0,('RA1 ou RRD - TUSD (MWh)'+'RA1 ou RRD - TUSD (kW)'+'RA1 ou RRD - TE (MWh)') /('RA0 ou RV - TUSD (MWh)'+'RA0 ou RV - TUSD (kW)'+'RA0 ou RV - TE (MWh)') -1,0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117.689597800927" createdVersion="5" refreshedVersion="6" minRefreshableVersion="3" recordCount="832" xr:uid="{B81FFA7F-D398-47A8-BC21-9E20E9045133}">
  <cacheSource type="worksheet">
    <worksheetSource name="Subsidio"/>
  </cacheSource>
  <cacheFields count="34">
    <cacheField name="TipoMercado" numFmtId="0">
      <sharedItems/>
    </cacheField>
    <cacheField name="Subgrupo" numFmtId="0">
      <sharedItems count="7">
        <s v="A2"/>
        <s v="A3a"/>
        <s v="A4"/>
        <s v="AS"/>
        <s v="B1"/>
        <s v="B2"/>
        <s v="B3"/>
      </sharedItems>
    </cacheField>
    <cacheField name="Modalidade" numFmtId="0">
      <sharedItems count="5">
        <s v="Azul"/>
        <s v="Geração"/>
        <s v="Verde"/>
        <s v="Convencional"/>
        <s v="Branca"/>
      </sharedItems>
    </cacheField>
    <cacheField name="Classe" numFmtId="0">
      <sharedItems count="5">
        <s v="Serviço público"/>
        <s v="Não se aplica"/>
        <s v="Industrial"/>
        <s v="Rural"/>
        <s v="Residencial"/>
      </sharedItems>
    </cacheField>
    <cacheField name="Subclasse" numFmtId="0">
      <sharedItems count="8">
        <s v="Água, esgoto e saneamento"/>
        <s v="Não se aplica"/>
        <s v="Agropecuária rural"/>
        <s v="Residencial"/>
        <s v="Residencial baixa renda – faixa 01"/>
        <s v="Residencial baixa renda – faixa 02"/>
        <s v="Residencial baixa renda – faixa 03"/>
        <s v="Residencial baixa renda – faixa 04"/>
      </sharedItems>
    </cacheField>
    <cacheField name="Detalhe" numFmtId="0">
      <sharedItems count="4">
        <s v="Não se aplica"/>
        <s v="Fonte incentivada"/>
        <s v="IRRIG./AQUIC. PR"/>
        <s v="IRRIG./AQUIC."/>
      </sharedItems>
    </cacheField>
    <cacheField name="Agente" numFmtId="0">
      <sharedItems count="4">
        <s v="Não se aplica"/>
        <s v="UHE CORUMBA IV"/>
        <s v="UHE CORUMBA III"/>
        <s v="Paranoá"/>
      </sharedItems>
    </cacheField>
    <cacheField name="Posto" numFmtId="0">
      <sharedItems count="4">
        <s v="Fora ponta"/>
        <s v="Ponta"/>
        <s v="Não se aplica"/>
        <s v="Intermediário"/>
      </sharedItems>
    </cacheField>
    <cacheField name="AnoMes" numFmtId="14">
      <sharedItems containsSemiMixedTypes="0" containsNonDate="0" containsDate="1" containsString="0" minDate="2019-10-01T00:00:00" maxDate="2020-09-02T00:00:00" count="12"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</sharedItems>
    </cacheField>
    <cacheField name="D" numFmtId="40">
      <sharedItems containsSemiMixedTypes="0" containsString="0" containsNumber="1" containsInteger="1" minValue="0" maxValue="124500"/>
    </cacheField>
    <cacheField name="Daj" numFmtId="40">
      <sharedItems containsSemiMixedTypes="0" containsString="0" containsNumber="1" minValue="0" maxValue="124500"/>
    </cacheField>
    <cacheField name="TUSD_E" numFmtId="40">
      <sharedItems containsSemiMixedTypes="0" containsString="0" containsNumber="1" minValue="-0.17699999999999999" maxValue="195401.87700000001"/>
    </cacheField>
    <cacheField name="TUSD_Eaj" numFmtId="40">
      <sharedItems containsSemiMixedTypes="0" containsString="0" containsNumber="1" minValue="-0.16283999999999998" maxValue="195401.87700000001"/>
    </cacheField>
    <cacheField name="TE_E" numFmtId="40">
      <sharedItems containsSemiMixedTypes="0" containsString="0" containsNumber="1" minValue="-0.17699999999999999" maxValue="195401.87700000001"/>
    </cacheField>
    <cacheField name="TE_Eaj" numFmtId="40">
      <sharedItems containsSemiMixedTypes="0" containsString="0" containsNumber="1" minValue="-0.16283999999999998" maxValue="195401.87700000001"/>
    </cacheField>
    <cacheField name="UC" numFmtId="40">
      <sharedItems containsSemiMixedTypes="0" containsString="0" containsNumber="1" containsInteger="1" minValue="0" maxValue="942675"/>
    </cacheField>
    <cacheField name="OPÇÃO" numFmtId="0">
      <sharedItems/>
    </cacheField>
    <cacheField name="CóD. AUX." numFmtId="0">
      <sharedItems containsSemiMixedTypes="0" containsString="0" containsNumber="1" containsInteger="1" minValue="0" maxValue="28352"/>
    </cacheField>
    <cacheField name="CóD. AUX. TUSD R$/kW" numFmtId="0">
      <sharedItems containsSemiMixedTypes="0" containsString="0" containsNumber="1" containsInteger="1" minValue="0" maxValue="35"/>
    </cacheField>
    <cacheField name="CóD. AUX. TUSD R$/MWh" numFmtId="0">
      <sharedItems containsSemiMixedTypes="0" containsString="0" containsNumber="1" containsInteger="1" minValue="0" maxValue="73"/>
    </cacheField>
    <cacheField name="CóD. AUX. TE R$/MWh" numFmtId="0">
      <sharedItems containsSemiMixedTypes="0" containsString="0" containsNumber="1" containsInteger="1" minValue="0" maxValue="116"/>
    </cacheField>
    <cacheField name="TUSD (R$/kW)" numFmtId="40">
      <sharedItems containsSemiMixedTypes="0" containsString="0" containsNumber="1" minValue="0" maxValue="43.76"/>
    </cacheField>
    <cacheField name="TUSD (R$/MWh)" numFmtId="40">
      <sharedItems containsSemiMixedTypes="0" containsString="0" containsNumber="1" minValue="0" maxValue="1174.6600000000001"/>
    </cacheField>
    <cacheField name="TE (R$/MWh)" numFmtId="40">
      <sharedItems containsSemiMixedTypes="0" containsString="0" containsNumber="1" minValue="0" maxValue="430.87"/>
    </cacheField>
    <cacheField name="TUSD (R$/kW) NOVA" numFmtId="40">
      <sharedItems containsString="0" containsBlank="1" containsNumber="1" minValue="3.2397980171553011" maxValue="49.088494763430781"/>
    </cacheField>
    <cacheField name="TUSD (R$/MWh) NOVA" numFmtId="40">
      <sharedItems containsString="0" containsBlank="1" containsNumber="1" minValue="64.02247976433641" maxValue="1305.5515491455487"/>
    </cacheField>
    <cacheField name="TE (R$/MWh) NOVA" numFmtId="40">
      <sharedItems containsString="0" containsBlank="1" containsNumber="1" minValue="85.020241328358424" maxValue="375.70671275609089"/>
    </cacheField>
    <cacheField name="SUBSIDIO kW - TV" numFmtId="40">
      <sharedItems containsSemiMixedTypes="0" containsString="0" containsNumber="1" minValue="0" maxValue="268402.11771852995"/>
    </cacheField>
    <cacheField name="SUBSIDIO MWh - TV" numFmtId="40">
      <sharedItems containsSemiMixedTypes="0" containsString="0" containsNumber="1" minValue="-15.191697600000007" maxValue="990259.39824000024"/>
    </cacheField>
    <cacheField name="SUBSIDIO kW - TN" numFmtId="40">
      <sharedItems containsSemiMixedTypes="0" containsString="0" containsNumber="1" minValue="0" maxValue="318435.39871033613"/>
    </cacheField>
    <cacheField name="SUBSIDIO MWh - TN" numFmtId="40">
      <sharedItems containsSemiMixedTypes="0" containsString="0" containsNumber="1" minValue="-15.907928968187203" maxValue="738094.1008851435"/>
    </cacheField>
    <cacheField name="TIPO" numFmtId="0">
      <sharedItems containsBlank="1" count="7">
        <s v="SUBSIDIO ÁGUA, ESGOTO E SANEAMENTO"/>
        <s v="SUBSIDIO GERAÇÃO FONTE INCENTIVADA"/>
        <s v="SUBSIDIO CARGA FONTE INCENTIVADA"/>
        <s v="SUBSIDIO RURAL"/>
        <s v="SUBSIDIO IRRIGANTE/AQUICULTOR"/>
        <m/>
        <s v="SUBSIDIO BAIXA RENDA"/>
      </sharedItems>
    </cacheField>
    <cacheField name="TOTAL TV" numFmtId="0" formula="'SUBSIDIO kW - TV'+'SUBSIDIO MWh - TV'" databaseField="0"/>
    <cacheField name="TOTAL TN" numFmtId="0" formula="'SUBSIDIO kW - TN'+'SUBSIDIO MWh - TN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84">
  <r>
    <s v="Regular"/>
    <x v="0"/>
    <x v="0"/>
    <x v="0"/>
    <x v="0"/>
    <x v="0"/>
    <x v="0"/>
    <x v="0"/>
    <x v="0"/>
    <n v="900"/>
    <n v="900"/>
    <n v="0"/>
    <n v="0"/>
    <n v="0"/>
    <n v="0"/>
    <n v="0"/>
    <x v="0"/>
    <n v="0"/>
    <n v="2"/>
    <n v="0"/>
    <n v="0"/>
    <n v="5.4"/>
    <n v="0"/>
    <n v="0"/>
    <n v="8.2823716907665279"/>
    <n v="64.02247976433641"/>
    <n v="230.84299908458948"/>
    <n v="4860"/>
    <n v="0"/>
    <n v="0"/>
    <n v="7454.1345216898753"/>
    <n v="0"/>
    <n v="0"/>
  </r>
  <r>
    <s v="Regular"/>
    <x v="0"/>
    <x v="0"/>
    <x v="0"/>
    <x v="0"/>
    <x v="0"/>
    <x v="0"/>
    <x v="0"/>
    <x v="1"/>
    <n v="900"/>
    <n v="900"/>
    <n v="0"/>
    <n v="0"/>
    <n v="0"/>
    <n v="0"/>
    <n v="0"/>
    <x v="0"/>
    <n v="0"/>
    <n v="2"/>
    <n v="0"/>
    <n v="0"/>
    <n v="5.4"/>
    <n v="0"/>
    <n v="0"/>
    <n v="8.2823716907665279"/>
    <n v="64.02247976433641"/>
    <n v="230.84299908458948"/>
    <n v="4860"/>
    <n v="0"/>
    <n v="0"/>
    <n v="7454.1345216898753"/>
    <n v="0"/>
    <n v="0"/>
  </r>
  <r>
    <s v="Regular"/>
    <x v="0"/>
    <x v="0"/>
    <x v="0"/>
    <x v="0"/>
    <x v="0"/>
    <x v="0"/>
    <x v="0"/>
    <x v="2"/>
    <n v="900"/>
    <n v="900"/>
    <n v="1.131"/>
    <n v="1.131"/>
    <n v="1.131"/>
    <n v="1.131"/>
    <n v="0"/>
    <x v="0"/>
    <n v="0"/>
    <n v="2"/>
    <n v="3"/>
    <n v="78"/>
    <n v="5.4"/>
    <n v="62.65"/>
    <n v="256.38"/>
    <n v="8.2823716907665279"/>
    <n v="64.02247976433641"/>
    <n v="230.84299908458948"/>
    <n v="4860"/>
    <n v="70.857150000000004"/>
    <n v="289.96578"/>
    <n v="7454.1345216898753"/>
    <n v="72.409424613464481"/>
    <n v="261.08343196467069"/>
  </r>
  <r>
    <s v="Regular"/>
    <x v="0"/>
    <x v="0"/>
    <x v="0"/>
    <x v="0"/>
    <x v="0"/>
    <x v="0"/>
    <x v="0"/>
    <x v="3"/>
    <n v="900"/>
    <n v="900"/>
    <n v="29.771000000000001"/>
    <n v="29.771000000000001"/>
    <n v="29.771000000000001"/>
    <n v="29.771000000000001"/>
    <n v="0"/>
    <x v="0"/>
    <n v="0"/>
    <n v="2"/>
    <n v="3"/>
    <n v="78"/>
    <n v="5.4"/>
    <n v="62.65"/>
    <n v="256.38"/>
    <n v="8.2823716907665279"/>
    <n v="64.02247976433641"/>
    <n v="230.84299908458948"/>
    <n v="4860"/>
    <n v="1865.1531500000001"/>
    <n v="7632.6889799999999"/>
    <n v="7454.1345216898753"/>
    <n v="1906.0132450640592"/>
    <n v="6872.4269257473134"/>
  </r>
  <r>
    <s v="Regular"/>
    <x v="0"/>
    <x v="0"/>
    <x v="0"/>
    <x v="0"/>
    <x v="0"/>
    <x v="0"/>
    <x v="0"/>
    <x v="4"/>
    <n v="900"/>
    <n v="900"/>
    <n v="158.71"/>
    <n v="158.71"/>
    <n v="158.71"/>
    <n v="158.71"/>
    <n v="0"/>
    <x v="0"/>
    <n v="0"/>
    <n v="2"/>
    <n v="3"/>
    <n v="78"/>
    <n v="5.4"/>
    <n v="62.65"/>
    <n v="256.38"/>
    <n v="8.2823716907665279"/>
    <n v="64.02247976433641"/>
    <n v="230.84299908458948"/>
    <n v="4860"/>
    <n v="9943.1815000000006"/>
    <n v="40690.069800000005"/>
    <n v="7454.1345216898753"/>
    <n v="10161.007763397833"/>
    <n v="36637.092384715201"/>
  </r>
  <r>
    <s v="Regular"/>
    <x v="0"/>
    <x v="0"/>
    <x v="0"/>
    <x v="0"/>
    <x v="0"/>
    <x v="0"/>
    <x v="0"/>
    <x v="5"/>
    <n v="900"/>
    <n v="900"/>
    <n v="146.56299999999999"/>
    <n v="146.56299999999999"/>
    <n v="146.56299999999999"/>
    <n v="146.56299999999999"/>
    <n v="0"/>
    <x v="0"/>
    <n v="0"/>
    <n v="2"/>
    <n v="3"/>
    <n v="78"/>
    <n v="5.4"/>
    <n v="62.65"/>
    <n v="256.38"/>
    <n v="8.2823716907665279"/>
    <n v="64.02247976433641"/>
    <n v="230.84299908458948"/>
    <n v="4860"/>
    <n v="9182.1719499999999"/>
    <n v="37575.821939999994"/>
    <n v="7454.1345216898753"/>
    <n v="9383.3267017004364"/>
    <n v="33833.042474834685"/>
  </r>
  <r>
    <s v="Regular"/>
    <x v="0"/>
    <x v="0"/>
    <x v="0"/>
    <x v="0"/>
    <x v="0"/>
    <x v="0"/>
    <x v="0"/>
    <x v="6"/>
    <n v="900"/>
    <n v="900"/>
    <n v="148.726"/>
    <n v="148.726"/>
    <n v="148.726"/>
    <n v="148.726"/>
    <n v="0"/>
    <x v="0"/>
    <n v="0"/>
    <n v="2"/>
    <n v="3"/>
    <n v="78"/>
    <n v="5.4"/>
    <n v="62.65"/>
    <n v="256.38"/>
    <n v="8.2823716907665279"/>
    <n v="64.02247976433641"/>
    <n v="230.84299908458948"/>
    <n v="4860"/>
    <n v="9317.6839"/>
    <n v="38130.371879999999"/>
    <n v="7454.1345216898753"/>
    <n v="9521.8073254306964"/>
    <n v="34332.355881854652"/>
  </r>
  <r>
    <s v="Regular"/>
    <x v="0"/>
    <x v="0"/>
    <x v="0"/>
    <x v="0"/>
    <x v="0"/>
    <x v="0"/>
    <x v="0"/>
    <x v="7"/>
    <n v="900"/>
    <n v="900"/>
    <n v="147.64099999999999"/>
    <n v="147.64099999999999"/>
    <n v="147.64099999999999"/>
    <n v="147.64099999999999"/>
    <n v="0"/>
    <x v="0"/>
    <n v="0"/>
    <n v="2"/>
    <n v="3"/>
    <n v="78"/>
    <n v="5.4"/>
    <n v="62.65"/>
    <n v="256.38"/>
    <n v="8.2823716907665279"/>
    <n v="64.02247976433641"/>
    <n v="230.84299908458948"/>
    <n v="4860"/>
    <n v="9249.7086499999987"/>
    <n v="37852.19958"/>
    <n v="7454.1345216898753"/>
    <n v="9452.342934886392"/>
    <n v="34081.891227847875"/>
  </r>
  <r>
    <s v="Regular"/>
    <x v="0"/>
    <x v="0"/>
    <x v="0"/>
    <x v="0"/>
    <x v="0"/>
    <x v="0"/>
    <x v="0"/>
    <x v="8"/>
    <n v="900"/>
    <n v="900"/>
    <n v="159.095"/>
    <n v="159.095"/>
    <n v="159.095"/>
    <n v="159.095"/>
    <n v="0"/>
    <x v="0"/>
    <n v="0"/>
    <n v="2"/>
    <n v="3"/>
    <n v="78"/>
    <n v="5.4"/>
    <n v="62.65"/>
    <n v="256.38"/>
    <n v="8.2823716907665279"/>
    <n v="64.02247976433641"/>
    <n v="230.84299908458948"/>
    <n v="4860"/>
    <n v="9967.3017500000005"/>
    <n v="40788.776099999995"/>
    <n v="7454.1345216898753"/>
    <n v="10185.656418107101"/>
    <n v="36725.966939362763"/>
  </r>
  <r>
    <s v="Regular"/>
    <x v="0"/>
    <x v="0"/>
    <x v="0"/>
    <x v="0"/>
    <x v="0"/>
    <x v="0"/>
    <x v="0"/>
    <x v="9"/>
    <n v="900"/>
    <n v="900"/>
    <n v="141.6"/>
    <n v="141.6"/>
    <n v="141.6"/>
    <n v="141.6"/>
    <n v="0"/>
    <x v="0"/>
    <n v="0"/>
    <n v="2"/>
    <n v="3"/>
    <n v="78"/>
    <n v="5.4"/>
    <n v="62.65"/>
    <n v="256.38"/>
    <n v="8.2823716907665279"/>
    <n v="64.02247976433641"/>
    <n v="230.84299908458948"/>
    <n v="4860"/>
    <n v="8871.24"/>
    <n v="36303.407999999996"/>
    <n v="7454.1345216898753"/>
    <n v="9065.5831346300347"/>
    <n v="32687.368670377869"/>
  </r>
  <r>
    <s v="Regular"/>
    <x v="0"/>
    <x v="0"/>
    <x v="0"/>
    <x v="0"/>
    <x v="0"/>
    <x v="0"/>
    <x v="0"/>
    <x v="10"/>
    <n v="900"/>
    <n v="900"/>
    <n v="77.769000000000005"/>
    <n v="77.769000000000005"/>
    <n v="77.769000000000005"/>
    <n v="77.769000000000005"/>
    <n v="0"/>
    <x v="0"/>
    <n v="0"/>
    <n v="2"/>
    <n v="3"/>
    <n v="78"/>
    <n v="5.4"/>
    <n v="62.65"/>
    <n v="256.38"/>
    <n v="8.2823716907665279"/>
    <n v="64.02247976433641"/>
    <n v="230.84299908458948"/>
    <n v="4860"/>
    <n v="4872.2278500000002"/>
    <n v="19938.416220000003"/>
    <n v="7454.1345216898753"/>
    <n v="4978.964228792679"/>
    <n v="17952.42919580944"/>
  </r>
  <r>
    <s v="PROJETADO"/>
    <x v="0"/>
    <x v="0"/>
    <x v="0"/>
    <x v="0"/>
    <x v="0"/>
    <x v="0"/>
    <x v="0"/>
    <x v="11"/>
    <n v="900"/>
    <n v="900"/>
    <n v="77.769000000000005"/>
    <n v="77.769000000000005"/>
    <n v="77.769000000000005"/>
    <n v="77.769000000000005"/>
    <n v="0"/>
    <x v="0"/>
    <n v="0"/>
    <n v="2"/>
    <n v="3"/>
    <n v="78"/>
    <n v="5.4"/>
    <n v="62.65"/>
    <n v="256.38"/>
    <n v="8.2823716907665279"/>
    <n v="64.02247976433641"/>
    <n v="230.84299908458948"/>
    <n v="4860"/>
    <n v="4872.2278500000002"/>
    <n v="19938.416220000003"/>
    <n v="7454.1345216898753"/>
    <n v="4978.964228792679"/>
    <n v="17952.42919580944"/>
  </r>
  <r>
    <s v="Regular"/>
    <x v="0"/>
    <x v="0"/>
    <x v="0"/>
    <x v="0"/>
    <x v="0"/>
    <x v="0"/>
    <x v="1"/>
    <x v="0"/>
    <n v="900"/>
    <n v="900"/>
    <n v="0"/>
    <n v="0"/>
    <n v="0"/>
    <n v="0"/>
    <n v="0"/>
    <x v="0"/>
    <n v="0"/>
    <n v="1"/>
    <n v="0"/>
    <n v="0"/>
    <n v="9.4700000000000006"/>
    <n v="0"/>
    <n v="0"/>
    <n v="13.276513797445094"/>
    <n v="64.02247976433641"/>
    <n v="375.70671275609089"/>
    <n v="8523"/>
    <n v="0"/>
    <n v="0"/>
    <n v="11948.862417700586"/>
    <n v="0"/>
    <n v="0"/>
  </r>
  <r>
    <s v="Regular"/>
    <x v="0"/>
    <x v="0"/>
    <x v="0"/>
    <x v="0"/>
    <x v="0"/>
    <x v="0"/>
    <x v="1"/>
    <x v="1"/>
    <n v="900"/>
    <n v="900"/>
    <n v="0"/>
    <n v="0"/>
    <n v="0"/>
    <n v="0"/>
    <n v="0"/>
    <x v="0"/>
    <n v="0"/>
    <n v="1"/>
    <n v="0"/>
    <n v="0"/>
    <n v="9.4700000000000006"/>
    <n v="0"/>
    <n v="0"/>
    <n v="13.276513797445094"/>
    <n v="64.02247976433641"/>
    <n v="375.70671275609089"/>
    <n v="8523"/>
    <n v="0"/>
    <n v="0"/>
    <n v="11948.862417700586"/>
    <n v="0"/>
    <n v="0"/>
  </r>
  <r>
    <s v="Regular"/>
    <x v="0"/>
    <x v="0"/>
    <x v="0"/>
    <x v="0"/>
    <x v="0"/>
    <x v="0"/>
    <x v="1"/>
    <x v="2"/>
    <n v="900"/>
    <n v="900"/>
    <n v="0.161"/>
    <n v="0.161"/>
    <n v="0.161"/>
    <n v="0.161"/>
    <n v="0"/>
    <x v="0"/>
    <n v="0"/>
    <n v="1"/>
    <n v="3"/>
    <n v="77"/>
    <n v="9.4700000000000006"/>
    <n v="62.65"/>
    <n v="430.87"/>
    <n v="13.276513797445094"/>
    <n v="64.02247976433641"/>
    <n v="375.70671275609089"/>
    <n v="8523"/>
    <n v="10.086650000000001"/>
    <n v="69.370069999999998"/>
    <n v="11948.862417700586"/>
    <n v="10.307619242058163"/>
    <n v="60.488780753730637"/>
  </r>
  <r>
    <s v="Regular"/>
    <x v="0"/>
    <x v="0"/>
    <x v="0"/>
    <x v="0"/>
    <x v="0"/>
    <x v="0"/>
    <x v="1"/>
    <x v="3"/>
    <n v="900"/>
    <n v="900"/>
    <n v="5.4260000000000002"/>
    <n v="5.4260000000000002"/>
    <n v="5.4260000000000002"/>
    <n v="5.4260000000000002"/>
    <n v="0"/>
    <x v="0"/>
    <n v="0"/>
    <n v="1"/>
    <n v="3"/>
    <n v="77"/>
    <n v="9.4700000000000006"/>
    <n v="62.65"/>
    <n v="430.87"/>
    <n v="13.276513797445094"/>
    <n v="64.02247976433641"/>
    <n v="375.70671275609089"/>
    <n v="8523"/>
    <n v="339.93889999999999"/>
    <n v="2337.9006199999999"/>
    <n v="11948.862417700586"/>
    <n v="347.3859752012894"/>
    <n v="2038.5846234145492"/>
  </r>
  <r>
    <s v="Regular"/>
    <x v="0"/>
    <x v="0"/>
    <x v="0"/>
    <x v="0"/>
    <x v="0"/>
    <x v="0"/>
    <x v="1"/>
    <x v="4"/>
    <n v="900"/>
    <n v="900"/>
    <n v="20.609000000000002"/>
    <n v="20.609000000000002"/>
    <n v="20.609000000000002"/>
    <n v="20.609000000000002"/>
    <n v="0"/>
    <x v="0"/>
    <n v="0"/>
    <n v="1"/>
    <n v="3"/>
    <n v="77"/>
    <n v="9.4700000000000006"/>
    <n v="62.65"/>
    <n v="430.87"/>
    <n v="13.276513797445094"/>
    <n v="64.02247976433641"/>
    <n v="375.70671275609089"/>
    <n v="8523"/>
    <n v="1291.1538500000001"/>
    <n v="8879.7998300000017"/>
    <n v="11948.862417700586"/>
    <n v="1319.4392854632092"/>
    <n v="7742.9396431902778"/>
  </r>
  <r>
    <s v="Regular"/>
    <x v="0"/>
    <x v="0"/>
    <x v="0"/>
    <x v="0"/>
    <x v="0"/>
    <x v="0"/>
    <x v="1"/>
    <x v="5"/>
    <n v="900"/>
    <n v="900"/>
    <n v="22.637"/>
    <n v="22.637"/>
    <n v="22.637"/>
    <n v="22.637"/>
    <n v="0"/>
    <x v="0"/>
    <n v="0"/>
    <n v="1"/>
    <n v="3"/>
    <n v="77"/>
    <n v="9.4700000000000006"/>
    <n v="62.65"/>
    <n v="430.87"/>
    <n v="13.276513797445094"/>
    <n v="64.02247976433641"/>
    <n v="375.70671275609089"/>
    <n v="8523"/>
    <n v="1418.20805"/>
    <n v="9753.60419"/>
    <n v="11948.862417700586"/>
    <n v="1449.2768744252833"/>
    <n v="8504.8728566596292"/>
  </r>
  <r>
    <s v="Regular"/>
    <x v="0"/>
    <x v="0"/>
    <x v="0"/>
    <x v="0"/>
    <x v="0"/>
    <x v="0"/>
    <x v="1"/>
    <x v="6"/>
    <n v="900"/>
    <n v="900"/>
    <n v="21.684999999999999"/>
    <n v="21.684999999999999"/>
    <n v="21.684999999999999"/>
    <n v="21.684999999999999"/>
    <n v="0"/>
    <x v="0"/>
    <n v="0"/>
    <n v="1"/>
    <n v="3"/>
    <n v="77"/>
    <n v="9.4700000000000006"/>
    <n v="62.65"/>
    <n v="430.87"/>
    <n v="13.276513797445094"/>
    <n v="64.02247976433641"/>
    <n v="375.70671275609089"/>
    <n v="8523"/>
    <n v="1358.5652499999999"/>
    <n v="9343.4159499999987"/>
    <n v="11948.862417700586"/>
    <n v="1388.3274736896349"/>
    <n v="8147.2000661158309"/>
  </r>
  <r>
    <s v="Regular"/>
    <x v="0"/>
    <x v="0"/>
    <x v="0"/>
    <x v="0"/>
    <x v="0"/>
    <x v="0"/>
    <x v="1"/>
    <x v="7"/>
    <n v="900"/>
    <n v="900"/>
    <n v="20.315000000000001"/>
    <n v="20.315000000000001"/>
    <n v="20.315000000000001"/>
    <n v="20.315000000000001"/>
    <n v="0"/>
    <x v="0"/>
    <n v="0"/>
    <n v="1"/>
    <n v="3"/>
    <n v="77"/>
    <n v="9.4700000000000006"/>
    <n v="62.65"/>
    <n v="430.87"/>
    <n v="13.276513797445094"/>
    <n v="64.02247976433641"/>
    <n v="375.70671275609089"/>
    <n v="8523"/>
    <n v="1272.7347500000001"/>
    <n v="8753.1240500000004"/>
    <n v="11948.862417700586"/>
    <n v="1300.6166764124941"/>
    <n v="7632.4818696399871"/>
  </r>
  <r>
    <s v="Regular"/>
    <x v="0"/>
    <x v="0"/>
    <x v="0"/>
    <x v="0"/>
    <x v="0"/>
    <x v="0"/>
    <x v="1"/>
    <x v="8"/>
    <n v="900"/>
    <n v="900"/>
    <n v="20.888000000000002"/>
    <n v="20.888000000000002"/>
    <n v="20.888000000000002"/>
    <n v="20.888000000000002"/>
    <n v="0"/>
    <x v="0"/>
    <n v="0"/>
    <n v="1"/>
    <n v="3"/>
    <n v="77"/>
    <n v="9.4700000000000006"/>
    <n v="62.65"/>
    <n v="430.87"/>
    <n v="13.276513797445094"/>
    <n v="64.02247976433641"/>
    <n v="375.70671275609089"/>
    <n v="8523"/>
    <n v="1308.6332"/>
    <n v="9000.012560000001"/>
    <n v="11948.862417700586"/>
    <n v="1337.3015573174591"/>
    <n v="7847.7618160492275"/>
  </r>
  <r>
    <s v="Regular"/>
    <x v="0"/>
    <x v="0"/>
    <x v="0"/>
    <x v="0"/>
    <x v="0"/>
    <x v="0"/>
    <x v="1"/>
    <x v="9"/>
    <n v="900"/>
    <n v="900"/>
    <n v="21.486000000000001"/>
    <n v="21.486000000000001"/>
    <n v="21.486000000000001"/>
    <n v="21.486000000000001"/>
    <n v="0"/>
    <x v="0"/>
    <n v="0"/>
    <n v="1"/>
    <n v="3"/>
    <n v="77"/>
    <n v="9.4700000000000006"/>
    <n v="62.65"/>
    <n v="430.87"/>
    <n v="13.276513797445094"/>
    <n v="64.02247976433641"/>
    <n v="375.70671275609089"/>
    <n v="8523"/>
    <n v="1346.0979"/>
    <n v="9257.6728199999998"/>
    <n v="11948.862417700586"/>
    <n v="1375.587000216532"/>
    <n v="8072.4344302773688"/>
  </r>
  <r>
    <s v="Regular"/>
    <x v="0"/>
    <x v="0"/>
    <x v="0"/>
    <x v="0"/>
    <x v="0"/>
    <x v="0"/>
    <x v="1"/>
    <x v="10"/>
    <n v="900"/>
    <n v="900"/>
    <n v="11.099"/>
    <n v="11.099"/>
    <n v="11.099"/>
    <n v="11.099"/>
    <n v="0"/>
    <x v="0"/>
    <n v="0"/>
    <n v="1"/>
    <n v="3"/>
    <n v="77"/>
    <n v="9.4700000000000006"/>
    <n v="62.65"/>
    <n v="430.87"/>
    <n v="13.276513797445094"/>
    <n v="64.02247976433641"/>
    <n v="375.70671275609089"/>
    <n v="8523"/>
    <n v="695.35235"/>
    <n v="4782.22613"/>
    <n v="11948.862417700586"/>
    <n v="710.58550290436983"/>
    <n v="4169.9688048798525"/>
  </r>
  <r>
    <s v="PROJETADO"/>
    <x v="0"/>
    <x v="0"/>
    <x v="0"/>
    <x v="0"/>
    <x v="0"/>
    <x v="0"/>
    <x v="1"/>
    <x v="11"/>
    <n v="900"/>
    <n v="900"/>
    <n v="11.099"/>
    <n v="11.099"/>
    <n v="11.099"/>
    <n v="11.099"/>
    <n v="0"/>
    <x v="0"/>
    <n v="0"/>
    <n v="1"/>
    <n v="3"/>
    <n v="77"/>
    <n v="9.4700000000000006"/>
    <n v="62.65"/>
    <n v="430.87"/>
    <n v="13.276513797445094"/>
    <n v="64.02247976433641"/>
    <n v="375.70671275609089"/>
    <n v="8523"/>
    <n v="695.35235"/>
    <n v="4782.22613"/>
    <n v="11948.862417700586"/>
    <n v="710.58550290436983"/>
    <n v="4169.9688048798525"/>
  </r>
  <r>
    <s v="Regular"/>
    <x v="0"/>
    <x v="0"/>
    <x v="1"/>
    <x v="0"/>
    <x v="1"/>
    <x v="0"/>
    <x v="0"/>
    <x v="0"/>
    <n v="20450"/>
    <n v="20450"/>
    <n v="0"/>
    <n v="0"/>
    <n v="0"/>
    <n v="0"/>
    <n v="0"/>
    <x v="1"/>
    <n v="0"/>
    <n v="2"/>
    <n v="0"/>
    <n v="0"/>
    <n v="5.4"/>
    <n v="0"/>
    <n v="0"/>
    <n v="8.2823716907665279"/>
    <n v="64.02247976433641"/>
    <m/>
    <n v="110430"/>
    <n v="0"/>
    <n v="0"/>
    <n v="169374.50107617548"/>
    <n v="0"/>
    <n v="0"/>
  </r>
  <r>
    <s v="Regular"/>
    <x v="0"/>
    <x v="0"/>
    <x v="1"/>
    <x v="0"/>
    <x v="1"/>
    <x v="0"/>
    <x v="0"/>
    <x v="1"/>
    <n v="20450"/>
    <n v="20450"/>
    <n v="0"/>
    <n v="0"/>
    <n v="0"/>
    <n v="0"/>
    <n v="0"/>
    <x v="1"/>
    <n v="0"/>
    <n v="2"/>
    <n v="0"/>
    <n v="0"/>
    <n v="5.4"/>
    <n v="0"/>
    <n v="0"/>
    <n v="8.2823716907665279"/>
    <n v="64.02247976433641"/>
    <m/>
    <n v="110430"/>
    <n v="0"/>
    <n v="0"/>
    <n v="169374.50107617548"/>
    <n v="0"/>
    <n v="0"/>
  </r>
  <r>
    <s v="Regular"/>
    <x v="0"/>
    <x v="0"/>
    <x v="1"/>
    <x v="0"/>
    <x v="1"/>
    <x v="0"/>
    <x v="0"/>
    <x v="2"/>
    <n v="20450"/>
    <n v="20450"/>
    <n v="0"/>
    <n v="0"/>
    <n v="0"/>
    <n v="0"/>
    <n v="0"/>
    <x v="1"/>
    <n v="0"/>
    <n v="2"/>
    <n v="0"/>
    <n v="0"/>
    <n v="5.4"/>
    <n v="0"/>
    <n v="0"/>
    <n v="8.2823716907665279"/>
    <n v="64.02247976433641"/>
    <m/>
    <n v="110430"/>
    <n v="0"/>
    <n v="0"/>
    <n v="169374.50107617548"/>
    <n v="0"/>
    <n v="0"/>
  </r>
  <r>
    <s v="Regular"/>
    <x v="0"/>
    <x v="0"/>
    <x v="1"/>
    <x v="0"/>
    <x v="1"/>
    <x v="0"/>
    <x v="0"/>
    <x v="3"/>
    <n v="20450"/>
    <n v="20450"/>
    <n v="0"/>
    <n v="0"/>
    <n v="0"/>
    <n v="0"/>
    <n v="0"/>
    <x v="1"/>
    <n v="0"/>
    <n v="2"/>
    <n v="0"/>
    <n v="0"/>
    <n v="5.4"/>
    <n v="0"/>
    <n v="0"/>
    <n v="8.2823716907665279"/>
    <n v="64.02247976433641"/>
    <m/>
    <n v="110430"/>
    <n v="0"/>
    <n v="0"/>
    <n v="169374.50107617548"/>
    <n v="0"/>
    <n v="0"/>
  </r>
  <r>
    <s v="Regular"/>
    <x v="0"/>
    <x v="0"/>
    <x v="1"/>
    <x v="0"/>
    <x v="1"/>
    <x v="0"/>
    <x v="0"/>
    <x v="4"/>
    <n v="20450"/>
    <n v="20450"/>
    <n v="0"/>
    <n v="0"/>
    <n v="0"/>
    <n v="0"/>
    <n v="0"/>
    <x v="1"/>
    <n v="0"/>
    <n v="2"/>
    <n v="0"/>
    <n v="0"/>
    <n v="5.4"/>
    <n v="0"/>
    <n v="0"/>
    <n v="8.2823716907665279"/>
    <n v="64.02247976433641"/>
    <m/>
    <n v="110430"/>
    <n v="0"/>
    <n v="0"/>
    <n v="169374.50107617548"/>
    <n v="0"/>
    <n v="0"/>
  </r>
  <r>
    <s v="Regular"/>
    <x v="0"/>
    <x v="0"/>
    <x v="1"/>
    <x v="0"/>
    <x v="1"/>
    <x v="0"/>
    <x v="0"/>
    <x v="5"/>
    <n v="20450"/>
    <n v="20450"/>
    <n v="0"/>
    <n v="0"/>
    <n v="0"/>
    <n v="0"/>
    <n v="0"/>
    <x v="1"/>
    <n v="0"/>
    <n v="2"/>
    <n v="0"/>
    <n v="0"/>
    <n v="5.4"/>
    <n v="0"/>
    <n v="0"/>
    <n v="8.2823716907665279"/>
    <n v="64.02247976433641"/>
    <m/>
    <n v="110430"/>
    <n v="0"/>
    <n v="0"/>
    <n v="169374.50107617548"/>
    <n v="0"/>
    <n v="0"/>
  </r>
  <r>
    <s v="Regular"/>
    <x v="0"/>
    <x v="0"/>
    <x v="1"/>
    <x v="0"/>
    <x v="1"/>
    <x v="0"/>
    <x v="0"/>
    <x v="6"/>
    <n v="20450"/>
    <n v="20450"/>
    <n v="0"/>
    <n v="0"/>
    <n v="0"/>
    <n v="0"/>
    <n v="0"/>
    <x v="1"/>
    <n v="0"/>
    <n v="2"/>
    <n v="0"/>
    <n v="0"/>
    <n v="5.4"/>
    <n v="0"/>
    <n v="0"/>
    <n v="8.2823716907665279"/>
    <n v="64.02247976433641"/>
    <m/>
    <n v="110430"/>
    <n v="0"/>
    <n v="0"/>
    <n v="169374.50107617548"/>
    <n v="0"/>
    <n v="0"/>
  </r>
  <r>
    <s v="Regular"/>
    <x v="0"/>
    <x v="0"/>
    <x v="1"/>
    <x v="0"/>
    <x v="1"/>
    <x v="0"/>
    <x v="0"/>
    <x v="7"/>
    <n v="20450"/>
    <n v="20450"/>
    <n v="0"/>
    <n v="0"/>
    <n v="0"/>
    <n v="0"/>
    <n v="0"/>
    <x v="1"/>
    <n v="0"/>
    <n v="2"/>
    <n v="0"/>
    <n v="0"/>
    <n v="5.4"/>
    <n v="0"/>
    <n v="0"/>
    <n v="8.2823716907665279"/>
    <n v="64.02247976433641"/>
    <m/>
    <n v="110430"/>
    <n v="0"/>
    <n v="0"/>
    <n v="169374.50107617548"/>
    <n v="0"/>
    <n v="0"/>
  </r>
  <r>
    <s v="Regular"/>
    <x v="0"/>
    <x v="0"/>
    <x v="1"/>
    <x v="0"/>
    <x v="1"/>
    <x v="0"/>
    <x v="0"/>
    <x v="8"/>
    <n v="20450"/>
    <n v="20450"/>
    <n v="0"/>
    <n v="0"/>
    <n v="0"/>
    <n v="0"/>
    <n v="0"/>
    <x v="1"/>
    <n v="0"/>
    <n v="2"/>
    <n v="0"/>
    <n v="0"/>
    <n v="5.4"/>
    <n v="0"/>
    <n v="0"/>
    <n v="8.2823716907665279"/>
    <n v="64.02247976433641"/>
    <m/>
    <n v="110430"/>
    <n v="0"/>
    <n v="0"/>
    <n v="169374.50107617548"/>
    <n v="0"/>
    <n v="0"/>
  </r>
  <r>
    <s v="Regular"/>
    <x v="0"/>
    <x v="0"/>
    <x v="1"/>
    <x v="0"/>
    <x v="1"/>
    <x v="0"/>
    <x v="0"/>
    <x v="9"/>
    <n v="20450"/>
    <n v="20450"/>
    <n v="0"/>
    <n v="0"/>
    <n v="0"/>
    <n v="0"/>
    <n v="0"/>
    <x v="1"/>
    <n v="0"/>
    <n v="2"/>
    <n v="0"/>
    <n v="0"/>
    <n v="5.4"/>
    <n v="0"/>
    <n v="0"/>
    <n v="8.2823716907665279"/>
    <n v="64.02247976433641"/>
    <m/>
    <n v="110430"/>
    <n v="0"/>
    <n v="0"/>
    <n v="169374.50107617548"/>
    <n v="0"/>
    <n v="0"/>
  </r>
  <r>
    <s v="Regular"/>
    <x v="0"/>
    <x v="0"/>
    <x v="1"/>
    <x v="0"/>
    <x v="1"/>
    <x v="0"/>
    <x v="0"/>
    <x v="10"/>
    <n v="20450"/>
    <n v="20450"/>
    <n v="0"/>
    <n v="0"/>
    <n v="0"/>
    <n v="0"/>
    <n v="0"/>
    <x v="1"/>
    <n v="0"/>
    <n v="2"/>
    <n v="0"/>
    <n v="0"/>
    <n v="5.4"/>
    <n v="0"/>
    <n v="0"/>
    <n v="8.2823716907665279"/>
    <n v="64.02247976433641"/>
    <m/>
    <n v="110430"/>
    <n v="0"/>
    <n v="0"/>
    <n v="169374.50107617548"/>
    <n v="0"/>
    <n v="0"/>
  </r>
  <r>
    <s v="PROJETADO"/>
    <x v="0"/>
    <x v="0"/>
    <x v="1"/>
    <x v="0"/>
    <x v="1"/>
    <x v="0"/>
    <x v="0"/>
    <x v="11"/>
    <n v="20450"/>
    <n v="20450"/>
    <n v="0"/>
    <n v="0"/>
    <n v="0"/>
    <n v="0"/>
    <n v="0"/>
    <x v="1"/>
    <n v="0"/>
    <n v="2"/>
    <n v="0"/>
    <n v="0"/>
    <n v="5.4"/>
    <n v="0"/>
    <n v="0"/>
    <n v="8.2823716907665279"/>
    <n v="64.02247976433641"/>
    <m/>
    <n v="110430"/>
    <n v="0"/>
    <n v="0"/>
    <n v="169374.50107617548"/>
    <n v="0"/>
    <n v="0"/>
  </r>
  <r>
    <s v="Regular"/>
    <x v="0"/>
    <x v="0"/>
    <x v="1"/>
    <x v="0"/>
    <x v="1"/>
    <x v="0"/>
    <x v="2"/>
    <x v="0"/>
    <n v="0"/>
    <n v="0"/>
    <n v="9800.9699999999993"/>
    <n v="9800.9699999999993"/>
    <n v="0"/>
    <n v="0"/>
    <n v="1"/>
    <x v="1"/>
    <n v="0"/>
    <n v="0"/>
    <n v="4"/>
    <n v="0"/>
    <n v="0"/>
    <n v="9.98"/>
    <n v="0"/>
    <m/>
    <n v="8.5810706128731944"/>
    <m/>
    <n v="0"/>
    <n v="97813.680599999992"/>
    <n v="0"/>
    <n v="0"/>
    <n v="84102.815644651782"/>
    <n v="0"/>
  </r>
  <r>
    <s v="Regular"/>
    <x v="0"/>
    <x v="0"/>
    <x v="1"/>
    <x v="0"/>
    <x v="1"/>
    <x v="0"/>
    <x v="2"/>
    <x v="1"/>
    <n v="0"/>
    <n v="0"/>
    <n v="8939.2029999999995"/>
    <n v="8939.2029999999995"/>
    <n v="0"/>
    <n v="0"/>
    <n v="1"/>
    <x v="1"/>
    <n v="0"/>
    <n v="0"/>
    <n v="4"/>
    <n v="0"/>
    <n v="0"/>
    <n v="9.98"/>
    <n v="0"/>
    <m/>
    <n v="8.5810706128731944"/>
    <m/>
    <n v="0"/>
    <n v="89213.245939999993"/>
    <n v="0"/>
    <n v="0"/>
    <n v="76707.932165807899"/>
    <n v="0"/>
  </r>
  <r>
    <s v="Regular"/>
    <x v="0"/>
    <x v="0"/>
    <x v="1"/>
    <x v="0"/>
    <x v="1"/>
    <x v="0"/>
    <x v="2"/>
    <x v="2"/>
    <n v="0"/>
    <n v="0"/>
    <n v="9065.1810000000005"/>
    <n v="9065.1810000000005"/>
    <n v="0"/>
    <n v="0"/>
    <n v="1"/>
    <x v="1"/>
    <n v="0"/>
    <n v="0"/>
    <n v="4"/>
    <n v="0"/>
    <n v="0"/>
    <n v="9.98"/>
    <n v="0"/>
    <m/>
    <n v="8.5810706128731944"/>
    <m/>
    <n v="0"/>
    <n v="90470.506380000006"/>
    <n v="0"/>
    <n v="0"/>
    <n v="77788.958279476443"/>
    <n v="0"/>
  </r>
  <r>
    <s v="Regular"/>
    <x v="0"/>
    <x v="0"/>
    <x v="1"/>
    <x v="0"/>
    <x v="1"/>
    <x v="0"/>
    <x v="2"/>
    <x v="3"/>
    <n v="0"/>
    <n v="0"/>
    <n v="7829.5680000000002"/>
    <n v="7829.5680000000002"/>
    <n v="0"/>
    <n v="0"/>
    <n v="1"/>
    <x v="1"/>
    <n v="0"/>
    <n v="0"/>
    <n v="4"/>
    <n v="0"/>
    <n v="0"/>
    <n v="9.98"/>
    <n v="0"/>
    <m/>
    <n v="8.5810706128731944"/>
    <m/>
    <n v="0"/>
    <n v="78139.088640000002"/>
    <n v="0"/>
    <n v="0"/>
    <n v="67186.075876292351"/>
    <n v="0"/>
  </r>
  <r>
    <s v="Regular"/>
    <x v="0"/>
    <x v="0"/>
    <x v="1"/>
    <x v="0"/>
    <x v="1"/>
    <x v="0"/>
    <x v="2"/>
    <x v="4"/>
    <n v="0"/>
    <n v="0"/>
    <n v="6984.1360000000004"/>
    <n v="6984.1360000000004"/>
    <n v="0"/>
    <n v="0"/>
    <n v="1"/>
    <x v="1"/>
    <n v="0"/>
    <n v="0"/>
    <n v="4"/>
    <n v="0"/>
    <n v="0"/>
    <n v="9.98"/>
    <n v="0"/>
    <m/>
    <n v="8.5810706128731944"/>
    <m/>
    <n v="0"/>
    <n v="69701.677280000004"/>
    <n v="0"/>
    <n v="0"/>
    <n v="59931.364185909741"/>
    <n v="0"/>
  </r>
  <r>
    <s v="Regular"/>
    <x v="0"/>
    <x v="0"/>
    <x v="1"/>
    <x v="0"/>
    <x v="1"/>
    <x v="0"/>
    <x v="2"/>
    <x v="5"/>
    <n v="0"/>
    <n v="0"/>
    <n v="6610.5140000000001"/>
    <n v="6610.5140000000001"/>
    <n v="0"/>
    <n v="0"/>
    <n v="1"/>
    <x v="1"/>
    <n v="0"/>
    <n v="0"/>
    <n v="4"/>
    <n v="0"/>
    <n v="0"/>
    <n v="9.98"/>
    <n v="0"/>
    <m/>
    <n v="8.5810706128731944"/>
    <m/>
    <n v="0"/>
    <n v="65972.92972"/>
    <n v="0"/>
    <n v="0"/>
    <n v="56725.287421386834"/>
    <n v="0"/>
  </r>
  <r>
    <s v="Regular"/>
    <x v="0"/>
    <x v="0"/>
    <x v="1"/>
    <x v="0"/>
    <x v="1"/>
    <x v="0"/>
    <x v="2"/>
    <x v="6"/>
    <n v="0"/>
    <n v="0"/>
    <n v="8922.3040000000001"/>
    <n v="8922.3040000000001"/>
    <n v="0"/>
    <n v="0"/>
    <n v="1"/>
    <x v="1"/>
    <n v="0"/>
    <n v="0"/>
    <n v="4"/>
    <n v="0"/>
    <n v="0"/>
    <n v="9.98"/>
    <n v="0"/>
    <m/>
    <n v="8.5810706128731944"/>
    <m/>
    <n v="0"/>
    <n v="89044.593919999999"/>
    <n v="0"/>
    <n v="0"/>
    <n v="76562.920653520952"/>
    <n v="0"/>
  </r>
  <r>
    <s v="Regular"/>
    <x v="0"/>
    <x v="0"/>
    <x v="1"/>
    <x v="0"/>
    <x v="1"/>
    <x v="0"/>
    <x v="2"/>
    <x v="7"/>
    <n v="0"/>
    <n v="0"/>
    <n v="10643.983"/>
    <n v="10643.983"/>
    <n v="0"/>
    <n v="0"/>
    <n v="1"/>
    <x v="1"/>
    <n v="0"/>
    <n v="0"/>
    <n v="4"/>
    <n v="0"/>
    <n v="0"/>
    <n v="9.98"/>
    <n v="0"/>
    <m/>
    <n v="8.5810706128731944"/>
    <m/>
    <n v="0"/>
    <n v="106226.95034000001"/>
    <n v="0"/>
    <n v="0"/>
    <n v="91336.769725221864"/>
    <n v="0"/>
  </r>
  <r>
    <s v="Regular"/>
    <x v="0"/>
    <x v="0"/>
    <x v="1"/>
    <x v="0"/>
    <x v="1"/>
    <x v="0"/>
    <x v="2"/>
    <x v="8"/>
    <n v="0"/>
    <n v="0"/>
    <n v="10643.983"/>
    <n v="10643.983"/>
    <n v="0"/>
    <n v="0"/>
    <n v="1"/>
    <x v="1"/>
    <n v="0"/>
    <n v="0"/>
    <n v="4"/>
    <n v="0"/>
    <n v="0"/>
    <n v="9.98"/>
    <n v="0"/>
    <m/>
    <n v="8.5810706128731944"/>
    <m/>
    <n v="0"/>
    <n v="106226.95034000001"/>
    <n v="0"/>
    <n v="0"/>
    <n v="91336.769725221864"/>
    <n v="0"/>
  </r>
  <r>
    <s v="Regular"/>
    <x v="0"/>
    <x v="0"/>
    <x v="1"/>
    <x v="0"/>
    <x v="1"/>
    <x v="0"/>
    <x v="2"/>
    <x v="9"/>
    <n v="0"/>
    <n v="0"/>
    <n v="9905.6080000000002"/>
    <n v="9905.6080000000002"/>
    <n v="0"/>
    <n v="0"/>
    <n v="1"/>
    <x v="1"/>
    <n v="0"/>
    <n v="0"/>
    <n v="4"/>
    <n v="0"/>
    <n v="0"/>
    <n v="9.98"/>
    <n v="0"/>
    <m/>
    <n v="8.5810706128731944"/>
    <m/>
    <n v="0"/>
    <n v="98857.967840000012"/>
    <n v="0"/>
    <n v="0"/>
    <n v="85000.721711441613"/>
    <n v="0"/>
  </r>
  <r>
    <s v="Regular"/>
    <x v="0"/>
    <x v="0"/>
    <x v="1"/>
    <x v="0"/>
    <x v="1"/>
    <x v="0"/>
    <x v="2"/>
    <x v="10"/>
    <n v="0"/>
    <n v="0"/>
    <n v="10621.59"/>
    <n v="10621.59"/>
    <n v="0"/>
    <n v="0"/>
    <n v="1"/>
    <x v="1"/>
    <n v="0"/>
    <n v="0"/>
    <n v="4"/>
    <n v="0"/>
    <n v="0"/>
    <n v="9.98"/>
    <n v="0"/>
    <m/>
    <n v="8.5810706128731944"/>
    <m/>
    <n v="0"/>
    <n v="106003.4682"/>
    <n v="0"/>
    <n v="0"/>
    <n v="91144.613810987794"/>
    <n v="0"/>
  </r>
  <r>
    <s v="PROJETADO"/>
    <x v="0"/>
    <x v="0"/>
    <x v="1"/>
    <x v="0"/>
    <x v="1"/>
    <x v="0"/>
    <x v="2"/>
    <x v="11"/>
    <n v="0"/>
    <n v="0"/>
    <n v="10621.59"/>
    <n v="10621.59"/>
    <n v="0"/>
    <n v="0"/>
    <n v="1"/>
    <x v="1"/>
    <n v="0"/>
    <n v="0"/>
    <n v="4"/>
    <n v="0"/>
    <n v="0"/>
    <n v="9.98"/>
    <n v="0"/>
    <m/>
    <n v="8.5810706128731944"/>
    <m/>
    <n v="0"/>
    <n v="106003.4682"/>
    <n v="0"/>
    <n v="0"/>
    <n v="91144.613810987794"/>
    <n v="0"/>
  </r>
  <r>
    <s v="Regular"/>
    <x v="0"/>
    <x v="0"/>
    <x v="1"/>
    <x v="0"/>
    <x v="1"/>
    <x v="0"/>
    <x v="1"/>
    <x v="0"/>
    <n v="5505"/>
    <n v="5505"/>
    <n v="0"/>
    <n v="0"/>
    <n v="0"/>
    <n v="0"/>
    <n v="0"/>
    <x v="1"/>
    <n v="0"/>
    <n v="1"/>
    <n v="0"/>
    <n v="0"/>
    <n v="9.4700000000000006"/>
    <n v="0"/>
    <n v="0"/>
    <n v="13.276513797445094"/>
    <n v="64.02247976433641"/>
    <m/>
    <n v="52132.350000000006"/>
    <n v="0"/>
    <n v="0"/>
    <n v="73087.208454935244"/>
    <n v="0"/>
    <n v="0"/>
  </r>
  <r>
    <s v="Regular"/>
    <x v="0"/>
    <x v="0"/>
    <x v="1"/>
    <x v="0"/>
    <x v="1"/>
    <x v="0"/>
    <x v="1"/>
    <x v="1"/>
    <n v="5505"/>
    <n v="5505"/>
    <n v="0"/>
    <n v="0"/>
    <n v="0"/>
    <n v="0"/>
    <n v="0"/>
    <x v="1"/>
    <n v="0"/>
    <n v="1"/>
    <n v="0"/>
    <n v="0"/>
    <n v="9.4700000000000006"/>
    <n v="0"/>
    <n v="0"/>
    <n v="13.276513797445094"/>
    <n v="64.02247976433641"/>
    <m/>
    <n v="52132.350000000006"/>
    <n v="0"/>
    <n v="0"/>
    <n v="73087.208454935244"/>
    <n v="0"/>
    <n v="0"/>
  </r>
  <r>
    <s v="Regular"/>
    <x v="0"/>
    <x v="0"/>
    <x v="1"/>
    <x v="0"/>
    <x v="1"/>
    <x v="0"/>
    <x v="1"/>
    <x v="2"/>
    <n v="5505"/>
    <n v="5505"/>
    <n v="0"/>
    <n v="0"/>
    <n v="0"/>
    <n v="0"/>
    <n v="0"/>
    <x v="1"/>
    <n v="0"/>
    <n v="1"/>
    <n v="0"/>
    <n v="0"/>
    <n v="9.4700000000000006"/>
    <n v="0"/>
    <n v="0"/>
    <n v="13.276513797445094"/>
    <n v="64.02247976433641"/>
    <m/>
    <n v="52132.350000000006"/>
    <n v="0"/>
    <n v="0"/>
    <n v="73087.208454935244"/>
    <n v="0"/>
    <n v="0"/>
  </r>
  <r>
    <s v="Regular"/>
    <x v="0"/>
    <x v="0"/>
    <x v="1"/>
    <x v="0"/>
    <x v="1"/>
    <x v="0"/>
    <x v="1"/>
    <x v="3"/>
    <n v="5505"/>
    <n v="5505"/>
    <n v="0"/>
    <n v="0"/>
    <n v="0"/>
    <n v="0"/>
    <n v="0"/>
    <x v="1"/>
    <n v="0"/>
    <n v="1"/>
    <n v="0"/>
    <n v="0"/>
    <n v="9.4700000000000006"/>
    <n v="0"/>
    <n v="0"/>
    <n v="13.276513797445094"/>
    <n v="64.02247976433641"/>
    <m/>
    <n v="52132.350000000006"/>
    <n v="0"/>
    <n v="0"/>
    <n v="73087.208454935244"/>
    <n v="0"/>
    <n v="0"/>
  </r>
  <r>
    <s v="Regular"/>
    <x v="0"/>
    <x v="0"/>
    <x v="1"/>
    <x v="0"/>
    <x v="1"/>
    <x v="0"/>
    <x v="1"/>
    <x v="4"/>
    <n v="5505"/>
    <n v="5505"/>
    <n v="0"/>
    <n v="0"/>
    <n v="0"/>
    <n v="0"/>
    <n v="0"/>
    <x v="1"/>
    <n v="0"/>
    <n v="1"/>
    <n v="0"/>
    <n v="0"/>
    <n v="9.4700000000000006"/>
    <n v="0"/>
    <n v="0"/>
    <n v="13.276513797445094"/>
    <n v="64.02247976433641"/>
    <m/>
    <n v="52132.350000000006"/>
    <n v="0"/>
    <n v="0"/>
    <n v="73087.208454935244"/>
    <n v="0"/>
    <n v="0"/>
  </r>
  <r>
    <s v="Regular"/>
    <x v="0"/>
    <x v="0"/>
    <x v="1"/>
    <x v="0"/>
    <x v="1"/>
    <x v="0"/>
    <x v="1"/>
    <x v="5"/>
    <n v="5505"/>
    <n v="5505"/>
    <n v="0"/>
    <n v="0"/>
    <n v="0"/>
    <n v="0"/>
    <n v="0"/>
    <x v="1"/>
    <n v="0"/>
    <n v="1"/>
    <n v="0"/>
    <n v="0"/>
    <n v="9.4700000000000006"/>
    <n v="0"/>
    <n v="0"/>
    <n v="13.276513797445094"/>
    <n v="64.02247976433641"/>
    <m/>
    <n v="52132.350000000006"/>
    <n v="0"/>
    <n v="0"/>
    <n v="73087.208454935244"/>
    <n v="0"/>
    <n v="0"/>
  </r>
  <r>
    <s v="Regular"/>
    <x v="0"/>
    <x v="0"/>
    <x v="1"/>
    <x v="0"/>
    <x v="1"/>
    <x v="0"/>
    <x v="1"/>
    <x v="6"/>
    <n v="5505"/>
    <n v="5505"/>
    <n v="0"/>
    <n v="0"/>
    <n v="0"/>
    <n v="0"/>
    <n v="0"/>
    <x v="1"/>
    <n v="0"/>
    <n v="1"/>
    <n v="0"/>
    <n v="0"/>
    <n v="9.4700000000000006"/>
    <n v="0"/>
    <n v="0"/>
    <n v="13.276513797445094"/>
    <n v="64.02247976433641"/>
    <m/>
    <n v="52132.350000000006"/>
    <n v="0"/>
    <n v="0"/>
    <n v="73087.208454935244"/>
    <n v="0"/>
    <n v="0"/>
  </r>
  <r>
    <s v="Regular"/>
    <x v="0"/>
    <x v="0"/>
    <x v="1"/>
    <x v="0"/>
    <x v="1"/>
    <x v="0"/>
    <x v="1"/>
    <x v="7"/>
    <n v="5505"/>
    <n v="5505"/>
    <n v="0"/>
    <n v="0"/>
    <n v="0"/>
    <n v="0"/>
    <n v="0"/>
    <x v="1"/>
    <n v="0"/>
    <n v="1"/>
    <n v="0"/>
    <n v="0"/>
    <n v="9.4700000000000006"/>
    <n v="0"/>
    <n v="0"/>
    <n v="13.276513797445094"/>
    <n v="64.02247976433641"/>
    <m/>
    <n v="52132.350000000006"/>
    <n v="0"/>
    <n v="0"/>
    <n v="73087.208454935244"/>
    <n v="0"/>
    <n v="0"/>
  </r>
  <r>
    <s v="Regular"/>
    <x v="0"/>
    <x v="0"/>
    <x v="1"/>
    <x v="0"/>
    <x v="1"/>
    <x v="0"/>
    <x v="1"/>
    <x v="8"/>
    <n v="5505"/>
    <n v="5505"/>
    <n v="0"/>
    <n v="0"/>
    <n v="0"/>
    <n v="0"/>
    <n v="0"/>
    <x v="1"/>
    <n v="0"/>
    <n v="1"/>
    <n v="0"/>
    <n v="0"/>
    <n v="9.4700000000000006"/>
    <n v="0"/>
    <n v="0"/>
    <n v="13.276513797445094"/>
    <n v="64.02247976433641"/>
    <m/>
    <n v="52132.350000000006"/>
    <n v="0"/>
    <n v="0"/>
    <n v="73087.208454935244"/>
    <n v="0"/>
    <n v="0"/>
  </r>
  <r>
    <s v="Regular"/>
    <x v="0"/>
    <x v="0"/>
    <x v="1"/>
    <x v="0"/>
    <x v="1"/>
    <x v="0"/>
    <x v="1"/>
    <x v="9"/>
    <n v="5505"/>
    <n v="5505"/>
    <n v="0"/>
    <n v="0"/>
    <n v="0"/>
    <n v="0"/>
    <n v="0"/>
    <x v="1"/>
    <n v="0"/>
    <n v="1"/>
    <n v="0"/>
    <n v="0"/>
    <n v="9.4700000000000006"/>
    <n v="0"/>
    <n v="0"/>
    <n v="13.276513797445094"/>
    <n v="64.02247976433641"/>
    <m/>
    <n v="52132.350000000006"/>
    <n v="0"/>
    <n v="0"/>
    <n v="73087.208454935244"/>
    <n v="0"/>
    <n v="0"/>
  </r>
  <r>
    <s v="Regular"/>
    <x v="0"/>
    <x v="0"/>
    <x v="1"/>
    <x v="0"/>
    <x v="1"/>
    <x v="0"/>
    <x v="1"/>
    <x v="10"/>
    <n v="5505"/>
    <n v="5505"/>
    <n v="0"/>
    <n v="0"/>
    <n v="0"/>
    <n v="0"/>
    <n v="0"/>
    <x v="1"/>
    <n v="0"/>
    <n v="1"/>
    <n v="0"/>
    <n v="0"/>
    <n v="9.4700000000000006"/>
    <n v="0"/>
    <n v="0"/>
    <n v="13.276513797445094"/>
    <n v="64.02247976433641"/>
    <m/>
    <n v="52132.350000000006"/>
    <n v="0"/>
    <n v="0"/>
    <n v="73087.208454935244"/>
    <n v="0"/>
    <n v="0"/>
  </r>
  <r>
    <s v="PROJETADO"/>
    <x v="0"/>
    <x v="0"/>
    <x v="1"/>
    <x v="0"/>
    <x v="1"/>
    <x v="0"/>
    <x v="1"/>
    <x v="11"/>
    <n v="5505"/>
    <n v="5505"/>
    <n v="0"/>
    <n v="0"/>
    <n v="0"/>
    <n v="0"/>
    <n v="0"/>
    <x v="1"/>
    <n v="0"/>
    <n v="1"/>
    <n v="0"/>
    <n v="0"/>
    <n v="9.4700000000000006"/>
    <n v="0"/>
    <n v="0"/>
    <n v="13.276513797445094"/>
    <n v="64.02247976433641"/>
    <m/>
    <n v="52132.350000000006"/>
    <n v="0"/>
    <n v="0"/>
    <n v="73087.208454935244"/>
    <n v="0"/>
    <n v="0"/>
  </r>
  <r>
    <s v="Regular"/>
    <x v="0"/>
    <x v="0"/>
    <x v="1"/>
    <x v="0"/>
    <x v="0"/>
    <x v="0"/>
    <x v="0"/>
    <x v="0"/>
    <n v="52000"/>
    <n v="52000"/>
    <n v="0"/>
    <n v="0"/>
    <n v="0"/>
    <n v="0"/>
    <n v="0"/>
    <x v="2"/>
    <n v="0"/>
    <n v="2"/>
    <n v="0"/>
    <n v="0"/>
    <n v="5.4"/>
    <n v="0"/>
    <n v="0"/>
    <n v="8.2823716907665279"/>
    <n v="64.02247976433641"/>
    <m/>
    <n v="280800"/>
    <n v="0"/>
    <n v="0"/>
    <n v="430683.32791985944"/>
    <n v="0"/>
    <n v="0"/>
  </r>
  <r>
    <s v="Regular"/>
    <x v="0"/>
    <x v="0"/>
    <x v="1"/>
    <x v="0"/>
    <x v="0"/>
    <x v="0"/>
    <x v="0"/>
    <x v="1"/>
    <n v="52000"/>
    <n v="52000"/>
    <n v="0"/>
    <n v="0"/>
    <n v="0"/>
    <n v="0"/>
    <n v="0"/>
    <x v="2"/>
    <n v="0"/>
    <n v="2"/>
    <n v="0"/>
    <n v="0"/>
    <n v="5.4"/>
    <n v="0"/>
    <n v="0"/>
    <n v="8.2823716907665279"/>
    <n v="64.02247976433641"/>
    <m/>
    <n v="280800"/>
    <n v="0"/>
    <n v="0"/>
    <n v="430683.32791985944"/>
    <n v="0"/>
    <n v="0"/>
  </r>
  <r>
    <s v="Regular"/>
    <x v="0"/>
    <x v="0"/>
    <x v="1"/>
    <x v="0"/>
    <x v="0"/>
    <x v="0"/>
    <x v="0"/>
    <x v="2"/>
    <n v="52000"/>
    <n v="52000"/>
    <n v="0"/>
    <n v="0"/>
    <n v="0"/>
    <n v="0"/>
    <n v="0"/>
    <x v="2"/>
    <n v="0"/>
    <n v="2"/>
    <n v="0"/>
    <n v="0"/>
    <n v="5.4"/>
    <n v="0"/>
    <n v="0"/>
    <n v="8.2823716907665279"/>
    <n v="64.02247976433641"/>
    <m/>
    <n v="280800"/>
    <n v="0"/>
    <n v="0"/>
    <n v="430683.32791985944"/>
    <n v="0"/>
    <n v="0"/>
  </r>
  <r>
    <s v="Regular"/>
    <x v="0"/>
    <x v="0"/>
    <x v="1"/>
    <x v="0"/>
    <x v="0"/>
    <x v="0"/>
    <x v="0"/>
    <x v="3"/>
    <n v="52000"/>
    <n v="52000"/>
    <n v="0"/>
    <n v="0"/>
    <n v="0"/>
    <n v="0"/>
    <n v="0"/>
    <x v="2"/>
    <n v="0"/>
    <n v="2"/>
    <n v="0"/>
    <n v="0"/>
    <n v="5.4"/>
    <n v="0"/>
    <n v="0"/>
    <n v="8.2823716907665279"/>
    <n v="64.02247976433641"/>
    <m/>
    <n v="280800"/>
    <n v="0"/>
    <n v="0"/>
    <n v="430683.32791985944"/>
    <n v="0"/>
    <n v="0"/>
  </r>
  <r>
    <s v="Regular"/>
    <x v="0"/>
    <x v="0"/>
    <x v="1"/>
    <x v="0"/>
    <x v="0"/>
    <x v="0"/>
    <x v="0"/>
    <x v="4"/>
    <n v="52000"/>
    <n v="52000"/>
    <n v="0"/>
    <n v="0"/>
    <n v="0"/>
    <n v="0"/>
    <n v="0"/>
    <x v="2"/>
    <n v="0"/>
    <n v="2"/>
    <n v="0"/>
    <n v="0"/>
    <n v="5.4"/>
    <n v="0"/>
    <n v="0"/>
    <n v="8.2823716907665279"/>
    <n v="64.02247976433641"/>
    <m/>
    <n v="280800"/>
    <n v="0"/>
    <n v="0"/>
    <n v="430683.32791985944"/>
    <n v="0"/>
    <n v="0"/>
  </r>
  <r>
    <s v="Regular"/>
    <x v="0"/>
    <x v="0"/>
    <x v="1"/>
    <x v="0"/>
    <x v="0"/>
    <x v="0"/>
    <x v="0"/>
    <x v="5"/>
    <n v="52000"/>
    <n v="52000"/>
    <n v="0"/>
    <n v="0"/>
    <n v="0"/>
    <n v="0"/>
    <n v="0"/>
    <x v="2"/>
    <n v="0"/>
    <n v="2"/>
    <n v="0"/>
    <n v="0"/>
    <n v="5.4"/>
    <n v="0"/>
    <n v="0"/>
    <n v="8.2823716907665279"/>
    <n v="64.02247976433641"/>
    <m/>
    <n v="280800"/>
    <n v="0"/>
    <n v="0"/>
    <n v="430683.32791985944"/>
    <n v="0"/>
    <n v="0"/>
  </r>
  <r>
    <s v="Regular"/>
    <x v="0"/>
    <x v="0"/>
    <x v="1"/>
    <x v="0"/>
    <x v="0"/>
    <x v="0"/>
    <x v="0"/>
    <x v="6"/>
    <n v="52000"/>
    <n v="52000"/>
    <n v="0"/>
    <n v="0"/>
    <n v="0"/>
    <n v="0"/>
    <n v="0"/>
    <x v="2"/>
    <n v="0"/>
    <n v="2"/>
    <n v="0"/>
    <n v="0"/>
    <n v="5.4"/>
    <n v="0"/>
    <n v="0"/>
    <n v="8.2823716907665279"/>
    <n v="64.02247976433641"/>
    <m/>
    <n v="280800"/>
    <n v="0"/>
    <n v="0"/>
    <n v="430683.32791985944"/>
    <n v="0"/>
    <n v="0"/>
  </r>
  <r>
    <s v="Regular"/>
    <x v="0"/>
    <x v="0"/>
    <x v="1"/>
    <x v="0"/>
    <x v="0"/>
    <x v="0"/>
    <x v="0"/>
    <x v="7"/>
    <n v="52000"/>
    <n v="52000"/>
    <n v="0"/>
    <n v="0"/>
    <n v="0"/>
    <n v="0"/>
    <n v="0"/>
    <x v="2"/>
    <n v="0"/>
    <n v="2"/>
    <n v="0"/>
    <n v="0"/>
    <n v="5.4"/>
    <n v="0"/>
    <n v="0"/>
    <n v="8.2823716907665279"/>
    <n v="64.02247976433641"/>
    <m/>
    <n v="280800"/>
    <n v="0"/>
    <n v="0"/>
    <n v="430683.32791985944"/>
    <n v="0"/>
    <n v="0"/>
  </r>
  <r>
    <s v="Regular"/>
    <x v="0"/>
    <x v="0"/>
    <x v="1"/>
    <x v="0"/>
    <x v="0"/>
    <x v="0"/>
    <x v="0"/>
    <x v="8"/>
    <n v="52000"/>
    <n v="52000"/>
    <n v="0"/>
    <n v="0"/>
    <n v="0"/>
    <n v="0"/>
    <n v="0"/>
    <x v="2"/>
    <n v="0"/>
    <n v="2"/>
    <n v="0"/>
    <n v="0"/>
    <n v="5.4"/>
    <n v="0"/>
    <n v="0"/>
    <n v="8.2823716907665279"/>
    <n v="64.02247976433641"/>
    <m/>
    <n v="280800"/>
    <n v="0"/>
    <n v="0"/>
    <n v="430683.32791985944"/>
    <n v="0"/>
    <n v="0"/>
  </r>
  <r>
    <s v="Regular"/>
    <x v="0"/>
    <x v="0"/>
    <x v="1"/>
    <x v="0"/>
    <x v="0"/>
    <x v="0"/>
    <x v="0"/>
    <x v="9"/>
    <n v="52000"/>
    <n v="52000"/>
    <n v="0"/>
    <n v="0"/>
    <n v="0"/>
    <n v="0"/>
    <n v="0"/>
    <x v="2"/>
    <n v="0"/>
    <n v="2"/>
    <n v="0"/>
    <n v="0"/>
    <n v="5.4"/>
    <n v="0"/>
    <n v="0"/>
    <n v="8.2823716907665279"/>
    <n v="64.02247976433641"/>
    <m/>
    <n v="280800"/>
    <n v="0"/>
    <n v="0"/>
    <n v="430683.32791985944"/>
    <n v="0"/>
    <n v="0"/>
  </r>
  <r>
    <s v="Regular"/>
    <x v="0"/>
    <x v="0"/>
    <x v="1"/>
    <x v="0"/>
    <x v="0"/>
    <x v="0"/>
    <x v="0"/>
    <x v="10"/>
    <n v="52000"/>
    <n v="52000"/>
    <n v="0"/>
    <n v="0"/>
    <n v="0"/>
    <n v="0"/>
    <n v="0"/>
    <x v="2"/>
    <n v="0"/>
    <n v="2"/>
    <n v="0"/>
    <n v="0"/>
    <n v="5.4"/>
    <n v="0"/>
    <n v="0"/>
    <n v="8.2823716907665279"/>
    <n v="64.02247976433641"/>
    <m/>
    <n v="280800"/>
    <n v="0"/>
    <n v="0"/>
    <n v="430683.32791985944"/>
    <n v="0"/>
    <n v="0"/>
  </r>
  <r>
    <s v="PROJETADO"/>
    <x v="0"/>
    <x v="0"/>
    <x v="1"/>
    <x v="0"/>
    <x v="0"/>
    <x v="0"/>
    <x v="0"/>
    <x v="11"/>
    <n v="52000"/>
    <n v="52000"/>
    <n v="0"/>
    <n v="0"/>
    <n v="0"/>
    <n v="0"/>
    <n v="0"/>
    <x v="2"/>
    <n v="0"/>
    <n v="2"/>
    <n v="0"/>
    <n v="0"/>
    <n v="5.4"/>
    <n v="0"/>
    <n v="0"/>
    <n v="8.2823716907665279"/>
    <n v="64.02247976433641"/>
    <m/>
    <n v="280800"/>
    <n v="0"/>
    <n v="0"/>
    <n v="430683.32791985944"/>
    <n v="0"/>
    <n v="0"/>
  </r>
  <r>
    <s v="Regular"/>
    <x v="0"/>
    <x v="0"/>
    <x v="1"/>
    <x v="0"/>
    <x v="0"/>
    <x v="0"/>
    <x v="2"/>
    <x v="0"/>
    <n v="0"/>
    <n v="0"/>
    <n v="20525.694"/>
    <n v="20525.694"/>
    <n v="0"/>
    <n v="0"/>
    <n v="1"/>
    <x v="2"/>
    <n v="0"/>
    <n v="0"/>
    <n v="3"/>
    <n v="0"/>
    <n v="0"/>
    <n v="62.65"/>
    <n v="0"/>
    <m/>
    <n v="64.02247976433641"/>
    <m/>
    <n v="0"/>
    <n v="1285934.7290999999"/>
    <n v="0"/>
    <n v="0"/>
    <n v="1314105.8287639613"/>
    <n v="0"/>
  </r>
  <r>
    <s v="Regular"/>
    <x v="0"/>
    <x v="0"/>
    <x v="1"/>
    <x v="0"/>
    <x v="0"/>
    <x v="0"/>
    <x v="2"/>
    <x v="1"/>
    <n v="0"/>
    <n v="0"/>
    <n v="20400.280999999999"/>
    <n v="20400.280999999999"/>
    <n v="0"/>
    <n v="0"/>
    <n v="1"/>
    <x v="2"/>
    <n v="0"/>
    <n v="0"/>
    <n v="3"/>
    <n v="0"/>
    <n v="0"/>
    <n v="62.65"/>
    <n v="0"/>
    <m/>
    <n v="64.02247976433641"/>
    <m/>
    <n v="0"/>
    <n v="1278077.6046499999"/>
    <n v="0"/>
    <n v="0"/>
    <n v="1306076.5775092766"/>
    <n v="0"/>
  </r>
  <r>
    <s v="Regular"/>
    <x v="0"/>
    <x v="0"/>
    <x v="1"/>
    <x v="0"/>
    <x v="0"/>
    <x v="0"/>
    <x v="2"/>
    <x v="2"/>
    <n v="0"/>
    <n v="0"/>
    <n v="19681.274000000001"/>
    <n v="19681.274000000001"/>
    <n v="0"/>
    <n v="0"/>
    <n v="1"/>
    <x v="2"/>
    <n v="0"/>
    <n v="0"/>
    <n v="3"/>
    <n v="0"/>
    <n v="0"/>
    <n v="62.65"/>
    <n v="0"/>
    <m/>
    <n v="64.02247976433641"/>
    <m/>
    <n v="0"/>
    <n v="1233031.8160999999"/>
    <n v="0"/>
    <n v="0"/>
    <n v="1260043.9664013605"/>
    <n v="0"/>
  </r>
  <r>
    <s v="Regular"/>
    <x v="0"/>
    <x v="0"/>
    <x v="1"/>
    <x v="0"/>
    <x v="0"/>
    <x v="0"/>
    <x v="2"/>
    <x v="3"/>
    <n v="0"/>
    <n v="0"/>
    <n v="20219.706999999999"/>
    <n v="20219.706999999999"/>
    <n v="0"/>
    <n v="0"/>
    <n v="1"/>
    <x v="2"/>
    <n v="0"/>
    <n v="0"/>
    <n v="3"/>
    <n v="0"/>
    <n v="0"/>
    <n v="62.65"/>
    <n v="0"/>
    <m/>
    <n v="64.02247976433641"/>
    <m/>
    <n v="0"/>
    <n v="1266764.6435499999"/>
    <n v="0"/>
    <n v="0"/>
    <n v="1294515.7822483112"/>
    <n v="0"/>
  </r>
  <r>
    <s v="Regular"/>
    <x v="0"/>
    <x v="0"/>
    <x v="1"/>
    <x v="0"/>
    <x v="0"/>
    <x v="0"/>
    <x v="2"/>
    <x v="4"/>
    <n v="0"/>
    <n v="0"/>
    <n v="19774.339"/>
    <n v="19774.339"/>
    <n v="0"/>
    <n v="0"/>
    <n v="1"/>
    <x v="2"/>
    <n v="0"/>
    <n v="0"/>
    <n v="3"/>
    <n v="0"/>
    <n v="0"/>
    <n v="62.65"/>
    <n v="0"/>
    <m/>
    <n v="64.02247976433641"/>
    <m/>
    <n v="0"/>
    <n v="1238862.3383499999"/>
    <n v="0"/>
    <n v="0"/>
    <n v="1266002.2184806282"/>
    <n v="0"/>
  </r>
  <r>
    <s v="Regular"/>
    <x v="0"/>
    <x v="0"/>
    <x v="1"/>
    <x v="0"/>
    <x v="0"/>
    <x v="0"/>
    <x v="2"/>
    <x v="5"/>
    <n v="0"/>
    <n v="0"/>
    <n v="21065.493999999999"/>
    <n v="21065.493999999999"/>
    <n v="0"/>
    <n v="0"/>
    <n v="1"/>
    <x v="2"/>
    <n v="0"/>
    <n v="0"/>
    <n v="3"/>
    <n v="0"/>
    <n v="0"/>
    <n v="62.65"/>
    <n v="0"/>
    <m/>
    <n v="64.02247976433641"/>
    <m/>
    <n v="0"/>
    <n v="1319753.1990999999"/>
    <n v="0"/>
    <n v="0"/>
    <n v="1348665.1633407499"/>
    <n v="0"/>
  </r>
  <r>
    <s v="Regular"/>
    <x v="0"/>
    <x v="0"/>
    <x v="1"/>
    <x v="0"/>
    <x v="0"/>
    <x v="0"/>
    <x v="2"/>
    <x v="6"/>
    <n v="0"/>
    <n v="0"/>
    <n v="15942.402"/>
    <n v="15942.402"/>
    <n v="0"/>
    <n v="0"/>
    <n v="1"/>
    <x v="2"/>
    <n v="0"/>
    <n v="0"/>
    <n v="3"/>
    <n v="0"/>
    <n v="0"/>
    <n v="62.65"/>
    <n v="0"/>
    <m/>
    <n v="64.02247976433641"/>
    <m/>
    <n v="0"/>
    <n v="998791.48529999994"/>
    <n v="0"/>
    <n v="0"/>
    <n v="1020672.1094399163"/>
    <n v="0"/>
  </r>
  <r>
    <s v="Regular"/>
    <x v="0"/>
    <x v="0"/>
    <x v="1"/>
    <x v="0"/>
    <x v="0"/>
    <x v="0"/>
    <x v="2"/>
    <x v="7"/>
    <n v="0"/>
    <n v="0"/>
    <n v="25292.248"/>
    <n v="25292.248"/>
    <n v="0"/>
    <n v="0"/>
    <n v="1"/>
    <x v="2"/>
    <n v="0"/>
    <n v="0"/>
    <n v="3"/>
    <n v="0"/>
    <n v="0"/>
    <n v="62.65"/>
    <n v="0"/>
    <m/>
    <n v="64.02247976433641"/>
    <m/>
    <n v="0"/>
    <n v="1584559.3372"/>
    <n v="0"/>
    <n v="0"/>
    <n v="1619272.435774578"/>
    <n v="0"/>
  </r>
  <r>
    <s v="Regular"/>
    <x v="0"/>
    <x v="0"/>
    <x v="1"/>
    <x v="0"/>
    <x v="0"/>
    <x v="0"/>
    <x v="2"/>
    <x v="8"/>
    <n v="0"/>
    <n v="0"/>
    <n v="25292.248"/>
    <n v="25292.248"/>
    <n v="0"/>
    <n v="0"/>
    <n v="1"/>
    <x v="2"/>
    <n v="0"/>
    <n v="0"/>
    <n v="3"/>
    <n v="0"/>
    <n v="0"/>
    <n v="62.65"/>
    <n v="0"/>
    <m/>
    <n v="64.02247976433641"/>
    <m/>
    <n v="0"/>
    <n v="1584559.3372"/>
    <n v="0"/>
    <n v="0"/>
    <n v="1619272.435774578"/>
    <n v="0"/>
  </r>
  <r>
    <s v="Regular"/>
    <x v="0"/>
    <x v="0"/>
    <x v="1"/>
    <x v="0"/>
    <x v="0"/>
    <x v="0"/>
    <x v="2"/>
    <x v="9"/>
    <n v="0"/>
    <n v="0"/>
    <n v="21961.101999999999"/>
    <n v="21961.101999999999"/>
    <n v="0"/>
    <n v="0"/>
    <n v="1"/>
    <x v="2"/>
    <n v="0"/>
    <n v="0"/>
    <n v="3"/>
    <n v="0"/>
    <n v="0"/>
    <n v="62.65"/>
    <n v="0"/>
    <m/>
    <n v="64.02247976433641"/>
    <m/>
    <n v="0"/>
    <n v="1375863.0403"/>
    <n v="0"/>
    <n v="0"/>
    <n v="1406004.2083975277"/>
    <n v="0"/>
  </r>
  <r>
    <s v="Regular"/>
    <x v="0"/>
    <x v="0"/>
    <x v="1"/>
    <x v="0"/>
    <x v="0"/>
    <x v="0"/>
    <x v="2"/>
    <x v="10"/>
    <n v="0"/>
    <n v="0"/>
    <n v="31556.446"/>
    <n v="31556.446"/>
    <n v="0"/>
    <n v="0"/>
    <n v="1"/>
    <x v="2"/>
    <n v="0"/>
    <n v="0"/>
    <n v="3"/>
    <n v="0"/>
    <n v="0"/>
    <n v="62.65"/>
    <n v="0"/>
    <m/>
    <n v="64.02247976433641"/>
    <m/>
    <n v="0"/>
    <n v="1977011.3418999999"/>
    <n v="0"/>
    <n v="0"/>
    <n v="2020321.9254693747"/>
    <n v="0"/>
  </r>
  <r>
    <s v="PROJETADO"/>
    <x v="0"/>
    <x v="0"/>
    <x v="1"/>
    <x v="0"/>
    <x v="0"/>
    <x v="0"/>
    <x v="2"/>
    <x v="11"/>
    <n v="0"/>
    <n v="0"/>
    <n v="31556.446"/>
    <n v="31556.446"/>
    <n v="0"/>
    <n v="0"/>
    <n v="1"/>
    <x v="2"/>
    <n v="0"/>
    <n v="0"/>
    <n v="3"/>
    <n v="0"/>
    <n v="0"/>
    <n v="62.65"/>
    <n v="0"/>
    <m/>
    <n v="64.02247976433641"/>
    <m/>
    <n v="0"/>
    <n v="1977011.3418999999"/>
    <n v="0"/>
    <n v="0"/>
    <n v="2020321.9254693747"/>
    <n v="0"/>
  </r>
  <r>
    <s v="Regular"/>
    <x v="0"/>
    <x v="0"/>
    <x v="1"/>
    <x v="0"/>
    <x v="0"/>
    <x v="0"/>
    <x v="1"/>
    <x v="0"/>
    <n v="21000"/>
    <n v="21000"/>
    <n v="0"/>
    <n v="0"/>
    <n v="0"/>
    <n v="0"/>
    <n v="0"/>
    <x v="2"/>
    <n v="0"/>
    <n v="1"/>
    <n v="0"/>
    <n v="0"/>
    <n v="9.4700000000000006"/>
    <n v="0"/>
    <n v="0"/>
    <n v="13.276513797445094"/>
    <n v="64.02247976433641"/>
    <m/>
    <n v="198870"/>
    <n v="0"/>
    <n v="0"/>
    <n v="278806.789746347"/>
    <n v="0"/>
    <n v="0"/>
  </r>
  <r>
    <s v="Regular"/>
    <x v="0"/>
    <x v="0"/>
    <x v="1"/>
    <x v="0"/>
    <x v="0"/>
    <x v="0"/>
    <x v="1"/>
    <x v="1"/>
    <n v="21000"/>
    <n v="21000"/>
    <n v="0"/>
    <n v="0"/>
    <n v="0"/>
    <n v="0"/>
    <n v="0"/>
    <x v="2"/>
    <n v="0"/>
    <n v="1"/>
    <n v="0"/>
    <n v="0"/>
    <n v="9.4700000000000006"/>
    <n v="0"/>
    <n v="0"/>
    <n v="13.276513797445094"/>
    <n v="64.02247976433641"/>
    <m/>
    <n v="198870"/>
    <n v="0"/>
    <n v="0"/>
    <n v="278806.789746347"/>
    <n v="0"/>
    <n v="0"/>
  </r>
  <r>
    <s v="Regular"/>
    <x v="0"/>
    <x v="0"/>
    <x v="1"/>
    <x v="0"/>
    <x v="0"/>
    <x v="0"/>
    <x v="1"/>
    <x v="2"/>
    <n v="21000"/>
    <n v="21000"/>
    <n v="0"/>
    <n v="0"/>
    <n v="0"/>
    <n v="0"/>
    <n v="0"/>
    <x v="2"/>
    <n v="0"/>
    <n v="1"/>
    <n v="0"/>
    <n v="0"/>
    <n v="9.4700000000000006"/>
    <n v="0"/>
    <n v="0"/>
    <n v="13.276513797445094"/>
    <n v="64.02247976433641"/>
    <m/>
    <n v="198870"/>
    <n v="0"/>
    <n v="0"/>
    <n v="278806.789746347"/>
    <n v="0"/>
    <n v="0"/>
  </r>
  <r>
    <s v="Regular"/>
    <x v="0"/>
    <x v="0"/>
    <x v="1"/>
    <x v="0"/>
    <x v="0"/>
    <x v="0"/>
    <x v="1"/>
    <x v="3"/>
    <n v="21000"/>
    <n v="21000"/>
    <n v="0"/>
    <n v="0"/>
    <n v="0"/>
    <n v="0"/>
    <n v="0"/>
    <x v="2"/>
    <n v="0"/>
    <n v="1"/>
    <n v="0"/>
    <n v="0"/>
    <n v="9.4700000000000006"/>
    <n v="0"/>
    <n v="0"/>
    <n v="13.276513797445094"/>
    <n v="64.02247976433641"/>
    <m/>
    <n v="198870"/>
    <n v="0"/>
    <n v="0"/>
    <n v="278806.789746347"/>
    <n v="0"/>
    <n v="0"/>
  </r>
  <r>
    <s v="Regular"/>
    <x v="0"/>
    <x v="0"/>
    <x v="1"/>
    <x v="0"/>
    <x v="0"/>
    <x v="0"/>
    <x v="1"/>
    <x v="4"/>
    <n v="21000"/>
    <n v="21000"/>
    <n v="0"/>
    <n v="0"/>
    <n v="0"/>
    <n v="0"/>
    <n v="0"/>
    <x v="2"/>
    <n v="0"/>
    <n v="1"/>
    <n v="0"/>
    <n v="0"/>
    <n v="9.4700000000000006"/>
    <n v="0"/>
    <n v="0"/>
    <n v="13.276513797445094"/>
    <n v="64.02247976433641"/>
    <m/>
    <n v="198870"/>
    <n v="0"/>
    <n v="0"/>
    <n v="278806.789746347"/>
    <n v="0"/>
    <n v="0"/>
  </r>
  <r>
    <s v="Regular"/>
    <x v="0"/>
    <x v="0"/>
    <x v="1"/>
    <x v="0"/>
    <x v="0"/>
    <x v="0"/>
    <x v="1"/>
    <x v="5"/>
    <n v="21000"/>
    <n v="21000"/>
    <n v="0"/>
    <n v="0"/>
    <n v="0"/>
    <n v="0"/>
    <n v="0"/>
    <x v="2"/>
    <n v="0"/>
    <n v="1"/>
    <n v="0"/>
    <n v="0"/>
    <n v="9.4700000000000006"/>
    <n v="0"/>
    <n v="0"/>
    <n v="13.276513797445094"/>
    <n v="64.02247976433641"/>
    <m/>
    <n v="198870"/>
    <n v="0"/>
    <n v="0"/>
    <n v="278806.789746347"/>
    <n v="0"/>
    <n v="0"/>
  </r>
  <r>
    <s v="Regular"/>
    <x v="0"/>
    <x v="0"/>
    <x v="1"/>
    <x v="0"/>
    <x v="0"/>
    <x v="0"/>
    <x v="1"/>
    <x v="6"/>
    <n v="21000"/>
    <n v="21000"/>
    <n v="0"/>
    <n v="0"/>
    <n v="0"/>
    <n v="0"/>
    <n v="0"/>
    <x v="2"/>
    <n v="0"/>
    <n v="1"/>
    <n v="0"/>
    <n v="0"/>
    <n v="9.4700000000000006"/>
    <n v="0"/>
    <n v="0"/>
    <n v="13.276513797445094"/>
    <n v="64.02247976433641"/>
    <m/>
    <n v="198870"/>
    <n v="0"/>
    <n v="0"/>
    <n v="278806.789746347"/>
    <n v="0"/>
    <n v="0"/>
  </r>
  <r>
    <s v="Regular"/>
    <x v="0"/>
    <x v="0"/>
    <x v="1"/>
    <x v="0"/>
    <x v="0"/>
    <x v="0"/>
    <x v="1"/>
    <x v="7"/>
    <n v="21000"/>
    <n v="21000"/>
    <n v="0"/>
    <n v="0"/>
    <n v="0"/>
    <n v="0"/>
    <n v="0"/>
    <x v="2"/>
    <n v="0"/>
    <n v="1"/>
    <n v="0"/>
    <n v="0"/>
    <n v="9.4700000000000006"/>
    <n v="0"/>
    <n v="0"/>
    <n v="13.276513797445094"/>
    <n v="64.02247976433641"/>
    <m/>
    <n v="198870"/>
    <n v="0"/>
    <n v="0"/>
    <n v="278806.789746347"/>
    <n v="0"/>
    <n v="0"/>
  </r>
  <r>
    <s v="Regular"/>
    <x v="0"/>
    <x v="0"/>
    <x v="1"/>
    <x v="0"/>
    <x v="0"/>
    <x v="0"/>
    <x v="1"/>
    <x v="8"/>
    <n v="21000"/>
    <n v="21000"/>
    <n v="0"/>
    <n v="0"/>
    <n v="0"/>
    <n v="0"/>
    <n v="0"/>
    <x v="2"/>
    <n v="0"/>
    <n v="1"/>
    <n v="0"/>
    <n v="0"/>
    <n v="9.4700000000000006"/>
    <n v="0"/>
    <n v="0"/>
    <n v="13.276513797445094"/>
    <n v="64.02247976433641"/>
    <m/>
    <n v="198870"/>
    <n v="0"/>
    <n v="0"/>
    <n v="278806.789746347"/>
    <n v="0"/>
    <n v="0"/>
  </r>
  <r>
    <s v="Regular"/>
    <x v="0"/>
    <x v="0"/>
    <x v="1"/>
    <x v="0"/>
    <x v="0"/>
    <x v="0"/>
    <x v="1"/>
    <x v="9"/>
    <n v="21000"/>
    <n v="21000"/>
    <n v="0"/>
    <n v="0"/>
    <n v="0"/>
    <n v="0"/>
    <n v="0"/>
    <x v="2"/>
    <n v="0"/>
    <n v="1"/>
    <n v="0"/>
    <n v="0"/>
    <n v="9.4700000000000006"/>
    <n v="0"/>
    <n v="0"/>
    <n v="13.276513797445094"/>
    <n v="64.02247976433641"/>
    <m/>
    <n v="198870"/>
    <n v="0"/>
    <n v="0"/>
    <n v="278806.789746347"/>
    <n v="0"/>
    <n v="0"/>
  </r>
  <r>
    <s v="Regular"/>
    <x v="0"/>
    <x v="0"/>
    <x v="1"/>
    <x v="0"/>
    <x v="0"/>
    <x v="0"/>
    <x v="1"/>
    <x v="10"/>
    <n v="21000"/>
    <n v="21000"/>
    <n v="0"/>
    <n v="0"/>
    <n v="0"/>
    <n v="0"/>
    <n v="0"/>
    <x v="2"/>
    <n v="0"/>
    <n v="1"/>
    <n v="0"/>
    <n v="0"/>
    <n v="9.4700000000000006"/>
    <n v="0"/>
    <n v="0"/>
    <n v="13.276513797445094"/>
    <n v="64.02247976433641"/>
    <m/>
    <n v="198870"/>
    <n v="0"/>
    <n v="0"/>
    <n v="278806.789746347"/>
    <n v="0"/>
    <n v="0"/>
  </r>
  <r>
    <s v="PROJETADO"/>
    <x v="0"/>
    <x v="0"/>
    <x v="1"/>
    <x v="0"/>
    <x v="0"/>
    <x v="0"/>
    <x v="1"/>
    <x v="11"/>
    <n v="21000"/>
    <n v="21000"/>
    <n v="0"/>
    <n v="0"/>
    <n v="0"/>
    <n v="0"/>
    <n v="0"/>
    <x v="2"/>
    <n v="0"/>
    <n v="1"/>
    <n v="0"/>
    <n v="0"/>
    <n v="9.4700000000000006"/>
    <n v="0"/>
    <n v="0"/>
    <n v="13.276513797445094"/>
    <n v="64.02247976433641"/>
    <m/>
    <n v="198870"/>
    <n v="0"/>
    <n v="0"/>
    <n v="278806.789746347"/>
    <n v="0"/>
    <n v="0"/>
  </r>
  <r>
    <s v="Regular"/>
    <x v="0"/>
    <x v="0"/>
    <x v="2"/>
    <x v="1"/>
    <x v="0"/>
    <x v="0"/>
    <x v="0"/>
    <x v="0"/>
    <n v="18850"/>
    <n v="16022.5"/>
    <n v="8505.9789999999994"/>
    <n v="7485.2615199999991"/>
    <n v="8505.9789999999994"/>
    <n v="7485.2615199999991"/>
    <n v="0"/>
    <x v="0"/>
    <n v="0"/>
    <n v="2"/>
    <n v="3"/>
    <n v="78"/>
    <n v="5.4"/>
    <n v="62.65"/>
    <n v="256.38"/>
    <n v="8.2823716907665279"/>
    <n v="64.02247976433641"/>
    <n v="230.84299908458948"/>
    <n v="86521.5"/>
    <n v="468951.63422799995"/>
    <n v="1919071.3484975998"/>
    <n v="132704.3004153067"/>
    <n v="479225.00419496594"/>
    <n v="1727920.2182092727"/>
  </r>
  <r>
    <s v="Regular"/>
    <x v="0"/>
    <x v="0"/>
    <x v="2"/>
    <x v="1"/>
    <x v="0"/>
    <x v="0"/>
    <x v="0"/>
    <x v="1"/>
    <n v="18850"/>
    <n v="16022.5"/>
    <n v="8596.7639999999992"/>
    <n v="7565.1523199999992"/>
    <n v="8596.7639999999992"/>
    <n v="7565.1523199999992"/>
    <n v="0"/>
    <x v="0"/>
    <n v="0"/>
    <n v="2"/>
    <n v="3"/>
    <n v="78"/>
    <n v="5.4"/>
    <n v="62.65"/>
    <n v="256.38"/>
    <n v="8.2823716907665279"/>
    <n v="64.02247976433641"/>
    <n v="230.84299908458948"/>
    <n v="86521.5"/>
    <n v="473956.79284799995"/>
    <n v="1939553.7518015997"/>
    <n v="132704.3004153067"/>
    <n v="484339.81132132257"/>
    <n v="1746362.4500805398"/>
  </r>
  <r>
    <s v="Regular"/>
    <x v="0"/>
    <x v="0"/>
    <x v="2"/>
    <x v="1"/>
    <x v="0"/>
    <x v="0"/>
    <x v="0"/>
    <x v="2"/>
    <n v="18850"/>
    <n v="16022.5"/>
    <n v="8015.4359999999997"/>
    <n v="7053.5836799999997"/>
    <n v="8015.4359999999997"/>
    <n v="7053.5836799999997"/>
    <n v="0"/>
    <x v="0"/>
    <n v="0"/>
    <n v="2"/>
    <n v="3"/>
    <n v="78"/>
    <n v="5.4"/>
    <n v="62.65"/>
    <n v="256.38"/>
    <n v="8.2823716907665279"/>
    <n v="64.02247976433641"/>
    <n v="230.84299908458948"/>
    <n v="86521.5"/>
    <n v="441907.01755199995"/>
    <n v="1808397.7838784"/>
    <n v="132704.3004153067"/>
    <n v="451587.91841885354"/>
    <n v="1628270.4109853152"/>
  </r>
  <r>
    <s v="Regular"/>
    <x v="0"/>
    <x v="0"/>
    <x v="2"/>
    <x v="1"/>
    <x v="0"/>
    <x v="0"/>
    <x v="0"/>
    <x v="3"/>
    <n v="18850"/>
    <n v="16022.5"/>
    <n v="8228.0519999999997"/>
    <n v="7240.6857599999994"/>
    <n v="8228.0519999999997"/>
    <n v="7240.6857599999994"/>
    <n v="0"/>
    <x v="0"/>
    <n v="0"/>
    <n v="2"/>
    <n v="3"/>
    <n v="78"/>
    <n v="5.4"/>
    <n v="62.65"/>
    <n v="256.38"/>
    <n v="8.2823716907665279"/>
    <n v="64.02247976433641"/>
    <n v="230.84299908458948"/>
    <n v="86521.5"/>
    <n v="453628.96286399994"/>
    <n v="1856367.0151487999"/>
    <n v="132704.3004153067"/>
    <n v="463566.65754951874"/>
    <n v="1671461.61626748"/>
  </r>
  <r>
    <s v="Regular"/>
    <x v="0"/>
    <x v="0"/>
    <x v="2"/>
    <x v="1"/>
    <x v="0"/>
    <x v="0"/>
    <x v="0"/>
    <x v="4"/>
    <n v="18850"/>
    <n v="16022.5"/>
    <n v="8347.3130000000001"/>
    <n v="7345.63544"/>
    <n v="8347.3130000000001"/>
    <n v="7345.63544"/>
    <n v="0"/>
    <x v="0"/>
    <n v="0"/>
    <n v="2"/>
    <n v="3"/>
    <n v="78"/>
    <n v="5.4"/>
    <n v="62.65"/>
    <n v="256.38"/>
    <n v="8.2823716907665279"/>
    <n v="64.02247976433641"/>
    <n v="230.84299908458948"/>
    <n v="86521.5"/>
    <n v="460204.06031600002"/>
    <n v="1883274.0141072001"/>
    <n v="132704.3004153067"/>
    <n v="470285.79631359241"/>
    <n v="1695688.5151516481"/>
  </r>
  <r>
    <s v="Regular"/>
    <x v="0"/>
    <x v="0"/>
    <x v="2"/>
    <x v="1"/>
    <x v="0"/>
    <x v="0"/>
    <x v="0"/>
    <x v="5"/>
    <n v="18850"/>
    <n v="16022.5"/>
    <n v="7813.8"/>
    <n v="6876.1440000000002"/>
    <n v="7813.8"/>
    <n v="6876.1440000000002"/>
    <n v="0"/>
    <x v="0"/>
    <n v="0"/>
    <n v="2"/>
    <n v="3"/>
    <n v="78"/>
    <n v="5.4"/>
    <n v="62.65"/>
    <n v="256.38"/>
    <n v="8.2823716907665279"/>
    <n v="64.02247976433641"/>
    <n v="230.84299908458948"/>
    <n v="86521.5"/>
    <n v="430790.4216"/>
    <n v="1762905.7987200001"/>
    <n v="132704.3004153067"/>
    <n v="440227.79009666323"/>
    <n v="1587309.7030975055"/>
  </r>
  <r>
    <s v="Regular"/>
    <x v="0"/>
    <x v="0"/>
    <x v="2"/>
    <x v="1"/>
    <x v="0"/>
    <x v="0"/>
    <x v="0"/>
    <x v="6"/>
    <n v="18850"/>
    <n v="16022.5"/>
    <n v="8628.2279999999992"/>
    <n v="7592.8406399999994"/>
    <n v="8628.2279999999992"/>
    <n v="7592.8406399999994"/>
    <n v="0"/>
    <x v="0"/>
    <n v="0"/>
    <n v="2"/>
    <n v="3"/>
    <n v="78"/>
    <n v="5.4"/>
    <n v="62.65"/>
    <n v="256.38"/>
    <n v="8.2823716907665279"/>
    <n v="64.02247976433641"/>
    <n v="230.84299908458948"/>
    <n v="86521.5"/>
    <n v="475691.46609599993"/>
    <n v="1946652.4832831998"/>
    <n v="132704.3004153067"/>
    <n v="486112.48622823111"/>
    <n v="1752754.1049089537"/>
  </r>
  <r>
    <s v="Regular"/>
    <x v="0"/>
    <x v="0"/>
    <x v="2"/>
    <x v="1"/>
    <x v="0"/>
    <x v="0"/>
    <x v="0"/>
    <x v="7"/>
    <n v="18850"/>
    <n v="16022.5"/>
    <n v="8050.3339999999998"/>
    <n v="7084.2939200000001"/>
    <n v="8050.3339999999998"/>
    <n v="7084.2939200000001"/>
    <n v="0"/>
    <x v="0"/>
    <n v="0"/>
    <n v="2"/>
    <n v="3"/>
    <n v="78"/>
    <n v="5.4"/>
    <n v="62.65"/>
    <n v="256.38"/>
    <n v="8.2823716907665279"/>
    <n v="64.02247976433641"/>
    <n v="230.84299908458948"/>
    <n v="86521.5"/>
    <n v="443831.014088"/>
    <n v="1816271.2752095999"/>
    <n v="132704.3004153067"/>
    <n v="453554.06413781148"/>
    <n v="1635359.6548895228"/>
  </r>
  <r>
    <s v="Regular"/>
    <x v="0"/>
    <x v="0"/>
    <x v="2"/>
    <x v="1"/>
    <x v="0"/>
    <x v="0"/>
    <x v="0"/>
    <x v="8"/>
    <n v="18850"/>
    <n v="16022.5"/>
    <n v="8458.0339999999997"/>
    <n v="7443.0699199999999"/>
    <n v="8458.0339999999997"/>
    <n v="7443.0699199999999"/>
    <n v="0"/>
    <x v="0"/>
    <n v="0"/>
    <n v="2"/>
    <n v="3"/>
    <n v="78"/>
    <n v="5.4"/>
    <n v="62.65"/>
    <n v="256.38"/>
    <n v="8.2823716907665279"/>
    <n v="64.02247976433641"/>
    <n v="230.84299908458948"/>
    <n v="86521.5"/>
    <n v="466308.33048800001"/>
    <n v="1908254.2660896"/>
    <n v="132704.3004153067"/>
    <n v="476523.79333774099"/>
    <n v="1718180.5827290954"/>
  </r>
  <r>
    <s v="Regular"/>
    <x v="0"/>
    <x v="0"/>
    <x v="2"/>
    <x v="1"/>
    <x v="0"/>
    <x v="0"/>
    <x v="0"/>
    <x v="9"/>
    <n v="18850"/>
    <n v="16022.5"/>
    <n v="8418.7369999999992"/>
    <n v="7408.4885599999989"/>
    <n v="8418.7369999999992"/>
    <n v="7408.4885599999989"/>
    <n v="0"/>
    <x v="0"/>
    <n v="0"/>
    <n v="2"/>
    <n v="3"/>
    <n v="78"/>
    <n v="5.4"/>
    <n v="62.65"/>
    <n v="256.38"/>
    <n v="8.2823716907665279"/>
    <n v="64.02247976433641"/>
    <n v="230.84299908458948"/>
    <n v="86521.5"/>
    <n v="464141.80828399991"/>
    <n v="1899388.2970127997"/>
    <n v="132704.3004153067"/>
    <n v="474309.80891691771"/>
    <n v="1710197.7178742713"/>
  </r>
  <r>
    <s v="Regular"/>
    <x v="0"/>
    <x v="0"/>
    <x v="2"/>
    <x v="1"/>
    <x v="0"/>
    <x v="0"/>
    <x v="0"/>
    <x v="10"/>
    <n v="18850"/>
    <n v="16022.5"/>
    <n v="8998.4449999999997"/>
    <n v="7918.6315999999997"/>
    <n v="8998.4449999999997"/>
    <n v="7918.6315999999997"/>
    <n v="0"/>
    <x v="0"/>
    <n v="0"/>
    <n v="2"/>
    <n v="3"/>
    <n v="78"/>
    <n v="5.4"/>
    <n v="62.65"/>
    <n v="256.38"/>
    <n v="8.2823716907665279"/>
    <n v="64.02247976433641"/>
    <n v="230.84299908458948"/>
    <n v="86521.5"/>
    <n v="496102.26973999996"/>
    <n v="2030178.7696079998"/>
    <n v="132704.3004153067"/>
    <n v="506970.43137223483"/>
    <n v="1827960.6671900013"/>
  </r>
  <r>
    <s v="PROJETADO"/>
    <x v="0"/>
    <x v="0"/>
    <x v="2"/>
    <x v="1"/>
    <x v="0"/>
    <x v="0"/>
    <x v="0"/>
    <x v="11"/>
    <n v="18850"/>
    <n v="16022.5"/>
    <n v="8998.4449999999997"/>
    <n v="7918.6315999999997"/>
    <n v="8998.4449999999997"/>
    <n v="7918.6315999999997"/>
    <n v="0"/>
    <x v="0"/>
    <n v="0"/>
    <n v="2"/>
    <n v="3"/>
    <n v="78"/>
    <n v="5.4"/>
    <n v="62.65"/>
    <n v="256.38"/>
    <n v="8.2823716907665279"/>
    <n v="64.02247976433641"/>
    <n v="230.84299908458948"/>
    <n v="86521.5"/>
    <n v="496102.26973999996"/>
    <n v="2030178.7696079998"/>
    <n v="132704.3004153067"/>
    <n v="506970.43137223483"/>
    <n v="1827960.6671900013"/>
  </r>
  <r>
    <s v="Regular"/>
    <x v="0"/>
    <x v="0"/>
    <x v="2"/>
    <x v="1"/>
    <x v="0"/>
    <x v="0"/>
    <x v="1"/>
    <x v="0"/>
    <n v="8035"/>
    <n v="6829.75"/>
    <n v="522.92200000000003"/>
    <n v="460.17136000000005"/>
    <n v="522.92200000000003"/>
    <n v="460.17136000000005"/>
    <n v="0"/>
    <x v="0"/>
    <n v="0"/>
    <n v="1"/>
    <n v="3"/>
    <n v="77"/>
    <n v="9.4700000000000006"/>
    <n v="62.65"/>
    <n v="430.87"/>
    <n v="13.276513797445094"/>
    <n v="64.02247976433641"/>
    <n v="375.70671275609089"/>
    <n v="64677.732500000006"/>
    <n v="28829.735704000002"/>
    <n v="198274.03388320003"/>
    <n v="90675.270108100638"/>
    <n v="29461.311583727169"/>
    <n v="172889.46897009973"/>
  </r>
  <r>
    <s v="Regular"/>
    <x v="0"/>
    <x v="0"/>
    <x v="2"/>
    <x v="1"/>
    <x v="0"/>
    <x v="0"/>
    <x v="1"/>
    <x v="1"/>
    <n v="8006"/>
    <n v="6805.0999999999995"/>
    <n v="501.50900000000001"/>
    <n v="441.32792000000001"/>
    <n v="501.50900000000001"/>
    <n v="441.32792000000001"/>
    <n v="0"/>
    <x v="0"/>
    <n v="0"/>
    <n v="1"/>
    <n v="3"/>
    <n v="77"/>
    <n v="9.4700000000000006"/>
    <n v="62.65"/>
    <n v="430.87"/>
    <n v="13.276513797445094"/>
    <n v="64.02247976433641"/>
    <n v="375.70671275609089"/>
    <n v="64444.296999999999"/>
    <n v="27649.194188000001"/>
    <n v="190154.96089039999"/>
    <n v="90348.004042993605"/>
    <n v="28254.907827636678"/>
    <n v="165809.86207068307"/>
  </r>
  <r>
    <s v="Regular"/>
    <x v="0"/>
    <x v="0"/>
    <x v="2"/>
    <x v="1"/>
    <x v="0"/>
    <x v="0"/>
    <x v="1"/>
    <x v="2"/>
    <n v="8035"/>
    <n v="6829.75"/>
    <n v="498.63600000000002"/>
    <n v="438.79968000000002"/>
    <n v="498.63600000000002"/>
    <n v="438.79968000000002"/>
    <n v="0"/>
    <x v="0"/>
    <n v="0"/>
    <n v="1"/>
    <n v="3"/>
    <n v="77"/>
    <n v="9.4700000000000006"/>
    <n v="62.65"/>
    <n v="430.87"/>
    <n v="13.276513797445094"/>
    <n v="64.02247976433641"/>
    <n v="375.70671275609089"/>
    <n v="64677.732500000006"/>
    <n v="27490.799952000001"/>
    <n v="189065.61812160001"/>
    <n v="90675.270108100638"/>
    <n v="28093.043633397294"/>
    <n v="164859.9853312246"/>
  </r>
  <r>
    <s v="Regular"/>
    <x v="0"/>
    <x v="0"/>
    <x v="2"/>
    <x v="1"/>
    <x v="0"/>
    <x v="0"/>
    <x v="1"/>
    <x v="3"/>
    <n v="8035"/>
    <n v="6829.75"/>
    <n v="474.12700000000001"/>
    <n v="417.23176000000001"/>
    <n v="474.12700000000001"/>
    <n v="417.23176000000001"/>
    <n v="0"/>
    <x v="0"/>
    <n v="0"/>
    <n v="1"/>
    <n v="3"/>
    <n v="77"/>
    <n v="9.4700000000000006"/>
    <n v="62.65"/>
    <n v="430.87"/>
    <n v="13.276513797445094"/>
    <n v="64.02247976433641"/>
    <n v="375.70671275609089"/>
    <n v="64677.732500000006"/>
    <n v="26139.569764"/>
    <n v="179772.64843120001"/>
    <n v="90675.270108100638"/>
    <n v="26712.211911638467"/>
    <n v="156756.77300703825"/>
  </r>
  <r>
    <s v="Regular"/>
    <x v="0"/>
    <x v="0"/>
    <x v="2"/>
    <x v="1"/>
    <x v="0"/>
    <x v="0"/>
    <x v="1"/>
    <x v="4"/>
    <n v="8006"/>
    <n v="6805.0999999999995"/>
    <n v="525.01"/>
    <n v="462.00880000000001"/>
    <n v="525.01"/>
    <n v="462.00880000000001"/>
    <n v="0"/>
    <x v="0"/>
    <n v="0"/>
    <n v="1"/>
    <n v="3"/>
    <n v="77"/>
    <n v="9.4700000000000006"/>
    <n v="62.65"/>
    <n v="430.87"/>
    <n v="13.276513797445094"/>
    <n v="64.02247976433641"/>
    <n v="375.70671275609089"/>
    <n v="64444.296999999999"/>
    <n v="28944.851320000002"/>
    <n v="199065.73165600002"/>
    <n v="90348.004042993605"/>
    <n v="29578.949048945349"/>
    <n v="173579.80751238624"/>
  </r>
  <r>
    <s v="Regular"/>
    <x v="0"/>
    <x v="0"/>
    <x v="2"/>
    <x v="1"/>
    <x v="0"/>
    <x v="0"/>
    <x v="1"/>
    <x v="5"/>
    <n v="8006"/>
    <n v="6805.0999999999995"/>
    <n v="476.863"/>
    <n v="419.63943999999998"/>
    <n v="476.863"/>
    <n v="419.63943999999998"/>
    <n v="0"/>
    <x v="0"/>
    <n v="0"/>
    <n v="1"/>
    <n v="3"/>
    <n v="77"/>
    <n v="9.4700000000000006"/>
    <n v="62.65"/>
    <n v="430.87"/>
    <n v="13.276513797445094"/>
    <n v="64.02247976433641"/>
    <n v="375.70671275609089"/>
    <n v="64444.296999999999"/>
    <n v="26290.410915999997"/>
    <n v="180810.04551279999"/>
    <n v="90348.004042993605"/>
    <n v="26866.357555717463"/>
    <n v="157661.35454520682"/>
  </r>
  <r>
    <s v="Regular"/>
    <x v="0"/>
    <x v="0"/>
    <x v="2"/>
    <x v="1"/>
    <x v="0"/>
    <x v="0"/>
    <x v="1"/>
    <x v="6"/>
    <n v="8006"/>
    <n v="6805.0999999999995"/>
    <n v="501.44400000000002"/>
    <n v="441.27072000000004"/>
    <n v="501.44400000000002"/>
    <n v="441.27072000000004"/>
    <n v="0"/>
    <x v="0"/>
    <n v="0"/>
    <n v="1"/>
    <n v="3"/>
    <n v="77"/>
    <n v="9.4700000000000006"/>
    <n v="62.65"/>
    <n v="430.87"/>
    <n v="13.276513797445094"/>
    <n v="64.02247976433641"/>
    <n v="375.70671275609089"/>
    <n v="64444.296999999999"/>
    <n v="27645.610608000003"/>
    <n v="190130.31512640003"/>
    <n v="90348.004042993605"/>
    <n v="28251.245741794159"/>
    <n v="165788.37164671344"/>
  </r>
  <r>
    <s v="Regular"/>
    <x v="0"/>
    <x v="0"/>
    <x v="2"/>
    <x v="1"/>
    <x v="0"/>
    <x v="0"/>
    <x v="1"/>
    <x v="7"/>
    <n v="8006"/>
    <n v="6805.0999999999995"/>
    <n v="453.55700000000002"/>
    <n v="399.13015999999999"/>
    <n v="453.55700000000002"/>
    <n v="399.13015999999999"/>
    <n v="0"/>
    <x v="0"/>
    <n v="0"/>
    <n v="1"/>
    <n v="3"/>
    <n v="77"/>
    <n v="9.4700000000000006"/>
    <n v="62.65"/>
    <n v="430.87"/>
    <n v="13.276513797445094"/>
    <n v="64.02247976433641"/>
    <n v="375.70671275609089"/>
    <n v="64444.296999999999"/>
    <n v="25005.504524"/>
    <n v="171973.21203920001"/>
    <n v="90348.004042993605"/>
    <n v="25553.302591936354"/>
    <n v="149955.88037541258"/>
  </r>
  <r>
    <s v="Regular"/>
    <x v="0"/>
    <x v="0"/>
    <x v="2"/>
    <x v="1"/>
    <x v="0"/>
    <x v="0"/>
    <x v="1"/>
    <x v="8"/>
    <n v="8000"/>
    <n v="6800"/>
    <n v="524.23900000000003"/>
    <n v="461.33032000000003"/>
    <n v="524.23900000000003"/>
    <n v="461.33032000000003"/>
    <n v="0"/>
    <x v="0"/>
    <n v="0"/>
    <n v="1"/>
    <n v="3"/>
    <n v="77"/>
    <n v="9.4700000000000006"/>
    <n v="62.65"/>
    <n v="430.87"/>
    <n v="13.276513797445094"/>
    <n v="64.02247976433641"/>
    <n v="375.70671275609089"/>
    <n v="64396.000000000007"/>
    <n v="28902.344548000001"/>
    <n v="198773.39497840003"/>
    <n v="90280.293822626641"/>
    <n v="29535.511076874842"/>
    <n v="173324.89802191549"/>
  </r>
  <r>
    <s v="Regular"/>
    <x v="0"/>
    <x v="0"/>
    <x v="2"/>
    <x v="1"/>
    <x v="0"/>
    <x v="0"/>
    <x v="1"/>
    <x v="9"/>
    <n v="8006"/>
    <n v="6805.0999999999995"/>
    <n v="499.96100000000001"/>
    <n v="439.96568000000002"/>
    <n v="499.96100000000001"/>
    <n v="439.96568000000002"/>
    <n v="0"/>
    <x v="0"/>
    <n v="0"/>
    <n v="1"/>
    <n v="3"/>
    <n v="77"/>
    <n v="9.4700000000000006"/>
    <n v="62.65"/>
    <n v="430.87"/>
    <n v="13.276513797445094"/>
    <n v="64.02247976433641"/>
    <n v="375.70671275609089"/>
    <n v="64444.296999999999"/>
    <n v="27563.849851999999"/>
    <n v="189568.01254160001"/>
    <n v="90348.004042993605"/>
    <n v="28167.69384480251"/>
    <n v="165298.05935829823"/>
  </r>
  <r>
    <s v="Regular"/>
    <x v="0"/>
    <x v="0"/>
    <x v="2"/>
    <x v="1"/>
    <x v="0"/>
    <x v="0"/>
    <x v="1"/>
    <x v="10"/>
    <n v="8006"/>
    <n v="6805.0999999999995"/>
    <n v="520.99900000000002"/>
    <n v="458.47912000000002"/>
    <n v="520.99900000000002"/>
    <n v="458.47912000000002"/>
    <n v="0"/>
    <x v="0"/>
    <n v="0"/>
    <n v="1"/>
    <n v="3"/>
    <n v="77"/>
    <n v="9.4700000000000006"/>
    <n v="62.65"/>
    <n v="430.87"/>
    <n v="13.276513797445094"/>
    <n v="64.02247976433641"/>
    <n v="375.70671275609089"/>
    <n v="64444.296999999999"/>
    <n v="28723.716868"/>
    <n v="197544.89843440001"/>
    <n v="90348.004042993605"/>
    <n v="29352.970182570767"/>
    <n v="172253.68304250535"/>
  </r>
  <r>
    <s v="PROJETADO"/>
    <x v="0"/>
    <x v="0"/>
    <x v="2"/>
    <x v="1"/>
    <x v="0"/>
    <x v="0"/>
    <x v="1"/>
    <x v="11"/>
    <n v="8006"/>
    <n v="6805.0999999999995"/>
    <n v="520.99900000000002"/>
    <n v="458.47912000000002"/>
    <n v="520.99900000000002"/>
    <n v="458.47912000000002"/>
    <n v="0"/>
    <x v="0"/>
    <n v="0"/>
    <n v="1"/>
    <n v="3"/>
    <n v="77"/>
    <n v="9.4700000000000006"/>
    <n v="62.65"/>
    <n v="430.87"/>
    <n v="13.276513797445094"/>
    <n v="64.02247976433641"/>
    <n v="375.70671275609089"/>
    <n v="64444.296999999999"/>
    <n v="28723.716868"/>
    <n v="197544.89843440001"/>
    <n v="90348.004042993605"/>
    <n v="29352.970182570767"/>
    <n v="172253.68304250535"/>
  </r>
  <r>
    <s v="Regular"/>
    <x v="0"/>
    <x v="1"/>
    <x v="3"/>
    <x v="0"/>
    <x v="0"/>
    <x v="1"/>
    <x v="0"/>
    <x v="0"/>
    <n v="62639"/>
    <n v="62639"/>
    <n v="0"/>
    <n v="0"/>
    <n v="0"/>
    <n v="0"/>
    <n v="0"/>
    <x v="3"/>
    <n v="6072"/>
    <n v="6"/>
    <n v="0"/>
    <n v="0"/>
    <n v="5.4"/>
    <n v="0"/>
    <n v="0"/>
    <n v="8.2823716907665279"/>
    <n v="4.2695390151495172"/>
    <m/>
    <n v="338250.60000000003"/>
    <n v="0"/>
    <n v="0"/>
    <n v="518799.48033792456"/>
    <n v="0"/>
    <n v="0"/>
  </r>
  <r>
    <s v="Regular"/>
    <x v="0"/>
    <x v="1"/>
    <x v="3"/>
    <x v="0"/>
    <x v="0"/>
    <x v="1"/>
    <x v="0"/>
    <x v="1"/>
    <n v="62639"/>
    <n v="62639"/>
    <n v="0"/>
    <n v="0"/>
    <n v="0"/>
    <n v="0"/>
    <n v="0"/>
    <x v="3"/>
    <n v="6072"/>
    <n v="6"/>
    <n v="0"/>
    <n v="0"/>
    <n v="5.4"/>
    <n v="0"/>
    <n v="0"/>
    <n v="8.2823716907665279"/>
    <n v="4.2695390151495172"/>
    <m/>
    <n v="338250.60000000003"/>
    <n v="0"/>
    <n v="0"/>
    <n v="518799.48033792456"/>
    <n v="0"/>
    <n v="0"/>
  </r>
  <r>
    <s v="Regular"/>
    <x v="0"/>
    <x v="1"/>
    <x v="3"/>
    <x v="0"/>
    <x v="0"/>
    <x v="1"/>
    <x v="0"/>
    <x v="2"/>
    <n v="62639"/>
    <n v="62639"/>
    <n v="0"/>
    <n v="0"/>
    <n v="0"/>
    <n v="0"/>
    <n v="0"/>
    <x v="3"/>
    <n v="6072"/>
    <n v="6"/>
    <n v="0"/>
    <n v="0"/>
    <n v="5.4"/>
    <n v="0"/>
    <n v="0"/>
    <n v="8.2823716907665279"/>
    <n v="4.2695390151495172"/>
    <m/>
    <n v="338250.60000000003"/>
    <n v="0"/>
    <n v="0"/>
    <n v="518799.48033792456"/>
    <n v="0"/>
    <n v="0"/>
  </r>
  <r>
    <s v="Regular"/>
    <x v="0"/>
    <x v="1"/>
    <x v="3"/>
    <x v="0"/>
    <x v="0"/>
    <x v="1"/>
    <x v="0"/>
    <x v="3"/>
    <n v="62639"/>
    <n v="62639"/>
    <n v="0"/>
    <n v="0"/>
    <n v="0"/>
    <n v="0"/>
    <n v="0"/>
    <x v="3"/>
    <n v="6072"/>
    <n v="6"/>
    <n v="0"/>
    <n v="0"/>
    <n v="5.4"/>
    <n v="0"/>
    <n v="0"/>
    <n v="8.2823716907665279"/>
    <n v="4.2695390151495172"/>
    <m/>
    <n v="338250.60000000003"/>
    <n v="0"/>
    <n v="0"/>
    <n v="518799.48033792456"/>
    <n v="0"/>
    <n v="0"/>
  </r>
  <r>
    <s v="Regular"/>
    <x v="0"/>
    <x v="1"/>
    <x v="3"/>
    <x v="0"/>
    <x v="0"/>
    <x v="1"/>
    <x v="0"/>
    <x v="4"/>
    <n v="62639"/>
    <n v="62639"/>
    <n v="0"/>
    <n v="0"/>
    <n v="0"/>
    <n v="0"/>
    <n v="0"/>
    <x v="3"/>
    <n v="6072"/>
    <n v="6"/>
    <n v="0"/>
    <n v="0"/>
    <n v="5.4"/>
    <n v="0"/>
    <n v="0"/>
    <n v="8.2823716907665279"/>
    <n v="4.2695390151495172"/>
    <m/>
    <n v="338250.60000000003"/>
    <n v="0"/>
    <n v="0"/>
    <n v="518799.48033792456"/>
    <n v="0"/>
    <n v="0"/>
  </r>
  <r>
    <s v="Regular"/>
    <x v="0"/>
    <x v="1"/>
    <x v="3"/>
    <x v="0"/>
    <x v="0"/>
    <x v="1"/>
    <x v="0"/>
    <x v="5"/>
    <n v="62639"/>
    <n v="62639"/>
    <n v="0"/>
    <n v="0"/>
    <n v="0"/>
    <n v="0"/>
    <n v="0"/>
    <x v="3"/>
    <n v="6072"/>
    <n v="6"/>
    <n v="0"/>
    <n v="0"/>
    <n v="5.4"/>
    <n v="0"/>
    <n v="0"/>
    <n v="8.2823716907665279"/>
    <n v="4.2695390151495172"/>
    <m/>
    <n v="338250.60000000003"/>
    <n v="0"/>
    <n v="0"/>
    <n v="518799.48033792456"/>
    <n v="0"/>
    <n v="0"/>
  </r>
  <r>
    <s v="Regular"/>
    <x v="0"/>
    <x v="1"/>
    <x v="3"/>
    <x v="0"/>
    <x v="0"/>
    <x v="1"/>
    <x v="0"/>
    <x v="6"/>
    <n v="62639"/>
    <n v="62639"/>
    <n v="0"/>
    <n v="0"/>
    <n v="0"/>
    <n v="0"/>
    <n v="0"/>
    <x v="3"/>
    <n v="6072"/>
    <n v="6"/>
    <n v="0"/>
    <n v="0"/>
    <n v="5.4"/>
    <n v="0"/>
    <n v="0"/>
    <n v="8.2823716907665279"/>
    <n v="4.2695390151495172"/>
    <m/>
    <n v="338250.60000000003"/>
    <n v="0"/>
    <n v="0"/>
    <n v="518799.48033792456"/>
    <n v="0"/>
    <n v="0"/>
  </r>
  <r>
    <s v="Regular"/>
    <x v="0"/>
    <x v="1"/>
    <x v="3"/>
    <x v="0"/>
    <x v="0"/>
    <x v="1"/>
    <x v="0"/>
    <x v="7"/>
    <n v="62639"/>
    <n v="62639"/>
    <n v="0"/>
    <n v="0"/>
    <n v="0"/>
    <n v="0"/>
    <n v="0"/>
    <x v="3"/>
    <n v="6072"/>
    <n v="6"/>
    <n v="0"/>
    <n v="0"/>
    <n v="5.4"/>
    <n v="0"/>
    <n v="0"/>
    <n v="8.2823716907665279"/>
    <n v="4.2695390151495172"/>
    <m/>
    <n v="338250.60000000003"/>
    <n v="0"/>
    <n v="0"/>
    <n v="518799.48033792456"/>
    <n v="0"/>
    <n v="0"/>
  </r>
  <r>
    <s v="Regular"/>
    <x v="0"/>
    <x v="1"/>
    <x v="3"/>
    <x v="0"/>
    <x v="0"/>
    <x v="1"/>
    <x v="0"/>
    <x v="8"/>
    <n v="62639"/>
    <n v="62639"/>
    <n v="0"/>
    <n v="0"/>
    <n v="0"/>
    <n v="0"/>
    <n v="0"/>
    <x v="3"/>
    <n v="6072"/>
    <n v="6"/>
    <n v="0"/>
    <n v="0"/>
    <n v="5.4"/>
    <n v="0"/>
    <n v="0"/>
    <n v="8.2823716907665279"/>
    <n v="4.2695390151495172"/>
    <m/>
    <n v="338250.60000000003"/>
    <n v="0"/>
    <n v="0"/>
    <n v="518799.48033792456"/>
    <n v="0"/>
    <n v="0"/>
  </r>
  <r>
    <s v="Regular"/>
    <x v="0"/>
    <x v="1"/>
    <x v="3"/>
    <x v="0"/>
    <x v="0"/>
    <x v="1"/>
    <x v="0"/>
    <x v="9"/>
    <n v="62639"/>
    <n v="62639"/>
    <n v="0"/>
    <n v="0"/>
    <n v="0"/>
    <n v="0"/>
    <n v="0"/>
    <x v="3"/>
    <n v="6072"/>
    <n v="6"/>
    <n v="0"/>
    <n v="0"/>
    <n v="5.4"/>
    <n v="0"/>
    <n v="0"/>
    <n v="8.2823716907665279"/>
    <n v="4.2695390151495172"/>
    <m/>
    <n v="338250.60000000003"/>
    <n v="0"/>
    <n v="0"/>
    <n v="518799.48033792456"/>
    <n v="0"/>
    <n v="0"/>
  </r>
  <r>
    <s v="Regular"/>
    <x v="0"/>
    <x v="1"/>
    <x v="3"/>
    <x v="0"/>
    <x v="0"/>
    <x v="1"/>
    <x v="0"/>
    <x v="10"/>
    <n v="62639"/>
    <n v="62639"/>
    <n v="0"/>
    <n v="0"/>
    <n v="0"/>
    <n v="0"/>
    <n v="0"/>
    <x v="3"/>
    <n v="6072"/>
    <n v="6"/>
    <n v="0"/>
    <n v="0"/>
    <n v="5.4"/>
    <n v="0"/>
    <n v="0"/>
    <n v="8.2823716907665279"/>
    <n v="4.2695390151495172"/>
    <m/>
    <n v="338250.60000000003"/>
    <n v="0"/>
    <n v="0"/>
    <n v="518799.48033792456"/>
    <n v="0"/>
    <n v="0"/>
  </r>
  <r>
    <s v="PROJETADO"/>
    <x v="0"/>
    <x v="1"/>
    <x v="3"/>
    <x v="0"/>
    <x v="0"/>
    <x v="1"/>
    <x v="0"/>
    <x v="11"/>
    <n v="62639"/>
    <n v="62639"/>
    <n v="0"/>
    <n v="0"/>
    <n v="0"/>
    <n v="0"/>
    <n v="0"/>
    <x v="3"/>
    <n v="6072"/>
    <n v="6"/>
    <n v="0"/>
    <n v="0"/>
    <n v="5.4"/>
    <n v="0"/>
    <n v="0"/>
    <n v="8.2823716907665279"/>
    <n v="4.2695390151495172"/>
    <m/>
    <n v="338250.60000000003"/>
    <n v="0"/>
    <n v="0"/>
    <n v="518799.48033792456"/>
    <n v="0"/>
    <n v="0"/>
  </r>
  <r>
    <s v="Regular"/>
    <x v="0"/>
    <x v="1"/>
    <x v="3"/>
    <x v="0"/>
    <x v="0"/>
    <x v="1"/>
    <x v="2"/>
    <x v="0"/>
    <n v="0"/>
    <n v="0"/>
    <n v="32074.902999999998"/>
    <n v="32074.902999999998"/>
    <n v="0"/>
    <n v="0"/>
    <n v="0"/>
    <x v="3"/>
    <n v="6072"/>
    <n v="0"/>
    <n v="7"/>
    <n v="0"/>
    <n v="0"/>
    <n v="5.14"/>
    <n v="0"/>
    <n v="17.841461624926996"/>
    <n v="4.2695390151495172"/>
    <m/>
    <n v="0"/>
    <n v="164865.00141999999"/>
    <n v="0"/>
    <n v="0"/>
    <n v="136945.0497656363"/>
    <n v="0"/>
  </r>
  <r>
    <s v="Regular"/>
    <x v="0"/>
    <x v="1"/>
    <x v="3"/>
    <x v="0"/>
    <x v="0"/>
    <x v="1"/>
    <x v="2"/>
    <x v="1"/>
    <n v="0"/>
    <n v="0"/>
    <n v="32074.902999999998"/>
    <n v="32074.902999999998"/>
    <n v="0"/>
    <n v="0"/>
    <n v="0"/>
    <x v="3"/>
    <n v="6072"/>
    <n v="0"/>
    <n v="7"/>
    <n v="0"/>
    <n v="0"/>
    <n v="5.14"/>
    <n v="0"/>
    <n v="17.841461624926996"/>
    <n v="4.2695390151495172"/>
    <m/>
    <n v="0"/>
    <n v="164865.00141999999"/>
    <n v="0"/>
    <n v="0"/>
    <n v="136945.0497656363"/>
    <n v="0"/>
  </r>
  <r>
    <s v="Regular"/>
    <x v="0"/>
    <x v="1"/>
    <x v="3"/>
    <x v="0"/>
    <x v="0"/>
    <x v="1"/>
    <x v="2"/>
    <x v="2"/>
    <n v="0"/>
    <n v="0"/>
    <n v="20864.804"/>
    <n v="20864.804"/>
    <n v="0"/>
    <n v="0"/>
    <n v="0"/>
    <x v="3"/>
    <n v="6072"/>
    <n v="0"/>
    <n v="7"/>
    <n v="0"/>
    <n v="0"/>
    <n v="5.14"/>
    <n v="0"/>
    <n v="17.841461624926996"/>
    <n v="4.2695390151495172"/>
    <m/>
    <n v="0"/>
    <n v="107245.09255999999"/>
    <n v="0"/>
    <n v="0"/>
    <n v="89083.094721447706"/>
    <n v="0"/>
  </r>
  <r>
    <s v="Regular"/>
    <x v="0"/>
    <x v="1"/>
    <x v="3"/>
    <x v="0"/>
    <x v="0"/>
    <x v="1"/>
    <x v="2"/>
    <x v="3"/>
    <n v="0"/>
    <n v="0"/>
    <n v="14886.808000000001"/>
    <n v="14886.808000000001"/>
    <n v="0"/>
    <n v="0"/>
    <n v="0"/>
    <x v="3"/>
    <n v="6072"/>
    <n v="0"/>
    <n v="7"/>
    <n v="0"/>
    <n v="0"/>
    <n v="5.14"/>
    <n v="0"/>
    <n v="17.841461624926996"/>
    <n v="4.2695390151495172"/>
    <m/>
    <n v="0"/>
    <n v="76518.193119999996"/>
    <n v="0"/>
    <n v="0"/>
    <n v="63559.807567039956"/>
    <n v="0"/>
  </r>
  <r>
    <s v="Regular"/>
    <x v="0"/>
    <x v="1"/>
    <x v="3"/>
    <x v="0"/>
    <x v="0"/>
    <x v="1"/>
    <x v="2"/>
    <x v="4"/>
    <n v="0"/>
    <n v="0"/>
    <n v="8386.4240000000009"/>
    <n v="8386.4240000000009"/>
    <n v="0"/>
    <n v="0"/>
    <n v="0"/>
    <x v="3"/>
    <n v="6072"/>
    <n v="0"/>
    <n v="7"/>
    <n v="0"/>
    <n v="0"/>
    <n v="5.14"/>
    <n v="0"/>
    <n v="17.841461624926996"/>
    <n v="4.2695390151495172"/>
    <m/>
    <n v="0"/>
    <n v="43106.219360000003"/>
    <n v="0"/>
    <n v="0"/>
    <n v="35806.164465586276"/>
    <n v="0"/>
  </r>
  <r>
    <s v="Regular"/>
    <x v="0"/>
    <x v="1"/>
    <x v="3"/>
    <x v="0"/>
    <x v="0"/>
    <x v="1"/>
    <x v="2"/>
    <x v="5"/>
    <n v="0"/>
    <n v="0"/>
    <n v="3540.107"/>
    <n v="3540.107"/>
    <n v="0"/>
    <n v="0"/>
    <n v="0"/>
    <x v="3"/>
    <n v="6072"/>
    <n v="0"/>
    <n v="7"/>
    <n v="0"/>
    <n v="0"/>
    <n v="5.14"/>
    <n v="0"/>
    <n v="17.841461624926996"/>
    <n v="4.2695390151495172"/>
    <m/>
    <n v="0"/>
    <n v="18196.149979999998"/>
    <n v="0"/>
    <n v="0"/>
    <n v="15114.624954303912"/>
    <n v="0"/>
  </r>
  <r>
    <s v="Regular"/>
    <x v="0"/>
    <x v="1"/>
    <x v="3"/>
    <x v="0"/>
    <x v="0"/>
    <x v="1"/>
    <x v="2"/>
    <x v="6"/>
    <n v="0"/>
    <n v="0"/>
    <n v="6109.6610000000001"/>
    <n v="6109.6610000000001"/>
    <n v="0"/>
    <n v="0"/>
    <n v="0"/>
    <x v="3"/>
    <n v="6072"/>
    <n v="0"/>
    <n v="7"/>
    <n v="0"/>
    <n v="0"/>
    <n v="5.14"/>
    <n v="0"/>
    <n v="17.841461624926996"/>
    <n v="4.2695390151495172"/>
    <m/>
    <n v="0"/>
    <n v="31403.65754"/>
    <n v="0"/>
    <n v="0"/>
    <n v="26085.436008837416"/>
    <n v="0"/>
  </r>
  <r>
    <s v="Regular"/>
    <x v="0"/>
    <x v="1"/>
    <x v="3"/>
    <x v="0"/>
    <x v="0"/>
    <x v="1"/>
    <x v="2"/>
    <x v="7"/>
    <n v="0"/>
    <n v="0"/>
    <n v="6109.6610000000001"/>
    <n v="6109.6610000000001"/>
    <n v="0"/>
    <n v="0"/>
    <n v="0"/>
    <x v="3"/>
    <n v="6072"/>
    <n v="0"/>
    <n v="7"/>
    <n v="0"/>
    <n v="0"/>
    <n v="5.14"/>
    <n v="0"/>
    <n v="17.841461624926996"/>
    <n v="4.2695390151495172"/>
    <m/>
    <n v="0"/>
    <n v="31403.65754"/>
    <n v="0"/>
    <n v="0"/>
    <n v="26085.436008837416"/>
    <n v="0"/>
  </r>
  <r>
    <s v="Regular"/>
    <x v="0"/>
    <x v="1"/>
    <x v="3"/>
    <x v="0"/>
    <x v="0"/>
    <x v="1"/>
    <x v="2"/>
    <x v="8"/>
    <n v="0"/>
    <n v="0"/>
    <n v="6109.6610000000001"/>
    <n v="6109.6610000000001"/>
    <n v="0"/>
    <n v="0"/>
    <n v="0"/>
    <x v="3"/>
    <n v="6072"/>
    <n v="0"/>
    <n v="7"/>
    <n v="0"/>
    <n v="0"/>
    <n v="5.14"/>
    <n v="0"/>
    <n v="17.841461624926996"/>
    <n v="4.2695390151495172"/>
    <m/>
    <n v="0"/>
    <n v="31403.65754"/>
    <n v="0"/>
    <n v="0"/>
    <n v="26085.436008837416"/>
    <n v="0"/>
  </r>
  <r>
    <s v="Regular"/>
    <x v="0"/>
    <x v="1"/>
    <x v="3"/>
    <x v="0"/>
    <x v="0"/>
    <x v="1"/>
    <x v="2"/>
    <x v="9"/>
    <n v="0"/>
    <n v="0"/>
    <n v="30352.023000000001"/>
    <n v="30352.023000000001"/>
    <n v="0"/>
    <n v="0"/>
    <n v="0"/>
    <x v="3"/>
    <n v="6072"/>
    <n v="0"/>
    <n v="7"/>
    <n v="0"/>
    <n v="0"/>
    <n v="5.14"/>
    <n v="0"/>
    <n v="17.841461624926996"/>
    <n v="4.2695390151495172"/>
    <m/>
    <n v="0"/>
    <n v="156009.39822"/>
    <n v="0"/>
    <n v="0"/>
    <n v="129589.1463872155"/>
    <n v="0"/>
  </r>
  <r>
    <s v="Regular"/>
    <x v="0"/>
    <x v="1"/>
    <x v="3"/>
    <x v="0"/>
    <x v="0"/>
    <x v="1"/>
    <x v="2"/>
    <x v="10"/>
    <n v="0"/>
    <n v="0"/>
    <n v="6109.6610000000001"/>
    <n v="6109.6610000000001"/>
    <n v="0"/>
    <n v="0"/>
    <n v="0"/>
    <x v="3"/>
    <n v="6072"/>
    <n v="0"/>
    <n v="7"/>
    <n v="0"/>
    <n v="0"/>
    <n v="5.14"/>
    <n v="0"/>
    <n v="17.841461624926996"/>
    <n v="4.2695390151495172"/>
    <m/>
    <n v="0"/>
    <n v="31403.65754"/>
    <n v="0"/>
    <n v="0"/>
    <n v="26085.436008837416"/>
    <n v="0"/>
  </r>
  <r>
    <s v="PROJETADO"/>
    <x v="0"/>
    <x v="1"/>
    <x v="3"/>
    <x v="0"/>
    <x v="0"/>
    <x v="1"/>
    <x v="2"/>
    <x v="11"/>
    <n v="0"/>
    <n v="0"/>
    <n v="6109.6610000000001"/>
    <n v="6109.6610000000001"/>
    <n v="0"/>
    <n v="0"/>
    <n v="0"/>
    <x v="3"/>
    <n v="6072"/>
    <n v="0"/>
    <n v="7"/>
    <n v="0"/>
    <n v="0"/>
    <n v="5.14"/>
    <n v="0"/>
    <n v="17.841461624926996"/>
    <n v="4.2695390151495172"/>
    <m/>
    <n v="0"/>
    <n v="31403.65754"/>
    <n v="0"/>
    <n v="0"/>
    <n v="26085.436008837416"/>
    <n v="0"/>
  </r>
  <r>
    <s v="Regular"/>
    <x v="0"/>
    <x v="1"/>
    <x v="3"/>
    <x v="0"/>
    <x v="0"/>
    <x v="1"/>
    <x v="1"/>
    <x v="0"/>
    <n v="54000"/>
    <n v="54000"/>
    <n v="0"/>
    <n v="0"/>
    <n v="0"/>
    <n v="0"/>
    <n v="0"/>
    <x v="3"/>
    <n v="6072"/>
    <n v="5"/>
    <n v="0"/>
    <n v="0"/>
    <n v="9.4700000000000006"/>
    <n v="0"/>
    <n v="0"/>
    <n v="13.276513797445094"/>
    <n v="4.2695390151495172"/>
    <m/>
    <n v="511380.00000000006"/>
    <n v="0"/>
    <n v="0"/>
    <n v="716931.74506203504"/>
    <n v="0"/>
    <n v="0"/>
  </r>
  <r>
    <s v="Regular"/>
    <x v="0"/>
    <x v="1"/>
    <x v="3"/>
    <x v="0"/>
    <x v="0"/>
    <x v="1"/>
    <x v="1"/>
    <x v="1"/>
    <n v="54000"/>
    <n v="54000"/>
    <n v="0"/>
    <n v="0"/>
    <n v="0"/>
    <n v="0"/>
    <n v="0"/>
    <x v="3"/>
    <n v="6072"/>
    <n v="5"/>
    <n v="0"/>
    <n v="0"/>
    <n v="9.4700000000000006"/>
    <n v="0"/>
    <n v="0"/>
    <n v="13.276513797445094"/>
    <n v="4.2695390151495172"/>
    <m/>
    <n v="511380.00000000006"/>
    <n v="0"/>
    <n v="0"/>
    <n v="716931.74506203504"/>
    <n v="0"/>
    <n v="0"/>
  </r>
  <r>
    <s v="Regular"/>
    <x v="0"/>
    <x v="1"/>
    <x v="3"/>
    <x v="0"/>
    <x v="0"/>
    <x v="1"/>
    <x v="1"/>
    <x v="2"/>
    <n v="54000"/>
    <n v="54000"/>
    <n v="0"/>
    <n v="0"/>
    <n v="0"/>
    <n v="0"/>
    <n v="0"/>
    <x v="3"/>
    <n v="6072"/>
    <n v="5"/>
    <n v="0"/>
    <n v="0"/>
    <n v="9.4700000000000006"/>
    <n v="0"/>
    <n v="0"/>
    <n v="13.276513797445094"/>
    <n v="4.2695390151495172"/>
    <m/>
    <n v="511380.00000000006"/>
    <n v="0"/>
    <n v="0"/>
    <n v="716931.74506203504"/>
    <n v="0"/>
    <n v="0"/>
  </r>
  <r>
    <s v="Regular"/>
    <x v="0"/>
    <x v="1"/>
    <x v="3"/>
    <x v="0"/>
    <x v="0"/>
    <x v="1"/>
    <x v="1"/>
    <x v="3"/>
    <n v="54000"/>
    <n v="54000"/>
    <n v="0"/>
    <n v="0"/>
    <n v="0"/>
    <n v="0"/>
    <n v="0"/>
    <x v="3"/>
    <n v="6072"/>
    <n v="5"/>
    <n v="0"/>
    <n v="0"/>
    <n v="9.4700000000000006"/>
    <n v="0"/>
    <n v="0"/>
    <n v="13.276513797445094"/>
    <n v="4.2695390151495172"/>
    <m/>
    <n v="511380.00000000006"/>
    <n v="0"/>
    <n v="0"/>
    <n v="716931.74506203504"/>
    <n v="0"/>
    <n v="0"/>
  </r>
  <r>
    <s v="Regular"/>
    <x v="0"/>
    <x v="1"/>
    <x v="3"/>
    <x v="0"/>
    <x v="0"/>
    <x v="1"/>
    <x v="1"/>
    <x v="4"/>
    <n v="54000"/>
    <n v="54000"/>
    <n v="0"/>
    <n v="0"/>
    <n v="0"/>
    <n v="0"/>
    <n v="0"/>
    <x v="3"/>
    <n v="6072"/>
    <n v="5"/>
    <n v="0"/>
    <n v="0"/>
    <n v="9.4700000000000006"/>
    <n v="0"/>
    <n v="0"/>
    <n v="13.276513797445094"/>
    <n v="4.2695390151495172"/>
    <m/>
    <n v="511380.00000000006"/>
    <n v="0"/>
    <n v="0"/>
    <n v="716931.74506203504"/>
    <n v="0"/>
    <n v="0"/>
  </r>
  <r>
    <s v="Regular"/>
    <x v="0"/>
    <x v="1"/>
    <x v="3"/>
    <x v="0"/>
    <x v="0"/>
    <x v="1"/>
    <x v="1"/>
    <x v="5"/>
    <n v="54000"/>
    <n v="54000"/>
    <n v="0"/>
    <n v="0"/>
    <n v="0"/>
    <n v="0"/>
    <n v="0"/>
    <x v="3"/>
    <n v="6072"/>
    <n v="5"/>
    <n v="0"/>
    <n v="0"/>
    <n v="9.4700000000000006"/>
    <n v="0"/>
    <n v="0"/>
    <n v="13.276513797445094"/>
    <n v="4.2695390151495172"/>
    <m/>
    <n v="511380.00000000006"/>
    <n v="0"/>
    <n v="0"/>
    <n v="716931.74506203504"/>
    <n v="0"/>
    <n v="0"/>
  </r>
  <r>
    <s v="Regular"/>
    <x v="0"/>
    <x v="1"/>
    <x v="3"/>
    <x v="0"/>
    <x v="0"/>
    <x v="1"/>
    <x v="1"/>
    <x v="6"/>
    <n v="54000"/>
    <n v="54000"/>
    <n v="0"/>
    <n v="0"/>
    <n v="0"/>
    <n v="0"/>
    <n v="0"/>
    <x v="3"/>
    <n v="6072"/>
    <n v="5"/>
    <n v="0"/>
    <n v="0"/>
    <n v="9.4700000000000006"/>
    <n v="0"/>
    <n v="0"/>
    <n v="13.276513797445094"/>
    <n v="4.2695390151495172"/>
    <m/>
    <n v="511380.00000000006"/>
    <n v="0"/>
    <n v="0"/>
    <n v="716931.74506203504"/>
    <n v="0"/>
    <n v="0"/>
  </r>
  <r>
    <s v="Regular"/>
    <x v="0"/>
    <x v="1"/>
    <x v="3"/>
    <x v="0"/>
    <x v="0"/>
    <x v="1"/>
    <x v="1"/>
    <x v="7"/>
    <n v="54000"/>
    <n v="54000"/>
    <n v="0"/>
    <n v="0"/>
    <n v="0"/>
    <n v="0"/>
    <n v="0"/>
    <x v="3"/>
    <n v="6072"/>
    <n v="5"/>
    <n v="0"/>
    <n v="0"/>
    <n v="9.4700000000000006"/>
    <n v="0"/>
    <n v="0"/>
    <n v="13.276513797445094"/>
    <n v="4.2695390151495172"/>
    <m/>
    <n v="511380.00000000006"/>
    <n v="0"/>
    <n v="0"/>
    <n v="716931.74506203504"/>
    <n v="0"/>
    <n v="0"/>
  </r>
  <r>
    <s v="Regular"/>
    <x v="0"/>
    <x v="1"/>
    <x v="3"/>
    <x v="0"/>
    <x v="0"/>
    <x v="1"/>
    <x v="1"/>
    <x v="8"/>
    <n v="54000"/>
    <n v="54000"/>
    <n v="0"/>
    <n v="0"/>
    <n v="0"/>
    <n v="0"/>
    <n v="0"/>
    <x v="3"/>
    <n v="6072"/>
    <n v="5"/>
    <n v="0"/>
    <n v="0"/>
    <n v="9.4700000000000006"/>
    <n v="0"/>
    <n v="0"/>
    <n v="13.276513797445094"/>
    <n v="4.2695390151495172"/>
    <m/>
    <n v="511380.00000000006"/>
    <n v="0"/>
    <n v="0"/>
    <n v="716931.74506203504"/>
    <n v="0"/>
    <n v="0"/>
  </r>
  <r>
    <s v="Regular"/>
    <x v="0"/>
    <x v="1"/>
    <x v="3"/>
    <x v="0"/>
    <x v="0"/>
    <x v="1"/>
    <x v="1"/>
    <x v="9"/>
    <n v="54000"/>
    <n v="54000"/>
    <n v="0"/>
    <n v="0"/>
    <n v="0"/>
    <n v="0"/>
    <n v="0"/>
    <x v="3"/>
    <n v="6072"/>
    <n v="5"/>
    <n v="0"/>
    <n v="0"/>
    <n v="9.4700000000000006"/>
    <n v="0"/>
    <n v="0"/>
    <n v="13.276513797445094"/>
    <n v="4.2695390151495172"/>
    <m/>
    <n v="511380.00000000006"/>
    <n v="0"/>
    <n v="0"/>
    <n v="716931.74506203504"/>
    <n v="0"/>
    <n v="0"/>
  </r>
  <r>
    <s v="Regular"/>
    <x v="0"/>
    <x v="1"/>
    <x v="3"/>
    <x v="0"/>
    <x v="0"/>
    <x v="1"/>
    <x v="1"/>
    <x v="10"/>
    <n v="54000"/>
    <n v="54000"/>
    <n v="0"/>
    <n v="0"/>
    <n v="0"/>
    <n v="0"/>
    <n v="0"/>
    <x v="3"/>
    <n v="6072"/>
    <n v="5"/>
    <n v="0"/>
    <n v="0"/>
    <n v="9.4700000000000006"/>
    <n v="0"/>
    <n v="0"/>
    <n v="13.276513797445094"/>
    <n v="4.2695390151495172"/>
    <m/>
    <n v="511380.00000000006"/>
    <n v="0"/>
    <n v="0"/>
    <n v="716931.74506203504"/>
    <n v="0"/>
    <n v="0"/>
  </r>
  <r>
    <s v="PROJETADO"/>
    <x v="0"/>
    <x v="1"/>
    <x v="3"/>
    <x v="0"/>
    <x v="0"/>
    <x v="1"/>
    <x v="1"/>
    <x v="11"/>
    <n v="54000"/>
    <n v="54000"/>
    <n v="0"/>
    <n v="0"/>
    <n v="0"/>
    <n v="0"/>
    <n v="0"/>
    <x v="3"/>
    <n v="6072"/>
    <n v="5"/>
    <n v="0"/>
    <n v="0"/>
    <n v="9.4700000000000006"/>
    <n v="0"/>
    <n v="0"/>
    <n v="13.276513797445094"/>
    <n v="4.2695390151495172"/>
    <m/>
    <n v="511380.00000000006"/>
    <n v="0"/>
    <n v="0"/>
    <n v="716931.74506203504"/>
    <n v="0"/>
    <n v="0"/>
  </r>
  <r>
    <s v="Regular"/>
    <x v="0"/>
    <x v="2"/>
    <x v="3"/>
    <x v="0"/>
    <x v="0"/>
    <x v="2"/>
    <x v="2"/>
    <x v="0"/>
    <n v="124500"/>
    <n v="124500"/>
    <n v="0"/>
    <n v="0"/>
    <n v="0"/>
    <n v="0"/>
    <n v="0"/>
    <x v="4"/>
    <n v="27795"/>
    <n v="8"/>
    <n v="0"/>
    <n v="0"/>
    <n v="3.09"/>
    <n v="0"/>
    <n v="0"/>
    <n v="3.6849092728787887"/>
    <m/>
    <m/>
    <n v="384705"/>
    <n v="0"/>
    <n v="0"/>
    <n v="458771.20447340916"/>
    <n v="0"/>
    <n v="0"/>
  </r>
  <r>
    <s v="Regular"/>
    <x v="0"/>
    <x v="2"/>
    <x v="3"/>
    <x v="0"/>
    <x v="0"/>
    <x v="3"/>
    <x v="2"/>
    <x v="0"/>
    <n v="86500"/>
    <n v="86500"/>
    <n v="0"/>
    <n v="0"/>
    <n v="0"/>
    <n v="0"/>
    <n v="0"/>
    <x v="4"/>
    <n v="28352"/>
    <n v="9"/>
    <n v="0"/>
    <n v="0"/>
    <n v="2.71"/>
    <n v="0"/>
    <n v="0"/>
    <n v="3.2397980171553011"/>
    <m/>
    <m/>
    <n v="234415"/>
    <n v="0"/>
    <n v="0"/>
    <n v="280242.52848393354"/>
    <n v="0"/>
    <n v="0"/>
  </r>
  <r>
    <s v="Regular"/>
    <x v="0"/>
    <x v="2"/>
    <x v="3"/>
    <x v="0"/>
    <x v="0"/>
    <x v="2"/>
    <x v="2"/>
    <x v="1"/>
    <n v="124500"/>
    <n v="124500"/>
    <n v="0"/>
    <n v="0"/>
    <n v="0"/>
    <n v="0"/>
    <n v="0"/>
    <x v="4"/>
    <n v="27795"/>
    <n v="8"/>
    <n v="0"/>
    <n v="0"/>
    <n v="3.09"/>
    <n v="0"/>
    <n v="0"/>
    <n v="3.6849092728787887"/>
    <m/>
    <m/>
    <n v="384705"/>
    <n v="0"/>
    <n v="0"/>
    <n v="458771.20447340916"/>
    <n v="0"/>
    <n v="0"/>
  </r>
  <r>
    <s v="Regular"/>
    <x v="0"/>
    <x v="2"/>
    <x v="3"/>
    <x v="0"/>
    <x v="0"/>
    <x v="3"/>
    <x v="2"/>
    <x v="1"/>
    <n v="86500"/>
    <n v="86500"/>
    <n v="0"/>
    <n v="0"/>
    <n v="0"/>
    <n v="0"/>
    <n v="0"/>
    <x v="4"/>
    <n v="28352"/>
    <n v="9"/>
    <n v="0"/>
    <n v="0"/>
    <n v="2.71"/>
    <n v="0"/>
    <n v="0"/>
    <n v="3.2397980171553011"/>
    <m/>
    <m/>
    <n v="234415"/>
    <n v="0"/>
    <n v="0"/>
    <n v="280242.52848393354"/>
    <n v="0"/>
    <n v="0"/>
  </r>
  <r>
    <s v="Regular"/>
    <x v="0"/>
    <x v="2"/>
    <x v="3"/>
    <x v="0"/>
    <x v="0"/>
    <x v="2"/>
    <x v="2"/>
    <x v="2"/>
    <n v="124500"/>
    <n v="124500"/>
    <n v="0"/>
    <n v="0"/>
    <n v="0"/>
    <n v="0"/>
    <n v="0"/>
    <x v="4"/>
    <n v="27795"/>
    <n v="8"/>
    <n v="0"/>
    <n v="0"/>
    <n v="3.09"/>
    <n v="0"/>
    <n v="0"/>
    <n v="3.6849092728787887"/>
    <m/>
    <m/>
    <n v="384705"/>
    <n v="0"/>
    <n v="0"/>
    <n v="458771.20447340916"/>
    <n v="0"/>
    <n v="0"/>
  </r>
  <r>
    <s v="Regular"/>
    <x v="0"/>
    <x v="2"/>
    <x v="3"/>
    <x v="0"/>
    <x v="0"/>
    <x v="3"/>
    <x v="2"/>
    <x v="2"/>
    <n v="86500"/>
    <n v="86500"/>
    <n v="0"/>
    <n v="0"/>
    <n v="0"/>
    <n v="0"/>
    <n v="0"/>
    <x v="4"/>
    <n v="28352"/>
    <n v="9"/>
    <n v="0"/>
    <n v="0"/>
    <n v="2.71"/>
    <n v="0"/>
    <n v="0"/>
    <n v="3.2397980171553011"/>
    <m/>
    <m/>
    <n v="234415"/>
    <n v="0"/>
    <n v="0"/>
    <n v="280242.52848393354"/>
    <n v="0"/>
    <n v="0"/>
  </r>
  <r>
    <s v="Regular"/>
    <x v="0"/>
    <x v="2"/>
    <x v="3"/>
    <x v="0"/>
    <x v="0"/>
    <x v="2"/>
    <x v="2"/>
    <x v="3"/>
    <n v="124500"/>
    <n v="124500"/>
    <n v="0"/>
    <n v="0"/>
    <n v="0"/>
    <n v="0"/>
    <n v="0"/>
    <x v="4"/>
    <n v="27795"/>
    <n v="8"/>
    <n v="0"/>
    <n v="0"/>
    <n v="3.09"/>
    <n v="0"/>
    <n v="0"/>
    <n v="3.6849092728787887"/>
    <m/>
    <m/>
    <n v="384705"/>
    <n v="0"/>
    <n v="0"/>
    <n v="458771.20447340916"/>
    <n v="0"/>
    <n v="0"/>
  </r>
  <r>
    <s v="Regular"/>
    <x v="0"/>
    <x v="2"/>
    <x v="3"/>
    <x v="0"/>
    <x v="0"/>
    <x v="3"/>
    <x v="2"/>
    <x v="3"/>
    <n v="86500"/>
    <n v="86500"/>
    <n v="0"/>
    <n v="0"/>
    <n v="0"/>
    <n v="0"/>
    <n v="0"/>
    <x v="4"/>
    <n v="28352"/>
    <n v="9"/>
    <n v="0"/>
    <n v="0"/>
    <n v="2.71"/>
    <n v="0"/>
    <n v="0"/>
    <n v="3.2397980171553011"/>
    <m/>
    <m/>
    <n v="234415"/>
    <n v="0"/>
    <n v="0"/>
    <n v="280242.52848393354"/>
    <n v="0"/>
    <n v="0"/>
  </r>
  <r>
    <s v="Regular"/>
    <x v="0"/>
    <x v="2"/>
    <x v="3"/>
    <x v="0"/>
    <x v="0"/>
    <x v="2"/>
    <x v="2"/>
    <x v="4"/>
    <n v="124500"/>
    <n v="124500"/>
    <n v="0"/>
    <n v="0"/>
    <n v="0"/>
    <n v="0"/>
    <n v="0"/>
    <x v="4"/>
    <n v="27795"/>
    <n v="8"/>
    <n v="0"/>
    <n v="0"/>
    <n v="3.09"/>
    <n v="0"/>
    <n v="0"/>
    <n v="3.6849092728787887"/>
    <m/>
    <m/>
    <n v="384705"/>
    <n v="0"/>
    <n v="0"/>
    <n v="458771.20447340916"/>
    <n v="0"/>
    <n v="0"/>
  </r>
  <r>
    <s v="Regular"/>
    <x v="0"/>
    <x v="2"/>
    <x v="3"/>
    <x v="0"/>
    <x v="0"/>
    <x v="3"/>
    <x v="2"/>
    <x v="4"/>
    <n v="86500"/>
    <n v="86500"/>
    <n v="0"/>
    <n v="0"/>
    <n v="0"/>
    <n v="0"/>
    <n v="0"/>
    <x v="4"/>
    <n v="28352"/>
    <n v="9"/>
    <n v="0"/>
    <n v="0"/>
    <n v="2.71"/>
    <n v="0"/>
    <n v="0"/>
    <n v="3.2397980171553011"/>
    <m/>
    <m/>
    <n v="234415"/>
    <n v="0"/>
    <n v="0"/>
    <n v="280242.52848393354"/>
    <n v="0"/>
    <n v="0"/>
  </r>
  <r>
    <s v="Regular"/>
    <x v="0"/>
    <x v="2"/>
    <x v="3"/>
    <x v="0"/>
    <x v="0"/>
    <x v="2"/>
    <x v="2"/>
    <x v="5"/>
    <n v="124500"/>
    <n v="124500"/>
    <n v="0"/>
    <n v="0"/>
    <n v="0"/>
    <n v="0"/>
    <n v="0"/>
    <x v="4"/>
    <n v="27795"/>
    <n v="8"/>
    <n v="0"/>
    <n v="0"/>
    <n v="3.09"/>
    <n v="0"/>
    <n v="0"/>
    <n v="3.6849092728787887"/>
    <m/>
    <m/>
    <n v="384705"/>
    <n v="0"/>
    <n v="0"/>
    <n v="458771.20447340916"/>
    <n v="0"/>
    <n v="0"/>
  </r>
  <r>
    <s v="Regular"/>
    <x v="0"/>
    <x v="2"/>
    <x v="3"/>
    <x v="0"/>
    <x v="0"/>
    <x v="3"/>
    <x v="2"/>
    <x v="5"/>
    <n v="86500"/>
    <n v="86500"/>
    <n v="0"/>
    <n v="0"/>
    <n v="0"/>
    <n v="0"/>
    <n v="0"/>
    <x v="4"/>
    <n v="28352"/>
    <n v="9"/>
    <n v="0"/>
    <n v="0"/>
    <n v="2.71"/>
    <n v="0"/>
    <n v="0"/>
    <n v="3.2397980171553011"/>
    <m/>
    <m/>
    <n v="234415"/>
    <n v="0"/>
    <n v="0"/>
    <n v="280242.52848393354"/>
    <n v="0"/>
    <n v="0"/>
  </r>
  <r>
    <s v="Regular"/>
    <x v="0"/>
    <x v="2"/>
    <x v="3"/>
    <x v="0"/>
    <x v="0"/>
    <x v="2"/>
    <x v="2"/>
    <x v="6"/>
    <n v="124500"/>
    <n v="124500"/>
    <n v="0"/>
    <n v="0"/>
    <n v="0"/>
    <n v="0"/>
    <n v="0"/>
    <x v="4"/>
    <n v="27795"/>
    <n v="8"/>
    <n v="0"/>
    <n v="0"/>
    <n v="3.09"/>
    <n v="0"/>
    <n v="0"/>
    <n v="3.6849092728787887"/>
    <m/>
    <m/>
    <n v="384705"/>
    <n v="0"/>
    <n v="0"/>
    <n v="458771.20447340916"/>
    <n v="0"/>
    <n v="0"/>
  </r>
  <r>
    <s v="Regular"/>
    <x v="0"/>
    <x v="2"/>
    <x v="3"/>
    <x v="0"/>
    <x v="0"/>
    <x v="3"/>
    <x v="2"/>
    <x v="6"/>
    <n v="86500"/>
    <n v="86500"/>
    <n v="0"/>
    <n v="0"/>
    <n v="0"/>
    <n v="0"/>
    <n v="0"/>
    <x v="4"/>
    <n v="28352"/>
    <n v="9"/>
    <n v="0"/>
    <n v="0"/>
    <n v="2.71"/>
    <n v="0"/>
    <n v="0"/>
    <n v="3.2397980171553011"/>
    <m/>
    <m/>
    <n v="234415"/>
    <n v="0"/>
    <n v="0"/>
    <n v="280242.52848393354"/>
    <n v="0"/>
    <n v="0"/>
  </r>
  <r>
    <s v="Regular"/>
    <x v="0"/>
    <x v="2"/>
    <x v="3"/>
    <x v="0"/>
    <x v="0"/>
    <x v="2"/>
    <x v="2"/>
    <x v="7"/>
    <n v="124500"/>
    <n v="124500"/>
    <n v="0"/>
    <n v="0"/>
    <n v="0"/>
    <n v="0"/>
    <n v="0"/>
    <x v="4"/>
    <n v="27795"/>
    <n v="8"/>
    <n v="0"/>
    <n v="0"/>
    <n v="3.09"/>
    <n v="0"/>
    <n v="0"/>
    <n v="3.6849092728787887"/>
    <m/>
    <m/>
    <n v="384705"/>
    <n v="0"/>
    <n v="0"/>
    <n v="458771.20447340916"/>
    <n v="0"/>
    <n v="0"/>
  </r>
  <r>
    <s v="Regular"/>
    <x v="0"/>
    <x v="2"/>
    <x v="3"/>
    <x v="0"/>
    <x v="0"/>
    <x v="3"/>
    <x v="2"/>
    <x v="7"/>
    <n v="86500"/>
    <n v="86500"/>
    <n v="0"/>
    <n v="0"/>
    <n v="0"/>
    <n v="0"/>
    <n v="0"/>
    <x v="4"/>
    <n v="28352"/>
    <n v="9"/>
    <n v="0"/>
    <n v="0"/>
    <n v="2.71"/>
    <n v="0"/>
    <n v="0"/>
    <n v="3.2397980171553011"/>
    <m/>
    <m/>
    <n v="234415"/>
    <n v="0"/>
    <n v="0"/>
    <n v="280242.52848393354"/>
    <n v="0"/>
    <n v="0"/>
  </r>
  <r>
    <s v="Regular"/>
    <x v="0"/>
    <x v="2"/>
    <x v="3"/>
    <x v="0"/>
    <x v="0"/>
    <x v="2"/>
    <x v="2"/>
    <x v="8"/>
    <n v="124500"/>
    <n v="124500"/>
    <n v="0"/>
    <n v="0"/>
    <n v="0"/>
    <n v="0"/>
    <n v="0"/>
    <x v="4"/>
    <n v="27795"/>
    <n v="8"/>
    <n v="0"/>
    <n v="0"/>
    <n v="3.09"/>
    <n v="0"/>
    <n v="0"/>
    <n v="3.6849092728787887"/>
    <m/>
    <m/>
    <n v="384705"/>
    <n v="0"/>
    <n v="0"/>
    <n v="458771.20447340916"/>
    <n v="0"/>
    <n v="0"/>
  </r>
  <r>
    <s v="Regular"/>
    <x v="0"/>
    <x v="2"/>
    <x v="3"/>
    <x v="0"/>
    <x v="0"/>
    <x v="3"/>
    <x v="2"/>
    <x v="8"/>
    <n v="86500"/>
    <n v="86500"/>
    <n v="0"/>
    <n v="0"/>
    <n v="0"/>
    <n v="0"/>
    <n v="0"/>
    <x v="4"/>
    <n v="28352"/>
    <n v="9"/>
    <n v="0"/>
    <n v="0"/>
    <n v="2.71"/>
    <n v="0"/>
    <n v="0"/>
    <n v="3.2397980171553011"/>
    <m/>
    <m/>
    <n v="234415"/>
    <n v="0"/>
    <n v="0"/>
    <n v="280242.52848393354"/>
    <n v="0"/>
    <n v="0"/>
  </r>
  <r>
    <s v="Regular"/>
    <x v="0"/>
    <x v="2"/>
    <x v="3"/>
    <x v="0"/>
    <x v="0"/>
    <x v="2"/>
    <x v="2"/>
    <x v="9"/>
    <n v="124500"/>
    <n v="124500"/>
    <n v="0"/>
    <n v="0"/>
    <n v="0"/>
    <n v="0"/>
    <n v="0"/>
    <x v="4"/>
    <n v="27795"/>
    <n v="8"/>
    <n v="0"/>
    <n v="0"/>
    <n v="3.09"/>
    <n v="0"/>
    <n v="0"/>
    <n v="3.6849092728787887"/>
    <m/>
    <m/>
    <n v="384705"/>
    <n v="0"/>
    <n v="0"/>
    <n v="458771.20447340916"/>
    <n v="0"/>
    <n v="0"/>
  </r>
  <r>
    <s v="Regular"/>
    <x v="0"/>
    <x v="2"/>
    <x v="3"/>
    <x v="0"/>
    <x v="0"/>
    <x v="3"/>
    <x v="2"/>
    <x v="9"/>
    <n v="86500"/>
    <n v="86500"/>
    <n v="0"/>
    <n v="0"/>
    <n v="0"/>
    <n v="0"/>
    <n v="0"/>
    <x v="4"/>
    <n v="28352"/>
    <n v="9"/>
    <n v="0"/>
    <n v="0"/>
    <n v="2.71"/>
    <n v="0"/>
    <n v="0"/>
    <n v="3.2397980171553011"/>
    <m/>
    <m/>
    <n v="234415"/>
    <n v="0"/>
    <n v="0"/>
    <n v="280242.52848393354"/>
    <n v="0"/>
    <n v="0"/>
  </r>
  <r>
    <s v="Regular"/>
    <x v="0"/>
    <x v="2"/>
    <x v="3"/>
    <x v="0"/>
    <x v="0"/>
    <x v="2"/>
    <x v="2"/>
    <x v="10"/>
    <n v="124500"/>
    <n v="124500"/>
    <n v="0"/>
    <n v="0"/>
    <n v="0"/>
    <n v="0"/>
    <n v="0"/>
    <x v="4"/>
    <n v="27795"/>
    <n v="8"/>
    <n v="0"/>
    <n v="0"/>
    <n v="3.09"/>
    <n v="0"/>
    <n v="0"/>
    <n v="3.6849092728787887"/>
    <m/>
    <m/>
    <n v="384705"/>
    <n v="0"/>
    <n v="0"/>
    <n v="458771.20447340916"/>
    <n v="0"/>
    <n v="0"/>
  </r>
  <r>
    <s v="Regular"/>
    <x v="0"/>
    <x v="2"/>
    <x v="3"/>
    <x v="0"/>
    <x v="0"/>
    <x v="3"/>
    <x v="2"/>
    <x v="10"/>
    <n v="86500"/>
    <n v="86500"/>
    <n v="0"/>
    <n v="0"/>
    <n v="0"/>
    <n v="0"/>
    <n v="0"/>
    <x v="4"/>
    <n v="28352"/>
    <n v="9"/>
    <n v="0"/>
    <n v="0"/>
    <n v="2.71"/>
    <n v="0"/>
    <n v="0"/>
    <n v="3.2397980171553011"/>
    <m/>
    <m/>
    <n v="234415"/>
    <n v="0"/>
    <n v="0"/>
    <n v="280242.52848393354"/>
    <n v="0"/>
    <n v="0"/>
  </r>
  <r>
    <s v="PROJETADO"/>
    <x v="0"/>
    <x v="2"/>
    <x v="3"/>
    <x v="0"/>
    <x v="0"/>
    <x v="2"/>
    <x v="2"/>
    <x v="11"/>
    <n v="124500"/>
    <n v="124500"/>
    <n v="0"/>
    <n v="0"/>
    <n v="0"/>
    <n v="0"/>
    <n v="0"/>
    <x v="4"/>
    <n v="27795"/>
    <n v="8"/>
    <n v="0"/>
    <n v="0"/>
    <n v="3.09"/>
    <n v="0"/>
    <n v="0"/>
    <n v="3.6849092728787887"/>
    <m/>
    <m/>
    <n v="384705"/>
    <n v="0"/>
    <n v="0"/>
    <n v="458771.20447340916"/>
    <n v="0"/>
    <n v="0"/>
  </r>
  <r>
    <s v="PROJETADO"/>
    <x v="0"/>
    <x v="2"/>
    <x v="3"/>
    <x v="0"/>
    <x v="0"/>
    <x v="3"/>
    <x v="2"/>
    <x v="11"/>
    <n v="86500"/>
    <n v="86500"/>
    <n v="0"/>
    <n v="0"/>
    <n v="0"/>
    <n v="0"/>
    <n v="0"/>
    <x v="4"/>
    <n v="28352"/>
    <n v="9"/>
    <n v="0"/>
    <n v="0"/>
    <n v="2.71"/>
    <n v="0"/>
    <n v="0"/>
    <n v="3.2397980171553011"/>
    <m/>
    <m/>
    <n v="234415"/>
    <n v="0"/>
    <n v="0"/>
    <n v="280242.52848393354"/>
    <n v="0"/>
    <n v="0"/>
  </r>
  <r>
    <s v="Regular"/>
    <x v="1"/>
    <x v="0"/>
    <x v="1"/>
    <x v="0"/>
    <x v="2"/>
    <x v="0"/>
    <x v="0"/>
    <x v="0"/>
    <n v="3400"/>
    <n v="2130.1447779999999"/>
    <n v="0"/>
    <n v="0"/>
    <n v="0"/>
    <n v="0"/>
    <n v="0"/>
    <x v="2"/>
    <n v="0"/>
    <n v="12"/>
    <n v="0"/>
    <n v="0"/>
    <n v="8.81"/>
    <n v="0"/>
    <n v="0"/>
    <n v="11.452356648653195"/>
    <n v="87.520205040180812"/>
    <m/>
    <n v="18766.575494180001"/>
    <n v="0"/>
    <n v="0"/>
    <n v="24395.177710922184"/>
    <n v="0"/>
    <n v="0"/>
  </r>
  <r>
    <s v="Regular"/>
    <x v="1"/>
    <x v="0"/>
    <x v="1"/>
    <x v="0"/>
    <x v="2"/>
    <x v="0"/>
    <x v="0"/>
    <x v="1"/>
    <n v="3400"/>
    <n v="2133.9733139999998"/>
    <n v="0"/>
    <n v="0"/>
    <n v="0"/>
    <n v="0"/>
    <n v="0"/>
    <x v="2"/>
    <n v="0"/>
    <n v="12"/>
    <n v="0"/>
    <n v="0"/>
    <n v="8.81"/>
    <n v="0"/>
    <n v="0"/>
    <n v="11.452356648653195"/>
    <n v="87.520205040180812"/>
    <m/>
    <n v="18800.30489634"/>
    <n v="0"/>
    <n v="0"/>
    <n v="24439.023470636392"/>
    <n v="0"/>
    <n v="0"/>
  </r>
  <r>
    <s v="Regular"/>
    <x v="1"/>
    <x v="0"/>
    <x v="1"/>
    <x v="0"/>
    <x v="2"/>
    <x v="0"/>
    <x v="0"/>
    <x v="2"/>
    <n v="3400"/>
    <n v="2140.7922859999999"/>
    <n v="0"/>
    <n v="0"/>
    <n v="0"/>
    <n v="0"/>
    <n v="0"/>
    <x v="2"/>
    <n v="0"/>
    <n v="12"/>
    <n v="0"/>
    <n v="0"/>
    <n v="8.81"/>
    <n v="0"/>
    <n v="0"/>
    <n v="11.452356648653195"/>
    <n v="87.520205040180812"/>
    <m/>
    <n v="18860.380039660002"/>
    <n v="0"/>
    <n v="0"/>
    <n v="24517.116769957571"/>
    <n v="0"/>
    <n v="0"/>
  </r>
  <r>
    <s v="Regular"/>
    <x v="1"/>
    <x v="0"/>
    <x v="1"/>
    <x v="0"/>
    <x v="2"/>
    <x v="0"/>
    <x v="0"/>
    <x v="3"/>
    <n v="3400"/>
    <n v="2119.139318"/>
    <n v="0"/>
    <n v="0"/>
    <n v="0"/>
    <n v="0"/>
    <n v="0"/>
    <x v="2"/>
    <n v="0"/>
    <n v="12"/>
    <n v="0"/>
    <n v="0"/>
    <n v="8.81"/>
    <n v="0"/>
    <n v="0"/>
    <n v="11.452356648653195"/>
    <n v="87.520205040180812"/>
    <m/>
    <n v="18669.617391580003"/>
    <n v="0"/>
    <n v="0"/>
    <n v="24269.139257919698"/>
    <n v="0"/>
    <n v="0"/>
  </r>
  <r>
    <s v="Regular"/>
    <x v="1"/>
    <x v="0"/>
    <x v="1"/>
    <x v="0"/>
    <x v="2"/>
    <x v="0"/>
    <x v="0"/>
    <x v="4"/>
    <n v="3400"/>
    <n v="2118.5003900000002"/>
    <n v="0"/>
    <n v="0"/>
    <n v="0"/>
    <n v="0"/>
    <n v="0"/>
    <x v="2"/>
    <n v="0"/>
    <n v="12"/>
    <n v="0"/>
    <n v="0"/>
    <n v="8.81"/>
    <n v="0"/>
    <n v="0"/>
    <n v="11.452356648653195"/>
    <n v="87.520205040180812"/>
    <m/>
    <n v="18663.988435900003"/>
    <n v="0"/>
    <n v="0"/>
    <n v="24261.822026590889"/>
    <n v="0"/>
    <n v="0"/>
  </r>
  <r>
    <s v="Regular"/>
    <x v="1"/>
    <x v="0"/>
    <x v="1"/>
    <x v="0"/>
    <x v="2"/>
    <x v="0"/>
    <x v="0"/>
    <x v="5"/>
    <n v="3400"/>
    <n v="2784.7143759999999"/>
    <n v="0"/>
    <n v="0"/>
    <n v="0"/>
    <n v="0"/>
    <n v="0"/>
    <x v="2"/>
    <n v="0"/>
    <n v="12"/>
    <n v="0"/>
    <n v="0"/>
    <n v="8.81"/>
    <n v="0"/>
    <n v="0"/>
    <n v="11.452356648653195"/>
    <n v="87.520205040180812"/>
    <m/>
    <n v="24533.333652559999"/>
    <n v="0"/>
    <n v="0"/>
    <n v="31891.542198583731"/>
    <n v="0"/>
    <n v="0"/>
  </r>
  <r>
    <s v="Regular"/>
    <x v="1"/>
    <x v="0"/>
    <x v="1"/>
    <x v="0"/>
    <x v="2"/>
    <x v="0"/>
    <x v="0"/>
    <x v="6"/>
    <n v="3400"/>
    <n v="3400"/>
    <n v="0"/>
    <n v="0"/>
    <n v="0"/>
    <n v="0"/>
    <n v="0"/>
    <x v="2"/>
    <n v="0"/>
    <n v="12"/>
    <n v="0"/>
    <n v="0"/>
    <n v="8.81"/>
    <n v="0"/>
    <n v="0"/>
    <n v="11.452356648653195"/>
    <n v="87.520205040180812"/>
    <m/>
    <n v="29954"/>
    <n v="0"/>
    <n v="0"/>
    <n v="38938.012605420867"/>
    <n v="0"/>
    <n v="0"/>
  </r>
  <r>
    <s v="Regular"/>
    <x v="1"/>
    <x v="0"/>
    <x v="1"/>
    <x v="0"/>
    <x v="2"/>
    <x v="0"/>
    <x v="0"/>
    <x v="7"/>
    <n v="3400"/>
    <n v="3400"/>
    <n v="0"/>
    <n v="0"/>
    <n v="0"/>
    <n v="0"/>
    <n v="0"/>
    <x v="2"/>
    <n v="0"/>
    <n v="12"/>
    <n v="0"/>
    <n v="0"/>
    <n v="8.81"/>
    <n v="0"/>
    <n v="0"/>
    <n v="11.452356648653195"/>
    <n v="87.520205040180812"/>
    <m/>
    <n v="29954"/>
    <n v="0"/>
    <n v="0"/>
    <n v="38938.012605420867"/>
    <n v="0"/>
    <n v="0"/>
  </r>
  <r>
    <s v="Regular"/>
    <x v="1"/>
    <x v="0"/>
    <x v="1"/>
    <x v="0"/>
    <x v="2"/>
    <x v="0"/>
    <x v="0"/>
    <x v="8"/>
    <n v="3400"/>
    <n v="3400"/>
    <n v="0"/>
    <n v="0"/>
    <n v="0"/>
    <n v="0"/>
    <n v="0"/>
    <x v="2"/>
    <n v="0"/>
    <n v="12"/>
    <n v="0"/>
    <n v="0"/>
    <n v="8.81"/>
    <n v="0"/>
    <n v="0"/>
    <n v="11.452356648653195"/>
    <n v="87.520205040180812"/>
    <m/>
    <n v="29954"/>
    <n v="0"/>
    <n v="0"/>
    <n v="38938.012605420867"/>
    <n v="0"/>
    <n v="0"/>
  </r>
  <r>
    <s v="Regular"/>
    <x v="1"/>
    <x v="0"/>
    <x v="1"/>
    <x v="0"/>
    <x v="2"/>
    <x v="0"/>
    <x v="0"/>
    <x v="9"/>
    <n v="3400"/>
    <n v="3400"/>
    <n v="0"/>
    <n v="0"/>
    <n v="0"/>
    <n v="0"/>
    <n v="0"/>
    <x v="2"/>
    <n v="0"/>
    <n v="12"/>
    <n v="0"/>
    <n v="0"/>
    <n v="8.81"/>
    <n v="0"/>
    <n v="0"/>
    <n v="11.452356648653195"/>
    <n v="87.520205040180812"/>
    <m/>
    <n v="29954"/>
    <n v="0"/>
    <n v="0"/>
    <n v="38938.012605420867"/>
    <n v="0"/>
    <n v="0"/>
  </r>
  <r>
    <s v="Regular"/>
    <x v="1"/>
    <x v="0"/>
    <x v="1"/>
    <x v="0"/>
    <x v="2"/>
    <x v="0"/>
    <x v="0"/>
    <x v="10"/>
    <n v="3400"/>
    <n v="3400"/>
    <n v="0"/>
    <n v="0"/>
    <n v="0"/>
    <n v="0"/>
    <n v="0"/>
    <x v="2"/>
    <n v="0"/>
    <n v="12"/>
    <n v="0"/>
    <n v="0"/>
    <n v="8.81"/>
    <n v="0"/>
    <n v="0"/>
    <n v="11.452356648653195"/>
    <n v="87.520205040180812"/>
    <m/>
    <n v="29954"/>
    <n v="0"/>
    <n v="0"/>
    <n v="38938.012605420867"/>
    <n v="0"/>
    <n v="0"/>
  </r>
  <r>
    <s v="PROJETADO"/>
    <x v="1"/>
    <x v="0"/>
    <x v="1"/>
    <x v="0"/>
    <x v="2"/>
    <x v="0"/>
    <x v="0"/>
    <x v="11"/>
    <n v="3400"/>
    <n v="3400"/>
    <n v="0"/>
    <n v="0"/>
    <n v="0"/>
    <n v="0"/>
    <n v="0"/>
    <x v="2"/>
    <n v="0"/>
    <n v="12"/>
    <n v="0"/>
    <n v="0"/>
    <n v="8.81"/>
    <n v="0"/>
    <n v="0"/>
    <n v="11.452356648653195"/>
    <n v="87.520205040180812"/>
    <m/>
    <n v="29954"/>
    <n v="0"/>
    <n v="0"/>
    <n v="38938.012605420867"/>
    <n v="0"/>
    <n v="0"/>
  </r>
  <r>
    <s v="Regular"/>
    <x v="1"/>
    <x v="0"/>
    <x v="1"/>
    <x v="0"/>
    <x v="2"/>
    <x v="0"/>
    <x v="2"/>
    <x v="0"/>
    <n v="0"/>
    <n v="0"/>
    <n v="1071.8520000000001"/>
    <n v="1071.8520000000001"/>
    <n v="0"/>
    <n v="0"/>
    <n v="1"/>
    <x v="2"/>
    <n v="0"/>
    <n v="0"/>
    <n v="13"/>
    <n v="0"/>
    <n v="0"/>
    <n v="84.45"/>
    <n v="0"/>
    <m/>
    <n v="87.520205040180812"/>
    <m/>
    <n v="0"/>
    <n v="90517.901400000017"/>
    <n v="0"/>
    <n v="0"/>
    <n v="93808.706812727891"/>
    <n v="0"/>
  </r>
  <r>
    <s v="Regular"/>
    <x v="1"/>
    <x v="0"/>
    <x v="1"/>
    <x v="0"/>
    <x v="2"/>
    <x v="0"/>
    <x v="2"/>
    <x v="1"/>
    <n v="0"/>
    <n v="0"/>
    <n v="1063.0340000000001"/>
    <n v="1063.0340000000001"/>
    <n v="0"/>
    <n v="0"/>
    <n v="1"/>
    <x v="2"/>
    <n v="0"/>
    <n v="0"/>
    <n v="13"/>
    <n v="0"/>
    <n v="0"/>
    <n v="84.45"/>
    <n v="0"/>
    <m/>
    <n v="87.520205040180812"/>
    <m/>
    <n v="0"/>
    <n v="89773.221300000005"/>
    <n v="0"/>
    <n v="0"/>
    <n v="93036.953644683585"/>
    <n v="0"/>
  </r>
  <r>
    <s v="Regular"/>
    <x v="1"/>
    <x v="0"/>
    <x v="1"/>
    <x v="0"/>
    <x v="2"/>
    <x v="0"/>
    <x v="2"/>
    <x v="2"/>
    <n v="0"/>
    <n v="0"/>
    <n v="1100.308"/>
    <n v="1100.308"/>
    <n v="0"/>
    <n v="0"/>
    <n v="1"/>
    <x v="2"/>
    <n v="0"/>
    <n v="0"/>
    <n v="13"/>
    <n v="0"/>
    <n v="0"/>
    <n v="84.45"/>
    <n v="0"/>
    <m/>
    <n v="87.520205040180812"/>
    <m/>
    <n v="0"/>
    <n v="92921.010600000009"/>
    <n v="0"/>
    <n v="0"/>
    <n v="96299.181767351271"/>
    <n v="0"/>
  </r>
  <r>
    <s v="Regular"/>
    <x v="1"/>
    <x v="0"/>
    <x v="1"/>
    <x v="0"/>
    <x v="2"/>
    <x v="0"/>
    <x v="2"/>
    <x v="3"/>
    <n v="0"/>
    <n v="0"/>
    <n v="1052.951"/>
    <n v="1052.951"/>
    <n v="0"/>
    <n v="0"/>
    <n v="1"/>
    <x v="2"/>
    <n v="0"/>
    <n v="0"/>
    <n v="13"/>
    <n v="0"/>
    <n v="0"/>
    <n v="84.45"/>
    <n v="0"/>
    <m/>
    <n v="87.520205040180812"/>
    <m/>
    <n v="0"/>
    <n v="88921.711950000012"/>
    <n v="0"/>
    <n v="0"/>
    <n v="92154.48741726343"/>
    <n v="0"/>
  </r>
  <r>
    <s v="Regular"/>
    <x v="1"/>
    <x v="0"/>
    <x v="1"/>
    <x v="0"/>
    <x v="2"/>
    <x v="0"/>
    <x v="2"/>
    <x v="4"/>
    <n v="0"/>
    <n v="0"/>
    <n v="967.19500000000005"/>
    <n v="967.19500000000005"/>
    <n v="0"/>
    <n v="0"/>
    <n v="1"/>
    <x v="2"/>
    <n v="0"/>
    <n v="0"/>
    <n v="13"/>
    <n v="0"/>
    <n v="0"/>
    <n v="84.45"/>
    <n v="0"/>
    <m/>
    <n v="87.520205040180812"/>
    <m/>
    <n v="0"/>
    <n v="81679.617750000005"/>
    <n v="0"/>
    <n v="0"/>
    <n v="84649.104713837689"/>
    <n v="0"/>
  </r>
  <r>
    <s v="Regular"/>
    <x v="1"/>
    <x v="0"/>
    <x v="1"/>
    <x v="0"/>
    <x v="2"/>
    <x v="0"/>
    <x v="2"/>
    <x v="5"/>
    <n v="0"/>
    <n v="0"/>
    <n v="714.73500000000001"/>
    <n v="714.73500000000001"/>
    <n v="0"/>
    <n v="0"/>
    <n v="1"/>
    <x v="2"/>
    <n v="0"/>
    <n v="0"/>
    <n v="13"/>
    <n v="0"/>
    <n v="0"/>
    <n v="84.45"/>
    <n v="0"/>
    <m/>
    <n v="87.520205040180812"/>
    <m/>
    <n v="0"/>
    <n v="60359.370750000002"/>
    <n v="0"/>
    <n v="0"/>
    <n v="62553.753749393632"/>
    <n v="0"/>
  </r>
  <r>
    <s v="Regular"/>
    <x v="1"/>
    <x v="0"/>
    <x v="1"/>
    <x v="0"/>
    <x v="2"/>
    <x v="0"/>
    <x v="2"/>
    <x v="6"/>
    <n v="0"/>
    <n v="0"/>
    <n v="290.52100000000002"/>
    <n v="290.52100000000002"/>
    <n v="0"/>
    <n v="0"/>
    <n v="1"/>
    <x v="2"/>
    <n v="0"/>
    <n v="0"/>
    <n v="13"/>
    <n v="0"/>
    <n v="0"/>
    <n v="84.45"/>
    <n v="0"/>
    <m/>
    <n v="87.520205040180812"/>
    <m/>
    <n v="0"/>
    <n v="24534.498450000003"/>
    <n v="0"/>
    <n v="0"/>
    <n v="25426.457488478372"/>
    <n v="0"/>
  </r>
  <r>
    <s v="Regular"/>
    <x v="1"/>
    <x v="0"/>
    <x v="1"/>
    <x v="0"/>
    <x v="2"/>
    <x v="0"/>
    <x v="2"/>
    <x v="7"/>
    <n v="0"/>
    <n v="0"/>
    <n v="385.88499999999999"/>
    <n v="385.88499999999999"/>
    <n v="0"/>
    <n v="0"/>
    <n v="1"/>
    <x v="2"/>
    <n v="0"/>
    <n v="0"/>
    <n v="13"/>
    <n v="0"/>
    <n v="0"/>
    <n v="84.45"/>
    <n v="0"/>
    <m/>
    <n v="87.520205040180812"/>
    <m/>
    <n v="0"/>
    <n v="32587.988249999999"/>
    <n v="0"/>
    <n v="0"/>
    <n v="33772.734321930169"/>
    <n v="0"/>
  </r>
  <r>
    <s v="Regular"/>
    <x v="1"/>
    <x v="0"/>
    <x v="1"/>
    <x v="0"/>
    <x v="2"/>
    <x v="0"/>
    <x v="2"/>
    <x v="8"/>
    <n v="0"/>
    <n v="0"/>
    <n v="385.88499999999999"/>
    <n v="385.88499999999999"/>
    <n v="0"/>
    <n v="0"/>
    <n v="1"/>
    <x v="2"/>
    <n v="0"/>
    <n v="0"/>
    <n v="13"/>
    <n v="0"/>
    <n v="0"/>
    <n v="84.45"/>
    <n v="0"/>
    <m/>
    <n v="87.520205040180812"/>
    <m/>
    <n v="0"/>
    <n v="32587.988249999999"/>
    <n v="0"/>
    <n v="0"/>
    <n v="33772.734321930169"/>
    <n v="0"/>
  </r>
  <r>
    <s v="Regular"/>
    <x v="1"/>
    <x v="0"/>
    <x v="1"/>
    <x v="0"/>
    <x v="2"/>
    <x v="0"/>
    <x v="2"/>
    <x v="9"/>
    <n v="0"/>
    <n v="0"/>
    <n v="887.96100000000001"/>
    <n v="887.96100000000001"/>
    <n v="0"/>
    <n v="0"/>
    <n v="1"/>
    <x v="2"/>
    <n v="0"/>
    <n v="0"/>
    <n v="13"/>
    <n v="0"/>
    <n v="0"/>
    <n v="84.45"/>
    <n v="0"/>
    <m/>
    <n v="87.520205040180812"/>
    <m/>
    <n v="0"/>
    <n v="74988.306450000004"/>
    <n v="0"/>
    <n v="0"/>
    <n v="77714.528787684001"/>
    <n v="0"/>
  </r>
  <r>
    <s v="Regular"/>
    <x v="1"/>
    <x v="0"/>
    <x v="1"/>
    <x v="0"/>
    <x v="2"/>
    <x v="0"/>
    <x v="2"/>
    <x v="10"/>
    <n v="0"/>
    <n v="0"/>
    <n v="729.46400000000006"/>
    <n v="729.46400000000006"/>
    <n v="0"/>
    <n v="0"/>
    <n v="1"/>
    <x v="2"/>
    <n v="0"/>
    <n v="0"/>
    <n v="13"/>
    <n v="0"/>
    <n v="0"/>
    <n v="84.45"/>
    <n v="0"/>
    <m/>
    <n v="87.520205040180812"/>
    <m/>
    <n v="0"/>
    <n v="61603.234800000006"/>
    <n v="0"/>
    <n v="0"/>
    <n v="63842.83884943046"/>
    <n v="0"/>
  </r>
  <r>
    <s v="PROJETADO"/>
    <x v="1"/>
    <x v="0"/>
    <x v="1"/>
    <x v="0"/>
    <x v="2"/>
    <x v="0"/>
    <x v="2"/>
    <x v="11"/>
    <n v="0"/>
    <n v="0"/>
    <n v="729.46400000000006"/>
    <n v="729.46400000000006"/>
    <n v="0"/>
    <n v="0"/>
    <n v="1"/>
    <x v="2"/>
    <n v="0"/>
    <n v="0"/>
    <n v="13"/>
    <n v="0"/>
    <n v="0"/>
    <n v="84.45"/>
    <n v="0"/>
    <m/>
    <n v="87.520205040180812"/>
    <m/>
    <n v="0"/>
    <n v="61603.234800000006"/>
    <n v="0"/>
    <n v="0"/>
    <n v="63842.83884943046"/>
    <n v="0"/>
  </r>
  <r>
    <s v="Regular"/>
    <x v="1"/>
    <x v="0"/>
    <x v="1"/>
    <x v="0"/>
    <x v="2"/>
    <x v="0"/>
    <x v="1"/>
    <x v="0"/>
    <n v="3300"/>
    <n v="2067.4934280000002"/>
    <n v="0"/>
    <n v="0"/>
    <n v="0"/>
    <n v="0"/>
    <n v="0"/>
    <x v="2"/>
    <n v="0"/>
    <n v="11"/>
    <n v="0"/>
    <n v="0"/>
    <n v="22.94"/>
    <n v="0"/>
    <n v="0"/>
    <n v="27.216283196676113"/>
    <n v="87.520205040180812"/>
    <m/>
    <n v="47428.299238320011"/>
    <n v="0"/>
    <n v="0"/>
    <n v="56269.486643714699"/>
    <n v="0"/>
    <n v="0"/>
  </r>
  <r>
    <s v="Regular"/>
    <x v="1"/>
    <x v="0"/>
    <x v="1"/>
    <x v="0"/>
    <x v="2"/>
    <x v="0"/>
    <x v="1"/>
    <x v="1"/>
    <n v="3300"/>
    <n v="2071.2097229999999"/>
    <n v="0"/>
    <n v="0"/>
    <n v="0"/>
    <n v="0"/>
    <n v="0"/>
    <x v="2"/>
    <n v="0"/>
    <n v="11"/>
    <n v="0"/>
    <n v="0"/>
    <n v="22.94"/>
    <n v="0"/>
    <n v="0"/>
    <n v="27.216283196676113"/>
    <n v="87.520205040180812"/>
    <m/>
    <n v="47513.551045619999"/>
    <n v="0"/>
    <n v="0"/>
    <n v="56370.630380877083"/>
    <n v="0"/>
    <n v="0"/>
  </r>
  <r>
    <s v="Regular"/>
    <x v="1"/>
    <x v="0"/>
    <x v="1"/>
    <x v="0"/>
    <x v="2"/>
    <x v="0"/>
    <x v="1"/>
    <x v="2"/>
    <n v="3300"/>
    <n v="2077.8276420000002"/>
    <n v="0"/>
    <n v="0"/>
    <n v="0"/>
    <n v="0"/>
    <n v="0"/>
    <x v="2"/>
    <n v="0"/>
    <n v="11"/>
    <n v="0"/>
    <n v="0"/>
    <n v="22.94"/>
    <n v="0"/>
    <n v="0"/>
    <n v="27.216283196676113"/>
    <n v="87.520205040180812"/>
    <m/>
    <n v="47665.366107480004"/>
    <n v="0"/>
    <n v="0"/>
    <n v="56550.745538553754"/>
    <n v="0"/>
    <n v="0"/>
  </r>
  <r>
    <s v="Regular"/>
    <x v="1"/>
    <x v="0"/>
    <x v="1"/>
    <x v="0"/>
    <x v="2"/>
    <x v="0"/>
    <x v="1"/>
    <x v="3"/>
    <n v="3300"/>
    <n v="2056.8119219999999"/>
    <n v="0"/>
    <n v="0"/>
    <n v="0"/>
    <n v="0"/>
    <n v="0"/>
    <x v="2"/>
    <n v="0"/>
    <n v="11"/>
    <n v="0"/>
    <n v="0"/>
    <n v="22.94"/>
    <n v="0"/>
    <n v="0"/>
    <n v="27.216283196676113"/>
    <n v="87.520205040180812"/>
    <m/>
    <n v="47183.265490680002"/>
    <n v="0"/>
    <n v="0"/>
    <n v="55978.775751451692"/>
    <n v="0"/>
    <n v="0"/>
  </r>
  <r>
    <s v="Regular"/>
    <x v="1"/>
    <x v="0"/>
    <x v="1"/>
    <x v="0"/>
    <x v="2"/>
    <x v="0"/>
    <x v="1"/>
    <x v="4"/>
    <n v="3300"/>
    <n v="2056.1918850000002"/>
    <n v="0"/>
    <n v="0"/>
    <n v="0"/>
    <n v="0"/>
    <n v="0"/>
    <x v="2"/>
    <n v="0"/>
    <n v="11"/>
    <n v="0"/>
    <n v="0"/>
    <n v="22.94"/>
    <n v="0"/>
    <n v="0"/>
    <n v="27.216283196676113"/>
    <n v="87.520205040180812"/>
    <m/>
    <n v="47169.041841900005"/>
    <n v="0"/>
    <n v="0"/>
    <n v="55961.900648867289"/>
    <n v="0"/>
    <n v="0"/>
  </r>
  <r>
    <s v="Regular"/>
    <x v="1"/>
    <x v="0"/>
    <x v="1"/>
    <x v="0"/>
    <x v="2"/>
    <x v="0"/>
    <x v="1"/>
    <x v="5"/>
    <n v="3300"/>
    <n v="2702.81088"/>
    <n v="0"/>
    <n v="0"/>
    <n v="0"/>
    <n v="0"/>
    <n v="0"/>
    <x v="2"/>
    <n v="0"/>
    <n v="11"/>
    <n v="0"/>
    <n v="0"/>
    <n v="22.94"/>
    <n v="0"/>
    <n v="0"/>
    <n v="27.216283196676113"/>
    <n v="87.520205040180812"/>
    <m/>
    <n v="62002.481587200004"/>
    <n v="0"/>
    <n v="0"/>
    <n v="73560.466337137375"/>
    <n v="0"/>
    <n v="0"/>
  </r>
  <r>
    <s v="Regular"/>
    <x v="1"/>
    <x v="0"/>
    <x v="1"/>
    <x v="0"/>
    <x v="2"/>
    <x v="0"/>
    <x v="1"/>
    <x v="6"/>
    <n v="3300"/>
    <n v="3300"/>
    <n v="0"/>
    <n v="0"/>
    <n v="0"/>
    <n v="0"/>
    <n v="0"/>
    <x v="2"/>
    <n v="0"/>
    <n v="11"/>
    <n v="0"/>
    <n v="0"/>
    <n v="22.94"/>
    <n v="0"/>
    <n v="0"/>
    <n v="27.216283196676113"/>
    <n v="87.520205040180812"/>
    <m/>
    <n v="75702"/>
    <n v="0"/>
    <n v="0"/>
    <n v="89813.734549031171"/>
    <n v="0"/>
    <n v="0"/>
  </r>
  <r>
    <s v="Regular"/>
    <x v="1"/>
    <x v="0"/>
    <x v="1"/>
    <x v="0"/>
    <x v="2"/>
    <x v="0"/>
    <x v="1"/>
    <x v="7"/>
    <n v="3300"/>
    <n v="3300"/>
    <n v="0"/>
    <n v="0"/>
    <n v="0"/>
    <n v="0"/>
    <n v="0"/>
    <x v="2"/>
    <n v="0"/>
    <n v="11"/>
    <n v="0"/>
    <n v="0"/>
    <n v="22.94"/>
    <n v="0"/>
    <n v="0"/>
    <n v="27.216283196676113"/>
    <n v="87.520205040180812"/>
    <m/>
    <n v="75702"/>
    <n v="0"/>
    <n v="0"/>
    <n v="89813.734549031171"/>
    <n v="0"/>
    <n v="0"/>
  </r>
  <r>
    <s v="Regular"/>
    <x v="1"/>
    <x v="0"/>
    <x v="1"/>
    <x v="0"/>
    <x v="2"/>
    <x v="0"/>
    <x v="1"/>
    <x v="8"/>
    <n v="3300"/>
    <n v="3300"/>
    <n v="0"/>
    <n v="0"/>
    <n v="0"/>
    <n v="0"/>
    <n v="0"/>
    <x v="2"/>
    <n v="0"/>
    <n v="11"/>
    <n v="0"/>
    <n v="0"/>
    <n v="22.94"/>
    <n v="0"/>
    <n v="0"/>
    <n v="27.216283196676113"/>
    <n v="87.520205040180812"/>
    <m/>
    <n v="75702"/>
    <n v="0"/>
    <n v="0"/>
    <n v="89813.734549031171"/>
    <n v="0"/>
    <n v="0"/>
  </r>
  <r>
    <s v="Regular"/>
    <x v="1"/>
    <x v="0"/>
    <x v="1"/>
    <x v="0"/>
    <x v="2"/>
    <x v="0"/>
    <x v="1"/>
    <x v="9"/>
    <n v="3300"/>
    <n v="3300"/>
    <n v="0"/>
    <n v="0"/>
    <n v="0"/>
    <n v="0"/>
    <n v="0"/>
    <x v="2"/>
    <n v="0"/>
    <n v="11"/>
    <n v="0"/>
    <n v="0"/>
    <n v="22.94"/>
    <n v="0"/>
    <n v="0"/>
    <n v="27.216283196676113"/>
    <n v="87.520205040180812"/>
    <m/>
    <n v="75702"/>
    <n v="0"/>
    <n v="0"/>
    <n v="89813.734549031171"/>
    <n v="0"/>
    <n v="0"/>
  </r>
  <r>
    <s v="Regular"/>
    <x v="1"/>
    <x v="0"/>
    <x v="1"/>
    <x v="0"/>
    <x v="2"/>
    <x v="0"/>
    <x v="1"/>
    <x v="10"/>
    <n v="3300"/>
    <n v="3300"/>
    <n v="0"/>
    <n v="0"/>
    <n v="0"/>
    <n v="0"/>
    <n v="0"/>
    <x v="2"/>
    <n v="0"/>
    <n v="11"/>
    <n v="0"/>
    <n v="0"/>
    <n v="22.94"/>
    <n v="0"/>
    <n v="0"/>
    <n v="27.216283196676113"/>
    <n v="87.520205040180812"/>
    <m/>
    <n v="75702"/>
    <n v="0"/>
    <n v="0"/>
    <n v="89813.734549031171"/>
    <n v="0"/>
    <n v="0"/>
  </r>
  <r>
    <s v="PROJETADO"/>
    <x v="1"/>
    <x v="0"/>
    <x v="1"/>
    <x v="0"/>
    <x v="2"/>
    <x v="0"/>
    <x v="1"/>
    <x v="11"/>
    <n v="3300"/>
    <n v="3300"/>
    <n v="0"/>
    <n v="0"/>
    <n v="0"/>
    <n v="0"/>
    <n v="0"/>
    <x v="2"/>
    <n v="0"/>
    <n v="11"/>
    <n v="0"/>
    <n v="0"/>
    <n v="22.94"/>
    <n v="0"/>
    <n v="0"/>
    <n v="27.216283196676113"/>
    <n v="87.520205040180812"/>
    <m/>
    <n v="75702"/>
    <n v="0"/>
    <n v="0"/>
    <n v="89813.734549031171"/>
    <n v="0"/>
    <n v="0"/>
  </r>
  <r>
    <s v="Regular"/>
    <x v="1"/>
    <x v="0"/>
    <x v="2"/>
    <x v="1"/>
    <x v="0"/>
    <x v="0"/>
    <x v="0"/>
    <x v="0"/>
    <n v="4867"/>
    <n v="4136.95"/>
    <n v="2039.0350000000001"/>
    <n v="1794.3508000000002"/>
    <n v="2039.0350000000001"/>
    <n v="1794.3508000000002"/>
    <n v="0"/>
    <x v="0"/>
    <n v="0"/>
    <n v="12"/>
    <n v="13"/>
    <n v="80"/>
    <n v="8.81"/>
    <n v="84.45"/>
    <n v="256.38"/>
    <n v="11.452356648653195"/>
    <n v="87.520205040180812"/>
    <n v="230.84299908458948"/>
    <n v="36446.529499999997"/>
    <n v="151532.92506000001"/>
    <n v="460035.65810400003"/>
    <n v="47377.826837645836"/>
    <n v="157041.94993001249"/>
    <n v="414213.32008183241"/>
  </r>
  <r>
    <s v="Regular"/>
    <x v="1"/>
    <x v="0"/>
    <x v="2"/>
    <x v="1"/>
    <x v="0"/>
    <x v="0"/>
    <x v="0"/>
    <x v="1"/>
    <n v="4896"/>
    <n v="4161.5999999999995"/>
    <n v="2322.2570000000001"/>
    <n v="2043.5861600000001"/>
    <n v="2322.2570000000001"/>
    <n v="2043.5861600000001"/>
    <n v="0"/>
    <x v="0"/>
    <n v="0"/>
    <n v="12"/>
    <n v="13"/>
    <n v="80"/>
    <n v="8.81"/>
    <n v="84.45"/>
    <n v="256.38"/>
    <n v="11.452356648653195"/>
    <n v="87.520205040180812"/>
    <n v="230.84299908458948"/>
    <n v="36663.695999999996"/>
    <n v="172580.85121200001"/>
    <n v="523934.61970079999"/>
    <n v="47660.127429035128"/>
    <n v="178855.07974047575"/>
    <n v="471747.55806215975"/>
  </r>
  <r>
    <s v="Regular"/>
    <x v="1"/>
    <x v="0"/>
    <x v="2"/>
    <x v="1"/>
    <x v="0"/>
    <x v="0"/>
    <x v="0"/>
    <x v="2"/>
    <n v="4819"/>
    <n v="4096.1499999999996"/>
    <n v="2181.991"/>
    <n v="1920.1520800000001"/>
    <n v="2181.991"/>
    <n v="1920.1520800000001"/>
    <n v="0"/>
    <x v="0"/>
    <n v="0"/>
    <n v="12"/>
    <n v="13"/>
    <n v="80"/>
    <n v="8.81"/>
    <n v="84.45"/>
    <n v="256.38"/>
    <n v="11.452356648653195"/>
    <n v="87.520205040180812"/>
    <n v="230.84299908458948"/>
    <n v="36087.0815"/>
    <n v="162156.84315600002"/>
    <n v="492288.59027039999"/>
    <n v="46910.570686380779"/>
    <n v="168052.10374992967"/>
    <n v="443253.6648457126"/>
  </r>
  <r>
    <s v="Regular"/>
    <x v="1"/>
    <x v="0"/>
    <x v="2"/>
    <x v="1"/>
    <x v="0"/>
    <x v="0"/>
    <x v="0"/>
    <x v="3"/>
    <n v="4867"/>
    <n v="4136.95"/>
    <n v="1996.2909999999999"/>
    <n v="1756.7360799999999"/>
    <n v="1996.2909999999999"/>
    <n v="1756.7360799999999"/>
    <n v="0"/>
    <x v="0"/>
    <n v="0"/>
    <n v="12"/>
    <n v="13"/>
    <n v="80"/>
    <n v="8.81"/>
    <n v="84.45"/>
    <n v="256.38"/>
    <n v="11.452356648653195"/>
    <n v="87.520205040180812"/>
    <n v="230.84299908458948"/>
    <n v="36446.529499999997"/>
    <n v="148356.36195600001"/>
    <n v="450391.99619039998"/>
    <n v="47377.826837645836"/>
    <n v="153749.90192308347"/>
    <n v="405530.22530730529"/>
  </r>
  <r>
    <s v="Regular"/>
    <x v="1"/>
    <x v="0"/>
    <x v="2"/>
    <x v="1"/>
    <x v="0"/>
    <x v="0"/>
    <x v="0"/>
    <x v="4"/>
    <n v="4877"/>
    <n v="4145.45"/>
    <n v="2130.134"/>
    <n v="1874.51792"/>
    <n v="2130.134"/>
    <n v="1874.51792"/>
    <n v="0"/>
    <x v="0"/>
    <n v="0"/>
    <n v="12"/>
    <n v="13"/>
    <n v="80"/>
    <n v="8.81"/>
    <n v="84.45"/>
    <n v="256.38"/>
    <n v="11.452356648653195"/>
    <n v="87.520205040180812"/>
    <n v="230.84299908458948"/>
    <n v="36521.414499999999"/>
    <n v="158303.038344"/>
    <n v="480588.90432959999"/>
    <n v="47475.171869159385"/>
    <n v="164058.19270989325"/>
    <n v="432719.33849060658"/>
  </r>
  <r>
    <s v="Regular"/>
    <x v="1"/>
    <x v="0"/>
    <x v="2"/>
    <x v="1"/>
    <x v="0"/>
    <x v="0"/>
    <x v="0"/>
    <x v="5"/>
    <n v="4906"/>
    <n v="4170.0999999999995"/>
    <n v="2010.1510000000001"/>
    <n v="1768.9328800000001"/>
    <n v="2010.1510000000001"/>
    <n v="1768.9328800000001"/>
    <n v="0"/>
    <x v="0"/>
    <n v="0"/>
    <n v="12"/>
    <n v="13"/>
    <n v="80"/>
    <n v="8.81"/>
    <n v="84.45"/>
    <n v="256.38"/>
    <n v="11.452356648653195"/>
    <n v="87.520205040180812"/>
    <n v="230.84299908458948"/>
    <n v="36738.580999999998"/>
    <n v="149386.381716"/>
    <n v="453519.01177440002"/>
    <n v="47757.472460548684"/>
    <n v="154817.36835991757"/>
    <n v="408345.77119854023"/>
  </r>
  <r>
    <s v="Regular"/>
    <x v="1"/>
    <x v="0"/>
    <x v="2"/>
    <x v="1"/>
    <x v="0"/>
    <x v="0"/>
    <x v="0"/>
    <x v="6"/>
    <n v="4906"/>
    <n v="4170.0999999999995"/>
    <n v="2322.9340000000002"/>
    <n v="2044.1819200000002"/>
    <n v="2322.9340000000002"/>
    <n v="2044.1819200000002"/>
    <n v="0"/>
    <x v="0"/>
    <n v="0"/>
    <n v="12"/>
    <n v="13"/>
    <n v="80"/>
    <n v="8.81"/>
    <n v="84.45"/>
    <n v="256.38"/>
    <n v="11.452356648653195"/>
    <n v="87.520205040180812"/>
    <n v="230.84299908458948"/>
    <n v="36738.580999999998"/>
    <n v="172631.16314400002"/>
    <n v="524087.36064960004"/>
    <n v="47757.472460548684"/>
    <n v="178907.22077783052"/>
    <n v="471885.0850872944"/>
  </r>
  <r>
    <s v="Regular"/>
    <x v="1"/>
    <x v="0"/>
    <x v="2"/>
    <x v="1"/>
    <x v="0"/>
    <x v="0"/>
    <x v="0"/>
    <x v="7"/>
    <n v="4810"/>
    <n v="4088.5"/>
    <n v="2311.558"/>
    <n v="2034.1710399999999"/>
    <n v="2311.558"/>
    <n v="2034.1710399999999"/>
    <n v="0"/>
    <x v="0"/>
    <n v="0"/>
    <n v="12"/>
    <n v="13"/>
    <n v="80"/>
    <n v="8.81"/>
    <n v="84.45"/>
    <n v="256.38"/>
    <n v="11.452356648653195"/>
    <n v="87.520205040180812"/>
    <n v="230.84299908458948"/>
    <n v="36019.685000000005"/>
    <n v="171785.744328"/>
    <n v="521520.77123519999"/>
    <n v="46822.960158018592"/>
    <n v="178031.06650759783"/>
    <n v="469574.14352461841"/>
  </r>
  <r>
    <s v="Regular"/>
    <x v="1"/>
    <x v="0"/>
    <x v="2"/>
    <x v="1"/>
    <x v="0"/>
    <x v="0"/>
    <x v="0"/>
    <x v="8"/>
    <n v="4848"/>
    <n v="4120.8"/>
    <n v="2535.71"/>
    <n v="2231.4248000000002"/>
    <n v="2535.71"/>
    <n v="2231.4248000000002"/>
    <n v="0"/>
    <x v="0"/>
    <n v="0"/>
    <n v="12"/>
    <n v="13"/>
    <n v="80"/>
    <n v="8.81"/>
    <n v="84.45"/>
    <n v="256.38"/>
    <n v="11.452356648653195"/>
    <n v="87.520205040180812"/>
    <n v="230.84299908458948"/>
    <n v="36304.248000000007"/>
    <n v="188443.82436000003"/>
    <n v="572092.69022400002"/>
    <n v="47192.871277770086"/>
    <n v="195294.75602774447"/>
    <n v="515108.79306373029"/>
  </r>
  <r>
    <s v="Regular"/>
    <x v="1"/>
    <x v="0"/>
    <x v="2"/>
    <x v="1"/>
    <x v="0"/>
    <x v="0"/>
    <x v="0"/>
    <x v="9"/>
    <n v="4867"/>
    <n v="4136.95"/>
    <n v="2454.13"/>
    <n v="2159.6343999999999"/>
    <n v="2454.13"/>
    <n v="2159.6343999999999"/>
    <n v="0"/>
    <x v="0"/>
    <n v="0"/>
    <n v="12"/>
    <n v="13"/>
    <n v="80"/>
    <n v="8.81"/>
    <n v="84.45"/>
    <n v="256.38"/>
    <n v="11.452356648653195"/>
    <n v="87.520205040180812"/>
    <n v="230.84299908458948"/>
    <n v="36446.529499999997"/>
    <n v="182381.12508"/>
    <n v="553687.06747200002"/>
    <n v="47377.826837645836"/>
    <n v="189011.64549982786"/>
    <n v="498536.48182224791"/>
  </r>
  <r>
    <s v="Regular"/>
    <x v="1"/>
    <x v="0"/>
    <x v="2"/>
    <x v="1"/>
    <x v="0"/>
    <x v="0"/>
    <x v="0"/>
    <x v="10"/>
    <n v="4858"/>
    <n v="4129.3"/>
    <n v="2414.172"/>
    <n v="2124.47136"/>
    <n v="2414.172"/>
    <n v="2124.47136"/>
    <n v="0"/>
    <x v="0"/>
    <n v="0"/>
    <n v="12"/>
    <n v="13"/>
    <n v="80"/>
    <n v="8.81"/>
    <n v="84.45"/>
    <n v="256.38"/>
    <n v="11.452356648653195"/>
    <n v="87.520205040180812"/>
    <n v="230.84299908458948"/>
    <n v="36379.133000000002"/>
    <n v="179411.606352"/>
    <n v="544671.96727679996"/>
    <n v="47290.216309283642"/>
    <n v="185934.16902919178"/>
    <n v="490419.34021171654"/>
  </r>
  <r>
    <s v="PROJETADO"/>
    <x v="1"/>
    <x v="0"/>
    <x v="2"/>
    <x v="1"/>
    <x v="0"/>
    <x v="0"/>
    <x v="0"/>
    <x v="11"/>
    <n v="4858"/>
    <n v="4129.3"/>
    <n v="2414.172"/>
    <n v="2124.47136"/>
    <n v="2414.172"/>
    <n v="2124.47136"/>
    <n v="0"/>
    <x v="0"/>
    <n v="0"/>
    <n v="12"/>
    <n v="13"/>
    <n v="80"/>
    <n v="8.81"/>
    <n v="84.45"/>
    <n v="256.38"/>
    <n v="11.452356648653195"/>
    <n v="87.520205040180812"/>
    <n v="230.84299908458948"/>
    <n v="36379.133000000002"/>
    <n v="179411.606352"/>
    <n v="544671.96727679996"/>
    <n v="47290.216309283642"/>
    <n v="185934.16902919178"/>
    <n v="490419.34021171654"/>
  </r>
  <r>
    <s v="Regular"/>
    <x v="1"/>
    <x v="0"/>
    <x v="2"/>
    <x v="1"/>
    <x v="0"/>
    <x v="0"/>
    <x v="1"/>
    <x v="0"/>
    <n v="3800"/>
    <n v="3230"/>
    <n v="212.26300000000001"/>
    <n v="186.79143999999999"/>
    <n v="212.26300000000001"/>
    <n v="186.79143999999999"/>
    <n v="0"/>
    <x v="0"/>
    <n v="0"/>
    <n v="11"/>
    <n v="13"/>
    <n v="79"/>
    <n v="22.94"/>
    <n v="84.45"/>
    <n v="430.87"/>
    <n v="27.216283196676113"/>
    <n v="87.520205040180812"/>
    <n v="375.70671275609089"/>
    <n v="74096.2"/>
    <n v="15774.537108"/>
    <n v="80482.827752800004"/>
    <n v="87908.594725263843"/>
    <n v="16348.025128550631"/>
    <n v="70178.797893376584"/>
  </r>
  <r>
    <s v="Regular"/>
    <x v="1"/>
    <x v="0"/>
    <x v="2"/>
    <x v="1"/>
    <x v="0"/>
    <x v="0"/>
    <x v="1"/>
    <x v="1"/>
    <n v="3800"/>
    <n v="3230"/>
    <n v="249.39599999999999"/>
    <n v="219.46848"/>
    <n v="249.39599999999999"/>
    <n v="219.46848"/>
    <n v="0"/>
    <x v="0"/>
    <n v="0"/>
    <n v="11"/>
    <n v="13"/>
    <n v="79"/>
    <n v="22.94"/>
    <n v="84.45"/>
    <n v="430.87"/>
    <n v="27.216283196676113"/>
    <n v="87.520205040180812"/>
    <n v="375.70671275609089"/>
    <n v="74096.2"/>
    <n v="18534.113136"/>
    <n v="94562.383977599995"/>
    <n v="87908.594725263843"/>
    <n v="19207.926369456822"/>
    <n v="82455.781174375879"/>
  </r>
  <r>
    <s v="Regular"/>
    <x v="1"/>
    <x v="0"/>
    <x v="2"/>
    <x v="1"/>
    <x v="0"/>
    <x v="0"/>
    <x v="1"/>
    <x v="2"/>
    <n v="3936"/>
    <n v="3345.6"/>
    <n v="217.93199999999999"/>
    <n v="191.78016"/>
    <n v="217.93199999999999"/>
    <n v="191.78016"/>
    <n v="0"/>
    <x v="0"/>
    <n v="0"/>
    <n v="11"/>
    <n v="13"/>
    <n v="79"/>
    <n v="22.94"/>
    <n v="84.45"/>
    <n v="430.87"/>
    <n v="27.216283196676113"/>
    <n v="87.520205040180812"/>
    <n v="375.70671275609089"/>
    <n v="76748.063999999998"/>
    <n v="16195.834511999999"/>
    <n v="82632.317539199998"/>
    <n v="91054.797062799596"/>
    <n v="16784.638925838681"/>
    <n v="72053.093485437144"/>
  </r>
  <r>
    <s v="Regular"/>
    <x v="1"/>
    <x v="0"/>
    <x v="2"/>
    <x v="1"/>
    <x v="0"/>
    <x v="0"/>
    <x v="1"/>
    <x v="3"/>
    <n v="3800"/>
    <n v="3230"/>
    <n v="183.30699999999999"/>
    <n v="161.31016"/>
    <n v="183.30699999999999"/>
    <n v="161.31016"/>
    <n v="0"/>
    <x v="0"/>
    <n v="0"/>
    <n v="11"/>
    <n v="13"/>
    <n v="79"/>
    <n v="22.94"/>
    <n v="84.45"/>
    <n v="430.87"/>
    <n v="27.216283196676113"/>
    <n v="87.520205040180812"/>
    <n v="375.70671275609089"/>
    <n v="74096.2"/>
    <n v="13622.643012"/>
    <n v="69503.708639200006"/>
    <n v="87908.594725263843"/>
    <n v="14117.898278264372"/>
    <n v="60605.309947759059"/>
  </r>
  <r>
    <s v="Regular"/>
    <x v="1"/>
    <x v="0"/>
    <x v="2"/>
    <x v="1"/>
    <x v="0"/>
    <x v="0"/>
    <x v="1"/>
    <x v="4"/>
    <n v="3888"/>
    <n v="3304.7999999999997"/>
    <n v="233.4"/>
    <n v="205.392"/>
    <n v="233.4"/>
    <n v="205.392"/>
    <n v="0"/>
    <x v="0"/>
    <n v="0"/>
    <n v="11"/>
    <n v="13"/>
    <n v="79"/>
    <n v="22.94"/>
    <n v="84.45"/>
    <n v="430.87"/>
    <n v="27.216283196676113"/>
    <n v="87.520205040180812"/>
    <n v="375.70671275609089"/>
    <n v="75812.111999999994"/>
    <n v="17345.3544"/>
    <n v="88497.251040000003"/>
    <n v="89944.372708375216"/>
    <n v="17975.949953612817"/>
    <n v="77167.153146399025"/>
  </r>
  <r>
    <s v="Regular"/>
    <x v="1"/>
    <x v="0"/>
    <x v="2"/>
    <x v="1"/>
    <x v="0"/>
    <x v="0"/>
    <x v="1"/>
    <x v="5"/>
    <n v="3888"/>
    <n v="3304.7999999999997"/>
    <n v="195.57400000000001"/>
    <n v="172.10512"/>
    <n v="195.57400000000001"/>
    <n v="172.10512"/>
    <n v="0"/>
    <x v="0"/>
    <n v="0"/>
    <n v="11"/>
    <n v="13"/>
    <n v="79"/>
    <n v="22.94"/>
    <n v="84.45"/>
    <n v="430.87"/>
    <n v="27.216283196676113"/>
    <n v="87.520205040180812"/>
    <n v="375.70671275609089"/>
    <n v="75812.111999999994"/>
    <n v="14534.277384000001"/>
    <n v="74154.933054399997"/>
    <n v="89944.372708375216"/>
    <n v="15062.675390864924"/>
    <n v="64661.048883692551"/>
  </r>
  <r>
    <s v="Regular"/>
    <x v="1"/>
    <x v="0"/>
    <x v="2"/>
    <x v="1"/>
    <x v="0"/>
    <x v="0"/>
    <x v="1"/>
    <x v="6"/>
    <n v="3878"/>
    <n v="3296.2999999999997"/>
    <n v="198.732"/>
    <n v="174.88416000000001"/>
    <n v="198.732"/>
    <n v="174.88416000000001"/>
    <n v="0"/>
    <x v="0"/>
    <n v="0"/>
    <n v="11"/>
    <n v="13"/>
    <n v="79"/>
    <n v="22.94"/>
    <n v="84.45"/>
    <n v="430.87"/>
    <n v="27.216283196676113"/>
    <n v="87.520205040180812"/>
    <n v="375.70671275609089"/>
    <n v="75617.122000000003"/>
    <n v="14768.967312000001"/>
    <n v="75352.338019200004"/>
    <n v="89713.034301203457"/>
    <n v="15305.897541479788"/>
    <n v="65705.152866710239"/>
  </r>
  <r>
    <s v="Regular"/>
    <x v="1"/>
    <x v="0"/>
    <x v="2"/>
    <x v="1"/>
    <x v="0"/>
    <x v="0"/>
    <x v="1"/>
    <x v="7"/>
    <n v="3859"/>
    <n v="3280.15"/>
    <n v="212.70500000000001"/>
    <n v="187.18040000000002"/>
    <n v="212.70500000000001"/>
    <n v="187.18040000000002"/>
    <n v="0"/>
    <x v="0"/>
    <n v="0"/>
    <n v="11"/>
    <n v="13"/>
    <n v="79"/>
    <n v="22.94"/>
    <n v="84.45"/>
    <n v="430.87"/>
    <n v="27.216283196676113"/>
    <n v="87.520205040180812"/>
    <n v="375.70671275609089"/>
    <n v="75246.641000000003"/>
    <n v="15807.384780000002"/>
    <n v="80650.418948000006"/>
    <n v="89273.491327577154"/>
    <n v="16382.066987503062"/>
    <n v="70324.932776370202"/>
  </r>
  <r>
    <s v="Regular"/>
    <x v="1"/>
    <x v="0"/>
    <x v="2"/>
    <x v="1"/>
    <x v="0"/>
    <x v="0"/>
    <x v="1"/>
    <x v="8"/>
    <n v="3869"/>
    <n v="3288.65"/>
    <n v="235.36600000000001"/>
    <n v="207.12208000000001"/>
    <n v="235.36600000000001"/>
    <n v="207.12208000000001"/>
    <n v="0"/>
    <x v="0"/>
    <n v="0"/>
    <n v="11"/>
    <n v="13"/>
    <n v="79"/>
    <n v="22.94"/>
    <n v="84.45"/>
    <n v="430.87"/>
    <n v="27.216283196676113"/>
    <n v="87.520205040180812"/>
    <n v="375.70671275609089"/>
    <n v="75441.631000000008"/>
    <n v="17491.459656000003"/>
    <n v="89242.690609600002"/>
    <n v="89504.829734748899"/>
    <n v="18127.366909948734"/>
    <n v="77817.155816004088"/>
  </r>
  <r>
    <s v="Regular"/>
    <x v="1"/>
    <x v="0"/>
    <x v="2"/>
    <x v="1"/>
    <x v="0"/>
    <x v="0"/>
    <x v="1"/>
    <x v="9"/>
    <n v="3869"/>
    <n v="3288.65"/>
    <n v="234.86600000000001"/>
    <n v="206.68208000000001"/>
    <n v="234.86600000000001"/>
    <n v="206.68208000000001"/>
    <n v="0"/>
    <x v="0"/>
    <n v="0"/>
    <n v="11"/>
    <n v="13"/>
    <n v="79"/>
    <n v="22.94"/>
    <n v="84.45"/>
    <n v="430.87"/>
    <n v="27.216283196676113"/>
    <n v="87.520205040180812"/>
    <n v="375.70671275609089"/>
    <n v="75441.631000000008"/>
    <n v="17454.301656000003"/>
    <n v="89053.107809600013"/>
    <n v="89504.829734748899"/>
    <n v="18088.858019731055"/>
    <n v="77651.844862391401"/>
  </r>
  <r>
    <s v="Regular"/>
    <x v="1"/>
    <x v="0"/>
    <x v="2"/>
    <x v="1"/>
    <x v="0"/>
    <x v="0"/>
    <x v="1"/>
    <x v="10"/>
    <n v="3878"/>
    <n v="3296.2999999999997"/>
    <n v="259.03699999999998"/>
    <n v="227.95255999999998"/>
    <n v="259.03699999999998"/>
    <n v="227.95255999999998"/>
    <n v="0"/>
    <x v="0"/>
    <n v="0"/>
    <n v="11"/>
    <n v="13"/>
    <n v="79"/>
    <n v="22.94"/>
    <n v="84.45"/>
    <n v="430.87"/>
    <n v="27.216283196676113"/>
    <n v="87.520205040180812"/>
    <n v="375.70671275609089"/>
    <n v="75617.122000000003"/>
    <n v="19250.593691999999"/>
    <n v="98217.919527199992"/>
    <n v="89713.034301203457"/>
    <n v="19950.454790634118"/>
    <n v="85643.306981935573"/>
  </r>
  <r>
    <s v="PROJETADO"/>
    <x v="1"/>
    <x v="0"/>
    <x v="2"/>
    <x v="1"/>
    <x v="0"/>
    <x v="0"/>
    <x v="1"/>
    <x v="11"/>
    <n v="3878"/>
    <n v="3296.2999999999997"/>
    <n v="259.03699999999998"/>
    <n v="227.95255999999998"/>
    <n v="259.03699999999998"/>
    <n v="227.95255999999998"/>
    <n v="0"/>
    <x v="0"/>
    <n v="0"/>
    <n v="11"/>
    <n v="13"/>
    <n v="79"/>
    <n v="22.94"/>
    <n v="84.45"/>
    <n v="430.87"/>
    <n v="27.216283196676113"/>
    <n v="87.520205040180812"/>
    <n v="375.70671275609089"/>
    <n v="75617.122000000003"/>
    <n v="19250.593691999999"/>
    <n v="98217.919527199992"/>
    <n v="89713.034301203457"/>
    <n v="19950.454790634118"/>
    <n v="85643.306981935573"/>
  </r>
  <r>
    <s v="Regular"/>
    <x v="1"/>
    <x v="2"/>
    <x v="3"/>
    <x v="0"/>
    <x v="0"/>
    <x v="4"/>
    <x v="2"/>
    <x v="0"/>
    <n v="24000"/>
    <n v="15036"/>
    <n v="0"/>
    <n v="0"/>
    <n v="0"/>
    <n v="0"/>
    <n v="0"/>
    <x v="4"/>
    <n v="1975"/>
    <n v="15"/>
    <n v="0"/>
    <n v="0"/>
    <n v="3.6"/>
    <n v="0"/>
    <n v="0"/>
    <n v="3.7060953074592176"/>
    <m/>
    <m/>
    <n v="54129.599999999999"/>
    <n v="0"/>
    <n v="0"/>
    <n v="55724.849042956797"/>
    <n v="0"/>
    <n v="0"/>
  </r>
  <r>
    <s v="Regular"/>
    <x v="1"/>
    <x v="2"/>
    <x v="3"/>
    <x v="0"/>
    <x v="0"/>
    <x v="4"/>
    <x v="2"/>
    <x v="1"/>
    <n v="24000"/>
    <n v="13956"/>
    <n v="0"/>
    <n v="0"/>
    <n v="0"/>
    <n v="0"/>
    <n v="0"/>
    <x v="4"/>
    <n v="1975"/>
    <n v="15"/>
    <n v="0"/>
    <n v="0"/>
    <n v="3.6"/>
    <n v="0"/>
    <n v="0"/>
    <n v="3.7060953074592176"/>
    <m/>
    <m/>
    <n v="50241.599999999999"/>
    <n v="0"/>
    <n v="0"/>
    <n v="51722.26611090084"/>
    <n v="0"/>
    <n v="0"/>
  </r>
  <r>
    <s v="Regular"/>
    <x v="1"/>
    <x v="2"/>
    <x v="3"/>
    <x v="0"/>
    <x v="0"/>
    <x v="4"/>
    <x v="2"/>
    <x v="2"/>
    <n v="24000"/>
    <n v="14023.2"/>
    <n v="0"/>
    <n v="0"/>
    <n v="0"/>
    <n v="0"/>
    <n v="0"/>
    <x v="4"/>
    <n v="1975"/>
    <n v="15"/>
    <n v="0"/>
    <n v="0"/>
    <n v="3.6"/>
    <n v="0"/>
    <n v="0"/>
    <n v="3.7060953074592176"/>
    <m/>
    <m/>
    <n v="50483.520000000004"/>
    <n v="0"/>
    <n v="0"/>
    <n v="51971.315715562101"/>
    <n v="0"/>
    <n v="0"/>
  </r>
  <r>
    <s v="Regular"/>
    <x v="1"/>
    <x v="2"/>
    <x v="3"/>
    <x v="0"/>
    <x v="0"/>
    <x v="4"/>
    <x v="2"/>
    <x v="3"/>
    <n v="24000"/>
    <n v="13870.8"/>
    <n v="0"/>
    <n v="0"/>
    <n v="0"/>
    <n v="0"/>
    <n v="0"/>
    <x v="4"/>
    <n v="1975"/>
    <n v="15"/>
    <n v="0"/>
    <n v="0"/>
    <n v="3.6"/>
    <n v="0"/>
    <n v="0"/>
    <n v="3.7060953074592176"/>
    <m/>
    <m/>
    <n v="49934.879999999997"/>
    <n v="0"/>
    <n v="0"/>
    <n v="51406.506790705309"/>
    <n v="0"/>
    <n v="0"/>
  </r>
  <r>
    <s v="Regular"/>
    <x v="1"/>
    <x v="2"/>
    <x v="3"/>
    <x v="0"/>
    <x v="0"/>
    <x v="4"/>
    <x v="2"/>
    <x v="4"/>
    <n v="24000"/>
    <n v="13872"/>
    <n v="0"/>
    <n v="0"/>
    <n v="0"/>
    <n v="0"/>
    <n v="0"/>
    <x v="4"/>
    <n v="1975"/>
    <n v="15"/>
    <n v="0"/>
    <n v="0"/>
    <n v="3.6"/>
    <n v="0"/>
    <n v="0"/>
    <n v="3.7060953074592176"/>
    <m/>
    <m/>
    <n v="49939.200000000004"/>
    <n v="0"/>
    <n v="0"/>
    <n v="51410.954105074263"/>
    <n v="0"/>
    <n v="0"/>
  </r>
  <r>
    <s v="Regular"/>
    <x v="1"/>
    <x v="2"/>
    <x v="3"/>
    <x v="0"/>
    <x v="0"/>
    <x v="4"/>
    <x v="2"/>
    <x v="5"/>
    <n v="24000"/>
    <n v="13851.6"/>
    <n v="0"/>
    <n v="0"/>
    <n v="0"/>
    <n v="0"/>
    <n v="0"/>
    <x v="4"/>
    <n v="1975"/>
    <n v="15"/>
    <n v="0"/>
    <n v="0"/>
    <n v="3.6"/>
    <n v="0"/>
    <n v="0"/>
    <n v="3.7060953074592176"/>
    <m/>
    <m/>
    <n v="49865.760000000002"/>
    <n v="0"/>
    <n v="0"/>
    <n v="51335.349760802099"/>
    <n v="0"/>
    <n v="0"/>
  </r>
  <r>
    <s v="Regular"/>
    <x v="1"/>
    <x v="2"/>
    <x v="3"/>
    <x v="0"/>
    <x v="0"/>
    <x v="4"/>
    <x v="2"/>
    <x v="6"/>
    <n v="24000"/>
    <n v="13862.4"/>
    <n v="0"/>
    <n v="0"/>
    <n v="0"/>
    <n v="0"/>
    <n v="0"/>
    <x v="4"/>
    <n v="1975"/>
    <n v="15"/>
    <n v="0"/>
    <n v="0"/>
    <n v="3.6"/>
    <n v="0"/>
    <n v="0"/>
    <n v="3.7060953074592176"/>
    <m/>
    <m/>
    <n v="49904.639999999999"/>
    <n v="0"/>
    <n v="0"/>
    <n v="51375.375590122654"/>
    <n v="0"/>
    <n v="0"/>
  </r>
  <r>
    <s v="Regular"/>
    <x v="1"/>
    <x v="2"/>
    <x v="3"/>
    <x v="0"/>
    <x v="0"/>
    <x v="4"/>
    <x v="2"/>
    <x v="7"/>
    <n v="24000"/>
    <n v="13870.8"/>
    <n v="0"/>
    <n v="0"/>
    <n v="0"/>
    <n v="0"/>
    <n v="0"/>
    <x v="4"/>
    <n v="1975"/>
    <n v="15"/>
    <n v="0"/>
    <n v="0"/>
    <n v="3.6"/>
    <n v="0"/>
    <n v="0"/>
    <n v="3.7060953074592176"/>
    <m/>
    <m/>
    <n v="49934.879999999997"/>
    <n v="0"/>
    <n v="0"/>
    <n v="51406.506790705309"/>
    <n v="0"/>
    <n v="0"/>
  </r>
  <r>
    <s v="Regular"/>
    <x v="1"/>
    <x v="2"/>
    <x v="3"/>
    <x v="0"/>
    <x v="0"/>
    <x v="4"/>
    <x v="2"/>
    <x v="8"/>
    <n v="24000"/>
    <n v="13812"/>
    <n v="0"/>
    <n v="0"/>
    <n v="0"/>
    <n v="0"/>
    <n v="0"/>
    <x v="4"/>
    <n v="1975"/>
    <n v="15"/>
    <n v="0"/>
    <n v="0"/>
    <n v="3.6"/>
    <n v="0"/>
    <n v="0"/>
    <n v="3.7060953074592176"/>
    <m/>
    <m/>
    <n v="49723.200000000004"/>
    <n v="0"/>
    <n v="0"/>
    <n v="51188.58838662671"/>
    <n v="0"/>
    <n v="0"/>
  </r>
  <r>
    <s v="Regular"/>
    <x v="1"/>
    <x v="2"/>
    <x v="3"/>
    <x v="0"/>
    <x v="0"/>
    <x v="4"/>
    <x v="2"/>
    <x v="9"/>
    <n v="24000"/>
    <n v="13790.4"/>
    <n v="0"/>
    <n v="0"/>
    <n v="0"/>
    <n v="0"/>
    <n v="0"/>
    <x v="4"/>
    <n v="1975"/>
    <n v="15"/>
    <n v="0"/>
    <n v="0"/>
    <n v="3.6"/>
    <n v="0"/>
    <n v="0"/>
    <n v="3.7060953074592176"/>
    <m/>
    <m/>
    <n v="49645.440000000002"/>
    <n v="0"/>
    <n v="0"/>
    <n v="51108.536727985593"/>
    <n v="0"/>
    <n v="0"/>
  </r>
  <r>
    <s v="Regular"/>
    <x v="1"/>
    <x v="2"/>
    <x v="3"/>
    <x v="0"/>
    <x v="0"/>
    <x v="4"/>
    <x v="2"/>
    <x v="10"/>
    <n v="24000"/>
    <n v="13778.4"/>
    <n v="0"/>
    <n v="0"/>
    <n v="0"/>
    <n v="0"/>
    <n v="0"/>
    <x v="4"/>
    <n v="1975"/>
    <n v="15"/>
    <n v="0"/>
    <n v="0"/>
    <n v="3.6"/>
    <n v="0"/>
    <n v="0"/>
    <n v="3.7060953074592176"/>
    <m/>
    <m/>
    <n v="49602.239999999998"/>
    <n v="0"/>
    <n v="0"/>
    <n v="51064.063584296084"/>
    <n v="0"/>
    <n v="0"/>
  </r>
  <r>
    <s v="PROJETADO"/>
    <x v="1"/>
    <x v="2"/>
    <x v="3"/>
    <x v="0"/>
    <x v="0"/>
    <x v="4"/>
    <x v="2"/>
    <x v="11"/>
    <n v="24000"/>
    <n v="13778.4"/>
    <n v="0"/>
    <n v="0"/>
    <n v="0"/>
    <n v="0"/>
    <n v="0"/>
    <x v="4"/>
    <n v="1975"/>
    <n v="15"/>
    <n v="0"/>
    <n v="0"/>
    <n v="3.6"/>
    <n v="0"/>
    <n v="0"/>
    <n v="3.7060953074592176"/>
    <m/>
    <m/>
    <n v="49602.239999999998"/>
    <n v="0"/>
    <n v="0"/>
    <n v="51064.063584296084"/>
    <n v="0"/>
    <n v="0"/>
  </r>
  <r>
    <s v="Regular"/>
    <x v="1"/>
    <x v="3"/>
    <x v="0"/>
    <x v="0"/>
    <x v="0"/>
    <x v="0"/>
    <x v="0"/>
    <x v="0"/>
    <n v="0"/>
    <n v="0"/>
    <n v="39.167000000000002"/>
    <n v="39.167000000000002"/>
    <n v="39.167000000000002"/>
    <n v="39.167000000000002"/>
    <n v="0"/>
    <x v="0"/>
    <n v="0"/>
    <n v="0"/>
    <n v="18"/>
    <n v="80"/>
    <n v="0"/>
    <n v="84.45"/>
    <n v="256.38"/>
    <m/>
    <n v="87.520205040180812"/>
    <n v="230.84299908458948"/>
    <n v="0"/>
    <n v="3307.6531500000001"/>
    <n v="10041.63546"/>
    <n v="0"/>
    <n v="3427.9038708087619"/>
    <n v="9041.4277451461166"/>
  </r>
  <r>
    <s v="Refaturamento - Regular"/>
    <x v="1"/>
    <x v="3"/>
    <x v="0"/>
    <x v="0"/>
    <x v="0"/>
    <x v="0"/>
    <x v="0"/>
    <x v="0"/>
    <n v="0"/>
    <n v="0"/>
    <n v="24.533000000000001"/>
    <n v="24.533000000000001"/>
    <n v="24.533000000000001"/>
    <n v="24.533000000000001"/>
    <n v="0"/>
    <x v="0"/>
    <n v="0"/>
    <n v="0"/>
    <n v="18"/>
    <n v="80"/>
    <n v="0"/>
    <n v="84.45"/>
    <n v="256.38"/>
    <m/>
    <n v="87.520205040180812"/>
    <n v="230.84299908458948"/>
    <n v="0"/>
    <n v="2071.81185"/>
    <n v="6289.7705400000004"/>
    <n v="0"/>
    <n v="2147.1331902507559"/>
    <n v="5663.2712965422343"/>
  </r>
  <r>
    <s v="Regular"/>
    <x v="1"/>
    <x v="3"/>
    <x v="0"/>
    <x v="0"/>
    <x v="0"/>
    <x v="0"/>
    <x v="0"/>
    <x v="1"/>
    <n v="0"/>
    <n v="0"/>
    <n v="68.495999999999995"/>
    <n v="68.495999999999995"/>
    <n v="68.495999999999995"/>
    <n v="68.495999999999995"/>
    <n v="0"/>
    <x v="0"/>
    <n v="0"/>
    <n v="0"/>
    <n v="18"/>
    <n v="80"/>
    <n v="0"/>
    <n v="84.45"/>
    <n v="256.38"/>
    <m/>
    <n v="87.520205040180812"/>
    <n v="230.84299908458948"/>
    <n v="0"/>
    <n v="5784.4871999999996"/>
    <n v="17561.00448"/>
    <n v="0"/>
    <n v="5994.7839644322248"/>
    <n v="15811.82206529804"/>
  </r>
  <r>
    <s v="Regular"/>
    <x v="1"/>
    <x v="3"/>
    <x v="0"/>
    <x v="0"/>
    <x v="0"/>
    <x v="0"/>
    <x v="0"/>
    <x v="2"/>
    <n v="0"/>
    <n v="0"/>
    <n v="65.436999999999998"/>
    <n v="65.436999999999998"/>
    <n v="65.436999999999998"/>
    <n v="65.436999999999998"/>
    <n v="0"/>
    <x v="0"/>
    <n v="0"/>
    <n v="0"/>
    <n v="18"/>
    <n v="80"/>
    <n v="0"/>
    <n v="84.45"/>
    <n v="256.38"/>
    <m/>
    <n v="87.520205040180812"/>
    <n v="230.84299908458948"/>
    <n v="0"/>
    <n v="5526.1546500000004"/>
    <n v="16776.73806"/>
    <n v="0"/>
    <n v="5727.0596572143113"/>
    <n v="15105.673331098282"/>
  </r>
  <r>
    <s v="Regular"/>
    <x v="1"/>
    <x v="3"/>
    <x v="0"/>
    <x v="0"/>
    <x v="0"/>
    <x v="0"/>
    <x v="0"/>
    <x v="3"/>
    <n v="0"/>
    <n v="0"/>
    <n v="70.266999999999996"/>
    <n v="70.266999999999996"/>
    <n v="70.266999999999996"/>
    <n v="70.266999999999996"/>
    <n v="0"/>
    <x v="0"/>
    <n v="0"/>
    <n v="0"/>
    <n v="18"/>
    <n v="80"/>
    <n v="0"/>
    <n v="84.45"/>
    <n v="256.38"/>
    <m/>
    <n v="87.520205040180812"/>
    <n v="230.84299908458948"/>
    <n v="0"/>
    <n v="5934.0481499999996"/>
    <n v="18015.053459999999"/>
    <n v="0"/>
    <n v="6149.7822475583844"/>
    <n v="16220.645016676848"/>
  </r>
  <r>
    <s v="Regular"/>
    <x v="1"/>
    <x v="3"/>
    <x v="0"/>
    <x v="0"/>
    <x v="0"/>
    <x v="0"/>
    <x v="0"/>
    <x v="4"/>
    <n v="0"/>
    <n v="0"/>
    <n v="74.709000000000003"/>
    <n v="74.709000000000003"/>
    <n v="74.709000000000003"/>
    <n v="74.709000000000003"/>
    <n v="0"/>
    <x v="0"/>
    <n v="0"/>
    <n v="0"/>
    <n v="18"/>
    <n v="80"/>
    <n v="0"/>
    <n v="84.45"/>
    <n v="256.38"/>
    <m/>
    <n v="87.520205040180812"/>
    <n v="230.84299908458948"/>
    <n v="0"/>
    <n v="6309.1750500000007"/>
    <n v="19153.89342"/>
    <n v="0"/>
    <n v="6538.5469983468683"/>
    <n v="17246.049618610596"/>
  </r>
  <r>
    <s v="Regular"/>
    <x v="1"/>
    <x v="3"/>
    <x v="0"/>
    <x v="0"/>
    <x v="0"/>
    <x v="0"/>
    <x v="0"/>
    <x v="5"/>
    <n v="0"/>
    <n v="0"/>
    <n v="63.081000000000003"/>
    <n v="63.081000000000003"/>
    <n v="63.081000000000003"/>
    <n v="63.081000000000003"/>
    <n v="0"/>
    <x v="0"/>
    <n v="0"/>
    <n v="0"/>
    <n v="18"/>
    <n v="80"/>
    <n v="0"/>
    <n v="84.45"/>
    <n v="256.38"/>
    <m/>
    <n v="87.520205040180812"/>
    <n v="230.84299908458948"/>
    <n v="0"/>
    <n v="5327.1904500000001"/>
    <n v="16172.70678"/>
    <n v="0"/>
    <n v="5520.8620541396458"/>
    <n v="14561.80722525499"/>
  </r>
  <r>
    <s v="Regular"/>
    <x v="1"/>
    <x v="3"/>
    <x v="0"/>
    <x v="0"/>
    <x v="0"/>
    <x v="0"/>
    <x v="0"/>
    <x v="6"/>
    <n v="0"/>
    <n v="0"/>
    <n v="25.588000000000001"/>
    <n v="25.588000000000001"/>
    <n v="25.588000000000001"/>
    <n v="25.588000000000001"/>
    <n v="0"/>
    <x v="0"/>
    <n v="0"/>
    <n v="0"/>
    <n v="18"/>
    <n v="80"/>
    <n v="0"/>
    <n v="84.45"/>
    <n v="256.38"/>
    <m/>
    <n v="87.520205040180812"/>
    <n v="230.84299908458948"/>
    <n v="0"/>
    <n v="2160.9066000000003"/>
    <n v="6560.25144"/>
    <n v="0"/>
    <n v="2239.4670065681466"/>
    <n v="5906.810660576476"/>
  </r>
  <r>
    <s v="Regular"/>
    <x v="1"/>
    <x v="3"/>
    <x v="0"/>
    <x v="0"/>
    <x v="0"/>
    <x v="0"/>
    <x v="0"/>
    <x v="7"/>
    <n v="0"/>
    <n v="0"/>
    <n v="22.812000000000001"/>
    <n v="22.812000000000001"/>
    <n v="22.812000000000001"/>
    <n v="22.812000000000001"/>
    <n v="0"/>
    <x v="0"/>
    <n v="0"/>
    <n v="0"/>
    <n v="18"/>
    <n v="80"/>
    <n v="0"/>
    <n v="84.45"/>
    <n v="256.38"/>
    <m/>
    <n v="87.520205040180812"/>
    <n v="230.84299908458948"/>
    <n v="0"/>
    <n v="1926.4734000000001"/>
    <n v="5848.5405600000004"/>
    <n v="0"/>
    <n v="1996.5109173766048"/>
    <n v="5265.9904951176559"/>
  </r>
  <r>
    <s v="Regular"/>
    <x v="1"/>
    <x v="3"/>
    <x v="0"/>
    <x v="0"/>
    <x v="0"/>
    <x v="0"/>
    <x v="0"/>
    <x v="8"/>
    <n v="0"/>
    <n v="0"/>
    <n v="30.798999999999999"/>
    <n v="30.798999999999999"/>
    <n v="30.798999999999999"/>
    <n v="30.798999999999999"/>
    <n v="0"/>
    <x v="0"/>
    <n v="0"/>
    <n v="0"/>
    <n v="18"/>
    <n v="80"/>
    <n v="0"/>
    <n v="84.45"/>
    <n v="256.38"/>
    <m/>
    <n v="87.520205040180812"/>
    <n v="230.84299908458948"/>
    <n v="0"/>
    <n v="2600.9755500000001"/>
    <n v="7896.2476200000001"/>
    <n v="0"/>
    <n v="2695.534795032529"/>
    <n v="7109.7335288062714"/>
  </r>
  <r>
    <s v="Regular"/>
    <x v="1"/>
    <x v="3"/>
    <x v="0"/>
    <x v="0"/>
    <x v="0"/>
    <x v="0"/>
    <x v="0"/>
    <x v="9"/>
    <n v="0"/>
    <n v="0"/>
    <n v="33.555"/>
    <n v="33.555"/>
    <n v="33.555"/>
    <n v="33.555"/>
    <n v="0"/>
    <x v="0"/>
    <n v="0"/>
    <n v="0"/>
    <n v="18"/>
    <n v="80"/>
    <n v="0"/>
    <n v="84.45"/>
    <n v="256.38"/>
    <m/>
    <n v="87.520205040180812"/>
    <n v="230.84299908458948"/>
    <n v="0"/>
    <n v="2833.7197500000002"/>
    <n v="8602.830899999999"/>
    <n v="0"/>
    <n v="2936.7404801232669"/>
    <n v="7745.9368342833995"/>
  </r>
  <r>
    <s v="Regular"/>
    <x v="1"/>
    <x v="3"/>
    <x v="0"/>
    <x v="0"/>
    <x v="0"/>
    <x v="0"/>
    <x v="0"/>
    <x v="10"/>
    <n v="0"/>
    <n v="0"/>
    <n v="43.896999999999998"/>
    <n v="43.896999999999998"/>
    <n v="43.896999999999998"/>
    <n v="43.896999999999998"/>
    <n v="0"/>
    <x v="0"/>
    <n v="0"/>
    <n v="0"/>
    <n v="18"/>
    <n v="80"/>
    <n v="0"/>
    <n v="84.45"/>
    <n v="256.38"/>
    <m/>
    <n v="87.520205040180812"/>
    <n v="230.84299908458948"/>
    <n v="0"/>
    <n v="3707.1016500000001"/>
    <n v="11254.31286"/>
    <n v="0"/>
    <n v="3841.8744406488172"/>
    <n v="10133.315130816223"/>
  </r>
  <r>
    <s v="PROJETADO"/>
    <x v="1"/>
    <x v="3"/>
    <x v="0"/>
    <x v="0"/>
    <x v="0"/>
    <x v="0"/>
    <x v="0"/>
    <x v="11"/>
    <n v="0"/>
    <n v="0"/>
    <n v="43.896999999999998"/>
    <n v="43.896999999999998"/>
    <n v="43.896999999999998"/>
    <n v="43.896999999999998"/>
    <n v="0"/>
    <x v="0"/>
    <n v="0"/>
    <n v="0"/>
    <n v="18"/>
    <n v="80"/>
    <n v="0"/>
    <n v="84.45"/>
    <n v="256.38"/>
    <m/>
    <n v="87.520205040180812"/>
    <n v="230.84299908458948"/>
    <n v="0"/>
    <n v="3707.1016500000001"/>
    <n v="11254.31286"/>
    <n v="0"/>
    <n v="3841.8744406488172"/>
    <n v="10133.315130816223"/>
  </r>
  <r>
    <s v="Regular"/>
    <x v="1"/>
    <x v="3"/>
    <x v="0"/>
    <x v="0"/>
    <x v="0"/>
    <x v="0"/>
    <x v="2"/>
    <x v="0"/>
    <n v="272"/>
    <n v="272"/>
    <n v="0"/>
    <n v="0"/>
    <n v="0"/>
    <n v="0"/>
    <n v="2"/>
    <x v="0"/>
    <n v="0"/>
    <n v="16"/>
    <n v="0"/>
    <n v="0"/>
    <n v="8.81"/>
    <n v="0"/>
    <n v="0"/>
    <n v="11.452356648653195"/>
    <m/>
    <m/>
    <n v="2396.3200000000002"/>
    <n v="0"/>
    <n v="0"/>
    <n v="3115.041008433669"/>
    <n v="0"/>
    <n v="0"/>
  </r>
  <r>
    <s v="Refaturamento - Regular"/>
    <x v="1"/>
    <x v="3"/>
    <x v="0"/>
    <x v="0"/>
    <x v="0"/>
    <x v="0"/>
    <x v="2"/>
    <x v="0"/>
    <n v="150"/>
    <n v="150"/>
    <n v="0"/>
    <n v="0"/>
    <n v="0"/>
    <n v="0"/>
    <n v="1"/>
    <x v="0"/>
    <n v="0"/>
    <n v="16"/>
    <n v="0"/>
    <n v="0"/>
    <n v="8.81"/>
    <n v="0"/>
    <n v="0"/>
    <n v="11.452356648653195"/>
    <m/>
    <m/>
    <n v="1321.5"/>
    <n v="0"/>
    <n v="0"/>
    <n v="1717.8534972979792"/>
    <n v="0"/>
    <n v="0"/>
  </r>
  <r>
    <s v="Regular"/>
    <x v="1"/>
    <x v="3"/>
    <x v="0"/>
    <x v="0"/>
    <x v="0"/>
    <x v="0"/>
    <x v="2"/>
    <x v="1"/>
    <n v="422"/>
    <n v="422"/>
    <n v="0"/>
    <n v="0"/>
    <n v="0"/>
    <n v="0"/>
    <n v="3"/>
    <x v="0"/>
    <n v="0"/>
    <n v="16"/>
    <n v="0"/>
    <n v="0"/>
    <n v="8.81"/>
    <n v="0"/>
    <n v="0"/>
    <n v="11.452356648653195"/>
    <m/>
    <m/>
    <n v="3717.82"/>
    <n v="0"/>
    <n v="0"/>
    <n v="4832.8945057316487"/>
    <n v="0"/>
    <n v="0"/>
  </r>
  <r>
    <s v="Regular"/>
    <x v="1"/>
    <x v="3"/>
    <x v="0"/>
    <x v="0"/>
    <x v="0"/>
    <x v="0"/>
    <x v="2"/>
    <x v="2"/>
    <n v="422"/>
    <n v="422"/>
    <n v="0"/>
    <n v="0"/>
    <n v="0"/>
    <n v="0"/>
    <n v="3"/>
    <x v="0"/>
    <n v="0"/>
    <n v="16"/>
    <n v="0"/>
    <n v="0"/>
    <n v="8.81"/>
    <n v="0"/>
    <n v="0"/>
    <n v="11.452356648653195"/>
    <m/>
    <m/>
    <n v="3717.82"/>
    <n v="0"/>
    <n v="0"/>
    <n v="4832.8945057316487"/>
    <n v="0"/>
    <n v="0"/>
  </r>
  <r>
    <s v="Regular"/>
    <x v="1"/>
    <x v="3"/>
    <x v="0"/>
    <x v="0"/>
    <x v="0"/>
    <x v="0"/>
    <x v="2"/>
    <x v="3"/>
    <n v="422"/>
    <n v="422"/>
    <n v="0"/>
    <n v="0"/>
    <n v="0"/>
    <n v="0"/>
    <n v="3"/>
    <x v="0"/>
    <n v="0"/>
    <n v="16"/>
    <n v="0"/>
    <n v="0"/>
    <n v="8.81"/>
    <n v="0"/>
    <n v="0"/>
    <n v="11.452356648653195"/>
    <m/>
    <m/>
    <n v="3717.82"/>
    <n v="0"/>
    <n v="0"/>
    <n v="4832.8945057316487"/>
    <n v="0"/>
    <n v="0"/>
  </r>
  <r>
    <s v="Regular"/>
    <x v="1"/>
    <x v="3"/>
    <x v="0"/>
    <x v="0"/>
    <x v="0"/>
    <x v="0"/>
    <x v="2"/>
    <x v="4"/>
    <n v="422"/>
    <n v="422"/>
    <n v="0"/>
    <n v="0"/>
    <n v="0"/>
    <n v="0"/>
    <n v="3"/>
    <x v="0"/>
    <n v="0"/>
    <n v="16"/>
    <n v="0"/>
    <n v="0"/>
    <n v="8.81"/>
    <n v="0"/>
    <n v="0"/>
    <n v="11.452356648653195"/>
    <m/>
    <m/>
    <n v="3717.82"/>
    <n v="0"/>
    <n v="0"/>
    <n v="4832.8945057316487"/>
    <n v="0"/>
    <n v="0"/>
  </r>
  <r>
    <s v="Regular"/>
    <x v="1"/>
    <x v="3"/>
    <x v="0"/>
    <x v="0"/>
    <x v="0"/>
    <x v="0"/>
    <x v="2"/>
    <x v="5"/>
    <n v="422"/>
    <n v="422"/>
    <n v="0"/>
    <n v="0"/>
    <n v="0"/>
    <n v="0"/>
    <n v="3"/>
    <x v="0"/>
    <n v="0"/>
    <n v="16"/>
    <n v="0"/>
    <n v="0"/>
    <n v="8.81"/>
    <n v="0"/>
    <n v="0"/>
    <n v="11.452356648653195"/>
    <m/>
    <m/>
    <n v="3717.82"/>
    <n v="0"/>
    <n v="0"/>
    <n v="4832.8945057316487"/>
    <n v="0"/>
    <n v="0"/>
  </r>
  <r>
    <s v="Regular"/>
    <x v="1"/>
    <x v="3"/>
    <x v="0"/>
    <x v="0"/>
    <x v="0"/>
    <x v="0"/>
    <x v="2"/>
    <x v="6"/>
    <n v="422"/>
    <n v="422"/>
    <n v="0"/>
    <n v="0"/>
    <n v="0"/>
    <n v="0"/>
    <n v="3"/>
    <x v="0"/>
    <n v="0"/>
    <n v="16"/>
    <n v="0"/>
    <n v="0"/>
    <n v="8.81"/>
    <n v="0"/>
    <n v="0"/>
    <n v="11.452356648653195"/>
    <m/>
    <m/>
    <n v="3717.82"/>
    <n v="0"/>
    <n v="0"/>
    <n v="4832.8945057316487"/>
    <n v="0"/>
    <n v="0"/>
  </r>
  <r>
    <s v="Regular"/>
    <x v="1"/>
    <x v="3"/>
    <x v="0"/>
    <x v="0"/>
    <x v="0"/>
    <x v="0"/>
    <x v="2"/>
    <x v="7"/>
    <n v="422"/>
    <n v="422"/>
    <n v="0"/>
    <n v="0"/>
    <n v="0"/>
    <n v="0"/>
    <n v="3"/>
    <x v="0"/>
    <n v="0"/>
    <n v="16"/>
    <n v="0"/>
    <n v="0"/>
    <n v="8.81"/>
    <n v="0"/>
    <n v="0"/>
    <n v="11.452356648653195"/>
    <m/>
    <m/>
    <n v="3717.82"/>
    <n v="0"/>
    <n v="0"/>
    <n v="4832.8945057316487"/>
    <n v="0"/>
    <n v="0"/>
  </r>
  <r>
    <s v="Regular"/>
    <x v="1"/>
    <x v="3"/>
    <x v="0"/>
    <x v="0"/>
    <x v="0"/>
    <x v="0"/>
    <x v="2"/>
    <x v="8"/>
    <n v="422"/>
    <n v="422"/>
    <n v="0"/>
    <n v="0"/>
    <n v="0"/>
    <n v="0"/>
    <n v="3"/>
    <x v="0"/>
    <n v="0"/>
    <n v="16"/>
    <n v="0"/>
    <n v="0"/>
    <n v="8.81"/>
    <n v="0"/>
    <n v="0"/>
    <n v="11.452356648653195"/>
    <m/>
    <m/>
    <n v="3717.82"/>
    <n v="0"/>
    <n v="0"/>
    <n v="4832.8945057316487"/>
    <n v="0"/>
    <n v="0"/>
  </r>
  <r>
    <s v="Regular"/>
    <x v="1"/>
    <x v="3"/>
    <x v="0"/>
    <x v="0"/>
    <x v="0"/>
    <x v="0"/>
    <x v="2"/>
    <x v="9"/>
    <n v="422"/>
    <n v="422"/>
    <n v="0"/>
    <n v="0"/>
    <n v="0"/>
    <n v="0"/>
    <n v="3"/>
    <x v="0"/>
    <n v="0"/>
    <n v="16"/>
    <n v="0"/>
    <n v="0"/>
    <n v="8.81"/>
    <n v="0"/>
    <n v="0"/>
    <n v="11.452356648653195"/>
    <m/>
    <m/>
    <n v="3717.82"/>
    <n v="0"/>
    <n v="0"/>
    <n v="4832.8945057316487"/>
    <n v="0"/>
    <n v="0"/>
  </r>
  <r>
    <s v="Regular"/>
    <x v="1"/>
    <x v="3"/>
    <x v="0"/>
    <x v="0"/>
    <x v="0"/>
    <x v="0"/>
    <x v="2"/>
    <x v="10"/>
    <n v="422"/>
    <n v="422"/>
    <n v="0"/>
    <n v="0"/>
    <n v="0"/>
    <n v="0"/>
    <n v="3"/>
    <x v="0"/>
    <n v="0"/>
    <n v="16"/>
    <n v="0"/>
    <n v="0"/>
    <n v="8.81"/>
    <n v="0"/>
    <n v="0"/>
    <n v="11.452356648653195"/>
    <m/>
    <m/>
    <n v="3717.82"/>
    <n v="0"/>
    <n v="0"/>
    <n v="4832.8945057316487"/>
    <n v="0"/>
    <n v="0"/>
  </r>
  <r>
    <s v="PROJETADO"/>
    <x v="1"/>
    <x v="3"/>
    <x v="0"/>
    <x v="0"/>
    <x v="0"/>
    <x v="0"/>
    <x v="2"/>
    <x v="11"/>
    <n v="422"/>
    <n v="422"/>
    <n v="0"/>
    <n v="0"/>
    <n v="0"/>
    <n v="0"/>
    <n v="3"/>
    <x v="0"/>
    <n v="0"/>
    <n v="16"/>
    <n v="0"/>
    <n v="0"/>
    <n v="8.81"/>
    <n v="0"/>
    <n v="0"/>
    <n v="11.452356648653195"/>
    <m/>
    <m/>
    <n v="3717.82"/>
    <n v="0"/>
    <n v="0"/>
    <n v="4832.8945057316487"/>
    <n v="0"/>
    <n v="0"/>
  </r>
  <r>
    <s v="Regular"/>
    <x v="1"/>
    <x v="3"/>
    <x v="0"/>
    <x v="0"/>
    <x v="0"/>
    <x v="0"/>
    <x v="1"/>
    <x v="0"/>
    <n v="0"/>
    <n v="0"/>
    <n v="5.6459999999999999"/>
    <n v="5.6459999999999999"/>
    <n v="5.6459999999999999"/>
    <n v="5.6459999999999999"/>
    <n v="0"/>
    <x v="0"/>
    <n v="0"/>
    <n v="0"/>
    <n v="17"/>
    <n v="79"/>
    <n v="0"/>
    <n v="641.99"/>
    <n v="430.87"/>
    <m/>
    <n v="747.73459855656426"/>
    <n v="375.70671275609089"/>
    <n v="0"/>
    <n v="3624.6755400000002"/>
    <n v="2432.69202"/>
    <n v="0"/>
    <n v="4221.7095434503617"/>
    <n v="2121.240100220889"/>
  </r>
  <r>
    <s v="Refaturamento - Regular"/>
    <x v="1"/>
    <x v="3"/>
    <x v="0"/>
    <x v="0"/>
    <x v="0"/>
    <x v="0"/>
    <x v="1"/>
    <x v="0"/>
    <n v="0"/>
    <n v="0"/>
    <n v="4.6500000000000004"/>
    <n v="4.6500000000000004"/>
    <n v="4.6500000000000004"/>
    <n v="4.6500000000000004"/>
    <n v="0"/>
    <x v="0"/>
    <n v="0"/>
    <n v="0"/>
    <n v="17"/>
    <n v="79"/>
    <n v="0"/>
    <n v="641.99"/>
    <n v="430.87"/>
    <m/>
    <n v="747.73459855656426"/>
    <n v="375.70671275609089"/>
    <n v="0"/>
    <n v="2985.2535000000003"/>
    <n v="2003.5455000000002"/>
    <n v="0"/>
    <n v="3476.9658832880241"/>
    <n v="1747.0362143158227"/>
  </r>
  <r>
    <s v="Regular"/>
    <x v="1"/>
    <x v="3"/>
    <x v="0"/>
    <x v="0"/>
    <x v="0"/>
    <x v="0"/>
    <x v="1"/>
    <x v="1"/>
    <n v="0"/>
    <n v="0"/>
    <n v="12.007999999999999"/>
    <n v="12.007999999999999"/>
    <n v="12.007999999999999"/>
    <n v="12.007999999999999"/>
    <n v="0"/>
    <x v="0"/>
    <n v="0"/>
    <n v="0"/>
    <n v="17"/>
    <n v="79"/>
    <n v="0"/>
    <n v="641.99"/>
    <n v="430.87"/>
    <m/>
    <n v="747.73459855656426"/>
    <n v="375.70671275609089"/>
    <n v="0"/>
    <n v="7709.0159199999998"/>
    <n v="5173.8869599999998"/>
    <n v="0"/>
    <n v="8978.7970594672224"/>
    <n v="4511.4862067751392"/>
  </r>
  <r>
    <s v="Regular"/>
    <x v="1"/>
    <x v="3"/>
    <x v="0"/>
    <x v="0"/>
    <x v="0"/>
    <x v="0"/>
    <x v="1"/>
    <x v="2"/>
    <n v="0"/>
    <n v="0"/>
    <n v="10.971"/>
    <n v="10.971"/>
    <n v="10.971"/>
    <n v="10.971"/>
    <n v="0"/>
    <x v="0"/>
    <n v="0"/>
    <n v="0"/>
    <n v="17"/>
    <n v="79"/>
    <n v="0"/>
    <n v="641.99"/>
    <n v="430.87"/>
    <m/>
    <n v="747.73459855656426"/>
    <n v="375.70671275609089"/>
    <n v="0"/>
    <n v="7043.2722899999999"/>
    <n v="4727.0747700000002"/>
    <n v="0"/>
    <n v="8203.3962807640673"/>
    <n v="4121.8783456470728"/>
  </r>
  <r>
    <s v="Regular"/>
    <x v="1"/>
    <x v="3"/>
    <x v="0"/>
    <x v="0"/>
    <x v="0"/>
    <x v="0"/>
    <x v="1"/>
    <x v="3"/>
    <n v="0"/>
    <n v="0"/>
    <n v="10.223000000000001"/>
    <n v="10.223000000000001"/>
    <n v="10.223000000000001"/>
    <n v="10.223000000000001"/>
    <n v="0"/>
    <x v="0"/>
    <n v="0"/>
    <n v="0"/>
    <n v="17"/>
    <n v="79"/>
    <n v="0"/>
    <n v="641.99"/>
    <n v="430.87"/>
    <m/>
    <n v="747.73459855656426"/>
    <n v="375.70671275609089"/>
    <n v="0"/>
    <n v="6563.0637700000007"/>
    <n v="4404.7840100000003"/>
    <n v="0"/>
    <n v="7644.090801043757"/>
    <n v="3840.8497245055173"/>
  </r>
  <r>
    <s v="Regular"/>
    <x v="1"/>
    <x v="3"/>
    <x v="0"/>
    <x v="0"/>
    <x v="0"/>
    <x v="0"/>
    <x v="1"/>
    <x v="4"/>
    <n v="0"/>
    <n v="0"/>
    <n v="13.21"/>
    <n v="13.21"/>
    <n v="13.21"/>
    <n v="13.21"/>
    <n v="0"/>
    <x v="0"/>
    <n v="0"/>
    <n v="0"/>
    <n v="17"/>
    <n v="79"/>
    <n v="0"/>
    <n v="641.99"/>
    <n v="430.87"/>
    <m/>
    <n v="747.73459855656426"/>
    <n v="375.70671275609089"/>
    <n v="0"/>
    <n v="8480.6879000000008"/>
    <n v="5691.7927000000009"/>
    <n v="0"/>
    <n v="9877.5740469322154"/>
    <n v="4963.0856755079612"/>
  </r>
  <r>
    <s v="Regular"/>
    <x v="1"/>
    <x v="3"/>
    <x v="0"/>
    <x v="0"/>
    <x v="0"/>
    <x v="0"/>
    <x v="1"/>
    <x v="5"/>
    <n v="0"/>
    <n v="0"/>
    <n v="10.962"/>
    <n v="10.962"/>
    <n v="10.962"/>
    <n v="10.962"/>
    <n v="0"/>
    <x v="0"/>
    <n v="0"/>
    <n v="0"/>
    <n v="17"/>
    <n v="79"/>
    <n v="0"/>
    <n v="641.99"/>
    <n v="430.87"/>
    <m/>
    <n v="747.73459855656426"/>
    <n v="375.70671275609089"/>
    <n v="0"/>
    <n v="7037.4943800000001"/>
    <n v="4723.1969399999998"/>
    <n v="0"/>
    <n v="8196.6666693770567"/>
    <n v="4118.4969852322683"/>
  </r>
  <r>
    <s v="Regular"/>
    <x v="1"/>
    <x v="3"/>
    <x v="0"/>
    <x v="0"/>
    <x v="0"/>
    <x v="0"/>
    <x v="1"/>
    <x v="6"/>
    <n v="0"/>
    <n v="0"/>
    <n v="2.8740000000000001"/>
    <n v="2.8740000000000001"/>
    <n v="2.8740000000000001"/>
    <n v="2.8740000000000001"/>
    <n v="0"/>
    <x v="0"/>
    <n v="0"/>
    <n v="0"/>
    <n v="17"/>
    <n v="79"/>
    <n v="0"/>
    <n v="641.99"/>
    <n v="430.87"/>
    <m/>
    <n v="747.73459855656426"/>
    <n v="375.70671275609089"/>
    <n v="0"/>
    <n v="1845.0792600000002"/>
    <n v="1238.3203800000001"/>
    <n v="0"/>
    <n v="2148.9892362515657"/>
    <n v="1079.7810924610053"/>
  </r>
  <r>
    <s v="Regular"/>
    <x v="1"/>
    <x v="3"/>
    <x v="0"/>
    <x v="0"/>
    <x v="0"/>
    <x v="0"/>
    <x v="1"/>
    <x v="7"/>
    <n v="0"/>
    <n v="0"/>
    <n v="2.3769999999999998"/>
    <n v="2.3769999999999998"/>
    <n v="2.3769999999999998"/>
    <n v="2.3769999999999998"/>
    <n v="0"/>
    <x v="0"/>
    <n v="0"/>
    <n v="0"/>
    <n v="17"/>
    <n v="79"/>
    <n v="0"/>
    <n v="641.99"/>
    <n v="430.87"/>
    <m/>
    <n v="747.73459855656426"/>
    <n v="375.70671275609089"/>
    <n v="0"/>
    <n v="1526.0102299999999"/>
    <n v="1024.1779899999999"/>
    <n v="0"/>
    <n v="1777.3651407689531"/>
    <n v="893.05485622122796"/>
  </r>
  <r>
    <s v="Regular"/>
    <x v="1"/>
    <x v="3"/>
    <x v="0"/>
    <x v="0"/>
    <x v="0"/>
    <x v="0"/>
    <x v="1"/>
    <x v="8"/>
    <n v="0"/>
    <n v="0"/>
    <n v="5.5190000000000001"/>
    <n v="5.5190000000000001"/>
    <n v="5.5190000000000001"/>
    <n v="5.5190000000000001"/>
    <n v="0"/>
    <x v="0"/>
    <n v="0"/>
    <n v="0"/>
    <n v="17"/>
    <n v="79"/>
    <n v="0"/>
    <n v="641.99"/>
    <n v="430.87"/>
    <m/>
    <n v="747.73459855656426"/>
    <n v="375.70671275609089"/>
    <n v="0"/>
    <n v="3543.1428100000003"/>
    <n v="2377.9715300000003"/>
    <n v="0"/>
    <n v="4126.747249433678"/>
    <n v="2073.5253477008655"/>
  </r>
  <r>
    <s v="Regular"/>
    <x v="1"/>
    <x v="3"/>
    <x v="0"/>
    <x v="0"/>
    <x v="0"/>
    <x v="0"/>
    <x v="1"/>
    <x v="9"/>
    <n v="0"/>
    <n v="0"/>
    <n v="7.3559999999999999"/>
    <n v="7.3559999999999999"/>
    <n v="7.3559999999999999"/>
    <n v="7.3559999999999999"/>
    <n v="0"/>
    <x v="0"/>
    <n v="0"/>
    <n v="0"/>
    <n v="17"/>
    <n v="79"/>
    <n v="0"/>
    <n v="641.99"/>
    <n v="430.87"/>
    <m/>
    <n v="747.73459855656426"/>
    <n v="375.70671275609089"/>
    <n v="0"/>
    <n v="4722.4784399999999"/>
    <n v="3169.4797199999998"/>
    <n v="0"/>
    <n v="5500.3357069820868"/>
    <n v="2763.6985790338044"/>
  </r>
  <r>
    <s v="Regular"/>
    <x v="1"/>
    <x v="3"/>
    <x v="0"/>
    <x v="0"/>
    <x v="0"/>
    <x v="0"/>
    <x v="1"/>
    <x v="10"/>
    <n v="0"/>
    <n v="0"/>
    <n v="9.32"/>
    <n v="9.32"/>
    <n v="9.32"/>
    <n v="9.32"/>
    <n v="0"/>
    <x v="0"/>
    <n v="0"/>
    <n v="0"/>
    <n v="17"/>
    <n v="79"/>
    <n v="0"/>
    <n v="641.99"/>
    <n v="430.87"/>
    <m/>
    <n v="747.73459855656426"/>
    <n v="375.70671275609089"/>
    <n v="0"/>
    <n v="5983.3468000000003"/>
    <n v="4015.7084"/>
    <n v="0"/>
    <n v="6968.8864585471792"/>
    <n v="3501.5865628867673"/>
  </r>
  <r>
    <s v="PROJETADO"/>
    <x v="1"/>
    <x v="3"/>
    <x v="0"/>
    <x v="0"/>
    <x v="0"/>
    <x v="0"/>
    <x v="1"/>
    <x v="11"/>
    <n v="0"/>
    <n v="0"/>
    <n v="9.32"/>
    <n v="9.32"/>
    <n v="9.32"/>
    <n v="9.32"/>
    <n v="0"/>
    <x v="0"/>
    <n v="0"/>
    <n v="0"/>
    <n v="17"/>
    <n v="79"/>
    <n v="0"/>
    <n v="641.99"/>
    <n v="430.87"/>
    <m/>
    <n v="747.73459855656426"/>
    <n v="375.70671275609089"/>
    <n v="0"/>
    <n v="5983.3468000000003"/>
    <n v="4015.7084"/>
    <n v="0"/>
    <n v="6968.8864585471792"/>
    <n v="3501.5865628867673"/>
  </r>
  <r>
    <s v="Regular"/>
    <x v="1"/>
    <x v="3"/>
    <x v="1"/>
    <x v="0"/>
    <x v="2"/>
    <x v="0"/>
    <x v="0"/>
    <x v="0"/>
    <n v="0"/>
    <n v="0"/>
    <n v="120.919"/>
    <n v="120.919"/>
    <n v="0"/>
    <n v="0"/>
    <n v="0"/>
    <x v="2"/>
    <n v="0"/>
    <n v="0"/>
    <n v="18"/>
    <n v="0"/>
    <n v="0"/>
    <n v="84.45"/>
    <n v="0"/>
    <m/>
    <n v="87.520205040180812"/>
    <m/>
    <n v="0"/>
    <n v="10211.609549999999"/>
    <n v="0"/>
    <n v="0"/>
    <n v="10582.855673253624"/>
    <n v="0"/>
  </r>
  <r>
    <s v="Regular"/>
    <x v="1"/>
    <x v="3"/>
    <x v="1"/>
    <x v="0"/>
    <x v="2"/>
    <x v="0"/>
    <x v="0"/>
    <x v="1"/>
    <n v="0"/>
    <n v="0"/>
    <n v="117.059"/>
    <n v="117.059"/>
    <n v="0"/>
    <n v="0"/>
    <n v="0"/>
    <x v="2"/>
    <n v="0"/>
    <n v="0"/>
    <n v="18"/>
    <n v="0"/>
    <n v="0"/>
    <n v="84.45"/>
    <n v="0"/>
    <m/>
    <n v="87.520205040180812"/>
    <m/>
    <n v="0"/>
    <n v="9885.6325500000003"/>
    <n v="0"/>
    <n v="0"/>
    <n v="10245.027681798525"/>
    <n v="0"/>
  </r>
  <r>
    <s v="Regular"/>
    <x v="1"/>
    <x v="3"/>
    <x v="1"/>
    <x v="0"/>
    <x v="2"/>
    <x v="0"/>
    <x v="0"/>
    <x v="2"/>
    <n v="0"/>
    <n v="0"/>
    <n v="118.559"/>
    <n v="118.559"/>
    <n v="0"/>
    <n v="0"/>
    <n v="0"/>
    <x v="2"/>
    <n v="0"/>
    <n v="0"/>
    <n v="18"/>
    <n v="0"/>
    <n v="0"/>
    <n v="84.45"/>
    <n v="0"/>
    <m/>
    <n v="87.520205040180812"/>
    <m/>
    <n v="0"/>
    <n v="10012.30755"/>
    <n v="0"/>
    <n v="0"/>
    <n v="10376.307989358796"/>
    <n v="0"/>
  </r>
  <r>
    <s v="Regular"/>
    <x v="1"/>
    <x v="3"/>
    <x v="1"/>
    <x v="0"/>
    <x v="2"/>
    <x v="0"/>
    <x v="0"/>
    <x v="3"/>
    <n v="0"/>
    <n v="0"/>
    <n v="119.437"/>
    <n v="119.437"/>
    <n v="0"/>
    <n v="0"/>
    <n v="0"/>
    <x v="2"/>
    <n v="0"/>
    <n v="0"/>
    <n v="18"/>
    <n v="0"/>
    <n v="0"/>
    <n v="84.45"/>
    <n v="0"/>
    <m/>
    <n v="87.520205040180812"/>
    <m/>
    <n v="0"/>
    <n v="10086.45465"/>
    <n v="0"/>
    <n v="0"/>
    <n v="10453.150729384075"/>
    <n v="0"/>
  </r>
  <r>
    <s v="Regular"/>
    <x v="1"/>
    <x v="3"/>
    <x v="1"/>
    <x v="0"/>
    <x v="2"/>
    <x v="0"/>
    <x v="0"/>
    <x v="4"/>
    <n v="0"/>
    <n v="0"/>
    <n v="108.58199999999999"/>
    <n v="108.58199999999999"/>
    <n v="0"/>
    <n v="0"/>
    <n v="0"/>
    <x v="2"/>
    <n v="0"/>
    <n v="0"/>
    <n v="18"/>
    <n v="0"/>
    <n v="0"/>
    <n v="84.45"/>
    <n v="0"/>
    <m/>
    <n v="87.520205040180812"/>
    <m/>
    <n v="0"/>
    <n v="9169.7498999999989"/>
    <n v="0"/>
    <n v="0"/>
    <n v="9503.118903672912"/>
    <n v="0"/>
  </r>
  <r>
    <s v="Regular"/>
    <x v="1"/>
    <x v="3"/>
    <x v="1"/>
    <x v="0"/>
    <x v="2"/>
    <x v="0"/>
    <x v="0"/>
    <x v="5"/>
    <n v="0"/>
    <n v="0"/>
    <n v="62.996000000000002"/>
    <n v="62.996000000000002"/>
    <n v="0"/>
    <n v="0"/>
    <n v="0"/>
    <x v="2"/>
    <n v="0"/>
    <n v="0"/>
    <n v="18"/>
    <n v="0"/>
    <n v="0"/>
    <n v="84.45"/>
    <n v="0"/>
    <m/>
    <n v="87.520205040180812"/>
    <m/>
    <n v="0"/>
    <n v="5320.0122000000001"/>
    <n v="0"/>
    <n v="0"/>
    <n v="5513.422836711231"/>
    <n v="0"/>
  </r>
  <r>
    <s v="Regular"/>
    <x v="1"/>
    <x v="3"/>
    <x v="1"/>
    <x v="0"/>
    <x v="2"/>
    <x v="0"/>
    <x v="0"/>
    <x v="6"/>
    <n v="0"/>
    <n v="0"/>
    <n v="10.845000000000001"/>
    <n v="10.845000000000001"/>
    <n v="0"/>
    <n v="0"/>
    <n v="0"/>
    <x v="2"/>
    <n v="0"/>
    <n v="0"/>
    <n v="18"/>
    <n v="0"/>
    <n v="0"/>
    <n v="84.45"/>
    <n v="0"/>
    <m/>
    <n v="87.520205040180812"/>
    <m/>
    <n v="0"/>
    <n v="915.86025000000006"/>
    <n v="0"/>
    <n v="0"/>
    <n v="949.15662366076094"/>
    <n v="0"/>
  </r>
  <r>
    <s v="Regular"/>
    <x v="1"/>
    <x v="3"/>
    <x v="1"/>
    <x v="0"/>
    <x v="2"/>
    <x v="0"/>
    <x v="0"/>
    <x v="7"/>
    <n v="0"/>
    <n v="0"/>
    <n v="22.18"/>
    <n v="22.18"/>
    <n v="0"/>
    <n v="0"/>
    <n v="0"/>
    <x v="2"/>
    <n v="0"/>
    <n v="0"/>
    <n v="18"/>
    <n v="0"/>
    <n v="0"/>
    <n v="84.45"/>
    <n v="0"/>
    <m/>
    <n v="87.520205040180812"/>
    <m/>
    <n v="0"/>
    <n v="1873.1010000000001"/>
    <n v="0"/>
    <n v="0"/>
    <n v="1941.1981477912104"/>
    <n v="0"/>
  </r>
  <r>
    <s v="Regular"/>
    <x v="1"/>
    <x v="3"/>
    <x v="1"/>
    <x v="0"/>
    <x v="2"/>
    <x v="0"/>
    <x v="0"/>
    <x v="8"/>
    <n v="0"/>
    <n v="0"/>
    <n v="22.18"/>
    <n v="22.18"/>
    <n v="0"/>
    <n v="0"/>
    <n v="0"/>
    <x v="2"/>
    <n v="0"/>
    <n v="0"/>
    <n v="18"/>
    <n v="0"/>
    <n v="0"/>
    <n v="84.45"/>
    <n v="0"/>
    <m/>
    <n v="87.520205040180812"/>
    <m/>
    <n v="0"/>
    <n v="1873.1010000000001"/>
    <n v="0"/>
    <n v="0"/>
    <n v="1941.1981477912104"/>
    <n v="0"/>
  </r>
  <r>
    <s v="Regular"/>
    <x v="1"/>
    <x v="3"/>
    <x v="1"/>
    <x v="0"/>
    <x v="2"/>
    <x v="0"/>
    <x v="0"/>
    <x v="9"/>
    <n v="0"/>
    <n v="0"/>
    <n v="55.78"/>
    <n v="55.78"/>
    <n v="0"/>
    <n v="0"/>
    <n v="0"/>
    <x v="2"/>
    <n v="0"/>
    <n v="0"/>
    <n v="18"/>
    <n v="0"/>
    <n v="0"/>
    <n v="84.45"/>
    <n v="0"/>
    <m/>
    <n v="87.520205040180812"/>
    <m/>
    <n v="0"/>
    <n v="4710.6210000000001"/>
    <n v="0"/>
    <n v="0"/>
    <n v="4881.8770371412857"/>
    <n v="0"/>
  </r>
  <r>
    <s v="Regular"/>
    <x v="1"/>
    <x v="3"/>
    <x v="1"/>
    <x v="0"/>
    <x v="2"/>
    <x v="0"/>
    <x v="0"/>
    <x v="10"/>
    <n v="0"/>
    <n v="0"/>
    <n v="61.387999999999998"/>
    <n v="61.387999999999998"/>
    <n v="0"/>
    <n v="0"/>
    <n v="0"/>
    <x v="2"/>
    <n v="0"/>
    <n v="0"/>
    <n v="18"/>
    <n v="0"/>
    <n v="0"/>
    <n v="84.45"/>
    <n v="0"/>
    <m/>
    <n v="87.520205040180812"/>
    <m/>
    <n v="0"/>
    <n v="5184.2165999999997"/>
    <n v="0"/>
    <n v="0"/>
    <n v="5372.69034700662"/>
    <n v="0"/>
  </r>
  <r>
    <s v="PROJETADO"/>
    <x v="1"/>
    <x v="3"/>
    <x v="1"/>
    <x v="0"/>
    <x v="2"/>
    <x v="0"/>
    <x v="0"/>
    <x v="11"/>
    <n v="0"/>
    <n v="0"/>
    <n v="61.387999999999998"/>
    <n v="61.387999999999998"/>
    <n v="0"/>
    <n v="0"/>
    <n v="0"/>
    <x v="2"/>
    <n v="0"/>
    <n v="0"/>
    <n v="18"/>
    <n v="0"/>
    <n v="0"/>
    <n v="84.45"/>
    <n v="0"/>
    <m/>
    <n v="87.520205040180812"/>
    <m/>
    <n v="0"/>
    <n v="5184.2165999999997"/>
    <n v="0"/>
    <n v="0"/>
    <n v="5372.69034700662"/>
    <n v="0"/>
  </r>
  <r>
    <s v="Regular"/>
    <x v="1"/>
    <x v="3"/>
    <x v="1"/>
    <x v="0"/>
    <x v="2"/>
    <x v="0"/>
    <x v="2"/>
    <x v="0"/>
    <n v="670"/>
    <n v="419.85302100000001"/>
    <n v="0"/>
    <n v="0"/>
    <n v="0"/>
    <n v="0"/>
    <n v="3"/>
    <x v="2"/>
    <n v="0"/>
    <n v="16"/>
    <n v="0"/>
    <n v="0"/>
    <n v="8.81"/>
    <n v="0"/>
    <n v="0"/>
    <n v="11.452356648653195"/>
    <m/>
    <m/>
    <n v="3698.9051150100004"/>
    <n v="0"/>
    <n v="0"/>
    <n v="4808.3065365064795"/>
    <n v="0"/>
    <n v="0"/>
  </r>
  <r>
    <s v="Regular"/>
    <x v="1"/>
    <x v="3"/>
    <x v="1"/>
    <x v="0"/>
    <x v="2"/>
    <x v="0"/>
    <x v="2"/>
    <x v="1"/>
    <n v="670"/>
    <n v="421.90370339999998"/>
    <n v="0"/>
    <n v="0"/>
    <n v="0"/>
    <n v="0"/>
    <n v="3"/>
    <x v="2"/>
    <n v="0"/>
    <n v="16"/>
    <n v="0"/>
    <n v="0"/>
    <n v="8.81"/>
    <n v="0"/>
    <n v="0"/>
    <n v="11.452356648653195"/>
    <m/>
    <m/>
    <n v="3716.9716269539999"/>
    <n v="0"/>
    <n v="0"/>
    <n v="4831.7916827243953"/>
    <n v="0"/>
    <n v="0"/>
  </r>
  <r>
    <s v="Regular"/>
    <x v="1"/>
    <x v="3"/>
    <x v="1"/>
    <x v="0"/>
    <x v="2"/>
    <x v="0"/>
    <x v="2"/>
    <x v="2"/>
    <n v="670"/>
    <n v="425.12383060000002"/>
    <n v="0"/>
    <n v="0"/>
    <n v="0"/>
    <n v="0"/>
    <n v="3"/>
    <x v="2"/>
    <n v="0"/>
    <n v="16"/>
    <n v="0"/>
    <n v="0"/>
    <n v="8.81"/>
    <n v="0"/>
    <n v="0"/>
    <n v="11.452356648653195"/>
    <m/>
    <m/>
    <n v="3745.3409475860003"/>
    <n v="0"/>
    <n v="0"/>
    <n v="4868.6697278728252"/>
    <n v="0"/>
    <n v="0"/>
  </r>
  <r>
    <s v="Regular"/>
    <x v="1"/>
    <x v="3"/>
    <x v="1"/>
    <x v="0"/>
    <x v="2"/>
    <x v="0"/>
    <x v="2"/>
    <x v="3"/>
    <n v="670"/>
    <n v="424.60471460000002"/>
    <n v="0"/>
    <n v="0"/>
    <n v="0"/>
    <n v="0"/>
    <n v="3"/>
    <x v="2"/>
    <n v="0"/>
    <n v="16"/>
    <n v="0"/>
    <n v="0"/>
    <n v="8.81"/>
    <n v="0"/>
    <n v="0"/>
    <n v="11.452356648653195"/>
    <m/>
    <m/>
    <n v="3740.7675356260006"/>
    <n v="0"/>
    <n v="0"/>
    <n v="4862.7246262988028"/>
    <n v="0"/>
    <n v="0"/>
  </r>
  <r>
    <s v="Regular"/>
    <x v="1"/>
    <x v="3"/>
    <x v="1"/>
    <x v="0"/>
    <x v="2"/>
    <x v="0"/>
    <x v="2"/>
    <x v="4"/>
    <n v="670"/>
    <n v="420.11772459999997"/>
    <n v="0"/>
    <n v="0"/>
    <n v="0"/>
    <n v="0"/>
    <n v="3"/>
    <x v="2"/>
    <n v="0"/>
    <n v="16"/>
    <n v="0"/>
    <n v="0"/>
    <n v="8.81"/>
    <n v="0"/>
    <n v="0"/>
    <n v="11.452356648653195"/>
    <m/>
    <m/>
    <n v="3701.2371537260001"/>
    <n v="0"/>
    <n v="0"/>
    <n v="4811.3380165398621"/>
    <n v="0"/>
    <n v="0"/>
  </r>
  <r>
    <s v="Regular"/>
    <x v="1"/>
    <x v="3"/>
    <x v="1"/>
    <x v="0"/>
    <x v="2"/>
    <x v="0"/>
    <x v="2"/>
    <x v="5"/>
    <n v="670"/>
    <n v="418.96188080000002"/>
    <n v="0"/>
    <n v="0"/>
    <n v="0"/>
    <n v="0"/>
    <n v="3"/>
    <x v="2"/>
    <n v="0"/>
    <n v="16"/>
    <n v="0"/>
    <n v="0"/>
    <n v="8.81"/>
    <n v="0"/>
    <n v="0"/>
    <n v="11.452356648653195"/>
    <m/>
    <m/>
    <n v="3691.0541698480006"/>
    <n v="0"/>
    <n v="0"/>
    <n v="4798.1008811121274"/>
    <n v="0"/>
    <n v="0"/>
  </r>
  <r>
    <s v="Regular"/>
    <x v="1"/>
    <x v="3"/>
    <x v="1"/>
    <x v="0"/>
    <x v="2"/>
    <x v="0"/>
    <x v="2"/>
    <x v="6"/>
    <n v="670"/>
    <n v="419.41134360000001"/>
    <n v="0"/>
    <n v="0"/>
    <n v="0"/>
    <n v="0"/>
    <n v="3"/>
    <x v="2"/>
    <n v="0"/>
    <n v="16"/>
    <n v="0"/>
    <n v="0"/>
    <n v="8.81"/>
    <n v="0"/>
    <n v="0"/>
    <n v="11.452356648653195"/>
    <m/>
    <m/>
    <n v="3695.0139371160003"/>
    <n v="0"/>
    <n v="0"/>
    <n v="4803.2482893980296"/>
    <n v="0"/>
    <n v="0"/>
  </r>
  <r>
    <s v="Regular"/>
    <x v="1"/>
    <x v="3"/>
    <x v="1"/>
    <x v="0"/>
    <x v="2"/>
    <x v="0"/>
    <x v="2"/>
    <x v="7"/>
    <n v="670"/>
    <n v="418.4460545"/>
    <n v="0"/>
    <n v="0"/>
    <n v="0"/>
    <n v="0"/>
    <n v="3"/>
    <x v="2"/>
    <n v="0"/>
    <n v="16"/>
    <n v="0"/>
    <n v="0"/>
    <n v="8.81"/>
    <n v="0"/>
    <n v="0"/>
    <n v="11.452356648653195"/>
    <m/>
    <m/>
    <n v="3686.5097401450003"/>
    <n v="0"/>
    <n v="0"/>
    <n v="4792.1934543557727"/>
    <n v="0"/>
    <n v="0"/>
  </r>
  <r>
    <s v="Regular"/>
    <x v="1"/>
    <x v="3"/>
    <x v="1"/>
    <x v="0"/>
    <x v="2"/>
    <x v="0"/>
    <x v="2"/>
    <x v="8"/>
    <n v="670"/>
    <n v="419.22425279999999"/>
    <n v="0"/>
    <n v="0"/>
    <n v="0"/>
    <n v="0"/>
    <n v="3"/>
    <x v="2"/>
    <n v="0"/>
    <n v="16"/>
    <n v="0"/>
    <n v="0"/>
    <n v="8.81"/>
    <n v="0"/>
    <n v="0"/>
    <n v="11.452356648653195"/>
    <m/>
    <m/>
    <n v="3693.3656671680001"/>
    <n v="0"/>
    <n v="0"/>
    <n v="4801.1056588307474"/>
    <n v="0"/>
    <n v="0"/>
  </r>
  <r>
    <s v="Regular"/>
    <x v="1"/>
    <x v="3"/>
    <x v="1"/>
    <x v="0"/>
    <x v="2"/>
    <x v="0"/>
    <x v="2"/>
    <x v="9"/>
    <n v="420"/>
    <n v="273.46222260000002"/>
    <n v="0"/>
    <n v="0"/>
    <n v="0"/>
    <n v="0"/>
    <n v="2"/>
    <x v="2"/>
    <n v="0"/>
    <n v="16"/>
    <n v="0"/>
    <n v="0"/>
    <n v="8.81"/>
    <n v="0"/>
    <n v="0"/>
    <n v="11.452356648653195"/>
    <m/>
    <m/>
    <n v="2409.2021811060004"/>
    <n v="0"/>
    <n v="0"/>
    <n v="3131.7869031485902"/>
    <n v="0"/>
    <n v="0"/>
  </r>
  <r>
    <s v="Regular"/>
    <x v="1"/>
    <x v="3"/>
    <x v="1"/>
    <x v="0"/>
    <x v="2"/>
    <x v="0"/>
    <x v="2"/>
    <x v="10"/>
    <n v="670"/>
    <n v="415.4"/>
    <n v="0"/>
    <n v="0"/>
    <n v="0"/>
    <n v="0"/>
    <n v="3"/>
    <x v="2"/>
    <n v="0"/>
    <n v="16"/>
    <n v="0"/>
    <n v="0"/>
    <n v="8.81"/>
    <n v="0"/>
    <n v="0"/>
    <n v="11.452356648653195"/>
    <m/>
    <m/>
    <n v="3659.674"/>
    <n v="0"/>
    <n v="0"/>
    <n v="4757.3089518505367"/>
    <n v="0"/>
    <n v="0"/>
  </r>
  <r>
    <s v="PROJETADO"/>
    <x v="1"/>
    <x v="3"/>
    <x v="1"/>
    <x v="0"/>
    <x v="2"/>
    <x v="0"/>
    <x v="2"/>
    <x v="11"/>
    <n v="670"/>
    <n v="415.4"/>
    <n v="0"/>
    <n v="0"/>
    <n v="0"/>
    <n v="0"/>
    <n v="3"/>
    <x v="2"/>
    <n v="0"/>
    <n v="16"/>
    <n v="0"/>
    <n v="0"/>
    <n v="8.81"/>
    <n v="0"/>
    <n v="0"/>
    <n v="11.452356648653195"/>
    <m/>
    <m/>
    <n v="3659.674"/>
    <n v="0"/>
    <n v="0"/>
    <n v="4757.3089518505367"/>
    <n v="0"/>
    <n v="0"/>
  </r>
  <r>
    <s v="Regular"/>
    <x v="1"/>
    <x v="3"/>
    <x v="1"/>
    <x v="0"/>
    <x v="2"/>
    <x v="0"/>
    <x v="1"/>
    <x v="0"/>
    <n v="0"/>
    <n v="0"/>
    <n v="21.872"/>
    <n v="14.80330008592"/>
    <n v="0"/>
    <n v="0"/>
    <n v="0"/>
    <x v="2"/>
    <n v="0"/>
    <n v="0"/>
    <n v="17"/>
    <n v="0"/>
    <n v="0"/>
    <n v="641.99"/>
    <n v="0"/>
    <m/>
    <n v="747.73459855656426"/>
    <m/>
    <n v="0"/>
    <n v="9503.5706221597811"/>
    <n v="0"/>
    <n v="0"/>
    <n v="11068.939647057745"/>
    <n v="0"/>
  </r>
  <r>
    <s v="Regular"/>
    <x v="1"/>
    <x v="3"/>
    <x v="1"/>
    <x v="0"/>
    <x v="2"/>
    <x v="0"/>
    <x v="1"/>
    <x v="1"/>
    <n v="0"/>
    <n v="0"/>
    <n v="18.177"/>
    <n v="12.33908618451"/>
    <n v="0"/>
    <n v="0"/>
    <n v="0"/>
    <x v="2"/>
    <n v="0"/>
    <n v="0"/>
    <n v="17"/>
    <n v="0"/>
    <n v="0"/>
    <n v="641.99"/>
    <n v="0"/>
    <m/>
    <n v="747.73459855656426"/>
    <m/>
    <n v="0"/>
    <n v="7921.5699395935753"/>
    <n v="0"/>
    <n v="0"/>
    <n v="9226.3616547294332"/>
    <n v="0"/>
  </r>
  <r>
    <s v="Regular"/>
    <x v="1"/>
    <x v="3"/>
    <x v="1"/>
    <x v="0"/>
    <x v="2"/>
    <x v="0"/>
    <x v="1"/>
    <x v="2"/>
    <n v="0"/>
    <n v="0"/>
    <n v="17.957000000000001"/>
    <n v="12.27281885329"/>
    <n v="0"/>
    <n v="0"/>
    <n v="0"/>
    <x v="2"/>
    <n v="0"/>
    <n v="0"/>
    <n v="17"/>
    <n v="0"/>
    <n v="0"/>
    <n v="641.99"/>
    <n v="0"/>
    <m/>
    <n v="747.73459855656426"/>
    <m/>
    <n v="0"/>
    <n v="7879.0269756236466"/>
    <n v="0"/>
    <n v="0"/>
    <n v="9176.8112784222303"/>
    <n v="0"/>
  </r>
  <r>
    <s v="Regular"/>
    <x v="1"/>
    <x v="3"/>
    <x v="1"/>
    <x v="0"/>
    <x v="2"/>
    <x v="0"/>
    <x v="1"/>
    <x v="3"/>
    <n v="0"/>
    <n v="0"/>
    <n v="20.297999999999998"/>
    <n v="13.883729089139999"/>
    <n v="0"/>
    <n v="0"/>
    <n v="0"/>
    <x v="2"/>
    <n v="0"/>
    <n v="0"/>
    <n v="17"/>
    <n v="0"/>
    <n v="0"/>
    <n v="641.99"/>
    <n v="0"/>
    <m/>
    <n v="747.73459855656426"/>
    <m/>
    <n v="0"/>
    <n v="8913.2152379369891"/>
    <n v="0"/>
    <n v="0"/>
    <n v="10381.344596936191"/>
    <n v="0"/>
  </r>
  <r>
    <s v="Regular"/>
    <x v="1"/>
    <x v="3"/>
    <x v="1"/>
    <x v="0"/>
    <x v="2"/>
    <x v="0"/>
    <x v="1"/>
    <x v="4"/>
    <n v="0"/>
    <n v="0"/>
    <n v="16.643000000000001"/>
    <n v="11.26438332987"/>
    <n v="0"/>
    <n v="0"/>
    <n v="0"/>
    <x v="2"/>
    <n v="0"/>
    <n v="0"/>
    <n v="17"/>
    <n v="0"/>
    <n v="0"/>
    <n v="641.99"/>
    <n v="0"/>
    <m/>
    <n v="747.73459855656426"/>
    <m/>
    <n v="0"/>
    <n v="7231.6214539432412"/>
    <n v="0"/>
    <n v="0"/>
    <n v="8422.7691471475991"/>
    <n v="0"/>
  </r>
  <r>
    <s v="Regular"/>
    <x v="1"/>
    <x v="3"/>
    <x v="1"/>
    <x v="0"/>
    <x v="2"/>
    <x v="0"/>
    <x v="1"/>
    <x v="5"/>
    <n v="0"/>
    <n v="0"/>
    <n v="10.343999999999999"/>
    <n v="6.9809970962400003"/>
    <n v="0"/>
    <n v="0"/>
    <n v="0"/>
    <x v="2"/>
    <n v="0"/>
    <n v="0"/>
    <n v="17"/>
    <n v="0"/>
    <n v="0"/>
    <n v="641.99"/>
    <n v="0"/>
    <m/>
    <n v="747.73459855656426"/>
    <m/>
    <n v="0"/>
    <n v="4481.7303258151178"/>
    <n v="0"/>
    <n v="0"/>
    <n v="5219.9330612815575"/>
    <n v="0"/>
  </r>
  <r>
    <s v="Regular"/>
    <x v="1"/>
    <x v="3"/>
    <x v="1"/>
    <x v="0"/>
    <x v="2"/>
    <x v="0"/>
    <x v="1"/>
    <x v="6"/>
    <n v="0"/>
    <n v="0"/>
    <n v="0.98399999999999999"/>
    <n v="0.66464254416000002"/>
    <n v="0"/>
    <n v="0"/>
    <n v="0"/>
    <x v="2"/>
    <n v="0"/>
    <n v="0"/>
    <n v="17"/>
    <n v="0"/>
    <n v="0"/>
    <n v="641.99"/>
    <n v="0"/>
    <m/>
    <n v="747.73459855656426"/>
    <m/>
    <n v="0"/>
    <n v="426.69386692527843"/>
    <n v="0"/>
    <n v="0"/>
    <n v="496.97622594109117"/>
    <n v="0"/>
  </r>
  <r>
    <s v="Regular"/>
    <x v="1"/>
    <x v="3"/>
    <x v="1"/>
    <x v="0"/>
    <x v="2"/>
    <x v="0"/>
    <x v="1"/>
    <x v="7"/>
    <n v="0"/>
    <n v="0"/>
    <n v="1.915"/>
    <n v="1.290534203"/>
    <n v="0"/>
    <n v="0"/>
    <n v="0"/>
    <x v="2"/>
    <n v="0"/>
    <n v="0"/>
    <n v="17"/>
    <n v="0"/>
    <n v="0"/>
    <n v="641.99"/>
    <n v="0"/>
    <m/>
    <n v="747.73459855656426"/>
    <m/>
    <n v="0"/>
    <n v="828.51005298397001"/>
    <n v="0"/>
    <n v="0"/>
    <n v="964.97707420372058"/>
    <n v="0"/>
  </r>
  <r>
    <s v="Regular"/>
    <x v="1"/>
    <x v="3"/>
    <x v="1"/>
    <x v="0"/>
    <x v="2"/>
    <x v="0"/>
    <x v="1"/>
    <x v="8"/>
    <n v="0"/>
    <n v="0"/>
    <n v="1.915"/>
    <n v="1.2913289663"/>
    <n v="0"/>
    <n v="0"/>
    <n v="0"/>
    <x v="2"/>
    <n v="0"/>
    <n v="0"/>
    <n v="17"/>
    <n v="0"/>
    <n v="0"/>
    <n v="641.99"/>
    <n v="0"/>
    <m/>
    <n v="747.73459855656426"/>
    <m/>
    <n v="0"/>
    <n v="829.02028307493708"/>
    <n v="0"/>
    <n v="0"/>
    <n v="965.57134622079366"/>
    <n v="0"/>
  </r>
  <r>
    <s v="Regular"/>
    <x v="1"/>
    <x v="3"/>
    <x v="1"/>
    <x v="0"/>
    <x v="2"/>
    <x v="0"/>
    <x v="1"/>
    <x v="9"/>
    <n v="0"/>
    <n v="0"/>
    <n v="10.974"/>
    <n v="7.6265878306800001"/>
    <n v="0"/>
    <n v="0"/>
    <n v="0"/>
    <x v="2"/>
    <n v="0"/>
    <n v="0"/>
    <n v="17"/>
    <n v="0"/>
    <n v="0"/>
    <n v="641.99"/>
    <n v="0"/>
    <m/>
    <n v="747.73459855656426"/>
    <m/>
    <n v="0"/>
    <n v="4896.1931214182532"/>
    <n v="0"/>
    <n v="0"/>
    <n v="5702.6635899298881"/>
    <n v="0"/>
  </r>
  <r>
    <s v="Regular"/>
    <x v="1"/>
    <x v="3"/>
    <x v="1"/>
    <x v="0"/>
    <x v="2"/>
    <x v="0"/>
    <x v="1"/>
    <x v="10"/>
    <n v="0"/>
    <n v="0"/>
    <n v="10.456"/>
    <n v="7.0055199999999997"/>
    <n v="0"/>
    <n v="0"/>
    <n v="0"/>
    <x v="2"/>
    <n v="0"/>
    <n v="0"/>
    <n v="17"/>
    <n v="0"/>
    <n v="0"/>
    <n v="641.99"/>
    <n v="0"/>
    <m/>
    <n v="747.73459855656426"/>
    <m/>
    <n v="0"/>
    <n v="4497.4737847999995"/>
    <n v="0"/>
    <n v="0"/>
    <n v="5238.2696848799815"/>
    <n v="0"/>
  </r>
  <r>
    <s v="PROJETADO"/>
    <x v="1"/>
    <x v="3"/>
    <x v="1"/>
    <x v="0"/>
    <x v="2"/>
    <x v="0"/>
    <x v="1"/>
    <x v="11"/>
    <n v="0"/>
    <n v="0"/>
    <n v="10.456"/>
    <n v="7.0055199999999997"/>
    <n v="0"/>
    <n v="0"/>
    <n v="0"/>
    <x v="2"/>
    <n v="0"/>
    <n v="0"/>
    <n v="17"/>
    <n v="0"/>
    <n v="0"/>
    <n v="641.99"/>
    <n v="0"/>
    <m/>
    <n v="747.73459855656426"/>
    <m/>
    <n v="0"/>
    <n v="4497.4737847999995"/>
    <n v="0"/>
    <n v="0"/>
    <n v="5238.2696848799815"/>
    <n v="0"/>
  </r>
  <r>
    <s v="Regular"/>
    <x v="1"/>
    <x v="3"/>
    <x v="2"/>
    <x v="1"/>
    <x v="0"/>
    <x v="0"/>
    <x v="0"/>
    <x v="0"/>
    <n v="0"/>
    <n v="0"/>
    <n v="466.53899999999999"/>
    <n v="410.55432000000002"/>
    <n v="466.53899999999999"/>
    <n v="410.55432000000002"/>
    <n v="0"/>
    <x v="0"/>
    <n v="0"/>
    <n v="0"/>
    <n v="18"/>
    <n v="80"/>
    <n v="0"/>
    <n v="84.45"/>
    <n v="256.38"/>
    <m/>
    <n v="87.520205040180812"/>
    <n v="230.84299908458948"/>
    <n v="0"/>
    <n v="34671.312324000006"/>
    <n v="105257.91656160001"/>
    <n v="0"/>
    <n v="35931.798266532009"/>
    <n v="94773.590515934266"/>
  </r>
  <r>
    <s v="Regular"/>
    <x v="1"/>
    <x v="3"/>
    <x v="2"/>
    <x v="1"/>
    <x v="0"/>
    <x v="0"/>
    <x v="0"/>
    <x v="1"/>
    <n v="0"/>
    <n v="0"/>
    <n v="473.21"/>
    <n v="416.4248"/>
    <n v="473.21"/>
    <n v="416.4248"/>
    <n v="0"/>
    <x v="0"/>
    <n v="0"/>
    <n v="0"/>
    <n v="18"/>
    <n v="80"/>
    <n v="0"/>
    <n v="84.45"/>
    <n v="256.38"/>
    <m/>
    <n v="87.520205040180812"/>
    <n v="230.84299908458948"/>
    <n v="0"/>
    <n v="35167.074359999999"/>
    <n v="106762.99022399999"/>
    <n v="0"/>
    <n v="36445.583879816288"/>
    <n v="96128.749725200352"/>
  </r>
  <r>
    <s v="Regular"/>
    <x v="1"/>
    <x v="3"/>
    <x v="2"/>
    <x v="1"/>
    <x v="0"/>
    <x v="0"/>
    <x v="0"/>
    <x v="2"/>
    <n v="0"/>
    <n v="0"/>
    <n v="459.21100000000001"/>
    <n v="404.10568000000001"/>
    <n v="459.21100000000001"/>
    <n v="404.10568000000001"/>
    <n v="0"/>
    <x v="0"/>
    <n v="0"/>
    <n v="0"/>
    <n v="18"/>
    <n v="80"/>
    <n v="0"/>
    <n v="84.45"/>
    <n v="256.38"/>
    <m/>
    <n v="87.520205040180812"/>
    <n v="230.84299908458948"/>
    <n v="0"/>
    <n v="34126.724676000005"/>
    <n v="103604.6142384"/>
    <n v="0"/>
    <n v="35367.411971501693"/>
    <n v="93284.967118317407"/>
  </r>
  <r>
    <s v="Regular"/>
    <x v="1"/>
    <x v="3"/>
    <x v="2"/>
    <x v="1"/>
    <x v="0"/>
    <x v="0"/>
    <x v="0"/>
    <x v="3"/>
    <n v="0"/>
    <n v="0"/>
    <n v="478.49099999999999"/>
    <n v="421.07207999999997"/>
    <n v="478.49099999999999"/>
    <n v="421.07207999999997"/>
    <n v="0"/>
    <x v="0"/>
    <n v="0"/>
    <n v="0"/>
    <n v="18"/>
    <n v="80"/>
    <n v="0"/>
    <n v="84.45"/>
    <n v="256.38"/>
    <m/>
    <n v="87.520205040180812"/>
    <n v="230.84299908458948"/>
    <n v="0"/>
    <n v="35559.537155999999"/>
    <n v="107954.45987039999"/>
    <n v="0"/>
    <n v="36852.314778295418"/>
    <n v="97201.541777986175"/>
  </r>
  <r>
    <s v="Regular"/>
    <x v="1"/>
    <x v="3"/>
    <x v="2"/>
    <x v="1"/>
    <x v="0"/>
    <x v="0"/>
    <x v="0"/>
    <x v="4"/>
    <n v="0"/>
    <n v="0"/>
    <n v="469.49799999999999"/>
    <n v="413.15823999999998"/>
    <n v="469.49799999999999"/>
    <n v="413.15823999999998"/>
    <n v="0"/>
    <x v="0"/>
    <n v="0"/>
    <n v="0"/>
    <n v="18"/>
    <n v="80"/>
    <n v="0"/>
    <n v="84.45"/>
    <n v="256.38"/>
    <m/>
    <n v="87.520205040180812"/>
    <n v="230.84299908458948"/>
    <n v="0"/>
    <n v="34891.213367999997"/>
    <n v="105925.50957119999"/>
    <n v="0"/>
    <n v="36159.693878840233"/>
    <n v="95374.687218110601"/>
  </r>
  <r>
    <s v="Regular"/>
    <x v="1"/>
    <x v="3"/>
    <x v="2"/>
    <x v="1"/>
    <x v="0"/>
    <x v="0"/>
    <x v="0"/>
    <x v="5"/>
    <n v="0"/>
    <n v="0"/>
    <n v="399.048"/>
    <n v="351.16224"/>
    <n v="399.048"/>
    <n v="351.16224"/>
    <n v="0"/>
    <x v="0"/>
    <n v="0"/>
    <n v="0"/>
    <n v="18"/>
    <n v="80"/>
    <n v="0"/>
    <n v="84.45"/>
    <n v="256.38"/>
    <m/>
    <n v="87.520205040180812"/>
    <n v="230.84299908458948"/>
    <n v="0"/>
    <n v="29655.651168"/>
    <n v="90030.975091200002"/>
    <n v="0"/>
    <n v="30733.791247169185"/>
    <n v="81063.344646862388"/>
  </r>
  <r>
    <s v="Regular"/>
    <x v="1"/>
    <x v="3"/>
    <x v="2"/>
    <x v="1"/>
    <x v="0"/>
    <x v="0"/>
    <x v="0"/>
    <x v="6"/>
    <n v="0"/>
    <n v="0"/>
    <n v="423.98899999999998"/>
    <n v="373.11032"/>
    <n v="423.98899999999998"/>
    <n v="373.11032"/>
    <n v="0"/>
    <x v="0"/>
    <n v="0"/>
    <n v="0"/>
    <n v="18"/>
    <n v="80"/>
    <n v="0"/>
    <n v="84.45"/>
    <n v="256.38"/>
    <m/>
    <n v="87.520205040180812"/>
    <n v="230.84299908458948"/>
    <n v="0"/>
    <n v="31509.166524"/>
    <n v="95658.023841599992"/>
    <n v="0"/>
    <n v="32654.691709007475"/>
    <n v="86129.905258210885"/>
  </r>
  <r>
    <s v="Regular"/>
    <x v="1"/>
    <x v="3"/>
    <x v="2"/>
    <x v="1"/>
    <x v="0"/>
    <x v="0"/>
    <x v="0"/>
    <x v="7"/>
    <n v="0"/>
    <n v="0"/>
    <n v="393.7"/>
    <n v="346.45600000000002"/>
    <n v="393.7"/>
    <n v="346.45600000000002"/>
    <n v="0"/>
    <x v="0"/>
    <n v="0"/>
    <n v="0"/>
    <n v="18"/>
    <n v="80"/>
    <n v="0"/>
    <n v="84.45"/>
    <n v="256.38"/>
    <m/>
    <n v="87.520205040180812"/>
    <n v="230.84299908458948"/>
    <n v="0"/>
    <n v="29258.209200000001"/>
    <n v="88824.389280000003"/>
    <n v="0"/>
    <n v="30321.900157400883"/>
    <n v="79976.942090850542"/>
  </r>
  <r>
    <s v="Regular"/>
    <x v="1"/>
    <x v="3"/>
    <x v="2"/>
    <x v="1"/>
    <x v="0"/>
    <x v="0"/>
    <x v="0"/>
    <x v="8"/>
    <n v="0"/>
    <n v="0"/>
    <n v="434.92599999999999"/>
    <n v="382.73487999999998"/>
    <n v="434.92599999999999"/>
    <n v="382.73487999999998"/>
    <n v="0"/>
    <x v="0"/>
    <n v="0"/>
    <n v="0"/>
    <n v="18"/>
    <n v="80"/>
    <n v="0"/>
    <n v="84.45"/>
    <n v="256.38"/>
    <m/>
    <n v="87.520205040180812"/>
    <n v="230.84299908458948"/>
    <n v="0"/>
    <n v="32321.960616"/>
    <n v="98125.568534399994"/>
    <n v="0"/>
    <n v="33497.035173628996"/>
    <n v="88351.667553480453"/>
  </r>
  <r>
    <s v="Regular"/>
    <x v="1"/>
    <x v="3"/>
    <x v="2"/>
    <x v="1"/>
    <x v="0"/>
    <x v="0"/>
    <x v="0"/>
    <x v="9"/>
    <n v="0"/>
    <n v="0"/>
    <n v="439.71300000000002"/>
    <n v="386.94744000000003"/>
    <n v="439.71300000000002"/>
    <n v="386.94744000000003"/>
    <n v="0"/>
    <x v="0"/>
    <n v="0"/>
    <n v="0"/>
    <n v="18"/>
    <n v="80"/>
    <n v="0"/>
    <n v="84.45"/>
    <n v="256.38"/>
    <m/>
    <n v="87.520205040180812"/>
    <n v="230.84299908458948"/>
    <n v="0"/>
    <n v="32677.711308000002"/>
    <n v="99205.584667200004"/>
    <n v="0"/>
    <n v="33865.719288573062"/>
    <n v="89324.107537704243"/>
  </r>
  <r>
    <s v="Regular"/>
    <x v="1"/>
    <x v="3"/>
    <x v="2"/>
    <x v="1"/>
    <x v="0"/>
    <x v="0"/>
    <x v="0"/>
    <x v="10"/>
    <n v="0"/>
    <n v="0"/>
    <n v="432.42200000000003"/>
    <n v="380.53136000000001"/>
    <n v="432.42200000000003"/>
    <n v="380.53136000000001"/>
    <n v="0"/>
    <x v="0"/>
    <n v="0"/>
    <n v="0"/>
    <n v="18"/>
    <n v="80"/>
    <n v="0"/>
    <n v="84.45"/>
    <n v="256.38"/>
    <m/>
    <n v="87.520205040180812"/>
    <n v="230.84299908458948"/>
    <n v="0"/>
    <n v="32135.873352000002"/>
    <n v="97560.630076799993"/>
    <n v="0"/>
    <n v="33304.182651418858"/>
    <n v="87843.000388137589"/>
  </r>
  <r>
    <s v="PROJETADO"/>
    <x v="1"/>
    <x v="3"/>
    <x v="2"/>
    <x v="1"/>
    <x v="0"/>
    <x v="0"/>
    <x v="0"/>
    <x v="11"/>
    <n v="0"/>
    <n v="0"/>
    <n v="432.42200000000003"/>
    <n v="380.53136000000001"/>
    <n v="432.42200000000003"/>
    <n v="380.53136000000001"/>
    <n v="0"/>
    <x v="0"/>
    <n v="0"/>
    <n v="0"/>
    <n v="18"/>
    <n v="80"/>
    <n v="0"/>
    <n v="84.45"/>
    <n v="256.38"/>
    <m/>
    <n v="87.520205040180812"/>
    <n v="230.84299908458948"/>
    <n v="0"/>
    <n v="32135.873352000002"/>
    <n v="97560.630076799993"/>
    <n v="0"/>
    <n v="33304.182651418858"/>
    <n v="87843.000388137589"/>
  </r>
  <r>
    <s v="Regular"/>
    <x v="1"/>
    <x v="3"/>
    <x v="2"/>
    <x v="1"/>
    <x v="0"/>
    <x v="0"/>
    <x v="2"/>
    <x v="0"/>
    <n v="1130"/>
    <n v="960.5"/>
    <n v="0"/>
    <n v="0"/>
    <n v="0"/>
    <n v="0"/>
    <n v="1"/>
    <x v="0"/>
    <n v="0"/>
    <n v="16"/>
    <n v="0"/>
    <n v="0"/>
    <n v="8.81"/>
    <n v="0"/>
    <n v="0"/>
    <n v="11.452356648653195"/>
    <m/>
    <m/>
    <n v="8462.005000000001"/>
    <n v="0"/>
    <n v="0"/>
    <n v="10999.988561031394"/>
    <n v="0"/>
    <n v="0"/>
  </r>
  <r>
    <s v="Regular"/>
    <x v="1"/>
    <x v="3"/>
    <x v="2"/>
    <x v="1"/>
    <x v="0"/>
    <x v="0"/>
    <x v="2"/>
    <x v="1"/>
    <n v="1168"/>
    <n v="992.8"/>
    <n v="0"/>
    <n v="0"/>
    <n v="0"/>
    <n v="0"/>
    <n v="1"/>
    <x v="0"/>
    <n v="0"/>
    <n v="16"/>
    <n v="0"/>
    <n v="0"/>
    <n v="8.81"/>
    <n v="0"/>
    <n v="0"/>
    <n v="11.452356648653195"/>
    <m/>
    <m/>
    <n v="8746.5679999999993"/>
    <n v="0"/>
    <n v="0"/>
    <n v="11369.899680782892"/>
    <n v="0"/>
    <n v="0"/>
  </r>
  <r>
    <s v="Regular"/>
    <x v="1"/>
    <x v="3"/>
    <x v="2"/>
    <x v="1"/>
    <x v="0"/>
    <x v="0"/>
    <x v="2"/>
    <x v="2"/>
    <n v="1084"/>
    <n v="921.4"/>
    <n v="0"/>
    <n v="0"/>
    <n v="0"/>
    <n v="0"/>
    <n v="1"/>
    <x v="0"/>
    <n v="0"/>
    <n v="16"/>
    <n v="0"/>
    <n v="0"/>
    <n v="8.81"/>
    <n v="0"/>
    <n v="0"/>
    <n v="11.452356648653195"/>
    <m/>
    <m/>
    <n v="8117.5340000000006"/>
    <n v="0"/>
    <n v="0"/>
    <n v="10552.201416069054"/>
    <n v="0"/>
    <n v="0"/>
  </r>
  <r>
    <s v="Regular"/>
    <x v="1"/>
    <x v="3"/>
    <x v="2"/>
    <x v="1"/>
    <x v="0"/>
    <x v="0"/>
    <x v="2"/>
    <x v="3"/>
    <n v="1076"/>
    <n v="914.6"/>
    <n v="0"/>
    <n v="0"/>
    <n v="0"/>
    <n v="0"/>
    <n v="1"/>
    <x v="0"/>
    <n v="0"/>
    <n v="16"/>
    <n v="0"/>
    <n v="0"/>
    <n v="8.81"/>
    <n v="0"/>
    <n v="0"/>
    <n v="11.452356648653195"/>
    <m/>
    <m/>
    <n v="8057.6260000000002"/>
    <n v="0"/>
    <n v="0"/>
    <n v="10474.325390858212"/>
    <n v="0"/>
    <n v="0"/>
  </r>
  <r>
    <s v="Regular"/>
    <x v="1"/>
    <x v="3"/>
    <x v="2"/>
    <x v="1"/>
    <x v="0"/>
    <x v="0"/>
    <x v="2"/>
    <x v="4"/>
    <n v="1064"/>
    <n v="904.4"/>
    <n v="0"/>
    <n v="0"/>
    <n v="0"/>
    <n v="0"/>
    <n v="1"/>
    <x v="0"/>
    <n v="0"/>
    <n v="16"/>
    <n v="0"/>
    <n v="0"/>
    <n v="8.81"/>
    <n v="0"/>
    <n v="0"/>
    <n v="11.452356648653195"/>
    <m/>
    <m/>
    <n v="7967.7640000000001"/>
    <n v="0"/>
    <n v="0"/>
    <n v="10357.511353041949"/>
    <n v="0"/>
    <n v="0"/>
  </r>
  <r>
    <s v="Regular"/>
    <x v="1"/>
    <x v="3"/>
    <x v="2"/>
    <x v="1"/>
    <x v="0"/>
    <x v="0"/>
    <x v="2"/>
    <x v="5"/>
    <n v="903"/>
    <n v="767.55"/>
    <n v="0"/>
    <n v="0"/>
    <n v="0"/>
    <n v="0"/>
    <n v="1"/>
    <x v="0"/>
    <n v="0"/>
    <n v="16"/>
    <n v="0"/>
    <n v="0"/>
    <n v="8.81"/>
    <n v="0"/>
    <n v="0"/>
    <n v="11.452356648653195"/>
    <m/>
    <m/>
    <n v="6762.1154999999999"/>
    <n v="0"/>
    <n v="0"/>
    <n v="8790.2563456737589"/>
    <n v="0"/>
    <n v="0"/>
  </r>
  <r>
    <s v="Regular"/>
    <x v="1"/>
    <x v="3"/>
    <x v="2"/>
    <x v="1"/>
    <x v="0"/>
    <x v="0"/>
    <x v="2"/>
    <x v="6"/>
    <n v="1004"/>
    <n v="853.4"/>
    <n v="0"/>
    <n v="0"/>
    <n v="0"/>
    <n v="0"/>
    <n v="1"/>
    <x v="0"/>
    <n v="0"/>
    <n v="16"/>
    <n v="0"/>
    <n v="0"/>
    <n v="8.81"/>
    <n v="0"/>
    <n v="0"/>
    <n v="11.452356648653195"/>
    <m/>
    <m/>
    <n v="7518.4540000000006"/>
    <n v="0"/>
    <n v="0"/>
    <n v="9773.4411639606369"/>
    <n v="0"/>
    <n v="0"/>
  </r>
  <r>
    <s v="Regular"/>
    <x v="1"/>
    <x v="3"/>
    <x v="2"/>
    <x v="1"/>
    <x v="0"/>
    <x v="0"/>
    <x v="2"/>
    <x v="7"/>
    <n v="785"/>
    <n v="667.25"/>
    <n v="0"/>
    <n v="0"/>
    <n v="0"/>
    <n v="0"/>
    <n v="1"/>
    <x v="0"/>
    <n v="0"/>
    <n v="16"/>
    <n v="0"/>
    <n v="0"/>
    <n v="8.81"/>
    <n v="0"/>
    <n v="0"/>
    <n v="11.452356648653195"/>
    <m/>
    <m/>
    <n v="5878.4725000000008"/>
    <n v="0"/>
    <n v="0"/>
    <n v="7641.584973813844"/>
    <n v="0"/>
    <n v="0"/>
  </r>
  <r>
    <s v="Regular"/>
    <x v="1"/>
    <x v="3"/>
    <x v="2"/>
    <x v="1"/>
    <x v="0"/>
    <x v="0"/>
    <x v="2"/>
    <x v="8"/>
    <n v="1150"/>
    <n v="977.5"/>
    <n v="0"/>
    <n v="0"/>
    <n v="0"/>
    <n v="0"/>
    <n v="1"/>
    <x v="0"/>
    <n v="0"/>
    <n v="16"/>
    <n v="0"/>
    <n v="0"/>
    <n v="8.81"/>
    <n v="0"/>
    <n v="0"/>
    <n v="11.452356648653195"/>
    <m/>
    <m/>
    <n v="8611.7749999999996"/>
    <n v="0"/>
    <n v="0"/>
    <n v="11194.678624058499"/>
    <n v="0"/>
    <n v="0"/>
  </r>
  <r>
    <s v="Regular"/>
    <x v="1"/>
    <x v="3"/>
    <x v="2"/>
    <x v="1"/>
    <x v="0"/>
    <x v="0"/>
    <x v="2"/>
    <x v="9"/>
    <n v="1150"/>
    <n v="977.5"/>
    <n v="0"/>
    <n v="0"/>
    <n v="0"/>
    <n v="0"/>
    <n v="1"/>
    <x v="0"/>
    <n v="0"/>
    <n v="16"/>
    <n v="0"/>
    <n v="0"/>
    <n v="8.81"/>
    <n v="0"/>
    <n v="0"/>
    <n v="11.452356648653195"/>
    <m/>
    <m/>
    <n v="8611.7749999999996"/>
    <n v="0"/>
    <n v="0"/>
    <n v="11194.678624058499"/>
    <n v="0"/>
    <n v="0"/>
  </r>
  <r>
    <s v="Regular"/>
    <x v="1"/>
    <x v="3"/>
    <x v="2"/>
    <x v="1"/>
    <x v="0"/>
    <x v="0"/>
    <x v="2"/>
    <x v="10"/>
    <n v="1150"/>
    <n v="977.5"/>
    <n v="0"/>
    <n v="0"/>
    <n v="0"/>
    <n v="0"/>
    <n v="1"/>
    <x v="0"/>
    <n v="0"/>
    <n v="16"/>
    <n v="0"/>
    <n v="0"/>
    <n v="8.81"/>
    <n v="0"/>
    <n v="0"/>
    <n v="11.452356648653195"/>
    <m/>
    <m/>
    <n v="8611.7749999999996"/>
    <n v="0"/>
    <n v="0"/>
    <n v="11194.678624058499"/>
    <n v="0"/>
    <n v="0"/>
  </r>
  <r>
    <s v="PROJETADO"/>
    <x v="1"/>
    <x v="3"/>
    <x v="2"/>
    <x v="1"/>
    <x v="0"/>
    <x v="0"/>
    <x v="2"/>
    <x v="11"/>
    <n v="1150"/>
    <n v="977.5"/>
    <n v="0"/>
    <n v="0"/>
    <n v="0"/>
    <n v="0"/>
    <n v="1"/>
    <x v="0"/>
    <n v="0"/>
    <n v="16"/>
    <n v="0"/>
    <n v="0"/>
    <n v="8.81"/>
    <n v="0"/>
    <n v="0"/>
    <n v="11.452356648653195"/>
    <m/>
    <m/>
    <n v="8611.7749999999996"/>
    <n v="0"/>
    <n v="0"/>
    <n v="11194.678624058499"/>
    <n v="0"/>
    <n v="0"/>
  </r>
  <r>
    <s v="Regular"/>
    <x v="1"/>
    <x v="3"/>
    <x v="2"/>
    <x v="1"/>
    <x v="0"/>
    <x v="0"/>
    <x v="1"/>
    <x v="0"/>
    <n v="0"/>
    <n v="0"/>
    <n v="46.58"/>
    <n v="40.990400000000001"/>
    <n v="46.58"/>
    <n v="40.990400000000001"/>
    <n v="0"/>
    <x v="0"/>
    <n v="0"/>
    <n v="0"/>
    <n v="17"/>
    <n v="79"/>
    <n v="0"/>
    <n v="641.99"/>
    <n v="430.87"/>
    <m/>
    <n v="747.73459855656426"/>
    <n v="375.70671275609089"/>
    <n v="0"/>
    <n v="26315.426896000001"/>
    <n v="17661.533648000001"/>
    <n v="0"/>
    <n v="30649.940288672991"/>
    <n v="15400.368438557269"/>
  </r>
  <r>
    <s v="Regular"/>
    <x v="1"/>
    <x v="3"/>
    <x v="2"/>
    <x v="1"/>
    <x v="0"/>
    <x v="0"/>
    <x v="1"/>
    <x v="1"/>
    <n v="0"/>
    <n v="0"/>
    <n v="50.598999999999997"/>
    <n v="44.527119999999996"/>
    <n v="50.598999999999997"/>
    <n v="44.527119999999996"/>
    <n v="0"/>
    <x v="0"/>
    <n v="0"/>
    <n v="0"/>
    <n v="17"/>
    <n v="79"/>
    <n v="0"/>
    <n v="641.99"/>
    <n v="430.87"/>
    <m/>
    <n v="747.73459855656426"/>
    <n v="375.70671275609089"/>
    <n v="0"/>
    <n v="28585.965768799997"/>
    <n v="19185.400194399997"/>
    <n v="0"/>
    <n v="33294.468198079958"/>
    <n v="16729.137883695988"/>
  </r>
  <r>
    <s v="Regular"/>
    <x v="1"/>
    <x v="3"/>
    <x v="2"/>
    <x v="1"/>
    <x v="0"/>
    <x v="0"/>
    <x v="1"/>
    <x v="2"/>
    <n v="0"/>
    <n v="0"/>
    <n v="44.917999999999999"/>
    <n v="39.527839999999998"/>
    <n v="44.917999999999999"/>
    <n v="39.527839999999998"/>
    <n v="0"/>
    <x v="0"/>
    <n v="0"/>
    <n v="0"/>
    <n v="17"/>
    <n v="79"/>
    <n v="0"/>
    <n v="641.99"/>
    <n v="430.87"/>
    <m/>
    <n v="747.73459855656426"/>
    <n v="375.70671275609089"/>
    <n v="0"/>
    <n v="25376.4780016"/>
    <n v="17031.3604208"/>
    <n v="0"/>
    <n v="29556.3335742081"/>
    <n v="14850.87482874872"/>
  </r>
  <r>
    <s v="Regular"/>
    <x v="1"/>
    <x v="3"/>
    <x v="2"/>
    <x v="1"/>
    <x v="0"/>
    <x v="0"/>
    <x v="1"/>
    <x v="3"/>
    <n v="0"/>
    <n v="0"/>
    <n v="46.936999999999998"/>
    <n v="41.304559999999995"/>
    <n v="46.936999999999998"/>
    <n v="41.304559999999995"/>
    <n v="0"/>
    <x v="0"/>
    <n v="0"/>
    <n v="0"/>
    <n v="17"/>
    <n v="79"/>
    <n v="0"/>
    <n v="641.99"/>
    <n v="430.87"/>
    <m/>
    <n v="747.73459855656426"/>
    <n v="375.70671275609089"/>
    <n v="0"/>
    <n v="26517.114474399998"/>
    <n v="17796.8957672"/>
    <n v="0"/>
    <n v="30884.848590155518"/>
    <n v="15518.40045943672"/>
  </r>
  <r>
    <s v="Regular"/>
    <x v="1"/>
    <x v="3"/>
    <x v="2"/>
    <x v="1"/>
    <x v="0"/>
    <x v="0"/>
    <x v="1"/>
    <x v="4"/>
    <n v="0"/>
    <n v="0"/>
    <n v="51.484000000000002"/>
    <n v="45.30592"/>
    <n v="51.484000000000002"/>
    <n v="45.30592"/>
    <n v="0"/>
    <x v="0"/>
    <n v="0"/>
    <n v="0"/>
    <n v="17"/>
    <n v="79"/>
    <n v="0"/>
    <n v="641.99"/>
    <n v="430.87"/>
    <m/>
    <n v="747.73459855656426"/>
    <n v="375.70671275609089"/>
    <n v="0"/>
    <n v="29085.947580800002"/>
    <n v="19520.961750400002"/>
    <n v="0"/>
    <n v="33876.803903435815"/>
    <n v="17021.738271590435"/>
  </r>
  <r>
    <s v="Regular"/>
    <x v="1"/>
    <x v="3"/>
    <x v="2"/>
    <x v="1"/>
    <x v="0"/>
    <x v="0"/>
    <x v="1"/>
    <x v="5"/>
    <n v="0"/>
    <n v="0"/>
    <n v="38.881"/>
    <n v="34.21528"/>
    <n v="38.881"/>
    <n v="34.21528"/>
    <n v="0"/>
    <x v="0"/>
    <n v="0"/>
    <n v="0"/>
    <n v="17"/>
    <n v="79"/>
    <n v="0"/>
    <n v="641.99"/>
    <n v="430.87"/>
    <m/>
    <n v="747.73459855656426"/>
    <n v="375.70671275609089"/>
    <n v="0"/>
    <n v="21965.867607200002"/>
    <n v="14742.3376936"/>
    <n v="0"/>
    <n v="25583.948655300443"/>
    <n v="12854.910374829222"/>
  </r>
  <r>
    <s v="Regular"/>
    <x v="1"/>
    <x v="3"/>
    <x v="2"/>
    <x v="1"/>
    <x v="0"/>
    <x v="0"/>
    <x v="1"/>
    <x v="6"/>
    <n v="0"/>
    <n v="0"/>
    <n v="38.920999999999999"/>
    <n v="34.250480000000003"/>
    <n v="38.920999999999999"/>
    <n v="34.250480000000003"/>
    <n v="0"/>
    <x v="0"/>
    <n v="0"/>
    <n v="0"/>
    <n v="17"/>
    <n v="79"/>
    <n v="0"/>
    <n v="641.99"/>
    <n v="430.87"/>
    <m/>
    <n v="747.73459855656426"/>
    <n v="375.70671275609089"/>
    <n v="0"/>
    <n v="21988.465655200001"/>
    <n v="14757.504317600002"/>
    <n v="0"/>
    <n v="25610.268913169635"/>
    <n v="12868.135251118238"/>
  </r>
  <r>
    <s v="Regular"/>
    <x v="1"/>
    <x v="3"/>
    <x v="2"/>
    <x v="1"/>
    <x v="0"/>
    <x v="0"/>
    <x v="1"/>
    <x v="7"/>
    <n v="0"/>
    <n v="0"/>
    <n v="43.56"/>
    <n v="38.332799999999999"/>
    <n v="43.56"/>
    <n v="38.332799999999999"/>
    <n v="0"/>
    <x v="0"/>
    <n v="0"/>
    <n v="0"/>
    <n v="17"/>
    <n v="79"/>
    <n v="0"/>
    <n v="641.99"/>
    <n v="430.87"/>
    <m/>
    <n v="747.73459855656426"/>
    <n v="375.70671275609089"/>
    <n v="0"/>
    <n v="24609.274271999999"/>
    <n v="16516.453536000001"/>
    <n v="0"/>
    <n v="28662.760819549065"/>
    <n v="14401.890278736681"/>
  </r>
  <r>
    <s v="Regular"/>
    <x v="1"/>
    <x v="3"/>
    <x v="2"/>
    <x v="1"/>
    <x v="0"/>
    <x v="0"/>
    <x v="1"/>
    <x v="8"/>
    <n v="0"/>
    <n v="0"/>
    <n v="42.173000000000002"/>
    <n v="37.11224"/>
    <n v="42.173000000000002"/>
    <n v="37.11224"/>
    <n v="0"/>
    <x v="0"/>
    <n v="0"/>
    <n v="0"/>
    <n v="17"/>
    <n v="79"/>
    <n v="0"/>
    <n v="641.99"/>
    <n v="430.87"/>
    <m/>
    <n v="747.73459855656426"/>
    <n v="375.70671275609089"/>
    <n v="0"/>
    <n v="23825.686957599999"/>
    <n v="15990.5508488"/>
    <n v="0"/>
    <n v="27750.105877934868"/>
    <n v="13943.317693415107"/>
  </r>
  <r>
    <s v="Regular"/>
    <x v="1"/>
    <x v="3"/>
    <x v="2"/>
    <x v="1"/>
    <x v="0"/>
    <x v="0"/>
    <x v="1"/>
    <x v="9"/>
    <n v="0"/>
    <n v="0"/>
    <n v="44.671999999999997"/>
    <n v="39.311360000000001"/>
    <n v="44.671999999999997"/>
    <n v="39.311360000000001"/>
    <n v="0"/>
    <x v="0"/>
    <n v="0"/>
    <n v="0"/>
    <n v="17"/>
    <n v="79"/>
    <n v="0"/>
    <n v="641.99"/>
    <n v="430.87"/>
    <m/>
    <n v="747.73459855656426"/>
    <n v="375.70671275609089"/>
    <n v="0"/>
    <n v="25237.500006400001"/>
    <n v="16938.085683199999"/>
    <n v="0"/>
    <n v="29394.463988312578"/>
    <n v="14769.541839571282"/>
  </r>
  <r>
    <s v="Regular"/>
    <x v="1"/>
    <x v="3"/>
    <x v="2"/>
    <x v="1"/>
    <x v="0"/>
    <x v="0"/>
    <x v="1"/>
    <x v="10"/>
    <n v="0"/>
    <n v="0"/>
    <n v="48.335000000000001"/>
    <n v="42.534800000000004"/>
    <n v="48.335000000000001"/>
    <n v="42.534800000000004"/>
    <n v="0"/>
    <x v="0"/>
    <n v="0"/>
    <n v="0"/>
    <n v="17"/>
    <n v="79"/>
    <n v="0"/>
    <n v="641.99"/>
    <n v="430.87"/>
    <m/>
    <n v="747.73459855656426"/>
    <n v="375.70671275609089"/>
    <n v="0"/>
    <n v="27306.916252000003"/>
    <n v="18326.969276000003"/>
    <n v="0"/>
    <n v="31804.741602683753"/>
    <n v="15980.609885737776"/>
  </r>
  <r>
    <s v="PROJETADO"/>
    <x v="1"/>
    <x v="3"/>
    <x v="2"/>
    <x v="1"/>
    <x v="0"/>
    <x v="0"/>
    <x v="1"/>
    <x v="11"/>
    <n v="0"/>
    <n v="0"/>
    <n v="48.335000000000001"/>
    <n v="42.534800000000004"/>
    <n v="48.335000000000001"/>
    <n v="42.534800000000004"/>
    <n v="0"/>
    <x v="0"/>
    <n v="0"/>
    <n v="0"/>
    <n v="17"/>
    <n v="79"/>
    <n v="0"/>
    <n v="641.99"/>
    <n v="430.87"/>
    <m/>
    <n v="747.73459855656426"/>
    <n v="375.70671275609089"/>
    <n v="0"/>
    <n v="27306.916252000003"/>
    <n v="18326.969276000003"/>
    <n v="0"/>
    <n v="31804.741602683753"/>
    <n v="15980.609885737776"/>
  </r>
  <r>
    <s v="Regular"/>
    <x v="2"/>
    <x v="0"/>
    <x v="0"/>
    <x v="0"/>
    <x v="0"/>
    <x v="0"/>
    <x v="0"/>
    <x v="0"/>
    <n v="45023"/>
    <n v="45023"/>
    <n v="15558.128000000001"/>
    <n v="15558.128000000001"/>
    <n v="15558.128000000001"/>
    <n v="15558.128000000001"/>
    <n v="0"/>
    <x v="0"/>
    <n v="0"/>
    <n v="22"/>
    <n v="23"/>
    <n v="82"/>
    <n v="8.81"/>
    <n v="84.45"/>
    <n v="256.38"/>
    <n v="11.452356648653195"/>
    <n v="87.520205040180812"/>
    <n v="230.84299908458948"/>
    <n v="396652.63"/>
    <n v="1313883.9096000001"/>
    <n v="3988792.8566399999"/>
    <n v="515619.4533923128"/>
    <n v="1361650.5526013782"/>
    <n v="3591484.927661926"/>
  </r>
  <r>
    <s v="Refaturamento - Regular"/>
    <x v="2"/>
    <x v="0"/>
    <x v="0"/>
    <x v="0"/>
    <x v="0"/>
    <x v="0"/>
    <x v="0"/>
    <x v="0"/>
    <n v="89"/>
    <n v="89"/>
    <n v="0"/>
    <n v="0"/>
    <n v="0"/>
    <n v="0"/>
    <n v="0"/>
    <x v="0"/>
    <n v="0"/>
    <n v="22"/>
    <n v="0"/>
    <n v="0"/>
    <n v="8.81"/>
    <n v="0"/>
    <n v="0"/>
    <n v="11.452356648653195"/>
    <n v="87.520205040180812"/>
    <n v="230.84299908458948"/>
    <n v="784.09"/>
    <n v="0"/>
    <n v="0"/>
    <n v="1019.2597417301344"/>
    <n v="0"/>
    <n v="0"/>
  </r>
  <r>
    <s v="Sistema de Compensação"/>
    <x v="2"/>
    <x v="0"/>
    <x v="0"/>
    <x v="0"/>
    <x v="0"/>
    <x v="0"/>
    <x v="0"/>
    <x v="0"/>
    <n v="550"/>
    <n v="550"/>
    <n v="105.108"/>
    <n v="105.108"/>
    <n v="105.108"/>
    <n v="105.108"/>
    <n v="0"/>
    <x v="0"/>
    <n v="0"/>
    <n v="22"/>
    <n v="23"/>
    <n v="82"/>
    <n v="8.81"/>
    <n v="84.45"/>
    <n v="256.38"/>
    <n v="11.452356648653195"/>
    <n v="87.520205040180812"/>
    <n v="230.84299908458948"/>
    <n v="4845.5"/>
    <n v="8876.3706000000002"/>
    <n v="26947.589039999999"/>
    <n v="6298.7961567592574"/>
    <n v="9199.0737113633259"/>
    <n v="24263.445947783031"/>
  </r>
  <r>
    <s v="Regular"/>
    <x v="2"/>
    <x v="0"/>
    <x v="0"/>
    <x v="0"/>
    <x v="0"/>
    <x v="0"/>
    <x v="0"/>
    <x v="1"/>
    <n v="46149"/>
    <n v="46149"/>
    <n v="16619.807000000001"/>
    <n v="16619.807000000001"/>
    <n v="16619.807000000001"/>
    <n v="16619.807000000001"/>
    <n v="0"/>
    <x v="0"/>
    <n v="0"/>
    <n v="22"/>
    <n v="23"/>
    <n v="82"/>
    <n v="8.81"/>
    <n v="84.45"/>
    <n v="256.38"/>
    <n v="11.452356648653195"/>
    <n v="87.520205040180812"/>
    <n v="230.84299908458948"/>
    <n v="406572.69"/>
    <n v="1403542.7011500001"/>
    <n v="4260986.1186600002"/>
    <n v="528514.80697869626"/>
    <n v="1454568.9163682323"/>
    <n v="3836566.0920870542"/>
  </r>
  <r>
    <s v="Refaturamento - Regular"/>
    <x v="2"/>
    <x v="0"/>
    <x v="0"/>
    <x v="0"/>
    <x v="0"/>
    <x v="0"/>
    <x v="0"/>
    <x v="1"/>
    <n v="80"/>
    <n v="80"/>
    <n v="23.853000000000002"/>
    <n v="23.853000000000002"/>
    <n v="23.853000000000002"/>
    <n v="23.853000000000002"/>
    <n v="0"/>
    <x v="0"/>
    <n v="0"/>
    <n v="22"/>
    <n v="23"/>
    <n v="82"/>
    <n v="8.81"/>
    <n v="84.45"/>
    <n v="256.38"/>
    <n v="11.452356648653195"/>
    <n v="87.520205040180812"/>
    <n v="230.84299908458948"/>
    <n v="704.80000000000007"/>
    <n v="2014.3858500000001"/>
    <n v="6115.4321399999999"/>
    <n v="916.18853189225558"/>
    <n v="2087.619450823433"/>
    <n v="5506.2980571647131"/>
  </r>
  <r>
    <s v="Sistema de Compensação"/>
    <x v="2"/>
    <x v="0"/>
    <x v="0"/>
    <x v="0"/>
    <x v="0"/>
    <x v="0"/>
    <x v="0"/>
    <x v="1"/>
    <n v="550"/>
    <n v="550"/>
    <n v="105.979"/>
    <n v="105.979"/>
    <n v="105.979"/>
    <n v="105.979"/>
    <n v="0"/>
    <x v="0"/>
    <n v="0"/>
    <n v="22"/>
    <n v="23"/>
    <n v="82"/>
    <n v="8.81"/>
    <n v="84.45"/>
    <n v="256.38"/>
    <n v="11.452356648653195"/>
    <n v="87.520205040180812"/>
    <n v="230.84299908458948"/>
    <n v="4845.5"/>
    <n v="8949.9265500000001"/>
    <n v="27170.89602"/>
    <n v="6298.7961567592574"/>
    <n v="9275.3038099533223"/>
    <n v="24464.510199985707"/>
  </r>
  <r>
    <s v="Regular"/>
    <x v="2"/>
    <x v="0"/>
    <x v="0"/>
    <x v="0"/>
    <x v="0"/>
    <x v="0"/>
    <x v="0"/>
    <x v="2"/>
    <n v="44760"/>
    <n v="44760"/>
    <n v="15770.097"/>
    <n v="15770.097"/>
    <n v="15770.097"/>
    <n v="15770.097"/>
    <n v="0"/>
    <x v="0"/>
    <n v="0"/>
    <n v="22"/>
    <n v="23"/>
    <n v="82"/>
    <n v="8.81"/>
    <n v="84.45"/>
    <n v="256.38"/>
    <n v="11.452356648653195"/>
    <n v="87.520205040180812"/>
    <n v="230.84299908458948"/>
    <n v="394335.60000000003"/>
    <n v="1331784.6916499999"/>
    <n v="4043137.4688599999"/>
    <n v="512607.48359371704"/>
    <n v="1380202.1229435403"/>
    <n v="3640416.487334887"/>
  </r>
  <r>
    <s v="Sistema de Compensação"/>
    <x v="2"/>
    <x v="0"/>
    <x v="0"/>
    <x v="0"/>
    <x v="0"/>
    <x v="0"/>
    <x v="0"/>
    <x v="2"/>
    <n v="550"/>
    <n v="550"/>
    <n v="109.997"/>
    <n v="109.997"/>
    <n v="109.997"/>
    <n v="109.997"/>
    <n v="0"/>
    <x v="0"/>
    <n v="0"/>
    <n v="22"/>
    <n v="23"/>
    <n v="82"/>
    <n v="8.81"/>
    <n v="84.45"/>
    <n v="256.38"/>
    <n v="11.452356648653195"/>
    <n v="87.520205040180812"/>
    <n v="230.84299908458948"/>
    <n v="4845.5"/>
    <n v="9289.246650000001"/>
    <n v="28201.030859999999"/>
    <n v="6298.7961567592574"/>
    <n v="9626.9599938047686"/>
    <n v="25392.037370307589"/>
  </r>
  <r>
    <s v="Regular"/>
    <x v="2"/>
    <x v="0"/>
    <x v="0"/>
    <x v="0"/>
    <x v="0"/>
    <x v="0"/>
    <x v="0"/>
    <x v="3"/>
    <n v="44492"/>
    <n v="44492"/>
    <n v="15994.291999999999"/>
    <n v="15994.291999999999"/>
    <n v="15994.291999999999"/>
    <n v="15994.291999999999"/>
    <n v="0"/>
    <x v="0"/>
    <n v="0"/>
    <n v="22"/>
    <n v="23"/>
    <n v="82"/>
    <n v="8.81"/>
    <n v="84.45"/>
    <n v="256.38"/>
    <n v="11.452356648653195"/>
    <n v="87.520205040180812"/>
    <n v="230.84299908458948"/>
    <n v="391974.52"/>
    <n v="1350717.9594000001"/>
    <n v="4100616.5829599998"/>
    <n v="509538.25201187795"/>
    <n v="1399823.7153125235"/>
    <n v="3692170.3335146569"/>
  </r>
  <r>
    <s v="Refaturamento - Regular"/>
    <x v="2"/>
    <x v="0"/>
    <x v="0"/>
    <x v="0"/>
    <x v="0"/>
    <x v="0"/>
    <x v="0"/>
    <x v="3"/>
    <n v="279"/>
    <n v="279"/>
    <n v="127.05200000000001"/>
    <n v="127.05200000000001"/>
    <n v="127.05200000000001"/>
    <n v="127.05200000000001"/>
    <n v="0"/>
    <x v="0"/>
    <n v="0"/>
    <n v="22"/>
    <n v="23"/>
    <n v="82"/>
    <n v="8.81"/>
    <n v="84.45"/>
    <n v="256.38"/>
    <n v="11.452356648653195"/>
    <n v="87.520205040180812"/>
    <n v="230.84299908458948"/>
    <n v="2457.9900000000002"/>
    <n v="10729.5414"/>
    <n v="32573.591759999999"/>
    <n v="3195.2075049742416"/>
    <n v="11119.617090765054"/>
    <n v="29329.064719695263"/>
  </r>
  <r>
    <s v="Sistema de Compensação"/>
    <x v="2"/>
    <x v="0"/>
    <x v="0"/>
    <x v="0"/>
    <x v="0"/>
    <x v="0"/>
    <x v="0"/>
    <x v="3"/>
    <n v="550"/>
    <n v="550"/>
    <n v="88.43"/>
    <n v="88.43"/>
    <n v="88.43"/>
    <n v="88.43"/>
    <n v="0"/>
    <x v="0"/>
    <n v="0"/>
    <n v="22"/>
    <n v="23"/>
    <n v="82"/>
    <n v="8.81"/>
    <n v="84.45"/>
    <n v="256.38"/>
    <n v="11.452356648653195"/>
    <n v="87.520205040180812"/>
    <n v="230.84299908458948"/>
    <n v="4845.5"/>
    <n v="7467.9135000000006"/>
    <n v="22671.683400000002"/>
    <n v="6298.7961567592574"/>
    <n v="7739.4117317031896"/>
    <n v="20413.446409050248"/>
  </r>
  <r>
    <s v="Regular"/>
    <x v="2"/>
    <x v="0"/>
    <x v="0"/>
    <x v="0"/>
    <x v="0"/>
    <x v="0"/>
    <x v="0"/>
    <x v="4"/>
    <n v="43519"/>
    <n v="43519"/>
    <n v="15695.977999999999"/>
    <n v="15695.977999999999"/>
    <n v="15695.977999999999"/>
    <n v="15695.977999999999"/>
    <n v="0"/>
    <x v="0"/>
    <n v="0"/>
    <n v="22"/>
    <n v="23"/>
    <n v="82"/>
    <n v="8.81"/>
    <n v="84.45"/>
    <n v="256.38"/>
    <n v="11.452356648653195"/>
    <n v="87.520205040180812"/>
    <n v="230.84299908458948"/>
    <n v="383402.39"/>
    <n v="1325525.3421"/>
    <n v="4024134.8396399999"/>
    <n v="498395.10899273842"/>
    <n v="1373715.2128661671"/>
    <n v="3623306.6350857364"/>
  </r>
  <r>
    <s v="Refaturamento - Regular"/>
    <x v="2"/>
    <x v="0"/>
    <x v="0"/>
    <x v="0"/>
    <x v="0"/>
    <x v="0"/>
    <x v="0"/>
    <x v="4"/>
    <n v="221"/>
    <n v="221"/>
    <n v="109.68"/>
    <n v="109.68"/>
    <n v="109.68"/>
    <n v="109.68"/>
    <n v="0"/>
    <x v="0"/>
    <n v="0"/>
    <n v="22"/>
    <n v="23"/>
    <n v="82"/>
    <n v="8.81"/>
    <n v="84.45"/>
    <n v="256.38"/>
    <n v="11.452356648653195"/>
    <n v="87.520205040180812"/>
    <n v="230.84299908458948"/>
    <n v="1947.0100000000002"/>
    <n v="9262.4760000000006"/>
    <n v="28119.758400000002"/>
    <n v="2530.9708193523561"/>
    <n v="9599.2160888070321"/>
    <n v="25318.860139597775"/>
  </r>
  <r>
    <s v="Sistema de Compensação"/>
    <x v="2"/>
    <x v="0"/>
    <x v="0"/>
    <x v="0"/>
    <x v="0"/>
    <x v="0"/>
    <x v="0"/>
    <x v="4"/>
    <n v="550"/>
    <n v="550"/>
    <n v="97.055000000000007"/>
    <n v="97.055000000000007"/>
    <n v="97.055000000000007"/>
    <n v="97.055000000000007"/>
    <n v="0"/>
    <x v="0"/>
    <n v="0"/>
    <n v="22"/>
    <n v="23"/>
    <n v="82"/>
    <n v="8.81"/>
    <n v="84.45"/>
    <n v="256.38"/>
    <n v="11.452356648653195"/>
    <n v="87.520205040180812"/>
    <n v="230.84299908458948"/>
    <n v="4845.5"/>
    <n v="8196.2947500000009"/>
    <n v="24882.960900000002"/>
    <n v="6298.7961567592574"/>
    <n v="8494.2735001747496"/>
    <n v="22404.467276154832"/>
  </r>
  <r>
    <s v="Regular"/>
    <x v="2"/>
    <x v="0"/>
    <x v="0"/>
    <x v="0"/>
    <x v="0"/>
    <x v="0"/>
    <x v="0"/>
    <x v="5"/>
    <n v="43793"/>
    <n v="43793"/>
    <n v="14700.697"/>
    <n v="14700.697"/>
    <n v="14700.697"/>
    <n v="14700.697"/>
    <n v="0"/>
    <x v="0"/>
    <n v="0"/>
    <n v="22"/>
    <n v="23"/>
    <n v="82"/>
    <n v="8.81"/>
    <n v="84.45"/>
    <n v="256.38"/>
    <n v="11.452356648653195"/>
    <n v="87.520205040180812"/>
    <n v="230.84299908458948"/>
    <n v="385816.33"/>
    <n v="1241473.8616500001"/>
    <n v="3768964.69686"/>
    <n v="501533.05471446936"/>
    <n v="1286608.015673571"/>
    <n v="3393552.9841138273"/>
  </r>
  <r>
    <s v="Sistema de Compensação"/>
    <x v="2"/>
    <x v="0"/>
    <x v="0"/>
    <x v="0"/>
    <x v="0"/>
    <x v="0"/>
    <x v="0"/>
    <x v="5"/>
    <n v="550"/>
    <n v="550"/>
    <n v="93.591999999999999"/>
    <n v="93.591999999999999"/>
    <n v="93.591999999999999"/>
    <n v="93.591999999999999"/>
    <n v="0"/>
    <x v="0"/>
    <n v="0"/>
    <n v="22"/>
    <n v="23"/>
    <n v="82"/>
    <n v="8.81"/>
    <n v="84.45"/>
    <n v="256.38"/>
    <n v="11.452356648653195"/>
    <n v="87.520205040180812"/>
    <n v="230.84299908458948"/>
    <n v="4845.5"/>
    <n v="7903.8444"/>
    <n v="23995.116959999999"/>
    <n v="6298.7961567592574"/>
    <n v="8191.1910301206026"/>
    <n v="21605.057970324899"/>
  </r>
  <r>
    <s v="Regular"/>
    <x v="2"/>
    <x v="0"/>
    <x v="0"/>
    <x v="0"/>
    <x v="0"/>
    <x v="0"/>
    <x v="0"/>
    <x v="6"/>
    <n v="43743"/>
    <n v="43743"/>
    <n v="15249.904"/>
    <n v="15249.904"/>
    <n v="15249.904"/>
    <n v="15249.904"/>
    <n v="0"/>
    <x v="0"/>
    <n v="0"/>
    <n v="22"/>
    <n v="23"/>
    <n v="82"/>
    <n v="8.81"/>
    <n v="84.45"/>
    <n v="256.38"/>
    <n v="11.452356648653195"/>
    <n v="87.520205040180812"/>
    <n v="230.84299908458948"/>
    <n v="385375.83"/>
    <n v="1287854.3928"/>
    <n v="3909770.3875199999"/>
    <n v="500960.43688203674"/>
    <n v="1334674.7249230735"/>
    <n v="3520333.5751120774"/>
  </r>
  <r>
    <s v="Refaturamento - Regular"/>
    <x v="2"/>
    <x v="0"/>
    <x v="0"/>
    <x v="0"/>
    <x v="0"/>
    <x v="0"/>
    <x v="0"/>
    <x v="6"/>
    <n v="50"/>
    <n v="50"/>
    <n v="6.64"/>
    <n v="6.64"/>
    <n v="6.64"/>
    <n v="6.64"/>
    <n v="0"/>
    <x v="0"/>
    <n v="0"/>
    <n v="22"/>
    <n v="23"/>
    <n v="82"/>
    <n v="8.81"/>
    <n v="84.45"/>
    <n v="256.38"/>
    <n v="11.452356648653195"/>
    <n v="87.520205040180812"/>
    <n v="230.84299908458948"/>
    <n v="440.5"/>
    <n v="560.74800000000005"/>
    <n v="1702.3631999999998"/>
    <n v="572.61783243265972"/>
    <n v="581.13416146680061"/>
    <n v="1532.7975139216742"/>
  </r>
  <r>
    <s v="Sistema de Compensação"/>
    <x v="2"/>
    <x v="0"/>
    <x v="0"/>
    <x v="0"/>
    <x v="0"/>
    <x v="0"/>
    <x v="0"/>
    <x v="6"/>
    <n v="550"/>
    <n v="550"/>
    <n v="58.206000000000003"/>
    <n v="58.206000000000003"/>
    <n v="58.206000000000003"/>
    <n v="58.206000000000003"/>
    <n v="0"/>
    <x v="0"/>
    <n v="0"/>
    <n v="22"/>
    <n v="23"/>
    <n v="82"/>
    <n v="8.81"/>
    <n v="84.45"/>
    <n v="256.38"/>
    <n v="11.452356648653195"/>
    <n v="87.520205040180812"/>
    <n v="230.84299908458948"/>
    <n v="4845.5"/>
    <n v="4915.4967000000006"/>
    <n v="14922.854280000001"/>
    <n v="6298.7961567592574"/>
    <n v="5094.2010545687644"/>
    <n v="13436.447604717616"/>
  </r>
  <r>
    <s v="Regular"/>
    <x v="2"/>
    <x v="0"/>
    <x v="0"/>
    <x v="0"/>
    <x v="0"/>
    <x v="0"/>
    <x v="0"/>
    <x v="7"/>
    <n v="41983"/>
    <n v="41983"/>
    <n v="13435.352999999999"/>
    <n v="13435.352999999999"/>
    <n v="13435.352999999999"/>
    <n v="13435.352999999999"/>
    <n v="0"/>
    <x v="0"/>
    <n v="0"/>
    <n v="22"/>
    <n v="23"/>
    <n v="82"/>
    <n v="8.81"/>
    <n v="84.45"/>
    <n v="256.38"/>
    <n v="11.452356648653195"/>
    <n v="87.520205040180812"/>
    <n v="230.84299908458948"/>
    <n v="369870.23000000004"/>
    <n v="1134615.56085"/>
    <n v="3444555.8021399998"/>
    <n v="480804.28918040707"/>
    <n v="1175864.8493472084"/>
    <n v="3101457.1802801364"/>
  </r>
  <r>
    <s v="Refaturamento - Regular"/>
    <x v="2"/>
    <x v="0"/>
    <x v="0"/>
    <x v="0"/>
    <x v="0"/>
    <x v="0"/>
    <x v="0"/>
    <x v="7"/>
    <n v="941"/>
    <n v="941"/>
    <n v="310.375"/>
    <n v="310.375"/>
    <n v="310.375"/>
    <n v="310.375"/>
    <n v="0"/>
    <x v="0"/>
    <n v="0"/>
    <n v="22"/>
    <n v="23"/>
    <n v="82"/>
    <n v="8.81"/>
    <n v="84.45"/>
    <n v="256.38"/>
    <n v="11.452356648653195"/>
    <n v="87.520205040180812"/>
    <n v="230.84299908458948"/>
    <n v="8290.2100000000009"/>
    <n v="26211.168750000001"/>
    <n v="79573.942500000005"/>
    <n v="10776.667606382656"/>
    <n v="27164.083639346121"/>
    <n v="71647.895840879457"/>
  </r>
  <r>
    <s v="Sistema de Compensação"/>
    <x v="2"/>
    <x v="0"/>
    <x v="0"/>
    <x v="0"/>
    <x v="0"/>
    <x v="0"/>
    <x v="0"/>
    <x v="7"/>
    <n v="550"/>
    <n v="550"/>
    <n v="44.973999999999997"/>
    <n v="44.973999999999997"/>
    <n v="44.973999999999997"/>
    <n v="44.973999999999997"/>
    <n v="0"/>
    <x v="0"/>
    <n v="0"/>
    <n v="22"/>
    <n v="23"/>
    <n v="82"/>
    <n v="8.81"/>
    <n v="84.45"/>
    <n v="256.38"/>
    <n v="11.452356648653195"/>
    <n v="87.520205040180812"/>
    <n v="230.84299908458948"/>
    <n v="4845.5"/>
    <n v="3798.0542999999998"/>
    <n v="11530.434119999998"/>
    <n v="6298.7961567592574"/>
    <n v="3936.1337014770916"/>
    <n v="10381.933040830327"/>
  </r>
  <r>
    <s v="Regular"/>
    <x v="2"/>
    <x v="0"/>
    <x v="0"/>
    <x v="0"/>
    <x v="0"/>
    <x v="0"/>
    <x v="0"/>
    <x v="8"/>
    <n v="41519"/>
    <n v="41519"/>
    <n v="13369.016"/>
    <n v="13369.016"/>
    <n v="13369.016"/>
    <n v="13369.016"/>
    <n v="0"/>
    <x v="0"/>
    <n v="0"/>
    <n v="22"/>
    <n v="23"/>
    <n v="82"/>
    <n v="8.81"/>
    <n v="84.45"/>
    <n v="256.38"/>
    <n v="11.452356648653195"/>
    <n v="87.520205040180812"/>
    <n v="230.84299908458948"/>
    <n v="365782.39"/>
    <n v="1129013.4012"/>
    <n v="3427548.3220799998"/>
    <n v="475490.39569543203"/>
    <n v="1170059.0215054578"/>
    <n v="3086143.7482498619"/>
  </r>
  <r>
    <s v="Refaturamento - Regular"/>
    <x v="2"/>
    <x v="0"/>
    <x v="0"/>
    <x v="0"/>
    <x v="0"/>
    <x v="0"/>
    <x v="0"/>
    <x v="8"/>
    <n v="561"/>
    <n v="561"/>
    <n v="125.38"/>
    <n v="125.38"/>
    <n v="125.38"/>
    <n v="125.38"/>
    <n v="0"/>
    <x v="0"/>
    <n v="0"/>
    <n v="22"/>
    <n v="23"/>
    <n v="82"/>
    <n v="8.81"/>
    <n v="84.45"/>
    <n v="256.38"/>
    <n v="11.452356648653195"/>
    <n v="87.520205040180812"/>
    <n v="230.84299908458948"/>
    <n v="4942.41"/>
    <n v="10588.341"/>
    <n v="32144.9244"/>
    <n v="6424.7720798944429"/>
    <n v="10973.283307937871"/>
    <n v="28943.095225225828"/>
  </r>
  <r>
    <s v="Sistema de Compensação"/>
    <x v="2"/>
    <x v="0"/>
    <x v="0"/>
    <x v="0"/>
    <x v="0"/>
    <x v="0"/>
    <x v="0"/>
    <x v="8"/>
    <n v="550"/>
    <n v="550"/>
    <n v="41.387999999999998"/>
    <n v="41.387999999999998"/>
    <n v="41.387999999999998"/>
    <n v="41.387999999999998"/>
    <n v="0"/>
    <x v="0"/>
    <n v="0"/>
    <n v="22"/>
    <n v="23"/>
    <n v="82"/>
    <n v="8.81"/>
    <n v="84.45"/>
    <n v="256.38"/>
    <n v="11.452356648653195"/>
    <n v="87.520205040180812"/>
    <n v="230.84299908458948"/>
    <n v="4845.5"/>
    <n v="3495.2165999999997"/>
    <n v="10611.05544"/>
    <n v="6298.7961567592574"/>
    <n v="3622.2862462030034"/>
    <n v="9554.1300461129886"/>
  </r>
  <r>
    <s v="Regular"/>
    <x v="2"/>
    <x v="0"/>
    <x v="0"/>
    <x v="0"/>
    <x v="0"/>
    <x v="0"/>
    <x v="0"/>
    <x v="9"/>
    <n v="42508"/>
    <n v="42508"/>
    <n v="12987.578"/>
    <n v="12987.578"/>
    <n v="12987.578"/>
    <n v="12987.578"/>
    <n v="0"/>
    <x v="0"/>
    <n v="0"/>
    <n v="22"/>
    <n v="23"/>
    <n v="82"/>
    <n v="8.81"/>
    <n v="84.45"/>
    <n v="256.38"/>
    <n v="11.452356648653195"/>
    <n v="87.520205040180812"/>
    <n v="230.84299908458948"/>
    <n v="374495.48000000004"/>
    <n v="1096800.9620999999"/>
    <n v="3329755.2476399997"/>
    <n v="486816.77642095002"/>
    <n v="1136675.4895353415"/>
    <n v="2998091.4563650344"/>
  </r>
  <r>
    <s v="Sistema de Compensação"/>
    <x v="2"/>
    <x v="0"/>
    <x v="0"/>
    <x v="0"/>
    <x v="0"/>
    <x v="0"/>
    <x v="0"/>
    <x v="9"/>
    <n v="550"/>
    <n v="550"/>
    <n v="37.082999999999998"/>
    <n v="37.082999999999998"/>
    <n v="37.082999999999998"/>
    <n v="37.082999999999998"/>
    <n v="0"/>
    <x v="0"/>
    <n v="0"/>
    <n v="22"/>
    <n v="23"/>
    <n v="82"/>
    <n v="8.81"/>
    <n v="84.45"/>
    <n v="256.38"/>
    <n v="11.452356648653195"/>
    <n v="87.520205040180812"/>
    <n v="230.84299908458948"/>
    <n v="4845.5"/>
    <n v="3131.6593499999999"/>
    <n v="9507.339539999999"/>
    <n v="6298.7961567592574"/>
    <n v="3245.5117635050251"/>
    <n v="8560.3509350538316"/>
  </r>
  <r>
    <s v="Regular"/>
    <x v="2"/>
    <x v="0"/>
    <x v="0"/>
    <x v="0"/>
    <x v="0"/>
    <x v="0"/>
    <x v="0"/>
    <x v="10"/>
    <n v="42443"/>
    <n v="42443"/>
    <n v="13246.81"/>
    <n v="13246.81"/>
    <n v="13246.81"/>
    <n v="13246.81"/>
    <n v="0"/>
    <x v="0"/>
    <n v="0"/>
    <n v="22"/>
    <n v="23"/>
    <n v="82"/>
    <n v="8.81"/>
    <n v="84.45"/>
    <n v="256.38"/>
    <n v="11.452356648653195"/>
    <n v="87.520205040180812"/>
    <n v="230.84299908458948"/>
    <n v="373922.83"/>
    <n v="1118693.1044999999"/>
    <n v="3396217.1477999999"/>
    <n v="486072.37323878758"/>
    <n v="1159363.5273283175"/>
    <n v="3057933.3487037309"/>
  </r>
  <r>
    <s v="Sistema de Compensação"/>
    <x v="2"/>
    <x v="0"/>
    <x v="0"/>
    <x v="0"/>
    <x v="0"/>
    <x v="0"/>
    <x v="0"/>
    <x v="10"/>
    <n v="550"/>
    <n v="550"/>
    <n v="40.664999999999999"/>
    <n v="40.664999999999999"/>
    <n v="40.664999999999999"/>
    <n v="40.664999999999999"/>
    <n v="0"/>
    <x v="0"/>
    <n v="0"/>
    <n v="22"/>
    <n v="23"/>
    <n v="82"/>
    <n v="8.81"/>
    <n v="84.45"/>
    <n v="256.38"/>
    <n v="11.452356648653195"/>
    <n v="87.520205040180812"/>
    <n v="230.84299908458948"/>
    <n v="4845.5"/>
    <n v="3434.1592500000002"/>
    <n v="10425.6927"/>
    <n v="6298.7961567592574"/>
    <n v="3559.0091379589526"/>
    <n v="9387.2305577748302"/>
  </r>
  <r>
    <s v="PROJETADO"/>
    <x v="2"/>
    <x v="0"/>
    <x v="0"/>
    <x v="0"/>
    <x v="0"/>
    <x v="0"/>
    <x v="0"/>
    <x v="11"/>
    <n v="42443"/>
    <n v="42443"/>
    <n v="13246.81"/>
    <n v="13246.81"/>
    <n v="13246.81"/>
    <n v="13246.81"/>
    <n v="0"/>
    <x v="0"/>
    <n v="0"/>
    <n v="22"/>
    <n v="23"/>
    <n v="82"/>
    <n v="8.81"/>
    <n v="84.45"/>
    <n v="256.38"/>
    <n v="11.452356648653195"/>
    <n v="87.520205040180812"/>
    <n v="230.84299908458948"/>
    <n v="373922.83"/>
    <n v="1118693.1044999999"/>
    <n v="3396217.1477999999"/>
    <n v="486072.37323878758"/>
    <n v="1159363.5273283175"/>
    <n v="3057933.3487037309"/>
  </r>
  <r>
    <s v="PROJETADO"/>
    <x v="2"/>
    <x v="0"/>
    <x v="0"/>
    <x v="0"/>
    <x v="0"/>
    <x v="0"/>
    <x v="0"/>
    <x v="11"/>
    <n v="550"/>
    <n v="550"/>
    <n v="40.664999999999999"/>
    <n v="40.664999999999999"/>
    <n v="40.664999999999999"/>
    <n v="40.664999999999999"/>
    <n v="0"/>
    <x v="0"/>
    <n v="0"/>
    <n v="22"/>
    <n v="23"/>
    <n v="82"/>
    <n v="8.81"/>
    <n v="84.45"/>
    <n v="256.38"/>
    <n v="11.452356648653195"/>
    <n v="87.520205040180812"/>
    <n v="230.84299908458948"/>
    <n v="4845.5"/>
    <n v="3434.1592500000002"/>
    <n v="10425.6927"/>
    <n v="6298.7961567592574"/>
    <n v="3559.0091379589526"/>
    <n v="9387.2305577748302"/>
  </r>
  <r>
    <s v="Regular"/>
    <x v="2"/>
    <x v="0"/>
    <x v="0"/>
    <x v="0"/>
    <x v="0"/>
    <x v="0"/>
    <x v="1"/>
    <x v="0"/>
    <n v="41276"/>
    <n v="41276"/>
    <n v="1621.7840000000001"/>
    <n v="1621.7840000000001"/>
    <n v="1621.7840000000001"/>
    <n v="1621.7840000000001"/>
    <n v="0"/>
    <x v="0"/>
    <n v="0"/>
    <n v="21"/>
    <n v="23"/>
    <n v="81"/>
    <n v="22.94"/>
    <n v="84.45"/>
    <n v="430.87"/>
    <n v="27.216283196676113"/>
    <n v="87.520205040180812"/>
    <n v="375.70671275609089"/>
    <n v="946871.44000000006"/>
    <n v="136959.6588"/>
    <n v="698778.07208000007"/>
    <n v="1123379.3052260033"/>
    <n v="141938.8682108846"/>
    <n v="609315.1354404242"/>
  </r>
  <r>
    <s v="Refaturamento - Regular"/>
    <x v="2"/>
    <x v="0"/>
    <x v="0"/>
    <x v="0"/>
    <x v="0"/>
    <x v="0"/>
    <x v="1"/>
    <x v="0"/>
    <n v="89"/>
    <n v="89"/>
    <n v="0"/>
    <n v="0"/>
    <n v="0"/>
    <n v="0"/>
    <n v="0"/>
    <x v="0"/>
    <n v="0"/>
    <n v="21"/>
    <n v="0"/>
    <n v="0"/>
    <n v="22.94"/>
    <n v="0"/>
    <n v="0"/>
    <n v="27.216283196676113"/>
    <n v="87.520205040180812"/>
    <n v="375.70671275609089"/>
    <n v="2041.66"/>
    <n v="0"/>
    <n v="0"/>
    <n v="2422.249204504174"/>
    <n v="0"/>
    <n v="0"/>
  </r>
  <r>
    <s v="Sistema de Compensação"/>
    <x v="2"/>
    <x v="0"/>
    <x v="0"/>
    <x v="0"/>
    <x v="0"/>
    <x v="0"/>
    <x v="1"/>
    <x v="0"/>
    <n v="550"/>
    <n v="550"/>
    <n v="0"/>
    <n v="0"/>
    <n v="0"/>
    <n v="0"/>
    <n v="0"/>
    <x v="0"/>
    <n v="0"/>
    <n v="21"/>
    <n v="0"/>
    <n v="0"/>
    <n v="22.94"/>
    <n v="0"/>
    <n v="0"/>
    <n v="27.216283196676113"/>
    <n v="87.520205040180812"/>
    <n v="375.70671275609089"/>
    <n v="12617"/>
    <n v="0"/>
    <n v="0"/>
    <n v="14968.955758171862"/>
    <n v="0"/>
    <n v="0"/>
  </r>
  <r>
    <s v="Regular"/>
    <x v="2"/>
    <x v="0"/>
    <x v="0"/>
    <x v="0"/>
    <x v="0"/>
    <x v="0"/>
    <x v="1"/>
    <x v="1"/>
    <n v="41874"/>
    <n v="41874"/>
    <n v="1753.117"/>
    <n v="1753.117"/>
    <n v="1753.117"/>
    <n v="1753.117"/>
    <n v="0"/>
    <x v="0"/>
    <n v="0"/>
    <n v="21"/>
    <n v="23"/>
    <n v="81"/>
    <n v="22.94"/>
    <n v="84.45"/>
    <n v="430.87"/>
    <n v="27.216283196676113"/>
    <n v="87.520205040180812"/>
    <n v="375.70671275609089"/>
    <n v="960589.56"/>
    <n v="148050.73065000001"/>
    <n v="755365.52179000003"/>
    <n v="1139654.6425776156"/>
    <n v="153433.15929942665"/>
    <n v="658657.82514681981"/>
  </r>
  <r>
    <s v="Refaturamento - Regular"/>
    <x v="2"/>
    <x v="0"/>
    <x v="0"/>
    <x v="0"/>
    <x v="0"/>
    <x v="0"/>
    <x v="1"/>
    <x v="1"/>
    <n v="75"/>
    <n v="75"/>
    <n v="2.5419999999999998"/>
    <n v="2.5419999999999998"/>
    <n v="2.5419999999999998"/>
    <n v="2.5419999999999998"/>
    <n v="0"/>
    <x v="0"/>
    <n v="0"/>
    <n v="21"/>
    <n v="23"/>
    <n v="81"/>
    <n v="22.94"/>
    <n v="84.45"/>
    <n v="430.87"/>
    <n v="27.216283196676113"/>
    <n v="87.520205040180812"/>
    <n v="375.70671275609089"/>
    <n v="1720.5"/>
    <n v="214.67189999999999"/>
    <n v="1095.27154"/>
    <n v="2041.2212397507085"/>
    <n v="222.47636121213961"/>
    <n v="955.04646382598298"/>
  </r>
  <r>
    <s v="Sistema de Compensação"/>
    <x v="2"/>
    <x v="0"/>
    <x v="0"/>
    <x v="0"/>
    <x v="0"/>
    <x v="0"/>
    <x v="1"/>
    <x v="1"/>
    <n v="550"/>
    <n v="550"/>
    <n v="29.882000000000001"/>
    <n v="29.882000000000001"/>
    <n v="29.882000000000001"/>
    <n v="29.882000000000001"/>
    <n v="0"/>
    <x v="0"/>
    <n v="0"/>
    <n v="21"/>
    <n v="23"/>
    <n v="81"/>
    <n v="22.94"/>
    <n v="84.45"/>
    <n v="430.87"/>
    <n v="27.216283196676113"/>
    <n v="87.520205040180812"/>
    <n v="375.70671275609089"/>
    <n v="12617"/>
    <n v="2523.5349000000001"/>
    <n v="12875.25734"/>
    <n v="14968.955758171862"/>
    <n v="2615.2787670106832"/>
    <n v="11226.867990577508"/>
  </r>
  <r>
    <s v="Regular"/>
    <x v="2"/>
    <x v="0"/>
    <x v="0"/>
    <x v="0"/>
    <x v="0"/>
    <x v="0"/>
    <x v="1"/>
    <x v="2"/>
    <n v="41129"/>
    <n v="41129"/>
    <n v="1579.46"/>
    <n v="1579.46"/>
    <n v="1579.46"/>
    <n v="1579.46"/>
    <n v="0"/>
    <x v="0"/>
    <n v="0"/>
    <n v="21"/>
    <n v="23"/>
    <n v="81"/>
    <n v="22.94"/>
    <n v="84.45"/>
    <n v="430.87"/>
    <n v="27.216283196676113"/>
    <n v="87.520205040180812"/>
    <n v="375.70671275609089"/>
    <n v="943499.26"/>
    <n v="133385.397"/>
    <n v="680541.93020000006"/>
    <n v="1119378.5115960918"/>
    <n v="138234.66305276399"/>
    <n v="593413.72452973539"/>
  </r>
  <r>
    <s v="Sistema de Compensação"/>
    <x v="2"/>
    <x v="0"/>
    <x v="0"/>
    <x v="0"/>
    <x v="0"/>
    <x v="0"/>
    <x v="1"/>
    <x v="2"/>
    <n v="550"/>
    <n v="550"/>
    <n v="26.567"/>
    <n v="26.567"/>
    <n v="26.567"/>
    <n v="26.567"/>
    <n v="0"/>
    <x v="0"/>
    <n v="0"/>
    <n v="21"/>
    <n v="23"/>
    <n v="81"/>
    <n v="22.94"/>
    <n v="84.45"/>
    <n v="430.87"/>
    <n v="27.216283196676113"/>
    <n v="87.520205040180812"/>
    <n v="375.70671275609089"/>
    <n v="12617"/>
    <n v="2243.5831499999999"/>
    <n v="11446.923290000001"/>
    <n v="14968.955758171862"/>
    <n v="2325.1492873024836"/>
    <n v="9981.4002377910674"/>
  </r>
  <r>
    <s v="Regular"/>
    <x v="2"/>
    <x v="0"/>
    <x v="0"/>
    <x v="0"/>
    <x v="0"/>
    <x v="0"/>
    <x v="1"/>
    <x v="3"/>
    <n v="40666"/>
    <n v="40666"/>
    <n v="1530.6759999999999"/>
    <n v="1530.6759999999999"/>
    <n v="1530.6759999999999"/>
    <n v="1530.6759999999999"/>
    <n v="0"/>
    <x v="0"/>
    <n v="0"/>
    <n v="21"/>
    <n v="23"/>
    <n v="81"/>
    <n v="22.94"/>
    <n v="84.45"/>
    <n v="430.87"/>
    <n v="27.216283196676113"/>
    <n v="87.520205040180812"/>
    <n v="375.70671275609089"/>
    <n v="932878.04"/>
    <n v="129265.5882"/>
    <n v="659522.36812"/>
    <n v="1106777.3724760308"/>
    <n v="133965.0773700838"/>
    <n v="575085.24825464212"/>
  </r>
  <r>
    <s v="Refaturamento - Regular"/>
    <x v="2"/>
    <x v="0"/>
    <x v="0"/>
    <x v="0"/>
    <x v="0"/>
    <x v="0"/>
    <x v="1"/>
    <x v="3"/>
    <n v="269"/>
    <n v="269"/>
    <n v="13.717000000000001"/>
    <n v="13.717000000000001"/>
    <n v="13.717000000000001"/>
    <n v="13.717000000000001"/>
    <n v="0"/>
    <x v="0"/>
    <n v="0"/>
    <n v="21"/>
    <n v="23"/>
    <n v="81"/>
    <n v="22.94"/>
    <n v="84.45"/>
    <n v="430.87"/>
    <n v="27.216283196676113"/>
    <n v="87.520205040180812"/>
    <n v="375.70671275609089"/>
    <n v="6170.8600000000006"/>
    <n v="1158.40065"/>
    <n v="5910.2437900000004"/>
    <n v="7321.180179905874"/>
    <n v="1200.5146525361602"/>
    <n v="5153.5689788752989"/>
  </r>
  <r>
    <s v="Sistema de Compensação"/>
    <x v="2"/>
    <x v="0"/>
    <x v="0"/>
    <x v="0"/>
    <x v="0"/>
    <x v="0"/>
    <x v="1"/>
    <x v="3"/>
    <n v="550"/>
    <n v="550"/>
    <n v="22.585000000000001"/>
    <n v="22.585000000000001"/>
    <n v="22.585000000000001"/>
    <n v="22.585000000000001"/>
    <n v="0"/>
    <x v="0"/>
    <n v="0"/>
    <n v="21"/>
    <n v="23"/>
    <n v="81"/>
    <n v="22.94"/>
    <n v="84.45"/>
    <n v="430.87"/>
    <n v="27.216283196676113"/>
    <n v="87.520205040180812"/>
    <n v="375.70671275609089"/>
    <n v="12617"/>
    <n v="1907.3032500000002"/>
    <n v="9731.19895"/>
    <n v="14968.955758171862"/>
    <n v="1976.6438308324837"/>
    <n v="8485.336107596313"/>
  </r>
  <r>
    <s v="Regular"/>
    <x v="2"/>
    <x v="0"/>
    <x v="0"/>
    <x v="0"/>
    <x v="0"/>
    <x v="0"/>
    <x v="1"/>
    <x v="4"/>
    <n v="39960"/>
    <n v="39960"/>
    <n v="1613.5989999999999"/>
    <n v="1613.5989999999999"/>
    <n v="1613.5989999999999"/>
    <n v="1613.5989999999999"/>
    <n v="0"/>
    <x v="0"/>
    <n v="0"/>
    <n v="21"/>
    <n v="23"/>
    <n v="81"/>
    <n v="22.94"/>
    <n v="84.45"/>
    <n v="430.87"/>
    <n v="27.216283196676113"/>
    <n v="87.520205040180812"/>
    <n v="375.70671275609089"/>
    <n v="916682.4"/>
    <n v="136268.43554999999"/>
    <n v="695251.40113000001"/>
    <n v="1087562.6765391775"/>
    <n v="141222.51533263072"/>
    <n v="606239.97599651548"/>
  </r>
  <r>
    <s v="Refaturamento - Regular"/>
    <x v="2"/>
    <x v="0"/>
    <x v="0"/>
    <x v="0"/>
    <x v="0"/>
    <x v="0"/>
    <x v="1"/>
    <x v="4"/>
    <n v="213"/>
    <n v="213"/>
    <n v="12.025"/>
    <n v="12.025"/>
    <n v="12.025"/>
    <n v="12.025"/>
    <n v="0"/>
    <x v="0"/>
    <n v="0"/>
    <n v="21"/>
    <n v="23"/>
    <n v="81"/>
    <n v="22.94"/>
    <n v="84.45"/>
    <n v="430.87"/>
    <n v="27.216283196676113"/>
    <n v="87.520205040180812"/>
    <n v="375.70671275609089"/>
    <n v="4886.22"/>
    <n v="1015.51125"/>
    <n v="5181.2117500000004"/>
    <n v="5797.0683208920118"/>
    <n v="1052.4304656081742"/>
    <n v="4517.8732208919928"/>
  </r>
  <r>
    <s v="Sistema de Compensação"/>
    <x v="2"/>
    <x v="0"/>
    <x v="0"/>
    <x v="0"/>
    <x v="0"/>
    <x v="0"/>
    <x v="1"/>
    <x v="4"/>
    <n v="550"/>
    <n v="550"/>
    <n v="25.530999999999999"/>
    <n v="25.530999999999999"/>
    <n v="25.530999999999999"/>
    <n v="25.530999999999999"/>
    <n v="0"/>
    <x v="0"/>
    <n v="0"/>
    <n v="21"/>
    <n v="23"/>
    <n v="81"/>
    <n v="22.94"/>
    <n v="84.45"/>
    <n v="430.87"/>
    <n v="27.216283196676113"/>
    <n v="87.520205040180812"/>
    <n v="375.70671275609089"/>
    <n v="12617"/>
    <n v="2156.0929499999997"/>
    <n v="11000.54197"/>
    <n v="14968.955758171862"/>
    <n v="2234.4783548808564"/>
    <n v="9592.1680833757564"/>
  </r>
  <r>
    <s v="Regular"/>
    <x v="2"/>
    <x v="0"/>
    <x v="0"/>
    <x v="0"/>
    <x v="0"/>
    <x v="0"/>
    <x v="1"/>
    <x v="5"/>
    <n v="40133"/>
    <n v="40133"/>
    <n v="1442.02"/>
    <n v="1442.02"/>
    <n v="1442.02"/>
    <n v="1442.02"/>
    <n v="0"/>
    <x v="0"/>
    <n v="0"/>
    <n v="21"/>
    <n v="23"/>
    <n v="81"/>
    <n v="22.94"/>
    <n v="84.45"/>
    <n v="430.87"/>
    <n v="27.216283196676113"/>
    <n v="87.520205040180812"/>
    <n v="375.70671275609089"/>
    <n v="920651.02"/>
    <n v="121778.58900000001"/>
    <n v="621323.15740000003"/>
    <n v="1092271.0935322025"/>
    <n v="126205.88607204154"/>
    <n v="541776.59392853815"/>
  </r>
  <r>
    <s v="Sistema de Compensação"/>
    <x v="2"/>
    <x v="0"/>
    <x v="0"/>
    <x v="0"/>
    <x v="0"/>
    <x v="0"/>
    <x v="1"/>
    <x v="5"/>
    <n v="550"/>
    <n v="550"/>
    <n v="22.544"/>
    <n v="22.544"/>
    <n v="22.544"/>
    <n v="22.544"/>
    <n v="0"/>
    <x v="0"/>
    <n v="0"/>
    <n v="21"/>
    <n v="23"/>
    <n v="81"/>
    <n v="22.94"/>
    <n v="84.45"/>
    <n v="430.87"/>
    <n v="27.216283196676113"/>
    <n v="87.520205040180812"/>
    <n v="375.70671275609089"/>
    <n v="12617"/>
    <n v="1903.8408000000002"/>
    <n v="9713.5332799999996"/>
    <n v="14968.955758171862"/>
    <n v="1973.0555024258363"/>
    <n v="8469.9321323733129"/>
  </r>
  <r>
    <s v="Regular"/>
    <x v="2"/>
    <x v="0"/>
    <x v="0"/>
    <x v="0"/>
    <x v="0"/>
    <x v="0"/>
    <x v="1"/>
    <x v="6"/>
    <n v="40048"/>
    <n v="40048"/>
    <n v="1510.826"/>
    <n v="1510.826"/>
    <n v="1510.826"/>
    <n v="1510.826"/>
    <n v="0"/>
    <x v="0"/>
    <n v="0"/>
    <n v="21"/>
    <n v="23"/>
    <n v="81"/>
    <n v="22.94"/>
    <n v="84.45"/>
    <n v="430.87"/>
    <n v="27.216283196676113"/>
    <n v="87.520205040180812"/>
    <n v="375.70671275609089"/>
    <n v="918701.12"/>
    <n v="127589.25570000001"/>
    <n v="650969.59862000006"/>
    <n v="1089957.709460485"/>
    <n v="132227.80130003623"/>
    <n v="567627.47000643378"/>
  </r>
  <r>
    <s v="Refaturamento - Regular"/>
    <x v="2"/>
    <x v="0"/>
    <x v="0"/>
    <x v="0"/>
    <x v="0"/>
    <x v="0"/>
    <x v="1"/>
    <x v="6"/>
    <n v="30"/>
    <n v="30"/>
    <n v="0.48"/>
    <n v="0.48"/>
    <n v="0.48"/>
    <n v="0.48"/>
    <n v="0"/>
    <x v="0"/>
    <n v="0"/>
    <n v="21"/>
    <n v="23"/>
    <n v="81"/>
    <n v="22.94"/>
    <n v="84.45"/>
    <n v="430.87"/>
    <n v="27.216283196676113"/>
    <n v="87.520205040180812"/>
    <n v="375.70671275609089"/>
    <n v="688.2"/>
    <n v="40.536000000000001"/>
    <n v="206.8176"/>
    <n v="816.4884959002834"/>
    <n v="42.009698419286785"/>
    <n v="180.33922212292362"/>
  </r>
  <r>
    <s v="Sistema de Compensação"/>
    <x v="2"/>
    <x v="0"/>
    <x v="0"/>
    <x v="0"/>
    <x v="0"/>
    <x v="0"/>
    <x v="1"/>
    <x v="6"/>
    <n v="550"/>
    <n v="550"/>
    <n v="16.998000000000001"/>
    <n v="16.998000000000001"/>
    <n v="16.998000000000001"/>
    <n v="16.998000000000001"/>
    <n v="0"/>
    <x v="0"/>
    <n v="0"/>
    <n v="21"/>
    <n v="23"/>
    <n v="81"/>
    <n v="22.94"/>
    <n v="84.45"/>
    <n v="430.87"/>
    <n v="27.216283196676113"/>
    <n v="87.520205040180812"/>
    <n v="375.70671275609089"/>
    <n v="12617"/>
    <n v="1435.4811000000002"/>
    <n v="7323.9282600000006"/>
    <n v="14968.955758171862"/>
    <n v="1487.6684452729935"/>
    <n v="6386.2627034280331"/>
  </r>
  <r>
    <s v="Regular"/>
    <x v="2"/>
    <x v="0"/>
    <x v="0"/>
    <x v="0"/>
    <x v="0"/>
    <x v="0"/>
    <x v="1"/>
    <x v="7"/>
    <n v="38707"/>
    <n v="38707"/>
    <n v="1251.26"/>
    <n v="1251.26"/>
    <n v="1251.26"/>
    <n v="1251.26"/>
    <n v="0"/>
    <x v="0"/>
    <n v="0"/>
    <n v="21"/>
    <n v="23"/>
    <n v="81"/>
    <n v="22.94"/>
    <n v="84.45"/>
    <n v="430.87"/>
    <n v="27.216283196676113"/>
    <n v="87.520205040180812"/>
    <n v="375.70671275609089"/>
    <n v="887938.58000000007"/>
    <n v="105668.90700000001"/>
    <n v="539130.39619999996"/>
    <n v="1053460.6736937424"/>
    <n v="109510.53175857665"/>
    <n v="470106.78140318627"/>
  </r>
  <r>
    <s v="Refaturamento - Regular"/>
    <x v="2"/>
    <x v="0"/>
    <x v="0"/>
    <x v="0"/>
    <x v="0"/>
    <x v="0"/>
    <x v="1"/>
    <x v="7"/>
    <n v="793"/>
    <n v="793"/>
    <n v="38.277999999999999"/>
    <n v="38.277999999999999"/>
    <n v="38.277999999999999"/>
    <n v="38.277999999999999"/>
    <n v="0"/>
    <x v="0"/>
    <n v="0"/>
    <n v="21"/>
    <n v="23"/>
    <n v="81"/>
    <n v="22.94"/>
    <n v="84.45"/>
    <n v="430.87"/>
    <n v="27.216283196676113"/>
    <n v="87.520205040180812"/>
    <n v="375.70671275609089"/>
    <n v="18191.420000000002"/>
    <n v="3232.5771"/>
    <n v="16492.84186"/>
    <n v="21582.512574964156"/>
    <n v="3350.0984085280411"/>
    <n v="14381.301550877646"/>
  </r>
  <r>
    <s v="Sistema de Compensação"/>
    <x v="2"/>
    <x v="0"/>
    <x v="0"/>
    <x v="0"/>
    <x v="0"/>
    <x v="0"/>
    <x v="1"/>
    <x v="7"/>
    <n v="550"/>
    <n v="550"/>
    <n v="11.62"/>
    <n v="11.62"/>
    <n v="11.62"/>
    <n v="11.62"/>
    <n v="0"/>
    <x v="0"/>
    <n v="0"/>
    <n v="21"/>
    <n v="23"/>
    <n v="81"/>
    <n v="22.94"/>
    <n v="84.45"/>
    <n v="430.87"/>
    <n v="27.216283196676113"/>
    <n v="87.520205040180812"/>
    <n v="375.70671275609089"/>
    <n v="12617"/>
    <n v="981.30899999999997"/>
    <n v="5006.7093999999997"/>
    <n v="14968.955758171862"/>
    <n v="1016.984782566901"/>
    <n v="4365.7120022257759"/>
  </r>
  <r>
    <s v="Regular"/>
    <x v="2"/>
    <x v="0"/>
    <x v="0"/>
    <x v="0"/>
    <x v="0"/>
    <x v="0"/>
    <x v="1"/>
    <x v="8"/>
    <n v="38054"/>
    <n v="38054"/>
    <n v="1285.4390000000001"/>
    <n v="1285.4390000000001"/>
    <n v="1285.4390000000001"/>
    <n v="1285.4390000000001"/>
    <n v="0"/>
    <x v="0"/>
    <n v="0"/>
    <n v="21"/>
    <n v="23"/>
    <n v="81"/>
    <n v="22.94"/>
    <n v="84.45"/>
    <n v="430.87"/>
    <n v="27.216283196676113"/>
    <n v="87.520205040180812"/>
    <n v="375.70671275609089"/>
    <n v="872958.76"/>
    <n v="108555.32355000002"/>
    <n v="553857.10193"/>
    <n v="1035688.4407663128"/>
    <n v="112501.88484664499"/>
    <n v="482948.06113847677"/>
  </r>
  <r>
    <s v="Refaturamento - Regular"/>
    <x v="2"/>
    <x v="0"/>
    <x v="0"/>
    <x v="0"/>
    <x v="0"/>
    <x v="0"/>
    <x v="1"/>
    <x v="8"/>
    <n v="574"/>
    <n v="574"/>
    <n v="15.385999999999999"/>
    <n v="15.385999999999999"/>
    <n v="15.385999999999999"/>
    <n v="15.385999999999999"/>
    <n v="0"/>
    <x v="0"/>
    <n v="0"/>
    <n v="21"/>
    <n v="23"/>
    <n v="81"/>
    <n v="22.94"/>
    <n v="84.45"/>
    <n v="430.87"/>
    <n v="27.216283196676113"/>
    <n v="87.520205040180812"/>
    <n v="375.70671275609089"/>
    <n v="13167.560000000001"/>
    <n v="1299.3477"/>
    <n v="6629.36582"/>
    <n v="15622.146554892088"/>
    <n v="1346.5858747482218"/>
    <n v="5780.6234824652138"/>
  </r>
  <r>
    <s v="Sistema de Compensação"/>
    <x v="2"/>
    <x v="0"/>
    <x v="0"/>
    <x v="0"/>
    <x v="0"/>
    <x v="0"/>
    <x v="1"/>
    <x v="8"/>
    <n v="550"/>
    <n v="550"/>
    <n v="11.984"/>
    <n v="11.984"/>
    <n v="11.984"/>
    <n v="11.984"/>
    <n v="0"/>
    <x v="0"/>
    <n v="0"/>
    <n v="21"/>
    <n v="23"/>
    <n v="81"/>
    <n v="22.94"/>
    <n v="84.45"/>
    <n v="430.87"/>
    <n v="27.216283196676113"/>
    <n v="87.520205040180812"/>
    <n v="375.70671275609089"/>
    <n v="12617"/>
    <n v="1012.0488"/>
    <n v="5163.5460800000001"/>
    <n v="14968.955758171862"/>
    <n v="1048.8421372015268"/>
    <n v="4502.4692456689936"/>
  </r>
  <r>
    <s v="Regular"/>
    <x v="2"/>
    <x v="0"/>
    <x v="0"/>
    <x v="0"/>
    <x v="0"/>
    <x v="0"/>
    <x v="1"/>
    <x v="9"/>
    <n v="39322"/>
    <n v="39322"/>
    <n v="1273.614"/>
    <n v="1273.614"/>
    <n v="1273.614"/>
    <n v="1273.614"/>
    <n v="0"/>
    <x v="0"/>
    <n v="0"/>
    <n v="21"/>
    <n v="23"/>
    <n v="81"/>
    <n v="22.94"/>
    <n v="84.45"/>
    <n v="430.87"/>
    <n v="27.216283196676113"/>
    <n v="87.520205040180812"/>
    <n v="375.70671275609089"/>
    <n v="902046.68"/>
    <n v="107556.7023"/>
    <n v="548762.06417999999"/>
    <n v="1070198.6878596982"/>
    <n v="111466.95842204485"/>
    <n v="478505.32926013594"/>
  </r>
  <r>
    <s v="Sistema de Compensação"/>
    <x v="2"/>
    <x v="0"/>
    <x v="0"/>
    <x v="0"/>
    <x v="0"/>
    <x v="0"/>
    <x v="1"/>
    <x v="9"/>
    <n v="550"/>
    <n v="550"/>
    <n v="12.045999999999999"/>
    <n v="12.045999999999999"/>
    <n v="12.045999999999999"/>
    <n v="12.045999999999999"/>
    <n v="0"/>
    <x v="0"/>
    <n v="0"/>
    <n v="21"/>
    <n v="23"/>
    <n v="81"/>
    <n v="22.94"/>
    <n v="84.45"/>
    <n v="430.87"/>
    <n v="27.216283196676113"/>
    <n v="87.520205040180812"/>
    <n v="375.70671275609089"/>
    <n v="12617"/>
    <n v="1017.2846999999999"/>
    <n v="5190.2600199999997"/>
    <n v="14968.955758171862"/>
    <n v="1054.2683899140179"/>
    <n v="4525.7630618598705"/>
  </r>
  <r>
    <s v="Regular"/>
    <x v="2"/>
    <x v="0"/>
    <x v="0"/>
    <x v="0"/>
    <x v="0"/>
    <x v="0"/>
    <x v="1"/>
    <x v="10"/>
    <n v="39404"/>
    <n v="39404"/>
    <n v="1343.49"/>
    <n v="1343.49"/>
    <n v="1343.49"/>
    <n v="1343.49"/>
    <n v="0"/>
    <x v="0"/>
    <n v="0"/>
    <n v="21"/>
    <n v="23"/>
    <n v="81"/>
    <n v="22.94"/>
    <n v="84.45"/>
    <n v="430.87"/>
    <n v="27.216283196676113"/>
    <n v="87.520205040180812"/>
    <n v="375.70671275609089"/>
    <n v="903927.76"/>
    <n v="113457.73050000001"/>
    <n v="578869.53630000004"/>
    <n v="1072430.4230818255"/>
    <n v="117582.52026943253"/>
    <n v="504758.21152068058"/>
  </r>
  <r>
    <s v="Sistema de Compensação"/>
    <x v="2"/>
    <x v="0"/>
    <x v="0"/>
    <x v="0"/>
    <x v="0"/>
    <x v="0"/>
    <x v="1"/>
    <x v="10"/>
    <n v="550"/>
    <n v="550"/>
    <n v="16.231000000000002"/>
    <n v="16.231000000000002"/>
    <n v="16.231000000000002"/>
    <n v="16.231000000000002"/>
    <n v="0"/>
    <x v="0"/>
    <n v="0"/>
    <n v="21"/>
    <n v="23"/>
    <n v="81"/>
    <n v="22.94"/>
    <n v="84.45"/>
    <n v="430.87"/>
    <n v="27.216283196676113"/>
    <n v="87.520205040180812"/>
    <n v="375.70671275609089"/>
    <n v="12617"/>
    <n v="1370.7079500000002"/>
    <n v="6993.4509700000008"/>
    <n v="14968.955758171862"/>
    <n v="1420.540448007175"/>
    <n v="6098.0956547441119"/>
  </r>
  <r>
    <s v="PROJETADO"/>
    <x v="2"/>
    <x v="0"/>
    <x v="0"/>
    <x v="0"/>
    <x v="0"/>
    <x v="0"/>
    <x v="1"/>
    <x v="11"/>
    <n v="39404"/>
    <n v="39404"/>
    <n v="1343.49"/>
    <n v="1343.49"/>
    <n v="1343.49"/>
    <n v="1343.49"/>
    <n v="0"/>
    <x v="0"/>
    <n v="0"/>
    <n v="21"/>
    <n v="23"/>
    <n v="81"/>
    <n v="22.94"/>
    <n v="84.45"/>
    <n v="430.87"/>
    <n v="27.216283196676113"/>
    <n v="87.520205040180812"/>
    <n v="375.70671275609089"/>
    <n v="903927.76"/>
    <n v="113457.73050000001"/>
    <n v="578869.53630000004"/>
    <n v="1072430.4230818255"/>
    <n v="117582.52026943253"/>
    <n v="504758.21152068058"/>
  </r>
  <r>
    <s v="PROJETADO"/>
    <x v="2"/>
    <x v="0"/>
    <x v="0"/>
    <x v="0"/>
    <x v="0"/>
    <x v="0"/>
    <x v="1"/>
    <x v="11"/>
    <n v="550"/>
    <n v="550"/>
    <n v="16.231000000000002"/>
    <n v="16.231000000000002"/>
    <n v="16.231000000000002"/>
    <n v="16.231000000000002"/>
    <n v="0"/>
    <x v="0"/>
    <n v="0"/>
    <n v="21"/>
    <n v="23"/>
    <n v="81"/>
    <n v="22.94"/>
    <n v="84.45"/>
    <n v="430.87"/>
    <n v="27.216283196676113"/>
    <n v="87.520205040180812"/>
    <n v="375.70671275609089"/>
    <n v="12617"/>
    <n v="1370.7079500000002"/>
    <n v="6993.4509700000008"/>
    <n v="14968.955758171862"/>
    <n v="1420.540448007175"/>
    <n v="6098.0956547441119"/>
  </r>
  <r>
    <s v="Regular"/>
    <x v="2"/>
    <x v="0"/>
    <x v="1"/>
    <x v="0"/>
    <x v="2"/>
    <x v="0"/>
    <x v="0"/>
    <x v="0"/>
    <n v="44514"/>
    <n v="32208.162123059999"/>
    <n v="0"/>
    <n v="0"/>
    <n v="0"/>
    <n v="0"/>
    <n v="0"/>
    <x v="2"/>
    <n v="0"/>
    <n v="22"/>
    <n v="0"/>
    <n v="0"/>
    <n v="8.81"/>
    <n v="0"/>
    <n v="0"/>
    <n v="11.452356648653195"/>
    <n v="87.520205040180812"/>
    <m/>
    <n v="283753.9083041586"/>
    <n v="0"/>
    <n v="0"/>
    <n v="368859.35963092622"/>
    <n v="0"/>
    <n v="0"/>
  </r>
  <r>
    <s v="Regular"/>
    <x v="2"/>
    <x v="0"/>
    <x v="1"/>
    <x v="0"/>
    <x v="2"/>
    <x v="0"/>
    <x v="0"/>
    <x v="1"/>
    <n v="45464"/>
    <n v="32887.834701599997"/>
    <n v="0"/>
    <n v="0"/>
    <n v="0"/>
    <n v="0"/>
    <n v="0"/>
    <x v="2"/>
    <n v="0"/>
    <n v="22"/>
    <n v="0"/>
    <n v="0"/>
    <n v="8.81"/>
    <n v="0"/>
    <n v="0"/>
    <n v="11.452356648653195"/>
    <n v="87.520205040180812"/>
    <m/>
    <n v="289741.82372109598"/>
    <n v="0"/>
    <n v="0"/>
    <n v="376643.21240467601"/>
    <n v="0"/>
    <n v="0"/>
  </r>
  <r>
    <s v="Regular"/>
    <x v="2"/>
    <x v="0"/>
    <x v="1"/>
    <x v="0"/>
    <x v="2"/>
    <x v="0"/>
    <x v="0"/>
    <x v="2"/>
    <n v="45464"/>
    <n v="32994.665554159998"/>
    <n v="0"/>
    <n v="0"/>
    <n v="0"/>
    <n v="0"/>
    <n v="0"/>
    <x v="2"/>
    <n v="0"/>
    <n v="22"/>
    <n v="0"/>
    <n v="0"/>
    <n v="8.81"/>
    <n v="0"/>
    <n v="0"/>
    <n v="11.452356648653195"/>
    <n v="87.520205040180812"/>
    <m/>
    <n v="290683.0035321496"/>
    <n v="0"/>
    <n v="0"/>
    <n v="377866.67742927279"/>
    <n v="0"/>
    <n v="0"/>
  </r>
  <r>
    <s v="Regular"/>
    <x v="2"/>
    <x v="0"/>
    <x v="1"/>
    <x v="0"/>
    <x v="2"/>
    <x v="0"/>
    <x v="0"/>
    <x v="3"/>
    <n v="46480"/>
    <n v="33682.745263999997"/>
    <n v="0"/>
    <n v="0"/>
    <n v="0"/>
    <n v="0"/>
    <n v="0"/>
    <x v="2"/>
    <n v="0"/>
    <n v="22"/>
    <n v="0"/>
    <n v="0"/>
    <n v="8.81"/>
    <n v="0"/>
    <n v="0"/>
    <n v="11.452356648653195"/>
    <n v="87.520205040180812"/>
    <m/>
    <n v="296744.98577584"/>
    <n v="0"/>
    <n v="0"/>
    <n v="385746.8116690623"/>
    <n v="0"/>
    <n v="0"/>
  </r>
  <r>
    <s v="Regular"/>
    <x v="2"/>
    <x v="0"/>
    <x v="1"/>
    <x v="0"/>
    <x v="2"/>
    <x v="0"/>
    <x v="0"/>
    <x v="4"/>
    <n v="46780"/>
    <n v="33733.502877799998"/>
    <n v="0"/>
    <n v="0"/>
    <n v="0"/>
    <n v="0"/>
    <n v="0"/>
    <x v="2"/>
    <n v="0"/>
    <n v="22"/>
    <n v="0"/>
    <n v="0"/>
    <n v="8.81"/>
    <n v="0"/>
    <n v="0"/>
    <n v="11.452356648653195"/>
    <n v="87.520205040180812"/>
    <m/>
    <n v="297192.16035341797"/>
    <n v="0"/>
    <n v="0"/>
    <n v="386328.10596493451"/>
    <n v="0"/>
    <n v="0"/>
  </r>
  <r>
    <s v="Regular"/>
    <x v="2"/>
    <x v="0"/>
    <x v="1"/>
    <x v="0"/>
    <x v="2"/>
    <x v="0"/>
    <x v="0"/>
    <x v="5"/>
    <n v="46293"/>
    <n v="35032.826318489999"/>
    <n v="0"/>
    <n v="0"/>
    <n v="0"/>
    <n v="0"/>
    <n v="0"/>
    <x v="2"/>
    <n v="0"/>
    <n v="22"/>
    <n v="0"/>
    <n v="0"/>
    <n v="8.81"/>
    <n v="0"/>
    <n v="0"/>
    <n v="11.452356648653195"/>
    <n v="87.520205040180812"/>
    <m/>
    <n v="308639.1998658969"/>
    <n v="0"/>
    <n v="0"/>
    <n v="401208.4214096716"/>
    <n v="0"/>
    <n v="0"/>
  </r>
  <r>
    <s v="Regular"/>
    <x v="2"/>
    <x v="0"/>
    <x v="1"/>
    <x v="0"/>
    <x v="2"/>
    <x v="0"/>
    <x v="0"/>
    <x v="6"/>
    <n v="46409"/>
    <n v="34877.248983719997"/>
    <n v="0"/>
    <n v="0"/>
    <n v="0"/>
    <n v="0"/>
    <n v="0"/>
    <x v="2"/>
    <n v="0"/>
    <n v="22"/>
    <n v="0"/>
    <n v="0"/>
    <n v="8.81"/>
    <n v="0"/>
    <n v="0"/>
    <n v="11.452356648653195"/>
    <n v="87.520205040180812"/>
    <m/>
    <n v="307268.56354657322"/>
    <n v="0"/>
    <n v="0"/>
    <n v="399426.69428543863"/>
    <n v="0"/>
    <n v="0"/>
  </r>
  <r>
    <s v="Regular"/>
    <x v="2"/>
    <x v="0"/>
    <x v="1"/>
    <x v="0"/>
    <x v="2"/>
    <x v="0"/>
    <x v="0"/>
    <x v="7"/>
    <n v="41910"/>
    <n v="31494.346587"/>
    <n v="0"/>
    <n v="0"/>
    <n v="0"/>
    <n v="0"/>
    <n v="0"/>
    <x v="2"/>
    <n v="0"/>
    <n v="22"/>
    <n v="0"/>
    <n v="0"/>
    <n v="8.81"/>
    <n v="0"/>
    <n v="0"/>
    <n v="11.452356648653195"/>
    <n v="87.520205040180812"/>
    <m/>
    <n v="277465.19343147002"/>
    <n v="0"/>
    <n v="0"/>
    <n v="360684.48953061749"/>
    <n v="0"/>
    <n v="0"/>
  </r>
  <r>
    <s v="Regular"/>
    <x v="2"/>
    <x v="0"/>
    <x v="1"/>
    <x v="0"/>
    <x v="2"/>
    <x v="0"/>
    <x v="0"/>
    <x v="8"/>
    <n v="41910"/>
    <n v="30967.857241199999"/>
    <n v="0"/>
    <n v="0"/>
    <n v="0"/>
    <n v="0"/>
    <n v="0"/>
    <x v="2"/>
    <n v="0"/>
    <n v="22"/>
    <n v="0"/>
    <n v="0"/>
    <n v="8.81"/>
    <n v="0"/>
    <n v="0"/>
    <n v="11.452356648653195"/>
    <n v="87.520205040180812"/>
    <m/>
    <n v="272826.82229497202"/>
    <n v="0"/>
    <n v="0"/>
    <n v="354654.94577079982"/>
    <n v="0"/>
    <n v="0"/>
  </r>
  <r>
    <s v="Regular"/>
    <x v="2"/>
    <x v="0"/>
    <x v="1"/>
    <x v="0"/>
    <x v="2"/>
    <x v="0"/>
    <x v="0"/>
    <x v="9"/>
    <n v="44011"/>
    <n v="32106.63053147"/>
    <n v="0"/>
    <n v="0"/>
    <n v="0"/>
    <n v="0"/>
    <n v="0"/>
    <x v="2"/>
    <n v="0"/>
    <n v="22"/>
    <n v="0"/>
    <n v="0"/>
    <n v="8.81"/>
    <n v="0"/>
    <n v="0"/>
    <n v="11.452356648653195"/>
    <n v="87.520205040180812"/>
    <m/>
    <n v="282859.41498225072"/>
    <n v="0"/>
    <n v="0"/>
    <n v="367696.5836329321"/>
    <n v="0"/>
    <n v="0"/>
  </r>
  <r>
    <s v="Regular"/>
    <x v="2"/>
    <x v="0"/>
    <x v="1"/>
    <x v="0"/>
    <x v="2"/>
    <x v="0"/>
    <x v="0"/>
    <x v="10"/>
    <n v="44798"/>
    <n v="33598.5"/>
    <n v="0"/>
    <n v="0"/>
    <n v="0"/>
    <n v="0"/>
    <n v="0"/>
    <x v="2"/>
    <n v="0"/>
    <n v="22"/>
    <n v="0"/>
    <n v="0"/>
    <n v="8.81"/>
    <n v="0"/>
    <n v="0"/>
    <n v="11.452356648653195"/>
    <n v="87.520205040180812"/>
    <m/>
    <n v="296002.78500000003"/>
    <n v="0"/>
    <n v="0"/>
    <n v="384782.00485977437"/>
    <n v="0"/>
    <n v="0"/>
  </r>
  <r>
    <s v="PROJETADO"/>
    <x v="2"/>
    <x v="0"/>
    <x v="1"/>
    <x v="0"/>
    <x v="2"/>
    <x v="0"/>
    <x v="0"/>
    <x v="11"/>
    <n v="44798"/>
    <n v="33598.5"/>
    <n v="0"/>
    <n v="0"/>
    <n v="0"/>
    <n v="0"/>
    <n v="0"/>
    <x v="2"/>
    <n v="0"/>
    <n v="22"/>
    <n v="0"/>
    <n v="0"/>
    <n v="8.81"/>
    <n v="0"/>
    <n v="0"/>
    <n v="11.452356648653195"/>
    <n v="87.520205040180812"/>
    <m/>
    <n v="296002.78500000003"/>
    <n v="0"/>
    <n v="0"/>
    <n v="384782.00485977437"/>
    <n v="0"/>
    <n v="0"/>
  </r>
  <r>
    <s v="Regular"/>
    <x v="2"/>
    <x v="0"/>
    <x v="1"/>
    <x v="0"/>
    <x v="2"/>
    <x v="0"/>
    <x v="2"/>
    <x v="0"/>
    <n v="0"/>
    <n v="0"/>
    <n v="20287.528999999999"/>
    <n v="20287.528999999999"/>
    <n v="0"/>
    <n v="0"/>
    <n v="45"/>
    <x v="2"/>
    <n v="0"/>
    <n v="0"/>
    <n v="23"/>
    <n v="0"/>
    <n v="0"/>
    <n v="84.45"/>
    <n v="0"/>
    <m/>
    <n v="87.520205040180812"/>
    <m/>
    <n v="0"/>
    <n v="1713281.8240499999"/>
    <n v="0"/>
    <n v="0"/>
    <n v="1775568.6978386142"/>
    <n v="0"/>
  </r>
  <r>
    <s v="Regular"/>
    <x v="2"/>
    <x v="0"/>
    <x v="1"/>
    <x v="0"/>
    <x v="2"/>
    <x v="0"/>
    <x v="2"/>
    <x v="1"/>
    <n v="0"/>
    <n v="0"/>
    <n v="19718.810000000001"/>
    <n v="19718.810000000001"/>
    <n v="0"/>
    <n v="0"/>
    <n v="48"/>
    <x v="2"/>
    <n v="0"/>
    <n v="0"/>
    <n v="23"/>
    <n v="0"/>
    <n v="0"/>
    <n v="84.45"/>
    <n v="0"/>
    <m/>
    <n v="87.520205040180812"/>
    <m/>
    <n v="0"/>
    <n v="1665253.5045000003"/>
    <n v="0"/>
    <n v="0"/>
    <n v="1725794.294348368"/>
    <n v="0"/>
  </r>
  <r>
    <s v="Regular"/>
    <x v="2"/>
    <x v="0"/>
    <x v="1"/>
    <x v="0"/>
    <x v="2"/>
    <x v="0"/>
    <x v="2"/>
    <x v="2"/>
    <n v="0"/>
    <n v="0"/>
    <n v="19907.462"/>
    <n v="19907.462"/>
    <n v="0"/>
    <n v="0"/>
    <n v="48"/>
    <x v="2"/>
    <n v="0"/>
    <n v="0"/>
    <n v="23"/>
    <n v="0"/>
    <n v="0"/>
    <n v="84.45"/>
    <n v="0"/>
    <m/>
    <n v="87.520205040180812"/>
    <m/>
    <n v="0"/>
    <n v="1681185.1658999999"/>
    <n v="0"/>
    <n v="0"/>
    <n v="1742305.1560696079"/>
    <n v="0"/>
  </r>
  <r>
    <s v="Regular"/>
    <x v="2"/>
    <x v="0"/>
    <x v="1"/>
    <x v="0"/>
    <x v="2"/>
    <x v="0"/>
    <x v="2"/>
    <x v="3"/>
    <n v="0"/>
    <n v="0"/>
    <n v="20952.216"/>
    <n v="20952.216"/>
    <n v="0"/>
    <n v="0"/>
    <n v="50"/>
    <x v="2"/>
    <n v="0"/>
    <n v="0"/>
    <n v="23"/>
    <n v="0"/>
    <n v="0"/>
    <n v="84.45"/>
    <n v="0"/>
    <m/>
    <n v="87.520205040180812"/>
    <m/>
    <n v="0"/>
    <n v="1769414.6412000002"/>
    <n v="0"/>
    <n v="0"/>
    <n v="1833742.2403661571"/>
    <n v="0"/>
  </r>
  <r>
    <s v="Regular"/>
    <x v="2"/>
    <x v="0"/>
    <x v="1"/>
    <x v="0"/>
    <x v="2"/>
    <x v="0"/>
    <x v="2"/>
    <x v="4"/>
    <n v="0"/>
    <n v="0"/>
    <n v="19422.186000000002"/>
    <n v="19422.186000000002"/>
    <n v="0"/>
    <n v="0"/>
    <n v="50"/>
    <x v="2"/>
    <n v="0"/>
    <n v="0"/>
    <n v="23"/>
    <n v="0"/>
    <n v="0"/>
    <n v="84.45"/>
    <n v="0"/>
    <m/>
    <n v="87.520205040180812"/>
    <m/>
    <n v="0"/>
    <n v="1640203.6077000003"/>
    <n v="0"/>
    <n v="0"/>
    <n v="1699833.7010485292"/>
    <n v="0"/>
  </r>
  <r>
    <s v="Regular"/>
    <x v="2"/>
    <x v="0"/>
    <x v="1"/>
    <x v="0"/>
    <x v="2"/>
    <x v="0"/>
    <x v="2"/>
    <x v="5"/>
    <n v="0"/>
    <n v="0"/>
    <n v="19378.527999999998"/>
    <n v="19378.527999999998"/>
    <n v="0"/>
    <n v="0"/>
    <n v="50"/>
    <x v="2"/>
    <n v="0"/>
    <n v="0"/>
    <n v="23"/>
    <n v="0"/>
    <n v="0"/>
    <n v="84.45"/>
    <n v="0"/>
    <m/>
    <n v="87.520205040180812"/>
    <m/>
    <n v="0"/>
    <n v="1636516.6895999999"/>
    <n v="0"/>
    <n v="0"/>
    <n v="1696012.7439368849"/>
    <n v="0"/>
  </r>
  <r>
    <s v="Regular"/>
    <x v="2"/>
    <x v="0"/>
    <x v="1"/>
    <x v="0"/>
    <x v="2"/>
    <x v="0"/>
    <x v="2"/>
    <x v="6"/>
    <n v="0"/>
    <n v="0"/>
    <n v="14852.009"/>
    <n v="14852.009"/>
    <n v="0"/>
    <n v="0"/>
    <n v="51"/>
    <x v="2"/>
    <n v="0"/>
    <n v="0"/>
    <n v="23"/>
    <n v="0"/>
    <n v="0"/>
    <n v="84.45"/>
    <n v="0"/>
    <m/>
    <n v="87.520205040180812"/>
    <m/>
    <n v="0"/>
    <n v="1254252.1600500001"/>
    <n v="0"/>
    <n v="0"/>
    <n v="1299850.8729386108"/>
    <n v="0"/>
  </r>
  <r>
    <s v="Regular"/>
    <x v="2"/>
    <x v="0"/>
    <x v="1"/>
    <x v="0"/>
    <x v="2"/>
    <x v="0"/>
    <x v="2"/>
    <x v="7"/>
    <n v="0"/>
    <n v="0"/>
    <n v="16108.739"/>
    <n v="16108.739"/>
    <n v="0"/>
    <n v="0"/>
    <n v="55"/>
    <x v="2"/>
    <n v="0"/>
    <n v="0"/>
    <n v="23"/>
    <n v="0"/>
    <n v="0"/>
    <n v="84.45"/>
    <n v="0"/>
    <m/>
    <n v="87.520205040180812"/>
    <m/>
    <n v="0"/>
    <n v="1360383.0085499999"/>
    <n v="0"/>
    <n v="0"/>
    <n v="1409840.1402187571"/>
    <n v="0"/>
  </r>
  <r>
    <s v="Regular"/>
    <x v="2"/>
    <x v="0"/>
    <x v="1"/>
    <x v="0"/>
    <x v="2"/>
    <x v="0"/>
    <x v="2"/>
    <x v="8"/>
    <n v="0"/>
    <n v="0"/>
    <n v="16108.739"/>
    <n v="16108.739"/>
    <n v="0"/>
    <n v="0"/>
    <n v="55"/>
    <x v="2"/>
    <n v="0"/>
    <n v="0"/>
    <n v="23"/>
    <n v="0"/>
    <n v="0"/>
    <n v="84.45"/>
    <n v="0"/>
    <m/>
    <n v="87.520205040180812"/>
    <m/>
    <n v="0"/>
    <n v="1360383.0085499999"/>
    <n v="0"/>
    <n v="0"/>
    <n v="1409840.1402187571"/>
    <n v="0"/>
  </r>
  <r>
    <s v="Regular"/>
    <x v="2"/>
    <x v="0"/>
    <x v="1"/>
    <x v="0"/>
    <x v="2"/>
    <x v="0"/>
    <x v="2"/>
    <x v="9"/>
    <n v="0"/>
    <n v="0"/>
    <n v="17346.935000000001"/>
    <n v="17346.935000000001"/>
    <n v="0"/>
    <n v="0"/>
    <n v="41"/>
    <x v="2"/>
    <n v="0"/>
    <n v="0"/>
    <n v="23"/>
    <n v="0"/>
    <n v="0"/>
    <n v="84.45"/>
    <n v="0"/>
    <m/>
    <n v="87.520205040180812"/>
    <m/>
    <n v="0"/>
    <n v="1464948.6607500003"/>
    <n v="0"/>
    <n v="0"/>
    <n v="1518207.308018689"/>
    <n v="0"/>
  </r>
  <r>
    <s v="Regular"/>
    <x v="2"/>
    <x v="0"/>
    <x v="1"/>
    <x v="0"/>
    <x v="2"/>
    <x v="0"/>
    <x v="2"/>
    <x v="10"/>
    <n v="0"/>
    <n v="0"/>
    <n v="19937.614000000001"/>
    <n v="19937.614000000001"/>
    <n v="0"/>
    <n v="0"/>
    <n v="56"/>
    <x v="2"/>
    <n v="0"/>
    <n v="0"/>
    <n v="23"/>
    <n v="0"/>
    <n v="0"/>
    <n v="84.45"/>
    <n v="0"/>
    <m/>
    <n v="87.520205040180812"/>
    <m/>
    <n v="0"/>
    <n v="1683731.5023000003"/>
    <n v="0"/>
    <n v="0"/>
    <n v="1744944.0652919796"/>
    <n v="0"/>
  </r>
  <r>
    <s v="PROJETADO"/>
    <x v="2"/>
    <x v="0"/>
    <x v="1"/>
    <x v="0"/>
    <x v="2"/>
    <x v="0"/>
    <x v="2"/>
    <x v="11"/>
    <n v="0"/>
    <n v="0"/>
    <n v="19937.614000000001"/>
    <n v="19937.614000000001"/>
    <n v="0"/>
    <n v="0"/>
    <n v="56"/>
    <x v="2"/>
    <n v="0"/>
    <n v="0"/>
    <n v="23"/>
    <n v="0"/>
    <n v="0"/>
    <n v="84.45"/>
    <n v="0"/>
    <m/>
    <n v="87.520205040180812"/>
    <m/>
    <n v="0"/>
    <n v="1683731.5023000003"/>
    <n v="0"/>
    <n v="0"/>
    <n v="1744944.0652919796"/>
    <n v="0"/>
  </r>
  <r>
    <s v="Regular"/>
    <x v="2"/>
    <x v="0"/>
    <x v="1"/>
    <x v="0"/>
    <x v="2"/>
    <x v="0"/>
    <x v="1"/>
    <x v="0"/>
    <n v="38961"/>
    <n v="28005.293033639999"/>
    <n v="0"/>
    <n v="0"/>
    <n v="0"/>
    <n v="0"/>
    <n v="0"/>
    <x v="2"/>
    <n v="0"/>
    <n v="21"/>
    <n v="0"/>
    <n v="0"/>
    <n v="22.94"/>
    <n v="0"/>
    <n v="0"/>
    <n v="27.216283196676113"/>
    <n v="87.520205040180812"/>
    <m/>
    <n v="642441.4221917016"/>
    <n v="0"/>
    <n v="0"/>
    <n v="762199.98620944691"/>
    <n v="0"/>
    <n v="0"/>
  </r>
  <r>
    <s v="Regular"/>
    <x v="2"/>
    <x v="0"/>
    <x v="1"/>
    <x v="0"/>
    <x v="2"/>
    <x v="0"/>
    <x v="1"/>
    <x v="1"/>
    <n v="39880"/>
    <n v="28676.253576399999"/>
    <n v="0"/>
    <n v="0"/>
    <n v="0"/>
    <n v="0"/>
    <n v="0"/>
    <x v="2"/>
    <n v="0"/>
    <n v="21"/>
    <n v="0"/>
    <n v="0"/>
    <n v="22.94"/>
    <n v="0"/>
    <n v="0"/>
    <n v="27.216283196676113"/>
    <n v="87.520205040180812"/>
    <m/>
    <n v="657833.25704261602"/>
    <n v="0"/>
    <n v="0"/>
    <n v="780461.03835499857"/>
    <n v="0"/>
    <n v="0"/>
  </r>
  <r>
    <s v="Regular"/>
    <x v="2"/>
    <x v="0"/>
    <x v="1"/>
    <x v="0"/>
    <x v="2"/>
    <x v="0"/>
    <x v="1"/>
    <x v="2"/>
    <n v="39880"/>
    <n v="28760.635668399998"/>
    <n v="0"/>
    <n v="0"/>
    <n v="0"/>
    <n v="0"/>
    <n v="0"/>
    <x v="2"/>
    <n v="0"/>
    <n v="21"/>
    <n v="0"/>
    <n v="0"/>
    <n v="22.94"/>
    <n v="0"/>
    <n v="0"/>
    <n v="27.216283196676113"/>
    <n v="87.520205040180812"/>
    <m/>
    <n v="659768.98223309603"/>
    <n v="0"/>
    <n v="0"/>
    <n v="782757.60526759853"/>
    <n v="0"/>
    <n v="0"/>
  </r>
  <r>
    <s v="Regular"/>
    <x v="2"/>
    <x v="0"/>
    <x v="1"/>
    <x v="0"/>
    <x v="2"/>
    <x v="0"/>
    <x v="1"/>
    <x v="3"/>
    <n v="41163"/>
    <n v="29609.906337150001"/>
    <n v="0"/>
    <n v="0"/>
    <n v="0"/>
    <n v="0"/>
    <n v="0"/>
    <x v="2"/>
    <n v="0"/>
    <n v="21"/>
    <n v="0"/>
    <n v="0"/>
    <n v="22.94"/>
    <n v="0"/>
    <n v="0"/>
    <n v="27.216283196676113"/>
    <n v="87.520205040180812"/>
    <m/>
    <n v="679251.25137422106"/>
    <n v="0"/>
    <n v="0"/>
    <n v="805871.59629892907"/>
    <n v="0"/>
    <n v="0"/>
  </r>
  <r>
    <s v="Regular"/>
    <x v="2"/>
    <x v="0"/>
    <x v="1"/>
    <x v="0"/>
    <x v="2"/>
    <x v="0"/>
    <x v="1"/>
    <x v="4"/>
    <n v="41245"/>
    <n v="29544.820500500002"/>
    <n v="0"/>
    <n v="0"/>
    <n v="0"/>
    <n v="0"/>
    <n v="0"/>
    <x v="2"/>
    <n v="0"/>
    <n v="21"/>
    <n v="0"/>
    <n v="0"/>
    <n v="22.94"/>
    <n v="0"/>
    <n v="0"/>
    <n v="27.216283196676113"/>
    <n v="87.520205040180812"/>
    <m/>
    <n v="677758.18228147004"/>
    <n v="0"/>
    <n v="0"/>
    <n v="804100.2017365701"/>
    <n v="0"/>
    <n v="0"/>
  </r>
  <r>
    <s v="Regular"/>
    <x v="2"/>
    <x v="0"/>
    <x v="1"/>
    <x v="0"/>
    <x v="2"/>
    <x v="0"/>
    <x v="1"/>
    <x v="5"/>
    <n v="40820"/>
    <n v="30565.040401999999"/>
    <n v="0"/>
    <n v="0"/>
    <n v="0"/>
    <n v="0"/>
    <n v="0"/>
    <x v="2"/>
    <n v="0"/>
    <n v="21"/>
    <n v="0"/>
    <n v="0"/>
    <n v="22.94"/>
    <n v="0"/>
    <n v="0"/>
    <n v="27.216283196676113"/>
    <n v="87.520205040180812"/>
    <m/>
    <n v="701162.02682188002"/>
    <n v="0"/>
    <n v="0"/>
    <n v="831866.79549867904"/>
    <n v="0"/>
    <n v="0"/>
  </r>
  <r>
    <s v="Regular"/>
    <x v="2"/>
    <x v="0"/>
    <x v="1"/>
    <x v="0"/>
    <x v="2"/>
    <x v="0"/>
    <x v="1"/>
    <x v="6"/>
    <n v="41032"/>
    <n v="30479.30899664"/>
    <n v="0"/>
    <n v="0"/>
    <n v="0"/>
    <n v="0"/>
    <n v="0"/>
    <x v="2"/>
    <n v="0"/>
    <n v="21"/>
    <n v="0"/>
    <n v="0"/>
    <n v="22.94"/>
    <n v="0"/>
    <n v="0"/>
    <n v="27.216283196676113"/>
    <n v="87.520205040180812"/>
    <m/>
    <n v="699195.34838292166"/>
    <n v="0"/>
    <n v="0"/>
    <n v="829533.50529155228"/>
    <n v="0"/>
    <n v="0"/>
  </r>
  <r>
    <s v="Regular"/>
    <x v="2"/>
    <x v="0"/>
    <x v="1"/>
    <x v="0"/>
    <x v="2"/>
    <x v="0"/>
    <x v="1"/>
    <x v="7"/>
    <n v="36728"/>
    <n v="27284.50508744"/>
    <n v="0"/>
    <n v="0"/>
    <n v="0"/>
    <n v="0"/>
    <n v="0"/>
    <x v="2"/>
    <n v="0"/>
    <n v="21"/>
    <n v="0"/>
    <n v="0"/>
    <n v="22.94"/>
    <n v="0"/>
    <n v="0"/>
    <n v="27.216283196676113"/>
    <n v="87.520205040180812"/>
    <m/>
    <n v="625906.54670587368"/>
    <n v="0"/>
    <n v="0"/>
    <n v="742582.81734091719"/>
    <n v="0"/>
    <n v="0"/>
  </r>
  <r>
    <s v="Regular"/>
    <x v="2"/>
    <x v="0"/>
    <x v="1"/>
    <x v="0"/>
    <x v="2"/>
    <x v="0"/>
    <x v="1"/>
    <x v="8"/>
    <n v="36728"/>
    <n v="26828.53541488"/>
    <n v="0"/>
    <n v="0"/>
    <n v="0"/>
    <n v="0"/>
    <n v="0"/>
    <x v="2"/>
    <n v="0"/>
    <n v="21"/>
    <n v="0"/>
    <n v="0"/>
    <n v="22.94"/>
    <n v="0"/>
    <n v="0"/>
    <n v="27.216283196676113"/>
    <n v="87.520205040180812"/>
    <m/>
    <n v="615446.60241734725"/>
    <n v="0"/>
    <n v="0"/>
    <n v="730173.01760342857"/>
    <n v="0"/>
    <n v="0"/>
  </r>
  <r>
    <s v="Regular"/>
    <x v="2"/>
    <x v="0"/>
    <x v="1"/>
    <x v="0"/>
    <x v="2"/>
    <x v="0"/>
    <x v="1"/>
    <x v="9"/>
    <n v="38585"/>
    <n v="27811.329868950001"/>
    <n v="0"/>
    <n v="0"/>
    <n v="0"/>
    <n v="0"/>
    <n v="0"/>
    <x v="2"/>
    <n v="0"/>
    <n v="21"/>
    <n v="0"/>
    <n v="0"/>
    <n v="22.94"/>
    <n v="0"/>
    <n v="0"/>
    <n v="27.216283196676113"/>
    <n v="87.520205040180812"/>
    <m/>
    <n v="637991.90719371301"/>
    <n v="0"/>
    <n v="0"/>
    <n v="756921.02978952043"/>
    <n v="0"/>
    <n v="0"/>
  </r>
  <r>
    <s v="Regular"/>
    <x v="2"/>
    <x v="0"/>
    <x v="1"/>
    <x v="0"/>
    <x v="2"/>
    <x v="0"/>
    <x v="1"/>
    <x v="10"/>
    <n v="40321"/>
    <n v="29837.54"/>
    <n v="0"/>
    <n v="0"/>
    <n v="0"/>
    <n v="0"/>
    <n v="0"/>
    <x v="2"/>
    <n v="0"/>
    <n v="21"/>
    <n v="0"/>
    <n v="0"/>
    <n v="22.94"/>
    <n v="0"/>
    <n v="0"/>
    <n v="27.216283196676113"/>
    <n v="87.520205040180812"/>
    <m/>
    <n v="684473.16760000004"/>
    <n v="0"/>
    <n v="0"/>
    <n v="812066.9385321514"/>
    <n v="0"/>
    <n v="0"/>
  </r>
  <r>
    <s v="PROJETADO"/>
    <x v="2"/>
    <x v="0"/>
    <x v="1"/>
    <x v="0"/>
    <x v="2"/>
    <x v="0"/>
    <x v="1"/>
    <x v="11"/>
    <n v="40321"/>
    <n v="29837.54"/>
    <n v="0"/>
    <n v="0"/>
    <n v="0"/>
    <n v="0"/>
    <n v="0"/>
    <x v="2"/>
    <n v="0"/>
    <n v="21"/>
    <n v="0"/>
    <n v="0"/>
    <n v="22.94"/>
    <n v="0"/>
    <n v="0"/>
    <n v="27.216283196676113"/>
    <n v="87.520205040180812"/>
    <m/>
    <n v="684473.16760000004"/>
    <n v="0"/>
    <n v="0"/>
    <n v="812066.9385321514"/>
    <n v="0"/>
    <n v="0"/>
  </r>
  <r>
    <s v="Regular"/>
    <x v="2"/>
    <x v="0"/>
    <x v="1"/>
    <x v="0"/>
    <x v="0"/>
    <x v="0"/>
    <x v="0"/>
    <x v="0"/>
    <n v="2438"/>
    <n v="2438"/>
    <n v="513.66300000000001"/>
    <n v="513.66300000000001"/>
    <n v="513.66300000000001"/>
    <n v="513.66300000000001"/>
    <n v="0"/>
    <x v="0"/>
    <n v="0"/>
    <n v="22"/>
    <n v="23"/>
    <n v="82"/>
    <n v="8.81"/>
    <n v="84.45"/>
    <n v="256.38"/>
    <n v="11.452356648653195"/>
    <n v="87.520205040180812"/>
    <n v="230.84299908458948"/>
    <n v="21478.780000000002"/>
    <n v="43378.840350000006"/>
    <n v="131692.91993999999"/>
    <n v="27920.845509416489"/>
    <n v="44955.8910815544"/>
    <n v="118575.50743878749"/>
  </r>
  <r>
    <s v="Regular"/>
    <x v="2"/>
    <x v="0"/>
    <x v="1"/>
    <x v="0"/>
    <x v="0"/>
    <x v="0"/>
    <x v="0"/>
    <x v="1"/>
    <n v="2512"/>
    <n v="2512"/>
    <n v="571.21299999999997"/>
    <n v="571.21299999999997"/>
    <n v="571.21299999999997"/>
    <n v="571.21299999999997"/>
    <n v="0"/>
    <x v="0"/>
    <n v="0"/>
    <n v="22"/>
    <n v="23"/>
    <n v="82"/>
    <n v="8.81"/>
    <n v="84.45"/>
    <n v="256.38"/>
    <n v="11.452356648653195"/>
    <n v="87.520205040180812"/>
    <n v="230.84299908458948"/>
    <n v="22130.720000000001"/>
    <n v="48238.937850000002"/>
    <n v="146447.58893999999"/>
    <n v="28768.319901416828"/>
    <n v="49992.678881616797"/>
    <n v="131860.5220361056"/>
  </r>
  <r>
    <s v="Regular"/>
    <x v="2"/>
    <x v="0"/>
    <x v="1"/>
    <x v="0"/>
    <x v="0"/>
    <x v="0"/>
    <x v="0"/>
    <x v="2"/>
    <n v="2556"/>
    <n v="2556"/>
    <n v="529.96600000000001"/>
    <n v="529.96600000000001"/>
    <n v="529.96600000000001"/>
    <n v="529.96600000000001"/>
    <n v="0"/>
    <x v="0"/>
    <n v="0"/>
    <n v="22"/>
    <n v="23"/>
    <n v="82"/>
    <n v="8.81"/>
    <n v="84.45"/>
    <n v="256.38"/>
    <n v="11.452356648653195"/>
    <n v="87.520205040180812"/>
    <n v="230.84299908458948"/>
    <n v="22518.36"/>
    <n v="44755.628700000001"/>
    <n v="135872.68307999999"/>
    <n v="29272.223593957566"/>
    <n v="46382.732984324466"/>
    <n v="122338.94085286355"/>
  </r>
  <r>
    <s v="Regular"/>
    <x v="2"/>
    <x v="0"/>
    <x v="1"/>
    <x v="0"/>
    <x v="0"/>
    <x v="0"/>
    <x v="0"/>
    <x v="3"/>
    <n v="2532"/>
    <n v="2532"/>
    <n v="510.15300000000002"/>
    <n v="510.15300000000002"/>
    <n v="510.15300000000002"/>
    <n v="510.15300000000002"/>
    <n v="0"/>
    <x v="0"/>
    <n v="0"/>
    <n v="22"/>
    <n v="23"/>
    <n v="82"/>
    <n v="8.81"/>
    <n v="84.45"/>
    <n v="256.38"/>
    <n v="11.452356648653195"/>
    <n v="87.520205040180812"/>
    <n v="230.84299908458948"/>
    <n v="22306.920000000002"/>
    <n v="43082.420850000002"/>
    <n v="130793.02614"/>
    <n v="28997.367034389888"/>
    <n v="44648.695161863361"/>
    <n v="117765.24851200059"/>
  </r>
  <r>
    <s v="Regular"/>
    <x v="2"/>
    <x v="0"/>
    <x v="1"/>
    <x v="0"/>
    <x v="0"/>
    <x v="0"/>
    <x v="0"/>
    <x v="4"/>
    <n v="2740"/>
    <n v="2740"/>
    <n v="526.95399999999995"/>
    <n v="526.95399999999995"/>
    <n v="526.95399999999995"/>
    <n v="526.95399999999995"/>
    <n v="0"/>
    <x v="0"/>
    <n v="0"/>
    <n v="22"/>
    <n v="23"/>
    <n v="82"/>
    <n v="8.81"/>
    <n v="84.45"/>
    <n v="256.38"/>
    <n v="11.452356648653195"/>
    <n v="87.520205040180812"/>
    <n v="230.84299908458948"/>
    <n v="24139.4"/>
    <n v="44501.265299999999"/>
    <n v="135100.46651999999"/>
    <n v="31379.457217309755"/>
    <n v="46119.122126743438"/>
    <n v="121643.64173962075"/>
  </r>
  <r>
    <s v="Regular"/>
    <x v="2"/>
    <x v="0"/>
    <x v="1"/>
    <x v="0"/>
    <x v="0"/>
    <x v="0"/>
    <x v="0"/>
    <x v="5"/>
    <n v="2737"/>
    <n v="2737"/>
    <n v="471.13099999999997"/>
    <n v="471.13099999999997"/>
    <n v="471.13099999999997"/>
    <n v="471.13099999999997"/>
    <n v="0"/>
    <x v="0"/>
    <n v="0"/>
    <n v="22"/>
    <n v="23"/>
    <n v="82"/>
    <n v="8.81"/>
    <n v="84.45"/>
    <n v="256.38"/>
    <n v="11.452356648653195"/>
    <n v="87.520205040180812"/>
    <n v="230.84299908458948"/>
    <n v="24112.97"/>
    <n v="39787.012949999997"/>
    <n v="120788.56577999999"/>
    <n v="31345.100147363795"/>
    <n v="41233.481720785421"/>
    <n v="108757.29300172171"/>
  </r>
  <r>
    <s v="Regular"/>
    <x v="2"/>
    <x v="0"/>
    <x v="1"/>
    <x v="0"/>
    <x v="0"/>
    <x v="0"/>
    <x v="0"/>
    <x v="6"/>
    <n v="2723"/>
    <n v="2723"/>
    <n v="465.16699999999997"/>
    <n v="465.16699999999997"/>
    <n v="465.16699999999997"/>
    <n v="465.16699999999997"/>
    <n v="0"/>
    <x v="0"/>
    <n v="0"/>
    <n v="22"/>
    <n v="23"/>
    <n v="82"/>
    <n v="8.81"/>
    <n v="84.45"/>
    <n v="256.38"/>
    <n v="11.452356648653195"/>
    <n v="87.520205040180812"/>
    <n v="230.84299908458948"/>
    <n v="23989.63"/>
    <n v="39283.353150000003"/>
    <n v="119259.51546"/>
    <n v="31184.76715428265"/>
    <n v="40711.511217925785"/>
    <n v="107380.54535518122"/>
  </r>
  <r>
    <s v="Regular"/>
    <x v="2"/>
    <x v="0"/>
    <x v="1"/>
    <x v="0"/>
    <x v="0"/>
    <x v="0"/>
    <x v="0"/>
    <x v="7"/>
    <n v="2758"/>
    <n v="2758"/>
    <n v="387.69900000000001"/>
    <n v="387.69900000000001"/>
    <n v="387.69900000000001"/>
    <n v="387.69900000000001"/>
    <n v="0"/>
    <x v="0"/>
    <n v="0"/>
    <n v="22"/>
    <n v="23"/>
    <n v="82"/>
    <n v="8.81"/>
    <n v="84.45"/>
    <n v="256.38"/>
    <n v="11.452356648653195"/>
    <n v="87.520205040180812"/>
    <n v="230.84299908458948"/>
    <n v="24297.98"/>
    <n v="32741.180550000001"/>
    <n v="99398.269620000006"/>
    <n v="31585.599636985513"/>
    <n v="33931.495973873061"/>
    <n v="89497.599902096263"/>
  </r>
  <r>
    <s v="Regular"/>
    <x v="2"/>
    <x v="0"/>
    <x v="1"/>
    <x v="0"/>
    <x v="0"/>
    <x v="0"/>
    <x v="0"/>
    <x v="8"/>
    <n v="2789"/>
    <n v="2789"/>
    <n v="431.923"/>
    <n v="431.923"/>
    <n v="431.923"/>
    <n v="431.923"/>
    <n v="0"/>
    <x v="0"/>
    <n v="0"/>
    <n v="22"/>
    <n v="23"/>
    <n v="82"/>
    <n v="8.81"/>
    <n v="84.45"/>
    <n v="256.38"/>
    <n v="11.452356648653195"/>
    <n v="87.520205040180812"/>
    <n v="230.84299908458948"/>
    <n v="24571.09"/>
    <n v="36475.897349999999"/>
    <n v="110736.41873999999"/>
    <n v="31940.622693093763"/>
    <n v="37801.989521570016"/>
    <n v="99706.400693613148"/>
  </r>
  <r>
    <s v="Regular"/>
    <x v="2"/>
    <x v="0"/>
    <x v="1"/>
    <x v="0"/>
    <x v="0"/>
    <x v="0"/>
    <x v="0"/>
    <x v="9"/>
    <n v="2811"/>
    <n v="2811"/>
    <n v="428.92899999999997"/>
    <n v="428.92899999999997"/>
    <n v="428.92899999999997"/>
    <n v="428.92899999999997"/>
    <n v="0"/>
    <x v="0"/>
    <n v="0"/>
    <n v="22"/>
    <n v="23"/>
    <n v="82"/>
    <n v="8.81"/>
    <n v="84.45"/>
    <n v="256.38"/>
    <n v="11.452356648653195"/>
    <n v="87.520205040180812"/>
    <n v="230.84299908458948"/>
    <n v="24764.91"/>
    <n v="36223.054049999999"/>
    <n v="109968.81701999999"/>
    <n v="32192.57453936413"/>
    <n v="37539.954027679712"/>
    <n v="99015.256754353875"/>
  </r>
  <r>
    <s v="Regular"/>
    <x v="2"/>
    <x v="0"/>
    <x v="1"/>
    <x v="0"/>
    <x v="0"/>
    <x v="0"/>
    <x v="0"/>
    <x v="10"/>
    <n v="2670"/>
    <n v="2670"/>
    <n v="405.21300000000002"/>
    <n v="405.21300000000002"/>
    <n v="405.21300000000002"/>
    <n v="405.21300000000002"/>
    <n v="0"/>
    <x v="0"/>
    <n v="0"/>
    <n v="22"/>
    <n v="23"/>
    <n v="82"/>
    <n v="8.81"/>
    <n v="84.45"/>
    <n v="256.38"/>
    <n v="11.452356648653195"/>
    <n v="87.520205040180812"/>
    <n v="230.84299908458948"/>
    <n v="23522.7"/>
    <n v="34220.237850000005"/>
    <n v="103888.50894"/>
    <n v="30577.792251904029"/>
    <n v="35464.324844946786"/>
    <n v="93540.58418806376"/>
  </r>
  <r>
    <s v="Refaturamento - Regular"/>
    <x v="2"/>
    <x v="0"/>
    <x v="1"/>
    <x v="0"/>
    <x v="0"/>
    <x v="0"/>
    <x v="0"/>
    <x v="10"/>
    <n v="150"/>
    <n v="150"/>
    <n v="0"/>
    <n v="0"/>
    <n v="0"/>
    <n v="0"/>
    <n v="0"/>
    <x v="0"/>
    <n v="0"/>
    <n v="22"/>
    <n v="0"/>
    <n v="0"/>
    <n v="8.81"/>
    <n v="0"/>
    <n v="0"/>
    <n v="11.452356648653195"/>
    <n v="87.520205040180812"/>
    <n v="230.84299908458948"/>
    <n v="1321.5"/>
    <n v="0"/>
    <n v="0"/>
    <n v="1717.8534972979792"/>
    <n v="0"/>
    <n v="0"/>
  </r>
  <r>
    <s v="PROJETADO"/>
    <x v="2"/>
    <x v="0"/>
    <x v="1"/>
    <x v="0"/>
    <x v="0"/>
    <x v="0"/>
    <x v="0"/>
    <x v="11"/>
    <n v="2670"/>
    <n v="2670"/>
    <n v="405.21300000000002"/>
    <n v="405.21300000000002"/>
    <n v="405.21300000000002"/>
    <n v="405.21300000000002"/>
    <n v="0"/>
    <x v="0"/>
    <n v="0"/>
    <n v="22"/>
    <n v="23"/>
    <n v="82"/>
    <n v="8.81"/>
    <n v="84.45"/>
    <n v="256.38"/>
    <n v="11.452356648653195"/>
    <n v="87.520205040180812"/>
    <n v="230.84299908458948"/>
    <n v="23522.7"/>
    <n v="34220.237850000005"/>
    <n v="103888.50894"/>
    <n v="30577.792251904029"/>
    <n v="35464.324844946786"/>
    <n v="93540.58418806376"/>
  </r>
  <r>
    <s v="PROJETADO"/>
    <x v="2"/>
    <x v="0"/>
    <x v="1"/>
    <x v="0"/>
    <x v="0"/>
    <x v="0"/>
    <x v="0"/>
    <x v="11"/>
    <n v="150"/>
    <n v="150"/>
    <n v="0"/>
    <n v="0"/>
    <n v="0"/>
    <n v="0"/>
    <n v="0"/>
    <x v="0"/>
    <n v="0"/>
    <n v="22"/>
    <n v="0"/>
    <n v="0"/>
    <n v="8.81"/>
    <n v="0"/>
    <n v="0"/>
    <n v="11.452356648653195"/>
    <n v="87.520205040180812"/>
    <n v="230.84299908458948"/>
    <n v="1321.5"/>
    <n v="0"/>
    <n v="0"/>
    <n v="1717.8534972979792"/>
    <n v="0"/>
    <n v="0"/>
  </r>
  <r>
    <s v="Regular"/>
    <x v="2"/>
    <x v="0"/>
    <x v="1"/>
    <x v="0"/>
    <x v="0"/>
    <x v="0"/>
    <x v="1"/>
    <x v="0"/>
    <n v="1212"/>
    <n v="1212"/>
    <n v="40.665999999999997"/>
    <n v="40.665999999999997"/>
    <n v="40.665999999999997"/>
    <n v="40.665999999999997"/>
    <n v="0"/>
    <x v="0"/>
    <n v="0"/>
    <n v="21"/>
    <n v="23"/>
    <n v="81"/>
    <n v="22.94"/>
    <n v="84.45"/>
    <n v="430.87"/>
    <n v="27.216283196676113"/>
    <n v="87.520205040180812"/>
    <n v="375.70671275609089"/>
    <n v="27803.280000000002"/>
    <n v="3434.2437"/>
    <n v="17521.759419999998"/>
    <n v="32986.135234371446"/>
    <n v="3559.0966581639927"/>
    <n v="15278.489180939192"/>
  </r>
  <r>
    <s v="Regular"/>
    <x v="2"/>
    <x v="0"/>
    <x v="1"/>
    <x v="0"/>
    <x v="0"/>
    <x v="0"/>
    <x v="1"/>
    <x v="1"/>
    <n v="1235"/>
    <n v="1235"/>
    <n v="46.005000000000003"/>
    <n v="46.005000000000003"/>
    <n v="46.005000000000003"/>
    <n v="46.005000000000003"/>
    <n v="0"/>
    <x v="0"/>
    <n v="0"/>
    <n v="21"/>
    <n v="23"/>
    <n v="81"/>
    <n v="22.94"/>
    <n v="84.45"/>
    <n v="430.87"/>
    <n v="27.216283196676113"/>
    <n v="87.520205040180812"/>
    <n v="375.70671275609089"/>
    <n v="28330.9"/>
    <n v="3885.1222500000003"/>
    <n v="19822.174350000001"/>
    <n v="33612.109747894996"/>
    <n v="4026.3670328735184"/>
    <n v="17284.387320343962"/>
  </r>
  <r>
    <s v="Regular"/>
    <x v="2"/>
    <x v="0"/>
    <x v="1"/>
    <x v="0"/>
    <x v="0"/>
    <x v="0"/>
    <x v="1"/>
    <x v="2"/>
    <n v="1272"/>
    <n v="1272"/>
    <n v="39.320999999999998"/>
    <n v="39.320999999999998"/>
    <n v="39.320999999999998"/>
    <n v="39.320999999999998"/>
    <n v="0"/>
    <x v="0"/>
    <n v="0"/>
    <n v="21"/>
    <n v="23"/>
    <n v="81"/>
    <n v="22.94"/>
    <n v="84.45"/>
    <n v="430.87"/>
    <n v="27.216283196676113"/>
    <n v="87.520205040180812"/>
    <n v="375.70671275609089"/>
    <n v="29179.68"/>
    <n v="3320.6584499999999"/>
    <n v="16942.239269999998"/>
    <n v="34619.112226172016"/>
    <n v="3441.3819823849494"/>
    <n v="14773.16365228225"/>
  </r>
  <r>
    <s v="Regular"/>
    <x v="2"/>
    <x v="0"/>
    <x v="1"/>
    <x v="0"/>
    <x v="0"/>
    <x v="0"/>
    <x v="1"/>
    <x v="3"/>
    <n v="1230"/>
    <n v="1230"/>
    <n v="36.475000000000001"/>
    <n v="36.475000000000001"/>
    <n v="36.475000000000001"/>
    <n v="36.475000000000001"/>
    <n v="0"/>
    <x v="0"/>
    <n v="0"/>
    <n v="21"/>
    <n v="23"/>
    <n v="81"/>
    <n v="22.94"/>
    <n v="84.45"/>
    <n v="430.87"/>
    <n v="27.216283196676113"/>
    <n v="87.520205040180812"/>
    <n v="375.70671275609089"/>
    <n v="28216.2"/>
    <n v="3080.3137500000003"/>
    <n v="15715.983250000001"/>
    <n v="33476.028331911621"/>
    <n v="3192.2994788405954"/>
    <n v="13703.902347778416"/>
  </r>
  <r>
    <s v="Regular"/>
    <x v="2"/>
    <x v="0"/>
    <x v="1"/>
    <x v="0"/>
    <x v="0"/>
    <x v="0"/>
    <x v="1"/>
    <x v="4"/>
    <n v="1456"/>
    <n v="1456"/>
    <n v="38.963999999999999"/>
    <n v="38.963999999999999"/>
    <n v="38.963999999999999"/>
    <n v="38.963999999999999"/>
    <n v="0"/>
    <x v="0"/>
    <n v="0"/>
    <n v="21"/>
    <n v="23"/>
    <n v="81"/>
    <n v="22.94"/>
    <n v="84.45"/>
    <n v="430.87"/>
    <n v="27.216283196676113"/>
    <n v="87.520205040180812"/>
    <n v="375.70671275609089"/>
    <n v="33400.639999999999"/>
    <n v="3290.5097999999998"/>
    <n v="16788.418679999999"/>
    <n v="39626.908334360422"/>
    <n v="3410.137269185605"/>
    <n v="14639.036355828324"/>
  </r>
  <r>
    <s v="Regular"/>
    <x v="2"/>
    <x v="0"/>
    <x v="1"/>
    <x v="0"/>
    <x v="0"/>
    <x v="0"/>
    <x v="1"/>
    <x v="5"/>
    <n v="1434"/>
    <n v="1434"/>
    <n v="34.579000000000001"/>
    <n v="34.579000000000001"/>
    <n v="34.579000000000001"/>
    <n v="34.579000000000001"/>
    <n v="0"/>
    <x v="0"/>
    <n v="0"/>
    <n v="21"/>
    <n v="23"/>
    <n v="81"/>
    <n v="22.94"/>
    <n v="84.45"/>
    <n v="430.87"/>
    <n v="27.216283196676113"/>
    <n v="87.520205040180812"/>
    <n v="375.70671275609089"/>
    <n v="32895.96"/>
    <n v="2920.1965500000001"/>
    <n v="14899.05373"/>
    <n v="39028.150104033542"/>
    <n v="3026.3611700844122"/>
    <n v="12991.562420392867"/>
  </r>
  <r>
    <s v="Regular"/>
    <x v="2"/>
    <x v="0"/>
    <x v="1"/>
    <x v="0"/>
    <x v="0"/>
    <x v="0"/>
    <x v="1"/>
    <x v="6"/>
    <n v="1454"/>
    <n v="1454"/>
    <n v="34.479999999999997"/>
    <n v="34.479999999999997"/>
    <n v="34.479999999999997"/>
    <n v="34.479999999999997"/>
    <n v="0"/>
    <x v="0"/>
    <n v="0"/>
    <n v="21"/>
    <n v="23"/>
    <n v="81"/>
    <n v="22.94"/>
    <n v="84.45"/>
    <n v="430.87"/>
    <n v="27.216283196676113"/>
    <n v="87.520205040180812"/>
    <n v="375.70671275609089"/>
    <n v="33354.76"/>
    <n v="2911.8359999999998"/>
    <n v="14856.397599999998"/>
    <n v="39572.475767967066"/>
    <n v="3017.6966697854341"/>
    <n v="12954.367455830014"/>
  </r>
  <r>
    <s v="Regular"/>
    <x v="2"/>
    <x v="0"/>
    <x v="1"/>
    <x v="0"/>
    <x v="0"/>
    <x v="0"/>
    <x v="1"/>
    <x v="7"/>
    <n v="1479"/>
    <n v="1479"/>
    <n v="28.73"/>
    <n v="28.73"/>
    <n v="28.73"/>
    <n v="28.73"/>
    <n v="0"/>
    <x v="0"/>
    <n v="0"/>
    <n v="21"/>
    <n v="23"/>
    <n v="81"/>
    <n v="22.94"/>
    <n v="84.45"/>
    <n v="430.87"/>
    <n v="27.216283196676113"/>
    <n v="87.520205040180812"/>
    <n v="375.70671275609089"/>
    <n v="33928.26"/>
    <n v="2426.2485000000001"/>
    <n v="12378.8951"/>
    <n v="40252.882847883971"/>
    <n v="2514.4554908043947"/>
    <n v="10794.053857482491"/>
  </r>
  <r>
    <s v="Regular"/>
    <x v="2"/>
    <x v="0"/>
    <x v="1"/>
    <x v="0"/>
    <x v="0"/>
    <x v="0"/>
    <x v="1"/>
    <x v="8"/>
    <n v="1529"/>
    <n v="1529"/>
    <n v="29.91"/>
    <n v="29.91"/>
    <n v="29.91"/>
    <n v="29.91"/>
    <n v="0"/>
    <x v="0"/>
    <n v="0"/>
    <n v="21"/>
    <n v="23"/>
    <n v="81"/>
    <n v="22.94"/>
    <n v="84.45"/>
    <n v="430.87"/>
    <n v="27.216283196676113"/>
    <n v="87.520205040180812"/>
    <n v="375.70671275609089"/>
    <n v="35075.26"/>
    <n v="2525.8995"/>
    <n v="12887.3217"/>
    <n v="41613.697007717776"/>
    <n v="2617.7293327518082"/>
    <n v="11237.387778534679"/>
  </r>
  <r>
    <s v="Regular"/>
    <x v="2"/>
    <x v="0"/>
    <x v="1"/>
    <x v="0"/>
    <x v="0"/>
    <x v="0"/>
    <x v="1"/>
    <x v="9"/>
    <n v="1561"/>
    <n v="1561"/>
    <n v="32.420999999999999"/>
    <n v="32.420999999999999"/>
    <n v="32.420999999999999"/>
    <n v="32.420999999999999"/>
    <n v="0"/>
    <x v="0"/>
    <n v="0"/>
    <n v="21"/>
    <n v="23"/>
    <n v="81"/>
    <n v="22.94"/>
    <n v="84.45"/>
    <n v="430.87"/>
    <n v="27.216283196676113"/>
    <n v="87.520205040180812"/>
    <n v="375.70671275609089"/>
    <n v="35809.340000000004"/>
    <n v="2737.95345"/>
    <n v="13969.236269999999"/>
    <n v="42484.618070011413"/>
    <n v="2837.4925676077019"/>
    <n v="12180.787334265222"/>
  </r>
  <r>
    <s v="Regular"/>
    <x v="2"/>
    <x v="0"/>
    <x v="1"/>
    <x v="0"/>
    <x v="0"/>
    <x v="0"/>
    <x v="1"/>
    <x v="10"/>
    <n v="1458"/>
    <n v="1458"/>
    <n v="27.067"/>
    <n v="27.067"/>
    <n v="27.067"/>
    <n v="27.067"/>
    <n v="0"/>
    <x v="0"/>
    <n v="0"/>
    <n v="21"/>
    <n v="23"/>
    <n v="81"/>
    <n v="22.94"/>
    <n v="84.45"/>
    <n v="430.87"/>
    <n v="27.216283196676113"/>
    <n v="87.520205040180812"/>
    <n v="375.70671275609089"/>
    <n v="33446.520000000004"/>
    <n v="2285.8081500000003"/>
    <n v="11662.35829"/>
    <n v="39681.34090075377"/>
    <n v="2368.9093898225742"/>
    <n v="10169.253594169113"/>
  </r>
  <r>
    <s v="Refaturamento - Regular"/>
    <x v="2"/>
    <x v="0"/>
    <x v="1"/>
    <x v="0"/>
    <x v="0"/>
    <x v="0"/>
    <x v="1"/>
    <x v="10"/>
    <n v="150"/>
    <n v="150"/>
    <n v="0"/>
    <n v="0"/>
    <n v="0"/>
    <n v="0"/>
    <n v="0"/>
    <x v="0"/>
    <n v="0"/>
    <n v="21"/>
    <n v="0"/>
    <n v="0"/>
    <n v="22.94"/>
    <n v="0"/>
    <n v="0"/>
    <n v="27.216283196676113"/>
    <n v="87.520205040180812"/>
    <n v="375.70671275609089"/>
    <n v="3441"/>
    <n v="0"/>
    <n v="0"/>
    <n v="4082.442479501417"/>
    <n v="0"/>
    <n v="0"/>
  </r>
  <r>
    <s v="PROJETADO"/>
    <x v="2"/>
    <x v="0"/>
    <x v="1"/>
    <x v="0"/>
    <x v="0"/>
    <x v="0"/>
    <x v="1"/>
    <x v="11"/>
    <n v="1458"/>
    <n v="1458"/>
    <n v="27.067"/>
    <n v="27.067"/>
    <n v="27.067"/>
    <n v="27.067"/>
    <n v="0"/>
    <x v="0"/>
    <n v="0"/>
    <n v="21"/>
    <n v="23"/>
    <n v="81"/>
    <n v="22.94"/>
    <n v="84.45"/>
    <n v="430.87"/>
    <n v="27.216283196676113"/>
    <n v="87.520205040180812"/>
    <n v="375.70671275609089"/>
    <n v="33446.520000000004"/>
    <n v="2285.8081500000003"/>
    <n v="11662.35829"/>
    <n v="39681.34090075377"/>
    <n v="2368.9093898225742"/>
    <n v="10169.253594169113"/>
  </r>
  <r>
    <s v="PROJETADO"/>
    <x v="2"/>
    <x v="0"/>
    <x v="1"/>
    <x v="0"/>
    <x v="0"/>
    <x v="0"/>
    <x v="1"/>
    <x v="11"/>
    <n v="150"/>
    <n v="150"/>
    <n v="0"/>
    <n v="0"/>
    <n v="0"/>
    <n v="0"/>
    <n v="0"/>
    <x v="0"/>
    <n v="0"/>
    <n v="21"/>
    <n v="0"/>
    <n v="0"/>
    <n v="22.94"/>
    <n v="0"/>
    <n v="0"/>
    <n v="27.216283196676113"/>
    <n v="87.520205040180812"/>
    <n v="375.70671275609089"/>
    <n v="3441"/>
    <n v="0"/>
    <n v="0"/>
    <n v="4082.442479501417"/>
    <n v="0"/>
    <n v="0"/>
  </r>
  <r>
    <s v="Regular"/>
    <x v="2"/>
    <x v="0"/>
    <x v="4"/>
    <x v="0"/>
    <x v="0"/>
    <x v="0"/>
    <x v="0"/>
    <x v="0"/>
    <n v="24692"/>
    <n v="24692"/>
    <n v="6664.5429999999997"/>
    <n v="6664.5429999999997"/>
    <n v="6664.5429999999997"/>
    <n v="6664.5429999999997"/>
    <n v="0"/>
    <x v="0"/>
    <n v="0"/>
    <n v="22"/>
    <n v="23"/>
    <n v="82"/>
    <n v="8.81"/>
    <n v="84.45"/>
    <n v="256.38"/>
    <n v="11.452356648653195"/>
    <n v="87.520205040180812"/>
    <n v="230.84299908458948"/>
    <n v="217536.52000000002"/>
    <n v="562820.65634999995"/>
    <n v="1708655.5343399998"/>
    <n v="282781.59036854468"/>
    <n v="583282.16985910176"/>
    <n v="1538463.0936482071"/>
  </r>
  <r>
    <s v="Sistema de Compensação"/>
    <x v="2"/>
    <x v="0"/>
    <x v="4"/>
    <x v="0"/>
    <x v="0"/>
    <x v="0"/>
    <x v="0"/>
    <x v="0"/>
    <n v="4000"/>
    <n v="4000"/>
    <n v="1713.5429999999999"/>
    <n v="1713.5429999999999"/>
    <n v="1713.5429999999999"/>
    <n v="1713.5429999999999"/>
    <n v="0"/>
    <x v="0"/>
    <n v="0"/>
    <n v="22"/>
    <n v="23"/>
    <n v="82"/>
    <n v="8.81"/>
    <n v="84.45"/>
    <n v="256.38"/>
    <n v="11.452356648653195"/>
    <n v="87.520205040180812"/>
    <n v="230.84299908458948"/>
    <n v="35240"/>
    <n v="144708.70634999999"/>
    <n v="439318.15433999995"/>
    <n v="45809.426594612778"/>
    <n v="149969.63470516654"/>
    <n v="395559.40518040466"/>
  </r>
  <r>
    <s v="Regular"/>
    <x v="2"/>
    <x v="0"/>
    <x v="4"/>
    <x v="0"/>
    <x v="0"/>
    <x v="0"/>
    <x v="0"/>
    <x v="1"/>
    <n v="24508"/>
    <n v="24508"/>
    <n v="7382.4979999999996"/>
    <n v="7382.4979999999996"/>
    <n v="7382.4979999999996"/>
    <n v="7382.4979999999996"/>
    <n v="0"/>
    <x v="0"/>
    <n v="0"/>
    <n v="22"/>
    <n v="23"/>
    <n v="82"/>
    <n v="8.81"/>
    <n v="84.45"/>
    <n v="256.38"/>
    <n v="11.452356648653195"/>
    <n v="87.520205040180812"/>
    <n v="230.84299908458948"/>
    <n v="215915.48"/>
    <n v="623451.95609999995"/>
    <n v="1892724.8372399998"/>
    <n v="280674.35674519249"/>
    <n v="646117.73866872478"/>
    <n v="1704197.9790559835"/>
  </r>
  <r>
    <s v="Sistema de Compensação"/>
    <x v="2"/>
    <x v="0"/>
    <x v="4"/>
    <x v="0"/>
    <x v="0"/>
    <x v="0"/>
    <x v="0"/>
    <x v="1"/>
    <n v="4000"/>
    <n v="4000"/>
    <n v="1868.4690000000001"/>
    <n v="1868.4690000000001"/>
    <n v="1868.4690000000001"/>
    <n v="1868.4690000000001"/>
    <n v="0"/>
    <x v="0"/>
    <n v="0"/>
    <n v="22"/>
    <n v="23"/>
    <n v="82"/>
    <n v="8.81"/>
    <n v="84.45"/>
    <n v="256.38"/>
    <n v="11.452356648653195"/>
    <n v="87.520205040180812"/>
    <n v="230.84299908458948"/>
    <n v="35240"/>
    <n v="157792.20705"/>
    <n v="479038.08221999998"/>
    <n v="45809.426594612778"/>
    <n v="163528.78999122159"/>
    <n v="431322.98765658383"/>
  </r>
  <r>
    <s v="Regular"/>
    <x v="2"/>
    <x v="0"/>
    <x v="4"/>
    <x v="0"/>
    <x v="0"/>
    <x v="0"/>
    <x v="0"/>
    <x v="2"/>
    <n v="24637"/>
    <n v="24637"/>
    <n v="6728.192"/>
    <n v="6728.192"/>
    <n v="6728.192"/>
    <n v="6728.192"/>
    <n v="0"/>
    <x v="0"/>
    <n v="0"/>
    <n v="22"/>
    <n v="23"/>
    <n v="82"/>
    <n v="8.81"/>
    <n v="84.45"/>
    <n v="256.38"/>
    <n v="11.452356648653195"/>
    <n v="87.520205040180812"/>
    <n v="230.84299908458948"/>
    <n v="217051.97"/>
    <n v="568195.81440000003"/>
    <n v="1724973.8649599999"/>
    <n v="282151.71075286879"/>
    <n v="588852.74338970426"/>
    <n v="1553156.0196969423"/>
  </r>
  <r>
    <s v="Sistema de Compensação"/>
    <x v="2"/>
    <x v="0"/>
    <x v="4"/>
    <x v="0"/>
    <x v="0"/>
    <x v="0"/>
    <x v="0"/>
    <x v="2"/>
    <n v="4000"/>
    <n v="4000"/>
    <n v="1684.7750000000001"/>
    <n v="1684.7750000000001"/>
    <n v="1684.7750000000001"/>
    <n v="1684.7750000000001"/>
    <n v="0"/>
    <x v="0"/>
    <n v="0"/>
    <n v="22"/>
    <n v="23"/>
    <n v="82"/>
    <n v="8.81"/>
    <n v="84.45"/>
    <n v="256.38"/>
    <n v="11.452356648653195"/>
    <n v="87.520205040180812"/>
    <n v="230.84299908458948"/>
    <n v="35240"/>
    <n v="142279.24875"/>
    <n v="431942.61450000003"/>
    <n v="45809.426594612778"/>
    <n v="147451.85344657063"/>
    <n v="388918.51378273923"/>
  </r>
  <r>
    <s v="Regular"/>
    <x v="2"/>
    <x v="0"/>
    <x v="4"/>
    <x v="0"/>
    <x v="0"/>
    <x v="0"/>
    <x v="0"/>
    <x v="3"/>
    <n v="23704"/>
    <n v="23704"/>
    <n v="6559.5330000000004"/>
    <n v="6559.5330000000004"/>
    <n v="6559.5330000000004"/>
    <n v="6559.5330000000004"/>
    <n v="0"/>
    <x v="0"/>
    <n v="0"/>
    <n v="22"/>
    <n v="23"/>
    <n v="82"/>
    <n v="8.81"/>
    <n v="84.45"/>
    <n v="256.38"/>
    <n v="11.452356648653195"/>
    <n v="87.520205040180812"/>
    <n v="230.84299908458948"/>
    <n v="208832.24000000002"/>
    <n v="553952.56185000006"/>
    <n v="1681733.07054"/>
    <n v="271466.66199967533"/>
    <n v="574091.67312783236"/>
    <n v="1514222.2703143347"/>
  </r>
  <r>
    <s v="Sistema de Compensação"/>
    <x v="2"/>
    <x v="0"/>
    <x v="4"/>
    <x v="0"/>
    <x v="0"/>
    <x v="0"/>
    <x v="0"/>
    <x v="3"/>
    <n v="4000"/>
    <n v="4000"/>
    <n v="1367.8489999999999"/>
    <n v="1367.8489999999999"/>
    <n v="1367.8489999999999"/>
    <n v="1367.8489999999999"/>
    <n v="0"/>
    <x v="0"/>
    <n v="0"/>
    <n v="22"/>
    <n v="23"/>
    <n v="82"/>
    <n v="8.81"/>
    <n v="84.45"/>
    <n v="256.38"/>
    <n v="11.452356648653195"/>
    <n v="87.520205040180812"/>
    <n v="230.84299908458948"/>
    <n v="35240"/>
    <n v="115514.84805"/>
    <n v="350689.12662"/>
    <n v="45809.426594612778"/>
    <n v="119714.42494400628"/>
    <n v="315758.3654548566"/>
  </r>
  <r>
    <s v="Regular"/>
    <x v="2"/>
    <x v="0"/>
    <x v="4"/>
    <x v="0"/>
    <x v="0"/>
    <x v="0"/>
    <x v="0"/>
    <x v="4"/>
    <n v="24054"/>
    <n v="24054"/>
    <n v="6612.0349999999999"/>
    <n v="6612.0349999999999"/>
    <n v="6612.0349999999999"/>
    <n v="6612.0349999999999"/>
    <n v="0"/>
    <x v="0"/>
    <n v="0"/>
    <n v="22"/>
    <n v="23"/>
    <n v="82"/>
    <n v="8.81"/>
    <n v="84.45"/>
    <n v="256.38"/>
    <n v="11.452356648653195"/>
    <n v="87.520205040180812"/>
    <n v="230.84299908458948"/>
    <n v="211915.74000000002"/>
    <n v="558386.35574999999"/>
    <n v="1695193.5333"/>
    <n v="275474.98682670394"/>
    <n v="578686.65893285198"/>
    <n v="1526341.9894522736"/>
  </r>
  <r>
    <s v="Sistema de Compensação"/>
    <x v="2"/>
    <x v="0"/>
    <x v="4"/>
    <x v="0"/>
    <x v="0"/>
    <x v="0"/>
    <x v="0"/>
    <x v="4"/>
    <n v="4000"/>
    <n v="4000"/>
    <n v="1541.8330000000001"/>
    <n v="1541.8330000000001"/>
    <n v="1541.8330000000001"/>
    <n v="1541.8330000000001"/>
    <n v="0"/>
    <x v="0"/>
    <n v="0"/>
    <n v="22"/>
    <n v="23"/>
    <n v="82"/>
    <n v="8.81"/>
    <n v="84.45"/>
    <n v="256.38"/>
    <n v="11.452356648653195"/>
    <n v="87.520205040180812"/>
    <n v="230.84299908458948"/>
    <n v="35240"/>
    <n v="130207.79685000001"/>
    <n v="395295.14454000001"/>
    <n v="45809.426594612778"/>
    <n v="134941.54029771712"/>
    <n v="355921.35380758985"/>
  </r>
  <r>
    <s v="Regular"/>
    <x v="2"/>
    <x v="0"/>
    <x v="4"/>
    <x v="0"/>
    <x v="0"/>
    <x v="0"/>
    <x v="0"/>
    <x v="5"/>
    <n v="23971"/>
    <n v="23971"/>
    <n v="6198.7209999999995"/>
    <n v="6198.7209999999995"/>
    <n v="6198.7209999999995"/>
    <n v="6198.7209999999995"/>
    <n v="0"/>
    <x v="0"/>
    <n v="0"/>
    <n v="22"/>
    <n v="23"/>
    <n v="82"/>
    <n v="8.81"/>
    <n v="84.45"/>
    <n v="256.38"/>
    <n v="11.452356648653195"/>
    <n v="87.520205040180812"/>
    <n v="230.84299908458948"/>
    <n v="211184.51"/>
    <n v="523481.98845"/>
    <n v="1589228.0899799999"/>
    <n v="274524.44122486573"/>
    <n v="542513.3329068746"/>
    <n v="1430931.3461286256"/>
  </r>
  <r>
    <s v="Sistema de Compensação"/>
    <x v="2"/>
    <x v="0"/>
    <x v="4"/>
    <x v="0"/>
    <x v="0"/>
    <x v="0"/>
    <x v="0"/>
    <x v="5"/>
    <n v="4000"/>
    <n v="4000"/>
    <n v="1372.7639999999999"/>
    <n v="1372.7639999999999"/>
    <n v="1372.7639999999999"/>
    <n v="1372.7639999999999"/>
    <n v="0"/>
    <x v="0"/>
    <n v="0"/>
    <n v="22"/>
    <n v="23"/>
    <n v="82"/>
    <n v="8.81"/>
    <n v="84.45"/>
    <n v="256.38"/>
    <n v="11.452356648653195"/>
    <n v="87.520205040180812"/>
    <n v="230.84299908458948"/>
    <n v="35240"/>
    <n v="115929.91979999999"/>
    <n v="351949.23431999999"/>
    <n v="45809.426594612778"/>
    <n v="120144.58675177877"/>
    <n v="316892.95879535738"/>
  </r>
  <r>
    <s v="Regular"/>
    <x v="2"/>
    <x v="0"/>
    <x v="4"/>
    <x v="0"/>
    <x v="0"/>
    <x v="0"/>
    <x v="0"/>
    <x v="6"/>
    <n v="22776"/>
    <n v="22776"/>
    <n v="6163.0720000000001"/>
    <n v="6163.0720000000001"/>
    <n v="6163.0720000000001"/>
    <n v="6163.0720000000001"/>
    <n v="0"/>
    <x v="0"/>
    <n v="0"/>
    <n v="22"/>
    <n v="23"/>
    <n v="82"/>
    <n v="8.81"/>
    <n v="84.45"/>
    <n v="256.38"/>
    <n v="11.452356648653195"/>
    <n v="87.520205040180812"/>
    <n v="230.84299908458948"/>
    <n v="200656.56"/>
    <n v="520471.43040000001"/>
    <n v="1580088.3993599999"/>
    <n v="260838.87502972517"/>
    <n v="539393.32511739724"/>
    <n v="1422702.0240542591"/>
  </r>
  <r>
    <s v="Sistema de Compensação"/>
    <x v="2"/>
    <x v="0"/>
    <x v="4"/>
    <x v="0"/>
    <x v="0"/>
    <x v="0"/>
    <x v="0"/>
    <x v="6"/>
    <n v="4000"/>
    <n v="4000"/>
    <n v="1169.8630000000001"/>
    <n v="1169.8630000000001"/>
    <n v="1169.8630000000001"/>
    <n v="1169.8630000000001"/>
    <n v="0"/>
    <x v="0"/>
    <n v="0"/>
    <n v="22"/>
    <n v="23"/>
    <n v="82"/>
    <n v="8.81"/>
    <n v="84.45"/>
    <n v="256.38"/>
    <n v="11.452356648653195"/>
    <n v="87.520205040180812"/>
    <n v="230.84299908458948"/>
    <n v="35240"/>
    <n v="98794.93035000001"/>
    <n v="299929.47594000003"/>
    <n v="45809.426594612778"/>
    <n v="102386.64962892105"/>
    <n v="270054.68343809509"/>
  </r>
  <r>
    <s v="Regular"/>
    <x v="2"/>
    <x v="0"/>
    <x v="4"/>
    <x v="0"/>
    <x v="0"/>
    <x v="0"/>
    <x v="0"/>
    <x v="7"/>
    <n v="23110"/>
    <n v="23110"/>
    <n v="5718.9880000000003"/>
    <n v="5718.9880000000003"/>
    <n v="5718.9880000000003"/>
    <n v="5718.9880000000003"/>
    <n v="0"/>
    <x v="0"/>
    <n v="0"/>
    <n v="22"/>
    <n v="23"/>
    <n v="82"/>
    <n v="8.81"/>
    <n v="84.45"/>
    <n v="256.38"/>
    <n v="11.452356648653195"/>
    <n v="87.520205040180812"/>
    <n v="230.84299908458948"/>
    <n v="203599.1"/>
    <n v="482968.53660000005"/>
    <n v="1466234.14344"/>
    <n v="264663.96215037536"/>
    <n v="500527.00238233362"/>
    <n v="1320188.3416487782"/>
  </r>
  <r>
    <s v="Sistema de Compensação"/>
    <x v="2"/>
    <x v="0"/>
    <x v="4"/>
    <x v="0"/>
    <x v="0"/>
    <x v="0"/>
    <x v="0"/>
    <x v="7"/>
    <n v="4000"/>
    <n v="4000"/>
    <n v="922.45799999999997"/>
    <n v="922.45799999999997"/>
    <n v="922.45799999999997"/>
    <n v="922.45799999999997"/>
    <n v="0"/>
    <x v="0"/>
    <n v="0"/>
    <n v="22"/>
    <n v="23"/>
    <n v="82"/>
    <n v="8.81"/>
    <n v="84.45"/>
    <n v="256.38"/>
    <n v="11.452356648653195"/>
    <n v="87.520205040180812"/>
    <n v="230.84299908458948"/>
    <n v="35240"/>
    <n v="77901.578099999999"/>
    <n v="236499.78203999999"/>
    <n v="45809.426594612778"/>
    <n v="80733.713300955103"/>
    <n v="212942.97124957223"/>
  </r>
  <r>
    <s v="Regular"/>
    <x v="2"/>
    <x v="0"/>
    <x v="4"/>
    <x v="0"/>
    <x v="0"/>
    <x v="0"/>
    <x v="0"/>
    <x v="8"/>
    <n v="20895"/>
    <n v="20895"/>
    <n v="4849.9889999999996"/>
    <n v="4849.9889999999996"/>
    <n v="4849.9889999999996"/>
    <n v="4849.9889999999996"/>
    <n v="0"/>
    <x v="0"/>
    <n v="0"/>
    <n v="22"/>
    <n v="23"/>
    <n v="82"/>
    <n v="8.81"/>
    <n v="84.45"/>
    <n v="256.38"/>
    <n v="11.452356648653195"/>
    <n v="87.520205040180812"/>
    <n v="230.84299908458948"/>
    <n v="184084.95"/>
    <n v="409581.57104999997"/>
    <n v="1243440.17982"/>
    <n v="239296.99217360851"/>
    <n v="424472.03172262147"/>
    <n v="1119586.0062872691"/>
  </r>
  <r>
    <s v="Sistema de Compensação"/>
    <x v="2"/>
    <x v="0"/>
    <x v="4"/>
    <x v="0"/>
    <x v="0"/>
    <x v="0"/>
    <x v="0"/>
    <x v="8"/>
    <n v="4000"/>
    <n v="4000"/>
    <n v="905.51099999999997"/>
    <n v="905.51099999999997"/>
    <n v="905.51099999999997"/>
    <n v="905.51099999999997"/>
    <n v="0"/>
    <x v="0"/>
    <n v="0"/>
    <n v="22"/>
    <n v="23"/>
    <n v="82"/>
    <n v="8.81"/>
    <n v="84.45"/>
    <n v="256.38"/>
    <n v="11.452356648653195"/>
    <n v="87.520205040180812"/>
    <n v="230.84299908458948"/>
    <n v="35240"/>
    <n v="76470.403949999993"/>
    <n v="232154.91017999998"/>
    <n v="45809.426594612778"/>
    <n v="79250.508386139161"/>
    <n v="209030.87494408569"/>
  </r>
  <r>
    <s v="Regular"/>
    <x v="2"/>
    <x v="0"/>
    <x v="4"/>
    <x v="0"/>
    <x v="0"/>
    <x v="0"/>
    <x v="0"/>
    <x v="9"/>
    <n v="20990"/>
    <n v="20990"/>
    <n v="4534.7700000000004"/>
    <n v="4534.7700000000004"/>
    <n v="4534.7700000000004"/>
    <n v="4534.7700000000004"/>
    <n v="0"/>
    <x v="0"/>
    <n v="0"/>
    <n v="22"/>
    <n v="23"/>
    <n v="82"/>
    <n v="8.81"/>
    <n v="84.45"/>
    <n v="256.38"/>
    <n v="11.452356648653195"/>
    <n v="87.520205040180812"/>
    <n v="230.84299908458948"/>
    <n v="184921.90000000002"/>
    <n v="382961.32650000002"/>
    <n v="1162624.3326000001"/>
    <n v="240384.96605523056"/>
    <n v="396884.0002100608"/>
    <n v="1046819.9069588239"/>
  </r>
  <r>
    <s v="Sistema de Compensação"/>
    <x v="2"/>
    <x v="0"/>
    <x v="4"/>
    <x v="0"/>
    <x v="0"/>
    <x v="0"/>
    <x v="0"/>
    <x v="9"/>
    <n v="4000"/>
    <n v="4000"/>
    <n v="827.35599999999999"/>
    <n v="827.35599999999999"/>
    <n v="827.35599999999999"/>
    <n v="827.35599999999999"/>
    <n v="0"/>
    <x v="0"/>
    <n v="0"/>
    <n v="22"/>
    <n v="23"/>
    <n v="82"/>
    <n v="8.81"/>
    <n v="84.45"/>
    <n v="256.38"/>
    <n v="11.452356648653195"/>
    <n v="87.520205040180812"/>
    <n v="230.84299908458948"/>
    <n v="35240"/>
    <n v="69870.214200000002"/>
    <n v="212117.53128"/>
    <n v="45809.426594612778"/>
    <n v="72410.366761223835"/>
    <n v="190989.34035062962"/>
  </r>
  <r>
    <s v="Regular"/>
    <x v="2"/>
    <x v="0"/>
    <x v="4"/>
    <x v="0"/>
    <x v="0"/>
    <x v="0"/>
    <x v="0"/>
    <x v="10"/>
    <n v="21718"/>
    <n v="21718"/>
    <n v="4912.1769999999997"/>
    <n v="4912.1769999999997"/>
    <n v="4912.1769999999997"/>
    <n v="4912.1769999999997"/>
    <n v="0"/>
    <x v="0"/>
    <n v="0"/>
    <n v="22"/>
    <n v="23"/>
    <n v="82"/>
    <n v="8.81"/>
    <n v="84.45"/>
    <n v="256.38"/>
    <n v="11.452356648653195"/>
    <n v="87.520205040180812"/>
    <n v="230.84299908458948"/>
    <n v="191335.58000000002"/>
    <n v="414833.34765000001"/>
    <n v="1259383.9392599999"/>
    <n v="248722.2816954501"/>
    <n v="429914.73823366023"/>
    <n v="1133941.6707143413"/>
  </r>
  <r>
    <s v="Sistema de Compensação"/>
    <x v="2"/>
    <x v="0"/>
    <x v="4"/>
    <x v="0"/>
    <x v="0"/>
    <x v="0"/>
    <x v="0"/>
    <x v="10"/>
    <n v="4000"/>
    <n v="4000"/>
    <n v="869.70100000000002"/>
    <n v="869.70100000000002"/>
    <n v="869.70100000000002"/>
    <n v="869.70100000000002"/>
    <n v="0"/>
    <x v="0"/>
    <n v="0"/>
    <n v="22"/>
    <n v="23"/>
    <n v="82"/>
    <n v="8.81"/>
    <n v="84.45"/>
    <n v="256.38"/>
    <n v="11.452356648653195"/>
    <n v="87.520205040180812"/>
    <n v="230.84299908458948"/>
    <n v="35240"/>
    <n v="73446.249450000003"/>
    <n v="222973.94237999999"/>
    <n v="45809.426594612778"/>
    <n v="76116.409843650297"/>
    <n v="200764.38714686656"/>
  </r>
  <r>
    <s v="PROJETADO"/>
    <x v="2"/>
    <x v="0"/>
    <x v="4"/>
    <x v="0"/>
    <x v="0"/>
    <x v="0"/>
    <x v="0"/>
    <x v="11"/>
    <n v="21718"/>
    <n v="21718"/>
    <n v="4912.1769999999997"/>
    <n v="4912.1769999999997"/>
    <n v="4912.1769999999997"/>
    <n v="4912.1769999999997"/>
    <n v="0"/>
    <x v="0"/>
    <n v="0"/>
    <n v="22"/>
    <n v="23"/>
    <n v="82"/>
    <n v="8.81"/>
    <n v="84.45"/>
    <n v="256.38"/>
    <n v="11.452356648653195"/>
    <n v="87.520205040180812"/>
    <n v="230.84299908458948"/>
    <n v="191335.58000000002"/>
    <n v="414833.34765000001"/>
    <n v="1259383.9392599999"/>
    <n v="248722.2816954501"/>
    <n v="429914.73823366023"/>
    <n v="1133941.6707143413"/>
  </r>
  <r>
    <s v="PROJETADO"/>
    <x v="2"/>
    <x v="0"/>
    <x v="4"/>
    <x v="0"/>
    <x v="0"/>
    <x v="0"/>
    <x v="0"/>
    <x v="11"/>
    <n v="4000"/>
    <n v="4000"/>
    <n v="869.70100000000002"/>
    <n v="869.70100000000002"/>
    <n v="869.70100000000002"/>
    <n v="869.70100000000002"/>
    <n v="0"/>
    <x v="0"/>
    <n v="0"/>
    <n v="22"/>
    <n v="23"/>
    <n v="82"/>
    <n v="8.81"/>
    <n v="84.45"/>
    <n v="256.38"/>
    <n v="11.452356648653195"/>
    <n v="87.520205040180812"/>
    <n v="230.84299908458948"/>
    <n v="35240"/>
    <n v="73446.249450000003"/>
    <n v="222973.94237999999"/>
    <n v="45809.426594612778"/>
    <n v="76116.409843650297"/>
    <n v="200764.38714686656"/>
  </r>
  <r>
    <s v="Regular"/>
    <x v="2"/>
    <x v="0"/>
    <x v="4"/>
    <x v="0"/>
    <x v="0"/>
    <x v="0"/>
    <x v="1"/>
    <x v="0"/>
    <n v="18092"/>
    <n v="18092"/>
    <n v="699.43499999999995"/>
    <n v="699.43499999999995"/>
    <n v="699.43499999999995"/>
    <n v="699.43499999999995"/>
    <n v="0"/>
    <x v="0"/>
    <n v="0"/>
    <n v="21"/>
    <n v="23"/>
    <n v="81"/>
    <n v="22.94"/>
    <n v="84.45"/>
    <n v="430.87"/>
    <n v="27.216283196676113"/>
    <n v="87.520205040180812"/>
    <n v="375.70671275609089"/>
    <n v="415030.48000000004"/>
    <n v="59067.285749999995"/>
    <n v="301365.55844999995"/>
    <n v="492396.99559426424"/>
    <n v="61214.694612278865"/>
    <n v="262782.42463655642"/>
  </r>
  <r>
    <s v="Sistema de Compensação"/>
    <x v="2"/>
    <x v="0"/>
    <x v="4"/>
    <x v="0"/>
    <x v="0"/>
    <x v="0"/>
    <x v="1"/>
    <x v="0"/>
    <n v="2850"/>
    <n v="2850"/>
    <n v="0"/>
    <n v="0"/>
    <n v="0"/>
    <n v="0"/>
    <n v="0"/>
    <x v="0"/>
    <n v="0"/>
    <n v="21"/>
    <n v="0"/>
    <n v="0"/>
    <n v="22.94"/>
    <n v="0"/>
    <n v="0"/>
    <n v="27.216283196676113"/>
    <n v="87.520205040180812"/>
    <n v="375.70671275609089"/>
    <n v="65379.000000000007"/>
    <n v="0"/>
    <n v="0"/>
    <n v="77566.407110526925"/>
    <n v="0"/>
    <n v="0"/>
  </r>
  <r>
    <s v="Regular"/>
    <x v="2"/>
    <x v="0"/>
    <x v="4"/>
    <x v="0"/>
    <x v="0"/>
    <x v="0"/>
    <x v="1"/>
    <x v="1"/>
    <n v="18162"/>
    <n v="18162"/>
    <n v="747.22299999999996"/>
    <n v="747.22299999999996"/>
    <n v="747.22299999999996"/>
    <n v="747.22299999999996"/>
    <n v="0"/>
    <x v="0"/>
    <n v="0"/>
    <n v="21"/>
    <n v="23"/>
    <n v="81"/>
    <n v="22.94"/>
    <n v="84.45"/>
    <n v="430.87"/>
    <n v="27.216283196676113"/>
    <n v="87.520205040180812"/>
    <n v="375.70671275609089"/>
    <n v="416636.28"/>
    <n v="63102.982349999998"/>
    <n v="321955.97401000001"/>
    <n v="494302.13541803154"/>
    <n v="65397.110170739026"/>
    <n v="280736.69702574448"/>
  </r>
  <r>
    <s v="Sistema de Compensação"/>
    <x v="2"/>
    <x v="0"/>
    <x v="4"/>
    <x v="0"/>
    <x v="0"/>
    <x v="0"/>
    <x v="1"/>
    <x v="1"/>
    <n v="2850"/>
    <n v="2850"/>
    <n v="214.26499999999999"/>
    <n v="214.26499999999999"/>
    <n v="214.26499999999999"/>
    <n v="214.26499999999999"/>
    <n v="0"/>
    <x v="0"/>
    <n v="0"/>
    <n v="21"/>
    <n v="23"/>
    <n v="81"/>
    <n v="22.94"/>
    <n v="84.45"/>
    <n v="430.87"/>
    <n v="27.216283196676113"/>
    <n v="87.520205040180812"/>
    <n v="375.70671275609089"/>
    <n v="65379.000000000007"/>
    <n v="18094.679250000001"/>
    <n v="92320.360549999998"/>
    <n v="77566.407110526925"/>
    <n v="18752.516732934342"/>
    <n v="80500.798808683816"/>
  </r>
  <r>
    <s v="Regular"/>
    <x v="2"/>
    <x v="0"/>
    <x v="4"/>
    <x v="0"/>
    <x v="0"/>
    <x v="0"/>
    <x v="1"/>
    <x v="2"/>
    <n v="17926"/>
    <n v="17926"/>
    <n v="651.02800000000002"/>
    <n v="651.02800000000002"/>
    <n v="651.02800000000002"/>
    <n v="651.02800000000002"/>
    <n v="0"/>
    <x v="0"/>
    <n v="0"/>
    <n v="21"/>
    <n v="23"/>
    <n v="81"/>
    <n v="22.94"/>
    <n v="84.45"/>
    <n v="430.87"/>
    <n v="27.216283196676113"/>
    <n v="87.520205040180812"/>
    <n v="375.70671275609089"/>
    <n v="411222.44"/>
    <n v="54979.314600000005"/>
    <n v="280508.43436000001"/>
    <n v="487879.09258361597"/>
    <n v="56978.104046898836"/>
    <n v="244595.58979217234"/>
  </r>
  <r>
    <s v="Sistema de Compensação"/>
    <x v="2"/>
    <x v="0"/>
    <x v="4"/>
    <x v="0"/>
    <x v="0"/>
    <x v="0"/>
    <x v="1"/>
    <x v="2"/>
    <n v="2850"/>
    <n v="2850"/>
    <n v="182.221"/>
    <n v="182.221"/>
    <n v="182.221"/>
    <n v="182.221"/>
    <n v="0"/>
    <x v="0"/>
    <n v="0"/>
    <n v="21"/>
    <n v="23"/>
    <n v="81"/>
    <n v="22.94"/>
    <n v="84.45"/>
    <n v="430.87"/>
    <n v="27.216283196676113"/>
    <n v="87.520205040180812"/>
    <n v="375.70671275609089"/>
    <n v="65379.000000000007"/>
    <n v="15388.563450000001"/>
    <n v="78513.562270000009"/>
    <n v="77566.407110526925"/>
    <n v="15948.019282626788"/>
    <n v="68461.652905127645"/>
  </r>
  <r>
    <s v="Regular"/>
    <x v="2"/>
    <x v="0"/>
    <x v="4"/>
    <x v="0"/>
    <x v="0"/>
    <x v="0"/>
    <x v="1"/>
    <x v="3"/>
    <n v="17988"/>
    <n v="17988"/>
    <n v="619.58100000000002"/>
    <n v="619.58100000000002"/>
    <n v="619.58100000000002"/>
    <n v="619.58100000000002"/>
    <n v="0"/>
    <x v="0"/>
    <n v="0"/>
    <n v="21"/>
    <n v="23"/>
    <n v="81"/>
    <n v="22.94"/>
    <n v="84.45"/>
    <n v="430.87"/>
    <n v="27.216283196676113"/>
    <n v="87.520205040180812"/>
    <n v="375.70671275609089"/>
    <n v="412644.72000000003"/>
    <n v="52323.615450000005"/>
    <n v="266958.86547000002"/>
    <n v="489566.50214180991"/>
    <n v="54225.856159000272"/>
    <n v="232780.74079613155"/>
  </r>
  <r>
    <s v="Sistema de Compensação"/>
    <x v="2"/>
    <x v="0"/>
    <x v="4"/>
    <x v="0"/>
    <x v="0"/>
    <x v="0"/>
    <x v="1"/>
    <x v="3"/>
    <n v="2850"/>
    <n v="2850"/>
    <n v="121.217"/>
    <n v="121.217"/>
    <n v="121.217"/>
    <n v="121.217"/>
    <n v="0"/>
    <x v="0"/>
    <n v="0"/>
    <n v="21"/>
    <n v="23"/>
    <n v="81"/>
    <n v="22.94"/>
    <n v="84.45"/>
    <n v="430.87"/>
    <n v="27.216283196676113"/>
    <n v="87.520205040180812"/>
    <n v="375.70671275609089"/>
    <n v="65379.000000000007"/>
    <n v="10236.77565"/>
    <n v="52228.768790000002"/>
    <n v="77566.407110526925"/>
    <n v="10608.936694355598"/>
    <n v="45542.040600155073"/>
  </r>
  <r>
    <s v="Regular"/>
    <x v="2"/>
    <x v="0"/>
    <x v="4"/>
    <x v="0"/>
    <x v="0"/>
    <x v="0"/>
    <x v="1"/>
    <x v="4"/>
    <n v="18234"/>
    <n v="18234"/>
    <n v="661.69299999999998"/>
    <n v="661.69299999999998"/>
    <n v="661.69299999999998"/>
    <n v="661.69299999999998"/>
    <n v="0"/>
    <x v="0"/>
    <n v="0"/>
    <n v="21"/>
    <n v="23"/>
    <n v="81"/>
    <n v="22.94"/>
    <n v="84.45"/>
    <n v="430.87"/>
    <n v="27.216283196676113"/>
    <n v="87.520205040180812"/>
    <n v="375.70671275609089"/>
    <n v="418287.96"/>
    <n v="55879.973850000002"/>
    <n v="285103.66291000001"/>
    <n v="496261.70780819224"/>
    <n v="57911.507033652364"/>
    <n v="248602.50188371603"/>
  </r>
  <r>
    <s v="Sistema de Compensação"/>
    <x v="2"/>
    <x v="0"/>
    <x v="4"/>
    <x v="0"/>
    <x v="0"/>
    <x v="0"/>
    <x v="1"/>
    <x v="4"/>
    <n v="2850"/>
    <n v="2850"/>
    <n v="157.667"/>
    <n v="157.667"/>
    <n v="157.667"/>
    <n v="157.667"/>
    <n v="0"/>
    <x v="0"/>
    <n v="0"/>
    <n v="21"/>
    <n v="23"/>
    <n v="81"/>
    <n v="22.94"/>
    <n v="84.45"/>
    <n v="430.87"/>
    <n v="27.216283196676113"/>
    <n v="87.520205040180812"/>
    <n v="375.70671275609089"/>
    <n v="65379.000000000007"/>
    <n v="13314.978150000001"/>
    <n v="67933.980290000007"/>
    <n v="77566.407110526925"/>
    <n v="13799.048168070189"/>
    <n v="59236.550280114585"/>
  </r>
  <r>
    <s v="Regular"/>
    <x v="2"/>
    <x v="0"/>
    <x v="4"/>
    <x v="0"/>
    <x v="0"/>
    <x v="0"/>
    <x v="1"/>
    <x v="5"/>
    <n v="17725"/>
    <n v="17725"/>
    <n v="598.202"/>
    <n v="598.202"/>
    <n v="598.202"/>
    <n v="598.202"/>
    <n v="0"/>
    <x v="0"/>
    <n v="0"/>
    <n v="21"/>
    <n v="23"/>
    <n v="81"/>
    <n v="22.94"/>
    <n v="84.45"/>
    <n v="430.87"/>
    <n v="27.216283196676113"/>
    <n v="87.520205040180812"/>
    <n v="375.70671275609089"/>
    <n v="406611.5"/>
    <n v="50518.158900000002"/>
    <n v="257747.29574"/>
    <n v="482408.61966108409"/>
    <n v="52354.761695446243"/>
    <n v="224748.50698411907"/>
  </r>
  <r>
    <s v="Sistema de Compensação"/>
    <x v="2"/>
    <x v="0"/>
    <x v="4"/>
    <x v="0"/>
    <x v="0"/>
    <x v="0"/>
    <x v="1"/>
    <x v="5"/>
    <n v="2850"/>
    <n v="2850"/>
    <n v="134.505"/>
    <n v="134.505"/>
    <n v="134.505"/>
    <n v="134.505"/>
    <n v="0"/>
    <x v="0"/>
    <n v="0"/>
    <n v="21"/>
    <n v="23"/>
    <n v="81"/>
    <n v="22.94"/>
    <n v="84.45"/>
    <n v="430.87"/>
    <n v="27.216283196676113"/>
    <n v="87.520205040180812"/>
    <n v="375.70671275609089"/>
    <n v="65379.000000000007"/>
    <n v="11358.947249999999"/>
    <n v="57954.169349999996"/>
    <n v="77566.407110526925"/>
    <n v="11771.905178929519"/>
    <n v="50534.431399258006"/>
  </r>
  <r>
    <s v="Regular"/>
    <x v="2"/>
    <x v="0"/>
    <x v="4"/>
    <x v="0"/>
    <x v="0"/>
    <x v="0"/>
    <x v="1"/>
    <x v="6"/>
    <n v="16958"/>
    <n v="16958"/>
    <n v="613.08199999999999"/>
    <n v="613.08199999999999"/>
    <n v="613.08199999999999"/>
    <n v="613.08199999999999"/>
    <n v="0"/>
    <x v="0"/>
    <n v="0"/>
    <n v="21"/>
    <n v="23"/>
    <n v="81"/>
    <n v="22.94"/>
    <n v="84.45"/>
    <n v="430.87"/>
    <n v="27.216283196676113"/>
    <n v="87.520205040180812"/>
    <n v="375.70671275609089"/>
    <n v="389016.52"/>
    <n v="51774.774900000004"/>
    <n v="264158.64133999997"/>
    <n v="461533.7304492335"/>
    <n v="53657.062346444131"/>
    <n v="230339.02286992973"/>
  </r>
  <r>
    <s v="Sistema de Compensação"/>
    <x v="2"/>
    <x v="0"/>
    <x v="4"/>
    <x v="0"/>
    <x v="0"/>
    <x v="0"/>
    <x v="1"/>
    <x v="6"/>
    <n v="2850"/>
    <n v="2850"/>
    <n v="122.187"/>
    <n v="122.187"/>
    <n v="122.187"/>
    <n v="122.187"/>
    <n v="0"/>
    <x v="0"/>
    <n v="0"/>
    <n v="21"/>
    <n v="23"/>
    <n v="81"/>
    <n v="22.94"/>
    <n v="84.45"/>
    <n v="430.87"/>
    <n v="27.216283196676113"/>
    <n v="87.520205040180812"/>
    <n v="375.70671275609089"/>
    <n v="65379.000000000007"/>
    <n v="10318.692150000001"/>
    <n v="52646.71269"/>
    <n v="77566.407110526925"/>
    <n v="10693.831293244573"/>
    <n v="45906.476111528478"/>
  </r>
  <r>
    <s v="Regular"/>
    <x v="2"/>
    <x v="0"/>
    <x v="4"/>
    <x v="0"/>
    <x v="0"/>
    <x v="0"/>
    <x v="1"/>
    <x v="7"/>
    <n v="17429"/>
    <n v="17429"/>
    <n v="546.54600000000005"/>
    <n v="546.54600000000005"/>
    <n v="546.54600000000005"/>
    <n v="546.54600000000005"/>
    <n v="0"/>
    <x v="0"/>
    <n v="0"/>
    <n v="21"/>
    <n v="23"/>
    <n v="81"/>
    <n v="22.94"/>
    <n v="84.45"/>
    <n v="430.87"/>
    <n v="27.216283196676113"/>
    <n v="87.520205040180812"/>
    <n v="375.70671275609089"/>
    <n v="399821.26"/>
    <n v="46155.809700000005"/>
    <n v="235490.27502000003"/>
    <n v="474352.59983486799"/>
    <n v="47833.817983890665"/>
    <n v="205341.00102999047"/>
  </r>
  <r>
    <s v="Sistema de Compensação"/>
    <x v="2"/>
    <x v="0"/>
    <x v="4"/>
    <x v="0"/>
    <x v="0"/>
    <x v="0"/>
    <x v="1"/>
    <x v="7"/>
    <n v="2850"/>
    <n v="2850"/>
    <n v="89.007999999999996"/>
    <n v="89.007999999999996"/>
    <n v="89.007999999999996"/>
    <n v="89.007999999999996"/>
    <n v="0"/>
    <x v="0"/>
    <n v="0"/>
    <n v="21"/>
    <n v="23"/>
    <n v="81"/>
    <n v="22.94"/>
    <n v="84.45"/>
    <n v="430.87"/>
    <n v="27.216283196676113"/>
    <n v="87.520205040180812"/>
    <n v="375.70671275609089"/>
    <n v="65379.000000000007"/>
    <n v="7516.7255999999998"/>
    <n v="38350.876960000001"/>
    <n v="77566.407110526925"/>
    <n v="7789.9984102164135"/>
    <n v="33440.903088994135"/>
  </r>
  <r>
    <s v="Regular"/>
    <x v="2"/>
    <x v="0"/>
    <x v="4"/>
    <x v="0"/>
    <x v="0"/>
    <x v="0"/>
    <x v="1"/>
    <x v="8"/>
    <n v="15365"/>
    <n v="15365"/>
    <n v="495.63"/>
    <n v="495.63"/>
    <n v="495.63"/>
    <n v="495.63"/>
    <n v="0"/>
    <x v="0"/>
    <n v="0"/>
    <n v="21"/>
    <n v="23"/>
    <n v="81"/>
    <n v="22.94"/>
    <n v="84.45"/>
    <n v="430.87"/>
    <n v="27.216283196676113"/>
    <n v="87.520205040180812"/>
    <n v="375.70671275609089"/>
    <n v="352473.10000000003"/>
    <n v="41855.953500000003"/>
    <n v="213552.0981"/>
    <n v="418178.19131692848"/>
    <n v="43377.639224064813"/>
    <n v="186211.51804330133"/>
  </r>
  <r>
    <s v="Sistema de Compensação"/>
    <x v="2"/>
    <x v="0"/>
    <x v="4"/>
    <x v="0"/>
    <x v="0"/>
    <x v="0"/>
    <x v="1"/>
    <x v="8"/>
    <n v="2850"/>
    <n v="2850"/>
    <n v="99.540999999999997"/>
    <n v="99.540999999999997"/>
    <n v="99.540999999999997"/>
    <n v="99.540999999999997"/>
    <n v="0"/>
    <x v="0"/>
    <n v="0"/>
    <n v="21"/>
    <n v="23"/>
    <n v="81"/>
    <n v="22.94"/>
    <n v="84.45"/>
    <n v="430.87"/>
    <n v="27.216283196676113"/>
    <n v="87.520205040180812"/>
    <n v="375.70671275609089"/>
    <n v="65379.000000000007"/>
    <n v="8406.2374500000005"/>
    <n v="42889.230669999997"/>
    <n v="77566.407110526925"/>
    <n v="8711.8487299046374"/>
    <n v="37398.221894454044"/>
  </r>
  <r>
    <s v="Regular"/>
    <x v="2"/>
    <x v="0"/>
    <x v="4"/>
    <x v="0"/>
    <x v="0"/>
    <x v="0"/>
    <x v="1"/>
    <x v="9"/>
    <n v="15401"/>
    <n v="15401"/>
    <n v="467.98599999999999"/>
    <n v="467.98599999999999"/>
    <n v="467.98599999999999"/>
    <n v="467.98599999999999"/>
    <n v="0"/>
    <x v="0"/>
    <n v="0"/>
    <n v="21"/>
    <n v="23"/>
    <n v="81"/>
    <n v="22.94"/>
    <n v="84.45"/>
    <n v="430.87"/>
    <n v="27.216283196676113"/>
    <n v="87.520205040180812"/>
    <n v="375.70671275609089"/>
    <n v="353298.94"/>
    <n v="39521.417699999998"/>
    <n v="201641.12781999999"/>
    <n v="419157.9775120088"/>
    <n v="40958.230675934057"/>
    <n v="175825.48167587194"/>
  </r>
  <r>
    <s v="Sistema de Compensação"/>
    <x v="2"/>
    <x v="0"/>
    <x v="4"/>
    <x v="0"/>
    <x v="0"/>
    <x v="0"/>
    <x v="1"/>
    <x v="9"/>
    <n v="2850"/>
    <n v="2850"/>
    <n v="91.08"/>
    <n v="91.08"/>
    <n v="91.08"/>
    <n v="91.08"/>
    <n v="0"/>
    <x v="0"/>
    <n v="0"/>
    <n v="21"/>
    <n v="23"/>
    <n v="81"/>
    <n v="22.94"/>
    <n v="84.45"/>
    <n v="430.87"/>
    <n v="27.216283196676113"/>
    <n v="87.520205040180812"/>
    <n v="375.70671275609089"/>
    <n v="65379.000000000007"/>
    <n v="7691.7060000000001"/>
    <n v="39243.639600000002"/>
    <n v="77566.407110526925"/>
    <n v="7971.3402750596679"/>
    <n v="34219.367397824761"/>
  </r>
  <r>
    <s v="Regular"/>
    <x v="2"/>
    <x v="0"/>
    <x v="4"/>
    <x v="0"/>
    <x v="0"/>
    <x v="0"/>
    <x v="1"/>
    <x v="10"/>
    <n v="16120"/>
    <n v="16120"/>
    <n v="526.04200000000003"/>
    <n v="526.04200000000003"/>
    <n v="526.04200000000003"/>
    <n v="526.04200000000003"/>
    <n v="0"/>
    <x v="0"/>
    <n v="0"/>
    <n v="21"/>
    <n v="23"/>
    <n v="81"/>
    <n v="22.94"/>
    <n v="84.45"/>
    <n v="430.87"/>
    <n v="27.216283196676113"/>
    <n v="87.520205040180812"/>
    <n v="375.70671275609089"/>
    <n v="369792.80000000005"/>
    <n v="44424.246900000006"/>
    <n v="226655.71654000002"/>
    <n v="438726.48513041891"/>
    <n v="46039.303699746801"/>
    <n v="197637.51059163958"/>
  </r>
  <r>
    <s v="Sistema de Compensação"/>
    <x v="2"/>
    <x v="0"/>
    <x v="4"/>
    <x v="0"/>
    <x v="0"/>
    <x v="0"/>
    <x v="1"/>
    <x v="10"/>
    <n v="2850"/>
    <n v="2850"/>
    <n v="101.96599999999999"/>
    <n v="101.96599999999999"/>
    <n v="101.96599999999999"/>
    <n v="101.96599999999999"/>
    <n v="0"/>
    <x v="0"/>
    <n v="0"/>
    <n v="21"/>
    <n v="23"/>
    <n v="81"/>
    <n v="22.94"/>
    <n v="84.45"/>
    <n v="430.87"/>
    <n v="27.216283196676113"/>
    <n v="87.520205040180812"/>
    <n v="375.70671275609089"/>
    <n v="65379.000000000007"/>
    <n v="8611.0286999999989"/>
    <n v="43934.09042"/>
    <n v="77566.407110526925"/>
    <n v="8924.085227127076"/>
    <n v="38309.310672887565"/>
  </r>
  <r>
    <s v="PROJETADO"/>
    <x v="2"/>
    <x v="0"/>
    <x v="4"/>
    <x v="0"/>
    <x v="0"/>
    <x v="0"/>
    <x v="1"/>
    <x v="11"/>
    <n v="16120"/>
    <n v="16120"/>
    <n v="526.04200000000003"/>
    <n v="526.04200000000003"/>
    <n v="526.04200000000003"/>
    <n v="526.04200000000003"/>
    <n v="0"/>
    <x v="0"/>
    <n v="0"/>
    <n v="21"/>
    <n v="23"/>
    <n v="81"/>
    <n v="22.94"/>
    <n v="84.45"/>
    <n v="430.87"/>
    <n v="27.216283196676113"/>
    <n v="87.520205040180812"/>
    <n v="375.70671275609089"/>
    <n v="369792.80000000005"/>
    <n v="44424.246900000006"/>
    <n v="226655.71654000002"/>
    <n v="438726.48513041891"/>
    <n v="46039.303699746801"/>
    <n v="197637.51059163958"/>
  </r>
  <r>
    <s v="PROJETADO"/>
    <x v="2"/>
    <x v="0"/>
    <x v="4"/>
    <x v="0"/>
    <x v="0"/>
    <x v="0"/>
    <x v="1"/>
    <x v="11"/>
    <n v="2850"/>
    <n v="2850"/>
    <n v="101.96599999999999"/>
    <n v="101.96599999999999"/>
    <n v="101.96599999999999"/>
    <n v="101.96599999999999"/>
    <n v="0"/>
    <x v="0"/>
    <n v="0"/>
    <n v="21"/>
    <n v="23"/>
    <n v="81"/>
    <n v="22.94"/>
    <n v="84.45"/>
    <n v="430.87"/>
    <n v="27.216283196676113"/>
    <n v="87.520205040180812"/>
    <n v="375.70671275609089"/>
    <n v="65379.000000000007"/>
    <n v="8611.0286999999989"/>
    <n v="43934.09042"/>
    <n v="77566.407110526925"/>
    <n v="8924.085227127076"/>
    <n v="38309.310672887565"/>
  </r>
  <r>
    <s v="Regular"/>
    <x v="2"/>
    <x v="0"/>
    <x v="5"/>
    <x v="0"/>
    <x v="0"/>
    <x v="0"/>
    <x v="0"/>
    <x v="0"/>
    <n v="781"/>
    <n v="718.52"/>
    <n v="352.00299999999999"/>
    <n v="323.84276"/>
    <n v="352.00299999999999"/>
    <n v="323.84276"/>
    <n v="0"/>
    <x v="0"/>
    <n v="0"/>
    <n v="22"/>
    <n v="23"/>
    <n v="82"/>
    <n v="8.81"/>
    <n v="84.45"/>
    <n v="256.38"/>
    <n v="11.452356648653195"/>
    <n v="87.520205040180812"/>
    <n v="230.84299908458948"/>
    <n v="6330.1612000000005"/>
    <n v="27348.521081999999"/>
    <n v="83026.8068088"/>
    <n v="8228.7472991902941"/>
    <n v="28342.784755978064"/>
    <n v="74756.833950230925"/>
  </r>
  <r>
    <s v="Regular"/>
    <x v="2"/>
    <x v="0"/>
    <x v="5"/>
    <x v="0"/>
    <x v="0"/>
    <x v="0"/>
    <x v="0"/>
    <x v="1"/>
    <n v="779"/>
    <n v="716.68000000000006"/>
    <n v="325.995"/>
    <n v="299.91540000000003"/>
    <n v="325.995"/>
    <n v="299.91540000000003"/>
    <n v="0"/>
    <x v="0"/>
    <n v="0"/>
    <n v="22"/>
    <n v="23"/>
    <n v="82"/>
    <n v="8.81"/>
    <n v="84.45"/>
    <n v="256.38"/>
    <n v="11.452356648653195"/>
    <n v="87.520205040180812"/>
    <n v="230.84299908458948"/>
    <n v="6313.9508000000005"/>
    <n v="25327.855530000004"/>
    <n v="76892.31025200001"/>
    <n v="8207.674962956773"/>
    <n v="26248.657302707848"/>
    <n v="69233.370407654293"/>
  </r>
  <r>
    <s v="Regular"/>
    <x v="2"/>
    <x v="0"/>
    <x v="5"/>
    <x v="0"/>
    <x v="0"/>
    <x v="0"/>
    <x v="0"/>
    <x v="2"/>
    <n v="733"/>
    <n v="674.36"/>
    <n v="297.36099999999999"/>
    <n v="273.57211999999998"/>
    <n v="297.36099999999999"/>
    <n v="273.57211999999998"/>
    <n v="0"/>
    <x v="0"/>
    <n v="0"/>
    <n v="22"/>
    <n v="23"/>
    <n v="82"/>
    <n v="8.81"/>
    <n v="84.45"/>
    <n v="256.38"/>
    <n v="11.452356648653195"/>
    <n v="87.520205040180812"/>
    <n v="230.84299908458948"/>
    <n v="5941.1116000000002"/>
    <n v="23103.165534"/>
    <n v="70138.420125599994"/>
    <n v="7723.0112295857689"/>
    <n v="23943.088035676948"/>
    <n v="63152.208646729203"/>
  </r>
  <r>
    <s v="Regular"/>
    <x v="2"/>
    <x v="0"/>
    <x v="5"/>
    <x v="0"/>
    <x v="0"/>
    <x v="0"/>
    <x v="0"/>
    <x v="3"/>
    <n v="722"/>
    <n v="664.24"/>
    <n v="328.46"/>
    <n v="302.1832"/>
    <n v="328.46"/>
    <n v="302.1832"/>
    <n v="0"/>
    <x v="0"/>
    <n v="0"/>
    <n v="22"/>
    <n v="23"/>
    <n v="82"/>
    <n v="8.81"/>
    <n v="84.45"/>
    <n v="256.38"/>
    <n v="11.452356648653195"/>
    <n v="87.520205040180812"/>
    <n v="230.84299908458948"/>
    <n v="5851.9544000000005"/>
    <n v="25519.37124"/>
    <n v="77473.728816000003"/>
    <n v="7607.1133803013981"/>
    <n v="26447.135623697966"/>
    <n v="69756.876160978325"/>
  </r>
  <r>
    <s v="Regular"/>
    <x v="2"/>
    <x v="0"/>
    <x v="5"/>
    <x v="0"/>
    <x v="0"/>
    <x v="0"/>
    <x v="0"/>
    <x v="4"/>
    <n v="777"/>
    <n v="714.84"/>
    <n v="318.10399999999998"/>
    <n v="292.65568000000002"/>
    <n v="318.10399999999998"/>
    <n v="292.65568000000002"/>
    <n v="0"/>
    <x v="0"/>
    <n v="0"/>
    <n v="22"/>
    <n v="23"/>
    <n v="82"/>
    <n v="8.81"/>
    <n v="84.45"/>
    <n v="256.38"/>
    <n v="11.452356648653195"/>
    <n v="87.520205040180812"/>
    <n v="230.84299908458948"/>
    <n v="6297.7404000000006"/>
    <n v="24714.772176000002"/>
    <n v="75031.063238400006"/>
    <n v="8186.6026267232501"/>
    <n v="25613.285119773544"/>
    <n v="67557.514870339917"/>
  </r>
  <r>
    <s v="Regular"/>
    <x v="2"/>
    <x v="0"/>
    <x v="5"/>
    <x v="0"/>
    <x v="0"/>
    <x v="0"/>
    <x v="0"/>
    <x v="5"/>
    <n v="825"/>
    <n v="759"/>
    <n v="318.88499999999999"/>
    <n v="293.37420000000003"/>
    <n v="318.88499999999999"/>
    <n v="293.37420000000003"/>
    <n v="0"/>
    <x v="0"/>
    <n v="0"/>
    <n v="22"/>
    <n v="23"/>
    <n v="82"/>
    <n v="8.81"/>
    <n v="84.45"/>
    <n v="256.38"/>
    <n v="11.452356648653195"/>
    <n v="87.520205040180812"/>
    <n v="230.84299908458948"/>
    <n v="6686.79"/>
    <n v="24775.451190000003"/>
    <n v="75215.277396000005"/>
    <n v="8692.3386963277753"/>
    <n v="25676.170137499015"/>
    <n v="67723.38018204218"/>
  </r>
  <r>
    <s v="Regular"/>
    <x v="2"/>
    <x v="0"/>
    <x v="5"/>
    <x v="0"/>
    <x v="0"/>
    <x v="0"/>
    <x v="0"/>
    <x v="6"/>
    <n v="773"/>
    <n v="711.16000000000008"/>
    <n v="327.36700000000002"/>
    <n v="301.17764000000005"/>
    <n v="327.36700000000002"/>
    <n v="301.17764000000005"/>
    <n v="0"/>
    <x v="0"/>
    <n v="0"/>
    <n v="22"/>
    <n v="23"/>
    <n v="82"/>
    <n v="8.81"/>
    <n v="84.45"/>
    <n v="256.38"/>
    <n v="11.452356648653195"/>
    <n v="87.520205040180812"/>
    <n v="230.84299908458948"/>
    <n v="6265.3196000000007"/>
    <n v="25434.451698000004"/>
    <n v="77215.923343200018"/>
    <n v="8144.4579542562069"/>
    <n v="26359.128806317767"/>
    <n v="69524.749674818828"/>
  </r>
  <r>
    <s v="Regular"/>
    <x v="2"/>
    <x v="0"/>
    <x v="5"/>
    <x v="0"/>
    <x v="0"/>
    <x v="0"/>
    <x v="0"/>
    <x v="7"/>
    <n v="775"/>
    <n v="713"/>
    <n v="275.20100000000002"/>
    <n v="253.18492000000003"/>
    <n v="275.20100000000002"/>
    <n v="253.18492000000003"/>
    <n v="0"/>
    <x v="0"/>
    <n v="0"/>
    <n v="22"/>
    <n v="23"/>
    <n v="82"/>
    <n v="8.81"/>
    <n v="84.45"/>
    <n v="256.38"/>
    <n v="11.452356648653195"/>
    <n v="87.520205040180812"/>
    <n v="230.84299908458948"/>
    <n v="6281.5300000000007"/>
    <n v="21381.466494000004"/>
    <n v="64911.549789600009"/>
    <n v="8165.530290489728"/>
    <n v="22158.796111481777"/>
    <n v="58445.966255791871"/>
  </r>
  <r>
    <s v="Regular"/>
    <x v="2"/>
    <x v="0"/>
    <x v="5"/>
    <x v="0"/>
    <x v="0"/>
    <x v="0"/>
    <x v="0"/>
    <x v="8"/>
    <n v="798"/>
    <n v="734.16000000000008"/>
    <n v="329.52300000000002"/>
    <n v="303.16116000000005"/>
    <n v="329.52300000000002"/>
    <n v="303.16116000000005"/>
    <n v="0"/>
    <x v="0"/>
    <n v="0"/>
    <n v="22"/>
    <n v="23"/>
    <n v="82"/>
    <n v="8.81"/>
    <n v="84.45"/>
    <n v="256.38"/>
    <n v="11.452356648653195"/>
    <n v="87.520205040180812"/>
    <n v="230.84299908458948"/>
    <n v="6467.9496000000008"/>
    <n v="25601.959962000004"/>
    <n v="77724.458200800014"/>
    <n v="8407.8621571752301"/>
    <n v="26532.726883419065"/>
    <n v="69982.631380363091"/>
  </r>
  <r>
    <s v="Regular"/>
    <x v="2"/>
    <x v="0"/>
    <x v="5"/>
    <x v="0"/>
    <x v="0"/>
    <x v="0"/>
    <x v="0"/>
    <x v="9"/>
    <n v="606"/>
    <n v="557.52"/>
    <n v="215.73699999999999"/>
    <n v="198.47803999999999"/>
    <n v="215.73699999999999"/>
    <n v="198.47803999999999"/>
    <n v="0"/>
    <x v="0"/>
    <n v="0"/>
    <n v="22"/>
    <n v="23"/>
    <n v="82"/>
    <n v="8.81"/>
    <n v="84.45"/>
    <n v="256.38"/>
    <n v="11.452356648653195"/>
    <n v="87.520205040180812"/>
    <n v="230.84299908458948"/>
    <n v="4911.7511999999997"/>
    <n v="16761.470477999999"/>
    <n v="50885.799895199998"/>
    <n v="6384.9178787571291"/>
    <n v="17370.83875677321"/>
    <n v="45817.26600603111"/>
  </r>
  <r>
    <s v="Refaturamento - Regular"/>
    <x v="2"/>
    <x v="0"/>
    <x v="5"/>
    <x v="0"/>
    <x v="0"/>
    <x v="0"/>
    <x v="0"/>
    <x v="9"/>
    <n v="245"/>
    <n v="225.4"/>
    <n v="0"/>
    <n v="0"/>
    <n v="0"/>
    <n v="0"/>
    <n v="0"/>
    <x v="0"/>
    <n v="0"/>
    <n v="22"/>
    <n v="0"/>
    <n v="0"/>
    <n v="8.81"/>
    <n v="0"/>
    <n v="0"/>
    <n v="11.452356648653195"/>
    <n v="87.520205040180812"/>
    <n v="230.84299908458948"/>
    <n v="1985.7740000000001"/>
    <n v="0"/>
    <n v="0"/>
    <n v="2581.3611886064305"/>
    <n v="0"/>
    <n v="0"/>
  </r>
  <r>
    <s v="Regular"/>
    <x v="2"/>
    <x v="0"/>
    <x v="5"/>
    <x v="0"/>
    <x v="0"/>
    <x v="0"/>
    <x v="0"/>
    <x v="10"/>
    <n v="876"/>
    <n v="805.92000000000007"/>
    <n v="368.00900000000001"/>
    <n v="338.56828000000002"/>
    <n v="368.00900000000001"/>
    <n v="338.56828000000002"/>
    <n v="0"/>
    <x v="0"/>
    <n v="0"/>
    <n v="22"/>
    <n v="23"/>
    <n v="82"/>
    <n v="8.81"/>
    <n v="84.45"/>
    <n v="256.38"/>
    <n v="11.452356648653195"/>
    <n v="87.520205040180812"/>
    <n v="230.84299908458948"/>
    <n v="7100.1552000000011"/>
    <n v="28592.091246000004"/>
    <n v="86802.135626400006"/>
    <n v="9229.6832702825832"/>
    <n v="29631.565285701348"/>
    <n v="78156.117150111037"/>
  </r>
  <r>
    <s v="PROJETADO"/>
    <x v="2"/>
    <x v="0"/>
    <x v="5"/>
    <x v="0"/>
    <x v="0"/>
    <x v="0"/>
    <x v="0"/>
    <x v="11"/>
    <n v="876"/>
    <n v="805.92000000000007"/>
    <n v="368.00900000000001"/>
    <n v="338.56828000000002"/>
    <n v="368.00900000000001"/>
    <n v="338.56828000000002"/>
    <n v="0"/>
    <x v="0"/>
    <n v="0"/>
    <n v="22"/>
    <n v="23"/>
    <n v="82"/>
    <n v="8.81"/>
    <n v="84.45"/>
    <n v="256.38"/>
    <n v="11.452356648653195"/>
    <n v="87.520205040180812"/>
    <n v="230.84299908458948"/>
    <n v="7100.1552000000011"/>
    <n v="28592.091246000004"/>
    <n v="86802.135626400006"/>
    <n v="9229.6832702825832"/>
    <n v="29631.565285701348"/>
    <n v="78156.117150111037"/>
  </r>
  <r>
    <s v="Regular"/>
    <x v="2"/>
    <x v="0"/>
    <x v="5"/>
    <x v="0"/>
    <x v="0"/>
    <x v="0"/>
    <x v="1"/>
    <x v="0"/>
    <n v="704"/>
    <n v="647.68000000000006"/>
    <n v="34.075000000000003"/>
    <n v="31.349000000000004"/>
    <n v="34.075000000000003"/>
    <n v="31.349000000000004"/>
    <n v="0"/>
    <x v="0"/>
    <n v="0"/>
    <n v="21"/>
    <n v="23"/>
    <n v="81"/>
    <n v="22.94"/>
    <n v="84.45"/>
    <n v="430.87"/>
    <n v="27.216283196676113"/>
    <n v="87.520205040180812"/>
    <n v="375.70671275609089"/>
    <n v="14857.779200000003"/>
    <n v="2647.4230500000003"/>
    <n v="13507.343630000001"/>
    <n v="17627.442300823186"/>
    <n v="2743.6709078046288"/>
    <n v="11778.029738190695"/>
  </r>
  <r>
    <s v="Regular"/>
    <x v="2"/>
    <x v="0"/>
    <x v="5"/>
    <x v="0"/>
    <x v="0"/>
    <x v="0"/>
    <x v="1"/>
    <x v="1"/>
    <n v="720"/>
    <n v="662.4"/>
    <n v="32.393000000000001"/>
    <n v="29.801560000000002"/>
    <n v="32.393000000000001"/>
    <n v="29.801560000000002"/>
    <n v="0"/>
    <x v="0"/>
    <n v="0"/>
    <n v="21"/>
    <n v="23"/>
    <n v="81"/>
    <n v="22.94"/>
    <n v="84.45"/>
    <n v="430.87"/>
    <n v="27.216283196676113"/>
    <n v="87.520205040180812"/>
    <n v="375.70671275609089"/>
    <n v="15195.456"/>
    <n v="2516.7417420000002"/>
    <n v="12840.598157200002"/>
    <n v="18028.065989478255"/>
    <n v="2608.2386417172511"/>
    <n v="11196.646142603409"/>
  </r>
  <r>
    <s v="Regular"/>
    <x v="2"/>
    <x v="0"/>
    <x v="5"/>
    <x v="0"/>
    <x v="0"/>
    <x v="0"/>
    <x v="1"/>
    <x v="2"/>
    <n v="630"/>
    <n v="579.6"/>
    <n v="29.05"/>
    <n v="26.726000000000003"/>
    <n v="29.05"/>
    <n v="26.726000000000003"/>
    <n v="0"/>
    <x v="0"/>
    <n v="0"/>
    <n v="21"/>
    <n v="23"/>
    <n v="81"/>
    <n v="22.94"/>
    <n v="84.45"/>
    <n v="430.87"/>
    <n v="27.216283196676113"/>
    <n v="87.520205040180812"/>
    <n v="375.70671275609089"/>
    <n v="13296.024000000001"/>
    <n v="2257.0107000000003"/>
    <n v="11515.431620000001"/>
    <n v="15774.557740793476"/>
    <n v="2339.0649999038728"/>
    <n v="10041.137605119286"/>
  </r>
  <r>
    <s v="Regular"/>
    <x v="2"/>
    <x v="0"/>
    <x v="5"/>
    <x v="0"/>
    <x v="0"/>
    <x v="0"/>
    <x v="1"/>
    <x v="3"/>
    <n v="659"/>
    <n v="606.28"/>
    <n v="29.417000000000002"/>
    <n v="27.063640000000003"/>
    <n v="29.417000000000002"/>
    <n v="27.063640000000003"/>
    <n v="0"/>
    <x v="0"/>
    <n v="0"/>
    <n v="21"/>
    <n v="23"/>
    <n v="81"/>
    <n v="22.94"/>
    <n v="84.45"/>
    <n v="430.87"/>
    <n v="27.216283196676113"/>
    <n v="87.520205040180812"/>
    <n v="375.70671275609089"/>
    <n v="13908.063200000001"/>
    <n v="2285.5243980000005"/>
    <n v="11660.910566800001"/>
    <n v="16500.688176480791"/>
    <n v="2368.6153219336393"/>
    <n v="10167.991219614252"/>
  </r>
  <r>
    <s v="Regular"/>
    <x v="2"/>
    <x v="0"/>
    <x v="5"/>
    <x v="0"/>
    <x v="0"/>
    <x v="0"/>
    <x v="1"/>
    <x v="4"/>
    <n v="677"/>
    <n v="622.84"/>
    <n v="30.206"/>
    <n v="27.78952"/>
    <n v="30.206"/>
    <n v="27.78952"/>
    <n v="0"/>
    <x v="0"/>
    <n v="0"/>
    <n v="21"/>
    <n v="23"/>
    <n v="81"/>
    <n v="22.94"/>
    <n v="84.45"/>
    <n v="430.87"/>
    <n v="27.216283196676113"/>
    <n v="87.520205040180812"/>
    <n v="375.70671275609089"/>
    <n v="14287.949600000002"/>
    <n v="2346.8249639999999"/>
    <n v="11973.670482400001"/>
    <n v="16951.38982621775"/>
    <n v="2432.1444883682057"/>
    <n v="10440.709208269644"/>
  </r>
  <r>
    <s v="Regular"/>
    <x v="2"/>
    <x v="0"/>
    <x v="5"/>
    <x v="0"/>
    <x v="0"/>
    <x v="0"/>
    <x v="1"/>
    <x v="5"/>
    <n v="680"/>
    <n v="625.6"/>
    <n v="30.259"/>
    <n v="27.838280000000001"/>
    <n v="30.259"/>
    <n v="27.838280000000001"/>
    <n v="0"/>
    <x v="0"/>
    <n v="0"/>
    <n v="21"/>
    <n v="23"/>
    <n v="81"/>
    <n v="22.94"/>
    <n v="84.45"/>
    <n v="430.87"/>
    <n v="27.216283196676113"/>
    <n v="87.520205040180812"/>
    <n v="375.70671275609089"/>
    <n v="14351.264000000001"/>
    <n v="2350.9427460000002"/>
    <n v="11994.679703600001"/>
    <n v="17026.506767840576"/>
    <n v="2436.4119735659647"/>
    <n v="10459.028667583631"/>
  </r>
  <r>
    <s v="Regular"/>
    <x v="2"/>
    <x v="0"/>
    <x v="5"/>
    <x v="0"/>
    <x v="0"/>
    <x v="0"/>
    <x v="1"/>
    <x v="6"/>
    <n v="660"/>
    <n v="607.20000000000005"/>
    <n v="29.832999999999998"/>
    <n v="27.446359999999999"/>
    <n v="29.832999999999998"/>
    <n v="27.446359999999999"/>
    <n v="0"/>
    <x v="0"/>
    <n v="0"/>
    <n v="21"/>
    <n v="23"/>
    <n v="81"/>
    <n v="22.94"/>
    <n v="84.45"/>
    <n v="430.87"/>
    <n v="27.216283196676113"/>
    <n v="87.520205040180812"/>
    <n v="375.70671275609089"/>
    <n v="13929.168000000001"/>
    <n v="2317.8451019999998"/>
    <n v="11825.813133199999"/>
    <n v="16525.727157021738"/>
    <n v="2402.1110548066167"/>
    <n v="10311.781692720262"/>
  </r>
  <r>
    <s v="Regular"/>
    <x v="2"/>
    <x v="0"/>
    <x v="5"/>
    <x v="0"/>
    <x v="0"/>
    <x v="0"/>
    <x v="1"/>
    <x v="7"/>
    <n v="661"/>
    <n v="608.12"/>
    <n v="25.033000000000001"/>
    <n v="23.030360000000002"/>
    <n v="25.033000000000001"/>
    <n v="23.030360000000002"/>
    <n v="0"/>
    <x v="0"/>
    <n v="0"/>
    <n v="21"/>
    <n v="23"/>
    <n v="81"/>
    <n v="22.94"/>
    <n v="84.45"/>
    <n v="430.87"/>
    <n v="27.216283196676113"/>
    <n v="87.520205040180812"/>
    <n v="375.70671275609089"/>
    <n v="13950.272800000001"/>
    <n v="1944.9139020000002"/>
    <n v="9923.0912132000012"/>
    <n v="16550.766137562678"/>
    <n v="2015.6218293491788"/>
    <n v="8652.6608491893658"/>
  </r>
  <r>
    <s v="Regular"/>
    <x v="2"/>
    <x v="0"/>
    <x v="5"/>
    <x v="0"/>
    <x v="0"/>
    <x v="0"/>
    <x v="1"/>
    <x v="8"/>
    <n v="712"/>
    <n v="655.04000000000008"/>
    <n v="31.492000000000001"/>
    <n v="28.972640000000002"/>
    <n v="31.492000000000001"/>
    <n v="28.972640000000002"/>
    <n v="0"/>
    <x v="0"/>
    <n v="0"/>
    <n v="21"/>
    <n v="23"/>
    <n v="81"/>
    <n v="22.94"/>
    <n v="84.45"/>
    <n v="430.87"/>
    <n v="27.216283196676113"/>
    <n v="87.520205040180812"/>
    <n v="375.70671275609089"/>
    <n v="15026.617600000003"/>
    <n v="2446.7394480000003"/>
    <n v="12483.441396800001"/>
    <n v="17827.754145150724"/>
    <n v="2535.6913933553442"/>
    <n v="10885.215334265629"/>
  </r>
  <r>
    <s v="Regular"/>
    <x v="2"/>
    <x v="0"/>
    <x v="5"/>
    <x v="0"/>
    <x v="0"/>
    <x v="0"/>
    <x v="1"/>
    <x v="9"/>
    <n v="439"/>
    <n v="403.88"/>
    <n v="18.164000000000001"/>
    <n v="16.710880000000003"/>
    <n v="18.164000000000001"/>
    <n v="16.710880000000003"/>
    <n v="0"/>
    <x v="0"/>
    <n v="0"/>
    <n v="21"/>
    <n v="23"/>
    <n v="81"/>
    <n v="22.94"/>
    <n v="84.45"/>
    <n v="430.87"/>
    <n v="27.216283196676113"/>
    <n v="87.520205040180812"/>
    <n v="375.70671275609089"/>
    <n v="9265.0072"/>
    <n v="1411.2338160000004"/>
    <n v="7200.2168656000013"/>
    <n v="10992.112457473548"/>
    <n v="1462.5396440018569"/>
    <n v="6278.3897920615054"/>
  </r>
  <r>
    <s v="Refaturamento - Regular"/>
    <x v="2"/>
    <x v="0"/>
    <x v="5"/>
    <x v="0"/>
    <x v="0"/>
    <x v="0"/>
    <x v="1"/>
    <x v="9"/>
    <n v="245"/>
    <n v="225.4"/>
    <n v="0"/>
    <n v="0"/>
    <n v="0"/>
    <n v="0"/>
    <n v="0"/>
    <x v="0"/>
    <n v="0"/>
    <n v="21"/>
    <n v="0"/>
    <n v="0"/>
    <n v="22.94"/>
    <n v="0"/>
    <n v="0"/>
    <n v="27.216283196676113"/>
    <n v="87.520205040180812"/>
    <n v="375.70671275609089"/>
    <n v="5170.6760000000004"/>
    <n v="0"/>
    <n v="0"/>
    <n v="6134.5502325307962"/>
    <n v="0"/>
    <n v="0"/>
  </r>
  <r>
    <s v="Regular"/>
    <x v="2"/>
    <x v="0"/>
    <x v="5"/>
    <x v="0"/>
    <x v="0"/>
    <x v="0"/>
    <x v="1"/>
    <x v="10"/>
    <n v="779"/>
    <n v="716.68000000000006"/>
    <n v="38.588999999999999"/>
    <n v="35.50188"/>
    <n v="38.588999999999999"/>
    <n v="35.50188"/>
    <n v="0"/>
    <x v="0"/>
    <n v="0"/>
    <n v="21"/>
    <n v="23"/>
    <n v="81"/>
    <n v="22.94"/>
    <n v="84.45"/>
    <n v="430.87"/>
    <n v="27.216283196676113"/>
    <n v="87.520205040180812"/>
    <n v="375.70671275609089"/>
    <n v="16440.639200000001"/>
    <n v="2998.1337659999999"/>
    <n v="15296.6950356"/>
    <n v="19505.365841393839"/>
    <n v="3107.1318169118945"/>
    <n v="13338.294631461209"/>
  </r>
  <r>
    <s v="PROJETADO"/>
    <x v="2"/>
    <x v="0"/>
    <x v="5"/>
    <x v="0"/>
    <x v="0"/>
    <x v="0"/>
    <x v="1"/>
    <x v="11"/>
    <n v="779"/>
    <n v="716.68000000000006"/>
    <n v="38.588999999999999"/>
    <n v="35.50188"/>
    <n v="38.588999999999999"/>
    <n v="35.50188"/>
    <n v="0"/>
    <x v="0"/>
    <n v="0"/>
    <n v="21"/>
    <n v="23"/>
    <n v="81"/>
    <n v="22.94"/>
    <n v="84.45"/>
    <n v="430.87"/>
    <n v="27.216283196676113"/>
    <n v="87.520205040180812"/>
    <n v="375.70671275609089"/>
    <n v="16440.639200000001"/>
    <n v="2998.1337659999999"/>
    <n v="15296.6950356"/>
    <n v="19505.365841393839"/>
    <n v="3107.1318169118945"/>
    <n v="13338.294631461209"/>
  </r>
  <r>
    <s v="Regular"/>
    <x v="2"/>
    <x v="0"/>
    <x v="2"/>
    <x v="1"/>
    <x v="0"/>
    <x v="0"/>
    <x v="0"/>
    <x v="0"/>
    <n v="9800"/>
    <n v="8330"/>
    <n v="4514.2240000000002"/>
    <n v="3972.51712"/>
    <n v="4514.2240000000002"/>
    <n v="3972.51712"/>
    <n v="0"/>
    <x v="0"/>
    <n v="0"/>
    <n v="22"/>
    <n v="23"/>
    <n v="82"/>
    <n v="8.81"/>
    <n v="84.45"/>
    <n v="256.38"/>
    <n v="11.452356648653195"/>
    <n v="87.520205040180812"/>
    <n v="230.84299908458948"/>
    <n v="73387.3"/>
    <n v="335479.07078399998"/>
    <n v="1018473.9392256"/>
    <n v="95398.130883281119"/>
    <n v="347675.51286802854"/>
    <n v="917027.76589567598"/>
  </r>
  <r>
    <s v="Regular"/>
    <x v="2"/>
    <x v="0"/>
    <x v="2"/>
    <x v="1"/>
    <x v="0"/>
    <x v="0"/>
    <x v="0"/>
    <x v="1"/>
    <n v="9795"/>
    <n v="8325.75"/>
    <n v="4572.0990000000002"/>
    <n v="4023.4471200000003"/>
    <n v="4572.0990000000002"/>
    <n v="4023.4471200000003"/>
    <n v="0"/>
    <x v="0"/>
    <n v="0"/>
    <n v="22"/>
    <n v="23"/>
    <n v="82"/>
    <n v="8.81"/>
    <n v="84.45"/>
    <n v="256.38"/>
    <n v="11.452356648653195"/>
    <n v="87.520205040180812"/>
    <n v="230.84299908458948"/>
    <n v="73349.857499999998"/>
    <n v="339780.10928400001"/>
    <n v="1031531.3726256001"/>
    <n v="95349.458367524334"/>
    <n v="352132.91691072501"/>
    <n v="928784.59983905428"/>
  </r>
  <r>
    <s v="Regular"/>
    <x v="2"/>
    <x v="0"/>
    <x v="2"/>
    <x v="1"/>
    <x v="0"/>
    <x v="0"/>
    <x v="0"/>
    <x v="2"/>
    <n v="9831"/>
    <n v="8356.35"/>
    <n v="4345.348"/>
    <n v="3823.9062399999998"/>
    <n v="4345.348"/>
    <n v="3823.9062399999998"/>
    <n v="0"/>
    <x v="0"/>
    <n v="0"/>
    <n v="22"/>
    <n v="23"/>
    <n v="82"/>
    <n v="8.81"/>
    <n v="84.45"/>
    <n v="256.38"/>
    <n v="11.452356648653195"/>
    <n v="87.520205040180812"/>
    <n v="230.84299908458948"/>
    <n v="73619.443500000008"/>
    <n v="322928.88196799997"/>
    <n v="980373.0818111999"/>
    <n v="95699.900480973127"/>
    <n v="334669.05817922682"/>
    <n v="882721.98465987598"/>
  </r>
  <r>
    <s v="Regular"/>
    <x v="2"/>
    <x v="0"/>
    <x v="2"/>
    <x v="1"/>
    <x v="0"/>
    <x v="0"/>
    <x v="0"/>
    <x v="3"/>
    <n v="9808"/>
    <n v="8336.7999999999993"/>
    <n v="4575.3519999999999"/>
    <n v="4026.3097600000001"/>
    <n v="4575.3519999999999"/>
    <n v="4026.3097600000001"/>
    <n v="0"/>
    <x v="0"/>
    <n v="0"/>
    <n v="22"/>
    <n v="23"/>
    <n v="82"/>
    <n v="8.81"/>
    <n v="84.45"/>
    <n v="256.38"/>
    <n v="11.452356648653195"/>
    <n v="87.520205040180812"/>
    <n v="230.84299908458948"/>
    <n v="73447.207999999999"/>
    <n v="340021.85923200002"/>
    <n v="1032265.2962688"/>
    <n v="95476.006908491952"/>
    <n v="352383.45575048123"/>
    <n v="929445.42024195369"/>
  </r>
  <r>
    <s v="Regular"/>
    <x v="2"/>
    <x v="0"/>
    <x v="2"/>
    <x v="1"/>
    <x v="0"/>
    <x v="0"/>
    <x v="0"/>
    <x v="4"/>
    <n v="9853"/>
    <n v="8375.0499999999993"/>
    <n v="4766.9369999999999"/>
    <n v="4194.9045599999999"/>
    <n v="4766.9369999999999"/>
    <n v="4194.9045599999999"/>
    <n v="0"/>
    <x v="0"/>
    <n v="0"/>
    <n v="22"/>
    <n v="23"/>
    <n v="82"/>
    <n v="8.81"/>
    <n v="84.45"/>
    <n v="256.38"/>
    <n v="11.452356648653195"/>
    <n v="87.520205040180812"/>
    <n v="230.84299908458948"/>
    <n v="73784.190499999997"/>
    <n v="354259.690092"/>
    <n v="1075489.6310928001"/>
    <n v="95914.059550302933"/>
    <n v="367138.90721518948"/>
    <n v="968364.34950402018"/>
  </r>
  <r>
    <s v="Regular"/>
    <x v="2"/>
    <x v="0"/>
    <x v="2"/>
    <x v="1"/>
    <x v="0"/>
    <x v="0"/>
    <x v="0"/>
    <x v="5"/>
    <n v="9871"/>
    <n v="8390.35"/>
    <n v="4457.8869999999997"/>
    <n v="3922.9405599999996"/>
    <n v="4457.8869999999997"/>
    <n v="3922.9405599999996"/>
    <n v="0"/>
    <x v="0"/>
    <n v="0"/>
    <n v="22"/>
    <n v="23"/>
    <n v="82"/>
    <n v="8.81"/>
    <n v="84.45"/>
    <n v="256.38"/>
    <n v="11.452356648653195"/>
    <n v="87.520205040180812"/>
    <n v="230.84299908458948"/>
    <n v="73918.983500000002"/>
    <n v="331292.33029199997"/>
    <n v="1005763.5007727998"/>
    <n v="96089.280607027336"/>
    <n v="343336.56217164168"/>
    <n v="905583.36410097883"/>
  </r>
  <r>
    <s v="Regular"/>
    <x v="2"/>
    <x v="0"/>
    <x v="2"/>
    <x v="1"/>
    <x v="0"/>
    <x v="0"/>
    <x v="0"/>
    <x v="6"/>
    <n v="9861"/>
    <n v="8381.85"/>
    <n v="4824.7709999999997"/>
    <n v="4245.7984799999995"/>
    <n v="4824.7709999999997"/>
    <n v="4245.7984799999995"/>
    <n v="0"/>
    <x v="0"/>
    <n v="0"/>
    <n v="22"/>
    <n v="23"/>
    <n v="82"/>
    <n v="8.81"/>
    <n v="84.45"/>
    <n v="256.38"/>
    <n v="11.452356648653195"/>
    <n v="87.520205040180812"/>
    <n v="230.84299908458948"/>
    <n v="73844.098500000007"/>
    <n v="358557.68163599999"/>
    <n v="1088537.8143023998"/>
    <n v="95991.935575513795"/>
    <n v="371593.15352888801"/>
    <n v="980112.85463199124"/>
  </r>
  <r>
    <s v="Regular"/>
    <x v="2"/>
    <x v="0"/>
    <x v="2"/>
    <x v="1"/>
    <x v="0"/>
    <x v="0"/>
    <x v="0"/>
    <x v="7"/>
    <n v="9845"/>
    <n v="8368.25"/>
    <n v="4612.7529999999997"/>
    <n v="4059.22264"/>
    <n v="4612.7529999999997"/>
    <n v="4059.22264"/>
    <n v="0"/>
    <x v="0"/>
    <n v="0"/>
    <n v="22"/>
    <n v="23"/>
    <n v="82"/>
    <n v="8.81"/>
    <n v="84.45"/>
    <n v="256.38"/>
    <n v="11.452356648653195"/>
    <n v="87.520205040180812"/>
    <n v="230.84299908458948"/>
    <n v="73724.282500000001"/>
    <n v="342801.35194800003"/>
    <n v="1040703.5004432"/>
    <n v="95836.183525092099"/>
    <n v="355263.99775654403"/>
    <n v="937043.12816966488"/>
  </r>
  <r>
    <s v="Regular"/>
    <x v="2"/>
    <x v="0"/>
    <x v="2"/>
    <x v="1"/>
    <x v="0"/>
    <x v="0"/>
    <x v="0"/>
    <x v="8"/>
    <n v="9867"/>
    <n v="8386.9499999999989"/>
    <n v="4701.09"/>
    <n v="4136.9592000000002"/>
    <n v="4701.09"/>
    <n v="4136.9592000000002"/>
    <n v="0"/>
    <x v="0"/>
    <n v="0"/>
    <n v="22"/>
    <n v="23"/>
    <n v="82"/>
    <n v="8.81"/>
    <n v="84.45"/>
    <n v="256.38"/>
    <n v="11.452356648653195"/>
    <n v="87.520205040180812"/>
    <n v="230.84299908458948"/>
    <n v="73889.02949999999"/>
    <n v="349366.20444000006"/>
    <n v="1060633.5996960001"/>
    <n v="96050.342594421905"/>
    <n v="362067.51742686238"/>
    <n v="954988.06881858408"/>
  </r>
  <r>
    <s v="Regular"/>
    <x v="2"/>
    <x v="0"/>
    <x v="2"/>
    <x v="1"/>
    <x v="0"/>
    <x v="0"/>
    <x v="0"/>
    <x v="9"/>
    <n v="9817"/>
    <n v="8344.4499999999989"/>
    <n v="4510.7780000000002"/>
    <n v="3969.4846400000001"/>
    <n v="4510.7780000000002"/>
    <n v="3969.4846400000001"/>
    <n v="0"/>
    <x v="0"/>
    <n v="0"/>
    <n v="22"/>
    <n v="23"/>
    <n v="82"/>
    <n v="8.81"/>
    <n v="84.45"/>
    <n v="256.38"/>
    <n v="11.452356648653195"/>
    <n v="87.520205040180812"/>
    <n v="230.84299908458948"/>
    <n v="73514.604500000001"/>
    <n v="335222.97784800001"/>
    <n v="1017696.4720032"/>
    <n v="95563.61743685414"/>
    <n v="347410.10959664831"/>
    <n v="916327.73911781202"/>
  </r>
  <r>
    <s v="Regular"/>
    <x v="2"/>
    <x v="0"/>
    <x v="2"/>
    <x v="1"/>
    <x v="0"/>
    <x v="0"/>
    <x v="0"/>
    <x v="10"/>
    <n v="9822"/>
    <n v="8348.6999999999989"/>
    <n v="4519.3159999999998"/>
    <n v="3976.9980799999998"/>
    <n v="4519.3159999999998"/>
    <n v="3976.9980799999998"/>
    <n v="0"/>
    <x v="0"/>
    <n v="0"/>
    <n v="22"/>
    <n v="23"/>
    <n v="82"/>
    <n v="8.81"/>
    <n v="84.45"/>
    <n v="256.38"/>
    <n v="11.452356648653195"/>
    <n v="87.520205040180812"/>
    <n v="230.84299908458948"/>
    <n v="73552.046999999991"/>
    <n v="335857.48785600002"/>
    <n v="1019622.7677503999"/>
    <n v="95612.289952610925"/>
    <n v="348067.6874060054"/>
    <n v="918062.16414085403"/>
  </r>
  <r>
    <s v="PROJETADO"/>
    <x v="2"/>
    <x v="0"/>
    <x v="2"/>
    <x v="1"/>
    <x v="0"/>
    <x v="0"/>
    <x v="0"/>
    <x v="11"/>
    <n v="9822"/>
    <n v="8348.6999999999989"/>
    <n v="4519.3159999999998"/>
    <n v="3976.9980799999998"/>
    <n v="4519.3159999999998"/>
    <n v="3976.9980799999998"/>
    <n v="0"/>
    <x v="0"/>
    <n v="0"/>
    <n v="22"/>
    <n v="23"/>
    <n v="82"/>
    <n v="8.81"/>
    <n v="84.45"/>
    <n v="256.38"/>
    <n v="11.452356648653195"/>
    <n v="87.520205040180812"/>
    <n v="230.84299908458948"/>
    <n v="73552.046999999991"/>
    <n v="335857.48785600002"/>
    <n v="1019622.7677503999"/>
    <n v="95612.289952610925"/>
    <n v="348067.6874060054"/>
    <n v="918062.16414085403"/>
  </r>
  <r>
    <s v="Regular"/>
    <x v="2"/>
    <x v="0"/>
    <x v="2"/>
    <x v="1"/>
    <x v="0"/>
    <x v="0"/>
    <x v="1"/>
    <x v="0"/>
    <n v="7945"/>
    <n v="6753.25"/>
    <n v="389.94"/>
    <n v="343.1472"/>
    <n v="389.94"/>
    <n v="343.1472"/>
    <n v="0"/>
    <x v="0"/>
    <n v="0"/>
    <n v="21"/>
    <n v="23"/>
    <n v="81"/>
    <n v="22.94"/>
    <n v="84.45"/>
    <n v="430.87"/>
    <n v="27.216283196676113"/>
    <n v="87.520205040180812"/>
    <n v="375.70671275609089"/>
    <n v="154919.55500000002"/>
    <n v="28978.781040000002"/>
    <n v="147851.834064"/>
    <n v="183798.36449795295"/>
    <n v="30032.313302963932"/>
    <n v="128922.70650345687"/>
  </r>
  <r>
    <s v="Regular"/>
    <x v="2"/>
    <x v="0"/>
    <x v="2"/>
    <x v="1"/>
    <x v="0"/>
    <x v="0"/>
    <x v="1"/>
    <x v="1"/>
    <n v="7973"/>
    <n v="6777.05"/>
    <n v="407.637"/>
    <n v="358.72055999999998"/>
    <n v="407.637"/>
    <n v="358.72055999999998"/>
    <n v="0"/>
    <x v="0"/>
    <n v="0"/>
    <n v="21"/>
    <n v="23"/>
    <n v="81"/>
    <n v="22.94"/>
    <n v="84.45"/>
    <n v="430.87"/>
    <n v="27.216283196676113"/>
    <n v="87.520205040180812"/>
    <n v="375.70671275609089"/>
    <n v="155465.527"/>
    <n v="30293.951291999998"/>
    <n v="154561.92768719999"/>
    <n v="184446.11203803384"/>
    <n v="31395.296963328481"/>
    <n v="134773.72239562406"/>
  </r>
  <r>
    <s v="Regular"/>
    <x v="2"/>
    <x v="0"/>
    <x v="2"/>
    <x v="1"/>
    <x v="0"/>
    <x v="0"/>
    <x v="1"/>
    <x v="2"/>
    <n v="7941"/>
    <n v="6749.8499999999995"/>
    <n v="362.37299999999999"/>
    <n v="318.88824"/>
    <n v="362.37299999999999"/>
    <n v="318.88824"/>
    <n v="0"/>
    <x v="0"/>
    <n v="0"/>
    <n v="21"/>
    <n v="23"/>
    <n v="81"/>
    <n v="22.94"/>
    <n v="84.45"/>
    <n v="430.87"/>
    <n v="27.216283196676113"/>
    <n v="87.520205040180812"/>
    <n v="375.70671275609089"/>
    <n v="154841.55900000001"/>
    <n v="26930.111868"/>
    <n v="137399.37596880001"/>
    <n v="183705.82913508423"/>
    <n v="27909.164149702388"/>
    <n v="119808.45238697538"/>
  </r>
  <r>
    <s v="Regular"/>
    <x v="2"/>
    <x v="0"/>
    <x v="2"/>
    <x v="1"/>
    <x v="0"/>
    <x v="0"/>
    <x v="1"/>
    <x v="3"/>
    <n v="7921"/>
    <n v="6732.8499999999995"/>
    <n v="378.95400000000001"/>
    <n v="333.47952000000004"/>
    <n v="378.95400000000001"/>
    <n v="333.47952000000004"/>
    <n v="0"/>
    <x v="0"/>
    <n v="0"/>
    <n v="21"/>
    <n v="23"/>
    <n v="81"/>
    <n v="22.94"/>
    <n v="84.45"/>
    <n v="430.87"/>
    <n v="27.216283196676113"/>
    <n v="87.520205040180812"/>
    <n v="375.70671275609089"/>
    <n v="154451.579"/>
    <n v="28162.345464000005"/>
    <n v="143686.32078240003"/>
    <n v="183243.15232074074"/>
    <n v="29186.195967101081"/>
    <n v="125290.49423067908"/>
  </r>
  <r>
    <s v="Regular"/>
    <x v="2"/>
    <x v="0"/>
    <x v="2"/>
    <x v="1"/>
    <x v="0"/>
    <x v="0"/>
    <x v="1"/>
    <x v="4"/>
    <n v="7899"/>
    <n v="6714.15"/>
    <n v="402.07499999999999"/>
    <n v="353.82599999999996"/>
    <n v="402.07499999999999"/>
    <n v="353.82599999999996"/>
    <n v="0"/>
    <x v="0"/>
    <n v="0"/>
    <n v="21"/>
    <n v="23"/>
    <n v="81"/>
    <n v="22.94"/>
    <n v="84.45"/>
    <n v="430.87"/>
    <n v="27.216283196676113"/>
    <n v="87.520205040180812"/>
    <n v="375.70671275609089"/>
    <n v="154022.601"/>
    <n v="29880.605699999996"/>
    <n v="152453.00861999998"/>
    <n v="182734.20782496291"/>
    <n v="30966.924068547014"/>
    <n v="132934.8033476366"/>
  </r>
  <r>
    <s v="Regular"/>
    <x v="2"/>
    <x v="0"/>
    <x v="2"/>
    <x v="1"/>
    <x v="0"/>
    <x v="0"/>
    <x v="1"/>
    <x v="5"/>
    <n v="7933"/>
    <n v="6743.05"/>
    <n v="366.37299999999999"/>
    <n v="322.40823999999998"/>
    <n v="366.37299999999999"/>
    <n v="322.40823999999998"/>
    <n v="0"/>
    <x v="0"/>
    <n v="0"/>
    <n v="21"/>
    <n v="23"/>
    <n v="81"/>
    <n v="22.94"/>
    <n v="84.45"/>
    <n v="430.87"/>
    <n v="27.216283196676113"/>
    <n v="87.520205040180812"/>
    <n v="375.70671275609089"/>
    <n v="154685.56700000001"/>
    <n v="27227.375867999999"/>
    <n v="138916.03836879999"/>
    <n v="183520.75840934686"/>
    <n v="28217.235271443824"/>
    <n v="121130.94001587681"/>
  </r>
  <r>
    <s v="Regular"/>
    <x v="2"/>
    <x v="0"/>
    <x v="2"/>
    <x v="1"/>
    <x v="0"/>
    <x v="0"/>
    <x v="1"/>
    <x v="6"/>
    <n v="7955"/>
    <n v="6761.75"/>
    <n v="416.745"/>
    <n v="366.73560000000003"/>
    <n v="416.745"/>
    <n v="366.73560000000003"/>
    <n v="0"/>
    <x v="0"/>
    <n v="0"/>
    <n v="21"/>
    <n v="23"/>
    <n v="81"/>
    <n v="22.94"/>
    <n v="84.45"/>
    <n v="430.87"/>
    <n v="27.216283196676113"/>
    <n v="87.520205040180812"/>
    <n v="375.70671275609089"/>
    <n v="155114.54500000001"/>
    <n v="30970.821420000004"/>
    <n v="158015.36797200001"/>
    <n v="184029.70290512469"/>
    <n v="32096.774907533738"/>
    <n v="137785.02672663267"/>
  </r>
  <r>
    <s v="Regular"/>
    <x v="2"/>
    <x v="0"/>
    <x v="2"/>
    <x v="1"/>
    <x v="0"/>
    <x v="0"/>
    <x v="1"/>
    <x v="7"/>
    <n v="7917"/>
    <n v="6729.45"/>
    <n v="359.61"/>
    <n v="316.45679999999999"/>
    <n v="359.61"/>
    <n v="316.45679999999999"/>
    <n v="0"/>
    <x v="0"/>
    <n v="0"/>
    <n v="21"/>
    <n v="23"/>
    <n v="81"/>
    <n v="22.94"/>
    <n v="84.45"/>
    <n v="430.87"/>
    <n v="27.216283196676113"/>
    <n v="87.520205040180812"/>
    <n v="375.70671275609089"/>
    <n v="154373.58300000001"/>
    <n v="26724.776760000001"/>
    <n v="136351.741416"/>
    <n v="183150.61695787206"/>
    <n v="27696.364022359488"/>
    <n v="118894.9440573117"/>
  </r>
  <r>
    <s v="Regular"/>
    <x v="2"/>
    <x v="0"/>
    <x v="2"/>
    <x v="1"/>
    <x v="0"/>
    <x v="0"/>
    <x v="1"/>
    <x v="8"/>
    <n v="7920"/>
    <n v="6732"/>
    <n v="396.50599999999997"/>
    <n v="348.92527999999999"/>
    <n v="396.50599999999997"/>
    <n v="348.92527999999999"/>
    <n v="0"/>
    <x v="0"/>
    <n v="0"/>
    <n v="21"/>
    <n v="23"/>
    <n v="81"/>
    <n v="22.94"/>
    <n v="84.45"/>
    <n v="430.87"/>
    <n v="27.216283196676113"/>
    <n v="87.520205040180812"/>
    <n v="375.70671275609089"/>
    <n v="154432.08000000002"/>
    <n v="29466.739895999999"/>
    <n v="150341.4353936"/>
    <n v="183220.0184800236"/>
    <n v="30538.012049302499"/>
    <n v="131093.56994629858"/>
  </r>
  <r>
    <s v="Regular"/>
    <x v="2"/>
    <x v="0"/>
    <x v="2"/>
    <x v="1"/>
    <x v="0"/>
    <x v="0"/>
    <x v="1"/>
    <x v="9"/>
    <n v="7912"/>
    <n v="6725.2"/>
    <n v="393.71199999999999"/>
    <n v="346.46656000000002"/>
    <n v="393.71199999999999"/>
    <n v="346.46656000000002"/>
    <n v="0"/>
    <x v="0"/>
    <n v="0"/>
    <n v="21"/>
    <n v="23"/>
    <n v="81"/>
    <n v="22.94"/>
    <n v="84.45"/>
    <n v="430.87"/>
    <n v="27.216283196676113"/>
    <n v="87.520205040180812"/>
    <n v="375.70671275609089"/>
    <n v="154276.08800000002"/>
    <n v="29259.100992000003"/>
    <n v="149282.0467072"/>
    <n v="183034.9477542862"/>
    <n v="30322.824370766109"/>
    <n v="130169.81233751094"/>
  </r>
  <r>
    <s v="Regular"/>
    <x v="2"/>
    <x v="0"/>
    <x v="2"/>
    <x v="1"/>
    <x v="0"/>
    <x v="0"/>
    <x v="1"/>
    <x v="10"/>
    <n v="7908"/>
    <n v="6721.8"/>
    <n v="394.91699999999997"/>
    <n v="347.52695999999997"/>
    <n v="394.91699999999997"/>
    <n v="347.52695999999997"/>
    <n v="0"/>
    <x v="0"/>
    <n v="0"/>
    <n v="21"/>
    <n v="23"/>
    <n v="81"/>
    <n v="22.94"/>
    <n v="84.45"/>
    <n v="430.87"/>
    <n v="27.216283196676113"/>
    <n v="87.520205040180812"/>
    <n v="375.70671275609089"/>
    <n v="154198.092"/>
    <n v="29348.651771999997"/>
    <n v="149738.94125519998"/>
    <n v="182942.41239141749"/>
    <n v="30415.630796190715"/>
    <n v="130568.21173571749"/>
  </r>
  <r>
    <s v="PROJETADO"/>
    <x v="2"/>
    <x v="0"/>
    <x v="2"/>
    <x v="1"/>
    <x v="0"/>
    <x v="0"/>
    <x v="1"/>
    <x v="11"/>
    <n v="7908"/>
    <n v="6721.8"/>
    <n v="394.91699999999997"/>
    <n v="347.52695999999997"/>
    <n v="394.91699999999997"/>
    <n v="347.52695999999997"/>
    <n v="0"/>
    <x v="0"/>
    <n v="0"/>
    <n v="21"/>
    <n v="23"/>
    <n v="81"/>
    <n v="22.94"/>
    <n v="84.45"/>
    <n v="430.87"/>
    <n v="27.216283196676113"/>
    <n v="87.520205040180812"/>
    <n v="375.70671275609089"/>
    <n v="154198.092"/>
    <n v="29348.651771999997"/>
    <n v="149738.94125519998"/>
    <n v="182942.41239141749"/>
    <n v="30415.630796190715"/>
    <n v="130568.21173571749"/>
  </r>
  <r>
    <s v="Regular"/>
    <x v="2"/>
    <x v="0"/>
    <x v="2"/>
    <x v="2"/>
    <x v="0"/>
    <x v="0"/>
    <x v="0"/>
    <x v="1"/>
    <n v="34507"/>
    <n v="34507"/>
    <n v="8656.357"/>
    <n v="8656.357"/>
    <n v="8656.357"/>
    <n v="8656.357"/>
    <n v="0"/>
    <x v="0"/>
    <n v="0"/>
    <n v="22"/>
    <n v="23"/>
    <n v="82"/>
    <n v="8.81"/>
    <n v="84.45"/>
    <n v="256.38"/>
    <n v="11.452356648653195"/>
    <n v="87.520205040180812"/>
    <n v="230.84299908458948"/>
    <n v="304006.67000000004"/>
    <n v="731029.34865000006"/>
    <n v="2219316.8076599999"/>
    <n v="395186.47087507579"/>
    <n v="757606.13954100444"/>
    <n v="1998259.4110268797"/>
  </r>
  <r>
    <s v="Regular"/>
    <x v="2"/>
    <x v="0"/>
    <x v="2"/>
    <x v="2"/>
    <x v="0"/>
    <x v="0"/>
    <x v="0"/>
    <x v="2"/>
    <n v="15595"/>
    <n v="15595"/>
    <n v="4114.5879999999997"/>
    <n v="4114.5879999999997"/>
    <n v="4114.5879999999997"/>
    <n v="4114.5879999999997"/>
    <n v="0"/>
    <x v="0"/>
    <n v="0"/>
    <n v="22"/>
    <n v="23"/>
    <n v="82"/>
    <n v="8.81"/>
    <n v="84.45"/>
    <n v="256.38"/>
    <n v="11.452356648653195"/>
    <n v="87.520205040180812"/>
    <n v="230.84299908458948"/>
    <n v="137391.95000000001"/>
    <n v="347476.95659999998"/>
    <n v="1054898.0714399999"/>
    <n v="178599.50193574658"/>
    <n v="360109.58541586745"/>
    <n v="949823.83391746285"/>
  </r>
  <r>
    <s v="Regular"/>
    <x v="2"/>
    <x v="0"/>
    <x v="2"/>
    <x v="2"/>
    <x v="0"/>
    <x v="0"/>
    <x v="0"/>
    <x v="3"/>
    <n v="14842"/>
    <n v="14842"/>
    <n v="3825.1509999999998"/>
    <n v="3825.1509999999998"/>
    <n v="3825.1509999999998"/>
    <n v="3825.1509999999998"/>
    <n v="0"/>
    <x v="0"/>
    <n v="0"/>
    <n v="22"/>
    <n v="23"/>
    <n v="82"/>
    <n v="8.81"/>
    <n v="84.45"/>
    <n v="256.38"/>
    <n v="11.452356648653195"/>
    <n v="87.520205040180812"/>
    <n v="230.84299908458948"/>
    <n v="130758.02"/>
    <n v="323034.00195000001"/>
    <n v="980692.21337999997"/>
    <n v="169975.87737931072"/>
    <n v="334777.99982965266"/>
    <n v="883009.32879141648"/>
  </r>
  <r>
    <s v="Regular"/>
    <x v="2"/>
    <x v="0"/>
    <x v="2"/>
    <x v="2"/>
    <x v="0"/>
    <x v="0"/>
    <x v="0"/>
    <x v="4"/>
    <n v="16226"/>
    <n v="16226"/>
    <n v="4156.759"/>
    <n v="4156.759"/>
    <n v="4156.759"/>
    <n v="4156.759"/>
    <n v="0"/>
    <x v="0"/>
    <n v="0"/>
    <n v="22"/>
    <n v="23"/>
    <n v="82"/>
    <n v="8.81"/>
    <n v="84.45"/>
    <n v="256.38"/>
    <n v="11.452356648653195"/>
    <n v="87.520205040180812"/>
    <n v="230.84299908458948"/>
    <n v="142951.06"/>
    <n v="351038.29755000002"/>
    <n v="1065709.8724199999"/>
    <n v="185825.93898104675"/>
    <n v="363800.39998261695"/>
    <n v="959558.71403185907"/>
  </r>
  <r>
    <s v="Regular"/>
    <x v="2"/>
    <x v="0"/>
    <x v="2"/>
    <x v="2"/>
    <x v="0"/>
    <x v="0"/>
    <x v="0"/>
    <x v="5"/>
    <n v="14981"/>
    <n v="14981"/>
    <n v="4017.6410000000001"/>
    <n v="4017.6410000000001"/>
    <n v="4017.6410000000001"/>
    <n v="4017.6410000000001"/>
    <n v="0"/>
    <x v="0"/>
    <n v="0"/>
    <n v="22"/>
    <n v="23"/>
    <n v="82"/>
    <n v="8.81"/>
    <n v="84.45"/>
    <n v="256.38"/>
    <n v="11.452356648653195"/>
    <n v="87.520205040180812"/>
    <n v="230.84299908458948"/>
    <n v="131982.61000000002"/>
    <n v="339289.78245"/>
    <n v="1030042.79958"/>
    <n v="171567.75495347352"/>
    <n v="351624.76409783709"/>
    <n v="927444.2976852092"/>
  </r>
  <r>
    <s v="Regular"/>
    <x v="2"/>
    <x v="0"/>
    <x v="2"/>
    <x v="2"/>
    <x v="0"/>
    <x v="0"/>
    <x v="0"/>
    <x v="6"/>
    <n v="14881"/>
    <n v="14881"/>
    <n v="3952.3679999999999"/>
    <n v="3952.3679999999999"/>
    <n v="3952.3679999999999"/>
    <n v="3952.3679999999999"/>
    <n v="0"/>
    <x v="0"/>
    <n v="0"/>
    <n v="22"/>
    <n v="23"/>
    <n v="82"/>
    <n v="8.81"/>
    <n v="84.45"/>
    <n v="256.38"/>
    <n v="11.452356648653195"/>
    <n v="87.520205040180812"/>
    <n v="230.84299908458948"/>
    <n v="131101.61000000002"/>
    <n v="333777.47759999998"/>
    <n v="1013308.10784"/>
    <n v="170422.51928860819"/>
    <n v="345912.05775424937"/>
    <n v="912376.48260596069"/>
  </r>
  <r>
    <s v="Regular"/>
    <x v="2"/>
    <x v="0"/>
    <x v="2"/>
    <x v="2"/>
    <x v="0"/>
    <x v="0"/>
    <x v="0"/>
    <x v="7"/>
    <n v="14496"/>
    <n v="14496"/>
    <n v="3580.4560000000001"/>
    <n v="3580.4560000000001"/>
    <n v="3580.4560000000001"/>
    <n v="3580.4560000000001"/>
    <n v="0"/>
    <x v="0"/>
    <n v="0"/>
    <n v="22"/>
    <n v="23"/>
    <n v="82"/>
    <n v="8.81"/>
    <n v="84.45"/>
    <n v="256.38"/>
    <n v="11.452356648653195"/>
    <n v="87.520205040180812"/>
    <n v="230.84299908458948"/>
    <n v="127709.76000000001"/>
    <n v="302369.50920000003"/>
    <n v="917957.30928000004"/>
    <n v="166013.36197887672"/>
    <n v="313362.24325734563"/>
    <n v="826523.20113041298"/>
  </r>
  <r>
    <s v="Regular"/>
    <x v="2"/>
    <x v="0"/>
    <x v="2"/>
    <x v="2"/>
    <x v="0"/>
    <x v="0"/>
    <x v="0"/>
    <x v="8"/>
    <n v="15510"/>
    <n v="15510"/>
    <n v="3817.1149999999998"/>
    <n v="3817.1149999999998"/>
    <n v="3817.1149999999998"/>
    <n v="3817.1149999999998"/>
    <n v="0"/>
    <x v="0"/>
    <n v="0"/>
    <n v="22"/>
    <n v="23"/>
    <n v="82"/>
    <n v="8.81"/>
    <n v="84.45"/>
    <n v="256.38"/>
    <n v="11.452356648653195"/>
    <n v="87.520205040180812"/>
    <n v="230.84299908458948"/>
    <n v="136643.1"/>
    <n v="322355.36174999998"/>
    <n v="978631.94369999995"/>
    <n v="177626.05162061105"/>
    <n v="334074.68746194977"/>
    <n v="881154.27445077267"/>
  </r>
  <r>
    <s v="Regular"/>
    <x v="2"/>
    <x v="0"/>
    <x v="2"/>
    <x v="2"/>
    <x v="0"/>
    <x v="0"/>
    <x v="0"/>
    <x v="9"/>
    <n v="17366"/>
    <n v="17366"/>
    <n v="3773.7860000000001"/>
    <n v="3773.7860000000001"/>
    <n v="3773.7860000000001"/>
    <n v="3773.7860000000001"/>
    <n v="0"/>
    <x v="0"/>
    <n v="0"/>
    <n v="22"/>
    <n v="23"/>
    <n v="82"/>
    <n v="8.81"/>
    <n v="84.45"/>
    <n v="256.38"/>
    <n v="11.452356648653195"/>
    <n v="87.520205040180812"/>
    <n v="230.84299908458948"/>
    <n v="152994.46000000002"/>
    <n v="318696.22769999999"/>
    <n v="967523.25468000001"/>
    <n v="198881.6255605114"/>
    <n v="330282.52449776378"/>
    <n v="871152.07814343658"/>
  </r>
  <r>
    <s v="Regular"/>
    <x v="2"/>
    <x v="0"/>
    <x v="2"/>
    <x v="2"/>
    <x v="0"/>
    <x v="0"/>
    <x v="0"/>
    <x v="10"/>
    <n v="16363"/>
    <n v="16363"/>
    <n v="3955.5949999999998"/>
    <n v="3955.5949999999998"/>
    <n v="3955.5949999999998"/>
    <n v="3955.5949999999998"/>
    <n v="0"/>
    <x v="0"/>
    <n v="0"/>
    <n v="22"/>
    <n v="23"/>
    <n v="82"/>
    <n v="8.81"/>
    <n v="84.45"/>
    <n v="256.38"/>
    <n v="11.452356648653195"/>
    <n v="87.520205040180812"/>
    <n v="230.84299908458948"/>
    <n v="144158.03"/>
    <n v="334049.99774999998"/>
    <n v="1014135.4460999999"/>
    <n v="187394.91184191222"/>
    <n v="346194.48545591399"/>
    <n v="913121.41296400665"/>
  </r>
  <r>
    <s v="PROJETADO"/>
    <x v="2"/>
    <x v="0"/>
    <x v="2"/>
    <x v="2"/>
    <x v="0"/>
    <x v="0"/>
    <x v="0"/>
    <x v="11"/>
    <n v="16363"/>
    <n v="16363"/>
    <n v="3955.5949999999998"/>
    <n v="3955.5949999999998"/>
    <n v="3955.5949999999998"/>
    <n v="3955.5949999999998"/>
    <n v="0"/>
    <x v="0"/>
    <n v="0"/>
    <n v="22"/>
    <n v="23"/>
    <n v="82"/>
    <n v="8.81"/>
    <n v="84.45"/>
    <n v="256.38"/>
    <n v="11.452356648653195"/>
    <n v="87.520205040180812"/>
    <n v="230.84299908458948"/>
    <n v="144158.03"/>
    <n v="334049.99774999998"/>
    <n v="1014135.4460999999"/>
    <n v="187394.91184191222"/>
    <n v="346194.48545591399"/>
    <n v="913121.41296400665"/>
  </r>
  <r>
    <s v="Regular"/>
    <x v="2"/>
    <x v="0"/>
    <x v="2"/>
    <x v="2"/>
    <x v="0"/>
    <x v="0"/>
    <x v="1"/>
    <x v="1"/>
    <n v="31218"/>
    <n v="31218"/>
    <n v="1465.2829999999999"/>
    <n v="1465.2829999999999"/>
    <n v="1465.2829999999999"/>
    <n v="1465.2829999999999"/>
    <n v="0"/>
    <x v="0"/>
    <n v="0"/>
    <n v="21"/>
    <n v="23"/>
    <n v="81"/>
    <n v="22.94"/>
    <n v="84.45"/>
    <n v="430.87"/>
    <n v="27.216283196676113"/>
    <n v="87.520205040180812"/>
    <n v="375.70671275609089"/>
    <n v="716140.92"/>
    <n v="123743.14934999999"/>
    <n v="631346.48621"/>
    <n v="849637.92883383483"/>
    <n v="128241.86860189126"/>
    <n v="550516.65918738313"/>
  </r>
  <r>
    <s v="Regular"/>
    <x v="2"/>
    <x v="0"/>
    <x v="2"/>
    <x v="2"/>
    <x v="0"/>
    <x v="0"/>
    <x v="1"/>
    <x v="2"/>
    <n v="16228"/>
    <n v="16228"/>
    <n v="684.26300000000003"/>
    <n v="684.26300000000003"/>
    <n v="684.26300000000003"/>
    <n v="684.26300000000003"/>
    <n v="0"/>
    <x v="0"/>
    <n v="0"/>
    <n v="21"/>
    <n v="23"/>
    <n v="81"/>
    <n v="22.94"/>
    <n v="84.45"/>
    <n v="430.87"/>
    <n v="27.216283196676113"/>
    <n v="87.520205040180812"/>
    <n v="375.70671275609089"/>
    <n v="372270.32"/>
    <n v="57786.010350000004"/>
    <n v="294828.39881000004"/>
    <n v="441665.84371565992"/>
    <n v="59886.838061409246"/>
    <n v="257082.20239062104"/>
  </r>
  <r>
    <s v="Regular"/>
    <x v="2"/>
    <x v="0"/>
    <x v="2"/>
    <x v="2"/>
    <x v="0"/>
    <x v="0"/>
    <x v="1"/>
    <x v="3"/>
    <n v="15053"/>
    <n v="15053"/>
    <n v="576.70100000000002"/>
    <n v="576.70100000000002"/>
    <n v="576.70100000000002"/>
    <n v="576.70100000000002"/>
    <n v="0"/>
    <x v="0"/>
    <n v="0"/>
    <n v="21"/>
    <n v="23"/>
    <n v="81"/>
    <n v="22.94"/>
    <n v="84.45"/>
    <n v="430.87"/>
    <n v="27.216283196676113"/>
    <n v="87.520205040180812"/>
    <n v="375.70671275609089"/>
    <n v="345315.82"/>
    <n v="48702.399450000004"/>
    <n v="248483.15987"/>
    <n v="409686.71095956553"/>
    <n v="50472.989766877319"/>
    <n v="216670.43695315038"/>
  </r>
  <r>
    <s v="Regular"/>
    <x v="2"/>
    <x v="0"/>
    <x v="2"/>
    <x v="2"/>
    <x v="0"/>
    <x v="0"/>
    <x v="1"/>
    <x v="4"/>
    <n v="14853"/>
    <n v="14853"/>
    <n v="719.96699999999998"/>
    <n v="719.96699999999998"/>
    <n v="719.96699999999998"/>
    <n v="719.96699999999998"/>
    <n v="0"/>
    <x v="0"/>
    <n v="0"/>
    <n v="21"/>
    <n v="23"/>
    <n v="81"/>
    <n v="22.94"/>
    <n v="84.45"/>
    <n v="430.87"/>
    <n v="27.216283196676113"/>
    <n v="87.520205040180812"/>
    <n v="375.70671275609089"/>
    <n v="340727.82"/>
    <n v="60801.213150000003"/>
    <n v="310212.18128999998"/>
    <n v="404243.45432023029"/>
    <n v="63011.659462163858"/>
    <n v="270496.43486286449"/>
  </r>
  <r>
    <s v="Regular"/>
    <x v="2"/>
    <x v="0"/>
    <x v="2"/>
    <x v="2"/>
    <x v="0"/>
    <x v="0"/>
    <x v="1"/>
    <x v="5"/>
    <n v="15266"/>
    <n v="15266"/>
    <n v="652.98299999999995"/>
    <n v="652.98299999999995"/>
    <n v="652.98299999999995"/>
    <n v="652.98299999999995"/>
    <n v="0"/>
    <x v="0"/>
    <n v="0"/>
    <n v="21"/>
    <n v="23"/>
    <n v="81"/>
    <n v="22.94"/>
    <n v="84.45"/>
    <n v="430.87"/>
    <n v="27.216283196676113"/>
    <n v="87.520205040180812"/>
    <n v="375.70671275609089"/>
    <n v="350202.04000000004"/>
    <n v="55144.414349999999"/>
    <n v="281350.78521"/>
    <n v="415483.77928045753"/>
    <n v="57149.206047752385"/>
    <n v="245330.09641561049"/>
  </r>
  <r>
    <s v="Regular"/>
    <x v="2"/>
    <x v="0"/>
    <x v="2"/>
    <x v="2"/>
    <x v="0"/>
    <x v="0"/>
    <x v="1"/>
    <x v="6"/>
    <n v="14608"/>
    <n v="14608"/>
    <n v="631.4"/>
    <n v="631.4"/>
    <n v="631.4"/>
    <n v="631.4"/>
    <n v="0"/>
    <x v="0"/>
    <n v="0"/>
    <n v="21"/>
    <n v="23"/>
    <n v="81"/>
    <n v="22.94"/>
    <n v="84.45"/>
    <n v="430.87"/>
    <n v="27.216283196676113"/>
    <n v="87.520205040180812"/>
    <n v="375.70671275609089"/>
    <n v="335107.52"/>
    <n v="53321.73"/>
    <n v="272051.31799999997"/>
    <n v="397575.46493704466"/>
    <n v="55260.257462370166"/>
    <n v="237221.21843419579"/>
  </r>
  <r>
    <s v="Regular"/>
    <x v="2"/>
    <x v="0"/>
    <x v="2"/>
    <x v="2"/>
    <x v="0"/>
    <x v="0"/>
    <x v="1"/>
    <x v="7"/>
    <n v="14133"/>
    <n v="14133"/>
    <n v="609.83299999999997"/>
    <n v="609.83299999999997"/>
    <n v="609.83299999999997"/>
    <n v="609.83299999999997"/>
    <n v="0"/>
    <x v="0"/>
    <n v="0"/>
    <n v="21"/>
    <n v="23"/>
    <n v="81"/>
    <n v="22.94"/>
    <n v="84.45"/>
    <n v="430.87"/>
    <n v="27.216283196676113"/>
    <n v="87.520205040180812"/>
    <n v="375.70671275609089"/>
    <n v="324211.02"/>
    <n v="51500.396849999997"/>
    <n v="262758.74471"/>
    <n v="384647.73041862348"/>
    <n v="53372.709200268582"/>
    <n v="229118.35176018518"/>
  </r>
  <r>
    <s v="Regular"/>
    <x v="2"/>
    <x v="0"/>
    <x v="2"/>
    <x v="2"/>
    <x v="0"/>
    <x v="0"/>
    <x v="1"/>
    <x v="8"/>
    <n v="16520"/>
    <n v="16520"/>
    <n v="662.77300000000002"/>
    <n v="662.77300000000002"/>
    <n v="662.77300000000002"/>
    <n v="662.77300000000002"/>
    <n v="0"/>
    <x v="0"/>
    <n v="0"/>
    <n v="21"/>
    <n v="23"/>
    <n v="81"/>
    <n v="22.94"/>
    <n v="84.45"/>
    <n v="430.87"/>
    <n v="27.216283196676113"/>
    <n v="87.520205040180812"/>
    <n v="375.70671275609089"/>
    <n v="378968.80000000005"/>
    <n v="55971.17985"/>
    <n v="285569.00251000002"/>
    <n v="449612.9984090894"/>
    <n v="58006.028855095763"/>
    <n v="249008.26513349265"/>
  </r>
  <r>
    <s v="Regular"/>
    <x v="2"/>
    <x v="0"/>
    <x v="2"/>
    <x v="2"/>
    <x v="0"/>
    <x v="0"/>
    <x v="1"/>
    <x v="9"/>
    <n v="20365"/>
    <n v="20365"/>
    <n v="667.98500000000001"/>
    <n v="667.98500000000001"/>
    <n v="667.98500000000001"/>
    <n v="667.98500000000001"/>
    <n v="0"/>
    <x v="0"/>
    <n v="0"/>
    <n v="21"/>
    <n v="23"/>
    <n v="81"/>
    <n v="22.94"/>
    <n v="84.45"/>
    <n v="430.87"/>
    <n v="27.216283196676113"/>
    <n v="87.520205040180812"/>
    <n v="375.70671275609089"/>
    <n v="467173.10000000003"/>
    <n v="56411.333250000003"/>
    <n v="287814.69695000001"/>
    <n v="554259.607300309"/>
    <n v="58462.184163765181"/>
    <n v="250966.44852037739"/>
  </r>
  <r>
    <s v="Regular"/>
    <x v="2"/>
    <x v="0"/>
    <x v="2"/>
    <x v="2"/>
    <x v="0"/>
    <x v="0"/>
    <x v="1"/>
    <x v="10"/>
    <n v="16858"/>
    <n v="16858"/>
    <n v="723.49599999999998"/>
    <n v="723.49599999999998"/>
    <n v="723.49599999999998"/>
    <n v="723.49599999999998"/>
    <n v="0"/>
    <x v="0"/>
    <n v="0"/>
    <n v="21"/>
    <n v="23"/>
    <n v="81"/>
    <n v="22.94"/>
    <n v="84.45"/>
    <n v="430.87"/>
    <n v="27.216283196676113"/>
    <n v="87.520205040180812"/>
    <n v="375.70671275609089"/>
    <n v="386722.52"/>
    <n v="61099.237200000003"/>
    <n v="311732.72152000002"/>
    <n v="458812.1021295659"/>
    <n v="63320.518265750652"/>
    <n v="271822.30385218072"/>
  </r>
  <r>
    <s v="PROJETADO"/>
    <x v="2"/>
    <x v="0"/>
    <x v="2"/>
    <x v="2"/>
    <x v="0"/>
    <x v="0"/>
    <x v="1"/>
    <x v="11"/>
    <n v="16858"/>
    <n v="16858"/>
    <n v="723.49599999999998"/>
    <n v="723.49599999999998"/>
    <n v="723.49599999999998"/>
    <n v="723.49599999999998"/>
    <n v="0"/>
    <x v="0"/>
    <n v="0"/>
    <n v="21"/>
    <n v="23"/>
    <n v="81"/>
    <n v="22.94"/>
    <n v="84.45"/>
    <n v="430.87"/>
    <n v="27.216283196676113"/>
    <n v="87.520205040180812"/>
    <n v="375.70671275609089"/>
    <n v="386722.52"/>
    <n v="61099.237200000003"/>
    <n v="311732.72152000002"/>
    <n v="458812.1021295659"/>
    <n v="63320.518265750652"/>
    <n v="271822.30385218072"/>
  </r>
  <r>
    <s v="Regular"/>
    <x v="2"/>
    <x v="3"/>
    <x v="0"/>
    <x v="0"/>
    <x v="0"/>
    <x v="0"/>
    <x v="0"/>
    <x v="0"/>
    <n v="0"/>
    <n v="0"/>
    <n v="22604.132000000001"/>
    <n v="22604.132000000001"/>
    <n v="22604.132000000001"/>
    <n v="22604.132000000001"/>
    <n v="0"/>
    <x v="0"/>
    <n v="0"/>
    <n v="0"/>
    <n v="28"/>
    <n v="82"/>
    <n v="0"/>
    <n v="84.45"/>
    <n v="256.38"/>
    <m/>
    <n v="87.520205040180812"/>
    <n v="230.84299908458948"/>
    <n v="0"/>
    <n v="1908918.9474000002"/>
    <n v="5795247.36216"/>
    <n v="0"/>
    <n v="1978318.2673953124"/>
    <n v="5218005.6225839397"/>
  </r>
  <r>
    <s v="Refaturamento - Regular"/>
    <x v="2"/>
    <x v="3"/>
    <x v="0"/>
    <x v="0"/>
    <x v="0"/>
    <x v="0"/>
    <x v="0"/>
    <x v="0"/>
    <n v="0"/>
    <n v="0"/>
    <n v="103.14400000000001"/>
    <n v="103.14400000000001"/>
    <n v="103.14400000000001"/>
    <n v="103.14400000000001"/>
    <n v="0"/>
    <x v="0"/>
    <n v="0"/>
    <n v="0"/>
    <n v="28"/>
    <n v="82"/>
    <n v="0"/>
    <n v="84.45"/>
    <n v="256.38"/>
    <m/>
    <n v="87.520205040180812"/>
    <n v="230.84299908458948"/>
    <n v="0"/>
    <n v="8710.5108"/>
    <n v="26444.058720000001"/>
    <n v="0"/>
    <n v="9027.184028664411"/>
    <n v="23810.0702975809"/>
  </r>
  <r>
    <s v="Sistema de Compensação"/>
    <x v="2"/>
    <x v="3"/>
    <x v="0"/>
    <x v="0"/>
    <x v="0"/>
    <x v="0"/>
    <x v="0"/>
    <x v="0"/>
    <n v="0"/>
    <n v="0"/>
    <n v="843.99800000000005"/>
    <n v="843.99800000000005"/>
    <n v="843.99800000000005"/>
    <n v="843.99800000000005"/>
    <n v="0"/>
    <x v="0"/>
    <n v="0"/>
    <n v="0"/>
    <n v="28"/>
    <n v="82"/>
    <n v="0"/>
    <n v="84.45"/>
    <n v="256.38"/>
    <m/>
    <n v="87.520205040180812"/>
    <n v="230.84299908458948"/>
    <n v="0"/>
    <n v="71275.631100000013"/>
    <n v="216384.20724000002"/>
    <n v="0"/>
    <n v="73866.87801350253"/>
    <n v="194831.02954139537"/>
  </r>
  <r>
    <s v="Regular"/>
    <x v="2"/>
    <x v="3"/>
    <x v="0"/>
    <x v="0"/>
    <x v="0"/>
    <x v="0"/>
    <x v="0"/>
    <x v="1"/>
    <n v="0"/>
    <n v="0"/>
    <n v="23964.532999999999"/>
    <n v="23964.532999999999"/>
    <n v="23964.532999999999"/>
    <n v="23964.532999999999"/>
    <n v="0"/>
    <x v="0"/>
    <n v="0"/>
    <n v="0"/>
    <n v="28"/>
    <n v="82"/>
    <n v="0"/>
    <n v="84.45"/>
    <n v="256.38"/>
    <m/>
    <n v="87.520205040180812"/>
    <n v="230.84299908458948"/>
    <n v="0"/>
    <n v="2023804.8118499999"/>
    <n v="6144026.9705400001"/>
    <n v="0"/>
    <n v="2097380.8418521793"/>
    <n v="5532044.6693816138"/>
  </r>
  <r>
    <s v="Refaturamento - Regular"/>
    <x v="2"/>
    <x v="3"/>
    <x v="0"/>
    <x v="0"/>
    <x v="0"/>
    <x v="0"/>
    <x v="0"/>
    <x v="1"/>
    <n v="0"/>
    <n v="0"/>
    <n v="7.8029999999999999"/>
    <n v="7.8029999999999999"/>
    <n v="7.8029999999999999"/>
    <n v="7.8029999999999999"/>
    <n v="0"/>
    <x v="0"/>
    <n v="0"/>
    <n v="0"/>
    <n v="28"/>
    <n v="82"/>
    <n v="0"/>
    <n v="84.45"/>
    <n v="256.38"/>
    <m/>
    <n v="87.520205040180812"/>
    <n v="230.84299908458948"/>
    <n v="0"/>
    <n v="658.96334999999999"/>
    <n v="2000.53314"/>
    <n v="0"/>
    <n v="682.92015992853089"/>
    <n v="1801.2679218570518"/>
  </r>
  <r>
    <s v="Sistema de Compensação"/>
    <x v="2"/>
    <x v="3"/>
    <x v="0"/>
    <x v="0"/>
    <x v="0"/>
    <x v="0"/>
    <x v="0"/>
    <x v="1"/>
    <n v="0"/>
    <n v="0"/>
    <n v="866.86"/>
    <n v="866.86"/>
    <n v="866.86"/>
    <n v="866.86"/>
    <n v="0"/>
    <x v="0"/>
    <n v="0"/>
    <n v="0"/>
    <n v="28"/>
    <n v="82"/>
    <n v="0"/>
    <n v="84.45"/>
    <n v="256.38"/>
    <m/>
    <n v="87.520205040180812"/>
    <n v="230.84299908458948"/>
    <n v="0"/>
    <n v="73206.327000000005"/>
    <n v="222245.5668"/>
    <n v="0"/>
    <n v="75867.764941131143"/>
    <n v="200108.56218646723"/>
  </r>
  <r>
    <s v="Regular"/>
    <x v="2"/>
    <x v="3"/>
    <x v="0"/>
    <x v="0"/>
    <x v="0"/>
    <x v="0"/>
    <x v="0"/>
    <x v="2"/>
    <n v="0"/>
    <n v="0"/>
    <n v="21865.151999999998"/>
    <n v="21865.151999999998"/>
    <n v="21865.151999999998"/>
    <n v="21865.151999999998"/>
    <n v="0"/>
    <x v="0"/>
    <n v="0"/>
    <n v="0"/>
    <n v="28"/>
    <n v="82"/>
    <n v="0"/>
    <n v="84.45"/>
    <n v="256.38"/>
    <m/>
    <n v="87.520205040180812"/>
    <n v="230.84299908458948"/>
    <n v="0"/>
    <n v="1846512.0863999999"/>
    <n v="5605787.669759999"/>
    <n v="0"/>
    <n v="1913642.5862747193"/>
    <n v="5047417.2631204091"/>
  </r>
  <r>
    <s v="Refaturamento - Regular"/>
    <x v="2"/>
    <x v="3"/>
    <x v="0"/>
    <x v="0"/>
    <x v="0"/>
    <x v="0"/>
    <x v="0"/>
    <x v="2"/>
    <n v="0"/>
    <n v="0"/>
    <n v="30.341999999999999"/>
    <n v="30.341999999999999"/>
    <n v="30.341999999999999"/>
    <n v="30.341999999999999"/>
    <n v="0"/>
    <x v="0"/>
    <n v="0"/>
    <n v="0"/>
    <n v="28"/>
    <n v="82"/>
    <n v="0"/>
    <n v="84.45"/>
    <n v="256.38"/>
    <m/>
    <n v="87.520205040180812"/>
    <n v="230.84299908458948"/>
    <n v="0"/>
    <n v="2562.3818999999999"/>
    <n v="7779.0819599999995"/>
    <n v="0"/>
    <n v="2655.5380613291659"/>
    <n v="7004.2382782246141"/>
  </r>
  <r>
    <s v="Sistema de Compensação"/>
    <x v="2"/>
    <x v="3"/>
    <x v="0"/>
    <x v="0"/>
    <x v="0"/>
    <x v="0"/>
    <x v="0"/>
    <x v="2"/>
    <n v="0"/>
    <n v="0"/>
    <n v="822.12199999999996"/>
    <n v="822.12199999999996"/>
    <n v="822.12199999999996"/>
    <n v="822.12199999999996"/>
    <n v="0"/>
    <x v="0"/>
    <n v="0"/>
    <n v="0"/>
    <n v="28"/>
    <n v="82"/>
    <n v="0"/>
    <n v="84.45"/>
    <n v="256.38"/>
    <m/>
    <n v="87.520205040180812"/>
    <n v="230.84299908458948"/>
    <n v="0"/>
    <n v="69428.202900000004"/>
    <n v="210775.63835999998"/>
    <n v="0"/>
    <n v="71952.28600804352"/>
    <n v="189781.10809342086"/>
  </r>
  <r>
    <s v="Regular"/>
    <x v="2"/>
    <x v="3"/>
    <x v="0"/>
    <x v="0"/>
    <x v="0"/>
    <x v="0"/>
    <x v="0"/>
    <x v="3"/>
    <n v="0"/>
    <n v="0"/>
    <n v="20665.629000000001"/>
    <n v="20665.629000000001"/>
    <n v="20665.629000000001"/>
    <n v="20665.629000000001"/>
    <n v="0"/>
    <x v="0"/>
    <n v="0"/>
    <n v="0"/>
    <n v="28"/>
    <n v="82"/>
    <n v="0"/>
    <n v="84.45"/>
    <n v="256.38"/>
    <m/>
    <n v="87.520205040180812"/>
    <n v="230.84299908458948"/>
    <n v="0"/>
    <n v="1745212.3690500001"/>
    <n v="5298253.9630199997"/>
    <n v="0"/>
    <n v="1808660.0873643069"/>
    <n v="4770515.7763294661"/>
  </r>
  <r>
    <s v="Refaturamento - Regular"/>
    <x v="2"/>
    <x v="3"/>
    <x v="0"/>
    <x v="0"/>
    <x v="0"/>
    <x v="0"/>
    <x v="0"/>
    <x v="3"/>
    <n v="0"/>
    <n v="0"/>
    <n v="42.61"/>
    <n v="42.61"/>
    <n v="42.61"/>
    <n v="42.61"/>
    <n v="0"/>
    <x v="0"/>
    <n v="0"/>
    <n v="0"/>
    <n v="28"/>
    <n v="82"/>
    <n v="0"/>
    <n v="84.45"/>
    <n v="256.38"/>
    <m/>
    <n v="87.520205040180812"/>
    <n v="230.84299908458948"/>
    <n v="0"/>
    <n v="3598.4144999999999"/>
    <n v="10924.3518"/>
    <n v="0"/>
    <n v="3729.2359367621043"/>
    <n v="9836.2201909943578"/>
  </r>
  <r>
    <s v="Sistema de Compensação"/>
    <x v="2"/>
    <x v="3"/>
    <x v="0"/>
    <x v="0"/>
    <x v="0"/>
    <x v="0"/>
    <x v="0"/>
    <x v="3"/>
    <n v="0"/>
    <n v="0"/>
    <n v="617.13300000000004"/>
    <n v="617.13300000000004"/>
    <n v="617.13300000000004"/>
    <n v="617.13300000000004"/>
    <n v="0"/>
    <x v="0"/>
    <n v="0"/>
    <n v="0"/>
    <n v="28"/>
    <n v="82"/>
    <n v="0"/>
    <n v="84.45"/>
    <n v="256.38"/>
    <m/>
    <n v="87.520205040180812"/>
    <n v="230.84299908458948"/>
    <n v="0"/>
    <n v="52116.881850000005"/>
    <n v="158220.55854"/>
    <n v="0"/>
    <n v="54011.606697061907"/>
    <n v="142460.83255406996"/>
  </r>
  <r>
    <s v="Regular"/>
    <x v="2"/>
    <x v="3"/>
    <x v="0"/>
    <x v="0"/>
    <x v="0"/>
    <x v="0"/>
    <x v="0"/>
    <x v="4"/>
    <n v="0"/>
    <n v="0"/>
    <n v="21804.061000000002"/>
    <n v="21804.061000000002"/>
    <n v="21804.061000000002"/>
    <n v="21804.061000000002"/>
    <n v="0"/>
    <x v="0"/>
    <n v="0"/>
    <n v="0"/>
    <n v="28"/>
    <n v="82"/>
    <n v="0"/>
    <n v="84.45"/>
    <n v="256.38"/>
    <m/>
    <n v="87.520205040180812"/>
    <n v="230.84299908458948"/>
    <n v="0"/>
    <n v="1841352.9514500003"/>
    <n v="5590125.1591800004"/>
    <n v="0"/>
    <n v="1908295.88942861"/>
    <n v="5033314.8334633335"/>
  </r>
  <r>
    <s v="Refaturamento - Regular"/>
    <x v="2"/>
    <x v="3"/>
    <x v="0"/>
    <x v="0"/>
    <x v="0"/>
    <x v="0"/>
    <x v="0"/>
    <x v="4"/>
    <n v="0"/>
    <n v="0"/>
    <n v="105.18"/>
    <n v="105.18"/>
    <n v="105.18"/>
    <n v="105.18"/>
    <n v="0"/>
    <x v="0"/>
    <n v="0"/>
    <n v="0"/>
    <n v="28"/>
    <n v="82"/>
    <n v="0"/>
    <n v="84.45"/>
    <n v="256.38"/>
    <m/>
    <n v="87.520205040180812"/>
    <n v="230.84299908458948"/>
    <n v="0"/>
    <n v="8882.4510000000009"/>
    <n v="26966.0484"/>
    <n v="0"/>
    <n v="9205.3751661262177"/>
    <n v="24280.066643717124"/>
  </r>
  <r>
    <s v="Sistema de Compensação"/>
    <x v="2"/>
    <x v="3"/>
    <x v="0"/>
    <x v="0"/>
    <x v="0"/>
    <x v="0"/>
    <x v="0"/>
    <x v="4"/>
    <n v="0"/>
    <n v="0"/>
    <n v="672.19299999999998"/>
    <n v="672.19299999999998"/>
    <n v="672.19299999999998"/>
    <n v="672.19299999999998"/>
    <n v="0"/>
    <x v="0"/>
    <n v="0"/>
    <n v="0"/>
    <n v="28"/>
    <n v="82"/>
    <n v="0"/>
    <n v="84.45"/>
    <n v="256.38"/>
    <m/>
    <n v="87.520205040180812"/>
    <n v="230.84299908458948"/>
    <n v="0"/>
    <n v="56766.698850000001"/>
    <n v="172336.84133999998"/>
    <n v="0"/>
    <n v="58830.469186574257"/>
    <n v="155171.04808366744"/>
  </r>
  <r>
    <s v="Regular"/>
    <x v="2"/>
    <x v="3"/>
    <x v="0"/>
    <x v="0"/>
    <x v="0"/>
    <x v="0"/>
    <x v="0"/>
    <x v="5"/>
    <n v="0"/>
    <n v="0"/>
    <n v="19869.427"/>
    <n v="19869.427"/>
    <n v="19869.427"/>
    <n v="19869.427"/>
    <n v="0"/>
    <x v="0"/>
    <n v="0"/>
    <n v="0"/>
    <n v="28"/>
    <n v="82"/>
    <n v="0"/>
    <n v="84.45"/>
    <n v="256.38"/>
    <m/>
    <n v="87.520205040180812"/>
    <n v="230.84299908458948"/>
    <n v="0"/>
    <n v="1677973.1101500001"/>
    <n v="5094123.6942600003"/>
    <n v="0"/>
    <n v="1738976.3250709048"/>
    <n v="4586718.1187723177"/>
  </r>
  <r>
    <s v="Refaturamento - Regular"/>
    <x v="2"/>
    <x v="3"/>
    <x v="0"/>
    <x v="0"/>
    <x v="0"/>
    <x v="0"/>
    <x v="0"/>
    <x v="5"/>
    <n v="0"/>
    <n v="0"/>
    <n v="93.224999999999994"/>
    <n v="93.224999999999994"/>
    <n v="93.224999999999994"/>
    <n v="93.224999999999994"/>
    <n v="0"/>
    <x v="0"/>
    <n v="0"/>
    <n v="0"/>
    <n v="28"/>
    <n v="82"/>
    <n v="0"/>
    <n v="84.45"/>
    <n v="256.38"/>
    <m/>
    <n v="87.520205040180812"/>
    <n v="230.84299908458948"/>
    <n v="0"/>
    <n v="7872.8512499999997"/>
    <n v="23901.0255"/>
    <n v="0"/>
    <n v="8159.071114870856"/>
    <n v="21520.338589660852"/>
  </r>
  <r>
    <s v="Sistema de Compensação"/>
    <x v="2"/>
    <x v="3"/>
    <x v="0"/>
    <x v="0"/>
    <x v="0"/>
    <x v="0"/>
    <x v="0"/>
    <x v="5"/>
    <n v="0"/>
    <n v="0"/>
    <n v="703.63199999999995"/>
    <n v="703.63199999999995"/>
    <n v="703.63199999999995"/>
    <n v="703.63199999999995"/>
    <n v="0"/>
    <x v="0"/>
    <n v="0"/>
    <n v="0"/>
    <n v="28"/>
    <n v="82"/>
    <n v="0"/>
    <n v="84.45"/>
    <n v="256.38"/>
    <m/>
    <n v="87.520205040180812"/>
    <n v="230.84299908458948"/>
    <n v="0"/>
    <n v="59421.722399999999"/>
    <n v="180397.17215999999"/>
    <n v="0"/>
    <n v="61582.0169128325"/>
    <n v="162428.52113188786"/>
  </r>
  <r>
    <s v="Regular"/>
    <x v="2"/>
    <x v="3"/>
    <x v="0"/>
    <x v="0"/>
    <x v="0"/>
    <x v="0"/>
    <x v="0"/>
    <x v="6"/>
    <n v="0"/>
    <n v="0"/>
    <n v="18943.346000000001"/>
    <n v="18943.346000000001"/>
    <n v="18943.346000000001"/>
    <n v="18943.346000000001"/>
    <n v="0"/>
    <x v="0"/>
    <n v="0"/>
    <n v="0"/>
    <n v="28"/>
    <n v="82"/>
    <n v="0"/>
    <n v="84.45"/>
    <n v="256.38"/>
    <m/>
    <n v="87.520205040180812"/>
    <n v="230.84299908458948"/>
    <n v="0"/>
    <n v="1599765.5697000001"/>
    <n v="4856695.0474800002"/>
    <n v="0"/>
    <n v="1657925.5260670891"/>
    <n v="4372938.8033370618"/>
  </r>
  <r>
    <s v="Refaturamento - Regular"/>
    <x v="2"/>
    <x v="3"/>
    <x v="0"/>
    <x v="0"/>
    <x v="0"/>
    <x v="0"/>
    <x v="0"/>
    <x v="6"/>
    <n v="0"/>
    <n v="0"/>
    <n v="13.167999999999999"/>
    <n v="13.167999999999999"/>
    <n v="13.167999999999999"/>
    <n v="13.167999999999999"/>
    <n v="0"/>
    <x v="0"/>
    <n v="0"/>
    <n v="0"/>
    <n v="28"/>
    <n v="82"/>
    <n v="0"/>
    <n v="84.45"/>
    <n v="256.38"/>
    <m/>
    <n v="87.520205040180812"/>
    <n v="230.84299908458948"/>
    <n v="0"/>
    <n v="1112.0375999999999"/>
    <n v="3376.0118399999997"/>
    <n v="0"/>
    <n v="1152.4660599691008"/>
    <n v="3039.7406119458742"/>
  </r>
  <r>
    <s v="Sistema de Compensação"/>
    <x v="2"/>
    <x v="3"/>
    <x v="0"/>
    <x v="0"/>
    <x v="0"/>
    <x v="0"/>
    <x v="0"/>
    <x v="6"/>
    <n v="0"/>
    <n v="0"/>
    <n v="744.57299999999998"/>
    <n v="744.57299999999998"/>
    <n v="744.57299999999998"/>
    <n v="744.57299999999998"/>
    <n v="0"/>
    <x v="0"/>
    <n v="0"/>
    <n v="0"/>
    <n v="28"/>
    <n v="82"/>
    <n v="0"/>
    <n v="84.45"/>
    <n v="256.38"/>
    <m/>
    <n v="87.520205040180812"/>
    <n v="230.84299908458948"/>
    <n v="0"/>
    <n v="62879.189850000002"/>
    <n v="190893.62573999999"/>
    <n v="0"/>
    <n v="65165.181627382546"/>
    <n v="171879.46435741003"/>
  </r>
  <r>
    <s v="Regular"/>
    <x v="2"/>
    <x v="3"/>
    <x v="0"/>
    <x v="0"/>
    <x v="0"/>
    <x v="0"/>
    <x v="0"/>
    <x v="7"/>
    <n v="0"/>
    <n v="0"/>
    <n v="15401.210999999999"/>
    <n v="15401.210999999999"/>
    <n v="15401.210999999999"/>
    <n v="15401.210999999999"/>
    <n v="0"/>
    <x v="0"/>
    <n v="0"/>
    <n v="0"/>
    <n v="28"/>
    <n v="82"/>
    <n v="0"/>
    <n v="84.45"/>
    <n v="256.38"/>
    <m/>
    <n v="87.520205040180812"/>
    <n v="230.84299908458948"/>
    <n v="0"/>
    <n v="1300632.2689499999"/>
    <n v="3948562.4761799998"/>
    <n v="0"/>
    <n v="1347917.1445870881"/>
    <n v="3555261.7367745694"/>
  </r>
  <r>
    <s v="Refaturamento - Regular"/>
    <x v="2"/>
    <x v="3"/>
    <x v="0"/>
    <x v="0"/>
    <x v="0"/>
    <x v="0"/>
    <x v="0"/>
    <x v="7"/>
    <n v="0"/>
    <n v="0"/>
    <n v="12.983000000000001"/>
    <n v="12.983000000000001"/>
    <n v="12.983000000000001"/>
    <n v="12.983000000000001"/>
    <n v="0"/>
    <x v="0"/>
    <n v="0"/>
    <n v="0"/>
    <n v="28"/>
    <n v="82"/>
    <n v="0"/>
    <n v="84.45"/>
    <n v="256.38"/>
    <m/>
    <n v="87.520205040180812"/>
    <n v="230.84299908458948"/>
    <n v="0"/>
    <n v="1096.41435"/>
    <n v="3328.5815400000001"/>
    <n v="0"/>
    <n v="1136.2748220366675"/>
    <n v="2997.0346571152254"/>
  </r>
  <r>
    <s v="Sistema de Compensação"/>
    <x v="2"/>
    <x v="3"/>
    <x v="0"/>
    <x v="0"/>
    <x v="0"/>
    <x v="0"/>
    <x v="0"/>
    <x v="7"/>
    <n v="0"/>
    <n v="0"/>
    <n v="623.43299999999999"/>
    <n v="623.43299999999999"/>
    <n v="623.43299999999999"/>
    <n v="623.43299999999999"/>
    <n v="0"/>
    <x v="0"/>
    <n v="0"/>
    <n v="0"/>
    <n v="28"/>
    <n v="82"/>
    <n v="0"/>
    <n v="84.45"/>
    <n v="256.38"/>
    <m/>
    <n v="87.520205040180812"/>
    <n v="230.84299908458948"/>
    <n v="0"/>
    <n v="52648.916850000001"/>
    <n v="159835.75253999999"/>
    <n v="0"/>
    <n v="54562.983988815045"/>
    <n v="143915.14344830287"/>
  </r>
  <r>
    <s v="Regular"/>
    <x v="2"/>
    <x v="3"/>
    <x v="0"/>
    <x v="0"/>
    <x v="0"/>
    <x v="0"/>
    <x v="0"/>
    <x v="8"/>
    <n v="0"/>
    <n v="0"/>
    <n v="15555.379000000001"/>
    <n v="15555.379000000001"/>
    <n v="15555.379000000001"/>
    <n v="15555.379000000001"/>
    <n v="0"/>
    <x v="0"/>
    <n v="0"/>
    <n v="0"/>
    <n v="28"/>
    <n v="82"/>
    <n v="0"/>
    <n v="84.45"/>
    <n v="256.38"/>
    <m/>
    <n v="87.520205040180812"/>
    <n v="230.84299908458948"/>
    <n v="0"/>
    <n v="1313651.75655"/>
    <n v="3988088.0680200001"/>
    <n v="0"/>
    <n v="1361409.9595577228"/>
    <n v="3590850.3402574426"/>
  </r>
  <r>
    <s v="Refaturamento - Regular"/>
    <x v="2"/>
    <x v="3"/>
    <x v="0"/>
    <x v="0"/>
    <x v="0"/>
    <x v="0"/>
    <x v="0"/>
    <x v="8"/>
    <n v="0"/>
    <n v="0"/>
    <n v="12.406000000000001"/>
    <n v="12.406000000000001"/>
    <n v="12.406000000000001"/>
    <n v="12.406000000000001"/>
    <n v="0"/>
    <x v="0"/>
    <n v="0"/>
    <n v="0"/>
    <n v="28"/>
    <n v="82"/>
    <n v="0"/>
    <n v="84.45"/>
    <n v="256.38"/>
    <m/>
    <n v="87.520205040180812"/>
    <n v="230.84299908458948"/>
    <n v="0"/>
    <n v="1047.6867"/>
    <n v="3180.6502800000003"/>
    <n v="0"/>
    <n v="1085.7756637284831"/>
    <n v="2863.8382466434173"/>
  </r>
  <r>
    <s v="Sistema de Compensação"/>
    <x v="2"/>
    <x v="3"/>
    <x v="0"/>
    <x v="0"/>
    <x v="0"/>
    <x v="0"/>
    <x v="0"/>
    <x v="8"/>
    <n v="0"/>
    <n v="0"/>
    <n v="244.191"/>
    <n v="244.191"/>
    <n v="244.191"/>
    <n v="244.191"/>
    <n v="0"/>
    <x v="0"/>
    <n v="0"/>
    <n v="0"/>
    <n v="28"/>
    <n v="82"/>
    <n v="0"/>
    <n v="84.45"/>
    <n v="256.38"/>
    <m/>
    <n v="87.520205040180812"/>
    <n v="230.84299908458948"/>
    <n v="0"/>
    <n v="20621.929950000002"/>
    <n v="62605.688580000002"/>
    <n v="0"/>
    <n v="21371.646388966794"/>
    <n v="56369.782789464989"/>
  </r>
  <r>
    <s v="Regular"/>
    <x v="2"/>
    <x v="3"/>
    <x v="0"/>
    <x v="0"/>
    <x v="0"/>
    <x v="0"/>
    <x v="0"/>
    <x v="9"/>
    <n v="0"/>
    <n v="0"/>
    <n v="15117.457"/>
    <n v="15117.457"/>
    <n v="15117.457"/>
    <n v="15117.457"/>
    <n v="0"/>
    <x v="0"/>
    <n v="0"/>
    <n v="0"/>
    <n v="28"/>
    <n v="82"/>
    <n v="0"/>
    <n v="84.45"/>
    <n v="256.38"/>
    <m/>
    <n v="87.520205040180812"/>
    <n v="230.84299908458948"/>
    <n v="0"/>
    <n v="1276669.2436500001"/>
    <n v="3875813.6256599999"/>
    <n v="0"/>
    <n v="1323082.9363261168"/>
    <n v="3489759.1124123209"/>
  </r>
  <r>
    <s v="Refaturamento - Regular"/>
    <x v="2"/>
    <x v="3"/>
    <x v="0"/>
    <x v="0"/>
    <x v="0"/>
    <x v="0"/>
    <x v="0"/>
    <x v="9"/>
    <n v="0"/>
    <n v="0"/>
    <n v="35.244"/>
    <n v="35.244"/>
    <n v="35.244"/>
    <n v="35.244"/>
    <n v="0"/>
    <x v="0"/>
    <n v="0"/>
    <n v="0"/>
    <n v="28"/>
    <n v="82"/>
    <n v="0"/>
    <n v="84.45"/>
    <n v="256.38"/>
    <m/>
    <n v="87.520205040180812"/>
    <n v="230.84299908458948"/>
    <n v="0"/>
    <n v="2976.3558000000003"/>
    <n v="9035.8567199999998"/>
    <n v="0"/>
    <n v="3084.5621064361326"/>
    <n v="8135.8306597372712"/>
  </r>
  <r>
    <s v="Sistema de Compensação"/>
    <x v="2"/>
    <x v="3"/>
    <x v="0"/>
    <x v="0"/>
    <x v="0"/>
    <x v="0"/>
    <x v="0"/>
    <x v="9"/>
    <n v="0"/>
    <n v="0"/>
    <n v="236.15199999999999"/>
    <n v="236.15199999999999"/>
    <n v="236.15199999999999"/>
    <n v="236.15199999999999"/>
    <n v="0"/>
    <x v="0"/>
    <n v="0"/>
    <n v="0"/>
    <n v="28"/>
    <n v="82"/>
    <n v="0"/>
    <n v="84.45"/>
    <n v="256.38"/>
    <m/>
    <n v="87.520205040180812"/>
    <n v="230.84299908458948"/>
    <n v="0"/>
    <n v="19943.036400000001"/>
    <n v="60544.649759999993"/>
    <n v="0"/>
    <n v="20668.071460648778"/>
    <n v="54514.035919823975"/>
  </r>
  <r>
    <s v="Regular"/>
    <x v="2"/>
    <x v="3"/>
    <x v="0"/>
    <x v="0"/>
    <x v="0"/>
    <x v="0"/>
    <x v="0"/>
    <x v="10"/>
    <n v="0"/>
    <n v="0"/>
    <n v="16325.962"/>
    <n v="16325.962"/>
    <n v="16325.962"/>
    <n v="16325.962"/>
    <n v="0"/>
    <x v="0"/>
    <n v="0"/>
    <n v="0"/>
    <n v="28"/>
    <n v="82"/>
    <n v="0"/>
    <n v="84.45"/>
    <n v="256.38"/>
    <m/>
    <n v="87.520205040180812"/>
    <n v="230.84299908458948"/>
    <n v="0"/>
    <n v="1378727.4909000001"/>
    <n v="4185650.1375599997"/>
    <n v="0"/>
    <n v="1428851.5417182003"/>
    <n v="3768734.0310210427"/>
  </r>
  <r>
    <s v="Refaturamento - Regular"/>
    <x v="2"/>
    <x v="3"/>
    <x v="0"/>
    <x v="0"/>
    <x v="0"/>
    <x v="0"/>
    <x v="0"/>
    <x v="10"/>
    <n v="0"/>
    <n v="0"/>
    <n v="0.41199999999999998"/>
    <n v="0.41199999999999998"/>
    <n v="0.41199999999999998"/>
    <n v="0.41199999999999998"/>
    <n v="0"/>
    <x v="0"/>
    <n v="0"/>
    <n v="0"/>
    <n v="28"/>
    <n v="82"/>
    <n v="0"/>
    <n v="84.45"/>
    <n v="256.38"/>
    <m/>
    <n v="87.520205040180812"/>
    <n v="230.84299908458948"/>
    <n v="0"/>
    <n v="34.793399999999998"/>
    <n v="105.62855999999999"/>
    <n v="0"/>
    <n v="36.058324476554496"/>
    <n v="95.107315622850862"/>
  </r>
  <r>
    <s v="Sistema de Compensação"/>
    <x v="2"/>
    <x v="3"/>
    <x v="0"/>
    <x v="0"/>
    <x v="0"/>
    <x v="0"/>
    <x v="0"/>
    <x v="10"/>
    <n v="0"/>
    <n v="0"/>
    <n v="352.51299999999998"/>
    <n v="352.51299999999998"/>
    <n v="352.51299999999998"/>
    <n v="352.51299999999998"/>
    <n v="0"/>
    <x v="0"/>
    <n v="0"/>
    <n v="0"/>
    <n v="28"/>
    <n v="82"/>
    <n v="0"/>
    <n v="84.45"/>
    <n v="256.38"/>
    <m/>
    <n v="87.520205040180812"/>
    <n v="230.84299908458948"/>
    <n v="0"/>
    <n v="29769.722849999998"/>
    <n v="90377.28293999999"/>
    <n v="0"/>
    <n v="30852.010039329256"/>
    <n v="81375.158136305879"/>
  </r>
  <r>
    <s v="PROJETADO"/>
    <x v="2"/>
    <x v="3"/>
    <x v="0"/>
    <x v="0"/>
    <x v="0"/>
    <x v="0"/>
    <x v="0"/>
    <x v="11"/>
    <n v="0"/>
    <n v="0"/>
    <n v="16325.962"/>
    <n v="16325.962"/>
    <n v="16325.962"/>
    <n v="16325.962"/>
    <n v="0"/>
    <x v="0"/>
    <n v="0"/>
    <n v="0"/>
    <n v="28"/>
    <n v="82"/>
    <n v="0"/>
    <n v="84.45"/>
    <n v="256.38"/>
    <m/>
    <n v="87.520205040180812"/>
    <n v="230.84299908458948"/>
    <n v="0"/>
    <n v="1378727.4909000001"/>
    <n v="4185650.1375599997"/>
    <n v="0"/>
    <n v="1428851.5417182003"/>
    <n v="3768734.0310210427"/>
  </r>
  <r>
    <s v="PROJETADO"/>
    <x v="2"/>
    <x v="3"/>
    <x v="0"/>
    <x v="0"/>
    <x v="0"/>
    <x v="0"/>
    <x v="0"/>
    <x v="11"/>
    <n v="0"/>
    <n v="0"/>
    <n v="0.41199999999999998"/>
    <n v="0.41199999999999998"/>
    <n v="0.41199999999999998"/>
    <n v="0.41199999999999998"/>
    <n v="0"/>
    <x v="0"/>
    <n v="0"/>
    <n v="0"/>
    <n v="28"/>
    <n v="82"/>
    <n v="0"/>
    <n v="84.45"/>
    <n v="256.38"/>
    <m/>
    <n v="87.520205040180812"/>
    <n v="230.84299908458948"/>
    <n v="0"/>
    <n v="34.793399999999998"/>
    <n v="105.62855999999999"/>
    <n v="0"/>
    <n v="36.058324476554496"/>
    <n v="95.107315622850862"/>
  </r>
  <r>
    <s v="PROJETADO"/>
    <x v="2"/>
    <x v="3"/>
    <x v="0"/>
    <x v="0"/>
    <x v="0"/>
    <x v="0"/>
    <x v="0"/>
    <x v="11"/>
    <n v="0"/>
    <n v="0"/>
    <n v="352.51299999999998"/>
    <n v="352.51299999999998"/>
    <n v="352.51299999999998"/>
    <n v="352.51299999999998"/>
    <n v="0"/>
    <x v="0"/>
    <n v="0"/>
    <n v="0"/>
    <n v="28"/>
    <n v="82"/>
    <n v="0"/>
    <n v="84.45"/>
    <n v="256.38"/>
    <m/>
    <n v="87.520205040180812"/>
    <n v="230.84299908458948"/>
    <n v="0"/>
    <n v="29769.722849999998"/>
    <n v="90377.28293999999"/>
    <n v="0"/>
    <n v="30852.010039329256"/>
    <n v="81375.158136305879"/>
  </r>
  <r>
    <s v="Regular"/>
    <x v="2"/>
    <x v="3"/>
    <x v="0"/>
    <x v="0"/>
    <x v="0"/>
    <x v="0"/>
    <x v="2"/>
    <x v="0"/>
    <n v="123787"/>
    <n v="123787"/>
    <n v="0"/>
    <n v="0"/>
    <n v="0"/>
    <n v="0"/>
    <n v="911"/>
    <x v="0"/>
    <n v="0"/>
    <n v="26"/>
    <n v="0"/>
    <n v="0"/>
    <n v="8.81"/>
    <n v="0"/>
    <n v="0"/>
    <n v="11.452356648653195"/>
    <m/>
    <m/>
    <n v="1090563.47"/>
    <n v="0"/>
    <n v="0"/>
    <n v="1417652.8724668331"/>
    <n v="0"/>
    <n v="0"/>
  </r>
  <r>
    <s v="Refaturamento - Regular"/>
    <x v="2"/>
    <x v="3"/>
    <x v="0"/>
    <x v="0"/>
    <x v="0"/>
    <x v="0"/>
    <x v="2"/>
    <x v="0"/>
    <n v="274"/>
    <n v="274"/>
    <n v="0"/>
    <n v="0"/>
    <n v="0"/>
    <n v="0"/>
    <n v="2"/>
    <x v="0"/>
    <n v="0"/>
    <n v="26"/>
    <n v="0"/>
    <n v="0"/>
    <n v="8.81"/>
    <n v="0"/>
    <n v="0"/>
    <n v="11.452356648653195"/>
    <m/>
    <m/>
    <n v="2413.94"/>
    <n v="0"/>
    <n v="0"/>
    <n v="3137.9457217309755"/>
    <n v="0"/>
    <n v="0"/>
  </r>
  <r>
    <s v="Sistema de Compensação"/>
    <x v="2"/>
    <x v="3"/>
    <x v="0"/>
    <x v="0"/>
    <x v="0"/>
    <x v="0"/>
    <x v="2"/>
    <x v="0"/>
    <n v="11024"/>
    <n v="11024"/>
    <n v="0"/>
    <n v="0"/>
    <n v="0"/>
    <n v="0"/>
    <n v="43"/>
    <x v="0"/>
    <n v="0"/>
    <n v="26"/>
    <n v="0"/>
    <n v="0"/>
    <n v="8.81"/>
    <n v="0"/>
    <n v="0"/>
    <n v="11.452356648653195"/>
    <m/>
    <m/>
    <n v="97121.44"/>
    <n v="0"/>
    <n v="0"/>
    <n v="126250.77969475283"/>
    <n v="0"/>
    <n v="0"/>
  </r>
  <r>
    <s v="Regular"/>
    <x v="2"/>
    <x v="3"/>
    <x v="0"/>
    <x v="0"/>
    <x v="0"/>
    <x v="0"/>
    <x v="2"/>
    <x v="1"/>
    <n v="124583"/>
    <n v="124583"/>
    <n v="0"/>
    <n v="0"/>
    <n v="0"/>
    <n v="0"/>
    <n v="908"/>
    <x v="0"/>
    <n v="0"/>
    <n v="26"/>
    <n v="0"/>
    <n v="0"/>
    <n v="8.81"/>
    <n v="0"/>
    <n v="0"/>
    <n v="11.452356648653195"/>
    <m/>
    <m/>
    <n v="1097576.23"/>
    <n v="0"/>
    <n v="0"/>
    <n v="1426768.9483591609"/>
    <n v="0"/>
    <n v="0"/>
  </r>
  <r>
    <s v="Refaturamento - Regular"/>
    <x v="2"/>
    <x v="3"/>
    <x v="0"/>
    <x v="0"/>
    <x v="0"/>
    <x v="0"/>
    <x v="2"/>
    <x v="1"/>
    <n v="80"/>
    <n v="80"/>
    <n v="0"/>
    <n v="0"/>
    <n v="0"/>
    <n v="0"/>
    <n v="1"/>
    <x v="0"/>
    <n v="0"/>
    <n v="26"/>
    <n v="0"/>
    <n v="0"/>
    <n v="8.81"/>
    <n v="0"/>
    <n v="0"/>
    <n v="11.452356648653195"/>
    <m/>
    <m/>
    <n v="704.80000000000007"/>
    <n v="0"/>
    <n v="0"/>
    <n v="916.18853189225558"/>
    <n v="0"/>
    <n v="0"/>
  </r>
  <r>
    <s v="Sistema de Compensação"/>
    <x v="2"/>
    <x v="3"/>
    <x v="0"/>
    <x v="0"/>
    <x v="0"/>
    <x v="0"/>
    <x v="2"/>
    <x v="1"/>
    <n v="11024"/>
    <n v="11024"/>
    <n v="0"/>
    <n v="0"/>
    <n v="0"/>
    <n v="0"/>
    <n v="43"/>
    <x v="0"/>
    <n v="0"/>
    <n v="26"/>
    <n v="0"/>
    <n v="0"/>
    <n v="8.81"/>
    <n v="0"/>
    <n v="0"/>
    <n v="11.452356648653195"/>
    <m/>
    <m/>
    <n v="97121.44"/>
    <n v="0"/>
    <n v="0"/>
    <n v="126250.77969475283"/>
    <n v="0"/>
    <n v="0"/>
  </r>
  <r>
    <s v="Regular"/>
    <x v="2"/>
    <x v="3"/>
    <x v="0"/>
    <x v="0"/>
    <x v="0"/>
    <x v="0"/>
    <x v="2"/>
    <x v="2"/>
    <n v="122024"/>
    <n v="122024"/>
    <n v="0"/>
    <n v="0"/>
    <n v="0"/>
    <n v="0"/>
    <n v="902"/>
    <x v="0"/>
    <n v="0"/>
    <n v="26"/>
    <n v="0"/>
    <n v="0"/>
    <n v="8.81"/>
    <n v="0"/>
    <n v="0"/>
    <n v="11.452356648653195"/>
    <m/>
    <m/>
    <n v="1075031.4400000002"/>
    <n v="0"/>
    <n v="0"/>
    <n v="1397462.3676952575"/>
    <n v="0"/>
    <n v="0"/>
  </r>
  <r>
    <s v="Refaturamento - Regular"/>
    <x v="2"/>
    <x v="3"/>
    <x v="0"/>
    <x v="0"/>
    <x v="0"/>
    <x v="0"/>
    <x v="2"/>
    <x v="2"/>
    <n v="230"/>
    <n v="230"/>
    <n v="0"/>
    <n v="0"/>
    <n v="0"/>
    <n v="0"/>
    <n v="2"/>
    <x v="0"/>
    <n v="0"/>
    <n v="26"/>
    <n v="0"/>
    <n v="0"/>
    <n v="8.81"/>
    <n v="0"/>
    <n v="0"/>
    <n v="11.452356648653195"/>
    <m/>
    <m/>
    <n v="2026.3000000000002"/>
    <n v="0"/>
    <n v="0"/>
    <n v="2634.0420291902351"/>
    <n v="0"/>
    <n v="0"/>
  </r>
  <r>
    <s v="Sistema de Compensação"/>
    <x v="2"/>
    <x v="3"/>
    <x v="0"/>
    <x v="0"/>
    <x v="0"/>
    <x v="0"/>
    <x v="2"/>
    <x v="2"/>
    <n v="11604"/>
    <n v="11604"/>
    <n v="0"/>
    <n v="0"/>
    <n v="0"/>
    <n v="0"/>
    <n v="46"/>
    <x v="0"/>
    <n v="0"/>
    <n v="26"/>
    <n v="0"/>
    <n v="0"/>
    <n v="8.81"/>
    <n v="0"/>
    <n v="0"/>
    <n v="11.452356648653195"/>
    <m/>
    <m/>
    <n v="102231.24"/>
    <n v="0"/>
    <n v="0"/>
    <n v="132893.14655097167"/>
    <n v="0"/>
    <n v="0"/>
  </r>
  <r>
    <s v="Regular"/>
    <x v="2"/>
    <x v="3"/>
    <x v="0"/>
    <x v="0"/>
    <x v="0"/>
    <x v="0"/>
    <x v="2"/>
    <x v="3"/>
    <n v="120702"/>
    <n v="120702"/>
    <n v="0"/>
    <n v="0"/>
    <n v="0"/>
    <n v="0"/>
    <n v="901"/>
    <x v="0"/>
    <n v="0"/>
    <n v="26"/>
    <n v="0"/>
    <n v="0"/>
    <n v="8.81"/>
    <n v="0"/>
    <n v="0"/>
    <n v="11.452356648653195"/>
    <m/>
    <m/>
    <n v="1063384.6200000001"/>
    <n v="0"/>
    <n v="0"/>
    <n v="1382322.352205738"/>
    <n v="0"/>
    <n v="0"/>
  </r>
  <r>
    <s v="Refaturamento - Regular"/>
    <x v="2"/>
    <x v="3"/>
    <x v="0"/>
    <x v="0"/>
    <x v="0"/>
    <x v="0"/>
    <x v="2"/>
    <x v="3"/>
    <n v="266"/>
    <n v="266"/>
    <n v="0"/>
    <n v="0"/>
    <n v="0"/>
    <n v="0"/>
    <n v="3"/>
    <x v="0"/>
    <n v="0"/>
    <n v="26"/>
    <n v="0"/>
    <n v="0"/>
    <n v="8.81"/>
    <n v="0"/>
    <n v="0"/>
    <n v="11.452356648653195"/>
    <m/>
    <m/>
    <n v="2343.46"/>
    <n v="0"/>
    <n v="0"/>
    <n v="3046.3268685417497"/>
    <n v="0"/>
    <n v="0"/>
  </r>
  <r>
    <s v="Sistema de Compensação"/>
    <x v="2"/>
    <x v="3"/>
    <x v="0"/>
    <x v="0"/>
    <x v="0"/>
    <x v="0"/>
    <x v="2"/>
    <x v="3"/>
    <n v="11654"/>
    <n v="11654"/>
    <n v="0"/>
    <n v="0"/>
    <n v="0"/>
    <n v="0"/>
    <n v="46"/>
    <x v="0"/>
    <n v="0"/>
    <n v="26"/>
    <n v="0"/>
    <n v="0"/>
    <n v="8.81"/>
    <n v="0"/>
    <n v="0"/>
    <n v="11.452356648653195"/>
    <m/>
    <m/>
    <n v="102671.74"/>
    <n v="0"/>
    <n v="0"/>
    <n v="133465.76438340434"/>
    <n v="0"/>
    <n v="0"/>
  </r>
  <r>
    <s v="Regular"/>
    <x v="2"/>
    <x v="3"/>
    <x v="0"/>
    <x v="0"/>
    <x v="0"/>
    <x v="0"/>
    <x v="2"/>
    <x v="4"/>
    <n v="121439"/>
    <n v="121439"/>
    <n v="0"/>
    <n v="0"/>
    <n v="0"/>
    <n v="0"/>
    <n v="908"/>
    <x v="0"/>
    <n v="0"/>
    <n v="26"/>
    <n v="0"/>
    <n v="0"/>
    <n v="8.81"/>
    <n v="0"/>
    <n v="0"/>
    <n v="11.452356648653195"/>
    <m/>
    <m/>
    <n v="1069877.5900000001"/>
    <n v="0"/>
    <n v="0"/>
    <n v="1390762.7390557954"/>
    <n v="0"/>
    <n v="0"/>
  </r>
  <r>
    <s v="Refaturamento - Regular"/>
    <x v="2"/>
    <x v="3"/>
    <x v="0"/>
    <x v="0"/>
    <x v="0"/>
    <x v="0"/>
    <x v="2"/>
    <x v="4"/>
    <n v="370"/>
    <n v="370"/>
    <n v="0"/>
    <n v="0"/>
    <n v="0"/>
    <n v="0"/>
    <n v="3"/>
    <x v="0"/>
    <n v="0"/>
    <n v="26"/>
    <n v="0"/>
    <n v="0"/>
    <n v="8.81"/>
    <n v="0"/>
    <n v="0"/>
    <n v="11.452356648653195"/>
    <m/>
    <m/>
    <n v="3259.7000000000003"/>
    <n v="0"/>
    <n v="0"/>
    <n v="4237.3719600016821"/>
    <n v="0"/>
    <n v="0"/>
  </r>
  <r>
    <s v="Sistema de Compensação"/>
    <x v="2"/>
    <x v="3"/>
    <x v="0"/>
    <x v="0"/>
    <x v="0"/>
    <x v="0"/>
    <x v="2"/>
    <x v="4"/>
    <n v="11754"/>
    <n v="11754"/>
    <n v="0"/>
    <n v="0"/>
    <n v="0"/>
    <n v="0"/>
    <n v="47"/>
    <x v="0"/>
    <n v="0"/>
    <n v="26"/>
    <n v="0"/>
    <n v="0"/>
    <n v="8.81"/>
    <n v="0"/>
    <n v="0"/>
    <n v="11.452356648653195"/>
    <m/>
    <m/>
    <n v="103552.74"/>
    <n v="0"/>
    <n v="0"/>
    <n v="134611.00004826966"/>
    <n v="0"/>
    <n v="0"/>
  </r>
  <r>
    <s v="Regular"/>
    <x v="2"/>
    <x v="3"/>
    <x v="0"/>
    <x v="0"/>
    <x v="0"/>
    <x v="0"/>
    <x v="2"/>
    <x v="5"/>
    <n v="117567"/>
    <n v="117567"/>
    <n v="0"/>
    <n v="0"/>
    <n v="0"/>
    <n v="0"/>
    <n v="909"/>
    <x v="0"/>
    <n v="0"/>
    <n v="26"/>
    <n v="0"/>
    <n v="0"/>
    <n v="8.81"/>
    <n v="0"/>
    <n v="0"/>
    <n v="11.452356648653195"/>
    <m/>
    <m/>
    <n v="1035765.27"/>
    <n v="0"/>
    <n v="0"/>
    <n v="1346419.2141122101"/>
    <n v="0"/>
    <n v="0"/>
  </r>
  <r>
    <s v="Refaturamento - Regular"/>
    <x v="2"/>
    <x v="3"/>
    <x v="0"/>
    <x v="0"/>
    <x v="0"/>
    <x v="0"/>
    <x v="2"/>
    <x v="5"/>
    <n v="2315"/>
    <n v="2315"/>
    <n v="0"/>
    <n v="0"/>
    <n v="0"/>
    <n v="0"/>
    <n v="4"/>
    <x v="0"/>
    <n v="0"/>
    <n v="26"/>
    <n v="0"/>
    <n v="0"/>
    <n v="8.81"/>
    <n v="0"/>
    <n v="0"/>
    <n v="11.452356648653195"/>
    <m/>
    <m/>
    <n v="20395.150000000001"/>
    <n v="0"/>
    <n v="0"/>
    <n v="26512.205641632147"/>
    <n v="0"/>
    <n v="0"/>
  </r>
  <r>
    <s v="Sistema de Compensação"/>
    <x v="2"/>
    <x v="3"/>
    <x v="0"/>
    <x v="0"/>
    <x v="0"/>
    <x v="0"/>
    <x v="2"/>
    <x v="5"/>
    <n v="12978"/>
    <n v="12978"/>
    <n v="0"/>
    <n v="0"/>
    <n v="0"/>
    <n v="0"/>
    <n v="49"/>
    <x v="0"/>
    <n v="0"/>
    <n v="26"/>
    <n v="0"/>
    <n v="0"/>
    <n v="8.81"/>
    <n v="0"/>
    <n v="0"/>
    <n v="11.452356648653195"/>
    <m/>
    <m/>
    <n v="114336.18000000001"/>
    <n v="0"/>
    <n v="0"/>
    <n v="148628.68458622118"/>
    <n v="0"/>
    <n v="0"/>
  </r>
  <r>
    <s v="Regular"/>
    <x v="2"/>
    <x v="3"/>
    <x v="0"/>
    <x v="0"/>
    <x v="0"/>
    <x v="0"/>
    <x v="2"/>
    <x v="6"/>
    <n v="120048"/>
    <n v="120048"/>
    <n v="0"/>
    <n v="0"/>
    <n v="0"/>
    <n v="0"/>
    <n v="912"/>
    <x v="0"/>
    <n v="0"/>
    <n v="26"/>
    <n v="0"/>
    <n v="0"/>
    <n v="8.81"/>
    <n v="0"/>
    <n v="0"/>
    <n v="11.452356648653195"/>
    <m/>
    <m/>
    <n v="1057622.8800000001"/>
    <n v="0"/>
    <n v="0"/>
    <n v="1374832.5109575188"/>
    <n v="0"/>
    <n v="0"/>
  </r>
  <r>
    <s v="Refaturamento - Regular"/>
    <x v="2"/>
    <x v="3"/>
    <x v="0"/>
    <x v="0"/>
    <x v="0"/>
    <x v="0"/>
    <x v="2"/>
    <x v="6"/>
    <n v="170"/>
    <n v="170"/>
    <n v="0"/>
    <n v="0"/>
    <n v="0"/>
    <n v="0"/>
    <n v="1"/>
    <x v="0"/>
    <n v="0"/>
    <n v="26"/>
    <n v="0"/>
    <n v="0"/>
    <n v="8.81"/>
    <n v="0"/>
    <n v="0"/>
    <n v="11.452356648653195"/>
    <m/>
    <m/>
    <n v="1497.7"/>
    <n v="0"/>
    <n v="0"/>
    <n v="1946.9006302710432"/>
    <n v="0"/>
    <n v="0"/>
  </r>
  <r>
    <s v="Sistema de Compensação"/>
    <x v="2"/>
    <x v="3"/>
    <x v="0"/>
    <x v="0"/>
    <x v="0"/>
    <x v="0"/>
    <x v="2"/>
    <x v="6"/>
    <n v="13688"/>
    <n v="13688"/>
    <n v="0"/>
    <n v="0"/>
    <n v="0"/>
    <n v="0"/>
    <n v="51"/>
    <x v="0"/>
    <n v="0"/>
    <n v="26"/>
    <n v="0"/>
    <n v="0"/>
    <n v="8.81"/>
    <n v="0"/>
    <n v="0"/>
    <n v="11.452356648653195"/>
    <m/>
    <m/>
    <n v="120591.28000000001"/>
    <n v="0"/>
    <n v="0"/>
    <n v="156759.85780676492"/>
    <n v="0"/>
    <n v="0"/>
  </r>
  <r>
    <s v="Regular"/>
    <x v="2"/>
    <x v="3"/>
    <x v="0"/>
    <x v="0"/>
    <x v="0"/>
    <x v="0"/>
    <x v="2"/>
    <x v="7"/>
    <n v="116145"/>
    <n v="116145"/>
    <n v="0"/>
    <n v="0"/>
    <n v="0"/>
    <n v="0"/>
    <n v="899"/>
    <x v="0"/>
    <n v="0"/>
    <n v="26"/>
    <n v="0"/>
    <n v="0"/>
    <n v="8.81"/>
    <n v="0"/>
    <n v="0"/>
    <n v="11.452356648653195"/>
    <m/>
    <m/>
    <n v="1023237.4500000001"/>
    <n v="0"/>
    <n v="0"/>
    <n v="1330133.9629578253"/>
    <n v="0"/>
    <n v="0"/>
  </r>
  <r>
    <s v="Refaturamento - Regular"/>
    <x v="2"/>
    <x v="3"/>
    <x v="0"/>
    <x v="0"/>
    <x v="0"/>
    <x v="0"/>
    <x v="2"/>
    <x v="7"/>
    <n v="1310"/>
    <n v="1310"/>
    <n v="0"/>
    <n v="0"/>
    <n v="0"/>
    <n v="0"/>
    <n v="3"/>
    <x v="0"/>
    <n v="0"/>
    <n v="26"/>
    <n v="0"/>
    <n v="0"/>
    <n v="8.81"/>
    <n v="0"/>
    <n v="0"/>
    <n v="11.452356648653195"/>
    <m/>
    <m/>
    <n v="11541.1"/>
    <n v="0"/>
    <n v="0"/>
    <n v="15002.587209735686"/>
    <n v="0"/>
    <n v="0"/>
  </r>
  <r>
    <s v="Sistema de Compensação"/>
    <x v="2"/>
    <x v="3"/>
    <x v="0"/>
    <x v="0"/>
    <x v="0"/>
    <x v="0"/>
    <x v="2"/>
    <x v="7"/>
    <n v="15613"/>
    <n v="15613"/>
    <n v="0"/>
    <n v="0"/>
    <n v="0"/>
    <n v="0"/>
    <n v="54"/>
    <x v="0"/>
    <n v="0"/>
    <n v="26"/>
    <n v="0"/>
    <n v="0"/>
    <n v="8.81"/>
    <n v="0"/>
    <n v="0"/>
    <n v="11.452356648653195"/>
    <m/>
    <m/>
    <n v="137550.53"/>
    <n v="0"/>
    <n v="0"/>
    <n v="178805.64435542232"/>
    <n v="0"/>
    <n v="0"/>
  </r>
  <r>
    <s v="Regular"/>
    <x v="2"/>
    <x v="3"/>
    <x v="0"/>
    <x v="0"/>
    <x v="0"/>
    <x v="0"/>
    <x v="2"/>
    <x v="8"/>
    <n v="114549"/>
    <n v="114549"/>
    <n v="0"/>
    <n v="0"/>
    <n v="0"/>
    <n v="0"/>
    <n v="906"/>
    <x v="0"/>
    <n v="0"/>
    <n v="26"/>
    <n v="0"/>
    <n v="0"/>
    <n v="8.81"/>
    <n v="0"/>
    <n v="0"/>
    <n v="11.452356648653195"/>
    <m/>
    <m/>
    <n v="1009176.6900000001"/>
    <n v="0"/>
    <n v="0"/>
    <n v="1311856.0017465749"/>
    <n v="0"/>
    <n v="0"/>
  </r>
  <r>
    <s v="Refaturamento - Regular"/>
    <x v="2"/>
    <x v="3"/>
    <x v="0"/>
    <x v="0"/>
    <x v="0"/>
    <x v="0"/>
    <x v="2"/>
    <x v="8"/>
    <n v="1140"/>
    <n v="1140"/>
    <n v="0"/>
    <n v="0"/>
    <n v="0"/>
    <n v="0"/>
    <n v="4"/>
    <x v="0"/>
    <n v="0"/>
    <n v="26"/>
    <n v="0"/>
    <n v="0"/>
    <n v="8.81"/>
    <n v="0"/>
    <n v="0"/>
    <n v="11.452356648653195"/>
    <m/>
    <m/>
    <n v="10043.400000000001"/>
    <n v="0"/>
    <n v="0"/>
    <n v="13055.686579464642"/>
    <n v="0"/>
    <n v="0"/>
  </r>
  <r>
    <s v="Sistema de Compensação"/>
    <x v="2"/>
    <x v="3"/>
    <x v="0"/>
    <x v="0"/>
    <x v="0"/>
    <x v="0"/>
    <x v="2"/>
    <x v="8"/>
    <n v="6530"/>
    <n v="6530"/>
    <n v="0"/>
    <n v="0"/>
    <n v="0"/>
    <n v="0"/>
    <n v="29"/>
    <x v="0"/>
    <n v="0"/>
    <n v="26"/>
    <n v="0"/>
    <n v="0"/>
    <n v="8.81"/>
    <n v="0"/>
    <n v="0"/>
    <n v="11.452356648653195"/>
    <m/>
    <m/>
    <n v="57529.3"/>
    <n v="0"/>
    <n v="0"/>
    <n v="74783.888915705364"/>
    <n v="0"/>
    <n v="0"/>
  </r>
  <r>
    <s v="Regular"/>
    <x v="2"/>
    <x v="3"/>
    <x v="0"/>
    <x v="0"/>
    <x v="0"/>
    <x v="0"/>
    <x v="2"/>
    <x v="9"/>
    <n v="119745"/>
    <n v="119745"/>
    <n v="0"/>
    <n v="0"/>
    <n v="0"/>
    <n v="0"/>
    <n v="899"/>
    <x v="0"/>
    <n v="0"/>
    <n v="26"/>
    <n v="0"/>
    <n v="0"/>
    <n v="8.81"/>
    <n v="0"/>
    <n v="0"/>
    <n v="11.452356648653195"/>
    <m/>
    <m/>
    <n v="1054953.45"/>
    <n v="0"/>
    <n v="0"/>
    <n v="1371362.4468929768"/>
    <n v="0"/>
    <n v="0"/>
  </r>
  <r>
    <s v="Refaturamento - Regular"/>
    <x v="2"/>
    <x v="3"/>
    <x v="0"/>
    <x v="0"/>
    <x v="0"/>
    <x v="0"/>
    <x v="2"/>
    <x v="9"/>
    <n v="324"/>
    <n v="324"/>
    <n v="0"/>
    <n v="0"/>
    <n v="0"/>
    <n v="0"/>
    <n v="3"/>
    <x v="0"/>
    <n v="0"/>
    <n v="26"/>
    <n v="0"/>
    <n v="0"/>
    <n v="8.81"/>
    <n v="0"/>
    <n v="0"/>
    <n v="11.452356648653195"/>
    <m/>
    <m/>
    <n v="2854.44"/>
    <n v="0"/>
    <n v="0"/>
    <n v="3710.5635541636352"/>
    <n v="0"/>
    <n v="0"/>
  </r>
  <r>
    <s v="Sistema de Compensação"/>
    <x v="2"/>
    <x v="3"/>
    <x v="0"/>
    <x v="0"/>
    <x v="0"/>
    <x v="0"/>
    <x v="2"/>
    <x v="9"/>
    <n v="6794"/>
    <n v="6794"/>
    <n v="0"/>
    <n v="0"/>
    <n v="0"/>
    <n v="0"/>
    <n v="29"/>
    <x v="0"/>
    <n v="0"/>
    <n v="26"/>
    <n v="0"/>
    <n v="0"/>
    <n v="8.81"/>
    <n v="0"/>
    <n v="0"/>
    <n v="11.452356648653195"/>
    <m/>
    <m/>
    <n v="59855.140000000007"/>
    <n v="0"/>
    <n v="0"/>
    <n v="77807.311070949814"/>
    <n v="0"/>
    <n v="0"/>
  </r>
  <r>
    <s v="Regular"/>
    <x v="2"/>
    <x v="3"/>
    <x v="0"/>
    <x v="0"/>
    <x v="0"/>
    <x v="0"/>
    <x v="2"/>
    <x v="10"/>
    <n v="115872"/>
    <n v="115872"/>
    <n v="0"/>
    <n v="0"/>
    <n v="0"/>
    <n v="0"/>
    <n v="915"/>
    <x v="0"/>
    <n v="0"/>
    <n v="26"/>
    <n v="0"/>
    <n v="0"/>
    <n v="8.81"/>
    <n v="0"/>
    <n v="0"/>
    <n v="11.452356648653195"/>
    <m/>
    <m/>
    <n v="1020832.3200000001"/>
    <n v="0"/>
    <n v="0"/>
    <n v="1327007.4695927431"/>
    <n v="0"/>
    <n v="0"/>
  </r>
  <r>
    <s v="Refaturamento - Regular"/>
    <x v="2"/>
    <x v="3"/>
    <x v="0"/>
    <x v="0"/>
    <x v="0"/>
    <x v="0"/>
    <x v="2"/>
    <x v="10"/>
    <n v="335"/>
    <n v="335"/>
    <n v="0"/>
    <n v="0"/>
    <n v="0"/>
    <n v="0"/>
    <n v="3"/>
    <x v="0"/>
    <n v="0"/>
    <n v="26"/>
    <n v="0"/>
    <n v="0"/>
    <n v="8.81"/>
    <n v="0"/>
    <n v="0"/>
    <n v="11.452356648653195"/>
    <m/>
    <m/>
    <n v="2951.3500000000004"/>
    <n v="0"/>
    <n v="0"/>
    <n v="3836.5394772988202"/>
    <n v="0"/>
    <n v="0"/>
  </r>
  <r>
    <s v="Sistema de Compensação"/>
    <x v="2"/>
    <x v="3"/>
    <x v="0"/>
    <x v="0"/>
    <x v="0"/>
    <x v="0"/>
    <x v="2"/>
    <x v="10"/>
    <n v="19642"/>
    <n v="19642"/>
    <n v="0"/>
    <n v="0"/>
    <n v="0"/>
    <n v="0"/>
    <n v="61"/>
    <x v="0"/>
    <n v="0"/>
    <n v="26"/>
    <n v="0"/>
    <n v="0"/>
    <n v="8.81"/>
    <n v="0"/>
    <n v="0"/>
    <n v="11.452356648653195"/>
    <m/>
    <m/>
    <n v="173046.02000000002"/>
    <n v="0"/>
    <n v="0"/>
    <n v="224947.18929284607"/>
    <n v="0"/>
    <n v="0"/>
  </r>
  <r>
    <s v="PROJETADO"/>
    <x v="2"/>
    <x v="3"/>
    <x v="0"/>
    <x v="0"/>
    <x v="0"/>
    <x v="0"/>
    <x v="2"/>
    <x v="11"/>
    <n v="115872"/>
    <n v="115872"/>
    <n v="0"/>
    <n v="0"/>
    <n v="0"/>
    <n v="0"/>
    <n v="915"/>
    <x v="0"/>
    <n v="0"/>
    <n v="26"/>
    <n v="0"/>
    <n v="0"/>
    <n v="8.81"/>
    <n v="0"/>
    <n v="0"/>
    <n v="11.452356648653195"/>
    <m/>
    <m/>
    <n v="1020832.3200000001"/>
    <n v="0"/>
    <n v="0"/>
    <n v="1327007.4695927431"/>
    <n v="0"/>
    <n v="0"/>
  </r>
  <r>
    <s v="PROJETADO"/>
    <x v="2"/>
    <x v="3"/>
    <x v="0"/>
    <x v="0"/>
    <x v="0"/>
    <x v="0"/>
    <x v="2"/>
    <x v="11"/>
    <n v="335"/>
    <n v="335"/>
    <n v="0"/>
    <n v="0"/>
    <n v="0"/>
    <n v="0"/>
    <n v="3"/>
    <x v="0"/>
    <n v="0"/>
    <n v="26"/>
    <n v="0"/>
    <n v="0"/>
    <n v="8.81"/>
    <n v="0"/>
    <n v="0"/>
    <n v="11.452356648653195"/>
    <m/>
    <m/>
    <n v="2951.3500000000004"/>
    <n v="0"/>
    <n v="0"/>
    <n v="3836.5394772988202"/>
    <n v="0"/>
    <n v="0"/>
  </r>
  <r>
    <s v="PROJETADO"/>
    <x v="2"/>
    <x v="3"/>
    <x v="0"/>
    <x v="0"/>
    <x v="0"/>
    <x v="0"/>
    <x v="2"/>
    <x v="11"/>
    <n v="19642"/>
    <n v="19642"/>
    <n v="0"/>
    <n v="0"/>
    <n v="0"/>
    <n v="0"/>
    <n v="61"/>
    <x v="0"/>
    <n v="0"/>
    <n v="26"/>
    <n v="0"/>
    <n v="0"/>
    <n v="8.81"/>
    <n v="0"/>
    <n v="0"/>
    <n v="11.452356648653195"/>
    <m/>
    <m/>
    <n v="173046.02000000002"/>
    <n v="0"/>
    <n v="0"/>
    <n v="224947.18929284607"/>
    <n v="0"/>
    <n v="0"/>
  </r>
  <r>
    <s v="Regular"/>
    <x v="2"/>
    <x v="3"/>
    <x v="0"/>
    <x v="0"/>
    <x v="0"/>
    <x v="0"/>
    <x v="1"/>
    <x v="0"/>
    <n v="0"/>
    <n v="0"/>
    <n v="2340.2860000000001"/>
    <n v="2340.2860000000001"/>
    <n v="2340.2860000000001"/>
    <n v="2340.2860000000001"/>
    <n v="0"/>
    <x v="0"/>
    <n v="0"/>
    <n v="0"/>
    <n v="27"/>
    <n v="81"/>
    <n v="0"/>
    <n v="641.99"/>
    <n v="430.87"/>
    <m/>
    <n v="747.73459855656426"/>
    <n v="375.70671275609089"/>
    <n v="0"/>
    <n v="1502440.2091400002"/>
    <n v="1008359.02882"/>
    <n v="0"/>
    <n v="1749912.8127175476"/>
    <n v="879261.15996910096"/>
  </r>
  <r>
    <s v="Refaturamento - Regular"/>
    <x v="2"/>
    <x v="3"/>
    <x v="0"/>
    <x v="0"/>
    <x v="0"/>
    <x v="0"/>
    <x v="1"/>
    <x v="0"/>
    <n v="0"/>
    <n v="0"/>
    <n v="10.191000000000001"/>
    <n v="10.191000000000001"/>
    <n v="10.191000000000001"/>
    <n v="10.191000000000001"/>
    <n v="0"/>
    <x v="0"/>
    <n v="0"/>
    <n v="0"/>
    <n v="27"/>
    <n v="81"/>
    <n v="0"/>
    <n v="641.99"/>
    <n v="430.87"/>
    <m/>
    <n v="747.73459855656426"/>
    <n v="375.70671275609089"/>
    <n v="0"/>
    <n v="6542.5200900000009"/>
    <n v="4390.9961700000003"/>
    <n v="0"/>
    <n v="7620.1632938899465"/>
    <n v="3828.8271096973226"/>
  </r>
  <r>
    <s v="Regular"/>
    <x v="2"/>
    <x v="3"/>
    <x v="0"/>
    <x v="0"/>
    <x v="0"/>
    <x v="0"/>
    <x v="1"/>
    <x v="1"/>
    <n v="0"/>
    <n v="0"/>
    <n v="2463.3490000000002"/>
    <n v="2463.3490000000002"/>
    <n v="2463.3490000000002"/>
    <n v="2463.3490000000002"/>
    <n v="0"/>
    <x v="0"/>
    <n v="0"/>
    <n v="0"/>
    <n v="27"/>
    <n v="81"/>
    <n v="0"/>
    <n v="641.99"/>
    <n v="430.87"/>
    <m/>
    <n v="747.73459855656426"/>
    <n v="375.70671275609089"/>
    <n v="0"/>
    <n v="1581445.42451"/>
    <n v="1061383.1836300001"/>
    <n v="0"/>
    <n v="1841931.2756197141"/>
    <n v="925496.75516100379"/>
  </r>
  <r>
    <s v="Refaturamento - Regular"/>
    <x v="2"/>
    <x v="3"/>
    <x v="0"/>
    <x v="0"/>
    <x v="0"/>
    <x v="0"/>
    <x v="1"/>
    <x v="1"/>
    <n v="0"/>
    <n v="0"/>
    <n v="0.82299999999999995"/>
    <n v="0.82299999999999995"/>
    <n v="0.82299999999999995"/>
    <n v="0.82299999999999995"/>
    <n v="0"/>
    <x v="0"/>
    <n v="0"/>
    <n v="0"/>
    <n v="27"/>
    <n v="81"/>
    <n v="0"/>
    <n v="641.99"/>
    <n v="430.87"/>
    <m/>
    <n v="747.73459855656426"/>
    <n v="375.70671275609089"/>
    <n v="0"/>
    <n v="528.35776999999996"/>
    <n v="354.60600999999997"/>
    <n v="0"/>
    <n v="615.38557461205232"/>
    <n v="309.20662459826281"/>
  </r>
  <r>
    <s v="Sistema de Compensação"/>
    <x v="2"/>
    <x v="3"/>
    <x v="0"/>
    <x v="0"/>
    <x v="0"/>
    <x v="0"/>
    <x v="1"/>
    <x v="1"/>
    <n v="0"/>
    <n v="0"/>
    <n v="142.47300000000001"/>
    <n v="142.47300000000001"/>
    <n v="142.47300000000001"/>
    <n v="142.47300000000001"/>
    <n v="0"/>
    <x v="0"/>
    <n v="0"/>
    <n v="0"/>
    <n v="27"/>
    <n v="81"/>
    <n v="0"/>
    <n v="641.99"/>
    <n v="430.87"/>
    <m/>
    <n v="747.73459855656426"/>
    <n v="375.70671275609089"/>
    <n v="0"/>
    <n v="91466.241270000013"/>
    <n v="61387.341510000006"/>
    <n v="0"/>
    <n v="106531.99146014939"/>
    <n v="53528.062486498544"/>
  </r>
  <r>
    <s v="Regular"/>
    <x v="2"/>
    <x v="3"/>
    <x v="0"/>
    <x v="0"/>
    <x v="0"/>
    <x v="0"/>
    <x v="1"/>
    <x v="2"/>
    <n v="0"/>
    <n v="0"/>
    <n v="2136.114"/>
    <n v="2136.114"/>
    <n v="2136.114"/>
    <n v="2136.114"/>
    <n v="0"/>
    <x v="0"/>
    <n v="0"/>
    <n v="0"/>
    <n v="27"/>
    <n v="81"/>
    <n v="0"/>
    <n v="641.99"/>
    <n v="430.87"/>
    <m/>
    <n v="747.73459855656426"/>
    <n v="375.70671275609089"/>
    <n v="0"/>
    <n v="1371363.8268600001"/>
    <n v="920387.43917999999"/>
    <n v="0"/>
    <n v="1597246.3442610567"/>
    <n v="802552.3690122643"/>
  </r>
  <r>
    <s v="Refaturamento - Regular"/>
    <x v="2"/>
    <x v="3"/>
    <x v="0"/>
    <x v="0"/>
    <x v="0"/>
    <x v="0"/>
    <x v="1"/>
    <x v="2"/>
    <n v="0"/>
    <n v="0"/>
    <n v="0.95"/>
    <n v="0.95"/>
    <n v="0.95"/>
    <n v="0.95"/>
    <n v="0"/>
    <x v="0"/>
    <n v="0"/>
    <n v="0"/>
    <n v="27"/>
    <n v="81"/>
    <n v="0"/>
    <n v="641.99"/>
    <n v="430.87"/>
    <m/>
    <n v="747.73459855656426"/>
    <n v="375.70671275609089"/>
    <n v="0"/>
    <n v="609.89049999999997"/>
    <n v="409.32650000000001"/>
    <n v="0"/>
    <n v="710.34786862873602"/>
    <n v="356.92137711828633"/>
  </r>
  <r>
    <s v="Sistema de Compensação"/>
    <x v="2"/>
    <x v="3"/>
    <x v="0"/>
    <x v="0"/>
    <x v="0"/>
    <x v="0"/>
    <x v="1"/>
    <x v="2"/>
    <n v="0"/>
    <n v="0"/>
    <n v="130.702"/>
    <n v="130.702"/>
    <n v="130.702"/>
    <n v="130.702"/>
    <n v="0"/>
    <x v="0"/>
    <n v="0"/>
    <n v="0"/>
    <n v="27"/>
    <n v="81"/>
    <n v="0"/>
    <n v="641.99"/>
    <n v="430.87"/>
    <m/>
    <n v="747.73459855656426"/>
    <n v="375.70671275609089"/>
    <n v="0"/>
    <n v="83909.376980000001"/>
    <n v="56315.570740000003"/>
    <n v="0"/>
    <n v="97730.407500540066"/>
    <n v="49105.618770646593"/>
  </r>
  <r>
    <s v="Regular"/>
    <x v="2"/>
    <x v="3"/>
    <x v="0"/>
    <x v="0"/>
    <x v="0"/>
    <x v="0"/>
    <x v="1"/>
    <x v="3"/>
    <n v="0"/>
    <n v="0"/>
    <n v="1951.8019999999999"/>
    <n v="1951.8019999999999"/>
    <n v="1951.8019999999999"/>
    <n v="1951.8019999999999"/>
    <n v="0"/>
    <x v="0"/>
    <n v="0"/>
    <n v="0"/>
    <n v="27"/>
    <n v="81"/>
    <n v="0"/>
    <n v="641.99"/>
    <n v="430.87"/>
    <m/>
    <n v="747.73459855656426"/>
    <n v="375.70671275609089"/>
    <n v="0"/>
    <n v="1253037.36598"/>
    <n v="840972.92773999996"/>
    <n v="0"/>
    <n v="1459429.8849318991"/>
    <n v="733305.11337076372"/>
  </r>
  <r>
    <s v="Refaturamento - Regular"/>
    <x v="2"/>
    <x v="3"/>
    <x v="0"/>
    <x v="0"/>
    <x v="0"/>
    <x v="0"/>
    <x v="1"/>
    <x v="3"/>
    <n v="0"/>
    <n v="0"/>
    <n v="5.22"/>
    <n v="5.22"/>
    <n v="5.22"/>
    <n v="5.22"/>
    <n v="0"/>
    <x v="0"/>
    <n v="0"/>
    <n v="0"/>
    <n v="27"/>
    <n v="81"/>
    <n v="0"/>
    <n v="641.99"/>
    <n v="430.87"/>
    <m/>
    <n v="747.73459855656426"/>
    <n v="375.70671275609089"/>
    <n v="0"/>
    <n v="3351.1877999999997"/>
    <n v="2249.1414"/>
    <n v="0"/>
    <n v="3903.1746044652655"/>
    <n v="1961.1890405867944"/>
  </r>
  <r>
    <s v="Sistema de Compensação"/>
    <x v="2"/>
    <x v="3"/>
    <x v="0"/>
    <x v="0"/>
    <x v="0"/>
    <x v="0"/>
    <x v="1"/>
    <x v="3"/>
    <n v="0"/>
    <n v="0"/>
    <n v="83.9"/>
    <n v="83.9"/>
    <n v="83.9"/>
    <n v="83.9"/>
    <n v="0"/>
    <x v="0"/>
    <n v="0"/>
    <n v="0"/>
    <n v="27"/>
    <n v="81"/>
    <n v="0"/>
    <n v="641.99"/>
    <n v="430.87"/>
    <m/>
    <n v="747.73459855656426"/>
    <n v="375.70671275609089"/>
    <n v="0"/>
    <n v="53862.961000000003"/>
    <n v="36149.993000000002"/>
    <n v="0"/>
    <n v="62734.932818895744"/>
    <n v="31521.793200236028"/>
  </r>
  <r>
    <s v="Regular"/>
    <x v="2"/>
    <x v="3"/>
    <x v="0"/>
    <x v="0"/>
    <x v="0"/>
    <x v="0"/>
    <x v="1"/>
    <x v="4"/>
    <n v="0"/>
    <n v="0"/>
    <n v="2127.277"/>
    <n v="2127.277"/>
    <n v="2127.277"/>
    <n v="2127.277"/>
    <n v="0"/>
    <x v="0"/>
    <n v="0"/>
    <n v="0"/>
    <n v="27"/>
    <n v="81"/>
    <n v="0"/>
    <n v="641.99"/>
    <n v="430.87"/>
    <m/>
    <n v="747.73459855656426"/>
    <n v="375.70671275609089"/>
    <n v="0"/>
    <n v="1365690.5612300001"/>
    <n v="916579.84099000006"/>
    <n v="0"/>
    <n v="1590638.6136136125"/>
    <n v="799232.24879163876"/>
  </r>
  <r>
    <s v="Refaturamento - Regular"/>
    <x v="2"/>
    <x v="3"/>
    <x v="0"/>
    <x v="0"/>
    <x v="0"/>
    <x v="0"/>
    <x v="1"/>
    <x v="4"/>
    <n v="0"/>
    <n v="0"/>
    <n v="6.593"/>
    <n v="6.593"/>
    <n v="6.593"/>
    <n v="6.593"/>
    <n v="0"/>
    <x v="0"/>
    <n v="0"/>
    <n v="0"/>
    <n v="27"/>
    <n v="81"/>
    <n v="0"/>
    <n v="641.99"/>
    <n v="430.87"/>
    <m/>
    <n v="747.73459855656426"/>
    <n v="375.70671275609089"/>
    <n v="0"/>
    <n v="4232.6400700000004"/>
    <n v="2840.7259100000001"/>
    <n v="0"/>
    <n v="4929.8142082834283"/>
    <n v="2477.0343572009074"/>
  </r>
  <r>
    <s v="Sistema de Compensação"/>
    <x v="2"/>
    <x v="3"/>
    <x v="0"/>
    <x v="0"/>
    <x v="0"/>
    <x v="0"/>
    <x v="1"/>
    <x v="4"/>
    <n v="0"/>
    <n v="0"/>
    <n v="90.881"/>
    <n v="90.881"/>
    <n v="90.881"/>
    <n v="90.881"/>
    <n v="0"/>
    <x v="0"/>
    <n v="0"/>
    <n v="0"/>
    <n v="27"/>
    <n v="81"/>
    <n v="0"/>
    <n v="641.99"/>
    <n v="430.87"/>
    <m/>
    <n v="747.73459855656426"/>
    <n v="375.70671275609089"/>
    <n v="0"/>
    <n v="58344.693189999998"/>
    <n v="39157.89647"/>
    <n v="0"/>
    <n v="67954.868051419122"/>
    <n v="34144.601761986298"/>
  </r>
  <r>
    <s v="Regular"/>
    <x v="2"/>
    <x v="3"/>
    <x v="0"/>
    <x v="0"/>
    <x v="0"/>
    <x v="0"/>
    <x v="1"/>
    <x v="5"/>
    <n v="0"/>
    <n v="0"/>
    <n v="1930.4290000000001"/>
    <n v="1930.4290000000001"/>
    <n v="1930.4290000000001"/>
    <n v="1930.4290000000001"/>
    <n v="0"/>
    <x v="0"/>
    <n v="0"/>
    <n v="0"/>
    <n v="27"/>
    <n v="81"/>
    <n v="0"/>
    <n v="641.99"/>
    <n v="430.87"/>
    <m/>
    <n v="747.73459855656426"/>
    <n v="375.70671275609089"/>
    <n v="0"/>
    <n v="1239316.1137100002"/>
    <n v="831763.94323000009"/>
    <n v="0"/>
    <n v="1443448.5533569499"/>
    <n v="725275.13379902777"/>
  </r>
  <r>
    <s v="Refaturamento - Regular"/>
    <x v="2"/>
    <x v="3"/>
    <x v="0"/>
    <x v="0"/>
    <x v="0"/>
    <x v="0"/>
    <x v="1"/>
    <x v="5"/>
    <n v="0"/>
    <n v="0"/>
    <n v="11.579000000000001"/>
    <n v="11.579000000000001"/>
    <n v="11.579000000000001"/>
    <n v="11.579000000000001"/>
    <n v="0"/>
    <x v="0"/>
    <n v="0"/>
    <n v="0"/>
    <n v="27"/>
    <n v="81"/>
    <n v="0"/>
    <n v="641.99"/>
    <n v="430.87"/>
    <m/>
    <n v="747.73459855656426"/>
    <n v="375.70671275609089"/>
    <n v="0"/>
    <n v="7433.6022100000009"/>
    <n v="4989.0437300000003"/>
    <n v="0"/>
    <n v="8658.0189166864584"/>
    <n v="4350.3080270027767"/>
  </r>
  <r>
    <s v="Sistema de Compensação"/>
    <x v="2"/>
    <x v="3"/>
    <x v="0"/>
    <x v="0"/>
    <x v="0"/>
    <x v="0"/>
    <x v="1"/>
    <x v="5"/>
    <n v="0"/>
    <n v="0"/>
    <n v="106.008"/>
    <n v="106.008"/>
    <n v="106.008"/>
    <n v="106.008"/>
    <n v="0"/>
    <x v="0"/>
    <n v="0"/>
    <n v="0"/>
    <n v="27"/>
    <n v="81"/>
    <n v="0"/>
    <n v="641.99"/>
    <n v="430.87"/>
    <m/>
    <n v="747.73459855656426"/>
    <n v="375.70671275609089"/>
    <n v="0"/>
    <n v="68056.075920000003"/>
    <n v="45675.666959999995"/>
    <n v="0"/>
    <n v="79265.849323784263"/>
    <n v="39827.917205847683"/>
  </r>
  <r>
    <s v="Regular"/>
    <x v="2"/>
    <x v="3"/>
    <x v="0"/>
    <x v="0"/>
    <x v="0"/>
    <x v="0"/>
    <x v="1"/>
    <x v="6"/>
    <n v="0"/>
    <n v="0"/>
    <n v="1828.424"/>
    <n v="1828.424"/>
    <n v="1828.424"/>
    <n v="1828.424"/>
    <n v="0"/>
    <x v="0"/>
    <n v="0"/>
    <n v="0"/>
    <n v="27"/>
    <n v="81"/>
    <n v="0"/>
    <n v="641.99"/>
    <n v="430.87"/>
    <m/>
    <n v="747.73459855656426"/>
    <n v="375.70671275609089"/>
    <n v="0"/>
    <n v="1173829.9237599999"/>
    <n v="787813.04888000002"/>
    <n v="0"/>
    <n v="1367175.8856311874"/>
    <n v="686951.17056434276"/>
  </r>
  <r>
    <s v="Refaturamento - Regular"/>
    <x v="2"/>
    <x v="3"/>
    <x v="0"/>
    <x v="0"/>
    <x v="0"/>
    <x v="0"/>
    <x v="1"/>
    <x v="6"/>
    <n v="0"/>
    <n v="0"/>
    <n v="2.597"/>
    <n v="2.597"/>
    <n v="2.597"/>
    <n v="2.597"/>
    <n v="0"/>
    <x v="0"/>
    <n v="0"/>
    <n v="0"/>
    <n v="27"/>
    <n v="81"/>
    <n v="0"/>
    <n v="641.99"/>
    <n v="430.87"/>
    <m/>
    <n v="747.73459855656426"/>
    <n v="375.70671275609089"/>
    <n v="0"/>
    <n v="1667.24803"/>
    <n v="1118.96939"/>
    <n v="0"/>
    <n v="1941.8667524513974"/>
    <n v="975.71033302756803"/>
  </r>
  <r>
    <s v="Sistema de Compensação"/>
    <x v="2"/>
    <x v="3"/>
    <x v="0"/>
    <x v="0"/>
    <x v="0"/>
    <x v="0"/>
    <x v="1"/>
    <x v="6"/>
    <n v="0"/>
    <n v="0"/>
    <n v="109.21"/>
    <n v="109.21"/>
    <n v="109.21"/>
    <n v="109.21"/>
    <n v="0"/>
    <x v="0"/>
    <n v="0"/>
    <n v="0"/>
    <n v="27"/>
    <n v="81"/>
    <n v="0"/>
    <n v="641.99"/>
    <n v="430.87"/>
    <m/>
    <n v="747.73459855656426"/>
    <n v="375.70671275609089"/>
    <n v="0"/>
    <n v="70111.727899999998"/>
    <n v="47055.312699999995"/>
    <n v="0"/>
    <n v="81660.095508362385"/>
    <n v="41030.930100092686"/>
  </r>
  <r>
    <s v="Regular"/>
    <x v="2"/>
    <x v="3"/>
    <x v="0"/>
    <x v="0"/>
    <x v="0"/>
    <x v="0"/>
    <x v="1"/>
    <x v="7"/>
    <n v="0"/>
    <n v="0"/>
    <n v="1336.4469999999999"/>
    <n v="1336.4469999999999"/>
    <n v="1336.4469999999999"/>
    <n v="1336.4469999999999"/>
    <n v="0"/>
    <x v="0"/>
    <n v="0"/>
    <n v="0"/>
    <n v="27"/>
    <n v="81"/>
    <n v="0"/>
    <n v="641.99"/>
    <n v="430.87"/>
    <m/>
    <n v="747.73459855656426"/>
    <n v="375.70671275609089"/>
    <n v="0"/>
    <n v="857985.6095299999"/>
    <n v="575834.91888999997"/>
    <n v="0"/>
    <n v="999307.66103712458"/>
    <n v="502112.10914273938"/>
  </r>
  <r>
    <s v="Refaturamento - Regular"/>
    <x v="2"/>
    <x v="3"/>
    <x v="0"/>
    <x v="0"/>
    <x v="0"/>
    <x v="0"/>
    <x v="1"/>
    <x v="7"/>
    <n v="0"/>
    <n v="0"/>
    <n v="1.0720000000000001"/>
    <n v="1.0720000000000001"/>
    <n v="1.0720000000000001"/>
    <n v="1.0720000000000001"/>
    <n v="0"/>
    <x v="0"/>
    <n v="0"/>
    <n v="0"/>
    <n v="27"/>
    <n v="81"/>
    <n v="0"/>
    <n v="641.99"/>
    <n v="430.87"/>
    <m/>
    <n v="747.73459855656426"/>
    <n v="375.70671275609089"/>
    <n v="0"/>
    <n v="688.21328000000005"/>
    <n v="461.89264000000003"/>
    <n v="0"/>
    <n v="801.57148965263696"/>
    <n v="402.75759607452949"/>
  </r>
  <r>
    <s v="Sistema de Compensação"/>
    <x v="2"/>
    <x v="3"/>
    <x v="0"/>
    <x v="0"/>
    <x v="0"/>
    <x v="0"/>
    <x v="1"/>
    <x v="7"/>
    <n v="0"/>
    <n v="0"/>
    <n v="63.174999999999997"/>
    <n v="63.174999999999997"/>
    <n v="63.174999999999997"/>
    <n v="63.174999999999997"/>
    <n v="0"/>
    <x v="0"/>
    <n v="0"/>
    <n v="0"/>
    <n v="27"/>
    <n v="81"/>
    <n v="0"/>
    <n v="641.99"/>
    <n v="430.87"/>
    <m/>
    <n v="747.73459855656426"/>
    <n v="375.70671275609089"/>
    <n v="0"/>
    <n v="40557.718249999998"/>
    <n v="27220.21225"/>
    <n v="0"/>
    <n v="47238.133263810945"/>
    <n v="23735.271578366042"/>
  </r>
  <r>
    <s v="Regular"/>
    <x v="2"/>
    <x v="3"/>
    <x v="0"/>
    <x v="0"/>
    <x v="0"/>
    <x v="0"/>
    <x v="1"/>
    <x v="8"/>
    <n v="0"/>
    <n v="0"/>
    <n v="1410.038"/>
    <n v="1410.038"/>
    <n v="1410.038"/>
    <n v="1410.038"/>
    <n v="0"/>
    <x v="0"/>
    <n v="0"/>
    <n v="0"/>
    <n v="27"/>
    <n v="81"/>
    <n v="0"/>
    <n v="641.99"/>
    <n v="430.87"/>
    <m/>
    <n v="747.73459855656426"/>
    <n v="375.70671275609089"/>
    <n v="0"/>
    <n v="905230.29561999999"/>
    <n v="607543.07305999997"/>
    <n v="0"/>
    <n v="1054334.1978795007"/>
    <n v="529760.74184117292"/>
  </r>
  <r>
    <s v="Refaturamento - Regular"/>
    <x v="2"/>
    <x v="3"/>
    <x v="0"/>
    <x v="0"/>
    <x v="0"/>
    <x v="0"/>
    <x v="1"/>
    <x v="8"/>
    <n v="0"/>
    <n v="0"/>
    <n v="2.5390000000000001"/>
    <n v="2.5390000000000001"/>
    <n v="2.5390000000000001"/>
    <n v="2.5390000000000001"/>
    <n v="0"/>
    <x v="0"/>
    <n v="0"/>
    <n v="0"/>
    <n v="27"/>
    <n v="81"/>
    <n v="0"/>
    <n v="641.99"/>
    <n v="430.87"/>
    <m/>
    <n v="747.73459855656426"/>
    <n v="375.70671275609089"/>
    <n v="0"/>
    <n v="1630.0126100000002"/>
    <n v="1093.97893"/>
    <n v="0"/>
    <n v="1898.4981457351169"/>
    <n v="953.91934368771479"/>
  </r>
  <r>
    <s v="Sistema de Compensação"/>
    <x v="2"/>
    <x v="3"/>
    <x v="0"/>
    <x v="0"/>
    <x v="0"/>
    <x v="0"/>
    <x v="1"/>
    <x v="8"/>
    <n v="0"/>
    <n v="0"/>
    <n v="33.520000000000003"/>
    <n v="33.520000000000003"/>
    <n v="33.520000000000003"/>
    <n v="33.520000000000003"/>
    <n v="0"/>
    <x v="0"/>
    <n v="0"/>
    <n v="0"/>
    <n v="27"/>
    <n v="81"/>
    <n v="0"/>
    <n v="641.99"/>
    <n v="430.87"/>
    <m/>
    <n v="747.73459855656426"/>
    <n v="375.70671275609089"/>
    <n v="0"/>
    <n v="21519.504800000002"/>
    <n v="14442.762400000001"/>
    <n v="0"/>
    <n v="25064.063743616036"/>
    <n v="12593.689011584169"/>
  </r>
  <r>
    <s v="Regular"/>
    <x v="2"/>
    <x v="3"/>
    <x v="0"/>
    <x v="0"/>
    <x v="0"/>
    <x v="0"/>
    <x v="1"/>
    <x v="9"/>
    <n v="0"/>
    <n v="0"/>
    <n v="1402.9770000000001"/>
    <n v="1402.9770000000001"/>
    <n v="1402.9770000000001"/>
    <n v="1402.9770000000001"/>
    <n v="0"/>
    <x v="0"/>
    <n v="0"/>
    <n v="0"/>
    <n v="27"/>
    <n v="81"/>
    <n v="0"/>
    <n v="641.99"/>
    <n v="430.87"/>
    <m/>
    <n v="747.73459855656426"/>
    <n v="375.70671275609089"/>
    <n v="0"/>
    <n v="900697.20423000003"/>
    <n v="604500.69998999999"/>
    <n v="0"/>
    <n v="1049054.443879093"/>
    <n v="527107.87674240221"/>
  </r>
  <r>
    <s v="Refaturamento - Regular"/>
    <x v="2"/>
    <x v="3"/>
    <x v="0"/>
    <x v="0"/>
    <x v="0"/>
    <x v="0"/>
    <x v="1"/>
    <x v="9"/>
    <n v="0"/>
    <n v="0"/>
    <n v="4.0949999999999998"/>
    <n v="4.0949999999999998"/>
    <n v="4.0949999999999998"/>
    <n v="4.0949999999999998"/>
    <n v="0"/>
    <x v="0"/>
    <n v="0"/>
    <n v="0"/>
    <n v="27"/>
    <n v="81"/>
    <n v="0"/>
    <n v="641.99"/>
    <n v="430.87"/>
    <m/>
    <n v="747.73459855656426"/>
    <n v="375.70671275609089"/>
    <n v="0"/>
    <n v="2628.9490499999997"/>
    <n v="1764.41265"/>
    <n v="0"/>
    <n v="3061.9731810891303"/>
    <n v="1538.5189887361921"/>
  </r>
  <r>
    <s v="Sistema de Compensação"/>
    <x v="2"/>
    <x v="3"/>
    <x v="0"/>
    <x v="0"/>
    <x v="0"/>
    <x v="0"/>
    <x v="1"/>
    <x v="9"/>
    <n v="0"/>
    <n v="0"/>
    <n v="32.686"/>
    <n v="32.686"/>
    <n v="32.686"/>
    <n v="32.686"/>
    <n v="0"/>
    <x v="0"/>
    <n v="0"/>
    <n v="0"/>
    <n v="27"/>
    <n v="81"/>
    <n v="0"/>
    <n v="641.99"/>
    <n v="430.87"/>
    <m/>
    <n v="747.73459855656426"/>
    <n v="375.70671275609089"/>
    <n v="0"/>
    <n v="20984.085139999999"/>
    <n v="14083.41682"/>
    <n v="0"/>
    <n v="24440.453088419861"/>
    <n v="12280.349613145587"/>
  </r>
  <r>
    <s v="Regular"/>
    <x v="2"/>
    <x v="3"/>
    <x v="0"/>
    <x v="0"/>
    <x v="0"/>
    <x v="0"/>
    <x v="1"/>
    <x v="10"/>
    <n v="0"/>
    <n v="0"/>
    <n v="1567.9880000000001"/>
    <n v="1567.9880000000001"/>
    <n v="1567.9880000000001"/>
    <n v="1567.9880000000001"/>
    <n v="0"/>
    <x v="0"/>
    <n v="0"/>
    <n v="0"/>
    <n v="27"/>
    <n v="81"/>
    <n v="0"/>
    <n v="641.99"/>
    <n v="430.87"/>
    <m/>
    <n v="747.73459855656426"/>
    <n v="375.70671275609089"/>
    <n v="0"/>
    <n v="1006632.61612"/>
    <n v="675598.98956000002"/>
    <n v="0"/>
    <n v="1172438.8777215101"/>
    <n v="589103.61712099751"/>
  </r>
  <r>
    <s v="Refaturamento - Regular"/>
    <x v="2"/>
    <x v="3"/>
    <x v="0"/>
    <x v="0"/>
    <x v="0"/>
    <x v="0"/>
    <x v="1"/>
    <x v="10"/>
    <n v="0"/>
    <n v="0"/>
    <n v="0.104"/>
    <n v="0.104"/>
    <n v="0.104"/>
    <n v="0.104"/>
    <n v="0"/>
    <x v="0"/>
    <n v="0"/>
    <n v="0"/>
    <n v="27"/>
    <n v="81"/>
    <n v="0"/>
    <n v="641.99"/>
    <n v="430.87"/>
    <m/>
    <n v="747.73459855656426"/>
    <n v="375.70671275609089"/>
    <n v="0"/>
    <n v="66.766959999999997"/>
    <n v="44.810479999999998"/>
    <n v="0"/>
    <n v="77.764398249882674"/>
    <n v="39.073498126633453"/>
  </r>
  <r>
    <s v="Sistema de Compensação"/>
    <x v="2"/>
    <x v="3"/>
    <x v="0"/>
    <x v="0"/>
    <x v="0"/>
    <x v="0"/>
    <x v="1"/>
    <x v="10"/>
    <n v="0"/>
    <n v="0"/>
    <n v="53.747999999999998"/>
    <n v="53.747999999999998"/>
    <n v="53.747999999999998"/>
    <n v="53.747999999999998"/>
    <n v="0"/>
    <x v="0"/>
    <n v="0"/>
    <n v="0"/>
    <n v="27"/>
    <n v="81"/>
    <n v="0"/>
    <n v="641.99"/>
    <n v="430.87"/>
    <m/>
    <n v="747.73459855656426"/>
    <n v="375.70671275609089"/>
    <n v="0"/>
    <n v="34505.678520000001"/>
    <n v="23158.40076"/>
    <n v="0"/>
    <n v="40189.239203218218"/>
    <n v="20193.484397214372"/>
  </r>
  <r>
    <s v="PROJETADO"/>
    <x v="2"/>
    <x v="3"/>
    <x v="0"/>
    <x v="0"/>
    <x v="0"/>
    <x v="0"/>
    <x v="1"/>
    <x v="11"/>
    <n v="0"/>
    <n v="0"/>
    <n v="1567.9880000000001"/>
    <n v="1567.9880000000001"/>
    <n v="1567.9880000000001"/>
    <n v="1567.9880000000001"/>
    <n v="0"/>
    <x v="0"/>
    <n v="0"/>
    <n v="0"/>
    <n v="27"/>
    <n v="81"/>
    <n v="0"/>
    <n v="641.99"/>
    <n v="430.87"/>
    <m/>
    <n v="747.73459855656426"/>
    <n v="375.70671275609089"/>
    <n v="0"/>
    <n v="1006632.61612"/>
    <n v="675598.98956000002"/>
    <n v="0"/>
    <n v="1172438.8777215101"/>
    <n v="589103.61712099751"/>
  </r>
  <r>
    <s v="PROJETADO"/>
    <x v="2"/>
    <x v="3"/>
    <x v="0"/>
    <x v="0"/>
    <x v="0"/>
    <x v="0"/>
    <x v="1"/>
    <x v="11"/>
    <n v="0"/>
    <n v="0"/>
    <n v="0.104"/>
    <n v="0.104"/>
    <n v="0.104"/>
    <n v="0.104"/>
    <n v="0"/>
    <x v="0"/>
    <n v="0"/>
    <n v="0"/>
    <n v="27"/>
    <n v="81"/>
    <n v="0"/>
    <n v="641.99"/>
    <n v="430.87"/>
    <m/>
    <n v="747.73459855656426"/>
    <n v="375.70671275609089"/>
    <n v="0"/>
    <n v="66.766959999999997"/>
    <n v="44.810479999999998"/>
    <n v="0"/>
    <n v="77.764398249882674"/>
    <n v="39.073498126633453"/>
  </r>
  <r>
    <s v="PROJETADO"/>
    <x v="2"/>
    <x v="3"/>
    <x v="0"/>
    <x v="0"/>
    <x v="0"/>
    <x v="0"/>
    <x v="1"/>
    <x v="11"/>
    <n v="0"/>
    <n v="0"/>
    <n v="53.747999999999998"/>
    <n v="53.747999999999998"/>
    <n v="53.747999999999998"/>
    <n v="53.747999999999998"/>
    <n v="0"/>
    <x v="0"/>
    <n v="0"/>
    <n v="0"/>
    <n v="27"/>
    <n v="81"/>
    <n v="0"/>
    <n v="641.99"/>
    <n v="430.87"/>
    <m/>
    <n v="747.73459855656426"/>
    <n v="375.70671275609089"/>
    <n v="0"/>
    <n v="34505.678520000001"/>
    <n v="23158.40076"/>
    <n v="0"/>
    <n v="40189.239203218218"/>
    <n v="20193.484397214372"/>
  </r>
  <r>
    <s v="Regular"/>
    <x v="2"/>
    <x v="3"/>
    <x v="1"/>
    <x v="0"/>
    <x v="2"/>
    <x v="0"/>
    <x v="0"/>
    <x v="0"/>
    <n v="0"/>
    <n v="0"/>
    <n v="9522.5750000000007"/>
    <n v="9522.5750000000007"/>
    <n v="0"/>
    <n v="0"/>
    <n v="0"/>
    <x v="2"/>
    <n v="0"/>
    <n v="0"/>
    <n v="28"/>
    <n v="0"/>
    <n v="0"/>
    <n v="84.45"/>
    <n v="0"/>
    <m/>
    <n v="87.520205040180812"/>
    <m/>
    <n v="0"/>
    <n v="804181.45875000011"/>
    <n v="0"/>
    <n v="0"/>
    <n v="833417.71651049983"/>
    <n v="0"/>
  </r>
  <r>
    <s v="Regular"/>
    <x v="2"/>
    <x v="3"/>
    <x v="1"/>
    <x v="0"/>
    <x v="2"/>
    <x v="0"/>
    <x v="0"/>
    <x v="1"/>
    <n v="0"/>
    <n v="0"/>
    <n v="9113.6360000000004"/>
    <n v="9113.6360000000004"/>
    <n v="0"/>
    <n v="0"/>
    <n v="0"/>
    <x v="2"/>
    <n v="0"/>
    <n v="0"/>
    <n v="28"/>
    <n v="0"/>
    <n v="0"/>
    <n v="84.45"/>
    <n v="0"/>
    <m/>
    <n v="87.520205040180812"/>
    <m/>
    <n v="0"/>
    <n v="769646.56020000007"/>
    <n v="0"/>
    <n v="0"/>
    <n v="797627.2913815733"/>
    <n v="0"/>
  </r>
  <r>
    <s v="Regular"/>
    <x v="2"/>
    <x v="3"/>
    <x v="1"/>
    <x v="0"/>
    <x v="2"/>
    <x v="0"/>
    <x v="0"/>
    <x v="2"/>
    <n v="0"/>
    <n v="0"/>
    <n v="9277.1280000000006"/>
    <n v="9277.1280000000006"/>
    <n v="0"/>
    <n v="0"/>
    <n v="0"/>
    <x v="2"/>
    <n v="0"/>
    <n v="0"/>
    <n v="28"/>
    <n v="0"/>
    <n v="0"/>
    <n v="84.45"/>
    <n v="0"/>
    <m/>
    <n v="87.520205040180812"/>
    <m/>
    <n v="0"/>
    <n v="783453.45960000006"/>
    <n v="0"/>
    <n v="0"/>
    <n v="811936.14474400261"/>
    <n v="0"/>
  </r>
  <r>
    <s v="Regular"/>
    <x v="2"/>
    <x v="3"/>
    <x v="1"/>
    <x v="0"/>
    <x v="2"/>
    <x v="0"/>
    <x v="0"/>
    <x v="3"/>
    <n v="0"/>
    <n v="0"/>
    <n v="9105.9320000000007"/>
    <n v="9105.9320000000007"/>
    <n v="0"/>
    <n v="0"/>
    <n v="0"/>
    <x v="2"/>
    <n v="0"/>
    <n v="0"/>
    <n v="28"/>
    <n v="0"/>
    <n v="0"/>
    <n v="84.45"/>
    <n v="0"/>
    <m/>
    <n v="87.520205040180812"/>
    <m/>
    <n v="0"/>
    <n v="768995.95740000007"/>
    <n v="0"/>
    <n v="0"/>
    <n v="796953.03572194383"/>
    <n v="0"/>
  </r>
  <r>
    <s v="Regular"/>
    <x v="2"/>
    <x v="3"/>
    <x v="1"/>
    <x v="0"/>
    <x v="2"/>
    <x v="0"/>
    <x v="0"/>
    <x v="4"/>
    <n v="0"/>
    <n v="0"/>
    <n v="8777.8739999999998"/>
    <n v="8777.8739999999998"/>
    <n v="0"/>
    <n v="0"/>
    <n v="0"/>
    <x v="2"/>
    <n v="0"/>
    <n v="0"/>
    <n v="28"/>
    <n v="0"/>
    <n v="0"/>
    <n v="84.45"/>
    <n v="0"/>
    <m/>
    <n v="87.520205040180812"/>
    <m/>
    <n v="0"/>
    <n v="741291.45929999999"/>
    <n v="0"/>
    <n v="0"/>
    <n v="768241.33229687205"/>
    <n v="0"/>
  </r>
  <r>
    <s v="Regular"/>
    <x v="2"/>
    <x v="3"/>
    <x v="1"/>
    <x v="0"/>
    <x v="2"/>
    <x v="0"/>
    <x v="0"/>
    <x v="5"/>
    <n v="0"/>
    <n v="0"/>
    <n v="9129.2980000000007"/>
    <n v="9129.2980000000007"/>
    <n v="0"/>
    <n v="0"/>
    <n v="0"/>
    <x v="2"/>
    <n v="0"/>
    <n v="0"/>
    <n v="28"/>
    <n v="0"/>
    <n v="0"/>
    <n v="84.45"/>
    <n v="0"/>
    <m/>
    <n v="87.520205040180812"/>
    <m/>
    <n v="0"/>
    <n v="770969.21610000008"/>
    <n v="0"/>
    <n v="0"/>
    <n v="798998.03283291264"/>
    <n v="0"/>
  </r>
  <r>
    <s v="Regular"/>
    <x v="2"/>
    <x v="3"/>
    <x v="1"/>
    <x v="0"/>
    <x v="2"/>
    <x v="0"/>
    <x v="0"/>
    <x v="6"/>
    <n v="0"/>
    <n v="0"/>
    <n v="8006.4009999999998"/>
    <n v="8006.4009999999998"/>
    <n v="0"/>
    <n v="0"/>
    <n v="0"/>
    <x v="2"/>
    <n v="0"/>
    <n v="0"/>
    <n v="28"/>
    <n v="0"/>
    <n v="0"/>
    <n v="84.45"/>
    <n v="0"/>
    <m/>
    <n v="87.520205040180812"/>
    <m/>
    <n v="0"/>
    <n v="676140.56445000006"/>
    <n v="0"/>
    <n v="0"/>
    <n v="700721.8571539087"/>
    <n v="0"/>
  </r>
  <r>
    <s v="Regular"/>
    <x v="2"/>
    <x v="3"/>
    <x v="1"/>
    <x v="0"/>
    <x v="2"/>
    <x v="0"/>
    <x v="0"/>
    <x v="7"/>
    <n v="0"/>
    <n v="0"/>
    <n v="8153.3289999999997"/>
    <n v="8153.3289999999997"/>
    <n v="0"/>
    <n v="0"/>
    <n v="0"/>
    <x v="2"/>
    <n v="0"/>
    <n v="0"/>
    <n v="28"/>
    <n v="0"/>
    <n v="0"/>
    <n v="84.45"/>
    <n v="0"/>
    <m/>
    <n v="87.520205040180812"/>
    <m/>
    <n v="0"/>
    <n v="688548.63404999999"/>
    <n v="0"/>
    <n v="0"/>
    <n v="713581.0258400524"/>
    <n v="0"/>
  </r>
  <r>
    <s v="Regular"/>
    <x v="2"/>
    <x v="3"/>
    <x v="1"/>
    <x v="0"/>
    <x v="2"/>
    <x v="0"/>
    <x v="0"/>
    <x v="8"/>
    <n v="0"/>
    <n v="0"/>
    <n v="8153.3289999999997"/>
    <n v="8153.3289999999997"/>
    <n v="0"/>
    <n v="0"/>
    <n v="0"/>
    <x v="2"/>
    <n v="0"/>
    <n v="0"/>
    <n v="28"/>
    <n v="0"/>
    <n v="0"/>
    <n v="84.45"/>
    <n v="0"/>
    <m/>
    <n v="87.520205040180812"/>
    <m/>
    <n v="0"/>
    <n v="688548.63404999999"/>
    <n v="0"/>
    <n v="0"/>
    <n v="713581.0258400524"/>
    <n v="0"/>
  </r>
  <r>
    <s v="Regular"/>
    <x v="2"/>
    <x v="3"/>
    <x v="1"/>
    <x v="0"/>
    <x v="2"/>
    <x v="0"/>
    <x v="0"/>
    <x v="9"/>
    <n v="0"/>
    <n v="0"/>
    <n v="7304.66"/>
    <n v="7304.66"/>
    <n v="0"/>
    <n v="0"/>
    <n v="0"/>
    <x v="2"/>
    <n v="0"/>
    <n v="0"/>
    <n v="28"/>
    <n v="0"/>
    <n v="0"/>
    <n v="84.45"/>
    <n v="0"/>
    <m/>
    <n v="87.520205040180812"/>
    <m/>
    <n v="0"/>
    <n v="616878.53700000001"/>
    <n v="0"/>
    <n v="0"/>
    <n v="639305.34094880719"/>
    <n v="0"/>
  </r>
  <r>
    <s v="Regular"/>
    <x v="2"/>
    <x v="3"/>
    <x v="1"/>
    <x v="0"/>
    <x v="2"/>
    <x v="0"/>
    <x v="0"/>
    <x v="10"/>
    <n v="0"/>
    <n v="0"/>
    <n v="8652.2639999999992"/>
    <n v="8652.2639999999992"/>
    <n v="0"/>
    <n v="0"/>
    <n v="0"/>
    <x v="2"/>
    <n v="0"/>
    <n v="0"/>
    <n v="28"/>
    <n v="0"/>
    <n v="0"/>
    <n v="84.45"/>
    <n v="0"/>
    <m/>
    <n v="87.520205040180812"/>
    <m/>
    <n v="0"/>
    <n v="730683.69479999994"/>
    <n v="0"/>
    <n v="0"/>
    <n v="757247.91934177489"/>
    <n v="0"/>
  </r>
  <r>
    <s v="PROJETADO"/>
    <x v="2"/>
    <x v="3"/>
    <x v="1"/>
    <x v="0"/>
    <x v="2"/>
    <x v="0"/>
    <x v="0"/>
    <x v="11"/>
    <n v="0"/>
    <n v="0"/>
    <n v="8652.2639999999992"/>
    <n v="8652.2639999999992"/>
    <n v="0"/>
    <n v="0"/>
    <n v="0"/>
    <x v="2"/>
    <n v="0"/>
    <n v="0"/>
    <n v="28"/>
    <n v="0"/>
    <n v="0"/>
    <n v="84.45"/>
    <n v="0"/>
    <m/>
    <n v="87.520205040180812"/>
    <m/>
    <n v="0"/>
    <n v="730683.69479999994"/>
    <n v="0"/>
    <n v="0"/>
    <n v="757247.91934177489"/>
    <n v="0"/>
  </r>
  <r>
    <s v="Regular"/>
    <x v="2"/>
    <x v="3"/>
    <x v="1"/>
    <x v="0"/>
    <x v="2"/>
    <x v="0"/>
    <x v="2"/>
    <x v="0"/>
    <n v="28658"/>
    <n v="18105.797125640001"/>
    <n v="0"/>
    <n v="0"/>
    <n v="0"/>
    <n v="0"/>
    <n v="38"/>
    <x v="2"/>
    <n v="0"/>
    <n v="26"/>
    <n v="0"/>
    <n v="0"/>
    <n v="8.81"/>
    <n v="0"/>
    <n v="0"/>
    <n v="11.452356648653195"/>
    <m/>
    <m/>
    <n v="159512.07267688843"/>
    <n v="0"/>
    <n v="0"/>
    <n v="207354.04609098917"/>
    <n v="0"/>
    <n v="0"/>
  </r>
  <r>
    <s v="Regular"/>
    <x v="2"/>
    <x v="3"/>
    <x v="1"/>
    <x v="0"/>
    <x v="2"/>
    <x v="0"/>
    <x v="2"/>
    <x v="1"/>
    <n v="28818"/>
    <n v="19538.206887960001"/>
    <n v="0"/>
    <n v="0"/>
    <n v="0"/>
    <n v="0"/>
    <n v="39"/>
    <x v="2"/>
    <n v="0"/>
    <n v="26"/>
    <n v="0"/>
    <n v="0"/>
    <n v="8.81"/>
    <n v="0"/>
    <n v="0"/>
    <n v="11.452356648653195"/>
    <m/>
    <m/>
    <n v="172131.60268292762"/>
    <n v="0"/>
    <n v="0"/>
    <n v="223758.51355609036"/>
    <n v="0"/>
    <n v="0"/>
  </r>
  <r>
    <s v="Regular"/>
    <x v="2"/>
    <x v="3"/>
    <x v="1"/>
    <x v="0"/>
    <x v="2"/>
    <x v="0"/>
    <x v="2"/>
    <x v="2"/>
    <n v="28738"/>
    <n v="18304.5297207"/>
    <n v="0"/>
    <n v="0"/>
    <n v="0"/>
    <n v="0"/>
    <n v="39"/>
    <x v="2"/>
    <n v="0"/>
    <n v="26"/>
    <n v="0"/>
    <n v="0"/>
    <n v="8.81"/>
    <n v="0"/>
    <n v="0"/>
    <n v="11.452356648653195"/>
    <m/>
    <m/>
    <n v="161262.906839367"/>
    <n v="0"/>
    <n v="0"/>
    <n v="209630.00264732866"/>
    <n v="0"/>
    <n v="0"/>
  </r>
  <r>
    <s v="Regular"/>
    <x v="2"/>
    <x v="3"/>
    <x v="1"/>
    <x v="0"/>
    <x v="2"/>
    <x v="0"/>
    <x v="2"/>
    <x v="3"/>
    <n v="30386"/>
    <n v="19479.92555236"/>
    <n v="0"/>
    <n v="0"/>
    <n v="0"/>
    <n v="0"/>
    <n v="42"/>
    <x v="2"/>
    <n v="0"/>
    <n v="26"/>
    <n v="0"/>
    <n v="0"/>
    <n v="8.81"/>
    <n v="0"/>
    <n v="0"/>
    <n v="11.452356648653195"/>
    <m/>
    <m/>
    <n v="171618.1441162916"/>
    <n v="0"/>
    <n v="0"/>
    <n v="223091.0549148393"/>
    <n v="0"/>
    <n v="0"/>
  </r>
  <r>
    <s v="Regular"/>
    <x v="2"/>
    <x v="3"/>
    <x v="1"/>
    <x v="0"/>
    <x v="2"/>
    <x v="0"/>
    <x v="2"/>
    <x v="4"/>
    <n v="30729"/>
    <n v="19578.240551940002"/>
    <n v="0"/>
    <n v="0"/>
    <n v="0"/>
    <n v="0"/>
    <n v="43"/>
    <x v="2"/>
    <n v="0"/>
    <n v="26"/>
    <n v="0"/>
    <n v="0"/>
    <n v="8.81"/>
    <n v="0"/>
    <n v="0"/>
    <n v="11.452356648653195"/>
    <m/>
    <m/>
    <n v="172484.29926259143"/>
    <n v="0"/>
    <n v="0"/>
    <n v="224216.99335394168"/>
    <n v="0"/>
    <n v="0"/>
  </r>
  <r>
    <s v="Regular"/>
    <x v="2"/>
    <x v="3"/>
    <x v="1"/>
    <x v="0"/>
    <x v="2"/>
    <x v="0"/>
    <x v="2"/>
    <x v="5"/>
    <n v="30674"/>
    <n v="20339.552416539998"/>
    <n v="0"/>
    <n v="0"/>
    <n v="0"/>
    <n v="0"/>
    <n v="44"/>
    <x v="2"/>
    <n v="0"/>
    <n v="26"/>
    <n v="0"/>
    <n v="0"/>
    <n v="8.81"/>
    <n v="0"/>
    <n v="0"/>
    <n v="11.452356648653195"/>
    <m/>
    <m/>
    <n v="179191.4567897174"/>
    <n v="0"/>
    <n v="0"/>
    <n v="232935.80834819202"/>
    <n v="0"/>
    <n v="0"/>
  </r>
  <r>
    <s v="Regular"/>
    <x v="2"/>
    <x v="3"/>
    <x v="1"/>
    <x v="0"/>
    <x v="2"/>
    <x v="0"/>
    <x v="2"/>
    <x v="6"/>
    <n v="31233"/>
    <n v="20999.21989407"/>
    <n v="0"/>
    <n v="0"/>
    <n v="0"/>
    <n v="0"/>
    <n v="46"/>
    <x v="2"/>
    <n v="0"/>
    <n v="26"/>
    <n v="0"/>
    <n v="0"/>
    <n v="8.81"/>
    <n v="0"/>
    <n v="0"/>
    <n v="11.452356648653195"/>
    <m/>
    <m/>
    <n v="185003.12726675672"/>
    <n v="0"/>
    <n v="0"/>
    <n v="240490.555570383"/>
    <n v="0"/>
    <n v="0"/>
  </r>
  <r>
    <s v="Regular"/>
    <x v="2"/>
    <x v="3"/>
    <x v="1"/>
    <x v="0"/>
    <x v="2"/>
    <x v="0"/>
    <x v="2"/>
    <x v="7"/>
    <n v="31789"/>
    <n v="21260.29278389"/>
    <n v="0"/>
    <n v="0"/>
    <n v="0"/>
    <n v="0"/>
    <n v="48"/>
    <x v="2"/>
    <n v="0"/>
    <n v="26"/>
    <n v="0"/>
    <n v="0"/>
    <n v="8.81"/>
    <n v="0"/>
    <n v="0"/>
    <n v="11.452356648653195"/>
    <m/>
    <m/>
    <n v="187303.17942607091"/>
    <n v="0"/>
    <n v="0"/>
    <n v="243480.45541589617"/>
    <n v="0"/>
    <n v="0"/>
  </r>
  <r>
    <s v="Regular"/>
    <x v="2"/>
    <x v="3"/>
    <x v="1"/>
    <x v="0"/>
    <x v="2"/>
    <x v="0"/>
    <x v="2"/>
    <x v="8"/>
    <n v="31789"/>
    <n v="20936.759282719999"/>
    <n v="0"/>
    <n v="0"/>
    <n v="0"/>
    <n v="0"/>
    <n v="48"/>
    <x v="2"/>
    <n v="0"/>
    <n v="26"/>
    <n v="0"/>
    <n v="0"/>
    <n v="8.81"/>
    <n v="0"/>
    <n v="0"/>
    <n v="11.452356648653195"/>
    <m/>
    <m/>
    <n v="184452.84928076321"/>
    <n v="0"/>
    <n v="0"/>
    <n v="239775.23437270988"/>
    <n v="0"/>
    <n v="0"/>
  </r>
  <r>
    <s v="Regular"/>
    <x v="2"/>
    <x v="3"/>
    <x v="1"/>
    <x v="0"/>
    <x v="2"/>
    <x v="0"/>
    <x v="2"/>
    <x v="9"/>
    <n v="26128"/>
    <n v="17431.1880752"/>
    <n v="0"/>
    <n v="0"/>
    <n v="0"/>
    <n v="0"/>
    <n v="36"/>
    <x v="2"/>
    <n v="0"/>
    <n v="26"/>
    <n v="0"/>
    <n v="0"/>
    <n v="8.81"/>
    <n v="0"/>
    <n v="0"/>
    <n v="11.452356648653195"/>
    <m/>
    <m/>
    <n v="153568.76694251201"/>
    <n v="0"/>
    <n v="0"/>
    <n v="199628.18264694102"/>
    <n v="0"/>
    <n v="0"/>
  </r>
  <r>
    <s v="Regular"/>
    <x v="2"/>
    <x v="3"/>
    <x v="1"/>
    <x v="0"/>
    <x v="2"/>
    <x v="0"/>
    <x v="2"/>
    <x v="10"/>
    <n v="32612"/>
    <n v="21850.04"/>
    <n v="0"/>
    <n v="0"/>
    <n v="0"/>
    <n v="0"/>
    <n v="51"/>
    <x v="2"/>
    <n v="0"/>
    <n v="26"/>
    <n v="0"/>
    <n v="0"/>
    <n v="8.81"/>
    <n v="0"/>
    <n v="0"/>
    <n v="11.452356648653195"/>
    <m/>
    <m/>
    <n v="192498.85240000003"/>
    <n v="0"/>
    <n v="0"/>
    <n v="250234.45086733828"/>
    <n v="0"/>
    <n v="0"/>
  </r>
  <r>
    <s v="PROJETADO"/>
    <x v="2"/>
    <x v="3"/>
    <x v="1"/>
    <x v="0"/>
    <x v="2"/>
    <x v="0"/>
    <x v="2"/>
    <x v="11"/>
    <n v="32612"/>
    <n v="21850.04"/>
    <n v="0"/>
    <n v="0"/>
    <n v="0"/>
    <n v="0"/>
    <n v="51"/>
    <x v="2"/>
    <n v="0"/>
    <n v="26"/>
    <n v="0"/>
    <n v="0"/>
    <n v="8.81"/>
    <n v="0"/>
    <n v="0"/>
    <n v="11.452356648653195"/>
    <m/>
    <m/>
    <n v="192498.85240000003"/>
    <n v="0"/>
    <n v="0"/>
    <n v="250234.45086733828"/>
    <n v="0"/>
    <n v="0"/>
  </r>
  <r>
    <s v="Regular"/>
    <x v="2"/>
    <x v="3"/>
    <x v="1"/>
    <x v="0"/>
    <x v="2"/>
    <x v="0"/>
    <x v="1"/>
    <x v="0"/>
    <n v="0"/>
    <n v="0"/>
    <n v="1047.0619999999999"/>
    <n v="710.75534998225999"/>
    <n v="0"/>
    <n v="0"/>
    <n v="0"/>
    <x v="2"/>
    <n v="0"/>
    <n v="0"/>
    <n v="27"/>
    <n v="0"/>
    <n v="0"/>
    <n v="641.99"/>
    <n v="0"/>
    <m/>
    <n v="747.73459855656426"/>
    <m/>
    <n v="0"/>
    <n v="456297.82713511109"/>
    <n v="0"/>
    <n v="0"/>
    <n v="531456.36629091552"/>
    <n v="0"/>
  </r>
  <r>
    <s v="Regular"/>
    <x v="2"/>
    <x v="3"/>
    <x v="1"/>
    <x v="0"/>
    <x v="2"/>
    <x v="0"/>
    <x v="1"/>
    <x v="1"/>
    <n v="0"/>
    <n v="0"/>
    <n v="892.98900000000003"/>
    <n v="563.05930103369997"/>
    <n v="0"/>
    <n v="0"/>
    <n v="0"/>
    <x v="2"/>
    <n v="0"/>
    <n v="0"/>
    <n v="27"/>
    <n v="0"/>
    <n v="0"/>
    <n v="641.99"/>
    <n v="0"/>
    <m/>
    <n v="747.73459855656426"/>
    <m/>
    <n v="0"/>
    <n v="361478.44067062507"/>
    <n v="0"/>
    <n v="0"/>
    <n v="421018.92042197334"/>
    <n v="0"/>
  </r>
  <r>
    <s v="Regular"/>
    <x v="2"/>
    <x v="3"/>
    <x v="1"/>
    <x v="0"/>
    <x v="2"/>
    <x v="0"/>
    <x v="1"/>
    <x v="2"/>
    <n v="0"/>
    <n v="0"/>
    <n v="875.40200000000004"/>
    <n v="597.85909616554"/>
    <n v="0"/>
    <n v="0"/>
    <n v="0"/>
    <x v="2"/>
    <n v="0"/>
    <n v="0"/>
    <n v="27"/>
    <n v="0"/>
    <n v="0"/>
    <n v="641.99"/>
    <n v="0"/>
    <m/>
    <n v="747.73459855656426"/>
    <m/>
    <n v="0"/>
    <n v="383819.56114731502"/>
    <n v="0"/>
    <n v="0"/>
    <n v="447039.9312647304"/>
    <n v="0"/>
  </r>
  <r>
    <s v="Regular"/>
    <x v="2"/>
    <x v="3"/>
    <x v="1"/>
    <x v="0"/>
    <x v="2"/>
    <x v="0"/>
    <x v="1"/>
    <x v="3"/>
    <n v="0"/>
    <n v="0"/>
    <n v="979.89599999999996"/>
    <n v="674.92929804816004"/>
    <n v="0"/>
    <n v="0"/>
    <n v="0"/>
    <x v="2"/>
    <n v="0"/>
    <n v="0"/>
    <n v="27"/>
    <n v="0"/>
    <n v="0"/>
    <n v="641.99"/>
    <n v="0"/>
    <m/>
    <n v="747.73459855656426"/>
    <m/>
    <n v="0"/>
    <n v="433297.86005393829"/>
    <n v="0"/>
    <n v="0"/>
    <n v="504667.98773010465"/>
    <n v="0"/>
  </r>
  <r>
    <s v="Regular"/>
    <x v="2"/>
    <x v="3"/>
    <x v="1"/>
    <x v="0"/>
    <x v="2"/>
    <x v="0"/>
    <x v="1"/>
    <x v="4"/>
    <n v="0"/>
    <n v="0"/>
    <n v="874.16800000000001"/>
    <n v="599.14239520616002"/>
    <n v="0"/>
    <n v="0"/>
    <n v="0"/>
    <x v="2"/>
    <n v="0"/>
    <n v="0"/>
    <n v="27"/>
    <n v="0"/>
    <n v="0"/>
    <n v="641.99"/>
    <n v="0"/>
    <m/>
    <n v="747.73459855656426"/>
    <m/>
    <n v="0"/>
    <n v="384643.42629840266"/>
    <n v="0"/>
    <n v="0"/>
    <n v="447999.49835769646"/>
    <n v="0"/>
  </r>
  <r>
    <s v="Regular"/>
    <x v="2"/>
    <x v="3"/>
    <x v="1"/>
    <x v="0"/>
    <x v="2"/>
    <x v="0"/>
    <x v="1"/>
    <x v="5"/>
    <n v="0"/>
    <n v="0"/>
    <n v="941.30399999999997"/>
    <n v="673.44196843559996"/>
    <n v="0"/>
    <n v="0"/>
    <n v="0"/>
    <x v="2"/>
    <n v="0"/>
    <n v="0"/>
    <n v="27"/>
    <n v="0"/>
    <n v="0"/>
    <n v="641.99"/>
    <n v="0"/>
    <m/>
    <n v="747.73459855656426"/>
    <m/>
    <n v="0"/>
    <n v="432343.00931597082"/>
    <n v="0"/>
    <n v="0"/>
    <n v="503555.85991933575"/>
    <n v="0"/>
  </r>
  <r>
    <s v="Regular"/>
    <x v="2"/>
    <x v="3"/>
    <x v="1"/>
    <x v="0"/>
    <x v="2"/>
    <x v="0"/>
    <x v="1"/>
    <x v="6"/>
    <n v="0"/>
    <n v="0"/>
    <n v="748.73599999999999"/>
    <n v="534.27896175616002"/>
    <n v="0"/>
    <n v="0"/>
    <n v="0"/>
    <x v="2"/>
    <n v="0"/>
    <n v="0"/>
    <n v="27"/>
    <n v="0"/>
    <n v="0"/>
    <n v="641.99"/>
    <n v="0"/>
    <m/>
    <n v="747.73459855656426"/>
    <m/>
    <n v="0"/>
    <n v="343001.7506578372"/>
    <n v="0"/>
    <n v="0"/>
    <n v="399498.86498596024"/>
    <n v="0"/>
  </r>
  <r>
    <s v="Regular"/>
    <x v="2"/>
    <x v="3"/>
    <x v="1"/>
    <x v="0"/>
    <x v="2"/>
    <x v="0"/>
    <x v="1"/>
    <x v="7"/>
    <n v="0"/>
    <n v="0"/>
    <n v="759.61300000000006"/>
    <n v="549.16568978141004"/>
    <n v="0"/>
    <n v="0"/>
    <n v="0"/>
    <x v="2"/>
    <n v="0"/>
    <n v="0"/>
    <n v="27"/>
    <n v="0"/>
    <n v="0"/>
    <n v="641.99"/>
    <n v="0"/>
    <m/>
    <n v="747.73459855656426"/>
    <m/>
    <n v="0"/>
    <n v="352558.88118276745"/>
    <n v="0"/>
    <n v="0"/>
    <n v="410630.18658974132"/>
    <n v="0"/>
  </r>
  <r>
    <s v="Regular"/>
    <x v="2"/>
    <x v="3"/>
    <x v="1"/>
    <x v="0"/>
    <x v="2"/>
    <x v="0"/>
    <x v="1"/>
    <x v="8"/>
    <n v="0"/>
    <n v="0"/>
    <n v="759.61300000000006"/>
    <n v="543.50967215244998"/>
    <n v="0"/>
    <n v="0"/>
    <n v="0"/>
    <x v="2"/>
    <n v="0"/>
    <n v="0"/>
    <n v="27"/>
    <n v="0"/>
    <n v="0"/>
    <n v="641.99"/>
    <n v="0"/>
    <m/>
    <n v="747.73459855656426"/>
    <m/>
    <n v="0"/>
    <n v="348927.77442515135"/>
    <n v="0"/>
    <n v="0"/>
    <n v="406400.98651852203"/>
    <n v="0"/>
  </r>
  <r>
    <s v="Regular"/>
    <x v="2"/>
    <x v="3"/>
    <x v="1"/>
    <x v="0"/>
    <x v="2"/>
    <x v="0"/>
    <x v="1"/>
    <x v="9"/>
    <n v="0"/>
    <n v="0"/>
    <n v="782.59400000000005"/>
    <n v="562.38294210848005"/>
    <n v="0"/>
    <n v="0"/>
    <n v="0"/>
    <x v="2"/>
    <n v="0"/>
    <n v="0"/>
    <n v="27"/>
    <n v="0"/>
    <n v="0"/>
    <n v="641.99"/>
    <n v="0"/>
    <m/>
    <n v="747.73459855656426"/>
    <m/>
    <n v="0"/>
    <n v="361044.22500422312"/>
    <n v="0"/>
    <n v="0"/>
    <n v="420513.18345254386"/>
    <n v="0"/>
  </r>
  <r>
    <s v="Regular"/>
    <x v="2"/>
    <x v="3"/>
    <x v="1"/>
    <x v="0"/>
    <x v="2"/>
    <x v="0"/>
    <x v="1"/>
    <x v="10"/>
    <n v="0"/>
    <n v="0"/>
    <n v="815.26900000000001"/>
    <n v="586.99368000000004"/>
    <n v="0"/>
    <n v="0"/>
    <n v="0"/>
    <x v="2"/>
    <n v="0"/>
    <n v="0"/>
    <n v="27"/>
    <n v="0"/>
    <n v="0"/>
    <n v="641.99"/>
    <n v="0"/>
    <m/>
    <n v="747.73459855656426"/>
    <m/>
    <n v="0"/>
    <n v="376844.07262320002"/>
    <n v="0"/>
    <n v="0"/>
    <n v="438915.48367004038"/>
    <n v="0"/>
  </r>
  <r>
    <s v="PROJETADO"/>
    <x v="2"/>
    <x v="3"/>
    <x v="1"/>
    <x v="0"/>
    <x v="2"/>
    <x v="0"/>
    <x v="1"/>
    <x v="11"/>
    <n v="0"/>
    <n v="0"/>
    <n v="815.26900000000001"/>
    <n v="586.99368000000004"/>
    <n v="0"/>
    <n v="0"/>
    <n v="0"/>
    <x v="2"/>
    <n v="0"/>
    <n v="0"/>
    <n v="27"/>
    <n v="0"/>
    <n v="0"/>
    <n v="641.99"/>
    <n v="0"/>
    <m/>
    <n v="747.73459855656426"/>
    <m/>
    <n v="0"/>
    <n v="376844.07262320002"/>
    <n v="0"/>
    <n v="0"/>
    <n v="438915.48367004038"/>
    <n v="0"/>
  </r>
  <r>
    <s v="Regular"/>
    <x v="2"/>
    <x v="3"/>
    <x v="1"/>
    <x v="0"/>
    <x v="0"/>
    <x v="0"/>
    <x v="0"/>
    <x v="0"/>
    <n v="0"/>
    <n v="0"/>
    <n v="2945.4160000000002"/>
    <n v="2945.4160000000002"/>
    <n v="2945.4160000000002"/>
    <n v="2945.4160000000002"/>
    <n v="0"/>
    <x v="0"/>
    <n v="0"/>
    <n v="0"/>
    <n v="28"/>
    <n v="82"/>
    <n v="0"/>
    <n v="84.45"/>
    <n v="256.38"/>
    <m/>
    <n v="87.520205040180812"/>
    <n v="230.84299908458948"/>
    <n v="0"/>
    <n v="248740.38120000003"/>
    <n v="755145.75407999998"/>
    <n v="0"/>
    <n v="257783.41224862923"/>
    <n v="679928.66299173527"/>
  </r>
  <r>
    <s v="Refaturamento - Regular"/>
    <x v="2"/>
    <x v="3"/>
    <x v="1"/>
    <x v="0"/>
    <x v="0"/>
    <x v="0"/>
    <x v="0"/>
    <x v="0"/>
    <n v="0"/>
    <n v="0"/>
    <n v="3.665"/>
    <n v="3.665"/>
    <n v="3.665"/>
    <n v="3.665"/>
    <n v="0"/>
    <x v="0"/>
    <n v="0"/>
    <n v="0"/>
    <n v="28"/>
    <n v="82"/>
    <n v="0"/>
    <n v="84.45"/>
    <n v="256.38"/>
    <m/>
    <n v="87.520205040180812"/>
    <n v="230.84299908458948"/>
    <n v="0"/>
    <n v="309.50925000000001"/>
    <n v="939.6327"/>
    <n v="0"/>
    <n v="320.76155147226268"/>
    <n v="846.03959164502044"/>
  </r>
  <r>
    <s v="Sistema de Compensação"/>
    <x v="2"/>
    <x v="3"/>
    <x v="1"/>
    <x v="0"/>
    <x v="0"/>
    <x v="0"/>
    <x v="0"/>
    <x v="0"/>
    <n v="0"/>
    <n v="0"/>
    <n v="10.709"/>
    <n v="10.709"/>
    <n v="10.709"/>
    <n v="10.709"/>
    <n v="0"/>
    <x v="0"/>
    <n v="0"/>
    <n v="0"/>
    <n v="28"/>
    <n v="82"/>
    <n v="0"/>
    <n v="84.45"/>
    <n v="256.38"/>
    <m/>
    <n v="87.520205040180812"/>
    <n v="230.84299908458948"/>
    <n v="0"/>
    <n v="904.37504999999999"/>
    <n v="2745.5734199999997"/>
    <n v="0"/>
    <n v="937.25387577529625"/>
    <n v="2472.0976771968685"/>
  </r>
  <r>
    <s v="Regular"/>
    <x v="2"/>
    <x v="3"/>
    <x v="1"/>
    <x v="0"/>
    <x v="0"/>
    <x v="0"/>
    <x v="0"/>
    <x v="1"/>
    <n v="0"/>
    <n v="0"/>
    <n v="2797.2350000000001"/>
    <n v="2797.2350000000001"/>
    <n v="2797.2350000000001"/>
    <n v="2797.2350000000001"/>
    <n v="0"/>
    <x v="0"/>
    <n v="0"/>
    <n v="0"/>
    <n v="28"/>
    <n v="82"/>
    <n v="0"/>
    <n v="84.45"/>
    <n v="256.38"/>
    <m/>
    <n v="87.520205040180812"/>
    <n v="230.84299908458948"/>
    <n v="0"/>
    <n v="236226.49575000003"/>
    <n v="717155.10930000001"/>
    <n v="0"/>
    <n v="244814.58074557019"/>
    <n v="645722.11654438172"/>
  </r>
  <r>
    <s v="Refaturamento - Regular"/>
    <x v="2"/>
    <x v="3"/>
    <x v="1"/>
    <x v="0"/>
    <x v="0"/>
    <x v="0"/>
    <x v="0"/>
    <x v="1"/>
    <n v="0"/>
    <n v="0"/>
    <n v="61.134999999999998"/>
    <n v="61.134999999999998"/>
    <n v="61.134999999999998"/>
    <n v="61.134999999999998"/>
    <n v="0"/>
    <x v="0"/>
    <n v="0"/>
    <n v="0"/>
    <n v="28"/>
    <n v="82"/>
    <n v="0"/>
    <n v="84.45"/>
    <n v="256.38"/>
    <m/>
    <n v="87.520205040180812"/>
    <n v="230.84299908458948"/>
    <n v="0"/>
    <n v="5162.8507499999996"/>
    <n v="15673.791299999999"/>
    <n v="0"/>
    <n v="5350.5477351314539"/>
    <n v="14112.586749036378"/>
  </r>
  <r>
    <s v="Sistema de Compensação"/>
    <x v="2"/>
    <x v="3"/>
    <x v="1"/>
    <x v="0"/>
    <x v="0"/>
    <x v="0"/>
    <x v="0"/>
    <x v="1"/>
    <n v="0"/>
    <n v="0"/>
    <n v="4.0910000000000002"/>
    <n v="4.0910000000000002"/>
    <n v="4.0910000000000002"/>
    <n v="4.0910000000000002"/>
    <n v="0"/>
    <x v="0"/>
    <n v="0"/>
    <n v="0"/>
    <n v="28"/>
    <n v="82"/>
    <n v="0"/>
    <n v="84.45"/>
    <n v="256.38"/>
    <m/>
    <n v="87.520205040180812"/>
    <n v="230.84299908458948"/>
    <n v="0"/>
    <n v="345.48495000000003"/>
    <n v="1048.85058"/>
    <n v="0"/>
    <n v="358.04515881937971"/>
    <n v="944.37870925505558"/>
  </r>
  <r>
    <s v="Regular"/>
    <x v="2"/>
    <x v="3"/>
    <x v="1"/>
    <x v="0"/>
    <x v="0"/>
    <x v="0"/>
    <x v="0"/>
    <x v="2"/>
    <n v="0"/>
    <n v="0"/>
    <n v="2684.395"/>
    <n v="2684.395"/>
    <n v="2684.395"/>
    <n v="2684.395"/>
    <n v="0"/>
    <x v="0"/>
    <n v="0"/>
    <n v="0"/>
    <n v="28"/>
    <n v="82"/>
    <n v="0"/>
    <n v="84.45"/>
    <n v="256.38"/>
    <m/>
    <n v="87.520205040180812"/>
    <n v="230.84299908458948"/>
    <n v="0"/>
    <n v="226697.15775000001"/>
    <n v="688225.19010000001"/>
    <n v="0"/>
    <n v="234938.80080883618"/>
    <n v="619673.79252767656"/>
  </r>
  <r>
    <s v="Refaturamento - Regular"/>
    <x v="2"/>
    <x v="3"/>
    <x v="1"/>
    <x v="0"/>
    <x v="0"/>
    <x v="0"/>
    <x v="0"/>
    <x v="2"/>
    <n v="0"/>
    <n v="0"/>
    <n v="4.7859999999999996"/>
    <n v="4.7859999999999996"/>
    <n v="4.7859999999999996"/>
    <n v="4.7859999999999996"/>
    <n v="0"/>
    <x v="0"/>
    <n v="0"/>
    <n v="0"/>
    <n v="28"/>
    <n v="82"/>
    <n v="0"/>
    <n v="84.45"/>
    <n v="256.38"/>
    <m/>
    <n v="87.520205040180812"/>
    <n v="230.84299908458948"/>
    <n v="0"/>
    <n v="404.17769999999996"/>
    <n v="1227.03468"/>
    <n v="0"/>
    <n v="418.87170132230534"/>
    <n v="1104.8145936188453"/>
  </r>
  <r>
    <s v="Sistema de Compensação"/>
    <x v="2"/>
    <x v="3"/>
    <x v="1"/>
    <x v="0"/>
    <x v="0"/>
    <x v="0"/>
    <x v="0"/>
    <x v="2"/>
    <n v="0"/>
    <n v="0"/>
    <n v="66.516999999999996"/>
    <n v="66.516999999999996"/>
    <n v="66.516999999999996"/>
    <n v="66.516999999999996"/>
    <n v="0"/>
    <x v="0"/>
    <n v="0"/>
    <n v="0"/>
    <n v="28"/>
    <n v="82"/>
    <n v="0"/>
    <n v="84.45"/>
    <n v="256.38"/>
    <m/>
    <n v="87.520205040180812"/>
    <n v="230.84299908458948"/>
    <n v="0"/>
    <n v="5617.3606499999996"/>
    <n v="17053.62846"/>
    <n v="0"/>
    <n v="5821.5814786577066"/>
    <n v="15354.983770109637"/>
  </r>
  <r>
    <s v="Regular"/>
    <x v="2"/>
    <x v="3"/>
    <x v="1"/>
    <x v="0"/>
    <x v="0"/>
    <x v="0"/>
    <x v="0"/>
    <x v="3"/>
    <n v="0"/>
    <n v="0"/>
    <n v="2122.011"/>
    <n v="2122.011"/>
    <n v="2122.011"/>
    <n v="2122.011"/>
    <n v="0"/>
    <x v="0"/>
    <n v="0"/>
    <n v="0"/>
    <n v="28"/>
    <n v="82"/>
    <n v="0"/>
    <n v="84.45"/>
    <n v="256.38"/>
    <m/>
    <n v="87.520205040180812"/>
    <n v="230.84299908458948"/>
    <n v="0"/>
    <n v="179203.82895"/>
    <n v="544041.18018000002"/>
    <n v="0"/>
    <n v="185718.83781751912"/>
    <n v="489851.38333048881"/>
  </r>
  <r>
    <s v="Refaturamento - Regular"/>
    <x v="2"/>
    <x v="3"/>
    <x v="1"/>
    <x v="0"/>
    <x v="0"/>
    <x v="0"/>
    <x v="0"/>
    <x v="3"/>
    <n v="0"/>
    <n v="0"/>
    <n v="151.22300000000001"/>
    <n v="151.22300000000001"/>
    <n v="151.22300000000001"/>
    <n v="151.22300000000001"/>
    <n v="0"/>
    <x v="0"/>
    <n v="0"/>
    <n v="0"/>
    <n v="28"/>
    <n v="82"/>
    <n v="0"/>
    <n v="84.45"/>
    <n v="256.38"/>
    <m/>
    <n v="87.520205040180812"/>
    <n v="230.84299908458948"/>
    <n v="0"/>
    <n v="12770.782350000001"/>
    <n v="38770.552739999999"/>
    <n v="0"/>
    <n v="13235.067966791265"/>
    <n v="34908.770850568879"/>
  </r>
  <r>
    <s v="Sistema de Compensação"/>
    <x v="2"/>
    <x v="3"/>
    <x v="1"/>
    <x v="0"/>
    <x v="0"/>
    <x v="0"/>
    <x v="0"/>
    <x v="3"/>
    <n v="0"/>
    <n v="0"/>
    <n v="35.049999999999997"/>
    <n v="35.049999999999997"/>
    <n v="35.049999999999997"/>
    <n v="35.049999999999997"/>
    <n v="0"/>
    <x v="0"/>
    <n v="0"/>
    <n v="0"/>
    <n v="28"/>
    <n v="82"/>
    <n v="0"/>
    <n v="84.45"/>
    <n v="256.38"/>
    <m/>
    <n v="87.520205040180812"/>
    <n v="230.84299908458948"/>
    <n v="0"/>
    <n v="2959.9724999999999"/>
    <n v="8986.1189999999988"/>
    <n v="0"/>
    <n v="3067.5831866583371"/>
    <n v="8091.0471179148608"/>
  </r>
  <r>
    <s v="Regular"/>
    <x v="2"/>
    <x v="3"/>
    <x v="1"/>
    <x v="0"/>
    <x v="0"/>
    <x v="0"/>
    <x v="0"/>
    <x v="4"/>
    <n v="0"/>
    <n v="0"/>
    <n v="2540.741"/>
    <n v="2540.741"/>
    <n v="2540.741"/>
    <n v="2540.741"/>
    <n v="0"/>
    <x v="0"/>
    <n v="0"/>
    <n v="0"/>
    <n v="28"/>
    <n v="82"/>
    <n v="0"/>
    <n v="84.45"/>
    <n v="256.38"/>
    <m/>
    <n v="87.520205040180812"/>
    <n v="230.84299908458948"/>
    <n v="0"/>
    <n v="214565.57745000001"/>
    <n v="651395.17758000002"/>
    <n v="0"/>
    <n v="222366.17327399403"/>
    <n v="586512.27233717893"/>
  </r>
  <r>
    <s v="Sistema de Compensação"/>
    <x v="2"/>
    <x v="3"/>
    <x v="1"/>
    <x v="0"/>
    <x v="0"/>
    <x v="0"/>
    <x v="0"/>
    <x v="4"/>
    <n v="0"/>
    <n v="0"/>
    <n v="49.540999999999997"/>
    <n v="49.540999999999997"/>
    <n v="49.540999999999997"/>
    <n v="49.540999999999997"/>
    <n v="0"/>
    <x v="0"/>
    <n v="0"/>
    <n v="0"/>
    <n v="28"/>
    <n v="82"/>
    <n v="0"/>
    <n v="84.45"/>
    <n v="256.38"/>
    <m/>
    <n v="87.520205040180812"/>
    <n v="230.84299908458948"/>
    <n v="0"/>
    <n v="4183.7374499999996"/>
    <n v="12701.32158"/>
    <n v="0"/>
    <n v="4335.838477895597"/>
    <n v="11436.193017649646"/>
  </r>
  <r>
    <s v="Regular"/>
    <x v="2"/>
    <x v="3"/>
    <x v="1"/>
    <x v="0"/>
    <x v="0"/>
    <x v="0"/>
    <x v="0"/>
    <x v="5"/>
    <n v="0"/>
    <n v="0"/>
    <n v="2220.6489999999999"/>
    <n v="2220.6489999999999"/>
    <n v="2220.6489999999999"/>
    <n v="2220.6489999999999"/>
    <n v="0"/>
    <x v="0"/>
    <n v="0"/>
    <n v="0"/>
    <n v="28"/>
    <n v="82"/>
    <n v="0"/>
    <n v="84.45"/>
    <n v="256.38"/>
    <m/>
    <n v="87.520205040180812"/>
    <n v="230.84299908458948"/>
    <n v="0"/>
    <n v="187533.80804999999"/>
    <n v="569329.99061999994"/>
    <n v="0"/>
    <n v="194351.65580227246"/>
    <n v="512621.27507419453"/>
  </r>
  <r>
    <s v="Refaturamento - Regular"/>
    <x v="2"/>
    <x v="3"/>
    <x v="1"/>
    <x v="0"/>
    <x v="0"/>
    <x v="0"/>
    <x v="0"/>
    <x v="5"/>
    <n v="0"/>
    <n v="0"/>
    <n v="25.433"/>
    <n v="25.433"/>
    <n v="25.433"/>
    <n v="25.433"/>
    <n v="0"/>
    <x v="0"/>
    <n v="0"/>
    <n v="0"/>
    <n v="28"/>
    <n v="82"/>
    <n v="0"/>
    <n v="84.45"/>
    <n v="256.38"/>
    <m/>
    <n v="87.520205040180812"/>
    <n v="230.84299908458948"/>
    <n v="0"/>
    <n v="2147.8168500000002"/>
    <n v="6520.5125399999997"/>
    <n v="0"/>
    <n v="2225.9013747869185"/>
    <n v="5871.0299957183643"/>
  </r>
  <r>
    <s v="Sistema de Compensação"/>
    <x v="2"/>
    <x v="3"/>
    <x v="1"/>
    <x v="0"/>
    <x v="0"/>
    <x v="0"/>
    <x v="0"/>
    <x v="5"/>
    <n v="0"/>
    <n v="0"/>
    <n v="69.989000000000004"/>
    <n v="69.989000000000004"/>
    <n v="69.989000000000004"/>
    <n v="69.989000000000004"/>
    <n v="0"/>
    <x v="0"/>
    <n v="0"/>
    <n v="0"/>
    <n v="28"/>
    <n v="82"/>
    <n v="0"/>
    <n v="84.45"/>
    <n v="256.38"/>
    <m/>
    <n v="87.520205040180812"/>
    <n v="230.84299908458948"/>
    <n v="0"/>
    <n v="5910.5710500000005"/>
    <n v="17943.77982"/>
    <n v="0"/>
    <n v="6125.4516305572151"/>
    <n v="16156.470662931333"/>
  </r>
  <r>
    <s v="Regular"/>
    <x v="2"/>
    <x v="3"/>
    <x v="1"/>
    <x v="0"/>
    <x v="0"/>
    <x v="0"/>
    <x v="0"/>
    <x v="6"/>
    <n v="0"/>
    <n v="0"/>
    <n v="2355.7370000000001"/>
    <n v="2355.7370000000001"/>
    <n v="2355.7370000000001"/>
    <n v="2355.7370000000001"/>
    <n v="0"/>
    <x v="0"/>
    <n v="0"/>
    <n v="0"/>
    <n v="28"/>
    <n v="82"/>
    <n v="0"/>
    <n v="84.45"/>
    <n v="256.38"/>
    <m/>
    <n v="87.520205040180812"/>
    <n v="230.84299908458948"/>
    <n v="0"/>
    <n v="198941.98965"/>
    <n v="603963.85206000006"/>
    <n v="0"/>
    <n v="206174.58526074042"/>
    <n v="543805.39413453359"/>
  </r>
  <r>
    <s v="Refaturamento - Regular"/>
    <x v="2"/>
    <x v="3"/>
    <x v="1"/>
    <x v="0"/>
    <x v="0"/>
    <x v="0"/>
    <x v="0"/>
    <x v="6"/>
    <n v="0"/>
    <n v="0"/>
    <n v="2.9390000000000001"/>
    <n v="2.9390000000000001"/>
    <n v="2.9390000000000001"/>
    <n v="2.9390000000000001"/>
    <n v="0"/>
    <x v="0"/>
    <n v="0"/>
    <n v="0"/>
    <n v="28"/>
    <n v="82"/>
    <n v="0"/>
    <n v="84.45"/>
    <n v="256.38"/>
    <m/>
    <n v="87.520205040180812"/>
    <n v="230.84299908458948"/>
    <n v="0"/>
    <n v="248.19855000000001"/>
    <n v="753.50081999999998"/>
    <n v="0"/>
    <n v="257.2218826130914"/>
    <n v="678.44757430960851"/>
  </r>
  <r>
    <s v="Sistema de Compensação"/>
    <x v="2"/>
    <x v="3"/>
    <x v="1"/>
    <x v="0"/>
    <x v="0"/>
    <x v="0"/>
    <x v="0"/>
    <x v="6"/>
    <n v="0"/>
    <n v="0"/>
    <n v="62.408999999999999"/>
    <n v="62.408999999999999"/>
    <n v="62.408999999999999"/>
    <n v="62.408999999999999"/>
    <n v="0"/>
    <x v="0"/>
    <n v="0"/>
    <n v="0"/>
    <n v="28"/>
    <n v="82"/>
    <n v="0"/>
    <n v="84.45"/>
    <n v="256.38"/>
    <m/>
    <n v="87.520205040180812"/>
    <n v="230.84299908458948"/>
    <n v="0"/>
    <n v="5270.4400500000002"/>
    <n v="16000.41942"/>
    <n v="0"/>
    <n v="5462.0484763526438"/>
    <n v="14406.680729870144"/>
  </r>
  <r>
    <s v="Regular"/>
    <x v="2"/>
    <x v="3"/>
    <x v="1"/>
    <x v="0"/>
    <x v="0"/>
    <x v="0"/>
    <x v="0"/>
    <x v="7"/>
    <n v="0"/>
    <n v="0"/>
    <n v="1754.0329999999999"/>
    <n v="1754.0329999999999"/>
    <n v="1754.0329999999999"/>
    <n v="1754.0329999999999"/>
    <n v="0"/>
    <x v="0"/>
    <n v="0"/>
    <n v="0"/>
    <n v="28"/>
    <n v="82"/>
    <n v="0"/>
    <n v="84.45"/>
    <n v="256.38"/>
    <m/>
    <n v="87.520205040180812"/>
    <n v="230.84299908458948"/>
    <n v="0"/>
    <n v="148128.08684999999"/>
    <n v="449698.98053999996"/>
    <n v="0"/>
    <n v="153513.32780724345"/>
    <n v="404906.2382133397"/>
  </r>
  <r>
    <s v="Sistema de Compensação"/>
    <x v="2"/>
    <x v="3"/>
    <x v="1"/>
    <x v="0"/>
    <x v="0"/>
    <x v="0"/>
    <x v="0"/>
    <x v="7"/>
    <n v="0"/>
    <n v="0"/>
    <n v="56.521000000000001"/>
    <n v="56.521000000000001"/>
    <n v="56.521000000000001"/>
    <n v="56.521000000000001"/>
    <n v="0"/>
    <x v="0"/>
    <n v="0"/>
    <n v="0"/>
    <n v="28"/>
    <n v="82"/>
    <n v="0"/>
    <n v="84.45"/>
    <n v="256.38"/>
    <m/>
    <n v="87.520205040180812"/>
    <n v="230.84299908458948"/>
    <n v="0"/>
    <n v="4773.1984499999999"/>
    <n v="14490.85398"/>
    <n v="0"/>
    <n v="4946.7295090760599"/>
    <n v="13047.477151260082"/>
  </r>
  <r>
    <s v="Regular"/>
    <x v="2"/>
    <x v="3"/>
    <x v="1"/>
    <x v="0"/>
    <x v="0"/>
    <x v="0"/>
    <x v="0"/>
    <x v="8"/>
    <n v="0"/>
    <n v="0"/>
    <n v="1931.4090000000001"/>
    <n v="1931.4090000000001"/>
    <n v="1931.4090000000001"/>
    <n v="1931.4090000000001"/>
    <n v="0"/>
    <x v="0"/>
    <n v="0"/>
    <n v="0"/>
    <n v="28"/>
    <n v="82"/>
    <n v="0"/>
    <n v="84.45"/>
    <n v="256.38"/>
    <m/>
    <n v="87.520205040180812"/>
    <n v="230.84299908458948"/>
    <n v="0"/>
    <n v="163107.49005000002"/>
    <n v="495174.63942000002"/>
    <n v="0"/>
    <n v="169037.3116964506"/>
    <n v="445852.24601896788"/>
  </r>
  <r>
    <s v="Refaturamento - Regular"/>
    <x v="2"/>
    <x v="3"/>
    <x v="1"/>
    <x v="0"/>
    <x v="0"/>
    <x v="0"/>
    <x v="0"/>
    <x v="8"/>
    <n v="0"/>
    <n v="0"/>
    <n v="25.989000000000001"/>
    <n v="25.989000000000001"/>
    <n v="25.989000000000001"/>
    <n v="25.989000000000001"/>
    <n v="0"/>
    <x v="0"/>
    <n v="0"/>
    <n v="0"/>
    <n v="28"/>
    <n v="82"/>
    <n v="0"/>
    <n v="84.45"/>
    <n v="256.38"/>
    <m/>
    <n v="87.520205040180812"/>
    <n v="230.84299908458948"/>
    <n v="0"/>
    <n v="2194.7710500000003"/>
    <n v="6663.0598200000004"/>
    <n v="0"/>
    <n v="2274.5626087892592"/>
    <n v="5999.378703209396"/>
  </r>
  <r>
    <s v="Sistema de Compensação"/>
    <x v="2"/>
    <x v="3"/>
    <x v="1"/>
    <x v="0"/>
    <x v="0"/>
    <x v="0"/>
    <x v="0"/>
    <x v="8"/>
    <n v="0"/>
    <n v="0"/>
    <n v="121.191"/>
    <n v="121.191"/>
    <n v="121.191"/>
    <n v="121.191"/>
    <n v="0"/>
    <x v="0"/>
    <n v="0"/>
    <n v="0"/>
    <n v="28"/>
    <n v="82"/>
    <n v="0"/>
    <n v="84.45"/>
    <n v="256.38"/>
    <m/>
    <n v="87.520205040180812"/>
    <n v="230.84299908458948"/>
    <n v="0"/>
    <n v="10234.579950000001"/>
    <n v="31070.94858"/>
    <n v="0"/>
    <n v="10606.661169024554"/>
    <n v="27976.093902060486"/>
  </r>
  <r>
    <s v="Regular"/>
    <x v="2"/>
    <x v="3"/>
    <x v="1"/>
    <x v="0"/>
    <x v="0"/>
    <x v="0"/>
    <x v="0"/>
    <x v="9"/>
    <n v="0"/>
    <n v="0"/>
    <n v="2076.2440000000001"/>
    <n v="2076.2440000000001"/>
    <n v="2076.2440000000001"/>
    <n v="2076.2440000000001"/>
    <n v="0"/>
    <x v="0"/>
    <n v="0"/>
    <n v="0"/>
    <n v="28"/>
    <n v="82"/>
    <n v="0"/>
    <n v="84.45"/>
    <n v="256.38"/>
    <m/>
    <n v="87.520205040180812"/>
    <n v="230.84299908458948"/>
    <n v="0"/>
    <n v="175338.80580000003"/>
    <n v="532307.43672"/>
    <n v="0"/>
    <n v="181713.30059344519"/>
    <n v="479286.39179138443"/>
  </r>
  <r>
    <s v="Refaturamento - Regular"/>
    <x v="2"/>
    <x v="3"/>
    <x v="1"/>
    <x v="0"/>
    <x v="0"/>
    <x v="0"/>
    <x v="0"/>
    <x v="9"/>
    <n v="0"/>
    <n v="0"/>
    <n v="21.2"/>
    <n v="21.2"/>
    <n v="21.2"/>
    <n v="21.2"/>
    <n v="0"/>
    <x v="0"/>
    <n v="0"/>
    <n v="0"/>
    <n v="28"/>
    <n v="82"/>
    <n v="0"/>
    <n v="84.45"/>
    <n v="256.38"/>
    <m/>
    <n v="87.520205040180812"/>
    <n v="230.84299908458948"/>
    <n v="0"/>
    <n v="1790.34"/>
    <n v="5435.2559999999994"/>
    <n v="0"/>
    <n v="1855.4283468518331"/>
    <n v="4893.871580593297"/>
  </r>
  <r>
    <s v="Sistema de Compensação"/>
    <x v="2"/>
    <x v="3"/>
    <x v="1"/>
    <x v="0"/>
    <x v="0"/>
    <x v="0"/>
    <x v="0"/>
    <x v="9"/>
    <n v="0"/>
    <n v="0"/>
    <n v="164.58799999999999"/>
    <n v="164.58799999999999"/>
    <n v="164.58799999999999"/>
    <n v="164.58799999999999"/>
    <n v="0"/>
    <x v="0"/>
    <n v="0"/>
    <n v="0"/>
    <n v="28"/>
    <n v="82"/>
    <n v="0"/>
    <n v="84.45"/>
    <n v="256.38"/>
    <m/>
    <n v="87.520205040180812"/>
    <n v="230.84299908458948"/>
    <n v="0"/>
    <n v="13899.4566"/>
    <n v="42197.07144"/>
    <n v="0"/>
    <n v="14404.775507153279"/>
    <n v="37993.98753333441"/>
  </r>
  <r>
    <s v="Regular"/>
    <x v="2"/>
    <x v="3"/>
    <x v="1"/>
    <x v="0"/>
    <x v="0"/>
    <x v="0"/>
    <x v="0"/>
    <x v="10"/>
    <n v="0"/>
    <n v="0"/>
    <n v="1972.558"/>
    <n v="1972.558"/>
    <n v="1972.558"/>
    <n v="1972.558"/>
    <n v="0"/>
    <x v="0"/>
    <n v="0"/>
    <n v="0"/>
    <n v="28"/>
    <n v="82"/>
    <n v="0"/>
    <n v="84.45"/>
    <n v="256.38"/>
    <m/>
    <n v="87.520205040180812"/>
    <n v="230.84299908458948"/>
    <n v="0"/>
    <n v="166582.52309999999"/>
    <n v="505724.42004"/>
    <n v="0"/>
    <n v="172638.68061364899"/>
    <n v="455351.20458829968"/>
  </r>
  <r>
    <s v="Refaturamento - Regular"/>
    <x v="2"/>
    <x v="3"/>
    <x v="1"/>
    <x v="0"/>
    <x v="0"/>
    <x v="0"/>
    <x v="0"/>
    <x v="10"/>
    <n v="0"/>
    <n v="0"/>
    <n v="30.524000000000001"/>
    <n v="30.524000000000001"/>
    <n v="30.524000000000001"/>
    <n v="30.524000000000001"/>
    <n v="0"/>
    <x v="0"/>
    <n v="0"/>
    <n v="0"/>
    <n v="28"/>
    <n v="82"/>
    <n v="0"/>
    <n v="84.45"/>
    <n v="256.38"/>
    <m/>
    <n v="87.520205040180812"/>
    <n v="230.84299908458948"/>
    <n v="0"/>
    <n v="2577.7518"/>
    <n v="7825.7431200000001"/>
    <n v="0"/>
    <n v="2671.4667386464794"/>
    <n v="7046.2517040580096"/>
  </r>
  <r>
    <s v="Sistema de Compensação"/>
    <x v="2"/>
    <x v="3"/>
    <x v="1"/>
    <x v="0"/>
    <x v="0"/>
    <x v="0"/>
    <x v="0"/>
    <x v="10"/>
    <n v="0"/>
    <n v="0"/>
    <n v="150.28800000000001"/>
    <n v="150.28800000000001"/>
    <n v="150.28800000000001"/>
    <n v="150.28800000000001"/>
    <n v="0"/>
    <x v="0"/>
    <n v="0"/>
    <n v="0"/>
    <n v="28"/>
    <n v="82"/>
    <n v="0"/>
    <n v="84.45"/>
    <n v="256.38"/>
    <m/>
    <n v="87.520205040180812"/>
    <n v="230.84299908458948"/>
    <n v="0"/>
    <n v="12691.821600000001"/>
    <n v="38530.837440000003"/>
    <n v="0"/>
    <n v="13153.236575078696"/>
    <n v="34692.932646424786"/>
  </r>
  <r>
    <s v="PROJETADO"/>
    <x v="2"/>
    <x v="3"/>
    <x v="1"/>
    <x v="0"/>
    <x v="0"/>
    <x v="0"/>
    <x v="0"/>
    <x v="11"/>
    <n v="0"/>
    <n v="0"/>
    <n v="1972.558"/>
    <n v="1972.558"/>
    <n v="1972.558"/>
    <n v="1972.558"/>
    <n v="0"/>
    <x v="0"/>
    <n v="0"/>
    <n v="0"/>
    <n v="28"/>
    <n v="82"/>
    <n v="0"/>
    <n v="84.45"/>
    <n v="256.38"/>
    <m/>
    <n v="87.520205040180812"/>
    <n v="230.84299908458948"/>
    <n v="0"/>
    <n v="166582.52309999999"/>
    <n v="505724.42004"/>
    <n v="0"/>
    <n v="172638.68061364899"/>
    <n v="455351.20458829968"/>
  </r>
  <r>
    <s v="PROJETADO"/>
    <x v="2"/>
    <x v="3"/>
    <x v="1"/>
    <x v="0"/>
    <x v="0"/>
    <x v="0"/>
    <x v="0"/>
    <x v="11"/>
    <n v="0"/>
    <n v="0"/>
    <n v="30.524000000000001"/>
    <n v="30.524000000000001"/>
    <n v="30.524000000000001"/>
    <n v="30.524000000000001"/>
    <n v="0"/>
    <x v="0"/>
    <n v="0"/>
    <n v="0"/>
    <n v="28"/>
    <n v="82"/>
    <n v="0"/>
    <n v="84.45"/>
    <n v="256.38"/>
    <m/>
    <n v="87.520205040180812"/>
    <n v="230.84299908458948"/>
    <n v="0"/>
    <n v="2577.7518"/>
    <n v="7825.7431200000001"/>
    <n v="0"/>
    <n v="2671.4667386464794"/>
    <n v="7046.2517040580096"/>
  </r>
  <r>
    <s v="PROJETADO"/>
    <x v="2"/>
    <x v="3"/>
    <x v="1"/>
    <x v="0"/>
    <x v="0"/>
    <x v="0"/>
    <x v="0"/>
    <x v="11"/>
    <n v="0"/>
    <n v="0"/>
    <n v="150.28800000000001"/>
    <n v="150.28800000000001"/>
    <n v="150.28800000000001"/>
    <n v="150.28800000000001"/>
    <n v="0"/>
    <x v="0"/>
    <n v="0"/>
    <n v="0"/>
    <n v="28"/>
    <n v="82"/>
    <n v="0"/>
    <n v="84.45"/>
    <n v="256.38"/>
    <m/>
    <n v="87.520205040180812"/>
    <n v="230.84299908458948"/>
    <n v="0"/>
    <n v="12691.821600000001"/>
    <n v="38530.837440000003"/>
    <n v="0"/>
    <n v="13153.236575078696"/>
    <n v="34692.932646424786"/>
  </r>
  <r>
    <s v="Regular"/>
    <x v="2"/>
    <x v="3"/>
    <x v="1"/>
    <x v="0"/>
    <x v="0"/>
    <x v="0"/>
    <x v="2"/>
    <x v="0"/>
    <n v="19283"/>
    <n v="19283"/>
    <n v="0"/>
    <n v="0"/>
    <n v="0"/>
    <n v="0"/>
    <n v="126"/>
    <x v="0"/>
    <n v="0"/>
    <n v="26"/>
    <n v="0"/>
    <n v="0"/>
    <n v="8.81"/>
    <n v="0"/>
    <n v="0"/>
    <n v="11.452356648653195"/>
    <m/>
    <m/>
    <n v="169883.23"/>
    <n v="0"/>
    <n v="0"/>
    <n v="220835.79325597957"/>
    <n v="0"/>
    <n v="0"/>
  </r>
  <r>
    <s v="Refaturamento - Regular"/>
    <x v="2"/>
    <x v="3"/>
    <x v="1"/>
    <x v="0"/>
    <x v="0"/>
    <x v="0"/>
    <x v="2"/>
    <x v="0"/>
    <n v="57"/>
    <n v="57"/>
    <n v="0"/>
    <n v="0"/>
    <n v="0"/>
    <n v="0"/>
    <n v="1"/>
    <x v="0"/>
    <n v="0"/>
    <n v="26"/>
    <n v="0"/>
    <n v="0"/>
    <n v="8.81"/>
    <n v="0"/>
    <n v="0"/>
    <n v="11.452356648653195"/>
    <m/>
    <m/>
    <n v="502.17"/>
    <n v="0"/>
    <n v="0"/>
    <n v="652.78432897323216"/>
    <n v="0"/>
    <n v="0"/>
  </r>
  <r>
    <s v="Sistema de Compensação"/>
    <x v="2"/>
    <x v="3"/>
    <x v="1"/>
    <x v="0"/>
    <x v="0"/>
    <x v="0"/>
    <x v="2"/>
    <x v="0"/>
    <n v="1100"/>
    <n v="1100"/>
    <n v="0"/>
    <n v="0"/>
    <n v="0"/>
    <n v="0"/>
    <n v="4"/>
    <x v="0"/>
    <n v="0"/>
    <n v="26"/>
    <n v="0"/>
    <n v="0"/>
    <n v="8.81"/>
    <n v="0"/>
    <n v="0"/>
    <n v="11.452356648653195"/>
    <m/>
    <m/>
    <n v="9691"/>
    <n v="0"/>
    <n v="0"/>
    <n v="12597.592313518515"/>
    <n v="0"/>
    <n v="0"/>
  </r>
  <r>
    <s v="Regular"/>
    <x v="2"/>
    <x v="3"/>
    <x v="1"/>
    <x v="0"/>
    <x v="0"/>
    <x v="0"/>
    <x v="2"/>
    <x v="1"/>
    <n v="19242"/>
    <n v="19242"/>
    <n v="0"/>
    <n v="0"/>
    <n v="0"/>
    <n v="0"/>
    <n v="125"/>
    <x v="0"/>
    <n v="0"/>
    <n v="26"/>
    <n v="0"/>
    <n v="0"/>
    <n v="8.81"/>
    <n v="0"/>
    <n v="0"/>
    <n v="11.452356648653195"/>
    <m/>
    <m/>
    <n v="169522.02000000002"/>
    <n v="0"/>
    <n v="0"/>
    <n v="220366.24663338478"/>
    <n v="0"/>
    <n v="0"/>
  </r>
  <r>
    <s v="Refaturamento - Regular"/>
    <x v="2"/>
    <x v="3"/>
    <x v="1"/>
    <x v="0"/>
    <x v="0"/>
    <x v="0"/>
    <x v="2"/>
    <x v="1"/>
    <n v="340"/>
    <n v="340"/>
    <n v="0"/>
    <n v="0"/>
    <n v="0"/>
    <n v="0"/>
    <n v="2"/>
    <x v="0"/>
    <n v="0"/>
    <n v="26"/>
    <n v="0"/>
    <n v="0"/>
    <n v="8.81"/>
    <n v="0"/>
    <n v="0"/>
    <n v="11.452356648653195"/>
    <m/>
    <m/>
    <n v="2995.4"/>
    <n v="0"/>
    <n v="0"/>
    <n v="3893.8012605420863"/>
    <n v="0"/>
    <n v="0"/>
  </r>
  <r>
    <s v="Sistema de Compensação"/>
    <x v="2"/>
    <x v="3"/>
    <x v="1"/>
    <x v="0"/>
    <x v="0"/>
    <x v="0"/>
    <x v="2"/>
    <x v="1"/>
    <n v="1100"/>
    <n v="1100"/>
    <n v="0"/>
    <n v="0"/>
    <n v="0"/>
    <n v="0"/>
    <n v="4"/>
    <x v="0"/>
    <n v="0"/>
    <n v="26"/>
    <n v="0"/>
    <n v="0"/>
    <n v="8.81"/>
    <n v="0"/>
    <n v="0"/>
    <n v="11.452356648653195"/>
    <m/>
    <m/>
    <n v="9691"/>
    <n v="0"/>
    <n v="0"/>
    <n v="12597.592313518515"/>
    <n v="0"/>
    <n v="0"/>
  </r>
  <r>
    <s v="Regular"/>
    <x v="2"/>
    <x v="3"/>
    <x v="1"/>
    <x v="0"/>
    <x v="0"/>
    <x v="0"/>
    <x v="2"/>
    <x v="2"/>
    <n v="19088"/>
    <n v="19088"/>
    <n v="0"/>
    <n v="0"/>
    <n v="0"/>
    <n v="0"/>
    <n v="124"/>
    <x v="0"/>
    <n v="0"/>
    <n v="26"/>
    <n v="0"/>
    <n v="0"/>
    <n v="8.81"/>
    <n v="0"/>
    <n v="0"/>
    <n v="11.452356648653195"/>
    <m/>
    <m/>
    <n v="168165.28"/>
    <n v="0"/>
    <n v="0"/>
    <n v="218602.5837094922"/>
    <n v="0"/>
    <n v="0"/>
  </r>
  <r>
    <s v="Refaturamento - Regular"/>
    <x v="2"/>
    <x v="3"/>
    <x v="1"/>
    <x v="0"/>
    <x v="0"/>
    <x v="0"/>
    <x v="2"/>
    <x v="2"/>
    <n v="89"/>
    <n v="89"/>
    <n v="0"/>
    <n v="0"/>
    <n v="0"/>
    <n v="0"/>
    <n v="1"/>
    <x v="0"/>
    <n v="0"/>
    <n v="26"/>
    <n v="0"/>
    <n v="0"/>
    <n v="8.81"/>
    <n v="0"/>
    <n v="0"/>
    <n v="11.452356648653195"/>
    <m/>
    <m/>
    <n v="784.09"/>
    <n v="0"/>
    <n v="0"/>
    <n v="1019.2597417301344"/>
    <n v="0"/>
    <n v="0"/>
  </r>
  <r>
    <s v="Sistema de Compensação"/>
    <x v="2"/>
    <x v="3"/>
    <x v="1"/>
    <x v="0"/>
    <x v="0"/>
    <x v="0"/>
    <x v="2"/>
    <x v="2"/>
    <n v="730"/>
    <n v="730"/>
    <n v="0"/>
    <n v="0"/>
    <n v="0"/>
    <n v="0"/>
    <n v="5"/>
    <x v="0"/>
    <n v="0"/>
    <n v="26"/>
    <n v="0"/>
    <n v="0"/>
    <n v="8.81"/>
    <n v="0"/>
    <n v="0"/>
    <n v="11.452356648653195"/>
    <m/>
    <m/>
    <n v="6431.3"/>
    <n v="0"/>
    <n v="0"/>
    <n v="8360.2203535168319"/>
    <n v="0"/>
    <n v="0"/>
  </r>
  <r>
    <s v="Regular"/>
    <x v="2"/>
    <x v="3"/>
    <x v="1"/>
    <x v="0"/>
    <x v="0"/>
    <x v="0"/>
    <x v="2"/>
    <x v="3"/>
    <n v="17104"/>
    <n v="17104"/>
    <n v="0"/>
    <n v="0"/>
    <n v="0"/>
    <n v="0"/>
    <n v="120"/>
    <x v="0"/>
    <n v="0"/>
    <n v="26"/>
    <n v="0"/>
    <n v="0"/>
    <n v="8.81"/>
    <n v="0"/>
    <n v="0"/>
    <n v="11.452356648653195"/>
    <m/>
    <m/>
    <n v="150686.24000000002"/>
    <n v="0"/>
    <n v="0"/>
    <n v="195881.10811856424"/>
    <n v="0"/>
    <n v="0"/>
  </r>
  <r>
    <s v="Refaturamento - Regular"/>
    <x v="2"/>
    <x v="3"/>
    <x v="1"/>
    <x v="0"/>
    <x v="0"/>
    <x v="0"/>
    <x v="2"/>
    <x v="3"/>
    <n v="774"/>
    <n v="774"/>
    <n v="0"/>
    <n v="0"/>
    <n v="0"/>
    <n v="0"/>
    <n v="2"/>
    <x v="0"/>
    <n v="0"/>
    <n v="26"/>
    <n v="0"/>
    <n v="0"/>
    <n v="8.81"/>
    <n v="0"/>
    <n v="0"/>
    <n v="11.452356648653195"/>
    <m/>
    <m/>
    <n v="6818.9400000000005"/>
    <n v="0"/>
    <n v="0"/>
    <n v="8864.1240460575737"/>
    <n v="0"/>
    <n v="0"/>
  </r>
  <r>
    <s v="Sistema de Compensação"/>
    <x v="2"/>
    <x v="3"/>
    <x v="1"/>
    <x v="0"/>
    <x v="0"/>
    <x v="0"/>
    <x v="2"/>
    <x v="3"/>
    <n v="730"/>
    <n v="730"/>
    <n v="0"/>
    <n v="0"/>
    <n v="0"/>
    <n v="0"/>
    <n v="5"/>
    <x v="0"/>
    <n v="0"/>
    <n v="26"/>
    <n v="0"/>
    <n v="0"/>
    <n v="8.81"/>
    <n v="0"/>
    <n v="0"/>
    <n v="11.452356648653195"/>
    <m/>
    <m/>
    <n v="6431.3"/>
    <n v="0"/>
    <n v="0"/>
    <n v="8360.2203535168319"/>
    <n v="0"/>
    <n v="0"/>
  </r>
  <r>
    <s v="Regular"/>
    <x v="2"/>
    <x v="3"/>
    <x v="1"/>
    <x v="0"/>
    <x v="0"/>
    <x v="0"/>
    <x v="2"/>
    <x v="4"/>
    <n v="17502"/>
    <n v="17502"/>
    <n v="0"/>
    <n v="0"/>
    <n v="0"/>
    <n v="0"/>
    <n v="118"/>
    <x v="0"/>
    <n v="0"/>
    <n v="26"/>
    <n v="0"/>
    <n v="0"/>
    <n v="8.81"/>
    <n v="0"/>
    <n v="0"/>
    <n v="11.452356648653195"/>
    <m/>
    <m/>
    <n v="154192.62"/>
    <n v="0"/>
    <n v="0"/>
    <n v="200439.14606472821"/>
    <n v="0"/>
    <n v="0"/>
  </r>
  <r>
    <s v="Refaturamento - Regular"/>
    <x v="2"/>
    <x v="3"/>
    <x v="1"/>
    <x v="0"/>
    <x v="0"/>
    <x v="0"/>
    <x v="2"/>
    <x v="4"/>
    <n v="50"/>
    <n v="50"/>
    <n v="0"/>
    <n v="0"/>
    <n v="0"/>
    <n v="0"/>
    <n v="1"/>
    <x v="0"/>
    <n v="0"/>
    <n v="26"/>
    <n v="0"/>
    <n v="0"/>
    <n v="8.81"/>
    <n v="0"/>
    <n v="0"/>
    <n v="11.452356648653195"/>
    <m/>
    <m/>
    <n v="440.5"/>
    <n v="0"/>
    <n v="0"/>
    <n v="572.61783243265972"/>
    <n v="0"/>
    <n v="0"/>
  </r>
  <r>
    <s v="Sistema de Compensação"/>
    <x v="2"/>
    <x v="3"/>
    <x v="1"/>
    <x v="0"/>
    <x v="0"/>
    <x v="0"/>
    <x v="2"/>
    <x v="4"/>
    <n v="730"/>
    <n v="730"/>
    <n v="0"/>
    <n v="0"/>
    <n v="0"/>
    <n v="0"/>
    <n v="5"/>
    <x v="0"/>
    <n v="0"/>
    <n v="26"/>
    <n v="0"/>
    <n v="0"/>
    <n v="8.81"/>
    <n v="0"/>
    <n v="0"/>
    <n v="11.452356648653195"/>
    <m/>
    <m/>
    <n v="6431.3"/>
    <n v="0"/>
    <n v="0"/>
    <n v="8360.2203535168319"/>
    <n v="0"/>
    <n v="0"/>
  </r>
  <r>
    <s v="Regular"/>
    <x v="2"/>
    <x v="3"/>
    <x v="1"/>
    <x v="0"/>
    <x v="0"/>
    <x v="0"/>
    <x v="2"/>
    <x v="5"/>
    <n v="18150"/>
    <n v="18150"/>
    <n v="0"/>
    <n v="0"/>
    <n v="0"/>
    <n v="0"/>
    <n v="118"/>
    <x v="0"/>
    <n v="0"/>
    <n v="26"/>
    <n v="0"/>
    <n v="0"/>
    <n v="8.81"/>
    <n v="0"/>
    <n v="0"/>
    <n v="11.452356648653195"/>
    <m/>
    <m/>
    <n v="159901.5"/>
    <n v="0"/>
    <n v="0"/>
    <n v="207860.2731730555"/>
    <n v="0"/>
    <n v="0"/>
  </r>
  <r>
    <s v="Refaturamento - Regular"/>
    <x v="2"/>
    <x v="3"/>
    <x v="1"/>
    <x v="0"/>
    <x v="0"/>
    <x v="0"/>
    <x v="2"/>
    <x v="5"/>
    <n v="100"/>
    <n v="100"/>
    <n v="0"/>
    <n v="0"/>
    <n v="0"/>
    <n v="0"/>
    <n v="2"/>
    <x v="0"/>
    <n v="0"/>
    <n v="26"/>
    <n v="0"/>
    <n v="0"/>
    <n v="8.81"/>
    <n v="0"/>
    <n v="0"/>
    <n v="11.452356648653195"/>
    <m/>
    <m/>
    <n v="881"/>
    <n v="0"/>
    <n v="0"/>
    <n v="1145.2356648653194"/>
    <n v="0"/>
    <n v="0"/>
  </r>
  <r>
    <s v="Sistema de Compensação"/>
    <x v="2"/>
    <x v="3"/>
    <x v="1"/>
    <x v="0"/>
    <x v="0"/>
    <x v="0"/>
    <x v="2"/>
    <x v="5"/>
    <n v="1093"/>
    <n v="1093"/>
    <n v="0"/>
    <n v="0"/>
    <n v="0"/>
    <n v="0"/>
    <n v="7"/>
    <x v="0"/>
    <n v="0"/>
    <n v="26"/>
    <n v="0"/>
    <n v="0"/>
    <n v="8.81"/>
    <n v="0"/>
    <n v="0"/>
    <n v="11.452356648653195"/>
    <m/>
    <m/>
    <n v="9629.33"/>
    <n v="0"/>
    <n v="0"/>
    <n v="12517.425816977942"/>
    <n v="0"/>
    <n v="0"/>
  </r>
  <r>
    <s v="Regular"/>
    <x v="2"/>
    <x v="3"/>
    <x v="1"/>
    <x v="0"/>
    <x v="0"/>
    <x v="0"/>
    <x v="2"/>
    <x v="6"/>
    <n v="17813"/>
    <n v="17813"/>
    <n v="0"/>
    <n v="0"/>
    <n v="0"/>
    <n v="0"/>
    <n v="118"/>
    <x v="0"/>
    <n v="0"/>
    <n v="26"/>
    <n v="0"/>
    <n v="0"/>
    <n v="8.81"/>
    <n v="0"/>
    <n v="0"/>
    <n v="11.452356648653195"/>
    <m/>
    <m/>
    <n v="156932.53"/>
    <n v="0"/>
    <n v="0"/>
    <n v="204000.82898245935"/>
    <n v="0"/>
    <n v="0"/>
  </r>
  <r>
    <s v="Refaturamento - Regular"/>
    <x v="2"/>
    <x v="3"/>
    <x v="1"/>
    <x v="0"/>
    <x v="0"/>
    <x v="0"/>
    <x v="2"/>
    <x v="6"/>
    <n v="122"/>
    <n v="122"/>
    <n v="0"/>
    <n v="0"/>
    <n v="0"/>
    <n v="0"/>
    <n v="2"/>
    <x v="0"/>
    <n v="0"/>
    <n v="26"/>
    <n v="0"/>
    <n v="0"/>
    <n v="8.81"/>
    <n v="0"/>
    <n v="0"/>
    <n v="11.452356648653195"/>
    <m/>
    <m/>
    <n v="1074.8200000000002"/>
    <n v="0"/>
    <n v="0"/>
    <n v="1397.1875111356899"/>
    <n v="0"/>
    <n v="0"/>
  </r>
  <r>
    <s v="Sistema de Compensação"/>
    <x v="2"/>
    <x v="3"/>
    <x v="1"/>
    <x v="0"/>
    <x v="0"/>
    <x v="0"/>
    <x v="2"/>
    <x v="6"/>
    <n v="1093"/>
    <n v="1093"/>
    <n v="0"/>
    <n v="0"/>
    <n v="0"/>
    <n v="0"/>
    <n v="7"/>
    <x v="0"/>
    <n v="0"/>
    <n v="26"/>
    <n v="0"/>
    <n v="0"/>
    <n v="8.81"/>
    <n v="0"/>
    <n v="0"/>
    <n v="11.452356648653195"/>
    <m/>
    <m/>
    <n v="9629.33"/>
    <n v="0"/>
    <n v="0"/>
    <n v="12517.425816977942"/>
    <n v="0"/>
    <n v="0"/>
  </r>
  <r>
    <s v="Regular"/>
    <x v="2"/>
    <x v="3"/>
    <x v="1"/>
    <x v="0"/>
    <x v="0"/>
    <x v="0"/>
    <x v="2"/>
    <x v="7"/>
    <n v="16679"/>
    <n v="16679"/>
    <n v="0"/>
    <n v="0"/>
    <n v="0"/>
    <n v="0"/>
    <n v="115"/>
    <x v="0"/>
    <n v="0"/>
    <n v="26"/>
    <n v="0"/>
    <n v="0"/>
    <n v="8.81"/>
    <n v="0"/>
    <n v="0"/>
    <n v="11.452356648653195"/>
    <m/>
    <m/>
    <n v="146941.99000000002"/>
    <n v="0"/>
    <n v="0"/>
    <n v="191013.85654288664"/>
    <n v="0"/>
    <n v="0"/>
  </r>
  <r>
    <s v="Refaturamento - Regular"/>
    <x v="2"/>
    <x v="3"/>
    <x v="1"/>
    <x v="0"/>
    <x v="0"/>
    <x v="0"/>
    <x v="2"/>
    <x v="7"/>
    <n v="60"/>
    <n v="60"/>
    <n v="0"/>
    <n v="0"/>
    <n v="0"/>
    <n v="0"/>
    <n v="1"/>
    <x v="0"/>
    <n v="0"/>
    <n v="26"/>
    <n v="0"/>
    <n v="0"/>
    <n v="8.81"/>
    <n v="0"/>
    <n v="0"/>
    <n v="11.452356648653195"/>
    <m/>
    <m/>
    <n v="528.6"/>
    <n v="0"/>
    <n v="0"/>
    <n v="687.14139891919172"/>
    <n v="0"/>
    <n v="0"/>
  </r>
  <r>
    <s v="Sistema de Compensação"/>
    <x v="2"/>
    <x v="3"/>
    <x v="1"/>
    <x v="0"/>
    <x v="0"/>
    <x v="0"/>
    <x v="2"/>
    <x v="7"/>
    <n v="1093"/>
    <n v="1093"/>
    <n v="0"/>
    <n v="0"/>
    <n v="0"/>
    <n v="0"/>
    <n v="7"/>
    <x v="0"/>
    <n v="0"/>
    <n v="26"/>
    <n v="0"/>
    <n v="0"/>
    <n v="8.81"/>
    <n v="0"/>
    <n v="0"/>
    <n v="11.452356648653195"/>
    <m/>
    <m/>
    <n v="9629.33"/>
    <n v="0"/>
    <n v="0"/>
    <n v="12517.425816977942"/>
    <n v="0"/>
    <n v="0"/>
  </r>
  <r>
    <s v="Regular"/>
    <x v="2"/>
    <x v="3"/>
    <x v="1"/>
    <x v="0"/>
    <x v="0"/>
    <x v="0"/>
    <x v="2"/>
    <x v="8"/>
    <n v="16220"/>
    <n v="16220"/>
    <n v="0"/>
    <n v="0"/>
    <n v="0"/>
    <n v="0"/>
    <n v="114"/>
    <x v="0"/>
    <n v="0"/>
    <n v="26"/>
    <n v="0"/>
    <n v="0"/>
    <n v="8.81"/>
    <n v="0"/>
    <n v="0"/>
    <n v="11.452356648653195"/>
    <m/>
    <m/>
    <n v="142898.20000000001"/>
    <n v="0"/>
    <n v="0"/>
    <n v="185757.22484115482"/>
    <n v="0"/>
    <n v="0"/>
  </r>
  <r>
    <s v="Refaturamento - Regular"/>
    <x v="2"/>
    <x v="3"/>
    <x v="1"/>
    <x v="0"/>
    <x v="0"/>
    <x v="0"/>
    <x v="2"/>
    <x v="8"/>
    <n v="288"/>
    <n v="288"/>
    <n v="0"/>
    <n v="0"/>
    <n v="0"/>
    <n v="0"/>
    <n v="2"/>
    <x v="0"/>
    <n v="0"/>
    <n v="26"/>
    <n v="0"/>
    <n v="0"/>
    <n v="8.81"/>
    <n v="0"/>
    <n v="0"/>
    <n v="11.452356648653195"/>
    <m/>
    <m/>
    <n v="2537.2800000000002"/>
    <n v="0"/>
    <n v="0"/>
    <n v="3298.2787148121201"/>
    <n v="0"/>
    <n v="0"/>
  </r>
  <r>
    <s v="Sistema de Compensação"/>
    <x v="2"/>
    <x v="3"/>
    <x v="1"/>
    <x v="0"/>
    <x v="0"/>
    <x v="0"/>
    <x v="2"/>
    <x v="8"/>
    <n v="1623"/>
    <n v="1623"/>
    <n v="0"/>
    <n v="0"/>
    <n v="0"/>
    <n v="0"/>
    <n v="9"/>
    <x v="0"/>
    <n v="0"/>
    <n v="26"/>
    <n v="0"/>
    <n v="0"/>
    <n v="8.81"/>
    <n v="0"/>
    <n v="0"/>
    <n v="11.452356648653195"/>
    <m/>
    <m/>
    <n v="14298.630000000001"/>
    <n v="0"/>
    <n v="0"/>
    <n v="18587.174840764135"/>
    <n v="0"/>
    <n v="0"/>
  </r>
  <r>
    <s v="Regular"/>
    <x v="2"/>
    <x v="3"/>
    <x v="1"/>
    <x v="0"/>
    <x v="0"/>
    <x v="0"/>
    <x v="2"/>
    <x v="9"/>
    <n v="15522"/>
    <n v="15522"/>
    <n v="0"/>
    <n v="0"/>
    <n v="0"/>
    <n v="0"/>
    <n v="113"/>
    <x v="0"/>
    <n v="0"/>
    <n v="26"/>
    <n v="0"/>
    <n v="0"/>
    <n v="8.81"/>
    <n v="0"/>
    <n v="0"/>
    <n v="11.452356648653195"/>
    <m/>
    <m/>
    <n v="136748.82"/>
    <n v="0"/>
    <n v="0"/>
    <n v="177763.47990039489"/>
    <n v="0"/>
    <n v="0"/>
  </r>
  <r>
    <s v="Refaturamento - Regular"/>
    <x v="2"/>
    <x v="3"/>
    <x v="1"/>
    <x v="0"/>
    <x v="0"/>
    <x v="0"/>
    <x v="2"/>
    <x v="9"/>
    <n v="165"/>
    <n v="165"/>
    <n v="0"/>
    <n v="0"/>
    <n v="0"/>
    <n v="0"/>
    <n v="2"/>
    <x v="0"/>
    <n v="0"/>
    <n v="26"/>
    <n v="0"/>
    <n v="0"/>
    <n v="8.81"/>
    <n v="0"/>
    <n v="0"/>
    <n v="11.452356648653195"/>
    <m/>
    <m/>
    <n v="1453.65"/>
    <n v="0"/>
    <n v="0"/>
    <n v="1889.6388470277773"/>
    <n v="0"/>
    <n v="0"/>
  </r>
  <r>
    <s v="Sistema de Compensação"/>
    <x v="2"/>
    <x v="3"/>
    <x v="1"/>
    <x v="0"/>
    <x v="0"/>
    <x v="0"/>
    <x v="2"/>
    <x v="9"/>
    <n v="1623"/>
    <n v="1623"/>
    <n v="0"/>
    <n v="0"/>
    <n v="0"/>
    <n v="0"/>
    <n v="9"/>
    <x v="0"/>
    <n v="0"/>
    <n v="26"/>
    <n v="0"/>
    <n v="0"/>
    <n v="8.81"/>
    <n v="0"/>
    <n v="0"/>
    <n v="11.452356648653195"/>
    <m/>
    <m/>
    <n v="14298.630000000001"/>
    <n v="0"/>
    <n v="0"/>
    <n v="18587.174840764135"/>
    <n v="0"/>
    <n v="0"/>
  </r>
  <r>
    <s v="Regular"/>
    <x v="2"/>
    <x v="3"/>
    <x v="1"/>
    <x v="0"/>
    <x v="0"/>
    <x v="0"/>
    <x v="2"/>
    <x v="10"/>
    <n v="15106"/>
    <n v="15106"/>
    <n v="0"/>
    <n v="0"/>
    <n v="0"/>
    <n v="0"/>
    <n v="113"/>
    <x v="0"/>
    <n v="0"/>
    <n v="26"/>
    <n v="0"/>
    <n v="0"/>
    <n v="8.81"/>
    <n v="0"/>
    <n v="0"/>
    <n v="11.452356648653195"/>
    <m/>
    <m/>
    <n v="133083.86000000002"/>
    <n v="0"/>
    <n v="0"/>
    <n v="172999.29953455518"/>
    <n v="0"/>
    <n v="0"/>
  </r>
  <r>
    <s v="Refaturamento - Regular"/>
    <x v="2"/>
    <x v="3"/>
    <x v="1"/>
    <x v="0"/>
    <x v="0"/>
    <x v="0"/>
    <x v="2"/>
    <x v="10"/>
    <n v="259"/>
    <n v="259"/>
    <n v="0"/>
    <n v="0"/>
    <n v="0"/>
    <n v="0"/>
    <n v="2"/>
    <x v="0"/>
    <n v="0"/>
    <n v="26"/>
    <n v="0"/>
    <n v="0"/>
    <n v="8.81"/>
    <n v="0"/>
    <n v="0"/>
    <n v="11.452356648653195"/>
    <m/>
    <m/>
    <n v="2281.79"/>
    <n v="0"/>
    <n v="0"/>
    <n v="2966.1603720011776"/>
    <n v="0"/>
    <n v="0"/>
  </r>
  <r>
    <s v="Sistema de Compensação"/>
    <x v="2"/>
    <x v="3"/>
    <x v="1"/>
    <x v="0"/>
    <x v="0"/>
    <x v="0"/>
    <x v="2"/>
    <x v="10"/>
    <n v="1758"/>
    <n v="1758"/>
    <n v="0"/>
    <n v="0"/>
    <n v="0"/>
    <n v="0"/>
    <n v="10"/>
    <x v="0"/>
    <n v="0"/>
    <n v="26"/>
    <n v="0"/>
    <n v="0"/>
    <n v="8.81"/>
    <n v="0"/>
    <n v="0"/>
    <n v="11.452356648653195"/>
    <m/>
    <m/>
    <n v="15487.980000000001"/>
    <n v="0"/>
    <n v="0"/>
    <n v="20133.242988332317"/>
    <n v="0"/>
    <n v="0"/>
  </r>
  <r>
    <s v="PROJETADO"/>
    <x v="2"/>
    <x v="3"/>
    <x v="1"/>
    <x v="0"/>
    <x v="0"/>
    <x v="0"/>
    <x v="2"/>
    <x v="11"/>
    <n v="15106"/>
    <n v="15106"/>
    <n v="0"/>
    <n v="0"/>
    <n v="0"/>
    <n v="0"/>
    <n v="113"/>
    <x v="0"/>
    <n v="0"/>
    <n v="26"/>
    <n v="0"/>
    <n v="0"/>
    <n v="8.81"/>
    <n v="0"/>
    <n v="0"/>
    <n v="11.452356648653195"/>
    <m/>
    <m/>
    <n v="133083.86000000002"/>
    <n v="0"/>
    <n v="0"/>
    <n v="172999.29953455518"/>
    <n v="0"/>
    <n v="0"/>
  </r>
  <r>
    <s v="PROJETADO"/>
    <x v="2"/>
    <x v="3"/>
    <x v="1"/>
    <x v="0"/>
    <x v="0"/>
    <x v="0"/>
    <x v="2"/>
    <x v="11"/>
    <n v="259"/>
    <n v="259"/>
    <n v="0"/>
    <n v="0"/>
    <n v="0"/>
    <n v="0"/>
    <n v="2"/>
    <x v="0"/>
    <n v="0"/>
    <n v="26"/>
    <n v="0"/>
    <n v="0"/>
    <n v="8.81"/>
    <n v="0"/>
    <n v="0"/>
    <n v="11.452356648653195"/>
    <m/>
    <m/>
    <n v="2281.79"/>
    <n v="0"/>
    <n v="0"/>
    <n v="2966.1603720011776"/>
    <n v="0"/>
    <n v="0"/>
  </r>
  <r>
    <s v="PROJETADO"/>
    <x v="2"/>
    <x v="3"/>
    <x v="1"/>
    <x v="0"/>
    <x v="0"/>
    <x v="0"/>
    <x v="2"/>
    <x v="11"/>
    <n v="1758"/>
    <n v="1758"/>
    <n v="0"/>
    <n v="0"/>
    <n v="0"/>
    <n v="0"/>
    <n v="10"/>
    <x v="0"/>
    <n v="0"/>
    <n v="26"/>
    <n v="0"/>
    <n v="0"/>
    <n v="8.81"/>
    <n v="0"/>
    <n v="0"/>
    <n v="11.452356648653195"/>
    <m/>
    <m/>
    <n v="15487.980000000001"/>
    <n v="0"/>
    <n v="0"/>
    <n v="20133.242988332317"/>
    <n v="0"/>
    <n v="0"/>
  </r>
  <r>
    <s v="Regular"/>
    <x v="2"/>
    <x v="3"/>
    <x v="1"/>
    <x v="0"/>
    <x v="0"/>
    <x v="0"/>
    <x v="1"/>
    <x v="0"/>
    <n v="0"/>
    <n v="0"/>
    <n v="178.494"/>
    <n v="178.494"/>
    <n v="178.494"/>
    <n v="178.494"/>
    <n v="0"/>
    <x v="0"/>
    <n v="0"/>
    <n v="0"/>
    <n v="27"/>
    <n v="81"/>
    <n v="0"/>
    <n v="641.99"/>
    <n v="430.87"/>
    <m/>
    <n v="747.73459855656426"/>
    <n v="375.70671275609089"/>
    <n v="0"/>
    <n v="114591.36306"/>
    <n v="76907.709780000005"/>
    <n v="0"/>
    <n v="133466.13943475537"/>
    <n v="67061.393986685682"/>
  </r>
  <r>
    <s v="Refaturamento - Regular"/>
    <x v="2"/>
    <x v="3"/>
    <x v="1"/>
    <x v="0"/>
    <x v="0"/>
    <x v="0"/>
    <x v="1"/>
    <x v="0"/>
    <n v="0"/>
    <n v="0"/>
    <n v="0.20499999999999999"/>
    <n v="0.20499999999999999"/>
    <n v="0.20499999999999999"/>
    <n v="0.20499999999999999"/>
    <n v="0"/>
    <x v="0"/>
    <n v="0"/>
    <n v="0"/>
    <n v="27"/>
    <n v="81"/>
    <n v="0"/>
    <n v="641.99"/>
    <n v="430.87"/>
    <m/>
    <n v="747.73459855656426"/>
    <n v="375.70671275609089"/>
    <n v="0"/>
    <n v="131.60794999999999"/>
    <n v="88.32835"/>
    <n v="0"/>
    <n v="153.28559270409568"/>
    <n v="77.019876114998624"/>
  </r>
  <r>
    <s v="Regular"/>
    <x v="2"/>
    <x v="3"/>
    <x v="1"/>
    <x v="0"/>
    <x v="0"/>
    <x v="0"/>
    <x v="1"/>
    <x v="1"/>
    <n v="0"/>
    <n v="0"/>
    <n v="185.49600000000001"/>
    <n v="185.49600000000001"/>
    <n v="185.49600000000001"/>
    <n v="185.49600000000001"/>
    <n v="0"/>
    <x v="0"/>
    <n v="0"/>
    <n v="0"/>
    <n v="27"/>
    <n v="81"/>
    <n v="0"/>
    <n v="641.99"/>
    <n v="430.87"/>
    <m/>
    <n v="747.73459855656426"/>
    <n v="375.70671275609089"/>
    <n v="0"/>
    <n v="119086.57704"/>
    <n v="79924.661520000009"/>
    <n v="0"/>
    <n v="138701.77709384845"/>
    <n v="69692.092389403842"/>
  </r>
  <r>
    <s v="Refaturamento - Regular"/>
    <x v="2"/>
    <x v="3"/>
    <x v="1"/>
    <x v="0"/>
    <x v="0"/>
    <x v="0"/>
    <x v="1"/>
    <x v="1"/>
    <n v="0"/>
    <n v="0"/>
    <n v="3.1880000000000002"/>
    <n v="3.1880000000000002"/>
    <n v="3.1880000000000002"/>
    <n v="3.1880000000000002"/>
    <n v="0"/>
    <x v="0"/>
    <n v="0"/>
    <n v="0"/>
    <n v="27"/>
    <n v="81"/>
    <n v="0"/>
    <n v="641.99"/>
    <n v="430.87"/>
    <m/>
    <n v="747.73459855656426"/>
    <n v="375.70671275609089"/>
    <n v="0"/>
    <n v="2046.6641200000001"/>
    <n v="1373.61356"/>
    <n v="0"/>
    <n v="2383.7779001983272"/>
    <n v="1197.7530002664178"/>
  </r>
  <r>
    <s v="Sistema de Compensação"/>
    <x v="2"/>
    <x v="3"/>
    <x v="1"/>
    <x v="0"/>
    <x v="0"/>
    <x v="0"/>
    <x v="1"/>
    <x v="1"/>
    <n v="0"/>
    <n v="0"/>
    <n v="1.155"/>
    <n v="1.155"/>
    <n v="1.155"/>
    <n v="1.155"/>
    <n v="0"/>
    <x v="0"/>
    <n v="0"/>
    <n v="0"/>
    <n v="27"/>
    <n v="81"/>
    <n v="0"/>
    <n v="641.99"/>
    <n v="430.87"/>
    <m/>
    <n v="747.73459855656426"/>
    <n v="375.70671275609089"/>
    <n v="0"/>
    <n v="741.49845000000005"/>
    <n v="497.65485000000001"/>
    <n v="0"/>
    <n v="863.63346133283176"/>
    <n v="433.94125323328501"/>
  </r>
  <r>
    <s v="Regular"/>
    <x v="2"/>
    <x v="3"/>
    <x v="1"/>
    <x v="0"/>
    <x v="0"/>
    <x v="0"/>
    <x v="1"/>
    <x v="2"/>
    <n v="0"/>
    <n v="0"/>
    <n v="160.982"/>
    <n v="160.982"/>
    <n v="160.982"/>
    <n v="160.982"/>
    <n v="0"/>
    <x v="0"/>
    <n v="0"/>
    <n v="0"/>
    <n v="27"/>
    <n v="81"/>
    <n v="0"/>
    <n v="641.99"/>
    <n v="430.87"/>
    <m/>
    <n v="747.73459855656426"/>
    <n v="375.70671275609089"/>
    <n v="0"/>
    <n v="103348.83418000001"/>
    <n v="69362.314339999997"/>
    <n v="0"/>
    <n v="120371.81114483283"/>
    <n v="60482.018032901025"/>
  </r>
  <r>
    <s v="Refaturamento - Regular"/>
    <x v="2"/>
    <x v="3"/>
    <x v="1"/>
    <x v="0"/>
    <x v="0"/>
    <x v="0"/>
    <x v="1"/>
    <x v="2"/>
    <n v="0"/>
    <n v="0"/>
    <n v="0.129"/>
    <n v="0.129"/>
    <n v="0.129"/>
    <n v="0.129"/>
    <n v="0"/>
    <x v="0"/>
    <n v="0"/>
    <n v="0"/>
    <n v="27"/>
    <n v="81"/>
    <n v="0"/>
    <n v="641.99"/>
    <n v="430.87"/>
    <m/>
    <n v="747.73459855656426"/>
    <n v="375.70671275609089"/>
    <n v="0"/>
    <n v="82.81671"/>
    <n v="55.582230000000003"/>
    <n v="0"/>
    <n v="96.457763213796795"/>
    <n v="48.466165945535728"/>
  </r>
  <r>
    <s v="Sistema de Compensação"/>
    <x v="2"/>
    <x v="3"/>
    <x v="1"/>
    <x v="0"/>
    <x v="0"/>
    <x v="0"/>
    <x v="1"/>
    <x v="2"/>
    <n v="0"/>
    <n v="0"/>
    <n v="1.97"/>
    <n v="1.97"/>
    <n v="1.97"/>
    <n v="1.97"/>
    <n v="0"/>
    <x v="0"/>
    <n v="0"/>
    <n v="0"/>
    <n v="27"/>
    <n v="81"/>
    <n v="0"/>
    <n v="641.99"/>
    <n v="430.87"/>
    <m/>
    <n v="747.73459855656426"/>
    <n v="375.70671275609089"/>
    <n v="0"/>
    <n v="1264.7203"/>
    <n v="848.81389999999999"/>
    <n v="0"/>
    <n v="1473.0371591564315"/>
    <n v="740.14222412949903"/>
  </r>
  <r>
    <s v="Regular"/>
    <x v="2"/>
    <x v="3"/>
    <x v="1"/>
    <x v="0"/>
    <x v="0"/>
    <x v="0"/>
    <x v="1"/>
    <x v="3"/>
    <n v="0"/>
    <n v="0"/>
    <n v="147.714"/>
    <n v="147.714"/>
    <n v="147.714"/>
    <n v="147.714"/>
    <n v="0"/>
    <x v="0"/>
    <n v="0"/>
    <n v="0"/>
    <n v="27"/>
    <n v="81"/>
    <n v="0"/>
    <n v="641.99"/>
    <n v="430.87"/>
    <m/>
    <n v="747.73459855656426"/>
    <n v="375.70671275609089"/>
    <n v="0"/>
    <n v="94830.910860000004"/>
    <n v="63645.531179999998"/>
    <n v="0"/>
    <n v="110450.86849118433"/>
    <n v="55497.141368053213"/>
  </r>
  <r>
    <s v="Refaturamento - Regular"/>
    <x v="2"/>
    <x v="3"/>
    <x v="1"/>
    <x v="0"/>
    <x v="0"/>
    <x v="0"/>
    <x v="1"/>
    <x v="3"/>
    <n v="0"/>
    <n v="0"/>
    <n v="2.9060000000000001"/>
    <n v="2.9060000000000001"/>
    <n v="2.9060000000000001"/>
    <n v="2.9060000000000001"/>
    <n v="0"/>
    <x v="0"/>
    <n v="0"/>
    <n v="0"/>
    <n v="27"/>
    <n v="81"/>
    <n v="0"/>
    <n v="641.99"/>
    <n v="430.87"/>
    <m/>
    <n v="747.73459855656426"/>
    <n v="375.70671275609089"/>
    <n v="0"/>
    <n v="1865.6229400000002"/>
    <n v="1252.1082200000001"/>
    <n v="0"/>
    <n v="2172.9167434053757"/>
    <n v="1091.8037072692002"/>
  </r>
  <r>
    <s v="Sistema de Compensação"/>
    <x v="2"/>
    <x v="3"/>
    <x v="1"/>
    <x v="0"/>
    <x v="0"/>
    <x v="0"/>
    <x v="1"/>
    <x v="3"/>
    <n v="0"/>
    <n v="0"/>
    <n v="1.284"/>
    <n v="1.284"/>
    <n v="1.284"/>
    <n v="1.284"/>
    <n v="0"/>
    <x v="0"/>
    <n v="0"/>
    <n v="0"/>
    <n v="27"/>
    <n v="81"/>
    <n v="0"/>
    <n v="641.99"/>
    <n v="430.87"/>
    <m/>
    <n v="747.73459855656426"/>
    <n v="375.70671275609089"/>
    <n v="0"/>
    <n v="824.31515999999999"/>
    <n v="553.23707999999999"/>
    <n v="0"/>
    <n v="960.0912245466285"/>
    <n v="482.4074191788207"/>
  </r>
  <r>
    <s v="Regular"/>
    <x v="2"/>
    <x v="3"/>
    <x v="1"/>
    <x v="0"/>
    <x v="0"/>
    <x v="0"/>
    <x v="1"/>
    <x v="4"/>
    <n v="0"/>
    <n v="0"/>
    <n v="154.33600000000001"/>
    <n v="154.33600000000001"/>
    <n v="154.33600000000001"/>
    <n v="154.33600000000001"/>
    <n v="0"/>
    <x v="0"/>
    <n v="0"/>
    <n v="0"/>
    <n v="27"/>
    <n v="81"/>
    <n v="0"/>
    <n v="641.99"/>
    <n v="430.87"/>
    <m/>
    <n v="747.73459855656426"/>
    <n v="375.70671275609089"/>
    <n v="0"/>
    <n v="99082.168640000004"/>
    <n v="66498.75232"/>
    <n v="0"/>
    <n v="115402.36700282591"/>
    <n v="57985.071219924052"/>
  </r>
  <r>
    <s v="Sistema de Compensação"/>
    <x v="2"/>
    <x v="3"/>
    <x v="1"/>
    <x v="0"/>
    <x v="0"/>
    <x v="0"/>
    <x v="1"/>
    <x v="4"/>
    <n v="0"/>
    <n v="0"/>
    <n v="1.823"/>
    <n v="1.823"/>
    <n v="1.823"/>
    <n v="1.823"/>
    <n v="0"/>
    <x v="0"/>
    <n v="0"/>
    <n v="0"/>
    <n v="27"/>
    <n v="81"/>
    <n v="0"/>
    <n v="641.99"/>
    <n v="430.87"/>
    <m/>
    <n v="747.73459855656426"/>
    <n v="375.70671275609089"/>
    <n v="0"/>
    <n v="1170.3477700000001"/>
    <n v="785.47600999999997"/>
    <n v="0"/>
    <n v="1363.1201731686167"/>
    <n v="684.91333735435364"/>
  </r>
  <r>
    <s v="Regular"/>
    <x v="2"/>
    <x v="3"/>
    <x v="1"/>
    <x v="0"/>
    <x v="0"/>
    <x v="0"/>
    <x v="1"/>
    <x v="5"/>
    <n v="0"/>
    <n v="0"/>
    <n v="129.66499999999999"/>
    <n v="129.66499999999999"/>
    <n v="129.66499999999999"/>
    <n v="129.66499999999999"/>
    <n v="0"/>
    <x v="0"/>
    <n v="0"/>
    <n v="0"/>
    <n v="27"/>
    <n v="81"/>
    <n v="0"/>
    <n v="641.99"/>
    <n v="430.87"/>
    <m/>
    <n v="747.73459855656426"/>
    <n v="375.70671275609089"/>
    <n v="0"/>
    <n v="83243.633349999989"/>
    <n v="55868.758549999999"/>
    <n v="0"/>
    <n v="96955.006721836893"/>
    <n v="48716.010909518525"/>
  </r>
  <r>
    <s v="Refaturamento - Regular"/>
    <x v="2"/>
    <x v="3"/>
    <x v="1"/>
    <x v="0"/>
    <x v="0"/>
    <x v="0"/>
    <x v="1"/>
    <x v="5"/>
    <n v="0"/>
    <n v="0"/>
    <n v="2.7559999999999998"/>
    <n v="2.7559999999999998"/>
    <n v="2.7559999999999998"/>
    <n v="2.7559999999999998"/>
    <n v="0"/>
    <x v="0"/>
    <n v="0"/>
    <n v="0"/>
    <n v="27"/>
    <n v="81"/>
    <n v="0"/>
    <n v="641.99"/>
    <n v="430.87"/>
    <m/>
    <n v="747.73459855656426"/>
    <n v="375.70671275609089"/>
    <n v="0"/>
    <n v="1769.3244399999999"/>
    <n v="1187.4777199999999"/>
    <n v="0"/>
    <n v="2060.7565536218908"/>
    <n v="1035.4477003557863"/>
  </r>
  <r>
    <s v="Sistema de Compensação"/>
    <x v="2"/>
    <x v="3"/>
    <x v="1"/>
    <x v="0"/>
    <x v="0"/>
    <x v="0"/>
    <x v="1"/>
    <x v="5"/>
    <n v="0"/>
    <n v="0"/>
    <n v="7.577"/>
    <n v="7.577"/>
    <n v="7.577"/>
    <n v="7.577"/>
    <n v="0"/>
    <x v="0"/>
    <n v="0"/>
    <n v="0"/>
    <n v="27"/>
    <n v="81"/>
    <n v="0"/>
    <n v="641.99"/>
    <n v="430.87"/>
    <m/>
    <n v="747.73459855656426"/>
    <n v="375.70671275609089"/>
    <n v="0"/>
    <n v="4864.3582299999998"/>
    <n v="3264.70199"/>
    <n v="0"/>
    <n v="5665.5850532630875"/>
    <n v="2846.7297625529009"/>
  </r>
  <r>
    <s v="Regular"/>
    <x v="2"/>
    <x v="3"/>
    <x v="1"/>
    <x v="0"/>
    <x v="0"/>
    <x v="0"/>
    <x v="1"/>
    <x v="6"/>
    <n v="0"/>
    <n v="0"/>
    <n v="138.404"/>
    <n v="138.404"/>
    <n v="138.404"/>
    <n v="138.404"/>
    <n v="0"/>
    <x v="0"/>
    <n v="0"/>
    <n v="0"/>
    <n v="27"/>
    <n v="81"/>
    <n v="0"/>
    <n v="641.99"/>
    <n v="430.87"/>
    <m/>
    <n v="747.73459855656426"/>
    <n v="375.70671275609089"/>
    <n v="0"/>
    <n v="88853.983959999998"/>
    <n v="59634.131479999996"/>
    <n v="0"/>
    <n v="103489.45937862272"/>
    <n v="51999.311872294005"/>
  </r>
  <r>
    <s v="Refaturamento - Regular"/>
    <x v="2"/>
    <x v="3"/>
    <x v="1"/>
    <x v="0"/>
    <x v="0"/>
    <x v="0"/>
    <x v="1"/>
    <x v="6"/>
    <n v="0"/>
    <n v="0"/>
    <n v="0.13700000000000001"/>
    <n v="0.13700000000000001"/>
    <n v="0.13700000000000001"/>
    <n v="0.13700000000000001"/>
    <n v="0"/>
    <x v="0"/>
    <n v="0"/>
    <n v="0"/>
    <n v="27"/>
    <n v="81"/>
    <n v="0"/>
    <n v="641.99"/>
    <n v="430.87"/>
    <m/>
    <n v="747.73459855656426"/>
    <n v="375.70671275609089"/>
    <n v="0"/>
    <n v="87.952630000000013"/>
    <n v="59.029190000000007"/>
    <n v="0"/>
    <n v="102.43964000224931"/>
    <n v="51.471819647584454"/>
  </r>
  <r>
    <s v="Sistema de Compensação"/>
    <x v="2"/>
    <x v="3"/>
    <x v="1"/>
    <x v="0"/>
    <x v="0"/>
    <x v="0"/>
    <x v="1"/>
    <x v="6"/>
    <n v="0"/>
    <n v="0"/>
    <n v="8.0830000000000002"/>
    <n v="8.0830000000000002"/>
    <n v="8.0830000000000002"/>
    <n v="8.0830000000000002"/>
    <n v="0"/>
    <x v="0"/>
    <n v="0"/>
    <n v="0"/>
    <n v="27"/>
    <n v="81"/>
    <n v="0"/>
    <n v="641.99"/>
    <n v="430.87"/>
    <m/>
    <n v="747.73459855656426"/>
    <n v="375.70671275609089"/>
    <n v="0"/>
    <n v="5189.2051700000002"/>
    <n v="3482.7222099999999"/>
    <n v="0"/>
    <n v="6043.9387601327089"/>
    <n v="3036.8373592074827"/>
  </r>
  <r>
    <s v="Regular"/>
    <x v="2"/>
    <x v="3"/>
    <x v="1"/>
    <x v="0"/>
    <x v="0"/>
    <x v="0"/>
    <x v="1"/>
    <x v="7"/>
    <n v="0"/>
    <n v="0"/>
    <n v="105.872"/>
    <n v="105.872"/>
    <n v="105.872"/>
    <n v="105.872"/>
    <n v="0"/>
    <x v="0"/>
    <n v="0"/>
    <n v="0"/>
    <n v="27"/>
    <n v="81"/>
    <n v="0"/>
    <n v="641.99"/>
    <n v="430.87"/>
    <m/>
    <n v="747.73459855656426"/>
    <n v="375.70671275609089"/>
    <n v="0"/>
    <n v="67968.765280000007"/>
    <n v="45617.068639999998"/>
    <n v="0"/>
    <n v="79164.157418380579"/>
    <n v="39776.821092912855"/>
  </r>
  <r>
    <s v="Sistema de Compensação"/>
    <x v="2"/>
    <x v="3"/>
    <x v="1"/>
    <x v="0"/>
    <x v="0"/>
    <x v="0"/>
    <x v="1"/>
    <x v="7"/>
    <n v="0"/>
    <n v="0"/>
    <n v="6.6139999999999999"/>
    <n v="6.6139999999999999"/>
    <n v="6.6139999999999999"/>
    <n v="6.6139999999999999"/>
    <n v="0"/>
    <x v="0"/>
    <n v="0"/>
    <n v="0"/>
    <n v="27"/>
    <n v="81"/>
    <n v="0"/>
    <n v="641.99"/>
    <n v="430.87"/>
    <m/>
    <n v="747.73459855656426"/>
    <n v="375.70671275609089"/>
    <n v="0"/>
    <n v="4246.1218600000002"/>
    <n v="2849.7741799999999"/>
    <n v="0"/>
    <n v="4945.5166348531156"/>
    <n v="2484.9241981687851"/>
  </r>
  <r>
    <s v="Regular"/>
    <x v="2"/>
    <x v="3"/>
    <x v="1"/>
    <x v="0"/>
    <x v="0"/>
    <x v="0"/>
    <x v="1"/>
    <x v="8"/>
    <n v="0"/>
    <n v="0"/>
    <n v="283.56099999999998"/>
    <n v="283.56099999999998"/>
    <n v="283.56099999999998"/>
    <n v="283.56099999999998"/>
    <n v="0"/>
    <x v="0"/>
    <n v="0"/>
    <n v="0"/>
    <n v="27"/>
    <n v="81"/>
    <n v="0"/>
    <n v="641.99"/>
    <n v="430.87"/>
    <m/>
    <n v="747.73459855656426"/>
    <n v="375.70671275609089"/>
    <n v="0"/>
    <n v="182043.32639"/>
    <n v="122177.92806999999"/>
    <n v="0"/>
    <n v="212028.3705012979"/>
    <n v="106535.77117582988"/>
  </r>
  <r>
    <s v="Refaturamento - Regular"/>
    <x v="2"/>
    <x v="3"/>
    <x v="1"/>
    <x v="0"/>
    <x v="0"/>
    <x v="0"/>
    <x v="1"/>
    <x v="8"/>
    <n v="0"/>
    <n v="0"/>
    <n v="6.3879999999999999"/>
    <n v="6.3879999999999999"/>
    <n v="6.3879999999999999"/>
    <n v="6.3879999999999999"/>
    <n v="0"/>
    <x v="0"/>
    <n v="0"/>
    <n v="0"/>
    <n v="27"/>
    <n v="81"/>
    <n v="0"/>
    <n v="641.99"/>
    <n v="430.87"/>
    <m/>
    <n v="747.73459855656426"/>
    <n v="375.70671275609089"/>
    <n v="0"/>
    <n v="4101.0321199999998"/>
    <n v="2752.3975599999999"/>
    <n v="0"/>
    <n v="4776.5286155793328"/>
    <n v="2400.0144810859088"/>
  </r>
  <r>
    <s v="Sistema de Compensação"/>
    <x v="2"/>
    <x v="3"/>
    <x v="1"/>
    <x v="0"/>
    <x v="0"/>
    <x v="0"/>
    <x v="1"/>
    <x v="8"/>
    <n v="0"/>
    <n v="0"/>
    <n v="9.4290000000000003"/>
    <n v="9.4290000000000003"/>
    <n v="9.4290000000000003"/>
    <n v="9.4290000000000003"/>
    <n v="0"/>
    <x v="0"/>
    <n v="0"/>
    <n v="0"/>
    <n v="27"/>
    <n v="81"/>
    <n v="0"/>
    <n v="641.99"/>
    <n v="430.87"/>
    <m/>
    <n v="747.73459855656426"/>
    <n v="375.70671275609089"/>
    <n v="0"/>
    <n v="6053.3237100000006"/>
    <n v="4062.6732300000003"/>
    <n v="0"/>
    <n v="7050.3895297898443"/>
    <n v="3542.5385945771814"/>
  </r>
  <r>
    <s v="Refaturamento - Regular"/>
    <x v="2"/>
    <x v="3"/>
    <x v="1"/>
    <x v="0"/>
    <x v="0"/>
    <x v="0"/>
    <x v="1"/>
    <x v="9"/>
    <n v="0"/>
    <n v="0"/>
    <n v="-26.184999999999999"/>
    <n v="-26.184999999999999"/>
    <n v="-26.184999999999999"/>
    <n v="-26.184999999999999"/>
    <n v="0"/>
    <x v="0"/>
    <n v="0"/>
    <n v="0"/>
    <n v="27"/>
    <n v="81"/>
    <n v="0"/>
    <n v="641.99"/>
    <n v="430.87"/>
    <m/>
    <n v="747.73459855656426"/>
    <n v="375.70671275609089"/>
    <n v="0"/>
    <n v="-16810.508149999998"/>
    <n v="-11282.33095"/>
    <n v="0"/>
    <n v="-19579.430463203633"/>
    <n v="-9837.8802735182398"/>
  </r>
  <r>
    <s v="Sistema de Compensação"/>
    <x v="2"/>
    <x v="3"/>
    <x v="1"/>
    <x v="0"/>
    <x v="0"/>
    <x v="0"/>
    <x v="1"/>
    <x v="9"/>
    <n v="0"/>
    <n v="0"/>
    <n v="13.973000000000001"/>
    <n v="13.973000000000001"/>
    <n v="13.973000000000001"/>
    <n v="13.973000000000001"/>
    <n v="0"/>
    <x v="0"/>
    <n v="0"/>
    <n v="0"/>
    <n v="27"/>
    <n v="81"/>
    <n v="0"/>
    <n v="641.99"/>
    <n v="430.87"/>
    <m/>
    <n v="747.73459855656426"/>
    <n v="375.70671275609089"/>
    <n v="0"/>
    <n v="8970.5262700000003"/>
    <n v="6020.5465100000001"/>
    <n v="0"/>
    <n v="10448.095545630873"/>
    <n v="5249.7498973408583"/>
  </r>
  <r>
    <s v="Regular"/>
    <x v="2"/>
    <x v="3"/>
    <x v="1"/>
    <x v="0"/>
    <x v="0"/>
    <x v="0"/>
    <x v="1"/>
    <x v="10"/>
    <n v="0"/>
    <n v="0"/>
    <n v="119.90900000000001"/>
    <n v="119.90900000000001"/>
    <n v="119.90900000000001"/>
    <n v="119.90900000000001"/>
    <n v="0"/>
    <x v="0"/>
    <n v="0"/>
    <n v="0"/>
    <n v="27"/>
    <n v="81"/>
    <n v="0"/>
    <n v="641.99"/>
    <n v="430.87"/>
    <m/>
    <n v="747.73459855656426"/>
    <n v="375.70671275609089"/>
    <n v="0"/>
    <n v="76980.378909999999"/>
    <n v="51665.19083"/>
    <n v="0"/>
    <n v="89660.107978319065"/>
    <n v="45050.616219870106"/>
  </r>
  <r>
    <s v="Refaturamento - Regular"/>
    <x v="2"/>
    <x v="3"/>
    <x v="1"/>
    <x v="0"/>
    <x v="0"/>
    <x v="0"/>
    <x v="1"/>
    <x v="10"/>
    <n v="0"/>
    <n v="0"/>
    <n v="1.968"/>
    <n v="1.968"/>
    <n v="1.968"/>
    <n v="1.968"/>
    <n v="0"/>
    <x v="0"/>
    <n v="0"/>
    <n v="0"/>
    <n v="27"/>
    <n v="81"/>
    <n v="0"/>
    <n v="641.99"/>
    <n v="430.87"/>
    <m/>
    <n v="747.73459855656426"/>
    <n v="375.70671275609089"/>
    <n v="0"/>
    <n v="1263.43632"/>
    <n v="847.95216000000005"/>
    <n v="0"/>
    <n v="1471.5416899593185"/>
    <n v="739.39081070398686"/>
  </r>
  <r>
    <s v="Sistema de Compensação"/>
    <x v="2"/>
    <x v="3"/>
    <x v="1"/>
    <x v="0"/>
    <x v="0"/>
    <x v="0"/>
    <x v="1"/>
    <x v="10"/>
    <n v="0"/>
    <n v="0"/>
    <n v="12.042999999999999"/>
    <n v="12.042999999999999"/>
    <n v="12.042999999999999"/>
    <n v="12.042999999999999"/>
    <n v="0"/>
    <x v="0"/>
    <n v="0"/>
    <n v="0"/>
    <n v="27"/>
    <n v="81"/>
    <n v="0"/>
    <n v="641.99"/>
    <n v="430.87"/>
    <m/>
    <n v="747.73459855656426"/>
    <n v="375.70671275609089"/>
    <n v="0"/>
    <n v="7731.4855699999998"/>
    <n v="5188.9674099999993"/>
    <n v="0"/>
    <n v="9004.9677704167025"/>
    <n v="4524.6359417216026"/>
  </r>
  <r>
    <s v="PROJETADO"/>
    <x v="2"/>
    <x v="3"/>
    <x v="1"/>
    <x v="0"/>
    <x v="0"/>
    <x v="0"/>
    <x v="1"/>
    <x v="11"/>
    <n v="0"/>
    <n v="0"/>
    <n v="119.90900000000001"/>
    <n v="119.90900000000001"/>
    <n v="119.90900000000001"/>
    <n v="119.90900000000001"/>
    <n v="0"/>
    <x v="0"/>
    <n v="0"/>
    <n v="0"/>
    <n v="27"/>
    <n v="81"/>
    <n v="0"/>
    <n v="641.99"/>
    <n v="430.87"/>
    <m/>
    <n v="747.73459855656426"/>
    <n v="375.70671275609089"/>
    <n v="0"/>
    <n v="76980.378909999999"/>
    <n v="51665.19083"/>
    <n v="0"/>
    <n v="89660.107978319065"/>
    <n v="45050.616219870106"/>
  </r>
  <r>
    <s v="PROJETADO"/>
    <x v="2"/>
    <x v="3"/>
    <x v="1"/>
    <x v="0"/>
    <x v="0"/>
    <x v="0"/>
    <x v="1"/>
    <x v="11"/>
    <n v="0"/>
    <n v="0"/>
    <n v="1.968"/>
    <n v="1.968"/>
    <n v="1.968"/>
    <n v="1.968"/>
    <n v="0"/>
    <x v="0"/>
    <n v="0"/>
    <n v="0"/>
    <n v="27"/>
    <n v="81"/>
    <n v="0"/>
    <n v="641.99"/>
    <n v="430.87"/>
    <m/>
    <n v="747.73459855656426"/>
    <n v="375.70671275609089"/>
    <n v="0"/>
    <n v="1263.43632"/>
    <n v="847.95216000000005"/>
    <n v="0"/>
    <n v="1471.5416899593185"/>
    <n v="739.39081070398686"/>
  </r>
  <r>
    <s v="PROJETADO"/>
    <x v="2"/>
    <x v="3"/>
    <x v="1"/>
    <x v="0"/>
    <x v="0"/>
    <x v="0"/>
    <x v="1"/>
    <x v="11"/>
    <n v="0"/>
    <n v="0"/>
    <n v="12.042999999999999"/>
    <n v="12.042999999999999"/>
    <n v="12.042999999999999"/>
    <n v="12.042999999999999"/>
    <n v="0"/>
    <x v="0"/>
    <n v="0"/>
    <n v="0"/>
    <n v="27"/>
    <n v="81"/>
    <n v="0"/>
    <n v="641.99"/>
    <n v="430.87"/>
    <m/>
    <n v="747.73459855656426"/>
    <n v="375.70671275609089"/>
    <n v="0"/>
    <n v="7731.4855699999998"/>
    <n v="5188.9674099999993"/>
    <n v="0"/>
    <n v="9004.9677704167025"/>
    <n v="4524.6359417216026"/>
  </r>
  <r>
    <s v="Regular"/>
    <x v="2"/>
    <x v="3"/>
    <x v="4"/>
    <x v="0"/>
    <x v="0"/>
    <x v="0"/>
    <x v="0"/>
    <x v="0"/>
    <n v="0"/>
    <n v="0"/>
    <n v="9745.19"/>
    <n v="9745.19"/>
    <n v="9745.19"/>
    <n v="9745.19"/>
    <n v="0"/>
    <x v="0"/>
    <n v="0"/>
    <n v="0"/>
    <n v="28"/>
    <n v="82"/>
    <n v="0"/>
    <n v="84.45"/>
    <n v="256.38"/>
    <m/>
    <n v="87.520205040180812"/>
    <n v="230.84299908458948"/>
    <n v="0"/>
    <n v="822981.29550000012"/>
    <n v="2498471.8122"/>
    <n v="0"/>
    <n v="852901.02695551969"/>
    <n v="2249608.8862491506"/>
  </r>
  <r>
    <s v="Sistema de Compensação"/>
    <x v="2"/>
    <x v="3"/>
    <x v="4"/>
    <x v="0"/>
    <x v="0"/>
    <x v="0"/>
    <x v="0"/>
    <x v="0"/>
    <n v="0"/>
    <n v="0"/>
    <n v="1349.056"/>
    <n v="1349.056"/>
    <n v="1349.056"/>
    <n v="1349.056"/>
    <n v="0"/>
    <x v="0"/>
    <n v="0"/>
    <n v="0"/>
    <n v="28"/>
    <n v="82"/>
    <n v="0"/>
    <n v="84.45"/>
    <n v="256.38"/>
    <m/>
    <n v="87.520205040180812"/>
    <n v="230.84299908458948"/>
    <n v="0"/>
    <n v="113927.7792"/>
    <n v="345870.97727999999"/>
    <n v="0"/>
    <n v="118069.65773068617"/>
    <n v="311420.13297305995"/>
  </r>
  <r>
    <s v="Regular"/>
    <x v="2"/>
    <x v="3"/>
    <x v="4"/>
    <x v="0"/>
    <x v="0"/>
    <x v="0"/>
    <x v="0"/>
    <x v="1"/>
    <n v="0"/>
    <n v="0"/>
    <n v="9908.1810000000005"/>
    <n v="9908.1810000000005"/>
    <n v="9908.1810000000005"/>
    <n v="9908.1810000000005"/>
    <n v="0"/>
    <x v="0"/>
    <n v="0"/>
    <n v="0"/>
    <n v="28"/>
    <n v="82"/>
    <n v="0"/>
    <n v="84.45"/>
    <n v="256.38"/>
    <m/>
    <n v="87.520205040180812"/>
    <n v="230.84299908458948"/>
    <n v="0"/>
    <n v="836745.88545000006"/>
    <n v="2540259.44478"/>
    <n v="0"/>
    <n v="867166.03269522381"/>
    <n v="2287234.217512947"/>
  </r>
  <r>
    <s v="Sistema de Compensação"/>
    <x v="2"/>
    <x v="3"/>
    <x v="4"/>
    <x v="0"/>
    <x v="0"/>
    <x v="0"/>
    <x v="0"/>
    <x v="1"/>
    <n v="0"/>
    <n v="0"/>
    <n v="1411.3520000000001"/>
    <n v="1411.3520000000001"/>
    <n v="1411.3520000000001"/>
    <n v="1411.3520000000001"/>
    <n v="0"/>
    <x v="0"/>
    <n v="0"/>
    <n v="0"/>
    <n v="28"/>
    <n v="82"/>
    <n v="0"/>
    <n v="84.45"/>
    <n v="256.38"/>
    <m/>
    <n v="87.520205040180812"/>
    <n v="230.84299908458948"/>
    <n v="0"/>
    <n v="119188.67640000001"/>
    <n v="361842.42576000001"/>
    <n v="0"/>
    <n v="123521.81642386928"/>
    <n v="325800.72844403354"/>
  </r>
  <r>
    <s v="Regular"/>
    <x v="2"/>
    <x v="3"/>
    <x v="4"/>
    <x v="0"/>
    <x v="0"/>
    <x v="0"/>
    <x v="0"/>
    <x v="2"/>
    <n v="0"/>
    <n v="0"/>
    <n v="8936.09"/>
    <n v="8936.09"/>
    <n v="8936.09"/>
    <n v="8936.09"/>
    <n v="0"/>
    <x v="0"/>
    <n v="0"/>
    <n v="0"/>
    <n v="28"/>
    <n v="82"/>
    <n v="0"/>
    <n v="84.45"/>
    <n v="256.38"/>
    <m/>
    <n v="87.520205040180812"/>
    <n v="230.84299908458948"/>
    <n v="0"/>
    <n v="754652.80050000001"/>
    <n v="2291034.7541999999"/>
    <n v="0"/>
    <n v="782088.42905750941"/>
    <n v="2062833.8156898092"/>
  </r>
  <r>
    <s v="Sistema de Compensação"/>
    <x v="2"/>
    <x v="3"/>
    <x v="4"/>
    <x v="0"/>
    <x v="0"/>
    <x v="0"/>
    <x v="0"/>
    <x v="2"/>
    <n v="0"/>
    <n v="0"/>
    <n v="1348.654"/>
    <n v="1348.654"/>
    <n v="1348.654"/>
    <n v="1348.654"/>
    <n v="0"/>
    <x v="0"/>
    <n v="0"/>
    <n v="0"/>
    <n v="28"/>
    <n v="82"/>
    <n v="0"/>
    <n v="84.45"/>
    <n v="256.38"/>
    <m/>
    <n v="87.520205040180812"/>
    <n v="230.84299908458948"/>
    <n v="0"/>
    <n v="113893.8303"/>
    <n v="345767.91252000001"/>
    <n v="0"/>
    <n v="118034.47460826002"/>
    <n v="311327.33408742794"/>
  </r>
  <r>
    <s v="Regular"/>
    <x v="2"/>
    <x v="3"/>
    <x v="4"/>
    <x v="0"/>
    <x v="0"/>
    <x v="0"/>
    <x v="0"/>
    <x v="3"/>
    <n v="0"/>
    <n v="0"/>
    <n v="8380.08"/>
    <n v="8380.08"/>
    <n v="8380.08"/>
    <n v="8380.08"/>
    <n v="0"/>
    <x v="0"/>
    <n v="0"/>
    <n v="0"/>
    <n v="28"/>
    <n v="82"/>
    <n v="0"/>
    <n v="84.45"/>
    <n v="256.38"/>
    <m/>
    <n v="87.520205040180812"/>
    <n v="230.84299908458948"/>
    <n v="0"/>
    <n v="707697.75600000005"/>
    <n v="2148484.9103999999"/>
    <n v="0"/>
    <n v="733426.31985311839"/>
    <n v="1934482.7997687866"/>
  </r>
  <r>
    <s v="Sistema de Compensação"/>
    <x v="2"/>
    <x v="3"/>
    <x v="4"/>
    <x v="0"/>
    <x v="0"/>
    <x v="0"/>
    <x v="0"/>
    <x v="3"/>
    <n v="0"/>
    <n v="0"/>
    <n v="1270.395"/>
    <n v="1270.395"/>
    <n v="1270.395"/>
    <n v="1270.395"/>
    <n v="0"/>
    <x v="0"/>
    <n v="0"/>
    <n v="0"/>
    <n v="28"/>
    <n v="82"/>
    <n v="0"/>
    <n v="84.45"/>
    <n v="256.38"/>
    <m/>
    <n v="87.520205040180812"/>
    <n v="230.84299908458948"/>
    <n v="0"/>
    <n v="107284.85775"/>
    <n v="325703.8701"/>
    <n v="0"/>
    <n v="111185.23088202051"/>
    <n v="293261.79182206705"/>
  </r>
  <r>
    <s v="Regular"/>
    <x v="2"/>
    <x v="3"/>
    <x v="4"/>
    <x v="0"/>
    <x v="0"/>
    <x v="0"/>
    <x v="0"/>
    <x v="4"/>
    <n v="0"/>
    <n v="0"/>
    <n v="8914.2780000000002"/>
    <n v="8914.2780000000002"/>
    <n v="8914.2780000000002"/>
    <n v="8914.2780000000002"/>
    <n v="0"/>
    <x v="0"/>
    <n v="0"/>
    <n v="0"/>
    <n v="28"/>
    <n v="82"/>
    <n v="0"/>
    <n v="84.45"/>
    <n v="256.38"/>
    <m/>
    <n v="87.520205040180812"/>
    <n v="230.84299908458948"/>
    <n v="0"/>
    <n v="752810.77710000006"/>
    <n v="2285442.5936400001"/>
    <n v="0"/>
    <n v="780179.43834517291"/>
    <n v="2057798.6681937762"/>
  </r>
  <r>
    <s v="Sistema de Compensação"/>
    <x v="2"/>
    <x v="3"/>
    <x v="4"/>
    <x v="0"/>
    <x v="0"/>
    <x v="0"/>
    <x v="0"/>
    <x v="4"/>
    <n v="0"/>
    <n v="0"/>
    <n v="1333.57"/>
    <n v="1333.57"/>
    <n v="1333.57"/>
    <n v="1333.57"/>
    <n v="0"/>
    <x v="0"/>
    <n v="0"/>
    <n v="0"/>
    <n v="28"/>
    <n v="82"/>
    <n v="0"/>
    <n v="84.45"/>
    <n v="256.38"/>
    <m/>
    <n v="87.520205040180812"/>
    <n v="230.84299908458948"/>
    <n v="0"/>
    <n v="112619.9865"/>
    <n v="341900.67660000001"/>
    <n v="0"/>
    <n v="116714.31983543393"/>
    <n v="307845.29828923597"/>
  </r>
  <r>
    <s v="Regular"/>
    <x v="2"/>
    <x v="3"/>
    <x v="4"/>
    <x v="0"/>
    <x v="0"/>
    <x v="0"/>
    <x v="0"/>
    <x v="5"/>
    <n v="0"/>
    <n v="0"/>
    <n v="8230.3889999999992"/>
    <n v="8230.3889999999992"/>
    <n v="8230.3889999999992"/>
    <n v="8230.3889999999992"/>
    <n v="0"/>
    <x v="0"/>
    <n v="0"/>
    <n v="0"/>
    <n v="28"/>
    <n v="82"/>
    <n v="0"/>
    <n v="84.45"/>
    <n v="256.38"/>
    <m/>
    <n v="87.520205040180812"/>
    <n v="230.84299908458948"/>
    <n v="0"/>
    <n v="695056.35104999994"/>
    <n v="2110107.1318199998"/>
    <n v="0"/>
    <n v="720325.33284044859"/>
    <n v="1899927.680392815"/>
  </r>
  <r>
    <s v="Sistema de Compensação"/>
    <x v="2"/>
    <x v="3"/>
    <x v="4"/>
    <x v="0"/>
    <x v="0"/>
    <x v="0"/>
    <x v="0"/>
    <x v="5"/>
    <n v="0"/>
    <n v="0"/>
    <n v="1198.415"/>
    <n v="1198.415"/>
    <n v="1198.415"/>
    <n v="1198.415"/>
    <n v="0"/>
    <x v="0"/>
    <n v="0"/>
    <n v="0"/>
    <n v="28"/>
    <n v="82"/>
    <n v="0"/>
    <n v="84.45"/>
    <n v="256.38"/>
    <m/>
    <n v="87.520205040180812"/>
    <n v="230.84299908458948"/>
    <n v="0"/>
    <n v="101206.14675"/>
    <n v="307249.63769999996"/>
    <n v="0"/>
    <n v="104885.52652322828"/>
    <n v="276645.71274795831"/>
  </r>
  <r>
    <s v="Regular"/>
    <x v="2"/>
    <x v="3"/>
    <x v="4"/>
    <x v="0"/>
    <x v="0"/>
    <x v="0"/>
    <x v="0"/>
    <x v="6"/>
    <n v="0"/>
    <n v="0"/>
    <n v="7811.7640000000001"/>
    <n v="7811.7640000000001"/>
    <n v="7811.7640000000001"/>
    <n v="7811.7640000000001"/>
    <n v="0"/>
    <x v="0"/>
    <n v="0"/>
    <n v="0"/>
    <n v="28"/>
    <n v="82"/>
    <n v="0"/>
    <n v="84.45"/>
    <n v="256.38"/>
    <m/>
    <n v="87.520205040180812"/>
    <n v="230.84299908458948"/>
    <n v="0"/>
    <n v="659703.46980000008"/>
    <n v="2002780.0543200001"/>
    <n v="0"/>
    <n v="683687.18700550299"/>
    <n v="1803291.0299010291"/>
  </r>
  <r>
    <s v="Refaturamento - Regular"/>
    <x v="2"/>
    <x v="3"/>
    <x v="4"/>
    <x v="0"/>
    <x v="0"/>
    <x v="0"/>
    <x v="0"/>
    <x v="6"/>
    <n v="0"/>
    <n v="0"/>
    <n v="41.19"/>
    <n v="41.19"/>
    <n v="41.19"/>
    <n v="41.19"/>
    <n v="0"/>
    <x v="0"/>
    <n v="0"/>
    <n v="0"/>
    <n v="28"/>
    <n v="82"/>
    <n v="0"/>
    <n v="84.45"/>
    <n v="256.38"/>
    <m/>
    <n v="87.520205040180812"/>
    <n v="230.84299908458948"/>
    <n v="0"/>
    <n v="3478.4955"/>
    <n v="10560.2922"/>
    <n v="0"/>
    <n v="3604.9572456050473"/>
    <n v="9508.4231322942396"/>
  </r>
  <r>
    <s v="Sistema de Compensação"/>
    <x v="2"/>
    <x v="3"/>
    <x v="4"/>
    <x v="0"/>
    <x v="0"/>
    <x v="0"/>
    <x v="0"/>
    <x v="6"/>
    <n v="0"/>
    <n v="0"/>
    <n v="1166.69"/>
    <n v="1166.69"/>
    <n v="1166.69"/>
    <n v="1166.69"/>
    <n v="0"/>
    <x v="0"/>
    <n v="0"/>
    <n v="0"/>
    <n v="28"/>
    <n v="82"/>
    <n v="0"/>
    <n v="84.45"/>
    <n v="256.38"/>
    <m/>
    <n v="87.520205040180812"/>
    <n v="230.84299908458948"/>
    <n v="0"/>
    <n v="98526.97050000001"/>
    <n v="299115.98220000003"/>
    <n v="0"/>
    <n v="102108.94801832856"/>
    <n v="269322.21860199969"/>
  </r>
  <r>
    <s v="Regular"/>
    <x v="2"/>
    <x v="3"/>
    <x v="4"/>
    <x v="0"/>
    <x v="0"/>
    <x v="0"/>
    <x v="0"/>
    <x v="7"/>
    <n v="0"/>
    <n v="0"/>
    <n v="6530.6670000000004"/>
    <n v="6530.6670000000004"/>
    <n v="6530.6670000000004"/>
    <n v="6530.6670000000004"/>
    <n v="0"/>
    <x v="0"/>
    <n v="0"/>
    <n v="0"/>
    <n v="28"/>
    <n v="82"/>
    <n v="0"/>
    <n v="84.45"/>
    <n v="256.38"/>
    <m/>
    <n v="87.520205040180812"/>
    <n v="230.84299908458948"/>
    <n v="0"/>
    <n v="551514.82815000007"/>
    <n v="1674332.40546"/>
    <n v="0"/>
    <n v="571565.31488914252"/>
    <n v="1507558.7563027588"/>
  </r>
  <r>
    <s v="Sistema de Compensação"/>
    <x v="2"/>
    <x v="3"/>
    <x v="4"/>
    <x v="0"/>
    <x v="0"/>
    <x v="0"/>
    <x v="0"/>
    <x v="7"/>
    <n v="0"/>
    <n v="0"/>
    <n v="906.60699999999997"/>
    <n v="906.60699999999997"/>
    <n v="906.60699999999997"/>
    <n v="906.60699999999997"/>
    <n v="0"/>
    <x v="0"/>
    <n v="0"/>
    <n v="0"/>
    <n v="28"/>
    <n v="82"/>
    <n v="0"/>
    <n v="84.45"/>
    <n v="256.38"/>
    <m/>
    <n v="87.520205040180812"/>
    <n v="230.84299908458948"/>
    <n v="0"/>
    <n v="76562.961150000003"/>
    <n v="232435.90265999999"/>
    <n v="0"/>
    <n v="79346.430530863203"/>
    <n v="209283.87887108242"/>
  </r>
  <r>
    <s v="Regular"/>
    <x v="2"/>
    <x v="3"/>
    <x v="4"/>
    <x v="0"/>
    <x v="0"/>
    <x v="0"/>
    <x v="0"/>
    <x v="8"/>
    <n v="0"/>
    <n v="0"/>
    <n v="5779.0169999999998"/>
    <n v="5779.0169999999998"/>
    <n v="5779.0169999999998"/>
    <n v="5779.0169999999998"/>
    <n v="0"/>
    <x v="0"/>
    <n v="0"/>
    <n v="0"/>
    <n v="28"/>
    <n v="82"/>
    <n v="0"/>
    <n v="84.45"/>
    <n v="256.38"/>
    <m/>
    <n v="87.520205040180812"/>
    <n v="230.84299908458948"/>
    <n v="0"/>
    <n v="488037.98564999999"/>
    <n v="1481624.37846"/>
    <n v="0"/>
    <n v="505780.7527706906"/>
    <n v="1334045.616040827"/>
  </r>
  <r>
    <s v="Refaturamento - Regular"/>
    <x v="2"/>
    <x v="3"/>
    <x v="4"/>
    <x v="0"/>
    <x v="0"/>
    <x v="0"/>
    <x v="0"/>
    <x v="8"/>
    <n v="0"/>
    <n v="0"/>
    <n v="594.83100000000002"/>
    <n v="594.83100000000002"/>
    <n v="594.83100000000002"/>
    <n v="594.83100000000002"/>
    <n v="0"/>
    <x v="0"/>
    <n v="0"/>
    <n v="0"/>
    <n v="28"/>
    <n v="82"/>
    <n v="0"/>
    <n v="84.45"/>
    <n v="256.38"/>
    <m/>
    <n v="87.520205040180812"/>
    <n v="230.84299908458948"/>
    <n v="0"/>
    <n v="50233.47795"/>
    <n v="152502.77178000001"/>
    <n v="0"/>
    <n v="52059.731084255793"/>
    <n v="137312.57198848546"/>
  </r>
  <r>
    <s v="Sistema de Compensação"/>
    <x v="2"/>
    <x v="3"/>
    <x v="4"/>
    <x v="0"/>
    <x v="0"/>
    <x v="0"/>
    <x v="0"/>
    <x v="8"/>
    <n v="0"/>
    <n v="0"/>
    <n v="1311.845"/>
    <n v="1311.845"/>
    <n v="1311.845"/>
    <n v="1311.845"/>
    <n v="0"/>
    <x v="0"/>
    <n v="0"/>
    <n v="0"/>
    <n v="28"/>
    <n v="82"/>
    <n v="0"/>
    <n v="84.45"/>
    <n v="256.38"/>
    <m/>
    <n v="87.520205040180812"/>
    <n v="230.84299908458948"/>
    <n v="0"/>
    <n v="110785.31025000001"/>
    <n v="336330.8211"/>
    <n v="0"/>
    <n v="114812.94338093601"/>
    <n v="302830.23413412331"/>
  </r>
  <r>
    <s v="Regular"/>
    <x v="2"/>
    <x v="3"/>
    <x v="4"/>
    <x v="0"/>
    <x v="0"/>
    <x v="0"/>
    <x v="0"/>
    <x v="9"/>
    <n v="0"/>
    <n v="0"/>
    <n v="5884.9589999999998"/>
    <n v="5884.9589999999998"/>
    <n v="5884.9589999999998"/>
    <n v="5884.9589999999998"/>
    <n v="0"/>
    <x v="0"/>
    <n v="0"/>
    <n v="0"/>
    <n v="28"/>
    <n v="82"/>
    <n v="0"/>
    <n v="84.45"/>
    <n v="256.38"/>
    <m/>
    <n v="87.520205040180812"/>
    <n v="230.84299908458948"/>
    <n v="0"/>
    <n v="496984.78755000001"/>
    <n v="1508785.7884199999"/>
    <n v="0"/>
    <n v="515052.8183330574"/>
    <n v="1358501.5850498467"/>
  </r>
  <r>
    <s v="Sistema de Compensação"/>
    <x v="2"/>
    <x v="3"/>
    <x v="4"/>
    <x v="0"/>
    <x v="0"/>
    <x v="0"/>
    <x v="0"/>
    <x v="9"/>
    <n v="0"/>
    <n v="0"/>
    <n v="1035.8209999999999"/>
    <n v="1035.8209999999999"/>
    <n v="1035.8209999999999"/>
    <n v="1035.8209999999999"/>
    <n v="0"/>
    <x v="0"/>
    <n v="0"/>
    <n v="0"/>
    <n v="28"/>
    <n v="82"/>
    <n v="0"/>
    <n v="84.45"/>
    <n v="256.38"/>
    <m/>
    <n v="87.520205040180812"/>
    <n v="230.84299908458948"/>
    <n v="0"/>
    <n v="87475.083449999991"/>
    <n v="265563.78797999996"/>
    <n v="0"/>
    <n v="90655.266304925128"/>
    <n v="239112.02615479854"/>
  </r>
  <r>
    <s v="Regular"/>
    <x v="2"/>
    <x v="3"/>
    <x v="4"/>
    <x v="0"/>
    <x v="0"/>
    <x v="0"/>
    <x v="0"/>
    <x v="10"/>
    <n v="0"/>
    <n v="0"/>
    <n v="6119.8339999999998"/>
    <n v="6119.8339999999998"/>
    <n v="6119.8339999999998"/>
    <n v="6119.8339999999998"/>
    <n v="0"/>
    <x v="0"/>
    <n v="0"/>
    <n v="0"/>
    <n v="28"/>
    <n v="82"/>
    <n v="0"/>
    <n v="84.45"/>
    <n v="256.38"/>
    <m/>
    <n v="87.520205040180812"/>
    <n v="230.84299908458948"/>
    <n v="0"/>
    <n v="516819.98129999998"/>
    <n v="1569003.0409199998"/>
    <n v="0"/>
    <n v="535609.12649186992"/>
    <n v="1412720.8344598396"/>
  </r>
  <r>
    <s v="Sistema de Compensação"/>
    <x v="2"/>
    <x v="3"/>
    <x v="4"/>
    <x v="0"/>
    <x v="0"/>
    <x v="0"/>
    <x v="0"/>
    <x v="10"/>
    <n v="0"/>
    <n v="0"/>
    <n v="1181.6210000000001"/>
    <n v="1181.6210000000001"/>
    <n v="1181.6210000000001"/>
    <n v="1181.6210000000001"/>
    <n v="0"/>
    <x v="0"/>
    <n v="0"/>
    <n v="0"/>
    <n v="28"/>
    <n v="82"/>
    <n v="0"/>
    <n v="84.45"/>
    <n v="256.38"/>
    <m/>
    <n v="87.520205040180812"/>
    <n v="230.84299908458948"/>
    <n v="0"/>
    <n v="99787.893450000018"/>
    <n v="302943.99197999999"/>
    <n v="0"/>
    <n v="103415.71219978351"/>
    <n v="272768.93542133173"/>
  </r>
  <r>
    <s v="PROJETADO"/>
    <x v="2"/>
    <x v="3"/>
    <x v="4"/>
    <x v="0"/>
    <x v="0"/>
    <x v="0"/>
    <x v="0"/>
    <x v="11"/>
    <n v="0"/>
    <n v="0"/>
    <n v="6119.8339999999998"/>
    <n v="6119.8339999999998"/>
    <n v="6119.8339999999998"/>
    <n v="6119.8339999999998"/>
    <n v="0"/>
    <x v="0"/>
    <n v="0"/>
    <n v="0"/>
    <n v="28"/>
    <n v="82"/>
    <n v="0"/>
    <n v="84.45"/>
    <n v="256.38"/>
    <m/>
    <n v="87.520205040180812"/>
    <n v="230.84299908458948"/>
    <n v="0"/>
    <n v="516819.98129999998"/>
    <n v="1569003.0409199998"/>
    <n v="0"/>
    <n v="535609.12649186992"/>
    <n v="1412720.8344598396"/>
  </r>
  <r>
    <s v="PROJETADO"/>
    <x v="2"/>
    <x v="3"/>
    <x v="4"/>
    <x v="0"/>
    <x v="0"/>
    <x v="0"/>
    <x v="0"/>
    <x v="11"/>
    <n v="0"/>
    <n v="0"/>
    <n v="1181.6210000000001"/>
    <n v="1181.6210000000001"/>
    <n v="1181.6210000000001"/>
    <n v="1181.6210000000001"/>
    <n v="0"/>
    <x v="0"/>
    <n v="0"/>
    <n v="0"/>
    <n v="28"/>
    <n v="82"/>
    <n v="0"/>
    <n v="84.45"/>
    <n v="256.38"/>
    <m/>
    <n v="87.520205040180812"/>
    <n v="230.84299908458948"/>
    <n v="0"/>
    <n v="99787.893450000018"/>
    <n v="302943.99197999999"/>
    <n v="0"/>
    <n v="103415.71219978351"/>
    <n v="272768.93542133173"/>
  </r>
  <r>
    <s v="Regular"/>
    <x v="2"/>
    <x v="3"/>
    <x v="4"/>
    <x v="0"/>
    <x v="0"/>
    <x v="0"/>
    <x v="2"/>
    <x v="0"/>
    <n v="51795"/>
    <n v="51795"/>
    <n v="0"/>
    <n v="0"/>
    <n v="0"/>
    <n v="0"/>
    <n v="287"/>
    <x v="0"/>
    <n v="0"/>
    <n v="26"/>
    <n v="0"/>
    <n v="0"/>
    <n v="8.81"/>
    <n v="0"/>
    <n v="0"/>
    <n v="11.452356648653195"/>
    <m/>
    <m/>
    <n v="456313.95"/>
    <n v="0"/>
    <n v="0"/>
    <n v="593174.81261699228"/>
    <n v="0"/>
    <n v="0"/>
  </r>
  <r>
    <s v="Sistema de Compensação"/>
    <x v="2"/>
    <x v="3"/>
    <x v="4"/>
    <x v="0"/>
    <x v="0"/>
    <x v="0"/>
    <x v="2"/>
    <x v="0"/>
    <n v="7153"/>
    <n v="7153"/>
    <n v="0"/>
    <n v="0"/>
    <n v="0"/>
    <n v="0"/>
    <n v="11"/>
    <x v="0"/>
    <n v="0"/>
    <n v="26"/>
    <n v="0"/>
    <n v="0"/>
    <n v="8.81"/>
    <n v="0"/>
    <n v="0"/>
    <n v="11.452356648653195"/>
    <m/>
    <m/>
    <n v="63017.93"/>
    <n v="0"/>
    <n v="0"/>
    <n v="81918.707107816299"/>
    <n v="0"/>
    <n v="0"/>
  </r>
  <r>
    <s v="Regular"/>
    <x v="2"/>
    <x v="3"/>
    <x v="4"/>
    <x v="0"/>
    <x v="0"/>
    <x v="0"/>
    <x v="2"/>
    <x v="1"/>
    <n v="51294"/>
    <n v="51294"/>
    <n v="0"/>
    <n v="0"/>
    <n v="0"/>
    <n v="0"/>
    <n v="284"/>
    <x v="0"/>
    <n v="0"/>
    <n v="26"/>
    <n v="0"/>
    <n v="0"/>
    <n v="8.81"/>
    <n v="0"/>
    <n v="0"/>
    <n v="11.452356648653195"/>
    <m/>
    <m/>
    <n v="451900.14"/>
    <n v="0"/>
    <n v="0"/>
    <n v="587437.181936017"/>
    <n v="0"/>
    <n v="0"/>
  </r>
  <r>
    <s v="Sistema de Compensação"/>
    <x v="2"/>
    <x v="3"/>
    <x v="4"/>
    <x v="0"/>
    <x v="0"/>
    <x v="0"/>
    <x v="2"/>
    <x v="1"/>
    <n v="7153"/>
    <n v="7153"/>
    <n v="0"/>
    <n v="0"/>
    <n v="0"/>
    <n v="0"/>
    <n v="11"/>
    <x v="0"/>
    <n v="0"/>
    <n v="26"/>
    <n v="0"/>
    <n v="0"/>
    <n v="8.81"/>
    <n v="0"/>
    <n v="0"/>
    <n v="11.452356648653195"/>
    <m/>
    <m/>
    <n v="63017.93"/>
    <n v="0"/>
    <n v="0"/>
    <n v="81918.707107816299"/>
    <n v="0"/>
    <n v="0"/>
  </r>
  <r>
    <s v="Regular"/>
    <x v="2"/>
    <x v="3"/>
    <x v="4"/>
    <x v="0"/>
    <x v="0"/>
    <x v="0"/>
    <x v="2"/>
    <x v="2"/>
    <n v="51961"/>
    <n v="51961"/>
    <n v="0"/>
    <n v="0"/>
    <n v="0"/>
    <n v="0"/>
    <n v="285"/>
    <x v="0"/>
    <n v="0"/>
    <n v="26"/>
    <n v="0"/>
    <n v="0"/>
    <n v="8.81"/>
    <n v="0"/>
    <n v="0"/>
    <n v="11.452356648653195"/>
    <m/>
    <m/>
    <n v="457776.41000000003"/>
    <n v="0"/>
    <n v="0"/>
    <n v="595075.9038206687"/>
    <n v="0"/>
    <n v="0"/>
  </r>
  <r>
    <s v="Sistema de Compensação"/>
    <x v="2"/>
    <x v="3"/>
    <x v="4"/>
    <x v="0"/>
    <x v="0"/>
    <x v="0"/>
    <x v="2"/>
    <x v="2"/>
    <n v="7153"/>
    <n v="7153"/>
    <n v="0"/>
    <n v="0"/>
    <n v="0"/>
    <n v="0"/>
    <n v="11"/>
    <x v="0"/>
    <n v="0"/>
    <n v="26"/>
    <n v="0"/>
    <n v="0"/>
    <n v="8.81"/>
    <n v="0"/>
    <n v="0"/>
    <n v="11.452356648653195"/>
    <m/>
    <m/>
    <n v="63017.93"/>
    <n v="0"/>
    <n v="0"/>
    <n v="81918.707107816299"/>
    <n v="0"/>
    <n v="0"/>
  </r>
  <r>
    <s v="Regular"/>
    <x v="2"/>
    <x v="3"/>
    <x v="4"/>
    <x v="0"/>
    <x v="0"/>
    <x v="0"/>
    <x v="2"/>
    <x v="3"/>
    <n v="50338"/>
    <n v="50338"/>
    <n v="0"/>
    <n v="0"/>
    <n v="0"/>
    <n v="0"/>
    <n v="288"/>
    <x v="0"/>
    <n v="0"/>
    <n v="26"/>
    <n v="0"/>
    <n v="0"/>
    <n v="8.81"/>
    <n v="0"/>
    <n v="0"/>
    <n v="11.452356648653195"/>
    <m/>
    <m/>
    <n v="443477.78"/>
    <n v="0"/>
    <n v="0"/>
    <n v="576488.72897990455"/>
    <n v="0"/>
    <n v="0"/>
  </r>
  <r>
    <s v="Sistema de Compensação"/>
    <x v="2"/>
    <x v="3"/>
    <x v="4"/>
    <x v="0"/>
    <x v="0"/>
    <x v="0"/>
    <x v="2"/>
    <x v="3"/>
    <n v="7153"/>
    <n v="7153"/>
    <n v="0"/>
    <n v="0"/>
    <n v="0"/>
    <n v="0"/>
    <n v="11"/>
    <x v="0"/>
    <n v="0"/>
    <n v="26"/>
    <n v="0"/>
    <n v="0"/>
    <n v="8.81"/>
    <n v="0"/>
    <n v="0"/>
    <n v="11.452356648653195"/>
    <m/>
    <m/>
    <n v="63017.93"/>
    <n v="0"/>
    <n v="0"/>
    <n v="81918.707107816299"/>
    <n v="0"/>
    <n v="0"/>
  </r>
  <r>
    <s v="Regular"/>
    <x v="2"/>
    <x v="3"/>
    <x v="4"/>
    <x v="0"/>
    <x v="0"/>
    <x v="0"/>
    <x v="2"/>
    <x v="4"/>
    <n v="51355"/>
    <n v="51355"/>
    <n v="0"/>
    <n v="0"/>
    <n v="0"/>
    <n v="0"/>
    <n v="289"/>
    <x v="0"/>
    <n v="0"/>
    <n v="26"/>
    <n v="0"/>
    <n v="0"/>
    <n v="8.81"/>
    <n v="0"/>
    <n v="0"/>
    <n v="11.452356648653195"/>
    <m/>
    <m/>
    <n v="452437.55000000005"/>
    <n v="0"/>
    <n v="0"/>
    <n v="588135.7756915848"/>
    <n v="0"/>
    <n v="0"/>
  </r>
  <r>
    <s v="Sistema de Compensação"/>
    <x v="2"/>
    <x v="3"/>
    <x v="4"/>
    <x v="0"/>
    <x v="0"/>
    <x v="0"/>
    <x v="2"/>
    <x v="4"/>
    <n v="7053"/>
    <n v="7053"/>
    <n v="0"/>
    <n v="0"/>
    <n v="0"/>
    <n v="0"/>
    <n v="11"/>
    <x v="0"/>
    <n v="0"/>
    <n v="26"/>
    <n v="0"/>
    <n v="0"/>
    <n v="8.81"/>
    <n v="0"/>
    <n v="0"/>
    <n v="11.452356648653195"/>
    <m/>
    <m/>
    <n v="62136.93"/>
    <n v="0"/>
    <n v="0"/>
    <n v="80773.471442950991"/>
    <n v="0"/>
    <n v="0"/>
  </r>
  <r>
    <s v="Regular"/>
    <x v="2"/>
    <x v="3"/>
    <x v="4"/>
    <x v="0"/>
    <x v="0"/>
    <x v="0"/>
    <x v="2"/>
    <x v="5"/>
    <n v="51068"/>
    <n v="51068"/>
    <n v="0"/>
    <n v="0"/>
    <n v="0"/>
    <n v="0"/>
    <n v="289"/>
    <x v="0"/>
    <n v="0"/>
    <n v="26"/>
    <n v="0"/>
    <n v="0"/>
    <n v="8.81"/>
    <n v="0"/>
    <n v="0"/>
    <n v="11.452356648653195"/>
    <m/>
    <m/>
    <n v="449909.08"/>
    <n v="0"/>
    <n v="0"/>
    <n v="584848.94933342142"/>
    <n v="0"/>
    <n v="0"/>
  </r>
  <r>
    <s v="Sistema de Compensação"/>
    <x v="2"/>
    <x v="3"/>
    <x v="4"/>
    <x v="0"/>
    <x v="0"/>
    <x v="0"/>
    <x v="2"/>
    <x v="5"/>
    <n v="7053"/>
    <n v="7053"/>
    <n v="0"/>
    <n v="0"/>
    <n v="0"/>
    <n v="0"/>
    <n v="11"/>
    <x v="0"/>
    <n v="0"/>
    <n v="26"/>
    <n v="0"/>
    <n v="0"/>
    <n v="8.81"/>
    <n v="0"/>
    <n v="0"/>
    <n v="11.452356648653195"/>
    <m/>
    <m/>
    <n v="62136.93"/>
    <n v="0"/>
    <n v="0"/>
    <n v="80773.471442950991"/>
    <n v="0"/>
    <n v="0"/>
  </r>
  <r>
    <s v="Regular"/>
    <x v="2"/>
    <x v="3"/>
    <x v="4"/>
    <x v="0"/>
    <x v="0"/>
    <x v="0"/>
    <x v="2"/>
    <x v="6"/>
    <n v="50080"/>
    <n v="50080"/>
    <n v="0"/>
    <n v="0"/>
    <n v="0"/>
    <n v="0"/>
    <n v="287"/>
    <x v="0"/>
    <n v="0"/>
    <n v="26"/>
    <n v="0"/>
    <n v="0"/>
    <n v="8.81"/>
    <n v="0"/>
    <n v="0"/>
    <n v="11.452356648653195"/>
    <m/>
    <m/>
    <n v="441204.80000000005"/>
    <n v="0"/>
    <n v="0"/>
    <n v="573534.02096455207"/>
    <n v="0"/>
    <n v="0"/>
  </r>
  <r>
    <s v="Refaturamento - Regular"/>
    <x v="2"/>
    <x v="3"/>
    <x v="4"/>
    <x v="0"/>
    <x v="0"/>
    <x v="0"/>
    <x v="2"/>
    <x v="6"/>
    <n v="180"/>
    <n v="180"/>
    <n v="0"/>
    <n v="0"/>
    <n v="0"/>
    <n v="0"/>
    <n v="2"/>
    <x v="0"/>
    <n v="0"/>
    <n v="26"/>
    <n v="0"/>
    <n v="0"/>
    <n v="8.81"/>
    <n v="0"/>
    <n v="0"/>
    <n v="11.452356648653195"/>
    <m/>
    <m/>
    <n v="1585.8000000000002"/>
    <n v="0"/>
    <n v="0"/>
    <n v="2061.4241967575749"/>
    <n v="0"/>
    <n v="0"/>
  </r>
  <r>
    <s v="Sistema de Compensação"/>
    <x v="2"/>
    <x v="3"/>
    <x v="4"/>
    <x v="0"/>
    <x v="0"/>
    <x v="0"/>
    <x v="2"/>
    <x v="6"/>
    <n v="7053"/>
    <n v="7053"/>
    <n v="0"/>
    <n v="0"/>
    <n v="0"/>
    <n v="0"/>
    <n v="11"/>
    <x v="0"/>
    <n v="0"/>
    <n v="26"/>
    <n v="0"/>
    <n v="0"/>
    <n v="8.81"/>
    <n v="0"/>
    <n v="0"/>
    <n v="11.452356648653195"/>
    <m/>
    <m/>
    <n v="62136.93"/>
    <n v="0"/>
    <n v="0"/>
    <n v="80773.471442950991"/>
    <n v="0"/>
    <n v="0"/>
  </r>
  <r>
    <s v="Regular"/>
    <x v="2"/>
    <x v="3"/>
    <x v="4"/>
    <x v="0"/>
    <x v="0"/>
    <x v="0"/>
    <x v="2"/>
    <x v="7"/>
    <n v="47859"/>
    <n v="47859"/>
    <n v="0"/>
    <n v="0"/>
    <n v="0"/>
    <n v="0"/>
    <n v="290"/>
    <x v="0"/>
    <n v="0"/>
    <n v="26"/>
    <n v="0"/>
    <n v="0"/>
    <n v="8.81"/>
    <n v="0"/>
    <n v="0"/>
    <n v="11.452356648653195"/>
    <m/>
    <m/>
    <n v="421637.79000000004"/>
    <n v="0"/>
    <n v="0"/>
    <n v="548098.33684789331"/>
    <n v="0"/>
    <n v="0"/>
  </r>
  <r>
    <s v="Sistema de Compensação"/>
    <x v="2"/>
    <x v="3"/>
    <x v="4"/>
    <x v="0"/>
    <x v="0"/>
    <x v="0"/>
    <x v="2"/>
    <x v="7"/>
    <n v="7053"/>
    <n v="7053"/>
    <n v="0"/>
    <n v="0"/>
    <n v="0"/>
    <n v="0"/>
    <n v="11"/>
    <x v="0"/>
    <n v="0"/>
    <n v="26"/>
    <n v="0"/>
    <n v="0"/>
    <n v="8.81"/>
    <n v="0"/>
    <n v="0"/>
    <n v="11.452356648653195"/>
    <m/>
    <m/>
    <n v="62136.93"/>
    <n v="0"/>
    <n v="0"/>
    <n v="80773.471442950991"/>
    <n v="0"/>
    <n v="0"/>
  </r>
  <r>
    <s v="Regular"/>
    <x v="2"/>
    <x v="3"/>
    <x v="4"/>
    <x v="0"/>
    <x v="0"/>
    <x v="0"/>
    <x v="2"/>
    <x v="8"/>
    <n v="42761"/>
    <n v="42761"/>
    <n v="0"/>
    <n v="0"/>
    <n v="0"/>
    <n v="0"/>
    <n v="282"/>
    <x v="0"/>
    <n v="0"/>
    <n v="26"/>
    <n v="0"/>
    <n v="0"/>
    <n v="8.81"/>
    <n v="0"/>
    <n v="0"/>
    <n v="11.452356648653195"/>
    <m/>
    <m/>
    <n v="376724.41000000003"/>
    <n v="0"/>
    <n v="0"/>
    <n v="489714.22265305929"/>
    <n v="0"/>
    <n v="0"/>
  </r>
  <r>
    <s v="Refaturamento - Regular"/>
    <x v="2"/>
    <x v="3"/>
    <x v="4"/>
    <x v="0"/>
    <x v="0"/>
    <x v="0"/>
    <x v="2"/>
    <x v="8"/>
    <n v="3848"/>
    <n v="3848"/>
    <n v="0"/>
    <n v="0"/>
    <n v="0"/>
    <n v="0"/>
    <n v="3"/>
    <x v="0"/>
    <n v="0"/>
    <n v="26"/>
    <n v="0"/>
    <n v="0"/>
    <n v="8.81"/>
    <n v="0"/>
    <n v="0"/>
    <n v="11.452356648653195"/>
    <m/>
    <m/>
    <n v="33900.880000000005"/>
    <n v="0"/>
    <n v="0"/>
    <n v="44068.668384017496"/>
    <n v="0"/>
    <n v="0"/>
  </r>
  <r>
    <s v="Sistema de Compensação"/>
    <x v="2"/>
    <x v="3"/>
    <x v="4"/>
    <x v="0"/>
    <x v="0"/>
    <x v="0"/>
    <x v="2"/>
    <x v="8"/>
    <n v="9803"/>
    <n v="9803"/>
    <n v="0"/>
    <n v="0"/>
    <n v="0"/>
    <n v="0"/>
    <n v="13"/>
    <x v="0"/>
    <n v="0"/>
    <n v="26"/>
    <n v="0"/>
    <n v="0"/>
    <n v="8.81"/>
    <n v="0"/>
    <n v="0"/>
    <n v="11.452356648653195"/>
    <m/>
    <m/>
    <n v="86364.430000000008"/>
    <n v="0"/>
    <n v="0"/>
    <n v="112267.45222674728"/>
    <n v="0"/>
    <n v="0"/>
  </r>
  <r>
    <s v="Regular"/>
    <x v="2"/>
    <x v="3"/>
    <x v="4"/>
    <x v="0"/>
    <x v="0"/>
    <x v="0"/>
    <x v="2"/>
    <x v="9"/>
    <n v="47529"/>
    <n v="47529"/>
    <n v="0"/>
    <n v="0"/>
    <n v="0"/>
    <n v="0"/>
    <n v="285"/>
    <x v="0"/>
    <n v="0"/>
    <n v="26"/>
    <n v="0"/>
    <n v="0"/>
    <n v="8.81"/>
    <n v="0"/>
    <n v="0"/>
    <n v="11.452356648653195"/>
    <m/>
    <m/>
    <n v="418730.49000000005"/>
    <n v="0"/>
    <n v="0"/>
    <n v="544319.05915383773"/>
    <n v="0"/>
    <n v="0"/>
  </r>
  <r>
    <s v="Sistema de Compensação"/>
    <x v="2"/>
    <x v="3"/>
    <x v="4"/>
    <x v="0"/>
    <x v="0"/>
    <x v="0"/>
    <x v="2"/>
    <x v="9"/>
    <n v="9953"/>
    <n v="9953"/>
    <n v="0"/>
    <n v="0"/>
    <n v="0"/>
    <n v="0"/>
    <n v="14"/>
    <x v="0"/>
    <n v="0"/>
    <n v="26"/>
    <n v="0"/>
    <n v="0"/>
    <n v="8.81"/>
    <n v="0"/>
    <n v="0"/>
    <n v="11.452356648653195"/>
    <m/>
    <m/>
    <n v="87685.930000000008"/>
    <n v="0"/>
    <n v="0"/>
    <n v="113985.30572404525"/>
    <n v="0"/>
    <n v="0"/>
  </r>
  <r>
    <s v="Regular"/>
    <x v="2"/>
    <x v="3"/>
    <x v="4"/>
    <x v="0"/>
    <x v="0"/>
    <x v="0"/>
    <x v="2"/>
    <x v="10"/>
    <n v="47476"/>
    <n v="47476"/>
    <n v="0"/>
    <n v="0"/>
    <n v="0"/>
    <n v="0"/>
    <n v="285"/>
    <x v="0"/>
    <n v="0"/>
    <n v="26"/>
    <n v="0"/>
    <n v="0"/>
    <n v="8.81"/>
    <n v="0"/>
    <n v="0"/>
    <n v="11.452356648653195"/>
    <m/>
    <m/>
    <n v="418263.56"/>
    <n v="0"/>
    <n v="0"/>
    <n v="543712.08425145911"/>
    <n v="0"/>
    <n v="0"/>
  </r>
  <r>
    <s v="Sistema de Compensação"/>
    <x v="2"/>
    <x v="3"/>
    <x v="4"/>
    <x v="0"/>
    <x v="0"/>
    <x v="0"/>
    <x v="2"/>
    <x v="10"/>
    <n v="9953"/>
    <n v="9953"/>
    <n v="0"/>
    <n v="0"/>
    <n v="0"/>
    <n v="0"/>
    <n v="14"/>
    <x v="0"/>
    <n v="0"/>
    <n v="26"/>
    <n v="0"/>
    <n v="0"/>
    <n v="8.81"/>
    <n v="0"/>
    <n v="0"/>
    <n v="11.452356648653195"/>
    <m/>
    <m/>
    <n v="87685.930000000008"/>
    <n v="0"/>
    <n v="0"/>
    <n v="113985.30572404525"/>
    <n v="0"/>
    <n v="0"/>
  </r>
  <r>
    <s v="PROJETADO"/>
    <x v="2"/>
    <x v="3"/>
    <x v="4"/>
    <x v="0"/>
    <x v="0"/>
    <x v="0"/>
    <x v="2"/>
    <x v="11"/>
    <n v="47476"/>
    <n v="47476"/>
    <n v="0"/>
    <n v="0"/>
    <n v="0"/>
    <n v="0"/>
    <n v="285"/>
    <x v="0"/>
    <n v="0"/>
    <n v="26"/>
    <n v="0"/>
    <n v="0"/>
    <n v="8.81"/>
    <n v="0"/>
    <n v="0"/>
    <n v="11.452356648653195"/>
    <m/>
    <m/>
    <n v="418263.56"/>
    <n v="0"/>
    <n v="0"/>
    <n v="543712.08425145911"/>
    <n v="0"/>
    <n v="0"/>
  </r>
  <r>
    <s v="PROJETADO"/>
    <x v="2"/>
    <x v="3"/>
    <x v="4"/>
    <x v="0"/>
    <x v="0"/>
    <x v="0"/>
    <x v="2"/>
    <x v="11"/>
    <n v="9953"/>
    <n v="9953"/>
    <n v="0"/>
    <n v="0"/>
    <n v="0"/>
    <n v="0"/>
    <n v="14"/>
    <x v="0"/>
    <n v="0"/>
    <n v="26"/>
    <n v="0"/>
    <n v="0"/>
    <n v="8.81"/>
    <n v="0"/>
    <n v="0"/>
    <n v="11.452356648653195"/>
    <m/>
    <m/>
    <n v="87685.930000000008"/>
    <n v="0"/>
    <n v="0"/>
    <n v="113985.30572404525"/>
    <n v="0"/>
    <n v="0"/>
  </r>
  <r>
    <s v="Regular"/>
    <x v="2"/>
    <x v="3"/>
    <x v="4"/>
    <x v="0"/>
    <x v="0"/>
    <x v="0"/>
    <x v="1"/>
    <x v="0"/>
    <n v="0"/>
    <n v="0"/>
    <n v="1021.478"/>
    <n v="1021.478"/>
    <n v="1021.478"/>
    <n v="1021.478"/>
    <n v="0"/>
    <x v="0"/>
    <n v="0"/>
    <n v="0"/>
    <n v="27"/>
    <n v="81"/>
    <n v="0"/>
    <n v="641.99"/>
    <n v="430.87"/>
    <m/>
    <n v="747.73459855656426"/>
    <n v="375.70671275609089"/>
    <n v="0"/>
    <n v="655778.66122000001"/>
    <n v="440124.22586000001"/>
    <n v="0"/>
    <n v="763794.44226436212"/>
    <n v="383776.14153266622"/>
  </r>
  <r>
    <s v="Sistema de Compensação"/>
    <x v="2"/>
    <x v="3"/>
    <x v="4"/>
    <x v="0"/>
    <x v="0"/>
    <x v="0"/>
    <x v="1"/>
    <x v="0"/>
    <n v="0"/>
    <n v="0"/>
    <n v="0.54600000000000004"/>
    <n v="0.54600000000000004"/>
    <n v="0.54600000000000004"/>
    <n v="0.54600000000000004"/>
    <n v="0"/>
    <x v="0"/>
    <n v="0"/>
    <n v="0"/>
    <n v="27"/>
    <n v="81"/>
    <n v="0"/>
    <n v="641.99"/>
    <n v="430.87"/>
    <m/>
    <n v="747.73459855656426"/>
    <n v="375.70671275609089"/>
    <n v="0"/>
    <n v="350.52654000000001"/>
    <n v="235.25502000000003"/>
    <n v="0"/>
    <n v="408.26309081188413"/>
    <n v="205.13586516482565"/>
  </r>
  <r>
    <s v="Regular"/>
    <x v="2"/>
    <x v="3"/>
    <x v="4"/>
    <x v="0"/>
    <x v="0"/>
    <x v="0"/>
    <x v="1"/>
    <x v="1"/>
    <n v="0"/>
    <n v="0"/>
    <n v="1007.8150000000001"/>
    <n v="1007.8150000000001"/>
    <n v="1007.8150000000001"/>
    <n v="1007.8150000000001"/>
    <n v="0"/>
    <x v="0"/>
    <n v="0"/>
    <n v="0"/>
    <n v="27"/>
    <n v="81"/>
    <n v="0"/>
    <n v="641.99"/>
    <n v="430.87"/>
    <m/>
    <n v="747.73459855656426"/>
    <n v="375.70671275609089"/>
    <n v="0"/>
    <n v="647007.15185000002"/>
    <n v="434237.24905000004"/>
    <n v="0"/>
    <n v="753578.14444428391"/>
    <n v="378642.86071627977"/>
  </r>
  <r>
    <s v="Sistema de Compensação"/>
    <x v="2"/>
    <x v="3"/>
    <x v="4"/>
    <x v="0"/>
    <x v="0"/>
    <x v="0"/>
    <x v="1"/>
    <x v="1"/>
    <n v="0"/>
    <n v="0"/>
    <n v="168.60400000000001"/>
    <n v="168.60400000000001"/>
    <n v="168.60400000000001"/>
    <n v="168.60400000000001"/>
    <n v="0"/>
    <x v="0"/>
    <n v="0"/>
    <n v="0"/>
    <n v="27"/>
    <n v="81"/>
    <n v="0"/>
    <n v="641.99"/>
    <n v="430.87"/>
    <m/>
    <n v="747.73459855656426"/>
    <n v="375.70671275609089"/>
    <n v="0"/>
    <n v="108242.08196000001"/>
    <n v="72646.405480000001"/>
    <n v="0"/>
    <n v="126071.04425503097"/>
    <n v="63345.654597527951"/>
  </r>
  <r>
    <s v="Regular"/>
    <x v="2"/>
    <x v="3"/>
    <x v="4"/>
    <x v="0"/>
    <x v="0"/>
    <x v="0"/>
    <x v="1"/>
    <x v="2"/>
    <n v="0"/>
    <n v="0"/>
    <n v="884.58900000000006"/>
    <n v="884.58900000000006"/>
    <n v="884.58900000000006"/>
    <n v="884.58900000000006"/>
    <n v="0"/>
    <x v="0"/>
    <n v="0"/>
    <n v="0"/>
    <n v="27"/>
    <n v="81"/>
    <n v="0"/>
    <n v="641.99"/>
    <n v="430.87"/>
    <m/>
    <n v="747.73459855656426"/>
    <n v="375.70671275609089"/>
    <n v="0"/>
    <n v="567897.29211000004"/>
    <n v="381142.86243000004"/>
    <n v="0"/>
    <n v="661437.80080255272"/>
    <n v="332346.02533019771"/>
  </r>
  <r>
    <s v="Sistema de Compensação"/>
    <x v="2"/>
    <x v="3"/>
    <x v="4"/>
    <x v="0"/>
    <x v="0"/>
    <x v="0"/>
    <x v="1"/>
    <x v="2"/>
    <n v="0"/>
    <n v="0"/>
    <n v="153.52500000000001"/>
    <n v="153.52500000000001"/>
    <n v="153.52500000000001"/>
    <n v="153.52500000000001"/>
    <n v="0"/>
    <x v="0"/>
    <n v="0"/>
    <n v="0"/>
    <n v="27"/>
    <n v="81"/>
    <n v="0"/>
    <n v="641.99"/>
    <n v="430.87"/>
    <m/>
    <n v="747.73459855656426"/>
    <n v="375.70671275609089"/>
    <n v="0"/>
    <n v="98561.514750000002"/>
    <n v="66149.316749999998"/>
    <n v="0"/>
    <n v="114795.95424339654"/>
    <n v="57680.373075878859"/>
  </r>
  <r>
    <s v="Regular"/>
    <x v="2"/>
    <x v="3"/>
    <x v="4"/>
    <x v="0"/>
    <x v="0"/>
    <x v="0"/>
    <x v="1"/>
    <x v="3"/>
    <n v="0"/>
    <n v="0"/>
    <n v="802.74"/>
    <n v="802.74"/>
    <n v="802.74"/>
    <n v="802.74"/>
    <n v="0"/>
    <x v="0"/>
    <n v="0"/>
    <n v="0"/>
    <n v="27"/>
    <n v="81"/>
    <n v="0"/>
    <n v="641.99"/>
    <n v="430.87"/>
    <m/>
    <n v="747.73459855656426"/>
    <n v="375.70671275609089"/>
    <n v="0"/>
    <n v="515351.0526"/>
    <n v="345876.58380000002"/>
    <n v="0"/>
    <n v="600236.47164529643"/>
    <n v="301594.80659782438"/>
  </r>
  <r>
    <s v="Sistema de Compensação"/>
    <x v="2"/>
    <x v="3"/>
    <x v="4"/>
    <x v="0"/>
    <x v="0"/>
    <x v="0"/>
    <x v="1"/>
    <x v="3"/>
    <n v="0"/>
    <n v="0"/>
    <n v="143.529"/>
    <n v="143.529"/>
    <n v="143.529"/>
    <n v="143.529"/>
    <n v="0"/>
    <x v="0"/>
    <n v="0"/>
    <n v="0"/>
    <n v="27"/>
    <n v="81"/>
    <n v="0"/>
    <n v="641.99"/>
    <n v="430.87"/>
    <m/>
    <n v="747.73459855656426"/>
    <n v="375.70671275609089"/>
    <n v="0"/>
    <n v="92144.182709999994"/>
    <n v="61842.340230000002"/>
    <n v="0"/>
    <n v="107321.59919622511"/>
    <n v="53924.808775168967"/>
  </r>
  <r>
    <s v="Regular"/>
    <x v="2"/>
    <x v="3"/>
    <x v="4"/>
    <x v="0"/>
    <x v="0"/>
    <x v="0"/>
    <x v="1"/>
    <x v="4"/>
    <n v="0"/>
    <n v="0"/>
    <n v="884.14700000000005"/>
    <n v="884.14700000000005"/>
    <n v="884.14700000000005"/>
    <n v="884.14700000000005"/>
    <n v="0"/>
    <x v="0"/>
    <n v="0"/>
    <n v="0"/>
    <n v="27"/>
    <n v="81"/>
    <n v="0"/>
    <n v="641.99"/>
    <n v="430.87"/>
    <m/>
    <n v="747.73459855656426"/>
    <n v="375.70671275609089"/>
    <n v="0"/>
    <n v="567613.53253000008"/>
    <n v="380952.41789000004"/>
    <n v="0"/>
    <n v="661107.30210999062"/>
    <n v="332179.96296315949"/>
  </r>
  <r>
    <s v="Sistema de Compensação"/>
    <x v="2"/>
    <x v="3"/>
    <x v="4"/>
    <x v="0"/>
    <x v="0"/>
    <x v="0"/>
    <x v="1"/>
    <x v="4"/>
    <n v="0"/>
    <n v="0"/>
    <n v="153.876"/>
    <n v="153.876"/>
    <n v="153.876"/>
    <n v="153.876"/>
    <n v="0"/>
    <x v="0"/>
    <n v="0"/>
    <n v="0"/>
    <n v="27"/>
    <n v="81"/>
    <n v="0"/>
    <n v="641.99"/>
    <n v="430.87"/>
    <m/>
    <n v="747.73459855656426"/>
    <n v="375.70671275609089"/>
    <n v="0"/>
    <n v="98786.853240000011"/>
    <n v="66300.552120000008"/>
    <n v="0"/>
    <n v="115058.40908748988"/>
    <n v="57812.246132056243"/>
  </r>
  <r>
    <s v="Regular"/>
    <x v="2"/>
    <x v="3"/>
    <x v="4"/>
    <x v="0"/>
    <x v="0"/>
    <x v="0"/>
    <x v="1"/>
    <x v="5"/>
    <n v="0"/>
    <n v="0"/>
    <n v="807.78499999999997"/>
    <n v="807.78499999999997"/>
    <n v="807.78499999999997"/>
    <n v="807.78499999999997"/>
    <n v="0"/>
    <x v="0"/>
    <n v="0"/>
    <n v="0"/>
    <n v="27"/>
    <n v="81"/>
    <n v="0"/>
    <n v="641.99"/>
    <n v="430.87"/>
    <m/>
    <n v="747.73459855656426"/>
    <n v="375.70671275609089"/>
    <n v="0"/>
    <n v="518589.89214999997"/>
    <n v="348050.32295"/>
    <n v="0"/>
    <n v="604008.79269501427"/>
    <n v="303490.24696367886"/>
  </r>
  <r>
    <s v="Sistema de Compensação"/>
    <x v="2"/>
    <x v="3"/>
    <x v="4"/>
    <x v="0"/>
    <x v="0"/>
    <x v="0"/>
    <x v="1"/>
    <x v="5"/>
    <n v="0"/>
    <n v="0"/>
    <n v="131.114"/>
    <n v="131.114"/>
    <n v="131.114"/>
    <n v="131.114"/>
    <n v="0"/>
    <x v="0"/>
    <n v="0"/>
    <n v="0"/>
    <n v="27"/>
    <n v="81"/>
    <n v="0"/>
    <n v="641.99"/>
    <n v="430.87"/>
    <m/>
    <n v="747.73459855656426"/>
    <n v="375.70671275609089"/>
    <n v="0"/>
    <n v="84173.876860000004"/>
    <n v="56493.089180000003"/>
    <n v="0"/>
    <n v="98038.474155145377"/>
    <n v="49260.409936302101"/>
  </r>
  <r>
    <s v="Regular"/>
    <x v="2"/>
    <x v="3"/>
    <x v="4"/>
    <x v="0"/>
    <x v="0"/>
    <x v="0"/>
    <x v="1"/>
    <x v="6"/>
    <n v="0"/>
    <n v="0"/>
    <n v="805.57899999999995"/>
    <n v="805.57899999999995"/>
    <n v="805.57899999999995"/>
    <n v="805.57899999999995"/>
    <n v="0"/>
    <x v="0"/>
    <n v="0"/>
    <n v="0"/>
    <n v="27"/>
    <n v="81"/>
    <n v="0"/>
    <n v="641.99"/>
    <n v="430.87"/>
    <m/>
    <n v="747.73459855656426"/>
    <n v="375.70671275609089"/>
    <n v="0"/>
    <n v="517173.66220999998"/>
    <n v="347099.82373"/>
    <n v="0"/>
    <n v="602359.29017059843"/>
    <n v="302661.43795533892"/>
  </r>
  <r>
    <s v="Refaturamento - Regular"/>
    <x v="2"/>
    <x v="3"/>
    <x v="4"/>
    <x v="0"/>
    <x v="0"/>
    <x v="0"/>
    <x v="1"/>
    <x v="6"/>
    <n v="0"/>
    <n v="0"/>
    <n v="6.923"/>
    <n v="6.923"/>
    <n v="6.923"/>
    <n v="6.923"/>
    <n v="0"/>
    <x v="0"/>
    <n v="0"/>
    <n v="0"/>
    <n v="27"/>
    <n v="81"/>
    <n v="0"/>
    <n v="641.99"/>
    <n v="430.87"/>
    <m/>
    <n v="747.73459855656426"/>
    <n v="375.70671275609089"/>
    <n v="0"/>
    <n v="4444.4967699999997"/>
    <n v="2982.9130100000002"/>
    <n v="0"/>
    <n v="5176.5666258070942"/>
    <n v="2601.0175724104174"/>
  </r>
  <r>
    <s v="Sistema de Compensação"/>
    <x v="2"/>
    <x v="3"/>
    <x v="4"/>
    <x v="0"/>
    <x v="0"/>
    <x v="0"/>
    <x v="1"/>
    <x v="6"/>
    <n v="0"/>
    <n v="0"/>
    <n v="138.124"/>
    <n v="138.124"/>
    <n v="138.124"/>
    <n v="138.124"/>
    <n v="0"/>
    <x v="0"/>
    <n v="0"/>
    <n v="0"/>
    <n v="27"/>
    <n v="81"/>
    <n v="0"/>
    <n v="641.99"/>
    <n v="430.87"/>
    <m/>
    <n v="747.73459855656426"/>
    <n v="375.70671275609089"/>
    <n v="0"/>
    <n v="88674.226760000005"/>
    <n v="59513.487880000001"/>
    <n v="0"/>
    <n v="103280.09369102688"/>
    <n v="51894.113992722298"/>
  </r>
  <r>
    <s v="Regular"/>
    <x v="2"/>
    <x v="3"/>
    <x v="4"/>
    <x v="0"/>
    <x v="0"/>
    <x v="0"/>
    <x v="1"/>
    <x v="7"/>
    <n v="0"/>
    <n v="0"/>
    <n v="638.06200000000001"/>
    <n v="638.06200000000001"/>
    <n v="638.06200000000001"/>
    <n v="638.06200000000001"/>
    <n v="0"/>
    <x v="0"/>
    <n v="0"/>
    <n v="0"/>
    <n v="27"/>
    <n v="81"/>
    <n v="0"/>
    <n v="641.99"/>
    <n v="430.87"/>
    <m/>
    <n v="747.73459855656426"/>
    <n v="375.70671275609089"/>
    <n v="0"/>
    <n v="409629.42337999999"/>
    <n v="274921.77393999998"/>
    <n v="0"/>
    <n v="477101.03342419851"/>
    <n v="239724.17655457687"/>
  </r>
  <r>
    <s v="Sistema de Compensação"/>
    <x v="2"/>
    <x v="3"/>
    <x v="4"/>
    <x v="0"/>
    <x v="0"/>
    <x v="0"/>
    <x v="1"/>
    <x v="7"/>
    <n v="0"/>
    <n v="0"/>
    <n v="110.539"/>
    <n v="110.539"/>
    <n v="110.539"/>
    <n v="110.539"/>
    <n v="0"/>
    <x v="0"/>
    <n v="0"/>
    <n v="0"/>
    <n v="27"/>
    <n v="81"/>
    <n v="0"/>
    <n v="641.99"/>
    <n v="430.87"/>
    <m/>
    <n v="747.73459855656426"/>
    <n v="375.70671275609089"/>
    <n v="0"/>
    <n v="70964.932610000003"/>
    <n v="47627.938930000004"/>
    <n v="0"/>
    <n v="82653.834789844055"/>
    <n v="41530.244321345534"/>
  </r>
  <r>
    <s v="Regular"/>
    <x v="2"/>
    <x v="3"/>
    <x v="4"/>
    <x v="0"/>
    <x v="0"/>
    <x v="0"/>
    <x v="1"/>
    <x v="8"/>
    <n v="0"/>
    <n v="0"/>
    <n v="638.78300000000002"/>
    <n v="638.78300000000002"/>
    <n v="638.78300000000002"/>
    <n v="638.78300000000002"/>
    <n v="0"/>
    <x v="0"/>
    <n v="0"/>
    <n v="0"/>
    <n v="27"/>
    <n v="81"/>
    <n v="0"/>
    <n v="641.99"/>
    <n v="430.87"/>
    <m/>
    <n v="747.73459855656426"/>
    <n v="375.70671275609089"/>
    <n v="0"/>
    <n v="410092.29817000002"/>
    <n v="275232.43121000001"/>
    <n v="0"/>
    <n v="477640.15006975783"/>
    <n v="239995.06109447402"/>
  </r>
  <r>
    <s v="Refaturamento - Regular"/>
    <x v="2"/>
    <x v="3"/>
    <x v="4"/>
    <x v="0"/>
    <x v="0"/>
    <x v="0"/>
    <x v="1"/>
    <x v="8"/>
    <n v="0"/>
    <n v="0"/>
    <n v="44.107999999999997"/>
    <n v="44.107999999999997"/>
    <n v="44.107999999999997"/>
    <n v="44.107999999999997"/>
    <n v="0"/>
    <x v="0"/>
    <n v="0"/>
    <n v="0"/>
    <n v="27"/>
    <n v="81"/>
    <n v="0"/>
    <n v="641.99"/>
    <n v="430.87"/>
    <m/>
    <n v="747.73459855656426"/>
    <n v="375.70671275609089"/>
    <n v="0"/>
    <n v="28316.894919999999"/>
    <n v="19004.813959999999"/>
    <n v="0"/>
    <n v="32981.077673132932"/>
    <n v="16571.671686245656"/>
  </r>
  <r>
    <s v="Sistema de Compensação"/>
    <x v="2"/>
    <x v="3"/>
    <x v="4"/>
    <x v="0"/>
    <x v="0"/>
    <x v="0"/>
    <x v="1"/>
    <x v="8"/>
    <n v="0"/>
    <n v="0"/>
    <n v="158.06100000000001"/>
    <n v="158.06100000000001"/>
    <n v="158.06100000000001"/>
    <n v="158.06100000000001"/>
    <n v="0"/>
    <x v="0"/>
    <n v="0"/>
    <n v="0"/>
    <n v="27"/>
    <n v="81"/>
    <n v="0"/>
    <n v="641.99"/>
    <n v="430.87"/>
    <m/>
    <n v="747.73459855656426"/>
    <n v="375.70671275609089"/>
    <n v="0"/>
    <n v="101473.58139000001"/>
    <n v="68103.743069999997"/>
    <n v="0"/>
    <n v="118187.67838244911"/>
    <n v="59384.578724940482"/>
  </r>
  <r>
    <s v="Regular"/>
    <x v="2"/>
    <x v="3"/>
    <x v="4"/>
    <x v="0"/>
    <x v="0"/>
    <x v="0"/>
    <x v="1"/>
    <x v="9"/>
    <n v="0"/>
    <n v="0"/>
    <n v="630.29300000000001"/>
    <n v="630.29300000000001"/>
    <n v="630.29300000000001"/>
    <n v="630.29300000000001"/>
    <n v="0"/>
    <x v="0"/>
    <n v="0"/>
    <n v="0"/>
    <n v="27"/>
    <n v="81"/>
    <n v="0"/>
    <n v="641.99"/>
    <n v="430.87"/>
    <m/>
    <n v="747.73459855656426"/>
    <n v="375.70671275609089"/>
    <n v="0"/>
    <n v="404641.80307000002"/>
    <n v="271574.34490999999"/>
    <n v="0"/>
    <n v="471291.88332801254"/>
    <n v="236805.31110317481"/>
  </r>
  <r>
    <s v="Sistema de Compensação"/>
    <x v="2"/>
    <x v="3"/>
    <x v="4"/>
    <x v="0"/>
    <x v="0"/>
    <x v="0"/>
    <x v="1"/>
    <x v="9"/>
    <n v="0"/>
    <n v="0"/>
    <n v="128.73699999999999"/>
    <n v="128.73699999999999"/>
    <n v="128.73699999999999"/>
    <n v="128.73699999999999"/>
    <n v="0"/>
    <x v="0"/>
    <n v="0"/>
    <n v="0"/>
    <n v="27"/>
    <n v="81"/>
    <n v="0"/>
    <n v="641.99"/>
    <n v="430.87"/>
    <m/>
    <n v="747.73459855656426"/>
    <n v="375.70671275609089"/>
    <n v="0"/>
    <n v="82647.866630000004"/>
    <n v="55468.911189999999"/>
    <n v="0"/>
    <n v="96261.109014376416"/>
    <n v="48367.355080080873"/>
  </r>
  <r>
    <s v="Regular"/>
    <x v="2"/>
    <x v="3"/>
    <x v="4"/>
    <x v="0"/>
    <x v="0"/>
    <x v="0"/>
    <x v="1"/>
    <x v="10"/>
    <n v="0"/>
    <n v="0"/>
    <n v="656.23599999999999"/>
    <n v="656.23599999999999"/>
    <n v="656.23599999999999"/>
    <n v="656.23599999999999"/>
    <n v="0"/>
    <x v="0"/>
    <n v="0"/>
    <n v="0"/>
    <n v="27"/>
    <n v="81"/>
    <n v="0"/>
    <n v="641.99"/>
    <n v="430.87"/>
    <m/>
    <n v="747.73459855656426"/>
    <n v="375.70671275609089"/>
    <n v="0"/>
    <n v="421296.94964000001"/>
    <n v="282752.40532000002"/>
    <n v="0"/>
    <n v="490690.36201836547"/>
    <n v="246552.27035220605"/>
  </r>
  <r>
    <s v="Sistema de Compensação"/>
    <x v="2"/>
    <x v="3"/>
    <x v="4"/>
    <x v="0"/>
    <x v="0"/>
    <x v="0"/>
    <x v="1"/>
    <x v="10"/>
    <n v="0"/>
    <n v="0"/>
    <n v="155.31100000000001"/>
    <n v="155.31100000000001"/>
    <n v="155.31100000000001"/>
    <n v="155.31100000000001"/>
    <n v="0"/>
    <x v="0"/>
    <n v="0"/>
    <n v="0"/>
    <n v="27"/>
    <n v="81"/>
    <n v="0"/>
    <n v="641.99"/>
    <n v="430.87"/>
    <m/>
    <n v="747.73459855656426"/>
    <n v="375.70671275609089"/>
    <n v="0"/>
    <n v="99708.108890000003"/>
    <n v="66918.85057000001"/>
    <n v="0"/>
    <n v="116131.40823641856"/>
    <n v="58351.385264861237"/>
  </r>
  <r>
    <s v="PROJETADO"/>
    <x v="2"/>
    <x v="3"/>
    <x v="4"/>
    <x v="0"/>
    <x v="0"/>
    <x v="0"/>
    <x v="1"/>
    <x v="11"/>
    <n v="0"/>
    <n v="0"/>
    <n v="656.23599999999999"/>
    <n v="656.23599999999999"/>
    <n v="656.23599999999999"/>
    <n v="656.23599999999999"/>
    <n v="0"/>
    <x v="0"/>
    <n v="0"/>
    <n v="0"/>
    <n v="27"/>
    <n v="81"/>
    <n v="0"/>
    <n v="641.99"/>
    <n v="430.87"/>
    <m/>
    <n v="747.73459855656426"/>
    <n v="375.70671275609089"/>
    <n v="0"/>
    <n v="421296.94964000001"/>
    <n v="282752.40532000002"/>
    <n v="0"/>
    <n v="490690.36201836547"/>
    <n v="246552.27035220605"/>
  </r>
  <r>
    <s v="PROJETADO"/>
    <x v="2"/>
    <x v="3"/>
    <x v="4"/>
    <x v="0"/>
    <x v="0"/>
    <x v="0"/>
    <x v="1"/>
    <x v="11"/>
    <n v="0"/>
    <n v="0"/>
    <n v="155.31100000000001"/>
    <n v="155.31100000000001"/>
    <n v="155.31100000000001"/>
    <n v="155.31100000000001"/>
    <n v="0"/>
    <x v="0"/>
    <n v="0"/>
    <n v="0"/>
    <n v="27"/>
    <n v="81"/>
    <n v="0"/>
    <n v="641.99"/>
    <n v="430.87"/>
    <m/>
    <n v="747.73459855656426"/>
    <n v="375.70671275609089"/>
    <n v="0"/>
    <n v="99708.108890000003"/>
    <n v="66918.85057000001"/>
    <n v="0"/>
    <n v="116131.40823641856"/>
    <n v="58351.385264861237"/>
  </r>
  <r>
    <s v="Regular"/>
    <x v="2"/>
    <x v="3"/>
    <x v="6"/>
    <x v="3"/>
    <x v="0"/>
    <x v="0"/>
    <x v="0"/>
    <x v="0"/>
    <n v="0"/>
    <n v="0"/>
    <n v="123.929"/>
    <n v="123.929"/>
    <n v="123.929"/>
    <n v="123.929"/>
    <n v="0"/>
    <x v="0"/>
    <n v="0"/>
    <n v="0"/>
    <n v="28"/>
    <n v="82"/>
    <n v="0"/>
    <n v="84.45"/>
    <n v="256.38"/>
    <m/>
    <n v="87.520205040180812"/>
    <n v="230.84299908458948"/>
    <n v="0"/>
    <n v="10465.804050000001"/>
    <n v="31772.917020000001"/>
    <n v="0"/>
    <n v="10846.291490424568"/>
    <n v="28608.14203355409"/>
  </r>
  <r>
    <s v="Refaturamento - Regular"/>
    <x v="2"/>
    <x v="3"/>
    <x v="6"/>
    <x v="3"/>
    <x v="0"/>
    <x v="0"/>
    <x v="0"/>
    <x v="0"/>
    <n v="0"/>
    <n v="0"/>
    <n v="0.90300000000000002"/>
    <n v="0.90300000000000002"/>
    <n v="0.90300000000000002"/>
    <n v="0.90300000000000002"/>
    <n v="0"/>
    <x v="0"/>
    <n v="0"/>
    <n v="0"/>
    <n v="28"/>
    <n v="82"/>
    <n v="0"/>
    <n v="84.45"/>
    <n v="256.38"/>
    <m/>
    <n v="87.520205040180812"/>
    <n v="230.84299908458948"/>
    <n v="0"/>
    <n v="76.258350000000007"/>
    <n v="231.51114000000001"/>
    <n v="0"/>
    <n v="79.03074515128327"/>
    <n v="208.45122817338429"/>
  </r>
  <r>
    <s v="Sistema de Compensação"/>
    <x v="2"/>
    <x v="3"/>
    <x v="6"/>
    <x v="3"/>
    <x v="0"/>
    <x v="0"/>
    <x v="0"/>
    <x v="0"/>
    <n v="0"/>
    <n v="0"/>
    <n v="4.3630000000000004"/>
    <n v="4.3630000000000004"/>
    <n v="4.3630000000000004"/>
    <n v="4.3630000000000004"/>
    <n v="0"/>
    <x v="0"/>
    <n v="0"/>
    <n v="0"/>
    <n v="28"/>
    <n v="82"/>
    <n v="0"/>
    <n v="84.45"/>
    <n v="256.38"/>
    <m/>
    <n v="87.520205040180812"/>
    <n v="230.84299908458948"/>
    <n v="0"/>
    <n v="368.45535000000007"/>
    <n v="1118.5859400000002"/>
    <n v="0"/>
    <n v="381.85065459030892"/>
    <n v="1007.168005006064"/>
  </r>
  <r>
    <s v="Regular"/>
    <x v="2"/>
    <x v="3"/>
    <x v="6"/>
    <x v="3"/>
    <x v="0"/>
    <x v="0"/>
    <x v="0"/>
    <x v="1"/>
    <n v="0"/>
    <n v="0"/>
    <n v="128.59299999999999"/>
    <n v="128.59299999999999"/>
    <n v="128.59299999999999"/>
    <n v="128.59299999999999"/>
    <n v="0"/>
    <x v="0"/>
    <n v="0"/>
    <n v="0"/>
    <n v="28"/>
    <n v="82"/>
    <n v="0"/>
    <n v="84.45"/>
    <n v="256.38"/>
    <m/>
    <n v="87.520205040180812"/>
    <n v="230.84299908458948"/>
    <n v="0"/>
    <n v="10859.67885"/>
    <n v="32968.673339999994"/>
    <n v="0"/>
    <n v="11254.485726731969"/>
    <n v="29684.793781284614"/>
  </r>
  <r>
    <s v="Sistema de Compensação"/>
    <x v="2"/>
    <x v="3"/>
    <x v="6"/>
    <x v="3"/>
    <x v="0"/>
    <x v="0"/>
    <x v="0"/>
    <x v="1"/>
    <n v="0"/>
    <n v="0"/>
    <n v="3.8370000000000002"/>
    <n v="3.8370000000000002"/>
    <n v="3.8370000000000002"/>
    <n v="3.8370000000000002"/>
    <n v="0"/>
    <x v="0"/>
    <n v="0"/>
    <n v="0"/>
    <n v="28"/>
    <n v="82"/>
    <n v="0"/>
    <n v="84.45"/>
    <n v="256.38"/>
    <m/>
    <n v="87.520205040180812"/>
    <n v="230.84299908458948"/>
    <n v="0"/>
    <n v="324.03465"/>
    <n v="983.73005999999998"/>
    <n v="0"/>
    <n v="335.81502673917379"/>
    <n v="885.7445874875699"/>
  </r>
  <r>
    <s v="Regular"/>
    <x v="2"/>
    <x v="3"/>
    <x v="6"/>
    <x v="3"/>
    <x v="0"/>
    <x v="0"/>
    <x v="0"/>
    <x v="2"/>
    <n v="0"/>
    <n v="0"/>
    <n v="115.98"/>
    <n v="115.98"/>
    <n v="115.98"/>
    <n v="115.98"/>
    <n v="0"/>
    <x v="0"/>
    <n v="0"/>
    <n v="0"/>
    <n v="28"/>
    <n v="82"/>
    <n v="0"/>
    <n v="84.45"/>
    <n v="256.38"/>
    <m/>
    <n v="87.520205040180812"/>
    <n v="230.84299908458948"/>
    <n v="0"/>
    <n v="9794.5110000000004"/>
    <n v="29734.952400000002"/>
    <n v="0"/>
    <n v="10150.593380560171"/>
    <n v="26773.171033830688"/>
  </r>
  <r>
    <s v="Refaturamento - Regular"/>
    <x v="2"/>
    <x v="3"/>
    <x v="6"/>
    <x v="3"/>
    <x v="0"/>
    <x v="0"/>
    <x v="0"/>
    <x v="2"/>
    <n v="0"/>
    <n v="0"/>
    <n v="1.2749999999999999"/>
    <n v="1.2749999999999999"/>
    <n v="1.2749999999999999"/>
    <n v="1.2749999999999999"/>
    <n v="0"/>
    <x v="0"/>
    <n v="0"/>
    <n v="0"/>
    <n v="28"/>
    <n v="82"/>
    <n v="0"/>
    <n v="84.45"/>
    <n v="256.38"/>
    <m/>
    <n v="87.520205040180812"/>
    <n v="230.84299908458948"/>
    <n v="0"/>
    <n v="107.67375"/>
    <n v="326.88449999999995"/>
    <n v="0"/>
    <n v="111.58826142623053"/>
    <n v="294.32482383285156"/>
  </r>
  <r>
    <s v="Sistema de Compensação"/>
    <x v="2"/>
    <x v="3"/>
    <x v="6"/>
    <x v="3"/>
    <x v="0"/>
    <x v="0"/>
    <x v="0"/>
    <x v="2"/>
    <n v="0"/>
    <n v="0"/>
    <n v="2.4889999999999999"/>
    <n v="2.4889999999999999"/>
    <n v="2.4889999999999999"/>
    <n v="2.4889999999999999"/>
    <n v="0"/>
    <x v="0"/>
    <n v="0"/>
    <n v="0"/>
    <n v="28"/>
    <n v="82"/>
    <n v="0"/>
    <n v="84.45"/>
    <n v="256.38"/>
    <m/>
    <n v="87.520205040180812"/>
    <n v="230.84299908458948"/>
    <n v="0"/>
    <n v="210.19604999999999"/>
    <n v="638.12982"/>
    <n v="0"/>
    <n v="217.83779034501003"/>
    <n v="574.56822472154317"/>
  </r>
  <r>
    <s v="Regular"/>
    <x v="2"/>
    <x v="3"/>
    <x v="6"/>
    <x v="3"/>
    <x v="0"/>
    <x v="0"/>
    <x v="0"/>
    <x v="3"/>
    <n v="0"/>
    <n v="0"/>
    <n v="107.26600000000001"/>
    <n v="107.26600000000001"/>
    <n v="107.26600000000001"/>
    <n v="107.26600000000001"/>
    <n v="0"/>
    <x v="0"/>
    <n v="0"/>
    <n v="0"/>
    <n v="28"/>
    <n v="82"/>
    <n v="0"/>
    <n v="84.45"/>
    <n v="256.38"/>
    <m/>
    <n v="87.520205040180812"/>
    <n v="230.84299908458948"/>
    <n v="0"/>
    <n v="9058.6136999999999"/>
    <n v="27500.857080000002"/>
    <n v="0"/>
    <n v="9387.9423138400361"/>
    <n v="24761.605139807576"/>
  </r>
  <r>
    <s v="Refaturamento - Regular"/>
    <x v="2"/>
    <x v="3"/>
    <x v="6"/>
    <x v="3"/>
    <x v="0"/>
    <x v="0"/>
    <x v="0"/>
    <x v="3"/>
    <n v="0"/>
    <n v="0"/>
    <n v="2.2999999999999998"/>
    <n v="2.2999999999999998"/>
    <n v="2.2999999999999998"/>
    <n v="2.2999999999999998"/>
    <n v="0"/>
    <x v="0"/>
    <n v="0"/>
    <n v="0"/>
    <n v="28"/>
    <n v="82"/>
    <n v="0"/>
    <n v="84.45"/>
    <n v="256.38"/>
    <m/>
    <n v="87.520205040180812"/>
    <n v="230.84299908458948"/>
    <n v="0"/>
    <n v="194.23499999999999"/>
    <n v="589.67399999999998"/>
    <n v="0"/>
    <n v="201.29647159241586"/>
    <n v="530.93889789455579"/>
  </r>
  <r>
    <s v="Sistema de Compensação"/>
    <x v="2"/>
    <x v="3"/>
    <x v="6"/>
    <x v="3"/>
    <x v="0"/>
    <x v="0"/>
    <x v="0"/>
    <x v="3"/>
    <n v="0"/>
    <n v="0"/>
    <n v="1.524"/>
    <n v="1.524"/>
    <n v="1.524"/>
    <n v="1.524"/>
    <n v="0"/>
    <x v="0"/>
    <n v="0"/>
    <n v="0"/>
    <n v="28"/>
    <n v="82"/>
    <n v="0"/>
    <n v="84.45"/>
    <n v="256.38"/>
    <m/>
    <n v="87.520205040180812"/>
    <n v="230.84299908458948"/>
    <n v="0"/>
    <n v="128.70180000000002"/>
    <n v="390.72311999999999"/>
    <n v="0"/>
    <n v="133.38079248123557"/>
    <n v="351.80473060491437"/>
  </r>
  <r>
    <s v="Regular"/>
    <x v="2"/>
    <x v="3"/>
    <x v="6"/>
    <x v="3"/>
    <x v="0"/>
    <x v="0"/>
    <x v="0"/>
    <x v="4"/>
    <n v="0"/>
    <n v="0"/>
    <n v="115.77800000000001"/>
    <n v="115.77800000000001"/>
    <n v="115.77800000000001"/>
    <n v="115.77800000000001"/>
    <n v="0"/>
    <x v="0"/>
    <n v="0"/>
    <n v="0"/>
    <n v="28"/>
    <n v="82"/>
    <n v="0"/>
    <n v="84.45"/>
    <n v="256.38"/>
    <m/>
    <n v="87.520205040180812"/>
    <n v="230.84299908458948"/>
    <n v="0"/>
    <n v="9777.4521000000004"/>
    <n v="29683.163640000002"/>
    <n v="0"/>
    <n v="10132.914299142054"/>
    <n v="26726.540748015603"/>
  </r>
  <r>
    <s v="Refaturamento - Regular"/>
    <x v="2"/>
    <x v="3"/>
    <x v="6"/>
    <x v="3"/>
    <x v="0"/>
    <x v="0"/>
    <x v="0"/>
    <x v="4"/>
    <n v="0"/>
    <n v="0"/>
    <n v="2.4089999999999998"/>
    <n v="2.4089999999999998"/>
    <n v="2.4089999999999998"/>
    <n v="2.4089999999999998"/>
    <n v="0"/>
    <x v="0"/>
    <n v="0"/>
    <n v="0"/>
    <n v="28"/>
    <n v="82"/>
    <n v="0"/>
    <n v="84.45"/>
    <n v="256.38"/>
    <m/>
    <n v="87.520205040180812"/>
    <n v="230.84299908458948"/>
    <n v="0"/>
    <n v="203.44004999999999"/>
    <n v="617.61941999999999"/>
    <n v="0"/>
    <n v="210.83617394179555"/>
    <n v="556.10078479477602"/>
  </r>
  <r>
    <s v="Sistema de Compensação"/>
    <x v="2"/>
    <x v="3"/>
    <x v="6"/>
    <x v="3"/>
    <x v="0"/>
    <x v="0"/>
    <x v="0"/>
    <x v="4"/>
    <n v="0"/>
    <n v="0"/>
    <n v="3.4009999999999998"/>
    <n v="3.4009999999999998"/>
    <n v="3.4009999999999998"/>
    <n v="3.4009999999999998"/>
    <n v="0"/>
    <x v="0"/>
    <n v="0"/>
    <n v="0"/>
    <n v="28"/>
    <n v="82"/>
    <n v="0"/>
    <n v="84.45"/>
    <n v="256.38"/>
    <m/>
    <n v="87.520205040180812"/>
    <n v="230.84299908458948"/>
    <n v="0"/>
    <n v="287.21445"/>
    <n v="871.94837999999993"/>
    <n v="0"/>
    <n v="297.65621734165495"/>
    <n v="785.09703988668878"/>
  </r>
  <r>
    <s v="Regular"/>
    <x v="2"/>
    <x v="3"/>
    <x v="6"/>
    <x v="3"/>
    <x v="0"/>
    <x v="0"/>
    <x v="0"/>
    <x v="5"/>
    <n v="0"/>
    <n v="0"/>
    <n v="105.41800000000001"/>
    <n v="105.41800000000001"/>
    <n v="105.41800000000001"/>
    <n v="105.41800000000001"/>
    <n v="0"/>
    <x v="0"/>
    <n v="0"/>
    <n v="0"/>
    <n v="28"/>
    <n v="82"/>
    <n v="0"/>
    <n v="84.45"/>
    <n v="256.38"/>
    <m/>
    <n v="87.520205040180812"/>
    <n v="230.84299908458948"/>
    <n v="0"/>
    <n v="8902.5501000000004"/>
    <n v="27027.06684"/>
    <n v="0"/>
    <n v="9226.2049749257822"/>
    <n v="24335.007277499255"/>
  </r>
  <r>
    <s v="Refaturamento - Regular"/>
    <x v="2"/>
    <x v="3"/>
    <x v="6"/>
    <x v="3"/>
    <x v="0"/>
    <x v="0"/>
    <x v="0"/>
    <x v="5"/>
    <n v="0"/>
    <n v="0"/>
    <n v="2.1560000000000001"/>
    <n v="2.1560000000000001"/>
    <n v="2.1560000000000001"/>
    <n v="2.1560000000000001"/>
    <n v="0"/>
    <x v="0"/>
    <n v="0"/>
    <n v="0"/>
    <n v="28"/>
    <n v="82"/>
    <n v="0"/>
    <n v="84.45"/>
    <n v="256.38"/>
    <m/>
    <n v="87.520205040180812"/>
    <n v="230.84299908458948"/>
    <n v="0"/>
    <n v="182.07420000000002"/>
    <n v="552.75527999999997"/>
    <n v="0"/>
    <n v="188.69356206662985"/>
    <n v="497.69750602637492"/>
  </r>
  <r>
    <s v="Sistema de Compensação"/>
    <x v="2"/>
    <x v="3"/>
    <x v="6"/>
    <x v="3"/>
    <x v="0"/>
    <x v="0"/>
    <x v="0"/>
    <x v="5"/>
    <n v="0"/>
    <n v="0"/>
    <n v="2.8"/>
    <n v="2.8"/>
    <n v="2.8"/>
    <n v="2.8"/>
    <n v="0"/>
    <x v="0"/>
    <n v="0"/>
    <n v="0"/>
    <n v="28"/>
    <n v="82"/>
    <n v="0"/>
    <n v="84.45"/>
    <n v="256.38"/>
    <m/>
    <n v="87.520205040180812"/>
    <n v="230.84299908458948"/>
    <n v="0"/>
    <n v="236.45999999999998"/>
    <n v="717.86399999999992"/>
    <n v="0"/>
    <n v="245.05657411250627"/>
    <n v="646.36039743685046"/>
  </r>
  <r>
    <s v="Regular"/>
    <x v="2"/>
    <x v="3"/>
    <x v="6"/>
    <x v="3"/>
    <x v="0"/>
    <x v="0"/>
    <x v="0"/>
    <x v="6"/>
    <n v="0"/>
    <n v="0"/>
    <n v="108.21299999999999"/>
    <n v="108.21299999999999"/>
    <n v="108.21299999999999"/>
    <n v="108.21299999999999"/>
    <n v="0"/>
    <x v="0"/>
    <n v="0"/>
    <n v="0"/>
    <n v="28"/>
    <n v="82"/>
    <n v="0"/>
    <n v="84.45"/>
    <n v="256.38"/>
    <m/>
    <n v="87.520205040180812"/>
    <n v="230.84299908458948"/>
    <n v="0"/>
    <n v="9138.5878499999999"/>
    <n v="27743.648939999999"/>
    <n v="0"/>
    <n v="9470.8239480130851"/>
    <n v="24980.213459940678"/>
  </r>
  <r>
    <s v="Refaturamento - Regular"/>
    <x v="2"/>
    <x v="3"/>
    <x v="6"/>
    <x v="3"/>
    <x v="0"/>
    <x v="0"/>
    <x v="0"/>
    <x v="6"/>
    <n v="0"/>
    <n v="0"/>
    <n v="1.1319999999999999"/>
    <n v="1.1319999999999999"/>
    <n v="1.1319999999999999"/>
    <n v="1.1319999999999999"/>
    <n v="0"/>
    <x v="0"/>
    <n v="0"/>
    <n v="0"/>
    <n v="28"/>
    <n v="82"/>
    <n v="0"/>
    <n v="84.45"/>
    <n v="256.38"/>
    <m/>
    <n v="87.520205040180812"/>
    <n v="230.84299908458948"/>
    <n v="0"/>
    <n v="95.597399999999993"/>
    <n v="290.22215999999997"/>
    <n v="0"/>
    <n v="99.072872105484677"/>
    <n v="261.31427496375528"/>
  </r>
  <r>
    <s v="Sistema de Compensação"/>
    <x v="2"/>
    <x v="3"/>
    <x v="6"/>
    <x v="3"/>
    <x v="0"/>
    <x v="0"/>
    <x v="0"/>
    <x v="6"/>
    <n v="0"/>
    <n v="0"/>
    <n v="3.3959999999999999"/>
    <n v="3.3959999999999999"/>
    <n v="3.3959999999999999"/>
    <n v="3.3959999999999999"/>
    <n v="0"/>
    <x v="0"/>
    <n v="0"/>
    <n v="0"/>
    <n v="28"/>
    <n v="82"/>
    <n v="0"/>
    <n v="84.45"/>
    <n v="256.38"/>
    <m/>
    <n v="87.520205040180812"/>
    <n v="230.84299908458948"/>
    <n v="0"/>
    <n v="286.79219999999998"/>
    <n v="870.66647999999998"/>
    <n v="0"/>
    <n v="297.21861631645402"/>
    <n v="783.9428248912659"/>
  </r>
  <r>
    <s v="Regular"/>
    <x v="2"/>
    <x v="3"/>
    <x v="6"/>
    <x v="3"/>
    <x v="0"/>
    <x v="0"/>
    <x v="0"/>
    <x v="7"/>
    <n v="0"/>
    <n v="0"/>
    <n v="103.721"/>
    <n v="103.721"/>
    <n v="103.721"/>
    <n v="103.721"/>
    <n v="0"/>
    <x v="0"/>
    <n v="0"/>
    <n v="0"/>
    <n v="28"/>
    <n v="82"/>
    <n v="0"/>
    <n v="84.45"/>
    <n v="256.38"/>
    <m/>
    <n v="87.520205040180812"/>
    <n v="230.84299908458948"/>
    <n v="0"/>
    <n v="8759.2384500000007"/>
    <n v="26591.989980000002"/>
    <n v="0"/>
    <n v="9077.6831869725938"/>
    <n v="23943.266708052706"/>
  </r>
  <r>
    <s v="Refaturamento - Regular"/>
    <x v="2"/>
    <x v="3"/>
    <x v="6"/>
    <x v="3"/>
    <x v="0"/>
    <x v="0"/>
    <x v="0"/>
    <x v="7"/>
    <n v="0"/>
    <n v="0"/>
    <n v="2.5590000000000002"/>
    <n v="2.5590000000000002"/>
    <n v="2.5590000000000002"/>
    <n v="2.5590000000000002"/>
    <n v="0"/>
    <x v="0"/>
    <n v="0"/>
    <n v="0"/>
    <n v="28"/>
    <n v="82"/>
    <n v="0"/>
    <n v="84.45"/>
    <n v="256.38"/>
    <m/>
    <n v="87.520205040180812"/>
    <n v="230.84299908458948"/>
    <n v="0"/>
    <n v="216.10755000000003"/>
    <n v="656.07641999999998"/>
    <n v="0"/>
    <n v="223.96420469782271"/>
    <n v="590.72723465746446"/>
  </r>
  <r>
    <s v="Sistema de Compensação"/>
    <x v="2"/>
    <x v="3"/>
    <x v="6"/>
    <x v="3"/>
    <x v="0"/>
    <x v="0"/>
    <x v="0"/>
    <x v="7"/>
    <n v="0"/>
    <n v="0"/>
    <n v="5.5650000000000004"/>
    <n v="5.5650000000000004"/>
    <n v="5.5650000000000004"/>
    <n v="5.5650000000000004"/>
    <n v="0"/>
    <x v="0"/>
    <n v="0"/>
    <n v="0"/>
    <n v="28"/>
    <n v="82"/>
    <n v="0"/>
    <n v="84.45"/>
    <n v="256.38"/>
    <m/>
    <n v="87.520205040180812"/>
    <n v="230.84299908458948"/>
    <n v="0"/>
    <n v="469.96425000000005"/>
    <n v="1426.7547000000002"/>
    <n v="0"/>
    <n v="487.04994104860623"/>
    <n v="1284.6412899057405"/>
  </r>
  <r>
    <s v="Regular"/>
    <x v="2"/>
    <x v="3"/>
    <x v="6"/>
    <x v="3"/>
    <x v="0"/>
    <x v="0"/>
    <x v="0"/>
    <x v="8"/>
    <n v="0"/>
    <n v="0"/>
    <n v="102.364"/>
    <n v="102.364"/>
    <n v="102.364"/>
    <n v="102.364"/>
    <n v="0"/>
    <x v="0"/>
    <n v="0"/>
    <n v="0"/>
    <n v="28"/>
    <n v="82"/>
    <n v="0"/>
    <n v="84.45"/>
    <n v="256.38"/>
    <m/>
    <n v="87.520205040180812"/>
    <n v="230.84299908458948"/>
    <n v="0"/>
    <n v="8644.6398000000008"/>
    <n v="26244.082320000001"/>
    <n v="0"/>
    <n v="8958.9182687330685"/>
    <n v="23630.012758294917"/>
  </r>
  <r>
    <s v="Refaturamento - Regular"/>
    <x v="2"/>
    <x v="3"/>
    <x v="6"/>
    <x v="3"/>
    <x v="0"/>
    <x v="0"/>
    <x v="0"/>
    <x v="8"/>
    <n v="0"/>
    <n v="0"/>
    <n v="2.7210000000000001"/>
    <n v="2.7210000000000001"/>
    <n v="2.7210000000000001"/>
    <n v="2.7210000000000001"/>
    <n v="0"/>
    <x v="0"/>
    <n v="0"/>
    <n v="0"/>
    <n v="28"/>
    <n v="82"/>
    <n v="0"/>
    <n v="84.45"/>
    <n v="256.38"/>
    <m/>
    <n v="87.520205040180812"/>
    <n v="230.84299908458948"/>
    <n v="0"/>
    <n v="229.78845000000001"/>
    <n v="697.60998000000006"/>
    <n v="0"/>
    <n v="238.14247791433201"/>
    <n v="628.12380050916795"/>
  </r>
  <r>
    <s v="Sistema de Compensação"/>
    <x v="2"/>
    <x v="3"/>
    <x v="6"/>
    <x v="3"/>
    <x v="0"/>
    <x v="0"/>
    <x v="0"/>
    <x v="8"/>
    <n v="0"/>
    <n v="0"/>
    <n v="5.4729999999999999"/>
    <n v="5.4729999999999999"/>
    <n v="5.4729999999999999"/>
    <n v="5.4729999999999999"/>
    <n v="0"/>
    <x v="0"/>
    <n v="0"/>
    <n v="0"/>
    <n v="28"/>
    <n v="82"/>
    <n v="0"/>
    <n v="84.45"/>
    <n v="256.38"/>
    <m/>
    <n v="87.520205040180812"/>
    <n v="230.84299908458948"/>
    <n v="0"/>
    <n v="462.19485000000003"/>
    <n v="1403.1677399999999"/>
    <n v="0"/>
    <n v="478.99808218490955"/>
    <n v="1263.4037339899583"/>
  </r>
  <r>
    <s v="Regular"/>
    <x v="2"/>
    <x v="3"/>
    <x v="6"/>
    <x v="3"/>
    <x v="0"/>
    <x v="0"/>
    <x v="0"/>
    <x v="9"/>
    <n v="0"/>
    <n v="0"/>
    <n v="102.26"/>
    <n v="102.26"/>
    <n v="102.26"/>
    <n v="102.26"/>
    <n v="0"/>
    <x v="0"/>
    <n v="0"/>
    <n v="0"/>
    <n v="28"/>
    <n v="82"/>
    <n v="0"/>
    <n v="84.45"/>
    <n v="256.38"/>
    <m/>
    <n v="87.520205040180812"/>
    <n v="230.84299908458948"/>
    <n v="0"/>
    <n v="8635.857"/>
    <n v="26217.418799999999"/>
    <n v="0"/>
    <n v="8949.8161674088897"/>
    <n v="23606.00508639012"/>
  </r>
  <r>
    <s v="Refaturamento - Regular"/>
    <x v="2"/>
    <x v="3"/>
    <x v="6"/>
    <x v="3"/>
    <x v="0"/>
    <x v="0"/>
    <x v="0"/>
    <x v="9"/>
    <n v="0"/>
    <n v="0"/>
    <n v="2.3559999999999999"/>
    <n v="2.3559999999999999"/>
    <n v="2.3559999999999999"/>
    <n v="2.3559999999999999"/>
    <n v="0"/>
    <x v="0"/>
    <n v="0"/>
    <n v="0"/>
    <n v="28"/>
    <n v="82"/>
    <n v="0"/>
    <n v="84.45"/>
    <n v="256.38"/>
    <m/>
    <n v="87.520205040180812"/>
    <n v="230.84299908458948"/>
    <n v="0"/>
    <n v="198.96420000000001"/>
    <n v="604.03127999999992"/>
    <n v="0"/>
    <n v="206.19760307466598"/>
    <n v="543.86610584329276"/>
  </r>
  <r>
    <s v="Sistema de Compensação"/>
    <x v="2"/>
    <x v="3"/>
    <x v="6"/>
    <x v="3"/>
    <x v="0"/>
    <x v="0"/>
    <x v="0"/>
    <x v="9"/>
    <n v="0"/>
    <n v="0"/>
    <n v="5.84"/>
    <n v="5.84"/>
    <n v="5.84"/>
    <n v="5.84"/>
    <n v="0"/>
    <x v="0"/>
    <n v="0"/>
    <n v="0"/>
    <n v="28"/>
    <n v="82"/>
    <n v="0"/>
    <n v="84.45"/>
    <n v="256.38"/>
    <m/>
    <n v="87.520205040180812"/>
    <n v="230.84299908458948"/>
    <n v="0"/>
    <n v="493.18799999999999"/>
    <n v="1497.2592"/>
    <n v="0"/>
    <n v="511.11799743465593"/>
    <n v="1348.1231146540026"/>
  </r>
  <r>
    <s v="Regular"/>
    <x v="2"/>
    <x v="3"/>
    <x v="6"/>
    <x v="3"/>
    <x v="0"/>
    <x v="0"/>
    <x v="0"/>
    <x v="10"/>
    <n v="0"/>
    <n v="0"/>
    <n v="117.586"/>
    <n v="117.586"/>
    <n v="117.586"/>
    <n v="117.586"/>
    <n v="0"/>
    <x v="0"/>
    <n v="0"/>
    <n v="0"/>
    <n v="28"/>
    <n v="82"/>
    <n v="0"/>
    <n v="84.45"/>
    <n v="256.38"/>
    <m/>
    <n v="87.520205040180812"/>
    <n v="230.84299908458948"/>
    <n v="0"/>
    <n v="9930.1376999999993"/>
    <n v="30146.698679999998"/>
    <n v="0"/>
    <n v="10291.150829854701"/>
    <n v="27143.90489036054"/>
  </r>
  <r>
    <s v="Sistema de Compensação"/>
    <x v="2"/>
    <x v="3"/>
    <x v="6"/>
    <x v="3"/>
    <x v="0"/>
    <x v="0"/>
    <x v="0"/>
    <x v="10"/>
    <n v="0"/>
    <n v="0"/>
    <n v="4.1970000000000001"/>
    <n v="4.1970000000000001"/>
    <n v="4.1970000000000001"/>
    <n v="4.1970000000000001"/>
    <n v="0"/>
    <x v="0"/>
    <n v="0"/>
    <n v="0"/>
    <n v="28"/>
    <n v="82"/>
    <n v="0"/>
    <n v="84.45"/>
    <n v="256.38"/>
    <m/>
    <n v="87.520205040180812"/>
    <n v="230.84299908458948"/>
    <n v="0"/>
    <n v="354.43665000000004"/>
    <n v="1076.0268599999999"/>
    <n v="0"/>
    <n v="367.32230055363885"/>
    <n v="968.8480671580221"/>
  </r>
  <r>
    <s v="PROJETADO"/>
    <x v="2"/>
    <x v="3"/>
    <x v="6"/>
    <x v="3"/>
    <x v="0"/>
    <x v="0"/>
    <x v="0"/>
    <x v="11"/>
    <n v="0"/>
    <n v="0"/>
    <n v="117.586"/>
    <n v="117.586"/>
    <n v="117.586"/>
    <n v="117.586"/>
    <n v="0"/>
    <x v="0"/>
    <n v="0"/>
    <n v="0"/>
    <n v="28"/>
    <n v="82"/>
    <n v="0"/>
    <n v="84.45"/>
    <n v="256.38"/>
    <m/>
    <n v="87.520205040180812"/>
    <n v="230.84299908458948"/>
    <n v="0"/>
    <n v="9930.1376999999993"/>
    <n v="30146.698679999998"/>
    <n v="0"/>
    <n v="10291.150829854701"/>
    <n v="27143.90489036054"/>
  </r>
  <r>
    <s v="PROJETADO"/>
    <x v="2"/>
    <x v="3"/>
    <x v="6"/>
    <x v="3"/>
    <x v="0"/>
    <x v="0"/>
    <x v="0"/>
    <x v="11"/>
    <n v="0"/>
    <n v="0"/>
    <n v="4.1970000000000001"/>
    <n v="4.1970000000000001"/>
    <n v="4.1970000000000001"/>
    <n v="4.1970000000000001"/>
    <n v="0"/>
    <x v="0"/>
    <n v="0"/>
    <n v="0"/>
    <n v="28"/>
    <n v="82"/>
    <n v="0"/>
    <n v="84.45"/>
    <n v="256.38"/>
    <m/>
    <n v="87.520205040180812"/>
    <n v="230.84299908458948"/>
    <n v="0"/>
    <n v="354.43665000000004"/>
    <n v="1076.0268599999999"/>
    <n v="0"/>
    <n v="367.32230055363885"/>
    <n v="968.8480671580221"/>
  </r>
  <r>
    <s v="Regular"/>
    <x v="2"/>
    <x v="3"/>
    <x v="6"/>
    <x v="3"/>
    <x v="0"/>
    <x v="0"/>
    <x v="2"/>
    <x v="0"/>
    <n v="1148"/>
    <n v="1148"/>
    <n v="0"/>
    <n v="0"/>
    <n v="0"/>
    <n v="0"/>
    <n v="24"/>
    <x v="0"/>
    <n v="0"/>
    <n v="26"/>
    <n v="0"/>
    <n v="0"/>
    <n v="8.81"/>
    <n v="0"/>
    <n v="0"/>
    <n v="11.452356648653195"/>
    <m/>
    <m/>
    <n v="10113.880000000001"/>
    <n v="0"/>
    <n v="0"/>
    <n v="13147.305432653868"/>
    <n v="0"/>
    <n v="0"/>
  </r>
  <r>
    <s v="Refaturamento - Regular"/>
    <x v="2"/>
    <x v="3"/>
    <x v="6"/>
    <x v="3"/>
    <x v="0"/>
    <x v="0"/>
    <x v="2"/>
    <x v="0"/>
    <n v="50"/>
    <n v="50"/>
    <n v="0"/>
    <n v="0"/>
    <n v="0"/>
    <n v="0"/>
    <n v="1"/>
    <x v="0"/>
    <n v="0"/>
    <n v="26"/>
    <n v="0"/>
    <n v="0"/>
    <n v="8.81"/>
    <n v="0"/>
    <n v="0"/>
    <n v="11.452356648653195"/>
    <m/>
    <m/>
    <n v="440.5"/>
    <n v="0"/>
    <n v="0"/>
    <n v="572.61783243265972"/>
    <n v="0"/>
    <n v="0"/>
  </r>
  <r>
    <s v="Sistema de Compensação"/>
    <x v="2"/>
    <x v="3"/>
    <x v="6"/>
    <x v="3"/>
    <x v="0"/>
    <x v="0"/>
    <x v="2"/>
    <x v="0"/>
    <n v="110"/>
    <n v="110"/>
    <n v="0"/>
    <n v="0"/>
    <n v="0"/>
    <n v="0"/>
    <n v="3"/>
    <x v="0"/>
    <n v="0"/>
    <n v="26"/>
    <n v="0"/>
    <n v="0"/>
    <n v="8.81"/>
    <n v="0"/>
    <n v="0"/>
    <n v="11.452356648653195"/>
    <m/>
    <m/>
    <n v="969.1"/>
    <n v="0"/>
    <n v="0"/>
    <n v="1259.7592313518514"/>
    <n v="0"/>
    <n v="0"/>
  </r>
  <r>
    <s v="Regular"/>
    <x v="2"/>
    <x v="3"/>
    <x v="6"/>
    <x v="3"/>
    <x v="0"/>
    <x v="0"/>
    <x v="2"/>
    <x v="1"/>
    <n v="1125"/>
    <n v="1125"/>
    <n v="0"/>
    <n v="0"/>
    <n v="0"/>
    <n v="0"/>
    <n v="24"/>
    <x v="0"/>
    <n v="0"/>
    <n v="26"/>
    <n v="0"/>
    <n v="0"/>
    <n v="8.81"/>
    <n v="0"/>
    <n v="0"/>
    <n v="11.452356648653195"/>
    <m/>
    <m/>
    <n v="9911.25"/>
    <n v="0"/>
    <n v="0"/>
    <n v="12883.901229734845"/>
    <n v="0"/>
    <n v="0"/>
  </r>
  <r>
    <s v="Refaturamento - Regular"/>
    <x v="2"/>
    <x v="3"/>
    <x v="6"/>
    <x v="3"/>
    <x v="0"/>
    <x v="0"/>
    <x v="2"/>
    <x v="1"/>
    <n v="50"/>
    <n v="50"/>
    <n v="0"/>
    <n v="0"/>
    <n v="0"/>
    <n v="0"/>
    <n v="1"/>
    <x v="0"/>
    <n v="0"/>
    <n v="26"/>
    <n v="0"/>
    <n v="0"/>
    <n v="8.81"/>
    <n v="0"/>
    <n v="0"/>
    <n v="11.452356648653195"/>
    <m/>
    <m/>
    <n v="440.5"/>
    <n v="0"/>
    <n v="0"/>
    <n v="572.61783243265972"/>
    <n v="0"/>
    <n v="0"/>
  </r>
  <r>
    <s v="Sistema de Compensação"/>
    <x v="2"/>
    <x v="3"/>
    <x v="6"/>
    <x v="3"/>
    <x v="0"/>
    <x v="0"/>
    <x v="2"/>
    <x v="1"/>
    <n v="110"/>
    <n v="110"/>
    <n v="0"/>
    <n v="0"/>
    <n v="0"/>
    <n v="0"/>
    <n v="3"/>
    <x v="0"/>
    <n v="0"/>
    <n v="26"/>
    <n v="0"/>
    <n v="0"/>
    <n v="8.81"/>
    <n v="0"/>
    <n v="0"/>
    <n v="11.452356648653195"/>
    <m/>
    <m/>
    <n v="969.1"/>
    <n v="0"/>
    <n v="0"/>
    <n v="1259.7592313518514"/>
    <n v="0"/>
    <n v="0"/>
  </r>
  <r>
    <s v="Regular"/>
    <x v="2"/>
    <x v="3"/>
    <x v="6"/>
    <x v="3"/>
    <x v="0"/>
    <x v="0"/>
    <x v="2"/>
    <x v="2"/>
    <n v="1127"/>
    <n v="1127"/>
    <n v="0"/>
    <n v="0"/>
    <n v="0"/>
    <n v="0"/>
    <n v="24"/>
    <x v="0"/>
    <n v="0"/>
    <n v="26"/>
    <n v="0"/>
    <n v="0"/>
    <n v="8.81"/>
    <n v="0"/>
    <n v="0"/>
    <n v="11.452356648653195"/>
    <m/>
    <m/>
    <n v="9928.8700000000008"/>
    <n v="0"/>
    <n v="0"/>
    <n v="12906.80594303215"/>
    <n v="0"/>
    <n v="0"/>
  </r>
  <r>
    <s v="Refaturamento - Regular"/>
    <x v="2"/>
    <x v="3"/>
    <x v="6"/>
    <x v="3"/>
    <x v="0"/>
    <x v="0"/>
    <x v="2"/>
    <x v="2"/>
    <n v="50"/>
    <n v="50"/>
    <n v="0"/>
    <n v="0"/>
    <n v="0"/>
    <n v="0"/>
    <n v="1"/>
    <x v="0"/>
    <n v="0"/>
    <n v="26"/>
    <n v="0"/>
    <n v="0"/>
    <n v="8.81"/>
    <n v="0"/>
    <n v="0"/>
    <n v="11.452356648653195"/>
    <m/>
    <m/>
    <n v="440.5"/>
    <n v="0"/>
    <n v="0"/>
    <n v="572.61783243265972"/>
    <n v="0"/>
    <n v="0"/>
  </r>
  <r>
    <s v="Sistema de Compensação"/>
    <x v="2"/>
    <x v="3"/>
    <x v="6"/>
    <x v="3"/>
    <x v="0"/>
    <x v="0"/>
    <x v="2"/>
    <x v="2"/>
    <n v="110"/>
    <n v="110"/>
    <n v="0"/>
    <n v="0"/>
    <n v="0"/>
    <n v="0"/>
    <n v="3"/>
    <x v="0"/>
    <n v="0"/>
    <n v="26"/>
    <n v="0"/>
    <n v="0"/>
    <n v="8.81"/>
    <n v="0"/>
    <n v="0"/>
    <n v="11.452356648653195"/>
    <m/>
    <m/>
    <n v="969.1"/>
    <n v="0"/>
    <n v="0"/>
    <n v="1259.7592313518514"/>
    <n v="0"/>
    <n v="0"/>
  </r>
  <r>
    <s v="Regular"/>
    <x v="2"/>
    <x v="3"/>
    <x v="6"/>
    <x v="3"/>
    <x v="0"/>
    <x v="0"/>
    <x v="2"/>
    <x v="3"/>
    <n v="1108"/>
    <n v="1108"/>
    <n v="0"/>
    <n v="0"/>
    <n v="0"/>
    <n v="0"/>
    <n v="24"/>
    <x v="0"/>
    <n v="0"/>
    <n v="26"/>
    <n v="0"/>
    <n v="0"/>
    <n v="8.81"/>
    <n v="0"/>
    <n v="0"/>
    <n v="11.452356648653195"/>
    <m/>
    <m/>
    <n v="9761.4800000000014"/>
    <n v="0"/>
    <n v="0"/>
    <n v="12689.211166707741"/>
    <n v="0"/>
    <n v="0"/>
  </r>
  <r>
    <s v="Refaturamento - Regular"/>
    <x v="2"/>
    <x v="3"/>
    <x v="6"/>
    <x v="3"/>
    <x v="0"/>
    <x v="0"/>
    <x v="2"/>
    <x v="3"/>
    <n v="50"/>
    <n v="50"/>
    <n v="0"/>
    <n v="0"/>
    <n v="0"/>
    <n v="0"/>
    <n v="1"/>
    <x v="0"/>
    <n v="0"/>
    <n v="26"/>
    <n v="0"/>
    <n v="0"/>
    <n v="8.81"/>
    <n v="0"/>
    <n v="0"/>
    <n v="11.452356648653195"/>
    <m/>
    <m/>
    <n v="440.5"/>
    <n v="0"/>
    <n v="0"/>
    <n v="572.61783243265972"/>
    <n v="0"/>
    <n v="0"/>
  </r>
  <r>
    <s v="Sistema de Compensação"/>
    <x v="2"/>
    <x v="3"/>
    <x v="6"/>
    <x v="3"/>
    <x v="0"/>
    <x v="0"/>
    <x v="2"/>
    <x v="3"/>
    <n v="110"/>
    <n v="110"/>
    <n v="0"/>
    <n v="0"/>
    <n v="0"/>
    <n v="0"/>
    <n v="3"/>
    <x v="0"/>
    <n v="0"/>
    <n v="26"/>
    <n v="0"/>
    <n v="0"/>
    <n v="8.81"/>
    <n v="0"/>
    <n v="0"/>
    <n v="11.452356648653195"/>
    <m/>
    <m/>
    <n v="969.1"/>
    <n v="0"/>
    <n v="0"/>
    <n v="1259.7592313518514"/>
    <n v="0"/>
    <n v="0"/>
  </r>
  <r>
    <s v="Regular"/>
    <x v="2"/>
    <x v="3"/>
    <x v="6"/>
    <x v="3"/>
    <x v="0"/>
    <x v="0"/>
    <x v="2"/>
    <x v="4"/>
    <n v="1143"/>
    <n v="1143"/>
    <n v="0"/>
    <n v="0"/>
    <n v="0"/>
    <n v="0"/>
    <n v="24"/>
    <x v="0"/>
    <n v="0"/>
    <n v="26"/>
    <n v="0"/>
    <n v="0"/>
    <n v="8.81"/>
    <n v="0"/>
    <n v="0"/>
    <n v="11.452356648653195"/>
    <m/>
    <m/>
    <n v="10069.83"/>
    <n v="0"/>
    <n v="0"/>
    <n v="13090.043649410602"/>
    <n v="0"/>
    <n v="0"/>
  </r>
  <r>
    <s v="Refaturamento - Regular"/>
    <x v="2"/>
    <x v="3"/>
    <x v="6"/>
    <x v="3"/>
    <x v="0"/>
    <x v="0"/>
    <x v="2"/>
    <x v="4"/>
    <n v="50"/>
    <n v="50"/>
    <n v="0"/>
    <n v="0"/>
    <n v="0"/>
    <n v="0"/>
    <n v="1"/>
    <x v="0"/>
    <n v="0"/>
    <n v="26"/>
    <n v="0"/>
    <n v="0"/>
    <n v="8.81"/>
    <n v="0"/>
    <n v="0"/>
    <n v="11.452356648653195"/>
    <m/>
    <m/>
    <n v="440.5"/>
    <n v="0"/>
    <n v="0"/>
    <n v="572.61783243265972"/>
    <n v="0"/>
    <n v="0"/>
  </r>
  <r>
    <s v="Sistema de Compensação"/>
    <x v="2"/>
    <x v="3"/>
    <x v="6"/>
    <x v="3"/>
    <x v="0"/>
    <x v="0"/>
    <x v="2"/>
    <x v="4"/>
    <n v="110"/>
    <n v="110"/>
    <n v="0"/>
    <n v="0"/>
    <n v="0"/>
    <n v="0"/>
    <n v="3"/>
    <x v="0"/>
    <n v="0"/>
    <n v="26"/>
    <n v="0"/>
    <n v="0"/>
    <n v="8.81"/>
    <n v="0"/>
    <n v="0"/>
    <n v="11.452356648653195"/>
    <m/>
    <m/>
    <n v="969.1"/>
    <n v="0"/>
    <n v="0"/>
    <n v="1259.7592313518514"/>
    <n v="0"/>
    <n v="0"/>
  </r>
  <r>
    <s v="Regular"/>
    <x v="2"/>
    <x v="3"/>
    <x v="6"/>
    <x v="3"/>
    <x v="0"/>
    <x v="0"/>
    <x v="2"/>
    <x v="5"/>
    <n v="1144"/>
    <n v="1144"/>
    <n v="0"/>
    <n v="0"/>
    <n v="0"/>
    <n v="0"/>
    <n v="24"/>
    <x v="0"/>
    <n v="0"/>
    <n v="26"/>
    <n v="0"/>
    <n v="0"/>
    <n v="8.81"/>
    <n v="0"/>
    <n v="0"/>
    <n v="11.452356648653195"/>
    <m/>
    <m/>
    <n v="10078.640000000001"/>
    <n v="0"/>
    <n v="0"/>
    <n v="13101.496006059255"/>
    <n v="0"/>
    <n v="0"/>
  </r>
  <r>
    <s v="Refaturamento - Regular"/>
    <x v="2"/>
    <x v="3"/>
    <x v="6"/>
    <x v="3"/>
    <x v="0"/>
    <x v="0"/>
    <x v="2"/>
    <x v="5"/>
    <n v="50"/>
    <n v="50"/>
    <n v="0"/>
    <n v="0"/>
    <n v="0"/>
    <n v="0"/>
    <n v="1"/>
    <x v="0"/>
    <n v="0"/>
    <n v="26"/>
    <n v="0"/>
    <n v="0"/>
    <n v="8.81"/>
    <n v="0"/>
    <n v="0"/>
    <n v="11.452356648653195"/>
    <m/>
    <m/>
    <n v="440.5"/>
    <n v="0"/>
    <n v="0"/>
    <n v="572.61783243265972"/>
    <n v="0"/>
    <n v="0"/>
  </r>
  <r>
    <s v="Sistema de Compensação"/>
    <x v="2"/>
    <x v="3"/>
    <x v="6"/>
    <x v="3"/>
    <x v="0"/>
    <x v="0"/>
    <x v="2"/>
    <x v="5"/>
    <n v="110"/>
    <n v="110"/>
    <n v="0"/>
    <n v="0"/>
    <n v="0"/>
    <n v="0"/>
    <n v="3"/>
    <x v="0"/>
    <n v="0"/>
    <n v="26"/>
    <n v="0"/>
    <n v="0"/>
    <n v="8.81"/>
    <n v="0"/>
    <n v="0"/>
    <n v="11.452356648653195"/>
    <m/>
    <m/>
    <n v="969.1"/>
    <n v="0"/>
    <n v="0"/>
    <n v="1259.7592313518514"/>
    <n v="0"/>
    <n v="0"/>
  </r>
  <r>
    <s v="Regular"/>
    <x v="2"/>
    <x v="3"/>
    <x v="6"/>
    <x v="3"/>
    <x v="0"/>
    <x v="0"/>
    <x v="2"/>
    <x v="6"/>
    <n v="1129"/>
    <n v="1129"/>
    <n v="0"/>
    <n v="0"/>
    <n v="0"/>
    <n v="0"/>
    <n v="24"/>
    <x v="0"/>
    <n v="0"/>
    <n v="26"/>
    <n v="0"/>
    <n v="0"/>
    <n v="8.81"/>
    <n v="0"/>
    <n v="0"/>
    <n v="11.452356648653195"/>
    <m/>
    <m/>
    <n v="9946.49"/>
    <n v="0"/>
    <n v="0"/>
    <n v="12929.710656329456"/>
    <n v="0"/>
    <n v="0"/>
  </r>
  <r>
    <s v="Refaturamento - Regular"/>
    <x v="2"/>
    <x v="3"/>
    <x v="6"/>
    <x v="3"/>
    <x v="0"/>
    <x v="0"/>
    <x v="2"/>
    <x v="6"/>
    <n v="50"/>
    <n v="50"/>
    <n v="0"/>
    <n v="0"/>
    <n v="0"/>
    <n v="0"/>
    <n v="1"/>
    <x v="0"/>
    <n v="0"/>
    <n v="26"/>
    <n v="0"/>
    <n v="0"/>
    <n v="8.81"/>
    <n v="0"/>
    <n v="0"/>
    <n v="11.452356648653195"/>
    <m/>
    <m/>
    <n v="440.5"/>
    <n v="0"/>
    <n v="0"/>
    <n v="572.61783243265972"/>
    <n v="0"/>
    <n v="0"/>
  </r>
  <r>
    <s v="Sistema de Compensação"/>
    <x v="2"/>
    <x v="3"/>
    <x v="6"/>
    <x v="3"/>
    <x v="0"/>
    <x v="0"/>
    <x v="2"/>
    <x v="6"/>
    <n v="110"/>
    <n v="110"/>
    <n v="0"/>
    <n v="0"/>
    <n v="0"/>
    <n v="0"/>
    <n v="3"/>
    <x v="0"/>
    <n v="0"/>
    <n v="26"/>
    <n v="0"/>
    <n v="0"/>
    <n v="8.81"/>
    <n v="0"/>
    <n v="0"/>
    <n v="11.452356648653195"/>
    <m/>
    <m/>
    <n v="969.1"/>
    <n v="0"/>
    <n v="0"/>
    <n v="1259.7592313518514"/>
    <n v="0"/>
    <n v="0"/>
  </r>
  <r>
    <s v="Regular"/>
    <x v="2"/>
    <x v="3"/>
    <x v="6"/>
    <x v="3"/>
    <x v="0"/>
    <x v="0"/>
    <x v="2"/>
    <x v="7"/>
    <n v="1138"/>
    <n v="1138"/>
    <n v="0"/>
    <n v="0"/>
    <n v="0"/>
    <n v="0"/>
    <n v="24"/>
    <x v="0"/>
    <n v="0"/>
    <n v="26"/>
    <n v="0"/>
    <n v="0"/>
    <n v="8.81"/>
    <n v="0"/>
    <n v="0"/>
    <n v="11.452356648653195"/>
    <m/>
    <m/>
    <n v="10025.780000000001"/>
    <n v="0"/>
    <n v="0"/>
    <n v="13032.781866167335"/>
    <n v="0"/>
    <n v="0"/>
  </r>
  <r>
    <s v="Refaturamento - Regular"/>
    <x v="2"/>
    <x v="3"/>
    <x v="6"/>
    <x v="3"/>
    <x v="0"/>
    <x v="0"/>
    <x v="2"/>
    <x v="7"/>
    <n v="50"/>
    <n v="50"/>
    <n v="0"/>
    <n v="0"/>
    <n v="0"/>
    <n v="0"/>
    <n v="1"/>
    <x v="0"/>
    <n v="0"/>
    <n v="26"/>
    <n v="0"/>
    <n v="0"/>
    <n v="8.81"/>
    <n v="0"/>
    <n v="0"/>
    <n v="11.452356648653195"/>
    <m/>
    <m/>
    <n v="440.5"/>
    <n v="0"/>
    <n v="0"/>
    <n v="572.61783243265972"/>
    <n v="0"/>
    <n v="0"/>
  </r>
  <r>
    <s v="Sistema de Compensação"/>
    <x v="2"/>
    <x v="3"/>
    <x v="6"/>
    <x v="3"/>
    <x v="0"/>
    <x v="0"/>
    <x v="2"/>
    <x v="7"/>
    <n v="110"/>
    <n v="110"/>
    <n v="0"/>
    <n v="0"/>
    <n v="0"/>
    <n v="0"/>
    <n v="3"/>
    <x v="0"/>
    <n v="0"/>
    <n v="26"/>
    <n v="0"/>
    <n v="0"/>
    <n v="8.81"/>
    <n v="0"/>
    <n v="0"/>
    <n v="11.452356648653195"/>
    <m/>
    <m/>
    <n v="969.1"/>
    <n v="0"/>
    <n v="0"/>
    <n v="1259.7592313518514"/>
    <n v="0"/>
    <n v="0"/>
  </r>
  <r>
    <s v="Regular"/>
    <x v="2"/>
    <x v="3"/>
    <x v="6"/>
    <x v="3"/>
    <x v="0"/>
    <x v="0"/>
    <x v="2"/>
    <x v="8"/>
    <n v="1142"/>
    <n v="1142"/>
    <n v="0"/>
    <n v="0"/>
    <n v="0"/>
    <n v="0"/>
    <n v="24"/>
    <x v="0"/>
    <n v="0"/>
    <n v="26"/>
    <n v="0"/>
    <n v="0"/>
    <n v="8.81"/>
    <n v="0"/>
    <n v="0"/>
    <n v="11.452356648653195"/>
    <m/>
    <m/>
    <n v="10061.02"/>
    <n v="0"/>
    <n v="0"/>
    <n v="13078.591292761948"/>
    <n v="0"/>
    <n v="0"/>
  </r>
  <r>
    <s v="Refaturamento - Regular"/>
    <x v="2"/>
    <x v="3"/>
    <x v="6"/>
    <x v="3"/>
    <x v="0"/>
    <x v="0"/>
    <x v="2"/>
    <x v="8"/>
    <n v="50"/>
    <n v="50"/>
    <n v="0"/>
    <n v="0"/>
    <n v="0"/>
    <n v="0"/>
    <n v="1"/>
    <x v="0"/>
    <n v="0"/>
    <n v="26"/>
    <n v="0"/>
    <n v="0"/>
    <n v="8.81"/>
    <n v="0"/>
    <n v="0"/>
    <n v="11.452356648653195"/>
    <m/>
    <m/>
    <n v="440.5"/>
    <n v="0"/>
    <n v="0"/>
    <n v="572.61783243265972"/>
    <n v="0"/>
    <n v="0"/>
  </r>
  <r>
    <s v="Sistema de Compensação"/>
    <x v="2"/>
    <x v="3"/>
    <x v="6"/>
    <x v="3"/>
    <x v="0"/>
    <x v="0"/>
    <x v="2"/>
    <x v="8"/>
    <n v="110"/>
    <n v="110"/>
    <n v="0"/>
    <n v="0"/>
    <n v="0"/>
    <n v="0"/>
    <n v="3"/>
    <x v="0"/>
    <n v="0"/>
    <n v="26"/>
    <n v="0"/>
    <n v="0"/>
    <n v="8.81"/>
    <n v="0"/>
    <n v="0"/>
    <n v="11.452356648653195"/>
    <m/>
    <m/>
    <n v="969.1"/>
    <n v="0"/>
    <n v="0"/>
    <n v="1259.7592313518514"/>
    <n v="0"/>
    <n v="0"/>
  </r>
  <r>
    <s v="Regular"/>
    <x v="2"/>
    <x v="3"/>
    <x v="6"/>
    <x v="3"/>
    <x v="0"/>
    <x v="0"/>
    <x v="2"/>
    <x v="9"/>
    <n v="1142"/>
    <n v="1142"/>
    <n v="0"/>
    <n v="0"/>
    <n v="0"/>
    <n v="0"/>
    <n v="24"/>
    <x v="0"/>
    <n v="0"/>
    <n v="26"/>
    <n v="0"/>
    <n v="0"/>
    <n v="8.81"/>
    <n v="0"/>
    <n v="0"/>
    <n v="11.452356648653195"/>
    <m/>
    <m/>
    <n v="10061.02"/>
    <n v="0"/>
    <n v="0"/>
    <n v="13078.591292761948"/>
    <n v="0"/>
    <n v="0"/>
  </r>
  <r>
    <s v="Refaturamento - Regular"/>
    <x v="2"/>
    <x v="3"/>
    <x v="6"/>
    <x v="3"/>
    <x v="0"/>
    <x v="0"/>
    <x v="2"/>
    <x v="9"/>
    <n v="50"/>
    <n v="50"/>
    <n v="0"/>
    <n v="0"/>
    <n v="0"/>
    <n v="0"/>
    <n v="1"/>
    <x v="0"/>
    <n v="0"/>
    <n v="26"/>
    <n v="0"/>
    <n v="0"/>
    <n v="8.81"/>
    <n v="0"/>
    <n v="0"/>
    <n v="11.452356648653195"/>
    <m/>
    <m/>
    <n v="440.5"/>
    <n v="0"/>
    <n v="0"/>
    <n v="572.61783243265972"/>
    <n v="0"/>
    <n v="0"/>
  </r>
  <r>
    <s v="Sistema de Compensação"/>
    <x v="2"/>
    <x v="3"/>
    <x v="6"/>
    <x v="3"/>
    <x v="0"/>
    <x v="0"/>
    <x v="2"/>
    <x v="9"/>
    <n v="110"/>
    <n v="110"/>
    <n v="0"/>
    <n v="0"/>
    <n v="0"/>
    <n v="0"/>
    <n v="3"/>
    <x v="0"/>
    <n v="0"/>
    <n v="26"/>
    <n v="0"/>
    <n v="0"/>
    <n v="8.81"/>
    <n v="0"/>
    <n v="0"/>
    <n v="11.452356648653195"/>
    <m/>
    <m/>
    <n v="969.1"/>
    <n v="0"/>
    <n v="0"/>
    <n v="1259.7592313518514"/>
    <n v="0"/>
    <n v="0"/>
  </r>
  <r>
    <s v="Regular"/>
    <x v="2"/>
    <x v="3"/>
    <x v="6"/>
    <x v="3"/>
    <x v="0"/>
    <x v="0"/>
    <x v="2"/>
    <x v="10"/>
    <n v="1189"/>
    <n v="1189"/>
    <n v="0"/>
    <n v="0"/>
    <n v="0"/>
    <n v="0"/>
    <n v="25"/>
    <x v="0"/>
    <n v="0"/>
    <n v="26"/>
    <n v="0"/>
    <n v="0"/>
    <n v="8.81"/>
    <n v="0"/>
    <n v="0"/>
    <n v="11.452356648653195"/>
    <m/>
    <m/>
    <n v="10475.09"/>
    <n v="0"/>
    <n v="0"/>
    <n v="13616.85205524865"/>
    <n v="0"/>
    <n v="0"/>
  </r>
  <r>
    <s v="Sistema de Compensação"/>
    <x v="2"/>
    <x v="3"/>
    <x v="6"/>
    <x v="3"/>
    <x v="0"/>
    <x v="0"/>
    <x v="2"/>
    <x v="10"/>
    <n v="110"/>
    <n v="110"/>
    <n v="0"/>
    <n v="0"/>
    <n v="0"/>
    <n v="0"/>
    <n v="3"/>
    <x v="0"/>
    <n v="0"/>
    <n v="26"/>
    <n v="0"/>
    <n v="0"/>
    <n v="8.81"/>
    <n v="0"/>
    <n v="0"/>
    <n v="11.452356648653195"/>
    <m/>
    <m/>
    <n v="969.1"/>
    <n v="0"/>
    <n v="0"/>
    <n v="1259.7592313518514"/>
    <n v="0"/>
    <n v="0"/>
  </r>
  <r>
    <s v="PROJETADO"/>
    <x v="2"/>
    <x v="3"/>
    <x v="6"/>
    <x v="3"/>
    <x v="0"/>
    <x v="0"/>
    <x v="2"/>
    <x v="11"/>
    <n v="1189"/>
    <n v="1189"/>
    <n v="0"/>
    <n v="0"/>
    <n v="0"/>
    <n v="0"/>
    <n v="25"/>
    <x v="0"/>
    <n v="0"/>
    <n v="26"/>
    <n v="0"/>
    <n v="0"/>
    <n v="8.81"/>
    <n v="0"/>
    <n v="0"/>
    <n v="11.452356648653195"/>
    <m/>
    <m/>
    <n v="10475.09"/>
    <n v="0"/>
    <n v="0"/>
    <n v="13616.85205524865"/>
    <n v="0"/>
    <n v="0"/>
  </r>
  <r>
    <s v="PROJETADO"/>
    <x v="2"/>
    <x v="3"/>
    <x v="6"/>
    <x v="3"/>
    <x v="0"/>
    <x v="0"/>
    <x v="2"/>
    <x v="11"/>
    <n v="110"/>
    <n v="110"/>
    <n v="0"/>
    <n v="0"/>
    <n v="0"/>
    <n v="0"/>
    <n v="3"/>
    <x v="0"/>
    <n v="0"/>
    <n v="26"/>
    <n v="0"/>
    <n v="0"/>
    <n v="8.81"/>
    <n v="0"/>
    <n v="0"/>
    <n v="11.452356648653195"/>
    <m/>
    <m/>
    <n v="969.1"/>
    <n v="0"/>
    <n v="0"/>
    <n v="1259.7592313518514"/>
    <n v="0"/>
    <n v="0"/>
  </r>
  <r>
    <s v="Regular"/>
    <x v="2"/>
    <x v="3"/>
    <x v="6"/>
    <x v="3"/>
    <x v="0"/>
    <x v="0"/>
    <x v="1"/>
    <x v="0"/>
    <n v="0"/>
    <n v="0"/>
    <n v="13.86"/>
    <n v="13.86"/>
    <n v="13.86"/>
    <n v="13.86"/>
    <n v="0"/>
    <x v="0"/>
    <n v="0"/>
    <n v="0"/>
    <n v="27"/>
    <n v="81"/>
    <n v="0"/>
    <n v="641.99"/>
    <n v="430.87"/>
    <m/>
    <n v="747.73459855656426"/>
    <n v="375.70671275609089"/>
    <n v="0"/>
    <n v="8897.9814000000006"/>
    <n v="5971.8581999999997"/>
    <n v="0"/>
    <n v="10363.601535993981"/>
    <n v="5207.2950387994197"/>
  </r>
  <r>
    <s v="Refaturamento - Regular"/>
    <x v="2"/>
    <x v="3"/>
    <x v="6"/>
    <x v="3"/>
    <x v="0"/>
    <x v="0"/>
    <x v="1"/>
    <x v="0"/>
    <n v="0"/>
    <n v="0"/>
    <n v="0.80400000000000005"/>
    <n v="0.80400000000000005"/>
    <n v="0.80400000000000005"/>
    <n v="0.80400000000000005"/>
    <n v="0"/>
    <x v="0"/>
    <n v="0"/>
    <n v="0"/>
    <n v="27"/>
    <n v="81"/>
    <n v="0"/>
    <n v="641.99"/>
    <n v="430.87"/>
    <m/>
    <n v="747.73459855656426"/>
    <n v="375.70671275609089"/>
    <n v="0"/>
    <n v="516.15996000000007"/>
    <n v="346.41948000000002"/>
    <n v="0"/>
    <n v="601.17861723947772"/>
    <n v="302.06819705589709"/>
  </r>
  <r>
    <s v="Regular"/>
    <x v="2"/>
    <x v="3"/>
    <x v="6"/>
    <x v="3"/>
    <x v="0"/>
    <x v="0"/>
    <x v="1"/>
    <x v="1"/>
    <n v="0"/>
    <n v="0"/>
    <n v="14.03"/>
    <n v="14.03"/>
    <n v="14.03"/>
    <n v="14.03"/>
    <n v="0"/>
    <x v="0"/>
    <n v="0"/>
    <n v="0"/>
    <n v="27"/>
    <n v="81"/>
    <n v="0"/>
    <n v="641.99"/>
    <n v="430.87"/>
    <m/>
    <n v="747.73459855656426"/>
    <n v="375.70671275609089"/>
    <n v="0"/>
    <n v="9007.1196999999993"/>
    <n v="6045.1061"/>
    <n v="0"/>
    <n v="10490.716417748596"/>
    <n v="5271.1651799679548"/>
  </r>
  <r>
    <s v="Refaturamento - Regular"/>
    <x v="2"/>
    <x v="3"/>
    <x v="6"/>
    <x v="3"/>
    <x v="0"/>
    <x v="0"/>
    <x v="1"/>
    <x v="1"/>
    <n v="0"/>
    <n v="0"/>
    <n v="0.63200000000000001"/>
    <n v="0.63200000000000001"/>
    <n v="0.63200000000000001"/>
    <n v="0.63200000000000001"/>
    <n v="0"/>
    <x v="0"/>
    <n v="0"/>
    <n v="0"/>
    <n v="27"/>
    <n v="81"/>
    <n v="0"/>
    <n v="641.99"/>
    <n v="430.87"/>
    <m/>
    <n v="747.73459855656426"/>
    <n v="375.70671275609089"/>
    <n v="0"/>
    <n v="405.73768000000001"/>
    <n v="272.30984000000001"/>
    <n v="0"/>
    <n v="472.5682662877486"/>
    <n v="237.44664246184945"/>
  </r>
  <r>
    <s v="Sistema de Compensação"/>
    <x v="2"/>
    <x v="3"/>
    <x v="6"/>
    <x v="3"/>
    <x v="0"/>
    <x v="0"/>
    <x v="1"/>
    <x v="1"/>
    <n v="0"/>
    <n v="0"/>
    <n v="0.7"/>
    <n v="0.7"/>
    <n v="0.7"/>
    <n v="0.7"/>
    <n v="0"/>
    <x v="0"/>
    <n v="0"/>
    <n v="0"/>
    <n v="27"/>
    <n v="81"/>
    <n v="0"/>
    <n v="641.99"/>
    <n v="430.87"/>
    <m/>
    <n v="747.73459855656426"/>
    <n v="375.70671275609089"/>
    <n v="0"/>
    <n v="449.39299999999997"/>
    <n v="301.60899999999998"/>
    <n v="0"/>
    <n v="523.41421898959493"/>
    <n v="262.99469892926362"/>
  </r>
  <r>
    <s v="Regular"/>
    <x v="2"/>
    <x v="3"/>
    <x v="6"/>
    <x v="3"/>
    <x v="0"/>
    <x v="0"/>
    <x v="1"/>
    <x v="2"/>
    <n v="0"/>
    <n v="0"/>
    <n v="12.744"/>
    <n v="12.744"/>
    <n v="12.744"/>
    <n v="12.744"/>
    <n v="0"/>
    <x v="0"/>
    <n v="0"/>
    <n v="0"/>
    <n v="27"/>
    <n v="81"/>
    <n v="0"/>
    <n v="641.99"/>
    <n v="430.87"/>
    <m/>
    <n v="747.73459855656426"/>
    <n v="375.70671275609089"/>
    <n v="0"/>
    <n v="8181.5205599999999"/>
    <n v="5491.0072799999998"/>
    <n v="0"/>
    <n v="9529.1297240048552"/>
    <n v="4788.0063473636219"/>
  </r>
  <r>
    <s v="Refaturamento - Regular"/>
    <x v="2"/>
    <x v="3"/>
    <x v="6"/>
    <x v="3"/>
    <x v="0"/>
    <x v="0"/>
    <x v="1"/>
    <x v="2"/>
    <n v="0"/>
    <n v="0"/>
    <n v="0.71799999999999997"/>
    <n v="0.71799999999999997"/>
    <n v="0.71799999999999997"/>
    <n v="0.71799999999999997"/>
    <n v="0"/>
    <x v="0"/>
    <n v="0"/>
    <n v="0"/>
    <n v="27"/>
    <n v="81"/>
    <n v="0"/>
    <n v="641.99"/>
    <n v="430.87"/>
    <m/>
    <n v="747.73459855656426"/>
    <n v="375.70671275609089"/>
    <n v="0"/>
    <n v="460.94882000000001"/>
    <n v="309.36466000000001"/>
    <n v="0"/>
    <n v="536.87344176361307"/>
    <n v="269.75741975887325"/>
  </r>
  <r>
    <s v="Sistema de Compensação"/>
    <x v="2"/>
    <x v="3"/>
    <x v="6"/>
    <x v="3"/>
    <x v="0"/>
    <x v="0"/>
    <x v="1"/>
    <x v="2"/>
    <n v="0"/>
    <n v="0"/>
    <n v="0.61599999999999999"/>
    <n v="0.61599999999999999"/>
    <n v="0.61599999999999999"/>
    <n v="0.61599999999999999"/>
    <n v="0"/>
    <x v="0"/>
    <n v="0"/>
    <n v="0"/>
    <n v="27"/>
    <n v="81"/>
    <n v="0"/>
    <n v="641.99"/>
    <n v="430.87"/>
    <m/>
    <n v="747.73459855656426"/>
    <n v="375.70671275609089"/>
    <n v="0"/>
    <n v="395.46584000000001"/>
    <n v="265.41591999999997"/>
    <n v="0"/>
    <n v="460.60451271084361"/>
    <n v="231.43533505775198"/>
  </r>
  <r>
    <s v="Regular"/>
    <x v="2"/>
    <x v="3"/>
    <x v="6"/>
    <x v="3"/>
    <x v="0"/>
    <x v="0"/>
    <x v="1"/>
    <x v="3"/>
    <n v="0"/>
    <n v="0"/>
    <n v="11.664999999999999"/>
    <n v="11.664999999999999"/>
    <n v="11.664999999999999"/>
    <n v="11.664999999999999"/>
    <n v="0"/>
    <x v="0"/>
    <n v="0"/>
    <n v="0"/>
    <n v="27"/>
    <n v="81"/>
    <n v="0"/>
    <n v="641.99"/>
    <n v="430.87"/>
    <m/>
    <n v="747.73459855656426"/>
    <n v="375.70671275609089"/>
    <n v="0"/>
    <n v="7488.8133499999994"/>
    <n v="5026.0985499999997"/>
    <n v="0"/>
    <n v="8722.3240921623219"/>
    <n v="4382.6188042998001"/>
  </r>
  <r>
    <s v="Refaturamento - Regular"/>
    <x v="2"/>
    <x v="3"/>
    <x v="6"/>
    <x v="3"/>
    <x v="0"/>
    <x v="0"/>
    <x v="1"/>
    <x v="3"/>
    <n v="0"/>
    <n v="0"/>
    <n v="0.65900000000000003"/>
    <n v="0.65900000000000003"/>
    <n v="0.65900000000000003"/>
    <n v="0.65900000000000003"/>
    <n v="0"/>
    <x v="0"/>
    <n v="0"/>
    <n v="0"/>
    <n v="27"/>
    <n v="81"/>
    <n v="0"/>
    <n v="641.99"/>
    <n v="430.87"/>
    <m/>
    <n v="747.73459855656426"/>
    <n v="375.70671275609089"/>
    <n v="0"/>
    <n v="423.07141000000001"/>
    <n v="283.94333"/>
    <n v="0"/>
    <n v="492.75710044877587"/>
    <n v="247.5907237062639"/>
  </r>
  <r>
    <s v="Sistema de Compensação"/>
    <x v="2"/>
    <x v="3"/>
    <x v="6"/>
    <x v="3"/>
    <x v="0"/>
    <x v="0"/>
    <x v="1"/>
    <x v="3"/>
    <n v="0"/>
    <n v="0"/>
    <n v="0.254"/>
    <n v="0.254"/>
    <n v="0.254"/>
    <n v="0.254"/>
    <n v="0"/>
    <x v="0"/>
    <n v="0"/>
    <n v="0"/>
    <n v="27"/>
    <n v="81"/>
    <n v="0"/>
    <n v="641.99"/>
    <n v="430.87"/>
    <m/>
    <n v="747.73459855656426"/>
    <n v="375.70671275609089"/>
    <n v="0"/>
    <n v="163.06546"/>
    <n v="109.44098"/>
    <n v="0"/>
    <n v="189.92458803336731"/>
    <n v="95.42950504004709"/>
  </r>
  <r>
    <s v="Regular"/>
    <x v="2"/>
    <x v="3"/>
    <x v="6"/>
    <x v="3"/>
    <x v="0"/>
    <x v="0"/>
    <x v="1"/>
    <x v="4"/>
    <n v="0"/>
    <n v="0"/>
    <n v="11.734999999999999"/>
    <n v="11.734999999999999"/>
    <n v="11.734999999999999"/>
    <n v="11.734999999999999"/>
    <n v="0"/>
    <x v="0"/>
    <n v="0"/>
    <n v="0"/>
    <n v="27"/>
    <n v="81"/>
    <n v="0"/>
    <n v="641.99"/>
    <n v="430.87"/>
    <m/>
    <n v="747.73459855656426"/>
    <n v="375.70671275609089"/>
    <n v="0"/>
    <n v="7533.7526499999994"/>
    <n v="5056.2594499999996"/>
    <n v="0"/>
    <n v="8774.665514061282"/>
    <n v="4408.9182741927261"/>
  </r>
  <r>
    <s v="Refaturamento - Regular"/>
    <x v="2"/>
    <x v="3"/>
    <x v="6"/>
    <x v="3"/>
    <x v="0"/>
    <x v="0"/>
    <x v="1"/>
    <x v="4"/>
    <n v="0"/>
    <n v="0"/>
    <n v="0.64"/>
    <n v="0.64"/>
    <n v="0.64"/>
    <n v="0.64"/>
    <n v="0"/>
    <x v="0"/>
    <n v="0"/>
    <n v="0"/>
    <n v="27"/>
    <n v="81"/>
    <n v="0"/>
    <n v="641.99"/>
    <n v="430.87"/>
    <m/>
    <n v="747.73459855656426"/>
    <n v="375.70671275609089"/>
    <n v="0"/>
    <n v="410.87360000000001"/>
    <n v="275.7568"/>
    <n v="0"/>
    <n v="478.55014307620115"/>
    <n v="240.45229616389818"/>
  </r>
  <r>
    <s v="Sistema de Compensação"/>
    <x v="2"/>
    <x v="3"/>
    <x v="6"/>
    <x v="3"/>
    <x v="0"/>
    <x v="0"/>
    <x v="1"/>
    <x v="4"/>
    <n v="0"/>
    <n v="0"/>
    <n v="0.435"/>
    <n v="0.435"/>
    <n v="0.435"/>
    <n v="0.435"/>
    <n v="0"/>
    <x v="0"/>
    <n v="0"/>
    <n v="0"/>
    <n v="27"/>
    <n v="81"/>
    <n v="0"/>
    <n v="641.99"/>
    <n v="430.87"/>
    <m/>
    <n v="747.73459855656426"/>
    <n v="375.70671275609089"/>
    <n v="0"/>
    <n v="279.26564999999999"/>
    <n v="187.42845"/>
    <n v="0"/>
    <n v="325.26455037210548"/>
    <n v="163.43242004889953"/>
  </r>
  <r>
    <s v="Regular"/>
    <x v="2"/>
    <x v="3"/>
    <x v="6"/>
    <x v="3"/>
    <x v="0"/>
    <x v="0"/>
    <x v="1"/>
    <x v="5"/>
    <n v="0"/>
    <n v="0"/>
    <n v="10.946"/>
    <n v="10.946"/>
    <n v="10.946"/>
    <n v="10.946"/>
    <n v="0"/>
    <x v="0"/>
    <n v="0"/>
    <n v="0"/>
    <n v="27"/>
    <n v="81"/>
    <n v="0"/>
    <n v="641.99"/>
    <n v="430.87"/>
    <m/>
    <n v="747.73459855656426"/>
    <n v="375.70671275609089"/>
    <n v="0"/>
    <n v="7027.2225399999998"/>
    <n v="4716.3030200000003"/>
    <n v="0"/>
    <n v="8184.7029158001524"/>
    <n v="4112.485677828171"/>
  </r>
  <r>
    <s v="Refaturamento - Regular"/>
    <x v="2"/>
    <x v="3"/>
    <x v="6"/>
    <x v="3"/>
    <x v="0"/>
    <x v="0"/>
    <x v="1"/>
    <x v="5"/>
    <n v="0"/>
    <n v="0"/>
    <n v="0.57299999999999995"/>
    <n v="0.57299999999999995"/>
    <n v="0.57299999999999995"/>
    <n v="0.57299999999999995"/>
    <n v="0"/>
    <x v="0"/>
    <n v="0"/>
    <n v="0"/>
    <n v="27"/>
    <n v="81"/>
    <n v="0"/>
    <n v="641.99"/>
    <n v="430.87"/>
    <m/>
    <n v="747.73459855656426"/>
    <n v="375.70671275609089"/>
    <n v="0"/>
    <n v="367.86026999999996"/>
    <n v="246.88851"/>
    <n v="0"/>
    <n v="428.45192497291129"/>
    <n v="215.27994640924007"/>
  </r>
  <r>
    <s v="Sistema de Compensação"/>
    <x v="2"/>
    <x v="3"/>
    <x v="6"/>
    <x v="3"/>
    <x v="0"/>
    <x v="0"/>
    <x v="1"/>
    <x v="5"/>
    <n v="0"/>
    <n v="0"/>
    <n v="0.372"/>
    <n v="0.372"/>
    <n v="0.372"/>
    <n v="0.372"/>
    <n v="0"/>
    <x v="0"/>
    <n v="0"/>
    <n v="0"/>
    <n v="27"/>
    <n v="81"/>
    <n v="0"/>
    <n v="641.99"/>
    <n v="430.87"/>
    <m/>
    <n v="747.73459855656426"/>
    <n v="375.70671275609089"/>
    <n v="0"/>
    <n v="238.82028"/>
    <n v="160.28363999999999"/>
    <n v="0"/>
    <n v="278.15727066304191"/>
    <n v="139.76289714526581"/>
  </r>
  <r>
    <s v="Regular"/>
    <x v="2"/>
    <x v="3"/>
    <x v="6"/>
    <x v="3"/>
    <x v="0"/>
    <x v="0"/>
    <x v="1"/>
    <x v="6"/>
    <n v="0"/>
    <n v="0"/>
    <n v="12.667"/>
    <n v="12.667"/>
    <n v="12.667"/>
    <n v="12.667"/>
    <n v="0"/>
    <x v="0"/>
    <n v="0"/>
    <n v="0"/>
    <n v="27"/>
    <n v="81"/>
    <n v="0"/>
    <n v="641.99"/>
    <n v="430.87"/>
    <m/>
    <n v="747.73459855656426"/>
    <n v="375.70671275609089"/>
    <n v="0"/>
    <n v="8132.0873300000003"/>
    <n v="5457.8302899999999"/>
    <n v="0"/>
    <n v="9471.5541599159988"/>
    <n v="4759.076930481403"/>
  </r>
  <r>
    <s v="Refaturamento - Regular"/>
    <x v="2"/>
    <x v="3"/>
    <x v="6"/>
    <x v="3"/>
    <x v="0"/>
    <x v="0"/>
    <x v="1"/>
    <x v="6"/>
    <n v="0"/>
    <n v="0"/>
    <n v="0.58799999999999997"/>
    <n v="0.58799999999999997"/>
    <n v="0.58799999999999997"/>
    <n v="0.58799999999999997"/>
    <n v="0"/>
    <x v="0"/>
    <n v="0"/>
    <n v="0"/>
    <n v="27"/>
    <n v="81"/>
    <n v="0"/>
    <n v="641.99"/>
    <n v="430.87"/>
    <m/>
    <n v="747.73459855656426"/>
    <n v="375.70671275609089"/>
    <n v="0"/>
    <n v="377.49011999999999"/>
    <n v="253.35155999999998"/>
    <n v="0"/>
    <n v="439.66794395125976"/>
    <n v="220.91554710058142"/>
  </r>
  <r>
    <s v="Sistema de Compensação"/>
    <x v="2"/>
    <x v="3"/>
    <x v="6"/>
    <x v="3"/>
    <x v="0"/>
    <x v="0"/>
    <x v="1"/>
    <x v="6"/>
    <n v="0"/>
    <n v="0"/>
    <n v="1.2889999999999999"/>
    <n v="1.2889999999999999"/>
    <n v="1.2889999999999999"/>
    <n v="1.2889999999999999"/>
    <n v="0"/>
    <x v="0"/>
    <n v="0"/>
    <n v="0"/>
    <n v="27"/>
    <n v="81"/>
    <n v="0"/>
    <n v="641.99"/>
    <n v="430.87"/>
    <m/>
    <n v="747.73459855656426"/>
    <n v="375.70671275609089"/>
    <n v="0"/>
    <n v="827.52510999999993"/>
    <n v="555.39143000000001"/>
    <n v="0"/>
    <n v="963.82989753941126"/>
    <n v="484.28595274260113"/>
  </r>
  <r>
    <s v="Regular"/>
    <x v="2"/>
    <x v="3"/>
    <x v="6"/>
    <x v="3"/>
    <x v="0"/>
    <x v="0"/>
    <x v="1"/>
    <x v="7"/>
    <n v="0"/>
    <n v="0"/>
    <n v="10.09"/>
    <n v="10.09"/>
    <n v="10.09"/>
    <n v="10.09"/>
    <n v="0"/>
    <x v="0"/>
    <n v="0"/>
    <n v="0"/>
    <n v="27"/>
    <n v="81"/>
    <n v="0"/>
    <n v="641.99"/>
    <n v="430.87"/>
    <m/>
    <n v="747.73459855656426"/>
    <n v="375.70671275609089"/>
    <n v="0"/>
    <n v="6477.6791000000003"/>
    <n v="4347.4782999999998"/>
    <n v="0"/>
    <n v="7544.6420994357331"/>
    <n v="3790.8807317089572"/>
  </r>
  <r>
    <s v="Refaturamento - Regular"/>
    <x v="2"/>
    <x v="3"/>
    <x v="6"/>
    <x v="3"/>
    <x v="0"/>
    <x v="0"/>
    <x v="1"/>
    <x v="7"/>
    <n v="0"/>
    <n v="0"/>
    <n v="0.71499999999999997"/>
    <n v="0.71499999999999997"/>
    <n v="0.71499999999999997"/>
    <n v="0.71499999999999997"/>
    <n v="0"/>
    <x v="0"/>
    <n v="0"/>
    <n v="0"/>
    <n v="27"/>
    <n v="81"/>
    <n v="0"/>
    <n v="641.99"/>
    <n v="430.87"/>
    <m/>
    <n v="747.73459855656426"/>
    <n v="375.70671275609089"/>
    <n v="0"/>
    <n v="459.02285000000001"/>
    <n v="308.07204999999999"/>
    <n v="0"/>
    <n v="534.63023796794346"/>
    <n v="268.630299620605"/>
  </r>
  <r>
    <s v="Sistema de Compensação"/>
    <x v="2"/>
    <x v="3"/>
    <x v="6"/>
    <x v="3"/>
    <x v="0"/>
    <x v="0"/>
    <x v="1"/>
    <x v="7"/>
    <n v="0"/>
    <n v="0"/>
    <n v="0.73699999999999999"/>
    <n v="0.73699999999999999"/>
    <n v="0.73699999999999999"/>
    <n v="0.73699999999999999"/>
    <n v="0"/>
    <x v="0"/>
    <n v="0"/>
    <n v="0"/>
    <n v="27"/>
    <n v="81"/>
    <n v="0"/>
    <n v="641.99"/>
    <n v="430.87"/>
    <m/>
    <n v="747.73459855656426"/>
    <n v="375.70671275609089"/>
    <n v="0"/>
    <n v="473.14663000000002"/>
    <n v="317.55119000000002"/>
    <n v="0"/>
    <n v="551.08039913618791"/>
    <n v="276.89584730123897"/>
  </r>
  <r>
    <s v="Regular"/>
    <x v="2"/>
    <x v="3"/>
    <x v="6"/>
    <x v="3"/>
    <x v="0"/>
    <x v="0"/>
    <x v="1"/>
    <x v="8"/>
    <n v="0"/>
    <n v="0"/>
    <n v="12.659000000000001"/>
    <n v="12.659000000000001"/>
    <n v="12.659000000000001"/>
    <n v="12.659000000000001"/>
    <n v="0"/>
    <x v="0"/>
    <n v="0"/>
    <n v="0"/>
    <n v="27"/>
    <n v="81"/>
    <n v="0"/>
    <n v="641.99"/>
    <n v="430.87"/>
    <m/>
    <n v="747.73459855656426"/>
    <n v="375.70671275609089"/>
    <n v="0"/>
    <n v="8126.9514100000006"/>
    <n v="5454.3833300000006"/>
    <n v="0"/>
    <n v="9465.5722831275471"/>
    <n v="4756.0712767793548"/>
  </r>
  <r>
    <s v="Refaturamento - Regular"/>
    <x v="2"/>
    <x v="3"/>
    <x v="6"/>
    <x v="3"/>
    <x v="0"/>
    <x v="0"/>
    <x v="1"/>
    <x v="8"/>
    <n v="0"/>
    <n v="0"/>
    <n v="0.51500000000000001"/>
    <n v="0.51500000000000001"/>
    <n v="0.51500000000000001"/>
    <n v="0.51500000000000001"/>
    <n v="0"/>
    <x v="0"/>
    <n v="0"/>
    <n v="0"/>
    <n v="27"/>
    <n v="81"/>
    <n v="0"/>
    <n v="641.99"/>
    <n v="430.87"/>
    <m/>
    <n v="747.73459855656426"/>
    <n v="375.70671275609089"/>
    <n v="0"/>
    <n v="330.62485000000004"/>
    <n v="221.89805000000001"/>
    <n v="0"/>
    <n v="385.0833182566306"/>
    <n v="193.48895706938683"/>
  </r>
  <r>
    <s v="Sistema de Compensação"/>
    <x v="2"/>
    <x v="3"/>
    <x v="6"/>
    <x v="3"/>
    <x v="0"/>
    <x v="0"/>
    <x v="1"/>
    <x v="8"/>
    <n v="0"/>
    <n v="0"/>
    <n v="1.0209999999999999"/>
    <n v="1.0209999999999999"/>
    <n v="1.0209999999999999"/>
    <n v="1.0209999999999999"/>
    <n v="0"/>
    <x v="0"/>
    <n v="0"/>
    <n v="0"/>
    <n v="27"/>
    <n v="81"/>
    <n v="0"/>
    <n v="641.99"/>
    <n v="430.87"/>
    <m/>
    <n v="747.73459855656426"/>
    <n v="375.70671275609089"/>
    <n v="0"/>
    <n v="655.47178999999994"/>
    <n v="439.91826999999995"/>
    <n v="0"/>
    <n v="763.43702512625202"/>
    <n v="383.59655372396878"/>
  </r>
  <r>
    <s v="Regular"/>
    <x v="2"/>
    <x v="3"/>
    <x v="6"/>
    <x v="3"/>
    <x v="0"/>
    <x v="0"/>
    <x v="1"/>
    <x v="9"/>
    <n v="0"/>
    <n v="0"/>
    <n v="11.676"/>
    <n v="11.676"/>
    <n v="11.676"/>
    <n v="11.676"/>
    <n v="0"/>
    <x v="0"/>
    <n v="0"/>
    <n v="0"/>
    <n v="27"/>
    <n v="81"/>
    <n v="0"/>
    <n v="641.99"/>
    <n v="430.87"/>
    <m/>
    <n v="747.73459855656426"/>
    <n v="375.70671275609089"/>
    <n v="0"/>
    <n v="7495.8752400000003"/>
    <n v="5030.8381200000003"/>
    <n v="0"/>
    <n v="8730.549172746445"/>
    <n v="4386.7515781401171"/>
  </r>
  <r>
    <s v="Refaturamento - Regular"/>
    <x v="2"/>
    <x v="3"/>
    <x v="6"/>
    <x v="3"/>
    <x v="0"/>
    <x v="0"/>
    <x v="1"/>
    <x v="9"/>
    <n v="0"/>
    <n v="0"/>
    <n v="0.61499999999999999"/>
    <n v="0.61499999999999999"/>
    <n v="0.61499999999999999"/>
    <n v="0.61499999999999999"/>
    <n v="0"/>
    <x v="0"/>
    <n v="0"/>
    <n v="0"/>
    <n v="27"/>
    <n v="81"/>
    <n v="0"/>
    <n v="641.99"/>
    <n v="430.87"/>
    <m/>
    <n v="747.73459855656426"/>
    <n v="375.70671275609089"/>
    <n v="0"/>
    <n v="394.82384999999999"/>
    <n v="264.98505"/>
    <n v="0"/>
    <n v="459.85677811228703"/>
    <n v="231.0596283449959"/>
  </r>
  <r>
    <s v="Sistema de Compensação"/>
    <x v="2"/>
    <x v="3"/>
    <x v="6"/>
    <x v="3"/>
    <x v="0"/>
    <x v="0"/>
    <x v="1"/>
    <x v="9"/>
    <n v="0"/>
    <n v="0"/>
    <n v="1.1359999999999999"/>
    <n v="1.1359999999999999"/>
    <n v="1.1359999999999999"/>
    <n v="1.1359999999999999"/>
    <n v="0"/>
    <x v="0"/>
    <n v="0"/>
    <n v="0"/>
    <n v="27"/>
    <n v="81"/>
    <n v="0"/>
    <n v="641.99"/>
    <n v="430.87"/>
    <m/>
    <n v="747.73459855656426"/>
    <n v="375.70671275609089"/>
    <n v="0"/>
    <n v="729.30063999999993"/>
    <n v="489.46831999999995"/>
    <n v="0"/>
    <n v="849.42650396025692"/>
    <n v="426.80282569091924"/>
  </r>
  <r>
    <s v="Regular"/>
    <x v="2"/>
    <x v="3"/>
    <x v="6"/>
    <x v="3"/>
    <x v="0"/>
    <x v="0"/>
    <x v="1"/>
    <x v="10"/>
    <n v="0"/>
    <n v="0"/>
    <n v="12.445"/>
    <n v="12.445"/>
    <n v="12.445"/>
    <n v="12.445"/>
    <n v="0"/>
    <x v="0"/>
    <n v="0"/>
    <n v="0"/>
    <n v="27"/>
    <n v="81"/>
    <n v="0"/>
    <n v="641.99"/>
    <n v="430.87"/>
    <m/>
    <n v="747.73459855656426"/>
    <n v="375.70671275609089"/>
    <n v="0"/>
    <n v="7989.5655500000003"/>
    <n v="5362.1771500000004"/>
    <n v="0"/>
    <n v="9305.5570790364418"/>
    <n v="4675.6700402495517"/>
  </r>
  <r>
    <s v="Sistema de Compensação"/>
    <x v="2"/>
    <x v="3"/>
    <x v="6"/>
    <x v="3"/>
    <x v="0"/>
    <x v="0"/>
    <x v="1"/>
    <x v="10"/>
    <n v="0"/>
    <n v="0"/>
    <n v="0.94499999999999995"/>
    <n v="0.94499999999999995"/>
    <n v="0.94499999999999995"/>
    <n v="0.94499999999999995"/>
    <n v="0"/>
    <x v="0"/>
    <n v="0"/>
    <n v="0"/>
    <n v="27"/>
    <n v="81"/>
    <n v="0"/>
    <n v="641.99"/>
    <n v="430.87"/>
    <m/>
    <n v="747.73459855656426"/>
    <n v="375.70671275609089"/>
    <n v="0"/>
    <n v="606.68054999999993"/>
    <n v="407.17214999999999"/>
    <n v="0"/>
    <n v="706.60919563595314"/>
    <n v="355.04284355450585"/>
  </r>
  <r>
    <s v="PROJETADO"/>
    <x v="2"/>
    <x v="3"/>
    <x v="6"/>
    <x v="3"/>
    <x v="0"/>
    <x v="0"/>
    <x v="1"/>
    <x v="11"/>
    <n v="0"/>
    <n v="0"/>
    <n v="12.445"/>
    <n v="12.445"/>
    <n v="12.445"/>
    <n v="12.445"/>
    <n v="0"/>
    <x v="0"/>
    <n v="0"/>
    <n v="0"/>
    <n v="27"/>
    <n v="81"/>
    <n v="0"/>
    <n v="641.99"/>
    <n v="430.87"/>
    <m/>
    <n v="747.73459855656426"/>
    <n v="375.70671275609089"/>
    <n v="0"/>
    <n v="7989.5655500000003"/>
    <n v="5362.1771500000004"/>
    <n v="0"/>
    <n v="9305.5570790364418"/>
    <n v="4675.6700402495517"/>
  </r>
  <r>
    <s v="PROJETADO"/>
    <x v="2"/>
    <x v="3"/>
    <x v="6"/>
    <x v="3"/>
    <x v="0"/>
    <x v="0"/>
    <x v="1"/>
    <x v="11"/>
    <n v="0"/>
    <n v="0"/>
    <n v="0.94499999999999995"/>
    <n v="0.94499999999999995"/>
    <n v="0.94499999999999995"/>
    <n v="0.94499999999999995"/>
    <n v="0"/>
    <x v="0"/>
    <n v="0"/>
    <n v="0"/>
    <n v="27"/>
    <n v="81"/>
    <n v="0"/>
    <n v="641.99"/>
    <n v="430.87"/>
    <m/>
    <n v="747.73459855656426"/>
    <n v="375.70671275609089"/>
    <n v="0"/>
    <n v="606.68054999999993"/>
    <n v="407.17214999999999"/>
    <n v="0"/>
    <n v="706.60919563595314"/>
    <n v="355.04284355450585"/>
  </r>
  <r>
    <s v="Regular"/>
    <x v="2"/>
    <x v="3"/>
    <x v="5"/>
    <x v="4"/>
    <x v="3"/>
    <x v="0"/>
    <x v="0"/>
    <x v="0"/>
    <n v="0"/>
    <n v="0"/>
    <n v="680.548"/>
    <n v="136.1096"/>
    <n v="680.548"/>
    <n v="136.1096"/>
    <n v="0"/>
    <x v="0"/>
    <n v="0"/>
    <n v="0"/>
    <n v="28"/>
    <n v="82"/>
    <n v="0"/>
    <n v="84.45"/>
    <n v="256.38"/>
    <m/>
    <n v="87.520205040180812"/>
    <n v="230.84299908458948"/>
    <n v="0"/>
    <n v="11494.45572"/>
    <n v="34895.779247999999"/>
    <n v="0"/>
    <n v="11912.340099936995"/>
    <n v="31419.94826820384"/>
  </r>
  <r>
    <s v="Refaturamento - Regular"/>
    <x v="2"/>
    <x v="3"/>
    <x v="5"/>
    <x v="4"/>
    <x v="3"/>
    <x v="0"/>
    <x v="0"/>
    <x v="0"/>
    <n v="0"/>
    <n v="0"/>
    <n v="0.52700000000000002"/>
    <n v="0.10539999999999999"/>
    <n v="0.52700000000000002"/>
    <n v="0.10539999999999999"/>
    <n v="0"/>
    <x v="0"/>
    <n v="0"/>
    <n v="0"/>
    <n v="28"/>
    <n v="82"/>
    <n v="0"/>
    <n v="84.45"/>
    <n v="256.38"/>
    <m/>
    <n v="87.520205040180812"/>
    <n v="230.84299908458948"/>
    <n v="0"/>
    <n v="8.9010300000000004"/>
    <n v="27.022451999999998"/>
    <n v="0"/>
    <n v="9.2246296112350574"/>
    <n v="24.330852103515731"/>
  </r>
  <r>
    <s v="Regular"/>
    <x v="2"/>
    <x v="3"/>
    <x v="5"/>
    <x v="4"/>
    <x v="3"/>
    <x v="0"/>
    <x v="0"/>
    <x v="1"/>
    <n v="0"/>
    <n v="0"/>
    <n v="844.74"/>
    <n v="168.94800000000001"/>
    <n v="844.74"/>
    <n v="168.94800000000001"/>
    <n v="0"/>
    <x v="0"/>
    <n v="0"/>
    <n v="0"/>
    <n v="28"/>
    <n v="82"/>
    <n v="0"/>
    <n v="84.45"/>
    <n v="256.38"/>
    <m/>
    <n v="87.520205040180812"/>
    <n v="230.84299908458948"/>
    <n v="0"/>
    <n v="14267.658600000001"/>
    <n v="43314.88824"/>
    <n v="0"/>
    <n v="14786.363601128469"/>
    <n v="39000.463009343228"/>
  </r>
  <r>
    <s v="Refaturamento - Regular"/>
    <x v="2"/>
    <x v="3"/>
    <x v="5"/>
    <x v="4"/>
    <x v="3"/>
    <x v="0"/>
    <x v="0"/>
    <x v="1"/>
    <n v="0"/>
    <n v="0"/>
    <n v="10.929"/>
    <n v="2.1858"/>
    <n v="10.929"/>
    <n v="2.1858"/>
    <n v="0"/>
    <x v="0"/>
    <n v="0"/>
    <n v="0"/>
    <n v="28"/>
    <n v="82"/>
    <n v="0"/>
    <n v="84.45"/>
    <n v="256.38"/>
    <m/>
    <n v="87.520205040180812"/>
    <n v="230.84299908458948"/>
    <n v="0"/>
    <n v="184.59081"/>
    <n v="560.39540399999998"/>
    <n v="0"/>
    <n v="191.30166417682722"/>
    <n v="504.57662739909568"/>
  </r>
  <r>
    <s v="Regular"/>
    <x v="2"/>
    <x v="3"/>
    <x v="5"/>
    <x v="4"/>
    <x v="3"/>
    <x v="0"/>
    <x v="0"/>
    <x v="2"/>
    <n v="0"/>
    <n v="0"/>
    <n v="189.51599999999999"/>
    <n v="37.903199999999998"/>
    <n v="189.51599999999999"/>
    <n v="37.903199999999998"/>
    <n v="0"/>
    <x v="0"/>
    <n v="0"/>
    <n v="0"/>
    <n v="28"/>
    <n v="82"/>
    <n v="0"/>
    <n v="84.45"/>
    <n v="256.38"/>
    <m/>
    <n v="87.520205040180812"/>
    <n v="230.84299908458948"/>
    <n v="0"/>
    <n v="3200.92524"/>
    <n v="9717.6224160000002"/>
    <n v="0"/>
    <n v="3317.2958356789813"/>
    <n v="8749.6883629030108"/>
  </r>
  <r>
    <s v="Refaturamento - Regular"/>
    <x v="2"/>
    <x v="3"/>
    <x v="5"/>
    <x v="4"/>
    <x v="3"/>
    <x v="0"/>
    <x v="0"/>
    <x v="2"/>
    <n v="0"/>
    <n v="0"/>
    <n v="0.88600000000000001"/>
    <n v="0.1772"/>
    <n v="0.88600000000000001"/>
    <n v="0.1772"/>
    <n v="0"/>
    <x v="0"/>
    <n v="0"/>
    <n v="0"/>
    <n v="28"/>
    <n v="82"/>
    <n v="0"/>
    <n v="84.45"/>
    <n v="256.38"/>
    <m/>
    <n v="87.520205040180812"/>
    <n v="230.84299908458948"/>
    <n v="0"/>
    <n v="14.96454"/>
    <n v="45.430535999999996"/>
    <n v="0"/>
    <n v="15.50858033312004"/>
    <n v="40.905379437789257"/>
  </r>
  <r>
    <s v="Regular"/>
    <x v="2"/>
    <x v="3"/>
    <x v="5"/>
    <x v="4"/>
    <x v="3"/>
    <x v="0"/>
    <x v="0"/>
    <x v="3"/>
    <n v="0"/>
    <n v="0"/>
    <n v="239.26400000000001"/>
    <n v="47.852800000000002"/>
    <n v="239.26400000000001"/>
    <n v="47.852800000000002"/>
    <n v="0"/>
    <x v="0"/>
    <n v="0"/>
    <n v="0"/>
    <n v="28"/>
    <n v="82"/>
    <n v="0"/>
    <n v="84.45"/>
    <n v="256.38"/>
    <m/>
    <n v="87.520205040180812"/>
    <n v="230.84299908458948"/>
    <n v="0"/>
    <n v="4041.1689600000004"/>
    <n v="12268.500864"/>
    <n v="0"/>
    <n v="4188.0868677467643"/>
    <n v="11046.483866595045"/>
  </r>
  <r>
    <s v="Refaturamento - Regular"/>
    <x v="2"/>
    <x v="3"/>
    <x v="5"/>
    <x v="4"/>
    <x v="3"/>
    <x v="0"/>
    <x v="0"/>
    <x v="3"/>
    <n v="0"/>
    <n v="0"/>
    <n v="4.1440000000000001"/>
    <n v="0.82879999999999998"/>
    <n v="4.1440000000000001"/>
    <n v="0.82879999999999998"/>
    <n v="0"/>
    <x v="0"/>
    <n v="0"/>
    <n v="0"/>
    <n v="28"/>
    <n v="82"/>
    <n v="0"/>
    <n v="84.45"/>
    <n v="256.38"/>
    <m/>
    <n v="87.520205040180812"/>
    <n v="230.84299908458948"/>
    <n v="0"/>
    <n v="69.992159999999998"/>
    <n v="212.48774399999999"/>
    <n v="0"/>
    <n v="72.536745937301859"/>
    <n v="191.32267764130776"/>
  </r>
  <r>
    <s v="Regular"/>
    <x v="2"/>
    <x v="3"/>
    <x v="5"/>
    <x v="4"/>
    <x v="3"/>
    <x v="0"/>
    <x v="0"/>
    <x v="4"/>
    <n v="0"/>
    <n v="0"/>
    <n v="147.75299999999999"/>
    <n v="29.550599999999999"/>
    <n v="147.75299999999999"/>
    <n v="29.550599999999999"/>
    <n v="0"/>
    <x v="0"/>
    <n v="0"/>
    <n v="0"/>
    <n v="28"/>
    <n v="82"/>
    <n v="0"/>
    <n v="84.45"/>
    <n v="256.38"/>
    <m/>
    <n v="87.520205040180812"/>
    <n v="230.84299908458948"/>
    <n v="0"/>
    <n v="2495.54817"/>
    <n v="7576.182828"/>
    <n v="0"/>
    <n v="2586.2745710603672"/>
    <n v="6821.5491287490695"/>
  </r>
  <r>
    <s v="Refaturamento - Regular"/>
    <x v="2"/>
    <x v="3"/>
    <x v="5"/>
    <x v="4"/>
    <x v="3"/>
    <x v="0"/>
    <x v="0"/>
    <x v="4"/>
    <n v="0"/>
    <n v="0"/>
    <n v="15.968999999999999"/>
    <n v="3.1938"/>
    <n v="15.968999999999999"/>
    <n v="3.1938"/>
    <n v="0"/>
    <x v="0"/>
    <n v="0"/>
    <n v="0"/>
    <n v="28"/>
    <n v="82"/>
    <n v="0"/>
    <n v="84.45"/>
    <n v="256.38"/>
    <m/>
    <n v="87.520205040180812"/>
    <n v="230.84299908458948"/>
    <n v="0"/>
    <n v="269.71641"/>
    <n v="818.82644399999992"/>
    <n v="0"/>
    <n v="279.52203085732947"/>
    <n v="737.26637047636189"/>
  </r>
  <r>
    <s v="Regular"/>
    <x v="2"/>
    <x v="3"/>
    <x v="5"/>
    <x v="4"/>
    <x v="3"/>
    <x v="0"/>
    <x v="0"/>
    <x v="5"/>
    <n v="0"/>
    <n v="0"/>
    <n v="67.769000000000005"/>
    <n v="13.553800000000001"/>
    <n v="67.769000000000005"/>
    <n v="13.553800000000001"/>
    <n v="0"/>
    <x v="0"/>
    <n v="0"/>
    <n v="0"/>
    <n v="28"/>
    <n v="82"/>
    <n v="0"/>
    <n v="84.45"/>
    <n v="256.38"/>
    <m/>
    <n v="87.520205040180812"/>
    <n v="230.84299908458948"/>
    <n v="0"/>
    <n v="1144.61841"/>
    <n v="3474.9232440000001"/>
    <n v="0"/>
    <n v="1186.2313550736028"/>
    <n v="3128.7998409927091"/>
  </r>
  <r>
    <s v="Refaturamento - Regular"/>
    <x v="2"/>
    <x v="3"/>
    <x v="5"/>
    <x v="4"/>
    <x v="3"/>
    <x v="0"/>
    <x v="0"/>
    <x v="5"/>
    <n v="0"/>
    <n v="0"/>
    <n v="14.173999999999999"/>
    <n v="2.8348"/>
    <n v="14.173999999999999"/>
    <n v="2.8348"/>
    <n v="0"/>
    <x v="0"/>
    <n v="0"/>
    <n v="0"/>
    <n v="28"/>
    <n v="82"/>
    <n v="0"/>
    <n v="84.45"/>
    <n v="256.38"/>
    <m/>
    <n v="87.520205040180812"/>
    <n v="230.84299908458948"/>
    <n v="0"/>
    <n v="239.39886000000001"/>
    <n v="726.786024"/>
    <n v="0"/>
    <n v="248.10227724790457"/>
    <n v="654.39373380499421"/>
  </r>
  <r>
    <s v="Regular"/>
    <x v="2"/>
    <x v="3"/>
    <x v="5"/>
    <x v="4"/>
    <x v="3"/>
    <x v="0"/>
    <x v="0"/>
    <x v="6"/>
    <n v="0"/>
    <n v="0"/>
    <n v="211.55699999999999"/>
    <n v="42.311399999999999"/>
    <n v="211.55699999999999"/>
    <n v="42.311399999999999"/>
    <n v="0"/>
    <x v="0"/>
    <n v="0"/>
    <n v="0"/>
    <n v="28"/>
    <n v="82"/>
    <n v="0"/>
    <n v="84.45"/>
    <n v="256.38"/>
    <m/>
    <n v="87.520205040180812"/>
    <n v="230.84299908458948"/>
    <n v="0"/>
    <n v="3573.1977299999999"/>
    <n v="10847.796731999999"/>
    <n v="0"/>
    <n v="3703.1024035371065"/>
    <n v="9767.2904714676988"/>
  </r>
  <r>
    <s v="Refaturamento - Regular"/>
    <x v="2"/>
    <x v="3"/>
    <x v="5"/>
    <x v="4"/>
    <x v="3"/>
    <x v="0"/>
    <x v="0"/>
    <x v="6"/>
    <n v="0"/>
    <n v="0"/>
    <n v="6.3440000000000003"/>
    <n v="1.2687999999999999"/>
    <n v="6.3440000000000003"/>
    <n v="1.2687999999999999"/>
    <n v="0"/>
    <x v="0"/>
    <n v="0"/>
    <n v="0"/>
    <n v="28"/>
    <n v="82"/>
    <n v="0"/>
    <n v="84.45"/>
    <n v="256.38"/>
    <m/>
    <n v="87.520205040180812"/>
    <n v="230.84299908458948"/>
    <n v="0"/>
    <n v="107.15016"/>
    <n v="325.29494399999999"/>
    <n v="0"/>
    <n v="111.04563615498141"/>
    <n v="292.89359723852709"/>
  </r>
  <r>
    <s v="Regular"/>
    <x v="2"/>
    <x v="3"/>
    <x v="5"/>
    <x v="4"/>
    <x v="3"/>
    <x v="0"/>
    <x v="0"/>
    <x v="7"/>
    <n v="0"/>
    <n v="0"/>
    <n v="406.21899999999999"/>
    <n v="81.243799999999993"/>
    <n v="406.21899999999999"/>
    <n v="81.243799999999993"/>
    <n v="0"/>
    <x v="0"/>
    <n v="0"/>
    <n v="0"/>
    <n v="28"/>
    <n v="82"/>
    <n v="0"/>
    <n v="84.45"/>
    <n v="256.38"/>
    <m/>
    <n v="87.520205040180812"/>
    <n v="230.84299908458948"/>
    <n v="0"/>
    <n v="6861.0389099999993"/>
    <n v="20829.285443999997"/>
    <n v="0"/>
    <n v="7110.4740342434416"/>
    <n v="18754.56244902857"/>
  </r>
  <r>
    <s v="Refaturamento - Regular"/>
    <x v="2"/>
    <x v="3"/>
    <x v="5"/>
    <x v="4"/>
    <x v="3"/>
    <x v="0"/>
    <x v="0"/>
    <x v="7"/>
    <n v="0"/>
    <n v="0"/>
    <n v="5.2149999999999999"/>
    <n v="1.0429999999999999"/>
    <n v="5.2149999999999999"/>
    <n v="1.0429999999999999"/>
    <n v="0"/>
    <x v="0"/>
    <n v="0"/>
    <n v="0"/>
    <n v="28"/>
    <n v="82"/>
    <n v="0"/>
    <n v="84.45"/>
    <n v="256.38"/>
    <m/>
    <n v="87.520205040180812"/>
    <n v="230.84299908458948"/>
    <n v="0"/>
    <n v="88.08135"/>
    <n v="267.40433999999999"/>
    <n v="0"/>
    <n v="91.283573856908575"/>
    <n v="240.76924804522682"/>
  </r>
  <r>
    <s v="Regular"/>
    <x v="2"/>
    <x v="3"/>
    <x v="5"/>
    <x v="4"/>
    <x v="3"/>
    <x v="0"/>
    <x v="0"/>
    <x v="8"/>
    <n v="0"/>
    <n v="0"/>
    <n v="832.40599999999995"/>
    <n v="166.4812"/>
    <n v="832.40599999999995"/>
    <n v="166.4812"/>
    <n v="0"/>
    <x v="0"/>
    <n v="0"/>
    <n v="0"/>
    <n v="28"/>
    <n v="82"/>
    <n v="0"/>
    <n v="84.45"/>
    <n v="256.38"/>
    <m/>
    <n v="87.520205040180812"/>
    <n v="230.84299908458948"/>
    <n v="0"/>
    <n v="14059.33734"/>
    <n v="42682.450056000001"/>
    <n v="0"/>
    <n v="14570.46875933535"/>
    <n v="38431.019499201357"/>
  </r>
  <r>
    <s v="Refaturamento - Regular"/>
    <x v="2"/>
    <x v="3"/>
    <x v="5"/>
    <x v="4"/>
    <x v="3"/>
    <x v="0"/>
    <x v="0"/>
    <x v="8"/>
    <n v="0"/>
    <n v="0"/>
    <n v="28.344999999999999"/>
    <n v="5.6689999999999996"/>
    <n v="28.344999999999999"/>
    <n v="5.6689999999999996"/>
    <n v="0"/>
    <x v="0"/>
    <n v="0"/>
    <n v="0"/>
    <n v="28"/>
    <n v="82"/>
    <n v="0"/>
    <n v="84.45"/>
    <n v="256.38"/>
    <m/>
    <n v="87.520205040180812"/>
    <n v="230.84299908458948"/>
    <n v="0"/>
    <n v="478.74705"/>
    <n v="1453.4182199999998"/>
    <n v="0"/>
    <n v="496.15204237278499"/>
    <n v="1308.6489618105377"/>
  </r>
  <r>
    <s v="Regular"/>
    <x v="2"/>
    <x v="3"/>
    <x v="5"/>
    <x v="4"/>
    <x v="3"/>
    <x v="0"/>
    <x v="0"/>
    <x v="9"/>
    <n v="0"/>
    <n v="0"/>
    <n v="1179.5039999999999"/>
    <n v="235.9008"/>
    <n v="1179.5039999999999"/>
    <n v="235.9008"/>
    <n v="0"/>
    <x v="0"/>
    <n v="0"/>
    <n v="0"/>
    <n v="28"/>
    <n v="82"/>
    <n v="0"/>
    <n v="84.45"/>
    <n v="256.38"/>
    <m/>
    <n v="87.520205040180812"/>
    <n v="230.84299908458948"/>
    <n v="0"/>
    <n v="19921.822560000001"/>
    <n v="60480.247104000002"/>
    <n v="0"/>
    <n v="20646.086385142688"/>
    <n v="54456.04815845393"/>
  </r>
  <r>
    <s v="Refaturamento - Regular"/>
    <x v="2"/>
    <x v="3"/>
    <x v="5"/>
    <x v="4"/>
    <x v="3"/>
    <x v="0"/>
    <x v="0"/>
    <x v="9"/>
    <n v="0"/>
    <n v="0"/>
    <n v="29.838000000000001"/>
    <n v="5.9676"/>
    <n v="29.838000000000001"/>
    <n v="5.9676"/>
    <n v="0"/>
    <x v="0"/>
    <n v="0"/>
    <n v="0"/>
    <n v="28"/>
    <n v="82"/>
    <n v="0"/>
    <n v="84.45"/>
    <n v="256.38"/>
    <m/>
    <n v="87.520205040180812"/>
    <n v="230.84299908458948"/>
    <n v="0"/>
    <n v="503.96382"/>
    <n v="1529.9732879999999"/>
    <n v="0"/>
    <n v="522.28557559778301"/>
    <n v="1377.5786813371963"/>
  </r>
  <r>
    <s v="Regular"/>
    <x v="2"/>
    <x v="3"/>
    <x v="5"/>
    <x v="4"/>
    <x v="3"/>
    <x v="0"/>
    <x v="0"/>
    <x v="10"/>
    <n v="0"/>
    <n v="0"/>
    <n v="1170.998"/>
    <n v="234.1996"/>
    <n v="1170.998"/>
    <n v="234.1996"/>
    <n v="0"/>
    <x v="0"/>
    <n v="0"/>
    <n v="0"/>
    <n v="28"/>
    <n v="82"/>
    <n v="0"/>
    <n v="84.45"/>
    <n v="256.38"/>
    <m/>
    <n v="87.520205040180812"/>
    <n v="230.84299908458948"/>
    <n v="0"/>
    <n v="19778.156220000001"/>
    <n v="60044.093448"/>
    <n v="0"/>
    <n v="20497.197012328332"/>
    <n v="54063.33804841122"/>
  </r>
  <r>
    <s v="Refaturamento - Regular"/>
    <x v="2"/>
    <x v="3"/>
    <x v="5"/>
    <x v="4"/>
    <x v="3"/>
    <x v="0"/>
    <x v="0"/>
    <x v="10"/>
    <n v="0"/>
    <n v="0"/>
    <n v="28.576000000000001"/>
    <n v="5.7152000000000003"/>
    <n v="28.576000000000001"/>
    <n v="5.7152000000000003"/>
    <n v="0"/>
    <x v="0"/>
    <n v="0"/>
    <n v="0"/>
    <n v="28"/>
    <n v="82"/>
    <n v="0"/>
    <n v="84.45"/>
    <n v="256.38"/>
    <m/>
    <n v="87.520205040180812"/>
    <n v="230.84299908458948"/>
    <n v="0"/>
    <n v="482.64864000000006"/>
    <n v="1465.262976"/>
    <n v="0"/>
    <n v="500.1954758456414"/>
    <n v="1319.3139083682458"/>
  </r>
  <r>
    <s v="PROJETADO"/>
    <x v="2"/>
    <x v="3"/>
    <x v="5"/>
    <x v="4"/>
    <x v="3"/>
    <x v="0"/>
    <x v="0"/>
    <x v="11"/>
    <n v="0"/>
    <n v="0"/>
    <n v="1170.998"/>
    <n v="234.1996"/>
    <n v="1170.998"/>
    <n v="234.1996"/>
    <n v="0"/>
    <x v="0"/>
    <n v="0"/>
    <n v="0"/>
    <n v="28"/>
    <n v="82"/>
    <n v="0"/>
    <n v="84.45"/>
    <n v="256.38"/>
    <m/>
    <n v="87.520205040180812"/>
    <n v="230.84299908458948"/>
    <n v="0"/>
    <n v="19778.156220000001"/>
    <n v="60044.093448"/>
    <n v="0"/>
    <n v="20497.197012328332"/>
    <n v="54063.33804841122"/>
  </r>
  <r>
    <s v="PROJETADO"/>
    <x v="2"/>
    <x v="3"/>
    <x v="5"/>
    <x v="4"/>
    <x v="3"/>
    <x v="0"/>
    <x v="0"/>
    <x v="11"/>
    <n v="0"/>
    <n v="0"/>
    <n v="28.576000000000001"/>
    <n v="5.7152000000000003"/>
    <n v="28.576000000000001"/>
    <n v="5.7152000000000003"/>
    <n v="0"/>
    <x v="0"/>
    <n v="0"/>
    <n v="0"/>
    <n v="28"/>
    <n v="82"/>
    <n v="0"/>
    <n v="84.45"/>
    <n v="256.38"/>
    <m/>
    <n v="87.520205040180812"/>
    <n v="230.84299908458948"/>
    <n v="0"/>
    <n v="482.64864000000006"/>
    <n v="1465.262976"/>
    <n v="0"/>
    <n v="500.1954758456414"/>
    <n v="1319.3139083682458"/>
  </r>
  <r>
    <s v="Regular"/>
    <x v="2"/>
    <x v="3"/>
    <x v="5"/>
    <x v="4"/>
    <x v="0"/>
    <x v="0"/>
    <x v="0"/>
    <x v="0"/>
    <n v="0"/>
    <n v="0"/>
    <n v="956.12900000000002"/>
    <n v="879.63868000000002"/>
    <n v="956.12900000000002"/>
    <n v="879.63868000000002"/>
    <n v="0"/>
    <x v="0"/>
    <n v="0"/>
    <n v="0"/>
    <n v="28"/>
    <n v="82"/>
    <n v="0"/>
    <n v="84.45"/>
    <n v="256.38"/>
    <m/>
    <n v="87.520205040180812"/>
    <n v="230.84299908458948"/>
    <n v="0"/>
    <n v="74285.486526000008"/>
    <n v="225521.76477840001"/>
    <n v="0"/>
    <n v="76986.157634874005"/>
    <n v="203058.43100200951"/>
  </r>
  <r>
    <s v="Refaturamento - Regular"/>
    <x v="2"/>
    <x v="3"/>
    <x v="5"/>
    <x v="4"/>
    <x v="0"/>
    <x v="0"/>
    <x v="0"/>
    <x v="0"/>
    <n v="0"/>
    <n v="0"/>
    <n v="1.9330000000000001"/>
    <n v="1.7783600000000002"/>
    <n v="1.9330000000000001"/>
    <n v="1.7783600000000002"/>
    <n v="0"/>
    <x v="0"/>
    <n v="0"/>
    <n v="0"/>
    <n v="28"/>
    <n v="82"/>
    <n v="0"/>
    <n v="84.45"/>
    <n v="256.38"/>
    <m/>
    <n v="87.520205040180812"/>
    <n v="230.84299908458948"/>
    <n v="0"/>
    <n v="150.18250200000003"/>
    <n v="455.93593680000004"/>
    <n v="0"/>
    <n v="155.64243183525596"/>
    <n v="410.52195585207056"/>
  </r>
  <r>
    <s v="Regular"/>
    <x v="2"/>
    <x v="3"/>
    <x v="5"/>
    <x v="4"/>
    <x v="0"/>
    <x v="0"/>
    <x v="0"/>
    <x v="1"/>
    <n v="0"/>
    <n v="0"/>
    <n v="1213.0989999999999"/>
    <n v="1116.05108"/>
    <n v="1213.0989999999999"/>
    <n v="1116.05108"/>
    <n v="0"/>
    <x v="0"/>
    <n v="0"/>
    <n v="0"/>
    <n v="28"/>
    <n v="82"/>
    <n v="0"/>
    <n v="84.45"/>
    <n v="256.38"/>
    <m/>
    <n v="87.520205040180812"/>
    <n v="230.84299908458948"/>
    <n v="0"/>
    <n v="94250.513705999998"/>
    <n v="286133.17589039996"/>
    <n v="0"/>
    <n v="97677.019356915232"/>
    <n v="257632.57843879508"/>
  </r>
  <r>
    <s v="Refaturamento - Regular"/>
    <x v="2"/>
    <x v="3"/>
    <x v="5"/>
    <x v="4"/>
    <x v="0"/>
    <x v="0"/>
    <x v="0"/>
    <x v="1"/>
    <n v="0"/>
    <n v="0"/>
    <n v="22.696999999999999"/>
    <n v="20.881240000000002"/>
    <n v="22.696999999999999"/>
    <n v="20.881240000000002"/>
    <n v="0"/>
    <x v="0"/>
    <n v="0"/>
    <n v="0"/>
    <n v="28"/>
    <n v="82"/>
    <n v="0"/>
    <n v="84.45"/>
    <n v="256.38"/>
    <m/>
    <n v="87.520205040180812"/>
    <n v="230.84299908458948"/>
    <n v="0"/>
    <n v="1763.4207180000003"/>
    <n v="5353.5323112000005"/>
    <n v="0"/>
    <n v="1827.5304062932253"/>
    <n v="4820.2880662050939"/>
  </r>
  <r>
    <s v="Regular"/>
    <x v="2"/>
    <x v="3"/>
    <x v="5"/>
    <x v="4"/>
    <x v="0"/>
    <x v="0"/>
    <x v="0"/>
    <x v="2"/>
    <n v="0"/>
    <n v="0"/>
    <n v="342.91699999999997"/>
    <n v="315.48363999999998"/>
    <n v="342.91699999999997"/>
    <n v="315.48363999999998"/>
    <n v="0"/>
    <x v="0"/>
    <n v="0"/>
    <n v="0"/>
    <n v="28"/>
    <n v="82"/>
    <n v="0"/>
    <n v="84.45"/>
    <n v="256.38"/>
    <m/>
    <n v="87.520205040180812"/>
    <n v="230.84299908458948"/>
    <n v="0"/>
    <n v="26642.593398000001"/>
    <n v="80883.695623199994"/>
    <n v="0"/>
    <n v="27611.192859622588"/>
    <n v="72827.189619722951"/>
  </r>
  <r>
    <s v="Regular"/>
    <x v="2"/>
    <x v="3"/>
    <x v="5"/>
    <x v="4"/>
    <x v="0"/>
    <x v="0"/>
    <x v="0"/>
    <x v="3"/>
    <n v="0"/>
    <n v="0"/>
    <n v="340.26100000000002"/>
    <n v="313.04012000000006"/>
    <n v="340.26100000000002"/>
    <n v="313.04012000000006"/>
    <n v="0"/>
    <x v="0"/>
    <n v="0"/>
    <n v="0"/>
    <n v="28"/>
    <n v="82"/>
    <n v="0"/>
    <n v="84.45"/>
    <n v="256.38"/>
    <m/>
    <n v="87.520205040180812"/>
    <n v="230.84299908458948"/>
    <n v="0"/>
    <n v="26436.238134000007"/>
    <n v="80257.22596560001"/>
    <n v="0"/>
    <n v="27397.335488202811"/>
    <n v="72263.120134599798"/>
  </r>
  <r>
    <s v="Regular"/>
    <x v="2"/>
    <x v="3"/>
    <x v="5"/>
    <x v="4"/>
    <x v="0"/>
    <x v="0"/>
    <x v="0"/>
    <x v="4"/>
    <n v="0"/>
    <n v="0"/>
    <n v="298.91800000000001"/>
    <n v="275.00456000000003"/>
    <n v="298.91800000000001"/>
    <n v="275.00456000000003"/>
    <n v="0"/>
    <x v="0"/>
    <n v="0"/>
    <n v="0"/>
    <n v="28"/>
    <n v="82"/>
    <n v="0"/>
    <n v="84.45"/>
    <n v="256.38"/>
    <m/>
    <n v="87.520205040180812"/>
    <n v="230.84299908458948"/>
    <n v="0"/>
    <n v="23224.135092000004"/>
    <n v="70505.669092800003"/>
    <n v="0"/>
    <n v="24068.455478184707"/>
    <n v="63482.877392337941"/>
  </r>
  <r>
    <s v="Refaturamento - Regular"/>
    <x v="2"/>
    <x v="3"/>
    <x v="5"/>
    <x v="4"/>
    <x v="0"/>
    <x v="0"/>
    <x v="0"/>
    <x v="4"/>
    <n v="0"/>
    <n v="0"/>
    <n v="16.077000000000002"/>
    <n v="14.790840000000003"/>
    <n v="16.077000000000002"/>
    <n v="14.790840000000003"/>
    <n v="0"/>
    <x v="0"/>
    <n v="0"/>
    <n v="0"/>
    <n v="28"/>
    <n v="82"/>
    <n v="0"/>
    <n v="84.45"/>
    <n v="256.38"/>
    <m/>
    <n v="87.520205040180812"/>
    <n v="230.84299908458948"/>
    <n v="0"/>
    <n v="1249.0864380000003"/>
    <n v="3792.0755592000005"/>
    <n v="0"/>
    <n v="1294.4973495165082"/>
    <n v="3414.3618645803103"/>
  </r>
  <r>
    <s v="Regular"/>
    <x v="2"/>
    <x v="3"/>
    <x v="5"/>
    <x v="4"/>
    <x v="0"/>
    <x v="0"/>
    <x v="0"/>
    <x v="5"/>
    <n v="0"/>
    <n v="0"/>
    <n v="132.851"/>
    <n v="122.22292"/>
    <n v="132.851"/>
    <n v="122.22292"/>
    <n v="0"/>
    <x v="0"/>
    <n v="0"/>
    <n v="0"/>
    <n v="28"/>
    <n v="82"/>
    <n v="0"/>
    <n v="84.45"/>
    <n v="256.38"/>
    <m/>
    <n v="87.520205040180812"/>
    <n v="230.84299908458948"/>
    <n v="0"/>
    <n v="10321.725594000001"/>
    <n v="31335.512229600001"/>
    <n v="0"/>
    <n v="10696.975019009617"/>
    <n v="28214.305409675853"/>
  </r>
  <r>
    <s v="Refaturamento - Regular"/>
    <x v="2"/>
    <x v="3"/>
    <x v="5"/>
    <x v="4"/>
    <x v="0"/>
    <x v="0"/>
    <x v="0"/>
    <x v="5"/>
    <n v="0"/>
    <n v="0"/>
    <n v="13.804"/>
    <n v="12.699680000000001"/>
    <n v="13.804"/>
    <n v="12.699680000000001"/>
    <n v="0"/>
    <x v="0"/>
    <n v="0"/>
    <n v="0"/>
    <n v="28"/>
    <n v="82"/>
    <n v="0"/>
    <n v="84.45"/>
    <n v="256.38"/>
    <m/>
    <n v="87.520205040180812"/>
    <n v="230.84299908458948"/>
    <n v="0"/>
    <n v="1072.4879760000001"/>
    <n v="3255.9439584000002"/>
    <n v="0"/>
    <n v="1111.4785975446835"/>
    <n v="2931.6322186145794"/>
  </r>
  <r>
    <s v="Regular"/>
    <x v="2"/>
    <x v="3"/>
    <x v="5"/>
    <x v="4"/>
    <x v="0"/>
    <x v="0"/>
    <x v="0"/>
    <x v="6"/>
    <n v="0"/>
    <n v="0"/>
    <n v="346.67200000000003"/>
    <n v="318.93824000000006"/>
    <n v="346.67200000000003"/>
    <n v="318.93824000000006"/>
    <n v="0"/>
    <x v="0"/>
    <n v="0"/>
    <n v="0"/>
    <n v="28"/>
    <n v="82"/>
    <n v="0"/>
    <n v="84.45"/>
    <n v="256.38"/>
    <m/>
    <n v="87.520205040180812"/>
    <n v="230.84299908458948"/>
    <n v="0"/>
    <n v="26934.334368000007"/>
    <n v="81769.385971200012"/>
    <n v="0"/>
    <n v="27913.540159954402"/>
    <n v="73624.659844360591"/>
  </r>
  <r>
    <s v="Refaturamento - Regular"/>
    <x v="2"/>
    <x v="3"/>
    <x v="5"/>
    <x v="4"/>
    <x v="0"/>
    <x v="0"/>
    <x v="0"/>
    <x v="6"/>
    <n v="0"/>
    <n v="0"/>
    <n v="5.2279999999999998"/>
    <n v="4.8097599999999998"/>
    <n v="5.2279999999999998"/>
    <n v="4.8097599999999998"/>
    <n v="0"/>
    <x v="0"/>
    <n v="0"/>
    <n v="0"/>
    <n v="28"/>
    <n v="82"/>
    <n v="0"/>
    <n v="84.45"/>
    <n v="256.38"/>
    <m/>
    <n v="87.520205040180812"/>
    <n v="230.84299908458948"/>
    <n v="0"/>
    <n v="406.18423200000001"/>
    <n v="1233.1262687999999"/>
    <n v="0"/>
    <n v="420.95118139406003"/>
    <n v="1110.299423277095"/>
  </r>
  <r>
    <s v="Regular"/>
    <x v="2"/>
    <x v="3"/>
    <x v="5"/>
    <x v="4"/>
    <x v="0"/>
    <x v="0"/>
    <x v="0"/>
    <x v="7"/>
    <n v="0"/>
    <n v="0"/>
    <n v="722.94600000000003"/>
    <n v="665.11032"/>
    <n v="722.94600000000003"/>
    <n v="665.11032"/>
    <n v="0"/>
    <x v="0"/>
    <n v="0"/>
    <n v="0"/>
    <n v="28"/>
    <n v="82"/>
    <n v="0"/>
    <n v="84.45"/>
    <n v="256.38"/>
    <m/>
    <n v="87.520205040180812"/>
    <n v="230.84299908458948"/>
    <n v="0"/>
    <n v="56168.566524000002"/>
    <n v="170520.98384159998"/>
    <n v="0"/>
    <n v="58210.591580740271"/>
    <n v="153536.06099091101"/>
  </r>
  <r>
    <s v="Regular"/>
    <x v="2"/>
    <x v="3"/>
    <x v="5"/>
    <x v="4"/>
    <x v="0"/>
    <x v="0"/>
    <x v="0"/>
    <x v="8"/>
    <n v="0"/>
    <n v="0"/>
    <n v="1957.6759999999999"/>
    <n v="1801.0619200000001"/>
    <n v="1957.6759999999999"/>
    <n v="1801.0619200000001"/>
    <n v="0"/>
    <x v="0"/>
    <n v="0"/>
    <n v="0"/>
    <n v="28"/>
    <n v="82"/>
    <n v="0"/>
    <n v="84.45"/>
    <n v="256.38"/>
    <m/>
    <n v="87.520205040180812"/>
    <n v="230.84299908458948"/>
    <n v="0"/>
    <n v="152099.67914400002"/>
    <n v="461756.25504960003"/>
    <n v="0"/>
    <n v="157629.30852846173"/>
    <n v="415762.53514984902"/>
  </r>
  <r>
    <s v="Refaturamento - Regular"/>
    <x v="2"/>
    <x v="3"/>
    <x v="5"/>
    <x v="4"/>
    <x v="0"/>
    <x v="0"/>
    <x v="0"/>
    <x v="8"/>
    <n v="0"/>
    <n v="0"/>
    <n v="10.285"/>
    <n v="9.4622000000000011"/>
    <n v="10.285"/>
    <n v="9.4622000000000011"/>
    <n v="0"/>
    <x v="0"/>
    <n v="0"/>
    <n v="0"/>
    <n v="28"/>
    <n v="82"/>
    <n v="0"/>
    <n v="84.45"/>
    <n v="256.38"/>
    <m/>
    <n v="87.520205040180812"/>
    <n v="230.84299908458948"/>
    <n v="0"/>
    <n v="799.08279000000016"/>
    <n v="2425.9188360000003"/>
    <n v="0"/>
    <n v="828.13368413119895"/>
    <n v="2184.2826259382027"/>
  </r>
  <r>
    <s v="Regular"/>
    <x v="2"/>
    <x v="3"/>
    <x v="5"/>
    <x v="4"/>
    <x v="0"/>
    <x v="0"/>
    <x v="0"/>
    <x v="9"/>
    <n v="0"/>
    <n v="0"/>
    <n v="1958.9480000000001"/>
    <n v="1802.2321600000002"/>
    <n v="1958.9480000000001"/>
    <n v="1802.2321600000002"/>
    <n v="0"/>
    <x v="0"/>
    <n v="0"/>
    <n v="0"/>
    <n v="28"/>
    <n v="82"/>
    <n v="0"/>
    <n v="84.45"/>
    <n v="256.38"/>
    <m/>
    <n v="87.520205040180812"/>
    <n v="230.84299908458948"/>
    <n v="0"/>
    <n v="152198.50591200002"/>
    <n v="462056.28118080006"/>
    <n v="0"/>
    <n v="157731.72817320799"/>
    <n v="416032.6768610978"/>
  </r>
  <r>
    <s v="Refaturamento - Regular"/>
    <x v="2"/>
    <x v="3"/>
    <x v="5"/>
    <x v="4"/>
    <x v="0"/>
    <x v="0"/>
    <x v="0"/>
    <x v="9"/>
    <n v="0"/>
    <n v="0"/>
    <n v="66.974000000000004"/>
    <n v="61.616080000000004"/>
    <n v="66.974000000000004"/>
    <n v="61.616080000000004"/>
    <n v="0"/>
    <x v="0"/>
    <n v="0"/>
    <n v="0"/>
    <n v="28"/>
    <n v="82"/>
    <n v="0"/>
    <n v="84.45"/>
    <n v="256.38"/>
    <m/>
    <n v="87.520205040180812"/>
    <n v="230.84299908458948"/>
    <n v="0"/>
    <n v="5203.4779560000006"/>
    <n v="15797.1305904"/>
    <n v="0"/>
    <n v="5392.6519553721846"/>
    <n v="14223.640699035994"/>
  </r>
  <r>
    <s v="Regular"/>
    <x v="2"/>
    <x v="3"/>
    <x v="5"/>
    <x v="4"/>
    <x v="0"/>
    <x v="0"/>
    <x v="0"/>
    <x v="10"/>
    <n v="0"/>
    <n v="0"/>
    <n v="2088.9360000000001"/>
    <n v="1921.8211200000003"/>
    <n v="2088.9360000000001"/>
    <n v="1921.8211200000003"/>
    <n v="0"/>
    <x v="0"/>
    <n v="0"/>
    <n v="0"/>
    <n v="28"/>
    <n v="82"/>
    <n v="0"/>
    <n v="84.45"/>
    <n v="256.38"/>
    <m/>
    <n v="87.520205040180812"/>
    <n v="230.84299908458948"/>
    <n v="0"/>
    <n v="162297.79358400003"/>
    <n v="492716.49874560005"/>
    <n v="0"/>
    <n v="168198.17847294995"/>
    <n v="443638.95104490477"/>
  </r>
  <r>
    <s v="Refaturamento - Regular"/>
    <x v="2"/>
    <x v="3"/>
    <x v="5"/>
    <x v="4"/>
    <x v="0"/>
    <x v="0"/>
    <x v="0"/>
    <x v="10"/>
    <n v="0"/>
    <n v="0"/>
    <n v="26.326000000000001"/>
    <n v="24.219920000000002"/>
    <n v="26.326000000000001"/>
    <n v="24.219920000000002"/>
    <n v="0"/>
    <x v="0"/>
    <n v="0"/>
    <n v="0"/>
    <n v="28"/>
    <n v="82"/>
    <n v="0"/>
    <n v="84.45"/>
    <n v="256.38"/>
    <m/>
    <n v="87.520205040180812"/>
    <n v="230.84299908458948"/>
    <n v="0"/>
    <n v="2045.3722440000001"/>
    <n v="6209.5030896000007"/>
    <n v="0"/>
    <n v="2119.7323644567764"/>
    <n v="5590.9989703888305"/>
  </r>
  <r>
    <s v="PROJETADO"/>
    <x v="2"/>
    <x v="3"/>
    <x v="5"/>
    <x v="4"/>
    <x v="0"/>
    <x v="0"/>
    <x v="0"/>
    <x v="11"/>
    <n v="0"/>
    <n v="0"/>
    <n v="2088.9360000000001"/>
    <n v="1921.8211200000003"/>
    <n v="2088.9360000000001"/>
    <n v="1921.8211200000003"/>
    <n v="0"/>
    <x v="0"/>
    <n v="0"/>
    <n v="0"/>
    <n v="28"/>
    <n v="82"/>
    <n v="0"/>
    <n v="84.45"/>
    <n v="256.38"/>
    <m/>
    <n v="87.520205040180812"/>
    <n v="230.84299908458948"/>
    <n v="0"/>
    <n v="162297.79358400003"/>
    <n v="492716.49874560005"/>
    <n v="0"/>
    <n v="168198.17847294995"/>
    <n v="443638.95104490477"/>
  </r>
  <r>
    <s v="PROJETADO"/>
    <x v="2"/>
    <x v="3"/>
    <x v="5"/>
    <x v="4"/>
    <x v="0"/>
    <x v="0"/>
    <x v="0"/>
    <x v="11"/>
    <n v="0"/>
    <n v="0"/>
    <n v="26.326000000000001"/>
    <n v="24.219920000000002"/>
    <n v="26.326000000000001"/>
    <n v="24.219920000000002"/>
    <n v="0"/>
    <x v="0"/>
    <n v="0"/>
    <n v="0"/>
    <n v="28"/>
    <n v="82"/>
    <n v="0"/>
    <n v="84.45"/>
    <n v="256.38"/>
    <m/>
    <n v="87.520205040180812"/>
    <n v="230.84299908458948"/>
    <n v="0"/>
    <n v="2045.3722440000001"/>
    <n v="6209.5030896000007"/>
    <n v="0"/>
    <n v="2119.7323644567764"/>
    <n v="5590.9989703888305"/>
  </r>
  <r>
    <s v="Regular"/>
    <x v="2"/>
    <x v="3"/>
    <x v="5"/>
    <x v="4"/>
    <x v="0"/>
    <x v="0"/>
    <x v="2"/>
    <x v="0"/>
    <n v="8444"/>
    <n v="7768.4800000000005"/>
    <n v="0"/>
    <n v="0"/>
    <n v="0"/>
    <n v="0"/>
    <n v="119"/>
    <x v="0"/>
    <n v="0"/>
    <n v="26"/>
    <n v="0"/>
    <n v="0"/>
    <n v="8.81"/>
    <n v="0"/>
    <n v="0"/>
    <n v="11.452356648653195"/>
    <m/>
    <m/>
    <n v="68440.308800000013"/>
    <n v="0"/>
    <n v="0"/>
    <n v="88967.403577929377"/>
    <n v="0"/>
    <n v="0"/>
  </r>
  <r>
    <s v="Refaturamento - Regular"/>
    <x v="2"/>
    <x v="3"/>
    <x v="5"/>
    <x v="4"/>
    <x v="0"/>
    <x v="0"/>
    <x v="2"/>
    <x v="0"/>
    <n v="69"/>
    <n v="63.480000000000004"/>
    <n v="0"/>
    <n v="0"/>
    <n v="0"/>
    <n v="0"/>
    <n v="4"/>
    <x v="0"/>
    <n v="0"/>
    <n v="26"/>
    <n v="0"/>
    <n v="0"/>
    <n v="8.81"/>
    <n v="0"/>
    <n v="0"/>
    <n v="11.452356648653195"/>
    <m/>
    <m/>
    <n v="559.25880000000006"/>
    <n v="0"/>
    <n v="0"/>
    <n v="726.99560005650483"/>
    <n v="0"/>
    <n v="0"/>
  </r>
  <r>
    <s v="Regular"/>
    <x v="2"/>
    <x v="3"/>
    <x v="5"/>
    <x v="4"/>
    <x v="0"/>
    <x v="0"/>
    <x v="2"/>
    <x v="1"/>
    <n v="10820"/>
    <n v="9954.4"/>
    <n v="0"/>
    <n v="0"/>
    <n v="0"/>
    <n v="0"/>
    <n v="120"/>
    <x v="0"/>
    <n v="0"/>
    <n v="26"/>
    <n v="0"/>
    <n v="0"/>
    <n v="8.81"/>
    <n v="0"/>
    <n v="0"/>
    <n v="11.452356648653195"/>
    <m/>
    <m/>
    <n v="87698.263999999996"/>
    <n v="0"/>
    <n v="0"/>
    <n v="114001.33902335336"/>
    <n v="0"/>
    <n v="0"/>
  </r>
  <r>
    <s v="Refaturamento - Regular"/>
    <x v="2"/>
    <x v="3"/>
    <x v="5"/>
    <x v="4"/>
    <x v="0"/>
    <x v="0"/>
    <x v="2"/>
    <x v="1"/>
    <n v="618"/>
    <n v="568.56000000000006"/>
    <n v="0"/>
    <n v="0"/>
    <n v="0"/>
    <n v="0"/>
    <n v="4"/>
    <x v="0"/>
    <n v="0"/>
    <n v="26"/>
    <n v="0"/>
    <n v="0"/>
    <n v="8.81"/>
    <n v="0"/>
    <n v="0"/>
    <n v="11.452356648653195"/>
    <m/>
    <m/>
    <n v="5009.0136000000011"/>
    <n v="0"/>
    <n v="0"/>
    <n v="6511.3518961582613"/>
    <n v="0"/>
    <n v="0"/>
  </r>
  <r>
    <s v="Regular"/>
    <x v="2"/>
    <x v="3"/>
    <x v="5"/>
    <x v="4"/>
    <x v="0"/>
    <x v="0"/>
    <x v="2"/>
    <x v="2"/>
    <n v="7268"/>
    <n v="6686.56"/>
    <n v="0"/>
    <n v="0"/>
    <n v="0"/>
    <n v="0"/>
    <n v="124"/>
    <x v="0"/>
    <n v="0"/>
    <n v="26"/>
    <n v="0"/>
    <n v="0"/>
    <n v="8.81"/>
    <n v="0"/>
    <n v="0"/>
    <n v="11.452356648653195"/>
    <m/>
    <m/>
    <n v="58908.593600000007"/>
    <n v="0"/>
    <n v="0"/>
    <n v="76576.86987261851"/>
    <n v="0"/>
    <n v="0"/>
  </r>
  <r>
    <s v="Refaturamento - Regular"/>
    <x v="2"/>
    <x v="3"/>
    <x v="5"/>
    <x v="4"/>
    <x v="0"/>
    <x v="0"/>
    <x v="2"/>
    <x v="2"/>
    <n v="517"/>
    <n v="475.64000000000004"/>
    <n v="0"/>
    <n v="0"/>
    <n v="0"/>
    <n v="0"/>
    <n v="3"/>
    <x v="0"/>
    <n v="0"/>
    <n v="26"/>
    <n v="0"/>
    <n v="0"/>
    <n v="8.81"/>
    <n v="0"/>
    <n v="0"/>
    <n v="11.452356648653195"/>
    <m/>
    <m/>
    <n v="4190.3884000000007"/>
    <n v="0"/>
    <n v="0"/>
    <n v="5447.1989163654061"/>
    <n v="0"/>
    <n v="0"/>
  </r>
  <r>
    <s v="Regular"/>
    <x v="2"/>
    <x v="3"/>
    <x v="5"/>
    <x v="4"/>
    <x v="0"/>
    <x v="0"/>
    <x v="2"/>
    <x v="3"/>
    <n v="10041"/>
    <n v="9237.7200000000012"/>
    <n v="0"/>
    <n v="0"/>
    <n v="0"/>
    <n v="0"/>
    <n v="125"/>
    <x v="0"/>
    <n v="0"/>
    <n v="26"/>
    <n v="0"/>
    <n v="0"/>
    <n v="8.81"/>
    <n v="0"/>
    <n v="0"/>
    <n v="11.452356648653195"/>
    <m/>
    <m/>
    <n v="81384.313200000019"/>
    <n v="0"/>
    <n v="0"/>
    <n v="105793.66406039661"/>
    <n v="0"/>
    <n v="0"/>
  </r>
  <r>
    <s v="Refaturamento - Regular"/>
    <x v="2"/>
    <x v="3"/>
    <x v="5"/>
    <x v="4"/>
    <x v="0"/>
    <x v="0"/>
    <x v="2"/>
    <x v="3"/>
    <n v="538"/>
    <n v="494.96000000000004"/>
    <n v="0"/>
    <n v="0"/>
    <n v="0"/>
    <n v="0"/>
    <n v="4"/>
    <x v="0"/>
    <n v="0"/>
    <n v="26"/>
    <n v="0"/>
    <n v="0"/>
    <n v="8.81"/>
    <n v="0"/>
    <n v="0"/>
    <n v="11.452356648653195"/>
    <m/>
    <m/>
    <n v="4360.597600000001"/>
    <n v="0"/>
    <n v="0"/>
    <n v="5668.4584468173862"/>
    <n v="0"/>
    <n v="0"/>
  </r>
  <r>
    <s v="Regular"/>
    <x v="2"/>
    <x v="3"/>
    <x v="5"/>
    <x v="4"/>
    <x v="0"/>
    <x v="0"/>
    <x v="2"/>
    <x v="4"/>
    <n v="9059"/>
    <n v="8334.2800000000007"/>
    <n v="0"/>
    <n v="0"/>
    <n v="0"/>
    <n v="0"/>
    <n v="124"/>
    <x v="0"/>
    <n v="0"/>
    <n v="26"/>
    <n v="0"/>
    <n v="0"/>
    <n v="8.81"/>
    <n v="0"/>
    <n v="0"/>
    <n v="11.452356648653195"/>
    <m/>
    <m/>
    <n v="73425.006800000003"/>
    <n v="0"/>
    <n v="0"/>
    <n v="95447.146969737354"/>
    <n v="0"/>
    <n v="0"/>
  </r>
  <r>
    <s v="Refaturamento - Regular"/>
    <x v="2"/>
    <x v="3"/>
    <x v="5"/>
    <x v="4"/>
    <x v="0"/>
    <x v="0"/>
    <x v="2"/>
    <x v="4"/>
    <n v="833"/>
    <n v="766.36"/>
    <n v="0"/>
    <n v="0"/>
    <n v="0"/>
    <n v="0"/>
    <n v="4"/>
    <x v="0"/>
    <n v="0"/>
    <n v="26"/>
    <n v="0"/>
    <n v="0"/>
    <n v="8.81"/>
    <n v="0"/>
    <n v="0"/>
    <n v="11.452356648653195"/>
    <m/>
    <m/>
    <n v="6751.6316000000006"/>
    <n v="0"/>
    <n v="0"/>
    <n v="8776.6280412618635"/>
    <n v="0"/>
    <n v="0"/>
  </r>
  <r>
    <s v="Regular"/>
    <x v="2"/>
    <x v="3"/>
    <x v="5"/>
    <x v="4"/>
    <x v="0"/>
    <x v="0"/>
    <x v="2"/>
    <x v="5"/>
    <n v="5721"/>
    <n v="5263.3200000000006"/>
    <n v="0"/>
    <n v="0"/>
    <n v="0"/>
    <n v="0"/>
    <n v="122"/>
    <x v="0"/>
    <n v="0"/>
    <n v="26"/>
    <n v="0"/>
    <n v="0"/>
    <n v="8.81"/>
    <n v="0"/>
    <n v="0"/>
    <n v="11.452356648653195"/>
    <m/>
    <m/>
    <n v="46369.849200000011"/>
    <n v="0"/>
    <n v="0"/>
    <n v="60277.417795989342"/>
    <n v="0"/>
    <n v="0"/>
  </r>
  <r>
    <s v="Refaturamento - Regular"/>
    <x v="2"/>
    <x v="3"/>
    <x v="5"/>
    <x v="4"/>
    <x v="0"/>
    <x v="0"/>
    <x v="2"/>
    <x v="5"/>
    <n v="376"/>
    <n v="345.92"/>
    <n v="0"/>
    <n v="0"/>
    <n v="0"/>
    <n v="0"/>
    <n v="4"/>
    <x v="0"/>
    <n v="0"/>
    <n v="26"/>
    <n v="0"/>
    <n v="0"/>
    <n v="8.81"/>
    <n v="0"/>
    <n v="0"/>
    <n v="11.452356648653195"/>
    <m/>
    <m/>
    <n v="3047.5552000000002"/>
    <n v="0"/>
    <n v="0"/>
    <n v="3961.5992119021134"/>
    <n v="0"/>
    <n v="0"/>
  </r>
  <r>
    <s v="Regular"/>
    <x v="2"/>
    <x v="3"/>
    <x v="5"/>
    <x v="4"/>
    <x v="0"/>
    <x v="0"/>
    <x v="2"/>
    <x v="6"/>
    <n v="8385"/>
    <n v="7714.2000000000007"/>
    <n v="0"/>
    <n v="0"/>
    <n v="0"/>
    <n v="0"/>
    <n v="124"/>
    <x v="0"/>
    <n v="0"/>
    <n v="26"/>
    <n v="0"/>
    <n v="0"/>
    <n v="8.81"/>
    <n v="0"/>
    <n v="0"/>
    <n v="11.452356648653195"/>
    <m/>
    <m/>
    <n v="67962.102000000014"/>
    <n v="0"/>
    <n v="0"/>
    <n v="88345.769659040481"/>
    <n v="0"/>
    <n v="0"/>
  </r>
  <r>
    <s v="Refaturamento - Regular"/>
    <x v="2"/>
    <x v="3"/>
    <x v="5"/>
    <x v="4"/>
    <x v="0"/>
    <x v="0"/>
    <x v="2"/>
    <x v="6"/>
    <n v="377"/>
    <n v="346.84000000000003"/>
    <n v="0"/>
    <n v="0"/>
    <n v="0"/>
    <n v="0"/>
    <n v="3"/>
    <x v="0"/>
    <n v="0"/>
    <n v="26"/>
    <n v="0"/>
    <n v="0"/>
    <n v="8.81"/>
    <n v="0"/>
    <n v="0"/>
    <n v="11.452356648653195"/>
    <m/>
    <m/>
    <n v="3055.6604000000007"/>
    <n v="0"/>
    <n v="0"/>
    <n v="3972.1353800188745"/>
    <n v="0"/>
    <n v="0"/>
  </r>
  <r>
    <s v="Regular"/>
    <x v="2"/>
    <x v="3"/>
    <x v="5"/>
    <x v="4"/>
    <x v="0"/>
    <x v="0"/>
    <x v="2"/>
    <x v="7"/>
    <n v="12180"/>
    <n v="11205.6"/>
    <n v="0"/>
    <n v="0"/>
    <n v="0"/>
    <n v="0"/>
    <n v="123"/>
    <x v="0"/>
    <n v="0"/>
    <n v="26"/>
    <n v="0"/>
    <n v="0"/>
    <n v="8.81"/>
    <n v="0"/>
    <n v="0"/>
    <n v="11.452356648653195"/>
    <m/>
    <m/>
    <n v="98721.33600000001"/>
    <n v="0"/>
    <n v="0"/>
    <n v="128330.52766214825"/>
    <n v="0"/>
    <n v="0"/>
  </r>
  <r>
    <s v="Refaturamento - Regular"/>
    <x v="2"/>
    <x v="3"/>
    <x v="5"/>
    <x v="4"/>
    <x v="0"/>
    <x v="0"/>
    <x v="2"/>
    <x v="7"/>
    <n v="522"/>
    <n v="480.24"/>
    <n v="0"/>
    <n v="0"/>
    <n v="0"/>
    <n v="0"/>
    <n v="3"/>
    <x v="0"/>
    <n v="0"/>
    <n v="26"/>
    <n v="0"/>
    <n v="0"/>
    <n v="8.81"/>
    <n v="0"/>
    <n v="0"/>
    <n v="11.452356648653195"/>
    <m/>
    <m/>
    <n v="4230.9144000000006"/>
    <n v="0"/>
    <n v="0"/>
    <n v="5499.8797569492108"/>
    <n v="0"/>
    <n v="0"/>
  </r>
  <r>
    <s v="Regular"/>
    <x v="2"/>
    <x v="3"/>
    <x v="5"/>
    <x v="4"/>
    <x v="0"/>
    <x v="0"/>
    <x v="2"/>
    <x v="8"/>
    <n v="14803"/>
    <n v="13618.76"/>
    <n v="0"/>
    <n v="0"/>
    <n v="0"/>
    <n v="0"/>
    <n v="125"/>
    <x v="0"/>
    <n v="0"/>
    <n v="26"/>
    <n v="0"/>
    <n v="0"/>
    <n v="8.81"/>
    <n v="0"/>
    <n v="0"/>
    <n v="11.452356648653195"/>
    <m/>
    <m/>
    <n v="119981.27560000001"/>
    <n v="0"/>
    <n v="0"/>
    <n v="155966.89663241219"/>
    <n v="0"/>
    <n v="0"/>
  </r>
  <r>
    <s v="Refaturamento - Regular"/>
    <x v="2"/>
    <x v="3"/>
    <x v="5"/>
    <x v="4"/>
    <x v="0"/>
    <x v="0"/>
    <x v="2"/>
    <x v="8"/>
    <n v="375"/>
    <n v="345"/>
    <n v="0"/>
    <n v="0"/>
    <n v="0"/>
    <n v="0"/>
    <n v="3"/>
    <x v="0"/>
    <n v="0"/>
    <n v="26"/>
    <n v="0"/>
    <n v="0"/>
    <n v="8.81"/>
    <n v="0"/>
    <n v="0"/>
    <n v="11.452356648653195"/>
    <m/>
    <m/>
    <n v="3039.4500000000003"/>
    <n v="0"/>
    <n v="0"/>
    <n v="3951.0630437853524"/>
    <n v="0"/>
    <n v="0"/>
  </r>
  <r>
    <s v="Regular"/>
    <x v="2"/>
    <x v="3"/>
    <x v="5"/>
    <x v="4"/>
    <x v="0"/>
    <x v="0"/>
    <x v="2"/>
    <x v="9"/>
    <n v="14883"/>
    <n v="13692.36"/>
    <n v="0"/>
    <n v="0"/>
    <n v="0"/>
    <n v="0"/>
    <n v="123"/>
    <x v="0"/>
    <n v="0"/>
    <n v="26"/>
    <n v="0"/>
    <n v="0"/>
    <n v="8.81"/>
    <n v="0"/>
    <n v="0"/>
    <n v="11.452356648653195"/>
    <m/>
    <m/>
    <n v="120629.69160000001"/>
    <n v="0"/>
    <n v="0"/>
    <n v="156809.79008175308"/>
    <n v="0"/>
    <n v="0"/>
  </r>
  <r>
    <s v="Refaturamento - Regular"/>
    <x v="2"/>
    <x v="3"/>
    <x v="5"/>
    <x v="4"/>
    <x v="0"/>
    <x v="0"/>
    <x v="2"/>
    <x v="9"/>
    <n v="356"/>
    <n v="327.52000000000004"/>
    <n v="0"/>
    <n v="0"/>
    <n v="0"/>
    <n v="0"/>
    <n v="3"/>
    <x v="0"/>
    <n v="0"/>
    <n v="26"/>
    <n v="0"/>
    <n v="0"/>
    <n v="8.81"/>
    <n v="0"/>
    <n v="0"/>
    <n v="11.452356648653195"/>
    <m/>
    <m/>
    <n v="2885.4512000000004"/>
    <n v="0"/>
    <n v="0"/>
    <n v="3750.8758495668949"/>
    <n v="0"/>
    <n v="0"/>
  </r>
  <r>
    <s v="Regular"/>
    <x v="2"/>
    <x v="3"/>
    <x v="5"/>
    <x v="4"/>
    <x v="0"/>
    <x v="0"/>
    <x v="2"/>
    <x v="10"/>
    <n v="13077"/>
    <n v="12030.84"/>
    <n v="0"/>
    <n v="0"/>
    <n v="0"/>
    <n v="0"/>
    <n v="121"/>
    <x v="0"/>
    <n v="0"/>
    <n v="26"/>
    <n v="0"/>
    <n v="0"/>
    <n v="8.81"/>
    <n v="0"/>
    <n v="0"/>
    <n v="11.452356648653195"/>
    <m/>
    <m/>
    <n v="105991.7004"/>
    <n v="0"/>
    <n v="0"/>
    <n v="137781.4704628828"/>
    <n v="0"/>
    <n v="0"/>
  </r>
  <r>
    <s v="Refaturamento - Regular"/>
    <x v="2"/>
    <x v="3"/>
    <x v="5"/>
    <x v="4"/>
    <x v="0"/>
    <x v="0"/>
    <x v="2"/>
    <x v="10"/>
    <n v="376"/>
    <n v="345.92"/>
    <n v="0"/>
    <n v="0"/>
    <n v="0"/>
    <n v="0"/>
    <n v="3"/>
    <x v="0"/>
    <n v="0"/>
    <n v="26"/>
    <n v="0"/>
    <n v="0"/>
    <n v="8.81"/>
    <n v="0"/>
    <n v="0"/>
    <n v="11.452356648653195"/>
    <m/>
    <m/>
    <n v="3047.5552000000002"/>
    <n v="0"/>
    <n v="0"/>
    <n v="3961.5992119021134"/>
    <n v="0"/>
    <n v="0"/>
  </r>
  <r>
    <s v="PROJETADO"/>
    <x v="2"/>
    <x v="3"/>
    <x v="5"/>
    <x v="4"/>
    <x v="0"/>
    <x v="0"/>
    <x v="2"/>
    <x v="11"/>
    <n v="13077"/>
    <n v="12030.84"/>
    <n v="0"/>
    <n v="0"/>
    <n v="0"/>
    <n v="0"/>
    <n v="121"/>
    <x v="0"/>
    <n v="0"/>
    <n v="26"/>
    <n v="0"/>
    <n v="0"/>
    <n v="8.81"/>
    <n v="0"/>
    <n v="0"/>
    <n v="11.452356648653195"/>
    <m/>
    <m/>
    <n v="105991.7004"/>
    <n v="0"/>
    <n v="0"/>
    <n v="137781.4704628828"/>
    <n v="0"/>
    <n v="0"/>
  </r>
  <r>
    <s v="PROJETADO"/>
    <x v="2"/>
    <x v="3"/>
    <x v="5"/>
    <x v="4"/>
    <x v="0"/>
    <x v="0"/>
    <x v="2"/>
    <x v="11"/>
    <n v="376"/>
    <n v="345.92"/>
    <n v="0"/>
    <n v="0"/>
    <n v="0"/>
    <n v="0"/>
    <n v="3"/>
    <x v="0"/>
    <n v="0"/>
    <n v="26"/>
    <n v="0"/>
    <n v="0"/>
    <n v="8.81"/>
    <n v="0"/>
    <n v="0"/>
    <n v="11.452356648653195"/>
    <m/>
    <m/>
    <n v="3047.5552000000002"/>
    <n v="0"/>
    <n v="0"/>
    <n v="3961.5992119021134"/>
    <n v="0"/>
    <n v="0"/>
  </r>
  <r>
    <s v="Refaturamento - Regular"/>
    <x v="2"/>
    <x v="3"/>
    <x v="5"/>
    <x v="4"/>
    <x v="0"/>
    <x v="0"/>
    <x v="1"/>
    <x v="0"/>
    <n v="0"/>
    <n v="0"/>
    <n v="-0.17699999999999999"/>
    <n v="-0.16283999999999998"/>
    <n v="-0.17699999999999999"/>
    <n v="-0.16283999999999998"/>
    <n v="0"/>
    <x v="0"/>
    <n v="0"/>
    <n v="0"/>
    <n v="27"/>
    <n v="81"/>
    <n v="0"/>
    <n v="641.99"/>
    <n v="430.87"/>
    <m/>
    <n v="747.73459855656426"/>
    <n v="375.70671275609089"/>
    <n v="0"/>
    <n v="-104.54165159999999"/>
    <n v="-70.162870799999993"/>
    <n v="0"/>
    <n v="-121.76110202895092"/>
    <n v="-61.180081105201836"/>
  </r>
  <r>
    <s v="Regular"/>
    <x v="2"/>
    <x v="3"/>
    <x v="5"/>
    <x v="4"/>
    <x v="0"/>
    <x v="0"/>
    <x v="1"/>
    <x v="1"/>
    <n v="0"/>
    <n v="0"/>
    <n v="14.436999999999999"/>
    <n v="13.28204"/>
    <n v="14.436999999999999"/>
    <n v="13.28204"/>
    <n v="0"/>
    <x v="0"/>
    <n v="0"/>
    <n v="0"/>
    <n v="27"/>
    <n v="81"/>
    <n v="0"/>
    <n v="641.99"/>
    <n v="430.87"/>
    <m/>
    <n v="747.73459855656426"/>
    <n v="375.70671275609089"/>
    <n v="0"/>
    <n v="8526.9368596000004"/>
    <n v="5722.8325747999997"/>
    <n v="0"/>
    <n v="9931.4408474122283"/>
    <n v="4990.1515870949097"/>
  </r>
  <r>
    <s v="Refaturamento - Regular"/>
    <x v="2"/>
    <x v="3"/>
    <x v="5"/>
    <x v="4"/>
    <x v="0"/>
    <x v="0"/>
    <x v="1"/>
    <x v="1"/>
    <n v="0"/>
    <n v="0"/>
    <n v="2.0179999999999998"/>
    <n v="1.85656"/>
    <n v="2.0179999999999998"/>
    <n v="1.85656"/>
    <n v="0"/>
    <x v="0"/>
    <n v="0"/>
    <n v="0"/>
    <n v="27"/>
    <n v="81"/>
    <n v="0"/>
    <n v="641.99"/>
    <n v="430.87"/>
    <m/>
    <n v="747.73459855656426"/>
    <n v="375.70671275609089"/>
    <n v="0"/>
    <n v="1191.8929544"/>
    <n v="799.93600719999995"/>
    <n v="0"/>
    <n v="1388.2141462961749"/>
    <n v="697.52205463444807"/>
  </r>
  <r>
    <s v="Regular"/>
    <x v="2"/>
    <x v="3"/>
    <x v="5"/>
    <x v="4"/>
    <x v="0"/>
    <x v="0"/>
    <x v="1"/>
    <x v="2"/>
    <n v="0"/>
    <n v="0"/>
    <n v="22.21"/>
    <n v="20.433200000000003"/>
    <n v="22.21"/>
    <n v="20.433200000000003"/>
    <n v="0"/>
    <x v="0"/>
    <n v="0"/>
    <n v="0"/>
    <n v="27"/>
    <n v="81"/>
    <n v="0"/>
    <n v="641.99"/>
    <n v="430.87"/>
    <m/>
    <n v="747.73459855656426"/>
    <n v="375.70671275609089"/>
    <n v="0"/>
    <n v="13117.910068000003"/>
    <n v="8804.0528840000006"/>
    <n v="0"/>
    <n v="15278.610599225991"/>
    <n v="7676.8904030877575"/>
  </r>
  <r>
    <s v="Regular"/>
    <x v="2"/>
    <x v="3"/>
    <x v="5"/>
    <x v="4"/>
    <x v="0"/>
    <x v="0"/>
    <x v="1"/>
    <x v="3"/>
    <n v="0"/>
    <n v="0"/>
    <n v="3.5760000000000001"/>
    <n v="3.2899200000000004"/>
    <n v="3.5760000000000001"/>
    <n v="3.2899200000000004"/>
    <n v="0"/>
    <x v="0"/>
    <n v="0"/>
    <n v="0"/>
    <n v="27"/>
    <n v="81"/>
    <n v="0"/>
    <n v="641.99"/>
    <n v="430.87"/>
    <m/>
    <n v="747.73459855656426"/>
    <n v="375.70671275609089"/>
    <n v="0"/>
    <n v="2112.0957408000004"/>
    <n v="1417.5278304000001"/>
    <n v="0"/>
    <n v="2459.9870104832121"/>
    <n v="1236.0450284305186"/>
  </r>
  <r>
    <s v="Regular"/>
    <x v="2"/>
    <x v="3"/>
    <x v="5"/>
    <x v="4"/>
    <x v="0"/>
    <x v="0"/>
    <x v="1"/>
    <x v="4"/>
    <n v="0"/>
    <n v="0"/>
    <n v="9.1059999999999999"/>
    <n v="8.3775200000000005"/>
    <n v="9.1059999999999999"/>
    <n v="8.3775200000000005"/>
    <n v="0"/>
    <x v="0"/>
    <n v="0"/>
    <n v="0"/>
    <n v="27"/>
    <n v="81"/>
    <n v="0"/>
    <n v="641.99"/>
    <n v="430.87"/>
    <m/>
    <n v="747.73459855656426"/>
    <n v="375.70671275609089"/>
    <n v="0"/>
    <n v="5378.2840648000001"/>
    <n v="3609.6220424000003"/>
    <n v="0"/>
    <n v="6264.161554099589"/>
    <n v="3147.490500248407"/>
  </r>
  <r>
    <s v="Refaturamento - Regular"/>
    <x v="2"/>
    <x v="3"/>
    <x v="5"/>
    <x v="4"/>
    <x v="0"/>
    <x v="0"/>
    <x v="1"/>
    <x v="4"/>
    <n v="0"/>
    <n v="0"/>
    <n v="0.27900000000000003"/>
    <n v="0.25668000000000002"/>
    <n v="0.27900000000000003"/>
    <n v="0.25668000000000002"/>
    <n v="0"/>
    <x v="0"/>
    <n v="0"/>
    <n v="0"/>
    <n v="27"/>
    <n v="81"/>
    <n v="0"/>
    <n v="641.99"/>
    <n v="430.87"/>
    <m/>
    <n v="747.73459855656426"/>
    <n v="375.70671275609089"/>
    <n v="0"/>
    <n v="164.78599320000001"/>
    <n v="110.59571160000002"/>
    <n v="0"/>
    <n v="191.92851675749893"/>
    <n v="96.436399030233417"/>
  </r>
  <r>
    <s v="Regular"/>
    <x v="2"/>
    <x v="3"/>
    <x v="5"/>
    <x v="4"/>
    <x v="0"/>
    <x v="0"/>
    <x v="1"/>
    <x v="5"/>
    <n v="0"/>
    <n v="0"/>
    <n v="5.4989999999999997"/>
    <n v="5.0590799999999998"/>
    <n v="5.4989999999999997"/>
    <n v="5.0590799999999998"/>
    <n v="0"/>
    <x v="0"/>
    <n v="0"/>
    <n v="0"/>
    <n v="27"/>
    <n v="81"/>
    <n v="0"/>
    <n v="641.99"/>
    <n v="430.87"/>
    <m/>
    <n v="747.73459855656426"/>
    <n v="375.70671275609089"/>
    <n v="0"/>
    <n v="3247.8787692000001"/>
    <n v="2179.8057995999998"/>
    <n v="0"/>
    <n v="3782.8491528655431"/>
    <n v="1900.7303163700842"/>
  </r>
  <r>
    <s v="Refaturamento - Regular"/>
    <x v="2"/>
    <x v="3"/>
    <x v="5"/>
    <x v="4"/>
    <x v="0"/>
    <x v="0"/>
    <x v="1"/>
    <x v="5"/>
    <n v="0"/>
    <n v="0"/>
    <n v="0.23400000000000001"/>
    <n v="0.21528000000000003"/>
    <n v="0.23400000000000001"/>
    <n v="0.21528000000000003"/>
    <n v="0"/>
    <x v="0"/>
    <n v="0"/>
    <n v="0"/>
    <n v="27"/>
    <n v="81"/>
    <n v="0"/>
    <n v="641.99"/>
    <n v="430.87"/>
    <m/>
    <n v="747.73459855656426"/>
    <n v="375.70671275609089"/>
    <n v="0"/>
    <n v="138.20760720000001"/>
    <n v="92.75769360000001"/>
    <n v="0"/>
    <n v="160.97230437725719"/>
    <n v="80.882141122131259"/>
  </r>
  <r>
    <s v="Regular"/>
    <x v="2"/>
    <x v="3"/>
    <x v="5"/>
    <x v="4"/>
    <x v="0"/>
    <x v="0"/>
    <x v="1"/>
    <x v="6"/>
    <n v="0"/>
    <n v="0"/>
    <n v="6.6459999999999999"/>
    <n v="6.1143200000000002"/>
    <n v="6.6459999999999999"/>
    <n v="6.1143200000000002"/>
    <n v="0"/>
    <x v="0"/>
    <n v="0"/>
    <n v="0"/>
    <n v="27"/>
    <n v="81"/>
    <n v="0"/>
    <n v="641.99"/>
    <n v="430.87"/>
    <m/>
    <n v="747.73459855656426"/>
    <n v="375.70671275609089"/>
    <n v="0"/>
    <n v="3925.3322968000002"/>
    <n v="2634.4770584000003"/>
    <n v="0"/>
    <n v="4571.8886106463724"/>
    <n v="2297.1910679388216"/>
  </r>
  <r>
    <s v="Refaturamento - Regular"/>
    <x v="2"/>
    <x v="3"/>
    <x v="5"/>
    <x v="4"/>
    <x v="0"/>
    <x v="0"/>
    <x v="1"/>
    <x v="6"/>
    <n v="0"/>
    <n v="0"/>
    <n v="1.095"/>
    <n v="1.0074000000000001"/>
    <n v="1.095"/>
    <n v="1.0074000000000001"/>
    <n v="0"/>
    <x v="0"/>
    <n v="0"/>
    <n v="0"/>
    <n v="27"/>
    <n v="81"/>
    <n v="0"/>
    <n v="641.99"/>
    <n v="430.87"/>
    <m/>
    <n v="747.73459855656426"/>
    <n v="375.70671275609089"/>
    <n v="0"/>
    <n v="646.74072600000011"/>
    <n v="434.05843800000002"/>
    <n v="0"/>
    <n v="753.26783458588295"/>
    <n v="378.48694243048601"/>
  </r>
  <r>
    <s v="Regular"/>
    <x v="2"/>
    <x v="3"/>
    <x v="5"/>
    <x v="4"/>
    <x v="0"/>
    <x v="0"/>
    <x v="1"/>
    <x v="7"/>
    <n v="0"/>
    <n v="0"/>
    <n v="14.085000000000001"/>
    <n v="12.958200000000001"/>
    <n v="14.085000000000001"/>
    <n v="12.958200000000001"/>
    <n v="0"/>
    <x v="0"/>
    <n v="0"/>
    <n v="0"/>
    <n v="27"/>
    <n v="81"/>
    <n v="0"/>
    <n v="641.99"/>
    <n v="430.87"/>
    <m/>
    <n v="747.73459855656426"/>
    <n v="375.70671275609089"/>
    <n v="0"/>
    <n v="8319.0348180000019"/>
    <n v="5583.2996340000009"/>
    <n v="0"/>
    <n v="9689.294475015673"/>
    <n v="4868.4827252359773"/>
  </r>
  <r>
    <s v="Refaturamento - Regular"/>
    <x v="2"/>
    <x v="3"/>
    <x v="5"/>
    <x v="4"/>
    <x v="0"/>
    <x v="0"/>
    <x v="1"/>
    <x v="7"/>
    <n v="0"/>
    <n v="0"/>
    <n v="1.246"/>
    <n v="1.14632"/>
    <n v="1.246"/>
    <n v="1.14632"/>
    <n v="0"/>
    <x v="0"/>
    <n v="0"/>
    <n v="0"/>
    <n v="27"/>
    <n v="81"/>
    <n v="0"/>
    <n v="641.99"/>
    <n v="430.87"/>
    <m/>
    <n v="747.73459855656426"/>
    <n v="375.70671275609089"/>
    <n v="0"/>
    <n v="735.92597680000006"/>
    <n v="493.91489840000003"/>
    <n v="0"/>
    <n v="857.14312501736072"/>
    <n v="430.68011896656213"/>
  </r>
  <r>
    <s v="Regular"/>
    <x v="2"/>
    <x v="3"/>
    <x v="5"/>
    <x v="4"/>
    <x v="0"/>
    <x v="0"/>
    <x v="1"/>
    <x v="8"/>
    <n v="0"/>
    <n v="0"/>
    <n v="33.988"/>
    <n v="31.26896"/>
    <n v="33.988"/>
    <n v="31.26896"/>
    <n v="0"/>
    <x v="0"/>
    <n v="0"/>
    <n v="0"/>
    <n v="27"/>
    <n v="81"/>
    <n v="0"/>
    <n v="641.99"/>
    <n v="430.87"/>
    <m/>
    <n v="747.73459855656426"/>
    <n v="375.70671275609089"/>
    <n v="0"/>
    <n v="20074.359630399998"/>
    <n v="13472.856795199999"/>
    <n v="0"/>
    <n v="23380.883252881267"/>
    <n v="11747.958172901695"/>
  </r>
  <r>
    <s v="Refaturamento - Regular"/>
    <x v="2"/>
    <x v="3"/>
    <x v="5"/>
    <x v="4"/>
    <x v="0"/>
    <x v="0"/>
    <x v="1"/>
    <x v="8"/>
    <n v="0"/>
    <n v="0"/>
    <n v="1.1439999999999999"/>
    <n v="1.0524799999999999"/>
    <n v="1.1439999999999999"/>
    <n v="1.0524799999999999"/>
    <n v="0"/>
    <x v="0"/>
    <n v="0"/>
    <n v="0"/>
    <n v="27"/>
    <n v="81"/>
    <n v="0"/>
    <n v="641.99"/>
    <n v="430.87"/>
    <m/>
    <n v="747.73459855656426"/>
    <n v="375.70671275609089"/>
    <n v="0"/>
    <n v="675.68163519999996"/>
    <n v="453.48205759999996"/>
    <n v="0"/>
    <n v="786.97571028881271"/>
    <n v="395.42380104153051"/>
  </r>
  <r>
    <s v="Regular"/>
    <x v="2"/>
    <x v="3"/>
    <x v="5"/>
    <x v="4"/>
    <x v="0"/>
    <x v="0"/>
    <x v="1"/>
    <x v="9"/>
    <n v="0"/>
    <n v="0"/>
    <n v="29.946000000000002"/>
    <n v="27.550320000000003"/>
    <n v="29.946000000000002"/>
    <n v="27.550320000000003"/>
    <n v="0"/>
    <x v="0"/>
    <n v="0"/>
    <n v="0"/>
    <n v="27"/>
    <n v="81"/>
    <n v="0"/>
    <n v="641.99"/>
    <n v="430.87"/>
    <m/>
    <n v="747.73459855656426"/>
    <n v="375.70671275609089"/>
    <n v="0"/>
    <n v="17687.029936800001"/>
    <n v="11870.606378400002"/>
    <n v="0"/>
    <n v="20600.327465304887"/>
    <n v="10350.840162578386"/>
  </r>
  <r>
    <s v="Refaturamento - Regular"/>
    <x v="2"/>
    <x v="3"/>
    <x v="5"/>
    <x v="4"/>
    <x v="0"/>
    <x v="0"/>
    <x v="1"/>
    <x v="9"/>
    <n v="0"/>
    <n v="0"/>
    <n v="1.774"/>
    <n v="1.6320800000000002"/>
    <n v="1.774"/>
    <n v="1.6320800000000002"/>
    <n v="0"/>
    <x v="0"/>
    <n v="0"/>
    <n v="0"/>
    <n v="27"/>
    <n v="81"/>
    <n v="0"/>
    <n v="641.99"/>
    <n v="430.87"/>
    <m/>
    <n v="747.73459855656426"/>
    <n v="375.70671275609089"/>
    <n v="0"/>
    <n v="1047.7790392000002"/>
    <n v="703.21430960000009"/>
    <n v="0"/>
    <n v="1220.3626836121975"/>
    <n v="613.18341175496096"/>
  </r>
  <r>
    <s v="Regular"/>
    <x v="2"/>
    <x v="3"/>
    <x v="5"/>
    <x v="4"/>
    <x v="0"/>
    <x v="0"/>
    <x v="1"/>
    <x v="10"/>
    <n v="0"/>
    <n v="0"/>
    <n v="30.613"/>
    <n v="28.163959999999999"/>
    <n v="30.613"/>
    <n v="28.163959999999999"/>
    <n v="0"/>
    <x v="0"/>
    <n v="0"/>
    <n v="0"/>
    <n v="27"/>
    <n v="81"/>
    <n v="0"/>
    <n v="641.99"/>
    <n v="430.87"/>
    <m/>
    <n v="747.73459855656426"/>
    <n v="375.70671275609089"/>
    <n v="0"/>
    <n v="18080.9806804"/>
    <n v="12135.0054452"/>
    <n v="0"/>
    <n v="21059.167324363134"/>
    <n v="10581.388829794034"/>
  </r>
  <r>
    <s v="Refaturamento - Regular"/>
    <x v="2"/>
    <x v="3"/>
    <x v="5"/>
    <x v="4"/>
    <x v="0"/>
    <x v="0"/>
    <x v="1"/>
    <x v="10"/>
    <n v="0"/>
    <n v="0"/>
    <n v="0.89900000000000002"/>
    <n v="0.82708000000000004"/>
    <n v="0.89900000000000002"/>
    <n v="0.82708000000000004"/>
    <n v="0"/>
    <x v="0"/>
    <n v="0"/>
    <n v="0"/>
    <n v="27"/>
    <n v="81"/>
    <n v="0"/>
    <n v="641.99"/>
    <n v="430.87"/>
    <m/>
    <n v="747.73459855656426"/>
    <n v="375.70671275609089"/>
    <n v="0"/>
    <n v="530.97708920000002"/>
    <n v="356.36395960000004"/>
    <n v="0"/>
    <n v="618.43633177416325"/>
    <n v="310.73950798630767"/>
  </r>
  <r>
    <s v="PROJETADO"/>
    <x v="2"/>
    <x v="3"/>
    <x v="5"/>
    <x v="4"/>
    <x v="0"/>
    <x v="0"/>
    <x v="1"/>
    <x v="11"/>
    <n v="0"/>
    <n v="0"/>
    <n v="30.613"/>
    <n v="28.163959999999999"/>
    <n v="30.613"/>
    <n v="28.163959999999999"/>
    <n v="0"/>
    <x v="0"/>
    <n v="0"/>
    <n v="0"/>
    <n v="27"/>
    <n v="81"/>
    <n v="0"/>
    <n v="641.99"/>
    <n v="430.87"/>
    <m/>
    <n v="747.73459855656426"/>
    <n v="375.70671275609089"/>
    <n v="0"/>
    <n v="18080.9806804"/>
    <n v="12135.0054452"/>
    <n v="0"/>
    <n v="21059.167324363134"/>
    <n v="10581.388829794034"/>
  </r>
  <r>
    <s v="PROJETADO"/>
    <x v="2"/>
    <x v="3"/>
    <x v="5"/>
    <x v="4"/>
    <x v="0"/>
    <x v="0"/>
    <x v="1"/>
    <x v="11"/>
    <n v="0"/>
    <n v="0"/>
    <n v="0.89900000000000002"/>
    <n v="0.82708000000000004"/>
    <n v="0.89900000000000002"/>
    <n v="0.82708000000000004"/>
    <n v="0"/>
    <x v="0"/>
    <n v="0"/>
    <n v="0"/>
    <n v="27"/>
    <n v="81"/>
    <n v="0"/>
    <n v="641.99"/>
    <n v="430.87"/>
    <m/>
    <n v="747.73459855656426"/>
    <n v="375.70671275609089"/>
    <n v="0"/>
    <n v="530.97708920000002"/>
    <n v="356.36395960000004"/>
    <n v="0"/>
    <n v="618.43633177416325"/>
    <n v="310.73950798630767"/>
  </r>
  <r>
    <s v="Regular"/>
    <x v="2"/>
    <x v="3"/>
    <x v="5"/>
    <x v="0"/>
    <x v="0"/>
    <x v="0"/>
    <x v="0"/>
    <x v="0"/>
    <n v="0"/>
    <n v="0"/>
    <n v="1858.81"/>
    <n v="1710.1052"/>
    <n v="1858.81"/>
    <n v="1710.1052"/>
    <n v="0"/>
    <x v="0"/>
    <n v="0"/>
    <n v="0"/>
    <n v="28"/>
    <n v="82"/>
    <n v="0"/>
    <n v="84.45"/>
    <n v="256.38"/>
    <m/>
    <n v="87.520205040180812"/>
    <n v="230.84299908458948"/>
    <n v="0"/>
    <n v="144418.38414000001"/>
    <n v="438436.77117600001"/>
    <n v="0"/>
    <n v="149668.7577442794"/>
    <n v="394765.81311815168"/>
  </r>
  <r>
    <s v="Sistema de Compensação"/>
    <x v="2"/>
    <x v="3"/>
    <x v="5"/>
    <x v="0"/>
    <x v="0"/>
    <x v="0"/>
    <x v="0"/>
    <x v="0"/>
    <n v="0"/>
    <n v="0"/>
    <n v="25.309000000000001"/>
    <n v="23.284280000000003"/>
    <n v="25.309000000000001"/>
    <n v="23.284280000000003"/>
    <n v="0"/>
    <x v="0"/>
    <n v="0"/>
    <n v="0"/>
    <n v="28"/>
    <n v="82"/>
    <n v="0"/>
    <n v="84.45"/>
    <n v="256.38"/>
    <m/>
    <n v="87.520205040180812"/>
    <n v="230.84299908458948"/>
    <n v="0"/>
    <n v="1966.3574460000002"/>
    <n v="5969.6237064000006"/>
    <n v="0"/>
    <n v="2037.8449598129814"/>
    <n v="5375.0130267253253"/>
  </r>
  <r>
    <s v="Regular"/>
    <x v="2"/>
    <x v="3"/>
    <x v="5"/>
    <x v="0"/>
    <x v="0"/>
    <x v="0"/>
    <x v="0"/>
    <x v="1"/>
    <n v="0"/>
    <n v="0"/>
    <n v="2014.8430000000001"/>
    <n v="1853.6555600000002"/>
    <n v="2014.8430000000001"/>
    <n v="1853.6555600000002"/>
    <n v="0"/>
    <x v="0"/>
    <n v="0"/>
    <n v="0"/>
    <n v="28"/>
    <n v="82"/>
    <n v="0"/>
    <n v="84.45"/>
    <n v="256.38"/>
    <m/>
    <n v="87.520205040180812"/>
    <n v="230.84299908458948"/>
    <n v="0"/>
    <n v="156541.21204200003"/>
    <n v="475240.21247280005"/>
    <n v="0"/>
    <n v="162232.31468507121"/>
    <n v="427903.40874022426"/>
  </r>
  <r>
    <s v="Sistema de Compensação"/>
    <x v="2"/>
    <x v="3"/>
    <x v="5"/>
    <x v="0"/>
    <x v="0"/>
    <x v="0"/>
    <x v="0"/>
    <x v="1"/>
    <n v="0"/>
    <n v="0"/>
    <n v="24.013000000000002"/>
    <n v="22.091960000000004"/>
    <n v="24.013000000000002"/>
    <n v="22.091960000000004"/>
    <n v="0"/>
    <x v="0"/>
    <n v="0"/>
    <n v="0"/>
    <n v="28"/>
    <n v="82"/>
    <n v="0"/>
    <n v="84.45"/>
    <n v="256.38"/>
    <m/>
    <n v="87.520205040180812"/>
    <n v="230.84299908458948"/>
    <n v="0"/>
    <n v="1865.6660220000003"/>
    <n v="5663.9367048000013"/>
    <n v="0"/>
    <n v="1933.4928689394733"/>
    <n v="5099.7743020567887"/>
  </r>
  <r>
    <s v="Regular"/>
    <x v="2"/>
    <x v="3"/>
    <x v="5"/>
    <x v="0"/>
    <x v="0"/>
    <x v="0"/>
    <x v="0"/>
    <x v="2"/>
    <n v="0"/>
    <n v="0"/>
    <n v="1734.3440000000001"/>
    <n v="1595.5964800000002"/>
    <n v="1734.3440000000001"/>
    <n v="1595.5964800000002"/>
    <n v="0"/>
    <x v="0"/>
    <n v="0"/>
    <n v="0"/>
    <n v="28"/>
    <n v="82"/>
    <n v="0"/>
    <n v="84.45"/>
    <n v="256.38"/>
    <m/>
    <n v="87.520205040180812"/>
    <n v="230.84299908458948"/>
    <n v="0"/>
    <n v="134748.12273600002"/>
    <n v="409079.02554240002"/>
    <n v="0"/>
    <n v="139646.93109099078"/>
    <n v="368332.27677201421"/>
  </r>
  <r>
    <s v="Refaturamento - Regular"/>
    <x v="2"/>
    <x v="3"/>
    <x v="5"/>
    <x v="0"/>
    <x v="0"/>
    <x v="0"/>
    <x v="0"/>
    <x v="2"/>
    <n v="0"/>
    <n v="0"/>
    <n v="12.28"/>
    <n v="11.297599999999999"/>
    <n v="12.28"/>
    <n v="11.297599999999999"/>
    <n v="0"/>
    <x v="0"/>
    <n v="0"/>
    <n v="0"/>
    <n v="28"/>
    <n v="82"/>
    <n v="0"/>
    <n v="84.45"/>
    <n v="256.38"/>
    <m/>
    <n v="87.520205040180812"/>
    <n v="230.84299908458948"/>
    <n v="0"/>
    <n v="954.08231999999998"/>
    <n v="2896.4786879999997"/>
    <n v="0"/>
    <n v="988.76826846194672"/>
    <n v="2607.9718664580578"/>
  </r>
  <r>
    <s v="Sistema de Compensação"/>
    <x v="2"/>
    <x v="3"/>
    <x v="5"/>
    <x v="0"/>
    <x v="0"/>
    <x v="0"/>
    <x v="0"/>
    <x v="2"/>
    <n v="0"/>
    <n v="0"/>
    <n v="37.652000000000001"/>
    <n v="34.63984"/>
    <n v="37.652000000000001"/>
    <n v="34.63984"/>
    <n v="0"/>
    <x v="0"/>
    <n v="0"/>
    <n v="0"/>
    <n v="28"/>
    <n v="82"/>
    <n v="0"/>
    <n v="84.45"/>
    <n v="256.38"/>
    <m/>
    <n v="87.520205040180812"/>
    <n v="230.84299908458948"/>
    <n v="0"/>
    <n v="2925.334488"/>
    <n v="8880.9621791999998"/>
    <n v="0"/>
    <n v="3031.6858993590567"/>
    <n v="7996.3645534103262"/>
  </r>
  <r>
    <s v="Regular"/>
    <x v="2"/>
    <x v="3"/>
    <x v="5"/>
    <x v="0"/>
    <x v="0"/>
    <x v="0"/>
    <x v="0"/>
    <x v="3"/>
    <n v="0"/>
    <n v="0"/>
    <n v="1598.2159999999999"/>
    <n v="1470.3587199999999"/>
    <n v="1598.2159999999999"/>
    <n v="1470.3587199999999"/>
    <n v="0"/>
    <x v="0"/>
    <n v="0"/>
    <n v="0"/>
    <n v="28"/>
    <n v="82"/>
    <n v="0"/>
    <n v="84.45"/>
    <n v="256.38"/>
    <m/>
    <n v="87.520205040180812"/>
    <n v="230.84299908458948"/>
    <n v="0"/>
    <n v="124171.79390400001"/>
    <n v="376970.56863359996"/>
    <n v="0"/>
    <n v="128686.0966570178"/>
    <n v="339422.01665497816"/>
  </r>
  <r>
    <s v="Refaturamento - Regular"/>
    <x v="2"/>
    <x v="3"/>
    <x v="5"/>
    <x v="0"/>
    <x v="0"/>
    <x v="0"/>
    <x v="0"/>
    <x v="3"/>
    <n v="0"/>
    <n v="0"/>
    <n v="9.2140000000000004"/>
    <n v="8.4768800000000013"/>
    <n v="9.2140000000000004"/>
    <n v="8.4768800000000013"/>
    <n v="0"/>
    <x v="0"/>
    <n v="0"/>
    <n v="0"/>
    <n v="28"/>
    <n v="82"/>
    <n v="0"/>
    <n v="84.45"/>
    <n v="256.38"/>
    <m/>
    <n v="87.520205040180812"/>
    <n v="230.84299908458948"/>
    <n v="0"/>
    <n v="715.87251600000013"/>
    <n v="2173.3024944000003"/>
    <n v="0"/>
    <n v="741.89827570100806"/>
    <n v="1956.8284020801752"/>
  </r>
  <r>
    <s v="Sistema de Compensação"/>
    <x v="2"/>
    <x v="3"/>
    <x v="5"/>
    <x v="0"/>
    <x v="0"/>
    <x v="0"/>
    <x v="0"/>
    <x v="3"/>
    <n v="0"/>
    <n v="0"/>
    <n v="39.344000000000001"/>
    <n v="36.196480000000001"/>
    <n v="39.344000000000001"/>
    <n v="36.196480000000001"/>
    <n v="0"/>
    <x v="0"/>
    <n v="0"/>
    <n v="0"/>
    <n v="28"/>
    <n v="82"/>
    <n v="0"/>
    <n v="84.45"/>
    <n v="256.38"/>
    <m/>
    <n v="87.520205040180812"/>
    <n v="230.84299908458948"/>
    <n v="0"/>
    <n v="3056.7927360000003"/>
    <n v="9280.0535424000009"/>
    <n v="0"/>
    <n v="3167.923351332804"/>
    <n v="8355.7039995053619"/>
  </r>
  <r>
    <s v="Regular"/>
    <x v="2"/>
    <x v="3"/>
    <x v="5"/>
    <x v="0"/>
    <x v="0"/>
    <x v="0"/>
    <x v="0"/>
    <x v="4"/>
    <n v="0"/>
    <n v="0"/>
    <n v="1710.1890000000001"/>
    <n v="1573.3738800000001"/>
    <n v="1710.1890000000001"/>
    <n v="1573.3738800000001"/>
    <n v="0"/>
    <x v="0"/>
    <n v="0"/>
    <n v="0"/>
    <n v="28"/>
    <n v="82"/>
    <n v="0"/>
    <n v="84.45"/>
    <n v="256.38"/>
    <m/>
    <n v="87.520205040180812"/>
    <n v="230.84299908458948"/>
    <n v="0"/>
    <n v="132871.42416600001"/>
    <n v="403381.59535439999"/>
    <n v="0"/>
    <n v="137702.00458246484"/>
    <n v="363202.34514055704"/>
  </r>
  <r>
    <s v="Refaturamento - Regular"/>
    <x v="2"/>
    <x v="3"/>
    <x v="5"/>
    <x v="0"/>
    <x v="0"/>
    <x v="0"/>
    <x v="0"/>
    <x v="4"/>
    <n v="0"/>
    <n v="0"/>
    <n v="19.030999999999999"/>
    <n v="17.508520000000001"/>
    <n v="19.030999999999999"/>
    <n v="17.508520000000001"/>
    <n v="0"/>
    <x v="0"/>
    <n v="0"/>
    <n v="0"/>
    <n v="28"/>
    <n v="82"/>
    <n v="0"/>
    <n v="84.45"/>
    <n v="256.38"/>
    <m/>
    <n v="87.520205040180812"/>
    <n v="230.84299908458948"/>
    <n v="0"/>
    <n v="1478.5945140000001"/>
    <n v="4488.8343575999997"/>
    <n v="0"/>
    <n v="1532.3492603501065"/>
    <n v="4041.7192663325168"/>
  </r>
  <r>
    <s v="Sistema de Compensação"/>
    <x v="2"/>
    <x v="3"/>
    <x v="5"/>
    <x v="0"/>
    <x v="0"/>
    <x v="0"/>
    <x v="0"/>
    <x v="4"/>
    <n v="0"/>
    <n v="0"/>
    <n v="39.936999999999998"/>
    <n v="36.742040000000003"/>
    <n v="39.936999999999998"/>
    <n v="36.742040000000003"/>
    <n v="0"/>
    <x v="0"/>
    <n v="0"/>
    <n v="0"/>
    <n v="28"/>
    <n v="82"/>
    <n v="0"/>
    <n v="84.45"/>
    <n v="256.38"/>
    <m/>
    <n v="87.520205040180812"/>
    <n v="230.84299908458948"/>
    <n v="0"/>
    <n v="3102.8652780000002"/>
    <n v="9419.9242152000006"/>
    <n v="0"/>
    <n v="3215.6708743945251"/>
    <n v="8481.6427060859514"/>
  </r>
  <r>
    <s v="Regular"/>
    <x v="2"/>
    <x v="3"/>
    <x v="5"/>
    <x v="0"/>
    <x v="0"/>
    <x v="0"/>
    <x v="0"/>
    <x v="5"/>
    <n v="0"/>
    <n v="0"/>
    <n v="2112.779"/>
    <n v="1943.7566800000002"/>
    <n v="2112.779"/>
    <n v="1943.7566800000002"/>
    <n v="0"/>
    <x v="0"/>
    <n v="0"/>
    <n v="0"/>
    <n v="28"/>
    <n v="82"/>
    <n v="0"/>
    <n v="84.45"/>
    <n v="256.38"/>
    <m/>
    <n v="87.520205040180812"/>
    <n v="230.84299908458948"/>
    <n v="0"/>
    <n v="164150.25162600001"/>
    <n v="498340.33761840005"/>
    <n v="0"/>
    <n v="170117.98318182112"/>
    <n v="448702.62150190474"/>
  </r>
  <r>
    <s v="Refaturamento - Regular"/>
    <x v="2"/>
    <x v="3"/>
    <x v="5"/>
    <x v="0"/>
    <x v="0"/>
    <x v="0"/>
    <x v="0"/>
    <x v="5"/>
    <n v="0"/>
    <n v="0"/>
    <n v="16.46"/>
    <n v="15.143200000000002"/>
    <n v="16.46"/>
    <n v="15.143200000000002"/>
    <n v="0"/>
    <x v="0"/>
    <n v="0"/>
    <n v="0"/>
    <n v="28"/>
    <n v="82"/>
    <n v="0"/>
    <n v="84.45"/>
    <n v="256.38"/>
    <m/>
    <n v="87.520205040180812"/>
    <n v="230.84299908458948"/>
    <n v="0"/>
    <n v="1278.8432400000002"/>
    <n v="3882.4136160000003"/>
    <n v="0"/>
    <n v="1325.3359689644662"/>
    <n v="3495.7017037377559"/>
  </r>
  <r>
    <s v="Sistema de Compensação"/>
    <x v="2"/>
    <x v="3"/>
    <x v="5"/>
    <x v="0"/>
    <x v="0"/>
    <x v="0"/>
    <x v="0"/>
    <x v="5"/>
    <n v="0"/>
    <n v="0"/>
    <n v="54.99"/>
    <n v="50.590800000000002"/>
    <n v="54.99"/>
    <n v="50.590800000000002"/>
    <n v="0"/>
    <x v="0"/>
    <n v="0"/>
    <n v="0"/>
    <n v="28"/>
    <n v="82"/>
    <n v="0"/>
    <n v="84.45"/>
    <n v="256.38"/>
    <m/>
    <n v="87.520205040180812"/>
    <n v="230.84299908458948"/>
    <n v="0"/>
    <n v="4272.3930600000003"/>
    <n v="12970.469304"/>
    <n v="0"/>
    <n v="4427.7171891467797"/>
    <n v="11678.531998088651"/>
  </r>
  <r>
    <s v="Regular"/>
    <x v="2"/>
    <x v="3"/>
    <x v="5"/>
    <x v="0"/>
    <x v="0"/>
    <x v="0"/>
    <x v="0"/>
    <x v="6"/>
    <n v="0"/>
    <n v="0"/>
    <n v="2340.3690000000001"/>
    <n v="2153.1394800000003"/>
    <n v="2340.3690000000001"/>
    <n v="2153.1394800000003"/>
    <n v="0"/>
    <x v="0"/>
    <n v="0"/>
    <n v="0"/>
    <n v="28"/>
    <n v="82"/>
    <n v="0"/>
    <n v="84.45"/>
    <n v="256.38"/>
    <m/>
    <n v="87.520205040180812"/>
    <n v="230.84299908458948"/>
    <n v="0"/>
    <n v="181832.62908600003"/>
    <n v="552021.89988240006"/>
    <n v="0"/>
    <n v="188443.20876970832"/>
    <n v="497037.17501063354"/>
  </r>
  <r>
    <s v="Refaturamento - Regular"/>
    <x v="2"/>
    <x v="3"/>
    <x v="5"/>
    <x v="0"/>
    <x v="0"/>
    <x v="0"/>
    <x v="0"/>
    <x v="6"/>
    <n v="0"/>
    <n v="0"/>
    <n v="35.110999999999997"/>
    <n v="32.302120000000002"/>
    <n v="35.110999999999997"/>
    <n v="32.302120000000002"/>
    <n v="0"/>
    <x v="0"/>
    <n v="0"/>
    <n v="0"/>
    <n v="28"/>
    <n v="82"/>
    <n v="0"/>
    <n v="84.45"/>
    <n v="256.38"/>
    <m/>
    <n v="87.520205040180812"/>
    <n v="230.84299908458948"/>
    <n v="0"/>
    <n v="2727.9140340000004"/>
    <n v="8281.6175256000006"/>
    <n v="0"/>
    <n v="2827.0881656325255"/>
    <n v="7456.7182575902998"/>
  </r>
  <r>
    <s v="Sistema de Compensação"/>
    <x v="2"/>
    <x v="3"/>
    <x v="5"/>
    <x v="0"/>
    <x v="0"/>
    <x v="0"/>
    <x v="0"/>
    <x v="6"/>
    <n v="0"/>
    <n v="0"/>
    <n v="59.365000000000002"/>
    <n v="54.615800000000007"/>
    <n v="59.365000000000002"/>
    <n v="54.615800000000007"/>
    <n v="0"/>
    <x v="0"/>
    <n v="0"/>
    <n v="0"/>
    <n v="28"/>
    <n v="82"/>
    <n v="0"/>
    <n v="84.45"/>
    <n v="256.38"/>
    <m/>
    <n v="87.520205040180812"/>
    <n v="230.84299908458948"/>
    <n v="0"/>
    <n v="4612.3043100000004"/>
    <n v="14002.398804000002"/>
    <n v="0"/>
    <n v="4779.986014433508"/>
    <n v="12607.675069404124"/>
  </r>
  <r>
    <s v="Regular"/>
    <x v="2"/>
    <x v="3"/>
    <x v="5"/>
    <x v="0"/>
    <x v="0"/>
    <x v="0"/>
    <x v="0"/>
    <x v="7"/>
    <n v="0"/>
    <n v="0"/>
    <n v="1884.789"/>
    <n v="1734.0058800000002"/>
    <n v="1884.789"/>
    <n v="1734.0058800000002"/>
    <n v="0"/>
    <x v="0"/>
    <n v="0"/>
    <n v="0"/>
    <n v="28"/>
    <n v="82"/>
    <n v="0"/>
    <n v="84.45"/>
    <n v="256.38"/>
    <m/>
    <n v="87.520205040180812"/>
    <n v="230.84299908458948"/>
    <n v="0"/>
    <n v="146436.796566"/>
    <n v="444564.42751440004"/>
    <n v="0"/>
    <n v="151760.55015847919"/>
    <n v="400283.11776951281"/>
  </r>
  <r>
    <s v="Refaturamento - Regular"/>
    <x v="2"/>
    <x v="3"/>
    <x v="5"/>
    <x v="0"/>
    <x v="0"/>
    <x v="0"/>
    <x v="0"/>
    <x v="7"/>
    <n v="0"/>
    <n v="0"/>
    <n v="27.236000000000001"/>
    <n v="25.057120000000001"/>
    <n v="27.236000000000001"/>
    <n v="25.057120000000001"/>
    <n v="0"/>
    <x v="0"/>
    <n v="0"/>
    <n v="0"/>
    <n v="28"/>
    <n v="82"/>
    <n v="0"/>
    <n v="84.45"/>
    <n v="256.38"/>
    <m/>
    <n v="87.520205040180812"/>
    <n v="230.84299908458948"/>
    <n v="0"/>
    <n v="2116.0737840000002"/>
    <n v="6424.1444256000004"/>
    <n v="0"/>
    <n v="2193.0042801164154"/>
    <n v="5784.2607292224493"/>
  </r>
  <r>
    <s v="Sistema de Compensação"/>
    <x v="2"/>
    <x v="3"/>
    <x v="5"/>
    <x v="0"/>
    <x v="0"/>
    <x v="0"/>
    <x v="0"/>
    <x v="7"/>
    <n v="0"/>
    <n v="0"/>
    <n v="81.884"/>
    <n v="75.333280000000002"/>
    <n v="81.884"/>
    <n v="75.333280000000002"/>
    <n v="0"/>
    <x v="0"/>
    <n v="0"/>
    <n v="0"/>
    <n v="28"/>
    <n v="82"/>
    <n v="0"/>
    <n v="84.45"/>
    <n v="256.38"/>
    <m/>
    <n v="87.520205040180812"/>
    <n v="230.84299908458948"/>
    <n v="0"/>
    <n v="6361.8954960000001"/>
    <n v="19313.946326400001"/>
    <n v="0"/>
    <n v="6593.1841119493529"/>
    <n v="17390.160286079124"/>
  </r>
  <r>
    <s v="Regular"/>
    <x v="2"/>
    <x v="3"/>
    <x v="5"/>
    <x v="0"/>
    <x v="0"/>
    <x v="0"/>
    <x v="0"/>
    <x v="8"/>
    <n v="0"/>
    <n v="0"/>
    <n v="1796.68"/>
    <n v="1652.9456000000002"/>
    <n v="1796.68"/>
    <n v="1652.9456000000002"/>
    <n v="0"/>
    <x v="0"/>
    <n v="0"/>
    <n v="0"/>
    <n v="28"/>
    <n v="82"/>
    <n v="0"/>
    <n v="84.45"/>
    <n v="256.38"/>
    <m/>
    <n v="87.520205040180812"/>
    <n v="230.84299908458948"/>
    <n v="0"/>
    <n v="139591.25592000003"/>
    <n v="423782.19292800006"/>
    <n v="0"/>
    <n v="144666.13783226471"/>
    <n v="381570.91962767625"/>
  </r>
  <r>
    <s v="Refaturamento - Regular"/>
    <x v="2"/>
    <x v="3"/>
    <x v="5"/>
    <x v="0"/>
    <x v="0"/>
    <x v="0"/>
    <x v="0"/>
    <x v="8"/>
    <n v="0"/>
    <n v="0"/>
    <n v="25.707999999999998"/>
    <n v="23.65136"/>
    <n v="25.707999999999998"/>
    <n v="23.65136"/>
    <n v="0"/>
    <x v="0"/>
    <n v="0"/>
    <n v="0"/>
    <n v="28"/>
    <n v="82"/>
    <n v="0"/>
    <n v="84.45"/>
    <n v="256.38"/>
    <m/>
    <n v="87.520205040180812"/>
    <n v="230.84299908458948"/>
    <n v="0"/>
    <n v="1997.357352"/>
    <n v="6063.7356768"/>
    <n v="0"/>
    <n v="2069.9718766791307"/>
    <n v="5459.7508748292967"/>
  </r>
  <r>
    <s v="Sistema de Compensação"/>
    <x v="2"/>
    <x v="3"/>
    <x v="5"/>
    <x v="0"/>
    <x v="0"/>
    <x v="0"/>
    <x v="0"/>
    <x v="8"/>
    <n v="0"/>
    <n v="0"/>
    <n v="62.497999999999998"/>
    <n v="57.498159999999999"/>
    <n v="62.497999999999998"/>
    <n v="57.498159999999999"/>
    <n v="0"/>
    <x v="0"/>
    <n v="0"/>
    <n v="0"/>
    <n v="28"/>
    <n v="82"/>
    <n v="0"/>
    <n v="84.45"/>
    <n v="256.38"/>
    <m/>
    <n v="87.520205040180812"/>
    <n v="230.84299908458948"/>
    <n v="0"/>
    <n v="4855.7196119999999"/>
    <n v="14741.3782608"/>
    <n v="0"/>
    <n v="5032.2507526331228"/>
    <n v="13273.04769624558"/>
  </r>
  <r>
    <s v="Regular"/>
    <x v="2"/>
    <x v="3"/>
    <x v="5"/>
    <x v="0"/>
    <x v="0"/>
    <x v="0"/>
    <x v="0"/>
    <x v="9"/>
    <n v="0"/>
    <n v="0"/>
    <n v="1713.537"/>
    <n v="1576.4540400000001"/>
    <n v="1713.537"/>
    <n v="1576.4540400000001"/>
    <n v="0"/>
    <x v="0"/>
    <n v="0"/>
    <n v="0"/>
    <n v="28"/>
    <n v="82"/>
    <n v="0"/>
    <n v="84.45"/>
    <n v="256.38"/>
    <m/>
    <n v="87.520205040180812"/>
    <n v="230.84299908458948"/>
    <n v="0"/>
    <n v="133131.54367800002"/>
    <n v="404171.28677519999"/>
    <n v="0"/>
    <n v="137971.5808172214"/>
    <n v="363913.37851261738"/>
  </r>
  <r>
    <s v="Refaturamento - Regular"/>
    <x v="2"/>
    <x v="3"/>
    <x v="5"/>
    <x v="0"/>
    <x v="0"/>
    <x v="0"/>
    <x v="0"/>
    <x v="9"/>
    <n v="0"/>
    <n v="0"/>
    <n v="47.707999999999998"/>
    <n v="43.891359999999999"/>
    <n v="47.707999999999998"/>
    <n v="43.891359999999999"/>
    <n v="0"/>
    <x v="0"/>
    <n v="0"/>
    <n v="0"/>
    <n v="28"/>
    <n v="82"/>
    <n v="0"/>
    <n v="84.45"/>
    <n v="256.38"/>
    <m/>
    <n v="87.520205040180812"/>
    <n v="230.84299908458948"/>
    <n v="0"/>
    <n v="3706.625352"/>
    <n v="11252.866876799999"/>
    <n v="0"/>
    <n v="3841.3808266923902"/>
    <n v="10132.013176301387"/>
  </r>
  <r>
    <s v="Sistema de Compensação"/>
    <x v="2"/>
    <x v="3"/>
    <x v="5"/>
    <x v="0"/>
    <x v="0"/>
    <x v="0"/>
    <x v="0"/>
    <x v="9"/>
    <n v="0"/>
    <n v="0"/>
    <n v="226.25800000000001"/>
    <n v="208.15736000000001"/>
    <n v="226.25800000000001"/>
    <n v="208.15736000000001"/>
    <n v="0"/>
    <x v="0"/>
    <n v="0"/>
    <n v="0"/>
    <n v="28"/>
    <n v="82"/>
    <n v="0"/>
    <n v="84.45"/>
    <n v="256.38"/>
    <m/>
    <n v="87.520205040180812"/>
    <n v="230.84299908458948"/>
    <n v="0"/>
    <n v="17578.889052000002"/>
    <n v="53367.383956800004"/>
    <n v="0"/>
    <n v="18217.974827822734"/>
    <n v="48051.669263930562"/>
  </r>
  <r>
    <s v="Regular"/>
    <x v="2"/>
    <x v="3"/>
    <x v="5"/>
    <x v="0"/>
    <x v="0"/>
    <x v="0"/>
    <x v="0"/>
    <x v="10"/>
    <n v="0"/>
    <n v="0"/>
    <n v="1814.5129999999999"/>
    <n v="1669.35196"/>
    <n v="1814.5129999999999"/>
    <n v="1669.35196"/>
    <n v="0"/>
    <x v="0"/>
    <n v="0"/>
    <n v="0"/>
    <n v="28"/>
    <n v="82"/>
    <n v="0"/>
    <n v="84.45"/>
    <n v="256.38"/>
    <m/>
    <n v="87.520205040180812"/>
    <n v="230.84299908458948"/>
    <n v="0"/>
    <n v="140976.77302200001"/>
    <n v="427988.45550479996"/>
    <n v="0"/>
    <n v="146102.02582342771"/>
    <n v="385358.21297413763"/>
  </r>
  <r>
    <s v="Refaturamento - Regular"/>
    <x v="2"/>
    <x v="3"/>
    <x v="5"/>
    <x v="0"/>
    <x v="0"/>
    <x v="0"/>
    <x v="0"/>
    <x v="10"/>
    <n v="0"/>
    <n v="0"/>
    <n v="48.156999999999996"/>
    <n v="44.30444"/>
    <n v="48.156999999999996"/>
    <n v="44.30444"/>
    <n v="0"/>
    <x v="0"/>
    <n v="0"/>
    <n v="0"/>
    <n v="28"/>
    <n v="82"/>
    <n v="0"/>
    <n v="84.45"/>
    <n v="256.38"/>
    <m/>
    <n v="87.520205040180812"/>
    <n v="230.84299908458948"/>
    <n v="0"/>
    <n v="3741.5099580000001"/>
    <n v="11358.7723272"/>
    <n v="0"/>
    <n v="3877.5336729903884"/>
    <n v="10227.36980236325"/>
  </r>
  <r>
    <s v="Sistema de Compensação"/>
    <x v="2"/>
    <x v="3"/>
    <x v="5"/>
    <x v="0"/>
    <x v="0"/>
    <x v="0"/>
    <x v="0"/>
    <x v="10"/>
    <n v="0"/>
    <n v="0"/>
    <n v="251.316"/>
    <n v="231.21072000000001"/>
    <n v="251.316"/>
    <n v="231.21072000000001"/>
    <n v="0"/>
    <x v="0"/>
    <n v="0"/>
    <n v="0"/>
    <n v="28"/>
    <n v="82"/>
    <n v="0"/>
    <n v="84.45"/>
    <n v="256.38"/>
    <m/>
    <n v="87.520205040180812"/>
    <n v="230.84299908458948"/>
    <n v="0"/>
    <n v="19525.745304"/>
    <n v="59277.804393600003"/>
    <n v="0"/>
    <n v="20235.609621887834"/>
    <n v="53373.376025307276"/>
  </r>
  <r>
    <s v="PROJETADO"/>
    <x v="2"/>
    <x v="3"/>
    <x v="5"/>
    <x v="0"/>
    <x v="0"/>
    <x v="0"/>
    <x v="0"/>
    <x v="11"/>
    <n v="0"/>
    <n v="0"/>
    <n v="1814.5129999999999"/>
    <n v="1669.35196"/>
    <n v="1814.5129999999999"/>
    <n v="1669.35196"/>
    <n v="0"/>
    <x v="0"/>
    <n v="0"/>
    <n v="0"/>
    <n v="28"/>
    <n v="82"/>
    <n v="0"/>
    <n v="84.45"/>
    <n v="256.38"/>
    <m/>
    <n v="87.520205040180812"/>
    <n v="230.84299908458948"/>
    <n v="0"/>
    <n v="140976.77302200001"/>
    <n v="427988.45550479996"/>
    <n v="0"/>
    <n v="146102.02582342771"/>
    <n v="385358.21297413763"/>
  </r>
  <r>
    <s v="PROJETADO"/>
    <x v="2"/>
    <x v="3"/>
    <x v="5"/>
    <x v="0"/>
    <x v="0"/>
    <x v="0"/>
    <x v="0"/>
    <x v="11"/>
    <n v="0"/>
    <n v="0"/>
    <n v="48.156999999999996"/>
    <n v="44.30444"/>
    <n v="48.156999999999996"/>
    <n v="44.30444"/>
    <n v="0"/>
    <x v="0"/>
    <n v="0"/>
    <n v="0"/>
    <n v="28"/>
    <n v="82"/>
    <n v="0"/>
    <n v="84.45"/>
    <n v="256.38"/>
    <m/>
    <n v="87.520205040180812"/>
    <n v="230.84299908458948"/>
    <n v="0"/>
    <n v="3741.5099580000001"/>
    <n v="11358.7723272"/>
    <n v="0"/>
    <n v="3877.5336729903884"/>
    <n v="10227.36980236325"/>
  </r>
  <r>
    <s v="PROJETADO"/>
    <x v="2"/>
    <x v="3"/>
    <x v="5"/>
    <x v="0"/>
    <x v="0"/>
    <x v="0"/>
    <x v="0"/>
    <x v="11"/>
    <n v="0"/>
    <n v="0"/>
    <n v="251.316"/>
    <n v="231.21072000000001"/>
    <n v="251.316"/>
    <n v="231.21072000000001"/>
    <n v="0"/>
    <x v="0"/>
    <n v="0"/>
    <n v="0"/>
    <n v="28"/>
    <n v="82"/>
    <n v="0"/>
    <n v="84.45"/>
    <n v="256.38"/>
    <m/>
    <n v="87.520205040180812"/>
    <n v="230.84299908458948"/>
    <n v="0"/>
    <n v="19525.745304"/>
    <n v="59277.804393600003"/>
    <n v="0"/>
    <n v="20235.609621887834"/>
    <n v="53373.376025307276"/>
  </r>
  <r>
    <s v="Regular"/>
    <x v="2"/>
    <x v="3"/>
    <x v="5"/>
    <x v="0"/>
    <x v="0"/>
    <x v="0"/>
    <x v="2"/>
    <x v="0"/>
    <n v="7088"/>
    <n v="6520.96"/>
    <n v="0"/>
    <n v="0"/>
    <n v="0"/>
    <n v="0"/>
    <n v="53"/>
    <x v="0"/>
    <n v="0"/>
    <n v="26"/>
    <n v="0"/>
    <n v="0"/>
    <n v="8.81"/>
    <n v="0"/>
    <n v="0"/>
    <n v="11.452356648653195"/>
    <m/>
    <m/>
    <n v="57449.657600000006"/>
    <n v="0"/>
    <n v="0"/>
    <n v="74680.35961160154"/>
    <n v="0"/>
    <n v="0"/>
  </r>
  <r>
    <s v="Sistema de Compensação"/>
    <x v="2"/>
    <x v="3"/>
    <x v="5"/>
    <x v="0"/>
    <x v="0"/>
    <x v="0"/>
    <x v="2"/>
    <x v="0"/>
    <n v="872"/>
    <n v="802.24"/>
    <n v="0"/>
    <n v="0"/>
    <n v="0"/>
    <n v="0"/>
    <n v="3"/>
    <x v="0"/>
    <n v="0"/>
    <n v="26"/>
    <n v="0"/>
    <n v="0"/>
    <n v="8.81"/>
    <n v="0"/>
    <n v="0"/>
    <n v="11.452356648653195"/>
    <m/>
    <m/>
    <n v="7067.7344000000003"/>
    <n v="0"/>
    <n v="0"/>
    <n v="9187.5385978155391"/>
    <n v="0"/>
    <n v="0"/>
  </r>
  <r>
    <s v="Regular"/>
    <x v="2"/>
    <x v="3"/>
    <x v="5"/>
    <x v="0"/>
    <x v="0"/>
    <x v="0"/>
    <x v="2"/>
    <x v="1"/>
    <n v="7445"/>
    <n v="6849.4000000000005"/>
    <n v="0"/>
    <n v="0"/>
    <n v="0"/>
    <n v="0"/>
    <n v="55"/>
    <x v="0"/>
    <n v="0"/>
    <n v="26"/>
    <n v="0"/>
    <n v="0"/>
    <n v="8.81"/>
    <n v="0"/>
    <n v="0"/>
    <n v="11.452356648653195"/>
    <m/>
    <m/>
    <n v="60343.214000000007"/>
    <n v="0"/>
    <n v="0"/>
    <n v="78441.771629285198"/>
    <n v="0"/>
    <n v="0"/>
  </r>
  <r>
    <s v="Sistema de Compensação"/>
    <x v="2"/>
    <x v="3"/>
    <x v="5"/>
    <x v="0"/>
    <x v="0"/>
    <x v="0"/>
    <x v="2"/>
    <x v="1"/>
    <n v="872"/>
    <n v="802.24"/>
    <n v="0"/>
    <n v="0"/>
    <n v="0"/>
    <n v="0"/>
    <n v="3"/>
    <x v="0"/>
    <n v="0"/>
    <n v="26"/>
    <n v="0"/>
    <n v="0"/>
    <n v="8.81"/>
    <n v="0"/>
    <n v="0"/>
    <n v="11.452356648653195"/>
    <m/>
    <m/>
    <n v="7067.7344000000003"/>
    <n v="0"/>
    <n v="0"/>
    <n v="9187.5385978155391"/>
    <n v="0"/>
    <n v="0"/>
  </r>
  <r>
    <s v="Regular"/>
    <x v="2"/>
    <x v="3"/>
    <x v="5"/>
    <x v="0"/>
    <x v="0"/>
    <x v="0"/>
    <x v="2"/>
    <x v="2"/>
    <n v="6163"/>
    <n v="5669.96"/>
    <n v="0"/>
    <n v="0"/>
    <n v="0"/>
    <n v="0"/>
    <n v="55"/>
    <x v="0"/>
    <n v="0"/>
    <n v="26"/>
    <n v="0"/>
    <n v="0"/>
    <n v="8.81"/>
    <n v="0"/>
    <n v="0"/>
    <n v="11.452356648653195"/>
    <m/>
    <m/>
    <n v="49952.347600000001"/>
    <n v="0"/>
    <n v="0"/>
    <n v="64934.40410359767"/>
    <n v="0"/>
    <n v="0"/>
  </r>
  <r>
    <s v="Refaturamento - Regular"/>
    <x v="2"/>
    <x v="3"/>
    <x v="5"/>
    <x v="0"/>
    <x v="0"/>
    <x v="0"/>
    <x v="2"/>
    <x v="2"/>
    <n v="38"/>
    <n v="34.96"/>
    <n v="0"/>
    <n v="0"/>
    <n v="0"/>
    <n v="0"/>
    <n v="1"/>
    <x v="0"/>
    <n v="0"/>
    <n v="26"/>
    <n v="0"/>
    <n v="0"/>
    <n v="8.81"/>
    <n v="0"/>
    <n v="0"/>
    <n v="11.452356648653195"/>
    <m/>
    <m/>
    <n v="307.99760000000003"/>
    <n v="0"/>
    <n v="0"/>
    <n v="400.37438843691569"/>
    <n v="0"/>
    <n v="0"/>
  </r>
  <r>
    <s v="Sistema de Compensação"/>
    <x v="2"/>
    <x v="3"/>
    <x v="5"/>
    <x v="0"/>
    <x v="0"/>
    <x v="0"/>
    <x v="2"/>
    <x v="2"/>
    <n v="872"/>
    <n v="802.24"/>
    <n v="0"/>
    <n v="0"/>
    <n v="0"/>
    <n v="0"/>
    <n v="3"/>
    <x v="0"/>
    <n v="0"/>
    <n v="26"/>
    <n v="0"/>
    <n v="0"/>
    <n v="8.81"/>
    <n v="0"/>
    <n v="0"/>
    <n v="11.452356648653195"/>
    <m/>
    <m/>
    <n v="7067.7344000000003"/>
    <n v="0"/>
    <n v="0"/>
    <n v="9187.5385978155391"/>
    <n v="0"/>
    <n v="0"/>
  </r>
  <r>
    <s v="Regular"/>
    <x v="2"/>
    <x v="3"/>
    <x v="5"/>
    <x v="0"/>
    <x v="0"/>
    <x v="0"/>
    <x v="2"/>
    <x v="3"/>
    <n v="5817"/>
    <n v="5351.64"/>
    <n v="0"/>
    <n v="0"/>
    <n v="0"/>
    <n v="0"/>
    <n v="53"/>
    <x v="0"/>
    <n v="0"/>
    <n v="26"/>
    <n v="0"/>
    <n v="0"/>
    <n v="8.81"/>
    <n v="0"/>
    <n v="0"/>
    <n v="11.452356648653195"/>
    <m/>
    <m/>
    <n v="47147.948400000008"/>
    <n v="0"/>
    <n v="0"/>
    <n v="61288.889935198386"/>
    <n v="0"/>
    <n v="0"/>
  </r>
  <r>
    <s v="Refaturamento - Regular"/>
    <x v="2"/>
    <x v="3"/>
    <x v="5"/>
    <x v="0"/>
    <x v="0"/>
    <x v="0"/>
    <x v="2"/>
    <x v="3"/>
    <n v="232"/>
    <n v="213.44"/>
    <n v="0"/>
    <n v="0"/>
    <n v="0"/>
    <n v="0"/>
    <n v="1"/>
    <x v="0"/>
    <n v="0"/>
    <n v="26"/>
    <n v="0"/>
    <n v="0"/>
    <n v="8.81"/>
    <n v="0"/>
    <n v="0"/>
    <n v="11.452356648653195"/>
    <m/>
    <m/>
    <n v="1880.4064000000001"/>
    <n v="0"/>
    <n v="0"/>
    <n v="2444.3910030885381"/>
    <n v="0"/>
    <n v="0"/>
  </r>
  <r>
    <s v="Sistema de Compensação"/>
    <x v="2"/>
    <x v="3"/>
    <x v="5"/>
    <x v="0"/>
    <x v="0"/>
    <x v="0"/>
    <x v="2"/>
    <x v="3"/>
    <n v="872"/>
    <n v="802.24"/>
    <n v="0"/>
    <n v="0"/>
    <n v="0"/>
    <n v="0"/>
    <n v="3"/>
    <x v="0"/>
    <n v="0"/>
    <n v="26"/>
    <n v="0"/>
    <n v="0"/>
    <n v="8.81"/>
    <n v="0"/>
    <n v="0"/>
    <n v="11.452356648653195"/>
    <m/>
    <m/>
    <n v="7067.7344000000003"/>
    <n v="0"/>
    <n v="0"/>
    <n v="9187.5385978155391"/>
    <n v="0"/>
    <n v="0"/>
  </r>
  <r>
    <s v="Regular"/>
    <x v="2"/>
    <x v="3"/>
    <x v="5"/>
    <x v="0"/>
    <x v="0"/>
    <x v="0"/>
    <x v="2"/>
    <x v="4"/>
    <n v="6431"/>
    <n v="5916.52"/>
    <n v="0"/>
    <n v="0"/>
    <n v="0"/>
    <n v="0"/>
    <n v="54"/>
    <x v="0"/>
    <n v="0"/>
    <n v="26"/>
    <n v="0"/>
    <n v="0"/>
    <n v="8.81"/>
    <n v="0"/>
    <n v="0"/>
    <n v="11.452356648653195"/>
    <m/>
    <m/>
    <n v="52124.541200000007"/>
    <n v="0"/>
    <n v="0"/>
    <n v="67758.097158889606"/>
    <n v="0"/>
    <n v="0"/>
  </r>
  <r>
    <s v="Refaturamento - Regular"/>
    <x v="2"/>
    <x v="3"/>
    <x v="5"/>
    <x v="0"/>
    <x v="0"/>
    <x v="0"/>
    <x v="2"/>
    <x v="4"/>
    <n v="227"/>
    <n v="208.84"/>
    <n v="0"/>
    <n v="0"/>
    <n v="0"/>
    <n v="0"/>
    <n v="1"/>
    <x v="0"/>
    <n v="0"/>
    <n v="26"/>
    <n v="0"/>
    <n v="0"/>
    <n v="8.81"/>
    <n v="0"/>
    <n v="0"/>
    <n v="11.452356648653195"/>
    <m/>
    <m/>
    <n v="1839.8804000000002"/>
    <n v="0"/>
    <n v="0"/>
    <n v="2391.7101625047335"/>
    <n v="0"/>
    <n v="0"/>
  </r>
  <r>
    <s v="Sistema de Compensação"/>
    <x v="2"/>
    <x v="3"/>
    <x v="5"/>
    <x v="0"/>
    <x v="0"/>
    <x v="0"/>
    <x v="2"/>
    <x v="4"/>
    <n v="872"/>
    <n v="802.24"/>
    <n v="0"/>
    <n v="0"/>
    <n v="0"/>
    <n v="0"/>
    <n v="3"/>
    <x v="0"/>
    <n v="0"/>
    <n v="26"/>
    <n v="0"/>
    <n v="0"/>
    <n v="8.81"/>
    <n v="0"/>
    <n v="0"/>
    <n v="11.452356648653195"/>
    <m/>
    <m/>
    <n v="7067.7344000000003"/>
    <n v="0"/>
    <n v="0"/>
    <n v="9187.5385978155391"/>
    <n v="0"/>
    <n v="0"/>
  </r>
  <r>
    <s v="Regular"/>
    <x v="2"/>
    <x v="3"/>
    <x v="5"/>
    <x v="0"/>
    <x v="0"/>
    <x v="0"/>
    <x v="2"/>
    <x v="5"/>
    <n v="6985"/>
    <n v="6426.2000000000007"/>
    <n v="0"/>
    <n v="0"/>
    <n v="0"/>
    <n v="0"/>
    <n v="56"/>
    <x v="0"/>
    <n v="0"/>
    <n v="26"/>
    <n v="0"/>
    <n v="0"/>
    <n v="8.81"/>
    <n v="0"/>
    <n v="0"/>
    <n v="11.452356648653195"/>
    <m/>
    <m/>
    <n v="56614.822000000007"/>
    <n v="0"/>
    <n v="0"/>
    <n v="73595.134295575175"/>
    <n v="0"/>
    <n v="0"/>
  </r>
  <r>
    <s v="Refaturamento - Regular"/>
    <x v="2"/>
    <x v="3"/>
    <x v="5"/>
    <x v="0"/>
    <x v="0"/>
    <x v="0"/>
    <x v="2"/>
    <x v="5"/>
    <n v="227"/>
    <n v="208.84"/>
    <n v="0"/>
    <n v="0"/>
    <n v="0"/>
    <n v="0"/>
    <n v="1"/>
    <x v="0"/>
    <n v="0"/>
    <n v="26"/>
    <n v="0"/>
    <n v="0"/>
    <n v="8.81"/>
    <n v="0"/>
    <n v="0"/>
    <n v="11.452356648653195"/>
    <m/>
    <m/>
    <n v="1839.8804000000002"/>
    <n v="0"/>
    <n v="0"/>
    <n v="2391.7101625047335"/>
    <n v="0"/>
    <n v="0"/>
  </r>
  <r>
    <s v="Sistema de Compensação"/>
    <x v="2"/>
    <x v="3"/>
    <x v="5"/>
    <x v="0"/>
    <x v="0"/>
    <x v="0"/>
    <x v="2"/>
    <x v="5"/>
    <n v="872"/>
    <n v="802.24"/>
    <n v="0"/>
    <n v="0"/>
    <n v="0"/>
    <n v="0"/>
    <n v="3"/>
    <x v="0"/>
    <n v="0"/>
    <n v="26"/>
    <n v="0"/>
    <n v="0"/>
    <n v="8.81"/>
    <n v="0"/>
    <n v="0"/>
    <n v="11.452356648653195"/>
    <m/>
    <m/>
    <n v="7067.7344000000003"/>
    <n v="0"/>
    <n v="0"/>
    <n v="9187.5385978155391"/>
    <n v="0"/>
    <n v="0"/>
  </r>
  <r>
    <s v="Regular"/>
    <x v="2"/>
    <x v="3"/>
    <x v="5"/>
    <x v="0"/>
    <x v="0"/>
    <x v="0"/>
    <x v="2"/>
    <x v="6"/>
    <n v="7575"/>
    <n v="6969"/>
    <n v="0"/>
    <n v="0"/>
    <n v="0"/>
    <n v="0"/>
    <n v="54"/>
    <x v="0"/>
    <n v="0"/>
    <n v="26"/>
    <n v="0"/>
    <n v="0"/>
    <n v="8.81"/>
    <n v="0"/>
    <n v="0"/>
    <n v="11.452356648653195"/>
    <m/>
    <m/>
    <n v="61396.890000000007"/>
    <n v="0"/>
    <n v="0"/>
    <n v="79811.473484464121"/>
    <n v="0"/>
    <n v="0"/>
  </r>
  <r>
    <s v="Refaturamento - Regular"/>
    <x v="2"/>
    <x v="3"/>
    <x v="5"/>
    <x v="0"/>
    <x v="0"/>
    <x v="0"/>
    <x v="2"/>
    <x v="6"/>
    <n v="273"/>
    <n v="251.16000000000003"/>
    <n v="0"/>
    <n v="0"/>
    <n v="0"/>
    <n v="0"/>
    <n v="2"/>
    <x v="0"/>
    <n v="0"/>
    <n v="26"/>
    <n v="0"/>
    <n v="0"/>
    <n v="8.81"/>
    <n v="0"/>
    <n v="0"/>
    <n v="11.452356648653195"/>
    <m/>
    <m/>
    <n v="2212.7196000000004"/>
    <n v="0"/>
    <n v="0"/>
    <n v="2876.3738958757367"/>
    <n v="0"/>
    <n v="0"/>
  </r>
  <r>
    <s v="Sistema de Compensação"/>
    <x v="2"/>
    <x v="3"/>
    <x v="5"/>
    <x v="0"/>
    <x v="0"/>
    <x v="0"/>
    <x v="2"/>
    <x v="6"/>
    <n v="872"/>
    <n v="802.24"/>
    <n v="0"/>
    <n v="0"/>
    <n v="0"/>
    <n v="0"/>
    <n v="3"/>
    <x v="0"/>
    <n v="0"/>
    <n v="26"/>
    <n v="0"/>
    <n v="0"/>
    <n v="8.81"/>
    <n v="0"/>
    <n v="0"/>
    <n v="11.452356648653195"/>
    <m/>
    <m/>
    <n v="7067.7344000000003"/>
    <n v="0"/>
    <n v="0"/>
    <n v="9187.5385978155391"/>
    <n v="0"/>
    <n v="0"/>
  </r>
  <r>
    <s v="Regular"/>
    <x v="2"/>
    <x v="3"/>
    <x v="5"/>
    <x v="0"/>
    <x v="0"/>
    <x v="0"/>
    <x v="2"/>
    <x v="7"/>
    <n v="6137"/>
    <n v="5646.04"/>
    <n v="0"/>
    <n v="0"/>
    <n v="0"/>
    <n v="0"/>
    <n v="54"/>
    <x v="0"/>
    <n v="0"/>
    <n v="26"/>
    <n v="0"/>
    <n v="0"/>
    <n v="8.81"/>
    <n v="0"/>
    <n v="0"/>
    <n v="11.452356648653195"/>
    <m/>
    <m/>
    <n v="49741.612400000005"/>
    <n v="0"/>
    <n v="0"/>
    <n v="64660.463732561882"/>
    <n v="0"/>
    <n v="0"/>
  </r>
  <r>
    <s v="Refaturamento - Regular"/>
    <x v="2"/>
    <x v="3"/>
    <x v="5"/>
    <x v="0"/>
    <x v="0"/>
    <x v="0"/>
    <x v="2"/>
    <x v="7"/>
    <n v="471"/>
    <n v="433.32"/>
    <n v="0"/>
    <n v="0"/>
    <n v="0"/>
    <n v="0"/>
    <n v="2"/>
    <x v="0"/>
    <n v="0"/>
    <n v="26"/>
    <n v="0"/>
    <n v="0"/>
    <n v="8.81"/>
    <n v="0"/>
    <n v="0"/>
    <n v="11.452356648653195"/>
    <m/>
    <m/>
    <n v="3817.5492000000004"/>
    <n v="0"/>
    <n v="0"/>
    <n v="4962.535182994402"/>
    <n v="0"/>
    <n v="0"/>
  </r>
  <r>
    <s v="Sistema de Compensação"/>
    <x v="2"/>
    <x v="3"/>
    <x v="5"/>
    <x v="0"/>
    <x v="0"/>
    <x v="0"/>
    <x v="2"/>
    <x v="7"/>
    <n v="1120"/>
    <n v="1030.4000000000001"/>
    <n v="0"/>
    <n v="0"/>
    <n v="0"/>
    <n v="0"/>
    <n v="4"/>
    <x v="0"/>
    <n v="0"/>
    <n v="26"/>
    <n v="0"/>
    <n v="0"/>
    <n v="8.81"/>
    <n v="0"/>
    <n v="0"/>
    <n v="11.452356648653195"/>
    <m/>
    <m/>
    <n v="9077.8240000000005"/>
    <n v="0"/>
    <n v="0"/>
    <n v="11800.508290772254"/>
    <n v="0"/>
    <n v="0"/>
  </r>
  <r>
    <s v="Regular"/>
    <x v="2"/>
    <x v="3"/>
    <x v="5"/>
    <x v="0"/>
    <x v="0"/>
    <x v="0"/>
    <x v="2"/>
    <x v="8"/>
    <n v="5979"/>
    <n v="5500.68"/>
    <n v="0"/>
    <n v="0"/>
    <n v="0"/>
    <n v="0"/>
    <n v="56"/>
    <x v="0"/>
    <n v="0"/>
    <n v="26"/>
    <n v="0"/>
    <n v="0"/>
    <n v="8.81"/>
    <n v="0"/>
    <n v="0"/>
    <n v="11.452356648653195"/>
    <m/>
    <m/>
    <n v="48460.990800000007"/>
    <n v="0"/>
    <n v="0"/>
    <n v="62995.749170113661"/>
    <n v="0"/>
    <n v="0"/>
  </r>
  <r>
    <s v="Refaturamento - Regular"/>
    <x v="2"/>
    <x v="3"/>
    <x v="5"/>
    <x v="0"/>
    <x v="0"/>
    <x v="0"/>
    <x v="2"/>
    <x v="8"/>
    <n v="397"/>
    <n v="365.24"/>
    <n v="0"/>
    <n v="0"/>
    <n v="0"/>
    <n v="0"/>
    <n v="2"/>
    <x v="0"/>
    <n v="0"/>
    <n v="26"/>
    <n v="0"/>
    <n v="0"/>
    <n v="8.81"/>
    <n v="0"/>
    <n v="0"/>
    <n v="11.452356648653195"/>
    <m/>
    <m/>
    <n v="3217.7644000000005"/>
    <n v="0"/>
    <n v="0"/>
    <n v="4182.858742354093"/>
    <n v="0"/>
    <n v="0"/>
  </r>
  <r>
    <s v="Sistema de Compensação"/>
    <x v="2"/>
    <x v="3"/>
    <x v="5"/>
    <x v="0"/>
    <x v="0"/>
    <x v="0"/>
    <x v="2"/>
    <x v="8"/>
    <n v="1396"/>
    <n v="1284.3200000000002"/>
    <n v="0"/>
    <n v="0"/>
    <n v="0"/>
    <n v="0"/>
    <n v="5"/>
    <x v="0"/>
    <n v="0"/>
    <n v="26"/>
    <n v="0"/>
    <n v="0"/>
    <n v="8.81"/>
    <n v="0"/>
    <n v="0"/>
    <n v="11.452356648653195"/>
    <m/>
    <m/>
    <n v="11314.859200000003"/>
    <n v="0"/>
    <n v="0"/>
    <n v="14708.490690998273"/>
    <n v="0"/>
    <n v="0"/>
  </r>
  <r>
    <s v="Regular"/>
    <x v="2"/>
    <x v="3"/>
    <x v="5"/>
    <x v="0"/>
    <x v="0"/>
    <x v="0"/>
    <x v="2"/>
    <x v="9"/>
    <n v="5798"/>
    <n v="5334.16"/>
    <n v="0"/>
    <n v="0"/>
    <n v="0"/>
    <n v="0"/>
    <n v="55"/>
    <x v="0"/>
    <n v="0"/>
    <n v="26"/>
    <n v="0"/>
    <n v="0"/>
    <n v="8.81"/>
    <n v="0"/>
    <n v="0"/>
    <n v="11.452356648653195"/>
    <m/>
    <m/>
    <n v="46993.9496"/>
    <n v="0"/>
    <n v="0"/>
    <n v="61088.702740979927"/>
    <n v="0"/>
    <n v="0"/>
  </r>
  <r>
    <s v="Refaturamento - Regular"/>
    <x v="2"/>
    <x v="3"/>
    <x v="5"/>
    <x v="0"/>
    <x v="0"/>
    <x v="0"/>
    <x v="2"/>
    <x v="9"/>
    <n v="455"/>
    <n v="418.6"/>
    <n v="0"/>
    <n v="0"/>
    <n v="0"/>
    <n v="0"/>
    <n v="2"/>
    <x v="0"/>
    <n v="0"/>
    <n v="26"/>
    <n v="0"/>
    <n v="0"/>
    <n v="8.81"/>
    <n v="0"/>
    <n v="0"/>
    <n v="11.452356648653195"/>
    <m/>
    <m/>
    <n v="3687.8660000000004"/>
    <n v="0"/>
    <n v="0"/>
    <n v="4793.9564931262275"/>
    <n v="0"/>
    <n v="0"/>
  </r>
  <r>
    <s v="Sistema de Compensação"/>
    <x v="2"/>
    <x v="3"/>
    <x v="5"/>
    <x v="0"/>
    <x v="0"/>
    <x v="0"/>
    <x v="2"/>
    <x v="9"/>
    <n v="1893"/>
    <n v="1741.5600000000002"/>
    <n v="0"/>
    <n v="0"/>
    <n v="0"/>
    <n v="0"/>
    <n v="5"/>
    <x v="0"/>
    <n v="0"/>
    <n v="26"/>
    <n v="0"/>
    <n v="0"/>
    <n v="8.81"/>
    <n v="0"/>
    <n v="0"/>
    <n v="11.452356648653195"/>
    <m/>
    <m/>
    <n v="15343.143600000003"/>
    <n v="0"/>
    <n v="0"/>
    <n v="19944.96624502846"/>
    <n v="0"/>
    <n v="0"/>
  </r>
  <r>
    <s v="Regular"/>
    <x v="2"/>
    <x v="3"/>
    <x v="5"/>
    <x v="0"/>
    <x v="0"/>
    <x v="0"/>
    <x v="2"/>
    <x v="10"/>
    <n v="6044"/>
    <n v="5560.4800000000005"/>
    <n v="0"/>
    <n v="0"/>
    <n v="0"/>
    <n v="0"/>
    <n v="54"/>
    <x v="0"/>
    <n v="0"/>
    <n v="26"/>
    <n v="0"/>
    <n v="0"/>
    <n v="8.81"/>
    <n v="0"/>
    <n v="0"/>
    <n v="11.452356648653195"/>
    <m/>
    <m/>
    <n v="48987.82880000001"/>
    <n v="0"/>
    <n v="0"/>
    <n v="63680.600097703122"/>
    <n v="0"/>
    <n v="0"/>
  </r>
  <r>
    <s v="Refaturamento - Regular"/>
    <x v="2"/>
    <x v="3"/>
    <x v="5"/>
    <x v="0"/>
    <x v="0"/>
    <x v="0"/>
    <x v="2"/>
    <x v="10"/>
    <n v="513"/>
    <n v="471.96000000000004"/>
    <n v="0"/>
    <n v="0"/>
    <n v="0"/>
    <n v="0"/>
    <n v="2"/>
    <x v="0"/>
    <n v="0"/>
    <n v="26"/>
    <n v="0"/>
    <n v="0"/>
    <n v="8.81"/>
    <n v="0"/>
    <n v="0"/>
    <n v="11.452356648653195"/>
    <m/>
    <m/>
    <n v="4157.9676000000009"/>
    <n v="0"/>
    <n v="0"/>
    <n v="5405.0542438983621"/>
    <n v="0"/>
    <n v="0"/>
  </r>
  <r>
    <s v="Sistema de Compensação"/>
    <x v="2"/>
    <x v="3"/>
    <x v="5"/>
    <x v="0"/>
    <x v="0"/>
    <x v="0"/>
    <x v="2"/>
    <x v="10"/>
    <n v="1996"/>
    <n v="1836.3200000000002"/>
    <n v="0"/>
    <n v="0"/>
    <n v="0"/>
    <n v="0"/>
    <n v="5"/>
    <x v="0"/>
    <n v="0"/>
    <n v="26"/>
    <n v="0"/>
    <n v="0"/>
    <n v="8.81"/>
    <n v="0"/>
    <n v="0"/>
    <n v="11.452356648653195"/>
    <m/>
    <m/>
    <n v="16177.979200000002"/>
    <n v="0"/>
    <n v="0"/>
    <n v="21030.191561054839"/>
    <n v="0"/>
    <n v="0"/>
  </r>
  <r>
    <s v="PROJETADO"/>
    <x v="2"/>
    <x v="3"/>
    <x v="5"/>
    <x v="0"/>
    <x v="0"/>
    <x v="0"/>
    <x v="2"/>
    <x v="11"/>
    <n v="6044"/>
    <n v="5560.4800000000005"/>
    <n v="0"/>
    <n v="0"/>
    <n v="0"/>
    <n v="0"/>
    <n v="54"/>
    <x v="0"/>
    <n v="0"/>
    <n v="26"/>
    <n v="0"/>
    <n v="0"/>
    <n v="8.81"/>
    <n v="0"/>
    <n v="0"/>
    <n v="11.452356648653195"/>
    <m/>
    <m/>
    <n v="48987.82880000001"/>
    <n v="0"/>
    <n v="0"/>
    <n v="63680.600097703122"/>
    <n v="0"/>
    <n v="0"/>
  </r>
  <r>
    <s v="PROJETADO"/>
    <x v="2"/>
    <x v="3"/>
    <x v="5"/>
    <x v="0"/>
    <x v="0"/>
    <x v="0"/>
    <x v="2"/>
    <x v="11"/>
    <n v="513"/>
    <n v="471.96000000000004"/>
    <n v="0"/>
    <n v="0"/>
    <n v="0"/>
    <n v="0"/>
    <n v="2"/>
    <x v="0"/>
    <n v="0"/>
    <n v="26"/>
    <n v="0"/>
    <n v="0"/>
    <n v="8.81"/>
    <n v="0"/>
    <n v="0"/>
    <n v="11.452356648653195"/>
    <m/>
    <m/>
    <n v="4157.9676000000009"/>
    <n v="0"/>
    <n v="0"/>
    <n v="5405.0542438983621"/>
    <n v="0"/>
    <n v="0"/>
  </r>
  <r>
    <s v="PROJETADO"/>
    <x v="2"/>
    <x v="3"/>
    <x v="5"/>
    <x v="0"/>
    <x v="0"/>
    <x v="0"/>
    <x v="2"/>
    <x v="11"/>
    <n v="1996"/>
    <n v="1836.3200000000002"/>
    <n v="0"/>
    <n v="0"/>
    <n v="0"/>
    <n v="0"/>
    <n v="5"/>
    <x v="0"/>
    <n v="0"/>
    <n v="26"/>
    <n v="0"/>
    <n v="0"/>
    <n v="8.81"/>
    <n v="0"/>
    <n v="0"/>
    <n v="11.452356648653195"/>
    <m/>
    <m/>
    <n v="16177.979200000002"/>
    <n v="0"/>
    <n v="0"/>
    <n v="21030.191561054839"/>
    <n v="0"/>
    <n v="0"/>
  </r>
  <r>
    <s v="Regular"/>
    <x v="2"/>
    <x v="3"/>
    <x v="5"/>
    <x v="0"/>
    <x v="0"/>
    <x v="0"/>
    <x v="1"/>
    <x v="0"/>
    <n v="0"/>
    <n v="0"/>
    <n v="167.59899999999999"/>
    <n v="154.19108"/>
    <n v="167.59899999999999"/>
    <n v="154.19108"/>
    <n v="0"/>
    <x v="0"/>
    <n v="0"/>
    <n v="0"/>
    <n v="27"/>
    <n v="81"/>
    <n v="0"/>
    <n v="641.99"/>
    <n v="430.87"/>
    <m/>
    <n v="747.73459855656426"/>
    <n v="375.70671275609089"/>
    <n v="0"/>
    <n v="98989.131449199995"/>
    <n v="66436.310639600008"/>
    <n v="0"/>
    <n v="115294.00530480308"/>
    <n v="57930.623803111434"/>
  </r>
  <r>
    <s v="Sistema de Compensação"/>
    <x v="2"/>
    <x v="3"/>
    <x v="5"/>
    <x v="0"/>
    <x v="0"/>
    <x v="0"/>
    <x v="1"/>
    <x v="0"/>
    <n v="0"/>
    <n v="0"/>
    <n v="17.416"/>
    <n v="16.02272"/>
    <n v="17.416"/>
    <n v="16.02272"/>
    <n v="0"/>
    <x v="0"/>
    <n v="0"/>
    <n v="0"/>
    <n v="27"/>
    <n v="81"/>
    <n v="0"/>
    <n v="641.99"/>
    <n v="430.87"/>
    <m/>
    <n v="747.73459855656426"/>
    <n v="375.70671275609089"/>
    <n v="0"/>
    <n v="10286.426012800001"/>
    <n v="6903.7093664000004"/>
    <n v="0"/>
    <n v="11980.742106984233"/>
    <n v="6019.8434606112723"/>
  </r>
  <r>
    <s v="Regular"/>
    <x v="2"/>
    <x v="3"/>
    <x v="5"/>
    <x v="0"/>
    <x v="0"/>
    <x v="0"/>
    <x v="1"/>
    <x v="1"/>
    <n v="0"/>
    <n v="0"/>
    <n v="181.14400000000001"/>
    <n v="166.65248000000003"/>
    <n v="181.14400000000001"/>
    <n v="166.65248000000003"/>
    <n v="0"/>
    <x v="0"/>
    <n v="0"/>
    <n v="0"/>
    <n v="27"/>
    <n v="81"/>
    <n v="0"/>
    <n v="641.99"/>
    <n v="430.87"/>
    <m/>
    <n v="747.73459855656426"/>
    <n v="375.70671275609089"/>
    <n v="0"/>
    <n v="106989.22563520001"/>
    <n v="71805.554057600006"/>
    <n v="0"/>
    <n v="124611.82523125588"/>
    <n v="62612.455433450195"/>
  </r>
  <r>
    <s v="Sistema de Compensação"/>
    <x v="2"/>
    <x v="3"/>
    <x v="5"/>
    <x v="0"/>
    <x v="0"/>
    <x v="0"/>
    <x v="1"/>
    <x v="1"/>
    <n v="0"/>
    <n v="0"/>
    <n v="1.5629999999999999"/>
    <n v="1.4379599999999999"/>
    <n v="1.5629999999999999"/>
    <n v="1.4379599999999999"/>
    <n v="0"/>
    <x v="0"/>
    <n v="0"/>
    <n v="0"/>
    <n v="27"/>
    <n v="81"/>
    <n v="0"/>
    <n v="641.99"/>
    <n v="430.87"/>
    <m/>
    <n v="747.73459855656426"/>
    <n v="375.70671275609089"/>
    <n v="0"/>
    <n v="923.15594039999996"/>
    <n v="619.57382519999999"/>
    <n v="0"/>
    <n v="1075.2124433403972"/>
    <n v="540.25122467474841"/>
  </r>
  <r>
    <s v="Regular"/>
    <x v="2"/>
    <x v="3"/>
    <x v="5"/>
    <x v="0"/>
    <x v="0"/>
    <x v="0"/>
    <x v="1"/>
    <x v="2"/>
    <n v="0"/>
    <n v="0"/>
    <n v="150.98500000000001"/>
    <n v="138.90620000000001"/>
    <n v="150.98500000000001"/>
    <n v="138.90620000000001"/>
    <n v="0"/>
    <x v="0"/>
    <n v="0"/>
    <n v="0"/>
    <n v="27"/>
    <n v="81"/>
    <n v="0"/>
    <n v="641.99"/>
    <n v="430.87"/>
    <m/>
    <n v="747.73459855656426"/>
    <n v="375.70671275609089"/>
    <n v="0"/>
    <n v="89176.391338000016"/>
    <n v="59850.514394000005"/>
    <n v="0"/>
    <n v="103864.97169401783"/>
    <n v="52187.99178344012"/>
  </r>
  <r>
    <s v="Refaturamento - Regular"/>
    <x v="2"/>
    <x v="3"/>
    <x v="5"/>
    <x v="0"/>
    <x v="0"/>
    <x v="0"/>
    <x v="1"/>
    <x v="2"/>
    <n v="0"/>
    <n v="0"/>
    <n v="0.311"/>
    <n v="0.28611999999999999"/>
    <n v="0.311"/>
    <n v="0.28611999999999999"/>
    <n v="0"/>
    <x v="0"/>
    <n v="0"/>
    <n v="0"/>
    <n v="27"/>
    <n v="81"/>
    <n v="0"/>
    <n v="641.99"/>
    <n v="430.87"/>
    <m/>
    <n v="747.73459855656426"/>
    <n v="375.70671275609089"/>
    <n v="0"/>
    <n v="183.68617879999999"/>
    <n v="123.28052439999999"/>
    <n v="0"/>
    <n v="213.94182333900415"/>
    <n v="107.49720465377273"/>
  </r>
  <r>
    <s v="Sistema de Compensação"/>
    <x v="2"/>
    <x v="3"/>
    <x v="5"/>
    <x v="0"/>
    <x v="0"/>
    <x v="0"/>
    <x v="1"/>
    <x v="2"/>
    <n v="0"/>
    <n v="0"/>
    <n v="0.875"/>
    <n v="0.80500000000000005"/>
    <n v="0.875"/>
    <n v="0.80500000000000005"/>
    <n v="0"/>
    <x v="0"/>
    <n v="0"/>
    <n v="0"/>
    <n v="27"/>
    <n v="81"/>
    <n v="0"/>
    <n v="641.99"/>
    <n v="430.87"/>
    <m/>
    <n v="747.73459855656426"/>
    <n v="375.70671275609089"/>
    <n v="0"/>
    <n v="516.80195000000003"/>
    <n v="346.85035000000005"/>
    <n v="0"/>
    <n v="601.92635183803429"/>
    <n v="302.44390376865317"/>
  </r>
  <r>
    <s v="Regular"/>
    <x v="2"/>
    <x v="3"/>
    <x v="5"/>
    <x v="0"/>
    <x v="0"/>
    <x v="0"/>
    <x v="1"/>
    <x v="3"/>
    <n v="0"/>
    <n v="0"/>
    <n v="126.56699999999999"/>
    <n v="116.44163999999999"/>
    <n v="126.56699999999999"/>
    <n v="116.44163999999999"/>
    <n v="0"/>
    <x v="0"/>
    <n v="0"/>
    <n v="0"/>
    <n v="27"/>
    <n v="81"/>
    <n v="0"/>
    <n v="641.99"/>
    <n v="430.87"/>
    <m/>
    <n v="747.73459855656426"/>
    <n v="375.70671275609089"/>
    <n v="0"/>
    <n v="74754.368463599996"/>
    <n v="50171.2094268"/>
    <n v="0"/>
    <n v="87067.44294066797"/>
    <n v="43747.905792328143"/>
  </r>
  <r>
    <s v="Sistema de Compensação"/>
    <x v="2"/>
    <x v="3"/>
    <x v="5"/>
    <x v="0"/>
    <x v="0"/>
    <x v="0"/>
    <x v="1"/>
    <x v="3"/>
    <n v="0"/>
    <n v="0"/>
    <n v="1.6359999999999999"/>
    <n v="1.50512"/>
    <n v="1.6359999999999999"/>
    <n v="1.50512"/>
    <n v="0"/>
    <x v="0"/>
    <n v="0"/>
    <n v="0"/>
    <n v="27"/>
    <n v="81"/>
    <n v="0"/>
    <n v="641.99"/>
    <n v="430.87"/>
    <m/>
    <n v="747.73459855656426"/>
    <n v="375.70671275609089"/>
    <n v="0"/>
    <n v="966.27198880000003"/>
    <n v="648.51105440000003"/>
    <n v="0"/>
    <n v="1125.430298979456"/>
    <n v="565.48368750344753"/>
  </r>
  <r>
    <s v="Regular"/>
    <x v="2"/>
    <x v="3"/>
    <x v="5"/>
    <x v="0"/>
    <x v="0"/>
    <x v="0"/>
    <x v="1"/>
    <x v="4"/>
    <n v="0"/>
    <n v="0"/>
    <n v="142.10900000000001"/>
    <n v="130.74028000000001"/>
    <n v="142.10900000000001"/>
    <n v="130.74028000000001"/>
    <n v="0"/>
    <x v="0"/>
    <n v="0"/>
    <n v="0"/>
    <n v="27"/>
    <n v="81"/>
    <n v="0"/>
    <n v="641.99"/>
    <n v="430.87"/>
    <m/>
    <n v="747.73459855656426"/>
    <n v="375.70671275609089"/>
    <n v="0"/>
    <n v="83933.952357200003"/>
    <n v="56332.064443600008"/>
    <n v="0"/>
    <n v="97759.030780972811"/>
    <n v="49120.000823610899"/>
  </r>
  <r>
    <s v="Sistema de Compensação"/>
    <x v="2"/>
    <x v="3"/>
    <x v="5"/>
    <x v="0"/>
    <x v="0"/>
    <x v="0"/>
    <x v="1"/>
    <x v="4"/>
    <n v="0"/>
    <n v="0"/>
    <n v="0.65300000000000002"/>
    <n v="0.60076000000000007"/>
    <n v="0.65300000000000002"/>
    <n v="0.60076000000000007"/>
    <n v="0"/>
    <x v="0"/>
    <n v="0"/>
    <n v="0"/>
    <n v="27"/>
    <n v="81"/>
    <n v="0"/>
    <n v="641.99"/>
    <n v="430.87"/>
    <m/>
    <n v="747.73459855656426"/>
    <n v="375.70671275609089"/>
    <n v="0"/>
    <n v="385.68191240000004"/>
    <n v="258.84946120000001"/>
    <n v="0"/>
    <n v="449.20903742884161"/>
    <n v="225.70956475534919"/>
  </r>
  <r>
    <s v="Regular"/>
    <x v="2"/>
    <x v="3"/>
    <x v="5"/>
    <x v="0"/>
    <x v="0"/>
    <x v="0"/>
    <x v="1"/>
    <x v="5"/>
    <n v="0"/>
    <n v="0"/>
    <n v="181.12700000000001"/>
    <n v="166.63684000000001"/>
    <n v="181.12700000000001"/>
    <n v="166.63684000000001"/>
    <n v="0"/>
    <x v="0"/>
    <n v="0"/>
    <n v="0"/>
    <n v="27"/>
    <n v="81"/>
    <n v="0"/>
    <n v="641.99"/>
    <n v="430.87"/>
    <m/>
    <n v="747.73459855656426"/>
    <n v="375.70671275609089"/>
    <n v="0"/>
    <n v="106979.18491160001"/>
    <n v="71798.815250800006"/>
    <n v="0"/>
    <n v="124600.13066213444"/>
    <n v="62606.579380462681"/>
  </r>
  <r>
    <s v="Sistema de Compensação"/>
    <x v="2"/>
    <x v="3"/>
    <x v="5"/>
    <x v="0"/>
    <x v="0"/>
    <x v="0"/>
    <x v="1"/>
    <x v="5"/>
    <n v="0"/>
    <n v="0"/>
    <n v="1.6739999999999999"/>
    <n v="1.5400800000000001"/>
    <n v="1.6739999999999999"/>
    <n v="1.5400800000000001"/>
    <n v="0"/>
    <x v="0"/>
    <n v="0"/>
    <n v="0"/>
    <n v="27"/>
    <n v="81"/>
    <n v="0"/>
    <n v="641.99"/>
    <n v="430.87"/>
    <m/>
    <n v="747.73459855656426"/>
    <n v="375.70671275609089"/>
    <n v="0"/>
    <n v="988.71595920000004"/>
    <n v="663.57426960000009"/>
    <n v="0"/>
    <n v="1151.5711005449937"/>
    <n v="578.6183941814005"/>
  </r>
  <r>
    <s v="Regular"/>
    <x v="2"/>
    <x v="3"/>
    <x v="5"/>
    <x v="0"/>
    <x v="0"/>
    <x v="0"/>
    <x v="1"/>
    <x v="6"/>
    <n v="0"/>
    <n v="0"/>
    <n v="206.483"/>
    <n v="189.96436"/>
    <n v="206.483"/>
    <n v="189.96436"/>
    <n v="0"/>
    <x v="0"/>
    <n v="0"/>
    <n v="0"/>
    <n v="27"/>
    <n v="81"/>
    <n v="0"/>
    <n v="641.99"/>
    <n v="430.87"/>
    <m/>
    <n v="747.73459855656426"/>
    <n v="375.70671275609089"/>
    <n v="0"/>
    <n v="121955.2194764"/>
    <n v="81849.9437932"/>
    <n v="0"/>
    <n v="142042.92446465464"/>
    <n v="71370.885236414644"/>
  </r>
  <r>
    <s v="Refaturamento - Regular"/>
    <x v="2"/>
    <x v="3"/>
    <x v="5"/>
    <x v="0"/>
    <x v="0"/>
    <x v="0"/>
    <x v="1"/>
    <x v="6"/>
    <n v="0"/>
    <n v="0"/>
    <n v="0.41699999999999998"/>
    <n v="0.38363999999999998"/>
    <n v="0.41699999999999998"/>
    <n v="0.38363999999999998"/>
    <n v="0"/>
    <x v="0"/>
    <n v="0"/>
    <n v="0"/>
    <n v="27"/>
    <n v="81"/>
    <n v="0"/>
    <n v="641.99"/>
    <n v="430.87"/>
    <m/>
    <n v="747.73459855656426"/>
    <n v="375.70671275609089"/>
    <n v="0"/>
    <n v="246.2930436"/>
    <n v="165.29896679999999"/>
    <n v="0"/>
    <n v="286.86090139024031"/>
    <n v="144.13612328174671"/>
  </r>
  <r>
    <s v="Sistema de Compensação"/>
    <x v="2"/>
    <x v="3"/>
    <x v="5"/>
    <x v="0"/>
    <x v="0"/>
    <x v="0"/>
    <x v="1"/>
    <x v="6"/>
    <n v="0"/>
    <n v="0"/>
    <n v="3.2309999999999999"/>
    <n v="2.9725199999999998"/>
    <n v="3.2309999999999999"/>
    <n v="2.9725199999999998"/>
    <n v="0"/>
    <x v="0"/>
    <n v="0"/>
    <n v="0"/>
    <n v="27"/>
    <n v="81"/>
    <n v="0"/>
    <n v="641.99"/>
    <n v="430.87"/>
    <m/>
    <n v="747.73459855656426"/>
    <n v="375.70671275609089"/>
    <n v="0"/>
    <n v="1908.3281147999999"/>
    <n v="1280.7696923999999"/>
    <n v="0"/>
    <n v="2222.6560489013582"/>
    <n v="1116.7957178017352"/>
  </r>
  <r>
    <s v="Regular"/>
    <x v="2"/>
    <x v="3"/>
    <x v="5"/>
    <x v="0"/>
    <x v="0"/>
    <x v="0"/>
    <x v="1"/>
    <x v="7"/>
    <n v="0"/>
    <n v="0"/>
    <n v="151.37299999999999"/>
    <n v="139.26316"/>
    <n v="151.37299999999999"/>
    <n v="139.26316"/>
    <n v="0"/>
    <x v="0"/>
    <n v="0"/>
    <n v="0"/>
    <n v="27"/>
    <n v="81"/>
    <n v="0"/>
    <n v="641.99"/>
    <n v="430.87"/>
    <m/>
    <n v="747.73459855656426"/>
    <n v="375.70671275609089"/>
    <n v="0"/>
    <n v="89405.556088400001"/>
    <n v="60004.317749200003"/>
    <n v="0"/>
    <n v="104131.88303631858"/>
    <n v="52322.104051625523"/>
  </r>
  <r>
    <s v="Refaturamento - Regular"/>
    <x v="2"/>
    <x v="3"/>
    <x v="5"/>
    <x v="0"/>
    <x v="0"/>
    <x v="0"/>
    <x v="1"/>
    <x v="7"/>
    <n v="0"/>
    <n v="0"/>
    <n v="2.6659999999999999"/>
    <n v="2.4527200000000002"/>
    <n v="2.6659999999999999"/>
    <n v="2.4527200000000002"/>
    <n v="0"/>
    <x v="0"/>
    <n v="0"/>
    <n v="0"/>
    <n v="27"/>
    <n v="81"/>
    <n v="0"/>
    <n v="641.99"/>
    <n v="430.87"/>
    <m/>
    <n v="747.73459855656426"/>
    <n v="375.70671275609089"/>
    <n v="0"/>
    <n v="1574.6217128000001"/>
    <n v="1056.8034664000002"/>
    <n v="0"/>
    <n v="1833.9836045716565"/>
    <n v="921.50336851111933"/>
  </r>
  <r>
    <s v="Sistema de Compensação"/>
    <x v="2"/>
    <x v="3"/>
    <x v="5"/>
    <x v="0"/>
    <x v="0"/>
    <x v="0"/>
    <x v="1"/>
    <x v="7"/>
    <n v="0"/>
    <n v="0"/>
    <n v="4.2409999999999997"/>
    <n v="3.9017200000000001"/>
    <n v="4.2409999999999997"/>
    <n v="3.9017200000000001"/>
    <n v="0"/>
    <x v="0"/>
    <n v="0"/>
    <n v="0"/>
    <n v="27"/>
    <n v="81"/>
    <n v="0"/>
    <n v="641.99"/>
    <n v="430.87"/>
    <m/>
    <n v="747.73459855656426"/>
    <n v="375.70671275609089"/>
    <n v="0"/>
    <n v="2504.8652228000001"/>
    <n v="1681.1340964000001"/>
    <n v="0"/>
    <n v="2917.4510378801178"/>
    <n v="1465.902395294695"/>
  </r>
  <r>
    <s v="Regular"/>
    <x v="2"/>
    <x v="3"/>
    <x v="5"/>
    <x v="0"/>
    <x v="0"/>
    <x v="0"/>
    <x v="1"/>
    <x v="8"/>
    <n v="0"/>
    <n v="0"/>
    <n v="161.43700000000001"/>
    <n v="148.52204"/>
    <n v="161.43700000000001"/>
    <n v="148.52204"/>
    <n v="0"/>
    <x v="0"/>
    <n v="0"/>
    <n v="0"/>
    <n v="27"/>
    <n v="81"/>
    <n v="0"/>
    <n v="641.99"/>
    <n v="430.87"/>
    <m/>
    <n v="747.73459855656426"/>
    <n v="375.70671275609089"/>
    <n v="0"/>
    <n v="95349.664459599997"/>
    <n v="63993.691374800001"/>
    <n v="0"/>
    <n v="111055.06795620198"/>
    <n v="55800.727420228643"/>
  </r>
  <r>
    <s v="Refaturamento - Regular"/>
    <x v="2"/>
    <x v="3"/>
    <x v="5"/>
    <x v="0"/>
    <x v="0"/>
    <x v="0"/>
    <x v="1"/>
    <x v="8"/>
    <n v="0"/>
    <n v="0"/>
    <n v="1.2969999999999999"/>
    <n v="1.1932400000000001"/>
    <n v="1.2969999999999999"/>
    <n v="1.1932400000000001"/>
    <n v="0"/>
    <x v="0"/>
    <n v="0"/>
    <n v="0"/>
    <n v="27"/>
    <n v="81"/>
    <n v="0"/>
    <n v="641.99"/>
    <n v="430.87"/>
    <m/>
    <n v="747.73459855656426"/>
    <n v="375.70671275609089"/>
    <n v="0"/>
    <n v="766.04814760000011"/>
    <n v="514.13131880000003"/>
    <n v="0"/>
    <n v="892.22683238163484"/>
    <n v="448.30827792907792"/>
  </r>
  <r>
    <s v="Sistema de Compensação"/>
    <x v="2"/>
    <x v="3"/>
    <x v="5"/>
    <x v="0"/>
    <x v="0"/>
    <x v="0"/>
    <x v="1"/>
    <x v="8"/>
    <n v="0"/>
    <n v="0"/>
    <n v="2.266"/>
    <n v="2.0847199999999999"/>
    <n v="2.266"/>
    <n v="2.0847199999999999"/>
    <n v="0"/>
    <x v="0"/>
    <n v="0"/>
    <n v="0"/>
    <n v="27"/>
    <n v="81"/>
    <n v="0"/>
    <n v="641.99"/>
    <n v="430.87"/>
    <m/>
    <n v="747.73459855656426"/>
    <n v="375.70671275609089"/>
    <n v="0"/>
    <n v="1338.3693928"/>
    <n v="898.24330639999994"/>
    <n v="0"/>
    <n v="1558.8172723028406"/>
    <n v="783.24329821687775"/>
  </r>
  <r>
    <s v="Regular"/>
    <x v="2"/>
    <x v="3"/>
    <x v="5"/>
    <x v="0"/>
    <x v="0"/>
    <x v="0"/>
    <x v="1"/>
    <x v="9"/>
    <n v="0"/>
    <n v="0"/>
    <n v="148.465"/>
    <n v="136.58780000000002"/>
    <n v="148.465"/>
    <n v="136.58780000000002"/>
    <n v="0"/>
    <x v="0"/>
    <n v="0"/>
    <n v="0"/>
    <n v="27"/>
    <n v="81"/>
    <n v="0"/>
    <n v="641.99"/>
    <n v="430.87"/>
    <m/>
    <n v="747.73459855656426"/>
    <n v="375.70671275609089"/>
    <n v="0"/>
    <n v="87688.001722000015"/>
    <n v="58851.585386000006"/>
    <n v="0"/>
    <n v="102131.4238007243"/>
    <n v="51316.953340586399"/>
  </r>
  <r>
    <s v="Refaturamento - Regular"/>
    <x v="2"/>
    <x v="3"/>
    <x v="5"/>
    <x v="0"/>
    <x v="0"/>
    <x v="0"/>
    <x v="1"/>
    <x v="9"/>
    <n v="0"/>
    <n v="0"/>
    <n v="2.633"/>
    <n v="2.4223600000000003"/>
    <n v="2.633"/>
    <n v="2.4223600000000003"/>
    <n v="0"/>
    <x v="0"/>
    <n v="0"/>
    <n v="0"/>
    <n v="27"/>
    <n v="81"/>
    <n v="0"/>
    <n v="641.99"/>
    <n v="430.87"/>
    <m/>
    <n v="747.73459855656426"/>
    <n v="375.70671275609089"/>
    <n v="0"/>
    <n v="1555.1308964000002"/>
    <n v="1043.7222532000001"/>
    <n v="0"/>
    <n v="1811.2823821594793"/>
    <n v="910.09691271184442"/>
  </r>
  <r>
    <s v="Sistema de Compensação"/>
    <x v="2"/>
    <x v="3"/>
    <x v="5"/>
    <x v="0"/>
    <x v="0"/>
    <x v="0"/>
    <x v="1"/>
    <x v="9"/>
    <n v="0"/>
    <n v="0"/>
    <n v="24.263000000000002"/>
    <n v="22.321960000000004"/>
    <n v="24.263000000000002"/>
    <n v="22.321960000000004"/>
    <n v="0"/>
    <x v="0"/>
    <n v="0"/>
    <n v="0"/>
    <n v="27"/>
    <n v="81"/>
    <n v="0"/>
    <n v="641.99"/>
    <n v="430.87"/>
    <m/>
    <n v="747.73459855656426"/>
    <n v="375.70671275609089"/>
    <n v="0"/>
    <n v="14330.475100400003"/>
    <n v="9617.8629052000015"/>
    <n v="0"/>
    <n v="16690.901799595689"/>
    <n v="8386.5102138729526"/>
  </r>
  <r>
    <s v="Regular"/>
    <x v="2"/>
    <x v="3"/>
    <x v="5"/>
    <x v="0"/>
    <x v="0"/>
    <x v="0"/>
    <x v="1"/>
    <x v="10"/>
    <n v="0"/>
    <n v="0"/>
    <n v="159.03899999999999"/>
    <n v="146.31587999999999"/>
    <n v="159.03899999999999"/>
    <n v="146.31587999999999"/>
    <n v="0"/>
    <x v="0"/>
    <n v="0"/>
    <n v="0"/>
    <n v="27"/>
    <n v="81"/>
    <n v="0"/>
    <n v="641.99"/>
    <n v="430.87"/>
    <m/>
    <n v="747.73459855656426"/>
    <n v="375.70671275609089"/>
    <n v="0"/>
    <n v="93933.331801199995"/>
    <n v="63043.123215599997"/>
    <n v="0"/>
    <n v="109405.44579425042"/>
    <n v="54971.858298814659"/>
  </r>
  <r>
    <s v="Refaturamento - Regular"/>
    <x v="2"/>
    <x v="3"/>
    <x v="5"/>
    <x v="0"/>
    <x v="0"/>
    <x v="0"/>
    <x v="1"/>
    <x v="10"/>
    <n v="0"/>
    <n v="0"/>
    <n v="7.7350000000000003"/>
    <n v="7.116200000000001"/>
    <n v="7.7350000000000003"/>
    <n v="7.116200000000001"/>
    <n v="0"/>
    <x v="0"/>
    <n v="0"/>
    <n v="0"/>
    <n v="27"/>
    <n v="81"/>
    <n v="0"/>
    <n v="641.99"/>
    <n v="430.87"/>
    <m/>
    <n v="747.73459855656426"/>
    <n v="375.70671275609089"/>
    <n v="0"/>
    <n v="4568.529238000001"/>
    <n v="3066.1570940000006"/>
    <n v="0"/>
    <n v="5321.0289502482237"/>
    <n v="2673.6041093148942"/>
  </r>
  <r>
    <s v="Sistema de Compensação"/>
    <x v="2"/>
    <x v="3"/>
    <x v="5"/>
    <x v="0"/>
    <x v="0"/>
    <x v="0"/>
    <x v="1"/>
    <x v="10"/>
    <n v="0"/>
    <n v="0"/>
    <n v="31.681999999999999"/>
    <n v="29.14744"/>
    <n v="31.681999999999999"/>
    <n v="29.14744"/>
    <n v="0"/>
    <x v="0"/>
    <n v="0"/>
    <n v="0"/>
    <n v="27"/>
    <n v="81"/>
    <n v="0"/>
    <n v="641.99"/>
    <n v="430.87"/>
    <m/>
    <n v="747.73459855656426"/>
    <n v="375.70671275609089"/>
    <n v="0"/>
    <n v="18712.365005600001"/>
    <n v="12558.7574728"/>
    <n v="0"/>
    <n v="21794.549347351542"/>
    <n v="10950.888867655394"/>
  </r>
  <r>
    <s v="PROJETADO"/>
    <x v="2"/>
    <x v="3"/>
    <x v="5"/>
    <x v="0"/>
    <x v="0"/>
    <x v="0"/>
    <x v="1"/>
    <x v="11"/>
    <n v="0"/>
    <n v="0"/>
    <n v="159.03899999999999"/>
    <n v="146.31587999999999"/>
    <n v="159.03899999999999"/>
    <n v="146.31587999999999"/>
    <n v="0"/>
    <x v="0"/>
    <n v="0"/>
    <n v="0"/>
    <n v="27"/>
    <n v="81"/>
    <n v="0"/>
    <n v="641.99"/>
    <n v="430.87"/>
    <m/>
    <n v="747.73459855656426"/>
    <n v="375.70671275609089"/>
    <n v="0"/>
    <n v="93933.331801199995"/>
    <n v="63043.123215599997"/>
    <n v="0"/>
    <n v="109405.44579425042"/>
    <n v="54971.858298814659"/>
  </r>
  <r>
    <s v="PROJETADO"/>
    <x v="2"/>
    <x v="3"/>
    <x v="5"/>
    <x v="0"/>
    <x v="0"/>
    <x v="0"/>
    <x v="1"/>
    <x v="11"/>
    <n v="0"/>
    <n v="0"/>
    <n v="7.7350000000000003"/>
    <n v="7.116200000000001"/>
    <n v="7.7350000000000003"/>
    <n v="7.116200000000001"/>
    <n v="0"/>
    <x v="0"/>
    <n v="0"/>
    <n v="0"/>
    <n v="27"/>
    <n v="81"/>
    <n v="0"/>
    <n v="641.99"/>
    <n v="430.87"/>
    <m/>
    <n v="747.73459855656426"/>
    <n v="375.70671275609089"/>
    <n v="0"/>
    <n v="4568.529238000001"/>
    <n v="3066.1570940000006"/>
    <n v="0"/>
    <n v="5321.0289502482237"/>
    <n v="2673.6041093148942"/>
  </r>
  <r>
    <s v="PROJETADO"/>
    <x v="2"/>
    <x v="3"/>
    <x v="5"/>
    <x v="0"/>
    <x v="0"/>
    <x v="0"/>
    <x v="1"/>
    <x v="11"/>
    <n v="0"/>
    <n v="0"/>
    <n v="31.681999999999999"/>
    <n v="29.14744"/>
    <n v="31.681999999999999"/>
    <n v="29.14744"/>
    <n v="0"/>
    <x v="0"/>
    <n v="0"/>
    <n v="0"/>
    <n v="27"/>
    <n v="81"/>
    <n v="0"/>
    <n v="641.99"/>
    <n v="430.87"/>
    <m/>
    <n v="747.73459855656426"/>
    <n v="375.70671275609089"/>
    <n v="0"/>
    <n v="18712.365005600001"/>
    <n v="12558.7574728"/>
    <n v="0"/>
    <n v="21794.549347351542"/>
    <n v="10950.888867655394"/>
  </r>
  <r>
    <s v="Regular"/>
    <x v="2"/>
    <x v="3"/>
    <x v="2"/>
    <x v="1"/>
    <x v="0"/>
    <x v="0"/>
    <x v="0"/>
    <x v="0"/>
    <n v="0"/>
    <n v="0"/>
    <n v="5354.7449999999999"/>
    <n v="4712.1755999999996"/>
    <n v="5354.7449999999999"/>
    <n v="4712.1755999999996"/>
    <n v="0"/>
    <x v="0"/>
    <n v="0"/>
    <n v="0"/>
    <n v="28"/>
    <n v="82"/>
    <n v="0"/>
    <n v="84.45"/>
    <n v="256.38"/>
    <m/>
    <n v="87.520205040180812"/>
    <n v="230.84299908458948"/>
    <n v="0"/>
    <n v="397943.22941999999"/>
    <n v="1208107.5803279998"/>
    <n v="0"/>
    <n v="412410.574697337"/>
    <n v="1087772.7477172248"/>
  </r>
  <r>
    <s v="Regular"/>
    <x v="2"/>
    <x v="3"/>
    <x v="2"/>
    <x v="1"/>
    <x v="0"/>
    <x v="0"/>
    <x v="0"/>
    <x v="1"/>
    <n v="0"/>
    <n v="0"/>
    <n v="5316.1350000000002"/>
    <n v="4678.1988000000001"/>
    <n v="5316.1350000000002"/>
    <n v="4678.1988000000001"/>
    <n v="0"/>
    <x v="0"/>
    <n v="0"/>
    <n v="0"/>
    <n v="28"/>
    <n v="82"/>
    <n v="0"/>
    <n v="84.45"/>
    <n v="256.38"/>
    <m/>
    <n v="87.520205040180812"/>
    <n v="230.84299908458948"/>
    <n v="0"/>
    <n v="395073.88866"/>
    <n v="1199396.6083440001"/>
    <n v="0"/>
    <n v="409436.91819472786"/>
    <n v="1079929.4413059277"/>
  </r>
  <r>
    <s v="Regular"/>
    <x v="2"/>
    <x v="3"/>
    <x v="2"/>
    <x v="1"/>
    <x v="0"/>
    <x v="0"/>
    <x v="0"/>
    <x v="2"/>
    <n v="0"/>
    <n v="0"/>
    <n v="4739.692"/>
    <n v="4170.9289600000002"/>
    <n v="4739.692"/>
    <n v="4170.9289600000002"/>
    <n v="0"/>
    <x v="0"/>
    <n v="0"/>
    <n v="0"/>
    <n v="28"/>
    <n v="82"/>
    <n v="0"/>
    <n v="84.45"/>
    <n v="256.38"/>
    <m/>
    <n v="87.520205040180812"/>
    <n v="230.84299908458948"/>
    <n v="0"/>
    <n v="352234.95067200001"/>
    <n v="1069342.7667648001"/>
    <n v="0"/>
    <n v="365040.55778722814"/>
    <n v="962829.75009516778"/>
  </r>
  <r>
    <s v="Regular"/>
    <x v="2"/>
    <x v="3"/>
    <x v="2"/>
    <x v="1"/>
    <x v="0"/>
    <x v="0"/>
    <x v="0"/>
    <x v="3"/>
    <n v="0"/>
    <n v="0"/>
    <n v="5425.13"/>
    <n v="4774.1144000000004"/>
    <n v="5425.13"/>
    <n v="4774.1144000000004"/>
    <n v="0"/>
    <x v="0"/>
    <n v="0"/>
    <n v="0"/>
    <n v="28"/>
    <n v="82"/>
    <n v="0"/>
    <n v="84.45"/>
    <n v="256.38"/>
    <m/>
    <n v="87.520205040180812"/>
    <n v="230.84299908458948"/>
    <n v="0"/>
    <n v="403173.96108000004"/>
    <n v="1223987.4498720001"/>
    <n v="0"/>
    <n v="417831.4711732798"/>
    <n v="1102070.8860689255"/>
  </r>
  <r>
    <s v="Regular"/>
    <x v="2"/>
    <x v="3"/>
    <x v="2"/>
    <x v="1"/>
    <x v="0"/>
    <x v="0"/>
    <x v="0"/>
    <x v="4"/>
    <n v="0"/>
    <n v="0"/>
    <n v="5529.4539999999997"/>
    <n v="4865.9195199999995"/>
    <n v="5529.4539999999997"/>
    <n v="4865.9195199999995"/>
    <n v="0"/>
    <x v="0"/>
    <n v="0"/>
    <n v="0"/>
    <n v="28"/>
    <n v="82"/>
    <n v="0"/>
    <n v="84.45"/>
    <n v="256.38"/>
    <m/>
    <n v="87.520205040180812"/>
    <n v="230.84299908458948"/>
    <n v="0"/>
    <n v="410926.90346399997"/>
    <n v="1247524.4465375999"/>
    <n v="0"/>
    <n v="425866.27409941814"/>
    <n v="1123263.4553010459"/>
  </r>
  <r>
    <s v="Regular"/>
    <x v="2"/>
    <x v="3"/>
    <x v="2"/>
    <x v="1"/>
    <x v="0"/>
    <x v="0"/>
    <x v="0"/>
    <x v="5"/>
    <n v="0"/>
    <n v="0"/>
    <n v="5158.1980000000003"/>
    <n v="4539.2142400000002"/>
    <n v="5158.1980000000003"/>
    <n v="4539.2142400000002"/>
    <n v="0"/>
    <x v="0"/>
    <n v="0"/>
    <n v="0"/>
    <n v="28"/>
    <n v="82"/>
    <n v="0"/>
    <n v="84.45"/>
    <n v="256.38"/>
    <m/>
    <n v="87.520205040180812"/>
    <n v="230.84299908458948"/>
    <n v="0"/>
    <n v="383336.64256800001"/>
    <n v="1163763.7468512"/>
    <n v="0"/>
    <n v="397272.96100610856"/>
    <n v="1047845.8286490756"/>
  </r>
  <r>
    <s v="Regular"/>
    <x v="2"/>
    <x v="3"/>
    <x v="2"/>
    <x v="1"/>
    <x v="0"/>
    <x v="0"/>
    <x v="0"/>
    <x v="6"/>
    <n v="0"/>
    <n v="0"/>
    <n v="5236.3900000000003"/>
    <n v="4608.0232000000005"/>
    <n v="5236.3900000000003"/>
    <n v="4608.0232000000005"/>
    <n v="0"/>
    <x v="0"/>
    <n v="0"/>
    <n v="0"/>
    <n v="28"/>
    <n v="82"/>
    <n v="0"/>
    <n v="84.45"/>
    <n v="256.38"/>
    <m/>
    <n v="87.520205040180812"/>
    <n v="230.84299908458948"/>
    <n v="0"/>
    <n v="389147.55924000003"/>
    <n v="1181404.988016"/>
    <n v="0"/>
    <n v="403295.13529391016"/>
    <n v="1063729.8953393672"/>
  </r>
  <r>
    <s v="Regular"/>
    <x v="2"/>
    <x v="3"/>
    <x v="2"/>
    <x v="1"/>
    <x v="0"/>
    <x v="0"/>
    <x v="0"/>
    <x v="7"/>
    <n v="0"/>
    <n v="0"/>
    <n v="4846.5690000000004"/>
    <n v="4264.9807200000005"/>
    <n v="4846.5690000000004"/>
    <n v="4264.9807200000005"/>
    <n v="0"/>
    <x v="0"/>
    <n v="0"/>
    <n v="0"/>
    <n v="28"/>
    <n v="82"/>
    <n v="0"/>
    <n v="84.45"/>
    <n v="256.38"/>
    <m/>
    <n v="87.520205040180812"/>
    <n v="230.84299908458948"/>
    <n v="0"/>
    <n v="360177.62180400005"/>
    <n v="1093455.7569936002"/>
    <n v="0"/>
    <n v="373271.98710681801"/>
    <n v="984540.94044275186"/>
  </r>
  <r>
    <s v="Regular"/>
    <x v="2"/>
    <x v="3"/>
    <x v="2"/>
    <x v="1"/>
    <x v="0"/>
    <x v="0"/>
    <x v="0"/>
    <x v="8"/>
    <n v="0"/>
    <n v="0"/>
    <n v="4807.7939999999999"/>
    <n v="4230.8587200000002"/>
    <n v="4807.7939999999999"/>
    <n v="4230.8587200000002"/>
    <n v="0"/>
    <x v="0"/>
    <n v="0"/>
    <n v="0"/>
    <n v="28"/>
    <n v="82"/>
    <n v="0"/>
    <n v="84.45"/>
    <n v="256.38"/>
    <m/>
    <n v="87.520205040180812"/>
    <n v="230.84299908458948"/>
    <n v="0"/>
    <n v="357296.01890400006"/>
    <n v="1084707.5586336001"/>
    <n v="0"/>
    <n v="370285.62267043698"/>
    <n v="976664.11562798743"/>
  </r>
  <r>
    <s v="Regular"/>
    <x v="2"/>
    <x v="3"/>
    <x v="2"/>
    <x v="1"/>
    <x v="0"/>
    <x v="0"/>
    <x v="0"/>
    <x v="9"/>
    <n v="0"/>
    <n v="0"/>
    <n v="4652.2060000000001"/>
    <n v="4093.94128"/>
    <n v="4652.2060000000001"/>
    <n v="4093.94128"/>
    <n v="0"/>
    <x v="0"/>
    <n v="0"/>
    <n v="0"/>
    <n v="28"/>
    <n v="82"/>
    <n v="0"/>
    <n v="84.45"/>
    <n v="256.38"/>
    <m/>
    <n v="87.520205040180812"/>
    <n v="230.84299908458948"/>
    <n v="0"/>
    <n v="345733.34109599999"/>
    <n v="1049604.6653664"/>
    <n v="0"/>
    <n v="358302.58024806029"/>
    <n v="945057.68315140309"/>
  </r>
  <r>
    <s v="Regular"/>
    <x v="2"/>
    <x v="3"/>
    <x v="2"/>
    <x v="1"/>
    <x v="0"/>
    <x v="0"/>
    <x v="0"/>
    <x v="10"/>
    <n v="0"/>
    <n v="0"/>
    <n v="4885.2669999999998"/>
    <n v="4299.03496"/>
    <n v="4885.2669999999998"/>
    <n v="4299.03496"/>
    <n v="0"/>
    <x v="0"/>
    <n v="0"/>
    <n v="0"/>
    <n v="28"/>
    <n v="82"/>
    <n v="0"/>
    <n v="84.45"/>
    <n v="256.38"/>
    <m/>
    <n v="87.520205040180812"/>
    <n v="230.84299908458948"/>
    <n v="0"/>
    <n v="363053.50237200002"/>
    <n v="1102186.5830448"/>
    <n v="0"/>
    <n v="376252.42117410549"/>
    <n v="992402.12333589816"/>
  </r>
  <r>
    <s v="PROJETADO"/>
    <x v="2"/>
    <x v="3"/>
    <x v="2"/>
    <x v="1"/>
    <x v="0"/>
    <x v="0"/>
    <x v="0"/>
    <x v="11"/>
    <n v="0"/>
    <n v="0"/>
    <n v="4885.2669999999998"/>
    <n v="4299.03496"/>
    <n v="4885.2669999999998"/>
    <n v="4299.03496"/>
    <n v="0"/>
    <x v="0"/>
    <n v="0"/>
    <n v="0"/>
    <n v="28"/>
    <n v="82"/>
    <n v="0"/>
    <n v="84.45"/>
    <n v="256.38"/>
    <m/>
    <n v="87.520205040180812"/>
    <n v="230.84299908458948"/>
    <n v="0"/>
    <n v="363053.50237200002"/>
    <n v="1102186.5830448"/>
    <n v="0"/>
    <n v="376252.42117410549"/>
    <n v="992402.12333589816"/>
  </r>
  <r>
    <s v="Regular"/>
    <x v="2"/>
    <x v="3"/>
    <x v="2"/>
    <x v="1"/>
    <x v="0"/>
    <x v="0"/>
    <x v="2"/>
    <x v="0"/>
    <n v="17200"/>
    <n v="14620"/>
    <n v="0"/>
    <n v="0"/>
    <n v="0"/>
    <n v="0"/>
    <n v="79"/>
    <x v="0"/>
    <n v="0"/>
    <n v="26"/>
    <n v="0"/>
    <n v="0"/>
    <n v="8.81"/>
    <n v="0"/>
    <n v="0"/>
    <n v="11.452356648653195"/>
    <m/>
    <m/>
    <n v="128802.20000000001"/>
    <n v="0"/>
    <n v="0"/>
    <n v="167433.45420330972"/>
    <n v="0"/>
    <n v="0"/>
  </r>
  <r>
    <s v="Regular"/>
    <x v="2"/>
    <x v="3"/>
    <x v="2"/>
    <x v="1"/>
    <x v="0"/>
    <x v="0"/>
    <x v="2"/>
    <x v="1"/>
    <n v="17378"/>
    <n v="14771.3"/>
    <n v="0"/>
    <n v="0"/>
    <n v="0"/>
    <n v="0"/>
    <n v="79"/>
    <x v="0"/>
    <n v="0"/>
    <n v="26"/>
    <n v="0"/>
    <n v="0"/>
    <n v="8.81"/>
    <n v="0"/>
    <n v="0"/>
    <n v="11.452356648653195"/>
    <m/>
    <m/>
    <n v="130135.15300000001"/>
    <n v="0"/>
    <n v="0"/>
    <n v="169166.19576425094"/>
    <n v="0"/>
    <n v="0"/>
  </r>
  <r>
    <s v="Regular"/>
    <x v="2"/>
    <x v="3"/>
    <x v="2"/>
    <x v="1"/>
    <x v="0"/>
    <x v="0"/>
    <x v="2"/>
    <x v="2"/>
    <n v="17420"/>
    <n v="14807"/>
    <n v="0"/>
    <n v="0"/>
    <n v="0"/>
    <n v="0"/>
    <n v="79"/>
    <x v="0"/>
    <n v="0"/>
    <n v="26"/>
    <n v="0"/>
    <n v="0"/>
    <n v="8.81"/>
    <n v="0"/>
    <n v="0"/>
    <n v="11.452356648653195"/>
    <m/>
    <m/>
    <n v="130449.67000000001"/>
    <n v="0"/>
    <n v="0"/>
    <n v="169575.04489660787"/>
    <n v="0"/>
    <n v="0"/>
  </r>
  <r>
    <s v="Regular"/>
    <x v="2"/>
    <x v="3"/>
    <x v="2"/>
    <x v="1"/>
    <x v="0"/>
    <x v="0"/>
    <x v="2"/>
    <x v="3"/>
    <n v="17269"/>
    <n v="14678.65"/>
    <n v="0"/>
    <n v="0"/>
    <n v="0"/>
    <n v="0"/>
    <n v="79"/>
    <x v="0"/>
    <n v="0"/>
    <n v="26"/>
    <n v="0"/>
    <n v="0"/>
    <n v="8.81"/>
    <n v="0"/>
    <n v="0"/>
    <n v="11.452356648653195"/>
    <m/>
    <m/>
    <n v="129318.9065"/>
    <n v="0"/>
    <n v="0"/>
    <n v="168105.13492075322"/>
    <n v="0"/>
    <n v="0"/>
  </r>
  <r>
    <s v="Regular"/>
    <x v="2"/>
    <x v="3"/>
    <x v="2"/>
    <x v="1"/>
    <x v="0"/>
    <x v="0"/>
    <x v="2"/>
    <x v="4"/>
    <n v="17492"/>
    <n v="14868.199999999999"/>
    <n v="0"/>
    <n v="0"/>
    <n v="0"/>
    <n v="0"/>
    <n v="79"/>
    <x v="0"/>
    <n v="0"/>
    <n v="26"/>
    <n v="0"/>
    <n v="0"/>
    <n v="8.81"/>
    <n v="0"/>
    <n v="0"/>
    <n v="11.452356648653195"/>
    <m/>
    <m/>
    <n v="130988.842"/>
    <n v="0"/>
    <n v="0"/>
    <n v="170275.92912350543"/>
    <n v="0"/>
    <n v="0"/>
  </r>
  <r>
    <s v="Regular"/>
    <x v="2"/>
    <x v="3"/>
    <x v="2"/>
    <x v="1"/>
    <x v="0"/>
    <x v="0"/>
    <x v="2"/>
    <x v="5"/>
    <n v="17490"/>
    <n v="14866.5"/>
    <n v="0"/>
    <n v="0"/>
    <n v="0"/>
    <n v="0"/>
    <n v="80"/>
    <x v="0"/>
    <n v="0"/>
    <n v="26"/>
    <n v="0"/>
    <n v="0"/>
    <n v="8.81"/>
    <n v="0"/>
    <n v="0"/>
    <n v="11.452356648653195"/>
    <m/>
    <m/>
    <n v="130973.86500000001"/>
    <n v="0"/>
    <n v="0"/>
    <n v="170256.46011720272"/>
    <n v="0"/>
    <n v="0"/>
  </r>
  <r>
    <s v="Regular"/>
    <x v="2"/>
    <x v="3"/>
    <x v="2"/>
    <x v="1"/>
    <x v="0"/>
    <x v="0"/>
    <x v="2"/>
    <x v="6"/>
    <n v="17540"/>
    <n v="14909"/>
    <n v="0"/>
    <n v="0"/>
    <n v="0"/>
    <n v="0"/>
    <n v="80"/>
    <x v="0"/>
    <n v="0"/>
    <n v="26"/>
    <n v="0"/>
    <n v="0"/>
    <n v="8.81"/>
    <n v="0"/>
    <n v="0"/>
    <n v="11.452356648653195"/>
    <m/>
    <m/>
    <n v="131348.29"/>
    <n v="0"/>
    <n v="0"/>
    <n v="170743.18527477048"/>
    <n v="0"/>
    <n v="0"/>
  </r>
  <r>
    <s v="Regular"/>
    <x v="2"/>
    <x v="3"/>
    <x v="2"/>
    <x v="1"/>
    <x v="0"/>
    <x v="0"/>
    <x v="2"/>
    <x v="7"/>
    <n v="17393"/>
    <n v="14784.05"/>
    <n v="0"/>
    <n v="0"/>
    <n v="0"/>
    <n v="0"/>
    <n v="80"/>
    <x v="0"/>
    <n v="0"/>
    <n v="26"/>
    <n v="0"/>
    <n v="0"/>
    <n v="8.81"/>
    <n v="0"/>
    <n v="0"/>
    <n v="11.452356648653195"/>
    <m/>
    <m/>
    <n v="130247.48050000001"/>
    <n v="0"/>
    <n v="0"/>
    <n v="169312.21331152125"/>
    <n v="0"/>
    <n v="0"/>
  </r>
  <r>
    <s v="Regular"/>
    <x v="2"/>
    <x v="3"/>
    <x v="2"/>
    <x v="1"/>
    <x v="0"/>
    <x v="0"/>
    <x v="2"/>
    <x v="8"/>
    <n v="17394"/>
    <n v="14784.9"/>
    <n v="0"/>
    <n v="0"/>
    <n v="0"/>
    <n v="0"/>
    <n v="80"/>
    <x v="0"/>
    <n v="0"/>
    <n v="26"/>
    <n v="0"/>
    <n v="0"/>
    <n v="8.81"/>
    <n v="0"/>
    <n v="0"/>
    <n v="11.452356648653195"/>
    <m/>
    <m/>
    <n v="130254.969"/>
    <n v="0"/>
    <n v="0"/>
    <n v="169321.94781467263"/>
    <n v="0"/>
    <n v="0"/>
  </r>
  <r>
    <s v="Regular"/>
    <x v="2"/>
    <x v="3"/>
    <x v="2"/>
    <x v="1"/>
    <x v="0"/>
    <x v="0"/>
    <x v="2"/>
    <x v="9"/>
    <n v="17377"/>
    <n v="14770.449999999999"/>
    <n v="0"/>
    <n v="0"/>
    <n v="0"/>
    <n v="0"/>
    <n v="80"/>
    <x v="0"/>
    <n v="0"/>
    <n v="26"/>
    <n v="0"/>
    <n v="0"/>
    <n v="8.81"/>
    <n v="0"/>
    <n v="0"/>
    <n v="11.452356648653195"/>
    <m/>
    <m/>
    <n v="130127.6645"/>
    <n v="0"/>
    <n v="0"/>
    <n v="169156.46126109958"/>
    <n v="0"/>
    <n v="0"/>
  </r>
  <r>
    <s v="Regular"/>
    <x v="2"/>
    <x v="3"/>
    <x v="2"/>
    <x v="1"/>
    <x v="0"/>
    <x v="0"/>
    <x v="2"/>
    <x v="10"/>
    <n v="17469"/>
    <n v="14848.65"/>
    <n v="0"/>
    <n v="0"/>
    <n v="0"/>
    <n v="0"/>
    <n v="80"/>
    <x v="0"/>
    <n v="0"/>
    <n v="26"/>
    <n v="0"/>
    <n v="0"/>
    <n v="8.81"/>
    <n v="0"/>
    <n v="0"/>
    <n v="11.452356648653195"/>
    <m/>
    <m/>
    <n v="130816.60650000001"/>
    <n v="0"/>
    <n v="0"/>
    <n v="170052.03555102425"/>
    <n v="0"/>
    <n v="0"/>
  </r>
  <r>
    <s v="PROJETADO"/>
    <x v="2"/>
    <x v="3"/>
    <x v="2"/>
    <x v="1"/>
    <x v="0"/>
    <x v="0"/>
    <x v="2"/>
    <x v="11"/>
    <n v="17469"/>
    <n v="14848.65"/>
    <n v="0"/>
    <n v="0"/>
    <n v="0"/>
    <n v="0"/>
    <n v="80"/>
    <x v="0"/>
    <n v="0"/>
    <n v="26"/>
    <n v="0"/>
    <n v="0"/>
    <n v="8.81"/>
    <n v="0"/>
    <n v="0"/>
    <n v="11.452356648653195"/>
    <m/>
    <m/>
    <n v="130816.60650000001"/>
    <n v="0"/>
    <n v="0"/>
    <n v="170052.03555102425"/>
    <n v="0"/>
    <n v="0"/>
  </r>
  <r>
    <s v="Regular"/>
    <x v="2"/>
    <x v="3"/>
    <x v="2"/>
    <x v="1"/>
    <x v="0"/>
    <x v="0"/>
    <x v="1"/>
    <x v="0"/>
    <n v="0"/>
    <n v="0"/>
    <n v="500.017"/>
    <n v="440.01495999999997"/>
    <n v="500.017"/>
    <n v="440.01495999999997"/>
    <n v="0"/>
    <x v="0"/>
    <n v="0"/>
    <n v="0"/>
    <n v="27"/>
    <n v="81"/>
    <n v="0"/>
    <n v="641.99"/>
    <n v="430.87"/>
    <m/>
    <n v="747.73459855656426"/>
    <n v="375.70671275609089"/>
    <n v="0"/>
    <n v="282485.20417039999"/>
    <n v="189589.2458152"/>
    <n v="0"/>
    <n v="329014.40947448264"/>
    <n v="165316.57418510283"/>
  </r>
  <r>
    <s v="Regular"/>
    <x v="2"/>
    <x v="3"/>
    <x v="2"/>
    <x v="1"/>
    <x v="0"/>
    <x v="0"/>
    <x v="1"/>
    <x v="1"/>
    <n v="0"/>
    <n v="0"/>
    <n v="475.28300000000002"/>
    <n v="418.24904000000004"/>
    <n v="475.28300000000002"/>
    <n v="418.24904000000004"/>
    <n v="0"/>
    <x v="0"/>
    <n v="0"/>
    <n v="0"/>
    <n v="27"/>
    <n v="81"/>
    <n v="0"/>
    <n v="641.99"/>
    <n v="430.87"/>
    <m/>
    <n v="747.73459855656426"/>
    <n v="375.70671275609089"/>
    <n v="0"/>
    <n v="268511.70118960005"/>
    <n v="180210.96386480003"/>
    <n v="0"/>
    <n v="312739.27802106843"/>
    <n v="157138.97193179079"/>
  </r>
  <r>
    <s v="Regular"/>
    <x v="2"/>
    <x v="3"/>
    <x v="2"/>
    <x v="1"/>
    <x v="0"/>
    <x v="0"/>
    <x v="1"/>
    <x v="2"/>
    <n v="0"/>
    <n v="0"/>
    <n v="456.238"/>
    <n v="401.48944"/>
    <n v="456.238"/>
    <n v="401.48944"/>
    <n v="0"/>
    <x v="0"/>
    <n v="0"/>
    <n v="0"/>
    <n v="27"/>
    <n v="81"/>
    <n v="0"/>
    <n v="641.99"/>
    <n v="430.87"/>
    <m/>
    <n v="747.73459855656426"/>
    <n v="375.70671275609089"/>
    <n v="0"/>
    <n v="257752.20558559999"/>
    <n v="172989.75501280001"/>
    <n v="0"/>
    <n v="300207.5452430998"/>
    <n v="150842.2777086838"/>
  </r>
  <r>
    <s v="Regular"/>
    <x v="2"/>
    <x v="3"/>
    <x v="2"/>
    <x v="1"/>
    <x v="0"/>
    <x v="0"/>
    <x v="1"/>
    <x v="3"/>
    <n v="0"/>
    <n v="0"/>
    <n v="508.66"/>
    <n v="447.62080000000003"/>
    <n v="508.66"/>
    <n v="447.62080000000003"/>
    <n v="0"/>
    <x v="0"/>
    <n v="0"/>
    <n v="0"/>
    <n v="27"/>
    <n v="81"/>
    <n v="0"/>
    <n v="641.99"/>
    <n v="430.87"/>
    <m/>
    <n v="747.73459855656426"/>
    <n v="375.70671275609089"/>
    <n v="0"/>
    <n v="287368.07739200001"/>
    <n v="192866.37409600001"/>
    <n v="0"/>
    <n v="334701.55919356819"/>
    <n v="168174.13932925163"/>
  </r>
  <r>
    <s v="Regular"/>
    <x v="2"/>
    <x v="3"/>
    <x v="2"/>
    <x v="1"/>
    <x v="0"/>
    <x v="0"/>
    <x v="1"/>
    <x v="4"/>
    <n v="0"/>
    <n v="0"/>
    <n v="536.274"/>
    <n v="471.92112000000003"/>
    <n v="536.274"/>
    <n v="471.92112000000003"/>
    <n v="0"/>
    <x v="0"/>
    <n v="0"/>
    <n v="0"/>
    <n v="27"/>
    <n v="81"/>
    <n v="0"/>
    <n v="641.99"/>
    <n v="430.87"/>
    <m/>
    <n v="747.73459855656426"/>
    <n v="375.70671275609089"/>
    <n v="0"/>
    <n v="302968.63982880005"/>
    <n v="203336.65297440003"/>
    <n v="0"/>
    <n v="352871.74921356421"/>
    <n v="177303.93267537272"/>
  </r>
  <r>
    <s v="Regular"/>
    <x v="2"/>
    <x v="3"/>
    <x v="2"/>
    <x v="1"/>
    <x v="0"/>
    <x v="0"/>
    <x v="1"/>
    <x v="5"/>
    <n v="0"/>
    <n v="0"/>
    <n v="481.88099999999997"/>
    <n v="424.05527999999998"/>
    <n v="481.88099999999997"/>
    <n v="424.05527999999998"/>
    <n v="0"/>
    <x v="0"/>
    <n v="0"/>
    <n v="0"/>
    <n v="27"/>
    <n v="81"/>
    <n v="0"/>
    <n v="641.99"/>
    <n v="430.87"/>
    <m/>
    <n v="747.73459855656426"/>
    <n v="375.70671275609089"/>
    <n v="0"/>
    <n v="272239.24920720002"/>
    <n v="182712.69849360001"/>
    <n v="0"/>
    <n v="317080.80455659144"/>
    <n v="159320.41527566369"/>
  </r>
  <r>
    <s v="Regular"/>
    <x v="2"/>
    <x v="3"/>
    <x v="2"/>
    <x v="1"/>
    <x v="0"/>
    <x v="0"/>
    <x v="1"/>
    <x v="6"/>
    <n v="0"/>
    <n v="0"/>
    <n v="503.37200000000001"/>
    <n v="442.96736000000004"/>
    <n v="503.37200000000001"/>
    <n v="442.96736000000004"/>
    <n v="0"/>
    <x v="0"/>
    <n v="0"/>
    <n v="0"/>
    <n v="27"/>
    <n v="81"/>
    <n v="0"/>
    <n v="641.99"/>
    <n v="430.87"/>
    <m/>
    <n v="747.73459855656426"/>
    <n v="375.70671275609089"/>
    <n v="0"/>
    <n v="284380.61544640001"/>
    <n v="190861.34640320003"/>
    <n v="0"/>
    <n v="331222.0211032611"/>
    <n v="166425.81068384391"/>
  </r>
  <r>
    <s v="Regular"/>
    <x v="2"/>
    <x v="3"/>
    <x v="2"/>
    <x v="1"/>
    <x v="0"/>
    <x v="0"/>
    <x v="1"/>
    <x v="7"/>
    <n v="0"/>
    <n v="0"/>
    <n v="438.33699999999999"/>
    <n v="385.73656"/>
    <n v="438.33699999999999"/>
    <n v="385.73656"/>
    <n v="0"/>
    <x v="0"/>
    <n v="0"/>
    <n v="0"/>
    <n v="27"/>
    <n v="81"/>
    <n v="0"/>
    <n v="641.99"/>
    <n v="430.87"/>
    <m/>
    <n v="747.73459855656426"/>
    <n v="375.70671275609089"/>
    <n v="0"/>
    <n v="247639.01415440001"/>
    <n v="166202.31160720001"/>
    <n v="0"/>
    <n v="288428.57184019004"/>
    <n v="144923.81494744262"/>
  </r>
  <r>
    <s v="Regular"/>
    <x v="2"/>
    <x v="3"/>
    <x v="2"/>
    <x v="1"/>
    <x v="0"/>
    <x v="0"/>
    <x v="1"/>
    <x v="8"/>
    <n v="0"/>
    <n v="0"/>
    <n v="470.84800000000001"/>
    <n v="414.34624000000002"/>
    <n v="470.84800000000001"/>
    <n v="414.34624000000002"/>
    <n v="0"/>
    <x v="0"/>
    <n v="0"/>
    <n v="0"/>
    <n v="27"/>
    <n v="81"/>
    <n v="0"/>
    <n v="641.99"/>
    <n v="430.87"/>
    <m/>
    <n v="747.73459855656426"/>
    <n v="375.70671275609089"/>
    <n v="0"/>
    <n v="266006.14261760004"/>
    <n v="178529.36442880001"/>
    <n v="0"/>
    <n v="309821.01942982187"/>
    <n v="155672.66377324631"/>
  </r>
  <r>
    <s v="Regular"/>
    <x v="2"/>
    <x v="3"/>
    <x v="2"/>
    <x v="1"/>
    <x v="0"/>
    <x v="0"/>
    <x v="1"/>
    <x v="9"/>
    <n v="0"/>
    <n v="0"/>
    <n v="455.96699999999998"/>
    <n v="401.25095999999996"/>
    <n v="455.96699999999998"/>
    <n v="401.25095999999996"/>
    <n v="0"/>
    <x v="0"/>
    <n v="0"/>
    <n v="0"/>
    <n v="27"/>
    <n v="81"/>
    <n v="0"/>
    <n v="641.99"/>
    <n v="430.87"/>
    <m/>
    <n v="747.73459855656426"/>
    <n v="375.70671275609089"/>
    <n v="0"/>
    <n v="257599.10381039997"/>
    <n v="172887.0011352"/>
    <n v="0"/>
    <n v="300029.225496036"/>
    <n v="150752.6791718257"/>
  </r>
  <r>
    <s v="Regular"/>
    <x v="2"/>
    <x v="3"/>
    <x v="2"/>
    <x v="1"/>
    <x v="0"/>
    <x v="0"/>
    <x v="1"/>
    <x v="10"/>
    <n v="0"/>
    <n v="0"/>
    <n v="487.88499999999999"/>
    <n v="429.33879999999999"/>
    <n v="487.88499999999999"/>
    <n v="429.33879999999999"/>
    <n v="0"/>
    <x v="0"/>
    <n v="0"/>
    <n v="0"/>
    <n v="27"/>
    <n v="81"/>
    <n v="0"/>
    <n v="641.99"/>
    <n v="430.87"/>
    <m/>
    <n v="747.73459855656426"/>
    <n v="375.70671275609089"/>
    <n v="0"/>
    <n v="275631.216212"/>
    <n v="184989.20875600001"/>
    <n v="0"/>
    <n v="321031.47526275704"/>
    <n v="161305.46920664475"/>
  </r>
  <r>
    <s v="PROJETADO"/>
    <x v="2"/>
    <x v="3"/>
    <x v="2"/>
    <x v="1"/>
    <x v="0"/>
    <x v="0"/>
    <x v="1"/>
    <x v="11"/>
    <n v="0"/>
    <n v="0"/>
    <n v="487.88499999999999"/>
    <n v="429.33879999999999"/>
    <n v="487.88499999999999"/>
    <n v="429.33879999999999"/>
    <n v="0"/>
    <x v="0"/>
    <n v="0"/>
    <n v="0"/>
    <n v="27"/>
    <n v="81"/>
    <n v="0"/>
    <n v="641.99"/>
    <n v="430.87"/>
    <m/>
    <n v="747.73459855656426"/>
    <n v="375.70671275609089"/>
    <n v="0"/>
    <n v="275631.216212"/>
    <n v="184989.20875600001"/>
    <n v="0"/>
    <n v="321031.47526275704"/>
    <n v="161305.46920664475"/>
  </r>
  <r>
    <s v="Regular"/>
    <x v="2"/>
    <x v="3"/>
    <x v="2"/>
    <x v="2"/>
    <x v="0"/>
    <x v="0"/>
    <x v="0"/>
    <x v="1"/>
    <n v="0"/>
    <n v="0"/>
    <n v="517.476"/>
    <n v="517.476"/>
    <n v="517.476"/>
    <n v="517.476"/>
    <n v="0"/>
    <x v="0"/>
    <n v="0"/>
    <n v="0"/>
    <n v="28"/>
    <n v="82"/>
    <n v="0"/>
    <n v="84.45"/>
    <n v="256.38"/>
    <m/>
    <n v="87.520205040180812"/>
    <n v="230.84299908458948"/>
    <n v="0"/>
    <n v="43700.8482"/>
    <n v="132670.49687999999"/>
    <n v="0"/>
    <n v="45289.605623372605"/>
    <n v="119455.71179429702"/>
  </r>
  <r>
    <s v="Regular"/>
    <x v="2"/>
    <x v="3"/>
    <x v="2"/>
    <x v="2"/>
    <x v="0"/>
    <x v="0"/>
    <x v="0"/>
    <x v="2"/>
    <n v="0"/>
    <n v="0"/>
    <n v="285.22000000000003"/>
    <n v="285.22000000000003"/>
    <n v="285.22000000000003"/>
    <n v="285.22000000000003"/>
    <n v="0"/>
    <x v="0"/>
    <n v="0"/>
    <n v="0"/>
    <n v="28"/>
    <n v="82"/>
    <n v="0"/>
    <n v="84.45"/>
    <n v="256.38"/>
    <m/>
    <n v="87.520205040180812"/>
    <n v="230.84299908458948"/>
    <n v="0"/>
    <n v="24086.829000000002"/>
    <n v="73124.703600000008"/>
    <n v="0"/>
    <n v="24962.512881560375"/>
    <n v="65841.040198906616"/>
  </r>
  <r>
    <s v="Regular"/>
    <x v="2"/>
    <x v="3"/>
    <x v="2"/>
    <x v="2"/>
    <x v="0"/>
    <x v="0"/>
    <x v="0"/>
    <x v="3"/>
    <n v="0"/>
    <n v="0"/>
    <n v="223.827"/>
    <n v="223.827"/>
    <n v="223.827"/>
    <n v="223.827"/>
    <n v="0"/>
    <x v="0"/>
    <n v="0"/>
    <n v="0"/>
    <n v="28"/>
    <n v="82"/>
    <n v="0"/>
    <n v="84.45"/>
    <n v="256.38"/>
    <m/>
    <n v="87.520205040180812"/>
    <n v="230.84299908458948"/>
    <n v="0"/>
    <n v="18902.190150000002"/>
    <n v="57384.766259999997"/>
    <n v="0"/>
    <n v="19589.384933528552"/>
    <n v="51668.895956106411"/>
  </r>
  <r>
    <s v="Regular"/>
    <x v="2"/>
    <x v="3"/>
    <x v="2"/>
    <x v="2"/>
    <x v="0"/>
    <x v="0"/>
    <x v="0"/>
    <x v="4"/>
    <n v="0"/>
    <n v="0"/>
    <n v="249.55799999999999"/>
    <n v="249.55799999999999"/>
    <n v="249.55799999999999"/>
    <n v="249.55799999999999"/>
    <n v="0"/>
    <x v="0"/>
    <n v="0"/>
    <n v="0"/>
    <n v="28"/>
    <n v="82"/>
    <n v="0"/>
    <n v="84.45"/>
    <n v="256.38"/>
    <m/>
    <n v="87.520205040180812"/>
    <n v="230.84299908458948"/>
    <n v="0"/>
    <n v="21075.1731"/>
    <n v="63981.680039999999"/>
    <n v="0"/>
    <n v="21841.367329417444"/>
    <n v="57608.717165551978"/>
  </r>
  <r>
    <s v="Regular"/>
    <x v="2"/>
    <x v="3"/>
    <x v="2"/>
    <x v="2"/>
    <x v="0"/>
    <x v="0"/>
    <x v="0"/>
    <x v="5"/>
    <n v="0"/>
    <n v="0"/>
    <n v="223.535"/>
    <n v="223.535"/>
    <n v="223.535"/>
    <n v="223.535"/>
    <n v="0"/>
    <x v="0"/>
    <n v="0"/>
    <n v="0"/>
    <n v="28"/>
    <n v="82"/>
    <n v="0"/>
    <n v="84.45"/>
    <n v="256.38"/>
    <m/>
    <n v="87.520205040180812"/>
    <n v="230.84299908458948"/>
    <n v="0"/>
    <n v="18877.530750000002"/>
    <n v="57309.903299999998"/>
    <n v="0"/>
    <n v="19563.829033656817"/>
    <n v="51601.489800373711"/>
  </r>
  <r>
    <s v="Regular"/>
    <x v="2"/>
    <x v="3"/>
    <x v="2"/>
    <x v="2"/>
    <x v="0"/>
    <x v="0"/>
    <x v="0"/>
    <x v="6"/>
    <n v="0"/>
    <n v="0"/>
    <n v="219.87100000000001"/>
    <n v="219.87100000000001"/>
    <n v="219.87100000000001"/>
    <n v="219.87100000000001"/>
    <n v="0"/>
    <x v="0"/>
    <n v="0"/>
    <n v="0"/>
    <n v="28"/>
    <n v="82"/>
    <n v="0"/>
    <n v="84.45"/>
    <n v="256.38"/>
    <m/>
    <n v="87.520205040180812"/>
    <n v="230.84299908458948"/>
    <n v="0"/>
    <n v="18568.105950000001"/>
    <n v="56370.526980000002"/>
    <n v="0"/>
    <n v="19243.155002389598"/>
    <n v="50755.681051727777"/>
  </r>
  <r>
    <s v="Regular"/>
    <x v="2"/>
    <x v="3"/>
    <x v="2"/>
    <x v="2"/>
    <x v="0"/>
    <x v="0"/>
    <x v="0"/>
    <x v="7"/>
    <n v="0"/>
    <n v="0"/>
    <n v="243.92500000000001"/>
    <n v="243.92500000000001"/>
    <n v="243.92500000000001"/>
    <n v="243.92500000000001"/>
    <n v="0"/>
    <x v="0"/>
    <n v="0"/>
    <n v="0"/>
    <n v="28"/>
    <n v="82"/>
    <n v="0"/>
    <n v="84.45"/>
    <n v="256.38"/>
    <m/>
    <n v="87.520205040180812"/>
    <n v="230.84299908458948"/>
    <n v="0"/>
    <n v="20599.466250000001"/>
    <n v="62537.491500000004"/>
    <n v="0"/>
    <n v="21348.366014426105"/>
    <n v="56308.378551708491"/>
  </r>
  <r>
    <s v="Regular"/>
    <x v="2"/>
    <x v="3"/>
    <x v="2"/>
    <x v="2"/>
    <x v="0"/>
    <x v="0"/>
    <x v="0"/>
    <x v="8"/>
    <n v="0"/>
    <n v="0"/>
    <n v="262.52199999999999"/>
    <n v="262.52199999999999"/>
    <n v="262.52199999999999"/>
    <n v="262.52199999999999"/>
    <n v="0"/>
    <x v="0"/>
    <n v="0"/>
    <n v="0"/>
    <n v="28"/>
    <n v="82"/>
    <n v="0"/>
    <n v="84.45"/>
    <n v="256.38"/>
    <m/>
    <n v="87.520205040180812"/>
    <n v="230.84299908458948"/>
    <n v="0"/>
    <n v="22169.982899999999"/>
    <n v="67305.39035999999"/>
    <n v="0"/>
    <n v="22975.979267558345"/>
    <n v="60601.365805684596"/>
  </r>
  <r>
    <s v="Regular"/>
    <x v="2"/>
    <x v="3"/>
    <x v="2"/>
    <x v="2"/>
    <x v="0"/>
    <x v="0"/>
    <x v="0"/>
    <x v="9"/>
    <n v="0"/>
    <n v="0"/>
    <n v="216.511"/>
    <n v="216.511"/>
    <n v="216.511"/>
    <n v="216.511"/>
    <n v="0"/>
    <x v="0"/>
    <n v="0"/>
    <n v="0"/>
    <n v="28"/>
    <n v="82"/>
    <n v="0"/>
    <n v="84.45"/>
    <n v="256.38"/>
    <m/>
    <n v="87.520205040180812"/>
    <n v="230.84299908458948"/>
    <n v="0"/>
    <n v="18284.353950000001"/>
    <n v="55509.090179999999"/>
    <n v="0"/>
    <n v="18949.087113454589"/>
    <n v="49980.04857480355"/>
  </r>
  <r>
    <s v="Regular"/>
    <x v="2"/>
    <x v="3"/>
    <x v="2"/>
    <x v="2"/>
    <x v="0"/>
    <x v="0"/>
    <x v="0"/>
    <x v="10"/>
    <n v="0"/>
    <n v="0"/>
    <n v="269.88099999999997"/>
    <n v="269.88099999999997"/>
    <n v="269.88099999999997"/>
    <n v="269.88099999999997"/>
    <n v="0"/>
    <x v="0"/>
    <n v="0"/>
    <n v="0"/>
    <n v="28"/>
    <n v="82"/>
    <n v="0"/>
    <n v="84.45"/>
    <n v="256.38"/>
    <m/>
    <n v="87.520205040180812"/>
    <n v="230.84299908458948"/>
    <n v="0"/>
    <n v="22791.450449999997"/>
    <n v="69192.090779999999"/>
    <n v="0"/>
    <n v="23620.040456449035"/>
    <n v="62300.139435948084"/>
  </r>
  <r>
    <s v="PROJETADO"/>
    <x v="2"/>
    <x v="3"/>
    <x v="2"/>
    <x v="2"/>
    <x v="0"/>
    <x v="0"/>
    <x v="0"/>
    <x v="11"/>
    <n v="0"/>
    <n v="0"/>
    <n v="269.88099999999997"/>
    <n v="269.88099999999997"/>
    <n v="269.88099999999997"/>
    <n v="269.88099999999997"/>
    <n v="0"/>
    <x v="0"/>
    <n v="0"/>
    <n v="0"/>
    <n v="28"/>
    <n v="82"/>
    <n v="0"/>
    <n v="84.45"/>
    <n v="256.38"/>
    <m/>
    <n v="87.520205040180812"/>
    <n v="230.84299908458948"/>
    <n v="0"/>
    <n v="22791.450449999997"/>
    <n v="69192.090779999999"/>
    <n v="0"/>
    <n v="23620.040456449035"/>
    <n v="62300.139435948084"/>
  </r>
  <r>
    <s v="Regular"/>
    <x v="2"/>
    <x v="3"/>
    <x v="2"/>
    <x v="2"/>
    <x v="0"/>
    <x v="0"/>
    <x v="2"/>
    <x v="1"/>
    <n v="7297"/>
    <n v="7297"/>
    <n v="0"/>
    <n v="0"/>
    <n v="0"/>
    <n v="0"/>
    <n v="3"/>
    <x v="0"/>
    <n v="0"/>
    <n v="26"/>
    <n v="0"/>
    <n v="0"/>
    <n v="8.81"/>
    <n v="0"/>
    <n v="0"/>
    <n v="11.452356648653195"/>
    <m/>
    <m/>
    <n v="64286.570000000007"/>
    <n v="0"/>
    <n v="0"/>
    <n v="83567.846465222363"/>
    <n v="0"/>
    <n v="0"/>
  </r>
  <r>
    <s v="Regular"/>
    <x v="2"/>
    <x v="3"/>
    <x v="2"/>
    <x v="2"/>
    <x v="0"/>
    <x v="0"/>
    <x v="2"/>
    <x v="2"/>
    <n v="3211"/>
    <n v="3211"/>
    <n v="0"/>
    <n v="0"/>
    <n v="0"/>
    <n v="0"/>
    <n v="3"/>
    <x v="0"/>
    <n v="0"/>
    <n v="26"/>
    <n v="0"/>
    <n v="0"/>
    <n v="8.81"/>
    <n v="0"/>
    <n v="0"/>
    <n v="11.452356648653195"/>
    <m/>
    <m/>
    <n v="28288.91"/>
    <n v="0"/>
    <n v="0"/>
    <n v="36773.517198825408"/>
    <n v="0"/>
    <n v="0"/>
  </r>
  <r>
    <s v="Regular"/>
    <x v="2"/>
    <x v="3"/>
    <x v="2"/>
    <x v="2"/>
    <x v="0"/>
    <x v="0"/>
    <x v="2"/>
    <x v="3"/>
    <n v="2800"/>
    <n v="2800"/>
    <n v="0"/>
    <n v="0"/>
    <n v="0"/>
    <n v="0"/>
    <n v="3"/>
    <x v="0"/>
    <n v="0"/>
    <n v="26"/>
    <n v="0"/>
    <n v="0"/>
    <n v="8.81"/>
    <n v="0"/>
    <n v="0"/>
    <n v="11.452356648653195"/>
    <m/>
    <m/>
    <n v="24668"/>
    <n v="0"/>
    <n v="0"/>
    <n v="32066.598616228945"/>
    <n v="0"/>
    <n v="0"/>
  </r>
  <r>
    <s v="Regular"/>
    <x v="2"/>
    <x v="3"/>
    <x v="2"/>
    <x v="2"/>
    <x v="0"/>
    <x v="0"/>
    <x v="2"/>
    <x v="4"/>
    <n v="2945"/>
    <n v="2945"/>
    <n v="0"/>
    <n v="0"/>
    <n v="0"/>
    <n v="0"/>
    <n v="3"/>
    <x v="0"/>
    <n v="0"/>
    <n v="26"/>
    <n v="0"/>
    <n v="0"/>
    <n v="8.81"/>
    <n v="0"/>
    <n v="0"/>
    <n v="11.452356648653195"/>
    <m/>
    <m/>
    <n v="25945.45"/>
    <n v="0"/>
    <n v="0"/>
    <n v="33727.190330283658"/>
    <n v="0"/>
    <n v="0"/>
  </r>
  <r>
    <s v="Regular"/>
    <x v="2"/>
    <x v="3"/>
    <x v="2"/>
    <x v="2"/>
    <x v="0"/>
    <x v="0"/>
    <x v="2"/>
    <x v="5"/>
    <n v="2800"/>
    <n v="2800"/>
    <n v="0"/>
    <n v="0"/>
    <n v="0"/>
    <n v="0"/>
    <n v="3"/>
    <x v="0"/>
    <n v="0"/>
    <n v="26"/>
    <n v="0"/>
    <n v="0"/>
    <n v="8.81"/>
    <n v="0"/>
    <n v="0"/>
    <n v="11.452356648653195"/>
    <m/>
    <m/>
    <n v="24668"/>
    <n v="0"/>
    <n v="0"/>
    <n v="32066.598616228945"/>
    <n v="0"/>
    <n v="0"/>
  </r>
  <r>
    <s v="Regular"/>
    <x v="2"/>
    <x v="3"/>
    <x v="2"/>
    <x v="2"/>
    <x v="0"/>
    <x v="0"/>
    <x v="2"/>
    <x v="6"/>
    <n v="2800"/>
    <n v="2800"/>
    <n v="0"/>
    <n v="0"/>
    <n v="0"/>
    <n v="0"/>
    <n v="3"/>
    <x v="0"/>
    <n v="0"/>
    <n v="26"/>
    <n v="0"/>
    <n v="0"/>
    <n v="8.81"/>
    <n v="0"/>
    <n v="0"/>
    <n v="11.452356648653195"/>
    <m/>
    <m/>
    <n v="24668"/>
    <n v="0"/>
    <n v="0"/>
    <n v="32066.598616228945"/>
    <n v="0"/>
    <n v="0"/>
  </r>
  <r>
    <s v="Regular"/>
    <x v="2"/>
    <x v="3"/>
    <x v="2"/>
    <x v="2"/>
    <x v="0"/>
    <x v="0"/>
    <x v="2"/>
    <x v="7"/>
    <n v="3426"/>
    <n v="3426"/>
    <n v="0"/>
    <n v="0"/>
    <n v="0"/>
    <n v="0"/>
    <n v="3"/>
    <x v="0"/>
    <n v="0"/>
    <n v="26"/>
    <n v="0"/>
    <n v="0"/>
    <n v="8.81"/>
    <n v="0"/>
    <n v="0"/>
    <n v="11.452356648653195"/>
    <m/>
    <m/>
    <n v="30183.06"/>
    <n v="0"/>
    <n v="0"/>
    <n v="39235.773878285843"/>
    <n v="0"/>
    <n v="0"/>
  </r>
  <r>
    <s v="Regular"/>
    <x v="2"/>
    <x v="3"/>
    <x v="2"/>
    <x v="2"/>
    <x v="0"/>
    <x v="0"/>
    <x v="2"/>
    <x v="8"/>
    <n v="3701"/>
    <n v="3701"/>
    <n v="0"/>
    <n v="0"/>
    <n v="0"/>
    <n v="0"/>
    <n v="3"/>
    <x v="0"/>
    <n v="0"/>
    <n v="26"/>
    <n v="0"/>
    <n v="0"/>
    <n v="8.81"/>
    <n v="0"/>
    <n v="0"/>
    <n v="11.452356648653195"/>
    <m/>
    <m/>
    <n v="32605.81"/>
    <n v="0"/>
    <n v="0"/>
    <n v="42385.171956665472"/>
    <n v="0"/>
    <n v="0"/>
  </r>
  <r>
    <s v="Regular"/>
    <x v="2"/>
    <x v="3"/>
    <x v="2"/>
    <x v="2"/>
    <x v="0"/>
    <x v="0"/>
    <x v="2"/>
    <x v="9"/>
    <n v="2904"/>
    <n v="2904"/>
    <n v="0"/>
    <n v="0"/>
    <n v="0"/>
    <n v="0"/>
    <n v="3"/>
    <x v="0"/>
    <n v="0"/>
    <n v="26"/>
    <n v="0"/>
    <n v="0"/>
    <n v="8.81"/>
    <n v="0"/>
    <n v="0"/>
    <n v="11.452356648653195"/>
    <m/>
    <m/>
    <n v="25584.240000000002"/>
    <n v="0"/>
    <n v="0"/>
    <n v="33257.643707688876"/>
    <n v="0"/>
    <n v="0"/>
  </r>
  <r>
    <s v="Regular"/>
    <x v="2"/>
    <x v="3"/>
    <x v="2"/>
    <x v="2"/>
    <x v="0"/>
    <x v="0"/>
    <x v="2"/>
    <x v="10"/>
    <n v="3425"/>
    <n v="3425"/>
    <n v="0"/>
    <n v="0"/>
    <n v="0"/>
    <n v="0"/>
    <n v="3"/>
    <x v="0"/>
    <n v="0"/>
    <n v="26"/>
    <n v="0"/>
    <n v="0"/>
    <n v="8.81"/>
    <n v="0"/>
    <n v="0"/>
    <n v="11.452356648653195"/>
    <m/>
    <m/>
    <n v="30174.25"/>
    <n v="0"/>
    <n v="0"/>
    <n v="39224.32152163719"/>
    <n v="0"/>
    <n v="0"/>
  </r>
  <r>
    <s v="PROJETADO"/>
    <x v="2"/>
    <x v="3"/>
    <x v="2"/>
    <x v="2"/>
    <x v="0"/>
    <x v="0"/>
    <x v="2"/>
    <x v="11"/>
    <n v="3425"/>
    <n v="3425"/>
    <n v="0"/>
    <n v="0"/>
    <n v="0"/>
    <n v="0"/>
    <n v="3"/>
    <x v="0"/>
    <n v="0"/>
    <n v="26"/>
    <n v="0"/>
    <n v="0"/>
    <n v="8.81"/>
    <n v="0"/>
    <n v="0"/>
    <n v="11.452356648653195"/>
    <m/>
    <m/>
    <n v="30174.25"/>
    <n v="0"/>
    <n v="0"/>
    <n v="39224.32152163719"/>
    <n v="0"/>
    <n v="0"/>
  </r>
  <r>
    <s v="Regular"/>
    <x v="2"/>
    <x v="3"/>
    <x v="2"/>
    <x v="2"/>
    <x v="0"/>
    <x v="0"/>
    <x v="1"/>
    <x v="1"/>
    <n v="0"/>
    <n v="0"/>
    <n v="29.231000000000002"/>
    <n v="29.231000000000002"/>
    <n v="29.231000000000002"/>
    <n v="29.231000000000002"/>
    <n v="0"/>
    <x v="0"/>
    <n v="0"/>
    <n v="0"/>
    <n v="27"/>
    <n v="81"/>
    <n v="0"/>
    <n v="641.99"/>
    <n v="430.87"/>
    <m/>
    <n v="747.73459855656426"/>
    <n v="375.70671275609089"/>
    <n v="0"/>
    <n v="18766.009690000003"/>
    <n v="12594.760970000001"/>
    <n v="0"/>
    <n v="21857.030050406931"/>
    <n v="10982.282920573294"/>
  </r>
  <r>
    <s v="Regular"/>
    <x v="2"/>
    <x v="3"/>
    <x v="2"/>
    <x v="2"/>
    <x v="0"/>
    <x v="0"/>
    <x v="1"/>
    <x v="2"/>
    <n v="0"/>
    <n v="0"/>
    <n v="19.960999999999999"/>
    <n v="19.960999999999999"/>
    <n v="19.960999999999999"/>
    <n v="19.960999999999999"/>
    <n v="0"/>
    <x v="0"/>
    <n v="0"/>
    <n v="0"/>
    <n v="27"/>
    <n v="81"/>
    <n v="0"/>
    <n v="641.99"/>
    <n v="430.87"/>
    <m/>
    <n v="747.73459855656426"/>
    <n v="375.70671275609089"/>
    <n v="0"/>
    <n v="12814.76239"/>
    <n v="8600.5960699999996"/>
    <n v="0"/>
    <n v="14925.530321787579"/>
    <n v="7499.4816933243301"/>
  </r>
  <r>
    <s v="Regular"/>
    <x v="2"/>
    <x v="3"/>
    <x v="2"/>
    <x v="2"/>
    <x v="0"/>
    <x v="0"/>
    <x v="1"/>
    <x v="3"/>
    <n v="0"/>
    <n v="0"/>
    <n v="13.715999999999999"/>
    <n v="13.715999999999999"/>
    <n v="13.715999999999999"/>
    <n v="13.715999999999999"/>
    <n v="0"/>
    <x v="0"/>
    <n v="0"/>
    <n v="0"/>
    <n v="27"/>
    <n v="81"/>
    <n v="0"/>
    <n v="641.99"/>
    <n v="430.87"/>
    <m/>
    <n v="747.73459855656426"/>
    <n v="375.70671275609089"/>
    <n v="0"/>
    <n v="8805.5348400000003"/>
    <n v="5909.8129199999994"/>
    <n v="0"/>
    <n v="10255.927753801834"/>
    <n v="5153.1932721625426"/>
  </r>
  <r>
    <s v="Regular"/>
    <x v="2"/>
    <x v="3"/>
    <x v="2"/>
    <x v="2"/>
    <x v="0"/>
    <x v="0"/>
    <x v="1"/>
    <x v="4"/>
    <n v="0"/>
    <n v="0"/>
    <n v="16.43"/>
    <n v="16.43"/>
    <n v="16.43"/>
    <n v="16.43"/>
    <n v="0"/>
    <x v="0"/>
    <n v="0"/>
    <n v="0"/>
    <n v="27"/>
    <n v="81"/>
    <n v="0"/>
    <n v="641.99"/>
    <n v="430.87"/>
    <m/>
    <n v="747.73459855656426"/>
    <n v="375.70671275609089"/>
    <n v="0"/>
    <n v="10547.895699999999"/>
    <n v="7079.1940999999997"/>
    <n v="0"/>
    <n v="12285.279454284351"/>
    <n v="6172.861290582573"/>
  </r>
  <r>
    <s v="Regular"/>
    <x v="2"/>
    <x v="3"/>
    <x v="2"/>
    <x v="2"/>
    <x v="0"/>
    <x v="0"/>
    <x v="1"/>
    <x v="5"/>
    <n v="0"/>
    <n v="0"/>
    <n v="14.663"/>
    <n v="14.663"/>
    <n v="14.663"/>
    <n v="14.663"/>
    <n v="0"/>
    <x v="0"/>
    <n v="0"/>
    <n v="0"/>
    <n v="27"/>
    <n v="81"/>
    <n v="0"/>
    <n v="641.99"/>
    <n v="430.87"/>
    <m/>
    <n v="747.73459855656426"/>
    <n v="375.70671275609089"/>
    <n v="0"/>
    <n v="9413.4993699999995"/>
    <n v="6317.84681"/>
    <n v="0"/>
    <n v="10964.032418634903"/>
    <n v="5508.9875291425606"/>
  </r>
  <r>
    <s v="Regular"/>
    <x v="2"/>
    <x v="3"/>
    <x v="2"/>
    <x v="2"/>
    <x v="0"/>
    <x v="0"/>
    <x v="1"/>
    <x v="6"/>
    <n v="0"/>
    <n v="0"/>
    <n v="11.835000000000001"/>
    <n v="11.835000000000001"/>
    <n v="11.835000000000001"/>
    <n v="11.835000000000001"/>
    <n v="0"/>
    <x v="0"/>
    <n v="0"/>
    <n v="0"/>
    <n v="27"/>
    <n v="81"/>
    <n v="0"/>
    <n v="641.99"/>
    <n v="430.87"/>
    <m/>
    <n v="747.73459855656426"/>
    <n v="375.70671275609089"/>
    <n v="0"/>
    <n v="7597.9516500000009"/>
    <n v="5099.34645"/>
    <n v="0"/>
    <n v="8849.4389739169383"/>
    <n v="4446.4889454683362"/>
  </r>
  <r>
    <s v="Regular"/>
    <x v="2"/>
    <x v="3"/>
    <x v="2"/>
    <x v="2"/>
    <x v="0"/>
    <x v="0"/>
    <x v="1"/>
    <x v="7"/>
    <n v="0"/>
    <n v="0"/>
    <n v="19.997"/>
    <n v="19.997"/>
    <n v="19.997"/>
    <n v="19.997"/>
    <n v="0"/>
    <x v="0"/>
    <n v="0"/>
    <n v="0"/>
    <n v="27"/>
    <n v="81"/>
    <n v="0"/>
    <n v="641.99"/>
    <n v="430.87"/>
    <m/>
    <n v="747.73459855656426"/>
    <n v="375.70671275609089"/>
    <n v="0"/>
    <n v="12837.874030000001"/>
    <n v="8616.1073899999992"/>
    <n v="0"/>
    <n v="14952.448767335616"/>
    <n v="7513.0071349835498"/>
  </r>
  <r>
    <s v="Regular"/>
    <x v="2"/>
    <x v="3"/>
    <x v="2"/>
    <x v="2"/>
    <x v="0"/>
    <x v="0"/>
    <x v="1"/>
    <x v="8"/>
    <n v="0"/>
    <n v="0"/>
    <n v="23.45"/>
    <n v="23.45"/>
    <n v="23.45"/>
    <n v="23.45"/>
    <n v="0"/>
    <x v="0"/>
    <n v="0"/>
    <n v="0"/>
    <n v="27"/>
    <n v="81"/>
    <n v="0"/>
    <n v="641.99"/>
    <n v="430.87"/>
    <m/>
    <n v="747.73459855656426"/>
    <n v="375.70671275609089"/>
    <n v="0"/>
    <n v="15054.665499999999"/>
    <n v="10103.9015"/>
    <n v="0"/>
    <n v="17534.376336151432"/>
    <n v="8810.3224141303308"/>
  </r>
  <r>
    <s v="Regular"/>
    <x v="2"/>
    <x v="3"/>
    <x v="2"/>
    <x v="2"/>
    <x v="0"/>
    <x v="0"/>
    <x v="1"/>
    <x v="9"/>
    <n v="0"/>
    <n v="0"/>
    <n v="12.688000000000001"/>
    <n v="12.688000000000001"/>
    <n v="12.688000000000001"/>
    <n v="12.688000000000001"/>
    <n v="0"/>
    <x v="0"/>
    <n v="0"/>
    <n v="0"/>
    <n v="27"/>
    <n v="81"/>
    <n v="0"/>
    <n v="641.99"/>
    <n v="430.87"/>
    <m/>
    <n v="747.73459855656426"/>
    <n v="375.70671275609089"/>
    <n v="0"/>
    <n v="8145.5691200000001"/>
    <n v="5466.8785600000001"/>
    <n v="0"/>
    <n v="9487.2565864856879"/>
    <n v="4766.9667714492816"/>
  </r>
  <r>
    <s v="Regular"/>
    <x v="2"/>
    <x v="3"/>
    <x v="2"/>
    <x v="2"/>
    <x v="0"/>
    <x v="0"/>
    <x v="1"/>
    <x v="10"/>
    <n v="0"/>
    <n v="0"/>
    <n v="19.835000000000001"/>
    <n v="19.835000000000001"/>
    <n v="19.835000000000001"/>
    <n v="19.835000000000001"/>
    <n v="0"/>
    <x v="0"/>
    <n v="0"/>
    <n v="0"/>
    <n v="27"/>
    <n v="81"/>
    <n v="0"/>
    <n v="641.99"/>
    <n v="430.87"/>
    <m/>
    <n v="747.73459855656426"/>
    <n v="375.70671275609089"/>
    <n v="0"/>
    <n v="12733.871650000001"/>
    <n v="8546.30645"/>
    <n v="0"/>
    <n v="14831.315762369453"/>
    <n v="7452.1426475170629"/>
  </r>
  <r>
    <s v="PROJETADO"/>
    <x v="2"/>
    <x v="3"/>
    <x v="2"/>
    <x v="2"/>
    <x v="0"/>
    <x v="0"/>
    <x v="1"/>
    <x v="11"/>
    <n v="0"/>
    <n v="0"/>
    <n v="19.835000000000001"/>
    <n v="19.835000000000001"/>
    <n v="19.835000000000001"/>
    <n v="19.835000000000001"/>
    <n v="0"/>
    <x v="0"/>
    <n v="0"/>
    <n v="0"/>
    <n v="27"/>
    <n v="81"/>
    <n v="0"/>
    <n v="641.99"/>
    <n v="430.87"/>
    <m/>
    <n v="747.73459855656426"/>
    <n v="375.70671275609089"/>
    <n v="0"/>
    <n v="12733.871650000001"/>
    <n v="8546.30645"/>
    <n v="0"/>
    <n v="14831.315762369453"/>
    <n v="7452.1426475170629"/>
  </r>
  <r>
    <s v="Regular"/>
    <x v="3"/>
    <x v="0"/>
    <x v="0"/>
    <x v="0"/>
    <x v="0"/>
    <x v="0"/>
    <x v="0"/>
    <x v="0"/>
    <n v="20741"/>
    <n v="20741"/>
    <n v="7418.7860000000001"/>
    <n v="7418.7860000000001"/>
    <n v="7418.7860000000001"/>
    <n v="7418.7860000000001"/>
    <n v="0"/>
    <x v="0"/>
    <n v="0"/>
    <n v="32"/>
    <n v="33"/>
    <n v="84"/>
    <n v="12.24"/>
    <n v="109.75"/>
    <n v="256.38"/>
    <n v="16.00053546174815"/>
    <n v="112.98053114414617"/>
    <n v="230.84299908458948"/>
    <n v="253869.84"/>
    <n v="814211.7635"/>
    <n v="1902028.3546799999"/>
    <n v="331867.1060121184"/>
    <n v="838178.38272475556"/>
    <n v="1712574.8098067653"/>
  </r>
  <r>
    <s v="Sistema de Compensação"/>
    <x v="3"/>
    <x v="0"/>
    <x v="0"/>
    <x v="0"/>
    <x v="0"/>
    <x v="0"/>
    <x v="0"/>
    <x v="0"/>
    <n v="2360"/>
    <n v="2360"/>
    <n v="668.73900000000003"/>
    <n v="668.73900000000003"/>
    <n v="668.73900000000003"/>
    <n v="668.73900000000003"/>
    <n v="0"/>
    <x v="0"/>
    <n v="0"/>
    <n v="32"/>
    <n v="33"/>
    <n v="84"/>
    <n v="12.24"/>
    <n v="109.75"/>
    <n v="256.38"/>
    <n v="16.00053546174815"/>
    <n v="112.98053114414617"/>
    <n v="230.84299908458948"/>
    <n v="28886.400000000001"/>
    <n v="73394.105250000008"/>
    <n v="171451.30482000002"/>
    <n v="37761.263689725631"/>
    <n v="75554.487416805176"/>
    <n v="154373.71636482928"/>
  </r>
  <r>
    <s v="Regular"/>
    <x v="3"/>
    <x v="0"/>
    <x v="0"/>
    <x v="0"/>
    <x v="0"/>
    <x v="0"/>
    <x v="0"/>
    <x v="1"/>
    <n v="19950"/>
    <n v="19950"/>
    <n v="7480.7849999999999"/>
    <n v="7480.7849999999999"/>
    <n v="7480.7849999999999"/>
    <n v="7480.7849999999999"/>
    <n v="0"/>
    <x v="0"/>
    <n v="0"/>
    <n v="32"/>
    <n v="33"/>
    <n v="84"/>
    <n v="12.24"/>
    <n v="109.75"/>
    <n v="256.38"/>
    <n v="16.00053546174815"/>
    <n v="112.98053114414617"/>
    <n v="230.84299908458948"/>
    <n v="244188"/>
    <n v="821016.15374999994"/>
    <n v="1917923.6583"/>
    <n v="319210.68246187561"/>
    <n v="845183.06267516152"/>
    <n v="1726886.8449070107"/>
  </r>
  <r>
    <s v="Refaturamento - Regular"/>
    <x v="3"/>
    <x v="0"/>
    <x v="0"/>
    <x v="0"/>
    <x v="0"/>
    <x v="0"/>
    <x v="0"/>
    <x v="1"/>
    <n v="927"/>
    <n v="927"/>
    <n v="347.99099999999999"/>
    <n v="347.99099999999999"/>
    <n v="347.99099999999999"/>
    <n v="347.99099999999999"/>
    <n v="0"/>
    <x v="0"/>
    <n v="0"/>
    <n v="32"/>
    <n v="33"/>
    <n v="84"/>
    <n v="12.24"/>
    <n v="109.75"/>
    <n v="256.38"/>
    <n v="16.00053546174815"/>
    <n v="112.98053114414617"/>
    <n v="230.84299908458948"/>
    <n v="11346.48"/>
    <n v="38192.01225"/>
    <n v="89217.932579999993"/>
    <n v="14832.496373040534"/>
    <n v="39316.208013382566"/>
    <n v="80331.286094445371"/>
  </r>
  <r>
    <s v="Sistema de Compensação"/>
    <x v="3"/>
    <x v="0"/>
    <x v="0"/>
    <x v="0"/>
    <x v="0"/>
    <x v="0"/>
    <x v="0"/>
    <x v="1"/>
    <n v="2360"/>
    <n v="2360"/>
    <n v="727.27499999999998"/>
    <n v="727.27499999999998"/>
    <n v="727.27499999999998"/>
    <n v="727.27499999999998"/>
    <n v="0"/>
    <x v="0"/>
    <n v="0"/>
    <n v="32"/>
    <n v="33"/>
    <n v="84"/>
    <n v="12.24"/>
    <n v="109.75"/>
    <n v="256.38"/>
    <n v="16.00053546174815"/>
    <n v="112.98053114414617"/>
    <n v="230.84299908458948"/>
    <n v="28886.400000000001"/>
    <n v="79818.431249999994"/>
    <n v="186458.76449999999"/>
    <n v="37761.263689725631"/>
    <n v="82167.915787858903"/>
    <n v="167886.34215924481"/>
  </r>
  <r>
    <s v="Regular"/>
    <x v="3"/>
    <x v="0"/>
    <x v="0"/>
    <x v="0"/>
    <x v="0"/>
    <x v="0"/>
    <x v="0"/>
    <x v="2"/>
    <n v="19259"/>
    <n v="19259"/>
    <n v="7092.5879999999997"/>
    <n v="7092.5879999999997"/>
    <n v="7092.5879999999997"/>
    <n v="7092.5879999999997"/>
    <n v="0"/>
    <x v="0"/>
    <n v="0"/>
    <n v="32"/>
    <n v="33"/>
    <n v="84"/>
    <n v="12.24"/>
    <n v="109.75"/>
    <n v="256.38"/>
    <n v="16.00053546174815"/>
    <n v="112.98053114414617"/>
    <n v="230.84299908458948"/>
    <n v="235730.16"/>
    <n v="778411.53299999994"/>
    <n v="1818397.71144"/>
    <n v="308154.31245780759"/>
    <n v="801324.35942659737"/>
    <n v="1637274.2851913702"/>
  </r>
  <r>
    <s v="Refaturamento - Regular"/>
    <x v="3"/>
    <x v="0"/>
    <x v="0"/>
    <x v="0"/>
    <x v="0"/>
    <x v="0"/>
    <x v="0"/>
    <x v="2"/>
    <n v="953"/>
    <n v="953"/>
    <n v="350.858"/>
    <n v="350.858"/>
    <n v="350.858"/>
    <n v="350.858"/>
    <n v="0"/>
    <x v="0"/>
    <n v="0"/>
    <n v="32"/>
    <n v="33"/>
    <n v="84"/>
    <n v="12.24"/>
    <n v="109.75"/>
    <n v="256.38"/>
    <n v="16.00053546174815"/>
    <n v="112.98053114414617"/>
    <n v="230.84299908458948"/>
    <n v="11664.72"/>
    <n v="38506.665500000003"/>
    <n v="89952.974040000001"/>
    <n v="15248.510295045988"/>
    <n v="39640.123196172841"/>
    <n v="80993.112972820891"/>
  </r>
  <r>
    <s v="Sistema de Compensação"/>
    <x v="3"/>
    <x v="0"/>
    <x v="0"/>
    <x v="0"/>
    <x v="0"/>
    <x v="0"/>
    <x v="0"/>
    <x v="2"/>
    <n v="760"/>
    <n v="760"/>
    <n v="272.50099999999998"/>
    <n v="272.50099999999998"/>
    <n v="272.50099999999998"/>
    <n v="272.50099999999998"/>
    <n v="0"/>
    <x v="0"/>
    <n v="0"/>
    <n v="32"/>
    <n v="33"/>
    <n v="84"/>
    <n v="12.24"/>
    <n v="109.75"/>
    <n v="256.38"/>
    <n v="16.00053546174815"/>
    <n v="112.98053114414617"/>
    <n v="230.84299908458948"/>
    <n v="9302.4"/>
    <n v="29906.984749999996"/>
    <n v="69863.806379999995"/>
    <n v="12160.406950928595"/>
    <n v="30787.307717310974"/>
    <n v="62904.948093549712"/>
  </r>
  <r>
    <s v="Regular"/>
    <x v="3"/>
    <x v="0"/>
    <x v="0"/>
    <x v="0"/>
    <x v="0"/>
    <x v="0"/>
    <x v="0"/>
    <x v="3"/>
    <n v="19517"/>
    <n v="19517"/>
    <n v="7404.5529999999999"/>
    <n v="7404.5529999999999"/>
    <n v="7404.5529999999999"/>
    <n v="7404.5529999999999"/>
    <n v="0"/>
    <x v="0"/>
    <n v="0"/>
    <n v="32"/>
    <n v="33"/>
    <n v="84"/>
    <n v="12.24"/>
    <n v="109.75"/>
    <n v="256.38"/>
    <n v="16.00053546174815"/>
    <n v="112.98053114414617"/>
    <n v="230.84299908458948"/>
    <n v="238888.08000000002"/>
    <n v="812649.69175"/>
    <n v="1898379.2981399999"/>
    <n v="312282.45060693863"/>
    <n v="836570.33082498098"/>
    <n v="1709289.2214007943"/>
  </r>
  <r>
    <s v="Refaturamento - Regular"/>
    <x v="3"/>
    <x v="0"/>
    <x v="0"/>
    <x v="0"/>
    <x v="0"/>
    <x v="0"/>
    <x v="0"/>
    <x v="3"/>
    <n v="75"/>
    <n v="75"/>
    <n v="30.391999999999999"/>
    <n v="30.391999999999999"/>
    <n v="30.391999999999999"/>
    <n v="30.391999999999999"/>
    <n v="0"/>
    <x v="0"/>
    <n v="0"/>
    <n v="32"/>
    <n v="33"/>
    <n v="84"/>
    <n v="12.24"/>
    <n v="109.75"/>
    <n v="256.38"/>
    <n v="16.00053546174815"/>
    <n v="112.98053114414617"/>
    <n v="230.84299908458948"/>
    <n v="918"/>
    <n v="3335.5219999999999"/>
    <n v="7791.9009599999999"/>
    <n v="1200.0401596311112"/>
    <n v="3433.7043025328903"/>
    <n v="7015.7804281788431"/>
  </r>
  <r>
    <s v="Sistema de Compensação"/>
    <x v="3"/>
    <x v="0"/>
    <x v="0"/>
    <x v="0"/>
    <x v="0"/>
    <x v="0"/>
    <x v="0"/>
    <x v="3"/>
    <n v="760"/>
    <n v="760"/>
    <n v="269.86500000000001"/>
    <n v="269.86500000000001"/>
    <n v="269.86500000000001"/>
    <n v="269.86500000000001"/>
    <n v="0"/>
    <x v="0"/>
    <n v="0"/>
    <n v="32"/>
    <n v="33"/>
    <n v="84"/>
    <n v="12.24"/>
    <n v="109.75"/>
    <n v="256.38"/>
    <n v="16.00053546174815"/>
    <n v="112.98053114414617"/>
    <n v="230.84299908458948"/>
    <n v="9302.4"/>
    <n v="29617.68375"/>
    <n v="69187.988700000002"/>
    <n v="12160.406950928595"/>
    <n v="30489.491037215008"/>
    <n v="62296.44594796274"/>
  </r>
  <r>
    <s v="Regular"/>
    <x v="3"/>
    <x v="0"/>
    <x v="0"/>
    <x v="0"/>
    <x v="0"/>
    <x v="0"/>
    <x v="0"/>
    <x v="4"/>
    <n v="19713"/>
    <n v="19713"/>
    <n v="7381.8959999999997"/>
    <n v="7381.8959999999997"/>
    <n v="7381.8959999999997"/>
    <n v="7381.8959999999997"/>
    <n v="0"/>
    <x v="0"/>
    <n v="0"/>
    <n v="32"/>
    <n v="33"/>
    <n v="84"/>
    <n v="12.24"/>
    <n v="109.75"/>
    <n v="256.38"/>
    <n v="16.00053546174815"/>
    <n v="112.98053114414617"/>
    <n v="230.84299908458948"/>
    <n v="241287.12"/>
    <n v="810163.08600000001"/>
    <n v="1892570.49648"/>
    <n v="315418.55555744126"/>
    <n v="834010.53093084798"/>
    <n v="1704059.0115705347"/>
  </r>
  <r>
    <s v="Refaturamento - Regular"/>
    <x v="3"/>
    <x v="0"/>
    <x v="0"/>
    <x v="0"/>
    <x v="0"/>
    <x v="0"/>
    <x v="0"/>
    <x v="4"/>
    <n v="457"/>
    <n v="457"/>
    <n v="66.7"/>
    <n v="66.7"/>
    <n v="66.7"/>
    <n v="66.7"/>
    <n v="0"/>
    <x v="0"/>
    <n v="0"/>
    <n v="32"/>
    <n v="33"/>
    <n v="84"/>
    <n v="12.24"/>
    <n v="109.75"/>
    <n v="256.38"/>
    <n v="16.00053546174815"/>
    <n v="112.98053114414617"/>
    <n v="230.84299908458948"/>
    <n v="5593.68"/>
    <n v="7320.3250000000007"/>
    <n v="17100.546000000002"/>
    <n v="7312.2447060189043"/>
    <n v="7535.80142731455"/>
    <n v="15397.228038942119"/>
  </r>
  <r>
    <s v="Sistema de Compensação"/>
    <x v="3"/>
    <x v="0"/>
    <x v="0"/>
    <x v="0"/>
    <x v="0"/>
    <x v="0"/>
    <x v="0"/>
    <x v="4"/>
    <n v="3060"/>
    <n v="3060"/>
    <n v="1178.8130000000001"/>
    <n v="1178.8130000000001"/>
    <n v="1178.8130000000001"/>
    <n v="1178.8130000000001"/>
    <n v="0"/>
    <x v="0"/>
    <n v="0"/>
    <n v="32"/>
    <n v="33"/>
    <n v="84"/>
    <n v="12.24"/>
    <n v="109.75"/>
    <n v="256.38"/>
    <n v="16.00053546174815"/>
    <n v="112.98053114414617"/>
    <n v="230.84299908458948"/>
    <n v="37454.400000000001"/>
    <n v="129374.72675000002"/>
    <n v="302224.07694"/>
    <n v="48961.638512949343"/>
    <n v="133182.91885962439"/>
    <n v="272120.72827990219"/>
  </r>
  <r>
    <s v="Regular"/>
    <x v="3"/>
    <x v="0"/>
    <x v="0"/>
    <x v="0"/>
    <x v="0"/>
    <x v="0"/>
    <x v="0"/>
    <x v="5"/>
    <n v="18938"/>
    <n v="18938"/>
    <n v="7034.71"/>
    <n v="7034.71"/>
    <n v="7034.71"/>
    <n v="7034.71"/>
    <n v="0"/>
    <x v="0"/>
    <n v="0"/>
    <n v="32"/>
    <n v="33"/>
    <n v="84"/>
    <n v="12.24"/>
    <n v="109.75"/>
    <n v="256.38"/>
    <n v="16.00053546174815"/>
    <n v="112.98053114414617"/>
    <n v="230.84299908458948"/>
    <n v="231801.12"/>
    <n v="772059.42249999999"/>
    <n v="1803558.9498000001"/>
    <n v="303018.14057458646"/>
    <n v="794785.27224503655"/>
    <n v="1623913.5540903525"/>
  </r>
  <r>
    <s v="Refaturamento - Regular"/>
    <x v="3"/>
    <x v="0"/>
    <x v="0"/>
    <x v="0"/>
    <x v="0"/>
    <x v="0"/>
    <x v="0"/>
    <x v="5"/>
    <n v="170"/>
    <n v="170"/>
    <n v="62.851999999999997"/>
    <n v="62.851999999999997"/>
    <n v="62.851999999999997"/>
    <n v="62.851999999999997"/>
    <n v="0"/>
    <x v="0"/>
    <n v="0"/>
    <n v="32"/>
    <n v="33"/>
    <n v="84"/>
    <n v="12.24"/>
    <n v="109.75"/>
    <n v="256.38"/>
    <n v="16.00053546174815"/>
    <n v="112.98053114414617"/>
    <n v="230.84299908458948"/>
    <n v="2080.8000000000002"/>
    <n v="6898.0069999999996"/>
    <n v="16113.99576"/>
    <n v="2720.0910284971856"/>
    <n v="7101.0523434718743"/>
    <n v="14508.944178464617"/>
  </r>
  <r>
    <s v="Sistema de Compensação"/>
    <x v="3"/>
    <x v="0"/>
    <x v="0"/>
    <x v="0"/>
    <x v="0"/>
    <x v="0"/>
    <x v="0"/>
    <x v="5"/>
    <n v="760"/>
    <n v="760"/>
    <n v="247.49100000000001"/>
    <n v="247.49100000000001"/>
    <n v="247.49100000000001"/>
    <n v="247.49100000000001"/>
    <n v="0"/>
    <x v="0"/>
    <n v="0"/>
    <n v="32"/>
    <n v="33"/>
    <n v="84"/>
    <n v="12.24"/>
    <n v="109.75"/>
    <n v="256.38"/>
    <n v="16.00053546174815"/>
    <n v="112.98053114414617"/>
    <n v="230.84299908458948"/>
    <n v="9302.4"/>
    <n v="27162.13725"/>
    <n v="63451.742580000006"/>
    <n v="12160.406950928595"/>
    <n v="27961.664633395882"/>
    <n v="57131.564686444137"/>
  </r>
  <r>
    <s v="Regular"/>
    <x v="3"/>
    <x v="0"/>
    <x v="0"/>
    <x v="0"/>
    <x v="0"/>
    <x v="0"/>
    <x v="0"/>
    <x v="6"/>
    <n v="18567"/>
    <n v="18567"/>
    <n v="7184.7049999999999"/>
    <n v="7184.7049999999999"/>
    <n v="7184.7049999999999"/>
    <n v="7184.7049999999999"/>
    <n v="0"/>
    <x v="0"/>
    <n v="0"/>
    <n v="32"/>
    <n v="33"/>
    <n v="84"/>
    <n v="12.24"/>
    <n v="109.75"/>
    <n v="256.38"/>
    <n v="16.00053546174815"/>
    <n v="112.98053114414617"/>
    <n v="230.84299908458948"/>
    <n v="227260.08000000002"/>
    <n v="788521.37375000003"/>
    <n v="1842014.6679"/>
    <n v="297081.94191827788"/>
    <n v="811731.78701400268"/>
    <n v="1658538.8497380454"/>
  </r>
  <r>
    <s v="Refaturamento - Regular"/>
    <x v="3"/>
    <x v="0"/>
    <x v="0"/>
    <x v="0"/>
    <x v="0"/>
    <x v="0"/>
    <x v="0"/>
    <x v="6"/>
    <n v="380"/>
    <n v="380"/>
    <n v="18.698"/>
    <n v="18.698"/>
    <n v="18.698"/>
    <n v="18.698"/>
    <n v="0"/>
    <x v="0"/>
    <n v="0"/>
    <n v="32"/>
    <n v="33"/>
    <n v="84"/>
    <n v="12.24"/>
    <n v="109.75"/>
    <n v="256.38"/>
    <n v="16.00053546174815"/>
    <n v="112.98053114414617"/>
    <n v="230.84299908458948"/>
    <n v="4651.2"/>
    <n v="2052.1055000000001"/>
    <n v="4793.79324"/>
    <n v="6080.2034754642973"/>
    <n v="2112.5099713332452"/>
    <n v="4316.3023968836542"/>
  </r>
  <r>
    <s v="Sistema de Compensação"/>
    <x v="3"/>
    <x v="0"/>
    <x v="0"/>
    <x v="0"/>
    <x v="0"/>
    <x v="0"/>
    <x v="0"/>
    <x v="6"/>
    <n v="760"/>
    <n v="760"/>
    <n v="253.28399999999999"/>
    <n v="253.28399999999999"/>
    <n v="253.28399999999999"/>
    <n v="253.28399999999999"/>
    <n v="0"/>
    <x v="0"/>
    <n v="0"/>
    <n v="32"/>
    <n v="33"/>
    <n v="84"/>
    <n v="12.24"/>
    <n v="109.75"/>
    <n v="256.38"/>
    <n v="16.00053546174815"/>
    <n v="112.98053114414617"/>
    <n v="230.84299908458948"/>
    <n v="9302.4"/>
    <n v="27797.918999999998"/>
    <n v="64936.95192"/>
    <n v="12160.406950928595"/>
    <n v="28616.160850313918"/>
    <n v="58468.83818014116"/>
  </r>
  <r>
    <s v="Regular"/>
    <x v="3"/>
    <x v="0"/>
    <x v="0"/>
    <x v="0"/>
    <x v="0"/>
    <x v="0"/>
    <x v="0"/>
    <x v="7"/>
    <n v="18168"/>
    <n v="18168"/>
    <n v="6487.9960000000001"/>
    <n v="6487.9960000000001"/>
    <n v="6487.9960000000001"/>
    <n v="6487.9960000000001"/>
    <n v="0"/>
    <x v="0"/>
    <n v="0"/>
    <n v="32"/>
    <n v="33"/>
    <n v="84"/>
    <n v="12.24"/>
    <n v="109.75"/>
    <n v="256.38"/>
    <n v="16.00053546174815"/>
    <n v="112.98053114414617"/>
    <n v="230.84299908458948"/>
    <n v="222376.32000000001"/>
    <n v="712057.56099999999"/>
    <n v="1663392.41448"/>
    <n v="290697.72826904041"/>
    <n v="733017.23414109577"/>
    <n v="1497708.4546888203"/>
  </r>
  <r>
    <s v="Refaturamento - Regular"/>
    <x v="3"/>
    <x v="0"/>
    <x v="0"/>
    <x v="0"/>
    <x v="0"/>
    <x v="0"/>
    <x v="0"/>
    <x v="7"/>
    <n v="380"/>
    <n v="380"/>
    <n v="16.594000000000001"/>
    <n v="16.594000000000001"/>
    <n v="16.594000000000001"/>
    <n v="16.594000000000001"/>
    <n v="0"/>
    <x v="0"/>
    <n v="0"/>
    <n v="32"/>
    <n v="33"/>
    <n v="84"/>
    <n v="12.24"/>
    <n v="109.75"/>
    <n v="256.38"/>
    <n v="16.00053546174815"/>
    <n v="112.98053114414617"/>
    <n v="230.84299908458948"/>
    <n v="4651.2"/>
    <n v="1821.1915000000001"/>
    <n v="4254.3697200000006"/>
    <n v="6080.2034754642973"/>
    <n v="1874.7989338059617"/>
    <n v="3830.608726809678"/>
  </r>
  <r>
    <s v="Sistema de Compensação"/>
    <x v="3"/>
    <x v="0"/>
    <x v="0"/>
    <x v="0"/>
    <x v="0"/>
    <x v="0"/>
    <x v="0"/>
    <x v="7"/>
    <n v="3060"/>
    <n v="3060"/>
    <n v="989.54200000000003"/>
    <n v="989.54200000000003"/>
    <n v="989.54200000000003"/>
    <n v="989.54200000000003"/>
    <n v="0"/>
    <x v="0"/>
    <n v="0"/>
    <n v="32"/>
    <n v="33"/>
    <n v="84"/>
    <n v="12.24"/>
    <n v="109.75"/>
    <n v="256.38"/>
    <n v="16.00053546174815"/>
    <n v="112.98053114414617"/>
    <n v="230.84299908458948"/>
    <n v="37454.400000000001"/>
    <n v="108602.23450000001"/>
    <n v="253698.77796000001"/>
    <n v="48961.638512949343"/>
    <n v="111798.9807494407"/>
    <n v="228428.84300016286"/>
  </r>
  <r>
    <s v="Regular"/>
    <x v="3"/>
    <x v="0"/>
    <x v="0"/>
    <x v="0"/>
    <x v="0"/>
    <x v="0"/>
    <x v="0"/>
    <x v="8"/>
    <n v="19682"/>
    <n v="19682"/>
    <n v="6853.5150000000003"/>
    <n v="6853.5150000000003"/>
    <n v="6853.5150000000003"/>
    <n v="6853.5150000000003"/>
    <n v="0"/>
    <x v="0"/>
    <n v="0"/>
    <n v="32"/>
    <n v="33"/>
    <n v="84"/>
    <n v="12.24"/>
    <n v="109.75"/>
    <n v="256.38"/>
    <n v="16.00053546174815"/>
    <n v="112.98053114414617"/>
    <n v="230.84299908458948"/>
    <n v="240907.68"/>
    <n v="752173.27124999999"/>
    <n v="1757104.1757"/>
    <n v="314922.53895812709"/>
    <n v="774313.76490437298"/>
    <n v="1582085.9568712204"/>
  </r>
  <r>
    <s v="Refaturamento - Regular"/>
    <x v="3"/>
    <x v="0"/>
    <x v="0"/>
    <x v="0"/>
    <x v="0"/>
    <x v="0"/>
    <x v="0"/>
    <x v="8"/>
    <n v="380"/>
    <n v="380"/>
    <n v="16.619"/>
    <n v="16.619"/>
    <n v="16.619"/>
    <n v="16.619"/>
    <n v="0"/>
    <x v="0"/>
    <n v="0"/>
    <n v="32"/>
    <n v="33"/>
    <n v="84"/>
    <n v="12.24"/>
    <n v="109.75"/>
    <n v="256.38"/>
    <n v="16.00053546174815"/>
    <n v="112.98053114414617"/>
    <n v="230.84299908458948"/>
    <n v="4651.2"/>
    <n v="1823.93525"/>
    <n v="4260.7792199999994"/>
    <n v="6080.2034754642973"/>
    <n v="1877.6234470845652"/>
    <n v="3836.3798017867925"/>
  </r>
  <r>
    <s v="Sistema de Compensação"/>
    <x v="3"/>
    <x v="0"/>
    <x v="0"/>
    <x v="0"/>
    <x v="0"/>
    <x v="0"/>
    <x v="0"/>
    <x v="8"/>
    <n v="760"/>
    <n v="760"/>
    <n v="174.596"/>
    <n v="174.596"/>
    <n v="174.596"/>
    <n v="174.596"/>
    <n v="0"/>
    <x v="0"/>
    <n v="0"/>
    <n v="32"/>
    <n v="33"/>
    <n v="84"/>
    <n v="12.24"/>
    <n v="109.75"/>
    <n v="256.38"/>
    <n v="16.00053546174815"/>
    <n v="112.98053114414617"/>
    <n v="230.84299908458948"/>
    <n v="9302.4"/>
    <n v="19161.911"/>
    <n v="44762.922480000001"/>
    <n v="12160.406950928595"/>
    <n v="19725.948815643344"/>
    <n v="40304.264268172985"/>
  </r>
  <r>
    <s v="Regular"/>
    <x v="3"/>
    <x v="0"/>
    <x v="0"/>
    <x v="0"/>
    <x v="0"/>
    <x v="0"/>
    <x v="0"/>
    <x v="9"/>
    <n v="20089"/>
    <n v="20089"/>
    <n v="6867.5519999999997"/>
    <n v="6867.5519999999997"/>
    <n v="6867.5519999999997"/>
    <n v="6867.5519999999997"/>
    <n v="0"/>
    <x v="0"/>
    <n v="0"/>
    <n v="32"/>
    <n v="33"/>
    <n v="84"/>
    <n v="12.24"/>
    <n v="109.75"/>
    <n v="256.38"/>
    <n v="16.00053546174815"/>
    <n v="112.98053114414617"/>
    <n v="230.84299908458948"/>
    <n v="245889.36000000002"/>
    <n v="753713.83199999994"/>
    <n v="1760702.9817599999"/>
    <n v="321434.75689105858"/>
    <n v="775899.67262004327"/>
    <n v="1585326.3000493706"/>
  </r>
  <r>
    <s v="Refaturamento - Regular"/>
    <x v="3"/>
    <x v="0"/>
    <x v="0"/>
    <x v="0"/>
    <x v="0"/>
    <x v="0"/>
    <x v="0"/>
    <x v="9"/>
    <n v="380"/>
    <n v="380"/>
    <n v="14.273"/>
    <n v="14.273"/>
    <n v="14.273"/>
    <n v="14.273"/>
    <n v="0"/>
    <x v="0"/>
    <n v="0"/>
    <n v="32"/>
    <n v="33"/>
    <n v="84"/>
    <n v="12.24"/>
    <n v="109.75"/>
    <n v="256.38"/>
    <n v="16.00053546174815"/>
    <n v="112.98053114414617"/>
    <n v="230.84299908458948"/>
    <n v="4651.2"/>
    <n v="1566.4617499999999"/>
    <n v="3659.3117399999996"/>
    <n v="6080.2034754642973"/>
    <n v="1612.5711210203983"/>
    <n v="3294.8221259343454"/>
  </r>
  <r>
    <s v="Sistema de Compensação"/>
    <x v="3"/>
    <x v="0"/>
    <x v="0"/>
    <x v="0"/>
    <x v="0"/>
    <x v="0"/>
    <x v="0"/>
    <x v="9"/>
    <n v="760"/>
    <n v="760"/>
    <n v="149.66399999999999"/>
    <n v="149.66399999999999"/>
    <n v="149.66399999999999"/>
    <n v="149.66399999999999"/>
    <n v="0"/>
    <x v="0"/>
    <n v="0"/>
    <n v="32"/>
    <n v="33"/>
    <n v="84"/>
    <n v="12.24"/>
    <n v="109.75"/>
    <n v="256.38"/>
    <n v="16.00053546174815"/>
    <n v="112.98053114414617"/>
    <n v="230.84299908458948"/>
    <n v="9302.4"/>
    <n v="16425.624"/>
    <n v="38370.856319999999"/>
    <n v="12160.406950928595"/>
    <n v="16909.11821315749"/>
    <n v="34548.886614995994"/>
  </r>
  <r>
    <s v="Regular"/>
    <x v="3"/>
    <x v="0"/>
    <x v="0"/>
    <x v="0"/>
    <x v="0"/>
    <x v="0"/>
    <x v="0"/>
    <x v="10"/>
    <n v="19317"/>
    <n v="19317"/>
    <n v="6582.4759999999997"/>
    <n v="6582.4759999999997"/>
    <n v="6582.4759999999997"/>
    <n v="6582.4759999999997"/>
    <n v="0"/>
    <x v="0"/>
    <n v="0"/>
    <n v="32"/>
    <n v="33"/>
    <n v="84"/>
    <n v="12.24"/>
    <n v="109.75"/>
    <n v="256.38"/>
    <n v="16.00053546174815"/>
    <n v="112.98053114414617"/>
    <n v="230.84299908458948"/>
    <n v="236440.08000000002"/>
    <n v="722426.74099999992"/>
    <n v="1687615.1968799999"/>
    <n v="309082.34351458901"/>
    <n v="743691.63472359465"/>
    <n v="1519518.5012423322"/>
  </r>
  <r>
    <s v="Refaturamento - Regular"/>
    <x v="3"/>
    <x v="0"/>
    <x v="0"/>
    <x v="0"/>
    <x v="0"/>
    <x v="0"/>
    <x v="0"/>
    <x v="10"/>
    <n v="480"/>
    <n v="480"/>
    <n v="3.4460000000000002"/>
    <n v="3.4460000000000002"/>
    <n v="3.4460000000000002"/>
    <n v="3.4460000000000002"/>
    <n v="0"/>
    <x v="0"/>
    <n v="0"/>
    <n v="32"/>
    <n v="33"/>
    <n v="84"/>
    <n v="12.24"/>
    <n v="109.75"/>
    <n v="256.38"/>
    <n v="16.00053546174815"/>
    <n v="112.98053114414617"/>
    <n v="230.84299908458948"/>
    <n v="5875.2"/>
    <n v="378.19850000000002"/>
    <n v="883.48548000000005"/>
    <n v="7680.2570216391123"/>
    <n v="389.33091032272773"/>
    <n v="795.48497484549534"/>
  </r>
  <r>
    <s v="Sistema de Compensação"/>
    <x v="3"/>
    <x v="0"/>
    <x v="0"/>
    <x v="0"/>
    <x v="0"/>
    <x v="0"/>
    <x v="0"/>
    <x v="10"/>
    <n v="760"/>
    <n v="760"/>
    <n v="134.852"/>
    <n v="134.852"/>
    <n v="134.852"/>
    <n v="134.852"/>
    <n v="0"/>
    <x v="0"/>
    <n v="0"/>
    <n v="32"/>
    <n v="33"/>
    <n v="84"/>
    <n v="12.24"/>
    <n v="109.75"/>
    <n v="256.38"/>
    <n v="16.00053546174815"/>
    <n v="112.98053114414617"/>
    <n v="230.84299908458948"/>
    <n v="9302.4"/>
    <n v="14800.007"/>
    <n v="34573.355759999999"/>
    <n v="12160.406950928595"/>
    <n v="15235.650585850401"/>
    <n v="31129.640112555062"/>
  </r>
  <r>
    <s v="PROJETADO"/>
    <x v="3"/>
    <x v="0"/>
    <x v="0"/>
    <x v="0"/>
    <x v="0"/>
    <x v="0"/>
    <x v="0"/>
    <x v="11"/>
    <n v="19317"/>
    <n v="19317"/>
    <n v="6582.4759999999997"/>
    <n v="6582.4759999999997"/>
    <n v="6582.4759999999997"/>
    <n v="6582.4759999999997"/>
    <n v="0"/>
    <x v="0"/>
    <n v="0"/>
    <n v="32"/>
    <n v="33"/>
    <n v="84"/>
    <n v="12.24"/>
    <n v="109.75"/>
    <n v="256.38"/>
    <n v="16.00053546174815"/>
    <n v="112.98053114414617"/>
    <n v="230.84299908458948"/>
    <n v="236440.08000000002"/>
    <n v="722426.74099999992"/>
    <n v="1687615.1968799999"/>
    <n v="309082.34351458901"/>
    <n v="743691.63472359465"/>
    <n v="1519518.5012423322"/>
  </r>
  <r>
    <s v="PROJETADO"/>
    <x v="3"/>
    <x v="0"/>
    <x v="0"/>
    <x v="0"/>
    <x v="0"/>
    <x v="0"/>
    <x v="0"/>
    <x v="11"/>
    <n v="480"/>
    <n v="480"/>
    <n v="3.4460000000000002"/>
    <n v="3.4460000000000002"/>
    <n v="3.4460000000000002"/>
    <n v="3.4460000000000002"/>
    <n v="0"/>
    <x v="0"/>
    <n v="0"/>
    <n v="32"/>
    <n v="33"/>
    <n v="84"/>
    <n v="12.24"/>
    <n v="109.75"/>
    <n v="256.38"/>
    <n v="16.00053546174815"/>
    <n v="112.98053114414617"/>
    <n v="230.84299908458948"/>
    <n v="5875.2"/>
    <n v="378.19850000000002"/>
    <n v="883.48548000000005"/>
    <n v="7680.2570216391123"/>
    <n v="389.33091032272773"/>
    <n v="795.48497484549534"/>
  </r>
  <r>
    <s v="PROJETADO"/>
    <x v="3"/>
    <x v="0"/>
    <x v="0"/>
    <x v="0"/>
    <x v="0"/>
    <x v="0"/>
    <x v="0"/>
    <x v="11"/>
    <n v="760"/>
    <n v="760"/>
    <n v="134.852"/>
    <n v="134.852"/>
    <n v="134.852"/>
    <n v="134.852"/>
    <n v="0"/>
    <x v="0"/>
    <n v="0"/>
    <n v="32"/>
    <n v="33"/>
    <n v="84"/>
    <n v="12.24"/>
    <n v="109.75"/>
    <n v="256.38"/>
    <n v="16.00053546174815"/>
    <n v="112.98053114414617"/>
    <n v="230.84299908458948"/>
    <n v="9302.4"/>
    <n v="14800.007"/>
    <n v="34573.355759999999"/>
    <n v="12160.406950928595"/>
    <n v="15235.650585850401"/>
    <n v="31129.640112555062"/>
  </r>
  <r>
    <s v="Regular"/>
    <x v="3"/>
    <x v="0"/>
    <x v="0"/>
    <x v="0"/>
    <x v="0"/>
    <x v="0"/>
    <x v="1"/>
    <x v="0"/>
    <n v="18632"/>
    <n v="18632"/>
    <n v="752.452"/>
    <n v="752.452"/>
    <n v="752.452"/>
    <n v="752.452"/>
    <n v="0"/>
    <x v="0"/>
    <n v="0"/>
    <n v="31"/>
    <n v="33"/>
    <n v="83"/>
    <n v="43.76"/>
    <n v="109.75"/>
    <n v="430.87"/>
    <n v="49.088494763430781"/>
    <n v="112.98053114414617"/>
    <n v="375.70671275609089"/>
    <n v="815336.32"/>
    <n v="82581.607000000004"/>
    <n v="324208.99323999998"/>
    <n v="914616.83443224232"/>
    <n v="85012.426620475075"/>
    <n v="282701.26742674608"/>
  </r>
  <r>
    <s v="Sistema de Compensação"/>
    <x v="3"/>
    <x v="0"/>
    <x v="0"/>
    <x v="0"/>
    <x v="0"/>
    <x v="0"/>
    <x v="1"/>
    <x v="0"/>
    <n v="1310"/>
    <n v="1310"/>
    <n v="0"/>
    <n v="0"/>
    <n v="0"/>
    <n v="0"/>
    <n v="0"/>
    <x v="0"/>
    <n v="0"/>
    <n v="31"/>
    <n v="0"/>
    <n v="0"/>
    <n v="43.76"/>
    <n v="0"/>
    <n v="0"/>
    <n v="49.088494763430781"/>
    <n v="112.98053114414617"/>
    <n v="375.70671275609089"/>
    <n v="57325.599999999999"/>
    <n v="0"/>
    <n v="0"/>
    <n v="64305.928140094322"/>
    <n v="0"/>
    <n v="0"/>
  </r>
  <r>
    <s v="Regular"/>
    <x v="3"/>
    <x v="0"/>
    <x v="0"/>
    <x v="0"/>
    <x v="0"/>
    <x v="0"/>
    <x v="1"/>
    <x v="1"/>
    <n v="18136"/>
    <n v="18136"/>
    <n v="771.55700000000002"/>
    <n v="771.55700000000002"/>
    <n v="771.55700000000002"/>
    <n v="771.55700000000002"/>
    <n v="0"/>
    <x v="0"/>
    <n v="0"/>
    <n v="31"/>
    <n v="33"/>
    <n v="83"/>
    <n v="43.76"/>
    <n v="109.75"/>
    <n v="430.87"/>
    <n v="49.088494763430781"/>
    <n v="112.98053114414617"/>
    <n v="375.70671275609089"/>
    <n v="793631.36"/>
    <n v="84678.380749999997"/>
    <n v="332440.76459000004"/>
    <n v="890268.94102958066"/>
    <n v="87170.919667983995"/>
    <n v="289879.14417395124"/>
  </r>
  <r>
    <s v="Refaturamento - Regular"/>
    <x v="3"/>
    <x v="0"/>
    <x v="0"/>
    <x v="0"/>
    <x v="0"/>
    <x v="0"/>
    <x v="1"/>
    <x v="1"/>
    <n v="607"/>
    <n v="607"/>
    <n v="28.259"/>
    <n v="28.259"/>
    <n v="28.259"/>
    <n v="28.259"/>
    <n v="0"/>
    <x v="0"/>
    <n v="0"/>
    <n v="31"/>
    <n v="33"/>
    <n v="83"/>
    <n v="43.76"/>
    <n v="109.75"/>
    <n v="430.87"/>
    <n v="49.088494763430781"/>
    <n v="112.98053114414617"/>
    <n v="375.70671275609089"/>
    <n v="26562.32"/>
    <n v="3101.4252500000002"/>
    <n v="12175.955330000001"/>
    <n v="29796.716321402484"/>
    <n v="3192.7168296024265"/>
    <n v="10617.095995774373"/>
  </r>
  <r>
    <s v="Sistema de Compensação"/>
    <x v="3"/>
    <x v="0"/>
    <x v="0"/>
    <x v="0"/>
    <x v="0"/>
    <x v="0"/>
    <x v="1"/>
    <x v="1"/>
    <n v="1310"/>
    <n v="1310"/>
    <n v="74.388999999999996"/>
    <n v="74.388999999999996"/>
    <n v="74.388999999999996"/>
    <n v="74.388999999999996"/>
    <n v="0"/>
    <x v="0"/>
    <n v="0"/>
    <n v="31"/>
    <n v="33"/>
    <n v="83"/>
    <n v="43.76"/>
    <n v="109.75"/>
    <n v="430.87"/>
    <n v="49.088494763430781"/>
    <n v="112.98053114414617"/>
    <n v="375.70671275609089"/>
    <n v="57325.599999999999"/>
    <n v="8164.1927499999993"/>
    <n v="32051.988429999998"/>
    <n v="64305.928140094322"/>
    <n v="8404.5087312818887"/>
    <n v="27948.446655212843"/>
  </r>
  <r>
    <s v="Regular"/>
    <x v="3"/>
    <x v="0"/>
    <x v="0"/>
    <x v="0"/>
    <x v="0"/>
    <x v="0"/>
    <x v="1"/>
    <x v="2"/>
    <n v="17509"/>
    <n v="17509"/>
    <n v="713.423"/>
    <n v="713.423"/>
    <n v="713.423"/>
    <n v="713.423"/>
    <n v="0"/>
    <x v="0"/>
    <n v="0"/>
    <n v="31"/>
    <n v="33"/>
    <n v="83"/>
    <n v="43.76"/>
    <n v="109.75"/>
    <n v="430.87"/>
    <n v="49.088494763430781"/>
    <n v="112.98053114414617"/>
    <n v="375.70671275609089"/>
    <n v="766193.84"/>
    <n v="78298.174249999996"/>
    <n v="307392.56800999999"/>
    <n v="859490.45481290959"/>
    <n v="80602.909470450191"/>
    <n v="268037.81013458862"/>
  </r>
  <r>
    <s v="Refaturamento - Regular"/>
    <x v="3"/>
    <x v="0"/>
    <x v="0"/>
    <x v="0"/>
    <x v="0"/>
    <x v="0"/>
    <x v="1"/>
    <x v="2"/>
    <n v="664"/>
    <n v="664"/>
    <n v="29.344000000000001"/>
    <n v="29.344000000000001"/>
    <n v="29.344000000000001"/>
    <n v="29.344000000000001"/>
    <n v="0"/>
    <x v="0"/>
    <n v="0"/>
    <n v="31"/>
    <n v="33"/>
    <n v="83"/>
    <n v="43.76"/>
    <n v="109.75"/>
    <n v="430.87"/>
    <n v="49.088494763430781"/>
    <n v="112.98053114414617"/>
    <n v="375.70671275609089"/>
    <n v="29056.639999999999"/>
    <n v="3220.5039999999999"/>
    <n v="12643.449280000001"/>
    <n v="32594.760522918037"/>
    <n v="3315.3007058938251"/>
    <n v="11024.737779114732"/>
  </r>
  <r>
    <s v="Sistema de Compensação"/>
    <x v="3"/>
    <x v="0"/>
    <x v="0"/>
    <x v="0"/>
    <x v="0"/>
    <x v="0"/>
    <x v="1"/>
    <x v="2"/>
    <n v="710"/>
    <n v="710"/>
    <n v="31.387"/>
    <n v="31.387"/>
    <n v="31.387"/>
    <n v="31.387"/>
    <n v="0"/>
    <x v="0"/>
    <n v="0"/>
    <n v="31"/>
    <n v="33"/>
    <n v="83"/>
    <n v="43.76"/>
    <n v="109.75"/>
    <n v="430.87"/>
    <n v="49.088494763430781"/>
    <n v="112.98053114414617"/>
    <n v="375.70671275609089"/>
    <n v="31069.599999999999"/>
    <n v="3444.72325"/>
    <n v="13523.716690000001"/>
    <n v="34852.831282035855"/>
    <n v="3546.119931021316"/>
    <n v="11792.306593275425"/>
  </r>
  <r>
    <s v="Regular"/>
    <x v="3"/>
    <x v="0"/>
    <x v="0"/>
    <x v="0"/>
    <x v="0"/>
    <x v="0"/>
    <x v="1"/>
    <x v="3"/>
    <n v="17526"/>
    <n v="17526"/>
    <n v="699.71299999999997"/>
    <n v="699.71299999999997"/>
    <n v="699.71299999999997"/>
    <n v="699.71299999999997"/>
    <n v="0"/>
    <x v="0"/>
    <n v="0"/>
    <n v="31"/>
    <n v="33"/>
    <n v="83"/>
    <n v="43.76"/>
    <n v="109.75"/>
    <n v="430.87"/>
    <n v="49.088494763430781"/>
    <n v="112.98053114414617"/>
    <n v="375.70671275609089"/>
    <n v="766937.76"/>
    <n v="76793.501749999996"/>
    <n v="301485.34031"/>
    <n v="860324.95922388788"/>
    <n v="79053.946388463941"/>
    <n v="262886.87110270263"/>
  </r>
  <r>
    <s v="Refaturamento - Regular"/>
    <x v="3"/>
    <x v="0"/>
    <x v="0"/>
    <x v="0"/>
    <x v="0"/>
    <x v="0"/>
    <x v="1"/>
    <x v="3"/>
    <n v="74"/>
    <n v="74"/>
    <n v="3.4929999999999999"/>
    <n v="3.4929999999999999"/>
    <n v="3.4929999999999999"/>
    <n v="3.4929999999999999"/>
    <n v="0"/>
    <x v="0"/>
    <n v="0"/>
    <n v="31"/>
    <n v="33"/>
    <n v="83"/>
    <n v="43.76"/>
    <n v="109.75"/>
    <n v="430.87"/>
    <n v="49.088494763430781"/>
    <n v="112.98053114414617"/>
    <n v="375.70671275609089"/>
    <n v="3238.24"/>
    <n v="383.35674999999998"/>
    <n v="1505.02891"/>
    <n v="3632.548612493878"/>
    <n v="394.64099528650257"/>
    <n v="1312.3435476570255"/>
  </r>
  <r>
    <s v="Sistema de Compensação"/>
    <x v="3"/>
    <x v="0"/>
    <x v="0"/>
    <x v="0"/>
    <x v="0"/>
    <x v="0"/>
    <x v="1"/>
    <x v="3"/>
    <n v="710"/>
    <n v="710"/>
    <n v="32.384999999999998"/>
    <n v="32.384999999999998"/>
    <n v="32.384999999999998"/>
    <n v="32.384999999999998"/>
    <n v="0"/>
    <x v="0"/>
    <n v="0"/>
    <n v="31"/>
    <n v="33"/>
    <n v="83"/>
    <n v="43.76"/>
    <n v="109.75"/>
    <n v="430.87"/>
    <n v="49.088494763430781"/>
    <n v="112.98053114414617"/>
    <n v="375.70671275609089"/>
    <n v="31069.599999999999"/>
    <n v="3554.2537499999999"/>
    <n v="13953.72495"/>
    <n v="34852.831282035855"/>
    <n v="3658.8745011031733"/>
    <n v="12167.261892606002"/>
  </r>
  <r>
    <s v="Regular"/>
    <x v="3"/>
    <x v="0"/>
    <x v="0"/>
    <x v="0"/>
    <x v="0"/>
    <x v="0"/>
    <x v="1"/>
    <x v="4"/>
    <n v="17751"/>
    <n v="17751"/>
    <n v="754.88599999999997"/>
    <n v="754.88599999999997"/>
    <n v="754.88599999999997"/>
    <n v="754.88599999999997"/>
    <n v="0"/>
    <x v="0"/>
    <n v="0"/>
    <n v="31"/>
    <n v="33"/>
    <n v="83"/>
    <n v="43.76"/>
    <n v="109.75"/>
    <n v="430.87"/>
    <n v="49.088494763430781"/>
    <n v="112.98053114414617"/>
    <n v="375.70671275609089"/>
    <n v="776783.76"/>
    <n v="82848.738499999992"/>
    <n v="325257.73082"/>
    <n v="871369.8705456598"/>
    <n v="85287.421233279922"/>
    <n v="283615.73756559443"/>
  </r>
  <r>
    <s v="Refaturamento - Regular"/>
    <x v="3"/>
    <x v="0"/>
    <x v="0"/>
    <x v="0"/>
    <x v="0"/>
    <x v="0"/>
    <x v="1"/>
    <x v="4"/>
    <n v="494"/>
    <n v="494"/>
    <n v="9.2070000000000007"/>
    <n v="9.2070000000000007"/>
    <n v="9.2070000000000007"/>
    <n v="9.2070000000000007"/>
    <n v="0"/>
    <x v="0"/>
    <n v="0"/>
    <n v="31"/>
    <n v="33"/>
    <n v="83"/>
    <n v="43.76"/>
    <n v="109.75"/>
    <n v="430.87"/>
    <n v="49.088494763430781"/>
    <n v="112.98053114414617"/>
    <n v="375.70671275609089"/>
    <n v="21617.439999999999"/>
    <n v="1010.4682500000001"/>
    <n v="3967.0200900000004"/>
    <n v="24249.716413134807"/>
    <n v="1040.2117502441538"/>
    <n v="3459.1317043453291"/>
  </r>
  <r>
    <s v="Sistema de Compensação"/>
    <x v="3"/>
    <x v="0"/>
    <x v="0"/>
    <x v="0"/>
    <x v="0"/>
    <x v="0"/>
    <x v="1"/>
    <x v="4"/>
    <n v="2560"/>
    <n v="2560"/>
    <n v="115.271"/>
    <n v="115.271"/>
    <n v="115.271"/>
    <n v="115.271"/>
    <n v="0"/>
    <x v="0"/>
    <n v="0"/>
    <n v="31"/>
    <n v="33"/>
    <n v="83"/>
    <n v="43.76"/>
    <n v="109.75"/>
    <n v="430.87"/>
    <n v="49.088494763430781"/>
    <n v="112.98053114414617"/>
    <n v="375.70671275609089"/>
    <n v="112025.59999999999"/>
    <n v="12650.992249999999"/>
    <n v="49666.815770000001"/>
    <n v="125666.5465943828"/>
    <n v="13023.378805516873"/>
    <n v="43308.088486107357"/>
  </r>
  <r>
    <s v="Regular"/>
    <x v="3"/>
    <x v="0"/>
    <x v="0"/>
    <x v="0"/>
    <x v="0"/>
    <x v="0"/>
    <x v="1"/>
    <x v="5"/>
    <n v="17014"/>
    <n v="17014"/>
    <n v="687.51400000000001"/>
    <n v="687.51400000000001"/>
    <n v="687.51400000000001"/>
    <n v="687.51400000000001"/>
    <n v="0"/>
    <x v="0"/>
    <n v="0"/>
    <n v="31"/>
    <n v="33"/>
    <n v="83"/>
    <n v="43.76"/>
    <n v="109.75"/>
    <n v="430.87"/>
    <n v="49.088494763430781"/>
    <n v="112.98053114414617"/>
    <n v="375.70671275609089"/>
    <n v="744532.64"/>
    <n v="75454.661500000002"/>
    <n v="296229.15717999998"/>
    <n v="835191.64990501129"/>
    <n v="77675.69688903651"/>
    <n v="258303.62491379108"/>
  </r>
  <r>
    <s v="Refaturamento - Regular"/>
    <x v="3"/>
    <x v="0"/>
    <x v="0"/>
    <x v="0"/>
    <x v="0"/>
    <x v="0"/>
    <x v="1"/>
    <x v="5"/>
    <n v="155"/>
    <n v="155"/>
    <n v="6.7510000000000003"/>
    <n v="6.7510000000000003"/>
    <n v="6.7510000000000003"/>
    <n v="6.7510000000000003"/>
    <n v="0"/>
    <x v="0"/>
    <n v="0"/>
    <n v="31"/>
    <n v="33"/>
    <n v="83"/>
    <n v="43.76"/>
    <n v="109.75"/>
    <n v="430.87"/>
    <n v="49.088494763430781"/>
    <n v="112.98053114414617"/>
    <n v="375.70671275609089"/>
    <n v="6782.7999999999993"/>
    <n v="740.92225000000008"/>
    <n v="2908.8033700000001"/>
    <n v="7608.7166883317714"/>
    <n v="762.73156575413088"/>
    <n v="2536.3960178163697"/>
  </r>
  <r>
    <s v="Sistema de Compensação"/>
    <x v="3"/>
    <x v="0"/>
    <x v="0"/>
    <x v="0"/>
    <x v="0"/>
    <x v="0"/>
    <x v="1"/>
    <x v="5"/>
    <n v="710"/>
    <n v="710"/>
    <n v="27.914000000000001"/>
    <n v="27.914000000000001"/>
    <n v="27.914000000000001"/>
    <n v="27.914000000000001"/>
    <n v="0"/>
    <x v="0"/>
    <n v="0"/>
    <n v="31"/>
    <n v="33"/>
    <n v="83"/>
    <n v="43.76"/>
    <n v="109.75"/>
    <n v="430.87"/>
    <n v="49.088494763430781"/>
    <n v="112.98053114414617"/>
    <n v="375.70671275609089"/>
    <n v="31069.599999999999"/>
    <n v="3063.5615000000003"/>
    <n v="12027.305180000001"/>
    <n v="34852.831282035855"/>
    <n v="3153.7385463576961"/>
    <n v="10487.477179873522"/>
  </r>
  <r>
    <s v="Regular"/>
    <x v="3"/>
    <x v="0"/>
    <x v="0"/>
    <x v="0"/>
    <x v="0"/>
    <x v="0"/>
    <x v="1"/>
    <x v="6"/>
    <n v="16631"/>
    <n v="16631"/>
    <n v="712.28700000000003"/>
    <n v="712.28700000000003"/>
    <n v="712.28700000000003"/>
    <n v="712.28700000000003"/>
    <n v="0"/>
    <x v="0"/>
    <n v="0"/>
    <n v="31"/>
    <n v="33"/>
    <n v="83"/>
    <n v="43.76"/>
    <n v="109.75"/>
    <n v="430.87"/>
    <n v="49.088494763430781"/>
    <n v="112.98053114414617"/>
    <n v="375.70671275609089"/>
    <n v="727772.55999999994"/>
    <n v="78173.498250000004"/>
    <n v="306903.09969"/>
    <n v="816390.75641061726"/>
    <n v="80474.563587070443"/>
    <n v="267611.00730889774"/>
  </r>
  <r>
    <s v="Refaturamento - Regular"/>
    <x v="3"/>
    <x v="0"/>
    <x v="0"/>
    <x v="0"/>
    <x v="0"/>
    <x v="0"/>
    <x v="1"/>
    <x v="6"/>
    <n v="380"/>
    <n v="380"/>
    <n v="4.3890000000000002"/>
    <n v="4.3890000000000002"/>
    <n v="4.3890000000000002"/>
    <n v="4.3890000000000002"/>
    <n v="0"/>
    <x v="0"/>
    <n v="0"/>
    <n v="31"/>
    <n v="33"/>
    <n v="83"/>
    <n v="43.76"/>
    <n v="109.75"/>
    <n v="430.87"/>
    <n v="49.088494763430781"/>
    <n v="112.98053114414617"/>
    <n v="375.70671275609089"/>
    <n v="16628.8"/>
    <n v="481.69275000000005"/>
    <n v="1891.08843"/>
    <n v="18653.628010103697"/>
    <n v="495.87155119165755"/>
    <n v="1648.9767622864831"/>
  </r>
  <r>
    <s v="Sistema de Compensação"/>
    <x v="3"/>
    <x v="0"/>
    <x v="0"/>
    <x v="0"/>
    <x v="0"/>
    <x v="0"/>
    <x v="1"/>
    <x v="6"/>
    <n v="710"/>
    <n v="710"/>
    <n v="30.844000000000001"/>
    <n v="30.844000000000001"/>
    <n v="30.844000000000001"/>
    <n v="30.844000000000001"/>
    <n v="0"/>
    <x v="0"/>
    <n v="0"/>
    <n v="31"/>
    <n v="33"/>
    <n v="83"/>
    <n v="43.76"/>
    <n v="109.75"/>
    <n v="430.87"/>
    <n v="49.088494763430781"/>
    <n v="112.98053114414617"/>
    <n v="375.70671275609089"/>
    <n v="31069.599999999999"/>
    <n v="3385.1289999999999"/>
    <n v="13289.754280000001"/>
    <n v="34852.831282035855"/>
    <n v="3484.7715026100445"/>
    <n v="11588.297848248869"/>
  </r>
  <r>
    <s v="Regular"/>
    <x v="3"/>
    <x v="0"/>
    <x v="0"/>
    <x v="0"/>
    <x v="0"/>
    <x v="0"/>
    <x v="1"/>
    <x v="7"/>
    <n v="16277"/>
    <n v="16277"/>
    <n v="592.00300000000004"/>
    <n v="592.00300000000004"/>
    <n v="592.00300000000004"/>
    <n v="592.00300000000004"/>
    <n v="0"/>
    <x v="0"/>
    <n v="0"/>
    <n v="31"/>
    <n v="33"/>
    <n v="83"/>
    <n v="43.76"/>
    <n v="109.75"/>
    <n v="430.87"/>
    <n v="49.088494763430781"/>
    <n v="112.98053114414617"/>
    <n v="375.70671275609089"/>
    <n v="712281.52"/>
    <n v="64972.329250000003"/>
    <n v="255076.33261000001"/>
    <n v="799013.42926436279"/>
    <n v="66884.813378927967"/>
    <n v="222419.5010717441"/>
  </r>
  <r>
    <s v="Refaturamento - Regular"/>
    <x v="3"/>
    <x v="0"/>
    <x v="0"/>
    <x v="0"/>
    <x v="0"/>
    <x v="0"/>
    <x v="1"/>
    <x v="7"/>
    <n v="380"/>
    <n v="380"/>
    <n v="3.331"/>
    <n v="3.331"/>
    <n v="3.331"/>
    <n v="3.331"/>
    <n v="0"/>
    <x v="0"/>
    <n v="0"/>
    <n v="31"/>
    <n v="33"/>
    <n v="83"/>
    <n v="43.76"/>
    <n v="109.75"/>
    <n v="430.87"/>
    <n v="49.088494763430781"/>
    <n v="112.98053114414617"/>
    <n v="375.70671275609089"/>
    <n v="16628.8"/>
    <n v="365.57724999999999"/>
    <n v="1435.2279699999999"/>
    <n v="18653.628010103697"/>
    <n v="376.33814924115086"/>
    <n v="1251.4790601905388"/>
  </r>
  <r>
    <s v="Sistema de Compensação"/>
    <x v="3"/>
    <x v="0"/>
    <x v="0"/>
    <x v="0"/>
    <x v="0"/>
    <x v="0"/>
    <x v="1"/>
    <x v="7"/>
    <n v="2560"/>
    <n v="2560"/>
    <n v="83.488"/>
    <n v="83.488"/>
    <n v="83.488"/>
    <n v="83.488"/>
    <n v="0"/>
    <x v="0"/>
    <n v="0"/>
    <n v="31"/>
    <n v="33"/>
    <n v="83"/>
    <n v="43.76"/>
    <n v="109.75"/>
    <n v="430.87"/>
    <n v="49.088494763430781"/>
    <n v="112.98053114414617"/>
    <n v="375.70671275609089"/>
    <n v="112025.59999999999"/>
    <n v="9162.8079999999991"/>
    <n v="35972.474560000002"/>
    <n v="125666.5465943828"/>
    <n v="9432.5185841624752"/>
    <n v="31367.002034580517"/>
  </r>
  <r>
    <s v="Regular"/>
    <x v="3"/>
    <x v="0"/>
    <x v="0"/>
    <x v="0"/>
    <x v="0"/>
    <x v="0"/>
    <x v="1"/>
    <x v="8"/>
    <n v="17584"/>
    <n v="17584"/>
    <n v="690.60500000000002"/>
    <n v="690.60500000000002"/>
    <n v="690.60500000000002"/>
    <n v="690.60500000000002"/>
    <n v="0"/>
    <x v="0"/>
    <n v="0"/>
    <n v="31"/>
    <n v="33"/>
    <n v="83"/>
    <n v="43.76"/>
    <n v="109.75"/>
    <n v="430.87"/>
    <n v="49.088494763430781"/>
    <n v="112.98053114414617"/>
    <n v="375.70671275609089"/>
    <n v="769475.84"/>
    <n v="75793.898750000008"/>
    <n v="297560.97635000001"/>
    <n v="863172.09192016686"/>
    <n v="78024.919710803064"/>
    <n v="259464.93436292015"/>
  </r>
  <r>
    <s v="Refaturamento - Regular"/>
    <x v="3"/>
    <x v="0"/>
    <x v="0"/>
    <x v="0"/>
    <x v="0"/>
    <x v="0"/>
    <x v="1"/>
    <x v="8"/>
    <n v="380"/>
    <n v="380"/>
    <n v="3.8620000000000001"/>
    <n v="3.8620000000000001"/>
    <n v="3.8620000000000001"/>
    <n v="3.8620000000000001"/>
    <n v="0"/>
    <x v="0"/>
    <n v="0"/>
    <n v="31"/>
    <n v="33"/>
    <n v="83"/>
    <n v="43.76"/>
    <n v="109.75"/>
    <n v="430.87"/>
    <n v="49.088494763430781"/>
    <n v="112.98053114414617"/>
    <n v="375.70671275609089"/>
    <n v="16628.8"/>
    <n v="423.85450000000003"/>
    <n v="1664.0199400000001"/>
    <n v="18653.628010103697"/>
    <n v="436.33081127869252"/>
    <n v="1450.9793246640231"/>
  </r>
  <r>
    <s v="Sistema de Compensação"/>
    <x v="3"/>
    <x v="0"/>
    <x v="0"/>
    <x v="0"/>
    <x v="0"/>
    <x v="0"/>
    <x v="1"/>
    <x v="8"/>
    <n v="710"/>
    <n v="710"/>
    <n v="20.452999999999999"/>
    <n v="20.452999999999999"/>
    <n v="20.452999999999999"/>
    <n v="20.452999999999999"/>
    <n v="0"/>
    <x v="0"/>
    <n v="0"/>
    <n v="31"/>
    <n v="33"/>
    <n v="83"/>
    <n v="43.76"/>
    <n v="109.75"/>
    <n v="430.87"/>
    <n v="49.088494763430781"/>
    <n v="112.98053114414617"/>
    <n v="375.70671275609089"/>
    <n v="31069.599999999999"/>
    <n v="2244.71675"/>
    <n v="8812.5841099999998"/>
    <n v="34852.831282035855"/>
    <n v="2310.7908034912216"/>
    <n v="7684.3293960003266"/>
  </r>
  <r>
    <s v="Regular"/>
    <x v="3"/>
    <x v="0"/>
    <x v="0"/>
    <x v="0"/>
    <x v="0"/>
    <x v="0"/>
    <x v="1"/>
    <x v="9"/>
    <n v="17946"/>
    <n v="17946"/>
    <n v="673.86699999999996"/>
    <n v="673.86699999999996"/>
    <n v="673.86699999999996"/>
    <n v="673.86699999999996"/>
    <n v="0"/>
    <x v="0"/>
    <n v="0"/>
    <n v="31"/>
    <n v="33"/>
    <n v="83"/>
    <n v="43.76"/>
    <n v="109.75"/>
    <n v="430.87"/>
    <n v="49.088494763430781"/>
    <n v="112.98053114414617"/>
    <n v="375.70671275609089"/>
    <n v="785316.96"/>
    <n v="73956.903250000003"/>
    <n v="290349.07428999996"/>
    <n v="880942.1270245288"/>
    <n v="76133.851580512346"/>
    <n v="253176.35540480868"/>
  </r>
  <r>
    <s v="Refaturamento - Regular"/>
    <x v="3"/>
    <x v="0"/>
    <x v="0"/>
    <x v="0"/>
    <x v="0"/>
    <x v="0"/>
    <x v="1"/>
    <x v="9"/>
    <n v="380"/>
    <n v="380"/>
    <n v="3.6469999999999998"/>
    <n v="3.6469999999999998"/>
    <n v="3.6469999999999998"/>
    <n v="3.6469999999999998"/>
    <n v="0"/>
    <x v="0"/>
    <n v="0"/>
    <n v="31"/>
    <n v="33"/>
    <n v="83"/>
    <n v="43.76"/>
    <n v="109.75"/>
    <n v="430.87"/>
    <n v="49.088494763430781"/>
    <n v="112.98053114414617"/>
    <n v="375.70671275609089"/>
    <n v="16628.8"/>
    <n v="400.25824999999998"/>
    <n v="1571.3828899999999"/>
    <n v="18653.628010103697"/>
    <n v="412.03999708270106"/>
    <n v="1370.2023814214633"/>
  </r>
  <r>
    <s v="Sistema de Compensação"/>
    <x v="3"/>
    <x v="0"/>
    <x v="0"/>
    <x v="0"/>
    <x v="0"/>
    <x v="0"/>
    <x v="1"/>
    <x v="9"/>
    <n v="710"/>
    <n v="710"/>
    <n v="17.539000000000001"/>
    <n v="17.539000000000001"/>
    <n v="17.539000000000001"/>
    <n v="17.539000000000001"/>
    <n v="0"/>
    <x v="0"/>
    <n v="0"/>
    <n v="31"/>
    <n v="33"/>
    <n v="83"/>
    <n v="43.76"/>
    <n v="109.75"/>
    <n v="430.87"/>
    <n v="49.088494763430781"/>
    <n v="112.98053114414617"/>
    <n v="375.70671275609089"/>
    <n v="31069.599999999999"/>
    <n v="1924.9052500000003"/>
    <n v="7557.0289300000004"/>
    <n v="34852.831282035855"/>
    <n v="1981.5655357371797"/>
    <n v="6589.5200350290788"/>
  </r>
  <r>
    <s v="Regular"/>
    <x v="3"/>
    <x v="0"/>
    <x v="0"/>
    <x v="0"/>
    <x v="0"/>
    <x v="0"/>
    <x v="1"/>
    <x v="10"/>
    <n v="17239"/>
    <n v="17239"/>
    <n v="686.48299999999995"/>
    <n v="686.48299999999995"/>
    <n v="686.48299999999995"/>
    <n v="686.48299999999995"/>
    <n v="0"/>
    <x v="0"/>
    <n v="0"/>
    <n v="31"/>
    <n v="33"/>
    <n v="83"/>
    <n v="43.76"/>
    <n v="109.75"/>
    <n v="430.87"/>
    <n v="49.088494763430781"/>
    <n v="112.98053114414617"/>
    <n v="375.70671275609089"/>
    <n v="754378.64"/>
    <n v="75341.509249999988"/>
    <n v="295784.93020999996"/>
    <n v="846236.5612267832"/>
    <n v="77559.213961426896"/>
    <n v="257916.27129293952"/>
  </r>
  <r>
    <s v="Refaturamento - Regular"/>
    <x v="3"/>
    <x v="0"/>
    <x v="0"/>
    <x v="0"/>
    <x v="0"/>
    <x v="0"/>
    <x v="1"/>
    <x v="10"/>
    <n v="480"/>
    <n v="480"/>
    <n v="4.2060000000000004"/>
    <n v="4.2060000000000004"/>
    <n v="4.2060000000000004"/>
    <n v="4.2060000000000004"/>
    <n v="0"/>
    <x v="0"/>
    <n v="0"/>
    <n v="31"/>
    <n v="33"/>
    <n v="83"/>
    <n v="43.76"/>
    <n v="109.75"/>
    <n v="430.87"/>
    <n v="49.088494763430781"/>
    <n v="112.98053114414617"/>
    <n v="375.70671275609089"/>
    <n v="21004.799999999999"/>
    <n v="461.60850000000005"/>
    <n v="1812.2392200000002"/>
    <n v="23562.477486446776"/>
    <n v="475.19611399227881"/>
    <n v="1580.2224338521185"/>
  </r>
  <r>
    <s v="Sistema de Compensação"/>
    <x v="3"/>
    <x v="0"/>
    <x v="0"/>
    <x v="0"/>
    <x v="0"/>
    <x v="0"/>
    <x v="1"/>
    <x v="10"/>
    <n v="710"/>
    <n v="710"/>
    <n v="16.016999999999999"/>
    <n v="16.016999999999999"/>
    <n v="16.016999999999999"/>
    <n v="16.016999999999999"/>
    <n v="0"/>
    <x v="0"/>
    <n v="0"/>
    <n v="31"/>
    <n v="33"/>
    <n v="83"/>
    <n v="43.76"/>
    <n v="109.75"/>
    <n v="430.87"/>
    <n v="49.088494763430781"/>
    <n v="112.98053114414617"/>
    <n v="375.70671275609089"/>
    <n v="31069.599999999999"/>
    <n v="1757.8657499999999"/>
    <n v="6901.2447899999997"/>
    <n v="34852.831282035855"/>
    <n v="1809.6091673357892"/>
    <n v="6017.6944182143079"/>
  </r>
  <r>
    <s v="PROJETADO"/>
    <x v="3"/>
    <x v="0"/>
    <x v="0"/>
    <x v="0"/>
    <x v="0"/>
    <x v="0"/>
    <x v="1"/>
    <x v="11"/>
    <n v="17239"/>
    <n v="17239"/>
    <n v="686.48299999999995"/>
    <n v="686.48299999999995"/>
    <n v="686.48299999999995"/>
    <n v="686.48299999999995"/>
    <n v="0"/>
    <x v="0"/>
    <n v="0"/>
    <n v="31"/>
    <n v="33"/>
    <n v="83"/>
    <n v="43.76"/>
    <n v="109.75"/>
    <n v="430.87"/>
    <n v="49.088494763430781"/>
    <n v="112.98053114414617"/>
    <n v="375.70671275609089"/>
    <n v="754378.64"/>
    <n v="75341.509249999988"/>
    <n v="295784.93020999996"/>
    <n v="846236.5612267832"/>
    <n v="77559.213961426896"/>
    <n v="257916.27129293952"/>
  </r>
  <r>
    <s v="PROJETADO"/>
    <x v="3"/>
    <x v="0"/>
    <x v="0"/>
    <x v="0"/>
    <x v="0"/>
    <x v="0"/>
    <x v="1"/>
    <x v="11"/>
    <n v="480"/>
    <n v="480"/>
    <n v="4.2060000000000004"/>
    <n v="4.2060000000000004"/>
    <n v="4.2060000000000004"/>
    <n v="4.2060000000000004"/>
    <n v="0"/>
    <x v="0"/>
    <n v="0"/>
    <n v="31"/>
    <n v="33"/>
    <n v="83"/>
    <n v="43.76"/>
    <n v="109.75"/>
    <n v="430.87"/>
    <n v="49.088494763430781"/>
    <n v="112.98053114414617"/>
    <n v="375.70671275609089"/>
    <n v="21004.799999999999"/>
    <n v="461.60850000000005"/>
    <n v="1812.2392200000002"/>
    <n v="23562.477486446776"/>
    <n v="475.19611399227881"/>
    <n v="1580.2224338521185"/>
  </r>
  <r>
    <s v="PROJETADO"/>
    <x v="3"/>
    <x v="0"/>
    <x v="0"/>
    <x v="0"/>
    <x v="0"/>
    <x v="0"/>
    <x v="1"/>
    <x v="11"/>
    <n v="710"/>
    <n v="710"/>
    <n v="16.016999999999999"/>
    <n v="16.016999999999999"/>
    <n v="16.016999999999999"/>
    <n v="16.016999999999999"/>
    <n v="0"/>
    <x v="0"/>
    <n v="0"/>
    <n v="31"/>
    <n v="33"/>
    <n v="83"/>
    <n v="43.76"/>
    <n v="109.75"/>
    <n v="430.87"/>
    <n v="49.088494763430781"/>
    <n v="112.98053114414617"/>
    <n v="375.70671275609089"/>
    <n v="31069.599999999999"/>
    <n v="1757.8657499999999"/>
    <n v="6901.2447899999997"/>
    <n v="34852.831282035855"/>
    <n v="1809.6091673357892"/>
    <n v="6017.6944182143079"/>
  </r>
  <r>
    <s v="Regular"/>
    <x v="3"/>
    <x v="0"/>
    <x v="1"/>
    <x v="0"/>
    <x v="2"/>
    <x v="0"/>
    <x v="0"/>
    <x v="0"/>
    <n v="11307"/>
    <n v="7176.8075336399997"/>
    <n v="0"/>
    <n v="0"/>
    <n v="0"/>
    <n v="0"/>
    <n v="0"/>
    <x v="2"/>
    <n v="0"/>
    <n v="32"/>
    <n v="0"/>
    <n v="0"/>
    <n v="12.24"/>
    <n v="0"/>
    <n v="0"/>
    <n v="16.00053546174815"/>
    <n v="112.98053114414617"/>
    <m/>
    <n v="87844.124211753602"/>
    <n v="0"/>
    <n v="0"/>
    <n v="114832.76344414809"/>
    <n v="0"/>
    <n v="0"/>
  </r>
  <r>
    <s v="Regular"/>
    <x v="3"/>
    <x v="0"/>
    <x v="1"/>
    <x v="0"/>
    <x v="2"/>
    <x v="0"/>
    <x v="0"/>
    <x v="1"/>
    <n v="11307"/>
    <n v="7197.53134245"/>
    <n v="0"/>
    <n v="0"/>
    <n v="0"/>
    <n v="0"/>
    <n v="0"/>
    <x v="2"/>
    <n v="0"/>
    <n v="32"/>
    <n v="0"/>
    <n v="0"/>
    <n v="12.24"/>
    <n v="0"/>
    <n v="0"/>
    <n v="16.00053546174815"/>
    <n v="112.98053114414617"/>
    <m/>
    <n v="88097.783631587998"/>
    <n v="0"/>
    <n v="0"/>
    <n v="115164.35548191499"/>
    <n v="0"/>
    <n v="0"/>
  </r>
  <r>
    <s v="Regular"/>
    <x v="3"/>
    <x v="0"/>
    <x v="1"/>
    <x v="0"/>
    <x v="2"/>
    <x v="0"/>
    <x v="0"/>
    <x v="2"/>
    <n v="11307"/>
    <n v="7234.7516119800002"/>
    <n v="0"/>
    <n v="0"/>
    <n v="0"/>
    <n v="0"/>
    <n v="0"/>
    <x v="2"/>
    <n v="0"/>
    <n v="32"/>
    <n v="0"/>
    <n v="0"/>
    <n v="12.24"/>
    <n v="0"/>
    <n v="0"/>
    <n v="16.00053546174815"/>
    <n v="112.98053114414617"/>
    <m/>
    <n v="88553.359730635202"/>
    <n v="0"/>
    <n v="0"/>
    <n v="115759.89972442559"/>
    <n v="0"/>
    <n v="0"/>
  </r>
  <r>
    <s v="Regular"/>
    <x v="3"/>
    <x v="0"/>
    <x v="1"/>
    <x v="0"/>
    <x v="2"/>
    <x v="0"/>
    <x v="0"/>
    <x v="3"/>
    <n v="12948"/>
    <n v="8757.7600827599999"/>
    <n v="0"/>
    <n v="0"/>
    <n v="0"/>
    <n v="0"/>
    <n v="0"/>
    <x v="2"/>
    <n v="0"/>
    <n v="32"/>
    <n v="0"/>
    <n v="0"/>
    <n v="12.24"/>
    <n v="0"/>
    <n v="0"/>
    <n v="16.00053546174815"/>
    <n v="112.98053114414617"/>
    <m/>
    <n v="107194.9834129824"/>
    <n v="0"/>
    <n v="0"/>
    <n v="140128.85076968381"/>
    <n v="0"/>
    <n v="0"/>
  </r>
  <r>
    <s v="Regular"/>
    <x v="3"/>
    <x v="0"/>
    <x v="1"/>
    <x v="0"/>
    <x v="2"/>
    <x v="0"/>
    <x v="0"/>
    <x v="4"/>
    <n v="12887"/>
    <n v="8219.4699703900005"/>
    <n v="0"/>
    <n v="0"/>
    <n v="0"/>
    <n v="0"/>
    <n v="0"/>
    <x v="2"/>
    <n v="0"/>
    <n v="32"/>
    <n v="0"/>
    <n v="0"/>
    <n v="12.24"/>
    <n v="0"/>
    <n v="0"/>
    <n v="16.00053546174815"/>
    <n v="112.98053114414617"/>
    <m/>
    <n v="100606.31243757361"/>
    <n v="0"/>
    <n v="0"/>
    <n v="131515.92073799923"/>
    <n v="0"/>
    <n v="0"/>
  </r>
  <r>
    <s v="Regular"/>
    <x v="3"/>
    <x v="0"/>
    <x v="1"/>
    <x v="0"/>
    <x v="2"/>
    <x v="0"/>
    <x v="0"/>
    <x v="5"/>
    <n v="12771"/>
    <n v="8162.6822204399996"/>
    <n v="0"/>
    <n v="0"/>
    <n v="0"/>
    <n v="0"/>
    <n v="0"/>
    <x v="2"/>
    <n v="0"/>
    <n v="32"/>
    <n v="0"/>
    <n v="0"/>
    <n v="12.24"/>
    <n v="0"/>
    <n v="0"/>
    <n v="16.00053546174815"/>
    <n v="112.98053114414617"/>
    <m/>
    <n v="99911.230378185603"/>
    <n v="0"/>
    <n v="0"/>
    <n v="130607.28633113134"/>
    <n v="0"/>
    <n v="0"/>
  </r>
  <r>
    <s v="Regular"/>
    <x v="3"/>
    <x v="0"/>
    <x v="1"/>
    <x v="0"/>
    <x v="2"/>
    <x v="0"/>
    <x v="0"/>
    <x v="6"/>
    <n v="12791"/>
    <n v="8114.6468543499996"/>
    <n v="0"/>
    <n v="0"/>
    <n v="0"/>
    <n v="0"/>
    <n v="0"/>
    <x v="2"/>
    <n v="0"/>
    <n v="32"/>
    <n v="0"/>
    <n v="0"/>
    <n v="12.24"/>
    <n v="0"/>
    <n v="0"/>
    <n v="16.00053546174815"/>
    <n v="112.98053114414617"/>
    <m/>
    <n v="99323.277497243995"/>
    <n v="0"/>
    <n v="0"/>
    <n v="129838.69475259025"/>
    <n v="0"/>
    <n v="0"/>
  </r>
  <r>
    <s v="Regular"/>
    <x v="3"/>
    <x v="0"/>
    <x v="1"/>
    <x v="0"/>
    <x v="2"/>
    <x v="0"/>
    <x v="0"/>
    <x v="7"/>
    <n v="12848"/>
    <n v="8385.0359788799997"/>
    <n v="0"/>
    <n v="0"/>
    <n v="0"/>
    <n v="0"/>
    <n v="0"/>
    <x v="2"/>
    <n v="0"/>
    <n v="32"/>
    <n v="0"/>
    <n v="0"/>
    <n v="12.24"/>
    <n v="0"/>
    <n v="0"/>
    <n v="16.00053546174815"/>
    <n v="112.98053114414617"/>
    <m/>
    <n v="102632.8403814912"/>
    <n v="0"/>
    <n v="0"/>
    <n v="134165.06552810356"/>
    <n v="0"/>
    <n v="0"/>
  </r>
  <r>
    <s v="Regular"/>
    <x v="3"/>
    <x v="0"/>
    <x v="1"/>
    <x v="0"/>
    <x v="2"/>
    <x v="0"/>
    <x v="0"/>
    <x v="8"/>
    <n v="12848"/>
    <n v="8088.0828529600003"/>
    <n v="0"/>
    <n v="0"/>
    <n v="0"/>
    <n v="0"/>
    <n v="0"/>
    <x v="2"/>
    <n v="0"/>
    <n v="32"/>
    <n v="0"/>
    <n v="0"/>
    <n v="12.24"/>
    <n v="0"/>
    <n v="0"/>
    <n v="16.00053546174815"/>
    <n v="112.98053114414617"/>
    <m/>
    <n v="98998.134120230403"/>
    <n v="0"/>
    <n v="0"/>
    <n v="129413.65650634363"/>
    <n v="0"/>
    <n v="0"/>
  </r>
  <r>
    <s v="Regular"/>
    <x v="3"/>
    <x v="0"/>
    <x v="1"/>
    <x v="0"/>
    <x v="2"/>
    <x v="0"/>
    <x v="0"/>
    <x v="9"/>
    <n v="11307"/>
    <n v="7136.9102187899998"/>
    <n v="0"/>
    <n v="0"/>
    <n v="0"/>
    <n v="0"/>
    <n v="0"/>
    <x v="2"/>
    <n v="0"/>
    <n v="32"/>
    <n v="0"/>
    <n v="0"/>
    <n v="12.24"/>
    <n v="0"/>
    <n v="0"/>
    <n v="16.00053546174815"/>
    <n v="112.98053114414617"/>
    <m/>
    <n v="87355.781077989595"/>
    <n v="0"/>
    <n v="0"/>
    <n v="114194.38504306214"/>
    <n v="0"/>
    <n v="0"/>
  </r>
  <r>
    <s v="Regular"/>
    <x v="3"/>
    <x v="0"/>
    <x v="1"/>
    <x v="0"/>
    <x v="2"/>
    <x v="0"/>
    <x v="0"/>
    <x v="10"/>
    <n v="13737"/>
    <n v="8929.0499999999993"/>
    <n v="0"/>
    <n v="0"/>
    <n v="0"/>
    <n v="0"/>
    <n v="0"/>
    <x v="2"/>
    <n v="0"/>
    <n v="32"/>
    <n v="0"/>
    <n v="0"/>
    <n v="12.24"/>
    <n v="0"/>
    <n v="0"/>
    <n v="16.00053546174815"/>
    <n v="112.98053114414617"/>
    <m/>
    <n v="109291.572"/>
    <n v="0"/>
    <n v="0"/>
    <n v="142869.5811647223"/>
    <n v="0"/>
    <n v="0"/>
  </r>
  <r>
    <s v="PROJETADO"/>
    <x v="3"/>
    <x v="0"/>
    <x v="1"/>
    <x v="0"/>
    <x v="2"/>
    <x v="0"/>
    <x v="0"/>
    <x v="11"/>
    <n v="13737"/>
    <n v="8929.0499999999993"/>
    <n v="0"/>
    <n v="0"/>
    <n v="0"/>
    <n v="0"/>
    <n v="0"/>
    <x v="2"/>
    <n v="0"/>
    <n v="32"/>
    <n v="0"/>
    <n v="0"/>
    <n v="12.24"/>
    <n v="0"/>
    <n v="0"/>
    <n v="16.00053546174815"/>
    <n v="112.98053114414617"/>
    <m/>
    <n v="109291.572"/>
    <n v="0"/>
    <n v="0"/>
    <n v="142869.5811647223"/>
    <n v="0"/>
    <n v="0"/>
  </r>
  <r>
    <s v="Regular"/>
    <x v="3"/>
    <x v="0"/>
    <x v="1"/>
    <x v="0"/>
    <x v="2"/>
    <x v="0"/>
    <x v="2"/>
    <x v="0"/>
    <n v="0"/>
    <n v="0"/>
    <n v="5617.4639999999999"/>
    <n v="5617.4639999999999"/>
    <n v="0"/>
    <n v="0"/>
    <n v="33"/>
    <x v="2"/>
    <n v="0"/>
    <n v="0"/>
    <n v="33"/>
    <n v="0"/>
    <n v="0"/>
    <n v="109.75"/>
    <n v="0"/>
    <m/>
    <n v="112.98053114414617"/>
    <m/>
    <n v="0"/>
    <n v="616516.674"/>
    <n v="0"/>
    <n v="0"/>
    <n v="634664.06640311994"/>
    <n v="0"/>
  </r>
  <r>
    <s v="Regular"/>
    <x v="3"/>
    <x v="0"/>
    <x v="1"/>
    <x v="0"/>
    <x v="2"/>
    <x v="0"/>
    <x v="2"/>
    <x v="1"/>
    <n v="0"/>
    <n v="0"/>
    <n v="5408.6980000000003"/>
    <n v="5408.6980000000003"/>
    <n v="0"/>
    <n v="0"/>
    <n v="33"/>
    <x v="2"/>
    <n v="0"/>
    <n v="0"/>
    <n v="33"/>
    <n v="0"/>
    <n v="0"/>
    <n v="109.75"/>
    <n v="0"/>
    <m/>
    <n v="112.98053114414617"/>
    <m/>
    <n v="0"/>
    <n v="593604.60550000006"/>
    <n v="0"/>
    <n v="0"/>
    <n v="611077.57283828116"/>
    <n v="0"/>
  </r>
  <r>
    <s v="Regular"/>
    <x v="3"/>
    <x v="0"/>
    <x v="1"/>
    <x v="0"/>
    <x v="2"/>
    <x v="0"/>
    <x v="2"/>
    <x v="2"/>
    <n v="0"/>
    <n v="0"/>
    <n v="5506.1310000000003"/>
    <n v="5506.1310000000003"/>
    <n v="0"/>
    <n v="0"/>
    <n v="33"/>
    <x v="2"/>
    <n v="0"/>
    <n v="0"/>
    <n v="33"/>
    <n v="0"/>
    <n v="0"/>
    <n v="109.75"/>
    <n v="0"/>
    <m/>
    <n v="112.98053114414617"/>
    <m/>
    <n v="0"/>
    <n v="604297.87725000002"/>
    <n v="0"/>
    <n v="0"/>
    <n v="622085.60492924869"/>
    <n v="0"/>
  </r>
  <r>
    <s v="Regular"/>
    <x v="3"/>
    <x v="0"/>
    <x v="1"/>
    <x v="0"/>
    <x v="2"/>
    <x v="0"/>
    <x v="2"/>
    <x v="3"/>
    <n v="0"/>
    <n v="0"/>
    <n v="5585.7110000000002"/>
    <n v="5585.7110000000002"/>
    <n v="0"/>
    <n v="0"/>
    <n v="35"/>
    <x v="2"/>
    <n v="0"/>
    <n v="0"/>
    <n v="33"/>
    <n v="0"/>
    <n v="0"/>
    <n v="109.75"/>
    <n v="0"/>
    <m/>
    <n v="112.98053114414617"/>
    <m/>
    <n v="0"/>
    <n v="613031.78225000005"/>
    <n v="0"/>
    <n v="0"/>
    <n v="631076.59559769987"/>
    <n v="0"/>
  </r>
  <r>
    <s v="Regular"/>
    <x v="3"/>
    <x v="0"/>
    <x v="1"/>
    <x v="0"/>
    <x v="2"/>
    <x v="0"/>
    <x v="2"/>
    <x v="4"/>
    <n v="0"/>
    <n v="0"/>
    <n v="5187.1400000000003"/>
    <n v="5187.1400000000003"/>
    <n v="0"/>
    <n v="0"/>
    <n v="35"/>
    <x v="2"/>
    <n v="0"/>
    <n v="0"/>
    <n v="33"/>
    <n v="0"/>
    <n v="0"/>
    <n v="109.75"/>
    <n v="0"/>
    <m/>
    <n v="112.98053114414617"/>
    <m/>
    <n v="0"/>
    <n v="569288.61499999999"/>
    <n v="0"/>
    <n v="0"/>
    <n v="586045.83231904637"/>
    <n v="0"/>
  </r>
  <r>
    <s v="Regular"/>
    <x v="3"/>
    <x v="0"/>
    <x v="1"/>
    <x v="0"/>
    <x v="2"/>
    <x v="0"/>
    <x v="2"/>
    <x v="5"/>
    <n v="0"/>
    <n v="0"/>
    <n v="4956.4880000000003"/>
    <n v="4956.4880000000003"/>
    <n v="0"/>
    <n v="0"/>
    <n v="35"/>
    <x v="2"/>
    <n v="0"/>
    <n v="0"/>
    <n v="33"/>
    <n v="0"/>
    <n v="0"/>
    <n v="109.75"/>
    <n v="0"/>
    <m/>
    <n v="112.98053114414617"/>
    <m/>
    <n v="0"/>
    <n v="543974.55800000008"/>
    <n v="0"/>
    <n v="0"/>
    <n v="559986.64684958674"/>
    <n v="0"/>
  </r>
  <r>
    <s v="Regular"/>
    <x v="3"/>
    <x v="0"/>
    <x v="1"/>
    <x v="0"/>
    <x v="2"/>
    <x v="0"/>
    <x v="2"/>
    <x v="6"/>
    <n v="0"/>
    <n v="0"/>
    <n v="3957.848"/>
    <n v="3957.848"/>
    <n v="0"/>
    <n v="0"/>
    <n v="35"/>
    <x v="2"/>
    <n v="0"/>
    <n v="0"/>
    <n v="33"/>
    <n v="0"/>
    <n v="0"/>
    <n v="109.75"/>
    <n v="0"/>
    <m/>
    <n v="112.98053114414617"/>
    <m/>
    <n v="0"/>
    <n v="434373.81799999997"/>
    <n v="0"/>
    <n v="0"/>
    <n v="447159.76922779664"/>
    <n v="0"/>
  </r>
  <r>
    <s v="Regular"/>
    <x v="3"/>
    <x v="0"/>
    <x v="1"/>
    <x v="0"/>
    <x v="2"/>
    <x v="0"/>
    <x v="2"/>
    <x v="7"/>
    <n v="0"/>
    <n v="0"/>
    <n v="4070.922"/>
    <n v="4070.922"/>
    <n v="0"/>
    <n v="0"/>
    <n v="36"/>
    <x v="2"/>
    <n v="0"/>
    <n v="0"/>
    <n v="33"/>
    <n v="0"/>
    <n v="0"/>
    <n v="109.75"/>
    <n v="0"/>
    <m/>
    <n v="112.98053114414617"/>
    <m/>
    <n v="0"/>
    <n v="446783.68949999998"/>
    <n v="0"/>
    <n v="0"/>
    <n v="459934.92980638979"/>
    <n v="0"/>
  </r>
  <r>
    <s v="Regular"/>
    <x v="3"/>
    <x v="0"/>
    <x v="1"/>
    <x v="0"/>
    <x v="2"/>
    <x v="0"/>
    <x v="2"/>
    <x v="8"/>
    <n v="0"/>
    <n v="0"/>
    <n v="4070.922"/>
    <n v="4070.922"/>
    <n v="0"/>
    <n v="0"/>
    <n v="36"/>
    <x v="2"/>
    <n v="0"/>
    <n v="0"/>
    <n v="33"/>
    <n v="0"/>
    <n v="0"/>
    <n v="109.75"/>
    <n v="0"/>
    <m/>
    <n v="112.98053114414617"/>
    <m/>
    <n v="0"/>
    <n v="446783.68949999998"/>
    <n v="0"/>
    <n v="0"/>
    <n v="459934.92980638979"/>
    <n v="0"/>
  </r>
  <r>
    <s v="Regular"/>
    <x v="3"/>
    <x v="0"/>
    <x v="1"/>
    <x v="0"/>
    <x v="2"/>
    <x v="0"/>
    <x v="2"/>
    <x v="9"/>
    <n v="0"/>
    <n v="0"/>
    <n v="4732.4459999999999"/>
    <n v="4732.4459999999999"/>
    <n v="0"/>
    <n v="0"/>
    <n v="33"/>
    <x v="2"/>
    <n v="0"/>
    <n v="0"/>
    <n v="33"/>
    <n v="0"/>
    <n v="0"/>
    <n v="109.75"/>
    <n v="0"/>
    <m/>
    <n v="112.98053114414617"/>
    <m/>
    <n v="0"/>
    <n v="519385.9485"/>
    <n v="0"/>
    <n v="0"/>
    <n v="534674.26269099"/>
    <n v="0"/>
  </r>
  <r>
    <s v="Regular"/>
    <x v="3"/>
    <x v="0"/>
    <x v="1"/>
    <x v="0"/>
    <x v="2"/>
    <x v="0"/>
    <x v="2"/>
    <x v="10"/>
    <n v="0"/>
    <n v="0"/>
    <n v="4957.28"/>
    <n v="4957.28"/>
    <n v="0"/>
    <n v="0"/>
    <n v="39"/>
    <x v="2"/>
    <n v="0"/>
    <n v="0"/>
    <n v="33"/>
    <n v="0"/>
    <n v="0"/>
    <n v="109.75"/>
    <n v="0"/>
    <m/>
    <n v="112.98053114414617"/>
    <m/>
    <n v="0"/>
    <n v="544061.48"/>
    <n v="0"/>
    <n v="0"/>
    <n v="560076.12743025285"/>
    <n v="0"/>
  </r>
  <r>
    <s v="PROJETADO"/>
    <x v="3"/>
    <x v="0"/>
    <x v="1"/>
    <x v="0"/>
    <x v="2"/>
    <x v="0"/>
    <x v="2"/>
    <x v="11"/>
    <n v="0"/>
    <n v="0"/>
    <n v="4957.28"/>
    <n v="4957.28"/>
    <n v="0"/>
    <n v="0"/>
    <n v="39"/>
    <x v="2"/>
    <n v="0"/>
    <n v="0"/>
    <n v="33"/>
    <n v="0"/>
    <n v="0"/>
    <n v="109.75"/>
    <n v="0"/>
    <m/>
    <n v="112.98053114414617"/>
    <m/>
    <n v="0"/>
    <n v="544061.48"/>
    <n v="0"/>
    <n v="0"/>
    <n v="560076.12743025285"/>
    <n v="0"/>
  </r>
  <r>
    <s v="Regular"/>
    <x v="3"/>
    <x v="0"/>
    <x v="1"/>
    <x v="0"/>
    <x v="2"/>
    <x v="0"/>
    <x v="1"/>
    <x v="0"/>
    <n v="10448"/>
    <n v="6634.1785751999996"/>
    <n v="0"/>
    <n v="0"/>
    <n v="0"/>
    <n v="0"/>
    <n v="0"/>
    <x v="2"/>
    <n v="0"/>
    <n v="31"/>
    <n v="0"/>
    <n v="0"/>
    <n v="43.76"/>
    <n v="0"/>
    <n v="0"/>
    <n v="49.088494763430781"/>
    <n v="112.98053114414617"/>
    <m/>
    <n v="290311.65445075196"/>
    <n v="0"/>
    <n v="0"/>
    <n v="325661.84024836984"/>
    <n v="0"/>
    <n v="0"/>
  </r>
  <r>
    <s v="Regular"/>
    <x v="3"/>
    <x v="0"/>
    <x v="1"/>
    <x v="0"/>
    <x v="2"/>
    <x v="0"/>
    <x v="1"/>
    <x v="1"/>
    <n v="10448"/>
    <n v="6652.4083500799998"/>
    <n v="0"/>
    <n v="0"/>
    <n v="0"/>
    <n v="0"/>
    <n v="0"/>
    <x v="2"/>
    <n v="0"/>
    <n v="31"/>
    <n v="0"/>
    <n v="0"/>
    <n v="43.76"/>
    <n v="0"/>
    <n v="0"/>
    <n v="49.088494763430781"/>
    <n v="112.98053114414617"/>
    <m/>
    <n v="291109.3893995008"/>
    <n v="0"/>
    <n v="0"/>
    <n v="326556.71245710528"/>
    <n v="0"/>
    <n v="0"/>
  </r>
  <r>
    <s v="Regular"/>
    <x v="3"/>
    <x v="0"/>
    <x v="1"/>
    <x v="0"/>
    <x v="2"/>
    <x v="0"/>
    <x v="1"/>
    <x v="2"/>
    <n v="10448"/>
    <n v="6686.5232641599996"/>
    <n v="0"/>
    <n v="0"/>
    <n v="0"/>
    <n v="0"/>
    <n v="0"/>
    <x v="2"/>
    <n v="0"/>
    <n v="31"/>
    <n v="0"/>
    <n v="0"/>
    <n v="43.76"/>
    <n v="0"/>
    <n v="0"/>
    <n v="49.088494763430781"/>
    <n v="112.98053114414617"/>
    <m/>
    <n v="292602.25803964154"/>
    <n v="0"/>
    <n v="0"/>
    <n v="328231.36223827623"/>
    <n v="0"/>
    <n v="0"/>
  </r>
  <r>
    <s v="Regular"/>
    <x v="3"/>
    <x v="0"/>
    <x v="1"/>
    <x v="0"/>
    <x v="2"/>
    <x v="0"/>
    <x v="1"/>
    <x v="3"/>
    <n v="11979"/>
    <n v="8104.6517953499997"/>
    <n v="0"/>
    <n v="0"/>
    <n v="0"/>
    <n v="0"/>
    <n v="0"/>
    <x v="2"/>
    <n v="0"/>
    <n v="31"/>
    <n v="0"/>
    <n v="0"/>
    <n v="43.76"/>
    <n v="0"/>
    <n v="0"/>
    <n v="49.088494763430781"/>
    <n v="112.98053114414617"/>
    <m/>
    <n v="354659.56256451597"/>
    <n v="0"/>
    <n v="0"/>
    <n v="397845.15721546835"/>
    <n v="0"/>
    <n v="0"/>
  </r>
  <r>
    <s v="Regular"/>
    <x v="3"/>
    <x v="0"/>
    <x v="1"/>
    <x v="0"/>
    <x v="2"/>
    <x v="0"/>
    <x v="1"/>
    <x v="4"/>
    <n v="11884"/>
    <n v="7569.0654166800005"/>
    <n v="0"/>
    <n v="0"/>
    <n v="0"/>
    <n v="0"/>
    <n v="0"/>
    <x v="2"/>
    <n v="0"/>
    <n v="31"/>
    <n v="0"/>
    <n v="0"/>
    <n v="43.76"/>
    <n v="0"/>
    <n v="0"/>
    <n v="49.088494763430781"/>
    <n v="112.98053114414617"/>
    <m/>
    <n v="331222.30263391678"/>
    <n v="0"/>
    <n v="0"/>
    <n v="371554.02807076124"/>
    <n v="0"/>
    <n v="0"/>
  </r>
  <r>
    <s v="Regular"/>
    <x v="3"/>
    <x v="0"/>
    <x v="1"/>
    <x v="0"/>
    <x v="2"/>
    <x v="0"/>
    <x v="1"/>
    <x v="5"/>
    <n v="11802"/>
    <n v="7539.6826797599997"/>
    <n v="0"/>
    <n v="0"/>
    <n v="0"/>
    <n v="0"/>
    <n v="0"/>
    <x v="2"/>
    <n v="0"/>
    <n v="31"/>
    <n v="0"/>
    <n v="0"/>
    <n v="43.76"/>
    <n v="0"/>
    <n v="0"/>
    <n v="49.088494763430781"/>
    <n v="112.98053114414617"/>
    <m/>
    <n v="329936.51406629756"/>
    <n v="0"/>
    <n v="0"/>
    <n v="370111.67374332849"/>
    <n v="0"/>
    <n v="0"/>
  </r>
  <r>
    <s v="Regular"/>
    <x v="3"/>
    <x v="0"/>
    <x v="1"/>
    <x v="0"/>
    <x v="2"/>
    <x v="0"/>
    <x v="1"/>
    <x v="6"/>
    <n v="11823"/>
    <n v="7503.1484383799998"/>
    <n v="0"/>
    <n v="0"/>
    <n v="0"/>
    <n v="0"/>
    <n v="0"/>
    <x v="2"/>
    <n v="0"/>
    <n v="31"/>
    <n v="0"/>
    <n v="0"/>
    <n v="43.76"/>
    <n v="0"/>
    <n v="0"/>
    <n v="49.088494763430781"/>
    <n v="112.98053114414617"/>
    <m/>
    <n v="328337.7756635088"/>
    <n v="0"/>
    <n v="0"/>
    <n v="368318.26282666047"/>
    <n v="0"/>
    <n v="0"/>
  </r>
  <r>
    <s v="Regular"/>
    <x v="3"/>
    <x v="0"/>
    <x v="1"/>
    <x v="0"/>
    <x v="2"/>
    <x v="0"/>
    <x v="1"/>
    <x v="7"/>
    <n v="11882"/>
    <n v="7775.9786093599996"/>
    <n v="0"/>
    <n v="0"/>
    <n v="0"/>
    <n v="0"/>
    <n v="0"/>
    <x v="2"/>
    <n v="0"/>
    <n v="31"/>
    <n v="0"/>
    <n v="0"/>
    <n v="43.76"/>
    <n v="0"/>
    <n v="0"/>
    <n v="49.088494763430781"/>
    <n v="112.98053114414617"/>
    <m/>
    <n v="340276.82394559355"/>
    <n v="0"/>
    <n v="0"/>
    <n v="381711.08524611808"/>
    <n v="0"/>
    <n v="0"/>
  </r>
  <r>
    <s v="Regular"/>
    <x v="3"/>
    <x v="0"/>
    <x v="1"/>
    <x v="0"/>
    <x v="2"/>
    <x v="0"/>
    <x v="1"/>
    <x v="8"/>
    <n v="11882"/>
    <n v="7480.9745709400004"/>
    <n v="0"/>
    <n v="0"/>
    <n v="0"/>
    <n v="0"/>
    <n v="0"/>
    <x v="2"/>
    <n v="0"/>
    <n v="31"/>
    <n v="0"/>
    <n v="0"/>
    <n v="43.76"/>
    <n v="0"/>
    <n v="0"/>
    <n v="49.088494763430781"/>
    <n v="112.98053114414617"/>
    <m/>
    <n v="327367.44722433441"/>
    <n v="0"/>
    <n v="0"/>
    <n v="367229.78105094703"/>
    <n v="0"/>
    <n v="0"/>
  </r>
  <r>
    <s v="Regular"/>
    <x v="3"/>
    <x v="0"/>
    <x v="1"/>
    <x v="0"/>
    <x v="2"/>
    <x v="0"/>
    <x v="1"/>
    <x v="9"/>
    <n v="10448"/>
    <n v="6596.7883175999996"/>
    <n v="0"/>
    <n v="0"/>
    <n v="0"/>
    <n v="0"/>
    <n v="0"/>
    <x v="2"/>
    <n v="0"/>
    <n v="31"/>
    <n v="0"/>
    <n v="0"/>
    <n v="43.76"/>
    <n v="0"/>
    <n v="0"/>
    <n v="49.088494763430781"/>
    <n v="112.98053114414617"/>
    <m/>
    <n v="288675.45677817595"/>
    <n v="0"/>
    <n v="0"/>
    <n v="323826.40878396895"/>
    <n v="0"/>
    <n v="0"/>
  </r>
  <r>
    <s v="Regular"/>
    <x v="3"/>
    <x v="0"/>
    <x v="1"/>
    <x v="0"/>
    <x v="2"/>
    <x v="0"/>
    <x v="1"/>
    <x v="10"/>
    <n v="12709"/>
    <n v="8260.85"/>
    <n v="0"/>
    <n v="0"/>
    <n v="0"/>
    <n v="0"/>
    <n v="0"/>
    <x v="2"/>
    <n v="0"/>
    <n v="31"/>
    <n v="0"/>
    <n v="0"/>
    <n v="43.76"/>
    <n v="0"/>
    <n v="0"/>
    <n v="49.088494763430781"/>
    <n v="112.98053114414617"/>
    <m/>
    <n v="361494.79599999997"/>
    <n v="0"/>
    <n v="0"/>
    <n v="405512.69196648721"/>
    <n v="0"/>
    <n v="0"/>
  </r>
  <r>
    <s v="PROJETADO"/>
    <x v="3"/>
    <x v="0"/>
    <x v="1"/>
    <x v="0"/>
    <x v="2"/>
    <x v="0"/>
    <x v="1"/>
    <x v="11"/>
    <n v="12709"/>
    <n v="8260.85"/>
    <n v="0"/>
    <n v="0"/>
    <n v="0"/>
    <n v="0"/>
    <n v="0"/>
    <x v="2"/>
    <n v="0"/>
    <n v="31"/>
    <n v="0"/>
    <n v="0"/>
    <n v="43.76"/>
    <n v="0"/>
    <n v="0"/>
    <n v="49.088494763430781"/>
    <n v="112.98053114414617"/>
    <m/>
    <n v="361494.79599999997"/>
    <n v="0"/>
    <n v="0"/>
    <n v="405512.69196648721"/>
    <n v="0"/>
    <n v="0"/>
  </r>
  <r>
    <s v="Regular"/>
    <x v="3"/>
    <x v="0"/>
    <x v="4"/>
    <x v="0"/>
    <x v="0"/>
    <x v="0"/>
    <x v="0"/>
    <x v="0"/>
    <n v="14827"/>
    <n v="14827"/>
    <n v="3933.87"/>
    <n v="3933.87"/>
    <n v="3933.87"/>
    <n v="3933.87"/>
    <n v="0"/>
    <x v="0"/>
    <n v="0"/>
    <n v="32"/>
    <n v="33"/>
    <n v="84"/>
    <n v="12.24"/>
    <n v="109.75"/>
    <n v="256.38"/>
    <n v="16.00053546174815"/>
    <n v="112.98053114414617"/>
    <n v="230.84299908458948"/>
    <n v="181482.48"/>
    <n v="431742.23249999998"/>
    <n v="1008565.5906"/>
    <n v="237239.93929133983"/>
    <n v="444450.72205202229"/>
    <n v="908106.34880889393"/>
  </r>
  <r>
    <s v="Refaturamento - Regular"/>
    <x v="3"/>
    <x v="0"/>
    <x v="4"/>
    <x v="0"/>
    <x v="0"/>
    <x v="0"/>
    <x v="0"/>
    <x v="0"/>
    <n v="436"/>
    <n v="436"/>
    <n v="149.66"/>
    <n v="149.66"/>
    <n v="149.66"/>
    <n v="149.66"/>
    <n v="0"/>
    <x v="0"/>
    <n v="0"/>
    <n v="32"/>
    <n v="33"/>
    <n v="84"/>
    <n v="12.24"/>
    <n v="109.75"/>
    <n v="256.38"/>
    <n v="16.00053546174815"/>
    <n v="112.98053114414617"/>
    <n v="230.84299908458948"/>
    <n v="5336.64"/>
    <n v="16425.185000000001"/>
    <n v="38369.830799999996"/>
    <n v="6976.2334613221938"/>
    <n v="16908.666291032914"/>
    <n v="34547.963242999664"/>
  </r>
  <r>
    <s v="Regular"/>
    <x v="3"/>
    <x v="0"/>
    <x v="4"/>
    <x v="0"/>
    <x v="0"/>
    <x v="0"/>
    <x v="0"/>
    <x v="1"/>
    <n v="15554"/>
    <n v="15554"/>
    <n v="4090.127"/>
    <n v="4090.127"/>
    <n v="4090.127"/>
    <n v="4090.127"/>
    <n v="0"/>
    <x v="0"/>
    <n v="0"/>
    <n v="32"/>
    <n v="33"/>
    <n v="84"/>
    <n v="12.24"/>
    <n v="109.75"/>
    <n v="256.38"/>
    <n v="16.00053546174815"/>
    <n v="112.98053114414617"/>
    <n v="230.84299908458948"/>
    <n v="190380.96"/>
    <n v="448891.43825000001"/>
    <n v="1048626.7602599999"/>
    <n v="248872.32857203073"/>
    <n v="462104.72090701311"/>
    <n v="944177.18331685476"/>
  </r>
  <r>
    <s v="Refaturamento - Regular"/>
    <x v="3"/>
    <x v="0"/>
    <x v="4"/>
    <x v="0"/>
    <x v="0"/>
    <x v="0"/>
    <x v="0"/>
    <x v="1"/>
    <n v="436"/>
    <n v="436"/>
    <n v="154.79300000000001"/>
    <n v="154.79300000000001"/>
    <n v="154.79300000000001"/>
    <n v="154.79300000000001"/>
    <n v="0"/>
    <x v="0"/>
    <n v="0"/>
    <n v="32"/>
    <n v="33"/>
    <n v="84"/>
    <n v="12.24"/>
    <n v="109.75"/>
    <n v="256.38"/>
    <n v="16.00053546174815"/>
    <n v="112.98053114414617"/>
    <n v="230.84299908458948"/>
    <n v="5336.64"/>
    <n v="16988.531750000002"/>
    <n v="39685.829340000004"/>
    <n v="6976.2334613221938"/>
    <n v="17488.595357395818"/>
    <n v="35732.880357300863"/>
  </r>
  <r>
    <s v="Regular"/>
    <x v="3"/>
    <x v="0"/>
    <x v="4"/>
    <x v="0"/>
    <x v="0"/>
    <x v="0"/>
    <x v="0"/>
    <x v="2"/>
    <n v="15775"/>
    <n v="15775"/>
    <n v="3903.7860000000001"/>
    <n v="3903.7860000000001"/>
    <n v="3903.7860000000001"/>
    <n v="3903.7860000000001"/>
    <n v="0"/>
    <x v="0"/>
    <n v="0"/>
    <n v="32"/>
    <n v="33"/>
    <n v="84"/>
    <n v="12.24"/>
    <n v="109.75"/>
    <n v="256.38"/>
    <n v="16.00053546174815"/>
    <n v="112.98053114414617"/>
    <n v="230.84299908458948"/>
    <n v="193086"/>
    <n v="428440.5135"/>
    <n v="1000852.65468"/>
    <n v="252408.44690907706"/>
    <n v="441051.81575308181"/>
    <n v="901161.66802443319"/>
  </r>
  <r>
    <s v="Refaturamento - Regular"/>
    <x v="3"/>
    <x v="0"/>
    <x v="4"/>
    <x v="0"/>
    <x v="0"/>
    <x v="0"/>
    <x v="0"/>
    <x v="2"/>
    <n v="436"/>
    <n v="436"/>
    <n v="146.85400000000001"/>
    <n v="146.85400000000001"/>
    <n v="146.85400000000001"/>
    <n v="146.85400000000001"/>
    <n v="0"/>
    <x v="0"/>
    <n v="0"/>
    <n v="32"/>
    <n v="33"/>
    <n v="84"/>
    <n v="12.24"/>
    <n v="109.75"/>
    <n v="256.38"/>
    <n v="16.00053546174815"/>
    <n v="112.98053114414617"/>
    <n v="230.84299908458948"/>
    <n v="5336.64"/>
    <n v="16117.226500000001"/>
    <n v="37650.428520000001"/>
    <n v="6976.2334613221938"/>
    <n v="16591.642920642444"/>
    <n v="33900.217787568305"/>
  </r>
  <r>
    <s v="Regular"/>
    <x v="3"/>
    <x v="0"/>
    <x v="4"/>
    <x v="0"/>
    <x v="0"/>
    <x v="0"/>
    <x v="0"/>
    <x v="3"/>
    <n v="15884"/>
    <n v="15884"/>
    <n v="3796.4960000000001"/>
    <n v="3796.4960000000001"/>
    <n v="3796.4960000000001"/>
    <n v="3796.4960000000001"/>
    <n v="0"/>
    <x v="0"/>
    <n v="0"/>
    <n v="32"/>
    <n v="33"/>
    <n v="84"/>
    <n v="12.24"/>
    <n v="109.75"/>
    <n v="256.38"/>
    <n v="16.00053546174815"/>
    <n v="112.98053114414617"/>
    <n v="230.84299908458948"/>
    <n v="194420.16"/>
    <n v="416665.43599999999"/>
    <n v="973345.64448000002"/>
    <n v="254152.50527440762"/>
    <n v="428930.1345666264"/>
    <n v="876394.52265264769"/>
  </r>
  <r>
    <s v="Refaturamento - Regular"/>
    <x v="3"/>
    <x v="0"/>
    <x v="4"/>
    <x v="0"/>
    <x v="0"/>
    <x v="0"/>
    <x v="0"/>
    <x v="3"/>
    <n v="436"/>
    <n v="436"/>
    <n v="145.36600000000001"/>
    <n v="145.36600000000001"/>
    <n v="145.36600000000001"/>
    <n v="145.36600000000001"/>
    <n v="0"/>
    <x v="0"/>
    <n v="0"/>
    <n v="32"/>
    <n v="33"/>
    <n v="84"/>
    <n v="12.24"/>
    <n v="109.75"/>
    <n v="256.38"/>
    <n v="16.00053546174815"/>
    <n v="112.98053114414617"/>
    <n v="230.84299908458948"/>
    <n v="5336.64"/>
    <n v="15953.918500000002"/>
    <n v="37268.935080000003"/>
    <n v="6976.2334613221938"/>
    <n v="16423.527890299953"/>
    <n v="33556.723404930439"/>
  </r>
  <r>
    <s v="Regular"/>
    <x v="3"/>
    <x v="0"/>
    <x v="4"/>
    <x v="0"/>
    <x v="0"/>
    <x v="0"/>
    <x v="0"/>
    <x v="4"/>
    <n v="15999"/>
    <n v="15999"/>
    <n v="3971.7420000000002"/>
    <n v="3971.7420000000002"/>
    <n v="3971.7420000000002"/>
    <n v="3971.7420000000002"/>
    <n v="0"/>
    <x v="0"/>
    <n v="0"/>
    <n v="32"/>
    <n v="33"/>
    <n v="84"/>
    <n v="12.24"/>
    <n v="109.75"/>
    <n v="256.38"/>
    <n v="16.00053546174815"/>
    <n v="112.98053114414617"/>
    <n v="230.84299908458948"/>
    <n v="195827.76"/>
    <n v="435898.68450000003"/>
    <n v="1018275.2139600001"/>
    <n v="255992.56685250867"/>
    <n v="448729.52072751342"/>
    <n v="916848.83487022563"/>
  </r>
  <r>
    <s v="Refaturamento - Regular"/>
    <x v="3"/>
    <x v="0"/>
    <x v="4"/>
    <x v="0"/>
    <x v="0"/>
    <x v="0"/>
    <x v="0"/>
    <x v="4"/>
    <n v="436"/>
    <n v="436"/>
    <n v="150.876"/>
    <n v="150.876"/>
    <n v="150.876"/>
    <n v="150.876"/>
    <n v="0"/>
    <x v="0"/>
    <n v="0"/>
    <n v="32"/>
    <n v="33"/>
    <n v="84"/>
    <n v="12.24"/>
    <n v="109.75"/>
    <n v="256.38"/>
    <n v="16.00053546174815"/>
    <n v="112.98053114414617"/>
    <n v="230.84299908458948"/>
    <n v="5336.64"/>
    <n v="16558.641"/>
    <n v="38681.588880000003"/>
    <n v="6976.2334613221938"/>
    <n v="17046.050616904198"/>
    <n v="34828.668329886525"/>
  </r>
  <r>
    <s v="Regular"/>
    <x v="3"/>
    <x v="0"/>
    <x v="4"/>
    <x v="0"/>
    <x v="0"/>
    <x v="0"/>
    <x v="0"/>
    <x v="5"/>
    <n v="15936"/>
    <n v="15936"/>
    <n v="3540.556"/>
    <n v="3540.556"/>
    <n v="3540.556"/>
    <n v="3540.556"/>
    <n v="0"/>
    <x v="0"/>
    <n v="0"/>
    <n v="32"/>
    <n v="33"/>
    <n v="84"/>
    <n v="12.24"/>
    <n v="109.75"/>
    <n v="256.38"/>
    <n v="16.00053546174815"/>
    <n v="112.98053114414617"/>
    <n v="230.84299908458948"/>
    <n v="195056.64000000001"/>
    <n v="388576.02100000001"/>
    <n v="907727.74728000001"/>
    <n v="254984.53311841853"/>
    <n v="400013.89742559358"/>
    <n v="817312.56546693784"/>
  </r>
  <r>
    <s v="Refaturamento - Regular"/>
    <x v="3"/>
    <x v="0"/>
    <x v="4"/>
    <x v="0"/>
    <x v="0"/>
    <x v="0"/>
    <x v="0"/>
    <x v="5"/>
    <n v="436"/>
    <n v="436"/>
    <n v="137.34899999999999"/>
    <n v="137.34899999999999"/>
    <n v="137.34899999999999"/>
    <n v="137.34899999999999"/>
    <n v="0"/>
    <x v="0"/>
    <n v="0"/>
    <n v="32"/>
    <n v="33"/>
    <n v="84"/>
    <n v="12.24"/>
    <n v="109.75"/>
    <n v="256.38"/>
    <n v="16.00053546174815"/>
    <n v="112.98053114414617"/>
    <n v="230.84299908458948"/>
    <n v="5336.64"/>
    <n v="15074.052749999999"/>
    <n v="35213.536619999999"/>
    <n v="6976.2334613221938"/>
    <n v="15517.762972117331"/>
    <n v="31706.055081269278"/>
  </r>
  <r>
    <s v="Regular"/>
    <x v="3"/>
    <x v="0"/>
    <x v="4"/>
    <x v="0"/>
    <x v="0"/>
    <x v="0"/>
    <x v="0"/>
    <x v="6"/>
    <n v="15895"/>
    <n v="15895"/>
    <n v="3357.4780000000001"/>
    <n v="3357.4780000000001"/>
    <n v="3357.4780000000001"/>
    <n v="3357.4780000000001"/>
    <n v="0"/>
    <x v="0"/>
    <n v="0"/>
    <n v="32"/>
    <n v="33"/>
    <n v="84"/>
    <n v="12.24"/>
    <n v="109.75"/>
    <n v="256.38"/>
    <n v="16.00053546174815"/>
    <n v="112.98053114414617"/>
    <n v="230.84299908458948"/>
    <n v="194554.80000000002"/>
    <n v="368483.21049999999"/>
    <n v="860790.20964000002"/>
    <n v="254328.51116448684"/>
    <n v="379329.64774478559"/>
    <n v="775050.29088052933"/>
  </r>
  <r>
    <s v="Refaturamento - Regular"/>
    <x v="3"/>
    <x v="0"/>
    <x v="4"/>
    <x v="0"/>
    <x v="0"/>
    <x v="0"/>
    <x v="0"/>
    <x v="6"/>
    <n v="436"/>
    <n v="436"/>
    <n v="142.869"/>
    <n v="142.869"/>
    <n v="142.869"/>
    <n v="142.869"/>
    <n v="0"/>
    <x v="0"/>
    <n v="0"/>
    <n v="32"/>
    <n v="33"/>
    <n v="84"/>
    <n v="12.24"/>
    <n v="109.75"/>
    <n v="256.38"/>
    <n v="16.00053546174815"/>
    <n v="112.98053114414617"/>
    <n v="230.84299908458948"/>
    <n v="5336.64"/>
    <n v="15679.87275"/>
    <n v="36628.754220000003"/>
    <n v="6976.2334613221938"/>
    <n v="16141.415504033019"/>
    <n v="32980.308436216212"/>
  </r>
  <r>
    <s v="Regular"/>
    <x v="3"/>
    <x v="0"/>
    <x v="4"/>
    <x v="0"/>
    <x v="0"/>
    <x v="0"/>
    <x v="0"/>
    <x v="7"/>
    <n v="15502"/>
    <n v="15502"/>
    <n v="2758.002"/>
    <n v="2758.002"/>
    <n v="2758.002"/>
    <n v="2758.002"/>
    <n v="0"/>
    <x v="0"/>
    <n v="0"/>
    <n v="32"/>
    <n v="33"/>
    <n v="84"/>
    <n v="12.24"/>
    <n v="109.75"/>
    <n v="256.38"/>
    <n v="16.00053546174815"/>
    <n v="112.98053114414617"/>
    <n v="230.84299908458948"/>
    <n v="189744.48"/>
    <n v="302690.71950000001"/>
    <n v="707096.55275999999"/>
    <n v="248040.30072801982"/>
    <n v="311600.53085661744"/>
    <n v="636665.45316129597"/>
  </r>
  <r>
    <s v="Refaturamento - Regular"/>
    <x v="3"/>
    <x v="0"/>
    <x v="4"/>
    <x v="0"/>
    <x v="0"/>
    <x v="0"/>
    <x v="0"/>
    <x v="7"/>
    <n v="436"/>
    <n v="436"/>
    <n v="143.10300000000001"/>
    <n v="143.10300000000001"/>
    <n v="143.10300000000001"/>
    <n v="143.10300000000001"/>
    <n v="0"/>
    <x v="0"/>
    <n v="0"/>
    <n v="32"/>
    <n v="33"/>
    <n v="84"/>
    <n v="12.24"/>
    <n v="109.75"/>
    <n v="256.38"/>
    <n v="16.00053546174815"/>
    <n v="112.98053114414617"/>
    <n v="230.84299908458948"/>
    <n v="5336.64"/>
    <n v="15705.554250000001"/>
    <n v="36688.747139999999"/>
    <n v="6976.2334613221938"/>
    <n v="16167.852948320749"/>
    <n v="33034.325698002009"/>
  </r>
  <r>
    <s v="Regular"/>
    <x v="3"/>
    <x v="0"/>
    <x v="4"/>
    <x v="0"/>
    <x v="0"/>
    <x v="0"/>
    <x v="0"/>
    <x v="8"/>
    <n v="13442"/>
    <n v="13442"/>
    <n v="2555.12"/>
    <n v="2555.12"/>
    <n v="2555.12"/>
    <n v="2555.12"/>
    <n v="0"/>
    <x v="0"/>
    <n v="0"/>
    <n v="32"/>
    <n v="33"/>
    <n v="84"/>
    <n v="12.24"/>
    <n v="109.75"/>
    <n v="256.38"/>
    <n v="16.00053546174815"/>
    <n v="112.98053114414617"/>
    <n v="230.84299908458948"/>
    <n v="164530.08000000002"/>
    <n v="280424.42"/>
    <n v="655081.66559999995"/>
    <n v="215079.19767681864"/>
    <n v="288678.81473703077"/>
    <n v="589831.56382101623"/>
  </r>
  <r>
    <s v="Refaturamento - Regular"/>
    <x v="3"/>
    <x v="0"/>
    <x v="4"/>
    <x v="0"/>
    <x v="0"/>
    <x v="0"/>
    <x v="0"/>
    <x v="8"/>
    <n v="1836"/>
    <n v="1836"/>
    <n v="261.637"/>
    <n v="261.637"/>
    <n v="261.637"/>
    <n v="261.637"/>
    <n v="0"/>
    <x v="0"/>
    <n v="0"/>
    <n v="32"/>
    <n v="33"/>
    <n v="84"/>
    <n v="12.24"/>
    <n v="109.75"/>
    <n v="256.38"/>
    <n v="16.00053546174815"/>
    <n v="112.98053114414617"/>
    <n v="230.84299908458948"/>
    <n v="22472.639999999999"/>
    <n v="28714.660749999999"/>
    <n v="67078.494059999997"/>
    <n v="29376.983107769604"/>
    <n v="29559.887226960971"/>
    <n v="60397.069751494739"/>
  </r>
  <r>
    <s v="Regular"/>
    <x v="3"/>
    <x v="0"/>
    <x v="4"/>
    <x v="0"/>
    <x v="0"/>
    <x v="0"/>
    <x v="0"/>
    <x v="9"/>
    <n v="14142"/>
    <n v="14142"/>
    <n v="2355.8420000000001"/>
    <n v="2355.8420000000001"/>
    <n v="2355.8420000000001"/>
    <n v="2355.8420000000001"/>
    <n v="0"/>
    <x v="0"/>
    <n v="0"/>
    <n v="32"/>
    <n v="33"/>
    <n v="84"/>
    <n v="12.24"/>
    <n v="109.75"/>
    <n v="256.38"/>
    <n v="16.00053546174815"/>
    <n v="112.98053114414617"/>
    <n v="230.84299908458948"/>
    <n v="173098.08000000002"/>
    <n v="258553.65950000001"/>
    <n v="603990.77196000004"/>
    <n v="226279.57250004233"/>
    <n v="266164.28045168763"/>
    <n v="543829.63264943752"/>
  </r>
  <r>
    <s v="Refaturamento - Regular"/>
    <x v="3"/>
    <x v="0"/>
    <x v="4"/>
    <x v="0"/>
    <x v="0"/>
    <x v="0"/>
    <x v="0"/>
    <x v="9"/>
    <n v="436"/>
    <n v="436"/>
    <n v="58.287999999999997"/>
    <n v="58.287999999999997"/>
    <n v="58.287999999999997"/>
    <n v="58.287999999999997"/>
    <n v="0"/>
    <x v="0"/>
    <n v="0"/>
    <n v="32"/>
    <n v="33"/>
    <n v="84"/>
    <n v="12.24"/>
    <n v="109.75"/>
    <n v="256.38"/>
    <n v="16.00053546174815"/>
    <n v="112.98053114414617"/>
    <n v="230.84299908458948"/>
    <n v="5336.64"/>
    <n v="6397.1079999999993"/>
    <n v="14943.877439999998"/>
    <n v="6976.2334613221938"/>
    <n v="6585.4091993299917"/>
    <n v="13455.376730642551"/>
  </r>
  <r>
    <s v="Regular"/>
    <x v="3"/>
    <x v="0"/>
    <x v="4"/>
    <x v="0"/>
    <x v="0"/>
    <x v="0"/>
    <x v="0"/>
    <x v="10"/>
    <n v="14142"/>
    <n v="14142"/>
    <n v="2415.0929999999998"/>
    <n v="2415.0929999999998"/>
    <n v="2415.0929999999998"/>
    <n v="2415.0929999999998"/>
    <n v="0"/>
    <x v="0"/>
    <n v="0"/>
    <n v="32"/>
    <n v="33"/>
    <n v="84"/>
    <n v="12.24"/>
    <n v="109.75"/>
    <n v="256.38"/>
    <n v="16.00053546174815"/>
    <n v="112.98053114414617"/>
    <n v="230.84299908458948"/>
    <n v="173098.08000000002"/>
    <n v="265056.45675000001"/>
    <n v="619181.54333999997"/>
    <n v="226279.57250004233"/>
    <n v="272858.48990250938"/>
    <n v="557507.31118819839"/>
  </r>
  <r>
    <s v="Refaturamento - Regular"/>
    <x v="3"/>
    <x v="0"/>
    <x v="4"/>
    <x v="0"/>
    <x v="0"/>
    <x v="0"/>
    <x v="0"/>
    <x v="10"/>
    <n v="436"/>
    <n v="436"/>
    <n v="137.18199999999999"/>
    <n v="137.18199999999999"/>
    <n v="137.18199999999999"/>
    <n v="137.18199999999999"/>
    <n v="0"/>
    <x v="0"/>
    <n v="0"/>
    <n v="32"/>
    <n v="33"/>
    <n v="84"/>
    <n v="12.24"/>
    <n v="109.75"/>
    <n v="256.38"/>
    <n v="16.00053546174815"/>
    <n v="112.98053114414617"/>
    <n v="230.84299908458948"/>
    <n v="5336.64"/>
    <n v="15055.724499999998"/>
    <n v="35170.721159999994"/>
    <n v="6976.2334613221938"/>
    <n v="15498.895223416259"/>
    <n v="31667.504300422152"/>
  </r>
  <r>
    <s v="PROJETADO"/>
    <x v="3"/>
    <x v="0"/>
    <x v="4"/>
    <x v="0"/>
    <x v="0"/>
    <x v="0"/>
    <x v="0"/>
    <x v="11"/>
    <n v="14142"/>
    <n v="14142"/>
    <n v="2415.0929999999998"/>
    <n v="2415.0929999999998"/>
    <n v="2415.0929999999998"/>
    <n v="2415.0929999999998"/>
    <n v="0"/>
    <x v="0"/>
    <n v="0"/>
    <n v="32"/>
    <n v="33"/>
    <n v="84"/>
    <n v="12.24"/>
    <n v="109.75"/>
    <n v="256.38"/>
    <n v="16.00053546174815"/>
    <n v="112.98053114414617"/>
    <n v="230.84299908458948"/>
    <n v="173098.08000000002"/>
    <n v="265056.45675000001"/>
    <n v="619181.54333999997"/>
    <n v="226279.57250004233"/>
    <n v="272858.48990250938"/>
    <n v="557507.31118819839"/>
  </r>
  <r>
    <s v="PROJETADO"/>
    <x v="3"/>
    <x v="0"/>
    <x v="4"/>
    <x v="0"/>
    <x v="0"/>
    <x v="0"/>
    <x v="0"/>
    <x v="11"/>
    <n v="436"/>
    <n v="436"/>
    <n v="137.18199999999999"/>
    <n v="137.18199999999999"/>
    <n v="137.18199999999999"/>
    <n v="137.18199999999999"/>
    <n v="0"/>
    <x v="0"/>
    <n v="0"/>
    <n v="32"/>
    <n v="33"/>
    <n v="84"/>
    <n v="12.24"/>
    <n v="109.75"/>
    <n v="256.38"/>
    <n v="16.00053546174815"/>
    <n v="112.98053114414617"/>
    <n v="230.84299908458948"/>
    <n v="5336.64"/>
    <n v="15055.724499999998"/>
    <n v="35170.721159999994"/>
    <n v="6976.2334613221938"/>
    <n v="15498.895223416259"/>
    <n v="31667.504300422152"/>
  </r>
  <r>
    <s v="Regular"/>
    <x v="3"/>
    <x v="0"/>
    <x v="4"/>
    <x v="0"/>
    <x v="0"/>
    <x v="0"/>
    <x v="1"/>
    <x v="0"/>
    <n v="13210"/>
    <n v="13210"/>
    <n v="460.65800000000002"/>
    <n v="460.65800000000002"/>
    <n v="460.65800000000002"/>
    <n v="460.65800000000002"/>
    <n v="0"/>
    <x v="0"/>
    <n v="0"/>
    <n v="31"/>
    <n v="33"/>
    <n v="83"/>
    <n v="43.76"/>
    <n v="109.75"/>
    <n v="430.87"/>
    <n v="49.088494763430781"/>
    <n v="112.98053114414617"/>
    <n v="375.70671275609089"/>
    <n v="578069.6"/>
    <n v="50557.215499999998"/>
    <n v="198483.71246000001"/>
    <n v="648459.01582492061"/>
    <n v="52045.385515800088"/>
    <n v="173072.30288479532"/>
  </r>
  <r>
    <s v="Refaturamento - Regular"/>
    <x v="3"/>
    <x v="0"/>
    <x v="4"/>
    <x v="0"/>
    <x v="0"/>
    <x v="0"/>
    <x v="1"/>
    <x v="0"/>
    <n v="360"/>
    <n v="360"/>
    <n v="16.213000000000001"/>
    <n v="16.213000000000001"/>
    <n v="16.213000000000001"/>
    <n v="16.213000000000001"/>
    <n v="0"/>
    <x v="0"/>
    <n v="0"/>
    <n v="31"/>
    <n v="33"/>
    <n v="83"/>
    <n v="43.76"/>
    <n v="109.75"/>
    <n v="430.87"/>
    <n v="49.088494763430781"/>
    <n v="112.98053114414617"/>
    <n v="375.70671275609089"/>
    <n v="15753.599999999999"/>
    <n v="1779.3767500000001"/>
    <n v="6985.6953100000001"/>
    <n v="17671.858114835082"/>
    <n v="1831.753351440042"/>
    <n v="6091.3329339145021"/>
  </r>
  <r>
    <s v="Regular"/>
    <x v="3"/>
    <x v="0"/>
    <x v="4"/>
    <x v="0"/>
    <x v="0"/>
    <x v="0"/>
    <x v="1"/>
    <x v="1"/>
    <n v="13646"/>
    <n v="13646"/>
    <n v="462.49200000000002"/>
    <n v="462.49200000000002"/>
    <n v="462.49200000000002"/>
    <n v="462.49200000000002"/>
    <n v="0"/>
    <x v="0"/>
    <n v="0"/>
    <n v="31"/>
    <n v="33"/>
    <n v="83"/>
    <n v="43.76"/>
    <n v="109.75"/>
    <n v="430.87"/>
    <n v="49.088494763430781"/>
    <n v="112.98053114414617"/>
    <n v="375.70671275609089"/>
    <n v="597148.96"/>
    <n v="50758.497000000003"/>
    <n v="199273.92804"/>
    <n v="669861.59954177646"/>
    <n v="52252.591809918449"/>
    <n v="173761.34899599"/>
  </r>
  <r>
    <s v="Refaturamento - Regular"/>
    <x v="3"/>
    <x v="0"/>
    <x v="4"/>
    <x v="0"/>
    <x v="0"/>
    <x v="0"/>
    <x v="1"/>
    <x v="1"/>
    <n v="360"/>
    <n v="360"/>
    <n v="16.501999999999999"/>
    <n v="16.501999999999999"/>
    <n v="16.501999999999999"/>
    <n v="16.501999999999999"/>
    <n v="0"/>
    <x v="0"/>
    <n v="0"/>
    <n v="31"/>
    <n v="33"/>
    <n v="83"/>
    <n v="43.76"/>
    <n v="109.75"/>
    <n v="430.87"/>
    <n v="49.088494763430781"/>
    <n v="112.98053114414617"/>
    <n v="375.70671275609089"/>
    <n v="15753.599999999999"/>
    <n v="1811.0944999999999"/>
    <n v="7110.2167399999998"/>
    <n v="17671.858114835082"/>
    <n v="1864.4047249406999"/>
    <n v="6199.9121739010116"/>
  </r>
  <r>
    <s v="Regular"/>
    <x v="3"/>
    <x v="0"/>
    <x v="4"/>
    <x v="0"/>
    <x v="0"/>
    <x v="0"/>
    <x v="1"/>
    <x v="2"/>
    <n v="13789"/>
    <n v="13789"/>
    <n v="427.404"/>
    <n v="427.404"/>
    <n v="427.404"/>
    <n v="427.404"/>
    <n v="0"/>
    <x v="0"/>
    <n v="0"/>
    <n v="31"/>
    <n v="33"/>
    <n v="83"/>
    <n v="43.76"/>
    <n v="109.75"/>
    <n v="430.87"/>
    <n v="49.088494763430781"/>
    <n v="112.98053114414617"/>
    <n v="375.70671275609089"/>
    <n v="603406.64"/>
    <n v="46907.589"/>
    <n v="184155.56148"/>
    <n v="676881.25429294701"/>
    <n v="48288.330933132653"/>
    <n v="160578.55185880428"/>
  </r>
  <r>
    <s v="Refaturamento - Regular"/>
    <x v="3"/>
    <x v="0"/>
    <x v="4"/>
    <x v="0"/>
    <x v="0"/>
    <x v="0"/>
    <x v="1"/>
    <x v="2"/>
    <n v="360"/>
    <n v="360"/>
    <n v="15.137"/>
    <n v="15.137"/>
    <n v="15.137"/>
    <n v="15.137"/>
    <n v="0"/>
    <x v="0"/>
    <n v="0"/>
    <n v="31"/>
    <n v="33"/>
    <n v="83"/>
    <n v="43.76"/>
    <n v="109.75"/>
    <n v="430.87"/>
    <n v="49.088494763430781"/>
    <n v="112.98053114414617"/>
    <n v="375.70671275609089"/>
    <n v="15753.599999999999"/>
    <n v="1661.28575"/>
    <n v="6522.0791900000004"/>
    <n v="17671.858114835082"/>
    <n v="1710.1862999289406"/>
    <n v="5687.0725109889481"/>
  </r>
  <r>
    <s v="Regular"/>
    <x v="3"/>
    <x v="0"/>
    <x v="4"/>
    <x v="0"/>
    <x v="0"/>
    <x v="0"/>
    <x v="1"/>
    <x v="3"/>
    <n v="13922"/>
    <n v="13922"/>
    <n v="405.09500000000003"/>
    <n v="405.09500000000003"/>
    <n v="405.09500000000003"/>
    <n v="405.09500000000003"/>
    <n v="0"/>
    <x v="0"/>
    <n v="0"/>
    <n v="31"/>
    <n v="33"/>
    <n v="83"/>
    <n v="43.76"/>
    <n v="109.75"/>
    <n v="430.87"/>
    <n v="49.088494763430781"/>
    <n v="112.98053114414617"/>
    <n v="375.70671275609089"/>
    <n v="609226.72"/>
    <n v="44459.176250000004"/>
    <n v="174543.28265000001"/>
    <n v="683410.02409648336"/>
    <n v="45767.848263837899"/>
    <n v="152196.91080392865"/>
  </r>
  <r>
    <s v="Refaturamento - Regular"/>
    <x v="3"/>
    <x v="0"/>
    <x v="4"/>
    <x v="0"/>
    <x v="0"/>
    <x v="0"/>
    <x v="1"/>
    <x v="3"/>
    <n v="360"/>
    <n v="360"/>
    <n v="13.069000000000001"/>
    <n v="13.069000000000001"/>
    <n v="13.069000000000001"/>
    <n v="13.069000000000001"/>
    <n v="0"/>
    <x v="0"/>
    <n v="0"/>
    <n v="31"/>
    <n v="33"/>
    <n v="83"/>
    <n v="43.76"/>
    <n v="109.75"/>
    <n v="430.87"/>
    <n v="49.088494763430781"/>
    <n v="112.98053114414617"/>
    <n v="375.70671275609089"/>
    <n v="15753.599999999999"/>
    <n v="1434.32275"/>
    <n v="5631.0400300000001"/>
    <n v="17671.858114835082"/>
    <n v="1476.5425615228464"/>
    <n v="4910.111029009352"/>
  </r>
  <r>
    <s v="Regular"/>
    <x v="3"/>
    <x v="0"/>
    <x v="4"/>
    <x v="0"/>
    <x v="0"/>
    <x v="0"/>
    <x v="1"/>
    <x v="4"/>
    <n v="13982"/>
    <n v="13982"/>
    <n v="444.89499999999998"/>
    <n v="444.89499999999998"/>
    <n v="444.89499999999998"/>
    <n v="444.89499999999998"/>
    <n v="0"/>
    <x v="0"/>
    <n v="0"/>
    <n v="31"/>
    <n v="33"/>
    <n v="83"/>
    <n v="43.76"/>
    <n v="109.75"/>
    <n v="430.87"/>
    <n v="49.088494763430781"/>
    <n v="112.98053114414617"/>
    <n v="375.70671275609089"/>
    <n v="611852.31999999995"/>
    <n v="48827.22625"/>
    <n v="191691.90865"/>
    <n v="686355.33378228918"/>
    <n v="50264.473403374905"/>
    <n v="167150.03797162106"/>
  </r>
  <r>
    <s v="Refaturamento - Regular"/>
    <x v="3"/>
    <x v="0"/>
    <x v="4"/>
    <x v="0"/>
    <x v="0"/>
    <x v="0"/>
    <x v="1"/>
    <x v="4"/>
    <n v="360"/>
    <n v="360"/>
    <n v="16.881"/>
    <n v="16.881"/>
    <n v="16.881"/>
    <n v="16.881"/>
    <n v="0"/>
    <x v="0"/>
    <n v="0"/>
    <n v="31"/>
    <n v="33"/>
    <n v="83"/>
    <n v="43.76"/>
    <n v="109.75"/>
    <n v="430.87"/>
    <n v="49.088494763430781"/>
    <n v="112.98053114414617"/>
    <n v="375.70671275609089"/>
    <n v="15753.599999999999"/>
    <n v="1852.68975"/>
    <n v="7273.5164700000005"/>
    <n v="17671.858114835082"/>
    <n v="1907.2243462443316"/>
    <n v="6342.3050180355704"/>
  </r>
  <r>
    <s v="Regular"/>
    <x v="3"/>
    <x v="0"/>
    <x v="4"/>
    <x v="0"/>
    <x v="0"/>
    <x v="0"/>
    <x v="1"/>
    <x v="5"/>
    <n v="13922"/>
    <n v="13922"/>
    <n v="397.96300000000002"/>
    <n v="397.96300000000002"/>
    <n v="397.96300000000002"/>
    <n v="397.96300000000002"/>
    <n v="0"/>
    <x v="0"/>
    <n v="0"/>
    <n v="31"/>
    <n v="33"/>
    <n v="83"/>
    <n v="43.76"/>
    <n v="109.75"/>
    <n v="430.87"/>
    <n v="49.088494763430781"/>
    <n v="112.98053114414617"/>
    <n v="375.70671275609089"/>
    <n v="609226.72"/>
    <n v="43676.439250000003"/>
    <n v="171470.31781000001"/>
    <n v="683410.02409648336"/>
    <n v="44962.071115717845"/>
    <n v="149517.37052855222"/>
  </r>
  <r>
    <s v="Refaturamento - Regular"/>
    <x v="3"/>
    <x v="0"/>
    <x v="4"/>
    <x v="0"/>
    <x v="0"/>
    <x v="0"/>
    <x v="1"/>
    <x v="5"/>
    <n v="360"/>
    <n v="360"/>
    <n v="14.324"/>
    <n v="14.324"/>
    <n v="14.324"/>
    <n v="14.324"/>
    <n v="0"/>
    <x v="0"/>
    <n v="0"/>
    <n v="31"/>
    <n v="33"/>
    <n v="83"/>
    <n v="43.76"/>
    <n v="109.75"/>
    <n v="430.87"/>
    <n v="49.088494763430781"/>
    <n v="112.98053114414617"/>
    <n v="375.70671275609089"/>
    <n v="15753.599999999999"/>
    <n v="1572.059"/>
    <n v="6171.7818799999995"/>
    <n v="17671.858114835082"/>
    <n v="1618.3331281087496"/>
    <n v="5381.6229535182456"/>
  </r>
  <r>
    <s v="Regular"/>
    <x v="3"/>
    <x v="0"/>
    <x v="4"/>
    <x v="0"/>
    <x v="0"/>
    <x v="0"/>
    <x v="1"/>
    <x v="6"/>
    <n v="13910"/>
    <n v="13910"/>
    <n v="379.94099999999997"/>
    <n v="379.94099999999997"/>
    <n v="379.94099999999997"/>
    <n v="379.94099999999997"/>
    <n v="0"/>
    <x v="0"/>
    <n v="0"/>
    <n v="31"/>
    <n v="33"/>
    <n v="83"/>
    <n v="43.76"/>
    <n v="109.75"/>
    <n v="430.87"/>
    <n v="49.088494763430781"/>
    <n v="112.98053114414617"/>
    <n v="375.70671275609089"/>
    <n v="608701.6"/>
    <n v="41698.524749999997"/>
    <n v="163705.17866999999"/>
    <n v="682820.96215932211"/>
    <n v="42925.935983438038"/>
    <n v="142746.38415126191"/>
  </r>
  <r>
    <s v="Refaturamento - Regular"/>
    <x v="3"/>
    <x v="0"/>
    <x v="4"/>
    <x v="0"/>
    <x v="0"/>
    <x v="0"/>
    <x v="1"/>
    <x v="6"/>
    <n v="360"/>
    <n v="360"/>
    <n v="13.842000000000001"/>
    <n v="13.842000000000001"/>
    <n v="13.842000000000001"/>
    <n v="13.842000000000001"/>
    <n v="0"/>
    <x v="0"/>
    <n v="0"/>
    <n v="31"/>
    <n v="33"/>
    <n v="83"/>
    <n v="43.76"/>
    <n v="109.75"/>
    <n v="430.87"/>
    <n v="49.088494763430781"/>
    <n v="112.98053114414617"/>
    <n v="375.70671275609089"/>
    <n v="15753.599999999999"/>
    <n v="1519.1595"/>
    <n v="5964.1025399999999"/>
    <n v="17671.858114835082"/>
    <n v="1563.8765120972714"/>
    <n v="5200.5323179698107"/>
  </r>
  <r>
    <s v="Regular"/>
    <x v="3"/>
    <x v="0"/>
    <x v="4"/>
    <x v="0"/>
    <x v="0"/>
    <x v="0"/>
    <x v="1"/>
    <x v="7"/>
    <n v="13620"/>
    <n v="13620"/>
    <n v="279.69900000000001"/>
    <n v="279.69900000000001"/>
    <n v="279.69900000000001"/>
    <n v="279.69900000000001"/>
    <n v="0"/>
    <x v="0"/>
    <n v="0"/>
    <n v="31"/>
    <n v="33"/>
    <n v="83"/>
    <n v="43.76"/>
    <n v="109.75"/>
    <n v="430.87"/>
    <n v="49.088494763430781"/>
    <n v="112.98053114414617"/>
    <n v="375.70671275609089"/>
    <n v="596011.19999999995"/>
    <n v="30696.965250000001"/>
    <n v="120513.90813000001"/>
    <n v="668585.29867792723"/>
    <n v="31600.541580486541"/>
    <n v="105084.79185116586"/>
  </r>
  <r>
    <s v="Refaturamento - Regular"/>
    <x v="3"/>
    <x v="0"/>
    <x v="4"/>
    <x v="0"/>
    <x v="0"/>
    <x v="0"/>
    <x v="1"/>
    <x v="7"/>
    <n v="360"/>
    <n v="360"/>
    <n v="13.564"/>
    <n v="13.564"/>
    <n v="13.564"/>
    <n v="13.564"/>
    <n v="0"/>
    <x v="0"/>
    <n v="0"/>
    <n v="31"/>
    <n v="33"/>
    <n v="83"/>
    <n v="43.76"/>
    <n v="109.75"/>
    <n v="430.87"/>
    <n v="49.088494763430781"/>
    <n v="112.98053114414617"/>
    <n v="375.70671275609089"/>
    <n v="15753.599999999999"/>
    <n v="1488.6490000000001"/>
    <n v="5844.3206799999998"/>
    <n v="17671.858114835082"/>
    <n v="1532.4679244391987"/>
    <n v="5096.0858518236173"/>
  </r>
  <r>
    <s v="Regular"/>
    <x v="3"/>
    <x v="0"/>
    <x v="4"/>
    <x v="0"/>
    <x v="0"/>
    <x v="0"/>
    <x v="1"/>
    <x v="8"/>
    <n v="11840"/>
    <n v="11840"/>
    <n v="280.43900000000002"/>
    <n v="280.43900000000002"/>
    <n v="280.43900000000002"/>
    <n v="280.43900000000002"/>
    <n v="0"/>
    <x v="0"/>
    <n v="0"/>
    <n v="31"/>
    <n v="33"/>
    <n v="83"/>
    <n v="43.76"/>
    <n v="109.75"/>
    <n v="430.87"/>
    <n v="49.088494763430781"/>
    <n v="112.98053114414617"/>
    <n v="375.70671275609089"/>
    <n v="518118.39999999997"/>
    <n v="30778.180250000001"/>
    <n v="120832.75193000001"/>
    <n v="581207.77799902041"/>
    <n v="31684.147173533209"/>
    <n v="105362.81481860539"/>
  </r>
  <r>
    <s v="Refaturamento - Regular"/>
    <x v="3"/>
    <x v="0"/>
    <x v="4"/>
    <x v="0"/>
    <x v="0"/>
    <x v="0"/>
    <x v="1"/>
    <x v="8"/>
    <n v="1610"/>
    <n v="1610"/>
    <n v="30.332999999999998"/>
    <n v="30.332999999999998"/>
    <n v="30.332999999999998"/>
    <n v="30.332999999999998"/>
    <n v="0"/>
    <x v="0"/>
    <n v="0"/>
    <n v="31"/>
    <n v="33"/>
    <n v="83"/>
    <n v="43.76"/>
    <n v="109.75"/>
    <n v="430.87"/>
    <n v="49.088494763430781"/>
    <n v="112.98053114414617"/>
    <n v="375.70671275609089"/>
    <n v="70453.599999999991"/>
    <n v="3329.04675"/>
    <n v="13069.57971"/>
    <n v="79032.476569123552"/>
    <n v="3427.0384511953857"/>
    <n v="11396.311718030505"/>
  </r>
  <r>
    <s v="Regular"/>
    <x v="3"/>
    <x v="0"/>
    <x v="4"/>
    <x v="0"/>
    <x v="0"/>
    <x v="0"/>
    <x v="1"/>
    <x v="9"/>
    <n v="12420"/>
    <n v="12420"/>
    <n v="261.53100000000001"/>
    <n v="261.53100000000001"/>
    <n v="261.53100000000001"/>
    <n v="261.53100000000001"/>
    <n v="0"/>
    <x v="0"/>
    <n v="0"/>
    <n v="31"/>
    <n v="33"/>
    <n v="83"/>
    <n v="43.76"/>
    <n v="109.75"/>
    <n v="430.87"/>
    <n v="49.088494763430781"/>
    <n v="112.98053114414617"/>
    <n v="375.70671275609089"/>
    <n v="543499.19999999995"/>
    <n v="28703.027249999999"/>
    <n v="112685.86197"/>
    <n v="609679.10496181028"/>
    <n v="29547.911290659693"/>
    <n v="98258.952293813214"/>
  </r>
  <r>
    <s v="Refaturamento - Regular"/>
    <x v="3"/>
    <x v="0"/>
    <x v="4"/>
    <x v="0"/>
    <x v="0"/>
    <x v="0"/>
    <x v="1"/>
    <x v="9"/>
    <n v="360"/>
    <n v="360"/>
    <n v="5.2149999999999999"/>
    <n v="5.2149999999999999"/>
    <n v="5.2149999999999999"/>
    <n v="5.2149999999999999"/>
    <n v="0"/>
    <x v="0"/>
    <n v="0"/>
    <n v="31"/>
    <n v="33"/>
    <n v="83"/>
    <n v="43.76"/>
    <n v="109.75"/>
    <n v="430.87"/>
    <n v="49.088494763430781"/>
    <n v="112.98053114414617"/>
    <n v="375.70671275609089"/>
    <n v="15753.599999999999"/>
    <n v="572.34624999999994"/>
    <n v="2246.9870500000002"/>
    <n v="17671.858114835082"/>
    <n v="589.19346991672228"/>
    <n v="1959.310507023014"/>
  </r>
  <r>
    <s v="Regular"/>
    <x v="3"/>
    <x v="0"/>
    <x v="4"/>
    <x v="0"/>
    <x v="0"/>
    <x v="0"/>
    <x v="1"/>
    <x v="10"/>
    <n v="12420"/>
    <n v="12420"/>
    <n v="271.39800000000002"/>
    <n v="271.39800000000002"/>
    <n v="271.39800000000002"/>
    <n v="271.39800000000002"/>
    <n v="0"/>
    <x v="0"/>
    <n v="0"/>
    <n v="31"/>
    <n v="33"/>
    <n v="83"/>
    <n v="43.76"/>
    <n v="109.75"/>
    <n v="430.87"/>
    <n v="49.088494763430781"/>
    <n v="112.98053114414617"/>
    <n v="375.70671275609089"/>
    <n v="543499.19999999995"/>
    <n v="29785.930500000002"/>
    <n v="116937.25626000001"/>
    <n v="609679.10496181028"/>
    <n v="30662.690191458983"/>
    <n v="101966.05042857757"/>
  </r>
  <r>
    <s v="Refaturamento - Regular"/>
    <x v="3"/>
    <x v="0"/>
    <x v="4"/>
    <x v="0"/>
    <x v="0"/>
    <x v="0"/>
    <x v="1"/>
    <x v="10"/>
    <n v="360"/>
    <n v="360"/>
    <n v="14.36"/>
    <n v="14.36"/>
    <n v="14.36"/>
    <n v="14.36"/>
    <n v="0"/>
    <x v="0"/>
    <n v="0"/>
    <n v="31"/>
    <n v="33"/>
    <n v="83"/>
    <n v="43.76"/>
    <n v="109.75"/>
    <n v="430.87"/>
    <n v="49.088494763430781"/>
    <n v="112.98053114414617"/>
    <n v="375.70671275609089"/>
    <n v="15753.599999999999"/>
    <n v="1576.01"/>
    <n v="6187.2932000000001"/>
    <n v="17671.858114835082"/>
    <n v="1622.4004272299389"/>
    <n v="5395.1483951774653"/>
  </r>
  <r>
    <s v="PROJETADO"/>
    <x v="3"/>
    <x v="0"/>
    <x v="4"/>
    <x v="0"/>
    <x v="0"/>
    <x v="0"/>
    <x v="1"/>
    <x v="11"/>
    <n v="12420"/>
    <n v="12420"/>
    <n v="271.39800000000002"/>
    <n v="271.39800000000002"/>
    <n v="271.39800000000002"/>
    <n v="271.39800000000002"/>
    <n v="0"/>
    <x v="0"/>
    <n v="0"/>
    <n v="31"/>
    <n v="33"/>
    <n v="83"/>
    <n v="43.76"/>
    <n v="109.75"/>
    <n v="430.87"/>
    <n v="49.088494763430781"/>
    <n v="112.98053114414617"/>
    <n v="375.70671275609089"/>
    <n v="543499.19999999995"/>
    <n v="29785.930500000002"/>
    <n v="116937.25626000001"/>
    <n v="609679.10496181028"/>
    <n v="30662.690191458983"/>
    <n v="101966.05042857757"/>
  </r>
  <r>
    <s v="PROJETADO"/>
    <x v="3"/>
    <x v="0"/>
    <x v="4"/>
    <x v="0"/>
    <x v="0"/>
    <x v="0"/>
    <x v="1"/>
    <x v="11"/>
    <n v="360"/>
    <n v="360"/>
    <n v="14.36"/>
    <n v="14.36"/>
    <n v="14.36"/>
    <n v="14.36"/>
    <n v="0"/>
    <x v="0"/>
    <n v="0"/>
    <n v="31"/>
    <n v="33"/>
    <n v="83"/>
    <n v="43.76"/>
    <n v="109.75"/>
    <n v="430.87"/>
    <n v="49.088494763430781"/>
    <n v="112.98053114414617"/>
    <n v="375.70671275609089"/>
    <n v="15753.599999999999"/>
    <n v="1576.01"/>
    <n v="6187.2932000000001"/>
    <n v="17671.858114835082"/>
    <n v="1622.4004272299389"/>
    <n v="5395.1483951774653"/>
  </r>
  <r>
    <s v="Regular"/>
    <x v="3"/>
    <x v="3"/>
    <x v="0"/>
    <x v="0"/>
    <x v="0"/>
    <x v="0"/>
    <x v="0"/>
    <x v="0"/>
    <n v="0"/>
    <n v="0"/>
    <n v="6523.6260000000002"/>
    <n v="6523.6260000000002"/>
    <n v="6523.6260000000002"/>
    <n v="6523.6260000000002"/>
    <n v="0"/>
    <x v="0"/>
    <n v="0"/>
    <n v="0"/>
    <n v="37"/>
    <n v="84"/>
    <n v="0"/>
    <n v="109.75"/>
    <n v="256.38"/>
    <m/>
    <n v="112.98053114414617"/>
    <n v="230.84299908458948"/>
    <n v="0"/>
    <n v="715967.95350000006"/>
    <n v="1672527.23388"/>
    <n v="0"/>
    <n v="737042.73046576174"/>
    <n v="1505933.3907462042"/>
  </r>
  <r>
    <s v="Sistema de Compensação"/>
    <x v="3"/>
    <x v="3"/>
    <x v="0"/>
    <x v="0"/>
    <x v="0"/>
    <x v="0"/>
    <x v="0"/>
    <x v="0"/>
    <n v="0"/>
    <n v="0"/>
    <n v="383.14299999999997"/>
    <n v="383.14299999999997"/>
    <n v="383.14299999999997"/>
    <n v="383.14299999999997"/>
    <n v="0"/>
    <x v="0"/>
    <n v="0"/>
    <n v="0"/>
    <n v="37"/>
    <n v="84"/>
    <n v="0"/>
    <n v="109.75"/>
    <n v="256.38"/>
    <m/>
    <n v="112.98053114414617"/>
    <n v="230.84299908458948"/>
    <n v="0"/>
    <n v="42049.94425"/>
    <n v="98230.202339999989"/>
    <n v="0"/>
    <n v="43287.699644161592"/>
    <n v="88445.879198266863"/>
  </r>
  <r>
    <s v="Regular"/>
    <x v="3"/>
    <x v="3"/>
    <x v="0"/>
    <x v="0"/>
    <x v="0"/>
    <x v="0"/>
    <x v="0"/>
    <x v="1"/>
    <n v="0"/>
    <n v="0"/>
    <n v="6340.2920000000004"/>
    <n v="6340.2920000000004"/>
    <n v="6340.2920000000004"/>
    <n v="6340.2920000000004"/>
    <n v="0"/>
    <x v="0"/>
    <n v="0"/>
    <n v="0"/>
    <n v="37"/>
    <n v="84"/>
    <n v="0"/>
    <n v="109.75"/>
    <n v="256.38"/>
    <m/>
    <n v="112.98053114414617"/>
    <n v="230.84299908458948"/>
    <n v="0"/>
    <n v="695847.04700000002"/>
    <n v="1625524.06296"/>
    <n v="0"/>
    <n v="716329.55776898086"/>
    <n v="1463612.0203520302"/>
  </r>
  <r>
    <s v="Refaturamento - Regular"/>
    <x v="3"/>
    <x v="3"/>
    <x v="0"/>
    <x v="0"/>
    <x v="0"/>
    <x v="0"/>
    <x v="0"/>
    <x v="1"/>
    <n v="0"/>
    <n v="0"/>
    <n v="267.86200000000002"/>
    <n v="267.86200000000002"/>
    <n v="267.86200000000002"/>
    <n v="267.86200000000002"/>
    <n v="0"/>
    <x v="0"/>
    <n v="0"/>
    <n v="0"/>
    <n v="37"/>
    <n v="84"/>
    <n v="0"/>
    <n v="109.75"/>
    <n v="256.38"/>
    <m/>
    <n v="112.98053114414617"/>
    <n v="230.84299908458948"/>
    <n v="0"/>
    <n v="29397.854500000001"/>
    <n v="68674.459560000003"/>
    <n v="0"/>
    <n v="30263.191033333285"/>
    <n v="61834.067420796309"/>
  </r>
  <r>
    <s v="Sistema de Compensação"/>
    <x v="3"/>
    <x v="3"/>
    <x v="0"/>
    <x v="0"/>
    <x v="0"/>
    <x v="0"/>
    <x v="0"/>
    <x v="1"/>
    <n v="0"/>
    <n v="0"/>
    <n v="386.67"/>
    <n v="386.67"/>
    <n v="386.67"/>
    <n v="386.67"/>
    <n v="0"/>
    <x v="0"/>
    <n v="0"/>
    <n v="0"/>
    <n v="37"/>
    <n v="84"/>
    <n v="0"/>
    <n v="109.75"/>
    <n v="256.38"/>
    <m/>
    <n v="112.98053114414617"/>
    <n v="230.84299908458948"/>
    <n v="0"/>
    <n v="42437.032500000001"/>
    <n v="99134.454599999997"/>
    <n v="0"/>
    <n v="43686.181977507003"/>
    <n v="89260.062456038213"/>
  </r>
  <r>
    <s v="Regular"/>
    <x v="3"/>
    <x v="3"/>
    <x v="0"/>
    <x v="0"/>
    <x v="0"/>
    <x v="0"/>
    <x v="0"/>
    <x v="2"/>
    <n v="0"/>
    <n v="0"/>
    <n v="6326.99"/>
    <n v="6326.99"/>
    <n v="6326.99"/>
    <n v="6326.99"/>
    <n v="0"/>
    <x v="0"/>
    <n v="0"/>
    <n v="0"/>
    <n v="37"/>
    <n v="84"/>
    <n v="0"/>
    <n v="109.75"/>
    <n v="256.38"/>
    <m/>
    <n v="112.98053114414617"/>
    <n v="230.84299908458948"/>
    <n v="0"/>
    <n v="694387.15249999997"/>
    <n v="1622113.6961999999"/>
    <n v="0"/>
    <n v="714826.6907437013"/>
    <n v="1460541.3467782068"/>
  </r>
  <r>
    <s v="Sistema de Compensação"/>
    <x v="3"/>
    <x v="3"/>
    <x v="0"/>
    <x v="0"/>
    <x v="0"/>
    <x v="0"/>
    <x v="0"/>
    <x v="2"/>
    <n v="0"/>
    <n v="0"/>
    <n v="828.84400000000005"/>
    <n v="828.84400000000005"/>
    <n v="828.84400000000005"/>
    <n v="828.84400000000005"/>
    <n v="0"/>
    <x v="0"/>
    <n v="0"/>
    <n v="0"/>
    <n v="37"/>
    <n v="84"/>
    <n v="0"/>
    <n v="109.75"/>
    <n v="256.38"/>
    <m/>
    <n v="112.98053114414617"/>
    <n v="230.84299908458948"/>
    <n v="0"/>
    <n v="90965.629000000001"/>
    <n v="212499.02472000002"/>
    <n v="0"/>
    <n v="93643.235355638695"/>
    <n v="191332.83473326749"/>
  </r>
  <r>
    <s v="Regular"/>
    <x v="3"/>
    <x v="3"/>
    <x v="0"/>
    <x v="0"/>
    <x v="0"/>
    <x v="0"/>
    <x v="0"/>
    <x v="3"/>
    <n v="0"/>
    <n v="0"/>
    <n v="5878.5460000000003"/>
    <n v="5878.5460000000003"/>
    <n v="5878.5460000000003"/>
    <n v="5878.5460000000003"/>
    <n v="0"/>
    <x v="0"/>
    <n v="0"/>
    <n v="0"/>
    <n v="37"/>
    <n v="84"/>
    <n v="0"/>
    <n v="109.75"/>
    <n v="256.38"/>
    <m/>
    <n v="112.98053114414617"/>
    <n v="230.84299908458948"/>
    <n v="0"/>
    <n v="645170.42350000003"/>
    <n v="1507141.6234800001"/>
    <n v="0"/>
    <n v="664161.24943529593"/>
    <n v="1357021.1888967173"/>
  </r>
  <r>
    <s v="Refaturamento - Regular"/>
    <x v="3"/>
    <x v="3"/>
    <x v="0"/>
    <x v="0"/>
    <x v="0"/>
    <x v="0"/>
    <x v="0"/>
    <x v="3"/>
    <n v="0"/>
    <n v="0"/>
    <n v="18.882999999999999"/>
    <n v="18.882999999999999"/>
    <n v="18.882999999999999"/>
    <n v="18.882999999999999"/>
    <n v="0"/>
    <x v="0"/>
    <n v="0"/>
    <n v="0"/>
    <n v="37"/>
    <n v="84"/>
    <n v="0"/>
    <n v="109.75"/>
    <n v="256.38"/>
    <m/>
    <n v="112.98053114414617"/>
    <n v="230.84299908458948"/>
    <n v="0"/>
    <n v="2072.4092499999997"/>
    <n v="4841.22354"/>
    <n v="0"/>
    <n v="2133.4113695949122"/>
    <n v="4359.008351714303"/>
  </r>
  <r>
    <s v="Sistema de Compensação"/>
    <x v="3"/>
    <x v="3"/>
    <x v="0"/>
    <x v="0"/>
    <x v="0"/>
    <x v="0"/>
    <x v="0"/>
    <x v="3"/>
    <n v="0"/>
    <n v="0"/>
    <n v="612.27499999999998"/>
    <n v="612.27499999999998"/>
    <n v="612.27499999999998"/>
    <n v="612.27499999999998"/>
    <n v="0"/>
    <x v="0"/>
    <n v="0"/>
    <n v="0"/>
    <n v="37"/>
    <n v="84"/>
    <n v="0"/>
    <n v="109.75"/>
    <n v="256.38"/>
    <m/>
    <n v="112.98053114414617"/>
    <n v="230.84299908458948"/>
    <n v="0"/>
    <n v="67197.181249999994"/>
    <n v="156975.06449999998"/>
    <n v="0"/>
    <n v="69175.15470628209"/>
    <n v="141339.39726451703"/>
  </r>
  <r>
    <s v="Regular"/>
    <x v="3"/>
    <x v="3"/>
    <x v="0"/>
    <x v="0"/>
    <x v="0"/>
    <x v="0"/>
    <x v="0"/>
    <x v="4"/>
    <n v="0"/>
    <n v="0"/>
    <n v="6338.9570000000003"/>
    <n v="6338.9570000000003"/>
    <n v="6338.9570000000003"/>
    <n v="6338.9570000000003"/>
    <n v="0"/>
    <x v="0"/>
    <n v="0"/>
    <n v="0"/>
    <n v="37"/>
    <n v="84"/>
    <n v="0"/>
    <n v="109.75"/>
    <n v="256.38"/>
    <m/>
    <n v="112.98053114414617"/>
    <n v="230.84299908458948"/>
    <n v="0"/>
    <n v="695700.53075000003"/>
    <n v="1625181.7956600001"/>
    <n v="0"/>
    <n v="716178.72875990346"/>
    <n v="1463303.8449482522"/>
  </r>
  <r>
    <s v="Sistema de Compensação"/>
    <x v="3"/>
    <x v="3"/>
    <x v="0"/>
    <x v="0"/>
    <x v="0"/>
    <x v="0"/>
    <x v="0"/>
    <x v="4"/>
    <n v="0"/>
    <n v="0"/>
    <n v="698.73199999999997"/>
    <n v="698.73199999999997"/>
    <n v="698.73199999999997"/>
    <n v="698.73199999999997"/>
    <n v="0"/>
    <x v="0"/>
    <n v="0"/>
    <n v="0"/>
    <n v="37"/>
    <n v="84"/>
    <n v="0"/>
    <n v="109.75"/>
    <n v="256.38"/>
    <m/>
    <n v="112.98053114414617"/>
    <n v="230.84299908458948"/>
    <n v="0"/>
    <n v="76685.837"/>
    <n v="179140.91016"/>
    <n v="0"/>
    <n v="78943.112487411534"/>
    <n v="161297.39043637336"/>
  </r>
  <r>
    <s v="Regular"/>
    <x v="3"/>
    <x v="3"/>
    <x v="0"/>
    <x v="0"/>
    <x v="0"/>
    <x v="0"/>
    <x v="0"/>
    <x v="5"/>
    <n v="0"/>
    <n v="0"/>
    <n v="5727.89"/>
    <n v="5727.89"/>
    <n v="5727.89"/>
    <n v="5727.89"/>
    <n v="0"/>
    <x v="0"/>
    <n v="0"/>
    <n v="0"/>
    <n v="37"/>
    <n v="84"/>
    <n v="0"/>
    <n v="109.75"/>
    <n v="256.38"/>
    <m/>
    <n v="112.98053114414617"/>
    <n v="230.84299908458948"/>
    <n v="0"/>
    <n v="628635.92749999999"/>
    <n v="1468516.4382"/>
    <n v="0"/>
    <n v="647140.05453524343"/>
    <n v="1322243.3060266294"/>
  </r>
  <r>
    <s v="Sistema de Compensação"/>
    <x v="3"/>
    <x v="3"/>
    <x v="0"/>
    <x v="0"/>
    <x v="0"/>
    <x v="0"/>
    <x v="0"/>
    <x v="5"/>
    <n v="0"/>
    <n v="0"/>
    <n v="576.62099999999998"/>
    <n v="576.62099999999998"/>
    <n v="576.62099999999998"/>
    <n v="576.62099999999998"/>
    <n v="0"/>
    <x v="0"/>
    <n v="0"/>
    <n v="0"/>
    <n v="37"/>
    <n v="84"/>
    <n v="0"/>
    <n v="109.75"/>
    <n v="256.38"/>
    <m/>
    <n v="112.98053114414617"/>
    <n v="230.84299908458948"/>
    <n v="0"/>
    <n v="63284.154750000002"/>
    <n v="147834.09198"/>
    <n v="0"/>
    <n v="65146.946848868705"/>
    <n v="133108.92097515505"/>
  </r>
  <r>
    <s v="Regular"/>
    <x v="3"/>
    <x v="3"/>
    <x v="0"/>
    <x v="0"/>
    <x v="0"/>
    <x v="0"/>
    <x v="0"/>
    <x v="6"/>
    <n v="0"/>
    <n v="0"/>
    <n v="5294.9269999999997"/>
    <n v="5294.9269999999997"/>
    <n v="5294.9269999999997"/>
    <n v="5294.9269999999997"/>
    <n v="0"/>
    <x v="0"/>
    <n v="0"/>
    <n v="0"/>
    <n v="37"/>
    <n v="84"/>
    <n v="0"/>
    <n v="109.75"/>
    <n v="256.38"/>
    <m/>
    <n v="112.98053114414617"/>
    <n v="230.84299908458948"/>
    <n v="0"/>
    <n v="581118.23824999994"/>
    <n v="1357513.38426"/>
    <n v="0"/>
    <n v="598223.66482948046"/>
    <n v="1222296.8286139681"/>
  </r>
  <r>
    <s v="Refaturamento - Regular"/>
    <x v="3"/>
    <x v="3"/>
    <x v="0"/>
    <x v="0"/>
    <x v="0"/>
    <x v="0"/>
    <x v="0"/>
    <x v="6"/>
    <n v="0"/>
    <n v="0"/>
    <n v="209.76400000000001"/>
    <n v="209.76400000000001"/>
    <n v="209.76400000000001"/>
    <n v="209.76400000000001"/>
    <n v="0"/>
    <x v="0"/>
    <n v="0"/>
    <n v="0"/>
    <n v="37"/>
    <n v="84"/>
    <n v="0"/>
    <n v="109.75"/>
    <n v="256.38"/>
    <m/>
    <n v="112.98053114414617"/>
    <n v="230.84299908458948"/>
    <n v="0"/>
    <n v="23021.599000000002"/>
    <n v="53779.294320000001"/>
    <n v="0"/>
    <n v="23699.248134920679"/>
    <n v="48422.550859979827"/>
  </r>
  <r>
    <s v="Sistema de Compensação"/>
    <x v="3"/>
    <x v="3"/>
    <x v="0"/>
    <x v="0"/>
    <x v="0"/>
    <x v="0"/>
    <x v="0"/>
    <x v="6"/>
    <n v="0"/>
    <n v="0"/>
    <n v="493.21800000000002"/>
    <n v="493.21800000000002"/>
    <n v="493.21800000000002"/>
    <n v="493.21800000000002"/>
    <n v="0"/>
    <x v="0"/>
    <n v="0"/>
    <n v="0"/>
    <n v="37"/>
    <n v="84"/>
    <n v="0"/>
    <n v="109.75"/>
    <n v="256.38"/>
    <m/>
    <n v="112.98053114414617"/>
    <n v="230.84299908458948"/>
    <n v="0"/>
    <n v="54130.675500000005"/>
    <n v="126451.23084"/>
    <n v="0"/>
    <n v="55724.031609853489"/>
    <n v="113855.92232250306"/>
  </r>
  <r>
    <s v="Regular"/>
    <x v="3"/>
    <x v="3"/>
    <x v="0"/>
    <x v="0"/>
    <x v="0"/>
    <x v="0"/>
    <x v="0"/>
    <x v="7"/>
    <n v="0"/>
    <n v="0"/>
    <n v="4223.8209999999999"/>
    <n v="4223.8209999999999"/>
    <n v="4223.8209999999999"/>
    <n v="4223.8209999999999"/>
    <n v="0"/>
    <x v="0"/>
    <n v="0"/>
    <n v="0"/>
    <n v="37"/>
    <n v="84"/>
    <n v="0"/>
    <n v="109.75"/>
    <n v="256.38"/>
    <m/>
    <n v="112.98053114414617"/>
    <n v="230.84299908458948"/>
    <n v="0"/>
    <n v="463564.35475"/>
    <n v="1082903.22798"/>
    <n v="0"/>
    <n v="477209.54003779864"/>
    <n v="975039.50723646977"/>
  </r>
  <r>
    <s v="Sistema de Compensação"/>
    <x v="3"/>
    <x v="3"/>
    <x v="0"/>
    <x v="0"/>
    <x v="0"/>
    <x v="0"/>
    <x v="0"/>
    <x v="7"/>
    <n v="0"/>
    <n v="0"/>
    <n v="337.584"/>
    <n v="337.584"/>
    <n v="337.584"/>
    <n v="337.584"/>
    <n v="0"/>
    <x v="0"/>
    <n v="0"/>
    <n v="0"/>
    <n v="37"/>
    <n v="84"/>
    <n v="0"/>
    <n v="109.75"/>
    <n v="256.38"/>
    <m/>
    <n v="112.98053114414617"/>
    <n v="230.84299908458948"/>
    <n v="0"/>
    <n v="37049.843999999997"/>
    <n v="86549.785919999995"/>
    <n v="0"/>
    <n v="38140.41962576544"/>
    <n v="77928.90300297206"/>
  </r>
  <r>
    <s v="Regular"/>
    <x v="3"/>
    <x v="3"/>
    <x v="0"/>
    <x v="0"/>
    <x v="0"/>
    <x v="0"/>
    <x v="0"/>
    <x v="8"/>
    <n v="0"/>
    <n v="0"/>
    <n v="4150.2550000000001"/>
    <n v="4150.2550000000001"/>
    <n v="4150.2550000000001"/>
    <n v="4150.2550000000001"/>
    <n v="0"/>
    <x v="0"/>
    <n v="0"/>
    <n v="0"/>
    <n v="37"/>
    <n v="84"/>
    <n v="0"/>
    <n v="109.75"/>
    <n v="256.38"/>
    <m/>
    <n v="112.98053114414617"/>
    <n v="230.84299908458948"/>
    <n v="0"/>
    <n v="455490.48625000002"/>
    <n v="1064042.3769"/>
    <n v="0"/>
    <n v="468898.0142836484"/>
    <n v="958057.31116581289"/>
  </r>
  <r>
    <s v="Refaturamento - Regular"/>
    <x v="3"/>
    <x v="3"/>
    <x v="0"/>
    <x v="0"/>
    <x v="0"/>
    <x v="0"/>
    <x v="0"/>
    <x v="8"/>
    <n v="0"/>
    <n v="0"/>
    <n v="25.931999999999999"/>
    <n v="25.931999999999999"/>
    <n v="25.931999999999999"/>
    <n v="25.931999999999999"/>
    <n v="0"/>
    <x v="0"/>
    <n v="0"/>
    <n v="0"/>
    <n v="37"/>
    <n v="84"/>
    <n v="0"/>
    <n v="109.75"/>
    <n v="256.38"/>
    <m/>
    <n v="112.98053114414617"/>
    <n v="230.84299908458948"/>
    <n v="0"/>
    <n v="2846.0369999999998"/>
    <n v="6648.4461599999995"/>
    <n v="0"/>
    <n v="2929.8111336299985"/>
    <n v="5986.2206522615743"/>
  </r>
  <r>
    <s v="Sistema de Compensação"/>
    <x v="3"/>
    <x v="3"/>
    <x v="0"/>
    <x v="0"/>
    <x v="0"/>
    <x v="0"/>
    <x v="0"/>
    <x v="8"/>
    <n v="0"/>
    <n v="0"/>
    <n v="339.17399999999998"/>
    <n v="339.17399999999998"/>
    <n v="339.17399999999998"/>
    <n v="339.17399999999998"/>
    <n v="0"/>
    <x v="0"/>
    <n v="0"/>
    <n v="0"/>
    <n v="37"/>
    <n v="84"/>
    <n v="0"/>
    <n v="109.75"/>
    <n v="256.38"/>
    <m/>
    <n v="112.98053114414617"/>
    <n v="230.84299908458948"/>
    <n v="0"/>
    <n v="37224.3465"/>
    <n v="86957.43011999999"/>
    <n v="0"/>
    <n v="38320.058670284634"/>
    <n v="78295.943371516551"/>
  </r>
  <r>
    <s v="Regular"/>
    <x v="3"/>
    <x v="3"/>
    <x v="0"/>
    <x v="0"/>
    <x v="0"/>
    <x v="0"/>
    <x v="0"/>
    <x v="9"/>
    <n v="0"/>
    <n v="0"/>
    <n v="3689.8530000000001"/>
    <n v="3689.8530000000001"/>
    <n v="3689.8530000000001"/>
    <n v="3689.8530000000001"/>
    <n v="0"/>
    <x v="0"/>
    <n v="0"/>
    <n v="0"/>
    <n v="37"/>
    <n v="84"/>
    <n v="0"/>
    <n v="109.75"/>
    <n v="256.38"/>
    <m/>
    <n v="112.98053114414617"/>
    <n v="230.84299908458948"/>
    <n v="0"/>
    <n v="404961.36674999999"/>
    <n v="946004.51214000001"/>
    <n v="0"/>
    <n v="416881.5517838212"/>
    <n v="851776.73270126979"/>
  </r>
  <r>
    <s v="Refaturamento - Regular"/>
    <x v="3"/>
    <x v="3"/>
    <x v="0"/>
    <x v="0"/>
    <x v="0"/>
    <x v="0"/>
    <x v="0"/>
    <x v="9"/>
    <n v="0"/>
    <n v="0"/>
    <n v="2.1339999999999999"/>
    <n v="2.1339999999999999"/>
    <n v="2.1339999999999999"/>
    <n v="2.1339999999999999"/>
    <n v="0"/>
    <x v="0"/>
    <n v="0"/>
    <n v="0"/>
    <n v="37"/>
    <n v="84"/>
    <n v="0"/>
    <n v="109.75"/>
    <n v="256.38"/>
    <m/>
    <n v="112.98053114414617"/>
    <n v="230.84299908458948"/>
    <n v="0"/>
    <n v="234.20649999999998"/>
    <n v="547.11491999999998"/>
    <n v="0"/>
    <n v="241.10045346160791"/>
    <n v="492.61896004651391"/>
  </r>
  <r>
    <s v="Sistema de Compensação"/>
    <x v="3"/>
    <x v="3"/>
    <x v="0"/>
    <x v="0"/>
    <x v="0"/>
    <x v="0"/>
    <x v="0"/>
    <x v="9"/>
    <n v="0"/>
    <n v="0"/>
    <n v="308.48899999999998"/>
    <n v="308.48899999999998"/>
    <n v="308.48899999999998"/>
    <n v="308.48899999999998"/>
    <n v="0"/>
    <x v="0"/>
    <n v="0"/>
    <n v="0"/>
    <n v="37"/>
    <n v="84"/>
    <n v="0"/>
    <n v="109.75"/>
    <n v="256.38"/>
    <m/>
    <n v="112.98053114414617"/>
    <n v="230.84299908458948"/>
    <n v="0"/>
    <n v="33856.667750000001"/>
    <n v="79090.409819999986"/>
    <n v="0"/>
    <n v="34853.251072126506"/>
    <n v="71212.525944605921"/>
  </r>
  <r>
    <s v="Regular"/>
    <x v="3"/>
    <x v="3"/>
    <x v="0"/>
    <x v="0"/>
    <x v="0"/>
    <x v="0"/>
    <x v="0"/>
    <x v="10"/>
    <n v="0"/>
    <n v="0"/>
    <n v="3755.893"/>
    <n v="3755.893"/>
    <n v="3755.893"/>
    <n v="3755.893"/>
    <n v="0"/>
    <x v="0"/>
    <n v="0"/>
    <n v="0"/>
    <n v="37"/>
    <n v="84"/>
    <n v="0"/>
    <n v="109.75"/>
    <n v="256.38"/>
    <m/>
    <n v="112.98053114414617"/>
    <n v="230.84299908458948"/>
    <n v="0"/>
    <n v="412209.25675"/>
    <n v="962935.84733999998"/>
    <n v="0"/>
    <n v="424342.78606058058"/>
    <n v="867021.60436081607"/>
  </r>
  <r>
    <s v="Refaturamento - Regular"/>
    <x v="3"/>
    <x v="3"/>
    <x v="0"/>
    <x v="0"/>
    <x v="0"/>
    <x v="0"/>
    <x v="0"/>
    <x v="10"/>
    <n v="0"/>
    <n v="0"/>
    <n v="9.3710000000000004"/>
    <n v="9.3710000000000004"/>
    <n v="9.3710000000000004"/>
    <n v="9.3710000000000004"/>
    <n v="0"/>
    <x v="0"/>
    <n v="0"/>
    <n v="0"/>
    <n v="37"/>
    <n v="84"/>
    <n v="0"/>
    <n v="109.75"/>
    <n v="256.38"/>
    <m/>
    <n v="112.98053114414617"/>
    <n v="230.84299908458948"/>
    <n v="0"/>
    <n v="1028.4672500000001"/>
    <n v="2402.5369799999999"/>
    <n v="0"/>
    <n v="1058.7405573517938"/>
    <n v="2163.2297444216883"/>
  </r>
  <r>
    <s v="Sistema de Compensação"/>
    <x v="3"/>
    <x v="3"/>
    <x v="0"/>
    <x v="0"/>
    <x v="0"/>
    <x v="0"/>
    <x v="0"/>
    <x v="10"/>
    <n v="0"/>
    <n v="0"/>
    <n v="436.762"/>
    <n v="436.762"/>
    <n v="436.762"/>
    <n v="436.762"/>
    <n v="0"/>
    <x v="0"/>
    <n v="0"/>
    <n v="0"/>
    <n v="37"/>
    <n v="84"/>
    <n v="0"/>
    <n v="109.75"/>
    <n v="256.38"/>
    <m/>
    <n v="112.98053114414617"/>
    <n v="230.84299908458948"/>
    <n v="0"/>
    <n v="47934.629500000003"/>
    <n v="111977.04156"/>
    <n v="0"/>
    <n v="49345.60274357957"/>
    <n v="100823.44996618347"/>
  </r>
  <r>
    <s v="PROJETADO"/>
    <x v="3"/>
    <x v="3"/>
    <x v="0"/>
    <x v="0"/>
    <x v="0"/>
    <x v="0"/>
    <x v="0"/>
    <x v="11"/>
    <n v="0"/>
    <n v="0"/>
    <n v="3755.893"/>
    <n v="3755.893"/>
    <n v="3755.893"/>
    <n v="3755.893"/>
    <n v="0"/>
    <x v="0"/>
    <n v="0"/>
    <n v="0"/>
    <n v="37"/>
    <n v="84"/>
    <n v="0"/>
    <n v="109.75"/>
    <n v="256.38"/>
    <m/>
    <n v="112.98053114414617"/>
    <n v="230.84299908458948"/>
    <n v="0"/>
    <n v="412209.25675"/>
    <n v="962935.84733999998"/>
    <n v="0"/>
    <n v="424342.78606058058"/>
    <n v="867021.60436081607"/>
  </r>
  <r>
    <s v="PROJETADO"/>
    <x v="3"/>
    <x v="3"/>
    <x v="0"/>
    <x v="0"/>
    <x v="0"/>
    <x v="0"/>
    <x v="0"/>
    <x v="11"/>
    <n v="0"/>
    <n v="0"/>
    <n v="9.3710000000000004"/>
    <n v="9.3710000000000004"/>
    <n v="9.3710000000000004"/>
    <n v="9.3710000000000004"/>
    <n v="0"/>
    <x v="0"/>
    <n v="0"/>
    <n v="0"/>
    <n v="37"/>
    <n v="84"/>
    <n v="0"/>
    <n v="109.75"/>
    <n v="256.38"/>
    <m/>
    <n v="112.98053114414617"/>
    <n v="230.84299908458948"/>
    <n v="0"/>
    <n v="1028.4672500000001"/>
    <n v="2402.5369799999999"/>
    <n v="0"/>
    <n v="1058.7405573517938"/>
    <n v="2163.2297444216883"/>
  </r>
  <r>
    <s v="PROJETADO"/>
    <x v="3"/>
    <x v="3"/>
    <x v="0"/>
    <x v="0"/>
    <x v="0"/>
    <x v="0"/>
    <x v="0"/>
    <x v="11"/>
    <n v="0"/>
    <n v="0"/>
    <n v="436.762"/>
    <n v="436.762"/>
    <n v="436.762"/>
    <n v="436.762"/>
    <n v="0"/>
    <x v="0"/>
    <n v="0"/>
    <n v="0"/>
    <n v="37"/>
    <n v="84"/>
    <n v="0"/>
    <n v="109.75"/>
    <n v="256.38"/>
    <m/>
    <n v="112.98053114414617"/>
    <n v="230.84299908458948"/>
    <n v="0"/>
    <n v="47934.629500000003"/>
    <n v="111977.04156"/>
    <n v="0"/>
    <n v="49345.60274357957"/>
    <n v="100823.44996618347"/>
  </r>
  <r>
    <s v="Regular"/>
    <x v="3"/>
    <x v="3"/>
    <x v="0"/>
    <x v="0"/>
    <x v="0"/>
    <x v="0"/>
    <x v="2"/>
    <x v="0"/>
    <n v="27545"/>
    <n v="27545"/>
    <n v="0"/>
    <n v="0"/>
    <n v="0"/>
    <n v="0"/>
    <n v="105"/>
    <x v="0"/>
    <n v="0"/>
    <n v="35"/>
    <n v="0"/>
    <n v="0"/>
    <n v="12.24"/>
    <n v="0"/>
    <n v="0"/>
    <n v="16.00053546174815"/>
    <m/>
    <m/>
    <n v="337150.8"/>
    <n v="0"/>
    <n v="0"/>
    <n v="440734.74929385277"/>
    <n v="0"/>
    <n v="0"/>
  </r>
  <r>
    <s v="Refaturamento - Regular"/>
    <x v="3"/>
    <x v="3"/>
    <x v="0"/>
    <x v="0"/>
    <x v="0"/>
    <x v="0"/>
    <x v="2"/>
    <x v="0"/>
    <n v="130"/>
    <n v="130"/>
    <n v="0"/>
    <n v="0"/>
    <n v="0"/>
    <n v="0"/>
    <n v="1"/>
    <x v="0"/>
    <n v="0"/>
    <n v="35"/>
    <n v="0"/>
    <n v="0"/>
    <n v="12.24"/>
    <n v="0"/>
    <n v="0"/>
    <n v="16.00053546174815"/>
    <m/>
    <m/>
    <n v="1591.2"/>
    <n v="0"/>
    <n v="0"/>
    <n v="2080.0696100272594"/>
    <n v="0"/>
    <n v="0"/>
  </r>
  <r>
    <s v="Sistema de Compensação"/>
    <x v="3"/>
    <x v="3"/>
    <x v="0"/>
    <x v="0"/>
    <x v="0"/>
    <x v="0"/>
    <x v="2"/>
    <x v="0"/>
    <n v="2370"/>
    <n v="2370"/>
    <n v="0"/>
    <n v="0"/>
    <n v="0"/>
    <n v="0"/>
    <n v="6"/>
    <x v="0"/>
    <n v="0"/>
    <n v="35"/>
    <n v="0"/>
    <n v="0"/>
    <n v="12.24"/>
    <n v="0"/>
    <n v="0"/>
    <n v="16.00053546174815"/>
    <m/>
    <m/>
    <n v="29008.799999999999"/>
    <n v="0"/>
    <n v="0"/>
    <n v="37921.269044343113"/>
    <n v="0"/>
    <n v="0"/>
  </r>
  <r>
    <s v="Regular"/>
    <x v="3"/>
    <x v="3"/>
    <x v="0"/>
    <x v="0"/>
    <x v="0"/>
    <x v="0"/>
    <x v="2"/>
    <x v="1"/>
    <n v="26831"/>
    <n v="26831"/>
    <n v="0"/>
    <n v="0"/>
    <n v="0"/>
    <n v="0"/>
    <n v="105"/>
    <x v="0"/>
    <n v="0"/>
    <n v="35"/>
    <n v="0"/>
    <n v="0"/>
    <n v="12.24"/>
    <n v="0"/>
    <n v="0"/>
    <n v="16.00053546174815"/>
    <m/>
    <m/>
    <n v="328411.44"/>
    <n v="0"/>
    <n v="0"/>
    <n v="429310.36697416462"/>
    <n v="0"/>
    <n v="0"/>
  </r>
  <r>
    <s v="Refaturamento - Regular"/>
    <x v="3"/>
    <x v="3"/>
    <x v="0"/>
    <x v="0"/>
    <x v="0"/>
    <x v="0"/>
    <x v="2"/>
    <x v="1"/>
    <n v="1167"/>
    <n v="1167"/>
    <n v="0"/>
    <n v="0"/>
    <n v="0"/>
    <n v="0"/>
    <n v="2"/>
    <x v="0"/>
    <n v="0"/>
    <n v="35"/>
    <n v="0"/>
    <n v="0"/>
    <n v="12.24"/>
    <n v="0"/>
    <n v="0"/>
    <n v="16.00053546174815"/>
    <m/>
    <m/>
    <n v="14284.08"/>
    <n v="0"/>
    <n v="0"/>
    <n v="18672.624883860091"/>
    <n v="0"/>
    <n v="0"/>
  </r>
  <r>
    <s v="Sistema de Compensação"/>
    <x v="3"/>
    <x v="3"/>
    <x v="0"/>
    <x v="0"/>
    <x v="0"/>
    <x v="0"/>
    <x v="2"/>
    <x v="1"/>
    <n v="2370"/>
    <n v="2370"/>
    <n v="0"/>
    <n v="0"/>
    <n v="0"/>
    <n v="0"/>
    <n v="6"/>
    <x v="0"/>
    <n v="0"/>
    <n v="35"/>
    <n v="0"/>
    <n v="0"/>
    <n v="12.24"/>
    <n v="0"/>
    <n v="0"/>
    <n v="16.00053546174815"/>
    <m/>
    <m/>
    <n v="29008.799999999999"/>
    <n v="0"/>
    <n v="0"/>
    <n v="37921.269044343113"/>
    <n v="0"/>
    <n v="0"/>
  </r>
  <r>
    <s v="Regular"/>
    <x v="3"/>
    <x v="3"/>
    <x v="0"/>
    <x v="0"/>
    <x v="0"/>
    <x v="0"/>
    <x v="2"/>
    <x v="2"/>
    <n v="27599"/>
    <n v="27599"/>
    <n v="0"/>
    <n v="0"/>
    <n v="0"/>
    <n v="0"/>
    <n v="105"/>
    <x v="0"/>
    <n v="0"/>
    <n v="35"/>
    <n v="0"/>
    <n v="0"/>
    <n v="12.24"/>
    <n v="0"/>
    <n v="0"/>
    <n v="16.00053546174815"/>
    <m/>
    <m/>
    <n v="337811.76"/>
    <n v="0"/>
    <n v="0"/>
    <n v="441598.7782087872"/>
    <n v="0"/>
    <n v="0"/>
  </r>
  <r>
    <s v="Refaturamento - Regular"/>
    <x v="3"/>
    <x v="3"/>
    <x v="0"/>
    <x v="0"/>
    <x v="0"/>
    <x v="0"/>
    <x v="2"/>
    <x v="2"/>
    <n v="130"/>
    <n v="130"/>
    <n v="0"/>
    <n v="0"/>
    <n v="0"/>
    <n v="0"/>
    <n v="1"/>
    <x v="0"/>
    <n v="0"/>
    <n v="35"/>
    <n v="0"/>
    <n v="0"/>
    <n v="12.24"/>
    <n v="0"/>
    <n v="0"/>
    <n v="16.00053546174815"/>
    <m/>
    <m/>
    <n v="1591.2"/>
    <n v="0"/>
    <n v="0"/>
    <n v="2080.0696100272594"/>
    <n v="0"/>
    <n v="0"/>
  </r>
  <r>
    <s v="Sistema de Compensação"/>
    <x v="3"/>
    <x v="3"/>
    <x v="0"/>
    <x v="0"/>
    <x v="0"/>
    <x v="0"/>
    <x v="2"/>
    <x v="2"/>
    <n v="3970"/>
    <n v="3970"/>
    <n v="0"/>
    <n v="0"/>
    <n v="0"/>
    <n v="0"/>
    <n v="7"/>
    <x v="0"/>
    <n v="0"/>
    <n v="35"/>
    <n v="0"/>
    <n v="0"/>
    <n v="12.24"/>
    <n v="0"/>
    <n v="0"/>
    <n v="16.00053546174815"/>
    <m/>
    <m/>
    <n v="48592.800000000003"/>
    <n v="0"/>
    <n v="0"/>
    <n v="63522.125783140153"/>
    <n v="0"/>
    <n v="0"/>
  </r>
  <r>
    <s v="Regular"/>
    <x v="3"/>
    <x v="3"/>
    <x v="0"/>
    <x v="0"/>
    <x v="0"/>
    <x v="0"/>
    <x v="2"/>
    <x v="3"/>
    <n v="26735"/>
    <n v="26735"/>
    <n v="0"/>
    <n v="0"/>
    <n v="0"/>
    <n v="0"/>
    <n v="103"/>
    <x v="0"/>
    <n v="0"/>
    <n v="35"/>
    <n v="0"/>
    <n v="0"/>
    <n v="12.24"/>
    <n v="0"/>
    <n v="0"/>
    <n v="16.00053546174815"/>
    <m/>
    <m/>
    <n v="327236.40000000002"/>
    <n v="0"/>
    <n v="0"/>
    <n v="427774.31556983682"/>
    <n v="0"/>
    <n v="0"/>
  </r>
  <r>
    <s v="Refaturamento - Regular"/>
    <x v="3"/>
    <x v="3"/>
    <x v="0"/>
    <x v="0"/>
    <x v="0"/>
    <x v="0"/>
    <x v="2"/>
    <x v="3"/>
    <n v="265"/>
    <n v="265"/>
    <n v="0"/>
    <n v="0"/>
    <n v="0"/>
    <n v="0"/>
    <n v="2"/>
    <x v="0"/>
    <n v="0"/>
    <n v="35"/>
    <n v="0"/>
    <n v="0"/>
    <n v="12.24"/>
    <n v="0"/>
    <n v="0"/>
    <n v="16.00053546174815"/>
    <m/>
    <m/>
    <n v="3243.6"/>
    <n v="0"/>
    <n v="0"/>
    <n v="4240.1418973632599"/>
    <n v="0"/>
    <n v="0"/>
  </r>
  <r>
    <s v="Sistema de Compensação"/>
    <x v="3"/>
    <x v="3"/>
    <x v="0"/>
    <x v="0"/>
    <x v="0"/>
    <x v="0"/>
    <x v="2"/>
    <x v="3"/>
    <n v="3470"/>
    <n v="3470"/>
    <n v="0"/>
    <n v="0"/>
    <n v="0"/>
    <n v="0"/>
    <n v="5"/>
    <x v="0"/>
    <n v="0"/>
    <n v="35"/>
    <n v="0"/>
    <n v="0"/>
    <n v="12.24"/>
    <n v="0"/>
    <n v="0"/>
    <n v="16.00053546174815"/>
    <m/>
    <m/>
    <n v="42472.800000000003"/>
    <n v="0"/>
    <n v="0"/>
    <n v="55521.858052266078"/>
    <n v="0"/>
    <n v="0"/>
  </r>
  <r>
    <s v="Regular"/>
    <x v="3"/>
    <x v="3"/>
    <x v="0"/>
    <x v="0"/>
    <x v="0"/>
    <x v="0"/>
    <x v="2"/>
    <x v="4"/>
    <n v="27618"/>
    <n v="27618"/>
    <n v="0"/>
    <n v="0"/>
    <n v="0"/>
    <n v="0"/>
    <n v="104"/>
    <x v="0"/>
    <n v="0"/>
    <n v="35"/>
    <n v="0"/>
    <n v="0"/>
    <n v="12.24"/>
    <n v="0"/>
    <n v="0"/>
    <n v="16.00053546174815"/>
    <m/>
    <m/>
    <n v="338044.32"/>
    <n v="0"/>
    <n v="0"/>
    <n v="441902.78838256042"/>
    <n v="0"/>
    <n v="0"/>
  </r>
  <r>
    <s v="Refaturamento - Regular"/>
    <x v="3"/>
    <x v="3"/>
    <x v="0"/>
    <x v="0"/>
    <x v="0"/>
    <x v="0"/>
    <x v="2"/>
    <x v="4"/>
    <n v="130"/>
    <n v="130"/>
    <n v="0"/>
    <n v="0"/>
    <n v="0"/>
    <n v="0"/>
    <n v="1"/>
    <x v="0"/>
    <n v="0"/>
    <n v="35"/>
    <n v="0"/>
    <n v="0"/>
    <n v="12.24"/>
    <n v="0"/>
    <n v="0"/>
    <n v="16.00053546174815"/>
    <m/>
    <m/>
    <n v="1591.2"/>
    <n v="0"/>
    <n v="0"/>
    <n v="2080.0696100272594"/>
    <n v="0"/>
    <n v="0"/>
  </r>
  <r>
    <s v="Sistema de Compensação"/>
    <x v="3"/>
    <x v="3"/>
    <x v="0"/>
    <x v="0"/>
    <x v="0"/>
    <x v="0"/>
    <x v="2"/>
    <x v="4"/>
    <n v="3470"/>
    <n v="3470"/>
    <n v="0"/>
    <n v="0"/>
    <n v="0"/>
    <n v="0"/>
    <n v="5"/>
    <x v="0"/>
    <n v="0"/>
    <n v="35"/>
    <n v="0"/>
    <n v="0"/>
    <n v="12.24"/>
    <n v="0"/>
    <n v="0"/>
    <n v="16.00053546174815"/>
    <m/>
    <m/>
    <n v="42472.800000000003"/>
    <n v="0"/>
    <n v="0"/>
    <n v="55521.858052266078"/>
    <n v="0"/>
    <n v="0"/>
  </r>
  <r>
    <s v="Regular"/>
    <x v="3"/>
    <x v="3"/>
    <x v="0"/>
    <x v="0"/>
    <x v="0"/>
    <x v="0"/>
    <x v="2"/>
    <x v="5"/>
    <n v="27385"/>
    <n v="27385"/>
    <n v="0"/>
    <n v="0"/>
    <n v="0"/>
    <n v="0"/>
    <n v="104"/>
    <x v="0"/>
    <n v="0"/>
    <n v="35"/>
    <n v="0"/>
    <n v="0"/>
    <n v="12.24"/>
    <n v="0"/>
    <n v="0"/>
    <n v="16.00053546174815"/>
    <m/>
    <m/>
    <n v="335192.40000000002"/>
    <n v="0"/>
    <n v="0"/>
    <n v="438174.66361997311"/>
    <n v="0"/>
    <n v="0"/>
  </r>
  <r>
    <s v="Refaturamento - Regular"/>
    <x v="3"/>
    <x v="3"/>
    <x v="0"/>
    <x v="0"/>
    <x v="0"/>
    <x v="0"/>
    <x v="2"/>
    <x v="5"/>
    <n v="130"/>
    <n v="130"/>
    <n v="0"/>
    <n v="0"/>
    <n v="0"/>
    <n v="0"/>
    <n v="1"/>
    <x v="0"/>
    <n v="0"/>
    <n v="35"/>
    <n v="0"/>
    <n v="0"/>
    <n v="12.24"/>
    <n v="0"/>
    <n v="0"/>
    <n v="16.00053546174815"/>
    <m/>
    <m/>
    <n v="1591.2"/>
    <n v="0"/>
    <n v="0"/>
    <n v="2080.0696100272594"/>
    <n v="0"/>
    <n v="0"/>
  </r>
  <r>
    <s v="Sistema de Compensação"/>
    <x v="3"/>
    <x v="3"/>
    <x v="0"/>
    <x v="0"/>
    <x v="0"/>
    <x v="0"/>
    <x v="2"/>
    <x v="5"/>
    <n v="3470"/>
    <n v="3470"/>
    <n v="0"/>
    <n v="0"/>
    <n v="0"/>
    <n v="0"/>
    <n v="5"/>
    <x v="0"/>
    <n v="0"/>
    <n v="35"/>
    <n v="0"/>
    <n v="0"/>
    <n v="12.24"/>
    <n v="0"/>
    <n v="0"/>
    <n v="16.00053546174815"/>
    <m/>
    <m/>
    <n v="42472.800000000003"/>
    <n v="0"/>
    <n v="0"/>
    <n v="55521.858052266078"/>
    <n v="0"/>
    <n v="0"/>
  </r>
  <r>
    <s v="Regular"/>
    <x v="3"/>
    <x v="3"/>
    <x v="0"/>
    <x v="0"/>
    <x v="0"/>
    <x v="0"/>
    <x v="2"/>
    <x v="6"/>
    <n v="27287"/>
    <n v="27287"/>
    <n v="0"/>
    <n v="0"/>
    <n v="0"/>
    <n v="0"/>
    <n v="103"/>
    <x v="0"/>
    <n v="0"/>
    <n v="35"/>
    <n v="0"/>
    <n v="0"/>
    <n v="12.24"/>
    <n v="0"/>
    <n v="0"/>
    <n v="16.00053546174815"/>
    <m/>
    <m/>
    <n v="333992.88"/>
    <n v="0"/>
    <n v="0"/>
    <n v="436606.6111447218"/>
    <n v="0"/>
    <n v="0"/>
  </r>
  <r>
    <s v="Refaturamento - Regular"/>
    <x v="3"/>
    <x v="3"/>
    <x v="0"/>
    <x v="0"/>
    <x v="0"/>
    <x v="0"/>
    <x v="2"/>
    <x v="6"/>
    <n v="1630"/>
    <n v="1630"/>
    <n v="0"/>
    <n v="0"/>
    <n v="0"/>
    <n v="0"/>
    <n v="2"/>
    <x v="0"/>
    <n v="0"/>
    <n v="35"/>
    <n v="0"/>
    <n v="0"/>
    <n v="12.24"/>
    <n v="0"/>
    <n v="0"/>
    <n v="16.00053546174815"/>
    <m/>
    <m/>
    <n v="19951.2"/>
    <n v="0"/>
    <n v="0"/>
    <n v="26080.872802649486"/>
    <n v="0"/>
    <n v="0"/>
  </r>
  <r>
    <s v="Sistema de Compensação"/>
    <x v="3"/>
    <x v="3"/>
    <x v="0"/>
    <x v="0"/>
    <x v="0"/>
    <x v="0"/>
    <x v="2"/>
    <x v="6"/>
    <n v="3470"/>
    <n v="3470"/>
    <n v="0"/>
    <n v="0"/>
    <n v="0"/>
    <n v="0"/>
    <n v="5"/>
    <x v="0"/>
    <n v="0"/>
    <n v="35"/>
    <n v="0"/>
    <n v="0"/>
    <n v="12.24"/>
    <n v="0"/>
    <n v="0"/>
    <n v="16.00053546174815"/>
    <m/>
    <m/>
    <n v="42472.800000000003"/>
    <n v="0"/>
    <n v="0"/>
    <n v="55521.858052266078"/>
    <n v="0"/>
    <n v="0"/>
  </r>
  <r>
    <s v="Regular"/>
    <x v="3"/>
    <x v="3"/>
    <x v="0"/>
    <x v="0"/>
    <x v="0"/>
    <x v="0"/>
    <x v="2"/>
    <x v="7"/>
    <n v="26632"/>
    <n v="26632"/>
    <n v="0"/>
    <n v="0"/>
    <n v="0"/>
    <n v="0"/>
    <n v="102"/>
    <x v="0"/>
    <n v="0"/>
    <n v="35"/>
    <n v="0"/>
    <n v="0"/>
    <n v="12.24"/>
    <n v="0"/>
    <n v="0"/>
    <n v="16.00053546174815"/>
    <m/>
    <m/>
    <n v="325975.67999999999"/>
    <n v="0"/>
    <n v="0"/>
    <n v="426126.26041727676"/>
    <n v="0"/>
    <n v="0"/>
  </r>
  <r>
    <s v="Refaturamento - Regular"/>
    <x v="3"/>
    <x v="3"/>
    <x v="0"/>
    <x v="0"/>
    <x v="0"/>
    <x v="0"/>
    <x v="2"/>
    <x v="7"/>
    <n v="130"/>
    <n v="130"/>
    <n v="0"/>
    <n v="0"/>
    <n v="0"/>
    <n v="0"/>
    <n v="1"/>
    <x v="0"/>
    <n v="0"/>
    <n v="35"/>
    <n v="0"/>
    <n v="0"/>
    <n v="12.24"/>
    <n v="0"/>
    <n v="0"/>
    <n v="16.00053546174815"/>
    <m/>
    <m/>
    <n v="1591.2"/>
    <n v="0"/>
    <n v="0"/>
    <n v="2080.0696100272594"/>
    <n v="0"/>
    <n v="0"/>
  </r>
  <r>
    <s v="Sistema de Compensação"/>
    <x v="3"/>
    <x v="3"/>
    <x v="0"/>
    <x v="0"/>
    <x v="0"/>
    <x v="0"/>
    <x v="2"/>
    <x v="7"/>
    <n v="3470"/>
    <n v="3470"/>
    <n v="0"/>
    <n v="0"/>
    <n v="0"/>
    <n v="0"/>
    <n v="5"/>
    <x v="0"/>
    <n v="0"/>
    <n v="35"/>
    <n v="0"/>
    <n v="0"/>
    <n v="12.24"/>
    <n v="0"/>
    <n v="0"/>
    <n v="16.00053546174815"/>
    <m/>
    <m/>
    <n v="42472.800000000003"/>
    <n v="0"/>
    <n v="0"/>
    <n v="55521.858052266078"/>
    <n v="0"/>
    <n v="0"/>
  </r>
  <r>
    <s v="Regular"/>
    <x v="3"/>
    <x v="3"/>
    <x v="0"/>
    <x v="0"/>
    <x v="0"/>
    <x v="0"/>
    <x v="2"/>
    <x v="8"/>
    <n v="27271"/>
    <n v="27271"/>
    <n v="0"/>
    <n v="0"/>
    <n v="0"/>
    <n v="0"/>
    <n v="101"/>
    <x v="0"/>
    <n v="0"/>
    <n v="35"/>
    <n v="0"/>
    <n v="0"/>
    <n v="12.24"/>
    <n v="0"/>
    <n v="0"/>
    <n v="16.00053546174815"/>
    <m/>
    <m/>
    <n v="333797.03999999998"/>
    <n v="0"/>
    <n v="0"/>
    <n v="436350.6025773338"/>
    <n v="0"/>
    <n v="0"/>
  </r>
  <r>
    <s v="Refaturamento - Regular"/>
    <x v="3"/>
    <x v="3"/>
    <x v="0"/>
    <x v="0"/>
    <x v="0"/>
    <x v="0"/>
    <x v="2"/>
    <x v="8"/>
    <n v="730"/>
    <n v="730"/>
    <n v="0"/>
    <n v="0"/>
    <n v="0"/>
    <n v="0"/>
    <n v="2"/>
    <x v="0"/>
    <n v="0"/>
    <n v="35"/>
    <n v="0"/>
    <n v="0"/>
    <n v="12.24"/>
    <n v="0"/>
    <n v="0"/>
    <n v="16.00053546174815"/>
    <m/>
    <m/>
    <n v="8935.2000000000007"/>
    <n v="0"/>
    <n v="0"/>
    <n v="11680.39088707615"/>
    <n v="0"/>
    <n v="0"/>
  </r>
  <r>
    <s v="Sistema de Compensação"/>
    <x v="3"/>
    <x v="3"/>
    <x v="0"/>
    <x v="0"/>
    <x v="0"/>
    <x v="0"/>
    <x v="2"/>
    <x v="8"/>
    <n v="3470"/>
    <n v="3470"/>
    <n v="0"/>
    <n v="0"/>
    <n v="0"/>
    <n v="0"/>
    <n v="5"/>
    <x v="0"/>
    <n v="0"/>
    <n v="35"/>
    <n v="0"/>
    <n v="0"/>
    <n v="12.24"/>
    <n v="0"/>
    <n v="0"/>
    <n v="16.00053546174815"/>
    <m/>
    <m/>
    <n v="42472.800000000003"/>
    <n v="0"/>
    <n v="0"/>
    <n v="55521.858052266078"/>
    <n v="0"/>
    <n v="0"/>
  </r>
  <r>
    <s v="Regular"/>
    <x v="3"/>
    <x v="3"/>
    <x v="0"/>
    <x v="0"/>
    <x v="0"/>
    <x v="0"/>
    <x v="2"/>
    <x v="9"/>
    <n v="25636"/>
    <n v="25636"/>
    <n v="0"/>
    <n v="0"/>
    <n v="0"/>
    <n v="0"/>
    <n v="100"/>
    <x v="0"/>
    <n v="0"/>
    <n v="35"/>
    <n v="0"/>
    <n v="0"/>
    <n v="12.24"/>
    <n v="0"/>
    <n v="0"/>
    <n v="16.00053546174815"/>
    <m/>
    <m/>
    <n v="313784.64"/>
    <n v="0"/>
    <n v="0"/>
    <n v="410189.72709737555"/>
    <n v="0"/>
    <n v="0"/>
  </r>
  <r>
    <s v="Refaturamento - Regular"/>
    <x v="3"/>
    <x v="3"/>
    <x v="0"/>
    <x v="0"/>
    <x v="0"/>
    <x v="0"/>
    <x v="2"/>
    <x v="9"/>
    <n v="730"/>
    <n v="730"/>
    <n v="0"/>
    <n v="0"/>
    <n v="0"/>
    <n v="0"/>
    <n v="2"/>
    <x v="0"/>
    <n v="0"/>
    <n v="35"/>
    <n v="0"/>
    <n v="0"/>
    <n v="12.24"/>
    <n v="0"/>
    <n v="0"/>
    <n v="16.00053546174815"/>
    <m/>
    <m/>
    <n v="8935.2000000000007"/>
    <n v="0"/>
    <n v="0"/>
    <n v="11680.39088707615"/>
    <n v="0"/>
    <n v="0"/>
  </r>
  <r>
    <s v="Sistema de Compensação"/>
    <x v="3"/>
    <x v="3"/>
    <x v="0"/>
    <x v="0"/>
    <x v="0"/>
    <x v="0"/>
    <x v="2"/>
    <x v="9"/>
    <n v="3470"/>
    <n v="3470"/>
    <n v="0"/>
    <n v="0"/>
    <n v="0"/>
    <n v="0"/>
    <n v="5"/>
    <x v="0"/>
    <n v="0"/>
    <n v="35"/>
    <n v="0"/>
    <n v="0"/>
    <n v="12.24"/>
    <n v="0"/>
    <n v="0"/>
    <n v="16.00053546174815"/>
    <m/>
    <m/>
    <n v="42472.800000000003"/>
    <n v="0"/>
    <n v="0"/>
    <n v="55521.858052266078"/>
    <n v="0"/>
    <n v="0"/>
  </r>
  <r>
    <s v="Regular"/>
    <x v="3"/>
    <x v="3"/>
    <x v="0"/>
    <x v="0"/>
    <x v="0"/>
    <x v="0"/>
    <x v="2"/>
    <x v="10"/>
    <n v="25307"/>
    <n v="25307"/>
    <n v="0"/>
    <n v="0"/>
    <n v="0"/>
    <n v="0"/>
    <n v="100"/>
    <x v="0"/>
    <n v="0"/>
    <n v="35"/>
    <n v="0"/>
    <n v="0"/>
    <n v="12.24"/>
    <n v="0"/>
    <n v="0"/>
    <n v="16.00053546174815"/>
    <m/>
    <m/>
    <n v="309757.68"/>
    <n v="0"/>
    <n v="0"/>
    <n v="404925.55093046045"/>
    <n v="0"/>
    <n v="0"/>
  </r>
  <r>
    <s v="Refaturamento - Regular"/>
    <x v="3"/>
    <x v="3"/>
    <x v="0"/>
    <x v="0"/>
    <x v="0"/>
    <x v="0"/>
    <x v="2"/>
    <x v="10"/>
    <n v="730"/>
    <n v="730"/>
    <n v="0"/>
    <n v="0"/>
    <n v="0"/>
    <n v="0"/>
    <n v="2"/>
    <x v="0"/>
    <n v="0"/>
    <n v="35"/>
    <n v="0"/>
    <n v="0"/>
    <n v="12.24"/>
    <n v="0"/>
    <n v="0"/>
    <n v="16.00053546174815"/>
    <m/>
    <m/>
    <n v="8935.2000000000007"/>
    <n v="0"/>
    <n v="0"/>
    <n v="11680.39088707615"/>
    <n v="0"/>
    <n v="0"/>
  </r>
  <r>
    <s v="Sistema de Compensação"/>
    <x v="3"/>
    <x v="3"/>
    <x v="0"/>
    <x v="0"/>
    <x v="0"/>
    <x v="0"/>
    <x v="2"/>
    <x v="10"/>
    <n v="3470"/>
    <n v="3470"/>
    <n v="0"/>
    <n v="0"/>
    <n v="0"/>
    <n v="0"/>
    <n v="5"/>
    <x v="0"/>
    <n v="0"/>
    <n v="35"/>
    <n v="0"/>
    <n v="0"/>
    <n v="12.24"/>
    <n v="0"/>
    <n v="0"/>
    <n v="16.00053546174815"/>
    <m/>
    <m/>
    <n v="42472.800000000003"/>
    <n v="0"/>
    <n v="0"/>
    <n v="55521.858052266078"/>
    <n v="0"/>
    <n v="0"/>
  </r>
  <r>
    <s v="PROJETADO"/>
    <x v="3"/>
    <x v="3"/>
    <x v="0"/>
    <x v="0"/>
    <x v="0"/>
    <x v="0"/>
    <x v="2"/>
    <x v="11"/>
    <n v="25307"/>
    <n v="25307"/>
    <n v="0"/>
    <n v="0"/>
    <n v="0"/>
    <n v="0"/>
    <n v="100"/>
    <x v="0"/>
    <n v="0"/>
    <n v="35"/>
    <n v="0"/>
    <n v="0"/>
    <n v="12.24"/>
    <n v="0"/>
    <n v="0"/>
    <n v="16.00053546174815"/>
    <m/>
    <m/>
    <n v="309757.68"/>
    <n v="0"/>
    <n v="0"/>
    <n v="404925.55093046045"/>
    <n v="0"/>
    <n v="0"/>
  </r>
  <r>
    <s v="PROJETADO"/>
    <x v="3"/>
    <x v="3"/>
    <x v="0"/>
    <x v="0"/>
    <x v="0"/>
    <x v="0"/>
    <x v="2"/>
    <x v="11"/>
    <n v="730"/>
    <n v="730"/>
    <n v="0"/>
    <n v="0"/>
    <n v="0"/>
    <n v="0"/>
    <n v="2"/>
    <x v="0"/>
    <n v="0"/>
    <n v="35"/>
    <n v="0"/>
    <n v="0"/>
    <n v="12.24"/>
    <n v="0"/>
    <n v="0"/>
    <n v="16.00053546174815"/>
    <m/>
    <m/>
    <n v="8935.2000000000007"/>
    <n v="0"/>
    <n v="0"/>
    <n v="11680.39088707615"/>
    <n v="0"/>
    <n v="0"/>
  </r>
  <r>
    <s v="PROJETADO"/>
    <x v="3"/>
    <x v="3"/>
    <x v="0"/>
    <x v="0"/>
    <x v="0"/>
    <x v="0"/>
    <x v="2"/>
    <x v="11"/>
    <n v="3470"/>
    <n v="3470"/>
    <n v="0"/>
    <n v="0"/>
    <n v="0"/>
    <n v="0"/>
    <n v="5"/>
    <x v="0"/>
    <n v="0"/>
    <n v="35"/>
    <n v="0"/>
    <n v="0"/>
    <n v="12.24"/>
    <n v="0"/>
    <n v="0"/>
    <n v="16.00053546174815"/>
    <m/>
    <m/>
    <n v="42472.800000000003"/>
    <n v="0"/>
    <n v="0"/>
    <n v="55521.858052266078"/>
    <n v="0"/>
    <n v="0"/>
  </r>
  <r>
    <s v="Regular"/>
    <x v="3"/>
    <x v="3"/>
    <x v="0"/>
    <x v="0"/>
    <x v="0"/>
    <x v="0"/>
    <x v="1"/>
    <x v="0"/>
    <n v="0"/>
    <n v="0"/>
    <n v="632.09"/>
    <n v="632.09"/>
    <n v="632.09"/>
    <n v="632.09"/>
    <n v="0"/>
    <x v="0"/>
    <n v="0"/>
    <n v="0"/>
    <n v="36"/>
    <n v="83"/>
    <n v="0"/>
    <n v="1174.6600000000001"/>
    <n v="430.87"/>
    <m/>
    <n v="1305.5515491455487"/>
    <n v="375.70671275609089"/>
    <n v="0"/>
    <n v="742490.83940000006"/>
    <n v="272348.61830000003"/>
    <n v="0"/>
    <n v="825226.07869940996"/>
    <n v="237480.45606599751"/>
  </r>
  <r>
    <s v="Regular"/>
    <x v="3"/>
    <x v="3"/>
    <x v="0"/>
    <x v="0"/>
    <x v="0"/>
    <x v="0"/>
    <x v="1"/>
    <x v="1"/>
    <n v="0"/>
    <n v="0"/>
    <n v="613.87199999999996"/>
    <n v="613.87199999999996"/>
    <n v="613.87199999999996"/>
    <n v="613.87199999999996"/>
    <n v="0"/>
    <x v="0"/>
    <n v="0"/>
    <n v="0"/>
    <n v="36"/>
    <n v="83"/>
    <n v="0"/>
    <n v="1174.6600000000001"/>
    <n v="430.87"/>
    <m/>
    <n v="1305.5515491455487"/>
    <n v="375.70671275609089"/>
    <n v="0"/>
    <n v="721090.88352000003"/>
    <n v="264499.02863999997"/>
    <n v="0"/>
    <n v="801441.54057707626"/>
    <n v="230635.83117300703"/>
  </r>
  <r>
    <s v="Refaturamento - Regular"/>
    <x v="3"/>
    <x v="3"/>
    <x v="0"/>
    <x v="0"/>
    <x v="0"/>
    <x v="0"/>
    <x v="1"/>
    <x v="1"/>
    <n v="0"/>
    <n v="0"/>
    <n v="11.111000000000001"/>
    <n v="11.111000000000001"/>
    <n v="11.111000000000001"/>
    <n v="11.111000000000001"/>
    <n v="0"/>
    <x v="0"/>
    <n v="0"/>
    <n v="0"/>
    <n v="36"/>
    <n v="83"/>
    <n v="0"/>
    <n v="1174.6600000000001"/>
    <n v="430.87"/>
    <m/>
    <n v="1305.5515491455487"/>
    <n v="375.70671275609089"/>
    <n v="0"/>
    <n v="13051.647260000002"/>
    <n v="4787.3965699999999"/>
    <n v="0"/>
    <n v="14505.983262556192"/>
    <n v="4174.4772854329258"/>
  </r>
  <r>
    <s v="Sistema de Compensação"/>
    <x v="3"/>
    <x v="3"/>
    <x v="0"/>
    <x v="0"/>
    <x v="0"/>
    <x v="0"/>
    <x v="1"/>
    <x v="1"/>
    <n v="0"/>
    <n v="0"/>
    <n v="19.215"/>
    <n v="19.215"/>
    <n v="19.215"/>
    <n v="19.215"/>
    <n v="0"/>
    <x v="0"/>
    <n v="0"/>
    <n v="0"/>
    <n v="36"/>
    <n v="83"/>
    <n v="0"/>
    <n v="1174.6600000000001"/>
    <n v="430.87"/>
    <m/>
    <n v="1305.5515491455487"/>
    <n v="375.70671275609089"/>
    <n v="0"/>
    <n v="22571.091900000003"/>
    <n v="8279.16705"/>
    <n v="0"/>
    <n v="25086.173016831719"/>
    <n v="7219.2044856082866"/>
  </r>
  <r>
    <s v="Regular"/>
    <x v="3"/>
    <x v="3"/>
    <x v="0"/>
    <x v="0"/>
    <x v="0"/>
    <x v="0"/>
    <x v="1"/>
    <x v="2"/>
    <n v="0"/>
    <n v="0"/>
    <n v="592.95500000000004"/>
    <n v="592.95500000000004"/>
    <n v="592.95500000000004"/>
    <n v="592.95500000000004"/>
    <n v="0"/>
    <x v="0"/>
    <n v="0"/>
    <n v="0"/>
    <n v="36"/>
    <n v="83"/>
    <n v="0"/>
    <n v="1174.6600000000001"/>
    <n v="430.87"/>
    <m/>
    <n v="1305.5515491455487"/>
    <n v="375.70671275609089"/>
    <n v="0"/>
    <n v="696520.52030000009"/>
    <n v="255486.52085000003"/>
    <n v="0"/>
    <n v="774133.31882359891"/>
    <n v="222777.17386228789"/>
  </r>
  <r>
    <s v="Sistema de Compensação"/>
    <x v="3"/>
    <x v="3"/>
    <x v="0"/>
    <x v="0"/>
    <x v="0"/>
    <x v="0"/>
    <x v="1"/>
    <x v="2"/>
    <n v="0"/>
    <n v="0"/>
    <n v="89.9"/>
    <n v="89.9"/>
    <n v="89.9"/>
    <n v="89.9"/>
    <n v="0"/>
    <x v="0"/>
    <n v="0"/>
    <n v="0"/>
    <n v="36"/>
    <n v="83"/>
    <n v="0"/>
    <n v="1174.6600000000001"/>
    <n v="430.87"/>
    <m/>
    <n v="1305.5515491455487"/>
    <n v="375.70671275609089"/>
    <n v="0"/>
    <n v="105601.93400000001"/>
    <n v="38735.213000000003"/>
    <n v="0"/>
    <n v="117369.08426818484"/>
    <n v="33776.033476772573"/>
  </r>
  <r>
    <s v="Regular"/>
    <x v="3"/>
    <x v="3"/>
    <x v="0"/>
    <x v="0"/>
    <x v="0"/>
    <x v="0"/>
    <x v="1"/>
    <x v="3"/>
    <n v="0"/>
    <n v="0"/>
    <n v="523.58199999999999"/>
    <n v="523.58199999999999"/>
    <n v="523.58199999999999"/>
    <n v="523.58199999999999"/>
    <n v="0"/>
    <x v="0"/>
    <n v="0"/>
    <n v="0"/>
    <n v="36"/>
    <n v="83"/>
    <n v="0"/>
    <n v="1174.6600000000001"/>
    <n v="430.87"/>
    <m/>
    <n v="1305.5515491455487"/>
    <n v="375.70671275609089"/>
    <n v="0"/>
    <n v="615030.83212000004"/>
    <n v="225595.77634000001"/>
    <n v="0"/>
    <n v="683563.29120472469"/>
    <n v="196713.27207825959"/>
  </r>
  <r>
    <s v="Refaturamento - Regular"/>
    <x v="3"/>
    <x v="3"/>
    <x v="0"/>
    <x v="0"/>
    <x v="0"/>
    <x v="0"/>
    <x v="1"/>
    <x v="3"/>
    <n v="0"/>
    <n v="0"/>
    <n v="2.5390000000000001"/>
    <n v="2.5390000000000001"/>
    <n v="2.5390000000000001"/>
    <n v="2.5390000000000001"/>
    <n v="0"/>
    <x v="0"/>
    <n v="0"/>
    <n v="0"/>
    <n v="36"/>
    <n v="83"/>
    <n v="0"/>
    <n v="1174.6600000000001"/>
    <n v="430.87"/>
    <m/>
    <n v="1305.5515491455487"/>
    <n v="375.70671275609089"/>
    <n v="0"/>
    <n v="2982.4617400000002"/>
    <n v="1093.97893"/>
    <n v="0"/>
    <n v="3314.7953832805483"/>
    <n v="953.91934368771479"/>
  </r>
  <r>
    <s v="Sistema de Compensação"/>
    <x v="3"/>
    <x v="3"/>
    <x v="0"/>
    <x v="0"/>
    <x v="0"/>
    <x v="0"/>
    <x v="1"/>
    <x v="3"/>
    <n v="0"/>
    <n v="0"/>
    <n v="62.731999999999999"/>
    <n v="62.731999999999999"/>
    <n v="62.731999999999999"/>
    <n v="62.731999999999999"/>
    <n v="0"/>
    <x v="0"/>
    <n v="0"/>
    <n v="0"/>
    <n v="36"/>
    <n v="83"/>
    <n v="0"/>
    <n v="1174.6600000000001"/>
    <n v="430.87"/>
    <m/>
    <n v="1305.5515491455487"/>
    <n v="375.70671275609089"/>
    <n v="0"/>
    <n v="73688.771120000005"/>
    <n v="27029.33684"/>
    <n v="0"/>
    <n v="81899.859780998566"/>
    <n v="23568.833504615093"/>
  </r>
  <r>
    <s v="Regular"/>
    <x v="3"/>
    <x v="3"/>
    <x v="0"/>
    <x v="0"/>
    <x v="0"/>
    <x v="0"/>
    <x v="1"/>
    <x v="4"/>
    <n v="0"/>
    <n v="0"/>
    <n v="608.28800000000001"/>
    <n v="608.28800000000001"/>
    <n v="608.28800000000001"/>
    <n v="608.28800000000001"/>
    <n v="0"/>
    <x v="0"/>
    <n v="0"/>
    <n v="0"/>
    <n v="36"/>
    <n v="83"/>
    <n v="0"/>
    <n v="1174.6600000000001"/>
    <n v="430.87"/>
    <m/>
    <n v="1305.5515491455487"/>
    <n v="375.70671275609089"/>
    <n v="0"/>
    <n v="714531.58208000008"/>
    <n v="262093.05056"/>
    <n v="0"/>
    <n v="794151.34072664753"/>
    <n v="228537.88488897702"/>
  </r>
  <r>
    <s v="Sistema de Compensação"/>
    <x v="3"/>
    <x v="3"/>
    <x v="0"/>
    <x v="0"/>
    <x v="0"/>
    <x v="0"/>
    <x v="1"/>
    <x v="4"/>
    <n v="0"/>
    <n v="0"/>
    <n v="79.23"/>
    <n v="79.23"/>
    <n v="79.23"/>
    <n v="79.23"/>
    <n v="0"/>
    <x v="0"/>
    <n v="0"/>
    <n v="0"/>
    <n v="36"/>
    <n v="83"/>
    <n v="0"/>
    <n v="1174.6600000000001"/>
    <n v="430.87"/>
    <m/>
    <n v="1305.5515491455487"/>
    <n v="375.70671275609089"/>
    <n v="0"/>
    <n v="93068.31180000001"/>
    <n v="34137.830099999999"/>
    <n v="0"/>
    <n v="103438.84923880183"/>
    <n v="29767.242851665083"/>
  </r>
  <r>
    <s v="Regular"/>
    <x v="3"/>
    <x v="3"/>
    <x v="0"/>
    <x v="0"/>
    <x v="0"/>
    <x v="0"/>
    <x v="1"/>
    <x v="5"/>
    <n v="0"/>
    <n v="0"/>
    <n v="539.90099999999995"/>
    <n v="539.90099999999995"/>
    <n v="539.90099999999995"/>
    <n v="539.90099999999995"/>
    <n v="0"/>
    <x v="0"/>
    <n v="0"/>
    <n v="0"/>
    <n v="36"/>
    <n v="83"/>
    <n v="0"/>
    <n v="1174.6600000000001"/>
    <n v="430.87"/>
    <m/>
    <n v="1305.5515491455487"/>
    <n v="375.70671275609089"/>
    <n v="0"/>
    <n v="634200.10866000003"/>
    <n v="232627.14386999997"/>
    <n v="0"/>
    <n v="704868.58693523088"/>
    <n v="202844.42992372622"/>
  </r>
  <r>
    <s v="Sistema de Compensação"/>
    <x v="3"/>
    <x v="3"/>
    <x v="0"/>
    <x v="0"/>
    <x v="0"/>
    <x v="0"/>
    <x v="1"/>
    <x v="5"/>
    <n v="0"/>
    <n v="0"/>
    <n v="63.475999999999999"/>
    <n v="63.475999999999999"/>
    <n v="63.475999999999999"/>
    <n v="63.475999999999999"/>
    <n v="0"/>
    <x v="0"/>
    <n v="0"/>
    <n v="0"/>
    <n v="36"/>
    <n v="83"/>
    <n v="0"/>
    <n v="1174.6600000000001"/>
    <n v="430.87"/>
    <m/>
    <n v="1305.5515491455487"/>
    <n v="375.70671275609089"/>
    <n v="0"/>
    <n v="74562.718160000004"/>
    <n v="27349.904119999999"/>
    <n v="0"/>
    <n v="82871.19013356285"/>
    <n v="23848.359298905627"/>
  </r>
  <r>
    <s v="Regular"/>
    <x v="3"/>
    <x v="3"/>
    <x v="0"/>
    <x v="0"/>
    <x v="0"/>
    <x v="0"/>
    <x v="1"/>
    <x v="6"/>
    <n v="0"/>
    <n v="0"/>
    <n v="553.68499999999995"/>
    <n v="553.68499999999995"/>
    <n v="553.68499999999995"/>
    <n v="553.68499999999995"/>
    <n v="0"/>
    <x v="0"/>
    <n v="0"/>
    <n v="0"/>
    <n v="36"/>
    <n v="83"/>
    <n v="0"/>
    <n v="1174.6600000000001"/>
    <n v="430.87"/>
    <m/>
    <n v="1305.5515491455487"/>
    <n v="375.70671275609089"/>
    <n v="0"/>
    <n v="650391.62210000004"/>
    <n v="238566.25594999999"/>
    <n v="0"/>
    <n v="722864.30948865309"/>
    <n v="208023.17125235617"/>
  </r>
  <r>
    <s v="Refaturamento - Regular"/>
    <x v="3"/>
    <x v="3"/>
    <x v="0"/>
    <x v="0"/>
    <x v="0"/>
    <x v="0"/>
    <x v="1"/>
    <x v="6"/>
    <n v="0"/>
    <n v="0"/>
    <n v="67.489999999999995"/>
    <n v="67.489999999999995"/>
    <n v="67.489999999999995"/>
    <n v="67.489999999999995"/>
    <n v="0"/>
    <x v="0"/>
    <n v="0"/>
    <n v="0"/>
    <n v="36"/>
    <n v="83"/>
    <n v="0"/>
    <n v="1174.6600000000001"/>
    <n v="430.87"/>
    <m/>
    <n v="1305.5515491455487"/>
    <n v="375.70671275609089"/>
    <n v="0"/>
    <n v="79277.803400000004"/>
    <n v="29079.416299999997"/>
    <n v="0"/>
    <n v="88111.674051833077"/>
    <n v="25356.446043908574"/>
  </r>
  <r>
    <s v="Sistema de Compensação"/>
    <x v="3"/>
    <x v="3"/>
    <x v="0"/>
    <x v="0"/>
    <x v="0"/>
    <x v="0"/>
    <x v="1"/>
    <x v="6"/>
    <n v="0"/>
    <n v="0"/>
    <n v="53.984999999999999"/>
    <n v="53.984999999999999"/>
    <n v="53.984999999999999"/>
    <n v="53.984999999999999"/>
    <n v="0"/>
    <x v="0"/>
    <n v="0"/>
    <n v="0"/>
    <n v="36"/>
    <n v="83"/>
    <n v="0"/>
    <n v="1174.6600000000001"/>
    <n v="430.87"/>
    <m/>
    <n v="1305.5515491455487"/>
    <n v="375.70671275609089"/>
    <n v="0"/>
    <n v="63414.020100000002"/>
    <n v="23260.516950000001"/>
    <n v="0"/>
    <n v="70480.200380622453"/>
    <n v="20282.526888137567"/>
  </r>
  <r>
    <s v="Regular"/>
    <x v="3"/>
    <x v="3"/>
    <x v="0"/>
    <x v="0"/>
    <x v="0"/>
    <x v="0"/>
    <x v="1"/>
    <x v="7"/>
    <n v="0"/>
    <n v="0"/>
    <n v="368.435"/>
    <n v="368.435"/>
    <n v="368.435"/>
    <n v="368.435"/>
    <n v="0"/>
    <x v="0"/>
    <n v="0"/>
    <n v="0"/>
    <n v="36"/>
    <n v="83"/>
    <n v="0"/>
    <n v="1174.6600000000001"/>
    <n v="430.87"/>
    <m/>
    <n v="1305.5515491455487"/>
    <n v="375.70671275609089"/>
    <n v="0"/>
    <n v="432785.85710000002"/>
    <n v="158747.58845000001"/>
    <n v="0"/>
    <n v="481010.88500944024"/>
    <n v="138423.50271429034"/>
  </r>
  <r>
    <s v="Sistema de Compensação"/>
    <x v="3"/>
    <x v="3"/>
    <x v="0"/>
    <x v="0"/>
    <x v="0"/>
    <x v="0"/>
    <x v="1"/>
    <x v="7"/>
    <n v="0"/>
    <n v="0"/>
    <n v="32.951000000000001"/>
    <n v="32.951000000000001"/>
    <n v="32.951000000000001"/>
    <n v="32.951000000000001"/>
    <n v="0"/>
    <x v="0"/>
    <n v="0"/>
    <n v="0"/>
    <n v="36"/>
    <n v="83"/>
    <n v="0"/>
    <n v="1174.6600000000001"/>
    <n v="430.87"/>
    <m/>
    <n v="1305.5515491455487"/>
    <n v="375.70671275609089"/>
    <n v="0"/>
    <n v="38706.221660000003"/>
    <n v="14197.59737"/>
    <n v="0"/>
    <n v="43019.229095894974"/>
    <n v="12379.911892025952"/>
  </r>
  <r>
    <s v="Regular"/>
    <x v="3"/>
    <x v="3"/>
    <x v="0"/>
    <x v="0"/>
    <x v="0"/>
    <x v="0"/>
    <x v="1"/>
    <x v="8"/>
    <n v="0"/>
    <n v="0"/>
    <n v="414.92500000000001"/>
    <n v="414.92500000000001"/>
    <n v="414.92500000000001"/>
    <n v="414.92500000000001"/>
    <n v="0"/>
    <x v="0"/>
    <n v="0"/>
    <n v="0"/>
    <n v="36"/>
    <n v="83"/>
    <n v="0"/>
    <n v="1174.6600000000001"/>
    <n v="430.87"/>
    <m/>
    <n v="1305.5515491455487"/>
    <n v="375.70671275609089"/>
    <n v="0"/>
    <n v="487395.80050000007"/>
    <n v="178778.73475"/>
    <n v="0"/>
    <n v="541705.97652921686"/>
    <n v="155890.10779032102"/>
  </r>
  <r>
    <s v="Refaturamento - Regular"/>
    <x v="3"/>
    <x v="3"/>
    <x v="0"/>
    <x v="0"/>
    <x v="0"/>
    <x v="0"/>
    <x v="1"/>
    <x v="8"/>
    <n v="0"/>
    <n v="0"/>
    <n v="14.092000000000001"/>
    <n v="14.092000000000001"/>
    <n v="14.092000000000001"/>
    <n v="14.092000000000001"/>
    <n v="0"/>
    <x v="0"/>
    <n v="0"/>
    <n v="0"/>
    <n v="36"/>
    <n v="83"/>
    <n v="0"/>
    <n v="1174.6600000000001"/>
    <n v="430.87"/>
    <m/>
    <n v="1305.5515491455487"/>
    <n v="375.70671275609089"/>
    <n v="0"/>
    <n v="16553.308720000001"/>
    <n v="6071.8200400000005"/>
    <n v="0"/>
    <n v="18397.832430559072"/>
    <n v="5294.4589961588326"/>
  </r>
  <r>
    <s v="Sistema de Compensação"/>
    <x v="3"/>
    <x v="3"/>
    <x v="0"/>
    <x v="0"/>
    <x v="0"/>
    <x v="0"/>
    <x v="1"/>
    <x v="8"/>
    <n v="0"/>
    <n v="0"/>
    <n v="33.442"/>
    <n v="33.442"/>
    <n v="33.442"/>
    <n v="33.442"/>
    <n v="0"/>
    <x v="0"/>
    <n v="0"/>
    <n v="0"/>
    <n v="36"/>
    <n v="83"/>
    <n v="0"/>
    <n v="1174.6600000000001"/>
    <n v="430.87"/>
    <m/>
    <n v="1305.5515491455487"/>
    <n v="375.70671275609089"/>
    <n v="0"/>
    <n v="39282.979720000003"/>
    <n v="14409.15454"/>
    <n v="0"/>
    <n v="43660.254906525442"/>
    <n v="12564.383887989192"/>
  </r>
  <r>
    <s v="Regular"/>
    <x v="3"/>
    <x v="3"/>
    <x v="0"/>
    <x v="0"/>
    <x v="0"/>
    <x v="0"/>
    <x v="1"/>
    <x v="9"/>
    <n v="0"/>
    <n v="0"/>
    <n v="344.95"/>
    <n v="344.95"/>
    <n v="344.95"/>
    <n v="344.95"/>
    <n v="0"/>
    <x v="0"/>
    <n v="0"/>
    <n v="0"/>
    <n v="36"/>
    <n v="83"/>
    <n v="0"/>
    <n v="1174.6600000000001"/>
    <n v="430.87"/>
    <m/>
    <n v="1305.5515491455487"/>
    <n v="375.70671275609089"/>
    <n v="0"/>
    <n v="405198.967"/>
    <n v="148628.60649999999"/>
    <n v="0"/>
    <n v="450350.00687775703"/>
    <n v="129600.03056521354"/>
  </r>
  <r>
    <s v="Refaturamento - Regular"/>
    <x v="3"/>
    <x v="3"/>
    <x v="0"/>
    <x v="0"/>
    <x v="0"/>
    <x v="0"/>
    <x v="1"/>
    <x v="9"/>
    <n v="0"/>
    <n v="0"/>
    <n v="12.898999999999999"/>
    <n v="12.898999999999999"/>
    <n v="12.898999999999999"/>
    <n v="12.898999999999999"/>
    <n v="0"/>
    <x v="0"/>
    <n v="0"/>
    <n v="0"/>
    <n v="36"/>
    <n v="83"/>
    <n v="0"/>
    <n v="1174.6600000000001"/>
    <n v="430.87"/>
    <m/>
    <n v="1305.5515491455487"/>
    <n v="375.70671275609089"/>
    <n v="0"/>
    <n v="15151.939340000001"/>
    <n v="5557.7921299999998"/>
    <n v="0"/>
    <n v="16840.309432428432"/>
    <n v="4846.240887840816"/>
  </r>
  <r>
    <s v="Sistema de Compensação"/>
    <x v="3"/>
    <x v="3"/>
    <x v="0"/>
    <x v="0"/>
    <x v="0"/>
    <x v="0"/>
    <x v="1"/>
    <x v="9"/>
    <n v="0"/>
    <n v="0"/>
    <n v="26.837"/>
    <n v="26.837"/>
    <n v="26.837"/>
    <n v="26.837"/>
    <n v="0"/>
    <x v="0"/>
    <n v="0"/>
    <n v="0"/>
    <n v="36"/>
    <n v="83"/>
    <n v="0"/>
    <n v="1174.6600000000001"/>
    <n v="430.87"/>
    <m/>
    <n v="1305.5515491455487"/>
    <n v="375.70671275609089"/>
    <n v="0"/>
    <n v="31524.350420000002"/>
    <n v="11563.25819"/>
    <n v="0"/>
    <n v="35037.086924419091"/>
    <n v="10082.841050235211"/>
  </r>
  <r>
    <s v="Regular"/>
    <x v="3"/>
    <x v="3"/>
    <x v="0"/>
    <x v="0"/>
    <x v="0"/>
    <x v="0"/>
    <x v="1"/>
    <x v="10"/>
    <n v="0"/>
    <n v="0"/>
    <n v="382.06700000000001"/>
    <n v="382.06700000000001"/>
    <n v="382.06700000000001"/>
    <n v="382.06700000000001"/>
    <n v="0"/>
    <x v="0"/>
    <n v="0"/>
    <n v="0"/>
    <n v="36"/>
    <n v="83"/>
    <n v="0"/>
    <n v="1174.6600000000001"/>
    <n v="430.87"/>
    <m/>
    <n v="1305.5515491455487"/>
    <n v="375.70671275609089"/>
    <n v="0"/>
    <n v="448798.82222000003"/>
    <n v="164621.20829000001"/>
    <n v="0"/>
    <n v="498808.16372739238"/>
    <n v="143545.13662258137"/>
  </r>
  <r>
    <s v="Refaturamento - Regular"/>
    <x v="3"/>
    <x v="3"/>
    <x v="0"/>
    <x v="0"/>
    <x v="0"/>
    <x v="0"/>
    <x v="1"/>
    <x v="10"/>
    <n v="0"/>
    <n v="0"/>
    <n v="14.215999999999999"/>
    <n v="14.215999999999999"/>
    <n v="14.215999999999999"/>
    <n v="14.215999999999999"/>
    <n v="0"/>
    <x v="0"/>
    <n v="0"/>
    <n v="0"/>
    <n v="36"/>
    <n v="83"/>
    <n v="0"/>
    <n v="1174.6600000000001"/>
    <n v="430.87"/>
    <m/>
    <n v="1305.5515491455487"/>
    <n v="375.70671275609089"/>
    <n v="0"/>
    <n v="16698.966560000001"/>
    <n v="6125.2479199999998"/>
    <n v="0"/>
    <n v="18559.720822653118"/>
    <n v="5341.0466285405882"/>
  </r>
  <r>
    <s v="Sistema de Compensação"/>
    <x v="3"/>
    <x v="3"/>
    <x v="0"/>
    <x v="0"/>
    <x v="0"/>
    <x v="0"/>
    <x v="1"/>
    <x v="10"/>
    <n v="0"/>
    <n v="0"/>
    <n v="32.156999999999996"/>
    <n v="32.156999999999996"/>
    <n v="32.156999999999996"/>
    <n v="32.156999999999996"/>
    <n v="0"/>
    <x v="0"/>
    <n v="0"/>
    <n v="0"/>
    <n v="36"/>
    <n v="83"/>
    <n v="0"/>
    <n v="1174.6600000000001"/>
    <n v="430.87"/>
    <m/>
    <n v="1305.5515491455487"/>
    <n v="375.70671275609089"/>
    <n v="0"/>
    <n v="37773.541619999996"/>
    <n v="13855.486589999999"/>
    <n v="0"/>
    <n v="41982.621165873403"/>
    <n v="12081.600762097614"/>
  </r>
  <r>
    <s v="PROJETADO"/>
    <x v="3"/>
    <x v="3"/>
    <x v="0"/>
    <x v="0"/>
    <x v="0"/>
    <x v="0"/>
    <x v="1"/>
    <x v="11"/>
    <n v="0"/>
    <n v="0"/>
    <n v="382.06700000000001"/>
    <n v="382.06700000000001"/>
    <n v="382.06700000000001"/>
    <n v="382.06700000000001"/>
    <n v="0"/>
    <x v="0"/>
    <n v="0"/>
    <n v="0"/>
    <n v="36"/>
    <n v="83"/>
    <n v="0"/>
    <n v="1174.6600000000001"/>
    <n v="430.87"/>
    <m/>
    <n v="1305.5515491455487"/>
    <n v="375.70671275609089"/>
    <n v="0"/>
    <n v="448798.82222000003"/>
    <n v="164621.20829000001"/>
    <n v="0"/>
    <n v="498808.16372739238"/>
    <n v="143545.13662258137"/>
  </r>
  <r>
    <s v="PROJETADO"/>
    <x v="3"/>
    <x v="3"/>
    <x v="0"/>
    <x v="0"/>
    <x v="0"/>
    <x v="0"/>
    <x v="1"/>
    <x v="11"/>
    <n v="0"/>
    <n v="0"/>
    <n v="14.215999999999999"/>
    <n v="14.215999999999999"/>
    <n v="14.215999999999999"/>
    <n v="14.215999999999999"/>
    <n v="0"/>
    <x v="0"/>
    <n v="0"/>
    <n v="0"/>
    <n v="36"/>
    <n v="83"/>
    <n v="0"/>
    <n v="1174.6600000000001"/>
    <n v="430.87"/>
    <m/>
    <n v="1305.5515491455487"/>
    <n v="375.70671275609089"/>
    <n v="0"/>
    <n v="16698.966560000001"/>
    <n v="6125.2479199999998"/>
    <n v="0"/>
    <n v="18559.720822653118"/>
    <n v="5341.0466285405882"/>
  </r>
  <r>
    <s v="PROJETADO"/>
    <x v="3"/>
    <x v="3"/>
    <x v="0"/>
    <x v="0"/>
    <x v="0"/>
    <x v="0"/>
    <x v="1"/>
    <x v="11"/>
    <n v="0"/>
    <n v="0"/>
    <n v="32.156999999999996"/>
    <n v="32.156999999999996"/>
    <n v="32.156999999999996"/>
    <n v="32.156999999999996"/>
    <n v="0"/>
    <x v="0"/>
    <n v="0"/>
    <n v="0"/>
    <n v="36"/>
    <n v="83"/>
    <n v="0"/>
    <n v="1174.6600000000001"/>
    <n v="430.87"/>
    <m/>
    <n v="1305.5515491455487"/>
    <n v="375.70671275609089"/>
    <n v="0"/>
    <n v="37773.541619999996"/>
    <n v="13855.486589999999"/>
    <n v="0"/>
    <n v="41982.621165873403"/>
    <n v="12081.600762097614"/>
  </r>
  <r>
    <s v="Regular"/>
    <x v="3"/>
    <x v="3"/>
    <x v="1"/>
    <x v="0"/>
    <x v="2"/>
    <x v="0"/>
    <x v="0"/>
    <x v="0"/>
    <n v="0"/>
    <n v="0"/>
    <n v="2216.1469999999999"/>
    <n v="2216.1469999999999"/>
    <n v="0"/>
    <n v="0"/>
    <n v="0"/>
    <x v="2"/>
    <n v="0"/>
    <n v="0"/>
    <n v="37"/>
    <n v="0"/>
    <n v="0"/>
    <n v="109.75"/>
    <n v="0"/>
    <m/>
    <n v="112.98053114414617"/>
    <m/>
    <n v="0"/>
    <n v="243222.13324999998"/>
    <n v="0"/>
    <n v="0"/>
    <n v="250381.46515350608"/>
    <n v="0"/>
  </r>
  <r>
    <s v="Regular"/>
    <x v="3"/>
    <x v="3"/>
    <x v="1"/>
    <x v="0"/>
    <x v="2"/>
    <x v="0"/>
    <x v="0"/>
    <x v="1"/>
    <n v="0"/>
    <n v="0"/>
    <n v="2075.64"/>
    <n v="2075.64"/>
    <n v="0"/>
    <n v="0"/>
    <n v="0"/>
    <x v="2"/>
    <n v="0"/>
    <n v="0"/>
    <n v="37"/>
    <n v="0"/>
    <n v="0"/>
    <n v="109.75"/>
    <n v="0"/>
    <m/>
    <n v="112.98053114414617"/>
    <m/>
    <n v="0"/>
    <n v="227801.49"/>
    <n v="0"/>
    <n v="0"/>
    <n v="234506.90966403554"/>
    <n v="0"/>
  </r>
  <r>
    <s v="Regular"/>
    <x v="3"/>
    <x v="3"/>
    <x v="1"/>
    <x v="0"/>
    <x v="2"/>
    <x v="0"/>
    <x v="0"/>
    <x v="2"/>
    <n v="0"/>
    <n v="0"/>
    <n v="2183.33"/>
    <n v="2183.33"/>
    <n v="0"/>
    <n v="0"/>
    <n v="0"/>
    <x v="2"/>
    <n v="0"/>
    <n v="0"/>
    <n v="37"/>
    <n v="0"/>
    <n v="0"/>
    <n v="109.75"/>
    <n v="0"/>
    <m/>
    <n v="112.98053114414617"/>
    <m/>
    <n v="0"/>
    <n v="239620.4675"/>
    <n v="0"/>
    <n v="0"/>
    <n v="246673.78306294864"/>
    <n v="0"/>
  </r>
  <r>
    <s v="Regular"/>
    <x v="3"/>
    <x v="3"/>
    <x v="1"/>
    <x v="0"/>
    <x v="2"/>
    <x v="0"/>
    <x v="0"/>
    <x v="3"/>
    <n v="0"/>
    <n v="0"/>
    <n v="2192.85"/>
    <n v="2192.85"/>
    <n v="0"/>
    <n v="0"/>
    <n v="0"/>
    <x v="2"/>
    <n v="0"/>
    <n v="0"/>
    <n v="37"/>
    <n v="0"/>
    <n v="0"/>
    <n v="109.75"/>
    <n v="0"/>
    <m/>
    <n v="112.98053114414617"/>
    <m/>
    <n v="0"/>
    <n v="240665.28749999998"/>
    <n v="0"/>
    <n v="0"/>
    <n v="247749.35771944092"/>
    <n v="0"/>
  </r>
  <r>
    <s v="Regular"/>
    <x v="3"/>
    <x v="3"/>
    <x v="1"/>
    <x v="0"/>
    <x v="2"/>
    <x v="0"/>
    <x v="0"/>
    <x v="4"/>
    <n v="0"/>
    <n v="0"/>
    <n v="1960.819"/>
    <n v="1960.819"/>
    <n v="0"/>
    <n v="0"/>
    <n v="0"/>
    <x v="2"/>
    <n v="0"/>
    <n v="0"/>
    <n v="37"/>
    <n v="0"/>
    <n v="0"/>
    <n v="109.75"/>
    <n v="0"/>
    <m/>
    <n v="112.98053114414617"/>
    <m/>
    <n v="0"/>
    <n v="215199.88524999999"/>
    <n v="0"/>
    <n v="0"/>
    <n v="221534.37209753355"/>
    <n v="0"/>
  </r>
  <r>
    <s v="Regular"/>
    <x v="3"/>
    <x v="3"/>
    <x v="1"/>
    <x v="0"/>
    <x v="2"/>
    <x v="0"/>
    <x v="0"/>
    <x v="5"/>
    <n v="0"/>
    <n v="0"/>
    <n v="2094.172"/>
    <n v="2094.172"/>
    <n v="0"/>
    <n v="0"/>
    <n v="0"/>
    <x v="2"/>
    <n v="0"/>
    <n v="0"/>
    <n v="37"/>
    <n v="0"/>
    <n v="0"/>
    <n v="109.75"/>
    <n v="0"/>
    <m/>
    <n v="112.98053114414617"/>
    <m/>
    <n v="0"/>
    <n v="229835.37700000001"/>
    <n v="0"/>
    <n v="0"/>
    <n v="236600.66486719888"/>
    <n v="0"/>
  </r>
  <r>
    <s v="Regular"/>
    <x v="3"/>
    <x v="3"/>
    <x v="1"/>
    <x v="0"/>
    <x v="2"/>
    <x v="0"/>
    <x v="0"/>
    <x v="6"/>
    <n v="0"/>
    <n v="0"/>
    <n v="1934.481"/>
    <n v="1934.481"/>
    <n v="0"/>
    <n v="0"/>
    <n v="0"/>
    <x v="2"/>
    <n v="0"/>
    <n v="0"/>
    <n v="37"/>
    <n v="0"/>
    <n v="0"/>
    <n v="109.75"/>
    <n v="0"/>
    <m/>
    <n v="112.98053114414617"/>
    <m/>
    <n v="0"/>
    <n v="212309.28975"/>
    <n v="0"/>
    <n v="0"/>
    <n v="218558.69086825903"/>
    <n v="0"/>
  </r>
  <r>
    <s v="Regular"/>
    <x v="3"/>
    <x v="3"/>
    <x v="1"/>
    <x v="0"/>
    <x v="2"/>
    <x v="0"/>
    <x v="0"/>
    <x v="7"/>
    <n v="0"/>
    <n v="0"/>
    <n v="1943.2639999999999"/>
    <n v="1943.2639999999999"/>
    <n v="0"/>
    <n v="0"/>
    <n v="0"/>
    <x v="2"/>
    <n v="0"/>
    <n v="0"/>
    <n v="37"/>
    <n v="0"/>
    <n v="0"/>
    <n v="109.75"/>
    <n v="0"/>
    <m/>
    <n v="112.98053114414617"/>
    <m/>
    <n v="0"/>
    <n v="213273.22399999999"/>
    <n v="0"/>
    <n v="0"/>
    <n v="219550.99887329806"/>
    <n v="0"/>
  </r>
  <r>
    <s v="Regular"/>
    <x v="3"/>
    <x v="3"/>
    <x v="1"/>
    <x v="0"/>
    <x v="2"/>
    <x v="0"/>
    <x v="0"/>
    <x v="8"/>
    <n v="0"/>
    <n v="0"/>
    <n v="1943.2639999999999"/>
    <n v="1943.2639999999999"/>
    <n v="0"/>
    <n v="0"/>
    <n v="0"/>
    <x v="2"/>
    <n v="0"/>
    <n v="0"/>
    <n v="37"/>
    <n v="0"/>
    <n v="0"/>
    <n v="109.75"/>
    <n v="0"/>
    <m/>
    <n v="112.98053114414617"/>
    <m/>
    <n v="0"/>
    <n v="213273.22399999999"/>
    <n v="0"/>
    <n v="0"/>
    <n v="219550.99887329806"/>
    <n v="0"/>
  </r>
  <r>
    <s v="Regular"/>
    <x v="3"/>
    <x v="3"/>
    <x v="1"/>
    <x v="0"/>
    <x v="2"/>
    <x v="0"/>
    <x v="0"/>
    <x v="9"/>
    <n v="0"/>
    <n v="0"/>
    <n v="1682.3130000000001"/>
    <n v="1682.3130000000001"/>
    <n v="0"/>
    <n v="0"/>
    <n v="0"/>
    <x v="2"/>
    <n v="0"/>
    <n v="0"/>
    <n v="37"/>
    <n v="0"/>
    <n v="0"/>
    <n v="109.75"/>
    <n v="0"/>
    <m/>
    <n v="112.98053114414617"/>
    <m/>
    <n v="0"/>
    <n v="184633.85175"/>
    <n v="0"/>
    <n v="0"/>
    <n v="190068.61629070199"/>
    <n v="0"/>
  </r>
  <r>
    <s v="Regular"/>
    <x v="3"/>
    <x v="3"/>
    <x v="1"/>
    <x v="0"/>
    <x v="2"/>
    <x v="0"/>
    <x v="0"/>
    <x v="10"/>
    <n v="0"/>
    <n v="0"/>
    <n v="2074.7269999999999"/>
    <n v="2074.7269999999999"/>
    <n v="0"/>
    <n v="0"/>
    <n v="0"/>
    <x v="2"/>
    <n v="0"/>
    <n v="0"/>
    <n v="37"/>
    <n v="0"/>
    <n v="0"/>
    <n v="109.75"/>
    <n v="0"/>
    <m/>
    <n v="112.98053114414617"/>
    <m/>
    <n v="0"/>
    <n v="227701.28824999998"/>
    <n v="0"/>
    <n v="0"/>
    <n v="234403.75843910093"/>
    <n v="0"/>
  </r>
  <r>
    <s v="PROJETADO"/>
    <x v="3"/>
    <x v="3"/>
    <x v="1"/>
    <x v="0"/>
    <x v="2"/>
    <x v="0"/>
    <x v="0"/>
    <x v="11"/>
    <n v="0"/>
    <n v="0"/>
    <n v="2074.7269999999999"/>
    <n v="2074.7269999999999"/>
    <n v="0"/>
    <n v="0"/>
    <n v="0"/>
    <x v="2"/>
    <n v="0"/>
    <n v="0"/>
    <n v="37"/>
    <n v="0"/>
    <n v="0"/>
    <n v="109.75"/>
    <n v="0"/>
    <m/>
    <n v="112.98053114414617"/>
    <m/>
    <n v="0"/>
    <n v="227701.28824999998"/>
    <n v="0"/>
    <n v="0"/>
    <n v="234403.75843910093"/>
    <n v="0"/>
  </r>
  <r>
    <s v="Regular"/>
    <x v="3"/>
    <x v="3"/>
    <x v="1"/>
    <x v="0"/>
    <x v="2"/>
    <x v="0"/>
    <x v="2"/>
    <x v="0"/>
    <n v="9073"/>
    <n v="5630.4092904199997"/>
    <n v="0"/>
    <n v="0"/>
    <n v="0"/>
    <n v="0"/>
    <n v="17"/>
    <x v="2"/>
    <n v="0"/>
    <n v="35"/>
    <n v="0"/>
    <n v="0"/>
    <n v="12.24"/>
    <n v="0"/>
    <n v="0"/>
    <n v="16.00053546174815"/>
    <m/>
    <m/>
    <n v="68916.209714740791"/>
    <n v="0"/>
    <n v="0"/>
    <n v="90089.56351552144"/>
    <n v="0"/>
    <n v="0"/>
  </r>
  <r>
    <s v="Regular"/>
    <x v="3"/>
    <x v="3"/>
    <x v="1"/>
    <x v="0"/>
    <x v="2"/>
    <x v="0"/>
    <x v="2"/>
    <x v="1"/>
    <n v="9073"/>
    <n v="5949.4595208199999"/>
    <n v="0"/>
    <n v="0"/>
    <n v="0"/>
    <n v="0"/>
    <n v="17"/>
    <x v="2"/>
    <n v="0"/>
    <n v="35"/>
    <n v="0"/>
    <n v="0"/>
    <n v="12.24"/>
    <n v="0"/>
    <n v="0"/>
    <n v="16.00053546174815"/>
    <m/>
    <m/>
    <n v="72821.384534836805"/>
    <n v="0"/>
    <n v="0"/>
    <n v="95194.538041115564"/>
    <n v="0"/>
    <n v="0"/>
  </r>
  <r>
    <s v="Regular"/>
    <x v="3"/>
    <x v="3"/>
    <x v="1"/>
    <x v="0"/>
    <x v="2"/>
    <x v="0"/>
    <x v="2"/>
    <x v="2"/>
    <n v="9513"/>
    <n v="5972.0757062399998"/>
    <n v="0"/>
    <n v="0"/>
    <n v="0"/>
    <n v="0"/>
    <n v="18"/>
    <x v="2"/>
    <n v="0"/>
    <n v="35"/>
    <n v="0"/>
    <n v="0"/>
    <n v="12.24"/>
    <n v="0"/>
    <n v="0"/>
    <n v="16.00053546174815"/>
    <m/>
    <m/>
    <n v="73098.206644377598"/>
    <n v="0"/>
    <n v="0"/>
    <n v="95556.409117937743"/>
    <n v="0"/>
    <n v="0"/>
  </r>
  <r>
    <s v="Regular"/>
    <x v="3"/>
    <x v="3"/>
    <x v="1"/>
    <x v="0"/>
    <x v="2"/>
    <x v="0"/>
    <x v="2"/>
    <x v="3"/>
    <n v="9513"/>
    <n v="6120.0328221899999"/>
    <n v="0"/>
    <n v="0"/>
    <n v="0"/>
    <n v="0"/>
    <n v="18"/>
    <x v="2"/>
    <n v="0"/>
    <n v="35"/>
    <n v="0"/>
    <n v="0"/>
    <n v="12.24"/>
    <n v="0"/>
    <n v="0"/>
    <n v="16.00053546174815"/>
    <m/>
    <m/>
    <n v="74909.201743605605"/>
    <n v="0"/>
    <n v="0"/>
    <n v="97923.802198513702"/>
    <n v="0"/>
    <n v="0"/>
  </r>
  <r>
    <s v="Regular"/>
    <x v="3"/>
    <x v="3"/>
    <x v="1"/>
    <x v="0"/>
    <x v="2"/>
    <x v="0"/>
    <x v="2"/>
    <x v="4"/>
    <n v="9513"/>
    <n v="5888.6965443600002"/>
    <n v="0"/>
    <n v="0"/>
    <n v="0"/>
    <n v="0"/>
    <n v="18"/>
    <x v="2"/>
    <n v="0"/>
    <n v="35"/>
    <n v="0"/>
    <n v="0"/>
    <n v="12.24"/>
    <n v="0"/>
    <n v="0"/>
    <n v="16.00053546174815"/>
    <m/>
    <m/>
    <n v="72077.645702966402"/>
    <n v="0"/>
    <n v="0"/>
    <n v="94222.297881505976"/>
    <n v="0"/>
    <n v="0"/>
  </r>
  <r>
    <s v="Regular"/>
    <x v="3"/>
    <x v="3"/>
    <x v="1"/>
    <x v="0"/>
    <x v="2"/>
    <x v="0"/>
    <x v="2"/>
    <x v="5"/>
    <n v="10363"/>
    <n v="6508.9693146299996"/>
    <n v="0"/>
    <n v="0"/>
    <n v="0"/>
    <n v="0"/>
    <n v="19"/>
    <x v="2"/>
    <n v="0"/>
    <n v="35"/>
    <n v="0"/>
    <n v="0"/>
    <n v="12.24"/>
    <n v="0"/>
    <n v="0"/>
    <n v="16.00053546174815"/>
    <m/>
    <m/>
    <n v="79669.784411071203"/>
    <n v="0"/>
    <n v="0"/>
    <n v="104146.99433816786"/>
    <n v="0"/>
    <n v="0"/>
  </r>
  <r>
    <s v="Regular"/>
    <x v="3"/>
    <x v="3"/>
    <x v="1"/>
    <x v="0"/>
    <x v="2"/>
    <x v="0"/>
    <x v="2"/>
    <x v="6"/>
    <n v="11998"/>
    <n v="7444.2273686199997"/>
    <n v="0"/>
    <n v="0"/>
    <n v="0"/>
    <n v="0"/>
    <n v="21"/>
    <x v="2"/>
    <n v="0"/>
    <n v="35"/>
    <n v="0"/>
    <n v="0"/>
    <n v="12.24"/>
    <n v="0"/>
    <n v="0"/>
    <n v="16.00053546174815"/>
    <m/>
    <m/>
    <n v="91117.342991908794"/>
    <n v="0"/>
    <n v="0"/>
    <n v="119111.62399692042"/>
    <n v="0"/>
    <n v="0"/>
  </r>
  <r>
    <s v="Regular"/>
    <x v="3"/>
    <x v="3"/>
    <x v="1"/>
    <x v="0"/>
    <x v="2"/>
    <x v="0"/>
    <x v="2"/>
    <x v="7"/>
    <n v="12378"/>
    <n v="7589.1920569800004"/>
    <n v="0"/>
    <n v="0"/>
    <n v="0"/>
    <n v="0"/>
    <n v="22"/>
    <x v="2"/>
    <n v="0"/>
    <n v="35"/>
    <n v="0"/>
    <n v="0"/>
    <n v="12.24"/>
    <n v="0"/>
    <n v="0"/>
    <n v="16.00053546174815"/>
    <m/>
    <m/>
    <n v="92891.710777435204"/>
    <n v="0"/>
    <n v="0"/>
    <n v="121431.13663372588"/>
    <n v="0"/>
    <n v="0"/>
  </r>
  <r>
    <s v="Regular"/>
    <x v="3"/>
    <x v="3"/>
    <x v="1"/>
    <x v="0"/>
    <x v="2"/>
    <x v="0"/>
    <x v="2"/>
    <x v="8"/>
    <n v="12378"/>
    <n v="7653.0947197799997"/>
    <n v="0"/>
    <n v="0"/>
    <n v="0"/>
    <n v="0"/>
    <n v="22"/>
    <x v="2"/>
    <n v="0"/>
    <n v="35"/>
    <n v="0"/>
    <n v="0"/>
    <n v="12.24"/>
    <n v="0"/>
    <n v="0"/>
    <n v="16.00053546174815"/>
    <m/>
    <m/>
    <n v="93673.879370107199"/>
    <n v="0"/>
    <n v="0"/>
    <n v="122453.61345595741"/>
    <n v="0"/>
    <n v="0"/>
  </r>
  <r>
    <s v="Regular"/>
    <x v="3"/>
    <x v="3"/>
    <x v="1"/>
    <x v="0"/>
    <x v="2"/>
    <x v="0"/>
    <x v="2"/>
    <x v="9"/>
    <n v="8838"/>
    <n v="5382.5778862200004"/>
    <n v="0"/>
    <n v="0"/>
    <n v="0"/>
    <n v="0"/>
    <n v="16"/>
    <x v="2"/>
    <n v="0"/>
    <n v="35"/>
    <n v="0"/>
    <n v="0"/>
    <n v="12.24"/>
    <n v="0"/>
    <n v="0"/>
    <n v="16.00053546174815"/>
    <m/>
    <m/>
    <n v="65882.753327332801"/>
    <n v="0"/>
    <n v="0"/>
    <n v="86124.128344084515"/>
    <n v="0"/>
    <n v="0"/>
  </r>
  <r>
    <s v="Regular"/>
    <x v="3"/>
    <x v="3"/>
    <x v="1"/>
    <x v="0"/>
    <x v="2"/>
    <x v="0"/>
    <x v="2"/>
    <x v="10"/>
    <n v="12378"/>
    <n v="7550.58"/>
    <n v="0"/>
    <n v="0"/>
    <n v="0"/>
    <n v="0"/>
    <n v="22"/>
    <x v="2"/>
    <n v="0"/>
    <n v="35"/>
    <n v="0"/>
    <n v="0"/>
    <n v="12.24"/>
    <n v="0"/>
    <n v="0"/>
    <n v="16.00053546174815"/>
    <m/>
    <m/>
    <n v="92419.099199999997"/>
    <n v="0"/>
    <n v="0"/>
    <n v="120813.32304676635"/>
    <n v="0"/>
    <n v="0"/>
  </r>
  <r>
    <s v="PROJETADO"/>
    <x v="3"/>
    <x v="3"/>
    <x v="1"/>
    <x v="0"/>
    <x v="2"/>
    <x v="0"/>
    <x v="2"/>
    <x v="11"/>
    <n v="12378"/>
    <n v="7550.58"/>
    <n v="0"/>
    <n v="0"/>
    <n v="0"/>
    <n v="0"/>
    <n v="22"/>
    <x v="2"/>
    <n v="0"/>
    <n v="35"/>
    <n v="0"/>
    <n v="0"/>
    <n v="12.24"/>
    <n v="0"/>
    <n v="0"/>
    <n v="16.00053546174815"/>
    <m/>
    <m/>
    <n v="92419.099199999997"/>
    <n v="0"/>
    <n v="0"/>
    <n v="120813.32304676635"/>
    <n v="0"/>
    <n v="0"/>
  </r>
  <r>
    <s v="Regular"/>
    <x v="3"/>
    <x v="3"/>
    <x v="1"/>
    <x v="0"/>
    <x v="2"/>
    <x v="0"/>
    <x v="1"/>
    <x v="0"/>
    <n v="0"/>
    <n v="0"/>
    <n v="297.952"/>
    <n v="195.44079503200001"/>
    <n v="0"/>
    <n v="0"/>
    <n v="0"/>
    <x v="2"/>
    <n v="0"/>
    <n v="0"/>
    <n v="36"/>
    <n v="0"/>
    <n v="0"/>
    <n v="1174.6600000000001"/>
    <n v="0"/>
    <m/>
    <n v="1305.5515491455487"/>
    <m/>
    <n v="0"/>
    <n v="229576.48429228915"/>
    <n v="0"/>
    <n v="0"/>
    <n v="255158.03272026527"/>
    <n v="0"/>
  </r>
  <r>
    <s v="Regular"/>
    <x v="3"/>
    <x v="3"/>
    <x v="1"/>
    <x v="0"/>
    <x v="2"/>
    <x v="0"/>
    <x v="1"/>
    <x v="1"/>
    <n v="0"/>
    <n v="0"/>
    <n v="259.803"/>
    <n v="161.49602332062"/>
    <n v="0"/>
    <n v="0"/>
    <n v="0"/>
    <x v="2"/>
    <n v="0"/>
    <n v="0"/>
    <n v="36"/>
    <n v="0"/>
    <n v="0"/>
    <n v="1174.6600000000001"/>
    <n v="0"/>
    <m/>
    <n v="1305.5515491455487"/>
    <m/>
    <n v="0"/>
    <n v="189702.91875379949"/>
    <n v="0"/>
    <n v="0"/>
    <n v="210841.38342708111"/>
    <n v="0"/>
  </r>
  <r>
    <s v="Regular"/>
    <x v="3"/>
    <x v="3"/>
    <x v="1"/>
    <x v="0"/>
    <x v="2"/>
    <x v="0"/>
    <x v="1"/>
    <x v="2"/>
    <n v="0"/>
    <n v="0"/>
    <n v="264.79500000000002"/>
    <n v="175.42622410875001"/>
    <n v="0"/>
    <n v="0"/>
    <n v="0"/>
    <x v="2"/>
    <n v="0"/>
    <n v="0"/>
    <n v="36"/>
    <n v="0"/>
    <n v="0"/>
    <n v="1174.6600000000001"/>
    <n v="0"/>
    <m/>
    <n v="1305.5515491455487"/>
    <m/>
    <n v="0"/>
    <n v="206066.16841158431"/>
    <n v="0"/>
    <n v="0"/>
    <n v="229027.97864593277"/>
    <n v="0"/>
  </r>
  <r>
    <s v="Regular"/>
    <x v="3"/>
    <x v="3"/>
    <x v="1"/>
    <x v="0"/>
    <x v="2"/>
    <x v="0"/>
    <x v="1"/>
    <x v="3"/>
    <n v="0"/>
    <n v="0"/>
    <n v="289.28399999999999"/>
    <n v="198.51033734975999"/>
    <n v="0"/>
    <n v="0"/>
    <n v="0"/>
    <x v="2"/>
    <n v="0"/>
    <n v="0"/>
    <n v="36"/>
    <n v="0"/>
    <n v="0"/>
    <n v="1174.6600000000001"/>
    <n v="0"/>
    <m/>
    <n v="1305.5515491455487"/>
    <m/>
    <n v="0"/>
    <n v="233182.15287126909"/>
    <n v="0"/>
    <n v="0"/>
    <n v="259165.47844838465"/>
    <n v="0"/>
  </r>
  <r>
    <s v="Regular"/>
    <x v="3"/>
    <x v="3"/>
    <x v="1"/>
    <x v="0"/>
    <x v="2"/>
    <x v="0"/>
    <x v="1"/>
    <x v="4"/>
    <n v="0"/>
    <n v="0"/>
    <n v="240.24600000000001"/>
    <n v="157.09251815478001"/>
    <n v="0"/>
    <n v="0"/>
    <n v="0"/>
    <x v="2"/>
    <n v="0"/>
    <n v="0"/>
    <n v="36"/>
    <n v="0"/>
    <n v="0"/>
    <n v="1174.6600000000001"/>
    <n v="0"/>
    <m/>
    <n v="1305.5515491455487"/>
    <m/>
    <n v="0"/>
    <n v="184530.29737569389"/>
    <n v="0"/>
    <n v="0"/>
    <n v="205092.38043614829"/>
    <n v="0"/>
  </r>
  <r>
    <s v="Regular"/>
    <x v="3"/>
    <x v="3"/>
    <x v="1"/>
    <x v="0"/>
    <x v="2"/>
    <x v="0"/>
    <x v="1"/>
    <x v="5"/>
    <n v="0"/>
    <n v="0"/>
    <n v="264.87900000000002"/>
    <n v="176.56615349946"/>
    <n v="0"/>
    <n v="0"/>
    <n v="0"/>
    <x v="2"/>
    <n v="0"/>
    <n v="0"/>
    <n v="36"/>
    <n v="0"/>
    <n v="0"/>
    <n v="1174.6600000000001"/>
    <n v="0"/>
    <m/>
    <n v="1305.5515491455487"/>
    <m/>
    <n v="0"/>
    <n v="207405.1978696757"/>
    <n v="0"/>
    <n v="0"/>
    <n v="230516.21522789076"/>
    <n v="0"/>
  </r>
  <r>
    <s v="Regular"/>
    <x v="3"/>
    <x v="3"/>
    <x v="1"/>
    <x v="0"/>
    <x v="2"/>
    <x v="0"/>
    <x v="1"/>
    <x v="6"/>
    <n v="0"/>
    <n v="0"/>
    <n v="249.36"/>
    <n v="164.96038006800001"/>
    <n v="0"/>
    <n v="0"/>
    <n v="0"/>
    <x v="2"/>
    <n v="0"/>
    <n v="0"/>
    <n v="36"/>
    <n v="0"/>
    <n v="0"/>
    <n v="1174.6600000000001"/>
    <n v="0"/>
    <m/>
    <n v="1305.5515491455487"/>
    <m/>
    <n v="0"/>
    <n v="193772.36005067691"/>
    <n v="0"/>
    <n v="0"/>
    <n v="215364.2797454159"/>
    <n v="0"/>
  </r>
  <r>
    <s v="Regular"/>
    <x v="3"/>
    <x v="3"/>
    <x v="1"/>
    <x v="0"/>
    <x v="2"/>
    <x v="0"/>
    <x v="1"/>
    <x v="7"/>
    <n v="0"/>
    <n v="0"/>
    <n v="220.82599999999999"/>
    <n v="145.75165890918001"/>
    <n v="0"/>
    <n v="0"/>
    <n v="0"/>
    <x v="2"/>
    <n v="0"/>
    <n v="0"/>
    <n v="36"/>
    <n v="0"/>
    <n v="0"/>
    <n v="1174.6600000000001"/>
    <n v="0"/>
    <m/>
    <n v="1305.5515491455487"/>
    <m/>
    <n v="0"/>
    <n v="171208.64365425741"/>
    <n v="0"/>
    <n v="0"/>
    <n v="190286.30407941359"/>
    <n v="0"/>
  </r>
  <r>
    <s v="Regular"/>
    <x v="3"/>
    <x v="3"/>
    <x v="1"/>
    <x v="0"/>
    <x v="2"/>
    <x v="0"/>
    <x v="1"/>
    <x v="8"/>
    <n v="0"/>
    <n v="0"/>
    <n v="220.82599999999999"/>
    <n v="147.78605376633999"/>
    <n v="0"/>
    <n v="0"/>
    <n v="0"/>
    <x v="2"/>
    <n v="0"/>
    <n v="0"/>
    <n v="36"/>
    <n v="0"/>
    <n v="0"/>
    <n v="1174.6600000000001"/>
    <n v="0"/>
    <m/>
    <n v="1305.5515491455487"/>
    <m/>
    <n v="0"/>
    <n v="173598.36591716894"/>
    <n v="0"/>
    <n v="0"/>
    <n v="192942.31143675253"/>
    <n v="0"/>
  </r>
  <r>
    <s v="Regular"/>
    <x v="3"/>
    <x v="3"/>
    <x v="1"/>
    <x v="0"/>
    <x v="2"/>
    <x v="0"/>
    <x v="1"/>
    <x v="9"/>
    <n v="0"/>
    <n v="0"/>
    <n v="228.57300000000001"/>
    <n v="146.40605567757001"/>
    <n v="0"/>
    <n v="0"/>
    <n v="0"/>
    <x v="2"/>
    <n v="0"/>
    <n v="0"/>
    <n v="36"/>
    <n v="0"/>
    <n v="0"/>
    <n v="1174.6600000000001"/>
    <n v="0"/>
    <m/>
    <n v="1305.5515491455487"/>
    <m/>
    <n v="0"/>
    <n v="171977.3373622144"/>
    <n v="0"/>
    <n v="0"/>
    <n v="191140.65279414097"/>
    <n v="0"/>
  </r>
  <r>
    <s v="Regular"/>
    <x v="3"/>
    <x v="3"/>
    <x v="1"/>
    <x v="0"/>
    <x v="2"/>
    <x v="0"/>
    <x v="1"/>
    <x v="10"/>
    <n v="0"/>
    <n v="0"/>
    <n v="265.601"/>
    <n v="175.29666"/>
    <n v="0"/>
    <n v="0"/>
    <n v="0"/>
    <x v="2"/>
    <n v="0"/>
    <n v="0"/>
    <n v="36"/>
    <n v="0"/>
    <n v="0"/>
    <n v="1174.6600000000001"/>
    <n v="0"/>
    <m/>
    <n v="1305.5515491455487"/>
    <m/>
    <n v="0"/>
    <n v="205913.97463560003"/>
    <n v="0"/>
    <n v="0"/>
    <n v="228858.82602304054"/>
    <n v="0"/>
  </r>
  <r>
    <s v="PROJETADO"/>
    <x v="3"/>
    <x v="3"/>
    <x v="1"/>
    <x v="0"/>
    <x v="2"/>
    <x v="0"/>
    <x v="1"/>
    <x v="11"/>
    <n v="0"/>
    <n v="0"/>
    <n v="265.601"/>
    <n v="175.29666"/>
    <n v="0"/>
    <n v="0"/>
    <n v="0"/>
    <x v="2"/>
    <n v="0"/>
    <n v="0"/>
    <n v="36"/>
    <n v="0"/>
    <n v="0"/>
    <n v="1174.6600000000001"/>
    <n v="0"/>
    <m/>
    <n v="1305.5515491455487"/>
    <m/>
    <n v="0"/>
    <n v="205913.97463560003"/>
    <n v="0"/>
    <n v="0"/>
    <n v="228858.82602304054"/>
    <n v="0"/>
  </r>
  <r>
    <s v="Regular"/>
    <x v="3"/>
    <x v="3"/>
    <x v="4"/>
    <x v="0"/>
    <x v="0"/>
    <x v="0"/>
    <x v="0"/>
    <x v="0"/>
    <n v="0"/>
    <n v="0"/>
    <n v="14299.428"/>
    <n v="14299.428"/>
    <n v="14299.428"/>
    <n v="14299.428"/>
    <n v="0"/>
    <x v="0"/>
    <n v="0"/>
    <n v="0"/>
    <n v="37"/>
    <n v="84"/>
    <n v="0"/>
    <n v="109.75"/>
    <n v="256.38"/>
    <m/>
    <n v="112.98053114414617"/>
    <n v="230.84299908458948"/>
    <n v="0"/>
    <n v="1569362.223"/>
    <n v="3666087.3506399998"/>
    <n v="0"/>
    <n v="1615556.9704974757"/>
    <n v="3300922.8447141531"/>
  </r>
  <r>
    <s v="Sistema de Compensação"/>
    <x v="3"/>
    <x v="3"/>
    <x v="4"/>
    <x v="0"/>
    <x v="0"/>
    <x v="0"/>
    <x v="0"/>
    <x v="0"/>
    <n v="0"/>
    <n v="0"/>
    <n v="832.93200000000002"/>
    <n v="832.93200000000002"/>
    <n v="832.93200000000002"/>
    <n v="832.93200000000002"/>
    <n v="0"/>
    <x v="0"/>
    <n v="0"/>
    <n v="0"/>
    <n v="37"/>
    <n v="84"/>
    <n v="0"/>
    <n v="109.75"/>
    <n v="256.38"/>
    <m/>
    <n v="112.98053114414617"/>
    <n v="230.84299908458948"/>
    <n v="0"/>
    <n v="91414.286999999997"/>
    <n v="213547.10616"/>
    <n v="0"/>
    <n v="94105.099766955958"/>
    <n v="192276.52091352528"/>
  </r>
  <r>
    <s v="Regular"/>
    <x v="3"/>
    <x v="3"/>
    <x v="4"/>
    <x v="0"/>
    <x v="0"/>
    <x v="0"/>
    <x v="0"/>
    <x v="1"/>
    <n v="0"/>
    <n v="0"/>
    <n v="13923.145"/>
    <n v="13923.145"/>
    <n v="13923.145"/>
    <n v="13923.145"/>
    <n v="0"/>
    <x v="0"/>
    <n v="0"/>
    <n v="0"/>
    <n v="37"/>
    <n v="84"/>
    <n v="0"/>
    <n v="109.75"/>
    <n v="256.38"/>
    <m/>
    <n v="112.98053114414617"/>
    <n v="230.84299908458948"/>
    <n v="0"/>
    <n v="1528065.1637500001"/>
    <n v="3569615.9150999999"/>
    <n v="0"/>
    <n v="1573044.3172969632"/>
    <n v="3214060.5484896065"/>
  </r>
  <r>
    <s v="Sistema de Compensação"/>
    <x v="3"/>
    <x v="3"/>
    <x v="4"/>
    <x v="0"/>
    <x v="0"/>
    <x v="0"/>
    <x v="0"/>
    <x v="1"/>
    <n v="0"/>
    <n v="0"/>
    <n v="892.69299999999998"/>
    <n v="892.69299999999998"/>
    <n v="892.69299999999998"/>
    <n v="892.69299999999998"/>
    <n v="0"/>
    <x v="0"/>
    <n v="0"/>
    <n v="0"/>
    <n v="37"/>
    <n v="84"/>
    <n v="0"/>
    <n v="109.75"/>
    <n v="256.38"/>
    <m/>
    <n v="112.98053114414617"/>
    <n v="230.84299908458948"/>
    <n v="0"/>
    <n v="97973.056750000003"/>
    <n v="228868.63133999999"/>
    <n v="0"/>
    <n v="100856.92928866128"/>
    <n v="206071.92938181944"/>
  </r>
  <r>
    <s v="Regular"/>
    <x v="3"/>
    <x v="3"/>
    <x v="4"/>
    <x v="0"/>
    <x v="0"/>
    <x v="0"/>
    <x v="0"/>
    <x v="2"/>
    <n v="0"/>
    <n v="0"/>
    <n v="12725.377"/>
    <n v="12725.377"/>
    <n v="12725.377"/>
    <n v="12725.377"/>
    <n v="0"/>
    <x v="0"/>
    <n v="0"/>
    <n v="0"/>
    <n v="37"/>
    <n v="84"/>
    <n v="0"/>
    <n v="109.75"/>
    <n v="256.38"/>
    <m/>
    <n v="112.98053114414617"/>
    <n v="230.84299908458948"/>
    <n v="0"/>
    <n v="1396610.1257500001"/>
    <n v="3262532.1552599999"/>
    <n v="0"/>
    <n v="1437719.8524695013"/>
    <n v="2937564.1911620563"/>
  </r>
  <r>
    <s v="Refaturamento - Regular"/>
    <x v="3"/>
    <x v="3"/>
    <x v="4"/>
    <x v="0"/>
    <x v="0"/>
    <x v="0"/>
    <x v="0"/>
    <x v="2"/>
    <n v="0"/>
    <n v="0"/>
    <n v="338.55799999999999"/>
    <n v="338.55799999999999"/>
    <n v="338.55799999999999"/>
    <n v="338.55799999999999"/>
    <n v="0"/>
    <x v="0"/>
    <n v="0"/>
    <n v="0"/>
    <n v="37"/>
    <n v="84"/>
    <n v="0"/>
    <n v="109.75"/>
    <n v="256.38"/>
    <m/>
    <n v="112.98053114414617"/>
    <n v="230.84299908458948"/>
    <n v="0"/>
    <n v="37156.7405"/>
    <n v="86799.500039999999"/>
    <n v="0"/>
    <n v="38250.462663099839"/>
    <n v="78153.744084080448"/>
  </r>
  <r>
    <s v="Sistema de Compensação"/>
    <x v="3"/>
    <x v="3"/>
    <x v="4"/>
    <x v="0"/>
    <x v="0"/>
    <x v="0"/>
    <x v="0"/>
    <x v="2"/>
    <n v="0"/>
    <n v="0"/>
    <n v="943.03899999999999"/>
    <n v="943.03899999999999"/>
    <n v="943.03899999999999"/>
    <n v="943.03899999999999"/>
    <n v="0"/>
    <x v="0"/>
    <n v="0"/>
    <n v="0"/>
    <n v="37"/>
    <n v="84"/>
    <n v="0"/>
    <n v="109.75"/>
    <n v="256.38"/>
    <m/>
    <n v="112.98053114414617"/>
    <n v="230.84299908458948"/>
    <n v="0"/>
    <n v="103498.53025"/>
    <n v="241776.33882"/>
    <n v="0"/>
    <n v="106545.04710964445"/>
    <n v="217693.95101373218"/>
  </r>
  <r>
    <s v="Regular"/>
    <x v="3"/>
    <x v="3"/>
    <x v="4"/>
    <x v="0"/>
    <x v="0"/>
    <x v="0"/>
    <x v="0"/>
    <x v="3"/>
    <n v="0"/>
    <n v="0"/>
    <n v="12259.43"/>
    <n v="12259.43"/>
    <n v="12259.43"/>
    <n v="12259.43"/>
    <n v="0"/>
    <x v="0"/>
    <n v="0"/>
    <n v="0"/>
    <n v="37"/>
    <n v="84"/>
    <n v="0"/>
    <n v="109.75"/>
    <n v="256.38"/>
    <m/>
    <n v="112.98053114414617"/>
    <n v="230.84299908458948"/>
    <n v="0"/>
    <n v="1345472.4425000001"/>
    <n v="3143072.6634"/>
    <n v="0"/>
    <n v="1385076.9129244799"/>
    <n v="2830003.588267589"/>
  </r>
  <r>
    <s v="Sistema de Compensação"/>
    <x v="3"/>
    <x v="3"/>
    <x v="4"/>
    <x v="0"/>
    <x v="0"/>
    <x v="0"/>
    <x v="0"/>
    <x v="3"/>
    <n v="0"/>
    <n v="0"/>
    <n v="857.06799999999998"/>
    <n v="857.06799999999998"/>
    <n v="857.06799999999998"/>
    <n v="857.06799999999998"/>
    <n v="0"/>
    <x v="0"/>
    <n v="0"/>
    <n v="0"/>
    <n v="37"/>
    <n v="84"/>
    <n v="0"/>
    <n v="109.75"/>
    <n v="256.38"/>
    <m/>
    <n v="112.98053114414617"/>
    <n v="230.84299908458948"/>
    <n v="0"/>
    <n v="94063.213000000003"/>
    <n v="219735.09383999999"/>
    <n v="0"/>
    <n v="96831.997866651072"/>
    <n v="197848.14753943094"/>
  </r>
  <r>
    <s v="Regular"/>
    <x v="3"/>
    <x v="3"/>
    <x v="4"/>
    <x v="0"/>
    <x v="0"/>
    <x v="0"/>
    <x v="0"/>
    <x v="4"/>
    <n v="0"/>
    <n v="0"/>
    <n v="13232.063"/>
    <n v="13232.063"/>
    <n v="13232.063"/>
    <n v="13232.063"/>
    <n v="0"/>
    <x v="0"/>
    <n v="0"/>
    <n v="0"/>
    <n v="37"/>
    <n v="84"/>
    <n v="0"/>
    <n v="109.75"/>
    <n v="256.38"/>
    <m/>
    <n v="112.98053114414617"/>
    <n v="230.84299908458948"/>
    <n v="0"/>
    <n v="1452218.9142499999"/>
    <n v="3392436.3119399999"/>
    <n v="0"/>
    <n v="1494965.5058728042"/>
    <n v="3054529.1069962303"/>
  </r>
  <r>
    <s v="Sistema de Compensação"/>
    <x v="3"/>
    <x v="3"/>
    <x v="4"/>
    <x v="0"/>
    <x v="0"/>
    <x v="0"/>
    <x v="0"/>
    <x v="4"/>
    <n v="0"/>
    <n v="0"/>
    <n v="943.62199999999996"/>
    <n v="943.62199999999996"/>
    <n v="943.62199999999996"/>
    <n v="943.62199999999996"/>
    <n v="0"/>
    <x v="0"/>
    <n v="0"/>
    <n v="0"/>
    <n v="37"/>
    <n v="84"/>
    <n v="0"/>
    <n v="109.75"/>
    <n v="256.38"/>
    <m/>
    <n v="112.98053114414617"/>
    <n v="230.84299908458948"/>
    <n v="0"/>
    <n v="103562.51449999999"/>
    <n v="241925.80836"/>
    <n v="0"/>
    <n v="106610.91475930149"/>
    <n v="217828.5324821985"/>
  </r>
  <r>
    <s v="Regular"/>
    <x v="3"/>
    <x v="3"/>
    <x v="4"/>
    <x v="0"/>
    <x v="0"/>
    <x v="0"/>
    <x v="0"/>
    <x v="5"/>
    <n v="0"/>
    <n v="0"/>
    <n v="11712.858"/>
    <n v="11712.858"/>
    <n v="11712.858"/>
    <n v="11712.858"/>
    <n v="0"/>
    <x v="0"/>
    <n v="0"/>
    <n v="0"/>
    <n v="37"/>
    <n v="84"/>
    <n v="0"/>
    <n v="109.75"/>
    <n v="256.38"/>
    <m/>
    <n v="112.98053114414617"/>
    <n v="230.84299908458948"/>
    <n v="0"/>
    <n v="1285486.1655000001"/>
    <n v="3002942.5340399998"/>
    <n v="0"/>
    <n v="1323324.9180559616"/>
    <n v="2703831.2685719267"/>
  </r>
  <r>
    <s v="Sistema de Compensação"/>
    <x v="3"/>
    <x v="3"/>
    <x v="4"/>
    <x v="0"/>
    <x v="0"/>
    <x v="0"/>
    <x v="0"/>
    <x v="5"/>
    <n v="0"/>
    <n v="0"/>
    <n v="835.23400000000004"/>
    <n v="835.23400000000004"/>
    <n v="835.23400000000004"/>
    <n v="835.23400000000004"/>
    <n v="0"/>
    <x v="0"/>
    <n v="0"/>
    <n v="0"/>
    <n v="37"/>
    <n v="84"/>
    <n v="0"/>
    <n v="109.75"/>
    <n v="256.38"/>
    <m/>
    <n v="112.98053114414617"/>
    <n v="230.84299908458948"/>
    <n v="0"/>
    <n v="91666.931500000006"/>
    <n v="214137.29292000001"/>
    <n v="0"/>
    <n v="94365.180949649788"/>
    <n v="192807.92149741802"/>
  </r>
  <r>
    <s v="Regular"/>
    <x v="3"/>
    <x v="3"/>
    <x v="4"/>
    <x v="0"/>
    <x v="0"/>
    <x v="0"/>
    <x v="0"/>
    <x v="6"/>
    <n v="0"/>
    <n v="0"/>
    <n v="10897.46"/>
    <n v="10897.46"/>
    <n v="10897.46"/>
    <n v="10897.46"/>
    <n v="0"/>
    <x v="0"/>
    <n v="0"/>
    <n v="0"/>
    <n v="37"/>
    <n v="84"/>
    <n v="0"/>
    <n v="109.75"/>
    <n v="256.38"/>
    <m/>
    <n v="112.98053114414617"/>
    <n v="230.84299908458948"/>
    <n v="0"/>
    <n v="1195996.2349999999"/>
    <n v="2793890.7947999998"/>
    <n v="0"/>
    <n v="1231200.8189220871"/>
    <n v="2515602.3488043505"/>
  </r>
  <r>
    <s v="Refaturamento - Regular"/>
    <x v="3"/>
    <x v="3"/>
    <x v="4"/>
    <x v="0"/>
    <x v="0"/>
    <x v="0"/>
    <x v="0"/>
    <x v="6"/>
    <n v="0"/>
    <n v="0"/>
    <n v="152.595"/>
    <n v="152.595"/>
    <n v="152.595"/>
    <n v="152.595"/>
    <n v="0"/>
    <x v="0"/>
    <n v="0"/>
    <n v="0"/>
    <n v="37"/>
    <n v="84"/>
    <n v="0"/>
    <n v="109.75"/>
    <n v="256.38"/>
    <m/>
    <n v="112.98053114414617"/>
    <n v="230.84299908458948"/>
    <n v="0"/>
    <n v="16747.30125"/>
    <n v="39122.306100000002"/>
    <n v="0"/>
    <n v="17240.264149940984"/>
    <n v="35225.487445312931"/>
  </r>
  <r>
    <s v="Sistema de Compensação"/>
    <x v="3"/>
    <x v="3"/>
    <x v="4"/>
    <x v="0"/>
    <x v="0"/>
    <x v="0"/>
    <x v="0"/>
    <x v="6"/>
    <n v="0"/>
    <n v="0"/>
    <n v="730.22900000000004"/>
    <n v="730.22900000000004"/>
    <n v="730.22900000000004"/>
    <n v="730.22900000000004"/>
    <n v="0"/>
    <x v="0"/>
    <n v="0"/>
    <n v="0"/>
    <n v="37"/>
    <n v="84"/>
    <n v="0"/>
    <n v="109.75"/>
    <n v="256.38"/>
    <m/>
    <n v="112.98053114414617"/>
    <n v="230.84299908458948"/>
    <n v="0"/>
    <n v="80142.632750000004"/>
    <n v="187216.11102000001"/>
    <n v="0"/>
    <n v="82501.660276858718"/>
    <n v="168568.2523785407"/>
  </r>
  <r>
    <s v="Regular"/>
    <x v="3"/>
    <x v="3"/>
    <x v="4"/>
    <x v="0"/>
    <x v="0"/>
    <x v="0"/>
    <x v="0"/>
    <x v="7"/>
    <n v="0"/>
    <n v="0"/>
    <n v="8335.4920000000002"/>
    <n v="8335.4920000000002"/>
    <n v="8335.4920000000002"/>
    <n v="8335.4920000000002"/>
    <n v="0"/>
    <x v="0"/>
    <n v="0"/>
    <n v="0"/>
    <n v="37"/>
    <n v="84"/>
    <n v="0"/>
    <n v="109.75"/>
    <n v="256.38"/>
    <m/>
    <n v="112.98053114414617"/>
    <n v="230.84299908458948"/>
    <n v="0"/>
    <n v="914820.24699999997"/>
    <n v="2137053.4389599999"/>
    <n v="0"/>
    <n v="941748.31350778125"/>
    <n v="1924189.9721256029"/>
  </r>
  <r>
    <s v="Sistema de Compensação"/>
    <x v="3"/>
    <x v="3"/>
    <x v="4"/>
    <x v="0"/>
    <x v="0"/>
    <x v="0"/>
    <x v="0"/>
    <x v="7"/>
    <n v="0"/>
    <n v="0"/>
    <n v="536.40099999999995"/>
    <n v="536.40099999999995"/>
    <n v="536.40099999999995"/>
    <n v="536.40099999999995"/>
    <n v="0"/>
    <x v="0"/>
    <n v="0"/>
    <n v="0"/>
    <n v="37"/>
    <n v="84"/>
    <n v="0"/>
    <n v="109.75"/>
    <n v="256.38"/>
    <m/>
    <n v="112.98053114414617"/>
    <n v="230.84299908458948"/>
    <n v="0"/>
    <n v="58870.009749999997"/>
    <n v="137522.48838"/>
    <n v="0"/>
    <n v="60602.869886251145"/>
    <n v="123824.41555197287"/>
  </r>
  <r>
    <s v="Regular"/>
    <x v="3"/>
    <x v="3"/>
    <x v="4"/>
    <x v="0"/>
    <x v="0"/>
    <x v="0"/>
    <x v="0"/>
    <x v="8"/>
    <n v="0"/>
    <n v="0"/>
    <n v="8333.5319999999992"/>
    <n v="8333.5319999999992"/>
    <n v="8333.5319999999992"/>
    <n v="8333.5319999999992"/>
    <n v="0"/>
    <x v="0"/>
    <n v="0"/>
    <n v="0"/>
    <n v="37"/>
    <n v="84"/>
    <n v="0"/>
    <n v="109.75"/>
    <n v="256.38"/>
    <m/>
    <n v="112.98053114414617"/>
    <n v="230.84299908458948"/>
    <n v="0"/>
    <n v="914605.13699999987"/>
    <n v="2136550.9341599997"/>
    <n v="0"/>
    <n v="941526.87166673865"/>
    <n v="1923737.519847397"/>
  </r>
  <r>
    <s v="Sistema de Compensação"/>
    <x v="3"/>
    <x v="3"/>
    <x v="4"/>
    <x v="0"/>
    <x v="0"/>
    <x v="0"/>
    <x v="0"/>
    <x v="8"/>
    <n v="0"/>
    <n v="0"/>
    <n v="769.31"/>
    <n v="769.31"/>
    <n v="769.31"/>
    <n v="769.31"/>
    <n v="0"/>
    <x v="0"/>
    <n v="0"/>
    <n v="0"/>
    <n v="37"/>
    <n v="84"/>
    <n v="0"/>
    <n v="109.75"/>
    <n v="256.38"/>
    <m/>
    <n v="112.98053114414617"/>
    <n v="230.84299908458948"/>
    <n v="0"/>
    <n v="84431.772499999992"/>
    <n v="197235.69779999999"/>
    <n v="0"/>
    <n v="86917.052414503079"/>
    <n v="177589.82762576552"/>
  </r>
  <r>
    <s v="Regular"/>
    <x v="3"/>
    <x v="3"/>
    <x v="4"/>
    <x v="0"/>
    <x v="0"/>
    <x v="0"/>
    <x v="0"/>
    <x v="9"/>
    <n v="0"/>
    <n v="0"/>
    <n v="7726.7879999999996"/>
    <n v="7726.7879999999996"/>
    <n v="7726.7879999999996"/>
    <n v="7726.7879999999996"/>
    <n v="0"/>
    <x v="0"/>
    <n v="0"/>
    <n v="0"/>
    <n v="37"/>
    <n v="84"/>
    <n v="0"/>
    <n v="109.75"/>
    <n v="256.38"/>
    <m/>
    <n v="112.98053114414617"/>
    <n v="230.84299908458948"/>
    <n v="0"/>
    <n v="848014.98300000001"/>
    <n v="1980993.9074399997"/>
    <n v="0"/>
    <n v="872976.61227821489"/>
    <n v="1783674.9152108168"/>
  </r>
  <r>
    <s v="Sistema de Compensação"/>
    <x v="3"/>
    <x v="3"/>
    <x v="4"/>
    <x v="0"/>
    <x v="0"/>
    <x v="0"/>
    <x v="0"/>
    <x v="9"/>
    <n v="0"/>
    <n v="0"/>
    <n v="723.62300000000005"/>
    <n v="723.62300000000005"/>
    <n v="723.62300000000005"/>
    <n v="723.62300000000005"/>
    <n v="0"/>
    <x v="0"/>
    <n v="0"/>
    <n v="0"/>
    <n v="37"/>
    <n v="84"/>
    <n v="0"/>
    <n v="109.75"/>
    <n v="256.38"/>
    <m/>
    <n v="112.98053114414617"/>
    <n v="230.84299908458948"/>
    <n v="0"/>
    <n v="79417.624250000008"/>
    <n v="185522.46474"/>
    <n v="0"/>
    <n v="81755.310888120483"/>
    <n v="167043.3035265879"/>
  </r>
  <r>
    <s v="Regular"/>
    <x v="3"/>
    <x v="3"/>
    <x v="4"/>
    <x v="0"/>
    <x v="0"/>
    <x v="0"/>
    <x v="0"/>
    <x v="10"/>
    <n v="0"/>
    <n v="0"/>
    <n v="7336.2430000000004"/>
    <n v="7336.2430000000004"/>
    <n v="7336.2430000000004"/>
    <n v="7336.2430000000004"/>
    <n v="0"/>
    <x v="0"/>
    <n v="0"/>
    <n v="0"/>
    <n v="37"/>
    <n v="84"/>
    <n v="0"/>
    <n v="109.75"/>
    <n v="256.38"/>
    <m/>
    <n v="112.98053114414617"/>
    <n v="230.84299908458948"/>
    <n v="0"/>
    <n v="805152.66925000004"/>
    <n v="1880865.98034"/>
    <n v="0"/>
    <n v="828852.6307425244"/>
    <n v="1693520.3361333262"/>
  </r>
  <r>
    <s v="Refaturamento - Regular"/>
    <x v="3"/>
    <x v="3"/>
    <x v="4"/>
    <x v="0"/>
    <x v="0"/>
    <x v="0"/>
    <x v="0"/>
    <x v="10"/>
    <n v="0"/>
    <n v="0"/>
    <n v="246.01599999999999"/>
    <n v="246.01599999999999"/>
    <n v="246.01599999999999"/>
    <n v="246.01599999999999"/>
    <n v="0"/>
    <x v="0"/>
    <n v="0"/>
    <n v="0"/>
    <n v="37"/>
    <n v="84"/>
    <n v="0"/>
    <n v="109.75"/>
    <n v="256.38"/>
    <m/>
    <n v="112.98053114414617"/>
    <n v="230.84299908458948"/>
    <n v="0"/>
    <n v="27000.255999999998"/>
    <n v="63073.58208"/>
    <n v="0"/>
    <n v="27795.018349958264"/>
    <n v="56791.071262794365"/>
  </r>
  <r>
    <s v="Sistema de Compensação"/>
    <x v="3"/>
    <x v="3"/>
    <x v="4"/>
    <x v="0"/>
    <x v="0"/>
    <x v="0"/>
    <x v="0"/>
    <x v="10"/>
    <n v="0"/>
    <n v="0"/>
    <n v="757.66300000000001"/>
    <n v="757.66300000000001"/>
    <n v="757.66300000000001"/>
    <n v="757.66300000000001"/>
    <n v="0"/>
    <x v="0"/>
    <n v="0"/>
    <n v="0"/>
    <n v="37"/>
    <n v="84"/>
    <n v="0"/>
    <n v="109.75"/>
    <n v="256.38"/>
    <m/>
    <n v="112.98053114414617"/>
    <n v="230.84299908458948"/>
    <n v="0"/>
    <n v="83153.514250000007"/>
    <n v="194249.63993999999"/>
    <n v="0"/>
    <n v="85601.168168267221"/>
    <n v="174901.19921542733"/>
  </r>
  <r>
    <s v="PROJETADO"/>
    <x v="3"/>
    <x v="3"/>
    <x v="4"/>
    <x v="0"/>
    <x v="0"/>
    <x v="0"/>
    <x v="0"/>
    <x v="11"/>
    <n v="0"/>
    <n v="0"/>
    <n v="7336.2430000000004"/>
    <n v="7336.2430000000004"/>
    <n v="7336.2430000000004"/>
    <n v="7336.2430000000004"/>
    <n v="0"/>
    <x v="0"/>
    <n v="0"/>
    <n v="0"/>
    <n v="37"/>
    <n v="84"/>
    <n v="0"/>
    <n v="109.75"/>
    <n v="256.38"/>
    <m/>
    <n v="112.98053114414617"/>
    <n v="230.84299908458948"/>
    <n v="0"/>
    <n v="805152.66925000004"/>
    <n v="1880865.98034"/>
    <n v="0"/>
    <n v="828852.6307425244"/>
    <n v="1693520.3361333262"/>
  </r>
  <r>
    <s v="PROJETADO"/>
    <x v="3"/>
    <x v="3"/>
    <x v="4"/>
    <x v="0"/>
    <x v="0"/>
    <x v="0"/>
    <x v="0"/>
    <x v="11"/>
    <n v="0"/>
    <n v="0"/>
    <n v="246.01599999999999"/>
    <n v="246.01599999999999"/>
    <n v="246.01599999999999"/>
    <n v="246.01599999999999"/>
    <n v="0"/>
    <x v="0"/>
    <n v="0"/>
    <n v="0"/>
    <n v="37"/>
    <n v="84"/>
    <n v="0"/>
    <n v="109.75"/>
    <n v="256.38"/>
    <m/>
    <n v="112.98053114414617"/>
    <n v="230.84299908458948"/>
    <n v="0"/>
    <n v="27000.255999999998"/>
    <n v="63073.58208"/>
    <n v="0"/>
    <n v="27795.018349958264"/>
    <n v="56791.071262794365"/>
  </r>
  <r>
    <s v="PROJETADO"/>
    <x v="3"/>
    <x v="3"/>
    <x v="4"/>
    <x v="0"/>
    <x v="0"/>
    <x v="0"/>
    <x v="0"/>
    <x v="11"/>
    <n v="0"/>
    <n v="0"/>
    <n v="757.66300000000001"/>
    <n v="757.66300000000001"/>
    <n v="757.66300000000001"/>
    <n v="757.66300000000001"/>
    <n v="0"/>
    <x v="0"/>
    <n v="0"/>
    <n v="0"/>
    <n v="37"/>
    <n v="84"/>
    <n v="0"/>
    <n v="109.75"/>
    <n v="256.38"/>
    <m/>
    <n v="112.98053114414617"/>
    <n v="230.84299908458948"/>
    <n v="0"/>
    <n v="83153.514250000007"/>
    <n v="194249.63993999999"/>
    <n v="0"/>
    <n v="85601.168168267221"/>
    <n v="174901.19921542733"/>
  </r>
  <r>
    <s v="Regular"/>
    <x v="3"/>
    <x v="3"/>
    <x v="4"/>
    <x v="0"/>
    <x v="0"/>
    <x v="0"/>
    <x v="2"/>
    <x v="0"/>
    <n v="64253"/>
    <n v="64253"/>
    <n v="0"/>
    <n v="0"/>
    <n v="0"/>
    <n v="0"/>
    <n v="86"/>
    <x v="0"/>
    <n v="0"/>
    <n v="35"/>
    <n v="0"/>
    <n v="0"/>
    <n v="12.24"/>
    <n v="0"/>
    <n v="0"/>
    <n v="16.00053546174815"/>
    <m/>
    <m/>
    <n v="786456.72"/>
    <n v="0"/>
    <n v="0"/>
    <n v="1028082.4050237039"/>
    <n v="0"/>
    <n v="0"/>
  </r>
  <r>
    <s v="Sistema de Compensação"/>
    <x v="3"/>
    <x v="3"/>
    <x v="4"/>
    <x v="0"/>
    <x v="0"/>
    <x v="0"/>
    <x v="2"/>
    <x v="0"/>
    <n v="4700"/>
    <n v="4700"/>
    <n v="0"/>
    <n v="0"/>
    <n v="0"/>
    <n v="0"/>
    <n v="4"/>
    <x v="0"/>
    <n v="0"/>
    <n v="35"/>
    <n v="0"/>
    <n v="0"/>
    <n v="12.24"/>
    <n v="0"/>
    <n v="0"/>
    <n v="16.00053546174815"/>
    <m/>
    <m/>
    <n v="57528"/>
    <n v="0"/>
    <n v="0"/>
    <n v="75202.516670216311"/>
    <n v="0"/>
    <n v="0"/>
  </r>
  <r>
    <s v="Regular"/>
    <x v="3"/>
    <x v="3"/>
    <x v="4"/>
    <x v="0"/>
    <x v="0"/>
    <x v="0"/>
    <x v="2"/>
    <x v="1"/>
    <n v="63221"/>
    <n v="63221"/>
    <n v="0"/>
    <n v="0"/>
    <n v="0"/>
    <n v="0"/>
    <n v="85"/>
    <x v="0"/>
    <n v="0"/>
    <n v="35"/>
    <n v="0"/>
    <n v="0"/>
    <n v="12.24"/>
    <n v="0"/>
    <n v="0"/>
    <n v="16.00053546174815"/>
    <m/>
    <m/>
    <n v="773825.04"/>
    <n v="0"/>
    <n v="0"/>
    <n v="1011569.8524271798"/>
    <n v="0"/>
    <n v="0"/>
  </r>
  <r>
    <s v="Sistema de Compensação"/>
    <x v="3"/>
    <x v="3"/>
    <x v="4"/>
    <x v="0"/>
    <x v="0"/>
    <x v="0"/>
    <x v="2"/>
    <x v="1"/>
    <n v="4700"/>
    <n v="4700"/>
    <n v="0"/>
    <n v="0"/>
    <n v="0"/>
    <n v="0"/>
    <n v="4"/>
    <x v="0"/>
    <n v="0"/>
    <n v="35"/>
    <n v="0"/>
    <n v="0"/>
    <n v="12.24"/>
    <n v="0"/>
    <n v="0"/>
    <n v="16.00053546174815"/>
    <m/>
    <m/>
    <n v="57528"/>
    <n v="0"/>
    <n v="0"/>
    <n v="75202.516670216311"/>
    <n v="0"/>
    <n v="0"/>
  </r>
  <r>
    <s v="Regular"/>
    <x v="3"/>
    <x v="3"/>
    <x v="4"/>
    <x v="0"/>
    <x v="0"/>
    <x v="0"/>
    <x v="2"/>
    <x v="2"/>
    <n v="63128"/>
    <n v="63128"/>
    <n v="0"/>
    <n v="0"/>
    <n v="0"/>
    <n v="0"/>
    <n v="86"/>
    <x v="0"/>
    <n v="0"/>
    <n v="35"/>
    <n v="0"/>
    <n v="0"/>
    <n v="12.24"/>
    <n v="0"/>
    <n v="0"/>
    <n v="16.00053546174815"/>
    <m/>
    <m/>
    <n v="772686.72"/>
    <n v="0"/>
    <n v="0"/>
    <n v="1010081.8026292372"/>
    <n v="0"/>
    <n v="0"/>
  </r>
  <r>
    <s v="Refaturamento - Regular"/>
    <x v="3"/>
    <x v="3"/>
    <x v="4"/>
    <x v="0"/>
    <x v="0"/>
    <x v="0"/>
    <x v="2"/>
    <x v="2"/>
    <n v="1250"/>
    <n v="1250"/>
    <n v="0"/>
    <n v="0"/>
    <n v="0"/>
    <n v="0"/>
    <n v="0"/>
    <x v="0"/>
    <n v="0"/>
    <n v="35"/>
    <n v="0"/>
    <n v="0"/>
    <n v="12.24"/>
    <n v="0"/>
    <n v="0"/>
    <n v="16.00053546174815"/>
    <m/>
    <m/>
    <n v="15300"/>
    <n v="0"/>
    <n v="0"/>
    <n v="20000.669327185187"/>
    <n v="0"/>
    <n v="0"/>
  </r>
  <r>
    <s v="Sistema de Compensação"/>
    <x v="3"/>
    <x v="3"/>
    <x v="4"/>
    <x v="0"/>
    <x v="0"/>
    <x v="0"/>
    <x v="2"/>
    <x v="2"/>
    <n v="4700"/>
    <n v="4700"/>
    <n v="0"/>
    <n v="0"/>
    <n v="0"/>
    <n v="0"/>
    <n v="4"/>
    <x v="0"/>
    <n v="0"/>
    <n v="35"/>
    <n v="0"/>
    <n v="0"/>
    <n v="12.24"/>
    <n v="0"/>
    <n v="0"/>
    <n v="16.00053546174815"/>
    <m/>
    <m/>
    <n v="57528"/>
    <n v="0"/>
    <n v="0"/>
    <n v="75202.516670216311"/>
    <n v="0"/>
    <n v="0"/>
  </r>
  <r>
    <s v="Regular"/>
    <x v="3"/>
    <x v="3"/>
    <x v="4"/>
    <x v="0"/>
    <x v="0"/>
    <x v="0"/>
    <x v="2"/>
    <x v="3"/>
    <n v="62511"/>
    <n v="62511"/>
    <n v="0"/>
    <n v="0"/>
    <n v="0"/>
    <n v="0"/>
    <n v="85"/>
    <x v="0"/>
    <n v="0"/>
    <n v="35"/>
    <n v="0"/>
    <n v="0"/>
    <n v="12.24"/>
    <n v="0"/>
    <n v="0"/>
    <n v="16.00053546174815"/>
    <m/>
    <m/>
    <n v="765134.64"/>
    <n v="0"/>
    <n v="0"/>
    <n v="1000209.4722493386"/>
    <n v="0"/>
    <n v="0"/>
  </r>
  <r>
    <s v="Sistema de Compensação"/>
    <x v="3"/>
    <x v="3"/>
    <x v="4"/>
    <x v="0"/>
    <x v="0"/>
    <x v="0"/>
    <x v="2"/>
    <x v="3"/>
    <n v="5200"/>
    <n v="5200"/>
    <n v="0"/>
    <n v="0"/>
    <n v="0"/>
    <n v="0"/>
    <n v="6"/>
    <x v="0"/>
    <n v="0"/>
    <n v="35"/>
    <n v="0"/>
    <n v="0"/>
    <n v="12.24"/>
    <n v="0"/>
    <n v="0"/>
    <n v="16.00053546174815"/>
    <m/>
    <m/>
    <n v="63648"/>
    <n v="0"/>
    <n v="0"/>
    <n v="83202.784401090379"/>
    <n v="0"/>
    <n v="0"/>
  </r>
  <r>
    <s v="Regular"/>
    <x v="3"/>
    <x v="3"/>
    <x v="4"/>
    <x v="0"/>
    <x v="0"/>
    <x v="0"/>
    <x v="2"/>
    <x v="4"/>
    <n v="62889"/>
    <n v="62889"/>
    <n v="0"/>
    <n v="0"/>
    <n v="0"/>
    <n v="0"/>
    <n v="85"/>
    <x v="0"/>
    <n v="0"/>
    <n v="35"/>
    <n v="0"/>
    <n v="0"/>
    <n v="12.24"/>
    <n v="0"/>
    <n v="0"/>
    <n v="16.00053546174815"/>
    <m/>
    <m/>
    <n v="769761.36"/>
    <n v="0"/>
    <n v="0"/>
    <n v="1006257.6746538794"/>
    <n v="0"/>
    <n v="0"/>
  </r>
  <r>
    <s v="Sistema de Compensação"/>
    <x v="3"/>
    <x v="3"/>
    <x v="4"/>
    <x v="0"/>
    <x v="0"/>
    <x v="0"/>
    <x v="2"/>
    <x v="4"/>
    <n v="5200"/>
    <n v="5200"/>
    <n v="0"/>
    <n v="0"/>
    <n v="0"/>
    <n v="0"/>
    <n v="6"/>
    <x v="0"/>
    <n v="0"/>
    <n v="35"/>
    <n v="0"/>
    <n v="0"/>
    <n v="12.24"/>
    <n v="0"/>
    <n v="0"/>
    <n v="16.00053546174815"/>
    <m/>
    <m/>
    <n v="63648"/>
    <n v="0"/>
    <n v="0"/>
    <n v="83202.784401090379"/>
    <n v="0"/>
    <n v="0"/>
  </r>
  <r>
    <s v="Regular"/>
    <x v="3"/>
    <x v="3"/>
    <x v="4"/>
    <x v="0"/>
    <x v="0"/>
    <x v="0"/>
    <x v="2"/>
    <x v="5"/>
    <n v="62123"/>
    <n v="62123"/>
    <n v="0"/>
    <n v="0"/>
    <n v="0"/>
    <n v="0"/>
    <n v="85"/>
    <x v="0"/>
    <n v="0"/>
    <n v="35"/>
    <n v="0"/>
    <n v="0"/>
    <n v="12.24"/>
    <n v="0"/>
    <n v="0"/>
    <n v="16.00053546174815"/>
    <m/>
    <m/>
    <n v="760385.52"/>
    <n v="0"/>
    <n v="0"/>
    <n v="994001.2644901803"/>
    <n v="0"/>
    <n v="0"/>
  </r>
  <r>
    <s v="Sistema de Compensação"/>
    <x v="3"/>
    <x v="3"/>
    <x v="4"/>
    <x v="0"/>
    <x v="0"/>
    <x v="0"/>
    <x v="2"/>
    <x v="5"/>
    <n v="5350"/>
    <n v="5350"/>
    <n v="0"/>
    <n v="0"/>
    <n v="0"/>
    <n v="0"/>
    <n v="6"/>
    <x v="0"/>
    <n v="0"/>
    <n v="35"/>
    <n v="0"/>
    <n v="0"/>
    <n v="12.24"/>
    <n v="0"/>
    <n v="0"/>
    <n v="16.00053546174815"/>
    <m/>
    <m/>
    <n v="65484"/>
    <n v="0"/>
    <n v="0"/>
    <n v="85602.864720352605"/>
    <n v="0"/>
    <n v="0"/>
  </r>
  <r>
    <s v="Regular"/>
    <x v="3"/>
    <x v="3"/>
    <x v="4"/>
    <x v="0"/>
    <x v="0"/>
    <x v="0"/>
    <x v="2"/>
    <x v="6"/>
    <n v="60185"/>
    <n v="60185"/>
    <n v="0"/>
    <n v="0"/>
    <n v="0"/>
    <n v="0"/>
    <n v="84"/>
    <x v="0"/>
    <n v="0"/>
    <n v="35"/>
    <n v="0"/>
    <n v="0"/>
    <n v="12.24"/>
    <n v="0"/>
    <n v="0"/>
    <n v="16.00053546174815"/>
    <m/>
    <m/>
    <n v="736664.4"/>
    <n v="0"/>
    <n v="0"/>
    <n v="962992.22676531237"/>
    <n v="0"/>
    <n v="0"/>
  </r>
  <r>
    <s v="Refaturamento - Regular"/>
    <x v="3"/>
    <x v="3"/>
    <x v="4"/>
    <x v="0"/>
    <x v="0"/>
    <x v="0"/>
    <x v="2"/>
    <x v="6"/>
    <n v="750"/>
    <n v="750"/>
    <n v="0"/>
    <n v="0"/>
    <n v="0"/>
    <n v="0"/>
    <n v="1"/>
    <x v="0"/>
    <n v="0"/>
    <n v="35"/>
    <n v="0"/>
    <n v="0"/>
    <n v="12.24"/>
    <n v="0"/>
    <n v="0"/>
    <n v="16.00053546174815"/>
    <m/>
    <m/>
    <n v="9180"/>
    <n v="0"/>
    <n v="0"/>
    <n v="12000.401596311112"/>
    <n v="0"/>
    <n v="0"/>
  </r>
  <r>
    <s v="Sistema de Compensação"/>
    <x v="3"/>
    <x v="3"/>
    <x v="4"/>
    <x v="0"/>
    <x v="0"/>
    <x v="0"/>
    <x v="2"/>
    <x v="6"/>
    <n v="5350"/>
    <n v="5350"/>
    <n v="0"/>
    <n v="0"/>
    <n v="0"/>
    <n v="0"/>
    <n v="6"/>
    <x v="0"/>
    <n v="0"/>
    <n v="35"/>
    <n v="0"/>
    <n v="0"/>
    <n v="12.24"/>
    <n v="0"/>
    <n v="0"/>
    <n v="16.00053546174815"/>
    <m/>
    <m/>
    <n v="65484"/>
    <n v="0"/>
    <n v="0"/>
    <n v="85602.864720352605"/>
    <n v="0"/>
    <n v="0"/>
  </r>
  <r>
    <s v="Regular"/>
    <x v="3"/>
    <x v="3"/>
    <x v="4"/>
    <x v="0"/>
    <x v="0"/>
    <x v="0"/>
    <x v="2"/>
    <x v="7"/>
    <n v="60733"/>
    <n v="60733"/>
    <n v="0"/>
    <n v="0"/>
    <n v="0"/>
    <n v="0"/>
    <n v="85"/>
    <x v="0"/>
    <n v="0"/>
    <n v="35"/>
    <n v="0"/>
    <n v="0"/>
    <n v="12.24"/>
    <n v="0"/>
    <n v="0"/>
    <n v="16.00053546174815"/>
    <m/>
    <m/>
    <n v="743371.92"/>
    <n v="0"/>
    <n v="0"/>
    <n v="971760.52019835042"/>
    <n v="0"/>
    <n v="0"/>
  </r>
  <r>
    <s v="Sistema de Compensação"/>
    <x v="3"/>
    <x v="3"/>
    <x v="4"/>
    <x v="0"/>
    <x v="0"/>
    <x v="0"/>
    <x v="2"/>
    <x v="7"/>
    <n v="5350"/>
    <n v="5350"/>
    <n v="0"/>
    <n v="0"/>
    <n v="0"/>
    <n v="0"/>
    <n v="6"/>
    <x v="0"/>
    <n v="0"/>
    <n v="35"/>
    <n v="0"/>
    <n v="0"/>
    <n v="12.24"/>
    <n v="0"/>
    <n v="0"/>
    <n v="16.00053546174815"/>
    <m/>
    <m/>
    <n v="65484"/>
    <n v="0"/>
    <n v="0"/>
    <n v="85602.864720352605"/>
    <n v="0"/>
    <n v="0"/>
  </r>
  <r>
    <s v="Regular"/>
    <x v="3"/>
    <x v="3"/>
    <x v="4"/>
    <x v="0"/>
    <x v="0"/>
    <x v="0"/>
    <x v="2"/>
    <x v="8"/>
    <n v="59614"/>
    <n v="59614"/>
    <n v="0"/>
    <n v="0"/>
    <n v="0"/>
    <n v="0"/>
    <n v="85"/>
    <x v="0"/>
    <n v="0"/>
    <n v="35"/>
    <n v="0"/>
    <n v="0"/>
    <n v="12.24"/>
    <n v="0"/>
    <n v="0"/>
    <n v="16.00053546174815"/>
    <m/>
    <m/>
    <n v="729675.36"/>
    <n v="0"/>
    <n v="0"/>
    <n v="953855.92101665423"/>
    <n v="0"/>
    <n v="0"/>
  </r>
  <r>
    <s v="Sistema de Compensação"/>
    <x v="3"/>
    <x v="3"/>
    <x v="4"/>
    <x v="0"/>
    <x v="0"/>
    <x v="0"/>
    <x v="2"/>
    <x v="8"/>
    <n v="6600"/>
    <n v="6600"/>
    <n v="0"/>
    <n v="0"/>
    <n v="0"/>
    <n v="0"/>
    <n v="7"/>
    <x v="0"/>
    <n v="0"/>
    <n v="35"/>
    <n v="0"/>
    <n v="0"/>
    <n v="12.24"/>
    <n v="0"/>
    <n v="0"/>
    <n v="16.00053546174815"/>
    <m/>
    <m/>
    <n v="80784"/>
    <n v="0"/>
    <n v="0"/>
    <n v="105603.53404753779"/>
    <n v="0"/>
    <n v="0"/>
  </r>
  <r>
    <s v="Regular"/>
    <x v="3"/>
    <x v="3"/>
    <x v="4"/>
    <x v="0"/>
    <x v="0"/>
    <x v="0"/>
    <x v="2"/>
    <x v="9"/>
    <n v="58967"/>
    <n v="58967"/>
    <n v="0"/>
    <n v="0"/>
    <n v="0"/>
    <n v="0"/>
    <n v="83"/>
    <x v="0"/>
    <n v="0"/>
    <n v="35"/>
    <n v="0"/>
    <n v="0"/>
    <n v="12.24"/>
    <n v="0"/>
    <n v="0"/>
    <n v="16.00053546174815"/>
    <m/>
    <m/>
    <n v="721756.08"/>
    <n v="0"/>
    <n v="0"/>
    <n v="943503.57457290322"/>
    <n v="0"/>
    <n v="0"/>
  </r>
  <r>
    <s v="Sistema de Compensação"/>
    <x v="3"/>
    <x v="3"/>
    <x v="4"/>
    <x v="0"/>
    <x v="0"/>
    <x v="0"/>
    <x v="2"/>
    <x v="9"/>
    <n v="6600"/>
    <n v="6600"/>
    <n v="0"/>
    <n v="0"/>
    <n v="0"/>
    <n v="0"/>
    <n v="6"/>
    <x v="0"/>
    <n v="0"/>
    <n v="35"/>
    <n v="0"/>
    <n v="0"/>
    <n v="12.24"/>
    <n v="0"/>
    <n v="0"/>
    <n v="16.00053546174815"/>
    <m/>
    <m/>
    <n v="80784"/>
    <n v="0"/>
    <n v="0"/>
    <n v="105603.53404753779"/>
    <n v="0"/>
    <n v="0"/>
  </r>
  <r>
    <s v="Regular"/>
    <x v="3"/>
    <x v="3"/>
    <x v="4"/>
    <x v="0"/>
    <x v="0"/>
    <x v="0"/>
    <x v="2"/>
    <x v="10"/>
    <n v="57091"/>
    <n v="57091"/>
    <n v="0"/>
    <n v="0"/>
    <n v="0"/>
    <n v="0"/>
    <n v="82"/>
    <x v="0"/>
    <n v="0"/>
    <n v="35"/>
    <n v="0"/>
    <n v="0"/>
    <n v="12.24"/>
    <n v="0"/>
    <n v="0"/>
    <n v="16.00053546174815"/>
    <m/>
    <m/>
    <n v="698793.84"/>
    <n v="0"/>
    <n v="0"/>
    <n v="913486.57004666363"/>
    <n v="0"/>
    <n v="0"/>
  </r>
  <r>
    <s v="Refaturamento - Regular"/>
    <x v="3"/>
    <x v="3"/>
    <x v="4"/>
    <x v="0"/>
    <x v="0"/>
    <x v="0"/>
    <x v="2"/>
    <x v="10"/>
    <n v="1930"/>
    <n v="1930"/>
    <n v="0"/>
    <n v="0"/>
    <n v="0"/>
    <n v="0"/>
    <n v="1"/>
    <x v="0"/>
    <n v="0"/>
    <n v="35"/>
    <n v="0"/>
    <n v="0"/>
    <n v="12.24"/>
    <n v="0"/>
    <n v="0"/>
    <n v="16.00053546174815"/>
    <m/>
    <m/>
    <n v="23623.200000000001"/>
    <n v="0"/>
    <n v="0"/>
    <n v="30881.033441173931"/>
    <n v="0"/>
    <n v="0"/>
  </r>
  <r>
    <s v="Sistema de Compensação"/>
    <x v="3"/>
    <x v="3"/>
    <x v="4"/>
    <x v="0"/>
    <x v="0"/>
    <x v="0"/>
    <x v="2"/>
    <x v="10"/>
    <n v="6600"/>
    <n v="6600"/>
    <n v="0"/>
    <n v="0"/>
    <n v="0"/>
    <n v="0"/>
    <n v="7"/>
    <x v="0"/>
    <n v="0"/>
    <n v="35"/>
    <n v="0"/>
    <n v="0"/>
    <n v="12.24"/>
    <n v="0"/>
    <n v="0"/>
    <n v="16.00053546174815"/>
    <m/>
    <m/>
    <n v="80784"/>
    <n v="0"/>
    <n v="0"/>
    <n v="105603.53404753779"/>
    <n v="0"/>
    <n v="0"/>
  </r>
  <r>
    <s v="PROJETADO"/>
    <x v="3"/>
    <x v="3"/>
    <x v="4"/>
    <x v="0"/>
    <x v="0"/>
    <x v="0"/>
    <x v="2"/>
    <x v="11"/>
    <n v="57091"/>
    <n v="57091"/>
    <n v="0"/>
    <n v="0"/>
    <n v="0"/>
    <n v="0"/>
    <n v="82"/>
    <x v="0"/>
    <n v="0"/>
    <n v="35"/>
    <n v="0"/>
    <n v="0"/>
    <n v="12.24"/>
    <n v="0"/>
    <n v="0"/>
    <n v="16.00053546174815"/>
    <m/>
    <m/>
    <n v="698793.84"/>
    <n v="0"/>
    <n v="0"/>
    <n v="913486.57004666363"/>
    <n v="0"/>
    <n v="0"/>
  </r>
  <r>
    <s v="PROJETADO"/>
    <x v="3"/>
    <x v="3"/>
    <x v="4"/>
    <x v="0"/>
    <x v="0"/>
    <x v="0"/>
    <x v="2"/>
    <x v="11"/>
    <n v="1930"/>
    <n v="1930"/>
    <n v="0"/>
    <n v="0"/>
    <n v="0"/>
    <n v="0"/>
    <n v="1"/>
    <x v="0"/>
    <n v="0"/>
    <n v="35"/>
    <n v="0"/>
    <n v="0"/>
    <n v="12.24"/>
    <n v="0"/>
    <n v="0"/>
    <n v="16.00053546174815"/>
    <m/>
    <m/>
    <n v="23623.200000000001"/>
    <n v="0"/>
    <n v="0"/>
    <n v="30881.033441173931"/>
    <n v="0"/>
    <n v="0"/>
  </r>
  <r>
    <s v="PROJETADO"/>
    <x v="3"/>
    <x v="3"/>
    <x v="4"/>
    <x v="0"/>
    <x v="0"/>
    <x v="0"/>
    <x v="2"/>
    <x v="11"/>
    <n v="6600"/>
    <n v="6600"/>
    <n v="0"/>
    <n v="0"/>
    <n v="0"/>
    <n v="0"/>
    <n v="7"/>
    <x v="0"/>
    <n v="0"/>
    <n v="35"/>
    <n v="0"/>
    <n v="0"/>
    <n v="12.24"/>
    <n v="0"/>
    <n v="0"/>
    <n v="16.00053546174815"/>
    <m/>
    <m/>
    <n v="80784"/>
    <n v="0"/>
    <n v="0"/>
    <n v="105603.53404753779"/>
    <n v="0"/>
    <n v="0"/>
  </r>
  <r>
    <s v="Regular"/>
    <x v="3"/>
    <x v="3"/>
    <x v="4"/>
    <x v="0"/>
    <x v="0"/>
    <x v="0"/>
    <x v="1"/>
    <x v="0"/>
    <n v="0"/>
    <n v="0"/>
    <n v="1416.6110000000001"/>
    <n v="1416.6110000000001"/>
    <n v="1416.6110000000001"/>
    <n v="1416.6110000000001"/>
    <n v="0"/>
    <x v="0"/>
    <n v="0"/>
    <n v="0"/>
    <n v="36"/>
    <n v="83"/>
    <n v="0"/>
    <n v="1174.6600000000001"/>
    <n v="430.87"/>
    <m/>
    <n v="1305.5515491455487"/>
    <n v="375.70671275609089"/>
    <n v="0"/>
    <n v="1664036.2772600004"/>
    <n v="610375.18157000002"/>
    <n v="0"/>
    <n v="1849458.685586625"/>
    <n v="532230.26206411875"/>
  </r>
  <r>
    <s v="Regular"/>
    <x v="3"/>
    <x v="3"/>
    <x v="4"/>
    <x v="0"/>
    <x v="0"/>
    <x v="0"/>
    <x v="1"/>
    <x v="1"/>
    <n v="0"/>
    <n v="0"/>
    <n v="1353.77"/>
    <n v="1353.77"/>
    <n v="1353.77"/>
    <n v="1353.77"/>
    <n v="0"/>
    <x v="0"/>
    <n v="0"/>
    <n v="0"/>
    <n v="36"/>
    <n v="83"/>
    <n v="0"/>
    <n v="1174.6600000000001"/>
    <n v="430.87"/>
    <m/>
    <n v="1305.5515491455487"/>
    <n v="375.70671275609089"/>
    <n v="0"/>
    <n v="1590219.4682"/>
    <n v="583298.87989999994"/>
    <n v="0"/>
    <n v="1767416.5206867694"/>
    <n v="508620.47652781318"/>
  </r>
  <r>
    <s v="Sistema de Compensação"/>
    <x v="3"/>
    <x v="3"/>
    <x v="4"/>
    <x v="0"/>
    <x v="0"/>
    <x v="0"/>
    <x v="1"/>
    <x v="1"/>
    <n v="0"/>
    <n v="0"/>
    <n v="140.84"/>
    <n v="140.84"/>
    <n v="140.84"/>
    <n v="140.84"/>
    <n v="0"/>
    <x v="0"/>
    <n v="0"/>
    <n v="0"/>
    <n v="36"/>
    <n v="83"/>
    <n v="0"/>
    <n v="1174.6600000000001"/>
    <n v="430.87"/>
    <m/>
    <n v="1305.5515491455487"/>
    <n v="375.70671275609089"/>
    <n v="0"/>
    <n v="165439.11440000002"/>
    <n v="60683.730800000005"/>
    <n v="0"/>
    <n v="183873.8801816591"/>
    <n v="52914.533424567846"/>
  </r>
  <r>
    <s v="Regular"/>
    <x v="3"/>
    <x v="3"/>
    <x v="4"/>
    <x v="0"/>
    <x v="0"/>
    <x v="0"/>
    <x v="1"/>
    <x v="2"/>
    <n v="0"/>
    <n v="0"/>
    <n v="1242.97"/>
    <n v="1242.97"/>
    <n v="1242.97"/>
    <n v="1242.97"/>
    <n v="0"/>
    <x v="0"/>
    <n v="0"/>
    <n v="0"/>
    <n v="36"/>
    <n v="83"/>
    <n v="0"/>
    <n v="1174.6600000000001"/>
    <n v="430.87"/>
    <m/>
    <n v="1305.5515491455487"/>
    <n v="375.70671275609089"/>
    <n v="0"/>
    <n v="1460067.1402"/>
    <n v="535558.48389999999"/>
    <n v="0"/>
    <n v="1622761.4090414427"/>
    <n v="466992.1727544383"/>
  </r>
  <r>
    <s v="Refaturamento - Regular"/>
    <x v="3"/>
    <x v="3"/>
    <x v="4"/>
    <x v="0"/>
    <x v="0"/>
    <x v="0"/>
    <x v="1"/>
    <x v="2"/>
    <n v="0"/>
    <n v="0"/>
    <n v="46.033999999999999"/>
    <n v="46.033999999999999"/>
    <n v="46.033999999999999"/>
    <n v="46.033999999999999"/>
    <n v="0"/>
    <x v="0"/>
    <n v="0"/>
    <n v="0"/>
    <n v="36"/>
    <n v="83"/>
    <n v="0"/>
    <n v="1174.6600000000001"/>
    <n v="430.87"/>
    <m/>
    <n v="1305.5515491455487"/>
    <n v="375.70671275609089"/>
    <n v="0"/>
    <n v="54074.298440000006"/>
    <n v="19834.669579999998"/>
    <n v="0"/>
    <n v="60099.760013366191"/>
    <n v="17295.282815013888"/>
  </r>
  <r>
    <s v="Sistema de Compensação"/>
    <x v="3"/>
    <x v="3"/>
    <x v="4"/>
    <x v="0"/>
    <x v="0"/>
    <x v="0"/>
    <x v="1"/>
    <x v="2"/>
    <n v="0"/>
    <n v="0"/>
    <n v="123.247"/>
    <n v="123.247"/>
    <n v="123.247"/>
    <n v="123.247"/>
    <n v="0"/>
    <x v="0"/>
    <n v="0"/>
    <n v="0"/>
    <n v="36"/>
    <n v="83"/>
    <n v="0"/>
    <n v="1174.6600000000001"/>
    <n v="430.87"/>
    <m/>
    <n v="1305.5515491455487"/>
    <n v="375.70671275609089"/>
    <n v="0"/>
    <n v="144773.32102"/>
    <n v="53103.434890000004"/>
    <n v="0"/>
    <n v="160905.31177754144"/>
    <n v="46304.725227049938"/>
  </r>
  <r>
    <s v="Regular"/>
    <x v="3"/>
    <x v="3"/>
    <x v="4"/>
    <x v="0"/>
    <x v="0"/>
    <x v="0"/>
    <x v="1"/>
    <x v="3"/>
    <n v="0"/>
    <n v="0"/>
    <n v="1156.829"/>
    <n v="1156.829"/>
    <n v="1156.829"/>
    <n v="1156.829"/>
    <n v="0"/>
    <x v="0"/>
    <n v="0"/>
    <n v="0"/>
    <n v="36"/>
    <n v="83"/>
    <n v="0"/>
    <n v="1174.6600000000001"/>
    <n v="430.87"/>
    <m/>
    <n v="1305.5515491455487"/>
    <n v="375.70671275609089"/>
    <n v="0"/>
    <n v="1358880.7531399999"/>
    <n v="498442.91122999997"/>
    <n v="0"/>
    <n v="1510299.893046496"/>
    <n v="434628.42081091588"/>
  </r>
  <r>
    <s v="Sistema de Compensação"/>
    <x v="3"/>
    <x v="3"/>
    <x v="4"/>
    <x v="0"/>
    <x v="0"/>
    <x v="0"/>
    <x v="1"/>
    <x v="3"/>
    <n v="0"/>
    <n v="0"/>
    <n v="120.679"/>
    <n v="120.679"/>
    <n v="120.679"/>
    <n v="120.679"/>
    <n v="0"/>
    <x v="0"/>
    <n v="0"/>
    <n v="0"/>
    <n v="36"/>
    <n v="83"/>
    <n v="0"/>
    <n v="1174.6600000000001"/>
    <n v="430.87"/>
    <m/>
    <n v="1305.5515491455487"/>
    <n v="375.70671275609089"/>
    <n v="0"/>
    <n v="141756.79414000001"/>
    <n v="51996.960729999999"/>
    <n v="0"/>
    <n v="157552.65539933566"/>
    <n v="45339.910388692297"/>
  </r>
  <r>
    <s v="Regular"/>
    <x v="3"/>
    <x v="3"/>
    <x v="4"/>
    <x v="0"/>
    <x v="0"/>
    <x v="0"/>
    <x v="1"/>
    <x v="4"/>
    <n v="0"/>
    <n v="0"/>
    <n v="1239.336"/>
    <n v="1239.336"/>
    <n v="1239.336"/>
    <n v="1239.336"/>
    <n v="0"/>
    <x v="0"/>
    <n v="0"/>
    <n v="0"/>
    <n v="36"/>
    <n v="83"/>
    <n v="0"/>
    <n v="1174.6600000000001"/>
    <n v="430.87"/>
    <m/>
    <n v="1305.5515491455487"/>
    <n v="375.70671275609089"/>
    <n v="0"/>
    <n v="1455798.42576"/>
    <n v="533992.70232000004"/>
    <n v="0"/>
    <n v="1618017.0347118478"/>
    <n v="465626.85456028266"/>
  </r>
  <r>
    <s v="Sistema de Compensação"/>
    <x v="3"/>
    <x v="3"/>
    <x v="4"/>
    <x v="0"/>
    <x v="0"/>
    <x v="0"/>
    <x v="1"/>
    <x v="4"/>
    <n v="0"/>
    <n v="0"/>
    <n v="138.80799999999999"/>
    <n v="138.80799999999999"/>
    <n v="138.80799999999999"/>
    <n v="138.80799999999999"/>
    <n v="0"/>
    <x v="0"/>
    <n v="0"/>
    <n v="0"/>
    <n v="36"/>
    <n v="83"/>
    <n v="0"/>
    <n v="1174.6600000000001"/>
    <n v="430.87"/>
    <m/>
    <n v="1305.5515491455487"/>
    <n v="375.70671275609089"/>
    <n v="0"/>
    <n v="163052.20527999999"/>
    <n v="59808.202959999995"/>
    <n v="0"/>
    <n v="181220.99943379531"/>
    <n v="52151.097384247463"/>
  </r>
  <r>
    <s v="Regular"/>
    <x v="3"/>
    <x v="3"/>
    <x v="4"/>
    <x v="0"/>
    <x v="0"/>
    <x v="0"/>
    <x v="1"/>
    <x v="5"/>
    <n v="0"/>
    <n v="0"/>
    <n v="1159.279"/>
    <n v="1159.279"/>
    <n v="1159.279"/>
    <n v="1159.279"/>
    <n v="0"/>
    <x v="0"/>
    <n v="0"/>
    <n v="0"/>
    <n v="36"/>
    <n v="83"/>
    <n v="0"/>
    <n v="1174.6600000000001"/>
    <n v="430.87"/>
    <m/>
    <n v="1305.5515491455487"/>
    <n v="375.70671275609089"/>
    <n v="0"/>
    <n v="1361758.6701400001"/>
    <n v="499498.54272999999"/>
    <n v="0"/>
    <n v="1513498.4943419027"/>
    <n v="435548.90225716832"/>
  </r>
  <r>
    <s v="Sistema de Compensação"/>
    <x v="3"/>
    <x v="3"/>
    <x v="4"/>
    <x v="0"/>
    <x v="0"/>
    <x v="0"/>
    <x v="1"/>
    <x v="5"/>
    <n v="0"/>
    <n v="0"/>
    <n v="120.955"/>
    <n v="120.955"/>
    <n v="120.955"/>
    <n v="120.955"/>
    <n v="0"/>
    <x v="0"/>
    <n v="0"/>
    <n v="0"/>
    <n v="36"/>
    <n v="83"/>
    <n v="0"/>
    <n v="1174.6600000000001"/>
    <n v="430.87"/>
    <m/>
    <n v="1305.5515491455487"/>
    <n v="375.70671275609089"/>
    <n v="0"/>
    <n v="142081.00030000001"/>
    <n v="52115.880850000001"/>
    <n v="0"/>
    <n v="157912.98762689985"/>
    <n v="45443.605441412976"/>
  </r>
  <r>
    <s v="Regular"/>
    <x v="3"/>
    <x v="3"/>
    <x v="4"/>
    <x v="0"/>
    <x v="0"/>
    <x v="0"/>
    <x v="1"/>
    <x v="6"/>
    <n v="0"/>
    <n v="0"/>
    <n v="1097.1990000000001"/>
    <n v="1097.1990000000001"/>
    <n v="1097.1990000000001"/>
    <n v="1097.1990000000001"/>
    <n v="0"/>
    <x v="0"/>
    <n v="0"/>
    <n v="0"/>
    <n v="36"/>
    <n v="83"/>
    <n v="0"/>
    <n v="1174.6600000000001"/>
    <n v="430.87"/>
    <m/>
    <n v="1305.5515491455487"/>
    <n v="375.70671275609089"/>
    <n v="0"/>
    <n v="1288835.7773400003"/>
    <n v="472750.13313000003"/>
    <n v="0"/>
    <n v="1432449.8541709471"/>
    <n v="412225.02952927019"/>
  </r>
  <r>
    <s v="Refaturamento - Regular"/>
    <x v="3"/>
    <x v="3"/>
    <x v="4"/>
    <x v="0"/>
    <x v="0"/>
    <x v="0"/>
    <x v="1"/>
    <x v="6"/>
    <n v="0"/>
    <n v="0"/>
    <n v="19.425000000000001"/>
    <n v="19.425000000000001"/>
    <n v="19.425000000000001"/>
    <n v="19.425000000000001"/>
    <n v="0"/>
    <x v="0"/>
    <n v="0"/>
    <n v="0"/>
    <n v="36"/>
    <n v="83"/>
    <n v="0"/>
    <n v="1174.6600000000001"/>
    <n v="430.87"/>
    <m/>
    <n v="1305.5515491455487"/>
    <n v="375.70671275609089"/>
    <n v="0"/>
    <n v="22817.770500000002"/>
    <n v="8369.6497500000005"/>
    <n v="0"/>
    <n v="25360.338842152287"/>
    <n v="7298.1028952870656"/>
  </r>
  <r>
    <s v="Sistema de Compensação"/>
    <x v="3"/>
    <x v="3"/>
    <x v="4"/>
    <x v="0"/>
    <x v="0"/>
    <x v="0"/>
    <x v="1"/>
    <x v="6"/>
    <n v="0"/>
    <n v="0"/>
    <n v="107.123"/>
    <n v="107.123"/>
    <n v="107.123"/>
    <n v="107.123"/>
    <n v="0"/>
    <x v="0"/>
    <n v="0"/>
    <n v="0"/>
    <n v="36"/>
    <n v="83"/>
    <n v="0"/>
    <n v="1174.6600000000001"/>
    <n v="430.87"/>
    <m/>
    <n v="1305.5515491455487"/>
    <n v="375.70671275609089"/>
    <n v="0"/>
    <n v="125833.10318000002"/>
    <n v="46156.087010000003"/>
    <n v="0"/>
    <n v="139854.59859911862"/>
    <n v="40246.830190570727"/>
  </r>
  <r>
    <s v="Regular"/>
    <x v="3"/>
    <x v="3"/>
    <x v="4"/>
    <x v="0"/>
    <x v="0"/>
    <x v="0"/>
    <x v="1"/>
    <x v="7"/>
    <n v="0"/>
    <n v="0"/>
    <n v="785.47"/>
    <n v="785.47"/>
    <n v="785.47"/>
    <n v="785.47"/>
    <n v="0"/>
    <x v="0"/>
    <n v="0"/>
    <n v="0"/>
    <n v="36"/>
    <n v="83"/>
    <n v="0"/>
    <n v="1174.6600000000001"/>
    <n v="430.87"/>
    <m/>
    <n v="1305.5515491455487"/>
    <n v="375.70671275609089"/>
    <n v="0"/>
    <n v="922660.19020000007"/>
    <n v="338435.45890000003"/>
    <n v="0"/>
    <n v="1025471.5753073542"/>
    <n v="295106.35166852671"/>
  </r>
  <r>
    <s v="Sistema de Compensação"/>
    <x v="3"/>
    <x v="3"/>
    <x v="4"/>
    <x v="0"/>
    <x v="0"/>
    <x v="0"/>
    <x v="1"/>
    <x v="7"/>
    <n v="0"/>
    <n v="0"/>
    <n v="67.614999999999995"/>
    <n v="67.614999999999995"/>
    <n v="67.614999999999995"/>
    <n v="67.614999999999995"/>
    <n v="0"/>
    <x v="0"/>
    <n v="0"/>
    <n v="0"/>
    <n v="36"/>
    <n v="83"/>
    <n v="0"/>
    <n v="1174.6600000000001"/>
    <n v="430.87"/>
    <m/>
    <n v="1305.5515491455487"/>
    <n v="375.70671275609089"/>
    <n v="0"/>
    <n v="79424.635899999994"/>
    <n v="29133.275049999997"/>
    <n v="0"/>
    <n v="88274.867995476277"/>
    <n v="25403.409383003083"/>
  </r>
  <r>
    <s v="Regular"/>
    <x v="3"/>
    <x v="3"/>
    <x v="4"/>
    <x v="0"/>
    <x v="0"/>
    <x v="0"/>
    <x v="1"/>
    <x v="8"/>
    <n v="0"/>
    <n v="0"/>
    <n v="833.30700000000002"/>
    <n v="833.30700000000002"/>
    <n v="833.30700000000002"/>
    <n v="833.30700000000002"/>
    <n v="0"/>
    <x v="0"/>
    <n v="0"/>
    <n v="0"/>
    <n v="36"/>
    <n v="83"/>
    <n v="0"/>
    <n v="1174.6600000000001"/>
    <n v="430.87"/>
    <m/>
    <n v="1305.5515491455487"/>
    <n v="375.70671275609089"/>
    <n v="0"/>
    <n v="978852.40062000009"/>
    <n v="359046.98709000001"/>
    <n v="0"/>
    <n v="1087925.2447638297"/>
    <n v="313079.03368663986"/>
  </r>
  <r>
    <s v="Sistema de Compensação"/>
    <x v="3"/>
    <x v="3"/>
    <x v="4"/>
    <x v="0"/>
    <x v="0"/>
    <x v="0"/>
    <x v="1"/>
    <x v="8"/>
    <n v="0"/>
    <n v="0"/>
    <n v="95.42"/>
    <n v="95.42"/>
    <n v="95.42"/>
    <n v="95.42"/>
    <n v="0"/>
    <x v="0"/>
    <n v="0"/>
    <n v="0"/>
    <n v="36"/>
    <n v="83"/>
    <n v="0"/>
    <n v="1174.6600000000001"/>
    <n v="430.87"/>
    <m/>
    <n v="1305.5515491455487"/>
    <n v="375.70671275609089"/>
    <n v="0"/>
    <n v="112086.05720000001"/>
    <n v="41113.615400000002"/>
    <n v="0"/>
    <n v="124575.72881946826"/>
    <n v="35849.934531186191"/>
  </r>
  <r>
    <s v="Regular"/>
    <x v="3"/>
    <x v="3"/>
    <x v="4"/>
    <x v="0"/>
    <x v="0"/>
    <x v="0"/>
    <x v="1"/>
    <x v="9"/>
    <n v="0"/>
    <n v="0"/>
    <n v="788.65200000000004"/>
    <n v="788.65200000000004"/>
    <n v="788.65200000000004"/>
    <n v="788.65200000000004"/>
    <n v="0"/>
    <x v="0"/>
    <n v="0"/>
    <n v="0"/>
    <n v="36"/>
    <n v="83"/>
    <n v="0"/>
    <n v="1174.6600000000001"/>
    <n v="430.87"/>
    <m/>
    <n v="1305.5515491455487"/>
    <n v="375.70671275609089"/>
    <n v="0"/>
    <n v="926397.95832000009"/>
    <n v="339806.48724000005"/>
    <n v="0"/>
    <n v="1029625.8403367354"/>
    <n v="296301.85042851663"/>
  </r>
  <r>
    <s v="Sistema de Compensação"/>
    <x v="3"/>
    <x v="3"/>
    <x v="4"/>
    <x v="0"/>
    <x v="0"/>
    <x v="0"/>
    <x v="1"/>
    <x v="9"/>
    <n v="0"/>
    <n v="0"/>
    <n v="93.974000000000004"/>
    <n v="93.974000000000004"/>
    <n v="93.974000000000004"/>
    <n v="93.974000000000004"/>
    <n v="0"/>
    <x v="0"/>
    <n v="0"/>
    <n v="0"/>
    <n v="36"/>
    <n v="83"/>
    <n v="0"/>
    <n v="1174.6600000000001"/>
    <n v="430.87"/>
    <m/>
    <n v="1305.5515491455487"/>
    <n v="375.70671275609089"/>
    <n v="0"/>
    <n v="110387.49884000001"/>
    <n v="40490.577380000002"/>
    <n v="0"/>
    <n v="122687.9012794038"/>
    <n v="35306.662624540884"/>
  </r>
  <r>
    <s v="Regular"/>
    <x v="3"/>
    <x v="3"/>
    <x v="4"/>
    <x v="0"/>
    <x v="0"/>
    <x v="0"/>
    <x v="1"/>
    <x v="10"/>
    <n v="0"/>
    <n v="0"/>
    <n v="757.30399999999997"/>
    <n v="757.30399999999997"/>
    <n v="757.30399999999997"/>
    <n v="757.30399999999997"/>
    <n v="0"/>
    <x v="0"/>
    <n v="0"/>
    <n v="0"/>
    <n v="36"/>
    <n v="83"/>
    <n v="0"/>
    <n v="1174.6600000000001"/>
    <n v="430.87"/>
    <m/>
    <n v="1305.5515491455487"/>
    <n v="375.70671275609089"/>
    <n v="0"/>
    <n v="889574.71664"/>
    <n v="326299.57448000001"/>
    <n v="0"/>
    <n v="988699.41037412058"/>
    <n v="284524.19639703864"/>
  </r>
  <r>
    <s v="Refaturamento - Regular"/>
    <x v="3"/>
    <x v="3"/>
    <x v="4"/>
    <x v="0"/>
    <x v="0"/>
    <x v="0"/>
    <x v="1"/>
    <x v="10"/>
    <n v="0"/>
    <n v="0"/>
    <n v="19.332999999999998"/>
    <n v="19.332999999999998"/>
    <n v="19.332999999999998"/>
    <n v="19.332999999999998"/>
    <n v="0"/>
    <x v="0"/>
    <n v="0"/>
    <n v="0"/>
    <n v="36"/>
    <n v="83"/>
    <n v="0"/>
    <n v="1174.6600000000001"/>
    <n v="430.87"/>
    <m/>
    <n v="1305.5515491455487"/>
    <n v="375.70671275609089"/>
    <n v="0"/>
    <n v="22709.701779999999"/>
    <n v="8330.0097100000003"/>
    <n v="0"/>
    <n v="25240.228099630891"/>
    <n v="7263.5378777135047"/>
  </r>
  <r>
    <s v="Sistema de Compensação"/>
    <x v="3"/>
    <x v="3"/>
    <x v="4"/>
    <x v="0"/>
    <x v="0"/>
    <x v="0"/>
    <x v="1"/>
    <x v="10"/>
    <n v="0"/>
    <n v="0"/>
    <n v="93.763999999999996"/>
    <n v="93.763999999999996"/>
    <n v="93.763999999999996"/>
    <n v="93.763999999999996"/>
    <n v="0"/>
    <x v="0"/>
    <n v="0"/>
    <n v="0"/>
    <n v="36"/>
    <n v="83"/>
    <n v="0"/>
    <n v="1174.6600000000001"/>
    <n v="430.87"/>
    <m/>
    <n v="1305.5515491455487"/>
    <n v="375.70671275609089"/>
    <n v="0"/>
    <n v="110140.82024"/>
    <n v="40400.094680000002"/>
    <n v="0"/>
    <n v="122413.73545408323"/>
    <n v="35227.764214862102"/>
  </r>
  <r>
    <s v="PROJETADO"/>
    <x v="3"/>
    <x v="3"/>
    <x v="4"/>
    <x v="0"/>
    <x v="0"/>
    <x v="0"/>
    <x v="1"/>
    <x v="11"/>
    <n v="0"/>
    <n v="0"/>
    <n v="757.30399999999997"/>
    <n v="757.30399999999997"/>
    <n v="757.30399999999997"/>
    <n v="757.30399999999997"/>
    <n v="0"/>
    <x v="0"/>
    <n v="0"/>
    <n v="0"/>
    <n v="36"/>
    <n v="83"/>
    <n v="0"/>
    <n v="1174.6600000000001"/>
    <n v="430.87"/>
    <m/>
    <n v="1305.5515491455487"/>
    <n v="375.70671275609089"/>
    <n v="0"/>
    <n v="889574.71664"/>
    <n v="326299.57448000001"/>
    <n v="0"/>
    <n v="988699.41037412058"/>
    <n v="284524.19639703864"/>
  </r>
  <r>
    <s v="PROJETADO"/>
    <x v="3"/>
    <x v="3"/>
    <x v="4"/>
    <x v="0"/>
    <x v="0"/>
    <x v="0"/>
    <x v="1"/>
    <x v="11"/>
    <n v="0"/>
    <n v="0"/>
    <n v="19.332999999999998"/>
    <n v="19.332999999999998"/>
    <n v="19.332999999999998"/>
    <n v="19.332999999999998"/>
    <n v="0"/>
    <x v="0"/>
    <n v="0"/>
    <n v="0"/>
    <n v="36"/>
    <n v="83"/>
    <n v="0"/>
    <n v="1174.6600000000001"/>
    <n v="430.87"/>
    <m/>
    <n v="1305.5515491455487"/>
    <n v="375.70671275609089"/>
    <n v="0"/>
    <n v="22709.701779999999"/>
    <n v="8330.0097100000003"/>
    <n v="0"/>
    <n v="25240.228099630891"/>
    <n v="7263.5378777135047"/>
  </r>
  <r>
    <s v="PROJETADO"/>
    <x v="3"/>
    <x v="3"/>
    <x v="4"/>
    <x v="0"/>
    <x v="0"/>
    <x v="0"/>
    <x v="1"/>
    <x v="11"/>
    <n v="0"/>
    <n v="0"/>
    <n v="93.763999999999996"/>
    <n v="93.763999999999996"/>
    <n v="93.763999999999996"/>
    <n v="93.763999999999996"/>
    <n v="0"/>
    <x v="0"/>
    <n v="0"/>
    <n v="0"/>
    <n v="36"/>
    <n v="83"/>
    <n v="0"/>
    <n v="1174.6600000000001"/>
    <n v="430.87"/>
    <m/>
    <n v="1305.5515491455487"/>
    <n v="375.70671275609089"/>
    <n v="0"/>
    <n v="110140.82024"/>
    <n v="40400.094680000002"/>
    <n v="0"/>
    <n v="122413.73545408323"/>
    <n v="35227.764214862102"/>
  </r>
  <r>
    <s v="Regular"/>
    <x v="4"/>
    <x v="4"/>
    <x v="6"/>
    <x v="3"/>
    <x v="0"/>
    <x v="0"/>
    <x v="0"/>
    <x v="0"/>
    <n v="0"/>
    <n v="0"/>
    <n v="188.077"/>
    <n v="188.077"/>
    <n v="188.077"/>
    <n v="188.077"/>
    <n v="0"/>
    <x v="0"/>
    <n v="0"/>
    <n v="0"/>
    <n v="44"/>
    <n v="87"/>
    <n v="0"/>
    <n v="187.49"/>
    <n v="256.38"/>
    <m/>
    <n v="202.69176339244308"/>
    <n v="230.84299908458948"/>
    <n v="0"/>
    <n v="35262.556730000004"/>
    <n v="48219.181259999998"/>
    <n v="0"/>
    <n v="38121.658783560517"/>
    <n v="43416.258738832337"/>
  </r>
  <r>
    <s v="Refaturamento - Regular"/>
    <x v="4"/>
    <x v="4"/>
    <x v="6"/>
    <x v="3"/>
    <x v="0"/>
    <x v="0"/>
    <x v="0"/>
    <x v="0"/>
    <n v="0"/>
    <n v="0"/>
    <n v="4.3760000000000003"/>
    <n v="4.3760000000000003"/>
    <n v="4.3760000000000003"/>
    <n v="4.3760000000000003"/>
    <n v="0"/>
    <x v="0"/>
    <n v="0"/>
    <n v="0"/>
    <n v="44"/>
    <n v="87"/>
    <n v="0"/>
    <n v="187.49"/>
    <n v="256.38"/>
    <m/>
    <n v="202.69176339244308"/>
    <n v="230.84299908458948"/>
    <n v="0"/>
    <n v="820.45624000000009"/>
    <n v="1121.9188800000002"/>
    <n v="0"/>
    <n v="886.97915660533101"/>
    <n v="1010.1689639941636"/>
  </r>
  <r>
    <s v="Sistema de Compensação"/>
    <x v="4"/>
    <x v="4"/>
    <x v="6"/>
    <x v="3"/>
    <x v="0"/>
    <x v="0"/>
    <x v="0"/>
    <x v="0"/>
    <n v="0"/>
    <n v="0"/>
    <n v="0.04"/>
    <n v="0.04"/>
    <n v="0.04"/>
    <n v="0.04"/>
    <n v="0"/>
    <x v="0"/>
    <n v="0"/>
    <n v="0"/>
    <n v="44"/>
    <n v="87"/>
    <n v="0"/>
    <n v="187.49"/>
    <n v="256.38"/>
    <m/>
    <n v="202.69176339244308"/>
    <n v="230.84299908458948"/>
    <n v="0"/>
    <n v="7.4996000000000009"/>
    <n v="10.2552"/>
    <n v="0"/>
    <n v="8.1076705356977232"/>
    <n v="9.2337199633835798"/>
  </r>
  <r>
    <s v="Regular"/>
    <x v="4"/>
    <x v="4"/>
    <x v="6"/>
    <x v="3"/>
    <x v="0"/>
    <x v="0"/>
    <x v="0"/>
    <x v="1"/>
    <n v="0"/>
    <n v="0"/>
    <n v="200.804"/>
    <n v="200.804"/>
    <n v="200.804"/>
    <n v="200.804"/>
    <n v="0"/>
    <x v="0"/>
    <n v="0"/>
    <n v="0"/>
    <n v="44"/>
    <n v="87"/>
    <n v="0"/>
    <n v="187.49"/>
    <n v="256.38"/>
    <m/>
    <n v="202.69176339244308"/>
    <n v="230.84299908458948"/>
    <n v="0"/>
    <n v="37648.741959999999"/>
    <n v="51482.129520000002"/>
    <n v="0"/>
    <n v="40701.31685625614"/>
    <n v="46354.197588181909"/>
  </r>
  <r>
    <s v="Refaturamento - Regular"/>
    <x v="4"/>
    <x v="4"/>
    <x v="6"/>
    <x v="3"/>
    <x v="0"/>
    <x v="0"/>
    <x v="0"/>
    <x v="1"/>
    <n v="0"/>
    <n v="0"/>
    <n v="2.2429999999999999"/>
    <n v="2.2429999999999999"/>
    <n v="2.2429999999999999"/>
    <n v="2.2429999999999999"/>
    <n v="0"/>
    <x v="0"/>
    <n v="0"/>
    <n v="0"/>
    <n v="44"/>
    <n v="87"/>
    <n v="0"/>
    <n v="187.49"/>
    <n v="256.38"/>
    <m/>
    <n v="202.69176339244308"/>
    <n v="230.84299908458948"/>
    <n v="0"/>
    <n v="420.54007000000001"/>
    <n v="575.06034"/>
    <n v="0"/>
    <n v="454.6376252892498"/>
    <n v="517.78084694673419"/>
  </r>
  <r>
    <s v="Sistema de Compensação"/>
    <x v="4"/>
    <x v="4"/>
    <x v="6"/>
    <x v="3"/>
    <x v="0"/>
    <x v="0"/>
    <x v="0"/>
    <x v="1"/>
    <n v="0"/>
    <n v="0"/>
    <n v="0.113"/>
    <n v="0.113"/>
    <n v="0.113"/>
    <n v="0.113"/>
    <n v="0"/>
    <x v="0"/>
    <n v="0"/>
    <n v="0"/>
    <n v="44"/>
    <n v="87"/>
    <n v="0"/>
    <n v="187.49"/>
    <n v="256.38"/>
    <m/>
    <n v="202.69176339244308"/>
    <n v="230.84299908458948"/>
    <n v="0"/>
    <n v="21.18637"/>
    <n v="28.970939999999999"/>
    <n v="0"/>
    <n v="22.90416926334607"/>
    <n v="26.085258896558614"/>
  </r>
  <r>
    <s v="Sistema de Compensação"/>
    <x v="4"/>
    <x v="4"/>
    <x v="6"/>
    <x v="3"/>
    <x v="0"/>
    <x v="0"/>
    <x v="0"/>
    <x v="1"/>
    <n v="0"/>
    <n v="0"/>
    <n v="0.113"/>
    <n v="0.113"/>
    <n v="0.113"/>
    <n v="0.113"/>
    <n v="0"/>
    <x v="0"/>
    <n v="0"/>
    <n v="0"/>
    <n v="44"/>
    <n v="87"/>
    <n v="0"/>
    <n v="187.49"/>
    <n v="256.38"/>
    <m/>
    <n v="202.69176339244308"/>
    <n v="230.84299908458948"/>
    <n v="0"/>
    <n v="21.18637"/>
    <n v="28.970939999999999"/>
    <n v="0"/>
    <n v="22.90416926334607"/>
    <n v="26.085258896558614"/>
  </r>
  <r>
    <s v="Regular"/>
    <x v="4"/>
    <x v="4"/>
    <x v="6"/>
    <x v="3"/>
    <x v="0"/>
    <x v="0"/>
    <x v="0"/>
    <x v="2"/>
    <n v="0"/>
    <n v="0"/>
    <n v="168.14"/>
    <n v="168.14"/>
    <n v="168.14"/>
    <n v="168.14"/>
    <n v="0"/>
    <x v="0"/>
    <n v="0"/>
    <n v="0"/>
    <n v="44"/>
    <n v="87"/>
    <n v="0"/>
    <n v="187.49"/>
    <n v="256.38"/>
    <m/>
    <n v="202.69176339244308"/>
    <n v="230.84299908458948"/>
    <n v="0"/>
    <n v="31524.568599999999"/>
    <n v="43107.733199999995"/>
    <n v="0"/>
    <n v="34080.59309680538"/>
    <n v="38813.941866082874"/>
  </r>
  <r>
    <s v="Refaturamento - Regular"/>
    <x v="4"/>
    <x v="4"/>
    <x v="6"/>
    <x v="3"/>
    <x v="0"/>
    <x v="0"/>
    <x v="0"/>
    <x v="2"/>
    <n v="0"/>
    <n v="0"/>
    <n v="5.0540000000000003"/>
    <n v="5.0540000000000003"/>
    <n v="5.0540000000000003"/>
    <n v="5.0540000000000003"/>
    <n v="0"/>
    <x v="0"/>
    <n v="0"/>
    <n v="0"/>
    <n v="44"/>
    <n v="87"/>
    <n v="0"/>
    <n v="187.49"/>
    <n v="256.38"/>
    <m/>
    <n v="202.69176339244308"/>
    <n v="230.84299908458948"/>
    <n v="0"/>
    <n v="947.57446000000004"/>
    <n v="1295.74452"/>
    <n v="0"/>
    <n v="1024.4041721854073"/>
    <n v="1166.6805173735154"/>
  </r>
  <r>
    <s v="Sistema de Compensação"/>
    <x v="4"/>
    <x v="4"/>
    <x v="6"/>
    <x v="3"/>
    <x v="0"/>
    <x v="0"/>
    <x v="0"/>
    <x v="2"/>
    <n v="0"/>
    <n v="0"/>
    <n v="2.9000000000000001E-2"/>
    <n v="2.9000000000000001E-2"/>
    <n v="2.9000000000000001E-2"/>
    <n v="2.9000000000000001E-2"/>
    <n v="0"/>
    <x v="0"/>
    <n v="0"/>
    <n v="0"/>
    <n v="44"/>
    <n v="87"/>
    <n v="0"/>
    <n v="187.49"/>
    <n v="256.38"/>
    <m/>
    <n v="202.69176339244308"/>
    <n v="230.84299908458948"/>
    <n v="0"/>
    <n v="5.4372100000000003"/>
    <n v="7.4350200000000006"/>
    <n v="0"/>
    <n v="5.8780611383808496"/>
    <n v="6.6944469734530951"/>
  </r>
  <r>
    <s v="Regular"/>
    <x v="4"/>
    <x v="4"/>
    <x v="6"/>
    <x v="3"/>
    <x v="0"/>
    <x v="0"/>
    <x v="0"/>
    <x v="3"/>
    <n v="0"/>
    <n v="0"/>
    <n v="186.04"/>
    <n v="186.04"/>
    <n v="186.04"/>
    <n v="186.04"/>
    <n v="0"/>
    <x v="0"/>
    <n v="0"/>
    <n v="0"/>
    <n v="44"/>
    <n v="87"/>
    <n v="0"/>
    <n v="187.49"/>
    <n v="256.38"/>
    <m/>
    <n v="202.69176339244308"/>
    <n v="230.84299908458948"/>
    <n v="0"/>
    <n v="34880.639600000002"/>
    <n v="47696.9352"/>
    <n v="0"/>
    <n v="37708.775661530111"/>
    <n v="42946.031549697022"/>
  </r>
  <r>
    <s v="Refaturamento - Regular"/>
    <x v="4"/>
    <x v="4"/>
    <x v="6"/>
    <x v="3"/>
    <x v="0"/>
    <x v="0"/>
    <x v="0"/>
    <x v="3"/>
    <n v="0"/>
    <n v="0"/>
    <n v="3.5249999999999999"/>
    <n v="3.5249999999999999"/>
    <n v="3.5249999999999999"/>
    <n v="3.5249999999999999"/>
    <n v="0"/>
    <x v="0"/>
    <n v="0"/>
    <n v="0"/>
    <n v="44"/>
    <n v="87"/>
    <n v="0"/>
    <n v="187.49"/>
    <n v="256.38"/>
    <m/>
    <n v="202.69176339244308"/>
    <n v="230.84299908458948"/>
    <n v="0"/>
    <n v="660.90224999999998"/>
    <n v="903.73949999999991"/>
    <n v="0"/>
    <n v="714.48846595836187"/>
    <n v="813.72157177317786"/>
  </r>
  <r>
    <s v="Sistema de Compensação"/>
    <x v="4"/>
    <x v="4"/>
    <x v="6"/>
    <x v="3"/>
    <x v="0"/>
    <x v="0"/>
    <x v="0"/>
    <x v="3"/>
    <n v="0"/>
    <n v="0"/>
    <n v="2.1999999999999999E-2"/>
    <n v="2.1999999999999999E-2"/>
    <n v="2.1999999999999999E-2"/>
    <n v="2.1999999999999999E-2"/>
    <n v="0"/>
    <x v="0"/>
    <n v="0"/>
    <n v="0"/>
    <n v="44"/>
    <n v="87"/>
    <n v="0"/>
    <n v="187.49"/>
    <n v="256.38"/>
    <m/>
    <n v="202.69176339244308"/>
    <n v="230.84299908458948"/>
    <n v="0"/>
    <n v="4.1247800000000003"/>
    <n v="5.6403599999999994"/>
    <n v="0"/>
    <n v="4.4592187946337472"/>
    <n v="5.0785459798609685"/>
  </r>
  <r>
    <s v="Regular"/>
    <x v="4"/>
    <x v="4"/>
    <x v="6"/>
    <x v="3"/>
    <x v="0"/>
    <x v="0"/>
    <x v="0"/>
    <x v="4"/>
    <n v="0"/>
    <n v="0"/>
    <n v="171.82900000000001"/>
    <n v="171.82900000000001"/>
    <n v="171.82900000000001"/>
    <n v="171.82900000000001"/>
    <n v="0"/>
    <x v="0"/>
    <n v="0"/>
    <n v="0"/>
    <n v="44"/>
    <n v="87"/>
    <n v="0"/>
    <n v="187.49"/>
    <n v="256.38"/>
    <m/>
    <n v="202.69176339244308"/>
    <n v="230.84299908458948"/>
    <n v="0"/>
    <n v="32216.219210000003"/>
    <n v="44053.51902"/>
    <n v="0"/>
    <n v="34828.323011960107"/>
    <n v="39665.521689705929"/>
  </r>
  <r>
    <s v="Refaturamento - Regular"/>
    <x v="4"/>
    <x v="4"/>
    <x v="6"/>
    <x v="3"/>
    <x v="0"/>
    <x v="0"/>
    <x v="0"/>
    <x v="4"/>
    <n v="0"/>
    <n v="0"/>
    <n v="0.89600000000000002"/>
    <n v="0.89600000000000002"/>
    <n v="0.89600000000000002"/>
    <n v="0.89600000000000002"/>
    <n v="0"/>
    <x v="0"/>
    <n v="0"/>
    <n v="0"/>
    <n v="44"/>
    <n v="87"/>
    <n v="0"/>
    <n v="187.49"/>
    <n v="256.38"/>
    <m/>
    <n v="202.69176339244308"/>
    <n v="230.84299908458948"/>
    <n v="0"/>
    <n v="167.99104"/>
    <n v="229.71647999999999"/>
    <n v="0"/>
    <n v="181.61181999962901"/>
    <n v="206.83532717979219"/>
  </r>
  <r>
    <s v="Regular"/>
    <x v="4"/>
    <x v="4"/>
    <x v="6"/>
    <x v="3"/>
    <x v="0"/>
    <x v="0"/>
    <x v="0"/>
    <x v="5"/>
    <n v="0"/>
    <n v="0"/>
    <n v="170.30099999999999"/>
    <n v="170.30099999999999"/>
    <n v="170.30099999999999"/>
    <n v="170.30099999999999"/>
    <n v="0"/>
    <x v="0"/>
    <n v="0"/>
    <n v="0"/>
    <n v="44"/>
    <n v="87"/>
    <n v="0"/>
    <n v="187.49"/>
    <n v="256.38"/>
    <m/>
    <n v="202.69176339244308"/>
    <n v="230.84299908458948"/>
    <n v="0"/>
    <n v="31929.734489999999"/>
    <n v="43661.770379999994"/>
    <n v="0"/>
    <n v="34518.609997496445"/>
    <n v="39312.793587104672"/>
  </r>
  <r>
    <s v="Refaturamento - Regular"/>
    <x v="4"/>
    <x v="4"/>
    <x v="6"/>
    <x v="3"/>
    <x v="0"/>
    <x v="0"/>
    <x v="0"/>
    <x v="5"/>
    <n v="0"/>
    <n v="0"/>
    <n v="0.30399999999999999"/>
    <n v="0.30399999999999999"/>
    <n v="0.30399999999999999"/>
    <n v="0.30399999999999999"/>
    <n v="0"/>
    <x v="0"/>
    <n v="0"/>
    <n v="0"/>
    <n v="44"/>
    <n v="87"/>
    <n v="0"/>
    <n v="187.49"/>
    <n v="256.38"/>
    <m/>
    <n v="202.69176339244308"/>
    <n v="230.84299908458948"/>
    <n v="0"/>
    <n v="56.996960000000001"/>
    <n v="77.939520000000002"/>
    <n v="0"/>
    <n v="61.618296071302694"/>
    <n v="70.176271721715196"/>
  </r>
  <r>
    <s v="Regular"/>
    <x v="4"/>
    <x v="4"/>
    <x v="6"/>
    <x v="3"/>
    <x v="0"/>
    <x v="0"/>
    <x v="0"/>
    <x v="6"/>
    <n v="0"/>
    <n v="0"/>
    <n v="179.27699999999999"/>
    <n v="179.27699999999999"/>
    <n v="179.27699999999999"/>
    <n v="179.27699999999999"/>
    <n v="0"/>
    <x v="0"/>
    <n v="0"/>
    <n v="0"/>
    <n v="44"/>
    <n v="87"/>
    <n v="0"/>
    <n v="187.49"/>
    <n v="256.38"/>
    <m/>
    <n v="202.69176339244308"/>
    <n v="230.84299908458948"/>
    <n v="0"/>
    <n v="33612.64473"/>
    <n v="45963.037259999997"/>
    <n v="0"/>
    <n v="36337.971265707012"/>
    <n v="41384.840346887948"/>
  </r>
  <r>
    <s v="Refaturamento - Regular"/>
    <x v="4"/>
    <x v="4"/>
    <x v="6"/>
    <x v="3"/>
    <x v="0"/>
    <x v="0"/>
    <x v="0"/>
    <x v="6"/>
    <n v="0"/>
    <n v="0"/>
    <n v="0.65600000000000003"/>
    <n v="0.65600000000000003"/>
    <n v="0.65600000000000003"/>
    <n v="0.65600000000000003"/>
    <n v="0"/>
    <x v="0"/>
    <n v="0"/>
    <n v="0"/>
    <n v="44"/>
    <n v="87"/>
    <n v="0"/>
    <n v="187.49"/>
    <n v="256.38"/>
    <m/>
    <n v="202.69176339244308"/>
    <n v="230.84299908458948"/>
    <n v="0"/>
    <n v="122.99344000000001"/>
    <n v="168.18528000000001"/>
    <n v="0"/>
    <n v="132.96579678544268"/>
    <n v="151.43300739949069"/>
  </r>
  <r>
    <s v="Regular"/>
    <x v="4"/>
    <x v="4"/>
    <x v="6"/>
    <x v="3"/>
    <x v="0"/>
    <x v="0"/>
    <x v="0"/>
    <x v="7"/>
    <n v="0"/>
    <n v="0"/>
    <n v="157.38800000000001"/>
    <n v="157.38800000000001"/>
    <n v="157.38800000000001"/>
    <n v="157.38800000000001"/>
    <n v="0"/>
    <x v="0"/>
    <n v="0"/>
    <n v="0"/>
    <n v="44"/>
    <n v="87"/>
    <n v="0"/>
    <n v="187.49"/>
    <n v="256.38"/>
    <m/>
    <n v="202.69176339244308"/>
    <n v="230.84299908458948"/>
    <n v="0"/>
    <n v="29508.676120000004"/>
    <n v="40351.135439999998"/>
    <n v="0"/>
    <n v="31901.251256809832"/>
    <n v="36331.91793992537"/>
  </r>
  <r>
    <s v="Refaturamento - Regular"/>
    <x v="4"/>
    <x v="4"/>
    <x v="6"/>
    <x v="3"/>
    <x v="0"/>
    <x v="0"/>
    <x v="0"/>
    <x v="7"/>
    <n v="0"/>
    <n v="0"/>
    <n v="0.89900000000000002"/>
    <n v="0.89900000000000002"/>
    <n v="0.89900000000000002"/>
    <n v="0.89900000000000002"/>
    <n v="0"/>
    <x v="0"/>
    <n v="0"/>
    <n v="0"/>
    <n v="44"/>
    <n v="87"/>
    <n v="0"/>
    <n v="187.49"/>
    <n v="256.38"/>
    <m/>
    <n v="202.69176339244308"/>
    <n v="230.84299908458948"/>
    <n v="0"/>
    <n v="168.55351000000002"/>
    <n v="230.48562000000001"/>
    <n v="0"/>
    <n v="182.21989528980635"/>
    <n v="207.52785617704595"/>
  </r>
  <r>
    <s v="Regular"/>
    <x v="4"/>
    <x v="4"/>
    <x v="6"/>
    <x v="3"/>
    <x v="0"/>
    <x v="0"/>
    <x v="0"/>
    <x v="8"/>
    <n v="0"/>
    <n v="0"/>
    <n v="149.21799999999999"/>
    <n v="149.21799999999999"/>
    <n v="149.21799999999999"/>
    <n v="149.21799999999999"/>
    <n v="0"/>
    <x v="0"/>
    <n v="0"/>
    <n v="0"/>
    <n v="44"/>
    <n v="87"/>
    <n v="0"/>
    <n v="187.49"/>
    <n v="256.38"/>
    <m/>
    <n v="202.69176339244308"/>
    <n v="230.84299908458948"/>
    <n v="0"/>
    <n v="27976.882819999999"/>
    <n v="38256.510839999995"/>
    <n v="0"/>
    <n v="30245.25954989357"/>
    <n v="34445.930637404272"/>
  </r>
  <r>
    <s v="Refaturamento - Regular"/>
    <x v="4"/>
    <x v="4"/>
    <x v="6"/>
    <x v="3"/>
    <x v="0"/>
    <x v="0"/>
    <x v="0"/>
    <x v="8"/>
    <n v="0"/>
    <n v="0"/>
    <n v="1.5760000000000001"/>
    <n v="1.5760000000000001"/>
    <n v="1.5760000000000001"/>
    <n v="1.5760000000000001"/>
    <n v="0"/>
    <x v="0"/>
    <n v="0"/>
    <n v="0"/>
    <n v="44"/>
    <n v="87"/>
    <n v="0"/>
    <n v="187.49"/>
    <n v="256.38"/>
    <m/>
    <n v="202.69176339244308"/>
    <n v="230.84299908458948"/>
    <n v="0"/>
    <n v="295.48424"/>
    <n v="404.05488000000003"/>
    <n v="0"/>
    <n v="319.44221910649031"/>
    <n v="363.80856655731304"/>
  </r>
  <r>
    <s v="Regular"/>
    <x v="4"/>
    <x v="4"/>
    <x v="6"/>
    <x v="3"/>
    <x v="0"/>
    <x v="0"/>
    <x v="0"/>
    <x v="9"/>
    <n v="0"/>
    <n v="0"/>
    <n v="154.20599999999999"/>
    <n v="154.20599999999999"/>
    <n v="154.20599999999999"/>
    <n v="154.20599999999999"/>
    <n v="0"/>
    <x v="0"/>
    <n v="0"/>
    <n v="0"/>
    <n v="44"/>
    <n v="87"/>
    <n v="0"/>
    <n v="187.49"/>
    <n v="256.38"/>
    <m/>
    <n v="202.69176339244308"/>
    <n v="230.84299908458948"/>
    <n v="0"/>
    <n v="28912.08294"/>
    <n v="39535.334279999995"/>
    <n v="0"/>
    <n v="31256.286065695076"/>
    <n v="35597.375516838205"/>
  </r>
  <r>
    <s v="Refaturamento - Regular"/>
    <x v="4"/>
    <x v="4"/>
    <x v="6"/>
    <x v="3"/>
    <x v="0"/>
    <x v="0"/>
    <x v="0"/>
    <x v="9"/>
    <n v="0"/>
    <n v="0"/>
    <n v="1.657"/>
    <n v="1.657"/>
    <n v="1.657"/>
    <n v="1.657"/>
    <n v="0"/>
    <x v="0"/>
    <n v="0"/>
    <n v="0"/>
    <n v="44"/>
    <n v="87"/>
    <n v="0"/>
    <n v="187.49"/>
    <n v="256.38"/>
    <m/>
    <n v="202.69176339244308"/>
    <n v="230.84299908458948"/>
    <n v="0"/>
    <n v="310.67093"/>
    <n v="424.82166000000001"/>
    <n v="0"/>
    <n v="335.86025194127819"/>
    <n v="382.50684948316479"/>
  </r>
  <r>
    <s v="Regular"/>
    <x v="4"/>
    <x v="4"/>
    <x v="6"/>
    <x v="3"/>
    <x v="0"/>
    <x v="0"/>
    <x v="0"/>
    <x v="10"/>
    <n v="0"/>
    <n v="0"/>
    <n v="183.77099999999999"/>
    <n v="183.77099999999999"/>
    <n v="183.77099999999999"/>
    <n v="183.77099999999999"/>
    <n v="0"/>
    <x v="0"/>
    <n v="0"/>
    <n v="0"/>
    <n v="44"/>
    <n v="87"/>
    <n v="0"/>
    <n v="187.49"/>
    <n v="256.38"/>
    <m/>
    <n v="202.69176339244308"/>
    <n v="230.84299908458948"/>
    <n v="0"/>
    <n v="34455.22479"/>
    <n v="47115.208979999996"/>
    <n v="0"/>
    <n v="37248.868050392652"/>
    <n v="42422.248784774092"/>
  </r>
  <r>
    <s v="Refaturamento - Regular"/>
    <x v="4"/>
    <x v="4"/>
    <x v="6"/>
    <x v="3"/>
    <x v="0"/>
    <x v="0"/>
    <x v="0"/>
    <x v="10"/>
    <n v="0"/>
    <n v="0"/>
    <n v="1.123"/>
    <n v="1.123"/>
    <n v="1.123"/>
    <n v="1.123"/>
    <n v="0"/>
    <x v="0"/>
    <n v="0"/>
    <n v="0"/>
    <n v="44"/>
    <n v="87"/>
    <n v="0"/>
    <n v="187.49"/>
    <n v="256.38"/>
    <m/>
    <n v="202.69176339244308"/>
    <n v="230.84299908458948"/>
    <n v="0"/>
    <n v="210.55127000000002"/>
    <n v="287.91473999999999"/>
    <n v="0"/>
    <n v="227.62285028971357"/>
    <n v="259.236687971994"/>
  </r>
  <r>
    <s v="PROJETADO"/>
    <x v="4"/>
    <x v="4"/>
    <x v="6"/>
    <x v="3"/>
    <x v="0"/>
    <x v="0"/>
    <x v="0"/>
    <x v="11"/>
    <n v="0"/>
    <n v="0"/>
    <n v="183.77099999999999"/>
    <n v="183.77099999999999"/>
    <n v="183.77099999999999"/>
    <n v="183.77099999999999"/>
    <n v="0"/>
    <x v="0"/>
    <n v="0"/>
    <n v="0"/>
    <n v="44"/>
    <n v="87"/>
    <n v="0"/>
    <n v="187.49"/>
    <n v="256.38"/>
    <m/>
    <n v="202.69176339244308"/>
    <n v="230.84299908458948"/>
    <n v="0"/>
    <n v="34455.22479"/>
    <n v="47115.208979999996"/>
    <n v="0"/>
    <n v="37248.868050392652"/>
    <n v="42422.248784774092"/>
  </r>
  <r>
    <s v="PROJETADO"/>
    <x v="4"/>
    <x v="4"/>
    <x v="6"/>
    <x v="3"/>
    <x v="0"/>
    <x v="0"/>
    <x v="0"/>
    <x v="11"/>
    <n v="0"/>
    <n v="0"/>
    <n v="1.123"/>
    <n v="1.123"/>
    <n v="1.123"/>
    <n v="1.123"/>
    <n v="0"/>
    <x v="0"/>
    <n v="0"/>
    <n v="0"/>
    <n v="44"/>
    <n v="87"/>
    <n v="0"/>
    <n v="187.49"/>
    <n v="256.38"/>
    <m/>
    <n v="202.69176339244308"/>
    <n v="230.84299908458948"/>
    <n v="0"/>
    <n v="210.55127000000002"/>
    <n v="287.91473999999999"/>
    <n v="0"/>
    <n v="227.62285028971357"/>
    <n v="259.236687971994"/>
  </r>
  <r>
    <s v="Regular"/>
    <x v="4"/>
    <x v="4"/>
    <x v="6"/>
    <x v="3"/>
    <x v="0"/>
    <x v="0"/>
    <x v="3"/>
    <x v="0"/>
    <n v="0"/>
    <n v="0"/>
    <n v="14.584"/>
    <n v="14.584"/>
    <n v="14.584"/>
    <n v="14.584"/>
    <n v="0"/>
    <x v="0"/>
    <n v="0"/>
    <n v="0"/>
    <n v="43"/>
    <n v="86"/>
    <n v="0"/>
    <n v="345.5"/>
    <n v="256.38"/>
    <m/>
    <n v="386.11140123761214"/>
    <n v="230.84299908458948"/>
    <n v="0"/>
    <n v="5038.7719999999999"/>
    <n v="3739.04592"/>
    <n v="0"/>
    <n v="5631.0486756493356"/>
    <n v="3366.6142986496529"/>
  </r>
  <r>
    <s v="Refaturamento - Regular"/>
    <x v="4"/>
    <x v="4"/>
    <x v="6"/>
    <x v="3"/>
    <x v="0"/>
    <x v="0"/>
    <x v="3"/>
    <x v="0"/>
    <n v="0"/>
    <n v="0"/>
    <n v="0.36699999999999999"/>
    <n v="0.36699999999999999"/>
    <n v="0.36699999999999999"/>
    <n v="0.36699999999999999"/>
    <n v="0"/>
    <x v="0"/>
    <n v="0"/>
    <n v="0"/>
    <n v="43"/>
    <n v="86"/>
    <n v="0"/>
    <n v="345.5"/>
    <n v="256.38"/>
    <m/>
    <n v="386.11140123761214"/>
    <n v="230.84299908458948"/>
    <n v="0"/>
    <n v="126.7985"/>
    <n v="94.091459999999998"/>
    <n v="0"/>
    <n v="141.70288425420367"/>
    <n v="84.719380664044337"/>
  </r>
  <r>
    <s v="Sistema de Compensação"/>
    <x v="4"/>
    <x v="4"/>
    <x v="6"/>
    <x v="3"/>
    <x v="0"/>
    <x v="0"/>
    <x v="3"/>
    <x v="0"/>
    <n v="0"/>
    <n v="0"/>
    <n v="3.0000000000000001E-3"/>
    <n v="3.0000000000000001E-3"/>
    <n v="3.0000000000000001E-3"/>
    <n v="3.0000000000000001E-3"/>
    <n v="0"/>
    <x v="0"/>
    <n v="0"/>
    <n v="0"/>
    <n v="43"/>
    <n v="86"/>
    <n v="0"/>
    <n v="345.5"/>
    <n v="256.38"/>
    <m/>
    <n v="386.11140123761214"/>
    <n v="230.84299908458948"/>
    <n v="0"/>
    <n v="1.0365"/>
    <n v="0.76914000000000005"/>
    <n v="0"/>
    <n v="1.1583342037128364"/>
    <n v="0.69252899725376849"/>
  </r>
  <r>
    <s v="Regular"/>
    <x v="4"/>
    <x v="4"/>
    <x v="6"/>
    <x v="3"/>
    <x v="0"/>
    <x v="0"/>
    <x v="3"/>
    <x v="1"/>
    <n v="0"/>
    <n v="0"/>
    <n v="14.778"/>
    <n v="14.778"/>
    <n v="14.778"/>
    <n v="14.778"/>
    <n v="0"/>
    <x v="0"/>
    <n v="0"/>
    <n v="0"/>
    <n v="43"/>
    <n v="86"/>
    <n v="0"/>
    <n v="345.5"/>
    <n v="256.38"/>
    <m/>
    <n v="386.11140123761214"/>
    <n v="230.84299908458948"/>
    <n v="0"/>
    <n v="5105.799"/>
    <n v="3788.7836400000001"/>
    <n v="0"/>
    <n v="5705.9542874894323"/>
    <n v="3411.3978404720633"/>
  </r>
  <r>
    <s v="Refaturamento - Regular"/>
    <x v="4"/>
    <x v="4"/>
    <x v="6"/>
    <x v="3"/>
    <x v="0"/>
    <x v="0"/>
    <x v="3"/>
    <x v="1"/>
    <n v="0"/>
    <n v="0"/>
    <n v="0.123"/>
    <n v="0.123"/>
    <n v="0.123"/>
    <n v="0.123"/>
    <n v="0"/>
    <x v="0"/>
    <n v="0"/>
    <n v="0"/>
    <n v="43"/>
    <n v="86"/>
    <n v="0"/>
    <n v="345.5"/>
    <n v="256.38"/>
    <m/>
    <n v="386.11140123761214"/>
    <n v="230.84299908458948"/>
    <n v="0"/>
    <n v="42.496499999999997"/>
    <n v="31.534739999999999"/>
    <n v="0"/>
    <n v="47.491702352226291"/>
    <n v="28.393688887404505"/>
  </r>
  <r>
    <s v="Sistema de Compensação"/>
    <x v="4"/>
    <x v="4"/>
    <x v="6"/>
    <x v="3"/>
    <x v="0"/>
    <x v="0"/>
    <x v="3"/>
    <x v="1"/>
    <n v="0"/>
    <n v="0"/>
    <n v="3.6999999999999998E-2"/>
    <n v="3.6999999999999998E-2"/>
    <n v="3.6999999999999998E-2"/>
    <n v="3.6999999999999998E-2"/>
    <n v="0"/>
    <x v="0"/>
    <n v="0"/>
    <n v="0"/>
    <n v="43"/>
    <n v="86"/>
    <n v="0"/>
    <n v="345.5"/>
    <n v="256.38"/>
    <m/>
    <n v="386.11140123761214"/>
    <n v="230.84299908458948"/>
    <n v="0"/>
    <n v="12.7835"/>
    <n v="9.4860600000000002"/>
    <n v="0"/>
    <n v="14.286121845791648"/>
    <n v="8.5411909661298111"/>
  </r>
  <r>
    <s v="Sistema de Compensação"/>
    <x v="4"/>
    <x v="4"/>
    <x v="6"/>
    <x v="3"/>
    <x v="0"/>
    <x v="0"/>
    <x v="3"/>
    <x v="1"/>
    <n v="0"/>
    <n v="0"/>
    <n v="3.6999999999999998E-2"/>
    <n v="3.6999999999999998E-2"/>
    <n v="3.6999999999999998E-2"/>
    <n v="3.6999999999999998E-2"/>
    <n v="0"/>
    <x v="0"/>
    <n v="0"/>
    <n v="0"/>
    <n v="43"/>
    <n v="86"/>
    <n v="0"/>
    <n v="345.5"/>
    <n v="256.38"/>
    <m/>
    <n v="386.11140123761214"/>
    <n v="230.84299908458948"/>
    <n v="0"/>
    <n v="12.7835"/>
    <n v="9.4860600000000002"/>
    <n v="0"/>
    <n v="14.286121845791648"/>
    <n v="8.5411909661298111"/>
  </r>
  <r>
    <s v="Regular"/>
    <x v="4"/>
    <x v="4"/>
    <x v="6"/>
    <x v="3"/>
    <x v="0"/>
    <x v="0"/>
    <x v="3"/>
    <x v="2"/>
    <n v="0"/>
    <n v="0"/>
    <n v="12.145"/>
    <n v="12.145"/>
    <n v="12.145"/>
    <n v="12.145"/>
    <n v="0"/>
    <x v="0"/>
    <n v="0"/>
    <n v="0"/>
    <n v="43"/>
    <n v="86"/>
    <n v="0"/>
    <n v="345.5"/>
    <n v="256.38"/>
    <m/>
    <n v="386.11140123761214"/>
    <n v="230.84299908458948"/>
    <n v="0"/>
    <n v="4196.0974999999999"/>
    <n v="3113.7350999999999"/>
    <n v="0"/>
    <n v="4689.3229680307995"/>
    <n v="2803.5882238823392"/>
  </r>
  <r>
    <s v="Refaturamento - Regular"/>
    <x v="4"/>
    <x v="4"/>
    <x v="6"/>
    <x v="3"/>
    <x v="0"/>
    <x v="0"/>
    <x v="3"/>
    <x v="2"/>
    <n v="0"/>
    <n v="0"/>
    <n v="0.33200000000000002"/>
    <n v="0.33200000000000002"/>
    <n v="0.33200000000000002"/>
    <n v="0.33200000000000002"/>
    <n v="0"/>
    <x v="0"/>
    <n v="0"/>
    <n v="0"/>
    <n v="43"/>
    <n v="86"/>
    <n v="0"/>
    <n v="345.5"/>
    <n v="256.38"/>
    <m/>
    <n v="386.11140123761214"/>
    <n v="230.84299908458948"/>
    <n v="0"/>
    <n v="114.706"/>
    <n v="85.118160000000003"/>
    <n v="0"/>
    <n v="128.18898521088724"/>
    <n v="76.639875696083706"/>
  </r>
  <r>
    <s v="Sistema de Compensação"/>
    <x v="4"/>
    <x v="4"/>
    <x v="6"/>
    <x v="3"/>
    <x v="0"/>
    <x v="0"/>
    <x v="3"/>
    <x v="2"/>
    <n v="0"/>
    <n v="0"/>
    <n v="1.9E-2"/>
    <n v="1.9E-2"/>
    <n v="1.9E-2"/>
    <n v="1.9E-2"/>
    <n v="0"/>
    <x v="0"/>
    <n v="0"/>
    <n v="0"/>
    <n v="43"/>
    <n v="86"/>
    <n v="0"/>
    <n v="345.5"/>
    <n v="256.38"/>
    <m/>
    <n v="386.11140123761214"/>
    <n v="230.84299908458948"/>
    <n v="0"/>
    <n v="6.5644999999999998"/>
    <n v="4.8712200000000001"/>
    <n v="0"/>
    <n v="7.3361166235146307"/>
    <n v="4.3860169826071997"/>
  </r>
  <r>
    <s v="Regular"/>
    <x v="4"/>
    <x v="4"/>
    <x v="6"/>
    <x v="3"/>
    <x v="0"/>
    <x v="0"/>
    <x v="3"/>
    <x v="3"/>
    <n v="0"/>
    <n v="0"/>
    <n v="13.917999999999999"/>
    <n v="13.917999999999999"/>
    <n v="13.917999999999999"/>
    <n v="13.917999999999999"/>
    <n v="0"/>
    <x v="0"/>
    <n v="0"/>
    <n v="0"/>
    <n v="43"/>
    <n v="86"/>
    <n v="0"/>
    <n v="345.5"/>
    <n v="256.38"/>
    <m/>
    <n v="386.11140123761214"/>
    <n v="230.84299908458948"/>
    <n v="0"/>
    <n v="4808.6689999999999"/>
    <n v="3568.29684"/>
    <n v="0"/>
    <n v="5373.8984824250856"/>
    <n v="3212.8728612593163"/>
  </r>
  <r>
    <s v="Refaturamento - Regular"/>
    <x v="4"/>
    <x v="4"/>
    <x v="6"/>
    <x v="3"/>
    <x v="0"/>
    <x v="0"/>
    <x v="3"/>
    <x v="3"/>
    <n v="0"/>
    <n v="0"/>
    <n v="0.111"/>
    <n v="0.111"/>
    <n v="0.111"/>
    <n v="0.111"/>
    <n v="0"/>
    <x v="0"/>
    <n v="0"/>
    <n v="0"/>
    <n v="43"/>
    <n v="86"/>
    <n v="0"/>
    <n v="345.5"/>
    <n v="256.38"/>
    <m/>
    <n v="386.11140123761214"/>
    <n v="230.84299908458948"/>
    <n v="0"/>
    <n v="38.350500000000004"/>
    <n v="28.458179999999999"/>
    <n v="0"/>
    <n v="42.858365537374951"/>
    <n v="25.623572898389433"/>
  </r>
  <r>
    <s v="Sistema de Compensação"/>
    <x v="4"/>
    <x v="4"/>
    <x v="6"/>
    <x v="3"/>
    <x v="0"/>
    <x v="0"/>
    <x v="3"/>
    <x v="3"/>
    <n v="0"/>
    <n v="0"/>
    <n v="1.6E-2"/>
    <n v="1.6E-2"/>
    <n v="1.6E-2"/>
    <n v="1.6E-2"/>
    <n v="0"/>
    <x v="0"/>
    <n v="0"/>
    <n v="0"/>
    <n v="43"/>
    <n v="86"/>
    <n v="0"/>
    <n v="345.5"/>
    <n v="256.38"/>
    <m/>
    <n v="386.11140123761214"/>
    <n v="230.84299908458948"/>
    <n v="0"/>
    <n v="5.5280000000000005"/>
    <n v="4.1020799999999999"/>
    <n v="0"/>
    <n v="6.1777824198017948"/>
    <n v="3.6934879853534319"/>
  </r>
  <r>
    <s v="Regular"/>
    <x v="4"/>
    <x v="4"/>
    <x v="6"/>
    <x v="3"/>
    <x v="0"/>
    <x v="0"/>
    <x v="3"/>
    <x v="4"/>
    <n v="0"/>
    <n v="0"/>
    <n v="13.444000000000001"/>
    <n v="13.444000000000001"/>
    <n v="13.444000000000001"/>
    <n v="13.444000000000001"/>
    <n v="0"/>
    <x v="0"/>
    <n v="0"/>
    <n v="0"/>
    <n v="43"/>
    <n v="86"/>
    <n v="0"/>
    <n v="345.5"/>
    <n v="256.38"/>
    <m/>
    <n v="386.11140123761214"/>
    <n v="230.84299908458948"/>
    <n v="0"/>
    <n v="4644.902"/>
    <n v="3446.7727199999999"/>
    <n v="0"/>
    <n v="5190.8816782384583"/>
    <n v="3103.4532796932212"/>
  </r>
  <r>
    <s v="Refaturamento - Regular"/>
    <x v="4"/>
    <x v="4"/>
    <x v="6"/>
    <x v="3"/>
    <x v="0"/>
    <x v="0"/>
    <x v="3"/>
    <x v="4"/>
    <n v="0"/>
    <n v="0"/>
    <n v="0.19400000000000001"/>
    <n v="0.19400000000000001"/>
    <n v="0.19400000000000001"/>
    <n v="0.19400000000000001"/>
    <n v="0"/>
    <x v="0"/>
    <n v="0"/>
    <n v="0"/>
    <n v="43"/>
    <n v="86"/>
    <n v="0"/>
    <n v="345.5"/>
    <n v="256.38"/>
    <m/>
    <n v="386.11140123761214"/>
    <n v="230.84299908458948"/>
    <n v="0"/>
    <n v="67.027000000000001"/>
    <n v="49.737720000000003"/>
    <n v="0"/>
    <n v="74.905611840096753"/>
    <n v="44.783541822410363"/>
  </r>
  <r>
    <s v="Regular"/>
    <x v="4"/>
    <x v="4"/>
    <x v="6"/>
    <x v="3"/>
    <x v="0"/>
    <x v="0"/>
    <x v="3"/>
    <x v="5"/>
    <n v="0"/>
    <n v="0"/>
    <n v="12.813000000000001"/>
    <n v="12.813000000000001"/>
    <n v="12.813000000000001"/>
    <n v="12.813000000000001"/>
    <n v="0"/>
    <x v="0"/>
    <n v="0"/>
    <n v="0"/>
    <n v="43"/>
    <n v="86"/>
    <n v="0"/>
    <n v="345.5"/>
    <n v="256.38"/>
    <m/>
    <n v="386.11140123761214"/>
    <n v="230.84299908458948"/>
    <n v="0"/>
    <n v="4426.8915000000006"/>
    <n v="3284.99694"/>
    <n v="0"/>
    <n v="4947.2453840575245"/>
    <n v="2957.7913472708451"/>
  </r>
  <r>
    <s v="Refaturamento - Regular"/>
    <x v="4"/>
    <x v="4"/>
    <x v="6"/>
    <x v="3"/>
    <x v="0"/>
    <x v="0"/>
    <x v="3"/>
    <x v="5"/>
    <n v="0"/>
    <n v="0"/>
    <n v="1.6E-2"/>
    <n v="1.6E-2"/>
    <n v="1.6E-2"/>
    <n v="1.6E-2"/>
    <n v="0"/>
    <x v="0"/>
    <n v="0"/>
    <n v="0"/>
    <n v="43"/>
    <n v="86"/>
    <n v="0"/>
    <n v="345.5"/>
    <n v="256.38"/>
    <m/>
    <n v="386.11140123761214"/>
    <n v="230.84299908458948"/>
    <n v="0"/>
    <n v="5.5280000000000005"/>
    <n v="4.1020799999999999"/>
    <n v="0"/>
    <n v="6.1777824198017948"/>
    <n v="3.6934879853534319"/>
  </r>
  <r>
    <s v="Regular"/>
    <x v="4"/>
    <x v="4"/>
    <x v="6"/>
    <x v="3"/>
    <x v="0"/>
    <x v="0"/>
    <x v="3"/>
    <x v="6"/>
    <n v="0"/>
    <n v="0"/>
    <n v="13.818"/>
    <n v="13.818"/>
    <n v="13.818"/>
    <n v="13.818"/>
    <n v="0"/>
    <x v="0"/>
    <n v="0"/>
    <n v="0"/>
    <n v="43"/>
    <n v="86"/>
    <n v="0"/>
    <n v="345.5"/>
    <n v="256.38"/>
    <m/>
    <n v="386.11140123761214"/>
    <n v="230.84299908458948"/>
    <n v="0"/>
    <n v="4774.1189999999997"/>
    <n v="3542.6588400000001"/>
    <n v="0"/>
    <n v="5335.2873423013243"/>
    <n v="3189.7885613508574"/>
  </r>
  <r>
    <s v="Refaturamento - Regular"/>
    <x v="4"/>
    <x v="4"/>
    <x v="6"/>
    <x v="3"/>
    <x v="0"/>
    <x v="0"/>
    <x v="3"/>
    <x v="6"/>
    <n v="0"/>
    <n v="0"/>
    <n v="4.5999999999999999E-2"/>
    <n v="4.5999999999999999E-2"/>
    <n v="4.5999999999999999E-2"/>
    <n v="4.5999999999999999E-2"/>
    <n v="0"/>
    <x v="0"/>
    <n v="0"/>
    <n v="0"/>
    <n v="43"/>
    <n v="86"/>
    <n v="0"/>
    <n v="345.5"/>
    <n v="256.38"/>
    <m/>
    <n v="386.11140123761214"/>
    <n v="230.84299908458948"/>
    <n v="0"/>
    <n v="15.892999999999999"/>
    <n v="11.793479999999999"/>
    <n v="0"/>
    <n v="17.761124456930158"/>
    <n v="10.618777957891115"/>
  </r>
  <r>
    <s v="Regular"/>
    <x v="4"/>
    <x v="4"/>
    <x v="6"/>
    <x v="3"/>
    <x v="0"/>
    <x v="0"/>
    <x v="3"/>
    <x v="7"/>
    <n v="0"/>
    <n v="0"/>
    <n v="12.731"/>
    <n v="12.731"/>
    <n v="12.731"/>
    <n v="12.731"/>
    <n v="0"/>
    <x v="0"/>
    <n v="0"/>
    <n v="0"/>
    <n v="43"/>
    <n v="86"/>
    <n v="0"/>
    <n v="345.5"/>
    <n v="256.38"/>
    <m/>
    <n v="386.11140123761214"/>
    <n v="230.84299908458948"/>
    <n v="0"/>
    <n v="4398.5604999999996"/>
    <n v="3263.9737799999998"/>
    <n v="0"/>
    <n v="4915.5842491560397"/>
    <n v="2938.8622213459084"/>
  </r>
  <r>
    <s v="Refaturamento - Regular"/>
    <x v="4"/>
    <x v="4"/>
    <x v="6"/>
    <x v="3"/>
    <x v="0"/>
    <x v="0"/>
    <x v="3"/>
    <x v="7"/>
    <n v="0"/>
    <n v="0"/>
    <n v="0.186"/>
    <n v="0.186"/>
    <n v="0.186"/>
    <n v="0.186"/>
    <n v="0"/>
    <x v="0"/>
    <n v="0"/>
    <n v="0"/>
    <n v="43"/>
    <n v="86"/>
    <n v="0"/>
    <n v="345.5"/>
    <n v="256.38"/>
    <m/>
    <n v="386.11140123761214"/>
    <n v="230.84299908458948"/>
    <n v="0"/>
    <n v="64.263000000000005"/>
    <n v="47.686679999999996"/>
    <n v="0"/>
    <n v="71.81672063019586"/>
    <n v="42.936797829733642"/>
  </r>
  <r>
    <s v="Regular"/>
    <x v="4"/>
    <x v="4"/>
    <x v="6"/>
    <x v="3"/>
    <x v="0"/>
    <x v="0"/>
    <x v="3"/>
    <x v="8"/>
    <n v="0"/>
    <n v="0"/>
    <n v="11.597"/>
    <n v="11.597"/>
    <n v="11.597"/>
    <n v="11.597"/>
    <n v="0"/>
    <x v="0"/>
    <n v="0"/>
    <n v="0"/>
    <n v="43"/>
    <n v="86"/>
    <n v="0"/>
    <n v="345.5"/>
    <n v="256.38"/>
    <m/>
    <n v="386.11140123761214"/>
    <n v="230.84299908458948"/>
    <n v="0"/>
    <n v="4006.7635"/>
    <n v="2973.2388599999999"/>
    <n v="0"/>
    <n v="4477.7339201525874"/>
    <n v="2677.0862603839842"/>
  </r>
  <r>
    <s v="Refaturamento - Regular"/>
    <x v="4"/>
    <x v="4"/>
    <x v="6"/>
    <x v="3"/>
    <x v="0"/>
    <x v="0"/>
    <x v="3"/>
    <x v="8"/>
    <n v="0"/>
    <n v="0"/>
    <n v="0.14299999999999999"/>
    <n v="0.14299999999999999"/>
    <n v="0.14299999999999999"/>
    <n v="0.14299999999999999"/>
    <n v="0"/>
    <x v="0"/>
    <n v="0"/>
    <n v="0"/>
    <n v="43"/>
    <n v="86"/>
    <n v="0"/>
    <n v="345.5"/>
    <n v="256.38"/>
    <m/>
    <n v="386.11140123761214"/>
    <n v="230.84299908458948"/>
    <n v="0"/>
    <n v="49.406499999999994"/>
    <n v="36.662339999999993"/>
    <n v="0"/>
    <n v="55.213930376978531"/>
    <n v="33.01054886909629"/>
  </r>
  <r>
    <s v="Regular"/>
    <x v="4"/>
    <x v="4"/>
    <x v="6"/>
    <x v="3"/>
    <x v="0"/>
    <x v="0"/>
    <x v="3"/>
    <x v="9"/>
    <n v="0"/>
    <n v="0"/>
    <n v="13.442"/>
    <n v="13.442"/>
    <n v="13.442"/>
    <n v="13.442"/>
    <n v="0"/>
    <x v="0"/>
    <n v="0"/>
    <n v="0"/>
    <n v="43"/>
    <n v="86"/>
    <n v="0"/>
    <n v="345.5"/>
    <n v="256.38"/>
    <m/>
    <n v="386.11140123761214"/>
    <n v="230.84299908458948"/>
    <n v="0"/>
    <n v="4644.2110000000002"/>
    <n v="3446.2599599999999"/>
    <n v="0"/>
    <n v="5190.1094554359825"/>
    <n v="3102.991593695052"/>
  </r>
  <r>
    <s v="Refaturamento - Regular"/>
    <x v="4"/>
    <x v="4"/>
    <x v="6"/>
    <x v="3"/>
    <x v="0"/>
    <x v="0"/>
    <x v="3"/>
    <x v="9"/>
    <n v="0"/>
    <n v="0"/>
    <n v="0.158"/>
    <n v="0.158"/>
    <n v="0.158"/>
    <n v="0.158"/>
    <n v="0"/>
    <x v="0"/>
    <n v="0"/>
    <n v="0"/>
    <n v="43"/>
    <n v="86"/>
    <n v="0"/>
    <n v="345.5"/>
    <n v="256.38"/>
    <m/>
    <n v="386.11140123761214"/>
    <n v="230.84299908458948"/>
    <n v="0"/>
    <n v="54.588999999999999"/>
    <n v="40.508040000000001"/>
    <n v="0"/>
    <n v="61.005601395542719"/>
    <n v="36.473193855365139"/>
  </r>
  <r>
    <s v="Regular"/>
    <x v="4"/>
    <x v="4"/>
    <x v="6"/>
    <x v="3"/>
    <x v="0"/>
    <x v="0"/>
    <x v="3"/>
    <x v="10"/>
    <n v="0"/>
    <n v="0"/>
    <n v="15.189"/>
    <n v="15.189"/>
    <n v="15.189"/>
    <n v="15.189"/>
    <n v="0"/>
    <x v="0"/>
    <n v="0"/>
    <n v="0"/>
    <n v="43"/>
    <n v="86"/>
    <n v="0"/>
    <n v="345.5"/>
    <n v="256.38"/>
    <m/>
    <n v="386.11140123761214"/>
    <n v="230.84299908458948"/>
    <n v="0"/>
    <n v="5247.7995000000001"/>
    <n v="3894.1558199999999"/>
    <n v="0"/>
    <n v="5864.6460733980912"/>
    <n v="3506.2743130958297"/>
  </r>
  <r>
    <s v="Refaturamento - Regular"/>
    <x v="4"/>
    <x v="4"/>
    <x v="6"/>
    <x v="3"/>
    <x v="0"/>
    <x v="0"/>
    <x v="3"/>
    <x v="10"/>
    <n v="0"/>
    <n v="0"/>
    <n v="0.129"/>
    <n v="0.129"/>
    <n v="0.129"/>
    <n v="0.129"/>
    <n v="0"/>
    <x v="0"/>
    <n v="0"/>
    <n v="0"/>
    <n v="43"/>
    <n v="86"/>
    <n v="0"/>
    <n v="345.5"/>
    <n v="256.38"/>
    <m/>
    <n v="386.11140123761214"/>
    <n v="230.84299908458948"/>
    <n v="0"/>
    <n v="44.569499999999998"/>
    <n v="33.07302"/>
    <n v="0"/>
    <n v="49.808370759651964"/>
    <n v="29.778746881912042"/>
  </r>
  <r>
    <s v="PROJETADO"/>
    <x v="4"/>
    <x v="4"/>
    <x v="6"/>
    <x v="3"/>
    <x v="0"/>
    <x v="0"/>
    <x v="3"/>
    <x v="11"/>
    <n v="0"/>
    <n v="0"/>
    <n v="15.189"/>
    <n v="15.189"/>
    <n v="15.189"/>
    <n v="15.189"/>
    <n v="0"/>
    <x v="0"/>
    <n v="0"/>
    <n v="0"/>
    <n v="43"/>
    <n v="86"/>
    <n v="0"/>
    <n v="345.5"/>
    <n v="256.38"/>
    <m/>
    <n v="386.11140123761214"/>
    <n v="230.84299908458948"/>
    <n v="0"/>
    <n v="5247.7995000000001"/>
    <n v="3894.1558199999999"/>
    <n v="0"/>
    <n v="5864.6460733980912"/>
    <n v="3506.2743130958297"/>
  </r>
  <r>
    <s v="PROJETADO"/>
    <x v="4"/>
    <x v="4"/>
    <x v="6"/>
    <x v="3"/>
    <x v="0"/>
    <x v="0"/>
    <x v="3"/>
    <x v="11"/>
    <n v="0"/>
    <n v="0"/>
    <n v="0.129"/>
    <n v="0.129"/>
    <n v="0.129"/>
    <n v="0.129"/>
    <n v="0"/>
    <x v="0"/>
    <n v="0"/>
    <n v="0"/>
    <n v="43"/>
    <n v="86"/>
    <n v="0"/>
    <n v="345.5"/>
    <n v="256.38"/>
    <m/>
    <n v="386.11140123761214"/>
    <n v="230.84299908458948"/>
    <n v="0"/>
    <n v="44.569499999999998"/>
    <n v="33.07302"/>
    <n v="0"/>
    <n v="49.808370759651964"/>
    <n v="29.778746881912042"/>
  </r>
  <r>
    <s v="Regular"/>
    <x v="4"/>
    <x v="4"/>
    <x v="6"/>
    <x v="3"/>
    <x v="0"/>
    <x v="0"/>
    <x v="1"/>
    <x v="0"/>
    <n v="0"/>
    <n v="0"/>
    <n v="22.004000000000001"/>
    <n v="22.004000000000001"/>
    <n v="22.004000000000001"/>
    <n v="22.004000000000001"/>
    <n v="0"/>
    <x v="0"/>
    <n v="0"/>
    <n v="0"/>
    <n v="42"/>
    <n v="85"/>
    <n v="0"/>
    <n v="503.5"/>
    <n v="430.87"/>
    <m/>
    <n v="569.53169405671736"/>
    <n v="375.70671275609089"/>
    <n v="0"/>
    <n v="11079.014000000001"/>
    <n v="9480.86348"/>
    <n v="0"/>
    <n v="12531.975396024009"/>
    <n v="8267.0505074850244"/>
  </r>
  <r>
    <s v="Refaturamento - Regular"/>
    <x v="4"/>
    <x v="4"/>
    <x v="6"/>
    <x v="3"/>
    <x v="0"/>
    <x v="0"/>
    <x v="1"/>
    <x v="0"/>
    <n v="0"/>
    <n v="0"/>
    <n v="0.5"/>
    <n v="0.5"/>
    <n v="0.5"/>
    <n v="0.5"/>
    <n v="0"/>
    <x v="0"/>
    <n v="0"/>
    <n v="0"/>
    <n v="42"/>
    <n v="85"/>
    <n v="0"/>
    <n v="503.5"/>
    <n v="430.87"/>
    <m/>
    <n v="569.53169405671736"/>
    <n v="375.70671275609089"/>
    <n v="0"/>
    <n v="251.75"/>
    <n v="215.435"/>
    <n v="0"/>
    <n v="284.76584702835868"/>
    <n v="187.85335637804545"/>
  </r>
  <r>
    <s v="Sistema de Compensação"/>
    <x v="4"/>
    <x v="4"/>
    <x v="6"/>
    <x v="3"/>
    <x v="0"/>
    <x v="0"/>
    <x v="1"/>
    <x v="0"/>
    <n v="0"/>
    <n v="0"/>
    <n v="3.5999999999999997E-2"/>
    <n v="3.5999999999999997E-2"/>
    <n v="3.5999999999999997E-2"/>
    <n v="3.5999999999999997E-2"/>
    <n v="0"/>
    <x v="0"/>
    <n v="0"/>
    <n v="0"/>
    <n v="42"/>
    <n v="85"/>
    <n v="0"/>
    <n v="503.5"/>
    <n v="430.87"/>
    <m/>
    <n v="569.53169405671736"/>
    <n v="375.70671275609089"/>
    <n v="0"/>
    <n v="18.125999999999998"/>
    <n v="15.51132"/>
    <n v="0"/>
    <n v="20.503140986041824"/>
    <n v="13.525441659219272"/>
  </r>
  <r>
    <s v="Regular"/>
    <x v="4"/>
    <x v="4"/>
    <x v="6"/>
    <x v="3"/>
    <x v="0"/>
    <x v="0"/>
    <x v="1"/>
    <x v="1"/>
    <n v="0"/>
    <n v="0"/>
    <n v="21.875"/>
    <n v="21.875"/>
    <n v="21.875"/>
    <n v="21.875"/>
    <n v="0"/>
    <x v="0"/>
    <n v="0"/>
    <n v="0"/>
    <n v="42"/>
    <n v="85"/>
    <n v="0"/>
    <n v="503.5"/>
    <n v="430.87"/>
    <m/>
    <n v="569.53169405671736"/>
    <n v="375.70671275609089"/>
    <n v="0"/>
    <n v="11014.0625"/>
    <n v="9425.28125"/>
    <n v="0"/>
    <n v="12458.505807490692"/>
    <n v="8218.5843415394884"/>
  </r>
  <r>
    <s v="Refaturamento - Regular"/>
    <x v="4"/>
    <x v="4"/>
    <x v="6"/>
    <x v="3"/>
    <x v="0"/>
    <x v="0"/>
    <x v="1"/>
    <x v="1"/>
    <n v="0"/>
    <n v="0"/>
    <n v="0.11899999999999999"/>
    <n v="0.11899999999999999"/>
    <n v="0.11899999999999999"/>
    <n v="0.11899999999999999"/>
    <n v="0"/>
    <x v="0"/>
    <n v="0"/>
    <n v="0"/>
    <n v="42"/>
    <n v="85"/>
    <n v="0"/>
    <n v="503.5"/>
    <n v="430.87"/>
    <m/>
    <n v="569.53169405671736"/>
    <n v="375.70671275609089"/>
    <n v="0"/>
    <n v="59.916499999999999"/>
    <n v="51.273530000000001"/>
    <n v="0"/>
    <n v="67.774271592749358"/>
    <n v="44.709098817974812"/>
  </r>
  <r>
    <s v="Sistema de Compensação"/>
    <x v="4"/>
    <x v="4"/>
    <x v="6"/>
    <x v="3"/>
    <x v="0"/>
    <x v="0"/>
    <x v="1"/>
    <x v="1"/>
    <n v="0"/>
    <n v="0"/>
    <n v="3.7999999999999999E-2"/>
    <n v="3.7999999999999999E-2"/>
    <n v="3.7999999999999999E-2"/>
    <n v="3.7999999999999999E-2"/>
    <n v="0"/>
    <x v="0"/>
    <n v="0"/>
    <n v="0"/>
    <n v="42"/>
    <n v="85"/>
    <n v="0"/>
    <n v="503.5"/>
    <n v="430.87"/>
    <m/>
    <n v="569.53169405671736"/>
    <n v="375.70671275609089"/>
    <n v="0"/>
    <n v="19.132999999999999"/>
    <n v="16.373059999999999"/>
    <n v="0"/>
    <n v="21.642204374155259"/>
    <n v="14.276855084731453"/>
  </r>
  <r>
    <s v="Sistema de Compensação"/>
    <x v="4"/>
    <x v="4"/>
    <x v="6"/>
    <x v="3"/>
    <x v="0"/>
    <x v="0"/>
    <x v="1"/>
    <x v="1"/>
    <n v="0"/>
    <n v="0"/>
    <n v="3.7999999999999999E-2"/>
    <n v="3.7999999999999999E-2"/>
    <n v="3.7999999999999999E-2"/>
    <n v="3.7999999999999999E-2"/>
    <n v="0"/>
    <x v="0"/>
    <n v="0"/>
    <n v="0"/>
    <n v="42"/>
    <n v="85"/>
    <n v="0"/>
    <n v="503.5"/>
    <n v="430.87"/>
    <m/>
    <n v="569.53169405671736"/>
    <n v="375.70671275609089"/>
    <n v="0"/>
    <n v="19.132999999999999"/>
    <n v="16.373059999999999"/>
    <n v="0"/>
    <n v="21.642204374155259"/>
    <n v="14.276855084731453"/>
  </r>
  <r>
    <s v="Regular"/>
    <x v="4"/>
    <x v="4"/>
    <x v="6"/>
    <x v="3"/>
    <x v="0"/>
    <x v="0"/>
    <x v="1"/>
    <x v="2"/>
    <n v="0"/>
    <n v="0"/>
    <n v="18.416"/>
    <n v="18.416"/>
    <n v="18.416"/>
    <n v="18.416"/>
    <n v="0"/>
    <x v="0"/>
    <n v="0"/>
    <n v="0"/>
    <n v="42"/>
    <n v="85"/>
    <n v="0"/>
    <n v="503.5"/>
    <n v="430.87"/>
    <m/>
    <n v="569.53169405671736"/>
    <n v="375.70671275609089"/>
    <n v="0"/>
    <n v="9272.4560000000001"/>
    <n v="7934.9019200000002"/>
    <n v="0"/>
    <n v="10488.495677748508"/>
    <n v="6919.0148221161699"/>
  </r>
  <r>
    <s v="Refaturamento - Regular"/>
    <x v="4"/>
    <x v="4"/>
    <x v="6"/>
    <x v="3"/>
    <x v="0"/>
    <x v="0"/>
    <x v="1"/>
    <x v="2"/>
    <n v="0"/>
    <n v="0"/>
    <n v="0.45300000000000001"/>
    <n v="0.45300000000000001"/>
    <n v="0.45300000000000001"/>
    <n v="0.45300000000000001"/>
    <n v="0"/>
    <x v="0"/>
    <n v="0"/>
    <n v="0"/>
    <n v="42"/>
    <n v="85"/>
    <n v="0"/>
    <n v="503.5"/>
    <n v="430.87"/>
    <m/>
    <n v="569.53169405671736"/>
    <n v="375.70671275609089"/>
    <n v="0"/>
    <n v="228.0855"/>
    <n v="195.18411"/>
    <n v="0"/>
    <n v="257.99785740769295"/>
    <n v="170.19514087850919"/>
  </r>
  <r>
    <s v="Sistema de Compensação"/>
    <x v="4"/>
    <x v="4"/>
    <x v="6"/>
    <x v="3"/>
    <x v="0"/>
    <x v="0"/>
    <x v="1"/>
    <x v="2"/>
    <n v="0"/>
    <n v="0"/>
    <n v="0.03"/>
    <n v="0.03"/>
    <n v="0.03"/>
    <n v="0.03"/>
    <n v="0"/>
    <x v="0"/>
    <n v="0"/>
    <n v="0"/>
    <n v="42"/>
    <n v="85"/>
    <n v="0"/>
    <n v="503.5"/>
    <n v="430.87"/>
    <m/>
    <n v="569.53169405671736"/>
    <n v="375.70671275609089"/>
    <n v="0"/>
    <n v="15.104999999999999"/>
    <n v="12.9261"/>
    <n v="0"/>
    <n v="17.08595082170152"/>
    <n v="11.271201382682726"/>
  </r>
  <r>
    <s v="Regular"/>
    <x v="4"/>
    <x v="4"/>
    <x v="6"/>
    <x v="3"/>
    <x v="0"/>
    <x v="0"/>
    <x v="1"/>
    <x v="3"/>
    <n v="0"/>
    <n v="0"/>
    <n v="20.158000000000001"/>
    <n v="20.158000000000001"/>
    <n v="20.158000000000001"/>
    <n v="20.158000000000001"/>
    <n v="0"/>
    <x v="0"/>
    <n v="0"/>
    <n v="0"/>
    <n v="42"/>
    <n v="85"/>
    <n v="0"/>
    <n v="503.5"/>
    <n v="430.87"/>
    <m/>
    <n v="569.53169405671736"/>
    <n v="375.70671275609089"/>
    <n v="0"/>
    <n v="10149.553"/>
    <n v="8685.4774600000001"/>
    <n v="0"/>
    <n v="11480.619888795309"/>
    <n v="7573.4959157372805"/>
  </r>
  <r>
    <s v="Refaturamento - Regular"/>
    <x v="4"/>
    <x v="4"/>
    <x v="6"/>
    <x v="3"/>
    <x v="0"/>
    <x v="0"/>
    <x v="1"/>
    <x v="3"/>
    <n v="0"/>
    <n v="0"/>
    <n v="0.17199999999999999"/>
    <n v="0.17199999999999999"/>
    <n v="0.17199999999999999"/>
    <n v="0.17199999999999999"/>
    <n v="0"/>
    <x v="0"/>
    <n v="0"/>
    <n v="0"/>
    <n v="42"/>
    <n v="85"/>
    <n v="0"/>
    <n v="503.5"/>
    <n v="430.87"/>
    <m/>
    <n v="569.53169405671736"/>
    <n v="375.70671275609089"/>
    <n v="0"/>
    <n v="86.60199999999999"/>
    <n v="74.109639999999999"/>
    <n v="0"/>
    <n v="97.959451377755371"/>
    <n v="64.621554594047623"/>
  </r>
  <r>
    <s v="Sistema de Compensação"/>
    <x v="4"/>
    <x v="4"/>
    <x v="6"/>
    <x v="3"/>
    <x v="0"/>
    <x v="0"/>
    <x v="1"/>
    <x v="3"/>
    <n v="0"/>
    <n v="0"/>
    <n v="3.5000000000000003E-2"/>
    <n v="3.5000000000000003E-2"/>
    <n v="3.5000000000000003E-2"/>
    <n v="3.5000000000000003E-2"/>
    <n v="0"/>
    <x v="0"/>
    <n v="0"/>
    <n v="0"/>
    <n v="42"/>
    <n v="85"/>
    <n v="0"/>
    <n v="503.5"/>
    <n v="430.87"/>
    <m/>
    <n v="569.53169405671736"/>
    <n v="375.70671275609089"/>
    <n v="0"/>
    <n v="17.622500000000002"/>
    <n v="15.080450000000001"/>
    <n v="0"/>
    <n v="19.93360929198511"/>
    <n v="13.149734946463182"/>
  </r>
  <r>
    <s v="Regular"/>
    <x v="4"/>
    <x v="4"/>
    <x v="6"/>
    <x v="3"/>
    <x v="0"/>
    <x v="0"/>
    <x v="1"/>
    <x v="4"/>
    <n v="0"/>
    <n v="0"/>
    <n v="19.827000000000002"/>
    <n v="19.827000000000002"/>
    <n v="19.827000000000002"/>
    <n v="19.827000000000002"/>
    <n v="0"/>
    <x v="0"/>
    <n v="0"/>
    <n v="0"/>
    <n v="42"/>
    <n v="85"/>
    <n v="0"/>
    <n v="503.5"/>
    <n v="430.87"/>
    <m/>
    <n v="569.53169405671736"/>
    <n v="375.70671275609089"/>
    <n v="0"/>
    <n v="9982.8945000000003"/>
    <n v="8542.8594900000007"/>
    <n v="0"/>
    <n v="11292.104898062536"/>
    <n v="7449.1369938150146"/>
  </r>
  <r>
    <s v="Refaturamento - Regular"/>
    <x v="4"/>
    <x v="4"/>
    <x v="6"/>
    <x v="3"/>
    <x v="0"/>
    <x v="0"/>
    <x v="1"/>
    <x v="4"/>
    <n v="0"/>
    <n v="0"/>
    <n v="0.11700000000000001"/>
    <n v="0.11700000000000001"/>
    <n v="0.11700000000000001"/>
    <n v="0.11700000000000001"/>
    <n v="0"/>
    <x v="0"/>
    <n v="0"/>
    <n v="0"/>
    <n v="42"/>
    <n v="85"/>
    <n v="0"/>
    <n v="503.5"/>
    <n v="430.87"/>
    <m/>
    <n v="569.53169405671736"/>
    <n v="375.70671275609089"/>
    <n v="0"/>
    <n v="58.909500000000001"/>
    <n v="50.411790000000003"/>
    <n v="0"/>
    <n v="66.63520820463593"/>
    <n v="43.957685392462636"/>
  </r>
  <r>
    <s v="Regular"/>
    <x v="4"/>
    <x v="4"/>
    <x v="6"/>
    <x v="3"/>
    <x v="0"/>
    <x v="0"/>
    <x v="1"/>
    <x v="5"/>
    <n v="0"/>
    <n v="0"/>
    <n v="19.361999999999998"/>
    <n v="19.361999999999998"/>
    <n v="19.361999999999998"/>
    <n v="19.361999999999998"/>
    <n v="0"/>
    <x v="0"/>
    <n v="0"/>
    <n v="0"/>
    <n v="42"/>
    <n v="85"/>
    <n v="0"/>
    <n v="503.5"/>
    <n v="430.87"/>
    <m/>
    <n v="569.53169405671736"/>
    <n v="375.70671275609089"/>
    <n v="0"/>
    <n v="9748.7669999999998"/>
    <n v="8342.5049399999989"/>
    <n v="0"/>
    <n v="11027.27266032616"/>
    <n v="7274.4333723834316"/>
  </r>
  <r>
    <s v="Refaturamento - Regular"/>
    <x v="4"/>
    <x v="4"/>
    <x v="6"/>
    <x v="3"/>
    <x v="0"/>
    <x v="0"/>
    <x v="1"/>
    <x v="5"/>
    <n v="0"/>
    <n v="0"/>
    <n v="2.5000000000000001E-2"/>
    <n v="2.5000000000000001E-2"/>
    <n v="2.5000000000000001E-2"/>
    <n v="2.5000000000000001E-2"/>
    <n v="0"/>
    <x v="0"/>
    <n v="0"/>
    <n v="0"/>
    <n v="42"/>
    <n v="85"/>
    <n v="0"/>
    <n v="503.5"/>
    <n v="430.87"/>
    <m/>
    <n v="569.53169405671736"/>
    <n v="375.70671275609089"/>
    <n v="0"/>
    <n v="12.5875"/>
    <n v="10.771750000000001"/>
    <n v="0"/>
    <n v="14.238292351417934"/>
    <n v="9.3926678189022734"/>
  </r>
  <r>
    <s v="Regular"/>
    <x v="4"/>
    <x v="4"/>
    <x v="6"/>
    <x v="3"/>
    <x v="0"/>
    <x v="0"/>
    <x v="1"/>
    <x v="6"/>
    <n v="0"/>
    <n v="0"/>
    <n v="21.719000000000001"/>
    <n v="21.719000000000001"/>
    <n v="21.719000000000001"/>
    <n v="21.719000000000001"/>
    <n v="0"/>
    <x v="0"/>
    <n v="0"/>
    <n v="0"/>
    <n v="42"/>
    <n v="85"/>
    <n v="0"/>
    <n v="503.5"/>
    <n v="430.87"/>
    <m/>
    <n v="569.53169405671736"/>
    <n v="375.70671275609089"/>
    <n v="0"/>
    <n v="10935.5165"/>
    <n v="9358.0655299999999"/>
    <n v="0"/>
    <n v="12369.658863217845"/>
    <n v="8159.974094349539"/>
  </r>
  <r>
    <s v="Refaturamento - Regular"/>
    <x v="4"/>
    <x v="4"/>
    <x v="6"/>
    <x v="3"/>
    <x v="0"/>
    <x v="0"/>
    <x v="1"/>
    <x v="6"/>
    <n v="0"/>
    <n v="0"/>
    <n v="5.8000000000000003E-2"/>
    <n v="5.8000000000000003E-2"/>
    <n v="5.8000000000000003E-2"/>
    <n v="5.8000000000000003E-2"/>
    <n v="0"/>
    <x v="0"/>
    <n v="0"/>
    <n v="0"/>
    <n v="42"/>
    <n v="85"/>
    <n v="0"/>
    <n v="503.5"/>
    <n v="430.87"/>
    <m/>
    <n v="569.53169405671736"/>
    <n v="375.70671275609089"/>
    <n v="0"/>
    <n v="29.203000000000003"/>
    <n v="24.990460000000002"/>
    <n v="0"/>
    <n v="33.032838255289612"/>
    <n v="21.790989339853272"/>
  </r>
  <r>
    <s v="Regular"/>
    <x v="4"/>
    <x v="4"/>
    <x v="6"/>
    <x v="3"/>
    <x v="0"/>
    <x v="0"/>
    <x v="1"/>
    <x v="7"/>
    <n v="0"/>
    <n v="0"/>
    <n v="20.113"/>
    <n v="20.113"/>
    <n v="20.113"/>
    <n v="20.113"/>
    <n v="0"/>
    <x v="0"/>
    <n v="0"/>
    <n v="0"/>
    <n v="42"/>
    <n v="85"/>
    <n v="0"/>
    <n v="503.5"/>
    <n v="430.87"/>
    <m/>
    <n v="569.53169405671736"/>
    <n v="375.70671275609089"/>
    <n v="0"/>
    <n v="10126.895500000001"/>
    <n v="8666.0883099999992"/>
    <n v="0"/>
    <n v="11454.990962562755"/>
    <n v="7556.5891136632563"/>
  </r>
  <r>
    <s v="Refaturamento - Regular"/>
    <x v="4"/>
    <x v="4"/>
    <x v="6"/>
    <x v="3"/>
    <x v="0"/>
    <x v="0"/>
    <x v="1"/>
    <x v="7"/>
    <n v="0"/>
    <n v="0"/>
    <n v="0.111"/>
    <n v="0.111"/>
    <n v="0.111"/>
    <n v="0.111"/>
    <n v="0"/>
    <x v="0"/>
    <n v="0"/>
    <n v="0"/>
    <n v="42"/>
    <n v="85"/>
    <n v="0"/>
    <n v="503.5"/>
    <n v="430.87"/>
    <m/>
    <n v="569.53169405671736"/>
    <n v="375.70671275609089"/>
    <n v="0"/>
    <n v="55.888500000000001"/>
    <n v="47.826570000000004"/>
    <n v="0"/>
    <n v="63.218018040295625"/>
    <n v="41.703445115926087"/>
  </r>
  <r>
    <s v="Regular"/>
    <x v="4"/>
    <x v="4"/>
    <x v="6"/>
    <x v="3"/>
    <x v="0"/>
    <x v="0"/>
    <x v="1"/>
    <x v="8"/>
    <n v="0"/>
    <n v="0"/>
    <n v="20.027000000000001"/>
    <n v="20.027000000000001"/>
    <n v="20.027000000000001"/>
    <n v="20.027000000000001"/>
    <n v="0"/>
    <x v="0"/>
    <n v="0"/>
    <n v="0"/>
    <n v="42"/>
    <n v="85"/>
    <n v="0"/>
    <n v="503.5"/>
    <n v="430.87"/>
    <m/>
    <n v="569.53169405671736"/>
    <n v="375.70671275609089"/>
    <n v="0"/>
    <n v="10083.594500000001"/>
    <n v="8629.0334899999998"/>
    <n v="0"/>
    <n v="11406.011236873879"/>
    <n v="7524.2783363662329"/>
  </r>
  <r>
    <s v="Refaturamento - Regular"/>
    <x v="4"/>
    <x v="4"/>
    <x v="6"/>
    <x v="3"/>
    <x v="0"/>
    <x v="0"/>
    <x v="1"/>
    <x v="8"/>
    <n v="0"/>
    <n v="0"/>
    <n v="0.17699999999999999"/>
    <n v="0.17699999999999999"/>
    <n v="0.17699999999999999"/>
    <n v="0.17699999999999999"/>
    <n v="0"/>
    <x v="0"/>
    <n v="0"/>
    <n v="0"/>
    <n v="42"/>
    <n v="85"/>
    <n v="0"/>
    <n v="503.5"/>
    <n v="430.87"/>
    <m/>
    <n v="569.53169405671736"/>
    <n v="375.70671275609089"/>
    <n v="0"/>
    <n v="89.119500000000002"/>
    <n v="76.263989999999993"/>
    <n v="0"/>
    <n v="100.80710984803896"/>
    <n v="66.500088157828088"/>
  </r>
  <r>
    <s v="Regular"/>
    <x v="4"/>
    <x v="4"/>
    <x v="6"/>
    <x v="3"/>
    <x v="0"/>
    <x v="0"/>
    <x v="1"/>
    <x v="9"/>
    <n v="0"/>
    <n v="0"/>
    <n v="20.957999999999998"/>
    <n v="20.957999999999998"/>
    <n v="20.957999999999998"/>
    <n v="20.957999999999998"/>
    <n v="0"/>
    <x v="0"/>
    <n v="0"/>
    <n v="0"/>
    <n v="42"/>
    <n v="85"/>
    <n v="0"/>
    <n v="503.5"/>
    <n v="430.87"/>
    <m/>
    <n v="569.53169405671736"/>
    <n v="375.70671275609089"/>
    <n v="0"/>
    <n v="10552.352999999999"/>
    <n v="9030.17346"/>
    <n v="0"/>
    <n v="11936.245244040681"/>
    <n v="7874.0612859421526"/>
  </r>
  <r>
    <s v="Refaturamento - Regular"/>
    <x v="4"/>
    <x v="4"/>
    <x v="6"/>
    <x v="3"/>
    <x v="0"/>
    <x v="0"/>
    <x v="1"/>
    <x v="9"/>
    <n v="0"/>
    <n v="0"/>
    <n v="0.20699999999999999"/>
    <n v="0.20699999999999999"/>
    <n v="0.20699999999999999"/>
    <n v="0.20699999999999999"/>
    <n v="0"/>
    <x v="0"/>
    <n v="0"/>
    <n v="0"/>
    <n v="42"/>
    <n v="85"/>
    <n v="0"/>
    <n v="503.5"/>
    <n v="430.87"/>
    <m/>
    <n v="569.53169405671736"/>
    <n v="375.70671275609089"/>
    <n v="0"/>
    <n v="104.22449999999999"/>
    <n v="89.190089999999998"/>
    <n v="0"/>
    <n v="117.89306066974049"/>
    <n v="77.771289540510807"/>
  </r>
  <r>
    <s v="Regular"/>
    <x v="4"/>
    <x v="4"/>
    <x v="6"/>
    <x v="3"/>
    <x v="0"/>
    <x v="0"/>
    <x v="1"/>
    <x v="10"/>
    <n v="0"/>
    <n v="0"/>
    <n v="23.411000000000001"/>
    <n v="23.411000000000001"/>
    <n v="23.411000000000001"/>
    <n v="23.411000000000001"/>
    <n v="0"/>
    <x v="0"/>
    <n v="0"/>
    <n v="0"/>
    <n v="42"/>
    <n v="85"/>
    <n v="0"/>
    <n v="503.5"/>
    <n v="430.87"/>
    <m/>
    <n v="569.53169405671736"/>
    <n v="375.70671275609089"/>
    <n v="0"/>
    <n v="11787.4385"/>
    <n v="10087.09757"/>
    <n v="0"/>
    <n v="13333.30648956181"/>
    <n v="8795.669852332845"/>
  </r>
  <r>
    <s v="Refaturamento - Regular"/>
    <x v="4"/>
    <x v="4"/>
    <x v="6"/>
    <x v="3"/>
    <x v="0"/>
    <x v="0"/>
    <x v="1"/>
    <x v="10"/>
    <n v="0"/>
    <n v="0"/>
    <n v="0.114"/>
    <n v="0.114"/>
    <n v="0.114"/>
    <n v="0.114"/>
    <n v="0"/>
    <x v="0"/>
    <n v="0"/>
    <n v="0"/>
    <n v="42"/>
    <n v="85"/>
    <n v="0"/>
    <n v="503.5"/>
    <n v="430.87"/>
    <m/>
    <n v="569.53169405671736"/>
    <n v="375.70671275609089"/>
    <n v="0"/>
    <n v="57.399000000000001"/>
    <n v="49.11918"/>
    <n v="0"/>
    <n v="64.926613122465781"/>
    <n v="42.830565254194362"/>
  </r>
  <r>
    <s v="PROJETADO"/>
    <x v="4"/>
    <x v="4"/>
    <x v="6"/>
    <x v="3"/>
    <x v="0"/>
    <x v="0"/>
    <x v="1"/>
    <x v="11"/>
    <n v="0"/>
    <n v="0"/>
    <n v="23.411000000000001"/>
    <n v="23.411000000000001"/>
    <n v="23.411000000000001"/>
    <n v="23.411000000000001"/>
    <n v="0"/>
    <x v="0"/>
    <n v="0"/>
    <n v="0"/>
    <n v="42"/>
    <n v="85"/>
    <n v="0"/>
    <n v="503.5"/>
    <n v="430.87"/>
    <m/>
    <n v="569.53169405671736"/>
    <n v="375.70671275609089"/>
    <n v="0"/>
    <n v="11787.4385"/>
    <n v="10087.09757"/>
    <n v="0"/>
    <n v="13333.30648956181"/>
    <n v="8795.669852332845"/>
  </r>
  <r>
    <s v="PROJETADO"/>
    <x v="4"/>
    <x v="4"/>
    <x v="6"/>
    <x v="3"/>
    <x v="0"/>
    <x v="0"/>
    <x v="1"/>
    <x v="11"/>
    <n v="0"/>
    <n v="0"/>
    <n v="0.114"/>
    <n v="0.114"/>
    <n v="0.114"/>
    <n v="0.114"/>
    <n v="0"/>
    <x v="0"/>
    <n v="0"/>
    <n v="0"/>
    <n v="42"/>
    <n v="85"/>
    <n v="0"/>
    <n v="503.5"/>
    <n v="430.87"/>
    <m/>
    <n v="569.53169405671736"/>
    <n v="375.70671275609089"/>
    <n v="0"/>
    <n v="57.399000000000001"/>
    <n v="49.11918"/>
    <n v="0"/>
    <n v="64.926613122465781"/>
    <n v="42.830565254194362"/>
  </r>
  <r>
    <s v="Regular"/>
    <x v="4"/>
    <x v="5"/>
    <x v="6"/>
    <x v="3"/>
    <x v="0"/>
    <x v="0"/>
    <x v="2"/>
    <x v="0"/>
    <n v="0"/>
    <n v="0"/>
    <n v="195401.87700000001"/>
    <n v="195401.87700000001"/>
    <n v="195401.87700000001"/>
    <n v="195401.87700000001"/>
    <n v="942675"/>
    <x v="0"/>
    <n v="0"/>
    <n v="0"/>
    <n v="45"/>
    <n v="88"/>
    <n v="0"/>
    <n v="247.09"/>
    <n v="270.92"/>
    <m/>
    <n v="271.87639484612828"/>
    <n v="242.91497522388124"/>
    <n v="0"/>
    <n v="48281849.787930004"/>
    <n v="52938276.516840003"/>
    <n v="0"/>
    <n v="53125157.864926592"/>
    <n v="47466042.11015489"/>
  </r>
  <r>
    <s v="Refaturamento - Regular"/>
    <x v="4"/>
    <x v="5"/>
    <x v="6"/>
    <x v="3"/>
    <x v="0"/>
    <x v="0"/>
    <x v="2"/>
    <x v="0"/>
    <n v="0"/>
    <n v="0"/>
    <n v="134.36799999999999"/>
    <n v="134.36799999999999"/>
    <n v="134.36799999999999"/>
    <n v="134.36799999999999"/>
    <n v="238"/>
    <x v="0"/>
    <n v="0"/>
    <n v="0"/>
    <n v="45"/>
    <n v="88"/>
    <n v="0"/>
    <n v="247.09"/>
    <n v="270.92"/>
    <m/>
    <n v="271.87639484612828"/>
    <n v="242.91497522388124"/>
    <n v="0"/>
    <n v="33200.989119999998"/>
    <n v="36402.978560000003"/>
    <n v="0"/>
    <n v="36531.487422684564"/>
    <n v="32639.999390882473"/>
  </r>
  <r>
    <s v="Sistema de Compensação"/>
    <x v="4"/>
    <x v="5"/>
    <x v="6"/>
    <x v="3"/>
    <x v="0"/>
    <x v="0"/>
    <x v="2"/>
    <x v="0"/>
    <n v="0"/>
    <n v="0"/>
    <n v="414.495"/>
    <n v="414.495"/>
    <n v="414.495"/>
    <n v="414.495"/>
    <n v="1300"/>
    <x v="0"/>
    <n v="0"/>
    <n v="0"/>
    <n v="45"/>
    <n v="88"/>
    <n v="0"/>
    <n v="247.09"/>
    <n v="270.92"/>
    <m/>
    <n v="271.87639484612828"/>
    <n v="242.91497522388124"/>
    <n v="0"/>
    <n v="102417.56955"/>
    <n v="112294.98540000001"/>
    <n v="0"/>
    <n v="112691.40628174595"/>
    <n v="100687.04265542266"/>
  </r>
  <r>
    <s v="Sistema de Compensação"/>
    <x v="4"/>
    <x v="5"/>
    <x v="6"/>
    <x v="3"/>
    <x v="0"/>
    <x v="0"/>
    <x v="2"/>
    <x v="0"/>
    <n v="0"/>
    <n v="0"/>
    <n v="1.64"/>
    <n v="1.64"/>
    <n v="1.64"/>
    <n v="1.64"/>
    <n v="2"/>
    <x v="0"/>
    <n v="0"/>
    <n v="0"/>
    <n v="45"/>
    <n v="88"/>
    <n v="0"/>
    <n v="247.09"/>
    <n v="270.92"/>
    <m/>
    <n v="271.87639484612828"/>
    <n v="242.91497522388124"/>
    <n v="0"/>
    <n v="405.2276"/>
    <n v="444.30880000000002"/>
    <n v="0"/>
    <n v="445.87728754765033"/>
    <n v="398.38055936716523"/>
  </r>
  <r>
    <s v="Regular"/>
    <x v="4"/>
    <x v="5"/>
    <x v="6"/>
    <x v="3"/>
    <x v="0"/>
    <x v="0"/>
    <x v="2"/>
    <x v="1"/>
    <n v="0"/>
    <n v="0"/>
    <n v="207331.63500000001"/>
    <n v="207331.63500000001"/>
    <n v="207331.63500000001"/>
    <n v="207331.63500000001"/>
    <n v="938244"/>
    <x v="0"/>
    <n v="0"/>
    <n v="0"/>
    <n v="45"/>
    <n v="88"/>
    <n v="0"/>
    <n v="247.09"/>
    <n v="270.92"/>
    <m/>
    <n v="271.87639484612828"/>
    <n v="242.91497522388124"/>
    <n v="0"/>
    <n v="51229573.692150004"/>
    <n v="56170286.554200009"/>
    <n v="0"/>
    <n v="56368577.461353354"/>
    <n v="50363958.979151793"/>
  </r>
  <r>
    <s v="Refaturamento - Regular"/>
    <x v="4"/>
    <x v="5"/>
    <x v="6"/>
    <x v="3"/>
    <x v="0"/>
    <x v="0"/>
    <x v="2"/>
    <x v="1"/>
    <n v="0"/>
    <n v="0"/>
    <n v="102.38800000000001"/>
    <n v="102.38800000000001"/>
    <n v="102.38800000000001"/>
    <n v="102.38800000000001"/>
    <n v="184"/>
    <x v="0"/>
    <n v="0"/>
    <n v="0"/>
    <n v="45"/>
    <n v="88"/>
    <n v="0"/>
    <n v="247.09"/>
    <n v="270.92"/>
    <m/>
    <n v="271.87639484612828"/>
    <n v="242.91497522388124"/>
    <n v="0"/>
    <n v="25299.050920000001"/>
    <n v="27738.956960000003"/>
    <n v="0"/>
    <n v="27836.880315505383"/>
    <n v="24871.578483222755"/>
  </r>
  <r>
    <s v="Sistema de Compensação"/>
    <x v="4"/>
    <x v="5"/>
    <x v="6"/>
    <x v="3"/>
    <x v="0"/>
    <x v="0"/>
    <x v="2"/>
    <x v="1"/>
    <n v="0"/>
    <n v="0"/>
    <n v="392.61700000000002"/>
    <n v="392.61700000000002"/>
    <n v="392.61700000000002"/>
    <n v="392.61700000000002"/>
    <n v="1294"/>
    <x v="0"/>
    <n v="0"/>
    <n v="0"/>
    <n v="45"/>
    <n v="88"/>
    <n v="0"/>
    <n v="247.09"/>
    <n v="270.92"/>
    <m/>
    <n v="271.87639484612828"/>
    <n v="242.91497522388124"/>
    <n v="0"/>
    <n v="97011.734530000002"/>
    <n v="106367.79764"/>
    <n v="0"/>
    <n v="106743.29451530235"/>
    <n v="95372.548827474588"/>
  </r>
  <r>
    <s v="Sistema de Compensação"/>
    <x v="4"/>
    <x v="5"/>
    <x v="6"/>
    <x v="3"/>
    <x v="0"/>
    <x v="0"/>
    <x v="2"/>
    <x v="1"/>
    <n v="0"/>
    <n v="0"/>
    <n v="0.1"/>
    <n v="0.1"/>
    <n v="0.1"/>
    <n v="0.1"/>
    <n v="1"/>
    <x v="0"/>
    <n v="0"/>
    <n v="0"/>
    <n v="45"/>
    <n v="88"/>
    <n v="0"/>
    <n v="247.09"/>
    <n v="270.92"/>
    <m/>
    <n v="271.87639484612828"/>
    <n v="242.91497522388124"/>
    <n v="0"/>
    <n v="24.709000000000003"/>
    <n v="27.092000000000002"/>
    <n v="0"/>
    <n v="27.187639484612831"/>
    <n v="24.291497522388127"/>
  </r>
  <r>
    <s v="Regular"/>
    <x v="4"/>
    <x v="5"/>
    <x v="6"/>
    <x v="3"/>
    <x v="0"/>
    <x v="0"/>
    <x v="2"/>
    <x v="2"/>
    <n v="0"/>
    <n v="0"/>
    <n v="179007.51"/>
    <n v="179007.51"/>
    <n v="179007.51"/>
    <n v="179007.51"/>
    <n v="940006"/>
    <x v="0"/>
    <n v="0"/>
    <n v="0"/>
    <n v="45"/>
    <n v="88"/>
    <n v="0"/>
    <n v="247.09"/>
    <n v="270.92"/>
    <m/>
    <n v="271.87639484612828"/>
    <n v="242.91497522388124"/>
    <n v="0"/>
    <n v="44230965.645900004"/>
    <n v="48496714.609200008"/>
    <n v="0"/>
    <n v="48667916.46918226"/>
    <n v="43483604.856538676"/>
  </r>
  <r>
    <s v="Refaturamento - Regular"/>
    <x v="4"/>
    <x v="5"/>
    <x v="6"/>
    <x v="3"/>
    <x v="0"/>
    <x v="0"/>
    <x v="2"/>
    <x v="2"/>
    <n v="0"/>
    <n v="0"/>
    <n v="129.339"/>
    <n v="129.339"/>
    <n v="129.339"/>
    <n v="129.339"/>
    <n v="255"/>
    <x v="0"/>
    <n v="0"/>
    <n v="0"/>
    <n v="45"/>
    <n v="88"/>
    <n v="0"/>
    <n v="247.09"/>
    <n v="270.92"/>
    <m/>
    <n v="271.87639484612828"/>
    <n v="242.91497522388124"/>
    <n v="0"/>
    <n v="31958.373510000001"/>
    <n v="35040.52188"/>
    <n v="0"/>
    <n v="35164.221033003385"/>
    <n v="31418.379980481575"/>
  </r>
  <r>
    <s v="Sistema de Compensação"/>
    <x v="4"/>
    <x v="5"/>
    <x v="6"/>
    <x v="3"/>
    <x v="0"/>
    <x v="0"/>
    <x v="2"/>
    <x v="2"/>
    <n v="0"/>
    <n v="0"/>
    <n v="368.75200000000001"/>
    <n v="368.75200000000001"/>
    <n v="368.75200000000001"/>
    <n v="368.75200000000001"/>
    <n v="1295"/>
    <x v="0"/>
    <n v="0"/>
    <n v="0"/>
    <n v="45"/>
    <n v="88"/>
    <n v="0"/>
    <n v="247.09"/>
    <n v="270.92"/>
    <m/>
    <n v="271.87639484612828"/>
    <n v="242.91497522388124"/>
    <n v="0"/>
    <n v="91114.931680000009"/>
    <n v="99902.291840000005"/>
    <n v="0"/>
    <n v="100254.9643522995"/>
    <n v="89575.38294375666"/>
  </r>
  <r>
    <s v="Regular"/>
    <x v="4"/>
    <x v="5"/>
    <x v="6"/>
    <x v="3"/>
    <x v="0"/>
    <x v="0"/>
    <x v="2"/>
    <x v="3"/>
    <n v="0"/>
    <n v="0"/>
    <n v="194795.829"/>
    <n v="194795.829"/>
    <n v="194795.829"/>
    <n v="194795.829"/>
    <n v="940719"/>
    <x v="0"/>
    <n v="0"/>
    <n v="0"/>
    <n v="45"/>
    <n v="88"/>
    <n v="0"/>
    <n v="247.09"/>
    <n v="270.92"/>
    <m/>
    <n v="271.87639484612828"/>
    <n v="242.91497522388124"/>
    <n v="0"/>
    <n v="48132101.387610003"/>
    <n v="52774085.992680006"/>
    <n v="0"/>
    <n v="52960387.719582886"/>
    <n v="47318823.975250408"/>
  </r>
  <r>
    <s v="Refaturamento - Regular"/>
    <x v="4"/>
    <x v="5"/>
    <x v="6"/>
    <x v="3"/>
    <x v="0"/>
    <x v="0"/>
    <x v="2"/>
    <x v="3"/>
    <n v="0"/>
    <n v="0"/>
    <n v="160.214"/>
    <n v="160.214"/>
    <n v="160.214"/>
    <n v="160.214"/>
    <n v="268"/>
    <x v="0"/>
    <n v="0"/>
    <n v="0"/>
    <n v="45"/>
    <n v="88"/>
    <n v="0"/>
    <n v="247.09"/>
    <n v="270.92"/>
    <m/>
    <n v="271.87639484612828"/>
    <n v="242.91497522388124"/>
    <n v="0"/>
    <n v="39587.277260000003"/>
    <n v="43405.176879999999"/>
    <n v="0"/>
    <n v="43558.404723877597"/>
    <n v="38918.379840518908"/>
  </r>
  <r>
    <s v="Sistema de Compensação"/>
    <x v="4"/>
    <x v="5"/>
    <x v="6"/>
    <x v="3"/>
    <x v="0"/>
    <x v="0"/>
    <x v="2"/>
    <x v="3"/>
    <n v="0"/>
    <n v="0"/>
    <n v="359.54899999999998"/>
    <n v="359.54899999999998"/>
    <n v="359.54899999999998"/>
    <n v="359.54899999999998"/>
    <n v="1292"/>
    <x v="0"/>
    <n v="0"/>
    <n v="0"/>
    <n v="45"/>
    <n v="88"/>
    <n v="0"/>
    <n v="247.09"/>
    <n v="270.92"/>
    <m/>
    <n v="271.87639484612828"/>
    <n v="242.91497522388124"/>
    <n v="0"/>
    <n v="88840.962409999993"/>
    <n v="97409.015079999997"/>
    <n v="0"/>
    <n v="97752.885890530568"/>
    <n v="87339.836426771275"/>
  </r>
  <r>
    <s v="Sistema de Compensação"/>
    <x v="4"/>
    <x v="5"/>
    <x v="6"/>
    <x v="3"/>
    <x v="0"/>
    <x v="0"/>
    <x v="2"/>
    <x v="3"/>
    <n v="0"/>
    <n v="0"/>
    <n v="3.6619999999999999"/>
    <n v="3.6619999999999999"/>
    <n v="3.6619999999999999"/>
    <n v="3.6619999999999999"/>
    <n v="2"/>
    <x v="0"/>
    <n v="0"/>
    <n v="0"/>
    <n v="45"/>
    <n v="88"/>
    <n v="0"/>
    <n v="247.09"/>
    <n v="270.92"/>
    <m/>
    <n v="271.87639484612828"/>
    <n v="242.91497522388124"/>
    <n v="0"/>
    <n v="904.84357999999997"/>
    <n v="992.10904000000005"/>
    <n v="0"/>
    <n v="995.61135792652169"/>
    <n v="889.55463926985306"/>
  </r>
  <r>
    <s v="Regular"/>
    <x v="4"/>
    <x v="5"/>
    <x v="6"/>
    <x v="3"/>
    <x v="0"/>
    <x v="0"/>
    <x v="2"/>
    <x v="4"/>
    <n v="0"/>
    <n v="0"/>
    <n v="182485.511"/>
    <n v="182485.511"/>
    <n v="182485.511"/>
    <n v="182485.511"/>
    <n v="944128"/>
    <x v="0"/>
    <n v="0"/>
    <n v="0"/>
    <n v="45"/>
    <n v="88"/>
    <n v="0"/>
    <n v="247.09"/>
    <n v="270.92"/>
    <m/>
    <n v="271.87639484612828"/>
    <n v="242.91497522388124"/>
    <n v="0"/>
    <n v="45090344.912990004"/>
    <n v="49438974.64012"/>
    <n v="0"/>
    <n v="49613502.842333488"/>
    <n v="44328463.383282311"/>
  </r>
  <r>
    <s v="Refaturamento - Regular"/>
    <x v="4"/>
    <x v="5"/>
    <x v="6"/>
    <x v="3"/>
    <x v="0"/>
    <x v="0"/>
    <x v="2"/>
    <x v="4"/>
    <n v="0"/>
    <n v="0"/>
    <n v="115.705"/>
    <n v="115.705"/>
    <n v="115.705"/>
    <n v="115.705"/>
    <n v="244"/>
    <x v="0"/>
    <n v="0"/>
    <n v="0"/>
    <n v="45"/>
    <n v="88"/>
    <n v="0"/>
    <n v="247.09"/>
    <n v="270.92"/>
    <m/>
    <n v="271.87639484612828"/>
    <n v="242.91497522388124"/>
    <n v="0"/>
    <n v="28589.548449999998"/>
    <n v="31346.798600000002"/>
    <n v="0"/>
    <n v="31457.458265671274"/>
    <n v="28106.477208279179"/>
  </r>
  <r>
    <s v="Sistema de Compensação"/>
    <x v="4"/>
    <x v="5"/>
    <x v="6"/>
    <x v="3"/>
    <x v="0"/>
    <x v="0"/>
    <x v="2"/>
    <x v="4"/>
    <n v="0"/>
    <n v="0"/>
    <n v="381.16800000000001"/>
    <n v="381.16800000000001"/>
    <n v="381.16800000000001"/>
    <n v="381.16800000000001"/>
    <n v="1297"/>
    <x v="0"/>
    <n v="0"/>
    <n v="0"/>
    <n v="45"/>
    <n v="88"/>
    <n v="0"/>
    <n v="247.09"/>
    <n v="270.92"/>
    <m/>
    <n v="271.87639484612828"/>
    <n v="242.91497522388124"/>
    <n v="0"/>
    <n v="94182.801120000004"/>
    <n v="103266.03456000001"/>
    <n v="0"/>
    <n v="103630.58167070903"/>
    <n v="92591.415276136366"/>
  </r>
  <r>
    <s v="Sistema de Compensação"/>
    <x v="4"/>
    <x v="5"/>
    <x v="6"/>
    <x v="3"/>
    <x v="0"/>
    <x v="0"/>
    <x v="2"/>
    <x v="4"/>
    <n v="0"/>
    <n v="0"/>
    <n v="6.3369999999999997"/>
    <n v="6.3369999999999997"/>
    <n v="6.3369999999999997"/>
    <n v="6.3369999999999997"/>
    <n v="2"/>
    <x v="0"/>
    <n v="0"/>
    <n v="0"/>
    <n v="45"/>
    <n v="88"/>
    <n v="0"/>
    <n v="247.09"/>
    <n v="270.92"/>
    <m/>
    <n v="271.87639484612828"/>
    <n v="242.91497522388124"/>
    <n v="0"/>
    <n v="1565.80933"/>
    <n v="1716.8200400000001"/>
    <n v="0"/>
    <n v="1722.8807141399147"/>
    <n v="1539.3521979937354"/>
  </r>
  <r>
    <s v="Regular"/>
    <x v="4"/>
    <x v="5"/>
    <x v="6"/>
    <x v="3"/>
    <x v="0"/>
    <x v="0"/>
    <x v="2"/>
    <x v="5"/>
    <n v="0"/>
    <n v="0"/>
    <n v="187028.478"/>
    <n v="187028.478"/>
    <n v="187028.478"/>
    <n v="187028.478"/>
    <n v="940596"/>
    <x v="0"/>
    <n v="0"/>
    <n v="0"/>
    <n v="45"/>
    <n v="88"/>
    <n v="0"/>
    <n v="247.09"/>
    <n v="270.92"/>
    <m/>
    <n v="271.87639484612828"/>
    <n v="242.91497522388124"/>
    <n v="0"/>
    <n v="46212866.629019998"/>
    <n v="50669755.259760007"/>
    <n v="0"/>
    <n v="50848628.332198419"/>
    <n v="45432018.09953022"/>
  </r>
  <r>
    <s v="Refaturamento - Regular"/>
    <x v="4"/>
    <x v="5"/>
    <x v="6"/>
    <x v="3"/>
    <x v="0"/>
    <x v="0"/>
    <x v="2"/>
    <x v="5"/>
    <n v="0"/>
    <n v="0"/>
    <n v="130.26400000000001"/>
    <n v="130.26400000000001"/>
    <n v="130.26400000000001"/>
    <n v="130.26400000000001"/>
    <n v="272"/>
    <x v="0"/>
    <n v="0"/>
    <n v="0"/>
    <n v="45"/>
    <n v="88"/>
    <n v="0"/>
    <n v="247.09"/>
    <n v="270.92"/>
    <m/>
    <n v="271.87639484612828"/>
    <n v="242.91497522388124"/>
    <n v="0"/>
    <n v="32186.931760000003"/>
    <n v="35291.122880000003"/>
    <n v="0"/>
    <n v="35415.706698236056"/>
    <n v="31643.076332563669"/>
  </r>
  <r>
    <s v="Sistema de Compensação"/>
    <x v="4"/>
    <x v="5"/>
    <x v="6"/>
    <x v="3"/>
    <x v="0"/>
    <x v="0"/>
    <x v="2"/>
    <x v="5"/>
    <n v="0"/>
    <n v="0"/>
    <n v="405.14100000000002"/>
    <n v="405.14100000000002"/>
    <n v="405.14100000000002"/>
    <n v="405.14100000000002"/>
    <n v="1286"/>
    <x v="0"/>
    <n v="0"/>
    <n v="0"/>
    <n v="45"/>
    <n v="88"/>
    <n v="0"/>
    <n v="247.09"/>
    <n v="270.92"/>
    <m/>
    <n v="271.87639484612828"/>
    <n v="242.91497522388124"/>
    <n v="0"/>
    <n v="100106.28969000001"/>
    <n v="109760.79972000001"/>
    <n v="0"/>
    <n v="110148.27448435526"/>
    <n v="98414.81597717847"/>
  </r>
  <r>
    <s v="Sistema de Compensação"/>
    <x v="4"/>
    <x v="5"/>
    <x v="6"/>
    <x v="3"/>
    <x v="0"/>
    <x v="0"/>
    <x v="2"/>
    <x v="5"/>
    <n v="0"/>
    <n v="0"/>
    <n v="0.80200000000000005"/>
    <n v="0.80200000000000005"/>
    <n v="0.80200000000000005"/>
    <n v="0.80200000000000005"/>
    <n v="1"/>
    <x v="0"/>
    <n v="0"/>
    <n v="0"/>
    <n v="45"/>
    <n v="88"/>
    <n v="0"/>
    <n v="247.09"/>
    <n v="270.92"/>
    <m/>
    <n v="271.87639484612828"/>
    <n v="242.91497522388124"/>
    <n v="0"/>
    <n v="198.16618000000003"/>
    <n v="217.27784000000003"/>
    <n v="0"/>
    <n v="218.04486866659488"/>
    <n v="194.81781012955275"/>
  </r>
  <r>
    <s v="Regular"/>
    <x v="4"/>
    <x v="5"/>
    <x v="6"/>
    <x v="3"/>
    <x v="0"/>
    <x v="0"/>
    <x v="2"/>
    <x v="6"/>
    <n v="0"/>
    <n v="0"/>
    <n v="203196.59099999999"/>
    <n v="203196.59099999999"/>
    <n v="203196.59099999999"/>
    <n v="203196.59099999999"/>
    <n v="938774"/>
    <x v="0"/>
    <n v="0"/>
    <n v="0"/>
    <n v="45"/>
    <n v="88"/>
    <n v="0"/>
    <n v="247.09"/>
    <n v="270.92"/>
    <m/>
    <n v="271.87639484612828"/>
    <n v="242.91497522388124"/>
    <n v="0"/>
    <n v="50207845.670189999"/>
    <n v="55050020.43372"/>
    <n v="0"/>
    <n v="55244356.606103234"/>
    <n v="49359494.868342124"/>
  </r>
  <r>
    <s v="Refaturamento - Regular"/>
    <x v="4"/>
    <x v="5"/>
    <x v="6"/>
    <x v="3"/>
    <x v="0"/>
    <x v="0"/>
    <x v="2"/>
    <x v="6"/>
    <n v="0"/>
    <n v="0"/>
    <n v="168.87899999999999"/>
    <n v="168.87899999999999"/>
    <n v="168.87899999999999"/>
    <n v="168.87899999999999"/>
    <n v="283"/>
    <x v="0"/>
    <n v="0"/>
    <n v="0"/>
    <n v="45"/>
    <n v="88"/>
    <n v="0"/>
    <n v="247.09"/>
    <n v="270.92"/>
    <m/>
    <n v="271.87639484612828"/>
    <n v="242.91497522388124"/>
    <n v="0"/>
    <n v="41728.312109999999"/>
    <n v="45752.698680000001"/>
    <n v="0"/>
    <n v="45914.213685219293"/>
    <n v="41023.238100833842"/>
  </r>
  <r>
    <s v="Sistema de Compensação"/>
    <x v="4"/>
    <x v="5"/>
    <x v="6"/>
    <x v="3"/>
    <x v="0"/>
    <x v="0"/>
    <x v="2"/>
    <x v="6"/>
    <n v="0"/>
    <n v="0"/>
    <n v="455.44600000000003"/>
    <n v="455.44600000000003"/>
    <n v="455.44600000000003"/>
    <n v="455.44600000000003"/>
    <n v="1279"/>
    <x v="0"/>
    <n v="0"/>
    <n v="0"/>
    <n v="45"/>
    <n v="88"/>
    <n v="0"/>
    <n v="247.09"/>
    <n v="270.92"/>
    <m/>
    <n v="271.87639484612828"/>
    <n v="242.91497522388124"/>
    <n v="0"/>
    <n v="112536.15214000001"/>
    <n v="123389.43032000001"/>
    <n v="0"/>
    <n v="123825.01652708974"/>
    <n v="110634.65380581582"/>
  </r>
  <r>
    <s v="Sistema de Compensação"/>
    <x v="4"/>
    <x v="5"/>
    <x v="6"/>
    <x v="3"/>
    <x v="0"/>
    <x v="0"/>
    <x v="2"/>
    <x v="6"/>
    <n v="0"/>
    <n v="0"/>
    <n v="1.0509999999999999"/>
    <n v="1.0509999999999999"/>
    <n v="1.0509999999999999"/>
    <n v="1.0509999999999999"/>
    <n v="2"/>
    <x v="0"/>
    <n v="0"/>
    <n v="0"/>
    <n v="45"/>
    <n v="88"/>
    <n v="0"/>
    <n v="247.09"/>
    <n v="270.92"/>
    <m/>
    <n v="271.87639484612828"/>
    <n v="242.91497522388124"/>
    <n v="0"/>
    <n v="259.69158999999996"/>
    <n v="284.73692"/>
    <n v="0"/>
    <n v="285.74209098328078"/>
    <n v="255.30363896029917"/>
  </r>
  <r>
    <s v="Regular"/>
    <x v="4"/>
    <x v="5"/>
    <x v="6"/>
    <x v="3"/>
    <x v="0"/>
    <x v="0"/>
    <x v="2"/>
    <x v="7"/>
    <n v="0"/>
    <n v="0"/>
    <n v="199167.98300000001"/>
    <n v="199167.98300000001"/>
    <n v="199167.98300000001"/>
    <n v="199167.98300000001"/>
    <n v="936578"/>
    <x v="0"/>
    <n v="0"/>
    <n v="0"/>
    <n v="45"/>
    <n v="88"/>
    <n v="0"/>
    <n v="247.09"/>
    <n v="270.92"/>
    <m/>
    <n v="271.87639484612828"/>
    <n v="242.91497522388124"/>
    <n v="0"/>
    <n v="49212416.919470005"/>
    <n v="53958589.954360008"/>
    <n v="0"/>
    <n v="54149073.186814964"/>
    <n v="48380885.655835405"/>
  </r>
  <r>
    <s v="Refaturamento - Regular"/>
    <x v="4"/>
    <x v="5"/>
    <x v="6"/>
    <x v="3"/>
    <x v="0"/>
    <x v="0"/>
    <x v="2"/>
    <x v="7"/>
    <n v="0"/>
    <n v="0"/>
    <n v="120.601"/>
    <n v="120.601"/>
    <n v="120.601"/>
    <n v="120.601"/>
    <n v="185"/>
    <x v="0"/>
    <n v="0"/>
    <n v="0"/>
    <n v="45"/>
    <n v="88"/>
    <n v="0"/>
    <n v="247.09"/>
    <n v="270.92"/>
    <m/>
    <n v="271.87639484612828"/>
    <n v="242.91497522388124"/>
    <n v="0"/>
    <n v="29799.301090000001"/>
    <n v="32673.22292"/>
    <n v="0"/>
    <n v="32788.565094837919"/>
    <n v="29295.788926975303"/>
  </r>
  <r>
    <s v="Sistema de Compensação"/>
    <x v="4"/>
    <x v="5"/>
    <x v="6"/>
    <x v="3"/>
    <x v="0"/>
    <x v="0"/>
    <x v="2"/>
    <x v="7"/>
    <n v="0"/>
    <n v="0"/>
    <n v="459.70800000000003"/>
    <n v="459.70800000000003"/>
    <n v="459.70800000000003"/>
    <n v="459.70800000000003"/>
    <n v="1281"/>
    <x v="0"/>
    <n v="0"/>
    <n v="0"/>
    <n v="45"/>
    <n v="88"/>
    <n v="0"/>
    <n v="247.09"/>
    <n v="270.92"/>
    <m/>
    <n v="271.87639484612828"/>
    <n v="242.91497522388124"/>
    <n v="0"/>
    <n v="113589.24972000001"/>
    <n v="124544.09136000002"/>
    <n v="0"/>
    <n v="124983.75372192395"/>
    <n v="111669.95743022001"/>
  </r>
  <r>
    <s v="Regular"/>
    <x v="4"/>
    <x v="5"/>
    <x v="6"/>
    <x v="3"/>
    <x v="0"/>
    <x v="0"/>
    <x v="2"/>
    <x v="8"/>
    <n v="0"/>
    <n v="0"/>
    <n v="181012.848"/>
    <n v="181012.848"/>
    <n v="181012.848"/>
    <n v="181012.848"/>
    <n v="935691"/>
    <x v="0"/>
    <n v="0"/>
    <n v="0"/>
    <n v="45"/>
    <n v="88"/>
    <n v="0"/>
    <n v="247.09"/>
    <n v="270.92"/>
    <m/>
    <n v="271.87639484612828"/>
    <n v="242.91497522388124"/>
    <n v="0"/>
    <n v="44726464.612319998"/>
    <n v="49040000.780160002"/>
    <n v="0"/>
    <n v="49213120.535070203"/>
    <n v="43970731.487124182"/>
  </r>
  <r>
    <s v="Refaturamento - Regular"/>
    <x v="4"/>
    <x v="5"/>
    <x v="6"/>
    <x v="3"/>
    <x v="0"/>
    <x v="0"/>
    <x v="2"/>
    <x v="8"/>
    <n v="0"/>
    <n v="0"/>
    <n v="107.893"/>
    <n v="107.893"/>
    <n v="107.893"/>
    <n v="107.893"/>
    <n v="203"/>
    <x v="0"/>
    <n v="0"/>
    <n v="0"/>
    <n v="45"/>
    <n v="88"/>
    <n v="0"/>
    <n v="247.09"/>
    <n v="270.92"/>
    <m/>
    <n v="271.87639484612828"/>
    <n v="242.91497522388124"/>
    <n v="0"/>
    <n v="26659.281370000001"/>
    <n v="29230.371560000003"/>
    <n v="0"/>
    <n v="29333.559869133318"/>
    <n v="26208.825421830221"/>
  </r>
  <r>
    <s v="Sistema de Compensação"/>
    <x v="4"/>
    <x v="5"/>
    <x v="6"/>
    <x v="3"/>
    <x v="0"/>
    <x v="0"/>
    <x v="2"/>
    <x v="8"/>
    <n v="0"/>
    <n v="0"/>
    <n v="441.90899999999999"/>
    <n v="441.90899999999999"/>
    <n v="441.90899999999999"/>
    <n v="441.90899999999999"/>
    <n v="1292"/>
    <x v="0"/>
    <n v="0"/>
    <n v="0"/>
    <n v="45"/>
    <n v="88"/>
    <n v="0"/>
    <n v="247.09"/>
    <n v="270.92"/>
    <m/>
    <n v="271.87639484612828"/>
    <n v="242.91497522388124"/>
    <n v="0"/>
    <n v="109191.29481000001"/>
    <n v="119721.98628000001"/>
    <n v="0"/>
    <n v="120144.6257700577"/>
    <n v="107346.31378621013"/>
  </r>
  <r>
    <s v="Sistema de Compensação"/>
    <x v="4"/>
    <x v="5"/>
    <x v="6"/>
    <x v="3"/>
    <x v="0"/>
    <x v="0"/>
    <x v="2"/>
    <x v="8"/>
    <n v="0"/>
    <n v="0"/>
    <n v="3.0030000000000001"/>
    <n v="3.0030000000000001"/>
    <n v="3.0030000000000001"/>
    <n v="3.0030000000000001"/>
    <n v="2"/>
    <x v="0"/>
    <n v="0"/>
    <n v="0"/>
    <n v="45"/>
    <n v="88"/>
    <n v="0"/>
    <n v="247.09"/>
    <n v="270.92"/>
    <m/>
    <n v="271.87639484612828"/>
    <n v="242.91497522388124"/>
    <n v="0"/>
    <n v="742.01127000000008"/>
    <n v="813.57276000000013"/>
    <n v="0"/>
    <n v="816.4448137229233"/>
    <n v="729.47367059731539"/>
  </r>
  <r>
    <s v="Regular"/>
    <x v="4"/>
    <x v="5"/>
    <x v="6"/>
    <x v="3"/>
    <x v="0"/>
    <x v="0"/>
    <x v="2"/>
    <x v="9"/>
    <n v="0"/>
    <n v="0"/>
    <n v="184711.89499999999"/>
    <n v="184711.89499999999"/>
    <n v="184711.89499999999"/>
    <n v="184711.89499999999"/>
    <n v="935296"/>
    <x v="0"/>
    <n v="0"/>
    <n v="0"/>
    <n v="45"/>
    <n v="88"/>
    <n v="0"/>
    <n v="247.09"/>
    <n v="270.92"/>
    <m/>
    <n v="271.87639484612828"/>
    <n v="242.91497522388124"/>
    <n v="0"/>
    <n v="45640462.13555"/>
    <n v="50042146.593400002"/>
    <n v="0"/>
    <n v="50218804.097796582"/>
    <n v="44869285.397481151"/>
  </r>
  <r>
    <s v="Refaturamento - Regular"/>
    <x v="4"/>
    <x v="5"/>
    <x v="6"/>
    <x v="3"/>
    <x v="0"/>
    <x v="0"/>
    <x v="2"/>
    <x v="9"/>
    <n v="0"/>
    <n v="0"/>
    <n v="153.864"/>
    <n v="153.864"/>
    <n v="153.864"/>
    <n v="153.864"/>
    <n v="282"/>
    <x v="0"/>
    <n v="0"/>
    <n v="0"/>
    <n v="45"/>
    <n v="88"/>
    <n v="0"/>
    <n v="247.09"/>
    <n v="270.92"/>
    <m/>
    <n v="271.87639484612828"/>
    <n v="242.91497522388124"/>
    <n v="0"/>
    <n v="38018.25576"/>
    <n v="41684.834880000002"/>
    <n v="0"/>
    <n v="41831.989616604682"/>
    <n v="37375.869747847268"/>
  </r>
  <r>
    <s v="Sistema de Compensação"/>
    <x v="4"/>
    <x v="5"/>
    <x v="6"/>
    <x v="3"/>
    <x v="0"/>
    <x v="0"/>
    <x v="2"/>
    <x v="9"/>
    <n v="0"/>
    <n v="0"/>
    <n v="427.38900000000001"/>
    <n v="427.38900000000001"/>
    <n v="427.38900000000001"/>
    <n v="427.38900000000001"/>
    <n v="1282"/>
    <x v="0"/>
    <n v="0"/>
    <n v="0"/>
    <n v="45"/>
    <n v="88"/>
    <n v="0"/>
    <n v="247.09"/>
    <n v="270.92"/>
    <m/>
    <n v="271.87639484612828"/>
    <n v="242.91497522388124"/>
    <n v="0"/>
    <n v="105603.54801"/>
    <n v="115788.22788000001"/>
    <n v="0"/>
    <n v="116196.98051689193"/>
    <n v="103819.18834595938"/>
  </r>
  <r>
    <s v="Sistema de Compensação"/>
    <x v="4"/>
    <x v="5"/>
    <x v="6"/>
    <x v="3"/>
    <x v="0"/>
    <x v="0"/>
    <x v="2"/>
    <x v="9"/>
    <n v="0"/>
    <n v="0"/>
    <n v="2.625"/>
    <n v="2.625"/>
    <n v="2.625"/>
    <n v="2.625"/>
    <n v="2"/>
    <x v="0"/>
    <n v="0"/>
    <n v="0"/>
    <n v="45"/>
    <n v="88"/>
    <n v="0"/>
    <n v="247.09"/>
    <n v="270.92"/>
    <m/>
    <n v="271.87639484612828"/>
    <n v="242.91497522388124"/>
    <n v="0"/>
    <n v="648.61125000000004"/>
    <n v="711.16500000000008"/>
    <n v="0"/>
    <n v="713.67553647108673"/>
    <n v="637.65180996268828"/>
  </r>
  <r>
    <s v="Regular"/>
    <x v="4"/>
    <x v="5"/>
    <x v="6"/>
    <x v="3"/>
    <x v="0"/>
    <x v="0"/>
    <x v="2"/>
    <x v="10"/>
    <n v="0"/>
    <n v="0"/>
    <n v="200899.79800000001"/>
    <n v="200899.79800000001"/>
    <n v="200899.79800000001"/>
    <n v="200899.79800000001"/>
    <n v="936940"/>
    <x v="0"/>
    <n v="0"/>
    <n v="0"/>
    <n v="45"/>
    <n v="88"/>
    <n v="0"/>
    <n v="247.09"/>
    <n v="270.92"/>
    <m/>
    <n v="271.87639484612828"/>
    <n v="242.91497522388124"/>
    <n v="0"/>
    <n v="49640331.087820001"/>
    <n v="54427773.274160005"/>
    <n v="0"/>
    <n v="54619912.805555418"/>
    <n v="48801569.453652747"/>
  </r>
  <r>
    <s v="Refaturamento - Regular"/>
    <x v="4"/>
    <x v="5"/>
    <x v="6"/>
    <x v="3"/>
    <x v="0"/>
    <x v="0"/>
    <x v="2"/>
    <x v="10"/>
    <n v="0"/>
    <n v="0"/>
    <n v="119.798"/>
    <n v="119.798"/>
    <n v="119.798"/>
    <n v="119.798"/>
    <n v="243"/>
    <x v="0"/>
    <n v="0"/>
    <n v="0"/>
    <n v="45"/>
    <n v="88"/>
    <n v="0"/>
    <n v="247.09"/>
    <n v="270.92"/>
    <m/>
    <n v="271.87639484612828"/>
    <n v="242.91497522388124"/>
    <n v="0"/>
    <n v="29600.88782"/>
    <n v="32455.674160000002"/>
    <n v="0"/>
    <n v="32570.248349776477"/>
    <n v="29100.728201870526"/>
  </r>
  <r>
    <s v="Sistema de Compensação"/>
    <x v="4"/>
    <x v="5"/>
    <x v="6"/>
    <x v="3"/>
    <x v="0"/>
    <x v="0"/>
    <x v="2"/>
    <x v="10"/>
    <n v="0"/>
    <n v="0"/>
    <n v="423.89"/>
    <n v="423.89"/>
    <n v="423.89"/>
    <n v="423.89"/>
    <n v="1277"/>
    <x v="0"/>
    <n v="0"/>
    <n v="0"/>
    <n v="45"/>
    <n v="88"/>
    <n v="0"/>
    <n v="247.09"/>
    <n v="270.92"/>
    <m/>
    <n v="271.87639484612828"/>
    <n v="242.91497522388124"/>
    <n v="0"/>
    <n v="104738.9801"/>
    <n v="114840.2788"/>
    <n v="0"/>
    <n v="115245.68501132532"/>
    <n v="102969.22884765101"/>
  </r>
  <r>
    <s v="Sistema de Compensação"/>
    <x v="4"/>
    <x v="5"/>
    <x v="6"/>
    <x v="3"/>
    <x v="0"/>
    <x v="0"/>
    <x v="2"/>
    <x v="10"/>
    <n v="0"/>
    <n v="0"/>
    <n v="0.377"/>
    <n v="0.377"/>
    <n v="0.377"/>
    <n v="0.377"/>
    <n v="2"/>
    <x v="0"/>
    <n v="0"/>
    <n v="0"/>
    <n v="45"/>
    <n v="88"/>
    <n v="0"/>
    <n v="247.09"/>
    <n v="270.92"/>
    <m/>
    <n v="271.87639484612828"/>
    <n v="242.91497522388124"/>
    <n v="0"/>
    <n v="93.152929999999998"/>
    <n v="102.13684000000001"/>
    <n v="0"/>
    <n v="102.49740085699037"/>
    <n v="91.578945659403232"/>
  </r>
  <r>
    <s v="PROJETADO"/>
    <x v="4"/>
    <x v="5"/>
    <x v="6"/>
    <x v="3"/>
    <x v="0"/>
    <x v="0"/>
    <x v="2"/>
    <x v="11"/>
    <n v="0"/>
    <n v="0"/>
    <n v="200899.79800000001"/>
    <n v="200899.79800000001"/>
    <n v="200899.79800000001"/>
    <n v="200899.79800000001"/>
    <n v="936940"/>
    <x v="0"/>
    <n v="0"/>
    <n v="0"/>
    <n v="45"/>
    <n v="88"/>
    <n v="0"/>
    <n v="247.09"/>
    <n v="270.92"/>
    <m/>
    <n v="271.87639484612828"/>
    <n v="242.91497522388124"/>
    <n v="0"/>
    <n v="49640331.087820001"/>
    <n v="54427773.274160005"/>
    <n v="0"/>
    <n v="54619912.805555418"/>
    <n v="48801569.453652747"/>
  </r>
  <r>
    <s v="PROJETADO"/>
    <x v="4"/>
    <x v="5"/>
    <x v="6"/>
    <x v="3"/>
    <x v="0"/>
    <x v="0"/>
    <x v="2"/>
    <x v="11"/>
    <n v="0"/>
    <n v="0"/>
    <n v="119.798"/>
    <n v="119.798"/>
    <n v="119.798"/>
    <n v="119.798"/>
    <n v="243"/>
    <x v="0"/>
    <n v="0"/>
    <n v="0"/>
    <n v="45"/>
    <n v="88"/>
    <n v="0"/>
    <n v="247.09"/>
    <n v="270.92"/>
    <m/>
    <n v="271.87639484612828"/>
    <n v="242.91497522388124"/>
    <n v="0"/>
    <n v="29600.88782"/>
    <n v="32455.674160000002"/>
    <n v="0"/>
    <n v="32570.248349776477"/>
    <n v="29100.728201870526"/>
  </r>
  <r>
    <s v="PROJETADO"/>
    <x v="4"/>
    <x v="5"/>
    <x v="6"/>
    <x v="3"/>
    <x v="0"/>
    <x v="0"/>
    <x v="2"/>
    <x v="11"/>
    <n v="0"/>
    <n v="0"/>
    <n v="423.89"/>
    <n v="423.89"/>
    <n v="423.89"/>
    <n v="423.89"/>
    <n v="1277"/>
    <x v="0"/>
    <n v="0"/>
    <n v="0"/>
    <n v="45"/>
    <n v="88"/>
    <n v="0"/>
    <n v="247.09"/>
    <n v="270.92"/>
    <m/>
    <n v="271.87639484612828"/>
    <n v="242.91497522388124"/>
    <n v="0"/>
    <n v="104738.9801"/>
    <n v="114840.2788"/>
    <n v="0"/>
    <n v="115245.68501132532"/>
    <n v="102969.22884765101"/>
  </r>
  <r>
    <s v="PROJETADO"/>
    <x v="4"/>
    <x v="5"/>
    <x v="6"/>
    <x v="3"/>
    <x v="0"/>
    <x v="0"/>
    <x v="2"/>
    <x v="11"/>
    <n v="0"/>
    <n v="0"/>
    <n v="0.377"/>
    <n v="0.377"/>
    <n v="0.377"/>
    <n v="0.377"/>
    <n v="2"/>
    <x v="0"/>
    <n v="0"/>
    <n v="0"/>
    <n v="45"/>
    <n v="88"/>
    <n v="0"/>
    <n v="247.09"/>
    <n v="270.92"/>
    <m/>
    <n v="271.87639484612828"/>
    <n v="242.91497522388124"/>
    <n v="0"/>
    <n v="93.152929999999998"/>
    <n v="102.13684000000001"/>
    <n v="0"/>
    <n v="102.49740085699037"/>
    <n v="91.578945659403232"/>
  </r>
  <r>
    <s v="Regular"/>
    <x v="4"/>
    <x v="5"/>
    <x v="6"/>
    <x v="5"/>
    <x v="0"/>
    <x v="0"/>
    <x v="2"/>
    <x v="0"/>
    <n v="0"/>
    <n v="0"/>
    <n v="259.98"/>
    <n v="259.98"/>
    <n v="259.98"/>
    <n v="259.98"/>
    <n v="461"/>
    <x v="0"/>
    <n v="0"/>
    <n v="0"/>
    <n v="46"/>
    <n v="89"/>
    <n v="0"/>
    <n v="64.09"/>
    <n v="94.82"/>
    <m/>
    <n v="69.480292728688681"/>
    <n v="85.020241328358424"/>
    <n v="0"/>
    <n v="16662.118200000001"/>
    <n v="24651.303599999999"/>
    <n v="0"/>
    <n v="18063.486503604483"/>
    <n v="22103.562340546625"/>
  </r>
  <r>
    <s v="Refaturamento - Regular"/>
    <x v="4"/>
    <x v="5"/>
    <x v="6"/>
    <x v="5"/>
    <x v="0"/>
    <x v="0"/>
    <x v="2"/>
    <x v="0"/>
    <n v="0"/>
    <n v="0"/>
    <n v="0.09"/>
    <n v="0.09"/>
    <n v="0.09"/>
    <n v="0.09"/>
    <n v="0"/>
    <x v="0"/>
    <n v="0"/>
    <n v="0"/>
    <n v="46"/>
    <n v="89"/>
    <n v="0"/>
    <n v="64.09"/>
    <n v="94.82"/>
    <m/>
    <n v="69.480292728688681"/>
    <n v="85.020241328358424"/>
    <n v="0"/>
    <n v="5.7681000000000004"/>
    <n v="8.5337999999999994"/>
    <n v="0"/>
    <n v="6.2532263455819814"/>
    <n v="7.6518217195522578"/>
  </r>
  <r>
    <s v="Regular"/>
    <x v="4"/>
    <x v="5"/>
    <x v="6"/>
    <x v="5"/>
    <x v="0"/>
    <x v="0"/>
    <x v="2"/>
    <x v="1"/>
    <n v="0"/>
    <n v="0"/>
    <n v="266.10000000000002"/>
    <n v="266.10000000000002"/>
    <n v="266.10000000000002"/>
    <n v="266.10000000000002"/>
    <n v="410"/>
    <x v="0"/>
    <n v="0"/>
    <n v="0"/>
    <n v="46"/>
    <n v="89"/>
    <n v="0"/>
    <n v="64.09"/>
    <n v="94.82"/>
    <m/>
    <n v="69.480292728688681"/>
    <n v="85.020241328358424"/>
    <n v="0"/>
    <n v="17054.349000000002"/>
    <n v="25231.601999999999"/>
    <n v="0"/>
    <n v="18488.70589510406"/>
    <n v="22623.886217476178"/>
  </r>
  <r>
    <s v="Refaturamento - Regular"/>
    <x v="4"/>
    <x v="5"/>
    <x v="6"/>
    <x v="5"/>
    <x v="0"/>
    <x v="0"/>
    <x v="2"/>
    <x v="1"/>
    <n v="0"/>
    <n v="0"/>
    <n v="0.15"/>
    <n v="0.15"/>
    <n v="0.15"/>
    <n v="0.15"/>
    <n v="0"/>
    <x v="0"/>
    <n v="0"/>
    <n v="0"/>
    <n v="46"/>
    <n v="89"/>
    <n v="0"/>
    <n v="64.09"/>
    <n v="94.82"/>
    <m/>
    <n v="69.480292728688681"/>
    <n v="85.020241328358424"/>
    <n v="0"/>
    <n v="9.6135000000000002"/>
    <n v="14.222999999999999"/>
    <n v="0"/>
    <n v="10.422043909303301"/>
    <n v="12.753036199253764"/>
  </r>
  <r>
    <s v="Regular"/>
    <x v="4"/>
    <x v="5"/>
    <x v="6"/>
    <x v="5"/>
    <x v="0"/>
    <x v="0"/>
    <x v="2"/>
    <x v="2"/>
    <n v="0"/>
    <n v="0"/>
    <n v="272.55"/>
    <n v="272.55"/>
    <n v="272.55"/>
    <n v="272.55"/>
    <n v="488"/>
    <x v="0"/>
    <n v="0"/>
    <n v="0"/>
    <n v="46"/>
    <n v="89"/>
    <n v="0"/>
    <n v="64.09"/>
    <n v="94.82"/>
    <m/>
    <n v="69.480292728688681"/>
    <n v="85.020241328358424"/>
    <n v="0"/>
    <n v="17467.729500000001"/>
    <n v="25843.190999999999"/>
    <n v="0"/>
    <n v="18936.8537832041"/>
    <n v="23172.266774044088"/>
  </r>
  <r>
    <s v="Refaturamento - Regular"/>
    <x v="4"/>
    <x v="5"/>
    <x v="6"/>
    <x v="5"/>
    <x v="0"/>
    <x v="0"/>
    <x v="2"/>
    <x v="2"/>
    <n v="0"/>
    <n v="0"/>
    <n v="0.12"/>
    <n v="0.12"/>
    <n v="0.12"/>
    <n v="0.12"/>
    <n v="2"/>
    <x v="0"/>
    <n v="0"/>
    <n v="0"/>
    <n v="46"/>
    <n v="89"/>
    <n v="0"/>
    <n v="64.09"/>
    <n v="94.82"/>
    <m/>
    <n v="69.480292728688681"/>
    <n v="85.020241328358424"/>
    <n v="0"/>
    <n v="7.6908000000000003"/>
    <n v="11.378399999999999"/>
    <n v="0"/>
    <n v="8.3376351274426419"/>
    <n v="10.20242895940301"/>
  </r>
  <r>
    <s v="Regular"/>
    <x v="4"/>
    <x v="5"/>
    <x v="6"/>
    <x v="5"/>
    <x v="0"/>
    <x v="0"/>
    <x v="2"/>
    <x v="3"/>
    <n v="0"/>
    <n v="0"/>
    <n v="275.61"/>
    <n v="275.61"/>
    <n v="275.61"/>
    <n v="275.61"/>
    <n v="515"/>
    <x v="0"/>
    <n v="0"/>
    <n v="0"/>
    <n v="46"/>
    <n v="89"/>
    <n v="0"/>
    <n v="64.09"/>
    <n v="94.82"/>
    <m/>
    <n v="69.480292728688681"/>
    <n v="85.020241328358424"/>
    <n v="0"/>
    <n v="17663.8449"/>
    <n v="26133.340199999999"/>
    <n v="0"/>
    <n v="19149.463478953887"/>
    <n v="23432.428712508867"/>
  </r>
  <r>
    <s v="Refaturamento - Regular"/>
    <x v="4"/>
    <x v="5"/>
    <x v="6"/>
    <x v="5"/>
    <x v="0"/>
    <x v="0"/>
    <x v="2"/>
    <x v="3"/>
    <n v="0"/>
    <n v="0"/>
    <n v="0.21"/>
    <n v="0.21"/>
    <n v="0.21"/>
    <n v="0.21"/>
    <n v="1"/>
    <x v="0"/>
    <n v="0"/>
    <n v="0"/>
    <n v="46"/>
    <n v="89"/>
    <n v="0"/>
    <n v="64.09"/>
    <n v="94.82"/>
    <m/>
    <n v="69.480292728688681"/>
    <n v="85.020241328358424"/>
    <n v="0"/>
    <n v="13.4589"/>
    <n v="19.912199999999999"/>
    <n v="0"/>
    <n v="14.590861473024622"/>
    <n v="17.854250678955268"/>
  </r>
  <r>
    <s v="Regular"/>
    <x v="4"/>
    <x v="5"/>
    <x v="6"/>
    <x v="5"/>
    <x v="0"/>
    <x v="0"/>
    <x v="2"/>
    <x v="4"/>
    <n v="0"/>
    <n v="0"/>
    <n v="276.45"/>
    <n v="276.45"/>
    <n v="276.45"/>
    <n v="276.45"/>
    <n v="502"/>
    <x v="0"/>
    <n v="0"/>
    <n v="0"/>
    <n v="46"/>
    <n v="89"/>
    <n v="0"/>
    <n v="64.09"/>
    <n v="94.82"/>
    <m/>
    <n v="69.480292728688681"/>
    <n v="85.020241328358424"/>
    <n v="0"/>
    <n v="17717.680499999999"/>
    <n v="26212.988999999998"/>
    <n v="0"/>
    <n v="19207.826924845984"/>
    <n v="23503.845715224685"/>
  </r>
  <r>
    <s v="Regular"/>
    <x v="4"/>
    <x v="5"/>
    <x v="6"/>
    <x v="5"/>
    <x v="0"/>
    <x v="0"/>
    <x v="2"/>
    <x v="5"/>
    <n v="0"/>
    <n v="0"/>
    <n v="256.35000000000002"/>
    <n v="256.35000000000002"/>
    <n v="256.35000000000002"/>
    <n v="256.35000000000002"/>
    <n v="411"/>
    <x v="0"/>
    <n v="0"/>
    <n v="0"/>
    <n v="46"/>
    <n v="89"/>
    <n v="0"/>
    <n v="64.09"/>
    <n v="94.82"/>
    <m/>
    <n v="69.480292728688681"/>
    <n v="85.020241328358424"/>
    <n v="0"/>
    <n v="16429.471500000003"/>
    <n v="24307.107"/>
    <n v="0"/>
    <n v="17811.273040999346"/>
    <n v="21794.938864524684"/>
  </r>
  <r>
    <s v="Refaturamento - Regular"/>
    <x v="4"/>
    <x v="5"/>
    <x v="6"/>
    <x v="5"/>
    <x v="0"/>
    <x v="0"/>
    <x v="2"/>
    <x v="5"/>
    <n v="0"/>
    <n v="0"/>
    <n v="0.24"/>
    <n v="0.24"/>
    <n v="0.24"/>
    <n v="0.24"/>
    <n v="0"/>
    <x v="0"/>
    <n v="0"/>
    <n v="0"/>
    <n v="46"/>
    <n v="89"/>
    <n v="0"/>
    <n v="64.09"/>
    <n v="94.82"/>
    <m/>
    <n v="69.480292728688681"/>
    <n v="85.020241328358424"/>
    <n v="0"/>
    <n v="15.381600000000001"/>
    <n v="22.756799999999998"/>
    <n v="0"/>
    <n v="16.675270254885284"/>
    <n v="20.40485791880602"/>
  </r>
  <r>
    <s v="Regular"/>
    <x v="4"/>
    <x v="5"/>
    <x v="6"/>
    <x v="5"/>
    <x v="0"/>
    <x v="0"/>
    <x v="2"/>
    <x v="6"/>
    <n v="0"/>
    <n v="0"/>
    <n v="251.94"/>
    <n v="251.94"/>
    <n v="251.94"/>
    <n v="251.94"/>
    <n v="324"/>
    <x v="0"/>
    <n v="0"/>
    <n v="0"/>
    <n v="46"/>
    <n v="89"/>
    <n v="0"/>
    <n v="64.09"/>
    <n v="94.82"/>
    <m/>
    <n v="69.480292728688681"/>
    <n v="85.020241328358424"/>
    <n v="0"/>
    <n v="16146.8346"/>
    <n v="23888.950799999999"/>
    <n v="0"/>
    <n v="17504.864950065825"/>
    <n v="21419.999600266619"/>
  </r>
  <r>
    <s v="Refaturamento - Regular"/>
    <x v="4"/>
    <x v="5"/>
    <x v="6"/>
    <x v="5"/>
    <x v="0"/>
    <x v="0"/>
    <x v="2"/>
    <x v="6"/>
    <n v="0"/>
    <n v="0"/>
    <n v="0.96"/>
    <n v="0.96"/>
    <n v="0.96"/>
    <n v="0.96"/>
    <n v="0"/>
    <x v="0"/>
    <n v="0"/>
    <n v="0"/>
    <n v="46"/>
    <n v="89"/>
    <n v="0"/>
    <n v="64.09"/>
    <n v="94.82"/>
    <m/>
    <n v="69.480292728688681"/>
    <n v="85.020241328358424"/>
    <n v="0"/>
    <n v="61.526400000000002"/>
    <n v="91.027199999999993"/>
    <n v="0"/>
    <n v="66.701081019541135"/>
    <n v="81.619431675224078"/>
  </r>
  <r>
    <s v="Regular"/>
    <x v="4"/>
    <x v="5"/>
    <x v="6"/>
    <x v="5"/>
    <x v="0"/>
    <x v="0"/>
    <x v="2"/>
    <x v="7"/>
    <n v="0"/>
    <n v="0"/>
    <n v="298.23"/>
    <n v="298.23"/>
    <n v="298.23"/>
    <n v="298.23"/>
    <n v="356"/>
    <x v="0"/>
    <n v="0"/>
    <n v="0"/>
    <n v="46"/>
    <n v="89"/>
    <n v="0"/>
    <n v="64.09"/>
    <n v="94.82"/>
    <m/>
    <n v="69.480292728688681"/>
    <n v="85.020241328358424"/>
    <n v="0"/>
    <n v="19113.560700000002"/>
    <n v="28278.168600000001"/>
    <n v="0"/>
    <n v="20721.107700476827"/>
    <n v="25355.586571356333"/>
  </r>
  <r>
    <s v="Refaturamento - Regular"/>
    <x v="4"/>
    <x v="5"/>
    <x v="6"/>
    <x v="5"/>
    <x v="0"/>
    <x v="0"/>
    <x v="2"/>
    <x v="7"/>
    <n v="0"/>
    <n v="0"/>
    <n v="2.46"/>
    <n v="2.46"/>
    <n v="2.46"/>
    <n v="2.46"/>
    <n v="0"/>
    <x v="0"/>
    <n v="0"/>
    <n v="0"/>
    <n v="46"/>
    <n v="89"/>
    <n v="0"/>
    <n v="64.09"/>
    <n v="94.82"/>
    <m/>
    <n v="69.480292728688681"/>
    <n v="85.020241328358424"/>
    <n v="0"/>
    <n v="157.66140000000001"/>
    <n v="233.25719999999998"/>
    <n v="0"/>
    <n v="170.92152011257414"/>
    <n v="209.14979366776171"/>
  </r>
  <r>
    <s v="Regular"/>
    <x v="4"/>
    <x v="5"/>
    <x v="6"/>
    <x v="5"/>
    <x v="0"/>
    <x v="0"/>
    <x v="2"/>
    <x v="8"/>
    <n v="0"/>
    <n v="0"/>
    <n v="324.12"/>
    <n v="324.12"/>
    <n v="324.12"/>
    <n v="324.12"/>
    <n v="347"/>
    <x v="0"/>
    <n v="0"/>
    <n v="0"/>
    <n v="46"/>
    <n v="89"/>
    <n v="0"/>
    <n v="64.09"/>
    <n v="94.82"/>
    <m/>
    <n v="69.480292728688681"/>
    <n v="85.020241328358424"/>
    <n v="0"/>
    <n v="20772.8508"/>
    <n v="30733.058399999998"/>
    <n v="0"/>
    <n v="22519.952479222575"/>
    <n v="27556.760619347533"/>
  </r>
  <r>
    <s v="Refaturamento - Regular"/>
    <x v="4"/>
    <x v="5"/>
    <x v="6"/>
    <x v="5"/>
    <x v="0"/>
    <x v="0"/>
    <x v="2"/>
    <x v="8"/>
    <n v="0"/>
    <n v="0"/>
    <n v="0.21"/>
    <n v="0.21"/>
    <n v="0.21"/>
    <n v="0.21"/>
    <n v="0"/>
    <x v="0"/>
    <n v="0"/>
    <n v="0"/>
    <n v="46"/>
    <n v="89"/>
    <n v="0"/>
    <n v="64.09"/>
    <n v="94.82"/>
    <m/>
    <n v="69.480292728688681"/>
    <n v="85.020241328358424"/>
    <n v="0"/>
    <n v="13.4589"/>
    <n v="19.912199999999999"/>
    <n v="0"/>
    <n v="14.590861473024622"/>
    <n v="17.854250678955268"/>
  </r>
  <r>
    <s v="Regular"/>
    <x v="4"/>
    <x v="5"/>
    <x v="6"/>
    <x v="5"/>
    <x v="0"/>
    <x v="0"/>
    <x v="2"/>
    <x v="9"/>
    <n v="0"/>
    <n v="0"/>
    <n v="336.48"/>
    <n v="336.48"/>
    <n v="336.48"/>
    <n v="336.48"/>
    <n v="335"/>
    <x v="0"/>
    <n v="0"/>
    <n v="0"/>
    <n v="46"/>
    <n v="89"/>
    <n v="0"/>
    <n v="64.09"/>
    <n v="94.82"/>
    <m/>
    <n v="69.480292728688681"/>
    <n v="85.020241328358424"/>
    <n v="0"/>
    <n v="21565.003200000003"/>
    <n v="31905.033599999999"/>
    <n v="0"/>
    <n v="23378.72889734917"/>
    <n v="28607.610802166044"/>
  </r>
  <r>
    <s v="Refaturamento - Regular"/>
    <x v="4"/>
    <x v="5"/>
    <x v="6"/>
    <x v="5"/>
    <x v="0"/>
    <x v="0"/>
    <x v="2"/>
    <x v="9"/>
    <n v="0"/>
    <n v="0"/>
    <n v="0.12"/>
    <n v="0.12"/>
    <n v="0.12"/>
    <n v="0.12"/>
    <n v="0"/>
    <x v="0"/>
    <n v="0"/>
    <n v="0"/>
    <n v="46"/>
    <n v="89"/>
    <n v="0"/>
    <n v="64.09"/>
    <n v="94.82"/>
    <m/>
    <n v="69.480292728688681"/>
    <n v="85.020241328358424"/>
    <n v="0"/>
    <n v="7.6908000000000003"/>
    <n v="11.378399999999999"/>
    <n v="0"/>
    <n v="8.3376351274426419"/>
    <n v="10.20242895940301"/>
  </r>
  <r>
    <s v="Regular"/>
    <x v="4"/>
    <x v="5"/>
    <x v="6"/>
    <x v="5"/>
    <x v="0"/>
    <x v="0"/>
    <x v="2"/>
    <x v="10"/>
    <n v="0"/>
    <n v="0"/>
    <n v="342.18"/>
    <n v="342.18"/>
    <n v="342.18"/>
    <n v="342.18"/>
    <n v="318"/>
    <x v="0"/>
    <n v="0"/>
    <n v="0"/>
    <n v="46"/>
    <n v="89"/>
    <n v="0"/>
    <n v="64.09"/>
    <n v="94.82"/>
    <m/>
    <n v="69.480292728688681"/>
    <n v="85.020241328358424"/>
    <n v="0"/>
    <n v="21930.316200000001"/>
    <n v="32445.507599999997"/>
    <n v="0"/>
    <n v="23774.766565902693"/>
    <n v="29092.226177737684"/>
  </r>
  <r>
    <s v="Refaturamento - Regular"/>
    <x v="4"/>
    <x v="5"/>
    <x v="6"/>
    <x v="5"/>
    <x v="0"/>
    <x v="0"/>
    <x v="2"/>
    <x v="10"/>
    <n v="0"/>
    <n v="0"/>
    <n v="0.12"/>
    <n v="0.12"/>
    <n v="0.12"/>
    <n v="0.12"/>
    <n v="1"/>
    <x v="0"/>
    <n v="0"/>
    <n v="0"/>
    <n v="46"/>
    <n v="89"/>
    <n v="0"/>
    <n v="64.09"/>
    <n v="94.82"/>
    <m/>
    <n v="69.480292728688681"/>
    <n v="85.020241328358424"/>
    <n v="0"/>
    <n v="7.6908000000000003"/>
    <n v="11.378399999999999"/>
    <n v="0"/>
    <n v="8.3376351274426419"/>
    <n v="10.20242895940301"/>
  </r>
  <r>
    <s v="PROJETADO"/>
    <x v="4"/>
    <x v="5"/>
    <x v="6"/>
    <x v="5"/>
    <x v="0"/>
    <x v="0"/>
    <x v="2"/>
    <x v="11"/>
    <n v="0"/>
    <n v="0"/>
    <n v="342.18"/>
    <n v="342.18"/>
    <n v="342.18"/>
    <n v="342.18"/>
    <n v="318"/>
    <x v="0"/>
    <n v="0"/>
    <n v="0"/>
    <n v="46"/>
    <n v="89"/>
    <n v="0"/>
    <n v="64.09"/>
    <n v="94.82"/>
    <m/>
    <n v="69.480292728688681"/>
    <n v="85.020241328358424"/>
    <n v="0"/>
    <n v="21930.316200000001"/>
    <n v="32445.507599999997"/>
    <n v="0"/>
    <n v="23774.766565902693"/>
    <n v="29092.226177737684"/>
  </r>
  <r>
    <s v="PROJETADO"/>
    <x v="4"/>
    <x v="5"/>
    <x v="6"/>
    <x v="5"/>
    <x v="0"/>
    <x v="0"/>
    <x v="2"/>
    <x v="11"/>
    <n v="0"/>
    <n v="0"/>
    <n v="0.12"/>
    <n v="0.12"/>
    <n v="0.12"/>
    <n v="0.12"/>
    <n v="1"/>
    <x v="0"/>
    <n v="0"/>
    <n v="0"/>
    <n v="46"/>
    <n v="89"/>
    <n v="0"/>
    <n v="64.09"/>
    <n v="94.82"/>
    <m/>
    <n v="69.480292728688681"/>
    <n v="85.020241328358424"/>
    <n v="0"/>
    <n v="7.6908000000000003"/>
    <n v="11.378399999999999"/>
    <n v="0"/>
    <n v="8.3376351274426419"/>
    <n v="10.20242895940301"/>
  </r>
  <r>
    <s v="Regular"/>
    <x v="4"/>
    <x v="5"/>
    <x v="6"/>
    <x v="6"/>
    <x v="0"/>
    <x v="0"/>
    <x v="2"/>
    <x v="0"/>
    <n v="0"/>
    <n v="0"/>
    <n v="543.95899999999995"/>
    <n v="543.95899999999995"/>
    <n v="543.95899999999995"/>
    <n v="543.95899999999995"/>
    <n v="1306"/>
    <x v="0"/>
    <n v="0"/>
    <n v="0"/>
    <n v="47"/>
    <n v="90"/>
    <n v="0"/>
    <n v="109.87"/>
    <n v="162.55000000000001"/>
    <m/>
    <n v="119.1090732491806"/>
    <n v="145.74898513432873"/>
    <n v="0"/>
    <n v="59764.775329999997"/>
    <n v="88420.535449999996"/>
    <n v="0"/>
    <n v="64790.452375551024"/>
    <n v="79281.472204684309"/>
  </r>
  <r>
    <s v="Refaturamento - Regular"/>
    <x v="4"/>
    <x v="5"/>
    <x v="6"/>
    <x v="6"/>
    <x v="0"/>
    <x v="0"/>
    <x v="2"/>
    <x v="0"/>
    <n v="0"/>
    <n v="0"/>
    <n v="0.17"/>
    <n v="0.17"/>
    <n v="0.17"/>
    <n v="0.17"/>
    <n v="0"/>
    <x v="0"/>
    <n v="0"/>
    <n v="0"/>
    <n v="47"/>
    <n v="90"/>
    <n v="0"/>
    <n v="109.87"/>
    <n v="162.55000000000001"/>
    <m/>
    <n v="119.1090732491806"/>
    <n v="145.74898513432873"/>
    <n v="0"/>
    <n v="18.677900000000001"/>
    <n v="27.633500000000005"/>
    <n v="0"/>
    <n v="20.248542452360702"/>
    <n v="24.777327472835886"/>
  </r>
  <r>
    <s v="Regular"/>
    <x v="4"/>
    <x v="5"/>
    <x v="6"/>
    <x v="6"/>
    <x v="0"/>
    <x v="0"/>
    <x v="2"/>
    <x v="1"/>
    <n v="0"/>
    <n v="0"/>
    <n v="566.62099999999998"/>
    <n v="566.62099999999998"/>
    <n v="566.62099999999998"/>
    <n v="566.62099999999998"/>
    <n v="1079"/>
    <x v="0"/>
    <n v="0"/>
    <n v="0"/>
    <n v="47"/>
    <n v="90"/>
    <n v="0"/>
    <n v="109.87"/>
    <n v="162.55000000000001"/>
    <m/>
    <n v="119.1090732491806"/>
    <n v="145.74898513432873"/>
    <n v="0"/>
    <n v="62254.649270000002"/>
    <n v="92104.243549999999"/>
    <n v="0"/>
    <n v="67489.702193523961"/>
    <n v="82584.435705798474"/>
  </r>
  <r>
    <s v="Refaturamento - Regular"/>
    <x v="4"/>
    <x v="5"/>
    <x v="6"/>
    <x v="6"/>
    <x v="0"/>
    <x v="0"/>
    <x v="2"/>
    <x v="1"/>
    <n v="0"/>
    <n v="0"/>
    <n v="0.32800000000000001"/>
    <n v="0.32800000000000001"/>
    <n v="0.32800000000000001"/>
    <n v="0.32800000000000001"/>
    <n v="1"/>
    <x v="0"/>
    <n v="0"/>
    <n v="0"/>
    <n v="47"/>
    <n v="90"/>
    <n v="0"/>
    <n v="109.87"/>
    <n v="162.55000000000001"/>
    <m/>
    <n v="119.1090732491806"/>
    <n v="145.74898513432873"/>
    <n v="0"/>
    <n v="36.03736"/>
    <n v="53.316400000000009"/>
    <n v="0"/>
    <n v="39.067776025731234"/>
    <n v="47.805667124059823"/>
  </r>
  <r>
    <s v="Regular"/>
    <x v="4"/>
    <x v="5"/>
    <x v="6"/>
    <x v="6"/>
    <x v="0"/>
    <x v="0"/>
    <x v="2"/>
    <x v="2"/>
    <n v="0"/>
    <n v="0"/>
    <n v="561.79999999999995"/>
    <n v="561.79999999999995"/>
    <n v="561.79999999999995"/>
    <n v="561.79999999999995"/>
    <n v="1669"/>
    <x v="0"/>
    <n v="0"/>
    <n v="0"/>
    <n v="47"/>
    <n v="90"/>
    <n v="0"/>
    <n v="109.87"/>
    <n v="162.55000000000001"/>
    <m/>
    <n v="119.1090732491806"/>
    <n v="145.74898513432873"/>
    <n v="0"/>
    <n v="61724.966"/>
    <n v="91320.59"/>
    <n v="0"/>
    <n v="66915.477351389651"/>
    <n v="81881.779848465871"/>
  </r>
  <r>
    <s v="Refaturamento - Regular"/>
    <x v="4"/>
    <x v="5"/>
    <x v="6"/>
    <x v="6"/>
    <x v="0"/>
    <x v="0"/>
    <x v="2"/>
    <x v="2"/>
    <n v="0"/>
    <n v="0"/>
    <n v="0.14000000000000001"/>
    <n v="0.14000000000000001"/>
    <n v="0.14000000000000001"/>
    <n v="0.14000000000000001"/>
    <n v="0"/>
    <x v="0"/>
    <n v="0"/>
    <n v="0"/>
    <n v="47"/>
    <n v="90"/>
    <n v="0"/>
    <n v="109.87"/>
    <n v="162.55000000000001"/>
    <m/>
    <n v="119.1090732491806"/>
    <n v="145.74898513432873"/>
    <n v="0"/>
    <n v="15.381800000000002"/>
    <n v="22.757000000000005"/>
    <n v="0"/>
    <n v="16.675270254885284"/>
    <n v="20.404857918806023"/>
  </r>
  <r>
    <s v="Regular"/>
    <x v="4"/>
    <x v="5"/>
    <x v="6"/>
    <x v="6"/>
    <x v="0"/>
    <x v="0"/>
    <x v="2"/>
    <x v="3"/>
    <n v="0"/>
    <n v="0"/>
    <n v="571.98199999999997"/>
    <n v="571.98199999999997"/>
    <n v="571.98199999999997"/>
    <n v="571.98199999999997"/>
    <n v="1397"/>
    <x v="0"/>
    <n v="0"/>
    <n v="0"/>
    <n v="47"/>
    <n v="90"/>
    <n v="0"/>
    <n v="109.87"/>
    <n v="162.55000000000001"/>
    <m/>
    <n v="119.1090732491806"/>
    <n v="145.74898513432873"/>
    <n v="0"/>
    <n v="62843.662340000003"/>
    <n v="92975.674100000004"/>
    <n v="0"/>
    <n v="68128.245935212806"/>
    <n v="83365.79601510361"/>
  </r>
  <r>
    <s v="Refaturamento - Regular"/>
    <x v="4"/>
    <x v="5"/>
    <x v="6"/>
    <x v="6"/>
    <x v="0"/>
    <x v="0"/>
    <x v="2"/>
    <x v="3"/>
    <n v="0"/>
    <n v="0"/>
    <n v="0.35499999999999998"/>
    <n v="0.35499999999999998"/>
    <n v="0.35499999999999998"/>
    <n v="0.35499999999999998"/>
    <n v="0"/>
    <x v="0"/>
    <n v="0"/>
    <n v="0"/>
    <n v="47"/>
    <n v="90"/>
    <n v="0"/>
    <n v="109.87"/>
    <n v="162.55000000000001"/>
    <m/>
    <n v="119.1090732491806"/>
    <n v="145.74898513432873"/>
    <n v="0"/>
    <n v="39.00385"/>
    <n v="57.705249999999999"/>
    <n v="0"/>
    <n v="42.283721003459107"/>
    <n v="51.740889722686696"/>
  </r>
  <r>
    <s v="Regular"/>
    <x v="4"/>
    <x v="5"/>
    <x v="6"/>
    <x v="6"/>
    <x v="0"/>
    <x v="0"/>
    <x v="2"/>
    <x v="4"/>
    <n v="0"/>
    <n v="0"/>
    <n v="564.67499999999995"/>
    <n v="564.67499999999995"/>
    <n v="564.67499999999995"/>
    <n v="564.67499999999995"/>
    <n v="1744"/>
    <x v="0"/>
    <n v="0"/>
    <n v="0"/>
    <n v="47"/>
    <n v="90"/>
    <n v="0"/>
    <n v="109.87"/>
    <n v="162.55000000000001"/>
    <m/>
    <n v="119.1090732491806"/>
    <n v="145.74898513432873"/>
    <n v="0"/>
    <n v="62040.842249999994"/>
    <n v="91787.921249999999"/>
    <n v="0"/>
    <n v="67257.915936981051"/>
    <n v="82300.808180727065"/>
  </r>
  <r>
    <s v="Regular"/>
    <x v="4"/>
    <x v="5"/>
    <x v="6"/>
    <x v="6"/>
    <x v="0"/>
    <x v="0"/>
    <x v="2"/>
    <x v="5"/>
    <n v="0"/>
    <n v="0"/>
    <n v="532.59799999999996"/>
    <n v="532.59799999999996"/>
    <n v="532.59799999999996"/>
    <n v="532.59799999999996"/>
    <n v="1472"/>
    <x v="0"/>
    <n v="0"/>
    <n v="0"/>
    <n v="47"/>
    <n v="90"/>
    <n v="0"/>
    <n v="109.87"/>
    <n v="162.55000000000001"/>
    <m/>
    <n v="119.1090732491806"/>
    <n v="145.74898513432873"/>
    <n v="0"/>
    <n v="58516.542259999995"/>
    <n v="86573.804900000003"/>
    <n v="0"/>
    <n v="63437.25419436708"/>
    <n v="77625.617984573211"/>
  </r>
  <r>
    <s v="Refaturamento - Regular"/>
    <x v="4"/>
    <x v="5"/>
    <x v="6"/>
    <x v="6"/>
    <x v="0"/>
    <x v="0"/>
    <x v="2"/>
    <x v="5"/>
    <n v="0"/>
    <n v="0"/>
    <n v="0.48399999999999999"/>
    <n v="0.48399999999999999"/>
    <n v="0.48399999999999999"/>
    <n v="0.48399999999999999"/>
    <n v="1"/>
    <x v="0"/>
    <n v="0"/>
    <n v="0"/>
    <n v="47"/>
    <n v="90"/>
    <n v="0"/>
    <n v="109.87"/>
    <n v="162.55000000000001"/>
    <m/>
    <n v="119.1090732491806"/>
    <n v="145.74898513432873"/>
    <n v="0"/>
    <n v="53.177080000000004"/>
    <n v="78.674199999999999"/>
    <n v="0"/>
    <n v="57.648791452603405"/>
    <n v="70.542508805015103"/>
  </r>
  <r>
    <s v="Regular"/>
    <x v="4"/>
    <x v="5"/>
    <x v="6"/>
    <x v="6"/>
    <x v="0"/>
    <x v="0"/>
    <x v="2"/>
    <x v="6"/>
    <n v="0"/>
    <n v="0"/>
    <n v="536.19799999999998"/>
    <n v="536.19799999999998"/>
    <n v="536.19799999999998"/>
    <n v="536.19799999999998"/>
    <n v="1169"/>
    <x v="0"/>
    <n v="0"/>
    <n v="0"/>
    <n v="47"/>
    <n v="90"/>
    <n v="0"/>
    <n v="109.87"/>
    <n v="162.55000000000001"/>
    <m/>
    <n v="119.1090732491806"/>
    <n v="145.74898513432873"/>
    <n v="0"/>
    <n v="58912.074260000001"/>
    <n v="87158.984899999996"/>
    <n v="0"/>
    <n v="63866.046858064132"/>
    <n v="78150.314331056798"/>
  </r>
  <r>
    <s v="Refaturamento - Regular"/>
    <x v="4"/>
    <x v="5"/>
    <x v="6"/>
    <x v="6"/>
    <x v="0"/>
    <x v="0"/>
    <x v="2"/>
    <x v="6"/>
    <n v="0"/>
    <n v="0"/>
    <n v="2.2400000000000002"/>
    <n v="2.2400000000000002"/>
    <n v="2.2400000000000002"/>
    <n v="2.2400000000000002"/>
    <n v="0"/>
    <x v="0"/>
    <n v="0"/>
    <n v="0"/>
    <n v="47"/>
    <n v="90"/>
    <n v="0"/>
    <n v="109.87"/>
    <n v="162.55000000000001"/>
    <m/>
    <n v="119.1090732491806"/>
    <n v="145.74898513432873"/>
    <n v="0"/>
    <n v="246.10880000000003"/>
    <n v="364.11200000000008"/>
    <n v="0"/>
    <n v="266.80432407816454"/>
    <n v="326.47772670089637"/>
  </r>
  <r>
    <s v="Regular"/>
    <x v="4"/>
    <x v="5"/>
    <x v="6"/>
    <x v="6"/>
    <x v="0"/>
    <x v="0"/>
    <x v="2"/>
    <x v="7"/>
    <n v="0"/>
    <n v="0"/>
    <n v="635.86900000000003"/>
    <n v="635.86900000000003"/>
    <n v="635.86900000000003"/>
    <n v="635.86900000000003"/>
    <n v="1424"/>
    <x v="0"/>
    <n v="0"/>
    <n v="0"/>
    <n v="47"/>
    <n v="90"/>
    <n v="0"/>
    <n v="109.87"/>
    <n v="162.55000000000001"/>
    <m/>
    <n v="119.1090732491806"/>
    <n v="145.74898513432873"/>
    <n v="0"/>
    <n v="69862.927030000006"/>
    <n v="103360.50595000001"/>
    <n v="0"/>
    <n v="75737.767297883227"/>
    <n v="92677.261428380487"/>
  </r>
  <r>
    <s v="Refaturamento - Regular"/>
    <x v="4"/>
    <x v="5"/>
    <x v="6"/>
    <x v="6"/>
    <x v="0"/>
    <x v="0"/>
    <x v="2"/>
    <x v="7"/>
    <n v="0"/>
    <n v="0"/>
    <n v="5.74"/>
    <n v="5.74"/>
    <n v="5.74"/>
    <n v="5.74"/>
    <n v="0"/>
    <x v="0"/>
    <n v="0"/>
    <n v="0"/>
    <n v="47"/>
    <n v="90"/>
    <n v="0"/>
    <n v="109.87"/>
    <n v="162.55000000000001"/>
    <m/>
    <n v="119.1090732491806"/>
    <n v="145.74898513432873"/>
    <n v="0"/>
    <n v="630.65380000000005"/>
    <n v="933.03700000000015"/>
    <n v="0"/>
    <n v="683.68608045029669"/>
    <n v="836.59917467104697"/>
  </r>
  <r>
    <s v="Regular"/>
    <x v="4"/>
    <x v="5"/>
    <x v="6"/>
    <x v="6"/>
    <x v="0"/>
    <x v="0"/>
    <x v="2"/>
    <x v="8"/>
    <n v="0"/>
    <n v="0"/>
    <n v="683.36500000000001"/>
    <n v="683.36500000000001"/>
    <n v="683.36500000000001"/>
    <n v="683.36500000000001"/>
    <n v="1934"/>
    <x v="0"/>
    <n v="0"/>
    <n v="0"/>
    <n v="47"/>
    <n v="90"/>
    <n v="0"/>
    <n v="109.87"/>
    <n v="162.55000000000001"/>
    <m/>
    <n v="119.1090732491806"/>
    <n v="145.74898513432873"/>
    <n v="0"/>
    <n v="75081.312550000002"/>
    <n v="111080.98075"/>
    <n v="0"/>
    <n v="81394.971840926301"/>
    <n v="99599.755226320558"/>
  </r>
  <r>
    <s v="Refaturamento - Regular"/>
    <x v="4"/>
    <x v="5"/>
    <x v="6"/>
    <x v="6"/>
    <x v="0"/>
    <x v="0"/>
    <x v="2"/>
    <x v="8"/>
    <n v="0"/>
    <n v="0"/>
    <n v="0.49"/>
    <n v="0.49"/>
    <n v="0.49"/>
    <n v="0.49"/>
    <n v="0"/>
    <x v="0"/>
    <n v="0"/>
    <n v="0"/>
    <n v="47"/>
    <n v="90"/>
    <n v="0"/>
    <n v="109.87"/>
    <n v="162.55000000000001"/>
    <m/>
    <n v="119.1090732491806"/>
    <n v="145.74898513432873"/>
    <n v="0"/>
    <n v="53.836300000000001"/>
    <n v="79.649500000000003"/>
    <n v="0"/>
    <n v="58.36344589209849"/>
    <n v="71.417002715821084"/>
  </r>
  <r>
    <s v="Regular"/>
    <x v="4"/>
    <x v="5"/>
    <x v="6"/>
    <x v="6"/>
    <x v="0"/>
    <x v="0"/>
    <x v="2"/>
    <x v="9"/>
    <n v="0"/>
    <n v="0"/>
    <n v="714.41399999999999"/>
    <n v="714.41399999999999"/>
    <n v="714.41399999999999"/>
    <n v="714.41399999999999"/>
    <n v="1862"/>
    <x v="0"/>
    <n v="0"/>
    <n v="0"/>
    <n v="47"/>
    <n v="90"/>
    <n v="0"/>
    <n v="109.87"/>
    <n v="162.55000000000001"/>
    <m/>
    <n v="119.1090732491806"/>
    <n v="145.74898513432873"/>
    <n v="0"/>
    <n v="78492.66618"/>
    <n v="116127.9957"/>
    <n v="0"/>
    <n v="85093.189456240099"/>
    <n v="104125.11546575633"/>
  </r>
  <r>
    <s v="Refaturamento - Regular"/>
    <x v="4"/>
    <x v="5"/>
    <x v="6"/>
    <x v="6"/>
    <x v="0"/>
    <x v="0"/>
    <x v="2"/>
    <x v="9"/>
    <n v="0"/>
    <n v="0"/>
    <n v="0.28000000000000003"/>
    <n v="0.28000000000000003"/>
    <n v="0.28000000000000003"/>
    <n v="0.28000000000000003"/>
    <n v="0"/>
    <x v="0"/>
    <n v="0"/>
    <n v="0"/>
    <n v="47"/>
    <n v="90"/>
    <n v="0"/>
    <n v="109.87"/>
    <n v="162.55000000000001"/>
    <m/>
    <n v="119.1090732491806"/>
    <n v="145.74898513432873"/>
    <n v="0"/>
    <n v="30.763600000000004"/>
    <n v="45.51400000000001"/>
    <n v="0"/>
    <n v="33.350540509770568"/>
    <n v="40.809715837612046"/>
  </r>
  <r>
    <s v="Regular"/>
    <x v="4"/>
    <x v="5"/>
    <x v="6"/>
    <x v="6"/>
    <x v="0"/>
    <x v="0"/>
    <x v="2"/>
    <x v="10"/>
    <n v="0"/>
    <n v="0"/>
    <n v="736.76400000000001"/>
    <n v="736.76400000000001"/>
    <n v="736.76400000000001"/>
    <n v="736.76400000000001"/>
    <n v="1564"/>
    <x v="0"/>
    <n v="0"/>
    <n v="0"/>
    <n v="47"/>
    <n v="90"/>
    <n v="0"/>
    <n v="109.87"/>
    <n v="162.55000000000001"/>
    <m/>
    <n v="119.1090732491806"/>
    <n v="145.74898513432873"/>
    <n v="0"/>
    <n v="80948.260680000007"/>
    <n v="119760.98820000001"/>
    <n v="0"/>
    <n v="87755.277243359291"/>
    <n v="107382.60528350857"/>
  </r>
  <r>
    <s v="Refaturamento - Regular"/>
    <x v="4"/>
    <x v="5"/>
    <x v="6"/>
    <x v="6"/>
    <x v="0"/>
    <x v="0"/>
    <x v="2"/>
    <x v="10"/>
    <n v="0"/>
    <n v="0"/>
    <n v="0.21"/>
    <n v="0.21"/>
    <n v="0.21"/>
    <n v="0.21"/>
    <n v="0"/>
    <x v="0"/>
    <n v="0"/>
    <n v="0"/>
    <n v="47"/>
    <n v="90"/>
    <n v="0"/>
    <n v="109.87"/>
    <n v="162.55000000000001"/>
    <m/>
    <n v="119.1090732491806"/>
    <n v="145.74898513432873"/>
    <n v="0"/>
    <n v="23.072700000000001"/>
    <n v="34.1355"/>
    <n v="0"/>
    <n v="25.012905382327926"/>
    <n v="30.607286878209035"/>
  </r>
  <r>
    <s v="PROJETADO"/>
    <x v="4"/>
    <x v="5"/>
    <x v="6"/>
    <x v="6"/>
    <x v="0"/>
    <x v="0"/>
    <x v="2"/>
    <x v="11"/>
    <n v="0"/>
    <n v="0"/>
    <n v="736.76400000000001"/>
    <n v="736.76400000000001"/>
    <n v="736.76400000000001"/>
    <n v="736.76400000000001"/>
    <n v="1564"/>
    <x v="0"/>
    <n v="0"/>
    <n v="0"/>
    <n v="47"/>
    <n v="90"/>
    <n v="0"/>
    <n v="109.87"/>
    <n v="162.55000000000001"/>
    <m/>
    <n v="119.1090732491806"/>
    <n v="145.74898513432873"/>
    <n v="0"/>
    <n v="80948.260680000007"/>
    <n v="119760.98820000001"/>
    <n v="0"/>
    <n v="87755.277243359291"/>
    <n v="107382.60528350857"/>
  </r>
  <r>
    <s v="PROJETADO"/>
    <x v="4"/>
    <x v="5"/>
    <x v="6"/>
    <x v="6"/>
    <x v="0"/>
    <x v="0"/>
    <x v="2"/>
    <x v="11"/>
    <n v="0"/>
    <n v="0"/>
    <n v="0.21"/>
    <n v="0.21"/>
    <n v="0.21"/>
    <n v="0.21"/>
    <n v="0"/>
    <x v="0"/>
    <n v="0"/>
    <n v="0"/>
    <n v="47"/>
    <n v="90"/>
    <n v="0"/>
    <n v="109.87"/>
    <n v="162.55000000000001"/>
    <m/>
    <n v="119.1090732491806"/>
    <n v="145.74898513432873"/>
    <n v="0"/>
    <n v="23.072700000000001"/>
    <n v="34.1355"/>
    <n v="0"/>
    <n v="25.012905382327926"/>
    <n v="30.607286878209035"/>
  </r>
  <r>
    <s v="Regular"/>
    <x v="4"/>
    <x v="5"/>
    <x v="6"/>
    <x v="7"/>
    <x v="0"/>
    <x v="0"/>
    <x v="2"/>
    <x v="0"/>
    <n v="0"/>
    <n v="0"/>
    <n v="522.31299999999999"/>
    <n v="522.31299999999999"/>
    <n v="522.31299999999999"/>
    <n v="522.31299999999999"/>
    <n v="4784"/>
    <x v="0"/>
    <n v="0"/>
    <n v="0"/>
    <n v="48"/>
    <n v="91"/>
    <n v="0"/>
    <n v="164.81"/>
    <n v="243.83"/>
    <m/>
    <n v="178.66360987377089"/>
    <n v="218.62347770149313"/>
    <n v="0"/>
    <n v="86082.405530000004"/>
    <n v="127355.57879"/>
    <n v="0"/>
    <n v="93318.326063998902"/>
    <n v="114189.88450869998"/>
  </r>
  <r>
    <s v="Refaturamento - Regular"/>
    <x v="4"/>
    <x v="5"/>
    <x v="6"/>
    <x v="7"/>
    <x v="0"/>
    <x v="0"/>
    <x v="2"/>
    <x v="0"/>
    <n v="0"/>
    <n v="0"/>
    <n v="0.16200000000000001"/>
    <n v="0.16200000000000001"/>
    <n v="0.16200000000000001"/>
    <n v="0.16200000000000001"/>
    <n v="1"/>
    <x v="0"/>
    <n v="0"/>
    <n v="0"/>
    <n v="48"/>
    <n v="91"/>
    <n v="0"/>
    <n v="164.81"/>
    <n v="243.83"/>
    <m/>
    <n v="178.66360987377089"/>
    <n v="218.62347770149313"/>
    <n v="0"/>
    <n v="26.69922"/>
    <n v="39.500460000000004"/>
    <n v="0"/>
    <n v="28.943504799550887"/>
    <n v="35.417003387641891"/>
  </r>
  <r>
    <s v="Regular"/>
    <x v="4"/>
    <x v="5"/>
    <x v="6"/>
    <x v="7"/>
    <x v="0"/>
    <x v="0"/>
    <x v="2"/>
    <x v="1"/>
    <n v="0"/>
    <n v="0"/>
    <n v="591.92100000000005"/>
    <n v="591.92100000000005"/>
    <n v="591.92100000000005"/>
    <n v="591.92100000000005"/>
    <n v="4780"/>
    <x v="0"/>
    <n v="0"/>
    <n v="0"/>
    <n v="48"/>
    <n v="91"/>
    <n v="0"/>
    <n v="164.81"/>
    <n v="243.83"/>
    <m/>
    <n v="178.66360987377089"/>
    <n v="218.62347770149313"/>
    <n v="0"/>
    <n v="97554.500010000003"/>
    <n v="144328.09743000002"/>
    <n v="0"/>
    <n v="105754.74262009235"/>
    <n v="129407.82754454552"/>
  </r>
  <r>
    <s v="Refaturamento - Regular"/>
    <x v="4"/>
    <x v="5"/>
    <x v="6"/>
    <x v="7"/>
    <x v="0"/>
    <x v="0"/>
    <x v="2"/>
    <x v="1"/>
    <n v="0"/>
    <n v="0"/>
    <n v="0.36899999999999999"/>
    <n v="0.36899999999999999"/>
    <n v="0.36899999999999999"/>
    <n v="0.36899999999999999"/>
    <n v="0"/>
    <x v="0"/>
    <n v="0"/>
    <n v="0"/>
    <n v="48"/>
    <n v="91"/>
    <n v="0"/>
    <n v="164.81"/>
    <n v="243.83"/>
    <m/>
    <n v="178.66360987377089"/>
    <n v="218.62347770149313"/>
    <n v="0"/>
    <n v="60.814889999999998"/>
    <n v="89.973269999999999"/>
    <n v="0"/>
    <n v="65.926872043421454"/>
    <n v="80.672063271850959"/>
  </r>
  <r>
    <s v="Regular"/>
    <x v="4"/>
    <x v="5"/>
    <x v="6"/>
    <x v="7"/>
    <x v="0"/>
    <x v="0"/>
    <x v="2"/>
    <x v="2"/>
    <n v="0"/>
    <n v="0"/>
    <n v="497.43099999999998"/>
    <n v="497.43099999999998"/>
    <n v="497.43099999999998"/>
    <n v="497.43099999999998"/>
    <n v="5077"/>
    <x v="0"/>
    <n v="0"/>
    <n v="0"/>
    <n v="48"/>
    <n v="91"/>
    <n v="0"/>
    <n v="164.81"/>
    <n v="243.83"/>
    <m/>
    <n v="178.66360987377089"/>
    <n v="218.62347770149313"/>
    <n v="0"/>
    <n v="81981.603109999996"/>
    <n v="121288.60073000001"/>
    <n v="0"/>
    <n v="88872.818123119723"/>
    <n v="108750.09513653142"/>
  </r>
  <r>
    <s v="Refaturamento - Regular"/>
    <x v="4"/>
    <x v="5"/>
    <x v="6"/>
    <x v="7"/>
    <x v="0"/>
    <x v="0"/>
    <x v="2"/>
    <x v="2"/>
    <n v="0"/>
    <n v="0"/>
    <n v="0.13"/>
    <n v="0.13"/>
    <n v="0.13"/>
    <n v="0.13"/>
    <n v="1"/>
    <x v="0"/>
    <n v="0"/>
    <n v="0"/>
    <n v="48"/>
    <n v="91"/>
    <n v="0"/>
    <n v="164.81"/>
    <n v="243.83"/>
    <m/>
    <n v="178.66360987377089"/>
    <n v="218.62347770149313"/>
    <n v="0"/>
    <n v="21.4253"/>
    <n v="31.697900000000004"/>
    <n v="0"/>
    <n v="23.226269283590216"/>
    <n v="28.421052101194107"/>
  </r>
  <r>
    <s v="Regular"/>
    <x v="4"/>
    <x v="5"/>
    <x v="6"/>
    <x v="7"/>
    <x v="0"/>
    <x v="0"/>
    <x v="2"/>
    <x v="3"/>
    <n v="0"/>
    <n v="0"/>
    <n v="572.14"/>
    <n v="572.14"/>
    <n v="572.14"/>
    <n v="572.14"/>
    <n v="4787"/>
    <x v="0"/>
    <n v="0"/>
    <n v="0"/>
    <n v="48"/>
    <n v="91"/>
    <n v="0"/>
    <n v="164.81"/>
    <n v="243.83"/>
    <m/>
    <n v="178.66360987377089"/>
    <n v="218.62347770149313"/>
    <n v="0"/>
    <n v="94294.393400000001"/>
    <n v="139504.89620000002"/>
    <n v="0"/>
    <n v="102220.59775317927"/>
    <n v="125083.23653213227"/>
  </r>
  <r>
    <s v="Refaturamento - Regular"/>
    <x v="4"/>
    <x v="5"/>
    <x v="6"/>
    <x v="7"/>
    <x v="0"/>
    <x v="0"/>
    <x v="2"/>
    <x v="3"/>
    <n v="0"/>
    <n v="0"/>
    <n v="0.47199999999999998"/>
    <n v="0.47199999999999998"/>
    <n v="0.47199999999999998"/>
    <n v="0.47199999999999998"/>
    <n v="1"/>
    <x v="0"/>
    <n v="0"/>
    <n v="0"/>
    <n v="48"/>
    <n v="91"/>
    <n v="0"/>
    <n v="164.81"/>
    <n v="243.83"/>
    <m/>
    <n v="178.66360987377089"/>
    <n v="218.62347770149313"/>
    <n v="0"/>
    <n v="77.790319999999994"/>
    <n v="115.08776"/>
    <n v="0"/>
    <n v="84.329223860419859"/>
    <n v="103.19028147510475"/>
  </r>
  <r>
    <s v="Regular"/>
    <x v="4"/>
    <x v="5"/>
    <x v="6"/>
    <x v="7"/>
    <x v="0"/>
    <x v="0"/>
    <x v="2"/>
    <x v="4"/>
    <n v="0"/>
    <n v="0"/>
    <n v="504.05099999999999"/>
    <n v="504.05099999999999"/>
    <n v="504.05099999999999"/>
    <n v="504.05099999999999"/>
    <n v="5056"/>
    <x v="0"/>
    <n v="0"/>
    <n v="0"/>
    <n v="48"/>
    <n v="91"/>
    <n v="0"/>
    <n v="164.81"/>
    <n v="243.83"/>
    <m/>
    <n v="178.66360987377089"/>
    <n v="218.62347770149313"/>
    <n v="0"/>
    <n v="83072.645309999993"/>
    <n v="122902.75533"/>
    <n v="0"/>
    <n v="90055.571220484097"/>
    <n v="110197.38255891531"/>
  </r>
  <r>
    <s v="Regular"/>
    <x v="4"/>
    <x v="5"/>
    <x v="6"/>
    <x v="7"/>
    <x v="0"/>
    <x v="0"/>
    <x v="2"/>
    <x v="5"/>
    <n v="0"/>
    <n v="0"/>
    <n v="494.346"/>
    <n v="494.346"/>
    <n v="494.346"/>
    <n v="494.346"/>
    <n v="4739"/>
    <x v="0"/>
    <n v="0"/>
    <n v="0"/>
    <n v="48"/>
    <n v="91"/>
    <n v="0"/>
    <n v="164.81"/>
    <n v="243.83"/>
    <m/>
    <n v="178.66360987377089"/>
    <n v="218.62347770149313"/>
    <n v="0"/>
    <n v="81473.164260000005"/>
    <n v="120536.38518000001"/>
    <n v="0"/>
    <n v="88321.640886659152"/>
    <n v="108075.64170782232"/>
  </r>
  <r>
    <s v="Refaturamento - Regular"/>
    <x v="4"/>
    <x v="5"/>
    <x v="6"/>
    <x v="7"/>
    <x v="0"/>
    <x v="0"/>
    <x v="2"/>
    <x v="5"/>
    <n v="0"/>
    <n v="0"/>
    <n v="0.503"/>
    <n v="0.503"/>
    <n v="0.503"/>
    <n v="0.503"/>
    <n v="1"/>
    <x v="0"/>
    <n v="0"/>
    <n v="0"/>
    <n v="48"/>
    <n v="91"/>
    <n v="0"/>
    <n v="164.81"/>
    <n v="243.83"/>
    <m/>
    <n v="178.66360987377089"/>
    <n v="218.62347770149313"/>
    <n v="0"/>
    <n v="82.899429999999995"/>
    <n v="122.64649"/>
    <n v="0"/>
    <n v="89.867795766506759"/>
    <n v="109.96760928385105"/>
  </r>
  <r>
    <s v="Regular"/>
    <x v="4"/>
    <x v="5"/>
    <x v="6"/>
    <x v="7"/>
    <x v="0"/>
    <x v="0"/>
    <x v="2"/>
    <x v="6"/>
    <n v="0"/>
    <n v="0"/>
    <n v="559.23"/>
    <n v="559.23"/>
    <n v="559.23"/>
    <n v="559.23"/>
    <n v="4441"/>
    <x v="0"/>
    <n v="0"/>
    <n v="0"/>
    <n v="48"/>
    <n v="91"/>
    <n v="0"/>
    <n v="164.81"/>
    <n v="243.83"/>
    <m/>
    <n v="178.66360987377089"/>
    <n v="218.62347770149313"/>
    <n v="0"/>
    <n v="92166.696300000011"/>
    <n v="136357.0509"/>
    <n v="0"/>
    <n v="99914.050549708903"/>
    <n v="122260.80743500601"/>
  </r>
  <r>
    <s v="Refaturamento - Regular"/>
    <x v="4"/>
    <x v="5"/>
    <x v="6"/>
    <x v="7"/>
    <x v="0"/>
    <x v="0"/>
    <x v="2"/>
    <x v="6"/>
    <n v="0"/>
    <n v="0"/>
    <n v="3.6040000000000001"/>
    <n v="3.6040000000000001"/>
    <n v="3.6040000000000001"/>
    <n v="3.6040000000000001"/>
    <n v="2"/>
    <x v="0"/>
    <n v="0"/>
    <n v="0"/>
    <n v="48"/>
    <n v="91"/>
    <n v="0"/>
    <n v="164.81"/>
    <n v="243.83"/>
    <m/>
    <n v="178.66360987377089"/>
    <n v="218.62347770149313"/>
    <n v="0"/>
    <n v="593.97523999999999"/>
    <n v="878.76332000000002"/>
    <n v="0"/>
    <n v="643.90364998507027"/>
    <n v="787.91901363618126"/>
  </r>
  <r>
    <s v="Regular"/>
    <x v="4"/>
    <x v="5"/>
    <x v="6"/>
    <x v="7"/>
    <x v="0"/>
    <x v="0"/>
    <x v="2"/>
    <x v="7"/>
    <n v="0"/>
    <n v="0"/>
    <n v="650.62800000000004"/>
    <n v="650.62800000000004"/>
    <n v="650.62800000000004"/>
    <n v="650.62800000000004"/>
    <n v="5488"/>
    <x v="0"/>
    <n v="0"/>
    <n v="0"/>
    <n v="48"/>
    <n v="91"/>
    <n v="0"/>
    <n v="164.81"/>
    <n v="243.83"/>
    <m/>
    <n v="178.66360987377089"/>
    <n v="218.62347770149313"/>
    <n v="0"/>
    <n v="107230.00068000001"/>
    <n v="158642.62524000002"/>
    <n v="0"/>
    <n v="116243.54716495181"/>
    <n v="142242.55604996707"/>
  </r>
  <r>
    <s v="Refaturamento - Regular"/>
    <x v="4"/>
    <x v="5"/>
    <x v="6"/>
    <x v="7"/>
    <x v="0"/>
    <x v="0"/>
    <x v="2"/>
    <x v="7"/>
    <n v="0"/>
    <n v="0"/>
    <n v="9.8010000000000002"/>
    <n v="9.8010000000000002"/>
    <n v="9.8010000000000002"/>
    <n v="9.8010000000000002"/>
    <n v="0"/>
    <x v="0"/>
    <n v="0"/>
    <n v="0"/>
    <n v="48"/>
    <n v="91"/>
    <n v="0"/>
    <n v="164.81"/>
    <n v="243.83"/>
    <m/>
    <n v="178.66360987377089"/>
    <n v="218.62347770149313"/>
    <n v="0"/>
    <n v="1615.3028100000001"/>
    <n v="2389.77783"/>
    <n v="0"/>
    <n v="1751.0820403728285"/>
    <n v="2142.7287049523343"/>
  </r>
  <r>
    <s v="Regular"/>
    <x v="4"/>
    <x v="5"/>
    <x v="6"/>
    <x v="7"/>
    <x v="0"/>
    <x v="0"/>
    <x v="2"/>
    <x v="8"/>
    <n v="0"/>
    <n v="0"/>
    <n v="631.74699999999996"/>
    <n v="631.74699999999996"/>
    <n v="631.74699999999996"/>
    <n v="631.74699999999996"/>
    <n v="6146"/>
    <x v="0"/>
    <n v="0"/>
    <n v="0"/>
    <n v="48"/>
    <n v="91"/>
    <n v="0"/>
    <n v="164.81"/>
    <n v="243.83"/>
    <m/>
    <n v="178.66360987377089"/>
    <n v="218.62347770149313"/>
    <n v="0"/>
    <n v="104118.22306999999"/>
    <n v="154038.87101"/>
    <n v="0"/>
    <n v="112870.19954692513"/>
    <n v="138114.72616748518"/>
  </r>
  <r>
    <s v="Refaturamento - Regular"/>
    <x v="4"/>
    <x v="5"/>
    <x v="6"/>
    <x v="7"/>
    <x v="0"/>
    <x v="0"/>
    <x v="2"/>
    <x v="8"/>
    <n v="0"/>
    <n v="0"/>
    <n v="0.84"/>
    <n v="0.84"/>
    <n v="0.84"/>
    <n v="0.84"/>
    <n v="0"/>
    <x v="0"/>
    <n v="0"/>
    <n v="0"/>
    <n v="48"/>
    <n v="91"/>
    <n v="0"/>
    <n v="164.81"/>
    <n v="243.83"/>
    <m/>
    <n v="178.66360987377089"/>
    <n v="218.62347770149313"/>
    <n v="0"/>
    <n v="138.44039999999998"/>
    <n v="204.81720000000001"/>
    <n v="0"/>
    <n v="150.07743229396755"/>
    <n v="183.64372126925423"/>
  </r>
  <r>
    <s v="Regular"/>
    <x v="4"/>
    <x v="5"/>
    <x v="6"/>
    <x v="7"/>
    <x v="0"/>
    <x v="0"/>
    <x v="2"/>
    <x v="9"/>
    <n v="0"/>
    <n v="0"/>
    <n v="691.83699999999999"/>
    <n v="691.83699999999999"/>
    <n v="691.83699999999999"/>
    <n v="691.83699999999999"/>
    <n v="6209"/>
    <x v="0"/>
    <n v="0"/>
    <n v="0"/>
    <n v="48"/>
    <n v="91"/>
    <n v="0"/>
    <n v="164.81"/>
    <n v="243.83"/>
    <m/>
    <n v="178.66360987377089"/>
    <n v="218.62347770149313"/>
    <n v="0"/>
    <n v="114021.65596999999"/>
    <n v="168690.61571000001"/>
    <n v="0"/>
    <n v="123606.09586424004"/>
    <n v="151251.81094256791"/>
  </r>
  <r>
    <s v="Refaturamento - Regular"/>
    <x v="4"/>
    <x v="5"/>
    <x v="6"/>
    <x v="7"/>
    <x v="0"/>
    <x v="0"/>
    <x v="2"/>
    <x v="9"/>
    <n v="0"/>
    <n v="0"/>
    <n v="0.48"/>
    <n v="0.48"/>
    <n v="0.48"/>
    <n v="0.48"/>
    <n v="0"/>
    <x v="0"/>
    <n v="0"/>
    <n v="0"/>
    <n v="48"/>
    <n v="91"/>
    <n v="0"/>
    <n v="164.81"/>
    <n v="243.83"/>
    <m/>
    <n v="178.66360987377089"/>
    <n v="218.62347770149313"/>
    <n v="0"/>
    <n v="79.108800000000002"/>
    <n v="117.0384"/>
    <n v="0"/>
    <n v="85.758532739410029"/>
    <n v="104.9392692967167"/>
  </r>
  <r>
    <s v="Regular"/>
    <x v="4"/>
    <x v="5"/>
    <x v="6"/>
    <x v="7"/>
    <x v="0"/>
    <x v="0"/>
    <x v="2"/>
    <x v="10"/>
    <n v="0"/>
    <n v="0"/>
    <n v="781.39599999999996"/>
    <n v="781.39599999999996"/>
    <n v="781.39599999999996"/>
    <n v="781.39599999999996"/>
    <n v="6036"/>
    <x v="0"/>
    <n v="0"/>
    <n v="0"/>
    <n v="48"/>
    <n v="91"/>
    <n v="0"/>
    <n v="164.81"/>
    <n v="243.83"/>
    <m/>
    <n v="178.66360987377089"/>
    <n v="218.62347770149313"/>
    <n v="0"/>
    <n v="128781.87475999999"/>
    <n v="190527.78667999999"/>
    <n v="0"/>
    <n v="139607.03010092507"/>
    <n v="170831.51098203592"/>
  </r>
  <r>
    <s v="Refaturamento - Regular"/>
    <x v="4"/>
    <x v="5"/>
    <x v="6"/>
    <x v="7"/>
    <x v="0"/>
    <x v="0"/>
    <x v="2"/>
    <x v="10"/>
    <n v="0"/>
    <n v="0"/>
    <n v="0.28199999999999997"/>
    <n v="0.28199999999999997"/>
    <n v="0.28199999999999997"/>
    <n v="0.28199999999999997"/>
    <n v="2"/>
    <x v="0"/>
    <n v="0"/>
    <n v="0"/>
    <n v="48"/>
    <n v="91"/>
    <n v="0"/>
    <n v="164.81"/>
    <n v="243.83"/>
    <m/>
    <n v="178.66360987377089"/>
    <n v="218.62347770149313"/>
    <n v="0"/>
    <n v="46.476419999999997"/>
    <n v="68.760059999999996"/>
    <n v="0"/>
    <n v="50.38313798440339"/>
    <n v="61.65182071182106"/>
  </r>
  <r>
    <s v="PROJETADO"/>
    <x v="4"/>
    <x v="5"/>
    <x v="6"/>
    <x v="7"/>
    <x v="0"/>
    <x v="0"/>
    <x v="2"/>
    <x v="11"/>
    <n v="0"/>
    <n v="0"/>
    <n v="781.39599999999996"/>
    <n v="781.39599999999996"/>
    <n v="781.39599999999996"/>
    <n v="781.39599999999996"/>
    <n v="6036"/>
    <x v="0"/>
    <n v="0"/>
    <n v="0"/>
    <n v="48"/>
    <n v="91"/>
    <n v="0"/>
    <n v="164.81"/>
    <n v="243.83"/>
    <m/>
    <n v="178.66360987377089"/>
    <n v="218.62347770149313"/>
    <n v="0"/>
    <n v="128781.87475999999"/>
    <n v="190527.78667999999"/>
    <n v="0"/>
    <n v="139607.03010092507"/>
    <n v="170831.51098203592"/>
  </r>
  <r>
    <s v="PROJETADO"/>
    <x v="4"/>
    <x v="5"/>
    <x v="6"/>
    <x v="7"/>
    <x v="0"/>
    <x v="0"/>
    <x v="2"/>
    <x v="11"/>
    <n v="0"/>
    <n v="0"/>
    <n v="0.28199999999999997"/>
    <n v="0.28199999999999997"/>
    <n v="0.28199999999999997"/>
    <n v="0.28199999999999997"/>
    <n v="2"/>
    <x v="0"/>
    <n v="0"/>
    <n v="0"/>
    <n v="48"/>
    <n v="91"/>
    <n v="0"/>
    <n v="164.81"/>
    <n v="243.83"/>
    <m/>
    <n v="178.66360987377089"/>
    <n v="218.62347770149313"/>
    <n v="0"/>
    <n v="46.476419999999997"/>
    <n v="68.760059999999996"/>
    <n v="0"/>
    <n v="50.38313798440339"/>
    <n v="61.65182071182106"/>
  </r>
  <r>
    <s v="Regular"/>
    <x v="4"/>
    <x v="5"/>
    <x v="6"/>
    <x v="8"/>
    <x v="0"/>
    <x v="0"/>
    <x v="2"/>
    <x v="0"/>
    <n v="0"/>
    <n v="0"/>
    <n v="187.739"/>
    <n v="187.739"/>
    <n v="187.739"/>
    <n v="187.739"/>
    <n v="2112"/>
    <x v="0"/>
    <n v="0"/>
    <n v="0"/>
    <n v="49"/>
    <n v="92"/>
    <n v="0"/>
    <n v="183.12"/>
    <n v="270.92"/>
    <m/>
    <n v="198.51512208196766"/>
    <n v="242.91497522388124"/>
    <n v="0"/>
    <n v="34378.765680000004"/>
    <n v="50862.249880000003"/>
    <n v="0"/>
    <n v="37269.030504546528"/>
    <n v="45604.61453355624"/>
  </r>
  <r>
    <s v="Refaturamento - Regular"/>
    <x v="4"/>
    <x v="5"/>
    <x v="6"/>
    <x v="8"/>
    <x v="0"/>
    <x v="0"/>
    <x v="2"/>
    <x v="0"/>
    <n v="0"/>
    <n v="0"/>
    <n v="0.14699999999999999"/>
    <n v="0.14699999999999999"/>
    <n v="0.14699999999999999"/>
    <n v="0.14699999999999999"/>
    <n v="1"/>
    <x v="0"/>
    <n v="0"/>
    <n v="0"/>
    <n v="49"/>
    <n v="92"/>
    <n v="0"/>
    <n v="183.12"/>
    <n v="270.92"/>
    <m/>
    <n v="198.51512208196766"/>
    <n v="242.91497522388124"/>
    <n v="0"/>
    <n v="26.91864"/>
    <n v="39.825240000000001"/>
    <n v="0"/>
    <n v="29.181722946049245"/>
    <n v="35.708501357910542"/>
  </r>
  <r>
    <s v="Regular"/>
    <x v="4"/>
    <x v="5"/>
    <x v="6"/>
    <x v="8"/>
    <x v="0"/>
    <x v="0"/>
    <x v="2"/>
    <x v="1"/>
    <n v="0"/>
    <n v="0"/>
    <n v="236.78100000000001"/>
    <n v="236.78100000000001"/>
    <n v="236.78100000000001"/>
    <n v="236.78100000000001"/>
    <n v="2599"/>
    <x v="0"/>
    <n v="0"/>
    <n v="0"/>
    <n v="49"/>
    <n v="92"/>
    <n v="0"/>
    <n v="183.12"/>
    <n v="270.92"/>
    <m/>
    <n v="198.51512208196766"/>
    <n v="242.91497522388124"/>
    <n v="0"/>
    <n v="43359.336719999999"/>
    <n v="64148.708520000007"/>
    <n v="0"/>
    <n v="47004.609121690388"/>
    <n v="57517.650748485823"/>
  </r>
  <r>
    <s v="Refaturamento - Regular"/>
    <x v="4"/>
    <x v="5"/>
    <x v="6"/>
    <x v="8"/>
    <x v="0"/>
    <x v="0"/>
    <x v="2"/>
    <x v="1"/>
    <n v="0"/>
    <n v="0"/>
    <n v="0.13300000000000001"/>
    <n v="0.13300000000000001"/>
    <n v="0.13300000000000001"/>
    <n v="0.13300000000000001"/>
    <n v="1"/>
    <x v="0"/>
    <n v="0"/>
    <n v="0"/>
    <n v="49"/>
    <n v="92"/>
    <n v="0"/>
    <n v="183.12"/>
    <n v="270.92"/>
    <m/>
    <n v="198.51512208196766"/>
    <n v="242.91497522388124"/>
    <n v="0"/>
    <n v="24.354960000000002"/>
    <n v="36.032360000000004"/>
    <n v="0"/>
    <n v="26.402511236901699"/>
    <n v="32.307691704776204"/>
  </r>
  <r>
    <s v="Regular"/>
    <x v="4"/>
    <x v="5"/>
    <x v="6"/>
    <x v="8"/>
    <x v="0"/>
    <x v="0"/>
    <x v="2"/>
    <x v="2"/>
    <n v="0"/>
    <n v="0"/>
    <n v="149.327"/>
    <n v="149.327"/>
    <n v="149.327"/>
    <n v="149.327"/>
    <n v="1858"/>
    <x v="0"/>
    <n v="0"/>
    <n v="0"/>
    <n v="49"/>
    <n v="92"/>
    <n v="0"/>
    <n v="183.12"/>
    <n v="270.92"/>
    <m/>
    <n v="198.51512208196766"/>
    <n v="242.91497522388124"/>
    <n v="0"/>
    <n v="27344.76024"/>
    <n v="40455.670839999999"/>
    <n v="0"/>
    <n v="29643.667635133985"/>
    <n v="36273.764505256513"/>
  </r>
  <r>
    <s v="Regular"/>
    <x v="4"/>
    <x v="5"/>
    <x v="6"/>
    <x v="8"/>
    <x v="0"/>
    <x v="0"/>
    <x v="2"/>
    <x v="3"/>
    <n v="0"/>
    <n v="0"/>
    <n v="219.71600000000001"/>
    <n v="219.71600000000001"/>
    <n v="219.71600000000001"/>
    <n v="219.71600000000001"/>
    <n v="2483"/>
    <x v="0"/>
    <n v="0"/>
    <n v="0"/>
    <n v="49"/>
    <n v="92"/>
    <n v="0"/>
    <n v="183.12"/>
    <n v="270.92"/>
    <m/>
    <n v="198.51512208196766"/>
    <n v="242.91497522388124"/>
    <n v="0"/>
    <n v="40234.393920000002"/>
    <n v="59525.458720000002"/>
    <n v="0"/>
    <n v="43616.948563361606"/>
    <n v="53372.306696290296"/>
  </r>
  <r>
    <s v="Refaturamento - Regular"/>
    <x v="4"/>
    <x v="5"/>
    <x v="6"/>
    <x v="8"/>
    <x v="0"/>
    <x v="0"/>
    <x v="2"/>
    <x v="3"/>
    <n v="0"/>
    <n v="0"/>
    <n v="0.161"/>
    <n v="0.161"/>
    <n v="0.161"/>
    <n v="0.161"/>
    <n v="2"/>
    <x v="0"/>
    <n v="0"/>
    <n v="0"/>
    <n v="49"/>
    <n v="92"/>
    <n v="0"/>
    <n v="183.12"/>
    <n v="270.92"/>
    <m/>
    <n v="198.51512208196766"/>
    <n v="242.91497522388124"/>
    <n v="0"/>
    <n v="29.482320000000001"/>
    <n v="43.618120000000005"/>
    <n v="0"/>
    <n v="31.960934655196795"/>
    <n v="39.109311011044881"/>
  </r>
  <r>
    <s v="Regular"/>
    <x v="4"/>
    <x v="5"/>
    <x v="6"/>
    <x v="8"/>
    <x v="0"/>
    <x v="0"/>
    <x v="2"/>
    <x v="4"/>
    <n v="0"/>
    <n v="0"/>
    <n v="154.23699999999999"/>
    <n v="154.23699999999999"/>
    <n v="154.23699999999999"/>
    <n v="154.23699999999999"/>
    <n v="1911"/>
    <x v="0"/>
    <n v="0"/>
    <n v="0"/>
    <n v="49"/>
    <n v="92"/>
    <n v="0"/>
    <n v="183.12"/>
    <n v="270.92"/>
    <m/>
    <n v="198.51512208196766"/>
    <n v="242.91497522388124"/>
    <n v="0"/>
    <n v="28243.879440000001"/>
    <n v="41785.888039999998"/>
    <n v="0"/>
    <n v="30618.376884556445"/>
    <n v="37466.47703360577"/>
  </r>
  <r>
    <s v="Regular"/>
    <x v="4"/>
    <x v="5"/>
    <x v="6"/>
    <x v="8"/>
    <x v="0"/>
    <x v="0"/>
    <x v="2"/>
    <x v="5"/>
    <n v="0"/>
    <n v="0"/>
    <n v="163.06700000000001"/>
    <n v="163.06700000000001"/>
    <n v="163.06700000000001"/>
    <n v="163.06700000000001"/>
    <n v="1921"/>
    <x v="0"/>
    <n v="0"/>
    <n v="0"/>
    <n v="49"/>
    <n v="92"/>
    <n v="0"/>
    <n v="183.12"/>
    <n v="270.92"/>
    <m/>
    <n v="198.51512208196766"/>
    <n v="242.91497522388124"/>
    <n v="0"/>
    <n v="29860.829040000001"/>
    <n v="44178.111640000003"/>
    <n v="0"/>
    <n v="32371.265412540222"/>
    <n v="39611.416264832646"/>
  </r>
  <r>
    <s v="Refaturamento - Regular"/>
    <x v="4"/>
    <x v="5"/>
    <x v="6"/>
    <x v="8"/>
    <x v="0"/>
    <x v="0"/>
    <x v="2"/>
    <x v="5"/>
    <n v="0"/>
    <n v="0"/>
    <n v="0.218"/>
    <n v="0.218"/>
    <n v="0.218"/>
    <n v="0.218"/>
    <n v="2"/>
    <x v="0"/>
    <n v="0"/>
    <n v="0"/>
    <n v="49"/>
    <n v="92"/>
    <n v="0"/>
    <n v="183.12"/>
    <n v="270.92"/>
    <m/>
    <n v="198.51512208196766"/>
    <n v="242.91497522388124"/>
    <n v="0"/>
    <n v="39.920160000000003"/>
    <n v="59.060560000000002"/>
    <n v="0"/>
    <n v="43.276296613868951"/>
    <n v="52.95546459880611"/>
  </r>
  <r>
    <s v="Regular"/>
    <x v="4"/>
    <x v="5"/>
    <x v="6"/>
    <x v="8"/>
    <x v="0"/>
    <x v="0"/>
    <x v="2"/>
    <x v="6"/>
    <n v="0"/>
    <n v="0"/>
    <n v="226.65199999999999"/>
    <n v="226.65199999999999"/>
    <n v="226.65199999999999"/>
    <n v="226.65199999999999"/>
    <n v="2463"/>
    <x v="0"/>
    <n v="0"/>
    <n v="0"/>
    <n v="49"/>
    <n v="92"/>
    <n v="0"/>
    <n v="183.12"/>
    <n v="270.92"/>
    <m/>
    <n v="198.51512208196766"/>
    <n v="242.91497522388124"/>
    <n v="0"/>
    <n v="41504.514239999997"/>
    <n v="61404.559840000002"/>
    <n v="0"/>
    <n v="44993.849450122128"/>
    <n v="55057.164964443131"/>
  </r>
  <r>
    <s v="Refaturamento - Regular"/>
    <x v="4"/>
    <x v="5"/>
    <x v="6"/>
    <x v="8"/>
    <x v="0"/>
    <x v="0"/>
    <x v="2"/>
    <x v="6"/>
    <n v="0"/>
    <n v="0"/>
    <n v="1.794"/>
    <n v="1.794"/>
    <n v="1.794"/>
    <n v="1.794"/>
    <n v="29"/>
    <x v="0"/>
    <n v="0"/>
    <n v="0"/>
    <n v="49"/>
    <n v="92"/>
    <n v="0"/>
    <n v="183.12"/>
    <n v="270.92"/>
    <m/>
    <n v="198.51512208196766"/>
    <n v="242.91497522388124"/>
    <n v="0"/>
    <n v="328.51728000000003"/>
    <n v="486.03048000000001"/>
    <n v="0"/>
    <n v="356.13612901505002"/>
    <n v="435.78946555164293"/>
  </r>
  <r>
    <s v="Regular"/>
    <x v="4"/>
    <x v="5"/>
    <x v="6"/>
    <x v="8"/>
    <x v="0"/>
    <x v="0"/>
    <x v="2"/>
    <x v="7"/>
    <n v="0"/>
    <n v="0"/>
    <n v="233.749"/>
    <n v="233.749"/>
    <n v="233.749"/>
    <n v="233.749"/>
    <n v="2857"/>
    <x v="0"/>
    <n v="0"/>
    <n v="0"/>
    <n v="49"/>
    <n v="92"/>
    <n v="0"/>
    <n v="183.12"/>
    <n v="270.92"/>
    <m/>
    <n v="198.51512208196766"/>
    <n v="242.91497522388124"/>
    <n v="0"/>
    <n v="42804.116880000001"/>
    <n v="63327.27908"/>
    <n v="0"/>
    <n v="46402.711271537861"/>
    <n v="56781.132543607018"/>
  </r>
  <r>
    <s v="Refaturamento - Regular"/>
    <x v="4"/>
    <x v="5"/>
    <x v="6"/>
    <x v="8"/>
    <x v="0"/>
    <x v="0"/>
    <x v="2"/>
    <x v="7"/>
    <n v="0"/>
    <n v="0"/>
    <n v="6.8559999999999999"/>
    <n v="6.8559999999999999"/>
    <n v="6.8559999999999999"/>
    <n v="6.8559999999999999"/>
    <n v="4"/>
    <x v="0"/>
    <n v="0"/>
    <n v="0"/>
    <n v="49"/>
    <n v="92"/>
    <n v="0"/>
    <n v="183.12"/>
    <n v="270.92"/>
    <m/>
    <n v="198.51512208196766"/>
    <n v="242.91497522388124"/>
    <n v="0"/>
    <n v="1255.47072"/>
    <n v="1857.4275200000002"/>
    <n v="0"/>
    <n v="1361.0196769939703"/>
    <n v="1665.4250701349297"/>
  </r>
  <r>
    <s v="Regular"/>
    <x v="4"/>
    <x v="5"/>
    <x v="6"/>
    <x v="8"/>
    <x v="0"/>
    <x v="0"/>
    <x v="2"/>
    <x v="8"/>
    <n v="0"/>
    <n v="0"/>
    <n v="181.435"/>
    <n v="181.435"/>
    <n v="181.435"/>
    <n v="181.435"/>
    <n v="2393"/>
    <x v="0"/>
    <n v="0"/>
    <n v="0"/>
    <n v="49"/>
    <n v="92"/>
    <n v="0"/>
    <n v="183.12"/>
    <n v="270.92"/>
    <m/>
    <n v="198.51512208196766"/>
    <n v="242.91497522388124"/>
    <n v="0"/>
    <n v="33224.377200000003"/>
    <n v="49154.370200000005"/>
    <n v="0"/>
    <n v="36017.591174941801"/>
    <n v="44073.278529744894"/>
  </r>
  <r>
    <s v="Refaturamento - Regular"/>
    <x v="4"/>
    <x v="5"/>
    <x v="6"/>
    <x v="8"/>
    <x v="0"/>
    <x v="0"/>
    <x v="2"/>
    <x v="8"/>
    <n v="0"/>
    <n v="0"/>
    <n v="0.34"/>
    <n v="0.34"/>
    <n v="0.34"/>
    <n v="0.34"/>
    <n v="1"/>
    <x v="0"/>
    <n v="0"/>
    <n v="0"/>
    <n v="49"/>
    <n v="92"/>
    <n v="0"/>
    <n v="183.12"/>
    <n v="270.92"/>
    <m/>
    <n v="198.51512208196766"/>
    <n v="242.91497522388124"/>
    <n v="0"/>
    <n v="62.260800000000003"/>
    <n v="92.112800000000007"/>
    <n v="0"/>
    <n v="67.495141507869008"/>
    <n v="82.591091576119624"/>
  </r>
  <r>
    <s v="Regular"/>
    <x v="4"/>
    <x v="5"/>
    <x v="6"/>
    <x v="8"/>
    <x v="0"/>
    <x v="0"/>
    <x v="2"/>
    <x v="9"/>
    <n v="0"/>
    <n v="0"/>
    <n v="223.99600000000001"/>
    <n v="223.99600000000001"/>
    <n v="223.99600000000001"/>
    <n v="223.99600000000001"/>
    <n v="2785"/>
    <x v="0"/>
    <n v="0"/>
    <n v="0"/>
    <n v="49"/>
    <n v="92"/>
    <n v="0"/>
    <n v="183.12"/>
    <n v="270.92"/>
    <m/>
    <n v="198.51512208196766"/>
    <n v="242.91497522388124"/>
    <n v="0"/>
    <n v="41018.147520000006"/>
    <n v="60684.996320000006"/>
    <n v="0"/>
    <n v="44466.593285872434"/>
    <n v="54411.982790248505"/>
  </r>
  <r>
    <s v="Refaturamento - Regular"/>
    <x v="4"/>
    <x v="5"/>
    <x v="6"/>
    <x v="8"/>
    <x v="0"/>
    <x v="0"/>
    <x v="2"/>
    <x v="9"/>
    <n v="0"/>
    <n v="0"/>
    <n v="0.56799999999999995"/>
    <n v="0.56799999999999995"/>
    <n v="0.56799999999999995"/>
    <n v="0.56799999999999995"/>
    <n v="2"/>
    <x v="0"/>
    <n v="0"/>
    <n v="0"/>
    <n v="49"/>
    <n v="92"/>
    <n v="0"/>
    <n v="183.12"/>
    <n v="270.92"/>
    <m/>
    <n v="198.51512208196766"/>
    <n v="242.91497522388124"/>
    <n v="0"/>
    <n v="104.01215999999999"/>
    <n v="153.88255999999998"/>
    <n v="0"/>
    <n v="112.75658934255762"/>
    <n v="137.97570592716454"/>
  </r>
  <r>
    <s v="Regular"/>
    <x v="4"/>
    <x v="5"/>
    <x v="6"/>
    <x v="8"/>
    <x v="0"/>
    <x v="0"/>
    <x v="2"/>
    <x v="10"/>
    <n v="0"/>
    <n v="0"/>
    <n v="307.68599999999998"/>
    <n v="307.68599999999998"/>
    <n v="307.68599999999998"/>
    <n v="307.68599999999998"/>
    <n v="3445"/>
    <x v="0"/>
    <n v="0"/>
    <n v="0"/>
    <n v="49"/>
    <n v="92"/>
    <n v="0"/>
    <n v="183.12"/>
    <n v="270.92"/>
    <m/>
    <n v="198.51512208196766"/>
    <n v="242.91497522388124"/>
    <n v="0"/>
    <n v="56343.460319999998"/>
    <n v="83358.291119999994"/>
    <n v="0"/>
    <n v="61080.323852912297"/>
    <n v="74741.537066735124"/>
  </r>
  <r>
    <s v="Refaturamento - Regular"/>
    <x v="4"/>
    <x v="5"/>
    <x v="6"/>
    <x v="8"/>
    <x v="0"/>
    <x v="0"/>
    <x v="2"/>
    <x v="10"/>
    <n v="0"/>
    <n v="0"/>
    <n v="5.8999999999999997E-2"/>
    <n v="5.8999999999999997E-2"/>
    <n v="5.8999999999999997E-2"/>
    <n v="5.8999999999999997E-2"/>
    <n v="0"/>
    <x v="0"/>
    <n v="0"/>
    <n v="0"/>
    <n v="49"/>
    <n v="92"/>
    <n v="0"/>
    <n v="183.12"/>
    <n v="270.92"/>
    <m/>
    <n v="198.51512208196766"/>
    <n v="242.91497522388124"/>
    <n v="0"/>
    <n v="10.804079999999999"/>
    <n v="15.98428"/>
    <n v="0"/>
    <n v="11.712392202836091"/>
    <n v="14.331983538208993"/>
  </r>
  <r>
    <s v="PROJETADO"/>
    <x v="4"/>
    <x v="5"/>
    <x v="6"/>
    <x v="8"/>
    <x v="0"/>
    <x v="0"/>
    <x v="2"/>
    <x v="11"/>
    <n v="0"/>
    <n v="0"/>
    <n v="307.68599999999998"/>
    <n v="307.68599999999998"/>
    <n v="307.68599999999998"/>
    <n v="307.68599999999998"/>
    <n v="3445"/>
    <x v="0"/>
    <n v="0"/>
    <n v="0"/>
    <n v="49"/>
    <n v="92"/>
    <n v="0"/>
    <n v="183.12"/>
    <n v="270.92"/>
    <m/>
    <n v="198.51512208196766"/>
    <n v="242.91497522388124"/>
    <n v="0"/>
    <n v="56343.460319999998"/>
    <n v="83358.291119999994"/>
    <n v="0"/>
    <n v="61080.323852912297"/>
    <n v="74741.537066735124"/>
  </r>
  <r>
    <s v="PROJETADO"/>
    <x v="4"/>
    <x v="5"/>
    <x v="6"/>
    <x v="8"/>
    <x v="0"/>
    <x v="0"/>
    <x v="2"/>
    <x v="11"/>
    <n v="0"/>
    <n v="0"/>
    <n v="5.8999999999999997E-2"/>
    <n v="5.8999999999999997E-2"/>
    <n v="5.8999999999999997E-2"/>
    <n v="5.8999999999999997E-2"/>
    <n v="0"/>
    <x v="0"/>
    <n v="0"/>
    <n v="0"/>
    <n v="49"/>
    <n v="92"/>
    <n v="0"/>
    <n v="183.12"/>
    <n v="270.92"/>
    <m/>
    <n v="198.51512208196766"/>
    <n v="242.91497522388124"/>
    <n v="0"/>
    <n v="10.804079999999999"/>
    <n v="15.98428"/>
    <n v="0"/>
    <n v="11.712392202836091"/>
    <n v="14.331983538208993"/>
  </r>
  <r>
    <s v="Regular"/>
    <x v="5"/>
    <x v="4"/>
    <x v="5"/>
    <x v="0"/>
    <x v="0"/>
    <x v="0"/>
    <x v="0"/>
    <x v="0"/>
    <n v="0"/>
    <n v="0"/>
    <n v="0.443"/>
    <n v="0.443"/>
    <n v="0.443"/>
    <n v="0.443"/>
    <n v="0"/>
    <x v="0"/>
    <n v="0"/>
    <n v="0"/>
    <n v="57"/>
    <n v="100"/>
    <n v="0"/>
    <n v="149.87"/>
    <n v="194.85"/>
    <m/>
    <n v="175.44288841529794"/>
    <n v="189.29125924936338"/>
    <n v="0"/>
    <n v="66.392409999999998"/>
    <n v="86.318550000000002"/>
    <n v="0"/>
    <n v="77.721199567976996"/>
    <n v="83.856027847467971"/>
  </r>
  <r>
    <s v="Regular"/>
    <x v="5"/>
    <x v="4"/>
    <x v="5"/>
    <x v="0"/>
    <x v="0"/>
    <x v="0"/>
    <x v="0"/>
    <x v="1"/>
    <n v="0"/>
    <n v="0"/>
    <n v="0.44400000000000001"/>
    <n v="0.44400000000000001"/>
    <n v="0.44400000000000001"/>
    <n v="0.44400000000000001"/>
    <n v="0"/>
    <x v="0"/>
    <n v="0"/>
    <n v="0"/>
    <n v="57"/>
    <n v="100"/>
    <n v="0"/>
    <n v="149.87"/>
    <n v="194.85"/>
    <m/>
    <n v="175.44288841529794"/>
    <n v="189.29125924936338"/>
    <n v="0"/>
    <n v="66.542280000000005"/>
    <n v="86.513400000000004"/>
    <n v="0"/>
    <n v="77.896642456392286"/>
    <n v="84.045319106717344"/>
  </r>
  <r>
    <s v="Regular"/>
    <x v="5"/>
    <x v="4"/>
    <x v="5"/>
    <x v="0"/>
    <x v="0"/>
    <x v="0"/>
    <x v="0"/>
    <x v="2"/>
    <n v="0"/>
    <n v="0"/>
    <n v="0.36799999999999999"/>
    <n v="0.36799999999999999"/>
    <n v="0.36799999999999999"/>
    <n v="0.36799999999999999"/>
    <n v="0"/>
    <x v="0"/>
    <n v="0"/>
    <n v="0"/>
    <n v="57"/>
    <n v="100"/>
    <n v="0"/>
    <n v="149.87"/>
    <n v="194.85"/>
    <m/>
    <n v="175.44288841529794"/>
    <n v="189.29125924936338"/>
    <n v="0"/>
    <n v="55.152160000000002"/>
    <n v="71.704799999999992"/>
    <n v="0"/>
    <n v="64.562982936829641"/>
    <n v="69.659183403765724"/>
  </r>
  <r>
    <s v="Regular"/>
    <x v="5"/>
    <x v="4"/>
    <x v="5"/>
    <x v="0"/>
    <x v="0"/>
    <x v="0"/>
    <x v="0"/>
    <x v="3"/>
    <n v="0"/>
    <n v="0"/>
    <n v="0.437"/>
    <n v="0.437"/>
    <n v="0.437"/>
    <n v="0.437"/>
    <n v="0"/>
    <x v="0"/>
    <n v="0"/>
    <n v="0"/>
    <n v="57"/>
    <n v="100"/>
    <n v="0"/>
    <n v="149.87"/>
    <n v="194.85"/>
    <m/>
    <n v="175.44288841529794"/>
    <n v="189.29125924936338"/>
    <n v="0"/>
    <n v="65.493189999999998"/>
    <n v="85.149450000000002"/>
    <n v="0"/>
    <n v="76.668542237485198"/>
    <n v="82.72028029197179"/>
  </r>
  <r>
    <s v="Regular"/>
    <x v="5"/>
    <x v="4"/>
    <x v="5"/>
    <x v="0"/>
    <x v="0"/>
    <x v="0"/>
    <x v="0"/>
    <x v="4"/>
    <n v="0"/>
    <n v="0"/>
    <n v="0.35899999999999999"/>
    <n v="0.35899999999999999"/>
    <n v="0.35899999999999999"/>
    <n v="0.35899999999999999"/>
    <n v="0"/>
    <x v="0"/>
    <n v="0"/>
    <n v="0"/>
    <n v="57"/>
    <n v="100"/>
    <n v="0"/>
    <n v="149.87"/>
    <n v="194.85"/>
    <m/>
    <n v="175.44288841529794"/>
    <n v="189.29125924936338"/>
    <n v="0"/>
    <n v="53.803330000000003"/>
    <n v="69.951149999999998"/>
    <n v="0"/>
    <n v="62.983996941091959"/>
    <n v="67.955562070521452"/>
  </r>
  <r>
    <s v="Regular"/>
    <x v="5"/>
    <x v="4"/>
    <x v="5"/>
    <x v="0"/>
    <x v="0"/>
    <x v="0"/>
    <x v="0"/>
    <x v="5"/>
    <n v="0"/>
    <n v="0"/>
    <n v="0.435"/>
    <n v="0.435"/>
    <n v="0.435"/>
    <n v="0.435"/>
    <n v="0"/>
    <x v="0"/>
    <n v="0"/>
    <n v="0"/>
    <n v="57"/>
    <n v="100"/>
    <n v="0"/>
    <n v="149.87"/>
    <n v="194.85"/>
    <m/>
    <n v="175.44288841529794"/>
    <n v="189.29125924936338"/>
    <n v="0"/>
    <n v="65.193449999999999"/>
    <n v="84.759749999999997"/>
    <n v="0"/>
    <n v="76.317656460654604"/>
    <n v="82.341697773473072"/>
  </r>
  <r>
    <s v="Regular"/>
    <x v="5"/>
    <x v="4"/>
    <x v="5"/>
    <x v="0"/>
    <x v="0"/>
    <x v="0"/>
    <x v="0"/>
    <x v="6"/>
    <n v="0"/>
    <n v="0"/>
    <n v="0.434"/>
    <n v="0.434"/>
    <n v="0.434"/>
    <n v="0.434"/>
    <n v="0"/>
    <x v="0"/>
    <n v="0"/>
    <n v="0"/>
    <n v="57"/>
    <n v="100"/>
    <n v="0"/>
    <n v="149.87"/>
    <n v="194.85"/>
    <m/>
    <n v="175.44288841529794"/>
    <n v="189.29125924936338"/>
    <n v="0"/>
    <n v="65.043580000000006"/>
    <n v="84.564899999999994"/>
    <n v="0"/>
    <n v="76.142213572239314"/>
    <n v="82.152406514223699"/>
  </r>
  <r>
    <s v="Regular"/>
    <x v="5"/>
    <x v="4"/>
    <x v="5"/>
    <x v="0"/>
    <x v="0"/>
    <x v="0"/>
    <x v="0"/>
    <x v="7"/>
    <n v="0"/>
    <n v="0"/>
    <n v="0.40699999999999997"/>
    <n v="0.40699999999999997"/>
    <n v="0.40699999999999997"/>
    <n v="0.40699999999999997"/>
    <n v="0"/>
    <x v="0"/>
    <n v="0"/>
    <n v="0"/>
    <n v="57"/>
    <n v="100"/>
    <n v="0"/>
    <n v="149.87"/>
    <n v="194.85"/>
    <m/>
    <n v="175.44288841529794"/>
    <n v="189.29125924936338"/>
    <n v="0"/>
    <n v="60.99709"/>
    <n v="79.303949999999986"/>
    <n v="0"/>
    <n v="71.405255585026254"/>
    <n v="77.041542514490885"/>
  </r>
  <r>
    <s v="Regular"/>
    <x v="5"/>
    <x v="4"/>
    <x v="5"/>
    <x v="0"/>
    <x v="0"/>
    <x v="0"/>
    <x v="0"/>
    <x v="8"/>
    <n v="0"/>
    <n v="0"/>
    <n v="0.38700000000000001"/>
    <n v="0.38700000000000001"/>
    <n v="0.38700000000000001"/>
    <n v="0.38700000000000001"/>
    <n v="0"/>
    <x v="0"/>
    <n v="0"/>
    <n v="0"/>
    <n v="57"/>
    <n v="100"/>
    <n v="0"/>
    <n v="149.87"/>
    <n v="194.85"/>
    <m/>
    <n v="175.44288841529794"/>
    <n v="189.29125924936338"/>
    <n v="0"/>
    <n v="57.999690000000001"/>
    <n v="75.406949999999995"/>
    <n v="0"/>
    <n v="67.896397816720309"/>
    <n v="73.255717329503625"/>
  </r>
  <r>
    <s v="Regular"/>
    <x v="5"/>
    <x v="4"/>
    <x v="5"/>
    <x v="0"/>
    <x v="0"/>
    <x v="0"/>
    <x v="0"/>
    <x v="9"/>
    <n v="0"/>
    <n v="0"/>
    <n v="0.38400000000000001"/>
    <n v="0.38400000000000001"/>
    <n v="0.38400000000000001"/>
    <n v="0.38400000000000001"/>
    <n v="0"/>
    <x v="0"/>
    <n v="0"/>
    <n v="0"/>
    <n v="57"/>
    <n v="100"/>
    <n v="0"/>
    <n v="149.87"/>
    <n v="194.85"/>
    <m/>
    <n v="175.44288841529794"/>
    <n v="189.29125924936338"/>
    <n v="0"/>
    <n v="57.550080000000001"/>
    <n v="74.822400000000002"/>
    <n v="0"/>
    <n v="67.370069151474411"/>
    <n v="72.687843551755535"/>
  </r>
  <r>
    <s v="Regular"/>
    <x v="5"/>
    <x v="4"/>
    <x v="5"/>
    <x v="0"/>
    <x v="0"/>
    <x v="0"/>
    <x v="0"/>
    <x v="10"/>
    <n v="0"/>
    <n v="0"/>
    <n v="0.45700000000000002"/>
    <n v="0.45700000000000002"/>
    <n v="0.45700000000000002"/>
    <n v="0.45700000000000002"/>
    <n v="0"/>
    <x v="0"/>
    <n v="0"/>
    <n v="0"/>
    <n v="57"/>
    <n v="100"/>
    <n v="0"/>
    <n v="149.87"/>
    <n v="194.85"/>
    <m/>
    <n v="175.44288841529794"/>
    <n v="189.29125924936338"/>
    <n v="0"/>
    <n v="68.490590000000012"/>
    <n v="89.046450000000007"/>
    <n v="0"/>
    <n v="80.177400005791156"/>
    <n v="86.506105476959064"/>
  </r>
  <r>
    <s v="PROJETADO"/>
    <x v="5"/>
    <x v="4"/>
    <x v="5"/>
    <x v="0"/>
    <x v="0"/>
    <x v="0"/>
    <x v="0"/>
    <x v="11"/>
    <n v="0"/>
    <n v="0"/>
    <n v="0.45700000000000002"/>
    <n v="0.45700000000000002"/>
    <n v="0.45700000000000002"/>
    <n v="0.45700000000000002"/>
    <n v="0"/>
    <x v="0"/>
    <n v="0"/>
    <n v="0"/>
    <n v="57"/>
    <n v="100"/>
    <n v="0"/>
    <n v="149.87"/>
    <n v="194.85"/>
    <m/>
    <n v="175.44288841529794"/>
    <n v="189.29125924936338"/>
    <n v="0"/>
    <n v="68.490590000000012"/>
    <n v="89.046450000000007"/>
    <n v="0"/>
    <n v="80.177400005791156"/>
    <n v="86.506105476959064"/>
  </r>
  <r>
    <s v="Regular"/>
    <x v="5"/>
    <x v="4"/>
    <x v="5"/>
    <x v="0"/>
    <x v="0"/>
    <x v="0"/>
    <x v="3"/>
    <x v="0"/>
    <n v="0"/>
    <n v="0"/>
    <n v="4.5999999999999999E-2"/>
    <n v="4.5999999999999999E-2"/>
    <n v="4.5999999999999999E-2"/>
    <n v="4.5999999999999999E-2"/>
    <n v="0"/>
    <x v="0"/>
    <n v="0"/>
    <n v="0"/>
    <n v="56"/>
    <n v="99"/>
    <n v="0"/>
    <n v="284.7"/>
    <n v="194.85"/>
    <m/>
    <n v="344.31724677402156"/>
    <n v="189.29125924936338"/>
    <n v="0"/>
    <n v="13.0962"/>
    <n v="8.963099999999999"/>
    <n v="0"/>
    <n v="15.838593351604992"/>
    <n v="8.7073979254707154"/>
  </r>
  <r>
    <s v="Regular"/>
    <x v="5"/>
    <x v="4"/>
    <x v="5"/>
    <x v="0"/>
    <x v="0"/>
    <x v="0"/>
    <x v="3"/>
    <x v="1"/>
    <n v="0"/>
    <n v="0"/>
    <n v="4.2999999999999997E-2"/>
    <n v="4.2999999999999997E-2"/>
    <n v="4.2999999999999997E-2"/>
    <n v="4.2999999999999997E-2"/>
    <n v="0"/>
    <x v="0"/>
    <n v="0"/>
    <n v="0"/>
    <n v="56"/>
    <n v="99"/>
    <n v="0"/>
    <n v="284.7"/>
    <n v="194.85"/>
    <m/>
    <n v="344.31724677402156"/>
    <n v="189.29125924936338"/>
    <n v="0"/>
    <n v="12.242099999999999"/>
    <n v="8.3785499999999988"/>
    <n v="0"/>
    <n v="14.805641611282926"/>
    <n v="8.139524147722625"/>
  </r>
  <r>
    <s v="Regular"/>
    <x v="5"/>
    <x v="4"/>
    <x v="5"/>
    <x v="0"/>
    <x v="0"/>
    <x v="0"/>
    <x v="3"/>
    <x v="2"/>
    <n v="0"/>
    <n v="0"/>
    <n v="3.4000000000000002E-2"/>
    <n v="3.4000000000000002E-2"/>
    <n v="3.4000000000000002E-2"/>
    <n v="3.4000000000000002E-2"/>
    <n v="0"/>
    <x v="0"/>
    <n v="0"/>
    <n v="0"/>
    <n v="56"/>
    <n v="99"/>
    <n v="0"/>
    <n v="284.7"/>
    <n v="194.85"/>
    <m/>
    <n v="344.31724677402156"/>
    <n v="189.29125924936338"/>
    <n v="0"/>
    <n v="9.6798000000000002"/>
    <n v="6.6249000000000002"/>
    <n v="0"/>
    <n v="11.706786390316733"/>
    <n v="6.4359028144783554"/>
  </r>
  <r>
    <s v="Regular"/>
    <x v="5"/>
    <x v="4"/>
    <x v="5"/>
    <x v="0"/>
    <x v="0"/>
    <x v="0"/>
    <x v="3"/>
    <x v="3"/>
    <n v="0"/>
    <n v="0"/>
    <n v="4.4999999999999998E-2"/>
    <n v="4.4999999999999998E-2"/>
    <n v="4.4999999999999998E-2"/>
    <n v="4.4999999999999998E-2"/>
    <n v="0"/>
    <x v="0"/>
    <n v="0"/>
    <n v="0"/>
    <n v="56"/>
    <n v="99"/>
    <n v="0"/>
    <n v="284.7"/>
    <n v="194.85"/>
    <m/>
    <n v="344.31724677402156"/>
    <n v="189.29125924936338"/>
    <n v="0"/>
    <n v="12.811499999999999"/>
    <n v="8.7682500000000001"/>
    <n v="0"/>
    <n v="15.49427610483097"/>
    <n v="8.5181066662213514"/>
  </r>
  <r>
    <s v="Regular"/>
    <x v="5"/>
    <x v="4"/>
    <x v="5"/>
    <x v="0"/>
    <x v="0"/>
    <x v="0"/>
    <x v="3"/>
    <x v="4"/>
    <n v="0"/>
    <n v="0"/>
    <n v="3.9E-2"/>
    <n v="3.9E-2"/>
    <n v="3.9E-2"/>
    <n v="3.9E-2"/>
    <n v="0"/>
    <x v="0"/>
    <n v="0"/>
    <n v="0"/>
    <n v="56"/>
    <n v="99"/>
    <n v="0"/>
    <n v="284.7"/>
    <n v="194.85"/>
    <m/>
    <n v="344.31724677402156"/>
    <n v="189.29125924936338"/>
    <n v="0"/>
    <n v="11.103299999999999"/>
    <n v="7.5991499999999998"/>
    <n v="0"/>
    <n v="13.42837262418684"/>
    <n v="7.3823591107251714"/>
  </r>
  <r>
    <s v="Regular"/>
    <x v="5"/>
    <x v="4"/>
    <x v="5"/>
    <x v="0"/>
    <x v="0"/>
    <x v="0"/>
    <x v="3"/>
    <x v="5"/>
    <n v="0"/>
    <n v="0"/>
    <n v="5.1999999999999998E-2"/>
    <n v="5.1999999999999998E-2"/>
    <n v="5.1999999999999998E-2"/>
    <n v="5.1999999999999998E-2"/>
    <n v="0"/>
    <x v="0"/>
    <n v="0"/>
    <n v="0"/>
    <n v="56"/>
    <n v="99"/>
    <n v="0"/>
    <n v="284.7"/>
    <n v="194.85"/>
    <m/>
    <n v="344.31724677402156"/>
    <n v="189.29125924936338"/>
    <n v="0"/>
    <n v="14.804399999999999"/>
    <n v="10.132199999999999"/>
    <n v="0"/>
    <n v="17.904496832249119"/>
    <n v="9.8431454809668946"/>
  </r>
  <r>
    <s v="Regular"/>
    <x v="5"/>
    <x v="4"/>
    <x v="5"/>
    <x v="0"/>
    <x v="0"/>
    <x v="0"/>
    <x v="3"/>
    <x v="6"/>
    <n v="0"/>
    <n v="0"/>
    <n v="5.1999999999999998E-2"/>
    <n v="5.1999999999999998E-2"/>
    <n v="5.1999999999999998E-2"/>
    <n v="5.1999999999999998E-2"/>
    <n v="0"/>
    <x v="0"/>
    <n v="0"/>
    <n v="0"/>
    <n v="56"/>
    <n v="99"/>
    <n v="0"/>
    <n v="284.7"/>
    <n v="194.85"/>
    <m/>
    <n v="344.31724677402156"/>
    <n v="189.29125924936338"/>
    <n v="0"/>
    <n v="14.804399999999999"/>
    <n v="10.132199999999999"/>
    <n v="0"/>
    <n v="17.904496832249119"/>
    <n v="9.8431454809668946"/>
  </r>
  <r>
    <s v="Regular"/>
    <x v="5"/>
    <x v="4"/>
    <x v="5"/>
    <x v="0"/>
    <x v="0"/>
    <x v="0"/>
    <x v="3"/>
    <x v="7"/>
    <n v="0"/>
    <n v="0"/>
    <n v="5.2999999999999999E-2"/>
    <n v="5.2999999999999999E-2"/>
    <n v="5.2999999999999999E-2"/>
    <n v="5.2999999999999999E-2"/>
    <n v="0"/>
    <x v="0"/>
    <n v="0"/>
    <n v="0"/>
    <n v="56"/>
    <n v="99"/>
    <n v="0"/>
    <n v="284.7"/>
    <n v="194.85"/>
    <m/>
    <n v="344.31724677402156"/>
    <n v="189.29125924936338"/>
    <n v="0"/>
    <n v="15.089099999999998"/>
    <n v="10.32705"/>
    <n v="0"/>
    <n v="18.248814079023141"/>
    <n v="10.032436740216259"/>
  </r>
  <r>
    <s v="Regular"/>
    <x v="5"/>
    <x v="4"/>
    <x v="5"/>
    <x v="0"/>
    <x v="0"/>
    <x v="0"/>
    <x v="3"/>
    <x v="8"/>
    <n v="0"/>
    <n v="0"/>
    <n v="4.9000000000000002E-2"/>
    <n v="4.9000000000000002E-2"/>
    <n v="4.9000000000000002E-2"/>
    <n v="4.9000000000000002E-2"/>
    <n v="0"/>
    <x v="0"/>
    <n v="0"/>
    <n v="0"/>
    <n v="56"/>
    <n v="99"/>
    <n v="0"/>
    <n v="284.7"/>
    <n v="194.85"/>
    <m/>
    <n v="344.31724677402156"/>
    <n v="189.29125924936338"/>
    <n v="0"/>
    <n v="13.9503"/>
    <n v="9.5476500000000009"/>
    <n v="0"/>
    <n v="16.871545091927057"/>
    <n v="9.2752717032188059"/>
  </r>
  <r>
    <s v="Regular"/>
    <x v="5"/>
    <x v="4"/>
    <x v="5"/>
    <x v="0"/>
    <x v="0"/>
    <x v="0"/>
    <x v="3"/>
    <x v="9"/>
    <n v="0"/>
    <n v="0"/>
    <n v="0.05"/>
    <n v="0.05"/>
    <n v="0.05"/>
    <n v="0.05"/>
    <n v="0"/>
    <x v="0"/>
    <n v="0"/>
    <n v="0"/>
    <n v="56"/>
    <n v="99"/>
    <n v="0"/>
    <n v="284.7"/>
    <n v="194.85"/>
    <m/>
    <n v="344.31724677402156"/>
    <n v="189.29125924936338"/>
    <n v="0"/>
    <n v="14.234999999999999"/>
    <n v="9.7424999999999997"/>
    <n v="0"/>
    <n v="17.215862338701079"/>
    <n v="9.46456296246817"/>
  </r>
  <r>
    <s v="Regular"/>
    <x v="5"/>
    <x v="4"/>
    <x v="5"/>
    <x v="0"/>
    <x v="0"/>
    <x v="0"/>
    <x v="3"/>
    <x v="10"/>
    <n v="0"/>
    <n v="0"/>
    <n v="5.7000000000000002E-2"/>
    <n v="5.7000000000000002E-2"/>
    <n v="5.7000000000000002E-2"/>
    <n v="5.7000000000000002E-2"/>
    <n v="0"/>
    <x v="0"/>
    <n v="0"/>
    <n v="0"/>
    <n v="56"/>
    <n v="99"/>
    <n v="0"/>
    <n v="284.7"/>
    <n v="194.85"/>
    <m/>
    <n v="344.31724677402156"/>
    <n v="189.29125924936338"/>
    <n v="0"/>
    <n v="16.227899999999998"/>
    <n v="11.106450000000001"/>
    <n v="0"/>
    <n v="19.626083066119229"/>
    <n v="10.789601777213713"/>
  </r>
  <r>
    <s v="PROJETADO"/>
    <x v="5"/>
    <x v="4"/>
    <x v="5"/>
    <x v="0"/>
    <x v="0"/>
    <x v="0"/>
    <x v="3"/>
    <x v="11"/>
    <n v="0"/>
    <n v="0"/>
    <n v="5.7000000000000002E-2"/>
    <n v="5.7000000000000002E-2"/>
    <n v="5.7000000000000002E-2"/>
    <n v="5.7000000000000002E-2"/>
    <n v="0"/>
    <x v="0"/>
    <n v="0"/>
    <n v="0"/>
    <n v="56"/>
    <n v="99"/>
    <n v="0"/>
    <n v="284.7"/>
    <n v="194.85"/>
    <m/>
    <n v="344.31724677402156"/>
    <n v="189.29125924936338"/>
    <n v="0"/>
    <n v="16.227899999999998"/>
    <n v="11.106450000000001"/>
    <n v="0"/>
    <n v="19.626083066119229"/>
    <n v="10.789601777213713"/>
  </r>
  <r>
    <s v="Regular"/>
    <x v="5"/>
    <x v="4"/>
    <x v="5"/>
    <x v="0"/>
    <x v="0"/>
    <x v="0"/>
    <x v="1"/>
    <x v="0"/>
    <n v="0"/>
    <n v="0"/>
    <n v="8.1000000000000003E-2"/>
    <n v="8.1000000000000003E-2"/>
    <n v="8.1000000000000003E-2"/>
    <n v="8.1000000000000003E-2"/>
    <n v="0"/>
    <x v="0"/>
    <n v="0"/>
    <n v="0"/>
    <n v="55"/>
    <n v="98"/>
    <n v="0"/>
    <n v="419.53"/>
    <n v="327.45999999999998"/>
    <m/>
    <n v="513.19254192157746"/>
    <n v="308.07950445999455"/>
    <n v="0"/>
    <n v="33.981929999999998"/>
    <n v="26.524259999999998"/>
    <n v="0"/>
    <n v="41.568595895647775"/>
    <n v="24.954439861259559"/>
  </r>
  <r>
    <s v="Regular"/>
    <x v="5"/>
    <x v="4"/>
    <x v="5"/>
    <x v="0"/>
    <x v="0"/>
    <x v="0"/>
    <x v="1"/>
    <x v="1"/>
    <n v="0"/>
    <n v="0"/>
    <n v="7.6999999999999999E-2"/>
    <n v="7.6999999999999999E-2"/>
    <n v="7.6999999999999999E-2"/>
    <n v="7.6999999999999999E-2"/>
    <n v="0"/>
    <x v="0"/>
    <n v="0"/>
    <n v="0"/>
    <n v="55"/>
    <n v="98"/>
    <n v="0"/>
    <n v="419.53"/>
    <n v="327.45999999999998"/>
    <m/>
    <n v="513.19254192157746"/>
    <n v="308.07950445999455"/>
    <n v="0"/>
    <n v="32.303809999999999"/>
    <n v="25.214419999999997"/>
    <n v="0"/>
    <n v="39.515825727961463"/>
    <n v="23.722121843419579"/>
  </r>
  <r>
    <s v="Regular"/>
    <x v="5"/>
    <x v="4"/>
    <x v="5"/>
    <x v="0"/>
    <x v="0"/>
    <x v="0"/>
    <x v="1"/>
    <x v="2"/>
    <n v="0"/>
    <n v="0"/>
    <n v="7.0000000000000007E-2"/>
    <n v="7.0000000000000007E-2"/>
    <n v="7.0000000000000007E-2"/>
    <n v="7.0000000000000007E-2"/>
    <n v="0"/>
    <x v="0"/>
    <n v="0"/>
    <n v="0"/>
    <n v="55"/>
    <n v="98"/>
    <n v="0"/>
    <n v="419.53"/>
    <n v="327.45999999999998"/>
    <m/>
    <n v="513.19254192157746"/>
    <n v="308.07950445999455"/>
    <n v="0"/>
    <n v="29.367100000000001"/>
    <n v="22.9222"/>
    <n v="0"/>
    <n v="35.923477934510423"/>
    <n v="21.56556531219962"/>
  </r>
  <r>
    <s v="Regular"/>
    <x v="5"/>
    <x v="4"/>
    <x v="5"/>
    <x v="0"/>
    <x v="0"/>
    <x v="0"/>
    <x v="1"/>
    <x v="3"/>
    <n v="0"/>
    <n v="0"/>
    <n v="8.5000000000000006E-2"/>
    <n v="8.5000000000000006E-2"/>
    <n v="8.5000000000000006E-2"/>
    <n v="8.5000000000000006E-2"/>
    <n v="0"/>
    <x v="0"/>
    <n v="0"/>
    <n v="0"/>
    <n v="55"/>
    <n v="98"/>
    <n v="0"/>
    <n v="419.53"/>
    <n v="327.45999999999998"/>
    <m/>
    <n v="513.19254192157746"/>
    <n v="308.07950445999455"/>
    <n v="0"/>
    <n v="35.660049999999998"/>
    <n v="27.834099999999999"/>
    <n v="0"/>
    <n v="43.621366063334087"/>
    <n v="26.186757879099538"/>
  </r>
  <r>
    <s v="Regular"/>
    <x v="5"/>
    <x v="4"/>
    <x v="5"/>
    <x v="0"/>
    <x v="0"/>
    <x v="0"/>
    <x v="1"/>
    <x v="4"/>
    <n v="0"/>
    <n v="0"/>
    <n v="7.5999999999999998E-2"/>
    <n v="7.5999999999999998E-2"/>
    <n v="7.5999999999999998E-2"/>
    <n v="7.5999999999999998E-2"/>
    <n v="0"/>
    <x v="0"/>
    <n v="0"/>
    <n v="0"/>
    <n v="55"/>
    <n v="98"/>
    <n v="0"/>
    <n v="419.53"/>
    <n v="327.45999999999998"/>
    <m/>
    <n v="513.19254192157746"/>
    <n v="308.07950445999455"/>
    <n v="0"/>
    <n v="31.884279999999997"/>
    <n v="24.886959999999998"/>
    <n v="0"/>
    <n v="39.002633186039887"/>
    <n v="23.414042338959586"/>
  </r>
  <r>
    <s v="Regular"/>
    <x v="5"/>
    <x v="4"/>
    <x v="5"/>
    <x v="0"/>
    <x v="0"/>
    <x v="0"/>
    <x v="1"/>
    <x v="5"/>
    <n v="0"/>
    <n v="0"/>
    <n v="8.4000000000000005E-2"/>
    <n v="8.4000000000000005E-2"/>
    <n v="8.4000000000000005E-2"/>
    <n v="8.4000000000000005E-2"/>
    <n v="0"/>
    <x v="0"/>
    <n v="0"/>
    <n v="0"/>
    <n v="55"/>
    <n v="98"/>
    <n v="0"/>
    <n v="419.53"/>
    <n v="327.45999999999998"/>
    <m/>
    <n v="513.19254192157746"/>
    <n v="308.07950445999455"/>
    <n v="0"/>
    <n v="35.240519999999997"/>
    <n v="27.506640000000001"/>
    <n v="0"/>
    <n v="43.10817352141251"/>
    <n v="25.878678374639545"/>
  </r>
  <r>
    <s v="Regular"/>
    <x v="5"/>
    <x v="4"/>
    <x v="5"/>
    <x v="0"/>
    <x v="0"/>
    <x v="0"/>
    <x v="1"/>
    <x v="6"/>
    <n v="0"/>
    <n v="0"/>
    <n v="0.108"/>
    <n v="0.108"/>
    <n v="0.108"/>
    <n v="0.108"/>
    <n v="0"/>
    <x v="0"/>
    <n v="0"/>
    <n v="0"/>
    <n v="55"/>
    <n v="98"/>
    <n v="0"/>
    <n v="419.53"/>
    <n v="327.45999999999998"/>
    <m/>
    <n v="513.19254192157746"/>
    <n v="308.07950445999455"/>
    <n v="0"/>
    <n v="45.309239999999996"/>
    <n v="35.365679999999998"/>
    <n v="0"/>
    <n v="55.424794527530366"/>
    <n v="33.272586481679411"/>
  </r>
  <r>
    <s v="Regular"/>
    <x v="5"/>
    <x v="4"/>
    <x v="5"/>
    <x v="0"/>
    <x v="0"/>
    <x v="0"/>
    <x v="1"/>
    <x v="7"/>
    <n v="0"/>
    <n v="0"/>
    <n v="8.8999999999999996E-2"/>
    <n v="8.8999999999999996E-2"/>
    <n v="8.8999999999999996E-2"/>
    <n v="8.8999999999999996E-2"/>
    <n v="0"/>
    <x v="0"/>
    <n v="0"/>
    <n v="0"/>
    <n v="55"/>
    <n v="98"/>
    <n v="0"/>
    <n v="419.53"/>
    <n v="327.45999999999998"/>
    <m/>
    <n v="513.19254192157746"/>
    <n v="308.07950445999455"/>
    <n v="0"/>
    <n v="37.338169999999998"/>
    <n v="29.143939999999997"/>
    <n v="0"/>
    <n v="45.674136231020391"/>
    <n v="27.419075896939514"/>
  </r>
  <r>
    <s v="Regular"/>
    <x v="5"/>
    <x v="4"/>
    <x v="5"/>
    <x v="0"/>
    <x v="0"/>
    <x v="0"/>
    <x v="1"/>
    <x v="8"/>
    <n v="0"/>
    <n v="0"/>
    <n v="9.2999999999999999E-2"/>
    <n v="9.2999999999999999E-2"/>
    <n v="9.2999999999999999E-2"/>
    <n v="9.2999999999999999E-2"/>
    <n v="0"/>
    <x v="0"/>
    <n v="0"/>
    <n v="0"/>
    <n v="55"/>
    <n v="98"/>
    <n v="0"/>
    <n v="419.53"/>
    <n v="327.45999999999998"/>
    <m/>
    <n v="513.19254192157746"/>
    <n v="308.07950445999455"/>
    <n v="0"/>
    <n v="39.016289999999998"/>
    <n v="30.453779999999998"/>
    <n v="0"/>
    <n v="47.726906398706703"/>
    <n v="28.651393914779494"/>
  </r>
  <r>
    <s v="Regular"/>
    <x v="5"/>
    <x v="4"/>
    <x v="5"/>
    <x v="0"/>
    <x v="0"/>
    <x v="0"/>
    <x v="1"/>
    <x v="9"/>
    <n v="0"/>
    <n v="0"/>
    <n v="0.09"/>
    <n v="0.09"/>
    <n v="0.09"/>
    <n v="0.09"/>
    <n v="0"/>
    <x v="0"/>
    <n v="0"/>
    <n v="0"/>
    <n v="55"/>
    <n v="98"/>
    <n v="0"/>
    <n v="419.53"/>
    <n v="327.45999999999998"/>
    <m/>
    <n v="513.19254192157746"/>
    <n v="308.07950445999455"/>
    <n v="0"/>
    <n v="37.757699999999993"/>
    <n v="29.471399999999996"/>
    <n v="0"/>
    <n v="46.187328772941967"/>
    <n v="27.727155401399507"/>
  </r>
  <r>
    <s v="Regular"/>
    <x v="5"/>
    <x v="4"/>
    <x v="5"/>
    <x v="0"/>
    <x v="0"/>
    <x v="0"/>
    <x v="1"/>
    <x v="10"/>
    <n v="0"/>
    <n v="0"/>
    <n v="0.10100000000000001"/>
    <n v="0.10100000000000001"/>
    <n v="0.10100000000000001"/>
    <n v="0.10100000000000001"/>
    <n v="0"/>
    <x v="0"/>
    <n v="0"/>
    <n v="0"/>
    <n v="55"/>
    <n v="98"/>
    <n v="0"/>
    <n v="419.53"/>
    <n v="327.45999999999998"/>
    <m/>
    <n v="513.19254192157746"/>
    <n v="308.07950445999455"/>
    <n v="0"/>
    <n v="42.372529999999998"/>
    <n v="33.073459999999997"/>
    <n v="0"/>
    <n v="51.832446734079326"/>
    <n v="31.116029950459453"/>
  </r>
  <r>
    <s v="PROJETADO"/>
    <x v="5"/>
    <x v="4"/>
    <x v="5"/>
    <x v="0"/>
    <x v="0"/>
    <x v="0"/>
    <x v="1"/>
    <x v="11"/>
    <n v="0"/>
    <n v="0"/>
    <n v="0.10100000000000001"/>
    <n v="0.10100000000000001"/>
    <n v="0.10100000000000001"/>
    <n v="0.10100000000000001"/>
    <n v="0"/>
    <x v="0"/>
    <n v="0"/>
    <n v="0"/>
    <n v="55"/>
    <n v="98"/>
    <n v="0"/>
    <n v="419.53"/>
    <n v="327.45999999999998"/>
    <m/>
    <n v="513.19254192157746"/>
    <n v="308.07950445999455"/>
    <n v="0"/>
    <n v="42.372529999999998"/>
    <n v="33.073459999999997"/>
    <n v="0"/>
    <n v="51.832446734079326"/>
    <n v="31.116029950459453"/>
  </r>
  <r>
    <s v="Regular"/>
    <x v="5"/>
    <x v="5"/>
    <x v="5"/>
    <x v="4"/>
    <x v="4"/>
    <x v="0"/>
    <x v="2"/>
    <x v="0"/>
    <n v="0"/>
    <n v="0"/>
    <n v="14.704000000000001"/>
    <n v="14.704000000000001"/>
    <n v="14.704000000000001"/>
    <n v="14.704000000000001"/>
    <n v="0"/>
    <x v="0"/>
    <n v="0"/>
    <n v="0"/>
    <n v="58"/>
    <n v="101"/>
    <n v="0"/>
    <n v="187.79"/>
    <n v="205.9"/>
    <m/>
    <n v="222.93864377382519"/>
    <n v="199.19027968358265"/>
    <n v="0"/>
    <n v="2761.2641600000002"/>
    <n v="3027.5536000000002"/>
    <n v="0"/>
    <n v="3278.0898180503259"/>
    <n v="2928.8938724673994"/>
  </r>
  <r>
    <s v="Sistema de Compensação"/>
    <x v="5"/>
    <x v="5"/>
    <x v="5"/>
    <x v="4"/>
    <x v="4"/>
    <x v="0"/>
    <x v="2"/>
    <x v="0"/>
    <n v="0"/>
    <n v="0"/>
    <n v="4.7869999999999999"/>
    <n v="4.7869999999999999"/>
    <n v="4.7869999999999999"/>
    <n v="4.7869999999999999"/>
    <n v="0"/>
    <x v="0"/>
    <n v="0"/>
    <n v="0"/>
    <n v="58"/>
    <n v="101"/>
    <n v="0"/>
    <n v="187.79"/>
    <n v="205.9"/>
    <m/>
    <n v="222.93864377382519"/>
    <n v="199.19027968358265"/>
    <n v="0"/>
    <n v="898.95072999999991"/>
    <n v="985.64330000000007"/>
    <n v="0"/>
    <n v="1067.2072877453011"/>
    <n v="953.52386884531006"/>
  </r>
  <r>
    <s v="Regular"/>
    <x v="5"/>
    <x v="5"/>
    <x v="5"/>
    <x v="4"/>
    <x v="4"/>
    <x v="0"/>
    <x v="2"/>
    <x v="1"/>
    <n v="0"/>
    <n v="0"/>
    <n v="42.212000000000003"/>
    <n v="42.212000000000003"/>
    <n v="42.212000000000003"/>
    <n v="42.212000000000003"/>
    <n v="0"/>
    <x v="0"/>
    <n v="0"/>
    <n v="0"/>
    <n v="58"/>
    <n v="101"/>
    <n v="0"/>
    <n v="187.79"/>
    <n v="205.9"/>
    <m/>
    <n v="222.93864377382519"/>
    <n v="199.19027968358265"/>
    <n v="0"/>
    <n v="7926.9914800000006"/>
    <n v="8691.4508000000005"/>
    <n v="0"/>
    <n v="9410.6860309807089"/>
    <n v="8408.2200860033918"/>
  </r>
  <r>
    <s v="Regular"/>
    <x v="5"/>
    <x v="5"/>
    <x v="5"/>
    <x v="4"/>
    <x v="4"/>
    <x v="0"/>
    <x v="2"/>
    <x v="2"/>
    <n v="0"/>
    <n v="0"/>
    <n v="6.9649999999999999"/>
    <n v="6.9649999999999999"/>
    <n v="6.9649999999999999"/>
    <n v="6.9649999999999999"/>
    <n v="0"/>
    <x v="0"/>
    <n v="0"/>
    <n v="0"/>
    <n v="58"/>
    <n v="101"/>
    <n v="0"/>
    <n v="187.79"/>
    <n v="205.9"/>
    <m/>
    <n v="222.93864377382519"/>
    <n v="199.19027968358265"/>
    <n v="0"/>
    <n v="1307.9573499999999"/>
    <n v="1434.0934999999999"/>
    <n v="0"/>
    <n v="1552.7676538846924"/>
    <n v="1387.3602979961531"/>
  </r>
  <r>
    <s v="Sistema de Compensação"/>
    <x v="5"/>
    <x v="5"/>
    <x v="5"/>
    <x v="4"/>
    <x v="4"/>
    <x v="0"/>
    <x v="2"/>
    <x v="2"/>
    <n v="0"/>
    <n v="0"/>
    <n v="0.20799999999999999"/>
    <n v="0.20799999999999999"/>
    <n v="0.20799999999999999"/>
    <n v="0.20799999999999999"/>
    <n v="0"/>
    <x v="0"/>
    <n v="0"/>
    <n v="0"/>
    <n v="58"/>
    <n v="101"/>
    <n v="0"/>
    <n v="187.79"/>
    <n v="205.9"/>
    <m/>
    <n v="222.93864377382519"/>
    <n v="199.19027968358265"/>
    <n v="0"/>
    <n v="39.060319999999997"/>
    <n v="42.827199999999998"/>
    <n v="0"/>
    <n v="46.371237904955635"/>
    <n v="41.431578174185191"/>
  </r>
  <r>
    <s v="Regular"/>
    <x v="5"/>
    <x v="5"/>
    <x v="5"/>
    <x v="4"/>
    <x v="4"/>
    <x v="0"/>
    <x v="2"/>
    <x v="3"/>
    <n v="0"/>
    <n v="0"/>
    <n v="11.85"/>
    <n v="11.85"/>
    <n v="11.85"/>
    <n v="11.85"/>
    <n v="0"/>
    <x v="0"/>
    <n v="0"/>
    <n v="0"/>
    <n v="58"/>
    <n v="101"/>
    <n v="0"/>
    <n v="187.79"/>
    <n v="205.9"/>
    <m/>
    <n v="222.93864377382519"/>
    <n v="199.19027968358265"/>
    <n v="0"/>
    <n v="2225.3114999999998"/>
    <n v="2439.915"/>
    <n v="0"/>
    <n v="2641.8229287198283"/>
    <n v="2360.4048142504544"/>
  </r>
  <r>
    <s v="Sistema de Compensação"/>
    <x v="5"/>
    <x v="5"/>
    <x v="5"/>
    <x v="4"/>
    <x v="4"/>
    <x v="0"/>
    <x v="2"/>
    <x v="3"/>
    <n v="0"/>
    <n v="0"/>
    <n v="0.1"/>
    <n v="0.1"/>
    <n v="0.1"/>
    <n v="0.1"/>
    <n v="0"/>
    <x v="0"/>
    <n v="0"/>
    <n v="0"/>
    <n v="58"/>
    <n v="101"/>
    <n v="0"/>
    <n v="187.79"/>
    <n v="205.9"/>
    <m/>
    <n v="222.93864377382519"/>
    <n v="199.19027968358265"/>
    <n v="0"/>
    <n v="18.779"/>
    <n v="20.590000000000003"/>
    <n v="0"/>
    <n v="22.293864377382519"/>
    <n v="19.919027968358265"/>
  </r>
  <r>
    <s v="Regular"/>
    <x v="5"/>
    <x v="5"/>
    <x v="5"/>
    <x v="4"/>
    <x v="4"/>
    <x v="0"/>
    <x v="2"/>
    <x v="4"/>
    <n v="0"/>
    <n v="0"/>
    <n v="6.2640000000000002"/>
    <n v="6.2640000000000002"/>
    <n v="6.2640000000000002"/>
    <n v="6.2640000000000002"/>
    <n v="0"/>
    <x v="0"/>
    <n v="0"/>
    <n v="0"/>
    <n v="58"/>
    <n v="101"/>
    <n v="0"/>
    <n v="187.79"/>
    <n v="205.9"/>
    <m/>
    <n v="222.93864377382519"/>
    <n v="199.19027968358265"/>
    <n v="0"/>
    <n v="1176.31656"/>
    <n v="1289.7576000000001"/>
    <n v="0"/>
    <n v="1396.487664599241"/>
    <n v="1247.7279119379618"/>
  </r>
  <r>
    <s v="Sistema de Compensação"/>
    <x v="5"/>
    <x v="5"/>
    <x v="5"/>
    <x v="4"/>
    <x v="4"/>
    <x v="0"/>
    <x v="2"/>
    <x v="4"/>
    <n v="0"/>
    <n v="0"/>
    <n v="0.1"/>
    <n v="0.1"/>
    <n v="0.1"/>
    <n v="0.1"/>
    <n v="0"/>
    <x v="0"/>
    <n v="0"/>
    <n v="0"/>
    <n v="58"/>
    <n v="101"/>
    <n v="0"/>
    <n v="187.79"/>
    <n v="205.9"/>
    <m/>
    <n v="222.93864377382519"/>
    <n v="199.19027968358265"/>
    <n v="0"/>
    <n v="18.779"/>
    <n v="20.590000000000003"/>
    <n v="0"/>
    <n v="22.293864377382519"/>
    <n v="19.919027968358265"/>
  </r>
  <r>
    <s v="Regular"/>
    <x v="5"/>
    <x v="5"/>
    <x v="5"/>
    <x v="4"/>
    <x v="4"/>
    <x v="0"/>
    <x v="2"/>
    <x v="5"/>
    <n v="0"/>
    <n v="0"/>
    <n v="5.016"/>
    <n v="5.016"/>
    <n v="5.016"/>
    <n v="5.016"/>
    <n v="0"/>
    <x v="0"/>
    <n v="0"/>
    <n v="0"/>
    <n v="58"/>
    <n v="101"/>
    <n v="0"/>
    <n v="187.79"/>
    <n v="205.9"/>
    <m/>
    <n v="222.93864377382519"/>
    <n v="199.19027968358265"/>
    <n v="0"/>
    <n v="941.95463999999993"/>
    <n v="1032.7944"/>
    <n v="0"/>
    <n v="1118.2602371695073"/>
    <n v="999.13844289285055"/>
  </r>
  <r>
    <s v="Sistema de Compensação"/>
    <x v="5"/>
    <x v="5"/>
    <x v="5"/>
    <x v="4"/>
    <x v="4"/>
    <x v="0"/>
    <x v="2"/>
    <x v="5"/>
    <n v="0"/>
    <n v="0"/>
    <n v="0.1"/>
    <n v="0.1"/>
    <n v="0.1"/>
    <n v="0.1"/>
    <n v="0"/>
    <x v="0"/>
    <n v="0"/>
    <n v="0"/>
    <n v="58"/>
    <n v="101"/>
    <n v="0"/>
    <n v="187.79"/>
    <n v="205.9"/>
    <m/>
    <n v="222.93864377382519"/>
    <n v="199.19027968358265"/>
    <n v="0"/>
    <n v="18.779"/>
    <n v="20.590000000000003"/>
    <n v="0"/>
    <n v="22.293864377382519"/>
    <n v="19.919027968358265"/>
  </r>
  <r>
    <s v="Regular"/>
    <x v="5"/>
    <x v="5"/>
    <x v="5"/>
    <x v="4"/>
    <x v="4"/>
    <x v="0"/>
    <x v="2"/>
    <x v="6"/>
    <n v="0"/>
    <n v="0"/>
    <n v="5.5380000000000003"/>
    <n v="5.5380000000000003"/>
    <n v="5.5380000000000003"/>
    <n v="5.5380000000000003"/>
    <n v="0"/>
    <x v="0"/>
    <n v="0"/>
    <n v="0"/>
    <n v="58"/>
    <n v="101"/>
    <n v="0"/>
    <n v="187.79"/>
    <n v="205.9"/>
    <m/>
    <n v="222.93864377382519"/>
    <n v="199.19027968358265"/>
    <n v="0"/>
    <n v="1039.9810199999999"/>
    <n v="1140.2742000000001"/>
    <n v="0"/>
    <n v="1234.6342092194441"/>
    <n v="1103.1157688876808"/>
  </r>
  <r>
    <s v="Sistema de Compensação"/>
    <x v="5"/>
    <x v="5"/>
    <x v="5"/>
    <x v="4"/>
    <x v="4"/>
    <x v="0"/>
    <x v="2"/>
    <x v="6"/>
    <n v="0"/>
    <n v="0"/>
    <n v="0.1"/>
    <n v="0.1"/>
    <n v="0.1"/>
    <n v="0.1"/>
    <n v="0"/>
    <x v="0"/>
    <n v="0"/>
    <n v="0"/>
    <n v="58"/>
    <n v="101"/>
    <n v="0"/>
    <n v="187.79"/>
    <n v="205.9"/>
    <m/>
    <n v="222.93864377382519"/>
    <n v="199.19027968358265"/>
    <n v="0"/>
    <n v="18.779"/>
    <n v="20.590000000000003"/>
    <n v="0"/>
    <n v="22.293864377382519"/>
    <n v="19.919027968358265"/>
  </r>
  <r>
    <s v="Regular"/>
    <x v="5"/>
    <x v="5"/>
    <x v="5"/>
    <x v="4"/>
    <x v="4"/>
    <x v="0"/>
    <x v="2"/>
    <x v="7"/>
    <n v="0"/>
    <n v="0"/>
    <n v="6.0789999999999997"/>
    <n v="6.0789999999999997"/>
    <n v="6.0789999999999997"/>
    <n v="6.0789999999999997"/>
    <n v="0"/>
    <x v="0"/>
    <n v="0"/>
    <n v="0"/>
    <n v="58"/>
    <n v="101"/>
    <n v="0"/>
    <n v="187.79"/>
    <n v="205.9"/>
    <m/>
    <n v="222.93864377382519"/>
    <n v="199.19027968358265"/>
    <n v="0"/>
    <n v="1141.5754099999999"/>
    <n v="1251.6660999999999"/>
    <n v="0"/>
    <n v="1355.2440155010834"/>
    <n v="1210.8777101964988"/>
  </r>
  <r>
    <s v="Sistema de Compensação"/>
    <x v="5"/>
    <x v="5"/>
    <x v="5"/>
    <x v="4"/>
    <x v="4"/>
    <x v="0"/>
    <x v="2"/>
    <x v="7"/>
    <n v="0"/>
    <n v="0"/>
    <n v="0.1"/>
    <n v="0.1"/>
    <n v="0.1"/>
    <n v="0.1"/>
    <n v="0"/>
    <x v="0"/>
    <n v="0"/>
    <n v="0"/>
    <n v="58"/>
    <n v="101"/>
    <n v="0"/>
    <n v="187.79"/>
    <n v="205.9"/>
    <m/>
    <n v="222.93864377382519"/>
    <n v="199.19027968358265"/>
    <n v="0"/>
    <n v="18.779"/>
    <n v="20.590000000000003"/>
    <n v="0"/>
    <n v="22.293864377382519"/>
    <n v="19.919027968358265"/>
  </r>
  <r>
    <s v="Regular"/>
    <x v="5"/>
    <x v="5"/>
    <x v="5"/>
    <x v="4"/>
    <x v="4"/>
    <x v="0"/>
    <x v="2"/>
    <x v="8"/>
    <n v="0"/>
    <n v="0"/>
    <n v="9.0909999999999993"/>
    <n v="9.0909999999999993"/>
    <n v="9.0909999999999993"/>
    <n v="9.0909999999999993"/>
    <n v="0"/>
    <x v="0"/>
    <n v="0"/>
    <n v="0"/>
    <n v="58"/>
    <n v="101"/>
    <n v="0"/>
    <n v="187.79"/>
    <n v="205.9"/>
    <m/>
    <n v="222.93864377382519"/>
    <n v="199.19027968358265"/>
    <n v="0"/>
    <n v="1707.1988899999999"/>
    <n v="1871.8369"/>
    <n v="0"/>
    <n v="2026.7352105478446"/>
    <n v="1810.8388326034496"/>
  </r>
  <r>
    <s v="Sistema de Compensação"/>
    <x v="5"/>
    <x v="5"/>
    <x v="5"/>
    <x v="4"/>
    <x v="4"/>
    <x v="0"/>
    <x v="2"/>
    <x v="8"/>
    <n v="0"/>
    <n v="0"/>
    <n v="1.075"/>
    <n v="1.075"/>
    <n v="1.075"/>
    <n v="1.075"/>
    <n v="0"/>
    <x v="0"/>
    <n v="0"/>
    <n v="0"/>
    <n v="58"/>
    <n v="101"/>
    <n v="0"/>
    <n v="187.79"/>
    <n v="205.9"/>
    <m/>
    <n v="222.93864377382519"/>
    <n v="199.19027968358265"/>
    <n v="0"/>
    <n v="201.87424999999999"/>
    <n v="221.3425"/>
    <n v="0"/>
    <n v="239.65904205686206"/>
    <n v="214.12955065985133"/>
  </r>
  <r>
    <s v="Regular"/>
    <x v="5"/>
    <x v="5"/>
    <x v="5"/>
    <x v="4"/>
    <x v="4"/>
    <x v="0"/>
    <x v="2"/>
    <x v="9"/>
    <n v="0"/>
    <n v="0"/>
    <n v="10.349"/>
    <n v="10.349"/>
    <n v="10.349"/>
    <n v="10.349"/>
    <n v="0"/>
    <x v="0"/>
    <n v="0"/>
    <n v="0"/>
    <n v="58"/>
    <n v="101"/>
    <n v="0"/>
    <n v="187.79"/>
    <n v="205.9"/>
    <m/>
    <n v="222.93864377382519"/>
    <n v="199.19027968358265"/>
    <n v="0"/>
    <n v="1943.4387099999999"/>
    <n v="2130.8591000000001"/>
    <n v="0"/>
    <n v="2307.1920244153171"/>
    <n v="2061.4202044453968"/>
  </r>
  <r>
    <s v="Sistema de Compensação"/>
    <x v="5"/>
    <x v="5"/>
    <x v="5"/>
    <x v="4"/>
    <x v="4"/>
    <x v="0"/>
    <x v="2"/>
    <x v="9"/>
    <n v="0"/>
    <n v="0"/>
    <n v="0.1"/>
    <n v="0.1"/>
    <n v="0.1"/>
    <n v="0.1"/>
    <n v="0"/>
    <x v="0"/>
    <n v="0"/>
    <n v="0"/>
    <n v="58"/>
    <n v="101"/>
    <n v="0"/>
    <n v="187.79"/>
    <n v="205.9"/>
    <m/>
    <n v="222.93864377382519"/>
    <n v="199.19027968358265"/>
    <n v="0"/>
    <n v="18.779"/>
    <n v="20.590000000000003"/>
    <n v="0"/>
    <n v="22.293864377382519"/>
    <n v="19.919027968358265"/>
  </r>
  <r>
    <s v="Regular"/>
    <x v="5"/>
    <x v="5"/>
    <x v="5"/>
    <x v="4"/>
    <x v="4"/>
    <x v="0"/>
    <x v="2"/>
    <x v="10"/>
    <n v="0"/>
    <n v="0"/>
    <n v="19.2"/>
    <n v="19.2"/>
    <n v="19.2"/>
    <n v="19.2"/>
    <n v="0"/>
    <x v="0"/>
    <n v="0"/>
    <n v="0"/>
    <n v="58"/>
    <n v="101"/>
    <n v="0"/>
    <n v="187.79"/>
    <n v="205.9"/>
    <m/>
    <n v="222.93864377382519"/>
    <n v="199.19027968358265"/>
    <n v="0"/>
    <n v="3605.5679999999998"/>
    <n v="3953.2799999999997"/>
    <n v="0"/>
    <n v="4280.4219604574437"/>
    <n v="3824.4533699247868"/>
  </r>
  <r>
    <s v="Sistema de Compensação"/>
    <x v="5"/>
    <x v="5"/>
    <x v="5"/>
    <x v="4"/>
    <x v="4"/>
    <x v="0"/>
    <x v="2"/>
    <x v="10"/>
    <n v="0"/>
    <n v="0"/>
    <n v="0.1"/>
    <n v="0.1"/>
    <n v="0.1"/>
    <n v="0.1"/>
    <n v="0"/>
    <x v="0"/>
    <n v="0"/>
    <n v="0"/>
    <n v="58"/>
    <n v="101"/>
    <n v="0"/>
    <n v="187.79"/>
    <n v="205.9"/>
    <m/>
    <n v="222.93864377382519"/>
    <n v="199.19027968358265"/>
    <n v="0"/>
    <n v="18.779"/>
    <n v="20.590000000000003"/>
    <n v="0"/>
    <n v="22.293864377382519"/>
    <n v="19.919027968358265"/>
  </r>
  <r>
    <s v="PROJETADO"/>
    <x v="5"/>
    <x v="5"/>
    <x v="5"/>
    <x v="4"/>
    <x v="4"/>
    <x v="0"/>
    <x v="2"/>
    <x v="11"/>
    <n v="0"/>
    <n v="0"/>
    <n v="19.2"/>
    <n v="19.2"/>
    <n v="19.2"/>
    <n v="19.2"/>
    <n v="0"/>
    <x v="0"/>
    <n v="0"/>
    <n v="0"/>
    <n v="58"/>
    <n v="101"/>
    <n v="0"/>
    <n v="187.79"/>
    <n v="205.9"/>
    <m/>
    <n v="222.93864377382519"/>
    <n v="199.19027968358265"/>
    <n v="0"/>
    <n v="3605.5679999999998"/>
    <n v="3953.2799999999997"/>
    <n v="0"/>
    <n v="4280.4219604574437"/>
    <n v="3824.4533699247868"/>
  </r>
  <r>
    <s v="PROJETADO"/>
    <x v="5"/>
    <x v="5"/>
    <x v="5"/>
    <x v="4"/>
    <x v="4"/>
    <x v="0"/>
    <x v="2"/>
    <x v="11"/>
    <n v="0"/>
    <n v="0"/>
    <n v="0.1"/>
    <n v="0.1"/>
    <n v="0.1"/>
    <n v="0.1"/>
    <n v="0"/>
    <x v="0"/>
    <n v="0"/>
    <n v="0"/>
    <n v="58"/>
    <n v="101"/>
    <n v="0"/>
    <n v="187.79"/>
    <n v="205.9"/>
    <m/>
    <n v="222.93864377382519"/>
    <n v="199.19027968358265"/>
    <n v="0"/>
    <n v="18.779"/>
    <n v="20.590000000000003"/>
    <n v="0"/>
    <n v="22.293864377382519"/>
    <n v="19.919027968358265"/>
  </r>
  <r>
    <s v="Regular"/>
    <x v="5"/>
    <x v="5"/>
    <x v="5"/>
    <x v="4"/>
    <x v="3"/>
    <x v="0"/>
    <x v="2"/>
    <x v="0"/>
    <n v="0"/>
    <n v="0"/>
    <n v="13.048999999999999"/>
    <n v="4.3061699999999998"/>
    <n v="13.048999999999999"/>
    <n v="4.3061699999999998"/>
    <n v="0"/>
    <x v="0"/>
    <n v="0"/>
    <n v="0"/>
    <n v="58"/>
    <n v="101"/>
    <n v="0"/>
    <n v="187.79"/>
    <n v="205.9"/>
    <m/>
    <n v="222.93864377382519"/>
    <n v="199.19027968358265"/>
    <n v="0"/>
    <n v="808.6556642999999"/>
    <n v="886.64040299999999"/>
    <n v="0"/>
    <n v="960.01169965953284"/>
    <n v="857.747206665053"/>
  </r>
  <r>
    <s v="Sistema de Compensação"/>
    <x v="5"/>
    <x v="5"/>
    <x v="5"/>
    <x v="4"/>
    <x v="3"/>
    <x v="0"/>
    <x v="2"/>
    <x v="0"/>
    <n v="0"/>
    <n v="0"/>
    <n v="2.379"/>
    <n v="0.78507000000000005"/>
    <n v="2.379"/>
    <n v="0.78507000000000005"/>
    <n v="0"/>
    <x v="0"/>
    <n v="0"/>
    <n v="0"/>
    <n v="58"/>
    <n v="101"/>
    <n v="0"/>
    <n v="187.79"/>
    <n v="205.9"/>
    <m/>
    <n v="222.93864377382519"/>
    <n v="199.19027968358265"/>
    <n v="0"/>
    <n v="147.4282953"/>
    <n v="161.64591300000001"/>
    <n v="0"/>
    <n v="175.02244106751695"/>
    <n v="156.37831287119025"/>
  </r>
  <r>
    <s v="Regular"/>
    <x v="5"/>
    <x v="5"/>
    <x v="5"/>
    <x v="4"/>
    <x v="3"/>
    <x v="0"/>
    <x v="2"/>
    <x v="1"/>
    <n v="0"/>
    <n v="0"/>
    <n v="17.673999999999999"/>
    <n v="5.8324199999999999"/>
    <n v="17.673999999999999"/>
    <n v="5.8324199999999999"/>
    <n v="0"/>
    <x v="0"/>
    <n v="0"/>
    <n v="0"/>
    <n v="58"/>
    <n v="101"/>
    <n v="0"/>
    <n v="187.79"/>
    <n v="205.9"/>
    <m/>
    <n v="222.93864377382519"/>
    <n v="199.19027968358265"/>
    <n v="0"/>
    <n v="1095.2701517999999"/>
    <n v="1200.895278"/>
    <n v="0"/>
    <n v="1300.2718047193334"/>
    <n v="1161.7613710321211"/>
  </r>
  <r>
    <s v="Sistema de Compensação"/>
    <x v="5"/>
    <x v="5"/>
    <x v="5"/>
    <x v="4"/>
    <x v="3"/>
    <x v="0"/>
    <x v="2"/>
    <x v="1"/>
    <n v="0"/>
    <n v="0"/>
    <n v="1.8080000000000001"/>
    <n v="0.59663999999999995"/>
    <n v="1.8080000000000001"/>
    <n v="0.59663999999999995"/>
    <n v="0"/>
    <x v="0"/>
    <n v="0"/>
    <n v="0"/>
    <n v="58"/>
    <n v="101"/>
    <n v="0"/>
    <n v="187.79"/>
    <n v="205.9"/>
    <m/>
    <n v="222.93864377382519"/>
    <n v="199.19027968358265"/>
    <n v="0"/>
    <n v="112.04302559999998"/>
    <n v="122.848176"/>
    <n v="0"/>
    <n v="133.01411242121506"/>
    <n v="118.84488847041274"/>
  </r>
  <r>
    <s v="Regular"/>
    <x v="5"/>
    <x v="5"/>
    <x v="5"/>
    <x v="4"/>
    <x v="3"/>
    <x v="0"/>
    <x v="2"/>
    <x v="2"/>
    <n v="0"/>
    <n v="0"/>
    <n v="3.8290000000000002"/>
    <n v="1.2635700000000001"/>
    <n v="3.8290000000000002"/>
    <n v="1.2635700000000001"/>
    <n v="0"/>
    <x v="0"/>
    <n v="0"/>
    <n v="0"/>
    <n v="58"/>
    <n v="101"/>
    <n v="0"/>
    <n v="187.79"/>
    <n v="205.9"/>
    <m/>
    <n v="222.93864377382519"/>
    <n v="199.19027968358265"/>
    <n v="0"/>
    <n v="237.28581030000001"/>
    <n v="260.16906300000005"/>
    <n v="0"/>
    <n v="281.69858211329233"/>
    <n v="251.69086169978453"/>
  </r>
  <r>
    <s v="Regular"/>
    <x v="5"/>
    <x v="5"/>
    <x v="5"/>
    <x v="4"/>
    <x v="3"/>
    <x v="0"/>
    <x v="2"/>
    <x v="3"/>
    <n v="0"/>
    <n v="0"/>
    <n v="4.1340000000000003"/>
    <n v="1.36422"/>
    <n v="4.1340000000000003"/>
    <n v="1.36422"/>
    <n v="0"/>
    <x v="0"/>
    <n v="0"/>
    <n v="0"/>
    <n v="58"/>
    <n v="101"/>
    <n v="0"/>
    <n v="187.79"/>
    <n v="205.9"/>
    <m/>
    <n v="222.93864377382519"/>
    <n v="199.19027968358265"/>
    <n v="0"/>
    <n v="256.1868738"/>
    <n v="280.892898"/>
    <n v="0"/>
    <n v="304.13735660912778"/>
    <n v="271.73936334993709"/>
  </r>
  <r>
    <s v="Regular"/>
    <x v="5"/>
    <x v="5"/>
    <x v="5"/>
    <x v="4"/>
    <x v="3"/>
    <x v="0"/>
    <x v="2"/>
    <x v="4"/>
    <n v="0"/>
    <n v="0"/>
    <n v="3.5939999999999999"/>
    <n v="1.1860200000000001"/>
    <n v="3.5939999999999999"/>
    <n v="1.1860200000000001"/>
    <n v="0"/>
    <x v="0"/>
    <n v="0"/>
    <n v="0"/>
    <n v="58"/>
    <n v="101"/>
    <n v="0"/>
    <n v="187.79"/>
    <n v="205.9"/>
    <m/>
    <n v="222.93864377382519"/>
    <n v="199.19027968358265"/>
    <n v="0"/>
    <n v="222.7226958"/>
    <n v="244.20151800000002"/>
    <n v="0"/>
    <n v="264.40969028863219"/>
    <n v="236.2436555103227"/>
  </r>
  <r>
    <s v="Regular"/>
    <x v="5"/>
    <x v="5"/>
    <x v="5"/>
    <x v="4"/>
    <x v="3"/>
    <x v="0"/>
    <x v="2"/>
    <x v="5"/>
    <n v="0"/>
    <n v="0"/>
    <n v="2.4689999999999999"/>
    <n v="0.81476999999999999"/>
    <n v="2.4689999999999999"/>
    <n v="0.81476999999999999"/>
    <n v="0"/>
    <x v="0"/>
    <n v="0"/>
    <n v="0"/>
    <n v="58"/>
    <n v="101"/>
    <n v="0"/>
    <n v="187.79"/>
    <n v="205.9"/>
    <m/>
    <n v="222.93864377382519"/>
    <n v="199.19027968358265"/>
    <n v="0"/>
    <n v="153.00565829999999"/>
    <n v="167.761143"/>
    <n v="0"/>
    <n v="181.64371878759954"/>
    <n v="162.29426417779263"/>
  </r>
  <r>
    <s v="Regular"/>
    <x v="5"/>
    <x v="5"/>
    <x v="5"/>
    <x v="4"/>
    <x v="3"/>
    <x v="0"/>
    <x v="2"/>
    <x v="6"/>
    <n v="0"/>
    <n v="0"/>
    <n v="1.161"/>
    <n v="0.38313000000000003"/>
    <n v="1.161"/>
    <n v="0.38313000000000003"/>
    <n v="0"/>
    <x v="0"/>
    <n v="0"/>
    <n v="0"/>
    <n v="58"/>
    <n v="101"/>
    <n v="0"/>
    <n v="187.79"/>
    <n v="205.9"/>
    <m/>
    <n v="222.93864377382519"/>
    <n v="199.19027968358265"/>
    <n v="0"/>
    <n v="71.947982699999997"/>
    <n v="78.88646700000001"/>
    <n v="0"/>
    <n v="85.414482589065656"/>
    <n v="76.315771855171022"/>
  </r>
  <r>
    <s v="Regular"/>
    <x v="5"/>
    <x v="5"/>
    <x v="5"/>
    <x v="4"/>
    <x v="3"/>
    <x v="0"/>
    <x v="2"/>
    <x v="7"/>
    <n v="0"/>
    <n v="0"/>
    <n v="1.4610000000000001"/>
    <n v="0.48213"/>
    <n v="1.4610000000000001"/>
    <n v="0.48213"/>
    <n v="0"/>
    <x v="0"/>
    <n v="0"/>
    <n v="0"/>
    <n v="58"/>
    <n v="101"/>
    <n v="0"/>
    <n v="187.79"/>
    <n v="205.9"/>
    <m/>
    <n v="222.93864377382519"/>
    <n v="199.19027968358265"/>
    <n v="0"/>
    <n v="90.539192700000001"/>
    <n v="99.270567"/>
    <n v="0"/>
    <n v="107.48540832267435"/>
    <n v="96.035609543845695"/>
  </r>
  <r>
    <s v="Regular"/>
    <x v="5"/>
    <x v="5"/>
    <x v="5"/>
    <x v="4"/>
    <x v="3"/>
    <x v="0"/>
    <x v="2"/>
    <x v="8"/>
    <n v="0"/>
    <n v="0"/>
    <n v="3.0550000000000002"/>
    <n v="1.0081500000000001"/>
    <n v="3.0550000000000002"/>
    <n v="1.0081500000000001"/>
    <n v="0"/>
    <x v="0"/>
    <n v="0"/>
    <n v="0"/>
    <n v="58"/>
    <n v="101"/>
    <n v="0"/>
    <n v="187.79"/>
    <n v="205.9"/>
    <m/>
    <n v="222.93864377382519"/>
    <n v="199.19027968358265"/>
    <n v="0"/>
    <n v="189.32048850000001"/>
    <n v="207.57808500000002"/>
    <n v="0"/>
    <n v="224.75559372058189"/>
    <n v="200.81368046300386"/>
  </r>
  <r>
    <s v="Sistema de Compensação"/>
    <x v="5"/>
    <x v="5"/>
    <x v="5"/>
    <x v="4"/>
    <x v="3"/>
    <x v="0"/>
    <x v="2"/>
    <x v="8"/>
    <n v="0"/>
    <n v="0"/>
    <n v="1.7030000000000001"/>
    <n v="0.56198999999999999"/>
    <n v="1.7030000000000001"/>
    <n v="0.56198999999999999"/>
    <n v="0"/>
    <x v="0"/>
    <n v="0"/>
    <n v="0"/>
    <n v="58"/>
    <n v="101"/>
    <n v="0"/>
    <n v="187.79"/>
    <n v="205.9"/>
    <m/>
    <n v="222.93864377382519"/>
    <n v="199.19027968358265"/>
    <n v="0"/>
    <n v="105.53610209999999"/>
    <n v="115.713741"/>
    <n v="0"/>
    <n v="125.28928841445202"/>
    <n v="111.9429452793766"/>
  </r>
  <r>
    <s v="Regular"/>
    <x v="5"/>
    <x v="5"/>
    <x v="5"/>
    <x v="4"/>
    <x v="3"/>
    <x v="0"/>
    <x v="2"/>
    <x v="9"/>
    <n v="0"/>
    <n v="0"/>
    <n v="3.7679999999999998"/>
    <n v="1.2434400000000001"/>
    <n v="3.7679999999999998"/>
    <n v="1.2434400000000001"/>
    <n v="0"/>
    <x v="0"/>
    <n v="0"/>
    <n v="0"/>
    <n v="58"/>
    <n v="101"/>
    <n v="0"/>
    <n v="187.79"/>
    <n v="205.9"/>
    <m/>
    <n v="222.93864377382519"/>
    <n v="199.19027968358265"/>
    <n v="0"/>
    <n v="233.50559760000002"/>
    <n v="256.02429600000005"/>
    <n v="0"/>
    <n v="277.21082721412523"/>
    <n v="247.68116136975402"/>
  </r>
  <r>
    <s v="Sistema de Compensação"/>
    <x v="5"/>
    <x v="5"/>
    <x v="5"/>
    <x v="4"/>
    <x v="3"/>
    <x v="0"/>
    <x v="2"/>
    <x v="9"/>
    <n v="0"/>
    <n v="0"/>
    <n v="0.31900000000000001"/>
    <n v="0.10527"/>
    <n v="0.31900000000000001"/>
    <n v="0.10527"/>
    <n v="0"/>
    <x v="0"/>
    <n v="0"/>
    <n v="0"/>
    <n v="58"/>
    <n v="101"/>
    <n v="0"/>
    <n v="187.79"/>
    <n v="205.9"/>
    <m/>
    <n v="222.93864377382519"/>
    <n v="199.19027968358265"/>
    <n v="0"/>
    <n v="19.7686533"/>
    <n v="21.675093"/>
    <n v="0"/>
    <n v="23.468751030070578"/>
    <n v="20.968760742290744"/>
  </r>
  <r>
    <s v="Regular"/>
    <x v="5"/>
    <x v="5"/>
    <x v="5"/>
    <x v="4"/>
    <x v="3"/>
    <x v="0"/>
    <x v="2"/>
    <x v="10"/>
    <n v="0"/>
    <n v="0"/>
    <n v="11.41"/>
    <n v="3.7652999999999999"/>
    <n v="11.41"/>
    <n v="3.7652999999999999"/>
    <n v="0"/>
    <x v="0"/>
    <n v="0"/>
    <n v="0"/>
    <n v="58"/>
    <n v="101"/>
    <n v="0"/>
    <n v="187.79"/>
    <n v="205.9"/>
    <m/>
    <n v="222.93864377382519"/>
    <n v="199.19027968358265"/>
    <n v="0"/>
    <n v="707.08568699999989"/>
    <n v="775.27526999999998"/>
    <n v="0"/>
    <n v="839.43087540158399"/>
    <n v="750.01116009259374"/>
  </r>
  <r>
    <s v="PROJETADO"/>
    <x v="5"/>
    <x v="5"/>
    <x v="5"/>
    <x v="4"/>
    <x v="3"/>
    <x v="0"/>
    <x v="2"/>
    <x v="11"/>
    <n v="0"/>
    <n v="0"/>
    <n v="11.41"/>
    <n v="3.7652999999999999"/>
    <n v="11.41"/>
    <n v="3.7652999999999999"/>
    <n v="0"/>
    <x v="0"/>
    <n v="0"/>
    <n v="0"/>
    <n v="58"/>
    <n v="101"/>
    <n v="0"/>
    <n v="187.79"/>
    <n v="205.9"/>
    <m/>
    <n v="222.93864377382519"/>
    <n v="199.19027968358265"/>
    <n v="0"/>
    <n v="707.08568699999989"/>
    <n v="775.27526999999998"/>
    <n v="0"/>
    <n v="839.43087540158399"/>
    <n v="750.01116009259374"/>
  </r>
  <r>
    <s v="Regular"/>
    <x v="5"/>
    <x v="5"/>
    <x v="5"/>
    <x v="0"/>
    <x v="0"/>
    <x v="0"/>
    <x v="2"/>
    <x v="0"/>
    <n v="0"/>
    <n v="0"/>
    <n v="7720.8940000000002"/>
    <n v="7720.8940000000002"/>
    <n v="7720.8940000000002"/>
    <n v="7720.8940000000002"/>
    <n v="10456"/>
    <x v="0"/>
    <n v="0"/>
    <n v="0"/>
    <n v="58"/>
    <n v="101"/>
    <n v="0"/>
    <n v="187.79"/>
    <n v="205.9"/>
    <m/>
    <n v="222.93864377382519"/>
    <n v="199.19027968358265"/>
    <n v="0"/>
    <n v="1449906.68426"/>
    <n v="1589732.0746000002"/>
    <n v="0"/>
    <n v="1721285.6370814643"/>
    <n v="1537927.0352672951"/>
  </r>
  <r>
    <s v="Refaturamento - Regular"/>
    <x v="5"/>
    <x v="5"/>
    <x v="5"/>
    <x v="0"/>
    <x v="0"/>
    <x v="0"/>
    <x v="2"/>
    <x v="0"/>
    <n v="0"/>
    <n v="0"/>
    <n v="42.47"/>
    <n v="42.47"/>
    <n v="42.47"/>
    <n v="42.47"/>
    <n v="3"/>
    <x v="0"/>
    <n v="0"/>
    <n v="0"/>
    <n v="58"/>
    <n v="101"/>
    <n v="0"/>
    <n v="187.79"/>
    <n v="205.9"/>
    <m/>
    <n v="222.93864377382519"/>
    <n v="199.19027968358265"/>
    <n v="0"/>
    <n v="7975.4412999999995"/>
    <n v="8744.5730000000003"/>
    <n v="0"/>
    <n v="9468.2042010743553"/>
    <n v="8459.6111781617547"/>
  </r>
  <r>
    <s v="Sistema de Compensação"/>
    <x v="5"/>
    <x v="5"/>
    <x v="5"/>
    <x v="0"/>
    <x v="0"/>
    <x v="0"/>
    <x v="2"/>
    <x v="0"/>
    <n v="0"/>
    <n v="0"/>
    <n v="50.860999999999997"/>
    <n v="50.860999999999997"/>
    <n v="50.860999999999997"/>
    <n v="50.860999999999997"/>
    <n v="37"/>
    <x v="0"/>
    <n v="0"/>
    <n v="0"/>
    <n v="58"/>
    <n v="101"/>
    <n v="0"/>
    <n v="187.79"/>
    <n v="205.9"/>
    <m/>
    <n v="222.93864377382519"/>
    <n v="199.19027968358265"/>
    <n v="0"/>
    <n v="9551.1871899999987"/>
    <n v="10472.2799"/>
    <n v="0"/>
    <n v="11338.882360980522"/>
    <n v="10131.016814986697"/>
  </r>
  <r>
    <s v="Regular"/>
    <x v="5"/>
    <x v="5"/>
    <x v="5"/>
    <x v="0"/>
    <x v="0"/>
    <x v="0"/>
    <x v="2"/>
    <x v="1"/>
    <n v="0"/>
    <n v="0"/>
    <n v="7581.4989999999998"/>
    <n v="7581.4989999999998"/>
    <n v="7581.4989999999998"/>
    <n v="7581.4989999999998"/>
    <n v="10432"/>
    <x v="0"/>
    <n v="0"/>
    <n v="0"/>
    <n v="58"/>
    <n v="101"/>
    <n v="0"/>
    <n v="187.79"/>
    <n v="205.9"/>
    <m/>
    <n v="222.93864377382519"/>
    <n v="199.19027968358265"/>
    <n v="0"/>
    <n v="1423729.6972099999"/>
    <n v="1561030.6440999999"/>
    <n v="0"/>
    <n v="1690209.104832612"/>
    <n v="1510160.9062308022"/>
  </r>
  <r>
    <s v="Refaturamento - Regular"/>
    <x v="5"/>
    <x v="5"/>
    <x v="5"/>
    <x v="0"/>
    <x v="0"/>
    <x v="0"/>
    <x v="2"/>
    <x v="1"/>
    <n v="0"/>
    <n v="0"/>
    <n v="4.6390000000000002"/>
    <n v="4.6390000000000002"/>
    <n v="4.6390000000000002"/>
    <n v="4.6390000000000002"/>
    <n v="2"/>
    <x v="0"/>
    <n v="0"/>
    <n v="0"/>
    <n v="58"/>
    <n v="101"/>
    <n v="0"/>
    <n v="187.79"/>
    <n v="205.9"/>
    <m/>
    <n v="222.93864377382519"/>
    <n v="199.19027968358265"/>
    <n v="0"/>
    <n v="871.15781000000004"/>
    <n v="955.17010000000005"/>
    <n v="0"/>
    <n v="1034.2123684667752"/>
    <n v="924.04370745213998"/>
  </r>
  <r>
    <s v="Sistema de Compensação"/>
    <x v="5"/>
    <x v="5"/>
    <x v="5"/>
    <x v="0"/>
    <x v="0"/>
    <x v="0"/>
    <x v="2"/>
    <x v="1"/>
    <n v="0"/>
    <n v="0"/>
    <n v="58.378999999999998"/>
    <n v="58.378999999999998"/>
    <n v="58.378999999999998"/>
    <n v="58.378999999999998"/>
    <n v="37"/>
    <x v="0"/>
    <n v="0"/>
    <n v="0"/>
    <n v="58"/>
    <n v="101"/>
    <n v="0"/>
    <n v="187.79"/>
    <n v="205.9"/>
    <m/>
    <n v="222.93864377382519"/>
    <n v="199.19027968358265"/>
    <n v="0"/>
    <n v="10962.992409999999"/>
    <n v="12020.2361"/>
    <n v="0"/>
    <n v="13014.935084872141"/>
    <n v="11628.529337647871"/>
  </r>
  <r>
    <s v="Sistema de Compensação"/>
    <x v="5"/>
    <x v="5"/>
    <x v="5"/>
    <x v="0"/>
    <x v="0"/>
    <x v="0"/>
    <x v="2"/>
    <x v="1"/>
    <n v="0"/>
    <n v="0"/>
    <n v="18.405999999999999"/>
    <n v="18.405999999999999"/>
    <n v="18.405999999999999"/>
    <n v="18.405999999999999"/>
    <n v="1"/>
    <x v="0"/>
    <n v="0"/>
    <n v="0"/>
    <n v="58"/>
    <n v="101"/>
    <n v="0"/>
    <n v="187.79"/>
    <n v="205.9"/>
    <m/>
    <n v="222.93864377382519"/>
    <n v="199.19027968358265"/>
    <n v="0"/>
    <n v="3456.4627399999995"/>
    <n v="3789.7954"/>
    <n v="0"/>
    <n v="4103.4086773010258"/>
    <n v="3666.296287856022"/>
  </r>
  <r>
    <s v="Regular"/>
    <x v="5"/>
    <x v="5"/>
    <x v="5"/>
    <x v="0"/>
    <x v="0"/>
    <x v="0"/>
    <x v="2"/>
    <x v="2"/>
    <n v="0"/>
    <n v="0"/>
    <n v="6202.0659999999998"/>
    <n v="6202.0659999999998"/>
    <n v="6202.0659999999998"/>
    <n v="6202.0659999999998"/>
    <n v="10445"/>
    <x v="0"/>
    <n v="0"/>
    <n v="0"/>
    <n v="58"/>
    <n v="101"/>
    <n v="0"/>
    <n v="187.79"/>
    <n v="205.9"/>
    <m/>
    <n v="222.93864377382519"/>
    <n v="199.19027968358265"/>
    <n v="0"/>
    <n v="1164685.9741399998"/>
    <n v="1277005.3894"/>
    <n v="0"/>
    <n v="1382680.1826357529"/>
    <n v="1235391.2611560386"/>
  </r>
  <r>
    <s v="Refaturamento - Regular"/>
    <x v="5"/>
    <x v="5"/>
    <x v="5"/>
    <x v="0"/>
    <x v="0"/>
    <x v="0"/>
    <x v="2"/>
    <x v="2"/>
    <n v="0"/>
    <n v="0"/>
    <n v="64.376000000000005"/>
    <n v="64.376000000000005"/>
    <n v="64.376000000000005"/>
    <n v="64.376000000000005"/>
    <n v="3"/>
    <x v="0"/>
    <n v="0"/>
    <n v="0"/>
    <n v="58"/>
    <n v="101"/>
    <n v="0"/>
    <n v="187.79"/>
    <n v="205.9"/>
    <m/>
    <n v="222.93864377382519"/>
    <n v="199.19027968358265"/>
    <n v="0"/>
    <n v="12089.169040000001"/>
    <n v="13255.018400000001"/>
    <n v="0"/>
    <n v="14351.898131583772"/>
    <n v="12823.073444910317"/>
  </r>
  <r>
    <s v="Sistema de Compensação"/>
    <x v="5"/>
    <x v="5"/>
    <x v="5"/>
    <x v="0"/>
    <x v="0"/>
    <x v="0"/>
    <x v="2"/>
    <x v="2"/>
    <n v="0"/>
    <n v="0"/>
    <n v="33.963000000000001"/>
    <n v="33.963000000000001"/>
    <n v="33.963000000000001"/>
    <n v="33.963000000000001"/>
    <n v="37"/>
    <x v="0"/>
    <n v="0"/>
    <n v="0"/>
    <n v="58"/>
    <n v="101"/>
    <n v="0"/>
    <n v="187.79"/>
    <n v="205.9"/>
    <m/>
    <n v="222.93864377382519"/>
    <n v="199.19027968358265"/>
    <n v="0"/>
    <n v="6377.9117699999997"/>
    <n v="6992.9817000000003"/>
    <n v="0"/>
    <n v="7571.6651584904248"/>
    <n v="6765.099468893518"/>
  </r>
  <r>
    <s v="Regular"/>
    <x v="5"/>
    <x v="5"/>
    <x v="5"/>
    <x v="0"/>
    <x v="0"/>
    <x v="0"/>
    <x v="2"/>
    <x v="3"/>
    <n v="0"/>
    <n v="0"/>
    <n v="6740.6080000000002"/>
    <n v="6740.6080000000002"/>
    <n v="6740.6080000000002"/>
    <n v="6740.6080000000002"/>
    <n v="10125"/>
    <x v="0"/>
    <n v="0"/>
    <n v="0"/>
    <n v="58"/>
    <n v="101"/>
    <n v="0"/>
    <n v="187.79"/>
    <n v="205.9"/>
    <m/>
    <n v="222.93864377382519"/>
    <n v="199.19027968358265"/>
    <n v="0"/>
    <n v="1265818.7763199999"/>
    <n v="1387891.1872"/>
    <n v="0"/>
    <n v="1502742.0057309964"/>
    <n v="1342663.5927573948"/>
  </r>
  <r>
    <s v="Refaturamento - Regular"/>
    <x v="5"/>
    <x v="5"/>
    <x v="5"/>
    <x v="0"/>
    <x v="0"/>
    <x v="0"/>
    <x v="2"/>
    <x v="3"/>
    <n v="0"/>
    <n v="0"/>
    <n v="20.719000000000001"/>
    <n v="20.719000000000001"/>
    <n v="20.719000000000001"/>
    <n v="20.719000000000001"/>
    <n v="9"/>
    <x v="0"/>
    <n v="0"/>
    <n v="0"/>
    <n v="58"/>
    <n v="101"/>
    <n v="0"/>
    <n v="187.79"/>
    <n v="205.9"/>
    <m/>
    <n v="222.93864377382519"/>
    <n v="199.19027968358265"/>
    <n v="0"/>
    <n v="3890.8210100000001"/>
    <n v="4266.0421000000006"/>
    <n v="0"/>
    <n v="4619.0657603498848"/>
    <n v="4127.0234047641488"/>
  </r>
  <r>
    <s v="Sistema de Compensação"/>
    <x v="5"/>
    <x v="5"/>
    <x v="5"/>
    <x v="0"/>
    <x v="0"/>
    <x v="0"/>
    <x v="2"/>
    <x v="3"/>
    <n v="0"/>
    <n v="0"/>
    <n v="29.292999999999999"/>
    <n v="29.292999999999999"/>
    <n v="29.292999999999999"/>
    <n v="29.292999999999999"/>
    <n v="39"/>
    <x v="0"/>
    <n v="0"/>
    <n v="0"/>
    <n v="58"/>
    <n v="101"/>
    <n v="0"/>
    <n v="187.79"/>
    <n v="205.9"/>
    <m/>
    <n v="222.93864377382519"/>
    <n v="199.19027968358265"/>
    <n v="0"/>
    <n v="5500.9324699999997"/>
    <n v="6031.4287000000004"/>
    <n v="0"/>
    <n v="6530.5416920666612"/>
    <n v="5834.880862771186"/>
  </r>
  <r>
    <s v="Regular"/>
    <x v="5"/>
    <x v="5"/>
    <x v="5"/>
    <x v="0"/>
    <x v="0"/>
    <x v="0"/>
    <x v="2"/>
    <x v="4"/>
    <n v="0"/>
    <n v="0"/>
    <n v="3066.2669999999998"/>
    <n v="3066.2669999999998"/>
    <n v="3066.2669999999998"/>
    <n v="3066.2669999999998"/>
    <n v="4423"/>
    <x v="0"/>
    <n v="0"/>
    <n v="0"/>
    <n v="58"/>
    <n v="101"/>
    <n v="0"/>
    <n v="187.79"/>
    <n v="205.9"/>
    <m/>
    <n v="222.93864377382519"/>
    <n v="199.19027968358265"/>
    <n v="0"/>
    <n v="575814.27992999996"/>
    <n v="631344.37529999996"/>
    <n v="0"/>
    <n v="683589.40642843558"/>
    <n v="610770.58131453989"/>
  </r>
  <r>
    <s v="Refaturamento - Regular"/>
    <x v="5"/>
    <x v="5"/>
    <x v="5"/>
    <x v="0"/>
    <x v="0"/>
    <x v="0"/>
    <x v="2"/>
    <x v="4"/>
    <n v="0"/>
    <n v="0"/>
    <n v="119.587"/>
    <n v="119.587"/>
    <n v="119.587"/>
    <n v="119.587"/>
    <n v="59"/>
    <x v="0"/>
    <n v="0"/>
    <n v="0"/>
    <n v="58"/>
    <n v="101"/>
    <n v="0"/>
    <n v="187.79"/>
    <n v="205.9"/>
    <m/>
    <n v="222.93864377382519"/>
    <n v="199.19027968358265"/>
    <n v="0"/>
    <n v="22457.242729999998"/>
    <n v="24622.963300000003"/>
    <n v="0"/>
    <n v="26660.563592980434"/>
    <n v="23820.567976520597"/>
  </r>
  <r>
    <s v="Sistema de Compensação"/>
    <x v="5"/>
    <x v="5"/>
    <x v="5"/>
    <x v="0"/>
    <x v="0"/>
    <x v="0"/>
    <x v="2"/>
    <x v="4"/>
    <n v="0"/>
    <n v="0"/>
    <n v="35.061999999999998"/>
    <n v="35.061999999999998"/>
    <n v="35.061999999999998"/>
    <n v="35.061999999999998"/>
    <n v="33"/>
    <x v="0"/>
    <n v="0"/>
    <n v="0"/>
    <n v="58"/>
    <n v="101"/>
    <n v="0"/>
    <n v="187.79"/>
    <n v="205.9"/>
    <m/>
    <n v="222.93864377382519"/>
    <n v="199.19027968358265"/>
    <n v="0"/>
    <n v="6584.2929799999993"/>
    <n v="7219.2658000000001"/>
    <n v="0"/>
    <n v="7816.6747279978581"/>
    <n v="6984.0095862657745"/>
  </r>
  <r>
    <s v="Regular"/>
    <x v="5"/>
    <x v="5"/>
    <x v="5"/>
    <x v="0"/>
    <x v="0"/>
    <x v="0"/>
    <x v="2"/>
    <x v="5"/>
    <n v="0"/>
    <n v="0"/>
    <n v="5807.4170000000004"/>
    <n v="5807.4170000000004"/>
    <n v="5807.4170000000004"/>
    <n v="5807.4170000000004"/>
    <n v="9583"/>
    <x v="0"/>
    <n v="0"/>
    <n v="0"/>
    <n v="58"/>
    <n v="101"/>
    <n v="0"/>
    <n v="187.79"/>
    <n v="205.9"/>
    <m/>
    <n v="222.93864377382519"/>
    <n v="199.19027968358265"/>
    <n v="0"/>
    <n v="1090574.83843"/>
    <n v="1195747.1603000001"/>
    <n v="0"/>
    <n v="1294697.6698090567"/>
    <n v="1156781.0164691925"/>
  </r>
  <r>
    <s v="Refaturamento - Regular"/>
    <x v="5"/>
    <x v="5"/>
    <x v="5"/>
    <x v="0"/>
    <x v="0"/>
    <x v="0"/>
    <x v="2"/>
    <x v="5"/>
    <n v="0"/>
    <n v="0"/>
    <n v="179.71700000000001"/>
    <n v="179.71700000000001"/>
    <n v="179.71700000000001"/>
    <n v="179.71700000000001"/>
    <n v="34"/>
    <x v="0"/>
    <n v="0"/>
    <n v="0"/>
    <n v="58"/>
    <n v="101"/>
    <n v="0"/>
    <n v="187.79"/>
    <n v="205.9"/>
    <m/>
    <n v="222.93864377382519"/>
    <n v="199.19027968358265"/>
    <n v="0"/>
    <n v="33749.05543"/>
    <n v="37003.730300000003"/>
    <n v="0"/>
    <n v="40065.864243100543"/>
    <n v="35797.879493894427"/>
  </r>
  <r>
    <s v="Sistema de Compensação"/>
    <x v="5"/>
    <x v="5"/>
    <x v="5"/>
    <x v="0"/>
    <x v="0"/>
    <x v="0"/>
    <x v="2"/>
    <x v="5"/>
    <n v="0"/>
    <n v="0"/>
    <n v="33.993000000000002"/>
    <n v="33.993000000000002"/>
    <n v="33.993000000000002"/>
    <n v="33.993000000000002"/>
    <n v="35"/>
    <x v="0"/>
    <n v="0"/>
    <n v="0"/>
    <n v="58"/>
    <n v="101"/>
    <n v="0"/>
    <n v="187.79"/>
    <n v="205.9"/>
    <m/>
    <n v="222.93864377382519"/>
    <n v="199.19027968358265"/>
    <n v="0"/>
    <n v="6383.54547"/>
    <n v="6999.1587000000009"/>
    <n v="0"/>
    <n v="7578.3533178036405"/>
    <n v="6771.0751772840249"/>
  </r>
  <r>
    <s v="Sistema de Compensação"/>
    <x v="5"/>
    <x v="5"/>
    <x v="5"/>
    <x v="0"/>
    <x v="0"/>
    <x v="0"/>
    <x v="2"/>
    <x v="5"/>
    <n v="0"/>
    <n v="0"/>
    <n v="6.673"/>
    <n v="6.673"/>
    <n v="6.673"/>
    <n v="6.673"/>
    <n v="0"/>
    <x v="0"/>
    <n v="0"/>
    <n v="0"/>
    <n v="58"/>
    <n v="101"/>
    <n v="0"/>
    <n v="187.79"/>
    <n v="205.9"/>
    <m/>
    <n v="222.93864377382519"/>
    <n v="199.19027968358265"/>
    <n v="0"/>
    <n v="1253.12267"/>
    <n v="1373.9707000000001"/>
    <n v="0"/>
    <n v="1487.6695699027355"/>
    <n v="1329.1967363285471"/>
  </r>
  <r>
    <s v="Regular"/>
    <x v="5"/>
    <x v="5"/>
    <x v="5"/>
    <x v="0"/>
    <x v="0"/>
    <x v="0"/>
    <x v="2"/>
    <x v="6"/>
    <n v="0"/>
    <n v="0"/>
    <n v="6744.4669999999996"/>
    <n v="6744.4669999999996"/>
    <n v="6744.4669999999996"/>
    <n v="6744.4669999999996"/>
    <n v="10431"/>
    <x v="0"/>
    <n v="0"/>
    <n v="0"/>
    <n v="58"/>
    <n v="101"/>
    <n v="0"/>
    <n v="187.79"/>
    <n v="205.9"/>
    <m/>
    <n v="222.93864377382519"/>
    <n v="199.19027968358265"/>
    <n v="0"/>
    <n v="1266543.4579299998"/>
    <n v="1388685.7553000001"/>
    <n v="0"/>
    <n v="1503602.3259573195"/>
    <n v="1343432.2680466934"/>
  </r>
  <r>
    <s v="Refaturamento - Regular"/>
    <x v="5"/>
    <x v="5"/>
    <x v="5"/>
    <x v="0"/>
    <x v="0"/>
    <x v="0"/>
    <x v="2"/>
    <x v="6"/>
    <n v="0"/>
    <n v="0"/>
    <n v="86.701999999999998"/>
    <n v="86.701999999999998"/>
    <n v="86.701999999999998"/>
    <n v="86.701999999999998"/>
    <n v="3"/>
    <x v="0"/>
    <n v="0"/>
    <n v="0"/>
    <n v="58"/>
    <n v="101"/>
    <n v="0"/>
    <n v="187.79"/>
    <n v="205.9"/>
    <m/>
    <n v="222.93864377382519"/>
    <n v="199.19027968358265"/>
    <n v="0"/>
    <n v="16281.768579999998"/>
    <n v="17851.941800000001"/>
    <n v="0"/>
    <n v="19329.22629247819"/>
    <n v="17270.195629125981"/>
  </r>
  <r>
    <s v="Sistema de Compensação"/>
    <x v="5"/>
    <x v="5"/>
    <x v="5"/>
    <x v="0"/>
    <x v="0"/>
    <x v="0"/>
    <x v="2"/>
    <x v="6"/>
    <n v="0"/>
    <n v="0"/>
    <n v="40.667999999999999"/>
    <n v="40.667999999999999"/>
    <n v="40.667999999999999"/>
    <n v="40.667999999999999"/>
    <n v="36"/>
    <x v="0"/>
    <n v="0"/>
    <n v="0"/>
    <n v="58"/>
    <n v="101"/>
    <n v="0"/>
    <n v="187.79"/>
    <n v="205.9"/>
    <m/>
    <n v="222.93864377382519"/>
    <n v="199.19027968358265"/>
    <n v="0"/>
    <n v="7637.0437199999997"/>
    <n v="8373.5411999999997"/>
    <n v="0"/>
    <n v="9066.4687649939224"/>
    <n v="8100.6702941719386"/>
  </r>
  <r>
    <s v="Regular"/>
    <x v="5"/>
    <x v="5"/>
    <x v="5"/>
    <x v="0"/>
    <x v="0"/>
    <x v="0"/>
    <x v="2"/>
    <x v="7"/>
    <n v="0"/>
    <n v="0"/>
    <n v="6967.4480000000003"/>
    <n v="6967.4480000000003"/>
    <n v="6967.4480000000003"/>
    <n v="6967.4480000000003"/>
    <n v="10429"/>
    <x v="0"/>
    <n v="0"/>
    <n v="0"/>
    <n v="58"/>
    <n v="101"/>
    <n v="0"/>
    <n v="187.79"/>
    <n v="205.9"/>
    <m/>
    <n v="222.93864377382519"/>
    <n v="199.19027968358265"/>
    <n v="0"/>
    <n v="1308417.0599199999"/>
    <n v="1434597.5432000002"/>
    <n v="0"/>
    <n v="1553313.4076846507"/>
    <n v="1387847.9158008187"/>
  </r>
  <r>
    <s v="Refaturamento - Regular"/>
    <x v="5"/>
    <x v="5"/>
    <x v="5"/>
    <x v="0"/>
    <x v="0"/>
    <x v="0"/>
    <x v="2"/>
    <x v="7"/>
    <n v="0"/>
    <n v="0"/>
    <n v="5.4370000000000003"/>
    <n v="5.4370000000000003"/>
    <n v="5.4370000000000003"/>
    <n v="5.4370000000000003"/>
    <n v="2"/>
    <x v="0"/>
    <n v="0"/>
    <n v="0"/>
    <n v="58"/>
    <n v="101"/>
    <n v="0"/>
    <n v="187.79"/>
    <n v="205.9"/>
    <m/>
    <n v="222.93864377382519"/>
    <n v="199.19027968358265"/>
    <n v="0"/>
    <n v="1021.01423"/>
    <n v="1119.4783"/>
    <n v="0"/>
    <n v="1212.1174061982877"/>
    <n v="1082.9975506396388"/>
  </r>
  <r>
    <s v="Sistema de Compensação"/>
    <x v="5"/>
    <x v="5"/>
    <x v="5"/>
    <x v="0"/>
    <x v="0"/>
    <x v="0"/>
    <x v="2"/>
    <x v="7"/>
    <n v="0"/>
    <n v="0"/>
    <n v="45.226999999999997"/>
    <n v="45.226999999999997"/>
    <n v="45.226999999999997"/>
    <n v="45.226999999999997"/>
    <n v="37"/>
    <x v="0"/>
    <n v="0"/>
    <n v="0"/>
    <n v="58"/>
    <n v="101"/>
    <n v="0"/>
    <n v="187.79"/>
    <n v="205.9"/>
    <m/>
    <n v="222.93864377382519"/>
    <n v="199.19027968358265"/>
    <n v="0"/>
    <n v="8493.1783299999988"/>
    <n v="9312.2392999999993"/>
    <n v="0"/>
    <n v="10082.846041958792"/>
    <n v="9008.7787792493909"/>
  </r>
  <r>
    <s v="Regular"/>
    <x v="5"/>
    <x v="5"/>
    <x v="5"/>
    <x v="0"/>
    <x v="0"/>
    <x v="0"/>
    <x v="2"/>
    <x v="8"/>
    <n v="0"/>
    <n v="0"/>
    <n v="6586.8239999999996"/>
    <n v="6586.8239999999996"/>
    <n v="6586.8239999999996"/>
    <n v="6586.8239999999996"/>
    <n v="10420"/>
    <x v="0"/>
    <n v="0"/>
    <n v="0"/>
    <n v="58"/>
    <n v="101"/>
    <n v="0"/>
    <n v="187.79"/>
    <n v="205.9"/>
    <m/>
    <n v="222.93864377382519"/>
    <n v="199.19027968358265"/>
    <n v="0"/>
    <n v="1236939.6789599999"/>
    <n v="1356227.0615999999"/>
    <n v="0"/>
    <n v="1468457.6093368824"/>
    <n v="1312031.3147865345"/>
  </r>
  <r>
    <s v="Refaturamento - Regular"/>
    <x v="5"/>
    <x v="5"/>
    <x v="5"/>
    <x v="0"/>
    <x v="0"/>
    <x v="0"/>
    <x v="2"/>
    <x v="8"/>
    <n v="0"/>
    <n v="0"/>
    <n v="9.1639999999999997"/>
    <n v="9.1639999999999997"/>
    <n v="9.1639999999999997"/>
    <n v="9.1639999999999997"/>
    <n v="4"/>
    <x v="0"/>
    <n v="0"/>
    <n v="0"/>
    <n v="58"/>
    <n v="101"/>
    <n v="0"/>
    <n v="187.79"/>
    <n v="205.9"/>
    <m/>
    <n v="222.93864377382519"/>
    <n v="199.19027968358265"/>
    <n v="0"/>
    <n v="1720.9075599999999"/>
    <n v="1886.8676"/>
    <n v="0"/>
    <n v="2043.0097315433341"/>
    <n v="1825.3797230203513"/>
  </r>
  <r>
    <s v="Sistema de Compensação"/>
    <x v="5"/>
    <x v="5"/>
    <x v="5"/>
    <x v="0"/>
    <x v="0"/>
    <x v="0"/>
    <x v="2"/>
    <x v="8"/>
    <n v="0"/>
    <n v="0"/>
    <n v="25.783000000000001"/>
    <n v="25.783000000000001"/>
    <n v="25.783000000000001"/>
    <n v="25.783000000000001"/>
    <n v="37"/>
    <x v="0"/>
    <n v="0"/>
    <n v="0"/>
    <n v="58"/>
    <n v="101"/>
    <n v="0"/>
    <n v="187.79"/>
    <n v="205.9"/>
    <m/>
    <n v="222.93864377382519"/>
    <n v="199.19027968358265"/>
    <n v="0"/>
    <n v="4841.7895699999999"/>
    <n v="5308.7197000000006"/>
    <n v="0"/>
    <n v="5748.0270524205353"/>
    <n v="5135.7229810818117"/>
  </r>
  <r>
    <s v="Regular"/>
    <x v="5"/>
    <x v="5"/>
    <x v="5"/>
    <x v="0"/>
    <x v="0"/>
    <x v="0"/>
    <x v="2"/>
    <x v="9"/>
    <n v="0"/>
    <n v="0"/>
    <n v="6982.9350000000004"/>
    <n v="6982.9350000000004"/>
    <n v="6982.9350000000004"/>
    <n v="6982.9350000000004"/>
    <n v="10416"/>
    <x v="0"/>
    <n v="0"/>
    <n v="0"/>
    <n v="58"/>
    <n v="101"/>
    <n v="0"/>
    <n v="187.79"/>
    <n v="205.9"/>
    <m/>
    <n v="222.93864377382519"/>
    <n v="199.19027968358265"/>
    <n v="0"/>
    <n v="1311325.36365"/>
    <n v="1437786.3165000002"/>
    <n v="0"/>
    <n v="1556766.058460776"/>
    <n v="1390932.7756622783"/>
  </r>
  <r>
    <s v="Refaturamento - Regular"/>
    <x v="5"/>
    <x v="5"/>
    <x v="5"/>
    <x v="0"/>
    <x v="0"/>
    <x v="0"/>
    <x v="2"/>
    <x v="9"/>
    <n v="0"/>
    <n v="0"/>
    <n v="19.53"/>
    <n v="19.53"/>
    <n v="19.53"/>
    <n v="19.53"/>
    <n v="8"/>
    <x v="0"/>
    <n v="0"/>
    <n v="0"/>
    <n v="58"/>
    <n v="101"/>
    <n v="0"/>
    <n v="187.79"/>
    <n v="205.9"/>
    <m/>
    <n v="222.93864377382519"/>
    <n v="199.19027968358265"/>
    <n v="0"/>
    <n v="3667.5387000000001"/>
    <n v="4021.2270000000003"/>
    <n v="0"/>
    <n v="4353.9917129028063"/>
    <n v="3890.1861622203692"/>
  </r>
  <r>
    <s v="Sistema de Compensação"/>
    <x v="5"/>
    <x v="5"/>
    <x v="5"/>
    <x v="0"/>
    <x v="0"/>
    <x v="0"/>
    <x v="2"/>
    <x v="9"/>
    <n v="0"/>
    <n v="0"/>
    <n v="23.128"/>
    <n v="23.128"/>
    <n v="23.128"/>
    <n v="23.128"/>
    <n v="36"/>
    <x v="0"/>
    <n v="0"/>
    <n v="0"/>
    <n v="58"/>
    <n v="101"/>
    <n v="0"/>
    <n v="187.79"/>
    <n v="205.9"/>
    <m/>
    <n v="222.93864377382519"/>
    <n v="199.19027968358265"/>
    <n v="0"/>
    <n v="4343.20712"/>
    <n v="4762.0551999999998"/>
    <n v="0"/>
    <n v="5156.1249532010288"/>
    <n v="4606.8727885218996"/>
  </r>
  <r>
    <s v="Regular"/>
    <x v="5"/>
    <x v="5"/>
    <x v="5"/>
    <x v="0"/>
    <x v="0"/>
    <x v="0"/>
    <x v="2"/>
    <x v="10"/>
    <n v="0"/>
    <n v="0"/>
    <n v="7965.4070000000002"/>
    <n v="7965.4070000000002"/>
    <n v="7965.4070000000002"/>
    <n v="7965.4070000000002"/>
    <n v="10423"/>
    <x v="0"/>
    <n v="0"/>
    <n v="0"/>
    <n v="58"/>
    <n v="101"/>
    <n v="0"/>
    <n v="187.79"/>
    <n v="205.9"/>
    <m/>
    <n v="222.93864377382519"/>
    <n v="199.19027968358265"/>
    <n v="0"/>
    <n v="1495823.7805299999"/>
    <n v="1640077.3013000002"/>
    <n v="0"/>
    <n v="1775797.0336865336"/>
    <n v="1586631.648123567"/>
  </r>
  <r>
    <s v="Refaturamento - Regular"/>
    <x v="5"/>
    <x v="5"/>
    <x v="5"/>
    <x v="0"/>
    <x v="0"/>
    <x v="0"/>
    <x v="2"/>
    <x v="10"/>
    <n v="0"/>
    <n v="0"/>
    <n v="33.576999999999998"/>
    <n v="33.576999999999998"/>
    <n v="33.576999999999998"/>
    <n v="33.576999999999998"/>
    <n v="7"/>
    <x v="0"/>
    <n v="0"/>
    <n v="0"/>
    <n v="58"/>
    <n v="101"/>
    <n v="0"/>
    <n v="187.79"/>
    <n v="205.9"/>
    <m/>
    <n v="222.93864377382519"/>
    <n v="199.19027968358265"/>
    <n v="0"/>
    <n v="6305.424829999999"/>
    <n v="6913.5042999999996"/>
    <n v="0"/>
    <n v="7485.6108419937282"/>
    <n v="6688.2120209356544"/>
  </r>
  <r>
    <s v="Sistema de Compensação"/>
    <x v="5"/>
    <x v="5"/>
    <x v="5"/>
    <x v="0"/>
    <x v="0"/>
    <x v="0"/>
    <x v="2"/>
    <x v="10"/>
    <n v="0"/>
    <n v="0"/>
    <n v="19.637"/>
    <n v="19.637"/>
    <n v="19.637"/>
    <n v="19.637"/>
    <n v="36"/>
    <x v="0"/>
    <n v="0"/>
    <n v="0"/>
    <n v="58"/>
    <n v="101"/>
    <n v="0"/>
    <n v="187.79"/>
    <n v="205.9"/>
    <m/>
    <n v="222.93864377382519"/>
    <n v="199.19027968358265"/>
    <n v="0"/>
    <n v="3687.6322299999997"/>
    <n v="4043.2583000000004"/>
    <n v="0"/>
    <n v="4377.8461477866058"/>
    <n v="3911.4995221465124"/>
  </r>
  <r>
    <s v="PROJETADO"/>
    <x v="5"/>
    <x v="5"/>
    <x v="5"/>
    <x v="0"/>
    <x v="0"/>
    <x v="0"/>
    <x v="2"/>
    <x v="11"/>
    <n v="0"/>
    <n v="0"/>
    <n v="7965.4070000000002"/>
    <n v="7965.4070000000002"/>
    <n v="7965.4070000000002"/>
    <n v="7965.4070000000002"/>
    <n v="10423"/>
    <x v="0"/>
    <n v="0"/>
    <n v="0"/>
    <n v="58"/>
    <n v="101"/>
    <n v="0"/>
    <n v="187.79"/>
    <n v="205.9"/>
    <m/>
    <n v="222.93864377382519"/>
    <n v="199.19027968358265"/>
    <n v="0"/>
    <n v="1495823.7805299999"/>
    <n v="1640077.3013000002"/>
    <n v="0"/>
    <n v="1775797.0336865336"/>
    <n v="1586631.648123567"/>
  </r>
  <r>
    <s v="PROJETADO"/>
    <x v="5"/>
    <x v="5"/>
    <x v="5"/>
    <x v="0"/>
    <x v="0"/>
    <x v="0"/>
    <x v="2"/>
    <x v="11"/>
    <n v="0"/>
    <n v="0"/>
    <n v="33.576999999999998"/>
    <n v="33.576999999999998"/>
    <n v="33.576999999999998"/>
    <n v="33.576999999999998"/>
    <n v="7"/>
    <x v="0"/>
    <n v="0"/>
    <n v="0"/>
    <n v="58"/>
    <n v="101"/>
    <n v="0"/>
    <n v="187.79"/>
    <n v="205.9"/>
    <m/>
    <n v="222.93864377382519"/>
    <n v="199.19027968358265"/>
    <n v="0"/>
    <n v="6305.424829999999"/>
    <n v="6913.5042999999996"/>
    <n v="0"/>
    <n v="7485.6108419937282"/>
    <n v="6688.2120209356544"/>
  </r>
  <r>
    <s v="PROJETADO"/>
    <x v="5"/>
    <x v="5"/>
    <x v="5"/>
    <x v="0"/>
    <x v="0"/>
    <x v="0"/>
    <x v="2"/>
    <x v="11"/>
    <n v="0"/>
    <n v="0"/>
    <n v="19.637"/>
    <n v="19.637"/>
    <n v="19.637"/>
    <n v="19.637"/>
    <n v="36"/>
    <x v="0"/>
    <n v="0"/>
    <n v="0"/>
    <n v="58"/>
    <n v="101"/>
    <n v="0"/>
    <n v="187.79"/>
    <n v="205.9"/>
    <m/>
    <n v="222.93864377382519"/>
    <n v="199.19027968358265"/>
    <n v="0"/>
    <n v="3687.6322299999997"/>
    <n v="4043.2583000000004"/>
    <n v="0"/>
    <n v="4377.8461477866058"/>
    <n v="3911.4995221465124"/>
  </r>
  <r>
    <s v="Regular"/>
    <x v="6"/>
    <x v="4"/>
    <x v="0"/>
    <x v="0"/>
    <x v="0"/>
    <x v="0"/>
    <x v="0"/>
    <x v="0"/>
    <n v="0"/>
    <n v="0"/>
    <n v="356.14499999999998"/>
    <n v="356.14499999999998"/>
    <n v="356.14499999999998"/>
    <n v="356.14499999999998"/>
    <n v="0"/>
    <x v="0"/>
    <n v="0"/>
    <n v="0"/>
    <n v="72"/>
    <n v="115"/>
    <n v="0"/>
    <n v="197.19"/>
    <n v="256.38"/>
    <m/>
    <n v="213.95474196987553"/>
    <n v="230.84299908458948"/>
    <n v="0"/>
    <n v="70228.232550000001"/>
    <n v="91308.455099999992"/>
    <n v="0"/>
    <n v="76198.911578861313"/>
    <n v="82213.579908981119"/>
  </r>
  <r>
    <s v="Refaturamento - Regular"/>
    <x v="6"/>
    <x v="4"/>
    <x v="0"/>
    <x v="0"/>
    <x v="0"/>
    <x v="0"/>
    <x v="0"/>
    <x v="0"/>
    <n v="0"/>
    <n v="0"/>
    <n v="4.3330000000000002"/>
    <n v="4.3330000000000002"/>
    <n v="4.3330000000000002"/>
    <n v="4.3330000000000002"/>
    <n v="0"/>
    <x v="0"/>
    <n v="0"/>
    <n v="0"/>
    <n v="72"/>
    <n v="115"/>
    <n v="0"/>
    <n v="197.19"/>
    <n v="256.38"/>
    <m/>
    <n v="213.95474196987553"/>
    <n v="230.84299908458948"/>
    <n v="0"/>
    <n v="854.42426999999998"/>
    <n v="1110.89454"/>
    <n v="0"/>
    <n v="927.06589695547075"/>
    <n v="1000.2427150335262"/>
  </r>
  <r>
    <s v="Regular"/>
    <x v="6"/>
    <x v="4"/>
    <x v="0"/>
    <x v="0"/>
    <x v="0"/>
    <x v="0"/>
    <x v="0"/>
    <x v="1"/>
    <n v="0"/>
    <n v="0"/>
    <n v="1406.1969999999999"/>
    <n v="1406.1969999999999"/>
    <n v="1406.1969999999999"/>
    <n v="1406.1969999999999"/>
    <n v="0"/>
    <x v="0"/>
    <n v="0"/>
    <n v="0"/>
    <n v="72"/>
    <n v="115"/>
    <n v="0"/>
    <n v="197.19"/>
    <n v="256.38"/>
    <m/>
    <n v="213.95474196987553"/>
    <n v="230.84299908458948"/>
    <n v="0"/>
    <n v="277287.98642999999"/>
    <n v="360520.78685999999"/>
    <n v="0"/>
    <n v="300862.51629381301"/>
    <n v="324610.73278375244"/>
  </r>
  <r>
    <s v="Refaturamento - Regular"/>
    <x v="6"/>
    <x v="4"/>
    <x v="0"/>
    <x v="0"/>
    <x v="0"/>
    <x v="0"/>
    <x v="0"/>
    <x v="1"/>
    <n v="0"/>
    <n v="0"/>
    <n v="6.7350000000000003"/>
    <n v="6.7350000000000003"/>
    <n v="6.7350000000000003"/>
    <n v="6.7350000000000003"/>
    <n v="0"/>
    <x v="0"/>
    <n v="0"/>
    <n v="0"/>
    <n v="72"/>
    <n v="115"/>
    <n v="0"/>
    <n v="197.19"/>
    <n v="256.38"/>
    <m/>
    <n v="213.95474196987553"/>
    <n v="230.84299908458948"/>
    <n v="0"/>
    <n v="1328.07465"/>
    <n v="1726.7193"/>
    <n v="0"/>
    <n v="1440.9851871671117"/>
    <n v="1554.7275988347103"/>
  </r>
  <r>
    <s v="Refaturamento - Regular"/>
    <x v="6"/>
    <x v="4"/>
    <x v="0"/>
    <x v="0"/>
    <x v="0"/>
    <x v="0"/>
    <x v="0"/>
    <x v="2"/>
    <n v="0"/>
    <n v="0"/>
    <n v="-612.67399999999998"/>
    <n v="-612.67399999999998"/>
    <n v="-612.67399999999998"/>
    <n v="-612.67399999999998"/>
    <n v="0"/>
    <x v="0"/>
    <n v="0"/>
    <n v="0"/>
    <n v="72"/>
    <n v="115"/>
    <n v="0"/>
    <n v="197.19"/>
    <n v="256.38"/>
    <m/>
    <n v="213.95474196987553"/>
    <n v="230.84299908458948"/>
    <n v="0"/>
    <n v="-120813.18605999999"/>
    <n v="-157077.36012"/>
    <n v="0"/>
    <n v="-131084.5075816515"/>
    <n v="-141431.50362115176"/>
  </r>
  <r>
    <s v="Regular"/>
    <x v="6"/>
    <x v="4"/>
    <x v="0"/>
    <x v="0"/>
    <x v="0"/>
    <x v="0"/>
    <x v="0"/>
    <x v="3"/>
    <n v="0"/>
    <n v="0"/>
    <n v="371.50200000000001"/>
    <n v="371.50200000000001"/>
    <n v="371.50200000000001"/>
    <n v="371.50200000000001"/>
    <n v="0"/>
    <x v="0"/>
    <n v="0"/>
    <n v="0"/>
    <n v="72"/>
    <n v="115"/>
    <n v="0"/>
    <n v="197.19"/>
    <n v="256.38"/>
    <m/>
    <n v="213.95474196987553"/>
    <n v="230.84299908458948"/>
    <n v="0"/>
    <n v="73256.479380000004"/>
    <n v="95245.682759999996"/>
    <n v="0"/>
    <n v="79484.614551292703"/>
    <n v="85758.635845923156"/>
  </r>
  <r>
    <s v="Refaturamento - Regular"/>
    <x v="6"/>
    <x v="4"/>
    <x v="0"/>
    <x v="0"/>
    <x v="0"/>
    <x v="0"/>
    <x v="0"/>
    <x v="3"/>
    <n v="0"/>
    <n v="0"/>
    <n v="2.9089999999999998"/>
    <n v="2.9089999999999998"/>
    <n v="2.9089999999999998"/>
    <n v="2.9089999999999998"/>
    <n v="0"/>
    <x v="0"/>
    <n v="0"/>
    <n v="0"/>
    <n v="72"/>
    <n v="115"/>
    <n v="0"/>
    <n v="197.19"/>
    <n v="256.38"/>
    <m/>
    <n v="213.95474196987553"/>
    <n v="230.84299908458948"/>
    <n v="0"/>
    <n v="573.62570999999991"/>
    <n v="745.80941999999993"/>
    <n v="0"/>
    <n v="622.39434439036791"/>
    <n v="671.5222843370708"/>
  </r>
  <r>
    <s v="Regular"/>
    <x v="6"/>
    <x v="4"/>
    <x v="0"/>
    <x v="0"/>
    <x v="0"/>
    <x v="0"/>
    <x v="0"/>
    <x v="4"/>
    <n v="0"/>
    <n v="0"/>
    <n v="340.529"/>
    <n v="340.529"/>
    <n v="340.529"/>
    <n v="340.529"/>
    <n v="0"/>
    <x v="0"/>
    <n v="0"/>
    <n v="0"/>
    <n v="72"/>
    <n v="115"/>
    <n v="0"/>
    <n v="197.19"/>
    <n v="256.38"/>
    <m/>
    <n v="213.95474196987553"/>
    <n v="230.84299908458948"/>
    <n v="0"/>
    <n v="67148.913509999998"/>
    <n v="87304.825020000004"/>
    <n v="0"/>
    <n v="72857.794328259741"/>
    <n v="78608.735635276171"/>
  </r>
  <r>
    <s v="Refaturamento - Regular"/>
    <x v="6"/>
    <x v="4"/>
    <x v="0"/>
    <x v="0"/>
    <x v="0"/>
    <x v="0"/>
    <x v="0"/>
    <x v="4"/>
    <n v="0"/>
    <n v="0"/>
    <n v="10.749000000000001"/>
    <n v="10.749000000000001"/>
    <n v="10.749000000000001"/>
    <n v="10.749000000000001"/>
    <n v="0"/>
    <x v="0"/>
    <n v="0"/>
    <n v="0"/>
    <n v="72"/>
    <n v="115"/>
    <n v="0"/>
    <n v="197.19"/>
    <n v="256.38"/>
    <m/>
    <n v="213.95474196987553"/>
    <n v="230.84299908458948"/>
    <n v="0"/>
    <n v="2119.5953100000002"/>
    <n v="2755.8286200000002"/>
    <n v="0"/>
    <n v="2299.7995214341922"/>
    <n v="2481.3313971602524"/>
  </r>
  <r>
    <s v="Regular"/>
    <x v="6"/>
    <x v="4"/>
    <x v="0"/>
    <x v="0"/>
    <x v="0"/>
    <x v="0"/>
    <x v="0"/>
    <x v="5"/>
    <n v="0"/>
    <n v="0"/>
    <n v="329.55099999999999"/>
    <n v="329.55099999999999"/>
    <n v="329.55099999999999"/>
    <n v="329.55099999999999"/>
    <n v="0"/>
    <x v="0"/>
    <n v="0"/>
    <n v="0"/>
    <n v="72"/>
    <n v="115"/>
    <n v="0"/>
    <n v="197.19"/>
    <n v="256.38"/>
    <m/>
    <n v="213.95474196987553"/>
    <n v="230.84299908458948"/>
    <n v="0"/>
    <n v="64984.161689999994"/>
    <n v="84490.285380000001"/>
    <n v="0"/>
    <n v="70508.999170914452"/>
    <n v="76074.541191325538"/>
  </r>
  <r>
    <s v="Refaturamento - Regular"/>
    <x v="6"/>
    <x v="4"/>
    <x v="0"/>
    <x v="0"/>
    <x v="0"/>
    <x v="0"/>
    <x v="0"/>
    <x v="5"/>
    <n v="0"/>
    <n v="0"/>
    <n v="9.5969999999999995"/>
    <n v="9.5969999999999995"/>
    <n v="9.5969999999999995"/>
    <n v="9.5969999999999995"/>
    <n v="0"/>
    <x v="0"/>
    <n v="0"/>
    <n v="0"/>
    <n v="72"/>
    <n v="115"/>
    <n v="0"/>
    <n v="197.19"/>
    <n v="256.38"/>
    <m/>
    <n v="213.95474196987553"/>
    <n v="230.84299908458948"/>
    <n v="0"/>
    <n v="1892.4324299999998"/>
    <n v="2460.4788599999997"/>
    <n v="0"/>
    <n v="2053.3236586848952"/>
    <n v="2215.400262214805"/>
  </r>
  <r>
    <s v="Regular"/>
    <x v="6"/>
    <x v="4"/>
    <x v="0"/>
    <x v="0"/>
    <x v="0"/>
    <x v="0"/>
    <x v="0"/>
    <x v="6"/>
    <n v="0"/>
    <n v="0"/>
    <n v="286.34399999999999"/>
    <n v="286.34399999999999"/>
    <n v="286.34399999999999"/>
    <n v="286.34399999999999"/>
    <n v="0"/>
    <x v="0"/>
    <n v="0"/>
    <n v="0"/>
    <n v="72"/>
    <n v="115"/>
    <n v="0"/>
    <n v="197.19"/>
    <n v="256.38"/>
    <m/>
    <n v="213.95474196987553"/>
    <n v="230.84299908458948"/>
    <n v="0"/>
    <n v="56464.173360000001"/>
    <n v="73412.874719999993"/>
    <n v="0"/>
    <n v="61264.656634622035"/>
    <n v="66100.507729877689"/>
  </r>
  <r>
    <s v="Refaturamento - Regular"/>
    <x v="6"/>
    <x v="4"/>
    <x v="0"/>
    <x v="0"/>
    <x v="0"/>
    <x v="0"/>
    <x v="0"/>
    <x v="6"/>
    <n v="0"/>
    <n v="0"/>
    <n v="3.1139999999999999"/>
    <n v="3.1139999999999999"/>
    <n v="3.1139999999999999"/>
    <n v="3.1139999999999999"/>
    <n v="0"/>
    <x v="0"/>
    <n v="0"/>
    <n v="0"/>
    <n v="72"/>
    <n v="115"/>
    <n v="0"/>
    <n v="197.19"/>
    <n v="256.38"/>
    <m/>
    <n v="213.95474196987553"/>
    <n v="230.84299908458948"/>
    <n v="0"/>
    <n v="614.04966000000002"/>
    <n v="798.36731999999995"/>
    <n v="0"/>
    <n v="666.25506649419242"/>
    <n v="718.84509914941157"/>
  </r>
  <r>
    <s v="Regular"/>
    <x v="6"/>
    <x v="4"/>
    <x v="0"/>
    <x v="0"/>
    <x v="0"/>
    <x v="0"/>
    <x v="0"/>
    <x v="7"/>
    <n v="0"/>
    <n v="0"/>
    <n v="231.03899999999999"/>
    <n v="231.03899999999999"/>
    <n v="231.03899999999999"/>
    <n v="231.03899999999999"/>
    <n v="0"/>
    <x v="0"/>
    <n v="0"/>
    <n v="0"/>
    <n v="72"/>
    <n v="115"/>
    <n v="0"/>
    <n v="197.19"/>
    <n v="256.38"/>
    <m/>
    <n v="213.95474196987553"/>
    <n v="230.84299908458948"/>
    <n v="0"/>
    <n v="45558.580409999995"/>
    <n v="59233.778819999992"/>
    <n v="0"/>
    <n v="49431.889629978068"/>
    <n v="53333.735665504464"/>
  </r>
  <r>
    <s v="Refaturamento - Regular"/>
    <x v="6"/>
    <x v="4"/>
    <x v="0"/>
    <x v="0"/>
    <x v="0"/>
    <x v="0"/>
    <x v="0"/>
    <x v="7"/>
    <n v="0"/>
    <n v="0"/>
    <n v="15.269"/>
    <n v="15.269"/>
    <n v="15.269"/>
    <n v="15.269"/>
    <n v="0"/>
    <x v="0"/>
    <n v="0"/>
    <n v="0"/>
    <n v="72"/>
    <n v="115"/>
    <n v="0"/>
    <n v="197.19"/>
    <n v="256.38"/>
    <m/>
    <n v="213.95474196987553"/>
    <n v="230.84299908458948"/>
    <n v="0"/>
    <n v="3010.8941100000002"/>
    <n v="3914.6662200000001"/>
    <n v="0"/>
    <n v="3266.8749551380292"/>
    <n v="3524.7417530225966"/>
  </r>
  <r>
    <s v="Regular"/>
    <x v="6"/>
    <x v="4"/>
    <x v="0"/>
    <x v="0"/>
    <x v="0"/>
    <x v="0"/>
    <x v="0"/>
    <x v="8"/>
    <n v="0"/>
    <n v="0"/>
    <n v="219.911"/>
    <n v="219.911"/>
    <n v="219.911"/>
    <n v="219.911"/>
    <n v="0"/>
    <x v="0"/>
    <n v="0"/>
    <n v="0"/>
    <n v="72"/>
    <n v="115"/>
    <n v="0"/>
    <n v="197.19"/>
    <n v="256.38"/>
    <m/>
    <n v="213.95474196987553"/>
    <n v="230.84299908458948"/>
    <n v="0"/>
    <n v="43364.250090000001"/>
    <n v="56380.782180000002"/>
    <n v="0"/>
    <n v="47051.001261337296"/>
    <n v="50764.914771691154"/>
  </r>
  <r>
    <s v="Refaturamento - Regular"/>
    <x v="6"/>
    <x v="4"/>
    <x v="0"/>
    <x v="0"/>
    <x v="0"/>
    <x v="0"/>
    <x v="0"/>
    <x v="8"/>
    <n v="0"/>
    <n v="0"/>
    <n v="8.19"/>
    <n v="8.19"/>
    <n v="8.19"/>
    <n v="8.19"/>
    <n v="0"/>
    <x v="0"/>
    <n v="0"/>
    <n v="0"/>
    <n v="72"/>
    <n v="115"/>
    <n v="0"/>
    <n v="197.19"/>
    <n v="256.38"/>
    <m/>
    <n v="213.95474196987553"/>
    <n v="230.84299908458948"/>
    <n v="0"/>
    <n v="1614.9860999999999"/>
    <n v="2099.7521999999999"/>
    <n v="0"/>
    <n v="1752.2893367332804"/>
    <n v="1890.6041625027876"/>
  </r>
  <r>
    <s v="Regular"/>
    <x v="6"/>
    <x v="4"/>
    <x v="0"/>
    <x v="0"/>
    <x v="0"/>
    <x v="0"/>
    <x v="0"/>
    <x v="9"/>
    <n v="0"/>
    <n v="0"/>
    <n v="244.19200000000001"/>
    <n v="244.19200000000001"/>
    <n v="244.19200000000001"/>
    <n v="244.19200000000001"/>
    <n v="0"/>
    <x v="0"/>
    <n v="0"/>
    <n v="0"/>
    <n v="72"/>
    <n v="115"/>
    <n v="0"/>
    <n v="197.19"/>
    <n v="256.38"/>
    <m/>
    <n v="213.95474196987553"/>
    <n v="230.84299908458948"/>
    <n v="0"/>
    <n v="48152.220480000004"/>
    <n v="62605.944960000001"/>
    <n v="0"/>
    <n v="52246.036351107847"/>
    <n v="56370.013632464077"/>
  </r>
  <r>
    <s v="Refaturamento - Regular"/>
    <x v="6"/>
    <x v="4"/>
    <x v="0"/>
    <x v="0"/>
    <x v="0"/>
    <x v="0"/>
    <x v="0"/>
    <x v="9"/>
    <n v="0"/>
    <n v="0"/>
    <n v="0.77200000000000002"/>
    <n v="0.77200000000000002"/>
    <n v="0.77200000000000002"/>
    <n v="0.77200000000000002"/>
    <n v="0"/>
    <x v="0"/>
    <n v="0"/>
    <n v="0"/>
    <n v="72"/>
    <n v="115"/>
    <n v="0"/>
    <n v="197.19"/>
    <n v="256.38"/>
    <m/>
    <n v="213.95474196987553"/>
    <n v="230.84299908458948"/>
    <n v="0"/>
    <n v="152.23068000000001"/>
    <n v="197.92536000000001"/>
    <n v="0"/>
    <n v="165.17306080074391"/>
    <n v="178.21079529330308"/>
  </r>
  <r>
    <s v="Regular"/>
    <x v="6"/>
    <x v="4"/>
    <x v="0"/>
    <x v="0"/>
    <x v="0"/>
    <x v="0"/>
    <x v="0"/>
    <x v="10"/>
    <n v="0"/>
    <n v="0"/>
    <n v="252.02600000000001"/>
    <n v="252.02600000000001"/>
    <n v="252.02600000000001"/>
    <n v="252.02600000000001"/>
    <n v="0"/>
    <x v="0"/>
    <n v="0"/>
    <n v="0"/>
    <n v="72"/>
    <n v="115"/>
    <n v="0"/>
    <n v="197.19"/>
    <n v="256.38"/>
    <m/>
    <n v="213.95474196987553"/>
    <n v="230.84299908458948"/>
    <n v="0"/>
    <n v="49697.006939999999"/>
    <n v="64614.425880000003"/>
    <n v="0"/>
    <n v="53922.157799699853"/>
    <n v="58178.437687292753"/>
  </r>
  <r>
    <s v="Refaturamento - Regular"/>
    <x v="6"/>
    <x v="4"/>
    <x v="0"/>
    <x v="0"/>
    <x v="0"/>
    <x v="0"/>
    <x v="0"/>
    <x v="10"/>
    <n v="0"/>
    <n v="0"/>
    <n v="17.361000000000001"/>
    <n v="17.361000000000001"/>
    <n v="17.361000000000001"/>
    <n v="17.361000000000001"/>
    <n v="0"/>
    <x v="0"/>
    <n v="0"/>
    <n v="0"/>
    <n v="72"/>
    <n v="115"/>
    <n v="0"/>
    <n v="197.19"/>
    <n v="256.38"/>
    <m/>
    <n v="213.95474196987553"/>
    <n v="230.84299908458948"/>
    <n v="0"/>
    <n v="3423.4155900000001"/>
    <n v="4451.0131799999999"/>
    <n v="0"/>
    <n v="3714.4682753390093"/>
    <n v="4007.665307107558"/>
  </r>
  <r>
    <s v="PROJETADO"/>
    <x v="6"/>
    <x v="4"/>
    <x v="0"/>
    <x v="0"/>
    <x v="0"/>
    <x v="0"/>
    <x v="0"/>
    <x v="11"/>
    <n v="0"/>
    <n v="0"/>
    <n v="252.02600000000001"/>
    <n v="252.02600000000001"/>
    <n v="252.02600000000001"/>
    <n v="252.02600000000001"/>
    <n v="0"/>
    <x v="0"/>
    <n v="0"/>
    <n v="0"/>
    <n v="72"/>
    <n v="115"/>
    <n v="0"/>
    <n v="197.19"/>
    <n v="256.38"/>
    <m/>
    <n v="213.95474196987553"/>
    <n v="230.84299908458948"/>
    <n v="0"/>
    <n v="49697.006939999999"/>
    <n v="64614.425880000003"/>
    <n v="0"/>
    <n v="53922.157799699853"/>
    <n v="58178.437687292753"/>
  </r>
  <r>
    <s v="PROJETADO"/>
    <x v="6"/>
    <x v="4"/>
    <x v="0"/>
    <x v="0"/>
    <x v="0"/>
    <x v="0"/>
    <x v="0"/>
    <x v="11"/>
    <n v="0"/>
    <n v="0"/>
    <n v="17.361000000000001"/>
    <n v="17.361000000000001"/>
    <n v="17.361000000000001"/>
    <n v="17.361000000000001"/>
    <n v="0"/>
    <x v="0"/>
    <n v="0"/>
    <n v="0"/>
    <n v="72"/>
    <n v="115"/>
    <n v="0"/>
    <n v="197.19"/>
    <n v="256.38"/>
    <m/>
    <n v="213.95474196987553"/>
    <n v="230.84299908458948"/>
    <n v="0"/>
    <n v="3423.4155900000001"/>
    <n v="4451.0131799999999"/>
    <n v="0"/>
    <n v="3714.4682753390093"/>
    <n v="4007.665307107558"/>
  </r>
  <r>
    <s v="Regular"/>
    <x v="6"/>
    <x v="4"/>
    <x v="0"/>
    <x v="0"/>
    <x v="0"/>
    <x v="0"/>
    <x v="3"/>
    <x v="0"/>
    <n v="0"/>
    <n v="0"/>
    <n v="23.257999999999999"/>
    <n v="23.257999999999999"/>
    <n v="23.257999999999999"/>
    <n v="23.257999999999999"/>
    <n v="0"/>
    <x v="0"/>
    <n v="0"/>
    <n v="0"/>
    <n v="71"/>
    <n v="114"/>
    <n v="0"/>
    <n v="374.6"/>
    <n v="256.38"/>
    <m/>
    <n v="419.89908143173358"/>
    <n v="230.84299908458948"/>
    <n v="0"/>
    <n v="8712.4467999999997"/>
    <n v="5962.8860399999994"/>
    <n v="0"/>
    <n v="9766.0128359392584"/>
    <n v="5368.9464727093819"/>
  </r>
  <r>
    <s v="Refaturamento - Regular"/>
    <x v="6"/>
    <x v="4"/>
    <x v="0"/>
    <x v="0"/>
    <x v="0"/>
    <x v="0"/>
    <x v="3"/>
    <x v="0"/>
    <n v="0"/>
    <n v="0"/>
    <n v="0.223"/>
    <n v="0.223"/>
    <n v="0.223"/>
    <n v="0.223"/>
    <n v="0"/>
    <x v="0"/>
    <n v="0"/>
    <n v="0"/>
    <n v="71"/>
    <n v="114"/>
    <n v="0"/>
    <n v="374.6"/>
    <n v="256.38"/>
    <m/>
    <n v="419.89908143173358"/>
    <n v="230.84299908458948"/>
    <n v="0"/>
    <n v="83.535800000000009"/>
    <n v="57.172739999999997"/>
    <n v="0"/>
    <n v="93.637495159276583"/>
    <n v="51.477988795863453"/>
  </r>
  <r>
    <s v="Sistema de Compensação"/>
    <x v="6"/>
    <x v="4"/>
    <x v="0"/>
    <x v="0"/>
    <x v="0"/>
    <x v="0"/>
    <x v="3"/>
    <x v="0"/>
    <n v="0"/>
    <n v="0"/>
    <n v="1.6"/>
    <n v="1.6"/>
    <n v="1.6"/>
    <n v="1.6"/>
    <n v="0"/>
    <x v="0"/>
    <n v="0"/>
    <n v="0"/>
    <n v="71"/>
    <n v="114"/>
    <n v="0"/>
    <n v="374.6"/>
    <n v="256.38"/>
    <m/>
    <n v="419.89908143173358"/>
    <n v="230.84299908458948"/>
    <n v="0"/>
    <n v="599.36"/>
    <n v="410.20800000000003"/>
    <n v="0"/>
    <n v="671.83853029077375"/>
    <n v="369.34879853534318"/>
  </r>
  <r>
    <s v="Regular"/>
    <x v="6"/>
    <x v="4"/>
    <x v="0"/>
    <x v="0"/>
    <x v="0"/>
    <x v="0"/>
    <x v="3"/>
    <x v="1"/>
    <n v="0"/>
    <n v="0"/>
    <n v="1025.3979999999999"/>
    <n v="1025.3979999999999"/>
    <n v="1025.3979999999999"/>
    <n v="1025.3979999999999"/>
    <n v="0"/>
    <x v="0"/>
    <n v="0"/>
    <n v="0"/>
    <n v="71"/>
    <n v="114"/>
    <n v="0"/>
    <n v="374.6"/>
    <n v="256.38"/>
    <m/>
    <n v="419.89908143173358"/>
    <n v="230.84299908458948"/>
    <n v="0"/>
    <n v="384114.09080000001"/>
    <n v="262891.53923999995"/>
    <n v="0"/>
    <n v="430563.67830193671"/>
    <n v="236705.94957533985"/>
  </r>
  <r>
    <s v="Refaturamento - Regular"/>
    <x v="6"/>
    <x v="4"/>
    <x v="0"/>
    <x v="0"/>
    <x v="0"/>
    <x v="0"/>
    <x v="3"/>
    <x v="1"/>
    <n v="0"/>
    <n v="0"/>
    <n v="0.27800000000000002"/>
    <n v="0.27800000000000002"/>
    <n v="0.27800000000000002"/>
    <n v="0.27800000000000002"/>
    <n v="0"/>
    <x v="0"/>
    <n v="0"/>
    <n v="0"/>
    <n v="71"/>
    <n v="114"/>
    <n v="0"/>
    <n v="374.6"/>
    <n v="256.38"/>
    <m/>
    <n v="419.89908143173358"/>
    <n v="230.84299908458948"/>
    <n v="0"/>
    <n v="104.13880000000002"/>
    <n v="71.27364"/>
    <n v="0"/>
    <n v="116.73194463802194"/>
    <n v="64.174353745515887"/>
  </r>
  <r>
    <s v="Sistema de Compensação"/>
    <x v="6"/>
    <x v="4"/>
    <x v="0"/>
    <x v="0"/>
    <x v="0"/>
    <x v="0"/>
    <x v="3"/>
    <x v="1"/>
    <n v="0"/>
    <n v="0"/>
    <n v="3.52"/>
    <n v="3.52"/>
    <n v="3.52"/>
    <n v="3.52"/>
    <n v="0"/>
    <x v="0"/>
    <n v="0"/>
    <n v="0"/>
    <n v="71"/>
    <n v="114"/>
    <n v="0"/>
    <n v="374.6"/>
    <n v="256.38"/>
    <m/>
    <n v="419.89908143173358"/>
    <n v="230.84299908458948"/>
    <n v="0"/>
    <n v="1318.5920000000001"/>
    <n v="902.45759999999996"/>
    <n v="0"/>
    <n v="1478.0447666397022"/>
    <n v="812.56735677775498"/>
  </r>
  <r>
    <s v="Refaturamento - Regular"/>
    <x v="6"/>
    <x v="4"/>
    <x v="0"/>
    <x v="0"/>
    <x v="0"/>
    <x v="0"/>
    <x v="3"/>
    <x v="2"/>
    <n v="0"/>
    <n v="0"/>
    <n v="-973.471"/>
    <n v="-973.471"/>
    <n v="-973.471"/>
    <n v="-973.471"/>
    <n v="0"/>
    <x v="0"/>
    <n v="0"/>
    <n v="0"/>
    <n v="71"/>
    <n v="114"/>
    <n v="0"/>
    <n v="374.6"/>
    <n v="256.38"/>
    <m/>
    <n v="419.89908143173358"/>
    <n v="230.84299908458948"/>
    <n v="0"/>
    <n v="-364662.2366"/>
    <n v="-249578.49497999999"/>
    <n v="0"/>
    <n v="-408759.5787004311"/>
    <n v="-224718.9651618744"/>
  </r>
  <r>
    <s v="Sistema de Compensação"/>
    <x v="6"/>
    <x v="4"/>
    <x v="0"/>
    <x v="0"/>
    <x v="0"/>
    <x v="0"/>
    <x v="3"/>
    <x v="2"/>
    <n v="0"/>
    <n v="0"/>
    <n v="1.28"/>
    <n v="1.28"/>
    <n v="1.28"/>
    <n v="1.28"/>
    <n v="0"/>
    <x v="0"/>
    <n v="0"/>
    <n v="0"/>
    <n v="71"/>
    <n v="114"/>
    <n v="0"/>
    <n v="374.6"/>
    <n v="256.38"/>
    <m/>
    <n v="419.89908143173358"/>
    <n v="230.84299908458948"/>
    <n v="0"/>
    <n v="479.48800000000006"/>
    <n v="328.16640000000001"/>
    <n v="0"/>
    <n v="537.47082423261895"/>
    <n v="295.47903882827455"/>
  </r>
  <r>
    <s v="Regular"/>
    <x v="6"/>
    <x v="4"/>
    <x v="0"/>
    <x v="0"/>
    <x v="0"/>
    <x v="0"/>
    <x v="3"/>
    <x v="3"/>
    <n v="0"/>
    <n v="0"/>
    <n v="16.927"/>
    <n v="16.927"/>
    <n v="16.927"/>
    <n v="16.927"/>
    <n v="0"/>
    <x v="0"/>
    <n v="0"/>
    <n v="0"/>
    <n v="71"/>
    <n v="114"/>
    <n v="0"/>
    <n v="374.6"/>
    <n v="256.38"/>
    <m/>
    <n v="419.89908143173358"/>
    <n v="230.84299908458948"/>
    <n v="0"/>
    <n v="6340.8542000000007"/>
    <n v="4339.7442599999995"/>
    <n v="0"/>
    <n v="7107.6317513949543"/>
    <n v="3907.4794455048459"/>
  </r>
  <r>
    <s v="Refaturamento - Regular"/>
    <x v="6"/>
    <x v="4"/>
    <x v="0"/>
    <x v="0"/>
    <x v="0"/>
    <x v="0"/>
    <x v="3"/>
    <x v="3"/>
    <n v="0"/>
    <n v="0"/>
    <n v="0.30499999999999999"/>
    <n v="0.30499999999999999"/>
    <n v="0.30499999999999999"/>
    <n v="0.30499999999999999"/>
    <n v="0"/>
    <x v="0"/>
    <n v="0"/>
    <n v="0"/>
    <n v="71"/>
    <n v="114"/>
    <n v="0"/>
    <n v="374.6"/>
    <n v="256.38"/>
    <m/>
    <n v="419.89908143173358"/>
    <n v="230.84299908458948"/>
    <n v="0"/>
    <n v="114.253"/>
    <n v="78.195899999999995"/>
    <n v="0"/>
    <n v="128.06921983667874"/>
    <n v="70.407114720799797"/>
  </r>
  <r>
    <s v="Regular"/>
    <x v="6"/>
    <x v="4"/>
    <x v="0"/>
    <x v="0"/>
    <x v="0"/>
    <x v="0"/>
    <x v="3"/>
    <x v="4"/>
    <n v="0"/>
    <n v="0"/>
    <n v="22.152999999999999"/>
    <n v="22.152999999999999"/>
    <n v="22.152999999999999"/>
    <n v="22.152999999999999"/>
    <n v="0"/>
    <x v="0"/>
    <n v="0"/>
    <n v="0"/>
    <n v="71"/>
    <n v="114"/>
    <n v="0"/>
    <n v="374.6"/>
    <n v="256.38"/>
    <m/>
    <n v="419.89908143173358"/>
    <n v="230.84299908458948"/>
    <n v="0"/>
    <n v="8298.5138000000006"/>
    <n v="5679.5861399999994"/>
    <n v="0"/>
    <n v="9302.0243509571937"/>
    <n v="5113.8649587209102"/>
  </r>
  <r>
    <s v="Refaturamento - Regular"/>
    <x v="6"/>
    <x v="4"/>
    <x v="0"/>
    <x v="0"/>
    <x v="0"/>
    <x v="0"/>
    <x v="3"/>
    <x v="4"/>
    <n v="0"/>
    <n v="0"/>
    <n v="0.94499999999999995"/>
    <n v="0.94499999999999995"/>
    <n v="0.94499999999999995"/>
    <n v="0.94499999999999995"/>
    <n v="0"/>
    <x v="0"/>
    <n v="0"/>
    <n v="0"/>
    <n v="71"/>
    <n v="114"/>
    <n v="0"/>
    <n v="374.6"/>
    <n v="256.38"/>
    <m/>
    <n v="419.89908143173358"/>
    <n v="230.84299908458948"/>
    <n v="0"/>
    <n v="353.99700000000001"/>
    <n v="242.27909999999997"/>
    <n v="0"/>
    <n v="396.80463195298819"/>
    <n v="218.14663413493705"/>
  </r>
  <r>
    <s v="Regular"/>
    <x v="6"/>
    <x v="4"/>
    <x v="0"/>
    <x v="0"/>
    <x v="0"/>
    <x v="0"/>
    <x v="3"/>
    <x v="5"/>
    <n v="0"/>
    <n v="0"/>
    <n v="19.853000000000002"/>
    <n v="19.853000000000002"/>
    <n v="19.853000000000002"/>
    <n v="19.853000000000002"/>
    <n v="0"/>
    <x v="0"/>
    <n v="0"/>
    <n v="0"/>
    <n v="71"/>
    <n v="114"/>
    <n v="0"/>
    <n v="374.6"/>
    <n v="256.38"/>
    <m/>
    <n v="419.89908143173358"/>
    <n v="230.84299908458948"/>
    <n v="0"/>
    <n v="7436.9338000000007"/>
    <n v="5089.9121400000004"/>
    <n v="0"/>
    <n v="8336.2564636642073"/>
    <n v="4582.9260608263548"/>
  </r>
  <r>
    <s v="Refaturamento - Regular"/>
    <x v="6"/>
    <x v="4"/>
    <x v="0"/>
    <x v="0"/>
    <x v="0"/>
    <x v="0"/>
    <x v="3"/>
    <x v="5"/>
    <n v="0"/>
    <n v="0"/>
    <n v="0.66"/>
    <n v="0.66"/>
    <n v="0.66"/>
    <n v="0.66"/>
    <n v="0"/>
    <x v="0"/>
    <n v="0"/>
    <n v="0"/>
    <n v="71"/>
    <n v="114"/>
    <n v="0"/>
    <n v="374.6"/>
    <n v="256.38"/>
    <m/>
    <n v="419.89908143173358"/>
    <n v="230.84299908458948"/>
    <n v="0"/>
    <n v="247.23600000000002"/>
    <n v="169.21080000000001"/>
    <n v="0"/>
    <n v="277.13339374494416"/>
    <n v="152.35637939582907"/>
  </r>
  <r>
    <s v="Regular"/>
    <x v="6"/>
    <x v="4"/>
    <x v="0"/>
    <x v="0"/>
    <x v="0"/>
    <x v="0"/>
    <x v="3"/>
    <x v="6"/>
    <n v="0"/>
    <n v="0"/>
    <n v="17.064"/>
    <n v="17.064"/>
    <n v="17.064"/>
    <n v="17.064"/>
    <n v="0"/>
    <x v="0"/>
    <n v="0"/>
    <n v="0"/>
    <n v="71"/>
    <n v="114"/>
    <n v="0"/>
    <n v="374.6"/>
    <n v="256.38"/>
    <m/>
    <n v="419.89908143173358"/>
    <n v="230.84299908458948"/>
    <n v="0"/>
    <n v="6392.1744000000008"/>
    <n v="4374.8683199999996"/>
    <n v="0"/>
    <n v="7165.1579255511015"/>
    <n v="3939.104936379435"/>
  </r>
  <r>
    <s v="Refaturamento - Regular"/>
    <x v="6"/>
    <x v="4"/>
    <x v="0"/>
    <x v="0"/>
    <x v="0"/>
    <x v="0"/>
    <x v="3"/>
    <x v="6"/>
    <n v="0"/>
    <n v="0"/>
    <n v="0.42199999999999999"/>
    <n v="0.42199999999999999"/>
    <n v="0.42199999999999999"/>
    <n v="0.42199999999999999"/>
    <n v="0"/>
    <x v="0"/>
    <n v="0"/>
    <n v="0"/>
    <n v="71"/>
    <n v="114"/>
    <n v="0"/>
    <n v="374.6"/>
    <n v="256.38"/>
    <m/>
    <n v="419.89908143173358"/>
    <n v="230.84299908458948"/>
    <n v="0"/>
    <n v="158.0812"/>
    <n v="108.19235999999999"/>
    <n v="0"/>
    <n v="177.19741236419156"/>
    <n v="97.415745613696757"/>
  </r>
  <r>
    <s v="Regular"/>
    <x v="6"/>
    <x v="4"/>
    <x v="0"/>
    <x v="0"/>
    <x v="0"/>
    <x v="0"/>
    <x v="3"/>
    <x v="7"/>
    <n v="0"/>
    <n v="0"/>
    <n v="13.89"/>
    <n v="13.89"/>
    <n v="13.89"/>
    <n v="13.89"/>
    <n v="0"/>
    <x v="0"/>
    <n v="0"/>
    <n v="0"/>
    <n v="71"/>
    <n v="114"/>
    <n v="0"/>
    <n v="374.6"/>
    <n v="256.38"/>
    <m/>
    <n v="419.89908143173358"/>
    <n v="230.84299908458948"/>
    <n v="0"/>
    <n v="5203.1940000000004"/>
    <n v="3561.1181999999999"/>
    <n v="0"/>
    <n v="5832.3982410867793"/>
    <n v="3206.4092572849481"/>
  </r>
  <r>
    <s v="Refaturamento - Regular"/>
    <x v="6"/>
    <x v="4"/>
    <x v="0"/>
    <x v="0"/>
    <x v="0"/>
    <x v="0"/>
    <x v="3"/>
    <x v="7"/>
    <n v="0"/>
    <n v="0"/>
    <n v="0.70199999999999996"/>
    <n v="0.70199999999999996"/>
    <n v="0.70199999999999996"/>
    <n v="0.70199999999999996"/>
    <n v="0"/>
    <x v="0"/>
    <n v="0"/>
    <n v="0"/>
    <n v="71"/>
    <n v="114"/>
    <n v="0"/>
    <n v="374.6"/>
    <n v="256.38"/>
    <m/>
    <n v="419.89908143173358"/>
    <n v="230.84299908458948"/>
    <n v="0"/>
    <n v="262.9692"/>
    <n v="179.97875999999999"/>
    <n v="0"/>
    <n v="294.76915516507694"/>
    <n v="162.05178535738182"/>
  </r>
  <r>
    <s v="Regular"/>
    <x v="6"/>
    <x v="4"/>
    <x v="0"/>
    <x v="0"/>
    <x v="0"/>
    <x v="0"/>
    <x v="3"/>
    <x v="8"/>
    <n v="0"/>
    <n v="0"/>
    <n v="109.244"/>
    <n v="109.244"/>
    <n v="109.244"/>
    <n v="109.244"/>
    <n v="0"/>
    <x v="0"/>
    <n v="0"/>
    <n v="0"/>
    <n v="71"/>
    <n v="114"/>
    <n v="0"/>
    <n v="374.6"/>
    <n v="256.38"/>
    <m/>
    <n v="419.89908143173358"/>
    <n v="230.84299908458948"/>
    <n v="0"/>
    <n v="40922.8024"/>
    <n v="28007.976719999999"/>
    <n v="0"/>
    <n v="45871.455251928302"/>
    <n v="25218.212591996893"/>
  </r>
  <r>
    <s v="Refaturamento - Regular"/>
    <x v="6"/>
    <x v="4"/>
    <x v="0"/>
    <x v="0"/>
    <x v="0"/>
    <x v="0"/>
    <x v="3"/>
    <x v="8"/>
    <n v="0"/>
    <n v="0"/>
    <n v="0.15"/>
    <n v="0.15"/>
    <n v="0.15"/>
    <n v="0.15"/>
    <n v="0"/>
    <x v="0"/>
    <n v="0"/>
    <n v="0"/>
    <n v="71"/>
    <n v="114"/>
    <n v="0"/>
    <n v="374.6"/>
    <n v="256.38"/>
    <m/>
    <n v="419.89908143173358"/>
    <n v="230.84299908458948"/>
    <n v="0"/>
    <n v="56.190000000000005"/>
    <n v="38.457000000000001"/>
    <n v="0"/>
    <n v="62.984862214760035"/>
    <n v="34.626449862688418"/>
  </r>
  <r>
    <s v="Regular"/>
    <x v="6"/>
    <x v="4"/>
    <x v="0"/>
    <x v="0"/>
    <x v="0"/>
    <x v="0"/>
    <x v="3"/>
    <x v="9"/>
    <n v="0"/>
    <n v="0"/>
    <n v="118.586"/>
    <n v="118.586"/>
    <n v="118.586"/>
    <n v="118.586"/>
    <n v="0"/>
    <x v="0"/>
    <n v="0"/>
    <n v="0"/>
    <n v="71"/>
    <n v="114"/>
    <n v="0"/>
    <n v="374.6"/>
    <n v="256.38"/>
    <m/>
    <n v="419.89908143173358"/>
    <n v="230.84299908458948"/>
    <n v="0"/>
    <n v="44422.315600000002"/>
    <n v="30403.078679999999"/>
    <n v="0"/>
    <n v="49794.152470663561"/>
    <n v="27374.747889445127"/>
  </r>
  <r>
    <s v="Refaturamento - Regular"/>
    <x v="6"/>
    <x v="4"/>
    <x v="0"/>
    <x v="0"/>
    <x v="0"/>
    <x v="0"/>
    <x v="3"/>
    <x v="9"/>
    <n v="0"/>
    <n v="0"/>
    <n v="0.27200000000000002"/>
    <n v="0.27200000000000002"/>
    <n v="0.27200000000000002"/>
    <n v="0.27200000000000002"/>
    <n v="0"/>
    <x v="0"/>
    <n v="0"/>
    <n v="0"/>
    <n v="71"/>
    <n v="114"/>
    <n v="0"/>
    <n v="374.6"/>
    <n v="256.38"/>
    <m/>
    <n v="419.89908143173358"/>
    <n v="230.84299908458948"/>
    <n v="0"/>
    <n v="101.89120000000001"/>
    <n v="69.73536"/>
    <n v="0"/>
    <n v="114.21255014943154"/>
    <n v="62.789295751008346"/>
  </r>
  <r>
    <s v="Refaturamento - Regular"/>
    <x v="6"/>
    <x v="4"/>
    <x v="0"/>
    <x v="0"/>
    <x v="0"/>
    <x v="0"/>
    <x v="3"/>
    <x v="10"/>
    <n v="0"/>
    <n v="0"/>
    <n v="-183.06"/>
    <n v="-183.06"/>
    <n v="-183.06"/>
    <n v="-183.06"/>
    <n v="0"/>
    <x v="0"/>
    <n v="0"/>
    <n v="0"/>
    <n v="71"/>
    <n v="114"/>
    <n v="0"/>
    <n v="374.6"/>
    <n v="256.38"/>
    <m/>
    <n v="419.89908143173358"/>
    <n v="230.84299908458948"/>
    <n v="0"/>
    <n v="-68574.275999999998"/>
    <n v="-46932.9228"/>
    <n v="0"/>
    <n v="-76866.725846893154"/>
    <n v="-42258.119412424952"/>
  </r>
  <r>
    <s v="PROJETADO"/>
    <x v="6"/>
    <x v="4"/>
    <x v="0"/>
    <x v="0"/>
    <x v="0"/>
    <x v="0"/>
    <x v="3"/>
    <x v="11"/>
    <n v="0"/>
    <n v="0"/>
    <n v="-183.06"/>
    <n v="-183.06"/>
    <n v="-183.06"/>
    <n v="-183.06"/>
    <n v="0"/>
    <x v="0"/>
    <n v="0"/>
    <n v="0"/>
    <n v="71"/>
    <n v="114"/>
    <n v="0"/>
    <n v="374.6"/>
    <n v="256.38"/>
    <m/>
    <n v="419.89908143173358"/>
    <n v="230.84299908458948"/>
    <n v="0"/>
    <n v="-68574.275999999998"/>
    <n v="-46932.9228"/>
    <n v="0"/>
    <n v="-76866.725846893154"/>
    <n v="-42258.119412424952"/>
  </r>
  <r>
    <s v="Regular"/>
    <x v="6"/>
    <x v="4"/>
    <x v="0"/>
    <x v="0"/>
    <x v="0"/>
    <x v="0"/>
    <x v="1"/>
    <x v="0"/>
    <n v="0"/>
    <n v="0"/>
    <n v="27.413"/>
    <n v="27.413"/>
    <n v="27.413"/>
    <n v="27.413"/>
    <n v="0"/>
    <x v="0"/>
    <n v="0"/>
    <n v="0"/>
    <n v="70"/>
    <n v="113"/>
    <n v="0"/>
    <n v="552.01"/>
    <n v="430.87"/>
    <m/>
    <n v="625.84456331899685"/>
    <n v="375.70671275609089"/>
    <n v="0"/>
    <n v="15132.25013"/>
    <n v="11811.43931"/>
    <n v="0"/>
    <n v="17156.277014263662"/>
    <n v="10299.248116782719"/>
  </r>
  <r>
    <s v="Refaturamento - Regular"/>
    <x v="6"/>
    <x v="4"/>
    <x v="0"/>
    <x v="0"/>
    <x v="0"/>
    <x v="0"/>
    <x v="1"/>
    <x v="0"/>
    <n v="0"/>
    <n v="0"/>
    <n v="0.26500000000000001"/>
    <n v="0.26500000000000001"/>
    <n v="0.26500000000000001"/>
    <n v="0.26500000000000001"/>
    <n v="0"/>
    <x v="0"/>
    <n v="0"/>
    <n v="0"/>
    <n v="70"/>
    <n v="113"/>
    <n v="0"/>
    <n v="552.01"/>
    <n v="430.87"/>
    <m/>
    <n v="625.84456331899685"/>
    <n v="375.70671275609089"/>
    <n v="0"/>
    <n v="146.28265000000002"/>
    <n v="114.18055000000001"/>
    <n v="0"/>
    <n v="165.84880927953418"/>
    <n v="99.56227888036409"/>
  </r>
  <r>
    <s v="Sistema de Compensação"/>
    <x v="6"/>
    <x v="4"/>
    <x v="0"/>
    <x v="0"/>
    <x v="0"/>
    <x v="0"/>
    <x v="1"/>
    <x v="0"/>
    <n v="0"/>
    <n v="0"/>
    <n v="2.3199999999999998"/>
    <n v="2.3199999999999998"/>
    <n v="2.3199999999999998"/>
    <n v="2.3199999999999998"/>
    <n v="0"/>
    <x v="0"/>
    <n v="0"/>
    <n v="0"/>
    <n v="70"/>
    <n v="113"/>
    <n v="0"/>
    <n v="552.01"/>
    <n v="430.87"/>
    <m/>
    <n v="625.84456331899685"/>
    <n v="375.70671275609089"/>
    <n v="0"/>
    <n v="1280.6632"/>
    <n v="999.61839999999995"/>
    <n v="0"/>
    <n v="1451.9593869000726"/>
    <n v="871.63957359413087"/>
  </r>
  <r>
    <s v="Regular"/>
    <x v="6"/>
    <x v="4"/>
    <x v="0"/>
    <x v="0"/>
    <x v="0"/>
    <x v="0"/>
    <x v="1"/>
    <x v="1"/>
    <n v="0"/>
    <n v="0"/>
    <n v="1032.9100000000001"/>
    <n v="1032.9100000000001"/>
    <n v="1032.9100000000001"/>
    <n v="1032.9100000000001"/>
    <n v="0"/>
    <x v="0"/>
    <n v="0"/>
    <n v="0"/>
    <n v="70"/>
    <n v="113"/>
    <n v="0"/>
    <n v="552.01"/>
    <n v="430.87"/>
    <m/>
    <n v="625.84456331899685"/>
    <n v="375.70671275609089"/>
    <n v="0"/>
    <n v="570176.64910000004"/>
    <n v="445049.93170000002"/>
    <n v="0"/>
    <n v="646441.10789782507"/>
    <n v="388071.22067289386"/>
  </r>
  <r>
    <s v="Refaturamento - Regular"/>
    <x v="6"/>
    <x v="4"/>
    <x v="0"/>
    <x v="0"/>
    <x v="0"/>
    <x v="0"/>
    <x v="1"/>
    <x v="1"/>
    <n v="0"/>
    <n v="0"/>
    <n v="0.317"/>
    <n v="0.317"/>
    <n v="0.317"/>
    <n v="0.317"/>
    <n v="0"/>
    <x v="0"/>
    <n v="0"/>
    <n v="0"/>
    <n v="70"/>
    <n v="113"/>
    <n v="0"/>
    <n v="552.01"/>
    <n v="430.87"/>
    <m/>
    <n v="625.84456331899685"/>
    <n v="375.70671275609089"/>
    <n v="0"/>
    <n v="174.98716999999999"/>
    <n v="136.58579"/>
    <n v="0"/>
    <n v="198.392726572122"/>
    <n v="119.09902794368081"/>
  </r>
  <r>
    <s v="Sistema de Compensação"/>
    <x v="6"/>
    <x v="4"/>
    <x v="0"/>
    <x v="0"/>
    <x v="0"/>
    <x v="0"/>
    <x v="1"/>
    <x v="1"/>
    <n v="0"/>
    <n v="0"/>
    <n v="4.72"/>
    <n v="4.72"/>
    <n v="4.72"/>
    <n v="4.72"/>
    <n v="0"/>
    <x v="0"/>
    <n v="0"/>
    <n v="0"/>
    <n v="70"/>
    <n v="113"/>
    <n v="0"/>
    <n v="552.01"/>
    <n v="430.87"/>
    <m/>
    <n v="625.84456331899685"/>
    <n v="375.70671275609089"/>
    <n v="0"/>
    <n v="2605.4872"/>
    <n v="2033.7063999999998"/>
    <n v="0"/>
    <n v="2953.9863388656649"/>
    <n v="1773.3356842087489"/>
  </r>
  <r>
    <s v="Refaturamento - Regular"/>
    <x v="6"/>
    <x v="4"/>
    <x v="0"/>
    <x v="0"/>
    <x v="0"/>
    <x v="0"/>
    <x v="1"/>
    <x v="2"/>
    <n v="0"/>
    <n v="0"/>
    <n v="-969.87400000000002"/>
    <n v="-969.87400000000002"/>
    <n v="-969.87400000000002"/>
    <n v="-969.87400000000002"/>
    <n v="0"/>
    <x v="0"/>
    <n v="0"/>
    <n v="0"/>
    <n v="70"/>
    <n v="113"/>
    <n v="0"/>
    <n v="552.01"/>
    <n v="430.87"/>
    <m/>
    <n v="625.84456331899685"/>
    <n v="375.70671275609089"/>
    <n v="0"/>
    <n v="-535380.14674"/>
    <n v="-417889.61038000003"/>
    <n v="0"/>
    <n v="-606990.37000444881"/>
    <n v="-364388.17232760089"/>
  </r>
  <r>
    <s v="Sistema de Compensação"/>
    <x v="6"/>
    <x v="4"/>
    <x v="0"/>
    <x v="0"/>
    <x v="0"/>
    <x v="0"/>
    <x v="1"/>
    <x v="2"/>
    <n v="0"/>
    <n v="0"/>
    <n v="1.92"/>
    <n v="1.92"/>
    <n v="1.92"/>
    <n v="1.92"/>
    <n v="0"/>
    <x v="0"/>
    <n v="0"/>
    <n v="0"/>
    <n v="70"/>
    <n v="113"/>
    <n v="0"/>
    <n v="552.01"/>
    <n v="430.87"/>
    <m/>
    <n v="625.84456331899685"/>
    <n v="375.70671275609089"/>
    <n v="0"/>
    <n v="1059.8591999999999"/>
    <n v="827.2704"/>
    <n v="0"/>
    <n v="1201.6215615724739"/>
    <n v="721.35688849169446"/>
  </r>
  <r>
    <s v="Regular"/>
    <x v="6"/>
    <x v="4"/>
    <x v="0"/>
    <x v="0"/>
    <x v="0"/>
    <x v="0"/>
    <x v="1"/>
    <x v="3"/>
    <n v="0"/>
    <n v="0"/>
    <n v="28.818999999999999"/>
    <n v="28.818999999999999"/>
    <n v="28.818999999999999"/>
    <n v="28.818999999999999"/>
    <n v="0"/>
    <x v="0"/>
    <n v="0"/>
    <n v="0"/>
    <n v="70"/>
    <n v="113"/>
    <n v="0"/>
    <n v="552.01"/>
    <n v="430.87"/>
    <m/>
    <n v="625.84456331899685"/>
    <n v="375.70671275609089"/>
    <n v="0"/>
    <n v="15908.376189999999"/>
    <n v="12417.24253"/>
    <n v="0"/>
    <n v="18036.214470290168"/>
    <n v="10827.491754917783"/>
  </r>
  <r>
    <s v="Refaturamento - Regular"/>
    <x v="6"/>
    <x v="4"/>
    <x v="0"/>
    <x v="0"/>
    <x v="0"/>
    <x v="0"/>
    <x v="1"/>
    <x v="3"/>
    <n v="0"/>
    <n v="0"/>
    <n v="0.315"/>
    <n v="0.315"/>
    <n v="0.315"/>
    <n v="0.315"/>
    <n v="0"/>
    <x v="0"/>
    <n v="0"/>
    <n v="0"/>
    <n v="70"/>
    <n v="113"/>
    <n v="0"/>
    <n v="552.01"/>
    <n v="430.87"/>
    <m/>
    <n v="625.84456331899685"/>
    <n v="375.70671275609089"/>
    <n v="0"/>
    <n v="173.88315"/>
    <n v="135.72405000000001"/>
    <n v="0"/>
    <n v="197.14103744548402"/>
    <n v="118.34761451816863"/>
  </r>
  <r>
    <s v="Regular"/>
    <x v="6"/>
    <x v="4"/>
    <x v="0"/>
    <x v="0"/>
    <x v="0"/>
    <x v="0"/>
    <x v="1"/>
    <x v="4"/>
    <n v="0"/>
    <n v="0"/>
    <n v="28.786999999999999"/>
    <n v="28.786999999999999"/>
    <n v="28.786999999999999"/>
    <n v="28.786999999999999"/>
    <n v="0"/>
    <x v="0"/>
    <n v="0"/>
    <n v="0"/>
    <n v="70"/>
    <n v="113"/>
    <n v="0"/>
    <n v="552.01"/>
    <n v="430.87"/>
    <m/>
    <n v="625.84456331899685"/>
    <n v="375.70671275609089"/>
    <n v="0"/>
    <n v="15890.711869999999"/>
    <n v="12403.45469"/>
    <n v="0"/>
    <n v="18016.18744426396"/>
    <n v="10815.469140109588"/>
  </r>
  <r>
    <s v="Refaturamento - Regular"/>
    <x v="6"/>
    <x v="4"/>
    <x v="0"/>
    <x v="0"/>
    <x v="0"/>
    <x v="0"/>
    <x v="1"/>
    <x v="4"/>
    <n v="0"/>
    <n v="0"/>
    <n v="1.502"/>
    <n v="1.502"/>
    <n v="1.502"/>
    <n v="1.502"/>
    <n v="0"/>
    <x v="0"/>
    <n v="0"/>
    <n v="0"/>
    <n v="70"/>
    <n v="113"/>
    <n v="0"/>
    <n v="552.01"/>
    <n v="430.87"/>
    <m/>
    <n v="625.84456331899685"/>
    <n v="375.70671275609089"/>
    <n v="0"/>
    <n v="829.11901999999998"/>
    <n v="647.16674"/>
    <n v="0"/>
    <n v="940.01853410513331"/>
    <n v="564.31148255964854"/>
  </r>
  <r>
    <s v="Regular"/>
    <x v="6"/>
    <x v="4"/>
    <x v="0"/>
    <x v="0"/>
    <x v="0"/>
    <x v="0"/>
    <x v="1"/>
    <x v="5"/>
    <n v="0"/>
    <n v="0"/>
    <n v="25.922999999999998"/>
    <n v="25.922999999999998"/>
    <n v="25.922999999999998"/>
    <n v="25.922999999999998"/>
    <n v="0"/>
    <x v="0"/>
    <n v="0"/>
    <n v="0"/>
    <n v="70"/>
    <n v="113"/>
    <n v="0"/>
    <n v="552.01"/>
    <n v="430.87"/>
    <m/>
    <n v="625.84456331899685"/>
    <n v="375.70671275609089"/>
    <n v="0"/>
    <n v="14309.755229999999"/>
    <n v="11169.443009999999"/>
    <n v="0"/>
    <n v="16223.768614918354"/>
    <n v="9739.4451147761429"/>
  </r>
  <r>
    <s v="Refaturamento - Regular"/>
    <x v="6"/>
    <x v="4"/>
    <x v="0"/>
    <x v="0"/>
    <x v="0"/>
    <x v="0"/>
    <x v="1"/>
    <x v="5"/>
    <n v="0"/>
    <n v="0"/>
    <n v="1.159"/>
    <n v="1.159"/>
    <n v="1.159"/>
    <n v="1.159"/>
    <n v="0"/>
    <x v="0"/>
    <n v="0"/>
    <n v="0"/>
    <n v="70"/>
    <n v="113"/>
    <n v="0"/>
    <n v="552.01"/>
    <n v="430.87"/>
    <m/>
    <n v="625.84456331899685"/>
    <n v="375.70671275609089"/>
    <n v="0"/>
    <n v="639.77958999999998"/>
    <n v="499.37833000000001"/>
    <n v="0"/>
    <n v="725.3538488867174"/>
    <n v="435.44408008430935"/>
  </r>
  <r>
    <s v="Regular"/>
    <x v="6"/>
    <x v="4"/>
    <x v="0"/>
    <x v="0"/>
    <x v="0"/>
    <x v="0"/>
    <x v="1"/>
    <x v="6"/>
    <n v="0"/>
    <n v="0"/>
    <n v="25.893000000000001"/>
    <n v="25.893000000000001"/>
    <n v="25.893000000000001"/>
    <n v="25.893000000000001"/>
    <n v="0"/>
    <x v="0"/>
    <n v="0"/>
    <n v="0"/>
    <n v="70"/>
    <n v="113"/>
    <n v="0"/>
    <n v="552.01"/>
    <n v="430.87"/>
    <m/>
    <n v="625.84456331899685"/>
    <n v="375.70671275609089"/>
    <n v="0"/>
    <n v="14293.19493"/>
    <n v="11156.51691"/>
    <n v="0"/>
    <n v="16204.993278018786"/>
    <n v="9728.1739133934625"/>
  </r>
  <r>
    <s v="Refaturamento - Regular"/>
    <x v="6"/>
    <x v="4"/>
    <x v="0"/>
    <x v="0"/>
    <x v="0"/>
    <x v="0"/>
    <x v="1"/>
    <x v="6"/>
    <n v="0"/>
    <n v="0"/>
    <n v="0.26500000000000001"/>
    <n v="0.26500000000000001"/>
    <n v="0.26500000000000001"/>
    <n v="0.26500000000000001"/>
    <n v="0"/>
    <x v="0"/>
    <n v="0"/>
    <n v="0"/>
    <n v="70"/>
    <n v="113"/>
    <n v="0"/>
    <n v="552.01"/>
    <n v="430.87"/>
    <m/>
    <n v="625.84456331899685"/>
    <n v="375.70671275609089"/>
    <n v="0"/>
    <n v="146.28265000000002"/>
    <n v="114.18055000000001"/>
    <n v="0"/>
    <n v="165.84880927953418"/>
    <n v="99.56227888036409"/>
  </r>
  <r>
    <s v="Regular"/>
    <x v="6"/>
    <x v="4"/>
    <x v="0"/>
    <x v="0"/>
    <x v="0"/>
    <x v="0"/>
    <x v="1"/>
    <x v="7"/>
    <n v="0"/>
    <n v="0"/>
    <n v="18.023"/>
    <n v="18.023"/>
    <n v="18.023"/>
    <n v="18.023"/>
    <n v="0"/>
    <x v="0"/>
    <n v="0"/>
    <n v="0"/>
    <n v="70"/>
    <n v="113"/>
    <n v="0"/>
    <n v="552.01"/>
    <n v="430.87"/>
    <m/>
    <n v="625.84456331899685"/>
    <n v="375.70671275609089"/>
    <n v="0"/>
    <n v="9948.8762299999999"/>
    <n v="7765.5700100000004"/>
    <n v="0"/>
    <n v="11279.59656469828"/>
    <n v="6771.3620840030262"/>
  </r>
  <r>
    <s v="Refaturamento - Regular"/>
    <x v="6"/>
    <x v="4"/>
    <x v="0"/>
    <x v="0"/>
    <x v="0"/>
    <x v="0"/>
    <x v="1"/>
    <x v="7"/>
    <n v="0"/>
    <n v="0"/>
    <n v="0.81299999999999994"/>
    <n v="0.81299999999999994"/>
    <n v="0.81299999999999994"/>
    <n v="0.81299999999999994"/>
    <n v="0"/>
    <x v="0"/>
    <n v="0"/>
    <n v="0"/>
    <n v="70"/>
    <n v="113"/>
    <n v="0"/>
    <n v="552.01"/>
    <n v="430.87"/>
    <m/>
    <n v="625.84456331899685"/>
    <n v="375.70671275609089"/>
    <n v="0"/>
    <n v="448.78412999999995"/>
    <n v="350.29730999999998"/>
    <n v="0"/>
    <n v="508.8116299783444"/>
    <n v="305.4495574707019"/>
  </r>
  <r>
    <s v="Regular"/>
    <x v="6"/>
    <x v="4"/>
    <x v="0"/>
    <x v="0"/>
    <x v="0"/>
    <x v="0"/>
    <x v="1"/>
    <x v="8"/>
    <n v="0"/>
    <n v="0"/>
    <n v="114.015"/>
    <n v="114.015"/>
    <n v="114.015"/>
    <n v="114.015"/>
    <n v="0"/>
    <x v="0"/>
    <n v="0"/>
    <n v="0"/>
    <n v="70"/>
    <n v="113"/>
    <n v="0"/>
    <n v="552.01"/>
    <n v="430.87"/>
    <m/>
    <n v="625.84456331899685"/>
    <n v="375.70671275609089"/>
    <n v="0"/>
    <n v="62937.420149999998"/>
    <n v="49125.643049999999"/>
    <n v="0"/>
    <n v="71355.667886815427"/>
    <n v="42836.200854885705"/>
  </r>
  <r>
    <s v="Refaturamento - Regular"/>
    <x v="6"/>
    <x v="4"/>
    <x v="0"/>
    <x v="0"/>
    <x v="0"/>
    <x v="0"/>
    <x v="1"/>
    <x v="8"/>
    <n v="0"/>
    <n v="0"/>
    <n v="0.215"/>
    <n v="0.215"/>
    <n v="0.215"/>
    <n v="0.215"/>
    <n v="0"/>
    <x v="0"/>
    <n v="0"/>
    <n v="0"/>
    <n v="70"/>
    <n v="113"/>
    <n v="0"/>
    <n v="552.01"/>
    <n v="430.87"/>
    <m/>
    <n v="625.84456331899685"/>
    <n v="375.70671275609089"/>
    <n v="0"/>
    <n v="118.68214999999999"/>
    <n v="92.637050000000002"/>
    <n v="0"/>
    <n v="134.55658111358431"/>
    <n v="80.77694324255954"/>
  </r>
  <r>
    <s v="Regular"/>
    <x v="6"/>
    <x v="4"/>
    <x v="0"/>
    <x v="0"/>
    <x v="0"/>
    <x v="0"/>
    <x v="1"/>
    <x v="9"/>
    <n v="0"/>
    <n v="0"/>
    <n v="123.503"/>
    <n v="123.503"/>
    <n v="123.503"/>
    <n v="123.503"/>
    <n v="0"/>
    <x v="0"/>
    <n v="0"/>
    <n v="0"/>
    <n v="70"/>
    <n v="113"/>
    <n v="0"/>
    <n v="552.01"/>
    <n v="430.87"/>
    <m/>
    <n v="625.84456331899685"/>
    <n v="375.70671275609089"/>
    <n v="0"/>
    <n v="68174.891029999999"/>
    <n v="53213.737610000004"/>
    <n v="0"/>
    <n v="77293.681103586074"/>
    <n v="46400.906145515495"/>
  </r>
  <r>
    <s v="Refaturamento - Regular"/>
    <x v="6"/>
    <x v="4"/>
    <x v="0"/>
    <x v="0"/>
    <x v="0"/>
    <x v="0"/>
    <x v="1"/>
    <x v="9"/>
    <n v="0"/>
    <n v="0"/>
    <n v="6.4000000000000001E-2"/>
    <n v="6.4000000000000001E-2"/>
    <n v="6.4000000000000001E-2"/>
    <n v="6.4000000000000001E-2"/>
    <n v="0"/>
    <x v="0"/>
    <n v="0"/>
    <n v="0"/>
    <n v="70"/>
    <n v="113"/>
    <n v="0"/>
    <n v="552.01"/>
    <n v="430.87"/>
    <m/>
    <n v="625.84456331899685"/>
    <n v="375.70671275609089"/>
    <n v="0"/>
    <n v="35.32864"/>
    <n v="27.575680000000002"/>
    <n v="0"/>
    <n v="40.054052052415798"/>
    <n v="24.045229616389818"/>
  </r>
  <r>
    <s v="Refaturamento - Regular"/>
    <x v="6"/>
    <x v="4"/>
    <x v="0"/>
    <x v="0"/>
    <x v="0"/>
    <x v="0"/>
    <x v="1"/>
    <x v="10"/>
    <n v="0"/>
    <n v="0"/>
    <n v="-176.52600000000001"/>
    <n v="-176.52600000000001"/>
    <n v="-176.52600000000001"/>
    <n v="-176.52600000000001"/>
    <n v="0"/>
    <x v="0"/>
    <n v="0"/>
    <n v="0"/>
    <n v="70"/>
    <n v="113"/>
    <n v="0"/>
    <n v="552.01"/>
    <n v="430.87"/>
    <m/>
    <n v="625.84456331899685"/>
    <n v="375.70671275609089"/>
    <n v="0"/>
    <n v="-97444.117259999999"/>
    <n v="-76059.757620000004"/>
    <n v="0"/>
    <n v="-110477.83738444925"/>
    <n v="-66322.003175981707"/>
  </r>
  <r>
    <s v="PROJETADO"/>
    <x v="6"/>
    <x v="4"/>
    <x v="0"/>
    <x v="0"/>
    <x v="0"/>
    <x v="0"/>
    <x v="1"/>
    <x v="11"/>
    <n v="0"/>
    <n v="0"/>
    <n v="-176.52600000000001"/>
    <n v="-176.52600000000001"/>
    <n v="-176.52600000000001"/>
    <n v="-176.52600000000001"/>
    <n v="0"/>
    <x v="0"/>
    <n v="0"/>
    <n v="0"/>
    <n v="70"/>
    <n v="113"/>
    <n v="0"/>
    <n v="552.01"/>
    <n v="430.87"/>
    <m/>
    <n v="625.84456331899685"/>
    <n v="375.70671275609089"/>
    <n v="0"/>
    <n v="-97444.117259999999"/>
    <n v="-76059.757620000004"/>
    <n v="0"/>
    <n v="-110477.83738444925"/>
    <n v="-66322.003175981707"/>
  </r>
  <r>
    <s v="Regular"/>
    <x v="6"/>
    <x v="4"/>
    <x v="1"/>
    <x v="0"/>
    <x v="0"/>
    <x v="0"/>
    <x v="0"/>
    <x v="0"/>
    <n v="0"/>
    <n v="0"/>
    <n v="33.978999999999999"/>
    <n v="33.978999999999999"/>
    <n v="33.978999999999999"/>
    <n v="33.978999999999999"/>
    <n v="0"/>
    <x v="0"/>
    <n v="0"/>
    <n v="0"/>
    <n v="72"/>
    <n v="115"/>
    <n v="0"/>
    <n v="197.19"/>
    <n v="256.38"/>
    <m/>
    <n v="213.95474196987553"/>
    <n v="230.84299908458948"/>
    <n v="0"/>
    <n v="6700.3190100000002"/>
    <n v="8711.5360199999996"/>
    <n v="0"/>
    <n v="7269.9681773944003"/>
    <n v="7843.8142658952656"/>
  </r>
  <r>
    <s v="Regular"/>
    <x v="6"/>
    <x v="4"/>
    <x v="1"/>
    <x v="0"/>
    <x v="0"/>
    <x v="0"/>
    <x v="0"/>
    <x v="1"/>
    <n v="0"/>
    <n v="0"/>
    <n v="35.18"/>
    <n v="35.18"/>
    <n v="35.18"/>
    <n v="35.18"/>
    <n v="0"/>
    <x v="0"/>
    <n v="0"/>
    <n v="0"/>
    <n v="72"/>
    <n v="115"/>
    <n v="0"/>
    <n v="197.19"/>
    <n v="256.38"/>
    <m/>
    <n v="213.95474196987553"/>
    <n v="230.84299908458948"/>
    <n v="0"/>
    <n v="6937.1441999999997"/>
    <n v="9019.4483999999993"/>
    <n v="0"/>
    <n v="7526.9278225002208"/>
    <n v="8121.0567077958576"/>
  </r>
  <r>
    <s v="Regular"/>
    <x v="6"/>
    <x v="4"/>
    <x v="1"/>
    <x v="0"/>
    <x v="0"/>
    <x v="0"/>
    <x v="0"/>
    <x v="2"/>
    <n v="0"/>
    <n v="0"/>
    <n v="32.433"/>
    <n v="32.433"/>
    <n v="32.433"/>
    <n v="32.433"/>
    <n v="0"/>
    <x v="0"/>
    <n v="0"/>
    <n v="0"/>
    <n v="72"/>
    <n v="115"/>
    <n v="0"/>
    <n v="197.19"/>
    <n v="256.38"/>
    <m/>
    <n v="213.95474196987553"/>
    <n v="230.84299908458948"/>
    <n v="0"/>
    <n v="6395.4632700000002"/>
    <n v="8315.1725399999996"/>
    <n v="0"/>
    <n v="6939.1941463089734"/>
    <n v="7486.930989310491"/>
  </r>
  <r>
    <s v="Regular"/>
    <x v="6"/>
    <x v="4"/>
    <x v="1"/>
    <x v="0"/>
    <x v="0"/>
    <x v="0"/>
    <x v="0"/>
    <x v="3"/>
    <n v="0"/>
    <n v="0"/>
    <n v="31.699000000000002"/>
    <n v="31.699000000000002"/>
    <n v="31.699000000000002"/>
    <n v="31.699000000000002"/>
    <n v="0"/>
    <x v="0"/>
    <n v="0"/>
    <n v="0"/>
    <n v="72"/>
    <n v="115"/>
    <n v="0"/>
    <n v="197.19"/>
    <n v="256.38"/>
    <m/>
    <n v="213.95474196987553"/>
    <n v="230.84299908458948"/>
    <n v="0"/>
    <n v="6250.7258099999999"/>
    <n v="8126.9896200000003"/>
    <n v="0"/>
    <n v="6782.1513657030846"/>
    <n v="7317.4922279824023"/>
  </r>
  <r>
    <s v="Regular"/>
    <x v="6"/>
    <x v="4"/>
    <x v="1"/>
    <x v="0"/>
    <x v="0"/>
    <x v="0"/>
    <x v="0"/>
    <x v="4"/>
    <n v="0"/>
    <n v="0"/>
    <n v="35.018999999999998"/>
    <n v="35.018999999999998"/>
    <n v="35.018999999999998"/>
    <n v="35.018999999999998"/>
    <n v="0"/>
    <x v="0"/>
    <n v="0"/>
    <n v="0"/>
    <n v="72"/>
    <n v="115"/>
    <n v="0"/>
    <n v="197.19"/>
    <n v="256.38"/>
    <m/>
    <n v="213.95474196987553"/>
    <n v="230.84299908458948"/>
    <n v="0"/>
    <n v="6905.3966099999998"/>
    <n v="8978.1712200000002"/>
    <n v="0"/>
    <n v="7492.4811090430703"/>
    <n v="8083.8909849432384"/>
  </r>
  <r>
    <s v="Regular"/>
    <x v="6"/>
    <x v="4"/>
    <x v="1"/>
    <x v="0"/>
    <x v="0"/>
    <x v="0"/>
    <x v="0"/>
    <x v="5"/>
    <n v="0"/>
    <n v="0"/>
    <n v="22.169"/>
    <n v="22.169"/>
    <n v="22.169"/>
    <n v="22.169"/>
    <n v="0"/>
    <x v="0"/>
    <n v="0"/>
    <n v="0"/>
    <n v="72"/>
    <n v="115"/>
    <n v="0"/>
    <n v="197.19"/>
    <n v="256.38"/>
    <m/>
    <n v="213.95474196987553"/>
    <n v="230.84299908458948"/>
    <n v="0"/>
    <n v="4371.5051100000001"/>
    <n v="5683.68822"/>
    <n v="0"/>
    <n v="4743.1626747301707"/>
    <n v="5117.5584467062645"/>
  </r>
  <r>
    <s v="Refaturamento - Regular"/>
    <x v="6"/>
    <x v="4"/>
    <x v="1"/>
    <x v="0"/>
    <x v="0"/>
    <x v="0"/>
    <x v="0"/>
    <x v="5"/>
    <n v="0"/>
    <n v="0"/>
    <n v="9.4459999999999997"/>
    <n v="9.4459999999999997"/>
    <n v="9.4459999999999997"/>
    <n v="9.4459999999999997"/>
    <n v="0"/>
    <x v="0"/>
    <n v="0"/>
    <n v="0"/>
    <n v="72"/>
    <n v="115"/>
    <n v="0"/>
    <n v="197.19"/>
    <n v="256.38"/>
    <m/>
    <n v="213.95474196987553"/>
    <n v="230.84299908458948"/>
    <n v="0"/>
    <n v="1862.6567399999999"/>
    <n v="2421.76548"/>
    <n v="0"/>
    <n v="2021.0164926474442"/>
    <n v="2180.5429693530323"/>
  </r>
  <r>
    <s v="Regular"/>
    <x v="6"/>
    <x v="4"/>
    <x v="1"/>
    <x v="0"/>
    <x v="0"/>
    <x v="0"/>
    <x v="0"/>
    <x v="6"/>
    <n v="0"/>
    <n v="0"/>
    <n v="32.130000000000003"/>
    <n v="32.130000000000003"/>
    <n v="32.130000000000003"/>
    <n v="32.130000000000003"/>
    <n v="0"/>
    <x v="0"/>
    <n v="0"/>
    <n v="0"/>
    <n v="72"/>
    <n v="115"/>
    <n v="0"/>
    <n v="197.19"/>
    <n v="256.38"/>
    <m/>
    <n v="213.95474196987553"/>
    <n v="230.84299908458948"/>
    <n v="0"/>
    <n v="6335.7147000000004"/>
    <n v="8237.4894000000004"/>
    <n v="0"/>
    <n v="6874.3658594921017"/>
    <n v="7416.9855605878602"/>
  </r>
  <r>
    <s v="Regular"/>
    <x v="6"/>
    <x v="4"/>
    <x v="1"/>
    <x v="0"/>
    <x v="0"/>
    <x v="0"/>
    <x v="0"/>
    <x v="7"/>
    <n v="0"/>
    <n v="0"/>
    <n v="30.245000000000001"/>
    <n v="30.245000000000001"/>
    <n v="30.245000000000001"/>
    <n v="30.245000000000001"/>
    <n v="0"/>
    <x v="0"/>
    <n v="0"/>
    <n v="0"/>
    <n v="72"/>
    <n v="115"/>
    <n v="0"/>
    <n v="197.19"/>
    <n v="256.38"/>
    <m/>
    <n v="213.95474196987553"/>
    <n v="230.84299908458948"/>
    <n v="0"/>
    <n v="5964.0115500000002"/>
    <n v="7754.2130999999999"/>
    <n v="0"/>
    <n v="6471.0611708788856"/>
    <n v="6981.8465073134093"/>
  </r>
  <r>
    <s v="Regular"/>
    <x v="6"/>
    <x v="4"/>
    <x v="1"/>
    <x v="0"/>
    <x v="0"/>
    <x v="0"/>
    <x v="0"/>
    <x v="8"/>
    <n v="0"/>
    <n v="0"/>
    <n v="29.972999999999999"/>
    <n v="29.972999999999999"/>
    <n v="29.972999999999999"/>
    <n v="29.972999999999999"/>
    <n v="0"/>
    <x v="0"/>
    <n v="0"/>
    <n v="0"/>
    <n v="72"/>
    <n v="115"/>
    <n v="0"/>
    <n v="197.19"/>
    <n v="256.38"/>
    <m/>
    <n v="213.95474196987553"/>
    <n v="230.84299908458948"/>
    <n v="0"/>
    <n v="5910.3758699999998"/>
    <n v="7684.4777399999994"/>
    <n v="0"/>
    <n v="6412.8654810630787"/>
    <n v="6919.0572115624"/>
  </r>
  <r>
    <s v="Regular"/>
    <x v="6"/>
    <x v="4"/>
    <x v="1"/>
    <x v="0"/>
    <x v="0"/>
    <x v="0"/>
    <x v="0"/>
    <x v="9"/>
    <n v="0"/>
    <n v="0"/>
    <n v="31.661000000000001"/>
    <n v="31.661000000000001"/>
    <n v="31.661000000000001"/>
    <n v="31.661000000000001"/>
    <n v="0"/>
    <x v="0"/>
    <n v="0"/>
    <n v="0"/>
    <n v="72"/>
    <n v="115"/>
    <n v="0"/>
    <n v="197.19"/>
    <n v="256.38"/>
    <m/>
    <n v="213.95474196987553"/>
    <n v="230.84299908458948"/>
    <n v="0"/>
    <n v="6243.2325900000005"/>
    <n v="8117.2471800000003"/>
    <n v="0"/>
    <n v="6774.0210855082296"/>
    <n v="7308.7201940171881"/>
  </r>
  <r>
    <s v="Regular"/>
    <x v="6"/>
    <x v="4"/>
    <x v="1"/>
    <x v="0"/>
    <x v="0"/>
    <x v="0"/>
    <x v="0"/>
    <x v="10"/>
    <n v="0"/>
    <n v="0"/>
    <n v="33.029000000000003"/>
    <n v="33.029000000000003"/>
    <n v="33.029000000000003"/>
    <n v="33.029000000000003"/>
    <n v="0"/>
    <x v="0"/>
    <n v="0"/>
    <n v="0"/>
    <n v="72"/>
    <n v="115"/>
    <n v="0"/>
    <n v="197.19"/>
    <n v="256.38"/>
    <m/>
    <n v="213.95474196987553"/>
    <n v="230.84299908458948"/>
    <n v="0"/>
    <n v="6512.988510000001"/>
    <n v="8467.9750199999999"/>
    <n v="0"/>
    <n v="7066.7111725230197"/>
    <n v="7624.5134167649067"/>
  </r>
  <r>
    <s v="PROJETADO"/>
    <x v="6"/>
    <x v="4"/>
    <x v="1"/>
    <x v="0"/>
    <x v="0"/>
    <x v="0"/>
    <x v="0"/>
    <x v="11"/>
    <n v="0"/>
    <n v="0"/>
    <n v="33.029000000000003"/>
    <n v="33.029000000000003"/>
    <n v="33.029000000000003"/>
    <n v="33.029000000000003"/>
    <n v="0"/>
    <x v="0"/>
    <n v="0"/>
    <n v="0"/>
    <n v="72"/>
    <n v="115"/>
    <n v="0"/>
    <n v="197.19"/>
    <n v="256.38"/>
    <m/>
    <n v="213.95474196987553"/>
    <n v="230.84299908458948"/>
    <n v="0"/>
    <n v="6512.988510000001"/>
    <n v="8467.9750199999999"/>
    <n v="0"/>
    <n v="7066.7111725230197"/>
    <n v="7624.5134167649067"/>
  </r>
  <r>
    <s v="Regular"/>
    <x v="6"/>
    <x v="4"/>
    <x v="1"/>
    <x v="0"/>
    <x v="0"/>
    <x v="0"/>
    <x v="3"/>
    <x v="0"/>
    <n v="0"/>
    <n v="0"/>
    <n v="1.4370000000000001"/>
    <n v="1.4370000000000001"/>
    <n v="1.4370000000000001"/>
    <n v="1.4370000000000001"/>
    <n v="0"/>
    <x v="0"/>
    <n v="0"/>
    <n v="0"/>
    <n v="71"/>
    <n v="114"/>
    <n v="0"/>
    <n v="374.6"/>
    <n v="256.38"/>
    <m/>
    <n v="419.89908143173358"/>
    <n v="230.84299908458948"/>
    <n v="0"/>
    <n v="538.30020000000002"/>
    <n v="368.41806000000003"/>
    <n v="0"/>
    <n v="603.39498001740117"/>
    <n v="331.72138968455511"/>
  </r>
  <r>
    <s v="Regular"/>
    <x v="6"/>
    <x v="4"/>
    <x v="1"/>
    <x v="0"/>
    <x v="0"/>
    <x v="0"/>
    <x v="3"/>
    <x v="1"/>
    <n v="0"/>
    <n v="0"/>
    <n v="1.6040000000000001"/>
    <n v="1.6040000000000001"/>
    <n v="1.6040000000000001"/>
    <n v="1.6040000000000001"/>
    <n v="0"/>
    <x v="0"/>
    <n v="0"/>
    <n v="0"/>
    <n v="71"/>
    <n v="114"/>
    <n v="0"/>
    <n v="374.6"/>
    <n v="256.38"/>
    <m/>
    <n v="419.89908143173358"/>
    <n v="230.84299908458948"/>
    <n v="0"/>
    <n v="600.85840000000007"/>
    <n v="411.23352"/>
    <n v="0"/>
    <n v="673.51812661650069"/>
    <n v="370.27217053168152"/>
  </r>
  <r>
    <s v="Regular"/>
    <x v="6"/>
    <x v="4"/>
    <x v="1"/>
    <x v="0"/>
    <x v="0"/>
    <x v="0"/>
    <x v="3"/>
    <x v="2"/>
    <n v="0"/>
    <n v="0"/>
    <n v="1.3560000000000001"/>
    <n v="1.3560000000000001"/>
    <n v="1.3560000000000001"/>
    <n v="1.3560000000000001"/>
    <n v="0"/>
    <x v="0"/>
    <n v="0"/>
    <n v="0"/>
    <n v="71"/>
    <n v="114"/>
    <n v="0"/>
    <n v="374.6"/>
    <n v="256.38"/>
    <m/>
    <n v="419.89908143173358"/>
    <n v="230.84299908458948"/>
    <n v="0"/>
    <n v="507.95760000000007"/>
    <n v="347.65128000000004"/>
    <n v="0"/>
    <n v="569.38315442143073"/>
    <n v="313.02310675870336"/>
  </r>
  <r>
    <s v="Regular"/>
    <x v="6"/>
    <x v="4"/>
    <x v="1"/>
    <x v="0"/>
    <x v="0"/>
    <x v="0"/>
    <x v="3"/>
    <x v="3"/>
    <n v="0"/>
    <n v="0"/>
    <n v="1.2929999999999999"/>
    <n v="1.2929999999999999"/>
    <n v="1.2929999999999999"/>
    <n v="1.2929999999999999"/>
    <n v="0"/>
    <x v="0"/>
    <n v="0"/>
    <n v="0"/>
    <n v="71"/>
    <n v="114"/>
    <n v="0"/>
    <n v="374.6"/>
    <n v="256.38"/>
    <m/>
    <n v="419.89908143173358"/>
    <n v="230.84299908458948"/>
    <n v="0"/>
    <n v="484.3578"/>
    <n v="331.49933999999996"/>
    <n v="0"/>
    <n v="542.9295122912315"/>
    <n v="298.47999781637418"/>
  </r>
  <r>
    <s v="Regular"/>
    <x v="6"/>
    <x v="4"/>
    <x v="1"/>
    <x v="0"/>
    <x v="0"/>
    <x v="0"/>
    <x v="3"/>
    <x v="4"/>
    <n v="0"/>
    <n v="0"/>
    <n v="1.3640000000000001"/>
    <n v="1.3640000000000001"/>
    <n v="1.3640000000000001"/>
    <n v="1.3640000000000001"/>
    <n v="0"/>
    <x v="0"/>
    <n v="0"/>
    <n v="0"/>
    <n v="71"/>
    <n v="114"/>
    <n v="0"/>
    <n v="374.6"/>
    <n v="256.38"/>
    <m/>
    <n v="419.89908143173358"/>
    <n v="230.84299908458948"/>
    <n v="0"/>
    <n v="510.95440000000008"/>
    <n v="349.70232000000004"/>
    <n v="0"/>
    <n v="572.74234707288463"/>
    <n v="314.86985075138006"/>
  </r>
  <r>
    <s v="Regular"/>
    <x v="6"/>
    <x v="4"/>
    <x v="1"/>
    <x v="0"/>
    <x v="0"/>
    <x v="0"/>
    <x v="3"/>
    <x v="5"/>
    <n v="0"/>
    <n v="0"/>
    <n v="0.67400000000000004"/>
    <n v="0.67400000000000004"/>
    <n v="0.67400000000000004"/>
    <n v="0.67400000000000004"/>
    <n v="0"/>
    <x v="0"/>
    <n v="0"/>
    <n v="0"/>
    <n v="71"/>
    <n v="114"/>
    <n v="0"/>
    <n v="374.6"/>
    <n v="256.38"/>
    <m/>
    <n v="419.89908143173358"/>
    <n v="230.84299908458948"/>
    <n v="0"/>
    <n v="252.48040000000003"/>
    <n v="172.80012000000002"/>
    <n v="0"/>
    <n v="283.01198088498847"/>
    <n v="155.58818138301331"/>
  </r>
  <r>
    <s v="Refaturamento - Regular"/>
    <x v="6"/>
    <x v="4"/>
    <x v="1"/>
    <x v="0"/>
    <x v="0"/>
    <x v="0"/>
    <x v="3"/>
    <x v="5"/>
    <n v="0"/>
    <n v="0"/>
    <n v="0.47799999999999998"/>
    <n v="0.47799999999999998"/>
    <n v="0.47799999999999998"/>
    <n v="0.47799999999999998"/>
    <n v="0"/>
    <x v="0"/>
    <n v="0"/>
    <n v="0"/>
    <n v="71"/>
    <n v="114"/>
    <n v="0"/>
    <n v="374.6"/>
    <n v="256.38"/>
    <m/>
    <n v="419.89908143173358"/>
    <n v="230.84299908458948"/>
    <n v="0"/>
    <n v="179.05879999999999"/>
    <n v="122.54964"/>
    <n v="0"/>
    <n v="200.71176092436863"/>
    <n v="110.34295356243376"/>
  </r>
  <r>
    <s v="Regular"/>
    <x v="6"/>
    <x v="4"/>
    <x v="1"/>
    <x v="0"/>
    <x v="0"/>
    <x v="0"/>
    <x v="3"/>
    <x v="6"/>
    <n v="0"/>
    <n v="0"/>
    <n v="1.0660000000000001"/>
    <n v="1.0660000000000001"/>
    <n v="1.0660000000000001"/>
    <n v="1.0660000000000001"/>
    <n v="0"/>
    <x v="0"/>
    <n v="0"/>
    <n v="0"/>
    <n v="71"/>
    <n v="114"/>
    <n v="0"/>
    <n v="374.6"/>
    <n v="256.38"/>
    <m/>
    <n v="419.89908143173358"/>
    <n v="230.84299908458948"/>
    <n v="0"/>
    <n v="399.32360000000006"/>
    <n v="273.30108000000001"/>
    <n v="0"/>
    <n v="447.61242080622804"/>
    <n v="246.07863702417239"/>
  </r>
  <r>
    <s v="Regular"/>
    <x v="6"/>
    <x v="4"/>
    <x v="1"/>
    <x v="0"/>
    <x v="0"/>
    <x v="0"/>
    <x v="3"/>
    <x v="7"/>
    <n v="0"/>
    <n v="0"/>
    <n v="0.95899999999999996"/>
    <n v="0.95899999999999996"/>
    <n v="0.95899999999999996"/>
    <n v="0.95899999999999996"/>
    <n v="0"/>
    <x v="0"/>
    <n v="0"/>
    <n v="0"/>
    <n v="71"/>
    <n v="114"/>
    <n v="0"/>
    <n v="374.6"/>
    <n v="256.38"/>
    <m/>
    <n v="419.89908143173358"/>
    <n v="230.84299908458948"/>
    <n v="0"/>
    <n v="359.2414"/>
    <n v="245.86841999999999"/>
    <n v="0"/>
    <n v="402.68321909303251"/>
    <n v="221.37843612212131"/>
  </r>
  <r>
    <s v="Regular"/>
    <x v="6"/>
    <x v="4"/>
    <x v="1"/>
    <x v="0"/>
    <x v="0"/>
    <x v="0"/>
    <x v="3"/>
    <x v="8"/>
    <n v="0"/>
    <n v="0"/>
    <n v="0.96399999999999997"/>
    <n v="0.96399999999999997"/>
    <n v="0.96399999999999997"/>
    <n v="0.96399999999999997"/>
    <n v="0"/>
    <x v="0"/>
    <n v="0"/>
    <n v="0"/>
    <n v="71"/>
    <n v="114"/>
    <n v="0"/>
    <n v="374.6"/>
    <n v="256.38"/>
    <m/>
    <n v="419.89908143173358"/>
    <n v="230.84299908458948"/>
    <n v="0"/>
    <n v="361.11439999999999"/>
    <n v="247.15031999999999"/>
    <n v="0"/>
    <n v="404.78271450019116"/>
    <n v="222.53265111754425"/>
  </r>
  <r>
    <s v="Regular"/>
    <x v="6"/>
    <x v="4"/>
    <x v="1"/>
    <x v="0"/>
    <x v="0"/>
    <x v="0"/>
    <x v="3"/>
    <x v="9"/>
    <n v="0"/>
    <n v="0"/>
    <n v="1.002"/>
    <n v="1.002"/>
    <n v="1.002"/>
    <n v="1.002"/>
    <n v="0"/>
    <x v="0"/>
    <n v="0"/>
    <n v="0"/>
    <n v="71"/>
    <n v="114"/>
    <n v="0"/>
    <n v="374.6"/>
    <n v="256.38"/>
    <m/>
    <n v="419.89908143173358"/>
    <n v="230.84299908458948"/>
    <n v="0"/>
    <n v="375.3492"/>
    <n v="256.89276000000001"/>
    <n v="0"/>
    <n v="420.73887959459705"/>
    <n v="231.30468508275865"/>
  </r>
  <r>
    <s v="Regular"/>
    <x v="6"/>
    <x v="4"/>
    <x v="1"/>
    <x v="0"/>
    <x v="0"/>
    <x v="0"/>
    <x v="3"/>
    <x v="10"/>
    <n v="0"/>
    <n v="0"/>
    <n v="1.1739999999999999"/>
    <n v="1.1739999999999999"/>
    <n v="1.1739999999999999"/>
    <n v="1.1739999999999999"/>
    <n v="0"/>
    <x v="0"/>
    <n v="0"/>
    <n v="0"/>
    <n v="71"/>
    <n v="114"/>
    <n v="0"/>
    <n v="374.6"/>
    <n v="256.38"/>
    <m/>
    <n v="419.89908143173358"/>
    <n v="230.84299908458948"/>
    <n v="0"/>
    <n v="439.78039999999999"/>
    <n v="300.99011999999999"/>
    <n v="0"/>
    <n v="492.96152160085518"/>
    <n v="271.00968092530803"/>
  </r>
  <r>
    <s v="PROJETADO"/>
    <x v="6"/>
    <x v="4"/>
    <x v="1"/>
    <x v="0"/>
    <x v="0"/>
    <x v="0"/>
    <x v="3"/>
    <x v="11"/>
    <n v="0"/>
    <n v="0"/>
    <n v="1.1739999999999999"/>
    <n v="1.1739999999999999"/>
    <n v="1.1739999999999999"/>
    <n v="1.1739999999999999"/>
    <n v="0"/>
    <x v="0"/>
    <n v="0"/>
    <n v="0"/>
    <n v="71"/>
    <n v="114"/>
    <n v="0"/>
    <n v="374.6"/>
    <n v="256.38"/>
    <m/>
    <n v="419.89908143173358"/>
    <n v="230.84299908458948"/>
    <n v="0"/>
    <n v="439.78039999999999"/>
    <n v="300.99011999999999"/>
    <n v="0"/>
    <n v="492.96152160085518"/>
    <n v="271.00968092530803"/>
  </r>
  <r>
    <s v="Regular"/>
    <x v="6"/>
    <x v="4"/>
    <x v="1"/>
    <x v="0"/>
    <x v="0"/>
    <x v="0"/>
    <x v="1"/>
    <x v="0"/>
    <n v="0"/>
    <n v="0"/>
    <n v="1.5469999999999999"/>
    <n v="1.5469999999999999"/>
    <n v="1.5469999999999999"/>
    <n v="1.5469999999999999"/>
    <n v="0"/>
    <x v="0"/>
    <n v="0"/>
    <n v="0"/>
    <n v="70"/>
    <n v="113"/>
    <n v="0"/>
    <n v="552.01"/>
    <n v="430.87"/>
    <m/>
    <n v="625.84456331899685"/>
    <n v="375.70671275609089"/>
    <n v="0"/>
    <n v="853.9594699999999"/>
    <n v="666.55588999999998"/>
    <n v="0"/>
    <n v="968.18153945448807"/>
    <n v="581.21828463367262"/>
  </r>
  <r>
    <s v="Regular"/>
    <x v="6"/>
    <x v="4"/>
    <x v="1"/>
    <x v="0"/>
    <x v="0"/>
    <x v="0"/>
    <x v="1"/>
    <x v="1"/>
    <n v="0"/>
    <n v="0"/>
    <n v="1.65"/>
    <n v="1.65"/>
    <n v="1.65"/>
    <n v="1.65"/>
    <n v="0"/>
    <x v="0"/>
    <n v="0"/>
    <n v="0"/>
    <n v="70"/>
    <n v="113"/>
    <n v="0"/>
    <n v="552.01"/>
    <n v="430.87"/>
    <m/>
    <n v="625.84456331899685"/>
    <n v="375.70671275609089"/>
    <n v="0"/>
    <n v="910.81649999999991"/>
    <n v="710.93549999999993"/>
    <n v="0"/>
    <n v="1032.6435294763448"/>
    <n v="619.91607604754995"/>
  </r>
  <r>
    <s v="Regular"/>
    <x v="6"/>
    <x v="4"/>
    <x v="1"/>
    <x v="0"/>
    <x v="0"/>
    <x v="0"/>
    <x v="1"/>
    <x v="2"/>
    <n v="0"/>
    <n v="0"/>
    <n v="1.403"/>
    <n v="1.403"/>
    <n v="1.403"/>
    <n v="1.403"/>
    <n v="0"/>
    <x v="0"/>
    <n v="0"/>
    <n v="0"/>
    <n v="70"/>
    <n v="113"/>
    <n v="0"/>
    <n v="552.01"/>
    <n v="430.87"/>
    <m/>
    <n v="625.84456331899685"/>
    <n v="375.70671275609089"/>
    <n v="0"/>
    <n v="774.47002999999995"/>
    <n v="604.51061000000004"/>
    <n v="0"/>
    <n v="878.05992233655263"/>
    <n v="527.11651799679555"/>
  </r>
  <r>
    <s v="Regular"/>
    <x v="6"/>
    <x v="4"/>
    <x v="1"/>
    <x v="0"/>
    <x v="0"/>
    <x v="0"/>
    <x v="1"/>
    <x v="3"/>
    <n v="0"/>
    <n v="0"/>
    <n v="1.4219999999999999"/>
    <n v="1.4219999999999999"/>
    <n v="1.4219999999999999"/>
    <n v="1.4219999999999999"/>
    <n v="0"/>
    <x v="0"/>
    <n v="0"/>
    <n v="0"/>
    <n v="70"/>
    <n v="113"/>
    <n v="0"/>
    <n v="552.01"/>
    <n v="430.87"/>
    <m/>
    <n v="625.84456331899685"/>
    <n v="375.70671275609089"/>
    <n v="0"/>
    <n v="784.95821999999998"/>
    <n v="612.69713999999999"/>
    <n v="0"/>
    <n v="889.95096903961348"/>
    <n v="534.25494553916121"/>
  </r>
  <r>
    <s v="Regular"/>
    <x v="6"/>
    <x v="4"/>
    <x v="1"/>
    <x v="0"/>
    <x v="0"/>
    <x v="0"/>
    <x v="1"/>
    <x v="4"/>
    <n v="0"/>
    <n v="0"/>
    <n v="1.391"/>
    <n v="1.391"/>
    <n v="1.391"/>
    <n v="1.391"/>
    <n v="0"/>
    <x v="0"/>
    <n v="0"/>
    <n v="0"/>
    <n v="70"/>
    <n v="113"/>
    <n v="0"/>
    <n v="552.01"/>
    <n v="430.87"/>
    <m/>
    <n v="625.84456331899685"/>
    <n v="375.70671275609089"/>
    <n v="0"/>
    <n v="767.84591"/>
    <n v="599.34017000000006"/>
    <n v="0"/>
    <n v="870.54978757672461"/>
    <n v="522.60803744372242"/>
  </r>
  <r>
    <s v="Regular"/>
    <x v="6"/>
    <x v="4"/>
    <x v="1"/>
    <x v="0"/>
    <x v="0"/>
    <x v="0"/>
    <x v="1"/>
    <x v="5"/>
    <n v="0"/>
    <n v="0"/>
    <n v="0.76200000000000001"/>
    <n v="0.76200000000000001"/>
    <n v="0.76200000000000001"/>
    <n v="0.76200000000000001"/>
    <n v="0"/>
    <x v="0"/>
    <n v="0"/>
    <n v="0"/>
    <n v="70"/>
    <n v="113"/>
    <n v="0"/>
    <n v="552.01"/>
    <n v="430.87"/>
    <m/>
    <n v="625.84456331899685"/>
    <n v="375.70671275609089"/>
    <n v="0"/>
    <n v="420.63162"/>
    <n v="328.32294000000002"/>
    <n v="0"/>
    <n v="476.89355724907563"/>
    <n v="286.28851512014126"/>
  </r>
  <r>
    <s v="Refaturamento - Regular"/>
    <x v="6"/>
    <x v="4"/>
    <x v="1"/>
    <x v="0"/>
    <x v="0"/>
    <x v="0"/>
    <x v="1"/>
    <x v="5"/>
    <n v="0"/>
    <n v="0"/>
    <n v="0.48199999999999998"/>
    <n v="0.48199999999999998"/>
    <n v="0.48199999999999998"/>
    <n v="0.48199999999999998"/>
    <n v="0"/>
    <x v="0"/>
    <n v="0"/>
    <n v="0"/>
    <n v="70"/>
    <n v="113"/>
    <n v="0"/>
    <n v="552.01"/>
    <n v="430.87"/>
    <m/>
    <n v="625.84456331899685"/>
    <n v="375.70671275609089"/>
    <n v="0"/>
    <n v="266.06881999999996"/>
    <n v="207.67934"/>
    <n v="0"/>
    <n v="301.65707951975645"/>
    <n v="181.09063554843581"/>
  </r>
  <r>
    <s v="Regular"/>
    <x v="6"/>
    <x v="4"/>
    <x v="1"/>
    <x v="0"/>
    <x v="0"/>
    <x v="0"/>
    <x v="1"/>
    <x v="6"/>
    <n v="0"/>
    <n v="0"/>
    <n v="1.2889999999999999"/>
    <n v="1.2889999999999999"/>
    <n v="1.2889999999999999"/>
    <n v="1.2889999999999999"/>
    <n v="0"/>
    <x v="0"/>
    <n v="0"/>
    <n v="0"/>
    <n v="70"/>
    <n v="113"/>
    <n v="0"/>
    <n v="552.01"/>
    <n v="430.87"/>
    <m/>
    <n v="625.84456331899685"/>
    <n v="375.70671275609089"/>
    <n v="0"/>
    <n v="711.54088999999999"/>
    <n v="555.39143000000001"/>
    <n v="0"/>
    <n v="806.71364211818684"/>
    <n v="484.28595274260113"/>
  </r>
  <r>
    <s v="Regular"/>
    <x v="6"/>
    <x v="4"/>
    <x v="1"/>
    <x v="0"/>
    <x v="0"/>
    <x v="0"/>
    <x v="1"/>
    <x v="7"/>
    <n v="0"/>
    <n v="0"/>
    <n v="1.0669999999999999"/>
    <n v="1.0669999999999999"/>
    <n v="1.0669999999999999"/>
    <n v="1.0669999999999999"/>
    <n v="0"/>
    <x v="0"/>
    <n v="0"/>
    <n v="0"/>
    <n v="70"/>
    <n v="113"/>
    <n v="0"/>
    <n v="552.01"/>
    <n v="430.87"/>
    <m/>
    <n v="625.84456331899685"/>
    <n v="375.70671275609089"/>
    <n v="0"/>
    <n v="588.99466999999993"/>
    <n v="459.73829000000001"/>
    <n v="0"/>
    <n v="667.77614906136955"/>
    <n v="400.87906251074895"/>
  </r>
  <r>
    <s v="Regular"/>
    <x v="6"/>
    <x v="4"/>
    <x v="1"/>
    <x v="0"/>
    <x v="0"/>
    <x v="0"/>
    <x v="1"/>
    <x v="8"/>
    <n v="0"/>
    <n v="0"/>
    <n v="1.054"/>
    <n v="1.054"/>
    <n v="1.054"/>
    <n v="1.054"/>
    <n v="0"/>
    <x v="0"/>
    <n v="0"/>
    <n v="0"/>
    <n v="70"/>
    <n v="113"/>
    <n v="0"/>
    <n v="552.01"/>
    <n v="430.87"/>
    <m/>
    <n v="625.84456331899685"/>
    <n v="375.70671275609089"/>
    <n v="0"/>
    <n v="581.81853999999998"/>
    <n v="454.13698000000005"/>
    <n v="0"/>
    <n v="659.64016973822265"/>
    <n v="395.9948752449198"/>
  </r>
  <r>
    <s v="Regular"/>
    <x v="6"/>
    <x v="4"/>
    <x v="1"/>
    <x v="0"/>
    <x v="0"/>
    <x v="0"/>
    <x v="1"/>
    <x v="9"/>
    <n v="0"/>
    <n v="0"/>
    <n v="1.135"/>
    <n v="1.135"/>
    <n v="1.135"/>
    <n v="1.135"/>
    <n v="0"/>
    <x v="0"/>
    <n v="0"/>
    <n v="0"/>
    <n v="70"/>
    <n v="113"/>
    <n v="0"/>
    <n v="552.01"/>
    <n v="430.87"/>
    <m/>
    <n v="625.84456331899685"/>
    <n v="375.70671275609089"/>
    <n v="0"/>
    <n v="626.53134999999997"/>
    <n v="489.03745000000004"/>
    <n v="0"/>
    <n v="710.33357936706147"/>
    <n v="426.42711897816315"/>
  </r>
  <r>
    <s v="Regular"/>
    <x v="6"/>
    <x v="4"/>
    <x v="1"/>
    <x v="0"/>
    <x v="0"/>
    <x v="0"/>
    <x v="1"/>
    <x v="10"/>
    <n v="0"/>
    <n v="0"/>
    <n v="1.29"/>
    <n v="1.29"/>
    <n v="1.29"/>
    <n v="1.29"/>
    <n v="0"/>
    <x v="0"/>
    <n v="0"/>
    <n v="0"/>
    <n v="70"/>
    <n v="113"/>
    <n v="0"/>
    <n v="552.01"/>
    <n v="430.87"/>
    <m/>
    <n v="625.84456331899685"/>
    <n v="375.70671275609089"/>
    <n v="0"/>
    <n v="712.09289999999999"/>
    <n v="555.82230000000004"/>
    <n v="0"/>
    <n v="807.33948668150595"/>
    <n v="484.66165945535727"/>
  </r>
  <r>
    <s v="PROJETADO"/>
    <x v="6"/>
    <x v="4"/>
    <x v="1"/>
    <x v="0"/>
    <x v="0"/>
    <x v="0"/>
    <x v="1"/>
    <x v="11"/>
    <n v="0"/>
    <n v="0"/>
    <n v="1.29"/>
    <n v="1.29"/>
    <n v="1.29"/>
    <n v="1.29"/>
    <n v="0"/>
    <x v="0"/>
    <n v="0"/>
    <n v="0"/>
    <n v="70"/>
    <n v="113"/>
    <n v="0"/>
    <n v="552.01"/>
    <n v="430.87"/>
    <m/>
    <n v="625.84456331899685"/>
    <n v="375.70671275609089"/>
    <n v="0"/>
    <n v="712.09289999999999"/>
    <n v="555.82230000000004"/>
    <n v="0"/>
    <n v="807.33948668150595"/>
    <n v="484.66165945535727"/>
  </r>
  <r>
    <s v="Regular"/>
    <x v="6"/>
    <x v="4"/>
    <x v="4"/>
    <x v="0"/>
    <x v="0"/>
    <x v="0"/>
    <x v="0"/>
    <x v="6"/>
    <n v="0"/>
    <n v="0"/>
    <n v="1.7529999999999999"/>
    <n v="1.7529999999999999"/>
    <n v="1.7529999999999999"/>
    <n v="1.7529999999999999"/>
    <n v="0"/>
    <x v="0"/>
    <n v="0"/>
    <n v="0"/>
    <n v="72"/>
    <n v="115"/>
    <n v="0"/>
    <n v="197.19"/>
    <n v="256.38"/>
    <m/>
    <n v="213.95474196987553"/>
    <n v="230.84299908458948"/>
    <n v="0"/>
    <n v="345.67406999999997"/>
    <n v="449.43413999999996"/>
    <n v="0"/>
    <n v="375.06266267319177"/>
    <n v="404.66777739528533"/>
  </r>
  <r>
    <s v="Regular"/>
    <x v="6"/>
    <x v="4"/>
    <x v="4"/>
    <x v="0"/>
    <x v="0"/>
    <x v="0"/>
    <x v="0"/>
    <x v="7"/>
    <n v="0"/>
    <n v="0"/>
    <n v="1.1739999999999999"/>
    <n v="1.1739999999999999"/>
    <n v="1.1739999999999999"/>
    <n v="1.1739999999999999"/>
    <n v="0"/>
    <x v="0"/>
    <n v="0"/>
    <n v="0"/>
    <n v="72"/>
    <n v="115"/>
    <n v="0"/>
    <n v="197.19"/>
    <n v="256.38"/>
    <m/>
    <n v="213.95474196987553"/>
    <n v="230.84299908458948"/>
    <n v="0"/>
    <n v="231.50106"/>
    <n v="300.99011999999999"/>
    <n v="0"/>
    <n v="251.18286707263385"/>
    <n v="271.00968092530803"/>
  </r>
  <r>
    <s v="Regular"/>
    <x v="6"/>
    <x v="4"/>
    <x v="4"/>
    <x v="0"/>
    <x v="0"/>
    <x v="0"/>
    <x v="0"/>
    <x v="8"/>
    <n v="0"/>
    <n v="0"/>
    <n v="1.2909999999999999"/>
    <n v="1.2909999999999999"/>
    <n v="1.2909999999999999"/>
    <n v="1.2909999999999999"/>
    <n v="0"/>
    <x v="0"/>
    <n v="0"/>
    <n v="0"/>
    <n v="72"/>
    <n v="115"/>
    <n v="0"/>
    <n v="197.19"/>
    <n v="256.38"/>
    <m/>
    <n v="213.95474196987553"/>
    <n v="230.84299908458948"/>
    <n v="0"/>
    <n v="254.57228999999998"/>
    <n v="330.98657999999995"/>
    <n v="0"/>
    <n v="276.21557188310931"/>
    <n v="298.01831181820501"/>
  </r>
  <r>
    <s v="Regular"/>
    <x v="6"/>
    <x v="4"/>
    <x v="4"/>
    <x v="0"/>
    <x v="0"/>
    <x v="0"/>
    <x v="0"/>
    <x v="9"/>
    <n v="0"/>
    <n v="0"/>
    <n v="1.4390000000000001"/>
    <n v="1.4390000000000001"/>
    <n v="1.4390000000000001"/>
    <n v="1.4390000000000001"/>
    <n v="0"/>
    <x v="0"/>
    <n v="0"/>
    <n v="0"/>
    <n v="72"/>
    <n v="115"/>
    <n v="0"/>
    <n v="197.19"/>
    <n v="256.38"/>
    <m/>
    <n v="213.95474196987553"/>
    <n v="230.84299908458948"/>
    <n v="0"/>
    <n v="283.75641000000002"/>
    <n v="368.93081999999998"/>
    <n v="0"/>
    <n v="307.88087369465092"/>
    <n v="332.18307568272428"/>
  </r>
  <r>
    <s v="Regular"/>
    <x v="6"/>
    <x v="4"/>
    <x v="4"/>
    <x v="0"/>
    <x v="0"/>
    <x v="0"/>
    <x v="0"/>
    <x v="10"/>
    <n v="0"/>
    <n v="0"/>
    <n v="1.6759999999999999"/>
    <n v="1.6759999999999999"/>
    <n v="1.6759999999999999"/>
    <n v="1.6759999999999999"/>
    <n v="0"/>
    <x v="0"/>
    <n v="0"/>
    <n v="0"/>
    <n v="72"/>
    <n v="115"/>
    <n v="0"/>
    <n v="197.19"/>
    <n v="256.38"/>
    <m/>
    <n v="213.95474196987553"/>
    <n v="230.84299908458948"/>
    <n v="0"/>
    <n v="330.49043999999998"/>
    <n v="429.69288"/>
    <n v="0"/>
    <n v="358.58814754151138"/>
    <n v="386.89286646577193"/>
  </r>
  <r>
    <s v="PROJETADO"/>
    <x v="6"/>
    <x v="4"/>
    <x v="4"/>
    <x v="0"/>
    <x v="0"/>
    <x v="0"/>
    <x v="0"/>
    <x v="11"/>
    <n v="0"/>
    <n v="0"/>
    <n v="1.6759999999999999"/>
    <n v="1.6759999999999999"/>
    <n v="1.6759999999999999"/>
    <n v="1.6759999999999999"/>
    <n v="0"/>
    <x v="0"/>
    <n v="0"/>
    <n v="0"/>
    <n v="72"/>
    <n v="115"/>
    <n v="0"/>
    <n v="197.19"/>
    <n v="256.38"/>
    <m/>
    <n v="213.95474196987553"/>
    <n v="230.84299908458948"/>
    <n v="0"/>
    <n v="330.49043999999998"/>
    <n v="429.69288"/>
    <n v="0"/>
    <n v="358.58814754151138"/>
    <n v="386.89286646577193"/>
  </r>
  <r>
    <s v="Regular"/>
    <x v="6"/>
    <x v="4"/>
    <x v="4"/>
    <x v="0"/>
    <x v="0"/>
    <x v="0"/>
    <x v="3"/>
    <x v="6"/>
    <n v="0"/>
    <n v="0"/>
    <n v="8.1000000000000003E-2"/>
    <n v="8.1000000000000003E-2"/>
    <n v="8.1000000000000003E-2"/>
    <n v="8.1000000000000003E-2"/>
    <n v="0"/>
    <x v="0"/>
    <n v="0"/>
    <n v="0"/>
    <n v="71"/>
    <n v="114"/>
    <n v="0"/>
    <n v="374.6"/>
    <n v="256.38"/>
    <m/>
    <n v="419.89908143173358"/>
    <n v="230.84299908458948"/>
    <n v="0"/>
    <n v="30.342600000000004"/>
    <n v="20.766780000000001"/>
    <n v="0"/>
    <n v="34.011825595970421"/>
    <n v="18.69828292585175"/>
  </r>
  <r>
    <s v="Regular"/>
    <x v="6"/>
    <x v="4"/>
    <x v="4"/>
    <x v="0"/>
    <x v="0"/>
    <x v="0"/>
    <x v="3"/>
    <x v="7"/>
    <n v="0"/>
    <n v="0"/>
    <n v="8.6999999999999994E-2"/>
    <n v="8.6999999999999994E-2"/>
    <n v="8.6999999999999994E-2"/>
    <n v="8.6999999999999994E-2"/>
    <n v="0"/>
    <x v="0"/>
    <n v="0"/>
    <n v="0"/>
    <n v="71"/>
    <n v="114"/>
    <n v="0"/>
    <n v="374.6"/>
    <n v="256.38"/>
    <m/>
    <n v="419.89908143173358"/>
    <n v="230.84299908458948"/>
    <n v="0"/>
    <n v="32.590200000000003"/>
    <n v="22.305059999999997"/>
    <n v="0"/>
    <n v="36.531220084560822"/>
    <n v="20.083340920359284"/>
  </r>
  <r>
    <s v="Regular"/>
    <x v="6"/>
    <x v="4"/>
    <x v="4"/>
    <x v="0"/>
    <x v="0"/>
    <x v="0"/>
    <x v="3"/>
    <x v="8"/>
    <n v="0"/>
    <n v="0"/>
    <n v="0.12"/>
    <n v="0.12"/>
    <n v="0.12"/>
    <n v="0.12"/>
    <n v="0"/>
    <x v="0"/>
    <n v="0"/>
    <n v="0"/>
    <n v="71"/>
    <n v="114"/>
    <n v="0"/>
    <n v="374.6"/>
    <n v="256.38"/>
    <m/>
    <n v="419.89908143173358"/>
    <n v="230.84299908458948"/>
    <n v="0"/>
    <n v="44.951999999999998"/>
    <n v="30.765599999999999"/>
    <n v="0"/>
    <n v="50.387889771808027"/>
    <n v="27.701159890150738"/>
  </r>
  <r>
    <s v="Regular"/>
    <x v="6"/>
    <x v="4"/>
    <x v="4"/>
    <x v="0"/>
    <x v="0"/>
    <x v="0"/>
    <x v="3"/>
    <x v="9"/>
    <n v="0"/>
    <n v="0"/>
    <n v="0.124"/>
    <n v="0.124"/>
    <n v="0.124"/>
    <n v="0.124"/>
    <n v="0"/>
    <x v="0"/>
    <n v="0"/>
    <n v="0"/>
    <n v="71"/>
    <n v="114"/>
    <n v="0"/>
    <n v="374.6"/>
    <n v="256.38"/>
    <m/>
    <n v="419.89908143173358"/>
    <n v="230.84299908458948"/>
    <n v="0"/>
    <n v="46.450400000000002"/>
    <n v="31.791119999999999"/>
    <n v="0"/>
    <n v="52.06748609753496"/>
    <n v="28.624531886489095"/>
  </r>
  <r>
    <s v="Regular"/>
    <x v="6"/>
    <x v="4"/>
    <x v="4"/>
    <x v="0"/>
    <x v="0"/>
    <x v="0"/>
    <x v="3"/>
    <x v="10"/>
    <n v="0"/>
    <n v="0"/>
    <n v="0.129"/>
    <n v="0.129"/>
    <n v="0.129"/>
    <n v="0.129"/>
    <n v="0"/>
    <x v="0"/>
    <n v="0"/>
    <n v="0"/>
    <n v="71"/>
    <n v="114"/>
    <n v="0"/>
    <n v="374.6"/>
    <n v="256.38"/>
    <m/>
    <n v="419.89908143173358"/>
    <n v="230.84299908458948"/>
    <n v="0"/>
    <n v="48.323400000000007"/>
    <n v="33.07302"/>
    <n v="0"/>
    <n v="54.166981504693631"/>
    <n v="29.778746881912042"/>
  </r>
  <r>
    <s v="PROJETADO"/>
    <x v="6"/>
    <x v="4"/>
    <x v="4"/>
    <x v="0"/>
    <x v="0"/>
    <x v="0"/>
    <x v="3"/>
    <x v="11"/>
    <n v="0"/>
    <n v="0"/>
    <n v="0.129"/>
    <n v="0.129"/>
    <n v="0.129"/>
    <n v="0.129"/>
    <n v="0"/>
    <x v="0"/>
    <n v="0"/>
    <n v="0"/>
    <n v="71"/>
    <n v="114"/>
    <n v="0"/>
    <n v="374.6"/>
    <n v="256.38"/>
    <m/>
    <n v="419.89908143173358"/>
    <n v="230.84299908458948"/>
    <n v="0"/>
    <n v="48.323400000000007"/>
    <n v="33.07302"/>
    <n v="0"/>
    <n v="54.166981504693631"/>
    <n v="29.778746881912042"/>
  </r>
  <r>
    <s v="Regular"/>
    <x v="6"/>
    <x v="4"/>
    <x v="4"/>
    <x v="0"/>
    <x v="0"/>
    <x v="0"/>
    <x v="1"/>
    <x v="6"/>
    <n v="0"/>
    <n v="0"/>
    <n v="0.20499999999999999"/>
    <n v="0.20499999999999999"/>
    <n v="0.20499999999999999"/>
    <n v="0.20499999999999999"/>
    <n v="0"/>
    <x v="0"/>
    <n v="0"/>
    <n v="0"/>
    <n v="70"/>
    <n v="113"/>
    <n v="0"/>
    <n v="552.01"/>
    <n v="430.87"/>
    <m/>
    <n v="625.84456331899685"/>
    <n v="375.70671275609089"/>
    <n v="0"/>
    <n v="113.16204999999999"/>
    <n v="88.32835"/>
    <n v="0"/>
    <n v="128.29813548039434"/>
    <n v="77.019876114998624"/>
  </r>
  <r>
    <s v="Regular"/>
    <x v="6"/>
    <x v="4"/>
    <x v="4"/>
    <x v="0"/>
    <x v="0"/>
    <x v="0"/>
    <x v="1"/>
    <x v="7"/>
    <n v="0"/>
    <n v="0"/>
    <n v="0.19500000000000001"/>
    <n v="0.19500000000000001"/>
    <n v="0.19500000000000001"/>
    <n v="0.19500000000000001"/>
    <n v="0"/>
    <x v="0"/>
    <n v="0"/>
    <n v="0"/>
    <n v="70"/>
    <n v="113"/>
    <n v="0"/>
    <n v="552.01"/>
    <n v="430.87"/>
    <m/>
    <n v="625.84456331899685"/>
    <n v="375.70671275609089"/>
    <n v="0"/>
    <n v="107.64195000000001"/>
    <n v="84.019649999999999"/>
    <n v="0"/>
    <n v="122.03968984720439"/>
    <n v="73.262808987437722"/>
  </r>
  <r>
    <s v="Regular"/>
    <x v="6"/>
    <x v="4"/>
    <x v="4"/>
    <x v="0"/>
    <x v="0"/>
    <x v="0"/>
    <x v="1"/>
    <x v="8"/>
    <n v="0"/>
    <n v="0"/>
    <n v="0.26900000000000002"/>
    <n v="0.26900000000000002"/>
    <n v="0.26900000000000002"/>
    <n v="0.26900000000000002"/>
    <n v="0"/>
    <x v="0"/>
    <n v="0"/>
    <n v="0"/>
    <n v="70"/>
    <n v="113"/>
    <n v="0"/>
    <n v="552.01"/>
    <n v="430.87"/>
    <m/>
    <n v="625.84456331899685"/>
    <n v="375.70671275609089"/>
    <n v="0"/>
    <n v="148.49069"/>
    <n v="115.90403000000001"/>
    <n v="0"/>
    <n v="168.35218753281015"/>
    <n v="101.06510573138846"/>
  </r>
  <r>
    <s v="Regular"/>
    <x v="6"/>
    <x v="4"/>
    <x v="4"/>
    <x v="0"/>
    <x v="0"/>
    <x v="0"/>
    <x v="1"/>
    <x v="9"/>
    <n v="0"/>
    <n v="0"/>
    <n v="0.29299999999999998"/>
    <n v="0.29299999999999998"/>
    <n v="0.29299999999999998"/>
    <n v="0.29299999999999998"/>
    <n v="0"/>
    <x v="0"/>
    <n v="0"/>
    <n v="0"/>
    <n v="70"/>
    <n v="113"/>
    <n v="0"/>
    <n v="552.01"/>
    <n v="430.87"/>
    <m/>
    <n v="625.84456331899685"/>
    <n v="375.70671275609089"/>
    <n v="0"/>
    <n v="161.73892999999998"/>
    <n v="126.24490999999999"/>
    <n v="0"/>
    <n v="183.37245705246607"/>
    <n v="110.08206683753463"/>
  </r>
  <r>
    <s v="Regular"/>
    <x v="6"/>
    <x v="4"/>
    <x v="4"/>
    <x v="0"/>
    <x v="0"/>
    <x v="0"/>
    <x v="1"/>
    <x v="10"/>
    <n v="0"/>
    <n v="0"/>
    <n v="0.34599999999999997"/>
    <n v="0.34599999999999997"/>
    <n v="0.34599999999999997"/>
    <n v="0.34599999999999997"/>
    <n v="0"/>
    <x v="0"/>
    <n v="0"/>
    <n v="0"/>
    <n v="70"/>
    <n v="113"/>
    <n v="0"/>
    <n v="552.01"/>
    <n v="430.87"/>
    <m/>
    <n v="625.84456331899685"/>
    <n v="375.70671275609089"/>
    <n v="0"/>
    <n v="190.99545999999998"/>
    <n v="149.08102"/>
    <n v="0"/>
    <n v="216.54221890837289"/>
    <n v="129.99452261360744"/>
  </r>
  <r>
    <s v="PROJETADO"/>
    <x v="6"/>
    <x v="4"/>
    <x v="4"/>
    <x v="0"/>
    <x v="0"/>
    <x v="0"/>
    <x v="1"/>
    <x v="11"/>
    <n v="0"/>
    <n v="0"/>
    <n v="0.34599999999999997"/>
    <n v="0.34599999999999997"/>
    <n v="0.34599999999999997"/>
    <n v="0.34599999999999997"/>
    <n v="0"/>
    <x v="0"/>
    <n v="0"/>
    <n v="0"/>
    <n v="70"/>
    <n v="113"/>
    <n v="0"/>
    <n v="552.01"/>
    <n v="430.87"/>
    <m/>
    <n v="625.84456331899685"/>
    <n v="375.70671275609089"/>
    <n v="0"/>
    <n v="190.99545999999998"/>
    <n v="149.08102"/>
    <n v="0"/>
    <n v="216.54221890837289"/>
    <n v="129.99452261360744"/>
  </r>
  <r>
    <s v="Regular"/>
    <x v="6"/>
    <x v="5"/>
    <x v="0"/>
    <x v="0"/>
    <x v="0"/>
    <x v="0"/>
    <x v="2"/>
    <x v="0"/>
    <n v="0"/>
    <n v="0"/>
    <n v="87253.073999999993"/>
    <n v="87253.073999999993"/>
    <n v="87253.073999999993"/>
    <n v="87253.073999999993"/>
    <n v="114140"/>
    <x v="0"/>
    <n v="0"/>
    <n v="0"/>
    <n v="73"/>
    <n v="116"/>
    <n v="0"/>
    <n v="247.09"/>
    <n v="270.92"/>
    <m/>
    <n v="271.87639484612828"/>
    <n v="242.91497522388124"/>
    <n v="0"/>
    <n v="21559362.05466"/>
    <n v="23638602.808079999"/>
    <n v="0"/>
    <n v="23722051.198362447"/>
    <n v="21195078.308917474"/>
  </r>
  <r>
    <s v="Refaturamento - Regular"/>
    <x v="6"/>
    <x v="5"/>
    <x v="0"/>
    <x v="0"/>
    <x v="0"/>
    <x v="0"/>
    <x v="2"/>
    <x v="0"/>
    <n v="0"/>
    <n v="0"/>
    <n v="184.732"/>
    <n v="184.732"/>
    <n v="184.732"/>
    <n v="184.732"/>
    <n v="81"/>
    <x v="0"/>
    <n v="0"/>
    <n v="0"/>
    <n v="73"/>
    <n v="116"/>
    <n v="0"/>
    <n v="247.09"/>
    <n v="270.92"/>
    <m/>
    <n v="271.87639484612828"/>
    <n v="242.91497522388124"/>
    <n v="0"/>
    <n v="45645.429880000003"/>
    <n v="50047.593440000004"/>
    <n v="0"/>
    <n v="50224.270172714969"/>
    <n v="44874.169203058031"/>
  </r>
  <r>
    <s v="Sistema de Compensação"/>
    <x v="6"/>
    <x v="5"/>
    <x v="0"/>
    <x v="0"/>
    <x v="0"/>
    <x v="0"/>
    <x v="2"/>
    <x v="0"/>
    <n v="0"/>
    <n v="0"/>
    <n v="589.06399999999996"/>
    <n v="589.06399999999996"/>
    <n v="589.06399999999996"/>
    <n v="589.06399999999996"/>
    <n v="131"/>
    <x v="0"/>
    <n v="0"/>
    <n v="0"/>
    <n v="73"/>
    <n v="116"/>
    <n v="0"/>
    <n v="247.09"/>
    <n v="270.92"/>
    <m/>
    <n v="271.87639484612828"/>
    <n v="242.91497522388124"/>
    <n v="0"/>
    <n v="145551.82376"/>
    <n v="159589.21888"/>
    <n v="0"/>
    <n v="160152.59665363969"/>
    <n v="143092.46696528039"/>
  </r>
  <r>
    <s v="Sistema de Compensação"/>
    <x v="6"/>
    <x v="5"/>
    <x v="0"/>
    <x v="0"/>
    <x v="0"/>
    <x v="0"/>
    <x v="2"/>
    <x v="0"/>
    <n v="0"/>
    <n v="0"/>
    <n v="4.4370000000000003"/>
    <n v="4.4370000000000003"/>
    <n v="4.4370000000000003"/>
    <n v="4.4370000000000003"/>
    <n v="1"/>
    <x v="0"/>
    <n v="0"/>
    <n v="0"/>
    <n v="73"/>
    <n v="116"/>
    <n v="0"/>
    <n v="247.09"/>
    <n v="270.92"/>
    <m/>
    <n v="271.87639484612828"/>
    <n v="242.91497522388124"/>
    <n v="0"/>
    <n v="1096.33833"/>
    <n v="1202.0720400000002"/>
    <n v="0"/>
    <n v="1206.3155639322713"/>
    <n v="1077.8137450683612"/>
  </r>
  <r>
    <s v="Regular"/>
    <x v="6"/>
    <x v="5"/>
    <x v="0"/>
    <x v="0"/>
    <x v="0"/>
    <x v="0"/>
    <x v="2"/>
    <x v="1"/>
    <n v="0"/>
    <n v="0"/>
    <n v="93633.592999999993"/>
    <n v="93633.592999999993"/>
    <n v="93633.592999999993"/>
    <n v="93633.592999999993"/>
    <n v="113136"/>
    <x v="0"/>
    <n v="0"/>
    <n v="0"/>
    <n v="73"/>
    <n v="116"/>
    <n v="0"/>
    <n v="247.09"/>
    <n v="270.92"/>
    <m/>
    <n v="271.87639484612828"/>
    <n v="242.91497522388124"/>
    <n v="0"/>
    <n v="23135924.494369999"/>
    <n v="25367213.015560001"/>
    <n v="0"/>
    <n v="25456763.701329671"/>
    <n v="22745001.923717979"/>
  </r>
  <r>
    <s v="Refaturamento - Regular"/>
    <x v="6"/>
    <x v="5"/>
    <x v="0"/>
    <x v="0"/>
    <x v="0"/>
    <x v="0"/>
    <x v="2"/>
    <x v="1"/>
    <n v="0"/>
    <n v="0"/>
    <n v="321.28699999999998"/>
    <n v="321.28699999999998"/>
    <n v="321.28699999999998"/>
    <n v="321.28699999999998"/>
    <n v="63"/>
    <x v="0"/>
    <n v="0"/>
    <n v="0"/>
    <n v="73"/>
    <n v="116"/>
    <n v="0"/>
    <n v="247.09"/>
    <n v="270.92"/>
    <m/>
    <n v="271.87639484612828"/>
    <n v="242.91497522388124"/>
    <n v="0"/>
    <n v="79386.804829999994"/>
    <n v="87043.074039999992"/>
    <n v="0"/>
    <n v="87350.351270928004"/>
    <n v="78045.423644755123"/>
  </r>
  <r>
    <s v="Sistema de Compensação"/>
    <x v="6"/>
    <x v="5"/>
    <x v="0"/>
    <x v="0"/>
    <x v="0"/>
    <x v="0"/>
    <x v="2"/>
    <x v="1"/>
    <n v="0"/>
    <n v="0"/>
    <n v="592.30700000000002"/>
    <n v="592.30700000000002"/>
    <n v="592.30700000000002"/>
    <n v="592.30700000000002"/>
    <n v="131"/>
    <x v="0"/>
    <n v="0"/>
    <n v="0"/>
    <n v="73"/>
    <n v="116"/>
    <n v="0"/>
    <n v="247.09"/>
    <n v="270.92"/>
    <m/>
    <n v="271.87639484612828"/>
    <n v="242.91497522388124"/>
    <n v="0"/>
    <n v="146353.13662999999"/>
    <n v="160467.81244000001"/>
    <n v="0"/>
    <n v="161034.29180212569"/>
    <n v="143880.24022993143"/>
  </r>
  <r>
    <s v="Sistema de Compensação"/>
    <x v="6"/>
    <x v="5"/>
    <x v="0"/>
    <x v="0"/>
    <x v="0"/>
    <x v="0"/>
    <x v="2"/>
    <x v="1"/>
    <n v="0"/>
    <n v="0"/>
    <n v="9.3580000000000005"/>
    <n v="9.3580000000000005"/>
    <n v="9.3580000000000005"/>
    <n v="9.3580000000000005"/>
    <n v="0"/>
    <x v="0"/>
    <n v="0"/>
    <n v="0"/>
    <n v="73"/>
    <n v="116"/>
    <n v="0"/>
    <n v="247.09"/>
    <n v="270.92"/>
    <m/>
    <n v="271.87639484612828"/>
    <n v="242.91497522388124"/>
    <n v="0"/>
    <n v="2312.2682200000004"/>
    <n v="2535.2693600000002"/>
    <n v="0"/>
    <n v="2544.2193029700684"/>
    <n v="2273.1983381450809"/>
  </r>
  <r>
    <s v="Regular"/>
    <x v="6"/>
    <x v="5"/>
    <x v="0"/>
    <x v="0"/>
    <x v="0"/>
    <x v="0"/>
    <x v="2"/>
    <x v="2"/>
    <n v="0"/>
    <n v="0"/>
    <n v="82355.460999999996"/>
    <n v="82355.460999999996"/>
    <n v="82355.460999999996"/>
    <n v="82355.460999999996"/>
    <n v="113611"/>
    <x v="0"/>
    <n v="0"/>
    <n v="0"/>
    <n v="73"/>
    <n v="116"/>
    <n v="0"/>
    <n v="247.09"/>
    <n v="270.92"/>
    <m/>
    <n v="271.87639484612828"/>
    <n v="242.91497522388124"/>
    <n v="0"/>
    <n v="20349210.858489998"/>
    <n v="22311741.494120002"/>
    <n v="0"/>
    <n v="22390505.832570918"/>
    <n v="20005374.768366318"/>
  </r>
  <r>
    <s v="Refaturamento - Regular"/>
    <x v="6"/>
    <x v="5"/>
    <x v="0"/>
    <x v="0"/>
    <x v="0"/>
    <x v="0"/>
    <x v="2"/>
    <x v="2"/>
    <n v="0"/>
    <n v="0"/>
    <n v="297.13499999999999"/>
    <n v="297.13499999999999"/>
    <n v="297.13499999999999"/>
    <n v="297.13499999999999"/>
    <n v="57"/>
    <x v="0"/>
    <n v="0"/>
    <n v="0"/>
    <n v="73"/>
    <n v="116"/>
    <n v="0"/>
    <n v="247.09"/>
    <n v="270.92"/>
    <m/>
    <n v="271.87639484612828"/>
    <n v="242.91497522388124"/>
    <n v="0"/>
    <n v="73419.087149999992"/>
    <n v="80499.814200000008"/>
    <n v="0"/>
    <n v="80783.992582604318"/>
    <n v="72178.541163147951"/>
  </r>
  <r>
    <s v="Sistema de Compensação"/>
    <x v="6"/>
    <x v="5"/>
    <x v="0"/>
    <x v="0"/>
    <x v="0"/>
    <x v="0"/>
    <x v="2"/>
    <x v="2"/>
    <n v="0"/>
    <n v="0"/>
    <n v="411.87299999999999"/>
    <n v="411.87299999999999"/>
    <n v="411.87299999999999"/>
    <n v="411.87299999999999"/>
    <n v="134"/>
    <x v="0"/>
    <n v="0"/>
    <n v="0"/>
    <n v="73"/>
    <n v="116"/>
    <n v="0"/>
    <n v="247.09"/>
    <n v="270.92"/>
    <m/>
    <n v="271.87639484612828"/>
    <n v="242.91497522388124"/>
    <n v="0"/>
    <n v="101769.69957"/>
    <n v="111584.63316"/>
    <n v="0"/>
    <n v="111978.54637445939"/>
    <n v="100050.11959038564"/>
  </r>
  <r>
    <s v="Regular"/>
    <x v="6"/>
    <x v="5"/>
    <x v="0"/>
    <x v="0"/>
    <x v="0"/>
    <x v="0"/>
    <x v="2"/>
    <x v="3"/>
    <n v="0"/>
    <n v="0"/>
    <n v="84487.290999999997"/>
    <n v="84487.290999999997"/>
    <n v="84487.290999999997"/>
    <n v="84487.290999999997"/>
    <n v="113432"/>
    <x v="0"/>
    <n v="0"/>
    <n v="0"/>
    <n v="73"/>
    <n v="116"/>
    <n v="0"/>
    <n v="247.09"/>
    <n v="270.92"/>
    <m/>
    <n v="271.87639484612828"/>
    <n v="242.91497522388124"/>
    <n v="0"/>
    <n v="20875964.73319"/>
    <n v="22889296.877720002"/>
    <n v="0"/>
    <n v="22970100.087395739"/>
    <n v="20523228.199997842"/>
  </r>
  <r>
    <s v="Refaturamento - Regular"/>
    <x v="6"/>
    <x v="5"/>
    <x v="0"/>
    <x v="0"/>
    <x v="0"/>
    <x v="0"/>
    <x v="2"/>
    <x v="3"/>
    <n v="0"/>
    <n v="0"/>
    <n v="223.54599999999999"/>
    <n v="223.54599999999999"/>
    <n v="223.54599999999999"/>
    <n v="223.54599999999999"/>
    <n v="79"/>
    <x v="0"/>
    <n v="0"/>
    <n v="0"/>
    <n v="73"/>
    <n v="116"/>
    <n v="0"/>
    <n v="247.09"/>
    <n v="270.92"/>
    <m/>
    <n v="271.87639484612828"/>
    <n v="242.91497522388124"/>
    <n v="0"/>
    <n v="55235.981139999996"/>
    <n v="60563.082320000001"/>
    <n v="0"/>
    <n v="60776.880562272592"/>
    <n v="54302.671051397752"/>
  </r>
  <r>
    <s v="Sistema de Compensação"/>
    <x v="6"/>
    <x v="5"/>
    <x v="0"/>
    <x v="0"/>
    <x v="0"/>
    <x v="0"/>
    <x v="2"/>
    <x v="3"/>
    <n v="0"/>
    <n v="0"/>
    <n v="540.65599999999995"/>
    <n v="540.65599999999995"/>
    <n v="540.65599999999995"/>
    <n v="540.65599999999995"/>
    <n v="137"/>
    <x v="0"/>
    <n v="0"/>
    <n v="0"/>
    <n v="73"/>
    <n v="116"/>
    <n v="0"/>
    <n v="247.09"/>
    <n v="270.92"/>
    <m/>
    <n v="271.87639484612828"/>
    <n v="242.91497522388124"/>
    <n v="0"/>
    <n v="133590.69103999998"/>
    <n v="146474.52351999999"/>
    <n v="0"/>
    <n v="146991.60413192832"/>
    <n v="131333.43884464272"/>
  </r>
  <r>
    <s v="Regular"/>
    <x v="6"/>
    <x v="5"/>
    <x v="0"/>
    <x v="0"/>
    <x v="0"/>
    <x v="0"/>
    <x v="2"/>
    <x v="4"/>
    <n v="0"/>
    <n v="0"/>
    <n v="81745.805999999997"/>
    <n v="81745.805999999997"/>
    <n v="81745.805999999997"/>
    <n v="81745.805999999997"/>
    <n v="113073"/>
    <x v="0"/>
    <n v="0"/>
    <n v="0"/>
    <n v="73"/>
    <n v="116"/>
    <n v="0"/>
    <n v="247.09"/>
    <n v="270.92"/>
    <m/>
    <n v="271.87639484612828"/>
    <n v="242.91497522388124"/>
    <n v="0"/>
    <n v="20198571.204539999"/>
    <n v="22146573.761520002"/>
    <n v="0"/>
    <n v="22224755.029070999"/>
    <n v="19857280.439146202"/>
  </r>
  <r>
    <s v="Refaturamento - Regular"/>
    <x v="6"/>
    <x v="5"/>
    <x v="0"/>
    <x v="0"/>
    <x v="0"/>
    <x v="0"/>
    <x v="2"/>
    <x v="4"/>
    <n v="0"/>
    <n v="0"/>
    <n v="149.40299999999999"/>
    <n v="149.40299999999999"/>
    <n v="149.40299999999999"/>
    <n v="149.40299999999999"/>
    <n v="89"/>
    <x v="0"/>
    <n v="0"/>
    <n v="0"/>
    <n v="73"/>
    <n v="116"/>
    <n v="0"/>
    <n v="247.09"/>
    <n v="270.92"/>
    <m/>
    <n v="271.87639484612828"/>
    <n v="242.91497522388124"/>
    <n v="0"/>
    <n v="36915.987269999998"/>
    <n v="40476.260759999997"/>
    <n v="0"/>
    <n v="40619.149019196098"/>
    <n v="36292.226043373528"/>
  </r>
  <r>
    <s v="Sistema de Compensação"/>
    <x v="6"/>
    <x v="5"/>
    <x v="0"/>
    <x v="0"/>
    <x v="0"/>
    <x v="0"/>
    <x v="2"/>
    <x v="4"/>
    <n v="0"/>
    <n v="0"/>
    <n v="497.53699999999998"/>
    <n v="497.53699999999998"/>
    <n v="497.53699999999998"/>
    <n v="497.53699999999998"/>
    <n v="132"/>
    <x v="0"/>
    <n v="0"/>
    <n v="0"/>
    <n v="73"/>
    <n v="116"/>
    <n v="0"/>
    <n v="247.09"/>
    <n v="270.92"/>
    <m/>
    <n v="271.87639484612828"/>
    <n v="242.91497522388124"/>
    <n v="0"/>
    <n v="122936.41733"/>
    <n v="134792.72404"/>
    <n v="0"/>
    <n v="135268.56586255811"/>
    <n v="120859.18802796419"/>
  </r>
  <r>
    <s v="Sistema de Compensação"/>
    <x v="6"/>
    <x v="5"/>
    <x v="0"/>
    <x v="0"/>
    <x v="0"/>
    <x v="0"/>
    <x v="2"/>
    <x v="4"/>
    <n v="0"/>
    <n v="0"/>
    <n v="0.82099999999999995"/>
    <n v="0.82099999999999995"/>
    <n v="0.82099999999999995"/>
    <n v="0.82099999999999995"/>
    <n v="1"/>
    <x v="0"/>
    <n v="0"/>
    <n v="0"/>
    <n v="73"/>
    <n v="116"/>
    <n v="0"/>
    <n v="247.09"/>
    <n v="270.92"/>
    <m/>
    <n v="271.87639484612828"/>
    <n v="242.91497522388124"/>
    <n v="0"/>
    <n v="202.86088999999998"/>
    <n v="222.42532"/>
    <n v="0"/>
    <n v="223.21052016867131"/>
    <n v="199.43319465880649"/>
  </r>
  <r>
    <s v="Regular"/>
    <x v="6"/>
    <x v="5"/>
    <x v="0"/>
    <x v="0"/>
    <x v="0"/>
    <x v="0"/>
    <x v="2"/>
    <x v="5"/>
    <n v="0"/>
    <n v="0"/>
    <n v="80471.176999999996"/>
    <n v="80471.176999999996"/>
    <n v="80471.176999999996"/>
    <n v="80471.176999999996"/>
    <n v="113115"/>
    <x v="0"/>
    <n v="0"/>
    <n v="0"/>
    <n v="73"/>
    <n v="116"/>
    <n v="0"/>
    <n v="247.09"/>
    <n v="270.92"/>
    <m/>
    <n v="271.87639484612828"/>
    <n v="242.91497522388124"/>
    <n v="0"/>
    <n v="19883623.124929998"/>
    <n v="21801251.272840001"/>
    <n v="0"/>
    <n v="21878213.491784677"/>
    <n v="19547653.967191562"/>
  </r>
  <r>
    <s v="Refaturamento - Regular"/>
    <x v="6"/>
    <x v="5"/>
    <x v="0"/>
    <x v="0"/>
    <x v="0"/>
    <x v="0"/>
    <x v="2"/>
    <x v="5"/>
    <n v="0"/>
    <n v="0"/>
    <n v="206.47200000000001"/>
    <n v="206.47200000000001"/>
    <n v="206.47200000000001"/>
    <n v="206.47200000000001"/>
    <n v="95"/>
    <x v="0"/>
    <n v="0"/>
    <n v="0"/>
    <n v="73"/>
    <n v="116"/>
    <n v="0"/>
    <n v="247.09"/>
    <n v="270.92"/>
    <m/>
    <n v="271.87639484612828"/>
    <n v="242.91497522388124"/>
    <n v="0"/>
    <n v="51017.16648"/>
    <n v="55937.394240000009"/>
    <n v="0"/>
    <n v="56134.862996669799"/>
    <n v="50155.14076442521"/>
  </r>
  <r>
    <s v="Sistema de Compensação"/>
    <x v="6"/>
    <x v="5"/>
    <x v="0"/>
    <x v="0"/>
    <x v="0"/>
    <x v="0"/>
    <x v="2"/>
    <x v="5"/>
    <n v="0"/>
    <n v="0"/>
    <n v="517.66099999999994"/>
    <n v="517.66099999999994"/>
    <n v="517.66099999999994"/>
    <n v="517.66099999999994"/>
    <n v="131"/>
    <x v="0"/>
    <n v="0"/>
    <n v="0"/>
    <n v="73"/>
    <n v="116"/>
    <n v="0"/>
    <n v="247.09"/>
    <n v="270.92"/>
    <m/>
    <n v="271.87639484612828"/>
    <n v="242.91497522388124"/>
    <n v="0"/>
    <n v="127908.85648999999"/>
    <n v="140244.71812000001"/>
    <n v="0"/>
    <n v="140739.8064324416"/>
    <n v="125747.60898936958"/>
  </r>
  <r>
    <s v="Regular"/>
    <x v="6"/>
    <x v="5"/>
    <x v="0"/>
    <x v="0"/>
    <x v="0"/>
    <x v="0"/>
    <x v="2"/>
    <x v="6"/>
    <n v="0"/>
    <n v="0"/>
    <n v="67936.459000000003"/>
    <n v="67936.459000000003"/>
    <n v="67936.459000000003"/>
    <n v="67936.459000000003"/>
    <n v="112580"/>
    <x v="0"/>
    <n v="0"/>
    <n v="0"/>
    <n v="73"/>
    <n v="116"/>
    <n v="0"/>
    <n v="247.09"/>
    <n v="270.92"/>
    <m/>
    <n v="271.87639484612828"/>
    <n v="242.91497522388124"/>
    <n v="0"/>
    <n v="16786419.654309999"/>
    <n v="18405345.472280003"/>
    <n v="0"/>
    <n v="18470319.551531807"/>
    <n v="16502783.254783224"/>
  </r>
  <r>
    <s v="Refaturamento - Regular"/>
    <x v="6"/>
    <x v="5"/>
    <x v="0"/>
    <x v="0"/>
    <x v="0"/>
    <x v="0"/>
    <x v="2"/>
    <x v="6"/>
    <n v="0"/>
    <n v="0"/>
    <n v="270.70299999999997"/>
    <n v="270.70299999999997"/>
    <n v="270.70299999999997"/>
    <n v="270.70299999999997"/>
    <n v="134"/>
    <x v="0"/>
    <n v="0"/>
    <n v="0"/>
    <n v="73"/>
    <n v="116"/>
    <n v="0"/>
    <n v="247.09"/>
    <n v="270.92"/>
    <m/>
    <n v="271.87639484612828"/>
    <n v="242.91497522388124"/>
    <n v="0"/>
    <n v="66888.00426999999"/>
    <n v="73338.856759999995"/>
    <n v="0"/>
    <n v="73597.75571403146"/>
    <n v="65757.812538030325"/>
  </r>
  <r>
    <s v="Sistema de Compensação"/>
    <x v="6"/>
    <x v="5"/>
    <x v="0"/>
    <x v="0"/>
    <x v="0"/>
    <x v="0"/>
    <x v="2"/>
    <x v="6"/>
    <n v="0"/>
    <n v="0"/>
    <n v="336.35399999999998"/>
    <n v="336.35399999999998"/>
    <n v="336.35399999999998"/>
    <n v="336.35399999999998"/>
    <n v="128"/>
    <x v="0"/>
    <n v="0"/>
    <n v="0"/>
    <n v="73"/>
    <n v="116"/>
    <n v="0"/>
    <n v="247.09"/>
    <n v="270.92"/>
    <m/>
    <n v="271.87639484612828"/>
    <n v="242.91497522388124"/>
    <n v="0"/>
    <n v="83109.709860000003"/>
    <n v="91125.025680000006"/>
    <n v="0"/>
    <n v="91446.712912074625"/>
    <n v="81705.423576453351"/>
  </r>
  <r>
    <s v="Sistema de Compensação"/>
    <x v="6"/>
    <x v="5"/>
    <x v="0"/>
    <x v="0"/>
    <x v="0"/>
    <x v="0"/>
    <x v="2"/>
    <x v="6"/>
    <n v="0"/>
    <n v="0"/>
    <n v="0.1"/>
    <n v="0.1"/>
    <n v="0.1"/>
    <n v="0.1"/>
    <n v="1"/>
    <x v="0"/>
    <n v="0"/>
    <n v="0"/>
    <n v="73"/>
    <n v="116"/>
    <n v="0"/>
    <n v="247.09"/>
    <n v="270.92"/>
    <m/>
    <n v="271.87639484612828"/>
    <n v="242.91497522388124"/>
    <n v="0"/>
    <n v="24.709000000000003"/>
    <n v="27.092000000000002"/>
    <n v="0"/>
    <n v="27.187639484612831"/>
    <n v="24.291497522388127"/>
  </r>
  <r>
    <s v="Regular"/>
    <x v="6"/>
    <x v="5"/>
    <x v="0"/>
    <x v="0"/>
    <x v="0"/>
    <x v="0"/>
    <x v="2"/>
    <x v="7"/>
    <n v="0"/>
    <n v="0"/>
    <n v="62217.589"/>
    <n v="62217.589"/>
    <n v="62217.589"/>
    <n v="62217.589"/>
    <n v="112148"/>
    <x v="0"/>
    <n v="0"/>
    <n v="0"/>
    <n v="73"/>
    <n v="116"/>
    <n v="0"/>
    <n v="247.09"/>
    <n v="270.92"/>
    <m/>
    <n v="271.87639484612828"/>
    <n v="242.91497522388124"/>
    <n v="0"/>
    <n v="15373344.06601"/>
    <n v="16855989.211880002"/>
    <n v="0"/>
    <n v="16915493.793338127"/>
    <n v="15113584.090424625"/>
  </r>
  <r>
    <s v="Refaturamento - Regular"/>
    <x v="6"/>
    <x v="5"/>
    <x v="0"/>
    <x v="0"/>
    <x v="0"/>
    <x v="0"/>
    <x v="2"/>
    <x v="7"/>
    <n v="0"/>
    <n v="0"/>
    <n v="212.08799999999999"/>
    <n v="212.08799999999999"/>
    <n v="212.08799999999999"/>
    <n v="212.08799999999999"/>
    <n v="94"/>
    <x v="0"/>
    <n v="0"/>
    <n v="0"/>
    <n v="73"/>
    <n v="116"/>
    <n v="0"/>
    <n v="247.09"/>
    <n v="270.92"/>
    <m/>
    <n v="271.87639484612828"/>
    <n v="242.91497522388124"/>
    <n v="0"/>
    <n v="52404.823920000003"/>
    <n v="57458.880960000002"/>
    <n v="0"/>
    <n v="57661.720830125654"/>
    <n v="51519.351265282523"/>
  </r>
  <r>
    <s v="Sistema de Compensação"/>
    <x v="6"/>
    <x v="5"/>
    <x v="0"/>
    <x v="0"/>
    <x v="0"/>
    <x v="0"/>
    <x v="2"/>
    <x v="7"/>
    <n v="0"/>
    <n v="0"/>
    <n v="262.22500000000002"/>
    <n v="262.22500000000002"/>
    <n v="262.22500000000002"/>
    <n v="262.22500000000002"/>
    <n v="128"/>
    <x v="0"/>
    <n v="0"/>
    <n v="0"/>
    <n v="73"/>
    <n v="116"/>
    <n v="0"/>
    <n v="247.09"/>
    <n v="270.92"/>
    <m/>
    <n v="271.87639484612828"/>
    <n v="242.91497522388124"/>
    <n v="0"/>
    <n v="64793.175250000008"/>
    <n v="71041.997000000018"/>
    <n v="0"/>
    <n v="71292.787638525988"/>
    <n v="63698.379378082267"/>
  </r>
  <r>
    <s v="Sistema de Compensação"/>
    <x v="6"/>
    <x v="5"/>
    <x v="0"/>
    <x v="0"/>
    <x v="0"/>
    <x v="0"/>
    <x v="2"/>
    <x v="7"/>
    <n v="0"/>
    <n v="0"/>
    <n v="0.1"/>
    <n v="0.1"/>
    <n v="0.1"/>
    <n v="0.1"/>
    <n v="1"/>
    <x v="0"/>
    <n v="0"/>
    <n v="0"/>
    <n v="73"/>
    <n v="116"/>
    <n v="0"/>
    <n v="247.09"/>
    <n v="270.92"/>
    <m/>
    <n v="271.87639484612828"/>
    <n v="242.91497522388124"/>
    <n v="0"/>
    <n v="24.709000000000003"/>
    <n v="27.092000000000002"/>
    <n v="0"/>
    <n v="27.187639484612831"/>
    <n v="24.291497522388127"/>
  </r>
  <r>
    <s v="Regular"/>
    <x v="6"/>
    <x v="5"/>
    <x v="0"/>
    <x v="0"/>
    <x v="0"/>
    <x v="0"/>
    <x v="2"/>
    <x v="8"/>
    <n v="0"/>
    <n v="0"/>
    <n v="57531.525999999998"/>
    <n v="57531.525999999998"/>
    <n v="57531.525999999998"/>
    <n v="57531.525999999998"/>
    <n v="111939"/>
    <x v="0"/>
    <n v="0"/>
    <n v="0"/>
    <n v="73"/>
    <n v="116"/>
    <n v="0"/>
    <n v="247.09"/>
    <n v="270.92"/>
    <m/>
    <n v="271.87639484612828"/>
    <n v="242.91497522388124"/>
    <n v="0"/>
    <n v="14215464.759339999"/>
    <n v="15586441.02392"/>
    <n v="0"/>
    <n v="15641463.878876295"/>
    <n v="13975269.212882079"/>
  </r>
  <r>
    <s v="Refaturamento - Regular"/>
    <x v="6"/>
    <x v="5"/>
    <x v="0"/>
    <x v="0"/>
    <x v="0"/>
    <x v="0"/>
    <x v="2"/>
    <x v="8"/>
    <n v="0"/>
    <n v="0"/>
    <n v="137.68299999999999"/>
    <n v="137.68299999999999"/>
    <n v="137.68299999999999"/>
    <n v="137.68299999999999"/>
    <n v="94"/>
    <x v="0"/>
    <n v="0"/>
    <n v="0"/>
    <n v="73"/>
    <n v="116"/>
    <n v="0"/>
    <n v="247.09"/>
    <n v="270.92"/>
    <m/>
    <n v="271.87639484612828"/>
    <n v="242.91497522388124"/>
    <n v="0"/>
    <n v="34020.092469999996"/>
    <n v="37301.07836"/>
    <n v="0"/>
    <n v="37432.75767159948"/>
    <n v="33445.262533749643"/>
  </r>
  <r>
    <s v="Sistema de Compensação"/>
    <x v="6"/>
    <x v="5"/>
    <x v="0"/>
    <x v="0"/>
    <x v="0"/>
    <x v="0"/>
    <x v="2"/>
    <x v="8"/>
    <n v="0"/>
    <n v="0"/>
    <n v="273.97199999999998"/>
    <n v="273.97199999999998"/>
    <n v="273.97199999999998"/>
    <n v="273.97199999999998"/>
    <n v="129"/>
    <x v="0"/>
    <n v="0"/>
    <n v="0"/>
    <n v="73"/>
    <n v="116"/>
    <n v="0"/>
    <n v="247.09"/>
    <n v="270.92"/>
    <m/>
    <n v="271.87639484612828"/>
    <n v="242.91497522388124"/>
    <n v="0"/>
    <n v="67695.741479999997"/>
    <n v="74224.49424"/>
    <n v="0"/>
    <n v="74486.519648783447"/>
    <n v="66551.901592037189"/>
  </r>
  <r>
    <s v="Sistema de Compensação"/>
    <x v="6"/>
    <x v="5"/>
    <x v="0"/>
    <x v="0"/>
    <x v="0"/>
    <x v="0"/>
    <x v="2"/>
    <x v="8"/>
    <n v="0"/>
    <n v="0"/>
    <n v="0.1"/>
    <n v="0.1"/>
    <n v="0.1"/>
    <n v="0.1"/>
    <n v="1"/>
    <x v="0"/>
    <n v="0"/>
    <n v="0"/>
    <n v="73"/>
    <n v="116"/>
    <n v="0"/>
    <n v="247.09"/>
    <n v="270.92"/>
    <m/>
    <n v="271.87639484612828"/>
    <n v="242.91497522388124"/>
    <n v="0"/>
    <n v="24.709000000000003"/>
    <n v="27.092000000000002"/>
    <n v="0"/>
    <n v="27.187639484612831"/>
    <n v="24.291497522388127"/>
  </r>
  <r>
    <s v="Regular"/>
    <x v="6"/>
    <x v="5"/>
    <x v="0"/>
    <x v="0"/>
    <x v="0"/>
    <x v="0"/>
    <x v="2"/>
    <x v="9"/>
    <n v="0"/>
    <n v="0"/>
    <n v="60155.277999999998"/>
    <n v="60155.277999999998"/>
    <n v="60155.277999999998"/>
    <n v="60155.277999999998"/>
    <n v="111610"/>
    <x v="0"/>
    <n v="0"/>
    <n v="0"/>
    <n v="73"/>
    <n v="116"/>
    <n v="0"/>
    <n v="247.09"/>
    <n v="270.92"/>
    <m/>
    <n v="271.87639484612828"/>
    <n v="242.91497522388124"/>
    <n v="0"/>
    <n v="14863767.64102"/>
    <n v="16297267.915760001"/>
    <n v="0"/>
    <n v="16354800.113606613"/>
    <n v="14612617.864955688"/>
  </r>
  <r>
    <s v="Refaturamento - Regular"/>
    <x v="6"/>
    <x v="5"/>
    <x v="0"/>
    <x v="0"/>
    <x v="0"/>
    <x v="0"/>
    <x v="2"/>
    <x v="9"/>
    <n v="0"/>
    <n v="0"/>
    <n v="162.63399999999999"/>
    <n v="162.63399999999999"/>
    <n v="162.63399999999999"/>
    <n v="162.63399999999999"/>
    <n v="123"/>
    <x v="0"/>
    <n v="0"/>
    <n v="0"/>
    <n v="73"/>
    <n v="116"/>
    <n v="0"/>
    <n v="247.09"/>
    <n v="270.92"/>
    <m/>
    <n v="271.87639484612828"/>
    <n v="242.91497522388124"/>
    <n v="0"/>
    <n v="40185.235059999999"/>
    <n v="44060.80328"/>
    <n v="0"/>
    <n v="44216.34559940522"/>
    <n v="39506.234080560702"/>
  </r>
  <r>
    <s v="Sistema de Compensação"/>
    <x v="6"/>
    <x v="5"/>
    <x v="0"/>
    <x v="0"/>
    <x v="0"/>
    <x v="0"/>
    <x v="2"/>
    <x v="9"/>
    <n v="0"/>
    <n v="0"/>
    <n v="283.10599999999999"/>
    <n v="283.10599999999999"/>
    <n v="283.10599999999999"/>
    <n v="283.10599999999999"/>
    <n v="130"/>
    <x v="0"/>
    <n v="0"/>
    <n v="0"/>
    <n v="73"/>
    <n v="116"/>
    <n v="0"/>
    <n v="247.09"/>
    <n v="270.92"/>
    <m/>
    <n v="271.87639484612828"/>
    <n v="242.91497522388124"/>
    <n v="0"/>
    <n v="69952.661540000001"/>
    <n v="76699.077520000006"/>
    <n v="0"/>
    <n v="76969.838639307985"/>
    <n v="68770.686975732126"/>
  </r>
  <r>
    <s v="Sistema de Compensação"/>
    <x v="6"/>
    <x v="5"/>
    <x v="0"/>
    <x v="0"/>
    <x v="0"/>
    <x v="0"/>
    <x v="2"/>
    <x v="9"/>
    <n v="0"/>
    <n v="0"/>
    <n v="0.1"/>
    <n v="0.1"/>
    <n v="0.1"/>
    <n v="0.1"/>
    <n v="0"/>
    <x v="0"/>
    <n v="0"/>
    <n v="0"/>
    <n v="73"/>
    <n v="116"/>
    <n v="0"/>
    <n v="247.09"/>
    <n v="270.92"/>
    <m/>
    <n v="271.87639484612828"/>
    <n v="242.91497522388124"/>
    <n v="0"/>
    <n v="24.709000000000003"/>
    <n v="27.092000000000002"/>
    <n v="0"/>
    <n v="27.187639484612831"/>
    <n v="24.291497522388127"/>
  </r>
  <r>
    <s v="Regular"/>
    <x v="6"/>
    <x v="5"/>
    <x v="0"/>
    <x v="0"/>
    <x v="0"/>
    <x v="0"/>
    <x v="2"/>
    <x v="10"/>
    <n v="0"/>
    <n v="0"/>
    <n v="66624.33"/>
    <n v="66624.33"/>
    <n v="66624.33"/>
    <n v="66624.33"/>
    <n v="111468"/>
    <x v="0"/>
    <n v="0"/>
    <n v="0"/>
    <n v="73"/>
    <n v="116"/>
    <n v="0"/>
    <n v="247.09"/>
    <n v="270.92"/>
    <m/>
    <n v="271.87639484612828"/>
    <n v="242.91497522388124"/>
    <n v="0"/>
    <n v="16462205.6997"/>
    <n v="18049863.483600002"/>
    <n v="0"/>
    <n v="18113582.64943875"/>
    <n v="16184047.471257688"/>
  </r>
  <r>
    <s v="Refaturamento - Regular"/>
    <x v="6"/>
    <x v="5"/>
    <x v="0"/>
    <x v="0"/>
    <x v="0"/>
    <x v="0"/>
    <x v="2"/>
    <x v="10"/>
    <n v="0"/>
    <n v="0"/>
    <n v="230.726"/>
    <n v="230.726"/>
    <n v="230.726"/>
    <n v="230.726"/>
    <n v="164"/>
    <x v="0"/>
    <n v="0"/>
    <n v="0"/>
    <n v="73"/>
    <n v="116"/>
    <n v="0"/>
    <n v="247.09"/>
    <n v="270.92"/>
    <m/>
    <n v="271.87639484612828"/>
    <n v="242.91497522388124"/>
    <n v="0"/>
    <n v="57010.087339999998"/>
    <n v="62508.287920000002"/>
    <n v="0"/>
    <n v="62728.95307726779"/>
    <n v="56046.800573505221"/>
  </r>
  <r>
    <s v="Sistema de Compensação"/>
    <x v="6"/>
    <x v="5"/>
    <x v="0"/>
    <x v="0"/>
    <x v="0"/>
    <x v="0"/>
    <x v="2"/>
    <x v="10"/>
    <n v="0"/>
    <n v="0"/>
    <n v="319.80399999999997"/>
    <n v="319.80399999999997"/>
    <n v="319.80399999999997"/>
    <n v="319.80399999999997"/>
    <n v="137"/>
    <x v="0"/>
    <n v="0"/>
    <n v="0"/>
    <n v="73"/>
    <n v="116"/>
    <n v="0"/>
    <n v="247.09"/>
    <n v="270.92"/>
    <m/>
    <n v="271.87639484612828"/>
    <n v="242.91497522388124"/>
    <n v="0"/>
    <n v="79020.370360000001"/>
    <n v="86641.299679999996"/>
    <n v="0"/>
    <n v="86947.158577371199"/>
    <n v="77685.180736498107"/>
  </r>
  <r>
    <s v="PROJETADO"/>
    <x v="6"/>
    <x v="5"/>
    <x v="0"/>
    <x v="0"/>
    <x v="0"/>
    <x v="0"/>
    <x v="2"/>
    <x v="11"/>
    <n v="0"/>
    <n v="0"/>
    <n v="66624.33"/>
    <n v="66624.33"/>
    <n v="66624.33"/>
    <n v="66624.33"/>
    <n v="111468"/>
    <x v="0"/>
    <n v="0"/>
    <n v="0"/>
    <n v="73"/>
    <n v="116"/>
    <n v="0"/>
    <n v="247.09"/>
    <n v="270.92"/>
    <m/>
    <n v="271.87639484612828"/>
    <n v="242.91497522388124"/>
    <n v="0"/>
    <n v="16462205.6997"/>
    <n v="18049863.483600002"/>
    <n v="0"/>
    <n v="18113582.64943875"/>
    <n v="16184047.471257688"/>
  </r>
  <r>
    <s v="PROJETADO"/>
    <x v="6"/>
    <x v="5"/>
    <x v="0"/>
    <x v="0"/>
    <x v="0"/>
    <x v="0"/>
    <x v="2"/>
    <x v="11"/>
    <n v="0"/>
    <n v="0"/>
    <n v="230.726"/>
    <n v="230.726"/>
    <n v="230.726"/>
    <n v="230.726"/>
    <n v="164"/>
    <x v="0"/>
    <n v="0"/>
    <n v="0"/>
    <n v="73"/>
    <n v="116"/>
    <n v="0"/>
    <n v="247.09"/>
    <n v="270.92"/>
    <m/>
    <n v="271.87639484612828"/>
    <n v="242.91497522388124"/>
    <n v="0"/>
    <n v="57010.087339999998"/>
    <n v="62508.287920000002"/>
    <n v="0"/>
    <n v="62728.95307726779"/>
    <n v="56046.800573505221"/>
  </r>
  <r>
    <s v="PROJETADO"/>
    <x v="6"/>
    <x v="5"/>
    <x v="0"/>
    <x v="0"/>
    <x v="0"/>
    <x v="0"/>
    <x v="2"/>
    <x v="11"/>
    <n v="0"/>
    <n v="0"/>
    <n v="319.80399999999997"/>
    <n v="319.80399999999997"/>
    <n v="319.80399999999997"/>
    <n v="319.80399999999997"/>
    <n v="137"/>
    <x v="0"/>
    <n v="0"/>
    <n v="0"/>
    <n v="73"/>
    <n v="116"/>
    <n v="0"/>
    <n v="247.09"/>
    <n v="270.92"/>
    <m/>
    <n v="271.87639484612828"/>
    <n v="242.91497522388124"/>
    <n v="0"/>
    <n v="79020.370360000001"/>
    <n v="86641.299679999996"/>
    <n v="0"/>
    <n v="86947.158577371199"/>
    <n v="77685.180736498107"/>
  </r>
  <r>
    <s v="Regular"/>
    <x v="6"/>
    <x v="5"/>
    <x v="7"/>
    <x v="0"/>
    <x v="0"/>
    <x v="0"/>
    <x v="2"/>
    <x v="0"/>
    <n v="0"/>
    <n v="0"/>
    <n v="107.396"/>
    <n v="107.396"/>
    <n v="107.396"/>
    <n v="107.396"/>
    <n v="41"/>
    <x v="0"/>
    <n v="0"/>
    <n v="0"/>
    <n v="73"/>
    <n v="116"/>
    <n v="0"/>
    <n v="247.09"/>
    <n v="270.92"/>
    <m/>
    <n v="271.87639484612828"/>
    <n v="242.91497522388124"/>
    <n v="0"/>
    <n v="26536.477640000001"/>
    <n v="29095.724320000001"/>
    <n v="0"/>
    <n v="29198.437300894791"/>
    <n v="26088.09667914395"/>
  </r>
  <r>
    <s v="Regular"/>
    <x v="6"/>
    <x v="5"/>
    <x v="7"/>
    <x v="0"/>
    <x v="0"/>
    <x v="0"/>
    <x v="2"/>
    <x v="1"/>
    <n v="0"/>
    <n v="0"/>
    <n v="108.178"/>
    <n v="108.178"/>
    <n v="108.178"/>
    <n v="108.178"/>
    <n v="41"/>
    <x v="0"/>
    <n v="0"/>
    <n v="0"/>
    <n v="73"/>
    <n v="116"/>
    <n v="0"/>
    <n v="247.09"/>
    <n v="270.92"/>
    <m/>
    <n v="271.87639484612828"/>
    <n v="242.91497522388124"/>
    <n v="0"/>
    <n v="26729.702020000001"/>
    <n v="29307.583760000001"/>
    <n v="0"/>
    <n v="29411.044641664463"/>
    <n v="26278.056189769024"/>
  </r>
  <r>
    <s v="Regular"/>
    <x v="6"/>
    <x v="5"/>
    <x v="7"/>
    <x v="0"/>
    <x v="0"/>
    <x v="0"/>
    <x v="2"/>
    <x v="2"/>
    <n v="0"/>
    <n v="0"/>
    <n v="104.063"/>
    <n v="104.063"/>
    <n v="104.063"/>
    <n v="104.063"/>
    <n v="41"/>
    <x v="0"/>
    <n v="0"/>
    <n v="0"/>
    <n v="73"/>
    <n v="116"/>
    <n v="0"/>
    <n v="247.09"/>
    <n v="270.92"/>
    <m/>
    <n v="271.87639484612828"/>
    <n v="242.91497522388124"/>
    <n v="0"/>
    <n v="25712.926670000001"/>
    <n v="28192.747960000001"/>
    <n v="0"/>
    <n v="28292.273276872649"/>
    <n v="25278.461066722753"/>
  </r>
  <r>
    <s v="Regular"/>
    <x v="6"/>
    <x v="5"/>
    <x v="7"/>
    <x v="0"/>
    <x v="0"/>
    <x v="0"/>
    <x v="2"/>
    <x v="3"/>
    <n v="0"/>
    <n v="0"/>
    <n v="104.967"/>
    <n v="104.967"/>
    <n v="104.967"/>
    <n v="104.967"/>
    <n v="41"/>
    <x v="0"/>
    <n v="0"/>
    <n v="0"/>
    <n v="73"/>
    <n v="116"/>
    <n v="0"/>
    <n v="247.09"/>
    <n v="270.92"/>
    <m/>
    <n v="271.87639484612828"/>
    <n v="242.91497522388124"/>
    <n v="0"/>
    <n v="25936.296030000001"/>
    <n v="28437.659640000002"/>
    <n v="0"/>
    <n v="28538.049537813546"/>
    <n v="25498.056204325141"/>
  </r>
  <r>
    <s v="Regular"/>
    <x v="6"/>
    <x v="5"/>
    <x v="7"/>
    <x v="0"/>
    <x v="0"/>
    <x v="0"/>
    <x v="2"/>
    <x v="4"/>
    <n v="0"/>
    <n v="0"/>
    <n v="105.133"/>
    <n v="105.133"/>
    <n v="105.133"/>
    <n v="105.133"/>
    <n v="41"/>
    <x v="0"/>
    <n v="0"/>
    <n v="0"/>
    <n v="73"/>
    <n v="116"/>
    <n v="0"/>
    <n v="247.09"/>
    <n v="270.92"/>
    <m/>
    <n v="271.87639484612828"/>
    <n v="242.91497522388124"/>
    <n v="0"/>
    <n v="25977.312969999999"/>
    <n v="28482.63236"/>
    <n v="0"/>
    <n v="28583.181019358002"/>
    <n v="25538.380090212304"/>
  </r>
  <r>
    <s v="Regular"/>
    <x v="6"/>
    <x v="5"/>
    <x v="7"/>
    <x v="0"/>
    <x v="0"/>
    <x v="0"/>
    <x v="2"/>
    <x v="5"/>
    <n v="0"/>
    <n v="0"/>
    <n v="102.923"/>
    <n v="102.923"/>
    <n v="102.923"/>
    <n v="102.923"/>
    <n v="41"/>
    <x v="0"/>
    <n v="0"/>
    <n v="0"/>
    <n v="73"/>
    <n v="116"/>
    <n v="0"/>
    <n v="247.09"/>
    <n v="270.92"/>
    <m/>
    <n v="271.87639484612828"/>
    <n v="242.91497522388124"/>
    <n v="0"/>
    <n v="25431.244070000001"/>
    <n v="27883.899160000001"/>
    <n v="0"/>
    <n v="27982.334186748059"/>
    <n v="25001.53799496753"/>
  </r>
  <r>
    <s v="Regular"/>
    <x v="6"/>
    <x v="5"/>
    <x v="7"/>
    <x v="0"/>
    <x v="0"/>
    <x v="0"/>
    <x v="2"/>
    <x v="6"/>
    <n v="0"/>
    <n v="0"/>
    <n v="101.43600000000001"/>
    <n v="101.43600000000001"/>
    <n v="101.43600000000001"/>
    <n v="101.43600000000001"/>
    <n v="41"/>
    <x v="0"/>
    <n v="0"/>
    <n v="0"/>
    <n v="73"/>
    <n v="116"/>
    <n v="0"/>
    <n v="247.09"/>
    <n v="270.92"/>
    <m/>
    <n v="271.87639484612828"/>
    <n v="242.91497522388124"/>
    <n v="0"/>
    <n v="25063.821240000001"/>
    <n v="27481.041120000005"/>
    <n v="0"/>
    <n v="27578.053987611871"/>
    <n v="24640.32342680962"/>
  </r>
  <r>
    <s v="Regular"/>
    <x v="6"/>
    <x v="5"/>
    <x v="7"/>
    <x v="0"/>
    <x v="0"/>
    <x v="0"/>
    <x v="2"/>
    <x v="7"/>
    <n v="0"/>
    <n v="0"/>
    <n v="98.555000000000007"/>
    <n v="98.555000000000007"/>
    <n v="98.555000000000007"/>
    <n v="98.555000000000007"/>
    <n v="41"/>
    <x v="0"/>
    <n v="0"/>
    <n v="0"/>
    <n v="73"/>
    <n v="116"/>
    <n v="0"/>
    <n v="247.09"/>
    <n v="270.92"/>
    <m/>
    <n v="271.87639484612828"/>
    <n v="242.91497522388124"/>
    <n v="0"/>
    <n v="24351.954950000003"/>
    <n v="26700.520600000003"/>
    <n v="0"/>
    <n v="26794.778094060173"/>
    <n v="23940.485383189618"/>
  </r>
  <r>
    <s v="Regular"/>
    <x v="6"/>
    <x v="5"/>
    <x v="7"/>
    <x v="0"/>
    <x v="0"/>
    <x v="0"/>
    <x v="2"/>
    <x v="8"/>
    <n v="0"/>
    <n v="0"/>
    <n v="97.262"/>
    <n v="97.262"/>
    <n v="97.262"/>
    <n v="97.262"/>
    <n v="41"/>
    <x v="0"/>
    <n v="0"/>
    <n v="0"/>
    <n v="73"/>
    <n v="116"/>
    <n v="0"/>
    <n v="247.09"/>
    <n v="270.92"/>
    <m/>
    <n v="271.87639484612828"/>
    <n v="242.91497522388124"/>
    <n v="0"/>
    <n v="24032.46758"/>
    <n v="26350.22104"/>
    <n v="0"/>
    <n v="26443.24191552413"/>
    <n v="23626.396320225136"/>
  </r>
  <r>
    <s v="Regular"/>
    <x v="6"/>
    <x v="5"/>
    <x v="7"/>
    <x v="0"/>
    <x v="0"/>
    <x v="0"/>
    <x v="2"/>
    <x v="9"/>
    <n v="0"/>
    <n v="0"/>
    <n v="95.206999999999994"/>
    <n v="95.206999999999994"/>
    <n v="95.206999999999994"/>
    <n v="95.206999999999994"/>
    <n v="41"/>
    <x v="0"/>
    <n v="0"/>
    <n v="0"/>
    <n v="73"/>
    <n v="116"/>
    <n v="0"/>
    <n v="247.09"/>
    <n v="270.92"/>
    <m/>
    <n v="271.87639484612828"/>
    <n v="242.91497522388124"/>
    <n v="0"/>
    <n v="23524.697629999999"/>
    <n v="25793.480439999999"/>
    <n v="0"/>
    <n v="25884.535924115335"/>
    <n v="23127.206046140062"/>
  </r>
  <r>
    <s v="Regular"/>
    <x v="6"/>
    <x v="5"/>
    <x v="7"/>
    <x v="0"/>
    <x v="0"/>
    <x v="0"/>
    <x v="2"/>
    <x v="10"/>
    <n v="0"/>
    <n v="0"/>
    <n v="95.861999999999995"/>
    <n v="95.861999999999995"/>
    <n v="95.861999999999995"/>
    <n v="95.861999999999995"/>
    <n v="40"/>
    <x v="0"/>
    <n v="0"/>
    <n v="0"/>
    <n v="73"/>
    <n v="116"/>
    <n v="0"/>
    <n v="247.09"/>
    <n v="270.92"/>
    <m/>
    <n v="271.87639484612828"/>
    <n v="242.91497522388124"/>
    <n v="0"/>
    <n v="23686.541579999997"/>
    <n v="25970.93304"/>
    <n v="0"/>
    <n v="26062.614962739546"/>
    <n v="23286.315354911701"/>
  </r>
  <r>
    <s v="PROJETADO"/>
    <x v="6"/>
    <x v="5"/>
    <x v="7"/>
    <x v="0"/>
    <x v="0"/>
    <x v="0"/>
    <x v="2"/>
    <x v="11"/>
    <n v="0"/>
    <n v="0"/>
    <n v="95.861999999999995"/>
    <n v="95.861999999999995"/>
    <n v="95.861999999999995"/>
    <n v="95.861999999999995"/>
    <n v="40"/>
    <x v="0"/>
    <n v="0"/>
    <n v="0"/>
    <n v="73"/>
    <n v="116"/>
    <n v="0"/>
    <n v="247.09"/>
    <n v="270.92"/>
    <m/>
    <n v="271.87639484612828"/>
    <n v="242.91497522388124"/>
    <n v="0"/>
    <n v="23686.541579999997"/>
    <n v="25970.93304"/>
    <n v="0"/>
    <n v="26062.614962739546"/>
    <n v="23286.315354911701"/>
  </r>
  <r>
    <s v="Regular"/>
    <x v="6"/>
    <x v="5"/>
    <x v="1"/>
    <x v="0"/>
    <x v="0"/>
    <x v="0"/>
    <x v="2"/>
    <x v="0"/>
    <n v="0"/>
    <n v="0"/>
    <n v="2719.2139999999999"/>
    <n v="2719.2139999999999"/>
    <n v="2719.2139999999999"/>
    <n v="2719.2139999999999"/>
    <n v="1257"/>
    <x v="0"/>
    <n v="0"/>
    <n v="0"/>
    <n v="73"/>
    <n v="116"/>
    <n v="0"/>
    <n v="247.09"/>
    <n v="270.92"/>
    <m/>
    <n v="271.87639484612828"/>
    <n v="242.91497522388124"/>
    <n v="0"/>
    <n v="671890.58725999994"/>
    <n v="736689.45688000007"/>
    <n v="0"/>
    <n v="739290.09913511982"/>
    <n v="660537.80143843102"/>
  </r>
  <r>
    <s v="Refaturamento - Regular"/>
    <x v="6"/>
    <x v="5"/>
    <x v="1"/>
    <x v="0"/>
    <x v="0"/>
    <x v="0"/>
    <x v="2"/>
    <x v="0"/>
    <n v="0"/>
    <n v="0"/>
    <n v="27.277000000000001"/>
    <n v="27.277000000000001"/>
    <n v="27.277000000000001"/>
    <n v="27.277000000000001"/>
    <n v="4"/>
    <x v="0"/>
    <n v="0"/>
    <n v="0"/>
    <n v="73"/>
    <n v="116"/>
    <n v="0"/>
    <n v="247.09"/>
    <n v="270.92"/>
    <m/>
    <n v="271.87639484612828"/>
    <n v="242.91497522388124"/>
    <n v="0"/>
    <n v="6739.8739300000007"/>
    <n v="7389.8848400000006"/>
    <n v="0"/>
    <n v="7415.9724222178411"/>
    <n v="6625.9917791818089"/>
  </r>
  <r>
    <s v="Sistema de Compensação"/>
    <x v="6"/>
    <x v="5"/>
    <x v="1"/>
    <x v="0"/>
    <x v="0"/>
    <x v="0"/>
    <x v="2"/>
    <x v="0"/>
    <n v="0"/>
    <n v="0"/>
    <n v="5.25"/>
    <n v="5.25"/>
    <n v="5.25"/>
    <n v="5.25"/>
    <n v="4"/>
    <x v="0"/>
    <n v="0"/>
    <n v="0"/>
    <n v="73"/>
    <n v="116"/>
    <n v="0"/>
    <n v="247.09"/>
    <n v="270.92"/>
    <m/>
    <n v="271.87639484612828"/>
    <n v="242.91497522388124"/>
    <n v="0"/>
    <n v="1297.2225000000001"/>
    <n v="1422.3300000000002"/>
    <n v="0"/>
    <n v="1427.3510729421735"/>
    <n v="1275.3036199253766"/>
  </r>
  <r>
    <s v="Regular"/>
    <x v="6"/>
    <x v="5"/>
    <x v="1"/>
    <x v="0"/>
    <x v="0"/>
    <x v="0"/>
    <x v="2"/>
    <x v="1"/>
    <n v="0"/>
    <n v="0"/>
    <n v="2952.7260000000001"/>
    <n v="2952.7260000000001"/>
    <n v="2952.7260000000001"/>
    <n v="2952.7260000000001"/>
    <n v="1250"/>
    <x v="0"/>
    <n v="0"/>
    <n v="0"/>
    <n v="73"/>
    <n v="116"/>
    <n v="0"/>
    <n v="247.09"/>
    <n v="270.92"/>
    <m/>
    <n v="271.87639484612828"/>
    <n v="242.91497522388124"/>
    <n v="0"/>
    <n v="729589.06734000007"/>
    <n v="799952.52792000002"/>
    <n v="0"/>
    <n v="802776.499848429"/>
    <n v="717261.36313290999"/>
  </r>
  <r>
    <s v="Refaturamento - Regular"/>
    <x v="6"/>
    <x v="5"/>
    <x v="1"/>
    <x v="0"/>
    <x v="0"/>
    <x v="0"/>
    <x v="2"/>
    <x v="1"/>
    <n v="0"/>
    <n v="0"/>
    <n v="4.6399999999999997"/>
    <n v="4.6399999999999997"/>
    <n v="4.6399999999999997"/>
    <n v="4.6399999999999997"/>
    <n v="2"/>
    <x v="0"/>
    <n v="0"/>
    <n v="0"/>
    <n v="73"/>
    <n v="116"/>
    <n v="0"/>
    <n v="247.09"/>
    <n v="270.92"/>
    <m/>
    <n v="271.87639484612828"/>
    <n v="242.91497522388124"/>
    <n v="0"/>
    <n v="1146.4975999999999"/>
    <n v="1257.0688"/>
    <n v="0"/>
    <n v="1261.506472086035"/>
    <n v="1127.1254850388088"/>
  </r>
  <r>
    <s v="Sistema de Compensação"/>
    <x v="6"/>
    <x v="5"/>
    <x v="1"/>
    <x v="0"/>
    <x v="0"/>
    <x v="0"/>
    <x v="2"/>
    <x v="1"/>
    <n v="0"/>
    <n v="0"/>
    <n v="5.843"/>
    <n v="5.843"/>
    <n v="5.843"/>
    <n v="5.843"/>
    <n v="4"/>
    <x v="0"/>
    <n v="0"/>
    <n v="0"/>
    <n v="73"/>
    <n v="116"/>
    <n v="0"/>
    <n v="247.09"/>
    <n v="270.92"/>
    <m/>
    <n v="271.87639484612828"/>
    <n v="242.91497522388124"/>
    <n v="0"/>
    <n v="1443.7468699999999"/>
    <n v="1582.9855600000001"/>
    <n v="0"/>
    <n v="1588.5737750859275"/>
    <n v="1419.3522002331381"/>
  </r>
  <r>
    <s v="Regular"/>
    <x v="6"/>
    <x v="5"/>
    <x v="1"/>
    <x v="0"/>
    <x v="0"/>
    <x v="0"/>
    <x v="2"/>
    <x v="2"/>
    <n v="0"/>
    <n v="0"/>
    <n v="2625.2190000000001"/>
    <n v="2625.2190000000001"/>
    <n v="2625.2190000000001"/>
    <n v="2625.2190000000001"/>
    <n v="1242"/>
    <x v="0"/>
    <n v="0"/>
    <n v="0"/>
    <n v="73"/>
    <n v="116"/>
    <n v="0"/>
    <n v="247.09"/>
    <n v="270.92"/>
    <m/>
    <n v="271.87639484612828"/>
    <n v="242.91497522388124"/>
    <n v="0"/>
    <n v="648665.36271000002"/>
    <n v="711224.33148000005"/>
    <n v="0"/>
    <n v="713735.07740155805"/>
    <n v="637705.00834226236"/>
  </r>
  <r>
    <s v="Refaturamento - Regular"/>
    <x v="6"/>
    <x v="5"/>
    <x v="1"/>
    <x v="0"/>
    <x v="0"/>
    <x v="0"/>
    <x v="2"/>
    <x v="2"/>
    <n v="0"/>
    <n v="0"/>
    <n v="1.2609999999999999"/>
    <n v="1.2609999999999999"/>
    <n v="1.2609999999999999"/>
    <n v="1.2609999999999999"/>
    <n v="2"/>
    <x v="0"/>
    <n v="0"/>
    <n v="0"/>
    <n v="73"/>
    <n v="116"/>
    <n v="0"/>
    <n v="247.09"/>
    <n v="270.92"/>
    <m/>
    <n v="271.87639484612828"/>
    <n v="242.91497522388124"/>
    <n v="0"/>
    <n v="311.58049"/>
    <n v="341.63011999999998"/>
    <n v="0"/>
    <n v="342.83613390096775"/>
    <n v="306.31578375731425"/>
  </r>
  <r>
    <s v="Sistema de Compensação"/>
    <x v="6"/>
    <x v="5"/>
    <x v="1"/>
    <x v="0"/>
    <x v="0"/>
    <x v="0"/>
    <x v="2"/>
    <x v="2"/>
    <n v="0"/>
    <n v="0"/>
    <n v="6.0739999999999998"/>
    <n v="6.0739999999999998"/>
    <n v="6.0739999999999998"/>
    <n v="6.0739999999999998"/>
    <n v="4"/>
    <x v="0"/>
    <n v="0"/>
    <n v="0"/>
    <n v="73"/>
    <n v="116"/>
    <n v="0"/>
    <n v="247.09"/>
    <n v="270.92"/>
    <m/>
    <n v="271.87639484612828"/>
    <n v="242.91497522388124"/>
    <n v="0"/>
    <n v="1500.82466"/>
    <n v="1645.56808"/>
    <n v="0"/>
    <n v="1651.377222295383"/>
    <n v="1475.4655595098545"/>
  </r>
  <r>
    <s v="Regular"/>
    <x v="6"/>
    <x v="5"/>
    <x v="1"/>
    <x v="0"/>
    <x v="0"/>
    <x v="0"/>
    <x v="2"/>
    <x v="3"/>
    <n v="0"/>
    <n v="0"/>
    <n v="2724.377"/>
    <n v="2724.377"/>
    <n v="2724.377"/>
    <n v="2724.377"/>
    <n v="1247"/>
    <x v="0"/>
    <n v="0"/>
    <n v="0"/>
    <n v="73"/>
    <n v="116"/>
    <n v="0"/>
    <n v="247.09"/>
    <n v="270.92"/>
    <m/>
    <n v="271.87639484612828"/>
    <n v="242.91497522388124"/>
    <n v="0"/>
    <n v="673166.31293000001"/>
    <n v="738088.21684000001"/>
    <n v="0"/>
    <n v="740693.79696171044"/>
    <n v="661791.97145551187"/>
  </r>
  <r>
    <s v="Refaturamento - Regular"/>
    <x v="6"/>
    <x v="5"/>
    <x v="1"/>
    <x v="0"/>
    <x v="0"/>
    <x v="0"/>
    <x v="2"/>
    <x v="3"/>
    <n v="0"/>
    <n v="0"/>
    <n v="6.3029999999999999"/>
    <n v="6.3029999999999999"/>
    <n v="6.3029999999999999"/>
    <n v="6.3029999999999999"/>
    <n v="2"/>
    <x v="0"/>
    <n v="0"/>
    <n v="0"/>
    <n v="73"/>
    <n v="116"/>
    <n v="0"/>
    <n v="247.09"/>
    <n v="270.92"/>
    <m/>
    <n v="271.87639484612828"/>
    <n v="242.91497522388124"/>
    <n v="0"/>
    <n v="1557.4082699999999"/>
    <n v="1707.6087600000001"/>
    <n v="0"/>
    <n v="1713.6369167151465"/>
    <n v="1531.0930888361233"/>
  </r>
  <r>
    <s v="Sistema de Compensação"/>
    <x v="6"/>
    <x v="5"/>
    <x v="1"/>
    <x v="0"/>
    <x v="0"/>
    <x v="0"/>
    <x v="2"/>
    <x v="3"/>
    <n v="0"/>
    <n v="0"/>
    <n v="1.39"/>
    <n v="1.39"/>
    <n v="1.39"/>
    <n v="1.39"/>
    <n v="3"/>
    <x v="0"/>
    <n v="0"/>
    <n v="0"/>
    <n v="73"/>
    <n v="116"/>
    <n v="0"/>
    <n v="247.09"/>
    <n v="270.92"/>
    <m/>
    <n v="271.87639484612828"/>
    <n v="242.91497522388124"/>
    <n v="0"/>
    <n v="343.45509999999996"/>
    <n v="376.5788"/>
    <n v="0"/>
    <n v="377.90818883611826"/>
    <n v="337.65181556119489"/>
  </r>
  <r>
    <s v="Regular"/>
    <x v="6"/>
    <x v="5"/>
    <x v="1"/>
    <x v="0"/>
    <x v="0"/>
    <x v="0"/>
    <x v="2"/>
    <x v="4"/>
    <n v="0"/>
    <n v="0"/>
    <n v="2564.0349999999999"/>
    <n v="2564.0349999999999"/>
    <n v="2564.0349999999999"/>
    <n v="2564.0349999999999"/>
    <n v="1237"/>
    <x v="0"/>
    <n v="0"/>
    <n v="0"/>
    <n v="73"/>
    <n v="116"/>
    <n v="0"/>
    <n v="247.09"/>
    <n v="270.92"/>
    <m/>
    <n v="271.87639484612828"/>
    <n v="242.91497522388124"/>
    <n v="0"/>
    <n v="633547.40814999992"/>
    <n v="694648.36219999997"/>
    <n v="0"/>
    <n v="697100.59205929248"/>
    <n v="622842.49849816435"/>
  </r>
  <r>
    <s v="Refaturamento - Regular"/>
    <x v="6"/>
    <x v="5"/>
    <x v="1"/>
    <x v="0"/>
    <x v="0"/>
    <x v="0"/>
    <x v="2"/>
    <x v="4"/>
    <n v="0"/>
    <n v="0"/>
    <n v="13.612"/>
    <n v="13.612"/>
    <n v="13.612"/>
    <n v="13.612"/>
    <n v="3"/>
    <x v="0"/>
    <n v="0"/>
    <n v="0"/>
    <n v="73"/>
    <n v="116"/>
    <n v="0"/>
    <n v="247.09"/>
    <n v="270.92"/>
    <m/>
    <n v="271.87639484612828"/>
    <n v="242.91497522388124"/>
    <n v="0"/>
    <n v="3363.3890799999999"/>
    <n v="3687.7630400000003"/>
    <n v="0"/>
    <n v="3700.7814866454983"/>
    <n v="3306.5586427474714"/>
  </r>
  <r>
    <s v="Sistema de Compensação"/>
    <x v="6"/>
    <x v="5"/>
    <x v="1"/>
    <x v="0"/>
    <x v="0"/>
    <x v="0"/>
    <x v="2"/>
    <x v="4"/>
    <n v="0"/>
    <n v="0"/>
    <n v="4.415"/>
    <n v="4.415"/>
    <n v="4.415"/>
    <n v="4.415"/>
    <n v="3"/>
    <x v="0"/>
    <n v="0"/>
    <n v="0"/>
    <n v="73"/>
    <n v="116"/>
    <n v="0"/>
    <n v="247.09"/>
    <n v="270.92"/>
    <m/>
    <n v="271.87639484612828"/>
    <n v="242.91497522388124"/>
    <n v="0"/>
    <n v="1090.9023500000001"/>
    <n v="1196.1118000000001"/>
    <n v="0"/>
    <n v="1200.3342832456563"/>
    <n v="1072.4696156134357"/>
  </r>
  <r>
    <s v="Regular"/>
    <x v="6"/>
    <x v="5"/>
    <x v="1"/>
    <x v="0"/>
    <x v="0"/>
    <x v="0"/>
    <x v="2"/>
    <x v="5"/>
    <n v="0"/>
    <n v="0"/>
    <n v="2587.1819999999998"/>
    <n v="2587.1819999999998"/>
    <n v="2587.1819999999998"/>
    <n v="2587.1819999999998"/>
    <n v="1235"/>
    <x v="0"/>
    <n v="0"/>
    <n v="0"/>
    <n v="73"/>
    <n v="116"/>
    <n v="0"/>
    <n v="247.09"/>
    <n v="270.92"/>
    <m/>
    <n v="271.87639484612828"/>
    <n v="242.91497522388124"/>
    <n v="0"/>
    <n v="639266.80037999991"/>
    <n v="700919.34744000004"/>
    <n v="0"/>
    <n v="703393.71497079579"/>
    <n v="628465.25142967142"/>
  </r>
  <r>
    <s v="Refaturamento - Regular"/>
    <x v="6"/>
    <x v="5"/>
    <x v="1"/>
    <x v="0"/>
    <x v="0"/>
    <x v="0"/>
    <x v="2"/>
    <x v="5"/>
    <n v="0"/>
    <n v="0"/>
    <n v="3.206"/>
    <n v="3.206"/>
    <n v="3.206"/>
    <n v="3.206"/>
    <n v="2"/>
    <x v="0"/>
    <n v="0"/>
    <n v="0"/>
    <n v="73"/>
    <n v="116"/>
    <n v="0"/>
    <n v="247.09"/>
    <n v="270.92"/>
    <m/>
    <n v="271.87639484612828"/>
    <n v="242.91497522388124"/>
    <n v="0"/>
    <n v="792.17053999999996"/>
    <n v="868.56952000000001"/>
    <n v="0"/>
    <n v="871.63572187668728"/>
    <n v="778.78541056776328"/>
  </r>
  <r>
    <s v="Sistema de Compensação"/>
    <x v="6"/>
    <x v="5"/>
    <x v="1"/>
    <x v="0"/>
    <x v="0"/>
    <x v="0"/>
    <x v="2"/>
    <x v="5"/>
    <n v="0"/>
    <n v="0"/>
    <n v="3.2120000000000002"/>
    <n v="3.2120000000000002"/>
    <n v="3.2120000000000002"/>
    <n v="3.2120000000000002"/>
    <n v="3"/>
    <x v="0"/>
    <n v="0"/>
    <n v="0"/>
    <n v="73"/>
    <n v="116"/>
    <n v="0"/>
    <n v="247.09"/>
    <n v="270.92"/>
    <m/>
    <n v="271.87639484612828"/>
    <n v="242.91497522388124"/>
    <n v="0"/>
    <n v="793.65308000000005"/>
    <n v="870.19504000000006"/>
    <n v="0"/>
    <n v="873.2669802457641"/>
    <n v="780.2429004191066"/>
  </r>
  <r>
    <s v="Regular"/>
    <x v="6"/>
    <x v="5"/>
    <x v="1"/>
    <x v="0"/>
    <x v="0"/>
    <x v="0"/>
    <x v="2"/>
    <x v="6"/>
    <n v="0"/>
    <n v="0"/>
    <n v="2430.393"/>
    <n v="2430.393"/>
    <n v="2430.393"/>
    <n v="2430.393"/>
    <n v="1226"/>
    <x v="0"/>
    <n v="0"/>
    <n v="0"/>
    <n v="73"/>
    <n v="116"/>
    <n v="0"/>
    <n v="247.09"/>
    <n v="270.92"/>
    <m/>
    <n v="271.87639484612828"/>
    <n v="242.91497522388124"/>
    <n v="0"/>
    <n v="600525.80637000001"/>
    <n v="658442.07156000007"/>
    <n v="0"/>
    <n v="660766.48689926625"/>
    <n v="590378.85537929437"/>
  </r>
  <r>
    <s v="Refaturamento - Regular"/>
    <x v="6"/>
    <x v="5"/>
    <x v="1"/>
    <x v="0"/>
    <x v="0"/>
    <x v="0"/>
    <x v="2"/>
    <x v="6"/>
    <n v="0"/>
    <n v="0"/>
    <n v="1.212"/>
    <n v="1.212"/>
    <n v="1.212"/>
    <n v="1.212"/>
    <n v="2"/>
    <x v="0"/>
    <n v="0"/>
    <n v="0"/>
    <n v="73"/>
    <n v="116"/>
    <n v="0"/>
    <n v="247.09"/>
    <n v="270.92"/>
    <m/>
    <n v="271.87639484612828"/>
    <n v="242.91497522388124"/>
    <n v="0"/>
    <n v="299.47307999999998"/>
    <n v="328.35504000000003"/>
    <n v="0"/>
    <n v="329.51419055350749"/>
    <n v="294.41294997134406"/>
  </r>
  <r>
    <s v="Sistema de Compensação"/>
    <x v="6"/>
    <x v="5"/>
    <x v="1"/>
    <x v="0"/>
    <x v="0"/>
    <x v="0"/>
    <x v="2"/>
    <x v="6"/>
    <n v="0"/>
    <n v="0"/>
    <n v="3.1930000000000001"/>
    <n v="3.1930000000000001"/>
    <n v="3.1930000000000001"/>
    <n v="3.1930000000000001"/>
    <n v="3"/>
    <x v="0"/>
    <n v="0"/>
    <n v="0"/>
    <n v="73"/>
    <n v="116"/>
    <n v="0"/>
    <n v="247.09"/>
    <n v="270.92"/>
    <m/>
    <n v="271.87639484612828"/>
    <n v="242.91497522388124"/>
    <n v="0"/>
    <n v="788.95837000000006"/>
    <n v="865.04756000000009"/>
    <n v="0"/>
    <n v="868.10132874368765"/>
    <n v="775.62751588985282"/>
  </r>
  <r>
    <s v="Regular"/>
    <x v="6"/>
    <x v="5"/>
    <x v="1"/>
    <x v="0"/>
    <x v="0"/>
    <x v="0"/>
    <x v="2"/>
    <x v="7"/>
    <n v="0"/>
    <n v="0"/>
    <n v="2270.6390000000001"/>
    <n v="2270.6390000000001"/>
    <n v="2270.6390000000001"/>
    <n v="2270.6390000000001"/>
    <n v="1222"/>
    <x v="0"/>
    <n v="0"/>
    <n v="0"/>
    <n v="73"/>
    <n v="116"/>
    <n v="0"/>
    <n v="247.09"/>
    <n v="270.92"/>
    <m/>
    <n v="271.87639484612828"/>
    <n v="242.91497522388124"/>
    <n v="0"/>
    <n v="561052.19050999999"/>
    <n v="615161.51788000006"/>
    <n v="0"/>
    <n v="617333.14531701792"/>
    <n v="551572.21642737847"/>
  </r>
  <r>
    <s v="Refaturamento - Regular"/>
    <x v="6"/>
    <x v="5"/>
    <x v="1"/>
    <x v="0"/>
    <x v="0"/>
    <x v="0"/>
    <x v="2"/>
    <x v="7"/>
    <n v="0"/>
    <n v="0"/>
    <n v="0.2"/>
    <n v="0.2"/>
    <n v="0.2"/>
    <n v="0.2"/>
    <n v="1"/>
    <x v="0"/>
    <n v="0"/>
    <n v="0"/>
    <n v="73"/>
    <n v="116"/>
    <n v="0"/>
    <n v="247.09"/>
    <n v="270.92"/>
    <m/>
    <n v="271.87639484612828"/>
    <n v="242.91497522388124"/>
    <n v="0"/>
    <n v="49.418000000000006"/>
    <n v="54.184000000000005"/>
    <n v="0"/>
    <n v="54.375278969225661"/>
    <n v="48.582995044776254"/>
  </r>
  <r>
    <s v="Sistema de Compensação"/>
    <x v="6"/>
    <x v="5"/>
    <x v="1"/>
    <x v="0"/>
    <x v="0"/>
    <x v="0"/>
    <x v="2"/>
    <x v="7"/>
    <n v="0"/>
    <n v="0"/>
    <n v="3.47"/>
    <n v="3.47"/>
    <n v="3.47"/>
    <n v="3.47"/>
    <n v="4"/>
    <x v="0"/>
    <n v="0"/>
    <n v="0"/>
    <n v="73"/>
    <n v="116"/>
    <n v="0"/>
    <n v="247.09"/>
    <n v="270.92"/>
    <m/>
    <n v="271.87639484612828"/>
    <n v="242.91497522388124"/>
    <n v="0"/>
    <n v="857.40230000000008"/>
    <n v="940.09240000000011"/>
    <n v="0"/>
    <n v="943.41109011606522"/>
    <n v="842.91496402686801"/>
  </r>
  <r>
    <s v="Regular"/>
    <x v="6"/>
    <x v="5"/>
    <x v="1"/>
    <x v="0"/>
    <x v="0"/>
    <x v="0"/>
    <x v="2"/>
    <x v="8"/>
    <n v="0"/>
    <n v="0"/>
    <n v="2013.816"/>
    <n v="2013.816"/>
    <n v="2013.816"/>
    <n v="2013.816"/>
    <n v="1226"/>
    <x v="0"/>
    <n v="0"/>
    <n v="0"/>
    <n v="73"/>
    <n v="116"/>
    <n v="0"/>
    <n v="247.09"/>
    <n v="270.92"/>
    <m/>
    <n v="271.87639484612828"/>
    <n v="242.91497522388124"/>
    <n v="0"/>
    <n v="497593.79544000002"/>
    <n v="545583.03072000004"/>
    <n v="0"/>
    <n v="547509.0339634507"/>
    <n v="489186.06374545564"/>
  </r>
  <r>
    <s v="Refaturamento - Regular"/>
    <x v="6"/>
    <x v="5"/>
    <x v="1"/>
    <x v="0"/>
    <x v="0"/>
    <x v="0"/>
    <x v="2"/>
    <x v="8"/>
    <n v="0"/>
    <n v="0"/>
    <n v="1.1719999999999999"/>
    <n v="1.1719999999999999"/>
    <n v="1.1719999999999999"/>
    <n v="1.1719999999999999"/>
    <n v="2"/>
    <x v="0"/>
    <n v="0"/>
    <n v="0"/>
    <n v="73"/>
    <n v="116"/>
    <n v="0"/>
    <n v="247.09"/>
    <n v="270.92"/>
    <m/>
    <n v="271.87639484612828"/>
    <n v="242.91497522388124"/>
    <n v="0"/>
    <n v="289.58947999999998"/>
    <n v="317.51823999999999"/>
    <n v="0"/>
    <n v="318.63913475966234"/>
    <n v="284.69635096238881"/>
  </r>
  <r>
    <s v="Sistema de Compensação"/>
    <x v="6"/>
    <x v="5"/>
    <x v="1"/>
    <x v="0"/>
    <x v="0"/>
    <x v="0"/>
    <x v="2"/>
    <x v="8"/>
    <n v="0"/>
    <n v="0"/>
    <n v="2.65"/>
    <n v="2.65"/>
    <n v="2.65"/>
    <n v="2.65"/>
    <n v="3"/>
    <x v="0"/>
    <n v="0"/>
    <n v="0"/>
    <n v="73"/>
    <n v="116"/>
    <n v="0"/>
    <n v="247.09"/>
    <n v="270.92"/>
    <m/>
    <n v="271.87639484612828"/>
    <n v="242.91497522388124"/>
    <n v="0"/>
    <n v="654.7885"/>
    <n v="717.93799999999999"/>
    <n v="0"/>
    <n v="720.47244634223989"/>
    <n v="643.72468434328528"/>
  </r>
  <r>
    <s v="Regular"/>
    <x v="6"/>
    <x v="5"/>
    <x v="1"/>
    <x v="0"/>
    <x v="0"/>
    <x v="0"/>
    <x v="2"/>
    <x v="9"/>
    <n v="0"/>
    <n v="0"/>
    <n v="2065.0059999999999"/>
    <n v="2065.0059999999999"/>
    <n v="2065.0059999999999"/>
    <n v="2065.0059999999999"/>
    <n v="1223"/>
    <x v="0"/>
    <n v="0"/>
    <n v="0"/>
    <n v="73"/>
    <n v="116"/>
    <n v="0"/>
    <n v="247.09"/>
    <n v="270.92"/>
    <m/>
    <n v="271.87639484612828"/>
    <n v="242.91497522388124"/>
    <n v="0"/>
    <n v="510242.33253999997"/>
    <n v="559451.42552000005"/>
    <n v="0"/>
    <n v="561426.38661562395"/>
    <n v="501620.88132716605"/>
  </r>
  <r>
    <s v="Refaturamento - Regular"/>
    <x v="6"/>
    <x v="5"/>
    <x v="1"/>
    <x v="0"/>
    <x v="0"/>
    <x v="0"/>
    <x v="2"/>
    <x v="9"/>
    <n v="0"/>
    <n v="0"/>
    <n v="1.8939999999999999"/>
    <n v="1.8939999999999999"/>
    <n v="1.8939999999999999"/>
    <n v="1.8939999999999999"/>
    <n v="4"/>
    <x v="0"/>
    <n v="0"/>
    <n v="0"/>
    <n v="73"/>
    <n v="116"/>
    <n v="0"/>
    <n v="247.09"/>
    <n v="270.92"/>
    <m/>
    <n v="271.87639484612828"/>
    <n v="242.91497522388124"/>
    <n v="0"/>
    <n v="467.98845999999998"/>
    <n v="513.12248"/>
    <n v="0"/>
    <n v="514.93389183856698"/>
    <n v="460.08096307403105"/>
  </r>
  <r>
    <s v="Sistema de Compensação"/>
    <x v="6"/>
    <x v="5"/>
    <x v="1"/>
    <x v="0"/>
    <x v="0"/>
    <x v="0"/>
    <x v="2"/>
    <x v="9"/>
    <n v="0"/>
    <n v="0"/>
    <n v="3.194"/>
    <n v="3.194"/>
    <n v="3.194"/>
    <n v="3.194"/>
    <n v="3"/>
    <x v="0"/>
    <n v="0"/>
    <n v="0"/>
    <n v="73"/>
    <n v="116"/>
    <n v="0"/>
    <n v="247.09"/>
    <n v="270.92"/>
    <m/>
    <n v="271.87639484612828"/>
    <n v="242.91497522388124"/>
    <n v="0"/>
    <n v="789.20546000000002"/>
    <n v="865.31848000000002"/>
    <n v="0"/>
    <n v="868.37320513853376"/>
    <n v="775.87043086507663"/>
  </r>
  <r>
    <s v="Regular"/>
    <x v="6"/>
    <x v="5"/>
    <x v="1"/>
    <x v="0"/>
    <x v="0"/>
    <x v="0"/>
    <x v="2"/>
    <x v="10"/>
    <n v="0"/>
    <n v="0"/>
    <n v="2274.1030000000001"/>
    <n v="2274.1030000000001"/>
    <n v="2274.1030000000001"/>
    <n v="2274.1030000000001"/>
    <n v="1219"/>
    <x v="0"/>
    <n v="0"/>
    <n v="0"/>
    <n v="73"/>
    <n v="116"/>
    <n v="0"/>
    <n v="247.09"/>
    <n v="270.92"/>
    <m/>
    <n v="271.87639484612828"/>
    <n v="242.91497522388124"/>
    <n v="0"/>
    <n v="561908.11027000006"/>
    <n v="616099.98476000002"/>
    <n v="0"/>
    <n v="618274.92514876486"/>
    <n v="552413.67390155396"/>
  </r>
  <r>
    <s v="Refaturamento - Regular"/>
    <x v="6"/>
    <x v="5"/>
    <x v="1"/>
    <x v="0"/>
    <x v="0"/>
    <x v="0"/>
    <x v="2"/>
    <x v="10"/>
    <n v="0"/>
    <n v="0"/>
    <n v="1.1659999999999999"/>
    <n v="1.1659999999999999"/>
    <n v="1.1659999999999999"/>
    <n v="1.1659999999999999"/>
    <n v="3"/>
    <x v="0"/>
    <n v="0"/>
    <n v="0"/>
    <n v="73"/>
    <n v="116"/>
    <n v="0"/>
    <n v="247.09"/>
    <n v="270.92"/>
    <m/>
    <n v="271.87639484612828"/>
    <n v="242.91497522388124"/>
    <n v="0"/>
    <n v="288.10694000000001"/>
    <n v="315.89272"/>
    <n v="0"/>
    <n v="317.00787639058558"/>
    <n v="283.23886111104554"/>
  </r>
  <r>
    <s v="Sistema de Compensação"/>
    <x v="6"/>
    <x v="5"/>
    <x v="1"/>
    <x v="0"/>
    <x v="0"/>
    <x v="0"/>
    <x v="2"/>
    <x v="10"/>
    <n v="0"/>
    <n v="0"/>
    <n v="2.6190000000000002"/>
    <n v="2.6190000000000002"/>
    <n v="2.6190000000000002"/>
    <n v="2.6190000000000002"/>
    <n v="3"/>
    <x v="0"/>
    <n v="0"/>
    <n v="0"/>
    <n v="73"/>
    <n v="116"/>
    <n v="0"/>
    <n v="247.09"/>
    <n v="270.92"/>
    <m/>
    <n v="271.87639484612828"/>
    <n v="242.91497522388124"/>
    <n v="0"/>
    <n v="647.12871000000007"/>
    <n v="709.53948000000014"/>
    <n v="0"/>
    <n v="712.04427810201003"/>
    <n v="636.19432011134506"/>
  </r>
  <r>
    <s v="PROJETADO"/>
    <x v="6"/>
    <x v="5"/>
    <x v="1"/>
    <x v="0"/>
    <x v="0"/>
    <x v="0"/>
    <x v="2"/>
    <x v="11"/>
    <n v="0"/>
    <n v="0"/>
    <n v="2274.1030000000001"/>
    <n v="2274.1030000000001"/>
    <n v="2274.1030000000001"/>
    <n v="2274.1030000000001"/>
    <n v="1219"/>
    <x v="0"/>
    <n v="0"/>
    <n v="0"/>
    <n v="73"/>
    <n v="116"/>
    <n v="0"/>
    <n v="247.09"/>
    <n v="270.92"/>
    <m/>
    <n v="271.87639484612828"/>
    <n v="242.91497522388124"/>
    <n v="0"/>
    <n v="561908.11027000006"/>
    <n v="616099.98476000002"/>
    <n v="0"/>
    <n v="618274.92514876486"/>
    <n v="552413.67390155396"/>
  </r>
  <r>
    <s v="PROJETADO"/>
    <x v="6"/>
    <x v="5"/>
    <x v="1"/>
    <x v="0"/>
    <x v="0"/>
    <x v="0"/>
    <x v="2"/>
    <x v="11"/>
    <n v="0"/>
    <n v="0"/>
    <n v="1.1659999999999999"/>
    <n v="1.1659999999999999"/>
    <n v="1.1659999999999999"/>
    <n v="1.1659999999999999"/>
    <n v="3"/>
    <x v="0"/>
    <n v="0"/>
    <n v="0"/>
    <n v="73"/>
    <n v="116"/>
    <n v="0"/>
    <n v="247.09"/>
    <n v="270.92"/>
    <m/>
    <n v="271.87639484612828"/>
    <n v="242.91497522388124"/>
    <n v="0"/>
    <n v="288.10694000000001"/>
    <n v="315.89272"/>
    <n v="0"/>
    <n v="317.00787639058558"/>
    <n v="283.23886111104554"/>
  </r>
  <r>
    <s v="PROJETADO"/>
    <x v="6"/>
    <x v="5"/>
    <x v="1"/>
    <x v="0"/>
    <x v="0"/>
    <x v="0"/>
    <x v="2"/>
    <x v="11"/>
    <n v="0"/>
    <n v="0"/>
    <n v="2.6190000000000002"/>
    <n v="2.6190000000000002"/>
    <n v="2.6190000000000002"/>
    <n v="2.6190000000000002"/>
    <n v="3"/>
    <x v="0"/>
    <n v="0"/>
    <n v="0"/>
    <n v="73"/>
    <n v="116"/>
    <n v="0"/>
    <n v="247.09"/>
    <n v="270.92"/>
    <m/>
    <n v="271.87639484612828"/>
    <n v="242.91497522388124"/>
    <n v="0"/>
    <n v="647.12871000000007"/>
    <n v="709.53948000000014"/>
    <n v="0"/>
    <n v="712.04427810201003"/>
    <n v="636.19432011134506"/>
  </r>
  <r>
    <s v="Regular"/>
    <x v="6"/>
    <x v="5"/>
    <x v="4"/>
    <x v="0"/>
    <x v="0"/>
    <x v="0"/>
    <x v="2"/>
    <x v="0"/>
    <n v="0"/>
    <n v="0"/>
    <n v="10189.201999999999"/>
    <n v="10189.201999999999"/>
    <n v="10189.201999999999"/>
    <n v="10189.201999999999"/>
    <n v="5605"/>
    <x v="0"/>
    <n v="0"/>
    <n v="0"/>
    <n v="73"/>
    <n v="116"/>
    <n v="0"/>
    <n v="247.09"/>
    <n v="270.92"/>
    <m/>
    <n v="271.87639484612828"/>
    <n v="242.91497522388124"/>
    <n v="0"/>
    <n v="2517649.9221799998"/>
    <n v="2760458.6058399999"/>
    <n v="0"/>
    <n v="2770203.5061189597"/>
    <n v="2475109.7513811211"/>
  </r>
  <r>
    <s v="Refaturamento - Regular"/>
    <x v="6"/>
    <x v="5"/>
    <x v="4"/>
    <x v="0"/>
    <x v="0"/>
    <x v="0"/>
    <x v="2"/>
    <x v="0"/>
    <n v="0"/>
    <n v="0"/>
    <n v="2.5710000000000002"/>
    <n v="2.5710000000000002"/>
    <n v="2.5710000000000002"/>
    <n v="2.5710000000000002"/>
    <n v="5"/>
    <x v="0"/>
    <n v="0"/>
    <n v="0"/>
    <n v="73"/>
    <n v="116"/>
    <n v="0"/>
    <n v="247.09"/>
    <n v="270.92"/>
    <m/>
    <n v="271.87639484612828"/>
    <n v="242.91497522388124"/>
    <n v="0"/>
    <n v="635.26839000000007"/>
    <n v="696.53532000000007"/>
    <n v="0"/>
    <n v="698.99421114939582"/>
    <n v="624.53440130059869"/>
  </r>
  <r>
    <s v="Sistema de Compensação"/>
    <x v="6"/>
    <x v="5"/>
    <x v="4"/>
    <x v="0"/>
    <x v="0"/>
    <x v="0"/>
    <x v="2"/>
    <x v="0"/>
    <n v="0"/>
    <n v="0"/>
    <n v="137.881"/>
    <n v="137.881"/>
    <n v="137.881"/>
    <n v="137.881"/>
    <n v="6"/>
    <x v="0"/>
    <n v="0"/>
    <n v="0"/>
    <n v="73"/>
    <n v="116"/>
    <n v="0"/>
    <n v="247.09"/>
    <n v="270.92"/>
    <m/>
    <n v="271.87639484612828"/>
    <n v="242.91497522388124"/>
    <n v="0"/>
    <n v="34069.01629"/>
    <n v="37354.720520000003"/>
    <n v="0"/>
    <n v="37486.589197779016"/>
    <n v="33493.359698843968"/>
  </r>
  <r>
    <s v="Regular"/>
    <x v="6"/>
    <x v="5"/>
    <x v="4"/>
    <x v="0"/>
    <x v="0"/>
    <x v="0"/>
    <x v="2"/>
    <x v="1"/>
    <n v="0"/>
    <n v="0"/>
    <n v="10438.009"/>
    <n v="10438.009"/>
    <n v="10438.009"/>
    <n v="10438.009"/>
    <n v="5609"/>
    <x v="0"/>
    <n v="0"/>
    <n v="0"/>
    <n v="73"/>
    <n v="116"/>
    <n v="0"/>
    <n v="247.09"/>
    <n v="270.92"/>
    <m/>
    <n v="271.87639484612828"/>
    <n v="242.91497522388124"/>
    <n v="0"/>
    <n v="2579127.6438100003"/>
    <n v="2827865.3982800003"/>
    <n v="0"/>
    <n v="2837848.2562914407"/>
    <n v="2535548.6976216496"/>
  </r>
  <r>
    <s v="Refaturamento - Regular"/>
    <x v="6"/>
    <x v="5"/>
    <x v="4"/>
    <x v="0"/>
    <x v="0"/>
    <x v="0"/>
    <x v="2"/>
    <x v="1"/>
    <n v="0"/>
    <n v="0"/>
    <n v="272.51"/>
    <n v="272.51"/>
    <n v="272.51"/>
    <n v="272.51"/>
    <n v="5"/>
    <x v="0"/>
    <n v="0"/>
    <n v="0"/>
    <n v="73"/>
    <n v="116"/>
    <n v="0"/>
    <n v="247.09"/>
    <n v="270.92"/>
    <m/>
    <n v="271.87639484612828"/>
    <n v="242.91497522388124"/>
    <n v="0"/>
    <n v="67334.495899999994"/>
    <n v="73828.409199999995"/>
    <n v="0"/>
    <n v="74089.036359518417"/>
    <n v="66196.759898259872"/>
  </r>
  <r>
    <s v="Sistema de Compensação"/>
    <x v="6"/>
    <x v="5"/>
    <x v="4"/>
    <x v="0"/>
    <x v="0"/>
    <x v="0"/>
    <x v="2"/>
    <x v="1"/>
    <n v="0"/>
    <n v="0"/>
    <n v="157.625"/>
    <n v="157.625"/>
    <n v="157.625"/>
    <n v="157.625"/>
    <n v="6"/>
    <x v="0"/>
    <n v="0"/>
    <n v="0"/>
    <n v="73"/>
    <n v="116"/>
    <n v="0"/>
    <n v="247.09"/>
    <n v="270.92"/>
    <m/>
    <n v="271.87639484612828"/>
    <n v="242.91497522388124"/>
    <n v="0"/>
    <n v="38947.561249999999"/>
    <n v="42703.764999999999"/>
    <n v="0"/>
    <n v="42854.516737620972"/>
    <n v="38289.472969664283"/>
  </r>
  <r>
    <s v="Regular"/>
    <x v="6"/>
    <x v="5"/>
    <x v="4"/>
    <x v="0"/>
    <x v="0"/>
    <x v="0"/>
    <x v="2"/>
    <x v="2"/>
    <n v="0"/>
    <n v="0"/>
    <n v="9032.0490000000009"/>
    <n v="9032.0490000000009"/>
    <n v="9032.0490000000009"/>
    <n v="9032.0490000000009"/>
    <n v="5615"/>
    <x v="0"/>
    <n v="0"/>
    <n v="0"/>
    <n v="73"/>
    <n v="116"/>
    <n v="0"/>
    <n v="247.09"/>
    <n v="270.92"/>
    <m/>
    <n v="271.87639484612828"/>
    <n v="242.91497522388124"/>
    <n v="0"/>
    <n v="2231728.9874100001"/>
    <n v="2446962.7150800005"/>
    <n v="0"/>
    <n v="2455600.9201935781"/>
    <n v="2194019.9590558815"/>
  </r>
  <r>
    <s v="Refaturamento - Regular"/>
    <x v="6"/>
    <x v="5"/>
    <x v="4"/>
    <x v="0"/>
    <x v="0"/>
    <x v="0"/>
    <x v="2"/>
    <x v="2"/>
    <n v="0"/>
    <n v="0"/>
    <n v="2.1789999999999998"/>
    <n v="2.1789999999999998"/>
    <n v="2.1789999999999998"/>
    <n v="2.1789999999999998"/>
    <n v="1"/>
    <x v="0"/>
    <n v="0"/>
    <n v="0"/>
    <n v="73"/>
    <n v="116"/>
    <n v="0"/>
    <n v="247.09"/>
    <n v="270.92"/>
    <m/>
    <n v="271.87639484612828"/>
    <n v="242.91497522388124"/>
    <n v="0"/>
    <n v="538.40910999999994"/>
    <n v="590.33467999999993"/>
    <n v="0"/>
    <n v="592.4186643697135"/>
    <n v="529.31173101283719"/>
  </r>
  <r>
    <s v="Sistema de Compensação"/>
    <x v="6"/>
    <x v="5"/>
    <x v="4"/>
    <x v="0"/>
    <x v="0"/>
    <x v="0"/>
    <x v="2"/>
    <x v="2"/>
    <n v="0"/>
    <n v="0"/>
    <n v="139.828"/>
    <n v="139.828"/>
    <n v="139.828"/>
    <n v="139.828"/>
    <n v="6"/>
    <x v="0"/>
    <n v="0"/>
    <n v="0"/>
    <n v="73"/>
    <n v="116"/>
    <n v="0"/>
    <n v="247.09"/>
    <n v="270.92"/>
    <m/>
    <n v="271.87639484612828"/>
    <n v="242.91497522388124"/>
    <n v="0"/>
    <n v="34550.10052"/>
    <n v="37882.201760000004"/>
    <n v="0"/>
    <n v="38015.932538544424"/>
    <n v="33966.315155604869"/>
  </r>
  <r>
    <s v="Regular"/>
    <x v="6"/>
    <x v="5"/>
    <x v="4"/>
    <x v="0"/>
    <x v="0"/>
    <x v="0"/>
    <x v="2"/>
    <x v="3"/>
    <n v="0"/>
    <n v="0"/>
    <n v="8249.8799999999992"/>
    <n v="8249.8799999999992"/>
    <n v="8249.8799999999992"/>
    <n v="8249.8799999999992"/>
    <n v="5612"/>
    <x v="0"/>
    <n v="0"/>
    <n v="0"/>
    <n v="73"/>
    <n v="116"/>
    <n v="0"/>
    <n v="247.09"/>
    <n v="270.92"/>
    <m/>
    <n v="271.87639484612828"/>
    <n v="242.91497522388124"/>
    <n v="0"/>
    <n v="2038462.8491999998"/>
    <n v="2235057.4896"/>
    <n v="0"/>
    <n v="2242947.6323131765"/>
    <n v="2004019.3957999933"/>
  </r>
  <r>
    <s v="Refaturamento - Regular"/>
    <x v="6"/>
    <x v="5"/>
    <x v="4"/>
    <x v="0"/>
    <x v="0"/>
    <x v="0"/>
    <x v="2"/>
    <x v="3"/>
    <n v="0"/>
    <n v="0"/>
    <n v="3.2570000000000001"/>
    <n v="3.2570000000000001"/>
    <n v="3.2570000000000001"/>
    <n v="3.2570000000000001"/>
    <n v="5"/>
    <x v="0"/>
    <n v="0"/>
    <n v="0"/>
    <n v="73"/>
    <n v="116"/>
    <n v="0"/>
    <n v="247.09"/>
    <n v="270.92"/>
    <m/>
    <n v="271.87639484612828"/>
    <n v="242.91497522388124"/>
    <n v="0"/>
    <n v="804.77213000000006"/>
    <n v="882.38644000000011"/>
    <n v="0"/>
    <n v="885.50141801383984"/>
    <n v="791.1740743041812"/>
  </r>
  <r>
    <s v="Sistema de Compensação"/>
    <x v="6"/>
    <x v="5"/>
    <x v="4"/>
    <x v="0"/>
    <x v="0"/>
    <x v="0"/>
    <x v="2"/>
    <x v="3"/>
    <n v="0"/>
    <n v="0"/>
    <n v="109.256"/>
    <n v="109.256"/>
    <n v="109.256"/>
    <n v="109.256"/>
    <n v="6"/>
    <x v="0"/>
    <n v="0"/>
    <n v="0"/>
    <n v="73"/>
    <n v="116"/>
    <n v="0"/>
    <n v="247.09"/>
    <n v="270.92"/>
    <m/>
    <n v="271.87639484612828"/>
    <n v="242.91497522388124"/>
    <n v="0"/>
    <n v="26996.065040000001"/>
    <n v="29599.635520000003"/>
    <n v="0"/>
    <n v="29704.127395308591"/>
    <n v="26539.918533060369"/>
  </r>
  <r>
    <s v="Regular"/>
    <x v="6"/>
    <x v="5"/>
    <x v="4"/>
    <x v="0"/>
    <x v="0"/>
    <x v="0"/>
    <x v="2"/>
    <x v="4"/>
    <n v="0"/>
    <n v="0"/>
    <n v="8213.0110000000004"/>
    <n v="8213.0110000000004"/>
    <n v="8213.0110000000004"/>
    <n v="8213.0110000000004"/>
    <n v="5529"/>
    <x v="0"/>
    <n v="0"/>
    <n v="0"/>
    <n v="73"/>
    <n v="116"/>
    <n v="0"/>
    <n v="247.09"/>
    <n v="270.92"/>
    <m/>
    <n v="271.87639484612828"/>
    <n v="242.91497522388124"/>
    <n v="0"/>
    <n v="2029352.8879900002"/>
    <n v="2225068.9401200004"/>
    <n v="0"/>
    <n v="2232923.821511595"/>
    <n v="1995063.3635784641"/>
  </r>
  <r>
    <s v="Refaturamento - Regular"/>
    <x v="6"/>
    <x v="5"/>
    <x v="4"/>
    <x v="0"/>
    <x v="0"/>
    <x v="0"/>
    <x v="2"/>
    <x v="4"/>
    <n v="0"/>
    <n v="0"/>
    <n v="19.582000000000001"/>
    <n v="19.582000000000001"/>
    <n v="19.582000000000001"/>
    <n v="19.582000000000001"/>
    <n v="2"/>
    <x v="0"/>
    <n v="0"/>
    <n v="0"/>
    <n v="73"/>
    <n v="116"/>
    <n v="0"/>
    <n v="247.09"/>
    <n v="270.92"/>
    <m/>
    <n v="271.87639484612828"/>
    <n v="242.91497522388124"/>
    <n v="0"/>
    <n v="4838.51638"/>
    <n v="5305.1554400000005"/>
    <n v="0"/>
    <n v="5323.8835638768842"/>
    <n v="4756.7610448340429"/>
  </r>
  <r>
    <s v="Sistema de Compensação"/>
    <x v="6"/>
    <x v="5"/>
    <x v="4"/>
    <x v="0"/>
    <x v="0"/>
    <x v="0"/>
    <x v="2"/>
    <x v="4"/>
    <n v="0"/>
    <n v="0"/>
    <n v="137.01900000000001"/>
    <n v="137.01900000000001"/>
    <n v="137.01900000000001"/>
    <n v="137.01900000000001"/>
    <n v="5"/>
    <x v="0"/>
    <n v="0"/>
    <n v="0"/>
    <n v="73"/>
    <n v="116"/>
    <n v="0"/>
    <n v="247.09"/>
    <n v="270.92"/>
    <m/>
    <n v="271.87639484612828"/>
    <n v="242.91497522388124"/>
    <n v="0"/>
    <n v="33856.024710000005"/>
    <n v="37121.187480000001"/>
    <n v="0"/>
    <n v="37252.231745421654"/>
    <n v="33283.966990200985"/>
  </r>
  <r>
    <s v="Regular"/>
    <x v="6"/>
    <x v="5"/>
    <x v="4"/>
    <x v="0"/>
    <x v="0"/>
    <x v="0"/>
    <x v="2"/>
    <x v="5"/>
    <n v="0"/>
    <n v="0"/>
    <n v="8489.2900000000009"/>
    <n v="8489.2900000000009"/>
    <n v="8489.2900000000009"/>
    <n v="8489.2900000000009"/>
    <n v="5587"/>
    <x v="0"/>
    <n v="0"/>
    <n v="0"/>
    <n v="73"/>
    <n v="116"/>
    <n v="0"/>
    <n v="247.09"/>
    <n v="270.92"/>
    <m/>
    <n v="271.87639484612828"/>
    <n v="242.91497522388124"/>
    <n v="0"/>
    <n v="2097618.6661"/>
    <n v="2299918.4468000005"/>
    <n v="0"/>
    <n v="2308037.5600032886"/>
    <n v="2062175.670018343"/>
  </r>
  <r>
    <s v="Refaturamento - Regular"/>
    <x v="6"/>
    <x v="5"/>
    <x v="4"/>
    <x v="0"/>
    <x v="0"/>
    <x v="0"/>
    <x v="2"/>
    <x v="5"/>
    <n v="0"/>
    <n v="0"/>
    <n v="87.82"/>
    <n v="87.82"/>
    <n v="87.82"/>
    <n v="87.82"/>
    <n v="2"/>
    <x v="0"/>
    <n v="0"/>
    <n v="0"/>
    <n v="73"/>
    <n v="116"/>
    <n v="0"/>
    <n v="247.09"/>
    <n v="270.92"/>
    <m/>
    <n v="271.87639484612828"/>
    <n v="242.91497522388124"/>
    <n v="0"/>
    <n v="21699.443799999997"/>
    <n v="23792.1944"/>
    <n v="0"/>
    <n v="23876.184995386982"/>
    <n v="21332.79312416125"/>
  </r>
  <r>
    <s v="Sistema de Compensação"/>
    <x v="6"/>
    <x v="5"/>
    <x v="4"/>
    <x v="0"/>
    <x v="0"/>
    <x v="0"/>
    <x v="2"/>
    <x v="5"/>
    <n v="0"/>
    <n v="0"/>
    <n v="122.855"/>
    <n v="122.855"/>
    <n v="122.855"/>
    <n v="122.855"/>
    <n v="5"/>
    <x v="0"/>
    <n v="0"/>
    <n v="0"/>
    <n v="73"/>
    <n v="116"/>
    <n v="0"/>
    <n v="247.09"/>
    <n v="270.92"/>
    <m/>
    <n v="271.87639484612828"/>
    <n v="242.91497522388124"/>
    <n v="0"/>
    <n v="30356.24195"/>
    <n v="33283.876600000003"/>
    <n v="0"/>
    <n v="33401.374488821093"/>
    <n v="29843.31928112993"/>
  </r>
  <r>
    <s v="Regular"/>
    <x v="6"/>
    <x v="5"/>
    <x v="4"/>
    <x v="0"/>
    <x v="0"/>
    <x v="0"/>
    <x v="2"/>
    <x v="6"/>
    <n v="0"/>
    <n v="0"/>
    <n v="7367.6350000000002"/>
    <n v="7367.6350000000002"/>
    <n v="7367.6350000000002"/>
    <n v="7367.6350000000002"/>
    <n v="5567"/>
    <x v="0"/>
    <n v="0"/>
    <n v="0"/>
    <n v="73"/>
    <n v="116"/>
    <n v="0"/>
    <n v="247.09"/>
    <n v="270.92"/>
    <m/>
    <n v="271.87639484612828"/>
    <n v="242.91497522388124"/>
    <n v="0"/>
    <n v="1820468.93215"/>
    <n v="1996039.6742000002"/>
    <n v="0"/>
    <n v="2003086.0423421543"/>
    <n v="1789708.8734836003"/>
  </r>
  <r>
    <s v="Refaturamento - Regular"/>
    <x v="6"/>
    <x v="5"/>
    <x v="4"/>
    <x v="0"/>
    <x v="0"/>
    <x v="0"/>
    <x v="2"/>
    <x v="6"/>
    <n v="0"/>
    <n v="0"/>
    <n v="38.052999999999997"/>
    <n v="38.052999999999997"/>
    <n v="38.052999999999997"/>
    <n v="38.052999999999997"/>
    <n v="15"/>
    <x v="0"/>
    <n v="0"/>
    <n v="0"/>
    <n v="73"/>
    <n v="116"/>
    <n v="0"/>
    <n v="247.09"/>
    <n v="270.92"/>
    <m/>
    <n v="271.87639484612828"/>
    <n v="242.91497522388124"/>
    <n v="0"/>
    <n v="9402.51577"/>
    <n v="10309.31876"/>
    <n v="0"/>
    <n v="10345.712453079719"/>
    <n v="9243.6435521943531"/>
  </r>
  <r>
    <s v="Sistema de Compensação"/>
    <x v="6"/>
    <x v="5"/>
    <x v="4"/>
    <x v="0"/>
    <x v="0"/>
    <x v="0"/>
    <x v="2"/>
    <x v="6"/>
    <n v="0"/>
    <n v="0"/>
    <n v="29.655999999999999"/>
    <n v="29.655999999999999"/>
    <n v="29.655999999999999"/>
    <n v="29.655999999999999"/>
    <n v="3"/>
    <x v="0"/>
    <n v="0"/>
    <n v="0"/>
    <n v="73"/>
    <n v="116"/>
    <n v="0"/>
    <n v="247.09"/>
    <n v="270.92"/>
    <m/>
    <n v="271.87639484612828"/>
    <n v="242.91497522388124"/>
    <n v="0"/>
    <n v="7327.7010399999999"/>
    <n v="8034.4035199999998"/>
    <n v="0"/>
    <n v="8062.7663655567803"/>
    <n v="7203.8865052394221"/>
  </r>
  <r>
    <s v="Sistema de Compensação"/>
    <x v="6"/>
    <x v="5"/>
    <x v="4"/>
    <x v="0"/>
    <x v="0"/>
    <x v="0"/>
    <x v="2"/>
    <x v="6"/>
    <n v="0"/>
    <n v="0"/>
    <n v="148"/>
    <n v="148"/>
    <n v="148"/>
    <n v="148"/>
    <n v="1"/>
    <x v="0"/>
    <n v="0"/>
    <n v="0"/>
    <n v="73"/>
    <n v="116"/>
    <n v="0"/>
    <n v="247.09"/>
    <n v="270.92"/>
    <m/>
    <n v="271.87639484612828"/>
    <n v="242.91497522388124"/>
    <n v="0"/>
    <n v="36569.32"/>
    <n v="40096.160000000003"/>
    <n v="0"/>
    <n v="40237.706437226982"/>
    <n v="35951.416333134424"/>
  </r>
  <r>
    <s v="Regular"/>
    <x v="6"/>
    <x v="5"/>
    <x v="4"/>
    <x v="0"/>
    <x v="0"/>
    <x v="0"/>
    <x v="2"/>
    <x v="7"/>
    <n v="0"/>
    <n v="0"/>
    <n v="6245.4560000000001"/>
    <n v="6245.4560000000001"/>
    <n v="6245.4560000000001"/>
    <n v="6245.4560000000001"/>
    <n v="5573"/>
    <x v="0"/>
    <n v="0"/>
    <n v="0"/>
    <n v="73"/>
    <n v="116"/>
    <n v="0"/>
    <n v="247.09"/>
    <n v="270.92"/>
    <m/>
    <n v="271.87639484612828"/>
    <n v="242.91497522388124"/>
    <n v="0"/>
    <n v="1543189.7230400001"/>
    <n v="1692018.9395200002"/>
    <n v="0"/>
    <n v="1697992.061450121"/>
    <n v="1517114.7895018405"/>
  </r>
  <r>
    <s v="Refaturamento - Regular"/>
    <x v="6"/>
    <x v="5"/>
    <x v="4"/>
    <x v="0"/>
    <x v="0"/>
    <x v="0"/>
    <x v="2"/>
    <x v="7"/>
    <n v="0"/>
    <n v="0"/>
    <n v="10.532"/>
    <n v="10.532"/>
    <n v="10.532"/>
    <n v="10.532"/>
    <n v="3"/>
    <x v="0"/>
    <n v="0"/>
    <n v="0"/>
    <n v="73"/>
    <n v="116"/>
    <n v="0"/>
    <n v="247.09"/>
    <n v="270.92"/>
    <m/>
    <n v="271.87639484612828"/>
    <n v="242.91497522388124"/>
    <n v="0"/>
    <n v="2602.3518800000002"/>
    <n v="2853.32944"/>
    <n v="0"/>
    <n v="2863.4021905194231"/>
    <n v="2558.3805190579174"/>
  </r>
  <r>
    <s v="Sistema de Compensação"/>
    <x v="6"/>
    <x v="5"/>
    <x v="4"/>
    <x v="0"/>
    <x v="0"/>
    <x v="0"/>
    <x v="2"/>
    <x v="7"/>
    <n v="0"/>
    <n v="0"/>
    <n v="74.325999999999993"/>
    <n v="74.325999999999993"/>
    <n v="74.325999999999993"/>
    <n v="74.325999999999993"/>
    <n v="4"/>
    <x v="0"/>
    <n v="0"/>
    <n v="0"/>
    <n v="73"/>
    <n v="116"/>
    <n v="0"/>
    <n v="247.09"/>
    <n v="270.92"/>
    <m/>
    <n v="271.87639484612828"/>
    <n v="242.91497522388124"/>
    <n v="0"/>
    <n v="18365.211339999998"/>
    <n v="20136.39992"/>
    <n v="0"/>
    <n v="20207.48492333333"/>
    <n v="18054.898448490196"/>
  </r>
  <r>
    <s v="Regular"/>
    <x v="6"/>
    <x v="5"/>
    <x v="4"/>
    <x v="0"/>
    <x v="0"/>
    <x v="0"/>
    <x v="2"/>
    <x v="8"/>
    <n v="0"/>
    <n v="0"/>
    <n v="5249.43"/>
    <n v="5249.43"/>
    <n v="5249.43"/>
    <n v="5249.43"/>
    <n v="5554"/>
    <x v="0"/>
    <n v="0"/>
    <n v="0"/>
    <n v="73"/>
    <n v="116"/>
    <n v="0"/>
    <n v="247.09"/>
    <n v="270.92"/>
    <m/>
    <n v="271.87639484612828"/>
    <n v="242.91497522388124"/>
    <n v="0"/>
    <n v="1297081.6587"/>
    <n v="1422175.5756000001"/>
    <n v="0"/>
    <n v="1427196.1033971112"/>
    <n v="1275165.1583894989"/>
  </r>
  <r>
    <s v="Refaturamento - Regular"/>
    <x v="6"/>
    <x v="5"/>
    <x v="4"/>
    <x v="0"/>
    <x v="0"/>
    <x v="0"/>
    <x v="2"/>
    <x v="8"/>
    <n v="0"/>
    <n v="0"/>
    <n v="16.440000000000001"/>
    <n v="16.440000000000001"/>
    <n v="16.440000000000001"/>
    <n v="16.440000000000001"/>
    <n v="10"/>
    <x v="0"/>
    <n v="0"/>
    <n v="0"/>
    <n v="73"/>
    <n v="116"/>
    <n v="0"/>
    <n v="247.09"/>
    <n v="270.92"/>
    <m/>
    <n v="271.87639484612828"/>
    <n v="242.91497522388124"/>
    <n v="0"/>
    <n v="4062.1596000000004"/>
    <n v="4453.9248000000007"/>
    <n v="0"/>
    <n v="4469.6479312703495"/>
    <n v="3993.522192680608"/>
  </r>
  <r>
    <s v="Sistema de Compensação"/>
    <x v="6"/>
    <x v="5"/>
    <x v="4"/>
    <x v="0"/>
    <x v="0"/>
    <x v="0"/>
    <x v="2"/>
    <x v="8"/>
    <n v="0"/>
    <n v="0"/>
    <n v="70.025000000000006"/>
    <n v="70.025000000000006"/>
    <n v="70.025000000000006"/>
    <n v="70.025000000000006"/>
    <n v="4"/>
    <x v="0"/>
    <n v="0"/>
    <n v="0"/>
    <n v="73"/>
    <n v="116"/>
    <n v="0"/>
    <n v="247.09"/>
    <n v="270.92"/>
    <m/>
    <n v="271.87639484612828"/>
    <n v="242.91497522388124"/>
    <n v="0"/>
    <n v="17302.47725"/>
    <n v="18971.173000000003"/>
    <n v="0"/>
    <n v="19038.144549100136"/>
    <n v="17010.121140052284"/>
  </r>
  <r>
    <s v="Regular"/>
    <x v="6"/>
    <x v="5"/>
    <x v="4"/>
    <x v="0"/>
    <x v="0"/>
    <x v="0"/>
    <x v="2"/>
    <x v="9"/>
    <n v="0"/>
    <n v="0"/>
    <n v="5720.201"/>
    <n v="5720.201"/>
    <n v="5720.201"/>
    <n v="5720.201"/>
    <n v="5536"/>
    <x v="0"/>
    <n v="0"/>
    <n v="0"/>
    <n v="73"/>
    <n v="116"/>
    <n v="0"/>
    <n v="247.09"/>
    <n v="270.92"/>
    <m/>
    <n v="271.87639484612828"/>
    <n v="242.91497522388124"/>
    <n v="0"/>
    <n v="1413404.4650900001"/>
    <n v="1549716.8549200001"/>
    <n v="0"/>
    <n v="1555187.6256752177"/>
    <n v="1389522.4841906207"/>
  </r>
  <r>
    <s v="Refaturamento - Regular"/>
    <x v="6"/>
    <x v="5"/>
    <x v="4"/>
    <x v="0"/>
    <x v="0"/>
    <x v="0"/>
    <x v="2"/>
    <x v="9"/>
    <n v="0"/>
    <n v="0"/>
    <n v="1.9"/>
    <n v="1.9"/>
    <n v="1.9"/>
    <n v="1.9"/>
    <n v="1"/>
    <x v="0"/>
    <n v="0"/>
    <n v="0"/>
    <n v="73"/>
    <n v="116"/>
    <n v="0"/>
    <n v="247.09"/>
    <n v="270.92"/>
    <m/>
    <n v="271.87639484612828"/>
    <n v="242.91497522388124"/>
    <n v="0"/>
    <n v="469.471"/>
    <n v="514.74800000000005"/>
    <n v="0"/>
    <n v="516.56515020764368"/>
    <n v="461.53845292537432"/>
  </r>
  <r>
    <s v="Sistema de Compensação"/>
    <x v="6"/>
    <x v="5"/>
    <x v="4"/>
    <x v="0"/>
    <x v="0"/>
    <x v="0"/>
    <x v="2"/>
    <x v="9"/>
    <n v="0"/>
    <n v="0"/>
    <n v="61.860999999999997"/>
    <n v="61.860999999999997"/>
    <n v="61.860999999999997"/>
    <n v="61.860999999999997"/>
    <n v="5"/>
    <x v="0"/>
    <n v="0"/>
    <n v="0"/>
    <n v="73"/>
    <n v="116"/>
    <n v="0"/>
    <n v="247.09"/>
    <n v="270.92"/>
    <m/>
    <n v="271.87639484612828"/>
    <n v="242.91497522388124"/>
    <n v="0"/>
    <n v="15285.234489999999"/>
    <n v="16759.382119999998"/>
    <n v="0"/>
    <n v="16818.54566157634"/>
    <n v="15026.963282324517"/>
  </r>
  <r>
    <s v="Regular"/>
    <x v="6"/>
    <x v="5"/>
    <x v="4"/>
    <x v="0"/>
    <x v="0"/>
    <x v="0"/>
    <x v="2"/>
    <x v="10"/>
    <n v="0"/>
    <n v="0"/>
    <n v="5865.5519999999997"/>
    <n v="5865.5519999999997"/>
    <n v="5865.5519999999997"/>
    <n v="5865.5519999999997"/>
    <n v="5565"/>
    <x v="0"/>
    <n v="0"/>
    <n v="0"/>
    <n v="73"/>
    <n v="116"/>
    <n v="0"/>
    <n v="247.09"/>
    <n v="270.92"/>
    <m/>
    <n v="271.87639484612828"/>
    <n v="242.91497522388124"/>
    <n v="0"/>
    <n v="1449319.2436799998"/>
    <n v="1589095.3478399999"/>
    <n v="0"/>
    <n v="1594705.1315424973"/>
    <n v="1424830.4187543869"/>
  </r>
  <r>
    <s v="Refaturamento - Regular"/>
    <x v="6"/>
    <x v="5"/>
    <x v="4"/>
    <x v="0"/>
    <x v="0"/>
    <x v="0"/>
    <x v="2"/>
    <x v="10"/>
    <n v="0"/>
    <n v="0"/>
    <n v="15.702"/>
    <n v="15.702"/>
    <n v="15.702"/>
    <n v="15.702"/>
    <n v="3"/>
    <x v="0"/>
    <n v="0"/>
    <n v="0"/>
    <n v="73"/>
    <n v="116"/>
    <n v="0"/>
    <n v="247.09"/>
    <n v="270.92"/>
    <m/>
    <n v="271.87639484612828"/>
    <n v="242.91497522388124"/>
    <n v="0"/>
    <n v="3879.8071800000002"/>
    <n v="4253.9858400000003"/>
    <n v="0"/>
    <n v="4269.0031518739061"/>
    <n v="3814.2509409653831"/>
  </r>
  <r>
    <s v="Sistema de Compensação"/>
    <x v="6"/>
    <x v="5"/>
    <x v="4"/>
    <x v="0"/>
    <x v="0"/>
    <x v="0"/>
    <x v="2"/>
    <x v="10"/>
    <n v="0"/>
    <n v="0"/>
    <n v="69.778000000000006"/>
    <n v="69.778000000000006"/>
    <n v="69.778000000000006"/>
    <n v="69.778000000000006"/>
    <n v="4"/>
    <x v="0"/>
    <n v="0"/>
    <n v="0"/>
    <n v="73"/>
    <n v="116"/>
    <n v="0"/>
    <n v="247.09"/>
    <n v="270.92"/>
    <m/>
    <n v="271.87639484612828"/>
    <n v="242.91497522388124"/>
    <n v="0"/>
    <n v="17241.446020000003"/>
    <n v="18904.255760000004"/>
    <n v="0"/>
    <n v="18970.991079573141"/>
    <n v="16950.121141171985"/>
  </r>
  <r>
    <s v="PROJETADO"/>
    <x v="6"/>
    <x v="5"/>
    <x v="4"/>
    <x v="0"/>
    <x v="0"/>
    <x v="0"/>
    <x v="2"/>
    <x v="11"/>
    <n v="0"/>
    <n v="0"/>
    <n v="5865.5519999999997"/>
    <n v="5865.5519999999997"/>
    <n v="5865.5519999999997"/>
    <n v="5865.5519999999997"/>
    <n v="5565"/>
    <x v="0"/>
    <n v="0"/>
    <n v="0"/>
    <n v="73"/>
    <n v="116"/>
    <n v="0"/>
    <n v="247.09"/>
    <n v="270.92"/>
    <m/>
    <n v="271.87639484612828"/>
    <n v="242.91497522388124"/>
    <n v="0"/>
    <n v="1449319.2436799998"/>
    <n v="1589095.3478399999"/>
    <n v="0"/>
    <n v="1594705.1315424973"/>
    <n v="1424830.4187543869"/>
  </r>
  <r>
    <s v="PROJETADO"/>
    <x v="6"/>
    <x v="5"/>
    <x v="4"/>
    <x v="0"/>
    <x v="0"/>
    <x v="0"/>
    <x v="2"/>
    <x v="11"/>
    <n v="0"/>
    <n v="0"/>
    <n v="15.702"/>
    <n v="15.702"/>
    <n v="15.702"/>
    <n v="15.702"/>
    <n v="3"/>
    <x v="0"/>
    <n v="0"/>
    <n v="0"/>
    <n v="73"/>
    <n v="116"/>
    <n v="0"/>
    <n v="247.09"/>
    <n v="270.92"/>
    <m/>
    <n v="271.87639484612828"/>
    <n v="242.91497522388124"/>
    <n v="0"/>
    <n v="3879.8071800000002"/>
    <n v="4253.9858400000003"/>
    <n v="0"/>
    <n v="4269.0031518739061"/>
    <n v="3814.2509409653831"/>
  </r>
  <r>
    <s v="PROJETADO"/>
    <x v="6"/>
    <x v="5"/>
    <x v="4"/>
    <x v="0"/>
    <x v="0"/>
    <x v="0"/>
    <x v="2"/>
    <x v="11"/>
    <n v="0"/>
    <n v="0"/>
    <n v="69.778000000000006"/>
    <n v="69.778000000000006"/>
    <n v="69.778000000000006"/>
    <n v="69.778000000000006"/>
    <n v="4"/>
    <x v="0"/>
    <n v="0"/>
    <n v="0"/>
    <n v="73"/>
    <n v="116"/>
    <n v="0"/>
    <n v="247.09"/>
    <n v="270.92"/>
    <m/>
    <n v="271.87639484612828"/>
    <n v="242.91497522388124"/>
    <n v="0"/>
    <n v="17241.446020000003"/>
    <n v="18904.255760000004"/>
    <n v="0"/>
    <n v="18970.991079573141"/>
    <n v="16950.121141171985"/>
  </r>
  <r>
    <s v="Regular"/>
    <x v="6"/>
    <x v="5"/>
    <x v="2"/>
    <x v="1"/>
    <x v="0"/>
    <x v="0"/>
    <x v="2"/>
    <x v="0"/>
    <n v="0"/>
    <n v="0"/>
    <n v="912.68499999999995"/>
    <n v="803.16279999999995"/>
    <n v="912.68499999999995"/>
    <n v="803.16279999999995"/>
    <n v="251"/>
    <x v="0"/>
    <n v="0"/>
    <n v="0"/>
    <n v="73"/>
    <n v="116"/>
    <n v="0"/>
    <n v="247.09"/>
    <n v="270.92"/>
    <m/>
    <n v="271.87639484612828"/>
    <n v="242.91497522388124"/>
    <n v="0"/>
    <n v="198453.49625199998"/>
    <n v="217592.86577599999"/>
    <n v="0"/>
    <n v="218361.00653852193"/>
    <n v="195100.27166274306"/>
  </r>
  <r>
    <s v="Refaturamento - Regular"/>
    <x v="6"/>
    <x v="5"/>
    <x v="2"/>
    <x v="1"/>
    <x v="0"/>
    <x v="0"/>
    <x v="2"/>
    <x v="0"/>
    <n v="0"/>
    <n v="0"/>
    <n v="6.5819999999999999"/>
    <n v="5.79216"/>
    <n v="6.5819999999999999"/>
    <n v="5.79216"/>
    <n v="0"/>
    <x v="0"/>
    <n v="0"/>
    <n v="0"/>
    <n v="73"/>
    <n v="116"/>
    <n v="0"/>
    <n v="247.09"/>
    <n v="270.92"/>
    <m/>
    <n v="271.87639484612828"/>
    <n v="242.91497522388124"/>
    <n v="0"/>
    <n v="1431.1848144000001"/>
    <n v="1569.2119872000001"/>
    <n v="0"/>
    <n v="1574.7515791719504"/>
    <n v="1407.002402892756"/>
  </r>
  <r>
    <s v="Regular"/>
    <x v="6"/>
    <x v="5"/>
    <x v="2"/>
    <x v="1"/>
    <x v="0"/>
    <x v="0"/>
    <x v="2"/>
    <x v="1"/>
    <n v="0"/>
    <n v="0"/>
    <n v="988.85699999999997"/>
    <n v="870.19416000000001"/>
    <n v="988.85699999999997"/>
    <n v="870.19416000000001"/>
    <n v="251"/>
    <x v="0"/>
    <n v="0"/>
    <n v="0"/>
    <n v="73"/>
    <n v="116"/>
    <n v="0"/>
    <n v="247.09"/>
    <n v="270.92"/>
    <m/>
    <n v="271.87639484612828"/>
    <n v="242.91497522388124"/>
    <n v="0"/>
    <n v="215016.27499440001"/>
    <n v="235753.00182720003"/>
    <n v="0"/>
    <n v="236585.25103695493"/>
    <n v="211383.19281636615"/>
  </r>
  <r>
    <s v="Regular"/>
    <x v="6"/>
    <x v="5"/>
    <x v="2"/>
    <x v="1"/>
    <x v="0"/>
    <x v="0"/>
    <x v="2"/>
    <x v="2"/>
    <n v="0"/>
    <n v="0"/>
    <n v="862.71799999999996"/>
    <n v="759.19183999999996"/>
    <n v="862.71799999999996"/>
    <n v="759.19183999999996"/>
    <n v="251"/>
    <x v="0"/>
    <n v="0"/>
    <n v="0"/>
    <n v="73"/>
    <n v="116"/>
    <n v="0"/>
    <n v="247.09"/>
    <n v="270.92"/>
    <m/>
    <n v="271.87639484612828"/>
    <n v="242.91497522388124"/>
    <n v="0"/>
    <n v="187588.71174559998"/>
    <n v="205680.25329280001"/>
    <n v="0"/>
    <n v="206406.34045579864"/>
    <n v="184419.0670037728"/>
  </r>
  <r>
    <s v="Regular"/>
    <x v="6"/>
    <x v="5"/>
    <x v="2"/>
    <x v="1"/>
    <x v="0"/>
    <x v="0"/>
    <x v="2"/>
    <x v="3"/>
    <n v="0"/>
    <n v="0"/>
    <n v="899.73299999999995"/>
    <n v="791.76504"/>
    <n v="899.73299999999995"/>
    <n v="791.76504"/>
    <n v="251"/>
    <x v="0"/>
    <n v="0"/>
    <n v="0"/>
    <n v="73"/>
    <n v="116"/>
    <n v="0"/>
    <n v="247.09"/>
    <n v="270.92"/>
    <m/>
    <n v="271.87639484612828"/>
    <n v="242.91497522388124"/>
    <n v="0"/>
    <n v="195637.2237336"/>
    <n v="214504.98463680001"/>
    <n v="0"/>
    <n v="215262.22464040056"/>
    <n v="192331.58507473534"/>
  </r>
  <r>
    <s v="Regular"/>
    <x v="6"/>
    <x v="5"/>
    <x v="2"/>
    <x v="1"/>
    <x v="0"/>
    <x v="0"/>
    <x v="2"/>
    <x v="4"/>
    <n v="0"/>
    <n v="0"/>
    <n v="837.53399999999999"/>
    <n v="737.02991999999995"/>
    <n v="837.53399999999999"/>
    <n v="737.02991999999995"/>
    <n v="251"/>
    <x v="0"/>
    <n v="0"/>
    <n v="0"/>
    <n v="73"/>
    <n v="116"/>
    <n v="0"/>
    <n v="247.09"/>
    <n v="270.92"/>
    <m/>
    <n v="271.87639484612828"/>
    <n v="242.91497522388124"/>
    <n v="0"/>
    <n v="182112.72293279998"/>
    <n v="199676.1459264"/>
    <n v="0"/>
    <n v="200381.03754333031"/>
    <n v="179035.60475605915"/>
  </r>
  <r>
    <s v="Refaturamento - Regular"/>
    <x v="6"/>
    <x v="5"/>
    <x v="2"/>
    <x v="1"/>
    <x v="0"/>
    <x v="0"/>
    <x v="2"/>
    <x v="4"/>
    <n v="0"/>
    <n v="0"/>
    <n v="0.1"/>
    <n v="8.8000000000000009E-2"/>
    <n v="0.1"/>
    <n v="8.8000000000000009E-2"/>
    <n v="0"/>
    <x v="0"/>
    <n v="0"/>
    <n v="0"/>
    <n v="73"/>
    <n v="116"/>
    <n v="0"/>
    <n v="247.09"/>
    <n v="270.92"/>
    <m/>
    <n v="271.87639484612828"/>
    <n v="242.91497522388124"/>
    <n v="0"/>
    <n v="21.743920000000003"/>
    <n v="23.840960000000003"/>
    <n v="0"/>
    <n v="23.925122746459291"/>
    <n v="21.376517819701551"/>
  </r>
  <r>
    <s v="Regular"/>
    <x v="6"/>
    <x v="5"/>
    <x v="2"/>
    <x v="1"/>
    <x v="0"/>
    <x v="0"/>
    <x v="2"/>
    <x v="5"/>
    <n v="0"/>
    <n v="0"/>
    <n v="948.73400000000004"/>
    <n v="834.88592000000006"/>
    <n v="948.73400000000004"/>
    <n v="834.88592000000006"/>
    <n v="252"/>
    <x v="0"/>
    <n v="0"/>
    <n v="0"/>
    <n v="73"/>
    <n v="116"/>
    <n v="0"/>
    <n v="247.09"/>
    <n v="270.92"/>
    <m/>
    <n v="271.87639484612828"/>
    <n v="242.91497522388124"/>
    <n v="0"/>
    <n v="206291.96197280003"/>
    <n v="226187.29344640003"/>
    <n v="0"/>
    <n v="226985.77403739307"/>
    <n v="202806.29257156732"/>
  </r>
  <r>
    <s v="Regular"/>
    <x v="6"/>
    <x v="5"/>
    <x v="2"/>
    <x v="1"/>
    <x v="0"/>
    <x v="0"/>
    <x v="2"/>
    <x v="6"/>
    <n v="0"/>
    <n v="0"/>
    <n v="931.42600000000004"/>
    <n v="819.65488000000005"/>
    <n v="931.42600000000004"/>
    <n v="819.65488000000005"/>
    <n v="251"/>
    <x v="0"/>
    <n v="0"/>
    <n v="0"/>
    <n v="73"/>
    <n v="116"/>
    <n v="0"/>
    <n v="247.09"/>
    <n v="270.92"/>
    <m/>
    <n v="271.87639484612828"/>
    <n v="242.91497522388124"/>
    <n v="0"/>
    <n v="202528.52429920001"/>
    <n v="222060.90008960004"/>
    <n v="0"/>
    <n v="222844.81379243592"/>
    <n v="199106.44486733337"/>
  </r>
  <r>
    <s v="Regular"/>
    <x v="6"/>
    <x v="5"/>
    <x v="2"/>
    <x v="1"/>
    <x v="0"/>
    <x v="0"/>
    <x v="2"/>
    <x v="7"/>
    <n v="0"/>
    <n v="0"/>
    <n v="893.15499999999997"/>
    <n v="785.97640000000001"/>
    <n v="893.15499999999997"/>
    <n v="785.97640000000001"/>
    <n v="251"/>
    <x v="0"/>
    <n v="0"/>
    <n v="0"/>
    <n v="73"/>
    <n v="116"/>
    <n v="0"/>
    <n v="247.09"/>
    <n v="270.92"/>
    <m/>
    <n v="271.87639484612828"/>
    <n v="242.91497522388124"/>
    <n v="0"/>
    <n v="194206.90867599999"/>
    <n v="212936.72628800001"/>
    <n v="0"/>
    <n v="213688.43006613845"/>
    <n v="190925.43773255538"/>
  </r>
  <r>
    <s v="Regular"/>
    <x v="6"/>
    <x v="5"/>
    <x v="2"/>
    <x v="1"/>
    <x v="0"/>
    <x v="0"/>
    <x v="2"/>
    <x v="8"/>
    <n v="0"/>
    <n v="0"/>
    <n v="834.61699999999996"/>
    <n v="734.46295999999995"/>
    <n v="834.61699999999996"/>
    <n v="734.46295999999995"/>
    <n v="257"/>
    <x v="0"/>
    <n v="0"/>
    <n v="0"/>
    <n v="73"/>
    <n v="116"/>
    <n v="0"/>
    <n v="247.09"/>
    <n v="270.92"/>
    <m/>
    <n v="271.87639484612828"/>
    <n v="242.91497522388124"/>
    <n v="0"/>
    <n v="181478.45278639998"/>
    <n v="198980.70512319999"/>
    <n v="0"/>
    <n v="199683.14171281611"/>
    <n v="178412.05173125846"/>
  </r>
  <r>
    <s v="Regular"/>
    <x v="6"/>
    <x v="5"/>
    <x v="2"/>
    <x v="1"/>
    <x v="0"/>
    <x v="0"/>
    <x v="2"/>
    <x v="9"/>
    <n v="0"/>
    <n v="0"/>
    <n v="938.76499999999999"/>
    <n v="826.11320000000001"/>
    <n v="938.76499999999999"/>
    <n v="826.11320000000001"/>
    <n v="258"/>
    <x v="0"/>
    <n v="0"/>
    <n v="0"/>
    <n v="73"/>
    <n v="116"/>
    <n v="0"/>
    <n v="247.09"/>
    <n v="270.92"/>
    <m/>
    <n v="271.87639484612828"/>
    <n v="242.91497522388124"/>
    <n v="0"/>
    <n v="204124.31058799999"/>
    <n v="223810.58814400001"/>
    <n v="0"/>
    <n v="224600.67855079853"/>
    <n v="200675.26751012125"/>
  </r>
  <r>
    <s v="Regular"/>
    <x v="6"/>
    <x v="5"/>
    <x v="2"/>
    <x v="1"/>
    <x v="0"/>
    <x v="0"/>
    <x v="2"/>
    <x v="10"/>
    <n v="0"/>
    <n v="0"/>
    <n v="874.375"/>
    <n v="769.45"/>
    <n v="874.375"/>
    <n v="769.45"/>
    <n v="259"/>
    <x v="0"/>
    <n v="0"/>
    <n v="0"/>
    <n v="73"/>
    <n v="116"/>
    <n v="0"/>
    <n v="247.09"/>
    <n v="270.92"/>
    <m/>
    <n v="271.87639484612828"/>
    <n v="242.91497522388124"/>
    <n v="0"/>
    <n v="190123.40050000002"/>
    <n v="208459.39400000003"/>
    <n v="0"/>
    <n v="209195.29201435341"/>
    <n v="186910.92768601544"/>
  </r>
  <r>
    <s v="Refaturamento - Regular"/>
    <x v="6"/>
    <x v="5"/>
    <x v="2"/>
    <x v="1"/>
    <x v="0"/>
    <x v="0"/>
    <x v="2"/>
    <x v="10"/>
    <n v="0"/>
    <n v="0"/>
    <n v="12.766"/>
    <n v="11.234080000000001"/>
    <n v="12.766"/>
    <n v="11.234080000000001"/>
    <n v="0"/>
    <x v="0"/>
    <n v="0"/>
    <n v="0"/>
    <n v="73"/>
    <n v="116"/>
    <n v="0"/>
    <n v="247.09"/>
    <n v="270.92"/>
    <m/>
    <n v="271.87639484612828"/>
    <n v="242.91497522388124"/>
    <n v="0"/>
    <n v="2775.8288272"/>
    <n v="3043.5369536000003"/>
    <n v="0"/>
    <n v="3054.2811698129931"/>
    <n v="2728.9262648630997"/>
  </r>
  <r>
    <s v="PROJETADO"/>
    <x v="6"/>
    <x v="5"/>
    <x v="2"/>
    <x v="1"/>
    <x v="0"/>
    <x v="0"/>
    <x v="2"/>
    <x v="11"/>
    <n v="0"/>
    <n v="0"/>
    <n v="874.375"/>
    <n v="769.45"/>
    <n v="874.375"/>
    <n v="769.45"/>
    <n v="259"/>
    <x v="0"/>
    <n v="0"/>
    <n v="0"/>
    <n v="73"/>
    <n v="116"/>
    <n v="0"/>
    <n v="247.09"/>
    <n v="270.92"/>
    <m/>
    <n v="271.87639484612828"/>
    <n v="242.91497522388124"/>
    <n v="0"/>
    <n v="190123.40050000002"/>
    <n v="208459.39400000003"/>
    <n v="0"/>
    <n v="209195.29201435341"/>
    <n v="186910.92768601544"/>
  </r>
  <r>
    <s v="PROJETADO"/>
    <x v="6"/>
    <x v="5"/>
    <x v="2"/>
    <x v="1"/>
    <x v="0"/>
    <x v="0"/>
    <x v="2"/>
    <x v="11"/>
    <n v="0"/>
    <n v="0"/>
    <n v="12.766"/>
    <n v="11.234080000000001"/>
    <n v="12.766"/>
    <n v="11.234080000000001"/>
    <n v="0"/>
    <x v="0"/>
    <n v="0"/>
    <n v="0"/>
    <n v="73"/>
    <n v="116"/>
    <n v="0"/>
    <n v="247.09"/>
    <n v="270.92"/>
    <m/>
    <n v="271.87639484612828"/>
    <n v="242.91497522388124"/>
    <n v="0"/>
    <n v="2775.8288272"/>
    <n v="3043.5369536000003"/>
    <n v="0"/>
    <n v="3054.2811698129931"/>
    <n v="2728.9262648630997"/>
  </r>
  <r>
    <s v="Regular"/>
    <x v="7"/>
    <x v="5"/>
    <x v="8"/>
    <x v="9"/>
    <x v="0"/>
    <x v="0"/>
    <x v="2"/>
    <x v="0"/>
    <n v="0"/>
    <n v="0"/>
    <n v="0.2"/>
    <n v="0.2"/>
    <n v="0.2"/>
    <n v="0.2"/>
    <n v="23"/>
    <x v="0"/>
    <n v="0"/>
    <n v="0"/>
    <n v="75"/>
    <n v="118"/>
    <n v="0"/>
    <n v="135.9"/>
    <n v="149.01"/>
    <m/>
    <n v="149.53201716537055"/>
    <n v="133.60323637313473"/>
    <n v="0"/>
    <n v="27.180000000000003"/>
    <n v="29.802"/>
    <n v="0"/>
    <n v="29.906403433074111"/>
    <n v="26.720647274626948"/>
  </r>
  <r>
    <s v="Refaturamento - Regular"/>
    <x v="7"/>
    <x v="5"/>
    <x v="8"/>
    <x v="9"/>
    <x v="0"/>
    <x v="0"/>
    <x v="2"/>
    <x v="0"/>
    <n v="0"/>
    <n v="0"/>
    <n v="35479.078999999998"/>
    <n v="35479.078999999998"/>
    <n v="35479.078999999998"/>
    <n v="35479.078999999998"/>
    <n v="0"/>
    <x v="0"/>
    <n v="0"/>
    <n v="0"/>
    <n v="75"/>
    <n v="118"/>
    <n v="0"/>
    <n v="135.9"/>
    <n v="149.01"/>
    <m/>
    <n v="149.53201716537055"/>
    <n v="133.60323637313473"/>
    <n v="0"/>
    <n v="4821606.8361"/>
    <n v="5286737.5617899997"/>
    <n v="0"/>
    <n v="5305258.2500395374"/>
    <n v="4740119.7779381201"/>
  </r>
  <r>
    <s v="Refaturamento - Regular"/>
    <x v="7"/>
    <x v="5"/>
    <x v="8"/>
    <x v="9"/>
    <x v="0"/>
    <x v="0"/>
    <x v="2"/>
    <x v="1"/>
    <n v="0"/>
    <n v="0"/>
    <n v="32795.887000000002"/>
    <n v="32795.887000000002"/>
    <n v="32795.887000000002"/>
    <n v="32795.887000000002"/>
    <n v="0"/>
    <x v="0"/>
    <n v="0"/>
    <n v="0"/>
    <n v="75"/>
    <n v="118"/>
    <n v="0"/>
    <n v="135.9"/>
    <n v="149.01"/>
    <m/>
    <n v="149.53201716537055"/>
    <n v="133.60323637313473"/>
    <n v="0"/>
    <n v="4456961.043300001"/>
    <n v="4886915.1218699999"/>
    <n v="0"/>
    <n v="4904035.1378375534"/>
    <n v="4381636.6429276168"/>
  </r>
  <r>
    <s v="Regular"/>
    <x v="7"/>
    <x v="5"/>
    <x v="8"/>
    <x v="9"/>
    <x v="0"/>
    <x v="0"/>
    <x v="2"/>
    <x v="2"/>
    <n v="0"/>
    <n v="0"/>
    <n v="35662.417000000001"/>
    <n v="35662.417000000001"/>
    <n v="35662.417000000001"/>
    <n v="35662.417000000001"/>
    <n v="23"/>
    <x v="0"/>
    <n v="0"/>
    <n v="0"/>
    <n v="75"/>
    <n v="118"/>
    <n v="0"/>
    <n v="135.9"/>
    <n v="149.01"/>
    <m/>
    <n v="149.53201716537055"/>
    <n v="133.60323637313473"/>
    <n v="0"/>
    <n v="4846522.4703000002"/>
    <n v="5314056.7571700001"/>
    <n v="0"/>
    <n v="5332673.1510026027"/>
    <n v="4764614.3280882984"/>
  </r>
  <r>
    <s v="Regular"/>
    <x v="7"/>
    <x v="5"/>
    <x v="8"/>
    <x v="9"/>
    <x v="0"/>
    <x v="0"/>
    <x v="2"/>
    <x v="3"/>
    <n v="0"/>
    <n v="0"/>
    <n v="35556.023000000001"/>
    <n v="35556.023000000001"/>
    <n v="35556.023000000001"/>
    <n v="35556.023000000001"/>
    <n v="23"/>
    <x v="0"/>
    <n v="0"/>
    <n v="0"/>
    <n v="75"/>
    <n v="118"/>
    <n v="0"/>
    <n v="135.9"/>
    <n v="149.01"/>
    <m/>
    <n v="149.53201716537055"/>
    <n v="133.60323637313473"/>
    <n v="0"/>
    <n v="4832063.5257000001"/>
    <n v="5298202.9872300001"/>
    <n v="0"/>
    <n v="5316763.8415683098"/>
    <n v="4750399.7453576149"/>
  </r>
  <r>
    <s v="Regular"/>
    <x v="7"/>
    <x v="5"/>
    <x v="8"/>
    <x v="9"/>
    <x v="0"/>
    <x v="0"/>
    <x v="2"/>
    <x v="4"/>
    <n v="0"/>
    <n v="0"/>
    <n v="33382.014999999999"/>
    <n v="33382.014999999999"/>
    <n v="33382.014999999999"/>
    <n v="33382.014999999999"/>
    <n v="23"/>
    <x v="0"/>
    <n v="0"/>
    <n v="0"/>
    <n v="75"/>
    <n v="118"/>
    <n v="0"/>
    <n v="135.9"/>
    <n v="149.01"/>
    <m/>
    <n v="149.53201716537055"/>
    <n v="133.60323637313473"/>
    <n v="0"/>
    <n v="4536615.8385000005"/>
    <n v="4974254.0551499994"/>
    <n v="0"/>
    <n v="4991680.039994657"/>
    <n v="4459945.2406565296"/>
  </r>
  <r>
    <s v="Regular"/>
    <x v="7"/>
    <x v="5"/>
    <x v="8"/>
    <x v="9"/>
    <x v="0"/>
    <x v="0"/>
    <x v="2"/>
    <x v="5"/>
    <n v="0"/>
    <n v="0"/>
    <n v="35682.139000000003"/>
    <n v="35682.139000000003"/>
    <n v="35682.139000000003"/>
    <n v="35682.139000000003"/>
    <n v="23"/>
    <x v="0"/>
    <n v="0"/>
    <n v="0"/>
    <n v="75"/>
    <n v="118"/>
    <n v="0"/>
    <n v="135.9"/>
    <n v="149.01"/>
    <m/>
    <n v="149.53201716537055"/>
    <n v="133.60323637313473"/>
    <n v="0"/>
    <n v="4849202.6901000002"/>
    <n v="5316995.5323900003"/>
    <n v="0"/>
    <n v="5335622.2214451386"/>
    <n v="4767249.2511160495"/>
  </r>
  <r>
    <s v="Regular"/>
    <x v="7"/>
    <x v="5"/>
    <x v="8"/>
    <x v="9"/>
    <x v="0"/>
    <x v="0"/>
    <x v="2"/>
    <x v="6"/>
    <n v="0"/>
    <n v="0"/>
    <n v="34507.243000000002"/>
    <n v="34507.243000000002"/>
    <n v="34507.243000000002"/>
    <n v="34507.243000000002"/>
    <n v="23"/>
    <x v="0"/>
    <n v="0"/>
    <n v="0"/>
    <n v="75"/>
    <n v="118"/>
    <n v="0"/>
    <n v="135.9"/>
    <n v="149.01"/>
    <m/>
    <n v="149.53201716537055"/>
    <n v="133.60323637313473"/>
    <n v="0"/>
    <n v="4689534.3237000005"/>
    <n v="5141924.2794300001"/>
    <n v="0"/>
    <n v="5159937.6526056128"/>
    <n v="4610279.3431141991"/>
  </r>
  <r>
    <s v="Regular"/>
    <x v="7"/>
    <x v="5"/>
    <x v="8"/>
    <x v="9"/>
    <x v="0"/>
    <x v="0"/>
    <x v="2"/>
    <x v="7"/>
    <n v="0"/>
    <n v="0"/>
    <n v="35057.739000000001"/>
    <n v="35057.739000000001"/>
    <n v="35057.739000000001"/>
    <n v="35057.739000000001"/>
    <n v="23"/>
    <x v="0"/>
    <n v="0"/>
    <n v="0"/>
    <n v="75"/>
    <n v="118"/>
    <n v="0"/>
    <n v="135.9"/>
    <n v="149.01"/>
    <m/>
    <n v="149.53201716537055"/>
    <n v="133.60323637313473"/>
    <n v="0"/>
    <n v="4764346.7301000003"/>
    <n v="5223953.6883899998"/>
    <n v="0"/>
    <n v="5242254.4299270809"/>
    <n v="4683827.3903246643"/>
  </r>
  <r>
    <s v="Regular"/>
    <x v="7"/>
    <x v="5"/>
    <x v="8"/>
    <x v="9"/>
    <x v="0"/>
    <x v="0"/>
    <x v="2"/>
    <x v="8"/>
    <n v="0"/>
    <n v="0"/>
    <n v="33965.091"/>
    <n v="33965.091"/>
    <n v="33965.091"/>
    <n v="33965.091"/>
    <n v="23"/>
    <x v="0"/>
    <n v="0"/>
    <n v="0"/>
    <n v="75"/>
    <n v="118"/>
    <n v="0"/>
    <n v="135.9"/>
    <n v="149.01"/>
    <m/>
    <n v="149.53201716537055"/>
    <n v="133.60323637313473"/>
    <n v="0"/>
    <n v="4615855.8668999998"/>
    <n v="5061138.2099099997"/>
    <n v="0"/>
    <n v="5078868.5704353731"/>
    <n v="4537846.0813080315"/>
  </r>
  <r>
    <s v="Regular"/>
    <x v="7"/>
    <x v="5"/>
    <x v="8"/>
    <x v="9"/>
    <x v="0"/>
    <x v="0"/>
    <x v="2"/>
    <x v="9"/>
    <n v="0"/>
    <n v="0"/>
    <n v="33847.563000000002"/>
    <n v="33847.563000000002"/>
    <n v="33847.563000000002"/>
    <n v="33847.563000000002"/>
    <n v="23"/>
    <x v="0"/>
    <n v="0"/>
    <n v="0"/>
    <n v="75"/>
    <n v="118"/>
    <n v="0"/>
    <n v="135.9"/>
    <n v="149.01"/>
    <m/>
    <n v="149.53201716537055"/>
    <n v="133.60323637313473"/>
    <n v="0"/>
    <n v="4599883.8117000004"/>
    <n v="5043625.3626300003"/>
    <n v="0"/>
    <n v="5061294.3715219609"/>
    <n v="4522143.9601435699"/>
  </r>
  <r>
    <s v="Regular"/>
    <x v="7"/>
    <x v="5"/>
    <x v="8"/>
    <x v="9"/>
    <x v="0"/>
    <x v="0"/>
    <x v="2"/>
    <x v="10"/>
    <n v="0"/>
    <n v="0"/>
    <n v="1116.1610000000001"/>
    <n v="1116.1610000000001"/>
    <n v="1116.1610000000001"/>
    <n v="1116.1610000000001"/>
    <n v="23"/>
    <x v="0"/>
    <n v="0"/>
    <n v="0"/>
    <n v="75"/>
    <n v="118"/>
    <n v="0"/>
    <n v="135.9"/>
    <n v="149.01"/>
    <m/>
    <n v="149.53201716537055"/>
    <n v="133.60323637313473"/>
    <n v="0"/>
    <n v="151686.27990000002"/>
    <n v="166319.15061000001"/>
    <n v="0"/>
    <n v="166901.80581131717"/>
    <n v="149122.72191347444"/>
  </r>
  <r>
    <s v="Refaturamento - Regular"/>
    <x v="7"/>
    <x v="5"/>
    <x v="8"/>
    <x v="9"/>
    <x v="0"/>
    <x v="0"/>
    <x v="2"/>
    <x v="10"/>
    <n v="0"/>
    <n v="0"/>
    <n v="34975.610999999997"/>
    <n v="34975.610999999997"/>
    <n v="34975.610999999997"/>
    <n v="34975.610999999997"/>
    <n v="0"/>
    <x v="0"/>
    <n v="0"/>
    <n v="0"/>
    <n v="75"/>
    <n v="118"/>
    <n v="0"/>
    <n v="135.9"/>
    <n v="149.01"/>
    <m/>
    <n v="149.53201716537055"/>
    <n v="133.60323637313473"/>
    <n v="0"/>
    <n v="4753185.5348999994"/>
    <n v="5211715.7951099994"/>
    <n v="0"/>
    <n v="5229973.6644213228"/>
    <n v="4672854.8237278108"/>
  </r>
  <r>
    <s v="PROJETADO"/>
    <x v="7"/>
    <x v="5"/>
    <x v="8"/>
    <x v="9"/>
    <x v="0"/>
    <x v="0"/>
    <x v="2"/>
    <x v="11"/>
    <n v="0"/>
    <n v="0"/>
    <n v="1116.1610000000001"/>
    <n v="1116.1610000000001"/>
    <n v="1116.1610000000001"/>
    <n v="1116.1610000000001"/>
    <n v="23"/>
    <x v="0"/>
    <n v="0"/>
    <n v="0"/>
    <n v="75"/>
    <n v="118"/>
    <n v="0"/>
    <n v="135.9"/>
    <n v="149.01"/>
    <m/>
    <n v="149.53201716537055"/>
    <n v="133.60323637313473"/>
    <n v="0"/>
    <n v="151686.27990000002"/>
    <n v="166319.15061000001"/>
    <n v="0"/>
    <n v="166901.80581131717"/>
    <n v="149122.72191347444"/>
  </r>
  <r>
    <s v="PROJETADO"/>
    <x v="7"/>
    <x v="5"/>
    <x v="8"/>
    <x v="9"/>
    <x v="0"/>
    <x v="0"/>
    <x v="2"/>
    <x v="11"/>
    <n v="0"/>
    <n v="0"/>
    <n v="34975.610999999997"/>
    <n v="34975.610999999997"/>
    <n v="34975.610999999997"/>
    <n v="34975.610999999997"/>
    <n v="0"/>
    <x v="0"/>
    <n v="0"/>
    <n v="0"/>
    <n v="75"/>
    <n v="118"/>
    <n v="0"/>
    <n v="135.9"/>
    <n v="149.01"/>
    <m/>
    <n v="149.53201716537055"/>
    <n v="133.60323637313473"/>
    <n v="0"/>
    <n v="4753185.5348999994"/>
    <n v="5211715.7951099994"/>
    <n v="0"/>
    <n v="5229973.6644213228"/>
    <n v="4672854.823727810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2">
  <r>
    <s v="Regular"/>
    <x v="0"/>
    <x v="0"/>
    <x v="0"/>
    <x v="0"/>
    <x v="0"/>
    <x v="0"/>
    <x v="0"/>
    <x v="0"/>
    <n v="18850"/>
    <n v="16022.5"/>
    <n v="8505.9789999999994"/>
    <n v="7485.2615199999991"/>
    <n v="8505.9789999999994"/>
    <n v="7485.2615199999991"/>
    <n v="0"/>
    <s v="CATIVO"/>
    <n v="0"/>
    <n v="2"/>
    <n v="3"/>
    <n v="78"/>
    <n v="5.4"/>
    <n v="62.65"/>
    <n v="256.38"/>
    <n v="8.2823716907665279"/>
    <n v="64.02247976433641"/>
    <n v="230.84299908458948"/>
    <n v="15268.500000000002"/>
    <n v="325639.49764440011"/>
    <n v="23418.405955642356"/>
    <n v="300974.34850966901"/>
    <x v="0"/>
  </r>
  <r>
    <s v="Regular"/>
    <x v="0"/>
    <x v="0"/>
    <x v="0"/>
    <x v="0"/>
    <x v="0"/>
    <x v="0"/>
    <x v="0"/>
    <x v="1"/>
    <n v="18850"/>
    <n v="16022.5"/>
    <n v="8596.7639999999992"/>
    <n v="7565.1523199999992"/>
    <n v="8596.7639999999992"/>
    <n v="7565.1523199999992"/>
    <n v="0"/>
    <s v="CATIVO"/>
    <n v="0"/>
    <n v="2"/>
    <n v="3"/>
    <n v="78"/>
    <n v="5.4"/>
    <n v="62.65"/>
    <n v="256.38"/>
    <n v="8.2823716907665279"/>
    <n v="64.02247976433641"/>
    <n v="230.84299908458948"/>
    <n v="15268.500000000002"/>
    <n v="329115.07427039999"/>
    <n v="23418.405955642356"/>
    <n v="304186.67200934491"/>
    <x v="0"/>
  </r>
  <r>
    <s v="Regular"/>
    <x v="0"/>
    <x v="0"/>
    <x v="0"/>
    <x v="0"/>
    <x v="0"/>
    <x v="0"/>
    <x v="0"/>
    <x v="2"/>
    <n v="18850"/>
    <n v="16022.5"/>
    <n v="8015.4359999999997"/>
    <n v="7053.5836799999997"/>
    <n v="8015.4359999999997"/>
    <n v="7053.5836799999997"/>
    <n v="0"/>
    <s v="CATIVO"/>
    <n v="0"/>
    <n v="2"/>
    <n v="3"/>
    <n v="78"/>
    <n v="5.4"/>
    <n v="62.65"/>
    <n v="256.38"/>
    <n v="8.2823716907665279"/>
    <n v="64.02247976433641"/>
    <n v="230.84299908458948"/>
    <n v="15268.500000000002"/>
    <n v="306859.74564959999"/>
    <n v="23418.405955642356"/>
    <n v="283617.0449187503"/>
    <x v="0"/>
  </r>
  <r>
    <s v="Regular"/>
    <x v="0"/>
    <x v="0"/>
    <x v="0"/>
    <x v="0"/>
    <x v="0"/>
    <x v="0"/>
    <x v="0"/>
    <x v="3"/>
    <n v="18850"/>
    <n v="16022.5"/>
    <n v="8228.0519999999997"/>
    <n v="7240.6857599999994"/>
    <n v="8228.0519999999997"/>
    <n v="7240.6857599999994"/>
    <n v="0"/>
    <s v="CATIVO"/>
    <n v="0"/>
    <n v="2"/>
    <n v="3"/>
    <n v="78"/>
    <n v="5.4"/>
    <n v="62.65"/>
    <n v="256.38"/>
    <n v="8.2823716907665279"/>
    <n v="64.02247976433641"/>
    <n v="230.84299908458948"/>
    <n v="15268.500000000002"/>
    <n v="314999.45154720009"/>
    <n v="23418.405955642356"/>
    <n v="291140.21915686358"/>
    <x v="0"/>
  </r>
  <r>
    <s v="Regular"/>
    <x v="0"/>
    <x v="0"/>
    <x v="0"/>
    <x v="0"/>
    <x v="0"/>
    <x v="0"/>
    <x v="0"/>
    <x v="4"/>
    <n v="18850"/>
    <n v="16022.5"/>
    <n v="8347.3130000000001"/>
    <n v="7345.63544"/>
    <n v="8347.3130000000001"/>
    <n v="7345.63544"/>
    <n v="0"/>
    <s v="CATIVO"/>
    <n v="0"/>
    <n v="2"/>
    <n v="3"/>
    <n v="78"/>
    <n v="5.4"/>
    <n v="62.65"/>
    <n v="256.38"/>
    <n v="8.2823716907665279"/>
    <n v="64.02247976433641"/>
    <n v="230.84299908458948"/>
    <n v="15268.500000000002"/>
    <n v="319565.19196680002"/>
    <n v="23418.405955642356"/>
    <n v="295360.13338162372"/>
    <x v="0"/>
  </r>
  <r>
    <s v="Regular"/>
    <x v="0"/>
    <x v="0"/>
    <x v="0"/>
    <x v="0"/>
    <x v="0"/>
    <x v="0"/>
    <x v="0"/>
    <x v="5"/>
    <n v="18850"/>
    <n v="16022.5"/>
    <n v="7813.8"/>
    <n v="6876.1440000000002"/>
    <n v="7813.8"/>
    <n v="6876.1440000000002"/>
    <n v="0"/>
    <s v="CATIVO"/>
    <n v="0"/>
    <n v="2"/>
    <n v="3"/>
    <n v="78"/>
    <n v="5.4"/>
    <n v="62.65"/>
    <n v="256.38"/>
    <n v="8.2823716907665279"/>
    <n v="64.02247976433641"/>
    <n v="230.84299908458948"/>
    <n v="15268.500000000002"/>
    <n v="299140.39367999998"/>
    <n v="23418.405955642356"/>
    <n v="276482.3854355684"/>
    <x v="0"/>
  </r>
  <r>
    <s v="Regular"/>
    <x v="0"/>
    <x v="0"/>
    <x v="0"/>
    <x v="0"/>
    <x v="0"/>
    <x v="0"/>
    <x v="0"/>
    <x v="6"/>
    <n v="18850"/>
    <n v="16022.5"/>
    <n v="8628.2279999999992"/>
    <n v="7592.8406399999994"/>
    <n v="8628.2279999999992"/>
    <n v="7592.8406399999994"/>
    <n v="0"/>
    <s v="CATIVO"/>
    <n v="0"/>
    <n v="2"/>
    <n v="3"/>
    <n v="78"/>
    <n v="5.4"/>
    <n v="62.65"/>
    <n v="256.38"/>
    <n v="8.2823716907665279"/>
    <n v="64.02247976433641"/>
    <n v="230.84299908458948"/>
    <n v="15268.500000000002"/>
    <n v="330319.62946079986"/>
    <n v="23418.405955642356"/>
    <n v="305299.98970052513"/>
    <x v="0"/>
  </r>
  <r>
    <s v="Regular"/>
    <x v="0"/>
    <x v="0"/>
    <x v="0"/>
    <x v="0"/>
    <x v="0"/>
    <x v="0"/>
    <x v="0"/>
    <x v="7"/>
    <n v="18850"/>
    <n v="16022.5"/>
    <n v="8050.3339999999998"/>
    <n v="7084.2939200000001"/>
    <n v="8050.3339999999998"/>
    <n v="7084.2939200000001"/>
    <n v="0"/>
    <s v="CATIVO"/>
    <n v="0"/>
    <n v="2"/>
    <n v="3"/>
    <n v="78"/>
    <n v="5.4"/>
    <n v="62.65"/>
    <n v="256.38"/>
    <n v="8.2823716907665279"/>
    <n v="64.02247976433641"/>
    <n v="230.84299908458948"/>
    <n v="15268.500000000002"/>
    <n v="308195.76672239992"/>
    <n v="23418.405955642356"/>
    <n v="284851.87077645463"/>
    <x v="0"/>
  </r>
  <r>
    <s v="Regular"/>
    <x v="0"/>
    <x v="0"/>
    <x v="0"/>
    <x v="0"/>
    <x v="0"/>
    <x v="0"/>
    <x v="0"/>
    <x v="8"/>
    <n v="18850"/>
    <n v="16022.5"/>
    <n v="8458.0339999999997"/>
    <n v="7443.0699199999999"/>
    <n v="8458.0339999999997"/>
    <n v="7443.0699199999999"/>
    <n v="0"/>
    <s v="CATIVO"/>
    <n v="0"/>
    <n v="2"/>
    <n v="3"/>
    <n v="78"/>
    <n v="5.4"/>
    <n v="62.65"/>
    <n v="256.38"/>
    <n v="8.2823716907665279"/>
    <n v="64.02247976433641"/>
    <n v="230.84299908458948"/>
    <n v="15268.500000000002"/>
    <n v="323803.99044239993"/>
    <n v="23418.405955642356"/>
    <n v="299277.86946365947"/>
    <x v="0"/>
  </r>
  <r>
    <s v="Regular"/>
    <x v="0"/>
    <x v="0"/>
    <x v="0"/>
    <x v="0"/>
    <x v="0"/>
    <x v="0"/>
    <x v="0"/>
    <x v="9"/>
    <n v="18850"/>
    <n v="16022.5"/>
    <n v="8418.7369999999992"/>
    <n v="7408.4885599999989"/>
    <n v="8418.7369999999992"/>
    <n v="7408.4885599999989"/>
    <n v="0"/>
    <s v="CATIVO"/>
    <n v="0"/>
    <n v="2"/>
    <n v="3"/>
    <n v="78"/>
    <n v="5.4"/>
    <n v="62.65"/>
    <n v="256.38"/>
    <n v="8.2823716907665279"/>
    <n v="64.02247976433641"/>
    <n v="230.84299908458948"/>
    <n v="15268.500000000002"/>
    <n v="322299.55981320009"/>
    <n v="23418.405955642356"/>
    <n v="297887.39001698047"/>
    <x v="0"/>
  </r>
  <r>
    <s v="Regular"/>
    <x v="0"/>
    <x v="0"/>
    <x v="0"/>
    <x v="0"/>
    <x v="0"/>
    <x v="0"/>
    <x v="0"/>
    <x v="10"/>
    <n v="18850"/>
    <n v="16022.5"/>
    <n v="8998.4449999999997"/>
    <n v="7918.6315999999997"/>
    <n v="8998.4449999999997"/>
    <n v="7918.6315999999997"/>
    <n v="0"/>
    <s v="CATIVO"/>
    <n v="0"/>
    <n v="2"/>
    <n v="3"/>
    <n v="78"/>
    <n v="5.4"/>
    <n v="62.65"/>
    <n v="256.38"/>
    <n v="8.2823716907665279"/>
    <n v="64.02247976433641"/>
    <n v="230.84299908458948"/>
    <n v="15268.500000000002"/>
    <n v="344492.86900199996"/>
    <n v="23418.405955642356"/>
    <n v="318399.69525848678"/>
    <x v="0"/>
  </r>
  <r>
    <s v="PROJETADO"/>
    <x v="0"/>
    <x v="0"/>
    <x v="0"/>
    <x v="0"/>
    <x v="0"/>
    <x v="0"/>
    <x v="0"/>
    <x v="11"/>
    <n v="18850"/>
    <n v="16022.5"/>
    <n v="8998.4449999999997"/>
    <n v="7918.6315999999997"/>
    <n v="8998.4449999999997"/>
    <n v="7918.6315999999997"/>
    <n v="0"/>
    <s v="CATIVO"/>
    <n v="0"/>
    <n v="2"/>
    <n v="3"/>
    <n v="78"/>
    <n v="5.4"/>
    <n v="62.65"/>
    <n v="256.38"/>
    <n v="8.2823716907665279"/>
    <n v="64.02247976433641"/>
    <n v="230.84299908458948"/>
    <n v="15268.500000000002"/>
    <n v="344492.86900199996"/>
    <n v="23418.405955642356"/>
    <n v="318399.69525848678"/>
    <x v="0"/>
  </r>
  <r>
    <s v="Regular"/>
    <x v="0"/>
    <x v="0"/>
    <x v="0"/>
    <x v="0"/>
    <x v="0"/>
    <x v="0"/>
    <x v="1"/>
    <x v="0"/>
    <n v="8035"/>
    <n v="6829.75"/>
    <n v="522.92200000000003"/>
    <n v="460.17136000000005"/>
    <n v="522.92200000000003"/>
    <n v="460.17136000000005"/>
    <n v="0"/>
    <s v="CATIVO"/>
    <n v="0"/>
    <n v="1"/>
    <n v="3"/>
    <n v="77"/>
    <n v="9.4700000000000006"/>
    <n v="62.65"/>
    <n v="430.87"/>
    <n v="13.276513797445094"/>
    <n v="64.02247976433641"/>
    <n v="375.70671275609089"/>
    <n v="11413.717500000001"/>
    <n v="30968.695852799989"/>
    <n v="16001.5182543707"/>
    <n v="27593.288257340017"/>
    <x v="0"/>
  </r>
  <r>
    <s v="Regular"/>
    <x v="0"/>
    <x v="0"/>
    <x v="0"/>
    <x v="0"/>
    <x v="0"/>
    <x v="0"/>
    <x v="1"/>
    <x v="1"/>
    <n v="8006"/>
    <n v="6805.0999999999995"/>
    <n v="501.50900000000001"/>
    <n v="441.32792000000001"/>
    <n v="501.50900000000001"/>
    <n v="441.32792000000001"/>
    <n v="0"/>
    <s v="CATIVO"/>
    <n v="0"/>
    <n v="1"/>
    <n v="3"/>
    <n v="77"/>
    <n v="9.4700000000000006"/>
    <n v="62.65"/>
    <n v="430.87"/>
    <n v="13.276513797445094"/>
    <n v="64.02247976433641"/>
    <n v="375.70671275609089"/>
    <n v="11372.523000000007"/>
    <n v="29700.566601600003"/>
    <n v="15943.765419351821"/>
    <n v="26463.377713407244"/>
    <x v="0"/>
  </r>
  <r>
    <s v="Regular"/>
    <x v="0"/>
    <x v="0"/>
    <x v="0"/>
    <x v="0"/>
    <x v="0"/>
    <x v="0"/>
    <x v="1"/>
    <x v="2"/>
    <n v="8035"/>
    <n v="6829.75"/>
    <n v="498.63600000000002"/>
    <n v="438.79968000000002"/>
    <n v="498.63600000000002"/>
    <n v="438.79968000000002"/>
    <n v="0"/>
    <s v="CATIVO"/>
    <n v="0"/>
    <n v="1"/>
    <n v="3"/>
    <n v="77"/>
    <n v="9.4700000000000006"/>
    <n v="62.65"/>
    <n v="430.87"/>
    <n v="13.276513797445094"/>
    <n v="64.02247976433641"/>
    <n v="375.70671275609089"/>
    <n v="11413.717500000001"/>
    <n v="29530.420646400002"/>
    <n v="16001.5182543707"/>
    <n v="26311.776676993897"/>
    <x v="0"/>
  </r>
  <r>
    <s v="Regular"/>
    <x v="0"/>
    <x v="0"/>
    <x v="0"/>
    <x v="0"/>
    <x v="0"/>
    <x v="0"/>
    <x v="1"/>
    <x v="3"/>
    <n v="8035"/>
    <n v="6829.75"/>
    <n v="474.12700000000001"/>
    <n v="417.23176000000001"/>
    <n v="474.12700000000001"/>
    <n v="417.23176000000001"/>
    <n v="0"/>
    <s v="CATIVO"/>
    <n v="0"/>
    <n v="1"/>
    <n v="3"/>
    <n v="77"/>
    <n v="9.4700000000000006"/>
    <n v="62.65"/>
    <n v="430.87"/>
    <n v="13.276513797445094"/>
    <n v="64.02247976433641"/>
    <n v="375.70671275609089"/>
    <n v="11413.717500000001"/>
    <n v="28078.938844800003"/>
    <n v="16001.5182543707"/>
    <n v="25018.497943455917"/>
    <x v="0"/>
  </r>
  <r>
    <s v="Regular"/>
    <x v="0"/>
    <x v="0"/>
    <x v="0"/>
    <x v="0"/>
    <x v="0"/>
    <x v="0"/>
    <x v="1"/>
    <x v="4"/>
    <n v="8006"/>
    <n v="6805.0999999999995"/>
    <n v="525.01"/>
    <n v="462.00880000000001"/>
    <n v="525.01"/>
    <n v="462.00880000000001"/>
    <n v="0"/>
    <s v="CATIVO"/>
    <n v="0"/>
    <n v="1"/>
    <n v="3"/>
    <n v="77"/>
    <n v="9.4700000000000006"/>
    <n v="62.65"/>
    <n v="430.87"/>
    <n v="13.276513797445094"/>
    <n v="64.02247976433641"/>
    <n v="375.70671275609089"/>
    <n v="11372.523000000007"/>
    <n v="31092.352223999995"/>
    <n v="15943.765419351821"/>
    <n v="27703.466803817937"/>
    <x v="0"/>
  </r>
  <r>
    <s v="Regular"/>
    <x v="0"/>
    <x v="0"/>
    <x v="0"/>
    <x v="0"/>
    <x v="0"/>
    <x v="0"/>
    <x v="1"/>
    <x v="5"/>
    <n v="8006"/>
    <n v="6805.0999999999995"/>
    <n v="476.863"/>
    <n v="419.63943999999998"/>
    <n v="476.863"/>
    <n v="419.63943999999998"/>
    <n v="0"/>
    <s v="CATIVO"/>
    <n v="0"/>
    <n v="1"/>
    <n v="3"/>
    <n v="77"/>
    <n v="9.4700000000000006"/>
    <n v="62.65"/>
    <n v="430.87"/>
    <n v="13.276513797445094"/>
    <n v="64.02247976433641"/>
    <n v="375.70671275609089"/>
    <n v="11372.523000000007"/>
    <n v="28240.971331200009"/>
    <n v="15943.765419351821"/>
    <n v="25162.869831944234"/>
    <x v="0"/>
  </r>
  <r>
    <s v="Regular"/>
    <x v="0"/>
    <x v="0"/>
    <x v="0"/>
    <x v="0"/>
    <x v="0"/>
    <x v="0"/>
    <x v="1"/>
    <x v="6"/>
    <n v="8006"/>
    <n v="6805.0999999999995"/>
    <n v="501.44400000000002"/>
    <n v="441.27072000000004"/>
    <n v="501.44400000000002"/>
    <n v="441.27072000000004"/>
    <n v="0"/>
    <s v="CATIVO"/>
    <n v="0"/>
    <n v="1"/>
    <n v="3"/>
    <n v="77"/>
    <n v="9.4700000000000006"/>
    <n v="62.65"/>
    <n v="430.87"/>
    <n v="13.276513797445094"/>
    <n v="64.02247976433641"/>
    <n v="375.70671275609089"/>
    <n v="11372.523000000007"/>
    <n v="29696.717145599989"/>
    <n v="15943.765419351821"/>
    <n v="26459.947825705567"/>
    <x v="0"/>
  </r>
  <r>
    <s v="Regular"/>
    <x v="0"/>
    <x v="0"/>
    <x v="0"/>
    <x v="0"/>
    <x v="0"/>
    <x v="0"/>
    <x v="1"/>
    <x v="7"/>
    <n v="8006"/>
    <n v="6805.0999999999995"/>
    <n v="453.55700000000002"/>
    <n v="399.13015999999999"/>
    <n v="453.55700000000002"/>
    <n v="399.13015999999999"/>
    <n v="0"/>
    <s v="CATIVO"/>
    <n v="0"/>
    <n v="1"/>
    <n v="3"/>
    <n v="77"/>
    <n v="9.4700000000000006"/>
    <n v="62.65"/>
    <n v="430.87"/>
    <n v="13.276513797445094"/>
    <n v="64.02247976433641"/>
    <n v="375.70671275609089"/>
    <n v="11372.523000000007"/>
    <n v="26860.73407680001"/>
    <n v="15943.765419351821"/>
    <n v="23933.070404638507"/>
    <x v="0"/>
  </r>
  <r>
    <s v="Regular"/>
    <x v="0"/>
    <x v="0"/>
    <x v="0"/>
    <x v="0"/>
    <x v="0"/>
    <x v="0"/>
    <x v="1"/>
    <x v="8"/>
    <n v="8000"/>
    <n v="6800"/>
    <n v="524.23900000000003"/>
    <n v="461.33032000000003"/>
    <n v="524.23900000000003"/>
    <n v="461.33032000000003"/>
    <n v="0"/>
    <s v="CATIVO"/>
    <n v="0"/>
    <n v="1"/>
    <n v="3"/>
    <n v="77"/>
    <n v="9.4700000000000006"/>
    <n v="62.65"/>
    <n v="430.87"/>
    <n v="13.276513797445094"/>
    <n v="64.02247976433641"/>
    <n v="375.70671275609089"/>
    <n v="11364"/>
    <n v="31046.691753600004"/>
    <n v="15931.816556934113"/>
    <n v="27662.783058925957"/>
    <x v="0"/>
  </r>
  <r>
    <s v="Regular"/>
    <x v="0"/>
    <x v="0"/>
    <x v="0"/>
    <x v="0"/>
    <x v="0"/>
    <x v="0"/>
    <x v="1"/>
    <x v="9"/>
    <n v="8006"/>
    <n v="6805.0999999999995"/>
    <n v="499.96100000000001"/>
    <n v="439.96568000000002"/>
    <n v="499.96100000000001"/>
    <n v="439.96568000000002"/>
    <n v="0"/>
    <s v="CATIVO"/>
    <n v="0"/>
    <n v="1"/>
    <n v="3"/>
    <n v="77"/>
    <n v="9.4700000000000006"/>
    <n v="62.65"/>
    <n v="430.87"/>
    <n v="13.276513797445094"/>
    <n v="64.02247976433641"/>
    <n v="375.70671275609089"/>
    <n v="11372.523000000007"/>
    <n v="29608.890326399996"/>
    <n v="15943.765419351821"/>
    <n v="26381.693618604637"/>
    <x v="0"/>
  </r>
  <r>
    <s v="Regular"/>
    <x v="0"/>
    <x v="0"/>
    <x v="0"/>
    <x v="0"/>
    <x v="0"/>
    <x v="0"/>
    <x v="1"/>
    <x v="10"/>
    <n v="8006"/>
    <n v="6805.0999999999995"/>
    <n v="520.99900000000002"/>
    <n v="458.47912000000002"/>
    <n v="520.99900000000002"/>
    <n v="458.47912000000002"/>
    <n v="0"/>
    <s v="CATIVO"/>
    <n v="0"/>
    <n v="1"/>
    <n v="3"/>
    <n v="77"/>
    <n v="9.4700000000000006"/>
    <n v="62.65"/>
    <n v="430.87"/>
    <n v="13.276513797445094"/>
    <n v="64.02247976433641"/>
    <n v="375.70671275609089"/>
    <n v="11372.523000000007"/>
    <n v="30854.811177600001"/>
    <n v="15943.765419351821"/>
    <n v="27491.816348874014"/>
    <x v="0"/>
  </r>
  <r>
    <s v="PROJETADO"/>
    <x v="0"/>
    <x v="0"/>
    <x v="0"/>
    <x v="0"/>
    <x v="0"/>
    <x v="0"/>
    <x v="1"/>
    <x v="11"/>
    <n v="8006"/>
    <n v="6805.0999999999995"/>
    <n v="520.99900000000002"/>
    <n v="458.47912000000002"/>
    <n v="520.99900000000002"/>
    <n v="458.47912000000002"/>
    <n v="0"/>
    <s v="CATIVO"/>
    <n v="0"/>
    <n v="1"/>
    <n v="3"/>
    <n v="77"/>
    <n v="9.4700000000000006"/>
    <n v="62.65"/>
    <n v="430.87"/>
    <n v="13.276513797445094"/>
    <n v="64.02247976433641"/>
    <n v="375.70671275609089"/>
    <n v="11372.523000000007"/>
    <n v="30854.811177600001"/>
    <n v="15943.765419351821"/>
    <n v="27491.816348874014"/>
    <x v="0"/>
  </r>
  <r>
    <s v="Regular"/>
    <x v="0"/>
    <x v="1"/>
    <x v="1"/>
    <x v="1"/>
    <x v="0"/>
    <x v="1"/>
    <x v="2"/>
    <x v="0"/>
    <n v="124500"/>
    <n v="124500"/>
    <n v="0"/>
    <n v="0"/>
    <n v="0"/>
    <n v="0"/>
    <n v="0"/>
    <s v="GERAÇÃO"/>
    <n v="27795"/>
    <n v="8"/>
    <n v="0"/>
    <n v="0"/>
    <n v="3.09"/>
    <n v="0"/>
    <n v="0"/>
    <n v="3.6849092728787887"/>
    <m/>
    <m/>
    <n v="0"/>
    <n v="0"/>
    <n v="0"/>
    <n v="0"/>
    <x v="1"/>
  </r>
  <r>
    <s v="Regular"/>
    <x v="0"/>
    <x v="1"/>
    <x v="1"/>
    <x v="1"/>
    <x v="0"/>
    <x v="2"/>
    <x v="2"/>
    <x v="0"/>
    <n v="86500"/>
    <n v="86500"/>
    <n v="0"/>
    <n v="0"/>
    <n v="0"/>
    <n v="0"/>
    <n v="0"/>
    <s v="GERAÇÃO"/>
    <n v="28352"/>
    <n v="9"/>
    <n v="0"/>
    <n v="0"/>
    <n v="2.71"/>
    <n v="0"/>
    <n v="0"/>
    <n v="3.2397980171553011"/>
    <m/>
    <m/>
    <n v="0"/>
    <n v="0"/>
    <n v="0"/>
    <n v="0"/>
    <x v="1"/>
  </r>
  <r>
    <s v="Regular"/>
    <x v="0"/>
    <x v="1"/>
    <x v="1"/>
    <x v="1"/>
    <x v="0"/>
    <x v="1"/>
    <x v="2"/>
    <x v="1"/>
    <n v="124500"/>
    <n v="124500"/>
    <n v="0"/>
    <n v="0"/>
    <n v="0"/>
    <n v="0"/>
    <n v="0"/>
    <s v="GERAÇÃO"/>
    <n v="27795"/>
    <n v="8"/>
    <n v="0"/>
    <n v="0"/>
    <n v="3.09"/>
    <n v="0"/>
    <n v="0"/>
    <n v="3.6849092728787887"/>
    <m/>
    <m/>
    <n v="0"/>
    <n v="0"/>
    <n v="0"/>
    <n v="0"/>
    <x v="1"/>
  </r>
  <r>
    <s v="Regular"/>
    <x v="0"/>
    <x v="1"/>
    <x v="1"/>
    <x v="1"/>
    <x v="0"/>
    <x v="2"/>
    <x v="2"/>
    <x v="1"/>
    <n v="86500"/>
    <n v="86500"/>
    <n v="0"/>
    <n v="0"/>
    <n v="0"/>
    <n v="0"/>
    <n v="0"/>
    <s v="GERAÇÃO"/>
    <n v="28352"/>
    <n v="9"/>
    <n v="0"/>
    <n v="0"/>
    <n v="2.71"/>
    <n v="0"/>
    <n v="0"/>
    <n v="3.2397980171553011"/>
    <m/>
    <m/>
    <n v="0"/>
    <n v="0"/>
    <n v="0"/>
    <n v="0"/>
    <x v="1"/>
  </r>
  <r>
    <s v="Regular"/>
    <x v="0"/>
    <x v="1"/>
    <x v="1"/>
    <x v="1"/>
    <x v="0"/>
    <x v="1"/>
    <x v="2"/>
    <x v="2"/>
    <n v="124500"/>
    <n v="124500"/>
    <n v="0"/>
    <n v="0"/>
    <n v="0"/>
    <n v="0"/>
    <n v="0"/>
    <s v="GERAÇÃO"/>
    <n v="27795"/>
    <n v="8"/>
    <n v="0"/>
    <n v="0"/>
    <n v="3.09"/>
    <n v="0"/>
    <n v="0"/>
    <n v="3.6849092728787887"/>
    <m/>
    <m/>
    <n v="0"/>
    <n v="0"/>
    <n v="0"/>
    <n v="0"/>
    <x v="1"/>
  </r>
  <r>
    <s v="Regular"/>
    <x v="0"/>
    <x v="1"/>
    <x v="1"/>
    <x v="1"/>
    <x v="0"/>
    <x v="2"/>
    <x v="2"/>
    <x v="2"/>
    <n v="86500"/>
    <n v="86500"/>
    <n v="0"/>
    <n v="0"/>
    <n v="0"/>
    <n v="0"/>
    <n v="0"/>
    <s v="GERAÇÃO"/>
    <n v="28352"/>
    <n v="9"/>
    <n v="0"/>
    <n v="0"/>
    <n v="2.71"/>
    <n v="0"/>
    <n v="0"/>
    <n v="3.2397980171553011"/>
    <m/>
    <m/>
    <n v="0"/>
    <n v="0"/>
    <n v="0"/>
    <n v="0"/>
    <x v="1"/>
  </r>
  <r>
    <s v="Regular"/>
    <x v="0"/>
    <x v="1"/>
    <x v="1"/>
    <x v="1"/>
    <x v="0"/>
    <x v="1"/>
    <x v="2"/>
    <x v="3"/>
    <n v="124500"/>
    <n v="124500"/>
    <n v="0"/>
    <n v="0"/>
    <n v="0"/>
    <n v="0"/>
    <n v="0"/>
    <s v="GERAÇÃO"/>
    <n v="27795"/>
    <n v="8"/>
    <n v="0"/>
    <n v="0"/>
    <n v="3.09"/>
    <n v="0"/>
    <n v="0"/>
    <n v="3.6849092728787887"/>
    <m/>
    <m/>
    <n v="0"/>
    <n v="0"/>
    <n v="0"/>
    <n v="0"/>
    <x v="1"/>
  </r>
  <r>
    <s v="Regular"/>
    <x v="0"/>
    <x v="1"/>
    <x v="1"/>
    <x v="1"/>
    <x v="0"/>
    <x v="2"/>
    <x v="2"/>
    <x v="3"/>
    <n v="86500"/>
    <n v="86500"/>
    <n v="0"/>
    <n v="0"/>
    <n v="0"/>
    <n v="0"/>
    <n v="0"/>
    <s v="GERAÇÃO"/>
    <n v="28352"/>
    <n v="9"/>
    <n v="0"/>
    <n v="0"/>
    <n v="2.71"/>
    <n v="0"/>
    <n v="0"/>
    <n v="3.2397980171553011"/>
    <m/>
    <m/>
    <n v="0"/>
    <n v="0"/>
    <n v="0"/>
    <n v="0"/>
    <x v="1"/>
  </r>
  <r>
    <s v="Regular"/>
    <x v="0"/>
    <x v="1"/>
    <x v="1"/>
    <x v="1"/>
    <x v="0"/>
    <x v="1"/>
    <x v="2"/>
    <x v="4"/>
    <n v="124500"/>
    <n v="124500"/>
    <n v="0"/>
    <n v="0"/>
    <n v="0"/>
    <n v="0"/>
    <n v="0"/>
    <s v="GERAÇÃO"/>
    <n v="27795"/>
    <n v="8"/>
    <n v="0"/>
    <n v="0"/>
    <n v="3.09"/>
    <n v="0"/>
    <n v="0"/>
    <n v="3.6849092728787887"/>
    <m/>
    <m/>
    <n v="0"/>
    <n v="0"/>
    <n v="0"/>
    <n v="0"/>
    <x v="1"/>
  </r>
  <r>
    <s v="Regular"/>
    <x v="0"/>
    <x v="1"/>
    <x v="1"/>
    <x v="1"/>
    <x v="0"/>
    <x v="2"/>
    <x v="2"/>
    <x v="4"/>
    <n v="86500"/>
    <n v="86500"/>
    <n v="0"/>
    <n v="0"/>
    <n v="0"/>
    <n v="0"/>
    <n v="0"/>
    <s v="GERAÇÃO"/>
    <n v="28352"/>
    <n v="9"/>
    <n v="0"/>
    <n v="0"/>
    <n v="2.71"/>
    <n v="0"/>
    <n v="0"/>
    <n v="3.2397980171553011"/>
    <m/>
    <m/>
    <n v="0"/>
    <n v="0"/>
    <n v="0"/>
    <n v="0"/>
    <x v="1"/>
  </r>
  <r>
    <s v="Regular"/>
    <x v="0"/>
    <x v="1"/>
    <x v="1"/>
    <x v="1"/>
    <x v="0"/>
    <x v="1"/>
    <x v="2"/>
    <x v="5"/>
    <n v="124500"/>
    <n v="124500"/>
    <n v="0"/>
    <n v="0"/>
    <n v="0"/>
    <n v="0"/>
    <n v="0"/>
    <s v="GERAÇÃO"/>
    <n v="27795"/>
    <n v="8"/>
    <n v="0"/>
    <n v="0"/>
    <n v="3.09"/>
    <n v="0"/>
    <n v="0"/>
    <n v="3.6849092728787887"/>
    <m/>
    <m/>
    <n v="0"/>
    <n v="0"/>
    <n v="0"/>
    <n v="0"/>
    <x v="1"/>
  </r>
  <r>
    <s v="Regular"/>
    <x v="0"/>
    <x v="1"/>
    <x v="1"/>
    <x v="1"/>
    <x v="0"/>
    <x v="2"/>
    <x v="2"/>
    <x v="5"/>
    <n v="86500"/>
    <n v="86500"/>
    <n v="0"/>
    <n v="0"/>
    <n v="0"/>
    <n v="0"/>
    <n v="0"/>
    <s v="GERAÇÃO"/>
    <n v="28352"/>
    <n v="9"/>
    <n v="0"/>
    <n v="0"/>
    <n v="2.71"/>
    <n v="0"/>
    <n v="0"/>
    <n v="3.2397980171553011"/>
    <m/>
    <m/>
    <n v="0"/>
    <n v="0"/>
    <n v="0"/>
    <n v="0"/>
    <x v="1"/>
  </r>
  <r>
    <s v="Regular"/>
    <x v="0"/>
    <x v="1"/>
    <x v="1"/>
    <x v="1"/>
    <x v="0"/>
    <x v="1"/>
    <x v="2"/>
    <x v="6"/>
    <n v="124500"/>
    <n v="124500"/>
    <n v="0"/>
    <n v="0"/>
    <n v="0"/>
    <n v="0"/>
    <n v="0"/>
    <s v="GERAÇÃO"/>
    <n v="27795"/>
    <n v="8"/>
    <n v="0"/>
    <n v="0"/>
    <n v="3.09"/>
    <n v="0"/>
    <n v="0"/>
    <n v="3.6849092728787887"/>
    <m/>
    <m/>
    <n v="0"/>
    <n v="0"/>
    <n v="0"/>
    <n v="0"/>
    <x v="1"/>
  </r>
  <r>
    <s v="Regular"/>
    <x v="0"/>
    <x v="1"/>
    <x v="1"/>
    <x v="1"/>
    <x v="0"/>
    <x v="2"/>
    <x v="2"/>
    <x v="6"/>
    <n v="86500"/>
    <n v="86500"/>
    <n v="0"/>
    <n v="0"/>
    <n v="0"/>
    <n v="0"/>
    <n v="0"/>
    <s v="GERAÇÃO"/>
    <n v="28352"/>
    <n v="9"/>
    <n v="0"/>
    <n v="0"/>
    <n v="2.71"/>
    <n v="0"/>
    <n v="0"/>
    <n v="3.2397980171553011"/>
    <m/>
    <m/>
    <n v="0"/>
    <n v="0"/>
    <n v="0"/>
    <n v="0"/>
    <x v="1"/>
  </r>
  <r>
    <s v="Regular"/>
    <x v="0"/>
    <x v="1"/>
    <x v="1"/>
    <x v="1"/>
    <x v="0"/>
    <x v="1"/>
    <x v="2"/>
    <x v="7"/>
    <n v="124500"/>
    <n v="124500"/>
    <n v="0"/>
    <n v="0"/>
    <n v="0"/>
    <n v="0"/>
    <n v="0"/>
    <s v="GERAÇÃO"/>
    <n v="27795"/>
    <n v="8"/>
    <n v="0"/>
    <n v="0"/>
    <n v="3.09"/>
    <n v="0"/>
    <n v="0"/>
    <n v="3.6849092728787887"/>
    <m/>
    <m/>
    <n v="0"/>
    <n v="0"/>
    <n v="0"/>
    <n v="0"/>
    <x v="1"/>
  </r>
  <r>
    <s v="Regular"/>
    <x v="0"/>
    <x v="1"/>
    <x v="1"/>
    <x v="1"/>
    <x v="0"/>
    <x v="2"/>
    <x v="2"/>
    <x v="7"/>
    <n v="86500"/>
    <n v="86500"/>
    <n v="0"/>
    <n v="0"/>
    <n v="0"/>
    <n v="0"/>
    <n v="0"/>
    <s v="GERAÇÃO"/>
    <n v="28352"/>
    <n v="9"/>
    <n v="0"/>
    <n v="0"/>
    <n v="2.71"/>
    <n v="0"/>
    <n v="0"/>
    <n v="3.2397980171553011"/>
    <m/>
    <m/>
    <n v="0"/>
    <n v="0"/>
    <n v="0"/>
    <n v="0"/>
    <x v="1"/>
  </r>
  <r>
    <s v="Regular"/>
    <x v="0"/>
    <x v="1"/>
    <x v="1"/>
    <x v="1"/>
    <x v="0"/>
    <x v="1"/>
    <x v="2"/>
    <x v="8"/>
    <n v="124500"/>
    <n v="124500"/>
    <n v="0"/>
    <n v="0"/>
    <n v="0"/>
    <n v="0"/>
    <n v="0"/>
    <s v="GERAÇÃO"/>
    <n v="27795"/>
    <n v="8"/>
    <n v="0"/>
    <n v="0"/>
    <n v="3.09"/>
    <n v="0"/>
    <n v="0"/>
    <n v="3.6849092728787887"/>
    <m/>
    <m/>
    <n v="0"/>
    <n v="0"/>
    <n v="0"/>
    <n v="0"/>
    <x v="1"/>
  </r>
  <r>
    <s v="Regular"/>
    <x v="0"/>
    <x v="1"/>
    <x v="1"/>
    <x v="1"/>
    <x v="0"/>
    <x v="2"/>
    <x v="2"/>
    <x v="8"/>
    <n v="86500"/>
    <n v="86500"/>
    <n v="0"/>
    <n v="0"/>
    <n v="0"/>
    <n v="0"/>
    <n v="0"/>
    <s v="GERAÇÃO"/>
    <n v="28352"/>
    <n v="9"/>
    <n v="0"/>
    <n v="0"/>
    <n v="2.71"/>
    <n v="0"/>
    <n v="0"/>
    <n v="3.2397980171553011"/>
    <m/>
    <m/>
    <n v="0"/>
    <n v="0"/>
    <n v="0"/>
    <n v="0"/>
    <x v="1"/>
  </r>
  <r>
    <s v="Regular"/>
    <x v="0"/>
    <x v="1"/>
    <x v="1"/>
    <x v="1"/>
    <x v="0"/>
    <x v="1"/>
    <x v="2"/>
    <x v="9"/>
    <n v="124500"/>
    <n v="124500"/>
    <n v="0"/>
    <n v="0"/>
    <n v="0"/>
    <n v="0"/>
    <n v="0"/>
    <s v="GERAÇÃO"/>
    <n v="27795"/>
    <n v="8"/>
    <n v="0"/>
    <n v="0"/>
    <n v="3.09"/>
    <n v="0"/>
    <n v="0"/>
    <n v="3.6849092728787887"/>
    <m/>
    <m/>
    <n v="0"/>
    <n v="0"/>
    <n v="0"/>
    <n v="0"/>
    <x v="1"/>
  </r>
  <r>
    <s v="Regular"/>
    <x v="0"/>
    <x v="1"/>
    <x v="1"/>
    <x v="1"/>
    <x v="0"/>
    <x v="2"/>
    <x v="2"/>
    <x v="9"/>
    <n v="86500"/>
    <n v="86500"/>
    <n v="0"/>
    <n v="0"/>
    <n v="0"/>
    <n v="0"/>
    <n v="0"/>
    <s v="GERAÇÃO"/>
    <n v="28352"/>
    <n v="9"/>
    <n v="0"/>
    <n v="0"/>
    <n v="2.71"/>
    <n v="0"/>
    <n v="0"/>
    <n v="3.2397980171553011"/>
    <m/>
    <m/>
    <n v="0"/>
    <n v="0"/>
    <n v="0"/>
    <n v="0"/>
    <x v="1"/>
  </r>
  <r>
    <s v="Regular"/>
    <x v="0"/>
    <x v="1"/>
    <x v="1"/>
    <x v="1"/>
    <x v="0"/>
    <x v="1"/>
    <x v="2"/>
    <x v="10"/>
    <n v="124500"/>
    <n v="124500"/>
    <n v="0"/>
    <n v="0"/>
    <n v="0"/>
    <n v="0"/>
    <n v="0"/>
    <s v="GERAÇÃO"/>
    <n v="27795"/>
    <n v="8"/>
    <n v="0"/>
    <n v="0"/>
    <n v="3.09"/>
    <n v="0"/>
    <n v="0"/>
    <n v="3.6849092728787887"/>
    <m/>
    <m/>
    <n v="0"/>
    <n v="0"/>
    <n v="0"/>
    <n v="0"/>
    <x v="1"/>
  </r>
  <r>
    <s v="Regular"/>
    <x v="0"/>
    <x v="1"/>
    <x v="1"/>
    <x v="1"/>
    <x v="0"/>
    <x v="2"/>
    <x v="2"/>
    <x v="10"/>
    <n v="86500"/>
    <n v="86500"/>
    <n v="0"/>
    <n v="0"/>
    <n v="0"/>
    <n v="0"/>
    <n v="0"/>
    <s v="GERAÇÃO"/>
    <n v="28352"/>
    <n v="9"/>
    <n v="0"/>
    <n v="0"/>
    <n v="2.71"/>
    <n v="0"/>
    <n v="0"/>
    <n v="3.2397980171553011"/>
    <m/>
    <m/>
    <n v="0"/>
    <n v="0"/>
    <n v="0"/>
    <n v="0"/>
    <x v="1"/>
  </r>
  <r>
    <s v="PROJETADO"/>
    <x v="0"/>
    <x v="1"/>
    <x v="1"/>
    <x v="1"/>
    <x v="0"/>
    <x v="1"/>
    <x v="2"/>
    <x v="11"/>
    <n v="124500"/>
    <n v="124500"/>
    <n v="0"/>
    <n v="0"/>
    <n v="0"/>
    <n v="0"/>
    <n v="0"/>
    <s v="GERAÇÃO"/>
    <n v="27795"/>
    <n v="8"/>
    <n v="0"/>
    <n v="0"/>
    <n v="3.09"/>
    <n v="0"/>
    <n v="0"/>
    <n v="3.6849092728787887"/>
    <m/>
    <m/>
    <n v="0"/>
    <n v="0"/>
    <n v="0"/>
    <n v="0"/>
    <x v="1"/>
  </r>
  <r>
    <s v="PROJETADO"/>
    <x v="0"/>
    <x v="1"/>
    <x v="1"/>
    <x v="1"/>
    <x v="0"/>
    <x v="2"/>
    <x v="2"/>
    <x v="11"/>
    <n v="86500"/>
    <n v="86500"/>
    <n v="0"/>
    <n v="0"/>
    <n v="0"/>
    <n v="0"/>
    <n v="0"/>
    <s v="GERAÇÃO"/>
    <n v="28352"/>
    <n v="9"/>
    <n v="0"/>
    <n v="0"/>
    <n v="2.71"/>
    <n v="0"/>
    <n v="0"/>
    <n v="3.2397980171553011"/>
    <m/>
    <m/>
    <n v="0"/>
    <n v="0"/>
    <n v="0"/>
    <n v="0"/>
    <x v="1"/>
  </r>
  <r>
    <s v="Regular"/>
    <x v="1"/>
    <x v="0"/>
    <x v="2"/>
    <x v="1"/>
    <x v="1"/>
    <x v="0"/>
    <x v="0"/>
    <x v="0"/>
    <n v="3400"/>
    <n v="2130.1447779999999"/>
    <n v="0"/>
    <n v="0"/>
    <n v="0"/>
    <n v="0"/>
    <n v="0"/>
    <s v="LIVRE"/>
    <n v="0"/>
    <n v="12"/>
    <n v="0"/>
    <n v="0"/>
    <n v="8.81"/>
    <n v="0"/>
    <n v="0"/>
    <n v="11.452356648653195"/>
    <n v="87.520205040180812"/>
    <m/>
    <n v="11187.424505820001"/>
    <n v="0"/>
    <n v="14542.834894498681"/>
    <n v="0"/>
    <x v="2"/>
  </r>
  <r>
    <s v="Regular"/>
    <x v="1"/>
    <x v="0"/>
    <x v="2"/>
    <x v="1"/>
    <x v="1"/>
    <x v="0"/>
    <x v="0"/>
    <x v="1"/>
    <n v="3400"/>
    <n v="2133.9733139999998"/>
    <n v="0"/>
    <n v="0"/>
    <n v="0"/>
    <n v="0"/>
    <n v="0"/>
    <s v="LIVRE"/>
    <n v="0"/>
    <n v="12"/>
    <n v="0"/>
    <n v="0"/>
    <n v="8.81"/>
    <n v="0"/>
    <n v="0"/>
    <n v="11.452356648653195"/>
    <n v="87.520205040180812"/>
    <m/>
    <n v="11153.695103660002"/>
    <n v="0"/>
    <n v="14498.989134784473"/>
    <n v="0"/>
    <x v="2"/>
  </r>
  <r>
    <s v="Regular"/>
    <x v="1"/>
    <x v="0"/>
    <x v="2"/>
    <x v="1"/>
    <x v="1"/>
    <x v="0"/>
    <x v="0"/>
    <x v="2"/>
    <n v="3400"/>
    <n v="2140.7922859999999"/>
    <n v="0"/>
    <n v="0"/>
    <n v="0"/>
    <n v="0"/>
    <n v="0"/>
    <s v="LIVRE"/>
    <n v="0"/>
    <n v="12"/>
    <n v="0"/>
    <n v="0"/>
    <n v="8.81"/>
    <n v="0"/>
    <n v="0"/>
    <n v="11.452356648653195"/>
    <n v="87.520205040180812"/>
    <m/>
    <n v="11093.619960340002"/>
    <n v="0"/>
    <n v="14420.895835463292"/>
    <n v="0"/>
    <x v="2"/>
  </r>
  <r>
    <s v="Regular"/>
    <x v="1"/>
    <x v="0"/>
    <x v="2"/>
    <x v="1"/>
    <x v="1"/>
    <x v="0"/>
    <x v="0"/>
    <x v="3"/>
    <n v="3400"/>
    <n v="2119.139318"/>
    <n v="0"/>
    <n v="0"/>
    <n v="0"/>
    <n v="0"/>
    <n v="0"/>
    <s v="LIVRE"/>
    <n v="0"/>
    <n v="12"/>
    <n v="0"/>
    <n v="0"/>
    <n v="8.81"/>
    <n v="0"/>
    <n v="0"/>
    <n v="11.452356648653195"/>
    <n v="87.520205040180812"/>
    <m/>
    <n v="11284.382608420001"/>
    <n v="0"/>
    <n v="14668.873347501165"/>
    <n v="0"/>
    <x v="2"/>
  </r>
  <r>
    <s v="Regular"/>
    <x v="1"/>
    <x v="0"/>
    <x v="2"/>
    <x v="1"/>
    <x v="1"/>
    <x v="0"/>
    <x v="0"/>
    <x v="4"/>
    <n v="3400"/>
    <n v="2118.5003900000002"/>
    <n v="0"/>
    <n v="0"/>
    <n v="0"/>
    <n v="0"/>
    <n v="0"/>
    <s v="LIVRE"/>
    <n v="0"/>
    <n v="12"/>
    <n v="0"/>
    <n v="0"/>
    <n v="8.81"/>
    <n v="0"/>
    <n v="0"/>
    <n v="11.452356648653195"/>
    <n v="87.520205040180812"/>
    <m/>
    <n v="11290.011564099999"/>
    <n v="0"/>
    <n v="14676.190578829975"/>
    <n v="0"/>
    <x v="2"/>
  </r>
  <r>
    <s v="Regular"/>
    <x v="1"/>
    <x v="0"/>
    <x v="2"/>
    <x v="1"/>
    <x v="1"/>
    <x v="0"/>
    <x v="0"/>
    <x v="5"/>
    <n v="3400"/>
    <n v="2784.7143759999999"/>
    <n v="0"/>
    <n v="0"/>
    <n v="0"/>
    <n v="0"/>
    <n v="0"/>
    <s v="LIVRE"/>
    <n v="0"/>
    <n v="12"/>
    <n v="0"/>
    <n v="0"/>
    <n v="8.81"/>
    <n v="0"/>
    <n v="0"/>
    <n v="11.452356648653195"/>
    <n v="87.520205040180812"/>
    <m/>
    <n v="5420.6663474400011"/>
    <n v="0"/>
    <n v="7046.4704068371311"/>
    <n v="0"/>
    <x v="2"/>
  </r>
  <r>
    <s v="Regular"/>
    <x v="1"/>
    <x v="0"/>
    <x v="2"/>
    <x v="1"/>
    <x v="1"/>
    <x v="0"/>
    <x v="0"/>
    <x v="6"/>
    <n v="3400"/>
    <n v="3400"/>
    <n v="0"/>
    <n v="0"/>
    <n v="0"/>
    <n v="0"/>
    <n v="0"/>
    <s v="LIVRE"/>
    <n v="0"/>
    <n v="12"/>
    <n v="0"/>
    <n v="0"/>
    <n v="8.81"/>
    <n v="0"/>
    <n v="0"/>
    <n v="11.452356648653195"/>
    <n v="87.520205040180812"/>
    <m/>
    <n v="0"/>
    <n v="0"/>
    <n v="0"/>
    <n v="0"/>
    <x v="2"/>
  </r>
  <r>
    <s v="Regular"/>
    <x v="1"/>
    <x v="0"/>
    <x v="2"/>
    <x v="1"/>
    <x v="1"/>
    <x v="0"/>
    <x v="0"/>
    <x v="7"/>
    <n v="3400"/>
    <n v="3400"/>
    <n v="0"/>
    <n v="0"/>
    <n v="0"/>
    <n v="0"/>
    <n v="0"/>
    <s v="LIVRE"/>
    <n v="0"/>
    <n v="12"/>
    <n v="0"/>
    <n v="0"/>
    <n v="8.81"/>
    <n v="0"/>
    <n v="0"/>
    <n v="11.452356648653195"/>
    <n v="87.520205040180812"/>
    <m/>
    <n v="0"/>
    <n v="0"/>
    <n v="0"/>
    <n v="0"/>
    <x v="2"/>
  </r>
  <r>
    <s v="Regular"/>
    <x v="1"/>
    <x v="0"/>
    <x v="2"/>
    <x v="1"/>
    <x v="1"/>
    <x v="0"/>
    <x v="0"/>
    <x v="8"/>
    <n v="3400"/>
    <n v="3400"/>
    <n v="0"/>
    <n v="0"/>
    <n v="0"/>
    <n v="0"/>
    <n v="0"/>
    <s v="LIVRE"/>
    <n v="0"/>
    <n v="12"/>
    <n v="0"/>
    <n v="0"/>
    <n v="8.81"/>
    <n v="0"/>
    <n v="0"/>
    <n v="11.452356648653195"/>
    <n v="87.520205040180812"/>
    <m/>
    <n v="0"/>
    <n v="0"/>
    <n v="0"/>
    <n v="0"/>
    <x v="2"/>
  </r>
  <r>
    <s v="Regular"/>
    <x v="1"/>
    <x v="0"/>
    <x v="2"/>
    <x v="1"/>
    <x v="1"/>
    <x v="0"/>
    <x v="0"/>
    <x v="9"/>
    <n v="3400"/>
    <n v="3400"/>
    <n v="0"/>
    <n v="0"/>
    <n v="0"/>
    <n v="0"/>
    <n v="0"/>
    <s v="LIVRE"/>
    <n v="0"/>
    <n v="12"/>
    <n v="0"/>
    <n v="0"/>
    <n v="8.81"/>
    <n v="0"/>
    <n v="0"/>
    <n v="11.452356648653195"/>
    <n v="87.520205040180812"/>
    <m/>
    <n v="0"/>
    <n v="0"/>
    <n v="0"/>
    <n v="0"/>
    <x v="2"/>
  </r>
  <r>
    <s v="Regular"/>
    <x v="1"/>
    <x v="0"/>
    <x v="2"/>
    <x v="1"/>
    <x v="1"/>
    <x v="0"/>
    <x v="0"/>
    <x v="10"/>
    <n v="3400"/>
    <n v="3400"/>
    <n v="0"/>
    <n v="0"/>
    <n v="0"/>
    <n v="0"/>
    <n v="0"/>
    <s v="LIVRE"/>
    <n v="0"/>
    <n v="12"/>
    <n v="0"/>
    <n v="0"/>
    <n v="8.81"/>
    <n v="0"/>
    <n v="0"/>
    <n v="11.452356648653195"/>
    <n v="87.520205040180812"/>
    <m/>
    <n v="0"/>
    <n v="0"/>
    <n v="0"/>
    <n v="0"/>
    <x v="2"/>
  </r>
  <r>
    <s v="PROJETADO"/>
    <x v="1"/>
    <x v="0"/>
    <x v="2"/>
    <x v="1"/>
    <x v="1"/>
    <x v="0"/>
    <x v="0"/>
    <x v="11"/>
    <n v="3400"/>
    <n v="3400"/>
    <n v="0"/>
    <n v="0"/>
    <n v="0"/>
    <n v="0"/>
    <n v="0"/>
    <s v="LIVRE"/>
    <n v="0"/>
    <n v="12"/>
    <n v="0"/>
    <n v="0"/>
    <n v="8.81"/>
    <n v="0"/>
    <n v="0"/>
    <n v="11.452356648653195"/>
    <n v="87.520205040180812"/>
    <m/>
    <n v="0"/>
    <n v="0"/>
    <n v="0"/>
    <n v="0"/>
    <x v="2"/>
  </r>
  <r>
    <s v="Regular"/>
    <x v="1"/>
    <x v="0"/>
    <x v="2"/>
    <x v="1"/>
    <x v="1"/>
    <x v="0"/>
    <x v="2"/>
    <x v="0"/>
    <n v="0"/>
    <n v="0"/>
    <n v="1071.8520000000001"/>
    <n v="1071.8520000000001"/>
    <n v="0"/>
    <n v="0"/>
    <n v="1"/>
    <s v="LIVRE"/>
    <n v="0"/>
    <n v="0"/>
    <n v="13"/>
    <n v="0"/>
    <n v="0"/>
    <n v="84.45"/>
    <n v="0"/>
    <m/>
    <n v="87.520205040180812"/>
    <m/>
    <n v="0"/>
    <n v="0"/>
    <n v="0"/>
    <n v="0"/>
    <x v="2"/>
  </r>
  <r>
    <s v="Regular"/>
    <x v="1"/>
    <x v="0"/>
    <x v="2"/>
    <x v="1"/>
    <x v="1"/>
    <x v="0"/>
    <x v="2"/>
    <x v="1"/>
    <n v="0"/>
    <n v="0"/>
    <n v="1063.0340000000001"/>
    <n v="1063.0340000000001"/>
    <n v="0"/>
    <n v="0"/>
    <n v="1"/>
    <s v="LIVRE"/>
    <n v="0"/>
    <n v="0"/>
    <n v="13"/>
    <n v="0"/>
    <n v="0"/>
    <n v="84.45"/>
    <n v="0"/>
    <m/>
    <n v="87.520205040180812"/>
    <m/>
    <n v="0"/>
    <n v="0"/>
    <n v="0"/>
    <n v="0"/>
    <x v="2"/>
  </r>
  <r>
    <s v="Regular"/>
    <x v="1"/>
    <x v="0"/>
    <x v="2"/>
    <x v="1"/>
    <x v="1"/>
    <x v="0"/>
    <x v="2"/>
    <x v="2"/>
    <n v="0"/>
    <n v="0"/>
    <n v="1100.308"/>
    <n v="1100.308"/>
    <n v="0"/>
    <n v="0"/>
    <n v="1"/>
    <s v="LIVRE"/>
    <n v="0"/>
    <n v="0"/>
    <n v="13"/>
    <n v="0"/>
    <n v="0"/>
    <n v="84.45"/>
    <n v="0"/>
    <m/>
    <n v="87.520205040180812"/>
    <m/>
    <n v="0"/>
    <n v="0"/>
    <n v="0"/>
    <n v="0"/>
    <x v="2"/>
  </r>
  <r>
    <s v="Regular"/>
    <x v="1"/>
    <x v="0"/>
    <x v="2"/>
    <x v="1"/>
    <x v="1"/>
    <x v="0"/>
    <x v="2"/>
    <x v="3"/>
    <n v="0"/>
    <n v="0"/>
    <n v="1052.951"/>
    <n v="1052.951"/>
    <n v="0"/>
    <n v="0"/>
    <n v="1"/>
    <s v="LIVRE"/>
    <n v="0"/>
    <n v="0"/>
    <n v="13"/>
    <n v="0"/>
    <n v="0"/>
    <n v="84.45"/>
    <n v="0"/>
    <m/>
    <n v="87.520205040180812"/>
    <m/>
    <n v="0"/>
    <n v="0"/>
    <n v="0"/>
    <n v="0"/>
    <x v="2"/>
  </r>
  <r>
    <s v="Regular"/>
    <x v="1"/>
    <x v="0"/>
    <x v="2"/>
    <x v="1"/>
    <x v="1"/>
    <x v="0"/>
    <x v="2"/>
    <x v="4"/>
    <n v="0"/>
    <n v="0"/>
    <n v="967.19500000000005"/>
    <n v="967.19500000000005"/>
    <n v="0"/>
    <n v="0"/>
    <n v="1"/>
    <s v="LIVRE"/>
    <n v="0"/>
    <n v="0"/>
    <n v="13"/>
    <n v="0"/>
    <n v="0"/>
    <n v="84.45"/>
    <n v="0"/>
    <m/>
    <n v="87.520205040180812"/>
    <m/>
    <n v="0"/>
    <n v="0"/>
    <n v="0"/>
    <n v="0"/>
    <x v="2"/>
  </r>
  <r>
    <s v="Regular"/>
    <x v="1"/>
    <x v="0"/>
    <x v="2"/>
    <x v="1"/>
    <x v="1"/>
    <x v="0"/>
    <x v="2"/>
    <x v="5"/>
    <n v="0"/>
    <n v="0"/>
    <n v="714.73500000000001"/>
    <n v="714.73500000000001"/>
    <n v="0"/>
    <n v="0"/>
    <n v="1"/>
    <s v="LIVRE"/>
    <n v="0"/>
    <n v="0"/>
    <n v="13"/>
    <n v="0"/>
    <n v="0"/>
    <n v="84.45"/>
    <n v="0"/>
    <m/>
    <n v="87.520205040180812"/>
    <m/>
    <n v="0"/>
    <n v="0"/>
    <n v="0"/>
    <n v="0"/>
    <x v="2"/>
  </r>
  <r>
    <s v="Regular"/>
    <x v="1"/>
    <x v="0"/>
    <x v="2"/>
    <x v="1"/>
    <x v="1"/>
    <x v="0"/>
    <x v="2"/>
    <x v="6"/>
    <n v="0"/>
    <n v="0"/>
    <n v="290.52100000000002"/>
    <n v="290.52100000000002"/>
    <n v="0"/>
    <n v="0"/>
    <n v="1"/>
    <s v="LIVRE"/>
    <n v="0"/>
    <n v="0"/>
    <n v="13"/>
    <n v="0"/>
    <n v="0"/>
    <n v="84.45"/>
    <n v="0"/>
    <m/>
    <n v="87.520205040180812"/>
    <m/>
    <n v="0"/>
    <n v="0"/>
    <n v="0"/>
    <n v="0"/>
    <x v="2"/>
  </r>
  <r>
    <s v="Regular"/>
    <x v="1"/>
    <x v="0"/>
    <x v="2"/>
    <x v="1"/>
    <x v="1"/>
    <x v="0"/>
    <x v="2"/>
    <x v="7"/>
    <n v="0"/>
    <n v="0"/>
    <n v="385.88499999999999"/>
    <n v="385.88499999999999"/>
    <n v="0"/>
    <n v="0"/>
    <n v="1"/>
    <s v="LIVRE"/>
    <n v="0"/>
    <n v="0"/>
    <n v="13"/>
    <n v="0"/>
    <n v="0"/>
    <n v="84.45"/>
    <n v="0"/>
    <m/>
    <n v="87.520205040180812"/>
    <m/>
    <n v="0"/>
    <n v="0"/>
    <n v="0"/>
    <n v="0"/>
    <x v="2"/>
  </r>
  <r>
    <s v="Regular"/>
    <x v="1"/>
    <x v="0"/>
    <x v="2"/>
    <x v="1"/>
    <x v="1"/>
    <x v="0"/>
    <x v="2"/>
    <x v="8"/>
    <n v="0"/>
    <n v="0"/>
    <n v="385.88499999999999"/>
    <n v="385.88499999999999"/>
    <n v="0"/>
    <n v="0"/>
    <n v="1"/>
    <s v="LIVRE"/>
    <n v="0"/>
    <n v="0"/>
    <n v="13"/>
    <n v="0"/>
    <n v="0"/>
    <n v="84.45"/>
    <n v="0"/>
    <m/>
    <n v="87.520205040180812"/>
    <m/>
    <n v="0"/>
    <n v="0"/>
    <n v="0"/>
    <n v="0"/>
    <x v="2"/>
  </r>
  <r>
    <s v="Regular"/>
    <x v="1"/>
    <x v="0"/>
    <x v="2"/>
    <x v="1"/>
    <x v="1"/>
    <x v="0"/>
    <x v="2"/>
    <x v="9"/>
    <n v="0"/>
    <n v="0"/>
    <n v="887.96100000000001"/>
    <n v="887.96100000000001"/>
    <n v="0"/>
    <n v="0"/>
    <n v="1"/>
    <s v="LIVRE"/>
    <n v="0"/>
    <n v="0"/>
    <n v="13"/>
    <n v="0"/>
    <n v="0"/>
    <n v="84.45"/>
    <n v="0"/>
    <m/>
    <n v="87.520205040180812"/>
    <m/>
    <n v="0"/>
    <n v="0"/>
    <n v="0"/>
    <n v="0"/>
    <x v="2"/>
  </r>
  <r>
    <s v="Regular"/>
    <x v="1"/>
    <x v="0"/>
    <x v="2"/>
    <x v="1"/>
    <x v="1"/>
    <x v="0"/>
    <x v="2"/>
    <x v="10"/>
    <n v="0"/>
    <n v="0"/>
    <n v="729.46400000000006"/>
    <n v="729.46400000000006"/>
    <n v="0"/>
    <n v="0"/>
    <n v="1"/>
    <s v="LIVRE"/>
    <n v="0"/>
    <n v="0"/>
    <n v="13"/>
    <n v="0"/>
    <n v="0"/>
    <n v="84.45"/>
    <n v="0"/>
    <m/>
    <n v="87.520205040180812"/>
    <m/>
    <n v="0"/>
    <n v="0"/>
    <n v="0"/>
    <n v="0"/>
    <x v="2"/>
  </r>
  <r>
    <s v="PROJETADO"/>
    <x v="1"/>
    <x v="0"/>
    <x v="2"/>
    <x v="1"/>
    <x v="1"/>
    <x v="0"/>
    <x v="2"/>
    <x v="11"/>
    <n v="0"/>
    <n v="0"/>
    <n v="729.46400000000006"/>
    <n v="729.46400000000006"/>
    <n v="0"/>
    <n v="0"/>
    <n v="1"/>
    <s v="LIVRE"/>
    <n v="0"/>
    <n v="0"/>
    <n v="13"/>
    <n v="0"/>
    <n v="0"/>
    <n v="84.45"/>
    <n v="0"/>
    <m/>
    <n v="87.520205040180812"/>
    <m/>
    <n v="0"/>
    <n v="0"/>
    <n v="0"/>
    <n v="0"/>
    <x v="2"/>
  </r>
  <r>
    <s v="Regular"/>
    <x v="1"/>
    <x v="0"/>
    <x v="2"/>
    <x v="1"/>
    <x v="1"/>
    <x v="0"/>
    <x v="1"/>
    <x v="0"/>
    <n v="3300"/>
    <n v="2067.4934280000002"/>
    <n v="0"/>
    <n v="0"/>
    <n v="0"/>
    <n v="0"/>
    <n v="0"/>
    <s v="LIVRE"/>
    <n v="0"/>
    <n v="11"/>
    <n v="0"/>
    <n v="0"/>
    <n v="22.94"/>
    <n v="0"/>
    <n v="0"/>
    <n v="27.216283196676113"/>
    <n v="87.520205040180812"/>
    <m/>
    <n v="28273.700761679997"/>
    <n v="0"/>
    <n v="33544.247905316472"/>
    <n v="0"/>
    <x v="2"/>
  </r>
  <r>
    <s v="Regular"/>
    <x v="1"/>
    <x v="0"/>
    <x v="2"/>
    <x v="1"/>
    <x v="1"/>
    <x v="0"/>
    <x v="1"/>
    <x v="1"/>
    <n v="3300"/>
    <n v="2071.2097229999999"/>
    <n v="0"/>
    <n v="0"/>
    <n v="0"/>
    <n v="0"/>
    <n v="0"/>
    <s v="LIVRE"/>
    <n v="0"/>
    <n v="11"/>
    <n v="0"/>
    <n v="0"/>
    <n v="22.94"/>
    <n v="0"/>
    <n v="0"/>
    <n v="27.216283196676113"/>
    <n v="87.520205040180812"/>
    <m/>
    <n v="28188.448954380005"/>
    <n v="0"/>
    <n v="33443.104168154088"/>
    <n v="0"/>
    <x v="2"/>
  </r>
  <r>
    <s v="Regular"/>
    <x v="1"/>
    <x v="0"/>
    <x v="2"/>
    <x v="1"/>
    <x v="1"/>
    <x v="0"/>
    <x v="1"/>
    <x v="2"/>
    <n v="3300"/>
    <n v="2077.8276420000002"/>
    <n v="0"/>
    <n v="0"/>
    <n v="0"/>
    <n v="0"/>
    <n v="0"/>
    <s v="LIVRE"/>
    <n v="0"/>
    <n v="11"/>
    <n v="0"/>
    <n v="0"/>
    <n v="22.94"/>
    <n v="0"/>
    <n v="0"/>
    <n v="27.216283196676113"/>
    <n v="87.520205040180812"/>
    <m/>
    <n v="28036.633892519996"/>
    <n v="0"/>
    <n v="33262.989010477417"/>
    <n v="0"/>
    <x v="2"/>
  </r>
  <r>
    <s v="Regular"/>
    <x v="1"/>
    <x v="0"/>
    <x v="2"/>
    <x v="1"/>
    <x v="1"/>
    <x v="0"/>
    <x v="1"/>
    <x v="3"/>
    <n v="3300"/>
    <n v="2056.8119219999999"/>
    <n v="0"/>
    <n v="0"/>
    <n v="0"/>
    <n v="0"/>
    <n v="0"/>
    <s v="LIVRE"/>
    <n v="0"/>
    <n v="11"/>
    <n v="0"/>
    <n v="0"/>
    <n v="22.94"/>
    <n v="0"/>
    <n v="0"/>
    <n v="27.216283196676113"/>
    <n v="87.520205040180812"/>
    <m/>
    <n v="28518.734509320006"/>
    <n v="0"/>
    <n v="33834.958797579478"/>
    <n v="0"/>
    <x v="2"/>
  </r>
  <r>
    <s v="Regular"/>
    <x v="1"/>
    <x v="0"/>
    <x v="2"/>
    <x v="1"/>
    <x v="1"/>
    <x v="0"/>
    <x v="1"/>
    <x v="4"/>
    <n v="3300"/>
    <n v="2056.1918850000002"/>
    <n v="0"/>
    <n v="0"/>
    <n v="0"/>
    <n v="0"/>
    <n v="0"/>
    <s v="LIVRE"/>
    <n v="0"/>
    <n v="11"/>
    <n v="0"/>
    <n v="0"/>
    <n v="22.94"/>
    <n v="0"/>
    <n v="0"/>
    <n v="27.216283196676113"/>
    <n v="87.520205040180812"/>
    <m/>
    <n v="28532.958158099998"/>
    <n v="0"/>
    <n v="33851.833900163881"/>
    <n v="0"/>
    <x v="2"/>
  </r>
  <r>
    <s v="Regular"/>
    <x v="1"/>
    <x v="0"/>
    <x v="2"/>
    <x v="1"/>
    <x v="1"/>
    <x v="0"/>
    <x v="1"/>
    <x v="5"/>
    <n v="3300"/>
    <n v="2702.81088"/>
    <n v="0"/>
    <n v="0"/>
    <n v="0"/>
    <n v="0"/>
    <n v="0"/>
    <s v="LIVRE"/>
    <n v="0"/>
    <n v="11"/>
    <n v="0"/>
    <n v="0"/>
    <n v="22.94"/>
    <n v="0"/>
    <n v="0"/>
    <n v="27.216283196676113"/>
    <n v="87.520205040180812"/>
    <m/>
    <n v="13699.5184128"/>
    <n v="0"/>
    <n v="16253.268211893796"/>
    <n v="0"/>
    <x v="2"/>
  </r>
  <r>
    <s v="Regular"/>
    <x v="1"/>
    <x v="0"/>
    <x v="2"/>
    <x v="1"/>
    <x v="1"/>
    <x v="0"/>
    <x v="1"/>
    <x v="6"/>
    <n v="3300"/>
    <n v="3300"/>
    <n v="0"/>
    <n v="0"/>
    <n v="0"/>
    <n v="0"/>
    <n v="0"/>
    <s v="LIVRE"/>
    <n v="0"/>
    <n v="11"/>
    <n v="0"/>
    <n v="0"/>
    <n v="22.94"/>
    <n v="0"/>
    <n v="0"/>
    <n v="27.216283196676113"/>
    <n v="87.520205040180812"/>
    <m/>
    <n v="0"/>
    <n v="0"/>
    <n v="0"/>
    <n v="0"/>
    <x v="2"/>
  </r>
  <r>
    <s v="Regular"/>
    <x v="1"/>
    <x v="0"/>
    <x v="2"/>
    <x v="1"/>
    <x v="1"/>
    <x v="0"/>
    <x v="1"/>
    <x v="7"/>
    <n v="3300"/>
    <n v="3300"/>
    <n v="0"/>
    <n v="0"/>
    <n v="0"/>
    <n v="0"/>
    <n v="0"/>
    <s v="LIVRE"/>
    <n v="0"/>
    <n v="11"/>
    <n v="0"/>
    <n v="0"/>
    <n v="22.94"/>
    <n v="0"/>
    <n v="0"/>
    <n v="27.216283196676113"/>
    <n v="87.520205040180812"/>
    <m/>
    <n v="0"/>
    <n v="0"/>
    <n v="0"/>
    <n v="0"/>
    <x v="2"/>
  </r>
  <r>
    <s v="Regular"/>
    <x v="1"/>
    <x v="0"/>
    <x v="2"/>
    <x v="1"/>
    <x v="1"/>
    <x v="0"/>
    <x v="1"/>
    <x v="8"/>
    <n v="3300"/>
    <n v="3300"/>
    <n v="0"/>
    <n v="0"/>
    <n v="0"/>
    <n v="0"/>
    <n v="0"/>
    <s v="LIVRE"/>
    <n v="0"/>
    <n v="11"/>
    <n v="0"/>
    <n v="0"/>
    <n v="22.94"/>
    <n v="0"/>
    <n v="0"/>
    <n v="27.216283196676113"/>
    <n v="87.520205040180812"/>
    <m/>
    <n v="0"/>
    <n v="0"/>
    <n v="0"/>
    <n v="0"/>
    <x v="2"/>
  </r>
  <r>
    <s v="Regular"/>
    <x v="1"/>
    <x v="0"/>
    <x v="2"/>
    <x v="1"/>
    <x v="1"/>
    <x v="0"/>
    <x v="1"/>
    <x v="9"/>
    <n v="3300"/>
    <n v="3300"/>
    <n v="0"/>
    <n v="0"/>
    <n v="0"/>
    <n v="0"/>
    <n v="0"/>
    <s v="LIVRE"/>
    <n v="0"/>
    <n v="11"/>
    <n v="0"/>
    <n v="0"/>
    <n v="22.94"/>
    <n v="0"/>
    <n v="0"/>
    <n v="27.216283196676113"/>
    <n v="87.520205040180812"/>
    <m/>
    <n v="0"/>
    <n v="0"/>
    <n v="0"/>
    <n v="0"/>
    <x v="2"/>
  </r>
  <r>
    <s v="Regular"/>
    <x v="1"/>
    <x v="0"/>
    <x v="2"/>
    <x v="1"/>
    <x v="1"/>
    <x v="0"/>
    <x v="1"/>
    <x v="10"/>
    <n v="3300"/>
    <n v="3300"/>
    <n v="0"/>
    <n v="0"/>
    <n v="0"/>
    <n v="0"/>
    <n v="0"/>
    <s v="LIVRE"/>
    <n v="0"/>
    <n v="11"/>
    <n v="0"/>
    <n v="0"/>
    <n v="22.94"/>
    <n v="0"/>
    <n v="0"/>
    <n v="27.216283196676113"/>
    <n v="87.520205040180812"/>
    <m/>
    <n v="0"/>
    <n v="0"/>
    <n v="0"/>
    <n v="0"/>
    <x v="2"/>
  </r>
  <r>
    <s v="PROJETADO"/>
    <x v="1"/>
    <x v="0"/>
    <x v="2"/>
    <x v="1"/>
    <x v="1"/>
    <x v="0"/>
    <x v="1"/>
    <x v="11"/>
    <n v="3300"/>
    <n v="3300"/>
    <n v="0"/>
    <n v="0"/>
    <n v="0"/>
    <n v="0"/>
    <n v="0"/>
    <s v="LIVRE"/>
    <n v="0"/>
    <n v="11"/>
    <n v="0"/>
    <n v="0"/>
    <n v="22.94"/>
    <n v="0"/>
    <n v="0"/>
    <n v="27.216283196676113"/>
    <n v="87.520205040180812"/>
    <m/>
    <n v="0"/>
    <n v="0"/>
    <n v="0"/>
    <n v="0"/>
    <x v="2"/>
  </r>
  <r>
    <s v="Regular"/>
    <x v="1"/>
    <x v="0"/>
    <x v="0"/>
    <x v="0"/>
    <x v="0"/>
    <x v="0"/>
    <x v="0"/>
    <x v="0"/>
    <n v="4867"/>
    <n v="4136.95"/>
    <n v="2039.0350000000001"/>
    <n v="1794.3508000000002"/>
    <n v="2039.0350000000001"/>
    <n v="1794.3508000000002"/>
    <n v="0"/>
    <s v="CATIVO"/>
    <n v="0"/>
    <n v="12"/>
    <n v="13"/>
    <n v="80"/>
    <n v="8.81"/>
    <n v="84.45"/>
    <n v="256.38"/>
    <n v="11.452356648653195"/>
    <n v="87.520205040180812"/>
    <n v="230.84299908458948"/>
    <n v="6431.7405000000017"/>
    <n v="83395.715885999976"/>
    <n v="8360.7929713492667"/>
    <n v="77898.445910706097"/>
    <x v="0"/>
  </r>
  <r>
    <s v="Regular"/>
    <x v="1"/>
    <x v="0"/>
    <x v="0"/>
    <x v="0"/>
    <x v="0"/>
    <x v="0"/>
    <x v="0"/>
    <x v="1"/>
    <n v="4896"/>
    <n v="4161.5999999999995"/>
    <n v="2322.2570000000001"/>
    <n v="2043.5861600000001"/>
    <n v="2322.2570000000001"/>
    <n v="2043.5861600000001"/>
    <n v="0"/>
    <s v="CATIVO"/>
    <n v="0"/>
    <n v="12"/>
    <n v="13"/>
    <n v="80"/>
    <n v="8.81"/>
    <n v="84.45"/>
    <n v="256.38"/>
    <n v="11.452356648653195"/>
    <n v="87.520205040180812"/>
    <n v="230.84299908458948"/>
    <n v="6470.0640000000049"/>
    <n v="94979.382397199995"/>
    <n v="8410.6107227709126"/>
    <n v="88718.541518541198"/>
    <x v="0"/>
  </r>
  <r>
    <s v="Regular"/>
    <x v="1"/>
    <x v="0"/>
    <x v="0"/>
    <x v="0"/>
    <x v="0"/>
    <x v="0"/>
    <x v="0"/>
    <x v="2"/>
    <n v="4819"/>
    <n v="4096.1499999999996"/>
    <n v="2181.991"/>
    <n v="1920.1520800000001"/>
    <n v="2181.991"/>
    <n v="1920.1520800000001"/>
    <n v="0"/>
    <s v="CATIVO"/>
    <n v="0"/>
    <n v="12"/>
    <n v="13"/>
    <n v="80"/>
    <n v="8.81"/>
    <n v="84.45"/>
    <n v="256.38"/>
    <n v="11.452356648653195"/>
    <n v="87.520205040180812"/>
    <n v="230.84299908458948"/>
    <n v="6368.3085000000037"/>
    <n v="89242.559103599968"/>
    <n v="8278.3360034789657"/>
    <n v="83359.877535769367"/>
    <x v="0"/>
  </r>
  <r>
    <s v="Regular"/>
    <x v="1"/>
    <x v="0"/>
    <x v="0"/>
    <x v="0"/>
    <x v="0"/>
    <x v="0"/>
    <x v="0"/>
    <x v="3"/>
    <n v="4867"/>
    <n v="4136.95"/>
    <n v="1996.2909999999999"/>
    <n v="1756.7360799999999"/>
    <n v="1996.2909999999999"/>
    <n v="1756.7360799999999"/>
    <n v="0"/>
    <s v="CATIVO"/>
    <n v="0"/>
    <n v="12"/>
    <n v="13"/>
    <n v="80"/>
    <n v="8.81"/>
    <n v="84.45"/>
    <n v="256.38"/>
    <n v="11.452356648653195"/>
    <n v="87.520205040180812"/>
    <n v="230.84299908458948"/>
    <n v="6431.7405000000017"/>
    <n v="81647.503383600008"/>
    <n v="8360.7929713492667"/>
    <n v="76265.471895053022"/>
    <x v="0"/>
  </r>
  <r>
    <s v="Regular"/>
    <x v="1"/>
    <x v="0"/>
    <x v="0"/>
    <x v="0"/>
    <x v="0"/>
    <x v="0"/>
    <x v="0"/>
    <x v="4"/>
    <n v="4877"/>
    <n v="4145.45"/>
    <n v="2130.134"/>
    <n v="1874.51792"/>
    <n v="2130.134"/>
    <n v="1874.51792"/>
    <n v="0"/>
    <s v="CATIVO"/>
    <n v="0"/>
    <n v="12"/>
    <n v="13"/>
    <n v="80"/>
    <n v="8.81"/>
    <n v="84.45"/>
    <n v="256.38"/>
    <n v="11.452356648653195"/>
    <n v="87.520205040180812"/>
    <n v="230.84299908458948"/>
    <n v="6444.9555000000018"/>
    <n v="87121.62854640001"/>
    <n v="8377.9715063222466"/>
    <n v="81378.754254613625"/>
    <x v="0"/>
  </r>
  <r>
    <s v="Regular"/>
    <x v="1"/>
    <x v="0"/>
    <x v="0"/>
    <x v="0"/>
    <x v="0"/>
    <x v="0"/>
    <x v="0"/>
    <x v="5"/>
    <n v="4906"/>
    <n v="4170.0999999999995"/>
    <n v="2010.1510000000001"/>
    <n v="1768.9328800000001"/>
    <n v="2010.1510000000001"/>
    <n v="1768.9328800000001"/>
    <n v="0"/>
    <s v="CATIVO"/>
    <n v="0"/>
    <n v="12"/>
    <n v="13"/>
    <n v="80"/>
    <n v="8.81"/>
    <n v="84.45"/>
    <n v="256.38"/>
    <n v="11.452356648653195"/>
    <n v="87.520205040180812"/>
    <n v="230.84299908458948"/>
    <n v="6483.279000000005"/>
    <n v="82214.371839600004"/>
    <n v="8427.7892577438924"/>
    <n v="76794.973576153337"/>
    <x v="0"/>
  </r>
  <r>
    <s v="Regular"/>
    <x v="1"/>
    <x v="0"/>
    <x v="0"/>
    <x v="0"/>
    <x v="0"/>
    <x v="0"/>
    <x v="0"/>
    <x v="6"/>
    <n v="4906"/>
    <n v="4170.0999999999995"/>
    <n v="2322.9340000000002"/>
    <n v="2044.1819200000002"/>
    <n v="2322.9340000000002"/>
    <n v="2044.1819200000002"/>
    <n v="0"/>
    <s v="CATIVO"/>
    <n v="0"/>
    <n v="12"/>
    <n v="13"/>
    <n v="80"/>
    <n v="8.81"/>
    <n v="84.45"/>
    <n v="256.38"/>
    <n v="11.452356648653195"/>
    <n v="87.520205040180812"/>
    <n v="230.84299908458948"/>
    <n v="6483.279000000005"/>
    <n v="95007.071426399983"/>
    <n v="8427.7892577438924"/>
    <n v="88744.405345244289"/>
    <x v="0"/>
  </r>
  <r>
    <s v="Regular"/>
    <x v="1"/>
    <x v="0"/>
    <x v="0"/>
    <x v="0"/>
    <x v="0"/>
    <x v="0"/>
    <x v="0"/>
    <x v="7"/>
    <n v="4810"/>
    <n v="4088.5"/>
    <n v="2311.558"/>
    <n v="2034.1710399999999"/>
    <n v="2311.558"/>
    <n v="2034.1710399999999"/>
    <n v="0"/>
    <s v="CATIVO"/>
    <n v="0"/>
    <n v="12"/>
    <n v="13"/>
    <n v="80"/>
    <n v="8.81"/>
    <n v="84.45"/>
    <n v="256.38"/>
    <n v="11.452356648653195"/>
    <n v="87.520205040180812"/>
    <n v="230.84299908458948"/>
    <n v="6356.415"/>
    <n v="94541.797576800018"/>
    <n v="8262.8753220032795"/>
    <n v="88309.801368029497"/>
    <x v="0"/>
  </r>
  <r>
    <s v="Regular"/>
    <x v="1"/>
    <x v="0"/>
    <x v="0"/>
    <x v="0"/>
    <x v="0"/>
    <x v="0"/>
    <x v="0"/>
    <x v="8"/>
    <n v="4848"/>
    <n v="4120.8"/>
    <n v="2535.71"/>
    <n v="2231.4248000000002"/>
    <n v="2535.71"/>
    <n v="2231.4248000000002"/>
    <n v="0"/>
    <s v="CATIVO"/>
    <n v="0"/>
    <n v="12"/>
    <n v="13"/>
    <n v="80"/>
    <n v="8.81"/>
    <n v="84.45"/>
    <n v="256.38"/>
    <n v="11.452356648653195"/>
    <n v="87.520205040180812"/>
    <n v="230.84299908458948"/>
    <n v="6406.6319999999987"/>
    <n v="103709.52471599993"/>
    <n v="8328.1537549006007"/>
    <n v="96873.211239746495"/>
    <x v="0"/>
  </r>
  <r>
    <s v="Regular"/>
    <x v="1"/>
    <x v="0"/>
    <x v="0"/>
    <x v="0"/>
    <x v="0"/>
    <x v="0"/>
    <x v="0"/>
    <x v="9"/>
    <n v="4867"/>
    <n v="4136.95"/>
    <n v="2454.13"/>
    <n v="2159.6343999999999"/>
    <n v="2454.13"/>
    <n v="2159.6343999999999"/>
    <n v="0"/>
    <s v="CATIVO"/>
    <n v="0"/>
    <n v="12"/>
    <n v="13"/>
    <n v="80"/>
    <n v="8.81"/>
    <n v="84.45"/>
    <n v="256.38"/>
    <n v="11.452356648653195"/>
    <n v="87.520205040180812"/>
    <n v="230.84299908458948"/>
    <n v="6431.7405000000017"/>
    <n v="100372.93534800007"/>
    <n v="8360.7929713492667"/>
    <n v="93756.562816646765"/>
    <x v="0"/>
  </r>
  <r>
    <s v="Regular"/>
    <x v="1"/>
    <x v="0"/>
    <x v="0"/>
    <x v="0"/>
    <x v="0"/>
    <x v="0"/>
    <x v="0"/>
    <x v="10"/>
    <n v="4858"/>
    <n v="4129.3"/>
    <n v="2414.172"/>
    <n v="2124.47136"/>
    <n v="2414.172"/>
    <n v="2124.47136"/>
    <n v="0"/>
    <s v="CATIVO"/>
    <n v="0"/>
    <n v="12"/>
    <n v="13"/>
    <n v="80"/>
    <n v="8.81"/>
    <n v="84.45"/>
    <n v="256.38"/>
    <n v="11.452356648653195"/>
    <n v="87.520205040180812"/>
    <n v="230.84299908458948"/>
    <n v="6419.8469999999988"/>
    <n v="98738.669131200004"/>
    <n v="8345.3322898735805"/>
    <n v="92230.023987396606"/>
    <x v="0"/>
  </r>
  <r>
    <s v="PROJETADO"/>
    <x v="1"/>
    <x v="0"/>
    <x v="0"/>
    <x v="0"/>
    <x v="0"/>
    <x v="0"/>
    <x v="0"/>
    <x v="11"/>
    <n v="4858"/>
    <n v="4129.3"/>
    <n v="2414.172"/>
    <n v="2124.47136"/>
    <n v="2414.172"/>
    <n v="2124.47136"/>
    <n v="0"/>
    <s v="CATIVO"/>
    <n v="0"/>
    <n v="12"/>
    <n v="13"/>
    <n v="80"/>
    <n v="8.81"/>
    <n v="84.45"/>
    <n v="256.38"/>
    <n v="11.452356648653195"/>
    <n v="87.520205040180812"/>
    <n v="230.84299908458948"/>
    <n v="6419.8469999999988"/>
    <n v="98738.669131200004"/>
    <n v="8345.3322898735805"/>
    <n v="92230.023987396606"/>
    <x v="0"/>
  </r>
  <r>
    <s v="Regular"/>
    <x v="1"/>
    <x v="0"/>
    <x v="0"/>
    <x v="0"/>
    <x v="0"/>
    <x v="0"/>
    <x v="1"/>
    <x v="0"/>
    <n v="3800"/>
    <n v="3230"/>
    <n v="212.26300000000001"/>
    <n v="186.79143999999999"/>
    <n v="212.26300000000001"/>
    <n v="186.79143999999999"/>
    <n v="0"/>
    <s v="CATIVO"/>
    <n v="0"/>
    <n v="11"/>
    <n v="13"/>
    <n v="79"/>
    <n v="22.94"/>
    <n v="84.45"/>
    <n v="430.87"/>
    <n v="27.216283196676113"/>
    <n v="87.520205040180812"/>
    <n v="375.70671275609089"/>
    <n v="13075.800000000001"/>
    <n v="13126.004299200005"/>
    <n v="15513.281422105385"/>
    <n v="11799.112230262806"/>
    <x v="0"/>
  </r>
  <r>
    <s v="Regular"/>
    <x v="1"/>
    <x v="0"/>
    <x v="0"/>
    <x v="0"/>
    <x v="0"/>
    <x v="0"/>
    <x v="1"/>
    <x v="1"/>
    <n v="3800"/>
    <n v="3230"/>
    <n v="249.39599999999999"/>
    <n v="219.46848"/>
    <n v="249.39599999999999"/>
    <n v="219.46848"/>
    <n v="0"/>
    <s v="CATIVO"/>
    <n v="0"/>
    <n v="11"/>
    <n v="13"/>
    <n v="79"/>
    <n v="22.94"/>
    <n v="84.45"/>
    <n v="430.87"/>
    <n v="27.216283196676113"/>
    <n v="87.520205040180812"/>
    <n v="375.70671275609089"/>
    <n v="13075.800000000001"/>
    <n v="15422.249606399993"/>
    <n v="15513.281422105385"/>
    <n v="13863.232846886271"/>
    <x v="0"/>
  </r>
  <r>
    <s v="Regular"/>
    <x v="1"/>
    <x v="0"/>
    <x v="0"/>
    <x v="0"/>
    <x v="0"/>
    <x v="0"/>
    <x v="1"/>
    <x v="2"/>
    <n v="3936"/>
    <n v="3345.6"/>
    <n v="217.93199999999999"/>
    <n v="191.78016"/>
    <n v="217.93199999999999"/>
    <n v="191.78016"/>
    <n v="0"/>
    <s v="CATIVO"/>
    <n v="0"/>
    <n v="11"/>
    <n v="13"/>
    <n v="79"/>
    <n v="22.94"/>
    <n v="84.45"/>
    <n v="430.87"/>
    <n v="27.216283196676113"/>
    <n v="87.520205040180812"/>
    <n v="375.70671275609089"/>
    <n v="13543.776000000003"/>
    <n v="13476.566188799996"/>
    <n v="16068.493599317579"/>
    <n v="12114.236237901247"/>
    <x v="0"/>
  </r>
  <r>
    <s v="Regular"/>
    <x v="1"/>
    <x v="0"/>
    <x v="0"/>
    <x v="0"/>
    <x v="0"/>
    <x v="0"/>
    <x v="1"/>
    <x v="3"/>
    <n v="3800"/>
    <n v="3230"/>
    <n v="183.30699999999999"/>
    <n v="161.31016"/>
    <n v="183.30699999999999"/>
    <n v="161.31016"/>
    <n v="0"/>
    <s v="CATIVO"/>
    <n v="0"/>
    <n v="11"/>
    <n v="13"/>
    <n v="79"/>
    <n v="22.94"/>
    <n v="84.45"/>
    <n v="430.87"/>
    <n v="27.216283196676113"/>
    <n v="87.520205040180812"/>
    <n v="375.70671275609089"/>
    <n v="13075.800000000001"/>
    <n v="11335.411588799996"/>
    <n v="15513.281422105385"/>
    <n v="10189.528394457739"/>
    <x v="0"/>
  </r>
  <r>
    <s v="Regular"/>
    <x v="1"/>
    <x v="0"/>
    <x v="0"/>
    <x v="0"/>
    <x v="0"/>
    <x v="0"/>
    <x v="1"/>
    <x v="4"/>
    <n v="3888"/>
    <n v="3304.7999999999997"/>
    <n v="233.4"/>
    <n v="205.392"/>
    <n v="233.4"/>
    <n v="205.392"/>
    <n v="0"/>
    <s v="CATIVO"/>
    <n v="0"/>
    <n v="11"/>
    <n v="13"/>
    <n v="79"/>
    <n v="22.94"/>
    <n v="84.45"/>
    <n v="430.87"/>
    <n v="27.216283196676113"/>
    <n v="87.520205040180812"/>
    <n v="375.70671275609089"/>
    <n v="13378.608000000007"/>
    <n v="14433.082560000004"/>
    <n v="15872.536360301516"/>
    <n v="12974.059513637982"/>
    <x v="0"/>
  </r>
  <r>
    <s v="Regular"/>
    <x v="1"/>
    <x v="0"/>
    <x v="0"/>
    <x v="0"/>
    <x v="0"/>
    <x v="0"/>
    <x v="1"/>
    <x v="5"/>
    <n v="3888"/>
    <n v="3304.7999999999997"/>
    <n v="195.57400000000001"/>
    <n v="172.10512"/>
    <n v="195.57400000000001"/>
    <n v="172.10512"/>
    <n v="0"/>
    <s v="CATIVO"/>
    <n v="0"/>
    <n v="11"/>
    <n v="13"/>
    <n v="79"/>
    <n v="22.94"/>
    <n v="84.45"/>
    <n v="430.87"/>
    <n v="27.216283196676113"/>
    <n v="87.520205040180812"/>
    <n v="375.70671275609089"/>
    <n v="13378.608000000007"/>
    <n v="12093.983241600006"/>
    <n v="15872.536360301516"/>
    <n v="10871.416946530571"/>
    <x v="0"/>
  </r>
  <r>
    <s v="Regular"/>
    <x v="1"/>
    <x v="0"/>
    <x v="0"/>
    <x v="0"/>
    <x v="0"/>
    <x v="0"/>
    <x v="1"/>
    <x v="6"/>
    <n v="3878"/>
    <n v="3296.2999999999997"/>
    <n v="198.732"/>
    <n v="174.88416000000001"/>
    <n v="198.732"/>
    <n v="174.88416000000001"/>
    <n v="0"/>
    <s v="CATIVO"/>
    <n v="0"/>
    <n v="11"/>
    <n v="13"/>
    <n v="79"/>
    <n v="22.94"/>
    <n v="84.45"/>
    <n v="430.87"/>
    <n v="27.216283196676113"/>
    <n v="87.520205040180812"/>
    <n v="375.70671275609089"/>
    <n v="13344.198000000008"/>
    <n v="12289.268908799995"/>
    <n v="15831.711935506502"/>
    <n v="11046.961419298637"/>
    <x v="0"/>
  </r>
  <r>
    <s v="Regular"/>
    <x v="1"/>
    <x v="0"/>
    <x v="0"/>
    <x v="0"/>
    <x v="0"/>
    <x v="0"/>
    <x v="1"/>
    <x v="7"/>
    <n v="3859"/>
    <n v="3280.15"/>
    <n v="212.70500000000001"/>
    <n v="187.18040000000002"/>
    <n v="212.70500000000001"/>
    <n v="187.18040000000002"/>
    <n v="0"/>
    <s v="CATIVO"/>
    <n v="0"/>
    <n v="11"/>
    <n v="13"/>
    <n v="79"/>
    <n v="22.94"/>
    <n v="84.45"/>
    <n v="430.87"/>
    <n v="27.216283196676113"/>
    <n v="87.520205040180812"/>
    <n v="375.70671275609089"/>
    <n v="13278.819"/>
    <n v="13153.336871999996"/>
    <n v="15754.145528395966"/>
    <n v="11823.681785982713"/>
    <x v="0"/>
  </r>
  <r>
    <s v="Regular"/>
    <x v="1"/>
    <x v="0"/>
    <x v="0"/>
    <x v="0"/>
    <x v="0"/>
    <x v="0"/>
    <x v="1"/>
    <x v="8"/>
    <n v="3869"/>
    <n v="3288.65"/>
    <n v="235.36600000000001"/>
    <n v="207.12208000000001"/>
    <n v="235.36600000000001"/>
    <n v="207.12208000000001"/>
    <n v="0"/>
    <s v="CATIVO"/>
    <n v="0"/>
    <n v="11"/>
    <n v="13"/>
    <n v="79"/>
    <n v="22.94"/>
    <n v="84.45"/>
    <n v="430.87"/>
    <n v="27.216283196676113"/>
    <n v="87.520205040180812"/>
    <n v="375.70671275609089"/>
    <n v="13313.228999999999"/>
    <n v="14554.656854400002"/>
    <n v="15794.969953190979"/>
    <n v="13083.344008084476"/>
    <x v="0"/>
  </r>
  <r>
    <s v="Regular"/>
    <x v="1"/>
    <x v="0"/>
    <x v="0"/>
    <x v="0"/>
    <x v="0"/>
    <x v="0"/>
    <x v="1"/>
    <x v="9"/>
    <n v="3869"/>
    <n v="3288.65"/>
    <n v="234.86600000000001"/>
    <n v="206.68208000000001"/>
    <n v="234.86600000000001"/>
    <n v="206.68208000000001"/>
    <n v="0"/>
    <s v="CATIVO"/>
    <n v="0"/>
    <n v="11"/>
    <n v="13"/>
    <n v="79"/>
    <n v="22.94"/>
    <n v="84.45"/>
    <n v="430.87"/>
    <n v="27.216283196676113"/>
    <n v="87.520205040180812"/>
    <n v="375.70671275609089"/>
    <n v="13313.228999999999"/>
    <n v="14523.7376544"/>
    <n v="15794.969953190979"/>
    <n v="13055.550393016698"/>
    <x v="0"/>
  </r>
  <r>
    <s v="Regular"/>
    <x v="1"/>
    <x v="0"/>
    <x v="0"/>
    <x v="0"/>
    <x v="0"/>
    <x v="0"/>
    <x v="1"/>
    <x v="10"/>
    <n v="3878"/>
    <n v="3296.2999999999997"/>
    <n v="259.03699999999998"/>
    <n v="227.95255999999998"/>
    <n v="259.03699999999998"/>
    <n v="227.95255999999998"/>
    <n v="0"/>
    <s v="CATIVO"/>
    <n v="0"/>
    <n v="11"/>
    <n v="13"/>
    <n v="79"/>
    <n v="22.94"/>
    <n v="84.45"/>
    <n v="430.87"/>
    <n v="27.216283196676113"/>
    <n v="87.520205040180812"/>
    <n v="375.70671275609089"/>
    <n v="13344.198000000008"/>
    <n v="16018.4336208"/>
    <n v="15831.711935506502"/>
    <n v="14399.149332623141"/>
    <x v="0"/>
  </r>
  <r>
    <s v="PROJETADO"/>
    <x v="1"/>
    <x v="0"/>
    <x v="0"/>
    <x v="0"/>
    <x v="0"/>
    <x v="0"/>
    <x v="1"/>
    <x v="11"/>
    <n v="3878"/>
    <n v="3296.2999999999997"/>
    <n v="259.03699999999998"/>
    <n v="227.95255999999998"/>
    <n v="259.03699999999998"/>
    <n v="227.95255999999998"/>
    <n v="0"/>
    <s v="CATIVO"/>
    <n v="0"/>
    <n v="11"/>
    <n v="13"/>
    <n v="79"/>
    <n v="22.94"/>
    <n v="84.45"/>
    <n v="430.87"/>
    <n v="27.216283196676113"/>
    <n v="87.520205040180812"/>
    <n v="375.70671275609089"/>
    <n v="13344.198000000008"/>
    <n v="16018.4336208"/>
    <n v="15831.711935506502"/>
    <n v="14399.149332623141"/>
    <x v="0"/>
  </r>
  <r>
    <s v="Regular"/>
    <x v="1"/>
    <x v="1"/>
    <x v="1"/>
    <x v="1"/>
    <x v="0"/>
    <x v="3"/>
    <x v="2"/>
    <x v="0"/>
    <n v="24000"/>
    <n v="15036"/>
    <n v="0"/>
    <n v="0"/>
    <n v="0"/>
    <n v="0"/>
    <n v="0"/>
    <s v="GERAÇÃO"/>
    <n v="1975"/>
    <n v="15"/>
    <n v="0"/>
    <n v="0"/>
    <n v="3.6"/>
    <n v="0"/>
    <n v="0"/>
    <n v="3.7060953074592176"/>
    <m/>
    <m/>
    <n v="32270.400000000001"/>
    <n v="0"/>
    <n v="33221.438336064428"/>
    <n v="0"/>
    <x v="1"/>
  </r>
  <r>
    <s v="Regular"/>
    <x v="1"/>
    <x v="1"/>
    <x v="1"/>
    <x v="1"/>
    <x v="0"/>
    <x v="3"/>
    <x v="2"/>
    <x v="1"/>
    <n v="24000"/>
    <n v="13956"/>
    <n v="0"/>
    <n v="0"/>
    <n v="0"/>
    <n v="0"/>
    <n v="0"/>
    <s v="GERAÇÃO"/>
    <n v="1975"/>
    <n v="15"/>
    <n v="0"/>
    <n v="0"/>
    <n v="3.6"/>
    <n v="0"/>
    <n v="0"/>
    <n v="3.7060953074592176"/>
    <m/>
    <m/>
    <n v="36158.400000000001"/>
    <n v="0"/>
    <n v="37224.021268120385"/>
    <n v="0"/>
    <x v="1"/>
  </r>
  <r>
    <s v="Regular"/>
    <x v="1"/>
    <x v="1"/>
    <x v="1"/>
    <x v="1"/>
    <x v="0"/>
    <x v="3"/>
    <x v="2"/>
    <x v="2"/>
    <n v="24000"/>
    <n v="14023.2"/>
    <n v="0"/>
    <n v="0"/>
    <n v="0"/>
    <n v="0"/>
    <n v="0"/>
    <s v="GERAÇÃO"/>
    <n v="1975"/>
    <n v="15"/>
    <n v="0"/>
    <n v="0"/>
    <n v="3.6"/>
    <n v="0"/>
    <n v="0"/>
    <n v="3.7060953074592176"/>
    <m/>
    <m/>
    <n v="35916.479999999996"/>
    <n v="0"/>
    <n v="36974.971663459117"/>
    <n v="0"/>
    <x v="1"/>
  </r>
  <r>
    <s v="Regular"/>
    <x v="1"/>
    <x v="1"/>
    <x v="1"/>
    <x v="1"/>
    <x v="0"/>
    <x v="3"/>
    <x v="2"/>
    <x v="3"/>
    <n v="24000"/>
    <n v="13870.8"/>
    <n v="0"/>
    <n v="0"/>
    <n v="0"/>
    <n v="0"/>
    <n v="0"/>
    <s v="GERAÇÃO"/>
    <n v="1975"/>
    <n v="15"/>
    <n v="0"/>
    <n v="0"/>
    <n v="3.6"/>
    <n v="0"/>
    <n v="0"/>
    <n v="3.7060953074592176"/>
    <m/>
    <m/>
    <n v="36465.120000000003"/>
    <n v="0"/>
    <n v="37539.780588315909"/>
    <n v="0"/>
    <x v="1"/>
  </r>
  <r>
    <s v="Regular"/>
    <x v="1"/>
    <x v="1"/>
    <x v="1"/>
    <x v="1"/>
    <x v="0"/>
    <x v="3"/>
    <x v="2"/>
    <x v="4"/>
    <n v="24000"/>
    <n v="13872"/>
    <n v="0"/>
    <n v="0"/>
    <n v="0"/>
    <n v="0"/>
    <n v="0"/>
    <s v="GERAÇÃO"/>
    <n v="1975"/>
    <n v="15"/>
    <n v="0"/>
    <n v="0"/>
    <n v="3.6"/>
    <n v="0"/>
    <n v="0"/>
    <n v="3.7060953074592176"/>
    <m/>
    <m/>
    <n v="36460.800000000003"/>
    <n v="0"/>
    <n v="37535.333273946955"/>
    <n v="0"/>
    <x v="1"/>
  </r>
  <r>
    <s v="Regular"/>
    <x v="1"/>
    <x v="1"/>
    <x v="1"/>
    <x v="1"/>
    <x v="0"/>
    <x v="3"/>
    <x v="2"/>
    <x v="5"/>
    <n v="24000"/>
    <n v="13851.6"/>
    <n v="0"/>
    <n v="0"/>
    <n v="0"/>
    <n v="0"/>
    <n v="0"/>
    <s v="GERAÇÃO"/>
    <n v="1975"/>
    <n v="15"/>
    <n v="0"/>
    <n v="0"/>
    <n v="3.6"/>
    <n v="0"/>
    <n v="0"/>
    <n v="3.7060953074592176"/>
    <m/>
    <m/>
    <n v="36534.239999999998"/>
    <n v="0"/>
    <n v="37610.937618219119"/>
    <n v="0"/>
    <x v="1"/>
  </r>
  <r>
    <s v="Regular"/>
    <x v="1"/>
    <x v="1"/>
    <x v="1"/>
    <x v="1"/>
    <x v="0"/>
    <x v="3"/>
    <x v="2"/>
    <x v="6"/>
    <n v="24000"/>
    <n v="13862.4"/>
    <n v="0"/>
    <n v="0"/>
    <n v="0"/>
    <n v="0"/>
    <n v="0"/>
    <s v="GERAÇÃO"/>
    <n v="1975"/>
    <n v="15"/>
    <n v="0"/>
    <n v="0"/>
    <n v="3.6"/>
    <n v="0"/>
    <n v="0"/>
    <n v="3.7060953074592176"/>
    <m/>
    <m/>
    <n v="36495.360000000001"/>
    <n v="0"/>
    <n v="37570.911788898564"/>
    <n v="0"/>
    <x v="1"/>
  </r>
  <r>
    <s v="Regular"/>
    <x v="1"/>
    <x v="1"/>
    <x v="1"/>
    <x v="1"/>
    <x v="0"/>
    <x v="3"/>
    <x v="2"/>
    <x v="7"/>
    <n v="24000"/>
    <n v="13870.8"/>
    <n v="0"/>
    <n v="0"/>
    <n v="0"/>
    <n v="0"/>
    <n v="0"/>
    <s v="GERAÇÃO"/>
    <n v="1975"/>
    <n v="15"/>
    <n v="0"/>
    <n v="0"/>
    <n v="3.6"/>
    <n v="0"/>
    <n v="0"/>
    <n v="3.7060953074592176"/>
    <m/>
    <m/>
    <n v="36465.120000000003"/>
    <n v="0"/>
    <n v="37539.780588315909"/>
    <n v="0"/>
    <x v="1"/>
  </r>
  <r>
    <s v="Regular"/>
    <x v="1"/>
    <x v="1"/>
    <x v="1"/>
    <x v="1"/>
    <x v="0"/>
    <x v="3"/>
    <x v="2"/>
    <x v="8"/>
    <n v="24000"/>
    <n v="13812"/>
    <n v="0"/>
    <n v="0"/>
    <n v="0"/>
    <n v="0"/>
    <n v="0"/>
    <s v="GERAÇÃO"/>
    <n v="1975"/>
    <n v="15"/>
    <n v="0"/>
    <n v="0"/>
    <n v="3.6"/>
    <n v="0"/>
    <n v="0"/>
    <n v="3.7060953074592176"/>
    <m/>
    <m/>
    <n v="36676.800000000003"/>
    <n v="0"/>
    <n v="37757.698992394508"/>
    <n v="0"/>
    <x v="1"/>
  </r>
  <r>
    <s v="Regular"/>
    <x v="1"/>
    <x v="1"/>
    <x v="1"/>
    <x v="1"/>
    <x v="0"/>
    <x v="3"/>
    <x v="2"/>
    <x v="9"/>
    <n v="24000"/>
    <n v="13790.4"/>
    <n v="0"/>
    <n v="0"/>
    <n v="0"/>
    <n v="0"/>
    <n v="0"/>
    <s v="GERAÇÃO"/>
    <n v="1975"/>
    <n v="15"/>
    <n v="0"/>
    <n v="0"/>
    <n v="3.6"/>
    <n v="0"/>
    <n v="0"/>
    <n v="3.7060953074592176"/>
    <m/>
    <m/>
    <n v="36754.560000000005"/>
    <n v="0"/>
    <n v="37837.750651035632"/>
    <n v="0"/>
    <x v="1"/>
  </r>
  <r>
    <s v="Regular"/>
    <x v="1"/>
    <x v="1"/>
    <x v="1"/>
    <x v="1"/>
    <x v="0"/>
    <x v="3"/>
    <x v="2"/>
    <x v="10"/>
    <n v="24000"/>
    <n v="13778.4"/>
    <n v="0"/>
    <n v="0"/>
    <n v="0"/>
    <n v="0"/>
    <n v="0"/>
    <s v="GERAÇÃO"/>
    <n v="1975"/>
    <n v="15"/>
    <n v="0"/>
    <n v="0"/>
    <n v="3.6"/>
    <n v="0"/>
    <n v="0"/>
    <n v="3.7060953074592176"/>
    <m/>
    <m/>
    <n v="36797.760000000002"/>
    <n v="0"/>
    <n v="37882.223794725141"/>
    <n v="0"/>
    <x v="1"/>
  </r>
  <r>
    <s v="PROJETADO"/>
    <x v="1"/>
    <x v="1"/>
    <x v="1"/>
    <x v="1"/>
    <x v="0"/>
    <x v="3"/>
    <x v="2"/>
    <x v="11"/>
    <n v="24000"/>
    <n v="13778.4"/>
    <n v="0"/>
    <n v="0"/>
    <n v="0"/>
    <n v="0"/>
    <n v="0"/>
    <s v="GERAÇÃO"/>
    <n v="1975"/>
    <n v="15"/>
    <n v="0"/>
    <n v="0"/>
    <n v="3.6"/>
    <n v="0"/>
    <n v="0"/>
    <n v="3.7060953074592176"/>
    <m/>
    <m/>
    <n v="36797.760000000002"/>
    <n v="0"/>
    <n v="37882.223794725141"/>
    <n v="0"/>
    <x v="1"/>
  </r>
  <r>
    <s v="Regular"/>
    <x v="1"/>
    <x v="2"/>
    <x v="2"/>
    <x v="1"/>
    <x v="1"/>
    <x v="0"/>
    <x v="0"/>
    <x v="0"/>
    <n v="0"/>
    <n v="0"/>
    <n v="120.919"/>
    <n v="120.919"/>
    <n v="0"/>
    <n v="0"/>
    <n v="0"/>
    <s v="LIVRE"/>
    <n v="0"/>
    <n v="0"/>
    <n v="18"/>
    <n v="0"/>
    <n v="0"/>
    <n v="84.45"/>
    <n v="0"/>
    <m/>
    <n v="87.520205040180812"/>
    <m/>
    <n v="0"/>
    <n v="0"/>
    <n v="0"/>
    <n v="0"/>
    <x v="2"/>
  </r>
  <r>
    <s v="Regular"/>
    <x v="1"/>
    <x v="2"/>
    <x v="2"/>
    <x v="1"/>
    <x v="1"/>
    <x v="0"/>
    <x v="0"/>
    <x v="1"/>
    <n v="0"/>
    <n v="0"/>
    <n v="117.059"/>
    <n v="117.059"/>
    <n v="0"/>
    <n v="0"/>
    <n v="0"/>
    <s v="LIVRE"/>
    <n v="0"/>
    <n v="0"/>
    <n v="18"/>
    <n v="0"/>
    <n v="0"/>
    <n v="84.45"/>
    <n v="0"/>
    <m/>
    <n v="87.520205040180812"/>
    <m/>
    <n v="0"/>
    <n v="0"/>
    <n v="0"/>
    <n v="0"/>
    <x v="2"/>
  </r>
  <r>
    <s v="Regular"/>
    <x v="1"/>
    <x v="2"/>
    <x v="2"/>
    <x v="1"/>
    <x v="1"/>
    <x v="0"/>
    <x v="0"/>
    <x v="2"/>
    <n v="0"/>
    <n v="0"/>
    <n v="118.559"/>
    <n v="118.559"/>
    <n v="0"/>
    <n v="0"/>
    <n v="0"/>
    <s v="LIVRE"/>
    <n v="0"/>
    <n v="0"/>
    <n v="18"/>
    <n v="0"/>
    <n v="0"/>
    <n v="84.45"/>
    <n v="0"/>
    <m/>
    <n v="87.520205040180812"/>
    <m/>
    <n v="0"/>
    <n v="0"/>
    <n v="0"/>
    <n v="0"/>
    <x v="2"/>
  </r>
  <r>
    <s v="Regular"/>
    <x v="1"/>
    <x v="2"/>
    <x v="2"/>
    <x v="1"/>
    <x v="1"/>
    <x v="0"/>
    <x v="0"/>
    <x v="3"/>
    <n v="0"/>
    <n v="0"/>
    <n v="119.437"/>
    <n v="119.437"/>
    <n v="0"/>
    <n v="0"/>
    <n v="0"/>
    <s v="LIVRE"/>
    <n v="0"/>
    <n v="0"/>
    <n v="18"/>
    <n v="0"/>
    <n v="0"/>
    <n v="84.45"/>
    <n v="0"/>
    <m/>
    <n v="87.520205040180812"/>
    <m/>
    <n v="0"/>
    <n v="0"/>
    <n v="0"/>
    <n v="0"/>
    <x v="2"/>
  </r>
  <r>
    <s v="Regular"/>
    <x v="1"/>
    <x v="2"/>
    <x v="2"/>
    <x v="1"/>
    <x v="1"/>
    <x v="0"/>
    <x v="0"/>
    <x v="4"/>
    <n v="0"/>
    <n v="0"/>
    <n v="108.58199999999999"/>
    <n v="108.58199999999999"/>
    <n v="0"/>
    <n v="0"/>
    <n v="0"/>
    <s v="LIVRE"/>
    <n v="0"/>
    <n v="0"/>
    <n v="18"/>
    <n v="0"/>
    <n v="0"/>
    <n v="84.45"/>
    <n v="0"/>
    <m/>
    <n v="87.520205040180812"/>
    <m/>
    <n v="0"/>
    <n v="0"/>
    <n v="0"/>
    <n v="0"/>
    <x v="2"/>
  </r>
  <r>
    <s v="Regular"/>
    <x v="1"/>
    <x v="2"/>
    <x v="2"/>
    <x v="1"/>
    <x v="1"/>
    <x v="0"/>
    <x v="0"/>
    <x v="5"/>
    <n v="0"/>
    <n v="0"/>
    <n v="62.996000000000002"/>
    <n v="62.996000000000002"/>
    <n v="0"/>
    <n v="0"/>
    <n v="0"/>
    <s v="LIVRE"/>
    <n v="0"/>
    <n v="0"/>
    <n v="18"/>
    <n v="0"/>
    <n v="0"/>
    <n v="84.45"/>
    <n v="0"/>
    <m/>
    <n v="87.520205040180812"/>
    <m/>
    <n v="0"/>
    <n v="0"/>
    <n v="0"/>
    <n v="0"/>
    <x v="2"/>
  </r>
  <r>
    <s v="Regular"/>
    <x v="1"/>
    <x v="2"/>
    <x v="2"/>
    <x v="1"/>
    <x v="1"/>
    <x v="0"/>
    <x v="0"/>
    <x v="6"/>
    <n v="0"/>
    <n v="0"/>
    <n v="10.845000000000001"/>
    <n v="10.845000000000001"/>
    <n v="0"/>
    <n v="0"/>
    <n v="0"/>
    <s v="LIVRE"/>
    <n v="0"/>
    <n v="0"/>
    <n v="18"/>
    <n v="0"/>
    <n v="0"/>
    <n v="84.45"/>
    <n v="0"/>
    <m/>
    <n v="87.520205040180812"/>
    <m/>
    <n v="0"/>
    <n v="0"/>
    <n v="0"/>
    <n v="0"/>
    <x v="2"/>
  </r>
  <r>
    <s v="Regular"/>
    <x v="1"/>
    <x v="2"/>
    <x v="2"/>
    <x v="1"/>
    <x v="1"/>
    <x v="0"/>
    <x v="0"/>
    <x v="7"/>
    <n v="0"/>
    <n v="0"/>
    <n v="22.18"/>
    <n v="22.18"/>
    <n v="0"/>
    <n v="0"/>
    <n v="0"/>
    <s v="LIVRE"/>
    <n v="0"/>
    <n v="0"/>
    <n v="18"/>
    <n v="0"/>
    <n v="0"/>
    <n v="84.45"/>
    <n v="0"/>
    <m/>
    <n v="87.520205040180812"/>
    <m/>
    <n v="0"/>
    <n v="0"/>
    <n v="0"/>
    <n v="0"/>
    <x v="2"/>
  </r>
  <r>
    <s v="Regular"/>
    <x v="1"/>
    <x v="2"/>
    <x v="2"/>
    <x v="1"/>
    <x v="1"/>
    <x v="0"/>
    <x v="0"/>
    <x v="8"/>
    <n v="0"/>
    <n v="0"/>
    <n v="22.18"/>
    <n v="22.18"/>
    <n v="0"/>
    <n v="0"/>
    <n v="0"/>
    <s v="LIVRE"/>
    <n v="0"/>
    <n v="0"/>
    <n v="18"/>
    <n v="0"/>
    <n v="0"/>
    <n v="84.45"/>
    <n v="0"/>
    <m/>
    <n v="87.520205040180812"/>
    <m/>
    <n v="0"/>
    <n v="0"/>
    <n v="0"/>
    <n v="0"/>
    <x v="2"/>
  </r>
  <r>
    <s v="Regular"/>
    <x v="1"/>
    <x v="2"/>
    <x v="2"/>
    <x v="1"/>
    <x v="1"/>
    <x v="0"/>
    <x v="0"/>
    <x v="9"/>
    <n v="0"/>
    <n v="0"/>
    <n v="55.78"/>
    <n v="55.78"/>
    <n v="0"/>
    <n v="0"/>
    <n v="0"/>
    <s v="LIVRE"/>
    <n v="0"/>
    <n v="0"/>
    <n v="18"/>
    <n v="0"/>
    <n v="0"/>
    <n v="84.45"/>
    <n v="0"/>
    <m/>
    <n v="87.520205040180812"/>
    <m/>
    <n v="0"/>
    <n v="0"/>
    <n v="0"/>
    <n v="0"/>
    <x v="2"/>
  </r>
  <r>
    <s v="Regular"/>
    <x v="1"/>
    <x v="2"/>
    <x v="2"/>
    <x v="1"/>
    <x v="1"/>
    <x v="0"/>
    <x v="0"/>
    <x v="10"/>
    <n v="0"/>
    <n v="0"/>
    <n v="61.387999999999998"/>
    <n v="61.387999999999998"/>
    <n v="0"/>
    <n v="0"/>
    <n v="0"/>
    <s v="LIVRE"/>
    <n v="0"/>
    <n v="0"/>
    <n v="18"/>
    <n v="0"/>
    <n v="0"/>
    <n v="84.45"/>
    <n v="0"/>
    <m/>
    <n v="87.520205040180812"/>
    <m/>
    <n v="0"/>
    <n v="0"/>
    <n v="0"/>
    <n v="0"/>
    <x v="2"/>
  </r>
  <r>
    <s v="PROJETADO"/>
    <x v="1"/>
    <x v="2"/>
    <x v="2"/>
    <x v="1"/>
    <x v="1"/>
    <x v="0"/>
    <x v="0"/>
    <x v="11"/>
    <n v="0"/>
    <n v="0"/>
    <n v="61.387999999999998"/>
    <n v="61.387999999999998"/>
    <n v="0"/>
    <n v="0"/>
    <n v="0"/>
    <s v="LIVRE"/>
    <n v="0"/>
    <n v="0"/>
    <n v="18"/>
    <n v="0"/>
    <n v="0"/>
    <n v="84.45"/>
    <n v="0"/>
    <m/>
    <n v="87.520205040180812"/>
    <m/>
    <n v="0"/>
    <n v="0"/>
    <n v="0"/>
    <n v="0"/>
    <x v="2"/>
  </r>
  <r>
    <s v="Regular"/>
    <x v="1"/>
    <x v="2"/>
    <x v="2"/>
    <x v="1"/>
    <x v="1"/>
    <x v="0"/>
    <x v="2"/>
    <x v="0"/>
    <n v="670"/>
    <n v="419.85302100000001"/>
    <n v="0"/>
    <n v="0"/>
    <n v="0"/>
    <n v="0"/>
    <n v="3"/>
    <s v="LIVRE"/>
    <n v="0"/>
    <n v="16"/>
    <n v="0"/>
    <n v="0"/>
    <n v="8.81"/>
    <n v="0"/>
    <n v="0"/>
    <n v="11.452356648653195"/>
    <m/>
    <m/>
    <n v="2203.7948849899999"/>
    <n v="0"/>
    <n v="2864.7724180911609"/>
    <n v="0"/>
    <x v="2"/>
  </r>
  <r>
    <s v="Regular"/>
    <x v="1"/>
    <x v="2"/>
    <x v="2"/>
    <x v="1"/>
    <x v="1"/>
    <x v="0"/>
    <x v="2"/>
    <x v="1"/>
    <n v="670"/>
    <n v="421.90370339999998"/>
    <n v="0"/>
    <n v="0"/>
    <n v="0"/>
    <n v="0"/>
    <n v="3"/>
    <s v="LIVRE"/>
    <n v="0"/>
    <n v="16"/>
    <n v="0"/>
    <n v="0"/>
    <n v="8.81"/>
    <n v="0"/>
    <n v="0"/>
    <n v="11.452356648653195"/>
    <m/>
    <m/>
    <n v="2185.7283730460003"/>
    <n v="0"/>
    <n v="2841.2872718732451"/>
    <n v="0"/>
    <x v="2"/>
  </r>
  <r>
    <s v="Regular"/>
    <x v="1"/>
    <x v="2"/>
    <x v="2"/>
    <x v="1"/>
    <x v="1"/>
    <x v="0"/>
    <x v="2"/>
    <x v="2"/>
    <n v="670"/>
    <n v="425.12383060000002"/>
    <n v="0"/>
    <n v="0"/>
    <n v="0"/>
    <n v="0"/>
    <n v="3"/>
    <s v="LIVRE"/>
    <n v="0"/>
    <n v="16"/>
    <n v="0"/>
    <n v="0"/>
    <n v="8.81"/>
    <n v="0"/>
    <n v="0"/>
    <n v="11.452356648653195"/>
    <m/>
    <m/>
    <n v="2157.359052414"/>
    <n v="0"/>
    <n v="2804.4092267248157"/>
    <n v="0"/>
    <x v="2"/>
  </r>
  <r>
    <s v="Regular"/>
    <x v="1"/>
    <x v="2"/>
    <x v="2"/>
    <x v="1"/>
    <x v="1"/>
    <x v="0"/>
    <x v="2"/>
    <x v="3"/>
    <n v="670"/>
    <n v="424.60471460000002"/>
    <n v="0"/>
    <n v="0"/>
    <n v="0"/>
    <n v="0"/>
    <n v="3"/>
    <s v="LIVRE"/>
    <n v="0"/>
    <n v="16"/>
    <n v="0"/>
    <n v="0"/>
    <n v="8.81"/>
    <n v="0"/>
    <n v="0"/>
    <n v="11.452356648653195"/>
    <m/>
    <m/>
    <n v="2161.9324643740001"/>
    <n v="0"/>
    <n v="2810.354328298838"/>
    <n v="0"/>
    <x v="2"/>
  </r>
  <r>
    <s v="Regular"/>
    <x v="1"/>
    <x v="2"/>
    <x v="2"/>
    <x v="1"/>
    <x v="1"/>
    <x v="0"/>
    <x v="2"/>
    <x v="4"/>
    <n v="670"/>
    <n v="420.11772459999997"/>
    <n v="0"/>
    <n v="0"/>
    <n v="0"/>
    <n v="0"/>
    <n v="3"/>
    <s v="LIVRE"/>
    <n v="0"/>
    <n v="16"/>
    <n v="0"/>
    <n v="0"/>
    <n v="8.81"/>
    <n v="0"/>
    <n v="0"/>
    <n v="11.452356648653195"/>
    <m/>
    <m/>
    <n v="2201.4628462740002"/>
    <n v="0"/>
    <n v="2861.7409380577792"/>
    <n v="0"/>
    <x v="2"/>
  </r>
  <r>
    <s v="Regular"/>
    <x v="1"/>
    <x v="2"/>
    <x v="2"/>
    <x v="1"/>
    <x v="1"/>
    <x v="0"/>
    <x v="2"/>
    <x v="5"/>
    <n v="670"/>
    <n v="418.96188080000002"/>
    <n v="0"/>
    <n v="0"/>
    <n v="0"/>
    <n v="0"/>
    <n v="3"/>
    <s v="LIVRE"/>
    <n v="0"/>
    <n v="16"/>
    <n v="0"/>
    <n v="0"/>
    <n v="8.81"/>
    <n v="0"/>
    <n v="0"/>
    <n v="11.452356648653195"/>
    <m/>
    <m/>
    <n v="2211.6458301520001"/>
    <n v="0"/>
    <n v="2874.9780734855131"/>
    <n v="0"/>
    <x v="2"/>
  </r>
  <r>
    <s v="Regular"/>
    <x v="1"/>
    <x v="2"/>
    <x v="2"/>
    <x v="1"/>
    <x v="1"/>
    <x v="0"/>
    <x v="2"/>
    <x v="6"/>
    <n v="670"/>
    <n v="419.41134360000001"/>
    <n v="0"/>
    <n v="0"/>
    <n v="0"/>
    <n v="0"/>
    <n v="3"/>
    <s v="LIVRE"/>
    <n v="0"/>
    <n v="16"/>
    <n v="0"/>
    <n v="0"/>
    <n v="8.81"/>
    <n v="0"/>
    <n v="0"/>
    <n v="11.452356648653195"/>
    <m/>
    <m/>
    <n v="2207.686062884"/>
    <n v="0"/>
    <n v="2869.8306651996108"/>
    <n v="0"/>
    <x v="2"/>
  </r>
  <r>
    <s v="Regular"/>
    <x v="1"/>
    <x v="2"/>
    <x v="2"/>
    <x v="1"/>
    <x v="1"/>
    <x v="0"/>
    <x v="2"/>
    <x v="7"/>
    <n v="670"/>
    <n v="418.4460545"/>
    <n v="0"/>
    <n v="0"/>
    <n v="0"/>
    <n v="0"/>
    <n v="3"/>
    <s v="LIVRE"/>
    <n v="0"/>
    <n v="16"/>
    <n v="0"/>
    <n v="0"/>
    <n v="8.81"/>
    <n v="0"/>
    <n v="0"/>
    <n v="11.452356648653195"/>
    <m/>
    <m/>
    <n v="2216.190259855"/>
    <n v="0"/>
    <n v="2880.8855002418686"/>
    <n v="0"/>
    <x v="2"/>
  </r>
  <r>
    <s v="Regular"/>
    <x v="1"/>
    <x v="2"/>
    <x v="2"/>
    <x v="1"/>
    <x v="1"/>
    <x v="0"/>
    <x v="2"/>
    <x v="8"/>
    <n v="670"/>
    <n v="419.22425279999999"/>
    <n v="0"/>
    <n v="0"/>
    <n v="0"/>
    <n v="0"/>
    <n v="3"/>
    <s v="LIVRE"/>
    <n v="0"/>
    <n v="16"/>
    <n v="0"/>
    <n v="0"/>
    <n v="8.81"/>
    <n v="0"/>
    <n v="0"/>
    <n v="11.452356648653195"/>
    <m/>
    <m/>
    <n v="2209.3343328320002"/>
    <n v="0"/>
    <n v="2871.973295766893"/>
    <n v="0"/>
    <x v="2"/>
  </r>
  <r>
    <s v="Regular"/>
    <x v="1"/>
    <x v="2"/>
    <x v="2"/>
    <x v="1"/>
    <x v="1"/>
    <x v="0"/>
    <x v="2"/>
    <x v="9"/>
    <n v="420"/>
    <n v="273.46222260000002"/>
    <n v="0"/>
    <n v="0"/>
    <n v="0"/>
    <n v="0"/>
    <n v="2"/>
    <s v="LIVRE"/>
    <n v="0"/>
    <n v="16"/>
    <n v="0"/>
    <n v="0"/>
    <n v="8.81"/>
    <n v="0"/>
    <n v="0"/>
    <n v="11.452356648653195"/>
    <m/>
    <m/>
    <n v="1290.9978188939999"/>
    <n v="0"/>
    <n v="1678.2028892857518"/>
    <n v="0"/>
    <x v="2"/>
  </r>
  <r>
    <s v="Regular"/>
    <x v="1"/>
    <x v="2"/>
    <x v="2"/>
    <x v="1"/>
    <x v="1"/>
    <x v="0"/>
    <x v="2"/>
    <x v="10"/>
    <n v="670"/>
    <n v="415.4"/>
    <n v="0"/>
    <n v="0"/>
    <n v="0"/>
    <n v="0"/>
    <n v="3"/>
    <s v="LIVRE"/>
    <n v="0"/>
    <n v="16"/>
    <n v="0"/>
    <n v="0"/>
    <n v="8.81"/>
    <n v="0"/>
    <n v="0"/>
    <n v="11.452356648653195"/>
    <m/>
    <m/>
    <n v="2243.0260000000003"/>
    <n v="0"/>
    <n v="2915.7700027471037"/>
    <n v="0"/>
    <x v="2"/>
  </r>
  <r>
    <s v="PROJETADO"/>
    <x v="1"/>
    <x v="2"/>
    <x v="2"/>
    <x v="1"/>
    <x v="1"/>
    <x v="0"/>
    <x v="2"/>
    <x v="11"/>
    <n v="670"/>
    <n v="415.4"/>
    <n v="0"/>
    <n v="0"/>
    <n v="0"/>
    <n v="0"/>
    <n v="3"/>
    <s v="LIVRE"/>
    <n v="0"/>
    <n v="16"/>
    <n v="0"/>
    <n v="0"/>
    <n v="8.81"/>
    <n v="0"/>
    <n v="0"/>
    <n v="11.452356648653195"/>
    <m/>
    <m/>
    <n v="2243.0260000000003"/>
    <n v="0"/>
    <n v="2915.7700027471037"/>
    <n v="0"/>
    <x v="2"/>
  </r>
  <r>
    <s v="Regular"/>
    <x v="1"/>
    <x v="2"/>
    <x v="2"/>
    <x v="1"/>
    <x v="1"/>
    <x v="0"/>
    <x v="1"/>
    <x v="0"/>
    <n v="0"/>
    <n v="0"/>
    <n v="21.872"/>
    <n v="14.80330008592"/>
    <n v="0"/>
    <n v="0"/>
    <n v="0"/>
    <s v="LIVRE"/>
    <n v="0"/>
    <n v="0"/>
    <n v="17"/>
    <n v="0"/>
    <n v="0"/>
    <n v="641.99"/>
    <n v="0"/>
    <m/>
    <n v="747.73459855656426"/>
    <m/>
    <n v="0"/>
    <n v="4538.0346578402196"/>
    <n v="0"/>
    <n v="5285.5114925714288"/>
    <x v="2"/>
  </r>
  <r>
    <s v="Regular"/>
    <x v="1"/>
    <x v="2"/>
    <x v="2"/>
    <x v="1"/>
    <x v="1"/>
    <x v="0"/>
    <x v="1"/>
    <x v="1"/>
    <n v="0"/>
    <n v="0"/>
    <n v="18.177"/>
    <n v="12.33908618451"/>
    <n v="0"/>
    <n v="0"/>
    <n v="0"/>
    <s v="LIVRE"/>
    <n v="0"/>
    <n v="0"/>
    <n v="17"/>
    <n v="0"/>
    <n v="0"/>
    <n v="641.99"/>
    <n v="0"/>
    <m/>
    <n v="747.73459855656426"/>
    <m/>
    <n v="0"/>
    <n v="3747.882290406425"/>
    <n v="0"/>
    <n v="4365.2101432332347"/>
    <x v="2"/>
  </r>
  <r>
    <s v="Regular"/>
    <x v="1"/>
    <x v="2"/>
    <x v="2"/>
    <x v="1"/>
    <x v="1"/>
    <x v="0"/>
    <x v="1"/>
    <x v="2"/>
    <n v="0"/>
    <n v="0"/>
    <n v="17.957000000000001"/>
    <n v="12.27281885329"/>
    <n v="0"/>
    <n v="0"/>
    <n v="0"/>
    <s v="LIVRE"/>
    <n v="0"/>
    <n v="0"/>
    <n v="17"/>
    <n v="0"/>
    <n v="0"/>
    <n v="641.99"/>
    <n v="0"/>
    <m/>
    <n v="747.73459855656426"/>
    <m/>
    <n v="0"/>
    <n v="3649.1874543763538"/>
    <n v="0"/>
    <n v="4250.258907857994"/>
    <x v="2"/>
  </r>
  <r>
    <s v="Regular"/>
    <x v="1"/>
    <x v="2"/>
    <x v="2"/>
    <x v="1"/>
    <x v="1"/>
    <x v="0"/>
    <x v="1"/>
    <x v="3"/>
    <n v="0"/>
    <n v="0"/>
    <n v="20.297999999999998"/>
    <n v="13.883729089139999"/>
    <n v="0"/>
    <n v="0"/>
    <n v="0"/>
    <s v="LIVRE"/>
    <n v="0"/>
    <n v="0"/>
    <n v="17"/>
    <n v="0"/>
    <n v="0"/>
    <n v="641.99"/>
    <n v="0"/>
    <m/>
    <n v="747.73459855656426"/>
    <m/>
    <n v="0"/>
    <n v="4117.8977820630107"/>
    <n v="0"/>
    <n v="4796.1722845649492"/>
    <x v="2"/>
  </r>
  <r>
    <s v="Regular"/>
    <x v="1"/>
    <x v="2"/>
    <x v="2"/>
    <x v="1"/>
    <x v="1"/>
    <x v="0"/>
    <x v="1"/>
    <x v="4"/>
    <n v="0"/>
    <n v="0"/>
    <n v="16.643000000000001"/>
    <n v="11.26438332987"/>
    <n v="0"/>
    <n v="0"/>
    <n v="0"/>
    <s v="LIVRE"/>
    <n v="0"/>
    <n v="0"/>
    <n v="17"/>
    <n v="0"/>
    <n v="0"/>
    <n v="641.99"/>
    <n v="0"/>
    <m/>
    <n v="747.73459855656426"/>
    <m/>
    <n v="0"/>
    <n v="3453.018116056759"/>
    <n v="0"/>
    <n v="4021.7777766293002"/>
    <x v="2"/>
  </r>
  <r>
    <s v="Regular"/>
    <x v="1"/>
    <x v="2"/>
    <x v="2"/>
    <x v="1"/>
    <x v="1"/>
    <x v="0"/>
    <x v="1"/>
    <x v="5"/>
    <n v="0"/>
    <n v="0"/>
    <n v="10.343999999999999"/>
    <n v="6.9809970962400003"/>
    <n v="0"/>
    <n v="0"/>
    <n v="0"/>
    <s v="LIVRE"/>
    <n v="0"/>
    <n v="0"/>
    <n v="17"/>
    <n v="0"/>
    <n v="0"/>
    <n v="641.99"/>
    <n v="0"/>
    <m/>
    <n v="747.73459855656426"/>
    <m/>
    <n v="0"/>
    <n v="2159.0142341848818"/>
    <n v="0"/>
    <n v="2514.6336261875431"/>
    <x v="2"/>
  </r>
  <r>
    <s v="Regular"/>
    <x v="1"/>
    <x v="2"/>
    <x v="2"/>
    <x v="1"/>
    <x v="1"/>
    <x v="0"/>
    <x v="1"/>
    <x v="6"/>
    <n v="0"/>
    <n v="0"/>
    <n v="0.98399999999999999"/>
    <n v="0.66464254416000002"/>
    <n v="0"/>
    <n v="0"/>
    <n v="0"/>
    <s v="LIVRE"/>
    <n v="0"/>
    <n v="0"/>
    <n v="17"/>
    <n v="0"/>
    <n v="0"/>
    <n v="641.99"/>
    <n v="0"/>
    <m/>
    <n v="747.73459855656426"/>
    <m/>
    <n v="0"/>
    <n v="205.02429307472158"/>
    <n v="0"/>
    <n v="238.79461903856807"/>
    <x v="2"/>
  </r>
  <r>
    <s v="Regular"/>
    <x v="1"/>
    <x v="2"/>
    <x v="2"/>
    <x v="1"/>
    <x v="1"/>
    <x v="0"/>
    <x v="1"/>
    <x v="7"/>
    <n v="0"/>
    <n v="0"/>
    <n v="1.915"/>
    <n v="1.290534203"/>
    <n v="0"/>
    <n v="0"/>
    <n v="0"/>
    <s v="LIVRE"/>
    <n v="0"/>
    <n v="0"/>
    <n v="17"/>
    <n v="0"/>
    <n v="0"/>
    <n v="641.99"/>
    <n v="0"/>
    <m/>
    <n v="747.73459855656426"/>
    <m/>
    <n v="0"/>
    <n v="400.90079701603003"/>
    <n v="0"/>
    <n v="466.9346820321"/>
    <x v="2"/>
  </r>
  <r>
    <s v="Regular"/>
    <x v="1"/>
    <x v="2"/>
    <x v="2"/>
    <x v="1"/>
    <x v="1"/>
    <x v="0"/>
    <x v="1"/>
    <x v="8"/>
    <n v="0"/>
    <n v="0"/>
    <n v="1.915"/>
    <n v="1.2913289663"/>
    <n v="0"/>
    <n v="0"/>
    <n v="0"/>
    <s v="LIVRE"/>
    <n v="0"/>
    <n v="0"/>
    <n v="17"/>
    <n v="0"/>
    <n v="0"/>
    <n v="641.99"/>
    <n v="0"/>
    <m/>
    <n v="747.73459855656426"/>
    <m/>
    <n v="0"/>
    <n v="400.39056692506301"/>
    <n v="0"/>
    <n v="466.34041001502698"/>
    <x v="2"/>
  </r>
  <r>
    <s v="Regular"/>
    <x v="1"/>
    <x v="2"/>
    <x v="2"/>
    <x v="1"/>
    <x v="1"/>
    <x v="0"/>
    <x v="1"/>
    <x v="9"/>
    <n v="0"/>
    <n v="0"/>
    <n v="10.974"/>
    <n v="7.6265878306800001"/>
    <n v="0"/>
    <n v="0"/>
    <n v="0"/>
    <s v="LIVRE"/>
    <n v="0"/>
    <n v="0"/>
    <n v="17"/>
    <n v="0"/>
    <n v="0"/>
    <n v="641.99"/>
    <n v="0"/>
    <m/>
    <n v="747.73459855656426"/>
    <m/>
    <n v="0"/>
    <n v="2149.0051385817469"/>
    <n v="0"/>
    <n v="2502.975894629848"/>
    <x v="2"/>
  </r>
  <r>
    <s v="Regular"/>
    <x v="1"/>
    <x v="2"/>
    <x v="2"/>
    <x v="1"/>
    <x v="1"/>
    <x v="0"/>
    <x v="1"/>
    <x v="10"/>
    <n v="0"/>
    <n v="0"/>
    <n v="10.456"/>
    <n v="7.0055199999999997"/>
    <n v="0"/>
    <n v="0"/>
    <n v="0"/>
    <s v="LIVRE"/>
    <n v="0"/>
    <n v="0"/>
    <n v="17"/>
    <n v="0"/>
    <n v="0"/>
    <n v="641.99"/>
    <n v="0"/>
    <m/>
    <n v="747.73459855656426"/>
    <m/>
    <n v="0"/>
    <n v="2215.1736551999998"/>
    <n v="0"/>
    <n v="2580.0432776274538"/>
    <x v="2"/>
  </r>
  <r>
    <s v="PROJETADO"/>
    <x v="1"/>
    <x v="2"/>
    <x v="2"/>
    <x v="1"/>
    <x v="1"/>
    <x v="0"/>
    <x v="1"/>
    <x v="11"/>
    <n v="0"/>
    <n v="0"/>
    <n v="10.456"/>
    <n v="7.0055199999999997"/>
    <n v="0"/>
    <n v="0"/>
    <n v="0"/>
    <s v="LIVRE"/>
    <n v="0"/>
    <n v="0"/>
    <n v="17"/>
    <n v="0"/>
    <n v="0"/>
    <n v="641.99"/>
    <n v="0"/>
    <m/>
    <n v="747.73459855656426"/>
    <m/>
    <n v="0"/>
    <n v="2215.1736551999998"/>
    <n v="0"/>
    <n v="2580.0432776274538"/>
    <x v="2"/>
  </r>
  <r>
    <s v="Regular"/>
    <x v="1"/>
    <x v="2"/>
    <x v="0"/>
    <x v="0"/>
    <x v="0"/>
    <x v="0"/>
    <x v="0"/>
    <x v="0"/>
    <n v="0"/>
    <n v="0"/>
    <n v="466.53899999999999"/>
    <n v="410.55432000000002"/>
    <n v="466.53899999999999"/>
    <n v="410.55432000000002"/>
    <n v="0"/>
    <s v="CATIVO"/>
    <n v="0"/>
    <n v="0"/>
    <n v="18"/>
    <n v="80"/>
    <n v="0"/>
    <n v="84.45"/>
    <n v="256.38"/>
    <m/>
    <n v="87.520205040180812"/>
    <n v="230.84299908458948"/>
    <n v="0"/>
    <n v="19081.258484399987"/>
    <n v="0"/>
    <n v="17823.462106699935"/>
    <x v="0"/>
  </r>
  <r>
    <s v="Regular"/>
    <x v="1"/>
    <x v="2"/>
    <x v="0"/>
    <x v="0"/>
    <x v="0"/>
    <x v="0"/>
    <x v="0"/>
    <x v="1"/>
    <n v="0"/>
    <n v="0"/>
    <n v="473.21"/>
    <n v="416.4248"/>
    <n v="473.21"/>
    <n v="416.4248"/>
    <n v="0"/>
    <s v="CATIVO"/>
    <n v="0"/>
    <n v="0"/>
    <n v="18"/>
    <n v="80"/>
    <n v="0"/>
    <n v="84.45"/>
    <n v="256.38"/>
    <m/>
    <n v="87.520205040180812"/>
    <n v="230.84299908458948"/>
    <n v="0"/>
    <n v="19354.09971599999"/>
    <n v="0"/>
    <n v="18078.318218865898"/>
    <x v="0"/>
  </r>
  <r>
    <s v="Regular"/>
    <x v="1"/>
    <x v="2"/>
    <x v="0"/>
    <x v="0"/>
    <x v="0"/>
    <x v="0"/>
    <x v="0"/>
    <x v="2"/>
    <n v="0"/>
    <n v="0"/>
    <n v="459.21100000000001"/>
    <n v="404.10568000000001"/>
    <n v="459.21100000000001"/>
    <n v="404.10568000000001"/>
    <n v="0"/>
    <s v="CATIVO"/>
    <n v="0"/>
    <n v="0"/>
    <n v="18"/>
    <n v="80"/>
    <n v="0"/>
    <n v="84.45"/>
    <n v="256.38"/>
    <m/>
    <n v="87.520205040180812"/>
    <n v="230.84299908458948"/>
    <n v="0"/>
    <n v="18781.546215599999"/>
    <n v="0"/>
    <n v="17543.506239520786"/>
    <x v="0"/>
  </r>
  <r>
    <s v="Regular"/>
    <x v="1"/>
    <x v="2"/>
    <x v="0"/>
    <x v="0"/>
    <x v="0"/>
    <x v="0"/>
    <x v="0"/>
    <x v="3"/>
    <n v="0"/>
    <n v="0"/>
    <n v="478.49099999999999"/>
    <n v="421.07207999999997"/>
    <n v="478.49099999999999"/>
    <n v="421.07207999999997"/>
    <n v="0"/>
    <s v="CATIVO"/>
    <n v="0"/>
    <n v="0"/>
    <n v="18"/>
    <n v="80"/>
    <n v="0"/>
    <n v="84.45"/>
    <n v="256.38"/>
    <m/>
    <n v="87.520205040180812"/>
    <n v="230.84299908458948"/>
    <n v="0"/>
    <n v="19570.090503600004"/>
    <n v="0"/>
    <n v="18280.071348583861"/>
    <x v="0"/>
  </r>
  <r>
    <s v="Regular"/>
    <x v="1"/>
    <x v="2"/>
    <x v="0"/>
    <x v="0"/>
    <x v="0"/>
    <x v="0"/>
    <x v="0"/>
    <x v="4"/>
    <n v="0"/>
    <n v="0"/>
    <n v="469.49799999999999"/>
    <n v="413.15823999999998"/>
    <n v="469.49799999999999"/>
    <n v="413.15823999999998"/>
    <n v="0"/>
    <s v="CATIVO"/>
    <n v="0"/>
    <n v="0"/>
    <n v="18"/>
    <n v="80"/>
    <n v="0"/>
    <n v="84.45"/>
    <n v="256.38"/>
    <m/>
    <n v="87.520205040180812"/>
    <n v="230.84299908458948"/>
    <n v="0"/>
    <n v="19202.280400800006"/>
    <n v="0"/>
    <n v="17936.506513220571"/>
    <x v="0"/>
  </r>
  <r>
    <s v="Regular"/>
    <x v="1"/>
    <x v="2"/>
    <x v="0"/>
    <x v="0"/>
    <x v="0"/>
    <x v="0"/>
    <x v="0"/>
    <x v="5"/>
    <n v="0"/>
    <n v="0"/>
    <n v="399.048"/>
    <n v="351.16224"/>
    <n v="399.048"/>
    <n v="351.16224"/>
    <n v="0"/>
    <s v="CATIVO"/>
    <n v="0"/>
    <n v="0"/>
    <n v="18"/>
    <n v="80"/>
    <n v="0"/>
    <n v="84.45"/>
    <n v="256.38"/>
    <m/>
    <n v="87.520205040180812"/>
    <n v="230.84299908458948"/>
    <n v="0"/>
    <n v="16320.903580800001"/>
    <n v="0"/>
    <n v="15245.063985549761"/>
    <x v="0"/>
  </r>
  <r>
    <s v="Regular"/>
    <x v="1"/>
    <x v="2"/>
    <x v="0"/>
    <x v="0"/>
    <x v="0"/>
    <x v="0"/>
    <x v="0"/>
    <x v="6"/>
    <n v="0"/>
    <n v="0"/>
    <n v="423.98899999999998"/>
    <n v="373.11032"/>
    <n v="423.98899999999998"/>
    <n v="373.11032"/>
    <n v="0"/>
    <s v="CATIVO"/>
    <n v="0"/>
    <n v="0"/>
    <n v="18"/>
    <n v="80"/>
    <n v="0"/>
    <n v="84.45"/>
    <n v="256.38"/>
    <m/>
    <n v="87.520205040180812"/>
    <n v="230.84299908458948"/>
    <n v="0"/>
    <n v="17340.980504399991"/>
    <n v="0"/>
    <n v="16197.89958643886"/>
    <x v="0"/>
  </r>
  <r>
    <s v="Regular"/>
    <x v="1"/>
    <x v="2"/>
    <x v="0"/>
    <x v="0"/>
    <x v="0"/>
    <x v="0"/>
    <x v="0"/>
    <x v="7"/>
    <n v="0"/>
    <n v="0"/>
    <n v="393.7"/>
    <n v="346.45600000000002"/>
    <n v="393.7"/>
    <n v="346.45600000000002"/>
    <n v="0"/>
    <s v="CATIVO"/>
    <n v="0"/>
    <n v="0"/>
    <n v="18"/>
    <n v="80"/>
    <n v="0"/>
    <n v="84.45"/>
    <n v="256.38"/>
    <m/>
    <n v="87.520205040180812"/>
    <n v="230.84299908458948"/>
    <n v="0"/>
    <n v="16102.172519999989"/>
    <n v="0"/>
    <n v="15040.75121567064"/>
    <x v="0"/>
  </r>
  <r>
    <s v="Regular"/>
    <x v="1"/>
    <x v="2"/>
    <x v="0"/>
    <x v="0"/>
    <x v="0"/>
    <x v="0"/>
    <x v="0"/>
    <x v="8"/>
    <n v="0"/>
    <n v="0"/>
    <n v="434.92599999999999"/>
    <n v="382.73487999999998"/>
    <n v="434.92599999999999"/>
    <n v="382.73487999999998"/>
    <n v="0"/>
    <s v="CATIVO"/>
    <n v="0"/>
    <n v="0"/>
    <n v="18"/>
    <n v="80"/>
    <n v="0"/>
    <n v="84.45"/>
    <n v="256.38"/>
    <m/>
    <n v="87.520205040180812"/>
    <n v="230.84299908458948"/>
    <n v="0"/>
    <n v="17788.299429600003"/>
    <n v="0"/>
    <n v="16615.732190060386"/>
    <x v="0"/>
  </r>
  <r>
    <s v="Regular"/>
    <x v="1"/>
    <x v="2"/>
    <x v="0"/>
    <x v="0"/>
    <x v="0"/>
    <x v="0"/>
    <x v="0"/>
    <x v="9"/>
    <n v="0"/>
    <n v="0"/>
    <n v="439.71300000000002"/>
    <n v="386.94744000000003"/>
    <n v="439.71300000000002"/>
    <n v="386.94744000000003"/>
    <n v="0"/>
    <s v="CATIVO"/>
    <n v="0"/>
    <n v="0"/>
    <n v="18"/>
    <n v="80"/>
    <n v="0"/>
    <n v="84.45"/>
    <n v="256.38"/>
    <m/>
    <n v="87.520205040180812"/>
    <n v="230.84299908458948"/>
    <n v="0"/>
    <n v="17984.085814799997"/>
    <n v="0"/>
    <n v="16798.612749037813"/>
    <x v="0"/>
  </r>
  <r>
    <s v="Regular"/>
    <x v="1"/>
    <x v="2"/>
    <x v="0"/>
    <x v="0"/>
    <x v="0"/>
    <x v="0"/>
    <x v="0"/>
    <x v="10"/>
    <n v="0"/>
    <n v="0"/>
    <n v="432.42200000000003"/>
    <n v="380.53136000000001"/>
    <n v="432.42200000000003"/>
    <n v="380.53136000000001"/>
    <n v="0"/>
    <s v="CATIVO"/>
    <n v="0"/>
    <n v="0"/>
    <n v="18"/>
    <n v="80"/>
    <n v="0"/>
    <n v="84.45"/>
    <n v="256.38"/>
    <m/>
    <n v="87.520205040180812"/>
    <n v="230.84299908458948"/>
    <n v="0"/>
    <n v="17685.886831200005"/>
    <n v="0"/>
    <n v="16520.070414484977"/>
    <x v="0"/>
  </r>
  <r>
    <s v="PROJETADO"/>
    <x v="1"/>
    <x v="2"/>
    <x v="0"/>
    <x v="0"/>
    <x v="0"/>
    <x v="0"/>
    <x v="0"/>
    <x v="11"/>
    <n v="0"/>
    <n v="0"/>
    <n v="432.42200000000003"/>
    <n v="380.53136000000001"/>
    <n v="432.42200000000003"/>
    <n v="380.53136000000001"/>
    <n v="0"/>
    <s v="CATIVO"/>
    <n v="0"/>
    <n v="0"/>
    <n v="18"/>
    <n v="80"/>
    <n v="0"/>
    <n v="84.45"/>
    <n v="256.38"/>
    <m/>
    <n v="87.520205040180812"/>
    <n v="230.84299908458948"/>
    <n v="0"/>
    <n v="17685.886831200005"/>
    <n v="0"/>
    <n v="16520.070414484977"/>
    <x v="0"/>
  </r>
  <r>
    <s v="Regular"/>
    <x v="1"/>
    <x v="2"/>
    <x v="0"/>
    <x v="0"/>
    <x v="0"/>
    <x v="0"/>
    <x v="2"/>
    <x v="0"/>
    <n v="1130"/>
    <n v="960.5"/>
    <n v="0"/>
    <n v="0"/>
    <n v="0"/>
    <n v="0"/>
    <n v="1"/>
    <s v="CATIVO"/>
    <n v="0"/>
    <n v="16"/>
    <n v="0"/>
    <n v="0"/>
    <n v="8.81"/>
    <n v="0"/>
    <n v="0"/>
    <n v="11.452356648653195"/>
    <m/>
    <m/>
    <n v="1493.2950000000001"/>
    <n v="0"/>
    <n v="1941.1744519467165"/>
    <n v="0"/>
    <x v="0"/>
  </r>
  <r>
    <s v="Regular"/>
    <x v="1"/>
    <x v="2"/>
    <x v="0"/>
    <x v="0"/>
    <x v="0"/>
    <x v="0"/>
    <x v="2"/>
    <x v="1"/>
    <n v="1168"/>
    <n v="992.8"/>
    <n v="0"/>
    <n v="0"/>
    <n v="0"/>
    <n v="0"/>
    <n v="1"/>
    <s v="CATIVO"/>
    <n v="0"/>
    <n v="16"/>
    <n v="0"/>
    <n v="0"/>
    <n v="8.81"/>
    <n v="0"/>
    <n v="0"/>
    <n v="11.452356648653195"/>
    <m/>
    <m/>
    <n v="1543.5120000000004"/>
    <n v="0"/>
    <n v="2006.4528848440402"/>
    <n v="0"/>
    <x v="0"/>
  </r>
  <r>
    <s v="Regular"/>
    <x v="1"/>
    <x v="2"/>
    <x v="0"/>
    <x v="0"/>
    <x v="0"/>
    <x v="0"/>
    <x v="2"/>
    <x v="2"/>
    <n v="1084"/>
    <n v="921.4"/>
    <n v="0"/>
    <n v="0"/>
    <n v="0"/>
    <n v="0"/>
    <n v="1"/>
    <s v="CATIVO"/>
    <n v="0"/>
    <n v="16"/>
    <n v="0"/>
    <n v="0"/>
    <n v="8.81"/>
    <n v="0"/>
    <n v="0"/>
    <n v="11.452356648653195"/>
    <m/>
    <m/>
    <n v="1432.5060000000003"/>
    <n v="0"/>
    <n v="1862.1531910710098"/>
    <n v="0"/>
    <x v="0"/>
  </r>
  <r>
    <s v="Regular"/>
    <x v="1"/>
    <x v="2"/>
    <x v="0"/>
    <x v="0"/>
    <x v="0"/>
    <x v="0"/>
    <x v="2"/>
    <x v="3"/>
    <n v="1076"/>
    <n v="914.6"/>
    <n v="0"/>
    <n v="0"/>
    <n v="0"/>
    <n v="0"/>
    <n v="1"/>
    <s v="CATIVO"/>
    <n v="0"/>
    <n v="16"/>
    <n v="0"/>
    <n v="0"/>
    <n v="8.81"/>
    <n v="0"/>
    <n v="0"/>
    <n v="11.452356648653195"/>
    <m/>
    <m/>
    <n v="1421.934"/>
    <n v="0"/>
    <n v="1848.4103630926254"/>
    <n v="0"/>
    <x v="0"/>
  </r>
  <r>
    <s v="Regular"/>
    <x v="1"/>
    <x v="2"/>
    <x v="0"/>
    <x v="0"/>
    <x v="0"/>
    <x v="0"/>
    <x v="2"/>
    <x v="4"/>
    <n v="1064"/>
    <n v="904.4"/>
    <n v="0"/>
    <n v="0"/>
    <n v="0"/>
    <n v="0"/>
    <n v="1"/>
    <s v="CATIVO"/>
    <n v="0"/>
    <n v="16"/>
    <n v="0"/>
    <n v="0"/>
    <n v="8.81"/>
    <n v="0"/>
    <n v="0"/>
    <n v="11.452356648653195"/>
    <m/>
    <m/>
    <n v="1406.0760000000002"/>
    <n v="0"/>
    <n v="1827.7961211250501"/>
    <n v="0"/>
    <x v="0"/>
  </r>
  <r>
    <s v="Regular"/>
    <x v="1"/>
    <x v="2"/>
    <x v="0"/>
    <x v="0"/>
    <x v="0"/>
    <x v="0"/>
    <x v="2"/>
    <x v="5"/>
    <n v="903"/>
    <n v="767.55"/>
    <n v="0"/>
    <n v="0"/>
    <n v="0"/>
    <n v="0"/>
    <n v="1"/>
    <s v="CATIVO"/>
    <n v="0"/>
    <n v="16"/>
    <n v="0"/>
    <n v="0"/>
    <n v="8.81"/>
    <n v="0"/>
    <n v="0"/>
    <n v="11.452356648653195"/>
    <m/>
    <m/>
    <n v="1193.3145000000004"/>
    <n v="0"/>
    <n v="1551.2217080600758"/>
    <n v="0"/>
    <x v="0"/>
  </r>
  <r>
    <s v="Regular"/>
    <x v="1"/>
    <x v="2"/>
    <x v="0"/>
    <x v="0"/>
    <x v="0"/>
    <x v="0"/>
    <x v="2"/>
    <x v="6"/>
    <n v="1004"/>
    <n v="853.4"/>
    <n v="0"/>
    <n v="0"/>
    <n v="0"/>
    <n v="0"/>
    <n v="1"/>
    <s v="CATIVO"/>
    <n v="0"/>
    <n v="16"/>
    <n v="0"/>
    <n v="0"/>
    <n v="8.81"/>
    <n v="0"/>
    <n v="0"/>
    <n v="11.452356648653195"/>
    <m/>
    <m/>
    <n v="1326.7860000000003"/>
    <n v="0"/>
    <n v="1724.7249112871714"/>
    <n v="0"/>
    <x v="0"/>
  </r>
  <r>
    <s v="Regular"/>
    <x v="1"/>
    <x v="2"/>
    <x v="0"/>
    <x v="0"/>
    <x v="0"/>
    <x v="0"/>
    <x v="2"/>
    <x v="7"/>
    <n v="785"/>
    <n v="667.25"/>
    <n v="0"/>
    <n v="0"/>
    <n v="0"/>
    <n v="0"/>
    <n v="1"/>
    <s v="CATIVO"/>
    <n v="0"/>
    <n v="16"/>
    <n v="0"/>
    <n v="0"/>
    <n v="8.81"/>
    <n v="0"/>
    <n v="0"/>
    <n v="11.452356648653195"/>
    <m/>
    <m/>
    <n v="1037.3775000000001"/>
    <n v="0"/>
    <n v="1348.5149953789137"/>
    <n v="0"/>
    <x v="0"/>
  </r>
  <r>
    <s v="Regular"/>
    <x v="1"/>
    <x v="2"/>
    <x v="0"/>
    <x v="0"/>
    <x v="0"/>
    <x v="0"/>
    <x v="2"/>
    <x v="8"/>
    <n v="1150"/>
    <n v="977.5"/>
    <n v="0"/>
    <n v="0"/>
    <n v="0"/>
    <n v="0"/>
    <n v="1"/>
    <s v="CATIVO"/>
    <n v="0"/>
    <n v="16"/>
    <n v="0"/>
    <n v="0"/>
    <n v="8.81"/>
    <n v="0"/>
    <n v="0"/>
    <n v="11.452356648653195"/>
    <m/>
    <m/>
    <n v="1519.7250000000001"/>
    <n v="0"/>
    <n v="1975.5315218926762"/>
    <n v="0"/>
    <x v="0"/>
  </r>
  <r>
    <s v="Regular"/>
    <x v="1"/>
    <x v="2"/>
    <x v="0"/>
    <x v="0"/>
    <x v="0"/>
    <x v="0"/>
    <x v="2"/>
    <x v="9"/>
    <n v="1150"/>
    <n v="977.5"/>
    <n v="0"/>
    <n v="0"/>
    <n v="0"/>
    <n v="0"/>
    <n v="1"/>
    <s v="CATIVO"/>
    <n v="0"/>
    <n v="16"/>
    <n v="0"/>
    <n v="0"/>
    <n v="8.81"/>
    <n v="0"/>
    <n v="0"/>
    <n v="11.452356648653195"/>
    <m/>
    <m/>
    <n v="1519.7250000000001"/>
    <n v="0"/>
    <n v="1975.5315218926762"/>
    <n v="0"/>
    <x v="0"/>
  </r>
  <r>
    <s v="Regular"/>
    <x v="1"/>
    <x v="2"/>
    <x v="0"/>
    <x v="0"/>
    <x v="0"/>
    <x v="0"/>
    <x v="2"/>
    <x v="10"/>
    <n v="1150"/>
    <n v="977.5"/>
    <n v="0"/>
    <n v="0"/>
    <n v="0"/>
    <n v="0"/>
    <n v="1"/>
    <s v="CATIVO"/>
    <n v="0"/>
    <n v="16"/>
    <n v="0"/>
    <n v="0"/>
    <n v="8.81"/>
    <n v="0"/>
    <n v="0"/>
    <n v="11.452356648653195"/>
    <m/>
    <m/>
    <n v="1519.7250000000001"/>
    <n v="0"/>
    <n v="1975.5315218926762"/>
    <n v="0"/>
    <x v="0"/>
  </r>
  <r>
    <s v="PROJETADO"/>
    <x v="1"/>
    <x v="2"/>
    <x v="0"/>
    <x v="0"/>
    <x v="0"/>
    <x v="0"/>
    <x v="2"/>
    <x v="11"/>
    <n v="1150"/>
    <n v="977.5"/>
    <n v="0"/>
    <n v="0"/>
    <n v="0"/>
    <n v="0"/>
    <n v="1"/>
    <s v="CATIVO"/>
    <n v="0"/>
    <n v="16"/>
    <n v="0"/>
    <n v="0"/>
    <n v="8.81"/>
    <n v="0"/>
    <n v="0"/>
    <n v="11.452356648653195"/>
    <m/>
    <m/>
    <n v="1519.7250000000001"/>
    <n v="0"/>
    <n v="1975.5315218926762"/>
    <n v="0"/>
    <x v="0"/>
  </r>
  <r>
    <s v="Regular"/>
    <x v="1"/>
    <x v="2"/>
    <x v="0"/>
    <x v="0"/>
    <x v="0"/>
    <x v="0"/>
    <x v="1"/>
    <x v="0"/>
    <n v="0"/>
    <n v="0"/>
    <n v="46.58"/>
    <n v="40.990400000000001"/>
    <n v="46.58"/>
    <n v="40.990400000000001"/>
    <n v="0"/>
    <s v="CATIVO"/>
    <n v="0"/>
    <n v="0"/>
    <n v="17"/>
    <n v="79"/>
    <n v="0"/>
    <n v="641.99"/>
    <n v="430.87"/>
    <m/>
    <n v="747.73459855656426"/>
    <n v="375.70671275609089"/>
    <n v="0"/>
    <n v="5996.8582559999977"/>
    <n v="0"/>
    <n v="6279.5875537132142"/>
    <x v="0"/>
  </r>
  <r>
    <s v="Regular"/>
    <x v="1"/>
    <x v="2"/>
    <x v="0"/>
    <x v="0"/>
    <x v="0"/>
    <x v="0"/>
    <x v="1"/>
    <x v="1"/>
    <n v="0"/>
    <n v="0"/>
    <n v="50.598999999999997"/>
    <n v="44.527119999999996"/>
    <n v="50.598999999999997"/>
    <n v="44.527119999999996"/>
    <n v="0"/>
    <s v="CATIVO"/>
    <n v="0"/>
    <n v="0"/>
    <n v="17"/>
    <n v="79"/>
    <n v="0"/>
    <n v="641.99"/>
    <n v="430.87"/>
    <m/>
    <n v="747.73459855656426"/>
    <n v="375.70671275609089"/>
    <n v="0"/>
    <n v="6514.2771768000002"/>
    <n v="0"/>
    <n v="6821.4008293330844"/>
    <x v="0"/>
  </r>
  <r>
    <s v="Regular"/>
    <x v="1"/>
    <x v="2"/>
    <x v="0"/>
    <x v="0"/>
    <x v="0"/>
    <x v="0"/>
    <x v="1"/>
    <x v="2"/>
    <n v="0"/>
    <n v="0"/>
    <n v="44.917999999999999"/>
    <n v="39.527839999999998"/>
    <n v="44.917999999999999"/>
    <n v="39.527839999999998"/>
    <n v="0"/>
    <s v="CATIVO"/>
    <n v="0"/>
    <n v="0"/>
    <n v="17"/>
    <n v="79"/>
    <n v="0"/>
    <n v="641.99"/>
    <n v="430.87"/>
    <m/>
    <n v="747.73459855656426"/>
    <n v="375.70671275609089"/>
    <n v="0"/>
    <n v="5782.8870576000018"/>
    <n v="0"/>
    <n v="6055.5284185850232"/>
    <x v="0"/>
  </r>
  <r>
    <s v="Regular"/>
    <x v="1"/>
    <x v="2"/>
    <x v="0"/>
    <x v="0"/>
    <x v="0"/>
    <x v="0"/>
    <x v="1"/>
    <x v="3"/>
    <n v="0"/>
    <n v="0"/>
    <n v="46.936999999999998"/>
    <n v="41.304559999999995"/>
    <n v="46.936999999999998"/>
    <n v="41.304559999999995"/>
    <n v="0"/>
    <s v="CATIVO"/>
    <n v="0"/>
    <n v="0"/>
    <n v="17"/>
    <n v="79"/>
    <n v="0"/>
    <n v="641.99"/>
    <n v="430.87"/>
    <m/>
    <n v="747.73459855656426"/>
    <n v="375.70671275609089"/>
    <n v="0"/>
    <n v="6042.8195784000036"/>
    <n v="0"/>
    <n v="6327.715779489854"/>
    <x v="0"/>
  </r>
  <r>
    <s v="Regular"/>
    <x v="1"/>
    <x v="2"/>
    <x v="0"/>
    <x v="0"/>
    <x v="0"/>
    <x v="0"/>
    <x v="1"/>
    <x v="4"/>
    <n v="0"/>
    <n v="0"/>
    <n v="51.484000000000002"/>
    <n v="45.30592"/>
    <n v="51.484000000000002"/>
    <n v="45.30592"/>
    <n v="0"/>
    <s v="CATIVO"/>
    <n v="0"/>
    <n v="0"/>
    <n v="17"/>
    <n v="79"/>
    <n v="0"/>
    <n v="641.99"/>
    <n v="430.87"/>
    <m/>
    <n v="747.73459855656426"/>
    <n v="375.70671275609089"/>
    <n v="0"/>
    <n v="6628.2149088000015"/>
    <n v="0"/>
    <n v="6940.7102965944905"/>
    <x v="0"/>
  </r>
  <r>
    <s v="Regular"/>
    <x v="1"/>
    <x v="2"/>
    <x v="0"/>
    <x v="0"/>
    <x v="0"/>
    <x v="0"/>
    <x v="1"/>
    <x v="5"/>
    <n v="0"/>
    <n v="0"/>
    <n v="38.881"/>
    <n v="34.21528"/>
    <n v="38.881"/>
    <n v="34.21528"/>
    <n v="0"/>
    <s v="CATIVO"/>
    <n v="0"/>
    <n v="0"/>
    <n v="17"/>
    <n v="79"/>
    <n v="0"/>
    <n v="641.99"/>
    <n v="430.87"/>
    <m/>
    <n v="747.73459855656426"/>
    <n v="375.70671275609089"/>
    <n v="0"/>
    <n v="5005.6643592"/>
    <n v="0"/>
    <n v="5241.6625950176822"/>
    <x v="0"/>
  </r>
  <r>
    <s v="Regular"/>
    <x v="1"/>
    <x v="2"/>
    <x v="0"/>
    <x v="0"/>
    <x v="0"/>
    <x v="0"/>
    <x v="1"/>
    <x v="6"/>
    <n v="0"/>
    <n v="0"/>
    <n v="38.920999999999999"/>
    <n v="34.250480000000003"/>
    <n v="38.920999999999999"/>
    <n v="34.250480000000003"/>
    <n v="0"/>
    <s v="CATIVO"/>
    <n v="0"/>
    <n v="0"/>
    <n v="17"/>
    <n v="79"/>
    <n v="0"/>
    <n v="641.99"/>
    <n v="430.87"/>
    <m/>
    <n v="747.73459855656426"/>
    <n v="375.70671275609089"/>
    <n v="0"/>
    <n v="5010.8140871999958"/>
    <n v="0"/>
    <n v="5247.0551133119779"/>
    <x v="0"/>
  </r>
  <r>
    <s v="Regular"/>
    <x v="1"/>
    <x v="2"/>
    <x v="0"/>
    <x v="0"/>
    <x v="0"/>
    <x v="0"/>
    <x v="1"/>
    <x v="7"/>
    <n v="0"/>
    <n v="0"/>
    <n v="43.56"/>
    <n v="38.332799999999999"/>
    <n v="43.56"/>
    <n v="38.332799999999999"/>
    <n v="0"/>
    <s v="CATIVO"/>
    <n v="0"/>
    <n v="0"/>
    <n v="17"/>
    <n v="79"/>
    <n v="0"/>
    <n v="641.99"/>
    <n v="430.87"/>
    <m/>
    <n v="747.73459855656426"/>
    <n v="375.70671275609089"/>
    <n v="0"/>
    <n v="5608.0537920000043"/>
    <n v="0"/>
    <n v="5872.4524224935149"/>
    <x v="0"/>
  </r>
  <r>
    <s v="Regular"/>
    <x v="1"/>
    <x v="2"/>
    <x v="0"/>
    <x v="0"/>
    <x v="0"/>
    <x v="0"/>
    <x v="1"/>
    <x v="8"/>
    <n v="0"/>
    <n v="0"/>
    <n v="42.173000000000002"/>
    <n v="37.11224"/>
    <n v="42.173000000000002"/>
    <n v="37.11224"/>
    <n v="0"/>
    <s v="CATIVO"/>
    <n v="0"/>
    <n v="0"/>
    <n v="17"/>
    <n v="79"/>
    <n v="0"/>
    <n v="641.99"/>
    <n v="430.87"/>
    <m/>
    <n v="747.73459855656426"/>
    <n v="375.70671275609089"/>
    <n v="0"/>
    <n v="5429.4869736000019"/>
    <n v="0"/>
    <n v="5685.4668506386352"/>
    <x v="0"/>
  </r>
  <r>
    <s v="Regular"/>
    <x v="1"/>
    <x v="2"/>
    <x v="0"/>
    <x v="0"/>
    <x v="0"/>
    <x v="0"/>
    <x v="1"/>
    <x v="9"/>
    <n v="0"/>
    <n v="0"/>
    <n v="44.671999999999997"/>
    <n v="39.311360000000001"/>
    <n v="44.671999999999997"/>
    <n v="39.311360000000001"/>
    <n v="0"/>
    <s v="CATIVO"/>
    <n v="0"/>
    <n v="0"/>
    <n v="17"/>
    <n v="79"/>
    <n v="0"/>
    <n v="641.99"/>
    <n v="430.87"/>
    <m/>
    <n v="747.73459855656426"/>
    <n v="375.70671275609089"/>
    <n v="0"/>
    <n v="5751.2162303999958"/>
    <n v="0"/>
    <n v="6022.3644310750678"/>
    <x v="0"/>
  </r>
  <r>
    <s v="Regular"/>
    <x v="1"/>
    <x v="2"/>
    <x v="0"/>
    <x v="0"/>
    <x v="0"/>
    <x v="0"/>
    <x v="1"/>
    <x v="10"/>
    <n v="0"/>
    <n v="0"/>
    <n v="48.335000000000001"/>
    <n v="42.534800000000004"/>
    <n v="48.335000000000001"/>
    <n v="42.534800000000004"/>
    <n v="0"/>
    <s v="CATIVO"/>
    <n v="0"/>
    <n v="0"/>
    <n v="17"/>
    <n v="79"/>
    <n v="0"/>
    <n v="641.99"/>
    <n v="430.87"/>
    <m/>
    <n v="747.73459855656426"/>
    <n v="375.70671275609089"/>
    <n v="0"/>
    <n v="6222.8025719999969"/>
    <n v="0"/>
    <n v="6516.184293875659"/>
    <x v="0"/>
  </r>
  <r>
    <s v="PROJETADO"/>
    <x v="1"/>
    <x v="2"/>
    <x v="0"/>
    <x v="0"/>
    <x v="0"/>
    <x v="0"/>
    <x v="1"/>
    <x v="11"/>
    <n v="0"/>
    <n v="0"/>
    <n v="48.335000000000001"/>
    <n v="42.534800000000004"/>
    <n v="48.335000000000001"/>
    <n v="42.534800000000004"/>
    <n v="0"/>
    <s v="CATIVO"/>
    <n v="0"/>
    <n v="0"/>
    <n v="17"/>
    <n v="79"/>
    <n v="0"/>
    <n v="641.99"/>
    <n v="430.87"/>
    <m/>
    <n v="747.73459855656426"/>
    <n v="375.70671275609089"/>
    <n v="0"/>
    <n v="6222.8025719999969"/>
    <n v="0"/>
    <n v="6516.184293875659"/>
    <x v="0"/>
  </r>
  <r>
    <s v="Regular"/>
    <x v="2"/>
    <x v="0"/>
    <x v="2"/>
    <x v="1"/>
    <x v="1"/>
    <x v="0"/>
    <x v="0"/>
    <x v="0"/>
    <n v="44514"/>
    <n v="32208.162123059999"/>
    <n v="0"/>
    <n v="0"/>
    <n v="0"/>
    <n v="0"/>
    <n v="0"/>
    <s v="LIVRE"/>
    <n v="0"/>
    <n v="22"/>
    <n v="0"/>
    <n v="0"/>
    <n v="8.81"/>
    <n v="0"/>
    <n v="0"/>
    <n v="11.452356648653195"/>
    <n v="87.520205040180812"/>
    <m/>
    <n v="108414.43169584141"/>
    <n v="0"/>
    <n v="140930.84422722214"/>
    <n v="0"/>
    <x v="2"/>
  </r>
  <r>
    <s v="Regular"/>
    <x v="2"/>
    <x v="0"/>
    <x v="2"/>
    <x v="1"/>
    <x v="1"/>
    <x v="0"/>
    <x v="0"/>
    <x v="1"/>
    <n v="45464"/>
    <n v="32887.834701599997"/>
    <n v="0"/>
    <n v="0"/>
    <n v="0"/>
    <n v="0"/>
    <n v="0"/>
    <s v="LIVRE"/>
    <n v="0"/>
    <n v="22"/>
    <n v="0"/>
    <n v="0"/>
    <n v="8.81"/>
    <n v="0"/>
    <n v="0"/>
    <n v="11.452356648653195"/>
    <n v="87.520205040180812"/>
    <m/>
    <n v="110796.01627890403"/>
    <n v="0"/>
    <n v="144026.73026969287"/>
    <n v="0"/>
    <x v="2"/>
  </r>
  <r>
    <s v="Regular"/>
    <x v="2"/>
    <x v="0"/>
    <x v="2"/>
    <x v="1"/>
    <x v="1"/>
    <x v="0"/>
    <x v="0"/>
    <x v="2"/>
    <n v="45464"/>
    <n v="32994.665554159998"/>
    <n v="0"/>
    <n v="0"/>
    <n v="0"/>
    <n v="0"/>
    <n v="0"/>
    <s v="LIVRE"/>
    <n v="0"/>
    <n v="22"/>
    <n v="0"/>
    <n v="0"/>
    <n v="8.81"/>
    <n v="0"/>
    <n v="0"/>
    <n v="11.452356648653195"/>
    <n v="87.520205040180812"/>
    <m/>
    <n v="109854.83646785043"/>
    <n v="0"/>
    <n v="142803.26524509606"/>
    <n v="0"/>
    <x v="2"/>
  </r>
  <r>
    <s v="Regular"/>
    <x v="2"/>
    <x v="0"/>
    <x v="2"/>
    <x v="1"/>
    <x v="1"/>
    <x v="0"/>
    <x v="0"/>
    <x v="3"/>
    <n v="46480"/>
    <n v="33682.745263999997"/>
    <n v="0"/>
    <n v="0"/>
    <n v="0"/>
    <n v="0"/>
    <n v="0"/>
    <s v="LIVRE"/>
    <n v="0"/>
    <n v="22"/>
    <n v="0"/>
    <n v="0"/>
    <n v="8.81"/>
    <n v="0"/>
    <n v="0"/>
    <n v="11.452356648653195"/>
    <n v="87.520205040180812"/>
    <m/>
    <n v="112743.81422416003"/>
    <n v="0"/>
    <n v="146558.72536033823"/>
    <n v="0"/>
    <x v="2"/>
  </r>
  <r>
    <s v="Regular"/>
    <x v="2"/>
    <x v="0"/>
    <x v="2"/>
    <x v="1"/>
    <x v="1"/>
    <x v="0"/>
    <x v="0"/>
    <x v="4"/>
    <n v="46780"/>
    <n v="33733.502877799998"/>
    <n v="0"/>
    <n v="0"/>
    <n v="0"/>
    <n v="0"/>
    <n v="0"/>
    <s v="LIVRE"/>
    <n v="0"/>
    <n v="22"/>
    <n v="0"/>
    <n v="0"/>
    <n v="8.81"/>
    <n v="0"/>
    <n v="0"/>
    <n v="11.452356648653195"/>
    <n v="87.520205040180812"/>
    <m/>
    <n v="114939.63964658203"/>
    <n v="0"/>
    <n v="149413.13805906198"/>
    <n v="0"/>
    <x v="2"/>
  </r>
  <r>
    <s v="Regular"/>
    <x v="2"/>
    <x v="0"/>
    <x v="2"/>
    <x v="1"/>
    <x v="1"/>
    <x v="0"/>
    <x v="0"/>
    <x v="5"/>
    <n v="46293"/>
    <n v="35032.826318489999"/>
    <n v="0"/>
    <n v="0"/>
    <n v="0"/>
    <n v="0"/>
    <n v="0"/>
    <s v="LIVRE"/>
    <n v="0"/>
    <n v="22"/>
    <n v="0"/>
    <n v="0"/>
    <n v="8.81"/>
    <n v="0"/>
    <n v="0"/>
    <n v="11.452356648653195"/>
    <n v="87.520205040180812"/>
    <m/>
    <n v="99202.130134103121"/>
    <n v="0"/>
    <n v="128955.52492643079"/>
    <n v="0"/>
    <x v="2"/>
  </r>
  <r>
    <s v="Regular"/>
    <x v="2"/>
    <x v="0"/>
    <x v="2"/>
    <x v="1"/>
    <x v="1"/>
    <x v="0"/>
    <x v="0"/>
    <x v="6"/>
    <n v="46409"/>
    <n v="34877.248983719997"/>
    <n v="0"/>
    <n v="0"/>
    <n v="0"/>
    <n v="0"/>
    <n v="0"/>
    <s v="LIVRE"/>
    <n v="0"/>
    <n v="22"/>
    <n v="0"/>
    <n v="0"/>
    <n v="8.81"/>
    <n v="0"/>
    <n v="0"/>
    <n v="11.452356648653195"/>
    <n v="87.520205040180812"/>
    <m/>
    <n v="101594.72645342683"/>
    <n v="0"/>
    <n v="132065.72542190753"/>
    <n v="0"/>
    <x v="2"/>
  </r>
  <r>
    <s v="Regular"/>
    <x v="2"/>
    <x v="0"/>
    <x v="2"/>
    <x v="1"/>
    <x v="1"/>
    <x v="0"/>
    <x v="0"/>
    <x v="7"/>
    <n v="41910"/>
    <n v="31494.346587"/>
    <n v="0"/>
    <n v="0"/>
    <n v="0"/>
    <n v="0"/>
    <n v="0"/>
    <s v="LIVRE"/>
    <n v="0"/>
    <n v="22"/>
    <n v="0"/>
    <n v="0"/>
    <n v="8.81"/>
    <n v="0"/>
    <n v="0"/>
    <n v="11.452356648653195"/>
    <n v="87.520205040180812"/>
    <m/>
    <n v="91761.906568530001"/>
    <n v="0"/>
    <n v="119283.77761443789"/>
    <n v="0"/>
    <x v="2"/>
  </r>
  <r>
    <s v="Regular"/>
    <x v="2"/>
    <x v="0"/>
    <x v="2"/>
    <x v="1"/>
    <x v="1"/>
    <x v="0"/>
    <x v="0"/>
    <x v="8"/>
    <n v="41910"/>
    <n v="30967.857241199999"/>
    <n v="0"/>
    <n v="0"/>
    <n v="0"/>
    <n v="0"/>
    <n v="0"/>
    <s v="LIVRE"/>
    <n v="0"/>
    <n v="22"/>
    <n v="0"/>
    <n v="0"/>
    <n v="8.81"/>
    <n v="0"/>
    <n v="0"/>
    <n v="11.452356648653195"/>
    <n v="87.520205040180812"/>
    <m/>
    <n v="96400.277705028013"/>
    <n v="0"/>
    <n v="125313.3213742556"/>
    <n v="0"/>
    <x v="2"/>
  </r>
  <r>
    <s v="Regular"/>
    <x v="2"/>
    <x v="0"/>
    <x v="2"/>
    <x v="1"/>
    <x v="1"/>
    <x v="0"/>
    <x v="0"/>
    <x v="9"/>
    <n v="44011"/>
    <n v="32106.63053147"/>
    <n v="0"/>
    <n v="0"/>
    <n v="0"/>
    <n v="0"/>
    <n v="0"/>
    <s v="LIVRE"/>
    <n v="0"/>
    <n v="22"/>
    <n v="0"/>
    <n v="0"/>
    <n v="8.81"/>
    <n v="0"/>
    <n v="0"/>
    <n v="11.452356648653195"/>
    <n v="87.520205040180812"/>
    <m/>
    <n v="104877.4950177493"/>
    <n v="0"/>
    <n v="136333.08483094364"/>
    <n v="0"/>
    <x v="2"/>
  </r>
  <r>
    <s v="Regular"/>
    <x v="2"/>
    <x v="0"/>
    <x v="2"/>
    <x v="1"/>
    <x v="1"/>
    <x v="0"/>
    <x v="0"/>
    <x v="10"/>
    <n v="44798"/>
    <n v="33598.5"/>
    <n v="0"/>
    <n v="0"/>
    <n v="0"/>
    <n v="0"/>
    <n v="0"/>
    <s v="LIVRE"/>
    <n v="0"/>
    <n v="22"/>
    <n v="0"/>
    <n v="0"/>
    <n v="8.81"/>
    <n v="0"/>
    <n v="0"/>
    <n v="11.452356648653195"/>
    <n v="87.520205040180812"/>
    <m/>
    <n v="98667.595000000001"/>
    <n v="0"/>
    <n v="128260.66828659146"/>
    <n v="0"/>
    <x v="2"/>
  </r>
  <r>
    <s v="PROJETADO"/>
    <x v="2"/>
    <x v="0"/>
    <x v="2"/>
    <x v="1"/>
    <x v="1"/>
    <x v="0"/>
    <x v="0"/>
    <x v="11"/>
    <n v="44798"/>
    <n v="33598.5"/>
    <n v="0"/>
    <n v="0"/>
    <n v="0"/>
    <n v="0"/>
    <n v="0"/>
    <s v="LIVRE"/>
    <n v="0"/>
    <n v="22"/>
    <n v="0"/>
    <n v="0"/>
    <n v="8.81"/>
    <n v="0"/>
    <n v="0"/>
    <n v="11.452356648653195"/>
    <n v="87.520205040180812"/>
    <m/>
    <n v="98667.595000000001"/>
    <n v="0"/>
    <n v="128260.66828659146"/>
    <n v="0"/>
    <x v="2"/>
  </r>
  <r>
    <s v="Regular"/>
    <x v="2"/>
    <x v="0"/>
    <x v="2"/>
    <x v="1"/>
    <x v="1"/>
    <x v="0"/>
    <x v="2"/>
    <x v="0"/>
    <n v="0"/>
    <n v="0"/>
    <n v="20287.528999999999"/>
    <n v="20287.528999999999"/>
    <n v="0"/>
    <n v="0"/>
    <n v="45"/>
    <s v="LIVRE"/>
    <n v="0"/>
    <n v="0"/>
    <n v="23"/>
    <n v="0"/>
    <n v="0"/>
    <n v="84.45"/>
    <n v="0"/>
    <m/>
    <n v="87.520205040180812"/>
    <m/>
    <n v="0"/>
    <n v="0"/>
    <n v="0"/>
    <n v="0"/>
    <x v="2"/>
  </r>
  <r>
    <s v="Regular"/>
    <x v="2"/>
    <x v="0"/>
    <x v="2"/>
    <x v="1"/>
    <x v="1"/>
    <x v="0"/>
    <x v="2"/>
    <x v="1"/>
    <n v="0"/>
    <n v="0"/>
    <n v="19718.810000000001"/>
    <n v="19718.810000000001"/>
    <n v="0"/>
    <n v="0"/>
    <n v="48"/>
    <s v="LIVRE"/>
    <n v="0"/>
    <n v="0"/>
    <n v="23"/>
    <n v="0"/>
    <n v="0"/>
    <n v="84.45"/>
    <n v="0"/>
    <m/>
    <n v="87.520205040180812"/>
    <m/>
    <n v="0"/>
    <n v="0"/>
    <n v="0"/>
    <n v="0"/>
    <x v="2"/>
  </r>
  <r>
    <s v="Regular"/>
    <x v="2"/>
    <x v="0"/>
    <x v="2"/>
    <x v="1"/>
    <x v="1"/>
    <x v="0"/>
    <x v="2"/>
    <x v="2"/>
    <n v="0"/>
    <n v="0"/>
    <n v="19907.462"/>
    <n v="19907.462"/>
    <n v="0"/>
    <n v="0"/>
    <n v="48"/>
    <s v="LIVRE"/>
    <n v="0"/>
    <n v="0"/>
    <n v="23"/>
    <n v="0"/>
    <n v="0"/>
    <n v="84.45"/>
    <n v="0"/>
    <m/>
    <n v="87.520205040180812"/>
    <m/>
    <n v="0"/>
    <n v="0"/>
    <n v="0"/>
    <n v="0"/>
    <x v="2"/>
  </r>
  <r>
    <s v="Regular"/>
    <x v="2"/>
    <x v="0"/>
    <x v="2"/>
    <x v="1"/>
    <x v="1"/>
    <x v="0"/>
    <x v="2"/>
    <x v="3"/>
    <n v="0"/>
    <n v="0"/>
    <n v="20952.216"/>
    <n v="20952.216"/>
    <n v="0"/>
    <n v="0"/>
    <n v="50"/>
    <s v="LIVRE"/>
    <n v="0"/>
    <n v="0"/>
    <n v="23"/>
    <n v="0"/>
    <n v="0"/>
    <n v="84.45"/>
    <n v="0"/>
    <m/>
    <n v="87.520205040180812"/>
    <m/>
    <n v="0"/>
    <n v="0"/>
    <n v="0"/>
    <n v="0"/>
    <x v="2"/>
  </r>
  <r>
    <s v="Regular"/>
    <x v="2"/>
    <x v="0"/>
    <x v="2"/>
    <x v="1"/>
    <x v="1"/>
    <x v="0"/>
    <x v="2"/>
    <x v="4"/>
    <n v="0"/>
    <n v="0"/>
    <n v="19422.186000000002"/>
    <n v="19422.186000000002"/>
    <n v="0"/>
    <n v="0"/>
    <n v="50"/>
    <s v="LIVRE"/>
    <n v="0"/>
    <n v="0"/>
    <n v="23"/>
    <n v="0"/>
    <n v="0"/>
    <n v="84.45"/>
    <n v="0"/>
    <m/>
    <n v="87.520205040180812"/>
    <m/>
    <n v="0"/>
    <n v="0"/>
    <n v="0"/>
    <n v="0"/>
    <x v="2"/>
  </r>
  <r>
    <s v="Regular"/>
    <x v="2"/>
    <x v="0"/>
    <x v="2"/>
    <x v="1"/>
    <x v="1"/>
    <x v="0"/>
    <x v="2"/>
    <x v="5"/>
    <n v="0"/>
    <n v="0"/>
    <n v="19378.527999999998"/>
    <n v="19378.527999999998"/>
    <n v="0"/>
    <n v="0"/>
    <n v="50"/>
    <s v="LIVRE"/>
    <n v="0"/>
    <n v="0"/>
    <n v="23"/>
    <n v="0"/>
    <n v="0"/>
    <n v="84.45"/>
    <n v="0"/>
    <m/>
    <n v="87.520205040180812"/>
    <m/>
    <n v="0"/>
    <n v="0"/>
    <n v="0"/>
    <n v="0"/>
    <x v="2"/>
  </r>
  <r>
    <s v="Regular"/>
    <x v="2"/>
    <x v="0"/>
    <x v="2"/>
    <x v="1"/>
    <x v="1"/>
    <x v="0"/>
    <x v="2"/>
    <x v="6"/>
    <n v="0"/>
    <n v="0"/>
    <n v="14852.009"/>
    <n v="14852.009"/>
    <n v="0"/>
    <n v="0"/>
    <n v="51"/>
    <s v="LIVRE"/>
    <n v="0"/>
    <n v="0"/>
    <n v="23"/>
    <n v="0"/>
    <n v="0"/>
    <n v="84.45"/>
    <n v="0"/>
    <m/>
    <n v="87.520205040180812"/>
    <m/>
    <n v="0"/>
    <n v="0"/>
    <n v="0"/>
    <n v="0"/>
    <x v="2"/>
  </r>
  <r>
    <s v="Regular"/>
    <x v="2"/>
    <x v="0"/>
    <x v="2"/>
    <x v="1"/>
    <x v="1"/>
    <x v="0"/>
    <x v="2"/>
    <x v="7"/>
    <n v="0"/>
    <n v="0"/>
    <n v="16108.739"/>
    <n v="16108.739"/>
    <n v="0"/>
    <n v="0"/>
    <n v="55"/>
    <s v="LIVRE"/>
    <n v="0"/>
    <n v="0"/>
    <n v="23"/>
    <n v="0"/>
    <n v="0"/>
    <n v="84.45"/>
    <n v="0"/>
    <m/>
    <n v="87.520205040180812"/>
    <m/>
    <n v="0"/>
    <n v="0"/>
    <n v="0"/>
    <n v="0"/>
    <x v="2"/>
  </r>
  <r>
    <s v="Regular"/>
    <x v="2"/>
    <x v="0"/>
    <x v="2"/>
    <x v="1"/>
    <x v="1"/>
    <x v="0"/>
    <x v="2"/>
    <x v="8"/>
    <n v="0"/>
    <n v="0"/>
    <n v="16108.739"/>
    <n v="16108.739"/>
    <n v="0"/>
    <n v="0"/>
    <n v="55"/>
    <s v="LIVRE"/>
    <n v="0"/>
    <n v="0"/>
    <n v="23"/>
    <n v="0"/>
    <n v="0"/>
    <n v="84.45"/>
    <n v="0"/>
    <m/>
    <n v="87.520205040180812"/>
    <m/>
    <n v="0"/>
    <n v="0"/>
    <n v="0"/>
    <n v="0"/>
    <x v="2"/>
  </r>
  <r>
    <s v="Regular"/>
    <x v="2"/>
    <x v="0"/>
    <x v="2"/>
    <x v="1"/>
    <x v="1"/>
    <x v="0"/>
    <x v="2"/>
    <x v="9"/>
    <n v="0"/>
    <n v="0"/>
    <n v="17346.935000000001"/>
    <n v="17346.935000000001"/>
    <n v="0"/>
    <n v="0"/>
    <n v="41"/>
    <s v="LIVRE"/>
    <n v="0"/>
    <n v="0"/>
    <n v="23"/>
    <n v="0"/>
    <n v="0"/>
    <n v="84.45"/>
    <n v="0"/>
    <m/>
    <n v="87.520205040180812"/>
    <m/>
    <n v="0"/>
    <n v="0"/>
    <n v="0"/>
    <n v="0"/>
    <x v="2"/>
  </r>
  <r>
    <s v="Regular"/>
    <x v="2"/>
    <x v="0"/>
    <x v="2"/>
    <x v="1"/>
    <x v="1"/>
    <x v="0"/>
    <x v="2"/>
    <x v="10"/>
    <n v="0"/>
    <n v="0"/>
    <n v="19937.614000000001"/>
    <n v="19937.614000000001"/>
    <n v="0"/>
    <n v="0"/>
    <n v="56"/>
    <s v="LIVRE"/>
    <n v="0"/>
    <n v="0"/>
    <n v="23"/>
    <n v="0"/>
    <n v="0"/>
    <n v="84.45"/>
    <n v="0"/>
    <m/>
    <n v="87.520205040180812"/>
    <m/>
    <n v="0"/>
    <n v="0"/>
    <n v="0"/>
    <n v="0"/>
    <x v="2"/>
  </r>
  <r>
    <s v="PROJETADO"/>
    <x v="2"/>
    <x v="0"/>
    <x v="2"/>
    <x v="1"/>
    <x v="1"/>
    <x v="0"/>
    <x v="2"/>
    <x v="11"/>
    <n v="0"/>
    <n v="0"/>
    <n v="19937.614000000001"/>
    <n v="19937.614000000001"/>
    <n v="0"/>
    <n v="0"/>
    <n v="56"/>
    <s v="LIVRE"/>
    <n v="0"/>
    <n v="0"/>
    <n v="23"/>
    <n v="0"/>
    <n v="0"/>
    <n v="84.45"/>
    <n v="0"/>
    <m/>
    <n v="87.520205040180812"/>
    <m/>
    <n v="0"/>
    <n v="0"/>
    <n v="0"/>
    <n v="0"/>
    <x v="2"/>
  </r>
  <r>
    <s v="Regular"/>
    <x v="2"/>
    <x v="0"/>
    <x v="2"/>
    <x v="1"/>
    <x v="1"/>
    <x v="0"/>
    <x v="1"/>
    <x v="0"/>
    <n v="38961"/>
    <n v="28005.293033639999"/>
    <n v="0"/>
    <n v="0"/>
    <n v="0"/>
    <n v="0"/>
    <n v="0"/>
    <s v="LIVRE"/>
    <n v="0"/>
    <n v="21"/>
    <n v="0"/>
    <n v="0"/>
    <n v="22.94"/>
    <n v="0"/>
    <n v="0"/>
    <n v="27.216283196676113"/>
    <n v="87.520205040180812"/>
    <m/>
    <n v="251323.91780829846"/>
    <n v="0"/>
    <n v="298173.62341625115"/>
    <n v="0"/>
    <x v="2"/>
  </r>
  <r>
    <s v="Regular"/>
    <x v="2"/>
    <x v="0"/>
    <x v="2"/>
    <x v="1"/>
    <x v="1"/>
    <x v="0"/>
    <x v="1"/>
    <x v="1"/>
    <n v="39880"/>
    <n v="28676.253576399999"/>
    <n v="0"/>
    <n v="0"/>
    <n v="0"/>
    <n v="0"/>
    <n v="0"/>
    <s v="LIVRE"/>
    <n v="0"/>
    <n v="21"/>
    <n v="0"/>
    <n v="0"/>
    <n v="22.94"/>
    <n v="0"/>
    <n v="0"/>
    <n v="27.216283196676113"/>
    <n v="87.520205040180812"/>
    <m/>
    <n v="257013.94295738405"/>
    <n v="0"/>
    <n v="304924.33552844479"/>
    <n v="0"/>
    <x v="2"/>
  </r>
  <r>
    <s v="Regular"/>
    <x v="2"/>
    <x v="0"/>
    <x v="2"/>
    <x v="1"/>
    <x v="1"/>
    <x v="0"/>
    <x v="1"/>
    <x v="2"/>
    <n v="39880"/>
    <n v="28760.635668399998"/>
    <n v="0"/>
    <n v="0"/>
    <n v="0"/>
    <n v="0"/>
    <n v="0"/>
    <s v="LIVRE"/>
    <n v="0"/>
    <n v="21"/>
    <n v="0"/>
    <n v="0"/>
    <n v="22.94"/>
    <n v="0"/>
    <n v="0"/>
    <n v="27.216283196676113"/>
    <n v="87.520205040180812"/>
    <m/>
    <n v="255078.21776690404"/>
    <n v="0"/>
    <n v="302627.76861584483"/>
    <n v="0"/>
    <x v="2"/>
  </r>
  <r>
    <s v="Regular"/>
    <x v="2"/>
    <x v="0"/>
    <x v="2"/>
    <x v="1"/>
    <x v="1"/>
    <x v="0"/>
    <x v="1"/>
    <x v="3"/>
    <n v="41163"/>
    <n v="29609.906337150001"/>
    <n v="0"/>
    <n v="0"/>
    <n v="0"/>
    <n v="0"/>
    <n v="0"/>
    <s v="LIVRE"/>
    <n v="0"/>
    <n v="21"/>
    <n v="0"/>
    <n v="0"/>
    <n v="22.94"/>
    <n v="0"/>
    <n v="0"/>
    <n v="27.216283196676113"/>
    <n v="87.520205040180812"/>
    <m/>
    <n v="265027.96862577897"/>
    <n v="0"/>
    <n v="314432.2689258497"/>
    <n v="0"/>
    <x v="2"/>
  </r>
  <r>
    <s v="Regular"/>
    <x v="2"/>
    <x v="0"/>
    <x v="2"/>
    <x v="1"/>
    <x v="1"/>
    <x v="0"/>
    <x v="1"/>
    <x v="4"/>
    <n v="41245"/>
    <n v="29544.820500500002"/>
    <n v="0"/>
    <n v="0"/>
    <n v="0"/>
    <n v="0"/>
    <n v="0"/>
    <s v="LIVRE"/>
    <n v="0"/>
    <n v="21"/>
    <n v="0"/>
    <n v="0"/>
    <n v="22.94"/>
    <n v="0"/>
    <n v="0"/>
    <n v="27.216283196676113"/>
    <n v="87.520205040180812"/>
    <m/>
    <n v="268402.11771852995"/>
    <n v="0"/>
    <n v="318435.39871033613"/>
    <n v="0"/>
    <x v="2"/>
  </r>
  <r>
    <s v="Regular"/>
    <x v="2"/>
    <x v="0"/>
    <x v="2"/>
    <x v="1"/>
    <x v="1"/>
    <x v="0"/>
    <x v="1"/>
    <x v="5"/>
    <n v="40820"/>
    <n v="30565.040401999999"/>
    <n v="0"/>
    <n v="0"/>
    <n v="0"/>
    <n v="0"/>
    <n v="0"/>
    <s v="LIVRE"/>
    <n v="0"/>
    <n v="21"/>
    <n v="0"/>
    <n v="0"/>
    <n v="22.94"/>
    <n v="0"/>
    <n v="0"/>
    <n v="27.216283196676113"/>
    <n v="87.520205040180812"/>
    <m/>
    <n v="235248.77317812006"/>
    <n v="0"/>
    <n v="279101.88458963984"/>
    <n v="0"/>
    <x v="2"/>
  </r>
  <r>
    <s v="Regular"/>
    <x v="2"/>
    <x v="0"/>
    <x v="2"/>
    <x v="1"/>
    <x v="1"/>
    <x v="0"/>
    <x v="1"/>
    <x v="6"/>
    <n v="41032"/>
    <n v="30479.30899664"/>
    <n v="0"/>
    <n v="0"/>
    <n v="0"/>
    <n v="0"/>
    <n v="0"/>
    <s v="LIVRE"/>
    <n v="0"/>
    <n v="21"/>
    <n v="0"/>
    <n v="0"/>
    <n v="22.94"/>
    <n v="0"/>
    <n v="0"/>
    <n v="27.216283196676113"/>
    <n v="87.520205040180812"/>
    <m/>
    <n v="242078.73161707842"/>
    <n v="0"/>
    <n v="287205.02683446195"/>
    <n v="0"/>
    <x v="2"/>
  </r>
  <r>
    <s v="Regular"/>
    <x v="2"/>
    <x v="0"/>
    <x v="2"/>
    <x v="1"/>
    <x v="1"/>
    <x v="0"/>
    <x v="1"/>
    <x v="7"/>
    <n v="36728"/>
    <n v="27284.50508744"/>
    <n v="0"/>
    <n v="0"/>
    <n v="0"/>
    <n v="0"/>
    <n v="0"/>
    <s v="LIVRE"/>
    <n v="0"/>
    <n v="21"/>
    <n v="0"/>
    <n v="0"/>
    <n v="22.94"/>
    <n v="0"/>
    <n v="0"/>
    <n v="27.216283196676113"/>
    <n v="87.520205040180812"/>
    <m/>
    <n v="216633.77329412641"/>
    <n v="0"/>
    <n v="257016.83190660307"/>
    <n v="0"/>
    <x v="2"/>
  </r>
  <r>
    <s v="Regular"/>
    <x v="2"/>
    <x v="0"/>
    <x v="2"/>
    <x v="1"/>
    <x v="1"/>
    <x v="0"/>
    <x v="1"/>
    <x v="8"/>
    <n v="36728"/>
    <n v="26828.53541488"/>
    <n v="0"/>
    <n v="0"/>
    <n v="0"/>
    <n v="0"/>
    <n v="0"/>
    <s v="LIVRE"/>
    <n v="0"/>
    <n v="21"/>
    <n v="0"/>
    <n v="0"/>
    <n v="22.94"/>
    <n v="0"/>
    <n v="0"/>
    <n v="27.216283196676113"/>
    <n v="87.520205040180812"/>
    <m/>
    <n v="227093.71758265281"/>
    <n v="0"/>
    <n v="269426.63164409174"/>
    <n v="0"/>
    <x v="2"/>
  </r>
  <r>
    <s v="Regular"/>
    <x v="2"/>
    <x v="0"/>
    <x v="2"/>
    <x v="1"/>
    <x v="1"/>
    <x v="0"/>
    <x v="1"/>
    <x v="9"/>
    <n v="38585"/>
    <n v="27811.329868950001"/>
    <n v="0"/>
    <n v="0"/>
    <n v="0"/>
    <n v="0"/>
    <n v="0"/>
    <s v="LIVRE"/>
    <n v="0"/>
    <n v="21"/>
    <n v="0"/>
    <n v="0"/>
    <n v="22.94"/>
    <n v="0"/>
    <n v="0"/>
    <n v="27.216283196676113"/>
    <n v="87.520205040180812"/>
    <m/>
    <n v="247147.99280628699"/>
    <n v="0"/>
    <n v="293219.25735422742"/>
    <n v="0"/>
    <x v="2"/>
  </r>
  <r>
    <s v="Regular"/>
    <x v="2"/>
    <x v="0"/>
    <x v="2"/>
    <x v="1"/>
    <x v="1"/>
    <x v="0"/>
    <x v="1"/>
    <x v="10"/>
    <n v="40321"/>
    <n v="29837.54"/>
    <n v="0"/>
    <n v="0"/>
    <n v="0"/>
    <n v="0"/>
    <n v="0"/>
    <s v="LIVRE"/>
    <n v="0"/>
    <n v="21"/>
    <n v="0"/>
    <n v="0"/>
    <n v="22.94"/>
    <n v="0"/>
    <n v="0"/>
    <n v="27.216283196676113"/>
    <n v="87.520205040180812"/>
    <m/>
    <n v="240490.5724"/>
    <n v="0"/>
    <n v="285320.81624102616"/>
    <n v="0"/>
    <x v="2"/>
  </r>
  <r>
    <s v="PROJETADO"/>
    <x v="2"/>
    <x v="0"/>
    <x v="2"/>
    <x v="1"/>
    <x v="1"/>
    <x v="0"/>
    <x v="1"/>
    <x v="11"/>
    <n v="40321"/>
    <n v="29837.54"/>
    <n v="0"/>
    <n v="0"/>
    <n v="0"/>
    <n v="0"/>
    <n v="0"/>
    <s v="LIVRE"/>
    <n v="0"/>
    <n v="21"/>
    <n v="0"/>
    <n v="0"/>
    <n v="22.94"/>
    <n v="0"/>
    <n v="0"/>
    <n v="27.216283196676113"/>
    <n v="87.520205040180812"/>
    <m/>
    <n v="240490.5724"/>
    <n v="0"/>
    <n v="285320.81624102616"/>
    <n v="0"/>
    <x v="2"/>
  </r>
  <r>
    <s v="Regular"/>
    <x v="2"/>
    <x v="0"/>
    <x v="3"/>
    <x v="1"/>
    <x v="0"/>
    <x v="0"/>
    <x v="0"/>
    <x v="0"/>
    <n v="781"/>
    <n v="718.52"/>
    <n v="352.00299999999999"/>
    <n v="323.84276"/>
    <n v="352.00299999999999"/>
    <n v="323.84276"/>
    <n v="0"/>
    <s v="CATIVO"/>
    <n v="0"/>
    <n v="22"/>
    <n v="23"/>
    <n v="82"/>
    <n v="8.81"/>
    <n v="84.45"/>
    <n v="256.38"/>
    <n v="11.452356648653195"/>
    <n v="87.520205040180812"/>
    <n v="230.84299908458948"/>
    <n v="550.44880000000023"/>
    <n v="9597.8545991999963"/>
    <n v="715.54324340785183"/>
    <n v="8965.1842353225184"/>
    <x v="3"/>
  </r>
  <r>
    <s v="Regular"/>
    <x v="2"/>
    <x v="0"/>
    <x v="3"/>
    <x v="1"/>
    <x v="0"/>
    <x v="0"/>
    <x v="0"/>
    <x v="1"/>
    <n v="779"/>
    <n v="716.68000000000006"/>
    <n v="325.995"/>
    <n v="299.91540000000003"/>
    <n v="325.995"/>
    <n v="299.91540000000003"/>
    <n v="0"/>
    <s v="CATIVO"/>
    <n v="0"/>
    <n v="22"/>
    <n v="23"/>
    <n v="82"/>
    <n v="8.81"/>
    <n v="84.45"/>
    <n v="256.38"/>
    <n v="11.452356648653195"/>
    <n v="87.520205040180812"/>
    <n v="230.84299908458948"/>
    <n v="549.03919999999948"/>
    <n v="8888.7100679999894"/>
    <n v="713.7108663440664"/>
    <n v="8302.7850182923503"/>
    <x v="3"/>
  </r>
  <r>
    <s v="Regular"/>
    <x v="2"/>
    <x v="0"/>
    <x v="3"/>
    <x v="1"/>
    <x v="0"/>
    <x v="0"/>
    <x v="0"/>
    <x v="2"/>
    <n v="733"/>
    <n v="674.36"/>
    <n v="297.36099999999999"/>
    <n v="273.57211999999998"/>
    <n v="297.36099999999999"/>
    <n v="273.57211999999998"/>
    <n v="0"/>
    <s v="CATIVO"/>
    <n v="0"/>
    <n v="22"/>
    <n v="23"/>
    <n v="82"/>
    <n v="8.81"/>
    <n v="84.45"/>
    <n v="256.38"/>
    <n v="11.452356648653195"/>
    <n v="87.520205040180812"/>
    <n v="230.84299908458948"/>
    <n v="516.61839999999995"/>
    <n v="8107.9639704000019"/>
    <n v="671.56619387702324"/>
    <n v="7573.5040593396679"/>
    <x v="3"/>
  </r>
  <r>
    <s v="Regular"/>
    <x v="2"/>
    <x v="0"/>
    <x v="3"/>
    <x v="1"/>
    <x v="0"/>
    <x v="0"/>
    <x v="0"/>
    <x v="3"/>
    <n v="722"/>
    <n v="664.24"/>
    <n v="328.46"/>
    <n v="302.1832"/>
    <n v="328.46"/>
    <n v="302.1832"/>
    <n v="0"/>
    <s v="CATIVO"/>
    <n v="0"/>
    <n v="22"/>
    <n v="23"/>
    <n v="82"/>
    <n v="8.81"/>
    <n v="84.45"/>
    <n v="256.38"/>
    <n v="11.452356648653195"/>
    <n v="87.520205040180812"/>
    <n v="230.84299908458948"/>
    <n v="508.86559999999997"/>
    <n v="8955.9217439999939"/>
    <n v="661.48812002620843"/>
    <n v="8365.5662421457582"/>
    <x v="3"/>
  </r>
  <r>
    <s v="Regular"/>
    <x v="2"/>
    <x v="0"/>
    <x v="3"/>
    <x v="1"/>
    <x v="0"/>
    <x v="0"/>
    <x v="0"/>
    <x v="4"/>
    <n v="777"/>
    <n v="714.84"/>
    <n v="318.10399999999998"/>
    <n v="292.65568000000002"/>
    <n v="318.10399999999998"/>
    <n v="292.65568000000002"/>
    <n v="0"/>
    <s v="CATIVO"/>
    <n v="0"/>
    <n v="22"/>
    <n v="23"/>
    <n v="82"/>
    <n v="8.81"/>
    <n v="84.45"/>
    <n v="256.38"/>
    <n v="11.452356648653195"/>
    <n v="87.520205040180812"/>
    <n v="230.84299908458948"/>
    <n v="547.62959999999975"/>
    <n v="8673.5509055999883"/>
    <n v="711.87848928028222"/>
    <n v="8101.8086947924639"/>
    <x v="3"/>
  </r>
  <r>
    <s v="Regular"/>
    <x v="2"/>
    <x v="0"/>
    <x v="3"/>
    <x v="1"/>
    <x v="0"/>
    <x v="0"/>
    <x v="0"/>
    <x v="5"/>
    <n v="825"/>
    <n v="759"/>
    <n v="318.88499999999999"/>
    <n v="293.37420000000003"/>
    <n v="318.88499999999999"/>
    <n v="293.37420000000003"/>
    <n v="0"/>
    <s v="CATIVO"/>
    <n v="0"/>
    <n v="22"/>
    <n v="23"/>
    <n v="82"/>
    <n v="8.81"/>
    <n v="84.45"/>
    <n v="256.38"/>
    <n v="11.452356648653195"/>
    <n v="87.520205040180812"/>
    <n v="230.84299908458948"/>
    <n v="581.46"/>
    <n v="8694.8459639999874"/>
    <n v="755.85553881111093"/>
    <n v="8121.7000277861771"/>
    <x v="3"/>
  </r>
  <r>
    <s v="Regular"/>
    <x v="2"/>
    <x v="0"/>
    <x v="3"/>
    <x v="1"/>
    <x v="0"/>
    <x v="0"/>
    <x v="0"/>
    <x v="6"/>
    <n v="773"/>
    <n v="711.16000000000008"/>
    <n v="327.36700000000002"/>
    <n v="301.17764000000005"/>
    <n v="327.36700000000002"/>
    <n v="301.17764000000005"/>
    <n v="0"/>
    <s v="CATIVO"/>
    <n v="0"/>
    <n v="22"/>
    <n v="23"/>
    <n v="82"/>
    <n v="8.81"/>
    <n v="84.45"/>
    <n v="256.38"/>
    <n v="11.452356648653195"/>
    <n v="87.520205040180812"/>
    <n v="230.84299908458948"/>
    <n v="544.81039999999928"/>
    <n v="8926.119568799988"/>
    <n v="708.21373515271262"/>
    <n v="8337.7285635770841"/>
    <x v="3"/>
  </r>
  <r>
    <s v="Regular"/>
    <x v="2"/>
    <x v="0"/>
    <x v="3"/>
    <x v="1"/>
    <x v="0"/>
    <x v="0"/>
    <x v="0"/>
    <x v="7"/>
    <n v="775"/>
    <n v="713"/>
    <n v="275.20100000000002"/>
    <n v="253.18492000000003"/>
    <n v="275.20100000000002"/>
    <n v="253.18492000000003"/>
    <n v="0"/>
    <s v="CATIVO"/>
    <n v="0"/>
    <n v="22"/>
    <n v="23"/>
    <n v="82"/>
    <n v="8.81"/>
    <n v="84.45"/>
    <n v="256.38"/>
    <n v="11.452356648653195"/>
    <n v="87.520205040180812"/>
    <n v="230.84299908458948"/>
    <n v="546.22"/>
    <n v="7503.7405463999967"/>
    <n v="710.04611221649805"/>
    <n v="7009.1097710672684"/>
    <x v="3"/>
  </r>
  <r>
    <s v="Regular"/>
    <x v="2"/>
    <x v="0"/>
    <x v="3"/>
    <x v="1"/>
    <x v="0"/>
    <x v="0"/>
    <x v="0"/>
    <x v="8"/>
    <n v="798"/>
    <n v="734.16000000000008"/>
    <n v="329.52300000000002"/>
    <n v="303.16116000000005"/>
    <n v="329.52300000000002"/>
    <n v="303.16116000000005"/>
    <n v="0"/>
    <s v="CATIVO"/>
    <n v="0"/>
    <n v="22"/>
    <n v="23"/>
    <n v="82"/>
    <n v="8.81"/>
    <n v="84.45"/>
    <n v="256.38"/>
    <n v="11.452356648653195"/>
    <n v="87.520205040180812"/>
    <n v="230.84299908458948"/>
    <n v="562.43039999999928"/>
    <n v="8984.9059271999904"/>
    <n v="731.11844845001906"/>
    <n v="8392.6398490245265"/>
    <x v="3"/>
  </r>
  <r>
    <s v="Regular"/>
    <x v="2"/>
    <x v="0"/>
    <x v="3"/>
    <x v="1"/>
    <x v="0"/>
    <x v="0"/>
    <x v="0"/>
    <x v="9"/>
    <n v="606"/>
    <n v="557.52"/>
    <n v="215.73699999999999"/>
    <n v="198.47803999999999"/>
    <n v="215.73699999999999"/>
    <n v="198.47803999999999"/>
    <n v="0"/>
    <s v="CATIVO"/>
    <n v="0"/>
    <n v="22"/>
    <n v="23"/>
    <n v="82"/>
    <n v="8.81"/>
    <n v="84.45"/>
    <n v="256.38"/>
    <n v="11.452356648653195"/>
    <n v="87.520205040180812"/>
    <n v="230.84299908458948"/>
    <n v="427.1088000000002"/>
    <n v="5882.3713368000008"/>
    <n v="555.21025032670707"/>
    <n v="5494.6178054612465"/>
    <x v="3"/>
  </r>
  <r>
    <s v="Refaturamento - Regular"/>
    <x v="2"/>
    <x v="0"/>
    <x v="3"/>
    <x v="1"/>
    <x v="0"/>
    <x v="0"/>
    <x v="0"/>
    <x v="9"/>
    <n v="245"/>
    <n v="225.4"/>
    <n v="0"/>
    <n v="0"/>
    <n v="0"/>
    <n v="0"/>
    <n v="0"/>
    <s v="CATIVO"/>
    <n v="0"/>
    <n v="22"/>
    <n v="0"/>
    <n v="0"/>
    <n v="8.81"/>
    <n v="0"/>
    <n v="0"/>
    <n v="11.452356648653195"/>
    <n v="87.520205040180812"/>
    <n v="230.84299908458948"/>
    <n v="172.67599999999996"/>
    <n v="0"/>
    <n v="224.46619031360257"/>
    <n v="0"/>
    <x v="3"/>
  </r>
  <r>
    <s v="Regular"/>
    <x v="2"/>
    <x v="0"/>
    <x v="3"/>
    <x v="1"/>
    <x v="0"/>
    <x v="0"/>
    <x v="0"/>
    <x v="10"/>
    <n v="876"/>
    <n v="805.92000000000007"/>
    <n v="368.00900000000001"/>
    <n v="338.56828000000002"/>
    <n v="368.00900000000001"/>
    <n v="338.56828000000002"/>
    <n v="0"/>
    <s v="CATIVO"/>
    <n v="0"/>
    <n v="22"/>
    <n v="23"/>
    <n v="82"/>
    <n v="8.81"/>
    <n v="84.45"/>
    <n v="256.38"/>
    <n v="11.452356648653195"/>
    <n v="87.520205040180812"/>
    <n v="230.84299908458948"/>
    <n v="617.40479999999934"/>
    <n v="10034.2805976"/>
    <n v="802.58115393761511"/>
    <n v="9372.8419509402065"/>
    <x v="3"/>
  </r>
  <r>
    <s v="PROJETADO"/>
    <x v="2"/>
    <x v="0"/>
    <x v="3"/>
    <x v="1"/>
    <x v="0"/>
    <x v="0"/>
    <x v="0"/>
    <x v="11"/>
    <n v="876"/>
    <n v="805.92000000000007"/>
    <n v="368.00900000000001"/>
    <n v="338.56828000000002"/>
    <n v="368.00900000000001"/>
    <n v="338.56828000000002"/>
    <n v="0"/>
    <s v="CATIVO"/>
    <n v="0"/>
    <n v="22"/>
    <n v="23"/>
    <n v="82"/>
    <n v="8.81"/>
    <n v="84.45"/>
    <n v="256.38"/>
    <n v="11.452356648653195"/>
    <n v="87.520205040180812"/>
    <n v="230.84299908458948"/>
    <n v="617.40479999999934"/>
    <n v="10034.2805976"/>
    <n v="802.58115393761511"/>
    <n v="9372.8419509402065"/>
    <x v="3"/>
  </r>
  <r>
    <s v="Regular"/>
    <x v="2"/>
    <x v="0"/>
    <x v="3"/>
    <x v="1"/>
    <x v="0"/>
    <x v="0"/>
    <x v="1"/>
    <x v="0"/>
    <n v="704"/>
    <n v="647.68000000000006"/>
    <n v="34.075000000000003"/>
    <n v="31.349000000000004"/>
    <n v="34.075000000000003"/>
    <n v="31.349000000000004"/>
    <n v="0"/>
    <s v="CATIVO"/>
    <n v="0"/>
    <n v="21"/>
    <n v="23"/>
    <n v="81"/>
    <n v="22.94"/>
    <n v="84.45"/>
    <n v="430.87"/>
    <n v="27.216283196676113"/>
    <n v="87.520205040180812"/>
    <n v="375.70671275609089"/>
    <n v="1291.9807999999987"/>
    <n v="1404.7623199999996"/>
    <n v="1532.8210696367969"/>
    <n v="1262.7565779126362"/>
    <x v="3"/>
  </r>
  <r>
    <s v="Regular"/>
    <x v="2"/>
    <x v="0"/>
    <x v="3"/>
    <x v="1"/>
    <x v="0"/>
    <x v="0"/>
    <x v="1"/>
    <x v="1"/>
    <n v="720"/>
    <n v="662.4"/>
    <n v="32.393000000000001"/>
    <n v="29.801560000000002"/>
    <n v="32.393000000000001"/>
    <n v="29.801560000000002"/>
    <n v="0"/>
    <s v="CATIVO"/>
    <n v="0"/>
    <n v="21"/>
    <n v="23"/>
    <n v="81"/>
    <n v="22.94"/>
    <n v="84.45"/>
    <n v="430.87"/>
    <n v="27.216283196676113"/>
    <n v="87.520205040180812"/>
    <n v="375.70671275609089"/>
    <n v="1321.3440000000005"/>
    <n v="1335.4208607999994"/>
    <n v="1567.6579121285447"/>
    <n v="1200.4247638539696"/>
    <x v="3"/>
  </r>
  <r>
    <s v="Regular"/>
    <x v="2"/>
    <x v="0"/>
    <x v="3"/>
    <x v="1"/>
    <x v="0"/>
    <x v="0"/>
    <x v="1"/>
    <x v="2"/>
    <n v="630"/>
    <n v="579.6"/>
    <n v="29.05"/>
    <n v="26.726000000000003"/>
    <n v="29.05"/>
    <n v="26.726000000000003"/>
    <n v="0"/>
    <s v="CATIVO"/>
    <n v="0"/>
    <n v="21"/>
    <n v="23"/>
    <n v="81"/>
    <n v="22.94"/>
    <n v="84.45"/>
    <n v="430.87"/>
    <n v="27.216283196676113"/>
    <n v="87.520205040180812"/>
    <n v="375.70671275609089"/>
    <n v="1156.1759999999995"/>
    <n v="1197.603679999999"/>
    <n v="1371.7006731124754"/>
    <n v="1076.5393569585347"/>
    <x v="3"/>
  </r>
  <r>
    <s v="Regular"/>
    <x v="2"/>
    <x v="0"/>
    <x v="3"/>
    <x v="1"/>
    <x v="0"/>
    <x v="0"/>
    <x v="1"/>
    <x v="3"/>
    <n v="659"/>
    <n v="606.28"/>
    <n v="29.417000000000002"/>
    <n v="27.063640000000003"/>
    <n v="29.417000000000002"/>
    <n v="27.063640000000003"/>
    <n v="0"/>
    <s v="CATIVO"/>
    <n v="0"/>
    <n v="21"/>
    <n v="23"/>
    <n v="81"/>
    <n v="22.94"/>
    <n v="84.45"/>
    <n v="430.87"/>
    <n v="27.216283196676113"/>
    <n v="87.520205040180812"/>
    <n v="375.70671275609089"/>
    <n v="1209.3968000000007"/>
    <n v="1212.7334751999992"/>
    <n v="1434.8424501287654"/>
    <n v="1090.1396992650334"/>
    <x v="3"/>
  </r>
  <r>
    <s v="Regular"/>
    <x v="2"/>
    <x v="0"/>
    <x v="3"/>
    <x v="1"/>
    <x v="0"/>
    <x v="0"/>
    <x v="1"/>
    <x v="4"/>
    <n v="677"/>
    <n v="622.84"/>
    <n v="30.206"/>
    <n v="27.78952"/>
    <n v="30.206"/>
    <n v="27.78952"/>
    <n v="0"/>
    <s v="CATIVO"/>
    <n v="0"/>
    <n v="21"/>
    <n v="23"/>
    <n v="81"/>
    <n v="22.94"/>
    <n v="84.45"/>
    <n v="430.87"/>
    <n v="27.216283196676113"/>
    <n v="87.520205040180812"/>
    <n v="375.70671275609089"/>
    <n v="1242.4303999999993"/>
    <n v="1245.2604736000001"/>
    <n v="1474.0338979319774"/>
    <n v="1119.3785823163346"/>
    <x v="3"/>
  </r>
  <r>
    <s v="Regular"/>
    <x v="2"/>
    <x v="0"/>
    <x v="3"/>
    <x v="1"/>
    <x v="0"/>
    <x v="0"/>
    <x v="1"/>
    <x v="5"/>
    <n v="680"/>
    <n v="625.6"/>
    <n v="30.259"/>
    <n v="27.838280000000001"/>
    <n v="30.259"/>
    <n v="27.838280000000001"/>
    <n v="0"/>
    <s v="CATIVO"/>
    <n v="0"/>
    <n v="21"/>
    <n v="23"/>
    <n v="81"/>
    <n v="22.94"/>
    <n v="84.45"/>
    <n v="430.87"/>
    <n v="27.216283196676113"/>
    <n v="87.520205040180812"/>
    <n v="375.70671275609089"/>
    <n v="1247.9359999999995"/>
    <n v="1247.4454303999996"/>
    <n v="1480.5658058991798"/>
    <n v="1121.3426644477904"/>
    <x v="3"/>
  </r>
  <r>
    <s v="Regular"/>
    <x v="2"/>
    <x v="0"/>
    <x v="3"/>
    <x v="1"/>
    <x v="0"/>
    <x v="0"/>
    <x v="1"/>
    <x v="6"/>
    <n v="660"/>
    <n v="607.20000000000005"/>
    <n v="29.832999999999998"/>
    <n v="27.446359999999999"/>
    <n v="29.832999999999998"/>
    <n v="27.446359999999999"/>
    <n v="0"/>
    <s v="CATIVO"/>
    <n v="0"/>
    <n v="21"/>
    <n v="23"/>
    <n v="81"/>
    <n v="22.94"/>
    <n v="84.45"/>
    <n v="430.87"/>
    <n v="27.216283196676113"/>
    <n v="87.520205040180812"/>
    <n v="375.70671275609089"/>
    <n v="1211.2319999999991"/>
    <n v="1229.8833248000001"/>
    <n v="1437.0197527844975"/>
    <n v="1105.5558910892939"/>
    <x v="3"/>
  </r>
  <r>
    <s v="Regular"/>
    <x v="2"/>
    <x v="0"/>
    <x v="3"/>
    <x v="1"/>
    <x v="0"/>
    <x v="0"/>
    <x v="1"/>
    <x v="7"/>
    <n v="661"/>
    <n v="608.12"/>
    <n v="25.033000000000001"/>
    <n v="23.030360000000002"/>
    <n v="25.033000000000001"/>
    <n v="23.030360000000002"/>
    <n v="0"/>
    <s v="CATIVO"/>
    <n v="0"/>
    <n v="21"/>
    <n v="23"/>
    <n v="81"/>
    <n v="22.94"/>
    <n v="84.45"/>
    <n v="430.87"/>
    <n v="27.216283196676113"/>
    <n v="87.520205040180812"/>
    <n v="375.70671275609089"/>
    <n v="1213.0672"/>
    <n v="1032.0004447999997"/>
    <n v="1439.1970554402328"/>
    <n v="927.67675465552543"/>
    <x v="3"/>
  </r>
  <r>
    <s v="Regular"/>
    <x v="2"/>
    <x v="0"/>
    <x v="3"/>
    <x v="1"/>
    <x v="0"/>
    <x v="0"/>
    <x v="1"/>
    <x v="8"/>
    <n v="712"/>
    <n v="655.04000000000008"/>
    <n v="31.492000000000001"/>
    <n v="28.972640000000002"/>
    <n v="31.492000000000001"/>
    <n v="28.972640000000002"/>
    <n v="0"/>
    <s v="CATIVO"/>
    <n v="0"/>
    <n v="21"/>
    <n v="23"/>
    <n v="81"/>
    <n v="22.94"/>
    <n v="84.45"/>
    <n v="430.87"/>
    <n v="27.216283196676113"/>
    <n v="87.520205040180812"/>
    <n v="375.70671275609089"/>
    <n v="1306.6623999999983"/>
    <n v="1298.2765951999995"/>
    <n v="1550.2394908826693"/>
    <n v="1167.0353676192146"/>
    <x v="3"/>
  </r>
  <r>
    <s v="Regular"/>
    <x v="2"/>
    <x v="0"/>
    <x v="3"/>
    <x v="1"/>
    <x v="0"/>
    <x v="0"/>
    <x v="1"/>
    <x v="9"/>
    <n v="439"/>
    <n v="403.88"/>
    <n v="18.164000000000001"/>
    <n v="16.710880000000003"/>
    <n v="18.164000000000001"/>
    <n v="16.710880000000003"/>
    <n v="0"/>
    <s v="CATIVO"/>
    <n v="0"/>
    <n v="21"/>
    <n v="23"/>
    <n v="81"/>
    <n v="22.94"/>
    <n v="84.45"/>
    <n v="430.87"/>
    <n v="27.216283196676113"/>
    <n v="87.520205040180812"/>
    <n v="375.70671275609089"/>
    <n v="805.65280000000018"/>
    <n v="748.82179839999912"/>
    <n v="955.83586586726517"/>
    <n v="673.12429878811758"/>
    <x v="3"/>
  </r>
  <r>
    <s v="Refaturamento - Regular"/>
    <x v="2"/>
    <x v="0"/>
    <x v="3"/>
    <x v="1"/>
    <x v="0"/>
    <x v="0"/>
    <x v="1"/>
    <x v="9"/>
    <n v="245"/>
    <n v="225.4"/>
    <n v="0"/>
    <n v="0"/>
    <n v="0"/>
    <n v="0"/>
    <n v="0"/>
    <s v="CATIVO"/>
    <n v="0"/>
    <n v="21"/>
    <n v="0"/>
    <n v="0"/>
    <n v="22.94"/>
    <n v="0"/>
    <n v="0"/>
    <n v="27.216283196676113"/>
    <n v="87.520205040180812"/>
    <n v="375.70671275609089"/>
    <n v="449.62399999999991"/>
    <n v="0"/>
    <n v="533.43915065485169"/>
    <n v="0"/>
    <x v="3"/>
  </r>
  <r>
    <s v="Regular"/>
    <x v="2"/>
    <x v="0"/>
    <x v="3"/>
    <x v="1"/>
    <x v="0"/>
    <x v="0"/>
    <x v="1"/>
    <x v="10"/>
    <n v="779"/>
    <n v="716.68000000000006"/>
    <n v="38.588999999999999"/>
    <n v="35.50188"/>
    <n v="38.588999999999999"/>
    <n v="35.50188"/>
    <n v="0"/>
    <s v="CATIVO"/>
    <n v="0"/>
    <n v="21"/>
    <n v="23"/>
    <n v="81"/>
    <n v="22.94"/>
    <n v="84.45"/>
    <n v="430.87"/>
    <n v="27.216283196676113"/>
    <n v="87.520205040180812"/>
    <n v="375.70671275609089"/>
    <n v="1429.6207999999986"/>
    <n v="1590.8546783999993"/>
    <n v="1696.1187688168536"/>
    <n v="1430.0370824672257"/>
    <x v="3"/>
  </r>
  <r>
    <s v="PROJETADO"/>
    <x v="2"/>
    <x v="0"/>
    <x v="3"/>
    <x v="1"/>
    <x v="0"/>
    <x v="0"/>
    <x v="1"/>
    <x v="11"/>
    <n v="779"/>
    <n v="716.68000000000006"/>
    <n v="38.588999999999999"/>
    <n v="35.50188"/>
    <n v="38.588999999999999"/>
    <n v="35.50188"/>
    <n v="0"/>
    <s v="CATIVO"/>
    <n v="0"/>
    <n v="21"/>
    <n v="23"/>
    <n v="81"/>
    <n v="22.94"/>
    <n v="84.45"/>
    <n v="430.87"/>
    <n v="27.216283196676113"/>
    <n v="87.520205040180812"/>
    <n v="375.70671275609089"/>
    <n v="1429.6207999999986"/>
    <n v="1590.8546783999993"/>
    <n v="1696.1187688168536"/>
    <n v="1430.0370824672257"/>
    <x v="3"/>
  </r>
  <r>
    <s v="Regular"/>
    <x v="2"/>
    <x v="0"/>
    <x v="0"/>
    <x v="0"/>
    <x v="0"/>
    <x v="0"/>
    <x v="0"/>
    <x v="0"/>
    <n v="9800"/>
    <n v="8330"/>
    <n v="4514.2240000000002"/>
    <n v="3972.51712"/>
    <n v="4514.2240000000002"/>
    <n v="3972.51712"/>
    <n v="0"/>
    <s v="CATIVO"/>
    <n v="0"/>
    <n v="22"/>
    <n v="23"/>
    <n v="82"/>
    <n v="8.81"/>
    <n v="84.45"/>
    <n v="256.38"/>
    <n v="11.452356648653195"/>
    <n v="87.520205040180812"/>
    <n v="230.84299908458948"/>
    <n v="12950.7"/>
    <n v="184629.95591040005"/>
    <n v="16834.964273520196"/>
    <n v="172459.53801323249"/>
    <x v="0"/>
  </r>
  <r>
    <s v="Regular"/>
    <x v="2"/>
    <x v="0"/>
    <x v="0"/>
    <x v="0"/>
    <x v="0"/>
    <x v="0"/>
    <x v="0"/>
    <x v="1"/>
    <n v="9795"/>
    <n v="8325.75"/>
    <n v="4572.0990000000002"/>
    <n v="4023.4471200000003"/>
    <n v="4572.0990000000002"/>
    <n v="4023.4471200000003"/>
    <n v="0"/>
    <s v="CATIVO"/>
    <n v="0"/>
    <n v="22"/>
    <n v="23"/>
    <n v="82"/>
    <n v="8.81"/>
    <n v="84.45"/>
    <n v="256.38"/>
    <n v="11.452356648653195"/>
    <n v="87.520205040180812"/>
    <n v="230.84299908458948"/>
    <n v="12944.092500000001"/>
    <n v="186997.02026039996"/>
    <n v="16826.375006033708"/>
    <n v="174670.57046587893"/>
    <x v="0"/>
  </r>
  <r>
    <s v="Regular"/>
    <x v="2"/>
    <x v="0"/>
    <x v="0"/>
    <x v="0"/>
    <x v="0"/>
    <x v="0"/>
    <x v="0"/>
    <x v="2"/>
    <n v="9831"/>
    <n v="8356.35"/>
    <n v="4345.348"/>
    <n v="3823.9062399999998"/>
    <n v="4345.348"/>
    <n v="3823.9062399999998"/>
    <n v="0"/>
    <s v="CATIVO"/>
    <n v="0"/>
    <n v="22"/>
    <n v="23"/>
    <n v="82"/>
    <n v="8.81"/>
    <n v="84.45"/>
    <n v="256.38"/>
    <n v="11.452356648653195"/>
    <n v="87.520205040180812"/>
    <n v="230.84299908458948"/>
    <n v="12991.666499999998"/>
    <n v="177722.99506080005"/>
    <n v="16888.217731936431"/>
    <n v="166007.86947805953"/>
    <x v="0"/>
  </r>
  <r>
    <s v="Regular"/>
    <x v="2"/>
    <x v="0"/>
    <x v="0"/>
    <x v="0"/>
    <x v="0"/>
    <x v="0"/>
    <x v="0"/>
    <x v="3"/>
    <n v="9808"/>
    <n v="8336.7999999999993"/>
    <n v="4575.3519999999999"/>
    <n v="4026.3097600000001"/>
    <n v="4575.3519999999999"/>
    <n v="4026.3097600000001"/>
    <n v="0"/>
    <s v="CATIVO"/>
    <n v="0"/>
    <n v="22"/>
    <n v="23"/>
    <n v="82"/>
    <n v="8.81"/>
    <n v="84.45"/>
    <n v="256.38"/>
    <n v="11.452356648653195"/>
    <n v="87.520205040180812"/>
    <n v="230.84299908458948"/>
    <n v="12961.272000000006"/>
    <n v="187130.06665919995"/>
    <n v="16848.707101498589"/>
    <n v="174794.84672624106"/>
    <x v="0"/>
  </r>
  <r>
    <s v="Regular"/>
    <x v="2"/>
    <x v="0"/>
    <x v="0"/>
    <x v="0"/>
    <x v="0"/>
    <x v="0"/>
    <x v="0"/>
    <x v="4"/>
    <n v="9853"/>
    <n v="8375.0499999999993"/>
    <n v="4766.9369999999999"/>
    <n v="4194.9045599999999"/>
    <n v="4766.9369999999999"/>
    <n v="4194.9045599999999"/>
    <n v="0"/>
    <s v="CATIVO"/>
    <n v="0"/>
    <n v="22"/>
    <n v="23"/>
    <n v="82"/>
    <n v="8.81"/>
    <n v="84.45"/>
    <n v="256.38"/>
    <n v="11.452356648653195"/>
    <n v="87.520205040180812"/>
    <n v="230.84299908458948"/>
    <n v="13020.739500000007"/>
    <n v="194965.81652519997"/>
    <n v="16926.010508877"/>
    <n v="182114.0804617104"/>
    <x v="0"/>
  </r>
  <r>
    <s v="Regular"/>
    <x v="2"/>
    <x v="0"/>
    <x v="0"/>
    <x v="0"/>
    <x v="0"/>
    <x v="0"/>
    <x v="0"/>
    <x v="5"/>
    <n v="9871"/>
    <n v="8390.35"/>
    <n v="4457.8869999999997"/>
    <n v="3922.9405599999996"/>
    <n v="4457.8869999999997"/>
    <n v="3922.9405599999996"/>
    <n v="0"/>
    <s v="CATIVO"/>
    <n v="0"/>
    <n v="22"/>
    <n v="23"/>
    <n v="82"/>
    <n v="8.81"/>
    <n v="84.45"/>
    <n v="256.38"/>
    <n v="11.452356648653195"/>
    <n v="87.520205040180812"/>
    <n v="230.84299908458948"/>
    <n v="13044.526499999998"/>
    <n v="182325.79514520004"/>
    <n v="16956.93187182835"/>
    <n v="170307.26267353923"/>
    <x v="0"/>
  </r>
  <r>
    <s v="Regular"/>
    <x v="2"/>
    <x v="0"/>
    <x v="0"/>
    <x v="0"/>
    <x v="0"/>
    <x v="0"/>
    <x v="0"/>
    <x v="6"/>
    <n v="9861"/>
    <n v="8381.85"/>
    <n v="4824.7709999999997"/>
    <n v="4245.7984799999995"/>
    <n v="4824.7709999999997"/>
    <n v="4245.7984799999995"/>
    <n v="0"/>
    <s v="CATIVO"/>
    <n v="0"/>
    <n v="22"/>
    <n v="23"/>
    <n v="82"/>
    <n v="8.81"/>
    <n v="84.45"/>
    <n v="256.38"/>
    <n v="11.452356648653195"/>
    <n v="87.520205040180812"/>
    <n v="230.84299908458948"/>
    <n v="13031.311499999998"/>
    <n v="197331.20399160008"/>
    <n v="16939.75333685537"/>
    <n v="184323.54656739271"/>
    <x v="0"/>
  </r>
  <r>
    <s v="Regular"/>
    <x v="2"/>
    <x v="0"/>
    <x v="0"/>
    <x v="0"/>
    <x v="0"/>
    <x v="0"/>
    <x v="0"/>
    <x v="7"/>
    <n v="9845"/>
    <n v="8368.25"/>
    <n v="4612.7529999999997"/>
    <n v="4059.22264"/>
    <n v="4612.7529999999997"/>
    <n v="4059.22264"/>
    <n v="0"/>
    <s v="CATIVO"/>
    <n v="0"/>
    <n v="22"/>
    <n v="23"/>
    <n v="82"/>
    <n v="8.81"/>
    <n v="84.45"/>
    <n v="256.38"/>
    <n v="11.452356648653195"/>
    <n v="87.520205040180812"/>
    <n v="230.84299908458948"/>
    <n v="13010.167500000001"/>
    <n v="188659.75259879991"/>
    <n v="16912.267680898607"/>
    <n v="176223.69898993749"/>
    <x v="0"/>
  </r>
  <r>
    <s v="Regular"/>
    <x v="2"/>
    <x v="0"/>
    <x v="0"/>
    <x v="0"/>
    <x v="0"/>
    <x v="0"/>
    <x v="0"/>
    <x v="8"/>
    <n v="9867"/>
    <n v="8386.9499999999989"/>
    <n v="4701.09"/>
    <n v="4136.9592000000002"/>
    <n v="4701.09"/>
    <n v="4136.9592000000002"/>
    <n v="0"/>
    <s v="CATIVO"/>
    <n v="0"/>
    <n v="22"/>
    <n v="23"/>
    <n v="82"/>
    <n v="8.81"/>
    <n v="84.45"/>
    <n v="256.38"/>
    <n v="11.452356648653195"/>
    <n v="87.520205040180812"/>
    <n v="230.84299908458948"/>
    <n v="13039.240500000011"/>
    <n v="192272.700564"/>
    <n v="16950.060457839172"/>
    <n v="179598.48903346993"/>
    <x v="0"/>
  </r>
  <r>
    <s v="Regular"/>
    <x v="2"/>
    <x v="0"/>
    <x v="0"/>
    <x v="0"/>
    <x v="0"/>
    <x v="0"/>
    <x v="0"/>
    <x v="9"/>
    <n v="9817"/>
    <n v="8344.4499999999989"/>
    <n v="4510.7780000000002"/>
    <n v="3969.4846400000001"/>
    <n v="4510.7780000000002"/>
    <n v="3969.4846400000001"/>
    <n v="0"/>
    <s v="CATIVO"/>
    <n v="0"/>
    <n v="22"/>
    <n v="23"/>
    <n v="82"/>
    <n v="8.81"/>
    <n v="84.45"/>
    <n v="256.38"/>
    <n v="11.452356648653195"/>
    <n v="87.520205040180812"/>
    <n v="230.84299908458948"/>
    <n v="12973.16550000001"/>
    <n v="184489.01588880003"/>
    <n v="16864.167782974277"/>
    <n v="172327.8884610628"/>
    <x v="0"/>
  </r>
  <r>
    <s v="Regular"/>
    <x v="2"/>
    <x v="0"/>
    <x v="0"/>
    <x v="0"/>
    <x v="0"/>
    <x v="0"/>
    <x v="0"/>
    <x v="10"/>
    <n v="9822"/>
    <n v="8348.6999999999989"/>
    <n v="4519.3159999999998"/>
    <n v="3976.9980799999998"/>
    <n v="4519.3159999999998"/>
    <n v="3976.9980799999998"/>
    <n v="0"/>
    <s v="CATIVO"/>
    <n v="0"/>
    <n v="22"/>
    <n v="23"/>
    <n v="82"/>
    <n v="8.81"/>
    <n v="84.45"/>
    <n v="256.38"/>
    <n v="11.452356648653195"/>
    <n v="87.520205040180812"/>
    <n v="230.84299908458948"/>
    <n v="12979.77300000001"/>
    <n v="184838.21667359999"/>
    <n v="16872.757050460765"/>
    <n v="172654.07066548083"/>
    <x v="0"/>
  </r>
  <r>
    <s v="PROJETADO"/>
    <x v="2"/>
    <x v="0"/>
    <x v="0"/>
    <x v="0"/>
    <x v="0"/>
    <x v="0"/>
    <x v="0"/>
    <x v="11"/>
    <n v="9822"/>
    <n v="8348.6999999999989"/>
    <n v="4519.3159999999998"/>
    <n v="3976.9980799999998"/>
    <n v="4519.3159999999998"/>
    <n v="3976.9980799999998"/>
    <n v="0"/>
    <s v="CATIVO"/>
    <n v="0"/>
    <n v="22"/>
    <n v="23"/>
    <n v="82"/>
    <n v="8.81"/>
    <n v="84.45"/>
    <n v="256.38"/>
    <n v="11.452356648653195"/>
    <n v="87.520205040180812"/>
    <n v="230.84299908458948"/>
    <n v="12979.77300000001"/>
    <n v="184838.21667359999"/>
    <n v="16872.757050460765"/>
    <n v="172654.07066548083"/>
    <x v="0"/>
  </r>
  <r>
    <s v="Regular"/>
    <x v="2"/>
    <x v="0"/>
    <x v="0"/>
    <x v="0"/>
    <x v="0"/>
    <x v="0"/>
    <x v="1"/>
    <x v="0"/>
    <n v="7945"/>
    <n v="6753.25"/>
    <n v="389.94"/>
    <n v="343.1472"/>
    <n v="389.94"/>
    <n v="343.1472"/>
    <n v="0"/>
    <s v="CATIVO"/>
    <n v="0"/>
    <n v="21"/>
    <n v="23"/>
    <n v="81"/>
    <n v="22.94"/>
    <n v="84.45"/>
    <n v="430.87"/>
    <n v="27.216283196676113"/>
    <n v="87.520205040180812"/>
    <n v="375.70671275609089"/>
    <n v="27338.745000000003"/>
    <n v="24113.265695999999"/>
    <n v="32435.005499638755"/>
    <n v="21675.684519057384"/>
    <x v="0"/>
  </r>
  <r>
    <s v="Regular"/>
    <x v="2"/>
    <x v="0"/>
    <x v="0"/>
    <x v="0"/>
    <x v="0"/>
    <x v="0"/>
    <x v="1"/>
    <x v="1"/>
    <n v="7973"/>
    <n v="6777.05"/>
    <n v="407.637"/>
    <n v="358.72055999999998"/>
    <n v="407.637"/>
    <n v="358.72055999999998"/>
    <n v="0"/>
    <s v="CATIVO"/>
    <n v="0"/>
    <n v="21"/>
    <n v="23"/>
    <n v="81"/>
    <n v="22.94"/>
    <n v="84.45"/>
    <n v="430.87"/>
    <n v="27.216283196676113"/>
    <n v="87.520205040180812"/>
    <n v="375.70671275609089"/>
    <n v="27435.092999999997"/>
    <n v="25207.619860800012"/>
    <n v="32549.313889064793"/>
    <n v="22659.411730766267"/>
    <x v="0"/>
  </r>
  <r>
    <s v="Regular"/>
    <x v="2"/>
    <x v="0"/>
    <x v="0"/>
    <x v="0"/>
    <x v="0"/>
    <x v="0"/>
    <x v="1"/>
    <x v="2"/>
    <n v="7941"/>
    <n v="6749.8499999999995"/>
    <n v="362.37299999999999"/>
    <n v="318.88824"/>
    <n v="362.37299999999999"/>
    <n v="318.88824"/>
    <n v="0"/>
    <s v="CATIVO"/>
    <n v="0"/>
    <n v="21"/>
    <n v="23"/>
    <n v="81"/>
    <n v="22.94"/>
    <n v="84.45"/>
    <n v="430.87"/>
    <n v="27.216283196676113"/>
    <n v="87.520205040180812"/>
    <n v="375.70671275609089"/>
    <n v="27324.981000000014"/>
    <n v="22408.566523199996"/>
    <n v="32418.675729720766"/>
    <n v="20143.311345910603"/>
    <x v="0"/>
  </r>
  <r>
    <s v="Regular"/>
    <x v="2"/>
    <x v="0"/>
    <x v="0"/>
    <x v="0"/>
    <x v="0"/>
    <x v="0"/>
    <x v="1"/>
    <x v="3"/>
    <n v="7921"/>
    <n v="6732.8499999999995"/>
    <n v="378.95400000000001"/>
    <n v="333.47952000000004"/>
    <n v="378.95400000000001"/>
    <n v="333.47952000000004"/>
    <n v="0"/>
    <s v="CATIVO"/>
    <n v="0"/>
    <n v="21"/>
    <n v="23"/>
    <n v="81"/>
    <n v="22.94"/>
    <n v="84.45"/>
    <n v="430.87"/>
    <n v="27.216283196676113"/>
    <n v="87.520205040180812"/>
    <n v="375.70671275609089"/>
    <n v="27256.161000000015"/>
    <n v="23433.909033599986"/>
    <n v="32337.026880130739"/>
    <n v="21065.003208788188"/>
    <x v="0"/>
  </r>
  <r>
    <s v="Regular"/>
    <x v="2"/>
    <x v="0"/>
    <x v="0"/>
    <x v="0"/>
    <x v="0"/>
    <x v="0"/>
    <x v="1"/>
    <x v="4"/>
    <n v="7899"/>
    <n v="6714.15"/>
    <n v="402.07499999999999"/>
    <n v="353.82599999999996"/>
    <n v="402.07499999999999"/>
    <n v="353.82599999999996"/>
    <n v="0"/>
    <s v="CATIVO"/>
    <n v="0"/>
    <n v="21"/>
    <n v="23"/>
    <n v="81"/>
    <n v="22.94"/>
    <n v="84.45"/>
    <n v="430.87"/>
    <n v="27.216283196676113"/>
    <n v="87.520205040180812"/>
    <n v="375.70671275609089"/>
    <n v="27180.45900000001"/>
    <n v="24863.674680000015"/>
    <n v="32247.213145581703"/>
    <n v="22350.235556752323"/>
    <x v="0"/>
  </r>
  <r>
    <s v="Regular"/>
    <x v="2"/>
    <x v="0"/>
    <x v="0"/>
    <x v="0"/>
    <x v="0"/>
    <x v="0"/>
    <x v="1"/>
    <x v="5"/>
    <n v="7933"/>
    <n v="6743.05"/>
    <n v="366.37299999999999"/>
    <n v="322.40823999999998"/>
    <n v="366.37299999999999"/>
    <n v="322.40823999999998"/>
    <n v="0"/>
    <s v="CATIVO"/>
    <n v="0"/>
    <n v="21"/>
    <n v="23"/>
    <n v="81"/>
    <n v="22.94"/>
    <n v="84.45"/>
    <n v="430.87"/>
    <n v="27.216283196676113"/>
    <n v="87.520205040180812"/>
    <n v="375.70671275609089"/>
    <n v="27297.452999999998"/>
    <n v="22655.920123200009"/>
    <n v="32386.016189884736"/>
    <n v="20365.660266452822"/>
    <x v="0"/>
  </r>
  <r>
    <s v="Regular"/>
    <x v="2"/>
    <x v="0"/>
    <x v="0"/>
    <x v="0"/>
    <x v="0"/>
    <x v="0"/>
    <x v="1"/>
    <x v="6"/>
    <n v="7955"/>
    <n v="6761.75"/>
    <n v="416.745"/>
    <n v="366.73560000000003"/>
    <n v="416.745"/>
    <n v="366.73560000000003"/>
    <n v="0"/>
    <s v="CATIVO"/>
    <n v="0"/>
    <n v="21"/>
    <n v="23"/>
    <n v="81"/>
    <n v="22.94"/>
    <n v="84.45"/>
    <n v="430.87"/>
    <n v="27.216283196676113"/>
    <n v="87.520205040180812"/>
    <n v="375.70671275609089"/>
    <n v="27373.155000000002"/>
    <n v="25770.844007999985"/>
    <n v="32475.829924433772"/>
    <n v="23165.700222840856"/>
    <x v="0"/>
  </r>
  <r>
    <s v="Regular"/>
    <x v="2"/>
    <x v="0"/>
    <x v="0"/>
    <x v="0"/>
    <x v="0"/>
    <x v="0"/>
    <x v="1"/>
    <x v="7"/>
    <n v="7917"/>
    <n v="6729.45"/>
    <n v="359.61"/>
    <n v="316.45679999999999"/>
    <n v="359.61"/>
    <n v="316.45679999999999"/>
    <n v="0"/>
    <s v="CATIVO"/>
    <n v="0"/>
    <n v="21"/>
    <n v="23"/>
    <n v="81"/>
    <n v="22.94"/>
    <n v="84.45"/>
    <n v="430.87"/>
    <n v="27.216283196676113"/>
    <n v="87.520205040180812"/>
    <n v="375.70671275609089"/>
    <n v="27242.397000000004"/>
    <n v="22237.707024000014"/>
    <n v="32320.697110212721"/>
    <n v="19989.723829046085"/>
    <x v="0"/>
  </r>
  <r>
    <s v="Regular"/>
    <x v="2"/>
    <x v="0"/>
    <x v="0"/>
    <x v="0"/>
    <x v="0"/>
    <x v="0"/>
    <x v="1"/>
    <x v="8"/>
    <n v="7920"/>
    <n v="6732"/>
    <n v="396.50599999999997"/>
    <n v="348.92527999999999"/>
    <n v="396.50599999999997"/>
    <n v="348.92527999999999"/>
    <n v="0"/>
    <s v="CATIVO"/>
    <n v="0"/>
    <n v="21"/>
    <n v="23"/>
    <n v="81"/>
    <n v="22.94"/>
    <n v="84.45"/>
    <n v="430.87"/>
    <n v="27.216283196676113"/>
    <n v="87.520205040180812"/>
    <n v="375.70671275609089"/>
    <n v="27252.720000000001"/>
    <n v="24519.296630399993"/>
    <n v="32332.944437651222"/>
    <n v="22040.670272127416"/>
    <x v="0"/>
  </r>
  <r>
    <s v="Regular"/>
    <x v="2"/>
    <x v="0"/>
    <x v="0"/>
    <x v="0"/>
    <x v="0"/>
    <x v="0"/>
    <x v="1"/>
    <x v="9"/>
    <n v="7912"/>
    <n v="6725.2"/>
    <n v="393.71199999999999"/>
    <n v="346.46656000000002"/>
    <n v="393.71199999999999"/>
    <n v="346.46656000000002"/>
    <n v="0"/>
    <s v="CATIVO"/>
    <n v="0"/>
    <n v="21"/>
    <n v="23"/>
    <n v="81"/>
    <n v="22.94"/>
    <n v="84.45"/>
    <n v="430.87"/>
    <n v="27.216283196676113"/>
    <n v="87.520205040180812"/>
    <n v="375.70671275609089"/>
    <n v="27225.192000000006"/>
    <n v="24346.520140799985"/>
    <n v="32300.284897815214"/>
    <n v="21885.359551128673"/>
    <x v="0"/>
  </r>
  <r>
    <s v="Regular"/>
    <x v="2"/>
    <x v="0"/>
    <x v="0"/>
    <x v="0"/>
    <x v="0"/>
    <x v="0"/>
    <x v="1"/>
    <x v="10"/>
    <n v="7908"/>
    <n v="6721.8"/>
    <n v="394.91699999999997"/>
    <n v="347.52695999999997"/>
    <n v="394.91699999999997"/>
    <n v="347.52695999999997"/>
    <n v="0"/>
    <s v="CATIVO"/>
    <n v="0"/>
    <n v="21"/>
    <n v="23"/>
    <n v="81"/>
    <n v="22.94"/>
    <n v="84.45"/>
    <n v="430.87"/>
    <n v="27.216283196676113"/>
    <n v="87.520205040180812"/>
    <n v="375.70671275609089"/>
    <n v="27211.427999999996"/>
    <n v="24421.0354128"/>
    <n v="32283.955127897199"/>
    <n v="21952.34216344203"/>
    <x v="0"/>
  </r>
  <r>
    <s v="PROJETADO"/>
    <x v="2"/>
    <x v="0"/>
    <x v="0"/>
    <x v="0"/>
    <x v="0"/>
    <x v="0"/>
    <x v="1"/>
    <x v="11"/>
    <n v="7908"/>
    <n v="6721.8"/>
    <n v="394.91699999999997"/>
    <n v="347.52695999999997"/>
    <n v="394.91699999999997"/>
    <n v="347.52695999999997"/>
    <n v="0"/>
    <s v="CATIVO"/>
    <n v="0"/>
    <n v="21"/>
    <n v="23"/>
    <n v="81"/>
    <n v="22.94"/>
    <n v="84.45"/>
    <n v="430.87"/>
    <n v="27.216283196676113"/>
    <n v="87.520205040180812"/>
    <n v="375.70671275609089"/>
    <n v="27211.427999999996"/>
    <n v="24421.0354128"/>
    <n v="32283.955127897199"/>
    <n v="21952.34216344203"/>
    <x v="0"/>
  </r>
  <r>
    <s v="Regular"/>
    <x v="2"/>
    <x v="2"/>
    <x v="2"/>
    <x v="1"/>
    <x v="1"/>
    <x v="0"/>
    <x v="0"/>
    <x v="0"/>
    <n v="0"/>
    <n v="0"/>
    <n v="9522.5750000000007"/>
    <n v="9522.5750000000007"/>
    <n v="0"/>
    <n v="0"/>
    <n v="0"/>
    <s v="LIVRE"/>
    <n v="0"/>
    <n v="0"/>
    <n v="28"/>
    <n v="0"/>
    <n v="0"/>
    <n v="84.45"/>
    <n v="0"/>
    <m/>
    <n v="87.520205040180812"/>
    <m/>
    <n v="0"/>
    <n v="0"/>
    <n v="0"/>
    <n v="0"/>
    <x v="2"/>
  </r>
  <r>
    <s v="Regular"/>
    <x v="2"/>
    <x v="2"/>
    <x v="2"/>
    <x v="1"/>
    <x v="1"/>
    <x v="0"/>
    <x v="0"/>
    <x v="1"/>
    <n v="0"/>
    <n v="0"/>
    <n v="9113.6360000000004"/>
    <n v="9113.6360000000004"/>
    <n v="0"/>
    <n v="0"/>
    <n v="0"/>
    <s v="LIVRE"/>
    <n v="0"/>
    <n v="0"/>
    <n v="28"/>
    <n v="0"/>
    <n v="0"/>
    <n v="84.45"/>
    <n v="0"/>
    <m/>
    <n v="87.520205040180812"/>
    <m/>
    <n v="0"/>
    <n v="0"/>
    <n v="0"/>
    <n v="0"/>
    <x v="2"/>
  </r>
  <r>
    <s v="Regular"/>
    <x v="2"/>
    <x v="2"/>
    <x v="2"/>
    <x v="1"/>
    <x v="1"/>
    <x v="0"/>
    <x v="0"/>
    <x v="2"/>
    <n v="0"/>
    <n v="0"/>
    <n v="9277.1280000000006"/>
    <n v="9277.1280000000006"/>
    <n v="0"/>
    <n v="0"/>
    <n v="0"/>
    <s v="LIVRE"/>
    <n v="0"/>
    <n v="0"/>
    <n v="28"/>
    <n v="0"/>
    <n v="0"/>
    <n v="84.45"/>
    <n v="0"/>
    <m/>
    <n v="87.520205040180812"/>
    <m/>
    <n v="0"/>
    <n v="0"/>
    <n v="0"/>
    <n v="0"/>
    <x v="2"/>
  </r>
  <r>
    <s v="Regular"/>
    <x v="2"/>
    <x v="2"/>
    <x v="2"/>
    <x v="1"/>
    <x v="1"/>
    <x v="0"/>
    <x v="0"/>
    <x v="3"/>
    <n v="0"/>
    <n v="0"/>
    <n v="9105.9320000000007"/>
    <n v="9105.9320000000007"/>
    <n v="0"/>
    <n v="0"/>
    <n v="0"/>
    <s v="LIVRE"/>
    <n v="0"/>
    <n v="0"/>
    <n v="28"/>
    <n v="0"/>
    <n v="0"/>
    <n v="84.45"/>
    <n v="0"/>
    <m/>
    <n v="87.520205040180812"/>
    <m/>
    <n v="0"/>
    <n v="0"/>
    <n v="0"/>
    <n v="0"/>
    <x v="2"/>
  </r>
  <r>
    <s v="Regular"/>
    <x v="2"/>
    <x v="2"/>
    <x v="2"/>
    <x v="1"/>
    <x v="1"/>
    <x v="0"/>
    <x v="0"/>
    <x v="4"/>
    <n v="0"/>
    <n v="0"/>
    <n v="8777.8739999999998"/>
    <n v="8777.8739999999998"/>
    <n v="0"/>
    <n v="0"/>
    <n v="0"/>
    <s v="LIVRE"/>
    <n v="0"/>
    <n v="0"/>
    <n v="28"/>
    <n v="0"/>
    <n v="0"/>
    <n v="84.45"/>
    <n v="0"/>
    <m/>
    <n v="87.520205040180812"/>
    <m/>
    <n v="0"/>
    <n v="0"/>
    <n v="0"/>
    <n v="0"/>
    <x v="2"/>
  </r>
  <r>
    <s v="Regular"/>
    <x v="2"/>
    <x v="2"/>
    <x v="2"/>
    <x v="1"/>
    <x v="1"/>
    <x v="0"/>
    <x v="0"/>
    <x v="5"/>
    <n v="0"/>
    <n v="0"/>
    <n v="9129.2980000000007"/>
    <n v="9129.2980000000007"/>
    <n v="0"/>
    <n v="0"/>
    <n v="0"/>
    <s v="LIVRE"/>
    <n v="0"/>
    <n v="0"/>
    <n v="28"/>
    <n v="0"/>
    <n v="0"/>
    <n v="84.45"/>
    <n v="0"/>
    <m/>
    <n v="87.520205040180812"/>
    <m/>
    <n v="0"/>
    <n v="0"/>
    <n v="0"/>
    <n v="0"/>
    <x v="2"/>
  </r>
  <r>
    <s v="Regular"/>
    <x v="2"/>
    <x v="2"/>
    <x v="2"/>
    <x v="1"/>
    <x v="1"/>
    <x v="0"/>
    <x v="0"/>
    <x v="6"/>
    <n v="0"/>
    <n v="0"/>
    <n v="8006.4009999999998"/>
    <n v="8006.4009999999998"/>
    <n v="0"/>
    <n v="0"/>
    <n v="0"/>
    <s v="LIVRE"/>
    <n v="0"/>
    <n v="0"/>
    <n v="28"/>
    <n v="0"/>
    <n v="0"/>
    <n v="84.45"/>
    <n v="0"/>
    <m/>
    <n v="87.520205040180812"/>
    <m/>
    <n v="0"/>
    <n v="0"/>
    <n v="0"/>
    <n v="0"/>
    <x v="2"/>
  </r>
  <r>
    <s v="Regular"/>
    <x v="2"/>
    <x v="2"/>
    <x v="2"/>
    <x v="1"/>
    <x v="1"/>
    <x v="0"/>
    <x v="0"/>
    <x v="7"/>
    <n v="0"/>
    <n v="0"/>
    <n v="8153.3289999999997"/>
    <n v="8153.3289999999997"/>
    <n v="0"/>
    <n v="0"/>
    <n v="0"/>
    <s v="LIVRE"/>
    <n v="0"/>
    <n v="0"/>
    <n v="28"/>
    <n v="0"/>
    <n v="0"/>
    <n v="84.45"/>
    <n v="0"/>
    <m/>
    <n v="87.520205040180812"/>
    <m/>
    <n v="0"/>
    <n v="0"/>
    <n v="0"/>
    <n v="0"/>
    <x v="2"/>
  </r>
  <r>
    <s v="Regular"/>
    <x v="2"/>
    <x v="2"/>
    <x v="2"/>
    <x v="1"/>
    <x v="1"/>
    <x v="0"/>
    <x v="0"/>
    <x v="8"/>
    <n v="0"/>
    <n v="0"/>
    <n v="8153.3289999999997"/>
    <n v="8153.3289999999997"/>
    <n v="0"/>
    <n v="0"/>
    <n v="0"/>
    <s v="LIVRE"/>
    <n v="0"/>
    <n v="0"/>
    <n v="28"/>
    <n v="0"/>
    <n v="0"/>
    <n v="84.45"/>
    <n v="0"/>
    <m/>
    <n v="87.520205040180812"/>
    <m/>
    <n v="0"/>
    <n v="0"/>
    <n v="0"/>
    <n v="0"/>
    <x v="2"/>
  </r>
  <r>
    <s v="Regular"/>
    <x v="2"/>
    <x v="2"/>
    <x v="2"/>
    <x v="1"/>
    <x v="1"/>
    <x v="0"/>
    <x v="0"/>
    <x v="9"/>
    <n v="0"/>
    <n v="0"/>
    <n v="7304.66"/>
    <n v="7304.66"/>
    <n v="0"/>
    <n v="0"/>
    <n v="0"/>
    <s v="LIVRE"/>
    <n v="0"/>
    <n v="0"/>
    <n v="28"/>
    <n v="0"/>
    <n v="0"/>
    <n v="84.45"/>
    <n v="0"/>
    <m/>
    <n v="87.520205040180812"/>
    <m/>
    <n v="0"/>
    <n v="0"/>
    <n v="0"/>
    <n v="0"/>
    <x v="2"/>
  </r>
  <r>
    <s v="Regular"/>
    <x v="2"/>
    <x v="2"/>
    <x v="2"/>
    <x v="1"/>
    <x v="1"/>
    <x v="0"/>
    <x v="0"/>
    <x v="10"/>
    <n v="0"/>
    <n v="0"/>
    <n v="8652.2639999999992"/>
    <n v="8652.2639999999992"/>
    <n v="0"/>
    <n v="0"/>
    <n v="0"/>
    <s v="LIVRE"/>
    <n v="0"/>
    <n v="0"/>
    <n v="28"/>
    <n v="0"/>
    <n v="0"/>
    <n v="84.45"/>
    <n v="0"/>
    <m/>
    <n v="87.520205040180812"/>
    <m/>
    <n v="0"/>
    <n v="0"/>
    <n v="0"/>
    <n v="0"/>
    <x v="2"/>
  </r>
  <r>
    <s v="PROJETADO"/>
    <x v="2"/>
    <x v="2"/>
    <x v="2"/>
    <x v="1"/>
    <x v="1"/>
    <x v="0"/>
    <x v="0"/>
    <x v="11"/>
    <n v="0"/>
    <n v="0"/>
    <n v="8652.2639999999992"/>
    <n v="8652.2639999999992"/>
    <n v="0"/>
    <n v="0"/>
    <n v="0"/>
    <s v="LIVRE"/>
    <n v="0"/>
    <n v="0"/>
    <n v="28"/>
    <n v="0"/>
    <n v="0"/>
    <n v="84.45"/>
    <n v="0"/>
    <m/>
    <n v="87.520205040180812"/>
    <m/>
    <n v="0"/>
    <n v="0"/>
    <n v="0"/>
    <n v="0"/>
    <x v="2"/>
  </r>
  <r>
    <s v="Regular"/>
    <x v="2"/>
    <x v="2"/>
    <x v="2"/>
    <x v="1"/>
    <x v="1"/>
    <x v="0"/>
    <x v="2"/>
    <x v="0"/>
    <n v="28658"/>
    <n v="18105.797125640001"/>
    <n v="0"/>
    <n v="0"/>
    <n v="0"/>
    <n v="0"/>
    <n v="38"/>
    <s v="LIVRE"/>
    <n v="0"/>
    <n v="26"/>
    <n v="0"/>
    <n v="0"/>
    <n v="8.81"/>
    <n v="0"/>
    <n v="0"/>
    <n v="11.452356648653195"/>
    <m/>
    <m/>
    <n v="92964.907323111591"/>
    <n v="0"/>
    <n v="120847.59074611409"/>
    <n v="0"/>
    <x v="2"/>
  </r>
  <r>
    <s v="Regular"/>
    <x v="2"/>
    <x v="2"/>
    <x v="2"/>
    <x v="1"/>
    <x v="1"/>
    <x v="0"/>
    <x v="2"/>
    <x v="1"/>
    <n v="28818"/>
    <n v="19538.206887960001"/>
    <n v="0"/>
    <n v="0"/>
    <n v="0"/>
    <n v="0"/>
    <n v="39"/>
    <s v="LIVRE"/>
    <n v="0"/>
    <n v="26"/>
    <n v="0"/>
    <n v="0"/>
    <n v="8.81"/>
    <n v="0"/>
    <n v="0"/>
    <n v="11.452356648653195"/>
    <m/>
    <m/>
    <n v="81754.977317072393"/>
    <n v="0"/>
    <n v="106275.5003447974"/>
    <n v="0"/>
    <x v="2"/>
  </r>
  <r>
    <s v="Regular"/>
    <x v="2"/>
    <x v="2"/>
    <x v="2"/>
    <x v="1"/>
    <x v="1"/>
    <x v="0"/>
    <x v="2"/>
    <x v="2"/>
    <n v="28738"/>
    <n v="18304.5297207"/>
    <n v="0"/>
    <n v="0"/>
    <n v="0"/>
    <n v="0"/>
    <n v="39"/>
    <s v="LIVRE"/>
    <n v="0"/>
    <n v="26"/>
    <n v="0"/>
    <n v="0"/>
    <n v="8.81"/>
    <n v="0"/>
    <n v="0"/>
    <n v="11.452356648653195"/>
    <m/>
    <m/>
    <n v="91918.873160632997"/>
    <n v="0"/>
    <n v="119487.82272166686"/>
    <n v="0"/>
    <x v="2"/>
  </r>
  <r>
    <s v="Regular"/>
    <x v="2"/>
    <x v="2"/>
    <x v="2"/>
    <x v="1"/>
    <x v="1"/>
    <x v="0"/>
    <x v="2"/>
    <x v="3"/>
    <n v="30386"/>
    <n v="19479.92555236"/>
    <n v="0"/>
    <n v="0"/>
    <n v="0"/>
    <n v="0"/>
    <n v="42"/>
    <s v="LIVRE"/>
    <n v="0"/>
    <n v="26"/>
    <n v="0"/>
    <n v="0"/>
    <n v="8.81"/>
    <n v="0"/>
    <n v="0"/>
    <n v="11.452356648653195"/>
    <m/>
    <m/>
    <n v="96082.515883708402"/>
    <n v="0"/>
    <n v="124900.25421113668"/>
    <n v="0"/>
    <x v="2"/>
  </r>
  <r>
    <s v="Regular"/>
    <x v="2"/>
    <x v="2"/>
    <x v="2"/>
    <x v="1"/>
    <x v="1"/>
    <x v="0"/>
    <x v="2"/>
    <x v="4"/>
    <n v="30729"/>
    <n v="19578.240551940002"/>
    <n v="0"/>
    <n v="0"/>
    <n v="0"/>
    <n v="0"/>
    <n v="43"/>
    <s v="LIVRE"/>
    <n v="0"/>
    <n v="26"/>
    <n v="0"/>
    <n v="0"/>
    <n v="8.81"/>
    <n v="0"/>
    <n v="0"/>
    <n v="11.452356648653195"/>
    <m/>
    <m/>
    <n v="98238.190737408586"/>
    <n v="0"/>
    <n v="127702.47410252235"/>
    <n v="0"/>
    <x v="2"/>
  </r>
  <r>
    <s v="Regular"/>
    <x v="2"/>
    <x v="2"/>
    <x v="2"/>
    <x v="1"/>
    <x v="1"/>
    <x v="0"/>
    <x v="2"/>
    <x v="5"/>
    <n v="30674"/>
    <n v="20339.552416539998"/>
    <n v="0"/>
    <n v="0"/>
    <n v="0"/>
    <n v="0"/>
    <n v="44"/>
    <s v="LIVRE"/>
    <n v="0"/>
    <n v="26"/>
    <n v="0"/>
    <n v="0"/>
    <n v="8.81"/>
    <n v="0"/>
    <n v="0"/>
    <n v="11.452356648653195"/>
    <m/>
    <m/>
    <n v="91046.483210282619"/>
    <n v="0"/>
    <n v="118353.77949259609"/>
    <n v="0"/>
    <x v="2"/>
  </r>
  <r>
    <s v="Regular"/>
    <x v="2"/>
    <x v="2"/>
    <x v="2"/>
    <x v="1"/>
    <x v="1"/>
    <x v="0"/>
    <x v="2"/>
    <x v="6"/>
    <n v="31233"/>
    <n v="20999.21989407"/>
    <n v="0"/>
    <n v="0"/>
    <n v="0"/>
    <n v="0"/>
    <n v="46"/>
    <s v="LIVRE"/>
    <n v="0"/>
    <n v="26"/>
    <n v="0"/>
    <n v="0"/>
    <n v="8.81"/>
    <n v="0"/>
    <n v="0"/>
    <n v="11.452356648653195"/>
    <m/>
    <m/>
    <n v="90159.6027332433"/>
    <n v="0"/>
    <n v="117200.89963700224"/>
    <n v="0"/>
    <x v="2"/>
  </r>
  <r>
    <s v="Regular"/>
    <x v="2"/>
    <x v="2"/>
    <x v="2"/>
    <x v="1"/>
    <x v="1"/>
    <x v="0"/>
    <x v="2"/>
    <x v="7"/>
    <n v="31789"/>
    <n v="21260.29278389"/>
    <n v="0"/>
    <n v="0"/>
    <n v="0"/>
    <n v="0"/>
    <n v="48"/>
    <s v="LIVRE"/>
    <n v="0"/>
    <n v="26"/>
    <n v="0"/>
    <n v="0"/>
    <n v="8.81"/>
    <n v="0"/>
    <n v="0"/>
    <n v="11.452356648653195"/>
    <m/>
    <m/>
    <n v="92757.910573929112"/>
    <n v="0"/>
    <n v="120578.51008814023"/>
    <n v="0"/>
    <x v="2"/>
  </r>
  <r>
    <s v="Regular"/>
    <x v="2"/>
    <x v="2"/>
    <x v="2"/>
    <x v="1"/>
    <x v="1"/>
    <x v="0"/>
    <x v="2"/>
    <x v="8"/>
    <n v="31789"/>
    <n v="20936.759282719999"/>
    <n v="0"/>
    <n v="0"/>
    <n v="0"/>
    <n v="0"/>
    <n v="48"/>
    <s v="LIVRE"/>
    <n v="0"/>
    <n v="26"/>
    <n v="0"/>
    <n v="0"/>
    <n v="8.81"/>
    <n v="0"/>
    <n v="0"/>
    <n v="11.452356648653195"/>
    <m/>
    <m/>
    <n v="95608.240719236812"/>
    <n v="0"/>
    <n v="124283.73113132654"/>
    <n v="0"/>
    <x v="2"/>
  </r>
  <r>
    <s v="Regular"/>
    <x v="2"/>
    <x v="2"/>
    <x v="2"/>
    <x v="1"/>
    <x v="1"/>
    <x v="0"/>
    <x v="2"/>
    <x v="9"/>
    <n v="26128"/>
    <n v="17431.1880752"/>
    <n v="0"/>
    <n v="0"/>
    <n v="0"/>
    <n v="0"/>
    <n v="36"/>
    <s v="LIVRE"/>
    <n v="0"/>
    <n v="26"/>
    <n v="0"/>
    <n v="0"/>
    <n v="8.81"/>
    <n v="0"/>
    <n v="0"/>
    <n v="11.452356648653195"/>
    <m/>
    <m/>
    <n v="76618.913057488011"/>
    <n v="0"/>
    <n v="99598.99186906968"/>
    <n v="0"/>
    <x v="2"/>
  </r>
  <r>
    <s v="Regular"/>
    <x v="2"/>
    <x v="2"/>
    <x v="2"/>
    <x v="1"/>
    <x v="1"/>
    <x v="0"/>
    <x v="2"/>
    <x v="10"/>
    <n v="32612"/>
    <n v="21850.04"/>
    <n v="0"/>
    <n v="0"/>
    <n v="0"/>
    <n v="0"/>
    <n v="51"/>
    <s v="LIVRE"/>
    <n v="0"/>
    <n v="26"/>
    <n v="0"/>
    <n v="0"/>
    <n v="8.81"/>
    <n v="0"/>
    <n v="0"/>
    <n v="11.452356648653195"/>
    <m/>
    <m/>
    <n v="94812.867599999998"/>
    <n v="0"/>
    <n v="123249.80415853973"/>
    <n v="0"/>
    <x v="2"/>
  </r>
  <r>
    <s v="PROJETADO"/>
    <x v="2"/>
    <x v="2"/>
    <x v="2"/>
    <x v="1"/>
    <x v="1"/>
    <x v="0"/>
    <x v="2"/>
    <x v="11"/>
    <n v="32612"/>
    <n v="21850.04"/>
    <n v="0"/>
    <n v="0"/>
    <n v="0"/>
    <n v="0"/>
    <n v="51"/>
    <s v="LIVRE"/>
    <n v="0"/>
    <n v="26"/>
    <n v="0"/>
    <n v="0"/>
    <n v="8.81"/>
    <n v="0"/>
    <n v="0"/>
    <n v="11.452356648653195"/>
    <m/>
    <m/>
    <n v="94812.867599999998"/>
    <n v="0"/>
    <n v="123249.80415853973"/>
    <n v="0"/>
    <x v="2"/>
  </r>
  <r>
    <s v="Regular"/>
    <x v="2"/>
    <x v="2"/>
    <x v="2"/>
    <x v="1"/>
    <x v="1"/>
    <x v="0"/>
    <x v="1"/>
    <x v="0"/>
    <n v="0"/>
    <n v="0"/>
    <n v="1047.0619999999999"/>
    <n v="710.75534998225999"/>
    <n v="0"/>
    <n v="0"/>
    <n v="0"/>
    <s v="LIVRE"/>
    <n v="0"/>
    <n v="0"/>
    <n v="27"/>
    <n v="0"/>
    <n v="0"/>
    <n v="641.99"/>
    <n v="0"/>
    <m/>
    <n v="747.73459855656426"/>
    <m/>
    <n v="0"/>
    <n v="215905.50624488885"/>
    <n v="0"/>
    <n v="251468.11794291771"/>
    <x v="2"/>
  </r>
  <r>
    <s v="Regular"/>
    <x v="2"/>
    <x v="2"/>
    <x v="2"/>
    <x v="1"/>
    <x v="1"/>
    <x v="0"/>
    <x v="1"/>
    <x v="1"/>
    <n v="0"/>
    <n v="0"/>
    <n v="892.98900000000003"/>
    <n v="563.05930103369997"/>
    <n v="0"/>
    <n v="0"/>
    <n v="0"/>
    <s v="LIVRE"/>
    <n v="0"/>
    <n v="0"/>
    <n v="27"/>
    <n v="0"/>
    <n v="0"/>
    <n v="641.99"/>
    <n v="0"/>
    <m/>
    <n v="747.73459855656426"/>
    <m/>
    <n v="0"/>
    <n v="211811.56743937498"/>
    <n v="0"/>
    <n v="246699.85100845448"/>
    <x v="2"/>
  </r>
  <r>
    <s v="Regular"/>
    <x v="2"/>
    <x v="2"/>
    <x v="2"/>
    <x v="1"/>
    <x v="1"/>
    <x v="0"/>
    <x v="1"/>
    <x v="2"/>
    <n v="0"/>
    <n v="0"/>
    <n v="875.40200000000004"/>
    <n v="597.85909616554"/>
    <n v="0"/>
    <n v="0"/>
    <n v="0"/>
    <s v="LIVRE"/>
    <n v="0"/>
    <n v="0"/>
    <n v="27"/>
    <n v="0"/>
    <n v="0"/>
    <n v="641.99"/>
    <n v="0"/>
    <m/>
    <n v="747.73459855656426"/>
    <m/>
    <n v="0"/>
    <n v="178179.76883268502"/>
    <n v="0"/>
    <n v="207528.43178088311"/>
    <x v="2"/>
  </r>
  <r>
    <s v="Regular"/>
    <x v="2"/>
    <x v="2"/>
    <x v="2"/>
    <x v="1"/>
    <x v="1"/>
    <x v="0"/>
    <x v="1"/>
    <x v="3"/>
    <n v="0"/>
    <n v="0"/>
    <n v="979.89599999999996"/>
    <n v="674.92929804816004"/>
    <n v="0"/>
    <n v="0"/>
    <n v="0"/>
    <s v="LIVRE"/>
    <n v="0"/>
    <n v="0"/>
    <n v="27"/>
    <n v="0"/>
    <n v="0"/>
    <n v="641.99"/>
    <n v="0"/>
    <m/>
    <n v="747.73459855656426"/>
    <m/>
    <n v="0"/>
    <n v="195785.57298606171"/>
    <n v="0"/>
    <n v="228034.1544570784"/>
    <x v="2"/>
  </r>
  <r>
    <s v="Regular"/>
    <x v="2"/>
    <x v="2"/>
    <x v="2"/>
    <x v="1"/>
    <x v="1"/>
    <x v="0"/>
    <x v="1"/>
    <x v="4"/>
    <n v="0"/>
    <n v="0"/>
    <n v="874.16800000000001"/>
    <n v="599.14239520616002"/>
    <n v="0"/>
    <n v="0"/>
    <n v="0"/>
    <s v="LIVRE"/>
    <n v="0"/>
    <n v="0"/>
    <n v="27"/>
    <n v="0"/>
    <n v="0"/>
    <n v="641.99"/>
    <n v="0"/>
    <m/>
    <n v="747.73459855656426"/>
    <m/>
    <n v="0"/>
    <n v="176563.68802159734"/>
    <n v="0"/>
    <n v="205646.16019329824"/>
    <x v="2"/>
  </r>
  <r>
    <s v="Regular"/>
    <x v="2"/>
    <x v="2"/>
    <x v="2"/>
    <x v="1"/>
    <x v="1"/>
    <x v="0"/>
    <x v="1"/>
    <x v="5"/>
    <n v="0"/>
    <n v="0"/>
    <n v="941.30399999999997"/>
    <n v="673.44196843559996"/>
    <n v="0"/>
    <n v="0"/>
    <n v="0"/>
    <s v="LIVRE"/>
    <n v="0"/>
    <n v="0"/>
    <n v="27"/>
    <n v="0"/>
    <n v="0"/>
    <n v="641.99"/>
    <n v="0"/>
    <m/>
    <n v="747.73459855656426"/>
    <m/>
    <n v="0"/>
    <n v="171964.74564402917"/>
    <n v="0"/>
    <n v="200289.70864035239"/>
    <x v="2"/>
  </r>
  <r>
    <s v="Regular"/>
    <x v="2"/>
    <x v="2"/>
    <x v="2"/>
    <x v="1"/>
    <x v="1"/>
    <x v="0"/>
    <x v="1"/>
    <x v="6"/>
    <n v="0"/>
    <n v="0"/>
    <n v="748.73599999999999"/>
    <n v="534.27896175616002"/>
    <n v="0"/>
    <n v="0"/>
    <n v="0"/>
    <s v="LIVRE"/>
    <n v="0"/>
    <n v="0"/>
    <n v="27"/>
    <n v="0"/>
    <n v="0"/>
    <n v="641.99"/>
    <n v="0"/>
    <m/>
    <n v="747.73459855656426"/>
    <m/>
    <n v="0"/>
    <n v="137679.27398216282"/>
    <n v="0"/>
    <n v="160356.94739888742"/>
    <x v="2"/>
  </r>
  <r>
    <s v="Regular"/>
    <x v="2"/>
    <x v="2"/>
    <x v="2"/>
    <x v="1"/>
    <x v="1"/>
    <x v="0"/>
    <x v="1"/>
    <x v="7"/>
    <n v="0"/>
    <n v="0"/>
    <n v="759.61300000000006"/>
    <n v="549.16568978141004"/>
    <n v="0"/>
    <n v="0"/>
    <n v="0"/>
    <s v="LIVRE"/>
    <n v="0"/>
    <n v="0"/>
    <n v="27"/>
    <n v="0"/>
    <n v="0"/>
    <n v="641.99"/>
    <n v="0"/>
    <m/>
    <n v="747.73459855656426"/>
    <m/>
    <n v="0"/>
    <n v="135105.06868723262"/>
    <n v="0"/>
    <n v="157358.73502360616"/>
    <x v="2"/>
  </r>
  <r>
    <s v="Regular"/>
    <x v="2"/>
    <x v="2"/>
    <x v="2"/>
    <x v="1"/>
    <x v="1"/>
    <x v="0"/>
    <x v="1"/>
    <x v="8"/>
    <n v="0"/>
    <n v="0"/>
    <n v="759.61300000000006"/>
    <n v="543.50967215244998"/>
    <n v="0"/>
    <n v="0"/>
    <n v="0"/>
    <s v="LIVRE"/>
    <n v="0"/>
    <n v="0"/>
    <n v="27"/>
    <n v="0"/>
    <n v="0"/>
    <n v="641.99"/>
    <n v="0"/>
    <m/>
    <n v="747.73459855656426"/>
    <m/>
    <n v="0"/>
    <n v="138736.17544484869"/>
    <n v="0"/>
    <n v="161587.93509482546"/>
    <x v="2"/>
  </r>
  <r>
    <s v="Regular"/>
    <x v="2"/>
    <x v="2"/>
    <x v="2"/>
    <x v="1"/>
    <x v="1"/>
    <x v="0"/>
    <x v="1"/>
    <x v="9"/>
    <n v="0"/>
    <n v="0"/>
    <n v="782.59400000000005"/>
    <n v="562.38294210848005"/>
    <n v="0"/>
    <n v="0"/>
    <n v="0"/>
    <s v="LIVRE"/>
    <n v="0"/>
    <n v="0"/>
    <n v="27"/>
    <n v="0"/>
    <n v="0"/>
    <n v="641.99"/>
    <n v="0"/>
    <m/>
    <n v="747.73459855656426"/>
    <m/>
    <n v="0"/>
    <n v="141373.29705577693"/>
    <n v="0"/>
    <n v="164659.42697023205"/>
    <x v="2"/>
  </r>
  <r>
    <s v="Regular"/>
    <x v="2"/>
    <x v="2"/>
    <x v="2"/>
    <x v="1"/>
    <x v="1"/>
    <x v="0"/>
    <x v="1"/>
    <x v="10"/>
    <n v="0"/>
    <n v="0"/>
    <n v="815.26900000000001"/>
    <n v="586.99368000000004"/>
    <n v="0"/>
    <n v="0"/>
    <n v="0"/>
    <s v="LIVRE"/>
    <n v="0"/>
    <n v="0"/>
    <n v="27"/>
    <n v="0"/>
    <n v="0"/>
    <n v="641.99"/>
    <n v="0"/>
    <m/>
    <n v="747.73459855656426"/>
    <m/>
    <n v="0"/>
    <n v="146550.47268679997"/>
    <n v="0"/>
    <n v="170689.35476057121"/>
    <x v="2"/>
  </r>
  <r>
    <s v="PROJETADO"/>
    <x v="2"/>
    <x v="2"/>
    <x v="2"/>
    <x v="1"/>
    <x v="1"/>
    <x v="0"/>
    <x v="1"/>
    <x v="11"/>
    <n v="0"/>
    <n v="0"/>
    <n v="815.26900000000001"/>
    <n v="586.99368000000004"/>
    <n v="0"/>
    <n v="0"/>
    <n v="0"/>
    <s v="LIVRE"/>
    <n v="0"/>
    <n v="0"/>
    <n v="27"/>
    <n v="0"/>
    <n v="0"/>
    <n v="641.99"/>
    <n v="0"/>
    <m/>
    <n v="747.73459855656426"/>
    <m/>
    <n v="0"/>
    <n v="146550.47268679997"/>
    <n v="0"/>
    <n v="170689.35476057121"/>
    <x v="2"/>
  </r>
  <r>
    <s v="Regular"/>
    <x v="2"/>
    <x v="2"/>
    <x v="3"/>
    <x v="2"/>
    <x v="2"/>
    <x v="0"/>
    <x v="0"/>
    <x v="0"/>
    <n v="0"/>
    <n v="0"/>
    <n v="680.548"/>
    <n v="136.1096"/>
    <n v="680.548"/>
    <n v="136.1096"/>
    <n v="0"/>
    <s v="CATIVO"/>
    <n v="0"/>
    <n v="0"/>
    <n v="28"/>
    <n v="82"/>
    <n v="0"/>
    <n v="84.45"/>
    <n v="256.38"/>
    <m/>
    <n v="87.520205040180812"/>
    <n v="230.84299908458948"/>
    <n v="0"/>
    <n v="185560.93987199999"/>
    <n v="0"/>
    <n v="173329.15347256334"/>
    <x v="4"/>
  </r>
  <r>
    <s v="Refaturamento - Regular"/>
    <x v="2"/>
    <x v="2"/>
    <x v="3"/>
    <x v="2"/>
    <x v="2"/>
    <x v="0"/>
    <x v="0"/>
    <x v="0"/>
    <n v="0"/>
    <n v="0"/>
    <n v="0.52700000000000002"/>
    <n v="0.10539999999999999"/>
    <n v="0.52700000000000002"/>
    <n v="0.10539999999999999"/>
    <n v="0"/>
    <s v="CATIVO"/>
    <n v="0"/>
    <n v="0"/>
    <n v="28"/>
    <n v="82"/>
    <n v="0"/>
    <n v="84.45"/>
    <n v="256.38"/>
    <m/>
    <n v="87.520205040180812"/>
    <n v="230.84299908458948"/>
    <n v="0"/>
    <n v="143.693928"/>
    <n v="0"/>
    <n v="134.22192685900316"/>
    <x v="4"/>
  </r>
  <r>
    <s v="Regular"/>
    <x v="2"/>
    <x v="2"/>
    <x v="3"/>
    <x v="2"/>
    <x v="2"/>
    <x v="0"/>
    <x v="0"/>
    <x v="1"/>
    <n v="0"/>
    <n v="0"/>
    <n v="844.74"/>
    <n v="168.94800000000001"/>
    <n v="844.74"/>
    <n v="168.94800000000001"/>
    <n v="0"/>
    <s v="CATIVO"/>
    <n v="0"/>
    <n v="0"/>
    <n v="28"/>
    <n v="82"/>
    <n v="0"/>
    <n v="84.45"/>
    <n v="256.38"/>
    <m/>
    <n v="87.520205040180812"/>
    <n v="230.84299908458948"/>
    <n v="0"/>
    <n v="230330.18736000001"/>
    <n v="0"/>
    <n v="215147.30644188679"/>
    <x v="4"/>
  </r>
  <r>
    <s v="Refaturamento - Regular"/>
    <x v="2"/>
    <x v="2"/>
    <x v="3"/>
    <x v="2"/>
    <x v="2"/>
    <x v="0"/>
    <x v="0"/>
    <x v="1"/>
    <n v="0"/>
    <n v="0"/>
    <n v="10.929"/>
    <n v="2.1858"/>
    <n v="10.929"/>
    <n v="2.1858"/>
    <n v="0"/>
    <s v="CATIVO"/>
    <n v="0"/>
    <n v="0"/>
    <n v="28"/>
    <n v="82"/>
    <n v="0"/>
    <n v="84.45"/>
    <n v="256.38"/>
    <m/>
    <n v="87.520205040180812"/>
    <n v="230.84299908458948"/>
    <n v="0"/>
    <n v="2979.9448560000001"/>
    <n v="0"/>
    <n v="2783.5131663036918"/>
    <x v="4"/>
  </r>
  <r>
    <s v="Regular"/>
    <x v="2"/>
    <x v="2"/>
    <x v="3"/>
    <x v="2"/>
    <x v="2"/>
    <x v="0"/>
    <x v="0"/>
    <x v="2"/>
    <n v="0"/>
    <n v="0"/>
    <n v="189.51599999999999"/>
    <n v="37.903199999999998"/>
    <n v="189.51599999999999"/>
    <n v="37.903199999999998"/>
    <n v="0"/>
    <s v="CATIVO"/>
    <n v="0"/>
    <n v="0"/>
    <n v="28"/>
    <n v="82"/>
    <n v="0"/>
    <n v="84.45"/>
    <n v="256.38"/>
    <m/>
    <n v="87.520205040180812"/>
    <n v="230.84299908458948"/>
    <n v="0"/>
    <n v="51674.190624000003"/>
    <n v="0"/>
    <n v="48267.936794327965"/>
    <x v="4"/>
  </r>
  <r>
    <s v="Refaturamento - Regular"/>
    <x v="2"/>
    <x v="2"/>
    <x v="3"/>
    <x v="2"/>
    <x v="2"/>
    <x v="0"/>
    <x v="0"/>
    <x v="2"/>
    <n v="0"/>
    <n v="0"/>
    <n v="0.88600000000000001"/>
    <n v="0.1772"/>
    <n v="0.88600000000000001"/>
    <n v="0.1772"/>
    <n v="0"/>
    <s v="CATIVO"/>
    <n v="0"/>
    <n v="0"/>
    <n v="28"/>
    <n v="82"/>
    <n v="0"/>
    <n v="84.45"/>
    <n v="256.38"/>
    <m/>
    <n v="87.520205040180812"/>
    <n v="230.84299908458948"/>
    <n v="0"/>
    <n v="241.58030399999998"/>
    <n v="0"/>
    <n v="225.6558390836372"/>
    <x v="4"/>
  </r>
  <r>
    <s v="Regular"/>
    <x v="2"/>
    <x v="2"/>
    <x v="3"/>
    <x v="2"/>
    <x v="2"/>
    <x v="0"/>
    <x v="0"/>
    <x v="3"/>
    <n v="0"/>
    <n v="0"/>
    <n v="239.26400000000001"/>
    <n v="47.852800000000002"/>
    <n v="239.26400000000001"/>
    <n v="47.852800000000002"/>
    <n v="0"/>
    <s v="CATIVO"/>
    <n v="0"/>
    <n v="0"/>
    <n v="28"/>
    <n v="82"/>
    <n v="0"/>
    <n v="84.45"/>
    <n v="256.38"/>
    <m/>
    <n v="87.520205040180812"/>
    <n v="230.84299908458948"/>
    <n v="0"/>
    <n v="65238.679296000002"/>
    <n v="0"/>
    <n v="60938.282937367236"/>
    <x v="4"/>
  </r>
  <r>
    <s v="Refaturamento - Regular"/>
    <x v="2"/>
    <x v="2"/>
    <x v="3"/>
    <x v="2"/>
    <x v="2"/>
    <x v="0"/>
    <x v="0"/>
    <x v="3"/>
    <n v="0"/>
    <n v="0"/>
    <n v="4.1440000000000001"/>
    <n v="0.82879999999999998"/>
    <n v="4.1440000000000001"/>
    <n v="0.82879999999999998"/>
    <n v="0"/>
    <s v="CATIVO"/>
    <n v="0"/>
    <n v="0"/>
    <n v="28"/>
    <n v="82"/>
    <n v="0"/>
    <n v="84.45"/>
    <n v="256.38"/>
    <m/>
    <n v="87.520205040180812"/>
    <n v="230.84299908458948"/>
    <n v="0"/>
    <n v="1129.9196159999999"/>
    <n v="0"/>
    <n v="1055.4376943144384"/>
    <x v="4"/>
  </r>
  <r>
    <s v="Regular"/>
    <x v="2"/>
    <x v="2"/>
    <x v="3"/>
    <x v="2"/>
    <x v="2"/>
    <x v="0"/>
    <x v="0"/>
    <x v="4"/>
    <n v="0"/>
    <n v="0"/>
    <n v="147.75299999999999"/>
    <n v="29.550599999999999"/>
    <n v="147.75299999999999"/>
    <n v="29.550599999999999"/>
    <n v="0"/>
    <s v="CATIVO"/>
    <n v="0"/>
    <n v="0"/>
    <n v="28"/>
    <n v="82"/>
    <n v="0"/>
    <n v="84.45"/>
    <n v="256.38"/>
    <m/>
    <n v="87.520205040180812"/>
    <n v="230.84299908458948"/>
    <n v="0"/>
    <n v="40286.923991999996"/>
    <n v="0"/>
    <n v="37631.294799237745"/>
    <x v="4"/>
  </r>
  <r>
    <s v="Refaturamento - Regular"/>
    <x v="2"/>
    <x v="2"/>
    <x v="3"/>
    <x v="2"/>
    <x v="2"/>
    <x v="0"/>
    <x v="0"/>
    <x v="4"/>
    <n v="0"/>
    <n v="0"/>
    <n v="15.968999999999999"/>
    <n v="3.1938"/>
    <n v="15.968999999999999"/>
    <n v="3.1938"/>
    <n v="0"/>
    <s v="CATIVO"/>
    <n v="0"/>
    <n v="0"/>
    <n v="28"/>
    <n v="82"/>
    <n v="0"/>
    <n v="84.45"/>
    <n v="256.38"/>
    <m/>
    <n v="87.520205040180812"/>
    <n v="230.84299908458948"/>
    <n v="0"/>
    <n v="4354.1714159999992"/>
    <n v="0"/>
    <n v="4067.1536053347654"/>
    <x v="4"/>
  </r>
  <r>
    <s v="Regular"/>
    <x v="2"/>
    <x v="2"/>
    <x v="3"/>
    <x v="2"/>
    <x v="2"/>
    <x v="0"/>
    <x v="0"/>
    <x v="5"/>
    <n v="0"/>
    <n v="0"/>
    <n v="67.769000000000005"/>
    <n v="13.553800000000001"/>
    <n v="67.769000000000005"/>
    <n v="13.553800000000001"/>
    <n v="0"/>
    <s v="CATIVO"/>
    <n v="0"/>
    <n v="0"/>
    <n v="28"/>
    <n v="82"/>
    <n v="0"/>
    <n v="84.45"/>
    <n v="256.38"/>
    <m/>
    <n v="87.520205040180812"/>
    <n v="230.84299908458948"/>
    <n v="0"/>
    <n v="18478.166616000002"/>
    <n v="0"/>
    <n v="17260.124784265248"/>
    <x v="4"/>
  </r>
  <r>
    <s v="Refaturamento - Regular"/>
    <x v="2"/>
    <x v="2"/>
    <x v="3"/>
    <x v="2"/>
    <x v="2"/>
    <x v="0"/>
    <x v="0"/>
    <x v="5"/>
    <n v="0"/>
    <n v="0"/>
    <n v="14.173999999999999"/>
    <n v="2.8348"/>
    <n v="14.173999999999999"/>
    <n v="2.8348"/>
    <n v="0"/>
    <s v="CATIVO"/>
    <n v="0"/>
    <n v="0"/>
    <n v="28"/>
    <n v="82"/>
    <n v="0"/>
    <n v="84.45"/>
    <n v="256.38"/>
    <m/>
    <n v="87.520205040180812"/>
    <n v="230.84299908458948"/>
    <n v="0"/>
    <n v="3864.739536"/>
    <n v="0"/>
    <n v="3609.9840442115951"/>
    <x v="4"/>
  </r>
  <r>
    <s v="Regular"/>
    <x v="2"/>
    <x v="2"/>
    <x v="3"/>
    <x v="2"/>
    <x v="2"/>
    <x v="0"/>
    <x v="0"/>
    <x v="6"/>
    <n v="0"/>
    <n v="0"/>
    <n v="211.55699999999999"/>
    <n v="42.311399999999999"/>
    <n v="211.55699999999999"/>
    <n v="42.311399999999999"/>
    <n v="0"/>
    <s v="CATIVO"/>
    <n v="0"/>
    <n v="0"/>
    <n v="28"/>
    <n v="82"/>
    <n v="0"/>
    <n v="84.45"/>
    <n v="256.38"/>
    <m/>
    <n v="87.520205040180812"/>
    <n v="230.84299908458948"/>
    <n v="0"/>
    <n v="57683.977847999995"/>
    <n v="0"/>
    <n v="53881.571500019221"/>
    <x v="4"/>
  </r>
  <r>
    <s v="Refaturamento - Regular"/>
    <x v="2"/>
    <x v="2"/>
    <x v="3"/>
    <x v="2"/>
    <x v="2"/>
    <x v="0"/>
    <x v="0"/>
    <x v="6"/>
    <n v="0"/>
    <n v="0"/>
    <n v="6.3440000000000003"/>
    <n v="1.2687999999999999"/>
    <n v="6.3440000000000003"/>
    <n v="1.2687999999999999"/>
    <n v="0"/>
    <s v="CATIVO"/>
    <n v="0"/>
    <n v="0"/>
    <n v="28"/>
    <n v="82"/>
    <n v="0"/>
    <n v="84.45"/>
    <n v="256.38"/>
    <m/>
    <n v="87.520205040180812"/>
    <n v="230.84299908458948"/>
    <n v="0"/>
    <n v="1729.7804160000003"/>
    <n v="0"/>
    <n v="1615.7569335740343"/>
    <x v="4"/>
  </r>
  <r>
    <s v="Regular"/>
    <x v="2"/>
    <x v="2"/>
    <x v="3"/>
    <x v="2"/>
    <x v="2"/>
    <x v="0"/>
    <x v="0"/>
    <x v="7"/>
    <n v="0"/>
    <n v="0"/>
    <n v="406.21899999999999"/>
    <n v="81.243799999999993"/>
    <n v="406.21899999999999"/>
    <n v="81.243799999999993"/>
    <n v="0"/>
    <s v="CATIVO"/>
    <n v="0"/>
    <n v="0"/>
    <n v="28"/>
    <n v="82"/>
    <n v="0"/>
    <n v="84.45"/>
    <n v="256.38"/>
    <m/>
    <n v="87.520205040180812"/>
    <n v="230.84299908458948"/>
    <n v="0"/>
    <n v="110761.29741599999"/>
    <n v="0"/>
    <n v="103460.14593308805"/>
    <x v="4"/>
  </r>
  <r>
    <s v="Refaturamento - Regular"/>
    <x v="2"/>
    <x v="2"/>
    <x v="3"/>
    <x v="2"/>
    <x v="2"/>
    <x v="0"/>
    <x v="0"/>
    <x v="7"/>
    <n v="0"/>
    <n v="0"/>
    <n v="5.2149999999999999"/>
    <n v="1.0429999999999999"/>
    <n v="5.2149999999999999"/>
    <n v="1.0429999999999999"/>
    <n v="0"/>
    <s v="CATIVO"/>
    <n v="0"/>
    <n v="0"/>
    <n v="28"/>
    <n v="82"/>
    <n v="0"/>
    <n v="84.45"/>
    <n v="256.38"/>
    <m/>
    <n v="87.520205040180812"/>
    <n v="230.84299908458948"/>
    <n v="0"/>
    <n v="1421.9427599999999"/>
    <n v="0"/>
    <n v="1328.2112876085416"/>
    <x v="4"/>
  </r>
  <r>
    <s v="Regular"/>
    <x v="2"/>
    <x v="2"/>
    <x v="3"/>
    <x v="2"/>
    <x v="2"/>
    <x v="0"/>
    <x v="0"/>
    <x v="8"/>
    <n v="0"/>
    <n v="0"/>
    <n v="832.40599999999995"/>
    <n v="166.4812"/>
    <n v="832.40599999999995"/>
    <n v="166.4812"/>
    <n v="0"/>
    <s v="CATIVO"/>
    <n v="0"/>
    <n v="0"/>
    <n v="28"/>
    <n v="82"/>
    <n v="0"/>
    <n v="84.45"/>
    <n v="256.38"/>
    <m/>
    <n v="87.520205040180812"/>
    <n v="230.84299908458948"/>
    <n v="0"/>
    <n v="226967.149584"/>
    <n v="0"/>
    <n v="212005.95303414683"/>
    <x v="4"/>
  </r>
  <r>
    <s v="Refaturamento - Regular"/>
    <x v="2"/>
    <x v="2"/>
    <x v="3"/>
    <x v="2"/>
    <x v="2"/>
    <x v="0"/>
    <x v="0"/>
    <x v="8"/>
    <n v="0"/>
    <n v="0"/>
    <n v="28.344999999999999"/>
    <n v="5.6689999999999996"/>
    <n v="28.344999999999999"/>
    <n v="5.6689999999999996"/>
    <n v="0"/>
    <s v="CATIVO"/>
    <n v="0"/>
    <n v="0"/>
    <n v="28"/>
    <n v="82"/>
    <n v="0"/>
    <n v="84.45"/>
    <n v="256.38"/>
    <m/>
    <n v="87.520205040180812"/>
    <n v="230.84299908458948"/>
    <n v="0"/>
    <n v="7728.6610799999989"/>
    <n v="0"/>
    <n v="7219.2040167332907"/>
    <x v="4"/>
  </r>
  <r>
    <s v="Regular"/>
    <x v="2"/>
    <x v="2"/>
    <x v="3"/>
    <x v="2"/>
    <x v="2"/>
    <x v="0"/>
    <x v="0"/>
    <x v="9"/>
    <n v="0"/>
    <n v="0"/>
    <n v="1179.5039999999999"/>
    <n v="235.9008"/>
    <n v="1179.5039999999999"/>
    <n v="235.9008"/>
    <n v="0"/>
    <s v="CATIVO"/>
    <n v="0"/>
    <n v="0"/>
    <n v="28"/>
    <n v="82"/>
    <n v="0"/>
    <n v="84.45"/>
    <n v="256.38"/>
    <m/>
    <n v="87.520205040180812"/>
    <n v="230.84299908458948"/>
    <n v="0"/>
    <n v="321608.27865599998"/>
    <n v="0"/>
    <n v="300408.53817438643"/>
    <x v="4"/>
  </r>
  <r>
    <s v="Refaturamento - Regular"/>
    <x v="2"/>
    <x v="2"/>
    <x v="3"/>
    <x v="2"/>
    <x v="2"/>
    <x v="0"/>
    <x v="0"/>
    <x v="9"/>
    <n v="0"/>
    <n v="0"/>
    <n v="29.838000000000001"/>
    <n v="5.9676"/>
    <n v="29.838000000000001"/>
    <n v="5.9676"/>
    <n v="0"/>
    <s v="CATIVO"/>
    <n v="0"/>
    <n v="0"/>
    <n v="28"/>
    <n v="82"/>
    <n v="0"/>
    <n v="84.45"/>
    <n v="256.38"/>
    <m/>
    <n v="87.520205040180812"/>
    <n v="230.84299908458948"/>
    <n v="0"/>
    <n v="8135.7484319999994"/>
    <n v="0"/>
    <n v="7599.4570277399171"/>
    <x v="4"/>
  </r>
  <r>
    <s v="Regular"/>
    <x v="2"/>
    <x v="2"/>
    <x v="3"/>
    <x v="2"/>
    <x v="2"/>
    <x v="0"/>
    <x v="0"/>
    <x v="10"/>
    <n v="0"/>
    <n v="0"/>
    <n v="1170.998"/>
    <n v="234.1996"/>
    <n v="1170.998"/>
    <n v="234.1996"/>
    <n v="0"/>
    <s v="CATIVO"/>
    <n v="0"/>
    <n v="0"/>
    <n v="28"/>
    <n v="82"/>
    <n v="0"/>
    <n v="84.45"/>
    <n v="256.38"/>
    <m/>
    <n v="87.520205040180812"/>
    <n v="230.84299908458948"/>
    <n v="0"/>
    <n v="319288.99867200002"/>
    <n v="0"/>
    <n v="298242.14024295821"/>
    <x v="4"/>
  </r>
  <r>
    <s v="Refaturamento - Regular"/>
    <x v="2"/>
    <x v="2"/>
    <x v="3"/>
    <x v="2"/>
    <x v="2"/>
    <x v="0"/>
    <x v="0"/>
    <x v="10"/>
    <n v="0"/>
    <n v="0"/>
    <n v="28.576000000000001"/>
    <n v="5.7152000000000003"/>
    <n v="28.576000000000001"/>
    <n v="5.7152000000000003"/>
    <n v="0"/>
    <s v="CATIVO"/>
    <n v="0"/>
    <n v="0"/>
    <n v="28"/>
    <n v="82"/>
    <n v="0"/>
    <n v="84.45"/>
    <n v="256.38"/>
    <m/>
    <n v="87.520205040180812"/>
    <n v="230.84299908458948"/>
    <n v="0"/>
    <n v="7791.6464640000004"/>
    <n v="0"/>
    <n v="7278.0375368555488"/>
    <x v="4"/>
  </r>
  <r>
    <s v="PROJETADO"/>
    <x v="2"/>
    <x v="2"/>
    <x v="3"/>
    <x v="2"/>
    <x v="2"/>
    <x v="0"/>
    <x v="0"/>
    <x v="11"/>
    <n v="0"/>
    <n v="0"/>
    <n v="1170.998"/>
    <n v="234.1996"/>
    <n v="1170.998"/>
    <n v="234.1996"/>
    <n v="0"/>
    <s v="CATIVO"/>
    <n v="0"/>
    <n v="0"/>
    <n v="28"/>
    <n v="82"/>
    <n v="0"/>
    <n v="84.45"/>
    <n v="256.38"/>
    <m/>
    <n v="87.520205040180812"/>
    <n v="230.84299908458948"/>
    <n v="0"/>
    <n v="319288.99867200002"/>
    <n v="0"/>
    <n v="298242.14024295821"/>
    <x v="4"/>
  </r>
  <r>
    <s v="PROJETADO"/>
    <x v="2"/>
    <x v="2"/>
    <x v="3"/>
    <x v="2"/>
    <x v="2"/>
    <x v="0"/>
    <x v="0"/>
    <x v="11"/>
    <n v="0"/>
    <n v="0"/>
    <n v="28.576000000000001"/>
    <n v="5.7152000000000003"/>
    <n v="28.576000000000001"/>
    <n v="5.7152000000000003"/>
    <n v="0"/>
    <s v="CATIVO"/>
    <n v="0"/>
    <n v="0"/>
    <n v="28"/>
    <n v="82"/>
    <n v="0"/>
    <n v="84.45"/>
    <n v="256.38"/>
    <m/>
    <n v="87.520205040180812"/>
    <n v="230.84299908458948"/>
    <n v="0"/>
    <n v="7791.6464640000004"/>
    <n v="0"/>
    <n v="7278.0375368555488"/>
    <x v="4"/>
  </r>
  <r>
    <s v="Regular"/>
    <x v="2"/>
    <x v="2"/>
    <x v="3"/>
    <x v="2"/>
    <x v="0"/>
    <x v="0"/>
    <x v="0"/>
    <x v="0"/>
    <n v="0"/>
    <n v="0"/>
    <n v="956.12900000000002"/>
    <n v="879.63868000000002"/>
    <n v="956.12900000000002"/>
    <n v="879.63868000000002"/>
    <n v="0"/>
    <s v="CATIVO"/>
    <n v="0"/>
    <n v="0"/>
    <n v="28"/>
    <n v="82"/>
    <n v="0"/>
    <n v="84.45"/>
    <n v="256.38"/>
    <m/>
    <n v="87.520205040180812"/>
    <n v="230.84299908458948"/>
    <n v="0"/>
    <n v="26070.195765599998"/>
    <n v="0"/>
    <n v="24351.703359728999"/>
    <x v="3"/>
  </r>
  <r>
    <s v="Refaturamento - Regular"/>
    <x v="2"/>
    <x v="2"/>
    <x v="3"/>
    <x v="2"/>
    <x v="0"/>
    <x v="0"/>
    <x v="0"/>
    <x v="0"/>
    <n v="0"/>
    <n v="0"/>
    <n v="1.9330000000000001"/>
    <n v="1.7783600000000002"/>
    <n v="1.9330000000000001"/>
    <n v="1.7783600000000002"/>
    <n v="0"/>
    <s v="CATIVO"/>
    <n v="0"/>
    <n v="0"/>
    <n v="28"/>
    <n v="82"/>
    <n v="0"/>
    <n v="84.45"/>
    <n v="256.38"/>
    <m/>
    <n v="87.520205040180812"/>
    <n v="230.84299908458948"/>
    <n v="0"/>
    <n v="52.705951199999966"/>
    <n v="0"/>
    <n v="49.231685885854439"/>
    <x v="3"/>
  </r>
  <r>
    <s v="Regular"/>
    <x v="2"/>
    <x v="2"/>
    <x v="3"/>
    <x v="2"/>
    <x v="0"/>
    <x v="0"/>
    <x v="0"/>
    <x v="1"/>
    <n v="0"/>
    <n v="0"/>
    <n v="1213.0989999999999"/>
    <n v="1116.05108"/>
    <n v="1213.0989999999999"/>
    <n v="1116.05108"/>
    <n v="0"/>
    <s v="CATIVO"/>
    <n v="0"/>
    <n v="0"/>
    <n v="28"/>
    <n v="82"/>
    <n v="0"/>
    <n v="84.45"/>
    <n v="256.38"/>
    <m/>
    <n v="87.520205040180812"/>
    <n v="230.84299908458948"/>
    <n v="0"/>
    <n v="33076.842573599992"/>
    <n v="0"/>
    <n v="30896.486764844372"/>
    <x v="3"/>
  </r>
  <r>
    <s v="Refaturamento - Regular"/>
    <x v="2"/>
    <x v="2"/>
    <x v="3"/>
    <x v="2"/>
    <x v="0"/>
    <x v="0"/>
    <x v="0"/>
    <x v="1"/>
    <n v="0"/>
    <n v="0"/>
    <n v="22.696999999999999"/>
    <n v="20.881240000000002"/>
    <n v="22.696999999999999"/>
    <n v="20.881240000000002"/>
    <n v="0"/>
    <s v="CATIVO"/>
    <n v="0"/>
    <n v="0"/>
    <n v="28"/>
    <n v="82"/>
    <n v="0"/>
    <n v="84.45"/>
    <n v="256.38"/>
    <m/>
    <n v="87.520205040180812"/>
    <n v="230.84299908458948"/>
    <n v="0"/>
    <n v="618.86548079999909"/>
    <n v="0"/>
    <n v="578.07117152159208"/>
    <x v="3"/>
  </r>
  <r>
    <s v="Regular"/>
    <x v="2"/>
    <x v="2"/>
    <x v="3"/>
    <x v="2"/>
    <x v="0"/>
    <x v="0"/>
    <x v="0"/>
    <x v="2"/>
    <n v="0"/>
    <n v="0"/>
    <n v="342.91699999999997"/>
    <n v="315.48363999999998"/>
    <n v="342.91699999999997"/>
    <n v="315.48363999999998"/>
    <n v="0"/>
    <s v="CATIVO"/>
    <n v="0"/>
    <n v="0"/>
    <n v="28"/>
    <n v="82"/>
    <n v="0"/>
    <n v="84.45"/>
    <n v="256.38"/>
    <m/>
    <n v="87.520205040180812"/>
    <n v="230.84299908458948"/>
    <n v="0"/>
    <n v="9350.1120887999987"/>
    <n v="0"/>
    <n v="8733.7723895083072"/>
    <x v="3"/>
  </r>
  <r>
    <s v="Regular"/>
    <x v="2"/>
    <x v="2"/>
    <x v="3"/>
    <x v="2"/>
    <x v="0"/>
    <x v="0"/>
    <x v="0"/>
    <x v="3"/>
    <n v="0"/>
    <n v="0"/>
    <n v="340.26100000000002"/>
    <n v="313.04012000000006"/>
    <n v="340.26100000000002"/>
    <n v="313.04012000000006"/>
    <n v="0"/>
    <s v="CATIVO"/>
    <n v="0"/>
    <n v="0"/>
    <n v="28"/>
    <n v="82"/>
    <n v="0"/>
    <n v="84.45"/>
    <n v="256.38"/>
    <m/>
    <n v="87.520205040180812"/>
    <n v="230.84299908458948"/>
    <n v="0"/>
    <n v="9277.6925303999888"/>
    <n v="0"/>
    <n v="8666.1265758958652"/>
    <x v="3"/>
  </r>
  <r>
    <s v="Regular"/>
    <x v="2"/>
    <x v="2"/>
    <x v="3"/>
    <x v="2"/>
    <x v="0"/>
    <x v="0"/>
    <x v="0"/>
    <x v="4"/>
    <n v="0"/>
    <n v="0"/>
    <n v="298.91800000000001"/>
    <n v="275.00456000000003"/>
    <n v="298.91800000000001"/>
    <n v="275.00456000000003"/>
    <n v="0"/>
    <s v="CATIVO"/>
    <n v="0"/>
    <n v="0"/>
    <n v="28"/>
    <n v="82"/>
    <n v="0"/>
    <n v="84.45"/>
    <n v="256.38"/>
    <m/>
    <n v="87.520205040180812"/>
    <n v="230.84299908458948"/>
    <n v="0"/>
    <n v="8150.4177551999928"/>
    <n v="0"/>
    <n v="7613.1593800454402"/>
    <x v="3"/>
  </r>
  <r>
    <s v="Refaturamento - Regular"/>
    <x v="2"/>
    <x v="2"/>
    <x v="3"/>
    <x v="2"/>
    <x v="0"/>
    <x v="0"/>
    <x v="0"/>
    <x v="4"/>
    <n v="0"/>
    <n v="0"/>
    <n v="16.077000000000002"/>
    <n v="14.790840000000003"/>
    <n v="16.077000000000002"/>
    <n v="14.790840000000003"/>
    <n v="0"/>
    <s v="CATIVO"/>
    <n v="0"/>
    <n v="0"/>
    <n v="28"/>
    <n v="82"/>
    <n v="0"/>
    <n v="84.45"/>
    <n v="256.38"/>
    <m/>
    <n v="87.520205040180812"/>
    <n v="230.84299908458948"/>
    <n v="0"/>
    <n v="438.36191279999963"/>
    <n v="0"/>
    <n v="409.46601861711417"/>
    <x v="3"/>
  </r>
  <r>
    <s v="Regular"/>
    <x v="2"/>
    <x v="2"/>
    <x v="3"/>
    <x v="2"/>
    <x v="0"/>
    <x v="0"/>
    <x v="0"/>
    <x v="5"/>
    <n v="0"/>
    <n v="0"/>
    <n v="132.851"/>
    <n v="122.22292"/>
    <n v="132.851"/>
    <n v="122.22292"/>
    <n v="0"/>
    <s v="CATIVO"/>
    <n v="0"/>
    <n v="0"/>
    <n v="28"/>
    <n v="82"/>
    <n v="0"/>
    <n v="84.45"/>
    <n v="256.38"/>
    <m/>
    <n v="87.520205040180812"/>
    <n v="230.84299908458948"/>
    <n v="0"/>
    <n v="3622.3685063999988"/>
    <n v="0"/>
    <n v="3383.5896024943877"/>
    <x v="3"/>
  </r>
  <r>
    <s v="Refaturamento - Regular"/>
    <x v="2"/>
    <x v="2"/>
    <x v="3"/>
    <x v="2"/>
    <x v="0"/>
    <x v="0"/>
    <x v="0"/>
    <x v="5"/>
    <n v="0"/>
    <n v="0"/>
    <n v="13.804"/>
    <n v="12.699680000000001"/>
    <n v="13.804"/>
    <n v="12.699680000000001"/>
    <n v="0"/>
    <s v="CATIVO"/>
    <n v="0"/>
    <n v="0"/>
    <n v="28"/>
    <n v="82"/>
    <n v="0"/>
    <n v="84.45"/>
    <n v="256.38"/>
    <m/>
    <n v="87.520205040180812"/>
    <n v="230.84299908458948"/>
    <n v="0"/>
    <n v="376.38538559999984"/>
    <n v="0"/>
    <n v="351.5748535790662"/>
    <x v="3"/>
  </r>
  <r>
    <s v="Regular"/>
    <x v="2"/>
    <x v="2"/>
    <x v="3"/>
    <x v="2"/>
    <x v="0"/>
    <x v="0"/>
    <x v="0"/>
    <x v="6"/>
    <n v="0"/>
    <n v="0"/>
    <n v="346.67200000000003"/>
    <n v="318.93824000000006"/>
    <n v="346.67200000000003"/>
    <n v="318.93824000000006"/>
    <n v="0"/>
    <s v="CATIVO"/>
    <n v="0"/>
    <n v="0"/>
    <n v="28"/>
    <n v="82"/>
    <n v="0"/>
    <n v="84.45"/>
    <n v="256.38"/>
    <m/>
    <n v="87.520205040180812"/>
    <n v="230.84299908458948"/>
    <n v="0"/>
    <n v="9452.4974207999858"/>
    <n v="0"/>
    <n v="8829.408696027378"/>
    <x v="3"/>
  </r>
  <r>
    <s v="Refaturamento - Regular"/>
    <x v="2"/>
    <x v="2"/>
    <x v="3"/>
    <x v="2"/>
    <x v="0"/>
    <x v="0"/>
    <x v="0"/>
    <x v="6"/>
    <n v="0"/>
    <n v="0"/>
    <n v="5.2279999999999998"/>
    <n v="4.8097599999999998"/>
    <n v="5.2279999999999998"/>
    <n v="4.8097599999999998"/>
    <n v="0"/>
    <s v="CATIVO"/>
    <n v="0"/>
    <n v="0"/>
    <n v="28"/>
    <n v="82"/>
    <n v="0"/>
    <n v="84.45"/>
    <n v="256.38"/>
    <m/>
    <n v="87.520205040180812"/>
    <n v="230.84299908458948"/>
    <n v="0"/>
    <n v="142.54873919999997"/>
    <n v="0"/>
    <n v="133.15222649314393"/>
    <x v="3"/>
  </r>
  <r>
    <s v="Regular"/>
    <x v="2"/>
    <x v="2"/>
    <x v="3"/>
    <x v="2"/>
    <x v="0"/>
    <x v="0"/>
    <x v="0"/>
    <x v="7"/>
    <n v="0"/>
    <n v="0"/>
    <n v="722.94600000000003"/>
    <n v="665.11032"/>
    <n v="722.94600000000003"/>
    <n v="665.11032"/>
    <n v="0"/>
    <s v="CATIVO"/>
    <n v="0"/>
    <n v="0"/>
    <n v="28"/>
    <n v="82"/>
    <n v="0"/>
    <n v="84.45"/>
    <n v="256.38"/>
    <m/>
    <n v="87.520205040180812"/>
    <n v="230.84299908458948"/>
    <n v="0"/>
    <n v="19712.134814400008"/>
    <n v="0"/>
    <n v="18412.752397534903"/>
    <x v="3"/>
  </r>
  <r>
    <s v="Regular"/>
    <x v="2"/>
    <x v="2"/>
    <x v="3"/>
    <x v="2"/>
    <x v="0"/>
    <x v="0"/>
    <x v="0"/>
    <x v="8"/>
    <n v="0"/>
    <n v="0"/>
    <n v="1957.6759999999999"/>
    <n v="1801.0619200000001"/>
    <n v="1957.6759999999999"/>
    <n v="1801.0619200000001"/>
    <n v="0"/>
    <s v="CATIVO"/>
    <n v="0"/>
    <n v="0"/>
    <n v="28"/>
    <n v="82"/>
    <n v="0"/>
    <n v="84.45"/>
    <n v="256.38"/>
    <m/>
    <n v="87.520205040180812"/>
    <n v="230.84299908458948"/>
    <n v="0"/>
    <n v="53378.776886399937"/>
    <n v="0"/>
    <n v="49860.16031985305"/>
    <x v="3"/>
  </r>
  <r>
    <s v="Refaturamento - Regular"/>
    <x v="2"/>
    <x v="2"/>
    <x v="3"/>
    <x v="2"/>
    <x v="0"/>
    <x v="0"/>
    <x v="0"/>
    <x v="8"/>
    <n v="0"/>
    <n v="0"/>
    <n v="10.285"/>
    <n v="9.4622000000000011"/>
    <n v="10.285"/>
    <n v="9.4622000000000011"/>
    <n v="0"/>
    <s v="CATIVO"/>
    <n v="0"/>
    <n v="0"/>
    <n v="28"/>
    <n v="82"/>
    <n v="0"/>
    <n v="84.45"/>
    <n v="256.38"/>
    <m/>
    <n v="87.520205040180812"/>
    <n v="230.84299908458948"/>
    <n v="0"/>
    <n v="280.43492399999968"/>
    <n v="0"/>
    <n v="261.94924435386071"/>
    <x v="3"/>
  </r>
  <r>
    <s v="Regular"/>
    <x v="2"/>
    <x v="2"/>
    <x v="3"/>
    <x v="2"/>
    <x v="0"/>
    <x v="0"/>
    <x v="0"/>
    <x v="9"/>
    <n v="0"/>
    <n v="0"/>
    <n v="1958.9480000000001"/>
    <n v="1802.2321600000002"/>
    <n v="1958.9480000000001"/>
    <n v="1802.2321600000002"/>
    <n v="0"/>
    <s v="CATIVO"/>
    <n v="0"/>
    <n v="0"/>
    <n v="28"/>
    <n v="82"/>
    <n v="0"/>
    <n v="84.45"/>
    <n v="256.38"/>
    <m/>
    <n v="87.520205040180812"/>
    <n v="230.84299908458948"/>
    <n v="0"/>
    <n v="53413.459747199944"/>
    <n v="0"/>
    <n v="49892.556959504785"/>
    <x v="3"/>
  </r>
  <r>
    <s v="Refaturamento - Regular"/>
    <x v="2"/>
    <x v="2"/>
    <x v="3"/>
    <x v="2"/>
    <x v="0"/>
    <x v="0"/>
    <x v="0"/>
    <x v="9"/>
    <n v="0"/>
    <n v="0"/>
    <n v="66.974000000000004"/>
    <n v="61.616080000000004"/>
    <n v="66.974000000000004"/>
    <n v="61.616080000000004"/>
    <n v="0"/>
    <s v="CATIVO"/>
    <n v="0"/>
    <n v="0"/>
    <n v="28"/>
    <n v="82"/>
    <n v="0"/>
    <n v="84.45"/>
    <n v="256.38"/>
    <m/>
    <n v="87.520205040180812"/>
    <n v="230.84299908458948"/>
    <n v="0"/>
    <n v="1826.1398736000001"/>
    <n v="0"/>
    <n v="1705.7645786441892"/>
    <x v="3"/>
  </r>
  <r>
    <s v="Regular"/>
    <x v="2"/>
    <x v="2"/>
    <x v="3"/>
    <x v="2"/>
    <x v="0"/>
    <x v="0"/>
    <x v="0"/>
    <x v="10"/>
    <n v="0"/>
    <n v="0"/>
    <n v="2088.9360000000001"/>
    <n v="1921.8211200000003"/>
    <n v="2088.9360000000001"/>
    <n v="1921.8211200000003"/>
    <n v="0"/>
    <s v="CATIVO"/>
    <n v="0"/>
    <n v="0"/>
    <n v="28"/>
    <n v="82"/>
    <n v="0"/>
    <n v="84.45"/>
    <n v="256.38"/>
    <m/>
    <n v="87.520205040180812"/>
    <n v="230.84299908458948"/>
    <n v="0"/>
    <n v="56957.764550399952"/>
    <n v="0"/>
    <n v="53203.228653726444"/>
    <x v="3"/>
  </r>
  <r>
    <s v="Refaturamento - Regular"/>
    <x v="2"/>
    <x v="2"/>
    <x v="3"/>
    <x v="2"/>
    <x v="0"/>
    <x v="0"/>
    <x v="0"/>
    <x v="10"/>
    <n v="0"/>
    <n v="0"/>
    <n v="26.326000000000001"/>
    <n v="24.219920000000002"/>
    <n v="26.326000000000001"/>
    <n v="24.219920000000002"/>
    <n v="0"/>
    <s v="CATIVO"/>
    <n v="0"/>
    <n v="0"/>
    <n v="28"/>
    <n v="82"/>
    <n v="0"/>
    <n v="84.45"/>
    <n v="256.38"/>
    <m/>
    <n v="87.520205040180812"/>
    <n v="230.84299908458948"/>
    <n v="0"/>
    <n v="717.81524639999952"/>
    <n v="0"/>
    <n v="670.49837694309576"/>
    <x v="3"/>
  </r>
  <r>
    <s v="PROJETADO"/>
    <x v="2"/>
    <x v="2"/>
    <x v="3"/>
    <x v="2"/>
    <x v="0"/>
    <x v="0"/>
    <x v="0"/>
    <x v="11"/>
    <n v="0"/>
    <n v="0"/>
    <n v="2088.9360000000001"/>
    <n v="1921.8211200000003"/>
    <n v="2088.9360000000001"/>
    <n v="1921.8211200000003"/>
    <n v="0"/>
    <s v="CATIVO"/>
    <n v="0"/>
    <n v="0"/>
    <n v="28"/>
    <n v="82"/>
    <n v="0"/>
    <n v="84.45"/>
    <n v="256.38"/>
    <m/>
    <n v="87.520205040180812"/>
    <n v="230.84299908458948"/>
    <n v="0"/>
    <n v="56957.764550399952"/>
    <n v="0"/>
    <n v="53203.228653726444"/>
    <x v="3"/>
  </r>
  <r>
    <s v="PROJETADO"/>
    <x v="2"/>
    <x v="2"/>
    <x v="3"/>
    <x v="2"/>
    <x v="0"/>
    <x v="0"/>
    <x v="0"/>
    <x v="11"/>
    <n v="0"/>
    <n v="0"/>
    <n v="26.326000000000001"/>
    <n v="24.219920000000002"/>
    <n v="26.326000000000001"/>
    <n v="24.219920000000002"/>
    <n v="0"/>
    <s v="CATIVO"/>
    <n v="0"/>
    <n v="0"/>
    <n v="28"/>
    <n v="82"/>
    <n v="0"/>
    <n v="84.45"/>
    <n v="256.38"/>
    <m/>
    <n v="87.520205040180812"/>
    <n v="230.84299908458948"/>
    <n v="0"/>
    <n v="717.81524639999952"/>
    <n v="0"/>
    <n v="670.49837694309576"/>
    <x v="3"/>
  </r>
  <r>
    <s v="Regular"/>
    <x v="2"/>
    <x v="2"/>
    <x v="3"/>
    <x v="2"/>
    <x v="0"/>
    <x v="0"/>
    <x v="2"/>
    <x v="0"/>
    <n v="8444"/>
    <n v="7768.4800000000005"/>
    <n v="0"/>
    <n v="0"/>
    <n v="0"/>
    <n v="0"/>
    <n v="119"/>
    <s v="CATIVO"/>
    <n v="0"/>
    <n v="26"/>
    <n v="0"/>
    <n v="0"/>
    <n v="8.81"/>
    <n v="0"/>
    <n v="0"/>
    <n v="11.452356648653195"/>
    <m/>
    <m/>
    <n v="5951.331199999996"/>
    <n v="0"/>
    <n v="7736.2959632982011"/>
    <n v="0"/>
    <x v="3"/>
  </r>
  <r>
    <s v="Refaturamento - Regular"/>
    <x v="2"/>
    <x v="2"/>
    <x v="3"/>
    <x v="2"/>
    <x v="0"/>
    <x v="0"/>
    <x v="2"/>
    <x v="0"/>
    <n v="69"/>
    <n v="63.480000000000004"/>
    <n v="0"/>
    <n v="0"/>
    <n v="0"/>
    <n v="0"/>
    <n v="4"/>
    <s v="CATIVO"/>
    <n v="0"/>
    <n v="26"/>
    <n v="0"/>
    <n v="0"/>
    <n v="8.81"/>
    <n v="0"/>
    <n v="0"/>
    <n v="11.452356648653195"/>
    <m/>
    <m/>
    <n v="48.631199999999964"/>
    <n v="0"/>
    <n v="63.217008700565593"/>
    <n v="0"/>
    <x v="3"/>
  </r>
  <r>
    <s v="Regular"/>
    <x v="2"/>
    <x v="2"/>
    <x v="3"/>
    <x v="2"/>
    <x v="0"/>
    <x v="0"/>
    <x v="2"/>
    <x v="1"/>
    <n v="10820"/>
    <n v="9954.4"/>
    <n v="0"/>
    <n v="0"/>
    <n v="0"/>
    <n v="0"/>
    <n v="120"/>
    <s v="CATIVO"/>
    <n v="0"/>
    <n v="26"/>
    <n v="0"/>
    <n v="0"/>
    <n v="8.81"/>
    <n v="0"/>
    <n v="0"/>
    <n v="11.452356648653195"/>
    <m/>
    <m/>
    <n v="7625.9360000000033"/>
    <n v="0"/>
    <n v="9913.1599150742095"/>
    <n v="0"/>
    <x v="3"/>
  </r>
  <r>
    <s v="Refaturamento - Regular"/>
    <x v="2"/>
    <x v="2"/>
    <x v="3"/>
    <x v="2"/>
    <x v="0"/>
    <x v="0"/>
    <x v="2"/>
    <x v="1"/>
    <n v="618"/>
    <n v="568.56000000000006"/>
    <n v="0"/>
    <n v="0"/>
    <n v="0"/>
    <n v="0"/>
    <n v="4"/>
    <s v="CATIVO"/>
    <n v="0"/>
    <n v="26"/>
    <n v="0"/>
    <n v="0"/>
    <n v="8.81"/>
    <n v="0"/>
    <n v="0"/>
    <n v="11.452356648653195"/>
    <m/>
    <m/>
    <n v="435.56639999999948"/>
    <n v="0"/>
    <n v="566.20451270941328"/>
    <n v="0"/>
    <x v="3"/>
  </r>
  <r>
    <s v="Regular"/>
    <x v="2"/>
    <x v="2"/>
    <x v="3"/>
    <x v="2"/>
    <x v="0"/>
    <x v="0"/>
    <x v="2"/>
    <x v="2"/>
    <n v="7268"/>
    <n v="6686.56"/>
    <n v="0"/>
    <n v="0"/>
    <n v="0"/>
    <n v="0"/>
    <n v="124"/>
    <s v="CATIVO"/>
    <n v="0"/>
    <n v="26"/>
    <n v="0"/>
    <n v="0"/>
    <n v="8.81"/>
    <n v="0"/>
    <n v="0"/>
    <n v="11.452356648653195"/>
    <m/>
    <m/>
    <n v="5122.486399999997"/>
    <n v="0"/>
    <n v="6658.8582497929092"/>
    <n v="0"/>
    <x v="3"/>
  </r>
  <r>
    <s v="Refaturamento - Regular"/>
    <x v="2"/>
    <x v="2"/>
    <x v="3"/>
    <x v="2"/>
    <x v="0"/>
    <x v="0"/>
    <x v="2"/>
    <x v="2"/>
    <n v="517"/>
    <n v="475.64000000000004"/>
    <n v="0"/>
    <n v="0"/>
    <n v="0"/>
    <n v="0"/>
    <n v="3"/>
    <s v="CATIVO"/>
    <n v="0"/>
    <n v="26"/>
    <n v="0"/>
    <n v="0"/>
    <n v="8.81"/>
    <n v="0"/>
    <n v="0"/>
    <n v="11.452356648653195"/>
    <m/>
    <m/>
    <n v="364.38159999999965"/>
    <n v="0"/>
    <n v="473.66947098829564"/>
    <n v="0"/>
    <x v="3"/>
  </r>
  <r>
    <s v="Regular"/>
    <x v="2"/>
    <x v="2"/>
    <x v="3"/>
    <x v="2"/>
    <x v="0"/>
    <x v="0"/>
    <x v="2"/>
    <x v="3"/>
    <n v="10041"/>
    <n v="9237.7200000000012"/>
    <n v="0"/>
    <n v="0"/>
    <n v="0"/>
    <n v="0"/>
    <n v="125"/>
    <s v="CATIVO"/>
    <n v="0"/>
    <n v="26"/>
    <n v="0"/>
    <n v="0"/>
    <n v="8.81"/>
    <n v="0"/>
    <n v="0"/>
    <n v="11.452356648653195"/>
    <m/>
    <m/>
    <n v="7076.8967999999904"/>
    <n v="0"/>
    <n v="9199.4490487301246"/>
    <n v="0"/>
    <x v="3"/>
  </r>
  <r>
    <s v="Refaturamento - Regular"/>
    <x v="2"/>
    <x v="2"/>
    <x v="3"/>
    <x v="2"/>
    <x v="0"/>
    <x v="0"/>
    <x v="2"/>
    <x v="3"/>
    <n v="538"/>
    <n v="494.96000000000004"/>
    <n v="0"/>
    <n v="0"/>
    <n v="0"/>
    <n v="0"/>
    <n v="4"/>
    <s v="CATIVO"/>
    <n v="0"/>
    <n v="26"/>
    <n v="0"/>
    <n v="0"/>
    <n v="8.81"/>
    <n v="0"/>
    <n v="0"/>
    <n v="11.452356648653195"/>
    <m/>
    <m/>
    <n v="379.18239999999969"/>
    <n v="0"/>
    <n v="492.9094301580331"/>
    <n v="0"/>
    <x v="3"/>
  </r>
  <r>
    <s v="Regular"/>
    <x v="2"/>
    <x v="2"/>
    <x v="3"/>
    <x v="2"/>
    <x v="0"/>
    <x v="0"/>
    <x v="2"/>
    <x v="4"/>
    <n v="9059"/>
    <n v="8334.2800000000007"/>
    <n v="0"/>
    <n v="0"/>
    <n v="0"/>
    <n v="0"/>
    <n v="124"/>
    <s v="CATIVO"/>
    <n v="0"/>
    <n v="26"/>
    <n v="0"/>
    <n v="0"/>
    <n v="8.81"/>
    <n v="0"/>
    <n v="0"/>
    <n v="11.452356648653195"/>
    <m/>
    <m/>
    <n v="6384.7831999999944"/>
    <n v="0"/>
    <n v="8299.7519104119365"/>
    <n v="0"/>
    <x v="3"/>
  </r>
  <r>
    <s v="Refaturamento - Regular"/>
    <x v="2"/>
    <x v="2"/>
    <x v="3"/>
    <x v="2"/>
    <x v="0"/>
    <x v="0"/>
    <x v="2"/>
    <x v="4"/>
    <n v="833"/>
    <n v="766.36"/>
    <n v="0"/>
    <n v="0"/>
    <n v="0"/>
    <n v="0"/>
    <n v="4"/>
    <s v="CATIVO"/>
    <n v="0"/>
    <n v="26"/>
    <n v="0"/>
    <n v="0"/>
    <n v="8.81"/>
    <n v="0"/>
    <n v="0"/>
    <n v="11.452356648653195"/>
    <m/>
    <m/>
    <n v="587.09839999999997"/>
    <n v="0"/>
    <n v="763.18504706624879"/>
    <n v="0"/>
    <x v="3"/>
  </r>
  <r>
    <s v="Regular"/>
    <x v="2"/>
    <x v="2"/>
    <x v="3"/>
    <x v="2"/>
    <x v="0"/>
    <x v="0"/>
    <x v="2"/>
    <x v="5"/>
    <n v="5721"/>
    <n v="5263.3200000000006"/>
    <n v="0"/>
    <n v="0"/>
    <n v="0"/>
    <n v="0"/>
    <n v="122"/>
    <s v="CATIVO"/>
    <n v="0"/>
    <n v="26"/>
    <n v="0"/>
    <n v="0"/>
    <n v="8.81"/>
    <n v="0"/>
    <n v="0"/>
    <n v="11.452356648653195"/>
    <m/>
    <m/>
    <n v="4032.1607999999947"/>
    <n v="0"/>
    <n v="5241.5145909555877"/>
    <n v="0"/>
    <x v="3"/>
  </r>
  <r>
    <s v="Refaturamento - Regular"/>
    <x v="2"/>
    <x v="2"/>
    <x v="3"/>
    <x v="2"/>
    <x v="0"/>
    <x v="0"/>
    <x v="2"/>
    <x v="5"/>
    <n v="376"/>
    <n v="345.92"/>
    <n v="0"/>
    <n v="0"/>
    <n v="0"/>
    <n v="0"/>
    <n v="4"/>
    <s v="CATIVO"/>
    <n v="0"/>
    <n v="26"/>
    <n v="0"/>
    <n v="0"/>
    <n v="8.81"/>
    <n v="0"/>
    <n v="0"/>
    <n v="11.452356648653195"/>
    <m/>
    <m/>
    <n v="265.00479999999988"/>
    <n v="0"/>
    <n v="344.48688799148795"/>
    <n v="0"/>
    <x v="3"/>
  </r>
  <r>
    <s v="Regular"/>
    <x v="2"/>
    <x v="2"/>
    <x v="3"/>
    <x v="2"/>
    <x v="0"/>
    <x v="0"/>
    <x v="2"/>
    <x v="6"/>
    <n v="8385"/>
    <n v="7714.2000000000007"/>
    <n v="0"/>
    <n v="0"/>
    <n v="0"/>
    <n v="0"/>
    <n v="124"/>
    <s v="CATIVO"/>
    <n v="0"/>
    <n v="26"/>
    <n v="0"/>
    <n v="0"/>
    <n v="8.81"/>
    <n v="0"/>
    <n v="0"/>
    <n v="11.452356648653195"/>
    <m/>
    <m/>
    <n v="5909.7479999999941"/>
    <n v="0"/>
    <n v="7682.2408399165552"/>
    <n v="0"/>
    <x v="3"/>
  </r>
  <r>
    <s v="Refaturamento - Regular"/>
    <x v="2"/>
    <x v="2"/>
    <x v="3"/>
    <x v="2"/>
    <x v="0"/>
    <x v="0"/>
    <x v="2"/>
    <x v="6"/>
    <n v="377"/>
    <n v="346.84000000000003"/>
    <n v="0"/>
    <n v="0"/>
    <n v="0"/>
    <n v="0"/>
    <n v="3"/>
    <s v="CATIVO"/>
    <n v="0"/>
    <n v="26"/>
    <n v="0"/>
    <n v="0"/>
    <n v="8.81"/>
    <n v="0"/>
    <n v="0"/>
    <n v="11.452356648653195"/>
    <m/>
    <m/>
    <n v="265.70959999999974"/>
    <n v="0"/>
    <n v="345.40307652337998"/>
    <n v="0"/>
    <x v="3"/>
  </r>
  <r>
    <s v="Regular"/>
    <x v="2"/>
    <x v="2"/>
    <x v="3"/>
    <x v="2"/>
    <x v="0"/>
    <x v="0"/>
    <x v="2"/>
    <x v="7"/>
    <n v="12180"/>
    <n v="11205.6"/>
    <n v="0"/>
    <n v="0"/>
    <n v="0"/>
    <n v="0"/>
    <n v="123"/>
    <s v="CATIVO"/>
    <n v="0"/>
    <n v="26"/>
    <n v="0"/>
    <n v="0"/>
    <n v="8.81"/>
    <n v="0"/>
    <n v="0"/>
    <n v="11.452356648653195"/>
    <m/>
    <m/>
    <n v="8584.4639999999981"/>
    <n v="0"/>
    <n v="11159.176318447669"/>
    <n v="0"/>
    <x v="3"/>
  </r>
  <r>
    <s v="Refaturamento - Regular"/>
    <x v="2"/>
    <x v="2"/>
    <x v="3"/>
    <x v="2"/>
    <x v="0"/>
    <x v="0"/>
    <x v="2"/>
    <x v="7"/>
    <n v="522"/>
    <n v="480.24"/>
    <n v="0"/>
    <n v="0"/>
    <n v="0"/>
    <n v="0"/>
    <n v="3"/>
    <s v="CATIVO"/>
    <n v="0"/>
    <n v="26"/>
    <n v="0"/>
    <n v="0"/>
    <n v="8.81"/>
    <n v="0"/>
    <n v="0"/>
    <n v="11.452356648653195"/>
    <m/>
    <m/>
    <n v="367.90559999999994"/>
    <n v="0"/>
    <n v="478.25041364775734"/>
    <n v="0"/>
    <x v="3"/>
  </r>
  <r>
    <s v="Regular"/>
    <x v="2"/>
    <x v="2"/>
    <x v="3"/>
    <x v="2"/>
    <x v="0"/>
    <x v="0"/>
    <x v="2"/>
    <x v="8"/>
    <n v="14803"/>
    <n v="13618.76"/>
    <n v="0"/>
    <n v="0"/>
    <n v="0"/>
    <n v="0"/>
    <n v="125"/>
    <s v="CATIVO"/>
    <n v="0"/>
    <n v="26"/>
    <n v="0"/>
    <n v="0"/>
    <n v="8.81"/>
    <n v="0"/>
    <n v="0"/>
    <n v="11.452356648653195"/>
    <m/>
    <m/>
    <n v="10433.154399999999"/>
    <n v="0"/>
    <n v="13562.338837601057"/>
    <n v="0"/>
    <x v="3"/>
  </r>
  <r>
    <s v="Refaturamento - Regular"/>
    <x v="2"/>
    <x v="2"/>
    <x v="3"/>
    <x v="2"/>
    <x v="0"/>
    <x v="0"/>
    <x v="2"/>
    <x v="8"/>
    <n v="375"/>
    <n v="345"/>
    <n v="0"/>
    <n v="0"/>
    <n v="0"/>
    <n v="0"/>
    <n v="3"/>
    <s v="CATIVO"/>
    <n v="0"/>
    <n v="26"/>
    <n v="0"/>
    <n v="0"/>
    <n v="8.81"/>
    <n v="0"/>
    <n v="0"/>
    <n v="11.452356648653195"/>
    <m/>
    <m/>
    <n v="264.3"/>
    <n v="0"/>
    <n v="343.57069945959586"/>
    <n v="0"/>
    <x v="3"/>
  </r>
  <r>
    <s v="Regular"/>
    <x v="2"/>
    <x v="2"/>
    <x v="3"/>
    <x v="2"/>
    <x v="0"/>
    <x v="0"/>
    <x v="2"/>
    <x v="9"/>
    <n v="14883"/>
    <n v="13692.36"/>
    <n v="0"/>
    <n v="0"/>
    <n v="0"/>
    <n v="0"/>
    <n v="123"/>
    <s v="CATIVO"/>
    <n v="0"/>
    <n v="26"/>
    <n v="0"/>
    <n v="0"/>
    <n v="8.81"/>
    <n v="0"/>
    <n v="0"/>
    <n v="11.452356648653195"/>
    <m/>
    <m/>
    <n v="10489.538399999996"/>
    <n v="0"/>
    <n v="13635.633920152433"/>
    <n v="0"/>
    <x v="3"/>
  </r>
  <r>
    <s v="Refaturamento - Regular"/>
    <x v="2"/>
    <x v="2"/>
    <x v="3"/>
    <x v="2"/>
    <x v="0"/>
    <x v="0"/>
    <x v="2"/>
    <x v="9"/>
    <n v="356"/>
    <n v="327.52000000000004"/>
    <n v="0"/>
    <n v="0"/>
    <n v="0"/>
    <n v="0"/>
    <n v="3"/>
    <s v="CATIVO"/>
    <n v="0"/>
    <n v="26"/>
    <n v="0"/>
    <n v="0"/>
    <n v="8.81"/>
    <n v="0"/>
    <n v="0"/>
    <n v="11.452356648653195"/>
    <m/>
    <m/>
    <n v="250.90879999999967"/>
    <n v="0"/>
    <n v="326.16311735364258"/>
    <n v="0"/>
    <x v="3"/>
  </r>
  <r>
    <s v="Regular"/>
    <x v="2"/>
    <x v="2"/>
    <x v="3"/>
    <x v="2"/>
    <x v="0"/>
    <x v="0"/>
    <x v="2"/>
    <x v="10"/>
    <n v="13077"/>
    <n v="12030.84"/>
    <n v="0"/>
    <n v="0"/>
    <n v="0"/>
    <n v="0"/>
    <n v="121"/>
    <s v="CATIVO"/>
    <n v="0"/>
    <n v="26"/>
    <n v="0"/>
    <n v="0"/>
    <n v="8.81"/>
    <n v="0"/>
    <n v="0"/>
    <n v="11.452356648653195"/>
    <m/>
    <m/>
    <n v="9216.6695999999993"/>
    <n v="0"/>
    <n v="11980.997431555024"/>
    <n v="0"/>
    <x v="3"/>
  </r>
  <r>
    <s v="Refaturamento - Regular"/>
    <x v="2"/>
    <x v="2"/>
    <x v="3"/>
    <x v="2"/>
    <x v="0"/>
    <x v="0"/>
    <x v="2"/>
    <x v="10"/>
    <n v="376"/>
    <n v="345.92"/>
    <n v="0"/>
    <n v="0"/>
    <n v="0"/>
    <n v="0"/>
    <n v="3"/>
    <s v="CATIVO"/>
    <n v="0"/>
    <n v="26"/>
    <n v="0"/>
    <n v="0"/>
    <n v="8.81"/>
    <n v="0"/>
    <n v="0"/>
    <n v="11.452356648653195"/>
    <m/>
    <m/>
    <n v="265.00479999999988"/>
    <n v="0"/>
    <n v="344.48688799148795"/>
    <n v="0"/>
    <x v="3"/>
  </r>
  <r>
    <s v="PROJETADO"/>
    <x v="2"/>
    <x v="2"/>
    <x v="3"/>
    <x v="2"/>
    <x v="0"/>
    <x v="0"/>
    <x v="2"/>
    <x v="11"/>
    <n v="13077"/>
    <n v="12030.84"/>
    <n v="0"/>
    <n v="0"/>
    <n v="0"/>
    <n v="0"/>
    <n v="121"/>
    <s v="CATIVO"/>
    <n v="0"/>
    <n v="26"/>
    <n v="0"/>
    <n v="0"/>
    <n v="8.81"/>
    <n v="0"/>
    <n v="0"/>
    <n v="11.452356648653195"/>
    <m/>
    <m/>
    <n v="9216.6695999999993"/>
    <n v="0"/>
    <n v="11980.997431555024"/>
    <n v="0"/>
    <x v="3"/>
  </r>
  <r>
    <s v="PROJETADO"/>
    <x v="2"/>
    <x v="2"/>
    <x v="3"/>
    <x v="2"/>
    <x v="0"/>
    <x v="0"/>
    <x v="2"/>
    <x v="11"/>
    <n v="376"/>
    <n v="345.92"/>
    <n v="0"/>
    <n v="0"/>
    <n v="0"/>
    <n v="0"/>
    <n v="3"/>
    <s v="CATIVO"/>
    <n v="0"/>
    <n v="26"/>
    <n v="0"/>
    <n v="0"/>
    <n v="8.81"/>
    <n v="0"/>
    <n v="0"/>
    <n v="11.452356648653195"/>
    <m/>
    <m/>
    <n v="265.00479999999988"/>
    <n v="0"/>
    <n v="344.48688799148795"/>
    <n v="0"/>
    <x v="3"/>
  </r>
  <r>
    <s v="Refaturamento - Regular"/>
    <x v="2"/>
    <x v="2"/>
    <x v="3"/>
    <x v="2"/>
    <x v="0"/>
    <x v="0"/>
    <x v="1"/>
    <x v="0"/>
    <n v="0"/>
    <n v="0"/>
    <n v="-0.17699999999999999"/>
    <n v="-0.16283999999999998"/>
    <n v="-0.17699999999999999"/>
    <n v="-0.16283999999999998"/>
    <n v="0"/>
    <s v="CATIVO"/>
    <n v="0"/>
    <n v="0"/>
    <n v="27"/>
    <n v="81"/>
    <n v="0"/>
    <n v="641.99"/>
    <n v="430.87"/>
    <m/>
    <n v="747.73459855656426"/>
    <n v="375.70671275609089"/>
    <n v="0"/>
    <n v="-15.191697600000007"/>
    <n v="0"/>
    <n v="-15.907928968187203"/>
    <x v="3"/>
  </r>
  <r>
    <s v="Regular"/>
    <x v="2"/>
    <x v="2"/>
    <x v="3"/>
    <x v="2"/>
    <x v="0"/>
    <x v="0"/>
    <x v="1"/>
    <x v="1"/>
    <n v="0"/>
    <n v="0"/>
    <n v="14.436999999999999"/>
    <n v="13.28204"/>
    <n v="14.436999999999999"/>
    <n v="13.28204"/>
    <n v="0"/>
    <s v="CATIVO"/>
    <n v="0"/>
    <n v="0"/>
    <n v="27"/>
    <n v="81"/>
    <n v="0"/>
    <n v="641.99"/>
    <n v="430.87"/>
    <m/>
    <n v="747.73459855656426"/>
    <n v="375.70671275609089"/>
    <n v="0"/>
    <n v="1239.1103855999991"/>
    <n v="0"/>
    <n v="1297.5297769136632"/>
    <x v="3"/>
  </r>
  <r>
    <s v="Refaturamento - Regular"/>
    <x v="2"/>
    <x v="2"/>
    <x v="3"/>
    <x v="2"/>
    <x v="0"/>
    <x v="0"/>
    <x v="1"/>
    <x v="1"/>
    <n v="0"/>
    <n v="0"/>
    <n v="2.0179999999999998"/>
    <n v="1.85656"/>
    <n v="2.0179999999999998"/>
    <n v="1.85656"/>
    <n v="0"/>
    <s v="CATIVO"/>
    <n v="0"/>
    <n v="0"/>
    <n v="27"/>
    <n v="81"/>
    <n v="0"/>
    <n v="641.99"/>
    <n v="430.87"/>
    <m/>
    <n v="747.73459855656426"/>
    <n v="375.70671275609089"/>
    <n v="0"/>
    <n v="173.2025183999998"/>
    <n v="0"/>
    <n v="181.36836529831481"/>
    <x v="3"/>
  </r>
  <r>
    <s v="Regular"/>
    <x v="2"/>
    <x v="2"/>
    <x v="3"/>
    <x v="2"/>
    <x v="0"/>
    <x v="0"/>
    <x v="1"/>
    <x v="2"/>
    <n v="0"/>
    <n v="0"/>
    <n v="22.21"/>
    <n v="20.433200000000003"/>
    <n v="22.21"/>
    <n v="20.433200000000003"/>
    <n v="0"/>
    <s v="CATIVO"/>
    <n v="0"/>
    <n v="0"/>
    <n v="27"/>
    <n v="81"/>
    <n v="0"/>
    <n v="641.99"/>
    <n v="430.87"/>
    <m/>
    <n v="747.73459855656426"/>
    <n v="375.70671275609089"/>
    <n v="0"/>
    <n v="1906.257647999998"/>
    <n v="0"/>
    <n v="1996.1305219403234"/>
    <x v="3"/>
  </r>
  <r>
    <s v="Regular"/>
    <x v="2"/>
    <x v="2"/>
    <x v="3"/>
    <x v="2"/>
    <x v="0"/>
    <x v="0"/>
    <x v="1"/>
    <x v="3"/>
    <n v="0"/>
    <n v="0"/>
    <n v="3.5760000000000001"/>
    <n v="3.2899200000000004"/>
    <n v="3.5760000000000001"/>
    <n v="3.2899200000000004"/>
    <n v="0"/>
    <s v="CATIVO"/>
    <n v="0"/>
    <n v="0"/>
    <n v="27"/>
    <n v="81"/>
    <n v="0"/>
    <n v="641.99"/>
    <n v="430.87"/>
    <m/>
    <n v="747.73459855656426"/>
    <n v="375.70671275609089"/>
    <n v="0"/>
    <n v="306.92378879999967"/>
    <n v="0"/>
    <n v="321.39409034032406"/>
    <x v="3"/>
  </r>
  <r>
    <s v="Regular"/>
    <x v="2"/>
    <x v="2"/>
    <x v="3"/>
    <x v="2"/>
    <x v="0"/>
    <x v="0"/>
    <x v="1"/>
    <x v="4"/>
    <n v="0"/>
    <n v="0"/>
    <n v="9.1059999999999999"/>
    <n v="8.3775200000000005"/>
    <n v="9.1059999999999999"/>
    <n v="8.3775200000000005"/>
    <n v="0"/>
    <s v="CATIVO"/>
    <n v="0"/>
    <n v="0"/>
    <n v="27"/>
    <n v="81"/>
    <n v="0"/>
    <n v="641.99"/>
    <n v="430.87"/>
    <m/>
    <n v="747.73459855656426"/>
    <n v="375.70671275609089"/>
    <n v="0"/>
    <n v="781.55705279999938"/>
    <n v="0"/>
    <n v="818.4045264650423"/>
    <x v="3"/>
  </r>
  <r>
    <s v="Refaturamento - Regular"/>
    <x v="2"/>
    <x v="2"/>
    <x v="3"/>
    <x v="2"/>
    <x v="0"/>
    <x v="0"/>
    <x v="1"/>
    <x v="4"/>
    <n v="0"/>
    <n v="0"/>
    <n v="0.27900000000000003"/>
    <n v="0.25668000000000002"/>
    <n v="0.27900000000000003"/>
    <n v="0.25668000000000002"/>
    <n v="0"/>
    <s v="CATIVO"/>
    <n v="0"/>
    <n v="0"/>
    <n v="27"/>
    <n v="81"/>
    <n v="0"/>
    <n v="641.99"/>
    <n v="430.87"/>
    <m/>
    <n v="747.73459855656426"/>
    <n v="375.70671275609089"/>
    <n v="0"/>
    <n v="23.946235200000007"/>
    <n v="0"/>
    <n v="25.075210068498471"/>
    <x v="3"/>
  </r>
  <r>
    <s v="Regular"/>
    <x v="2"/>
    <x v="2"/>
    <x v="3"/>
    <x v="2"/>
    <x v="0"/>
    <x v="0"/>
    <x v="1"/>
    <x v="5"/>
    <n v="0"/>
    <n v="0"/>
    <n v="5.4989999999999997"/>
    <n v="5.0590799999999998"/>
    <n v="5.4989999999999997"/>
    <n v="5.0590799999999998"/>
    <n v="0"/>
    <s v="CATIVO"/>
    <n v="0"/>
    <n v="0"/>
    <n v="27"/>
    <n v="81"/>
    <n v="0"/>
    <n v="641.99"/>
    <n v="430.87"/>
    <m/>
    <n v="747.73459855656426"/>
    <n v="375.70671275609089"/>
    <n v="0"/>
    <n v="471.97257119999983"/>
    <n v="0"/>
    <n v="494.22430167266316"/>
    <x v="3"/>
  </r>
  <r>
    <s v="Refaturamento - Regular"/>
    <x v="2"/>
    <x v="2"/>
    <x v="3"/>
    <x v="2"/>
    <x v="0"/>
    <x v="0"/>
    <x v="1"/>
    <x v="5"/>
    <n v="0"/>
    <n v="0"/>
    <n v="0.23400000000000001"/>
    <n v="0.21528000000000003"/>
    <n v="0.23400000000000001"/>
    <n v="0.21528000000000003"/>
    <n v="0"/>
    <s v="CATIVO"/>
    <n v="0"/>
    <n v="0"/>
    <n v="27"/>
    <n v="81"/>
    <n v="0"/>
    <n v="641.99"/>
    <n v="430.87"/>
    <m/>
    <n v="747.73459855656426"/>
    <n v="375.70671275609089"/>
    <n v="0"/>
    <n v="20.083939199999989"/>
    <n v="0"/>
    <n v="21.030821347772889"/>
    <x v="3"/>
  </r>
  <r>
    <s v="Regular"/>
    <x v="2"/>
    <x v="2"/>
    <x v="3"/>
    <x v="2"/>
    <x v="0"/>
    <x v="0"/>
    <x v="1"/>
    <x v="6"/>
    <n v="0"/>
    <n v="0"/>
    <n v="6.6459999999999999"/>
    <n v="6.1143200000000002"/>
    <n v="6.6459999999999999"/>
    <n v="6.1143200000000002"/>
    <n v="0"/>
    <s v="CATIVO"/>
    <n v="0"/>
    <n v="0"/>
    <n v="27"/>
    <n v="81"/>
    <n v="0"/>
    <n v="641.99"/>
    <n v="430.87"/>
    <m/>
    <n v="747.73459855656426"/>
    <n v="375.70671275609089"/>
    <n v="0"/>
    <n v="570.41820479999967"/>
    <n v="0"/>
    <n v="597.31127639871215"/>
    <x v="3"/>
  </r>
  <r>
    <s v="Refaturamento - Regular"/>
    <x v="2"/>
    <x v="2"/>
    <x v="3"/>
    <x v="2"/>
    <x v="0"/>
    <x v="0"/>
    <x v="1"/>
    <x v="6"/>
    <n v="0"/>
    <n v="0"/>
    <n v="1.095"/>
    <n v="1.0074000000000001"/>
    <n v="1.095"/>
    <n v="1.0074000000000001"/>
    <n v="0"/>
    <s v="CATIVO"/>
    <n v="0"/>
    <n v="0"/>
    <n v="27"/>
    <n v="81"/>
    <n v="0"/>
    <n v="641.99"/>
    <n v="430.87"/>
    <m/>
    <n v="747.73459855656426"/>
    <n v="375.70671275609089"/>
    <n v="0"/>
    <n v="93.982535999999897"/>
    <n v="0"/>
    <n v="98.413458870988478"/>
    <x v="3"/>
  </r>
  <r>
    <s v="Regular"/>
    <x v="2"/>
    <x v="2"/>
    <x v="3"/>
    <x v="2"/>
    <x v="0"/>
    <x v="0"/>
    <x v="1"/>
    <x v="7"/>
    <n v="0"/>
    <n v="0"/>
    <n v="14.085000000000001"/>
    <n v="12.958200000000001"/>
    <n v="14.085000000000001"/>
    <n v="12.958200000000001"/>
    <n v="0"/>
    <s v="CATIVO"/>
    <n v="0"/>
    <n v="0"/>
    <n v="27"/>
    <n v="81"/>
    <n v="0"/>
    <n v="641.99"/>
    <n v="430.87"/>
    <m/>
    <n v="747.73459855656426"/>
    <n v="375.70671275609089"/>
    <n v="0"/>
    <n v="1208.8986479999994"/>
    <n v="0"/>
    <n v="1265.8936695870991"/>
    <x v="3"/>
  </r>
  <r>
    <s v="Refaturamento - Regular"/>
    <x v="2"/>
    <x v="2"/>
    <x v="3"/>
    <x v="2"/>
    <x v="0"/>
    <x v="0"/>
    <x v="1"/>
    <x v="7"/>
    <n v="0"/>
    <n v="0"/>
    <n v="1.246"/>
    <n v="1.14632"/>
    <n v="1.246"/>
    <n v="1.14632"/>
    <n v="0"/>
    <s v="CATIVO"/>
    <n v="0"/>
    <n v="0"/>
    <n v="27"/>
    <n v="81"/>
    <n v="0"/>
    <n v="641.99"/>
    <n v="430.87"/>
    <m/>
    <n v="747.73459855656426"/>
    <n v="375.70671275609089"/>
    <n v="0"/>
    <n v="106.94268479999999"/>
    <n v="0"/>
    <n v="111.98462991164547"/>
    <x v="3"/>
  </r>
  <r>
    <s v="Regular"/>
    <x v="2"/>
    <x v="2"/>
    <x v="3"/>
    <x v="2"/>
    <x v="0"/>
    <x v="0"/>
    <x v="1"/>
    <x v="8"/>
    <n v="0"/>
    <n v="0"/>
    <n v="33.988"/>
    <n v="31.26896"/>
    <n v="33.988"/>
    <n v="31.26896"/>
    <n v="0"/>
    <s v="CATIVO"/>
    <n v="0"/>
    <n v="0"/>
    <n v="27"/>
    <n v="81"/>
    <n v="0"/>
    <n v="641.99"/>
    <n v="430.87"/>
    <m/>
    <n v="747.73459855656426"/>
    <n v="375.70671275609089"/>
    <n v="0"/>
    <n v="2917.1492543999998"/>
    <n v="0"/>
    <n v="3054.6818631115616"/>
    <x v="3"/>
  </r>
  <r>
    <s v="Refaturamento - Regular"/>
    <x v="2"/>
    <x v="2"/>
    <x v="3"/>
    <x v="2"/>
    <x v="0"/>
    <x v="0"/>
    <x v="1"/>
    <x v="8"/>
    <n v="0"/>
    <n v="0"/>
    <n v="1.1439999999999999"/>
    <n v="1.0524799999999999"/>
    <n v="1.1439999999999999"/>
    <n v="1.0524799999999999"/>
    <n v="0"/>
    <s v="CATIVO"/>
    <n v="0"/>
    <n v="0"/>
    <n v="27"/>
    <n v="81"/>
    <n v="0"/>
    <n v="641.99"/>
    <n v="430.87"/>
    <m/>
    <n v="747.73459855656426"/>
    <n v="375.70671275609089"/>
    <n v="0"/>
    <n v="98.18814720000006"/>
    <n v="0"/>
    <n v="102.81734881133426"/>
    <x v="3"/>
  </r>
  <r>
    <s v="Regular"/>
    <x v="2"/>
    <x v="2"/>
    <x v="3"/>
    <x v="2"/>
    <x v="0"/>
    <x v="0"/>
    <x v="1"/>
    <x v="9"/>
    <n v="0"/>
    <n v="0"/>
    <n v="29.946000000000002"/>
    <n v="27.550320000000003"/>
    <n v="29.946000000000002"/>
    <n v="27.550320000000003"/>
    <n v="0"/>
    <s v="CATIVO"/>
    <n v="0"/>
    <n v="0"/>
    <n v="27"/>
    <n v="81"/>
    <n v="0"/>
    <n v="641.99"/>
    <n v="430.87"/>
    <m/>
    <n v="747.73459855656426"/>
    <n v="375.70671275609089"/>
    <n v="0"/>
    <n v="2570.2292447999989"/>
    <n v="0"/>
    <n v="2691.4058806855001"/>
    <x v="3"/>
  </r>
  <r>
    <s v="Refaturamento - Regular"/>
    <x v="2"/>
    <x v="2"/>
    <x v="3"/>
    <x v="2"/>
    <x v="0"/>
    <x v="0"/>
    <x v="1"/>
    <x v="9"/>
    <n v="0"/>
    <n v="0"/>
    <n v="1.774"/>
    <n v="1.6320800000000002"/>
    <n v="1.774"/>
    <n v="1.6320800000000002"/>
    <n v="0"/>
    <s v="CATIVO"/>
    <n v="0"/>
    <n v="0"/>
    <n v="27"/>
    <n v="81"/>
    <n v="0"/>
    <n v="641.99"/>
    <n v="430.87"/>
    <m/>
    <n v="747.73459855656426"/>
    <n v="375.70671275609089"/>
    <n v="0"/>
    <n v="152.26029119999981"/>
    <n v="0"/>
    <n v="159.43879090149181"/>
    <x v="3"/>
  </r>
  <r>
    <s v="Regular"/>
    <x v="2"/>
    <x v="2"/>
    <x v="3"/>
    <x v="2"/>
    <x v="0"/>
    <x v="0"/>
    <x v="1"/>
    <x v="10"/>
    <n v="0"/>
    <n v="0"/>
    <n v="30.613"/>
    <n v="28.163959999999999"/>
    <n v="30.613"/>
    <n v="28.163959999999999"/>
    <n v="0"/>
    <s v="CATIVO"/>
    <n v="0"/>
    <n v="0"/>
    <n v="27"/>
    <n v="81"/>
    <n v="0"/>
    <n v="641.99"/>
    <n v="430.87"/>
    <m/>
    <n v="747.73459855656426"/>
    <n v="375.70671275609089"/>
    <n v="0"/>
    <n v="2627.4770544000003"/>
    <n v="0"/>
    <n v="2751.3527090571451"/>
    <x v="3"/>
  </r>
  <r>
    <s v="Refaturamento - Regular"/>
    <x v="2"/>
    <x v="2"/>
    <x v="3"/>
    <x v="2"/>
    <x v="0"/>
    <x v="0"/>
    <x v="1"/>
    <x v="10"/>
    <n v="0"/>
    <n v="0"/>
    <n v="0.89900000000000002"/>
    <n v="0.82708000000000004"/>
    <n v="0.89900000000000002"/>
    <n v="0.82708000000000004"/>
    <n v="0"/>
    <s v="CATIVO"/>
    <n v="0"/>
    <n v="0"/>
    <n v="27"/>
    <n v="81"/>
    <n v="0"/>
    <n v="641.99"/>
    <n v="430.87"/>
    <m/>
    <n v="747.73459855656426"/>
    <n v="375.70671275609089"/>
    <n v="0"/>
    <n v="77.160091199999982"/>
    <n v="0"/>
    <n v="80.797899109606135"/>
    <x v="3"/>
  </r>
  <r>
    <s v="PROJETADO"/>
    <x v="2"/>
    <x v="2"/>
    <x v="3"/>
    <x v="2"/>
    <x v="0"/>
    <x v="0"/>
    <x v="1"/>
    <x v="11"/>
    <n v="0"/>
    <n v="0"/>
    <n v="30.613"/>
    <n v="28.163959999999999"/>
    <n v="30.613"/>
    <n v="28.163959999999999"/>
    <n v="0"/>
    <s v="CATIVO"/>
    <n v="0"/>
    <n v="0"/>
    <n v="27"/>
    <n v="81"/>
    <n v="0"/>
    <n v="641.99"/>
    <n v="430.87"/>
    <m/>
    <n v="747.73459855656426"/>
    <n v="375.70671275609089"/>
    <n v="0"/>
    <n v="2627.4770544000003"/>
    <n v="0"/>
    <n v="2751.3527090571451"/>
    <x v="3"/>
  </r>
  <r>
    <s v="PROJETADO"/>
    <x v="2"/>
    <x v="2"/>
    <x v="3"/>
    <x v="2"/>
    <x v="0"/>
    <x v="0"/>
    <x v="1"/>
    <x v="11"/>
    <n v="0"/>
    <n v="0"/>
    <n v="0.89900000000000002"/>
    <n v="0.82708000000000004"/>
    <n v="0.89900000000000002"/>
    <n v="0.82708000000000004"/>
    <n v="0"/>
    <s v="CATIVO"/>
    <n v="0"/>
    <n v="0"/>
    <n v="27"/>
    <n v="81"/>
    <n v="0"/>
    <n v="641.99"/>
    <n v="430.87"/>
    <m/>
    <n v="747.73459855656426"/>
    <n v="375.70671275609089"/>
    <n v="0"/>
    <n v="77.160091199999982"/>
    <n v="0"/>
    <n v="80.797899109606135"/>
    <x v="3"/>
  </r>
  <r>
    <s v="Regular"/>
    <x v="2"/>
    <x v="2"/>
    <x v="3"/>
    <x v="1"/>
    <x v="0"/>
    <x v="0"/>
    <x v="0"/>
    <x v="0"/>
    <n v="0"/>
    <n v="0"/>
    <n v="1858.81"/>
    <n v="1710.1052"/>
    <n v="1858.81"/>
    <n v="1710.1052"/>
    <n v="0"/>
    <s v="CATIVO"/>
    <n v="0"/>
    <n v="0"/>
    <n v="28"/>
    <n v="82"/>
    <n v="0"/>
    <n v="84.45"/>
    <n v="256.38"/>
    <m/>
    <n v="87.520205040180812"/>
    <n v="230.84299908458948"/>
    <n v="0"/>
    <n v="50683.056983999995"/>
    <n v="0"/>
    <n v="47342.136596733137"/>
    <x v="3"/>
  </r>
  <r>
    <s v="Sistema de Compensação"/>
    <x v="2"/>
    <x v="2"/>
    <x v="3"/>
    <x v="1"/>
    <x v="0"/>
    <x v="0"/>
    <x v="0"/>
    <x v="0"/>
    <n v="0"/>
    <n v="0"/>
    <n v="25.309000000000001"/>
    <n v="23.284280000000003"/>
    <n v="25.309000000000001"/>
    <n v="23.284280000000003"/>
    <n v="0"/>
    <s v="CATIVO"/>
    <n v="0"/>
    <n v="0"/>
    <n v="28"/>
    <n v="82"/>
    <n v="0"/>
    <n v="84.45"/>
    <n v="256.38"/>
    <m/>
    <n v="87.520205040180812"/>
    <n v="230.84299908458948"/>
    <n v="0"/>
    <n v="690.08531759999948"/>
    <n v="0"/>
    <n v="644.59634665550448"/>
    <x v="3"/>
  </r>
  <r>
    <s v="Regular"/>
    <x v="2"/>
    <x v="2"/>
    <x v="3"/>
    <x v="1"/>
    <x v="0"/>
    <x v="0"/>
    <x v="0"/>
    <x v="1"/>
    <n v="0"/>
    <n v="0"/>
    <n v="2014.8430000000001"/>
    <n v="1853.6555600000002"/>
    <n v="2014.8430000000001"/>
    <n v="1853.6555600000002"/>
    <n v="0"/>
    <s v="CATIVO"/>
    <n v="0"/>
    <n v="0"/>
    <n v="28"/>
    <n v="82"/>
    <n v="0"/>
    <n v="84.45"/>
    <n v="256.38"/>
    <m/>
    <n v="87.520205040180812"/>
    <n v="230.84299908458948"/>
    <n v="0"/>
    <n v="54937.51517519998"/>
    <n v="0"/>
    <n v="51316.149863069135"/>
    <x v="3"/>
  </r>
  <r>
    <s v="Sistema de Compensação"/>
    <x v="2"/>
    <x v="2"/>
    <x v="3"/>
    <x v="1"/>
    <x v="0"/>
    <x v="0"/>
    <x v="0"/>
    <x v="1"/>
    <n v="0"/>
    <n v="0"/>
    <n v="24.013000000000002"/>
    <n v="22.091960000000004"/>
    <n v="24.013000000000002"/>
    <n v="22.091960000000004"/>
    <n v="0"/>
    <s v="CATIVO"/>
    <n v="0"/>
    <n v="0"/>
    <n v="28"/>
    <n v="82"/>
    <n v="0"/>
    <n v="84.45"/>
    <n v="256.38"/>
    <m/>
    <n v="87.520205040180812"/>
    <n v="230.84299908458948"/>
    <n v="0"/>
    <n v="654.74806319999925"/>
    <n v="0"/>
    <n v="611.58844965184801"/>
    <x v="3"/>
  </r>
  <r>
    <s v="Regular"/>
    <x v="2"/>
    <x v="2"/>
    <x v="3"/>
    <x v="1"/>
    <x v="0"/>
    <x v="0"/>
    <x v="0"/>
    <x v="2"/>
    <n v="0"/>
    <n v="0"/>
    <n v="1734.3440000000001"/>
    <n v="1595.5964800000002"/>
    <n v="1734.3440000000001"/>
    <n v="1595.5964800000002"/>
    <n v="0"/>
    <s v="CATIVO"/>
    <n v="0"/>
    <n v="0"/>
    <n v="28"/>
    <n v="82"/>
    <n v="0"/>
    <n v="84.45"/>
    <n v="256.38"/>
    <m/>
    <n v="87.520205040180812"/>
    <n v="230.84299908458948"/>
    <n v="0"/>
    <n v="47289.317241599958"/>
    <n v="0"/>
    <n v="44172.105031565618"/>
    <x v="3"/>
  </r>
  <r>
    <s v="Refaturamento - Regular"/>
    <x v="2"/>
    <x v="2"/>
    <x v="3"/>
    <x v="1"/>
    <x v="0"/>
    <x v="0"/>
    <x v="0"/>
    <x v="2"/>
    <n v="0"/>
    <n v="0"/>
    <n v="12.28"/>
    <n v="11.297599999999999"/>
    <n v="12.28"/>
    <n v="11.297599999999999"/>
    <n v="0"/>
    <s v="CATIVO"/>
    <n v="0"/>
    <n v="0"/>
    <n v="28"/>
    <n v="82"/>
    <n v="0"/>
    <n v="84.45"/>
    <n v="256.38"/>
    <m/>
    <n v="87.520205040180812"/>
    <n v="230.84299908458948"/>
    <n v="0"/>
    <n v="334.83139200000005"/>
    <n v="0"/>
    <n v="312.76001173217435"/>
    <x v="3"/>
  </r>
  <r>
    <s v="Sistema de Compensação"/>
    <x v="2"/>
    <x v="2"/>
    <x v="3"/>
    <x v="1"/>
    <x v="0"/>
    <x v="0"/>
    <x v="0"/>
    <x v="2"/>
    <n v="0"/>
    <n v="0"/>
    <n v="37.652000000000001"/>
    <n v="34.63984"/>
    <n v="37.652000000000001"/>
    <n v="34.63984"/>
    <n v="0"/>
    <s v="CATIVO"/>
    <n v="0"/>
    <n v="0"/>
    <n v="28"/>
    <n v="82"/>
    <n v="0"/>
    <n v="84.45"/>
    <n v="256.38"/>
    <m/>
    <n v="87.520205040180812"/>
    <n v="230.84299908458948"/>
    <n v="0"/>
    <n v="1026.6344928000005"/>
    <n v="0"/>
    <n v="958.96090893646851"/>
    <x v="3"/>
  </r>
  <r>
    <s v="Regular"/>
    <x v="2"/>
    <x v="2"/>
    <x v="3"/>
    <x v="1"/>
    <x v="0"/>
    <x v="0"/>
    <x v="0"/>
    <x v="3"/>
    <n v="0"/>
    <n v="0"/>
    <n v="1598.2159999999999"/>
    <n v="1470.3587199999999"/>
    <n v="1598.2159999999999"/>
    <n v="1470.3587199999999"/>
    <n v="0"/>
    <s v="CATIVO"/>
    <n v="0"/>
    <n v="0"/>
    <n v="28"/>
    <n v="82"/>
    <n v="0"/>
    <n v="84.45"/>
    <n v="256.38"/>
    <m/>
    <n v="87.520205040180812"/>
    <n v="230.84299908458948"/>
    <n v="0"/>
    <n v="43577.596742399983"/>
    <n v="0"/>
    <n v="40705.053331477895"/>
    <x v="3"/>
  </r>
  <r>
    <s v="Refaturamento - Regular"/>
    <x v="2"/>
    <x v="2"/>
    <x v="3"/>
    <x v="1"/>
    <x v="0"/>
    <x v="0"/>
    <x v="0"/>
    <x v="3"/>
    <n v="0"/>
    <n v="0"/>
    <n v="9.2140000000000004"/>
    <n v="8.4768800000000013"/>
    <n v="9.2140000000000004"/>
    <n v="8.4768800000000013"/>
    <n v="0"/>
    <s v="CATIVO"/>
    <n v="0"/>
    <n v="0"/>
    <n v="28"/>
    <n v="82"/>
    <n v="0"/>
    <n v="84.45"/>
    <n v="256.38"/>
    <m/>
    <n v="87.520205040180812"/>
    <n v="230.84299908458948"/>
    <n v="0"/>
    <n v="251.23260959999968"/>
    <n v="0"/>
    <n v="234.67188502445038"/>
    <x v="3"/>
  </r>
  <r>
    <s v="Sistema de Compensação"/>
    <x v="2"/>
    <x v="2"/>
    <x v="3"/>
    <x v="1"/>
    <x v="0"/>
    <x v="0"/>
    <x v="0"/>
    <x v="3"/>
    <n v="0"/>
    <n v="0"/>
    <n v="39.344000000000001"/>
    <n v="36.196480000000001"/>
    <n v="39.344000000000001"/>
    <n v="36.196480000000001"/>
    <n v="0"/>
    <s v="CATIVO"/>
    <n v="0"/>
    <n v="0"/>
    <n v="28"/>
    <n v="82"/>
    <n v="0"/>
    <n v="84.45"/>
    <n v="256.38"/>
    <m/>
    <n v="87.520205040180812"/>
    <n v="230.84299908458948"/>
    <n v="0"/>
    <n v="1072.7692416"/>
    <n v="0"/>
    <n v="1002.0545522467969"/>
    <x v="3"/>
  </r>
  <r>
    <s v="Regular"/>
    <x v="2"/>
    <x v="2"/>
    <x v="3"/>
    <x v="1"/>
    <x v="0"/>
    <x v="0"/>
    <x v="0"/>
    <x v="4"/>
    <n v="0"/>
    <n v="0"/>
    <n v="1710.1890000000001"/>
    <n v="1573.3738800000001"/>
    <n v="1710.1890000000001"/>
    <n v="1573.3738800000001"/>
    <n v="0"/>
    <s v="CATIVO"/>
    <n v="0"/>
    <n v="0"/>
    <n v="28"/>
    <n v="82"/>
    <n v="0"/>
    <n v="84.45"/>
    <n v="256.38"/>
    <m/>
    <n v="87.520205040180812"/>
    <n v="230.84299908458948"/>
    <n v="0"/>
    <n v="46630.697349599992"/>
    <n v="0"/>
    <n v="43556.89997591493"/>
    <x v="3"/>
  </r>
  <r>
    <s v="Refaturamento - Regular"/>
    <x v="2"/>
    <x v="2"/>
    <x v="3"/>
    <x v="1"/>
    <x v="0"/>
    <x v="0"/>
    <x v="0"/>
    <x v="4"/>
    <n v="0"/>
    <n v="0"/>
    <n v="19.030999999999999"/>
    <n v="17.508520000000001"/>
    <n v="19.030999999999999"/>
    <n v="17.508520000000001"/>
    <n v="0"/>
    <s v="CATIVO"/>
    <n v="0"/>
    <n v="0"/>
    <n v="28"/>
    <n v="82"/>
    <n v="0"/>
    <n v="84.45"/>
    <n v="256.38"/>
    <m/>
    <n v="87.520205040180812"/>
    <n v="230.84299908458948"/>
    <n v="0"/>
    <n v="518.90685839999935"/>
    <n v="0"/>
    <n v="484.70161101587968"/>
    <x v="3"/>
  </r>
  <r>
    <s v="Sistema de Compensação"/>
    <x v="2"/>
    <x v="2"/>
    <x v="3"/>
    <x v="1"/>
    <x v="0"/>
    <x v="0"/>
    <x v="0"/>
    <x v="4"/>
    <n v="0"/>
    <n v="0"/>
    <n v="39.936999999999998"/>
    <n v="36.742040000000003"/>
    <n v="39.936999999999998"/>
    <n v="36.742040000000003"/>
    <n v="0"/>
    <s v="CATIVO"/>
    <n v="0"/>
    <n v="0"/>
    <n v="28"/>
    <n v="82"/>
    <n v="0"/>
    <n v="84.45"/>
    <n v="256.38"/>
    <m/>
    <n v="87.520205040180812"/>
    <n v="230.84299908458948"/>
    <n v="0"/>
    <n v="1088.9382167999981"/>
    <n v="0"/>
    <n v="1017.1577026504743"/>
    <x v="3"/>
  </r>
  <r>
    <s v="Regular"/>
    <x v="2"/>
    <x v="2"/>
    <x v="3"/>
    <x v="1"/>
    <x v="0"/>
    <x v="0"/>
    <x v="0"/>
    <x v="5"/>
    <n v="0"/>
    <n v="0"/>
    <n v="2112.779"/>
    <n v="1943.7566800000002"/>
    <n v="2112.779"/>
    <n v="1943.7566800000002"/>
    <n v="0"/>
    <s v="CATIVO"/>
    <n v="0"/>
    <n v="0"/>
    <n v="28"/>
    <n v="82"/>
    <n v="0"/>
    <n v="84.45"/>
    <n v="256.38"/>
    <m/>
    <n v="87.520205040180812"/>
    <n v="230.84299908458948"/>
    <n v="0"/>
    <n v="57607.877325599933"/>
    <n v="0"/>
    <n v="53810.487363802182"/>
    <x v="3"/>
  </r>
  <r>
    <s v="Refaturamento - Regular"/>
    <x v="2"/>
    <x v="2"/>
    <x v="3"/>
    <x v="1"/>
    <x v="0"/>
    <x v="0"/>
    <x v="0"/>
    <x v="5"/>
    <n v="0"/>
    <n v="0"/>
    <n v="16.46"/>
    <n v="15.143200000000002"/>
    <n v="16.46"/>
    <n v="15.143200000000002"/>
    <n v="0"/>
    <s v="CATIVO"/>
    <n v="0"/>
    <n v="0"/>
    <n v="28"/>
    <n v="82"/>
    <n v="0"/>
    <n v="84.45"/>
    <n v="256.38"/>
    <m/>
    <n v="87.520205040180812"/>
    <n v="230.84299908458948"/>
    <n v="0"/>
    <n v="448.80494399999964"/>
    <n v="0"/>
    <n v="419.22066719149711"/>
    <x v="3"/>
  </r>
  <r>
    <s v="Sistema de Compensação"/>
    <x v="2"/>
    <x v="2"/>
    <x v="3"/>
    <x v="1"/>
    <x v="0"/>
    <x v="0"/>
    <x v="0"/>
    <x v="5"/>
    <n v="0"/>
    <n v="0"/>
    <n v="54.99"/>
    <n v="50.590800000000002"/>
    <n v="54.99"/>
    <n v="50.590800000000002"/>
    <n v="0"/>
    <s v="CATIVO"/>
    <n v="0"/>
    <n v="0"/>
    <n v="28"/>
    <n v="82"/>
    <n v="0"/>
    <n v="84.45"/>
    <n v="256.38"/>
    <m/>
    <n v="87.520205040180812"/>
    <n v="230.84299908458948"/>
    <n v="0"/>
    <n v="1499.379336"/>
    <n v="0"/>
    <n v="1400.5434075856897"/>
    <x v="3"/>
  </r>
  <r>
    <s v="Regular"/>
    <x v="2"/>
    <x v="2"/>
    <x v="3"/>
    <x v="1"/>
    <x v="0"/>
    <x v="0"/>
    <x v="0"/>
    <x v="6"/>
    <n v="0"/>
    <n v="0"/>
    <n v="2340.3690000000001"/>
    <n v="2153.1394800000003"/>
    <n v="2340.3690000000001"/>
    <n v="2153.1394800000003"/>
    <n v="0"/>
    <s v="CATIVO"/>
    <n v="0"/>
    <n v="0"/>
    <n v="28"/>
    <n v="82"/>
    <n v="0"/>
    <n v="84.45"/>
    <n v="256.38"/>
    <m/>
    <n v="87.520205040180812"/>
    <n v="230.84299908458948"/>
    <n v="0"/>
    <n v="63813.437301599959"/>
    <n v="0"/>
    <n v="59606.989893942722"/>
    <x v="3"/>
  </r>
  <r>
    <s v="Refaturamento - Regular"/>
    <x v="2"/>
    <x v="2"/>
    <x v="3"/>
    <x v="1"/>
    <x v="0"/>
    <x v="0"/>
    <x v="0"/>
    <x v="6"/>
    <n v="0"/>
    <n v="0"/>
    <n v="35.110999999999997"/>
    <n v="32.302120000000002"/>
    <n v="35.110999999999997"/>
    <n v="32.302120000000002"/>
    <n v="0"/>
    <s v="CATIVO"/>
    <n v="0"/>
    <n v="0"/>
    <n v="28"/>
    <n v="82"/>
    <n v="0"/>
    <n v="84.45"/>
    <n v="256.38"/>
    <m/>
    <n v="87.520205040180812"/>
    <n v="230.84299908458948"/>
    <n v="0"/>
    <n v="957.35057039999822"/>
    <n v="0"/>
    <n v="894.24403680198316"/>
    <x v="3"/>
  </r>
  <r>
    <s v="Sistema de Compensação"/>
    <x v="2"/>
    <x v="2"/>
    <x v="3"/>
    <x v="1"/>
    <x v="0"/>
    <x v="0"/>
    <x v="0"/>
    <x v="6"/>
    <n v="0"/>
    <n v="0"/>
    <n v="59.365000000000002"/>
    <n v="54.615800000000007"/>
    <n v="59.365000000000002"/>
    <n v="54.615800000000007"/>
    <n v="0"/>
    <s v="CATIVO"/>
    <n v="0"/>
    <n v="0"/>
    <n v="28"/>
    <n v="82"/>
    <n v="0"/>
    <n v="84.45"/>
    <n v="256.38"/>
    <m/>
    <n v="87.520205040180812"/>
    <n v="230.84299908458948"/>
    <n v="0"/>
    <n v="1618.6698359999982"/>
    <n v="0"/>
    <n v="1511.9705290293575"/>
    <x v="3"/>
  </r>
  <r>
    <s v="Regular"/>
    <x v="2"/>
    <x v="2"/>
    <x v="3"/>
    <x v="1"/>
    <x v="0"/>
    <x v="0"/>
    <x v="0"/>
    <x v="7"/>
    <n v="0"/>
    <n v="0"/>
    <n v="1884.789"/>
    <n v="1734.0058800000002"/>
    <n v="1884.789"/>
    <n v="1734.0058800000002"/>
    <n v="0"/>
    <s v="CATIVO"/>
    <n v="0"/>
    <n v="0"/>
    <n v="28"/>
    <n v="82"/>
    <n v="0"/>
    <n v="84.45"/>
    <n v="256.38"/>
    <m/>
    <n v="87.520205040180812"/>
    <n v="230.84299908458948"/>
    <n v="0"/>
    <n v="51391.41078959994"/>
    <n v="0"/>
    <n v="48003.797211129684"/>
    <x v="3"/>
  </r>
  <r>
    <s v="Refaturamento - Regular"/>
    <x v="2"/>
    <x v="2"/>
    <x v="3"/>
    <x v="1"/>
    <x v="0"/>
    <x v="0"/>
    <x v="0"/>
    <x v="7"/>
    <n v="0"/>
    <n v="0"/>
    <n v="27.236000000000001"/>
    <n v="25.057120000000001"/>
    <n v="27.236000000000001"/>
    <n v="25.057120000000001"/>
    <n v="0"/>
    <s v="CATIVO"/>
    <n v="0"/>
    <n v="0"/>
    <n v="28"/>
    <n v="82"/>
    <n v="0"/>
    <n v="84.45"/>
    <n v="256.38"/>
    <m/>
    <n v="87.520205040180812"/>
    <n v="230.84299908458948"/>
    <n v="0"/>
    <n v="742.62767039999983"/>
    <n v="0"/>
    <n v="693.67521820337925"/>
    <x v="3"/>
  </r>
  <r>
    <s v="Sistema de Compensação"/>
    <x v="2"/>
    <x v="2"/>
    <x v="3"/>
    <x v="1"/>
    <x v="0"/>
    <x v="0"/>
    <x v="0"/>
    <x v="7"/>
    <n v="0"/>
    <n v="0"/>
    <n v="81.884"/>
    <n v="75.333280000000002"/>
    <n v="81.884"/>
    <n v="75.333280000000002"/>
    <n v="0"/>
    <s v="CATIVO"/>
    <n v="0"/>
    <n v="0"/>
    <n v="28"/>
    <n v="82"/>
    <n v="0"/>
    <n v="84.45"/>
    <n v="256.38"/>
    <m/>
    <n v="87.520205040180812"/>
    <n v="230.84299908458948"/>
    <n v="0"/>
    <n v="2232.6818975999995"/>
    <n v="0"/>
    <n v="2085.5082085242148"/>
    <x v="3"/>
  </r>
  <r>
    <s v="Regular"/>
    <x v="2"/>
    <x v="2"/>
    <x v="3"/>
    <x v="1"/>
    <x v="0"/>
    <x v="0"/>
    <x v="0"/>
    <x v="8"/>
    <n v="0"/>
    <n v="0"/>
    <n v="1796.68"/>
    <n v="1652.9456000000002"/>
    <n v="1796.68"/>
    <n v="1652.9456000000002"/>
    <n v="0"/>
    <s v="CATIVO"/>
    <n v="0"/>
    <n v="0"/>
    <n v="28"/>
    <n v="82"/>
    <n v="0"/>
    <n v="84.45"/>
    <n v="256.38"/>
    <m/>
    <n v="87.520205040180812"/>
    <n v="230.84299908458948"/>
    <n v="0"/>
    <n v="48988.995551999942"/>
    <n v="0"/>
    <n v="45759.744126951322"/>
    <x v="3"/>
  </r>
  <r>
    <s v="Refaturamento - Regular"/>
    <x v="2"/>
    <x v="2"/>
    <x v="3"/>
    <x v="1"/>
    <x v="0"/>
    <x v="0"/>
    <x v="0"/>
    <x v="8"/>
    <n v="0"/>
    <n v="0"/>
    <n v="25.707999999999998"/>
    <n v="23.65136"/>
    <n v="25.707999999999998"/>
    <n v="23.65136"/>
    <n v="0"/>
    <s v="CATIVO"/>
    <n v="0"/>
    <n v="0"/>
    <n v="28"/>
    <n v="82"/>
    <n v="0"/>
    <n v="84.45"/>
    <n v="256.38"/>
    <m/>
    <n v="87.520205040180812"/>
    <n v="230.84299908458948"/>
    <n v="0"/>
    <n v="700.96461119999935"/>
    <n v="0"/>
    <n v="654.75850013116701"/>
    <x v="3"/>
  </r>
  <r>
    <s v="Sistema de Compensação"/>
    <x v="2"/>
    <x v="2"/>
    <x v="3"/>
    <x v="1"/>
    <x v="0"/>
    <x v="0"/>
    <x v="0"/>
    <x v="8"/>
    <n v="0"/>
    <n v="0"/>
    <n v="62.497999999999998"/>
    <n v="57.498159999999999"/>
    <n v="62.497999999999998"/>
    <n v="57.498159999999999"/>
    <n v="0"/>
    <s v="CATIVO"/>
    <n v="0"/>
    <n v="0"/>
    <n v="28"/>
    <n v="82"/>
    <n v="0"/>
    <n v="84.45"/>
    <n v="256.38"/>
    <m/>
    <n v="87.520205040180812"/>
    <n v="230.84299908458948"/>
    <n v="0"/>
    <n v="1704.0954671999998"/>
    <n v="0"/>
    <n v="1591.7650825111912"/>
    <x v="3"/>
  </r>
  <r>
    <s v="Regular"/>
    <x v="2"/>
    <x v="2"/>
    <x v="3"/>
    <x v="1"/>
    <x v="0"/>
    <x v="0"/>
    <x v="0"/>
    <x v="9"/>
    <n v="0"/>
    <n v="0"/>
    <n v="1713.537"/>
    <n v="1576.4540400000001"/>
    <n v="1713.537"/>
    <n v="1576.4540400000001"/>
    <n v="0"/>
    <s v="CATIVO"/>
    <n v="0"/>
    <n v="0"/>
    <n v="28"/>
    <n v="82"/>
    <n v="0"/>
    <n v="84.45"/>
    <n v="256.38"/>
    <m/>
    <n v="87.520205040180812"/>
    <n v="230.84299908458948"/>
    <n v="0"/>
    <n v="46721.985256799991"/>
    <n v="0"/>
    <n v="43642.170376507704"/>
    <x v="3"/>
  </r>
  <r>
    <s v="Refaturamento - Regular"/>
    <x v="2"/>
    <x v="2"/>
    <x v="3"/>
    <x v="1"/>
    <x v="0"/>
    <x v="0"/>
    <x v="0"/>
    <x v="9"/>
    <n v="0"/>
    <n v="0"/>
    <n v="47.707999999999998"/>
    <n v="43.891359999999999"/>
    <n v="47.707999999999998"/>
    <n v="43.891359999999999"/>
    <n v="0"/>
    <s v="CATIVO"/>
    <n v="0"/>
    <n v="0"/>
    <n v="28"/>
    <n v="82"/>
    <n v="0"/>
    <n v="84.45"/>
    <n v="256.38"/>
    <m/>
    <n v="87.520205040180812"/>
    <n v="230.84299908458948"/>
    <n v="0"/>
    <n v="1300.8254112"/>
    <n v="0"/>
    <n v="1215.0777393907633"/>
    <x v="3"/>
  </r>
  <r>
    <s v="Sistema de Compensação"/>
    <x v="2"/>
    <x v="2"/>
    <x v="3"/>
    <x v="1"/>
    <x v="0"/>
    <x v="0"/>
    <x v="0"/>
    <x v="9"/>
    <n v="0"/>
    <n v="0"/>
    <n v="226.25800000000001"/>
    <n v="208.15736000000001"/>
    <n v="226.25800000000001"/>
    <n v="208.15736000000001"/>
    <n v="0"/>
    <s v="CATIVO"/>
    <n v="0"/>
    <n v="0"/>
    <n v="28"/>
    <n v="82"/>
    <n v="0"/>
    <n v="84.45"/>
    <n v="256.38"/>
    <m/>
    <n v="87.520205040180812"/>
    <n v="230.84299908458948"/>
    <n v="0"/>
    <n v="6169.2411311999995"/>
    <n v="0"/>
    <n v="5762.5777471089814"/>
    <x v="3"/>
  </r>
  <r>
    <s v="Regular"/>
    <x v="2"/>
    <x v="2"/>
    <x v="3"/>
    <x v="1"/>
    <x v="0"/>
    <x v="0"/>
    <x v="0"/>
    <x v="10"/>
    <n v="0"/>
    <n v="0"/>
    <n v="1814.5129999999999"/>
    <n v="1669.35196"/>
    <n v="1814.5129999999999"/>
    <n v="1669.35196"/>
    <n v="0"/>
    <s v="CATIVO"/>
    <n v="0"/>
    <n v="0"/>
    <n v="28"/>
    <n v="82"/>
    <n v="0"/>
    <n v="84.45"/>
    <n v="256.38"/>
    <m/>
    <n v="87.520205040180812"/>
    <n v="230.84299908458948"/>
    <n v="0"/>
    <n v="49475.23726319999"/>
    <n v="0"/>
    <n v="46213.933808483933"/>
    <x v="3"/>
  </r>
  <r>
    <s v="Refaturamento - Regular"/>
    <x v="2"/>
    <x v="2"/>
    <x v="3"/>
    <x v="1"/>
    <x v="0"/>
    <x v="0"/>
    <x v="0"/>
    <x v="10"/>
    <n v="0"/>
    <n v="0"/>
    <n v="48.156999999999996"/>
    <n v="44.30444"/>
    <n v="48.156999999999996"/>
    <n v="44.30444"/>
    <n v="0"/>
    <s v="CATIVO"/>
    <n v="0"/>
    <n v="0"/>
    <n v="28"/>
    <n v="82"/>
    <n v="0"/>
    <n v="84.45"/>
    <n v="256.38"/>
    <m/>
    <n v="87.520205040180812"/>
    <n v="230.84299908458948"/>
    <n v="0"/>
    <n v="1313.068024799999"/>
    <n v="0"/>
    <n v="1226.513345682924"/>
    <x v="3"/>
  </r>
  <r>
    <s v="Sistema de Compensação"/>
    <x v="2"/>
    <x v="2"/>
    <x v="3"/>
    <x v="1"/>
    <x v="0"/>
    <x v="0"/>
    <x v="0"/>
    <x v="10"/>
    <n v="0"/>
    <n v="0"/>
    <n v="251.316"/>
    <n v="231.21072000000001"/>
    <n v="251.316"/>
    <n v="231.21072000000001"/>
    <n v="0"/>
    <s v="CATIVO"/>
    <n v="0"/>
    <n v="0"/>
    <n v="28"/>
    <n v="82"/>
    <n v="0"/>
    <n v="84.45"/>
    <n v="256.38"/>
    <m/>
    <n v="87.520205040180812"/>
    <n v="230.84299908458948"/>
    <n v="0"/>
    <n v="6852.4825823999981"/>
    <n v="0"/>
    <n v="6400.7813606256595"/>
    <x v="3"/>
  </r>
  <r>
    <s v="PROJETADO"/>
    <x v="2"/>
    <x v="2"/>
    <x v="3"/>
    <x v="1"/>
    <x v="0"/>
    <x v="0"/>
    <x v="0"/>
    <x v="11"/>
    <n v="0"/>
    <n v="0"/>
    <n v="1814.5129999999999"/>
    <n v="1669.35196"/>
    <n v="1814.5129999999999"/>
    <n v="1669.35196"/>
    <n v="0"/>
    <s v="CATIVO"/>
    <n v="0"/>
    <n v="0"/>
    <n v="28"/>
    <n v="82"/>
    <n v="0"/>
    <n v="84.45"/>
    <n v="256.38"/>
    <m/>
    <n v="87.520205040180812"/>
    <n v="230.84299908458948"/>
    <n v="0"/>
    <n v="49475.23726319999"/>
    <n v="0"/>
    <n v="46213.933808483933"/>
    <x v="3"/>
  </r>
  <r>
    <s v="PROJETADO"/>
    <x v="2"/>
    <x v="2"/>
    <x v="3"/>
    <x v="1"/>
    <x v="0"/>
    <x v="0"/>
    <x v="0"/>
    <x v="11"/>
    <n v="0"/>
    <n v="0"/>
    <n v="48.156999999999996"/>
    <n v="44.30444"/>
    <n v="48.156999999999996"/>
    <n v="44.30444"/>
    <n v="0"/>
    <s v="CATIVO"/>
    <n v="0"/>
    <n v="0"/>
    <n v="28"/>
    <n v="82"/>
    <n v="0"/>
    <n v="84.45"/>
    <n v="256.38"/>
    <m/>
    <n v="87.520205040180812"/>
    <n v="230.84299908458948"/>
    <n v="0"/>
    <n v="1313.068024799999"/>
    <n v="0"/>
    <n v="1226.513345682924"/>
    <x v="3"/>
  </r>
  <r>
    <s v="PROJETADO"/>
    <x v="2"/>
    <x v="2"/>
    <x v="3"/>
    <x v="1"/>
    <x v="0"/>
    <x v="0"/>
    <x v="0"/>
    <x v="11"/>
    <n v="0"/>
    <n v="0"/>
    <n v="251.316"/>
    <n v="231.21072000000001"/>
    <n v="251.316"/>
    <n v="231.21072000000001"/>
    <n v="0"/>
    <s v="CATIVO"/>
    <n v="0"/>
    <n v="0"/>
    <n v="28"/>
    <n v="82"/>
    <n v="0"/>
    <n v="84.45"/>
    <n v="256.38"/>
    <m/>
    <n v="87.520205040180812"/>
    <n v="230.84299908458948"/>
    <n v="0"/>
    <n v="6852.4825823999981"/>
    <n v="0"/>
    <n v="6400.7813606256595"/>
    <x v="3"/>
  </r>
  <r>
    <s v="Regular"/>
    <x v="2"/>
    <x v="2"/>
    <x v="3"/>
    <x v="1"/>
    <x v="0"/>
    <x v="0"/>
    <x v="2"/>
    <x v="0"/>
    <n v="7088"/>
    <n v="6520.96"/>
    <n v="0"/>
    <n v="0"/>
    <n v="0"/>
    <n v="0"/>
    <n v="53"/>
    <s v="CATIVO"/>
    <n v="0"/>
    <n v="26"/>
    <n v="0"/>
    <n v="0"/>
    <n v="8.81"/>
    <n v="0"/>
    <n v="0"/>
    <n v="11.452356648653195"/>
    <m/>
    <m/>
    <n v="4995.6224000000002"/>
    <n v="0"/>
    <n v="6493.9443140523072"/>
    <n v="0"/>
    <x v="3"/>
  </r>
  <r>
    <s v="Sistema de Compensação"/>
    <x v="2"/>
    <x v="2"/>
    <x v="3"/>
    <x v="1"/>
    <x v="0"/>
    <x v="0"/>
    <x v="2"/>
    <x v="0"/>
    <n v="872"/>
    <n v="802.24"/>
    <n v="0"/>
    <n v="0"/>
    <n v="0"/>
    <n v="0"/>
    <n v="3"/>
    <s v="CATIVO"/>
    <n v="0"/>
    <n v="26"/>
    <n v="0"/>
    <n v="0"/>
    <n v="8.81"/>
    <n v="0"/>
    <n v="0"/>
    <n v="11.452356648653195"/>
    <m/>
    <m/>
    <n v="614.5856"/>
    <n v="0"/>
    <n v="798.91639981004676"/>
    <n v="0"/>
    <x v="3"/>
  </r>
  <r>
    <s v="Regular"/>
    <x v="2"/>
    <x v="2"/>
    <x v="3"/>
    <x v="1"/>
    <x v="0"/>
    <x v="0"/>
    <x v="2"/>
    <x v="1"/>
    <n v="7445"/>
    <n v="6849.4000000000005"/>
    <n v="0"/>
    <n v="0"/>
    <n v="0"/>
    <n v="0"/>
    <n v="55"/>
    <s v="CATIVO"/>
    <n v="0"/>
    <n v="26"/>
    <n v="0"/>
    <n v="0"/>
    <n v="8.81"/>
    <n v="0"/>
    <n v="0"/>
    <n v="11.452356648653195"/>
    <m/>
    <m/>
    <n v="5247.2359999999953"/>
    <n v="0"/>
    <n v="6821.0236199378369"/>
    <n v="0"/>
    <x v="3"/>
  </r>
  <r>
    <s v="Sistema de Compensação"/>
    <x v="2"/>
    <x v="2"/>
    <x v="3"/>
    <x v="1"/>
    <x v="0"/>
    <x v="0"/>
    <x v="2"/>
    <x v="1"/>
    <n v="872"/>
    <n v="802.24"/>
    <n v="0"/>
    <n v="0"/>
    <n v="0"/>
    <n v="0"/>
    <n v="3"/>
    <s v="CATIVO"/>
    <n v="0"/>
    <n v="26"/>
    <n v="0"/>
    <n v="0"/>
    <n v="8.81"/>
    <n v="0"/>
    <n v="0"/>
    <n v="11.452356648653195"/>
    <m/>
    <m/>
    <n v="614.5856"/>
    <n v="0"/>
    <n v="798.91639981004676"/>
    <n v="0"/>
    <x v="3"/>
  </r>
  <r>
    <s v="Regular"/>
    <x v="2"/>
    <x v="2"/>
    <x v="3"/>
    <x v="1"/>
    <x v="0"/>
    <x v="0"/>
    <x v="2"/>
    <x v="2"/>
    <n v="6163"/>
    <n v="5669.96"/>
    <n v="0"/>
    <n v="0"/>
    <n v="0"/>
    <n v="0"/>
    <n v="55"/>
    <s v="CATIVO"/>
    <n v="0"/>
    <n v="26"/>
    <n v="0"/>
    <n v="0"/>
    <n v="8.81"/>
    <n v="0"/>
    <n v="0"/>
    <n v="11.452356648653195"/>
    <m/>
    <m/>
    <n v="4343.6823999999997"/>
    <n v="0"/>
    <n v="5646.4699220519706"/>
    <n v="0"/>
    <x v="3"/>
  </r>
  <r>
    <s v="Refaturamento - Regular"/>
    <x v="2"/>
    <x v="2"/>
    <x v="3"/>
    <x v="1"/>
    <x v="0"/>
    <x v="0"/>
    <x v="2"/>
    <x v="2"/>
    <n v="38"/>
    <n v="34.96"/>
    <n v="0"/>
    <n v="0"/>
    <n v="0"/>
    <n v="0"/>
    <n v="1"/>
    <s v="CATIVO"/>
    <n v="0"/>
    <n v="26"/>
    <n v="0"/>
    <n v="0"/>
    <n v="8.81"/>
    <n v="0"/>
    <n v="0"/>
    <n v="11.452356648653195"/>
    <m/>
    <m/>
    <n v="26.782399999999996"/>
    <n v="0"/>
    <n v="34.815164211905703"/>
    <n v="0"/>
    <x v="3"/>
  </r>
  <r>
    <s v="Sistema de Compensação"/>
    <x v="2"/>
    <x v="2"/>
    <x v="3"/>
    <x v="1"/>
    <x v="0"/>
    <x v="0"/>
    <x v="2"/>
    <x v="2"/>
    <n v="872"/>
    <n v="802.24"/>
    <n v="0"/>
    <n v="0"/>
    <n v="0"/>
    <n v="0"/>
    <n v="3"/>
    <s v="CATIVO"/>
    <n v="0"/>
    <n v="26"/>
    <n v="0"/>
    <n v="0"/>
    <n v="8.81"/>
    <n v="0"/>
    <n v="0"/>
    <n v="11.452356648653195"/>
    <m/>
    <m/>
    <n v="614.5856"/>
    <n v="0"/>
    <n v="798.91639981004676"/>
    <n v="0"/>
    <x v="3"/>
  </r>
  <r>
    <s v="Regular"/>
    <x v="2"/>
    <x v="2"/>
    <x v="3"/>
    <x v="1"/>
    <x v="0"/>
    <x v="0"/>
    <x v="2"/>
    <x v="3"/>
    <n v="5817"/>
    <n v="5351.64"/>
    <n v="0"/>
    <n v="0"/>
    <n v="0"/>
    <n v="0"/>
    <n v="53"/>
    <s v="CATIVO"/>
    <n v="0"/>
    <n v="26"/>
    <n v="0"/>
    <n v="0"/>
    <n v="8.81"/>
    <n v="0"/>
    <n v="0"/>
    <n v="11.452356648653195"/>
    <m/>
    <m/>
    <n v="4099.8215999999975"/>
    <n v="0"/>
    <n v="5329.4686900172474"/>
    <n v="0"/>
    <x v="3"/>
  </r>
  <r>
    <s v="Refaturamento - Regular"/>
    <x v="2"/>
    <x v="2"/>
    <x v="3"/>
    <x v="1"/>
    <x v="0"/>
    <x v="0"/>
    <x v="2"/>
    <x v="3"/>
    <n v="232"/>
    <n v="213.44"/>
    <n v="0"/>
    <n v="0"/>
    <n v="0"/>
    <n v="0"/>
    <n v="1"/>
    <s v="CATIVO"/>
    <n v="0"/>
    <n v="26"/>
    <n v="0"/>
    <n v="0"/>
    <n v="8.81"/>
    <n v="0"/>
    <n v="0"/>
    <n v="11.452356648653195"/>
    <m/>
    <m/>
    <n v="163.51360000000003"/>
    <n v="0"/>
    <n v="212.55573939900333"/>
    <n v="0"/>
    <x v="3"/>
  </r>
  <r>
    <s v="Sistema de Compensação"/>
    <x v="2"/>
    <x v="2"/>
    <x v="3"/>
    <x v="1"/>
    <x v="0"/>
    <x v="0"/>
    <x v="2"/>
    <x v="3"/>
    <n v="872"/>
    <n v="802.24"/>
    <n v="0"/>
    <n v="0"/>
    <n v="0"/>
    <n v="0"/>
    <n v="3"/>
    <s v="CATIVO"/>
    <n v="0"/>
    <n v="26"/>
    <n v="0"/>
    <n v="0"/>
    <n v="8.81"/>
    <n v="0"/>
    <n v="0"/>
    <n v="11.452356648653195"/>
    <m/>
    <m/>
    <n v="614.5856"/>
    <n v="0"/>
    <n v="798.91639981004676"/>
    <n v="0"/>
    <x v="3"/>
  </r>
  <r>
    <s v="Regular"/>
    <x v="2"/>
    <x v="2"/>
    <x v="3"/>
    <x v="1"/>
    <x v="0"/>
    <x v="0"/>
    <x v="2"/>
    <x v="4"/>
    <n v="6431"/>
    <n v="5916.52"/>
    <n v="0"/>
    <n v="0"/>
    <n v="0"/>
    <n v="0"/>
    <n v="54"/>
    <s v="CATIVO"/>
    <n v="0"/>
    <n v="26"/>
    <n v="0"/>
    <n v="0"/>
    <n v="8.81"/>
    <n v="0"/>
    <n v="0"/>
    <n v="11.452356648653195"/>
    <m/>
    <m/>
    <n v="4532.5687999999964"/>
    <n v="0"/>
    <n v="5892.008448599091"/>
    <n v="0"/>
    <x v="3"/>
  </r>
  <r>
    <s v="Refaturamento - Regular"/>
    <x v="2"/>
    <x v="2"/>
    <x v="3"/>
    <x v="1"/>
    <x v="0"/>
    <x v="0"/>
    <x v="2"/>
    <x v="4"/>
    <n v="227"/>
    <n v="208.84"/>
    <n v="0"/>
    <n v="0"/>
    <n v="0"/>
    <n v="0"/>
    <n v="1"/>
    <s v="CATIVO"/>
    <n v="0"/>
    <n v="26"/>
    <n v="0"/>
    <n v="0"/>
    <n v="8.81"/>
    <n v="0"/>
    <n v="0"/>
    <n v="11.452356648653195"/>
    <m/>
    <m/>
    <n v="159.98959999999997"/>
    <n v="0"/>
    <n v="207.97479673954197"/>
    <n v="0"/>
    <x v="3"/>
  </r>
  <r>
    <s v="Sistema de Compensação"/>
    <x v="2"/>
    <x v="2"/>
    <x v="3"/>
    <x v="1"/>
    <x v="0"/>
    <x v="0"/>
    <x v="2"/>
    <x v="4"/>
    <n v="872"/>
    <n v="802.24"/>
    <n v="0"/>
    <n v="0"/>
    <n v="0"/>
    <n v="0"/>
    <n v="3"/>
    <s v="CATIVO"/>
    <n v="0"/>
    <n v="26"/>
    <n v="0"/>
    <n v="0"/>
    <n v="8.81"/>
    <n v="0"/>
    <n v="0"/>
    <n v="11.452356648653195"/>
    <m/>
    <m/>
    <n v="614.5856"/>
    <n v="0"/>
    <n v="798.91639981004676"/>
    <n v="0"/>
    <x v="3"/>
  </r>
  <r>
    <s v="Regular"/>
    <x v="2"/>
    <x v="2"/>
    <x v="3"/>
    <x v="1"/>
    <x v="0"/>
    <x v="0"/>
    <x v="2"/>
    <x v="5"/>
    <n v="6985"/>
    <n v="6426.2000000000007"/>
    <n v="0"/>
    <n v="0"/>
    <n v="0"/>
    <n v="0"/>
    <n v="56"/>
    <s v="CATIVO"/>
    <n v="0"/>
    <n v="26"/>
    <n v="0"/>
    <n v="0"/>
    <n v="8.81"/>
    <n v="0"/>
    <n v="0"/>
    <n v="11.452356648653195"/>
    <m/>
    <m/>
    <n v="4923.0279999999939"/>
    <n v="0"/>
    <n v="6399.576895267397"/>
    <n v="0"/>
    <x v="3"/>
  </r>
  <r>
    <s v="Refaturamento - Regular"/>
    <x v="2"/>
    <x v="2"/>
    <x v="3"/>
    <x v="1"/>
    <x v="0"/>
    <x v="0"/>
    <x v="2"/>
    <x v="5"/>
    <n v="227"/>
    <n v="208.84"/>
    <n v="0"/>
    <n v="0"/>
    <n v="0"/>
    <n v="0"/>
    <n v="1"/>
    <s v="CATIVO"/>
    <n v="0"/>
    <n v="26"/>
    <n v="0"/>
    <n v="0"/>
    <n v="8.81"/>
    <n v="0"/>
    <n v="0"/>
    <n v="11.452356648653195"/>
    <m/>
    <m/>
    <n v="159.98959999999997"/>
    <n v="0"/>
    <n v="207.97479673954197"/>
    <n v="0"/>
    <x v="3"/>
  </r>
  <r>
    <s v="Sistema de Compensação"/>
    <x v="2"/>
    <x v="2"/>
    <x v="3"/>
    <x v="1"/>
    <x v="0"/>
    <x v="0"/>
    <x v="2"/>
    <x v="5"/>
    <n v="872"/>
    <n v="802.24"/>
    <n v="0"/>
    <n v="0"/>
    <n v="0"/>
    <n v="0"/>
    <n v="3"/>
    <s v="CATIVO"/>
    <n v="0"/>
    <n v="26"/>
    <n v="0"/>
    <n v="0"/>
    <n v="8.81"/>
    <n v="0"/>
    <n v="0"/>
    <n v="11.452356648653195"/>
    <m/>
    <m/>
    <n v="614.5856"/>
    <n v="0"/>
    <n v="798.91639981004676"/>
    <n v="0"/>
    <x v="3"/>
  </r>
  <r>
    <s v="Regular"/>
    <x v="2"/>
    <x v="2"/>
    <x v="3"/>
    <x v="1"/>
    <x v="0"/>
    <x v="0"/>
    <x v="2"/>
    <x v="6"/>
    <n v="7575"/>
    <n v="6969"/>
    <n v="0"/>
    <n v="0"/>
    <n v="0"/>
    <n v="0"/>
    <n v="54"/>
    <s v="CATIVO"/>
    <n v="0"/>
    <n v="26"/>
    <n v="0"/>
    <n v="0"/>
    <n v="8.81"/>
    <n v="0"/>
    <n v="0"/>
    <n v="11.452356648653195"/>
    <m/>
    <m/>
    <n v="5338.8600000000006"/>
    <n v="0"/>
    <n v="6940.128129083836"/>
    <n v="0"/>
    <x v="3"/>
  </r>
  <r>
    <s v="Refaturamento - Regular"/>
    <x v="2"/>
    <x v="2"/>
    <x v="3"/>
    <x v="1"/>
    <x v="0"/>
    <x v="0"/>
    <x v="2"/>
    <x v="6"/>
    <n v="273"/>
    <n v="251.16000000000003"/>
    <n v="0"/>
    <n v="0"/>
    <n v="0"/>
    <n v="0"/>
    <n v="2"/>
    <s v="CATIVO"/>
    <n v="0"/>
    <n v="26"/>
    <n v="0"/>
    <n v="0"/>
    <n v="8.81"/>
    <n v="0"/>
    <n v="0"/>
    <n v="11.452356648653195"/>
    <m/>
    <m/>
    <n v="192.41039999999978"/>
    <n v="0"/>
    <n v="250.11946920658551"/>
    <n v="0"/>
    <x v="3"/>
  </r>
  <r>
    <s v="Sistema de Compensação"/>
    <x v="2"/>
    <x v="2"/>
    <x v="3"/>
    <x v="1"/>
    <x v="0"/>
    <x v="0"/>
    <x v="2"/>
    <x v="6"/>
    <n v="872"/>
    <n v="802.24"/>
    <n v="0"/>
    <n v="0"/>
    <n v="0"/>
    <n v="0"/>
    <n v="3"/>
    <s v="CATIVO"/>
    <n v="0"/>
    <n v="26"/>
    <n v="0"/>
    <n v="0"/>
    <n v="8.81"/>
    <n v="0"/>
    <n v="0"/>
    <n v="11.452356648653195"/>
    <m/>
    <m/>
    <n v="614.5856"/>
    <n v="0"/>
    <n v="798.91639981004676"/>
    <n v="0"/>
    <x v="3"/>
  </r>
  <r>
    <s v="Regular"/>
    <x v="2"/>
    <x v="2"/>
    <x v="3"/>
    <x v="1"/>
    <x v="0"/>
    <x v="0"/>
    <x v="2"/>
    <x v="7"/>
    <n v="6137"/>
    <n v="5646.04"/>
    <n v="0"/>
    <n v="0"/>
    <n v="0"/>
    <n v="0"/>
    <n v="54"/>
    <s v="CATIVO"/>
    <n v="0"/>
    <n v="26"/>
    <n v="0"/>
    <n v="0"/>
    <n v="8.81"/>
    <n v="0"/>
    <n v="0"/>
    <n v="11.452356648653195"/>
    <m/>
    <m/>
    <n v="4325.3576000000003"/>
    <n v="0"/>
    <n v="5622.6490202227733"/>
    <n v="0"/>
    <x v="3"/>
  </r>
  <r>
    <s v="Refaturamento - Regular"/>
    <x v="2"/>
    <x v="2"/>
    <x v="3"/>
    <x v="1"/>
    <x v="0"/>
    <x v="0"/>
    <x v="2"/>
    <x v="7"/>
    <n v="471"/>
    <n v="433.32"/>
    <n v="0"/>
    <n v="0"/>
    <n v="0"/>
    <n v="0"/>
    <n v="2"/>
    <s v="CATIVO"/>
    <n v="0"/>
    <n v="26"/>
    <n v="0"/>
    <n v="0"/>
    <n v="8.81"/>
    <n v="0"/>
    <n v="0"/>
    <n v="11.452356648653195"/>
    <m/>
    <m/>
    <n v="331.96080000000006"/>
    <n v="0"/>
    <n v="431.52479852125248"/>
    <n v="0"/>
    <x v="3"/>
  </r>
  <r>
    <s v="Sistema de Compensação"/>
    <x v="2"/>
    <x v="2"/>
    <x v="3"/>
    <x v="1"/>
    <x v="0"/>
    <x v="0"/>
    <x v="2"/>
    <x v="7"/>
    <n v="1120"/>
    <n v="1030.4000000000001"/>
    <n v="0"/>
    <n v="0"/>
    <n v="0"/>
    <n v="0"/>
    <n v="4"/>
    <s v="CATIVO"/>
    <n v="0"/>
    <n v="26"/>
    <n v="0"/>
    <n v="0"/>
    <n v="8.81"/>
    <n v="0"/>
    <n v="0"/>
    <n v="11.452356648653195"/>
    <m/>
    <m/>
    <n v="789.37599999999929"/>
    <n v="0"/>
    <n v="1026.1311557193253"/>
    <n v="0"/>
    <x v="3"/>
  </r>
  <r>
    <s v="Regular"/>
    <x v="2"/>
    <x v="2"/>
    <x v="3"/>
    <x v="1"/>
    <x v="0"/>
    <x v="0"/>
    <x v="2"/>
    <x v="8"/>
    <n v="5979"/>
    <n v="5500.68"/>
    <n v="0"/>
    <n v="0"/>
    <n v="0"/>
    <n v="0"/>
    <n v="56"/>
    <s v="CATIVO"/>
    <n v="0"/>
    <n v="26"/>
    <n v="0"/>
    <n v="0"/>
    <n v="8.81"/>
    <n v="0"/>
    <n v="0"/>
    <n v="11.452356648653195"/>
    <m/>
    <m/>
    <n v="4213.9991999999975"/>
    <n v="0"/>
    <n v="5477.8912321837934"/>
    <n v="0"/>
    <x v="3"/>
  </r>
  <r>
    <s v="Refaturamento - Regular"/>
    <x v="2"/>
    <x v="2"/>
    <x v="3"/>
    <x v="1"/>
    <x v="0"/>
    <x v="0"/>
    <x v="2"/>
    <x v="8"/>
    <n v="397"/>
    <n v="365.24"/>
    <n v="0"/>
    <n v="0"/>
    <n v="0"/>
    <n v="0"/>
    <n v="2"/>
    <s v="CATIVO"/>
    <n v="0"/>
    <n v="26"/>
    <n v="0"/>
    <n v="0"/>
    <n v="8.81"/>
    <n v="0"/>
    <n v="0"/>
    <n v="11.452356648653195"/>
    <m/>
    <m/>
    <n v="279.80559999999991"/>
    <n v="0"/>
    <n v="363.72684716122535"/>
    <n v="0"/>
    <x v="3"/>
  </r>
  <r>
    <s v="Sistema de Compensação"/>
    <x v="2"/>
    <x v="2"/>
    <x v="3"/>
    <x v="1"/>
    <x v="0"/>
    <x v="0"/>
    <x v="2"/>
    <x v="8"/>
    <n v="1396"/>
    <n v="1284.3200000000002"/>
    <n v="0"/>
    <n v="0"/>
    <n v="0"/>
    <n v="0"/>
    <n v="5"/>
    <s v="CATIVO"/>
    <n v="0"/>
    <n v="26"/>
    <n v="0"/>
    <n v="0"/>
    <n v="8.81"/>
    <n v="0"/>
    <n v="0"/>
    <n v="11.452356648653195"/>
    <m/>
    <m/>
    <n v="983.90079999999864"/>
    <n v="0"/>
    <n v="1278.999190521587"/>
    <n v="0"/>
    <x v="3"/>
  </r>
  <r>
    <s v="Regular"/>
    <x v="2"/>
    <x v="2"/>
    <x v="3"/>
    <x v="1"/>
    <x v="0"/>
    <x v="0"/>
    <x v="2"/>
    <x v="9"/>
    <n v="5798"/>
    <n v="5334.16"/>
    <n v="0"/>
    <n v="0"/>
    <n v="0"/>
    <n v="0"/>
    <n v="55"/>
    <s v="CATIVO"/>
    <n v="0"/>
    <n v="26"/>
    <n v="0"/>
    <n v="0"/>
    <n v="8.81"/>
    <n v="0"/>
    <n v="0"/>
    <n v="11.452356648653195"/>
    <m/>
    <m/>
    <n v="4086.4304000000016"/>
    <n v="0"/>
    <n v="5312.0611079112996"/>
    <n v="0"/>
    <x v="3"/>
  </r>
  <r>
    <s v="Refaturamento - Regular"/>
    <x v="2"/>
    <x v="2"/>
    <x v="3"/>
    <x v="1"/>
    <x v="0"/>
    <x v="0"/>
    <x v="2"/>
    <x v="9"/>
    <n v="455"/>
    <n v="418.6"/>
    <n v="0"/>
    <n v="0"/>
    <n v="0"/>
    <n v="0"/>
    <n v="2"/>
    <s v="CATIVO"/>
    <n v="0"/>
    <n v="26"/>
    <n v="0"/>
    <n v="0"/>
    <n v="8.81"/>
    <n v="0"/>
    <n v="0"/>
    <n v="11.452356648653195"/>
    <m/>
    <m/>
    <n v="320.6839999999998"/>
    <n v="0"/>
    <n v="416.86578201097603"/>
    <n v="0"/>
    <x v="3"/>
  </r>
  <r>
    <s v="Sistema de Compensação"/>
    <x v="2"/>
    <x v="2"/>
    <x v="3"/>
    <x v="1"/>
    <x v="0"/>
    <x v="0"/>
    <x v="2"/>
    <x v="9"/>
    <n v="1893"/>
    <n v="1741.5600000000002"/>
    <n v="0"/>
    <n v="0"/>
    <n v="0"/>
    <n v="0"/>
    <n v="5"/>
    <s v="CATIVO"/>
    <n v="0"/>
    <n v="26"/>
    <n v="0"/>
    <n v="0"/>
    <n v="8.81"/>
    <n v="0"/>
    <n v="0"/>
    <n v="11.452356648653195"/>
    <m/>
    <m/>
    <n v="1334.1863999999985"/>
    <n v="0"/>
    <n v="1734.3448908720379"/>
    <n v="0"/>
    <x v="3"/>
  </r>
  <r>
    <s v="Regular"/>
    <x v="2"/>
    <x v="2"/>
    <x v="3"/>
    <x v="1"/>
    <x v="0"/>
    <x v="0"/>
    <x v="2"/>
    <x v="10"/>
    <n v="6044"/>
    <n v="5560.4800000000005"/>
    <n v="0"/>
    <n v="0"/>
    <n v="0"/>
    <n v="0"/>
    <n v="54"/>
    <s v="CATIVO"/>
    <n v="0"/>
    <n v="26"/>
    <n v="0"/>
    <n v="0"/>
    <n v="8.81"/>
    <n v="0"/>
    <n v="0"/>
    <n v="11.452356648653195"/>
    <m/>
    <m/>
    <n v="4259.8111999999965"/>
    <n v="0"/>
    <n v="5537.4434867567879"/>
    <n v="0"/>
    <x v="3"/>
  </r>
  <r>
    <s v="Refaturamento - Regular"/>
    <x v="2"/>
    <x v="2"/>
    <x v="3"/>
    <x v="1"/>
    <x v="0"/>
    <x v="0"/>
    <x v="2"/>
    <x v="10"/>
    <n v="513"/>
    <n v="471.96000000000004"/>
    <n v="0"/>
    <n v="0"/>
    <n v="0"/>
    <n v="0"/>
    <n v="2"/>
    <s v="CATIVO"/>
    <n v="0"/>
    <n v="26"/>
    <n v="0"/>
    <n v="0"/>
    <n v="8.81"/>
    <n v="0"/>
    <n v="0"/>
    <n v="11.452356648653195"/>
    <m/>
    <m/>
    <n v="361.56239999999968"/>
    <n v="0"/>
    <n v="470.00471686072672"/>
    <n v="0"/>
    <x v="3"/>
  </r>
  <r>
    <s v="Sistema de Compensação"/>
    <x v="2"/>
    <x v="2"/>
    <x v="3"/>
    <x v="1"/>
    <x v="0"/>
    <x v="0"/>
    <x v="2"/>
    <x v="10"/>
    <n v="1996"/>
    <n v="1836.3200000000002"/>
    <n v="0"/>
    <n v="0"/>
    <n v="0"/>
    <n v="0"/>
    <n v="5"/>
    <s v="CATIVO"/>
    <n v="0"/>
    <n v="26"/>
    <n v="0"/>
    <n v="0"/>
    <n v="8.81"/>
    <n v="0"/>
    <n v="0"/>
    <n v="11.452356648653195"/>
    <m/>
    <m/>
    <n v="1406.7807999999986"/>
    <n v="0"/>
    <n v="1828.7123096569403"/>
    <n v="0"/>
    <x v="3"/>
  </r>
  <r>
    <s v="PROJETADO"/>
    <x v="2"/>
    <x v="2"/>
    <x v="3"/>
    <x v="1"/>
    <x v="0"/>
    <x v="0"/>
    <x v="2"/>
    <x v="11"/>
    <n v="6044"/>
    <n v="5560.4800000000005"/>
    <n v="0"/>
    <n v="0"/>
    <n v="0"/>
    <n v="0"/>
    <n v="54"/>
    <s v="CATIVO"/>
    <n v="0"/>
    <n v="26"/>
    <n v="0"/>
    <n v="0"/>
    <n v="8.81"/>
    <n v="0"/>
    <n v="0"/>
    <n v="11.452356648653195"/>
    <m/>
    <m/>
    <n v="4259.8111999999965"/>
    <n v="0"/>
    <n v="5537.4434867567879"/>
    <n v="0"/>
    <x v="3"/>
  </r>
  <r>
    <s v="PROJETADO"/>
    <x v="2"/>
    <x v="2"/>
    <x v="3"/>
    <x v="1"/>
    <x v="0"/>
    <x v="0"/>
    <x v="2"/>
    <x v="11"/>
    <n v="513"/>
    <n v="471.96000000000004"/>
    <n v="0"/>
    <n v="0"/>
    <n v="0"/>
    <n v="0"/>
    <n v="2"/>
    <s v="CATIVO"/>
    <n v="0"/>
    <n v="26"/>
    <n v="0"/>
    <n v="0"/>
    <n v="8.81"/>
    <n v="0"/>
    <n v="0"/>
    <n v="11.452356648653195"/>
    <m/>
    <m/>
    <n v="361.56239999999968"/>
    <n v="0"/>
    <n v="470.00471686072672"/>
    <n v="0"/>
    <x v="3"/>
  </r>
  <r>
    <s v="PROJETADO"/>
    <x v="2"/>
    <x v="2"/>
    <x v="3"/>
    <x v="1"/>
    <x v="0"/>
    <x v="0"/>
    <x v="2"/>
    <x v="11"/>
    <n v="1996"/>
    <n v="1836.3200000000002"/>
    <n v="0"/>
    <n v="0"/>
    <n v="0"/>
    <n v="0"/>
    <n v="5"/>
    <s v="CATIVO"/>
    <n v="0"/>
    <n v="26"/>
    <n v="0"/>
    <n v="0"/>
    <n v="8.81"/>
    <n v="0"/>
    <n v="0"/>
    <n v="11.452356648653195"/>
    <m/>
    <m/>
    <n v="1406.7807999999986"/>
    <n v="0"/>
    <n v="1828.7123096569403"/>
    <n v="0"/>
    <x v="3"/>
  </r>
  <r>
    <s v="Regular"/>
    <x v="2"/>
    <x v="2"/>
    <x v="3"/>
    <x v="1"/>
    <x v="0"/>
    <x v="0"/>
    <x v="1"/>
    <x v="0"/>
    <n v="0"/>
    <n v="0"/>
    <n v="167.59899999999999"/>
    <n v="154.19108"/>
    <n v="167.59899999999999"/>
    <n v="154.19108"/>
    <n v="0"/>
    <s v="CATIVO"/>
    <n v="0"/>
    <n v="0"/>
    <n v="27"/>
    <n v="81"/>
    <n v="0"/>
    <n v="641.99"/>
    <n v="430.87"/>
    <m/>
    <n v="747.73459855656426"/>
    <n v="375.70671275609089"/>
    <n v="0"/>
    <n v="14384.82105119999"/>
    <n v="0"/>
    <n v="15063.011226775165"/>
    <x v="3"/>
  </r>
  <r>
    <s v="Sistema de Compensação"/>
    <x v="2"/>
    <x v="2"/>
    <x v="3"/>
    <x v="1"/>
    <x v="0"/>
    <x v="0"/>
    <x v="1"/>
    <x v="0"/>
    <n v="0"/>
    <n v="0"/>
    <n v="17.416"/>
    <n v="16.02272"/>
    <n v="17.416"/>
    <n v="16.02272"/>
    <n v="0"/>
    <s v="CATIVO"/>
    <n v="0"/>
    <n v="0"/>
    <n v="27"/>
    <n v="81"/>
    <n v="0"/>
    <n v="641.99"/>
    <n v="430.87"/>
    <m/>
    <n v="747.73459855656426"/>
    <n v="375.70671275609089"/>
    <n v="0"/>
    <n v="1494.7943808000009"/>
    <n v="0"/>
    <n v="1565.268310225697"/>
    <x v="3"/>
  </r>
  <r>
    <s v="Regular"/>
    <x v="2"/>
    <x v="2"/>
    <x v="3"/>
    <x v="1"/>
    <x v="0"/>
    <x v="0"/>
    <x v="1"/>
    <x v="1"/>
    <n v="0"/>
    <n v="0"/>
    <n v="181.14400000000001"/>
    <n v="166.65248000000003"/>
    <n v="181.14400000000001"/>
    <n v="166.65248000000003"/>
    <n v="0"/>
    <s v="CATIVO"/>
    <n v="0"/>
    <n v="0"/>
    <n v="27"/>
    <n v="81"/>
    <n v="0"/>
    <n v="641.99"/>
    <n v="430.87"/>
    <m/>
    <n v="747.73459855656426"/>
    <n v="375.70671275609089"/>
    <n v="0"/>
    <n v="15547.372147199978"/>
    <n v="0"/>
    <n v="16280.372231713547"/>
    <x v="3"/>
  </r>
  <r>
    <s v="Sistema de Compensação"/>
    <x v="2"/>
    <x v="2"/>
    <x v="3"/>
    <x v="1"/>
    <x v="0"/>
    <x v="0"/>
    <x v="1"/>
    <x v="1"/>
    <n v="0"/>
    <n v="0"/>
    <n v="1.5629999999999999"/>
    <n v="1.4379599999999999"/>
    <n v="1.5629999999999999"/>
    <n v="1.4379599999999999"/>
    <n v="0"/>
    <s v="CATIVO"/>
    <n v="0"/>
    <n v="0"/>
    <n v="27"/>
    <n v="81"/>
    <n v="0"/>
    <n v="641.99"/>
    <n v="430.87"/>
    <m/>
    <n v="747.73459855656426"/>
    <n v="375.70671275609089"/>
    <n v="0"/>
    <n v="134.15041440000005"/>
    <n v="0"/>
    <n v="140.47510156653445"/>
    <x v="3"/>
  </r>
  <r>
    <s v="Regular"/>
    <x v="2"/>
    <x v="2"/>
    <x v="3"/>
    <x v="1"/>
    <x v="0"/>
    <x v="0"/>
    <x v="1"/>
    <x v="2"/>
    <n v="0"/>
    <n v="0"/>
    <n v="150.98500000000001"/>
    <n v="138.90620000000001"/>
    <n v="150.98500000000001"/>
    <n v="138.90620000000001"/>
    <n v="0"/>
    <s v="CATIVO"/>
    <n v="0"/>
    <n v="0"/>
    <n v="27"/>
    <n v="81"/>
    <n v="0"/>
    <n v="641.99"/>
    <n v="430.87"/>
    <m/>
    <n v="747.73459855656426"/>
    <n v="375.70671275609089"/>
    <n v="0"/>
    <n v="12958.861368000002"/>
    <n v="0"/>
    <n v="13569.8229110833"/>
    <x v="3"/>
  </r>
  <r>
    <s v="Refaturamento - Regular"/>
    <x v="2"/>
    <x v="2"/>
    <x v="3"/>
    <x v="1"/>
    <x v="0"/>
    <x v="0"/>
    <x v="1"/>
    <x v="2"/>
    <n v="0"/>
    <n v="0"/>
    <n v="0.311"/>
    <n v="0.28611999999999999"/>
    <n v="0.311"/>
    <n v="0.28611999999999999"/>
    <n v="0"/>
    <s v="CATIVO"/>
    <n v="0"/>
    <n v="0"/>
    <n v="27"/>
    <n v="81"/>
    <n v="0"/>
    <n v="641.99"/>
    <n v="430.87"/>
    <m/>
    <n v="747.73459855656426"/>
    <n v="375.70671275609089"/>
    <n v="0"/>
    <n v="26.692756800000012"/>
    <n v="0"/>
    <n v="27.951219825458878"/>
    <x v="3"/>
  </r>
  <r>
    <s v="Sistema de Compensação"/>
    <x v="2"/>
    <x v="2"/>
    <x v="3"/>
    <x v="1"/>
    <x v="0"/>
    <x v="0"/>
    <x v="1"/>
    <x v="2"/>
    <n v="0"/>
    <n v="0"/>
    <n v="0.875"/>
    <n v="0.80500000000000005"/>
    <n v="0.875"/>
    <n v="0.80500000000000005"/>
    <n v="0"/>
    <s v="CATIVO"/>
    <n v="0"/>
    <n v="0"/>
    <n v="27"/>
    <n v="81"/>
    <n v="0"/>
    <n v="641.99"/>
    <n v="430.87"/>
    <m/>
    <n v="747.73459855656426"/>
    <n v="375.70671275609089"/>
    <n v="0"/>
    <n v="75.100199999999944"/>
    <n v="0"/>
    <n v="78.640891791885807"/>
    <x v="3"/>
  </r>
  <r>
    <s v="Regular"/>
    <x v="2"/>
    <x v="2"/>
    <x v="3"/>
    <x v="1"/>
    <x v="0"/>
    <x v="0"/>
    <x v="1"/>
    <x v="3"/>
    <n v="0"/>
    <n v="0"/>
    <n v="126.56699999999999"/>
    <n v="116.44163999999999"/>
    <n v="126.56699999999999"/>
    <n v="116.44163999999999"/>
    <n v="0"/>
    <s v="CATIVO"/>
    <n v="0"/>
    <n v="0"/>
    <n v="27"/>
    <n v="81"/>
    <n v="0"/>
    <n v="641.99"/>
    <n v="430.87"/>
    <m/>
    <n v="747.73459855656426"/>
    <n v="375.70671275609089"/>
    <n v="0"/>
    <n v="10863.093729600001"/>
    <n v="0"/>
    <n v="11375.247715912707"/>
    <x v="3"/>
  </r>
  <r>
    <s v="Sistema de Compensação"/>
    <x v="2"/>
    <x v="2"/>
    <x v="3"/>
    <x v="1"/>
    <x v="0"/>
    <x v="0"/>
    <x v="1"/>
    <x v="3"/>
    <n v="0"/>
    <n v="0"/>
    <n v="1.6359999999999999"/>
    <n v="1.50512"/>
    <n v="1.6359999999999999"/>
    <n v="1.50512"/>
    <n v="0"/>
    <s v="CATIVO"/>
    <n v="0"/>
    <n v="0"/>
    <n v="27"/>
    <n v="81"/>
    <n v="0"/>
    <n v="641.99"/>
    <n v="430.87"/>
    <m/>
    <n v="747.73459855656426"/>
    <n v="375.70671275609089"/>
    <n v="0"/>
    <n v="140.41591679999988"/>
    <n v="0"/>
    <n v="147.03599882460017"/>
    <x v="3"/>
  </r>
  <r>
    <s v="Regular"/>
    <x v="2"/>
    <x v="2"/>
    <x v="3"/>
    <x v="1"/>
    <x v="0"/>
    <x v="0"/>
    <x v="1"/>
    <x v="4"/>
    <n v="0"/>
    <n v="0"/>
    <n v="142.10900000000001"/>
    <n v="130.74028000000001"/>
    <n v="142.10900000000001"/>
    <n v="130.74028000000001"/>
    <n v="0"/>
    <s v="CATIVO"/>
    <n v="0"/>
    <n v="0"/>
    <n v="27"/>
    <n v="81"/>
    <n v="0"/>
    <n v="641.99"/>
    <n v="430.87"/>
    <m/>
    <n v="747.73459855656426"/>
    <n v="375.70671275609089"/>
    <n v="0"/>
    <n v="12197.044939199997"/>
    <n v="0"/>
    <n v="12772.089704746406"/>
    <x v="3"/>
  </r>
  <r>
    <s v="Sistema de Compensação"/>
    <x v="2"/>
    <x v="2"/>
    <x v="3"/>
    <x v="1"/>
    <x v="0"/>
    <x v="0"/>
    <x v="1"/>
    <x v="4"/>
    <n v="0"/>
    <n v="0"/>
    <n v="0.65300000000000002"/>
    <n v="0.60076000000000007"/>
    <n v="0.65300000000000002"/>
    <n v="0.60076000000000007"/>
    <n v="0"/>
    <s v="CATIVO"/>
    <n v="0"/>
    <n v="0"/>
    <n v="27"/>
    <n v="81"/>
    <n v="0"/>
    <n v="641.99"/>
    <n v="430.87"/>
    <m/>
    <n v="747.73459855656426"/>
    <n v="375.70671275609089"/>
    <n v="0"/>
    <n v="56.046206399999953"/>
    <n v="0"/>
    <n v="58.68857410297305"/>
    <x v="3"/>
  </r>
  <r>
    <s v="Regular"/>
    <x v="2"/>
    <x v="2"/>
    <x v="3"/>
    <x v="1"/>
    <x v="0"/>
    <x v="0"/>
    <x v="1"/>
    <x v="5"/>
    <n v="0"/>
    <n v="0"/>
    <n v="181.12700000000001"/>
    <n v="166.63684000000001"/>
    <n v="181.12700000000001"/>
    <n v="166.63684000000001"/>
    <n v="0"/>
    <s v="CATIVO"/>
    <n v="0"/>
    <n v="0"/>
    <n v="27"/>
    <n v="81"/>
    <n v="0"/>
    <n v="641.99"/>
    <n v="430.87"/>
    <m/>
    <n v="747.73459855656426"/>
    <n v="375.70671275609089"/>
    <n v="0"/>
    <n v="15545.913057600003"/>
    <n v="0"/>
    <n v="16278.844351530186"/>
    <x v="3"/>
  </r>
  <r>
    <s v="Sistema de Compensação"/>
    <x v="2"/>
    <x v="2"/>
    <x v="3"/>
    <x v="1"/>
    <x v="0"/>
    <x v="0"/>
    <x v="1"/>
    <x v="5"/>
    <n v="0"/>
    <n v="0"/>
    <n v="1.6739999999999999"/>
    <n v="1.5400800000000001"/>
    <n v="1.6739999999999999"/>
    <n v="1.5400800000000001"/>
    <n v="0"/>
    <s v="CATIVO"/>
    <n v="0"/>
    <n v="0"/>
    <n v="27"/>
    <n v="81"/>
    <n v="0"/>
    <n v="641.99"/>
    <n v="430.87"/>
    <m/>
    <n v="747.73459855656426"/>
    <n v="375.70671275609089"/>
    <n v="0"/>
    <n v="143.67741119999982"/>
    <n v="0"/>
    <n v="150.45126041099059"/>
    <x v="3"/>
  </r>
  <r>
    <s v="Regular"/>
    <x v="2"/>
    <x v="2"/>
    <x v="3"/>
    <x v="1"/>
    <x v="0"/>
    <x v="0"/>
    <x v="1"/>
    <x v="6"/>
    <n v="0"/>
    <n v="0"/>
    <n v="206.483"/>
    <n v="189.96436"/>
    <n v="206.483"/>
    <n v="189.96436"/>
    <n v="0"/>
    <s v="CATIVO"/>
    <n v="0"/>
    <n v="0"/>
    <n v="27"/>
    <n v="81"/>
    <n v="0"/>
    <n v="641.99"/>
    <n v="430.87"/>
    <m/>
    <n v="747.73459855656426"/>
    <n v="375.70671275609089"/>
    <n v="0"/>
    <n v="17722.188110400006"/>
    <n v="0"/>
    <n v="18557.722582701685"/>
    <x v="3"/>
  </r>
  <r>
    <s v="Refaturamento - Regular"/>
    <x v="2"/>
    <x v="2"/>
    <x v="3"/>
    <x v="1"/>
    <x v="0"/>
    <x v="0"/>
    <x v="1"/>
    <x v="6"/>
    <n v="0"/>
    <n v="0"/>
    <n v="0.41699999999999998"/>
    <n v="0.38363999999999998"/>
    <n v="0.41699999999999998"/>
    <n v="0.38363999999999998"/>
    <n v="0"/>
    <s v="CATIVO"/>
    <n v="0"/>
    <n v="0"/>
    <n v="27"/>
    <n v="81"/>
    <n v="0"/>
    <n v="641.99"/>
    <n v="430.87"/>
    <m/>
    <n v="747.73459855656426"/>
    <n v="375.70671275609089"/>
    <n v="0"/>
    <n v="35.790609599999996"/>
    <n v="0"/>
    <n v="37.478002145390178"/>
    <x v="3"/>
  </r>
  <r>
    <s v="Sistema de Compensação"/>
    <x v="2"/>
    <x v="2"/>
    <x v="3"/>
    <x v="1"/>
    <x v="0"/>
    <x v="0"/>
    <x v="1"/>
    <x v="6"/>
    <n v="0"/>
    <n v="0"/>
    <n v="3.2309999999999999"/>
    <n v="2.9725199999999998"/>
    <n v="3.2309999999999999"/>
    <n v="2.9725199999999998"/>
    <n v="0"/>
    <s v="CATIVO"/>
    <n v="0"/>
    <n v="0"/>
    <n v="27"/>
    <n v="81"/>
    <n v="0"/>
    <n v="641.99"/>
    <n v="430.87"/>
    <m/>
    <n v="747.73459855656426"/>
    <n v="375.70671275609089"/>
    <n v="0"/>
    <n v="277.31285280000003"/>
    <n v="0"/>
    <n v="290.38711014809513"/>
    <x v="3"/>
  </r>
  <r>
    <s v="Regular"/>
    <x v="2"/>
    <x v="2"/>
    <x v="3"/>
    <x v="1"/>
    <x v="0"/>
    <x v="0"/>
    <x v="1"/>
    <x v="7"/>
    <n v="0"/>
    <n v="0"/>
    <n v="151.37299999999999"/>
    <n v="139.26316"/>
    <n v="151.37299999999999"/>
    <n v="139.26316"/>
    <n v="0"/>
    <s v="CATIVO"/>
    <n v="0"/>
    <n v="0"/>
    <n v="27"/>
    <n v="81"/>
    <n v="0"/>
    <n v="641.99"/>
    <n v="430.87"/>
    <m/>
    <n v="747.73459855656426"/>
    <n v="375.70671275609089"/>
    <n v="0"/>
    <n v="12992.162942399991"/>
    <n v="0"/>
    <n v="13604.694529386434"/>
    <x v="3"/>
  </r>
  <r>
    <s v="Refaturamento - Regular"/>
    <x v="2"/>
    <x v="2"/>
    <x v="3"/>
    <x v="1"/>
    <x v="0"/>
    <x v="0"/>
    <x v="1"/>
    <x v="7"/>
    <n v="0"/>
    <n v="0"/>
    <n v="2.6659999999999999"/>
    <n v="2.4527200000000002"/>
    <n v="2.6659999999999999"/>
    <n v="2.4527200000000002"/>
    <n v="0"/>
    <s v="CATIVO"/>
    <n v="0"/>
    <n v="0"/>
    <n v="27"/>
    <n v="81"/>
    <n v="0"/>
    <n v="641.99"/>
    <n v="430.87"/>
    <m/>
    <n v="747.73459855656426"/>
    <n v="375.70671275609089"/>
    <n v="0"/>
    <n v="228.81958079999967"/>
    <n v="0"/>
    <n v="239.60756287676276"/>
    <x v="3"/>
  </r>
  <r>
    <s v="Sistema de Compensação"/>
    <x v="2"/>
    <x v="2"/>
    <x v="3"/>
    <x v="1"/>
    <x v="0"/>
    <x v="0"/>
    <x v="1"/>
    <x v="7"/>
    <n v="0"/>
    <n v="0"/>
    <n v="4.2409999999999997"/>
    <n v="3.9017200000000001"/>
    <n v="4.2409999999999997"/>
    <n v="3.9017200000000001"/>
    <n v="0"/>
    <s v="CATIVO"/>
    <n v="0"/>
    <n v="0"/>
    <n v="27"/>
    <n v="81"/>
    <n v="0"/>
    <n v="641.99"/>
    <n v="430.87"/>
    <m/>
    <n v="747.73459855656426"/>
    <n v="375.70671275609089"/>
    <n v="0"/>
    <n v="363.99994079999954"/>
    <n v="0"/>
    <n v="381.16116810215715"/>
    <x v="3"/>
  </r>
  <r>
    <s v="Regular"/>
    <x v="2"/>
    <x v="2"/>
    <x v="3"/>
    <x v="1"/>
    <x v="0"/>
    <x v="0"/>
    <x v="1"/>
    <x v="8"/>
    <n v="0"/>
    <n v="0"/>
    <n v="161.43700000000001"/>
    <n v="148.52204"/>
    <n v="161.43700000000001"/>
    <n v="148.52204"/>
    <n v="0"/>
    <s v="CATIVO"/>
    <n v="0"/>
    <n v="0"/>
    <n v="27"/>
    <n v="81"/>
    <n v="0"/>
    <n v="641.99"/>
    <n v="430.87"/>
    <m/>
    <n v="747.73459855656426"/>
    <n v="375.70671275609089"/>
    <n v="0"/>
    <n v="13855.94398560001"/>
    <n v="0"/>
    <n v="14509.199597950497"/>
    <x v="3"/>
  </r>
  <r>
    <s v="Refaturamento - Regular"/>
    <x v="2"/>
    <x v="2"/>
    <x v="3"/>
    <x v="1"/>
    <x v="0"/>
    <x v="0"/>
    <x v="1"/>
    <x v="8"/>
    <n v="0"/>
    <n v="0"/>
    <n v="1.2969999999999999"/>
    <n v="1.1932400000000001"/>
    <n v="1.2969999999999999"/>
    <n v="1.1932400000000001"/>
    <n v="0"/>
    <s v="CATIVO"/>
    <n v="0"/>
    <n v="0"/>
    <n v="27"/>
    <n v="81"/>
    <n v="0"/>
    <n v="641.99"/>
    <n v="430.87"/>
    <m/>
    <n v="747.73459855656426"/>
    <n v="375.70671275609089"/>
    <n v="0"/>
    <n v="111.31995359999985"/>
    <n v="0"/>
    <n v="116.56827046180092"/>
    <x v="3"/>
  </r>
  <r>
    <s v="Sistema de Compensação"/>
    <x v="2"/>
    <x v="2"/>
    <x v="3"/>
    <x v="1"/>
    <x v="0"/>
    <x v="0"/>
    <x v="1"/>
    <x v="8"/>
    <n v="0"/>
    <n v="0"/>
    <n v="2.266"/>
    <n v="2.0847199999999999"/>
    <n v="2.266"/>
    <n v="2.0847199999999999"/>
    <n v="0"/>
    <s v="CATIVO"/>
    <n v="0"/>
    <n v="0"/>
    <n v="27"/>
    <n v="81"/>
    <n v="0"/>
    <n v="641.99"/>
    <n v="430.87"/>
    <m/>
    <n v="747.73459855656426"/>
    <n v="375.70671275609089"/>
    <n v="0"/>
    <n v="194.48806080000014"/>
    <n v="0"/>
    <n v="203.65744091475824"/>
    <x v="3"/>
  </r>
  <r>
    <s v="Regular"/>
    <x v="2"/>
    <x v="2"/>
    <x v="3"/>
    <x v="1"/>
    <x v="0"/>
    <x v="0"/>
    <x v="1"/>
    <x v="9"/>
    <n v="0"/>
    <n v="0"/>
    <n v="148.465"/>
    <n v="136.58780000000002"/>
    <n v="148.465"/>
    <n v="136.58780000000002"/>
    <n v="0"/>
    <s v="CATIVO"/>
    <n v="0"/>
    <n v="0"/>
    <n v="27"/>
    <n v="81"/>
    <n v="0"/>
    <n v="641.99"/>
    <n v="430.87"/>
    <m/>
    <n v="747.73459855656426"/>
    <n v="375.70671275609089"/>
    <n v="0"/>
    <n v="12742.572791999988"/>
    <n v="0"/>
    <n v="13343.337142722656"/>
    <x v="3"/>
  </r>
  <r>
    <s v="Refaturamento - Regular"/>
    <x v="2"/>
    <x v="2"/>
    <x v="3"/>
    <x v="1"/>
    <x v="0"/>
    <x v="0"/>
    <x v="1"/>
    <x v="9"/>
    <n v="0"/>
    <n v="0"/>
    <n v="2.633"/>
    <n v="2.4223600000000003"/>
    <n v="2.633"/>
    <n v="2.4223600000000003"/>
    <n v="0"/>
    <s v="CATIVO"/>
    <n v="0"/>
    <n v="0"/>
    <n v="27"/>
    <n v="81"/>
    <n v="0"/>
    <n v="641.99"/>
    <n v="430.87"/>
    <m/>
    <n v="747.73459855656426"/>
    <n v="375.70671275609089"/>
    <n v="0"/>
    <n v="225.9872303999997"/>
    <n v="0"/>
    <n v="236.64167781489738"/>
    <x v="3"/>
  </r>
  <r>
    <s v="Sistema de Compensação"/>
    <x v="2"/>
    <x v="2"/>
    <x v="3"/>
    <x v="1"/>
    <x v="0"/>
    <x v="0"/>
    <x v="1"/>
    <x v="9"/>
    <n v="0"/>
    <n v="0"/>
    <n v="24.263000000000002"/>
    <n v="22.321960000000004"/>
    <n v="24.263000000000002"/>
    <n v="22.321960000000004"/>
    <n v="0"/>
    <s v="CATIVO"/>
    <n v="0"/>
    <n v="0"/>
    <n v="27"/>
    <n v="81"/>
    <n v="0"/>
    <n v="641.99"/>
    <n v="430.87"/>
    <m/>
    <n v="747.73459855656426"/>
    <n v="375.70671275609089"/>
    <n v="0"/>
    <n v="2082.4641743999973"/>
    <n v="0"/>
    <n v="2180.6445229103133"/>
    <x v="3"/>
  </r>
  <r>
    <s v="Regular"/>
    <x v="2"/>
    <x v="2"/>
    <x v="3"/>
    <x v="1"/>
    <x v="0"/>
    <x v="0"/>
    <x v="1"/>
    <x v="10"/>
    <n v="0"/>
    <n v="0"/>
    <n v="159.03899999999999"/>
    <n v="146.31587999999999"/>
    <n v="159.03899999999999"/>
    <n v="146.31587999999999"/>
    <n v="0"/>
    <s v="CATIVO"/>
    <n v="0"/>
    <n v="0"/>
    <n v="27"/>
    <n v="81"/>
    <n v="0"/>
    <n v="641.99"/>
    <n v="430.87"/>
    <m/>
    <n v="747.73459855656426"/>
    <n v="375.70671275609089"/>
    <n v="0"/>
    <n v="13650.126523199993"/>
    <n v="0"/>
    <n v="14293.678616788262"/>
    <x v="3"/>
  </r>
  <r>
    <s v="Refaturamento - Regular"/>
    <x v="2"/>
    <x v="2"/>
    <x v="3"/>
    <x v="1"/>
    <x v="0"/>
    <x v="0"/>
    <x v="1"/>
    <x v="10"/>
    <n v="0"/>
    <n v="0"/>
    <n v="7.7350000000000003"/>
    <n v="7.116200000000001"/>
    <n v="7.7350000000000003"/>
    <n v="7.116200000000001"/>
    <n v="0"/>
    <s v="CATIVO"/>
    <n v="0"/>
    <n v="0"/>
    <n v="27"/>
    <n v="81"/>
    <n v="0"/>
    <n v="641.99"/>
    <n v="430.87"/>
    <m/>
    <n v="747.73459855656426"/>
    <n v="375.70671275609089"/>
    <n v="0"/>
    <n v="663.8857679999993"/>
    <n v="0"/>
    <n v="695.18548344027033"/>
    <x v="3"/>
  </r>
  <r>
    <s v="Sistema de Compensação"/>
    <x v="2"/>
    <x v="2"/>
    <x v="3"/>
    <x v="1"/>
    <x v="0"/>
    <x v="0"/>
    <x v="1"/>
    <x v="10"/>
    <n v="0"/>
    <n v="0"/>
    <n v="31.681999999999999"/>
    <n v="29.14744"/>
    <n v="31.681999999999999"/>
    <n v="29.14744"/>
    <n v="0"/>
    <s v="CATIVO"/>
    <n v="0"/>
    <n v="0"/>
    <n v="27"/>
    <n v="81"/>
    <n v="0"/>
    <n v="641.99"/>
    <n v="430.87"/>
    <m/>
    <n v="747.73459855656426"/>
    <n v="375.70671275609089"/>
    <n v="0"/>
    <n v="2719.228041599999"/>
    <n v="0"/>
    <n v="2847.4294100006018"/>
    <x v="3"/>
  </r>
  <r>
    <s v="PROJETADO"/>
    <x v="2"/>
    <x v="2"/>
    <x v="3"/>
    <x v="1"/>
    <x v="0"/>
    <x v="0"/>
    <x v="1"/>
    <x v="11"/>
    <n v="0"/>
    <n v="0"/>
    <n v="159.03899999999999"/>
    <n v="146.31587999999999"/>
    <n v="159.03899999999999"/>
    <n v="146.31587999999999"/>
    <n v="0"/>
    <s v="CATIVO"/>
    <n v="0"/>
    <n v="0"/>
    <n v="27"/>
    <n v="81"/>
    <n v="0"/>
    <n v="641.99"/>
    <n v="430.87"/>
    <m/>
    <n v="747.73459855656426"/>
    <n v="375.70671275609089"/>
    <n v="0"/>
    <n v="13650.126523199993"/>
    <n v="0"/>
    <n v="14293.678616788262"/>
    <x v="3"/>
  </r>
  <r>
    <s v="PROJETADO"/>
    <x v="2"/>
    <x v="2"/>
    <x v="3"/>
    <x v="1"/>
    <x v="0"/>
    <x v="0"/>
    <x v="1"/>
    <x v="11"/>
    <n v="0"/>
    <n v="0"/>
    <n v="7.7350000000000003"/>
    <n v="7.116200000000001"/>
    <n v="7.7350000000000003"/>
    <n v="7.116200000000001"/>
    <n v="0"/>
    <s v="CATIVO"/>
    <n v="0"/>
    <n v="0"/>
    <n v="27"/>
    <n v="81"/>
    <n v="0"/>
    <n v="641.99"/>
    <n v="430.87"/>
    <m/>
    <n v="747.73459855656426"/>
    <n v="375.70671275609089"/>
    <n v="0"/>
    <n v="663.8857679999993"/>
    <n v="0"/>
    <n v="695.18548344027033"/>
    <x v="3"/>
  </r>
  <r>
    <s v="PROJETADO"/>
    <x v="2"/>
    <x v="2"/>
    <x v="3"/>
    <x v="1"/>
    <x v="0"/>
    <x v="0"/>
    <x v="1"/>
    <x v="11"/>
    <n v="0"/>
    <n v="0"/>
    <n v="31.681999999999999"/>
    <n v="29.14744"/>
    <n v="31.681999999999999"/>
    <n v="29.14744"/>
    <n v="0"/>
    <s v="CATIVO"/>
    <n v="0"/>
    <n v="0"/>
    <n v="27"/>
    <n v="81"/>
    <n v="0"/>
    <n v="641.99"/>
    <n v="430.87"/>
    <m/>
    <n v="747.73459855656426"/>
    <n v="375.70671275609089"/>
    <n v="0"/>
    <n v="2719.228041599999"/>
    <n v="0"/>
    <n v="2847.4294100006018"/>
    <x v="3"/>
  </r>
  <r>
    <s v="Regular"/>
    <x v="2"/>
    <x v="2"/>
    <x v="0"/>
    <x v="0"/>
    <x v="0"/>
    <x v="0"/>
    <x v="0"/>
    <x v="0"/>
    <n v="0"/>
    <n v="0"/>
    <n v="5354.7449999999999"/>
    <n v="4712.1755999999996"/>
    <n v="5354.7449999999999"/>
    <n v="4712.1755999999996"/>
    <n v="0"/>
    <s v="CATIVO"/>
    <n v="0"/>
    <n v="0"/>
    <n v="28"/>
    <n v="82"/>
    <n v="0"/>
    <n v="84.45"/>
    <n v="256.38"/>
    <m/>
    <n v="87.520205040180812"/>
    <n v="230.84299908458948"/>
    <n v="0"/>
    <n v="219006.92860200009"/>
    <n v="0"/>
    <n v="204570.45305653129"/>
    <x v="0"/>
  </r>
  <r>
    <s v="Regular"/>
    <x v="2"/>
    <x v="2"/>
    <x v="0"/>
    <x v="0"/>
    <x v="0"/>
    <x v="0"/>
    <x v="0"/>
    <x v="1"/>
    <n v="0"/>
    <n v="0"/>
    <n v="5316.1350000000002"/>
    <n v="4678.1988000000001"/>
    <n v="5316.1350000000002"/>
    <n v="4678.1988000000001"/>
    <n v="0"/>
    <s v="CATIVO"/>
    <n v="0"/>
    <n v="0"/>
    <n v="28"/>
    <n v="82"/>
    <n v="0"/>
    <n v="84.45"/>
    <n v="256.38"/>
    <m/>
    <n v="87.520205040180812"/>
    <n v="230.84299908458948"/>
    <n v="0"/>
    <n v="217427.79504600004"/>
    <n v="0"/>
    <n v="203095.41265918032"/>
    <x v="0"/>
  </r>
  <r>
    <s v="Regular"/>
    <x v="2"/>
    <x v="2"/>
    <x v="0"/>
    <x v="0"/>
    <x v="0"/>
    <x v="0"/>
    <x v="0"/>
    <x v="2"/>
    <n v="0"/>
    <n v="0"/>
    <n v="4739.692"/>
    <n v="4170.9289600000002"/>
    <n v="4739.692"/>
    <n v="4170.9289600000002"/>
    <n v="0"/>
    <s v="CATIVO"/>
    <n v="0"/>
    <n v="0"/>
    <n v="28"/>
    <n v="82"/>
    <n v="0"/>
    <n v="84.45"/>
    <n v="256.38"/>
    <m/>
    <n v="87.520205040180812"/>
    <n v="230.84299908458948"/>
    <n v="0"/>
    <n v="193851.50692319992"/>
    <n v="0"/>
    <n v="181073.22380214481"/>
    <x v="0"/>
  </r>
  <r>
    <s v="Regular"/>
    <x v="2"/>
    <x v="2"/>
    <x v="0"/>
    <x v="0"/>
    <x v="0"/>
    <x v="0"/>
    <x v="0"/>
    <x v="3"/>
    <n v="0"/>
    <n v="0"/>
    <n v="5425.13"/>
    <n v="4774.1144000000004"/>
    <n v="5425.13"/>
    <n v="4774.1144000000004"/>
    <n v="0"/>
    <s v="CATIVO"/>
    <n v="0"/>
    <n v="0"/>
    <n v="28"/>
    <n v="82"/>
    <n v="0"/>
    <n v="84.45"/>
    <n v="256.38"/>
    <m/>
    <n v="87.520205040180812"/>
    <n v="230.84299908458948"/>
    <n v="0"/>
    <n v="221885.64694799992"/>
    <n v="0"/>
    <n v="207259.41235120973"/>
    <x v="0"/>
  </r>
  <r>
    <s v="Regular"/>
    <x v="2"/>
    <x v="2"/>
    <x v="0"/>
    <x v="0"/>
    <x v="0"/>
    <x v="0"/>
    <x v="0"/>
    <x v="4"/>
    <n v="0"/>
    <n v="0"/>
    <n v="5529.4539999999997"/>
    <n v="4865.9195199999995"/>
    <n v="5529.4539999999997"/>
    <n v="4865.9195199999995"/>
    <n v="0"/>
    <s v="CATIVO"/>
    <n v="0"/>
    <n v="0"/>
    <n v="28"/>
    <n v="82"/>
    <n v="0"/>
    <n v="84.45"/>
    <n v="256.38"/>
    <m/>
    <n v="87.520205040180812"/>
    <n v="230.84299908458948"/>
    <n v="0"/>
    <n v="226152.4568184001"/>
    <n v="0"/>
    <n v="211244.96310006338"/>
    <x v="0"/>
  </r>
  <r>
    <s v="Regular"/>
    <x v="2"/>
    <x v="2"/>
    <x v="0"/>
    <x v="0"/>
    <x v="0"/>
    <x v="0"/>
    <x v="0"/>
    <x v="5"/>
    <n v="0"/>
    <n v="0"/>
    <n v="5158.1980000000003"/>
    <n v="4539.2142400000002"/>
    <n v="5158.1980000000003"/>
    <n v="4539.2142400000002"/>
    <n v="0"/>
    <s v="CATIVO"/>
    <n v="0"/>
    <n v="0"/>
    <n v="28"/>
    <n v="82"/>
    <n v="0"/>
    <n v="84.45"/>
    <n v="256.38"/>
    <m/>
    <n v="87.520205040180812"/>
    <n v="230.84299908458948"/>
    <n v="0"/>
    <n v="210968.23492080002"/>
    <n v="0"/>
    <n v="197061.65313479785"/>
    <x v="0"/>
  </r>
  <r>
    <s v="Regular"/>
    <x v="2"/>
    <x v="2"/>
    <x v="0"/>
    <x v="0"/>
    <x v="0"/>
    <x v="0"/>
    <x v="0"/>
    <x v="6"/>
    <n v="0"/>
    <n v="0"/>
    <n v="5236.3900000000003"/>
    <n v="4608.0232000000005"/>
    <n v="5236.3900000000003"/>
    <n v="4608.0232000000005"/>
    <n v="0"/>
    <s v="CATIVO"/>
    <n v="0"/>
    <n v="0"/>
    <n v="28"/>
    <n v="82"/>
    <n v="0"/>
    <n v="84.45"/>
    <n v="256.38"/>
    <m/>
    <n v="87.520205040180812"/>
    <n v="230.84299908458948"/>
    <n v="0"/>
    <n v="214166.25644399994"/>
    <n v="0"/>
    <n v="200048.86781362863"/>
    <x v="0"/>
  </r>
  <r>
    <s v="Regular"/>
    <x v="2"/>
    <x v="2"/>
    <x v="0"/>
    <x v="0"/>
    <x v="0"/>
    <x v="0"/>
    <x v="0"/>
    <x v="7"/>
    <n v="0"/>
    <n v="0"/>
    <n v="4846.5690000000004"/>
    <n v="4264.9807200000005"/>
    <n v="4846.5690000000004"/>
    <n v="4264.9807200000005"/>
    <n v="0"/>
    <s v="CATIVO"/>
    <n v="0"/>
    <n v="0"/>
    <n v="28"/>
    <n v="82"/>
    <n v="0"/>
    <n v="84.45"/>
    <n v="256.38"/>
    <m/>
    <n v="87.520205040180812"/>
    <n v="230.84299908458948"/>
    <n v="0"/>
    <n v="198222.73347239997"/>
    <n v="0"/>
    <n v="185156.30830221405"/>
    <x v="0"/>
  </r>
  <r>
    <s v="Regular"/>
    <x v="2"/>
    <x v="2"/>
    <x v="0"/>
    <x v="0"/>
    <x v="0"/>
    <x v="0"/>
    <x v="0"/>
    <x v="8"/>
    <n v="0"/>
    <n v="0"/>
    <n v="4807.7939999999999"/>
    <n v="4230.8587200000002"/>
    <n v="4807.7939999999999"/>
    <n v="4230.8587200000002"/>
    <n v="0"/>
    <s v="CATIVO"/>
    <n v="0"/>
    <n v="0"/>
    <n v="28"/>
    <n v="82"/>
    <n v="0"/>
    <n v="84.45"/>
    <n v="256.38"/>
    <m/>
    <n v="87.520205040180812"/>
    <n v="230.84299908458948"/>
    <n v="0"/>
    <n v="196636.85148239988"/>
    <n v="0"/>
    <n v="183674.9643134214"/>
    <x v="0"/>
  </r>
  <r>
    <s v="Regular"/>
    <x v="2"/>
    <x v="2"/>
    <x v="0"/>
    <x v="0"/>
    <x v="0"/>
    <x v="0"/>
    <x v="0"/>
    <x v="9"/>
    <n v="0"/>
    <n v="0"/>
    <n v="4652.2060000000001"/>
    <n v="4093.94128"/>
    <n v="4652.2060000000001"/>
    <n v="4093.94128"/>
    <n v="0"/>
    <s v="CATIVO"/>
    <n v="0"/>
    <n v="0"/>
    <n v="28"/>
    <n v="82"/>
    <n v="0"/>
    <n v="84.45"/>
    <n v="256.38"/>
    <m/>
    <n v="87.520205040180812"/>
    <n v="230.84299908458948"/>
    <n v="0"/>
    <n v="190273.36451760004"/>
    <n v="0"/>
    <n v="177730.94500901777"/>
    <x v="0"/>
  </r>
  <r>
    <s v="Regular"/>
    <x v="2"/>
    <x v="2"/>
    <x v="0"/>
    <x v="0"/>
    <x v="0"/>
    <x v="0"/>
    <x v="0"/>
    <x v="10"/>
    <n v="0"/>
    <n v="0"/>
    <n v="4885.2669999999998"/>
    <n v="4299.03496"/>
    <n v="4885.2669999999998"/>
    <n v="4299.03496"/>
    <n v="0"/>
    <s v="CATIVO"/>
    <n v="0"/>
    <n v="0"/>
    <n v="28"/>
    <n v="82"/>
    <n v="0"/>
    <n v="84.45"/>
    <n v="256.38"/>
    <m/>
    <n v="87.520205040180812"/>
    <n v="230.84299908458948"/>
    <n v="0"/>
    <n v="199805.46619319997"/>
    <n v="0"/>
    <n v="186634.71061500045"/>
    <x v="0"/>
  </r>
  <r>
    <s v="PROJETADO"/>
    <x v="2"/>
    <x v="2"/>
    <x v="0"/>
    <x v="0"/>
    <x v="0"/>
    <x v="0"/>
    <x v="0"/>
    <x v="11"/>
    <n v="0"/>
    <n v="0"/>
    <n v="4885.2669999999998"/>
    <n v="4299.03496"/>
    <n v="4885.2669999999998"/>
    <n v="4299.03496"/>
    <n v="0"/>
    <s v="CATIVO"/>
    <n v="0"/>
    <n v="0"/>
    <n v="28"/>
    <n v="82"/>
    <n v="0"/>
    <n v="84.45"/>
    <n v="256.38"/>
    <m/>
    <n v="87.520205040180812"/>
    <n v="230.84299908458948"/>
    <n v="0"/>
    <n v="199805.46619319997"/>
    <n v="0"/>
    <n v="186634.71061500045"/>
    <x v="0"/>
  </r>
  <r>
    <s v="Regular"/>
    <x v="2"/>
    <x v="2"/>
    <x v="0"/>
    <x v="0"/>
    <x v="0"/>
    <x v="0"/>
    <x v="2"/>
    <x v="0"/>
    <n v="17200"/>
    <n v="14620"/>
    <n v="0"/>
    <n v="0"/>
    <n v="0"/>
    <n v="0"/>
    <n v="79"/>
    <s v="CATIVO"/>
    <n v="0"/>
    <n v="26"/>
    <n v="0"/>
    <n v="0"/>
    <n v="8.81"/>
    <n v="0"/>
    <n v="0"/>
    <n v="11.452356648653195"/>
    <m/>
    <m/>
    <n v="22729.800000000003"/>
    <n v="0"/>
    <n v="29547.080153525243"/>
    <n v="0"/>
    <x v="0"/>
  </r>
  <r>
    <s v="Regular"/>
    <x v="2"/>
    <x v="2"/>
    <x v="0"/>
    <x v="0"/>
    <x v="0"/>
    <x v="0"/>
    <x v="2"/>
    <x v="1"/>
    <n v="17378"/>
    <n v="14771.3"/>
    <n v="0"/>
    <n v="0"/>
    <n v="0"/>
    <n v="0"/>
    <n v="79"/>
    <s v="CATIVO"/>
    <n v="0"/>
    <n v="26"/>
    <n v="0"/>
    <n v="0"/>
    <n v="8.81"/>
    <n v="0"/>
    <n v="0"/>
    <n v="11.452356648653195"/>
    <m/>
    <m/>
    <n v="22965.027000000009"/>
    <n v="0"/>
    <n v="29852.858076044293"/>
    <n v="0"/>
    <x v="0"/>
  </r>
  <r>
    <s v="Regular"/>
    <x v="2"/>
    <x v="2"/>
    <x v="0"/>
    <x v="0"/>
    <x v="0"/>
    <x v="0"/>
    <x v="2"/>
    <x v="2"/>
    <n v="17420"/>
    <n v="14807"/>
    <n v="0"/>
    <n v="0"/>
    <n v="0"/>
    <n v="0"/>
    <n v="79"/>
    <s v="CATIVO"/>
    <n v="0"/>
    <n v="26"/>
    <n v="0"/>
    <n v="0"/>
    <n v="8.81"/>
    <n v="0"/>
    <n v="0"/>
    <n v="11.452356648653195"/>
    <m/>
    <m/>
    <n v="23020.530000000002"/>
    <n v="0"/>
    <n v="29925.007922930799"/>
    <n v="0"/>
    <x v="0"/>
  </r>
  <r>
    <s v="Regular"/>
    <x v="2"/>
    <x v="2"/>
    <x v="0"/>
    <x v="0"/>
    <x v="0"/>
    <x v="0"/>
    <x v="2"/>
    <x v="3"/>
    <n v="17269"/>
    <n v="14678.65"/>
    <n v="0"/>
    <n v="0"/>
    <n v="0"/>
    <n v="0"/>
    <n v="79"/>
    <s v="CATIVO"/>
    <n v="0"/>
    <n v="26"/>
    <n v="0"/>
    <n v="0"/>
    <n v="8.81"/>
    <n v="0"/>
    <n v="0"/>
    <n v="11.452356648653195"/>
    <m/>
    <m/>
    <n v="22820.983500000006"/>
    <n v="0"/>
    <n v="29665.612044838806"/>
    <n v="0"/>
    <x v="0"/>
  </r>
  <r>
    <s v="Regular"/>
    <x v="2"/>
    <x v="2"/>
    <x v="0"/>
    <x v="0"/>
    <x v="0"/>
    <x v="0"/>
    <x v="2"/>
    <x v="4"/>
    <n v="17492"/>
    <n v="14868.199999999999"/>
    <n v="0"/>
    <n v="0"/>
    <n v="0"/>
    <n v="0"/>
    <n v="79"/>
    <s v="CATIVO"/>
    <n v="0"/>
    <n v="26"/>
    <n v="0"/>
    <n v="0"/>
    <n v="8.81"/>
    <n v="0"/>
    <n v="0"/>
    <n v="11.452356648653195"/>
    <m/>
    <m/>
    <n v="23115.678000000011"/>
    <n v="0"/>
    <n v="30048.693374736267"/>
    <n v="0"/>
    <x v="0"/>
  </r>
  <r>
    <s v="Regular"/>
    <x v="2"/>
    <x v="2"/>
    <x v="0"/>
    <x v="0"/>
    <x v="0"/>
    <x v="0"/>
    <x v="2"/>
    <x v="5"/>
    <n v="17490"/>
    <n v="14866.5"/>
    <n v="0"/>
    <n v="0"/>
    <n v="0"/>
    <n v="0"/>
    <n v="80"/>
    <s v="CATIVO"/>
    <n v="0"/>
    <n v="26"/>
    <n v="0"/>
    <n v="0"/>
    <n v="8.81"/>
    <n v="0"/>
    <n v="0"/>
    <n v="11.452356648653195"/>
    <m/>
    <m/>
    <n v="23113.035"/>
    <n v="0"/>
    <n v="30045.257667741658"/>
    <n v="0"/>
    <x v="0"/>
  </r>
  <r>
    <s v="Regular"/>
    <x v="2"/>
    <x v="2"/>
    <x v="0"/>
    <x v="0"/>
    <x v="0"/>
    <x v="0"/>
    <x v="2"/>
    <x v="6"/>
    <n v="17540"/>
    <n v="14909"/>
    <n v="0"/>
    <n v="0"/>
    <n v="0"/>
    <n v="0"/>
    <n v="80"/>
    <s v="CATIVO"/>
    <n v="0"/>
    <n v="26"/>
    <n v="0"/>
    <n v="0"/>
    <n v="8.81"/>
    <n v="0"/>
    <n v="0"/>
    <n v="11.452356648653195"/>
    <m/>
    <m/>
    <n v="23179.11"/>
    <n v="0"/>
    <n v="30131.150342606557"/>
    <n v="0"/>
    <x v="0"/>
  </r>
  <r>
    <s v="Regular"/>
    <x v="2"/>
    <x v="2"/>
    <x v="0"/>
    <x v="0"/>
    <x v="0"/>
    <x v="0"/>
    <x v="2"/>
    <x v="7"/>
    <n v="17393"/>
    <n v="14784.05"/>
    <n v="0"/>
    <n v="0"/>
    <n v="0"/>
    <n v="0"/>
    <n v="80"/>
    <s v="CATIVO"/>
    <n v="0"/>
    <n v="26"/>
    <n v="0"/>
    <n v="0"/>
    <n v="8.81"/>
    <n v="0"/>
    <n v="0"/>
    <n v="11.452356648653195"/>
    <m/>
    <m/>
    <n v="22984.849500000008"/>
    <n v="0"/>
    <n v="29878.625878503761"/>
    <n v="0"/>
    <x v="0"/>
  </r>
  <r>
    <s v="Regular"/>
    <x v="2"/>
    <x v="2"/>
    <x v="0"/>
    <x v="0"/>
    <x v="0"/>
    <x v="0"/>
    <x v="2"/>
    <x v="8"/>
    <n v="17394"/>
    <n v="14784.9"/>
    <n v="0"/>
    <n v="0"/>
    <n v="0"/>
    <n v="0"/>
    <n v="80"/>
    <s v="CATIVO"/>
    <n v="0"/>
    <n v="26"/>
    <n v="0"/>
    <n v="0"/>
    <n v="8.81"/>
    <n v="0"/>
    <n v="0"/>
    <n v="11.452356648653195"/>
    <m/>
    <m/>
    <n v="22986.171000000006"/>
    <n v="0"/>
    <n v="29880.343732001056"/>
    <n v="0"/>
    <x v="0"/>
  </r>
  <r>
    <s v="Regular"/>
    <x v="2"/>
    <x v="2"/>
    <x v="0"/>
    <x v="0"/>
    <x v="0"/>
    <x v="0"/>
    <x v="2"/>
    <x v="9"/>
    <n v="17377"/>
    <n v="14770.449999999999"/>
    <n v="0"/>
    <n v="0"/>
    <n v="0"/>
    <n v="0"/>
    <n v="80"/>
    <s v="CATIVO"/>
    <n v="0"/>
    <n v="26"/>
    <n v="0"/>
    <n v="0"/>
    <n v="8.81"/>
    <n v="0"/>
    <n v="0"/>
    <n v="11.452356648653195"/>
    <m/>
    <m/>
    <n v="22963.705500000011"/>
    <n v="0"/>
    <n v="29851.140222546997"/>
    <n v="0"/>
    <x v="0"/>
  </r>
  <r>
    <s v="Regular"/>
    <x v="2"/>
    <x v="2"/>
    <x v="0"/>
    <x v="0"/>
    <x v="0"/>
    <x v="0"/>
    <x v="2"/>
    <x v="10"/>
    <n v="17469"/>
    <n v="14848.65"/>
    <n v="0"/>
    <n v="0"/>
    <n v="0"/>
    <n v="0"/>
    <n v="80"/>
    <s v="CATIVO"/>
    <n v="0"/>
    <n v="26"/>
    <n v="0"/>
    <n v="0"/>
    <n v="8.81"/>
    <n v="0"/>
    <n v="0"/>
    <n v="11.452356648653195"/>
    <m/>
    <m/>
    <n v="23085.283500000005"/>
    <n v="0"/>
    <n v="30009.182744298403"/>
    <n v="0"/>
    <x v="0"/>
  </r>
  <r>
    <s v="PROJETADO"/>
    <x v="2"/>
    <x v="2"/>
    <x v="0"/>
    <x v="0"/>
    <x v="0"/>
    <x v="0"/>
    <x v="2"/>
    <x v="11"/>
    <n v="17469"/>
    <n v="14848.65"/>
    <n v="0"/>
    <n v="0"/>
    <n v="0"/>
    <n v="0"/>
    <n v="80"/>
    <s v="CATIVO"/>
    <n v="0"/>
    <n v="26"/>
    <n v="0"/>
    <n v="0"/>
    <n v="8.81"/>
    <n v="0"/>
    <n v="0"/>
    <n v="11.452356648653195"/>
    <m/>
    <m/>
    <n v="23085.283500000005"/>
    <n v="0"/>
    <n v="30009.182744298403"/>
    <n v="0"/>
    <x v="0"/>
  </r>
  <r>
    <s v="Regular"/>
    <x v="2"/>
    <x v="2"/>
    <x v="0"/>
    <x v="0"/>
    <x v="0"/>
    <x v="0"/>
    <x v="1"/>
    <x v="0"/>
    <n v="0"/>
    <n v="0"/>
    <n v="500.017"/>
    <n v="440.01495999999997"/>
    <n v="500.017"/>
    <n v="440.01495999999997"/>
    <n v="0"/>
    <s v="CATIVO"/>
    <n v="0"/>
    <n v="0"/>
    <n v="27"/>
    <n v="81"/>
    <n v="0"/>
    <n v="641.99"/>
    <n v="430.87"/>
    <m/>
    <n v="747.73459855656426"/>
    <n v="375.70671275609089"/>
    <n v="0"/>
    <n v="64373.788634400022"/>
    <n v="0"/>
    <n v="67408.770499034406"/>
    <x v="0"/>
  </r>
  <r>
    <s v="Regular"/>
    <x v="2"/>
    <x v="2"/>
    <x v="0"/>
    <x v="0"/>
    <x v="0"/>
    <x v="0"/>
    <x v="1"/>
    <x v="1"/>
    <n v="0"/>
    <n v="0"/>
    <n v="475.28300000000002"/>
    <n v="418.24904000000004"/>
    <n v="475.28300000000002"/>
    <n v="418.24904000000004"/>
    <n v="0"/>
    <s v="CATIVO"/>
    <n v="0"/>
    <n v="0"/>
    <n v="27"/>
    <n v="81"/>
    <n v="0"/>
    <n v="641.99"/>
    <n v="430.87"/>
    <m/>
    <n v="747.73459855656426"/>
    <n v="375.70671275609089"/>
    <n v="0"/>
    <n v="61189.454325599974"/>
    <n v="0"/>
    <n v="64074.306811753493"/>
    <x v="0"/>
  </r>
  <r>
    <s v="Regular"/>
    <x v="2"/>
    <x v="2"/>
    <x v="0"/>
    <x v="0"/>
    <x v="0"/>
    <x v="0"/>
    <x v="1"/>
    <x v="2"/>
    <n v="0"/>
    <n v="0"/>
    <n v="456.238"/>
    <n v="401.48944"/>
    <n v="456.238"/>
    <n v="401.48944"/>
    <n v="0"/>
    <s v="CATIVO"/>
    <n v="0"/>
    <n v="0"/>
    <n v="27"/>
    <n v="81"/>
    <n v="0"/>
    <n v="641.99"/>
    <n v="430.87"/>
    <m/>
    <n v="747.73459855656426"/>
    <n v="375.70671275609089"/>
    <n v="0"/>
    <n v="58737.540081599996"/>
    <n v="0"/>
    <n v="61506.794038879576"/>
    <x v="0"/>
  </r>
  <r>
    <s v="Regular"/>
    <x v="2"/>
    <x v="2"/>
    <x v="0"/>
    <x v="0"/>
    <x v="0"/>
    <x v="0"/>
    <x v="1"/>
    <x v="3"/>
    <n v="0"/>
    <n v="0"/>
    <n v="508.66"/>
    <n v="447.62080000000003"/>
    <n v="508.66"/>
    <n v="447.62080000000003"/>
    <n v="0"/>
    <s v="CATIVO"/>
    <n v="0"/>
    <n v="0"/>
    <n v="27"/>
    <n v="81"/>
    <n v="0"/>
    <n v="641.99"/>
    <n v="430.87"/>
    <m/>
    <n v="747.73459855656426"/>
    <n v="375.70671275609089"/>
    <n v="0"/>
    <n v="65486.516111999998"/>
    <n v="0"/>
    <n v="68573.958889475412"/>
    <x v="0"/>
  </r>
  <r>
    <s v="Regular"/>
    <x v="2"/>
    <x v="2"/>
    <x v="0"/>
    <x v="0"/>
    <x v="0"/>
    <x v="0"/>
    <x v="1"/>
    <x v="4"/>
    <n v="0"/>
    <n v="0"/>
    <n v="536.274"/>
    <n v="471.92112000000003"/>
    <n v="536.274"/>
    <n v="471.92112000000003"/>
    <n v="0"/>
    <s v="CATIVO"/>
    <n v="0"/>
    <n v="0"/>
    <n v="27"/>
    <n v="81"/>
    <n v="0"/>
    <n v="641.99"/>
    <n v="430.87"/>
    <m/>
    <n v="747.73459855656426"/>
    <n v="375.70671275609089"/>
    <n v="0"/>
    <n v="69041.630836799974"/>
    <n v="0"/>
    <n v="72296.683893945912"/>
    <x v="0"/>
  </r>
  <r>
    <s v="Regular"/>
    <x v="2"/>
    <x v="2"/>
    <x v="0"/>
    <x v="0"/>
    <x v="0"/>
    <x v="0"/>
    <x v="1"/>
    <x v="5"/>
    <n v="0"/>
    <n v="0"/>
    <n v="481.88099999999997"/>
    <n v="424.05527999999998"/>
    <n v="481.88099999999997"/>
    <n v="424.05527999999998"/>
    <n v="0"/>
    <s v="CATIVO"/>
    <n v="0"/>
    <n v="0"/>
    <n v="27"/>
    <n v="81"/>
    <n v="0"/>
    <n v="641.99"/>
    <n v="430.87"/>
    <m/>
    <n v="747.73459855656426"/>
    <n v="375.70671275609089"/>
    <n v="0"/>
    <n v="62038.90195919999"/>
    <n v="0"/>
    <n v="64963.802704398418"/>
    <x v="0"/>
  </r>
  <r>
    <s v="Regular"/>
    <x v="2"/>
    <x v="2"/>
    <x v="0"/>
    <x v="0"/>
    <x v="0"/>
    <x v="0"/>
    <x v="1"/>
    <x v="6"/>
    <n v="0"/>
    <n v="0"/>
    <n v="503.37200000000001"/>
    <n v="442.96736000000004"/>
    <n v="503.37200000000001"/>
    <n v="442.96736000000004"/>
    <n v="0"/>
    <s v="CATIVO"/>
    <n v="0"/>
    <n v="0"/>
    <n v="27"/>
    <n v="81"/>
    <n v="0"/>
    <n v="641.99"/>
    <n v="430.87"/>
    <m/>
    <n v="747.73459855656426"/>
    <n v="375.70671275609089"/>
    <n v="0"/>
    <n v="64805.72207039997"/>
    <n v="0"/>
    <n v="67861.067970968827"/>
    <x v="0"/>
  </r>
  <r>
    <s v="Regular"/>
    <x v="2"/>
    <x v="2"/>
    <x v="0"/>
    <x v="0"/>
    <x v="0"/>
    <x v="0"/>
    <x v="1"/>
    <x v="7"/>
    <n v="0"/>
    <n v="0"/>
    <n v="438.33699999999999"/>
    <n v="385.73656"/>
    <n v="438.33699999999999"/>
    <n v="385.73656"/>
    <n v="0"/>
    <s v="CATIVO"/>
    <n v="0"/>
    <n v="0"/>
    <n v="27"/>
    <n v="81"/>
    <n v="0"/>
    <n v="641.99"/>
    <n v="430.87"/>
    <m/>
    <n v="747.73459855656426"/>
    <n v="375.70671275609089"/>
    <n v="0"/>
    <n v="56432.908058399989"/>
    <n v="0"/>
    <n v="59093.507289222631"/>
    <x v="0"/>
  </r>
  <r>
    <s v="Regular"/>
    <x v="2"/>
    <x v="2"/>
    <x v="0"/>
    <x v="0"/>
    <x v="0"/>
    <x v="0"/>
    <x v="1"/>
    <x v="8"/>
    <n v="0"/>
    <n v="0"/>
    <n v="470.84800000000001"/>
    <n v="414.34624000000002"/>
    <n v="470.84800000000001"/>
    <n v="414.34624000000002"/>
    <n v="0"/>
    <s v="CATIVO"/>
    <n v="0"/>
    <n v="0"/>
    <n v="27"/>
    <n v="81"/>
    <n v="0"/>
    <n v="641.99"/>
    <n v="430.87"/>
    <m/>
    <n v="747.73459855656426"/>
    <n v="375.70671275609089"/>
    <n v="0"/>
    <n v="60618.478233599992"/>
    <n v="0"/>
    <n v="63476.411345872912"/>
    <x v="0"/>
  </r>
  <r>
    <s v="Regular"/>
    <x v="2"/>
    <x v="2"/>
    <x v="0"/>
    <x v="0"/>
    <x v="0"/>
    <x v="0"/>
    <x v="1"/>
    <x v="9"/>
    <n v="0"/>
    <n v="0"/>
    <n v="455.96699999999998"/>
    <n v="401.25095999999996"/>
    <n v="455.96699999999998"/>
    <n v="401.25095999999996"/>
    <n v="0"/>
    <s v="CATIVO"/>
    <n v="0"/>
    <n v="0"/>
    <n v="27"/>
    <n v="81"/>
    <n v="0"/>
    <n v="641.99"/>
    <n v="430.87"/>
    <m/>
    <n v="747.73459855656426"/>
    <n v="375.70671275609089"/>
    <n v="0"/>
    <n v="58702.650674400022"/>
    <n v="0"/>
    <n v="61470.259727435718"/>
    <x v="0"/>
  </r>
  <r>
    <s v="Regular"/>
    <x v="2"/>
    <x v="2"/>
    <x v="0"/>
    <x v="0"/>
    <x v="0"/>
    <x v="0"/>
    <x v="1"/>
    <x v="10"/>
    <n v="0"/>
    <n v="0"/>
    <n v="487.88499999999999"/>
    <n v="429.33879999999999"/>
    <n v="487.88499999999999"/>
    <n v="429.33879999999999"/>
    <n v="0"/>
    <s v="CATIVO"/>
    <n v="0"/>
    <n v="0"/>
    <n v="27"/>
    <n v="81"/>
    <n v="0"/>
    <n v="641.99"/>
    <n v="430.87"/>
    <m/>
    <n v="747.73459855656426"/>
    <n v="375.70671275609089"/>
    <n v="0"/>
    <n v="62811.876131999998"/>
    <n v="0"/>
    <n v="65773.219700372967"/>
    <x v="0"/>
  </r>
  <r>
    <s v="PROJETADO"/>
    <x v="2"/>
    <x v="2"/>
    <x v="0"/>
    <x v="0"/>
    <x v="0"/>
    <x v="0"/>
    <x v="1"/>
    <x v="11"/>
    <n v="0"/>
    <n v="0"/>
    <n v="487.88499999999999"/>
    <n v="429.33879999999999"/>
    <n v="487.88499999999999"/>
    <n v="429.33879999999999"/>
    <n v="0"/>
    <s v="CATIVO"/>
    <n v="0"/>
    <n v="0"/>
    <n v="27"/>
    <n v="81"/>
    <n v="0"/>
    <n v="641.99"/>
    <n v="430.87"/>
    <m/>
    <n v="747.73459855656426"/>
    <n v="375.70671275609089"/>
    <n v="0"/>
    <n v="62811.876131999998"/>
    <n v="0"/>
    <n v="65773.219700372967"/>
    <x v="0"/>
  </r>
  <r>
    <s v="Regular"/>
    <x v="3"/>
    <x v="0"/>
    <x v="2"/>
    <x v="1"/>
    <x v="1"/>
    <x v="0"/>
    <x v="0"/>
    <x v="0"/>
    <n v="11307"/>
    <n v="7176.8075336399997"/>
    <n v="0"/>
    <n v="0"/>
    <n v="0"/>
    <n v="0"/>
    <n v="0"/>
    <s v="LIVRE"/>
    <n v="0"/>
    <n v="32"/>
    <n v="0"/>
    <n v="0"/>
    <n v="12.24"/>
    <n v="0"/>
    <n v="0"/>
    <n v="16.00053546174815"/>
    <n v="112.98053114414617"/>
    <m/>
    <n v="50553.555788246405"/>
    <n v="0"/>
    <n v="66085.291021838231"/>
    <n v="0"/>
    <x v="2"/>
  </r>
  <r>
    <s v="Regular"/>
    <x v="3"/>
    <x v="0"/>
    <x v="2"/>
    <x v="1"/>
    <x v="1"/>
    <x v="0"/>
    <x v="0"/>
    <x v="1"/>
    <n v="11307"/>
    <n v="7197.53134245"/>
    <n v="0"/>
    <n v="0"/>
    <n v="0"/>
    <n v="0"/>
    <n v="0"/>
    <s v="LIVRE"/>
    <n v="0"/>
    <n v="32"/>
    <n v="0"/>
    <n v="0"/>
    <n v="12.24"/>
    <n v="0"/>
    <n v="0"/>
    <n v="16.00053546174815"/>
    <n v="112.98053114414617"/>
    <m/>
    <n v="50299.896368412003"/>
    <n v="0"/>
    <n v="65753.698984071336"/>
    <n v="0"/>
    <x v="2"/>
  </r>
  <r>
    <s v="Regular"/>
    <x v="3"/>
    <x v="0"/>
    <x v="2"/>
    <x v="1"/>
    <x v="1"/>
    <x v="0"/>
    <x v="0"/>
    <x v="2"/>
    <n v="11307"/>
    <n v="7234.7516119800002"/>
    <n v="0"/>
    <n v="0"/>
    <n v="0"/>
    <n v="0"/>
    <n v="0"/>
    <s v="LIVRE"/>
    <n v="0"/>
    <n v="32"/>
    <n v="0"/>
    <n v="0"/>
    <n v="12.24"/>
    <n v="0"/>
    <n v="0"/>
    <n v="16.00053546174815"/>
    <n v="112.98053114414617"/>
    <m/>
    <n v="49844.320269364798"/>
    <n v="0"/>
    <n v="65158.154741560749"/>
    <n v="0"/>
    <x v="2"/>
  </r>
  <r>
    <s v="Regular"/>
    <x v="3"/>
    <x v="0"/>
    <x v="2"/>
    <x v="1"/>
    <x v="1"/>
    <x v="0"/>
    <x v="0"/>
    <x v="3"/>
    <n v="12948"/>
    <n v="8757.7600827599999"/>
    <n v="0"/>
    <n v="0"/>
    <n v="0"/>
    <n v="0"/>
    <n v="0"/>
    <s v="LIVRE"/>
    <n v="0"/>
    <n v="32"/>
    <n v="0"/>
    <n v="0"/>
    <n v="12.24"/>
    <n v="0"/>
    <n v="0"/>
    <n v="16.00053546174815"/>
    <n v="112.98053114414617"/>
    <m/>
    <n v="51288.536587017603"/>
    <n v="0"/>
    <n v="67046.08238903126"/>
    <n v="0"/>
    <x v="2"/>
  </r>
  <r>
    <s v="Regular"/>
    <x v="3"/>
    <x v="0"/>
    <x v="2"/>
    <x v="1"/>
    <x v="1"/>
    <x v="0"/>
    <x v="0"/>
    <x v="4"/>
    <n v="12887"/>
    <n v="8219.4699703900005"/>
    <n v="0"/>
    <n v="0"/>
    <n v="0"/>
    <n v="0"/>
    <n v="0"/>
    <s v="LIVRE"/>
    <n v="0"/>
    <n v="32"/>
    <n v="0"/>
    <n v="0"/>
    <n v="12.24"/>
    <n v="0"/>
    <n v="0"/>
    <n v="16.00053546174815"/>
    <n v="112.98053114414617"/>
    <m/>
    <n v="57130.567562426397"/>
    <n v="0"/>
    <n v="74682.979757549183"/>
    <n v="0"/>
    <x v="2"/>
  </r>
  <r>
    <s v="Regular"/>
    <x v="3"/>
    <x v="0"/>
    <x v="2"/>
    <x v="1"/>
    <x v="1"/>
    <x v="0"/>
    <x v="0"/>
    <x v="5"/>
    <n v="12771"/>
    <n v="8162.6822204399996"/>
    <n v="0"/>
    <n v="0"/>
    <n v="0"/>
    <n v="0"/>
    <n v="0"/>
    <s v="LIVRE"/>
    <n v="0"/>
    <n v="32"/>
    <n v="0"/>
    <n v="0"/>
    <n v="12.24"/>
    <n v="0"/>
    <n v="0"/>
    <n v="16.00053546174815"/>
    <n v="112.98053114414617"/>
    <m/>
    <n v="56405.809621814406"/>
    <n v="0"/>
    <n v="73735.552050854283"/>
    <n v="0"/>
    <x v="2"/>
  </r>
  <r>
    <s v="Regular"/>
    <x v="3"/>
    <x v="0"/>
    <x v="2"/>
    <x v="1"/>
    <x v="1"/>
    <x v="0"/>
    <x v="0"/>
    <x v="6"/>
    <n v="12791"/>
    <n v="8114.6468543499996"/>
    <n v="0"/>
    <n v="0"/>
    <n v="0"/>
    <n v="0"/>
    <n v="0"/>
    <s v="LIVRE"/>
    <n v="0"/>
    <n v="32"/>
    <n v="0"/>
    <n v="0"/>
    <n v="12.24"/>
    <n v="0"/>
    <n v="0"/>
    <n v="16.00053546174815"/>
    <n v="112.98053114414617"/>
    <m/>
    <n v="57238.562502756009"/>
    <n v="0"/>
    <n v="74824.154338630338"/>
    <n v="0"/>
    <x v="2"/>
  </r>
  <r>
    <s v="Regular"/>
    <x v="3"/>
    <x v="0"/>
    <x v="2"/>
    <x v="1"/>
    <x v="1"/>
    <x v="0"/>
    <x v="0"/>
    <x v="7"/>
    <n v="12848"/>
    <n v="8385.0359788799997"/>
    <n v="0"/>
    <n v="0"/>
    <n v="0"/>
    <n v="0"/>
    <n v="0"/>
    <s v="LIVRE"/>
    <n v="0"/>
    <n v="32"/>
    <n v="0"/>
    <n v="0"/>
    <n v="12.24"/>
    <n v="0"/>
    <n v="0"/>
    <n v="16.00053546174815"/>
    <n v="112.98053114414617"/>
    <m/>
    <n v="54626.679618508802"/>
    <n v="0"/>
    <n v="71409.814084436686"/>
    <n v="0"/>
    <x v="2"/>
  </r>
  <r>
    <s v="Regular"/>
    <x v="3"/>
    <x v="0"/>
    <x v="2"/>
    <x v="1"/>
    <x v="1"/>
    <x v="0"/>
    <x v="0"/>
    <x v="8"/>
    <n v="12848"/>
    <n v="8088.0828529600003"/>
    <n v="0"/>
    <n v="0"/>
    <n v="0"/>
    <n v="0"/>
    <n v="0"/>
    <s v="LIVRE"/>
    <n v="0"/>
    <n v="32"/>
    <n v="0"/>
    <n v="0"/>
    <n v="12.24"/>
    <n v="0"/>
    <n v="0"/>
    <n v="16.00053546174815"/>
    <n v="112.98053114414617"/>
    <m/>
    <n v="58261.385879769594"/>
    <n v="0"/>
    <n v="76161.223106196601"/>
    <n v="0"/>
    <x v="2"/>
  </r>
  <r>
    <s v="Regular"/>
    <x v="3"/>
    <x v="0"/>
    <x v="2"/>
    <x v="1"/>
    <x v="1"/>
    <x v="0"/>
    <x v="0"/>
    <x v="9"/>
    <n v="11307"/>
    <n v="7136.9102187899998"/>
    <n v="0"/>
    <n v="0"/>
    <n v="0"/>
    <n v="0"/>
    <n v="0"/>
    <s v="LIVRE"/>
    <n v="0"/>
    <n v="32"/>
    <n v="0"/>
    <n v="0"/>
    <n v="12.24"/>
    <n v="0"/>
    <n v="0"/>
    <n v="16.00053546174815"/>
    <n v="112.98053114414617"/>
    <m/>
    <n v="51041.898922010405"/>
    <n v="0"/>
    <n v="66723.669422924198"/>
    <n v="0"/>
    <x v="2"/>
  </r>
  <r>
    <s v="Regular"/>
    <x v="3"/>
    <x v="0"/>
    <x v="2"/>
    <x v="1"/>
    <x v="1"/>
    <x v="0"/>
    <x v="0"/>
    <x v="10"/>
    <n v="13737"/>
    <n v="8929.0499999999993"/>
    <n v="0"/>
    <n v="0"/>
    <n v="0"/>
    <n v="0"/>
    <n v="0"/>
    <s v="LIVRE"/>
    <n v="0"/>
    <n v="32"/>
    <n v="0"/>
    <n v="0"/>
    <n v="12.24"/>
    <n v="0"/>
    <n v="0"/>
    <n v="16.00053546174815"/>
    <n v="112.98053114414617"/>
    <m/>
    <n v="58849.308000000012"/>
    <n v="0"/>
    <n v="76929.774473312034"/>
    <n v="0"/>
    <x v="2"/>
  </r>
  <r>
    <s v="PROJETADO"/>
    <x v="3"/>
    <x v="0"/>
    <x v="2"/>
    <x v="1"/>
    <x v="1"/>
    <x v="0"/>
    <x v="0"/>
    <x v="11"/>
    <n v="13737"/>
    <n v="8929.0499999999993"/>
    <n v="0"/>
    <n v="0"/>
    <n v="0"/>
    <n v="0"/>
    <n v="0"/>
    <s v="LIVRE"/>
    <n v="0"/>
    <n v="32"/>
    <n v="0"/>
    <n v="0"/>
    <n v="12.24"/>
    <n v="0"/>
    <n v="0"/>
    <n v="16.00053546174815"/>
    <n v="112.98053114414617"/>
    <m/>
    <n v="58849.308000000012"/>
    <n v="0"/>
    <n v="76929.774473312034"/>
    <n v="0"/>
    <x v="2"/>
  </r>
  <r>
    <s v="Regular"/>
    <x v="3"/>
    <x v="0"/>
    <x v="2"/>
    <x v="1"/>
    <x v="1"/>
    <x v="0"/>
    <x v="2"/>
    <x v="0"/>
    <n v="0"/>
    <n v="0"/>
    <n v="5617.4639999999999"/>
    <n v="5617.4639999999999"/>
    <n v="0"/>
    <n v="0"/>
    <n v="33"/>
    <s v="LIVRE"/>
    <n v="0"/>
    <n v="0"/>
    <n v="33"/>
    <n v="0"/>
    <n v="0"/>
    <n v="109.75"/>
    <n v="0"/>
    <m/>
    <n v="112.98053114414617"/>
    <m/>
    <n v="0"/>
    <n v="0"/>
    <n v="0"/>
    <n v="0"/>
    <x v="2"/>
  </r>
  <r>
    <s v="Regular"/>
    <x v="3"/>
    <x v="0"/>
    <x v="2"/>
    <x v="1"/>
    <x v="1"/>
    <x v="0"/>
    <x v="2"/>
    <x v="1"/>
    <n v="0"/>
    <n v="0"/>
    <n v="5408.6980000000003"/>
    <n v="5408.6980000000003"/>
    <n v="0"/>
    <n v="0"/>
    <n v="33"/>
    <s v="LIVRE"/>
    <n v="0"/>
    <n v="0"/>
    <n v="33"/>
    <n v="0"/>
    <n v="0"/>
    <n v="109.75"/>
    <n v="0"/>
    <m/>
    <n v="112.98053114414617"/>
    <m/>
    <n v="0"/>
    <n v="0"/>
    <n v="0"/>
    <n v="0"/>
    <x v="2"/>
  </r>
  <r>
    <s v="Regular"/>
    <x v="3"/>
    <x v="0"/>
    <x v="2"/>
    <x v="1"/>
    <x v="1"/>
    <x v="0"/>
    <x v="2"/>
    <x v="2"/>
    <n v="0"/>
    <n v="0"/>
    <n v="5506.1310000000003"/>
    <n v="5506.1310000000003"/>
    <n v="0"/>
    <n v="0"/>
    <n v="33"/>
    <s v="LIVRE"/>
    <n v="0"/>
    <n v="0"/>
    <n v="33"/>
    <n v="0"/>
    <n v="0"/>
    <n v="109.75"/>
    <n v="0"/>
    <m/>
    <n v="112.98053114414617"/>
    <m/>
    <n v="0"/>
    <n v="0"/>
    <n v="0"/>
    <n v="0"/>
    <x v="2"/>
  </r>
  <r>
    <s v="Regular"/>
    <x v="3"/>
    <x v="0"/>
    <x v="2"/>
    <x v="1"/>
    <x v="1"/>
    <x v="0"/>
    <x v="2"/>
    <x v="3"/>
    <n v="0"/>
    <n v="0"/>
    <n v="5585.7110000000002"/>
    <n v="5585.7110000000002"/>
    <n v="0"/>
    <n v="0"/>
    <n v="35"/>
    <s v="LIVRE"/>
    <n v="0"/>
    <n v="0"/>
    <n v="33"/>
    <n v="0"/>
    <n v="0"/>
    <n v="109.75"/>
    <n v="0"/>
    <m/>
    <n v="112.98053114414617"/>
    <m/>
    <n v="0"/>
    <n v="0"/>
    <n v="0"/>
    <n v="0"/>
    <x v="2"/>
  </r>
  <r>
    <s v="Regular"/>
    <x v="3"/>
    <x v="0"/>
    <x v="2"/>
    <x v="1"/>
    <x v="1"/>
    <x v="0"/>
    <x v="2"/>
    <x v="4"/>
    <n v="0"/>
    <n v="0"/>
    <n v="5187.1400000000003"/>
    <n v="5187.1400000000003"/>
    <n v="0"/>
    <n v="0"/>
    <n v="35"/>
    <s v="LIVRE"/>
    <n v="0"/>
    <n v="0"/>
    <n v="33"/>
    <n v="0"/>
    <n v="0"/>
    <n v="109.75"/>
    <n v="0"/>
    <m/>
    <n v="112.98053114414617"/>
    <m/>
    <n v="0"/>
    <n v="0"/>
    <n v="0"/>
    <n v="0"/>
    <x v="2"/>
  </r>
  <r>
    <s v="Regular"/>
    <x v="3"/>
    <x v="0"/>
    <x v="2"/>
    <x v="1"/>
    <x v="1"/>
    <x v="0"/>
    <x v="2"/>
    <x v="5"/>
    <n v="0"/>
    <n v="0"/>
    <n v="4956.4880000000003"/>
    <n v="4956.4880000000003"/>
    <n v="0"/>
    <n v="0"/>
    <n v="35"/>
    <s v="LIVRE"/>
    <n v="0"/>
    <n v="0"/>
    <n v="33"/>
    <n v="0"/>
    <n v="0"/>
    <n v="109.75"/>
    <n v="0"/>
    <m/>
    <n v="112.98053114414617"/>
    <m/>
    <n v="0"/>
    <n v="0"/>
    <n v="0"/>
    <n v="0"/>
    <x v="2"/>
  </r>
  <r>
    <s v="Regular"/>
    <x v="3"/>
    <x v="0"/>
    <x v="2"/>
    <x v="1"/>
    <x v="1"/>
    <x v="0"/>
    <x v="2"/>
    <x v="6"/>
    <n v="0"/>
    <n v="0"/>
    <n v="3957.848"/>
    <n v="3957.848"/>
    <n v="0"/>
    <n v="0"/>
    <n v="35"/>
    <s v="LIVRE"/>
    <n v="0"/>
    <n v="0"/>
    <n v="33"/>
    <n v="0"/>
    <n v="0"/>
    <n v="109.75"/>
    <n v="0"/>
    <m/>
    <n v="112.98053114414617"/>
    <m/>
    <n v="0"/>
    <n v="0"/>
    <n v="0"/>
    <n v="0"/>
    <x v="2"/>
  </r>
  <r>
    <s v="Regular"/>
    <x v="3"/>
    <x v="0"/>
    <x v="2"/>
    <x v="1"/>
    <x v="1"/>
    <x v="0"/>
    <x v="2"/>
    <x v="7"/>
    <n v="0"/>
    <n v="0"/>
    <n v="4070.922"/>
    <n v="4070.922"/>
    <n v="0"/>
    <n v="0"/>
    <n v="36"/>
    <s v="LIVRE"/>
    <n v="0"/>
    <n v="0"/>
    <n v="33"/>
    <n v="0"/>
    <n v="0"/>
    <n v="109.75"/>
    <n v="0"/>
    <m/>
    <n v="112.98053114414617"/>
    <m/>
    <n v="0"/>
    <n v="0"/>
    <n v="0"/>
    <n v="0"/>
    <x v="2"/>
  </r>
  <r>
    <s v="Regular"/>
    <x v="3"/>
    <x v="0"/>
    <x v="2"/>
    <x v="1"/>
    <x v="1"/>
    <x v="0"/>
    <x v="2"/>
    <x v="8"/>
    <n v="0"/>
    <n v="0"/>
    <n v="4070.922"/>
    <n v="4070.922"/>
    <n v="0"/>
    <n v="0"/>
    <n v="36"/>
    <s v="LIVRE"/>
    <n v="0"/>
    <n v="0"/>
    <n v="33"/>
    <n v="0"/>
    <n v="0"/>
    <n v="109.75"/>
    <n v="0"/>
    <m/>
    <n v="112.98053114414617"/>
    <m/>
    <n v="0"/>
    <n v="0"/>
    <n v="0"/>
    <n v="0"/>
    <x v="2"/>
  </r>
  <r>
    <s v="Regular"/>
    <x v="3"/>
    <x v="0"/>
    <x v="2"/>
    <x v="1"/>
    <x v="1"/>
    <x v="0"/>
    <x v="2"/>
    <x v="9"/>
    <n v="0"/>
    <n v="0"/>
    <n v="4732.4459999999999"/>
    <n v="4732.4459999999999"/>
    <n v="0"/>
    <n v="0"/>
    <n v="33"/>
    <s v="LIVRE"/>
    <n v="0"/>
    <n v="0"/>
    <n v="33"/>
    <n v="0"/>
    <n v="0"/>
    <n v="109.75"/>
    <n v="0"/>
    <m/>
    <n v="112.98053114414617"/>
    <m/>
    <n v="0"/>
    <n v="0"/>
    <n v="0"/>
    <n v="0"/>
    <x v="2"/>
  </r>
  <r>
    <s v="Regular"/>
    <x v="3"/>
    <x v="0"/>
    <x v="2"/>
    <x v="1"/>
    <x v="1"/>
    <x v="0"/>
    <x v="2"/>
    <x v="10"/>
    <n v="0"/>
    <n v="0"/>
    <n v="4957.28"/>
    <n v="4957.28"/>
    <n v="0"/>
    <n v="0"/>
    <n v="39"/>
    <s v="LIVRE"/>
    <n v="0"/>
    <n v="0"/>
    <n v="33"/>
    <n v="0"/>
    <n v="0"/>
    <n v="109.75"/>
    <n v="0"/>
    <m/>
    <n v="112.98053114414617"/>
    <m/>
    <n v="0"/>
    <n v="0"/>
    <n v="0"/>
    <n v="0"/>
    <x v="2"/>
  </r>
  <r>
    <s v="PROJETADO"/>
    <x v="3"/>
    <x v="0"/>
    <x v="2"/>
    <x v="1"/>
    <x v="1"/>
    <x v="0"/>
    <x v="2"/>
    <x v="11"/>
    <n v="0"/>
    <n v="0"/>
    <n v="4957.28"/>
    <n v="4957.28"/>
    <n v="0"/>
    <n v="0"/>
    <n v="39"/>
    <s v="LIVRE"/>
    <n v="0"/>
    <n v="0"/>
    <n v="33"/>
    <n v="0"/>
    <n v="0"/>
    <n v="109.75"/>
    <n v="0"/>
    <m/>
    <n v="112.98053114414617"/>
    <m/>
    <n v="0"/>
    <n v="0"/>
    <n v="0"/>
    <n v="0"/>
    <x v="2"/>
  </r>
  <r>
    <s v="Regular"/>
    <x v="3"/>
    <x v="0"/>
    <x v="2"/>
    <x v="1"/>
    <x v="1"/>
    <x v="0"/>
    <x v="1"/>
    <x v="0"/>
    <n v="10448"/>
    <n v="6634.1785751999996"/>
    <n v="0"/>
    <n v="0"/>
    <n v="0"/>
    <n v="0"/>
    <n v="0"/>
    <s v="LIVRE"/>
    <n v="0"/>
    <n v="31"/>
    <n v="0"/>
    <n v="0"/>
    <n v="43.76"/>
    <n v="0"/>
    <n v="0"/>
    <n v="49.088494763430781"/>
    <n v="112.98053114414617"/>
    <m/>
    <n v="166892.82554924799"/>
    <n v="0"/>
    <n v="187214.75303995493"/>
    <n v="0"/>
    <x v="2"/>
  </r>
  <r>
    <s v="Regular"/>
    <x v="3"/>
    <x v="0"/>
    <x v="2"/>
    <x v="1"/>
    <x v="1"/>
    <x v="0"/>
    <x v="1"/>
    <x v="1"/>
    <n v="10448"/>
    <n v="6652.4083500799998"/>
    <n v="0"/>
    <n v="0"/>
    <n v="0"/>
    <n v="0"/>
    <n v="0"/>
    <s v="LIVRE"/>
    <n v="0"/>
    <n v="31"/>
    <n v="0"/>
    <n v="0"/>
    <n v="43.76"/>
    <n v="0"/>
    <n v="0"/>
    <n v="49.088494763430781"/>
    <n v="112.98053114414617"/>
    <m/>
    <n v="166095.09060049921"/>
    <n v="0"/>
    <n v="186319.88083121952"/>
    <n v="0"/>
    <x v="2"/>
  </r>
  <r>
    <s v="Regular"/>
    <x v="3"/>
    <x v="0"/>
    <x v="2"/>
    <x v="1"/>
    <x v="1"/>
    <x v="0"/>
    <x v="1"/>
    <x v="2"/>
    <n v="10448"/>
    <n v="6686.5232641599996"/>
    <n v="0"/>
    <n v="0"/>
    <n v="0"/>
    <n v="0"/>
    <n v="0"/>
    <s v="LIVRE"/>
    <n v="0"/>
    <n v="31"/>
    <n v="0"/>
    <n v="0"/>
    <n v="43.76"/>
    <n v="0"/>
    <n v="0"/>
    <n v="49.088494763430781"/>
    <n v="112.98053114414617"/>
    <m/>
    <n v="164602.22196035841"/>
    <n v="0"/>
    <n v="184645.23105004858"/>
    <n v="0"/>
    <x v="2"/>
  </r>
  <r>
    <s v="Regular"/>
    <x v="3"/>
    <x v="0"/>
    <x v="2"/>
    <x v="1"/>
    <x v="1"/>
    <x v="0"/>
    <x v="1"/>
    <x v="3"/>
    <n v="11979"/>
    <n v="8104.6517953499997"/>
    <n v="0"/>
    <n v="0"/>
    <n v="0"/>
    <n v="0"/>
    <n v="0"/>
    <s v="LIVRE"/>
    <n v="0"/>
    <n v="31"/>
    <n v="0"/>
    <n v="0"/>
    <n v="43.76"/>
    <n v="0"/>
    <n v="0"/>
    <n v="49.088494763430781"/>
    <n v="112.98053114414617"/>
    <m/>
    <n v="169541.477435484"/>
    <n v="0"/>
    <n v="190185.92155566899"/>
    <n v="0"/>
    <x v="2"/>
  </r>
  <r>
    <s v="Regular"/>
    <x v="3"/>
    <x v="0"/>
    <x v="2"/>
    <x v="1"/>
    <x v="1"/>
    <x v="0"/>
    <x v="1"/>
    <x v="4"/>
    <n v="11884"/>
    <n v="7569.0654166800005"/>
    <n v="0"/>
    <n v="0"/>
    <n v="0"/>
    <n v="0"/>
    <n v="0"/>
    <s v="LIVRE"/>
    <n v="0"/>
    <n v="31"/>
    <n v="0"/>
    <n v="0"/>
    <n v="43.76"/>
    <n v="0"/>
    <n v="0"/>
    <n v="49.088494763430781"/>
    <n v="112.98053114414617"/>
    <m/>
    <n v="188821.53736608318"/>
    <n v="0"/>
    <n v="211813.64369785017"/>
    <n v="0"/>
    <x v="2"/>
  </r>
  <r>
    <s v="Regular"/>
    <x v="3"/>
    <x v="0"/>
    <x v="2"/>
    <x v="1"/>
    <x v="1"/>
    <x v="0"/>
    <x v="1"/>
    <x v="5"/>
    <n v="11802"/>
    <n v="7539.6826797599997"/>
    <n v="0"/>
    <n v="0"/>
    <n v="0"/>
    <n v="0"/>
    <n v="0"/>
    <s v="LIVRE"/>
    <n v="0"/>
    <n v="31"/>
    <n v="0"/>
    <n v="0"/>
    <n v="43.76"/>
    <n v="0"/>
    <n v="0"/>
    <n v="49.088494763430781"/>
    <n v="112.98053114414617"/>
    <m/>
    <n v="186519.0059337024"/>
    <n v="0"/>
    <n v="209230.74145468159"/>
    <n v="0"/>
    <x v="2"/>
  </r>
  <r>
    <s v="Regular"/>
    <x v="3"/>
    <x v="0"/>
    <x v="2"/>
    <x v="1"/>
    <x v="1"/>
    <x v="0"/>
    <x v="1"/>
    <x v="6"/>
    <n v="11823"/>
    <n v="7503.1484383799998"/>
    <n v="0"/>
    <n v="0"/>
    <n v="0"/>
    <n v="0"/>
    <n v="0"/>
    <s v="LIVRE"/>
    <n v="0"/>
    <n v="31"/>
    <n v="0"/>
    <n v="0"/>
    <n v="43.76"/>
    <n v="0"/>
    <n v="0"/>
    <n v="49.088494763430781"/>
    <n v="112.98053114414617"/>
    <m/>
    <n v="189036.70433649121"/>
    <n v="0"/>
    <n v="212055.01076138165"/>
    <n v="0"/>
    <x v="2"/>
  </r>
  <r>
    <s v="Regular"/>
    <x v="3"/>
    <x v="0"/>
    <x v="2"/>
    <x v="1"/>
    <x v="1"/>
    <x v="0"/>
    <x v="1"/>
    <x v="7"/>
    <n v="11882"/>
    <n v="7775.9786093599996"/>
    <n v="0"/>
    <n v="0"/>
    <n v="0"/>
    <n v="0"/>
    <n v="0"/>
    <s v="LIVRE"/>
    <n v="0"/>
    <n v="31"/>
    <n v="0"/>
    <n v="0"/>
    <n v="43.76"/>
    <n v="0"/>
    <n v="0"/>
    <n v="49.088494763430781"/>
    <n v="112.98053114414617"/>
    <m/>
    <n v="179679.49605440642"/>
    <n v="0"/>
    <n v="201558.40953296644"/>
    <n v="0"/>
    <x v="2"/>
  </r>
  <r>
    <s v="Regular"/>
    <x v="3"/>
    <x v="0"/>
    <x v="2"/>
    <x v="1"/>
    <x v="1"/>
    <x v="0"/>
    <x v="1"/>
    <x v="8"/>
    <n v="11882"/>
    <n v="7480.9745709400004"/>
    <n v="0"/>
    <n v="0"/>
    <n v="0"/>
    <n v="0"/>
    <n v="0"/>
    <s v="LIVRE"/>
    <n v="0"/>
    <n v="31"/>
    <n v="0"/>
    <n v="0"/>
    <n v="43.76"/>
    <n v="0"/>
    <n v="0"/>
    <n v="49.088494763430781"/>
    <n v="112.98053114414617"/>
    <m/>
    <n v="192588.87277566557"/>
    <n v="0"/>
    <n v="216039.71372813749"/>
    <n v="0"/>
    <x v="2"/>
  </r>
  <r>
    <s v="Regular"/>
    <x v="3"/>
    <x v="0"/>
    <x v="2"/>
    <x v="1"/>
    <x v="1"/>
    <x v="0"/>
    <x v="1"/>
    <x v="9"/>
    <n v="10448"/>
    <n v="6596.7883175999996"/>
    <n v="0"/>
    <n v="0"/>
    <n v="0"/>
    <n v="0"/>
    <n v="0"/>
    <s v="LIVRE"/>
    <n v="0"/>
    <n v="31"/>
    <n v="0"/>
    <n v="0"/>
    <n v="43.76"/>
    <n v="0"/>
    <n v="0"/>
    <n v="49.088494763430781"/>
    <n v="112.98053114414617"/>
    <m/>
    <n v="168529.023221824"/>
    <n v="0"/>
    <n v="189050.18450435586"/>
    <n v="0"/>
    <x v="2"/>
  </r>
  <r>
    <s v="Regular"/>
    <x v="3"/>
    <x v="0"/>
    <x v="2"/>
    <x v="1"/>
    <x v="1"/>
    <x v="0"/>
    <x v="1"/>
    <x v="10"/>
    <n v="12709"/>
    <n v="8260.85"/>
    <n v="0"/>
    <n v="0"/>
    <n v="0"/>
    <n v="0"/>
    <n v="0"/>
    <s v="LIVRE"/>
    <n v="0"/>
    <n v="31"/>
    <n v="0"/>
    <n v="0"/>
    <n v="43.76"/>
    <n v="0"/>
    <n v="0"/>
    <n v="49.088494763430781"/>
    <n v="112.98053114414617"/>
    <m/>
    <n v="194651.04399999997"/>
    <n v="0"/>
    <n v="218352.98798195462"/>
    <n v="0"/>
    <x v="2"/>
  </r>
  <r>
    <s v="PROJETADO"/>
    <x v="3"/>
    <x v="0"/>
    <x v="2"/>
    <x v="1"/>
    <x v="1"/>
    <x v="0"/>
    <x v="1"/>
    <x v="11"/>
    <n v="12709"/>
    <n v="8260.85"/>
    <n v="0"/>
    <n v="0"/>
    <n v="0"/>
    <n v="0"/>
    <n v="0"/>
    <s v="LIVRE"/>
    <n v="0"/>
    <n v="31"/>
    <n v="0"/>
    <n v="0"/>
    <n v="43.76"/>
    <n v="0"/>
    <n v="0"/>
    <n v="49.088494763430781"/>
    <n v="112.98053114414617"/>
    <m/>
    <n v="194651.04399999997"/>
    <n v="0"/>
    <n v="218352.98798195462"/>
    <n v="0"/>
    <x v="2"/>
  </r>
  <r>
    <s v="Regular"/>
    <x v="3"/>
    <x v="2"/>
    <x v="2"/>
    <x v="1"/>
    <x v="1"/>
    <x v="0"/>
    <x v="0"/>
    <x v="0"/>
    <n v="0"/>
    <n v="0"/>
    <n v="2216.1469999999999"/>
    <n v="2216.1469999999999"/>
    <n v="0"/>
    <n v="0"/>
    <n v="0"/>
    <s v="LIVRE"/>
    <n v="0"/>
    <n v="0"/>
    <n v="37"/>
    <n v="0"/>
    <n v="0"/>
    <n v="109.75"/>
    <n v="0"/>
    <m/>
    <n v="112.98053114414617"/>
    <m/>
    <n v="0"/>
    <n v="0"/>
    <n v="0"/>
    <n v="0"/>
    <x v="2"/>
  </r>
  <r>
    <s v="Regular"/>
    <x v="3"/>
    <x v="2"/>
    <x v="2"/>
    <x v="1"/>
    <x v="1"/>
    <x v="0"/>
    <x v="0"/>
    <x v="1"/>
    <n v="0"/>
    <n v="0"/>
    <n v="2075.64"/>
    <n v="2075.64"/>
    <n v="0"/>
    <n v="0"/>
    <n v="0"/>
    <s v="LIVRE"/>
    <n v="0"/>
    <n v="0"/>
    <n v="37"/>
    <n v="0"/>
    <n v="0"/>
    <n v="109.75"/>
    <n v="0"/>
    <m/>
    <n v="112.98053114414617"/>
    <m/>
    <n v="0"/>
    <n v="0"/>
    <n v="0"/>
    <n v="0"/>
    <x v="2"/>
  </r>
  <r>
    <s v="Regular"/>
    <x v="3"/>
    <x v="2"/>
    <x v="2"/>
    <x v="1"/>
    <x v="1"/>
    <x v="0"/>
    <x v="0"/>
    <x v="2"/>
    <n v="0"/>
    <n v="0"/>
    <n v="2183.33"/>
    <n v="2183.33"/>
    <n v="0"/>
    <n v="0"/>
    <n v="0"/>
    <s v="LIVRE"/>
    <n v="0"/>
    <n v="0"/>
    <n v="37"/>
    <n v="0"/>
    <n v="0"/>
    <n v="109.75"/>
    <n v="0"/>
    <m/>
    <n v="112.98053114414617"/>
    <m/>
    <n v="0"/>
    <n v="0"/>
    <n v="0"/>
    <n v="0"/>
    <x v="2"/>
  </r>
  <r>
    <s v="Regular"/>
    <x v="3"/>
    <x v="2"/>
    <x v="2"/>
    <x v="1"/>
    <x v="1"/>
    <x v="0"/>
    <x v="0"/>
    <x v="3"/>
    <n v="0"/>
    <n v="0"/>
    <n v="2192.85"/>
    <n v="2192.85"/>
    <n v="0"/>
    <n v="0"/>
    <n v="0"/>
    <s v="LIVRE"/>
    <n v="0"/>
    <n v="0"/>
    <n v="37"/>
    <n v="0"/>
    <n v="0"/>
    <n v="109.75"/>
    <n v="0"/>
    <m/>
    <n v="112.98053114414617"/>
    <m/>
    <n v="0"/>
    <n v="0"/>
    <n v="0"/>
    <n v="0"/>
    <x v="2"/>
  </r>
  <r>
    <s v="Regular"/>
    <x v="3"/>
    <x v="2"/>
    <x v="2"/>
    <x v="1"/>
    <x v="1"/>
    <x v="0"/>
    <x v="0"/>
    <x v="4"/>
    <n v="0"/>
    <n v="0"/>
    <n v="1960.819"/>
    <n v="1960.819"/>
    <n v="0"/>
    <n v="0"/>
    <n v="0"/>
    <s v="LIVRE"/>
    <n v="0"/>
    <n v="0"/>
    <n v="37"/>
    <n v="0"/>
    <n v="0"/>
    <n v="109.75"/>
    <n v="0"/>
    <m/>
    <n v="112.98053114414617"/>
    <m/>
    <n v="0"/>
    <n v="0"/>
    <n v="0"/>
    <n v="0"/>
    <x v="2"/>
  </r>
  <r>
    <s v="Regular"/>
    <x v="3"/>
    <x v="2"/>
    <x v="2"/>
    <x v="1"/>
    <x v="1"/>
    <x v="0"/>
    <x v="0"/>
    <x v="5"/>
    <n v="0"/>
    <n v="0"/>
    <n v="2094.172"/>
    <n v="2094.172"/>
    <n v="0"/>
    <n v="0"/>
    <n v="0"/>
    <s v="LIVRE"/>
    <n v="0"/>
    <n v="0"/>
    <n v="37"/>
    <n v="0"/>
    <n v="0"/>
    <n v="109.75"/>
    <n v="0"/>
    <m/>
    <n v="112.98053114414617"/>
    <m/>
    <n v="0"/>
    <n v="0"/>
    <n v="0"/>
    <n v="0"/>
    <x v="2"/>
  </r>
  <r>
    <s v="Regular"/>
    <x v="3"/>
    <x v="2"/>
    <x v="2"/>
    <x v="1"/>
    <x v="1"/>
    <x v="0"/>
    <x v="0"/>
    <x v="6"/>
    <n v="0"/>
    <n v="0"/>
    <n v="1934.481"/>
    <n v="1934.481"/>
    <n v="0"/>
    <n v="0"/>
    <n v="0"/>
    <s v="LIVRE"/>
    <n v="0"/>
    <n v="0"/>
    <n v="37"/>
    <n v="0"/>
    <n v="0"/>
    <n v="109.75"/>
    <n v="0"/>
    <m/>
    <n v="112.98053114414617"/>
    <m/>
    <n v="0"/>
    <n v="0"/>
    <n v="0"/>
    <n v="0"/>
    <x v="2"/>
  </r>
  <r>
    <s v="Regular"/>
    <x v="3"/>
    <x v="2"/>
    <x v="2"/>
    <x v="1"/>
    <x v="1"/>
    <x v="0"/>
    <x v="0"/>
    <x v="7"/>
    <n v="0"/>
    <n v="0"/>
    <n v="1943.2639999999999"/>
    <n v="1943.2639999999999"/>
    <n v="0"/>
    <n v="0"/>
    <n v="0"/>
    <s v="LIVRE"/>
    <n v="0"/>
    <n v="0"/>
    <n v="37"/>
    <n v="0"/>
    <n v="0"/>
    <n v="109.75"/>
    <n v="0"/>
    <m/>
    <n v="112.98053114414617"/>
    <m/>
    <n v="0"/>
    <n v="0"/>
    <n v="0"/>
    <n v="0"/>
    <x v="2"/>
  </r>
  <r>
    <s v="Regular"/>
    <x v="3"/>
    <x v="2"/>
    <x v="2"/>
    <x v="1"/>
    <x v="1"/>
    <x v="0"/>
    <x v="0"/>
    <x v="8"/>
    <n v="0"/>
    <n v="0"/>
    <n v="1943.2639999999999"/>
    <n v="1943.2639999999999"/>
    <n v="0"/>
    <n v="0"/>
    <n v="0"/>
    <s v="LIVRE"/>
    <n v="0"/>
    <n v="0"/>
    <n v="37"/>
    <n v="0"/>
    <n v="0"/>
    <n v="109.75"/>
    <n v="0"/>
    <m/>
    <n v="112.98053114414617"/>
    <m/>
    <n v="0"/>
    <n v="0"/>
    <n v="0"/>
    <n v="0"/>
    <x v="2"/>
  </r>
  <r>
    <s v="Regular"/>
    <x v="3"/>
    <x v="2"/>
    <x v="2"/>
    <x v="1"/>
    <x v="1"/>
    <x v="0"/>
    <x v="0"/>
    <x v="9"/>
    <n v="0"/>
    <n v="0"/>
    <n v="1682.3130000000001"/>
    <n v="1682.3130000000001"/>
    <n v="0"/>
    <n v="0"/>
    <n v="0"/>
    <s v="LIVRE"/>
    <n v="0"/>
    <n v="0"/>
    <n v="37"/>
    <n v="0"/>
    <n v="0"/>
    <n v="109.75"/>
    <n v="0"/>
    <m/>
    <n v="112.98053114414617"/>
    <m/>
    <n v="0"/>
    <n v="0"/>
    <n v="0"/>
    <n v="0"/>
    <x v="2"/>
  </r>
  <r>
    <s v="Regular"/>
    <x v="3"/>
    <x v="2"/>
    <x v="2"/>
    <x v="1"/>
    <x v="1"/>
    <x v="0"/>
    <x v="0"/>
    <x v="10"/>
    <n v="0"/>
    <n v="0"/>
    <n v="2074.7269999999999"/>
    <n v="2074.7269999999999"/>
    <n v="0"/>
    <n v="0"/>
    <n v="0"/>
    <s v="LIVRE"/>
    <n v="0"/>
    <n v="0"/>
    <n v="37"/>
    <n v="0"/>
    <n v="0"/>
    <n v="109.75"/>
    <n v="0"/>
    <m/>
    <n v="112.98053114414617"/>
    <m/>
    <n v="0"/>
    <n v="0"/>
    <n v="0"/>
    <n v="0"/>
    <x v="2"/>
  </r>
  <r>
    <s v="PROJETADO"/>
    <x v="3"/>
    <x v="2"/>
    <x v="2"/>
    <x v="1"/>
    <x v="1"/>
    <x v="0"/>
    <x v="0"/>
    <x v="11"/>
    <n v="0"/>
    <n v="0"/>
    <n v="2074.7269999999999"/>
    <n v="2074.7269999999999"/>
    <n v="0"/>
    <n v="0"/>
    <n v="0"/>
    <s v="LIVRE"/>
    <n v="0"/>
    <n v="0"/>
    <n v="37"/>
    <n v="0"/>
    <n v="0"/>
    <n v="109.75"/>
    <n v="0"/>
    <m/>
    <n v="112.98053114414617"/>
    <m/>
    <n v="0"/>
    <n v="0"/>
    <n v="0"/>
    <n v="0"/>
    <x v="2"/>
  </r>
  <r>
    <s v="Regular"/>
    <x v="3"/>
    <x v="2"/>
    <x v="2"/>
    <x v="1"/>
    <x v="1"/>
    <x v="0"/>
    <x v="2"/>
    <x v="0"/>
    <n v="9073"/>
    <n v="5630.4092904199997"/>
    <n v="0"/>
    <n v="0"/>
    <n v="0"/>
    <n v="0"/>
    <n v="17"/>
    <s v="LIVRE"/>
    <n v="0"/>
    <n v="35"/>
    <n v="0"/>
    <n v="0"/>
    <n v="12.24"/>
    <n v="0"/>
    <n v="0"/>
    <n v="16.00053546174815"/>
    <m/>
    <m/>
    <n v="42137.310285259206"/>
    <n v="0"/>
    <n v="55083.294728919522"/>
    <n v="0"/>
    <x v="2"/>
  </r>
  <r>
    <s v="Regular"/>
    <x v="3"/>
    <x v="2"/>
    <x v="2"/>
    <x v="1"/>
    <x v="1"/>
    <x v="0"/>
    <x v="2"/>
    <x v="1"/>
    <n v="9073"/>
    <n v="5949.4595208199999"/>
    <n v="0"/>
    <n v="0"/>
    <n v="0"/>
    <n v="0"/>
    <n v="17"/>
    <s v="LIVRE"/>
    <n v="0"/>
    <n v="35"/>
    <n v="0"/>
    <n v="0"/>
    <n v="12.24"/>
    <n v="0"/>
    <n v="0"/>
    <n v="16.00053546174815"/>
    <m/>
    <m/>
    <n v="38232.135465163199"/>
    <n v="0"/>
    <n v="49978.320203325398"/>
    <n v="0"/>
    <x v="2"/>
  </r>
  <r>
    <s v="Regular"/>
    <x v="3"/>
    <x v="2"/>
    <x v="2"/>
    <x v="1"/>
    <x v="1"/>
    <x v="0"/>
    <x v="2"/>
    <x v="2"/>
    <n v="9513"/>
    <n v="5972.0757062399998"/>
    <n v="0"/>
    <n v="0"/>
    <n v="0"/>
    <n v="0"/>
    <n v="18"/>
    <s v="LIVRE"/>
    <n v="0"/>
    <n v="35"/>
    <n v="0"/>
    <n v="0"/>
    <n v="12.24"/>
    <n v="0"/>
    <n v="0"/>
    <n v="16.00053546174815"/>
    <m/>
    <m/>
    <n v="43340.913355622404"/>
    <n v="0"/>
    <n v="56656.684729672408"/>
    <n v="0"/>
    <x v="2"/>
  </r>
  <r>
    <s v="Regular"/>
    <x v="3"/>
    <x v="2"/>
    <x v="2"/>
    <x v="1"/>
    <x v="1"/>
    <x v="0"/>
    <x v="2"/>
    <x v="3"/>
    <n v="9513"/>
    <n v="6120.0328221899999"/>
    <n v="0"/>
    <n v="0"/>
    <n v="0"/>
    <n v="0"/>
    <n v="18"/>
    <s v="LIVRE"/>
    <n v="0"/>
    <n v="35"/>
    <n v="0"/>
    <n v="0"/>
    <n v="12.24"/>
    <n v="0"/>
    <n v="0"/>
    <n v="16.00053546174815"/>
    <m/>
    <m/>
    <n v="41529.918256394405"/>
    <n v="0"/>
    <n v="54289.291649096449"/>
    <n v="0"/>
    <x v="2"/>
  </r>
  <r>
    <s v="Regular"/>
    <x v="3"/>
    <x v="2"/>
    <x v="2"/>
    <x v="1"/>
    <x v="1"/>
    <x v="0"/>
    <x v="2"/>
    <x v="4"/>
    <n v="9513"/>
    <n v="5888.6965443600002"/>
    <n v="0"/>
    <n v="0"/>
    <n v="0"/>
    <n v="0"/>
    <n v="18"/>
    <s v="LIVRE"/>
    <n v="0"/>
    <n v="35"/>
    <n v="0"/>
    <n v="0"/>
    <n v="12.24"/>
    <n v="0"/>
    <n v="0"/>
    <n v="16.00053546174815"/>
    <m/>
    <m/>
    <n v="44361.474297033601"/>
    <n v="0"/>
    <n v="57990.795966104182"/>
    <n v="0"/>
    <x v="2"/>
  </r>
  <r>
    <s v="Regular"/>
    <x v="3"/>
    <x v="2"/>
    <x v="2"/>
    <x v="1"/>
    <x v="1"/>
    <x v="0"/>
    <x v="2"/>
    <x v="5"/>
    <n v="10363"/>
    <n v="6508.9693146299996"/>
    <n v="0"/>
    <n v="0"/>
    <n v="0"/>
    <n v="0"/>
    <n v="19"/>
    <s v="LIVRE"/>
    <n v="0"/>
    <n v="35"/>
    <n v="0"/>
    <n v="0"/>
    <n v="12.24"/>
    <n v="0"/>
    <n v="0"/>
    <n v="16.00053546174815"/>
    <m/>
    <m/>
    <n v="47173.335588928807"/>
    <n v="0"/>
    <n v="61666.554651928222"/>
    <n v="0"/>
    <x v="2"/>
  </r>
  <r>
    <s v="Regular"/>
    <x v="3"/>
    <x v="2"/>
    <x v="2"/>
    <x v="1"/>
    <x v="1"/>
    <x v="0"/>
    <x v="2"/>
    <x v="6"/>
    <n v="11998"/>
    <n v="7444.2273686199997"/>
    <n v="0"/>
    <n v="0"/>
    <n v="0"/>
    <n v="0"/>
    <n v="21"/>
    <s v="LIVRE"/>
    <n v="0"/>
    <n v="35"/>
    <n v="0"/>
    <n v="0"/>
    <n v="12.24"/>
    <n v="0"/>
    <n v="0"/>
    <n v="16.00053546174815"/>
    <m/>
    <m/>
    <n v="55738.177008091203"/>
    <n v="0"/>
    <n v="72862.800473133888"/>
    <n v="0"/>
    <x v="2"/>
  </r>
  <r>
    <s v="Regular"/>
    <x v="3"/>
    <x v="2"/>
    <x v="2"/>
    <x v="1"/>
    <x v="1"/>
    <x v="0"/>
    <x v="2"/>
    <x v="7"/>
    <n v="12378"/>
    <n v="7589.1920569800004"/>
    <n v="0"/>
    <n v="0"/>
    <n v="0"/>
    <n v="0"/>
    <n v="22"/>
    <s v="LIVRE"/>
    <n v="0"/>
    <n v="35"/>
    <n v="0"/>
    <n v="0"/>
    <n v="12.24"/>
    <n v="0"/>
    <n v="0"/>
    <n v="16.00053546174815"/>
    <m/>
    <m/>
    <n v="58615.009222564797"/>
    <n v="0"/>
    <n v="76623.491311792721"/>
    <n v="0"/>
    <x v="2"/>
  </r>
  <r>
    <s v="Regular"/>
    <x v="3"/>
    <x v="2"/>
    <x v="2"/>
    <x v="1"/>
    <x v="1"/>
    <x v="0"/>
    <x v="2"/>
    <x v="8"/>
    <n v="12378"/>
    <n v="7653.0947197799997"/>
    <n v="0"/>
    <n v="0"/>
    <n v="0"/>
    <n v="0"/>
    <n v="22"/>
    <s v="LIVRE"/>
    <n v="0"/>
    <n v="35"/>
    <n v="0"/>
    <n v="0"/>
    <n v="12.24"/>
    <n v="0"/>
    <n v="0"/>
    <n v="16.00053546174815"/>
    <m/>
    <m/>
    <n v="57832.840629892802"/>
    <n v="0"/>
    <n v="75601.014489561203"/>
    <n v="0"/>
    <x v="2"/>
  </r>
  <r>
    <s v="Regular"/>
    <x v="3"/>
    <x v="2"/>
    <x v="2"/>
    <x v="1"/>
    <x v="1"/>
    <x v="0"/>
    <x v="2"/>
    <x v="9"/>
    <n v="8838"/>
    <n v="5382.5778862200004"/>
    <n v="0"/>
    <n v="0"/>
    <n v="0"/>
    <n v="0"/>
    <n v="16"/>
    <s v="LIVRE"/>
    <n v="0"/>
    <n v="35"/>
    <n v="0"/>
    <n v="0"/>
    <n v="12.24"/>
    <n v="0"/>
    <n v="0"/>
    <n v="16.00053546174815"/>
    <m/>
    <m/>
    <n v="42294.366672667195"/>
    <n v="0"/>
    <n v="55288.604066845633"/>
    <n v="0"/>
    <x v="2"/>
  </r>
  <r>
    <s v="Regular"/>
    <x v="3"/>
    <x v="2"/>
    <x v="2"/>
    <x v="1"/>
    <x v="1"/>
    <x v="0"/>
    <x v="2"/>
    <x v="10"/>
    <n v="12378"/>
    <n v="7550.58"/>
    <n v="0"/>
    <n v="0"/>
    <n v="0"/>
    <n v="0"/>
    <n v="22"/>
    <s v="LIVRE"/>
    <n v="0"/>
    <n v="35"/>
    <n v="0"/>
    <n v="0"/>
    <n v="12.24"/>
    <n v="0"/>
    <n v="0"/>
    <n v="16.00053546174815"/>
    <m/>
    <m/>
    <n v="59087.620800000004"/>
    <n v="0"/>
    <n v="77241.304898752249"/>
    <n v="0"/>
    <x v="2"/>
  </r>
  <r>
    <s v="PROJETADO"/>
    <x v="3"/>
    <x v="2"/>
    <x v="2"/>
    <x v="1"/>
    <x v="1"/>
    <x v="0"/>
    <x v="2"/>
    <x v="11"/>
    <n v="12378"/>
    <n v="7550.58"/>
    <n v="0"/>
    <n v="0"/>
    <n v="0"/>
    <n v="0"/>
    <n v="22"/>
    <s v="LIVRE"/>
    <n v="0"/>
    <n v="35"/>
    <n v="0"/>
    <n v="0"/>
    <n v="12.24"/>
    <n v="0"/>
    <n v="0"/>
    <n v="16.00053546174815"/>
    <m/>
    <m/>
    <n v="59087.620800000004"/>
    <n v="0"/>
    <n v="77241.304898752249"/>
    <n v="0"/>
    <x v="2"/>
  </r>
  <r>
    <s v="Regular"/>
    <x v="3"/>
    <x v="2"/>
    <x v="2"/>
    <x v="1"/>
    <x v="1"/>
    <x v="0"/>
    <x v="1"/>
    <x v="0"/>
    <n v="0"/>
    <n v="0"/>
    <n v="297.952"/>
    <n v="195.44079503200001"/>
    <n v="0"/>
    <n v="0"/>
    <n v="0"/>
    <s v="LIVRE"/>
    <n v="0"/>
    <n v="0"/>
    <n v="36"/>
    <n v="0"/>
    <n v="0"/>
    <n v="1174.6600000000001"/>
    <n v="0"/>
    <m/>
    <n v="1305.5515491455487"/>
    <m/>
    <n v="0"/>
    <n v="120415.81202771087"/>
    <n v="0"/>
    <n v="133833.66245074925"/>
    <x v="2"/>
  </r>
  <r>
    <s v="Regular"/>
    <x v="3"/>
    <x v="2"/>
    <x v="2"/>
    <x v="1"/>
    <x v="1"/>
    <x v="0"/>
    <x v="1"/>
    <x v="1"/>
    <n v="0"/>
    <n v="0"/>
    <n v="259.803"/>
    <n v="161.49602332062"/>
    <n v="0"/>
    <n v="0"/>
    <n v="0"/>
    <s v="LIVRE"/>
    <n v="0"/>
    <n v="0"/>
    <n v="36"/>
    <n v="0"/>
    <n v="0"/>
    <n v="1174.6600000000001"/>
    <n v="0"/>
    <m/>
    <n v="1305.5515491455487"/>
    <m/>
    <n v="0"/>
    <n v="115477.27322620052"/>
    <n v="0"/>
    <n v="128344.82569557989"/>
    <x v="2"/>
  </r>
  <r>
    <s v="Regular"/>
    <x v="3"/>
    <x v="2"/>
    <x v="2"/>
    <x v="1"/>
    <x v="1"/>
    <x v="0"/>
    <x v="1"/>
    <x v="2"/>
    <n v="0"/>
    <n v="0"/>
    <n v="264.79500000000002"/>
    <n v="175.42622410875001"/>
    <n v="0"/>
    <n v="0"/>
    <n v="0"/>
    <s v="LIVRE"/>
    <n v="0"/>
    <n v="0"/>
    <n v="36"/>
    <n v="0"/>
    <n v="0"/>
    <n v="1174.6600000000001"/>
    <n v="0"/>
    <m/>
    <n v="1305.5515491455487"/>
    <m/>
    <n v="0"/>
    <n v="104977.92628841575"/>
    <n v="0"/>
    <n v="116675.54381006282"/>
    <x v="2"/>
  </r>
  <r>
    <s v="Regular"/>
    <x v="3"/>
    <x v="2"/>
    <x v="2"/>
    <x v="1"/>
    <x v="1"/>
    <x v="0"/>
    <x v="1"/>
    <x v="3"/>
    <n v="0"/>
    <n v="0"/>
    <n v="289.28399999999999"/>
    <n v="198.51033734975999"/>
    <n v="0"/>
    <n v="0"/>
    <n v="0"/>
    <s v="LIVRE"/>
    <n v="0"/>
    <n v="0"/>
    <n v="36"/>
    <n v="0"/>
    <n v="0"/>
    <n v="1174.6600000000001"/>
    <n v="0"/>
    <m/>
    <n v="1305.5515491455487"/>
    <m/>
    <n v="0"/>
    <n v="106628.19056873092"/>
    <n v="0"/>
    <n v="118509.69589463627"/>
    <x v="2"/>
  </r>
  <r>
    <s v="Regular"/>
    <x v="3"/>
    <x v="2"/>
    <x v="2"/>
    <x v="1"/>
    <x v="1"/>
    <x v="0"/>
    <x v="1"/>
    <x v="4"/>
    <n v="0"/>
    <n v="0"/>
    <n v="240.24600000000001"/>
    <n v="157.09251815478001"/>
    <n v="0"/>
    <n v="0"/>
    <n v="0"/>
    <s v="LIVRE"/>
    <n v="0"/>
    <n v="0"/>
    <n v="36"/>
    <n v="0"/>
    <n v="0"/>
    <n v="1174.6600000000001"/>
    <n v="0"/>
    <m/>
    <n v="1305.5515491455487"/>
    <m/>
    <n v="0"/>
    <n v="97677.068984306126"/>
    <n v="0"/>
    <n v="108561.15703987323"/>
    <x v="2"/>
  </r>
  <r>
    <s v="Regular"/>
    <x v="3"/>
    <x v="2"/>
    <x v="2"/>
    <x v="1"/>
    <x v="1"/>
    <x v="0"/>
    <x v="1"/>
    <x v="5"/>
    <n v="0"/>
    <n v="0"/>
    <n v="264.87900000000002"/>
    <n v="176.56615349946"/>
    <n v="0"/>
    <n v="0"/>
    <n v="0"/>
    <s v="LIVRE"/>
    <n v="0"/>
    <n v="0"/>
    <n v="36"/>
    <n v="0"/>
    <n v="0"/>
    <n v="1174.6600000000001"/>
    <n v="0"/>
    <m/>
    <n v="1305.5515491455487"/>
    <m/>
    <n v="0"/>
    <n v="103737.56827032435"/>
    <n v="0"/>
    <n v="115296.97355823308"/>
    <x v="2"/>
  </r>
  <r>
    <s v="Regular"/>
    <x v="3"/>
    <x v="2"/>
    <x v="2"/>
    <x v="1"/>
    <x v="1"/>
    <x v="0"/>
    <x v="1"/>
    <x v="6"/>
    <n v="0"/>
    <n v="0"/>
    <n v="249.36"/>
    <n v="164.96038006800001"/>
    <n v="0"/>
    <n v="0"/>
    <n v="0"/>
    <s v="LIVRE"/>
    <n v="0"/>
    <n v="0"/>
    <n v="36"/>
    <n v="0"/>
    <n v="0"/>
    <n v="1174.6600000000001"/>
    <n v="0"/>
    <m/>
    <n v="1305.5515491455487"/>
    <m/>
    <n v="0"/>
    <n v="99140.857549323133"/>
    <n v="0"/>
    <n v="110188.05454951814"/>
    <x v="2"/>
  </r>
  <r>
    <s v="Regular"/>
    <x v="3"/>
    <x v="2"/>
    <x v="2"/>
    <x v="1"/>
    <x v="1"/>
    <x v="0"/>
    <x v="1"/>
    <x v="7"/>
    <n v="0"/>
    <n v="0"/>
    <n v="220.82599999999999"/>
    <n v="145.75165890918001"/>
    <n v="0"/>
    <n v="0"/>
    <n v="0"/>
    <s v="LIVRE"/>
    <n v="0"/>
    <n v="0"/>
    <n v="36"/>
    <n v="0"/>
    <n v="0"/>
    <n v="1174.6600000000001"/>
    <n v="0"/>
    <m/>
    <n v="1305.5515491455487"/>
    <m/>
    <n v="0"/>
    <n v="88186.825505742614"/>
    <n v="0"/>
    <n v="98013.42231220135"/>
    <x v="2"/>
  </r>
  <r>
    <s v="Regular"/>
    <x v="3"/>
    <x v="2"/>
    <x v="2"/>
    <x v="1"/>
    <x v="1"/>
    <x v="0"/>
    <x v="1"/>
    <x v="8"/>
    <n v="0"/>
    <n v="0"/>
    <n v="220.82599999999999"/>
    <n v="147.78605376633999"/>
    <n v="0"/>
    <n v="0"/>
    <n v="0"/>
    <s v="LIVRE"/>
    <n v="0"/>
    <n v="0"/>
    <n v="36"/>
    <n v="0"/>
    <n v="0"/>
    <n v="1174.6600000000001"/>
    <n v="0"/>
    <m/>
    <n v="1305.5515491455487"/>
    <m/>
    <n v="0"/>
    <n v="85797.103242831072"/>
    <n v="0"/>
    <n v="95357.414954862412"/>
    <x v="2"/>
  </r>
  <r>
    <s v="Regular"/>
    <x v="3"/>
    <x v="2"/>
    <x v="2"/>
    <x v="1"/>
    <x v="1"/>
    <x v="0"/>
    <x v="1"/>
    <x v="9"/>
    <n v="0"/>
    <n v="0"/>
    <n v="228.57300000000001"/>
    <n v="146.40605567757001"/>
    <n v="0"/>
    <n v="0"/>
    <n v="0"/>
    <s v="LIVRE"/>
    <n v="0"/>
    <n v="0"/>
    <n v="36"/>
    <n v="0"/>
    <n v="0"/>
    <n v="1174.6600000000001"/>
    <n v="0"/>
    <m/>
    <n v="1305.5515491455487"/>
    <m/>
    <n v="0"/>
    <n v="96518.22281778563"/>
    <n v="0"/>
    <n v="107273.18144870453"/>
    <x v="2"/>
  </r>
  <r>
    <s v="Regular"/>
    <x v="3"/>
    <x v="2"/>
    <x v="2"/>
    <x v="1"/>
    <x v="1"/>
    <x v="0"/>
    <x v="1"/>
    <x v="10"/>
    <n v="0"/>
    <n v="0"/>
    <n v="265.601"/>
    <n v="175.29666"/>
    <n v="0"/>
    <n v="0"/>
    <n v="0"/>
    <s v="LIVRE"/>
    <n v="0"/>
    <n v="0"/>
    <n v="36"/>
    <n v="0"/>
    <n v="0"/>
    <n v="1174.6600000000001"/>
    <n v="0"/>
    <m/>
    <n v="1305.5515491455487"/>
    <m/>
    <n v="0"/>
    <n v="106076.8960244"/>
    <n v="0"/>
    <n v="117896.97098156634"/>
    <x v="2"/>
  </r>
  <r>
    <s v="PROJETADO"/>
    <x v="3"/>
    <x v="2"/>
    <x v="2"/>
    <x v="1"/>
    <x v="1"/>
    <x v="0"/>
    <x v="1"/>
    <x v="11"/>
    <n v="0"/>
    <n v="0"/>
    <n v="265.601"/>
    <n v="175.29666"/>
    <n v="0"/>
    <n v="0"/>
    <n v="0"/>
    <s v="LIVRE"/>
    <n v="0"/>
    <n v="0"/>
    <n v="36"/>
    <n v="0"/>
    <n v="0"/>
    <n v="1174.6600000000001"/>
    <n v="0"/>
    <m/>
    <n v="1305.5515491455487"/>
    <m/>
    <n v="0"/>
    <n v="106076.8960244"/>
    <n v="0"/>
    <n v="117896.97098156634"/>
    <x v="2"/>
  </r>
  <r>
    <s v="Regular"/>
    <x v="4"/>
    <x v="3"/>
    <x v="4"/>
    <x v="3"/>
    <x v="0"/>
    <x v="0"/>
    <x v="2"/>
    <x v="0"/>
    <n v="0"/>
    <n v="0"/>
    <n v="195401.87700000001"/>
    <n v="195401.87700000001"/>
    <n v="195401.87700000001"/>
    <n v="195401.87700000001"/>
    <n v="942675"/>
    <s v="CATIVO"/>
    <n v="0"/>
    <n v="0"/>
    <n v="45"/>
    <n v="88"/>
    <n v="0"/>
    <n v="247.09"/>
    <n v="270.92"/>
    <m/>
    <n v="271.87639484612828"/>
    <n v="242.91497522388124"/>
    <n v="0"/>
    <n v="0"/>
    <n v="0"/>
    <n v="0"/>
    <x v="5"/>
  </r>
  <r>
    <s v="Regular"/>
    <x v="4"/>
    <x v="3"/>
    <x v="4"/>
    <x v="4"/>
    <x v="0"/>
    <x v="0"/>
    <x v="2"/>
    <x v="0"/>
    <n v="0"/>
    <n v="0"/>
    <n v="259.98"/>
    <n v="259.98"/>
    <n v="259.98"/>
    <n v="259.98"/>
    <n v="461"/>
    <s v="CATIVO"/>
    <n v="0"/>
    <n v="0"/>
    <n v="46"/>
    <n v="89"/>
    <n v="0"/>
    <n v="64.09"/>
    <n v="94.82"/>
    <m/>
    <n v="69.480292728688681"/>
    <n v="85.020241328358424"/>
    <n v="0"/>
    <n v="76727.897400000016"/>
    <n v="0"/>
    <n v="74595.94785342348"/>
    <x v="6"/>
  </r>
  <r>
    <s v="Refaturamento - Regular"/>
    <x v="4"/>
    <x v="3"/>
    <x v="4"/>
    <x v="4"/>
    <x v="0"/>
    <x v="0"/>
    <x v="2"/>
    <x v="0"/>
    <n v="0"/>
    <n v="0"/>
    <n v="0.09"/>
    <n v="0.09"/>
    <n v="0.09"/>
    <n v="0.09"/>
    <n v="0"/>
    <s v="CATIVO"/>
    <n v="0"/>
    <n v="0"/>
    <n v="46"/>
    <n v="89"/>
    <n v="0"/>
    <n v="64.09"/>
    <n v="94.82"/>
    <m/>
    <n v="69.480292728688681"/>
    <n v="85.020241328358424"/>
    <n v="0"/>
    <n v="26.561700000000005"/>
    <n v="0"/>
    <n v="25.823660692392156"/>
    <x v="6"/>
  </r>
  <r>
    <s v="Regular"/>
    <x v="4"/>
    <x v="3"/>
    <x v="4"/>
    <x v="4"/>
    <x v="0"/>
    <x v="0"/>
    <x v="2"/>
    <x v="1"/>
    <n v="0"/>
    <n v="0"/>
    <n v="266.10000000000002"/>
    <n v="266.10000000000002"/>
    <n v="266.10000000000002"/>
    <n v="266.10000000000002"/>
    <n v="410"/>
    <s v="CATIVO"/>
    <n v="0"/>
    <n v="0"/>
    <n v="46"/>
    <n v="89"/>
    <n v="0"/>
    <n v="64.09"/>
    <n v="94.82"/>
    <m/>
    <n v="69.480292728688681"/>
    <n v="85.020241328358424"/>
    <n v="0"/>
    <n v="78534.093000000023"/>
    <n v="0"/>
    <n v="76351.956780506152"/>
    <x v="6"/>
  </r>
  <r>
    <s v="Refaturamento - Regular"/>
    <x v="4"/>
    <x v="3"/>
    <x v="4"/>
    <x v="4"/>
    <x v="0"/>
    <x v="0"/>
    <x v="2"/>
    <x v="1"/>
    <n v="0"/>
    <n v="0"/>
    <n v="0.15"/>
    <n v="0.15"/>
    <n v="0.15"/>
    <n v="0.15"/>
    <n v="0"/>
    <s v="CATIVO"/>
    <n v="0"/>
    <n v="0"/>
    <n v="46"/>
    <n v="89"/>
    <n v="0"/>
    <n v="64.09"/>
    <n v="94.82"/>
    <m/>
    <n v="69.480292728688681"/>
    <n v="85.020241328358424"/>
    <n v="0"/>
    <n v="44.269500000000008"/>
    <n v="0"/>
    <n v="43.039434487320257"/>
    <x v="6"/>
  </r>
  <r>
    <s v="Regular"/>
    <x v="4"/>
    <x v="3"/>
    <x v="4"/>
    <x v="4"/>
    <x v="0"/>
    <x v="0"/>
    <x v="2"/>
    <x v="2"/>
    <n v="0"/>
    <n v="0"/>
    <n v="272.55"/>
    <n v="272.55"/>
    <n v="272.55"/>
    <n v="272.55"/>
    <n v="488"/>
    <s v="CATIVO"/>
    <n v="0"/>
    <n v="0"/>
    <n v="46"/>
    <n v="89"/>
    <n v="0"/>
    <n v="64.09"/>
    <n v="94.82"/>
    <m/>
    <n v="69.480292728688681"/>
    <n v="85.020241328358424"/>
    <n v="0"/>
    <n v="80437.681500000021"/>
    <n v="0"/>
    <n v="78202.652463460923"/>
    <x v="6"/>
  </r>
  <r>
    <s v="Refaturamento - Regular"/>
    <x v="4"/>
    <x v="3"/>
    <x v="4"/>
    <x v="4"/>
    <x v="0"/>
    <x v="0"/>
    <x v="2"/>
    <x v="2"/>
    <n v="0"/>
    <n v="0"/>
    <n v="0.12"/>
    <n v="0.12"/>
    <n v="0.12"/>
    <n v="0.12"/>
    <n v="2"/>
    <s v="CATIVO"/>
    <n v="0"/>
    <n v="0"/>
    <n v="46"/>
    <n v="89"/>
    <n v="0"/>
    <n v="64.09"/>
    <n v="94.82"/>
    <m/>
    <n v="69.480292728688681"/>
    <n v="85.020241328358424"/>
    <n v="0"/>
    <n v="35.415600000000005"/>
    <n v="0"/>
    <n v="34.431547589856208"/>
    <x v="6"/>
  </r>
  <r>
    <s v="Regular"/>
    <x v="4"/>
    <x v="3"/>
    <x v="4"/>
    <x v="4"/>
    <x v="0"/>
    <x v="0"/>
    <x v="2"/>
    <x v="3"/>
    <n v="0"/>
    <n v="0"/>
    <n v="275.61"/>
    <n v="275.61"/>
    <n v="275.61"/>
    <n v="275.61"/>
    <n v="515"/>
    <s v="CATIVO"/>
    <n v="0"/>
    <n v="0"/>
    <n v="46"/>
    <n v="89"/>
    <n v="0"/>
    <n v="64.09"/>
    <n v="94.82"/>
    <m/>
    <n v="69.480292728688681"/>
    <n v="85.020241328358424"/>
    <n v="0"/>
    <n v="81340.779300000024"/>
    <n v="0"/>
    <n v="79080.656927002259"/>
    <x v="6"/>
  </r>
  <r>
    <s v="Refaturamento - Regular"/>
    <x v="4"/>
    <x v="3"/>
    <x v="4"/>
    <x v="4"/>
    <x v="0"/>
    <x v="0"/>
    <x v="2"/>
    <x v="3"/>
    <n v="0"/>
    <n v="0"/>
    <n v="0.21"/>
    <n v="0.21"/>
    <n v="0.21"/>
    <n v="0.21"/>
    <n v="1"/>
    <s v="CATIVO"/>
    <n v="0"/>
    <n v="0"/>
    <n v="46"/>
    <n v="89"/>
    <n v="0"/>
    <n v="64.09"/>
    <n v="94.82"/>
    <m/>
    <n v="69.480292728688681"/>
    <n v="85.020241328358424"/>
    <n v="0"/>
    <n v="61.977300000000007"/>
    <n v="0"/>
    <n v="60.255208282248361"/>
    <x v="6"/>
  </r>
  <r>
    <s v="Regular"/>
    <x v="4"/>
    <x v="3"/>
    <x v="4"/>
    <x v="4"/>
    <x v="0"/>
    <x v="0"/>
    <x v="2"/>
    <x v="4"/>
    <n v="0"/>
    <n v="0"/>
    <n v="276.45"/>
    <n v="276.45"/>
    <n v="276.45"/>
    <n v="276.45"/>
    <n v="502"/>
    <s v="CATIVO"/>
    <n v="0"/>
    <n v="0"/>
    <n v="46"/>
    <n v="89"/>
    <n v="0"/>
    <n v="64.09"/>
    <n v="94.82"/>
    <m/>
    <n v="69.480292728688681"/>
    <n v="85.020241328358424"/>
    <n v="0"/>
    <n v="81588.688500000004"/>
    <n v="0"/>
    <n v="79321.677760131235"/>
    <x v="6"/>
  </r>
  <r>
    <s v="Regular"/>
    <x v="4"/>
    <x v="3"/>
    <x v="4"/>
    <x v="4"/>
    <x v="0"/>
    <x v="0"/>
    <x v="2"/>
    <x v="5"/>
    <n v="0"/>
    <n v="0"/>
    <n v="256.35000000000002"/>
    <n v="256.35000000000002"/>
    <n v="256.35000000000002"/>
    <n v="256.35000000000002"/>
    <n v="411"/>
    <s v="CATIVO"/>
    <n v="0"/>
    <n v="0"/>
    <n v="46"/>
    <n v="89"/>
    <n v="0"/>
    <n v="64.09"/>
    <n v="94.82"/>
    <m/>
    <n v="69.480292728688681"/>
    <n v="85.020241328358424"/>
    <n v="0"/>
    <n v="75656.575500000021"/>
    <n v="0"/>
    <n v="73554.393538830336"/>
    <x v="6"/>
  </r>
  <r>
    <s v="Refaturamento - Regular"/>
    <x v="4"/>
    <x v="3"/>
    <x v="4"/>
    <x v="4"/>
    <x v="0"/>
    <x v="0"/>
    <x v="2"/>
    <x v="5"/>
    <n v="0"/>
    <n v="0"/>
    <n v="0.24"/>
    <n v="0.24"/>
    <n v="0.24"/>
    <n v="0.24"/>
    <n v="0"/>
    <s v="CATIVO"/>
    <n v="0"/>
    <n v="0"/>
    <n v="46"/>
    <n v="89"/>
    <n v="0"/>
    <n v="64.09"/>
    <n v="94.82"/>
    <m/>
    <n v="69.480292728688681"/>
    <n v="85.020241328358424"/>
    <n v="0"/>
    <n v="70.83120000000001"/>
    <n v="0"/>
    <n v="68.863095179712417"/>
    <x v="6"/>
  </r>
  <r>
    <s v="Regular"/>
    <x v="4"/>
    <x v="3"/>
    <x v="4"/>
    <x v="4"/>
    <x v="0"/>
    <x v="0"/>
    <x v="2"/>
    <x v="6"/>
    <n v="0"/>
    <n v="0"/>
    <n v="251.94"/>
    <n v="251.94"/>
    <n v="251.94"/>
    <n v="251.94"/>
    <n v="324"/>
    <s v="CATIVO"/>
    <n v="0"/>
    <n v="0"/>
    <n v="46"/>
    <n v="89"/>
    <n v="0"/>
    <n v="64.09"/>
    <n v="94.82"/>
    <m/>
    <n v="69.480292728688681"/>
    <n v="85.020241328358424"/>
    <n v="0"/>
    <n v="74355.052200000006"/>
    <n v="0"/>
    <n v="72289.034164903103"/>
    <x v="6"/>
  </r>
  <r>
    <s v="Refaturamento - Regular"/>
    <x v="4"/>
    <x v="3"/>
    <x v="4"/>
    <x v="4"/>
    <x v="0"/>
    <x v="0"/>
    <x v="2"/>
    <x v="6"/>
    <n v="0"/>
    <n v="0"/>
    <n v="0.96"/>
    <n v="0.96"/>
    <n v="0.96"/>
    <n v="0.96"/>
    <n v="0"/>
    <s v="CATIVO"/>
    <n v="0"/>
    <n v="0"/>
    <n v="46"/>
    <n v="89"/>
    <n v="0"/>
    <n v="64.09"/>
    <n v="94.82"/>
    <m/>
    <n v="69.480292728688681"/>
    <n v="85.020241328358424"/>
    <n v="0"/>
    <n v="283.32480000000004"/>
    <n v="0"/>
    <n v="275.45238071884967"/>
    <x v="6"/>
  </r>
  <r>
    <s v="Regular"/>
    <x v="4"/>
    <x v="3"/>
    <x v="4"/>
    <x v="4"/>
    <x v="0"/>
    <x v="0"/>
    <x v="2"/>
    <x v="7"/>
    <n v="0"/>
    <n v="0"/>
    <n v="298.23"/>
    <n v="298.23"/>
    <n v="298.23"/>
    <n v="298.23"/>
    <n v="356"/>
    <s v="CATIVO"/>
    <n v="0"/>
    <n v="0"/>
    <n v="46"/>
    <n v="89"/>
    <n v="0"/>
    <n v="64.09"/>
    <n v="94.82"/>
    <m/>
    <n v="69.480292728688681"/>
    <n v="85.020241328358424"/>
    <n v="0"/>
    <n v="88016.61990000002"/>
    <n v="0"/>
    <n v="85571.003647690144"/>
    <x v="6"/>
  </r>
  <r>
    <s v="Refaturamento - Regular"/>
    <x v="4"/>
    <x v="3"/>
    <x v="4"/>
    <x v="4"/>
    <x v="0"/>
    <x v="0"/>
    <x v="2"/>
    <x v="7"/>
    <n v="0"/>
    <n v="0"/>
    <n v="2.46"/>
    <n v="2.46"/>
    <n v="2.46"/>
    <n v="2.46"/>
    <n v="0"/>
    <s v="CATIVO"/>
    <n v="0"/>
    <n v="0"/>
    <n v="46"/>
    <n v="89"/>
    <n v="0"/>
    <n v="64.09"/>
    <n v="94.82"/>
    <m/>
    <n v="69.480292728688681"/>
    <n v="85.020241328358424"/>
    <n v="0"/>
    <n v="726.01980000000015"/>
    <n v="0"/>
    <n v="705.84672559205228"/>
    <x v="6"/>
  </r>
  <r>
    <s v="Regular"/>
    <x v="4"/>
    <x v="3"/>
    <x v="4"/>
    <x v="4"/>
    <x v="0"/>
    <x v="0"/>
    <x v="2"/>
    <x v="8"/>
    <n v="0"/>
    <n v="0"/>
    <n v="324.12"/>
    <n v="324.12"/>
    <n v="324.12"/>
    <n v="324.12"/>
    <n v="347"/>
    <s v="CATIVO"/>
    <n v="0"/>
    <n v="0"/>
    <n v="46"/>
    <n v="89"/>
    <n v="0"/>
    <n v="64.09"/>
    <n v="94.82"/>
    <m/>
    <n v="69.480292728688681"/>
    <n v="85.020241328358424"/>
    <n v="0"/>
    <n v="95657.535600000017"/>
    <n v="0"/>
    <n v="92999.610040201616"/>
    <x v="6"/>
  </r>
  <r>
    <s v="Refaturamento - Regular"/>
    <x v="4"/>
    <x v="3"/>
    <x v="4"/>
    <x v="4"/>
    <x v="0"/>
    <x v="0"/>
    <x v="2"/>
    <x v="8"/>
    <n v="0"/>
    <n v="0"/>
    <n v="0.21"/>
    <n v="0.21"/>
    <n v="0.21"/>
    <n v="0.21"/>
    <n v="0"/>
    <s v="CATIVO"/>
    <n v="0"/>
    <n v="0"/>
    <n v="46"/>
    <n v="89"/>
    <n v="0"/>
    <n v="64.09"/>
    <n v="94.82"/>
    <m/>
    <n v="69.480292728688681"/>
    <n v="85.020241328358424"/>
    <n v="0"/>
    <n v="61.977300000000007"/>
    <n v="0"/>
    <n v="60.255208282248361"/>
    <x v="6"/>
  </r>
  <r>
    <s v="Regular"/>
    <x v="4"/>
    <x v="3"/>
    <x v="4"/>
    <x v="4"/>
    <x v="0"/>
    <x v="0"/>
    <x v="2"/>
    <x v="9"/>
    <n v="0"/>
    <n v="0"/>
    <n v="336.48"/>
    <n v="336.48"/>
    <n v="336.48"/>
    <n v="336.48"/>
    <n v="335"/>
    <s v="CATIVO"/>
    <n v="0"/>
    <n v="0"/>
    <n v="46"/>
    <n v="89"/>
    <n v="0"/>
    <n v="64.09"/>
    <n v="94.82"/>
    <m/>
    <n v="69.480292728688681"/>
    <n v="85.020241328358424"/>
    <n v="0"/>
    <n v="99305.342400000023"/>
    <n v="0"/>
    <n v="96546.059441956822"/>
    <x v="6"/>
  </r>
  <r>
    <s v="Refaturamento - Regular"/>
    <x v="4"/>
    <x v="3"/>
    <x v="4"/>
    <x v="4"/>
    <x v="0"/>
    <x v="0"/>
    <x v="2"/>
    <x v="9"/>
    <n v="0"/>
    <n v="0"/>
    <n v="0.12"/>
    <n v="0.12"/>
    <n v="0.12"/>
    <n v="0.12"/>
    <n v="0"/>
    <s v="CATIVO"/>
    <n v="0"/>
    <n v="0"/>
    <n v="46"/>
    <n v="89"/>
    <n v="0"/>
    <n v="64.09"/>
    <n v="94.82"/>
    <m/>
    <n v="69.480292728688681"/>
    <n v="85.020241328358424"/>
    <n v="0"/>
    <n v="35.415600000000005"/>
    <n v="0"/>
    <n v="34.431547589856208"/>
    <x v="6"/>
  </r>
  <r>
    <s v="Regular"/>
    <x v="4"/>
    <x v="3"/>
    <x v="4"/>
    <x v="4"/>
    <x v="0"/>
    <x v="0"/>
    <x v="2"/>
    <x v="10"/>
    <n v="0"/>
    <n v="0"/>
    <n v="342.18"/>
    <n v="342.18"/>
    <n v="342.18"/>
    <n v="342.18"/>
    <n v="318"/>
    <s v="CATIVO"/>
    <n v="0"/>
    <n v="0"/>
    <n v="46"/>
    <n v="89"/>
    <n v="0"/>
    <n v="64.09"/>
    <n v="94.82"/>
    <m/>
    <n v="69.480292728688681"/>
    <n v="85.020241328358424"/>
    <n v="0"/>
    <n v="100987.58340000002"/>
    <n v="0"/>
    <n v="98181.557952474977"/>
    <x v="6"/>
  </r>
  <r>
    <s v="Refaturamento - Regular"/>
    <x v="4"/>
    <x v="3"/>
    <x v="4"/>
    <x v="4"/>
    <x v="0"/>
    <x v="0"/>
    <x v="2"/>
    <x v="10"/>
    <n v="0"/>
    <n v="0"/>
    <n v="0.12"/>
    <n v="0.12"/>
    <n v="0.12"/>
    <n v="0.12"/>
    <n v="1"/>
    <s v="CATIVO"/>
    <n v="0"/>
    <n v="0"/>
    <n v="46"/>
    <n v="89"/>
    <n v="0"/>
    <n v="64.09"/>
    <n v="94.82"/>
    <m/>
    <n v="69.480292728688681"/>
    <n v="85.020241328358424"/>
    <n v="0"/>
    <n v="35.415600000000005"/>
    <n v="0"/>
    <n v="34.431547589856208"/>
    <x v="6"/>
  </r>
  <r>
    <s v="PROJETADO"/>
    <x v="4"/>
    <x v="3"/>
    <x v="4"/>
    <x v="4"/>
    <x v="0"/>
    <x v="0"/>
    <x v="2"/>
    <x v="11"/>
    <n v="0"/>
    <n v="0"/>
    <n v="342.18"/>
    <n v="342.18"/>
    <n v="342.18"/>
    <n v="342.18"/>
    <n v="318"/>
    <s v="CATIVO"/>
    <n v="0"/>
    <n v="0"/>
    <n v="46"/>
    <n v="89"/>
    <n v="0"/>
    <n v="64.09"/>
    <n v="94.82"/>
    <m/>
    <n v="69.480292728688681"/>
    <n v="85.020241328358424"/>
    <n v="0"/>
    <n v="100987.58340000002"/>
    <n v="0"/>
    <n v="98181.557952474977"/>
    <x v="6"/>
  </r>
  <r>
    <s v="PROJETADO"/>
    <x v="4"/>
    <x v="3"/>
    <x v="4"/>
    <x v="4"/>
    <x v="0"/>
    <x v="0"/>
    <x v="2"/>
    <x v="11"/>
    <n v="0"/>
    <n v="0"/>
    <n v="0.12"/>
    <n v="0.12"/>
    <n v="0.12"/>
    <n v="0.12"/>
    <n v="1"/>
    <s v="CATIVO"/>
    <n v="0"/>
    <n v="0"/>
    <n v="46"/>
    <n v="89"/>
    <n v="0"/>
    <n v="64.09"/>
    <n v="94.82"/>
    <m/>
    <n v="69.480292728688681"/>
    <n v="85.020241328358424"/>
    <n v="0"/>
    <n v="35.415600000000005"/>
    <n v="0"/>
    <n v="34.431547589856208"/>
    <x v="6"/>
  </r>
  <r>
    <s v="Regular"/>
    <x v="4"/>
    <x v="3"/>
    <x v="4"/>
    <x v="5"/>
    <x v="0"/>
    <x v="0"/>
    <x v="2"/>
    <x v="0"/>
    <n v="0"/>
    <n v="0"/>
    <n v="543.95899999999995"/>
    <n v="543.95899999999995"/>
    <n v="543.95899999999995"/>
    <n v="543.95899999999995"/>
    <n v="1306"/>
    <s v="CATIVO"/>
    <n v="0"/>
    <n v="0"/>
    <n v="47"/>
    <n v="90"/>
    <n v="0"/>
    <n v="109.87"/>
    <n v="162.55000000000001"/>
    <m/>
    <n v="119.1090732491806"/>
    <n v="145.74898513432873"/>
    <n v="0"/>
    <n v="98793.833579999991"/>
    <n v="0"/>
    <n v="96047.949720156903"/>
    <x v="6"/>
  </r>
  <r>
    <s v="Refaturamento - Regular"/>
    <x v="4"/>
    <x v="3"/>
    <x v="4"/>
    <x v="5"/>
    <x v="0"/>
    <x v="0"/>
    <x v="2"/>
    <x v="0"/>
    <n v="0"/>
    <n v="0"/>
    <n v="0.17"/>
    <n v="0.17"/>
    <n v="0.17"/>
    <n v="0.17"/>
    <n v="0"/>
    <s v="CATIVO"/>
    <n v="0"/>
    <n v="0"/>
    <n v="47"/>
    <n v="90"/>
    <n v="0"/>
    <n v="109.87"/>
    <n v="162.55000000000001"/>
    <m/>
    <n v="119.1090732491806"/>
    <n v="145.74898513432873"/>
    <n v="0"/>
    <n v="30.875400000000003"/>
    <n v="0"/>
    <n v="30.017246616797731"/>
    <x v="6"/>
  </r>
  <r>
    <s v="Regular"/>
    <x v="4"/>
    <x v="3"/>
    <x v="4"/>
    <x v="5"/>
    <x v="0"/>
    <x v="0"/>
    <x v="2"/>
    <x v="1"/>
    <n v="0"/>
    <n v="0"/>
    <n v="566.62099999999998"/>
    <n v="566.62099999999998"/>
    <n v="566.62099999999998"/>
    <n v="566.62099999999998"/>
    <n v="1079"/>
    <s v="CATIVO"/>
    <n v="0"/>
    <n v="0"/>
    <n v="47"/>
    <n v="90"/>
    <n v="0"/>
    <n v="109.87"/>
    <n v="162.55000000000001"/>
    <m/>
    <n v="119.1090732491806"/>
    <n v="145.74898513432873"/>
    <n v="0"/>
    <n v="102909.70602"/>
    <n v="0"/>
    <n v="100049.42526621497"/>
    <x v="6"/>
  </r>
  <r>
    <s v="Refaturamento - Regular"/>
    <x v="4"/>
    <x v="3"/>
    <x v="4"/>
    <x v="5"/>
    <x v="0"/>
    <x v="0"/>
    <x v="2"/>
    <x v="1"/>
    <n v="0"/>
    <n v="0"/>
    <n v="0.32800000000000001"/>
    <n v="0.32800000000000001"/>
    <n v="0.32800000000000001"/>
    <n v="0.32800000000000001"/>
    <n v="1"/>
    <s v="CATIVO"/>
    <n v="0"/>
    <n v="0"/>
    <n v="47"/>
    <n v="90"/>
    <n v="0"/>
    <n v="109.87"/>
    <n v="162.55000000000001"/>
    <m/>
    <n v="119.1090732491806"/>
    <n v="145.74898513432873"/>
    <n v="0"/>
    <n v="59.571360000000006"/>
    <n v="0"/>
    <n v="57.915628766527384"/>
    <x v="6"/>
  </r>
  <r>
    <s v="Regular"/>
    <x v="4"/>
    <x v="3"/>
    <x v="4"/>
    <x v="5"/>
    <x v="0"/>
    <x v="0"/>
    <x v="2"/>
    <x v="2"/>
    <n v="0"/>
    <n v="0"/>
    <n v="561.79999999999995"/>
    <n v="561.79999999999995"/>
    <n v="561.79999999999995"/>
    <n v="561.79999999999995"/>
    <n v="1669"/>
    <s v="CATIVO"/>
    <n v="0"/>
    <n v="0"/>
    <n v="47"/>
    <n v="90"/>
    <n v="0"/>
    <n v="109.87"/>
    <n v="162.55000000000001"/>
    <m/>
    <n v="119.1090732491806"/>
    <n v="145.74898513432873"/>
    <n v="0"/>
    <n v="102034.11599999999"/>
    <n v="0"/>
    <n v="99198.171466570362"/>
    <x v="6"/>
  </r>
  <r>
    <s v="Refaturamento - Regular"/>
    <x v="4"/>
    <x v="3"/>
    <x v="4"/>
    <x v="5"/>
    <x v="0"/>
    <x v="0"/>
    <x v="2"/>
    <x v="2"/>
    <n v="0"/>
    <n v="0"/>
    <n v="0.14000000000000001"/>
    <n v="0.14000000000000001"/>
    <n v="0.14000000000000001"/>
    <n v="0.14000000000000001"/>
    <n v="0"/>
    <s v="CATIVO"/>
    <n v="0"/>
    <n v="0"/>
    <n v="47"/>
    <n v="90"/>
    <n v="0"/>
    <n v="109.87"/>
    <n v="162.55000000000001"/>
    <m/>
    <n v="119.1090732491806"/>
    <n v="145.74898513432873"/>
    <n v="0"/>
    <n v="25.426800000000004"/>
    <n v="0"/>
    <n v="24.720085449127541"/>
    <x v="6"/>
  </r>
  <r>
    <s v="Regular"/>
    <x v="4"/>
    <x v="3"/>
    <x v="4"/>
    <x v="5"/>
    <x v="0"/>
    <x v="0"/>
    <x v="2"/>
    <x v="3"/>
    <n v="0"/>
    <n v="0"/>
    <n v="571.98199999999997"/>
    <n v="571.98199999999997"/>
    <n v="571.98199999999997"/>
    <n v="571.98199999999997"/>
    <n v="1397"/>
    <s v="CATIVO"/>
    <n v="0"/>
    <n v="0"/>
    <n v="47"/>
    <n v="90"/>
    <n v="0"/>
    <n v="109.87"/>
    <n v="162.55000000000001"/>
    <m/>
    <n v="119.1090732491806"/>
    <n v="145.74898513432873"/>
    <n v="0"/>
    <n v="103883.37084"/>
    <n v="0"/>
    <n v="100996.02796687763"/>
    <x v="6"/>
  </r>
  <r>
    <s v="Refaturamento - Regular"/>
    <x v="4"/>
    <x v="3"/>
    <x v="4"/>
    <x v="5"/>
    <x v="0"/>
    <x v="0"/>
    <x v="2"/>
    <x v="3"/>
    <n v="0"/>
    <n v="0"/>
    <n v="0.35499999999999998"/>
    <n v="0.35499999999999998"/>
    <n v="0.35499999999999998"/>
    <n v="0.35499999999999998"/>
    <n v="0"/>
    <s v="CATIVO"/>
    <n v="0"/>
    <n v="0"/>
    <n v="47"/>
    <n v="90"/>
    <n v="0"/>
    <n v="109.87"/>
    <n v="162.55000000000001"/>
    <m/>
    <n v="119.1090732491806"/>
    <n v="145.74898513432873"/>
    <n v="0"/>
    <n v="64.475099999999998"/>
    <n v="0"/>
    <n v="62.683073817430547"/>
    <x v="6"/>
  </r>
  <r>
    <s v="Regular"/>
    <x v="4"/>
    <x v="3"/>
    <x v="4"/>
    <x v="5"/>
    <x v="0"/>
    <x v="0"/>
    <x v="2"/>
    <x v="4"/>
    <n v="0"/>
    <n v="0"/>
    <n v="564.67499999999995"/>
    <n v="564.67499999999995"/>
    <n v="564.67499999999995"/>
    <n v="564.67499999999995"/>
    <n v="1744"/>
    <s v="CATIVO"/>
    <n v="0"/>
    <n v="0"/>
    <n v="47"/>
    <n v="90"/>
    <n v="0"/>
    <n v="109.87"/>
    <n v="162.55000000000001"/>
    <m/>
    <n v="119.1090732491806"/>
    <n v="145.74898513432873"/>
    <n v="0"/>
    <n v="102556.2735"/>
    <n v="0"/>
    <n v="99705.816078472097"/>
    <x v="6"/>
  </r>
  <r>
    <s v="Regular"/>
    <x v="4"/>
    <x v="3"/>
    <x v="4"/>
    <x v="5"/>
    <x v="0"/>
    <x v="0"/>
    <x v="2"/>
    <x v="5"/>
    <n v="0"/>
    <n v="0"/>
    <n v="532.59799999999996"/>
    <n v="532.59799999999996"/>
    <n v="532.59799999999996"/>
    <n v="532.59799999999996"/>
    <n v="1472"/>
    <s v="CATIVO"/>
    <n v="0"/>
    <n v="0"/>
    <n v="47"/>
    <n v="90"/>
    <n v="0"/>
    <n v="109.87"/>
    <n v="162.55000000000001"/>
    <m/>
    <n v="119.1090732491806"/>
    <n v="145.74898513432873"/>
    <n v="0"/>
    <n v="96730.448759999999"/>
    <n v="0"/>
    <n v="94041.914785960209"/>
    <x v="6"/>
  </r>
  <r>
    <s v="Refaturamento - Regular"/>
    <x v="4"/>
    <x v="3"/>
    <x v="4"/>
    <x v="5"/>
    <x v="0"/>
    <x v="0"/>
    <x v="2"/>
    <x v="5"/>
    <n v="0"/>
    <n v="0"/>
    <n v="0.48399999999999999"/>
    <n v="0.48399999999999999"/>
    <n v="0.48399999999999999"/>
    <n v="0.48399999999999999"/>
    <n v="1"/>
    <s v="CATIVO"/>
    <n v="0"/>
    <n v="0"/>
    <n v="47"/>
    <n v="90"/>
    <n v="0"/>
    <n v="109.87"/>
    <n v="162.55000000000001"/>
    <m/>
    <n v="119.1090732491806"/>
    <n v="145.74898513432873"/>
    <n v="0"/>
    <n v="87.904079999999993"/>
    <n v="0"/>
    <n v="85.460866838412358"/>
    <x v="6"/>
  </r>
  <r>
    <s v="Regular"/>
    <x v="4"/>
    <x v="3"/>
    <x v="4"/>
    <x v="5"/>
    <x v="0"/>
    <x v="0"/>
    <x v="2"/>
    <x v="6"/>
    <n v="0"/>
    <n v="0"/>
    <n v="536.19799999999998"/>
    <n v="536.19799999999998"/>
    <n v="536.19799999999998"/>
    <n v="536.19799999999998"/>
    <n v="1169"/>
    <s v="CATIVO"/>
    <n v="0"/>
    <n v="0"/>
    <n v="47"/>
    <n v="90"/>
    <n v="0"/>
    <n v="109.87"/>
    <n v="162.55000000000001"/>
    <m/>
    <n v="119.1090732491806"/>
    <n v="145.74898513432873"/>
    <n v="0"/>
    <n v="97384.280759999994"/>
    <n v="0"/>
    <n v="94677.574126080624"/>
    <x v="6"/>
  </r>
  <r>
    <s v="Refaturamento - Regular"/>
    <x v="4"/>
    <x v="3"/>
    <x v="4"/>
    <x v="5"/>
    <x v="0"/>
    <x v="0"/>
    <x v="2"/>
    <x v="6"/>
    <n v="0"/>
    <n v="0"/>
    <n v="2.2400000000000002"/>
    <n v="2.2400000000000002"/>
    <n v="2.2400000000000002"/>
    <n v="2.2400000000000002"/>
    <n v="0"/>
    <s v="CATIVO"/>
    <n v="0"/>
    <n v="0"/>
    <n v="47"/>
    <n v="90"/>
    <n v="0"/>
    <n v="109.87"/>
    <n v="162.55000000000001"/>
    <m/>
    <n v="119.1090732491806"/>
    <n v="145.74898513432873"/>
    <n v="0"/>
    <n v="406.82880000000006"/>
    <n v="0"/>
    <n v="395.52136718604066"/>
    <x v="6"/>
  </r>
  <r>
    <s v="Regular"/>
    <x v="4"/>
    <x v="3"/>
    <x v="4"/>
    <x v="5"/>
    <x v="0"/>
    <x v="0"/>
    <x v="2"/>
    <x v="7"/>
    <n v="0"/>
    <n v="0"/>
    <n v="635.86900000000003"/>
    <n v="635.86900000000003"/>
    <n v="635.86900000000003"/>
    <n v="635.86900000000003"/>
    <n v="1424"/>
    <s v="CATIVO"/>
    <n v="0"/>
    <n v="0"/>
    <n v="47"/>
    <n v="90"/>
    <n v="0"/>
    <n v="109.87"/>
    <n v="162.55000000000001"/>
    <m/>
    <n v="119.1090732491806"/>
    <n v="145.74898513432873"/>
    <n v="0"/>
    <n v="115486.52778"/>
    <n v="0"/>
    <n v="112276.68581750915"/>
    <x v="6"/>
  </r>
  <r>
    <s v="Refaturamento - Regular"/>
    <x v="4"/>
    <x v="3"/>
    <x v="4"/>
    <x v="5"/>
    <x v="0"/>
    <x v="0"/>
    <x v="2"/>
    <x v="7"/>
    <n v="0"/>
    <n v="0"/>
    <n v="5.74"/>
    <n v="5.74"/>
    <n v="5.74"/>
    <n v="5.74"/>
    <n v="0"/>
    <s v="CATIVO"/>
    <n v="0"/>
    <n v="0"/>
    <n v="47"/>
    <n v="90"/>
    <n v="0"/>
    <n v="109.87"/>
    <n v="162.55000000000001"/>
    <m/>
    <n v="119.1090732491806"/>
    <n v="145.74898513432873"/>
    <n v="0"/>
    <n v="1042.4988000000001"/>
    <n v="0"/>
    <n v="1013.5235034142291"/>
    <x v="6"/>
  </r>
  <r>
    <s v="Regular"/>
    <x v="4"/>
    <x v="3"/>
    <x v="4"/>
    <x v="5"/>
    <x v="0"/>
    <x v="0"/>
    <x v="2"/>
    <x v="8"/>
    <n v="0"/>
    <n v="0"/>
    <n v="683.36500000000001"/>
    <n v="683.36500000000001"/>
    <n v="683.36500000000001"/>
    <n v="683.36500000000001"/>
    <n v="1934"/>
    <s v="CATIVO"/>
    <n v="0"/>
    <n v="0"/>
    <n v="47"/>
    <n v="90"/>
    <n v="0"/>
    <n v="109.87"/>
    <n v="162.55000000000001"/>
    <m/>
    <n v="119.1090732491806"/>
    <n v="145.74898513432873"/>
    <n v="0"/>
    <n v="124112.7513"/>
    <n v="0"/>
    <n v="120663.15137816458"/>
    <x v="6"/>
  </r>
  <r>
    <s v="Refaturamento - Regular"/>
    <x v="4"/>
    <x v="3"/>
    <x v="4"/>
    <x v="5"/>
    <x v="0"/>
    <x v="0"/>
    <x v="2"/>
    <x v="8"/>
    <n v="0"/>
    <n v="0"/>
    <n v="0.49"/>
    <n v="0.49"/>
    <n v="0.49"/>
    <n v="0.49"/>
    <n v="0"/>
    <s v="CATIVO"/>
    <n v="0"/>
    <n v="0"/>
    <n v="47"/>
    <n v="90"/>
    <n v="0"/>
    <n v="109.87"/>
    <n v="162.55000000000001"/>
    <m/>
    <n v="119.1090732491806"/>
    <n v="145.74898513432873"/>
    <n v="0"/>
    <n v="88.993800000000007"/>
    <n v="0"/>
    <n v="86.520299071946383"/>
    <x v="6"/>
  </r>
  <r>
    <s v="Regular"/>
    <x v="4"/>
    <x v="3"/>
    <x v="4"/>
    <x v="5"/>
    <x v="0"/>
    <x v="0"/>
    <x v="2"/>
    <x v="9"/>
    <n v="0"/>
    <n v="0"/>
    <n v="714.41399999999999"/>
    <n v="714.41399999999999"/>
    <n v="714.41399999999999"/>
    <n v="714.41399999999999"/>
    <n v="1862"/>
    <s v="CATIVO"/>
    <n v="0"/>
    <n v="0"/>
    <n v="47"/>
    <n v="90"/>
    <n v="0"/>
    <n v="109.87"/>
    <n v="162.55000000000001"/>
    <m/>
    <n v="119.1090732491806"/>
    <n v="145.74898513432873"/>
    <n v="0"/>
    <n v="129751.87068000001"/>
    <n v="0"/>
    <n v="126145.53661466431"/>
    <x v="6"/>
  </r>
  <r>
    <s v="Refaturamento - Regular"/>
    <x v="4"/>
    <x v="3"/>
    <x v="4"/>
    <x v="5"/>
    <x v="0"/>
    <x v="0"/>
    <x v="2"/>
    <x v="9"/>
    <n v="0"/>
    <n v="0"/>
    <n v="0.28000000000000003"/>
    <n v="0.28000000000000003"/>
    <n v="0.28000000000000003"/>
    <n v="0.28000000000000003"/>
    <n v="0"/>
    <s v="CATIVO"/>
    <n v="0"/>
    <n v="0"/>
    <n v="47"/>
    <n v="90"/>
    <n v="0"/>
    <n v="109.87"/>
    <n v="162.55000000000001"/>
    <m/>
    <n v="119.1090732491806"/>
    <n v="145.74898513432873"/>
    <n v="0"/>
    <n v="50.853600000000007"/>
    <n v="0"/>
    <n v="49.440170898255083"/>
    <x v="6"/>
  </r>
  <r>
    <s v="Regular"/>
    <x v="4"/>
    <x v="3"/>
    <x v="4"/>
    <x v="5"/>
    <x v="0"/>
    <x v="0"/>
    <x v="2"/>
    <x v="10"/>
    <n v="0"/>
    <n v="0"/>
    <n v="736.76400000000001"/>
    <n v="736.76400000000001"/>
    <n v="736.76400000000001"/>
    <n v="736.76400000000001"/>
    <n v="1564"/>
    <s v="CATIVO"/>
    <n v="0"/>
    <n v="0"/>
    <n v="47"/>
    <n v="90"/>
    <n v="0"/>
    <n v="109.87"/>
    <n v="162.55000000000001"/>
    <m/>
    <n v="119.1090732491806"/>
    <n v="145.74898513432873"/>
    <n v="0"/>
    <n v="133811.07768000002"/>
    <n v="0"/>
    <n v="130091.9216845786"/>
    <x v="6"/>
  </r>
  <r>
    <s v="Refaturamento - Regular"/>
    <x v="4"/>
    <x v="3"/>
    <x v="4"/>
    <x v="5"/>
    <x v="0"/>
    <x v="0"/>
    <x v="2"/>
    <x v="10"/>
    <n v="0"/>
    <n v="0"/>
    <n v="0.21"/>
    <n v="0.21"/>
    <n v="0.21"/>
    <n v="0.21"/>
    <n v="0"/>
    <s v="CATIVO"/>
    <n v="0"/>
    <n v="0"/>
    <n v="47"/>
    <n v="90"/>
    <n v="0"/>
    <n v="109.87"/>
    <n v="162.55000000000001"/>
    <m/>
    <n v="119.1090732491806"/>
    <n v="145.74898513432873"/>
    <n v="0"/>
    <n v="38.1402"/>
    <n v="0"/>
    <n v="37.080128173691307"/>
    <x v="6"/>
  </r>
  <r>
    <s v="PROJETADO"/>
    <x v="4"/>
    <x v="3"/>
    <x v="4"/>
    <x v="5"/>
    <x v="0"/>
    <x v="0"/>
    <x v="2"/>
    <x v="11"/>
    <n v="0"/>
    <n v="0"/>
    <n v="736.76400000000001"/>
    <n v="736.76400000000001"/>
    <n v="736.76400000000001"/>
    <n v="736.76400000000001"/>
    <n v="1564"/>
    <s v="CATIVO"/>
    <n v="0"/>
    <n v="0"/>
    <n v="47"/>
    <n v="90"/>
    <n v="0"/>
    <n v="109.87"/>
    <n v="162.55000000000001"/>
    <m/>
    <n v="119.1090732491806"/>
    <n v="145.74898513432873"/>
    <n v="0"/>
    <n v="133811.07768000002"/>
    <n v="0"/>
    <n v="130091.9216845786"/>
    <x v="6"/>
  </r>
  <r>
    <s v="PROJETADO"/>
    <x v="4"/>
    <x v="3"/>
    <x v="4"/>
    <x v="5"/>
    <x v="0"/>
    <x v="0"/>
    <x v="2"/>
    <x v="11"/>
    <n v="0"/>
    <n v="0"/>
    <n v="0.21"/>
    <n v="0.21"/>
    <n v="0.21"/>
    <n v="0.21"/>
    <n v="0"/>
    <s v="CATIVO"/>
    <n v="0"/>
    <n v="0"/>
    <n v="47"/>
    <n v="90"/>
    <n v="0"/>
    <n v="109.87"/>
    <n v="162.55000000000001"/>
    <m/>
    <n v="119.1090732491806"/>
    <n v="145.74898513432873"/>
    <n v="0"/>
    <n v="38.1402"/>
    <n v="0"/>
    <n v="37.080128173691307"/>
    <x v="6"/>
  </r>
  <r>
    <s v="Regular"/>
    <x v="4"/>
    <x v="3"/>
    <x v="4"/>
    <x v="6"/>
    <x v="0"/>
    <x v="0"/>
    <x v="2"/>
    <x v="0"/>
    <n v="0"/>
    <n v="0"/>
    <n v="522.31299999999999"/>
    <n v="522.31299999999999"/>
    <n v="522.31299999999999"/>
    <n v="522.31299999999999"/>
    <n v="4784"/>
    <s v="CATIVO"/>
    <n v="0"/>
    <n v="0"/>
    <n v="48"/>
    <n v="91"/>
    <n v="0"/>
    <n v="164.81"/>
    <n v="243.83"/>
    <m/>
    <n v="178.66360987377089"/>
    <n v="218.62347770149313"/>
    <n v="0"/>
    <n v="23713.010200000001"/>
    <n v="0"/>
    <n v="23056.46784141098"/>
    <x v="6"/>
  </r>
  <r>
    <s v="Refaturamento - Regular"/>
    <x v="4"/>
    <x v="3"/>
    <x v="4"/>
    <x v="6"/>
    <x v="0"/>
    <x v="0"/>
    <x v="2"/>
    <x v="0"/>
    <n v="0"/>
    <n v="0"/>
    <n v="0.16200000000000001"/>
    <n v="0.16200000000000001"/>
    <n v="0.16200000000000001"/>
    <n v="0.16200000000000001"/>
    <n v="1"/>
    <s v="CATIVO"/>
    <n v="0"/>
    <n v="0"/>
    <n v="48"/>
    <n v="91"/>
    <n v="0"/>
    <n v="164.81"/>
    <n v="243.83"/>
    <m/>
    <n v="178.66360987377089"/>
    <n v="218.62347770149313"/>
    <n v="0"/>
    <n v="7.3548000000000009"/>
    <n v="0"/>
    <n v="7.1511675763547506"/>
    <x v="6"/>
  </r>
  <r>
    <s v="Regular"/>
    <x v="4"/>
    <x v="3"/>
    <x v="4"/>
    <x v="6"/>
    <x v="0"/>
    <x v="0"/>
    <x v="2"/>
    <x v="1"/>
    <n v="0"/>
    <n v="0"/>
    <n v="591.92100000000005"/>
    <n v="591.92100000000005"/>
    <n v="591.92100000000005"/>
    <n v="591.92100000000005"/>
    <n v="4780"/>
    <s v="CATIVO"/>
    <n v="0"/>
    <n v="0"/>
    <n v="48"/>
    <n v="91"/>
    <n v="0"/>
    <n v="164.81"/>
    <n v="243.83"/>
    <m/>
    <n v="178.66360987377089"/>
    <n v="218.62347770149313"/>
    <n v="0"/>
    <n v="26873.213400000004"/>
    <n v="0"/>
    <n v="26129.174462737534"/>
    <x v="6"/>
  </r>
  <r>
    <s v="Refaturamento - Regular"/>
    <x v="4"/>
    <x v="3"/>
    <x v="4"/>
    <x v="6"/>
    <x v="0"/>
    <x v="0"/>
    <x v="2"/>
    <x v="1"/>
    <n v="0"/>
    <n v="0"/>
    <n v="0.36899999999999999"/>
    <n v="0.36899999999999999"/>
    <n v="0.36899999999999999"/>
    <n v="0.36899999999999999"/>
    <n v="0"/>
    <s v="CATIVO"/>
    <n v="0"/>
    <n v="0"/>
    <n v="48"/>
    <n v="91"/>
    <n v="0"/>
    <n v="164.81"/>
    <n v="243.83"/>
    <m/>
    <n v="178.66360987377089"/>
    <n v="218.62347770149313"/>
    <n v="0"/>
    <n v="16.752600000000001"/>
    <n v="0"/>
    <n v="16.28877059058582"/>
    <x v="6"/>
  </r>
  <r>
    <s v="Regular"/>
    <x v="4"/>
    <x v="3"/>
    <x v="4"/>
    <x v="6"/>
    <x v="0"/>
    <x v="0"/>
    <x v="2"/>
    <x v="2"/>
    <n v="0"/>
    <n v="0"/>
    <n v="497.43099999999998"/>
    <n v="497.43099999999998"/>
    <n v="497.43099999999998"/>
    <n v="497.43099999999998"/>
    <n v="5077"/>
    <s v="CATIVO"/>
    <n v="0"/>
    <n v="0"/>
    <n v="48"/>
    <n v="91"/>
    <n v="0"/>
    <n v="164.81"/>
    <n v="243.83"/>
    <m/>
    <n v="178.66360987377089"/>
    <n v="218.62347770149313"/>
    <n v="0"/>
    <n v="22583.367400000003"/>
    <n v="0"/>
    <n v="21958.101473294566"/>
    <x v="6"/>
  </r>
  <r>
    <s v="Refaturamento - Regular"/>
    <x v="4"/>
    <x v="3"/>
    <x v="4"/>
    <x v="6"/>
    <x v="0"/>
    <x v="0"/>
    <x v="2"/>
    <x v="2"/>
    <n v="0"/>
    <n v="0"/>
    <n v="0.13"/>
    <n v="0.13"/>
    <n v="0.13"/>
    <n v="0.13"/>
    <n v="1"/>
    <s v="CATIVO"/>
    <n v="0"/>
    <n v="0"/>
    <n v="48"/>
    <n v="91"/>
    <n v="0"/>
    <n v="164.81"/>
    <n v="243.83"/>
    <m/>
    <n v="178.66360987377089"/>
    <n v="218.62347770149313"/>
    <n v="0"/>
    <n v="5.902000000000001"/>
    <n v="0"/>
    <n v="5.7385912649760344"/>
    <x v="6"/>
  </r>
  <r>
    <s v="Regular"/>
    <x v="4"/>
    <x v="3"/>
    <x v="4"/>
    <x v="6"/>
    <x v="0"/>
    <x v="0"/>
    <x v="2"/>
    <x v="3"/>
    <n v="0"/>
    <n v="0"/>
    <n v="572.14"/>
    <n v="572.14"/>
    <n v="572.14"/>
    <n v="572.14"/>
    <n v="4787"/>
    <s v="CATIVO"/>
    <n v="0"/>
    <n v="0"/>
    <n v="48"/>
    <n v="91"/>
    <n v="0"/>
    <n v="164.81"/>
    <n v="243.83"/>
    <m/>
    <n v="178.66360987377089"/>
    <n v="218.62347770149313"/>
    <n v="0"/>
    <n v="25975.156000000003"/>
    <n v="0"/>
    <n v="25255.981587256832"/>
    <x v="6"/>
  </r>
  <r>
    <s v="Refaturamento - Regular"/>
    <x v="4"/>
    <x v="3"/>
    <x v="4"/>
    <x v="6"/>
    <x v="0"/>
    <x v="0"/>
    <x v="2"/>
    <x v="3"/>
    <n v="0"/>
    <n v="0"/>
    <n v="0.47199999999999998"/>
    <n v="0.47199999999999998"/>
    <n v="0.47199999999999998"/>
    <n v="0.47199999999999998"/>
    <n v="1"/>
    <s v="CATIVO"/>
    <n v="0"/>
    <n v="0"/>
    <n v="48"/>
    <n v="91"/>
    <n v="0"/>
    <n v="164.81"/>
    <n v="243.83"/>
    <m/>
    <n v="178.66360987377089"/>
    <n v="218.62347770149313"/>
    <n v="0"/>
    <n v="21.428800000000003"/>
    <n v="0"/>
    <n v="20.835500592836063"/>
    <x v="6"/>
  </r>
  <r>
    <s v="Regular"/>
    <x v="4"/>
    <x v="3"/>
    <x v="4"/>
    <x v="6"/>
    <x v="0"/>
    <x v="0"/>
    <x v="2"/>
    <x v="4"/>
    <n v="0"/>
    <n v="0"/>
    <n v="504.05099999999999"/>
    <n v="504.05099999999999"/>
    <n v="504.05099999999999"/>
    <n v="504.05099999999999"/>
    <n v="5056"/>
    <s v="CATIVO"/>
    <n v="0"/>
    <n v="0"/>
    <n v="48"/>
    <n v="91"/>
    <n v="0"/>
    <n v="164.81"/>
    <n v="243.83"/>
    <m/>
    <n v="178.66360987377089"/>
    <n v="218.62347770149313"/>
    <n v="0"/>
    <n v="22883.915400000002"/>
    <n v="0"/>
    <n v="22250.328197711038"/>
    <x v="6"/>
  </r>
  <r>
    <s v="Regular"/>
    <x v="4"/>
    <x v="3"/>
    <x v="4"/>
    <x v="6"/>
    <x v="0"/>
    <x v="0"/>
    <x v="2"/>
    <x v="5"/>
    <n v="0"/>
    <n v="0"/>
    <n v="494.346"/>
    <n v="494.346"/>
    <n v="494.346"/>
    <n v="494.346"/>
    <n v="4739"/>
    <s v="CATIVO"/>
    <n v="0"/>
    <n v="0"/>
    <n v="48"/>
    <n v="91"/>
    <n v="0"/>
    <n v="164.81"/>
    <n v="243.83"/>
    <m/>
    <n v="178.66360987377089"/>
    <n v="218.62347770149313"/>
    <n v="0"/>
    <n v="22443.308400000002"/>
    <n v="0"/>
    <n v="21821.920288275713"/>
    <x v="6"/>
  </r>
  <r>
    <s v="Refaturamento - Regular"/>
    <x v="4"/>
    <x v="3"/>
    <x v="4"/>
    <x v="6"/>
    <x v="0"/>
    <x v="0"/>
    <x v="2"/>
    <x v="5"/>
    <n v="0"/>
    <n v="0"/>
    <n v="0.503"/>
    <n v="0.503"/>
    <n v="0.503"/>
    <n v="0.503"/>
    <n v="1"/>
    <s v="CATIVO"/>
    <n v="0"/>
    <n v="0"/>
    <n v="48"/>
    <n v="91"/>
    <n v="0"/>
    <n v="164.81"/>
    <n v="243.83"/>
    <m/>
    <n v="178.66360987377089"/>
    <n v="218.62347770149313"/>
    <n v="0"/>
    <n v="22.836200000000002"/>
    <n v="0"/>
    <n v="22.203933894484194"/>
    <x v="6"/>
  </r>
  <r>
    <s v="Regular"/>
    <x v="4"/>
    <x v="3"/>
    <x v="4"/>
    <x v="6"/>
    <x v="0"/>
    <x v="0"/>
    <x v="2"/>
    <x v="6"/>
    <n v="0"/>
    <n v="0"/>
    <n v="559.23"/>
    <n v="559.23"/>
    <n v="559.23"/>
    <n v="559.23"/>
    <n v="4441"/>
    <s v="CATIVO"/>
    <n v="0"/>
    <n v="0"/>
    <n v="48"/>
    <n v="91"/>
    <n v="0"/>
    <n v="164.81"/>
    <n v="243.83"/>
    <m/>
    <n v="178.66360987377089"/>
    <n v="218.62347770149313"/>
    <n v="0"/>
    <n v="25389.042000000005"/>
    <n v="0"/>
    <n v="24686.095331634984"/>
    <x v="6"/>
  </r>
  <r>
    <s v="Refaturamento - Regular"/>
    <x v="4"/>
    <x v="3"/>
    <x v="4"/>
    <x v="6"/>
    <x v="0"/>
    <x v="0"/>
    <x v="2"/>
    <x v="6"/>
    <n v="0"/>
    <n v="0"/>
    <n v="3.6040000000000001"/>
    <n v="3.6040000000000001"/>
    <n v="3.6040000000000001"/>
    <n v="3.6040000000000001"/>
    <n v="2"/>
    <s v="CATIVO"/>
    <n v="0"/>
    <n v="0"/>
    <n v="48"/>
    <n v="91"/>
    <n v="0"/>
    <n v="164.81"/>
    <n v="243.83"/>
    <m/>
    <n v="178.66360987377089"/>
    <n v="218.62347770149313"/>
    <n v="0"/>
    <n v="163.62160000000003"/>
    <n v="0"/>
    <n v="159.09140706902789"/>
    <x v="6"/>
  </r>
  <r>
    <s v="Regular"/>
    <x v="4"/>
    <x v="3"/>
    <x v="4"/>
    <x v="6"/>
    <x v="0"/>
    <x v="0"/>
    <x v="2"/>
    <x v="7"/>
    <n v="0"/>
    <n v="0"/>
    <n v="650.62800000000004"/>
    <n v="650.62800000000004"/>
    <n v="650.62800000000004"/>
    <n v="650.62800000000004"/>
    <n v="5488"/>
    <s v="CATIVO"/>
    <n v="0"/>
    <n v="0"/>
    <n v="48"/>
    <n v="91"/>
    <n v="0"/>
    <n v="164.81"/>
    <n v="243.83"/>
    <m/>
    <n v="178.66360987377089"/>
    <n v="218.62347770149313"/>
    <n v="0"/>
    <n v="29538.511200000004"/>
    <n v="0"/>
    <n v="28720.67813499098"/>
    <x v="6"/>
  </r>
  <r>
    <s v="Refaturamento - Regular"/>
    <x v="4"/>
    <x v="3"/>
    <x v="4"/>
    <x v="6"/>
    <x v="0"/>
    <x v="0"/>
    <x v="2"/>
    <x v="7"/>
    <n v="0"/>
    <n v="0"/>
    <n v="9.8010000000000002"/>
    <n v="9.8010000000000002"/>
    <n v="9.8010000000000002"/>
    <n v="9.8010000000000002"/>
    <n v="0"/>
    <s v="CATIVO"/>
    <n v="0"/>
    <n v="0"/>
    <n v="48"/>
    <n v="91"/>
    <n v="0"/>
    <n v="164.81"/>
    <n v="243.83"/>
    <m/>
    <n v="178.66360987377089"/>
    <n v="218.62347770149313"/>
    <n v="0"/>
    <n v="444.96540000000005"/>
    <n v="0"/>
    <n v="432.6456383694624"/>
    <x v="6"/>
  </r>
  <r>
    <s v="Regular"/>
    <x v="4"/>
    <x v="3"/>
    <x v="4"/>
    <x v="6"/>
    <x v="0"/>
    <x v="0"/>
    <x v="2"/>
    <x v="8"/>
    <n v="0"/>
    <n v="0"/>
    <n v="631.74699999999996"/>
    <n v="631.74699999999996"/>
    <n v="631.74699999999996"/>
    <n v="631.74699999999996"/>
    <n v="6146"/>
    <s v="CATIVO"/>
    <n v="0"/>
    <n v="0"/>
    <n v="48"/>
    <n v="91"/>
    <n v="0"/>
    <n v="164.81"/>
    <n v="243.83"/>
    <m/>
    <n v="178.66360987377089"/>
    <n v="218.62347770149313"/>
    <n v="0"/>
    <n v="28681.3138"/>
    <n v="0"/>
    <n v="27887.213968267803"/>
    <x v="6"/>
  </r>
  <r>
    <s v="Refaturamento - Regular"/>
    <x v="4"/>
    <x v="3"/>
    <x v="4"/>
    <x v="6"/>
    <x v="0"/>
    <x v="0"/>
    <x v="2"/>
    <x v="8"/>
    <n v="0"/>
    <n v="0"/>
    <n v="0.84"/>
    <n v="0.84"/>
    <n v="0.84"/>
    <n v="0.84"/>
    <n v="0"/>
    <s v="CATIVO"/>
    <n v="0"/>
    <n v="0"/>
    <n v="48"/>
    <n v="91"/>
    <n v="0"/>
    <n v="164.81"/>
    <n v="243.83"/>
    <m/>
    <n v="178.66360987377089"/>
    <n v="218.62347770149313"/>
    <n v="0"/>
    <n v="38.136000000000003"/>
    <n v="0"/>
    <n v="37.0801281736913"/>
    <x v="6"/>
  </r>
  <r>
    <s v="Regular"/>
    <x v="4"/>
    <x v="3"/>
    <x v="4"/>
    <x v="6"/>
    <x v="0"/>
    <x v="0"/>
    <x v="2"/>
    <x v="9"/>
    <n v="0"/>
    <n v="0"/>
    <n v="691.83699999999999"/>
    <n v="691.83699999999999"/>
    <n v="691.83699999999999"/>
    <n v="691.83699999999999"/>
    <n v="6209"/>
    <s v="CATIVO"/>
    <n v="0"/>
    <n v="0"/>
    <n v="48"/>
    <n v="91"/>
    <n v="0"/>
    <n v="164.81"/>
    <n v="243.83"/>
    <m/>
    <n v="178.66360987377089"/>
    <n v="218.62347770149313"/>
    <n v="0"/>
    <n v="31409.399800000003"/>
    <n v="0"/>
    <n v="30539.76742297865"/>
    <x v="6"/>
  </r>
  <r>
    <s v="Refaturamento - Regular"/>
    <x v="4"/>
    <x v="3"/>
    <x v="4"/>
    <x v="6"/>
    <x v="0"/>
    <x v="0"/>
    <x v="2"/>
    <x v="9"/>
    <n v="0"/>
    <n v="0"/>
    <n v="0.48"/>
    <n v="0.48"/>
    <n v="0.48"/>
    <n v="0.48"/>
    <n v="0"/>
    <s v="CATIVO"/>
    <n v="0"/>
    <n v="0"/>
    <n v="48"/>
    <n v="91"/>
    <n v="0"/>
    <n v="164.81"/>
    <n v="243.83"/>
    <m/>
    <n v="178.66360987377089"/>
    <n v="218.62347770149313"/>
    <n v="0"/>
    <n v="21.792000000000002"/>
    <n v="0"/>
    <n v="21.188644670680741"/>
    <x v="6"/>
  </r>
  <r>
    <s v="Regular"/>
    <x v="4"/>
    <x v="3"/>
    <x v="4"/>
    <x v="6"/>
    <x v="0"/>
    <x v="0"/>
    <x v="2"/>
    <x v="10"/>
    <n v="0"/>
    <n v="0"/>
    <n v="781.39599999999996"/>
    <n v="781.39599999999996"/>
    <n v="781.39599999999996"/>
    <n v="781.39599999999996"/>
    <n v="6036"/>
    <s v="CATIVO"/>
    <n v="0"/>
    <n v="0"/>
    <n v="48"/>
    <n v="91"/>
    <n v="0"/>
    <n v="164.81"/>
    <n v="243.83"/>
    <m/>
    <n v="178.66360987377089"/>
    <n v="218.62347770149313"/>
    <n v="0"/>
    <n v="35475.378400000001"/>
    <n v="0"/>
    <n v="34493.171231440101"/>
    <x v="6"/>
  </r>
  <r>
    <s v="Refaturamento - Regular"/>
    <x v="4"/>
    <x v="3"/>
    <x v="4"/>
    <x v="6"/>
    <x v="0"/>
    <x v="0"/>
    <x v="2"/>
    <x v="10"/>
    <n v="0"/>
    <n v="0"/>
    <n v="0.28199999999999997"/>
    <n v="0.28199999999999997"/>
    <n v="0.28199999999999997"/>
    <n v="0.28199999999999997"/>
    <n v="2"/>
    <s v="CATIVO"/>
    <n v="0"/>
    <n v="0"/>
    <n v="48"/>
    <n v="91"/>
    <n v="0"/>
    <n v="164.81"/>
    <n v="243.83"/>
    <m/>
    <n v="178.66360987377089"/>
    <n v="218.62347770149313"/>
    <n v="0"/>
    <n v="12.8028"/>
    <n v="0"/>
    <n v="12.448328744024934"/>
    <x v="6"/>
  </r>
  <r>
    <s v="PROJETADO"/>
    <x v="4"/>
    <x v="3"/>
    <x v="4"/>
    <x v="6"/>
    <x v="0"/>
    <x v="0"/>
    <x v="2"/>
    <x v="11"/>
    <n v="0"/>
    <n v="0"/>
    <n v="781.39599999999996"/>
    <n v="781.39599999999996"/>
    <n v="781.39599999999996"/>
    <n v="781.39599999999996"/>
    <n v="6036"/>
    <s v="CATIVO"/>
    <n v="0"/>
    <n v="0"/>
    <n v="48"/>
    <n v="91"/>
    <n v="0"/>
    <n v="164.81"/>
    <n v="243.83"/>
    <m/>
    <n v="178.66360987377089"/>
    <n v="218.62347770149313"/>
    <n v="0"/>
    <n v="35475.378400000001"/>
    <n v="0"/>
    <n v="34493.171231440101"/>
    <x v="6"/>
  </r>
  <r>
    <s v="PROJETADO"/>
    <x v="4"/>
    <x v="3"/>
    <x v="4"/>
    <x v="6"/>
    <x v="0"/>
    <x v="0"/>
    <x v="2"/>
    <x v="11"/>
    <n v="0"/>
    <n v="0"/>
    <n v="0.28199999999999997"/>
    <n v="0.28199999999999997"/>
    <n v="0.28199999999999997"/>
    <n v="0.28199999999999997"/>
    <n v="2"/>
    <s v="CATIVO"/>
    <n v="0"/>
    <n v="0"/>
    <n v="48"/>
    <n v="91"/>
    <n v="0"/>
    <n v="164.81"/>
    <n v="243.83"/>
    <m/>
    <n v="178.66360987377089"/>
    <n v="218.62347770149313"/>
    <n v="0"/>
    <n v="12.8028"/>
    <n v="0"/>
    <n v="12.448328744024934"/>
    <x v="6"/>
  </r>
  <r>
    <s v="Regular"/>
    <x v="4"/>
    <x v="3"/>
    <x v="4"/>
    <x v="7"/>
    <x v="0"/>
    <x v="0"/>
    <x v="2"/>
    <x v="0"/>
    <n v="0"/>
    <n v="0"/>
    <n v="187.739"/>
    <n v="187.739"/>
    <n v="187.739"/>
    <n v="187.739"/>
    <n v="2112"/>
    <s v="CATIVO"/>
    <n v="0"/>
    <n v="0"/>
    <n v="49"/>
    <n v="92"/>
    <n v="0"/>
    <n v="183.12"/>
    <n v="270.92"/>
    <m/>
    <n v="198.51512208196766"/>
    <n v="242.91497522388124"/>
    <n v="0"/>
    <n v="0"/>
    <n v="0"/>
    <n v="0"/>
    <x v="6"/>
  </r>
  <r>
    <s v="Refaturamento - Regular"/>
    <x v="4"/>
    <x v="3"/>
    <x v="4"/>
    <x v="7"/>
    <x v="0"/>
    <x v="0"/>
    <x v="2"/>
    <x v="0"/>
    <n v="0"/>
    <n v="0"/>
    <n v="0.14699999999999999"/>
    <n v="0.14699999999999999"/>
    <n v="0.14699999999999999"/>
    <n v="0.14699999999999999"/>
    <n v="1"/>
    <s v="CATIVO"/>
    <n v="0"/>
    <n v="0"/>
    <n v="49"/>
    <n v="92"/>
    <n v="0"/>
    <n v="183.12"/>
    <n v="270.92"/>
    <m/>
    <n v="198.51512208196766"/>
    <n v="242.91497522388124"/>
    <n v="0"/>
    <n v="0"/>
    <n v="0"/>
    <n v="0"/>
    <x v="6"/>
  </r>
  <r>
    <s v="Regular"/>
    <x v="4"/>
    <x v="3"/>
    <x v="4"/>
    <x v="7"/>
    <x v="0"/>
    <x v="0"/>
    <x v="2"/>
    <x v="1"/>
    <n v="0"/>
    <n v="0"/>
    <n v="236.78100000000001"/>
    <n v="236.78100000000001"/>
    <n v="236.78100000000001"/>
    <n v="236.78100000000001"/>
    <n v="2599"/>
    <s v="CATIVO"/>
    <n v="0"/>
    <n v="0"/>
    <n v="49"/>
    <n v="92"/>
    <n v="0"/>
    <n v="183.12"/>
    <n v="270.92"/>
    <m/>
    <n v="198.51512208196766"/>
    <n v="242.91497522388124"/>
    <n v="0"/>
    <n v="0"/>
    <n v="0"/>
    <n v="0"/>
    <x v="6"/>
  </r>
  <r>
    <s v="Refaturamento - Regular"/>
    <x v="4"/>
    <x v="3"/>
    <x v="4"/>
    <x v="7"/>
    <x v="0"/>
    <x v="0"/>
    <x v="2"/>
    <x v="1"/>
    <n v="0"/>
    <n v="0"/>
    <n v="0.13300000000000001"/>
    <n v="0.13300000000000001"/>
    <n v="0.13300000000000001"/>
    <n v="0.13300000000000001"/>
    <n v="1"/>
    <s v="CATIVO"/>
    <n v="0"/>
    <n v="0"/>
    <n v="49"/>
    <n v="92"/>
    <n v="0"/>
    <n v="183.12"/>
    <n v="270.92"/>
    <m/>
    <n v="198.51512208196766"/>
    <n v="242.91497522388124"/>
    <n v="0"/>
    <n v="0"/>
    <n v="0"/>
    <n v="0"/>
    <x v="6"/>
  </r>
  <r>
    <s v="Regular"/>
    <x v="4"/>
    <x v="3"/>
    <x v="4"/>
    <x v="7"/>
    <x v="0"/>
    <x v="0"/>
    <x v="2"/>
    <x v="2"/>
    <n v="0"/>
    <n v="0"/>
    <n v="149.327"/>
    <n v="149.327"/>
    <n v="149.327"/>
    <n v="149.327"/>
    <n v="1858"/>
    <s v="CATIVO"/>
    <n v="0"/>
    <n v="0"/>
    <n v="49"/>
    <n v="92"/>
    <n v="0"/>
    <n v="183.12"/>
    <n v="270.92"/>
    <m/>
    <n v="198.51512208196766"/>
    <n v="242.91497522388124"/>
    <n v="0"/>
    <n v="0"/>
    <n v="0"/>
    <n v="0"/>
    <x v="6"/>
  </r>
  <r>
    <s v="Regular"/>
    <x v="4"/>
    <x v="3"/>
    <x v="4"/>
    <x v="7"/>
    <x v="0"/>
    <x v="0"/>
    <x v="2"/>
    <x v="3"/>
    <n v="0"/>
    <n v="0"/>
    <n v="219.71600000000001"/>
    <n v="219.71600000000001"/>
    <n v="219.71600000000001"/>
    <n v="219.71600000000001"/>
    <n v="2483"/>
    <s v="CATIVO"/>
    <n v="0"/>
    <n v="0"/>
    <n v="49"/>
    <n v="92"/>
    <n v="0"/>
    <n v="183.12"/>
    <n v="270.92"/>
    <m/>
    <n v="198.51512208196766"/>
    <n v="242.91497522388124"/>
    <n v="0"/>
    <n v="0"/>
    <n v="0"/>
    <n v="0"/>
    <x v="6"/>
  </r>
  <r>
    <s v="Refaturamento - Regular"/>
    <x v="4"/>
    <x v="3"/>
    <x v="4"/>
    <x v="7"/>
    <x v="0"/>
    <x v="0"/>
    <x v="2"/>
    <x v="3"/>
    <n v="0"/>
    <n v="0"/>
    <n v="0.161"/>
    <n v="0.161"/>
    <n v="0.161"/>
    <n v="0.161"/>
    <n v="2"/>
    <s v="CATIVO"/>
    <n v="0"/>
    <n v="0"/>
    <n v="49"/>
    <n v="92"/>
    <n v="0"/>
    <n v="183.12"/>
    <n v="270.92"/>
    <m/>
    <n v="198.51512208196766"/>
    <n v="242.91497522388124"/>
    <n v="0"/>
    <n v="0"/>
    <n v="0"/>
    <n v="0"/>
    <x v="6"/>
  </r>
  <r>
    <s v="Regular"/>
    <x v="4"/>
    <x v="3"/>
    <x v="4"/>
    <x v="7"/>
    <x v="0"/>
    <x v="0"/>
    <x v="2"/>
    <x v="4"/>
    <n v="0"/>
    <n v="0"/>
    <n v="154.23699999999999"/>
    <n v="154.23699999999999"/>
    <n v="154.23699999999999"/>
    <n v="154.23699999999999"/>
    <n v="1911"/>
    <s v="CATIVO"/>
    <n v="0"/>
    <n v="0"/>
    <n v="49"/>
    <n v="92"/>
    <n v="0"/>
    <n v="183.12"/>
    <n v="270.92"/>
    <m/>
    <n v="198.51512208196766"/>
    <n v="242.91497522388124"/>
    <n v="0"/>
    <n v="0"/>
    <n v="0"/>
    <n v="0"/>
    <x v="6"/>
  </r>
  <r>
    <s v="Regular"/>
    <x v="4"/>
    <x v="3"/>
    <x v="4"/>
    <x v="7"/>
    <x v="0"/>
    <x v="0"/>
    <x v="2"/>
    <x v="5"/>
    <n v="0"/>
    <n v="0"/>
    <n v="163.06700000000001"/>
    <n v="163.06700000000001"/>
    <n v="163.06700000000001"/>
    <n v="163.06700000000001"/>
    <n v="1921"/>
    <s v="CATIVO"/>
    <n v="0"/>
    <n v="0"/>
    <n v="49"/>
    <n v="92"/>
    <n v="0"/>
    <n v="183.12"/>
    <n v="270.92"/>
    <m/>
    <n v="198.51512208196766"/>
    <n v="242.91497522388124"/>
    <n v="0"/>
    <n v="0"/>
    <n v="0"/>
    <n v="0"/>
    <x v="6"/>
  </r>
  <r>
    <s v="Refaturamento - Regular"/>
    <x v="4"/>
    <x v="3"/>
    <x v="4"/>
    <x v="7"/>
    <x v="0"/>
    <x v="0"/>
    <x v="2"/>
    <x v="5"/>
    <n v="0"/>
    <n v="0"/>
    <n v="0.218"/>
    <n v="0.218"/>
    <n v="0.218"/>
    <n v="0.218"/>
    <n v="2"/>
    <s v="CATIVO"/>
    <n v="0"/>
    <n v="0"/>
    <n v="49"/>
    <n v="92"/>
    <n v="0"/>
    <n v="183.12"/>
    <n v="270.92"/>
    <m/>
    <n v="198.51512208196766"/>
    <n v="242.91497522388124"/>
    <n v="0"/>
    <n v="0"/>
    <n v="0"/>
    <n v="0"/>
    <x v="6"/>
  </r>
  <r>
    <s v="Regular"/>
    <x v="4"/>
    <x v="3"/>
    <x v="4"/>
    <x v="7"/>
    <x v="0"/>
    <x v="0"/>
    <x v="2"/>
    <x v="6"/>
    <n v="0"/>
    <n v="0"/>
    <n v="226.65199999999999"/>
    <n v="226.65199999999999"/>
    <n v="226.65199999999999"/>
    <n v="226.65199999999999"/>
    <n v="2463"/>
    <s v="CATIVO"/>
    <n v="0"/>
    <n v="0"/>
    <n v="49"/>
    <n v="92"/>
    <n v="0"/>
    <n v="183.12"/>
    <n v="270.92"/>
    <m/>
    <n v="198.51512208196766"/>
    <n v="242.91497522388124"/>
    <n v="0"/>
    <n v="0"/>
    <n v="0"/>
    <n v="0"/>
    <x v="6"/>
  </r>
  <r>
    <s v="Refaturamento - Regular"/>
    <x v="4"/>
    <x v="3"/>
    <x v="4"/>
    <x v="7"/>
    <x v="0"/>
    <x v="0"/>
    <x v="2"/>
    <x v="6"/>
    <n v="0"/>
    <n v="0"/>
    <n v="1.794"/>
    <n v="1.794"/>
    <n v="1.794"/>
    <n v="1.794"/>
    <n v="29"/>
    <s v="CATIVO"/>
    <n v="0"/>
    <n v="0"/>
    <n v="49"/>
    <n v="92"/>
    <n v="0"/>
    <n v="183.12"/>
    <n v="270.92"/>
    <m/>
    <n v="198.51512208196766"/>
    <n v="242.91497522388124"/>
    <n v="0"/>
    <n v="0"/>
    <n v="0"/>
    <n v="0"/>
    <x v="6"/>
  </r>
  <r>
    <s v="Regular"/>
    <x v="4"/>
    <x v="3"/>
    <x v="4"/>
    <x v="7"/>
    <x v="0"/>
    <x v="0"/>
    <x v="2"/>
    <x v="7"/>
    <n v="0"/>
    <n v="0"/>
    <n v="233.749"/>
    <n v="233.749"/>
    <n v="233.749"/>
    <n v="233.749"/>
    <n v="2857"/>
    <s v="CATIVO"/>
    <n v="0"/>
    <n v="0"/>
    <n v="49"/>
    <n v="92"/>
    <n v="0"/>
    <n v="183.12"/>
    <n v="270.92"/>
    <m/>
    <n v="198.51512208196766"/>
    <n v="242.91497522388124"/>
    <n v="0"/>
    <n v="0"/>
    <n v="0"/>
    <n v="0"/>
    <x v="6"/>
  </r>
  <r>
    <s v="Refaturamento - Regular"/>
    <x v="4"/>
    <x v="3"/>
    <x v="4"/>
    <x v="7"/>
    <x v="0"/>
    <x v="0"/>
    <x v="2"/>
    <x v="7"/>
    <n v="0"/>
    <n v="0"/>
    <n v="6.8559999999999999"/>
    <n v="6.8559999999999999"/>
    <n v="6.8559999999999999"/>
    <n v="6.8559999999999999"/>
    <n v="4"/>
    <s v="CATIVO"/>
    <n v="0"/>
    <n v="0"/>
    <n v="49"/>
    <n v="92"/>
    <n v="0"/>
    <n v="183.12"/>
    <n v="270.92"/>
    <m/>
    <n v="198.51512208196766"/>
    <n v="242.91497522388124"/>
    <n v="0"/>
    <n v="0"/>
    <n v="0"/>
    <n v="0"/>
    <x v="6"/>
  </r>
  <r>
    <s v="Regular"/>
    <x v="4"/>
    <x v="3"/>
    <x v="4"/>
    <x v="7"/>
    <x v="0"/>
    <x v="0"/>
    <x v="2"/>
    <x v="8"/>
    <n v="0"/>
    <n v="0"/>
    <n v="181.435"/>
    <n v="181.435"/>
    <n v="181.435"/>
    <n v="181.435"/>
    <n v="2393"/>
    <s v="CATIVO"/>
    <n v="0"/>
    <n v="0"/>
    <n v="49"/>
    <n v="92"/>
    <n v="0"/>
    <n v="183.12"/>
    <n v="270.92"/>
    <m/>
    <n v="198.51512208196766"/>
    <n v="242.91497522388124"/>
    <n v="0"/>
    <n v="0"/>
    <n v="0"/>
    <n v="0"/>
    <x v="6"/>
  </r>
  <r>
    <s v="Refaturamento - Regular"/>
    <x v="4"/>
    <x v="3"/>
    <x v="4"/>
    <x v="7"/>
    <x v="0"/>
    <x v="0"/>
    <x v="2"/>
    <x v="8"/>
    <n v="0"/>
    <n v="0"/>
    <n v="0.34"/>
    <n v="0.34"/>
    <n v="0.34"/>
    <n v="0.34"/>
    <n v="1"/>
    <s v="CATIVO"/>
    <n v="0"/>
    <n v="0"/>
    <n v="49"/>
    <n v="92"/>
    <n v="0"/>
    <n v="183.12"/>
    <n v="270.92"/>
    <m/>
    <n v="198.51512208196766"/>
    <n v="242.91497522388124"/>
    <n v="0"/>
    <n v="0"/>
    <n v="0"/>
    <n v="0"/>
    <x v="6"/>
  </r>
  <r>
    <s v="Regular"/>
    <x v="4"/>
    <x v="3"/>
    <x v="4"/>
    <x v="7"/>
    <x v="0"/>
    <x v="0"/>
    <x v="2"/>
    <x v="9"/>
    <n v="0"/>
    <n v="0"/>
    <n v="223.99600000000001"/>
    <n v="223.99600000000001"/>
    <n v="223.99600000000001"/>
    <n v="223.99600000000001"/>
    <n v="2785"/>
    <s v="CATIVO"/>
    <n v="0"/>
    <n v="0"/>
    <n v="49"/>
    <n v="92"/>
    <n v="0"/>
    <n v="183.12"/>
    <n v="270.92"/>
    <m/>
    <n v="198.51512208196766"/>
    <n v="242.91497522388124"/>
    <n v="0"/>
    <n v="0"/>
    <n v="0"/>
    <n v="0"/>
    <x v="6"/>
  </r>
  <r>
    <s v="Refaturamento - Regular"/>
    <x v="4"/>
    <x v="3"/>
    <x v="4"/>
    <x v="7"/>
    <x v="0"/>
    <x v="0"/>
    <x v="2"/>
    <x v="9"/>
    <n v="0"/>
    <n v="0"/>
    <n v="0.56799999999999995"/>
    <n v="0.56799999999999995"/>
    <n v="0.56799999999999995"/>
    <n v="0.56799999999999995"/>
    <n v="2"/>
    <s v="CATIVO"/>
    <n v="0"/>
    <n v="0"/>
    <n v="49"/>
    <n v="92"/>
    <n v="0"/>
    <n v="183.12"/>
    <n v="270.92"/>
    <m/>
    <n v="198.51512208196766"/>
    <n v="242.91497522388124"/>
    <n v="0"/>
    <n v="0"/>
    <n v="0"/>
    <n v="0"/>
    <x v="6"/>
  </r>
  <r>
    <s v="Regular"/>
    <x v="4"/>
    <x v="3"/>
    <x v="4"/>
    <x v="7"/>
    <x v="0"/>
    <x v="0"/>
    <x v="2"/>
    <x v="10"/>
    <n v="0"/>
    <n v="0"/>
    <n v="307.68599999999998"/>
    <n v="307.68599999999998"/>
    <n v="307.68599999999998"/>
    <n v="307.68599999999998"/>
    <n v="3445"/>
    <s v="CATIVO"/>
    <n v="0"/>
    <n v="0"/>
    <n v="49"/>
    <n v="92"/>
    <n v="0"/>
    <n v="183.12"/>
    <n v="270.92"/>
    <m/>
    <n v="198.51512208196766"/>
    <n v="242.91497522388124"/>
    <n v="0"/>
    <n v="0"/>
    <n v="0"/>
    <n v="0"/>
    <x v="6"/>
  </r>
  <r>
    <s v="Refaturamento - Regular"/>
    <x v="4"/>
    <x v="3"/>
    <x v="4"/>
    <x v="7"/>
    <x v="0"/>
    <x v="0"/>
    <x v="2"/>
    <x v="10"/>
    <n v="0"/>
    <n v="0"/>
    <n v="5.8999999999999997E-2"/>
    <n v="5.8999999999999997E-2"/>
    <n v="5.8999999999999997E-2"/>
    <n v="5.8999999999999997E-2"/>
    <n v="0"/>
    <s v="CATIVO"/>
    <n v="0"/>
    <n v="0"/>
    <n v="49"/>
    <n v="92"/>
    <n v="0"/>
    <n v="183.12"/>
    <n v="270.92"/>
    <m/>
    <n v="198.51512208196766"/>
    <n v="242.91497522388124"/>
    <n v="0"/>
    <n v="0"/>
    <n v="0"/>
    <n v="0"/>
    <x v="6"/>
  </r>
  <r>
    <s v="PROJETADO"/>
    <x v="4"/>
    <x v="3"/>
    <x v="4"/>
    <x v="7"/>
    <x v="0"/>
    <x v="0"/>
    <x v="2"/>
    <x v="11"/>
    <n v="0"/>
    <n v="0"/>
    <n v="307.68599999999998"/>
    <n v="307.68599999999998"/>
    <n v="307.68599999999998"/>
    <n v="307.68599999999998"/>
    <n v="3445"/>
    <s v="CATIVO"/>
    <n v="0"/>
    <n v="0"/>
    <n v="49"/>
    <n v="92"/>
    <n v="0"/>
    <n v="183.12"/>
    <n v="270.92"/>
    <m/>
    <n v="198.51512208196766"/>
    <n v="242.91497522388124"/>
    <n v="0"/>
    <n v="0"/>
    <n v="0"/>
    <n v="0"/>
    <x v="6"/>
  </r>
  <r>
    <s v="PROJETADO"/>
    <x v="4"/>
    <x v="3"/>
    <x v="4"/>
    <x v="7"/>
    <x v="0"/>
    <x v="0"/>
    <x v="2"/>
    <x v="11"/>
    <n v="0"/>
    <n v="0"/>
    <n v="5.8999999999999997E-2"/>
    <n v="5.8999999999999997E-2"/>
    <n v="5.8999999999999997E-2"/>
    <n v="5.8999999999999997E-2"/>
    <n v="0"/>
    <s v="CATIVO"/>
    <n v="0"/>
    <n v="0"/>
    <n v="49"/>
    <n v="92"/>
    <n v="0"/>
    <n v="183.12"/>
    <n v="270.92"/>
    <m/>
    <n v="198.51512208196766"/>
    <n v="242.91497522388124"/>
    <n v="0"/>
    <n v="0"/>
    <n v="0"/>
    <n v="0"/>
    <x v="6"/>
  </r>
  <r>
    <s v="Regular"/>
    <x v="5"/>
    <x v="4"/>
    <x v="3"/>
    <x v="1"/>
    <x v="0"/>
    <x v="0"/>
    <x v="0"/>
    <x v="0"/>
    <n v="0"/>
    <n v="0"/>
    <n v="0.443"/>
    <n v="0.443"/>
    <n v="0.443"/>
    <n v="0.443"/>
    <n v="0"/>
    <s v="CATIVO"/>
    <n v="0"/>
    <n v="0"/>
    <n v="57"/>
    <n v="100"/>
    <n v="0"/>
    <n v="149.87"/>
    <n v="194.85"/>
    <m/>
    <n v="175.44288841529794"/>
    <n v="189.29125924936338"/>
    <n v="0"/>
    <n v="33.521918048780485"/>
    <n v="0"/>
    <n v="35.468171871683033"/>
    <x v="3"/>
  </r>
  <r>
    <s v="Regular"/>
    <x v="5"/>
    <x v="4"/>
    <x v="3"/>
    <x v="1"/>
    <x v="0"/>
    <x v="0"/>
    <x v="0"/>
    <x v="1"/>
    <n v="0"/>
    <n v="0"/>
    <n v="0.44400000000000001"/>
    <n v="0.44400000000000001"/>
    <n v="0.44400000000000001"/>
    <n v="0.44400000000000001"/>
    <n v="0"/>
    <s v="CATIVO"/>
    <n v="0"/>
    <n v="0"/>
    <n v="57"/>
    <n v="100"/>
    <n v="0"/>
    <n v="149.87"/>
    <n v="194.85"/>
    <m/>
    <n v="175.44288841529794"/>
    <n v="189.29125924936338"/>
    <n v="0"/>
    <n v="33.597588292682921"/>
    <n v="0"/>
    <n v="35.548235465072842"/>
    <x v="3"/>
  </r>
  <r>
    <s v="Regular"/>
    <x v="5"/>
    <x v="4"/>
    <x v="3"/>
    <x v="1"/>
    <x v="0"/>
    <x v="0"/>
    <x v="0"/>
    <x v="2"/>
    <n v="0"/>
    <n v="0"/>
    <n v="0.36799999999999999"/>
    <n v="0.36799999999999999"/>
    <n v="0.36799999999999999"/>
    <n v="0.36799999999999999"/>
    <n v="0"/>
    <s v="CATIVO"/>
    <n v="0"/>
    <n v="0"/>
    <n v="57"/>
    <n v="100"/>
    <n v="0"/>
    <n v="149.87"/>
    <n v="194.85"/>
    <m/>
    <n v="175.44288841529794"/>
    <n v="189.29125924936338"/>
    <n v="0"/>
    <n v="27.846649756097555"/>
    <n v="0"/>
    <n v="29.46340236744776"/>
    <x v="3"/>
  </r>
  <r>
    <s v="Regular"/>
    <x v="5"/>
    <x v="4"/>
    <x v="3"/>
    <x v="1"/>
    <x v="0"/>
    <x v="0"/>
    <x v="0"/>
    <x v="3"/>
    <n v="0"/>
    <n v="0"/>
    <n v="0.437"/>
    <n v="0.437"/>
    <n v="0.437"/>
    <n v="0.437"/>
    <n v="0"/>
    <s v="CATIVO"/>
    <n v="0"/>
    <n v="0"/>
    <n v="57"/>
    <n v="100"/>
    <n v="0"/>
    <n v="149.87"/>
    <n v="194.85"/>
    <m/>
    <n v="175.44288841529794"/>
    <n v="189.29125924936338"/>
    <n v="0"/>
    <n v="33.067896585365851"/>
    <n v="0"/>
    <n v="34.98779031134422"/>
    <x v="3"/>
  </r>
  <r>
    <s v="Regular"/>
    <x v="5"/>
    <x v="4"/>
    <x v="3"/>
    <x v="1"/>
    <x v="0"/>
    <x v="0"/>
    <x v="0"/>
    <x v="4"/>
    <n v="0"/>
    <n v="0"/>
    <n v="0.35899999999999999"/>
    <n v="0.35899999999999999"/>
    <n v="0.35899999999999999"/>
    <n v="0.35899999999999999"/>
    <n v="0"/>
    <s v="CATIVO"/>
    <n v="0"/>
    <n v="0"/>
    <n v="57"/>
    <n v="100"/>
    <n v="0"/>
    <n v="149.87"/>
    <n v="194.85"/>
    <m/>
    <n v="175.44288841529794"/>
    <n v="189.29125924936338"/>
    <n v="0"/>
    <n v="27.165617560975605"/>
    <n v="0"/>
    <n v="28.742830026939529"/>
    <x v="3"/>
  </r>
  <r>
    <s v="Regular"/>
    <x v="5"/>
    <x v="4"/>
    <x v="3"/>
    <x v="1"/>
    <x v="0"/>
    <x v="0"/>
    <x v="0"/>
    <x v="5"/>
    <n v="0"/>
    <n v="0"/>
    <n v="0.435"/>
    <n v="0.435"/>
    <n v="0.435"/>
    <n v="0.435"/>
    <n v="0"/>
    <s v="CATIVO"/>
    <n v="0"/>
    <n v="0"/>
    <n v="57"/>
    <n v="100"/>
    <n v="0"/>
    <n v="149.87"/>
    <n v="194.85"/>
    <m/>
    <n v="175.44288841529794"/>
    <n v="189.29125924936338"/>
    <n v="0"/>
    <n v="32.916556097560971"/>
    <n v="0"/>
    <n v="34.827663124564609"/>
    <x v="3"/>
  </r>
  <r>
    <s v="Regular"/>
    <x v="5"/>
    <x v="4"/>
    <x v="3"/>
    <x v="1"/>
    <x v="0"/>
    <x v="0"/>
    <x v="0"/>
    <x v="6"/>
    <n v="0"/>
    <n v="0"/>
    <n v="0.434"/>
    <n v="0.434"/>
    <n v="0.434"/>
    <n v="0.434"/>
    <n v="0"/>
    <s v="CATIVO"/>
    <n v="0"/>
    <n v="0"/>
    <n v="57"/>
    <n v="100"/>
    <n v="0"/>
    <n v="149.87"/>
    <n v="194.85"/>
    <m/>
    <n v="175.44288841529794"/>
    <n v="189.29125924936338"/>
    <n v="0"/>
    <n v="32.840885853658527"/>
    <n v="0"/>
    <n v="34.747599531174799"/>
    <x v="3"/>
  </r>
  <r>
    <s v="Regular"/>
    <x v="5"/>
    <x v="4"/>
    <x v="3"/>
    <x v="1"/>
    <x v="0"/>
    <x v="0"/>
    <x v="0"/>
    <x v="7"/>
    <n v="0"/>
    <n v="0"/>
    <n v="0.40699999999999997"/>
    <n v="0.40699999999999997"/>
    <n v="0.40699999999999997"/>
    <n v="0.40699999999999997"/>
    <n v="0"/>
    <s v="CATIVO"/>
    <n v="0"/>
    <n v="0"/>
    <n v="57"/>
    <n v="100"/>
    <n v="0"/>
    <n v="149.87"/>
    <n v="194.85"/>
    <m/>
    <n v="175.44288841529794"/>
    <n v="189.29125924936338"/>
    <n v="0"/>
    <n v="30.797789268292679"/>
    <n v="0"/>
    <n v="32.585882509650098"/>
    <x v="3"/>
  </r>
  <r>
    <s v="Regular"/>
    <x v="5"/>
    <x v="4"/>
    <x v="3"/>
    <x v="1"/>
    <x v="0"/>
    <x v="0"/>
    <x v="0"/>
    <x v="8"/>
    <n v="0"/>
    <n v="0"/>
    <n v="0.38700000000000001"/>
    <n v="0.38700000000000001"/>
    <n v="0.38700000000000001"/>
    <n v="0.38700000000000001"/>
    <n v="0"/>
    <s v="CATIVO"/>
    <n v="0"/>
    <n v="0"/>
    <n v="57"/>
    <n v="100"/>
    <n v="0"/>
    <n v="149.87"/>
    <n v="194.85"/>
    <m/>
    <n v="175.44288841529794"/>
    <n v="189.29125924936338"/>
    <n v="0"/>
    <n v="29.284384390243893"/>
    <n v="0"/>
    <n v="30.984610641854033"/>
    <x v="3"/>
  </r>
  <r>
    <s v="Regular"/>
    <x v="5"/>
    <x v="4"/>
    <x v="3"/>
    <x v="1"/>
    <x v="0"/>
    <x v="0"/>
    <x v="0"/>
    <x v="9"/>
    <n v="0"/>
    <n v="0"/>
    <n v="0.38400000000000001"/>
    <n v="0.38400000000000001"/>
    <n v="0.38400000000000001"/>
    <n v="0.38400000000000001"/>
    <n v="0"/>
    <s v="CATIVO"/>
    <n v="0"/>
    <n v="0"/>
    <n v="57"/>
    <n v="100"/>
    <n v="0"/>
    <n v="149.87"/>
    <n v="194.85"/>
    <m/>
    <n v="175.44288841529794"/>
    <n v="189.29125924936338"/>
    <n v="0"/>
    <n v="29.05737365853658"/>
    <n v="0"/>
    <n v="30.744419861684616"/>
    <x v="3"/>
  </r>
  <r>
    <s v="Regular"/>
    <x v="5"/>
    <x v="4"/>
    <x v="3"/>
    <x v="1"/>
    <x v="0"/>
    <x v="0"/>
    <x v="0"/>
    <x v="10"/>
    <n v="0"/>
    <n v="0"/>
    <n v="0.45700000000000002"/>
    <n v="0.45700000000000002"/>
    <n v="0.45700000000000002"/>
    <n v="0.45700000000000002"/>
    <n v="0"/>
    <s v="CATIVO"/>
    <n v="0"/>
    <n v="0"/>
    <n v="57"/>
    <n v="100"/>
    <n v="0"/>
    <n v="149.87"/>
    <n v="194.85"/>
    <m/>
    <n v="175.44288841529794"/>
    <n v="189.29125924936338"/>
    <n v="0"/>
    <n v="34.581301463414633"/>
    <n v="0"/>
    <n v="36.589062179140285"/>
    <x v="3"/>
  </r>
  <r>
    <s v="PROJETADO"/>
    <x v="5"/>
    <x v="4"/>
    <x v="3"/>
    <x v="1"/>
    <x v="0"/>
    <x v="0"/>
    <x v="0"/>
    <x v="11"/>
    <n v="0"/>
    <n v="0"/>
    <n v="0.45700000000000002"/>
    <n v="0.45700000000000002"/>
    <n v="0.45700000000000002"/>
    <n v="0.45700000000000002"/>
    <n v="0"/>
    <s v="CATIVO"/>
    <n v="0"/>
    <n v="0"/>
    <n v="57"/>
    <n v="100"/>
    <n v="0"/>
    <n v="149.87"/>
    <n v="194.85"/>
    <m/>
    <n v="175.44288841529794"/>
    <n v="189.29125924936338"/>
    <n v="0"/>
    <n v="34.581301463414633"/>
    <n v="0"/>
    <n v="36.589062179140285"/>
    <x v="3"/>
  </r>
  <r>
    <s v="Regular"/>
    <x v="5"/>
    <x v="4"/>
    <x v="3"/>
    <x v="1"/>
    <x v="0"/>
    <x v="0"/>
    <x v="3"/>
    <x v="0"/>
    <n v="0"/>
    <n v="0"/>
    <n v="4.5999999999999999E-2"/>
    <n v="4.5999999999999999E-2"/>
    <n v="4.5999999999999999E-2"/>
    <n v="4.5999999999999999E-2"/>
    <n v="0"/>
    <s v="CATIVO"/>
    <n v="0"/>
    <n v="0"/>
    <n v="56"/>
    <n v="99"/>
    <n v="0"/>
    <n v="284.7"/>
    <n v="194.85"/>
    <m/>
    <n v="344.31724677402156"/>
    <n v="189.29125924936338"/>
    <n v="0"/>
    <n v="4.842285365853658"/>
    <n v="0"/>
    <n v="5.3881444266751553"/>
    <x v="3"/>
  </r>
  <r>
    <s v="Regular"/>
    <x v="5"/>
    <x v="4"/>
    <x v="3"/>
    <x v="1"/>
    <x v="0"/>
    <x v="0"/>
    <x v="3"/>
    <x v="1"/>
    <n v="0"/>
    <n v="0"/>
    <n v="4.2999999999999997E-2"/>
    <n v="4.2999999999999997E-2"/>
    <n v="4.2999999999999997E-2"/>
    <n v="4.2999999999999997E-2"/>
    <n v="0"/>
    <s v="CATIVO"/>
    <n v="0"/>
    <n v="0"/>
    <n v="56"/>
    <n v="99"/>
    <n v="0"/>
    <n v="284.7"/>
    <n v="194.85"/>
    <m/>
    <n v="344.31724677402156"/>
    <n v="189.29125924936338"/>
    <n v="0"/>
    <n v="4.5264841463414625"/>
    <n v="0"/>
    <n v="5.0367437031963398"/>
    <x v="3"/>
  </r>
  <r>
    <s v="Regular"/>
    <x v="5"/>
    <x v="4"/>
    <x v="3"/>
    <x v="1"/>
    <x v="0"/>
    <x v="0"/>
    <x v="3"/>
    <x v="2"/>
    <n v="0"/>
    <n v="0"/>
    <n v="3.4000000000000002E-2"/>
    <n v="3.4000000000000002E-2"/>
    <n v="3.4000000000000002E-2"/>
    <n v="3.4000000000000002E-2"/>
    <n v="0"/>
    <s v="CATIVO"/>
    <n v="0"/>
    <n v="0"/>
    <n v="56"/>
    <n v="99"/>
    <n v="0"/>
    <n v="284.7"/>
    <n v="194.85"/>
    <m/>
    <n v="344.31724677402156"/>
    <n v="189.29125924936338"/>
    <n v="0"/>
    <n v="3.5790804878048776"/>
    <n v="0"/>
    <n v="3.9825415327598974"/>
    <x v="3"/>
  </r>
  <r>
    <s v="Regular"/>
    <x v="5"/>
    <x v="4"/>
    <x v="3"/>
    <x v="1"/>
    <x v="0"/>
    <x v="0"/>
    <x v="3"/>
    <x v="3"/>
    <n v="0"/>
    <n v="0"/>
    <n v="4.4999999999999998E-2"/>
    <n v="4.4999999999999998E-2"/>
    <n v="4.4999999999999998E-2"/>
    <n v="4.4999999999999998E-2"/>
    <n v="0"/>
    <s v="CATIVO"/>
    <n v="0"/>
    <n v="0"/>
    <n v="56"/>
    <n v="99"/>
    <n v="0"/>
    <n v="284.7"/>
    <n v="194.85"/>
    <m/>
    <n v="344.31724677402156"/>
    <n v="189.29125924936338"/>
    <n v="0"/>
    <n v="4.7370182926829258"/>
    <n v="0"/>
    <n v="5.2710108521822168"/>
    <x v="3"/>
  </r>
  <r>
    <s v="Regular"/>
    <x v="5"/>
    <x v="4"/>
    <x v="3"/>
    <x v="1"/>
    <x v="0"/>
    <x v="0"/>
    <x v="3"/>
    <x v="4"/>
    <n v="0"/>
    <n v="0"/>
    <n v="3.9E-2"/>
    <n v="3.9E-2"/>
    <n v="3.9E-2"/>
    <n v="3.9E-2"/>
    <n v="0"/>
    <s v="CATIVO"/>
    <n v="0"/>
    <n v="0"/>
    <n v="56"/>
    <n v="99"/>
    <n v="0"/>
    <n v="284.7"/>
    <n v="194.85"/>
    <m/>
    <n v="344.31724677402156"/>
    <n v="189.29125924936338"/>
    <n v="0"/>
    <n v="4.1054158536585357"/>
    <n v="0"/>
    <n v="4.5682094052245876"/>
    <x v="3"/>
  </r>
  <r>
    <s v="Regular"/>
    <x v="5"/>
    <x v="4"/>
    <x v="3"/>
    <x v="1"/>
    <x v="0"/>
    <x v="0"/>
    <x v="3"/>
    <x v="5"/>
    <n v="0"/>
    <n v="0"/>
    <n v="5.1999999999999998E-2"/>
    <n v="5.1999999999999998E-2"/>
    <n v="5.1999999999999998E-2"/>
    <n v="5.1999999999999998E-2"/>
    <n v="0"/>
    <s v="CATIVO"/>
    <n v="0"/>
    <n v="0"/>
    <n v="56"/>
    <n v="99"/>
    <n v="0"/>
    <n v="284.7"/>
    <n v="194.85"/>
    <m/>
    <n v="344.31724677402156"/>
    <n v="189.29125924936338"/>
    <n v="0"/>
    <n v="5.4738878048780482"/>
    <n v="0"/>
    <n v="6.0909458736327826"/>
    <x v="3"/>
  </r>
  <r>
    <s v="Regular"/>
    <x v="5"/>
    <x v="4"/>
    <x v="3"/>
    <x v="1"/>
    <x v="0"/>
    <x v="0"/>
    <x v="3"/>
    <x v="6"/>
    <n v="0"/>
    <n v="0"/>
    <n v="5.1999999999999998E-2"/>
    <n v="5.1999999999999998E-2"/>
    <n v="5.1999999999999998E-2"/>
    <n v="5.1999999999999998E-2"/>
    <n v="0"/>
    <s v="CATIVO"/>
    <n v="0"/>
    <n v="0"/>
    <n v="56"/>
    <n v="99"/>
    <n v="0"/>
    <n v="284.7"/>
    <n v="194.85"/>
    <m/>
    <n v="344.31724677402156"/>
    <n v="189.29125924936338"/>
    <n v="0"/>
    <n v="5.4738878048780482"/>
    <n v="0"/>
    <n v="6.0909458736327826"/>
    <x v="3"/>
  </r>
  <r>
    <s v="Regular"/>
    <x v="5"/>
    <x v="4"/>
    <x v="3"/>
    <x v="1"/>
    <x v="0"/>
    <x v="0"/>
    <x v="3"/>
    <x v="7"/>
    <n v="0"/>
    <n v="0"/>
    <n v="5.2999999999999999E-2"/>
    <n v="5.2999999999999999E-2"/>
    <n v="5.2999999999999999E-2"/>
    <n v="5.2999999999999999E-2"/>
    <n v="0"/>
    <s v="CATIVO"/>
    <n v="0"/>
    <n v="0"/>
    <n v="56"/>
    <n v="99"/>
    <n v="0"/>
    <n v="284.7"/>
    <n v="194.85"/>
    <m/>
    <n v="344.31724677402156"/>
    <n v="189.29125924936338"/>
    <n v="0"/>
    <n v="5.5791548780487794"/>
    <n v="0"/>
    <n v="6.2080794481257211"/>
    <x v="3"/>
  </r>
  <r>
    <s v="Regular"/>
    <x v="5"/>
    <x v="4"/>
    <x v="3"/>
    <x v="1"/>
    <x v="0"/>
    <x v="0"/>
    <x v="3"/>
    <x v="8"/>
    <n v="0"/>
    <n v="0"/>
    <n v="4.9000000000000002E-2"/>
    <n v="4.9000000000000002E-2"/>
    <n v="4.9000000000000002E-2"/>
    <n v="4.9000000000000002E-2"/>
    <n v="0"/>
    <s v="CATIVO"/>
    <n v="0"/>
    <n v="0"/>
    <n v="56"/>
    <n v="99"/>
    <n v="0"/>
    <n v="284.7"/>
    <n v="194.85"/>
    <m/>
    <n v="344.31724677402156"/>
    <n v="189.29125924936338"/>
    <n v="0"/>
    <n v="5.1580865853658535"/>
    <n v="0"/>
    <n v="5.7395451501539698"/>
    <x v="3"/>
  </r>
  <r>
    <s v="Regular"/>
    <x v="5"/>
    <x v="4"/>
    <x v="3"/>
    <x v="1"/>
    <x v="0"/>
    <x v="0"/>
    <x v="3"/>
    <x v="9"/>
    <n v="0"/>
    <n v="0"/>
    <n v="0.05"/>
    <n v="0.05"/>
    <n v="0.05"/>
    <n v="0.05"/>
    <n v="0"/>
    <s v="CATIVO"/>
    <n v="0"/>
    <n v="0"/>
    <n v="56"/>
    <n v="99"/>
    <n v="0"/>
    <n v="284.7"/>
    <n v="194.85"/>
    <m/>
    <n v="344.31724677402156"/>
    <n v="189.29125924936338"/>
    <n v="0"/>
    <n v="5.2633536585365848"/>
    <n v="0"/>
    <n v="5.8566787246469074"/>
    <x v="3"/>
  </r>
  <r>
    <s v="Regular"/>
    <x v="5"/>
    <x v="4"/>
    <x v="3"/>
    <x v="1"/>
    <x v="0"/>
    <x v="0"/>
    <x v="3"/>
    <x v="10"/>
    <n v="0"/>
    <n v="0"/>
    <n v="5.7000000000000002E-2"/>
    <n v="5.7000000000000002E-2"/>
    <n v="5.7000000000000002E-2"/>
    <n v="5.7000000000000002E-2"/>
    <n v="0"/>
    <s v="CATIVO"/>
    <n v="0"/>
    <n v="0"/>
    <n v="56"/>
    <n v="99"/>
    <n v="0"/>
    <n v="284.7"/>
    <n v="194.85"/>
    <m/>
    <n v="344.31724677402156"/>
    <n v="189.29125924936338"/>
    <n v="0"/>
    <n v="6.0002231707317071"/>
    <n v="0"/>
    <n v="6.6766137460974742"/>
    <x v="3"/>
  </r>
  <r>
    <s v="PROJETADO"/>
    <x v="5"/>
    <x v="4"/>
    <x v="3"/>
    <x v="1"/>
    <x v="0"/>
    <x v="0"/>
    <x v="3"/>
    <x v="11"/>
    <n v="0"/>
    <n v="0"/>
    <n v="5.7000000000000002E-2"/>
    <n v="5.7000000000000002E-2"/>
    <n v="5.7000000000000002E-2"/>
    <n v="5.7000000000000002E-2"/>
    <n v="0"/>
    <s v="CATIVO"/>
    <n v="0"/>
    <n v="0"/>
    <n v="56"/>
    <n v="99"/>
    <n v="0"/>
    <n v="284.7"/>
    <n v="194.85"/>
    <m/>
    <n v="344.31724677402156"/>
    <n v="189.29125924936338"/>
    <n v="0"/>
    <n v="6.0002231707317071"/>
    <n v="0"/>
    <n v="6.6766137460974742"/>
    <x v="3"/>
  </r>
  <r>
    <s v="Regular"/>
    <x v="5"/>
    <x v="4"/>
    <x v="3"/>
    <x v="1"/>
    <x v="0"/>
    <x v="0"/>
    <x v="1"/>
    <x v="0"/>
    <n v="0"/>
    <n v="0"/>
    <n v="8.1000000000000003E-2"/>
    <n v="8.1000000000000003E-2"/>
    <n v="8.1000000000000003E-2"/>
    <n v="8.1000000000000003E-2"/>
    <n v="0"/>
    <s v="CATIVO"/>
    <n v="0"/>
    <n v="0"/>
    <n v="55"/>
    <n v="98"/>
    <n v="0"/>
    <n v="419.53"/>
    <n v="327.45999999999998"/>
    <m/>
    <n v="513.19254192157746"/>
    <n v="308.07950445999455"/>
    <n v="0"/>
    <n v="13.281846585365852"/>
    <n v="0"/>
    <n v="14.602617605174778"/>
    <x v="3"/>
  </r>
  <r>
    <s v="Regular"/>
    <x v="5"/>
    <x v="4"/>
    <x v="3"/>
    <x v="1"/>
    <x v="0"/>
    <x v="0"/>
    <x v="1"/>
    <x v="1"/>
    <n v="0"/>
    <n v="0"/>
    <n v="7.6999999999999999E-2"/>
    <n v="7.6999999999999999E-2"/>
    <n v="7.6999999999999999E-2"/>
    <n v="7.6999999999999999E-2"/>
    <n v="0"/>
    <s v="CATIVO"/>
    <n v="0"/>
    <n v="0"/>
    <n v="55"/>
    <n v="98"/>
    <n v="0"/>
    <n v="419.53"/>
    <n v="327.45999999999998"/>
    <m/>
    <n v="513.19254192157746"/>
    <n v="308.07950445999455"/>
    <n v="0"/>
    <n v="12.625952926829266"/>
    <n v="0"/>
    <n v="13.881500686400715"/>
    <x v="3"/>
  </r>
  <r>
    <s v="Regular"/>
    <x v="5"/>
    <x v="4"/>
    <x v="3"/>
    <x v="1"/>
    <x v="0"/>
    <x v="0"/>
    <x v="1"/>
    <x v="2"/>
    <n v="0"/>
    <n v="0"/>
    <n v="7.0000000000000007E-2"/>
    <n v="7.0000000000000007E-2"/>
    <n v="7.0000000000000007E-2"/>
    <n v="7.0000000000000007E-2"/>
    <n v="0"/>
    <s v="CATIVO"/>
    <n v="0"/>
    <n v="0"/>
    <n v="55"/>
    <n v="98"/>
    <n v="0"/>
    <n v="419.53"/>
    <n v="327.45999999999998"/>
    <m/>
    <n v="513.19254192157746"/>
    <n v="308.07950445999455"/>
    <n v="0"/>
    <n v="11.478139024390241"/>
    <n v="0"/>
    <n v="12.619546078546106"/>
    <x v="3"/>
  </r>
  <r>
    <s v="Regular"/>
    <x v="5"/>
    <x v="4"/>
    <x v="3"/>
    <x v="1"/>
    <x v="0"/>
    <x v="0"/>
    <x v="1"/>
    <x v="3"/>
    <n v="0"/>
    <n v="0"/>
    <n v="8.5000000000000006E-2"/>
    <n v="8.5000000000000006E-2"/>
    <n v="8.5000000000000006E-2"/>
    <n v="8.5000000000000006E-2"/>
    <n v="0"/>
    <s v="CATIVO"/>
    <n v="0"/>
    <n v="0"/>
    <n v="55"/>
    <n v="98"/>
    <n v="0"/>
    <n v="419.53"/>
    <n v="327.45999999999998"/>
    <m/>
    <n v="513.19254192157746"/>
    <n v="308.07950445999455"/>
    <n v="0"/>
    <n v="13.937740243902438"/>
    <n v="0"/>
    <n v="15.323734523948843"/>
    <x v="3"/>
  </r>
  <r>
    <s v="Regular"/>
    <x v="5"/>
    <x v="4"/>
    <x v="3"/>
    <x v="1"/>
    <x v="0"/>
    <x v="0"/>
    <x v="1"/>
    <x v="4"/>
    <n v="0"/>
    <n v="0"/>
    <n v="7.5999999999999998E-2"/>
    <n v="7.5999999999999998E-2"/>
    <n v="7.5999999999999998E-2"/>
    <n v="7.5999999999999998E-2"/>
    <n v="0"/>
    <s v="CATIVO"/>
    <n v="0"/>
    <n v="0"/>
    <n v="55"/>
    <n v="98"/>
    <n v="0"/>
    <n v="419.53"/>
    <n v="327.45999999999998"/>
    <m/>
    <n v="513.19254192157746"/>
    <n v="308.07950445999455"/>
    <n v="0"/>
    <n v="12.461979512195118"/>
    <n v="0"/>
    <n v="13.701221456707202"/>
    <x v="3"/>
  </r>
  <r>
    <s v="Regular"/>
    <x v="5"/>
    <x v="4"/>
    <x v="3"/>
    <x v="1"/>
    <x v="0"/>
    <x v="0"/>
    <x v="1"/>
    <x v="5"/>
    <n v="0"/>
    <n v="0"/>
    <n v="8.4000000000000005E-2"/>
    <n v="8.4000000000000005E-2"/>
    <n v="8.4000000000000005E-2"/>
    <n v="8.4000000000000005E-2"/>
    <n v="0"/>
    <s v="CATIVO"/>
    <n v="0"/>
    <n v="0"/>
    <n v="55"/>
    <n v="98"/>
    <n v="0"/>
    <n v="419.53"/>
    <n v="327.45999999999998"/>
    <m/>
    <n v="513.19254192157746"/>
    <n v="308.07950445999455"/>
    <n v="0"/>
    <n v="13.77376682926829"/>
    <n v="0"/>
    <n v="15.143455294255327"/>
    <x v="3"/>
  </r>
  <r>
    <s v="Regular"/>
    <x v="5"/>
    <x v="4"/>
    <x v="3"/>
    <x v="1"/>
    <x v="0"/>
    <x v="0"/>
    <x v="1"/>
    <x v="6"/>
    <n v="0"/>
    <n v="0"/>
    <n v="0.108"/>
    <n v="0.108"/>
    <n v="0.108"/>
    <n v="0.108"/>
    <n v="0"/>
    <s v="CATIVO"/>
    <n v="0"/>
    <n v="0"/>
    <n v="55"/>
    <n v="98"/>
    <n v="0"/>
    <n v="419.53"/>
    <n v="327.45999999999998"/>
    <m/>
    <n v="513.19254192157746"/>
    <n v="308.07950445999455"/>
    <n v="0"/>
    <n v="17.709128780487799"/>
    <n v="0"/>
    <n v="19.470156806899706"/>
    <x v="3"/>
  </r>
  <r>
    <s v="Regular"/>
    <x v="5"/>
    <x v="4"/>
    <x v="3"/>
    <x v="1"/>
    <x v="0"/>
    <x v="0"/>
    <x v="1"/>
    <x v="7"/>
    <n v="0"/>
    <n v="0"/>
    <n v="8.8999999999999996E-2"/>
    <n v="8.8999999999999996E-2"/>
    <n v="8.8999999999999996E-2"/>
    <n v="8.8999999999999996E-2"/>
    <n v="0"/>
    <s v="CATIVO"/>
    <n v="0"/>
    <n v="0"/>
    <n v="55"/>
    <n v="98"/>
    <n v="0"/>
    <n v="419.53"/>
    <n v="327.45999999999998"/>
    <m/>
    <n v="513.19254192157746"/>
    <n v="308.07950445999455"/>
    <n v="0"/>
    <n v="14.59363390243902"/>
    <n v="0"/>
    <n v="16.044851442722905"/>
    <x v="3"/>
  </r>
  <r>
    <s v="Regular"/>
    <x v="5"/>
    <x v="4"/>
    <x v="3"/>
    <x v="1"/>
    <x v="0"/>
    <x v="0"/>
    <x v="1"/>
    <x v="8"/>
    <n v="0"/>
    <n v="0"/>
    <n v="9.2999999999999999E-2"/>
    <n v="9.2999999999999999E-2"/>
    <n v="9.2999999999999999E-2"/>
    <n v="9.2999999999999999E-2"/>
    <n v="0"/>
    <s v="CATIVO"/>
    <n v="0"/>
    <n v="0"/>
    <n v="55"/>
    <n v="98"/>
    <n v="0"/>
    <n v="419.53"/>
    <n v="327.45999999999998"/>
    <m/>
    <n v="513.19254192157746"/>
    <n v="308.07950445999455"/>
    <n v="0"/>
    <n v="15.249527560975608"/>
    <n v="0"/>
    <n v="16.765968361496967"/>
    <x v="3"/>
  </r>
  <r>
    <s v="Regular"/>
    <x v="5"/>
    <x v="4"/>
    <x v="3"/>
    <x v="1"/>
    <x v="0"/>
    <x v="0"/>
    <x v="1"/>
    <x v="9"/>
    <n v="0"/>
    <n v="0"/>
    <n v="0.09"/>
    <n v="0.09"/>
    <n v="0.09"/>
    <n v="0.09"/>
    <n v="0"/>
    <s v="CATIVO"/>
    <n v="0"/>
    <n v="0"/>
    <n v="55"/>
    <n v="98"/>
    <n v="0"/>
    <n v="419.53"/>
    <n v="327.45999999999998"/>
    <m/>
    <n v="513.19254192157746"/>
    <n v="308.07950445999455"/>
    <n v="0"/>
    <n v="14.757607317073168"/>
    <n v="0"/>
    <n v="16.225130672416419"/>
    <x v="3"/>
  </r>
  <r>
    <s v="Regular"/>
    <x v="5"/>
    <x v="4"/>
    <x v="3"/>
    <x v="1"/>
    <x v="0"/>
    <x v="0"/>
    <x v="1"/>
    <x v="10"/>
    <n v="0"/>
    <n v="0"/>
    <n v="0.10100000000000001"/>
    <n v="0.10100000000000001"/>
    <n v="0.10100000000000001"/>
    <n v="0.10100000000000001"/>
    <n v="0"/>
    <s v="CATIVO"/>
    <n v="0"/>
    <n v="0"/>
    <n v="55"/>
    <n v="98"/>
    <n v="0"/>
    <n v="419.53"/>
    <n v="327.45999999999998"/>
    <m/>
    <n v="513.19254192157746"/>
    <n v="308.07950445999455"/>
    <n v="0"/>
    <n v="16.56131487804878"/>
    <n v="0"/>
    <n v="18.208202199045093"/>
    <x v="3"/>
  </r>
  <r>
    <s v="PROJETADO"/>
    <x v="5"/>
    <x v="4"/>
    <x v="3"/>
    <x v="1"/>
    <x v="0"/>
    <x v="0"/>
    <x v="1"/>
    <x v="11"/>
    <n v="0"/>
    <n v="0"/>
    <n v="0.10100000000000001"/>
    <n v="0.10100000000000001"/>
    <n v="0.10100000000000001"/>
    <n v="0.10100000000000001"/>
    <n v="0"/>
    <s v="CATIVO"/>
    <n v="0"/>
    <n v="0"/>
    <n v="55"/>
    <n v="98"/>
    <n v="0"/>
    <n v="419.53"/>
    <n v="327.45999999999998"/>
    <m/>
    <n v="513.19254192157746"/>
    <n v="308.07950445999455"/>
    <n v="0"/>
    <n v="16.56131487804878"/>
    <n v="0"/>
    <n v="18.208202199045093"/>
    <x v="3"/>
  </r>
  <r>
    <s v="Regular"/>
    <x v="5"/>
    <x v="3"/>
    <x v="3"/>
    <x v="2"/>
    <x v="3"/>
    <x v="0"/>
    <x v="2"/>
    <x v="0"/>
    <n v="0"/>
    <n v="0"/>
    <n v="14.704000000000001"/>
    <n v="14.704000000000001"/>
    <n v="14.704000000000001"/>
    <n v="14.704000000000001"/>
    <n v="0"/>
    <s v="CATIVO"/>
    <n v="0"/>
    <n v="0"/>
    <n v="58"/>
    <n v="101"/>
    <n v="0"/>
    <n v="187.79"/>
    <n v="205.9"/>
    <m/>
    <n v="222.93864377382519"/>
    <n v="199.19027968358265"/>
    <n v="0"/>
    <n v="1828.0012800000004"/>
    <n v="0"/>
    <n v="1362.5086149916949"/>
    <x v="3"/>
  </r>
  <r>
    <s v="Sistema de Compensação"/>
    <x v="5"/>
    <x v="3"/>
    <x v="3"/>
    <x v="2"/>
    <x v="3"/>
    <x v="0"/>
    <x v="2"/>
    <x v="0"/>
    <n v="0"/>
    <n v="0"/>
    <n v="4.7869999999999999"/>
    <n v="4.7869999999999999"/>
    <n v="4.7869999999999999"/>
    <n v="4.7869999999999999"/>
    <n v="0"/>
    <s v="CATIVO"/>
    <n v="0"/>
    <n v="0"/>
    <n v="58"/>
    <n v="101"/>
    <n v="0"/>
    <n v="187.79"/>
    <n v="205.9"/>
    <m/>
    <n v="222.93864377382519"/>
    <n v="199.19027968358265"/>
    <n v="0"/>
    <n v="595.11984000000007"/>
    <n v="0"/>
    <n v="443.57513193452411"/>
    <x v="3"/>
  </r>
  <r>
    <s v="Regular"/>
    <x v="5"/>
    <x v="3"/>
    <x v="3"/>
    <x v="2"/>
    <x v="3"/>
    <x v="0"/>
    <x v="2"/>
    <x v="1"/>
    <n v="0"/>
    <n v="0"/>
    <n v="42.212000000000003"/>
    <n v="42.212000000000003"/>
    <n v="42.212000000000003"/>
    <n v="42.212000000000003"/>
    <n v="0"/>
    <s v="CATIVO"/>
    <n v="0"/>
    <n v="0"/>
    <n v="58"/>
    <n v="101"/>
    <n v="0"/>
    <n v="187.79"/>
    <n v="205.9"/>
    <m/>
    <n v="222.93864377382519"/>
    <n v="199.19027968358265"/>
    <n v="0"/>
    <n v="5247.7958400000016"/>
    <n v="0"/>
    <n v="3911.4671964111412"/>
    <x v="3"/>
  </r>
  <r>
    <s v="Regular"/>
    <x v="5"/>
    <x v="3"/>
    <x v="3"/>
    <x v="2"/>
    <x v="3"/>
    <x v="0"/>
    <x v="2"/>
    <x v="2"/>
    <n v="0"/>
    <n v="0"/>
    <n v="6.9649999999999999"/>
    <n v="6.9649999999999999"/>
    <n v="6.9649999999999999"/>
    <n v="6.9649999999999999"/>
    <n v="0"/>
    <s v="CATIVO"/>
    <n v="0"/>
    <n v="0"/>
    <n v="58"/>
    <n v="101"/>
    <n v="0"/>
    <n v="187.79"/>
    <n v="205.9"/>
    <m/>
    <n v="222.93864377382519"/>
    <n v="199.19027968358265"/>
    <n v="0"/>
    <n v="865.88880000000017"/>
    <n v="0"/>
    <n v="645.3939406567705"/>
    <x v="3"/>
  </r>
  <r>
    <s v="Sistema de Compensação"/>
    <x v="5"/>
    <x v="3"/>
    <x v="3"/>
    <x v="2"/>
    <x v="3"/>
    <x v="0"/>
    <x v="2"/>
    <x v="2"/>
    <n v="0"/>
    <n v="0"/>
    <n v="0.20799999999999999"/>
    <n v="0.20799999999999999"/>
    <n v="0.20799999999999999"/>
    <n v="0.20799999999999999"/>
    <n v="0"/>
    <s v="CATIVO"/>
    <n v="0"/>
    <n v="0"/>
    <n v="58"/>
    <n v="101"/>
    <n v="0"/>
    <n v="187.79"/>
    <n v="205.9"/>
    <m/>
    <n v="222.93864377382519"/>
    <n v="199.19027968358265"/>
    <n v="0"/>
    <n v="25.858560000000004"/>
    <n v="0"/>
    <n v="19.273788895421145"/>
    <x v="3"/>
  </r>
  <r>
    <s v="Regular"/>
    <x v="5"/>
    <x v="3"/>
    <x v="3"/>
    <x v="2"/>
    <x v="3"/>
    <x v="0"/>
    <x v="2"/>
    <x v="3"/>
    <n v="0"/>
    <n v="0"/>
    <n v="11.85"/>
    <n v="11.85"/>
    <n v="11.85"/>
    <n v="11.85"/>
    <n v="0"/>
    <s v="CATIVO"/>
    <n v="0"/>
    <n v="0"/>
    <n v="58"/>
    <n v="101"/>
    <n v="0"/>
    <n v="187.79"/>
    <n v="205.9"/>
    <m/>
    <n v="222.93864377382519"/>
    <n v="199.19027968358265"/>
    <n v="0"/>
    <n v="1473.1920000000002"/>
    <n v="0"/>
    <n v="1098.0499923593295"/>
    <x v="3"/>
  </r>
  <r>
    <s v="Sistema de Compensação"/>
    <x v="5"/>
    <x v="3"/>
    <x v="3"/>
    <x v="2"/>
    <x v="3"/>
    <x v="0"/>
    <x v="2"/>
    <x v="3"/>
    <n v="0"/>
    <n v="0"/>
    <n v="0.1"/>
    <n v="0.1"/>
    <n v="0.1"/>
    <n v="0.1"/>
    <n v="0"/>
    <s v="CATIVO"/>
    <n v="0"/>
    <n v="0"/>
    <n v="58"/>
    <n v="101"/>
    <n v="0"/>
    <n v="187.79"/>
    <n v="205.9"/>
    <m/>
    <n v="222.93864377382519"/>
    <n v="199.19027968358265"/>
    <n v="0"/>
    <n v="12.432000000000002"/>
    <n v="0"/>
    <n v="9.2662446612601652"/>
    <x v="3"/>
  </r>
  <r>
    <s v="Regular"/>
    <x v="5"/>
    <x v="3"/>
    <x v="3"/>
    <x v="2"/>
    <x v="3"/>
    <x v="0"/>
    <x v="2"/>
    <x v="4"/>
    <n v="0"/>
    <n v="0"/>
    <n v="6.2640000000000002"/>
    <n v="6.2640000000000002"/>
    <n v="6.2640000000000002"/>
    <n v="6.2640000000000002"/>
    <n v="0"/>
    <s v="CATIVO"/>
    <n v="0"/>
    <n v="0"/>
    <n v="58"/>
    <n v="101"/>
    <n v="0"/>
    <n v="187.79"/>
    <n v="205.9"/>
    <m/>
    <n v="222.93864377382519"/>
    <n v="199.19027968358265"/>
    <n v="0"/>
    <n v="778.74048000000016"/>
    <n v="0"/>
    <n v="580.4375655813368"/>
    <x v="3"/>
  </r>
  <r>
    <s v="Sistema de Compensação"/>
    <x v="5"/>
    <x v="3"/>
    <x v="3"/>
    <x v="2"/>
    <x v="3"/>
    <x v="0"/>
    <x v="2"/>
    <x v="4"/>
    <n v="0"/>
    <n v="0"/>
    <n v="0.1"/>
    <n v="0.1"/>
    <n v="0.1"/>
    <n v="0.1"/>
    <n v="0"/>
    <s v="CATIVO"/>
    <n v="0"/>
    <n v="0"/>
    <n v="58"/>
    <n v="101"/>
    <n v="0"/>
    <n v="187.79"/>
    <n v="205.9"/>
    <m/>
    <n v="222.93864377382519"/>
    <n v="199.19027968358265"/>
    <n v="0"/>
    <n v="12.432000000000002"/>
    <n v="0"/>
    <n v="9.2662446612601652"/>
    <x v="3"/>
  </r>
  <r>
    <s v="Regular"/>
    <x v="5"/>
    <x v="3"/>
    <x v="3"/>
    <x v="2"/>
    <x v="3"/>
    <x v="0"/>
    <x v="2"/>
    <x v="5"/>
    <n v="0"/>
    <n v="0"/>
    <n v="5.016"/>
    <n v="5.016"/>
    <n v="5.016"/>
    <n v="5.016"/>
    <n v="0"/>
    <s v="CATIVO"/>
    <n v="0"/>
    <n v="0"/>
    <n v="58"/>
    <n v="101"/>
    <n v="0"/>
    <n v="187.79"/>
    <n v="205.9"/>
    <m/>
    <n v="222.93864377382519"/>
    <n v="199.19027968358265"/>
    <n v="0"/>
    <n v="623.58912000000009"/>
    <n v="0"/>
    <n v="464.79483220880991"/>
    <x v="3"/>
  </r>
  <r>
    <s v="Sistema de Compensação"/>
    <x v="5"/>
    <x v="3"/>
    <x v="3"/>
    <x v="2"/>
    <x v="3"/>
    <x v="0"/>
    <x v="2"/>
    <x v="5"/>
    <n v="0"/>
    <n v="0"/>
    <n v="0.1"/>
    <n v="0.1"/>
    <n v="0.1"/>
    <n v="0.1"/>
    <n v="0"/>
    <s v="CATIVO"/>
    <n v="0"/>
    <n v="0"/>
    <n v="58"/>
    <n v="101"/>
    <n v="0"/>
    <n v="187.79"/>
    <n v="205.9"/>
    <m/>
    <n v="222.93864377382519"/>
    <n v="199.19027968358265"/>
    <n v="0"/>
    <n v="12.432000000000002"/>
    <n v="0"/>
    <n v="9.2662446612601652"/>
    <x v="3"/>
  </r>
  <r>
    <s v="Regular"/>
    <x v="5"/>
    <x v="3"/>
    <x v="3"/>
    <x v="2"/>
    <x v="3"/>
    <x v="0"/>
    <x v="2"/>
    <x v="6"/>
    <n v="0"/>
    <n v="0"/>
    <n v="5.5380000000000003"/>
    <n v="5.5380000000000003"/>
    <n v="5.5380000000000003"/>
    <n v="5.5380000000000003"/>
    <n v="0"/>
    <s v="CATIVO"/>
    <n v="0"/>
    <n v="0"/>
    <n v="58"/>
    <n v="101"/>
    <n v="0"/>
    <n v="187.79"/>
    <n v="205.9"/>
    <m/>
    <n v="222.93864377382519"/>
    <n v="199.19027968358265"/>
    <n v="0"/>
    <n v="688.4841600000002"/>
    <n v="0"/>
    <n v="513.16462934058802"/>
    <x v="3"/>
  </r>
  <r>
    <s v="Sistema de Compensação"/>
    <x v="5"/>
    <x v="3"/>
    <x v="3"/>
    <x v="2"/>
    <x v="3"/>
    <x v="0"/>
    <x v="2"/>
    <x v="6"/>
    <n v="0"/>
    <n v="0"/>
    <n v="0.1"/>
    <n v="0.1"/>
    <n v="0.1"/>
    <n v="0.1"/>
    <n v="0"/>
    <s v="CATIVO"/>
    <n v="0"/>
    <n v="0"/>
    <n v="58"/>
    <n v="101"/>
    <n v="0"/>
    <n v="187.79"/>
    <n v="205.9"/>
    <m/>
    <n v="222.93864377382519"/>
    <n v="199.19027968358265"/>
    <n v="0"/>
    <n v="12.432000000000002"/>
    <n v="0"/>
    <n v="9.2662446612601652"/>
    <x v="3"/>
  </r>
  <r>
    <s v="Regular"/>
    <x v="5"/>
    <x v="3"/>
    <x v="3"/>
    <x v="2"/>
    <x v="3"/>
    <x v="0"/>
    <x v="2"/>
    <x v="7"/>
    <n v="0"/>
    <n v="0"/>
    <n v="6.0789999999999997"/>
    <n v="6.0789999999999997"/>
    <n v="6.0789999999999997"/>
    <n v="6.0789999999999997"/>
    <n v="0"/>
    <s v="CATIVO"/>
    <n v="0"/>
    <n v="0"/>
    <n v="58"/>
    <n v="101"/>
    <n v="0"/>
    <n v="187.79"/>
    <n v="205.9"/>
    <m/>
    <n v="222.93864377382519"/>
    <n v="199.19027968358265"/>
    <n v="0"/>
    <n v="755.74128000000007"/>
    <n v="0"/>
    <n v="563.29501295800549"/>
    <x v="3"/>
  </r>
  <r>
    <s v="Sistema de Compensação"/>
    <x v="5"/>
    <x v="3"/>
    <x v="3"/>
    <x v="2"/>
    <x v="3"/>
    <x v="0"/>
    <x v="2"/>
    <x v="7"/>
    <n v="0"/>
    <n v="0"/>
    <n v="0.1"/>
    <n v="0.1"/>
    <n v="0.1"/>
    <n v="0.1"/>
    <n v="0"/>
    <s v="CATIVO"/>
    <n v="0"/>
    <n v="0"/>
    <n v="58"/>
    <n v="101"/>
    <n v="0"/>
    <n v="187.79"/>
    <n v="205.9"/>
    <m/>
    <n v="222.93864377382519"/>
    <n v="199.19027968358265"/>
    <n v="0"/>
    <n v="12.432000000000002"/>
    <n v="0"/>
    <n v="9.2662446612601652"/>
    <x v="3"/>
  </r>
  <r>
    <s v="Regular"/>
    <x v="5"/>
    <x v="3"/>
    <x v="3"/>
    <x v="2"/>
    <x v="3"/>
    <x v="0"/>
    <x v="2"/>
    <x v="8"/>
    <n v="0"/>
    <n v="0"/>
    <n v="9.0909999999999993"/>
    <n v="9.0909999999999993"/>
    <n v="9.0909999999999993"/>
    <n v="9.0909999999999993"/>
    <n v="0"/>
    <s v="CATIVO"/>
    <n v="0"/>
    <n v="0"/>
    <n v="58"/>
    <n v="101"/>
    <n v="0"/>
    <n v="187.79"/>
    <n v="205.9"/>
    <m/>
    <n v="222.93864377382519"/>
    <n v="199.19027968358265"/>
    <n v="0"/>
    <n v="1130.1931200000001"/>
    <n v="0"/>
    <n v="842.39430215516154"/>
    <x v="3"/>
  </r>
  <r>
    <s v="Sistema de Compensação"/>
    <x v="5"/>
    <x v="3"/>
    <x v="3"/>
    <x v="2"/>
    <x v="3"/>
    <x v="0"/>
    <x v="2"/>
    <x v="8"/>
    <n v="0"/>
    <n v="0"/>
    <n v="1.075"/>
    <n v="1.075"/>
    <n v="1.075"/>
    <n v="1.075"/>
    <n v="0"/>
    <s v="CATIVO"/>
    <n v="0"/>
    <n v="0"/>
    <n v="58"/>
    <n v="101"/>
    <n v="0"/>
    <n v="187.79"/>
    <n v="205.9"/>
    <m/>
    <n v="222.93864377382519"/>
    <n v="199.19027968358265"/>
    <n v="0"/>
    <n v="133.64400000000001"/>
    <n v="0"/>
    <n v="99.612130108546779"/>
    <x v="3"/>
  </r>
  <r>
    <s v="Regular"/>
    <x v="5"/>
    <x v="3"/>
    <x v="3"/>
    <x v="2"/>
    <x v="3"/>
    <x v="0"/>
    <x v="2"/>
    <x v="9"/>
    <n v="0"/>
    <n v="0"/>
    <n v="10.349"/>
    <n v="10.349"/>
    <n v="10.349"/>
    <n v="10.349"/>
    <n v="0"/>
    <s v="CATIVO"/>
    <n v="0"/>
    <n v="0"/>
    <n v="58"/>
    <n v="101"/>
    <n v="0"/>
    <n v="187.79"/>
    <n v="205.9"/>
    <m/>
    <n v="222.93864377382519"/>
    <n v="199.19027968358265"/>
    <n v="0"/>
    <n v="1286.5876800000003"/>
    <n v="0"/>
    <n v="958.96365999381453"/>
    <x v="3"/>
  </r>
  <r>
    <s v="Sistema de Compensação"/>
    <x v="5"/>
    <x v="3"/>
    <x v="3"/>
    <x v="2"/>
    <x v="3"/>
    <x v="0"/>
    <x v="2"/>
    <x v="9"/>
    <n v="0"/>
    <n v="0"/>
    <n v="0.1"/>
    <n v="0.1"/>
    <n v="0.1"/>
    <n v="0.1"/>
    <n v="0"/>
    <s v="CATIVO"/>
    <n v="0"/>
    <n v="0"/>
    <n v="58"/>
    <n v="101"/>
    <n v="0"/>
    <n v="187.79"/>
    <n v="205.9"/>
    <m/>
    <n v="222.93864377382519"/>
    <n v="199.19027968358265"/>
    <n v="0"/>
    <n v="12.432000000000002"/>
    <n v="0"/>
    <n v="9.2662446612601652"/>
    <x v="3"/>
  </r>
  <r>
    <s v="Regular"/>
    <x v="5"/>
    <x v="3"/>
    <x v="3"/>
    <x v="2"/>
    <x v="3"/>
    <x v="0"/>
    <x v="2"/>
    <x v="10"/>
    <n v="0"/>
    <n v="0"/>
    <n v="19.2"/>
    <n v="19.2"/>
    <n v="19.2"/>
    <n v="19.2"/>
    <n v="0"/>
    <s v="CATIVO"/>
    <n v="0"/>
    <n v="0"/>
    <n v="58"/>
    <n v="101"/>
    <n v="0"/>
    <n v="187.79"/>
    <n v="205.9"/>
    <m/>
    <n v="222.93864377382519"/>
    <n v="199.19027968358265"/>
    <n v="0"/>
    <n v="2386.9440000000004"/>
    <n v="0"/>
    <n v="1779.1189749619518"/>
    <x v="3"/>
  </r>
  <r>
    <s v="Sistema de Compensação"/>
    <x v="5"/>
    <x v="3"/>
    <x v="3"/>
    <x v="2"/>
    <x v="3"/>
    <x v="0"/>
    <x v="2"/>
    <x v="10"/>
    <n v="0"/>
    <n v="0"/>
    <n v="0.1"/>
    <n v="0.1"/>
    <n v="0.1"/>
    <n v="0.1"/>
    <n v="0"/>
    <s v="CATIVO"/>
    <n v="0"/>
    <n v="0"/>
    <n v="58"/>
    <n v="101"/>
    <n v="0"/>
    <n v="187.79"/>
    <n v="205.9"/>
    <m/>
    <n v="222.93864377382519"/>
    <n v="199.19027968358265"/>
    <n v="0"/>
    <n v="12.432000000000002"/>
    <n v="0"/>
    <n v="9.2662446612601652"/>
    <x v="3"/>
  </r>
  <r>
    <s v="PROJETADO"/>
    <x v="5"/>
    <x v="3"/>
    <x v="3"/>
    <x v="2"/>
    <x v="3"/>
    <x v="0"/>
    <x v="2"/>
    <x v="11"/>
    <n v="0"/>
    <n v="0"/>
    <n v="19.2"/>
    <n v="19.2"/>
    <n v="19.2"/>
    <n v="19.2"/>
    <n v="0"/>
    <s v="CATIVO"/>
    <n v="0"/>
    <n v="0"/>
    <n v="58"/>
    <n v="101"/>
    <n v="0"/>
    <n v="187.79"/>
    <n v="205.9"/>
    <m/>
    <n v="222.93864377382519"/>
    <n v="199.19027968358265"/>
    <n v="0"/>
    <n v="2386.9440000000004"/>
    <n v="0"/>
    <n v="1779.1189749619518"/>
    <x v="3"/>
  </r>
  <r>
    <s v="PROJETADO"/>
    <x v="5"/>
    <x v="3"/>
    <x v="3"/>
    <x v="2"/>
    <x v="3"/>
    <x v="0"/>
    <x v="2"/>
    <x v="11"/>
    <n v="0"/>
    <n v="0"/>
    <n v="0.1"/>
    <n v="0.1"/>
    <n v="0.1"/>
    <n v="0.1"/>
    <n v="0"/>
    <s v="CATIVO"/>
    <n v="0"/>
    <n v="0"/>
    <n v="58"/>
    <n v="101"/>
    <n v="0"/>
    <n v="187.79"/>
    <n v="205.9"/>
    <m/>
    <n v="222.93864377382519"/>
    <n v="199.19027968358265"/>
    <n v="0"/>
    <n v="12.432000000000002"/>
    <n v="0"/>
    <n v="9.2662446612601652"/>
    <x v="3"/>
  </r>
  <r>
    <s v="Regular"/>
    <x v="5"/>
    <x v="3"/>
    <x v="3"/>
    <x v="2"/>
    <x v="2"/>
    <x v="0"/>
    <x v="2"/>
    <x v="0"/>
    <n v="0"/>
    <n v="0"/>
    <n v="13.048999999999999"/>
    <n v="4.3061699999999998"/>
    <n v="13.048999999999999"/>
    <n v="4.3061699999999998"/>
    <n v="0"/>
    <s v="CATIVO"/>
    <n v="0"/>
    <n v="0"/>
    <n v="58"/>
    <n v="101"/>
    <n v="0"/>
    <n v="187.79"/>
    <n v="205.9"/>
    <m/>
    <n v="222.93864377382519"/>
    <n v="199.19027968358265"/>
    <n v="0"/>
    <n v="5064.2164227000003"/>
    <n v="0"/>
    <n v="4899.7536817189675"/>
    <x v="4"/>
  </r>
  <r>
    <s v="Sistema de Compensação"/>
    <x v="5"/>
    <x v="3"/>
    <x v="3"/>
    <x v="2"/>
    <x v="2"/>
    <x v="0"/>
    <x v="2"/>
    <x v="0"/>
    <n v="0"/>
    <n v="0"/>
    <n v="2.379"/>
    <n v="0.78507000000000005"/>
    <n v="2.379"/>
    <n v="0.78507000000000005"/>
    <n v="0"/>
    <s v="CATIVO"/>
    <n v="0"/>
    <n v="0"/>
    <n v="58"/>
    <n v="101"/>
    <n v="0"/>
    <n v="187.79"/>
    <n v="205.9"/>
    <m/>
    <n v="222.93864377382519"/>
    <n v="199.19027968358265"/>
    <n v="0"/>
    <n v="923.27158169999996"/>
    <n v="0"/>
    <n v="893.28791545784532"/>
    <x v="4"/>
  </r>
  <r>
    <s v="Regular"/>
    <x v="5"/>
    <x v="3"/>
    <x v="3"/>
    <x v="2"/>
    <x v="2"/>
    <x v="0"/>
    <x v="2"/>
    <x v="1"/>
    <n v="0"/>
    <n v="0"/>
    <n v="17.673999999999999"/>
    <n v="5.8324199999999999"/>
    <n v="17.673999999999999"/>
    <n v="5.8324199999999999"/>
    <n v="0"/>
    <s v="CATIVO"/>
    <n v="0"/>
    <n v="0"/>
    <n v="58"/>
    <n v="101"/>
    <n v="0"/>
    <n v="187.79"/>
    <n v="205.9"/>
    <m/>
    <n v="222.93864377382519"/>
    <n v="199.19027968358265"/>
    <n v="0"/>
    <n v="6859.143310200001"/>
    <n v="0"/>
    <n v="6636.389498865894"/>
    <x v="4"/>
  </r>
  <r>
    <s v="Sistema de Compensação"/>
    <x v="5"/>
    <x v="3"/>
    <x v="3"/>
    <x v="2"/>
    <x v="2"/>
    <x v="0"/>
    <x v="2"/>
    <x v="1"/>
    <n v="0"/>
    <n v="0"/>
    <n v="1.8080000000000001"/>
    <n v="0.59663999999999995"/>
    <n v="1.8080000000000001"/>
    <n v="0.59663999999999995"/>
    <n v="0"/>
    <s v="CATIVO"/>
    <n v="0"/>
    <n v="0"/>
    <n v="58"/>
    <n v="101"/>
    <n v="0"/>
    <n v="187.79"/>
    <n v="205.9"/>
    <m/>
    <n v="222.93864377382519"/>
    <n v="199.19027968358265"/>
    <n v="0"/>
    <n v="701.67087839999999"/>
    <n v="0"/>
    <n v="678.88379619494935"/>
    <x v="4"/>
  </r>
  <r>
    <s v="Regular"/>
    <x v="5"/>
    <x v="3"/>
    <x v="3"/>
    <x v="2"/>
    <x v="2"/>
    <x v="0"/>
    <x v="2"/>
    <x v="2"/>
    <n v="0"/>
    <n v="0"/>
    <n v="3.8290000000000002"/>
    <n v="1.2635700000000001"/>
    <n v="3.8290000000000002"/>
    <n v="1.2635700000000001"/>
    <n v="0"/>
    <s v="CATIVO"/>
    <n v="0"/>
    <n v="0"/>
    <n v="58"/>
    <n v="101"/>
    <n v="0"/>
    <n v="187.79"/>
    <n v="205.9"/>
    <m/>
    <n v="222.93864377382519"/>
    <n v="199.19027968358265"/>
    <n v="0"/>
    <n v="1486.0054167000001"/>
    <n v="0"/>
    <n v="1437.7467121849895"/>
    <x v="4"/>
  </r>
  <r>
    <s v="Regular"/>
    <x v="5"/>
    <x v="3"/>
    <x v="3"/>
    <x v="2"/>
    <x v="2"/>
    <x v="0"/>
    <x v="2"/>
    <x v="3"/>
    <n v="0"/>
    <n v="0"/>
    <n v="4.1340000000000003"/>
    <n v="1.36422"/>
    <n v="4.1340000000000003"/>
    <n v="1.36422"/>
    <n v="0"/>
    <s v="CATIVO"/>
    <n v="0"/>
    <n v="0"/>
    <n v="58"/>
    <n v="101"/>
    <n v="0"/>
    <n v="187.79"/>
    <n v="205.9"/>
    <m/>
    <n v="222.93864377382519"/>
    <n v="199.19027968358265"/>
    <n v="0"/>
    <n v="1604.3735682000004"/>
    <n v="0"/>
    <n v="1552.2708039103545"/>
    <x v="4"/>
  </r>
  <r>
    <s v="Regular"/>
    <x v="5"/>
    <x v="3"/>
    <x v="3"/>
    <x v="2"/>
    <x v="2"/>
    <x v="0"/>
    <x v="2"/>
    <x v="4"/>
    <n v="0"/>
    <n v="0"/>
    <n v="3.5939999999999999"/>
    <n v="1.1860200000000001"/>
    <n v="3.5939999999999999"/>
    <n v="1.1860200000000001"/>
    <n v="0"/>
    <s v="CATIVO"/>
    <n v="0"/>
    <n v="0"/>
    <n v="58"/>
    <n v="101"/>
    <n v="0"/>
    <n v="187.79"/>
    <n v="205.9"/>
    <m/>
    <n v="222.93864377382519"/>
    <n v="199.19027968358265"/>
    <n v="0"/>
    <n v="1394.8037262"/>
    <n v="0"/>
    <n v="1349.506838232659"/>
    <x v="4"/>
  </r>
  <r>
    <s v="Regular"/>
    <x v="5"/>
    <x v="3"/>
    <x v="3"/>
    <x v="2"/>
    <x v="2"/>
    <x v="0"/>
    <x v="2"/>
    <x v="5"/>
    <n v="0"/>
    <n v="0"/>
    <n v="2.4689999999999999"/>
    <n v="0.81476999999999999"/>
    <n v="2.4689999999999999"/>
    <n v="0.81476999999999999"/>
    <n v="0"/>
    <s v="CATIVO"/>
    <n v="0"/>
    <n v="0"/>
    <n v="58"/>
    <n v="101"/>
    <n v="0"/>
    <n v="187.79"/>
    <n v="205.9"/>
    <m/>
    <n v="222.93864377382519"/>
    <n v="199.19027968358265"/>
    <n v="0"/>
    <n v="958.19988869999997"/>
    <n v="0"/>
    <n v="927.08190973746116"/>
    <x v="4"/>
  </r>
  <r>
    <s v="Regular"/>
    <x v="5"/>
    <x v="3"/>
    <x v="3"/>
    <x v="2"/>
    <x v="2"/>
    <x v="0"/>
    <x v="2"/>
    <x v="6"/>
    <n v="0"/>
    <n v="0"/>
    <n v="1.161"/>
    <n v="0.38313000000000003"/>
    <n v="1.161"/>
    <n v="0.38313000000000003"/>
    <n v="0"/>
    <s v="CATIVO"/>
    <n v="0"/>
    <n v="0"/>
    <n v="58"/>
    <n v="101"/>
    <n v="0"/>
    <n v="187.79"/>
    <n v="205.9"/>
    <m/>
    <n v="222.93864377382519"/>
    <n v="199.19027968358265"/>
    <n v="0"/>
    <n v="450.57516030000005"/>
    <n v="0"/>
    <n v="435.94252620704441"/>
    <x v="4"/>
  </r>
  <r>
    <s v="Regular"/>
    <x v="5"/>
    <x v="3"/>
    <x v="3"/>
    <x v="2"/>
    <x v="2"/>
    <x v="0"/>
    <x v="2"/>
    <x v="7"/>
    <n v="0"/>
    <n v="0"/>
    <n v="1.4610000000000001"/>
    <n v="0.48213"/>
    <n v="1.4610000000000001"/>
    <n v="0.48213"/>
    <n v="0"/>
    <s v="CATIVO"/>
    <n v="0"/>
    <n v="0"/>
    <n v="58"/>
    <n v="101"/>
    <n v="0"/>
    <n v="187.79"/>
    <n v="205.9"/>
    <m/>
    <n v="222.93864377382519"/>
    <n v="199.19027968358265"/>
    <n v="0"/>
    <n v="567.00285030000009"/>
    <n v="0"/>
    <n v="548.58917380576395"/>
    <x v="4"/>
  </r>
  <r>
    <s v="Regular"/>
    <x v="5"/>
    <x v="3"/>
    <x v="3"/>
    <x v="2"/>
    <x v="2"/>
    <x v="0"/>
    <x v="2"/>
    <x v="8"/>
    <n v="0"/>
    <n v="0"/>
    <n v="3.0550000000000002"/>
    <n v="1.0081500000000001"/>
    <n v="3.0550000000000002"/>
    <n v="1.0081500000000001"/>
    <n v="0"/>
    <s v="CATIVO"/>
    <n v="0"/>
    <n v="0"/>
    <n v="58"/>
    <n v="101"/>
    <n v="0"/>
    <n v="187.79"/>
    <n v="205.9"/>
    <m/>
    <n v="222.93864377382519"/>
    <n v="199.19027968358265"/>
    <n v="0"/>
    <n v="1185.6219765000001"/>
    <n v="0"/>
    <n v="1147.1183613802932"/>
    <x v="4"/>
  </r>
  <r>
    <s v="Sistema de Compensação"/>
    <x v="5"/>
    <x v="3"/>
    <x v="3"/>
    <x v="2"/>
    <x v="2"/>
    <x v="0"/>
    <x v="2"/>
    <x v="8"/>
    <n v="0"/>
    <n v="0"/>
    <n v="1.7030000000000001"/>
    <n v="0.56198999999999999"/>
    <n v="1.7030000000000001"/>
    <n v="0.56198999999999999"/>
    <n v="0"/>
    <s v="CATIVO"/>
    <n v="0"/>
    <n v="0"/>
    <n v="58"/>
    <n v="101"/>
    <n v="0"/>
    <n v="187.79"/>
    <n v="205.9"/>
    <m/>
    <n v="222.93864377382519"/>
    <n v="199.19027968358265"/>
    <n v="0"/>
    <n v="660.92118690000007"/>
    <n v="0"/>
    <n v="639.45746953539765"/>
    <x v="4"/>
  </r>
  <r>
    <s v="Regular"/>
    <x v="5"/>
    <x v="3"/>
    <x v="3"/>
    <x v="2"/>
    <x v="2"/>
    <x v="0"/>
    <x v="2"/>
    <x v="9"/>
    <n v="0"/>
    <n v="0"/>
    <n v="3.7679999999999998"/>
    <n v="1.2434400000000001"/>
    <n v="3.7679999999999998"/>
    <n v="1.2434400000000001"/>
    <n v="0"/>
    <s v="CATIVO"/>
    <n v="0"/>
    <n v="0"/>
    <n v="58"/>
    <n v="101"/>
    <n v="0"/>
    <n v="187.79"/>
    <n v="205.9"/>
    <m/>
    <n v="222.93864377382519"/>
    <n v="199.19027968358265"/>
    <n v="0"/>
    <n v="1462.3317864000001"/>
    <n v="0"/>
    <n v="1414.8418938399163"/>
    <x v="4"/>
  </r>
  <r>
    <s v="Sistema de Compensação"/>
    <x v="5"/>
    <x v="3"/>
    <x v="3"/>
    <x v="2"/>
    <x v="2"/>
    <x v="0"/>
    <x v="2"/>
    <x v="9"/>
    <n v="0"/>
    <n v="0"/>
    <n v="0.31900000000000001"/>
    <n v="0.10527"/>
    <n v="0.31900000000000001"/>
    <n v="0.10527"/>
    <n v="0"/>
    <s v="CATIVO"/>
    <n v="0"/>
    <n v="0"/>
    <n v="58"/>
    <n v="101"/>
    <n v="0"/>
    <n v="187.79"/>
    <n v="205.9"/>
    <m/>
    <n v="222.93864377382519"/>
    <n v="199.19027968358265"/>
    <n v="0"/>
    <n v="123.80144369999999"/>
    <n v="0"/>
    <n v="119.78093527997171"/>
    <x v="4"/>
  </r>
  <r>
    <s v="Regular"/>
    <x v="5"/>
    <x v="3"/>
    <x v="3"/>
    <x v="2"/>
    <x v="2"/>
    <x v="0"/>
    <x v="2"/>
    <x v="10"/>
    <n v="0"/>
    <n v="0"/>
    <n v="11.41"/>
    <n v="3.7652999999999999"/>
    <n v="11.41"/>
    <n v="3.7652999999999999"/>
    <n v="0"/>
    <s v="CATIVO"/>
    <n v="0"/>
    <n v="0"/>
    <n v="58"/>
    <n v="101"/>
    <n v="0"/>
    <n v="187.79"/>
    <n v="205.9"/>
    <m/>
    <n v="222.93864377382519"/>
    <n v="199.19027968358265"/>
    <n v="0"/>
    <n v="4428.133143"/>
    <n v="0"/>
    <n v="4284.3274970046314"/>
    <x v="4"/>
  </r>
  <r>
    <s v="PROJETADO"/>
    <x v="5"/>
    <x v="3"/>
    <x v="3"/>
    <x v="2"/>
    <x v="2"/>
    <x v="0"/>
    <x v="2"/>
    <x v="11"/>
    <n v="0"/>
    <n v="0"/>
    <n v="11.41"/>
    <n v="3.7652999999999999"/>
    <n v="11.41"/>
    <n v="3.7652999999999999"/>
    <n v="0"/>
    <s v="CATIVO"/>
    <n v="0"/>
    <n v="0"/>
    <n v="58"/>
    <n v="101"/>
    <n v="0"/>
    <n v="187.79"/>
    <n v="205.9"/>
    <m/>
    <n v="222.93864377382519"/>
    <n v="199.19027968358265"/>
    <n v="0"/>
    <n v="4428.133143"/>
    <n v="0"/>
    <n v="4284.3274970046314"/>
    <x v="4"/>
  </r>
  <r>
    <s v="Regular"/>
    <x v="5"/>
    <x v="3"/>
    <x v="3"/>
    <x v="1"/>
    <x v="0"/>
    <x v="0"/>
    <x v="2"/>
    <x v="0"/>
    <n v="0"/>
    <n v="0"/>
    <n v="7720.8940000000002"/>
    <n v="7720.8940000000002"/>
    <n v="7720.8940000000002"/>
    <n v="7720.8940000000002"/>
    <n v="10456"/>
    <s v="CATIVO"/>
    <n v="0"/>
    <n v="0"/>
    <n v="58"/>
    <n v="101"/>
    <n v="0"/>
    <n v="187.79"/>
    <n v="205.9"/>
    <m/>
    <n v="222.93864377382519"/>
    <n v="199.19027968358265"/>
    <n v="0"/>
    <n v="959861.54208000016"/>
    <n v="0"/>
    <n v="715436.92807655642"/>
    <x v="3"/>
  </r>
  <r>
    <s v="Refaturamento - Regular"/>
    <x v="5"/>
    <x v="3"/>
    <x v="3"/>
    <x v="1"/>
    <x v="0"/>
    <x v="0"/>
    <x v="2"/>
    <x v="0"/>
    <n v="0"/>
    <n v="0"/>
    <n v="42.47"/>
    <n v="42.47"/>
    <n v="42.47"/>
    <n v="42.47"/>
    <n v="3"/>
    <s v="CATIVO"/>
    <n v="0"/>
    <n v="0"/>
    <n v="58"/>
    <n v="101"/>
    <n v="0"/>
    <n v="187.79"/>
    <n v="205.9"/>
    <m/>
    <n v="222.93864377382519"/>
    <n v="199.19027968358265"/>
    <n v="0"/>
    <n v="5279.8704000000007"/>
    <n v="0"/>
    <n v="3935.3741076371921"/>
    <x v="3"/>
  </r>
  <r>
    <s v="Sistema de Compensação"/>
    <x v="5"/>
    <x v="3"/>
    <x v="3"/>
    <x v="1"/>
    <x v="0"/>
    <x v="0"/>
    <x v="2"/>
    <x v="0"/>
    <n v="0"/>
    <n v="0"/>
    <n v="50.860999999999997"/>
    <n v="50.860999999999997"/>
    <n v="50.860999999999997"/>
    <n v="50.860999999999997"/>
    <n v="37"/>
    <s v="CATIVO"/>
    <n v="0"/>
    <n v="0"/>
    <n v="58"/>
    <n v="101"/>
    <n v="0"/>
    <n v="187.79"/>
    <n v="205.9"/>
    <m/>
    <n v="222.93864377382519"/>
    <n v="199.19027968358265"/>
    <n v="0"/>
    <n v="6323.0395200000012"/>
    <n v="0"/>
    <n v="4712.9046971635325"/>
    <x v="3"/>
  </r>
  <r>
    <s v="Regular"/>
    <x v="5"/>
    <x v="3"/>
    <x v="3"/>
    <x v="1"/>
    <x v="0"/>
    <x v="0"/>
    <x v="2"/>
    <x v="1"/>
    <n v="0"/>
    <n v="0"/>
    <n v="7581.4989999999998"/>
    <n v="7581.4989999999998"/>
    <n v="7581.4989999999998"/>
    <n v="7581.4989999999998"/>
    <n v="10432"/>
    <s v="CATIVO"/>
    <n v="0"/>
    <n v="0"/>
    <n v="58"/>
    <n v="101"/>
    <n v="0"/>
    <n v="187.79"/>
    <n v="205.9"/>
    <m/>
    <n v="222.93864377382519"/>
    <n v="199.19027968358265"/>
    <n v="0"/>
    <n v="942531.95568000013"/>
    <n v="0"/>
    <n v="702520.24633099278"/>
    <x v="3"/>
  </r>
  <r>
    <s v="Refaturamento - Regular"/>
    <x v="5"/>
    <x v="3"/>
    <x v="3"/>
    <x v="1"/>
    <x v="0"/>
    <x v="0"/>
    <x v="2"/>
    <x v="1"/>
    <n v="0"/>
    <n v="0"/>
    <n v="4.6390000000000002"/>
    <n v="4.6390000000000002"/>
    <n v="4.6390000000000002"/>
    <n v="4.6390000000000002"/>
    <n v="2"/>
    <s v="CATIVO"/>
    <n v="0"/>
    <n v="0"/>
    <n v="58"/>
    <n v="101"/>
    <n v="0"/>
    <n v="187.79"/>
    <n v="205.9"/>
    <m/>
    <n v="222.93864377382519"/>
    <n v="199.19027968358265"/>
    <n v="0"/>
    <n v="576.72048000000018"/>
    <n v="0"/>
    <n v="429.8610898358591"/>
    <x v="3"/>
  </r>
  <r>
    <s v="Sistema de Compensação"/>
    <x v="5"/>
    <x v="3"/>
    <x v="3"/>
    <x v="1"/>
    <x v="0"/>
    <x v="0"/>
    <x v="2"/>
    <x v="1"/>
    <n v="0"/>
    <n v="0"/>
    <n v="58.378999999999998"/>
    <n v="58.378999999999998"/>
    <n v="58.378999999999998"/>
    <n v="58.378999999999998"/>
    <n v="37"/>
    <s v="CATIVO"/>
    <n v="0"/>
    <n v="0"/>
    <n v="58"/>
    <n v="101"/>
    <n v="0"/>
    <n v="187.79"/>
    <n v="205.9"/>
    <m/>
    <n v="222.93864377382519"/>
    <n v="199.19027968358265"/>
    <n v="0"/>
    <n v="7257.6772800000008"/>
    <n v="0"/>
    <n v="5409.5409707970721"/>
    <x v="3"/>
  </r>
  <r>
    <s v="Sistema de Compensação"/>
    <x v="5"/>
    <x v="3"/>
    <x v="3"/>
    <x v="1"/>
    <x v="0"/>
    <x v="0"/>
    <x v="2"/>
    <x v="1"/>
    <n v="0"/>
    <n v="0"/>
    <n v="18.405999999999999"/>
    <n v="18.405999999999999"/>
    <n v="18.405999999999999"/>
    <n v="18.405999999999999"/>
    <n v="1"/>
    <s v="CATIVO"/>
    <n v="0"/>
    <n v="0"/>
    <n v="58"/>
    <n v="101"/>
    <n v="0"/>
    <n v="187.79"/>
    <n v="205.9"/>
    <m/>
    <n v="222.93864377382519"/>
    <n v="199.19027968358265"/>
    <n v="0"/>
    <n v="2288.2339200000001"/>
    <n v="0"/>
    <n v="1705.5449923515459"/>
    <x v="3"/>
  </r>
  <r>
    <s v="Regular"/>
    <x v="5"/>
    <x v="3"/>
    <x v="3"/>
    <x v="1"/>
    <x v="0"/>
    <x v="0"/>
    <x v="2"/>
    <x v="2"/>
    <n v="0"/>
    <n v="0"/>
    <n v="6202.0659999999998"/>
    <n v="6202.0659999999998"/>
    <n v="6202.0659999999998"/>
    <n v="6202.0659999999998"/>
    <n v="10445"/>
    <s v="CATIVO"/>
    <n v="0"/>
    <n v="0"/>
    <n v="58"/>
    <n v="101"/>
    <n v="0"/>
    <n v="187.79"/>
    <n v="205.9"/>
    <m/>
    <n v="222.93864377382519"/>
    <n v="199.19027968358265"/>
    <n v="0"/>
    <n v="771040.84512000007"/>
    <n v="0"/>
    <n v="574698.60961283185"/>
    <x v="3"/>
  </r>
  <r>
    <s v="Refaturamento - Regular"/>
    <x v="5"/>
    <x v="3"/>
    <x v="3"/>
    <x v="1"/>
    <x v="0"/>
    <x v="0"/>
    <x v="2"/>
    <x v="2"/>
    <n v="0"/>
    <n v="0"/>
    <n v="64.376000000000005"/>
    <n v="64.376000000000005"/>
    <n v="64.376000000000005"/>
    <n v="64.376000000000005"/>
    <n v="3"/>
    <s v="CATIVO"/>
    <n v="0"/>
    <n v="0"/>
    <n v="58"/>
    <n v="101"/>
    <n v="0"/>
    <n v="187.79"/>
    <n v="205.9"/>
    <m/>
    <n v="222.93864377382519"/>
    <n v="199.19027968358265"/>
    <n v="0"/>
    <n v="8003.2243200000021"/>
    <n v="0"/>
    <n v="5965.2376631328443"/>
    <x v="3"/>
  </r>
  <r>
    <s v="Sistema de Compensação"/>
    <x v="5"/>
    <x v="3"/>
    <x v="3"/>
    <x v="1"/>
    <x v="0"/>
    <x v="0"/>
    <x v="2"/>
    <x v="2"/>
    <n v="0"/>
    <n v="0"/>
    <n v="33.963000000000001"/>
    <n v="33.963000000000001"/>
    <n v="33.963000000000001"/>
    <n v="33.963000000000001"/>
    <n v="37"/>
    <s v="CATIVO"/>
    <n v="0"/>
    <n v="0"/>
    <n v="58"/>
    <n v="101"/>
    <n v="0"/>
    <n v="187.79"/>
    <n v="205.9"/>
    <m/>
    <n v="222.93864377382519"/>
    <n v="199.19027968358265"/>
    <n v="0"/>
    <n v="4222.2801600000012"/>
    <n v="0"/>
    <n v="3147.0946743037903"/>
    <x v="3"/>
  </r>
  <r>
    <s v="Regular"/>
    <x v="5"/>
    <x v="3"/>
    <x v="3"/>
    <x v="1"/>
    <x v="0"/>
    <x v="0"/>
    <x v="2"/>
    <x v="3"/>
    <n v="0"/>
    <n v="0"/>
    <n v="6740.6080000000002"/>
    <n v="6740.6080000000002"/>
    <n v="6740.6080000000002"/>
    <n v="6740.6080000000002"/>
    <n v="10125"/>
    <s v="CATIVO"/>
    <n v="0"/>
    <n v="0"/>
    <n v="58"/>
    <n v="101"/>
    <n v="0"/>
    <n v="187.79"/>
    <n v="205.9"/>
    <m/>
    <n v="222.93864377382519"/>
    <n v="199.19027968358265"/>
    <n v="0"/>
    <n v="837992.38656000013"/>
    <n v="0"/>
    <n v="624601.22893647559"/>
    <x v="3"/>
  </r>
  <r>
    <s v="Refaturamento - Regular"/>
    <x v="5"/>
    <x v="3"/>
    <x v="3"/>
    <x v="1"/>
    <x v="0"/>
    <x v="0"/>
    <x v="2"/>
    <x v="3"/>
    <n v="0"/>
    <n v="0"/>
    <n v="20.719000000000001"/>
    <n v="20.719000000000001"/>
    <n v="20.719000000000001"/>
    <n v="20.719000000000001"/>
    <n v="9"/>
    <s v="CATIVO"/>
    <n v="0"/>
    <n v="0"/>
    <n v="58"/>
    <n v="101"/>
    <n v="0"/>
    <n v="187.79"/>
    <n v="205.9"/>
    <m/>
    <n v="222.93864377382519"/>
    <n v="199.19027968358265"/>
    <n v="0"/>
    <n v="2575.7860800000008"/>
    <n v="0"/>
    <n v="1919.8732313664939"/>
    <x v="3"/>
  </r>
  <r>
    <s v="Sistema de Compensação"/>
    <x v="5"/>
    <x v="3"/>
    <x v="3"/>
    <x v="1"/>
    <x v="0"/>
    <x v="0"/>
    <x v="2"/>
    <x v="3"/>
    <n v="0"/>
    <n v="0"/>
    <n v="29.292999999999999"/>
    <n v="29.292999999999999"/>
    <n v="29.292999999999999"/>
    <n v="29.292999999999999"/>
    <n v="39"/>
    <s v="CATIVO"/>
    <n v="0"/>
    <n v="0"/>
    <n v="58"/>
    <n v="101"/>
    <n v="0"/>
    <n v="187.79"/>
    <n v="205.9"/>
    <m/>
    <n v="222.93864377382519"/>
    <n v="199.19027968358265"/>
    <n v="0"/>
    <n v="3641.7057600000007"/>
    <n v="0"/>
    <n v="2714.3610486229404"/>
    <x v="3"/>
  </r>
  <r>
    <s v="Regular"/>
    <x v="5"/>
    <x v="3"/>
    <x v="3"/>
    <x v="1"/>
    <x v="0"/>
    <x v="0"/>
    <x v="2"/>
    <x v="4"/>
    <n v="0"/>
    <n v="0"/>
    <n v="3066.2669999999998"/>
    <n v="3066.2669999999998"/>
    <n v="3066.2669999999998"/>
    <n v="3066.2669999999998"/>
    <n v="4423"/>
    <s v="CATIVO"/>
    <n v="0"/>
    <n v="0"/>
    <n v="58"/>
    <n v="101"/>
    <n v="0"/>
    <n v="187.79"/>
    <n v="205.9"/>
    <m/>
    <n v="222.93864377382519"/>
    <n v="199.19027968358265"/>
    <n v="0"/>
    <n v="381198.31344000006"/>
    <n v="0"/>
    <n v="284127.80218748224"/>
    <x v="3"/>
  </r>
  <r>
    <s v="Refaturamento - Regular"/>
    <x v="5"/>
    <x v="3"/>
    <x v="3"/>
    <x v="1"/>
    <x v="0"/>
    <x v="0"/>
    <x v="2"/>
    <x v="4"/>
    <n v="0"/>
    <n v="0"/>
    <n v="119.587"/>
    <n v="119.587"/>
    <n v="119.587"/>
    <n v="119.587"/>
    <n v="59"/>
    <s v="CATIVO"/>
    <n v="0"/>
    <n v="0"/>
    <n v="58"/>
    <n v="101"/>
    <n v="0"/>
    <n v="187.79"/>
    <n v="205.9"/>
    <m/>
    <n v="222.93864377382519"/>
    <n v="199.19027968358265"/>
    <n v="0"/>
    <n v="14867.055840000003"/>
    <n v="0"/>
    <n v="11081.224003061194"/>
    <x v="3"/>
  </r>
  <r>
    <s v="Sistema de Compensação"/>
    <x v="5"/>
    <x v="3"/>
    <x v="3"/>
    <x v="1"/>
    <x v="0"/>
    <x v="0"/>
    <x v="2"/>
    <x v="4"/>
    <n v="0"/>
    <n v="0"/>
    <n v="35.061999999999998"/>
    <n v="35.061999999999998"/>
    <n v="35.061999999999998"/>
    <n v="35.061999999999998"/>
    <n v="33"/>
    <s v="CATIVO"/>
    <n v="0"/>
    <n v="0"/>
    <n v="58"/>
    <n v="101"/>
    <n v="0"/>
    <n v="187.79"/>
    <n v="205.9"/>
    <m/>
    <n v="222.93864377382519"/>
    <n v="199.19027968358265"/>
    <n v="0"/>
    <n v="4358.9078400000008"/>
    <n v="0"/>
    <n v="3248.9307031310391"/>
    <x v="3"/>
  </r>
  <r>
    <s v="Regular"/>
    <x v="5"/>
    <x v="3"/>
    <x v="3"/>
    <x v="1"/>
    <x v="0"/>
    <x v="0"/>
    <x v="2"/>
    <x v="5"/>
    <n v="0"/>
    <n v="0"/>
    <n v="5807.4170000000004"/>
    <n v="5807.4170000000004"/>
    <n v="5807.4170000000004"/>
    <n v="5807.4170000000004"/>
    <n v="9583"/>
    <s v="CATIVO"/>
    <n v="0"/>
    <n v="0"/>
    <n v="58"/>
    <n v="101"/>
    <n v="0"/>
    <n v="187.79"/>
    <n v="205.9"/>
    <m/>
    <n v="222.93864377382519"/>
    <n v="199.19027968358265"/>
    <n v="0"/>
    <n v="721978.08144000021"/>
    <n v="0"/>
    <n v="538129.46771961532"/>
    <x v="3"/>
  </r>
  <r>
    <s v="Refaturamento - Regular"/>
    <x v="5"/>
    <x v="3"/>
    <x v="3"/>
    <x v="1"/>
    <x v="0"/>
    <x v="0"/>
    <x v="2"/>
    <x v="5"/>
    <n v="0"/>
    <n v="0"/>
    <n v="179.71700000000001"/>
    <n v="179.71700000000001"/>
    <n v="179.71700000000001"/>
    <n v="179.71700000000001"/>
    <n v="34"/>
    <s v="CATIVO"/>
    <n v="0"/>
    <n v="0"/>
    <n v="58"/>
    <n v="101"/>
    <n v="0"/>
    <n v="187.79"/>
    <n v="205.9"/>
    <m/>
    <n v="222.93864377382519"/>
    <n v="199.19027968358265"/>
    <n v="0"/>
    <n v="22342.417440000005"/>
    <n v="0"/>
    <n v="16653.016917876932"/>
    <x v="3"/>
  </r>
  <r>
    <s v="Sistema de Compensação"/>
    <x v="5"/>
    <x v="3"/>
    <x v="3"/>
    <x v="1"/>
    <x v="0"/>
    <x v="0"/>
    <x v="2"/>
    <x v="5"/>
    <n v="0"/>
    <n v="0"/>
    <n v="33.993000000000002"/>
    <n v="33.993000000000002"/>
    <n v="33.993000000000002"/>
    <n v="33.993000000000002"/>
    <n v="35"/>
    <s v="CATIVO"/>
    <n v="0"/>
    <n v="0"/>
    <n v="58"/>
    <n v="101"/>
    <n v="0"/>
    <n v="187.79"/>
    <n v="205.9"/>
    <m/>
    <n v="222.93864377382519"/>
    <n v="199.19027968358265"/>
    <n v="0"/>
    <n v="4226.0097600000008"/>
    <n v="0"/>
    <n v="3149.8745477021685"/>
    <x v="3"/>
  </r>
  <r>
    <s v="Sistema de Compensação"/>
    <x v="5"/>
    <x v="3"/>
    <x v="3"/>
    <x v="1"/>
    <x v="0"/>
    <x v="0"/>
    <x v="2"/>
    <x v="5"/>
    <n v="0"/>
    <n v="0"/>
    <n v="6.673"/>
    <n v="6.673"/>
    <n v="6.673"/>
    <n v="6.673"/>
    <n v="0"/>
    <s v="CATIVO"/>
    <n v="0"/>
    <n v="0"/>
    <n v="58"/>
    <n v="101"/>
    <n v="0"/>
    <n v="187.79"/>
    <n v="205.9"/>
    <m/>
    <n v="222.93864377382519"/>
    <n v="199.19027968358265"/>
    <n v="0"/>
    <n v="829.5873600000001"/>
    <n v="0"/>
    <n v="618.33650624589086"/>
    <x v="3"/>
  </r>
  <r>
    <s v="Regular"/>
    <x v="5"/>
    <x v="3"/>
    <x v="3"/>
    <x v="1"/>
    <x v="0"/>
    <x v="0"/>
    <x v="2"/>
    <x v="6"/>
    <n v="0"/>
    <n v="0"/>
    <n v="6744.4669999999996"/>
    <n v="6744.4669999999996"/>
    <n v="6744.4669999999996"/>
    <n v="6744.4669999999996"/>
    <n v="10431"/>
    <s v="CATIVO"/>
    <n v="0"/>
    <n v="0"/>
    <n v="58"/>
    <n v="101"/>
    <n v="0"/>
    <n v="187.79"/>
    <n v="205.9"/>
    <m/>
    <n v="222.93864377382519"/>
    <n v="199.19027968358265"/>
    <n v="0"/>
    <n v="838472.13744000008"/>
    <n v="0"/>
    <n v="624958.81331795361"/>
    <x v="3"/>
  </r>
  <r>
    <s v="Refaturamento - Regular"/>
    <x v="5"/>
    <x v="3"/>
    <x v="3"/>
    <x v="1"/>
    <x v="0"/>
    <x v="0"/>
    <x v="2"/>
    <x v="6"/>
    <n v="0"/>
    <n v="0"/>
    <n v="86.701999999999998"/>
    <n v="86.701999999999998"/>
    <n v="86.701999999999998"/>
    <n v="86.701999999999998"/>
    <n v="3"/>
    <s v="CATIVO"/>
    <n v="0"/>
    <n v="0"/>
    <n v="58"/>
    <n v="101"/>
    <n v="0"/>
    <n v="187.79"/>
    <n v="205.9"/>
    <m/>
    <n v="222.93864377382519"/>
    <n v="199.19027968358265"/>
    <n v="0"/>
    <n v="10778.792640000001"/>
    <n v="0"/>
    <n v="8034.0194462057889"/>
    <x v="3"/>
  </r>
  <r>
    <s v="Sistema de Compensação"/>
    <x v="5"/>
    <x v="3"/>
    <x v="3"/>
    <x v="1"/>
    <x v="0"/>
    <x v="0"/>
    <x v="2"/>
    <x v="6"/>
    <n v="0"/>
    <n v="0"/>
    <n v="40.667999999999999"/>
    <n v="40.667999999999999"/>
    <n v="40.667999999999999"/>
    <n v="40.667999999999999"/>
    <n v="36"/>
    <s v="CATIVO"/>
    <n v="0"/>
    <n v="0"/>
    <n v="58"/>
    <n v="101"/>
    <n v="0"/>
    <n v="187.79"/>
    <n v="205.9"/>
    <m/>
    <n v="222.93864377382519"/>
    <n v="199.19027968358265"/>
    <n v="0"/>
    <n v="5055.8457600000011"/>
    <n v="0"/>
    <n v="3768.3963788412839"/>
    <x v="3"/>
  </r>
  <r>
    <s v="Regular"/>
    <x v="5"/>
    <x v="3"/>
    <x v="3"/>
    <x v="1"/>
    <x v="0"/>
    <x v="0"/>
    <x v="2"/>
    <x v="7"/>
    <n v="0"/>
    <n v="0"/>
    <n v="6967.4480000000003"/>
    <n v="6967.4480000000003"/>
    <n v="6967.4480000000003"/>
    <n v="6967.4480000000003"/>
    <n v="10429"/>
    <s v="CATIVO"/>
    <n v="0"/>
    <n v="0"/>
    <n v="58"/>
    <n v="101"/>
    <n v="0"/>
    <n v="187.79"/>
    <n v="205.9"/>
    <m/>
    <n v="222.93864377382519"/>
    <n v="199.19027968358265"/>
    <n v="0"/>
    <n v="866193.13536000019"/>
    <n v="0"/>
    <n v="645620.7783260782"/>
    <x v="3"/>
  </r>
  <r>
    <s v="Refaturamento - Regular"/>
    <x v="5"/>
    <x v="3"/>
    <x v="3"/>
    <x v="1"/>
    <x v="0"/>
    <x v="0"/>
    <x v="2"/>
    <x v="7"/>
    <n v="0"/>
    <n v="0"/>
    <n v="5.4370000000000003"/>
    <n v="5.4370000000000003"/>
    <n v="5.4370000000000003"/>
    <n v="5.4370000000000003"/>
    <n v="2"/>
    <s v="CATIVO"/>
    <n v="0"/>
    <n v="0"/>
    <n v="58"/>
    <n v="101"/>
    <n v="0"/>
    <n v="187.79"/>
    <n v="205.9"/>
    <m/>
    <n v="222.93864377382519"/>
    <n v="199.19027968358265"/>
    <n v="0"/>
    <n v="675.92784000000017"/>
    <n v="0"/>
    <n v="503.80572223271525"/>
    <x v="3"/>
  </r>
  <r>
    <s v="Sistema de Compensação"/>
    <x v="5"/>
    <x v="3"/>
    <x v="3"/>
    <x v="1"/>
    <x v="0"/>
    <x v="0"/>
    <x v="2"/>
    <x v="7"/>
    <n v="0"/>
    <n v="0"/>
    <n v="45.226999999999997"/>
    <n v="45.226999999999997"/>
    <n v="45.226999999999997"/>
    <n v="45.226999999999997"/>
    <n v="37"/>
    <s v="CATIVO"/>
    <n v="0"/>
    <n v="0"/>
    <n v="58"/>
    <n v="101"/>
    <n v="0"/>
    <n v="187.79"/>
    <n v="205.9"/>
    <m/>
    <n v="222.93864377382519"/>
    <n v="199.19027968358265"/>
    <n v="0"/>
    <n v="5622.620640000001"/>
    <n v="0"/>
    <n v="4190.8444729481344"/>
    <x v="3"/>
  </r>
  <r>
    <s v="Regular"/>
    <x v="5"/>
    <x v="3"/>
    <x v="3"/>
    <x v="1"/>
    <x v="0"/>
    <x v="0"/>
    <x v="2"/>
    <x v="8"/>
    <n v="0"/>
    <n v="0"/>
    <n v="6586.8239999999996"/>
    <n v="6586.8239999999996"/>
    <n v="6586.8239999999996"/>
    <n v="6586.8239999999996"/>
    <n v="10420"/>
    <s v="CATIVO"/>
    <n v="0"/>
    <n v="0"/>
    <n v="58"/>
    <n v="101"/>
    <n v="0"/>
    <n v="187.79"/>
    <n v="205.9"/>
    <m/>
    <n v="222.93864377382519"/>
    <n v="199.19027968358265"/>
    <n v="0"/>
    <n v="818873.95968000009"/>
    <n v="0"/>
    <n v="610351.22724660323"/>
    <x v="3"/>
  </r>
  <r>
    <s v="Refaturamento - Regular"/>
    <x v="5"/>
    <x v="3"/>
    <x v="3"/>
    <x v="1"/>
    <x v="0"/>
    <x v="0"/>
    <x v="2"/>
    <x v="8"/>
    <n v="0"/>
    <n v="0"/>
    <n v="9.1639999999999997"/>
    <n v="9.1639999999999997"/>
    <n v="9.1639999999999997"/>
    <n v="9.1639999999999997"/>
    <n v="4"/>
    <s v="CATIVO"/>
    <n v="0"/>
    <n v="0"/>
    <n v="58"/>
    <n v="101"/>
    <n v="0"/>
    <n v="187.79"/>
    <n v="205.9"/>
    <m/>
    <n v="222.93864377382519"/>
    <n v="199.19027968358265"/>
    <n v="0"/>
    <n v="1139.2684800000002"/>
    <n v="0"/>
    <n v="849.15866075788153"/>
    <x v="3"/>
  </r>
  <r>
    <s v="Sistema de Compensação"/>
    <x v="5"/>
    <x v="3"/>
    <x v="3"/>
    <x v="1"/>
    <x v="0"/>
    <x v="0"/>
    <x v="2"/>
    <x v="8"/>
    <n v="0"/>
    <n v="0"/>
    <n v="25.783000000000001"/>
    <n v="25.783000000000001"/>
    <n v="25.783000000000001"/>
    <n v="25.783000000000001"/>
    <n v="37"/>
    <s v="CATIVO"/>
    <n v="0"/>
    <n v="0"/>
    <n v="58"/>
    <n v="101"/>
    <n v="0"/>
    <n v="187.79"/>
    <n v="205.9"/>
    <m/>
    <n v="222.93864377382519"/>
    <n v="199.19027968358265"/>
    <n v="0"/>
    <n v="3205.3425600000005"/>
    <n v="0"/>
    <n v="2389.1158610127086"/>
    <x v="3"/>
  </r>
  <r>
    <s v="Regular"/>
    <x v="5"/>
    <x v="3"/>
    <x v="3"/>
    <x v="1"/>
    <x v="0"/>
    <x v="0"/>
    <x v="2"/>
    <x v="9"/>
    <n v="0"/>
    <n v="0"/>
    <n v="6982.9350000000004"/>
    <n v="6982.9350000000004"/>
    <n v="6982.9350000000004"/>
    <n v="6982.9350000000004"/>
    <n v="10416"/>
    <s v="CATIVO"/>
    <n v="0"/>
    <n v="0"/>
    <n v="58"/>
    <n v="101"/>
    <n v="0"/>
    <n v="187.79"/>
    <n v="205.9"/>
    <m/>
    <n v="222.93864377382519"/>
    <n v="199.19027968358265"/>
    <n v="0"/>
    <n v="868118.47920000018"/>
    <n v="0"/>
    <n v="647055.84163676761"/>
    <x v="3"/>
  </r>
  <r>
    <s v="Refaturamento - Regular"/>
    <x v="5"/>
    <x v="3"/>
    <x v="3"/>
    <x v="1"/>
    <x v="0"/>
    <x v="0"/>
    <x v="2"/>
    <x v="9"/>
    <n v="0"/>
    <n v="0"/>
    <n v="19.53"/>
    <n v="19.53"/>
    <n v="19.53"/>
    <n v="19.53"/>
    <n v="8"/>
    <s v="CATIVO"/>
    <n v="0"/>
    <n v="0"/>
    <n v="58"/>
    <n v="101"/>
    <n v="0"/>
    <n v="187.79"/>
    <n v="205.9"/>
    <m/>
    <n v="222.93864377382519"/>
    <n v="199.19027968358265"/>
    <n v="0"/>
    <n v="2427.9696000000004"/>
    <n v="0"/>
    <n v="1809.6975823441105"/>
    <x v="3"/>
  </r>
  <r>
    <s v="Sistema de Compensação"/>
    <x v="5"/>
    <x v="3"/>
    <x v="3"/>
    <x v="1"/>
    <x v="0"/>
    <x v="0"/>
    <x v="2"/>
    <x v="9"/>
    <n v="0"/>
    <n v="0"/>
    <n v="23.128"/>
    <n v="23.128"/>
    <n v="23.128"/>
    <n v="23.128"/>
    <n v="36"/>
    <s v="CATIVO"/>
    <n v="0"/>
    <n v="0"/>
    <n v="58"/>
    <n v="101"/>
    <n v="0"/>
    <n v="187.79"/>
    <n v="205.9"/>
    <m/>
    <n v="222.93864377382519"/>
    <n v="199.19027968358265"/>
    <n v="0"/>
    <n v="2875.2729600000007"/>
    <n v="0"/>
    <n v="2143.097065256251"/>
    <x v="3"/>
  </r>
  <r>
    <s v="Regular"/>
    <x v="5"/>
    <x v="3"/>
    <x v="3"/>
    <x v="1"/>
    <x v="0"/>
    <x v="0"/>
    <x v="2"/>
    <x v="10"/>
    <n v="0"/>
    <n v="0"/>
    <n v="7965.4070000000002"/>
    <n v="7965.4070000000002"/>
    <n v="7965.4070000000002"/>
    <n v="7965.4070000000002"/>
    <n v="10423"/>
    <s v="CATIVO"/>
    <n v="0"/>
    <n v="0"/>
    <n v="58"/>
    <n v="101"/>
    <n v="0"/>
    <n v="187.79"/>
    <n v="205.9"/>
    <m/>
    <n v="222.93864377382519"/>
    <n v="199.19027968358265"/>
    <n v="0"/>
    <n v="990259.39824000024"/>
    <n v="0"/>
    <n v="738094.1008851435"/>
    <x v="3"/>
  </r>
  <r>
    <s v="Refaturamento - Regular"/>
    <x v="5"/>
    <x v="3"/>
    <x v="3"/>
    <x v="1"/>
    <x v="0"/>
    <x v="0"/>
    <x v="2"/>
    <x v="10"/>
    <n v="0"/>
    <n v="0"/>
    <n v="33.576999999999998"/>
    <n v="33.576999999999998"/>
    <n v="33.576999999999998"/>
    <n v="33.576999999999998"/>
    <n v="7"/>
    <s v="CATIVO"/>
    <n v="0"/>
    <n v="0"/>
    <n v="58"/>
    <n v="101"/>
    <n v="0"/>
    <n v="187.79"/>
    <n v="205.9"/>
    <m/>
    <n v="222.93864377382519"/>
    <n v="199.19027968358265"/>
    <n v="0"/>
    <n v="4174.2926400000006"/>
    <n v="0"/>
    <n v="3111.3269699113257"/>
    <x v="3"/>
  </r>
  <r>
    <s v="Sistema de Compensação"/>
    <x v="5"/>
    <x v="3"/>
    <x v="3"/>
    <x v="1"/>
    <x v="0"/>
    <x v="0"/>
    <x v="2"/>
    <x v="10"/>
    <n v="0"/>
    <n v="0"/>
    <n v="19.637"/>
    <n v="19.637"/>
    <n v="19.637"/>
    <n v="19.637"/>
    <n v="36"/>
    <s v="CATIVO"/>
    <n v="0"/>
    <n v="0"/>
    <n v="58"/>
    <n v="101"/>
    <n v="0"/>
    <n v="187.79"/>
    <n v="205.9"/>
    <m/>
    <n v="222.93864377382519"/>
    <n v="199.19027968358265"/>
    <n v="0"/>
    <n v="2441.2718400000003"/>
    <n v="0"/>
    <n v="1819.6124641316587"/>
    <x v="3"/>
  </r>
  <r>
    <s v="PROJETADO"/>
    <x v="5"/>
    <x v="3"/>
    <x v="3"/>
    <x v="1"/>
    <x v="0"/>
    <x v="0"/>
    <x v="2"/>
    <x v="11"/>
    <n v="0"/>
    <n v="0"/>
    <n v="7965.4070000000002"/>
    <n v="7965.4070000000002"/>
    <n v="7965.4070000000002"/>
    <n v="7965.4070000000002"/>
    <n v="10423"/>
    <s v="CATIVO"/>
    <n v="0"/>
    <n v="0"/>
    <n v="58"/>
    <n v="101"/>
    <n v="0"/>
    <n v="187.79"/>
    <n v="205.9"/>
    <m/>
    <n v="222.93864377382519"/>
    <n v="199.19027968358265"/>
    <n v="0"/>
    <n v="990259.39824000024"/>
    <n v="0"/>
    <n v="738094.1008851435"/>
    <x v="3"/>
  </r>
  <r>
    <s v="PROJETADO"/>
    <x v="5"/>
    <x v="3"/>
    <x v="3"/>
    <x v="1"/>
    <x v="0"/>
    <x v="0"/>
    <x v="2"/>
    <x v="11"/>
    <n v="0"/>
    <n v="0"/>
    <n v="33.576999999999998"/>
    <n v="33.576999999999998"/>
    <n v="33.576999999999998"/>
    <n v="33.576999999999998"/>
    <n v="7"/>
    <s v="CATIVO"/>
    <n v="0"/>
    <n v="0"/>
    <n v="58"/>
    <n v="101"/>
    <n v="0"/>
    <n v="187.79"/>
    <n v="205.9"/>
    <m/>
    <n v="222.93864377382519"/>
    <n v="199.19027968358265"/>
    <n v="0"/>
    <n v="4174.2926400000006"/>
    <n v="0"/>
    <n v="3111.3269699113257"/>
    <x v="3"/>
  </r>
  <r>
    <s v="PROJETADO"/>
    <x v="5"/>
    <x v="3"/>
    <x v="3"/>
    <x v="1"/>
    <x v="0"/>
    <x v="0"/>
    <x v="2"/>
    <x v="11"/>
    <n v="0"/>
    <n v="0"/>
    <n v="19.637"/>
    <n v="19.637"/>
    <n v="19.637"/>
    <n v="19.637"/>
    <n v="36"/>
    <s v="CATIVO"/>
    <n v="0"/>
    <n v="0"/>
    <n v="58"/>
    <n v="101"/>
    <n v="0"/>
    <n v="187.79"/>
    <n v="205.9"/>
    <m/>
    <n v="222.93864377382519"/>
    <n v="199.19027968358265"/>
    <n v="0"/>
    <n v="2441.2718400000003"/>
    <n v="0"/>
    <n v="1819.6124641316587"/>
    <x v="3"/>
  </r>
  <r>
    <s v="Regular"/>
    <x v="6"/>
    <x v="3"/>
    <x v="0"/>
    <x v="0"/>
    <x v="0"/>
    <x v="0"/>
    <x v="2"/>
    <x v="0"/>
    <n v="0"/>
    <n v="0"/>
    <n v="912.68499999999995"/>
    <n v="803.16279999999995"/>
    <n v="912.68499999999995"/>
    <n v="803.16279999999995"/>
    <n v="251"/>
    <s v="CATIVO"/>
    <n v="0"/>
    <n v="0"/>
    <n v="73"/>
    <n v="116"/>
    <n v="0"/>
    <n v="247.09"/>
    <n v="270.92"/>
    <m/>
    <n v="271.87639484612828"/>
    <n v="242.91497522388124"/>
    <n v="0"/>
    <n v="56733.594821999999"/>
    <n v="0"/>
    <n v="56381.0833910816"/>
    <x v="0"/>
  </r>
  <r>
    <s v="Refaturamento - Regular"/>
    <x v="6"/>
    <x v="3"/>
    <x v="0"/>
    <x v="0"/>
    <x v="0"/>
    <x v="0"/>
    <x v="2"/>
    <x v="0"/>
    <n v="0"/>
    <n v="0"/>
    <n v="6.5819999999999999"/>
    <n v="5.79216"/>
    <n v="6.5819999999999999"/>
    <n v="5.79216"/>
    <n v="0"/>
    <s v="CATIVO"/>
    <n v="0"/>
    <n v="0"/>
    <n v="73"/>
    <n v="116"/>
    <n v="0"/>
    <n v="247.09"/>
    <n v="270.92"/>
    <m/>
    <n v="271.87639484612828"/>
    <n v="242.91497522388124"/>
    <n v="0"/>
    <n v="409.14501839999991"/>
    <n v="0"/>
    <n v="406.6028157360962"/>
    <x v="0"/>
  </r>
  <r>
    <s v="Regular"/>
    <x v="6"/>
    <x v="3"/>
    <x v="0"/>
    <x v="0"/>
    <x v="0"/>
    <x v="0"/>
    <x v="2"/>
    <x v="1"/>
    <n v="0"/>
    <n v="0"/>
    <n v="988.85699999999997"/>
    <n v="870.19416000000001"/>
    <n v="988.85699999999997"/>
    <n v="870.19416000000001"/>
    <n v="251"/>
    <s v="CATIVO"/>
    <n v="0"/>
    <n v="0"/>
    <n v="73"/>
    <n v="116"/>
    <n v="0"/>
    <n v="247.09"/>
    <n v="270.92"/>
    <m/>
    <n v="271.87639484612828"/>
    <n v="242.91497522388124"/>
    <n v="0"/>
    <n v="61468.537748399976"/>
    <n v="0"/>
    <n v="61086.605979998305"/>
    <x v="0"/>
  </r>
  <r>
    <s v="Regular"/>
    <x v="6"/>
    <x v="3"/>
    <x v="0"/>
    <x v="0"/>
    <x v="0"/>
    <x v="0"/>
    <x v="2"/>
    <x v="2"/>
    <n v="0"/>
    <n v="0"/>
    <n v="862.71799999999996"/>
    <n v="759.19183999999996"/>
    <n v="862.71799999999996"/>
    <n v="759.19183999999996"/>
    <n v="251"/>
    <s v="CATIVO"/>
    <n v="0"/>
    <n v="0"/>
    <n v="73"/>
    <n v="116"/>
    <n v="0"/>
    <n v="247.09"/>
    <n v="270.92"/>
    <m/>
    <n v="271.87639484612828"/>
    <n v="242.91497522388124"/>
    <n v="0"/>
    <n v="53627.586141600004"/>
    <n v="0"/>
    <n v="53294.37374448702"/>
    <x v="0"/>
  </r>
  <r>
    <s v="Regular"/>
    <x v="6"/>
    <x v="3"/>
    <x v="0"/>
    <x v="0"/>
    <x v="0"/>
    <x v="0"/>
    <x v="2"/>
    <x v="3"/>
    <n v="0"/>
    <n v="0"/>
    <n v="899.73299999999995"/>
    <n v="791.76504"/>
    <n v="899.73299999999995"/>
    <n v="791.76504"/>
    <n v="251"/>
    <s v="CATIVO"/>
    <n v="0"/>
    <n v="0"/>
    <n v="73"/>
    <n v="116"/>
    <n v="0"/>
    <n v="247.09"/>
    <n v="270.92"/>
    <m/>
    <n v="271.87639484612828"/>
    <n v="242.91497522388124"/>
    <n v="0"/>
    <n v="55928.482959599976"/>
    <n v="0"/>
    <n v="55580.974052063961"/>
    <x v="0"/>
  </r>
  <r>
    <s v="Regular"/>
    <x v="6"/>
    <x v="3"/>
    <x v="0"/>
    <x v="0"/>
    <x v="0"/>
    <x v="0"/>
    <x v="2"/>
    <x v="4"/>
    <n v="0"/>
    <n v="0"/>
    <n v="837.53399999999999"/>
    <n v="737.02991999999995"/>
    <n v="837.53399999999999"/>
    <n v="737.02991999999995"/>
    <n v="251"/>
    <s v="CATIVO"/>
    <n v="0"/>
    <n v="0"/>
    <n v="73"/>
    <n v="116"/>
    <n v="0"/>
    <n v="247.09"/>
    <n v="270.92"/>
    <m/>
    <n v="271.87639484612828"/>
    <n v="242.91497522388124"/>
    <n v="0"/>
    <n v="52062.118480800025"/>
    <n v="0"/>
    <n v="51738.633040825865"/>
    <x v="0"/>
  </r>
  <r>
    <s v="Refaturamento - Regular"/>
    <x v="6"/>
    <x v="3"/>
    <x v="0"/>
    <x v="0"/>
    <x v="0"/>
    <x v="0"/>
    <x v="2"/>
    <x v="4"/>
    <n v="0"/>
    <n v="0"/>
    <n v="0.1"/>
    <n v="8.8000000000000009E-2"/>
    <n v="0.1"/>
    <n v="8.8000000000000009E-2"/>
    <n v="0"/>
    <s v="CATIVO"/>
    <n v="0"/>
    <n v="0"/>
    <n v="73"/>
    <n v="116"/>
    <n v="0"/>
    <n v="247.09"/>
    <n v="270.92"/>
    <m/>
    <n v="271.87639484612828"/>
    <n v="242.91497522388124"/>
    <n v="0"/>
    <n v="6.2161199999999983"/>
    <n v="0"/>
    <n v="6.1774964408401125"/>
    <x v="0"/>
  </r>
  <r>
    <s v="Regular"/>
    <x v="6"/>
    <x v="3"/>
    <x v="0"/>
    <x v="0"/>
    <x v="0"/>
    <x v="0"/>
    <x v="2"/>
    <x v="5"/>
    <n v="0"/>
    <n v="0"/>
    <n v="948.73400000000004"/>
    <n v="834.88592000000006"/>
    <n v="948.73400000000004"/>
    <n v="834.88592000000006"/>
    <n v="252"/>
    <s v="CATIVO"/>
    <n v="0"/>
    <n v="0"/>
    <n v="73"/>
    <n v="116"/>
    <n v="0"/>
    <n v="247.09"/>
    <n v="270.92"/>
    <m/>
    <n v="271.87639484612828"/>
    <n v="242.91497522388124"/>
    <n v="0"/>
    <n v="58974.443920799997"/>
    <n v="0"/>
    <n v="58608.009083040044"/>
    <x v="0"/>
  </r>
  <r>
    <s v="Regular"/>
    <x v="6"/>
    <x v="3"/>
    <x v="0"/>
    <x v="0"/>
    <x v="0"/>
    <x v="0"/>
    <x v="2"/>
    <x v="6"/>
    <n v="0"/>
    <n v="0"/>
    <n v="931.42600000000004"/>
    <n v="819.65488000000005"/>
    <n v="931.42600000000004"/>
    <n v="819.65488000000005"/>
    <n v="251"/>
    <s v="CATIVO"/>
    <n v="0"/>
    <n v="0"/>
    <n v="73"/>
    <n v="116"/>
    <n v="0"/>
    <n v="247.09"/>
    <n v="270.92"/>
    <m/>
    <n v="271.87639484612828"/>
    <n v="242.91497522388124"/>
    <n v="0"/>
    <n v="57898.557871199999"/>
    <n v="0"/>
    <n v="57538.807999059441"/>
    <x v="0"/>
  </r>
  <r>
    <s v="Regular"/>
    <x v="6"/>
    <x v="3"/>
    <x v="0"/>
    <x v="0"/>
    <x v="0"/>
    <x v="0"/>
    <x v="2"/>
    <x v="7"/>
    <n v="0"/>
    <n v="0"/>
    <n v="893.15499999999997"/>
    <n v="785.97640000000001"/>
    <n v="893.15499999999997"/>
    <n v="785.97640000000001"/>
    <n v="251"/>
    <s v="CATIVO"/>
    <n v="0"/>
    <n v="0"/>
    <n v="73"/>
    <n v="116"/>
    <n v="0"/>
    <n v="247.09"/>
    <n v="270.92"/>
    <m/>
    <n v="271.87639484612828"/>
    <n v="242.91497522388124"/>
    <n v="0"/>
    <n v="55519.586585999976"/>
    <n v="0"/>
    <n v="55174.6183361855"/>
    <x v="0"/>
  </r>
  <r>
    <s v="Regular"/>
    <x v="6"/>
    <x v="3"/>
    <x v="0"/>
    <x v="0"/>
    <x v="0"/>
    <x v="0"/>
    <x v="2"/>
    <x v="8"/>
    <n v="0"/>
    <n v="0"/>
    <n v="834.61699999999996"/>
    <n v="734.46295999999995"/>
    <n v="834.61699999999996"/>
    <n v="734.46295999999995"/>
    <n v="257"/>
    <s v="CATIVO"/>
    <n v="0"/>
    <n v="0"/>
    <n v="73"/>
    <n v="116"/>
    <n v="0"/>
    <n v="247.09"/>
    <n v="270.92"/>
    <m/>
    <n v="271.87639484612828"/>
    <n v="242.91497522388124"/>
    <n v="0"/>
    <n v="51880.794260400005"/>
    <n v="0"/>
    <n v="51558.435469646545"/>
    <x v="0"/>
  </r>
  <r>
    <s v="Regular"/>
    <x v="6"/>
    <x v="3"/>
    <x v="0"/>
    <x v="0"/>
    <x v="0"/>
    <x v="0"/>
    <x v="2"/>
    <x v="9"/>
    <n v="0"/>
    <n v="0"/>
    <n v="938.76499999999999"/>
    <n v="826.11320000000001"/>
    <n v="938.76499999999999"/>
    <n v="826.11320000000001"/>
    <n v="258"/>
    <s v="CATIVO"/>
    <n v="0"/>
    <n v="0"/>
    <n v="73"/>
    <n v="116"/>
    <n v="0"/>
    <n v="247.09"/>
    <n v="270.92"/>
    <m/>
    <n v="271.87639484612828"/>
    <n v="242.91497522388124"/>
    <n v="0"/>
    <n v="58354.758917999992"/>
    <n v="0"/>
    <n v="57992.174462852687"/>
    <x v="0"/>
  </r>
  <r>
    <s v="Regular"/>
    <x v="6"/>
    <x v="3"/>
    <x v="0"/>
    <x v="0"/>
    <x v="0"/>
    <x v="0"/>
    <x v="2"/>
    <x v="10"/>
    <n v="0"/>
    <n v="0"/>
    <n v="874.375"/>
    <n v="769.45"/>
    <n v="874.375"/>
    <n v="769.45"/>
    <n v="259"/>
    <s v="CATIVO"/>
    <n v="0"/>
    <n v="0"/>
    <n v="73"/>
    <n v="116"/>
    <n v="0"/>
    <n v="247.09"/>
    <n v="270.92"/>
    <m/>
    <n v="271.87639484612828"/>
    <n v="242.91497522388124"/>
    <n v="0"/>
    <n v="54352.199249999976"/>
    <n v="0"/>
    <n v="54014.484504595726"/>
    <x v="0"/>
  </r>
  <r>
    <s v="Refaturamento - Regular"/>
    <x v="6"/>
    <x v="3"/>
    <x v="0"/>
    <x v="0"/>
    <x v="0"/>
    <x v="0"/>
    <x v="2"/>
    <x v="10"/>
    <n v="0"/>
    <n v="0"/>
    <n v="12.766"/>
    <n v="11.234080000000001"/>
    <n v="12.766"/>
    <n v="11.234080000000001"/>
    <n v="0"/>
    <s v="CATIVO"/>
    <n v="0"/>
    <n v="0"/>
    <n v="73"/>
    <n v="116"/>
    <n v="0"/>
    <n v="247.09"/>
    <n v="270.92"/>
    <m/>
    <n v="271.87639484612828"/>
    <n v="242.91497522388124"/>
    <n v="0"/>
    <n v="793.54987919999985"/>
    <n v="0"/>
    <n v="788.61919563764877"/>
    <x v="0"/>
  </r>
  <r>
    <s v="PROJETADO"/>
    <x v="6"/>
    <x v="3"/>
    <x v="0"/>
    <x v="0"/>
    <x v="0"/>
    <x v="0"/>
    <x v="2"/>
    <x v="11"/>
    <n v="0"/>
    <n v="0"/>
    <n v="874.375"/>
    <n v="769.45"/>
    <n v="874.375"/>
    <n v="769.45"/>
    <n v="259"/>
    <s v="CATIVO"/>
    <n v="0"/>
    <n v="0"/>
    <n v="73"/>
    <n v="116"/>
    <n v="0"/>
    <n v="247.09"/>
    <n v="270.92"/>
    <m/>
    <n v="271.87639484612828"/>
    <n v="242.91497522388124"/>
    <n v="0"/>
    <n v="54352.199249999976"/>
    <n v="0"/>
    <n v="54014.484504595726"/>
    <x v="0"/>
  </r>
  <r>
    <s v="PROJETADO"/>
    <x v="6"/>
    <x v="3"/>
    <x v="0"/>
    <x v="0"/>
    <x v="0"/>
    <x v="0"/>
    <x v="2"/>
    <x v="11"/>
    <n v="0"/>
    <n v="0"/>
    <n v="12.766"/>
    <n v="11.234080000000001"/>
    <n v="12.766"/>
    <n v="11.234080000000001"/>
    <n v="0"/>
    <s v="CATIVO"/>
    <n v="0"/>
    <n v="0"/>
    <n v="73"/>
    <n v="116"/>
    <n v="0"/>
    <n v="247.09"/>
    <n v="270.92"/>
    <m/>
    <n v="271.87639484612828"/>
    <n v="242.91497522388124"/>
    <n v="0"/>
    <n v="793.54987919999985"/>
    <n v="0"/>
    <n v="788.61919563764877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60FF67-C2CF-4593-8F42-DDE03276EDF7}" name="Efeito Resumo" cacheId="27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5" indent="0" outline="1" outlineData="1" multipleFieldFilters="0">
  <location ref="A1:J1763" firstHeaderRow="0" firstDataRow="1" firstDataCol="1"/>
  <pivotFields count="36">
    <pivotField showAll="0"/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Row" showAll="0">
      <items count="7">
        <item x="0"/>
        <item x="4"/>
        <item x="5"/>
        <item x="1"/>
        <item x="2"/>
        <item x="3"/>
        <item t="default"/>
      </items>
    </pivotField>
    <pivotField axis="axisRow" showAll="0">
      <items count="10">
        <item x="0"/>
        <item x="7"/>
        <item x="8"/>
        <item x="1"/>
        <item x="3"/>
        <item x="4"/>
        <item x="6"/>
        <item x="5"/>
        <item x="2"/>
        <item t="default"/>
      </items>
    </pivotField>
    <pivotField axis="axisRow" showAll="0">
      <items count="11">
        <item x="4"/>
        <item x="1"/>
        <item x="9"/>
        <item x="0"/>
        <item x="3"/>
        <item x="5"/>
        <item x="6"/>
        <item x="7"/>
        <item x="8"/>
        <item x="2"/>
        <item t="default"/>
      </items>
    </pivotField>
    <pivotField axis="axisRow" showAll="0">
      <items count="6">
        <item x="1"/>
        <item x="2"/>
        <item x="4"/>
        <item x="3"/>
        <item x="0"/>
        <item t="default"/>
      </items>
    </pivotField>
    <pivotField axis="axisRow" showAll="0">
      <items count="6">
        <item x="1"/>
        <item x="0"/>
        <item x="4"/>
        <item x="3"/>
        <item x="2"/>
        <item t="default"/>
      </items>
    </pivotField>
    <pivotField axis="axisRow" showAll="0">
      <items count="5">
        <item x="0"/>
        <item x="3"/>
        <item x="2"/>
        <item x="1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axis="axisRow" showAll="0">
      <items count="6">
        <item x="0"/>
        <item x="3"/>
        <item x="4"/>
        <item x="2"/>
        <item x="1"/>
        <item t="default"/>
      </items>
    </pivotField>
    <pivotField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9">
    <field x="16"/>
    <field x="1"/>
    <field x="2"/>
    <field x="3"/>
    <field x="4"/>
    <field x="5"/>
    <field x="6"/>
    <field x="7"/>
    <field x="8"/>
  </rowFields>
  <rowItems count="1762">
    <i>
      <x/>
    </i>
    <i r="1">
      <x/>
    </i>
    <i r="2">
      <x/>
    </i>
    <i r="3">
      <x/>
    </i>
    <i r="4">
      <x v="3"/>
    </i>
    <i r="5">
      <x v="4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 v="1"/>
    </i>
    <i r="5">
      <x v="4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1"/>
    </i>
    <i r="2">
      <x/>
    </i>
    <i r="3">
      <x v="8"/>
    </i>
    <i r="4">
      <x v="1"/>
    </i>
    <i r="5">
      <x v="4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5"/>
    </i>
    <i r="3">
      <x/>
    </i>
    <i r="4">
      <x v="3"/>
    </i>
    <i r="5">
      <x v="4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 v="1"/>
    </i>
    <i r="5">
      <x v="4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/>
    </i>
    <i r="3">
      <x/>
    </i>
    <i r="4">
      <x v="3"/>
    </i>
    <i r="5">
      <x v="4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3"/>
    </i>
    <i r="5">
      <x v="4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3"/>
    </i>
    <i r="5">
      <x v="4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7"/>
    </i>
    <i r="4">
      <x v="3"/>
    </i>
    <i r="5">
      <x v="4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 v="1"/>
    </i>
    <i r="5">
      <x v="4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9"/>
    </i>
    <i r="5">
      <x v="4"/>
    </i>
    <i r="6">
      <x v="1"/>
    </i>
    <i r="7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5"/>
    </i>
    <i r="3">
      <x/>
    </i>
    <i r="4">
      <x v="3"/>
    </i>
    <i r="5">
      <x v="4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3"/>
    </i>
    <i r="5">
      <x v="4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3"/>
    </i>
    <i r="5">
      <x v="4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6"/>
    </i>
    <i r="4">
      <x v="4"/>
    </i>
    <i r="5">
      <x v="4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7"/>
    </i>
    <i r="4">
      <x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4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3"/>
    </i>
    <i r="5">
      <x v="4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 v="1"/>
    </i>
    <i r="5">
      <x v="4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9"/>
    </i>
    <i r="5">
      <x v="4"/>
    </i>
    <i r="6">
      <x v="1"/>
    </i>
    <i r="7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/>
    </i>
    <i r="3">
      <x/>
    </i>
    <i r="4">
      <x v="3"/>
    </i>
    <i r="5">
      <x v="4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3"/>
    </i>
    <i r="5">
      <x v="4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5"/>
    </i>
    <i r="3">
      <x/>
    </i>
    <i r="4">
      <x v="3"/>
    </i>
    <i r="5">
      <x v="4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3"/>
    </i>
    <i r="5">
      <x v="4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4"/>
    </i>
    <i r="2">
      <x v="1"/>
    </i>
    <i r="3">
      <x v="6"/>
    </i>
    <i r="4">
      <x v="4"/>
    </i>
    <i r="5">
      <x v="4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 v="6"/>
    </i>
    <i r="4">
      <x v="4"/>
    </i>
    <i r="5">
      <x v="4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5"/>
    </i>
    <i r="5">
      <x v="4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4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4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8"/>
    </i>
    <i r="5">
      <x v="4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5"/>
    </i>
    <i r="2">
      <x v="1"/>
    </i>
    <i r="3">
      <x v="7"/>
    </i>
    <i r="4">
      <x v="3"/>
    </i>
    <i r="5">
      <x v="4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 v="7"/>
    </i>
    <i r="4">
      <x/>
    </i>
    <i r="5">
      <x v="2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3"/>
    </i>
    <i r="5">
      <x v="4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6"/>
    </i>
    <i r="2">
      <x v="1"/>
    </i>
    <i r="3">
      <x/>
    </i>
    <i r="4">
      <x v="3"/>
    </i>
    <i r="5">
      <x v="4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3"/>
    </i>
    <i r="5">
      <x v="4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3"/>
    </i>
    <i r="5">
      <x v="4"/>
    </i>
    <i r="6">
      <x v="1"/>
    </i>
    <i r="7">
      <x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/>
    </i>
    <i r="4">
      <x v="3"/>
    </i>
    <i r="5">
      <x v="4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1"/>
    </i>
    <i r="4">
      <x v="3"/>
    </i>
    <i r="5">
      <x v="4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3"/>
    </i>
    <i r="5">
      <x v="4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3"/>
    </i>
    <i r="5">
      <x v="4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 v="1"/>
    </i>
    <i r="5">
      <x v="4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7"/>
    </i>
    <i r="2">
      <x v="2"/>
    </i>
    <i r="3">
      <x v="2"/>
    </i>
    <i r="4">
      <x v="2"/>
    </i>
    <i r="5">
      <x v="4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/>
    </i>
    <i r="2">
      <x v="3"/>
    </i>
    <i r="3">
      <x v="4"/>
    </i>
    <i r="4">
      <x v="3"/>
    </i>
    <i r="5">
      <x v="4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/>
    </i>
    <i r="2">
      <x v="4"/>
    </i>
    <i r="3">
      <x v="4"/>
    </i>
    <i r="4">
      <x v="3"/>
    </i>
    <i r="5">
      <x v="4"/>
    </i>
    <i r="6">
      <x v="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4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1"/>
    </i>
    <i r="2">
      <x v="4"/>
    </i>
    <i r="3">
      <x v="4"/>
    </i>
    <i r="4">
      <x v="3"/>
    </i>
    <i r="5">
      <x v="4"/>
    </i>
    <i r="6">
      <x v="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3"/>
    </i>
    <i r="1">
      <x/>
    </i>
    <i r="2">
      <x/>
    </i>
    <i r="3">
      <x v="3"/>
    </i>
    <i r="4">
      <x v="3"/>
    </i>
    <i r="5">
      <x v="4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1"/>
    </i>
    <i r="2">
      <x/>
    </i>
    <i r="3">
      <x v="3"/>
    </i>
    <i r="4">
      <x v="3"/>
    </i>
    <i r="5">
      <x v="1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5"/>
    </i>
    <i r="3">
      <x v="3"/>
    </i>
    <i r="4">
      <x v="3"/>
    </i>
    <i r="5">
      <x v="1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/>
    </i>
    <i r="3">
      <x v="3"/>
    </i>
    <i r="4">
      <x v="3"/>
    </i>
    <i r="5">
      <x v="1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5"/>
    </i>
    <i r="3">
      <x v="3"/>
    </i>
    <i r="4">
      <x v="3"/>
    </i>
    <i r="5">
      <x v="1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/>
    </i>
    <i r="3">
      <x v="3"/>
    </i>
    <i r="4">
      <x v="3"/>
    </i>
    <i r="5">
      <x v="1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5"/>
    </i>
    <i r="3">
      <x v="3"/>
    </i>
    <i r="4">
      <x v="3"/>
    </i>
    <i r="5">
      <x v="1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4"/>
    </i>
    <i r="1">
      <x/>
    </i>
    <i r="2">
      <x/>
    </i>
    <i r="3">
      <x v="3"/>
    </i>
    <i r="4">
      <x v="3"/>
    </i>
    <i r="5">
      <x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oma de RA0 ou RV - TUSD (kW)" fld="27" baseField="0" baseItem="0" numFmtId="40"/>
    <dataField name="Soma de RA1 ou RRD - TUSD (kW)" fld="30" baseField="0" baseItem="0" numFmtId="40"/>
    <dataField name="Soma de RA0 ou RV - TUSD (MWh)" fld="28" baseField="0" baseItem="0" numFmtId="40"/>
    <dataField name="Soma de RA1 ou RRD - TUSD (MWh)" fld="31" baseField="0" baseItem="0" numFmtId="40"/>
    <dataField name="Soma de RA0 ou RV - TE (MWh)" fld="29" baseField="0" baseItem="0" numFmtId="40"/>
    <dataField name="Soma de RA1 ou RRD - TE (MWh)" fld="32" baseField="0" baseItem="0" numFmtId="40"/>
    <dataField name="Soma de Variação TUSD" fld="33" baseField="0" baseItem="0" numFmtId="166"/>
    <dataField name="Soma de Variação TE" fld="34" baseField="0" baseItem="0" numFmtId="166"/>
    <dataField name="Soma de Variação" fld="35" baseField="0" baseItem="0" numFmtId="166"/>
  </dataFields>
  <formats count="752">
    <format dxfId="1308">
      <pivotArea outline="0" collapsedLevelsAreSubtotals="1" fieldPosition="0">
        <references count="1">
          <reference field="4294967294" count="6" selected="0">
            <x v="0"/>
            <x v="1"/>
            <x v="2"/>
            <x v="3"/>
            <x v="4"/>
            <x v="5"/>
          </reference>
        </references>
      </pivotArea>
    </format>
    <format dxfId="1307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306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  <format dxfId="1305">
      <pivotArea dataOnly="0" labelOnly="1" outline="0" fieldPosition="0">
        <references count="1">
          <reference field="4294967294" count="3">
            <x v="6"/>
            <x v="7"/>
            <x v="8"/>
          </reference>
        </references>
      </pivotArea>
    </format>
    <format dxfId="1304">
      <pivotArea type="all" dataOnly="0" outline="0" fieldPosition="0"/>
    </format>
    <format dxfId="1303">
      <pivotArea outline="0" collapsedLevelsAreSubtotals="1" fieldPosition="0"/>
    </format>
    <format dxfId="1302">
      <pivotArea field="16" type="button" dataOnly="0" labelOnly="1" outline="0" axis="axisRow" fieldPosition="0"/>
    </format>
    <format dxfId="1301">
      <pivotArea dataOnly="0" labelOnly="1" fieldPosition="0">
        <references count="1">
          <reference field="16" count="0"/>
        </references>
      </pivotArea>
    </format>
    <format dxfId="1300">
      <pivotArea dataOnly="0" labelOnly="1" fieldPosition="0">
        <references count="2">
          <reference field="1" count="0"/>
          <reference field="16" count="1" selected="0">
            <x v="0"/>
          </reference>
        </references>
      </pivotArea>
    </format>
    <format dxfId="1299">
      <pivotArea dataOnly="0" labelOnly="1" fieldPosition="0">
        <references count="2">
          <reference field="1" count="1">
            <x v="0"/>
          </reference>
          <reference field="16" count="1" selected="0">
            <x v="1"/>
          </reference>
        </references>
      </pivotArea>
    </format>
    <format dxfId="1298">
      <pivotArea dataOnly="0" labelOnly="1" fieldPosition="0">
        <references count="2">
          <reference field="1" count="2">
            <x v="0"/>
            <x v="1"/>
          </reference>
          <reference field="16" count="1" selected="0">
            <x v="2"/>
          </reference>
        </references>
      </pivotArea>
    </format>
    <format dxfId="1297">
      <pivotArea dataOnly="0" labelOnly="1" fieldPosition="0">
        <references count="2">
          <reference field="1" count="4">
            <x v="0"/>
            <x v="1"/>
            <x v="2"/>
            <x v="3"/>
          </reference>
          <reference field="16" count="1" selected="0">
            <x v="3"/>
          </reference>
        </references>
      </pivotArea>
    </format>
    <format dxfId="1296">
      <pivotArea dataOnly="0" labelOnly="1" fieldPosition="0">
        <references count="2">
          <reference field="1" count="1">
            <x v="0"/>
          </reference>
          <reference field="16" count="1" selected="0">
            <x v="4"/>
          </reference>
        </references>
      </pivotArea>
    </format>
    <format dxfId="1295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16" count="1" selected="0">
            <x v="0"/>
          </reference>
        </references>
      </pivotArea>
    </format>
    <format dxfId="1294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5"/>
          </reference>
          <reference field="16" count="1" selected="0">
            <x v="0"/>
          </reference>
        </references>
      </pivotArea>
    </format>
    <format dxfId="1293">
      <pivotArea dataOnly="0" labelOnly="1" fieldPosition="0">
        <references count="3">
          <reference field="1" count="1" selected="0">
            <x v="2"/>
          </reference>
          <reference field="2" count="2">
            <x v="0"/>
            <x v="5"/>
          </reference>
          <reference field="16" count="1" selected="0">
            <x v="0"/>
          </reference>
        </references>
      </pivotArea>
    </format>
    <format dxfId="1292">
      <pivotArea dataOnly="0" labelOnly="1" fieldPosition="0">
        <references count="3">
          <reference field="1" count="1" selected="0">
            <x v="3"/>
          </reference>
          <reference field="2" count="2">
            <x v="0"/>
            <x v="5"/>
          </reference>
          <reference field="16" count="1" selected="0">
            <x v="0"/>
          </reference>
        </references>
      </pivotArea>
    </format>
    <format dxfId="1291">
      <pivotArea dataOnly="0" labelOnly="1" fieldPosition="0">
        <references count="3">
          <reference field="1" count="1" selected="0">
            <x v="4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1290">
      <pivotArea dataOnly="0" labelOnly="1" fieldPosition="0">
        <references count="3">
          <reference field="1" count="1" selected="0">
            <x v="5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1289">
      <pivotArea dataOnly="0" labelOnly="1" fieldPosition="0">
        <references count="3">
          <reference field="1" count="1" selected="0">
            <x v="6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1288">
      <pivotArea dataOnly="0" labelOnly="1" fieldPosition="0">
        <references count="3">
          <reference field="1" count="1" selected="0">
            <x v="7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1287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16" count="1" selected="0">
            <x v="1"/>
          </reference>
        </references>
      </pivotArea>
    </format>
    <format dxfId="1286">
      <pivotArea dataOnly="0" labelOnly="1" fieldPosition="0">
        <references count="3">
          <reference field="1" count="1" selected="0">
            <x v="0"/>
          </reference>
          <reference field="2" count="1">
            <x v="4"/>
          </reference>
          <reference field="16" count="1" selected="0">
            <x v="2"/>
          </reference>
        </references>
      </pivotArea>
    </format>
    <format dxfId="1285">
      <pivotArea dataOnly="0" labelOnly="1" fieldPosition="0">
        <references count="3">
          <reference field="1" count="1" selected="0">
            <x v="1"/>
          </reference>
          <reference field="2" count="1">
            <x v="4"/>
          </reference>
          <reference field="16" count="1" selected="0">
            <x v="2"/>
          </reference>
        </references>
      </pivotArea>
    </format>
    <format dxfId="1284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16" count="1" selected="0">
            <x v="3"/>
          </reference>
        </references>
      </pivotArea>
    </format>
    <format dxfId="1283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5"/>
          </reference>
          <reference field="16" count="1" selected="0">
            <x v="3"/>
          </reference>
        </references>
      </pivotArea>
    </format>
    <format dxfId="1282">
      <pivotArea dataOnly="0" labelOnly="1" fieldPosition="0">
        <references count="3">
          <reference field="1" count="1" selected="0">
            <x v="2"/>
          </reference>
          <reference field="2" count="2">
            <x v="0"/>
            <x v="5"/>
          </reference>
          <reference field="16" count="1" selected="0">
            <x v="3"/>
          </reference>
        </references>
      </pivotArea>
    </format>
    <format dxfId="1281">
      <pivotArea dataOnly="0" labelOnly="1" fieldPosition="0">
        <references count="3">
          <reference field="1" count="1" selected="0">
            <x v="3"/>
          </reference>
          <reference field="2" count="2">
            <x v="0"/>
            <x v="5"/>
          </reference>
          <reference field="16" count="1" selected="0">
            <x v="3"/>
          </reference>
        </references>
      </pivotArea>
    </format>
    <format dxfId="1280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16" count="1" selected="0">
            <x v="4"/>
          </reference>
        </references>
      </pivotArea>
    </format>
    <format dxfId="1279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2">
            <x v="0"/>
            <x v="8"/>
          </reference>
          <reference field="16" count="1" selected="0">
            <x v="0"/>
          </reference>
        </references>
      </pivotArea>
    </format>
    <format dxfId="1278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8"/>
          </reference>
          <reference field="16" count="1" selected="0">
            <x v="0"/>
          </reference>
        </references>
      </pivotArea>
    </format>
    <format dxfId="1277">
      <pivotArea dataOnly="0" labelOnly="1" fieldPosition="0">
        <references count="4">
          <reference field="1" count="1" selected="0">
            <x v="1"/>
          </reference>
          <reference field="2" count="1" selected="0">
            <x v="5"/>
          </reference>
          <reference field="3" count="2">
            <x v="0"/>
            <x v="8"/>
          </reference>
          <reference field="16" count="1" selected="0">
            <x v="0"/>
          </reference>
        </references>
      </pivotArea>
    </format>
    <format dxfId="1276">
      <pivotArea dataOnly="0" labelOnly="1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5">
            <x v="0"/>
            <x v="3"/>
            <x v="5"/>
            <x v="7"/>
            <x v="8"/>
          </reference>
          <reference field="16" count="1" selected="0">
            <x v="0"/>
          </reference>
        </references>
      </pivotArea>
    </format>
    <format dxfId="1275">
      <pivotArea dataOnly="0" labelOnly="1" fieldPosition="0">
        <references count="4">
          <reference field="1" count="1" selected="0">
            <x v="2"/>
          </reference>
          <reference field="2" count="1" selected="0">
            <x v="5"/>
          </reference>
          <reference field="3" count="6">
            <x v="0"/>
            <x v="3"/>
            <x v="5"/>
            <x v="6"/>
            <x v="7"/>
            <x v="8"/>
          </reference>
          <reference field="16" count="1" selected="0">
            <x v="0"/>
          </reference>
        </references>
      </pivotArea>
    </format>
    <format dxfId="1274">
      <pivotArea dataOnly="0" labelOnly="1" fieldPosition="0">
        <references count="4">
          <reference field="1" count="1" selected="0">
            <x v="3"/>
          </reference>
          <reference field="2" count="1" selected="0">
            <x v="0"/>
          </reference>
          <reference field="3" count="2">
            <x v="0"/>
            <x v="5"/>
          </reference>
          <reference field="16" count="1" selected="0">
            <x v="0"/>
          </reference>
        </references>
      </pivotArea>
    </format>
    <format dxfId="1273">
      <pivotArea dataOnly="0" labelOnly="1" fieldPosition="0">
        <references count="4">
          <reference field="1" count="1" selected="0">
            <x v="3"/>
          </reference>
          <reference field="2" count="1" selected="0">
            <x v="5"/>
          </reference>
          <reference field="3" count="2">
            <x v="0"/>
            <x v="5"/>
          </reference>
          <reference field="16" count="1" selected="0">
            <x v="0"/>
          </reference>
        </references>
      </pivotArea>
    </format>
    <format dxfId="1272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1271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1270">
      <pivotArea dataOnly="0" labelOnly="1" fieldPosition="0">
        <references count="4">
          <reference field="1" count="1" selected="0">
            <x v="5"/>
          </reference>
          <reference field="2" count="1" selected="0">
            <x v="1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1269">
      <pivotArea dataOnly="0" labelOnly="1" fieldPosition="0">
        <references count="4">
          <reference field="1" count="1" selected="0">
            <x v="5"/>
          </reference>
          <reference field="2" count="1" selected="0">
            <x v="2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1268">
      <pivotArea dataOnly="0" labelOnly="1" fieldPosition="0">
        <references count="4">
          <reference field="1" count="1" selected="0">
            <x v="6"/>
          </reference>
          <reference field="2" count="1" selected="0">
            <x v="1"/>
          </reference>
          <reference field="3" count="3">
            <x v="0"/>
            <x v="3"/>
            <x v="5"/>
          </reference>
          <reference field="16" count="1" selected="0">
            <x v="0"/>
          </reference>
        </references>
      </pivotArea>
    </format>
    <format dxfId="1267">
      <pivotArea dataOnly="0" labelOnly="1" fieldPosition="0">
        <references count="4">
          <reference field="1" count="1" selected="0">
            <x v="6"/>
          </reference>
          <reference field="2" count="1" selected="0">
            <x v="2"/>
          </reference>
          <reference field="3" count="5">
            <x v="0"/>
            <x v="1"/>
            <x v="3"/>
            <x v="5"/>
            <x v="8"/>
          </reference>
          <reference field="16" count="1" selected="0">
            <x v="0"/>
          </reference>
        </references>
      </pivotArea>
    </format>
    <format dxfId="1266">
      <pivotArea dataOnly="0" labelOnly="1" fieldPosition="0">
        <references count="4">
          <reference field="1" count="1" selected="0">
            <x v="7"/>
          </reference>
          <reference field="2" count="1" selected="0">
            <x v="2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1265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4"/>
          </reference>
          <reference field="16" count="1" selected="0">
            <x v="1"/>
          </reference>
        </references>
      </pivotArea>
    </format>
    <format dxfId="1264">
      <pivotArea dataOnly="0" labelOnly="1" fieldPosition="0">
        <references count="4">
          <reference field="1" count="1" selected="0">
            <x v="0"/>
          </reference>
          <reference field="2" count="1" selected="0">
            <x v="4"/>
          </reference>
          <reference field="3" count="1">
            <x v="4"/>
          </reference>
          <reference field="16" count="1" selected="0">
            <x v="2"/>
          </reference>
        </references>
      </pivotArea>
    </format>
    <format dxfId="1263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4"/>
          </reference>
          <reference field="16" count="1" selected="0">
            <x v="2"/>
          </reference>
        </references>
      </pivotArea>
    </format>
    <format dxfId="1262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3"/>
          </reference>
        </references>
      </pivotArea>
    </format>
    <format dxfId="1261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3"/>
          </reference>
        </references>
      </pivotArea>
    </format>
    <format dxfId="1260">
      <pivotArea dataOnly="0" labelOnly="1" fieldPosition="0">
        <references count="4">
          <reference field="1" count="1" selected="0">
            <x v="1"/>
          </reference>
          <reference field="2" count="1" selected="0">
            <x v="5"/>
          </reference>
          <reference field="3" count="1">
            <x v="3"/>
          </reference>
          <reference field="16" count="1" selected="0">
            <x v="3"/>
          </reference>
        </references>
      </pivotArea>
    </format>
    <format dxfId="1259">
      <pivotArea dataOnly="0" labelOnly="1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3"/>
          </reference>
        </references>
      </pivotArea>
    </format>
    <format dxfId="1258">
      <pivotArea dataOnly="0" labelOnly="1" fieldPosition="0">
        <references count="4">
          <reference field="1" count="1" selected="0">
            <x v="2"/>
          </reference>
          <reference field="2" count="1" selected="0">
            <x v="5"/>
          </reference>
          <reference field="3" count="1">
            <x v="3"/>
          </reference>
          <reference field="16" count="1" selected="0">
            <x v="3"/>
          </reference>
        </references>
      </pivotArea>
    </format>
    <format dxfId="1257">
      <pivotArea dataOnly="0" labelOnly="1" fieldPosition="0">
        <references count="4">
          <reference field="1" count="1" selected="0">
            <x v="3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3"/>
          </reference>
        </references>
      </pivotArea>
    </format>
    <format dxfId="1256">
      <pivotArea dataOnly="0" labelOnly="1" fieldPosition="0">
        <references count="4">
          <reference field="1" count="1" selected="0">
            <x v="3"/>
          </reference>
          <reference field="2" count="1" selected="0">
            <x v="5"/>
          </reference>
          <reference field="3" count="1">
            <x v="3"/>
          </reference>
          <reference field="16" count="1" selected="0">
            <x v="3"/>
          </reference>
        </references>
      </pivotArea>
    </format>
    <format dxfId="1255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4"/>
          </reference>
        </references>
      </pivotArea>
    </format>
    <format dxfId="1254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253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1252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1251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250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1249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248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247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246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245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8"/>
          </reference>
          <reference field="4" count="2">
            <x v="1"/>
            <x v="9"/>
          </reference>
          <reference field="16" count="1" selected="0">
            <x v="0"/>
          </reference>
        </references>
      </pivotArea>
    </format>
    <format dxfId="1244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243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242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241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3" count="1" selected="0">
            <x v="6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1240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3" count="1" selected="0">
            <x v="7"/>
          </reference>
          <reference field="4" count="2">
            <x v="0"/>
            <x v="3"/>
          </reference>
          <reference field="16" count="1" selected="0">
            <x v="0"/>
          </reference>
        </references>
      </pivotArea>
    </format>
    <format dxfId="1239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3" count="1" selected="0">
            <x v="8"/>
          </reference>
          <reference field="4" count="2">
            <x v="1"/>
            <x v="9"/>
          </reference>
          <reference field="16" count="1" selected="0">
            <x v="0"/>
          </reference>
        </references>
      </pivotArea>
    </format>
    <format dxfId="1238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237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236">
      <pivotArea dataOnly="0" labelOnly="1" fieldPosition="0">
        <references count="5">
          <reference field="1" count="1" selected="0">
            <x v="3"/>
          </reference>
          <reference field="2" count="1" selected="0">
            <x v="5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235">
      <pivotArea dataOnly="0" labelOnly="1" fieldPosition="0">
        <references count="5">
          <reference field="1" count="1" selected="0">
            <x v="3"/>
          </reference>
          <reference field="2" count="1" selected="0">
            <x v="5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234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6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1233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5">
            <x v="4"/>
            <x v="5"/>
            <x v="6"/>
            <x v="7"/>
            <x v="8"/>
          </reference>
          <reference field="16" count="1" selected="0">
            <x v="0"/>
          </reference>
        </references>
      </pivotArea>
    </format>
    <format dxfId="1232">
      <pivotArea dataOnly="0" labelOnly="1" fieldPosition="0">
        <references count="5">
          <reference field="1" count="1" selected="0">
            <x v="5"/>
          </reference>
          <reference field="2" count="1" selected="0">
            <x v="1"/>
          </reference>
          <reference field="3" count="1" selected="0">
            <x v="7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231">
      <pivotArea dataOnly="0" labelOnly="1" fieldPosition="0">
        <references count="5"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2">
            <x v="0"/>
            <x v="3"/>
          </reference>
          <reference field="16" count="1" selected="0">
            <x v="0"/>
          </reference>
        </references>
      </pivotArea>
    </format>
    <format dxfId="1230">
      <pivotArea dataOnly="0" labelOnly="1" fieldPosition="0">
        <references count="5">
          <reference field="1" count="1" selected="0">
            <x v="6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229">
      <pivotArea dataOnly="0" labelOnly="1" fieldPosition="0">
        <references count="5">
          <reference field="1" count="1" selected="0">
            <x v="6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228">
      <pivotArea dataOnly="0" labelOnly="1" fieldPosition="0">
        <references count="5">
          <reference field="1" count="1" selected="0">
            <x v="6"/>
          </reference>
          <reference field="2" count="1" selected="0">
            <x v="1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227">
      <pivotArea dataOnly="0" labelOnly="1" fieldPosition="0">
        <references count="5">
          <reference field="1" count="1" selected="0">
            <x v="6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226">
      <pivotArea dataOnly="0" labelOnly="1" fieldPosition="0">
        <references count="5">
          <reference field="1" count="1" selected="0">
            <x v="6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225">
      <pivotArea dataOnly="0" labelOnly="1" fieldPosition="0">
        <references count="5">
          <reference field="1" count="1" selected="0">
            <x v="6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224">
      <pivotArea dataOnly="0" labelOnly="1" fieldPosition="0">
        <references count="5">
          <reference field="1" count="1" selected="0">
            <x v="6"/>
          </reference>
          <reference field="2" count="1" selected="0">
            <x v="2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223">
      <pivotArea dataOnly="0" labelOnly="1" fieldPosition="0">
        <references count="5">
          <reference field="1" count="1" selected="0">
            <x v="6"/>
          </reference>
          <reference field="2" count="1" selected="0">
            <x v="2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1222">
      <pivotArea dataOnly="0" labelOnly="1" fieldPosition="0">
        <references count="5">
          <reference field="1" count="1" selected="0">
            <x v="7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1221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1"/>
          </reference>
        </references>
      </pivotArea>
    </format>
    <format dxfId="1220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1219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1218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3"/>
          </reference>
        </references>
      </pivotArea>
    </format>
    <format dxfId="1217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3"/>
          </reference>
        </references>
      </pivotArea>
    </format>
    <format dxfId="1216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3"/>
          </reference>
        </references>
      </pivotArea>
    </format>
    <format dxfId="1215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3"/>
          </reference>
        </references>
      </pivotArea>
    </format>
    <format dxfId="1214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3"/>
          </reference>
        </references>
      </pivotArea>
    </format>
    <format dxfId="1213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3"/>
          </reference>
        </references>
      </pivotArea>
    </format>
    <format dxfId="1212">
      <pivotArea dataOnly="0" labelOnly="1" fieldPosition="0">
        <references count="5">
          <reference field="1" count="1" selected="0">
            <x v="3"/>
          </reference>
          <reference field="2" count="1" selected="0">
            <x v="5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3"/>
          </reference>
        </references>
      </pivotArea>
    </format>
    <format dxfId="1211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4"/>
          </reference>
        </references>
      </pivotArea>
    </format>
    <format dxfId="1210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209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208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207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206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205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204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203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202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201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200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9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99">
      <pivotArea dataOnly="0" labelOnly="1" fieldPosition="0">
        <references count="6">
          <reference field="1" count="1" selected="0">
            <x v="2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98">
      <pivotArea dataOnly="0" labelOnly="1" fieldPosition="0">
        <references count="6">
          <reference field="1" count="1" selected="0">
            <x v="2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97">
      <pivotArea dataOnly="0" labelOnly="1" fieldPosition="0">
        <references count="6">
          <reference field="1" count="1" selected="0">
            <x v="2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96">
      <pivotArea dataOnly="0" labelOnly="1" fieldPosition="0">
        <references count="6">
          <reference field="1" count="1" selected="0">
            <x v="2"/>
          </reference>
          <reference field="2" count="1" selected="0">
            <x v="5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95">
      <pivotArea dataOnly="0" labelOnly="1" fieldPosition="0">
        <references count="6">
          <reference field="1" count="1" selected="0">
            <x v="2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3"/>
            <x v="4"/>
          </reference>
          <reference field="16" count="1" selected="0">
            <x v="0"/>
          </reference>
        </references>
      </pivotArea>
    </format>
    <format dxfId="1194">
      <pivotArea dataOnly="0" labelOnly="1" fieldPosition="0">
        <references count="6">
          <reference field="1" count="1" selected="0">
            <x v="2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93">
      <pivotArea dataOnly="0" labelOnly="1" fieldPosition="0">
        <references count="6">
          <reference field="1" count="1" selected="0">
            <x v="2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92">
      <pivotArea dataOnly="0" labelOnly="1" fieldPosition="0">
        <references count="6">
          <reference field="1" count="1" selected="0">
            <x v="2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9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91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90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89">
      <pivotArea dataOnly="0" labelOnly="1" fieldPosition="0">
        <references count="6">
          <reference field="1" count="1" selected="0">
            <x v="3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88">
      <pivotArea dataOnly="0" labelOnly="1" fieldPosition="0">
        <references count="6">
          <reference field="1" count="1" selected="0">
            <x v="3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87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86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85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84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83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82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81">
      <pivotArea dataOnly="0" labelOnly="1" fieldPosition="0">
        <references count="6">
          <reference field="1" count="1" selected="0">
            <x v="5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80">
      <pivotArea dataOnly="0" labelOnly="1" fieldPosition="0">
        <references count="6"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2"/>
            <x v="3"/>
          </reference>
          <reference field="16" count="1" selected="0">
            <x v="0"/>
          </reference>
        </references>
      </pivotArea>
    </format>
    <format dxfId="1179">
      <pivotArea dataOnly="0" labelOnly="1" fieldPosition="0">
        <references count="6"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78">
      <pivotArea dataOnly="0" labelOnly="1" fieldPosition="0">
        <references count="6">
          <reference field="1" count="1" selected="0">
            <x v="6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77">
      <pivotArea dataOnly="0" labelOnly="1" fieldPosition="0">
        <references count="6">
          <reference field="1" count="1" selected="0">
            <x v="6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76">
      <pivotArea dataOnly="0" labelOnly="1" fieldPosition="0">
        <references count="6">
          <reference field="1" count="1" selected="0">
            <x v="6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75">
      <pivotArea dataOnly="0" labelOnly="1" fieldPosition="0">
        <references count="6">
          <reference field="1" count="1" selected="0">
            <x v="6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74">
      <pivotArea dataOnly="0" labelOnly="1" fieldPosition="0">
        <references count="6">
          <reference field="1" count="1" selected="0">
            <x v="6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73">
      <pivotArea dataOnly="0" labelOnly="1" fieldPosition="0">
        <references count="6">
          <reference field="1" count="1" selected="0">
            <x v="6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72">
      <pivotArea dataOnly="0" labelOnly="1" fieldPosition="0">
        <references count="6">
          <reference field="1" count="1" selected="0">
            <x v="6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71">
      <pivotArea dataOnly="0" labelOnly="1" fieldPosition="0">
        <references count="6">
          <reference field="1" count="1" selected="0">
            <x v="6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70">
      <pivotArea dataOnly="0" labelOnly="1" fieldPosition="0">
        <references count="6">
          <reference field="1" count="1" selected="0">
            <x v="7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1169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1"/>
          </reference>
        </references>
      </pivotArea>
    </format>
    <format dxfId="1168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2"/>
          </reference>
        </references>
      </pivotArea>
    </format>
    <format dxfId="1167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2"/>
          </reference>
        </references>
      </pivotArea>
    </format>
    <format dxfId="1166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3"/>
          </reference>
        </references>
      </pivotArea>
    </format>
    <format dxfId="1165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1"/>
          </reference>
          <reference field="16" count="1" selected="0">
            <x v="3"/>
          </reference>
        </references>
      </pivotArea>
    </format>
    <format dxfId="1164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1"/>
          </reference>
          <reference field="16" count="1" selected="0">
            <x v="3"/>
          </reference>
        </references>
      </pivotArea>
    </format>
    <format dxfId="1163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1"/>
          </reference>
          <reference field="16" count="1" selected="0">
            <x v="3"/>
          </reference>
        </references>
      </pivotArea>
    </format>
    <format dxfId="1162">
      <pivotArea dataOnly="0" labelOnly="1" fieldPosition="0">
        <references count="6">
          <reference field="1" count="1" selected="0">
            <x v="2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1"/>
          </reference>
          <reference field="16" count="1" selected="0">
            <x v="3"/>
          </reference>
        </references>
      </pivotArea>
    </format>
    <format dxfId="1161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1"/>
          </reference>
          <reference field="16" count="1" selected="0">
            <x v="3"/>
          </reference>
        </references>
      </pivotArea>
    </format>
    <format dxfId="1160">
      <pivotArea dataOnly="0" labelOnly="1" fieldPosition="0">
        <references count="6">
          <reference field="1" count="1" selected="0">
            <x v="3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1"/>
          </reference>
          <reference field="16" count="1" selected="0">
            <x v="3"/>
          </reference>
        </references>
      </pivotArea>
    </format>
    <format dxfId="1159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0"/>
          </reference>
          <reference field="16" count="1" selected="0">
            <x v="4"/>
          </reference>
        </references>
      </pivotArea>
    </format>
    <format dxfId="1158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1157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1156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1155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1154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1153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1152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1151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1150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1149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1148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9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1147">
      <pivotArea dataOnly="0" labelOnly="1" fieldPosition="0">
        <references count="7">
          <reference field="1" count="1" selected="0">
            <x v="2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1146">
      <pivotArea dataOnly="0" labelOnly="1" fieldPosition="0">
        <references count="7">
          <reference field="1" count="1" selected="0">
            <x v="2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1145">
      <pivotArea dataOnly="0" labelOnly="1" fieldPosition="0">
        <references count="7">
          <reference field="1" count="1" selected="0">
            <x v="2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1144">
      <pivotArea dataOnly="0" labelOnly="1" fieldPosition="0">
        <references count="7">
          <reference field="1" count="1" selected="0">
            <x v="2"/>
          </reference>
          <reference field="2" count="1" selected="0">
            <x v="5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1143">
      <pivotArea dataOnly="0" labelOnly="1" fieldPosition="0">
        <references count="7">
          <reference field="1" count="1" selected="0">
            <x v="2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1142">
      <pivotArea dataOnly="0" labelOnly="1" fieldPosition="0">
        <references count="7">
          <reference field="1" count="1" selected="0">
            <x v="2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1141">
      <pivotArea dataOnly="0" labelOnly="1" fieldPosition="0">
        <references count="7">
          <reference field="1" count="1" selected="0">
            <x v="2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1140">
      <pivotArea dataOnly="0" labelOnly="1" fieldPosition="0">
        <references count="7">
          <reference field="1" count="1" selected="0">
            <x v="2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1139">
      <pivotArea dataOnly="0" labelOnly="1" fieldPosition="0">
        <references count="7">
          <reference field="1" count="1" selected="0">
            <x v="2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9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1138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1137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1136">
      <pivotArea dataOnly="0" labelOnly="1" fieldPosition="0">
        <references count="7">
          <reference field="1" count="1" selected="0">
            <x v="3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1135">
      <pivotArea dataOnly="0" labelOnly="1" fieldPosition="0">
        <references count="7">
          <reference field="1" count="1" selected="0">
            <x v="3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1134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1133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1132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1131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1130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1129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1128">
      <pivotArea dataOnly="0" labelOnly="1" fieldPosition="0">
        <references count="7">
          <reference field="1" count="1" selected="0">
            <x v="5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1127">
      <pivotArea dataOnly="0" labelOnly="1" fieldPosition="0">
        <references count="7"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1126">
      <pivotArea dataOnly="0" labelOnly="1" fieldPosition="0">
        <references count="7"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1125">
      <pivotArea dataOnly="0" labelOnly="1" fieldPosition="0">
        <references count="7"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1124">
      <pivotArea dataOnly="0" labelOnly="1" fieldPosition="0">
        <references count="7">
          <reference field="1" count="1" selected="0">
            <x v="6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1123">
      <pivotArea dataOnly="0" labelOnly="1" fieldPosition="0">
        <references count="7">
          <reference field="1" count="1" selected="0">
            <x v="6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1122">
      <pivotArea dataOnly="0" labelOnly="1" fieldPosition="0">
        <references count="7">
          <reference field="1" count="1" selected="0">
            <x v="6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1121">
      <pivotArea dataOnly="0" labelOnly="1" fieldPosition="0">
        <references count="7">
          <reference field="1" count="1" selected="0">
            <x v="6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1120">
      <pivotArea dataOnly="0" labelOnly="1" fieldPosition="0">
        <references count="7">
          <reference field="1" count="1" selected="0">
            <x v="6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1119">
      <pivotArea dataOnly="0" labelOnly="1" fieldPosition="0">
        <references count="7">
          <reference field="1" count="1" selected="0">
            <x v="6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1118">
      <pivotArea dataOnly="0" labelOnly="1" fieldPosition="0">
        <references count="7">
          <reference field="1" count="1" selected="0">
            <x v="6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1117">
      <pivotArea dataOnly="0" labelOnly="1" fieldPosition="0">
        <references count="7">
          <reference field="1" count="1" selected="0">
            <x v="6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1116">
      <pivotArea dataOnly="0" labelOnly="1" fieldPosition="0">
        <references count="7">
          <reference field="1" count="1" selected="0">
            <x v="7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1115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0"/>
          </reference>
          <reference field="16" count="1" selected="0">
            <x v="1"/>
          </reference>
        </references>
      </pivotArea>
    </format>
    <format dxfId="1114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4"/>
          </reference>
          <reference field="6" count="2">
            <x v="3"/>
            <x v="4"/>
          </reference>
          <reference field="16" count="1" selected="0">
            <x v="2"/>
          </reference>
        </references>
      </pivotArea>
    </format>
    <format dxfId="1113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2"/>
          </reference>
          <reference field="16" count="1" selected="0">
            <x v="2"/>
          </reference>
        </references>
      </pivotArea>
    </format>
    <format dxfId="1112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3"/>
          </reference>
        </references>
      </pivotArea>
    </format>
    <format dxfId="1111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>
            <x v="1"/>
          </reference>
          <reference field="16" count="1" selected="0">
            <x v="3"/>
          </reference>
        </references>
      </pivotArea>
    </format>
    <format dxfId="1110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>
            <x v="1"/>
          </reference>
          <reference field="16" count="1" selected="0">
            <x v="3"/>
          </reference>
        </references>
      </pivotArea>
    </format>
    <format dxfId="1109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>
            <x v="1"/>
          </reference>
          <reference field="16" count="1" selected="0">
            <x v="3"/>
          </reference>
        </references>
      </pivotArea>
    </format>
    <format dxfId="1108">
      <pivotArea dataOnly="0" labelOnly="1" fieldPosition="0">
        <references count="7">
          <reference field="1" count="1" selected="0">
            <x v="2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>
            <x v="1"/>
          </reference>
          <reference field="16" count="1" selected="0">
            <x v="3"/>
          </reference>
        </references>
      </pivotArea>
    </format>
    <format dxfId="1107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>
            <x v="1"/>
          </reference>
          <reference field="16" count="1" selected="0">
            <x v="3"/>
          </reference>
        </references>
      </pivotArea>
    </format>
    <format dxfId="1106">
      <pivotArea dataOnly="0" labelOnly="1" fieldPosition="0">
        <references count="7">
          <reference field="1" count="1" selected="0">
            <x v="3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>
            <x v="1"/>
          </reference>
          <reference field="16" count="1" selected="0">
            <x v="3"/>
          </reference>
        </references>
      </pivotArea>
    </format>
    <format dxfId="1105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1"/>
          </reference>
          <reference field="16" count="1" selected="0">
            <x v="4"/>
          </reference>
        </references>
      </pivotArea>
    </format>
    <format dxfId="1104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1103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1102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1101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1100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1099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1098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1097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1096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1095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1094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9"/>
          </reference>
          <reference field="5" count="1" selected="0">
            <x v="4"/>
          </reference>
          <reference field="6" count="1" selected="0">
            <x v="1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1093">
      <pivotArea dataOnly="0" labelOnly="1" fieldPosition="0">
        <references count="8">
          <reference field="1" count="1" selected="0">
            <x v="2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1092">
      <pivotArea dataOnly="0" labelOnly="1" fieldPosition="0">
        <references count="8">
          <reference field="1" count="1" selected="0">
            <x v="2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1091">
      <pivotArea dataOnly="0" labelOnly="1" fieldPosition="0">
        <references count="8">
          <reference field="1" count="1" selected="0">
            <x v="2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1090">
      <pivotArea dataOnly="0" labelOnly="1" fieldPosition="0">
        <references count="8">
          <reference field="1" count="1" selected="0">
            <x v="2"/>
          </reference>
          <reference field="2" count="1" selected="0">
            <x v="5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1089">
      <pivotArea dataOnly="0" labelOnly="1" fieldPosition="0">
        <references count="8">
          <reference field="1" count="1" selected="0">
            <x v="2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0"/>
          </reference>
          <reference field="16" count="1" selected="0">
            <x v="0"/>
          </reference>
        </references>
      </pivotArea>
    </format>
    <format dxfId="1088">
      <pivotArea dataOnly="0" labelOnly="1" fieldPosition="0">
        <references count="8">
          <reference field="1" count="1" selected="0">
            <x v="2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1087">
      <pivotArea dataOnly="0" labelOnly="1" fieldPosition="0">
        <references count="8">
          <reference field="1" count="1" selected="0">
            <x v="2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1086">
      <pivotArea dataOnly="0" labelOnly="1" fieldPosition="0">
        <references count="8">
          <reference field="1" count="1" selected="0">
            <x v="2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1085">
      <pivotArea dataOnly="0" labelOnly="1" fieldPosition="0">
        <references count="8">
          <reference field="1" count="1" selected="0">
            <x v="2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9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1084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1083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1082">
      <pivotArea dataOnly="0" labelOnly="1" fieldPosition="0">
        <references count="8">
          <reference field="1" count="1" selected="0">
            <x v="3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1081">
      <pivotArea dataOnly="0" labelOnly="1" fieldPosition="0">
        <references count="8">
          <reference field="1" count="1" selected="0">
            <x v="3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1080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1079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078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077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076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075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074">
      <pivotArea dataOnly="0" labelOnly="1" fieldPosition="0">
        <references count="8">
          <reference field="1" count="1" selected="0">
            <x v="5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1073">
      <pivotArea dataOnly="0" labelOnly="1" fieldPosition="0">
        <references count="8"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072">
      <pivotArea dataOnly="0" labelOnly="1" fieldPosition="0">
        <references count="8"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071">
      <pivotArea dataOnly="0" labelOnly="1" fieldPosition="0">
        <references count="8"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070">
      <pivotArea dataOnly="0" labelOnly="1" fieldPosition="0">
        <references count="8">
          <reference field="1" count="1" selected="0">
            <x v="6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1069">
      <pivotArea dataOnly="0" labelOnly="1" fieldPosition="0">
        <references count="8">
          <reference field="1" count="1" selected="0">
            <x v="6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1068">
      <pivotArea dataOnly="0" labelOnly="1" fieldPosition="0">
        <references count="8">
          <reference field="1" count="1" selected="0">
            <x v="6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1067">
      <pivotArea dataOnly="0" labelOnly="1" fieldPosition="0">
        <references count="8">
          <reference field="1" count="1" selected="0">
            <x v="6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066">
      <pivotArea dataOnly="0" labelOnly="1" fieldPosition="0">
        <references count="8">
          <reference field="1" count="1" selected="0">
            <x v="6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065">
      <pivotArea dataOnly="0" labelOnly="1" fieldPosition="0">
        <references count="8">
          <reference field="1" count="1" selected="0">
            <x v="6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064">
      <pivotArea dataOnly="0" labelOnly="1" fieldPosition="0">
        <references count="8">
          <reference field="1" count="1" selected="0">
            <x v="6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063">
      <pivotArea dataOnly="0" labelOnly="1" fieldPosition="0">
        <references count="8">
          <reference field="1" count="1" selected="0">
            <x v="6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062">
      <pivotArea dataOnly="0" labelOnly="1" fieldPosition="0">
        <references count="8">
          <reference field="1" count="1" selected="0">
            <x v="7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061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1060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59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4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58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1057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1056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1055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1054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1053">
      <pivotArea dataOnly="0" labelOnly="1" fieldPosition="0">
        <references count="8">
          <reference field="1" count="1" selected="0">
            <x v="2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1052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1051">
      <pivotArea dataOnly="0" labelOnly="1" fieldPosition="0">
        <references count="8">
          <reference field="1" count="1" selected="0">
            <x v="3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1050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4"/>
          </reference>
        </references>
      </pivotArea>
    </format>
    <format dxfId="104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48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47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46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45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44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43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42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1041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40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39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1038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37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36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35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34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33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32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31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30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29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28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27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9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1026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9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1025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24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1023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22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21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1020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19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18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1017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16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15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1014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13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12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11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1010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09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08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1007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06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1005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1004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1003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9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1002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9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1001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9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1000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999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998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997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996">
      <pivotArea dataOnly="0" labelOnly="1" fieldPosition="0">
        <references count="9">
          <reference field="1" count="1" selected="0">
            <x v="3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995">
      <pivotArea dataOnly="0" labelOnly="1" fieldPosition="0">
        <references count="9">
          <reference field="1" count="1" selected="0">
            <x v="3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94">
      <pivotArea dataOnly="0" labelOnly="1" fieldPosition="0">
        <references count="9">
          <reference field="1" count="1" selected="0">
            <x v="3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993">
      <pivotArea dataOnly="0" labelOnly="1" fieldPosition="0">
        <references count="9">
          <reference field="1" count="1" selected="0">
            <x v="3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992">
      <pivotArea dataOnly="0" labelOnly="1" fieldPosition="0">
        <references count="9">
          <reference field="1" count="1" selected="0">
            <x v="3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91">
      <pivotArea dataOnly="0" labelOnly="1" fieldPosition="0">
        <references count="9">
          <reference field="1" count="1" selected="0">
            <x v="3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990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989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988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987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86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85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84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83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82">
      <pivotArea dataOnly="0" labelOnly="1" fieldPosition="0">
        <references count="9">
          <reference field="1" count="1" selected="0">
            <x v="5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981">
      <pivotArea dataOnly="0" labelOnly="1" fieldPosition="0">
        <references count="9">
          <reference field="1" count="1" selected="0">
            <x v="5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980">
      <pivotArea dataOnly="0" labelOnly="1" fieldPosition="0">
        <references count="9">
          <reference field="1" count="1" selected="0">
            <x v="5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979">
      <pivotArea dataOnly="0" labelOnly="1" fieldPosition="0">
        <references count="9"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78">
      <pivotArea dataOnly="0" labelOnly="1" fieldPosition="0">
        <references count="9"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77">
      <pivotArea dataOnly="0" labelOnly="1" fieldPosition="0">
        <references count="9"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76">
      <pivotArea dataOnly="0" labelOnly="1" fieldPosition="0">
        <references count="9">
          <reference field="1" count="1" selected="0">
            <x v="6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975">
      <pivotArea dataOnly="0" labelOnly="1" fieldPosition="0">
        <references count="9">
          <reference field="1" count="1" selected="0">
            <x v="6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974">
      <pivotArea dataOnly="0" labelOnly="1" fieldPosition="0">
        <references count="9">
          <reference field="1" count="1" selected="0">
            <x v="6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973">
      <pivotArea dataOnly="0" labelOnly="1" fieldPosition="0">
        <references count="9">
          <reference field="1" count="1" selected="0">
            <x v="6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972">
      <pivotArea dataOnly="0" labelOnly="1" fieldPosition="0">
        <references count="9">
          <reference field="1" count="1" selected="0">
            <x v="6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971">
      <pivotArea dataOnly="0" labelOnly="1" fieldPosition="0">
        <references count="9">
          <reference field="1" count="1" selected="0">
            <x v="6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970">
      <pivotArea dataOnly="0" labelOnly="1" fieldPosition="0">
        <references count="9">
          <reference field="1" count="1" selected="0">
            <x v="6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6"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969">
      <pivotArea dataOnly="0" labelOnly="1" fieldPosition="0">
        <references count="9">
          <reference field="1" count="1" selected="0">
            <x v="6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1"/>
          </reference>
          <reference field="8" count="6"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968">
      <pivotArea dataOnly="0" labelOnly="1" fieldPosition="0">
        <references count="9">
          <reference field="1" count="1" selected="0">
            <x v="6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6"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967">
      <pivotArea dataOnly="0" labelOnly="1" fieldPosition="0">
        <references count="9">
          <reference field="1" count="1" selected="0">
            <x v="6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66">
      <pivotArea dataOnly="0" labelOnly="1" fieldPosition="0">
        <references count="9">
          <reference field="1" count="1" selected="0">
            <x v="6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65">
      <pivotArea dataOnly="0" labelOnly="1" fieldPosition="0">
        <references count="9">
          <reference field="1" count="1" selected="0">
            <x v="6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64">
      <pivotArea dataOnly="0" labelOnly="1" fieldPosition="0">
        <references count="9">
          <reference field="1" count="1" selected="0">
            <x v="6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63">
      <pivotArea dataOnly="0" labelOnly="1" fieldPosition="0">
        <references count="9">
          <reference field="1" count="1" selected="0">
            <x v="6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62">
      <pivotArea dataOnly="0" labelOnly="1" fieldPosition="0">
        <references count="9">
          <reference field="1" count="1" selected="0">
            <x v="7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6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96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95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958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957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4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956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955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95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953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952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951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950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949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948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947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946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945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944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943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942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941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940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939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938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937">
      <pivotArea dataOnly="0" labelOnly="1" fieldPosition="0">
        <references count="9">
          <reference field="1" count="1" selected="0">
            <x v="3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936">
      <pivotArea dataOnly="0" labelOnly="1" fieldPosition="0">
        <references count="9">
          <reference field="1" count="1" selected="0">
            <x v="3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935">
      <pivotArea dataOnly="0" labelOnly="1" fieldPosition="0">
        <references count="9">
          <reference field="1" count="1" selected="0">
            <x v="3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93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4"/>
          </reference>
        </references>
      </pivotArea>
    </format>
    <format dxfId="933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4"/>
          </reference>
        </references>
      </pivotArea>
    </format>
    <format dxfId="932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4"/>
          </reference>
        </references>
      </pivotArea>
    </format>
    <format dxfId="931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930">
      <pivotArea type="all" dataOnly="0" outline="0" fieldPosition="0"/>
    </format>
    <format dxfId="929">
      <pivotArea outline="0" collapsedLevelsAreSubtotals="1" fieldPosition="0"/>
    </format>
    <format dxfId="928">
      <pivotArea field="16" type="button" dataOnly="0" labelOnly="1" outline="0" axis="axisRow" fieldPosition="0"/>
    </format>
    <format dxfId="927">
      <pivotArea dataOnly="0" labelOnly="1" fieldPosition="0">
        <references count="1">
          <reference field="16" count="0"/>
        </references>
      </pivotArea>
    </format>
    <format dxfId="926">
      <pivotArea dataOnly="0" labelOnly="1" fieldPosition="0">
        <references count="2">
          <reference field="1" count="0"/>
          <reference field="16" count="1" selected="0">
            <x v="0"/>
          </reference>
        </references>
      </pivotArea>
    </format>
    <format dxfId="925">
      <pivotArea dataOnly="0" labelOnly="1" fieldPosition="0">
        <references count="2">
          <reference field="1" count="1">
            <x v="0"/>
          </reference>
          <reference field="16" count="1" selected="0">
            <x v="1"/>
          </reference>
        </references>
      </pivotArea>
    </format>
    <format dxfId="924">
      <pivotArea dataOnly="0" labelOnly="1" fieldPosition="0">
        <references count="2">
          <reference field="1" count="2">
            <x v="0"/>
            <x v="1"/>
          </reference>
          <reference field="16" count="1" selected="0">
            <x v="2"/>
          </reference>
        </references>
      </pivotArea>
    </format>
    <format dxfId="923">
      <pivotArea dataOnly="0" labelOnly="1" fieldPosition="0">
        <references count="2">
          <reference field="1" count="4">
            <x v="0"/>
            <x v="1"/>
            <x v="2"/>
            <x v="3"/>
          </reference>
          <reference field="16" count="1" selected="0">
            <x v="3"/>
          </reference>
        </references>
      </pivotArea>
    </format>
    <format dxfId="922">
      <pivotArea dataOnly="0" labelOnly="1" fieldPosition="0">
        <references count="2">
          <reference field="1" count="1">
            <x v="0"/>
          </reference>
          <reference field="16" count="1" selected="0">
            <x v="4"/>
          </reference>
        </references>
      </pivotArea>
    </format>
    <format dxfId="921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16" count="1" selected="0">
            <x v="0"/>
          </reference>
        </references>
      </pivotArea>
    </format>
    <format dxfId="920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5"/>
          </reference>
          <reference field="16" count="1" selected="0">
            <x v="0"/>
          </reference>
        </references>
      </pivotArea>
    </format>
    <format dxfId="919">
      <pivotArea dataOnly="0" labelOnly="1" fieldPosition="0">
        <references count="3">
          <reference field="1" count="1" selected="0">
            <x v="2"/>
          </reference>
          <reference field="2" count="2">
            <x v="0"/>
            <x v="5"/>
          </reference>
          <reference field="16" count="1" selected="0">
            <x v="0"/>
          </reference>
        </references>
      </pivotArea>
    </format>
    <format dxfId="918">
      <pivotArea dataOnly="0" labelOnly="1" fieldPosition="0">
        <references count="3">
          <reference field="1" count="1" selected="0">
            <x v="3"/>
          </reference>
          <reference field="2" count="2">
            <x v="0"/>
            <x v="5"/>
          </reference>
          <reference field="16" count="1" selected="0">
            <x v="0"/>
          </reference>
        </references>
      </pivotArea>
    </format>
    <format dxfId="917">
      <pivotArea dataOnly="0" labelOnly="1" fieldPosition="0">
        <references count="3">
          <reference field="1" count="1" selected="0">
            <x v="4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916">
      <pivotArea dataOnly="0" labelOnly="1" fieldPosition="0">
        <references count="3">
          <reference field="1" count="1" selected="0">
            <x v="5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915">
      <pivotArea dataOnly="0" labelOnly="1" fieldPosition="0">
        <references count="3">
          <reference field="1" count="1" selected="0">
            <x v="6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914">
      <pivotArea dataOnly="0" labelOnly="1" fieldPosition="0">
        <references count="3">
          <reference field="1" count="1" selected="0">
            <x v="7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913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16" count="1" selected="0">
            <x v="1"/>
          </reference>
        </references>
      </pivotArea>
    </format>
    <format dxfId="912">
      <pivotArea dataOnly="0" labelOnly="1" fieldPosition="0">
        <references count="3">
          <reference field="1" count="1" selected="0">
            <x v="0"/>
          </reference>
          <reference field="2" count="1">
            <x v="4"/>
          </reference>
          <reference field="16" count="1" selected="0">
            <x v="2"/>
          </reference>
        </references>
      </pivotArea>
    </format>
    <format dxfId="911">
      <pivotArea dataOnly="0" labelOnly="1" fieldPosition="0">
        <references count="3">
          <reference field="1" count="1" selected="0">
            <x v="1"/>
          </reference>
          <reference field="2" count="1">
            <x v="4"/>
          </reference>
          <reference field="16" count="1" selected="0">
            <x v="2"/>
          </reference>
        </references>
      </pivotArea>
    </format>
    <format dxfId="910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16" count="1" selected="0">
            <x v="3"/>
          </reference>
        </references>
      </pivotArea>
    </format>
    <format dxfId="909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5"/>
          </reference>
          <reference field="16" count="1" selected="0">
            <x v="3"/>
          </reference>
        </references>
      </pivotArea>
    </format>
    <format dxfId="908">
      <pivotArea dataOnly="0" labelOnly="1" fieldPosition="0">
        <references count="3">
          <reference field="1" count="1" selected="0">
            <x v="2"/>
          </reference>
          <reference field="2" count="2">
            <x v="0"/>
            <x v="5"/>
          </reference>
          <reference field="16" count="1" selected="0">
            <x v="3"/>
          </reference>
        </references>
      </pivotArea>
    </format>
    <format dxfId="907">
      <pivotArea dataOnly="0" labelOnly="1" fieldPosition="0">
        <references count="3">
          <reference field="1" count="1" selected="0">
            <x v="3"/>
          </reference>
          <reference field="2" count="2">
            <x v="0"/>
            <x v="5"/>
          </reference>
          <reference field="16" count="1" selected="0">
            <x v="3"/>
          </reference>
        </references>
      </pivotArea>
    </format>
    <format dxfId="906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16" count="1" selected="0">
            <x v="4"/>
          </reference>
        </references>
      </pivotArea>
    </format>
    <format dxfId="905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2">
            <x v="0"/>
            <x v="8"/>
          </reference>
          <reference field="16" count="1" selected="0">
            <x v="0"/>
          </reference>
        </references>
      </pivotArea>
    </format>
    <format dxfId="904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8"/>
          </reference>
          <reference field="16" count="1" selected="0">
            <x v="0"/>
          </reference>
        </references>
      </pivotArea>
    </format>
    <format dxfId="903">
      <pivotArea dataOnly="0" labelOnly="1" fieldPosition="0">
        <references count="4">
          <reference field="1" count="1" selected="0">
            <x v="1"/>
          </reference>
          <reference field="2" count="1" selected="0">
            <x v="5"/>
          </reference>
          <reference field="3" count="2">
            <x v="0"/>
            <x v="8"/>
          </reference>
          <reference field="16" count="1" selected="0">
            <x v="0"/>
          </reference>
        </references>
      </pivotArea>
    </format>
    <format dxfId="902">
      <pivotArea dataOnly="0" labelOnly="1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5">
            <x v="0"/>
            <x v="3"/>
            <x v="5"/>
            <x v="7"/>
            <x v="8"/>
          </reference>
          <reference field="16" count="1" selected="0">
            <x v="0"/>
          </reference>
        </references>
      </pivotArea>
    </format>
    <format dxfId="901">
      <pivotArea dataOnly="0" labelOnly="1" fieldPosition="0">
        <references count="4">
          <reference field="1" count="1" selected="0">
            <x v="2"/>
          </reference>
          <reference field="2" count="1" selected="0">
            <x v="5"/>
          </reference>
          <reference field="3" count="6">
            <x v="0"/>
            <x v="3"/>
            <x v="5"/>
            <x v="6"/>
            <x v="7"/>
            <x v="8"/>
          </reference>
          <reference field="16" count="1" selected="0">
            <x v="0"/>
          </reference>
        </references>
      </pivotArea>
    </format>
    <format dxfId="900">
      <pivotArea dataOnly="0" labelOnly="1" fieldPosition="0">
        <references count="4">
          <reference field="1" count="1" selected="0">
            <x v="3"/>
          </reference>
          <reference field="2" count="1" selected="0">
            <x v="0"/>
          </reference>
          <reference field="3" count="2">
            <x v="0"/>
            <x v="5"/>
          </reference>
          <reference field="16" count="1" selected="0">
            <x v="0"/>
          </reference>
        </references>
      </pivotArea>
    </format>
    <format dxfId="899">
      <pivotArea dataOnly="0" labelOnly="1" fieldPosition="0">
        <references count="4">
          <reference field="1" count="1" selected="0">
            <x v="3"/>
          </reference>
          <reference field="2" count="1" selected="0">
            <x v="5"/>
          </reference>
          <reference field="3" count="2">
            <x v="0"/>
            <x v="5"/>
          </reference>
          <reference field="16" count="1" selected="0">
            <x v="0"/>
          </reference>
        </references>
      </pivotArea>
    </format>
    <format dxfId="898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897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896">
      <pivotArea dataOnly="0" labelOnly="1" fieldPosition="0">
        <references count="4">
          <reference field="1" count="1" selected="0">
            <x v="5"/>
          </reference>
          <reference field="2" count="1" selected="0">
            <x v="1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895">
      <pivotArea dataOnly="0" labelOnly="1" fieldPosition="0">
        <references count="4">
          <reference field="1" count="1" selected="0">
            <x v="5"/>
          </reference>
          <reference field="2" count="1" selected="0">
            <x v="2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894">
      <pivotArea dataOnly="0" labelOnly="1" fieldPosition="0">
        <references count="4">
          <reference field="1" count="1" selected="0">
            <x v="6"/>
          </reference>
          <reference field="2" count="1" selected="0">
            <x v="1"/>
          </reference>
          <reference field="3" count="3">
            <x v="0"/>
            <x v="3"/>
            <x v="5"/>
          </reference>
          <reference field="16" count="1" selected="0">
            <x v="0"/>
          </reference>
        </references>
      </pivotArea>
    </format>
    <format dxfId="893">
      <pivotArea dataOnly="0" labelOnly="1" fieldPosition="0">
        <references count="4">
          <reference field="1" count="1" selected="0">
            <x v="6"/>
          </reference>
          <reference field="2" count="1" selected="0">
            <x v="2"/>
          </reference>
          <reference field="3" count="5">
            <x v="0"/>
            <x v="1"/>
            <x v="3"/>
            <x v="5"/>
            <x v="8"/>
          </reference>
          <reference field="16" count="1" selected="0">
            <x v="0"/>
          </reference>
        </references>
      </pivotArea>
    </format>
    <format dxfId="892">
      <pivotArea dataOnly="0" labelOnly="1" fieldPosition="0">
        <references count="4">
          <reference field="1" count="1" selected="0">
            <x v="7"/>
          </reference>
          <reference field="2" count="1" selected="0">
            <x v="2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891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4"/>
          </reference>
          <reference field="16" count="1" selected="0">
            <x v="1"/>
          </reference>
        </references>
      </pivotArea>
    </format>
    <format dxfId="890">
      <pivotArea dataOnly="0" labelOnly="1" fieldPosition="0">
        <references count="4">
          <reference field="1" count="1" selected="0">
            <x v="0"/>
          </reference>
          <reference field="2" count="1" selected="0">
            <x v="4"/>
          </reference>
          <reference field="3" count="1">
            <x v="4"/>
          </reference>
          <reference field="16" count="1" selected="0">
            <x v="2"/>
          </reference>
        </references>
      </pivotArea>
    </format>
    <format dxfId="889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4"/>
          </reference>
          <reference field="16" count="1" selected="0">
            <x v="2"/>
          </reference>
        </references>
      </pivotArea>
    </format>
    <format dxfId="888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3"/>
          </reference>
        </references>
      </pivotArea>
    </format>
    <format dxfId="887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3"/>
          </reference>
        </references>
      </pivotArea>
    </format>
    <format dxfId="886">
      <pivotArea dataOnly="0" labelOnly="1" fieldPosition="0">
        <references count="4">
          <reference field="1" count="1" selected="0">
            <x v="1"/>
          </reference>
          <reference field="2" count="1" selected="0">
            <x v="5"/>
          </reference>
          <reference field="3" count="1">
            <x v="3"/>
          </reference>
          <reference field="16" count="1" selected="0">
            <x v="3"/>
          </reference>
        </references>
      </pivotArea>
    </format>
    <format dxfId="885">
      <pivotArea dataOnly="0" labelOnly="1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3"/>
          </reference>
        </references>
      </pivotArea>
    </format>
    <format dxfId="884">
      <pivotArea dataOnly="0" labelOnly="1" fieldPosition="0">
        <references count="4">
          <reference field="1" count="1" selected="0">
            <x v="2"/>
          </reference>
          <reference field="2" count="1" selected="0">
            <x v="5"/>
          </reference>
          <reference field="3" count="1">
            <x v="3"/>
          </reference>
          <reference field="16" count="1" selected="0">
            <x v="3"/>
          </reference>
        </references>
      </pivotArea>
    </format>
    <format dxfId="883">
      <pivotArea dataOnly="0" labelOnly="1" fieldPosition="0">
        <references count="4">
          <reference field="1" count="1" selected="0">
            <x v="3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3"/>
          </reference>
        </references>
      </pivotArea>
    </format>
    <format dxfId="882">
      <pivotArea dataOnly="0" labelOnly="1" fieldPosition="0">
        <references count="4">
          <reference field="1" count="1" selected="0">
            <x v="3"/>
          </reference>
          <reference field="2" count="1" selected="0">
            <x v="5"/>
          </reference>
          <reference field="3" count="1">
            <x v="3"/>
          </reference>
          <reference field="16" count="1" selected="0">
            <x v="3"/>
          </reference>
        </references>
      </pivotArea>
    </format>
    <format dxfId="881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4"/>
          </reference>
        </references>
      </pivotArea>
    </format>
    <format dxfId="880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879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878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877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876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875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874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873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872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871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8"/>
          </reference>
          <reference field="4" count="2">
            <x v="1"/>
            <x v="9"/>
          </reference>
          <reference field="16" count="1" selected="0">
            <x v="0"/>
          </reference>
        </references>
      </pivotArea>
    </format>
    <format dxfId="870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869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868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867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3" count="1" selected="0">
            <x v="6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866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3" count="1" selected="0">
            <x v="7"/>
          </reference>
          <reference field="4" count="2">
            <x v="0"/>
            <x v="3"/>
          </reference>
          <reference field="16" count="1" selected="0">
            <x v="0"/>
          </reference>
        </references>
      </pivotArea>
    </format>
    <format dxfId="865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3" count="1" selected="0">
            <x v="8"/>
          </reference>
          <reference field="4" count="2">
            <x v="1"/>
            <x v="9"/>
          </reference>
          <reference field="16" count="1" selected="0">
            <x v="0"/>
          </reference>
        </references>
      </pivotArea>
    </format>
    <format dxfId="864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863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862">
      <pivotArea dataOnly="0" labelOnly="1" fieldPosition="0">
        <references count="5">
          <reference field="1" count="1" selected="0">
            <x v="3"/>
          </reference>
          <reference field="2" count="1" selected="0">
            <x v="5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861">
      <pivotArea dataOnly="0" labelOnly="1" fieldPosition="0">
        <references count="5">
          <reference field="1" count="1" selected="0">
            <x v="3"/>
          </reference>
          <reference field="2" count="1" selected="0">
            <x v="5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860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6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859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5">
            <x v="4"/>
            <x v="5"/>
            <x v="6"/>
            <x v="7"/>
            <x v="8"/>
          </reference>
          <reference field="16" count="1" selected="0">
            <x v="0"/>
          </reference>
        </references>
      </pivotArea>
    </format>
    <format dxfId="858">
      <pivotArea dataOnly="0" labelOnly="1" fieldPosition="0">
        <references count="5">
          <reference field="1" count="1" selected="0">
            <x v="5"/>
          </reference>
          <reference field="2" count="1" selected="0">
            <x v="1"/>
          </reference>
          <reference field="3" count="1" selected="0">
            <x v="7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857">
      <pivotArea dataOnly="0" labelOnly="1" fieldPosition="0">
        <references count="5"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2">
            <x v="0"/>
            <x v="3"/>
          </reference>
          <reference field="16" count="1" selected="0">
            <x v="0"/>
          </reference>
        </references>
      </pivotArea>
    </format>
    <format dxfId="856">
      <pivotArea dataOnly="0" labelOnly="1" fieldPosition="0">
        <references count="5">
          <reference field="1" count="1" selected="0">
            <x v="6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855">
      <pivotArea dataOnly="0" labelOnly="1" fieldPosition="0">
        <references count="5">
          <reference field="1" count="1" selected="0">
            <x v="6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854">
      <pivotArea dataOnly="0" labelOnly="1" fieldPosition="0">
        <references count="5">
          <reference field="1" count="1" selected="0">
            <x v="6"/>
          </reference>
          <reference field="2" count="1" selected="0">
            <x v="1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853">
      <pivotArea dataOnly="0" labelOnly="1" fieldPosition="0">
        <references count="5">
          <reference field="1" count="1" selected="0">
            <x v="6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852">
      <pivotArea dataOnly="0" labelOnly="1" fieldPosition="0">
        <references count="5">
          <reference field="1" count="1" selected="0">
            <x v="6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851">
      <pivotArea dataOnly="0" labelOnly="1" fieldPosition="0">
        <references count="5">
          <reference field="1" count="1" selected="0">
            <x v="6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850">
      <pivotArea dataOnly="0" labelOnly="1" fieldPosition="0">
        <references count="5">
          <reference field="1" count="1" selected="0">
            <x v="6"/>
          </reference>
          <reference field="2" count="1" selected="0">
            <x v="2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849">
      <pivotArea dataOnly="0" labelOnly="1" fieldPosition="0">
        <references count="5">
          <reference field="1" count="1" selected="0">
            <x v="6"/>
          </reference>
          <reference field="2" count="1" selected="0">
            <x v="2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848">
      <pivotArea dataOnly="0" labelOnly="1" fieldPosition="0">
        <references count="5">
          <reference field="1" count="1" selected="0">
            <x v="7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847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1"/>
          </reference>
        </references>
      </pivotArea>
    </format>
    <format dxfId="846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845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844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3"/>
          </reference>
        </references>
      </pivotArea>
    </format>
    <format dxfId="843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3"/>
          </reference>
        </references>
      </pivotArea>
    </format>
    <format dxfId="842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3"/>
          </reference>
        </references>
      </pivotArea>
    </format>
    <format dxfId="841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3"/>
          </reference>
        </references>
      </pivotArea>
    </format>
    <format dxfId="840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3"/>
          </reference>
        </references>
      </pivotArea>
    </format>
    <format dxfId="839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3"/>
          </reference>
        </references>
      </pivotArea>
    </format>
    <format dxfId="838">
      <pivotArea dataOnly="0" labelOnly="1" fieldPosition="0">
        <references count="5">
          <reference field="1" count="1" selected="0">
            <x v="3"/>
          </reference>
          <reference field="2" count="1" selected="0">
            <x v="5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3"/>
          </reference>
        </references>
      </pivotArea>
    </format>
    <format dxfId="837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4"/>
          </reference>
        </references>
      </pivotArea>
    </format>
    <format dxfId="836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35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34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33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32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31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30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29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28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27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26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9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25">
      <pivotArea dataOnly="0" labelOnly="1" fieldPosition="0">
        <references count="6">
          <reference field="1" count="1" selected="0">
            <x v="2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24">
      <pivotArea dataOnly="0" labelOnly="1" fieldPosition="0">
        <references count="6">
          <reference field="1" count="1" selected="0">
            <x v="2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23">
      <pivotArea dataOnly="0" labelOnly="1" fieldPosition="0">
        <references count="6">
          <reference field="1" count="1" selected="0">
            <x v="2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22">
      <pivotArea dataOnly="0" labelOnly="1" fieldPosition="0">
        <references count="6">
          <reference field="1" count="1" selected="0">
            <x v="2"/>
          </reference>
          <reference field="2" count="1" selected="0">
            <x v="5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21">
      <pivotArea dataOnly="0" labelOnly="1" fieldPosition="0">
        <references count="6">
          <reference field="1" count="1" selected="0">
            <x v="2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3"/>
            <x v="4"/>
          </reference>
          <reference field="16" count="1" selected="0">
            <x v="0"/>
          </reference>
        </references>
      </pivotArea>
    </format>
    <format dxfId="820">
      <pivotArea dataOnly="0" labelOnly="1" fieldPosition="0">
        <references count="6">
          <reference field="1" count="1" selected="0">
            <x v="2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19">
      <pivotArea dataOnly="0" labelOnly="1" fieldPosition="0">
        <references count="6">
          <reference field="1" count="1" selected="0">
            <x v="2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18">
      <pivotArea dataOnly="0" labelOnly="1" fieldPosition="0">
        <references count="6">
          <reference field="1" count="1" selected="0">
            <x v="2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9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17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16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15">
      <pivotArea dataOnly="0" labelOnly="1" fieldPosition="0">
        <references count="6">
          <reference field="1" count="1" selected="0">
            <x v="3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14">
      <pivotArea dataOnly="0" labelOnly="1" fieldPosition="0">
        <references count="6">
          <reference field="1" count="1" selected="0">
            <x v="3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13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12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11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10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09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08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07">
      <pivotArea dataOnly="0" labelOnly="1" fieldPosition="0">
        <references count="6">
          <reference field="1" count="1" selected="0">
            <x v="5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06">
      <pivotArea dataOnly="0" labelOnly="1" fieldPosition="0">
        <references count="6"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2"/>
            <x v="3"/>
          </reference>
          <reference field="16" count="1" selected="0">
            <x v="0"/>
          </reference>
        </references>
      </pivotArea>
    </format>
    <format dxfId="805">
      <pivotArea dataOnly="0" labelOnly="1" fieldPosition="0">
        <references count="6"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04">
      <pivotArea dataOnly="0" labelOnly="1" fieldPosition="0">
        <references count="6">
          <reference field="1" count="1" selected="0">
            <x v="6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03">
      <pivotArea dataOnly="0" labelOnly="1" fieldPosition="0">
        <references count="6">
          <reference field="1" count="1" selected="0">
            <x v="6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02">
      <pivotArea dataOnly="0" labelOnly="1" fieldPosition="0">
        <references count="6">
          <reference field="1" count="1" selected="0">
            <x v="6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01">
      <pivotArea dataOnly="0" labelOnly="1" fieldPosition="0">
        <references count="6">
          <reference field="1" count="1" selected="0">
            <x v="6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800">
      <pivotArea dataOnly="0" labelOnly="1" fieldPosition="0">
        <references count="6">
          <reference field="1" count="1" selected="0">
            <x v="6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799">
      <pivotArea dataOnly="0" labelOnly="1" fieldPosition="0">
        <references count="6">
          <reference field="1" count="1" selected="0">
            <x v="6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798">
      <pivotArea dataOnly="0" labelOnly="1" fieldPosition="0">
        <references count="6">
          <reference field="1" count="1" selected="0">
            <x v="6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797">
      <pivotArea dataOnly="0" labelOnly="1" fieldPosition="0">
        <references count="6">
          <reference field="1" count="1" selected="0">
            <x v="6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796">
      <pivotArea dataOnly="0" labelOnly="1" fieldPosition="0">
        <references count="6">
          <reference field="1" count="1" selected="0">
            <x v="7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4"/>
          </reference>
          <reference field="16" count="1" selected="0">
            <x v="0"/>
          </reference>
        </references>
      </pivotArea>
    </format>
    <format dxfId="795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1"/>
          </reference>
        </references>
      </pivotArea>
    </format>
    <format dxfId="794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2"/>
          </reference>
        </references>
      </pivotArea>
    </format>
    <format dxfId="793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2"/>
          </reference>
        </references>
      </pivotArea>
    </format>
    <format dxfId="792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4"/>
          </reference>
          <reference field="16" count="1" selected="0">
            <x v="3"/>
          </reference>
        </references>
      </pivotArea>
    </format>
    <format dxfId="791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1"/>
          </reference>
          <reference field="16" count="1" selected="0">
            <x v="3"/>
          </reference>
        </references>
      </pivotArea>
    </format>
    <format dxfId="790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1"/>
          </reference>
          <reference field="16" count="1" selected="0">
            <x v="3"/>
          </reference>
        </references>
      </pivotArea>
    </format>
    <format dxfId="789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1"/>
          </reference>
          <reference field="16" count="1" selected="0">
            <x v="3"/>
          </reference>
        </references>
      </pivotArea>
    </format>
    <format dxfId="788">
      <pivotArea dataOnly="0" labelOnly="1" fieldPosition="0">
        <references count="6">
          <reference field="1" count="1" selected="0">
            <x v="2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1"/>
          </reference>
          <reference field="16" count="1" selected="0">
            <x v="3"/>
          </reference>
        </references>
      </pivotArea>
    </format>
    <format dxfId="787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1"/>
          </reference>
          <reference field="16" count="1" selected="0">
            <x v="3"/>
          </reference>
        </references>
      </pivotArea>
    </format>
    <format dxfId="786">
      <pivotArea dataOnly="0" labelOnly="1" fieldPosition="0">
        <references count="6">
          <reference field="1" count="1" selected="0">
            <x v="3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1"/>
          </reference>
          <reference field="16" count="1" selected="0">
            <x v="3"/>
          </reference>
        </references>
      </pivotArea>
    </format>
    <format dxfId="785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0"/>
          </reference>
          <reference field="16" count="1" selected="0">
            <x v="4"/>
          </reference>
        </references>
      </pivotArea>
    </format>
    <format dxfId="784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83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82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81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80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79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78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77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76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75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74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9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73">
      <pivotArea dataOnly="0" labelOnly="1" fieldPosition="0">
        <references count="7">
          <reference field="1" count="1" selected="0">
            <x v="2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72">
      <pivotArea dataOnly="0" labelOnly="1" fieldPosition="0">
        <references count="7">
          <reference field="1" count="1" selected="0">
            <x v="2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71">
      <pivotArea dataOnly="0" labelOnly="1" fieldPosition="0">
        <references count="7">
          <reference field="1" count="1" selected="0">
            <x v="2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70">
      <pivotArea dataOnly="0" labelOnly="1" fieldPosition="0">
        <references count="7">
          <reference field="1" count="1" selected="0">
            <x v="2"/>
          </reference>
          <reference field="2" count="1" selected="0">
            <x v="5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69">
      <pivotArea dataOnly="0" labelOnly="1" fieldPosition="0">
        <references count="7">
          <reference field="1" count="1" selected="0">
            <x v="2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68">
      <pivotArea dataOnly="0" labelOnly="1" fieldPosition="0">
        <references count="7">
          <reference field="1" count="1" selected="0">
            <x v="2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67">
      <pivotArea dataOnly="0" labelOnly="1" fieldPosition="0">
        <references count="7">
          <reference field="1" count="1" selected="0">
            <x v="2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66">
      <pivotArea dataOnly="0" labelOnly="1" fieldPosition="0">
        <references count="7">
          <reference field="1" count="1" selected="0">
            <x v="2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65">
      <pivotArea dataOnly="0" labelOnly="1" fieldPosition="0">
        <references count="7">
          <reference field="1" count="1" selected="0">
            <x v="2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9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64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63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62">
      <pivotArea dataOnly="0" labelOnly="1" fieldPosition="0">
        <references count="7">
          <reference field="1" count="1" selected="0">
            <x v="3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61">
      <pivotArea dataOnly="0" labelOnly="1" fieldPosition="0">
        <references count="7">
          <reference field="1" count="1" selected="0">
            <x v="3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60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59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58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57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56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55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54">
      <pivotArea dataOnly="0" labelOnly="1" fieldPosition="0">
        <references count="7">
          <reference field="1" count="1" selected="0">
            <x v="5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53">
      <pivotArea dataOnly="0" labelOnly="1" fieldPosition="0">
        <references count="7"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52">
      <pivotArea dataOnly="0" labelOnly="1" fieldPosition="0">
        <references count="7"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51">
      <pivotArea dataOnly="0" labelOnly="1" fieldPosition="0">
        <references count="7"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50">
      <pivotArea dataOnly="0" labelOnly="1" fieldPosition="0">
        <references count="7">
          <reference field="1" count="1" selected="0">
            <x v="6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49">
      <pivotArea dataOnly="0" labelOnly="1" fieldPosition="0">
        <references count="7">
          <reference field="1" count="1" selected="0">
            <x v="6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48">
      <pivotArea dataOnly="0" labelOnly="1" fieldPosition="0">
        <references count="7">
          <reference field="1" count="1" selected="0">
            <x v="6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47">
      <pivotArea dataOnly="0" labelOnly="1" fieldPosition="0">
        <references count="7">
          <reference field="1" count="1" selected="0">
            <x v="6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46">
      <pivotArea dataOnly="0" labelOnly="1" fieldPosition="0">
        <references count="7">
          <reference field="1" count="1" selected="0">
            <x v="6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45">
      <pivotArea dataOnly="0" labelOnly="1" fieldPosition="0">
        <references count="7">
          <reference field="1" count="1" selected="0">
            <x v="6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44">
      <pivotArea dataOnly="0" labelOnly="1" fieldPosition="0">
        <references count="7">
          <reference field="1" count="1" selected="0">
            <x v="6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43">
      <pivotArea dataOnly="0" labelOnly="1" fieldPosition="0">
        <references count="7">
          <reference field="1" count="1" selected="0">
            <x v="6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42">
      <pivotArea dataOnly="0" labelOnly="1" fieldPosition="0">
        <references count="7">
          <reference field="1" count="1" selected="0">
            <x v="7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41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0"/>
          </reference>
          <reference field="16" count="1" selected="0">
            <x v="1"/>
          </reference>
        </references>
      </pivotArea>
    </format>
    <format dxfId="740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4"/>
          </reference>
          <reference field="6" count="2">
            <x v="3"/>
            <x v="4"/>
          </reference>
          <reference field="16" count="1" selected="0">
            <x v="2"/>
          </reference>
        </references>
      </pivotArea>
    </format>
    <format dxfId="739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2"/>
          </reference>
          <reference field="16" count="1" selected="0">
            <x v="2"/>
          </reference>
        </references>
      </pivotArea>
    </format>
    <format dxfId="738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1"/>
          </reference>
          <reference field="16" count="1" selected="0">
            <x v="3"/>
          </reference>
        </references>
      </pivotArea>
    </format>
    <format dxfId="737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>
            <x v="1"/>
          </reference>
          <reference field="16" count="1" selected="0">
            <x v="3"/>
          </reference>
        </references>
      </pivotArea>
    </format>
    <format dxfId="736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>
            <x v="1"/>
          </reference>
          <reference field="16" count="1" selected="0">
            <x v="3"/>
          </reference>
        </references>
      </pivotArea>
    </format>
    <format dxfId="735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>
            <x v="1"/>
          </reference>
          <reference field="16" count="1" selected="0">
            <x v="3"/>
          </reference>
        </references>
      </pivotArea>
    </format>
    <format dxfId="734">
      <pivotArea dataOnly="0" labelOnly="1" fieldPosition="0">
        <references count="7">
          <reference field="1" count="1" selected="0">
            <x v="2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>
            <x v="1"/>
          </reference>
          <reference field="16" count="1" selected="0">
            <x v="3"/>
          </reference>
        </references>
      </pivotArea>
    </format>
    <format dxfId="733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>
            <x v="1"/>
          </reference>
          <reference field="16" count="1" selected="0">
            <x v="3"/>
          </reference>
        </references>
      </pivotArea>
    </format>
    <format dxfId="732">
      <pivotArea dataOnly="0" labelOnly="1" fieldPosition="0">
        <references count="7">
          <reference field="1" count="1" selected="0">
            <x v="3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>
            <x v="1"/>
          </reference>
          <reference field="16" count="1" selected="0">
            <x v="3"/>
          </reference>
        </references>
      </pivotArea>
    </format>
    <format dxfId="731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1"/>
          </reference>
          <reference field="16" count="1" selected="0">
            <x v="4"/>
          </reference>
        </references>
      </pivotArea>
    </format>
    <format dxfId="730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729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728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727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726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725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724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723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722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721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720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9"/>
          </reference>
          <reference field="5" count="1" selected="0">
            <x v="4"/>
          </reference>
          <reference field="6" count="1" selected="0">
            <x v="1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719">
      <pivotArea dataOnly="0" labelOnly="1" fieldPosition="0">
        <references count="8">
          <reference field="1" count="1" selected="0">
            <x v="2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718">
      <pivotArea dataOnly="0" labelOnly="1" fieldPosition="0">
        <references count="8">
          <reference field="1" count="1" selected="0">
            <x v="2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717">
      <pivotArea dataOnly="0" labelOnly="1" fieldPosition="0">
        <references count="8">
          <reference field="1" count="1" selected="0">
            <x v="2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716">
      <pivotArea dataOnly="0" labelOnly="1" fieldPosition="0">
        <references count="8">
          <reference field="1" count="1" selected="0">
            <x v="2"/>
          </reference>
          <reference field="2" count="1" selected="0">
            <x v="5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715">
      <pivotArea dataOnly="0" labelOnly="1" fieldPosition="0">
        <references count="8">
          <reference field="1" count="1" selected="0">
            <x v="2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0"/>
          </reference>
          <reference field="16" count="1" selected="0">
            <x v="0"/>
          </reference>
        </references>
      </pivotArea>
    </format>
    <format dxfId="714">
      <pivotArea dataOnly="0" labelOnly="1" fieldPosition="0">
        <references count="8">
          <reference field="1" count="1" selected="0">
            <x v="2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713">
      <pivotArea dataOnly="0" labelOnly="1" fieldPosition="0">
        <references count="8">
          <reference field="1" count="1" selected="0">
            <x v="2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712">
      <pivotArea dataOnly="0" labelOnly="1" fieldPosition="0">
        <references count="8">
          <reference field="1" count="1" selected="0">
            <x v="2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711">
      <pivotArea dataOnly="0" labelOnly="1" fieldPosition="0">
        <references count="8">
          <reference field="1" count="1" selected="0">
            <x v="2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9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710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709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708">
      <pivotArea dataOnly="0" labelOnly="1" fieldPosition="0">
        <references count="8">
          <reference field="1" count="1" selected="0">
            <x v="3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707">
      <pivotArea dataOnly="0" labelOnly="1" fieldPosition="0">
        <references count="8">
          <reference field="1" count="1" selected="0">
            <x v="3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706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705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04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03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02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01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00">
      <pivotArea dataOnly="0" labelOnly="1" fieldPosition="0">
        <references count="8">
          <reference field="1" count="1" selected="0">
            <x v="5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699">
      <pivotArea dataOnly="0" labelOnly="1" fieldPosition="0">
        <references count="8"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98">
      <pivotArea dataOnly="0" labelOnly="1" fieldPosition="0">
        <references count="8"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97">
      <pivotArea dataOnly="0" labelOnly="1" fieldPosition="0">
        <references count="8"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96">
      <pivotArea dataOnly="0" labelOnly="1" fieldPosition="0">
        <references count="8">
          <reference field="1" count="1" selected="0">
            <x v="6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695">
      <pivotArea dataOnly="0" labelOnly="1" fieldPosition="0">
        <references count="8">
          <reference field="1" count="1" selected="0">
            <x v="6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694">
      <pivotArea dataOnly="0" labelOnly="1" fieldPosition="0">
        <references count="8">
          <reference field="1" count="1" selected="0">
            <x v="6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693">
      <pivotArea dataOnly="0" labelOnly="1" fieldPosition="0">
        <references count="8">
          <reference field="1" count="1" selected="0">
            <x v="6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92">
      <pivotArea dataOnly="0" labelOnly="1" fieldPosition="0">
        <references count="8">
          <reference field="1" count="1" selected="0">
            <x v="6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91">
      <pivotArea dataOnly="0" labelOnly="1" fieldPosition="0">
        <references count="8">
          <reference field="1" count="1" selected="0">
            <x v="6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90">
      <pivotArea dataOnly="0" labelOnly="1" fieldPosition="0">
        <references count="8">
          <reference field="1" count="1" selected="0">
            <x v="6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89">
      <pivotArea dataOnly="0" labelOnly="1" fieldPosition="0">
        <references count="8">
          <reference field="1" count="1" selected="0">
            <x v="6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88">
      <pivotArea dataOnly="0" labelOnly="1" fieldPosition="0">
        <references count="8">
          <reference field="1" count="1" selected="0">
            <x v="7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87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686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685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4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684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683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682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681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680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679">
      <pivotArea dataOnly="0" labelOnly="1" fieldPosition="0">
        <references count="8">
          <reference field="1" count="1" selected="0">
            <x v="2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678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677">
      <pivotArea dataOnly="0" labelOnly="1" fieldPosition="0">
        <references count="8">
          <reference field="1" count="1" selected="0">
            <x v="3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676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4"/>
          </reference>
        </references>
      </pivotArea>
    </format>
    <format dxfId="675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7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73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72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71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70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69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68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67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66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65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64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63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62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61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60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59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58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57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56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55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54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53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9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652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9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651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50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49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48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47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46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45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44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43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42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41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40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39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38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37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36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35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34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33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32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31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30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29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9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628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9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627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9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11"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626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25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24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23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22">
      <pivotArea dataOnly="0" labelOnly="1" fieldPosition="0">
        <references count="9">
          <reference field="1" count="1" selected="0">
            <x v="3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21">
      <pivotArea dataOnly="0" labelOnly="1" fieldPosition="0">
        <references count="9">
          <reference field="1" count="1" selected="0">
            <x v="3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20">
      <pivotArea dataOnly="0" labelOnly="1" fieldPosition="0">
        <references count="9">
          <reference field="1" count="1" selected="0">
            <x v="3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19">
      <pivotArea dataOnly="0" labelOnly="1" fieldPosition="0">
        <references count="9">
          <reference field="1" count="1" selected="0">
            <x v="3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18">
      <pivotArea dataOnly="0" labelOnly="1" fieldPosition="0">
        <references count="9">
          <reference field="1" count="1" selected="0">
            <x v="3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17">
      <pivotArea dataOnly="0" labelOnly="1" fieldPosition="0">
        <references count="9">
          <reference field="1" count="1" selected="0">
            <x v="3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16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15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14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13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12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11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10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09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08">
      <pivotArea dataOnly="0" labelOnly="1" fieldPosition="0">
        <references count="9">
          <reference field="1" count="1" selected="0">
            <x v="5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07">
      <pivotArea dataOnly="0" labelOnly="1" fieldPosition="0">
        <references count="9">
          <reference field="1" count="1" selected="0">
            <x v="5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06">
      <pivotArea dataOnly="0" labelOnly="1" fieldPosition="0">
        <references count="9">
          <reference field="1" count="1" selected="0">
            <x v="5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05">
      <pivotArea dataOnly="0" labelOnly="1" fieldPosition="0">
        <references count="9"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04">
      <pivotArea dataOnly="0" labelOnly="1" fieldPosition="0">
        <references count="9"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03">
      <pivotArea dataOnly="0" labelOnly="1" fieldPosition="0">
        <references count="9">
          <reference field="1" count="1" selected="0">
            <x v="5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02">
      <pivotArea dataOnly="0" labelOnly="1" fieldPosition="0">
        <references count="9">
          <reference field="1" count="1" selected="0">
            <x v="6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01">
      <pivotArea dataOnly="0" labelOnly="1" fieldPosition="0">
        <references count="9">
          <reference field="1" count="1" selected="0">
            <x v="6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00">
      <pivotArea dataOnly="0" labelOnly="1" fieldPosition="0">
        <references count="9">
          <reference field="1" count="1" selected="0">
            <x v="6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99">
      <pivotArea dataOnly="0" labelOnly="1" fieldPosition="0">
        <references count="9">
          <reference field="1" count="1" selected="0">
            <x v="6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98">
      <pivotArea dataOnly="0" labelOnly="1" fieldPosition="0">
        <references count="9">
          <reference field="1" count="1" selected="0">
            <x v="6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97">
      <pivotArea dataOnly="0" labelOnly="1" fieldPosition="0">
        <references count="9">
          <reference field="1" count="1" selected="0">
            <x v="6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96">
      <pivotArea dataOnly="0" labelOnly="1" fieldPosition="0">
        <references count="9">
          <reference field="1" count="1" selected="0">
            <x v="6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6"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595">
      <pivotArea dataOnly="0" labelOnly="1" fieldPosition="0">
        <references count="9">
          <reference field="1" count="1" selected="0">
            <x v="6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1"/>
          </reference>
          <reference field="8" count="6"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594">
      <pivotArea dataOnly="0" labelOnly="1" fieldPosition="0">
        <references count="9">
          <reference field="1" count="1" selected="0">
            <x v="6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6"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593">
      <pivotArea dataOnly="0" labelOnly="1" fieldPosition="0">
        <references count="9">
          <reference field="1" count="1" selected="0">
            <x v="6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92">
      <pivotArea dataOnly="0" labelOnly="1" fieldPosition="0">
        <references count="9">
          <reference field="1" count="1" selected="0">
            <x v="6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91">
      <pivotArea dataOnly="0" labelOnly="1" fieldPosition="0">
        <references count="9">
          <reference field="1" count="1" selected="0">
            <x v="6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90">
      <pivotArea dataOnly="0" labelOnly="1" fieldPosition="0">
        <references count="9">
          <reference field="1" count="1" selected="0">
            <x v="6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89">
      <pivotArea dataOnly="0" labelOnly="1" fieldPosition="0">
        <references count="9">
          <reference field="1" count="1" selected="0">
            <x v="6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88">
      <pivotArea dataOnly="0" labelOnly="1" fieldPosition="0">
        <references count="9">
          <reference field="1" count="1" selected="0">
            <x v="7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8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58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58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584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583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4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582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581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580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57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57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57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576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575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574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573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572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571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570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569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568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567">
      <pivotArea dataOnly="0" labelOnly="1" fieldPosition="0">
        <references count="9">
          <reference field="1" count="1" selected="0">
            <x v="2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566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565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564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563">
      <pivotArea dataOnly="0" labelOnly="1" fieldPosition="0">
        <references count="9">
          <reference field="1" count="1" selected="0">
            <x v="3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562">
      <pivotArea dataOnly="0" labelOnly="1" fieldPosition="0">
        <references count="9">
          <reference field="1" count="1" selected="0">
            <x v="3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561">
      <pivotArea dataOnly="0" labelOnly="1" fieldPosition="0">
        <references count="9">
          <reference field="1" count="1" selected="0">
            <x v="3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560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4"/>
          </reference>
        </references>
      </pivotArea>
    </format>
    <format dxfId="55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4"/>
          </reference>
        </references>
      </pivotArea>
    </format>
    <format dxfId="558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4"/>
          </reference>
        </references>
      </pivotArea>
    </format>
    <format dxfId="557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45A227-07EC-42D5-8CE1-4567634F2D00}" name="Subsidio Resumo" cacheId="28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5" indent="0" outline="1" outlineData="1" multipleFieldFilters="0">
  <location ref="A1:G840" firstHeaderRow="0" firstDataRow="1" firstDataCol="1"/>
  <pivotFields count="34"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6">
        <item x="0"/>
        <item x="4"/>
        <item x="3"/>
        <item x="1"/>
        <item x="2"/>
        <item t="default"/>
      </items>
    </pivotField>
    <pivotField axis="axisRow" showAll="0">
      <items count="6">
        <item x="2"/>
        <item x="1"/>
        <item x="4"/>
        <item x="3"/>
        <item x="0"/>
        <item t="default"/>
      </items>
    </pivotField>
    <pivotField axis="axisRow" showAll="0">
      <items count="9">
        <item x="2"/>
        <item x="0"/>
        <item x="1"/>
        <item x="3"/>
        <item x="4"/>
        <item x="5"/>
        <item x="6"/>
        <item x="7"/>
        <item t="default"/>
      </items>
    </pivotField>
    <pivotField axis="axisRow" showAll="0">
      <items count="5">
        <item x="1"/>
        <item x="3"/>
        <item x="2"/>
        <item x="0"/>
        <item t="default"/>
      </items>
    </pivotField>
    <pivotField axis="axisRow" showAll="0">
      <items count="5">
        <item x="0"/>
        <item x="3"/>
        <item x="2"/>
        <item x="1"/>
        <item t="default"/>
      </items>
    </pivotField>
    <pivotField axis="axisRow" showAll="0">
      <items count="5">
        <item x="0"/>
        <item x="3"/>
        <item x="2"/>
        <item x="1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showAll="0"/>
    <pivotField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axis="axisRow" showAll="0">
      <items count="8">
        <item x="0"/>
        <item x="6"/>
        <item x="2"/>
        <item x="1"/>
        <item x="4"/>
        <item x="3"/>
        <item x="5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Fields count="9">
    <field x="31"/>
    <field x="1"/>
    <field x="2"/>
    <field x="3"/>
    <field x="4"/>
    <field x="5"/>
    <field x="6"/>
    <field x="7"/>
    <field x="8"/>
  </rowFields>
  <rowItems count="839">
    <i>
      <x/>
    </i>
    <i r="1">
      <x/>
    </i>
    <i r="2">
      <x/>
    </i>
    <i r="3">
      <x v="4"/>
    </i>
    <i r="4">
      <x v="1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1"/>
    </i>
    <i r="2">
      <x/>
    </i>
    <i r="3">
      <x v="4"/>
    </i>
    <i r="4">
      <x v="1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4"/>
    </i>
    <i r="3">
      <x v="4"/>
    </i>
    <i r="4">
      <x v="1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/>
    </i>
    <i r="3">
      <x v="4"/>
    </i>
    <i r="4">
      <x v="1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4"/>
    </i>
    <i r="3">
      <x v="4"/>
    </i>
    <i r="4">
      <x v="1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6"/>
    </i>
    <i r="2">
      <x v="2"/>
    </i>
    <i r="3">
      <x v="4"/>
    </i>
    <i r="4">
      <x v="1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 v="4"/>
    </i>
    <i r="2">
      <x v="2"/>
    </i>
    <i r="3">
      <x v="2"/>
    </i>
    <i r="4">
      <x v="4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5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 v="1"/>
    </i>
    <i r="2">
      <x/>
    </i>
    <i r="3">
      <x/>
    </i>
    <i r="4">
      <x v="2"/>
    </i>
    <i r="5">
      <x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4"/>
    </i>
    <i r="3">
      <x/>
    </i>
    <i r="4">
      <x v="2"/>
    </i>
    <i r="5">
      <x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/>
    </i>
    <i r="3">
      <x/>
    </i>
    <i r="4">
      <x v="2"/>
    </i>
    <i r="5">
      <x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4"/>
    </i>
    <i r="3">
      <x/>
    </i>
    <i r="4">
      <x v="2"/>
    </i>
    <i r="5">
      <x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/>
    </i>
    <i r="3">
      <x/>
    </i>
    <i r="4">
      <x v="2"/>
    </i>
    <i r="5">
      <x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4"/>
    </i>
    <i r="3">
      <x/>
    </i>
    <i r="4">
      <x v="2"/>
    </i>
    <i r="5">
      <x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3"/>
    </i>
    <i r="1">
      <x/>
    </i>
    <i r="2">
      <x v="3"/>
    </i>
    <i r="3">
      <x v="1"/>
    </i>
    <i r="4">
      <x v="2"/>
    </i>
    <i r="5">
      <x v="3"/>
    </i>
    <i r="6">
      <x v="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1"/>
    </i>
    <i r="2">
      <x v="3"/>
    </i>
    <i r="3">
      <x v="1"/>
    </i>
    <i r="4">
      <x v="2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4"/>
    </i>
    <i r="1">
      <x v="2"/>
    </i>
    <i r="2">
      <x v="4"/>
    </i>
    <i r="3">
      <x v="3"/>
    </i>
    <i r="4">
      <x/>
    </i>
    <i r="5">
      <x v="2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5"/>
    </i>
    <i r="2">
      <x v="2"/>
    </i>
    <i r="3">
      <x v="3"/>
    </i>
    <i r="4">
      <x/>
    </i>
    <i r="5">
      <x v="2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5"/>
    </i>
    <i r="1">
      <x v="2"/>
    </i>
    <i r="2">
      <x/>
    </i>
    <i r="3">
      <x v="3"/>
    </i>
    <i r="4">
      <x v="2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4"/>
    </i>
    <i r="3">
      <x v="3"/>
    </i>
    <i r="4">
      <x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5"/>
    </i>
    <i r="2">
      <x v="1"/>
    </i>
    <i r="3">
      <x v="3"/>
    </i>
    <i r="4">
      <x v="2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 v="3"/>
    </i>
    <i r="4">
      <x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6"/>
    </i>
    <i r="1">
      <x v="4"/>
    </i>
    <i r="2">
      <x v="2"/>
    </i>
    <i r="3">
      <x v="2"/>
    </i>
    <i r="4">
      <x v="3"/>
    </i>
    <i r="5">
      <x v="3"/>
    </i>
    <i r="6">
      <x/>
    </i>
    <i r="7">
      <x v="2"/>
    </i>
    <i r="8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oma de SUBSIDIO kW - TV" fld="27" baseField="0" baseItem="0"/>
    <dataField name="Soma de SUBSIDIO MWh - TV" fld="28" baseField="0" baseItem="0"/>
    <dataField name="Soma de SUBSIDIO kW - TN" fld="29" baseField="0" baseItem="0"/>
    <dataField name="Soma de SUBSIDIO MWh - TN" fld="30" baseField="0" baseItem="0"/>
    <dataField name="Soma de TOTAL TV" fld="32" baseField="0" baseItem="0" numFmtId="40"/>
    <dataField name="Soma de TOTAL TN" fld="33" baseField="0" baseItem="0" numFmtId="40"/>
  </dataFields>
  <formats count="416">
    <format dxfId="556">
      <pivotArea outline="0" collapsedLevelsAreSubtotals="1" fieldPosition="0"/>
    </format>
    <format dxfId="555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554">
      <pivotArea type="all" dataOnly="0" outline="0" fieldPosition="0"/>
    </format>
    <format dxfId="553">
      <pivotArea outline="0" collapsedLevelsAreSubtotals="1" fieldPosition="0"/>
    </format>
    <format dxfId="552">
      <pivotArea field="31" type="button" dataOnly="0" labelOnly="1" outline="0" axis="axisRow" fieldPosition="0"/>
    </format>
    <format dxfId="551">
      <pivotArea dataOnly="0" labelOnly="1" fieldPosition="0">
        <references count="1">
          <reference field="31" count="0"/>
        </references>
      </pivotArea>
    </format>
    <format dxfId="550">
      <pivotArea dataOnly="0" labelOnly="1" fieldPosition="0">
        <references count="2">
          <reference field="1" count="4">
            <x v="0"/>
            <x v="1"/>
            <x v="2"/>
            <x v="6"/>
          </reference>
          <reference field="31" count="1" selected="0">
            <x v="0"/>
          </reference>
        </references>
      </pivotArea>
    </format>
    <format dxfId="549">
      <pivotArea dataOnly="0" labelOnly="1" fieldPosition="0">
        <references count="2">
          <reference field="1" count="1">
            <x v="4"/>
          </reference>
          <reference field="31" count="1" selected="0">
            <x v="1"/>
          </reference>
        </references>
      </pivotArea>
    </format>
    <format dxfId="548">
      <pivotArea dataOnly="0" labelOnly="1" fieldPosition="0">
        <references count="2">
          <reference field="1" count="3">
            <x v="1"/>
            <x v="2"/>
            <x v="3"/>
          </reference>
          <reference field="31" count="1" selected="0">
            <x v="2"/>
          </reference>
        </references>
      </pivotArea>
    </format>
    <format dxfId="547">
      <pivotArea dataOnly="0" labelOnly="1" fieldPosition="0">
        <references count="2">
          <reference field="1" count="2">
            <x v="0"/>
            <x v="1"/>
          </reference>
          <reference field="31" count="1" selected="0">
            <x v="3"/>
          </reference>
        </references>
      </pivotArea>
    </format>
    <format dxfId="546">
      <pivotArea dataOnly="0" labelOnly="1" fieldPosition="0">
        <references count="2">
          <reference field="1" count="2">
            <x v="2"/>
            <x v="5"/>
          </reference>
          <reference field="31" count="1" selected="0">
            <x v="4"/>
          </reference>
        </references>
      </pivotArea>
    </format>
    <format dxfId="545">
      <pivotArea dataOnly="0" labelOnly="1" fieldPosition="0">
        <references count="2">
          <reference field="1" count="2">
            <x v="2"/>
            <x v="5"/>
          </reference>
          <reference field="31" count="1" selected="0">
            <x v="5"/>
          </reference>
        </references>
      </pivotArea>
    </format>
    <format dxfId="544">
      <pivotArea dataOnly="0" labelOnly="1" fieldPosition="0">
        <references count="2">
          <reference field="1" count="1">
            <x v="4"/>
          </reference>
          <reference field="31" count="1" selected="0">
            <x v="6"/>
          </reference>
        </references>
      </pivotArea>
    </format>
    <format dxfId="543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31" count="1" selected="0">
            <x v="0"/>
          </reference>
        </references>
      </pivotArea>
    </format>
    <format dxfId="542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4"/>
          </reference>
          <reference field="31" count="1" selected="0">
            <x v="0"/>
          </reference>
        </references>
      </pivotArea>
    </format>
    <format dxfId="541">
      <pivotArea dataOnly="0" labelOnly="1" fieldPosition="0">
        <references count="3">
          <reference field="1" count="1" selected="0">
            <x v="2"/>
          </reference>
          <reference field="2" count="2">
            <x v="0"/>
            <x v="4"/>
          </reference>
          <reference field="31" count="1" selected="0">
            <x v="0"/>
          </reference>
        </references>
      </pivotArea>
    </format>
    <format dxfId="540">
      <pivotArea dataOnly="0" labelOnly="1" fieldPosition="0">
        <references count="3">
          <reference field="1" count="1" selected="0">
            <x v="6"/>
          </reference>
          <reference field="2" count="1">
            <x v="2"/>
          </reference>
          <reference field="31" count="1" selected="0">
            <x v="0"/>
          </reference>
        </references>
      </pivotArea>
    </format>
    <format dxfId="539">
      <pivotArea dataOnly="0" labelOnly="1" fieldPosition="0">
        <references count="3">
          <reference field="1" count="1" selected="0">
            <x v="4"/>
          </reference>
          <reference field="2" count="1">
            <x v="2"/>
          </reference>
          <reference field="31" count="1" selected="0">
            <x v="1"/>
          </reference>
        </references>
      </pivotArea>
    </format>
    <format dxfId="538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4"/>
          </reference>
          <reference field="31" count="1" selected="0">
            <x v="2"/>
          </reference>
        </references>
      </pivotArea>
    </format>
    <format dxfId="537">
      <pivotArea dataOnly="0" labelOnly="1" fieldPosition="0">
        <references count="3">
          <reference field="1" count="1" selected="0">
            <x v="2"/>
          </reference>
          <reference field="2" count="2">
            <x v="0"/>
            <x v="4"/>
          </reference>
          <reference field="31" count="1" selected="0">
            <x v="2"/>
          </reference>
        </references>
      </pivotArea>
    </format>
    <format dxfId="536">
      <pivotArea dataOnly="0" labelOnly="1" fieldPosition="0">
        <references count="3">
          <reference field="1" count="1" selected="0">
            <x v="3"/>
          </reference>
          <reference field="2" count="2">
            <x v="0"/>
            <x v="4"/>
          </reference>
          <reference field="31" count="1" selected="0">
            <x v="2"/>
          </reference>
        </references>
      </pivotArea>
    </format>
    <format dxfId="535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31" count="1" selected="0">
            <x v="3"/>
          </reference>
        </references>
      </pivotArea>
    </format>
    <format dxfId="534">
      <pivotArea dataOnly="0" labelOnly="1" fieldPosition="0">
        <references count="3">
          <reference field="1" count="1" selected="0">
            <x v="1"/>
          </reference>
          <reference field="2" count="1">
            <x v="3"/>
          </reference>
          <reference field="31" count="1" selected="0">
            <x v="3"/>
          </reference>
        </references>
      </pivotArea>
    </format>
    <format dxfId="533">
      <pivotArea dataOnly="0" labelOnly="1" fieldPosition="0">
        <references count="3">
          <reference field="1" count="1" selected="0">
            <x v="2"/>
          </reference>
          <reference field="2" count="1">
            <x v="4"/>
          </reference>
          <reference field="31" count="1" selected="0">
            <x v="4"/>
          </reference>
        </references>
      </pivotArea>
    </format>
    <format dxfId="532">
      <pivotArea dataOnly="0" labelOnly="1" fieldPosition="0">
        <references count="3">
          <reference field="1" count="1" selected="0">
            <x v="5"/>
          </reference>
          <reference field="2" count="1">
            <x v="2"/>
          </reference>
          <reference field="31" count="1" selected="0">
            <x v="4"/>
          </reference>
        </references>
      </pivotArea>
    </format>
    <format dxfId="531">
      <pivotArea dataOnly="0" labelOnly="1" fieldPosition="0">
        <references count="3">
          <reference field="1" count="1" selected="0">
            <x v="2"/>
          </reference>
          <reference field="2" count="2">
            <x v="0"/>
            <x v="4"/>
          </reference>
          <reference field="31" count="1" selected="0">
            <x v="5"/>
          </reference>
        </references>
      </pivotArea>
    </format>
    <format dxfId="530">
      <pivotArea dataOnly="0" labelOnly="1" fieldPosition="0">
        <references count="3">
          <reference field="1" count="1" selected="0">
            <x v="5"/>
          </reference>
          <reference field="2" count="2">
            <x v="1"/>
            <x v="2"/>
          </reference>
          <reference field="31" count="1" selected="0">
            <x v="5"/>
          </reference>
        </references>
      </pivotArea>
    </format>
    <format dxfId="529">
      <pivotArea dataOnly="0" labelOnly="1" fieldPosition="0">
        <references count="3">
          <reference field="1" count="1" selected="0">
            <x v="4"/>
          </reference>
          <reference field="2" count="1">
            <x v="2"/>
          </reference>
          <reference field="31" count="1" selected="0">
            <x v="6"/>
          </reference>
        </references>
      </pivotArea>
    </format>
    <format dxfId="528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527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526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525">
      <pivotArea dataOnly="0" labelOnly="1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524">
      <pivotArea dataOnly="0" labelOnly="1" fieldPosition="0">
        <references count="4">
          <reference field="1" count="1" selected="0">
            <x v="2"/>
          </reference>
          <reference field="2" count="1" selected="0">
            <x v="4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523">
      <pivotArea dataOnly="0" labelOnly="1" fieldPosition="0">
        <references count="4">
          <reference field="1" count="1" selected="0">
            <x v="6"/>
          </reference>
          <reference field="2" count="1" selected="0">
            <x v="2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522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1">
            <x v="2"/>
          </reference>
          <reference field="31" count="1" selected="0">
            <x v="1"/>
          </reference>
        </references>
      </pivotArea>
    </format>
    <format dxfId="521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520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519">
      <pivotArea dataOnly="0" labelOnly="1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518">
      <pivotArea dataOnly="0" labelOnly="1" fieldPosition="0">
        <references count="4">
          <reference field="1" count="1" selected="0">
            <x v="2"/>
          </reference>
          <reference field="2" count="1" selected="0">
            <x v="4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517">
      <pivotArea dataOnly="0" labelOnly="1" fieldPosition="0">
        <references count="4">
          <reference field="1" count="1" selected="0">
            <x v="3"/>
          </reference>
          <reference field="2" count="1" selected="0">
            <x v="0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516">
      <pivotArea dataOnly="0" labelOnly="1" fieldPosition="0">
        <references count="4">
          <reference field="1" count="1" selected="0">
            <x v="3"/>
          </reference>
          <reference field="2" count="1" selected="0">
            <x v="4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515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514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513">
      <pivotArea dataOnly="0" labelOnly="1" fieldPosition="0">
        <references count="4">
          <reference field="1" count="1" selected="0">
            <x v="2"/>
          </reference>
          <reference field="2" count="1" selected="0">
            <x v="4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512">
      <pivotArea dataOnly="0" labelOnly="1" fieldPosition="0">
        <references count="4">
          <reference field="1" count="1" selected="0">
            <x v="5"/>
          </reference>
          <reference field="2" count="1" selected="0">
            <x v="2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511">
      <pivotArea dataOnly="0" labelOnly="1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510">
      <pivotArea dataOnly="0" labelOnly="1" fieldPosition="0">
        <references count="4">
          <reference field="1" count="1" selected="0">
            <x v="2"/>
          </reference>
          <reference field="2" count="1" selected="0">
            <x v="4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509">
      <pivotArea dataOnly="0" labelOnly="1" fieldPosition="0">
        <references count="4">
          <reference field="1" count="1" selected="0">
            <x v="5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508">
      <pivotArea dataOnly="0" labelOnly="1" fieldPosition="0">
        <references count="4">
          <reference field="1" count="1" selected="0">
            <x v="5"/>
          </reference>
          <reference field="2" count="1" selected="0">
            <x v="2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507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1">
            <x v="2"/>
          </reference>
          <reference field="31" count="1" selected="0">
            <x v="6"/>
          </reference>
        </references>
      </pivotArea>
    </format>
    <format dxfId="506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505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504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503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502">
      <pivotArea dataOnly="0" labelOnly="1" fieldPosition="0">
        <references count="5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501">
      <pivotArea dataOnly="0" labelOnly="1" fieldPosition="0">
        <references count="5">
          <reference field="1" count="1" selected="0">
            <x v="6"/>
          </reference>
          <reference field="2" count="1" selected="0">
            <x v="2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500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4">
            <x v="4"/>
            <x v="5"/>
            <x v="6"/>
            <x v="7"/>
          </reference>
          <reference field="31" count="1" selected="0">
            <x v="1"/>
          </reference>
        </references>
      </pivotArea>
    </format>
    <format dxfId="499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498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497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496">
      <pivotArea dataOnly="0" labelOnly="1" fieldPosition="0">
        <references count="5">
          <reference field="1" count="1" selected="0">
            <x v="2"/>
          </reference>
          <reference field="2" count="1" selected="0">
            <x v="4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495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494">
      <pivotArea dataOnly="0" labelOnly="1" fieldPosition="0">
        <references count="5">
          <reference field="1" count="1" selected="0">
            <x v="3"/>
          </reference>
          <reference field="2" count="1" selected="0">
            <x v="4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493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>
            <x v="2"/>
          </reference>
          <reference field="31" count="1" selected="0">
            <x v="3"/>
          </reference>
        </references>
      </pivotArea>
    </format>
    <format dxfId="492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>
            <x v="2"/>
          </reference>
          <reference field="31" count="1" selected="0">
            <x v="3"/>
          </reference>
        </references>
      </pivotArea>
    </format>
    <format dxfId="491">
      <pivotArea dataOnly="0" labelOnly="1" fieldPosition="0">
        <references count="5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4"/>
          </reference>
        </references>
      </pivotArea>
    </format>
    <format dxfId="490">
      <pivotArea dataOnly="0" labelOnly="1" fieldPosition="0">
        <references count="5">
          <reference field="1" count="1" selected="0">
            <x v="5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4"/>
          </reference>
        </references>
      </pivotArea>
    </format>
    <format dxfId="489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2"/>
          </reference>
          <reference field="31" count="1" selected="0">
            <x v="5"/>
          </reference>
        </references>
      </pivotArea>
    </format>
    <format dxfId="488">
      <pivotArea dataOnly="0" labelOnly="1" fieldPosition="0">
        <references count="5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2">
            <x v="0"/>
            <x v="2"/>
          </reference>
          <reference field="31" count="1" selected="0">
            <x v="5"/>
          </reference>
        </references>
      </pivotArea>
    </format>
    <format dxfId="487">
      <pivotArea dataOnly="0" labelOnly="1" fieldPosition="0">
        <references count="5">
          <reference field="1" count="1" selected="0">
            <x v="5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2"/>
          </reference>
          <reference field="31" count="1" selected="0">
            <x v="5"/>
          </reference>
        </references>
      </pivotArea>
    </format>
    <format dxfId="486">
      <pivotArea dataOnly="0" labelOnly="1" fieldPosition="0">
        <references count="5">
          <reference field="1" count="1" selected="0">
            <x v="5"/>
          </reference>
          <reference field="2" count="1" selected="0">
            <x v="2"/>
          </reference>
          <reference field="3" count="1" selected="0">
            <x v="3"/>
          </reference>
          <reference field="4" count="2">
            <x v="0"/>
            <x v="2"/>
          </reference>
          <reference field="31" count="1" selected="0">
            <x v="5"/>
          </reference>
        </references>
      </pivotArea>
    </format>
    <format dxfId="485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3"/>
          </reference>
          <reference field="31" count="1" selected="0">
            <x v="6"/>
          </reference>
        </references>
      </pivotArea>
    </format>
    <format dxfId="484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483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482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481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480">
      <pivotArea dataOnly="0" labelOnly="1" fieldPosition="0">
        <references count="6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479">
      <pivotArea dataOnly="0" labelOnly="1" fieldPosition="0">
        <references count="6">
          <reference field="1" count="1" selected="0">
            <x v="6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478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477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476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475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474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473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472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471">
      <pivotArea dataOnly="0" labelOnly="1" fieldPosition="0">
        <references count="6">
          <reference field="1" count="1" selected="0">
            <x v="2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470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469">
      <pivotArea dataOnly="0" labelOnly="1" fieldPosition="0">
        <references count="6">
          <reference field="1" count="1" selected="0">
            <x v="3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468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3"/>
          </reference>
        </references>
      </pivotArea>
    </format>
    <format dxfId="467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3"/>
          </reference>
        </references>
      </pivotArea>
    </format>
    <format dxfId="466">
      <pivotArea dataOnly="0" labelOnly="1" fieldPosition="0">
        <references count="6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465">
      <pivotArea dataOnly="0" labelOnly="1" fieldPosition="0">
        <references count="6">
          <reference field="1" count="1" selected="0">
            <x v="5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464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463">
      <pivotArea dataOnly="0" labelOnly="1" fieldPosition="0">
        <references count="6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462">
      <pivotArea dataOnly="0" labelOnly="1" fieldPosition="0">
        <references count="6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461">
      <pivotArea dataOnly="0" labelOnly="1" fieldPosition="0">
        <references count="6">
          <reference field="1" count="1" selected="0">
            <x v="5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460">
      <pivotArea dataOnly="0" labelOnly="1" fieldPosition="0">
        <references count="6">
          <reference field="1" count="1" selected="0">
            <x v="5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5"/>
          </reference>
        </references>
      </pivotArea>
    </format>
    <format dxfId="459">
      <pivotArea dataOnly="0" labelOnly="1" fieldPosition="0">
        <references count="6">
          <reference field="1" count="1" selected="0">
            <x v="5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458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6"/>
          </reference>
        </references>
      </pivotArea>
    </format>
    <format dxfId="457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0"/>
          </reference>
        </references>
      </pivotArea>
    </format>
    <format dxfId="456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0"/>
          </reference>
        </references>
      </pivotArea>
    </format>
    <format dxfId="455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0"/>
          </reference>
        </references>
      </pivotArea>
    </format>
    <format dxfId="454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0"/>
          </reference>
        </references>
      </pivotArea>
    </format>
    <format dxfId="453">
      <pivotArea dataOnly="0" labelOnly="1" fieldPosition="0">
        <references count="7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0"/>
          </reference>
        </references>
      </pivotArea>
    </format>
    <format dxfId="452">
      <pivotArea dataOnly="0" labelOnly="1" fieldPosition="0">
        <references count="7">
          <reference field="1" count="1" selected="0">
            <x v="6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0"/>
          </reference>
        </references>
      </pivotArea>
    </format>
    <format dxfId="451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1"/>
          </reference>
        </references>
      </pivotArea>
    </format>
    <format dxfId="450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1"/>
          </reference>
        </references>
      </pivotArea>
    </format>
    <format dxfId="449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1"/>
          </reference>
        </references>
      </pivotArea>
    </format>
    <format dxfId="448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1"/>
          </reference>
        </references>
      </pivotArea>
    </format>
    <format dxfId="447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0"/>
          </reference>
          <reference field="31" count="1" selected="0">
            <x v="2"/>
          </reference>
        </references>
      </pivotArea>
    </format>
    <format dxfId="446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0"/>
          </reference>
          <reference field="31" count="1" selected="0">
            <x v="2"/>
          </reference>
        </references>
      </pivotArea>
    </format>
    <format dxfId="445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0"/>
          </reference>
          <reference field="31" count="1" selected="0">
            <x v="2"/>
          </reference>
        </references>
      </pivotArea>
    </format>
    <format dxfId="444">
      <pivotArea dataOnly="0" labelOnly="1" fieldPosition="0">
        <references count="7">
          <reference field="1" count="1" selected="0">
            <x v="2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0"/>
          </reference>
          <reference field="31" count="1" selected="0">
            <x v="2"/>
          </reference>
        </references>
      </pivotArea>
    </format>
    <format dxfId="443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0"/>
          </reference>
          <reference field="31" count="1" selected="0">
            <x v="2"/>
          </reference>
        </references>
      </pivotArea>
    </format>
    <format dxfId="442">
      <pivotArea dataOnly="0" labelOnly="1" fieldPosition="0">
        <references count="7">
          <reference field="1" count="1" selected="0">
            <x v="3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0"/>
          </reference>
          <reference field="31" count="1" selected="0">
            <x v="2"/>
          </reference>
        </references>
      </pivotArea>
    </format>
    <format dxfId="441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2">
            <x v="2"/>
            <x v="3"/>
          </reference>
          <reference field="31" count="1" selected="0">
            <x v="3"/>
          </reference>
        </references>
      </pivotArea>
    </format>
    <format dxfId="440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3"/>
          </reference>
        </references>
      </pivotArea>
    </format>
    <format dxfId="439">
      <pivotArea dataOnly="0" labelOnly="1" fieldPosition="0">
        <references count="7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0"/>
          </reference>
          <reference field="31" count="1" selected="0">
            <x v="4"/>
          </reference>
        </references>
      </pivotArea>
    </format>
    <format dxfId="438">
      <pivotArea dataOnly="0" labelOnly="1" fieldPosition="0">
        <references count="7">
          <reference field="1" count="1" selected="0">
            <x v="5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0"/>
          </reference>
          <reference field="31" count="1" selected="0">
            <x v="4"/>
          </reference>
        </references>
      </pivotArea>
    </format>
    <format dxfId="437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5"/>
          </reference>
        </references>
      </pivotArea>
    </format>
    <format dxfId="436">
      <pivotArea dataOnly="0" labelOnly="1" fieldPosition="0">
        <references count="7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5"/>
          </reference>
        </references>
      </pivotArea>
    </format>
    <format dxfId="435">
      <pivotArea dataOnly="0" labelOnly="1" fieldPosition="0">
        <references count="7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5"/>
          </reference>
        </references>
      </pivotArea>
    </format>
    <format dxfId="434">
      <pivotArea dataOnly="0" labelOnly="1" fieldPosition="0">
        <references count="7">
          <reference field="1" count="1" selected="0">
            <x v="5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5"/>
          </reference>
        </references>
      </pivotArea>
    </format>
    <format dxfId="433">
      <pivotArea dataOnly="0" labelOnly="1" fieldPosition="0">
        <references count="7">
          <reference field="1" count="1" selected="0">
            <x v="5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0"/>
          </reference>
          <reference field="31" count="1" selected="0">
            <x v="5"/>
          </reference>
        </references>
      </pivotArea>
    </format>
    <format dxfId="432">
      <pivotArea dataOnly="0" labelOnly="1" fieldPosition="0">
        <references count="7">
          <reference field="1" count="1" selected="0">
            <x v="5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5"/>
          </reference>
        </references>
      </pivotArea>
    </format>
    <format dxfId="431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6"/>
          </reference>
        </references>
      </pivotArea>
    </format>
    <format dxfId="430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2">
            <x v="0"/>
            <x v="3"/>
          </reference>
          <reference field="31" count="1" selected="0">
            <x v="0"/>
          </reference>
        </references>
      </pivotArea>
    </format>
    <format dxfId="429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2">
            <x v="0"/>
            <x v="3"/>
          </reference>
          <reference field="31" count="1" selected="0">
            <x v="0"/>
          </reference>
        </references>
      </pivotArea>
    </format>
    <format dxfId="428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31" count="1" selected="0">
            <x v="0"/>
          </reference>
        </references>
      </pivotArea>
    </format>
    <format dxfId="427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2">
            <x v="0"/>
            <x v="3"/>
          </reference>
          <reference field="31" count="1" selected="0">
            <x v="0"/>
          </reference>
        </references>
      </pivotArea>
    </format>
    <format dxfId="426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31" count="1" selected="0">
            <x v="0"/>
          </reference>
        </references>
      </pivotArea>
    </format>
    <format dxfId="425">
      <pivotArea dataOnly="0" labelOnly="1" fieldPosition="0">
        <references count="8">
          <reference field="1" count="1" selected="0">
            <x v="6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31" count="1" selected="0">
            <x v="0"/>
          </reference>
        </references>
      </pivotArea>
    </format>
    <format dxfId="424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423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422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421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420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419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418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417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416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415">
      <pivotArea dataOnly="0" labelOnly="1" fieldPosition="0">
        <references count="8">
          <reference field="1" count="1" selected="0">
            <x v="3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414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13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12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411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  <reference field="7" count="1">
            <x v="0"/>
          </reference>
          <reference field="31" count="1" selected="0">
            <x v="4"/>
          </reference>
        </references>
      </pivotArea>
    </format>
    <format dxfId="410">
      <pivotArea dataOnly="0" labelOnly="1" fieldPosition="0">
        <references count="8">
          <reference field="1" count="1" selected="0">
            <x v="5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  <reference field="7" count="1">
            <x v="2"/>
          </reference>
          <reference field="31" count="1" selected="0">
            <x v="4"/>
          </reference>
        </references>
      </pivotArea>
    </format>
    <format dxfId="409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2">
            <x v="0"/>
            <x v="3"/>
          </reference>
          <reference field="31" count="1" selected="0">
            <x v="5"/>
          </reference>
        </references>
      </pivotArea>
    </format>
    <format dxfId="408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31" count="1" selected="0">
            <x v="5"/>
          </reference>
        </references>
      </pivotArea>
    </format>
    <format dxfId="407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31" count="1" selected="0">
            <x v="5"/>
          </reference>
        </references>
      </pivotArea>
    </format>
    <format dxfId="406">
      <pivotArea dataOnly="0" labelOnly="1" fieldPosition="0">
        <references count="8">
          <reference field="1" count="1" selected="0">
            <x v="5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1"/>
            <x v="3"/>
          </reference>
          <reference field="31" count="1" selected="0">
            <x v="5"/>
          </reference>
        </references>
      </pivotArea>
    </format>
    <format dxfId="405">
      <pivotArea dataOnly="0" labelOnly="1" fieldPosition="0">
        <references count="8">
          <reference field="1" count="1" selected="0">
            <x v="5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31" count="1" selected="0">
            <x v="5"/>
          </reference>
        </references>
      </pivotArea>
    </format>
    <format dxfId="404">
      <pivotArea dataOnly="0" labelOnly="1" fieldPosition="0">
        <references count="8">
          <reference field="1" count="1" selected="0">
            <x v="5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31" count="1" selected="0">
            <x v="5"/>
          </reference>
        </references>
      </pivotArea>
    </format>
    <format dxfId="403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31" count="1" selected="0">
            <x v="6"/>
          </reference>
        </references>
      </pivotArea>
    </format>
    <format dxfId="402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401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400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399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398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397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396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395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394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393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392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391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390">
      <pivotArea dataOnly="0" labelOnly="1" fieldPosition="0">
        <references count="9">
          <reference field="1" count="1" selected="0">
            <x v="6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389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388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387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386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385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384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383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382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381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380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379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378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377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376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375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374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373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372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371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370">
      <pivotArea dataOnly="0" labelOnly="1" fieldPosition="0">
        <references count="9">
          <reference field="1" count="1" selected="0">
            <x v="3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369">
      <pivotArea dataOnly="0" labelOnly="1" fieldPosition="0">
        <references count="9">
          <reference field="1" count="1" selected="0">
            <x v="3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368">
      <pivotArea dataOnly="0" labelOnly="1" fieldPosition="0">
        <references count="9">
          <reference field="1" count="1" selected="0">
            <x v="3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36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6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65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64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4"/>
          </reference>
        </references>
      </pivotArea>
    </format>
    <format dxfId="363">
      <pivotArea dataOnly="0" labelOnly="1" fieldPosition="0">
        <references count="9">
          <reference field="1" count="1" selected="0">
            <x v="5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362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361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31" count="1" selected="0">
            <x v="5"/>
          </reference>
        </references>
      </pivotArea>
    </format>
    <format dxfId="360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359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358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31" count="1" selected="0">
            <x v="5"/>
          </reference>
        </references>
      </pivotArea>
    </format>
    <format dxfId="357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356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355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31" count="1" selected="0">
            <x v="5"/>
          </reference>
        </references>
      </pivotArea>
    </format>
    <format dxfId="354">
      <pivotArea dataOnly="0" labelOnly="1" fieldPosition="0">
        <references count="9">
          <reference field="1" count="1" selected="0">
            <x v="5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353">
      <pivotArea dataOnly="0" labelOnly="1" fieldPosition="0">
        <references count="9">
          <reference field="1" count="1" selected="0">
            <x v="5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352">
      <pivotArea dataOnly="0" labelOnly="1" fieldPosition="0">
        <references count="9">
          <reference field="1" count="1" selected="0">
            <x v="5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31" count="1" selected="0">
            <x v="5"/>
          </reference>
        </references>
      </pivotArea>
    </format>
    <format dxfId="351">
      <pivotArea dataOnly="0" labelOnly="1" fieldPosition="0">
        <references count="9">
          <reference field="1" count="1" selected="0">
            <x v="5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350">
      <pivotArea dataOnly="0" labelOnly="1" fieldPosition="0">
        <references count="9">
          <reference field="1" count="1" selected="0">
            <x v="5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349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1">
            <x v="0"/>
          </reference>
          <reference field="31" count="1" selected="0">
            <x v="6"/>
          </reference>
        </references>
      </pivotArea>
    </format>
    <format dxfId="348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347">
      <pivotArea type="all" dataOnly="0" outline="0" fieldPosition="0"/>
    </format>
    <format dxfId="346">
      <pivotArea outline="0" collapsedLevelsAreSubtotals="1" fieldPosition="0"/>
    </format>
    <format dxfId="345">
      <pivotArea field="31" type="button" dataOnly="0" labelOnly="1" outline="0" axis="axisRow" fieldPosition="0"/>
    </format>
    <format dxfId="344">
      <pivotArea dataOnly="0" labelOnly="1" fieldPosition="0">
        <references count="1">
          <reference field="31" count="0"/>
        </references>
      </pivotArea>
    </format>
    <format dxfId="343">
      <pivotArea dataOnly="0" labelOnly="1" fieldPosition="0">
        <references count="2">
          <reference field="1" count="4">
            <x v="0"/>
            <x v="1"/>
            <x v="2"/>
            <x v="6"/>
          </reference>
          <reference field="31" count="1" selected="0">
            <x v="0"/>
          </reference>
        </references>
      </pivotArea>
    </format>
    <format dxfId="342">
      <pivotArea dataOnly="0" labelOnly="1" fieldPosition="0">
        <references count="2">
          <reference field="1" count="1">
            <x v="4"/>
          </reference>
          <reference field="31" count="1" selected="0">
            <x v="1"/>
          </reference>
        </references>
      </pivotArea>
    </format>
    <format dxfId="341">
      <pivotArea dataOnly="0" labelOnly="1" fieldPosition="0">
        <references count="2">
          <reference field="1" count="3">
            <x v="1"/>
            <x v="2"/>
            <x v="3"/>
          </reference>
          <reference field="31" count="1" selected="0">
            <x v="2"/>
          </reference>
        </references>
      </pivotArea>
    </format>
    <format dxfId="340">
      <pivotArea dataOnly="0" labelOnly="1" fieldPosition="0">
        <references count="2">
          <reference field="1" count="2">
            <x v="0"/>
            <x v="1"/>
          </reference>
          <reference field="31" count="1" selected="0">
            <x v="3"/>
          </reference>
        </references>
      </pivotArea>
    </format>
    <format dxfId="339">
      <pivotArea dataOnly="0" labelOnly="1" fieldPosition="0">
        <references count="2">
          <reference field="1" count="2">
            <x v="2"/>
            <x v="5"/>
          </reference>
          <reference field="31" count="1" selected="0">
            <x v="4"/>
          </reference>
        </references>
      </pivotArea>
    </format>
    <format dxfId="338">
      <pivotArea dataOnly="0" labelOnly="1" fieldPosition="0">
        <references count="2">
          <reference field="1" count="2">
            <x v="2"/>
            <x v="5"/>
          </reference>
          <reference field="31" count="1" selected="0">
            <x v="5"/>
          </reference>
        </references>
      </pivotArea>
    </format>
    <format dxfId="337">
      <pivotArea dataOnly="0" labelOnly="1" fieldPosition="0">
        <references count="2">
          <reference field="1" count="1">
            <x v="4"/>
          </reference>
          <reference field="31" count="1" selected="0">
            <x v="6"/>
          </reference>
        </references>
      </pivotArea>
    </format>
    <format dxfId="336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31" count="1" selected="0">
            <x v="0"/>
          </reference>
        </references>
      </pivotArea>
    </format>
    <format dxfId="335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4"/>
          </reference>
          <reference field="31" count="1" selected="0">
            <x v="0"/>
          </reference>
        </references>
      </pivotArea>
    </format>
    <format dxfId="334">
      <pivotArea dataOnly="0" labelOnly="1" fieldPosition="0">
        <references count="3">
          <reference field="1" count="1" selected="0">
            <x v="2"/>
          </reference>
          <reference field="2" count="2">
            <x v="0"/>
            <x v="4"/>
          </reference>
          <reference field="31" count="1" selected="0">
            <x v="0"/>
          </reference>
        </references>
      </pivotArea>
    </format>
    <format dxfId="333">
      <pivotArea dataOnly="0" labelOnly="1" fieldPosition="0">
        <references count="3">
          <reference field="1" count="1" selected="0">
            <x v="6"/>
          </reference>
          <reference field="2" count="1">
            <x v="2"/>
          </reference>
          <reference field="31" count="1" selected="0">
            <x v="0"/>
          </reference>
        </references>
      </pivotArea>
    </format>
    <format dxfId="332">
      <pivotArea dataOnly="0" labelOnly="1" fieldPosition="0">
        <references count="3">
          <reference field="1" count="1" selected="0">
            <x v="4"/>
          </reference>
          <reference field="2" count="1">
            <x v="2"/>
          </reference>
          <reference field="31" count="1" selected="0">
            <x v="1"/>
          </reference>
        </references>
      </pivotArea>
    </format>
    <format dxfId="331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4"/>
          </reference>
          <reference field="31" count="1" selected="0">
            <x v="2"/>
          </reference>
        </references>
      </pivotArea>
    </format>
    <format dxfId="330">
      <pivotArea dataOnly="0" labelOnly="1" fieldPosition="0">
        <references count="3">
          <reference field="1" count="1" selected="0">
            <x v="2"/>
          </reference>
          <reference field="2" count="2">
            <x v="0"/>
            <x v="4"/>
          </reference>
          <reference field="31" count="1" selected="0">
            <x v="2"/>
          </reference>
        </references>
      </pivotArea>
    </format>
    <format dxfId="329">
      <pivotArea dataOnly="0" labelOnly="1" fieldPosition="0">
        <references count="3">
          <reference field="1" count="1" selected="0">
            <x v="3"/>
          </reference>
          <reference field="2" count="2">
            <x v="0"/>
            <x v="4"/>
          </reference>
          <reference field="31" count="1" selected="0">
            <x v="2"/>
          </reference>
        </references>
      </pivotArea>
    </format>
    <format dxfId="328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31" count="1" selected="0">
            <x v="3"/>
          </reference>
        </references>
      </pivotArea>
    </format>
    <format dxfId="327">
      <pivotArea dataOnly="0" labelOnly="1" fieldPosition="0">
        <references count="3">
          <reference field="1" count="1" selected="0">
            <x v="1"/>
          </reference>
          <reference field="2" count="1">
            <x v="3"/>
          </reference>
          <reference field="31" count="1" selected="0">
            <x v="3"/>
          </reference>
        </references>
      </pivotArea>
    </format>
    <format dxfId="326">
      <pivotArea dataOnly="0" labelOnly="1" fieldPosition="0">
        <references count="3">
          <reference field="1" count="1" selected="0">
            <x v="2"/>
          </reference>
          <reference field="2" count="1">
            <x v="4"/>
          </reference>
          <reference field="31" count="1" selected="0">
            <x v="4"/>
          </reference>
        </references>
      </pivotArea>
    </format>
    <format dxfId="325">
      <pivotArea dataOnly="0" labelOnly="1" fieldPosition="0">
        <references count="3">
          <reference field="1" count="1" selected="0">
            <x v="5"/>
          </reference>
          <reference field="2" count="1">
            <x v="2"/>
          </reference>
          <reference field="31" count="1" selected="0">
            <x v="4"/>
          </reference>
        </references>
      </pivotArea>
    </format>
    <format dxfId="324">
      <pivotArea dataOnly="0" labelOnly="1" fieldPosition="0">
        <references count="3">
          <reference field="1" count="1" selected="0">
            <x v="2"/>
          </reference>
          <reference field="2" count="2">
            <x v="0"/>
            <x v="4"/>
          </reference>
          <reference field="31" count="1" selected="0">
            <x v="5"/>
          </reference>
        </references>
      </pivotArea>
    </format>
    <format dxfId="323">
      <pivotArea dataOnly="0" labelOnly="1" fieldPosition="0">
        <references count="3">
          <reference field="1" count="1" selected="0">
            <x v="5"/>
          </reference>
          <reference field="2" count="2">
            <x v="1"/>
            <x v="2"/>
          </reference>
          <reference field="31" count="1" selected="0">
            <x v="5"/>
          </reference>
        </references>
      </pivotArea>
    </format>
    <format dxfId="322">
      <pivotArea dataOnly="0" labelOnly="1" fieldPosition="0">
        <references count="3">
          <reference field="1" count="1" selected="0">
            <x v="4"/>
          </reference>
          <reference field="2" count="1">
            <x v="2"/>
          </reference>
          <reference field="31" count="1" selected="0">
            <x v="6"/>
          </reference>
        </references>
      </pivotArea>
    </format>
    <format dxfId="321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320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319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318">
      <pivotArea dataOnly="0" labelOnly="1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317">
      <pivotArea dataOnly="0" labelOnly="1" fieldPosition="0">
        <references count="4">
          <reference field="1" count="1" selected="0">
            <x v="2"/>
          </reference>
          <reference field="2" count="1" selected="0">
            <x v="4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316">
      <pivotArea dataOnly="0" labelOnly="1" fieldPosition="0">
        <references count="4">
          <reference field="1" count="1" selected="0">
            <x v="6"/>
          </reference>
          <reference field="2" count="1" selected="0">
            <x v="2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315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1">
            <x v="2"/>
          </reference>
          <reference field="31" count="1" selected="0">
            <x v="1"/>
          </reference>
        </references>
      </pivotArea>
    </format>
    <format dxfId="314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313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312">
      <pivotArea dataOnly="0" labelOnly="1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311">
      <pivotArea dataOnly="0" labelOnly="1" fieldPosition="0">
        <references count="4">
          <reference field="1" count="1" selected="0">
            <x v="2"/>
          </reference>
          <reference field="2" count="1" selected="0">
            <x v="4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310">
      <pivotArea dataOnly="0" labelOnly="1" fieldPosition="0">
        <references count="4">
          <reference field="1" count="1" selected="0">
            <x v="3"/>
          </reference>
          <reference field="2" count="1" selected="0">
            <x v="0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309">
      <pivotArea dataOnly="0" labelOnly="1" fieldPosition="0">
        <references count="4">
          <reference field="1" count="1" selected="0">
            <x v="3"/>
          </reference>
          <reference field="2" count="1" selected="0">
            <x v="4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308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307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306">
      <pivotArea dataOnly="0" labelOnly="1" fieldPosition="0">
        <references count="4">
          <reference field="1" count="1" selected="0">
            <x v="2"/>
          </reference>
          <reference field="2" count="1" selected="0">
            <x v="4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305">
      <pivotArea dataOnly="0" labelOnly="1" fieldPosition="0">
        <references count="4">
          <reference field="1" count="1" selected="0">
            <x v="5"/>
          </reference>
          <reference field="2" count="1" selected="0">
            <x v="2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304">
      <pivotArea dataOnly="0" labelOnly="1" fieldPosition="0">
        <references count="4">
          <reference field="1" count="1" selected="0">
            <x v="2"/>
          </reference>
          <reference field="2" count="1" selected="0">
            <x v="0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303">
      <pivotArea dataOnly="0" labelOnly="1" fieldPosition="0">
        <references count="4">
          <reference field="1" count="1" selected="0">
            <x v="2"/>
          </reference>
          <reference field="2" count="1" selected="0">
            <x v="4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302">
      <pivotArea dataOnly="0" labelOnly="1" fieldPosition="0">
        <references count="4">
          <reference field="1" count="1" selected="0">
            <x v="5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301">
      <pivotArea dataOnly="0" labelOnly="1" fieldPosition="0">
        <references count="4">
          <reference field="1" count="1" selected="0">
            <x v="5"/>
          </reference>
          <reference field="2" count="1" selected="0">
            <x v="2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300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1">
            <x v="2"/>
          </reference>
          <reference field="31" count="1" selected="0">
            <x v="6"/>
          </reference>
        </references>
      </pivotArea>
    </format>
    <format dxfId="299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298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297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296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295">
      <pivotArea dataOnly="0" labelOnly="1" fieldPosition="0">
        <references count="5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294">
      <pivotArea dataOnly="0" labelOnly="1" fieldPosition="0">
        <references count="5">
          <reference field="1" count="1" selected="0">
            <x v="6"/>
          </reference>
          <reference field="2" count="1" selected="0">
            <x v="2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293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4">
            <x v="4"/>
            <x v="5"/>
            <x v="6"/>
            <x v="7"/>
          </reference>
          <reference field="31" count="1" selected="0">
            <x v="1"/>
          </reference>
        </references>
      </pivotArea>
    </format>
    <format dxfId="292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291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290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289">
      <pivotArea dataOnly="0" labelOnly="1" fieldPosition="0">
        <references count="5">
          <reference field="1" count="1" selected="0">
            <x v="2"/>
          </reference>
          <reference field="2" count="1" selected="0">
            <x v="4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288">
      <pivotArea dataOnly="0" labelOnly="1" fieldPosition="0">
        <references count="5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287">
      <pivotArea dataOnly="0" labelOnly="1" fieldPosition="0">
        <references count="5">
          <reference field="1" count="1" selected="0">
            <x v="3"/>
          </reference>
          <reference field="2" count="1" selected="0">
            <x v="4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286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>
            <x v="2"/>
          </reference>
          <reference field="31" count="1" selected="0">
            <x v="3"/>
          </reference>
        </references>
      </pivotArea>
    </format>
    <format dxfId="285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>
            <x v="2"/>
          </reference>
          <reference field="31" count="1" selected="0">
            <x v="3"/>
          </reference>
        </references>
      </pivotArea>
    </format>
    <format dxfId="284">
      <pivotArea dataOnly="0" labelOnly="1" fieldPosition="0">
        <references count="5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4"/>
          </reference>
        </references>
      </pivotArea>
    </format>
    <format dxfId="283">
      <pivotArea dataOnly="0" labelOnly="1" fieldPosition="0">
        <references count="5">
          <reference field="1" count="1" selected="0">
            <x v="5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4"/>
          </reference>
        </references>
      </pivotArea>
    </format>
    <format dxfId="282">
      <pivotArea dataOnly="0" labelOnly="1" fieldPosition="0">
        <references count="5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2"/>
          </reference>
          <reference field="31" count="1" selected="0">
            <x v="5"/>
          </reference>
        </references>
      </pivotArea>
    </format>
    <format dxfId="281">
      <pivotArea dataOnly="0" labelOnly="1" fieldPosition="0">
        <references count="5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2">
            <x v="0"/>
            <x v="2"/>
          </reference>
          <reference field="31" count="1" selected="0">
            <x v="5"/>
          </reference>
        </references>
      </pivotArea>
    </format>
    <format dxfId="280">
      <pivotArea dataOnly="0" labelOnly="1" fieldPosition="0">
        <references count="5">
          <reference field="1" count="1" selected="0">
            <x v="5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2"/>
          </reference>
          <reference field="31" count="1" selected="0">
            <x v="5"/>
          </reference>
        </references>
      </pivotArea>
    </format>
    <format dxfId="279">
      <pivotArea dataOnly="0" labelOnly="1" fieldPosition="0">
        <references count="5">
          <reference field="1" count="1" selected="0">
            <x v="5"/>
          </reference>
          <reference field="2" count="1" selected="0">
            <x v="2"/>
          </reference>
          <reference field="3" count="1" selected="0">
            <x v="3"/>
          </reference>
          <reference field="4" count="2">
            <x v="0"/>
            <x v="2"/>
          </reference>
          <reference field="31" count="1" selected="0">
            <x v="5"/>
          </reference>
        </references>
      </pivotArea>
    </format>
    <format dxfId="278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3"/>
          </reference>
          <reference field="31" count="1" selected="0">
            <x v="6"/>
          </reference>
        </references>
      </pivotArea>
    </format>
    <format dxfId="277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276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275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274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273">
      <pivotArea dataOnly="0" labelOnly="1" fieldPosition="0">
        <references count="6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272">
      <pivotArea dataOnly="0" labelOnly="1" fieldPosition="0">
        <references count="6">
          <reference field="1" count="1" selected="0">
            <x v="6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271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70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69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68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67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266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265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264">
      <pivotArea dataOnly="0" labelOnly="1" fieldPosition="0">
        <references count="6">
          <reference field="1" count="1" selected="0">
            <x v="2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263">
      <pivotArea dataOnly="0" labelOnly="1" fieldPosition="0">
        <references count="6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262">
      <pivotArea dataOnly="0" labelOnly="1" fieldPosition="0">
        <references count="6">
          <reference field="1" count="1" selected="0">
            <x v="3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261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3"/>
          </reference>
        </references>
      </pivotArea>
    </format>
    <format dxfId="260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3"/>
          </reference>
        </references>
      </pivotArea>
    </format>
    <format dxfId="259">
      <pivotArea dataOnly="0" labelOnly="1" fieldPosition="0">
        <references count="6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258">
      <pivotArea dataOnly="0" labelOnly="1" fieldPosition="0">
        <references count="6">
          <reference field="1" count="1" selected="0">
            <x v="5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257">
      <pivotArea dataOnly="0" labelOnly="1" fieldPosition="0">
        <references count="6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256">
      <pivotArea dataOnly="0" labelOnly="1" fieldPosition="0">
        <references count="6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255">
      <pivotArea dataOnly="0" labelOnly="1" fieldPosition="0">
        <references count="6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254">
      <pivotArea dataOnly="0" labelOnly="1" fieldPosition="0">
        <references count="6">
          <reference field="1" count="1" selected="0">
            <x v="5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253">
      <pivotArea dataOnly="0" labelOnly="1" fieldPosition="0">
        <references count="6">
          <reference field="1" count="1" selected="0">
            <x v="5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5"/>
          </reference>
        </references>
      </pivotArea>
    </format>
    <format dxfId="252">
      <pivotArea dataOnly="0" labelOnly="1" fieldPosition="0">
        <references count="6">
          <reference field="1" count="1" selected="0">
            <x v="5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251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6"/>
          </reference>
        </references>
      </pivotArea>
    </format>
    <format dxfId="250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0"/>
          </reference>
        </references>
      </pivotArea>
    </format>
    <format dxfId="249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0"/>
          </reference>
        </references>
      </pivotArea>
    </format>
    <format dxfId="248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0"/>
          </reference>
        </references>
      </pivotArea>
    </format>
    <format dxfId="247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0"/>
          </reference>
        </references>
      </pivotArea>
    </format>
    <format dxfId="246">
      <pivotArea dataOnly="0" labelOnly="1" fieldPosition="0">
        <references count="7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0"/>
          </reference>
        </references>
      </pivotArea>
    </format>
    <format dxfId="245">
      <pivotArea dataOnly="0" labelOnly="1" fieldPosition="0">
        <references count="7">
          <reference field="1" count="1" selected="0">
            <x v="6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0"/>
          </reference>
        </references>
      </pivotArea>
    </format>
    <format dxfId="244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1"/>
          </reference>
        </references>
      </pivotArea>
    </format>
    <format dxfId="243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1"/>
          </reference>
        </references>
      </pivotArea>
    </format>
    <format dxfId="242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1"/>
          </reference>
        </references>
      </pivotArea>
    </format>
    <format dxfId="241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1"/>
          </reference>
        </references>
      </pivotArea>
    </format>
    <format dxfId="240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0"/>
          </reference>
          <reference field="31" count="1" selected="0">
            <x v="2"/>
          </reference>
        </references>
      </pivotArea>
    </format>
    <format dxfId="239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0"/>
          </reference>
          <reference field="31" count="1" selected="0">
            <x v="2"/>
          </reference>
        </references>
      </pivotArea>
    </format>
    <format dxfId="238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0"/>
          </reference>
          <reference field="31" count="1" selected="0">
            <x v="2"/>
          </reference>
        </references>
      </pivotArea>
    </format>
    <format dxfId="237">
      <pivotArea dataOnly="0" labelOnly="1" fieldPosition="0">
        <references count="7">
          <reference field="1" count="1" selected="0">
            <x v="2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0"/>
          </reference>
          <reference field="31" count="1" selected="0">
            <x v="2"/>
          </reference>
        </references>
      </pivotArea>
    </format>
    <format dxfId="236">
      <pivotArea dataOnly="0" labelOnly="1" fieldPosition="0">
        <references count="7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0"/>
          </reference>
          <reference field="31" count="1" selected="0">
            <x v="2"/>
          </reference>
        </references>
      </pivotArea>
    </format>
    <format dxfId="235">
      <pivotArea dataOnly="0" labelOnly="1" fieldPosition="0">
        <references count="7">
          <reference field="1" count="1" selected="0">
            <x v="3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0"/>
          </reference>
          <reference field="31" count="1" selected="0">
            <x v="2"/>
          </reference>
        </references>
      </pivotArea>
    </format>
    <format dxfId="234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2">
            <x v="2"/>
            <x v="3"/>
          </reference>
          <reference field="31" count="1" selected="0">
            <x v="3"/>
          </reference>
        </references>
      </pivotArea>
    </format>
    <format dxfId="233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1"/>
          </reference>
          <reference field="31" count="1" selected="0">
            <x v="3"/>
          </reference>
        </references>
      </pivotArea>
    </format>
    <format dxfId="232">
      <pivotArea dataOnly="0" labelOnly="1" fieldPosition="0">
        <references count="7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0"/>
          </reference>
          <reference field="31" count="1" selected="0">
            <x v="4"/>
          </reference>
        </references>
      </pivotArea>
    </format>
    <format dxfId="231">
      <pivotArea dataOnly="0" labelOnly="1" fieldPosition="0">
        <references count="7">
          <reference field="1" count="1" selected="0">
            <x v="5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0"/>
          </reference>
          <reference field="31" count="1" selected="0">
            <x v="4"/>
          </reference>
        </references>
      </pivotArea>
    </format>
    <format dxfId="230">
      <pivotArea dataOnly="0" labelOnly="1" fieldPosition="0">
        <references count="7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5"/>
          </reference>
        </references>
      </pivotArea>
    </format>
    <format dxfId="229">
      <pivotArea dataOnly="0" labelOnly="1" fieldPosition="0">
        <references count="7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5"/>
          </reference>
        </references>
      </pivotArea>
    </format>
    <format dxfId="228">
      <pivotArea dataOnly="0" labelOnly="1" fieldPosition="0">
        <references count="7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5"/>
          </reference>
        </references>
      </pivotArea>
    </format>
    <format dxfId="227">
      <pivotArea dataOnly="0" labelOnly="1" fieldPosition="0">
        <references count="7">
          <reference field="1" count="1" selected="0">
            <x v="5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5"/>
          </reference>
        </references>
      </pivotArea>
    </format>
    <format dxfId="226">
      <pivotArea dataOnly="0" labelOnly="1" fieldPosition="0">
        <references count="7">
          <reference field="1" count="1" selected="0">
            <x v="5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0"/>
          </reference>
          <reference field="31" count="1" selected="0">
            <x v="5"/>
          </reference>
        </references>
      </pivotArea>
    </format>
    <format dxfId="225">
      <pivotArea dataOnly="0" labelOnly="1" fieldPosition="0">
        <references count="7">
          <reference field="1" count="1" selected="0">
            <x v="5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5"/>
          </reference>
        </references>
      </pivotArea>
    </format>
    <format dxfId="224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31" count="1" selected="0">
            <x v="6"/>
          </reference>
        </references>
      </pivotArea>
    </format>
    <format dxfId="223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2">
            <x v="0"/>
            <x v="3"/>
          </reference>
          <reference field="31" count="1" selected="0">
            <x v="0"/>
          </reference>
        </references>
      </pivotArea>
    </format>
    <format dxfId="222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2">
            <x v="0"/>
            <x v="3"/>
          </reference>
          <reference field="31" count="1" selected="0">
            <x v="0"/>
          </reference>
        </references>
      </pivotArea>
    </format>
    <format dxfId="221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31" count="1" selected="0">
            <x v="0"/>
          </reference>
        </references>
      </pivotArea>
    </format>
    <format dxfId="220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2">
            <x v="0"/>
            <x v="3"/>
          </reference>
          <reference field="31" count="1" selected="0">
            <x v="0"/>
          </reference>
        </references>
      </pivotArea>
    </format>
    <format dxfId="219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31" count="1" selected="0">
            <x v="0"/>
          </reference>
        </references>
      </pivotArea>
    </format>
    <format dxfId="218">
      <pivotArea dataOnly="0" labelOnly="1" fieldPosition="0">
        <references count="8">
          <reference field="1" count="1" selected="0">
            <x v="6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31" count="1" selected="0">
            <x v="0"/>
          </reference>
        </references>
      </pivotArea>
    </format>
    <format dxfId="217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216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215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214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213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212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211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210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209">
      <pivotArea dataOnly="0" labelOnly="1" fieldPosition="0">
        <references count="8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208">
      <pivotArea dataOnly="0" labelOnly="1" fieldPosition="0">
        <references count="8">
          <reference field="1" count="1" selected="0">
            <x v="3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207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06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05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04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  <reference field="7" count="1">
            <x v="0"/>
          </reference>
          <reference field="31" count="1" selected="0">
            <x v="4"/>
          </reference>
        </references>
      </pivotArea>
    </format>
    <format dxfId="203">
      <pivotArea dataOnly="0" labelOnly="1" fieldPosition="0">
        <references count="8">
          <reference field="1" count="1" selected="0">
            <x v="5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  <reference field="7" count="1">
            <x v="2"/>
          </reference>
          <reference field="31" count="1" selected="0">
            <x v="4"/>
          </reference>
        </references>
      </pivotArea>
    </format>
    <format dxfId="202">
      <pivotArea dataOnly="0" labelOnly="1" fieldPosition="0">
        <references count="8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2">
            <x v="0"/>
            <x v="3"/>
          </reference>
          <reference field="31" count="1" selected="0">
            <x v="5"/>
          </reference>
        </references>
      </pivotArea>
    </format>
    <format dxfId="201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31" count="1" selected="0">
            <x v="5"/>
          </reference>
        </references>
      </pivotArea>
    </format>
    <format dxfId="200">
      <pivotArea dataOnly="0" labelOnly="1" fieldPosition="0">
        <references count="8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31" count="1" selected="0">
            <x v="5"/>
          </reference>
        </references>
      </pivotArea>
    </format>
    <format dxfId="199">
      <pivotArea dataOnly="0" labelOnly="1" fieldPosition="0">
        <references count="8">
          <reference field="1" count="1" selected="0">
            <x v="5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1"/>
            <x v="3"/>
          </reference>
          <reference field="31" count="1" selected="0">
            <x v="5"/>
          </reference>
        </references>
      </pivotArea>
    </format>
    <format dxfId="198">
      <pivotArea dataOnly="0" labelOnly="1" fieldPosition="0">
        <references count="8">
          <reference field="1" count="1" selected="0">
            <x v="5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31" count="1" selected="0">
            <x v="5"/>
          </reference>
        </references>
      </pivotArea>
    </format>
    <format dxfId="197">
      <pivotArea dataOnly="0" labelOnly="1" fieldPosition="0">
        <references count="8">
          <reference field="1" count="1" selected="0">
            <x v="5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31" count="1" selected="0">
            <x v="5"/>
          </reference>
        </references>
      </pivotArea>
    </format>
    <format dxfId="196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31" count="1" selected="0">
            <x v="6"/>
          </reference>
        </references>
      </pivotArea>
    </format>
    <format dxfId="195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19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193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192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191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190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189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188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187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186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185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184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183">
      <pivotArea dataOnly="0" labelOnly="1" fieldPosition="0">
        <references count="9">
          <reference field="1" count="1" selected="0">
            <x v="6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182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181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180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179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17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17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176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175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174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173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172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171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170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169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168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167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166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165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164">
      <pivotArea dataOnly="0" labelOnly="1" fieldPosition="0">
        <references count="9">
          <reference field="1" count="1" selected="0">
            <x v="3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163">
      <pivotArea dataOnly="0" labelOnly="1" fieldPosition="0">
        <references count="9">
          <reference field="1" count="1" selected="0">
            <x v="3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162">
      <pivotArea dataOnly="0" labelOnly="1" fieldPosition="0">
        <references count="9">
          <reference field="1" count="1" selected="0">
            <x v="3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161">
      <pivotArea dataOnly="0" labelOnly="1" fieldPosition="0">
        <references count="9">
          <reference field="1" count="1" selected="0">
            <x v="3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16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5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58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57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4"/>
          </reference>
        </references>
      </pivotArea>
    </format>
    <format dxfId="156">
      <pivotArea dataOnly="0" labelOnly="1" fieldPosition="0">
        <references count="9">
          <reference field="1" count="1" selected="0">
            <x v="5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155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154">
      <pivotArea dataOnly="0" labelOnly="1" fieldPosition="0">
        <references count="9">
          <reference field="1" count="1" selected="0">
            <x v="2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31" count="1" selected="0">
            <x v="5"/>
          </reference>
        </references>
      </pivotArea>
    </format>
    <format dxfId="153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152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151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31" count="1" selected="0">
            <x v="5"/>
          </reference>
        </references>
      </pivotArea>
    </format>
    <format dxfId="150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149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148">
      <pivotArea dataOnly="0" labelOnly="1" fieldPosition="0">
        <references count="9">
          <reference field="1" count="1" selected="0">
            <x v="2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31" count="1" selected="0">
            <x v="5"/>
          </reference>
        </references>
      </pivotArea>
    </format>
    <format dxfId="147">
      <pivotArea dataOnly="0" labelOnly="1" fieldPosition="0">
        <references count="9">
          <reference field="1" count="1" selected="0">
            <x v="5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146">
      <pivotArea dataOnly="0" labelOnly="1" fieldPosition="0">
        <references count="9">
          <reference field="1" count="1" selected="0">
            <x v="5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1"/>
          </reference>
          <reference field="8" count="0"/>
          <reference field="31" count="1" selected="0">
            <x v="5"/>
          </reference>
        </references>
      </pivotArea>
    </format>
    <format dxfId="145">
      <pivotArea dataOnly="0" labelOnly="1" fieldPosition="0">
        <references count="9">
          <reference field="1" count="1" selected="0">
            <x v="5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31" count="1" selected="0">
            <x v="5"/>
          </reference>
        </references>
      </pivotArea>
    </format>
    <format dxfId="144">
      <pivotArea dataOnly="0" labelOnly="1" fieldPosition="0">
        <references count="9">
          <reference field="1" count="1" selected="0">
            <x v="5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143">
      <pivotArea dataOnly="0" labelOnly="1" fieldPosition="0">
        <references count="9">
          <reference field="1" count="1" selected="0">
            <x v="5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142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1">
            <x v="0"/>
          </reference>
          <reference field="31" count="1" selected="0">
            <x v="6"/>
          </reference>
        </references>
      </pivotArea>
    </format>
    <format dxfId="141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0E8AD5B3-1499-4A6F-902C-45CBE7DD5D24}" autoFormatId="0" applyNumberFormats="0" applyBorderFormats="0" applyFontFormats="1" applyPatternFormats="1" applyAlignmentFormats="0" applyWidthHeightFormats="0">
  <queryTableRefresh nextId="43">
    <queryTableFields count="42">
      <queryTableField id="1" name="SubGrupo" tableColumnId="43"/>
      <queryTableField id="2" name="Modalidade_TA" tableColumnId="44"/>
      <queryTableField id="3" name="Classe" tableColumnId="45"/>
      <queryTableField id="4" name="SubClasse" tableColumnId="46"/>
      <queryTableField id="5" name="Detalhe" tableColumnId="47"/>
      <queryTableField id="6" name="Posto" tableColumnId="48"/>
      <queryTableField id="7" name="unidade" tableColumnId="49"/>
      <queryTableField id="8" name="Acessante" tableColumnId="50"/>
      <queryTableField id="9" name="TotalTUSD" tableColumnId="51"/>
      <queryTableField id="10" name="TotalTE" tableColumnId="52"/>
      <queryTableField id="11" name="TUSD_RGR" tableColumnId="53"/>
      <queryTableField id="12" name="TUSD_TFSEE" tableColumnId="54"/>
      <queryTableField id="13" name="TUSD_PeD" tableColumnId="55"/>
      <queryTableField id="14" name="TUSD_ONS" tableColumnId="56"/>
      <queryTableField id="15" name="TUSD_CCC" tableColumnId="57"/>
      <queryTableField id="16" name="TUSD_CDE" tableColumnId="58"/>
      <queryTableField id="17" name="TUSD_PROINFA" tableColumnId="59"/>
      <queryTableField id="18" name="TUSD_Liminar1" tableColumnId="60"/>
      <queryTableField id="19" name="TUSD_RB" tableColumnId="61"/>
      <queryTableField id="20" name="TUSD_FR" tableColumnId="62"/>
      <queryTableField id="21" name="TUSD_CCT" tableColumnId="63"/>
      <queryTableField id="22" name="TUSD_CCD" tableColumnId="64"/>
      <queryTableField id="23" name="TUSD_CUSD" tableColumnId="65"/>
      <queryTableField id="24" name="TUSDG_T" tableColumnId="66"/>
      <queryTableField id="25" name="TUSDG_ONS" tableColumnId="67"/>
      <queryTableField id="26" name="TUSD_FioB" tableColumnId="68"/>
      <queryTableField id="27" name="TUSD_SUBSIDIO" tableColumnId="69"/>
      <queryTableField id="28" name="TUSD_OUTROS" tableColumnId="70"/>
      <queryTableField id="29" name="TUSD_PT" tableColumnId="71"/>
      <queryTableField id="30" name="TUSD_Per_RB/D" tableColumnId="72"/>
      <queryTableField id="31" name="TUSD_PNT" tableColumnId="73"/>
      <queryTableField id="32" name="TUSD_RI" tableColumnId="74"/>
      <queryTableField id="33" name="TE_PeD" tableColumnId="75"/>
      <queryTableField id="34" name="TE_ESSERR" tableColumnId="76"/>
      <queryTableField id="35" name="TE_CFURH" tableColumnId="77"/>
      <queryTableField id="36" name="TE_CDE_E" tableColumnId="78"/>
      <queryTableField id="37" name="TE_Energia" tableColumnId="79"/>
      <queryTableField id="38" name="TE_TranItaipu" tableColumnId="80"/>
      <queryTableField id="39" name="TE_TUST_ITAIPU" tableColumnId="81"/>
      <queryTableField id="40" name="TE_TUST_CI" tableColumnId="82"/>
      <queryTableField id="41" name="TE_SUBSIDIO" tableColumnId="83"/>
      <queryTableField id="42" name="TE_Per_RB" tableColumnId="8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07A22F48-943C-4F1A-9D54-53F7E11B19A1}" autoFormatId="0" applyNumberFormats="0" applyBorderFormats="0" applyFontFormats="1" applyPatternFormats="1" applyAlignmentFormats="0" applyWidthHeightFormats="0">
  <queryTableRefresh nextId="43">
    <queryTableFields count="42">
      <queryTableField id="1" name="SubGrupo" tableColumnId="43"/>
      <queryTableField id="2" name="Modalidade_TA" tableColumnId="44"/>
      <queryTableField id="3" name="Classe" tableColumnId="45"/>
      <queryTableField id="4" name="SubClasse" tableColumnId="46"/>
      <queryTableField id="5" name="Detalhe" tableColumnId="47"/>
      <queryTableField id="6" name="Posto" tableColumnId="48"/>
      <queryTableField id="7" name="unidade" tableColumnId="49"/>
      <queryTableField id="8" name="Acessante" tableColumnId="50"/>
      <queryTableField id="9" name="TotalTUSD" tableColumnId="51"/>
      <queryTableField id="10" name="TotalTE" tableColumnId="52"/>
      <queryTableField id="11" name="TUSD_RGR" tableColumnId="53"/>
      <queryTableField id="12" name="TUSD_TFSEE" tableColumnId="54"/>
      <queryTableField id="13" name="TUSD_PeD" tableColumnId="55"/>
      <queryTableField id="14" name="TUSD_ONS" tableColumnId="56"/>
      <queryTableField id="15" name="TUSD_CCC" tableColumnId="57"/>
      <queryTableField id="16" name="TUSD_CDE" tableColumnId="58"/>
      <queryTableField id="17" name="TUSD_PROINFA" tableColumnId="59"/>
      <queryTableField id="18" name="TUSD_Liminar1" tableColumnId="60"/>
      <queryTableField id="19" name="TUSD_RB" tableColumnId="61"/>
      <queryTableField id="20" name="TUSD_FR" tableColumnId="62"/>
      <queryTableField id="21" name="TUSD_CCT" tableColumnId="63"/>
      <queryTableField id="22" name="TUSD_CCD" tableColumnId="64"/>
      <queryTableField id="23" name="TUSD_CUSD" tableColumnId="65"/>
      <queryTableField id="24" name="TUSDG_T" tableColumnId="66"/>
      <queryTableField id="25" name="TUSDG_ONS" tableColumnId="67"/>
      <queryTableField id="26" name="TUSD_FioB" tableColumnId="68"/>
      <queryTableField id="27" name="TUSD_SUBSIDIO" tableColumnId="69"/>
      <queryTableField id="28" name="TUSD_OUTROS" tableColumnId="70"/>
      <queryTableField id="29" name="TUSD_PT" tableColumnId="71"/>
      <queryTableField id="30" name="TUSD_Per_RB/D" tableColumnId="72"/>
      <queryTableField id="31" name="TUSD_PNT" tableColumnId="73"/>
      <queryTableField id="32" name="TUSD_RI" tableColumnId="74"/>
      <queryTableField id="33" name="TE_PeD" tableColumnId="75"/>
      <queryTableField id="34" name="TE_ESSERR" tableColumnId="76"/>
      <queryTableField id="35" name="TE_CFURH" tableColumnId="77"/>
      <queryTableField id="36" name="TE_CDE_E" tableColumnId="78"/>
      <queryTableField id="37" name="TE_Energia" tableColumnId="79"/>
      <queryTableField id="38" name="TE_TranItaipu" tableColumnId="80"/>
      <queryTableField id="39" name="TE_TUST_ITAIPU" tableColumnId="81"/>
      <queryTableField id="40" name="TE_TUST_CI" tableColumnId="82"/>
      <queryTableField id="41" name="TE_SUBSIDIO" tableColumnId="83"/>
      <queryTableField id="42" name="TE_Per_RB" tableColumnId="8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35FA2FD0-371E-475F-BFFA-3F65CE35409F}" autoFormatId="0" applyNumberFormats="0" applyBorderFormats="0" applyFontFormats="1" applyPatternFormats="1" applyAlignmentFormats="0" applyWidthHeightFormats="0">
  <queryTableRefresh nextId="43">
    <queryTableFields count="42">
      <queryTableField id="1" name="SubGrupo" tableColumnId="43"/>
      <queryTableField id="2" name="Modalidade_TA" tableColumnId="44"/>
      <queryTableField id="3" name="Classe" tableColumnId="45"/>
      <queryTableField id="4" name="SubClasse" tableColumnId="46"/>
      <queryTableField id="5" name="Detalhe" tableColumnId="47"/>
      <queryTableField id="6" name="Posto" tableColumnId="48"/>
      <queryTableField id="7" name="unidade" tableColumnId="49"/>
      <queryTableField id="8" name="Acessante" tableColumnId="50"/>
      <queryTableField id="9" name="TotalTUSD" tableColumnId="51"/>
      <queryTableField id="10" name="TotalTE" tableColumnId="52"/>
      <queryTableField id="11" name="TUSD_RGR" tableColumnId="53"/>
      <queryTableField id="12" name="TUSD_TFSEE" tableColumnId="54"/>
      <queryTableField id="13" name="TUSD_PeD" tableColumnId="55"/>
      <queryTableField id="14" name="TUSD_ONS" tableColumnId="56"/>
      <queryTableField id="15" name="TUSD_CCC" tableColumnId="57"/>
      <queryTableField id="16" name="TUSD_CDE" tableColumnId="58"/>
      <queryTableField id="17" name="TUSD_PROINFA" tableColumnId="59"/>
      <queryTableField id="18" name="TUSD_Liminar1" tableColumnId="60"/>
      <queryTableField id="19" name="TUSD_RB" tableColumnId="61"/>
      <queryTableField id="20" name="TUSD_FR" tableColumnId="62"/>
      <queryTableField id="21" name="TUSD_CCT" tableColumnId="63"/>
      <queryTableField id="22" name="TUSD_CCD" tableColumnId="64"/>
      <queryTableField id="23" name="TUSD_CUSD" tableColumnId="65"/>
      <queryTableField id="24" name="TUSDG_T" tableColumnId="66"/>
      <queryTableField id="25" name="TUSDG_ONS" tableColumnId="67"/>
      <queryTableField id="26" name="TUSD_FioB" tableColumnId="68"/>
      <queryTableField id="27" name="TUSD_SUBSIDIO" tableColumnId="69"/>
      <queryTableField id="28" name="TUSD_OUTROS" tableColumnId="70"/>
      <queryTableField id="29" name="TUSD_PT" tableColumnId="71"/>
      <queryTableField id="30" name="TUSD_Per_RB/D" tableColumnId="72"/>
      <queryTableField id="31" name="TUSD_PNT" tableColumnId="73"/>
      <queryTableField id="32" name="TUSD_RI" tableColumnId="74"/>
      <queryTableField id="33" name="TE_PeD" tableColumnId="75"/>
      <queryTableField id="34" name="TE_ESSERR" tableColumnId="76"/>
      <queryTableField id="35" name="TE_CFURH" tableColumnId="77"/>
      <queryTableField id="36" name="TE_CDE_E" tableColumnId="78"/>
      <queryTableField id="37" name="TE_Energia" tableColumnId="79"/>
      <queryTableField id="38" name="TE_TranItaipu" tableColumnId="80"/>
      <queryTableField id="39" name="TE_TUST_ITAIPU" tableColumnId="81"/>
      <queryTableField id="40" name="TE_TUST_CI" tableColumnId="82"/>
      <queryTableField id="41" name="TE_SUBSIDIO" tableColumnId="83"/>
      <queryTableField id="42" name="TE_Per_RB" tableColumnId="84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2FAEF8-EDDD-4806-B315-E277FBA66534}" name="Efeito" displayName="Efeito" ref="A1:AG2285" totalsRowShown="0" headerRowDxfId="1377" dataDxfId="1376">
  <autoFilter ref="A1:AG2285" xr:uid="{E4EDE52C-3DC0-486F-BCB5-1518C0B0C81A}"/>
  <tableColumns count="33">
    <tableColumn id="1" xr3:uid="{734F464A-3758-4D6A-96E2-E1BCD70367F1}" name="TipoMercado" dataDxfId="1375"/>
    <tableColumn id="2" xr3:uid="{DB468C8E-6F07-4299-890A-0986D6C0D7D3}" name="Subgrupo" dataDxfId="1374"/>
    <tableColumn id="3" xr3:uid="{AABD6DFD-DAD2-41A0-A144-819BFC457F32}" name="Modalidade" dataDxfId="1373"/>
    <tableColumn id="4" xr3:uid="{0C785303-9D41-47D4-B94D-E87D4FB9AF53}" name="Classe" dataDxfId="1372"/>
    <tableColumn id="5" xr3:uid="{C639119D-B50D-4798-BB7F-F7C839D030E5}" name="Subclasse" dataDxfId="1371"/>
    <tableColumn id="6" xr3:uid="{5FEC919D-9C44-42AE-AADD-0ACF6BB769E3}" name="Detalhe" dataDxfId="1370"/>
    <tableColumn id="7" xr3:uid="{57FA3604-BE3F-4BC7-8F02-2F4E48A8A6B2}" name="Agente" dataDxfId="1369"/>
    <tableColumn id="8" xr3:uid="{98E2D1BF-89C3-4C7E-A430-FB31842A695B}" name="Posto" dataDxfId="1368"/>
    <tableColumn id="9" xr3:uid="{02305599-6472-402B-A6ED-B2C8A5B815C8}" name="AnoMes" dataDxfId="1367"/>
    <tableColumn id="10" xr3:uid="{E57E3E72-20B4-4138-93B1-8114AD7AE372}" name="D" dataDxfId="1366"/>
    <tableColumn id="11" xr3:uid="{0D88D611-AC5B-4849-A1F0-80BA720E7758}" name="Daj" dataDxfId="1365"/>
    <tableColumn id="12" xr3:uid="{C4846F97-F714-45CA-ABC7-800DE0C62EF8}" name="TUSD_E" dataDxfId="1364"/>
    <tableColumn id="13" xr3:uid="{A8DC5267-8202-48E1-8821-667A67568964}" name="TUSD_Eaj" dataDxfId="1363"/>
    <tableColumn id="14" xr3:uid="{F5056DFC-DEBD-4CC4-86FE-B0A89AC34AE3}" name="TE_E" dataDxfId="1362"/>
    <tableColumn id="15" xr3:uid="{A7F5ED15-2BC0-4D3B-858F-784240EDC668}" name="TE_Eaj" dataDxfId="1361"/>
    <tableColumn id="16" xr3:uid="{A5D9C1DB-257B-40FA-9D41-13B435F40479}" name="UC" dataDxfId="1360"/>
    <tableColumn id="17" xr3:uid="{1F6D70DB-3CE0-4556-8EBF-DBC2843FAD01}" name="OPÇÃO" dataDxfId="1359"/>
    <tableColumn id="18" xr3:uid="{329D2E7B-1A8E-4C75-A217-5C367198E6D1}" name="CóD. AUX." dataDxfId="1358"/>
    <tableColumn id="19" xr3:uid="{78F368E1-DDAF-4166-A0DD-913E6A00921B}" name="CóD. AUX. TUSD R$/kW" dataDxfId="1357"/>
    <tableColumn id="20" xr3:uid="{EB1F0CAC-6981-435D-8BB7-305C300C28D2}" name="CóD. AUX. TUSD R$/MWh" dataDxfId="1356"/>
    <tableColumn id="21" xr3:uid="{886DD7F9-F8D7-480B-8A36-23BD3FA61058}" name="CóD. AUX. TE R$/MWh" dataDxfId="1355"/>
    <tableColumn id="22" xr3:uid="{8E59F0A0-56D3-451C-9748-0FDA709F7726}" name="TUSD (R$/kW)" dataDxfId="1354"/>
    <tableColumn id="23" xr3:uid="{373084AD-5A9F-4459-B9E9-1CB55BEA79FB}" name="TUSD (R$/MWh)" dataDxfId="1353"/>
    <tableColumn id="24" xr3:uid="{99F2FC90-9388-45EB-950B-68CA2744E167}" name="TE (R$/MWh)" dataDxfId="1352"/>
    <tableColumn id="25" xr3:uid="{2B686504-5C4B-4177-9125-87DF2810DEE7}" name="TUSD (R$/kW) NOVA" dataDxfId="1351"/>
    <tableColumn id="26" xr3:uid="{64CF940B-EE5A-45BC-9673-3D923F726B10}" name="TUSD (R$/MWh) NOVA" dataDxfId="1350">
      <calculatedColumnFormula>('TUSD BE'!$AM$85+'TUSD BF'!$AM$85+'TUSD CVA'!$AM$85)*1</calculatedColumnFormula>
    </tableColumn>
    <tableColumn id="27" xr3:uid="{6F17D661-21D5-4A61-BFF1-348298651915}" name="TE (R$/MWh) NOVA" dataDxfId="1349">
      <calculatedColumnFormula>('TE BE'!$AA$49+'TE BF'!$AA$49+'TE CVA'!$AA$49)*1</calculatedColumnFormula>
    </tableColumn>
    <tableColumn id="28" xr3:uid="{6978CE24-F037-4FDD-B501-A62983B7E19E}" name="RA0 ou RV - TUSD (kW)" dataDxfId="1348"/>
    <tableColumn id="29" xr3:uid="{D4D602F7-4713-4A36-BBA0-AE498A9CC9F2}" name="RA0 ou RV - TUSD (MWh)" dataDxfId="1347"/>
    <tableColumn id="30" xr3:uid="{23373205-05C7-428B-8782-91FDA3C1BF74}" name="RA0 ou RV - TE (MWh)" dataDxfId="1346"/>
    <tableColumn id="31" xr3:uid="{62569316-C427-4C56-9130-CC00BCA0250B}" name="RA1 ou RRD - TUSD (kW)" dataDxfId="1345"/>
    <tableColumn id="32" xr3:uid="{D62EFECA-BF05-442E-8CB6-FF856ED26069}" name="RA1 ou RRD - TUSD (MWh)" dataDxfId="1344"/>
    <tableColumn id="33" xr3:uid="{5643CBA2-7522-445A-9293-B60B2E1A9DF2}" name="RA1 ou RRD - TE (MWh)" dataDxfId="134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F87CEE-8CE2-44C5-94A8-AB216424077A}" name="Subsidio" displayName="Subsidio" ref="A1:AF833" totalsRowShown="0" headerRowDxfId="1342" dataDxfId="1341">
  <autoFilter ref="A1:AF833" xr:uid="{2AC4EE4D-96A2-42C5-A3D2-78F0D7857C14}"/>
  <tableColumns count="32">
    <tableColumn id="1" xr3:uid="{DAFE010B-C88F-4C34-8E6F-C9BF1D00ADE3}" name="TipoMercado" dataDxfId="1340"/>
    <tableColumn id="2" xr3:uid="{20554203-9238-4A86-8C96-2CD2C5E7E046}" name="Subgrupo" dataDxfId="1339"/>
    <tableColumn id="3" xr3:uid="{231FE403-767C-49AE-B8CC-3F5389D729AF}" name="Modalidade" dataDxfId="1338"/>
    <tableColumn id="4" xr3:uid="{782DAA4D-0AD2-46D4-A65F-A00D100641C5}" name="Classe" dataDxfId="1337"/>
    <tableColumn id="5" xr3:uid="{2344BCB8-BB5F-43A8-BD85-E7FFA060A212}" name="Subclasse" dataDxfId="1336"/>
    <tableColumn id="6" xr3:uid="{33F3C8F6-1CA9-43C2-8FA6-AE706EC94813}" name="Detalhe" dataDxfId="1335"/>
    <tableColumn id="7" xr3:uid="{F8D131EE-F730-46FE-B1B3-748F39DAB589}" name="Agente" dataDxfId="1334"/>
    <tableColumn id="8" xr3:uid="{EEBAE1D9-4449-4E02-8177-ED8260332B15}" name="Posto" dataDxfId="1333"/>
    <tableColumn id="9" xr3:uid="{4A5A1924-9A6A-42D4-AEF4-E9422B65F3F6}" name="AnoMes" dataDxfId="1332"/>
    <tableColumn id="10" xr3:uid="{984B5F2F-75EE-4204-B5C7-A5E4355F8EFD}" name="D" dataDxfId="1331"/>
    <tableColumn id="11" xr3:uid="{8D6F9598-C204-4E7E-9BD2-BC6C81943A32}" name="Daj" dataDxfId="1330"/>
    <tableColumn id="12" xr3:uid="{774AF4B0-201B-4FCB-8BE9-782BEAB5EC6C}" name="TUSD_E" dataDxfId="1329"/>
    <tableColumn id="13" xr3:uid="{54385036-E223-4068-AFA1-256177104BAD}" name="TUSD_Eaj" dataDxfId="1328"/>
    <tableColumn id="14" xr3:uid="{0B50E6BB-EFF9-4519-BABA-914B7CD1D6EB}" name="TE_E" dataDxfId="1327"/>
    <tableColumn id="15" xr3:uid="{2E5FD520-5934-4DAB-830C-C9BC832D9C37}" name="TE_Eaj" dataDxfId="1326"/>
    <tableColumn id="16" xr3:uid="{46AECF62-ED15-4376-A28C-15D995DC73FC}" name="UC" dataDxfId="1325"/>
    <tableColumn id="17" xr3:uid="{DDBEEF50-F4BA-409C-8ED1-0E7D20B47682}" name="OPÇÃO" dataDxfId="1324"/>
    <tableColumn id="18" xr3:uid="{A65E7A29-529B-4922-A27A-2CAB406C454B}" name="CóD. AUX." dataDxfId="1323"/>
    <tableColumn id="19" xr3:uid="{710BEB2A-A790-4135-8F03-B524BD22DAE3}" name="CóD. AUX. TUSD R$/kW" dataDxfId="1322"/>
    <tableColumn id="20" xr3:uid="{CC6E8301-AB2F-47AE-AA3B-D939C8BC9D39}" name="CóD. AUX. TUSD R$/MWh" dataDxfId="1321"/>
    <tableColumn id="21" xr3:uid="{EE04B283-2B89-4490-95D0-3ED22FC20BED}" name="CóD. AUX. TE R$/MWh" dataDxfId="1320"/>
    <tableColumn id="22" xr3:uid="{BD7F7EAF-FDC1-4221-B0ED-12211FD8CD12}" name="TUSD (R$/kW)" dataDxfId="1319"/>
    <tableColumn id="23" xr3:uid="{AE66DEDF-DCC3-4072-ABBD-B7F018D3B2C5}" name="TUSD (R$/MWh)" dataDxfId="1318"/>
    <tableColumn id="24" xr3:uid="{40AE23FB-50A4-43A1-8D59-AA893DD66827}" name="TE (R$/MWh)" dataDxfId="1317"/>
    <tableColumn id="25" xr3:uid="{C09A2ECA-A60F-419E-BA23-2E937B98BD9F}" name="TUSD (R$/kW) NOVA" dataDxfId="1316"/>
    <tableColumn id="26" xr3:uid="{E431B988-E465-4541-99DC-B5B5987DF513}" name="TUSD (R$/MWh) NOVA" dataDxfId="1315">
      <calculatedColumnFormula>('TUSD BE'!$AM$83+'TUSD BF'!$AM$83+'TUSD CVA'!$AM$83)*1</calculatedColumnFormula>
    </tableColumn>
    <tableColumn id="27" xr3:uid="{ACD66D88-8A3F-4448-AEFF-E81921015B8A}" name="TE (R$/MWh) NOVA" dataDxfId="1314">
      <calculatedColumnFormula>('TE BE'!$AA$47+'TE BF'!$AA$47+'TE CVA'!$AA$47)*1</calculatedColumnFormula>
    </tableColumn>
    <tableColumn id="28" xr3:uid="{A029BBAD-84E9-4927-AD7B-06EE03F63A89}" name="SUBSIDIO kW - TV" dataDxfId="1313">
      <calculatedColumnFormula>(J2-K2)*V2</calculatedColumnFormula>
    </tableColumn>
    <tableColumn id="29" xr3:uid="{86AEAF3A-0B72-410C-99C2-4B7014CBB324}" name="SUBSIDIO MWh - TV" dataDxfId="1312">
      <calculatedColumnFormula>(L2-M2)*W2+(N2-O2)*X2</calculatedColumnFormula>
    </tableColumn>
    <tableColumn id="30" xr3:uid="{F2F2FADC-5A35-4EE3-AD7D-3F0788924E8E}" name="SUBSIDIO kW - TN" dataDxfId="1311">
      <calculatedColumnFormula>(J2-K2)*Y2</calculatedColumnFormula>
    </tableColumn>
    <tableColumn id="31" xr3:uid="{610FD543-17C3-4EB6-8560-B8CB3B03AF36}" name="SUBSIDIO MWh - TN" dataDxfId="1310">
      <calculatedColumnFormula>(L2-M2)*Z2+(N2-O2)*AA2</calculatedColumnFormula>
    </tableColumn>
    <tableColumn id="32" xr3:uid="{ED2AB795-7AF4-4B1D-91B4-F1B7FD15AACB}" name="TIPO" dataDxfId="130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1D0F52D-DD2B-48A9-A991-58BD061A8EF7}" name="TabelaFin" displayName="TabelaFin" ref="B3:AQ98" tableType="queryTable" totalsRowShown="0" headerRowDxfId="95" dataDxfId="94" headerRowBorderDxfId="139" tableBorderDxfId="140" totalsRowBorderDxfId="138">
  <autoFilter ref="B3:AQ98" xr:uid="{DE1E5563-FE5C-4F5E-B8F3-0D15F0E74F44}"/>
  <tableColumns count="42">
    <tableColumn id="43" xr3:uid="{E5A0FA21-9DC1-49E1-9003-B8163B494E46}" uniqueName="43" name="SubGrupo" queryTableFieldId="1" dataDxfId="137"/>
    <tableColumn id="44" xr3:uid="{882681B3-7DC9-4714-A3AA-A4CCDE3862DC}" uniqueName="44" name="Modalidade_TA" queryTableFieldId="2" dataDxfId="136"/>
    <tableColumn id="45" xr3:uid="{970F7884-F578-4AF1-93C9-30CC79FEC941}" uniqueName="45" name="Classe" queryTableFieldId="3" dataDxfId="135"/>
    <tableColumn id="46" xr3:uid="{CF687285-AB2E-4CAF-A129-D5ACEB89D7A1}" uniqueName="46" name="SubClasse" queryTableFieldId="4" dataDxfId="134"/>
    <tableColumn id="47" xr3:uid="{A6CCE782-3AA2-49FD-B25E-83DD019D4906}" uniqueName="47" name="Detalhe" queryTableFieldId="5" dataDxfId="133"/>
    <tableColumn id="48" xr3:uid="{DDF8BF2F-5F5F-4ED6-8294-FDBC20F1B388}" uniqueName="48" name="Posto" queryTableFieldId="6" dataDxfId="132"/>
    <tableColumn id="49" xr3:uid="{21DA686E-02F0-46F5-BC2F-22B032D84CCE}" uniqueName="49" name="unidade" queryTableFieldId="7" dataDxfId="131"/>
    <tableColumn id="50" xr3:uid="{7F86CEE7-4C91-41D7-AD95-632651785A6F}" uniqueName="50" name="Acessante" queryTableFieldId="8" dataDxfId="130"/>
    <tableColumn id="51" xr3:uid="{4FCA8A57-9082-4649-B305-B9F9F61AD75E}" uniqueName="51" name="TotalTUSD" queryTableFieldId="9" dataDxfId="129"/>
    <tableColumn id="52" xr3:uid="{57014F25-F4A4-4850-BC1F-D7DC2BF0A679}" uniqueName="52" name="TotalTE" queryTableFieldId="10" dataDxfId="128"/>
    <tableColumn id="53" xr3:uid="{075174FC-4B28-452D-B374-8957B6F9F98F}" uniqueName="53" name="TUSD_RGR" queryTableFieldId="11" dataDxfId="127"/>
    <tableColumn id="54" xr3:uid="{6FFF24D7-E87D-4166-99EF-CA121490BAD3}" uniqueName="54" name="TUSD_TFSEE" queryTableFieldId="12" dataDxfId="126"/>
    <tableColumn id="55" xr3:uid="{2B36EB8E-DA91-40A1-AC98-B367F400E084}" uniqueName="55" name="TUSD_PeD" queryTableFieldId="13" dataDxfId="125"/>
    <tableColumn id="56" xr3:uid="{9A01E015-6ACA-45E4-8E59-45A7DACEAB8C}" uniqueName="56" name="TUSD_ONS" queryTableFieldId="14" dataDxfId="124"/>
    <tableColumn id="57" xr3:uid="{97FAC7EB-C498-4F09-BBF2-809CCA2611EF}" uniqueName="57" name="TUSD_CCC" queryTableFieldId="15" dataDxfId="123"/>
    <tableColumn id="58" xr3:uid="{64422555-1E35-44CA-A61E-ABB9AD503093}" uniqueName="58" name="TUSD_CDE" queryTableFieldId="16" dataDxfId="122"/>
    <tableColumn id="59" xr3:uid="{3A6C2AE6-5774-4A64-9403-B0C921C3197E}" uniqueName="59" name="TUSD_PROINFA" queryTableFieldId="17" dataDxfId="121"/>
    <tableColumn id="60" xr3:uid="{EA732655-4583-422A-B3FC-7C0EF2D962C1}" uniqueName="60" name="TUSD_Liminar1" queryTableFieldId="18" dataDxfId="120"/>
    <tableColumn id="61" xr3:uid="{91FDB9AF-D6DF-433F-8CB4-99F871ACD298}" uniqueName="61" name="TUSD_RB" queryTableFieldId="19" dataDxfId="119"/>
    <tableColumn id="62" xr3:uid="{FF2D8892-E2E4-4BB6-B12D-89475D18AC45}" uniqueName="62" name="TUSD_FR" queryTableFieldId="20" dataDxfId="118"/>
    <tableColumn id="63" xr3:uid="{70BDB290-079D-4CDF-AF02-9E3A688BC338}" uniqueName="63" name="TUSD_CCT" queryTableFieldId="21" dataDxfId="117"/>
    <tableColumn id="64" xr3:uid="{6A9BB157-741E-409A-BFCC-3C1D18672805}" uniqueName="64" name="TUSD_CCD" queryTableFieldId="22" dataDxfId="116"/>
    <tableColumn id="65" xr3:uid="{0DD10F22-9343-4C34-A849-535343C70EA9}" uniqueName="65" name="TUSD_CUSD" queryTableFieldId="23" dataDxfId="115"/>
    <tableColumn id="66" xr3:uid="{4BDED5EA-41A8-43B3-BC60-F2FD7AF40627}" uniqueName="66" name="TUSDG_T" queryTableFieldId="24" dataDxfId="114"/>
    <tableColumn id="67" xr3:uid="{2636A474-4C30-4FCE-9991-75FBEA871D86}" uniqueName="67" name="TUSDG_ONS" queryTableFieldId="25" dataDxfId="113"/>
    <tableColumn id="68" xr3:uid="{122F1CFC-FA93-41D4-87B9-6E357BA758A3}" uniqueName="68" name="TUSD_FioB" queryTableFieldId="26" dataDxfId="112"/>
    <tableColumn id="69" xr3:uid="{B086AE00-2931-4E80-BD1A-A1175DF96E1F}" uniqueName="69" name="TUSD_SUBSIDIO" queryTableFieldId="27" dataDxfId="111"/>
    <tableColumn id="70" xr3:uid="{1A0C6F5E-C377-4BB3-9F7C-04054E718D24}" uniqueName="70" name="TUSD_OUTROS" queryTableFieldId="28" dataDxfId="110"/>
    <tableColumn id="71" xr3:uid="{378309D4-BEE2-4474-8DE9-03B9FD4BC978}" uniqueName="71" name="TUSD_PT" queryTableFieldId="29" dataDxfId="109"/>
    <tableColumn id="72" xr3:uid="{0FF9D8B8-E60D-47A0-86AF-86765909BB3C}" uniqueName="72" name="TUSD_Per_RB/D" queryTableFieldId="30" dataDxfId="108"/>
    <tableColumn id="73" xr3:uid="{EED2B3EB-B066-4F30-9BAC-C030A709A20C}" uniqueName="73" name="TUSD_PNT" queryTableFieldId="31" dataDxfId="107"/>
    <tableColumn id="74" xr3:uid="{C5166BFB-6CD2-47A5-A203-84FA831B1619}" uniqueName="74" name="TUSD_RI" queryTableFieldId="32" dataDxfId="106"/>
    <tableColumn id="75" xr3:uid="{875C4AE4-5DC0-4DD4-B9A7-D8893796CB3C}" uniqueName="75" name="TE_PeD" queryTableFieldId="33" dataDxfId="105"/>
    <tableColumn id="76" xr3:uid="{3D45E9F9-B581-44BC-81B5-4D28FAA7E0E8}" uniqueName="76" name="TE_ESSERR" queryTableFieldId="34" dataDxfId="104"/>
    <tableColumn id="77" xr3:uid="{D9B91C91-26FD-4333-B2CA-19A12C1CD984}" uniqueName="77" name="TE_CFURH" queryTableFieldId="35" dataDxfId="103"/>
    <tableColumn id="78" xr3:uid="{DE6CEED4-568C-4609-A8D8-6E0A736591A6}" uniqueName="78" name="TE_CDE_E" queryTableFieldId="36" dataDxfId="102"/>
    <tableColumn id="79" xr3:uid="{6D98E6CE-331A-4E36-8303-8AFAF95134ED}" uniqueName="79" name="TE_Energia" queryTableFieldId="37" dataDxfId="101"/>
    <tableColumn id="80" xr3:uid="{3E3B63E5-1CF6-4911-9B02-71D8135A8E20}" uniqueName="80" name="TE_TranItaipu" queryTableFieldId="38" dataDxfId="100"/>
    <tableColumn id="81" xr3:uid="{21AB85C5-57DA-4F9D-897A-113DC15D118E}" uniqueName="81" name="TE_TUST_ITAIPU" queryTableFieldId="39" dataDxfId="99"/>
    <tableColumn id="82" xr3:uid="{0E08FCB9-7475-4542-BF72-A73804AA92B2}" uniqueName="82" name="TE_TUST_CI" queryTableFieldId="40" dataDxfId="98"/>
    <tableColumn id="83" xr3:uid="{7F8744A4-05E0-46CC-863B-E9E0565DEA93}" uniqueName="83" name="TE_SUBSIDIO" queryTableFieldId="41" dataDxfId="97"/>
    <tableColumn id="84" xr3:uid="{DF529790-6C6F-4C37-8C66-2B1ED6B9F3DD}" uniqueName="84" name="TE_Per_RB" queryTableFieldId="42" dataDxfId="9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D6DF745-5105-401D-9960-14CD4F802ACD}" name="TabelaEc" displayName="TabelaEc" ref="B3:AQ98" tableType="queryTable" totalsRowShown="0" headerRowDxfId="48" dataDxfId="47" headerRowBorderDxfId="92" tableBorderDxfId="93" totalsRowBorderDxfId="91">
  <autoFilter ref="B3:AQ98" xr:uid="{0DE19D4E-DD7D-4EED-B12B-7730013374D2}"/>
  <tableColumns count="42">
    <tableColumn id="43" xr3:uid="{C2A0EA2E-033A-4DF6-9D5A-DBC5F9EE250D}" uniqueName="43" name="SubGrupo" queryTableFieldId="1" dataDxfId="90"/>
    <tableColumn id="44" xr3:uid="{2C056BD3-7DC0-47A5-9FC1-764C8958B3AF}" uniqueName="44" name="Modalidade_TA" queryTableFieldId="2" dataDxfId="89"/>
    <tableColumn id="45" xr3:uid="{B5EAAC7A-C7FA-4C33-893D-9290FA755E1B}" uniqueName="45" name="Classe" queryTableFieldId="3" dataDxfId="88"/>
    <tableColumn id="46" xr3:uid="{AF90955F-BE3A-408C-A94A-D3A0BC318451}" uniqueName="46" name="SubClasse" queryTableFieldId="4" dataDxfId="87"/>
    <tableColumn id="47" xr3:uid="{EFBA81B3-BE0F-4C80-98FA-517E2FC89818}" uniqueName="47" name="Detalhe" queryTableFieldId="5" dataDxfId="86"/>
    <tableColumn id="48" xr3:uid="{AA30C67B-09E6-48B3-834A-8EFD0BB80AB8}" uniqueName="48" name="Posto" queryTableFieldId="6" dataDxfId="85"/>
    <tableColumn id="49" xr3:uid="{9ACFEE15-587A-458A-9405-C03DEA58AAAE}" uniqueName="49" name="unidade" queryTableFieldId="7" dataDxfId="84"/>
    <tableColumn id="50" xr3:uid="{8E494023-890B-4182-82DB-4EBC6491A56E}" uniqueName="50" name="Acessante" queryTableFieldId="8" dataDxfId="83"/>
    <tableColumn id="51" xr3:uid="{25A21F72-126D-47AE-A419-7B055CB2D3DE}" uniqueName="51" name="TotalTUSD" queryTableFieldId="9" dataDxfId="82"/>
    <tableColumn id="52" xr3:uid="{10B39D5B-5726-412A-A8E0-8967DDD9DBA8}" uniqueName="52" name="TotalTE" queryTableFieldId="10" dataDxfId="81"/>
    <tableColumn id="53" xr3:uid="{BDE12C60-BF65-4BB9-B76B-06FF6DCC6A8B}" uniqueName="53" name="TUSD_RGR" queryTableFieldId="11" dataDxfId="80"/>
    <tableColumn id="54" xr3:uid="{8143EFFA-3385-4727-83CE-30D53EF07F20}" uniqueName="54" name="TUSD_TFSEE" queryTableFieldId="12" dataDxfId="79"/>
    <tableColumn id="55" xr3:uid="{45A31B95-9E36-4211-B7A1-5E1C7408F8B8}" uniqueName="55" name="TUSD_PeD" queryTableFieldId="13" dataDxfId="78"/>
    <tableColumn id="56" xr3:uid="{1598A83B-5544-422A-8B1C-9600F24BBA93}" uniqueName="56" name="TUSD_ONS" queryTableFieldId="14" dataDxfId="77"/>
    <tableColumn id="57" xr3:uid="{C9C1EDD2-A9CB-42DB-805F-989197C2C90B}" uniqueName="57" name="TUSD_CCC" queryTableFieldId="15" dataDxfId="76"/>
    <tableColumn id="58" xr3:uid="{BE9A237D-DD62-4BE9-B51D-6A019C8E0BAF}" uniqueName="58" name="TUSD_CDE" queryTableFieldId="16" dataDxfId="75"/>
    <tableColumn id="59" xr3:uid="{E504DD01-16D1-41DC-842D-9B3D150DE3BD}" uniqueName="59" name="TUSD_PROINFA" queryTableFieldId="17" dataDxfId="74"/>
    <tableColumn id="60" xr3:uid="{11A9FB28-9C91-431E-A722-E557D81BAD56}" uniqueName="60" name="TUSD_Liminar1" queryTableFieldId="18" dataDxfId="73"/>
    <tableColumn id="61" xr3:uid="{88C4A77D-582F-47AD-BA2F-63A3C8180627}" uniqueName="61" name="TUSD_RB" queryTableFieldId="19" dataDxfId="72"/>
    <tableColumn id="62" xr3:uid="{06CA52E7-4AF8-4794-B81A-E73181C7E484}" uniqueName="62" name="TUSD_FR" queryTableFieldId="20" dataDxfId="71"/>
    <tableColumn id="63" xr3:uid="{EA9629FD-A1CC-4526-A904-1D02436ECBA8}" uniqueName="63" name="TUSD_CCT" queryTableFieldId="21" dataDxfId="70"/>
    <tableColumn id="64" xr3:uid="{32C93213-DFAB-4521-9BE2-BB6C1767E5BF}" uniqueName="64" name="TUSD_CCD" queryTableFieldId="22" dataDxfId="69"/>
    <tableColumn id="65" xr3:uid="{F02AE751-2D6E-4344-B919-84FFC540813D}" uniqueName="65" name="TUSD_CUSD" queryTableFieldId="23" dataDxfId="68"/>
    <tableColumn id="66" xr3:uid="{D8AFA87C-BC88-4523-B518-714A22D72EB2}" uniqueName="66" name="TUSDG_T" queryTableFieldId="24" dataDxfId="67"/>
    <tableColumn id="67" xr3:uid="{6C41876E-3F61-4BE1-9063-11AF896D64DB}" uniqueName="67" name="TUSDG_ONS" queryTableFieldId="25" dataDxfId="66"/>
    <tableColumn id="68" xr3:uid="{9452768D-FE8C-45EE-9C83-BEF476577F9B}" uniqueName="68" name="TUSD_FioB" queryTableFieldId="26" dataDxfId="65"/>
    <tableColumn id="69" xr3:uid="{FC550DB2-F9D8-4FAC-A467-DCB261BAED85}" uniqueName="69" name="TUSD_SUBSIDIO" queryTableFieldId="27" dataDxfId="64"/>
    <tableColumn id="70" xr3:uid="{889AEC69-F75F-49DD-BB11-F6ABEADB5978}" uniqueName="70" name="TUSD_OUTROS" queryTableFieldId="28" dataDxfId="63"/>
    <tableColumn id="71" xr3:uid="{2459C36E-C649-4085-B132-689A6910B48A}" uniqueName="71" name="TUSD_PT" queryTableFieldId="29" dataDxfId="62"/>
    <tableColumn id="72" xr3:uid="{6DF06A03-2D4F-4099-833C-4F35DDAF29C1}" uniqueName="72" name="TUSD_Per_RB/D" queryTableFieldId="30" dataDxfId="61"/>
    <tableColumn id="73" xr3:uid="{A419B233-1A06-4891-9676-8492D363E944}" uniqueName="73" name="TUSD_PNT" queryTableFieldId="31" dataDxfId="60"/>
    <tableColumn id="74" xr3:uid="{88287C29-2475-40FD-AD0A-E3C7DDDB86BE}" uniqueName="74" name="TUSD_RI" queryTableFieldId="32" dataDxfId="59"/>
    <tableColumn id="75" xr3:uid="{4563109B-2483-4F0C-9ABB-0B4A5D7158BC}" uniqueName="75" name="TE_PeD" queryTableFieldId="33" dataDxfId="58"/>
    <tableColumn id="76" xr3:uid="{A4DBA741-8AAF-4BDC-A5FC-F810607FAAA9}" uniqueName="76" name="TE_ESSERR" queryTableFieldId="34" dataDxfId="57"/>
    <tableColumn id="77" xr3:uid="{96A3C848-83A7-48F2-8CC8-AC6540EE65DA}" uniqueName="77" name="TE_CFURH" queryTableFieldId="35" dataDxfId="56"/>
    <tableColumn id="78" xr3:uid="{95096A2B-58C4-4CD5-8961-ED10ED537EA1}" uniqueName="78" name="TE_CDE_E" queryTableFieldId="36" dataDxfId="55"/>
    <tableColumn id="79" xr3:uid="{11D97771-D6C5-4A4F-A8F3-D362AACEC6CE}" uniqueName="79" name="TE_Energia" queryTableFieldId="37" dataDxfId="54"/>
    <tableColumn id="80" xr3:uid="{3C5DA107-6781-4743-9525-C7682516B82B}" uniqueName="80" name="TE_TranItaipu" queryTableFieldId="38" dataDxfId="53"/>
    <tableColumn id="81" xr3:uid="{2D4AF172-2595-403A-8C08-1F772AB0B9D3}" uniqueName="81" name="TE_TUST_ITAIPU" queryTableFieldId="39" dataDxfId="52"/>
    <tableColumn id="82" xr3:uid="{1D954ABD-CC8B-4A9B-802C-D307143AA1A9}" uniqueName="82" name="TE_TUST_CI" queryTableFieldId="40" dataDxfId="51"/>
    <tableColumn id="83" xr3:uid="{081719F4-7CF9-4516-9C14-1DECF56019FB}" uniqueName="83" name="TE_SUBSIDIO" queryTableFieldId="41" dataDxfId="50"/>
    <tableColumn id="84" xr3:uid="{EFC10630-5BEA-45AF-8341-BF04C5624BAB}" uniqueName="84" name="TE_Per_RB" queryTableFieldId="42" dataDxfId="4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20C08BA-75B1-4B55-81AC-6AC256F7F1E3}" name="TabelaCVA" displayName="TabelaCVA" ref="B3:AQ94" tableType="queryTable" totalsRowShown="0" headerRowDxfId="1" dataDxfId="0" headerRowBorderDxfId="45" tableBorderDxfId="46" totalsRowBorderDxfId="44">
  <autoFilter ref="B3:AQ94" xr:uid="{09FA3D12-0C7D-4939-844A-66C2B5B8852E}"/>
  <tableColumns count="42">
    <tableColumn id="43" xr3:uid="{02251589-245B-473F-89C1-49BDEAFE57CF}" uniqueName="43" name="SubGrupo" queryTableFieldId="1" dataDxfId="43"/>
    <tableColumn id="44" xr3:uid="{CB8E47DD-AA4E-4D25-905E-974D0B724E29}" uniqueName="44" name="Modalidade_TA" queryTableFieldId="2" dataDxfId="42"/>
    <tableColumn id="45" xr3:uid="{5CEF0D10-6082-4AC0-9D65-BE10748E4BFA}" uniqueName="45" name="Classe" queryTableFieldId="3" dataDxfId="41"/>
    <tableColumn id="46" xr3:uid="{6FE40AF8-D4A4-403F-973A-D923A01B8314}" uniqueName="46" name="SubClasse" queryTableFieldId="4" dataDxfId="40"/>
    <tableColumn id="47" xr3:uid="{02F889DC-175F-4690-90AE-2D79AFBCC4CE}" uniqueName="47" name="Detalhe" queryTableFieldId="5" dataDxfId="39"/>
    <tableColumn id="48" xr3:uid="{D18F3F2B-3A22-49D3-AEA1-BC7A628A0E09}" uniqueName="48" name="Posto" queryTableFieldId="6" dataDxfId="38"/>
    <tableColumn id="49" xr3:uid="{370CA5AB-D887-479E-B680-3941B165DBE2}" uniqueName="49" name="unidade" queryTableFieldId="7" dataDxfId="37"/>
    <tableColumn id="50" xr3:uid="{08F3393D-E446-46B4-9D42-B0E9E8C247AA}" uniqueName="50" name="Acessante" queryTableFieldId="8" dataDxfId="36"/>
    <tableColumn id="51" xr3:uid="{CA1B8CB0-4FAB-4259-8DC7-D3FC61935A76}" uniqueName="51" name="TotalTUSD" queryTableFieldId="9" dataDxfId="35"/>
    <tableColumn id="52" xr3:uid="{77B5521B-4C96-45D7-B46D-A50A0C425EFB}" uniqueName="52" name="TotalTE" queryTableFieldId="10" dataDxfId="34"/>
    <tableColumn id="53" xr3:uid="{1391E6AC-3D31-4525-A428-8518EA3931BE}" uniqueName="53" name="TUSD_RGR" queryTableFieldId="11" dataDxfId="33"/>
    <tableColumn id="54" xr3:uid="{A4613466-C82A-4DB5-8433-F5B2924A3375}" uniqueName="54" name="TUSD_TFSEE" queryTableFieldId="12" dataDxfId="32"/>
    <tableColumn id="55" xr3:uid="{74FF2878-C31A-4CE5-81B0-BA57B26B929D}" uniqueName="55" name="TUSD_PeD" queryTableFieldId="13" dataDxfId="31"/>
    <tableColumn id="56" xr3:uid="{09664083-5CED-4B71-A822-3FF9DEC62F7D}" uniqueName="56" name="TUSD_ONS" queryTableFieldId="14" dataDxfId="30"/>
    <tableColumn id="57" xr3:uid="{E041AAE8-D012-4CD0-BD85-CD87A7AC0DE2}" uniqueName="57" name="TUSD_CCC" queryTableFieldId="15" dataDxfId="29"/>
    <tableColumn id="58" xr3:uid="{2D0B7C98-5026-4219-91D0-E5A91385E791}" uniqueName="58" name="TUSD_CDE" queryTableFieldId="16" dataDxfId="28"/>
    <tableColumn id="59" xr3:uid="{01CD65E3-55ED-4AC0-BE43-1AC9E1D7778B}" uniqueName="59" name="TUSD_PROINFA" queryTableFieldId="17" dataDxfId="27"/>
    <tableColumn id="60" xr3:uid="{FB23302C-7B52-43FA-91D5-FB041FB0A5FD}" uniqueName="60" name="TUSD_Liminar1" queryTableFieldId="18" dataDxfId="26"/>
    <tableColumn id="61" xr3:uid="{201E389C-7749-43A3-A969-735F3D7BEE9D}" uniqueName="61" name="TUSD_RB" queryTableFieldId="19" dataDxfId="25"/>
    <tableColumn id="62" xr3:uid="{1F0500C0-A851-453F-8F99-0100EB00660E}" uniqueName="62" name="TUSD_FR" queryTableFieldId="20" dataDxfId="24"/>
    <tableColumn id="63" xr3:uid="{88A1F3A0-9833-4197-8C06-A59F49107779}" uniqueName="63" name="TUSD_CCT" queryTableFieldId="21" dataDxfId="23"/>
    <tableColumn id="64" xr3:uid="{95790677-D62D-455D-9505-CCA84EB0A25C}" uniqueName="64" name="TUSD_CCD" queryTableFieldId="22" dataDxfId="22"/>
    <tableColumn id="65" xr3:uid="{192680BC-4BBB-4A6C-958B-F79DE20918CA}" uniqueName="65" name="TUSD_CUSD" queryTableFieldId="23" dataDxfId="21"/>
    <tableColumn id="66" xr3:uid="{55411B84-20D2-4B16-958B-46DECF44FC1F}" uniqueName="66" name="TUSDG_T" queryTableFieldId="24" dataDxfId="20"/>
    <tableColumn id="67" xr3:uid="{C6D18EE3-650D-46E7-B2B4-3356C9F0D72D}" uniqueName="67" name="TUSDG_ONS" queryTableFieldId="25" dataDxfId="19"/>
    <tableColumn id="68" xr3:uid="{58474BFD-8EEE-4D8F-B61A-7C58EE744431}" uniqueName="68" name="TUSD_FioB" queryTableFieldId="26" dataDxfId="18"/>
    <tableColumn id="69" xr3:uid="{A945CCE8-4662-4D28-B091-B704BE97699D}" uniqueName="69" name="TUSD_SUBSIDIO" queryTableFieldId="27" dataDxfId="17"/>
    <tableColumn id="70" xr3:uid="{39C0F122-14F3-4BE3-AF48-461E0DA38D3B}" uniqueName="70" name="TUSD_OUTROS" queryTableFieldId="28" dataDxfId="16"/>
    <tableColumn id="71" xr3:uid="{15B7B967-407E-41B1-9E6E-9EC02C308FFD}" uniqueName="71" name="TUSD_PT" queryTableFieldId="29" dataDxfId="15"/>
    <tableColumn id="72" xr3:uid="{7773C510-EA8C-4BD9-AD1B-7A71413AF88C}" uniqueName="72" name="TUSD_Per_RB/D" queryTableFieldId="30" dataDxfId="14"/>
    <tableColumn id="73" xr3:uid="{7D63B747-A0EE-4A5B-B745-09E5A7D1D834}" uniqueName="73" name="TUSD_PNT" queryTableFieldId="31" dataDxfId="13"/>
    <tableColumn id="74" xr3:uid="{8A8C2F82-568C-4C58-BC42-6B3688C060AF}" uniqueName="74" name="TUSD_RI" queryTableFieldId="32" dataDxfId="12"/>
    <tableColumn id="75" xr3:uid="{AE3B12B5-6E9A-48B6-9B04-41FD9276F333}" uniqueName="75" name="TE_PeD" queryTableFieldId="33" dataDxfId="11"/>
    <tableColumn id="76" xr3:uid="{9FDB9620-F260-47CD-A771-CA4065407C90}" uniqueName="76" name="TE_ESSERR" queryTableFieldId="34" dataDxfId="10"/>
    <tableColumn id="77" xr3:uid="{BAD07C64-C89B-4491-830F-F76EF5D1AE2E}" uniqueName="77" name="TE_CFURH" queryTableFieldId="35" dataDxfId="9"/>
    <tableColumn id="78" xr3:uid="{B1B12F04-440F-4C09-BB13-234C10BE4BD1}" uniqueName="78" name="TE_CDE_E" queryTableFieldId="36" dataDxfId="8"/>
    <tableColumn id="79" xr3:uid="{AF060320-C78B-494E-A03B-7BF367040718}" uniqueName="79" name="TE_Energia" queryTableFieldId="37" dataDxfId="7"/>
    <tableColumn id="80" xr3:uid="{07EBD669-AEF8-4149-BC63-811C28F793A8}" uniqueName="80" name="TE_TranItaipu" queryTableFieldId="38" dataDxfId="6"/>
    <tableColumn id="81" xr3:uid="{4F8FFD45-97BA-4C57-A8F0-43F5BB275A75}" uniqueName="81" name="TE_TUST_ITAIPU" queryTableFieldId="39" dataDxfId="5"/>
    <tableColumn id="82" xr3:uid="{C1729703-A0F8-4A21-98A6-EC70DE58B469}" uniqueName="82" name="TE_TUST_CI" queryTableFieldId="40" dataDxfId="4"/>
    <tableColumn id="83" xr3:uid="{F3706102-033C-4854-8905-2B9ADF34EDDA}" uniqueName="83" name="TE_SUBSIDIO" queryTableFieldId="41" dataDxfId="3"/>
    <tableColumn id="84" xr3:uid="{4ECE101E-5711-48BC-8C79-9775338C6328}" uniqueName="84" name="TE_Per_RB" queryTableFieldId="42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5580C-D52F-442F-8490-2985409E2239}">
  <dimension ref="A1:W2285"/>
  <sheetViews>
    <sheetView showGridLines="0" topLeftCell="F1" workbookViewId="0">
      <selection activeCell="O1" sqref="O1:O1048576"/>
    </sheetView>
  </sheetViews>
  <sheetFormatPr defaultColWidth="8.85546875" defaultRowHeight="11.25" customHeight="1" x14ac:dyDescent="0.25"/>
  <cols>
    <col min="1" max="1" width="18" style="4" bestFit="1" customWidth="1"/>
    <col min="2" max="2" width="7.7109375" style="4" bestFit="1" customWidth="1"/>
    <col min="3" max="3" width="9.28515625" style="4" bestFit="1" customWidth="1"/>
    <col min="4" max="4" width="12.7109375" style="4" bestFit="1" customWidth="1"/>
    <col min="5" max="5" width="23.140625" style="4" bestFit="1" customWidth="1"/>
    <col min="6" max="6" width="12.85546875" style="4" bestFit="1" customWidth="1"/>
    <col min="7" max="7" width="13.42578125" style="4" bestFit="1" customWidth="1"/>
    <col min="8" max="8" width="9.5703125" style="4" bestFit="1" customWidth="1"/>
    <col min="9" max="9" width="7.85546875" style="5" bestFit="1" customWidth="1"/>
    <col min="10" max="16" width="7.85546875" style="6" bestFit="1" customWidth="1"/>
    <col min="17" max="17" width="10.7109375" style="4" bestFit="1" customWidth="1"/>
    <col min="18" max="18" width="8" style="4" bestFit="1" customWidth="1"/>
    <col min="19" max="19" width="72.28515625" style="4" bestFit="1" customWidth="1"/>
    <col min="20" max="20" width="77.5703125" style="4" bestFit="1" customWidth="1"/>
    <col min="21" max="21" width="17.42578125" style="4" bestFit="1" customWidth="1"/>
    <col min="22" max="22" width="18.7109375" style="4" bestFit="1" customWidth="1"/>
    <col min="23" max="23" width="16.5703125" style="4" bestFit="1" customWidth="1"/>
    <col min="24" max="16384" width="8.85546875" style="4"/>
  </cols>
  <sheetData>
    <row r="1" spans="1:23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106</v>
      </c>
      <c r="T1" s="1" t="s">
        <v>647</v>
      </c>
      <c r="U1" s="1" t="s">
        <v>18</v>
      </c>
      <c r="V1" s="1" t="s">
        <v>19</v>
      </c>
      <c r="W1" s="1" t="s">
        <v>20</v>
      </c>
    </row>
    <row r="2" spans="1:23" ht="11.25" customHeight="1" x14ac:dyDescent="0.25">
      <c r="A2" s="4" t="s">
        <v>21</v>
      </c>
      <c r="B2" s="4" t="s">
        <v>43</v>
      </c>
      <c r="C2" s="4" t="s">
        <v>41</v>
      </c>
      <c r="D2" s="4" t="s">
        <v>42</v>
      </c>
      <c r="E2" s="4" t="s">
        <v>25</v>
      </c>
      <c r="F2" s="4" t="s">
        <v>25</v>
      </c>
      <c r="G2" s="4" t="s">
        <v>25</v>
      </c>
      <c r="H2" s="4" t="s">
        <v>36</v>
      </c>
      <c r="I2" s="5">
        <v>43739</v>
      </c>
      <c r="J2" s="6">
        <v>900</v>
      </c>
      <c r="K2" s="6">
        <v>900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4" t="s">
        <v>26</v>
      </c>
      <c r="R2" s="4">
        <v>0</v>
      </c>
      <c r="S2" s="4" t="s">
        <v>107</v>
      </c>
      <c r="T2" s="4" t="s">
        <v>648</v>
      </c>
      <c r="U2" s="4">
        <v>2</v>
      </c>
      <c r="V2" s="4">
        <v>0</v>
      </c>
      <c r="W2" s="4">
        <v>0</v>
      </c>
    </row>
    <row r="3" spans="1:23" ht="11.25" customHeight="1" x14ac:dyDescent="0.25">
      <c r="A3" s="4" t="s">
        <v>21</v>
      </c>
      <c r="B3" s="4" t="s">
        <v>43</v>
      </c>
      <c r="C3" s="4" t="s">
        <v>41</v>
      </c>
      <c r="D3" s="4" t="s">
        <v>42</v>
      </c>
      <c r="E3" s="4" t="s">
        <v>25</v>
      </c>
      <c r="F3" s="4" t="s">
        <v>25</v>
      </c>
      <c r="G3" s="4" t="s">
        <v>25</v>
      </c>
      <c r="H3" s="4" t="s">
        <v>36</v>
      </c>
      <c r="I3" s="5">
        <v>43770</v>
      </c>
      <c r="J3" s="6">
        <v>900</v>
      </c>
      <c r="K3" s="6">
        <v>900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4" t="s">
        <v>26</v>
      </c>
      <c r="R3" s="4">
        <v>0</v>
      </c>
      <c r="S3" s="4" t="s">
        <v>108</v>
      </c>
      <c r="T3" s="4" t="s">
        <v>649</v>
      </c>
      <c r="U3" s="4">
        <v>2</v>
      </c>
      <c r="V3" s="4">
        <v>0</v>
      </c>
      <c r="W3" s="4">
        <v>0</v>
      </c>
    </row>
    <row r="4" spans="1:23" ht="11.25" customHeight="1" x14ac:dyDescent="0.25">
      <c r="A4" s="4" t="s">
        <v>21</v>
      </c>
      <c r="B4" s="4" t="s">
        <v>43</v>
      </c>
      <c r="C4" s="4" t="s">
        <v>41</v>
      </c>
      <c r="D4" s="4" t="s">
        <v>42</v>
      </c>
      <c r="E4" s="4" t="s">
        <v>25</v>
      </c>
      <c r="F4" s="4" t="s">
        <v>25</v>
      </c>
      <c r="G4" s="4" t="s">
        <v>25</v>
      </c>
      <c r="H4" s="4" t="s">
        <v>36</v>
      </c>
      <c r="I4" s="5">
        <v>43800</v>
      </c>
      <c r="J4" s="6">
        <v>900</v>
      </c>
      <c r="K4" s="6">
        <v>900</v>
      </c>
      <c r="L4" s="6">
        <v>1.131</v>
      </c>
      <c r="M4" s="6">
        <v>1.131</v>
      </c>
      <c r="N4" s="6">
        <v>1.131</v>
      </c>
      <c r="O4" s="6">
        <v>1.131</v>
      </c>
      <c r="P4" s="6">
        <v>0</v>
      </c>
      <c r="Q4" s="4" t="s">
        <v>26</v>
      </c>
      <c r="R4" s="4">
        <v>0</v>
      </c>
      <c r="S4" s="4" t="s">
        <v>109</v>
      </c>
      <c r="T4" s="4" t="s">
        <v>650</v>
      </c>
      <c r="U4" s="4">
        <v>2</v>
      </c>
      <c r="V4" s="4">
        <v>3</v>
      </c>
      <c r="W4" s="4">
        <v>78</v>
      </c>
    </row>
    <row r="5" spans="1:23" ht="11.25" customHeight="1" x14ac:dyDescent="0.25">
      <c r="A5" s="4" t="s">
        <v>21</v>
      </c>
      <c r="B5" s="4" t="s">
        <v>43</v>
      </c>
      <c r="C5" s="4" t="s">
        <v>41</v>
      </c>
      <c r="D5" s="4" t="s">
        <v>42</v>
      </c>
      <c r="E5" s="4" t="s">
        <v>25</v>
      </c>
      <c r="F5" s="4" t="s">
        <v>25</v>
      </c>
      <c r="G5" s="4" t="s">
        <v>25</v>
      </c>
      <c r="H5" s="4" t="s">
        <v>36</v>
      </c>
      <c r="I5" s="5">
        <v>43831</v>
      </c>
      <c r="J5" s="6">
        <v>900</v>
      </c>
      <c r="K5" s="6">
        <v>900</v>
      </c>
      <c r="L5" s="6">
        <v>29.771000000000001</v>
      </c>
      <c r="M5" s="6">
        <v>29.771000000000001</v>
      </c>
      <c r="N5" s="6">
        <v>29.771000000000001</v>
      </c>
      <c r="O5" s="6">
        <v>29.771000000000001</v>
      </c>
      <c r="P5" s="6">
        <v>0</v>
      </c>
      <c r="Q5" s="4" t="s">
        <v>26</v>
      </c>
      <c r="R5" s="4">
        <v>0</v>
      </c>
      <c r="S5" s="4" t="s">
        <v>110</v>
      </c>
      <c r="T5" s="4" t="s">
        <v>651</v>
      </c>
      <c r="U5" s="4">
        <v>2</v>
      </c>
      <c r="V5" s="4">
        <v>3</v>
      </c>
      <c r="W5" s="4">
        <v>78</v>
      </c>
    </row>
    <row r="6" spans="1:23" ht="11.25" customHeight="1" x14ac:dyDescent="0.25">
      <c r="A6" s="4" t="s">
        <v>21</v>
      </c>
      <c r="B6" s="4" t="s">
        <v>43</v>
      </c>
      <c r="C6" s="4" t="s">
        <v>41</v>
      </c>
      <c r="D6" s="4" t="s">
        <v>42</v>
      </c>
      <c r="E6" s="4" t="s">
        <v>25</v>
      </c>
      <c r="F6" s="4" t="s">
        <v>25</v>
      </c>
      <c r="G6" s="4" t="s">
        <v>25</v>
      </c>
      <c r="H6" s="4" t="s">
        <v>36</v>
      </c>
      <c r="I6" s="5">
        <v>43862</v>
      </c>
      <c r="J6" s="6">
        <v>900</v>
      </c>
      <c r="K6" s="6">
        <v>900</v>
      </c>
      <c r="L6" s="6">
        <v>158.71</v>
      </c>
      <c r="M6" s="6">
        <v>158.71</v>
      </c>
      <c r="N6" s="6">
        <v>158.71</v>
      </c>
      <c r="O6" s="6">
        <v>158.71</v>
      </c>
      <c r="P6" s="6">
        <v>0</v>
      </c>
      <c r="Q6" s="4" t="s">
        <v>26</v>
      </c>
      <c r="R6" s="4">
        <v>0</v>
      </c>
      <c r="S6" s="4" t="s">
        <v>111</v>
      </c>
      <c r="T6" s="4" t="s">
        <v>652</v>
      </c>
      <c r="U6" s="4">
        <v>2</v>
      </c>
      <c r="V6" s="4">
        <v>3</v>
      </c>
      <c r="W6" s="4">
        <v>78</v>
      </c>
    </row>
    <row r="7" spans="1:23" ht="11.25" customHeight="1" x14ac:dyDescent="0.25">
      <c r="A7" s="4" t="s">
        <v>21</v>
      </c>
      <c r="B7" s="4" t="s">
        <v>43</v>
      </c>
      <c r="C7" s="4" t="s">
        <v>41</v>
      </c>
      <c r="D7" s="4" t="s">
        <v>42</v>
      </c>
      <c r="E7" s="4" t="s">
        <v>25</v>
      </c>
      <c r="F7" s="4" t="s">
        <v>25</v>
      </c>
      <c r="G7" s="4" t="s">
        <v>25</v>
      </c>
      <c r="H7" s="4" t="s">
        <v>36</v>
      </c>
      <c r="I7" s="5">
        <v>43891</v>
      </c>
      <c r="J7" s="6">
        <v>900</v>
      </c>
      <c r="K7" s="6">
        <v>900</v>
      </c>
      <c r="L7" s="6">
        <v>146.56299999999999</v>
      </c>
      <c r="M7" s="6">
        <v>146.56299999999999</v>
      </c>
      <c r="N7" s="6">
        <v>146.56299999999999</v>
      </c>
      <c r="O7" s="6">
        <v>146.56299999999999</v>
      </c>
      <c r="P7" s="6">
        <v>0</v>
      </c>
      <c r="Q7" s="4" t="s">
        <v>26</v>
      </c>
      <c r="R7" s="4">
        <v>0</v>
      </c>
      <c r="S7" s="4" t="s">
        <v>112</v>
      </c>
      <c r="T7" s="4" t="s">
        <v>653</v>
      </c>
      <c r="U7" s="4">
        <v>2</v>
      </c>
      <c r="V7" s="4">
        <v>3</v>
      </c>
      <c r="W7" s="4">
        <v>78</v>
      </c>
    </row>
    <row r="8" spans="1:23" ht="11.25" customHeight="1" x14ac:dyDescent="0.25">
      <c r="A8" s="4" t="s">
        <v>21</v>
      </c>
      <c r="B8" s="4" t="s">
        <v>43</v>
      </c>
      <c r="C8" s="4" t="s">
        <v>41</v>
      </c>
      <c r="D8" s="4" t="s">
        <v>42</v>
      </c>
      <c r="E8" s="4" t="s">
        <v>25</v>
      </c>
      <c r="F8" s="4" t="s">
        <v>25</v>
      </c>
      <c r="G8" s="4" t="s">
        <v>25</v>
      </c>
      <c r="H8" s="4" t="s">
        <v>36</v>
      </c>
      <c r="I8" s="5">
        <v>43922</v>
      </c>
      <c r="J8" s="6">
        <v>900</v>
      </c>
      <c r="K8" s="6">
        <v>900</v>
      </c>
      <c r="L8" s="6">
        <v>148.726</v>
      </c>
      <c r="M8" s="6">
        <v>148.726</v>
      </c>
      <c r="N8" s="6">
        <v>148.726</v>
      </c>
      <c r="O8" s="6">
        <v>148.726</v>
      </c>
      <c r="P8" s="6">
        <v>0</v>
      </c>
      <c r="Q8" s="4" t="s">
        <v>26</v>
      </c>
      <c r="R8" s="4">
        <v>0</v>
      </c>
      <c r="S8" s="4" t="s">
        <v>113</v>
      </c>
      <c r="T8" s="4" t="s">
        <v>654</v>
      </c>
      <c r="U8" s="4">
        <v>2</v>
      </c>
      <c r="V8" s="4">
        <v>3</v>
      </c>
      <c r="W8" s="4">
        <v>78</v>
      </c>
    </row>
    <row r="9" spans="1:23" ht="11.25" customHeight="1" x14ac:dyDescent="0.25">
      <c r="A9" s="4" t="s">
        <v>21</v>
      </c>
      <c r="B9" s="4" t="s">
        <v>43</v>
      </c>
      <c r="C9" s="4" t="s">
        <v>41</v>
      </c>
      <c r="D9" s="4" t="s">
        <v>42</v>
      </c>
      <c r="E9" s="4" t="s">
        <v>25</v>
      </c>
      <c r="F9" s="4" t="s">
        <v>25</v>
      </c>
      <c r="G9" s="4" t="s">
        <v>25</v>
      </c>
      <c r="H9" s="4" t="s">
        <v>36</v>
      </c>
      <c r="I9" s="5">
        <v>43952</v>
      </c>
      <c r="J9" s="6">
        <v>900</v>
      </c>
      <c r="K9" s="6">
        <v>900</v>
      </c>
      <c r="L9" s="6">
        <v>147.64099999999999</v>
      </c>
      <c r="M9" s="6">
        <v>147.64099999999999</v>
      </c>
      <c r="N9" s="6">
        <v>147.64099999999999</v>
      </c>
      <c r="O9" s="6">
        <v>147.64099999999999</v>
      </c>
      <c r="P9" s="6">
        <v>0</v>
      </c>
      <c r="Q9" s="4" t="s">
        <v>26</v>
      </c>
      <c r="R9" s="4">
        <v>0</v>
      </c>
      <c r="S9" s="4" t="s">
        <v>114</v>
      </c>
      <c r="T9" s="4" t="s">
        <v>655</v>
      </c>
      <c r="U9" s="4">
        <v>2</v>
      </c>
      <c r="V9" s="4">
        <v>3</v>
      </c>
      <c r="W9" s="4">
        <v>78</v>
      </c>
    </row>
    <row r="10" spans="1:23" ht="11.25" customHeight="1" x14ac:dyDescent="0.25">
      <c r="A10" s="4" t="s">
        <v>21</v>
      </c>
      <c r="B10" s="4" t="s">
        <v>43</v>
      </c>
      <c r="C10" s="4" t="s">
        <v>41</v>
      </c>
      <c r="D10" s="4" t="s">
        <v>42</v>
      </c>
      <c r="E10" s="4" t="s">
        <v>25</v>
      </c>
      <c r="F10" s="4" t="s">
        <v>25</v>
      </c>
      <c r="G10" s="4" t="s">
        <v>25</v>
      </c>
      <c r="H10" s="4" t="s">
        <v>36</v>
      </c>
      <c r="I10" s="5">
        <v>43983</v>
      </c>
      <c r="J10" s="6">
        <v>900</v>
      </c>
      <c r="K10" s="6">
        <v>900</v>
      </c>
      <c r="L10" s="6">
        <v>159.095</v>
      </c>
      <c r="M10" s="6">
        <v>159.095</v>
      </c>
      <c r="N10" s="6">
        <v>159.095</v>
      </c>
      <c r="O10" s="6">
        <v>159.095</v>
      </c>
      <c r="P10" s="6">
        <v>0</v>
      </c>
      <c r="Q10" s="4" t="s">
        <v>26</v>
      </c>
      <c r="R10" s="4">
        <v>0</v>
      </c>
      <c r="S10" s="4" t="s">
        <v>115</v>
      </c>
      <c r="T10" s="4" t="s">
        <v>656</v>
      </c>
      <c r="U10" s="4">
        <v>2</v>
      </c>
      <c r="V10" s="4">
        <v>3</v>
      </c>
      <c r="W10" s="4">
        <v>78</v>
      </c>
    </row>
    <row r="11" spans="1:23" ht="11.25" customHeight="1" x14ac:dyDescent="0.25">
      <c r="A11" s="4" t="s">
        <v>21</v>
      </c>
      <c r="B11" s="4" t="s">
        <v>43</v>
      </c>
      <c r="C11" s="4" t="s">
        <v>41</v>
      </c>
      <c r="D11" s="4" t="s">
        <v>42</v>
      </c>
      <c r="E11" s="4" t="s">
        <v>25</v>
      </c>
      <c r="F11" s="4" t="s">
        <v>25</v>
      </c>
      <c r="G11" s="4" t="s">
        <v>25</v>
      </c>
      <c r="H11" s="4" t="s">
        <v>36</v>
      </c>
      <c r="I11" s="5">
        <v>44013</v>
      </c>
      <c r="J11" s="6">
        <v>900</v>
      </c>
      <c r="K11" s="6">
        <v>900</v>
      </c>
      <c r="L11" s="6">
        <v>141.6</v>
      </c>
      <c r="M11" s="6">
        <v>141.6</v>
      </c>
      <c r="N11" s="6">
        <v>141.6</v>
      </c>
      <c r="O11" s="6">
        <v>141.6</v>
      </c>
      <c r="P11" s="6">
        <v>0</v>
      </c>
      <c r="Q11" s="4" t="s">
        <v>26</v>
      </c>
      <c r="R11" s="4">
        <v>0</v>
      </c>
      <c r="S11" s="4" t="s">
        <v>116</v>
      </c>
      <c r="T11" s="4" t="s">
        <v>657</v>
      </c>
      <c r="U11" s="4">
        <v>2</v>
      </c>
      <c r="V11" s="4">
        <v>3</v>
      </c>
      <c r="W11" s="4">
        <v>78</v>
      </c>
    </row>
    <row r="12" spans="1:23" ht="11.25" customHeight="1" x14ac:dyDescent="0.25">
      <c r="A12" s="4" t="s">
        <v>21</v>
      </c>
      <c r="B12" s="4" t="s">
        <v>43</v>
      </c>
      <c r="C12" s="4" t="s">
        <v>41</v>
      </c>
      <c r="D12" s="4" t="s">
        <v>42</v>
      </c>
      <c r="E12" s="4" t="s">
        <v>25</v>
      </c>
      <c r="F12" s="4" t="s">
        <v>25</v>
      </c>
      <c r="G12" s="4" t="s">
        <v>25</v>
      </c>
      <c r="H12" s="4" t="s">
        <v>36</v>
      </c>
      <c r="I12" s="5">
        <v>44044</v>
      </c>
      <c r="J12" s="6">
        <v>900</v>
      </c>
      <c r="K12" s="6">
        <v>900</v>
      </c>
      <c r="L12" s="6">
        <v>77.769000000000005</v>
      </c>
      <c r="M12" s="6">
        <v>77.769000000000005</v>
      </c>
      <c r="N12" s="6">
        <v>77.769000000000005</v>
      </c>
      <c r="O12" s="6">
        <v>77.769000000000005</v>
      </c>
      <c r="P12" s="6">
        <v>0</v>
      </c>
      <c r="Q12" s="4" t="s">
        <v>26</v>
      </c>
      <c r="R12" s="4">
        <v>0</v>
      </c>
      <c r="S12" s="4" t="s">
        <v>117</v>
      </c>
      <c r="T12" s="4" t="s">
        <v>658</v>
      </c>
      <c r="U12" s="4">
        <v>2</v>
      </c>
      <c r="V12" s="4">
        <v>3</v>
      </c>
      <c r="W12" s="4">
        <v>78</v>
      </c>
    </row>
    <row r="13" spans="1:23" ht="11.25" customHeight="1" x14ac:dyDescent="0.25">
      <c r="A13" s="4" t="s">
        <v>59</v>
      </c>
      <c r="B13" s="4" t="s">
        <v>43</v>
      </c>
      <c r="C13" s="4" t="s">
        <v>41</v>
      </c>
      <c r="D13" s="4" t="s">
        <v>42</v>
      </c>
      <c r="E13" s="4" t="s">
        <v>25</v>
      </c>
      <c r="F13" s="4" t="s">
        <v>25</v>
      </c>
      <c r="G13" s="4" t="s">
        <v>25</v>
      </c>
      <c r="H13" s="4" t="s">
        <v>36</v>
      </c>
      <c r="I13" s="5">
        <v>44075</v>
      </c>
      <c r="J13" s="6">
        <v>900</v>
      </c>
      <c r="K13" s="6">
        <v>900</v>
      </c>
      <c r="L13" s="6">
        <v>77.769000000000005</v>
      </c>
      <c r="M13" s="6">
        <v>77.769000000000005</v>
      </c>
      <c r="N13" s="6">
        <v>77.769000000000005</v>
      </c>
      <c r="O13" s="6">
        <v>77.769000000000005</v>
      </c>
      <c r="P13" s="6">
        <v>0</v>
      </c>
      <c r="Q13" s="4" t="s">
        <v>26</v>
      </c>
      <c r="R13" s="4">
        <v>0</v>
      </c>
      <c r="S13" s="4" t="s">
        <v>118</v>
      </c>
      <c r="T13" s="4" t="s">
        <v>659</v>
      </c>
      <c r="U13" s="4">
        <v>2</v>
      </c>
      <c r="V13" s="4">
        <v>3</v>
      </c>
      <c r="W13" s="4">
        <v>78</v>
      </c>
    </row>
    <row r="14" spans="1:23" ht="11.25" customHeight="1" x14ac:dyDescent="0.25">
      <c r="A14" s="4" t="s">
        <v>21</v>
      </c>
      <c r="B14" s="4" t="s">
        <v>43</v>
      </c>
      <c r="C14" s="4" t="s">
        <v>41</v>
      </c>
      <c r="D14" s="4" t="s">
        <v>42</v>
      </c>
      <c r="E14" s="4" t="s">
        <v>25</v>
      </c>
      <c r="F14" s="4" t="s">
        <v>25</v>
      </c>
      <c r="G14" s="4" t="s">
        <v>25</v>
      </c>
      <c r="H14" s="4" t="s">
        <v>35</v>
      </c>
      <c r="I14" s="5">
        <v>43739</v>
      </c>
      <c r="J14" s="6">
        <v>900</v>
      </c>
      <c r="K14" s="6">
        <v>900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4" t="s">
        <v>26</v>
      </c>
      <c r="R14" s="4">
        <v>0</v>
      </c>
      <c r="S14" s="4" t="s">
        <v>119</v>
      </c>
      <c r="T14" s="4" t="s">
        <v>660</v>
      </c>
      <c r="U14" s="4">
        <v>1</v>
      </c>
      <c r="V14" s="4">
        <v>0</v>
      </c>
      <c r="W14" s="4">
        <v>0</v>
      </c>
    </row>
    <row r="15" spans="1:23" ht="11.25" customHeight="1" x14ac:dyDescent="0.25">
      <c r="A15" s="4" t="s">
        <v>21</v>
      </c>
      <c r="B15" s="4" t="s">
        <v>43</v>
      </c>
      <c r="C15" s="4" t="s">
        <v>41</v>
      </c>
      <c r="D15" s="4" t="s">
        <v>42</v>
      </c>
      <c r="E15" s="4" t="s">
        <v>25</v>
      </c>
      <c r="F15" s="4" t="s">
        <v>25</v>
      </c>
      <c r="G15" s="4" t="s">
        <v>25</v>
      </c>
      <c r="H15" s="4" t="s">
        <v>35</v>
      </c>
      <c r="I15" s="5">
        <v>43770</v>
      </c>
      <c r="J15" s="6">
        <v>900</v>
      </c>
      <c r="K15" s="6">
        <v>900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4" t="s">
        <v>26</v>
      </c>
      <c r="R15" s="4">
        <v>0</v>
      </c>
      <c r="S15" s="4" t="s">
        <v>120</v>
      </c>
      <c r="T15" s="4" t="s">
        <v>661</v>
      </c>
      <c r="U15" s="4">
        <v>1</v>
      </c>
      <c r="V15" s="4">
        <v>0</v>
      </c>
      <c r="W15" s="4">
        <v>0</v>
      </c>
    </row>
    <row r="16" spans="1:23" ht="11.25" customHeight="1" x14ac:dyDescent="0.25">
      <c r="A16" s="4" t="s">
        <v>21</v>
      </c>
      <c r="B16" s="4" t="s">
        <v>43</v>
      </c>
      <c r="C16" s="4" t="s">
        <v>41</v>
      </c>
      <c r="D16" s="4" t="s">
        <v>42</v>
      </c>
      <c r="E16" s="4" t="s">
        <v>25</v>
      </c>
      <c r="F16" s="4" t="s">
        <v>25</v>
      </c>
      <c r="G16" s="4" t="s">
        <v>25</v>
      </c>
      <c r="H16" s="4" t="s">
        <v>35</v>
      </c>
      <c r="I16" s="5">
        <v>43800</v>
      </c>
      <c r="J16" s="6">
        <v>900</v>
      </c>
      <c r="K16" s="6">
        <v>900</v>
      </c>
      <c r="L16" s="6">
        <v>0.161</v>
      </c>
      <c r="M16" s="6">
        <v>0.161</v>
      </c>
      <c r="N16" s="6">
        <v>0.161</v>
      </c>
      <c r="O16" s="6">
        <v>0.161</v>
      </c>
      <c r="P16" s="6">
        <v>0</v>
      </c>
      <c r="Q16" s="4" t="s">
        <v>26</v>
      </c>
      <c r="R16" s="4">
        <v>0</v>
      </c>
      <c r="S16" s="4" t="s">
        <v>121</v>
      </c>
      <c r="T16" s="4" t="s">
        <v>662</v>
      </c>
      <c r="U16" s="4">
        <v>1</v>
      </c>
      <c r="V16" s="4">
        <v>3</v>
      </c>
      <c r="W16" s="4">
        <v>77</v>
      </c>
    </row>
    <row r="17" spans="1:23" ht="11.25" customHeight="1" x14ac:dyDescent="0.25">
      <c r="A17" s="4" t="s">
        <v>21</v>
      </c>
      <c r="B17" s="4" t="s">
        <v>43</v>
      </c>
      <c r="C17" s="4" t="s">
        <v>41</v>
      </c>
      <c r="D17" s="4" t="s">
        <v>42</v>
      </c>
      <c r="E17" s="4" t="s">
        <v>25</v>
      </c>
      <c r="F17" s="4" t="s">
        <v>25</v>
      </c>
      <c r="G17" s="4" t="s">
        <v>25</v>
      </c>
      <c r="H17" s="4" t="s">
        <v>35</v>
      </c>
      <c r="I17" s="5">
        <v>43831</v>
      </c>
      <c r="J17" s="6">
        <v>900</v>
      </c>
      <c r="K17" s="6">
        <v>900</v>
      </c>
      <c r="L17" s="6">
        <v>5.4260000000000002</v>
      </c>
      <c r="M17" s="6">
        <v>5.4260000000000002</v>
      </c>
      <c r="N17" s="6">
        <v>5.4260000000000002</v>
      </c>
      <c r="O17" s="6">
        <v>5.4260000000000002</v>
      </c>
      <c r="P17" s="6">
        <v>0</v>
      </c>
      <c r="Q17" s="4" t="s">
        <v>26</v>
      </c>
      <c r="R17" s="4">
        <v>0</v>
      </c>
      <c r="S17" s="4" t="s">
        <v>122</v>
      </c>
      <c r="T17" s="4" t="s">
        <v>663</v>
      </c>
      <c r="U17" s="4">
        <v>1</v>
      </c>
      <c r="V17" s="4">
        <v>3</v>
      </c>
      <c r="W17" s="4">
        <v>77</v>
      </c>
    </row>
    <row r="18" spans="1:23" ht="11.25" customHeight="1" x14ac:dyDescent="0.25">
      <c r="A18" s="4" t="s">
        <v>21</v>
      </c>
      <c r="B18" s="4" t="s">
        <v>43</v>
      </c>
      <c r="C18" s="4" t="s">
        <v>41</v>
      </c>
      <c r="D18" s="4" t="s">
        <v>42</v>
      </c>
      <c r="E18" s="4" t="s">
        <v>25</v>
      </c>
      <c r="F18" s="4" t="s">
        <v>25</v>
      </c>
      <c r="G18" s="4" t="s">
        <v>25</v>
      </c>
      <c r="H18" s="4" t="s">
        <v>35</v>
      </c>
      <c r="I18" s="5">
        <v>43862</v>
      </c>
      <c r="J18" s="6">
        <v>900</v>
      </c>
      <c r="K18" s="6">
        <v>900</v>
      </c>
      <c r="L18" s="6">
        <v>20.609000000000002</v>
      </c>
      <c r="M18" s="6">
        <v>20.609000000000002</v>
      </c>
      <c r="N18" s="6">
        <v>20.609000000000002</v>
      </c>
      <c r="O18" s="6">
        <v>20.609000000000002</v>
      </c>
      <c r="P18" s="6">
        <v>0</v>
      </c>
      <c r="Q18" s="4" t="s">
        <v>26</v>
      </c>
      <c r="R18" s="4">
        <v>0</v>
      </c>
      <c r="S18" s="4" t="s">
        <v>123</v>
      </c>
      <c r="T18" s="4" t="s">
        <v>664</v>
      </c>
      <c r="U18" s="4">
        <v>1</v>
      </c>
      <c r="V18" s="4">
        <v>3</v>
      </c>
      <c r="W18" s="4">
        <v>77</v>
      </c>
    </row>
    <row r="19" spans="1:23" ht="11.25" customHeight="1" x14ac:dyDescent="0.25">
      <c r="A19" s="4" t="s">
        <v>21</v>
      </c>
      <c r="B19" s="4" t="s">
        <v>43</v>
      </c>
      <c r="C19" s="4" t="s">
        <v>41</v>
      </c>
      <c r="D19" s="4" t="s">
        <v>42</v>
      </c>
      <c r="E19" s="4" t="s">
        <v>25</v>
      </c>
      <c r="F19" s="4" t="s">
        <v>25</v>
      </c>
      <c r="G19" s="4" t="s">
        <v>25</v>
      </c>
      <c r="H19" s="4" t="s">
        <v>35</v>
      </c>
      <c r="I19" s="5">
        <v>43891</v>
      </c>
      <c r="J19" s="6">
        <v>900</v>
      </c>
      <c r="K19" s="6">
        <v>900</v>
      </c>
      <c r="L19" s="6">
        <v>22.637</v>
      </c>
      <c r="M19" s="6">
        <v>22.637</v>
      </c>
      <c r="N19" s="6">
        <v>22.637</v>
      </c>
      <c r="O19" s="6">
        <v>22.637</v>
      </c>
      <c r="P19" s="6">
        <v>0</v>
      </c>
      <c r="Q19" s="4" t="s">
        <v>26</v>
      </c>
      <c r="R19" s="4">
        <v>0</v>
      </c>
      <c r="S19" s="4" t="s">
        <v>124</v>
      </c>
      <c r="T19" s="4" t="s">
        <v>665</v>
      </c>
      <c r="U19" s="4">
        <v>1</v>
      </c>
      <c r="V19" s="4">
        <v>3</v>
      </c>
      <c r="W19" s="4">
        <v>77</v>
      </c>
    </row>
    <row r="20" spans="1:23" ht="11.25" customHeight="1" x14ac:dyDescent="0.25">
      <c r="A20" s="4" t="s">
        <v>21</v>
      </c>
      <c r="B20" s="4" t="s">
        <v>43</v>
      </c>
      <c r="C20" s="4" t="s">
        <v>41</v>
      </c>
      <c r="D20" s="4" t="s">
        <v>42</v>
      </c>
      <c r="E20" s="4" t="s">
        <v>25</v>
      </c>
      <c r="F20" s="4" t="s">
        <v>25</v>
      </c>
      <c r="G20" s="4" t="s">
        <v>25</v>
      </c>
      <c r="H20" s="4" t="s">
        <v>35</v>
      </c>
      <c r="I20" s="5">
        <v>43922</v>
      </c>
      <c r="J20" s="6">
        <v>900</v>
      </c>
      <c r="K20" s="6">
        <v>900</v>
      </c>
      <c r="L20" s="6">
        <v>21.684999999999999</v>
      </c>
      <c r="M20" s="6">
        <v>21.684999999999999</v>
      </c>
      <c r="N20" s="6">
        <v>21.684999999999999</v>
      </c>
      <c r="O20" s="6">
        <v>21.684999999999999</v>
      </c>
      <c r="P20" s="6">
        <v>0</v>
      </c>
      <c r="Q20" s="4" t="s">
        <v>26</v>
      </c>
      <c r="R20" s="4">
        <v>0</v>
      </c>
      <c r="S20" s="4" t="s">
        <v>125</v>
      </c>
      <c r="T20" s="4" t="s">
        <v>666</v>
      </c>
      <c r="U20" s="4">
        <v>1</v>
      </c>
      <c r="V20" s="4">
        <v>3</v>
      </c>
      <c r="W20" s="4">
        <v>77</v>
      </c>
    </row>
    <row r="21" spans="1:23" ht="11.25" customHeight="1" x14ac:dyDescent="0.25">
      <c r="A21" s="4" t="s">
        <v>21</v>
      </c>
      <c r="B21" s="4" t="s">
        <v>43</v>
      </c>
      <c r="C21" s="4" t="s">
        <v>41</v>
      </c>
      <c r="D21" s="4" t="s">
        <v>42</v>
      </c>
      <c r="E21" s="4" t="s">
        <v>25</v>
      </c>
      <c r="F21" s="4" t="s">
        <v>25</v>
      </c>
      <c r="G21" s="4" t="s">
        <v>25</v>
      </c>
      <c r="H21" s="4" t="s">
        <v>35</v>
      </c>
      <c r="I21" s="5">
        <v>43952</v>
      </c>
      <c r="J21" s="6">
        <v>900</v>
      </c>
      <c r="K21" s="6">
        <v>900</v>
      </c>
      <c r="L21" s="6">
        <v>20.315000000000001</v>
      </c>
      <c r="M21" s="6">
        <v>20.315000000000001</v>
      </c>
      <c r="N21" s="6">
        <v>20.315000000000001</v>
      </c>
      <c r="O21" s="6">
        <v>20.315000000000001</v>
      </c>
      <c r="P21" s="6">
        <v>0</v>
      </c>
      <c r="Q21" s="4" t="s">
        <v>26</v>
      </c>
      <c r="R21" s="4">
        <v>0</v>
      </c>
      <c r="S21" s="4" t="s">
        <v>126</v>
      </c>
      <c r="T21" s="4" t="s">
        <v>667</v>
      </c>
      <c r="U21" s="4">
        <v>1</v>
      </c>
      <c r="V21" s="4">
        <v>3</v>
      </c>
      <c r="W21" s="4">
        <v>77</v>
      </c>
    </row>
    <row r="22" spans="1:23" ht="11.25" customHeight="1" x14ac:dyDescent="0.25">
      <c r="A22" s="4" t="s">
        <v>21</v>
      </c>
      <c r="B22" s="4" t="s">
        <v>43</v>
      </c>
      <c r="C22" s="4" t="s">
        <v>41</v>
      </c>
      <c r="D22" s="4" t="s">
        <v>42</v>
      </c>
      <c r="E22" s="4" t="s">
        <v>25</v>
      </c>
      <c r="F22" s="4" t="s">
        <v>25</v>
      </c>
      <c r="G22" s="4" t="s">
        <v>25</v>
      </c>
      <c r="H22" s="4" t="s">
        <v>35</v>
      </c>
      <c r="I22" s="5">
        <v>43983</v>
      </c>
      <c r="J22" s="6">
        <v>900</v>
      </c>
      <c r="K22" s="6">
        <v>900</v>
      </c>
      <c r="L22" s="6">
        <v>20.888000000000002</v>
      </c>
      <c r="M22" s="6">
        <v>20.888000000000002</v>
      </c>
      <c r="N22" s="6">
        <v>20.888000000000002</v>
      </c>
      <c r="O22" s="6">
        <v>20.888000000000002</v>
      </c>
      <c r="P22" s="6">
        <v>0</v>
      </c>
      <c r="Q22" s="4" t="s">
        <v>26</v>
      </c>
      <c r="R22" s="4">
        <v>0</v>
      </c>
      <c r="S22" s="4" t="s">
        <v>127</v>
      </c>
      <c r="T22" s="4" t="s">
        <v>668</v>
      </c>
      <c r="U22" s="4">
        <v>1</v>
      </c>
      <c r="V22" s="4">
        <v>3</v>
      </c>
      <c r="W22" s="4">
        <v>77</v>
      </c>
    </row>
    <row r="23" spans="1:23" ht="11.25" customHeight="1" x14ac:dyDescent="0.25">
      <c r="A23" s="4" t="s">
        <v>21</v>
      </c>
      <c r="B23" s="4" t="s">
        <v>43</v>
      </c>
      <c r="C23" s="4" t="s">
        <v>41</v>
      </c>
      <c r="D23" s="4" t="s">
        <v>42</v>
      </c>
      <c r="E23" s="4" t="s">
        <v>25</v>
      </c>
      <c r="F23" s="4" t="s">
        <v>25</v>
      </c>
      <c r="G23" s="4" t="s">
        <v>25</v>
      </c>
      <c r="H23" s="4" t="s">
        <v>35</v>
      </c>
      <c r="I23" s="5">
        <v>44013</v>
      </c>
      <c r="J23" s="6">
        <v>900</v>
      </c>
      <c r="K23" s="6">
        <v>900</v>
      </c>
      <c r="L23" s="6">
        <v>21.486000000000001</v>
      </c>
      <c r="M23" s="6">
        <v>21.486000000000001</v>
      </c>
      <c r="N23" s="6">
        <v>21.486000000000001</v>
      </c>
      <c r="O23" s="6">
        <v>21.486000000000001</v>
      </c>
      <c r="P23" s="6">
        <v>0</v>
      </c>
      <c r="Q23" s="4" t="s">
        <v>26</v>
      </c>
      <c r="R23" s="4">
        <v>0</v>
      </c>
      <c r="S23" s="4" t="s">
        <v>128</v>
      </c>
      <c r="T23" s="4" t="s">
        <v>669</v>
      </c>
      <c r="U23" s="4">
        <v>1</v>
      </c>
      <c r="V23" s="4">
        <v>3</v>
      </c>
      <c r="W23" s="4">
        <v>77</v>
      </c>
    </row>
    <row r="24" spans="1:23" ht="11.25" customHeight="1" x14ac:dyDescent="0.25">
      <c r="A24" s="4" t="s">
        <v>21</v>
      </c>
      <c r="B24" s="4" t="s">
        <v>43</v>
      </c>
      <c r="C24" s="4" t="s">
        <v>41</v>
      </c>
      <c r="D24" s="4" t="s">
        <v>42</v>
      </c>
      <c r="E24" s="4" t="s">
        <v>25</v>
      </c>
      <c r="F24" s="4" t="s">
        <v>25</v>
      </c>
      <c r="G24" s="4" t="s">
        <v>25</v>
      </c>
      <c r="H24" s="4" t="s">
        <v>35</v>
      </c>
      <c r="I24" s="5">
        <v>44044</v>
      </c>
      <c r="J24" s="6">
        <v>900</v>
      </c>
      <c r="K24" s="6">
        <v>900</v>
      </c>
      <c r="L24" s="6">
        <v>11.099</v>
      </c>
      <c r="M24" s="6">
        <v>11.099</v>
      </c>
      <c r="N24" s="6">
        <v>11.099</v>
      </c>
      <c r="O24" s="6">
        <v>11.099</v>
      </c>
      <c r="P24" s="6">
        <v>0</v>
      </c>
      <c r="Q24" s="4" t="s">
        <v>26</v>
      </c>
      <c r="R24" s="4">
        <v>0</v>
      </c>
      <c r="S24" s="4" t="s">
        <v>129</v>
      </c>
      <c r="T24" s="4" t="s">
        <v>670</v>
      </c>
      <c r="U24" s="4">
        <v>1</v>
      </c>
      <c r="V24" s="4">
        <v>3</v>
      </c>
      <c r="W24" s="4">
        <v>77</v>
      </c>
    </row>
    <row r="25" spans="1:23" ht="11.25" customHeight="1" x14ac:dyDescent="0.25">
      <c r="A25" s="4" t="s">
        <v>59</v>
      </c>
      <c r="B25" s="4" t="s">
        <v>43</v>
      </c>
      <c r="C25" s="4" t="s">
        <v>41</v>
      </c>
      <c r="D25" s="4" t="s">
        <v>42</v>
      </c>
      <c r="E25" s="4" t="s">
        <v>25</v>
      </c>
      <c r="F25" s="4" t="s">
        <v>25</v>
      </c>
      <c r="G25" s="4" t="s">
        <v>25</v>
      </c>
      <c r="H25" s="4" t="s">
        <v>35</v>
      </c>
      <c r="I25" s="5">
        <v>44075</v>
      </c>
      <c r="J25" s="6">
        <v>900</v>
      </c>
      <c r="K25" s="6">
        <v>900</v>
      </c>
      <c r="L25" s="6">
        <v>11.099</v>
      </c>
      <c r="M25" s="6">
        <v>11.099</v>
      </c>
      <c r="N25" s="6">
        <v>11.099</v>
      </c>
      <c r="O25" s="6">
        <v>11.099</v>
      </c>
      <c r="P25" s="6">
        <v>0</v>
      </c>
      <c r="Q25" s="4" t="s">
        <v>26</v>
      </c>
      <c r="R25" s="4">
        <v>0</v>
      </c>
      <c r="S25" s="4" t="s">
        <v>130</v>
      </c>
      <c r="T25" s="4" t="s">
        <v>671</v>
      </c>
      <c r="U25" s="4">
        <v>1</v>
      </c>
      <c r="V25" s="4">
        <v>3</v>
      </c>
      <c r="W25" s="4">
        <v>77</v>
      </c>
    </row>
    <row r="26" spans="1:23" ht="11.25" customHeight="1" x14ac:dyDescent="0.25">
      <c r="A26" s="4" t="s">
        <v>21</v>
      </c>
      <c r="B26" s="4" t="s">
        <v>43</v>
      </c>
      <c r="C26" s="4" t="s">
        <v>41</v>
      </c>
      <c r="D26" s="4" t="s">
        <v>40</v>
      </c>
      <c r="E26" s="4" t="s">
        <v>25</v>
      </c>
      <c r="F26" s="4" t="s">
        <v>61</v>
      </c>
      <c r="G26" s="4" t="s">
        <v>25</v>
      </c>
      <c r="H26" s="4" t="s">
        <v>36</v>
      </c>
      <c r="I26" s="5">
        <v>43739</v>
      </c>
      <c r="J26" s="6">
        <v>20450</v>
      </c>
      <c r="K26" s="6">
        <v>20450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4" t="s">
        <v>62</v>
      </c>
      <c r="R26" s="4">
        <v>0</v>
      </c>
      <c r="S26" s="4" t="s">
        <v>107</v>
      </c>
      <c r="U26" s="4">
        <v>2</v>
      </c>
      <c r="V26" s="4">
        <v>0</v>
      </c>
      <c r="W26" s="4">
        <v>0</v>
      </c>
    </row>
    <row r="27" spans="1:23" ht="11.25" customHeight="1" x14ac:dyDescent="0.25">
      <c r="A27" s="4" t="s">
        <v>21</v>
      </c>
      <c r="B27" s="4" t="s">
        <v>43</v>
      </c>
      <c r="C27" s="4" t="s">
        <v>41</v>
      </c>
      <c r="D27" s="4" t="s">
        <v>40</v>
      </c>
      <c r="E27" s="4" t="s">
        <v>25</v>
      </c>
      <c r="F27" s="4" t="s">
        <v>61</v>
      </c>
      <c r="G27" s="4" t="s">
        <v>25</v>
      </c>
      <c r="H27" s="4" t="s">
        <v>36</v>
      </c>
      <c r="I27" s="5">
        <v>43770</v>
      </c>
      <c r="J27" s="6">
        <v>20450</v>
      </c>
      <c r="K27" s="6">
        <v>20450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4" t="s">
        <v>62</v>
      </c>
      <c r="R27" s="4">
        <v>0</v>
      </c>
      <c r="S27" s="4" t="s">
        <v>108</v>
      </c>
      <c r="U27" s="4">
        <v>2</v>
      </c>
      <c r="V27" s="4">
        <v>0</v>
      </c>
      <c r="W27" s="4">
        <v>0</v>
      </c>
    </row>
    <row r="28" spans="1:23" ht="11.25" customHeight="1" x14ac:dyDescent="0.25">
      <c r="A28" s="4" t="s">
        <v>21</v>
      </c>
      <c r="B28" s="4" t="s">
        <v>43</v>
      </c>
      <c r="C28" s="4" t="s">
        <v>41</v>
      </c>
      <c r="D28" s="4" t="s">
        <v>40</v>
      </c>
      <c r="E28" s="4" t="s">
        <v>25</v>
      </c>
      <c r="F28" s="4" t="s">
        <v>61</v>
      </c>
      <c r="G28" s="4" t="s">
        <v>25</v>
      </c>
      <c r="H28" s="4" t="s">
        <v>36</v>
      </c>
      <c r="I28" s="5">
        <v>43800</v>
      </c>
      <c r="J28" s="6">
        <v>20450</v>
      </c>
      <c r="K28" s="6">
        <v>20450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4" t="s">
        <v>62</v>
      </c>
      <c r="R28" s="4">
        <v>0</v>
      </c>
      <c r="S28" s="4" t="s">
        <v>109</v>
      </c>
      <c r="U28" s="4">
        <v>2</v>
      </c>
      <c r="V28" s="4">
        <v>0</v>
      </c>
      <c r="W28" s="4">
        <v>0</v>
      </c>
    </row>
    <row r="29" spans="1:23" ht="11.25" customHeight="1" x14ac:dyDescent="0.25">
      <c r="A29" s="4" t="s">
        <v>21</v>
      </c>
      <c r="B29" s="4" t="s">
        <v>43</v>
      </c>
      <c r="C29" s="4" t="s">
        <v>41</v>
      </c>
      <c r="D29" s="4" t="s">
        <v>40</v>
      </c>
      <c r="E29" s="4" t="s">
        <v>25</v>
      </c>
      <c r="F29" s="4" t="s">
        <v>61</v>
      </c>
      <c r="G29" s="4" t="s">
        <v>25</v>
      </c>
      <c r="H29" s="4" t="s">
        <v>36</v>
      </c>
      <c r="I29" s="5">
        <v>43831</v>
      </c>
      <c r="J29" s="6">
        <v>20450</v>
      </c>
      <c r="K29" s="6">
        <v>20450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4" t="s">
        <v>62</v>
      </c>
      <c r="R29" s="4">
        <v>0</v>
      </c>
      <c r="S29" s="4" t="s">
        <v>110</v>
      </c>
      <c r="U29" s="4">
        <v>2</v>
      </c>
      <c r="V29" s="4">
        <v>0</v>
      </c>
      <c r="W29" s="4">
        <v>0</v>
      </c>
    </row>
    <row r="30" spans="1:23" ht="11.25" customHeight="1" x14ac:dyDescent="0.25">
      <c r="A30" s="4" t="s">
        <v>21</v>
      </c>
      <c r="B30" s="4" t="s">
        <v>43</v>
      </c>
      <c r="C30" s="4" t="s">
        <v>41</v>
      </c>
      <c r="D30" s="4" t="s">
        <v>40</v>
      </c>
      <c r="E30" s="4" t="s">
        <v>25</v>
      </c>
      <c r="F30" s="4" t="s">
        <v>61</v>
      </c>
      <c r="G30" s="4" t="s">
        <v>25</v>
      </c>
      <c r="H30" s="4" t="s">
        <v>36</v>
      </c>
      <c r="I30" s="5">
        <v>43862</v>
      </c>
      <c r="J30" s="6">
        <v>20450</v>
      </c>
      <c r="K30" s="6">
        <v>20450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4" t="s">
        <v>62</v>
      </c>
      <c r="R30" s="4">
        <v>0</v>
      </c>
      <c r="S30" s="4" t="s">
        <v>111</v>
      </c>
      <c r="U30" s="4">
        <v>2</v>
      </c>
      <c r="V30" s="4">
        <v>0</v>
      </c>
      <c r="W30" s="4">
        <v>0</v>
      </c>
    </row>
    <row r="31" spans="1:23" ht="11.25" customHeight="1" x14ac:dyDescent="0.25">
      <c r="A31" s="4" t="s">
        <v>21</v>
      </c>
      <c r="B31" s="4" t="s">
        <v>43</v>
      </c>
      <c r="C31" s="4" t="s">
        <v>41</v>
      </c>
      <c r="D31" s="4" t="s">
        <v>40</v>
      </c>
      <c r="E31" s="4" t="s">
        <v>25</v>
      </c>
      <c r="F31" s="4" t="s">
        <v>61</v>
      </c>
      <c r="G31" s="4" t="s">
        <v>25</v>
      </c>
      <c r="H31" s="4" t="s">
        <v>36</v>
      </c>
      <c r="I31" s="5">
        <v>43891</v>
      </c>
      <c r="J31" s="6">
        <v>20450</v>
      </c>
      <c r="K31" s="6">
        <v>20450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4" t="s">
        <v>62</v>
      </c>
      <c r="R31" s="4">
        <v>0</v>
      </c>
      <c r="S31" s="4" t="s">
        <v>112</v>
      </c>
      <c r="U31" s="4">
        <v>2</v>
      </c>
      <c r="V31" s="4">
        <v>0</v>
      </c>
      <c r="W31" s="4">
        <v>0</v>
      </c>
    </row>
    <row r="32" spans="1:23" ht="11.25" customHeight="1" x14ac:dyDescent="0.25">
      <c r="A32" s="4" t="s">
        <v>21</v>
      </c>
      <c r="B32" s="4" t="s">
        <v>43</v>
      </c>
      <c r="C32" s="4" t="s">
        <v>41</v>
      </c>
      <c r="D32" s="4" t="s">
        <v>40</v>
      </c>
      <c r="E32" s="4" t="s">
        <v>25</v>
      </c>
      <c r="F32" s="4" t="s">
        <v>61</v>
      </c>
      <c r="G32" s="4" t="s">
        <v>25</v>
      </c>
      <c r="H32" s="4" t="s">
        <v>36</v>
      </c>
      <c r="I32" s="5">
        <v>43922</v>
      </c>
      <c r="J32" s="6">
        <v>20450</v>
      </c>
      <c r="K32" s="6">
        <v>20450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4" t="s">
        <v>62</v>
      </c>
      <c r="R32" s="4">
        <v>0</v>
      </c>
      <c r="S32" s="4" t="s">
        <v>113</v>
      </c>
      <c r="U32" s="4">
        <v>2</v>
      </c>
      <c r="V32" s="4">
        <v>0</v>
      </c>
      <c r="W32" s="4">
        <v>0</v>
      </c>
    </row>
    <row r="33" spans="1:23" ht="11.25" customHeight="1" x14ac:dyDescent="0.25">
      <c r="A33" s="4" t="s">
        <v>21</v>
      </c>
      <c r="B33" s="4" t="s">
        <v>43</v>
      </c>
      <c r="C33" s="4" t="s">
        <v>41</v>
      </c>
      <c r="D33" s="4" t="s">
        <v>40</v>
      </c>
      <c r="E33" s="4" t="s">
        <v>25</v>
      </c>
      <c r="F33" s="4" t="s">
        <v>61</v>
      </c>
      <c r="G33" s="4" t="s">
        <v>25</v>
      </c>
      <c r="H33" s="4" t="s">
        <v>36</v>
      </c>
      <c r="I33" s="5">
        <v>43952</v>
      </c>
      <c r="J33" s="6">
        <v>20450</v>
      </c>
      <c r="K33" s="6">
        <v>20450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4" t="s">
        <v>62</v>
      </c>
      <c r="R33" s="4">
        <v>0</v>
      </c>
      <c r="S33" s="4" t="s">
        <v>114</v>
      </c>
      <c r="U33" s="4">
        <v>2</v>
      </c>
      <c r="V33" s="4">
        <v>0</v>
      </c>
      <c r="W33" s="4">
        <v>0</v>
      </c>
    </row>
    <row r="34" spans="1:23" ht="11.25" customHeight="1" x14ac:dyDescent="0.25">
      <c r="A34" s="4" t="s">
        <v>21</v>
      </c>
      <c r="B34" s="4" t="s">
        <v>43</v>
      </c>
      <c r="C34" s="4" t="s">
        <v>41</v>
      </c>
      <c r="D34" s="4" t="s">
        <v>40</v>
      </c>
      <c r="E34" s="4" t="s">
        <v>25</v>
      </c>
      <c r="F34" s="4" t="s">
        <v>61</v>
      </c>
      <c r="G34" s="4" t="s">
        <v>25</v>
      </c>
      <c r="H34" s="4" t="s">
        <v>36</v>
      </c>
      <c r="I34" s="5">
        <v>43983</v>
      </c>
      <c r="J34" s="6">
        <v>20450</v>
      </c>
      <c r="K34" s="6">
        <v>20450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4" t="s">
        <v>62</v>
      </c>
      <c r="R34" s="4">
        <v>0</v>
      </c>
      <c r="S34" s="4" t="s">
        <v>115</v>
      </c>
      <c r="U34" s="4">
        <v>2</v>
      </c>
      <c r="V34" s="4">
        <v>0</v>
      </c>
      <c r="W34" s="4">
        <v>0</v>
      </c>
    </row>
    <row r="35" spans="1:23" ht="11.25" customHeight="1" x14ac:dyDescent="0.25">
      <c r="A35" s="4" t="s">
        <v>21</v>
      </c>
      <c r="B35" s="4" t="s">
        <v>43</v>
      </c>
      <c r="C35" s="4" t="s">
        <v>41</v>
      </c>
      <c r="D35" s="4" t="s">
        <v>40</v>
      </c>
      <c r="E35" s="4" t="s">
        <v>25</v>
      </c>
      <c r="F35" s="4" t="s">
        <v>61</v>
      </c>
      <c r="G35" s="4" t="s">
        <v>25</v>
      </c>
      <c r="H35" s="4" t="s">
        <v>36</v>
      </c>
      <c r="I35" s="5">
        <v>44013</v>
      </c>
      <c r="J35" s="6">
        <v>20450</v>
      </c>
      <c r="K35" s="6">
        <v>20450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4" t="s">
        <v>62</v>
      </c>
      <c r="R35" s="4">
        <v>0</v>
      </c>
      <c r="S35" s="4" t="s">
        <v>116</v>
      </c>
      <c r="U35" s="4">
        <v>2</v>
      </c>
      <c r="V35" s="4">
        <v>0</v>
      </c>
      <c r="W35" s="4">
        <v>0</v>
      </c>
    </row>
    <row r="36" spans="1:23" ht="11.25" customHeight="1" x14ac:dyDescent="0.25">
      <c r="A36" s="4" t="s">
        <v>21</v>
      </c>
      <c r="B36" s="4" t="s">
        <v>43</v>
      </c>
      <c r="C36" s="4" t="s">
        <v>41</v>
      </c>
      <c r="D36" s="4" t="s">
        <v>40</v>
      </c>
      <c r="E36" s="4" t="s">
        <v>25</v>
      </c>
      <c r="F36" s="4" t="s">
        <v>61</v>
      </c>
      <c r="G36" s="4" t="s">
        <v>25</v>
      </c>
      <c r="H36" s="4" t="s">
        <v>36</v>
      </c>
      <c r="I36" s="5">
        <v>44044</v>
      </c>
      <c r="J36" s="6">
        <v>20450</v>
      </c>
      <c r="K36" s="6">
        <v>20450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4" t="s">
        <v>62</v>
      </c>
      <c r="R36" s="4">
        <v>0</v>
      </c>
      <c r="S36" s="4" t="s">
        <v>117</v>
      </c>
      <c r="U36" s="4">
        <v>2</v>
      </c>
      <c r="V36" s="4">
        <v>0</v>
      </c>
      <c r="W36" s="4">
        <v>0</v>
      </c>
    </row>
    <row r="37" spans="1:23" ht="11.25" customHeight="1" x14ac:dyDescent="0.25">
      <c r="A37" s="4" t="s">
        <v>59</v>
      </c>
      <c r="B37" s="4" t="s">
        <v>43</v>
      </c>
      <c r="C37" s="4" t="s">
        <v>41</v>
      </c>
      <c r="D37" s="4" t="s">
        <v>40</v>
      </c>
      <c r="E37" s="4" t="s">
        <v>25</v>
      </c>
      <c r="F37" s="4" t="s">
        <v>61</v>
      </c>
      <c r="G37" s="4" t="s">
        <v>25</v>
      </c>
      <c r="H37" s="4" t="s">
        <v>36</v>
      </c>
      <c r="I37" s="5">
        <v>44075</v>
      </c>
      <c r="J37" s="6">
        <v>20450</v>
      </c>
      <c r="K37" s="6">
        <v>20450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4" t="s">
        <v>62</v>
      </c>
      <c r="R37" s="4">
        <v>0</v>
      </c>
      <c r="S37" s="4" t="s">
        <v>118</v>
      </c>
      <c r="U37" s="4">
        <v>2</v>
      </c>
      <c r="V37" s="4">
        <v>0</v>
      </c>
      <c r="W37" s="4">
        <v>0</v>
      </c>
    </row>
    <row r="38" spans="1:23" ht="11.25" customHeight="1" x14ac:dyDescent="0.25">
      <c r="A38" s="4" t="s">
        <v>21</v>
      </c>
      <c r="B38" s="4" t="s">
        <v>43</v>
      </c>
      <c r="C38" s="4" t="s">
        <v>41</v>
      </c>
      <c r="D38" s="4" t="s">
        <v>40</v>
      </c>
      <c r="E38" s="4" t="s">
        <v>25</v>
      </c>
      <c r="F38" s="4" t="s">
        <v>61</v>
      </c>
      <c r="G38" s="4" t="s">
        <v>25</v>
      </c>
      <c r="H38" s="4" t="s">
        <v>25</v>
      </c>
      <c r="I38" s="5">
        <v>43739</v>
      </c>
      <c r="J38" s="6">
        <v>0</v>
      </c>
      <c r="K38" s="6">
        <v>0</v>
      </c>
      <c r="L38" s="6">
        <v>9800.9699999999993</v>
      </c>
      <c r="M38" s="6">
        <v>9800.9699999999993</v>
      </c>
      <c r="N38" s="6">
        <v>0</v>
      </c>
      <c r="O38" s="6">
        <v>0</v>
      </c>
      <c r="P38" s="6">
        <v>1</v>
      </c>
      <c r="Q38" s="4" t="s">
        <v>62</v>
      </c>
      <c r="R38" s="4">
        <v>0</v>
      </c>
      <c r="S38" s="4" t="s">
        <v>131</v>
      </c>
      <c r="U38" s="4">
        <v>0</v>
      </c>
      <c r="V38" s="4">
        <v>4</v>
      </c>
      <c r="W38" s="4">
        <v>0</v>
      </c>
    </row>
    <row r="39" spans="1:23" ht="11.25" customHeight="1" x14ac:dyDescent="0.25">
      <c r="A39" s="4" t="s">
        <v>21</v>
      </c>
      <c r="B39" s="4" t="s">
        <v>43</v>
      </c>
      <c r="C39" s="4" t="s">
        <v>41</v>
      </c>
      <c r="D39" s="4" t="s">
        <v>40</v>
      </c>
      <c r="E39" s="4" t="s">
        <v>25</v>
      </c>
      <c r="F39" s="4" t="s">
        <v>61</v>
      </c>
      <c r="G39" s="4" t="s">
        <v>25</v>
      </c>
      <c r="H39" s="4" t="s">
        <v>25</v>
      </c>
      <c r="I39" s="5">
        <v>43770</v>
      </c>
      <c r="J39" s="6">
        <v>0</v>
      </c>
      <c r="K39" s="6">
        <v>0</v>
      </c>
      <c r="L39" s="6">
        <v>8939.2029999999995</v>
      </c>
      <c r="M39" s="6">
        <v>8939.2029999999995</v>
      </c>
      <c r="N39" s="6">
        <v>0</v>
      </c>
      <c r="O39" s="6">
        <v>0</v>
      </c>
      <c r="P39" s="6">
        <v>1</v>
      </c>
      <c r="Q39" s="4" t="s">
        <v>62</v>
      </c>
      <c r="R39" s="4">
        <v>0</v>
      </c>
      <c r="S39" s="4" t="s">
        <v>132</v>
      </c>
      <c r="U39" s="4">
        <v>0</v>
      </c>
      <c r="V39" s="4">
        <v>4</v>
      </c>
      <c r="W39" s="4">
        <v>0</v>
      </c>
    </row>
    <row r="40" spans="1:23" ht="11.25" customHeight="1" x14ac:dyDescent="0.25">
      <c r="A40" s="4" t="s">
        <v>21</v>
      </c>
      <c r="B40" s="4" t="s">
        <v>43</v>
      </c>
      <c r="C40" s="4" t="s">
        <v>41</v>
      </c>
      <c r="D40" s="4" t="s">
        <v>40</v>
      </c>
      <c r="E40" s="4" t="s">
        <v>25</v>
      </c>
      <c r="F40" s="4" t="s">
        <v>61</v>
      </c>
      <c r="G40" s="4" t="s">
        <v>25</v>
      </c>
      <c r="H40" s="4" t="s">
        <v>25</v>
      </c>
      <c r="I40" s="5">
        <v>43800</v>
      </c>
      <c r="J40" s="6">
        <v>0</v>
      </c>
      <c r="K40" s="6">
        <v>0</v>
      </c>
      <c r="L40" s="6">
        <v>9065.1810000000005</v>
      </c>
      <c r="M40" s="6">
        <v>9065.1810000000005</v>
      </c>
      <c r="N40" s="6">
        <v>0</v>
      </c>
      <c r="O40" s="6">
        <v>0</v>
      </c>
      <c r="P40" s="6">
        <v>1</v>
      </c>
      <c r="Q40" s="4" t="s">
        <v>62</v>
      </c>
      <c r="R40" s="4">
        <v>0</v>
      </c>
      <c r="S40" s="4" t="s">
        <v>133</v>
      </c>
      <c r="U40" s="4">
        <v>0</v>
      </c>
      <c r="V40" s="4">
        <v>4</v>
      </c>
      <c r="W40" s="4">
        <v>0</v>
      </c>
    </row>
    <row r="41" spans="1:23" ht="11.25" customHeight="1" x14ac:dyDescent="0.25">
      <c r="A41" s="4" t="s">
        <v>21</v>
      </c>
      <c r="B41" s="4" t="s">
        <v>43</v>
      </c>
      <c r="C41" s="4" t="s">
        <v>41</v>
      </c>
      <c r="D41" s="4" t="s">
        <v>40</v>
      </c>
      <c r="E41" s="4" t="s">
        <v>25</v>
      </c>
      <c r="F41" s="4" t="s">
        <v>61</v>
      </c>
      <c r="G41" s="4" t="s">
        <v>25</v>
      </c>
      <c r="H41" s="4" t="s">
        <v>25</v>
      </c>
      <c r="I41" s="5">
        <v>43831</v>
      </c>
      <c r="J41" s="6">
        <v>0</v>
      </c>
      <c r="K41" s="6">
        <v>0</v>
      </c>
      <c r="L41" s="6">
        <v>7829.5680000000002</v>
      </c>
      <c r="M41" s="6">
        <v>7829.5680000000002</v>
      </c>
      <c r="N41" s="6">
        <v>0</v>
      </c>
      <c r="O41" s="6">
        <v>0</v>
      </c>
      <c r="P41" s="6">
        <v>1</v>
      </c>
      <c r="Q41" s="4" t="s">
        <v>62</v>
      </c>
      <c r="R41" s="4">
        <v>0</v>
      </c>
      <c r="S41" s="4" t="s">
        <v>134</v>
      </c>
      <c r="U41" s="4">
        <v>0</v>
      </c>
      <c r="V41" s="4">
        <v>4</v>
      </c>
      <c r="W41" s="4">
        <v>0</v>
      </c>
    </row>
    <row r="42" spans="1:23" ht="11.25" customHeight="1" x14ac:dyDescent="0.25">
      <c r="A42" s="4" t="s">
        <v>21</v>
      </c>
      <c r="B42" s="4" t="s">
        <v>43</v>
      </c>
      <c r="C42" s="4" t="s">
        <v>41</v>
      </c>
      <c r="D42" s="4" t="s">
        <v>40</v>
      </c>
      <c r="E42" s="4" t="s">
        <v>25</v>
      </c>
      <c r="F42" s="4" t="s">
        <v>61</v>
      </c>
      <c r="G42" s="4" t="s">
        <v>25</v>
      </c>
      <c r="H42" s="4" t="s">
        <v>25</v>
      </c>
      <c r="I42" s="5">
        <v>43862</v>
      </c>
      <c r="J42" s="6">
        <v>0</v>
      </c>
      <c r="K42" s="6">
        <v>0</v>
      </c>
      <c r="L42" s="6">
        <v>6984.1360000000004</v>
      </c>
      <c r="M42" s="6">
        <v>6984.1360000000004</v>
      </c>
      <c r="N42" s="6">
        <v>0</v>
      </c>
      <c r="O42" s="6">
        <v>0</v>
      </c>
      <c r="P42" s="6">
        <v>1</v>
      </c>
      <c r="Q42" s="4" t="s">
        <v>62</v>
      </c>
      <c r="R42" s="4">
        <v>0</v>
      </c>
      <c r="S42" s="4" t="s">
        <v>135</v>
      </c>
      <c r="U42" s="4">
        <v>0</v>
      </c>
      <c r="V42" s="4">
        <v>4</v>
      </c>
      <c r="W42" s="4">
        <v>0</v>
      </c>
    </row>
    <row r="43" spans="1:23" ht="11.25" customHeight="1" x14ac:dyDescent="0.25">
      <c r="A43" s="4" t="s">
        <v>21</v>
      </c>
      <c r="B43" s="4" t="s">
        <v>43</v>
      </c>
      <c r="C43" s="4" t="s">
        <v>41</v>
      </c>
      <c r="D43" s="4" t="s">
        <v>40</v>
      </c>
      <c r="E43" s="4" t="s">
        <v>25</v>
      </c>
      <c r="F43" s="4" t="s">
        <v>61</v>
      </c>
      <c r="G43" s="4" t="s">
        <v>25</v>
      </c>
      <c r="H43" s="4" t="s">
        <v>25</v>
      </c>
      <c r="I43" s="5">
        <v>43891</v>
      </c>
      <c r="J43" s="6">
        <v>0</v>
      </c>
      <c r="K43" s="6">
        <v>0</v>
      </c>
      <c r="L43" s="6">
        <v>6610.5140000000001</v>
      </c>
      <c r="M43" s="6">
        <v>6610.5140000000001</v>
      </c>
      <c r="N43" s="6">
        <v>0</v>
      </c>
      <c r="O43" s="6">
        <v>0</v>
      </c>
      <c r="P43" s="6">
        <v>1</v>
      </c>
      <c r="Q43" s="4" t="s">
        <v>62</v>
      </c>
      <c r="R43" s="4">
        <v>0</v>
      </c>
      <c r="S43" s="4" t="s">
        <v>136</v>
      </c>
      <c r="U43" s="4">
        <v>0</v>
      </c>
      <c r="V43" s="4">
        <v>4</v>
      </c>
      <c r="W43" s="4">
        <v>0</v>
      </c>
    </row>
    <row r="44" spans="1:23" ht="11.25" customHeight="1" x14ac:dyDescent="0.25">
      <c r="A44" s="4" t="s">
        <v>21</v>
      </c>
      <c r="B44" s="4" t="s">
        <v>43</v>
      </c>
      <c r="C44" s="4" t="s">
        <v>41</v>
      </c>
      <c r="D44" s="4" t="s">
        <v>40</v>
      </c>
      <c r="E44" s="4" t="s">
        <v>25</v>
      </c>
      <c r="F44" s="4" t="s">
        <v>61</v>
      </c>
      <c r="G44" s="4" t="s">
        <v>25</v>
      </c>
      <c r="H44" s="4" t="s">
        <v>25</v>
      </c>
      <c r="I44" s="5">
        <v>43922</v>
      </c>
      <c r="J44" s="6">
        <v>0</v>
      </c>
      <c r="K44" s="6">
        <v>0</v>
      </c>
      <c r="L44" s="6">
        <v>8922.3040000000001</v>
      </c>
      <c r="M44" s="6">
        <v>8922.3040000000001</v>
      </c>
      <c r="N44" s="6">
        <v>0</v>
      </c>
      <c r="O44" s="6">
        <v>0</v>
      </c>
      <c r="P44" s="6">
        <v>1</v>
      </c>
      <c r="Q44" s="4" t="s">
        <v>62</v>
      </c>
      <c r="R44" s="4">
        <v>0</v>
      </c>
      <c r="S44" s="4" t="s">
        <v>137</v>
      </c>
      <c r="U44" s="4">
        <v>0</v>
      </c>
      <c r="V44" s="4">
        <v>4</v>
      </c>
      <c r="W44" s="4">
        <v>0</v>
      </c>
    </row>
    <row r="45" spans="1:23" ht="11.25" customHeight="1" x14ac:dyDescent="0.25">
      <c r="A45" s="4" t="s">
        <v>21</v>
      </c>
      <c r="B45" s="4" t="s">
        <v>43</v>
      </c>
      <c r="C45" s="4" t="s">
        <v>41</v>
      </c>
      <c r="D45" s="4" t="s">
        <v>40</v>
      </c>
      <c r="E45" s="4" t="s">
        <v>25</v>
      </c>
      <c r="F45" s="4" t="s">
        <v>61</v>
      </c>
      <c r="G45" s="4" t="s">
        <v>25</v>
      </c>
      <c r="H45" s="4" t="s">
        <v>25</v>
      </c>
      <c r="I45" s="5">
        <v>43952</v>
      </c>
      <c r="J45" s="6">
        <v>0</v>
      </c>
      <c r="K45" s="6">
        <v>0</v>
      </c>
      <c r="L45" s="6">
        <v>10643.983</v>
      </c>
      <c r="M45" s="6">
        <v>10643.983</v>
      </c>
      <c r="N45" s="6">
        <v>0</v>
      </c>
      <c r="O45" s="6">
        <v>0</v>
      </c>
      <c r="P45" s="6">
        <v>1</v>
      </c>
      <c r="Q45" s="4" t="s">
        <v>62</v>
      </c>
      <c r="R45" s="4">
        <v>0</v>
      </c>
      <c r="S45" s="4" t="s">
        <v>138</v>
      </c>
      <c r="U45" s="4">
        <v>0</v>
      </c>
      <c r="V45" s="4">
        <v>4</v>
      </c>
      <c r="W45" s="4">
        <v>0</v>
      </c>
    </row>
    <row r="46" spans="1:23" ht="11.25" customHeight="1" x14ac:dyDescent="0.25">
      <c r="A46" s="4" t="s">
        <v>21</v>
      </c>
      <c r="B46" s="4" t="s">
        <v>43</v>
      </c>
      <c r="C46" s="4" t="s">
        <v>41</v>
      </c>
      <c r="D46" s="4" t="s">
        <v>40</v>
      </c>
      <c r="E46" s="4" t="s">
        <v>25</v>
      </c>
      <c r="F46" s="4" t="s">
        <v>61</v>
      </c>
      <c r="G46" s="4" t="s">
        <v>25</v>
      </c>
      <c r="H46" s="4" t="s">
        <v>25</v>
      </c>
      <c r="I46" s="5">
        <v>43983</v>
      </c>
      <c r="J46" s="6">
        <v>0</v>
      </c>
      <c r="K46" s="6">
        <v>0</v>
      </c>
      <c r="L46" s="6">
        <v>10643.983</v>
      </c>
      <c r="M46" s="6">
        <v>10643.983</v>
      </c>
      <c r="N46" s="6">
        <v>0</v>
      </c>
      <c r="O46" s="6">
        <v>0</v>
      </c>
      <c r="P46" s="6">
        <v>1</v>
      </c>
      <c r="Q46" s="4" t="s">
        <v>62</v>
      </c>
      <c r="R46" s="4">
        <v>0</v>
      </c>
      <c r="S46" s="4" t="s">
        <v>139</v>
      </c>
      <c r="U46" s="4">
        <v>0</v>
      </c>
      <c r="V46" s="4">
        <v>4</v>
      </c>
      <c r="W46" s="4">
        <v>0</v>
      </c>
    </row>
    <row r="47" spans="1:23" ht="11.25" customHeight="1" x14ac:dyDescent="0.25">
      <c r="A47" s="4" t="s">
        <v>21</v>
      </c>
      <c r="B47" s="4" t="s">
        <v>43</v>
      </c>
      <c r="C47" s="4" t="s">
        <v>41</v>
      </c>
      <c r="D47" s="4" t="s">
        <v>40</v>
      </c>
      <c r="E47" s="4" t="s">
        <v>25</v>
      </c>
      <c r="F47" s="4" t="s">
        <v>61</v>
      </c>
      <c r="G47" s="4" t="s">
        <v>25</v>
      </c>
      <c r="H47" s="4" t="s">
        <v>25</v>
      </c>
      <c r="I47" s="5">
        <v>44013</v>
      </c>
      <c r="J47" s="6">
        <v>0</v>
      </c>
      <c r="K47" s="6">
        <v>0</v>
      </c>
      <c r="L47" s="6">
        <v>9905.6080000000002</v>
      </c>
      <c r="M47" s="6">
        <v>9905.6080000000002</v>
      </c>
      <c r="N47" s="6">
        <v>0</v>
      </c>
      <c r="O47" s="6">
        <v>0</v>
      </c>
      <c r="P47" s="6">
        <v>1</v>
      </c>
      <c r="Q47" s="4" t="s">
        <v>62</v>
      </c>
      <c r="R47" s="4">
        <v>0</v>
      </c>
      <c r="S47" s="4" t="s">
        <v>140</v>
      </c>
      <c r="U47" s="4">
        <v>0</v>
      </c>
      <c r="V47" s="4">
        <v>4</v>
      </c>
      <c r="W47" s="4">
        <v>0</v>
      </c>
    </row>
    <row r="48" spans="1:23" ht="11.25" customHeight="1" x14ac:dyDescent="0.25">
      <c r="A48" s="4" t="s">
        <v>21</v>
      </c>
      <c r="B48" s="4" t="s">
        <v>43</v>
      </c>
      <c r="C48" s="4" t="s">
        <v>41</v>
      </c>
      <c r="D48" s="4" t="s">
        <v>40</v>
      </c>
      <c r="E48" s="4" t="s">
        <v>25</v>
      </c>
      <c r="F48" s="4" t="s">
        <v>61</v>
      </c>
      <c r="G48" s="4" t="s">
        <v>25</v>
      </c>
      <c r="H48" s="4" t="s">
        <v>25</v>
      </c>
      <c r="I48" s="5">
        <v>44044</v>
      </c>
      <c r="J48" s="6">
        <v>0</v>
      </c>
      <c r="K48" s="6">
        <v>0</v>
      </c>
      <c r="L48" s="6">
        <v>10621.59</v>
      </c>
      <c r="M48" s="6">
        <v>10621.59</v>
      </c>
      <c r="N48" s="6">
        <v>0</v>
      </c>
      <c r="O48" s="6">
        <v>0</v>
      </c>
      <c r="P48" s="6">
        <v>1</v>
      </c>
      <c r="Q48" s="4" t="s">
        <v>62</v>
      </c>
      <c r="R48" s="4">
        <v>0</v>
      </c>
      <c r="S48" s="4" t="s">
        <v>141</v>
      </c>
      <c r="U48" s="4">
        <v>0</v>
      </c>
      <c r="V48" s="4">
        <v>4</v>
      </c>
      <c r="W48" s="4">
        <v>0</v>
      </c>
    </row>
    <row r="49" spans="1:23" ht="11.25" customHeight="1" x14ac:dyDescent="0.25">
      <c r="A49" s="4" t="s">
        <v>59</v>
      </c>
      <c r="B49" s="4" t="s">
        <v>43</v>
      </c>
      <c r="C49" s="4" t="s">
        <v>41</v>
      </c>
      <c r="D49" s="4" t="s">
        <v>40</v>
      </c>
      <c r="E49" s="4" t="s">
        <v>25</v>
      </c>
      <c r="F49" s="4" t="s">
        <v>61</v>
      </c>
      <c r="G49" s="4" t="s">
        <v>25</v>
      </c>
      <c r="H49" s="4" t="s">
        <v>25</v>
      </c>
      <c r="I49" s="5">
        <v>44075</v>
      </c>
      <c r="J49" s="6">
        <v>0</v>
      </c>
      <c r="K49" s="6">
        <v>0</v>
      </c>
      <c r="L49" s="6">
        <v>10621.59</v>
      </c>
      <c r="M49" s="6">
        <v>10621.59</v>
      </c>
      <c r="N49" s="6">
        <v>0</v>
      </c>
      <c r="O49" s="6">
        <v>0</v>
      </c>
      <c r="P49" s="6">
        <v>1</v>
      </c>
      <c r="Q49" s="4" t="s">
        <v>62</v>
      </c>
      <c r="R49" s="4">
        <v>0</v>
      </c>
      <c r="S49" s="4" t="s">
        <v>142</v>
      </c>
      <c r="U49" s="4">
        <v>0</v>
      </c>
      <c r="V49" s="4">
        <v>4</v>
      </c>
      <c r="W49" s="4">
        <v>0</v>
      </c>
    </row>
    <row r="50" spans="1:23" ht="11.25" customHeight="1" x14ac:dyDescent="0.25">
      <c r="A50" s="4" t="s">
        <v>21</v>
      </c>
      <c r="B50" s="4" t="s">
        <v>43</v>
      </c>
      <c r="C50" s="4" t="s">
        <v>41</v>
      </c>
      <c r="D50" s="4" t="s">
        <v>40</v>
      </c>
      <c r="E50" s="4" t="s">
        <v>25</v>
      </c>
      <c r="F50" s="4" t="s">
        <v>61</v>
      </c>
      <c r="G50" s="4" t="s">
        <v>25</v>
      </c>
      <c r="H50" s="4" t="s">
        <v>35</v>
      </c>
      <c r="I50" s="5">
        <v>43739</v>
      </c>
      <c r="J50" s="6">
        <v>5505</v>
      </c>
      <c r="K50" s="6">
        <v>5505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4" t="s">
        <v>62</v>
      </c>
      <c r="R50" s="4">
        <v>0</v>
      </c>
      <c r="S50" s="4" t="s">
        <v>119</v>
      </c>
      <c r="U50" s="4">
        <v>1</v>
      </c>
      <c r="V50" s="4">
        <v>0</v>
      </c>
      <c r="W50" s="4">
        <v>0</v>
      </c>
    </row>
    <row r="51" spans="1:23" ht="11.25" customHeight="1" x14ac:dyDescent="0.25">
      <c r="A51" s="4" t="s">
        <v>21</v>
      </c>
      <c r="B51" s="4" t="s">
        <v>43</v>
      </c>
      <c r="C51" s="4" t="s">
        <v>41</v>
      </c>
      <c r="D51" s="4" t="s">
        <v>40</v>
      </c>
      <c r="E51" s="4" t="s">
        <v>25</v>
      </c>
      <c r="F51" s="4" t="s">
        <v>61</v>
      </c>
      <c r="G51" s="4" t="s">
        <v>25</v>
      </c>
      <c r="H51" s="4" t="s">
        <v>35</v>
      </c>
      <c r="I51" s="5">
        <v>43770</v>
      </c>
      <c r="J51" s="6">
        <v>5505</v>
      </c>
      <c r="K51" s="6">
        <v>5505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4" t="s">
        <v>62</v>
      </c>
      <c r="R51" s="4">
        <v>0</v>
      </c>
      <c r="S51" s="4" t="s">
        <v>120</v>
      </c>
      <c r="U51" s="4">
        <v>1</v>
      </c>
      <c r="V51" s="4">
        <v>0</v>
      </c>
      <c r="W51" s="4">
        <v>0</v>
      </c>
    </row>
    <row r="52" spans="1:23" ht="11.25" customHeight="1" x14ac:dyDescent="0.25">
      <c r="A52" s="4" t="s">
        <v>21</v>
      </c>
      <c r="B52" s="4" t="s">
        <v>43</v>
      </c>
      <c r="C52" s="4" t="s">
        <v>41</v>
      </c>
      <c r="D52" s="4" t="s">
        <v>40</v>
      </c>
      <c r="E52" s="4" t="s">
        <v>25</v>
      </c>
      <c r="F52" s="4" t="s">
        <v>61</v>
      </c>
      <c r="G52" s="4" t="s">
        <v>25</v>
      </c>
      <c r="H52" s="4" t="s">
        <v>35</v>
      </c>
      <c r="I52" s="5">
        <v>43800</v>
      </c>
      <c r="J52" s="6">
        <v>5505</v>
      </c>
      <c r="K52" s="6">
        <v>5505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4" t="s">
        <v>62</v>
      </c>
      <c r="R52" s="4">
        <v>0</v>
      </c>
      <c r="S52" s="4" t="s">
        <v>121</v>
      </c>
      <c r="U52" s="4">
        <v>1</v>
      </c>
      <c r="V52" s="4">
        <v>0</v>
      </c>
      <c r="W52" s="4">
        <v>0</v>
      </c>
    </row>
    <row r="53" spans="1:23" ht="11.25" customHeight="1" x14ac:dyDescent="0.25">
      <c r="A53" s="4" t="s">
        <v>21</v>
      </c>
      <c r="B53" s="4" t="s">
        <v>43</v>
      </c>
      <c r="C53" s="4" t="s">
        <v>41</v>
      </c>
      <c r="D53" s="4" t="s">
        <v>40</v>
      </c>
      <c r="E53" s="4" t="s">
        <v>25</v>
      </c>
      <c r="F53" s="4" t="s">
        <v>61</v>
      </c>
      <c r="G53" s="4" t="s">
        <v>25</v>
      </c>
      <c r="H53" s="4" t="s">
        <v>35</v>
      </c>
      <c r="I53" s="5">
        <v>43831</v>
      </c>
      <c r="J53" s="6">
        <v>5505</v>
      </c>
      <c r="K53" s="6">
        <v>5505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4" t="s">
        <v>62</v>
      </c>
      <c r="R53" s="4">
        <v>0</v>
      </c>
      <c r="S53" s="4" t="s">
        <v>122</v>
      </c>
      <c r="U53" s="4">
        <v>1</v>
      </c>
      <c r="V53" s="4">
        <v>0</v>
      </c>
      <c r="W53" s="4">
        <v>0</v>
      </c>
    </row>
    <row r="54" spans="1:23" ht="11.25" customHeight="1" x14ac:dyDescent="0.25">
      <c r="A54" s="4" t="s">
        <v>21</v>
      </c>
      <c r="B54" s="4" t="s">
        <v>43</v>
      </c>
      <c r="C54" s="4" t="s">
        <v>41</v>
      </c>
      <c r="D54" s="4" t="s">
        <v>40</v>
      </c>
      <c r="E54" s="4" t="s">
        <v>25</v>
      </c>
      <c r="F54" s="4" t="s">
        <v>61</v>
      </c>
      <c r="G54" s="4" t="s">
        <v>25</v>
      </c>
      <c r="H54" s="4" t="s">
        <v>35</v>
      </c>
      <c r="I54" s="5">
        <v>43862</v>
      </c>
      <c r="J54" s="6">
        <v>5505</v>
      </c>
      <c r="K54" s="6">
        <v>5505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4" t="s">
        <v>62</v>
      </c>
      <c r="R54" s="4">
        <v>0</v>
      </c>
      <c r="S54" s="4" t="s">
        <v>123</v>
      </c>
      <c r="U54" s="4">
        <v>1</v>
      </c>
      <c r="V54" s="4">
        <v>0</v>
      </c>
      <c r="W54" s="4">
        <v>0</v>
      </c>
    </row>
    <row r="55" spans="1:23" ht="11.25" customHeight="1" x14ac:dyDescent="0.25">
      <c r="A55" s="4" t="s">
        <v>21</v>
      </c>
      <c r="B55" s="4" t="s">
        <v>43</v>
      </c>
      <c r="C55" s="4" t="s">
        <v>41</v>
      </c>
      <c r="D55" s="4" t="s">
        <v>40</v>
      </c>
      <c r="E55" s="4" t="s">
        <v>25</v>
      </c>
      <c r="F55" s="4" t="s">
        <v>61</v>
      </c>
      <c r="G55" s="4" t="s">
        <v>25</v>
      </c>
      <c r="H55" s="4" t="s">
        <v>35</v>
      </c>
      <c r="I55" s="5">
        <v>43891</v>
      </c>
      <c r="J55" s="6">
        <v>5505</v>
      </c>
      <c r="K55" s="6">
        <v>5505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4" t="s">
        <v>62</v>
      </c>
      <c r="R55" s="4">
        <v>0</v>
      </c>
      <c r="S55" s="4" t="s">
        <v>124</v>
      </c>
      <c r="U55" s="4">
        <v>1</v>
      </c>
      <c r="V55" s="4">
        <v>0</v>
      </c>
      <c r="W55" s="4">
        <v>0</v>
      </c>
    </row>
    <row r="56" spans="1:23" ht="11.25" customHeight="1" x14ac:dyDescent="0.25">
      <c r="A56" s="4" t="s">
        <v>21</v>
      </c>
      <c r="B56" s="4" t="s">
        <v>43</v>
      </c>
      <c r="C56" s="4" t="s">
        <v>41</v>
      </c>
      <c r="D56" s="4" t="s">
        <v>40</v>
      </c>
      <c r="E56" s="4" t="s">
        <v>25</v>
      </c>
      <c r="F56" s="4" t="s">
        <v>61</v>
      </c>
      <c r="G56" s="4" t="s">
        <v>25</v>
      </c>
      <c r="H56" s="4" t="s">
        <v>35</v>
      </c>
      <c r="I56" s="5">
        <v>43922</v>
      </c>
      <c r="J56" s="6">
        <v>5505</v>
      </c>
      <c r="K56" s="6">
        <v>5505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4" t="s">
        <v>62</v>
      </c>
      <c r="R56" s="4">
        <v>0</v>
      </c>
      <c r="S56" s="4" t="s">
        <v>125</v>
      </c>
      <c r="U56" s="4">
        <v>1</v>
      </c>
      <c r="V56" s="4">
        <v>0</v>
      </c>
      <c r="W56" s="4">
        <v>0</v>
      </c>
    </row>
    <row r="57" spans="1:23" ht="11.25" customHeight="1" x14ac:dyDescent="0.25">
      <c r="A57" s="4" t="s">
        <v>21</v>
      </c>
      <c r="B57" s="4" t="s">
        <v>43</v>
      </c>
      <c r="C57" s="4" t="s">
        <v>41</v>
      </c>
      <c r="D57" s="4" t="s">
        <v>40</v>
      </c>
      <c r="E57" s="4" t="s">
        <v>25</v>
      </c>
      <c r="F57" s="4" t="s">
        <v>61</v>
      </c>
      <c r="G57" s="4" t="s">
        <v>25</v>
      </c>
      <c r="H57" s="4" t="s">
        <v>35</v>
      </c>
      <c r="I57" s="5">
        <v>43952</v>
      </c>
      <c r="J57" s="6">
        <v>5505</v>
      </c>
      <c r="K57" s="6">
        <v>5505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4" t="s">
        <v>62</v>
      </c>
      <c r="R57" s="4">
        <v>0</v>
      </c>
      <c r="S57" s="4" t="s">
        <v>126</v>
      </c>
      <c r="U57" s="4">
        <v>1</v>
      </c>
      <c r="V57" s="4">
        <v>0</v>
      </c>
      <c r="W57" s="4">
        <v>0</v>
      </c>
    </row>
    <row r="58" spans="1:23" ht="11.25" customHeight="1" x14ac:dyDescent="0.25">
      <c r="A58" s="4" t="s">
        <v>21</v>
      </c>
      <c r="B58" s="4" t="s">
        <v>43</v>
      </c>
      <c r="C58" s="4" t="s">
        <v>41</v>
      </c>
      <c r="D58" s="4" t="s">
        <v>40</v>
      </c>
      <c r="E58" s="4" t="s">
        <v>25</v>
      </c>
      <c r="F58" s="4" t="s">
        <v>61</v>
      </c>
      <c r="G58" s="4" t="s">
        <v>25</v>
      </c>
      <c r="H58" s="4" t="s">
        <v>35</v>
      </c>
      <c r="I58" s="5">
        <v>43983</v>
      </c>
      <c r="J58" s="6">
        <v>5505</v>
      </c>
      <c r="K58" s="6">
        <v>5505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4" t="s">
        <v>62</v>
      </c>
      <c r="R58" s="4">
        <v>0</v>
      </c>
      <c r="S58" s="4" t="s">
        <v>127</v>
      </c>
      <c r="U58" s="4">
        <v>1</v>
      </c>
      <c r="V58" s="4">
        <v>0</v>
      </c>
      <c r="W58" s="4">
        <v>0</v>
      </c>
    </row>
    <row r="59" spans="1:23" ht="11.25" customHeight="1" x14ac:dyDescent="0.25">
      <c r="A59" s="4" t="s">
        <v>21</v>
      </c>
      <c r="B59" s="4" t="s">
        <v>43</v>
      </c>
      <c r="C59" s="4" t="s">
        <v>41</v>
      </c>
      <c r="D59" s="4" t="s">
        <v>40</v>
      </c>
      <c r="E59" s="4" t="s">
        <v>25</v>
      </c>
      <c r="F59" s="4" t="s">
        <v>61</v>
      </c>
      <c r="G59" s="4" t="s">
        <v>25</v>
      </c>
      <c r="H59" s="4" t="s">
        <v>35</v>
      </c>
      <c r="I59" s="5">
        <v>44013</v>
      </c>
      <c r="J59" s="6">
        <v>5505</v>
      </c>
      <c r="K59" s="6">
        <v>5505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4" t="s">
        <v>62</v>
      </c>
      <c r="R59" s="4">
        <v>0</v>
      </c>
      <c r="S59" s="4" t="s">
        <v>128</v>
      </c>
      <c r="U59" s="4">
        <v>1</v>
      </c>
      <c r="V59" s="4">
        <v>0</v>
      </c>
      <c r="W59" s="4">
        <v>0</v>
      </c>
    </row>
    <row r="60" spans="1:23" ht="11.25" customHeight="1" x14ac:dyDescent="0.25">
      <c r="A60" s="4" t="s">
        <v>21</v>
      </c>
      <c r="B60" s="4" t="s">
        <v>43</v>
      </c>
      <c r="C60" s="4" t="s">
        <v>41</v>
      </c>
      <c r="D60" s="4" t="s">
        <v>40</v>
      </c>
      <c r="E60" s="4" t="s">
        <v>25</v>
      </c>
      <c r="F60" s="4" t="s">
        <v>61</v>
      </c>
      <c r="G60" s="4" t="s">
        <v>25</v>
      </c>
      <c r="H60" s="4" t="s">
        <v>35</v>
      </c>
      <c r="I60" s="5">
        <v>44044</v>
      </c>
      <c r="J60" s="6">
        <v>5505</v>
      </c>
      <c r="K60" s="6">
        <v>5505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4" t="s">
        <v>62</v>
      </c>
      <c r="R60" s="4">
        <v>0</v>
      </c>
      <c r="S60" s="4" t="s">
        <v>129</v>
      </c>
      <c r="U60" s="4">
        <v>1</v>
      </c>
      <c r="V60" s="4">
        <v>0</v>
      </c>
      <c r="W60" s="4">
        <v>0</v>
      </c>
    </row>
    <row r="61" spans="1:23" ht="11.25" customHeight="1" x14ac:dyDescent="0.25">
      <c r="A61" s="4" t="s">
        <v>59</v>
      </c>
      <c r="B61" s="4" t="s">
        <v>43</v>
      </c>
      <c r="C61" s="4" t="s">
        <v>41</v>
      </c>
      <c r="D61" s="4" t="s">
        <v>40</v>
      </c>
      <c r="E61" s="4" t="s">
        <v>25</v>
      </c>
      <c r="F61" s="4" t="s">
        <v>61</v>
      </c>
      <c r="G61" s="4" t="s">
        <v>25</v>
      </c>
      <c r="H61" s="4" t="s">
        <v>35</v>
      </c>
      <c r="I61" s="5">
        <v>44075</v>
      </c>
      <c r="J61" s="6">
        <v>5505</v>
      </c>
      <c r="K61" s="6">
        <v>5505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4" t="s">
        <v>62</v>
      </c>
      <c r="R61" s="4">
        <v>0</v>
      </c>
      <c r="S61" s="4" t="s">
        <v>130</v>
      </c>
      <c r="U61" s="4">
        <v>1</v>
      </c>
      <c r="V61" s="4">
        <v>0</v>
      </c>
      <c r="W61" s="4">
        <v>0</v>
      </c>
    </row>
    <row r="62" spans="1:23" ht="11.25" customHeight="1" x14ac:dyDescent="0.25">
      <c r="A62" s="4" t="s">
        <v>21</v>
      </c>
      <c r="B62" s="4" t="s">
        <v>43</v>
      </c>
      <c r="C62" s="4" t="s">
        <v>41</v>
      </c>
      <c r="D62" s="4" t="s">
        <v>40</v>
      </c>
      <c r="E62" s="4" t="s">
        <v>25</v>
      </c>
      <c r="F62" s="4" t="s">
        <v>25</v>
      </c>
      <c r="G62" s="4" t="s">
        <v>25</v>
      </c>
      <c r="H62" s="4" t="s">
        <v>36</v>
      </c>
      <c r="I62" s="5">
        <v>43739</v>
      </c>
      <c r="J62" s="6">
        <v>52000</v>
      </c>
      <c r="K62" s="6">
        <v>52000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4" t="s">
        <v>60</v>
      </c>
      <c r="R62" s="4">
        <v>0</v>
      </c>
      <c r="S62" s="4" t="s">
        <v>107</v>
      </c>
      <c r="U62" s="4">
        <v>2</v>
      </c>
      <c r="V62" s="4">
        <v>0</v>
      </c>
      <c r="W62" s="4">
        <v>0</v>
      </c>
    </row>
    <row r="63" spans="1:23" ht="11.25" customHeight="1" x14ac:dyDescent="0.25">
      <c r="A63" s="4" t="s">
        <v>21</v>
      </c>
      <c r="B63" s="4" t="s">
        <v>43</v>
      </c>
      <c r="C63" s="4" t="s">
        <v>41</v>
      </c>
      <c r="D63" s="4" t="s">
        <v>40</v>
      </c>
      <c r="E63" s="4" t="s">
        <v>25</v>
      </c>
      <c r="F63" s="4" t="s">
        <v>25</v>
      </c>
      <c r="G63" s="4" t="s">
        <v>25</v>
      </c>
      <c r="H63" s="4" t="s">
        <v>36</v>
      </c>
      <c r="I63" s="5">
        <v>43770</v>
      </c>
      <c r="J63" s="6">
        <v>52000</v>
      </c>
      <c r="K63" s="6">
        <v>52000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4" t="s">
        <v>60</v>
      </c>
      <c r="R63" s="4">
        <v>0</v>
      </c>
      <c r="S63" s="4" t="s">
        <v>108</v>
      </c>
      <c r="U63" s="4">
        <v>2</v>
      </c>
      <c r="V63" s="4">
        <v>0</v>
      </c>
      <c r="W63" s="4">
        <v>0</v>
      </c>
    </row>
    <row r="64" spans="1:23" ht="11.25" customHeight="1" x14ac:dyDescent="0.25">
      <c r="A64" s="4" t="s">
        <v>21</v>
      </c>
      <c r="B64" s="4" t="s">
        <v>43</v>
      </c>
      <c r="C64" s="4" t="s">
        <v>41</v>
      </c>
      <c r="D64" s="4" t="s">
        <v>40</v>
      </c>
      <c r="E64" s="4" t="s">
        <v>25</v>
      </c>
      <c r="F64" s="4" t="s">
        <v>25</v>
      </c>
      <c r="G64" s="4" t="s">
        <v>25</v>
      </c>
      <c r="H64" s="4" t="s">
        <v>36</v>
      </c>
      <c r="I64" s="5">
        <v>43800</v>
      </c>
      <c r="J64" s="6">
        <v>52000</v>
      </c>
      <c r="K64" s="6">
        <v>52000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4" t="s">
        <v>60</v>
      </c>
      <c r="R64" s="4">
        <v>0</v>
      </c>
      <c r="S64" s="4" t="s">
        <v>109</v>
      </c>
      <c r="U64" s="4">
        <v>2</v>
      </c>
      <c r="V64" s="4">
        <v>0</v>
      </c>
      <c r="W64" s="4">
        <v>0</v>
      </c>
    </row>
    <row r="65" spans="1:23" ht="11.25" customHeight="1" x14ac:dyDescent="0.25">
      <c r="A65" s="4" t="s">
        <v>21</v>
      </c>
      <c r="B65" s="4" t="s">
        <v>43</v>
      </c>
      <c r="C65" s="4" t="s">
        <v>41</v>
      </c>
      <c r="D65" s="4" t="s">
        <v>40</v>
      </c>
      <c r="E65" s="4" t="s">
        <v>25</v>
      </c>
      <c r="F65" s="4" t="s">
        <v>25</v>
      </c>
      <c r="G65" s="4" t="s">
        <v>25</v>
      </c>
      <c r="H65" s="4" t="s">
        <v>36</v>
      </c>
      <c r="I65" s="5">
        <v>43831</v>
      </c>
      <c r="J65" s="6">
        <v>52000</v>
      </c>
      <c r="K65" s="6">
        <v>52000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4" t="s">
        <v>60</v>
      </c>
      <c r="R65" s="4">
        <v>0</v>
      </c>
      <c r="S65" s="4" t="s">
        <v>110</v>
      </c>
      <c r="U65" s="4">
        <v>2</v>
      </c>
      <c r="V65" s="4">
        <v>0</v>
      </c>
      <c r="W65" s="4">
        <v>0</v>
      </c>
    </row>
    <row r="66" spans="1:23" ht="11.25" customHeight="1" x14ac:dyDescent="0.25">
      <c r="A66" s="4" t="s">
        <v>21</v>
      </c>
      <c r="B66" s="4" t="s">
        <v>43</v>
      </c>
      <c r="C66" s="4" t="s">
        <v>41</v>
      </c>
      <c r="D66" s="4" t="s">
        <v>40</v>
      </c>
      <c r="E66" s="4" t="s">
        <v>25</v>
      </c>
      <c r="F66" s="4" t="s">
        <v>25</v>
      </c>
      <c r="G66" s="4" t="s">
        <v>25</v>
      </c>
      <c r="H66" s="4" t="s">
        <v>36</v>
      </c>
      <c r="I66" s="5">
        <v>43862</v>
      </c>
      <c r="J66" s="6">
        <v>52000</v>
      </c>
      <c r="K66" s="6">
        <v>52000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4" t="s">
        <v>60</v>
      </c>
      <c r="R66" s="4">
        <v>0</v>
      </c>
      <c r="S66" s="4" t="s">
        <v>111</v>
      </c>
      <c r="U66" s="4">
        <v>2</v>
      </c>
      <c r="V66" s="4">
        <v>0</v>
      </c>
      <c r="W66" s="4">
        <v>0</v>
      </c>
    </row>
    <row r="67" spans="1:23" ht="11.25" customHeight="1" x14ac:dyDescent="0.25">
      <c r="A67" s="4" t="s">
        <v>21</v>
      </c>
      <c r="B67" s="4" t="s">
        <v>43</v>
      </c>
      <c r="C67" s="4" t="s">
        <v>41</v>
      </c>
      <c r="D67" s="4" t="s">
        <v>40</v>
      </c>
      <c r="E67" s="4" t="s">
        <v>25</v>
      </c>
      <c r="F67" s="4" t="s">
        <v>25</v>
      </c>
      <c r="G67" s="4" t="s">
        <v>25</v>
      </c>
      <c r="H67" s="4" t="s">
        <v>36</v>
      </c>
      <c r="I67" s="5">
        <v>43891</v>
      </c>
      <c r="J67" s="6">
        <v>52000</v>
      </c>
      <c r="K67" s="6">
        <v>52000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4" t="s">
        <v>60</v>
      </c>
      <c r="R67" s="4">
        <v>0</v>
      </c>
      <c r="S67" s="4" t="s">
        <v>112</v>
      </c>
      <c r="U67" s="4">
        <v>2</v>
      </c>
      <c r="V67" s="4">
        <v>0</v>
      </c>
      <c r="W67" s="4">
        <v>0</v>
      </c>
    </row>
    <row r="68" spans="1:23" ht="11.25" customHeight="1" x14ac:dyDescent="0.25">
      <c r="A68" s="4" t="s">
        <v>21</v>
      </c>
      <c r="B68" s="4" t="s">
        <v>43</v>
      </c>
      <c r="C68" s="4" t="s">
        <v>41</v>
      </c>
      <c r="D68" s="4" t="s">
        <v>40</v>
      </c>
      <c r="E68" s="4" t="s">
        <v>25</v>
      </c>
      <c r="F68" s="4" t="s">
        <v>25</v>
      </c>
      <c r="G68" s="4" t="s">
        <v>25</v>
      </c>
      <c r="H68" s="4" t="s">
        <v>36</v>
      </c>
      <c r="I68" s="5">
        <v>43922</v>
      </c>
      <c r="J68" s="6">
        <v>52000</v>
      </c>
      <c r="K68" s="6">
        <v>52000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4" t="s">
        <v>60</v>
      </c>
      <c r="R68" s="4">
        <v>0</v>
      </c>
      <c r="S68" s="4" t="s">
        <v>113</v>
      </c>
      <c r="U68" s="4">
        <v>2</v>
      </c>
      <c r="V68" s="4">
        <v>0</v>
      </c>
      <c r="W68" s="4">
        <v>0</v>
      </c>
    </row>
    <row r="69" spans="1:23" ht="11.25" customHeight="1" x14ac:dyDescent="0.25">
      <c r="A69" s="4" t="s">
        <v>21</v>
      </c>
      <c r="B69" s="4" t="s">
        <v>43</v>
      </c>
      <c r="C69" s="4" t="s">
        <v>41</v>
      </c>
      <c r="D69" s="4" t="s">
        <v>40</v>
      </c>
      <c r="E69" s="4" t="s">
        <v>25</v>
      </c>
      <c r="F69" s="4" t="s">
        <v>25</v>
      </c>
      <c r="G69" s="4" t="s">
        <v>25</v>
      </c>
      <c r="H69" s="4" t="s">
        <v>36</v>
      </c>
      <c r="I69" s="5">
        <v>43952</v>
      </c>
      <c r="J69" s="6">
        <v>52000</v>
      </c>
      <c r="K69" s="6">
        <v>52000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4" t="s">
        <v>60</v>
      </c>
      <c r="R69" s="4">
        <v>0</v>
      </c>
      <c r="S69" s="4" t="s">
        <v>114</v>
      </c>
      <c r="U69" s="4">
        <v>2</v>
      </c>
      <c r="V69" s="4">
        <v>0</v>
      </c>
      <c r="W69" s="4">
        <v>0</v>
      </c>
    </row>
    <row r="70" spans="1:23" ht="11.25" customHeight="1" x14ac:dyDescent="0.25">
      <c r="A70" s="4" t="s">
        <v>21</v>
      </c>
      <c r="B70" s="4" t="s">
        <v>43</v>
      </c>
      <c r="C70" s="4" t="s">
        <v>41</v>
      </c>
      <c r="D70" s="4" t="s">
        <v>40</v>
      </c>
      <c r="E70" s="4" t="s">
        <v>25</v>
      </c>
      <c r="F70" s="4" t="s">
        <v>25</v>
      </c>
      <c r="G70" s="4" t="s">
        <v>25</v>
      </c>
      <c r="H70" s="4" t="s">
        <v>36</v>
      </c>
      <c r="I70" s="5">
        <v>43983</v>
      </c>
      <c r="J70" s="6">
        <v>52000</v>
      </c>
      <c r="K70" s="6">
        <v>52000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4" t="s">
        <v>60</v>
      </c>
      <c r="R70" s="4">
        <v>0</v>
      </c>
      <c r="S70" s="4" t="s">
        <v>115</v>
      </c>
      <c r="U70" s="4">
        <v>2</v>
      </c>
      <c r="V70" s="4">
        <v>0</v>
      </c>
      <c r="W70" s="4">
        <v>0</v>
      </c>
    </row>
    <row r="71" spans="1:23" ht="11.25" customHeight="1" x14ac:dyDescent="0.25">
      <c r="A71" s="4" t="s">
        <v>21</v>
      </c>
      <c r="B71" s="4" t="s">
        <v>43</v>
      </c>
      <c r="C71" s="4" t="s">
        <v>41</v>
      </c>
      <c r="D71" s="4" t="s">
        <v>40</v>
      </c>
      <c r="E71" s="4" t="s">
        <v>25</v>
      </c>
      <c r="F71" s="4" t="s">
        <v>25</v>
      </c>
      <c r="G71" s="4" t="s">
        <v>25</v>
      </c>
      <c r="H71" s="4" t="s">
        <v>36</v>
      </c>
      <c r="I71" s="5">
        <v>44013</v>
      </c>
      <c r="J71" s="6">
        <v>52000</v>
      </c>
      <c r="K71" s="6">
        <v>52000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4" t="s">
        <v>60</v>
      </c>
      <c r="R71" s="4">
        <v>0</v>
      </c>
      <c r="S71" s="4" t="s">
        <v>116</v>
      </c>
      <c r="U71" s="4">
        <v>2</v>
      </c>
      <c r="V71" s="4">
        <v>0</v>
      </c>
      <c r="W71" s="4">
        <v>0</v>
      </c>
    </row>
    <row r="72" spans="1:23" ht="11.25" customHeight="1" x14ac:dyDescent="0.25">
      <c r="A72" s="4" t="s">
        <v>21</v>
      </c>
      <c r="B72" s="4" t="s">
        <v>43</v>
      </c>
      <c r="C72" s="4" t="s">
        <v>41</v>
      </c>
      <c r="D72" s="4" t="s">
        <v>40</v>
      </c>
      <c r="E72" s="4" t="s">
        <v>25</v>
      </c>
      <c r="F72" s="4" t="s">
        <v>25</v>
      </c>
      <c r="G72" s="4" t="s">
        <v>25</v>
      </c>
      <c r="H72" s="4" t="s">
        <v>36</v>
      </c>
      <c r="I72" s="5">
        <v>44044</v>
      </c>
      <c r="J72" s="6">
        <v>52000</v>
      </c>
      <c r="K72" s="6">
        <v>52000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4" t="s">
        <v>60</v>
      </c>
      <c r="R72" s="4">
        <v>0</v>
      </c>
      <c r="S72" s="4" t="s">
        <v>117</v>
      </c>
      <c r="U72" s="4">
        <v>2</v>
      </c>
      <c r="V72" s="4">
        <v>0</v>
      </c>
      <c r="W72" s="4">
        <v>0</v>
      </c>
    </row>
    <row r="73" spans="1:23" ht="11.25" customHeight="1" x14ac:dyDescent="0.25">
      <c r="A73" s="4" t="s">
        <v>59</v>
      </c>
      <c r="B73" s="4" t="s">
        <v>43</v>
      </c>
      <c r="C73" s="4" t="s">
        <v>41</v>
      </c>
      <c r="D73" s="4" t="s">
        <v>40</v>
      </c>
      <c r="E73" s="4" t="s">
        <v>25</v>
      </c>
      <c r="F73" s="4" t="s">
        <v>25</v>
      </c>
      <c r="G73" s="4" t="s">
        <v>25</v>
      </c>
      <c r="H73" s="4" t="s">
        <v>36</v>
      </c>
      <c r="I73" s="5">
        <v>44075</v>
      </c>
      <c r="J73" s="6">
        <v>52000</v>
      </c>
      <c r="K73" s="6">
        <v>52000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4" t="s">
        <v>60</v>
      </c>
      <c r="R73" s="4">
        <v>0</v>
      </c>
      <c r="S73" s="4" t="s">
        <v>118</v>
      </c>
      <c r="U73" s="4">
        <v>2</v>
      </c>
      <c r="V73" s="4">
        <v>0</v>
      </c>
      <c r="W73" s="4">
        <v>0</v>
      </c>
    </row>
    <row r="74" spans="1:23" ht="11.25" customHeight="1" x14ac:dyDescent="0.25">
      <c r="A74" s="4" t="s">
        <v>21</v>
      </c>
      <c r="B74" s="4" t="s">
        <v>43</v>
      </c>
      <c r="C74" s="4" t="s">
        <v>41</v>
      </c>
      <c r="D74" s="4" t="s">
        <v>40</v>
      </c>
      <c r="E74" s="4" t="s">
        <v>25</v>
      </c>
      <c r="F74" s="4" t="s">
        <v>25</v>
      </c>
      <c r="G74" s="4" t="s">
        <v>25</v>
      </c>
      <c r="H74" s="4" t="s">
        <v>25</v>
      </c>
      <c r="I74" s="5">
        <v>43739</v>
      </c>
      <c r="J74" s="6">
        <v>0</v>
      </c>
      <c r="K74" s="6">
        <v>0</v>
      </c>
      <c r="L74" s="6">
        <v>20525.694</v>
      </c>
      <c r="M74" s="6">
        <v>20525.694</v>
      </c>
      <c r="N74" s="6">
        <v>0</v>
      </c>
      <c r="O74" s="6">
        <v>0</v>
      </c>
      <c r="P74" s="6">
        <v>1</v>
      </c>
      <c r="Q74" s="4" t="s">
        <v>60</v>
      </c>
      <c r="R74" s="4">
        <v>0</v>
      </c>
      <c r="S74" s="4" t="s">
        <v>143</v>
      </c>
      <c r="U74" s="4">
        <v>0</v>
      </c>
      <c r="V74" s="4">
        <v>3</v>
      </c>
      <c r="W74" s="4">
        <v>0</v>
      </c>
    </row>
    <row r="75" spans="1:23" ht="11.25" customHeight="1" x14ac:dyDescent="0.25">
      <c r="A75" s="4" t="s">
        <v>21</v>
      </c>
      <c r="B75" s="4" t="s">
        <v>43</v>
      </c>
      <c r="C75" s="4" t="s">
        <v>41</v>
      </c>
      <c r="D75" s="4" t="s">
        <v>40</v>
      </c>
      <c r="E75" s="4" t="s">
        <v>25</v>
      </c>
      <c r="F75" s="4" t="s">
        <v>25</v>
      </c>
      <c r="G75" s="4" t="s">
        <v>25</v>
      </c>
      <c r="H75" s="4" t="s">
        <v>25</v>
      </c>
      <c r="I75" s="5">
        <v>43770</v>
      </c>
      <c r="J75" s="6">
        <v>0</v>
      </c>
      <c r="K75" s="6">
        <v>0</v>
      </c>
      <c r="L75" s="6">
        <v>20400.280999999999</v>
      </c>
      <c r="M75" s="6">
        <v>20400.280999999999</v>
      </c>
      <c r="N75" s="6">
        <v>0</v>
      </c>
      <c r="O75" s="6">
        <v>0</v>
      </c>
      <c r="P75" s="6">
        <v>1</v>
      </c>
      <c r="Q75" s="4" t="s">
        <v>60</v>
      </c>
      <c r="R75" s="4">
        <v>0</v>
      </c>
      <c r="S75" s="4" t="s">
        <v>144</v>
      </c>
      <c r="U75" s="4">
        <v>0</v>
      </c>
      <c r="V75" s="4">
        <v>3</v>
      </c>
      <c r="W75" s="4">
        <v>0</v>
      </c>
    </row>
    <row r="76" spans="1:23" ht="11.25" customHeight="1" x14ac:dyDescent="0.25">
      <c r="A76" s="4" t="s">
        <v>21</v>
      </c>
      <c r="B76" s="4" t="s">
        <v>43</v>
      </c>
      <c r="C76" s="4" t="s">
        <v>41</v>
      </c>
      <c r="D76" s="4" t="s">
        <v>40</v>
      </c>
      <c r="E76" s="4" t="s">
        <v>25</v>
      </c>
      <c r="F76" s="4" t="s">
        <v>25</v>
      </c>
      <c r="G76" s="4" t="s">
        <v>25</v>
      </c>
      <c r="H76" s="4" t="s">
        <v>25</v>
      </c>
      <c r="I76" s="5">
        <v>43800</v>
      </c>
      <c r="J76" s="6">
        <v>0</v>
      </c>
      <c r="K76" s="6">
        <v>0</v>
      </c>
      <c r="L76" s="6">
        <v>19681.274000000001</v>
      </c>
      <c r="M76" s="6">
        <v>19681.274000000001</v>
      </c>
      <c r="N76" s="6">
        <v>0</v>
      </c>
      <c r="O76" s="6">
        <v>0</v>
      </c>
      <c r="P76" s="6">
        <v>1</v>
      </c>
      <c r="Q76" s="4" t="s">
        <v>60</v>
      </c>
      <c r="R76" s="4">
        <v>0</v>
      </c>
      <c r="S76" s="4" t="s">
        <v>145</v>
      </c>
      <c r="U76" s="4">
        <v>0</v>
      </c>
      <c r="V76" s="4">
        <v>3</v>
      </c>
      <c r="W76" s="4">
        <v>0</v>
      </c>
    </row>
    <row r="77" spans="1:23" ht="11.25" customHeight="1" x14ac:dyDescent="0.25">
      <c r="A77" s="4" t="s">
        <v>21</v>
      </c>
      <c r="B77" s="4" t="s">
        <v>43</v>
      </c>
      <c r="C77" s="4" t="s">
        <v>41</v>
      </c>
      <c r="D77" s="4" t="s">
        <v>40</v>
      </c>
      <c r="E77" s="4" t="s">
        <v>25</v>
      </c>
      <c r="F77" s="4" t="s">
        <v>25</v>
      </c>
      <c r="G77" s="4" t="s">
        <v>25</v>
      </c>
      <c r="H77" s="4" t="s">
        <v>25</v>
      </c>
      <c r="I77" s="5">
        <v>43831</v>
      </c>
      <c r="J77" s="6">
        <v>0</v>
      </c>
      <c r="K77" s="6">
        <v>0</v>
      </c>
      <c r="L77" s="6">
        <v>20219.706999999999</v>
      </c>
      <c r="M77" s="6">
        <v>20219.706999999999</v>
      </c>
      <c r="N77" s="6">
        <v>0</v>
      </c>
      <c r="O77" s="6">
        <v>0</v>
      </c>
      <c r="P77" s="6">
        <v>1</v>
      </c>
      <c r="Q77" s="4" t="s">
        <v>60</v>
      </c>
      <c r="R77" s="4">
        <v>0</v>
      </c>
      <c r="S77" s="4" t="s">
        <v>146</v>
      </c>
      <c r="U77" s="4">
        <v>0</v>
      </c>
      <c r="V77" s="4">
        <v>3</v>
      </c>
      <c r="W77" s="4">
        <v>0</v>
      </c>
    </row>
    <row r="78" spans="1:23" ht="11.25" customHeight="1" x14ac:dyDescent="0.25">
      <c r="A78" s="4" t="s">
        <v>21</v>
      </c>
      <c r="B78" s="4" t="s">
        <v>43</v>
      </c>
      <c r="C78" s="4" t="s">
        <v>41</v>
      </c>
      <c r="D78" s="4" t="s">
        <v>40</v>
      </c>
      <c r="E78" s="4" t="s">
        <v>25</v>
      </c>
      <c r="F78" s="4" t="s">
        <v>25</v>
      </c>
      <c r="G78" s="4" t="s">
        <v>25</v>
      </c>
      <c r="H78" s="4" t="s">
        <v>25</v>
      </c>
      <c r="I78" s="5">
        <v>43862</v>
      </c>
      <c r="J78" s="6">
        <v>0</v>
      </c>
      <c r="K78" s="6">
        <v>0</v>
      </c>
      <c r="L78" s="6">
        <v>19774.339</v>
      </c>
      <c r="M78" s="6">
        <v>19774.339</v>
      </c>
      <c r="N78" s="6">
        <v>0</v>
      </c>
      <c r="O78" s="6">
        <v>0</v>
      </c>
      <c r="P78" s="6">
        <v>1</v>
      </c>
      <c r="Q78" s="4" t="s">
        <v>60</v>
      </c>
      <c r="R78" s="4">
        <v>0</v>
      </c>
      <c r="S78" s="4" t="s">
        <v>147</v>
      </c>
      <c r="U78" s="4">
        <v>0</v>
      </c>
      <c r="V78" s="4">
        <v>3</v>
      </c>
      <c r="W78" s="4">
        <v>0</v>
      </c>
    </row>
    <row r="79" spans="1:23" ht="11.25" customHeight="1" x14ac:dyDescent="0.25">
      <c r="A79" s="4" t="s">
        <v>21</v>
      </c>
      <c r="B79" s="4" t="s">
        <v>43</v>
      </c>
      <c r="C79" s="4" t="s">
        <v>41</v>
      </c>
      <c r="D79" s="4" t="s">
        <v>40</v>
      </c>
      <c r="E79" s="4" t="s">
        <v>25</v>
      </c>
      <c r="F79" s="4" t="s">
        <v>25</v>
      </c>
      <c r="G79" s="4" t="s">
        <v>25</v>
      </c>
      <c r="H79" s="4" t="s">
        <v>25</v>
      </c>
      <c r="I79" s="5">
        <v>43891</v>
      </c>
      <c r="J79" s="6">
        <v>0</v>
      </c>
      <c r="K79" s="6">
        <v>0</v>
      </c>
      <c r="L79" s="6">
        <v>21065.493999999999</v>
      </c>
      <c r="M79" s="6">
        <v>21065.493999999999</v>
      </c>
      <c r="N79" s="6">
        <v>0</v>
      </c>
      <c r="O79" s="6">
        <v>0</v>
      </c>
      <c r="P79" s="6">
        <v>1</v>
      </c>
      <c r="Q79" s="4" t="s">
        <v>60</v>
      </c>
      <c r="R79" s="4">
        <v>0</v>
      </c>
      <c r="S79" s="4" t="s">
        <v>148</v>
      </c>
      <c r="U79" s="4">
        <v>0</v>
      </c>
      <c r="V79" s="4">
        <v>3</v>
      </c>
      <c r="W79" s="4">
        <v>0</v>
      </c>
    </row>
    <row r="80" spans="1:23" ht="11.25" customHeight="1" x14ac:dyDescent="0.25">
      <c r="A80" s="4" t="s">
        <v>21</v>
      </c>
      <c r="B80" s="4" t="s">
        <v>43</v>
      </c>
      <c r="C80" s="4" t="s">
        <v>41</v>
      </c>
      <c r="D80" s="4" t="s">
        <v>40</v>
      </c>
      <c r="E80" s="4" t="s">
        <v>25</v>
      </c>
      <c r="F80" s="4" t="s">
        <v>25</v>
      </c>
      <c r="G80" s="4" t="s">
        <v>25</v>
      </c>
      <c r="H80" s="4" t="s">
        <v>25</v>
      </c>
      <c r="I80" s="5">
        <v>43922</v>
      </c>
      <c r="J80" s="6">
        <v>0</v>
      </c>
      <c r="K80" s="6">
        <v>0</v>
      </c>
      <c r="L80" s="6">
        <v>15942.402</v>
      </c>
      <c r="M80" s="6">
        <v>15942.402</v>
      </c>
      <c r="N80" s="6">
        <v>0</v>
      </c>
      <c r="O80" s="6">
        <v>0</v>
      </c>
      <c r="P80" s="6">
        <v>1</v>
      </c>
      <c r="Q80" s="4" t="s">
        <v>60</v>
      </c>
      <c r="R80" s="4">
        <v>0</v>
      </c>
      <c r="S80" s="4" t="s">
        <v>149</v>
      </c>
      <c r="U80" s="4">
        <v>0</v>
      </c>
      <c r="V80" s="4">
        <v>3</v>
      </c>
      <c r="W80" s="4">
        <v>0</v>
      </c>
    </row>
    <row r="81" spans="1:23" ht="11.25" customHeight="1" x14ac:dyDescent="0.25">
      <c r="A81" s="4" t="s">
        <v>21</v>
      </c>
      <c r="B81" s="4" t="s">
        <v>43</v>
      </c>
      <c r="C81" s="4" t="s">
        <v>41</v>
      </c>
      <c r="D81" s="4" t="s">
        <v>40</v>
      </c>
      <c r="E81" s="4" t="s">
        <v>25</v>
      </c>
      <c r="F81" s="4" t="s">
        <v>25</v>
      </c>
      <c r="G81" s="4" t="s">
        <v>25</v>
      </c>
      <c r="H81" s="4" t="s">
        <v>25</v>
      </c>
      <c r="I81" s="5">
        <v>43952</v>
      </c>
      <c r="J81" s="6">
        <v>0</v>
      </c>
      <c r="K81" s="6">
        <v>0</v>
      </c>
      <c r="L81" s="6">
        <v>25292.248</v>
      </c>
      <c r="M81" s="6">
        <v>25292.248</v>
      </c>
      <c r="N81" s="6">
        <v>0</v>
      </c>
      <c r="O81" s="6">
        <v>0</v>
      </c>
      <c r="P81" s="6">
        <v>1</v>
      </c>
      <c r="Q81" s="4" t="s">
        <v>60</v>
      </c>
      <c r="R81" s="4">
        <v>0</v>
      </c>
      <c r="S81" s="4" t="s">
        <v>150</v>
      </c>
      <c r="U81" s="4">
        <v>0</v>
      </c>
      <c r="V81" s="4">
        <v>3</v>
      </c>
      <c r="W81" s="4">
        <v>0</v>
      </c>
    </row>
    <row r="82" spans="1:23" ht="11.25" customHeight="1" x14ac:dyDescent="0.25">
      <c r="A82" s="4" t="s">
        <v>21</v>
      </c>
      <c r="B82" s="4" t="s">
        <v>43</v>
      </c>
      <c r="C82" s="4" t="s">
        <v>41</v>
      </c>
      <c r="D82" s="4" t="s">
        <v>40</v>
      </c>
      <c r="E82" s="4" t="s">
        <v>25</v>
      </c>
      <c r="F82" s="4" t="s">
        <v>25</v>
      </c>
      <c r="G82" s="4" t="s">
        <v>25</v>
      </c>
      <c r="H82" s="4" t="s">
        <v>25</v>
      </c>
      <c r="I82" s="5">
        <v>43983</v>
      </c>
      <c r="J82" s="6">
        <v>0</v>
      </c>
      <c r="K82" s="6">
        <v>0</v>
      </c>
      <c r="L82" s="6">
        <v>25292.248</v>
      </c>
      <c r="M82" s="6">
        <v>25292.248</v>
      </c>
      <c r="N82" s="6">
        <v>0</v>
      </c>
      <c r="O82" s="6">
        <v>0</v>
      </c>
      <c r="P82" s="6">
        <v>1</v>
      </c>
      <c r="Q82" s="4" t="s">
        <v>60</v>
      </c>
      <c r="R82" s="4">
        <v>0</v>
      </c>
      <c r="S82" s="4" t="s">
        <v>151</v>
      </c>
      <c r="U82" s="4">
        <v>0</v>
      </c>
      <c r="V82" s="4">
        <v>3</v>
      </c>
      <c r="W82" s="4">
        <v>0</v>
      </c>
    </row>
    <row r="83" spans="1:23" ht="11.25" customHeight="1" x14ac:dyDescent="0.25">
      <c r="A83" s="4" t="s">
        <v>21</v>
      </c>
      <c r="B83" s="4" t="s">
        <v>43</v>
      </c>
      <c r="C83" s="4" t="s">
        <v>41</v>
      </c>
      <c r="D83" s="4" t="s">
        <v>40</v>
      </c>
      <c r="E83" s="4" t="s">
        <v>25</v>
      </c>
      <c r="F83" s="4" t="s">
        <v>25</v>
      </c>
      <c r="G83" s="4" t="s">
        <v>25</v>
      </c>
      <c r="H83" s="4" t="s">
        <v>25</v>
      </c>
      <c r="I83" s="5">
        <v>44013</v>
      </c>
      <c r="J83" s="6">
        <v>0</v>
      </c>
      <c r="K83" s="6">
        <v>0</v>
      </c>
      <c r="L83" s="6">
        <v>21961.101999999999</v>
      </c>
      <c r="M83" s="6">
        <v>21961.101999999999</v>
      </c>
      <c r="N83" s="6">
        <v>0</v>
      </c>
      <c r="O83" s="6">
        <v>0</v>
      </c>
      <c r="P83" s="6">
        <v>1</v>
      </c>
      <c r="Q83" s="4" t="s">
        <v>60</v>
      </c>
      <c r="R83" s="4">
        <v>0</v>
      </c>
      <c r="S83" s="4" t="s">
        <v>152</v>
      </c>
      <c r="U83" s="4">
        <v>0</v>
      </c>
      <c r="V83" s="4">
        <v>3</v>
      </c>
      <c r="W83" s="4">
        <v>0</v>
      </c>
    </row>
    <row r="84" spans="1:23" ht="11.25" customHeight="1" x14ac:dyDescent="0.25">
      <c r="A84" s="4" t="s">
        <v>21</v>
      </c>
      <c r="B84" s="4" t="s">
        <v>43</v>
      </c>
      <c r="C84" s="4" t="s">
        <v>41</v>
      </c>
      <c r="D84" s="4" t="s">
        <v>40</v>
      </c>
      <c r="E84" s="4" t="s">
        <v>25</v>
      </c>
      <c r="F84" s="4" t="s">
        <v>25</v>
      </c>
      <c r="G84" s="4" t="s">
        <v>25</v>
      </c>
      <c r="H84" s="4" t="s">
        <v>25</v>
      </c>
      <c r="I84" s="5">
        <v>44044</v>
      </c>
      <c r="J84" s="6">
        <v>0</v>
      </c>
      <c r="K84" s="6">
        <v>0</v>
      </c>
      <c r="L84" s="6">
        <v>31556.446</v>
      </c>
      <c r="M84" s="6">
        <v>31556.446</v>
      </c>
      <c r="N84" s="6">
        <v>0</v>
      </c>
      <c r="O84" s="6">
        <v>0</v>
      </c>
      <c r="P84" s="6">
        <v>1</v>
      </c>
      <c r="Q84" s="4" t="s">
        <v>60</v>
      </c>
      <c r="R84" s="4">
        <v>0</v>
      </c>
      <c r="S84" s="4" t="s">
        <v>153</v>
      </c>
      <c r="U84" s="4">
        <v>0</v>
      </c>
      <c r="V84" s="4">
        <v>3</v>
      </c>
      <c r="W84" s="4">
        <v>0</v>
      </c>
    </row>
    <row r="85" spans="1:23" ht="11.25" customHeight="1" x14ac:dyDescent="0.25">
      <c r="A85" s="4" t="s">
        <v>59</v>
      </c>
      <c r="B85" s="4" t="s">
        <v>43</v>
      </c>
      <c r="C85" s="4" t="s">
        <v>41</v>
      </c>
      <c r="D85" s="4" t="s">
        <v>40</v>
      </c>
      <c r="E85" s="4" t="s">
        <v>25</v>
      </c>
      <c r="F85" s="4" t="s">
        <v>25</v>
      </c>
      <c r="G85" s="4" t="s">
        <v>25</v>
      </c>
      <c r="H85" s="4" t="s">
        <v>25</v>
      </c>
      <c r="I85" s="5">
        <v>44075</v>
      </c>
      <c r="J85" s="6">
        <v>0</v>
      </c>
      <c r="K85" s="6">
        <v>0</v>
      </c>
      <c r="L85" s="6">
        <v>31556.446</v>
      </c>
      <c r="M85" s="6">
        <v>31556.446</v>
      </c>
      <c r="N85" s="6">
        <v>0</v>
      </c>
      <c r="O85" s="6">
        <v>0</v>
      </c>
      <c r="P85" s="6">
        <v>1</v>
      </c>
      <c r="Q85" s="4" t="s">
        <v>60</v>
      </c>
      <c r="R85" s="4">
        <v>0</v>
      </c>
      <c r="S85" s="4" t="s">
        <v>154</v>
      </c>
      <c r="U85" s="4">
        <v>0</v>
      </c>
      <c r="V85" s="4">
        <v>3</v>
      </c>
      <c r="W85" s="4">
        <v>0</v>
      </c>
    </row>
    <row r="86" spans="1:23" ht="11.25" customHeight="1" x14ac:dyDescent="0.25">
      <c r="A86" s="4" t="s">
        <v>21</v>
      </c>
      <c r="B86" s="4" t="s">
        <v>43</v>
      </c>
      <c r="C86" s="4" t="s">
        <v>41</v>
      </c>
      <c r="D86" s="4" t="s">
        <v>40</v>
      </c>
      <c r="E86" s="4" t="s">
        <v>25</v>
      </c>
      <c r="F86" s="4" t="s">
        <v>25</v>
      </c>
      <c r="G86" s="4" t="s">
        <v>25</v>
      </c>
      <c r="H86" s="4" t="s">
        <v>35</v>
      </c>
      <c r="I86" s="5">
        <v>43739</v>
      </c>
      <c r="J86" s="6">
        <v>21000</v>
      </c>
      <c r="K86" s="6">
        <v>21000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4" t="s">
        <v>60</v>
      </c>
      <c r="R86" s="4">
        <v>0</v>
      </c>
      <c r="S86" s="4" t="s">
        <v>119</v>
      </c>
      <c r="U86" s="4">
        <v>1</v>
      </c>
      <c r="V86" s="4">
        <v>0</v>
      </c>
      <c r="W86" s="4">
        <v>0</v>
      </c>
    </row>
    <row r="87" spans="1:23" ht="11.25" customHeight="1" x14ac:dyDescent="0.25">
      <c r="A87" s="4" t="s">
        <v>21</v>
      </c>
      <c r="B87" s="4" t="s">
        <v>43</v>
      </c>
      <c r="C87" s="4" t="s">
        <v>41</v>
      </c>
      <c r="D87" s="4" t="s">
        <v>40</v>
      </c>
      <c r="E87" s="4" t="s">
        <v>25</v>
      </c>
      <c r="F87" s="4" t="s">
        <v>25</v>
      </c>
      <c r="G87" s="4" t="s">
        <v>25</v>
      </c>
      <c r="H87" s="4" t="s">
        <v>35</v>
      </c>
      <c r="I87" s="5">
        <v>43770</v>
      </c>
      <c r="J87" s="6">
        <v>21000</v>
      </c>
      <c r="K87" s="6">
        <v>21000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4" t="s">
        <v>60</v>
      </c>
      <c r="R87" s="4">
        <v>0</v>
      </c>
      <c r="S87" s="4" t="s">
        <v>120</v>
      </c>
      <c r="U87" s="4">
        <v>1</v>
      </c>
      <c r="V87" s="4">
        <v>0</v>
      </c>
      <c r="W87" s="4">
        <v>0</v>
      </c>
    </row>
    <row r="88" spans="1:23" ht="11.25" customHeight="1" x14ac:dyDescent="0.25">
      <c r="A88" s="4" t="s">
        <v>21</v>
      </c>
      <c r="B88" s="4" t="s">
        <v>43</v>
      </c>
      <c r="C88" s="4" t="s">
        <v>41</v>
      </c>
      <c r="D88" s="4" t="s">
        <v>40</v>
      </c>
      <c r="E88" s="4" t="s">
        <v>25</v>
      </c>
      <c r="F88" s="4" t="s">
        <v>25</v>
      </c>
      <c r="G88" s="4" t="s">
        <v>25</v>
      </c>
      <c r="H88" s="4" t="s">
        <v>35</v>
      </c>
      <c r="I88" s="5">
        <v>43800</v>
      </c>
      <c r="J88" s="6">
        <v>21000</v>
      </c>
      <c r="K88" s="6">
        <v>21000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4" t="s">
        <v>60</v>
      </c>
      <c r="R88" s="4">
        <v>0</v>
      </c>
      <c r="S88" s="4" t="s">
        <v>121</v>
      </c>
      <c r="U88" s="4">
        <v>1</v>
      </c>
      <c r="V88" s="4">
        <v>0</v>
      </c>
      <c r="W88" s="4">
        <v>0</v>
      </c>
    </row>
    <row r="89" spans="1:23" ht="11.25" customHeight="1" x14ac:dyDescent="0.25">
      <c r="A89" s="4" t="s">
        <v>21</v>
      </c>
      <c r="B89" s="4" t="s">
        <v>43</v>
      </c>
      <c r="C89" s="4" t="s">
        <v>41</v>
      </c>
      <c r="D89" s="4" t="s">
        <v>40</v>
      </c>
      <c r="E89" s="4" t="s">
        <v>25</v>
      </c>
      <c r="F89" s="4" t="s">
        <v>25</v>
      </c>
      <c r="G89" s="4" t="s">
        <v>25</v>
      </c>
      <c r="H89" s="4" t="s">
        <v>35</v>
      </c>
      <c r="I89" s="5">
        <v>43831</v>
      </c>
      <c r="J89" s="6">
        <v>21000</v>
      </c>
      <c r="K89" s="6">
        <v>21000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4" t="s">
        <v>60</v>
      </c>
      <c r="R89" s="4">
        <v>0</v>
      </c>
      <c r="S89" s="4" t="s">
        <v>122</v>
      </c>
      <c r="U89" s="4">
        <v>1</v>
      </c>
      <c r="V89" s="4">
        <v>0</v>
      </c>
      <c r="W89" s="4">
        <v>0</v>
      </c>
    </row>
    <row r="90" spans="1:23" ht="11.25" customHeight="1" x14ac:dyDescent="0.25">
      <c r="A90" s="4" t="s">
        <v>21</v>
      </c>
      <c r="B90" s="4" t="s">
        <v>43</v>
      </c>
      <c r="C90" s="4" t="s">
        <v>41</v>
      </c>
      <c r="D90" s="4" t="s">
        <v>40</v>
      </c>
      <c r="E90" s="4" t="s">
        <v>25</v>
      </c>
      <c r="F90" s="4" t="s">
        <v>25</v>
      </c>
      <c r="G90" s="4" t="s">
        <v>25</v>
      </c>
      <c r="H90" s="4" t="s">
        <v>35</v>
      </c>
      <c r="I90" s="5">
        <v>43862</v>
      </c>
      <c r="J90" s="6">
        <v>21000</v>
      </c>
      <c r="K90" s="6">
        <v>21000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4" t="s">
        <v>60</v>
      </c>
      <c r="R90" s="4">
        <v>0</v>
      </c>
      <c r="S90" s="4" t="s">
        <v>123</v>
      </c>
      <c r="U90" s="4">
        <v>1</v>
      </c>
      <c r="V90" s="4">
        <v>0</v>
      </c>
      <c r="W90" s="4">
        <v>0</v>
      </c>
    </row>
    <row r="91" spans="1:23" ht="11.25" customHeight="1" x14ac:dyDescent="0.25">
      <c r="A91" s="4" t="s">
        <v>21</v>
      </c>
      <c r="B91" s="4" t="s">
        <v>43</v>
      </c>
      <c r="C91" s="4" t="s">
        <v>41</v>
      </c>
      <c r="D91" s="4" t="s">
        <v>40</v>
      </c>
      <c r="E91" s="4" t="s">
        <v>25</v>
      </c>
      <c r="F91" s="4" t="s">
        <v>25</v>
      </c>
      <c r="G91" s="4" t="s">
        <v>25</v>
      </c>
      <c r="H91" s="4" t="s">
        <v>35</v>
      </c>
      <c r="I91" s="5">
        <v>43891</v>
      </c>
      <c r="J91" s="6">
        <v>21000</v>
      </c>
      <c r="K91" s="6">
        <v>21000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4" t="s">
        <v>60</v>
      </c>
      <c r="R91" s="4">
        <v>0</v>
      </c>
      <c r="S91" s="4" t="s">
        <v>124</v>
      </c>
      <c r="U91" s="4">
        <v>1</v>
      </c>
      <c r="V91" s="4">
        <v>0</v>
      </c>
      <c r="W91" s="4">
        <v>0</v>
      </c>
    </row>
    <row r="92" spans="1:23" ht="11.25" customHeight="1" x14ac:dyDescent="0.25">
      <c r="A92" s="4" t="s">
        <v>21</v>
      </c>
      <c r="B92" s="4" t="s">
        <v>43</v>
      </c>
      <c r="C92" s="4" t="s">
        <v>41</v>
      </c>
      <c r="D92" s="4" t="s">
        <v>40</v>
      </c>
      <c r="E92" s="4" t="s">
        <v>25</v>
      </c>
      <c r="F92" s="4" t="s">
        <v>25</v>
      </c>
      <c r="G92" s="4" t="s">
        <v>25</v>
      </c>
      <c r="H92" s="4" t="s">
        <v>35</v>
      </c>
      <c r="I92" s="5">
        <v>43922</v>
      </c>
      <c r="J92" s="6">
        <v>21000</v>
      </c>
      <c r="K92" s="6">
        <v>21000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4" t="s">
        <v>60</v>
      </c>
      <c r="R92" s="4">
        <v>0</v>
      </c>
      <c r="S92" s="4" t="s">
        <v>125</v>
      </c>
      <c r="U92" s="4">
        <v>1</v>
      </c>
      <c r="V92" s="4">
        <v>0</v>
      </c>
      <c r="W92" s="4">
        <v>0</v>
      </c>
    </row>
    <row r="93" spans="1:23" ht="11.25" customHeight="1" x14ac:dyDescent="0.25">
      <c r="A93" s="4" t="s">
        <v>21</v>
      </c>
      <c r="B93" s="4" t="s">
        <v>43</v>
      </c>
      <c r="C93" s="4" t="s">
        <v>41</v>
      </c>
      <c r="D93" s="4" t="s">
        <v>40</v>
      </c>
      <c r="E93" s="4" t="s">
        <v>25</v>
      </c>
      <c r="F93" s="4" t="s">
        <v>25</v>
      </c>
      <c r="G93" s="4" t="s">
        <v>25</v>
      </c>
      <c r="H93" s="4" t="s">
        <v>35</v>
      </c>
      <c r="I93" s="5">
        <v>43952</v>
      </c>
      <c r="J93" s="6">
        <v>21000</v>
      </c>
      <c r="K93" s="6">
        <v>21000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4" t="s">
        <v>60</v>
      </c>
      <c r="R93" s="4">
        <v>0</v>
      </c>
      <c r="S93" s="4" t="s">
        <v>126</v>
      </c>
      <c r="U93" s="4">
        <v>1</v>
      </c>
      <c r="V93" s="4">
        <v>0</v>
      </c>
      <c r="W93" s="4">
        <v>0</v>
      </c>
    </row>
    <row r="94" spans="1:23" ht="11.25" customHeight="1" x14ac:dyDescent="0.25">
      <c r="A94" s="4" t="s">
        <v>21</v>
      </c>
      <c r="B94" s="4" t="s">
        <v>43</v>
      </c>
      <c r="C94" s="4" t="s">
        <v>41</v>
      </c>
      <c r="D94" s="4" t="s">
        <v>40</v>
      </c>
      <c r="E94" s="4" t="s">
        <v>25</v>
      </c>
      <c r="F94" s="4" t="s">
        <v>25</v>
      </c>
      <c r="G94" s="4" t="s">
        <v>25</v>
      </c>
      <c r="H94" s="4" t="s">
        <v>35</v>
      </c>
      <c r="I94" s="5">
        <v>43983</v>
      </c>
      <c r="J94" s="6">
        <v>21000</v>
      </c>
      <c r="K94" s="6">
        <v>21000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4" t="s">
        <v>60</v>
      </c>
      <c r="R94" s="4">
        <v>0</v>
      </c>
      <c r="S94" s="4" t="s">
        <v>127</v>
      </c>
      <c r="U94" s="4">
        <v>1</v>
      </c>
      <c r="V94" s="4">
        <v>0</v>
      </c>
      <c r="W94" s="4">
        <v>0</v>
      </c>
    </row>
    <row r="95" spans="1:23" ht="11.25" customHeight="1" x14ac:dyDescent="0.25">
      <c r="A95" s="4" t="s">
        <v>21</v>
      </c>
      <c r="B95" s="4" t="s">
        <v>43</v>
      </c>
      <c r="C95" s="4" t="s">
        <v>41</v>
      </c>
      <c r="D95" s="4" t="s">
        <v>40</v>
      </c>
      <c r="E95" s="4" t="s">
        <v>25</v>
      </c>
      <c r="F95" s="4" t="s">
        <v>25</v>
      </c>
      <c r="G95" s="4" t="s">
        <v>25</v>
      </c>
      <c r="H95" s="4" t="s">
        <v>35</v>
      </c>
      <c r="I95" s="5">
        <v>44013</v>
      </c>
      <c r="J95" s="6">
        <v>21000</v>
      </c>
      <c r="K95" s="6">
        <v>21000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4" t="s">
        <v>60</v>
      </c>
      <c r="R95" s="4">
        <v>0</v>
      </c>
      <c r="S95" s="4" t="s">
        <v>128</v>
      </c>
      <c r="U95" s="4">
        <v>1</v>
      </c>
      <c r="V95" s="4">
        <v>0</v>
      </c>
      <c r="W95" s="4">
        <v>0</v>
      </c>
    </row>
    <row r="96" spans="1:23" ht="11.25" customHeight="1" x14ac:dyDescent="0.25">
      <c r="A96" s="4" t="s">
        <v>21</v>
      </c>
      <c r="B96" s="4" t="s">
        <v>43</v>
      </c>
      <c r="C96" s="4" t="s">
        <v>41</v>
      </c>
      <c r="D96" s="4" t="s">
        <v>40</v>
      </c>
      <c r="E96" s="4" t="s">
        <v>25</v>
      </c>
      <c r="F96" s="4" t="s">
        <v>25</v>
      </c>
      <c r="G96" s="4" t="s">
        <v>25</v>
      </c>
      <c r="H96" s="4" t="s">
        <v>35</v>
      </c>
      <c r="I96" s="5">
        <v>44044</v>
      </c>
      <c r="J96" s="6">
        <v>21000</v>
      </c>
      <c r="K96" s="6">
        <v>21000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4" t="s">
        <v>60</v>
      </c>
      <c r="R96" s="4">
        <v>0</v>
      </c>
      <c r="S96" s="4" t="s">
        <v>129</v>
      </c>
      <c r="U96" s="4">
        <v>1</v>
      </c>
      <c r="V96" s="4">
        <v>0</v>
      </c>
      <c r="W96" s="4">
        <v>0</v>
      </c>
    </row>
    <row r="97" spans="1:23" ht="11.25" customHeight="1" x14ac:dyDescent="0.25">
      <c r="A97" s="4" t="s">
        <v>59</v>
      </c>
      <c r="B97" s="4" t="s">
        <v>43</v>
      </c>
      <c r="C97" s="4" t="s">
        <v>41</v>
      </c>
      <c r="D97" s="4" t="s">
        <v>40</v>
      </c>
      <c r="E97" s="4" t="s">
        <v>25</v>
      </c>
      <c r="F97" s="4" t="s">
        <v>25</v>
      </c>
      <c r="G97" s="4" t="s">
        <v>25</v>
      </c>
      <c r="H97" s="4" t="s">
        <v>35</v>
      </c>
      <c r="I97" s="5">
        <v>44075</v>
      </c>
      <c r="J97" s="6">
        <v>21000</v>
      </c>
      <c r="K97" s="6">
        <v>21000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4" t="s">
        <v>60</v>
      </c>
      <c r="R97" s="4">
        <v>0</v>
      </c>
      <c r="S97" s="4" t="s">
        <v>130</v>
      </c>
      <c r="U97" s="4">
        <v>1</v>
      </c>
      <c r="V97" s="4">
        <v>0</v>
      </c>
      <c r="W97" s="4">
        <v>0</v>
      </c>
    </row>
    <row r="98" spans="1:23" ht="11.25" customHeight="1" x14ac:dyDescent="0.25">
      <c r="A98" s="4" t="s">
        <v>21</v>
      </c>
      <c r="B98" s="4" t="s">
        <v>43</v>
      </c>
      <c r="C98" s="4" t="s">
        <v>41</v>
      </c>
      <c r="D98" s="4" t="s">
        <v>52</v>
      </c>
      <c r="E98" s="4" t="s">
        <v>53</v>
      </c>
      <c r="F98" s="4" t="s">
        <v>25</v>
      </c>
      <c r="G98" s="4" t="s">
        <v>25</v>
      </c>
      <c r="H98" s="4" t="s">
        <v>36</v>
      </c>
      <c r="I98" s="5">
        <v>43739</v>
      </c>
      <c r="J98" s="6">
        <v>18850</v>
      </c>
      <c r="K98" s="6">
        <v>16588</v>
      </c>
      <c r="L98" s="6">
        <v>8505.9789999999994</v>
      </c>
      <c r="M98" s="6">
        <v>7485.2615199999991</v>
      </c>
      <c r="N98" s="6">
        <v>8505.9789999999994</v>
      </c>
      <c r="O98" s="6">
        <v>7485.2615199999991</v>
      </c>
      <c r="P98" s="6">
        <v>0</v>
      </c>
      <c r="Q98" s="4" t="s">
        <v>26</v>
      </c>
      <c r="R98" s="4">
        <v>0</v>
      </c>
      <c r="S98" s="4" t="s">
        <v>107</v>
      </c>
      <c r="T98" s="4" t="s">
        <v>648</v>
      </c>
      <c r="U98" s="4">
        <v>2</v>
      </c>
      <c r="V98" s="4">
        <v>3</v>
      </c>
      <c r="W98" s="4">
        <v>78</v>
      </c>
    </row>
    <row r="99" spans="1:23" ht="11.25" customHeight="1" x14ac:dyDescent="0.25">
      <c r="A99" s="4" t="s">
        <v>21</v>
      </c>
      <c r="B99" s="4" t="s">
        <v>43</v>
      </c>
      <c r="C99" s="4" t="s">
        <v>41</v>
      </c>
      <c r="D99" s="4" t="s">
        <v>52</v>
      </c>
      <c r="E99" s="4" t="s">
        <v>53</v>
      </c>
      <c r="F99" s="4" t="s">
        <v>25</v>
      </c>
      <c r="G99" s="4" t="s">
        <v>25</v>
      </c>
      <c r="H99" s="4" t="s">
        <v>36</v>
      </c>
      <c r="I99" s="5">
        <v>43770</v>
      </c>
      <c r="J99" s="6">
        <v>18850</v>
      </c>
      <c r="K99" s="6">
        <v>16588</v>
      </c>
      <c r="L99" s="6">
        <v>8596.7639999999992</v>
      </c>
      <c r="M99" s="6">
        <v>7565.1523199999992</v>
      </c>
      <c r="N99" s="6">
        <v>8596.7639999999992</v>
      </c>
      <c r="O99" s="6">
        <v>7565.1523199999992</v>
      </c>
      <c r="P99" s="6">
        <v>0</v>
      </c>
      <c r="Q99" s="4" t="s">
        <v>26</v>
      </c>
      <c r="R99" s="4">
        <v>0</v>
      </c>
      <c r="S99" s="4" t="s">
        <v>108</v>
      </c>
      <c r="T99" s="4" t="s">
        <v>649</v>
      </c>
      <c r="U99" s="4">
        <v>2</v>
      </c>
      <c r="V99" s="4">
        <v>3</v>
      </c>
      <c r="W99" s="4">
        <v>78</v>
      </c>
    </row>
    <row r="100" spans="1:23" ht="11.25" customHeight="1" x14ac:dyDescent="0.25">
      <c r="A100" s="4" t="s">
        <v>21</v>
      </c>
      <c r="B100" s="4" t="s">
        <v>43</v>
      </c>
      <c r="C100" s="4" t="s">
        <v>41</v>
      </c>
      <c r="D100" s="4" t="s">
        <v>52</v>
      </c>
      <c r="E100" s="4" t="s">
        <v>53</v>
      </c>
      <c r="F100" s="4" t="s">
        <v>25</v>
      </c>
      <c r="G100" s="4" t="s">
        <v>25</v>
      </c>
      <c r="H100" s="4" t="s">
        <v>36</v>
      </c>
      <c r="I100" s="5">
        <v>43800</v>
      </c>
      <c r="J100" s="6">
        <v>18850</v>
      </c>
      <c r="K100" s="6">
        <v>16588</v>
      </c>
      <c r="L100" s="6">
        <v>8015.4359999999997</v>
      </c>
      <c r="M100" s="6">
        <v>7053.5836799999997</v>
      </c>
      <c r="N100" s="6">
        <v>8015.4359999999997</v>
      </c>
      <c r="O100" s="6">
        <v>7053.5836799999997</v>
      </c>
      <c r="P100" s="6">
        <v>0</v>
      </c>
      <c r="Q100" s="4" t="s">
        <v>26</v>
      </c>
      <c r="R100" s="4">
        <v>0</v>
      </c>
      <c r="S100" s="4" t="s">
        <v>109</v>
      </c>
      <c r="T100" s="4" t="s">
        <v>650</v>
      </c>
      <c r="U100" s="4">
        <v>2</v>
      </c>
      <c r="V100" s="4">
        <v>3</v>
      </c>
      <c r="W100" s="4">
        <v>78</v>
      </c>
    </row>
    <row r="101" spans="1:23" ht="11.25" customHeight="1" x14ac:dyDescent="0.25">
      <c r="A101" s="4" t="s">
        <v>21</v>
      </c>
      <c r="B101" s="4" t="s">
        <v>43</v>
      </c>
      <c r="C101" s="4" t="s">
        <v>41</v>
      </c>
      <c r="D101" s="4" t="s">
        <v>52</v>
      </c>
      <c r="E101" s="4" t="s">
        <v>53</v>
      </c>
      <c r="F101" s="4" t="s">
        <v>25</v>
      </c>
      <c r="G101" s="4" t="s">
        <v>25</v>
      </c>
      <c r="H101" s="4" t="s">
        <v>36</v>
      </c>
      <c r="I101" s="5">
        <v>43831</v>
      </c>
      <c r="J101" s="6">
        <v>18850</v>
      </c>
      <c r="K101" s="6">
        <v>16588</v>
      </c>
      <c r="L101" s="6">
        <v>8228.0519999999997</v>
      </c>
      <c r="M101" s="6">
        <v>7240.6857599999994</v>
      </c>
      <c r="N101" s="6">
        <v>8228.0519999999997</v>
      </c>
      <c r="O101" s="6">
        <v>7240.6857599999994</v>
      </c>
      <c r="P101" s="6">
        <v>0</v>
      </c>
      <c r="Q101" s="4" t="s">
        <v>26</v>
      </c>
      <c r="R101" s="4">
        <v>0</v>
      </c>
      <c r="S101" s="4" t="s">
        <v>110</v>
      </c>
      <c r="T101" s="4" t="s">
        <v>651</v>
      </c>
      <c r="U101" s="4">
        <v>2</v>
      </c>
      <c r="V101" s="4">
        <v>3</v>
      </c>
      <c r="W101" s="4">
        <v>78</v>
      </c>
    </row>
    <row r="102" spans="1:23" ht="11.25" customHeight="1" x14ac:dyDescent="0.25">
      <c r="A102" s="4" t="s">
        <v>21</v>
      </c>
      <c r="B102" s="4" t="s">
        <v>43</v>
      </c>
      <c r="C102" s="4" t="s">
        <v>41</v>
      </c>
      <c r="D102" s="4" t="s">
        <v>52</v>
      </c>
      <c r="E102" s="4" t="s">
        <v>53</v>
      </c>
      <c r="F102" s="4" t="s">
        <v>25</v>
      </c>
      <c r="G102" s="4" t="s">
        <v>25</v>
      </c>
      <c r="H102" s="4" t="s">
        <v>36</v>
      </c>
      <c r="I102" s="5">
        <v>43862</v>
      </c>
      <c r="J102" s="6">
        <v>18850</v>
      </c>
      <c r="K102" s="6">
        <v>16588</v>
      </c>
      <c r="L102" s="6">
        <v>8347.3130000000001</v>
      </c>
      <c r="M102" s="6">
        <v>7345.63544</v>
      </c>
      <c r="N102" s="6">
        <v>8347.3130000000001</v>
      </c>
      <c r="O102" s="6">
        <v>7345.63544</v>
      </c>
      <c r="P102" s="6">
        <v>0</v>
      </c>
      <c r="Q102" s="4" t="s">
        <v>26</v>
      </c>
      <c r="R102" s="4">
        <v>0</v>
      </c>
      <c r="S102" s="4" t="s">
        <v>111</v>
      </c>
      <c r="T102" s="4" t="s">
        <v>652</v>
      </c>
      <c r="U102" s="4">
        <v>2</v>
      </c>
      <c r="V102" s="4">
        <v>3</v>
      </c>
      <c r="W102" s="4">
        <v>78</v>
      </c>
    </row>
    <row r="103" spans="1:23" ht="11.25" customHeight="1" x14ac:dyDescent="0.25">
      <c r="A103" s="4" t="s">
        <v>21</v>
      </c>
      <c r="B103" s="4" t="s">
        <v>43</v>
      </c>
      <c r="C103" s="4" t="s">
        <v>41</v>
      </c>
      <c r="D103" s="4" t="s">
        <v>52</v>
      </c>
      <c r="E103" s="4" t="s">
        <v>53</v>
      </c>
      <c r="F103" s="4" t="s">
        <v>25</v>
      </c>
      <c r="G103" s="4" t="s">
        <v>25</v>
      </c>
      <c r="H103" s="4" t="s">
        <v>36</v>
      </c>
      <c r="I103" s="5">
        <v>43891</v>
      </c>
      <c r="J103" s="6">
        <v>18850</v>
      </c>
      <c r="K103" s="6">
        <v>16588</v>
      </c>
      <c r="L103" s="6">
        <v>7813.8</v>
      </c>
      <c r="M103" s="6">
        <v>6876.1440000000002</v>
      </c>
      <c r="N103" s="6">
        <v>7813.8</v>
      </c>
      <c r="O103" s="6">
        <v>6876.1440000000002</v>
      </c>
      <c r="P103" s="6">
        <v>0</v>
      </c>
      <c r="Q103" s="4" t="s">
        <v>26</v>
      </c>
      <c r="R103" s="4">
        <v>0</v>
      </c>
      <c r="S103" s="4" t="s">
        <v>112</v>
      </c>
      <c r="T103" s="4" t="s">
        <v>653</v>
      </c>
      <c r="U103" s="4">
        <v>2</v>
      </c>
      <c r="V103" s="4">
        <v>3</v>
      </c>
      <c r="W103" s="4">
        <v>78</v>
      </c>
    </row>
    <row r="104" spans="1:23" ht="11.25" customHeight="1" x14ac:dyDescent="0.25">
      <c r="A104" s="4" t="s">
        <v>21</v>
      </c>
      <c r="B104" s="4" t="s">
        <v>43</v>
      </c>
      <c r="C104" s="4" t="s">
        <v>41</v>
      </c>
      <c r="D104" s="4" t="s">
        <v>52</v>
      </c>
      <c r="E104" s="4" t="s">
        <v>53</v>
      </c>
      <c r="F104" s="4" t="s">
        <v>25</v>
      </c>
      <c r="G104" s="4" t="s">
        <v>25</v>
      </c>
      <c r="H104" s="4" t="s">
        <v>36</v>
      </c>
      <c r="I104" s="5">
        <v>43922</v>
      </c>
      <c r="J104" s="6">
        <v>18850</v>
      </c>
      <c r="K104" s="6">
        <v>16588</v>
      </c>
      <c r="L104" s="6">
        <v>8628.2279999999992</v>
      </c>
      <c r="M104" s="6">
        <v>7592.8406399999994</v>
      </c>
      <c r="N104" s="6">
        <v>8628.2279999999992</v>
      </c>
      <c r="O104" s="6">
        <v>7592.8406399999994</v>
      </c>
      <c r="P104" s="6">
        <v>0</v>
      </c>
      <c r="Q104" s="4" t="s">
        <v>26</v>
      </c>
      <c r="R104" s="4">
        <v>0</v>
      </c>
      <c r="S104" s="4" t="s">
        <v>113</v>
      </c>
      <c r="T104" s="4" t="s">
        <v>654</v>
      </c>
      <c r="U104" s="4">
        <v>2</v>
      </c>
      <c r="V104" s="4">
        <v>3</v>
      </c>
      <c r="W104" s="4">
        <v>78</v>
      </c>
    </row>
    <row r="105" spans="1:23" ht="11.25" customHeight="1" x14ac:dyDescent="0.25">
      <c r="A105" s="4" t="s">
        <v>21</v>
      </c>
      <c r="B105" s="4" t="s">
        <v>43</v>
      </c>
      <c r="C105" s="4" t="s">
        <v>41</v>
      </c>
      <c r="D105" s="4" t="s">
        <v>52</v>
      </c>
      <c r="E105" s="4" t="s">
        <v>53</v>
      </c>
      <c r="F105" s="4" t="s">
        <v>25</v>
      </c>
      <c r="G105" s="4" t="s">
        <v>25</v>
      </c>
      <c r="H105" s="4" t="s">
        <v>36</v>
      </c>
      <c r="I105" s="5">
        <v>43952</v>
      </c>
      <c r="J105" s="6">
        <v>18850</v>
      </c>
      <c r="K105" s="6">
        <v>16588</v>
      </c>
      <c r="L105" s="6">
        <v>8050.3339999999998</v>
      </c>
      <c r="M105" s="6">
        <v>7084.2939200000001</v>
      </c>
      <c r="N105" s="6">
        <v>8050.3339999999998</v>
      </c>
      <c r="O105" s="6">
        <v>7084.2939200000001</v>
      </c>
      <c r="P105" s="6">
        <v>0</v>
      </c>
      <c r="Q105" s="4" t="s">
        <v>26</v>
      </c>
      <c r="R105" s="4">
        <v>0</v>
      </c>
      <c r="S105" s="4" t="s">
        <v>114</v>
      </c>
      <c r="T105" s="4" t="s">
        <v>655</v>
      </c>
      <c r="U105" s="4">
        <v>2</v>
      </c>
      <c r="V105" s="4">
        <v>3</v>
      </c>
      <c r="W105" s="4">
        <v>78</v>
      </c>
    </row>
    <row r="106" spans="1:23" ht="11.25" customHeight="1" x14ac:dyDescent="0.25">
      <c r="A106" s="4" t="s">
        <v>21</v>
      </c>
      <c r="B106" s="4" t="s">
        <v>43</v>
      </c>
      <c r="C106" s="4" t="s">
        <v>41</v>
      </c>
      <c r="D106" s="4" t="s">
        <v>52</v>
      </c>
      <c r="E106" s="4" t="s">
        <v>53</v>
      </c>
      <c r="F106" s="4" t="s">
        <v>25</v>
      </c>
      <c r="G106" s="4" t="s">
        <v>25</v>
      </c>
      <c r="H106" s="4" t="s">
        <v>36</v>
      </c>
      <c r="I106" s="5">
        <v>43983</v>
      </c>
      <c r="J106" s="6">
        <v>18850</v>
      </c>
      <c r="K106" s="6">
        <v>16588</v>
      </c>
      <c r="L106" s="6">
        <v>8458.0339999999997</v>
      </c>
      <c r="M106" s="6">
        <v>7443.0699199999999</v>
      </c>
      <c r="N106" s="6">
        <v>8458.0339999999997</v>
      </c>
      <c r="O106" s="6">
        <v>7443.0699199999999</v>
      </c>
      <c r="P106" s="6">
        <v>0</v>
      </c>
      <c r="Q106" s="4" t="s">
        <v>26</v>
      </c>
      <c r="R106" s="4">
        <v>0</v>
      </c>
      <c r="S106" s="4" t="s">
        <v>115</v>
      </c>
      <c r="T106" s="4" t="s">
        <v>656</v>
      </c>
      <c r="U106" s="4">
        <v>2</v>
      </c>
      <c r="V106" s="4">
        <v>3</v>
      </c>
      <c r="W106" s="4">
        <v>78</v>
      </c>
    </row>
    <row r="107" spans="1:23" ht="11.25" customHeight="1" x14ac:dyDescent="0.25">
      <c r="A107" s="4" t="s">
        <v>21</v>
      </c>
      <c r="B107" s="4" t="s">
        <v>43</v>
      </c>
      <c r="C107" s="4" t="s">
        <v>41</v>
      </c>
      <c r="D107" s="4" t="s">
        <v>52</v>
      </c>
      <c r="E107" s="4" t="s">
        <v>53</v>
      </c>
      <c r="F107" s="4" t="s">
        <v>25</v>
      </c>
      <c r="G107" s="4" t="s">
        <v>25</v>
      </c>
      <c r="H107" s="4" t="s">
        <v>36</v>
      </c>
      <c r="I107" s="5">
        <v>44013</v>
      </c>
      <c r="J107" s="6">
        <v>18850</v>
      </c>
      <c r="K107" s="6">
        <v>16588</v>
      </c>
      <c r="L107" s="6">
        <v>8418.7369999999992</v>
      </c>
      <c r="M107" s="6">
        <v>7408.4885599999989</v>
      </c>
      <c r="N107" s="6">
        <v>8418.7369999999992</v>
      </c>
      <c r="O107" s="6">
        <v>7408.4885599999989</v>
      </c>
      <c r="P107" s="6">
        <v>0</v>
      </c>
      <c r="Q107" s="4" t="s">
        <v>26</v>
      </c>
      <c r="R107" s="4">
        <v>0</v>
      </c>
      <c r="S107" s="4" t="s">
        <v>116</v>
      </c>
      <c r="T107" s="4" t="s">
        <v>657</v>
      </c>
      <c r="U107" s="4">
        <v>2</v>
      </c>
      <c r="V107" s="4">
        <v>3</v>
      </c>
      <c r="W107" s="4">
        <v>78</v>
      </c>
    </row>
    <row r="108" spans="1:23" ht="11.25" customHeight="1" x14ac:dyDescent="0.25">
      <c r="A108" s="4" t="s">
        <v>21</v>
      </c>
      <c r="B108" s="4" t="s">
        <v>43</v>
      </c>
      <c r="C108" s="4" t="s">
        <v>41</v>
      </c>
      <c r="D108" s="4" t="s">
        <v>52</v>
      </c>
      <c r="E108" s="4" t="s">
        <v>53</v>
      </c>
      <c r="F108" s="4" t="s">
        <v>25</v>
      </c>
      <c r="G108" s="4" t="s">
        <v>25</v>
      </c>
      <c r="H108" s="4" t="s">
        <v>36</v>
      </c>
      <c r="I108" s="5">
        <v>44044</v>
      </c>
      <c r="J108" s="6">
        <v>18850</v>
      </c>
      <c r="K108" s="6">
        <v>16588</v>
      </c>
      <c r="L108" s="6">
        <v>8998.4449999999997</v>
      </c>
      <c r="M108" s="6">
        <v>7918.6315999999997</v>
      </c>
      <c r="N108" s="6">
        <v>8998.4449999999997</v>
      </c>
      <c r="O108" s="6">
        <v>7918.6315999999997</v>
      </c>
      <c r="P108" s="6">
        <v>0</v>
      </c>
      <c r="Q108" s="4" t="s">
        <v>26</v>
      </c>
      <c r="R108" s="4">
        <v>0</v>
      </c>
      <c r="S108" s="4" t="s">
        <v>117</v>
      </c>
      <c r="T108" s="4" t="s">
        <v>658</v>
      </c>
      <c r="U108" s="4">
        <v>2</v>
      </c>
      <c r="V108" s="4">
        <v>3</v>
      </c>
      <c r="W108" s="4">
        <v>78</v>
      </c>
    </row>
    <row r="109" spans="1:23" ht="11.25" customHeight="1" x14ac:dyDescent="0.25">
      <c r="A109" s="4" t="s">
        <v>59</v>
      </c>
      <c r="B109" s="4" t="s">
        <v>43</v>
      </c>
      <c r="C109" s="4" t="s">
        <v>41</v>
      </c>
      <c r="D109" s="4" t="s">
        <v>52</v>
      </c>
      <c r="E109" s="4" t="s">
        <v>53</v>
      </c>
      <c r="F109" s="4" t="s">
        <v>25</v>
      </c>
      <c r="G109" s="4" t="s">
        <v>25</v>
      </c>
      <c r="H109" s="4" t="s">
        <v>36</v>
      </c>
      <c r="I109" s="5">
        <v>44075</v>
      </c>
      <c r="J109" s="6">
        <v>18850</v>
      </c>
      <c r="K109" s="6">
        <v>16588</v>
      </c>
      <c r="L109" s="6">
        <v>8998.4449999999997</v>
      </c>
      <c r="M109" s="6">
        <v>7918.6315999999997</v>
      </c>
      <c r="N109" s="6">
        <v>8998.4449999999997</v>
      </c>
      <c r="O109" s="6">
        <v>7918.6315999999997</v>
      </c>
      <c r="P109" s="6">
        <v>0</v>
      </c>
      <c r="Q109" s="4" t="s">
        <v>26</v>
      </c>
      <c r="R109" s="4">
        <v>0</v>
      </c>
      <c r="S109" s="4" t="s">
        <v>118</v>
      </c>
      <c r="T109" s="4" t="s">
        <v>659</v>
      </c>
      <c r="U109" s="4">
        <v>2</v>
      </c>
      <c r="V109" s="4">
        <v>3</v>
      </c>
      <c r="W109" s="4">
        <v>78</v>
      </c>
    </row>
    <row r="110" spans="1:23" ht="11.25" customHeight="1" x14ac:dyDescent="0.25">
      <c r="A110" s="4" t="s">
        <v>21</v>
      </c>
      <c r="B110" s="4" t="s">
        <v>43</v>
      </c>
      <c r="C110" s="4" t="s">
        <v>41</v>
      </c>
      <c r="D110" s="4" t="s">
        <v>52</v>
      </c>
      <c r="E110" s="4" t="s">
        <v>53</v>
      </c>
      <c r="F110" s="4" t="s">
        <v>25</v>
      </c>
      <c r="G110" s="4" t="s">
        <v>25</v>
      </c>
      <c r="H110" s="4" t="s">
        <v>35</v>
      </c>
      <c r="I110" s="5">
        <v>43739</v>
      </c>
      <c r="J110" s="6">
        <v>8035</v>
      </c>
      <c r="K110" s="6">
        <v>7070.8</v>
      </c>
      <c r="L110" s="6">
        <v>522.92200000000003</v>
      </c>
      <c r="M110" s="6">
        <v>460.17136000000005</v>
      </c>
      <c r="N110" s="6">
        <v>522.92200000000003</v>
      </c>
      <c r="O110" s="6">
        <v>460.17136000000005</v>
      </c>
      <c r="P110" s="6">
        <v>0</v>
      </c>
      <c r="Q110" s="4" t="s">
        <v>26</v>
      </c>
      <c r="R110" s="4">
        <v>0</v>
      </c>
      <c r="S110" s="4" t="s">
        <v>119</v>
      </c>
      <c r="T110" s="4" t="s">
        <v>660</v>
      </c>
      <c r="U110" s="4">
        <v>1</v>
      </c>
      <c r="V110" s="4">
        <v>3</v>
      </c>
      <c r="W110" s="4">
        <v>77</v>
      </c>
    </row>
    <row r="111" spans="1:23" ht="11.25" customHeight="1" x14ac:dyDescent="0.25">
      <c r="A111" s="4" t="s">
        <v>21</v>
      </c>
      <c r="B111" s="4" t="s">
        <v>43</v>
      </c>
      <c r="C111" s="4" t="s">
        <v>41</v>
      </c>
      <c r="D111" s="4" t="s">
        <v>52</v>
      </c>
      <c r="E111" s="4" t="s">
        <v>53</v>
      </c>
      <c r="F111" s="4" t="s">
        <v>25</v>
      </c>
      <c r="G111" s="4" t="s">
        <v>25</v>
      </c>
      <c r="H111" s="4" t="s">
        <v>35</v>
      </c>
      <c r="I111" s="5">
        <v>43770</v>
      </c>
      <c r="J111" s="6">
        <v>8006</v>
      </c>
      <c r="K111" s="6">
        <v>7045.28</v>
      </c>
      <c r="L111" s="6">
        <v>501.50900000000001</v>
      </c>
      <c r="M111" s="6">
        <v>441.32792000000001</v>
      </c>
      <c r="N111" s="6">
        <v>501.50900000000001</v>
      </c>
      <c r="O111" s="6">
        <v>441.32792000000001</v>
      </c>
      <c r="P111" s="6">
        <v>0</v>
      </c>
      <c r="Q111" s="4" t="s">
        <v>26</v>
      </c>
      <c r="R111" s="4">
        <v>0</v>
      </c>
      <c r="S111" s="4" t="s">
        <v>120</v>
      </c>
      <c r="T111" s="4" t="s">
        <v>661</v>
      </c>
      <c r="U111" s="4">
        <v>1</v>
      </c>
      <c r="V111" s="4">
        <v>3</v>
      </c>
      <c r="W111" s="4">
        <v>77</v>
      </c>
    </row>
    <row r="112" spans="1:23" ht="11.25" customHeight="1" x14ac:dyDescent="0.25">
      <c r="A112" s="4" t="s">
        <v>21</v>
      </c>
      <c r="B112" s="4" t="s">
        <v>43</v>
      </c>
      <c r="C112" s="4" t="s">
        <v>41</v>
      </c>
      <c r="D112" s="4" t="s">
        <v>52</v>
      </c>
      <c r="E112" s="4" t="s">
        <v>53</v>
      </c>
      <c r="F112" s="4" t="s">
        <v>25</v>
      </c>
      <c r="G112" s="4" t="s">
        <v>25</v>
      </c>
      <c r="H112" s="4" t="s">
        <v>35</v>
      </c>
      <c r="I112" s="5">
        <v>43800</v>
      </c>
      <c r="J112" s="6">
        <v>8035</v>
      </c>
      <c r="K112" s="6">
        <v>7070.8</v>
      </c>
      <c r="L112" s="6">
        <v>498.63600000000002</v>
      </c>
      <c r="M112" s="6">
        <v>438.79968000000002</v>
      </c>
      <c r="N112" s="6">
        <v>498.63600000000002</v>
      </c>
      <c r="O112" s="6">
        <v>438.79968000000002</v>
      </c>
      <c r="P112" s="6">
        <v>0</v>
      </c>
      <c r="Q112" s="4" t="s">
        <v>26</v>
      </c>
      <c r="R112" s="4">
        <v>0</v>
      </c>
      <c r="S112" s="4" t="s">
        <v>121</v>
      </c>
      <c r="T112" s="4" t="s">
        <v>662</v>
      </c>
      <c r="U112" s="4">
        <v>1</v>
      </c>
      <c r="V112" s="4">
        <v>3</v>
      </c>
      <c r="W112" s="4">
        <v>77</v>
      </c>
    </row>
    <row r="113" spans="1:23" ht="11.25" customHeight="1" x14ac:dyDescent="0.25">
      <c r="A113" s="4" t="s">
        <v>21</v>
      </c>
      <c r="B113" s="4" t="s">
        <v>43</v>
      </c>
      <c r="C113" s="4" t="s">
        <v>41</v>
      </c>
      <c r="D113" s="4" t="s">
        <v>52</v>
      </c>
      <c r="E113" s="4" t="s">
        <v>53</v>
      </c>
      <c r="F113" s="4" t="s">
        <v>25</v>
      </c>
      <c r="G113" s="4" t="s">
        <v>25</v>
      </c>
      <c r="H113" s="4" t="s">
        <v>35</v>
      </c>
      <c r="I113" s="5">
        <v>43831</v>
      </c>
      <c r="J113" s="6">
        <v>8035</v>
      </c>
      <c r="K113" s="6">
        <v>7070.8</v>
      </c>
      <c r="L113" s="6">
        <v>474.12700000000001</v>
      </c>
      <c r="M113" s="6">
        <v>417.23176000000001</v>
      </c>
      <c r="N113" s="6">
        <v>474.12700000000001</v>
      </c>
      <c r="O113" s="6">
        <v>417.23176000000001</v>
      </c>
      <c r="P113" s="6">
        <v>0</v>
      </c>
      <c r="Q113" s="4" t="s">
        <v>26</v>
      </c>
      <c r="R113" s="4">
        <v>0</v>
      </c>
      <c r="S113" s="4" t="s">
        <v>122</v>
      </c>
      <c r="T113" s="4" t="s">
        <v>663</v>
      </c>
      <c r="U113" s="4">
        <v>1</v>
      </c>
      <c r="V113" s="4">
        <v>3</v>
      </c>
      <c r="W113" s="4">
        <v>77</v>
      </c>
    </row>
    <row r="114" spans="1:23" ht="11.25" customHeight="1" x14ac:dyDescent="0.25">
      <c r="A114" s="4" t="s">
        <v>21</v>
      </c>
      <c r="B114" s="4" t="s">
        <v>43</v>
      </c>
      <c r="C114" s="4" t="s">
        <v>41</v>
      </c>
      <c r="D114" s="4" t="s">
        <v>52</v>
      </c>
      <c r="E114" s="4" t="s">
        <v>53</v>
      </c>
      <c r="F114" s="4" t="s">
        <v>25</v>
      </c>
      <c r="G114" s="4" t="s">
        <v>25</v>
      </c>
      <c r="H114" s="4" t="s">
        <v>35</v>
      </c>
      <c r="I114" s="5">
        <v>43862</v>
      </c>
      <c r="J114" s="6">
        <v>8006</v>
      </c>
      <c r="K114" s="6">
        <v>7045.28</v>
      </c>
      <c r="L114" s="6">
        <v>525.01</v>
      </c>
      <c r="M114" s="6">
        <v>462.00880000000001</v>
      </c>
      <c r="N114" s="6">
        <v>525.01</v>
      </c>
      <c r="O114" s="6">
        <v>462.00880000000001</v>
      </c>
      <c r="P114" s="6">
        <v>0</v>
      </c>
      <c r="Q114" s="4" t="s">
        <v>26</v>
      </c>
      <c r="R114" s="4">
        <v>0</v>
      </c>
      <c r="S114" s="4" t="s">
        <v>123</v>
      </c>
      <c r="T114" s="4" t="s">
        <v>664</v>
      </c>
      <c r="U114" s="4">
        <v>1</v>
      </c>
      <c r="V114" s="4">
        <v>3</v>
      </c>
      <c r="W114" s="4">
        <v>77</v>
      </c>
    </row>
    <row r="115" spans="1:23" ht="11.25" customHeight="1" x14ac:dyDescent="0.25">
      <c r="A115" s="4" t="s">
        <v>21</v>
      </c>
      <c r="B115" s="4" t="s">
        <v>43</v>
      </c>
      <c r="C115" s="4" t="s">
        <v>41</v>
      </c>
      <c r="D115" s="4" t="s">
        <v>52</v>
      </c>
      <c r="E115" s="4" t="s">
        <v>53</v>
      </c>
      <c r="F115" s="4" t="s">
        <v>25</v>
      </c>
      <c r="G115" s="4" t="s">
        <v>25</v>
      </c>
      <c r="H115" s="4" t="s">
        <v>35</v>
      </c>
      <c r="I115" s="5">
        <v>43891</v>
      </c>
      <c r="J115" s="6">
        <v>8006</v>
      </c>
      <c r="K115" s="6">
        <v>7045.28</v>
      </c>
      <c r="L115" s="6">
        <v>476.863</v>
      </c>
      <c r="M115" s="6">
        <v>419.63943999999998</v>
      </c>
      <c r="N115" s="6">
        <v>476.863</v>
      </c>
      <c r="O115" s="6">
        <v>419.63943999999998</v>
      </c>
      <c r="P115" s="6">
        <v>0</v>
      </c>
      <c r="Q115" s="4" t="s">
        <v>26</v>
      </c>
      <c r="R115" s="4">
        <v>0</v>
      </c>
      <c r="S115" s="4" t="s">
        <v>124</v>
      </c>
      <c r="T115" s="4" t="s">
        <v>665</v>
      </c>
      <c r="U115" s="4">
        <v>1</v>
      </c>
      <c r="V115" s="4">
        <v>3</v>
      </c>
      <c r="W115" s="4">
        <v>77</v>
      </c>
    </row>
    <row r="116" spans="1:23" ht="11.25" customHeight="1" x14ac:dyDescent="0.25">
      <c r="A116" s="4" t="s">
        <v>21</v>
      </c>
      <c r="B116" s="4" t="s">
        <v>43</v>
      </c>
      <c r="C116" s="4" t="s">
        <v>41</v>
      </c>
      <c r="D116" s="4" t="s">
        <v>52</v>
      </c>
      <c r="E116" s="4" t="s">
        <v>53</v>
      </c>
      <c r="F116" s="4" t="s">
        <v>25</v>
      </c>
      <c r="G116" s="4" t="s">
        <v>25</v>
      </c>
      <c r="H116" s="4" t="s">
        <v>35</v>
      </c>
      <c r="I116" s="5">
        <v>43922</v>
      </c>
      <c r="J116" s="6">
        <v>8006</v>
      </c>
      <c r="K116" s="6">
        <v>7045.28</v>
      </c>
      <c r="L116" s="6">
        <v>501.44400000000002</v>
      </c>
      <c r="M116" s="6">
        <v>441.27072000000004</v>
      </c>
      <c r="N116" s="6">
        <v>501.44400000000002</v>
      </c>
      <c r="O116" s="6">
        <v>441.27072000000004</v>
      </c>
      <c r="P116" s="6">
        <v>0</v>
      </c>
      <c r="Q116" s="4" t="s">
        <v>26</v>
      </c>
      <c r="R116" s="4">
        <v>0</v>
      </c>
      <c r="S116" s="4" t="s">
        <v>125</v>
      </c>
      <c r="T116" s="4" t="s">
        <v>666</v>
      </c>
      <c r="U116" s="4">
        <v>1</v>
      </c>
      <c r="V116" s="4">
        <v>3</v>
      </c>
      <c r="W116" s="4">
        <v>77</v>
      </c>
    </row>
    <row r="117" spans="1:23" ht="11.25" customHeight="1" x14ac:dyDescent="0.25">
      <c r="A117" s="4" t="s">
        <v>21</v>
      </c>
      <c r="B117" s="4" t="s">
        <v>43</v>
      </c>
      <c r="C117" s="4" t="s">
        <v>41</v>
      </c>
      <c r="D117" s="4" t="s">
        <v>52</v>
      </c>
      <c r="E117" s="4" t="s">
        <v>53</v>
      </c>
      <c r="F117" s="4" t="s">
        <v>25</v>
      </c>
      <c r="G117" s="4" t="s">
        <v>25</v>
      </c>
      <c r="H117" s="4" t="s">
        <v>35</v>
      </c>
      <c r="I117" s="5">
        <v>43952</v>
      </c>
      <c r="J117" s="6">
        <v>8006</v>
      </c>
      <c r="K117" s="6">
        <v>7045.28</v>
      </c>
      <c r="L117" s="6">
        <v>453.55700000000002</v>
      </c>
      <c r="M117" s="6">
        <v>399.13015999999999</v>
      </c>
      <c r="N117" s="6">
        <v>453.55700000000002</v>
      </c>
      <c r="O117" s="6">
        <v>399.13015999999999</v>
      </c>
      <c r="P117" s="6">
        <v>0</v>
      </c>
      <c r="Q117" s="4" t="s">
        <v>26</v>
      </c>
      <c r="R117" s="4">
        <v>0</v>
      </c>
      <c r="S117" s="4" t="s">
        <v>126</v>
      </c>
      <c r="T117" s="4" t="s">
        <v>667</v>
      </c>
      <c r="U117" s="4">
        <v>1</v>
      </c>
      <c r="V117" s="4">
        <v>3</v>
      </c>
      <c r="W117" s="4">
        <v>77</v>
      </c>
    </row>
    <row r="118" spans="1:23" ht="11.25" customHeight="1" x14ac:dyDescent="0.25">
      <c r="A118" s="4" t="s">
        <v>21</v>
      </c>
      <c r="B118" s="4" t="s">
        <v>43</v>
      </c>
      <c r="C118" s="4" t="s">
        <v>41</v>
      </c>
      <c r="D118" s="4" t="s">
        <v>52</v>
      </c>
      <c r="E118" s="4" t="s">
        <v>53</v>
      </c>
      <c r="F118" s="4" t="s">
        <v>25</v>
      </c>
      <c r="G118" s="4" t="s">
        <v>25</v>
      </c>
      <c r="H118" s="4" t="s">
        <v>35</v>
      </c>
      <c r="I118" s="5">
        <v>43983</v>
      </c>
      <c r="J118" s="6">
        <v>8000</v>
      </c>
      <c r="K118" s="6">
        <v>7040</v>
      </c>
      <c r="L118" s="6">
        <v>524.23900000000003</v>
      </c>
      <c r="M118" s="6">
        <v>461.33032000000003</v>
      </c>
      <c r="N118" s="6">
        <v>524.23900000000003</v>
      </c>
      <c r="O118" s="6">
        <v>461.33032000000003</v>
      </c>
      <c r="P118" s="6">
        <v>0</v>
      </c>
      <c r="Q118" s="4" t="s">
        <v>26</v>
      </c>
      <c r="R118" s="4">
        <v>0</v>
      </c>
      <c r="S118" s="4" t="s">
        <v>127</v>
      </c>
      <c r="T118" s="4" t="s">
        <v>668</v>
      </c>
      <c r="U118" s="4">
        <v>1</v>
      </c>
      <c r="V118" s="4">
        <v>3</v>
      </c>
      <c r="W118" s="4">
        <v>77</v>
      </c>
    </row>
    <row r="119" spans="1:23" ht="11.25" customHeight="1" x14ac:dyDescent="0.25">
      <c r="A119" s="4" t="s">
        <v>21</v>
      </c>
      <c r="B119" s="4" t="s">
        <v>43</v>
      </c>
      <c r="C119" s="4" t="s">
        <v>41</v>
      </c>
      <c r="D119" s="4" t="s">
        <v>52</v>
      </c>
      <c r="E119" s="4" t="s">
        <v>53</v>
      </c>
      <c r="F119" s="4" t="s">
        <v>25</v>
      </c>
      <c r="G119" s="4" t="s">
        <v>25</v>
      </c>
      <c r="H119" s="4" t="s">
        <v>35</v>
      </c>
      <c r="I119" s="5">
        <v>44013</v>
      </c>
      <c r="J119" s="6">
        <v>8006</v>
      </c>
      <c r="K119" s="6">
        <v>7045.28</v>
      </c>
      <c r="L119" s="6">
        <v>499.96100000000001</v>
      </c>
      <c r="M119" s="6">
        <v>439.96568000000002</v>
      </c>
      <c r="N119" s="6">
        <v>499.96100000000001</v>
      </c>
      <c r="O119" s="6">
        <v>439.96568000000002</v>
      </c>
      <c r="P119" s="6">
        <v>0</v>
      </c>
      <c r="Q119" s="4" t="s">
        <v>26</v>
      </c>
      <c r="R119" s="4">
        <v>0</v>
      </c>
      <c r="S119" s="4" t="s">
        <v>128</v>
      </c>
      <c r="T119" s="4" t="s">
        <v>669</v>
      </c>
      <c r="U119" s="4">
        <v>1</v>
      </c>
      <c r="V119" s="4">
        <v>3</v>
      </c>
      <c r="W119" s="4">
        <v>77</v>
      </c>
    </row>
    <row r="120" spans="1:23" ht="11.25" customHeight="1" x14ac:dyDescent="0.25">
      <c r="A120" s="4" t="s">
        <v>21</v>
      </c>
      <c r="B120" s="4" t="s">
        <v>43</v>
      </c>
      <c r="C120" s="4" t="s">
        <v>41</v>
      </c>
      <c r="D120" s="4" t="s">
        <v>52</v>
      </c>
      <c r="E120" s="4" t="s">
        <v>53</v>
      </c>
      <c r="F120" s="4" t="s">
        <v>25</v>
      </c>
      <c r="G120" s="4" t="s">
        <v>25</v>
      </c>
      <c r="H120" s="4" t="s">
        <v>35</v>
      </c>
      <c r="I120" s="5">
        <v>44044</v>
      </c>
      <c r="J120" s="6">
        <v>8006</v>
      </c>
      <c r="K120" s="6">
        <v>7045.28</v>
      </c>
      <c r="L120" s="6">
        <v>520.99900000000002</v>
      </c>
      <c r="M120" s="6">
        <v>458.47912000000002</v>
      </c>
      <c r="N120" s="6">
        <v>520.99900000000002</v>
      </c>
      <c r="O120" s="6">
        <v>458.47912000000002</v>
      </c>
      <c r="P120" s="6">
        <v>0</v>
      </c>
      <c r="Q120" s="4" t="s">
        <v>26</v>
      </c>
      <c r="R120" s="4">
        <v>0</v>
      </c>
      <c r="S120" s="4" t="s">
        <v>129</v>
      </c>
      <c r="T120" s="4" t="s">
        <v>670</v>
      </c>
      <c r="U120" s="4">
        <v>1</v>
      </c>
      <c r="V120" s="4">
        <v>3</v>
      </c>
      <c r="W120" s="4">
        <v>77</v>
      </c>
    </row>
    <row r="121" spans="1:23" ht="11.25" customHeight="1" x14ac:dyDescent="0.25">
      <c r="A121" s="4" t="s">
        <v>59</v>
      </c>
      <c r="B121" s="4" t="s">
        <v>43</v>
      </c>
      <c r="C121" s="4" t="s">
        <v>41</v>
      </c>
      <c r="D121" s="4" t="s">
        <v>52</v>
      </c>
      <c r="E121" s="4" t="s">
        <v>53</v>
      </c>
      <c r="F121" s="4" t="s">
        <v>25</v>
      </c>
      <c r="G121" s="4" t="s">
        <v>25</v>
      </c>
      <c r="H121" s="4" t="s">
        <v>35</v>
      </c>
      <c r="I121" s="5">
        <v>44075</v>
      </c>
      <c r="J121" s="6">
        <v>8006</v>
      </c>
      <c r="K121" s="6">
        <v>7045.28</v>
      </c>
      <c r="L121" s="6">
        <v>520.99900000000002</v>
      </c>
      <c r="M121" s="6">
        <v>458.47912000000002</v>
      </c>
      <c r="N121" s="6">
        <v>520.99900000000002</v>
      </c>
      <c r="O121" s="6">
        <v>458.47912000000002</v>
      </c>
      <c r="P121" s="6">
        <v>0</v>
      </c>
      <c r="Q121" s="4" t="s">
        <v>26</v>
      </c>
      <c r="R121" s="4">
        <v>0</v>
      </c>
      <c r="S121" s="4" t="s">
        <v>130</v>
      </c>
      <c r="T121" s="4" t="s">
        <v>671</v>
      </c>
      <c r="U121" s="4">
        <v>1</v>
      </c>
      <c r="V121" s="4">
        <v>3</v>
      </c>
      <c r="W121" s="4">
        <v>77</v>
      </c>
    </row>
    <row r="122" spans="1:23" ht="11.25" customHeight="1" x14ac:dyDescent="0.25">
      <c r="A122" s="4" t="s">
        <v>21</v>
      </c>
      <c r="B122" s="4" t="s">
        <v>43</v>
      </c>
      <c r="C122" s="4" t="s">
        <v>67</v>
      </c>
      <c r="D122" s="4" t="s">
        <v>25</v>
      </c>
      <c r="E122" s="4" t="s">
        <v>25</v>
      </c>
      <c r="F122" s="4" t="s">
        <v>25</v>
      </c>
      <c r="G122" s="4" t="s">
        <v>68</v>
      </c>
      <c r="H122" s="4" t="s">
        <v>36</v>
      </c>
      <c r="I122" s="5">
        <v>43739</v>
      </c>
      <c r="J122" s="6">
        <v>62639</v>
      </c>
      <c r="K122" s="6">
        <v>62639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4" t="s">
        <v>69</v>
      </c>
      <c r="R122" s="4">
        <v>6072</v>
      </c>
      <c r="S122" s="4" t="s">
        <v>155</v>
      </c>
      <c r="U122" s="4">
        <v>6</v>
      </c>
      <c r="V122" s="4">
        <v>0</v>
      </c>
      <c r="W122" s="4">
        <v>0</v>
      </c>
    </row>
    <row r="123" spans="1:23" ht="11.25" customHeight="1" x14ac:dyDescent="0.25">
      <c r="A123" s="4" t="s">
        <v>21</v>
      </c>
      <c r="B123" s="4" t="s">
        <v>43</v>
      </c>
      <c r="C123" s="4" t="s">
        <v>67</v>
      </c>
      <c r="D123" s="4" t="s">
        <v>25</v>
      </c>
      <c r="E123" s="4" t="s">
        <v>25</v>
      </c>
      <c r="F123" s="4" t="s">
        <v>25</v>
      </c>
      <c r="G123" s="4" t="s">
        <v>68</v>
      </c>
      <c r="H123" s="4" t="s">
        <v>36</v>
      </c>
      <c r="I123" s="5">
        <v>43770</v>
      </c>
      <c r="J123" s="6">
        <v>62639</v>
      </c>
      <c r="K123" s="6">
        <v>62639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4" t="s">
        <v>69</v>
      </c>
      <c r="R123" s="4">
        <v>6072</v>
      </c>
      <c r="S123" s="4" t="s">
        <v>156</v>
      </c>
      <c r="U123" s="4">
        <v>6</v>
      </c>
      <c r="V123" s="4">
        <v>0</v>
      </c>
      <c r="W123" s="4">
        <v>0</v>
      </c>
    </row>
    <row r="124" spans="1:23" ht="11.25" customHeight="1" x14ac:dyDescent="0.25">
      <c r="A124" s="4" t="s">
        <v>21</v>
      </c>
      <c r="B124" s="4" t="s">
        <v>43</v>
      </c>
      <c r="C124" s="4" t="s">
        <v>67</v>
      </c>
      <c r="D124" s="4" t="s">
        <v>25</v>
      </c>
      <c r="E124" s="4" t="s">
        <v>25</v>
      </c>
      <c r="F124" s="4" t="s">
        <v>25</v>
      </c>
      <c r="G124" s="4" t="s">
        <v>68</v>
      </c>
      <c r="H124" s="4" t="s">
        <v>36</v>
      </c>
      <c r="I124" s="5">
        <v>43800</v>
      </c>
      <c r="J124" s="6">
        <v>62639</v>
      </c>
      <c r="K124" s="6">
        <v>62639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4" t="s">
        <v>69</v>
      </c>
      <c r="R124" s="4">
        <v>6072</v>
      </c>
      <c r="S124" s="4" t="s">
        <v>157</v>
      </c>
      <c r="U124" s="4">
        <v>6</v>
      </c>
      <c r="V124" s="4">
        <v>0</v>
      </c>
      <c r="W124" s="4">
        <v>0</v>
      </c>
    </row>
    <row r="125" spans="1:23" ht="11.25" customHeight="1" x14ac:dyDescent="0.25">
      <c r="A125" s="4" t="s">
        <v>21</v>
      </c>
      <c r="B125" s="4" t="s">
        <v>43</v>
      </c>
      <c r="C125" s="4" t="s">
        <v>67</v>
      </c>
      <c r="D125" s="4" t="s">
        <v>25</v>
      </c>
      <c r="E125" s="4" t="s">
        <v>25</v>
      </c>
      <c r="F125" s="4" t="s">
        <v>25</v>
      </c>
      <c r="G125" s="4" t="s">
        <v>68</v>
      </c>
      <c r="H125" s="4" t="s">
        <v>36</v>
      </c>
      <c r="I125" s="5">
        <v>43831</v>
      </c>
      <c r="J125" s="6">
        <v>62639</v>
      </c>
      <c r="K125" s="6">
        <v>62639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4" t="s">
        <v>69</v>
      </c>
      <c r="R125" s="4">
        <v>6072</v>
      </c>
      <c r="S125" s="4" t="s">
        <v>158</v>
      </c>
      <c r="U125" s="4">
        <v>6</v>
      </c>
      <c r="V125" s="4">
        <v>0</v>
      </c>
      <c r="W125" s="4">
        <v>0</v>
      </c>
    </row>
    <row r="126" spans="1:23" ht="11.25" customHeight="1" x14ac:dyDescent="0.25">
      <c r="A126" s="4" t="s">
        <v>21</v>
      </c>
      <c r="B126" s="4" t="s">
        <v>43</v>
      </c>
      <c r="C126" s="4" t="s">
        <v>67</v>
      </c>
      <c r="D126" s="4" t="s">
        <v>25</v>
      </c>
      <c r="E126" s="4" t="s">
        <v>25</v>
      </c>
      <c r="F126" s="4" t="s">
        <v>25</v>
      </c>
      <c r="G126" s="4" t="s">
        <v>68</v>
      </c>
      <c r="H126" s="4" t="s">
        <v>36</v>
      </c>
      <c r="I126" s="5">
        <v>43862</v>
      </c>
      <c r="J126" s="6">
        <v>62639</v>
      </c>
      <c r="K126" s="6">
        <v>62639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4" t="s">
        <v>69</v>
      </c>
      <c r="R126" s="4">
        <v>6072</v>
      </c>
      <c r="S126" s="4" t="s">
        <v>159</v>
      </c>
      <c r="U126" s="4">
        <v>6</v>
      </c>
      <c r="V126" s="4">
        <v>0</v>
      </c>
      <c r="W126" s="4">
        <v>0</v>
      </c>
    </row>
    <row r="127" spans="1:23" ht="11.25" customHeight="1" x14ac:dyDescent="0.25">
      <c r="A127" s="4" t="s">
        <v>21</v>
      </c>
      <c r="B127" s="4" t="s">
        <v>43</v>
      </c>
      <c r="C127" s="4" t="s">
        <v>67</v>
      </c>
      <c r="D127" s="4" t="s">
        <v>25</v>
      </c>
      <c r="E127" s="4" t="s">
        <v>25</v>
      </c>
      <c r="F127" s="4" t="s">
        <v>25</v>
      </c>
      <c r="G127" s="4" t="s">
        <v>68</v>
      </c>
      <c r="H127" s="4" t="s">
        <v>36</v>
      </c>
      <c r="I127" s="5">
        <v>43891</v>
      </c>
      <c r="J127" s="6">
        <v>62639</v>
      </c>
      <c r="K127" s="6">
        <v>62639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4" t="s">
        <v>69</v>
      </c>
      <c r="R127" s="4">
        <v>6072</v>
      </c>
      <c r="S127" s="4" t="s">
        <v>160</v>
      </c>
      <c r="U127" s="4">
        <v>6</v>
      </c>
      <c r="V127" s="4">
        <v>0</v>
      </c>
      <c r="W127" s="4">
        <v>0</v>
      </c>
    </row>
    <row r="128" spans="1:23" ht="11.25" customHeight="1" x14ac:dyDescent="0.25">
      <c r="A128" s="4" t="s">
        <v>21</v>
      </c>
      <c r="B128" s="4" t="s">
        <v>43</v>
      </c>
      <c r="C128" s="4" t="s">
        <v>67</v>
      </c>
      <c r="D128" s="4" t="s">
        <v>25</v>
      </c>
      <c r="E128" s="4" t="s">
        <v>25</v>
      </c>
      <c r="F128" s="4" t="s">
        <v>25</v>
      </c>
      <c r="G128" s="4" t="s">
        <v>68</v>
      </c>
      <c r="H128" s="4" t="s">
        <v>36</v>
      </c>
      <c r="I128" s="5">
        <v>43922</v>
      </c>
      <c r="J128" s="6">
        <v>62639</v>
      </c>
      <c r="K128" s="6">
        <v>62639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4" t="s">
        <v>69</v>
      </c>
      <c r="R128" s="4">
        <v>6072</v>
      </c>
      <c r="S128" s="4" t="s">
        <v>161</v>
      </c>
      <c r="U128" s="4">
        <v>6</v>
      </c>
      <c r="V128" s="4">
        <v>0</v>
      </c>
      <c r="W128" s="4">
        <v>0</v>
      </c>
    </row>
    <row r="129" spans="1:23" ht="11.25" customHeight="1" x14ac:dyDescent="0.25">
      <c r="A129" s="4" t="s">
        <v>21</v>
      </c>
      <c r="B129" s="4" t="s">
        <v>43</v>
      </c>
      <c r="C129" s="4" t="s">
        <v>67</v>
      </c>
      <c r="D129" s="4" t="s">
        <v>25</v>
      </c>
      <c r="E129" s="4" t="s">
        <v>25</v>
      </c>
      <c r="F129" s="4" t="s">
        <v>25</v>
      </c>
      <c r="G129" s="4" t="s">
        <v>68</v>
      </c>
      <c r="H129" s="4" t="s">
        <v>36</v>
      </c>
      <c r="I129" s="5">
        <v>43952</v>
      </c>
      <c r="J129" s="6">
        <v>62639</v>
      </c>
      <c r="K129" s="6">
        <v>62639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4" t="s">
        <v>69</v>
      </c>
      <c r="R129" s="4">
        <v>6072</v>
      </c>
      <c r="S129" s="4" t="s">
        <v>162</v>
      </c>
      <c r="U129" s="4">
        <v>6</v>
      </c>
      <c r="V129" s="4">
        <v>0</v>
      </c>
      <c r="W129" s="4">
        <v>0</v>
      </c>
    </row>
    <row r="130" spans="1:23" ht="11.25" customHeight="1" x14ac:dyDescent="0.25">
      <c r="A130" s="4" t="s">
        <v>21</v>
      </c>
      <c r="B130" s="4" t="s">
        <v>43</v>
      </c>
      <c r="C130" s="4" t="s">
        <v>67</v>
      </c>
      <c r="D130" s="4" t="s">
        <v>25</v>
      </c>
      <c r="E130" s="4" t="s">
        <v>25</v>
      </c>
      <c r="F130" s="4" t="s">
        <v>25</v>
      </c>
      <c r="G130" s="4" t="s">
        <v>68</v>
      </c>
      <c r="H130" s="4" t="s">
        <v>36</v>
      </c>
      <c r="I130" s="5">
        <v>43983</v>
      </c>
      <c r="J130" s="6">
        <v>62639</v>
      </c>
      <c r="K130" s="6">
        <v>62639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4" t="s">
        <v>69</v>
      </c>
      <c r="R130" s="4">
        <v>6072</v>
      </c>
      <c r="S130" s="4" t="s">
        <v>163</v>
      </c>
      <c r="U130" s="4">
        <v>6</v>
      </c>
      <c r="V130" s="4">
        <v>0</v>
      </c>
      <c r="W130" s="4">
        <v>0</v>
      </c>
    </row>
    <row r="131" spans="1:23" ht="11.25" customHeight="1" x14ac:dyDescent="0.25">
      <c r="A131" s="4" t="s">
        <v>21</v>
      </c>
      <c r="B131" s="4" t="s">
        <v>43</v>
      </c>
      <c r="C131" s="4" t="s">
        <v>67</v>
      </c>
      <c r="D131" s="4" t="s">
        <v>25</v>
      </c>
      <c r="E131" s="4" t="s">
        <v>25</v>
      </c>
      <c r="F131" s="4" t="s">
        <v>25</v>
      </c>
      <c r="G131" s="4" t="s">
        <v>68</v>
      </c>
      <c r="H131" s="4" t="s">
        <v>36</v>
      </c>
      <c r="I131" s="5">
        <v>44013</v>
      </c>
      <c r="J131" s="6">
        <v>62639</v>
      </c>
      <c r="K131" s="6">
        <v>62639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4" t="s">
        <v>69</v>
      </c>
      <c r="R131" s="4">
        <v>6072</v>
      </c>
      <c r="S131" s="4" t="s">
        <v>164</v>
      </c>
      <c r="U131" s="4">
        <v>6</v>
      </c>
      <c r="V131" s="4">
        <v>0</v>
      </c>
      <c r="W131" s="4">
        <v>0</v>
      </c>
    </row>
    <row r="132" spans="1:23" ht="11.25" customHeight="1" x14ac:dyDescent="0.25">
      <c r="A132" s="4" t="s">
        <v>21</v>
      </c>
      <c r="B132" s="4" t="s">
        <v>43</v>
      </c>
      <c r="C132" s="4" t="s">
        <v>67</v>
      </c>
      <c r="D132" s="4" t="s">
        <v>25</v>
      </c>
      <c r="E132" s="4" t="s">
        <v>25</v>
      </c>
      <c r="F132" s="4" t="s">
        <v>25</v>
      </c>
      <c r="G132" s="4" t="s">
        <v>68</v>
      </c>
      <c r="H132" s="4" t="s">
        <v>36</v>
      </c>
      <c r="I132" s="5">
        <v>44044</v>
      </c>
      <c r="J132" s="6">
        <v>62639</v>
      </c>
      <c r="K132" s="6">
        <v>62639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4" t="s">
        <v>69</v>
      </c>
      <c r="R132" s="4">
        <v>6072</v>
      </c>
      <c r="S132" s="4" t="s">
        <v>165</v>
      </c>
      <c r="U132" s="4">
        <v>6</v>
      </c>
      <c r="V132" s="4">
        <v>0</v>
      </c>
      <c r="W132" s="4">
        <v>0</v>
      </c>
    </row>
    <row r="133" spans="1:23" ht="11.25" customHeight="1" x14ac:dyDescent="0.25">
      <c r="A133" s="4" t="s">
        <v>59</v>
      </c>
      <c r="B133" s="4" t="s">
        <v>43</v>
      </c>
      <c r="C133" s="4" t="s">
        <v>67</v>
      </c>
      <c r="D133" s="4" t="s">
        <v>25</v>
      </c>
      <c r="E133" s="4" t="s">
        <v>25</v>
      </c>
      <c r="F133" s="4" t="s">
        <v>25</v>
      </c>
      <c r="G133" s="4" t="s">
        <v>68</v>
      </c>
      <c r="H133" s="4" t="s">
        <v>36</v>
      </c>
      <c r="I133" s="5">
        <v>44075</v>
      </c>
      <c r="J133" s="6">
        <v>62639</v>
      </c>
      <c r="K133" s="6">
        <v>62639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4" t="s">
        <v>69</v>
      </c>
      <c r="R133" s="4">
        <v>6072</v>
      </c>
      <c r="S133" s="4" t="s">
        <v>166</v>
      </c>
      <c r="U133" s="4">
        <v>6</v>
      </c>
      <c r="V133" s="4">
        <v>0</v>
      </c>
      <c r="W133" s="4">
        <v>0</v>
      </c>
    </row>
    <row r="134" spans="1:23" ht="11.25" customHeight="1" x14ac:dyDescent="0.25">
      <c r="A134" s="4" t="s">
        <v>21</v>
      </c>
      <c r="B134" s="4" t="s">
        <v>43</v>
      </c>
      <c r="C134" s="4" t="s">
        <v>67</v>
      </c>
      <c r="D134" s="4" t="s">
        <v>25</v>
      </c>
      <c r="E134" s="4" t="s">
        <v>25</v>
      </c>
      <c r="F134" s="4" t="s">
        <v>25</v>
      </c>
      <c r="G134" s="4" t="s">
        <v>68</v>
      </c>
      <c r="H134" s="4" t="s">
        <v>25</v>
      </c>
      <c r="I134" s="5">
        <v>43739</v>
      </c>
      <c r="J134" s="6">
        <v>0</v>
      </c>
      <c r="K134" s="6">
        <v>0</v>
      </c>
      <c r="L134" s="6">
        <v>32074.902999999998</v>
      </c>
      <c r="M134" s="6">
        <v>32074.902999999998</v>
      </c>
      <c r="N134" s="6">
        <v>0</v>
      </c>
      <c r="O134" s="6">
        <v>0</v>
      </c>
      <c r="P134" s="6">
        <v>0</v>
      </c>
      <c r="Q134" s="4" t="s">
        <v>69</v>
      </c>
      <c r="R134" s="4">
        <v>6072</v>
      </c>
      <c r="S134" s="4" t="s">
        <v>167</v>
      </c>
      <c r="U134" s="4">
        <v>0</v>
      </c>
      <c r="V134" s="4">
        <v>7</v>
      </c>
      <c r="W134" s="4">
        <v>0</v>
      </c>
    </row>
    <row r="135" spans="1:23" ht="11.25" customHeight="1" x14ac:dyDescent="0.25">
      <c r="A135" s="4" t="s">
        <v>21</v>
      </c>
      <c r="B135" s="4" t="s">
        <v>43</v>
      </c>
      <c r="C135" s="4" t="s">
        <v>67</v>
      </c>
      <c r="D135" s="4" t="s">
        <v>25</v>
      </c>
      <c r="E135" s="4" t="s">
        <v>25</v>
      </c>
      <c r="F135" s="4" t="s">
        <v>25</v>
      </c>
      <c r="G135" s="4" t="s">
        <v>68</v>
      </c>
      <c r="H135" s="4" t="s">
        <v>25</v>
      </c>
      <c r="I135" s="5">
        <v>43770</v>
      </c>
      <c r="J135" s="6">
        <v>0</v>
      </c>
      <c r="K135" s="6">
        <v>0</v>
      </c>
      <c r="L135" s="6">
        <v>32074.902999999998</v>
      </c>
      <c r="M135" s="6">
        <v>32074.902999999998</v>
      </c>
      <c r="N135" s="6">
        <v>0</v>
      </c>
      <c r="O135" s="6">
        <v>0</v>
      </c>
      <c r="P135" s="6">
        <v>0</v>
      </c>
      <c r="Q135" s="4" t="s">
        <v>69</v>
      </c>
      <c r="R135" s="4">
        <v>6072</v>
      </c>
      <c r="S135" s="4" t="s">
        <v>168</v>
      </c>
      <c r="U135" s="4">
        <v>0</v>
      </c>
      <c r="V135" s="4">
        <v>7</v>
      </c>
      <c r="W135" s="4">
        <v>0</v>
      </c>
    </row>
    <row r="136" spans="1:23" ht="11.25" customHeight="1" x14ac:dyDescent="0.25">
      <c r="A136" s="4" t="s">
        <v>21</v>
      </c>
      <c r="B136" s="4" t="s">
        <v>43</v>
      </c>
      <c r="C136" s="4" t="s">
        <v>67</v>
      </c>
      <c r="D136" s="4" t="s">
        <v>25</v>
      </c>
      <c r="E136" s="4" t="s">
        <v>25</v>
      </c>
      <c r="F136" s="4" t="s">
        <v>25</v>
      </c>
      <c r="G136" s="4" t="s">
        <v>68</v>
      </c>
      <c r="H136" s="4" t="s">
        <v>25</v>
      </c>
      <c r="I136" s="5">
        <v>43800</v>
      </c>
      <c r="J136" s="6">
        <v>0</v>
      </c>
      <c r="K136" s="6">
        <v>0</v>
      </c>
      <c r="L136" s="6">
        <v>20864.804</v>
      </c>
      <c r="M136" s="6">
        <v>20864.804</v>
      </c>
      <c r="N136" s="6">
        <v>0</v>
      </c>
      <c r="O136" s="6">
        <v>0</v>
      </c>
      <c r="P136" s="6">
        <v>0</v>
      </c>
      <c r="Q136" s="4" t="s">
        <v>69</v>
      </c>
      <c r="R136" s="4">
        <v>6072</v>
      </c>
      <c r="S136" s="4" t="s">
        <v>169</v>
      </c>
      <c r="U136" s="4">
        <v>0</v>
      </c>
      <c r="V136" s="4">
        <v>7</v>
      </c>
      <c r="W136" s="4">
        <v>0</v>
      </c>
    </row>
    <row r="137" spans="1:23" ht="11.25" customHeight="1" x14ac:dyDescent="0.25">
      <c r="A137" s="4" t="s">
        <v>21</v>
      </c>
      <c r="B137" s="4" t="s">
        <v>43</v>
      </c>
      <c r="C137" s="4" t="s">
        <v>67</v>
      </c>
      <c r="D137" s="4" t="s">
        <v>25</v>
      </c>
      <c r="E137" s="4" t="s">
        <v>25</v>
      </c>
      <c r="F137" s="4" t="s">
        <v>25</v>
      </c>
      <c r="G137" s="4" t="s">
        <v>68</v>
      </c>
      <c r="H137" s="4" t="s">
        <v>25</v>
      </c>
      <c r="I137" s="5">
        <v>43831</v>
      </c>
      <c r="J137" s="6">
        <v>0</v>
      </c>
      <c r="K137" s="6">
        <v>0</v>
      </c>
      <c r="L137" s="6">
        <v>14886.808000000001</v>
      </c>
      <c r="M137" s="6">
        <v>14886.808000000001</v>
      </c>
      <c r="N137" s="6">
        <v>0</v>
      </c>
      <c r="O137" s="6">
        <v>0</v>
      </c>
      <c r="P137" s="6">
        <v>0</v>
      </c>
      <c r="Q137" s="4" t="s">
        <v>69</v>
      </c>
      <c r="R137" s="4">
        <v>6072</v>
      </c>
      <c r="S137" s="4" t="s">
        <v>170</v>
      </c>
      <c r="U137" s="4">
        <v>0</v>
      </c>
      <c r="V137" s="4">
        <v>7</v>
      </c>
      <c r="W137" s="4">
        <v>0</v>
      </c>
    </row>
    <row r="138" spans="1:23" ht="11.25" customHeight="1" x14ac:dyDescent="0.25">
      <c r="A138" s="4" t="s">
        <v>21</v>
      </c>
      <c r="B138" s="4" t="s">
        <v>43</v>
      </c>
      <c r="C138" s="4" t="s">
        <v>67</v>
      </c>
      <c r="D138" s="4" t="s">
        <v>25</v>
      </c>
      <c r="E138" s="4" t="s">
        <v>25</v>
      </c>
      <c r="F138" s="4" t="s">
        <v>25</v>
      </c>
      <c r="G138" s="4" t="s">
        <v>68</v>
      </c>
      <c r="H138" s="4" t="s">
        <v>25</v>
      </c>
      <c r="I138" s="5">
        <v>43862</v>
      </c>
      <c r="J138" s="6">
        <v>0</v>
      </c>
      <c r="K138" s="6">
        <v>0</v>
      </c>
      <c r="L138" s="6">
        <v>8386.4240000000009</v>
      </c>
      <c r="M138" s="6">
        <v>8386.4240000000009</v>
      </c>
      <c r="N138" s="6">
        <v>0</v>
      </c>
      <c r="O138" s="6">
        <v>0</v>
      </c>
      <c r="P138" s="6">
        <v>0</v>
      </c>
      <c r="Q138" s="4" t="s">
        <v>69</v>
      </c>
      <c r="R138" s="4">
        <v>6072</v>
      </c>
      <c r="S138" s="4" t="s">
        <v>171</v>
      </c>
      <c r="U138" s="4">
        <v>0</v>
      </c>
      <c r="V138" s="4">
        <v>7</v>
      </c>
      <c r="W138" s="4">
        <v>0</v>
      </c>
    </row>
    <row r="139" spans="1:23" ht="11.25" customHeight="1" x14ac:dyDescent="0.25">
      <c r="A139" s="4" t="s">
        <v>21</v>
      </c>
      <c r="B139" s="4" t="s">
        <v>43</v>
      </c>
      <c r="C139" s="4" t="s">
        <v>67</v>
      </c>
      <c r="D139" s="4" t="s">
        <v>25</v>
      </c>
      <c r="E139" s="4" t="s">
        <v>25</v>
      </c>
      <c r="F139" s="4" t="s">
        <v>25</v>
      </c>
      <c r="G139" s="4" t="s">
        <v>68</v>
      </c>
      <c r="H139" s="4" t="s">
        <v>25</v>
      </c>
      <c r="I139" s="5">
        <v>43891</v>
      </c>
      <c r="J139" s="6">
        <v>0</v>
      </c>
      <c r="K139" s="6">
        <v>0</v>
      </c>
      <c r="L139" s="6">
        <v>3540.107</v>
      </c>
      <c r="M139" s="6">
        <v>3540.107</v>
      </c>
      <c r="N139" s="6">
        <v>0</v>
      </c>
      <c r="O139" s="6">
        <v>0</v>
      </c>
      <c r="P139" s="6">
        <v>0</v>
      </c>
      <c r="Q139" s="4" t="s">
        <v>69</v>
      </c>
      <c r="R139" s="4">
        <v>6072</v>
      </c>
      <c r="S139" s="4" t="s">
        <v>172</v>
      </c>
      <c r="U139" s="4">
        <v>0</v>
      </c>
      <c r="V139" s="4">
        <v>7</v>
      </c>
      <c r="W139" s="4">
        <v>0</v>
      </c>
    </row>
    <row r="140" spans="1:23" ht="11.25" customHeight="1" x14ac:dyDescent="0.25">
      <c r="A140" s="4" t="s">
        <v>21</v>
      </c>
      <c r="B140" s="4" t="s">
        <v>43</v>
      </c>
      <c r="C140" s="4" t="s">
        <v>67</v>
      </c>
      <c r="D140" s="4" t="s">
        <v>25</v>
      </c>
      <c r="E140" s="4" t="s">
        <v>25</v>
      </c>
      <c r="F140" s="4" t="s">
        <v>25</v>
      </c>
      <c r="G140" s="4" t="s">
        <v>68</v>
      </c>
      <c r="H140" s="4" t="s">
        <v>25</v>
      </c>
      <c r="I140" s="5">
        <v>43922</v>
      </c>
      <c r="J140" s="6">
        <v>0</v>
      </c>
      <c r="K140" s="6">
        <v>0</v>
      </c>
      <c r="L140" s="6">
        <v>6109.6610000000001</v>
      </c>
      <c r="M140" s="6">
        <v>6109.6610000000001</v>
      </c>
      <c r="N140" s="6">
        <v>0</v>
      </c>
      <c r="O140" s="6">
        <v>0</v>
      </c>
      <c r="P140" s="6">
        <v>0</v>
      </c>
      <c r="Q140" s="4" t="s">
        <v>69</v>
      </c>
      <c r="R140" s="4">
        <v>6072</v>
      </c>
      <c r="S140" s="4" t="s">
        <v>173</v>
      </c>
      <c r="U140" s="4">
        <v>0</v>
      </c>
      <c r="V140" s="4">
        <v>7</v>
      </c>
      <c r="W140" s="4">
        <v>0</v>
      </c>
    </row>
    <row r="141" spans="1:23" ht="11.25" customHeight="1" x14ac:dyDescent="0.25">
      <c r="A141" s="4" t="s">
        <v>21</v>
      </c>
      <c r="B141" s="4" t="s">
        <v>43</v>
      </c>
      <c r="C141" s="4" t="s">
        <v>67</v>
      </c>
      <c r="D141" s="4" t="s">
        <v>25</v>
      </c>
      <c r="E141" s="4" t="s">
        <v>25</v>
      </c>
      <c r="F141" s="4" t="s">
        <v>25</v>
      </c>
      <c r="G141" s="4" t="s">
        <v>68</v>
      </c>
      <c r="H141" s="4" t="s">
        <v>25</v>
      </c>
      <c r="I141" s="5">
        <v>43952</v>
      </c>
      <c r="J141" s="6">
        <v>0</v>
      </c>
      <c r="K141" s="6">
        <v>0</v>
      </c>
      <c r="L141" s="6">
        <v>6109.6610000000001</v>
      </c>
      <c r="M141" s="6">
        <v>6109.6610000000001</v>
      </c>
      <c r="N141" s="6">
        <v>0</v>
      </c>
      <c r="O141" s="6">
        <v>0</v>
      </c>
      <c r="P141" s="6">
        <v>0</v>
      </c>
      <c r="Q141" s="4" t="s">
        <v>69</v>
      </c>
      <c r="R141" s="4">
        <v>6072</v>
      </c>
      <c r="S141" s="4" t="s">
        <v>174</v>
      </c>
      <c r="U141" s="4">
        <v>0</v>
      </c>
      <c r="V141" s="4">
        <v>7</v>
      </c>
      <c r="W141" s="4">
        <v>0</v>
      </c>
    </row>
    <row r="142" spans="1:23" ht="11.25" customHeight="1" x14ac:dyDescent="0.25">
      <c r="A142" s="4" t="s">
        <v>21</v>
      </c>
      <c r="B142" s="4" t="s">
        <v>43</v>
      </c>
      <c r="C142" s="4" t="s">
        <v>67</v>
      </c>
      <c r="D142" s="4" t="s">
        <v>25</v>
      </c>
      <c r="E142" s="4" t="s">
        <v>25</v>
      </c>
      <c r="F142" s="4" t="s">
        <v>25</v>
      </c>
      <c r="G142" s="4" t="s">
        <v>68</v>
      </c>
      <c r="H142" s="4" t="s">
        <v>25</v>
      </c>
      <c r="I142" s="5">
        <v>43983</v>
      </c>
      <c r="J142" s="6">
        <v>0</v>
      </c>
      <c r="K142" s="6">
        <v>0</v>
      </c>
      <c r="L142" s="6">
        <v>6109.6610000000001</v>
      </c>
      <c r="M142" s="6">
        <v>6109.6610000000001</v>
      </c>
      <c r="N142" s="6">
        <v>0</v>
      </c>
      <c r="O142" s="6">
        <v>0</v>
      </c>
      <c r="P142" s="6">
        <v>0</v>
      </c>
      <c r="Q142" s="4" t="s">
        <v>69</v>
      </c>
      <c r="R142" s="4">
        <v>6072</v>
      </c>
      <c r="S142" s="4" t="s">
        <v>175</v>
      </c>
      <c r="U142" s="4">
        <v>0</v>
      </c>
      <c r="V142" s="4">
        <v>7</v>
      </c>
      <c r="W142" s="4">
        <v>0</v>
      </c>
    </row>
    <row r="143" spans="1:23" ht="11.25" customHeight="1" x14ac:dyDescent="0.25">
      <c r="A143" s="4" t="s">
        <v>21</v>
      </c>
      <c r="B143" s="4" t="s">
        <v>43</v>
      </c>
      <c r="C143" s="4" t="s">
        <v>67</v>
      </c>
      <c r="D143" s="4" t="s">
        <v>25</v>
      </c>
      <c r="E143" s="4" t="s">
        <v>25</v>
      </c>
      <c r="F143" s="4" t="s">
        <v>25</v>
      </c>
      <c r="G143" s="4" t="s">
        <v>68</v>
      </c>
      <c r="H143" s="4" t="s">
        <v>25</v>
      </c>
      <c r="I143" s="5">
        <v>44013</v>
      </c>
      <c r="J143" s="6">
        <v>0</v>
      </c>
      <c r="K143" s="6">
        <v>0</v>
      </c>
      <c r="L143" s="6">
        <v>30352.023000000001</v>
      </c>
      <c r="M143" s="6">
        <v>30352.023000000001</v>
      </c>
      <c r="N143" s="6">
        <v>0</v>
      </c>
      <c r="O143" s="6">
        <v>0</v>
      </c>
      <c r="P143" s="6">
        <v>0</v>
      </c>
      <c r="Q143" s="4" t="s">
        <v>69</v>
      </c>
      <c r="R143" s="4">
        <v>6072</v>
      </c>
      <c r="S143" s="4" t="s">
        <v>176</v>
      </c>
      <c r="U143" s="4">
        <v>0</v>
      </c>
      <c r="V143" s="4">
        <v>7</v>
      </c>
      <c r="W143" s="4">
        <v>0</v>
      </c>
    </row>
    <row r="144" spans="1:23" ht="11.25" customHeight="1" x14ac:dyDescent="0.25">
      <c r="A144" s="4" t="s">
        <v>21</v>
      </c>
      <c r="B144" s="4" t="s">
        <v>43</v>
      </c>
      <c r="C144" s="4" t="s">
        <v>67</v>
      </c>
      <c r="D144" s="4" t="s">
        <v>25</v>
      </c>
      <c r="E144" s="4" t="s">
        <v>25</v>
      </c>
      <c r="F144" s="4" t="s">
        <v>25</v>
      </c>
      <c r="G144" s="4" t="s">
        <v>68</v>
      </c>
      <c r="H144" s="4" t="s">
        <v>25</v>
      </c>
      <c r="I144" s="5">
        <v>44044</v>
      </c>
      <c r="J144" s="6">
        <v>0</v>
      </c>
      <c r="K144" s="6">
        <v>0</v>
      </c>
      <c r="L144" s="6">
        <v>6109.6610000000001</v>
      </c>
      <c r="M144" s="6">
        <v>6109.6610000000001</v>
      </c>
      <c r="N144" s="6">
        <v>0</v>
      </c>
      <c r="O144" s="6">
        <v>0</v>
      </c>
      <c r="P144" s="6">
        <v>0</v>
      </c>
      <c r="Q144" s="4" t="s">
        <v>69</v>
      </c>
      <c r="R144" s="4">
        <v>6072</v>
      </c>
      <c r="S144" s="4" t="s">
        <v>177</v>
      </c>
      <c r="U144" s="4">
        <v>0</v>
      </c>
      <c r="V144" s="4">
        <v>7</v>
      </c>
      <c r="W144" s="4">
        <v>0</v>
      </c>
    </row>
    <row r="145" spans="1:23" ht="11.25" customHeight="1" x14ac:dyDescent="0.25">
      <c r="A145" s="4" t="s">
        <v>59</v>
      </c>
      <c r="B145" s="4" t="s">
        <v>43</v>
      </c>
      <c r="C145" s="4" t="s">
        <v>67</v>
      </c>
      <c r="D145" s="4" t="s">
        <v>25</v>
      </c>
      <c r="E145" s="4" t="s">
        <v>25</v>
      </c>
      <c r="F145" s="4" t="s">
        <v>25</v>
      </c>
      <c r="G145" s="4" t="s">
        <v>68</v>
      </c>
      <c r="H145" s="4" t="s">
        <v>25</v>
      </c>
      <c r="I145" s="5">
        <v>44075</v>
      </c>
      <c r="J145" s="6">
        <v>0</v>
      </c>
      <c r="K145" s="6">
        <v>0</v>
      </c>
      <c r="L145" s="6">
        <v>6109.6610000000001</v>
      </c>
      <c r="M145" s="6">
        <v>6109.6610000000001</v>
      </c>
      <c r="N145" s="6">
        <v>0</v>
      </c>
      <c r="O145" s="6">
        <v>0</v>
      </c>
      <c r="P145" s="6">
        <v>0</v>
      </c>
      <c r="Q145" s="4" t="s">
        <v>69</v>
      </c>
      <c r="R145" s="4">
        <v>6072</v>
      </c>
      <c r="S145" s="4" t="s">
        <v>178</v>
      </c>
      <c r="U145" s="4">
        <v>0</v>
      </c>
      <c r="V145" s="4">
        <v>7</v>
      </c>
      <c r="W145" s="4">
        <v>0</v>
      </c>
    </row>
    <row r="146" spans="1:23" ht="11.25" customHeight="1" x14ac:dyDescent="0.25">
      <c r="A146" s="4" t="s">
        <v>21</v>
      </c>
      <c r="B146" s="4" t="s">
        <v>43</v>
      </c>
      <c r="C146" s="4" t="s">
        <v>67</v>
      </c>
      <c r="D146" s="4" t="s">
        <v>25</v>
      </c>
      <c r="E146" s="4" t="s">
        <v>25</v>
      </c>
      <c r="F146" s="4" t="s">
        <v>25</v>
      </c>
      <c r="G146" s="4" t="s">
        <v>68</v>
      </c>
      <c r="H146" s="4" t="s">
        <v>35</v>
      </c>
      <c r="I146" s="5">
        <v>43739</v>
      </c>
      <c r="J146" s="6">
        <v>54000</v>
      </c>
      <c r="K146" s="6">
        <v>54000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4" t="s">
        <v>69</v>
      </c>
      <c r="R146" s="4">
        <v>6072</v>
      </c>
      <c r="S146" s="4" t="s">
        <v>179</v>
      </c>
      <c r="U146" s="4">
        <v>5</v>
      </c>
      <c r="V146" s="4">
        <v>0</v>
      </c>
      <c r="W146" s="4">
        <v>0</v>
      </c>
    </row>
    <row r="147" spans="1:23" ht="11.25" customHeight="1" x14ac:dyDescent="0.25">
      <c r="A147" s="4" t="s">
        <v>21</v>
      </c>
      <c r="B147" s="4" t="s">
        <v>43</v>
      </c>
      <c r="C147" s="4" t="s">
        <v>67</v>
      </c>
      <c r="D147" s="4" t="s">
        <v>25</v>
      </c>
      <c r="E147" s="4" t="s">
        <v>25</v>
      </c>
      <c r="F147" s="4" t="s">
        <v>25</v>
      </c>
      <c r="G147" s="4" t="s">
        <v>68</v>
      </c>
      <c r="H147" s="4" t="s">
        <v>35</v>
      </c>
      <c r="I147" s="5">
        <v>43770</v>
      </c>
      <c r="J147" s="6">
        <v>54000</v>
      </c>
      <c r="K147" s="6">
        <v>54000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4" t="s">
        <v>69</v>
      </c>
      <c r="R147" s="4">
        <v>6072</v>
      </c>
      <c r="S147" s="4" t="s">
        <v>180</v>
      </c>
      <c r="U147" s="4">
        <v>5</v>
      </c>
      <c r="V147" s="4">
        <v>0</v>
      </c>
      <c r="W147" s="4">
        <v>0</v>
      </c>
    </row>
    <row r="148" spans="1:23" ht="11.25" customHeight="1" x14ac:dyDescent="0.25">
      <c r="A148" s="4" t="s">
        <v>21</v>
      </c>
      <c r="B148" s="4" t="s">
        <v>43</v>
      </c>
      <c r="C148" s="4" t="s">
        <v>67</v>
      </c>
      <c r="D148" s="4" t="s">
        <v>25</v>
      </c>
      <c r="E148" s="4" t="s">
        <v>25</v>
      </c>
      <c r="F148" s="4" t="s">
        <v>25</v>
      </c>
      <c r="G148" s="4" t="s">
        <v>68</v>
      </c>
      <c r="H148" s="4" t="s">
        <v>35</v>
      </c>
      <c r="I148" s="5">
        <v>43800</v>
      </c>
      <c r="J148" s="6">
        <v>54000</v>
      </c>
      <c r="K148" s="6">
        <v>54000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4" t="s">
        <v>69</v>
      </c>
      <c r="R148" s="4">
        <v>6072</v>
      </c>
      <c r="S148" s="4" t="s">
        <v>181</v>
      </c>
      <c r="U148" s="4">
        <v>5</v>
      </c>
      <c r="V148" s="4">
        <v>0</v>
      </c>
      <c r="W148" s="4">
        <v>0</v>
      </c>
    </row>
    <row r="149" spans="1:23" ht="11.25" customHeight="1" x14ac:dyDescent="0.25">
      <c r="A149" s="4" t="s">
        <v>21</v>
      </c>
      <c r="B149" s="4" t="s">
        <v>43</v>
      </c>
      <c r="C149" s="4" t="s">
        <v>67</v>
      </c>
      <c r="D149" s="4" t="s">
        <v>25</v>
      </c>
      <c r="E149" s="4" t="s">
        <v>25</v>
      </c>
      <c r="F149" s="4" t="s">
        <v>25</v>
      </c>
      <c r="G149" s="4" t="s">
        <v>68</v>
      </c>
      <c r="H149" s="4" t="s">
        <v>35</v>
      </c>
      <c r="I149" s="5">
        <v>43831</v>
      </c>
      <c r="J149" s="6">
        <v>54000</v>
      </c>
      <c r="K149" s="6">
        <v>54000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4" t="s">
        <v>69</v>
      </c>
      <c r="R149" s="4">
        <v>6072</v>
      </c>
      <c r="S149" s="4" t="s">
        <v>182</v>
      </c>
      <c r="U149" s="4">
        <v>5</v>
      </c>
      <c r="V149" s="4">
        <v>0</v>
      </c>
      <c r="W149" s="4">
        <v>0</v>
      </c>
    </row>
    <row r="150" spans="1:23" ht="11.25" customHeight="1" x14ac:dyDescent="0.25">
      <c r="A150" s="4" t="s">
        <v>21</v>
      </c>
      <c r="B150" s="4" t="s">
        <v>43</v>
      </c>
      <c r="C150" s="4" t="s">
        <v>67</v>
      </c>
      <c r="D150" s="4" t="s">
        <v>25</v>
      </c>
      <c r="E150" s="4" t="s">
        <v>25</v>
      </c>
      <c r="F150" s="4" t="s">
        <v>25</v>
      </c>
      <c r="G150" s="4" t="s">
        <v>68</v>
      </c>
      <c r="H150" s="4" t="s">
        <v>35</v>
      </c>
      <c r="I150" s="5">
        <v>43862</v>
      </c>
      <c r="J150" s="6">
        <v>54000</v>
      </c>
      <c r="K150" s="6">
        <v>54000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4" t="s">
        <v>69</v>
      </c>
      <c r="R150" s="4">
        <v>6072</v>
      </c>
      <c r="S150" s="4" t="s">
        <v>183</v>
      </c>
      <c r="U150" s="4">
        <v>5</v>
      </c>
      <c r="V150" s="4">
        <v>0</v>
      </c>
      <c r="W150" s="4">
        <v>0</v>
      </c>
    </row>
    <row r="151" spans="1:23" ht="11.25" customHeight="1" x14ac:dyDescent="0.25">
      <c r="A151" s="4" t="s">
        <v>21</v>
      </c>
      <c r="B151" s="4" t="s">
        <v>43</v>
      </c>
      <c r="C151" s="4" t="s">
        <v>67</v>
      </c>
      <c r="D151" s="4" t="s">
        <v>25</v>
      </c>
      <c r="E151" s="4" t="s">
        <v>25</v>
      </c>
      <c r="F151" s="4" t="s">
        <v>25</v>
      </c>
      <c r="G151" s="4" t="s">
        <v>68</v>
      </c>
      <c r="H151" s="4" t="s">
        <v>35</v>
      </c>
      <c r="I151" s="5">
        <v>43891</v>
      </c>
      <c r="J151" s="6">
        <v>54000</v>
      </c>
      <c r="K151" s="6">
        <v>54000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4" t="s">
        <v>69</v>
      </c>
      <c r="R151" s="4">
        <v>6072</v>
      </c>
      <c r="S151" s="4" t="s">
        <v>184</v>
      </c>
      <c r="U151" s="4">
        <v>5</v>
      </c>
      <c r="V151" s="4">
        <v>0</v>
      </c>
      <c r="W151" s="4">
        <v>0</v>
      </c>
    </row>
    <row r="152" spans="1:23" ht="11.25" customHeight="1" x14ac:dyDescent="0.25">
      <c r="A152" s="4" t="s">
        <v>21</v>
      </c>
      <c r="B152" s="4" t="s">
        <v>43</v>
      </c>
      <c r="C152" s="4" t="s">
        <v>67</v>
      </c>
      <c r="D152" s="4" t="s">
        <v>25</v>
      </c>
      <c r="E152" s="4" t="s">
        <v>25</v>
      </c>
      <c r="F152" s="4" t="s">
        <v>25</v>
      </c>
      <c r="G152" s="4" t="s">
        <v>68</v>
      </c>
      <c r="H152" s="4" t="s">
        <v>35</v>
      </c>
      <c r="I152" s="5">
        <v>43922</v>
      </c>
      <c r="J152" s="6">
        <v>54000</v>
      </c>
      <c r="K152" s="6">
        <v>54000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4" t="s">
        <v>69</v>
      </c>
      <c r="R152" s="4">
        <v>6072</v>
      </c>
      <c r="S152" s="4" t="s">
        <v>185</v>
      </c>
      <c r="U152" s="4">
        <v>5</v>
      </c>
      <c r="V152" s="4">
        <v>0</v>
      </c>
      <c r="W152" s="4">
        <v>0</v>
      </c>
    </row>
    <row r="153" spans="1:23" ht="11.25" customHeight="1" x14ac:dyDescent="0.25">
      <c r="A153" s="4" t="s">
        <v>21</v>
      </c>
      <c r="B153" s="4" t="s">
        <v>43</v>
      </c>
      <c r="C153" s="4" t="s">
        <v>67</v>
      </c>
      <c r="D153" s="4" t="s">
        <v>25</v>
      </c>
      <c r="E153" s="4" t="s">
        <v>25</v>
      </c>
      <c r="F153" s="4" t="s">
        <v>25</v>
      </c>
      <c r="G153" s="4" t="s">
        <v>68</v>
      </c>
      <c r="H153" s="4" t="s">
        <v>35</v>
      </c>
      <c r="I153" s="5">
        <v>43952</v>
      </c>
      <c r="J153" s="6">
        <v>54000</v>
      </c>
      <c r="K153" s="6">
        <v>54000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4" t="s">
        <v>69</v>
      </c>
      <c r="R153" s="4">
        <v>6072</v>
      </c>
      <c r="S153" s="4" t="s">
        <v>186</v>
      </c>
      <c r="U153" s="4">
        <v>5</v>
      </c>
      <c r="V153" s="4">
        <v>0</v>
      </c>
      <c r="W153" s="4">
        <v>0</v>
      </c>
    </row>
    <row r="154" spans="1:23" ht="11.25" customHeight="1" x14ac:dyDescent="0.25">
      <c r="A154" s="4" t="s">
        <v>21</v>
      </c>
      <c r="B154" s="4" t="s">
        <v>43</v>
      </c>
      <c r="C154" s="4" t="s">
        <v>67</v>
      </c>
      <c r="D154" s="4" t="s">
        <v>25</v>
      </c>
      <c r="E154" s="4" t="s">
        <v>25</v>
      </c>
      <c r="F154" s="4" t="s">
        <v>25</v>
      </c>
      <c r="G154" s="4" t="s">
        <v>68</v>
      </c>
      <c r="H154" s="4" t="s">
        <v>35</v>
      </c>
      <c r="I154" s="5">
        <v>43983</v>
      </c>
      <c r="J154" s="6">
        <v>54000</v>
      </c>
      <c r="K154" s="6">
        <v>54000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4" t="s">
        <v>69</v>
      </c>
      <c r="R154" s="4">
        <v>6072</v>
      </c>
      <c r="S154" s="4" t="s">
        <v>187</v>
      </c>
      <c r="U154" s="4">
        <v>5</v>
      </c>
      <c r="V154" s="4">
        <v>0</v>
      </c>
      <c r="W154" s="4">
        <v>0</v>
      </c>
    </row>
    <row r="155" spans="1:23" ht="11.25" customHeight="1" x14ac:dyDescent="0.25">
      <c r="A155" s="4" t="s">
        <v>21</v>
      </c>
      <c r="B155" s="4" t="s">
        <v>43</v>
      </c>
      <c r="C155" s="4" t="s">
        <v>67</v>
      </c>
      <c r="D155" s="4" t="s">
        <v>25</v>
      </c>
      <c r="E155" s="4" t="s">
        <v>25</v>
      </c>
      <c r="F155" s="4" t="s">
        <v>25</v>
      </c>
      <c r="G155" s="4" t="s">
        <v>68</v>
      </c>
      <c r="H155" s="4" t="s">
        <v>35</v>
      </c>
      <c r="I155" s="5">
        <v>44013</v>
      </c>
      <c r="J155" s="6">
        <v>54000</v>
      </c>
      <c r="K155" s="6">
        <v>54000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4" t="s">
        <v>69</v>
      </c>
      <c r="R155" s="4">
        <v>6072</v>
      </c>
      <c r="S155" s="4" t="s">
        <v>188</v>
      </c>
      <c r="U155" s="4">
        <v>5</v>
      </c>
      <c r="V155" s="4">
        <v>0</v>
      </c>
      <c r="W155" s="4">
        <v>0</v>
      </c>
    </row>
    <row r="156" spans="1:23" ht="11.25" customHeight="1" x14ac:dyDescent="0.25">
      <c r="A156" s="4" t="s">
        <v>21</v>
      </c>
      <c r="B156" s="4" t="s">
        <v>43</v>
      </c>
      <c r="C156" s="4" t="s">
        <v>67</v>
      </c>
      <c r="D156" s="4" t="s">
        <v>25</v>
      </c>
      <c r="E156" s="4" t="s">
        <v>25</v>
      </c>
      <c r="F156" s="4" t="s">
        <v>25</v>
      </c>
      <c r="G156" s="4" t="s">
        <v>68</v>
      </c>
      <c r="H156" s="4" t="s">
        <v>35</v>
      </c>
      <c r="I156" s="5">
        <v>44044</v>
      </c>
      <c r="J156" s="6">
        <v>54000</v>
      </c>
      <c r="K156" s="6">
        <v>54000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4" t="s">
        <v>69</v>
      </c>
      <c r="R156" s="4">
        <v>6072</v>
      </c>
      <c r="S156" s="4" t="s">
        <v>189</v>
      </c>
      <c r="U156" s="4">
        <v>5</v>
      </c>
      <c r="V156" s="4">
        <v>0</v>
      </c>
      <c r="W156" s="4">
        <v>0</v>
      </c>
    </row>
    <row r="157" spans="1:23" ht="11.25" customHeight="1" x14ac:dyDescent="0.25">
      <c r="A157" s="4" t="s">
        <v>59</v>
      </c>
      <c r="B157" s="4" t="s">
        <v>43</v>
      </c>
      <c r="C157" s="4" t="s">
        <v>67</v>
      </c>
      <c r="D157" s="4" t="s">
        <v>25</v>
      </c>
      <c r="E157" s="4" t="s">
        <v>25</v>
      </c>
      <c r="F157" s="4" t="s">
        <v>25</v>
      </c>
      <c r="G157" s="4" t="s">
        <v>68</v>
      </c>
      <c r="H157" s="4" t="s">
        <v>35</v>
      </c>
      <c r="I157" s="5">
        <v>44075</v>
      </c>
      <c r="J157" s="6">
        <v>54000</v>
      </c>
      <c r="K157" s="6">
        <v>54000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4" t="s">
        <v>69</v>
      </c>
      <c r="R157" s="4">
        <v>6072</v>
      </c>
      <c r="S157" s="4" t="s">
        <v>190</v>
      </c>
      <c r="U157" s="4">
        <v>5</v>
      </c>
      <c r="V157" s="4">
        <v>0</v>
      </c>
      <c r="W157" s="4">
        <v>0</v>
      </c>
    </row>
    <row r="158" spans="1:23" ht="11.25" customHeight="1" x14ac:dyDescent="0.25">
      <c r="A158" s="4" t="s">
        <v>21</v>
      </c>
      <c r="B158" s="4" t="s">
        <v>43</v>
      </c>
      <c r="C158" s="4" t="s">
        <v>64</v>
      </c>
      <c r="D158" s="4" t="s">
        <v>25</v>
      </c>
      <c r="E158" s="4" t="s">
        <v>25</v>
      </c>
      <c r="F158" s="4" t="s">
        <v>25</v>
      </c>
      <c r="G158" s="4" t="s">
        <v>70</v>
      </c>
      <c r="H158" s="4" t="s">
        <v>25</v>
      </c>
      <c r="I158" s="5">
        <v>43739</v>
      </c>
      <c r="J158" s="6">
        <v>124500</v>
      </c>
      <c r="K158" s="6">
        <v>124500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4" t="s">
        <v>66</v>
      </c>
      <c r="R158" s="4">
        <v>27795</v>
      </c>
      <c r="S158" s="4" t="s">
        <v>191</v>
      </c>
      <c r="U158" s="4">
        <v>8</v>
      </c>
      <c r="V158" s="4">
        <v>0</v>
      </c>
      <c r="W158" s="4">
        <v>0</v>
      </c>
    </row>
    <row r="159" spans="1:23" ht="11.25" customHeight="1" x14ac:dyDescent="0.25">
      <c r="A159" s="4" t="s">
        <v>21</v>
      </c>
      <c r="B159" s="4" t="s">
        <v>43</v>
      </c>
      <c r="C159" s="4" t="s">
        <v>64</v>
      </c>
      <c r="D159" s="4" t="s">
        <v>25</v>
      </c>
      <c r="E159" s="4" t="s">
        <v>25</v>
      </c>
      <c r="F159" s="4" t="s">
        <v>25</v>
      </c>
      <c r="G159" s="4" t="s">
        <v>71</v>
      </c>
      <c r="H159" s="4" t="s">
        <v>25</v>
      </c>
      <c r="I159" s="5">
        <v>43739</v>
      </c>
      <c r="J159" s="6">
        <v>86500</v>
      </c>
      <c r="K159" s="6">
        <v>86500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4" t="s">
        <v>66</v>
      </c>
      <c r="R159" s="4">
        <v>28352</v>
      </c>
      <c r="S159" s="4" t="s">
        <v>192</v>
      </c>
      <c r="U159" s="4">
        <v>9</v>
      </c>
      <c r="V159" s="4">
        <v>0</v>
      </c>
      <c r="W159" s="4">
        <v>0</v>
      </c>
    </row>
    <row r="160" spans="1:23" ht="11.25" customHeight="1" x14ac:dyDescent="0.25">
      <c r="A160" s="4" t="s">
        <v>21</v>
      </c>
      <c r="B160" s="4" t="s">
        <v>43</v>
      </c>
      <c r="C160" s="4" t="s">
        <v>64</v>
      </c>
      <c r="D160" s="4" t="s">
        <v>25</v>
      </c>
      <c r="E160" s="4" t="s">
        <v>25</v>
      </c>
      <c r="F160" s="4" t="s">
        <v>25</v>
      </c>
      <c r="G160" s="4" t="s">
        <v>70</v>
      </c>
      <c r="H160" s="4" t="s">
        <v>25</v>
      </c>
      <c r="I160" s="5">
        <v>43770</v>
      </c>
      <c r="J160" s="6">
        <v>124500</v>
      </c>
      <c r="K160" s="6">
        <v>124500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4" t="s">
        <v>66</v>
      </c>
      <c r="R160" s="4">
        <v>27795</v>
      </c>
      <c r="S160" s="4" t="s">
        <v>193</v>
      </c>
      <c r="U160" s="4">
        <v>8</v>
      </c>
      <c r="V160" s="4">
        <v>0</v>
      </c>
      <c r="W160" s="4">
        <v>0</v>
      </c>
    </row>
    <row r="161" spans="1:23" ht="11.25" customHeight="1" x14ac:dyDescent="0.25">
      <c r="A161" s="4" t="s">
        <v>21</v>
      </c>
      <c r="B161" s="4" t="s">
        <v>43</v>
      </c>
      <c r="C161" s="4" t="s">
        <v>64</v>
      </c>
      <c r="D161" s="4" t="s">
        <v>25</v>
      </c>
      <c r="E161" s="4" t="s">
        <v>25</v>
      </c>
      <c r="F161" s="4" t="s">
        <v>25</v>
      </c>
      <c r="G161" s="4" t="s">
        <v>71</v>
      </c>
      <c r="H161" s="4" t="s">
        <v>25</v>
      </c>
      <c r="I161" s="5">
        <v>43770</v>
      </c>
      <c r="J161" s="6">
        <v>86500</v>
      </c>
      <c r="K161" s="6">
        <v>86500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4" t="s">
        <v>66</v>
      </c>
      <c r="R161" s="4">
        <v>28352</v>
      </c>
      <c r="S161" s="4" t="s">
        <v>194</v>
      </c>
      <c r="U161" s="4">
        <v>9</v>
      </c>
      <c r="V161" s="4">
        <v>0</v>
      </c>
      <c r="W161" s="4">
        <v>0</v>
      </c>
    </row>
    <row r="162" spans="1:23" ht="11.25" customHeight="1" x14ac:dyDescent="0.25">
      <c r="A162" s="4" t="s">
        <v>21</v>
      </c>
      <c r="B162" s="4" t="s">
        <v>43</v>
      </c>
      <c r="C162" s="4" t="s">
        <v>64</v>
      </c>
      <c r="D162" s="4" t="s">
        <v>25</v>
      </c>
      <c r="E162" s="4" t="s">
        <v>25</v>
      </c>
      <c r="F162" s="4" t="s">
        <v>25</v>
      </c>
      <c r="G162" s="4" t="s">
        <v>70</v>
      </c>
      <c r="H162" s="4" t="s">
        <v>25</v>
      </c>
      <c r="I162" s="5">
        <v>43800</v>
      </c>
      <c r="J162" s="6">
        <v>124500</v>
      </c>
      <c r="K162" s="6">
        <v>124500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4" t="s">
        <v>66</v>
      </c>
      <c r="R162" s="4">
        <v>27795</v>
      </c>
      <c r="S162" s="4" t="s">
        <v>195</v>
      </c>
      <c r="U162" s="4">
        <v>8</v>
      </c>
      <c r="V162" s="4">
        <v>0</v>
      </c>
      <c r="W162" s="4">
        <v>0</v>
      </c>
    </row>
    <row r="163" spans="1:23" ht="11.25" customHeight="1" x14ac:dyDescent="0.25">
      <c r="A163" s="4" t="s">
        <v>21</v>
      </c>
      <c r="B163" s="4" t="s">
        <v>43</v>
      </c>
      <c r="C163" s="4" t="s">
        <v>64</v>
      </c>
      <c r="D163" s="4" t="s">
        <v>25</v>
      </c>
      <c r="E163" s="4" t="s">
        <v>25</v>
      </c>
      <c r="F163" s="4" t="s">
        <v>25</v>
      </c>
      <c r="G163" s="4" t="s">
        <v>71</v>
      </c>
      <c r="H163" s="4" t="s">
        <v>25</v>
      </c>
      <c r="I163" s="5">
        <v>43800</v>
      </c>
      <c r="J163" s="6">
        <v>86500</v>
      </c>
      <c r="K163" s="6">
        <v>86500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4" t="s">
        <v>66</v>
      </c>
      <c r="R163" s="4">
        <v>28352</v>
      </c>
      <c r="S163" s="4" t="s">
        <v>196</v>
      </c>
      <c r="U163" s="4">
        <v>9</v>
      </c>
      <c r="V163" s="4">
        <v>0</v>
      </c>
      <c r="W163" s="4">
        <v>0</v>
      </c>
    </row>
    <row r="164" spans="1:23" ht="11.25" customHeight="1" x14ac:dyDescent="0.25">
      <c r="A164" s="4" t="s">
        <v>21</v>
      </c>
      <c r="B164" s="4" t="s">
        <v>43</v>
      </c>
      <c r="C164" s="4" t="s">
        <v>64</v>
      </c>
      <c r="D164" s="4" t="s">
        <v>25</v>
      </c>
      <c r="E164" s="4" t="s">
        <v>25</v>
      </c>
      <c r="F164" s="4" t="s">
        <v>25</v>
      </c>
      <c r="G164" s="4" t="s">
        <v>70</v>
      </c>
      <c r="H164" s="4" t="s">
        <v>25</v>
      </c>
      <c r="I164" s="5">
        <v>43831</v>
      </c>
      <c r="J164" s="6">
        <v>124500</v>
      </c>
      <c r="K164" s="6">
        <v>124500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4" t="s">
        <v>66</v>
      </c>
      <c r="R164" s="4">
        <v>27795</v>
      </c>
      <c r="S164" s="4" t="s">
        <v>197</v>
      </c>
      <c r="U164" s="4">
        <v>8</v>
      </c>
      <c r="V164" s="4">
        <v>0</v>
      </c>
      <c r="W164" s="4">
        <v>0</v>
      </c>
    </row>
    <row r="165" spans="1:23" ht="11.25" customHeight="1" x14ac:dyDescent="0.25">
      <c r="A165" s="4" t="s">
        <v>21</v>
      </c>
      <c r="B165" s="4" t="s">
        <v>43</v>
      </c>
      <c r="C165" s="4" t="s">
        <v>64</v>
      </c>
      <c r="D165" s="4" t="s">
        <v>25</v>
      </c>
      <c r="E165" s="4" t="s">
        <v>25</v>
      </c>
      <c r="F165" s="4" t="s">
        <v>25</v>
      </c>
      <c r="G165" s="4" t="s">
        <v>71</v>
      </c>
      <c r="H165" s="4" t="s">
        <v>25</v>
      </c>
      <c r="I165" s="5">
        <v>43831</v>
      </c>
      <c r="J165" s="6">
        <v>86500</v>
      </c>
      <c r="K165" s="6">
        <v>86500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4" t="s">
        <v>66</v>
      </c>
      <c r="R165" s="4">
        <v>28352</v>
      </c>
      <c r="S165" s="4" t="s">
        <v>198</v>
      </c>
      <c r="U165" s="4">
        <v>9</v>
      </c>
      <c r="V165" s="4">
        <v>0</v>
      </c>
      <c r="W165" s="4">
        <v>0</v>
      </c>
    </row>
    <row r="166" spans="1:23" ht="11.25" customHeight="1" x14ac:dyDescent="0.25">
      <c r="A166" s="4" t="s">
        <v>21</v>
      </c>
      <c r="B166" s="4" t="s">
        <v>43</v>
      </c>
      <c r="C166" s="4" t="s">
        <v>64</v>
      </c>
      <c r="D166" s="4" t="s">
        <v>25</v>
      </c>
      <c r="E166" s="4" t="s">
        <v>25</v>
      </c>
      <c r="F166" s="4" t="s">
        <v>25</v>
      </c>
      <c r="G166" s="4" t="s">
        <v>70</v>
      </c>
      <c r="H166" s="4" t="s">
        <v>25</v>
      </c>
      <c r="I166" s="5">
        <v>43862</v>
      </c>
      <c r="J166" s="6">
        <v>124500</v>
      </c>
      <c r="K166" s="6">
        <v>124500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4" t="s">
        <v>66</v>
      </c>
      <c r="R166" s="4">
        <v>27795</v>
      </c>
      <c r="S166" s="4" t="s">
        <v>199</v>
      </c>
      <c r="U166" s="4">
        <v>8</v>
      </c>
      <c r="V166" s="4">
        <v>0</v>
      </c>
      <c r="W166" s="4">
        <v>0</v>
      </c>
    </row>
    <row r="167" spans="1:23" ht="11.25" customHeight="1" x14ac:dyDescent="0.25">
      <c r="A167" s="4" t="s">
        <v>21</v>
      </c>
      <c r="B167" s="4" t="s">
        <v>43</v>
      </c>
      <c r="C167" s="4" t="s">
        <v>64</v>
      </c>
      <c r="D167" s="4" t="s">
        <v>25</v>
      </c>
      <c r="E167" s="4" t="s">
        <v>25</v>
      </c>
      <c r="F167" s="4" t="s">
        <v>25</v>
      </c>
      <c r="G167" s="4" t="s">
        <v>71</v>
      </c>
      <c r="H167" s="4" t="s">
        <v>25</v>
      </c>
      <c r="I167" s="5">
        <v>43862</v>
      </c>
      <c r="J167" s="6">
        <v>86500</v>
      </c>
      <c r="K167" s="6">
        <v>86500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4" t="s">
        <v>66</v>
      </c>
      <c r="R167" s="4">
        <v>28352</v>
      </c>
      <c r="S167" s="4" t="s">
        <v>200</v>
      </c>
      <c r="U167" s="4">
        <v>9</v>
      </c>
      <c r="V167" s="4">
        <v>0</v>
      </c>
      <c r="W167" s="4">
        <v>0</v>
      </c>
    </row>
    <row r="168" spans="1:23" ht="11.25" customHeight="1" x14ac:dyDescent="0.25">
      <c r="A168" s="4" t="s">
        <v>21</v>
      </c>
      <c r="B168" s="4" t="s">
        <v>43</v>
      </c>
      <c r="C168" s="4" t="s">
        <v>64</v>
      </c>
      <c r="D168" s="4" t="s">
        <v>25</v>
      </c>
      <c r="E168" s="4" t="s">
        <v>25</v>
      </c>
      <c r="F168" s="4" t="s">
        <v>25</v>
      </c>
      <c r="G168" s="4" t="s">
        <v>70</v>
      </c>
      <c r="H168" s="4" t="s">
        <v>25</v>
      </c>
      <c r="I168" s="5">
        <v>43891</v>
      </c>
      <c r="J168" s="6">
        <v>124500</v>
      </c>
      <c r="K168" s="6">
        <v>124500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4" t="s">
        <v>66</v>
      </c>
      <c r="R168" s="4">
        <v>27795</v>
      </c>
      <c r="S168" s="4" t="s">
        <v>201</v>
      </c>
      <c r="U168" s="4">
        <v>8</v>
      </c>
      <c r="V168" s="4">
        <v>0</v>
      </c>
      <c r="W168" s="4">
        <v>0</v>
      </c>
    </row>
    <row r="169" spans="1:23" ht="11.25" customHeight="1" x14ac:dyDescent="0.25">
      <c r="A169" s="4" t="s">
        <v>21</v>
      </c>
      <c r="B169" s="4" t="s">
        <v>43</v>
      </c>
      <c r="C169" s="4" t="s">
        <v>64</v>
      </c>
      <c r="D169" s="4" t="s">
        <v>25</v>
      </c>
      <c r="E169" s="4" t="s">
        <v>25</v>
      </c>
      <c r="F169" s="4" t="s">
        <v>25</v>
      </c>
      <c r="G169" s="4" t="s">
        <v>71</v>
      </c>
      <c r="H169" s="4" t="s">
        <v>25</v>
      </c>
      <c r="I169" s="5">
        <v>43891</v>
      </c>
      <c r="J169" s="6">
        <v>86500</v>
      </c>
      <c r="K169" s="6">
        <v>86500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4" t="s">
        <v>66</v>
      </c>
      <c r="R169" s="4">
        <v>28352</v>
      </c>
      <c r="S169" s="4" t="s">
        <v>202</v>
      </c>
      <c r="U169" s="4">
        <v>9</v>
      </c>
      <c r="V169" s="4">
        <v>0</v>
      </c>
      <c r="W169" s="4">
        <v>0</v>
      </c>
    </row>
    <row r="170" spans="1:23" ht="11.25" customHeight="1" x14ac:dyDescent="0.25">
      <c r="A170" s="4" t="s">
        <v>21</v>
      </c>
      <c r="B170" s="4" t="s">
        <v>43</v>
      </c>
      <c r="C170" s="4" t="s">
        <v>64</v>
      </c>
      <c r="D170" s="4" t="s">
        <v>25</v>
      </c>
      <c r="E170" s="4" t="s">
        <v>25</v>
      </c>
      <c r="F170" s="4" t="s">
        <v>25</v>
      </c>
      <c r="G170" s="4" t="s">
        <v>70</v>
      </c>
      <c r="H170" s="4" t="s">
        <v>25</v>
      </c>
      <c r="I170" s="5">
        <v>43922</v>
      </c>
      <c r="J170" s="6">
        <v>124500</v>
      </c>
      <c r="K170" s="6">
        <v>124500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  <c r="Q170" s="4" t="s">
        <v>66</v>
      </c>
      <c r="R170" s="4">
        <v>27795</v>
      </c>
      <c r="S170" s="4" t="s">
        <v>203</v>
      </c>
      <c r="U170" s="4">
        <v>8</v>
      </c>
      <c r="V170" s="4">
        <v>0</v>
      </c>
      <c r="W170" s="4">
        <v>0</v>
      </c>
    </row>
    <row r="171" spans="1:23" ht="11.25" customHeight="1" x14ac:dyDescent="0.25">
      <c r="A171" s="4" t="s">
        <v>21</v>
      </c>
      <c r="B171" s="4" t="s">
        <v>43</v>
      </c>
      <c r="C171" s="4" t="s">
        <v>64</v>
      </c>
      <c r="D171" s="4" t="s">
        <v>25</v>
      </c>
      <c r="E171" s="4" t="s">
        <v>25</v>
      </c>
      <c r="F171" s="4" t="s">
        <v>25</v>
      </c>
      <c r="G171" s="4" t="s">
        <v>71</v>
      </c>
      <c r="H171" s="4" t="s">
        <v>25</v>
      </c>
      <c r="I171" s="5">
        <v>43922</v>
      </c>
      <c r="J171" s="6">
        <v>86500</v>
      </c>
      <c r="K171" s="6">
        <v>86500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4" t="s">
        <v>66</v>
      </c>
      <c r="R171" s="4">
        <v>28352</v>
      </c>
      <c r="S171" s="4" t="s">
        <v>204</v>
      </c>
      <c r="U171" s="4">
        <v>9</v>
      </c>
      <c r="V171" s="4">
        <v>0</v>
      </c>
      <c r="W171" s="4">
        <v>0</v>
      </c>
    </row>
    <row r="172" spans="1:23" ht="11.25" customHeight="1" x14ac:dyDescent="0.25">
      <c r="A172" s="4" t="s">
        <v>21</v>
      </c>
      <c r="B172" s="4" t="s">
        <v>43</v>
      </c>
      <c r="C172" s="4" t="s">
        <v>64</v>
      </c>
      <c r="D172" s="4" t="s">
        <v>25</v>
      </c>
      <c r="E172" s="4" t="s">
        <v>25</v>
      </c>
      <c r="F172" s="4" t="s">
        <v>25</v>
      </c>
      <c r="G172" s="4" t="s">
        <v>70</v>
      </c>
      <c r="H172" s="4" t="s">
        <v>25</v>
      </c>
      <c r="I172" s="5">
        <v>43952</v>
      </c>
      <c r="J172" s="6">
        <v>124500</v>
      </c>
      <c r="K172" s="6">
        <v>124500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4" t="s">
        <v>66</v>
      </c>
      <c r="R172" s="4">
        <v>27795</v>
      </c>
      <c r="S172" s="4" t="s">
        <v>205</v>
      </c>
      <c r="U172" s="4">
        <v>8</v>
      </c>
      <c r="V172" s="4">
        <v>0</v>
      </c>
      <c r="W172" s="4">
        <v>0</v>
      </c>
    </row>
    <row r="173" spans="1:23" ht="11.25" customHeight="1" x14ac:dyDescent="0.25">
      <c r="A173" s="4" t="s">
        <v>21</v>
      </c>
      <c r="B173" s="4" t="s">
        <v>43</v>
      </c>
      <c r="C173" s="4" t="s">
        <v>64</v>
      </c>
      <c r="D173" s="4" t="s">
        <v>25</v>
      </c>
      <c r="E173" s="4" t="s">
        <v>25</v>
      </c>
      <c r="F173" s="4" t="s">
        <v>25</v>
      </c>
      <c r="G173" s="4" t="s">
        <v>71</v>
      </c>
      <c r="H173" s="4" t="s">
        <v>25</v>
      </c>
      <c r="I173" s="5">
        <v>43952</v>
      </c>
      <c r="J173" s="6">
        <v>86500</v>
      </c>
      <c r="K173" s="6">
        <v>86500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4" t="s">
        <v>66</v>
      </c>
      <c r="R173" s="4">
        <v>28352</v>
      </c>
      <c r="S173" s="4" t="s">
        <v>206</v>
      </c>
      <c r="U173" s="4">
        <v>9</v>
      </c>
      <c r="V173" s="4">
        <v>0</v>
      </c>
      <c r="W173" s="4">
        <v>0</v>
      </c>
    </row>
    <row r="174" spans="1:23" ht="11.25" customHeight="1" x14ac:dyDescent="0.25">
      <c r="A174" s="4" t="s">
        <v>21</v>
      </c>
      <c r="B174" s="4" t="s">
        <v>43</v>
      </c>
      <c r="C174" s="4" t="s">
        <v>64</v>
      </c>
      <c r="D174" s="4" t="s">
        <v>25</v>
      </c>
      <c r="E174" s="4" t="s">
        <v>25</v>
      </c>
      <c r="F174" s="4" t="s">
        <v>25</v>
      </c>
      <c r="G174" s="4" t="s">
        <v>70</v>
      </c>
      <c r="H174" s="4" t="s">
        <v>25</v>
      </c>
      <c r="I174" s="5">
        <v>43983</v>
      </c>
      <c r="J174" s="6">
        <v>124500</v>
      </c>
      <c r="K174" s="6">
        <v>124500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4" t="s">
        <v>66</v>
      </c>
      <c r="R174" s="4">
        <v>27795</v>
      </c>
      <c r="S174" s="4" t="s">
        <v>207</v>
      </c>
      <c r="U174" s="4">
        <v>8</v>
      </c>
      <c r="V174" s="4">
        <v>0</v>
      </c>
      <c r="W174" s="4">
        <v>0</v>
      </c>
    </row>
    <row r="175" spans="1:23" ht="11.25" customHeight="1" x14ac:dyDescent="0.25">
      <c r="A175" s="4" t="s">
        <v>21</v>
      </c>
      <c r="B175" s="4" t="s">
        <v>43</v>
      </c>
      <c r="C175" s="4" t="s">
        <v>64</v>
      </c>
      <c r="D175" s="4" t="s">
        <v>25</v>
      </c>
      <c r="E175" s="4" t="s">
        <v>25</v>
      </c>
      <c r="F175" s="4" t="s">
        <v>25</v>
      </c>
      <c r="G175" s="4" t="s">
        <v>71</v>
      </c>
      <c r="H175" s="4" t="s">
        <v>25</v>
      </c>
      <c r="I175" s="5">
        <v>43983</v>
      </c>
      <c r="J175" s="6">
        <v>86500</v>
      </c>
      <c r="K175" s="6">
        <v>86500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4" t="s">
        <v>66</v>
      </c>
      <c r="R175" s="4">
        <v>28352</v>
      </c>
      <c r="S175" s="4" t="s">
        <v>208</v>
      </c>
      <c r="U175" s="4">
        <v>9</v>
      </c>
      <c r="V175" s="4">
        <v>0</v>
      </c>
      <c r="W175" s="4">
        <v>0</v>
      </c>
    </row>
    <row r="176" spans="1:23" ht="11.25" customHeight="1" x14ac:dyDescent="0.25">
      <c r="A176" s="4" t="s">
        <v>21</v>
      </c>
      <c r="B176" s="4" t="s">
        <v>43</v>
      </c>
      <c r="C176" s="4" t="s">
        <v>64</v>
      </c>
      <c r="D176" s="4" t="s">
        <v>25</v>
      </c>
      <c r="E176" s="4" t="s">
        <v>25</v>
      </c>
      <c r="F176" s="4" t="s">
        <v>25</v>
      </c>
      <c r="G176" s="4" t="s">
        <v>70</v>
      </c>
      <c r="H176" s="4" t="s">
        <v>25</v>
      </c>
      <c r="I176" s="5">
        <v>44013</v>
      </c>
      <c r="J176" s="6">
        <v>124500</v>
      </c>
      <c r="K176" s="6">
        <v>124500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4" t="s">
        <v>66</v>
      </c>
      <c r="R176" s="4">
        <v>27795</v>
      </c>
      <c r="S176" s="4" t="s">
        <v>209</v>
      </c>
      <c r="U176" s="4">
        <v>8</v>
      </c>
      <c r="V176" s="4">
        <v>0</v>
      </c>
      <c r="W176" s="4">
        <v>0</v>
      </c>
    </row>
    <row r="177" spans="1:23" ht="11.25" customHeight="1" x14ac:dyDescent="0.25">
      <c r="A177" s="4" t="s">
        <v>21</v>
      </c>
      <c r="B177" s="4" t="s">
        <v>43</v>
      </c>
      <c r="C177" s="4" t="s">
        <v>64</v>
      </c>
      <c r="D177" s="4" t="s">
        <v>25</v>
      </c>
      <c r="E177" s="4" t="s">
        <v>25</v>
      </c>
      <c r="F177" s="4" t="s">
        <v>25</v>
      </c>
      <c r="G177" s="4" t="s">
        <v>71</v>
      </c>
      <c r="H177" s="4" t="s">
        <v>25</v>
      </c>
      <c r="I177" s="5">
        <v>44013</v>
      </c>
      <c r="J177" s="6">
        <v>86500</v>
      </c>
      <c r="K177" s="6">
        <v>86500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4" t="s">
        <v>66</v>
      </c>
      <c r="R177" s="4">
        <v>28352</v>
      </c>
      <c r="S177" s="4" t="s">
        <v>210</v>
      </c>
      <c r="U177" s="4">
        <v>9</v>
      </c>
      <c r="V177" s="4">
        <v>0</v>
      </c>
      <c r="W177" s="4">
        <v>0</v>
      </c>
    </row>
    <row r="178" spans="1:23" ht="11.25" customHeight="1" x14ac:dyDescent="0.25">
      <c r="A178" s="4" t="s">
        <v>21</v>
      </c>
      <c r="B178" s="4" t="s">
        <v>43</v>
      </c>
      <c r="C178" s="4" t="s">
        <v>64</v>
      </c>
      <c r="D178" s="4" t="s">
        <v>25</v>
      </c>
      <c r="E178" s="4" t="s">
        <v>25</v>
      </c>
      <c r="F178" s="4" t="s">
        <v>25</v>
      </c>
      <c r="G178" s="4" t="s">
        <v>70</v>
      </c>
      <c r="H178" s="4" t="s">
        <v>25</v>
      </c>
      <c r="I178" s="5">
        <v>44044</v>
      </c>
      <c r="J178" s="6">
        <v>124500</v>
      </c>
      <c r="K178" s="6">
        <v>124500</v>
      </c>
      <c r="L178" s="6">
        <v>0</v>
      </c>
      <c r="M178" s="6">
        <v>0</v>
      </c>
      <c r="N178" s="6">
        <v>0</v>
      </c>
      <c r="O178" s="6">
        <v>0</v>
      </c>
      <c r="P178" s="6">
        <v>0</v>
      </c>
      <c r="Q178" s="4" t="s">
        <v>66</v>
      </c>
      <c r="R178" s="4">
        <v>27795</v>
      </c>
      <c r="S178" s="4" t="s">
        <v>211</v>
      </c>
      <c r="U178" s="4">
        <v>8</v>
      </c>
      <c r="V178" s="4">
        <v>0</v>
      </c>
      <c r="W178" s="4">
        <v>0</v>
      </c>
    </row>
    <row r="179" spans="1:23" ht="11.25" customHeight="1" x14ac:dyDescent="0.25">
      <c r="A179" s="4" t="s">
        <v>21</v>
      </c>
      <c r="B179" s="4" t="s">
        <v>43</v>
      </c>
      <c r="C179" s="4" t="s">
        <v>64</v>
      </c>
      <c r="D179" s="4" t="s">
        <v>25</v>
      </c>
      <c r="E179" s="4" t="s">
        <v>25</v>
      </c>
      <c r="F179" s="4" t="s">
        <v>25</v>
      </c>
      <c r="G179" s="4" t="s">
        <v>71</v>
      </c>
      <c r="H179" s="4" t="s">
        <v>25</v>
      </c>
      <c r="I179" s="5">
        <v>44044</v>
      </c>
      <c r="J179" s="6">
        <v>86500</v>
      </c>
      <c r="K179" s="6">
        <v>86500</v>
      </c>
      <c r="L179" s="6">
        <v>0</v>
      </c>
      <c r="M179" s="6">
        <v>0</v>
      </c>
      <c r="N179" s="6">
        <v>0</v>
      </c>
      <c r="O179" s="6">
        <v>0</v>
      </c>
      <c r="P179" s="6">
        <v>0</v>
      </c>
      <c r="Q179" s="4" t="s">
        <v>66</v>
      </c>
      <c r="R179" s="4">
        <v>28352</v>
      </c>
      <c r="S179" s="4" t="s">
        <v>212</v>
      </c>
      <c r="U179" s="4">
        <v>9</v>
      </c>
      <c r="V179" s="4">
        <v>0</v>
      </c>
      <c r="W179" s="4">
        <v>0</v>
      </c>
    </row>
    <row r="180" spans="1:23" ht="11.25" customHeight="1" x14ac:dyDescent="0.25">
      <c r="A180" s="4" t="s">
        <v>59</v>
      </c>
      <c r="B180" s="4" t="s">
        <v>43</v>
      </c>
      <c r="C180" s="4" t="s">
        <v>64</v>
      </c>
      <c r="D180" s="4" t="s">
        <v>25</v>
      </c>
      <c r="E180" s="4" t="s">
        <v>25</v>
      </c>
      <c r="F180" s="4" t="s">
        <v>25</v>
      </c>
      <c r="G180" s="4" t="s">
        <v>70</v>
      </c>
      <c r="H180" s="4" t="s">
        <v>25</v>
      </c>
      <c r="I180" s="5">
        <v>44075</v>
      </c>
      <c r="J180" s="6">
        <v>124500</v>
      </c>
      <c r="K180" s="6">
        <v>124500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4" t="s">
        <v>66</v>
      </c>
      <c r="R180" s="4">
        <v>27795</v>
      </c>
      <c r="S180" s="4" t="s">
        <v>213</v>
      </c>
      <c r="U180" s="4">
        <v>8</v>
      </c>
      <c r="V180" s="4">
        <v>0</v>
      </c>
      <c r="W180" s="4">
        <v>0</v>
      </c>
    </row>
    <row r="181" spans="1:23" ht="11.25" customHeight="1" x14ac:dyDescent="0.25">
      <c r="A181" s="4" t="s">
        <v>59</v>
      </c>
      <c r="B181" s="4" t="s">
        <v>43</v>
      </c>
      <c r="C181" s="4" t="s">
        <v>64</v>
      </c>
      <c r="D181" s="4" t="s">
        <v>25</v>
      </c>
      <c r="E181" s="4" t="s">
        <v>25</v>
      </c>
      <c r="F181" s="4" t="s">
        <v>25</v>
      </c>
      <c r="G181" s="4" t="s">
        <v>71</v>
      </c>
      <c r="H181" s="4" t="s">
        <v>25</v>
      </c>
      <c r="I181" s="5">
        <v>44075</v>
      </c>
      <c r="J181" s="6">
        <v>86500</v>
      </c>
      <c r="K181" s="6">
        <v>86500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4" t="s">
        <v>66</v>
      </c>
      <c r="R181" s="4">
        <v>28352</v>
      </c>
      <c r="S181" s="4" t="s">
        <v>214</v>
      </c>
      <c r="U181" s="4">
        <v>9</v>
      </c>
      <c r="V181" s="4">
        <v>0</v>
      </c>
      <c r="W181" s="4">
        <v>0</v>
      </c>
    </row>
    <row r="182" spans="1:23" ht="11.25" customHeight="1" x14ac:dyDescent="0.25">
      <c r="A182" s="4" t="s">
        <v>21</v>
      </c>
      <c r="B182" s="4" t="s">
        <v>45</v>
      </c>
      <c r="C182" s="4" t="s">
        <v>41</v>
      </c>
      <c r="D182" s="4" t="s">
        <v>40</v>
      </c>
      <c r="E182" s="4" t="s">
        <v>25</v>
      </c>
      <c r="F182" s="4" t="s">
        <v>63</v>
      </c>
      <c r="G182" s="4" t="s">
        <v>25</v>
      </c>
      <c r="H182" s="4" t="s">
        <v>36</v>
      </c>
      <c r="I182" s="5">
        <v>43739</v>
      </c>
      <c r="J182" s="6">
        <v>3400</v>
      </c>
      <c r="K182" s="6">
        <v>2130.1447779999999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4" t="s">
        <v>60</v>
      </c>
      <c r="R182" s="4">
        <v>0</v>
      </c>
      <c r="S182" s="4" t="s">
        <v>215</v>
      </c>
      <c r="U182" s="4">
        <v>12</v>
      </c>
      <c r="V182" s="4">
        <v>0</v>
      </c>
      <c r="W182" s="4">
        <v>0</v>
      </c>
    </row>
    <row r="183" spans="1:23" ht="11.25" customHeight="1" x14ac:dyDescent="0.25">
      <c r="A183" s="4" t="s">
        <v>21</v>
      </c>
      <c r="B183" s="4" t="s">
        <v>45</v>
      </c>
      <c r="C183" s="4" t="s">
        <v>41</v>
      </c>
      <c r="D183" s="4" t="s">
        <v>40</v>
      </c>
      <c r="E183" s="4" t="s">
        <v>25</v>
      </c>
      <c r="F183" s="4" t="s">
        <v>63</v>
      </c>
      <c r="G183" s="4" t="s">
        <v>25</v>
      </c>
      <c r="H183" s="4" t="s">
        <v>36</v>
      </c>
      <c r="I183" s="5">
        <v>43770</v>
      </c>
      <c r="J183" s="6">
        <v>3400</v>
      </c>
      <c r="K183" s="6">
        <v>2133.9733139999998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4" t="s">
        <v>60</v>
      </c>
      <c r="R183" s="4">
        <v>0</v>
      </c>
      <c r="S183" s="4" t="s">
        <v>216</v>
      </c>
      <c r="U183" s="4">
        <v>12</v>
      </c>
      <c r="V183" s="4">
        <v>0</v>
      </c>
      <c r="W183" s="4">
        <v>0</v>
      </c>
    </row>
    <row r="184" spans="1:23" ht="11.25" customHeight="1" x14ac:dyDescent="0.25">
      <c r="A184" s="4" t="s">
        <v>21</v>
      </c>
      <c r="B184" s="4" t="s">
        <v>45</v>
      </c>
      <c r="C184" s="4" t="s">
        <v>41</v>
      </c>
      <c r="D184" s="4" t="s">
        <v>40</v>
      </c>
      <c r="E184" s="4" t="s">
        <v>25</v>
      </c>
      <c r="F184" s="4" t="s">
        <v>63</v>
      </c>
      <c r="G184" s="4" t="s">
        <v>25</v>
      </c>
      <c r="H184" s="4" t="s">
        <v>36</v>
      </c>
      <c r="I184" s="5">
        <v>43800</v>
      </c>
      <c r="J184" s="6">
        <v>3400</v>
      </c>
      <c r="K184" s="6">
        <v>2140.7922859999999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4" t="s">
        <v>60</v>
      </c>
      <c r="R184" s="4">
        <v>0</v>
      </c>
      <c r="S184" s="4" t="s">
        <v>217</v>
      </c>
      <c r="U184" s="4">
        <v>12</v>
      </c>
      <c r="V184" s="4">
        <v>0</v>
      </c>
      <c r="W184" s="4">
        <v>0</v>
      </c>
    </row>
    <row r="185" spans="1:23" ht="11.25" customHeight="1" x14ac:dyDescent="0.25">
      <c r="A185" s="4" t="s">
        <v>21</v>
      </c>
      <c r="B185" s="4" t="s">
        <v>45</v>
      </c>
      <c r="C185" s="4" t="s">
        <v>41</v>
      </c>
      <c r="D185" s="4" t="s">
        <v>40</v>
      </c>
      <c r="E185" s="4" t="s">
        <v>25</v>
      </c>
      <c r="F185" s="4" t="s">
        <v>63</v>
      </c>
      <c r="G185" s="4" t="s">
        <v>25</v>
      </c>
      <c r="H185" s="4" t="s">
        <v>36</v>
      </c>
      <c r="I185" s="5">
        <v>43831</v>
      </c>
      <c r="J185" s="6">
        <v>3400</v>
      </c>
      <c r="K185" s="6">
        <v>2119.139318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4" t="s">
        <v>60</v>
      </c>
      <c r="R185" s="4">
        <v>0</v>
      </c>
      <c r="S185" s="4" t="s">
        <v>218</v>
      </c>
      <c r="U185" s="4">
        <v>12</v>
      </c>
      <c r="V185" s="4">
        <v>0</v>
      </c>
      <c r="W185" s="4">
        <v>0</v>
      </c>
    </row>
    <row r="186" spans="1:23" ht="11.25" customHeight="1" x14ac:dyDescent="0.25">
      <c r="A186" s="4" t="s">
        <v>21</v>
      </c>
      <c r="B186" s="4" t="s">
        <v>45</v>
      </c>
      <c r="C186" s="4" t="s">
        <v>41</v>
      </c>
      <c r="D186" s="4" t="s">
        <v>40</v>
      </c>
      <c r="E186" s="4" t="s">
        <v>25</v>
      </c>
      <c r="F186" s="4" t="s">
        <v>63</v>
      </c>
      <c r="G186" s="4" t="s">
        <v>25</v>
      </c>
      <c r="H186" s="4" t="s">
        <v>36</v>
      </c>
      <c r="I186" s="5">
        <v>43862</v>
      </c>
      <c r="J186" s="6">
        <v>3400</v>
      </c>
      <c r="K186" s="6">
        <v>2118.5003900000002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4" t="s">
        <v>60</v>
      </c>
      <c r="R186" s="4">
        <v>0</v>
      </c>
      <c r="S186" s="4" t="s">
        <v>219</v>
      </c>
      <c r="U186" s="4">
        <v>12</v>
      </c>
      <c r="V186" s="4">
        <v>0</v>
      </c>
      <c r="W186" s="4">
        <v>0</v>
      </c>
    </row>
    <row r="187" spans="1:23" ht="11.25" customHeight="1" x14ac:dyDescent="0.25">
      <c r="A187" s="4" t="s">
        <v>21</v>
      </c>
      <c r="B187" s="4" t="s">
        <v>45</v>
      </c>
      <c r="C187" s="4" t="s">
        <v>41</v>
      </c>
      <c r="D187" s="4" t="s">
        <v>40</v>
      </c>
      <c r="E187" s="4" t="s">
        <v>25</v>
      </c>
      <c r="F187" s="4" t="s">
        <v>63</v>
      </c>
      <c r="G187" s="4" t="s">
        <v>25</v>
      </c>
      <c r="H187" s="4" t="s">
        <v>36</v>
      </c>
      <c r="I187" s="5">
        <v>43891</v>
      </c>
      <c r="J187" s="6">
        <v>3400</v>
      </c>
      <c r="K187" s="6">
        <v>2784.7143759999999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4" t="s">
        <v>60</v>
      </c>
      <c r="R187" s="4">
        <v>0</v>
      </c>
      <c r="S187" s="4" t="s">
        <v>220</v>
      </c>
      <c r="U187" s="4">
        <v>12</v>
      </c>
      <c r="V187" s="4">
        <v>0</v>
      </c>
      <c r="W187" s="4">
        <v>0</v>
      </c>
    </row>
    <row r="188" spans="1:23" ht="11.25" customHeight="1" x14ac:dyDescent="0.25">
      <c r="A188" s="4" t="s">
        <v>21</v>
      </c>
      <c r="B188" s="4" t="s">
        <v>45</v>
      </c>
      <c r="C188" s="4" t="s">
        <v>41</v>
      </c>
      <c r="D188" s="4" t="s">
        <v>40</v>
      </c>
      <c r="E188" s="4" t="s">
        <v>25</v>
      </c>
      <c r="F188" s="4" t="s">
        <v>63</v>
      </c>
      <c r="G188" s="4" t="s">
        <v>25</v>
      </c>
      <c r="H188" s="4" t="s">
        <v>36</v>
      </c>
      <c r="I188" s="5">
        <v>43922</v>
      </c>
      <c r="J188" s="6">
        <v>3400</v>
      </c>
      <c r="K188" s="6">
        <v>3400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4" t="s">
        <v>60</v>
      </c>
      <c r="R188" s="4">
        <v>0</v>
      </c>
      <c r="S188" s="4" t="s">
        <v>221</v>
      </c>
      <c r="U188" s="4">
        <v>12</v>
      </c>
      <c r="V188" s="4">
        <v>0</v>
      </c>
      <c r="W188" s="4">
        <v>0</v>
      </c>
    </row>
    <row r="189" spans="1:23" ht="11.25" customHeight="1" x14ac:dyDescent="0.25">
      <c r="A189" s="4" t="s">
        <v>21</v>
      </c>
      <c r="B189" s="4" t="s">
        <v>45</v>
      </c>
      <c r="C189" s="4" t="s">
        <v>41</v>
      </c>
      <c r="D189" s="4" t="s">
        <v>40</v>
      </c>
      <c r="E189" s="4" t="s">
        <v>25</v>
      </c>
      <c r="F189" s="4" t="s">
        <v>63</v>
      </c>
      <c r="G189" s="4" t="s">
        <v>25</v>
      </c>
      <c r="H189" s="4" t="s">
        <v>36</v>
      </c>
      <c r="I189" s="5">
        <v>43952</v>
      </c>
      <c r="J189" s="6">
        <v>3400</v>
      </c>
      <c r="K189" s="6">
        <v>3400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4" t="s">
        <v>60</v>
      </c>
      <c r="R189" s="4">
        <v>0</v>
      </c>
      <c r="S189" s="4" t="s">
        <v>222</v>
      </c>
      <c r="U189" s="4">
        <v>12</v>
      </c>
      <c r="V189" s="4">
        <v>0</v>
      </c>
      <c r="W189" s="4">
        <v>0</v>
      </c>
    </row>
    <row r="190" spans="1:23" ht="11.25" customHeight="1" x14ac:dyDescent="0.25">
      <c r="A190" s="4" t="s">
        <v>21</v>
      </c>
      <c r="B190" s="4" t="s">
        <v>45</v>
      </c>
      <c r="C190" s="4" t="s">
        <v>41</v>
      </c>
      <c r="D190" s="4" t="s">
        <v>40</v>
      </c>
      <c r="E190" s="4" t="s">
        <v>25</v>
      </c>
      <c r="F190" s="4" t="s">
        <v>63</v>
      </c>
      <c r="G190" s="4" t="s">
        <v>25</v>
      </c>
      <c r="H190" s="4" t="s">
        <v>36</v>
      </c>
      <c r="I190" s="5">
        <v>43983</v>
      </c>
      <c r="J190" s="6">
        <v>3400</v>
      </c>
      <c r="K190" s="6">
        <v>3400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4" t="s">
        <v>60</v>
      </c>
      <c r="R190" s="4">
        <v>0</v>
      </c>
      <c r="S190" s="4" t="s">
        <v>223</v>
      </c>
      <c r="U190" s="4">
        <v>12</v>
      </c>
      <c r="V190" s="4">
        <v>0</v>
      </c>
      <c r="W190" s="4">
        <v>0</v>
      </c>
    </row>
    <row r="191" spans="1:23" ht="11.25" customHeight="1" x14ac:dyDescent="0.25">
      <c r="A191" s="4" t="s">
        <v>21</v>
      </c>
      <c r="B191" s="4" t="s">
        <v>45</v>
      </c>
      <c r="C191" s="4" t="s">
        <v>41</v>
      </c>
      <c r="D191" s="4" t="s">
        <v>40</v>
      </c>
      <c r="E191" s="4" t="s">
        <v>25</v>
      </c>
      <c r="F191" s="4" t="s">
        <v>63</v>
      </c>
      <c r="G191" s="4" t="s">
        <v>25</v>
      </c>
      <c r="H191" s="4" t="s">
        <v>36</v>
      </c>
      <c r="I191" s="5">
        <v>44013</v>
      </c>
      <c r="J191" s="6">
        <v>3400</v>
      </c>
      <c r="K191" s="6">
        <v>3400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4" t="s">
        <v>60</v>
      </c>
      <c r="R191" s="4">
        <v>0</v>
      </c>
      <c r="S191" s="4" t="s">
        <v>224</v>
      </c>
      <c r="U191" s="4">
        <v>12</v>
      </c>
      <c r="V191" s="4">
        <v>0</v>
      </c>
      <c r="W191" s="4">
        <v>0</v>
      </c>
    </row>
    <row r="192" spans="1:23" ht="11.25" customHeight="1" x14ac:dyDescent="0.25">
      <c r="A192" s="4" t="s">
        <v>21</v>
      </c>
      <c r="B192" s="4" t="s">
        <v>45</v>
      </c>
      <c r="C192" s="4" t="s">
        <v>41</v>
      </c>
      <c r="D192" s="4" t="s">
        <v>40</v>
      </c>
      <c r="E192" s="4" t="s">
        <v>25</v>
      </c>
      <c r="F192" s="4" t="s">
        <v>63</v>
      </c>
      <c r="G192" s="4" t="s">
        <v>25</v>
      </c>
      <c r="H192" s="4" t="s">
        <v>36</v>
      </c>
      <c r="I192" s="5">
        <v>44044</v>
      </c>
      <c r="J192" s="6">
        <v>3400</v>
      </c>
      <c r="K192" s="6">
        <v>3400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4" t="s">
        <v>60</v>
      </c>
      <c r="R192" s="4">
        <v>0</v>
      </c>
      <c r="S192" s="4" t="s">
        <v>225</v>
      </c>
      <c r="U192" s="4">
        <v>12</v>
      </c>
      <c r="V192" s="4">
        <v>0</v>
      </c>
      <c r="W192" s="4">
        <v>0</v>
      </c>
    </row>
    <row r="193" spans="1:23" ht="11.25" customHeight="1" x14ac:dyDescent="0.25">
      <c r="A193" s="4" t="s">
        <v>59</v>
      </c>
      <c r="B193" s="4" t="s">
        <v>45</v>
      </c>
      <c r="C193" s="4" t="s">
        <v>41</v>
      </c>
      <c r="D193" s="4" t="s">
        <v>40</v>
      </c>
      <c r="E193" s="4" t="s">
        <v>25</v>
      </c>
      <c r="F193" s="4" t="s">
        <v>63</v>
      </c>
      <c r="G193" s="4" t="s">
        <v>25</v>
      </c>
      <c r="H193" s="4" t="s">
        <v>36</v>
      </c>
      <c r="I193" s="5">
        <v>44075</v>
      </c>
      <c r="J193" s="6">
        <v>3400</v>
      </c>
      <c r="K193" s="6">
        <v>3400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4" t="s">
        <v>60</v>
      </c>
      <c r="R193" s="4">
        <v>0</v>
      </c>
      <c r="S193" s="4" t="s">
        <v>226</v>
      </c>
      <c r="U193" s="4">
        <v>12</v>
      </c>
      <c r="V193" s="4">
        <v>0</v>
      </c>
      <c r="W193" s="4">
        <v>0</v>
      </c>
    </row>
    <row r="194" spans="1:23" ht="11.25" customHeight="1" x14ac:dyDescent="0.25">
      <c r="A194" s="4" t="s">
        <v>21</v>
      </c>
      <c r="B194" s="4" t="s">
        <v>45</v>
      </c>
      <c r="C194" s="4" t="s">
        <v>41</v>
      </c>
      <c r="D194" s="4" t="s">
        <v>40</v>
      </c>
      <c r="E194" s="4" t="s">
        <v>25</v>
      </c>
      <c r="F194" s="4" t="s">
        <v>63</v>
      </c>
      <c r="G194" s="4" t="s">
        <v>25</v>
      </c>
      <c r="H194" s="4" t="s">
        <v>25</v>
      </c>
      <c r="I194" s="5">
        <v>43739</v>
      </c>
      <c r="J194" s="6">
        <v>0</v>
      </c>
      <c r="K194" s="6">
        <v>0</v>
      </c>
      <c r="L194" s="6">
        <v>1071.8520000000001</v>
      </c>
      <c r="M194" s="6">
        <v>1071.8520000000001</v>
      </c>
      <c r="N194" s="6">
        <v>0</v>
      </c>
      <c r="O194" s="6">
        <v>0</v>
      </c>
      <c r="P194" s="6">
        <v>1</v>
      </c>
      <c r="Q194" s="4" t="s">
        <v>60</v>
      </c>
      <c r="R194" s="4">
        <v>0</v>
      </c>
      <c r="S194" s="4" t="s">
        <v>227</v>
      </c>
      <c r="U194" s="4">
        <v>0</v>
      </c>
      <c r="V194" s="4">
        <v>13</v>
      </c>
      <c r="W194" s="4">
        <v>0</v>
      </c>
    </row>
    <row r="195" spans="1:23" ht="11.25" customHeight="1" x14ac:dyDescent="0.25">
      <c r="A195" s="4" t="s">
        <v>21</v>
      </c>
      <c r="B195" s="4" t="s">
        <v>45</v>
      </c>
      <c r="C195" s="4" t="s">
        <v>41</v>
      </c>
      <c r="D195" s="4" t="s">
        <v>40</v>
      </c>
      <c r="E195" s="4" t="s">
        <v>25</v>
      </c>
      <c r="F195" s="4" t="s">
        <v>63</v>
      </c>
      <c r="G195" s="4" t="s">
        <v>25</v>
      </c>
      <c r="H195" s="4" t="s">
        <v>25</v>
      </c>
      <c r="I195" s="5">
        <v>43770</v>
      </c>
      <c r="J195" s="6">
        <v>0</v>
      </c>
      <c r="K195" s="6">
        <v>0</v>
      </c>
      <c r="L195" s="6">
        <v>1063.0340000000001</v>
      </c>
      <c r="M195" s="6">
        <v>1063.0340000000001</v>
      </c>
      <c r="N195" s="6">
        <v>0</v>
      </c>
      <c r="O195" s="6">
        <v>0</v>
      </c>
      <c r="P195" s="6">
        <v>1</v>
      </c>
      <c r="Q195" s="4" t="s">
        <v>60</v>
      </c>
      <c r="R195" s="4">
        <v>0</v>
      </c>
      <c r="S195" s="4" t="s">
        <v>228</v>
      </c>
      <c r="U195" s="4">
        <v>0</v>
      </c>
      <c r="V195" s="4">
        <v>13</v>
      </c>
      <c r="W195" s="4">
        <v>0</v>
      </c>
    </row>
    <row r="196" spans="1:23" ht="11.25" customHeight="1" x14ac:dyDescent="0.25">
      <c r="A196" s="4" t="s">
        <v>21</v>
      </c>
      <c r="B196" s="4" t="s">
        <v>45</v>
      </c>
      <c r="C196" s="4" t="s">
        <v>41</v>
      </c>
      <c r="D196" s="4" t="s">
        <v>40</v>
      </c>
      <c r="E196" s="4" t="s">
        <v>25</v>
      </c>
      <c r="F196" s="4" t="s">
        <v>63</v>
      </c>
      <c r="G196" s="4" t="s">
        <v>25</v>
      </c>
      <c r="H196" s="4" t="s">
        <v>25</v>
      </c>
      <c r="I196" s="5">
        <v>43800</v>
      </c>
      <c r="J196" s="6">
        <v>0</v>
      </c>
      <c r="K196" s="6">
        <v>0</v>
      </c>
      <c r="L196" s="6">
        <v>1100.308</v>
      </c>
      <c r="M196" s="6">
        <v>1100.308</v>
      </c>
      <c r="N196" s="6">
        <v>0</v>
      </c>
      <c r="O196" s="6">
        <v>0</v>
      </c>
      <c r="P196" s="6">
        <v>1</v>
      </c>
      <c r="Q196" s="4" t="s">
        <v>60</v>
      </c>
      <c r="R196" s="4">
        <v>0</v>
      </c>
      <c r="S196" s="4" t="s">
        <v>229</v>
      </c>
      <c r="U196" s="4">
        <v>0</v>
      </c>
      <c r="V196" s="4">
        <v>13</v>
      </c>
      <c r="W196" s="4">
        <v>0</v>
      </c>
    </row>
    <row r="197" spans="1:23" ht="11.25" customHeight="1" x14ac:dyDescent="0.25">
      <c r="A197" s="4" t="s">
        <v>21</v>
      </c>
      <c r="B197" s="4" t="s">
        <v>45</v>
      </c>
      <c r="C197" s="4" t="s">
        <v>41</v>
      </c>
      <c r="D197" s="4" t="s">
        <v>40</v>
      </c>
      <c r="E197" s="4" t="s">
        <v>25</v>
      </c>
      <c r="F197" s="4" t="s">
        <v>63</v>
      </c>
      <c r="G197" s="4" t="s">
        <v>25</v>
      </c>
      <c r="H197" s="4" t="s">
        <v>25</v>
      </c>
      <c r="I197" s="5">
        <v>43831</v>
      </c>
      <c r="J197" s="6">
        <v>0</v>
      </c>
      <c r="K197" s="6">
        <v>0</v>
      </c>
      <c r="L197" s="6">
        <v>1052.951</v>
      </c>
      <c r="M197" s="6">
        <v>1052.951</v>
      </c>
      <c r="N197" s="6">
        <v>0</v>
      </c>
      <c r="O197" s="6">
        <v>0</v>
      </c>
      <c r="P197" s="6">
        <v>1</v>
      </c>
      <c r="Q197" s="4" t="s">
        <v>60</v>
      </c>
      <c r="R197" s="4">
        <v>0</v>
      </c>
      <c r="S197" s="4" t="s">
        <v>230</v>
      </c>
      <c r="U197" s="4">
        <v>0</v>
      </c>
      <c r="V197" s="4">
        <v>13</v>
      </c>
      <c r="W197" s="4">
        <v>0</v>
      </c>
    </row>
    <row r="198" spans="1:23" ht="11.25" customHeight="1" x14ac:dyDescent="0.25">
      <c r="A198" s="4" t="s">
        <v>21</v>
      </c>
      <c r="B198" s="4" t="s">
        <v>45</v>
      </c>
      <c r="C198" s="4" t="s">
        <v>41</v>
      </c>
      <c r="D198" s="4" t="s">
        <v>40</v>
      </c>
      <c r="E198" s="4" t="s">
        <v>25</v>
      </c>
      <c r="F198" s="4" t="s">
        <v>63</v>
      </c>
      <c r="G198" s="4" t="s">
        <v>25</v>
      </c>
      <c r="H198" s="4" t="s">
        <v>25</v>
      </c>
      <c r="I198" s="5">
        <v>43862</v>
      </c>
      <c r="J198" s="6">
        <v>0</v>
      </c>
      <c r="K198" s="6">
        <v>0</v>
      </c>
      <c r="L198" s="6">
        <v>967.19500000000005</v>
      </c>
      <c r="M198" s="6">
        <v>967.19500000000005</v>
      </c>
      <c r="N198" s="6">
        <v>0</v>
      </c>
      <c r="O198" s="6">
        <v>0</v>
      </c>
      <c r="P198" s="6">
        <v>1</v>
      </c>
      <c r="Q198" s="4" t="s">
        <v>60</v>
      </c>
      <c r="R198" s="4">
        <v>0</v>
      </c>
      <c r="S198" s="4" t="s">
        <v>231</v>
      </c>
      <c r="U198" s="4">
        <v>0</v>
      </c>
      <c r="V198" s="4">
        <v>13</v>
      </c>
      <c r="W198" s="4">
        <v>0</v>
      </c>
    </row>
    <row r="199" spans="1:23" ht="11.25" customHeight="1" x14ac:dyDescent="0.25">
      <c r="A199" s="4" t="s">
        <v>21</v>
      </c>
      <c r="B199" s="4" t="s">
        <v>45</v>
      </c>
      <c r="C199" s="4" t="s">
        <v>41</v>
      </c>
      <c r="D199" s="4" t="s">
        <v>40</v>
      </c>
      <c r="E199" s="4" t="s">
        <v>25</v>
      </c>
      <c r="F199" s="4" t="s">
        <v>63</v>
      </c>
      <c r="G199" s="4" t="s">
        <v>25</v>
      </c>
      <c r="H199" s="4" t="s">
        <v>25</v>
      </c>
      <c r="I199" s="5">
        <v>43891</v>
      </c>
      <c r="J199" s="6">
        <v>0</v>
      </c>
      <c r="K199" s="6">
        <v>0</v>
      </c>
      <c r="L199" s="6">
        <v>714.73500000000001</v>
      </c>
      <c r="M199" s="6">
        <v>714.73500000000001</v>
      </c>
      <c r="N199" s="6">
        <v>0</v>
      </c>
      <c r="O199" s="6">
        <v>0</v>
      </c>
      <c r="P199" s="6">
        <v>1</v>
      </c>
      <c r="Q199" s="4" t="s">
        <v>60</v>
      </c>
      <c r="R199" s="4">
        <v>0</v>
      </c>
      <c r="S199" s="4" t="s">
        <v>232</v>
      </c>
      <c r="U199" s="4">
        <v>0</v>
      </c>
      <c r="V199" s="4">
        <v>13</v>
      </c>
      <c r="W199" s="4">
        <v>0</v>
      </c>
    </row>
    <row r="200" spans="1:23" ht="11.25" customHeight="1" x14ac:dyDescent="0.25">
      <c r="A200" s="4" t="s">
        <v>21</v>
      </c>
      <c r="B200" s="4" t="s">
        <v>45</v>
      </c>
      <c r="C200" s="4" t="s">
        <v>41</v>
      </c>
      <c r="D200" s="4" t="s">
        <v>40</v>
      </c>
      <c r="E200" s="4" t="s">
        <v>25</v>
      </c>
      <c r="F200" s="4" t="s">
        <v>63</v>
      </c>
      <c r="G200" s="4" t="s">
        <v>25</v>
      </c>
      <c r="H200" s="4" t="s">
        <v>25</v>
      </c>
      <c r="I200" s="5">
        <v>43922</v>
      </c>
      <c r="J200" s="6">
        <v>0</v>
      </c>
      <c r="K200" s="6">
        <v>0</v>
      </c>
      <c r="L200" s="6">
        <v>290.52100000000002</v>
      </c>
      <c r="M200" s="6">
        <v>290.52100000000002</v>
      </c>
      <c r="N200" s="6">
        <v>0</v>
      </c>
      <c r="O200" s="6">
        <v>0</v>
      </c>
      <c r="P200" s="6">
        <v>1</v>
      </c>
      <c r="Q200" s="4" t="s">
        <v>60</v>
      </c>
      <c r="R200" s="4">
        <v>0</v>
      </c>
      <c r="S200" s="4" t="s">
        <v>233</v>
      </c>
      <c r="U200" s="4">
        <v>0</v>
      </c>
      <c r="V200" s="4">
        <v>13</v>
      </c>
      <c r="W200" s="4">
        <v>0</v>
      </c>
    </row>
    <row r="201" spans="1:23" ht="11.25" customHeight="1" x14ac:dyDescent="0.25">
      <c r="A201" s="4" t="s">
        <v>21</v>
      </c>
      <c r="B201" s="4" t="s">
        <v>45</v>
      </c>
      <c r="C201" s="4" t="s">
        <v>41</v>
      </c>
      <c r="D201" s="4" t="s">
        <v>40</v>
      </c>
      <c r="E201" s="4" t="s">
        <v>25</v>
      </c>
      <c r="F201" s="4" t="s">
        <v>63</v>
      </c>
      <c r="G201" s="4" t="s">
        <v>25</v>
      </c>
      <c r="H201" s="4" t="s">
        <v>25</v>
      </c>
      <c r="I201" s="5">
        <v>43952</v>
      </c>
      <c r="J201" s="6">
        <v>0</v>
      </c>
      <c r="K201" s="6">
        <v>0</v>
      </c>
      <c r="L201" s="6">
        <v>385.88499999999999</v>
      </c>
      <c r="M201" s="6">
        <v>385.88499999999999</v>
      </c>
      <c r="N201" s="6">
        <v>0</v>
      </c>
      <c r="O201" s="6">
        <v>0</v>
      </c>
      <c r="P201" s="6">
        <v>1</v>
      </c>
      <c r="Q201" s="4" t="s">
        <v>60</v>
      </c>
      <c r="R201" s="4">
        <v>0</v>
      </c>
      <c r="S201" s="4" t="s">
        <v>234</v>
      </c>
      <c r="U201" s="4">
        <v>0</v>
      </c>
      <c r="V201" s="4">
        <v>13</v>
      </c>
      <c r="W201" s="4">
        <v>0</v>
      </c>
    </row>
    <row r="202" spans="1:23" ht="11.25" customHeight="1" x14ac:dyDescent="0.25">
      <c r="A202" s="4" t="s">
        <v>21</v>
      </c>
      <c r="B202" s="4" t="s">
        <v>45</v>
      </c>
      <c r="C202" s="4" t="s">
        <v>41</v>
      </c>
      <c r="D202" s="4" t="s">
        <v>40</v>
      </c>
      <c r="E202" s="4" t="s">
        <v>25</v>
      </c>
      <c r="F202" s="4" t="s">
        <v>63</v>
      </c>
      <c r="G202" s="4" t="s">
        <v>25</v>
      </c>
      <c r="H202" s="4" t="s">
        <v>25</v>
      </c>
      <c r="I202" s="5">
        <v>43983</v>
      </c>
      <c r="J202" s="6">
        <v>0</v>
      </c>
      <c r="K202" s="6">
        <v>0</v>
      </c>
      <c r="L202" s="6">
        <v>385.88499999999999</v>
      </c>
      <c r="M202" s="6">
        <v>385.88499999999999</v>
      </c>
      <c r="N202" s="6">
        <v>0</v>
      </c>
      <c r="O202" s="6">
        <v>0</v>
      </c>
      <c r="P202" s="6">
        <v>1</v>
      </c>
      <c r="Q202" s="4" t="s">
        <v>60</v>
      </c>
      <c r="R202" s="4">
        <v>0</v>
      </c>
      <c r="S202" s="4" t="s">
        <v>235</v>
      </c>
      <c r="U202" s="4">
        <v>0</v>
      </c>
      <c r="V202" s="4">
        <v>13</v>
      </c>
      <c r="W202" s="4">
        <v>0</v>
      </c>
    </row>
    <row r="203" spans="1:23" ht="11.25" customHeight="1" x14ac:dyDescent="0.25">
      <c r="A203" s="4" t="s">
        <v>21</v>
      </c>
      <c r="B203" s="4" t="s">
        <v>45</v>
      </c>
      <c r="C203" s="4" t="s">
        <v>41</v>
      </c>
      <c r="D203" s="4" t="s">
        <v>40</v>
      </c>
      <c r="E203" s="4" t="s">
        <v>25</v>
      </c>
      <c r="F203" s="4" t="s">
        <v>63</v>
      </c>
      <c r="G203" s="4" t="s">
        <v>25</v>
      </c>
      <c r="H203" s="4" t="s">
        <v>25</v>
      </c>
      <c r="I203" s="5">
        <v>44013</v>
      </c>
      <c r="J203" s="6">
        <v>0</v>
      </c>
      <c r="K203" s="6">
        <v>0</v>
      </c>
      <c r="L203" s="6">
        <v>887.96100000000001</v>
      </c>
      <c r="M203" s="6">
        <v>887.96100000000001</v>
      </c>
      <c r="N203" s="6">
        <v>0</v>
      </c>
      <c r="O203" s="6">
        <v>0</v>
      </c>
      <c r="P203" s="6">
        <v>1</v>
      </c>
      <c r="Q203" s="4" t="s">
        <v>60</v>
      </c>
      <c r="R203" s="4">
        <v>0</v>
      </c>
      <c r="S203" s="4" t="s">
        <v>236</v>
      </c>
      <c r="U203" s="4">
        <v>0</v>
      </c>
      <c r="V203" s="4">
        <v>13</v>
      </c>
      <c r="W203" s="4">
        <v>0</v>
      </c>
    </row>
    <row r="204" spans="1:23" ht="11.25" customHeight="1" x14ac:dyDescent="0.25">
      <c r="A204" s="4" t="s">
        <v>21</v>
      </c>
      <c r="B204" s="4" t="s">
        <v>45</v>
      </c>
      <c r="C204" s="4" t="s">
        <v>41</v>
      </c>
      <c r="D204" s="4" t="s">
        <v>40</v>
      </c>
      <c r="E204" s="4" t="s">
        <v>25</v>
      </c>
      <c r="F204" s="4" t="s">
        <v>63</v>
      </c>
      <c r="G204" s="4" t="s">
        <v>25</v>
      </c>
      <c r="H204" s="4" t="s">
        <v>25</v>
      </c>
      <c r="I204" s="5">
        <v>44044</v>
      </c>
      <c r="J204" s="6">
        <v>0</v>
      </c>
      <c r="K204" s="6">
        <v>0</v>
      </c>
      <c r="L204" s="6">
        <v>729.46400000000006</v>
      </c>
      <c r="M204" s="6">
        <v>729.46400000000006</v>
      </c>
      <c r="N204" s="6">
        <v>0</v>
      </c>
      <c r="O204" s="6">
        <v>0</v>
      </c>
      <c r="P204" s="6">
        <v>1</v>
      </c>
      <c r="Q204" s="4" t="s">
        <v>60</v>
      </c>
      <c r="R204" s="4">
        <v>0</v>
      </c>
      <c r="S204" s="4" t="s">
        <v>237</v>
      </c>
      <c r="U204" s="4">
        <v>0</v>
      </c>
      <c r="V204" s="4">
        <v>13</v>
      </c>
      <c r="W204" s="4">
        <v>0</v>
      </c>
    </row>
    <row r="205" spans="1:23" ht="11.25" customHeight="1" x14ac:dyDescent="0.25">
      <c r="A205" s="4" t="s">
        <v>59</v>
      </c>
      <c r="B205" s="4" t="s">
        <v>45</v>
      </c>
      <c r="C205" s="4" t="s">
        <v>41</v>
      </c>
      <c r="D205" s="4" t="s">
        <v>40</v>
      </c>
      <c r="E205" s="4" t="s">
        <v>25</v>
      </c>
      <c r="F205" s="4" t="s">
        <v>63</v>
      </c>
      <c r="G205" s="4" t="s">
        <v>25</v>
      </c>
      <c r="H205" s="4" t="s">
        <v>25</v>
      </c>
      <c r="I205" s="5">
        <v>44075</v>
      </c>
      <c r="J205" s="6">
        <v>0</v>
      </c>
      <c r="K205" s="6">
        <v>0</v>
      </c>
      <c r="L205" s="6">
        <v>729.46400000000006</v>
      </c>
      <c r="M205" s="6">
        <v>729.46400000000006</v>
      </c>
      <c r="N205" s="6">
        <v>0</v>
      </c>
      <c r="O205" s="6">
        <v>0</v>
      </c>
      <c r="P205" s="6">
        <v>1</v>
      </c>
      <c r="Q205" s="4" t="s">
        <v>60</v>
      </c>
      <c r="R205" s="4">
        <v>0</v>
      </c>
      <c r="S205" s="4" t="s">
        <v>238</v>
      </c>
      <c r="U205" s="4">
        <v>0</v>
      </c>
      <c r="V205" s="4">
        <v>13</v>
      </c>
      <c r="W205" s="4">
        <v>0</v>
      </c>
    </row>
    <row r="206" spans="1:23" ht="11.25" customHeight="1" x14ac:dyDescent="0.25">
      <c r="A206" s="4" t="s">
        <v>21</v>
      </c>
      <c r="B206" s="4" t="s">
        <v>45</v>
      </c>
      <c r="C206" s="4" t="s">
        <v>41</v>
      </c>
      <c r="D206" s="4" t="s">
        <v>40</v>
      </c>
      <c r="E206" s="4" t="s">
        <v>25</v>
      </c>
      <c r="F206" s="4" t="s">
        <v>63</v>
      </c>
      <c r="G206" s="4" t="s">
        <v>25</v>
      </c>
      <c r="H206" s="4" t="s">
        <v>35</v>
      </c>
      <c r="I206" s="5">
        <v>43739</v>
      </c>
      <c r="J206" s="6">
        <v>3300</v>
      </c>
      <c r="K206" s="6">
        <v>2067.4934280000002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4" t="s">
        <v>60</v>
      </c>
      <c r="R206" s="4">
        <v>0</v>
      </c>
      <c r="S206" s="4" t="s">
        <v>239</v>
      </c>
      <c r="U206" s="4">
        <v>11</v>
      </c>
      <c r="V206" s="4">
        <v>0</v>
      </c>
      <c r="W206" s="4">
        <v>0</v>
      </c>
    </row>
    <row r="207" spans="1:23" ht="11.25" customHeight="1" x14ac:dyDescent="0.25">
      <c r="A207" s="4" t="s">
        <v>21</v>
      </c>
      <c r="B207" s="4" t="s">
        <v>45</v>
      </c>
      <c r="C207" s="4" t="s">
        <v>41</v>
      </c>
      <c r="D207" s="4" t="s">
        <v>40</v>
      </c>
      <c r="E207" s="4" t="s">
        <v>25</v>
      </c>
      <c r="F207" s="4" t="s">
        <v>63</v>
      </c>
      <c r="G207" s="4" t="s">
        <v>25</v>
      </c>
      <c r="H207" s="4" t="s">
        <v>35</v>
      </c>
      <c r="I207" s="5">
        <v>43770</v>
      </c>
      <c r="J207" s="6">
        <v>3300</v>
      </c>
      <c r="K207" s="6">
        <v>2071.2097229999999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4" t="s">
        <v>60</v>
      </c>
      <c r="R207" s="4">
        <v>0</v>
      </c>
      <c r="S207" s="4" t="s">
        <v>240</v>
      </c>
      <c r="U207" s="4">
        <v>11</v>
      </c>
      <c r="V207" s="4">
        <v>0</v>
      </c>
      <c r="W207" s="4">
        <v>0</v>
      </c>
    </row>
    <row r="208" spans="1:23" ht="11.25" customHeight="1" x14ac:dyDescent="0.25">
      <c r="A208" s="4" t="s">
        <v>21</v>
      </c>
      <c r="B208" s="4" t="s">
        <v>45</v>
      </c>
      <c r="C208" s="4" t="s">
        <v>41</v>
      </c>
      <c r="D208" s="4" t="s">
        <v>40</v>
      </c>
      <c r="E208" s="4" t="s">
        <v>25</v>
      </c>
      <c r="F208" s="4" t="s">
        <v>63</v>
      </c>
      <c r="G208" s="4" t="s">
        <v>25</v>
      </c>
      <c r="H208" s="4" t="s">
        <v>35</v>
      </c>
      <c r="I208" s="5">
        <v>43800</v>
      </c>
      <c r="J208" s="6">
        <v>3300</v>
      </c>
      <c r="K208" s="6">
        <v>2077.8276420000002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4" t="s">
        <v>60</v>
      </c>
      <c r="R208" s="4">
        <v>0</v>
      </c>
      <c r="S208" s="4" t="s">
        <v>241</v>
      </c>
      <c r="U208" s="4">
        <v>11</v>
      </c>
      <c r="V208" s="4">
        <v>0</v>
      </c>
      <c r="W208" s="4">
        <v>0</v>
      </c>
    </row>
    <row r="209" spans="1:23" ht="11.25" customHeight="1" x14ac:dyDescent="0.25">
      <c r="A209" s="4" t="s">
        <v>21</v>
      </c>
      <c r="B209" s="4" t="s">
        <v>45</v>
      </c>
      <c r="C209" s="4" t="s">
        <v>41</v>
      </c>
      <c r="D209" s="4" t="s">
        <v>40</v>
      </c>
      <c r="E209" s="4" t="s">
        <v>25</v>
      </c>
      <c r="F209" s="4" t="s">
        <v>63</v>
      </c>
      <c r="G209" s="4" t="s">
        <v>25</v>
      </c>
      <c r="H209" s="4" t="s">
        <v>35</v>
      </c>
      <c r="I209" s="5">
        <v>43831</v>
      </c>
      <c r="J209" s="6">
        <v>3300</v>
      </c>
      <c r="K209" s="6">
        <v>2056.8119219999999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4" t="s">
        <v>60</v>
      </c>
      <c r="R209" s="4">
        <v>0</v>
      </c>
      <c r="S209" s="4" t="s">
        <v>242</v>
      </c>
      <c r="U209" s="4">
        <v>11</v>
      </c>
      <c r="V209" s="4">
        <v>0</v>
      </c>
      <c r="W209" s="4">
        <v>0</v>
      </c>
    </row>
    <row r="210" spans="1:23" ht="11.25" customHeight="1" x14ac:dyDescent="0.25">
      <c r="A210" s="4" t="s">
        <v>21</v>
      </c>
      <c r="B210" s="4" t="s">
        <v>45</v>
      </c>
      <c r="C210" s="4" t="s">
        <v>41</v>
      </c>
      <c r="D210" s="4" t="s">
        <v>40</v>
      </c>
      <c r="E210" s="4" t="s">
        <v>25</v>
      </c>
      <c r="F210" s="4" t="s">
        <v>63</v>
      </c>
      <c r="G210" s="4" t="s">
        <v>25</v>
      </c>
      <c r="H210" s="4" t="s">
        <v>35</v>
      </c>
      <c r="I210" s="5">
        <v>43862</v>
      </c>
      <c r="J210" s="6">
        <v>3300</v>
      </c>
      <c r="K210" s="6">
        <v>2056.1918850000002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4" t="s">
        <v>60</v>
      </c>
      <c r="R210" s="4">
        <v>0</v>
      </c>
      <c r="S210" s="4" t="s">
        <v>243</v>
      </c>
      <c r="U210" s="4">
        <v>11</v>
      </c>
      <c r="V210" s="4">
        <v>0</v>
      </c>
      <c r="W210" s="4">
        <v>0</v>
      </c>
    </row>
    <row r="211" spans="1:23" ht="11.25" customHeight="1" x14ac:dyDescent="0.25">
      <c r="A211" s="4" t="s">
        <v>21</v>
      </c>
      <c r="B211" s="4" t="s">
        <v>45</v>
      </c>
      <c r="C211" s="4" t="s">
        <v>41</v>
      </c>
      <c r="D211" s="4" t="s">
        <v>40</v>
      </c>
      <c r="E211" s="4" t="s">
        <v>25</v>
      </c>
      <c r="F211" s="4" t="s">
        <v>63</v>
      </c>
      <c r="G211" s="4" t="s">
        <v>25</v>
      </c>
      <c r="H211" s="4" t="s">
        <v>35</v>
      </c>
      <c r="I211" s="5">
        <v>43891</v>
      </c>
      <c r="J211" s="6">
        <v>3300</v>
      </c>
      <c r="K211" s="6">
        <v>2702.81088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4" t="s">
        <v>60</v>
      </c>
      <c r="R211" s="4">
        <v>0</v>
      </c>
      <c r="S211" s="4" t="s">
        <v>244</v>
      </c>
      <c r="U211" s="4">
        <v>11</v>
      </c>
      <c r="V211" s="4">
        <v>0</v>
      </c>
      <c r="W211" s="4">
        <v>0</v>
      </c>
    </row>
    <row r="212" spans="1:23" ht="11.25" customHeight="1" x14ac:dyDescent="0.25">
      <c r="A212" s="4" t="s">
        <v>21</v>
      </c>
      <c r="B212" s="4" t="s">
        <v>45</v>
      </c>
      <c r="C212" s="4" t="s">
        <v>41</v>
      </c>
      <c r="D212" s="4" t="s">
        <v>40</v>
      </c>
      <c r="E212" s="4" t="s">
        <v>25</v>
      </c>
      <c r="F212" s="4" t="s">
        <v>63</v>
      </c>
      <c r="G212" s="4" t="s">
        <v>25</v>
      </c>
      <c r="H212" s="4" t="s">
        <v>35</v>
      </c>
      <c r="I212" s="5">
        <v>43922</v>
      </c>
      <c r="J212" s="6">
        <v>3300</v>
      </c>
      <c r="K212" s="6">
        <v>3300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4" t="s">
        <v>60</v>
      </c>
      <c r="R212" s="4">
        <v>0</v>
      </c>
      <c r="S212" s="4" t="s">
        <v>245</v>
      </c>
      <c r="U212" s="4">
        <v>11</v>
      </c>
      <c r="V212" s="4">
        <v>0</v>
      </c>
      <c r="W212" s="4">
        <v>0</v>
      </c>
    </row>
    <row r="213" spans="1:23" ht="11.25" customHeight="1" x14ac:dyDescent="0.25">
      <c r="A213" s="4" t="s">
        <v>21</v>
      </c>
      <c r="B213" s="4" t="s">
        <v>45</v>
      </c>
      <c r="C213" s="4" t="s">
        <v>41</v>
      </c>
      <c r="D213" s="4" t="s">
        <v>40</v>
      </c>
      <c r="E213" s="4" t="s">
        <v>25</v>
      </c>
      <c r="F213" s="4" t="s">
        <v>63</v>
      </c>
      <c r="G213" s="4" t="s">
        <v>25</v>
      </c>
      <c r="H213" s="4" t="s">
        <v>35</v>
      </c>
      <c r="I213" s="5">
        <v>43952</v>
      </c>
      <c r="J213" s="6">
        <v>3300</v>
      </c>
      <c r="K213" s="6">
        <v>3300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4" t="s">
        <v>60</v>
      </c>
      <c r="R213" s="4">
        <v>0</v>
      </c>
      <c r="S213" s="4" t="s">
        <v>246</v>
      </c>
      <c r="U213" s="4">
        <v>11</v>
      </c>
      <c r="V213" s="4">
        <v>0</v>
      </c>
      <c r="W213" s="4">
        <v>0</v>
      </c>
    </row>
    <row r="214" spans="1:23" ht="11.25" customHeight="1" x14ac:dyDescent="0.25">
      <c r="A214" s="4" t="s">
        <v>21</v>
      </c>
      <c r="B214" s="4" t="s">
        <v>45</v>
      </c>
      <c r="C214" s="4" t="s">
        <v>41</v>
      </c>
      <c r="D214" s="4" t="s">
        <v>40</v>
      </c>
      <c r="E214" s="4" t="s">
        <v>25</v>
      </c>
      <c r="F214" s="4" t="s">
        <v>63</v>
      </c>
      <c r="G214" s="4" t="s">
        <v>25</v>
      </c>
      <c r="H214" s="4" t="s">
        <v>35</v>
      </c>
      <c r="I214" s="5">
        <v>43983</v>
      </c>
      <c r="J214" s="6">
        <v>3300</v>
      </c>
      <c r="K214" s="6">
        <v>3300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4" t="s">
        <v>60</v>
      </c>
      <c r="R214" s="4">
        <v>0</v>
      </c>
      <c r="S214" s="4" t="s">
        <v>247</v>
      </c>
      <c r="U214" s="4">
        <v>11</v>
      </c>
      <c r="V214" s="4">
        <v>0</v>
      </c>
      <c r="W214" s="4">
        <v>0</v>
      </c>
    </row>
    <row r="215" spans="1:23" ht="11.25" customHeight="1" x14ac:dyDescent="0.25">
      <c r="A215" s="4" t="s">
        <v>21</v>
      </c>
      <c r="B215" s="4" t="s">
        <v>45</v>
      </c>
      <c r="C215" s="4" t="s">
        <v>41</v>
      </c>
      <c r="D215" s="4" t="s">
        <v>40</v>
      </c>
      <c r="E215" s="4" t="s">
        <v>25</v>
      </c>
      <c r="F215" s="4" t="s">
        <v>63</v>
      </c>
      <c r="G215" s="4" t="s">
        <v>25</v>
      </c>
      <c r="H215" s="4" t="s">
        <v>35</v>
      </c>
      <c r="I215" s="5">
        <v>44013</v>
      </c>
      <c r="J215" s="6">
        <v>3300</v>
      </c>
      <c r="K215" s="6">
        <v>3300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4" t="s">
        <v>60</v>
      </c>
      <c r="R215" s="4">
        <v>0</v>
      </c>
      <c r="S215" s="4" t="s">
        <v>248</v>
      </c>
      <c r="U215" s="4">
        <v>11</v>
      </c>
      <c r="V215" s="4">
        <v>0</v>
      </c>
      <c r="W215" s="4">
        <v>0</v>
      </c>
    </row>
    <row r="216" spans="1:23" ht="11.25" customHeight="1" x14ac:dyDescent="0.25">
      <c r="A216" s="4" t="s">
        <v>21</v>
      </c>
      <c r="B216" s="4" t="s">
        <v>45</v>
      </c>
      <c r="C216" s="4" t="s">
        <v>41</v>
      </c>
      <c r="D216" s="4" t="s">
        <v>40</v>
      </c>
      <c r="E216" s="4" t="s">
        <v>25</v>
      </c>
      <c r="F216" s="4" t="s">
        <v>63</v>
      </c>
      <c r="G216" s="4" t="s">
        <v>25</v>
      </c>
      <c r="H216" s="4" t="s">
        <v>35</v>
      </c>
      <c r="I216" s="5">
        <v>44044</v>
      </c>
      <c r="J216" s="6">
        <v>3300</v>
      </c>
      <c r="K216" s="6">
        <v>3300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4" t="s">
        <v>60</v>
      </c>
      <c r="R216" s="4">
        <v>0</v>
      </c>
      <c r="S216" s="4" t="s">
        <v>249</v>
      </c>
      <c r="U216" s="4">
        <v>11</v>
      </c>
      <c r="V216" s="4">
        <v>0</v>
      </c>
      <c r="W216" s="4">
        <v>0</v>
      </c>
    </row>
    <row r="217" spans="1:23" ht="11.25" customHeight="1" x14ac:dyDescent="0.25">
      <c r="A217" s="4" t="s">
        <v>59</v>
      </c>
      <c r="B217" s="4" t="s">
        <v>45</v>
      </c>
      <c r="C217" s="4" t="s">
        <v>41</v>
      </c>
      <c r="D217" s="4" t="s">
        <v>40</v>
      </c>
      <c r="E217" s="4" t="s">
        <v>25</v>
      </c>
      <c r="F217" s="4" t="s">
        <v>63</v>
      </c>
      <c r="G217" s="4" t="s">
        <v>25</v>
      </c>
      <c r="H217" s="4" t="s">
        <v>35</v>
      </c>
      <c r="I217" s="5">
        <v>44075</v>
      </c>
      <c r="J217" s="6">
        <v>3300</v>
      </c>
      <c r="K217" s="6">
        <v>3300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4" t="s">
        <v>60</v>
      </c>
      <c r="R217" s="4">
        <v>0</v>
      </c>
      <c r="S217" s="4" t="s">
        <v>250</v>
      </c>
      <c r="U217" s="4">
        <v>11</v>
      </c>
      <c r="V217" s="4">
        <v>0</v>
      </c>
      <c r="W217" s="4">
        <v>0</v>
      </c>
    </row>
    <row r="218" spans="1:23" ht="11.25" customHeight="1" x14ac:dyDescent="0.25">
      <c r="A218" s="4" t="s">
        <v>21</v>
      </c>
      <c r="B218" s="4" t="s">
        <v>45</v>
      </c>
      <c r="C218" s="4" t="s">
        <v>41</v>
      </c>
      <c r="D218" s="4" t="s">
        <v>52</v>
      </c>
      <c r="E218" s="4" t="s">
        <v>53</v>
      </c>
      <c r="F218" s="4" t="s">
        <v>25</v>
      </c>
      <c r="G218" s="4" t="s">
        <v>25</v>
      </c>
      <c r="H218" s="4" t="s">
        <v>36</v>
      </c>
      <c r="I218" s="5">
        <v>43739</v>
      </c>
      <c r="J218" s="6">
        <v>4867</v>
      </c>
      <c r="K218" s="6">
        <v>4282.96</v>
      </c>
      <c r="L218" s="6">
        <v>2039.0350000000001</v>
      </c>
      <c r="M218" s="6">
        <v>1794.3508000000002</v>
      </c>
      <c r="N218" s="6">
        <v>2039.0350000000001</v>
      </c>
      <c r="O218" s="6">
        <v>1794.3508000000002</v>
      </c>
      <c r="P218" s="6">
        <v>0</v>
      </c>
      <c r="Q218" s="4" t="s">
        <v>26</v>
      </c>
      <c r="R218" s="4">
        <v>0</v>
      </c>
      <c r="S218" s="4" t="s">
        <v>215</v>
      </c>
      <c r="T218" s="4" t="s">
        <v>672</v>
      </c>
      <c r="U218" s="4">
        <v>12</v>
      </c>
      <c r="V218" s="4">
        <v>13</v>
      </c>
      <c r="W218" s="4">
        <v>80</v>
      </c>
    </row>
    <row r="219" spans="1:23" ht="11.25" customHeight="1" x14ac:dyDescent="0.25">
      <c r="A219" s="4" t="s">
        <v>21</v>
      </c>
      <c r="B219" s="4" t="s">
        <v>45</v>
      </c>
      <c r="C219" s="4" t="s">
        <v>41</v>
      </c>
      <c r="D219" s="4" t="s">
        <v>52</v>
      </c>
      <c r="E219" s="4" t="s">
        <v>53</v>
      </c>
      <c r="F219" s="4" t="s">
        <v>25</v>
      </c>
      <c r="G219" s="4" t="s">
        <v>25</v>
      </c>
      <c r="H219" s="4" t="s">
        <v>36</v>
      </c>
      <c r="I219" s="5">
        <v>43770</v>
      </c>
      <c r="J219" s="6">
        <v>4896</v>
      </c>
      <c r="K219" s="6">
        <v>4308.4800000000005</v>
      </c>
      <c r="L219" s="6">
        <v>2322.2570000000001</v>
      </c>
      <c r="M219" s="6">
        <v>2043.5861600000001</v>
      </c>
      <c r="N219" s="6">
        <v>2322.2570000000001</v>
      </c>
      <c r="O219" s="6">
        <v>2043.5861600000001</v>
      </c>
      <c r="P219" s="6">
        <v>0</v>
      </c>
      <c r="Q219" s="4" t="s">
        <v>26</v>
      </c>
      <c r="R219" s="4">
        <v>0</v>
      </c>
      <c r="S219" s="4" t="s">
        <v>216</v>
      </c>
      <c r="T219" s="4" t="s">
        <v>673</v>
      </c>
      <c r="U219" s="4">
        <v>12</v>
      </c>
      <c r="V219" s="4">
        <v>13</v>
      </c>
      <c r="W219" s="4">
        <v>80</v>
      </c>
    </row>
    <row r="220" spans="1:23" ht="11.25" customHeight="1" x14ac:dyDescent="0.25">
      <c r="A220" s="4" t="s">
        <v>21</v>
      </c>
      <c r="B220" s="4" t="s">
        <v>45</v>
      </c>
      <c r="C220" s="4" t="s">
        <v>41</v>
      </c>
      <c r="D220" s="4" t="s">
        <v>52</v>
      </c>
      <c r="E220" s="4" t="s">
        <v>53</v>
      </c>
      <c r="F220" s="4" t="s">
        <v>25</v>
      </c>
      <c r="G220" s="4" t="s">
        <v>25</v>
      </c>
      <c r="H220" s="4" t="s">
        <v>36</v>
      </c>
      <c r="I220" s="5">
        <v>43800</v>
      </c>
      <c r="J220" s="6">
        <v>4819</v>
      </c>
      <c r="K220" s="6">
        <v>4240.72</v>
      </c>
      <c r="L220" s="6">
        <v>2181.991</v>
      </c>
      <c r="M220" s="6">
        <v>1920.1520800000001</v>
      </c>
      <c r="N220" s="6">
        <v>2181.991</v>
      </c>
      <c r="O220" s="6">
        <v>1920.1520800000001</v>
      </c>
      <c r="P220" s="6">
        <v>0</v>
      </c>
      <c r="Q220" s="4" t="s">
        <v>26</v>
      </c>
      <c r="R220" s="4">
        <v>0</v>
      </c>
      <c r="S220" s="4" t="s">
        <v>217</v>
      </c>
      <c r="T220" s="4" t="s">
        <v>674</v>
      </c>
      <c r="U220" s="4">
        <v>12</v>
      </c>
      <c r="V220" s="4">
        <v>13</v>
      </c>
      <c r="W220" s="4">
        <v>80</v>
      </c>
    </row>
    <row r="221" spans="1:23" ht="11.25" customHeight="1" x14ac:dyDescent="0.25">
      <c r="A221" s="4" t="s">
        <v>21</v>
      </c>
      <c r="B221" s="4" t="s">
        <v>45</v>
      </c>
      <c r="C221" s="4" t="s">
        <v>41</v>
      </c>
      <c r="D221" s="4" t="s">
        <v>52</v>
      </c>
      <c r="E221" s="4" t="s">
        <v>53</v>
      </c>
      <c r="F221" s="4" t="s">
        <v>25</v>
      </c>
      <c r="G221" s="4" t="s">
        <v>25</v>
      </c>
      <c r="H221" s="4" t="s">
        <v>36</v>
      </c>
      <c r="I221" s="5">
        <v>43831</v>
      </c>
      <c r="J221" s="6">
        <v>4867</v>
      </c>
      <c r="K221" s="6">
        <v>4282.96</v>
      </c>
      <c r="L221" s="6">
        <v>1996.2909999999999</v>
      </c>
      <c r="M221" s="6">
        <v>1756.7360799999999</v>
      </c>
      <c r="N221" s="6">
        <v>1996.2909999999999</v>
      </c>
      <c r="O221" s="6">
        <v>1756.7360799999999</v>
      </c>
      <c r="P221" s="6">
        <v>0</v>
      </c>
      <c r="Q221" s="4" t="s">
        <v>26</v>
      </c>
      <c r="R221" s="4">
        <v>0</v>
      </c>
      <c r="S221" s="4" t="s">
        <v>218</v>
      </c>
      <c r="T221" s="4" t="s">
        <v>675</v>
      </c>
      <c r="U221" s="4">
        <v>12</v>
      </c>
      <c r="V221" s="4">
        <v>13</v>
      </c>
      <c r="W221" s="4">
        <v>80</v>
      </c>
    </row>
    <row r="222" spans="1:23" ht="11.25" customHeight="1" x14ac:dyDescent="0.25">
      <c r="A222" s="4" t="s">
        <v>21</v>
      </c>
      <c r="B222" s="4" t="s">
        <v>45</v>
      </c>
      <c r="C222" s="4" t="s">
        <v>41</v>
      </c>
      <c r="D222" s="4" t="s">
        <v>52</v>
      </c>
      <c r="E222" s="4" t="s">
        <v>53</v>
      </c>
      <c r="F222" s="4" t="s">
        <v>25</v>
      </c>
      <c r="G222" s="4" t="s">
        <v>25</v>
      </c>
      <c r="H222" s="4" t="s">
        <v>36</v>
      </c>
      <c r="I222" s="5">
        <v>43862</v>
      </c>
      <c r="J222" s="6">
        <v>4877</v>
      </c>
      <c r="K222" s="6">
        <v>4291.76</v>
      </c>
      <c r="L222" s="6">
        <v>2130.134</v>
      </c>
      <c r="M222" s="6">
        <v>1874.51792</v>
      </c>
      <c r="N222" s="6">
        <v>2130.134</v>
      </c>
      <c r="O222" s="6">
        <v>1874.51792</v>
      </c>
      <c r="P222" s="6">
        <v>0</v>
      </c>
      <c r="Q222" s="4" t="s">
        <v>26</v>
      </c>
      <c r="R222" s="4">
        <v>0</v>
      </c>
      <c r="S222" s="4" t="s">
        <v>219</v>
      </c>
      <c r="T222" s="4" t="s">
        <v>676</v>
      </c>
      <c r="U222" s="4">
        <v>12</v>
      </c>
      <c r="V222" s="4">
        <v>13</v>
      </c>
      <c r="W222" s="4">
        <v>80</v>
      </c>
    </row>
    <row r="223" spans="1:23" ht="11.25" customHeight="1" x14ac:dyDescent="0.25">
      <c r="A223" s="4" t="s">
        <v>21</v>
      </c>
      <c r="B223" s="4" t="s">
        <v>45</v>
      </c>
      <c r="C223" s="4" t="s">
        <v>41</v>
      </c>
      <c r="D223" s="4" t="s">
        <v>52</v>
      </c>
      <c r="E223" s="4" t="s">
        <v>53</v>
      </c>
      <c r="F223" s="4" t="s">
        <v>25</v>
      </c>
      <c r="G223" s="4" t="s">
        <v>25</v>
      </c>
      <c r="H223" s="4" t="s">
        <v>36</v>
      </c>
      <c r="I223" s="5">
        <v>43891</v>
      </c>
      <c r="J223" s="6">
        <v>4906</v>
      </c>
      <c r="K223" s="6">
        <v>4317.28</v>
      </c>
      <c r="L223" s="6">
        <v>2010.1510000000001</v>
      </c>
      <c r="M223" s="6">
        <v>1768.9328800000001</v>
      </c>
      <c r="N223" s="6">
        <v>2010.1510000000001</v>
      </c>
      <c r="O223" s="6">
        <v>1768.9328800000001</v>
      </c>
      <c r="P223" s="6">
        <v>0</v>
      </c>
      <c r="Q223" s="4" t="s">
        <v>26</v>
      </c>
      <c r="R223" s="4">
        <v>0</v>
      </c>
      <c r="S223" s="4" t="s">
        <v>220</v>
      </c>
      <c r="T223" s="4" t="s">
        <v>677</v>
      </c>
      <c r="U223" s="4">
        <v>12</v>
      </c>
      <c r="V223" s="4">
        <v>13</v>
      </c>
      <c r="W223" s="4">
        <v>80</v>
      </c>
    </row>
    <row r="224" spans="1:23" ht="11.25" customHeight="1" x14ac:dyDescent="0.25">
      <c r="A224" s="4" t="s">
        <v>21</v>
      </c>
      <c r="B224" s="4" t="s">
        <v>45</v>
      </c>
      <c r="C224" s="4" t="s">
        <v>41</v>
      </c>
      <c r="D224" s="4" t="s">
        <v>52</v>
      </c>
      <c r="E224" s="4" t="s">
        <v>53</v>
      </c>
      <c r="F224" s="4" t="s">
        <v>25</v>
      </c>
      <c r="G224" s="4" t="s">
        <v>25</v>
      </c>
      <c r="H224" s="4" t="s">
        <v>36</v>
      </c>
      <c r="I224" s="5">
        <v>43922</v>
      </c>
      <c r="J224" s="6">
        <v>4906</v>
      </c>
      <c r="K224" s="6">
        <v>4317.28</v>
      </c>
      <c r="L224" s="6">
        <v>2322.9340000000002</v>
      </c>
      <c r="M224" s="6">
        <v>2044.1819200000002</v>
      </c>
      <c r="N224" s="6">
        <v>2322.9340000000002</v>
      </c>
      <c r="O224" s="6">
        <v>2044.1819200000002</v>
      </c>
      <c r="P224" s="6">
        <v>0</v>
      </c>
      <c r="Q224" s="4" t="s">
        <v>26</v>
      </c>
      <c r="R224" s="4">
        <v>0</v>
      </c>
      <c r="S224" s="4" t="s">
        <v>221</v>
      </c>
      <c r="T224" s="4" t="s">
        <v>678</v>
      </c>
      <c r="U224" s="4">
        <v>12</v>
      </c>
      <c r="V224" s="4">
        <v>13</v>
      </c>
      <c r="W224" s="4">
        <v>80</v>
      </c>
    </row>
    <row r="225" spans="1:23" ht="11.25" customHeight="1" x14ac:dyDescent="0.25">
      <c r="A225" s="4" t="s">
        <v>21</v>
      </c>
      <c r="B225" s="4" t="s">
        <v>45</v>
      </c>
      <c r="C225" s="4" t="s">
        <v>41</v>
      </c>
      <c r="D225" s="4" t="s">
        <v>52</v>
      </c>
      <c r="E225" s="4" t="s">
        <v>53</v>
      </c>
      <c r="F225" s="4" t="s">
        <v>25</v>
      </c>
      <c r="G225" s="4" t="s">
        <v>25</v>
      </c>
      <c r="H225" s="4" t="s">
        <v>36</v>
      </c>
      <c r="I225" s="5">
        <v>43952</v>
      </c>
      <c r="J225" s="6">
        <v>4810</v>
      </c>
      <c r="K225" s="6">
        <v>4232.8</v>
      </c>
      <c r="L225" s="6">
        <v>2311.558</v>
      </c>
      <c r="M225" s="6">
        <v>2034.1710399999999</v>
      </c>
      <c r="N225" s="6">
        <v>2311.558</v>
      </c>
      <c r="O225" s="6">
        <v>2034.1710399999999</v>
      </c>
      <c r="P225" s="6">
        <v>0</v>
      </c>
      <c r="Q225" s="4" t="s">
        <v>26</v>
      </c>
      <c r="R225" s="4">
        <v>0</v>
      </c>
      <c r="S225" s="4" t="s">
        <v>222</v>
      </c>
      <c r="T225" s="4" t="s">
        <v>679</v>
      </c>
      <c r="U225" s="4">
        <v>12</v>
      </c>
      <c r="V225" s="4">
        <v>13</v>
      </c>
      <c r="W225" s="4">
        <v>80</v>
      </c>
    </row>
    <row r="226" spans="1:23" ht="11.25" customHeight="1" x14ac:dyDescent="0.25">
      <c r="A226" s="4" t="s">
        <v>21</v>
      </c>
      <c r="B226" s="4" t="s">
        <v>45</v>
      </c>
      <c r="C226" s="4" t="s">
        <v>41</v>
      </c>
      <c r="D226" s="4" t="s">
        <v>52</v>
      </c>
      <c r="E226" s="4" t="s">
        <v>53</v>
      </c>
      <c r="F226" s="4" t="s">
        <v>25</v>
      </c>
      <c r="G226" s="4" t="s">
        <v>25</v>
      </c>
      <c r="H226" s="4" t="s">
        <v>36</v>
      </c>
      <c r="I226" s="5">
        <v>43983</v>
      </c>
      <c r="J226" s="6">
        <v>4848</v>
      </c>
      <c r="K226" s="6">
        <v>4266.24</v>
      </c>
      <c r="L226" s="6">
        <v>2535.71</v>
      </c>
      <c r="M226" s="6">
        <v>2231.4248000000002</v>
      </c>
      <c r="N226" s="6">
        <v>2535.71</v>
      </c>
      <c r="O226" s="6">
        <v>2231.4248000000002</v>
      </c>
      <c r="P226" s="6">
        <v>0</v>
      </c>
      <c r="Q226" s="4" t="s">
        <v>26</v>
      </c>
      <c r="R226" s="4">
        <v>0</v>
      </c>
      <c r="S226" s="4" t="s">
        <v>223</v>
      </c>
      <c r="T226" s="4" t="s">
        <v>680</v>
      </c>
      <c r="U226" s="4">
        <v>12</v>
      </c>
      <c r="V226" s="4">
        <v>13</v>
      </c>
      <c r="W226" s="4">
        <v>80</v>
      </c>
    </row>
    <row r="227" spans="1:23" ht="11.25" customHeight="1" x14ac:dyDescent="0.25">
      <c r="A227" s="4" t="s">
        <v>21</v>
      </c>
      <c r="B227" s="4" t="s">
        <v>45</v>
      </c>
      <c r="C227" s="4" t="s">
        <v>41</v>
      </c>
      <c r="D227" s="4" t="s">
        <v>52</v>
      </c>
      <c r="E227" s="4" t="s">
        <v>53</v>
      </c>
      <c r="F227" s="4" t="s">
        <v>25</v>
      </c>
      <c r="G227" s="4" t="s">
        <v>25</v>
      </c>
      <c r="H227" s="4" t="s">
        <v>36</v>
      </c>
      <c r="I227" s="5">
        <v>44013</v>
      </c>
      <c r="J227" s="6">
        <v>4867</v>
      </c>
      <c r="K227" s="6">
        <v>4282.96</v>
      </c>
      <c r="L227" s="6">
        <v>2454.13</v>
      </c>
      <c r="M227" s="6">
        <v>2159.6343999999999</v>
      </c>
      <c r="N227" s="6">
        <v>2454.13</v>
      </c>
      <c r="O227" s="6">
        <v>2159.6343999999999</v>
      </c>
      <c r="P227" s="6">
        <v>0</v>
      </c>
      <c r="Q227" s="4" t="s">
        <v>26</v>
      </c>
      <c r="R227" s="4">
        <v>0</v>
      </c>
      <c r="S227" s="4" t="s">
        <v>224</v>
      </c>
      <c r="T227" s="4" t="s">
        <v>681</v>
      </c>
      <c r="U227" s="4">
        <v>12</v>
      </c>
      <c r="V227" s="4">
        <v>13</v>
      </c>
      <c r="W227" s="4">
        <v>80</v>
      </c>
    </row>
    <row r="228" spans="1:23" ht="11.25" customHeight="1" x14ac:dyDescent="0.25">
      <c r="A228" s="4" t="s">
        <v>21</v>
      </c>
      <c r="B228" s="4" t="s">
        <v>45</v>
      </c>
      <c r="C228" s="4" t="s">
        <v>41</v>
      </c>
      <c r="D228" s="4" t="s">
        <v>52</v>
      </c>
      <c r="E228" s="4" t="s">
        <v>53</v>
      </c>
      <c r="F228" s="4" t="s">
        <v>25</v>
      </c>
      <c r="G228" s="4" t="s">
        <v>25</v>
      </c>
      <c r="H228" s="4" t="s">
        <v>36</v>
      </c>
      <c r="I228" s="5">
        <v>44044</v>
      </c>
      <c r="J228" s="6">
        <v>4858</v>
      </c>
      <c r="K228" s="6">
        <v>4275.04</v>
      </c>
      <c r="L228" s="6">
        <v>2414.172</v>
      </c>
      <c r="M228" s="6">
        <v>2124.47136</v>
      </c>
      <c r="N228" s="6">
        <v>2414.172</v>
      </c>
      <c r="O228" s="6">
        <v>2124.47136</v>
      </c>
      <c r="P228" s="6">
        <v>0</v>
      </c>
      <c r="Q228" s="4" t="s">
        <v>26</v>
      </c>
      <c r="R228" s="4">
        <v>0</v>
      </c>
      <c r="S228" s="4" t="s">
        <v>225</v>
      </c>
      <c r="T228" s="4" t="s">
        <v>682</v>
      </c>
      <c r="U228" s="4">
        <v>12</v>
      </c>
      <c r="V228" s="4">
        <v>13</v>
      </c>
      <c r="W228" s="4">
        <v>80</v>
      </c>
    </row>
    <row r="229" spans="1:23" ht="11.25" customHeight="1" x14ac:dyDescent="0.25">
      <c r="A229" s="4" t="s">
        <v>59</v>
      </c>
      <c r="B229" s="4" t="s">
        <v>45</v>
      </c>
      <c r="C229" s="4" t="s">
        <v>41</v>
      </c>
      <c r="D229" s="4" t="s">
        <v>52</v>
      </c>
      <c r="E229" s="4" t="s">
        <v>53</v>
      </c>
      <c r="F229" s="4" t="s">
        <v>25</v>
      </c>
      <c r="G229" s="4" t="s">
        <v>25</v>
      </c>
      <c r="H229" s="4" t="s">
        <v>36</v>
      </c>
      <c r="I229" s="5">
        <v>44075</v>
      </c>
      <c r="J229" s="6">
        <v>4858</v>
      </c>
      <c r="K229" s="6">
        <v>4275.04</v>
      </c>
      <c r="L229" s="6">
        <v>2414.172</v>
      </c>
      <c r="M229" s="6">
        <v>2124.47136</v>
      </c>
      <c r="N229" s="6">
        <v>2414.172</v>
      </c>
      <c r="O229" s="6">
        <v>2124.47136</v>
      </c>
      <c r="P229" s="6">
        <v>0</v>
      </c>
      <c r="Q229" s="4" t="s">
        <v>26</v>
      </c>
      <c r="R229" s="4">
        <v>0</v>
      </c>
      <c r="S229" s="4" t="s">
        <v>226</v>
      </c>
      <c r="T229" s="4" t="s">
        <v>683</v>
      </c>
      <c r="U229" s="4">
        <v>12</v>
      </c>
      <c r="V229" s="4">
        <v>13</v>
      </c>
      <c r="W229" s="4">
        <v>80</v>
      </c>
    </row>
    <row r="230" spans="1:23" ht="11.25" customHeight="1" x14ac:dyDescent="0.25">
      <c r="A230" s="4" t="s">
        <v>21</v>
      </c>
      <c r="B230" s="4" t="s">
        <v>45</v>
      </c>
      <c r="C230" s="4" t="s">
        <v>41</v>
      </c>
      <c r="D230" s="4" t="s">
        <v>52</v>
      </c>
      <c r="E230" s="4" t="s">
        <v>53</v>
      </c>
      <c r="F230" s="4" t="s">
        <v>25</v>
      </c>
      <c r="G230" s="4" t="s">
        <v>25</v>
      </c>
      <c r="H230" s="4" t="s">
        <v>35</v>
      </c>
      <c r="I230" s="5">
        <v>43739</v>
      </c>
      <c r="J230" s="6">
        <v>3800</v>
      </c>
      <c r="K230" s="6">
        <v>3344</v>
      </c>
      <c r="L230" s="6">
        <v>212.26300000000001</v>
      </c>
      <c r="M230" s="6">
        <v>186.79143999999999</v>
      </c>
      <c r="N230" s="6">
        <v>212.26300000000001</v>
      </c>
      <c r="O230" s="6">
        <v>186.79143999999999</v>
      </c>
      <c r="P230" s="6">
        <v>0</v>
      </c>
      <c r="Q230" s="4" t="s">
        <v>26</v>
      </c>
      <c r="R230" s="4">
        <v>0</v>
      </c>
      <c r="S230" s="4" t="s">
        <v>239</v>
      </c>
      <c r="T230" s="4" t="s">
        <v>684</v>
      </c>
      <c r="U230" s="4">
        <v>11</v>
      </c>
      <c r="V230" s="4">
        <v>13</v>
      </c>
      <c r="W230" s="4">
        <v>79</v>
      </c>
    </row>
    <row r="231" spans="1:23" ht="11.25" customHeight="1" x14ac:dyDescent="0.25">
      <c r="A231" s="4" t="s">
        <v>21</v>
      </c>
      <c r="B231" s="4" t="s">
        <v>45</v>
      </c>
      <c r="C231" s="4" t="s">
        <v>41</v>
      </c>
      <c r="D231" s="4" t="s">
        <v>52</v>
      </c>
      <c r="E231" s="4" t="s">
        <v>53</v>
      </c>
      <c r="F231" s="4" t="s">
        <v>25</v>
      </c>
      <c r="G231" s="4" t="s">
        <v>25</v>
      </c>
      <c r="H231" s="4" t="s">
        <v>35</v>
      </c>
      <c r="I231" s="5">
        <v>43770</v>
      </c>
      <c r="J231" s="6">
        <v>3800</v>
      </c>
      <c r="K231" s="6">
        <v>3344</v>
      </c>
      <c r="L231" s="6">
        <v>249.39599999999999</v>
      </c>
      <c r="M231" s="6">
        <v>219.46848</v>
      </c>
      <c r="N231" s="6">
        <v>249.39599999999999</v>
      </c>
      <c r="O231" s="6">
        <v>219.46848</v>
      </c>
      <c r="P231" s="6">
        <v>0</v>
      </c>
      <c r="Q231" s="4" t="s">
        <v>26</v>
      </c>
      <c r="R231" s="4">
        <v>0</v>
      </c>
      <c r="S231" s="4" t="s">
        <v>240</v>
      </c>
      <c r="T231" s="4" t="s">
        <v>685</v>
      </c>
      <c r="U231" s="4">
        <v>11</v>
      </c>
      <c r="V231" s="4">
        <v>13</v>
      </c>
      <c r="W231" s="4">
        <v>79</v>
      </c>
    </row>
    <row r="232" spans="1:23" ht="11.25" customHeight="1" x14ac:dyDescent="0.25">
      <c r="A232" s="4" t="s">
        <v>21</v>
      </c>
      <c r="B232" s="4" t="s">
        <v>45</v>
      </c>
      <c r="C232" s="4" t="s">
        <v>41</v>
      </c>
      <c r="D232" s="4" t="s">
        <v>52</v>
      </c>
      <c r="E232" s="4" t="s">
        <v>53</v>
      </c>
      <c r="F232" s="4" t="s">
        <v>25</v>
      </c>
      <c r="G232" s="4" t="s">
        <v>25</v>
      </c>
      <c r="H232" s="4" t="s">
        <v>35</v>
      </c>
      <c r="I232" s="5">
        <v>43800</v>
      </c>
      <c r="J232" s="6">
        <v>3936</v>
      </c>
      <c r="K232" s="6">
        <v>3463.68</v>
      </c>
      <c r="L232" s="6">
        <v>217.93199999999999</v>
      </c>
      <c r="M232" s="6">
        <v>191.78016</v>
      </c>
      <c r="N232" s="6">
        <v>217.93199999999999</v>
      </c>
      <c r="O232" s="6">
        <v>191.78016</v>
      </c>
      <c r="P232" s="6">
        <v>0</v>
      </c>
      <c r="Q232" s="4" t="s">
        <v>26</v>
      </c>
      <c r="R232" s="4">
        <v>0</v>
      </c>
      <c r="S232" s="4" t="s">
        <v>241</v>
      </c>
      <c r="T232" s="4" t="s">
        <v>686</v>
      </c>
      <c r="U232" s="4">
        <v>11</v>
      </c>
      <c r="V232" s="4">
        <v>13</v>
      </c>
      <c r="W232" s="4">
        <v>79</v>
      </c>
    </row>
    <row r="233" spans="1:23" ht="11.25" customHeight="1" x14ac:dyDescent="0.25">
      <c r="A233" s="4" t="s">
        <v>21</v>
      </c>
      <c r="B233" s="4" t="s">
        <v>45</v>
      </c>
      <c r="C233" s="4" t="s">
        <v>41</v>
      </c>
      <c r="D233" s="4" t="s">
        <v>52</v>
      </c>
      <c r="E233" s="4" t="s">
        <v>53</v>
      </c>
      <c r="F233" s="4" t="s">
        <v>25</v>
      </c>
      <c r="G233" s="4" t="s">
        <v>25</v>
      </c>
      <c r="H233" s="4" t="s">
        <v>35</v>
      </c>
      <c r="I233" s="5">
        <v>43831</v>
      </c>
      <c r="J233" s="6">
        <v>3800</v>
      </c>
      <c r="K233" s="6">
        <v>3344</v>
      </c>
      <c r="L233" s="6">
        <v>183.30699999999999</v>
      </c>
      <c r="M233" s="6">
        <v>161.31016</v>
      </c>
      <c r="N233" s="6">
        <v>183.30699999999999</v>
      </c>
      <c r="O233" s="6">
        <v>161.31016</v>
      </c>
      <c r="P233" s="6">
        <v>0</v>
      </c>
      <c r="Q233" s="4" t="s">
        <v>26</v>
      </c>
      <c r="R233" s="4">
        <v>0</v>
      </c>
      <c r="S233" s="4" t="s">
        <v>242</v>
      </c>
      <c r="T233" s="4" t="s">
        <v>687</v>
      </c>
      <c r="U233" s="4">
        <v>11</v>
      </c>
      <c r="V233" s="4">
        <v>13</v>
      </c>
      <c r="W233" s="4">
        <v>79</v>
      </c>
    </row>
    <row r="234" spans="1:23" ht="11.25" customHeight="1" x14ac:dyDescent="0.25">
      <c r="A234" s="4" t="s">
        <v>21</v>
      </c>
      <c r="B234" s="4" t="s">
        <v>45</v>
      </c>
      <c r="C234" s="4" t="s">
        <v>41</v>
      </c>
      <c r="D234" s="4" t="s">
        <v>52</v>
      </c>
      <c r="E234" s="4" t="s">
        <v>53</v>
      </c>
      <c r="F234" s="4" t="s">
        <v>25</v>
      </c>
      <c r="G234" s="4" t="s">
        <v>25</v>
      </c>
      <c r="H234" s="4" t="s">
        <v>35</v>
      </c>
      <c r="I234" s="5">
        <v>43862</v>
      </c>
      <c r="J234" s="6">
        <v>3888</v>
      </c>
      <c r="K234" s="6">
        <v>3421.44</v>
      </c>
      <c r="L234" s="6">
        <v>233.4</v>
      </c>
      <c r="M234" s="6">
        <v>205.392</v>
      </c>
      <c r="N234" s="6">
        <v>233.4</v>
      </c>
      <c r="O234" s="6">
        <v>205.392</v>
      </c>
      <c r="P234" s="6">
        <v>0</v>
      </c>
      <c r="Q234" s="4" t="s">
        <v>26</v>
      </c>
      <c r="R234" s="4">
        <v>0</v>
      </c>
      <c r="S234" s="4" t="s">
        <v>243</v>
      </c>
      <c r="T234" s="4" t="s">
        <v>688</v>
      </c>
      <c r="U234" s="4">
        <v>11</v>
      </c>
      <c r="V234" s="4">
        <v>13</v>
      </c>
      <c r="W234" s="4">
        <v>79</v>
      </c>
    </row>
    <row r="235" spans="1:23" ht="11.25" customHeight="1" x14ac:dyDescent="0.25">
      <c r="A235" s="4" t="s">
        <v>21</v>
      </c>
      <c r="B235" s="4" t="s">
        <v>45</v>
      </c>
      <c r="C235" s="4" t="s">
        <v>41</v>
      </c>
      <c r="D235" s="4" t="s">
        <v>52</v>
      </c>
      <c r="E235" s="4" t="s">
        <v>53</v>
      </c>
      <c r="F235" s="4" t="s">
        <v>25</v>
      </c>
      <c r="G235" s="4" t="s">
        <v>25</v>
      </c>
      <c r="H235" s="4" t="s">
        <v>35</v>
      </c>
      <c r="I235" s="5">
        <v>43891</v>
      </c>
      <c r="J235" s="6">
        <v>3888</v>
      </c>
      <c r="K235" s="6">
        <v>3421.44</v>
      </c>
      <c r="L235" s="6">
        <v>195.57400000000001</v>
      </c>
      <c r="M235" s="6">
        <v>172.10512</v>
      </c>
      <c r="N235" s="6">
        <v>195.57400000000001</v>
      </c>
      <c r="O235" s="6">
        <v>172.10512</v>
      </c>
      <c r="P235" s="6">
        <v>0</v>
      </c>
      <c r="Q235" s="4" t="s">
        <v>26</v>
      </c>
      <c r="R235" s="4">
        <v>0</v>
      </c>
      <c r="S235" s="4" t="s">
        <v>244</v>
      </c>
      <c r="T235" s="4" t="s">
        <v>689</v>
      </c>
      <c r="U235" s="4">
        <v>11</v>
      </c>
      <c r="V235" s="4">
        <v>13</v>
      </c>
      <c r="W235" s="4">
        <v>79</v>
      </c>
    </row>
    <row r="236" spans="1:23" ht="11.25" customHeight="1" x14ac:dyDescent="0.25">
      <c r="A236" s="4" t="s">
        <v>21</v>
      </c>
      <c r="B236" s="4" t="s">
        <v>45</v>
      </c>
      <c r="C236" s="4" t="s">
        <v>41</v>
      </c>
      <c r="D236" s="4" t="s">
        <v>52</v>
      </c>
      <c r="E236" s="4" t="s">
        <v>53</v>
      </c>
      <c r="F236" s="4" t="s">
        <v>25</v>
      </c>
      <c r="G236" s="4" t="s">
        <v>25</v>
      </c>
      <c r="H236" s="4" t="s">
        <v>35</v>
      </c>
      <c r="I236" s="5">
        <v>43922</v>
      </c>
      <c r="J236" s="6">
        <v>3878</v>
      </c>
      <c r="K236" s="6">
        <v>3412.64</v>
      </c>
      <c r="L236" s="6">
        <v>198.732</v>
      </c>
      <c r="M236" s="6">
        <v>174.88416000000001</v>
      </c>
      <c r="N236" s="6">
        <v>198.732</v>
      </c>
      <c r="O236" s="6">
        <v>174.88416000000001</v>
      </c>
      <c r="P236" s="6">
        <v>0</v>
      </c>
      <c r="Q236" s="4" t="s">
        <v>26</v>
      </c>
      <c r="R236" s="4">
        <v>0</v>
      </c>
      <c r="S236" s="4" t="s">
        <v>245</v>
      </c>
      <c r="T236" s="4" t="s">
        <v>690</v>
      </c>
      <c r="U236" s="4">
        <v>11</v>
      </c>
      <c r="V236" s="4">
        <v>13</v>
      </c>
      <c r="W236" s="4">
        <v>79</v>
      </c>
    </row>
    <row r="237" spans="1:23" ht="11.25" customHeight="1" x14ac:dyDescent="0.25">
      <c r="A237" s="4" t="s">
        <v>21</v>
      </c>
      <c r="B237" s="4" t="s">
        <v>45</v>
      </c>
      <c r="C237" s="4" t="s">
        <v>41</v>
      </c>
      <c r="D237" s="4" t="s">
        <v>52</v>
      </c>
      <c r="E237" s="4" t="s">
        <v>53</v>
      </c>
      <c r="F237" s="4" t="s">
        <v>25</v>
      </c>
      <c r="G237" s="4" t="s">
        <v>25</v>
      </c>
      <c r="H237" s="4" t="s">
        <v>35</v>
      </c>
      <c r="I237" s="5">
        <v>43952</v>
      </c>
      <c r="J237" s="6">
        <v>3859</v>
      </c>
      <c r="K237" s="6">
        <v>3395.92</v>
      </c>
      <c r="L237" s="6">
        <v>212.70500000000001</v>
      </c>
      <c r="M237" s="6">
        <v>187.18040000000002</v>
      </c>
      <c r="N237" s="6">
        <v>212.70500000000001</v>
      </c>
      <c r="O237" s="6">
        <v>187.18040000000002</v>
      </c>
      <c r="P237" s="6">
        <v>0</v>
      </c>
      <c r="Q237" s="4" t="s">
        <v>26</v>
      </c>
      <c r="R237" s="4">
        <v>0</v>
      </c>
      <c r="S237" s="4" t="s">
        <v>246</v>
      </c>
      <c r="T237" s="4" t="s">
        <v>691</v>
      </c>
      <c r="U237" s="4">
        <v>11</v>
      </c>
      <c r="V237" s="4">
        <v>13</v>
      </c>
      <c r="W237" s="4">
        <v>79</v>
      </c>
    </row>
    <row r="238" spans="1:23" ht="11.25" customHeight="1" x14ac:dyDescent="0.25">
      <c r="A238" s="4" t="s">
        <v>21</v>
      </c>
      <c r="B238" s="4" t="s">
        <v>45</v>
      </c>
      <c r="C238" s="4" t="s">
        <v>41</v>
      </c>
      <c r="D238" s="4" t="s">
        <v>52</v>
      </c>
      <c r="E238" s="4" t="s">
        <v>53</v>
      </c>
      <c r="F238" s="4" t="s">
        <v>25</v>
      </c>
      <c r="G238" s="4" t="s">
        <v>25</v>
      </c>
      <c r="H238" s="4" t="s">
        <v>35</v>
      </c>
      <c r="I238" s="5">
        <v>43983</v>
      </c>
      <c r="J238" s="6">
        <v>3869</v>
      </c>
      <c r="K238" s="6">
        <v>3404.72</v>
      </c>
      <c r="L238" s="6">
        <v>235.36600000000001</v>
      </c>
      <c r="M238" s="6">
        <v>207.12208000000001</v>
      </c>
      <c r="N238" s="6">
        <v>235.36600000000001</v>
      </c>
      <c r="O238" s="6">
        <v>207.12208000000001</v>
      </c>
      <c r="P238" s="6">
        <v>0</v>
      </c>
      <c r="Q238" s="4" t="s">
        <v>26</v>
      </c>
      <c r="R238" s="4">
        <v>0</v>
      </c>
      <c r="S238" s="4" t="s">
        <v>247</v>
      </c>
      <c r="T238" s="4" t="s">
        <v>692</v>
      </c>
      <c r="U238" s="4">
        <v>11</v>
      </c>
      <c r="V238" s="4">
        <v>13</v>
      </c>
      <c r="W238" s="4">
        <v>79</v>
      </c>
    </row>
    <row r="239" spans="1:23" ht="11.25" customHeight="1" x14ac:dyDescent="0.25">
      <c r="A239" s="4" t="s">
        <v>21</v>
      </c>
      <c r="B239" s="4" t="s">
        <v>45</v>
      </c>
      <c r="C239" s="4" t="s">
        <v>41</v>
      </c>
      <c r="D239" s="4" t="s">
        <v>52</v>
      </c>
      <c r="E239" s="4" t="s">
        <v>53</v>
      </c>
      <c r="F239" s="4" t="s">
        <v>25</v>
      </c>
      <c r="G239" s="4" t="s">
        <v>25</v>
      </c>
      <c r="H239" s="4" t="s">
        <v>35</v>
      </c>
      <c r="I239" s="5">
        <v>44013</v>
      </c>
      <c r="J239" s="6">
        <v>3869</v>
      </c>
      <c r="K239" s="6">
        <v>3404.72</v>
      </c>
      <c r="L239" s="6">
        <v>234.86600000000001</v>
      </c>
      <c r="M239" s="6">
        <v>206.68208000000001</v>
      </c>
      <c r="N239" s="6">
        <v>234.86600000000001</v>
      </c>
      <c r="O239" s="6">
        <v>206.68208000000001</v>
      </c>
      <c r="P239" s="6">
        <v>0</v>
      </c>
      <c r="Q239" s="4" t="s">
        <v>26</v>
      </c>
      <c r="R239" s="4">
        <v>0</v>
      </c>
      <c r="S239" s="4" t="s">
        <v>248</v>
      </c>
      <c r="T239" s="4" t="s">
        <v>693</v>
      </c>
      <c r="U239" s="4">
        <v>11</v>
      </c>
      <c r="V239" s="4">
        <v>13</v>
      </c>
      <c r="W239" s="4">
        <v>79</v>
      </c>
    </row>
    <row r="240" spans="1:23" ht="11.25" customHeight="1" x14ac:dyDescent="0.25">
      <c r="A240" s="4" t="s">
        <v>21</v>
      </c>
      <c r="B240" s="4" t="s">
        <v>45</v>
      </c>
      <c r="C240" s="4" t="s">
        <v>41</v>
      </c>
      <c r="D240" s="4" t="s">
        <v>52</v>
      </c>
      <c r="E240" s="4" t="s">
        <v>53</v>
      </c>
      <c r="F240" s="4" t="s">
        <v>25</v>
      </c>
      <c r="G240" s="4" t="s">
        <v>25</v>
      </c>
      <c r="H240" s="4" t="s">
        <v>35</v>
      </c>
      <c r="I240" s="5">
        <v>44044</v>
      </c>
      <c r="J240" s="6">
        <v>3878</v>
      </c>
      <c r="K240" s="6">
        <v>3412.64</v>
      </c>
      <c r="L240" s="6">
        <v>259.03699999999998</v>
      </c>
      <c r="M240" s="6">
        <v>227.95255999999998</v>
      </c>
      <c r="N240" s="6">
        <v>259.03699999999998</v>
      </c>
      <c r="O240" s="6">
        <v>227.95255999999998</v>
      </c>
      <c r="P240" s="6">
        <v>0</v>
      </c>
      <c r="Q240" s="4" t="s">
        <v>26</v>
      </c>
      <c r="R240" s="4">
        <v>0</v>
      </c>
      <c r="S240" s="4" t="s">
        <v>249</v>
      </c>
      <c r="T240" s="4" t="s">
        <v>694</v>
      </c>
      <c r="U240" s="4">
        <v>11</v>
      </c>
      <c r="V240" s="4">
        <v>13</v>
      </c>
      <c r="W240" s="4">
        <v>79</v>
      </c>
    </row>
    <row r="241" spans="1:23" ht="11.25" customHeight="1" x14ac:dyDescent="0.25">
      <c r="A241" s="4" t="s">
        <v>59</v>
      </c>
      <c r="B241" s="4" t="s">
        <v>45</v>
      </c>
      <c r="C241" s="4" t="s">
        <v>41</v>
      </c>
      <c r="D241" s="4" t="s">
        <v>52</v>
      </c>
      <c r="E241" s="4" t="s">
        <v>53</v>
      </c>
      <c r="F241" s="4" t="s">
        <v>25</v>
      </c>
      <c r="G241" s="4" t="s">
        <v>25</v>
      </c>
      <c r="H241" s="4" t="s">
        <v>35</v>
      </c>
      <c r="I241" s="5">
        <v>44075</v>
      </c>
      <c r="J241" s="6">
        <v>3878</v>
      </c>
      <c r="K241" s="6">
        <v>3412.64</v>
      </c>
      <c r="L241" s="6">
        <v>259.03699999999998</v>
      </c>
      <c r="M241" s="6">
        <v>227.95255999999998</v>
      </c>
      <c r="N241" s="6">
        <v>259.03699999999998</v>
      </c>
      <c r="O241" s="6">
        <v>227.95255999999998</v>
      </c>
      <c r="P241" s="6">
        <v>0</v>
      </c>
      <c r="Q241" s="4" t="s">
        <v>26</v>
      </c>
      <c r="R241" s="4">
        <v>0</v>
      </c>
      <c r="S241" s="4" t="s">
        <v>250</v>
      </c>
      <c r="T241" s="4" t="s">
        <v>695</v>
      </c>
      <c r="U241" s="4">
        <v>11</v>
      </c>
      <c r="V241" s="4">
        <v>13</v>
      </c>
      <c r="W241" s="4">
        <v>79</v>
      </c>
    </row>
    <row r="242" spans="1:23" ht="11.25" customHeight="1" x14ac:dyDescent="0.25">
      <c r="A242" s="4" t="s">
        <v>21</v>
      </c>
      <c r="B242" s="4" t="s">
        <v>45</v>
      </c>
      <c r="C242" s="4" t="s">
        <v>64</v>
      </c>
      <c r="D242" s="4" t="s">
        <v>25</v>
      </c>
      <c r="E242" s="4" t="s">
        <v>25</v>
      </c>
      <c r="F242" s="4" t="s">
        <v>25</v>
      </c>
      <c r="G242" s="4" t="s">
        <v>65</v>
      </c>
      <c r="H242" s="4" t="s">
        <v>25</v>
      </c>
      <c r="I242" s="5">
        <v>43739</v>
      </c>
      <c r="J242" s="6">
        <v>24000</v>
      </c>
      <c r="K242" s="6">
        <v>15036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4" t="s">
        <v>66</v>
      </c>
      <c r="R242" s="4">
        <v>1975</v>
      </c>
      <c r="S242" s="4" t="s">
        <v>251</v>
      </c>
      <c r="U242" s="4">
        <v>15</v>
      </c>
      <c r="V242" s="4">
        <v>0</v>
      </c>
      <c r="W242" s="4">
        <v>0</v>
      </c>
    </row>
    <row r="243" spans="1:23" ht="11.25" customHeight="1" x14ac:dyDescent="0.25">
      <c r="A243" s="4" t="s">
        <v>21</v>
      </c>
      <c r="B243" s="4" t="s">
        <v>45</v>
      </c>
      <c r="C243" s="4" t="s">
        <v>64</v>
      </c>
      <c r="D243" s="4" t="s">
        <v>25</v>
      </c>
      <c r="E243" s="4" t="s">
        <v>25</v>
      </c>
      <c r="F243" s="4" t="s">
        <v>25</v>
      </c>
      <c r="G243" s="4" t="s">
        <v>65</v>
      </c>
      <c r="H243" s="4" t="s">
        <v>25</v>
      </c>
      <c r="I243" s="5">
        <v>43770</v>
      </c>
      <c r="J243" s="6">
        <v>24000</v>
      </c>
      <c r="K243" s="6">
        <v>13956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4" t="s">
        <v>66</v>
      </c>
      <c r="R243" s="4">
        <v>1975</v>
      </c>
      <c r="S243" s="4" t="s">
        <v>252</v>
      </c>
      <c r="U243" s="4">
        <v>15</v>
      </c>
      <c r="V243" s="4">
        <v>0</v>
      </c>
      <c r="W243" s="4">
        <v>0</v>
      </c>
    </row>
    <row r="244" spans="1:23" ht="11.25" customHeight="1" x14ac:dyDescent="0.25">
      <c r="A244" s="4" t="s">
        <v>21</v>
      </c>
      <c r="B244" s="4" t="s">
        <v>45</v>
      </c>
      <c r="C244" s="4" t="s">
        <v>64</v>
      </c>
      <c r="D244" s="4" t="s">
        <v>25</v>
      </c>
      <c r="E244" s="4" t="s">
        <v>25</v>
      </c>
      <c r="F244" s="4" t="s">
        <v>25</v>
      </c>
      <c r="G244" s="4" t="s">
        <v>65</v>
      </c>
      <c r="H244" s="4" t="s">
        <v>25</v>
      </c>
      <c r="I244" s="5">
        <v>43800</v>
      </c>
      <c r="J244" s="6">
        <v>24000</v>
      </c>
      <c r="K244" s="6">
        <v>14023.2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4" t="s">
        <v>66</v>
      </c>
      <c r="R244" s="4">
        <v>1975</v>
      </c>
      <c r="S244" s="4" t="s">
        <v>253</v>
      </c>
      <c r="U244" s="4">
        <v>15</v>
      </c>
      <c r="V244" s="4">
        <v>0</v>
      </c>
      <c r="W244" s="4">
        <v>0</v>
      </c>
    </row>
    <row r="245" spans="1:23" ht="11.25" customHeight="1" x14ac:dyDescent="0.25">
      <c r="A245" s="4" t="s">
        <v>21</v>
      </c>
      <c r="B245" s="4" t="s">
        <v>45</v>
      </c>
      <c r="C245" s="4" t="s">
        <v>64</v>
      </c>
      <c r="D245" s="4" t="s">
        <v>25</v>
      </c>
      <c r="E245" s="4" t="s">
        <v>25</v>
      </c>
      <c r="F245" s="4" t="s">
        <v>25</v>
      </c>
      <c r="G245" s="4" t="s">
        <v>65</v>
      </c>
      <c r="H245" s="4" t="s">
        <v>25</v>
      </c>
      <c r="I245" s="5">
        <v>43831</v>
      </c>
      <c r="J245" s="6">
        <v>24000</v>
      </c>
      <c r="K245" s="6">
        <v>13870.8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4" t="s">
        <v>66</v>
      </c>
      <c r="R245" s="4">
        <v>1975</v>
      </c>
      <c r="S245" s="4" t="s">
        <v>254</v>
      </c>
      <c r="U245" s="4">
        <v>15</v>
      </c>
      <c r="V245" s="4">
        <v>0</v>
      </c>
      <c r="W245" s="4">
        <v>0</v>
      </c>
    </row>
    <row r="246" spans="1:23" ht="11.25" customHeight="1" x14ac:dyDescent="0.25">
      <c r="A246" s="4" t="s">
        <v>21</v>
      </c>
      <c r="B246" s="4" t="s">
        <v>45</v>
      </c>
      <c r="C246" s="4" t="s">
        <v>64</v>
      </c>
      <c r="D246" s="4" t="s">
        <v>25</v>
      </c>
      <c r="E246" s="4" t="s">
        <v>25</v>
      </c>
      <c r="F246" s="4" t="s">
        <v>25</v>
      </c>
      <c r="G246" s="4" t="s">
        <v>65</v>
      </c>
      <c r="H246" s="4" t="s">
        <v>25</v>
      </c>
      <c r="I246" s="5">
        <v>43862</v>
      </c>
      <c r="J246" s="6">
        <v>24000</v>
      </c>
      <c r="K246" s="6">
        <v>13872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4" t="s">
        <v>66</v>
      </c>
      <c r="R246" s="4">
        <v>1975</v>
      </c>
      <c r="S246" s="4" t="s">
        <v>255</v>
      </c>
      <c r="U246" s="4">
        <v>15</v>
      </c>
      <c r="V246" s="4">
        <v>0</v>
      </c>
      <c r="W246" s="4">
        <v>0</v>
      </c>
    </row>
    <row r="247" spans="1:23" ht="11.25" customHeight="1" x14ac:dyDescent="0.25">
      <c r="A247" s="4" t="s">
        <v>21</v>
      </c>
      <c r="B247" s="4" t="s">
        <v>45</v>
      </c>
      <c r="C247" s="4" t="s">
        <v>64</v>
      </c>
      <c r="D247" s="4" t="s">
        <v>25</v>
      </c>
      <c r="E247" s="4" t="s">
        <v>25</v>
      </c>
      <c r="F247" s="4" t="s">
        <v>25</v>
      </c>
      <c r="G247" s="4" t="s">
        <v>65</v>
      </c>
      <c r="H247" s="4" t="s">
        <v>25</v>
      </c>
      <c r="I247" s="5">
        <v>43891</v>
      </c>
      <c r="J247" s="6">
        <v>24000</v>
      </c>
      <c r="K247" s="6">
        <v>13851.6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4" t="s">
        <v>66</v>
      </c>
      <c r="R247" s="4">
        <v>1975</v>
      </c>
      <c r="S247" s="4" t="s">
        <v>256</v>
      </c>
      <c r="U247" s="4">
        <v>15</v>
      </c>
      <c r="V247" s="4">
        <v>0</v>
      </c>
      <c r="W247" s="4">
        <v>0</v>
      </c>
    </row>
    <row r="248" spans="1:23" ht="11.25" customHeight="1" x14ac:dyDescent="0.25">
      <c r="A248" s="4" t="s">
        <v>21</v>
      </c>
      <c r="B248" s="4" t="s">
        <v>45</v>
      </c>
      <c r="C248" s="4" t="s">
        <v>64</v>
      </c>
      <c r="D248" s="4" t="s">
        <v>25</v>
      </c>
      <c r="E248" s="4" t="s">
        <v>25</v>
      </c>
      <c r="F248" s="4" t="s">
        <v>25</v>
      </c>
      <c r="G248" s="4" t="s">
        <v>65</v>
      </c>
      <c r="H248" s="4" t="s">
        <v>25</v>
      </c>
      <c r="I248" s="5">
        <v>43922</v>
      </c>
      <c r="J248" s="6">
        <v>24000</v>
      </c>
      <c r="K248" s="6">
        <v>13862.4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4" t="s">
        <v>66</v>
      </c>
      <c r="R248" s="4">
        <v>1975</v>
      </c>
      <c r="S248" s="4" t="s">
        <v>257</v>
      </c>
      <c r="U248" s="4">
        <v>15</v>
      </c>
      <c r="V248" s="4">
        <v>0</v>
      </c>
      <c r="W248" s="4">
        <v>0</v>
      </c>
    </row>
    <row r="249" spans="1:23" ht="11.25" customHeight="1" x14ac:dyDescent="0.25">
      <c r="A249" s="4" t="s">
        <v>21</v>
      </c>
      <c r="B249" s="4" t="s">
        <v>45</v>
      </c>
      <c r="C249" s="4" t="s">
        <v>64</v>
      </c>
      <c r="D249" s="4" t="s">
        <v>25</v>
      </c>
      <c r="E249" s="4" t="s">
        <v>25</v>
      </c>
      <c r="F249" s="4" t="s">
        <v>25</v>
      </c>
      <c r="G249" s="4" t="s">
        <v>65</v>
      </c>
      <c r="H249" s="4" t="s">
        <v>25</v>
      </c>
      <c r="I249" s="5">
        <v>43952</v>
      </c>
      <c r="J249" s="6">
        <v>24000</v>
      </c>
      <c r="K249" s="6">
        <v>13870.8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4" t="s">
        <v>66</v>
      </c>
      <c r="R249" s="4">
        <v>1975</v>
      </c>
      <c r="S249" s="4" t="s">
        <v>258</v>
      </c>
      <c r="U249" s="4">
        <v>15</v>
      </c>
      <c r="V249" s="4">
        <v>0</v>
      </c>
      <c r="W249" s="4">
        <v>0</v>
      </c>
    </row>
    <row r="250" spans="1:23" ht="11.25" customHeight="1" x14ac:dyDescent="0.25">
      <c r="A250" s="4" t="s">
        <v>21</v>
      </c>
      <c r="B250" s="4" t="s">
        <v>45</v>
      </c>
      <c r="C250" s="4" t="s">
        <v>64</v>
      </c>
      <c r="D250" s="4" t="s">
        <v>25</v>
      </c>
      <c r="E250" s="4" t="s">
        <v>25</v>
      </c>
      <c r="F250" s="4" t="s">
        <v>25</v>
      </c>
      <c r="G250" s="4" t="s">
        <v>65</v>
      </c>
      <c r="H250" s="4" t="s">
        <v>25</v>
      </c>
      <c r="I250" s="5">
        <v>43983</v>
      </c>
      <c r="J250" s="6">
        <v>24000</v>
      </c>
      <c r="K250" s="6">
        <v>13812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4" t="s">
        <v>66</v>
      </c>
      <c r="R250" s="4">
        <v>1975</v>
      </c>
      <c r="S250" s="4" t="s">
        <v>259</v>
      </c>
      <c r="U250" s="4">
        <v>15</v>
      </c>
      <c r="V250" s="4">
        <v>0</v>
      </c>
      <c r="W250" s="4">
        <v>0</v>
      </c>
    </row>
    <row r="251" spans="1:23" ht="11.25" customHeight="1" x14ac:dyDescent="0.25">
      <c r="A251" s="4" t="s">
        <v>21</v>
      </c>
      <c r="B251" s="4" t="s">
        <v>45</v>
      </c>
      <c r="C251" s="4" t="s">
        <v>64</v>
      </c>
      <c r="D251" s="4" t="s">
        <v>25</v>
      </c>
      <c r="E251" s="4" t="s">
        <v>25</v>
      </c>
      <c r="F251" s="4" t="s">
        <v>25</v>
      </c>
      <c r="G251" s="4" t="s">
        <v>65</v>
      </c>
      <c r="H251" s="4" t="s">
        <v>25</v>
      </c>
      <c r="I251" s="5">
        <v>44013</v>
      </c>
      <c r="J251" s="6">
        <v>24000</v>
      </c>
      <c r="K251" s="6">
        <v>13790.4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4" t="s">
        <v>66</v>
      </c>
      <c r="R251" s="4">
        <v>1975</v>
      </c>
      <c r="S251" s="4" t="s">
        <v>260</v>
      </c>
      <c r="U251" s="4">
        <v>15</v>
      </c>
      <c r="V251" s="4">
        <v>0</v>
      </c>
      <c r="W251" s="4">
        <v>0</v>
      </c>
    </row>
    <row r="252" spans="1:23" ht="11.25" customHeight="1" x14ac:dyDescent="0.25">
      <c r="A252" s="4" t="s">
        <v>21</v>
      </c>
      <c r="B252" s="4" t="s">
        <v>45</v>
      </c>
      <c r="C252" s="4" t="s">
        <v>64</v>
      </c>
      <c r="D252" s="4" t="s">
        <v>25</v>
      </c>
      <c r="E252" s="4" t="s">
        <v>25</v>
      </c>
      <c r="F252" s="4" t="s">
        <v>25</v>
      </c>
      <c r="G252" s="4" t="s">
        <v>65</v>
      </c>
      <c r="H252" s="4" t="s">
        <v>25</v>
      </c>
      <c r="I252" s="5">
        <v>44044</v>
      </c>
      <c r="J252" s="6">
        <v>24000</v>
      </c>
      <c r="K252" s="6">
        <v>13778.4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4" t="s">
        <v>66</v>
      </c>
      <c r="R252" s="4">
        <v>1975</v>
      </c>
      <c r="S252" s="4" t="s">
        <v>261</v>
      </c>
      <c r="U252" s="4">
        <v>15</v>
      </c>
      <c r="V252" s="4">
        <v>0</v>
      </c>
      <c r="W252" s="4">
        <v>0</v>
      </c>
    </row>
    <row r="253" spans="1:23" ht="11.25" customHeight="1" x14ac:dyDescent="0.25">
      <c r="A253" s="4" t="s">
        <v>59</v>
      </c>
      <c r="B253" s="4" t="s">
        <v>45</v>
      </c>
      <c r="C253" s="4" t="s">
        <v>64</v>
      </c>
      <c r="D253" s="4" t="s">
        <v>25</v>
      </c>
      <c r="E253" s="4" t="s">
        <v>25</v>
      </c>
      <c r="F253" s="4" t="s">
        <v>25</v>
      </c>
      <c r="G253" s="4" t="s">
        <v>65</v>
      </c>
      <c r="H253" s="4" t="s">
        <v>25</v>
      </c>
      <c r="I253" s="5">
        <v>44075</v>
      </c>
      <c r="J253" s="6">
        <v>24000</v>
      </c>
      <c r="K253" s="6">
        <v>13778.4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4" t="s">
        <v>66</v>
      </c>
      <c r="R253" s="4">
        <v>1975</v>
      </c>
      <c r="S253" s="4" t="s">
        <v>262</v>
      </c>
      <c r="U253" s="4">
        <v>15</v>
      </c>
      <c r="V253" s="4">
        <v>0</v>
      </c>
      <c r="W253" s="4">
        <v>0</v>
      </c>
    </row>
    <row r="254" spans="1:23" ht="11.25" customHeight="1" x14ac:dyDescent="0.25">
      <c r="A254" s="4" t="s">
        <v>21</v>
      </c>
      <c r="B254" s="4" t="s">
        <v>45</v>
      </c>
      <c r="C254" s="4" t="s">
        <v>34</v>
      </c>
      <c r="D254" s="4" t="s">
        <v>42</v>
      </c>
      <c r="E254" s="4" t="s">
        <v>25</v>
      </c>
      <c r="F254" s="4" t="s">
        <v>25</v>
      </c>
      <c r="G254" s="4" t="s">
        <v>25</v>
      </c>
      <c r="H254" s="4" t="s">
        <v>36</v>
      </c>
      <c r="I254" s="5">
        <v>43739</v>
      </c>
      <c r="J254" s="6">
        <v>0</v>
      </c>
      <c r="K254" s="6">
        <v>0</v>
      </c>
      <c r="L254" s="6">
        <v>39.167000000000002</v>
      </c>
      <c r="M254" s="6">
        <v>39.167000000000002</v>
      </c>
      <c r="N254" s="6">
        <v>39.167000000000002</v>
      </c>
      <c r="O254" s="6">
        <v>39.167000000000002</v>
      </c>
      <c r="P254" s="6">
        <v>0</v>
      </c>
      <c r="Q254" s="4" t="s">
        <v>26</v>
      </c>
      <c r="R254" s="4">
        <v>0</v>
      </c>
      <c r="S254" s="4" t="s">
        <v>263</v>
      </c>
      <c r="T254" s="4" t="s">
        <v>672</v>
      </c>
      <c r="U254" s="4">
        <v>0</v>
      </c>
      <c r="V254" s="4">
        <v>18</v>
      </c>
      <c r="W254" s="4">
        <v>80</v>
      </c>
    </row>
    <row r="255" spans="1:23" ht="11.25" customHeight="1" x14ac:dyDescent="0.25">
      <c r="A255" s="4" t="s">
        <v>27</v>
      </c>
      <c r="B255" s="4" t="s">
        <v>45</v>
      </c>
      <c r="C255" s="4" t="s">
        <v>34</v>
      </c>
      <c r="D255" s="4" t="s">
        <v>42</v>
      </c>
      <c r="E255" s="4" t="s">
        <v>25</v>
      </c>
      <c r="F255" s="4" t="s">
        <v>25</v>
      </c>
      <c r="G255" s="4" t="s">
        <v>25</v>
      </c>
      <c r="H255" s="4" t="s">
        <v>36</v>
      </c>
      <c r="I255" s="5">
        <v>43739</v>
      </c>
      <c r="J255" s="6">
        <v>0</v>
      </c>
      <c r="K255" s="6">
        <v>0</v>
      </c>
      <c r="L255" s="6">
        <v>24.533000000000001</v>
      </c>
      <c r="M255" s="6">
        <v>24.533000000000001</v>
      </c>
      <c r="N255" s="6">
        <v>24.533000000000001</v>
      </c>
      <c r="O255" s="6">
        <v>24.533000000000001</v>
      </c>
      <c r="P255" s="6">
        <v>0</v>
      </c>
      <c r="Q255" s="4" t="s">
        <v>26</v>
      </c>
      <c r="R255" s="4">
        <v>0</v>
      </c>
      <c r="S255" s="4" t="s">
        <v>263</v>
      </c>
      <c r="T255" s="4" t="s">
        <v>672</v>
      </c>
      <c r="U255" s="4">
        <v>0</v>
      </c>
      <c r="V255" s="4">
        <v>18</v>
      </c>
      <c r="W255" s="4">
        <v>80</v>
      </c>
    </row>
    <row r="256" spans="1:23" ht="11.25" customHeight="1" x14ac:dyDescent="0.25">
      <c r="A256" s="4" t="s">
        <v>21</v>
      </c>
      <c r="B256" s="4" t="s">
        <v>45</v>
      </c>
      <c r="C256" s="4" t="s">
        <v>34</v>
      </c>
      <c r="D256" s="4" t="s">
        <v>42</v>
      </c>
      <c r="E256" s="4" t="s">
        <v>25</v>
      </c>
      <c r="F256" s="4" t="s">
        <v>25</v>
      </c>
      <c r="G256" s="4" t="s">
        <v>25</v>
      </c>
      <c r="H256" s="4" t="s">
        <v>36</v>
      </c>
      <c r="I256" s="5">
        <v>43770</v>
      </c>
      <c r="J256" s="6">
        <v>0</v>
      </c>
      <c r="K256" s="6">
        <v>0</v>
      </c>
      <c r="L256" s="6">
        <v>68.495999999999995</v>
      </c>
      <c r="M256" s="6">
        <v>68.495999999999995</v>
      </c>
      <c r="N256" s="6">
        <v>68.495999999999995</v>
      </c>
      <c r="O256" s="6">
        <v>68.495999999999995</v>
      </c>
      <c r="P256" s="6">
        <v>0</v>
      </c>
      <c r="Q256" s="4" t="s">
        <v>26</v>
      </c>
      <c r="R256" s="4">
        <v>0</v>
      </c>
      <c r="S256" s="4" t="s">
        <v>264</v>
      </c>
      <c r="T256" s="4" t="s">
        <v>673</v>
      </c>
      <c r="U256" s="4">
        <v>0</v>
      </c>
      <c r="V256" s="4">
        <v>18</v>
      </c>
      <c r="W256" s="4">
        <v>80</v>
      </c>
    </row>
    <row r="257" spans="1:23" ht="11.25" customHeight="1" x14ac:dyDescent="0.25">
      <c r="A257" s="4" t="s">
        <v>21</v>
      </c>
      <c r="B257" s="4" t="s">
        <v>45</v>
      </c>
      <c r="C257" s="4" t="s">
        <v>34</v>
      </c>
      <c r="D257" s="4" t="s">
        <v>42</v>
      </c>
      <c r="E257" s="4" t="s">
        <v>25</v>
      </c>
      <c r="F257" s="4" t="s">
        <v>25</v>
      </c>
      <c r="G257" s="4" t="s">
        <v>25</v>
      </c>
      <c r="H257" s="4" t="s">
        <v>36</v>
      </c>
      <c r="I257" s="5">
        <v>43800</v>
      </c>
      <c r="J257" s="6">
        <v>0</v>
      </c>
      <c r="K257" s="6">
        <v>0</v>
      </c>
      <c r="L257" s="6">
        <v>65.436999999999998</v>
      </c>
      <c r="M257" s="6">
        <v>65.436999999999998</v>
      </c>
      <c r="N257" s="6">
        <v>65.436999999999998</v>
      </c>
      <c r="O257" s="6">
        <v>65.436999999999998</v>
      </c>
      <c r="P257" s="6">
        <v>0</v>
      </c>
      <c r="Q257" s="4" t="s">
        <v>26</v>
      </c>
      <c r="R257" s="4">
        <v>0</v>
      </c>
      <c r="S257" s="4" t="s">
        <v>265</v>
      </c>
      <c r="T257" s="4" t="s">
        <v>674</v>
      </c>
      <c r="U257" s="4">
        <v>0</v>
      </c>
      <c r="V257" s="4">
        <v>18</v>
      </c>
      <c r="W257" s="4">
        <v>80</v>
      </c>
    </row>
    <row r="258" spans="1:23" ht="11.25" customHeight="1" x14ac:dyDescent="0.25">
      <c r="A258" s="4" t="s">
        <v>21</v>
      </c>
      <c r="B258" s="4" t="s">
        <v>45</v>
      </c>
      <c r="C258" s="4" t="s">
        <v>34</v>
      </c>
      <c r="D258" s="4" t="s">
        <v>42</v>
      </c>
      <c r="E258" s="4" t="s">
        <v>25</v>
      </c>
      <c r="F258" s="4" t="s">
        <v>25</v>
      </c>
      <c r="G258" s="4" t="s">
        <v>25</v>
      </c>
      <c r="H258" s="4" t="s">
        <v>36</v>
      </c>
      <c r="I258" s="5">
        <v>43831</v>
      </c>
      <c r="J258" s="6">
        <v>0</v>
      </c>
      <c r="K258" s="6">
        <v>0</v>
      </c>
      <c r="L258" s="6">
        <v>70.266999999999996</v>
      </c>
      <c r="M258" s="6">
        <v>70.266999999999996</v>
      </c>
      <c r="N258" s="6">
        <v>70.266999999999996</v>
      </c>
      <c r="O258" s="6">
        <v>70.266999999999996</v>
      </c>
      <c r="P258" s="6">
        <v>0</v>
      </c>
      <c r="Q258" s="4" t="s">
        <v>26</v>
      </c>
      <c r="R258" s="4">
        <v>0</v>
      </c>
      <c r="S258" s="4" t="s">
        <v>266</v>
      </c>
      <c r="T258" s="4" t="s">
        <v>675</v>
      </c>
      <c r="U258" s="4">
        <v>0</v>
      </c>
      <c r="V258" s="4">
        <v>18</v>
      </c>
      <c r="W258" s="4">
        <v>80</v>
      </c>
    </row>
    <row r="259" spans="1:23" ht="11.25" customHeight="1" x14ac:dyDescent="0.25">
      <c r="A259" s="4" t="s">
        <v>21</v>
      </c>
      <c r="B259" s="4" t="s">
        <v>45</v>
      </c>
      <c r="C259" s="4" t="s">
        <v>34</v>
      </c>
      <c r="D259" s="4" t="s">
        <v>42</v>
      </c>
      <c r="E259" s="4" t="s">
        <v>25</v>
      </c>
      <c r="F259" s="4" t="s">
        <v>25</v>
      </c>
      <c r="G259" s="4" t="s">
        <v>25</v>
      </c>
      <c r="H259" s="4" t="s">
        <v>36</v>
      </c>
      <c r="I259" s="5">
        <v>43862</v>
      </c>
      <c r="J259" s="6">
        <v>0</v>
      </c>
      <c r="K259" s="6">
        <v>0</v>
      </c>
      <c r="L259" s="6">
        <v>74.709000000000003</v>
      </c>
      <c r="M259" s="6">
        <v>74.709000000000003</v>
      </c>
      <c r="N259" s="6">
        <v>74.709000000000003</v>
      </c>
      <c r="O259" s="6">
        <v>74.709000000000003</v>
      </c>
      <c r="P259" s="6">
        <v>0</v>
      </c>
      <c r="Q259" s="4" t="s">
        <v>26</v>
      </c>
      <c r="R259" s="4">
        <v>0</v>
      </c>
      <c r="S259" s="4" t="s">
        <v>267</v>
      </c>
      <c r="T259" s="4" t="s">
        <v>676</v>
      </c>
      <c r="U259" s="4">
        <v>0</v>
      </c>
      <c r="V259" s="4">
        <v>18</v>
      </c>
      <c r="W259" s="4">
        <v>80</v>
      </c>
    </row>
    <row r="260" spans="1:23" ht="11.25" customHeight="1" x14ac:dyDescent="0.25">
      <c r="A260" s="4" t="s">
        <v>21</v>
      </c>
      <c r="B260" s="4" t="s">
        <v>45</v>
      </c>
      <c r="C260" s="4" t="s">
        <v>34</v>
      </c>
      <c r="D260" s="4" t="s">
        <v>42</v>
      </c>
      <c r="E260" s="4" t="s">
        <v>25</v>
      </c>
      <c r="F260" s="4" t="s">
        <v>25</v>
      </c>
      <c r="G260" s="4" t="s">
        <v>25</v>
      </c>
      <c r="H260" s="4" t="s">
        <v>36</v>
      </c>
      <c r="I260" s="5">
        <v>43891</v>
      </c>
      <c r="J260" s="6">
        <v>0</v>
      </c>
      <c r="K260" s="6">
        <v>0</v>
      </c>
      <c r="L260" s="6">
        <v>63.081000000000003</v>
      </c>
      <c r="M260" s="6">
        <v>63.081000000000003</v>
      </c>
      <c r="N260" s="6">
        <v>63.081000000000003</v>
      </c>
      <c r="O260" s="6">
        <v>63.081000000000003</v>
      </c>
      <c r="P260" s="6">
        <v>0</v>
      </c>
      <c r="Q260" s="4" t="s">
        <v>26</v>
      </c>
      <c r="R260" s="4">
        <v>0</v>
      </c>
      <c r="S260" s="4" t="s">
        <v>268</v>
      </c>
      <c r="T260" s="4" t="s">
        <v>677</v>
      </c>
      <c r="U260" s="4">
        <v>0</v>
      </c>
      <c r="V260" s="4">
        <v>18</v>
      </c>
      <c r="W260" s="4">
        <v>80</v>
      </c>
    </row>
    <row r="261" spans="1:23" ht="11.25" customHeight="1" x14ac:dyDescent="0.25">
      <c r="A261" s="4" t="s">
        <v>21</v>
      </c>
      <c r="B261" s="4" t="s">
        <v>45</v>
      </c>
      <c r="C261" s="4" t="s">
        <v>34</v>
      </c>
      <c r="D261" s="4" t="s">
        <v>42</v>
      </c>
      <c r="E261" s="4" t="s">
        <v>25</v>
      </c>
      <c r="F261" s="4" t="s">
        <v>25</v>
      </c>
      <c r="G261" s="4" t="s">
        <v>25</v>
      </c>
      <c r="H261" s="4" t="s">
        <v>36</v>
      </c>
      <c r="I261" s="5">
        <v>43922</v>
      </c>
      <c r="J261" s="6">
        <v>0</v>
      </c>
      <c r="K261" s="6">
        <v>0</v>
      </c>
      <c r="L261" s="6">
        <v>25.588000000000001</v>
      </c>
      <c r="M261" s="6">
        <v>25.588000000000001</v>
      </c>
      <c r="N261" s="6">
        <v>25.588000000000001</v>
      </c>
      <c r="O261" s="6">
        <v>25.588000000000001</v>
      </c>
      <c r="P261" s="6">
        <v>0</v>
      </c>
      <c r="Q261" s="4" t="s">
        <v>26</v>
      </c>
      <c r="R261" s="4">
        <v>0</v>
      </c>
      <c r="S261" s="4" t="s">
        <v>269</v>
      </c>
      <c r="T261" s="4" t="s">
        <v>678</v>
      </c>
      <c r="U261" s="4">
        <v>0</v>
      </c>
      <c r="V261" s="4">
        <v>18</v>
      </c>
      <c r="W261" s="4">
        <v>80</v>
      </c>
    </row>
    <row r="262" spans="1:23" ht="11.25" customHeight="1" x14ac:dyDescent="0.25">
      <c r="A262" s="4" t="s">
        <v>21</v>
      </c>
      <c r="B262" s="4" t="s">
        <v>45</v>
      </c>
      <c r="C262" s="4" t="s">
        <v>34</v>
      </c>
      <c r="D262" s="4" t="s">
        <v>42</v>
      </c>
      <c r="E262" s="4" t="s">
        <v>25</v>
      </c>
      <c r="F262" s="4" t="s">
        <v>25</v>
      </c>
      <c r="G262" s="4" t="s">
        <v>25</v>
      </c>
      <c r="H262" s="4" t="s">
        <v>36</v>
      </c>
      <c r="I262" s="5">
        <v>43952</v>
      </c>
      <c r="J262" s="6">
        <v>0</v>
      </c>
      <c r="K262" s="6">
        <v>0</v>
      </c>
      <c r="L262" s="6">
        <v>22.812000000000001</v>
      </c>
      <c r="M262" s="6">
        <v>22.812000000000001</v>
      </c>
      <c r="N262" s="6">
        <v>22.812000000000001</v>
      </c>
      <c r="O262" s="6">
        <v>22.812000000000001</v>
      </c>
      <c r="P262" s="6">
        <v>0</v>
      </c>
      <c r="Q262" s="4" t="s">
        <v>26</v>
      </c>
      <c r="R262" s="4">
        <v>0</v>
      </c>
      <c r="S262" s="4" t="s">
        <v>270</v>
      </c>
      <c r="T262" s="4" t="s">
        <v>679</v>
      </c>
      <c r="U262" s="4">
        <v>0</v>
      </c>
      <c r="V262" s="4">
        <v>18</v>
      </c>
      <c r="W262" s="4">
        <v>80</v>
      </c>
    </row>
    <row r="263" spans="1:23" ht="11.25" customHeight="1" x14ac:dyDescent="0.25">
      <c r="A263" s="4" t="s">
        <v>21</v>
      </c>
      <c r="B263" s="4" t="s">
        <v>45</v>
      </c>
      <c r="C263" s="4" t="s">
        <v>34</v>
      </c>
      <c r="D263" s="4" t="s">
        <v>42</v>
      </c>
      <c r="E263" s="4" t="s">
        <v>25</v>
      </c>
      <c r="F263" s="4" t="s">
        <v>25</v>
      </c>
      <c r="G263" s="4" t="s">
        <v>25</v>
      </c>
      <c r="H263" s="4" t="s">
        <v>36</v>
      </c>
      <c r="I263" s="5">
        <v>43983</v>
      </c>
      <c r="J263" s="6">
        <v>0</v>
      </c>
      <c r="K263" s="6">
        <v>0</v>
      </c>
      <c r="L263" s="6">
        <v>30.798999999999999</v>
      </c>
      <c r="M263" s="6">
        <v>30.798999999999999</v>
      </c>
      <c r="N263" s="6">
        <v>30.798999999999999</v>
      </c>
      <c r="O263" s="6">
        <v>30.798999999999999</v>
      </c>
      <c r="P263" s="6">
        <v>0</v>
      </c>
      <c r="Q263" s="4" t="s">
        <v>26</v>
      </c>
      <c r="R263" s="4">
        <v>0</v>
      </c>
      <c r="S263" s="4" t="s">
        <v>271</v>
      </c>
      <c r="T263" s="4" t="s">
        <v>680</v>
      </c>
      <c r="U263" s="4">
        <v>0</v>
      </c>
      <c r="V263" s="4">
        <v>18</v>
      </c>
      <c r="W263" s="4">
        <v>80</v>
      </c>
    </row>
    <row r="264" spans="1:23" ht="11.25" customHeight="1" x14ac:dyDescent="0.25">
      <c r="A264" s="4" t="s">
        <v>21</v>
      </c>
      <c r="B264" s="4" t="s">
        <v>45</v>
      </c>
      <c r="C264" s="4" t="s">
        <v>34</v>
      </c>
      <c r="D264" s="4" t="s">
        <v>42</v>
      </c>
      <c r="E264" s="4" t="s">
        <v>25</v>
      </c>
      <c r="F264" s="4" t="s">
        <v>25</v>
      </c>
      <c r="G264" s="4" t="s">
        <v>25</v>
      </c>
      <c r="H264" s="4" t="s">
        <v>36</v>
      </c>
      <c r="I264" s="5">
        <v>44013</v>
      </c>
      <c r="J264" s="6">
        <v>0</v>
      </c>
      <c r="K264" s="6">
        <v>0</v>
      </c>
      <c r="L264" s="6">
        <v>33.555</v>
      </c>
      <c r="M264" s="6">
        <v>33.555</v>
      </c>
      <c r="N264" s="6">
        <v>33.555</v>
      </c>
      <c r="O264" s="6">
        <v>33.555</v>
      </c>
      <c r="P264" s="6">
        <v>0</v>
      </c>
      <c r="Q264" s="4" t="s">
        <v>26</v>
      </c>
      <c r="R264" s="4">
        <v>0</v>
      </c>
      <c r="S264" s="4" t="s">
        <v>272</v>
      </c>
      <c r="T264" s="4" t="s">
        <v>681</v>
      </c>
      <c r="U264" s="4">
        <v>0</v>
      </c>
      <c r="V264" s="4">
        <v>18</v>
      </c>
      <c r="W264" s="4">
        <v>80</v>
      </c>
    </row>
    <row r="265" spans="1:23" ht="11.25" customHeight="1" x14ac:dyDescent="0.25">
      <c r="A265" s="4" t="s">
        <v>21</v>
      </c>
      <c r="B265" s="4" t="s">
        <v>45</v>
      </c>
      <c r="C265" s="4" t="s">
        <v>34</v>
      </c>
      <c r="D265" s="4" t="s">
        <v>42</v>
      </c>
      <c r="E265" s="4" t="s">
        <v>25</v>
      </c>
      <c r="F265" s="4" t="s">
        <v>25</v>
      </c>
      <c r="G265" s="4" t="s">
        <v>25</v>
      </c>
      <c r="H265" s="4" t="s">
        <v>36</v>
      </c>
      <c r="I265" s="5">
        <v>44044</v>
      </c>
      <c r="J265" s="6">
        <v>0</v>
      </c>
      <c r="K265" s="6">
        <v>0</v>
      </c>
      <c r="L265" s="6">
        <v>43.896999999999998</v>
      </c>
      <c r="M265" s="6">
        <v>43.896999999999998</v>
      </c>
      <c r="N265" s="6">
        <v>43.896999999999998</v>
      </c>
      <c r="O265" s="6">
        <v>43.896999999999998</v>
      </c>
      <c r="P265" s="6">
        <v>0</v>
      </c>
      <c r="Q265" s="4" t="s">
        <v>26</v>
      </c>
      <c r="R265" s="4">
        <v>0</v>
      </c>
      <c r="S265" s="4" t="s">
        <v>273</v>
      </c>
      <c r="T265" s="4" t="s">
        <v>682</v>
      </c>
      <c r="U265" s="4">
        <v>0</v>
      </c>
      <c r="V265" s="4">
        <v>18</v>
      </c>
      <c r="W265" s="4">
        <v>80</v>
      </c>
    </row>
    <row r="266" spans="1:23" ht="11.25" customHeight="1" x14ac:dyDescent="0.25">
      <c r="A266" s="4" t="s">
        <v>59</v>
      </c>
      <c r="B266" s="4" t="s">
        <v>45</v>
      </c>
      <c r="C266" s="4" t="s">
        <v>34</v>
      </c>
      <c r="D266" s="4" t="s">
        <v>42</v>
      </c>
      <c r="E266" s="4" t="s">
        <v>25</v>
      </c>
      <c r="F266" s="4" t="s">
        <v>25</v>
      </c>
      <c r="G266" s="4" t="s">
        <v>25</v>
      </c>
      <c r="H266" s="4" t="s">
        <v>36</v>
      </c>
      <c r="I266" s="5">
        <v>44075</v>
      </c>
      <c r="J266" s="6">
        <v>0</v>
      </c>
      <c r="K266" s="6">
        <v>0</v>
      </c>
      <c r="L266" s="6">
        <v>43.896999999999998</v>
      </c>
      <c r="M266" s="6">
        <v>43.896999999999998</v>
      </c>
      <c r="N266" s="6">
        <v>43.896999999999998</v>
      </c>
      <c r="O266" s="6">
        <v>43.896999999999998</v>
      </c>
      <c r="P266" s="6">
        <v>0</v>
      </c>
      <c r="Q266" s="4" t="s">
        <v>26</v>
      </c>
      <c r="R266" s="4">
        <v>0</v>
      </c>
      <c r="S266" s="4" t="s">
        <v>274</v>
      </c>
      <c r="T266" s="4" t="s">
        <v>683</v>
      </c>
      <c r="U266" s="4">
        <v>0</v>
      </c>
      <c r="V266" s="4">
        <v>18</v>
      </c>
      <c r="W266" s="4">
        <v>80</v>
      </c>
    </row>
    <row r="267" spans="1:23" ht="11.25" customHeight="1" x14ac:dyDescent="0.25">
      <c r="A267" s="4" t="s">
        <v>21</v>
      </c>
      <c r="B267" s="4" t="s">
        <v>45</v>
      </c>
      <c r="C267" s="4" t="s">
        <v>34</v>
      </c>
      <c r="D267" s="4" t="s">
        <v>42</v>
      </c>
      <c r="E267" s="4" t="s">
        <v>25</v>
      </c>
      <c r="F267" s="4" t="s">
        <v>25</v>
      </c>
      <c r="G267" s="4" t="s">
        <v>25</v>
      </c>
      <c r="H267" s="4" t="s">
        <v>25</v>
      </c>
      <c r="I267" s="5">
        <v>43739</v>
      </c>
      <c r="J267" s="6">
        <v>272</v>
      </c>
      <c r="K267" s="6">
        <v>272</v>
      </c>
      <c r="L267" s="6">
        <v>0</v>
      </c>
      <c r="M267" s="6">
        <v>0</v>
      </c>
      <c r="N267" s="6">
        <v>0</v>
      </c>
      <c r="O267" s="6">
        <v>0</v>
      </c>
      <c r="P267" s="6">
        <v>2</v>
      </c>
      <c r="Q267" s="4" t="s">
        <v>26</v>
      </c>
      <c r="R267" s="4">
        <v>0</v>
      </c>
      <c r="S267" s="4" t="s">
        <v>275</v>
      </c>
      <c r="U267" s="4">
        <v>16</v>
      </c>
      <c r="V267" s="4">
        <v>0</v>
      </c>
      <c r="W267" s="4">
        <v>0</v>
      </c>
    </row>
    <row r="268" spans="1:23" ht="11.25" customHeight="1" x14ac:dyDescent="0.25">
      <c r="A268" s="4" t="s">
        <v>27</v>
      </c>
      <c r="B268" s="4" t="s">
        <v>45</v>
      </c>
      <c r="C268" s="4" t="s">
        <v>34</v>
      </c>
      <c r="D268" s="4" t="s">
        <v>42</v>
      </c>
      <c r="E268" s="4" t="s">
        <v>25</v>
      </c>
      <c r="F268" s="4" t="s">
        <v>25</v>
      </c>
      <c r="G268" s="4" t="s">
        <v>25</v>
      </c>
      <c r="H268" s="4" t="s">
        <v>25</v>
      </c>
      <c r="I268" s="5">
        <v>43739</v>
      </c>
      <c r="J268" s="6">
        <v>150</v>
      </c>
      <c r="K268" s="6">
        <v>150</v>
      </c>
      <c r="L268" s="6">
        <v>0</v>
      </c>
      <c r="M268" s="6">
        <v>0</v>
      </c>
      <c r="N268" s="6">
        <v>0</v>
      </c>
      <c r="O268" s="6">
        <v>0</v>
      </c>
      <c r="P268" s="6">
        <v>1</v>
      </c>
      <c r="Q268" s="4" t="s">
        <v>26</v>
      </c>
      <c r="R268" s="4">
        <v>0</v>
      </c>
      <c r="S268" s="4" t="s">
        <v>275</v>
      </c>
      <c r="U268" s="4">
        <v>16</v>
      </c>
      <c r="V268" s="4">
        <v>0</v>
      </c>
      <c r="W268" s="4">
        <v>0</v>
      </c>
    </row>
    <row r="269" spans="1:23" ht="11.25" customHeight="1" x14ac:dyDescent="0.25">
      <c r="A269" s="4" t="s">
        <v>21</v>
      </c>
      <c r="B269" s="4" t="s">
        <v>45</v>
      </c>
      <c r="C269" s="4" t="s">
        <v>34</v>
      </c>
      <c r="D269" s="4" t="s">
        <v>42</v>
      </c>
      <c r="E269" s="4" t="s">
        <v>25</v>
      </c>
      <c r="F269" s="4" t="s">
        <v>25</v>
      </c>
      <c r="G269" s="4" t="s">
        <v>25</v>
      </c>
      <c r="H269" s="4" t="s">
        <v>25</v>
      </c>
      <c r="I269" s="5">
        <v>43770</v>
      </c>
      <c r="J269" s="6">
        <v>422</v>
      </c>
      <c r="K269" s="6">
        <v>422</v>
      </c>
      <c r="L269" s="6">
        <v>0</v>
      </c>
      <c r="M269" s="6">
        <v>0</v>
      </c>
      <c r="N269" s="6">
        <v>0</v>
      </c>
      <c r="O269" s="6">
        <v>0</v>
      </c>
      <c r="P269" s="6">
        <v>3</v>
      </c>
      <c r="Q269" s="4" t="s">
        <v>26</v>
      </c>
      <c r="R269" s="4">
        <v>0</v>
      </c>
      <c r="S269" s="4" t="s">
        <v>276</v>
      </c>
      <c r="U269" s="4">
        <v>16</v>
      </c>
      <c r="V269" s="4">
        <v>0</v>
      </c>
      <c r="W269" s="4">
        <v>0</v>
      </c>
    </row>
    <row r="270" spans="1:23" ht="11.25" customHeight="1" x14ac:dyDescent="0.25">
      <c r="A270" s="4" t="s">
        <v>21</v>
      </c>
      <c r="B270" s="4" t="s">
        <v>45</v>
      </c>
      <c r="C270" s="4" t="s">
        <v>34</v>
      </c>
      <c r="D270" s="4" t="s">
        <v>42</v>
      </c>
      <c r="E270" s="4" t="s">
        <v>25</v>
      </c>
      <c r="F270" s="4" t="s">
        <v>25</v>
      </c>
      <c r="G270" s="4" t="s">
        <v>25</v>
      </c>
      <c r="H270" s="4" t="s">
        <v>25</v>
      </c>
      <c r="I270" s="5">
        <v>43800</v>
      </c>
      <c r="J270" s="6">
        <v>422</v>
      </c>
      <c r="K270" s="6">
        <v>422</v>
      </c>
      <c r="L270" s="6">
        <v>0</v>
      </c>
      <c r="M270" s="6">
        <v>0</v>
      </c>
      <c r="N270" s="6">
        <v>0</v>
      </c>
      <c r="O270" s="6">
        <v>0</v>
      </c>
      <c r="P270" s="6">
        <v>3</v>
      </c>
      <c r="Q270" s="4" t="s">
        <v>26</v>
      </c>
      <c r="R270" s="4">
        <v>0</v>
      </c>
      <c r="S270" s="4" t="s">
        <v>277</v>
      </c>
      <c r="U270" s="4">
        <v>16</v>
      </c>
      <c r="V270" s="4">
        <v>0</v>
      </c>
      <c r="W270" s="4">
        <v>0</v>
      </c>
    </row>
    <row r="271" spans="1:23" ht="11.25" customHeight="1" x14ac:dyDescent="0.25">
      <c r="A271" s="4" t="s">
        <v>21</v>
      </c>
      <c r="B271" s="4" t="s">
        <v>45</v>
      </c>
      <c r="C271" s="4" t="s">
        <v>34</v>
      </c>
      <c r="D271" s="4" t="s">
        <v>42</v>
      </c>
      <c r="E271" s="4" t="s">
        <v>25</v>
      </c>
      <c r="F271" s="4" t="s">
        <v>25</v>
      </c>
      <c r="G271" s="4" t="s">
        <v>25</v>
      </c>
      <c r="H271" s="4" t="s">
        <v>25</v>
      </c>
      <c r="I271" s="5">
        <v>43831</v>
      </c>
      <c r="J271" s="6">
        <v>422</v>
      </c>
      <c r="K271" s="6">
        <v>422</v>
      </c>
      <c r="L271" s="6">
        <v>0</v>
      </c>
      <c r="M271" s="6">
        <v>0</v>
      </c>
      <c r="N271" s="6">
        <v>0</v>
      </c>
      <c r="O271" s="6">
        <v>0</v>
      </c>
      <c r="P271" s="6">
        <v>3</v>
      </c>
      <c r="Q271" s="4" t="s">
        <v>26</v>
      </c>
      <c r="R271" s="4">
        <v>0</v>
      </c>
      <c r="S271" s="4" t="s">
        <v>278</v>
      </c>
      <c r="U271" s="4">
        <v>16</v>
      </c>
      <c r="V271" s="4">
        <v>0</v>
      </c>
      <c r="W271" s="4">
        <v>0</v>
      </c>
    </row>
    <row r="272" spans="1:23" ht="11.25" customHeight="1" x14ac:dyDescent="0.25">
      <c r="A272" s="4" t="s">
        <v>21</v>
      </c>
      <c r="B272" s="4" t="s">
        <v>45</v>
      </c>
      <c r="C272" s="4" t="s">
        <v>34</v>
      </c>
      <c r="D272" s="4" t="s">
        <v>42</v>
      </c>
      <c r="E272" s="4" t="s">
        <v>25</v>
      </c>
      <c r="F272" s="4" t="s">
        <v>25</v>
      </c>
      <c r="G272" s="4" t="s">
        <v>25</v>
      </c>
      <c r="H272" s="4" t="s">
        <v>25</v>
      </c>
      <c r="I272" s="5">
        <v>43862</v>
      </c>
      <c r="J272" s="6">
        <v>422</v>
      </c>
      <c r="K272" s="6">
        <v>422</v>
      </c>
      <c r="L272" s="6">
        <v>0</v>
      </c>
      <c r="M272" s="6">
        <v>0</v>
      </c>
      <c r="N272" s="6">
        <v>0</v>
      </c>
      <c r="O272" s="6">
        <v>0</v>
      </c>
      <c r="P272" s="6">
        <v>3</v>
      </c>
      <c r="Q272" s="4" t="s">
        <v>26</v>
      </c>
      <c r="R272" s="4">
        <v>0</v>
      </c>
      <c r="S272" s="4" t="s">
        <v>279</v>
      </c>
      <c r="U272" s="4">
        <v>16</v>
      </c>
      <c r="V272" s="4">
        <v>0</v>
      </c>
      <c r="W272" s="4">
        <v>0</v>
      </c>
    </row>
    <row r="273" spans="1:23" ht="11.25" customHeight="1" x14ac:dyDescent="0.25">
      <c r="A273" s="4" t="s">
        <v>21</v>
      </c>
      <c r="B273" s="4" t="s">
        <v>45</v>
      </c>
      <c r="C273" s="4" t="s">
        <v>34</v>
      </c>
      <c r="D273" s="4" t="s">
        <v>42</v>
      </c>
      <c r="E273" s="4" t="s">
        <v>25</v>
      </c>
      <c r="F273" s="4" t="s">
        <v>25</v>
      </c>
      <c r="G273" s="4" t="s">
        <v>25</v>
      </c>
      <c r="H273" s="4" t="s">
        <v>25</v>
      </c>
      <c r="I273" s="5">
        <v>43891</v>
      </c>
      <c r="J273" s="6">
        <v>422</v>
      </c>
      <c r="K273" s="6">
        <v>422</v>
      </c>
      <c r="L273" s="6">
        <v>0</v>
      </c>
      <c r="M273" s="6">
        <v>0</v>
      </c>
      <c r="N273" s="6">
        <v>0</v>
      </c>
      <c r="O273" s="6">
        <v>0</v>
      </c>
      <c r="P273" s="6">
        <v>3</v>
      </c>
      <c r="Q273" s="4" t="s">
        <v>26</v>
      </c>
      <c r="R273" s="4">
        <v>0</v>
      </c>
      <c r="S273" s="4" t="s">
        <v>280</v>
      </c>
      <c r="U273" s="4">
        <v>16</v>
      </c>
      <c r="V273" s="4">
        <v>0</v>
      </c>
      <c r="W273" s="4">
        <v>0</v>
      </c>
    </row>
    <row r="274" spans="1:23" ht="11.25" customHeight="1" x14ac:dyDescent="0.25">
      <c r="A274" s="4" t="s">
        <v>21</v>
      </c>
      <c r="B274" s="4" t="s">
        <v>45</v>
      </c>
      <c r="C274" s="4" t="s">
        <v>34</v>
      </c>
      <c r="D274" s="4" t="s">
        <v>42</v>
      </c>
      <c r="E274" s="4" t="s">
        <v>25</v>
      </c>
      <c r="F274" s="4" t="s">
        <v>25</v>
      </c>
      <c r="G274" s="4" t="s">
        <v>25</v>
      </c>
      <c r="H274" s="4" t="s">
        <v>25</v>
      </c>
      <c r="I274" s="5">
        <v>43922</v>
      </c>
      <c r="J274" s="6">
        <v>422</v>
      </c>
      <c r="K274" s="6">
        <v>422</v>
      </c>
      <c r="L274" s="6">
        <v>0</v>
      </c>
      <c r="M274" s="6">
        <v>0</v>
      </c>
      <c r="N274" s="6">
        <v>0</v>
      </c>
      <c r="O274" s="6">
        <v>0</v>
      </c>
      <c r="P274" s="6">
        <v>3</v>
      </c>
      <c r="Q274" s="4" t="s">
        <v>26</v>
      </c>
      <c r="R274" s="4">
        <v>0</v>
      </c>
      <c r="S274" s="4" t="s">
        <v>281</v>
      </c>
      <c r="U274" s="4">
        <v>16</v>
      </c>
      <c r="V274" s="4">
        <v>0</v>
      </c>
      <c r="W274" s="4">
        <v>0</v>
      </c>
    </row>
    <row r="275" spans="1:23" ht="11.25" customHeight="1" x14ac:dyDescent="0.25">
      <c r="A275" s="4" t="s">
        <v>21</v>
      </c>
      <c r="B275" s="4" t="s">
        <v>45</v>
      </c>
      <c r="C275" s="4" t="s">
        <v>34</v>
      </c>
      <c r="D275" s="4" t="s">
        <v>42</v>
      </c>
      <c r="E275" s="4" t="s">
        <v>25</v>
      </c>
      <c r="F275" s="4" t="s">
        <v>25</v>
      </c>
      <c r="G275" s="4" t="s">
        <v>25</v>
      </c>
      <c r="H275" s="4" t="s">
        <v>25</v>
      </c>
      <c r="I275" s="5">
        <v>43952</v>
      </c>
      <c r="J275" s="6">
        <v>422</v>
      </c>
      <c r="K275" s="6">
        <v>422</v>
      </c>
      <c r="L275" s="6">
        <v>0</v>
      </c>
      <c r="M275" s="6">
        <v>0</v>
      </c>
      <c r="N275" s="6">
        <v>0</v>
      </c>
      <c r="O275" s="6">
        <v>0</v>
      </c>
      <c r="P275" s="6">
        <v>3</v>
      </c>
      <c r="Q275" s="4" t="s">
        <v>26</v>
      </c>
      <c r="R275" s="4">
        <v>0</v>
      </c>
      <c r="S275" s="4" t="s">
        <v>282</v>
      </c>
      <c r="U275" s="4">
        <v>16</v>
      </c>
      <c r="V275" s="4">
        <v>0</v>
      </c>
      <c r="W275" s="4">
        <v>0</v>
      </c>
    </row>
    <row r="276" spans="1:23" ht="11.25" customHeight="1" x14ac:dyDescent="0.25">
      <c r="A276" s="4" t="s">
        <v>21</v>
      </c>
      <c r="B276" s="4" t="s">
        <v>45</v>
      </c>
      <c r="C276" s="4" t="s">
        <v>34</v>
      </c>
      <c r="D276" s="4" t="s">
        <v>42</v>
      </c>
      <c r="E276" s="4" t="s">
        <v>25</v>
      </c>
      <c r="F276" s="4" t="s">
        <v>25</v>
      </c>
      <c r="G276" s="4" t="s">
        <v>25</v>
      </c>
      <c r="H276" s="4" t="s">
        <v>25</v>
      </c>
      <c r="I276" s="5">
        <v>43983</v>
      </c>
      <c r="J276" s="6">
        <v>422</v>
      </c>
      <c r="K276" s="6">
        <v>422</v>
      </c>
      <c r="L276" s="6">
        <v>0</v>
      </c>
      <c r="M276" s="6">
        <v>0</v>
      </c>
      <c r="N276" s="6">
        <v>0</v>
      </c>
      <c r="O276" s="6">
        <v>0</v>
      </c>
      <c r="P276" s="6">
        <v>3</v>
      </c>
      <c r="Q276" s="4" t="s">
        <v>26</v>
      </c>
      <c r="R276" s="4">
        <v>0</v>
      </c>
      <c r="S276" s="4" t="s">
        <v>283</v>
      </c>
      <c r="U276" s="4">
        <v>16</v>
      </c>
      <c r="V276" s="4">
        <v>0</v>
      </c>
      <c r="W276" s="4">
        <v>0</v>
      </c>
    </row>
    <row r="277" spans="1:23" ht="11.25" customHeight="1" x14ac:dyDescent="0.25">
      <c r="A277" s="4" t="s">
        <v>21</v>
      </c>
      <c r="B277" s="4" t="s">
        <v>45</v>
      </c>
      <c r="C277" s="4" t="s">
        <v>34</v>
      </c>
      <c r="D277" s="4" t="s">
        <v>42</v>
      </c>
      <c r="E277" s="4" t="s">
        <v>25</v>
      </c>
      <c r="F277" s="4" t="s">
        <v>25</v>
      </c>
      <c r="G277" s="4" t="s">
        <v>25</v>
      </c>
      <c r="H277" s="4" t="s">
        <v>25</v>
      </c>
      <c r="I277" s="5">
        <v>44013</v>
      </c>
      <c r="J277" s="6">
        <v>422</v>
      </c>
      <c r="K277" s="6">
        <v>422</v>
      </c>
      <c r="L277" s="6">
        <v>0</v>
      </c>
      <c r="M277" s="6">
        <v>0</v>
      </c>
      <c r="N277" s="6">
        <v>0</v>
      </c>
      <c r="O277" s="6">
        <v>0</v>
      </c>
      <c r="P277" s="6">
        <v>3</v>
      </c>
      <c r="Q277" s="4" t="s">
        <v>26</v>
      </c>
      <c r="R277" s="4">
        <v>0</v>
      </c>
      <c r="S277" s="4" t="s">
        <v>284</v>
      </c>
      <c r="U277" s="4">
        <v>16</v>
      </c>
      <c r="V277" s="4">
        <v>0</v>
      </c>
      <c r="W277" s="4">
        <v>0</v>
      </c>
    </row>
    <row r="278" spans="1:23" ht="11.25" customHeight="1" x14ac:dyDescent="0.25">
      <c r="A278" s="4" t="s">
        <v>21</v>
      </c>
      <c r="B278" s="4" t="s">
        <v>45</v>
      </c>
      <c r="C278" s="4" t="s">
        <v>34</v>
      </c>
      <c r="D278" s="4" t="s">
        <v>42</v>
      </c>
      <c r="E278" s="4" t="s">
        <v>25</v>
      </c>
      <c r="F278" s="4" t="s">
        <v>25</v>
      </c>
      <c r="G278" s="4" t="s">
        <v>25</v>
      </c>
      <c r="H278" s="4" t="s">
        <v>25</v>
      </c>
      <c r="I278" s="5">
        <v>44044</v>
      </c>
      <c r="J278" s="6">
        <v>422</v>
      </c>
      <c r="K278" s="6">
        <v>422</v>
      </c>
      <c r="L278" s="6">
        <v>0</v>
      </c>
      <c r="M278" s="6">
        <v>0</v>
      </c>
      <c r="N278" s="6">
        <v>0</v>
      </c>
      <c r="O278" s="6">
        <v>0</v>
      </c>
      <c r="P278" s="6">
        <v>3</v>
      </c>
      <c r="Q278" s="4" t="s">
        <v>26</v>
      </c>
      <c r="R278" s="4">
        <v>0</v>
      </c>
      <c r="S278" s="4" t="s">
        <v>285</v>
      </c>
      <c r="U278" s="4">
        <v>16</v>
      </c>
      <c r="V278" s="4">
        <v>0</v>
      </c>
      <c r="W278" s="4">
        <v>0</v>
      </c>
    </row>
    <row r="279" spans="1:23" ht="11.25" customHeight="1" x14ac:dyDescent="0.25">
      <c r="A279" s="4" t="s">
        <v>59</v>
      </c>
      <c r="B279" s="4" t="s">
        <v>45</v>
      </c>
      <c r="C279" s="4" t="s">
        <v>34</v>
      </c>
      <c r="D279" s="4" t="s">
        <v>42</v>
      </c>
      <c r="E279" s="4" t="s">
        <v>25</v>
      </c>
      <c r="F279" s="4" t="s">
        <v>25</v>
      </c>
      <c r="G279" s="4" t="s">
        <v>25</v>
      </c>
      <c r="H279" s="4" t="s">
        <v>25</v>
      </c>
      <c r="I279" s="5">
        <v>44075</v>
      </c>
      <c r="J279" s="6">
        <v>422</v>
      </c>
      <c r="K279" s="6">
        <v>422</v>
      </c>
      <c r="L279" s="6">
        <v>0</v>
      </c>
      <c r="M279" s="6">
        <v>0</v>
      </c>
      <c r="N279" s="6">
        <v>0</v>
      </c>
      <c r="O279" s="6">
        <v>0</v>
      </c>
      <c r="P279" s="6">
        <v>3</v>
      </c>
      <c r="Q279" s="4" t="s">
        <v>26</v>
      </c>
      <c r="R279" s="4">
        <v>0</v>
      </c>
      <c r="S279" s="4" t="s">
        <v>286</v>
      </c>
      <c r="U279" s="4">
        <v>16</v>
      </c>
      <c r="V279" s="4">
        <v>0</v>
      </c>
      <c r="W279" s="4">
        <v>0</v>
      </c>
    </row>
    <row r="280" spans="1:23" ht="11.25" customHeight="1" x14ac:dyDescent="0.25">
      <c r="A280" s="4" t="s">
        <v>21</v>
      </c>
      <c r="B280" s="4" t="s">
        <v>45</v>
      </c>
      <c r="C280" s="4" t="s">
        <v>34</v>
      </c>
      <c r="D280" s="4" t="s">
        <v>42</v>
      </c>
      <c r="E280" s="4" t="s">
        <v>25</v>
      </c>
      <c r="F280" s="4" t="s">
        <v>25</v>
      </c>
      <c r="G280" s="4" t="s">
        <v>25</v>
      </c>
      <c r="H280" s="4" t="s">
        <v>35</v>
      </c>
      <c r="I280" s="5">
        <v>43739</v>
      </c>
      <c r="J280" s="6">
        <v>0</v>
      </c>
      <c r="K280" s="6">
        <v>0</v>
      </c>
      <c r="L280" s="6">
        <v>5.6459999999999999</v>
      </c>
      <c r="M280" s="6">
        <v>5.6459999999999999</v>
      </c>
      <c r="N280" s="6">
        <v>5.6459999999999999</v>
      </c>
      <c r="O280" s="6">
        <v>5.6459999999999999</v>
      </c>
      <c r="P280" s="6">
        <v>0</v>
      </c>
      <c r="Q280" s="4" t="s">
        <v>26</v>
      </c>
      <c r="R280" s="4">
        <v>0</v>
      </c>
      <c r="S280" s="4" t="s">
        <v>287</v>
      </c>
      <c r="T280" s="4" t="s">
        <v>684</v>
      </c>
      <c r="U280" s="4">
        <v>0</v>
      </c>
      <c r="V280" s="4">
        <v>17</v>
      </c>
      <c r="W280" s="4">
        <v>79</v>
      </c>
    </row>
    <row r="281" spans="1:23" ht="11.25" customHeight="1" x14ac:dyDescent="0.25">
      <c r="A281" s="4" t="s">
        <v>27</v>
      </c>
      <c r="B281" s="4" t="s">
        <v>45</v>
      </c>
      <c r="C281" s="4" t="s">
        <v>34</v>
      </c>
      <c r="D281" s="4" t="s">
        <v>42</v>
      </c>
      <c r="E281" s="4" t="s">
        <v>25</v>
      </c>
      <c r="F281" s="4" t="s">
        <v>25</v>
      </c>
      <c r="G281" s="4" t="s">
        <v>25</v>
      </c>
      <c r="H281" s="4" t="s">
        <v>35</v>
      </c>
      <c r="I281" s="5">
        <v>43739</v>
      </c>
      <c r="J281" s="6">
        <v>0</v>
      </c>
      <c r="K281" s="6">
        <v>0</v>
      </c>
      <c r="L281" s="6">
        <v>4.6500000000000004</v>
      </c>
      <c r="M281" s="6">
        <v>4.6500000000000004</v>
      </c>
      <c r="N281" s="6">
        <v>4.6500000000000004</v>
      </c>
      <c r="O281" s="6">
        <v>4.6500000000000004</v>
      </c>
      <c r="P281" s="6">
        <v>0</v>
      </c>
      <c r="Q281" s="4" t="s">
        <v>26</v>
      </c>
      <c r="R281" s="4">
        <v>0</v>
      </c>
      <c r="S281" s="4" t="s">
        <v>287</v>
      </c>
      <c r="T281" s="4" t="s">
        <v>684</v>
      </c>
      <c r="U281" s="4">
        <v>0</v>
      </c>
      <c r="V281" s="4">
        <v>17</v>
      </c>
      <c r="W281" s="4">
        <v>79</v>
      </c>
    </row>
    <row r="282" spans="1:23" ht="11.25" customHeight="1" x14ac:dyDescent="0.25">
      <c r="A282" s="4" t="s">
        <v>21</v>
      </c>
      <c r="B282" s="4" t="s">
        <v>45</v>
      </c>
      <c r="C282" s="4" t="s">
        <v>34</v>
      </c>
      <c r="D282" s="4" t="s">
        <v>42</v>
      </c>
      <c r="E282" s="4" t="s">
        <v>25</v>
      </c>
      <c r="F282" s="4" t="s">
        <v>25</v>
      </c>
      <c r="G282" s="4" t="s">
        <v>25</v>
      </c>
      <c r="H282" s="4" t="s">
        <v>35</v>
      </c>
      <c r="I282" s="5">
        <v>43770</v>
      </c>
      <c r="J282" s="6">
        <v>0</v>
      </c>
      <c r="K282" s="6">
        <v>0</v>
      </c>
      <c r="L282" s="6">
        <v>12.007999999999999</v>
      </c>
      <c r="M282" s="6">
        <v>12.007999999999999</v>
      </c>
      <c r="N282" s="6">
        <v>12.007999999999999</v>
      </c>
      <c r="O282" s="6">
        <v>12.007999999999999</v>
      </c>
      <c r="P282" s="6">
        <v>0</v>
      </c>
      <c r="Q282" s="4" t="s">
        <v>26</v>
      </c>
      <c r="R282" s="4">
        <v>0</v>
      </c>
      <c r="S282" s="4" t="s">
        <v>288</v>
      </c>
      <c r="T282" s="4" t="s">
        <v>685</v>
      </c>
      <c r="U282" s="4">
        <v>0</v>
      </c>
      <c r="V282" s="4">
        <v>17</v>
      </c>
      <c r="W282" s="4">
        <v>79</v>
      </c>
    </row>
    <row r="283" spans="1:23" ht="11.25" customHeight="1" x14ac:dyDescent="0.25">
      <c r="A283" s="4" t="s">
        <v>21</v>
      </c>
      <c r="B283" s="4" t="s">
        <v>45</v>
      </c>
      <c r="C283" s="4" t="s">
        <v>34</v>
      </c>
      <c r="D283" s="4" t="s">
        <v>42</v>
      </c>
      <c r="E283" s="4" t="s">
        <v>25</v>
      </c>
      <c r="F283" s="4" t="s">
        <v>25</v>
      </c>
      <c r="G283" s="4" t="s">
        <v>25</v>
      </c>
      <c r="H283" s="4" t="s">
        <v>35</v>
      </c>
      <c r="I283" s="5">
        <v>43800</v>
      </c>
      <c r="J283" s="6">
        <v>0</v>
      </c>
      <c r="K283" s="6">
        <v>0</v>
      </c>
      <c r="L283" s="6">
        <v>10.971</v>
      </c>
      <c r="M283" s="6">
        <v>10.971</v>
      </c>
      <c r="N283" s="6">
        <v>10.971</v>
      </c>
      <c r="O283" s="6">
        <v>10.971</v>
      </c>
      <c r="P283" s="6">
        <v>0</v>
      </c>
      <c r="Q283" s="4" t="s">
        <v>26</v>
      </c>
      <c r="R283" s="4">
        <v>0</v>
      </c>
      <c r="S283" s="4" t="s">
        <v>289</v>
      </c>
      <c r="T283" s="4" t="s">
        <v>686</v>
      </c>
      <c r="U283" s="4">
        <v>0</v>
      </c>
      <c r="V283" s="4">
        <v>17</v>
      </c>
      <c r="W283" s="4">
        <v>79</v>
      </c>
    </row>
    <row r="284" spans="1:23" ht="11.25" customHeight="1" x14ac:dyDescent="0.25">
      <c r="A284" s="4" t="s">
        <v>21</v>
      </c>
      <c r="B284" s="4" t="s">
        <v>45</v>
      </c>
      <c r="C284" s="4" t="s">
        <v>34</v>
      </c>
      <c r="D284" s="4" t="s">
        <v>42</v>
      </c>
      <c r="E284" s="4" t="s">
        <v>25</v>
      </c>
      <c r="F284" s="4" t="s">
        <v>25</v>
      </c>
      <c r="G284" s="4" t="s">
        <v>25</v>
      </c>
      <c r="H284" s="4" t="s">
        <v>35</v>
      </c>
      <c r="I284" s="5">
        <v>43831</v>
      </c>
      <c r="J284" s="6">
        <v>0</v>
      </c>
      <c r="K284" s="6">
        <v>0</v>
      </c>
      <c r="L284" s="6">
        <v>10.223000000000001</v>
      </c>
      <c r="M284" s="6">
        <v>10.223000000000001</v>
      </c>
      <c r="N284" s="6">
        <v>10.223000000000001</v>
      </c>
      <c r="O284" s="6">
        <v>10.223000000000001</v>
      </c>
      <c r="P284" s="6">
        <v>0</v>
      </c>
      <c r="Q284" s="4" t="s">
        <v>26</v>
      </c>
      <c r="R284" s="4">
        <v>0</v>
      </c>
      <c r="S284" s="4" t="s">
        <v>290</v>
      </c>
      <c r="T284" s="4" t="s">
        <v>687</v>
      </c>
      <c r="U284" s="4">
        <v>0</v>
      </c>
      <c r="V284" s="4">
        <v>17</v>
      </c>
      <c r="W284" s="4">
        <v>79</v>
      </c>
    </row>
    <row r="285" spans="1:23" ht="11.25" customHeight="1" x14ac:dyDescent="0.25">
      <c r="A285" s="4" t="s">
        <v>21</v>
      </c>
      <c r="B285" s="4" t="s">
        <v>45</v>
      </c>
      <c r="C285" s="4" t="s">
        <v>34</v>
      </c>
      <c r="D285" s="4" t="s">
        <v>42</v>
      </c>
      <c r="E285" s="4" t="s">
        <v>25</v>
      </c>
      <c r="F285" s="4" t="s">
        <v>25</v>
      </c>
      <c r="G285" s="4" t="s">
        <v>25</v>
      </c>
      <c r="H285" s="4" t="s">
        <v>35</v>
      </c>
      <c r="I285" s="5">
        <v>43862</v>
      </c>
      <c r="J285" s="6">
        <v>0</v>
      </c>
      <c r="K285" s="6">
        <v>0</v>
      </c>
      <c r="L285" s="6">
        <v>13.21</v>
      </c>
      <c r="M285" s="6">
        <v>13.21</v>
      </c>
      <c r="N285" s="6">
        <v>13.21</v>
      </c>
      <c r="O285" s="6">
        <v>13.21</v>
      </c>
      <c r="P285" s="6">
        <v>0</v>
      </c>
      <c r="Q285" s="4" t="s">
        <v>26</v>
      </c>
      <c r="R285" s="4">
        <v>0</v>
      </c>
      <c r="S285" s="4" t="s">
        <v>291</v>
      </c>
      <c r="T285" s="4" t="s">
        <v>688</v>
      </c>
      <c r="U285" s="4">
        <v>0</v>
      </c>
      <c r="V285" s="4">
        <v>17</v>
      </c>
      <c r="W285" s="4">
        <v>79</v>
      </c>
    </row>
    <row r="286" spans="1:23" ht="11.25" customHeight="1" x14ac:dyDescent="0.25">
      <c r="A286" s="4" t="s">
        <v>21</v>
      </c>
      <c r="B286" s="4" t="s">
        <v>45</v>
      </c>
      <c r="C286" s="4" t="s">
        <v>34</v>
      </c>
      <c r="D286" s="4" t="s">
        <v>42</v>
      </c>
      <c r="E286" s="4" t="s">
        <v>25</v>
      </c>
      <c r="F286" s="4" t="s">
        <v>25</v>
      </c>
      <c r="G286" s="4" t="s">
        <v>25</v>
      </c>
      <c r="H286" s="4" t="s">
        <v>35</v>
      </c>
      <c r="I286" s="5">
        <v>43891</v>
      </c>
      <c r="J286" s="6">
        <v>0</v>
      </c>
      <c r="K286" s="6">
        <v>0</v>
      </c>
      <c r="L286" s="6">
        <v>10.962</v>
      </c>
      <c r="M286" s="6">
        <v>10.962</v>
      </c>
      <c r="N286" s="6">
        <v>10.962</v>
      </c>
      <c r="O286" s="6">
        <v>10.962</v>
      </c>
      <c r="P286" s="6">
        <v>0</v>
      </c>
      <c r="Q286" s="4" t="s">
        <v>26</v>
      </c>
      <c r="R286" s="4">
        <v>0</v>
      </c>
      <c r="S286" s="4" t="s">
        <v>292</v>
      </c>
      <c r="T286" s="4" t="s">
        <v>689</v>
      </c>
      <c r="U286" s="4">
        <v>0</v>
      </c>
      <c r="V286" s="4">
        <v>17</v>
      </c>
      <c r="W286" s="4">
        <v>79</v>
      </c>
    </row>
    <row r="287" spans="1:23" ht="11.25" customHeight="1" x14ac:dyDescent="0.25">
      <c r="A287" s="4" t="s">
        <v>21</v>
      </c>
      <c r="B287" s="4" t="s">
        <v>45</v>
      </c>
      <c r="C287" s="4" t="s">
        <v>34</v>
      </c>
      <c r="D287" s="4" t="s">
        <v>42</v>
      </c>
      <c r="E287" s="4" t="s">
        <v>25</v>
      </c>
      <c r="F287" s="4" t="s">
        <v>25</v>
      </c>
      <c r="G287" s="4" t="s">
        <v>25</v>
      </c>
      <c r="H287" s="4" t="s">
        <v>35</v>
      </c>
      <c r="I287" s="5">
        <v>43922</v>
      </c>
      <c r="J287" s="6">
        <v>0</v>
      </c>
      <c r="K287" s="6">
        <v>0</v>
      </c>
      <c r="L287" s="6">
        <v>2.8740000000000001</v>
      </c>
      <c r="M287" s="6">
        <v>2.8740000000000001</v>
      </c>
      <c r="N287" s="6">
        <v>2.8740000000000001</v>
      </c>
      <c r="O287" s="6">
        <v>2.8740000000000001</v>
      </c>
      <c r="P287" s="6">
        <v>0</v>
      </c>
      <c r="Q287" s="4" t="s">
        <v>26</v>
      </c>
      <c r="R287" s="4">
        <v>0</v>
      </c>
      <c r="S287" s="4" t="s">
        <v>293</v>
      </c>
      <c r="T287" s="4" t="s">
        <v>690</v>
      </c>
      <c r="U287" s="4">
        <v>0</v>
      </c>
      <c r="V287" s="4">
        <v>17</v>
      </c>
      <c r="W287" s="4">
        <v>79</v>
      </c>
    </row>
    <row r="288" spans="1:23" ht="11.25" customHeight="1" x14ac:dyDescent="0.25">
      <c r="A288" s="4" t="s">
        <v>21</v>
      </c>
      <c r="B288" s="4" t="s">
        <v>45</v>
      </c>
      <c r="C288" s="4" t="s">
        <v>34</v>
      </c>
      <c r="D288" s="4" t="s">
        <v>42</v>
      </c>
      <c r="E288" s="4" t="s">
        <v>25</v>
      </c>
      <c r="F288" s="4" t="s">
        <v>25</v>
      </c>
      <c r="G288" s="4" t="s">
        <v>25</v>
      </c>
      <c r="H288" s="4" t="s">
        <v>35</v>
      </c>
      <c r="I288" s="5">
        <v>43952</v>
      </c>
      <c r="J288" s="6">
        <v>0</v>
      </c>
      <c r="K288" s="6">
        <v>0</v>
      </c>
      <c r="L288" s="6">
        <v>2.3769999999999998</v>
      </c>
      <c r="M288" s="6">
        <v>2.3769999999999998</v>
      </c>
      <c r="N288" s="6">
        <v>2.3769999999999998</v>
      </c>
      <c r="O288" s="6">
        <v>2.3769999999999998</v>
      </c>
      <c r="P288" s="6">
        <v>0</v>
      </c>
      <c r="Q288" s="4" t="s">
        <v>26</v>
      </c>
      <c r="R288" s="4">
        <v>0</v>
      </c>
      <c r="S288" s="4" t="s">
        <v>294</v>
      </c>
      <c r="T288" s="4" t="s">
        <v>691</v>
      </c>
      <c r="U288" s="4">
        <v>0</v>
      </c>
      <c r="V288" s="4">
        <v>17</v>
      </c>
      <c r="W288" s="4">
        <v>79</v>
      </c>
    </row>
    <row r="289" spans="1:23" ht="11.25" customHeight="1" x14ac:dyDescent="0.25">
      <c r="A289" s="4" t="s">
        <v>21</v>
      </c>
      <c r="B289" s="4" t="s">
        <v>45</v>
      </c>
      <c r="C289" s="4" t="s">
        <v>34</v>
      </c>
      <c r="D289" s="4" t="s">
        <v>42</v>
      </c>
      <c r="E289" s="4" t="s">
        <v>25</v>
      </c>
      <c r="F289" s="4" t="s">
        <v>25</v>
      </c>
      <c r="G289" s="4" t="s">
        <v>25</v>
      </c>
      <c r="H289" s="4" t="s">
        <v>35</v>
      </c>
      <c r="I289" s="5">
        <v>43983</v>
      </c>
      <c r="J289" s="6">
        <v>0</v>
      </c>
      <c r="K289" s="6">
        <v>0</v>
      </c>
      <c r="L289" s="6">
        <v>5.5190000000000001</v>
      </c>
      <c r="M289" s="6">
        <v>5.5190000000000001</v>
      </c>
      <c r="N289" s="6">
        <v>5.5190000000000001</v>
      </c>
      <c r="O289" s="6">
        <v>5.5190000000000001</v>
      </c>
      <c r="P289" s="6">
        <v>0</v>
      </c>
      <c r="Q289" s="4" t="s">
        <v>26</v>
      </c>
      <c r="R289" s="4">
        <v>0</v>
      </c>
      <c r="S289" s="4" t="s">
        <v>295</v>
      </c>
      <c r="T289" s="4" t="s">
        <v>692</v>
      </c>
      <c r="U289" s="4">
        <v>0</v>
      </c>
      <c r="V289" s="4">
        <v>17</v>
      </c>
      <c r="W289" s="4">
        <v>79</v>
      </c>
    </row>
    <row r="290" spans="1:23" ht="11.25" customHeight="1" x14ac:dyDescent="0.25">
      <c r="A290" s="4" t="s">
        <v>21</v>
      </c>
      <c r="B290" s="4" t="s">
        <v>45</v>
      </c>
      <c r="C290" s="4" t="s">
        <v>34</v>
      </c>
      <c r="D290" s="4" t="s">
        <v>42</v>
      </c>
      <c r="E290" s="4" t="s">
        <v>25</v>
      </c>
      <c r="F290" s="4" t="s">
        <v>25</v>
      </c>
      <c r="G290" s="4" t="s">
        <v>25</v>
      </c>
      <c r="H290" s="4" t="s">
        <v>35</v>
      </c>
      <c r="I290" s="5">
        <v>44013</v>
      </c>
      <c r="J290" s="6">
        <v>0</v>
      </c>
      <c r="K290" s="6">
        <v>0</v>
      </c>
      <c r="L290" s="6">
        <v>7.3559999999999999</v>
      </c>
      <c r="M290" s="6">
        <v>7.3559999999999999</v>
      </c>
      <c r="N290" s="6">
        <v>7.3559999999999999</v>
      </c>
      <c r="O290" s="6">
        <v>7.3559999999999999</v>
      </c>
      <c r="P290" s="6">
        <v>0</v>
      </c>
      <c r="Q290" s="4" t="s">
        <v>26</v>
      </c>
      <c r="R290" s="4">
        <v>0</v>
      </c>
      <c r="S290" s="4" t="s">
        <v>296</v>
      </c>
      <c r="T290" s="4" t="s">
        <v>693</v>
      </c>
      <c r="U290" s="4">
        <v>0</v>
      </c>
      <c r="V290" s="4">
        <v>17</v>
      </c>
      <c r="W290" s="4">
        <v>79</v>
      </c>
    </row>
    <row r="291" spans="1:23" ht="11.25" customHeight="1" x14ac:dyDescent="0.25">
      <c r="A291" s="4" t="s">
        <v>21</v>
      </c>
      <c r="B291" s="4" t="s">
        <v>45</v>
      </c>
      <c r="C291" s="4" t="s">
        <v>34</v>
      </c>
      <c r="D291" s="4" t="s">
        <v>42</v>
      </c>
      <c r="E291" s="4" t="s">
        <v>25</v>
      </c>
      <c r="F291" s="4" t="s">
        <v>25</v>
      </c>
      <c r="G291" s="4" t="s">
        <v>25</v>
      </c>
      <c r="H291" s="4" t="s">
        <v>35</v>
      </c>
      <c r="I291" s="5">
        <v>44044</v>
      </c>
      <c r="J291" s="6">
        <v>0</v>
      </c>
      <c r="K291" s="6">
        <v>0</v>
      </c>
      <c r="L291" s="6">
        <v>9.32</v>
      </c>
      <c r="M291" s="6">
        <v>9.32</v>
      </c>
      <c r="N291" s="6">
        <v>9.32</v>
      </c>
      <c r="O291" s="6">
        <v>9.32</v>
      </c>
      <c r="P291" s="6">
        <v>0</v>
      </c>
      <c r="Q291" s="4" t="s">
        <v>26</v>
      </c>
      <c r="R291" s="4">
        <v>0</v>
      </c>
      <c r="S291" s="4" t="s">
        <v>297</v>
      </c>
      <c r="T291" s="4" t="s">
        <v>694</v>
      </c>
      <c r="U291" s="4">
        <v>0</v>
      </c>
      <c r="V291" s="4">
        <v>17</v>
      </c>
      <c r="W291" s="4">
        <v>79</v>
      </c>
    </row>
    <row r="292" spans="1:23" ht="11.25" customHeight="1" x14ac:dyDescent="0.25">
      <c r="A292" s="4" t="s">
        <v>59</v>
      </c>
      <c r="B292" s="4" t="s">
        <v>45</v>
      </c>
      <c r="C292" s="4" t="s">
        <v>34</v>
      </c>
      <c r="D292" s="4" t="s">
        <v>42</v>
      </c>
      <c r="E292" s="4" t="s">
        <v>25</v>
      </c>
      <c r="F292" s="4" t="s">
        <v>25</v>
      </c>
      <c r="G292" s="4" t="s">
        <v>25</v>
      </c>
      <c r="H292" s="4" t="s">
        <v>35</v>
      </c>
      <c r="I292" s="5">
        <v>44075</v>
      </c>
      <c r="J292" s="6">
        <v>0</v>
      </c>
      <c r="K292" s="6">
        <v>0</v>
      </c>
      <c r="L292" s="6">
        <v>9.32</v>
      </c>
      <c r="M292" s="6">
        <v>9.32</v>
      </c>
      <c r="N292" s="6">
        <v>9.32</v>
      </c>
      <c r="O292" s="6">
        <v>9.32</v>
      </c>
      <c r="P292" s="6">
        <v>0</v>
      </c>
      <c r="Q292" s="4" t="s">
        <v>26</v>
      </c>
      <c r="R292" s="4">
        <v>0</v>
      </c>
      <c r="S292" s="4" t="s">
        <v>298</v>
      </c>
      <c r="T292" s="4" t="s">
        <v>695</v>
      </c>
      <c r="U292" s="4">
        <v>0</v>
      </c>
      <c r="V292" s="4">
        <v>17</v>
      </c>
      <c r="W292" s="4">
        <v>79</v>
      </c>
    </row>
    <row r="293" spans="1:23" ht="11.25" customHeight="1" x14ac:dyDescent="0.25">
      <c r="A293" s="4" t="s">
        <v>21</v>
      </c>
      <c r="B293" s="4" t="s">
        <v>45</v>
      </c>
      <c r="C293" s="4" t="s">
        <v>34</v>
      </c>
      <c r="D293" s="4" t="s">
        <v>40</v>
      </c>
      <c r="E293" s="4" t="s">
        <v>25</v>
      </c>
      <c r="F293" s="4" t="s">
        <v>63</v>
      </c>
      <c r="G293" s="4" t="s">
        <v>25</v>
      </c>
      <c r="H293" s="4" t="s">
        <v>36</v>
      </c>
      <c r="I293" s="5">
        <v>43739</v>
      </c>
      <c r="J293" s="6">
        <v>0</v>
      </c>
      <c r="K293" s="6">
        <v>0</v>
      </c>
      <c r="L293" s="6">
        <v>120.919</v>
      </c>
      <c r="M293" s="6">
        <v>120.919</v>
      </c>
      <c r="N293" s="6">
        <v>0</v>
      </c>
      <c r="O293" s="6">
        <v>0</v>
      </c>
      <c r="P293" s="6">
        <v>0</v>
      </c>
      <c r="Q293" s="4" t="s">
        <v>60</v>
      </c>
      <c r="R293" s="4">
        <v>0</v>
      </c>
      <c r="S293" s="4" t="s">
        <v>263</v>
      </c>
      <c r="U293" s="4">
        <v>0</v>
      </c>
      <c r="V293" s="4">
        <v>18</v>
      </c>
      <c r="W293" s="4">
        <v>0</v>
      </c>
    </row>
    <row r="294" spans="1:23" ht="11.25" customHeight="1" x14ac:dyDescent="0.25">
      <c r="A294" s="4" t="s">
        <v>21</v>
      </c>
      <c r="B294" s="4" t="s">
        <v>45</v>
      </c>
      <c r="C294" s="4" t="s">
        <v>34</v>
      </c>
      <c r="D294" s="4" t="s">
        <v>40</v>
      </c>
      <c r="E294" s="4" t="s">
        <v>25</v>
      </c>
      <c r="F294" s="4" t="s">
        <v>63</v>
      </c>
      <c r="G294" s="4" t="s">
        <v>25</v>
      </c>
      <c r="H294" s="4" t="s">
        <v>36</v>
      </c>
      <c r="I294" s="5">
        <v>43770</v>
      </c>
      <c r="J294" s="6">
        <v>0</v>
      </c>
      <c r="K294" s="6">
        <v>0</v>
      </c>
      <c r="L294" s="6">
        <v>117.059</v>
      </c>
      <c r="M294" s="6">
        <v>117.059</v>
      </c>
      <c r="N294" s="6">
        <v>0</v>
      </c>
      <c r="O294" s="6">
        <v>0</v>
      </c>
      <c r="P294" s="6">
        <v>0</v>
      </c>
      <c r="Q294" s="4" t="s">
        <v>60</v>
      </c>
      <c r="R294" s="4">
        <v>0</v>
      </c>
      <c r="S294" s="4" t="s">
        <v>264</v>
      </c>
      <c r="U294" s="4">
        <v>0</v>
      </c>
      <c r="V294" s="4">
        <v>18</v>
      </c>
      <c r="W294" s="4">
        <v>0</v>
      </c>
    </row>
    <row r="295" spans="1:23" ht="11.25" customHeight="1" x14ac:dyDescent="0.25">
      <c r="A295" s="4" t="s">
        <v>21</v>
      </c>
      <c r="B295" s="4" t="s">
        <v>45</v>
      </c>
      <c r="C295" s="4" t="s">
        <v>34</v>
      </c>
      <c r="D295" s="4" t="s">
        <v>40</v>
      </c>
      <c r="E295" s="4" t="s">
        <v>25</v>
      </c>
      <c r="F295" s="4" t="s">
        <v>63</v>
      </c>
      <c r="G295" s="4" t="s">
        <v>25</v>
      </c>
      <c r="H295" s="4" t="s">
        <v>36</v>
      </c>
      <c r="I295" s="5">
        <v>43800</v>
      </c>
      <c r="J295" s="6">
        <v>0</v>
      </c>
      <c r="K295" s="6">
        <v>0</v>
      </c>
      <c r="L295" s="6">
        <v>118.559</v>
      </c>
      <c r="M295" s="6">
        <v>118.559</v>
      </c>
      <c r="N295" s="6">
        <v>0</v>
      </c>
      <c r="O295" s="6">
        <v>0</v>
      </c>
      <c r="P295" s="6">
        <v>0</v>
      </c>
      <c r="Q295" s="4" t="s">
        <v>60</v>
      </c>
      <c r="R295" s="4">
        <v>0</v>
      </c>
      <c r="S295" s="4" t="s">
        <v>265</v>
      </c>
      <c r="U295" s="4">
        <v>0</v>
      </c>
      <c r="V295" s="4">
        <v>18</v>
      </c>
      <c r="W295" s="4">
        <v>0</v>
      </c>
    </row>
    <row r="296" spans="1:23" ht="11.25" customHeight="1" x14ac:dyDescent="0.25">
      <c r="A296" s="4" t="s">
        <v>21</v>
      </c>
      <c r="B296" s="4" t="s">
        <v>45</v>
      </c>
      <c r="C296" s="4" t="s">
        <v>34</v>
      </c>
      <c r="D296" s="4" t="s">
        <v>40</v>
      </c>
      <c r="E296" s="4" t="s">
        <v>25</v>
      </c>
      <c r="F296" s="4" t="s">
        <v>63</v>
      </c>
      <c r="G296" s="4" t="s">
        <v>25</v>
      </c>
      <c r="H296" s="4" t="s">
        <v>36</v>
      </c>
      <c r="I296" s="5">
        <v>43831</v>
      </c>
      <c r="J296" s="6">
        <v>0</v>
      </c>
      <c r="K296" s="6">
        <v>0</v>
      </c>
      <c r="L296" s="6">
        <v>119.437</v>
      </c>
      <c r="M296" s="6">
        <v>119.437</v>
      </c>
      <c r="N296" s="6">
        <v>0</v>
      </c>
      <c r="O296" s="6">
        <v>0</v>
      </c>
      <c r="P296" s="6">
        <v>0</v>
      </c>
      <c r="Q296" s="4" t="s">
        <v>60</v>
      </c>
      <c r="R296" s="4">
        <v>0</v>
      </c>
      <c r="S296" s="4" t="s">
        <v>266</v>
      </c>
      <c r="U296" s="4">
        <v>0</v>
      </c>
      <c r="V296" s="4">
        <v>18</v>
      </c>
      <c r="W296" s="4">
        <v>0</v>
      </c>
    </row>
    <row r="297" spans="1:23" ht="11.25" customHeight="1" x14ac:dyDescent="0.25">
      <c r="A297" s="4" t="s">
        <v>21</v>
      </c>
      <c r="B297" s="4" t="s">
        <v>45</v>
      </c>
      <c r="C297" s="4" t="s">
        <v>34</v>
      </c>
      <c r="D297" s="4" t="s">
        <v>40</v>
      </c>
      <c r="E297" s="4" t="s">
        <v>25</v>
      </c>
      <c r="F297" s="4" t="s">
        <v>63</v>
      </c>
      <c r="G297" s="4" t="s">
        <v>25</v>
      </c>
      <c r="H297" s="4" t="s">
        <v>36</v>
      </c>
      <c r="I297" s="5">
        <v>43862</v>
      </c>
      <c r="J297" s="6">
        <v>0</v>
      </c>
      <c r="K297" s="6">
        <v>0</v>
      </c>
      <c r="L297" s="6">
        <v>108.58199999999999</v>
      </c>
      <c r="M297" s="6">
        <v>108.58199999999999</v>
      </c>
      <c r="N297" s="6">
        <v>0</v>
      </c>
      <c r="O297" s="6">
        <v>0</v>
      </c>
      <c r="P297" s="6">
        <v>0</v>
      </c>
      <c r="Q297" s="4" t="s">
        <v>60</v>
      </c>
      <c r="R297" s="4">
        <v>0</v>
      </c>
      <c r="S297" s="4" t="s">
        <v>267</v>
      </c>
      <c r="U297" s="4">
        <v>0</v>
      </c>
      <c r="V297" s="4">
        <v>18</v>
      </c>
      <c r="W297" s="4">
        <v>0</v>
      </c>
    </row>
    <row r="298" spans="1:23" ht="11.25" customHeight="1" x14ac:dyDescent="0.25">
      <c r="A298" s="4" t="s">
        <v>21</v>
      </c>
      <c r="B298" s="4" t="s">
        <v>45</v>
      </c>
      <c r="C298" s="4" t="s">
        <v>34</v>
      </c>
      <c r="D298" s="4" t="s">
        <v>40</v>
      </c>
      <c r="E298" s="4" t="s">
        <v>25</v>
      </c>
      <c r="F298" s="4" t="s">
        <v>63</v>
      </c>
      <c r="G298" s="4" t="s">
        <v>25</v>
      </c>
      <c r="H298" s="4" t="s">
        <v>36</v>
      </c>
      <c r="I298" s="5">
        <v>43891</v>
      </c>
      <c r="J298" s="6">
        <v>0</v>
      </c>
      <c r="K298" s="6">
        <v>0</v>
      </c>
      <c r="L298" s="6">
        <v>62.996000000000002</v>
      </c>
      <c r="M298" s="6">
        <v>62.996000000000002</v>
      </c>
      <c r="N298" s="6">
        <v>0</v>
      </c>
      <c r="O298" s="6">
        <v>0</v>
      </c>
      <c r="P298" s="6">
        <v>0</v>
      </c>
      <c r="Q298" s="4" t="s">
        <v>60</v>
      </c>
      <c r="R298" s="4">
        <v>0</v>
      </c>
      <c r="S298" s="4" t="s">
        <v>268</v>
      </c>
      <c r="U298" s="4">
        <v>0</v>
      </c>
      <c r="V298" s="4">
        <v>18</v>
      </c>
      <c r="W298" s="4">
        <v>0</v>
      </c>
    </row>
    <row r="299" spans="1:23" ht="11.25" customHeight="1" x14ac:dyDescent="0.25">
      <c r="A299" s="4" t="s">
        <v>21</v>
      </c>
      <c r="B299" s="4" t="s">
        <v>45</v>
      </c>
      <c r="C299" s="4" t="s">
        <v>34</v>
      </c>
      <c r="D299" s="4" t="s">
        <v>40</v>
      </c>
      <c r="E299" s="4" t="s">
        <v>25</v>
      </c>
      <c r="F299" s="4" t="s">
        <v>63</v>
      </c>
      <c r="G299" s="4" t="s">
        <v>25</v>
      </c>
      <c r="H299" s="4" t="s">
        <v>36</v>
      </c>
      <c r="I299" s="5">
        <v>43922</v>
      </c>
      <c r="J299" s="6">
        <v>0</v>
      </c>
      <c r="K299" s="6">
        <v>0</v>
      </c>
      <c r="L299" s="6">
        <v>10.845000000000001</v>
      </c>
      <c r="M299" s="6">
        <v>10.845000000000001</v>
      </c>
      <c r="N299" s="6">
        <v>0</v>
      </c>
      <c r="O299" s="6">
        <v>0</v>
      </c>
      <c r="P299" s="6">
        <v>0</v>
      </c>
      <c r="Q299" s="4" t="s">
        <v>60</v>
      </c>
      <c r="R299" s="4">
        <v>0</v>
      </c>
      <c r="S299" s="4" t="s">
        <v>269</v>
      </c>
      <c r="U299" s="4">
        <v>0</v>
      </c>
      <c r="V299" s="4">
        <v>18</v>
      </c>
      <c r="W299" s="4">
        <v>0</v>
      </c>
    </row>
    <row r="300" spans="1:23" ht="11.25" customHeight="1" x14ac:dyDescent="0.25">
      <c r="A300" s="4" t="s">
        <v>21</v>
      </c>
      <c r="B300" s="4" t="s">
        <v>45</v>
      </c>
      <c r="C300" s="4" t="s">
        <v>34</v>
      </c>
      <c r="D300" s="4" t="s">
        <v>40</v>
      </c>
      <c r="E300" s="4" t="s">
        <v>25</v>
      </c>
      <c r="F300" s="4" t="s">
        <v>63</v>
      </c>
      <c r="G300" s="4" t="s">
        <v>25</v>
      </c>
      <c r="H300" s="4" t="s">
        <v>36</v>
      </c>
      <c r="I300" s="5">
        <v>43952</v>
      </c>
      <c r="J300" s="6">
        <v>0</v>
      </c>
      <c r="K300" s="6">
        <v>0</v>
      </c>
      <c r="L300" s="6">
        <v>22.18</v>
      </c>
      <c r="M300" s="6">
        <v>22.18</v>
      </c>
      <c r="N300" s="6">
        <v>0</v>
      </c>
      <c r="O300" s="6">
        <v>0</v>
      </c>
      <c r="P300" s="6">
        <v>0</v>
      </c>
      <c r="Q300" s="4" t="s">
        <v>60</v>
      </c>
      <c r="R300" s="4">
        <v>0</v>
      </c>
      <c r="S300" s="4" t="s">
        <v>270</v>
      </c>
      <c r="U300" s="4">
        <v>0</v>
      </c>
      <c r="V300" s="4">
        <v>18</v>
      </c>
      <c r="W300" s="4">
        <v>0</v>
      </c>
    </row>
    <row r="301" spans="1:23" ht="11.25" customHeight="1" x14ac:dyDescent="0.25">
      <c r="A301" s="4" t="s">
        <v>21</v>
      </c>
      <c r="B301" s="4" t="s">
        <v>45</v>
      </c>
      <c r="C301" s="4" t="s">
        <v>34</v>
      </c>
      <c r="D301" s="4" t="s">
        <v>40</v>
      </c>
      <c r="E301" s="4" t="s">
        <v>25</v>
      </c>
      <c r="F301" s="4" t="s">
        <v>63</v>
      </c>
      <c r="G301" s="4" t="s">
        <v>25</v>
      </c>
      <c r="H301" s="4" t="s">
        <v>36</v>
      </c>
      <c r="I301" s="5">
        <v>43983</v>
      </c>
      <c r="J301" s="6">
        <v>0</v>
      </c>
      <c r="K301" s="6">
        <v>0</v>
      </c>
      <c r="L301" s="6">
        <v>22.18</v>
      </c>
      <c r="M301" s="6">
        <v>22.18</v>
      </c>
      <c r="N301" s="6">
        <v>0</v>
      </c>
      <c r="O301" s="6">
        <v>0</v>
      </c>
      <c r="P301" s="6">
        <v>0</v>
      </c>
      <c r="Q301" s="4" t="s">
        <v>60</v>
      </c>
      <c r="R301" s="4">
        <v>0</v>
      </c>
      <c r="S301" s="4" t="s">
        <v>271</v>
      </c>
      <c r="U301" s="4">
        <v>0</v>
      </c>
      <c r="V301" s="4">
        <v>18</v>
      </c>
      <c r="W301" s="4">
        <v>0</v>
      </c>
    </row>
    <row r="302" spans="1:23" ht="11.25" customHeight="1" x14ac:dyDescent="0.25">
      <c r="A302" s="4" t="s">
        <v>21</v>
      </c>
      <c r="B302" s="4" t="s">
        <v>45</v>
      </c>
      <c r="C302" s="4" t="s">
        <v>34</v>
      </c>
      <c r="D302" s="4" t="s">
        <v>40</v>
      </c>
      <c r="E302" s="4" t="s">
        <v>25</v>
      </c>
      <c r="F302" s="4" t="s">
        <v>63</v>
      </c>
      <c r="G302" s="4" t="s">
        <v>25</v>
      </c>
      <c r="H302" s="4" t="s">
        <v>36</v>
      </c>
      <c r="I302" s="5">
        <v>44013</v>
      </c>
      <c r="J302" s="6">
        <v>0</v>
      </c>
      <c r="K302" s="6">
        <v>0</v>
      </c>
      <c r="L302" s="6">
        <v>55.78</v>
      </c>
      <c r="M302" s="6">
        <v>55.78</v>
      </c>
      <c r="N302" s="6">
        <v>0</v>
      </c>
      <c r="O302" s="6">
        <v>0</v>
      </c>
      <c r="P302" s="6">
        <v>0</v>
      </c>
      <c r="Q302" s="4" t="s">
        <v>60</v>
      </c>
      <c r="R302" s="4">
        <v>0</v>
      </c>
      <c r="S302" s="4" t="s">
        <v>272</v>
      </c>
      <c r="U302" s="4">
        <v>0</v>
      </c>
      <c r="V302" s="4">
        <v>18</v>
      </c>
      <c r="W302" s="4">
        <v>0</v>
      </c>
    </row>
    <row r="303" spans="1:23" ht="11.25" customHeight="1" x14ac:dyDescent="0.25">
      <c r="A303" s="4" t="s">
        <v>21</v>
      </c>
      <c r="B303" s="4" t="s">
        <v>45</v>
      </c>
      <c r="C303" s="4" t="s">
        <v>34</v>
      </c>
      <c r="D303" s="4" t="s">
        <v>40</v>
      </c>
      <c r="E303" s="4" t="s">
        <v>25</v>
      </c>
      <c r="F303" s="4" t="s">
        <v>63</v>
      </c>
      <c r="G303" s="4" t="s">
        <v>25</v>
      </c>
      <c r="H303" s="4" t="s">
        <v>36</v>
      </c>
      <c r="I303" s="5">
        <v>44044</v>
      </c>
      <c r="J303" s="6">
        <v>0</v>
      </c>
      <c r="K303" s="6">
        <v>0</v>
      </c>
      <c r="L303" s="6">
        <v>61.387999999999998</v>
      </c>
      <c r="M303" s="6">
        <v>61.387999999999998</v>
      </c>
      <c r="N303" s="6">
        <v>0</v>
      </c>
      <c r="O303" s="6">
        <v>0</v>
      </c>
      <c r="P303" s="6">
        <v>0</v>
      </c>
      <c r="Q303" s="4" t="s">
        <v>60</v>
      </c>
      <c r="R303" s="4">
        <v>0</v>
      </c>
      <c r="S303" s="4" t="s">
        <v>273</v>
      </c>
      <c r="U303" s="4">
        <v>0</v>
      </c>
      <c r="V303" s="4">
        <v>18</v>
      </c>
      <c r="W303" s="4">
        <v>0</v>
      </c>
    </row>
    <row r="304" spans="1:23" ht="11.25" customHeight="1" x14ac:dyDescent="0.25">
      <c r="A304" s="4" t="s">
        <v>59</v>
      </c>
      <c r="B304" s="4" t="s">
        <v>45</v>
      </c>
      <c r="C304" s="4" t="s">
        <v>34</v>
      </c>
      <c r="D304" s="4" t="s">
        <v>40</v>
      </c>
      <c r="E304" s="4" t="s">
        <v>25</v>
      </c>
      <c r="F304" s="4" t="s">
        <v>63</v>
      </c>
      <c r="G304" s="4" t="s">
        <v>25</v>
      </c>
      <c r="H304" s="4" t="s">
        <v>36</v>
      </c>
      <c r="I304" s="5">
        <v>44075</v>
      </c>
      <c r="J304" s="6">
        <v>0</v>
      </c>
      <c r="K304" s="6">
        <v>0</v>
      </c>
      <c r="L304" s="6">
        <v>61.387999999999998</v>
      </c>
      <c r="M304" s="6">
        <v>61.387999999999998</v>
      </c>
      <c r="N304" s="6">
        <v>0</v>
      </c>
      <c r="O304" s="6">
        <v>0</v>
      </c>
      <c r="P304" s="6">
        <v>0</v>
      </c>
      <c r="Q304" s="4" t="s">
        <v>60</v>
      </c>
      <c r="R304" s="4">
        <v>0</v>
      </c>
      <c r="S304" s="4" t="s">
        <v>274</v>
      </c>
      <c r="U304" s="4">
        <v>0</v>
      </c>
      <c r="V304" s="4">
        <v>18</v>
      </c>
      <c r="W304" s="4">
        <v>0</v>
      </c>
    </row>
    <row r="305" spans="1:23" ht="11.25" customHeight="1" x14ac:dyDescent="0.25">
      <c r="A305" s="4" t="s">
        <v>21</v>
      </c>
      <c r="B305" s="4" t="s">
        <v>45</v>
      </c>
      <c r="C305" s="4" t="s">
        <v>34</v>
      </c>
      <c r="D305" s="4" t="s">
        <v>40</v>
      </c>
      <c r="E305" s="4" t="s">
        <v>25</v>
      </c>
      <c r="F305" s="4" t="s">
        <v>63</v>
      </c>
      <c r="G305" s="4" t="s">
        <v>25</v>
      </c>
      <c r="H305" s="4" t="s">
        <v>25</v>
      </c>
      <c r="I305" s="5">
        <v>43739</v>
      </c>
      <c r="J305" s="6">
        <v>670</v>
      </c>
      <c r="K305" s="6">
        <v>419.85302100000001</v>
      </c>
      <c r="L305" s="6">
        <v>0</v>
      </c>
      <c r="M305" s="6">
        <v>0</v>
      </c>
      <c r="N305" s="6">
        <v>0</v>
      </c>
      <c r="O305" s="6">
        <v>0</v>
      </c>
      <c r="P305" s="6">
        <v>3</v>
      </c>
      <c r="Q305" s="4" t="s">
        <v>60</v>
      </c>
      <c r="R305" s="4">
        <v>0</v>
      </c>
      <c r="S305" s="4" t="s">
        <v>275</v>
      </c>
      <c r="U305" s="4">
        <v>16</v>
      </c>
      <c r="V305" s="4">
        <v>0</v>
      </c>
      <c r="W305" s="4">
        <v>0</v>
      </c>
    </row>
    <row r="306" spans="1:23" ht="11.25" customHeight="1" x14ac:dyDescent="0.25">
      <c r="A306" s="4" t="s">
        <v>21</v>
      </c>
      <c r="B306" s="4" t="s">
        <v>45</v>
      </c>
      <c r="C306" s="4" t="s">
        <v>34</v>
      </c>
      <c r="D306" s="4" t="s">
        <v>40</v>
      </c>
      <c r="E306" s="4" t="s">
        <v>25</v>
      </c>
      <c r="F306" s="4" t="s">
        <v>63</v>
      </c>
      <c r="G306" s="4" t="s">
        <v>25</v>
      </c>
      <c r="H306" s="4" t="s">
        <v>25</v>
      </c>
      <c r="I306" s="5">
        <v>43770</v>
      </c>
      <c r="J306" s="6">
        <v>670</v>
      </c>
      <c r="K306" s="6">
        <v>421.90370339999998</v>
      </c>
      <c r="L306" s="6">
        <v>0</v>
      </c>
      <c r="M306" s="6">
        <v>0</v>
      </c>
      <c r="N306" s="6">
        <v>0</v>
      </c>
      <c r="O306" s="6">
        <v>0</v>
      </c>
      <c r="P306" s="6">
        <v>3</v>
      </c>
      <c r="Q306" s="4" t="s">
        <v>60</v>
      </c>
      <c r="R306" s="4">
        <v>0</v>
      </c>
      <c r="S306" s="4" t="s">
        <v>276</v>
      </c>
      <c r="U306" s="4">
        <v>16</v>
      </c>
      <c r="V306" s="4">
        <v>0</v>
      </c>
      <c r="W306" s="4">
        <v>0</v>
      </c>
    </row>
    <row r="307" spans="1:23" ht="11.25" customHeight="1" x14ac:dyDescent="0.25">
      <c r="A307" s="4" t="s">
        <v>21</v>
      </c>
      <c r="B307" s="4" t="s">
        <v>45</v>
      </c>
      <c r="C307" s="4" t="s">
        <v>34</v>
      </c>
      <c r="D307" s="4" t="s">
        <v>40</v>
      </c>
      <c r="E307" s="4" t="s">
        <v>25</v>
      </c>
      <c r="F307" s="4" t="s">
        <v>63</v>
      </c>
      <c r="G307" s="4" t="s">
        <v>25</v>
      </c>
      <c r="H307" s="4" t="s">
        <v>25</v>
      </c>
      <c r="I307" s="5">
        <v>43800</v>
      </c>
      <c r="J307" s="6">
        <v>670</v>
      </c>
      <c r="K307" s="6">
        <v>425.12383060000002</v>
      </c>
      <c r="L307" s="6">
        <v>0</v>
      </c>
      <c r="M307" s="6">
        <v>0</v>
      </c>
      <c r="N307" s="6">
        <v>0</v>
      </c>
      <c r="O307" s="6">
        <v>0</v>
      </c>
      <c r="P307" s="6">
        <v>3</v>
      </c>
      <c r="Q307" s="4" t="s">
        <v>60</v>
      </c>
      <c r="R307" s="4">
        <v>0</v>
      </c>
      <c r="S307" s="4" t="s">
        <v>277</v>
      </c>
      <c r="U307" s="4">
        <v>16</v>
      </c>
      <c r="V307" s="4">
        <v>0</v>
      </c>
      <c r="W307" s="4">
        <v>0</v>
      </c>
    </row>
    <row r="308" spans="1:23" ht="11.25" customHeight="1" x14ac:dyDescent="0.25">
      <c r="A308" s="4" t="s">
        <v>21</v>
      </c>
      <c r="B308" s="4" t="s">
        <v>45</v>
      </c>
      <c r="C308" s="4" t="s">
        <v>34</v>
      </c>
      <c r="D308" s="4" t="s">
        <v>40</v>
      </c>
      <c r="E308" s="4" t="s">
        <v>25</v>
      </c>
      <c r="F308" s="4" t="s">
        <v>63</v>
      </c>
      <c r="G308" s="4" t="s">
        <v>25</v>
      </c>
      <c r="H308" s="4" t="s">
        <v>25</v>
      </c>
      <c r="I308" s="5">
        <v>43831</v>
      </c>
      <c r="J308" s="6">
        <v>670</v>
      </c>
      <c r="K308" s="6">
        <v>424.60471460000002</v>
      </c>
      <c r="L308" s="6">
        <v>0</v>
      </c>
      <c r="M308" s="6">
        <v>0</v>
      </c>
      <c r="N308" s="6">
        <v>0</v>
      </c>
      <c r="O308" s="6">
        <v>0</v>
      </c>
      <c r="P308" s="6">
        <v>3</v>
      </c>
      <c r="Q308" s="4" t="s">
        <v>60</v>
      </c>
      <c r="R308" s="4">
        <v>0</v>
      </c>
      <c r="S308" s="4" t="s">
        <v>278</v>
      </c>
      <c r="U308" s="4">
        <v>16</v>
      </c>
      <c r="V308" s="4">
        <v>0</v>
      </c>
      <c r="W308" s="4">
        <v>0</v>
      </c>
    </row>
    <row r="309" spans="1:23" ht="11.25" customHeight="1" x14ac:dyDescent="0.25">
      <c r="A309" s="4" t="s">
        <v>21</v>
      </c>
      <c r="B309" s="4" t="s">
        <v>45</v>
      </c>
      <c r="C309" s="4" t="s">
        <v>34</v>
      </c>
      <c r="D309" s="4" t="s">
        <v>40</v>
      </c>
      <c r="E309" s="4" t="s">
        <v>25</v>
      </c>
      <c r="F309" s="4" t="s">
        <v>63</v>
      </c>
      <c r="G309" s="4" t="s">
        <v>25</v>
      </c>
      <c r="H309" s="4" t="s">
        <v>25</v>
      </c>
      <c r="I309" s="5">
        <v>43862</v>
      </c>
      <c r="J309" s="6">
        <v>670</v>
      </c>
      <c r="K309" s="6">
        <v>420.11772459999997</v>
      </c>
      <c r="L309" s="6">
        <v>0</v>
      </c>
      <c r="M309" s="6">
        <v>0</v>
      </c>
      <c r="N309" s="6">
        <v>0</v>
      </c>
      <c r="O309" s="6">
        <v>0</v>
      </c>
      <c r="P309" s="6">
        <v>3</v>
      </c>
      <c r="Q309" s="4" t="s">
        <v>60</v>
      </c>
      <c r="R309" s="4">
        <v>0</v>
      </c>
      <c r="S309" s="4" t="s">
        <v>279</v>
      </c>
      <c r="U309" s="4">
        <v>16</v>
      </c>
      <c r="V309" s="4">
        <v>0</v>
      </c>
      <c r="W309" s="4">
        <v>0</v>
      </c>
    </row>
    <row r="310" spans="1:23" ht="11.25" customHeight="1" x14ac:dyDescent="0.25">
      <c r="A310" s="4" t="s">
        <v>21</v>
      </c>
      <c r="B310" s="4" t="s">
        <v>45</v>
      </c>
      <c r="C310" s="4" t="s">
        <v>34</v>
      </c>
      <c r="D310" s="4" t="s">
        <v>40</v>
      </c>
      <c r="E310" s="4" t="s">
        <v>25</v>
      </c>
      <c r="F310" s="4" t="s">
        <v>63</v>
      </c>
      <c r="G310" s="4" t="s">
        <v>25</v>
      </c>
      <c r="H310" s="4" t="s">
        <v>25</v>
      </c>
      <c r="I310" s="5">
        <v>43891</v>
      </c>
      <c r="J310" s="6">
        <v>670</v>
      </c>
      <c r="K310" s="6">
        <v>418.96188080000002</v>
      </c>
      <c r="L310" s="6">
        <v>0</v>
      </c>
      <c r="M310" s="6">
        <v>0</v>
      </c>
      <c r="N310" s="6">
        <v>0</v>
      </c>
      <c r="O310" s="6">
        <v>0</v>
      </c>
      <c r="P310" s="6">
        <v>3</v>
      </c>
      <c r="Q310" s="4" t="s">
        <v>60</v>
      </c>
      <c r="R310" s="4">
        <v>0</v>
      </c>
      <c r="S310" s="4" t="s">
        <v>280</v>
      </c>
      <c r="U310" s="4">
        <v>16</v>
      </c>
      <c r="V310" s="4">
        <v>0</v>
      </c>
      <c r="W310" s="4">
        <v>0</v>
      </c>
    </row>
    <row r="311" spans="1:23" ht="11.25" customHeight="1" x14ac:dyDescent="0.25">
      <c r="A311" s="4" t="s">
        <v>21</v>
      </c>
      <c r="B311" s="4" t="s">
        <v>45</v>
      </c>
      <c r="C311" s="4" t="s">
        <v>34</v>
      </c>
      <c r="D311" s="4" t="s">
        <v>40</v>
      </c>
      <c r="E311" s="4" t="s">
        <v>25</v>
      </c>
      <c r="F311" s="4" t="s">
        <v>63</v>
      </c>
      <c r="G311" s="4" t="s">
        <v>25</v>
      </c>
      <c r="H311" s="4" t="s">
        <v>25</v>
      </c>
      <c r="I311" s="5">
        <v>43922</v>
      </c>
      <c r="J311" s="6">
        <v>670</v>
      </c>
      <c r="K311" s="6">
        <v>419.41134360000001</v>
      </c>
      <c r="L311" s="6">
        <v>0</v>
      </c>
      <c r="M311" s="6">
        <v>0</v>
      </c>
      <c r="N311" s="6">
        <v>0</v>
      </c>
      <c r="O311" s="6">
        <v>0</v>
      </c>
      <c r="P311" s="6">
        <v>3</v>
      </c>
      <c r="Q311" s="4" t="s">
        <v>60</v>
      </c>
      <c r="R311" s="4">
        <v>0</v>
      </c>
      <c r="S311" s="4" t="s">
        <v>281</v>
      </c>
      <c r="U311" s="4">
        <v>16</v>
      </c>
      <c r="V311" s="4">
        <v>0</v>
      </c>
      <c r="W311" s="4">
        <v>0</v>
      </c>
    </row>
    <row r="312" spans="1:23" ht="11.25" customHeight="1" x14ac:dyDescent="0.25">
      <c r="A312" s="4" t="s">
        <v>21</v>
      </c>
      <c r="B312" s="4" t="s">
        <v>45</v>
      </c>
      <c r="C312" s="4" t="s">
        <v>34</v>
      </c>
      <c r="D312" s="4" t="s">
        <v>40</v>
      </c>
      <c r="E312" s="4" t="s">
        <v>25</v>
      </c>
      <c r="F312" s="4" t="s">
        <v>63</v>
      </c>
      <c r="G312" s="4" t="s">
        <v>25</v>
      </c>
      <c r="H312" s="4" t="s">
        <v>25</v>
      </c>
      <c r="I312" s="5">
        <v>43952</v>
      </c>
      <c r="J312" s="6">
        <v>670</v>
      </c>
      <c r="K312" s="6">
        <v>418.4460545</v>
      </c>
      <c r="L312" s="6">
        <v>0</v>
      </c>
      <c r="M312" s="6">
        <v>0</v>
      </c>
      <c r="N312" s="6">
        <v>0</v>
      </c>
      <c r="O312" s="6">
        <v>0</v>
      </c>
      <c r="P312" s="6">
        <v>3</v>
      </c>
      <c r="Q312" s="4" t="s">
        <v>60</v>
      </c>
      <c r="R312" s="4">
        <v>0</v>
      </c>
      <c r="S312" s="4" t="s">
        <v>282</v>
      </c>
      <c r="U312" s="4">
        <v>16</v>
      </c>
      <c r="V312" s="4">
        <v>0</v>
      </c>
      <c r="W312" s="4">
        <v>0</v>
      </c>
    </row>
    <row r="313" spans="1:23" ht="11.25" customHeight="1" x14ac:dyDescent="0.25">
      <c r="A313" s="4" t="s">
        <v>21</v>
      </c>
      <c r="B313" s="4" t="s">
        <v>45</v>
      </c>
      <c r="C313" s="4" t="s">
        <v>34</v>
      </c>
      <c r="D313" s="4" t="s">
        <v>40</v>
      </c>
      <c r="E313" s="4" t="s">
        <v>25</v>
      </c>
      <c r="F313" s="4" t="s">
        <v>63</v>
      </c>
      <c r="G313" s="4" t="s">
        <v>25</v>
      </c>
      <c r="H313" s="4" t="s">
        <v>25</v>
      </c>
      <c r="I313" s="5">
        <v>43983</v>
      </c>
      <c r="J313" s="6">
        <v>670</v>
      </c>
      <c r="K313" s="6">
        <v>419.22425279999999</v>
      </c>
      <c r="L313" s="6">
        <v>0</v>
      </c>
      <c r="M313" s="6">
        <v>0</v>
      </c>
      <c r="N313" s="6">
        <v>0</v>
      </c>
      <c r="O313" s="6">
        <v>0</v>
      </c>
      <c r="P313" s="6">
        <v>3</v>
      </c>
      <c r="Q313" s="4" t="s">
        <v>60</v>
      </c>
      <c r="R313" s="4">
        <v>0</v>
      </c>
      <c r="S313" s="4" t="s">
        <v>283</v>
      </c>
      <c r="U313" s="4">
        <v>16</v>
      </c>
      <c r="V313" s="4">
        <v>0</v>
      </c>
      <c r="W313" s="4">
        <v>0</v>
      </c>
    </row>
    <row r="314" spans="1:23" ht="11.25" customHeight="1" x14ac:dyDescent="0.25">
      <c r="A314" s="4" t="s">
        <v>21</v>
      </c>
      <c r="B314" s="4" t="s">
        <v>45</v>
      </c>
      <c r="C314" s="4" t="s">
        <v>34</v>
      </c>
      <c r="D314" s="4" t="s">
        <v>40</v>
      </c>
      <c r="E314" s="4" t="s">
        <v>25</v>
      </c>
      <c r="F314" s="4" t="s">
        <v>63</v>
      </c>
      <c r="G314" s="4" t="s">
        <v>25</v>
      </c>
      <c r="H314" s="4" t="s">
        <v>25</v>
      </c>
      <c r="I314" s="5">
        <v>44013</v>
      </c>
      <c r="J314" s="6">
        <v>420</v>
      </c>
      <c r="K314" s="6">
        <v>273.46222260000002</v>
      </c>
      <c r="L314" s="6">
        <v>0</v>
      </c>
      <c r="M314" s="6">
        <v>0</v>
      </c>
      <c r="N314" s="6">
        <v>0</v>
      </c>
      <c r="O314" s="6">
        <v>0</v>
      </c>
      <c r="P314" s="6">
        <v>2</v>
      </c>
      <c r="Q314" s="4" t="s">
        <v>60</v>
      </c>
      <c r="R314" s="4">
        <v>0</v>
      </c>
      <c r="S314" s="4" t="s">
        <v>284</v>
      </c>
      <c r="U314" s="4">
        <v>16</v>
      </c>
      <c r="V314" s="4">
        <v>0</v>
      </c>
      <c r="W314" s="4">
        <v>0</v>
      </c>
    </row>
    <row r="315" spans="1:23" ht="11.25" customHeight="1" x14ac:dyDescent="0.25">
      <c r="A315" s="4" t="s">
        <v>21</v>
      </c>
      <c r="B315" s="4" t="s">
        <v>45</v>
      </c>
      <c r="C315" s="4" t="s">
        <v>34</v>
      </c>
      <c r="D315" s="4" t="s">
        <v>40</v>
      </c>
      <c r="E315" s="4" t="s">
        <v>25</v>
      </c>
      <c r="F315" s="4" t="s">
        <v>63</v>
      </c>
      <c r="G315" s="4" t="s">
        <v>25</v>
      </c>
      <c r="H315" s="4" t="s">
        <v>25</v>
      </c>
      <c r="I315" s="5">
        <v>44044</v>
      </c>
      <c r="J315" s="6">
        <v>670</v>
      </c>
      <c r="K315" s="6">
        <v>415.4</v>
      </c>
      <c r="L315" s="6">
        <v>0</v>
      </c>
      <c r="M315" s="6">
        <v>0</v>
      </c>
      <c r="N315" s="6">
        <v>0</v>
      </c>
      <c r="O315" s="6">
        <v>0</v>
      </c>
      <c r="P315" s="6">
        <v>3</v>
      </c>
      <c r="Q315" s="4" t="s">
        <v>60</v>
      </c>
      <c r="R315" s="4">
        <v>0</v>
      </c>
      <c r="S315" s="4" t="s">
        <v>285</v>
      </c>
      <c r="U315" s="4">
        <v>16</v>
      </c>
      <c r="V315" s="4">
        <v>0</v>
      </c>
      <c r="W315" s="4">
        <v>0</v>
      </c>
    </row>
    <row r="316" spans="1:23" ht="11.25" customHeight="1" x14ac:dyDescent="0.25">
      <c r="A316" s="4" t="s">
        <v>59</v>
      </c>
      <c r="B316" s="4" t="s">
        <v>45</v>
      </c>
      <c r="C316" s="4" t="s">
        <v>34</v>
      </c>
      <c r="D316" s="4" t="s">
        <v>40</v>
      </c>
      <c r="E316" s="4" t="s">
        <v>25</v>
      </c>
      <c r="F316" s="4" t="s">
        <v>63</v>
      </c>
      <c r="G316" s="4" t="s">
        <v>25</v>
      </c>
      <c r="H316" s="4" t="s">
        <v>25</v>
      </c>
      <c r="I316" s="5">
        <v>44075</v>
      </c>
      <c r="J316" s="6">
        <v>670</v>
      </c>
      <c r="K316" s="6">
        <v>415.4</v>
      </c>
      <c r="L316" s="6">
        <v>0</v>
      </c>
      <c r="M316" s="6">
        <v>0</v>
      </c>
      <c r="N316" s="6">
        <v>0</v>
      </c>
      <c r="O316" s="6">
        <v>0</v>
      </c>
      <c r="P316" s="6">
        <v>3</v>
      </c>
      <c r="Q316" s="4" t="s">
        <v>60</v>
      </c>
      <c r="R316" s="4">
        <v>0</v>
      </c>
      <c r="S316" s="4" t="s">
        <v>286</v>
      </c>
      <c r="U316" s="4">
        <v>16</v>
      </c>
      <c r="V316" s="4">
        <v>0</v>
      </c>
      <c r="W316" s="4">
        <v>0</v>
      </c>
    </row>
    <row r="317" spans="1:23" ht="11.25" customHeight="1" x14ac:dyDescent="0.25">
      <c r="A317" s="4" t="s">
        <v>21</v>
      </c>
      <c r="B317" s="4" t="s">
        <v>45</v>
      </c>
      <c r="C317" s="4" t="s">
        <v>34</v>
      </c>
      <c r="D317" s="4" t="s">
        <v>40</v>
      </c>
      <c r="E317" s="4" t="s">
        <v>25</v>
      </c>
      <c r="F317" s="4" t="s">
        <v>63</v>
      </c>
      <c r="G317" s="4" t="s">
        <v>25</v>
      </c>
      <c r="H317" s="4" t="s">
        <v>35</v>
      </c>
      <c r="I317" s="5">
        <v>43739</v>
      </c>
      <c r="J317" s="6">
        <v>0</v>
      </c>
      <c r="K317" s="6">
        <v>0</v>
      </c>
      <c r="L317" s="6">
        <v>21.872</v>
      </c>
      <c r="M317" s="6">
        <v>14.80330008592</v>
      </c>
      <c r="N317" s="6">
        <v>0</v>
      </c>
      <c r="O317" s="6">
        <v>0</v>
      </c>
      <c r="P317" s="6">
        <v>0</v>
      </c>
      <c r="Q317" s="4" t="s">
        <v>60</v>
      </c>
      <c r="R317" s="4">
        <v>0</v>
      </c>
      <c r="S317" s="4" t="s">
        <v>287</v>
      </c>
      <c r="U317" s="4">
        <v>0</v>
      </c>
      <c r="V317" s="4">
        <v>17</v>
      </c>
      <c r="W317" s="4">
        <v>0</v>
      </c>
    </row>
    <row r="318" spans="1:23" ht="11.25" customHeight="1" x14ac:dyDescent="0.25">
      <c r="A318" s="4" t="s">
        <v>21</v>
      </c>
      <c r="B318" s="4" t="s">
        <v>45</v>
      </c>
      <c r="C318" s="4" t="s">
        <v>34</v>
      </c>
      <c r="D318" s="4" t="s">
        <v>40</v>
      </c>
      <c r="E318" s="4" t="s">
        <v>25</v>
      </c>
      <c r="F318" s="4" t="s">
        <v>63</v>
      </c>
      <c r="G318" s="4" t="s">
        <v>25</v>
      </c>
      <c r="H318" s="4" t="s">
        <v>35</v>
      </c>
      <c r="I318" s="5">
        <v>43770</v>
      </c>
      <c r="J318" s="6">
        <v>0</v>
      </c>
      <c r="K318" s="6">
        <v>0</v>
      </c>
      <c r="L318" s="6">
        <v>18.177</v>
      </c>
      <c r="M318" s="6">
        <v>12.33908618451</v>
      </c>
      <c r="N318" s="6">
        <v>0</v>
      </c>
      <c r="O318" s="6">
        <v>0</v>
      </c>
      <c r="P318" s="6">
        <v>0</v>
      </c>
      <c r="Q318" s="4" t="s">
        <v>60</v>
      </c>
      <c r="R318" s="4">
        <v>0</v>
      </c>
      <c r="S318" s="4" t="s">
        <v>288</v>
      </c>
      <c r="U318" s="4">
        <v>0</v>
      </c>
      <c r="V318" s="4">
        <v>17</v>
      </c>
      <c r="W318" s="4">
        <v>0</v>
      </c>
    </row>
    <row r="319" spans="1:23" ht="11.25" customHeight="1" x14ac:dyDescent="0.25">
      <c r="A319" s="4" t="s">
        <v>21</v>
      </c>
      <c r="B319" s="4" t="s">
        <v>45</v>
      </c>
      <c r="C319" s="4" t="s">
        <v>34</v>
      </c>
      <c r="D319" s="4" t="s">
        <v>40</v>
      </c>
      <c r="E319" s="4" t="s">
        <v>25</v>
      </c>
      <c r="F319" s="4" t="s">
        <v>63</v>
      </c>
      <c r="G319" s="4" t="s">
        <v>25</v>
      </c>
      <c r="H319" s="4" t="s">
        <v>35</v>
      </c>
      <c r="I319" s="5">
        <v>43800</v>
      </c>
      <c r="J319" s="6">
        <v>0</v>
      </c>
      <c r="K319" s="6">
        <v>0</v>
      </c>
      <c r="L319" s="6">
        <v>17.957000000000001</v>
      </c>
      <c r="M319" s="6">
        <v>12.27281885329</v>
      </c>
      <c r="N319" s="6">
        <v>0</v>
      </c>
      <c r="O319" s="6">
        <v>0</v>
      </c>
      <c r="P319" s="6">
        <v>0</v>
      </c>
      <c r="Q319" s="4" t="s">
        <v>60</v>
      </c>
      <c r="R319" s="4">
        <v>0</v>
      </c>
      <c r="S319" s="4" t="s">
        <v>289</v>
      </c>
      <c r="U319" s="4">
        <v>0</v>
      </c>
      <c r="V319" s="4">
        <v>17</v>
      </c>
      <c r="W319" s="4">
        <v>0</v>
      </c>
    </row>
    <row r="320" spans="1:23" ht="11.25" customHeight="1" x14ac:dyDescent="0.25">
      <c r="A320" s="4" t="s">
        <v>21</v>
      </c>
      <c r="B320" s="4" t="s">
        <v>45</v>
      </c>
      <c r="C320" s="4" t="s">
        <v>34</v>
      </c>
      <c r="D320" s="4" t="s">
        <v>40</v>
      </c>
      <c r="E320" s="4" t="s">
        <v>25</v>
      </c>
      <c r="F320" s="4" t="s">
        <v>63</v>
      </c>
      <c r="G320" s="4" t="s">
        <v>25</v>
      </c>
      <c r="H320" s="4" t="s">
        <v>35</v>
      </c>
      <c r="I320" s="5">
        <v>43831</v>
      </c>
      <c r="J320" s="6">
        <v>0</v>
      </c>
      <c r="K320" s="6">
        <v>0</v>
      </c>
      <c r="L320" s="6">
        <v>20.297999999999998</v>
      </c>
      <c r="M320" s="6">
        <v>13.883729089139999</v>
      </c>
      <c r="N320" s="6">
        <v>0</v>
      </c>
      <c r="O320" s="6">
        <v>0</v>
      </c>
      <c r="P320" s="6">
        <v>0</v>
      </c>
      <c r="Q320" s="4" t="s">
        <v>60</v>
      </c>
      <c r="R320" s="4">
        <v>0</v>
      </c>
      <c r="S320" s="4" t="s">
        <v>290</v>
      </c>
      <c r="U320" s="4">
        <v>0</v>
      </c>
      <c r="V320" s="4">
        <v>17</v>
      </c>
      <c r="W320" s="4">
        <v>0</v>
      </c>
    </row>
    <row r="321" spans="1:23" ht="11.25" customHeight="1" x14ac:dyDescent="0.25">
      <c r="A321" s="4" t="s">
        <v>21</v>
      </c>
      <c r="B321" s="4" t="s">
        <v>45</v>
      </c>
      <c r="C321" s="4" t="s">
        <v>34</v>
      </c>
      <c r="D321" s="4" t="s">
        <v>40</v>
      </c>
      <c r="E321" s="4" t="s">
        <v>25</v>
      </c>
      <c r="F321" s="4" t="s">
        <v>63</v>
      </c>
      <c r="G321" s="4" t="s">
        <v>25</v>
      </c>
      <c r="H321" s="4" t="s">
        <v>35</v>
      </c>
      <c r="I321" s="5">
        <v>43862</v>
      </c>
      <c r="J321" s="6">
        <v>0</v>
      </c>
      <c r="K321" s="6">
        <v>0</v>
      </c>
      <c r="L321" s="6">
        <v>16.643000000000001</v>
      </c>
      <c r="M321" s="6">
        <v>11.26438332987</v>
      </c>
      <c r="N321" s="6">
        <v>0</v>
      </c>
      <c r="O321" s="6">
        <v>0</v>
      </c>
      <c r="P321" s="6">
        <v>0</v>
      </c>
      <c r="Q321" s="4" t="s">
        <v>60</v>
      </c>
      <c r="R321" s="4">
        <v>0</v>
      </c>
      <c r="S321" s="4" t="s">
        <v>291</v>
      </c>
      <c r="U321" s="4">
        <v>0</v>
      </c>
      <c r="V321" s="4">
        <v>17</v>
      </c>
      <c r="W321" s="4">
        <v>0</v>
      </c>
    </row>
    <row r="322" spans="1:23" ht="11.25" customHeight="1" x14ac:dyDescent="0.25">
      <c r="A322" s="4" t="s">
        <v>21</v>
      </c>
      <c r="B322" s="4" t="s">
        <v>45</v>
      </c>
      <c r="C322" s="4" t="s">
        <v>34</v>
      </c>
      <c r="D322" s="4" t="s">
        <v>40</v>
      </c>
      <c r="E322" s="4" t="s">
        <v>25</v>
      </c>
      <c r="F322" s="4" t="s">
        <v>63</v>
      </c>
      <c r="G322" s="4" t="s">
        <v>25</v>
      </c>
      <c r="H322" s="4" t="s">
        <v>35</v>
      </c>
      <c r="I322" s="5">
        <v>43891</v>
      </c>
      <c r="J322" s="6">
        <v>0</v>
      </c>
      <c r="K322" s="6">
        <v>0</v>
      </c>
      <c r="L322" s="6">
        <v>10.343999999999999</v>
      </c>
      <c r="M322" s="6">
        <v>6.9809970962400003</v>
      </c>
      <c r="N322" s="6">
        <v>0</v>
      </c>
      <c r="O322" s="6">
        <v>0</v>
      </c>
      <c r="P322" s="6">
        <v>0</v>
      </c>
      <c r="Q322" s="4" t="s">
        <v>60</v>
      </c>
      <c r="R322" s="4">
        <v>0</v>
      </c>
      <c r="S322" s="4" t="s">
        <v>292</v>
      </c>
      <c r="U322" s="4">
        <v>0</v>
      </c>
      <c r="V322" s="4">
        <v>17</v>
      </c>
      <c r="W322" s="4">
        <v>0</v>
      </c>
    </row>
    <row r="323" spans="1:23" ht="11.25" customHeight="1" x14ac:dyDescent="0.25">
      <c r="A323" s="4" t="s">
        <v>21</v>
      </c>
      <c r="B323" s="4" t="s">
        <v>45</v>
      </c>
      <c r="C323" s="4" t="s">
        <v>34</v>
      </c>
      <c r="D323" s="4" t="s">
        <v>40</v>
      </c>
      <c r="E323" s="4" t="s">
        <v>25</v>
      </c>
      <c r="F323" s="4" t="s">
        <v>63</v>
      </c>
      <c r="G323" s="4" t="s">
        <v>25</v>
      </c>
      <c r="H323" s="4" t="s">
        <v>35</v>
      </c>
      <c r="I323" s="5">
        <v>43922</v>
      </c>
      <c r="J323" s="6">
        <v>0</v>
      </c>
      <c r="K323" s="6">
        <v>0</v>
      </c>
      <c r="L323" s="6">
        <v>0.98399999999999999</v>
      </c>
      <c r="M323" s="6">
        <v>0.66464254416000002</v>
      </c>
      <c r="N323" s="6">
        <v>0</v>
      </c>
      <c r="O323" s="6">
        <v>0</v>
      </c>
      <c r="P323" s="6">
        <v>0</v>
      </c>
      <c r="Q323" s="4" t="s">
        <v>60</v>
      </c>
      <c r="R323" s="4">
        <v>0</v>
      </c>
      <c r="S323" s="4" t="s">
        <v>293</v>
      </c>
      <c r="U323" s="4">
        <v>0</v>
      </c>
      <c r="V323" s="4">
        <v>17</v>
      </c>
      <c r="W323" s="4">
        <v>0</v>
      </c>
    </row>
    <row r="324" spans="1:23" ht="11.25" customHeight="1" x14ac:dyDescent="0.25">
      <c r="A324" s="4" t="s">
        <v>21</v>
      </c>
      <c r="B324" s="4" t="s">
        <v>45</v>
      </c>
      <c r="C324" s="4" t="s">
        <v>34</v>
      </c>
      <c r="D324" s="4" t="s">
        <v>40</v>
      </c>
      <c r="E324" s="4" t="s">
        <v>25</v>
      </c>
      <c r="F324" s="4" t="s">
        <v>63</v>
      </c>
      <c r="G324" s="4" t="s">
        <v>25</v>
      </c>
      <c r="H324" s="4" t="s">
        <v>35</v>
      </c>
      <c r="I324" s="5">
        <v>43952</v>
      </c>
      <c r="J324" s="6">
        <v>0</v>
      </c>
      <c r="K324" s="6">
        <v>0</v>
      </c>
      <c r="L324" s="6">
        <v>1.915</v>
      </c>
      <c r="M324" s="6">
        <v>1.290534203</v>
      </c>
      <c r="N324" s="6">
        <v>0</v>
      </c>
      <c r="O324" s="6">
        <v>0</v>
      </c>
      <c r="P324" s="6">
        <v>0</v>
      </c>
      <c r="Q324" s="4" t="s">
        <v>60</v>
      </c>
      <c r="R324" s="4">
        <v>0</v>
      </c>
      <c r="S324" s="4" t="s">
        <v>294</v>
      </c>
      <c r="U324" s="4">
        <v>0</v>
      </c>
      <c r="V324" s="4">
        <v>17</v>
      </c>
      <c r="W324" s="4">
        <v>0</v>
      </c>
    </row>
    <row r="325" spans="1:23" ht="11.25" customHeight="1" x14ac:dyDescent="0.25">
      <c r="A325" s="4" t="s">
        <v>21</v>
      </c>
      <c r="B325" s="4" t="s">
        <v>45</v>
      </c>
      <c r="C325" s="4" t="s">
        <v>34</v>
      </c>
      <c r="D325" s="4" t="s">
        <v>40</v>
      </c>
      <c r="E325" s="4" t="s">
        <v>25</v>
      </c>
      <c r="F325" s="4" t="s">
        <v>63</v>
      </c>
      <c r="G325" s="4" t="s">
        <v>25</v>
      </c>
      <c r="H325" s="4" t="s">
        <v>35</v>
      </c>
      <c r="I325" s="5">
        <v>43983</v>
      </c>
      <c r="J325" s="6">
        <v>0</v>
      </c>
      <c r="K325" s="6">
        <v>0</v>
      </c>
      <c r="L325" s="6">
        <v>1.915</v>
      </c>
      <c r="M325" s="6">
        <v>1.2913289663</v>
      </c>
      <c r="N325" s="6">
        <v>0</v>
      </c>
      <c r="O325" s="6">
        <v>0</v>
      </c>
      <c r="P325" s="6">
        <v>0</v>
      </c>
      <c r="Q325" s="4" t="s">
        <v>60</v>
      </c>
      <c r="R325" s="4">
        <v>0</v>
      </c>
      <c r="S325" s="4" t="s">
        <v>295</v>
      </c>
      <c r="U325" s="4">
        <v>0</v>
      </c>
      <c r="V325" s="4">
        <v>17</v>
      </c>
      <c r="W325" s="4">
        <v>0</v>
      </c>
    </row>
    <row r="326" spans="1:23" ht="11.25" customHeight="1" x14ac:dyDescent="0.25">
      <c r="A326" s="4" t="s">
        <v>21</v>
      </c>
      <c r="B326" s="4" t="s">
        <v>45</v>
      </c>
      <c r="C326" s="4" t="s">
        <v>34</v>
      </c>
      <c r="D326" s="4" t="s">
        <v>40</v>
      </c>
      <c r="E326" s="4" t="s">
        <v>25</v>
      </c>
      <c r="F326" s="4" t="s">
        <v>63</v>
      </c>
      <c r="G326" s="4" t="s">
        <v>25</v>
      </c>
      <c r="H326" s="4" t="s">
        <v>35</v>
      </c>
      <c r="I326" s="5">
        <v>44013</v>
      </c>
      <c r="J326" s="6">
        <v>0</v>
      </c>
      <c r="K326" s="6">
        <v>0</v>
      </c>
      <c r="L326" s="6">
        <v>10.974</v>
      </c>
      <c r="M326" s="6">
        <v>7.6265878306800001</v>
      </c>
      <c r="N326" s="6">
        <v>0</v>
      </c>
      <c r="O326" s="6">
        <v>0</v>
      </c>
      <c r="P326" s="6">
        <v>0</v>
      </c>
      <c r="Q326" s="4" t="s">
        <v>60</v>
      </c>
      <c r="R326" s="4">
        <v>0</v>
      </c>
      <c r="S326" s="4" t="s">
        <v>296</v>
      </c>
      <c r="U326" s="4">
        <v>0</v>
      </c>
      <c r="V326" s="4">
        <v>17</v>
      </c>
      <c r="W326" s="4">
        <v>0</v>
      </c>
    </row>
    <row r="327" spans="1:23" ht="11.25" customHeight="1" x14ac:dyDescent="0.25">
      <c r="A327" s="4" t="s">
        <v>21</v>
      </c>
      <c r="B327" s="4" t="s">
        <v>45</v>
      </c>
      <c r="C327" s="4" t="s">
        <v>34</v>
      </c>
      <c r="D327" s="4" t="s">
        <v>40</v>
      </c>
      <c r="E327" s="4" t="s">
        <v>25</v>
      </c>
      <c r="F327" s="4" t="s">
        <v>63</v>
      </c>
      <c r="G327" s="4" t="s">
        <v>25</v>
      </c>
      <c r="H327" s="4" t="s">
        <v>35</v>
      </c>
      <c r="I327" s="5">
        <v>44044</v>
      </c>
      <c r="J327" s="6">
        <v>0</v>
      </c>
      <c r="K327" s="6">
        <v>0</v>
      </c>
      <c r="L327" s="6">
        <v>10.456</v>
      </c>
      <c r="M327" s="6">
        <v>7.0055199999999997</v>
      </c>
      <c r="N327" s="6">
        <v>0</v>
      </c>
      <c r="O327" s="6">
        <v>0</v>
      </c>
      <c r="P327" s="6">
        <v>0</v>
      </c>
      <c r="Q327" s="4" t="s">
        <v>60</v>
      </c>
      <c r="R327" s="4">
        <v>0</v>
      </c>
      <c r="S327" s="4" t="s">
        <v>297</v>
      </c>
      <c r="U327" s="4">
        <v>0</v>
      </c>
      <c r="V327" s="4">
        <v>17</v>
      </c>
      <c r="W327" s="4">
        <v>0</v>
      </c>
    </row>
    <row r="328" spans="1:23" ht="11.25" customHeight="1" x14ac:dyDescent="0.25">
      <c r="A328" s="4" t="s">
        <v>59</v>
      </c>
      <c r="B328" s="4" t="s">
        <v>45</v>
      </c>
      <c r="C328" s="4" t="s">
        <v>34</v>
      </c>
      <c r="D328" s="4" t="s">
        <v>40</v>
      </c>
      <c r="E328" s="4" t="s">
        <v>25</v>
      </c>
      <c r="F328" s="4" t="s">
        <v>63</v>
      </c>
      <c r="G328" s="4" t="s">
        <v>25</v>
      </c>
      <c r="H328" s="4" t="s">
        <v>35</v>
      </c>
      <c r="I328" s="5">
        <v>44075</v>
      </c>
      <c r="J328" s="6">
        <v>0</v>
      </c>
      <c r="K328" s="6">
        <v>0</v>
      </c>
      <c r="L328" s="6">
        <v>10.456</v>
      </c>
      <c r="M328" s="6">
        <v>7.0055199999999997</v>
      </c>
      <c r="N328" s="6">
        <v>0</v>
      </c>
      <c r="O328" s="6">
        <v>0</v>
      </c>
      <c r="P328" s="6">
        <v>0</v>
      </c>
      <c r="Q328" s="4" t="s">
        <v>60</v>
      </c>
      <c r="R328" s="4">
        <v>0</v>
      </c>
      <c r="S328" s="4" t="s">
        <v>298</v>
      </c>
      <c r="U328" s="4">
        <v>0</v>
      </c>
      <c r="V328" s="4">
        <v>17</v>
      </c>
      <c r="W328" s="4">
        <v>0</v>
      </c>
    </row>
    <row r="329" spans="1:23" ht="11.25" customHeight="1" x14ac:dyDescent="0.25">
      <c r="A329" s="4" t="s">
        <v>21</v>
      </c>
      <c r="B329" s="4" t="s">
        <v>45</v>
      </c>
      <c r="C329" s="4" t="s">
        <v>34</v>
      </c>
      <c r="D329" s="4" t="s">
        <v>52</v>
      </c>
      <c r="E329" s="4" t="s">
        <v>53</v>
      </c>
      <c r="F329" s="4" t="s">
        <v>25</v>
      </c>
      <c r="G329" s="4" t="s">
        <v>25</v>
      </c>
      <c r="H329" s="4" t="s">
        <v>36</v>
      </c>
      <c r="I329" s="5">
        <v>43739</v>
      </c>
      <c r="J329" s="6">
        <v>0</v>
      </c>
      <c r="K329" s="6">
        <v>0</v>
      </c>
      <c r="L329" s="6">
        <v>466.53899999999999</v>
      </c>
      <c r="M329" s="6">
        <v>410.55432000000002</v>
      </c>
      <c r="N329" s="6">
        <v>466.53899999999999</v>
      </c>
      <c r="O329" s="6">
        <v>410.55432000000002</v>
      </c>
      <c r="P329" s="6">
        <v>0</v>
      </c>
      <c r="Q329" s="4" t="s">
        <v>26</v>
      </c>
      <c r="R329" s="4">
        <v>0</v>
      </c>
      <c r="S329" s="4" t="s">
        <v>263</v>
      </c>
      <c r="T329" s="4" t="s">
        <v>672</v>
      </c>
      <c r="U329" s="4">
        <v>0</v>
      </c>
      <c r="V329" s="4">
        <v>18</v>
      </c>
      <c r="W329" s="4">
        <v>80</v>
      </c>
    </row>
    <row r="330" spans="1:23" ht="11.25" customHeight="1" x14ac:dyDescent="0.25">
      <c r="A330" s="4" t="s">
        <v>21</v>
      </c>
      <c r="B330" s="4" t="s">
        <v>45</v>
      </c>
      <c r="C330" s="4" t="s">
        <v>34</v>
      </c>
      <c r="D330" s="4" t="s">
        <v>52</v>
      </c>
      <c r="E330" s="4" t="s">
        <v>53</v>
      </c>
      <c r="F330" s="4" t="s">
        <v>25</v>
      </c>
      <c r="G330" s="4" t="s">
        <v>25</v>
      </c>
      <c r="H330" s="4" t="s">
        <v>36</v>
      </c>
      <c r="I330" s="5">
        <v>43770</v>
      </c>
      <c r="J330" s="6">
        <v>0</v>
      </c>
      <c r="K330" s="6">
        <v>0</v>
      </c>
      <c r="L330" s="6">
        <v>473.21</v>
      </c>
      <c r="M330" s="6">
        <v>416.4248</v>
      </c>
      <c r="N330" s="6">
        <v>473.21</v>
      </c>
      <c r="O330" s="6">
        <v>416.4248</v>
      </c>
      <c r="P330" s="6">
        <v>0</v>
      </c>
      <c r="Q330" s="4" t="s">
        <v>26</v>
      </c>
      <c r="R330" s="4">
        <v>0</v>
      </c>
      <c r="S330" s="4" t="s">
        <v>264</v>
      </c>
      <c r="T330" s="4" t="s">
        <v>673</v>
      </c>
      <c r="U330" s="4">
        <v>0</v>
      </c>
      <c r="V330" s="4">
        <v>18</v>
      </c>
      <c r="W330" s="4">
        <v>80</v>
      </c>
    </row>
    <row r="331" spans="1:23" ht="11.25" customHeight="1" x14ac:dyDescent="0.25">
      <c r="A331" s="4" t="s">
        <v>21</v>
      </c>
      <c r="B331" s="4" t="s">
        <v>45</v>
      </c>
      <c r="C331" s="4" t="s">
        <v>34</v>
      </c>
      <c r="D331" s="4" t="s">
        <v>52</v>
      </c>
      <c r="E331" s="4" t="s">
        <v>53</v>
      </c>
      <c r="F331" s="4" t="s">
        <v>25</v>
      </c>
      <c r="G331" s="4" t="s">
        <v>25</v>
      </c>
      <c r="H331" s="4" t="s">
        <v>36</v>
      </c>
      <c r="I331" s="5">
        <v>43800</v>
      </c>
      <c r="J331" s="6">
        <v>0</v>
      </c>
      <c r="K331" s="6">
        <v>0</v>
      </c>
      <c r="L331" s="6">
        <v>459.21100000000001</v>
      </c>
      <c r="M331" s="6">
        <v>404.10568000000001</v>
      </c>
      <c r="N331" s="6">
        <v>459.21100000000001</v>
      </c>
      <c r="O331" s="6">
        <v>404.10568000000001</v>
      </c>
      <c r="P331" s="6">
        <v>0</v>
      </c>
      <c r="Q331" s="4" t="s">
        <v>26</v>
      </c>
      <c r="R331" s="4">
        <v>0</v>
      </c>
      <c r="S331" s="4" t="s">
        <v>265</v>
      </c>
      <c r="T331" s="4" t="s">
        <v>674</v>
      </c>
      <c r="U331" s="4">
        <v>0</v>
      </c>
      <c r="V331" s="4">
        <v>18</v>
      </c>
      <c r="W331" s="4">
        <v>80</v>
      </c>
    </row>
    <row r="332" spans="1:23" ht="11.25" customHeight="1" x14ac:dyDescent="0.25">
      <c r="A332" s="4" t="s">
        <v>21</v>
      </c>
      <c r="B332" s="4" t="s">
        <v>45</v>
      </c>
      <c r="C332" s="4" t="s">
        <v>34</v>
      </c>
      <c r="D332" s="4" t="s">
        <v>52</v>
      </c>
      <c r="E332" s="4" t="s">
        <v>53</v>
      </c>
      <c r="F332" s="4" t="s">
        <v>25</v>
      </c>
      <c r="G332" s="4" t="s">
        <v>25</v>
      </c>
      <c r="H332" s="4" t="s">
        <v>36</v>
      </c>
      <c r="I332" s="5">
        <v>43831</v>
      </c>
      <c r="J332" s="6">
        <v>0</v>
      </c>
      <c r="K332" s="6">
        <v>0</v>
      </c>
      <c r="L332" s="6">
        <v>478.49099999999999</v>
      </c>
      <c r="M332" s="6">
        <v>421.07207999999997</v>
      </c>
      <c r="N332" s="6">
        <v>478.49099999999999</v>
      </c>
      <c r="O332" s="6">
        <v>421.07207999999997</v>
      </c>
      <c r="P332" s="6">
        <v>0</v>
      </c>
      <c r="Q332" s="4" t="s">
        <v>26</v>
      </c>
      <c r="R332" s="4">
        <v>0</v>
      </c>
      <c r="S332" s="4" t="s">
        <v>266</v>
      </c>
      <c r="T332" s="4" t="s">
        <v>675</v>
      </c>
      <c r="U332" s="4">
        <v>0</v>
      </c>
      <c r="V332" s="4">
        <v>18</v>
      </c>
      <c r="W332" s="4">
        <v>80</v>
      </c>
    </row>
    <row r="333" spans="1:23" ht="11.25" customHeight="1" x14ac:dyDescent="0.25">
      <c r="A333" s="4" t="s">
        <v>21</v>
      </c>
      <c r="B333" s="4" t="s">
        <v>45</v>
      </c>
      <c r="C333" s="4" t="s">
        <v>34</v>
      </c>
      <c r="D333" s="4" t="s">
        <v>52</v>
      </c>
      <c r="E333" s="4" t="s">
        <v>53</v>
      </c>
      <c r="F333" s="4" t="s">
        <v>25</v>
      </c>
      <c r="G333" s="4" t="s">
        <v>25</v>
      </c>
      <c r="H333" s="4" t="s">
        <v>36</v>
      </c>
      <c r="I333" s="5">
        <v>43862</v>
      </c>
      <c r="J333" s="6">
        <v>0</v>
      </c>
      <c r="K333" s="6">
        <v>0</v>
      </c>
      <c r="L333" s="6">
        <v>469.49799999999999</v>
      </c>
      <c r="M333" s="6">
        <v>413.15823999999998</v>
      </c>
      <c r="N333" s="6">
        <v>469.49799999999999</v>
      </c>
      <c r="O333" s="6">
        <v>413.15823999999998</v>
      </c>
      <c r="P333" s="6">
        <v>0</v>
      </c>
      <c r="Q333" s="4" t="s">
        <v>26</v>
      </c>
      <c r="R333" s="4">
        <v>0</v>
      </c>
      <c r="S333" s="4" t="s">
        <v>267</v>
      </c>
      <c r="T333" s="4" t="s">
        <v>676</v>
      </c>
      <c r="U333" s="4">
        <v>0</v>
      </c>
      <c r="V333" s="4">
        <v>18</v>
      </c>
      <c r="W333" s="4">
        <v>80</v>
      </c>
    </row>
    <row r="334" spans="1:23" ht="11.25" customHeight="1" x14ac:dyDescent="0.25">
      <c r="A334" s="4" t="s">
        <v>21</v>
      </c>
      <c r="B334" s="4" t="s">
        <v>45</v>
      </c>
      <c r="C334" s="4" t="s">
        <v>34</v>
      </c>
      <c r="D334" s="4" t="s">
        <v>52</v>
      </c>
      <c r="E334" s="4" t="s">
        <v>53</v>
      </c>
      <c r="F334" s="4" t="s">
        <v>25</v>
      </c>
      <c r="G334" s="4" t="s">
        <v>25</v>
      </c>
      <c r="H334" s="4" t="s">
        <v>36</v>
      </c>
      <c r="I334" s="5">
        <v>43891</v>
      </c>
      <c r="J334" s="6">
        <v>0</v>
      </c>
      <c r="K334" s="6">
        <v>0</v>
      </c>
      <c r="L334" s="6">
        <v>399.048</v>
      </c>
      <c r="M334" s="6">
        <v>351.16224</v>
      </c>
      <c r="N334" s="6">
        <v>399.048</v>
      </c>
      <c r="O334" s="6">
        <v>351.16224</v>
      </c>
      <c r="P334" s="6">
        <v>0</v>
      </c>
      <c r="Q334" s="4" t="s">
        <v>26</v>
      </c>
      <c r="R334" s="4">
        <v>0</v>
      </c>
      <c r="S334" s="4" t="s">
        <v>268</v>
      </c>
      <c r="T334" s="4" t="s">
        <v>677</v>
      </c>
      <c r="U334" s="4">
        <v>0</v>
      </c>
      <c r="V334" s="4">
        <v>18</v>
      </c>
      <c r="W334" s="4">
        <v>80</v>
      </c>
    </row>
    <row r="335" spans="1:23" ht="11.25" customHeight="1" x14ac:dyDescent="0.25">
      <c r="A335" s="4" t="s">
        <v>21</v>
      </c>
      <c r="B335" s="4" t="s">
        <v>45</v>
      </c>
      <c r="C335" s="4" t="s">
        <v>34</v>
      </c>
      <c r="D335" s="4" t="s">
        <v>52</v>
      </c>
      <c r="E335" s="4" t="s">
        <v>53</v>
      </c>
      <c r="F335" s="4" t="s">
        <v>25</v>
      </c>
      <c r="G335" s="4" t="s">
        <v>25</v>
      </c>
      <c r="H335" s="4" t="s">
        <v>36</v>
      </c>
      <c r="I335" s="5">
        <v>43922</v>
      </c>
      <c r="J335" s="6">
        <v>0</v>
      </c>
      <c r="K335" s="6">
        <v>0</v>
      </c>
      <c r="L335" s="6">
        <v>423.98899999999998</v>
      </c>
      <c r="M335" s="6">
        <v>373.11032</v>
      </c>
      <c r="N335" s="6">
        <v>423.98899999999998</v>
      </c>
      <c r="O335" s="6">
        <v>373.11032</v>
      </c>
      <c r="P335" s="6">
        <v>0</v>
      </c>
      <c r="Q335" s="4" t="s">
        <v>26</v>
      </c>
      <c r="R335" s="4">
        <v>0</v>
      </c>
      <c r="S335" s="4" t="s">
        <v>269</v>
      </c>
      <c r="T335" s="4" t="s">
        <v>678</v>
      </c>
      <c r="U335" s="4">
        <v>0</v>
      </c>
      <c r="V335" s="4">
        <v>18</v>
      </c>
      <c r="W335" s="4">
        <v>80</v>
      </c>
    </row>
    <row r="336" spans="1:23" ht="11.25" customHeight="1" x14ac:dyDescent="0.25">
      <c r="A336" s="4" t="s">
        <v>21</v>
      </c>
      <c r="B336" s="4" t="s">
        <v>45</v>
      </c>
      <c r="C336" s="4" t="s">
        <v>34</v>
      </c>
      <c r="D336" s="4" t="s">
        <v>52</v>
      </c>
      <c r="E336" s="4" t="s">
        <v>53</v>
      </c>
      <c r="F336" s="4" t="s">
        <v>25</v>
      </c>
      <c r="G336" s="4" t="s">
        <v>25</v>
      </c>
      <c r="H336" s="4" t="s">
        <v>36</v>
      </c>
      <c r="I336" s="5">
        <v>43952</v>
      </c>
      <c r="J336" s="6">
        <v>0</v>
      </c>
      <c r="K336" s="6">
        <v>0</v>
      </c>
      <c r="L336" s="6">
        <v>393.7</v>
      </c>
      <c r="M336" s="6">
        <v>346.45600000000002</v>
      </c>
      <c r="N336" s="6">
        <v>393.7</v>
      </c>
      <c r="O336" s="6">
        <v>346.45600000000002</v>
      </c>
      <c r="P336" s="6">
        <v>0</v>
      </c>
      <c r="Q336" s="4" t="s">
        <v>26</v>
      </c>
      <c r="R336" s="4">
        <v>0</v>
      </c>
      <c r="S336" s="4" t="s">
        <v>270</v>
      </c>
      <c r="T336" s="4" t="s">
        <v>679</v>
      </c>
      <c r="U336" s="4">
        <v>0</v>
      </c>
      <c r="V336" s="4">
        <v>18</v>
      </c>
      <c r="W336" s="4">
        <v>80</v>
      </c>
    </row>
    <row r="337" spans="1:23" ht="11.25" customHeight="1" x14ac:dyDescent="0.25">
      <c r="A337" s="4" t="s">
        <v>21</v>
      </c>
      <c r="B337" s="4" t="s">
        <v>45</v>
      </c>
      <c r="C337" s="4" t="s">
        <v>34</v>
      </c>
      <c r="D337" s="4" t="s">
        <v>52</v>
      </c>
      <c r="E337" s="4" t="s">
        <v>53</v>
      </c>
      <c r="F337" s="4" t="s">
        <v>25</v>
      </c>
      <c r="G337" s="4" t="s">
        <v>25</v>
      </c>
      <c r="H337" s="4" t="s">
        <v>36</v>
      </c>
      <c r="I337" s="5">
        <v>43983</v>
      </c>
      <c r="J337" s="6">
        <v>0</v>
      </c>
      <c r="K337" s="6">
        <v>0</v>
      </c>
      <c r="L337" s="6">
        <v>434.92599999999999</v>
      </c>
      <c r="M337" s="6">
        <v>382.73487999999998</v>
      </c>
      <c r="N337" s="6">
        <v>434.92599999999999</v>
      </c>
      <c r="O337" s="6">
        <v>382.73487999999998</v>
      </c>
      <c r="P337" s="6">
        <v>0</v>
      </c>
      <c r="Q337" s="4" t="s">
        <v>26</v>
      </c>
      <c r="R337" s="4">
        <v>0</v>
      </c>
      <c r="S337" s="4" t="s">
        <v>271</v>
      </c>
      <c r="T337" s="4" t="s">
        <v>680</v>
      </c>
      <c r="U337" s="4">
        <v>0</v>
      </c>
      <c r="V337" s="4">
        <v>18</v>
      </c>
      <c r="W337" s="4">
        <v>80</v>
      </c>
    </row>
    <row r="338" spans="1:23" ht="11.25" customHeight="1" x14ac:dyDescent="0.25">
      <c r="A338" s="4" t="s">
        <v>21</v>
      </c>
      <c r="B338" s="4" t="s">
        <v>45</v>
      </c>
      <c r="C338" s="4" t="s">
        <v>34</v>
      </c>
      <c r="D338" s="4" t="s">
        <v>52</v>
      </c>
      <c r="E338" s="4" t="s">
        <v>53</v>
      </c>
      <c r="F338" s="4" t="s">
        <v>25</v>
      </c>
      <c r="G338" s="4" t="s">
        <v>25</v>
      </c>
      <c r="H338" s="4" t="s">
        <v>36</v>
      </c>
      <c r="I338" s="5">
        <v>44013</v>
      </c>
      <c r="J338" s="6">
        <v>0</v>
      </c>
      <c r="K338" s="6">
        <v>0</v>
      </c>
      <c r="L338" s="6">
        <v>439.71300000000002</v>
      </c>
      <c r="M338" s="6">
        <v>386.94744000000003</v>
      </c>
      <c r="N338" s="6">
        <v>439.71300000000002</v>
      </c>
      <c r="O338" s="6">
        <v>386.94744000000003</v>
      </c>
      <c r="P338" s="6">
        <v>0</v>
      </c>
      <c r="Q338" s="4" t="s">
        <v>26</v>
      </c>
      <c r="R338" s="4">
        <v>0</v>
      </c>
      <c r="S338" s="4" t="s">
        <v>272</v>
      </c>
      <c r="T338" s="4" t="s">
        <v>681</v>
      </c>
      <c r="U338" s="4">
        <v>0</v>
      </c>
      <c r="V338" s="4">
        <v>18</v>
      </c>
      <c r="W338" s="4">
        <v>80</v>
      </c>
    </row>
    <row r="339" spans="1:23" ht="11.25" customHeight="1" x14ac:dyDescent="0.25">
      <c r="A339" s="4" t="s">
        <v>21</v>
      </c>
      <c r="B339" s="4" t="s">
        <v>45</v>
      </c>
      <c r="C339" s="4" t="s">
        <v>34</v>
      </c>
      <c r="D339" s="4" t="s">
        <v>52</v>
      </c>
      <c r="E339" s="4" t="s">
        <v>53</v>
      </c>
      <c r="F339" s="4" t="s">
        <v>25</v>
      </c>
      <c r="G339" s="4" t="s">
        <v>25</v>
      </c>
      <c r="H339" s="4" t="s">
        <v>36</v>
      </c>
      <c r="I339" s="5">
        <v>44044</v>
      </c>
      <c r="J339" s="6">
        <v>0</v>
      </c>
      <c r="K339" s="6">
        <v>0</v>
      </c>
      <c r="L339" s="6">
        <v>432.42200000000003</v>
      </c>
      <c r="M339" s="6">
        <v>380.53136000000001</v>
      </c>
      <c r="N339" s="6">
        <v>432.42200000000003</v>
      </c>
      <c r="O339" s="6">
        <v>380.53136000000001</v>
      </c>
      <c r="P339" s="6">
        <v>0</v>
      </c>
      <c r="Q339" s="4" t="s">
        <v>26</v>
      </c>
      <c r="R339" s="4">
        <v>0</v>
      </c>
      <c r="S339" s="4" t="s">
        <v>273</v>
      </c>
      <c r="T339" s="4" t="s">
        <v>682</v>
      </c>
      <c r="U339" s="4">
        <v>0</v>
      </c>
      <c r="V339" s="4">
        <v>18</v>
      </c>
      <c r="W339" s="4">
        <v>80</v>
      </c>
    </row>
    <row r="340" spans="1:23" ht="11.25" customHeight="1" x14ac:dyDescent="0.25">
      <c r="A340" s="4" t="s">
        <v>59</v>
      </c>
      <c r="B340" s="4" t="s">
        <v>45</v>
      </c>
      <c r="C340" s="4" t="s">
        <v>34</v>
      </c>
      <c r="D340" s="4" t="s">
        <v>52</v>
      </c>
      <c r="E340" s="4" t="s">
        <v>53</v>
      </c>
      <c r="F340" s="4" t="s">
        <v>25</v>
      </c>
      <c r="G340" s="4" t="s">
        <v>25</v>
      </c>
      <c r="H340" s="4" t="s">
        <v>36</v>
      </c>
      <c r="I340" s="5">
        <v>44075</v>
      </c>
      <c r="J340" s="6">
        <v>0</v>
      </c>
      <c r="K340" s="6">
        <v>0</v>
      </c>
      <c r="L340" s="6">
        <v>432.42200000000003</v>
      </c>
      <c r="M340" s="6">
        <v>380.53136000000001</v>
      </c>
      <c r="N340" s="6">
        <v>432.42200000000003</v>
      </c>
      <c r="O340" s="6">
        <v>380.53136000000001</v>
      </c>
      <c r="P340" s="6">
        <v>0</v>
      </c>
      <c r="Q340" s="4" t="s">
        <v>26</v>
      </c>
      <c r="R340" s="4">
        <v>0</v>
      </c>
      <c r="S340" s="4" t="s">
        <v>274</v>
      </c>
      <c r="T340" s="4" t="s">
        <v>683</v>
      </c>
      <c r="U340" s="4">
        <v>0</v>
      </c>
      <c r="V340" s="4">
        <v>18</v>
      </c>
      <c r="W340" s="4">
        <v>80</v>
      </c>
    </row>
    <row r="341" spans="1:23" ht="11.25" customHeight="1" x14ac:dyDescent="0.25">
      <c r="A341" s="4" t="s">
        <v>21</v>
      </c>
      <c r="B341" s="4" t="s">
        <v>45</v>
      </c>
      <c r="C341" s="4" t="s">
        <v>34</v>
      </c>
      <c r="D341" s="4" t="s">
        <v>52</v>
      </c>
      <c r="E341" s="4" t="s">
        <v>53</v>
      </c>
      <c r="F341" s="4" t="s">
        <v>25</v>
      </c>
      <c r="G341" s="4" t="s">
        <v>25</v>
      </c>
      <c r="H341" s="4" t="s">
        <v>25</v>
      </c>
      <c r="I341" s="5">
        <v>43739</v>
      </c>
      <c r="J341" s="6">
        <v>1130</v>
      </c>
      <c r="K341" s="6">
        <v>994.4</v>
      </c>
      <c r="L341" s="6">
        <v>0</v>
      </c>
      <c r="M341" s="6">
        <v>0</v>
      </c>
      <c r="N341" s="6">
        <v>0</v>
      </c>
      <c r="O341" s="6">
        <v>0</v>
      </c>
      <c r="P341" s="6">
        <v>1</v>
      </c>
      <c r="Q341" s="4" t="s">
        <v>26</v>
      </c>
      <c r="R341" s="4">
        <v>0</v>
      </c>
      <c r="S341" s="4" t="s">
        <v>275</v>
      </c>
      <c r="U341" s="4">
        <v>16</v>
      </c>
      <c r="V341" s="4">
        <v>0</v>
      </c>
      <c r="W341" s="4">
        <v>0</v>
      </c>
    </row>
    <row r="342" spans="1:23" ht="11.25" customHeight="1" x14ac:dyDescent="0.25">
      <c r="A342" s="4" t="s">
        <v>21</v>
      </c>
      <c r="B342" s="4" t="s">
        <v>45</v>
      </c>
      <c r="C342" s="4" t="s">
        <v>34</v>
      </c>
      <c r="D342" s="4" t="s">
        <v>52</v>
      </c>
      <c r="E342" s="4" t="s">
        <v>53</v>
      </c>
      <c r="F342" s="4" t="s">
        <v>25</v>
      </c>
      <c r="G342" s="4" t="s">
        <v>25</v>
      </c>
      <c r="H342" s="4" t="s">
        <v>25</v>
      </c>
      <c r="I342" s="5">
        <v>43770</v>
      </c>
      <c r="J342" s="6">
        <v>1168</v>
      </c>
      <c r="K342" s="6">
        <v>1027.8399999999999</v>
      </c>
      <c r="L342" s="6">
        <v>0</v>
      </c>
      <c r="M342" s="6">
        <v>0</v>
      </c>
      <c r="N342" s="6">
        <v>0</v>
      </c>
      <c r="O342" s="6">
        <v>0</v>
      </c>
      <c r="P342" s="6">
        <v>1</v>
      </c>
      <c r="Q342" s="4" t="s">
        <v>26</v>
      </c>
      <c r="R342" s="4">
        <v>0</v>
      </c>
      <c r="S342" s="4" t="s">
        <v>276</v>
      </c>
      <c r="U342" s="4">
        <v>16</v>
      </c>
      <c r="V342" s="4">
        <v>0</v>
      </c>
      <c r="W342" s="4">
        <v>0</v>
      </c>
    </row>
    <row r="343" spans="1:23" ht="11.25" customHeight="1" x14ac:dyDescent="0.25">
      <c r="A343" s="4" t="s">
        <v>21</v>
      </c>
      <c r="B343" s="4" t="s">
        <v>45</v>
      </c>
      <c r="C343" s="4" t="s">
        <v>34</v>
      </c>
      <c r="D343" s="4" t="s">
        <v>52</v>
      </c>
      <c r="E343" s="4" t="s">
        <v>53</v>
      </c>
      <c r="F343" s="4" t="s">
        <v>25</v>
      </c>
      <c r="G343" s="4" t="s">
        <v>25</v>
      </c>
      <c r="H343" s="4" t="s">
        <v>25</v>
      </c>
      <c r="I343" s="5">
        <v>43800</v>
      </c>
      <c r="J343" s="6">
        <v>1084</v>
      </c>
      <c r="K343" s="6">
        <v>953.92</v>
      </c>
      <c r="L343" s="6">
        <v>0</v>
      </c>
      <c r="M343" s="6">
        <v>0</v>
      </c>
      <c r="N343" s="6">
        <v>0</v>
      </c>
      <c r="O343" s="6">
        <v>0</v>
      </c>
      <c r="P343" s="6">
        <v>1</v>
      </c>
      <c r="Q343" s="4" t="s">
        <v>26</v>
      </c>
      <c r="R343" s="4">
        <v>0</v>
      </c>
      <c r="S343" s="4" t="s">
        <v>277</v>
      </c>
      <c r="U343" s="4">
        <v>16</v>
      </c>
      <c r="V343" s="4">
        <v>0</v>
      </c>
      <c r="W343" s="4">
        <v>0</v>
      </c>
    </row>
    <row r="344" spans="1:23" ht="11.25" customHeight="1" x14ac:dyDescent="0.25">
      <c r="A344" s="4" t="s">
        <v>21</v>
      </c>
      <c r="B344" s="4" t="s">
        <v>45</v>
      </c>
      <c r="C344" s="4" t="s">
        <v>34</v>
      </c>
      <c r="D344" s="4" t="s">
        <v>52</v>
      </c>
      <c r="E344" s="4" t="s">
        <v>53</v>
      </c>
      <c r="F344" s="4" t="s">
        <v>25</v>
      </c>
      <c r="G344" s="4" t="s">
        <v>25</v>
      </c>
      <c r="H344" s="4" t="s">
        <v>25</v>
      </c>
      <c r="I344" s="5">
        <v>43831</v>
      </c>
      <c r="J344" s="6">
        <v>1076</v>
      </c>
      <c r="K344" s="6">
        <v>946.88</v>
      </c>
      <c r="L344" s="6">
        <v>0</v>
      </c>
      <c r="M344" s="6">
        <v>0</v>
      </c>
      <c r="N344" s="6">
        <v>0</v>
      </c>
      <c r="O344" s="6">
        <v>0</v>
      </c>
      <c r="P344" s="6">
        <v>1</v>
      </c>
      <c r="Q344" s="4" t="s">
        <v>26</v>
      </c>
      <c r="R344" s="4">
        <v>0</v>
      </c>
      <c r="S344" s="4" t="s">
        <v>278</v>
      </c>
      <c r="U344" s="4">
        <v>16</v>
      </c>
      <c r="V344" s="4">
        <v>0</v>
      </c>
      <c r="W344" s="4">
        <v>0</v>
      </c>
    </row>
    <row r="345" spans="1:23" ht="11.25" customHeight="1" x14ac:dyDescent="0.25">
      <c r="A345" s="4" t="s">
        <v>21</v>
      </c>
      <c r="B345" s="4" t="s">
        <v>45</v>
      </c>
      <c r="C345" s="4" t="s">
        <v>34</v>
      </c>
      <c r="D345" s="4" t="s">
        <v>52</v>
      </c>
      <c r="E345" s="4" t="s">
        <v>53</v>
      </c>
      <c r="F345" s="4" t="s">
        <v>25</v>
      </c>
      <c r="G345" s="4" t="s">
        <v>25</v>
      </c>
      <c r="H345" s="4" t="s">
        <v>25</v>
      </c>
      <c r="I345" s="5">
        <v>43862</v>
      </c>
      <c r="J345" s="6">
        <v>1064</v>
      </c>
      <c r="K345" s="6">
        <v>936.32</v>
      </c>
      <c r="L345" s="6">
        <v>0</v>
      </c>
      <c r="M345" s="6">
        <v>0</v>
      </c>
      <c r="N345" s="6">
        <v>0</v>
      </c>
      <c r="O345" s="6">
        <v>0</v>
      </c>
      <c r="P345" s="6">
        <v>1</v>
      </c>
      <c r="Q345" s="4" t="s">
        <v>26</v>
      </c>
      <c r="R345" s="4">
        <v>0</v>
      </c>
      <c r="S345" s="4" t="s">
        <v>279</v>
      </c>
      <c r="U345" s="4">
        <v>16</v>
      </c>
      <c r="V345" s="4">
        <v>0</v>
      </c>
      <c r="W345" s="4">
        <v>0</v>
      </c>
    </row>
    <row r="346" spans="1:23" ht="11.25" customHeight="1" x14ac:dyDescent="0.25">
      <c r="A346" s="4" t="s">
        <v>21</v>
      </c>
      <c r="B346" s="4" t="s">
        <v>45</v>
      </c>
      <c r="C346" s="4" t="s">
        <v>34</v>
      </c>
      <c r="D346" s="4" t="s">
        <v>52</v>
      </c>
      <c r="E346" s="4" t="s">
        <v>53</v>
      </c>
      <c r="F346" s="4" t="s">
        <v>25</v>
      </c>
      <c r="G346" s="4" t="s">
        <v>25</v>
      </c>
      <c r="H346" s="4" t="s">
        <v>25</v>
      </c>
      <c r="I346" s="5">
        <v>43891</v>
      </c>
      <c r="J346" s="6">
        <v>903</v>
      </c>
      <c r="K346" s="6">
        <v>794.64</v>
      </c>
      <c r="L346" s="6">
        <v>0</v>
      </c>
      <c r="M346" s="6">
        <v>0</v>
      </c>
      <c r="N346" s="6">
        <v>0</v>
      </c>
      <c r="O346" s="6">
        <v>0</v>
      </c>
      <c r="P346" s="6">
        <v>1</v>
      </c>
      <c r="Q346" s="4" t="s">
        <v>26</v>
      </c>
      <c r="R346" s="4">
        <v>0</v>
      </c>
      <c r="S346" s="4" t="s">
        <v>280</v>
      </c>
      <c r="U346" s="4">
        <v>16</v>
      </c>
      <c r="V346" s="4">
        <v>0</v>
      </c>
      <c r="W346" s="4">
        <v>0</v>
      </c>
    </row>
    <row r="347" spans="1:23" ht="11.25" customHeight="1" x14ac:dyDescent="0.25">
      <c r="A347" s="4" t="s">
        <v>21</v>
      </c>
      <c r="B347" s="4" t="s">
        <v>45</v>
      </c>
      <c r="C347" s="4" t="s">
        <v>34</v>
      </c>
      <c r="D347" s="4" t="s">
        <v>52</v>
      </c>
      <c r="E347" s="4" t="s">
        <v>53</v>
      </c>
      <c r="F347" s="4" t="s">
        <v>25</v>
      </c>
      <c r="G347" s="4" t="s">
        <v>25</v>
      </c>
      <c r="H347" s="4" t="s">
        <v>25</v>
      </c>
      <c r="I347" s="5">
        <v>43922</v>
      </c>
      <c r="J347" s="6">
        <v>1004</v>
      </c>
      <c r="K347" s="6">
        <v>883.52</v>
      </c>
      <c r="L347" s="6">
        <v>0</v>
      </c>
      <c r="M347" s="6">
        <v>0</v>
      </c>
      <c r="N347" s="6">
        <v>0</v>
      </c>
      <c r="O347" s="6">
        <v>0</v>
      </c>
      <c r="P347" s="6">
        <v>1</v>
      </c>
      <c r="Q347" s="4" t="s">
        <v>26</v>
      </c>
      <c r="R347" s="4">
        <v>0</v>
      </c>
      <c r="S347" s="4" t="s">
        <v>281</v>
      </c>
      <c r="U347" s="4">
        <v>16</v>
      </c>
      <c r="V347" s="4">
        <v>0</v>
      </c>
      <c r="W347" s="4">
        <v>0</v>
      </c>
    </row>
    <row r="348" spans="1:23" ht="11.25" customHeight="1" x14ac:dyDescent="0.25">
      <c r="A348" s="4" t="s">
        <v>21</v>
      </c>
      <c r="B348" s="4" t="s">
        <v>45</v>
      </c>
      <c r="C348" s="4" t="s">
        <v>34</v>
      </c>
      <c r="D348" s="4" t="s">
        <v>52</v>
      </c>
      <c r="E348" s="4" t="s">
        <v>53</v>
      </c>
      <c r="F348" s="4" t="s">
        <v>25</v>
      </c>
      <c r="G348" s="4" t="s">
        <v>25</v>
      </c>
      <c r="H348" s="4" t="s">
        <v>25</v>
      </c>
      <c r="I348" s="5">
        <v>43952</v>
      </c>
      <c r="J348" s="6">
        <v>785</v>
      </c>
      <c r="K348" s="6">
        <v>690.8</v>
      </c>
      <c r="L348" s="6">
        <v>0</v>
      </c>
      <c r="M348" s="6">
        <v>0</v>
      </c>
      <c r="N348" s="6">
        <v>0</v>
      </c>
      <c r="O348" s="6">
        <v>0</v>
      </c>
      <c r="P348" s="6">
        <v>1</v>
      </c>
      <c r="Q348" s="4" t="s">
        <v>26</v>
      </c>
      <c r="R348" s="4">
        <v>0</v>
      </c>
      <c r="S348" s="4" t="s">
        <v>282</v>
      </c>
      <c r="U348" s="4">
        <v>16</v>
      </c>
      <c r="V348" s="4">
        <v>0</v>
      </c>
      <c r="W348" s="4">
        <v>0</v>
      </c>
    </row>
    <row r="349" spans="1:23" ht="11.25" customHeight="1" x14ac:dyDescent="0.25">
      <c r="A349" s="4" t="s">
        <v>21</v>
      </c>
      <c r="B349" s="4" t="s">
        <v>45</v>
      </c>
      <c r="C349" s="4" t="s">
        <v>34</v>
      </c>
      <c r="D349" s="4" t="s">
        <v>52</v>
      </c>
      <c r="E349" s="4" t="s">
        <v>53</v>
      </c>
      <c r="F349" s="4" t="s">
        <v>25</v>
      </c>
      <c r="G349" s="4" t="s">
        <v>25</v>
      </c>
      <c r="H349" s="4" t="s">
        <v>25</v>
      </c>
      <c r="I349" s="5">
        <v>43983</v>
      </c>
      <c r="J349" s="6">
        <v>1150</v>
      </c>
      <c r="K349" s="6">
        <v>1012</v>
      </c>
      <c r="L349" s="6">
        <v>0</v>
      </c>
      <c r="M349" s="6">
        <v>0</v>
      </c>
      <c r="N349" s="6">
        <v>0</v>
      </c>
      <c r="O349" s="6">
        <v>0</v>
      </c>
      <c r="P349" s="6">
        <v>1</v>
      </c>
      <c r="Q349" s="4" t="s">
        <v>26</v>
      </c>
      <c r="R349" s="4">
        <v>0</v>
      </c>
      <c r="S349" s="4" t="s">
        <v>283</v>
      </c>
      <c r="U349" s="4">
        <v>16</v>
      </c>
      <c r="V349" s="4">
        <v>0</v>
      </c>
      <c r="W349" s="4">
        <v>0</v>
      </c>
    </row>
    <row r="350" spans="1:23" ht="11.25" customHeight="1" x14ac:dyDescent="0.25">
      <c r="A350" s="4" t="s">
        <v>21</v>
      </c>
      <c r="B350" s="4" t="s">
        <v>45</v>
      </c>
      <c r="C350" s="4" t="s">
        <v>34</v>
      </c>
      <c r="D350" s="4" t="s">
        <v>52</v>
      </c>
      <c r="E350" s="4" t="s">
        <v>53</v>
      </c>
      <c r="F350" s="4" t="s">
        <v>25</v>
      </c>
      <c r="G350" s="4" t="s">
        <v>25</v>
      </c>
      <c r="H350" s="4" t="s">
        <v>25</v>
      </c>
      <c r="I350" s="5">
        <v>44013</v>
      </c>
      <c r="J350" s="6">
        <v>1150</v>
      </c>
      <c r="K350" s="6">
        <v>1012</v>
      </c>
      <c r="L350" s="6">
        <v>0</v>
      </c>
      <c r="M350" s="6">
        <v>0</v>
      </c>
      <c r="N350" s="6">
        <v>0</v>
      </c>
      <c r="O350" s="6">
        <v>0</v>
      </c>
      <c r="P350" s="6">
        <v>1</v>
      </c>
      <c r="Q350" s="4" t="s">
        <v>26</v>
      </c>
      <c r="R350" s="4">
        <v>0</v>
      </c>
      <c r="S350" s="4" t="s">
        <v>284</v>
      </c>
      <c r="U350" s="4">
        <v>16</v>
      </c>
      <c r="V350" s="4">
        <v>0</v>
      </c>
      <c r="W350" s="4">
        <v>0</v>
      </c>
    </row>
    <row r="351" spans="1:23" ht="11.25" customHeight="1" x14ac:dyDescent="0.25">
      <c r="A351" s="4" t="s">
        <v>21</v>
      </c>
      <c r="B351" s="4" t="s">
        <v>45</v>
      </c>
      <c r="C351" s="4" t="s">
        <v>34</v>
      </c>
      <c r="D351" s="4" t="s">
        <v>52</v>
      </c>
      <c r="E351" s="4" t="s">
        <v>53</v>
      </c>
      <c r="F351" s="4" t="s">
        <v>25</v>
      </c>
      <c r="G351" s="4" t="s">
        <v>25</v>
      </c>
      <c r="H351" s="4" t="s">
        <v>25</v>
      </c>
      <c r="I351" s="5">
        <v>44044</v>
      </c>
      <c r="J351" s="6">
        <v>1150</v>
      </c>
      <c r="K351" s="6">
        <v>1012</v>
      </c>
      <c r="L351" s="6">
        <v>0</v>
      </c>
      <c r="M351" s="6">
        <v>0</v>
      </c>
      <c r="N351" s="6">
        <v>0</v>
      </c>
      <c r="O351" s="6">
        <v>0</v>
      </c>
      <c r="P351" s="6">
        <v>1</v>
      </c>
      <c r="Q351" s="4" t="s">
        <v>26</v>
      </c>
      <c r="R351" s="4">
        <v>0</v>
      </c>
      <c r="S351" s="4" t="s">
        <v>285</v>
      </c>
      <c r="U351" s="4">
        <v>16</v>
      </c>
      <c r="V351" s="4">
        <v>0</v>
      </c>
      <c r="W351" s="4">
        <v>0</v>
      </c>
    </row>
    <row r="352" spans="1:23" ht="11.25" customHeight="1" x14ac:dyDescent="0.25">
      <c r="A352" s="4" t="s">
        <v>59</v>
      </c>
      <c r="B352" s="4" t="s">
        <v>45</v>
      </c>
      <c r="C352" s="4" t="s">
        <v>34</v>
      </c>
      <c r="D352" s="4" t="s">
        <v>52</v>
      </c>
      <c r="E352" s="4" t="s">
        <v>53</v>
      </c>
      <c r="F352" s="4" t="s">
        <v>25</v>
      </c>
      <c r="G352" s="4" t="s">
        <v>25</v>
      </c>
      <c r="H352" s="4" t="s">
        <v>25</v>
      </c>
      <c r="I352" s="5">
        <v>44075</v>
      </c>
      <c r="J352" s="6">
        <v>1150</v>
      </c>
      <c r="K352" s="6">
        <v>1012</v>
      </c>
      <c r="L352" s="6">
        <v>0</v>
      </c>
      <c r="M352" s="6">
        <v>0</v>
      </c>
      <c r="N352" s="6">
        <v>0</v>
      </c>
      <c r="O352" s="6">
        <v>0</v>
      </c>
      <c r="P352" s="6">
        <v>1</v>
      </c>
      <c r="Q352" s="4" t="s">
        <v>26</v>
      </c>
      <c r="R352" s="4">
        <v>0</v>
      </c>
      <c r="S352" s="4" t="s">
        <v>286</v>
      </c>
      <c r="U352" s="4">
        <v>16</v>
      </c>
      <c r="V352" s="4">
        <v>0</v>
      </c>
      <c r="W352" s="4">
        <v>0</v>
      </c>
    </row>
    <row r="353" spans="1:23" ht="11.25" customHeight="1" x14ac:dyDescent="0.25">
      <c r="A353" s="4" t="s">
        <v>21</v>
      </c>
      <c r="B353" s="4" t="s">
        <v>45</v>
      </c>
      <c r="C353" s="4" t="s">
        <v>34</v>
      </c>
      <c r="D353" s="4" t="s">
        <v>52</v>
      </c>
      <c r="E353" s="4" t="s">
        <v>53</v>
      </c>
      <c r="F353" s="4" t="s">
        <v>25</v>
      </c>
      <c r="G353" s="4" t="s">
        <v>25</v>
      </c>
      <c r="H353" s="4" t="s">
        <v>35</v>
      </c>
      <c r="I353" s="5">
        <v>43739</v>
      </c>
      <c r="J353" s="6">
        <v>0</v>
      </c>
      <c r="K353" s="6">
        <v>0</v>
      </c>
      <c r="L353" s="6">
        <v>46.58</v>
      </c>
      <c r="M353" s="6">
        <v>40.990400000000001</v>
      </c>
      <c r="N353" s="6">
        <v>46.58</v>
      </c>
      <c r="O353" s="6">
        <v>40.990400000000001</v>
      </c>
      <c r="P353" s="6">
        <v>0</v>
      </c>
      <c r="Q353" s="4" t="s">
        <v>26</v>
      </c>
      <c r="R353" s="4">
        <v>0</v>
      </c>
      <c r="S353" s="4" t="s">
        <v>287</v>
      </c>
      <c r="T353" s="4" t="s">
        <v>684</v>
      </c>
      <c r="U353" s="4">
        <v>0</v>
      </c>
      <c r="V353" s="4">
        <v>17</v>
      </c>
      <c r="W353" s="4">
        <v>79</v>
      </c>
    </row>
    <row r="354" spans="1:23" ht="11.25" customHeight="1" x14ac:dyDescent="0.25">
      <c r="A354" s="4" t="s">
        <v>21</v>
      </c>
      <c r="B354" s="4" t="s">
        <v>45</v>
      </c>
      <c r="C354" s="4" t="s">
        <v>34</v>
      </c>
      <c r="D354" s="4" t="s">
        <v>52</v>
      </c>
      <c r="E354" s="4" t="s">
        <v>53</v>
      </c>
      <c r="F354" s="4" t="s">
        <v>25</v>
      </c>
      <c r="G354" s="4" t="s">
        <v>25</v>
      </c>
      <c r="H354" s="4" t="s">
        <v>35</v>
      </c>
      <c r="I354" s="5">
        <v>43770</v>
      </c>
      <c r="J354" s="6">
        <v>0</v>
      </c>
      <c r="K354" s="6">
        <v>0</v>
      </c>
      <c r="L354" s="6">
        <v>50.598999999999997</v>
      </c>
      <c r="M354" s="6">
        <v>44.527119999999996</v>
      </c>
      <c r="N354" s="6">
        <v>50.598999999999997</v>
      </c>
      <c r="O354" s="6">
        <v>44.527119999999996</v>
      </c>
      <c r="P354" s="6">
        <v>0</v>
      </c>
      <c r="Q354" s="4" t="s">
        <v>26</v>
      </c>
      <c r="R354" s="4">
        <v>0</v>
      </c>
      <c r="S354" s="4" t="s">
        <v>288</v>
      </c>
      <c r="T354" s="4" t="s">
        <v>685</v>
      </c>
      <c r="U354" s="4">
        <v>0</v>
      </c>
      <c r="V354" s="4">
        <v>17</v>
      </c>
      <c r="W354" s="4">
        <v>79</v>
      </c>
    </row>
    <row r="355" spans="1:23" ht="11.25" customHeight="1" x14ac:dyDescent="0.25">
      <c r="A355" s="4" t="s">
        <v>21</v>
      </c>
      <c r="B355" s="4" t="s">
        <v>45</v>
      </c>
      <c r="C355" s="4" t="s">
        <v>34</v>
      </c>
      <c r="D355" s="4" t="s">
        <v>52</v>
      </c>
      <c r="E355" s="4" t="s">
        <v>53</v>
      </c>
      <c r="F355" s="4" t="s">
        <v>25</v>
      </c>
      <c r="G355" s="4" t="s">
        <v>25</v>
      </c>
      <c r="H355" s="4" t="s">
        <v>35</v>
      </c>
      <c r="I355" s="5">
        <v>43800</v>
      </c>
      <c r="J355" s="6">
        <v>0</v>
      </c>
      <c r="K355" s="6">
        <v>0</v>
      </c>
      <c r="L355" s="6">
        <v>44.917999999999999</v>
      </c>
      <c r="M355" s="6">
        <v>39.527839999999998</v>
      </c>
      <c r="N355" s="6">
        <v>44.917999999999999</v>
      </c>
      <c r="O355" s="6">
        <v>39.527839999999998</v>
      </c>
      <c r="P355" s="6">
        <v>0</v>
      </c>
      <c r="Q355" s="4" t="s">
        <v>26</v>
      </c>
      <c r="R355" s="4">
        <v>0</v>
      </c>
      <c r="S355" s="4" t="s">
        <v>289</v>
      </c>
      <c r="T355" s="4" t="s">
        <v>686</v>
      </c>
      <c r="U355" s="4">
        <v>0</v>
      </c>
      <c r="V355" s="4">
        <v>17</v>
      </c>
      <c r="W355" s="4">
        <v>79</v>
      </c>
    </row>
    <row r="356" spans="1:23" ht="11.25" customHeight="1" x14ac:dyDescent="0.25">
      <c r="A356" s="4" t="s">
        <v>21</v>
      </c>
      <c r="B356" s="4" t="s">
        <v>45</v>
      </c>
      <c r="C356" s="4" t="s">
        <v>34</v>
      </c>
      <c r="D356" s="4" t="s">
        <v>52</v>
      </c>
      <c r="E356" s="4" t="s">
        <v>53</v>
      </c>
      <c r="F356" s="4" t="s">
        <v>25</v>
      </c>
      <c r="G356" s="4" t="s">
        <v>25</v>
      </c>
      <c r="H356" s="4" t="s">
        <v>35</v>
      </c>
      <c r="I356" s="5">
        <v>43831</v>
      </c>
      <c r="J356" s="6">
        <v>0</v>
      </c>
      <c r="K356" s="6">
        <v>0</v>
      </c>
      <c r="L356" s="6">
        <v>46.936999999999998</v>
      </c>
      <c r="M356" s="6">
        <v>41.304559999999995</v>
      </c>
      <c r="N356" s="6">
        <v>46.936999999999998</v>
      </c>
      <c r="O356" s="6">
        <v>41.304559999999995</v>
      </c>
      <c r="P356" s="6">
        <v>0</v>
      </c>
      <c r="Q356" s="4" t="s">
        <v>26</v>
      </c>
      <c r="R356" s="4">
        <v>0</v>
      </c>
      <c r="S356" s="4" t="s">
        <v>290</v>
      </c>
      <c r="T356" s="4" t="s">
        <v>687</v>
      </c>
      <c r="U356" s="4">
        <v>0</v>
      </c>
      <c r="V356" s="4">
        <v>17</v>
      </c>
      <c r="W356" s="4">
        <v>79</v>
      </c>
    </row>
    <row r="357" spans="1:23" ht="11.25" customHeight="1" x14ac:dyDescent="0.25">
      <c r="A357" s="4" t="s">
        <v>21</v>
      </c>
      <c r="B357" s="4" t="s">
        <v>45</v>
      </c>
      <c r="C357" s="4" t="s">
        <v>34</v>
      </c>
      <c r="D357" s="4" t="s">
        <v>52</v>
      </c>
      <c r="E357" s="4" t="s">
        <v>53</v>
      </c>
      <c r="F357" s="4" t="s">
        <v>25</v>
      </c>
      <c r="G357" s="4" t="s">
        <v>25</v>
      </c>
      <c r="H357" s="4" t="s">
        <v>35</v>
      </c>
      <c r="I357" s="5">
        <v>43862</v>
      </c>
      <c r="J357" s="6">
        <v>0</v>
      </c>
      <c r="K357" s="6">
        <v>0</v>
      </c>
      <c r="L357" s="6">
        <v>51.484000000000002</v>
      </c>
      <c r="M357" s="6">
        <v>45.30592</v>
      </c>
      <c r="N357" s="6">
        <v>51.484000000000002</v>
      </c>
      <c r="O357" s="6">
        <v>45.30592</v>
      </c>
      <c r="P357" s="6">
        <v>0</v>
      </c>
      <c r="Q357" s="4" t="s">
        <v>26</v>
      </c>
      <c r="R357" s="4">
        <v>0</v>
      </c>
      <c r="S357" s="4" t="s">
        <v>291</v>
      </c>
      <c r="T357" s="4" t="s">
        <v>688</v>
      </c>
      <c r="U357" s="4">
        <v>0</v>
      </c>
      <c r="V357" s="4">
        <v>17</v>
      </c>
      <c r="W357" s="4">
        <v>79</v>
      </c>
    </row>
    <row r="358" spans="1:23" ht="11.25" customHeight="1" x14ac:dyDescent="0.25">
      <c r="A358" s="4" t="s">
        <v>21</v>
      </c>
      <c r="B358" s="4" t="s">
        <v>45</v>
      </c>
      <c r="C358" s="4" t="s">
        <v>34</v>
      </c>
      <c r="D358" s="4" t="s">
        <v>52</v>
      </c>
      <c r="E358" s="4" t="s">
        <v>53</v>
      </c>
      <c r="F358" s="4" t="s">
        <v>25</v>
      </c>
      <c r="G358" s="4" t="s">
        <v>25</v>
      </c>
      <c r="H358" s="4" t="s">
        <v>35</v>
      </c>
      <c r="I358" s="5">
        <v>43891</v>
      </c>
      <c r="J358" s="6">
        <v>0</v>
      </c>
      <c r="K358" s="6">
        <v>0</v>
      </c>
      <c r="L358" s="6">
        <v>38.881</v>
      </c>
      <c r="M358" s="6">
        <v>34.21528</v>
      </c>
      <c r="N358" s="6">
        <v>38.881</v>
      </c>
      <c r="O358" s="6">
        <v>34.21528</v>
      </c>
      <c r="P358" s="6">
        <v>0</v>
      </c>
      <c r="Q358" s="4" t="s">
        <v>26</v>
      </c>
      <c r="R358" s="4">
        <v>0</v>
      </c>
      <c r="S358" s="4" t="s">
        <v>292</v>
      </c>
      <c r="T358" s="4" t="s">
        <v>689</v>
      </c>
      <c r="U358" s="4">
        <v>0</v>
      </c>
      <c r="V358" s="4">
        <v>17</v>
      </c>
      <c r="W358" s="4">
        <v>79</v>
      </c>
    </row>
    <row r="359" spans="1:23" ht="11.25" customHeight="1" x14ac:dyDescent="0.25">
      <c r="A359" s="4" t="s">
        <v>21</v>
      </c>
      <c r="B359" s="4" t="s">
        <v>45</v>
      </c>
      <c r="C359" s="4" t="s">
        <v>34</v>
      </c>
      <c r="D359" s="4" t="s">
        <v>52</v>
      </c>
      <c r="E359" s="4" t="s">
        <v>53</v>
      </c>
      <c r="F359" s="4" t="s">
        <v>25</v>
      </c>
      <c r="G359" s="4" t="s">
        <v>25</v>
      </c>
      <c r="H359" s="4" t="s">
        <v>35</v>
      </c>
      <c r="I359" s="5">
        <v>43922</v>
      </c>
      <c r="J359" s="6">
        <v>0</v>
      </c>
      <c r="K359" s="6">
        <v>0</v>
      </c>
      <c r="L359" s="6">
        <v>38.920999999999999</v>
      </c>
      <c r="M359" s="6">
        <v>34.250480000000003</v>
      </c>
      <c r="N359" s="6">
        <v>38.920999999999999</v>
      </c>
      <c r="O359" s="6">
        <v>34.250480000000003</v>
      </c>
      <c r="P359" s="6">
        <v>0</v>
      </c>
      <c r="Q359" s="4" t="s">
        <v>26</v>
      </c>
      <c r="R359" s="4">
        <v>0</v>
      </c>
      <c r="S359" s="4" t="s">
        <v>293</v>
      </c>
      <c r="T359" s="4" t="s">
        <v>690</v>
      </c>
      <c r="U359" s="4">
        <v>0</v>
      </c>
      <c r="V359" s="4">
        <v>17</v>
      </c>
      <c r="W359" s="4">
        <v>79</v>
      </c>
    </row>
    <row r="360" spans="1:23" ht="11.25" customHeight="1" x14ac:dyDescent="0.25">
      <c r="A360" s="4" t="s">
        <v>21</v>
      </c>
      <c r="B360" s="4" t="s">
        <v>45</v>
      </c>
      <c r="C360" s="4" t="s">
        <v>34</v>
      </c>
      <c r="D360" s="4" t="s">
        <v>52</v>
      </c>
      <c r="E360" s="4" t="s">
        <v>53</v>
      </c>
      <c r="F360" s="4" t="s">
        <v>25</v>
      </c>
      <c r="G360" s="4" t="s">
        <v>25</v>
      </c>
      <c r="H360" s="4" t="s">
        <v>35</v>
      </c>
      <c r="I360" s="5">
        <v>43952</v>
      </c>
      <c r="J360" s="6">
        <v>0</v>
      </c>
      <c r="K360" s="6">
        <v>0</v>
      </c>
      <c r="L360" s="6">
        <v>43.56</v>
      </c>
      <c r="M360" s="6">
        <v>38.332799999999999</v>
      </c>
      <c r="N360" s="6">
        <v>43.56</v>
      </c>
      <c r="O360" s="6">
        <v>38.332799999999999</v>
      </c>
      <c r="P360" s="6">
        <v>0</v>
      </c>
      <c r="Q360" s="4" t="s">
        <v>26</v>
      </c>
      <c r="R360" s="4">
        <v>0</v>
      </c>
      <c r="S360" s="4" t="s">
        <v>294</v>
      </c>
      <c r="T360" s="4" t="s">
        <v>691</v>
      </c>
      <c r="U360" s="4">
        <v>0</v>
      </c>
      <c r="V360" s="4">
        <v>17</v>
      </c>
      <c r="W360" s="4">
        <v>79</v>
      </c>
    </row>
    <row r="361" spans="1:23" ht="11.25" customHeight="1" x14ac:dyDescent="0.25">
      <c r="A361" s="4" t="s">
        <v>21</v>
      </c>
      <c r="B361" s="4" t="s">
        <v>45</v>
      </c>
      <c r="C361" s="4" t="s">
        <v>34</v>
      </c>
      <c r="D361" s="4" t="s">
        <v>52</v>
      </c>
      <c r="E361" s="4" t="s">
        <v>53</v>
      </c>
      <c r="F361" s="4" t="s">
        <v>25</v>
      </c>
      <c r="G361" s="4" t="s">
        <v>25</v>
      </c>
      <c r="H361" s="4" t="s">
        <v>35</v>
      </c>
      <c r="I361" s="5">
        <v>43983</v>
      </c>
      <c r="J361" s="6">
        <v>0</v>
      </c>
      <c r="K361" s="6">
        <v>0</v>
      </c>
      <c r="L361" s="6">
        <v>42.173000000000002</v>
      </c>
      <c r="M361" s="6">
        <v>37.11224</v>
      </c>
      <c r="N361" s="6">
        <v>42.173000000000002</v>
      </c>
      <c r="O361" s="6">
        <v>37.11224</v>
      </c>
      <c r="P361" s="6">
        <v>0</v>
      </c>
      <c r="Q361" s="4" t="s">
        <v>26</v>
      </c>
      <c r="R361" s="4">
        <v>0</v>
      </c>
      <c r="S361" s="4" t="s">
        <v>295</v>
      </c>
      <c r="T361" s="4" t="s">
        <v>692</v>
      </c>
      <c r="U361" s="4">
        <v>0</v>
      </c>
      <c r="V361" s="4">
        <v>17</v>
      </c>
      <c r="W361" s="4">
        <v>79</v>
      </c>
    </row>
    <row r="362" spans="1:23" ht="11.25" customHeight="1" x14ac:dyDescent="0.25">
      <c r="A362" s="4" t="s">
        <v>21</v>
      </c>
      <c r="B362" s="4" t="s">
        <v>45</v>
      </c>
      <c r="C362" s="4" t="s">
        <v>34</v>
      </c>
      <c r="D362" s="4" t="s">
        <v>52</v>
      </c>
      <c r="E362" s="4" t="s">
        <v>53</v>
      </c>
      <c r="F362" s="4" t="s">
        <v>25</v>
      </c>
      <c r="G362" s="4" t="s">
        <v>25</v>
      </c>
      <c r="H362" s="4" t="s">
        <v>35</v>
      </c>
      <c r="I362" s="5">
        <v>44013</v>
      </c>
      <c r="J362" s="6">
        <v>0</v>
      </c>
      <c r="K362" s="6">
        <v>0</v>
      </c>
      <c r="L362" s="6">
        <v>44.671999999999997</v>
      </c>
      <c r="M362" s="6">
        <v>39.311360000000001</v>
      </c>
      <c r="N362" s="6">
        <v>44.671999999999997</v>
      </c>
      <c r="O362" s="6">
        <v>39.311360000000001</v>
      </c>
      <c r="P362" s="6">
        <v>0</v>
      </c>
      <c r="Q362" s="4" t="s">
        <v>26</v>
      </c>
      <c r="R362" s="4">
        <v>0</v>
      </c>
      <c r="S362" s="4" t="s">
        <v>296</v>
      </c>
      <c r="T362" s="4" t="s">
        <v>693</v>
      </c>
      <c r="U362" s="4">
        <v>0</v>
      </c>
      <c r="V362" s="4">
        <v>17</v>
      </c>
      <c r="W362" s="4">
        <v>79</v>
      </c>
    </row>
    <row r="363" spans="1:23" ht="11.25" customHeight="1" x14ac:dyDescent="0.25">
      <c r="A363" s="4" t="s">
        <v>21</v>
      </c>
      <c r="B363" s="4" t="s">
        <v>45</v>
      </c>
      <c r="C363" s="4" t="s">
        <v>34</v>
      </c>
      <c r="D363" s="4" t="s">
        <v>52</v>
      </c>
      <c r="E363" s="4" t="s">
        <v>53</v>
      </c>
      <c r="F363" s="4" t="s">
        <v>25</v>
      </c>
      <c r="G363" s="4" t="s">
        <v>25</v>
      </c>
      <c r="H363" s="4" t="s">
        <v>35</v>
      </c>
      <c r="I363" s="5">
        <v>44044</v>
      </c>
      <c r="J363" s="6">
        <v>0</v>
      </c>
      <c r="K363" s="6">
        <v>0</v>
      </c>
      <c r="L363" s="6">
        <v>48.335000000000001</v>
      </c>
      <c r="M363" s="6">
        <v>42.534800000000004</v>
      </c>
      <c r="N363" s="6">
        <v>48.335000000000001</v>
      </c>
      <c r="O363" s="6">
        <v>42.534800000000004</v>
      </c>
      <c r="P363" s="6">
        <v>0</v>
      </c>
      <c r="Q363" s="4" t="s">
        <v>26</v>
      </c>
      <c r="R363" s="4">
        <v>0</v>
      </c>
      <c r="S363" s="4" t="s">
        <v>297</v>
      </c>
      <c r="T363" s="4" t="s">
        <v>694</v>
      </c>
      <c r="U363" s="4">
        <v>0</v>
      </c>
      <c r="V363" s="4">
        <v>17</v>
      </c>
      <c r="W363" s="4">
        <v>79</v>
      </c>
    </row>
    <row r="364" spans="1:23" ht="11.25" customHeight="1" x14ac:dyDescent="0.25">
      <c r="A364" s="4" t="s">
        <v>59</v>
      </c>
      <c r="B364" s="4" t="s">
        <v>45</v>
      </c>
      <c r="C364" s="4" t="s">
        <v>34</v>
      </c>
      <c r="D364" s="4" t="s">
        <v>52</v>
      </c>
      <c r="E364" s="4" t="s">
        <v>53</v>
      </c>
      <c r="F364" s="4" t="s">
        <v>25</v>
      </c>
      <c r="G364" s="4" t="s">
        <v>25</v>
      </c>
      <c r="H364" s="4" t="s">
        <v>35</v>
      </c>
      <c r="I364" s="5">
        <v>44075</v>
      </c>
      <c r="J364" s="6">
        <v>0</v>
      </c>
      <c r="K364" s="6">
        <v>0</v>
      </c>
      <c r="L364" s="6">
        <v>48.335000000000001</v>
      </c>
      <c r="M364" s="6">
        <v>42.534800000000004</v>
      </c>
      <c r="N364" s="6">
        <v>48.335000000000001</v>
      </c>
      <c r="O364" s="6">
        <v>42.534800000000004</v>
      </c>
      <c r="P364" s="6">
        <v>0</v>
      </c>
      <c r="Q364" s="4" t="s">
        <v>26</v>
      </c>
      <c r="R364" s="4">
        <v>0</v>
      </c>
      <c r="S364" s="4" t="s">
        <v>298</v>
      </c>
      <c r="T364" s="4" t="s">
        <v>695</v>
      </c>
      <c r="U364" s="4">
        <v>0</v>
      </c>
      <c r="V364" s="4">
        <v>17</v>
      </c>
      <c r="W364" s="4">
        <v>79</v>
      </c>
    </row>
    <row r="365" spans="1:23" ht="11.25" customHeight="1" x14ac:dyDescent="0.25">
      <c r="A365" s="4" t="s">
        <v>21</v>
      </c>
      <c r="B365" s="4" t="s">
        <v>33</v>
      </c>
      <c r="C365" s="4" t="s">
        <v>41</v>
      </c>
      <c r="D365" s="4" t="s">
        <v>42</v>
      </c>
      <c r="E365" s="4" t="s">
        <v>25</v>
      </c>
      <c r="F365" s="4" t="s">
        <v>25</v>
      </c>
      <c r="G365" s="4" t="s">
        <v>25</v>
      </c>
      <c r="H365" s="4" t="s">
        <v>36</v>
      </c>
      <c r="I365" s="5">
        <v>43739</v>
      </c>
      <c r="J365" s="6">
        <v>45023</v>
      </c>
      <c r="K365" s="6">
        <v>45023</v>
      </c>
      <c r="L365" s="6">
        <v>15558.128000000001</v>
      </c>
      <c r="M365" s="6">
        <v>15558.128000000001</v>
      </c>
      <c r="N365" s="6">
        <v>15558.128000000001</v>
      </c>
      <c r="O365" s="6">
        <v>15558.128000000001</v>
      </c>
      <c r="P365" s="6">
        <v>0</v>
      </c>
      <c r="Q365" s="4" t="s">
        <v>26</v>
      </c>
      <c r="R365" s="4">
        <v>0</v>
      </c>
      <c r="S365" s="4" t="s">
        <v>299</v>
      </c>
      <c r="T365" s="4" t="s">
        <v>700</v>
      </c>
      <c r="U365" s="4">
        <v>22</v>
      </c>
      <c r="V365" s="4">
        <v>23</v>
      </c>
      <c r="W365" s="4">
        <v>82</v>
      </c>
    </row>
    <row r="366" spans="1:23" ht="11.25" customHeight="1" x14ac:dyDescent="0.25">
      <c r="A366" s="4" t="s">
        <v>27</v>
      </c>
      <c r="B366" s="4" t="s">
        <v>33</v>
      </c>
      <c r="C366" s="4" t="s">
        <v>41</v>
      </c>
      <c r="D366" s="4" t="s">
        <v>42</v>
      </c>
      <c r="E366" s="4" t="s">
        <v>25</v>
      </c>
      <c r="F366" s="4" t="s">
        <v>25</v>
      </c>
      <c r="G366" s="4" t="s">
        <v>25</v>
      </c>
      <c r="H366" s="4" t="s">
        <v>36</v>
      </c>
      <c r="I366" s="5">
        <v>43739</v>
      </c>
      <c r="J366" s="6">
        <v>89</v>
      </c>
      <c r="K366" s="6">
        <v>89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4" t="s">
        <v>26</v>
      </c>
      <c r="R366" s="4">
        <v>0</v>
      </c>
      <c r="S366" s="4" t="s">
        <v>299</v>
      </c>
      <c r="T366" s="4" t="s">
        <v>700</v>
      </c>
      <c r="U366" s="4">
        <v>22</v>
      </c>
      <c r="V366" s="4">
        <v>0</v>
      </c>
      <c r="W366" s="4">
        <v>0</v>
      </c>
    </row>
    <row r="367" spans="1:23" ht="11.25" customHeight="1" x14ac:dyDescent="0.25">
      <c r="A367" s="4" t="s">
        <v>28</v>
      </c>
      <c r="B367" s="4" t="s">
        <v>33</v>
      </c>
      <c r="C367" s="4" t="s">
        <v>41</v>
      </c>
      <c r="D367" s="4" t="s">
        <v>42</v>
      </c>
      <c r="E367" s="4" t="s">
        <v>25</v>
      </c>
      <c r="F367" s="4" t="s">
        <v>25</v>
      </c>
      <c r="G367" s="4" t="s">
        <v>25</v>
      </c>
      <c r="H367" s="4" t="s">
        <v>36</v>
      </c>
      <c r="I367" s="5">
        <v>43739</v>
      </c>
      <c r="J367" s="6">
        <v>550</v>
      </c>
      <c r="K367" s="6">
        <v>550</v>
      </c>
      <c r="L367" s="6">
        <v>105.108</v>
      </c>
      <c r="M367" s="6">
        <v>105.108</v>
      </c>
      <c r="N367" s="6">
        <v>105.108</v>
      </c>
      <c r="O367" s="6">
        <v>105.108</v>
      </c>
      <c r="P367" s="6">
        <v>0</v>
      </c>
      <c r="Q367" s="4" t="s">
        <v>26</v>
      </c>
      <c r="R367" s="4">
        <v>0</v>
      </c>
      <c r="S367" s="4" t="s">
        <v>299</v>
      </c>
      <c r="T367" s="4" t="s">
        <v>700</v>
      </c>
      <c r="U367" s="4">
        <v>22</v>
      </c>
      <c r="V367" s="4">
        <v>23</v>
      </c>
      <c r="W367" s="4">
        <v>82</v>
      </c>
    </row>
    <row r="368" spans="1:23" ht="11.25" customHeight="1" x14ac:dyDescent="0.25">
      <c r="A368" s="4" t="s">
        <v>21</v>
      </c>
      <c r="B368" s="4" t="s">
        <v>33</v>
      </c>
      <c r="C368" s="4" t="s">
        <v>41</v>
      </c>
      <c r="D368" s="4" t="s">
        <v>42</v>
      </c>
      <c r="E368" s="4" t="s">
        <v>25</v>
      </c>
      <c r="F368" s="4" t="s">
        <v>25</v>
      </c>
      <c r="G368" s="4" t="s">
        <v>25</v>
      </c>
      <c r="H368" s="4" t="s">
        <v>36</v>
      </c>
      <c r="I368" s="5">
        <v>43770</v>
      </c>
      <c r="J368" s="6">
        <v>46149</v>
      </c>
      <c r="K368" s="6">
        <v>46149</v>
      </c>
      <c r="L368" s="6">
        <v>16619.807000000001</v>
      </c>
      <c r="M368" s="6">
        <v>16619.807000000001</v>
      </c>
      <c r="N368" s="6">
        <v>16619.807000000001</v>
      </c>
      <c r="O368" s="6">
        <v>16619.807000000001</v>
      </c>
      <c r="P368" s="6">
        <v>0</v>
      </c>
      <c r="Q368" s="4" t="s">
        <v>26</v>
      </c>
      <c r="R368" s="4">
        <v>0</v>
      </c>
      <c r="S368" s="4" t="s">
        <v>300</v>
      </c>
      <c r="T368" s="4" t="s">
        <v>701</v>
      </c>
      <c r="U368" s="4">
        <v>22</v>
      </c>
      <c r="V368" s="4">
        <v>23</v>
      </c>
      <c r="W368" s="4">
        <v>82</v>
      </c>
    </row>
    <row r="369" spans="1:23" ht="11.25" customHeight="1" x14ac:dyDescent="0.25">
      <c r="A369" s="4" t="s">
        <v>27</v>
      </c>
      <c r="B369" s="4" t="s">
        <v>33</v>
      </c>
      <c r="C369" s="4" t="s">
        <v>41</v>
      </c>
      <c r="D369" s="4" t="s">
        <v>42</v>
      </c>
      <c r="E369" s="4" t="s">
        <v>25</v>
      </c>
      <c r="F369" s="4" t="s">
        <v>25</v>
      </c>
      <c r="G369" s="4" t="s">
        <v>25</v>
      </c>
      <c r="H369" s="4" t="s">
        <v>36</v>
      </c>
      <c r="I369" s="5">
        <v>43770</v>
      </c>
      <c r="J369" s="6">
        <v>80</v>
      </c>
      <c r="K369" s="6">
        <v>80</v>
      </c>
      <c r="L369" s="6">
        <v>23.853000000000002</v>
      </c>
      <c r="M369" s="6">
        <v>23.853000000000002</v>
      </c>
      <c r="N369" s="6">
        <v>23.853000000000002</v>
      </c>
      <c r="O369" s="6">
        <v>23.853000000000002</v>
      </c>
      <c r="P369" s="6">
        <v>0</v>
      </c>
      <c r="Q369" s="4" t="s">
        <v>26</v>
      </c>
      <c r="R369" s="4">
        <v>0</v>
      </c>
      <c r="S369" s="4" t="s">
        <v>300</v>
      </c>
      <c r="T369" s="4" t="s">
        <v>701</v>
      </c>
      <c r="U369" s="4">
        <v>22</v>
      </c>
      <c r="V369" s="4">
        <v>23</v>
      </c>
      <c r="W369" s="4">
        <v>82</v>
      </c>
    </row>
    <row r="370" spans="1:23" ht="11.25" customHeight="1" x14ac:dyDescent="0.25">
      <c r="A370" s="4" t="s">
        <v>28</v>
      </c>
      <c r="B370" s="4" t="s">
        <v>33</v>
      </c>
      <c r="C370" s="4" t="s">
        <v>41</v>
      </c>
      <c r="D370" s="4" t="s">
        <v>42</v>
      </c>
      <c r="E370" s="4" t="s">
        <v>25</v>
      </c>
      <c r="F370" s="4" t="s">
        <v>25</v>
      </c>
      <c r="G370" s="4" t="s">
        <v>25</v>
      </c>
      <c r="H370" s="4" t="s">
        <v>36</v>
      </c>
      <c r="I370" s="5">
        <v>43770</v>
      </c>
      <c r="J370" s="6">
        <v>550</v>
      </c>
      <c r="K370" s="6">
        <v>550</v>
      </c>
      <c r="L370" s="6">
        <v>105.979</v>
      </c>
      <c r="M370" s="6">
        <v>105.979</v>
      </c>
      <c r="N370" s="6">
        <v>105.979</v>
      </c>
      <c r="O370" s="6">
        <v>105.979</v>
      </c>
      <c r="P370" s="6">
        <v>0</v>
      </c>
      <c r="Q370" s="4" t="s">
        <v>26</v>
      </c>
      <c r="R370" s="4">
        <v>0</v>
      </c>
      <c r="S370" s="4" t="s">
        <v>300</v>
      </c>
      <c r="T370" s="4" t="s">
        <v>701</v>
      </c>
      <c r="U370" s="4">
        <v>22</v>
      </c>
      <c r="V370" s="4">
        <v>23</v>
      </c>
      <c r="W370" s="4">
        <v>82</v>
      </c>
    </row>
    <row r="371" spans="1:23" ht="11.25" customHeight="1" x14ac:dyDescent="0.25">
      <c r="A371" s="4" t="s">
        <v>21</v>
      </c>
      <c r="B371" s="4" t="s">
        <v>33</v>
      </c>
      <c r="C371" s="4" t="s">
        <v>41</v>
      </c>
      <c r="D371" s="4" t="s">
        <v>42</v>
      </c>
      <c r="E371" s="4" t="s">
        <v>25</v>
      </c>
      <c r="F371" s="4" t="s">
        <v>25</v>
      </c>
      <c r="G371" s="4" t="s">
        <v>25</v>
      </c>
      <c r="H371" s="4" t="s">
        <v>36</v>
      </c>
      <c r="I371" s="5">
        <v>43800</v>
      </c>
      <c r="J371" s="6">
        <v>44760</v>
      </c>
      <c r="K371" s="6">
        <v>44760</v>
      </c>
      <c r="L371" s="6">
        <v>15770.097</v>
      </c>
      <c r="M371" s="6">
        <v>15770.097</v>
      </c>
      <c r="N371" s="6">
        <v>15770.097</v>
      </c>
      <c r="O371" s="6">
        <v>15770.097</v>
      </c>
      <c r="P371" s="6">
        <v>0</v>
      </c>
      <c r="Q371" s="4" t="s">
        <v>26</v>
      </c>
      <c r="R371" s="4">
        <v>0</v>
      </c>
      <c r="S371" s="4" t="s">
        <v>301</v>
      </c>
      <c r="T371" s="4" t="s">
        <v>702</v>
      </c>
      <c r="U371" s="4">
        <v>22</v>
      </c>
      <c r="V371" s="4">
        <v>23</v>
      </c>
      <c r="W371" s="4">
        <v>82</v>
      </c>
    </row>
    <row r="372" spans="1:23" ht="11.25" customHeight="1" x14ac:dyDescent="0.25">
      <c r="A372" s="4" t="s">
        <v>28</v>
      </c>
      <c r="B372" s="4" t="s">
        <v>33</v>
      </c>
      <c r="C372" s="4" t="s">
        <v>41</v>
      </c>
      <c r="D372" s="4" t="s">
        <v>42</v>
      </c>
      <c r="E372" s="4" t="s">
        <v>25</v>
      </c>
      <c r="F372" s="4" t="s">
        <v>25</v>
      </c>
      <c r="G372" s="4" t="s">
        <v>25</v>
      </c>
      <c r="H372" s="4" t="s">
        <v>36</v>
      </c>
      <c r="I372" s="5">
        <v>43800</v>
      </c>
      <c r="J372" s="6">
        <v>550</v>
      </c>
      <c r="K372" s="6">
        <v>550</v>
      </c>
      <c r="L372" s="6">
        <v>109.997</v>
      </c>
      <c r="M372" s="6">
        <v>109.997</v>
      </c>
      <c r="N372" s="6">
        <v>109.997</v>
      </c>
      <c r="O372" s="6">
        <v>109.997</v>
      </c>
      <c r="P372" s="6">
        <v>0</v>
      </c>
      <c r="Q372" s="4" t="s">
        <v>26</v>
      </c>
      <c r="R372" s="4">
        <v>0</v>
      </c>
      <c r="S372" s="4" t="s">
        <v>301</v>
      </c>
      <c r="T372" s="4" t="s">
        <v>702</v>
      </c>
      <c r="U372" s="4">
        <v>22</v>
      </c>
      <c r="V372" s="4">
        <v>23</v>
      </c>
      <c r="W372" s="4">
        <v>82</v>
      </c>
    </row>
    <row r="373" spans="1:23" ht="11.25" customHeight="1" x14ac:dyDescent="0.25">
      <c r="A373" s="4" t="s">
        <v>21</v>
      </c>
      <c r="B373" s="4" t="s">
        <v>33</v>
      </c>
      <c r="C373" s="4" t="s">
        <v>41</v>
      </c>
      <c r="D373" s="4" t="s">
        <v>42</v>
      </c>
      <c r="E373" s="4" t="s">
        <v>25</v>
      </c>
      <c r="F373" s="4" t="s">
        <v>25</v>
      </c>
      <c r="G373" s="4" t="s">
        <v>25</v>
      </c>
      <c r="H373" s="4" t="s">
        <v>36</v>
      </c>
      <c r="I373" s="5">
        <v>43831</v>
      </c>
      <c r="J373" s="6">
        <v>44492</v>
      </c>
      <c r="K373" s="6">
        <v>44492</v>
      </c>
      <c r="L373" s="6">
        <v>15994.291999999999</v>
      </c>
      <c r="M373" s="6">
        <v>15994.291999999999</v>
      </c>
      <c r="N373" s="6">
        <v>15994.291999999999</v>
      </c>
      <c r="O373" s="6">
        <v>15994.291999999999</v>
      </c>
      <c r="P373" s="6">
        <v>0</v>
      </c>
      <c r="Q373" s="4" t="s">
        <v>26</v>
      </c>
      <c r="R373" s="4">
        <v>0</v>
      </c>
      <c r="S373" s="4" t="s">
        <v>302</v>
      </c>
      <c r="T373" s="4" t="s">
        <v>703</v>
      </c>
      <c r="U373" s="4">
        <v>22</v>
      </c>
      <c r="V373" s="4">
        <v>23</v>
      </c>
      <c r="W373" s="4">
        <v>82</v>
      </c>
    </row>
    <row r="374" spans="1:23" ht="11.25" customHeight="1" x14ac:dyDescent="0.25">
      <c r="A374" s="4" t="s">
        <v>27</v>
      </c>
      <c r="B374" s="4" t="s">
        <v>33</v>
      </c>
      <c r="C374" s="4" t="s">
        <v>41</v>
      </c>
      <c r="D374" s="4" t="s">
        <v>42</v>
      </c>
      <c r="E374" s="4" t="s">
        <v>25</v>
      </c>
      <c r="F374" s="4" t="s">
        <v>25</v>
      </c>
      <c r="G374" s="4" t="s">
        <v>25</v>
      </c>
      <c r="H374" s="4" t="s">
        <v>36</v>
      </c>
      <c r="I374" s="5">
        <v>43831</v>
      </c>
      <c r="J374" s="6">
        <v>279</v>
      </c>
      <c r="K374" s="6">
        <v>279</v>
      </c>
      <c r="L374" s="6">
        <v>127.05200000000001</v>
      </c>
      <c r="M374" s="6">
        <v>127.05200000000001</v>
      </c>
      <c r="N374" s="6">
        <v>127.05200000000001</v>
      </c>
      <c r="O374" s="6">
        <v>127.05200000000001</v>
      </c>
      <c r="P374" s="6">
        <v>0</v>
      </c>
      <c r="Q374" s="4" t="s">
        <v>26</v>
      </c>
      <c r="R374" s="4">
        <v>0</v>
      </c>
      <c r="S374" s="4" t="s">
        <v>302</v>
      </c>
      <c r="T374" s="4" t="s">
        <v>703</v>
      </c>
      <c r="U374" s="4">
        <v>22</v>
      </c>
      <c r="V374" s="4">
        <v>23</v>
      </c>
      <c r="W374" s="4">
        <v>82</v>
      </c>
    </row>
    <row r="375" spans="1:23" ht="11.25" customHeight="1" x14ac:dyDescent="0.25">
      <c r="A375" s="4" t="s">
        <v>28</v>
      </c>
      <c r="B375" s="4" t="s">
        <v>33</v>
      </c>
      <c r="C375" s="4" t="s">
        <v>41</v>
      </c>
      <c r="D375" s="4" t="s">
        <v>42</v>
      </c>
      <c r="E375" s="4" t="s">
        <v>25</v>
      </c>
      <c r="F375" s="4" t="s">
        <v>25</v>
      </c>
      <c r="G375" s="4" t="s">
        <v>25</v>
      </c>
      <c r="H375" s="4" t="s">
        <v>36</v>
      </c>
      <c r="I375" s="5">
        <v>43831</v>
      </c>
      <c r="J375" s="6">
        <v>550</v>
      </c>
      <c r="K375" s="6">
        <v>550</v>
      </c>
      <c r="L375" s="6">
        <v>88.43</v>
      </c>
      <c r="M375" s="6">
        <v>88.43</v>
      </c>
      <c r="N375" s="6">
        <v>88.43</v>
      </c>
      <c r="O375" s="6">
        <v>88.43</v>
      </c>
      <c r="P375" s="6">
        <v>0</v>
      </c>
      <c r="Q375" s="4" t="s">
        <v>26</v>
      </c>
      <c r="R375" s="4">
        <v>0</v>
      </c>
      <c r="S375" s="4" t="s">
        <v>302</v>
      </c>
      <c r="T375" s="4" t="s">
        <v>703</v>
      </c>
      <c r="U375" s="4">
        <v>22</v>
      </c>
      <c r="V375" s="4">
        <v>23</v>
      </c>
      <c r="W375" s="4">
        <v>82</v>
      </c>
    </row>
    <row r="376" spans="1:23" ht="11.25" customHeight="1" x14ac:dyDescent="0.25">
      <c r="A376" s="4" t="s">
        <v>21</v>
      </c>
      <c r="B376" s="4" t="s">
        <v>33</v>
      </c>
      <c r="C376" s="4" t="s">
        <v>41</v>
      </c>
      <c r="D376" s="4" t="s">
        <v>42</v>
      </c>
      <c r="E376" s="4" t="s">
        <v>25</v>
      </c>
      <c r="F376" s="4" t="s">
        <v>25</v>
      </c>
      <c r="G376" s="4" t="s">
        <v>25</v>
      </c>
      <c r="H376" s="4" t="s">
        <v>36</v>
      </c>
      <c r="I376" s="5">
        <v>43862</v>
      </c>
      <c r="J376" s="6">
        <v>43519</v>
      </c>
      <c r="K376" s="6">
        <v>43519</v>
      </c>
      <c r="L376" s="6">
        <v>15695.977999999999</v>
      </c>
      <c r="M376" s="6">
        <v>15695.977999999999</v>
      </c>
      <c r="N376" s="6">
        <v>15695.977999999999</v>
      </c>
      <c r="O376" s="6">
        <v>15695.977999999999</v>
      </c>
      <c r="P376" s="6">
        <v>0</v>
      </c>
      <c r="Q376" s="4" t="s">
        <v>26</v>
      </c>
      <c r="R376" s="4">
        <v>0</v>
      </c>
      <c r="S376" s="4" t="s">
        <v>303</v>
      </c>
      <c r="T376" s="4" t="s">
        <v>704</v>
      </c>
      <c r="U376" s="4">
        <v>22</v>
      </c>
      <c r="V376" s="4">
        <v>23</v>
      </c>
      <c r="W376" s="4">
        <v>82</v>
      </c>
    </row>
    <row r="377" spans="1:23" ht="11.25" customHeight="1" x14ac:dyDescent="0.25">
      <c r="A377" s="4" t="s">
        <v>27</v>
      </c>
      <c r="B377" s="4" t="s">
        <v>33</v>
      </c>
      <c r="C377" s="4" t="s">
        <v>41</v>
      </c>
      <c r="D377" s="4" t="s">
        <v>42</v>
      </c>
      <c r="E377" s="4" t="s">
        <v>25</v>
      </c>
      <c r="F377" s="4" t="s">
        <v>25</v>
      </c>
      <c r="G377" s="4" t="s">
        <v>25</v>
      </c>
      <c r="H377" s="4" t="s">
        <v>36</v>
      </c>
      <c r="I377" s="5">
        <v>43862</v>
      </c>
      <c r="J377" s="6">
        <v>221</v>
      </c>
      <c r="K377" s="6">
        <v>221</v>
      </c>
      <c r="L377" s="6">
        <v>109.68</v>
      </c>
      <c r="M377" s="6">
        <v>109.68</v>
      </c>
      <c r="N377" s="6">
        <v>109.68</v>
      </c>
      <c r="O377" s="6">
        <v>109.68</v>
      </c>
      <c r="P377" s="6">
        <v>0</v>
      </c>
      <c r="Q377" s="4" t="s">
        <v>26</v>
      </c>
      <c r="R377" s="4">
        <v>0</v>
      </c>
      <c r="S377" s="4" t="s">
        <v>303</v>
      </c>
      <c r="T377" s="4" t="s">
        <v>704</v>
      </c>
      <c r="U377" s="4">
        <v>22</v>
      </c>
      <c r="V377" s="4">
        <v>23</v>
      </c>
      <c r="W377" s="4">
        <v>82</v>
      </c>
    </row>
    <row r="378" spans="1:23" ht="11.25" customHeight="1" x14ac:dyDescent="0.25">
      <c r="A378" s="4" t="s">
        <v>28</v>
      </c>
      <c r="B378" s="4" t="s">
        <v>33</v>
      </c>
      <c r="C378" s="4" t="s">
        <v>41</v>
      </c>
      <c r="D378" s="4" t="s">
        <v>42</v>
      </c>
      <c r="E378" s="4" t="s">
        <v>25</v>
      </c>
      <c r="F378" s="4" t="s">
        <v>25</v>
      </c>
      <c r="G378" s="4" t="s">
        <v>25</v>
      </c>
      <c r="H378" s="4" t="s">
        <v>36</v>
      </c>
      <c r="I378" s="5">
        <v>43862</v>
      </c>
      <c r="J378" s="6">
        <v>550</v>
      </c>
      <c r="K378" s="6">
        <v>550</v>
      </c>
      <c r="L378" s="6">
        <v>97.055000000000007</v>
      </c>
      <c r="M378" s="6">
        <v>97.055000000000007</v>
      </c>
      <c r="N378" s="6">
        <v>97.055000000000007</v>
      </c>
      <c r="O378" s="6">
        <v>97.055000000000007</v>
      </c>
      <c r="P378" s="6">
        <v>0</v>
      </c>
      <c r="Q378" s="4" t="s">
        <v>26</v>
      </c>
      <c r="R378" s="4">
        <v>0</v>
      </c>
      <c r="S378" s="4" t="s">
        <v>303</v>
      </c>
      <c r="T378" s="4" t="s">
        <v>704</v>
      </c>
      <c r="U378" s="4">
        <v>22</v>
      </c>
      <c r="V378" s="4">
        <v>23</v>
      </c>
      <c r="W378" s="4">
        <v>82</v>
      </c>
    </row>
    <row r="379" spans="1:23" ht="11.25" customHeight="1" x14ac:dyDescent="0.25">
      <c r="A379" s="4" t="s">
        <v>21</v>
      </c>
      <c r="B379" s="4" t="s">
        <v>33</v>
      </c>
      <c r="C379" s="4" t="s">
        <v>41</v>
      </c>
      <c r="D379" s="4" t="s">
        <v>42</v>
      </c>
      <c r="E379" s="4" t="s">
        <v>25</v>
      </c>
      <c r="F379" s="4" t="s">
        <v>25</v>
      </c>
      <c r="G379" s="4" t="s">
        <v>25</v>
      </c>
      <c r="H379" s="4" t="s">
        <v>36</v>
      </c>
      <c r="I379" s="5">
        <v>43891</v>
      </c>
      <c r="J379" s="6">
        <v>43793</v>
      </c>
      <c r="K379" s="6">
        <v>43793</v>
      </c>
      <c r="L379" s="6">
        <v>14700.697</v>
      </c>
      <c r="M379" s="6">
        <v>14700.697</v>
      </c>
      <c r="N379" s="6">
        <v>14700.697</v>
      </c>
      <c r="O379" s="6">
        <v>14700.697</v>
      </c>
      <c r="P379" s="6">
        <v>0</v>
      </c>
      <c r="Q379" s="4" t="s">
        <v>26</v>
      </c>
      <c r="R379" s="4">
        <v>0</v>
      </c>
      <c r="S379" s="4" t="s">
        <v>304</v>
      </c>
      <c r="T379" s="4" t="s">
        <v>705</v>
      </c>
      <c r="U379" s="4">
        <v>22</v>
      </c>
      <c r="V379" s="4">
        <v>23</v>
      </c>
      <c r="W379" s="4">
        <v>82</v>
      </c>
    </row>
    <row r="380" spans="1:23" ht="11.25" customHeight="1" x14ac:dyDescent="0.25">
      <c r="A380" s="4" t="s">
        <v>28</v>
      </c>
      <c r="B380" s="4" t="s">
        <v>33</v>
      </c>
      <c r="C380" s="4" t="s">
        <v>41</v>
      </c>
      <c r="D380" s="4" t="s">
        <v>42</v>
      </c>
      <c r="E380" s="4" t="s">
        <v>25</v>
      </c>
      <c r="F380" s="4" t="s">
        <v>25</v>
      </c>
      <c r="G380" s="4" t="s">
        <v>25</v>
      </c>
      <c r="H380" s="4" t="s">
        <v>36</v>
      </c>
      <c r="I380" s="5">
        <v>43891</v>
      </c>
      <c r="J380" s="6">
        <v>550</v>
      </c>
      <c r="K380" s="6">
        <v>550</v>
      </c>
      <c r="L380" s="6">
        <v>93.591999999999999</v>
      </c>
      <c r="M380" s="6">
        <v>93.591999999999999</v>
      </c>
      <c r="N380" s="6">
        <v>93.591999999999999</v>
      </c>
      <c r="O380" s="6">
        <v>93.591999999999999</v>
      </c>
      <c r="P380" s="6">
        <v>0</v>
      </c>
      <c r="Q380" s="4" t="s">
        <v>26</v>
      </c>
      <c r="R380" s="4">
        <v>0</v>
      </c>
      <c r="S380" s="4" t="s">
        <v>304</v>
      </c>
      <c r="T380" s="4" t="s">
        <v>705</v>
      </c>
      <c r="U380" s="4">
        <v>22</v>
      </c>
      <c r="V380" s="4">
        <v>23</v>
      </c>
      <c r="W380" s="4">
        <v>82</v>
      </c>
    </row>
    <row r="381" spans="1:23" ht="11.25" customHeight="1" x14ac:dyDescent="0.25">
      <c r="A381" s="4" t="s">
        <v>21</v>
      </c>
      <c r="B381" s="4" t="s">
        <v>33</v>
      </c>
      <c r="C381" s="4" t="s">
        <v>41</v>
      </c>
      <c r="D381" s="4" t="s">
        <v>42</v>
      </c>
      <c r="E381" s="4" t="s">
        <v>25</v>
      </c>
      <c r="F381" s="4" t="s">
        <v>25</v>
      </c>
      <c r="G381" s="4" t="s">
        <v>25</v>
      </c>
      <c r="H381" s="4" t="s">
        <v>36</v>
      </c>
      <c r="I381" s="5">
        <v>43922</v>
      </c>
      <c r="J381" s="6">
        <v>43743</v>
      </c>
      <c r="K381" s="6">
        <v>43743</v>
      </c>
      <c r="L381" s="6">
        <v>15249.904</v>
      </c>
      <c r="M381" s="6">
        <v>15249.904</v>
      </c>
      <c r="N381" s="6">
        <v>15249.904</v>
      </c>
      <c r="O381" s="6">
        <v>15249.904</v>
      </c>
      <c r="P381" s="6">
        <v>0</v>
      </c>
      <c r="Q381" s="4" t="s">
        <v>26</v>
      </c>
      <c r="R381" s="4">
        <v>0</v>
      </c>
      <c r="S381" s="4" t="s">
        <v>305</v>
      </c>
      <c r="T381" s="4" t="s">
        <v>706</v>
      </c>
      <c r="U381" s="4">
        <v>22</v>
      </c>
      <c r="V381" s="4">
        <v>23</v>
      </c>
      <c r="W381" s="4">
        <v>82</v>
      </c>
    </row>
    <row r="382" spans="1:23" ht="11.25" customHeight="1" x14ac:dyDescent="0.25">
      <c r="A382" s="4" t="s">
        <v>27</v>
      </c>
      <c r="B382" s="4" t="s">
        <v>33</v>
      </c>
      <c r="C382" s="4" t="s">
        <v>41</v>
      </c>
      <c r="D382" s="4" t="s">
        <v>42</v>
      </c>
      <c r="E382" s="4" t="s">
        <v>25</v>
      </c>
      <c r="F382" s="4" t="s">
        <v>25</v>
      </c>
      <c r="G382" s="4" t="s">
        <v>25</v>
      </c>
      <c r="H382" s="4" t="s">
        <v>36</v>
      </c>
      <c r="I382" s="5">
        <v>43922</v>
      </c>
      <c r="J382" s="6">
        <v>50</v>
      </c>
      <c r="K382" s="6">
        <v>50</v>
      </c>
      <c r="L382" s="6">
        <v>6.64</v>
      </c>
      <c r="M382" s="6">
        <v>6.64</v>
      </c>
      <c r="N382" s="6">
        <v>6.64</v>
      </c>
      <c r="O382" s="6">
        <v>6.64</v>
      </c>
      <c r="P382" s="6">
        <v>0</v>
      </c>
      <c r="Q382" s="4" t="s">
        <v>26</v>
      </c>
      <c r="R382" s="4">
        <v>0</v>
      </c>
      <c r="S382" s="4" t="s">
        <v>305</v>
      </c>
      <c r="T382" s="4" t="s">
        <v>706</v>
      </c>
      <c r="U382" s="4">
        <v>22</v>
      </c>
      <c r="V382" s="4">
        <v>23</v>
      </c>
      <c r="W382" s="4">
        <v>82</v>
      </c>
    </row>
    <row r="383" spans="1:23" ht="11.25" customHeight="1" x14ac:dyDescent="0.25">
      <c r="A383" s="4" t="s">
        <v>28</v>
      </c>
      <c r="B383" s="4" t="s">
        <v>33</v>
      </c>
      <c r="C383" s="4" t="s">
        <v>41</v>
      </c>
      <c r="D383" s="4" t="s">
        <v>42</v>
      </c>
      <c r="E383" s="4" t="s">
        <v>25</v>
      </c>
      <c r="F383" s="4" t="s">
        <v>25</v>
      </c>
      <c r="G383" s="4" t="s">
        <v>25</v>
      </c>
      <c r="H383" s="4" t="s">
        <v>36</v>
      </c>
      <c r="I383" s="5">
        <v>43922</v>
      </c>
      <c r="J383" s="6">
        <v>550</v>
      </c>
      <c r="K383" s="6">
        <v>550</v>
      </c>
      <c r="L383" s="6">
        <v>58.206000000000003</v>
      </c>
      <c r="M383" s="6">
        <v>58.206000000000003</v>
      </c>
      <c r="N383" s="6">
        <v>58.206000000000003</v>
      </c>
      <c r="O383" s="6">
        <v>58.206000000000003</v>
      </c>
      <c r="P383" s="6">
        <v>0</v>
      </c>
      <c r="Q383" s="4" t="s">
        <v>26</v>
      </c>
      <c r="R383" s="4">
        <v>0</v>
      </c>
      <c r="S383" s="4" t="s">
        <v>305</v>
      </c>
      <c r="T383" s="4" t="s">
        <v>706</v>
      </c>
      <c r="U383" s="4">
        <v>22</v>
      </c>
      <c r="V383" s="4">
        <v>23</v>
      </c>
      <c r="W383" s="4">
        <v>82</v>
      </c>
    </row>
    <row r="384" spans="1:23" ht="11.25" customHeight="1" x14ac:dyDescent="0.25">
      <c r="A384" s="4" t="s">
        <v>21</v>
      </c>
      <c r="B384" s="4" t="s">
        <v>33</v>
      </c>
      <c r="C384" s="4" t="s">
        <v>41</v>
      </c>
      <c r="D384" s="4" t="s">
        <v>42</v>
      </c>
      <c r="E384" s="4" t="s">
        <v>25</v>
      </c>
      <c r="F384" s="4" t="s">
        <v>25</v>
      </c>
      <c r="G384" s="4" t="s">
        <v>25</v>
      </c>
      <c r="H384" s="4" t="s">
        <v>36</v>
      </c>
      <c r="I384" s="5">
        <v>43952</v>
      </c>
      <c r="J384" s="6">
        <v>41983</v>
      </c>
      <c r="K384" s="6">
        <v>41983</v>
      </c>
      <c r="L384" s="6">
        <v>13435.352999999999</v>
      </c>
      <c r="M384" s="6">
        <v>13435.352999999999</v>
      </c>
      <c r="N384" s="6">
        <v>13435.352999999999</v>
      </c>
      <c r="O384" s="6">
        <v>13435.352999999999</v>
      </c>
      <c r="P384" s="6">
        <v>0</v>
      </c>
      <c r="Q384" s="4" t="s">
        <v>26</v>
      </c>
      <c r="R384" s="4">
        <v>0</v>
      </c>
      <c r="S384" s="4" t="s">
        <v>306</v>
      </c>
      <c r="T384" s="4" t="s">
        <v>707</v>
      </c>
      <c r="U384" s="4">
        <v>22</v>
      </c>
      <c r="V384" s="4">
        <v>23</v>
      </c>
      <c r="W384" s="4">
        <v>82</v>
      </c>
    </row>
    <row r="385" spans="1:23" ht="11.25" customHeight="1" x14ac:dyDescent="0.25">
      <c r="A385" s="4" t="s">
        <v>27</v>
      </c>
      <c r="B385" s="4" t="s">
        <v>33</v>
      </c>
      <c r="C385" s="4" t="s">
        <v>41</v>
      </c>
      <c r="D385" s="4" t="s">
        <v>42</v>
      </c>
      <c r="E385" s="4" t="s">
        <v>25</v>
      </c>
      <c r="F385" s="4" t="s">
        <v>25</v>
      </c>
      <c r="G385" s="4" t="s">
        <v>25</v>
      </c>
      <c r="H385" s="4" t="s">
        <v>36</v>
      </c>
      <c r="I385" s="5">
        <v>43952</v>
      </c>
      <c r="J385" s="6">
        <v>941</v>
      </c>
      <c r="K385" s="6">
        <v>941</v>
      </c>
      <c r="L385" s="6">
        <v>310.375</v>
      </c>
      <c r="M385" s="6">
        <v>310.375</v>
      </c>
      <c r="N385" s="6">
        <v>310.375</v>
      </c>
      <c r="O385" s="6">
        <v>310.375</v>
      </c>
      <c r="P385" s="6">
        <v>0</v>
      </c>
      <c r="Q385" s="4" t="s">
        <v>26</v>
      </c>
      <c r="R385" s="4">
        <v>0</v>
      </c>
      <c r="S385" s="4" t="s">
        <v>306</v>
      </c>
      <c r="T385" s="4" t="s">
        <v>707</v>
      </c>
      <c r="U385" s="4">
        <v>22</v>
      </c>
      <c r="V385" s="4">
        <v>23</v>
      </c>
      <c r="W385" s="4">
        <v>82</v>
      </c>
    </row>
    <row r="386" spans="1:23" ht="11.25" customHeight="1" x14ac:dyDescent="0.25">
      <c r="A386" s="4" t="s">
        <v>28</v>
      </c>
      <c r="B386" s="4" t="s">
        <v>33</v>
      </c>
      <c r="C386" s="4" t="s">
        <v>41</v>
      </c>
      <c r="D386" s="4" t="s">
        <v>42</v>
      </c>
      <c r="E386" s="4" t="s">
        <v>25</v>
      </c>
      <c r="F386" s="4" t="s">
        <v>25</v>
      </c>
      <c r="G386" s="4" t="s">
        <v>25</v>
      </c>
      <c r="H386" s="4" t="s">
        <v>36</v>
      </c>
      <c r="I386" s="5">
        <v>43952</v>
      </c>
      <c r="J386" s="6">
        <v>550</v>
      </c>
      <c r="K386" s="6">
        <v>550</v>
      </c>
      <c r="L386" s="6">
        <v>44.973999999999997</v>
      </c>
      <c r="M386" s="6">
        <v>44.973999999999997</v>
      </c>
      <c r="N386" s="6">
        <v>44.973999999999997</v>
      </c>
      <c r="O386" s="6">
        <v>44.973999999999997</v>
      </c>
      <c r="P386" s="6">
        <v>0</v>
      </c>
      <c r="Q386" s="4" t="s">
        <v>26</v>
      </c>
      <c r="R386" s="4">
        <v>0</v>
      </c>
      <c r="S386" s="4" t="s">
        <v>306</v>
      </c>
      <c r="T386" s="4" t="s">
        <v>707</v>
      </c>
      <c r="U386" s="4">
        <v>22</v>
      </c>
      <c r="V386" s="4">
        <v>23</v>
      </c>
      <c r="W386" s="4">
        <v>82</v>
      </c>
    </row>
    <row r="387" spans="1:23" ht="11.25" customHeight="1" x14ac:dyDescent="0.25">
      <c r="A387" s="4" t="s">
        <v>21</v>
      </c>
      <c r="B387" s="4" t="s">
        <v>33</v>
      </c>
      <c r="C387" s="4" t="s">
        <v>41</v>
      </c>
      <c r="D387" s="4" t="s">
        <v>42</v>
      </c>
      <c r="E387" s="4" t="s">
        <v>25</v>
      </c>
      <c r="F387" s="4" t="s">
        <v>25</v>
      </c>
      <c r="G387" s="4" t="s">
        <v>25</v>
      </c>
      <c r="H387" s="4" t="s">
        <v>36</v>
      </c>
      <c r="I387" s="5">
        <v>43983</v>
      </c>
      <c r="J387" s="6">
        <v>41519</v>
      </c>
      <c r="K387" s="6">
        <v>41519</v>
      </c>
      <c r="L387" s="6">
        <v>13369.016</v>
      </c>
      <c r="M387" s="6">
        <v>13369.016</v>
      </c>
      <c r="N387" s="6">
        <v>13369.016</v>
      </c>
      <c r="O387" s="6">
        <v>13369.016</v>
      </c>
      <c r="P387" s="6">
        <v>0</v>
      </c>
      <c r="Q387" s="4" t="s">
        <v>26</v>
      </c>
      <c r="R387" s="4">
        <v>0</v>
      </c>
      <c r="S387" s="4" t="s">
        <v>307</v>
      </c>
      <c r="T387" s="4" t="s">
        <v>708</v>
      </c>
      <c r="U387" s="4">
        <v>22</v>
      </c>
      <c r="V387" s="4">
        <v>23</v>
      </c>
      <c r="W387" s="4">
        <v>82</v>
      </c>
    </row>
    <row r="388" spans="1:23" ht="11.25" customHeight="1" x14ac:dyDescent="0.25">
      <c r="A388" s="4" t="s">
        <v>27</v>
      </c>
      <c r="B388" s="4" t="s">
        <v>33</v>
      </c>
      <c r="C388" s="4" t="s">
        <v>41</v>
      </c>
      <c r="D388" s="4" t="s">
        <v>42</v>
      </c>
      <c r="E388" s="4" t="s">
        <v>25</v>
      </c>
      <c r="F388" s="4" t="s">
        <v>25</v>
      </c>
      <c r="G388" s="4" t="s">
        <v>25</v>
      </c>
      <c r="H388" s="4" t="s">
        <v>36</v>
      </c>
      <c r="I388" s="5">
        <v>43983</v>
      </c>
      <c r="J388" s="6">
        <v>561</v>
      </c>
      <c r="K388" s="6">
        <v>561</v>
      </c>
      <c r="L388" s="6">
        <v>125.38</v>
      </c>
      <c r="M388" s="6">
        <v>125.38</v>
      </c>
      <c r="N388" s="6">
        <v>125.38</v>
      </c>
      <c r="O388" s="6">
        <v>125.38</v>
      </c>
      <c r="P388" s="6">
        <v>0</v>
      </c>
      <c r="Q388" s="4" t="s">
        <v>26</v>
      </c>
      <c r="R388" s="4">
        <v>0</v>
      </c>
      <c r="S388" s="4" t="s">
        <v>307</v>
      </c>
      <c r="T388" s="4" t="s">
        <v>708</v>
      </c>
      <c r="U388" s="4">
        <v>22</v>
      </c>
      <c r="V388" s="4">
        <v>23</v>
      </c>
      <c r="W388" s="4">
        <v>82</v>
      </c>
    </row>
    <row r="389" spans="1:23" ht="11.25" customHeight="1" x14ac:dyDescent="0.25">
      <c r="A389" s="4" t="s">
        <v>28</v>
      </c>
      <c r="B389" s="4" t="s">
        <v>33</v>
      </c>
      <c r="C389" s="4" t="s">
        <v>41</v>
      </c>
      <c r="D389" s="4" t="s">
        <v>42</v>
      </c>
      <c r="E389" s="4" t="s">
        <v>25</v>
      </c>
      <c r="F389" s="4" t="s">
        <v>25</v>
      </c>
      <c r="G389" s="4" t="s">
        <v>25</v>
      </c>
      <c r="H389" s="4" t="s">
        <v>36</v>
      </c>
      <c r="I389" s="5">
        <v>43983</v>
      </c>
      <c r="J389" s="6">
        <v>550</v>
      </c>
      <c r="K389" s="6">
        <v>550</v>
      </c>
      <c r="L389" s="6">
        <v>41.387999999999998</v>
      </c>
      <c r="M389" s="6">
        <v>41.387999999999998</v>
      </c>
      <c r="N389" s="6">
        <v>41.387999999999998</v>
      </c>
      <c r="O389" s="6">
        <v>41.387999999999998</v>
      </c>
      <c r="P389" s="6">
        <v>0</v>
      </c>
      <c r="Q389" s="4" t="s">
        <v>26</v>
      </c>
      <c r="R389" s="4">
        <v>0</v>
      </c>
      <c r="S389" s="4" t="s">
        <v>307</v>
      </c>
      <c r="T389" s="4" t="s">
        <v>708</v>
      </c>
      <c r="U389" s="4">
        <v>22</v>
      </c>
      <c r="V389" s="4">
        <v>23</v>
      </c>
      <c r="W389" s="4">
        <v>82</v>
      </c>
    </row>
    <row r="390" spans="1:23" ht="11.25" customHeight="1" x14ac:dyDescent="0.25">
      <c r="A390" s="4" t="s">
        <v>21</v>
      </c>
      <c r="B390" s="4" t="s">
        <v>33</v>
      </c>
      <c r="C390" s="4" t="s">
        <v>41</v>
      </c>
      <c r="D390" s="4" t="s">
        <v>42</v>
      </c>
      <c r="E390" s="4" t="s">
        <v>25</v>
      </c>
      <c r="F390" s="4" t="s">
        <v>25</v>
      </c>
      <c r="G390" s="4" t="s">
        <v>25</v>
      </c>
      <c r="H390" s="4" t="s">
        <v>36</v>
      </c>
      <c r="I390" s="5">
        <v>44013</v>
      </c>
      <c r="J390" s="6">
        <v>42508</v>
      </c>
      <c r="K390" s="6">
        <v>42508</v>
      </c>
      <c r="L390" s="6">
        <v>12987.578</v>
      </c>
      <c r="M390" s="6">
        <v>12987.578</v>
      </c>
      <c r="N390" s="6">
        <v>12987.578</v>
      </c>
      <c r="O390" s="6">
        <v>12987.578</v>
      </c>
      <c r="P390" s="6">
        <v>0</v>
      </c>
      <c r="Q390" s="4" t="s">
        <v>26</v>
      </c>
      <c r="R390" s="4">
        <v>0</v>
      </c>
      <c r="S390" s="4" t="s">
        <v>308</v>
      </c>
      <c r="T390" s="4" t="s">
        <v>709</v>
      </c>
      <c r="U390" s="4">
        <v>22</v>
      </c>
      <c r="V390" s="4">
        <v>23</v>
      </c>
      <c r="W390" s="4">
        <v>82</v>
      </c>
    </row>
    <row r="391" spans="1:23" ht="11.25" customHeight="1" x14ac:dyDescent="0.25">
      <c r="A391" s="4" t="s">
        <v>28</v>
      </c>
      <c r="B391" s="4" t="s">
        <v>33</v>
      </c>
      <c r="C391" s="4" t="s">
        <v>41</v>
      </c>
      <c r="D391" s="4" t="s">
        <v>42</v>
      </c>
      <c r="E391" s="4" t="s">
        <v>25</v>
      </c>
      <c r="F391" s="4" t="s">
        <v>25</v>
      </c>
      <c r="G391" s="4" t="s">
        <v>25</v>
      </c>
      <c r="H391" s="4" t="s">
        <v>36</v>
      </c>
      <c r="I391" s="5">
        <v>44013</v>
      </c>
      <c r="J391" s="6">
        <v>550</v>
      </c>
      <c r="K391" s="6">
        <v>550</v>
      </c>
      <c r="L391" s="6">
        <v>37.082999999999998</v>
      </c>
      <c r="M391" s="6">
        <v>37.082999999999998</v>
      </c>
      <c r="N391" s="6">
        <v>37.082999999999998</v>
      </c>
      <c r="O391" s="6">
        <v>37.082999999999998</v>
      </c>
      <c r="P391" s="6">
        <v>0</v>
      </c>
      <c r="Q391" s="4" t="s">
        <v>26</v>
      </c>
      <c r="R391" s="4">
        <v>0</v>
      </c>
      <c r="S391" s="4" t="s">
        <v>308</v>
      </c>
      <c r="T391" s="4" t="s">
        <v>709</v>
      </c>
      <c r="U391" s="4">
        <v>22</v>
      </c>
      <c r="V391" s="4">
        <v>23</v>
      </c>
      <c r="W391" s="4">
        <v>82</v>
      </c>
    </row>
    <row r="392" spans="1:23" ht="11.25" customHeight="1" x14ac:dyDescent="0.25">
      <c r="A392" s="4" t="s">
        <v>21</v>
      </c>
      <c r="B392" s="4" t="s">
        <v>33</v>
      </c>
      <c r="C392" s="4" t="s">
        <v>41</v>
      </c>
      <c r="D392" s="4" t="s">
        <v>42</v>
      </c>
      <c r="E392" s="4" t="s">
        <v>25</v>
      </c>
      <c r="F392" s="4" t="s">
        <v>25</v>
      </c>
      <c r="G392" s="4" t="s">
        <v>25</v>
      </c>
      <c r="H392" s="4" t="s">
        <v>36</v>
      </c>
      <c r="I392" s="5">
        <v>44044</v>
      </c>
      <c r="J392" s="6">
        <v>42443</v>
      </c>
      <c r="K392" s="6">
        <v>42443</v>
      </c>
      <c r="L392" s="6">
        <v>13246.81</v>
      </c>
      <c r="M392" s="6">
        <v>13246.81</v>
      </c>
      <c r="N392" s="6">
        <v>13246.81</v>
      </c>
      <c r="O392" s="6">
        <v>13246.81</v>
      </c>
      <c r="P392" s="6">
        <v>0</v>
      </c>
      <c r="Q392" s="4" t="s">
        <v>26</v>
      </c>
      <c r="R392" s="4">
        <v>0</v>
      </c>
      <c r="S392" s="4" t="s">
        <v>309</v>
      </c>
      <c r="T392" s="4" t="s">
        <v>710</v>
      </c>
      <c r="U392" s="4">
        <v>22</v>
      </c>
      <c r="V392" s="4">
        <v>23</v>
      </c>
      <c r="W392" s="4">
        <v>82</v>
      </c>
    </row>
    <row r="393" spans="1:23" ht="11.25" customHeight="1" x14ac:dyDescent="0.25">
      <c r="A393" s="4" t="s">
        <v>28</v>
      </c>
      <c r="B393" s="4" t="s">
        <v>33</v>
      </c>
      <c r="C393" s="4" t="s">
        <v>41</v>
      </c>
      <c r="D393" s="4" t="s">
        <v>42</v>
      </c>
      <c r="E393" s="4" t="s">
        <v>25</v>
      </c>
      <c r="F393" s="4" t="s">
        <v>25</v>
      </c>
      <c r="G393" s="4" t="s">
        <v>25</v>
      </c>
      <c r="H393" s="4" t="s">
        <v>36</v>
      </c>
      <c r="I393" s="5">
        <v>44044</v>
      </c>
      <c r="J393" s="6">
        <v>550</v>
      </c>
      <c r="K393" s="6">
        <v>550</v>
      </c>
      <c r="L393" s="6">
        <v>40.664999999999999</v>
      </c>
      <c r="M393" s="6">
        <v>40.664999999999999</v>
      </c>
      <c r="N393" s="6">
        <v>40.664999999999999</v>
      </c>
      <c r="O393" s="6">
        <v>40.664999999999999</v>
      </c>
      <c r="P393" s="6">
        <v>0</v>
      </c>
      <c r="Q393" s="4" t="s">
        <v>26</v>
      </c>
      <c r="R393" s="4">
        <v>0</v>
      </c>
      <c r="S393" s="4" t="s">
        <v>309</v>
      </c>
      <c r="T393" s="4" t="s">
        <v>710</v>
      </c>
      <c r="U393" s="4">
        <v>22</v>
      </c>
      <c r="V393" s="4">
        <v>23</v>
      </c>
      <c r="W393" s="4">
        <v>82</v>
      </c>
    </row>
    <row r="394" spans="1:23" ht="11.25" customHeight="1" x14ac:dyDescent="0.25">
      <c r="A394" s="4" t="s">
        <v>59</v>
      </c>
      <c r="B394" s="4" t="s">
        <v>33</v>
      </c>
      <c r="C394" s="4" t="s">
        <v>41</v>
      </c>
      <c r="D394" s="4" t="s">
        <v>42</v>
      </c>
      <c r="E394" s="4" t="s">
        <v>25</v>
      </c>
      <c r="F394" s="4" t="s">
        <v>25</v>
      </c>
      <c r="G394" s="4" t="s">
        <v>25</v>
      </c>
      <c r="H394" s="4" t="s">
        <v>36</v>
      </c>
      <c r="I394" s="5">
        <v>44075</v>
      </c>
      <c r="J394" s="6">
        <v>42443</v>
      </c>
      <c r="K394" s="6">
        <v>42443</v>
      </c>
      <c r="L394" s="6">
        <v>13246.81</v>
      </c>
      <c r="M394" s="6">
        <v>13246.81</v>
      </c>
      <c r="N394" s="6">
        <v>13246.81</v>
      </c>
      <c r="O394" s="6">
        <v>13246.81</v>
      </c>
      <c r="P394" s="6">
        <v>0</v>
      </c>
      <c r="Q394" s="4" t="s">
        <v>26</v>
      </c>
      <c r="R394" s="4">
        <v>0</v>
      </c>
      <c r="S394" s="4" t="s">
        <v>310</v>
      </c>
      <c r="T394" s="4" t="s">
        <v>711</v>
      </c>
      <c r="U394" s="4">
        <v>22</v>
      </c>
      <c r="V394" s="4">
        <v>23</v>
      </c>
      <c r="W394" s="4">
        <v>82</v>
      </c>
    </row>
    <row r="395" spans="1:23" ht="11.25" customHeight="1" x14ac:dyDescent="0.25">
      <c r="A395" s="4" t="s">
        <v>59</v>
      </c>
      <c r="B395" s="4" t="s">
        <v>33</v>
      </c>
      <c r="C395" s="4" t="s">
        <v>41</v>
      </c>
      <c r="D395" s="4" t="s">
        <v>42</v>
      </c>
      <c r="E395" s="4" t="s">
        <v>25</v>
      </c>
      <c r="F395" s="4" t="s">
        <v>25</v>
      </c>
      <c r="G395" s="4" t="s">
        <v>25</v>
      </c>
      <c r="H395" s="4" t="s">
        <v>36</v>
      </c>
      <c r="I395" s="5">
        <v>44075</v>
      </c>
      <c r="J395" s="6">
        <v>550</v>
      </c>
      <c r="K395" s="6">
        <v>550</v>
      </c>
      <c r="L395" s="6">
        <v>40.664999999999999</v>
      </c>
      <c r="M395" s="6">
        <v>40.664999999999999</v>
      </c>
      <c r="N395" s="6">
        <v>40.664999999999999</v>
      </c>
      <c r="O395" s="6">
        <v>40.664999999999999</v>
      </c>
      <c r="P395" s="6">
        <v>0</v>
      </c>
      <c r="Q395" s="4" t="s">
        <v>26</v>
      </c>
      <c r="R395" s="4">
        <v>0</v>
      </c>
      <c r="S395" s="4" t="s">
        <v>310</v>
      </c>
      <c r="T395" s="4" t="s">
        <v>711</v>
      </c>
      <c r="U395" s="4">
        <v>22</v>
      </c>
      <c r="V395" s="4">
        <v>23</v>
      </c>
      <c r="W395" s="4">
        <v>82</v>
      </c>
    </row>
    <row r="396" spans="1:23" ht="11.25" customHeight="1" x14ac:dyDescent="0.25">
      <c r="A396" s="4" t="s">
        <v>21</v>
      </c>
      <c r="B396" s="4" t="s">
        <v>33</v>
      </c>
      <c r="C396" s="4" t="s">
        <v>41</v>
      </c>
      <c r="D396" s="4" t="s">
        <v>42</v>
      </c>
      <c r="E396" s="4" t="s">
        <v>25</v>
      </c>
      <c r="F396" s="4" t="s">
        <v>25</v>
      </c>
      <c r="G396" s="4" t="s">
        <v>25</v>
      </c>
      <c r="H396" s="4" t="s">
        <v>35</v>
      </c>
      <c r="I396" s="5">
        <v>43739</v>
      </c>
      <c r="J396" s="6">
        <v>41276</v>
      </c>
      <c r="K396" s="6">
        <v>41276</v>
      </c>
      <c r="L396" s="6">
        <v>1621.7840000000001</v>
      </c>
      <c r="M396" s="6">
        <v>1621.7840000000001</v>
      </c>
      <c r="N396" s="6">
        <v>1621.7840000000001</v>
      </c>
      <c r="O396" s="6">
        <v>1621.7840000000001</v>
      </c>
      <c r="P396" s="6">
        <v>0</v>
      </c>
      <c r="Q396" s="4" t="s">
        <v>26</v>
      </c>
      <c r="R396" s="4">
        <v>0</v>
      </c>
      <c r="S396" s="4" t="s">
        <v>311</v>
      </c>
      <c r="T396" s="4" t="s">
        <v>712</v>
      </c>
      <c r="U396" s="4">
        <v>21</v>
      </c>
      <c r="V396" s="4">
        <v>23</v>
      </c>
      <c r="W396" s="4">
        <v>81</v>
      </c>
    </row>
    <row r="397" spans="1:23" ht="11.25" customHeight="1" x14ac:dyDescent="0.25">
      <c r="A397" s="4" t="s">
        <v>27</v>
      </c>
      <c r="B397" s="4" t="s">
        <v>33</v>
      </c>
      <c r="C397" s="4" t="s">
        <v>41</v>
      </c>
      <c r="D397" s="4" t="s">
        <v>42</v>
      </c>
      <c r="E397" s="4" t="s">
        <v>25</v>
      </c>
      <c r="F397" s="4" t="s">
        <v>25</v>
      </c>
      <c r="G397" s="4" t="s">
        <v>25</v>
      </c>
      <c r="H397" s="4" t="s">
        <v>35</v>
      </c>
      <c r="I397" s="5">
        <v>43739</v>
      </c>
      <c r="J397" s="6">
        <v>89</v>
      </c>
      <c r="K397" s="6">
        <v>89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4" t="s">
        <v>26</v>
      </c>
      <c r="R397" s="4">
        <v>0</v>
      </c>
      <c r="S397" s="4" t="s">
        <v>311</v>
      </c>
      <c r="T397" s="4" t="s">
        <v>712</v>
      </c>
      <c r="U397" s="4">
        <v>21</v>
      </c>
      <c r="V397" s="4">
        <v>0</v>
      </c>
      <c r="W397" s="4">
        <v>0</v>
      </c>
    </row>
    <row r="398" spans="1:23" ht="11.25" customHeight="1" x14ac:dyDescent="0.25">
      <c r="A398" s="4" t="s">
        <v>28</v>
      </c>
      <c r="B398" s="4" t="s">
        <v>33</v>
      </c>
      <c r="C398" s="4" t="s">
        <v>41</v>
      </c>
      <c r="D398" s="4" t="s">
        <v>42</v>
      </c>
      <c r="E398" s="4" t="s">
        <v>25</v>
      </c>
      <c r="F398" s="4" t="s">
        <v>25</v>
      </c>
      <c r="G398" s="4" t="s">
        <v>25</v>
      </c>
      <c r="H398" s="4" t="s">
        <v>35</v>
      </c>
      <c r="I398" s="5">
        <v>43739</v>
      </c>
      <c r="J398" s="6">
        <v>550</v>
      </c>
      <c r="K398" s="6">
        <v>550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4" t="s">
        <v>26</v>
      </c>
      <c r="R398" s="4">
        <v>0</v>
      </c>
      <c r="S398" s="4" t="s">
        <v>311</v>
      </c>
      <c r="T398" s="4" t="s">
        <v>712</v>
      </c>
      <c r="U398" s="4">
        <v>21</v>
      </c>
      <c r="V398" s="4">
        <v>0</v>
      </c>
      <c r="W398" s="4">
        <v>0</v>
      </c>
    </row>
    <row r="399" spans="1:23" ht="11.25" customHeight="1" x14ac:dyDescent="0.25">
      <c r="A399" s="4" t="s">
        <v>21</v>
      </c>
      <c r="B399" s="4" t="s">
        <v>33</v>
      </c>
      <c r="C399" s="4" t="s">
        <v>41</v>
      </c>
      <c r="D399" s="4" t="s">
        <v>42</v>
      </c>
      <c r="E399" s="4" t="s">
        <v>25</v>
      </c>
      <c r="F399" s="4" t="s">
        <v>25</v>
      </c>
      <c r="G399" s="4" t="s">
        <v>25</v>
      </c>
      <c r="H399" s="4" t="s">
        <v>35</v>
      </c>
      <c r="I399" s="5">
        <v>43770</v>
      </c>
      <c r="J399" s="6">
        <v>41874</v>
      </c>
      <c r="K399" s="6">
        <v>41874</v>
      </c>
      <c r="L399" s="6">
        <v>1753.117</v>
      </c>
      <c r="M399" s="6">
        <v>1753.117</v>
      </c>
      <c r="N399" s="6">
        <v>1753.117</v>
      </c>
      <c r="O399" s="6">
        <v>1753.117</v>
      </c>
      <c r="P399" s="6">
        <v>0</v>
      </c>
      <c r="Q399" s="4" t="s">
        <v>26</v>
      </c>
      <c r="R399" s="4">
        <v>0</v>
      </c>
      <c r="S399" s="4" t="s">
        <v>312</v>
      </c>
      <c r="T399" s="4" t="s">
        <v>713</v>
      </c>
      <c r="U399" s="4">
        <v>21</v>
      </c>
      <c r="V399" s="4">
        <v>23</v>
      </c>
      <c r="W399" s="4">
        <v>81</v>
      </c>
    </row>
    <row r="400" spans="1:23" ht="11.25" customHeight="1" x14ac:dyDescent="0.25">
      <c r="A400" s="4" t="s">
        <v>27</v>
      </c>
      <c r="B400" s="4" t="s">
        <v>33</v>
      </c>
      <c r="C400" s="4" t="s">
        <v>41</v>
      </c>
      <c r="D400" s="4" t="s">
        <v>42</v>
      </c>
      <c r="E400" s="4" t="s">
        <v>25</v>
      </c>
      <c r="F400" s="4" t="s">
        <v>25</v>
      </c>
      <c r="G400" s="4" t="s">
        <v>25</v>
      </c>
      <c r="H400" s="4" t="s">
        <v>35</v>
      </c>
      <c r="I400" s="5">
        <v>43770</v>
      </c>
      <c r="J400" s="6">
        <v>75</v>
      </c>
      <c r="K400" s="6">
        <v>75</v>
      </c>
      <c r="L400" s="6">
        <v>2.5419999999999998</v>
      </c>
      <c r="M400" s="6">
        <v>2.5419999999999998</v>
      </c>
      <c r="N400" s="6">
        <v>2.5419999999999998</v>
      </c>
      <c r="O400" s="6">
        <v>2.5419999999999998</v>
      </c>
      <c r="P400" s="6">
        <v>0</v>
      </c>
      <c r="Q400" s="4" t="s">
        <v>26</v>
      </c>
      <c r="R400" s="4">
        <v>0</v>
      </c>
      <c r="S400" s="4" t="s">
        <v>312</v>
      </c>
      <c r="T400" s="4" t="s">
        <v>713</v>
      </c>
      <c r="U400" s="4">
        <v>21</v>
      </c>
      <c r="V400" s="4">
        <v>23</v>
      </c>
      <c r="W400" s="4">
        <v>81</v>
      </c>
    </row>
    <row r="401" spans="1:23" ht="11.25" customHeight="1" x14ac:dyDescent="0.25">
      <c r="A401" s="4" t="s">
        <v>28</v>
      </c>
      <c r="B401" s="4" t="s">
        <v>33</v>
      </c>
      <c r="C401" s="4" t="s">
        <v>41</v>
      </c>
      <c r="D401" s="4" t="s">
        <v>42</v>
      </c>
      <c r="E401" s="4" t="s">
        <v>25</v>
      </c>
      <c r="F401" s="4" t="s">
        <v>25</v>
      </c>
      <c r="G401" s="4" t="s">
        <v>25</v>
      </c>
      <c r="H401" s="4" t="s">
        <v>35</v>
      </c>
      <c r="I401" s="5">
        <v>43770</v>
      </c>
      <c r="J401" s="6">
        <v>550</v>
      </c>
      <c r="K401" s="6">
        <v>550</v>
      </c>
      <c r="L401" s="6">
        <v>29.882000000000001</v>
      </c>
      <c r="M401" s="6">
        <v>29.882000000000001</v>
      </c>
      <c r="N401" s="6">
        <v>29.882000000000001</v>
      </c>
      <c r="O401" s="6">
        <v>29.882000000000001</v>
      </c>
      <c r="P401" s="6">
        <v>0</v>
      </c>
      <c r="Q401" s="4" t="s">
        <v>26</v>
      </c>
      <c r="R401" s="4">
        <v>0</v>
      </c>
      <c r="S401" s="4" t="s">
        <v>312</v>
      </c>
      <c r="T401" s="4" t="s">
        <v>713</v>
      </c>
      <c r="U401" s="4">
        <v>21</v>
      </c>
      <c r="V401" s="4">
        <v>23</v>
      </c>
      <c r="W401" s="4">
        <v>81</v>
      </c>
    </row>
    <row r="402" spans="1:23" ht="11.25" customHeight="1" x14ac:dyDescent="0.25">
      <c r="A402" s="4" t="s">
        <v>21</v>
      </c>
      <c r="B402" s="4" t="s">
        <v>33</v>
      </c>
      <c r="C402" s="4" t="s">
        <v>41</v>
      </c>
      <c r="D402" s="4" t="s">
        <v>42</v>
      </c>
      <c r="E402" s="4" t="s">
        <v>25</v>
      </c>
      <c r="F402" s="4" t="s">
        <v>25</v>
      </c>
      <c r="G402" s="4" t="s">
        <v>25</v>
      </c>
      <c r="H402" s="4" t="s">
        <v>35</v>
      </c>
      <c r="I402" s="5">
        <v>43800</v>
      </c>
      <c r="J402" s="6">
        <v>41129</v>
      </c>
      <c r="K402" s="6">
        <v>41129</v>
      </c>
      <c r="L402" s="6">
        <v>1579.46</v>
      </c>
      <c r="M402" s="6">
        <v>1579.46</v>
      </c>
      <c r="N402" s="6">
        <v>1579.46</v>
      </c>
      <c r="O402" s="6">
        <v>1579.46</v>
      </c>
      <c r="P402" s="6">
        <v>0</v>
      </c>
      <c r="Q402" s="4" t="s">
        <v>26</v>
      </c>
      <c r="R402" s="4">
        <v>0</v>
      </c>
      <c r="S402" s="4" t="s">
        <v>313</v>
      </c>
      <c r="T402" s="4" t="s">
        <v>714</v>
      </c>
      <c r="U402" s="4">
        <v>21</v>
      </c>
      <c r="V402" s="4">
        <v>23</v>
      </c>
      <c r="W402" s="4">
        <v>81</v>
      </c>
    </row>
    <row r="403" spans="1:23" ht="11.25" customHeight="1" x14ac:dyDescent="0.25">
      <c r="A403" s="4" t="s">
        <v>28</v>
      </c>
      <c r="B403" s="4" t="s">
        <v>33</v>
      </c>
      <c r="C403" s="4" t="s">
        <v>41</v>
      </c>
      <c r="D403" s="4" t="s">
        <v>42</v>
      </c>
      <c r="E403" s="4" t="s">
        <v>25</v>
      </c>
      <c r="F403" s="4" t="s">
        <v>25</v>
      </c>
      <c r="G403" s="4" t="s">
        <v>25</v>
      </c>
      <c r="H403" s="4" t="s">
        <v>35</v>
      </c>
      <c r="I403" s="5">
        <v>43800</v>
      </c>
      <c r="J403" s="6">
        <v>550</v>
      </c>
      <c r="K403" s="6">
        <v>550</v>
      </c>
      <c r="L403" s="6">
        <v>26.567</v>
      </c>
      <c r="M403" s="6">
        <v>26.567</v>
      </c>
      <c r="N403" s="6">
        <v>26.567</v>
      </c>
      <c r="O403" s="6">
        <v>26.567</v>
      </c>
      <c r="P403" s="6">
        <v>0</v>
      </c>
      <c r="Q403" s="4" t="s">
        <v>26</v>
      </c>
      <c r="R403" s="4">
        <v>0</v>
      </c>
      <c r="S403" s="4" t="s">
        <v>313</v>
      </c>
      <c r="T403" s="4" t="s">
        <v>714</v>
      </c>
      <c r="U403" s="4">
        <v>21</v>
      </c>
      <c r="V403" s="4">
        <v>23</v>
      </c>
      <c r="W403" s="4">
        <v>81</v>
      </c>
    </row>
    <row r="404" spans="1:23" ht="11.25" customHeight="1" x14ac:dyDescent="0.25">
      <c r="A404" s="4" t="s">
        <v>21</v>
      </c>
      <c r="B404" s="4" t="s">
        <v>33</v>
      </c>
      <c r="C404" s="4" t="s">
        <v>41</v>
      </c>
      <c r="D404" s="4" t="s">
        <v>42</v>
      </c>
      <c r="E404" s="4" t="s">
        <v>25</v>
      </c>
      <c r="F404" s="4" t="s">
        <v>25</v>
      </c>
      <c r="G404" s="4" t="s">
        <v>25</v>
      </c>
      <c r="H404" s="4" t="s">
        <v>35</v>
      </c>
      <c r="I404" s="5">
        <v>43831</v>
      </c>
      <c r="J404" s="6">
        <v>40666</v>
      </c>
      <c r="K404" s="6">
        <v>40666</v>
      </c>
      <c r="L404" s="6">
        <v>1530.6759999999999</v>
      </c>
      <c r="M404" s="6">
        <v>1530.6759999999999</v>
      </c>
      <c r="N404" s="6">
        <v>1530.6759999999999</v>
      </c>
      <c r="O404" s="6">
        <v>1530.6759999999999</v>
      </c>
      <c r="P404" s="6">
        <v>0</v>
      </c>
      <c r="Q404" s="4" t="s">
        <v>26</v>
      </c>
      <c r="R404" s="4">
        <v>0</v>
      </c>
      <c r="S404" s="4" t="s">
        <v>314</v>
      </c>
      <c r="T404" s="4" t="s">
        <v>715</v>
      </c>
      <c r="U404" s="4">
        <v>21</v>
      </c>
      <c r="V404" s="4">
        <v>23</v>
      </c>
      <c r="W404" s="4">
        <v>81</v>
      </c>
    </row>
    <row r="405" spans="1:23" ht="11.25" customHeight="1" x14ac:dyDescent="0.25">
      <c r="A405" s="4" t="s">
        <v>27</v>
      </c>
      <c r="B405" s="4" t="s">
        <v>33</v>
      </c>
      <c r="C405" s="4" t="s">
        <v>41</v>
      </c>
      <c r="D405" s="4" t="s">
        <v>42</v>
      </c>
      <c r="E405" s="4" t="s">
        <v>25</v>
      </c>
      <c r="F405" s="4" t="s">
        <v>25</v>
      </c>
      <c r="G405" s="4" t="s">
        <v>25</v>
      </c>
      <c r="H405" s="4" t="s">
        <v>35</v>
      </c>
      <c r="I405" s="5">
        <v>43831</v>
      </c>
      <c r="J405" s="6">
        <v>269</v>
      </c>
      <c r="K405" s="6">
        <v>269</v>
      </c>
      <c r="L405" s="6">
        <v>13.717000000000001</v>
      </c>
      <c r="M405" s="6">
        <v>13.717000000000001</v>
      </c>
      <c r="N405" s="6">
        <v>13.717000000000001</v>
      </c>
      <c r="O405" s="6">
        <v>13.717000000000001</v>
      </c>
      <c r="P405" s="6">
        <v>0</v>
      </c>
      <c r="Q405" s="4" t="s">
        <v>26</v>
      </c>
      <c r="R405" s="4">
        <v>0</v>
      </c>
      <c r="S405" s="4" t="s">
        <v>314</v>
      </c>
      <c r="T405" s="4" t="s">
        <v>715</v>
      </c>
      <c r="U405" s="4">
        <v>21</v>
      </c>
      <c r="V405" s="4">
        <v>23</v>
      </c>
      <c r="W405" s="4">
        <v>81</v>
      </c>
    </row>
    <row r="406" spans="1:23" ht="11.25" customHeight="1" x14ac:dyDescent="0.25">
      <c r="A406" s="4" t="s">
        <v>28</v>
      </c>
      <c r="B406" s="4" t="s">
        <v>33</v>
      </c>
      <c r="C406" s="4" t="s">
        <v>41</v>
      </c>
      <c r="D406" s="4" t="s">
        <v>42</v>
      </c>
      <c r="E406" s="4" t="s">
        <v>25</v>
      </c>
      <c r="F406" s="4" t="s">
        <v>25</v>
      </c>
      <c r="G406" s="4" t="s">
        <v>25</v>
      </c>
      <c r="H406" s="4" t="s">
        <v>35</v>
      </c>
      <c r="I406" s="5">
        <v>43831</v>
      </c>
      <c r="J406" s="6">
        <v>550</v>
      </c>
      <c r="K406" s="6">
        <v>550</v>
      </c>
      <c r="L406" s="6">
        <v>22.585000000000001</v>
      </c>
      <c r="M406" s="6">
        <v>22.585000000000001</v>
      </c>
      <c r="N406" s="6">
        <v>22.585000000000001</v>
      </c>
      <c r="O406" s="6">
        <v>22.585000000000001</v>
      </c>
      <c r="P406" s="6">
        <v>0</v>
      </c>
      <c r="Q406" s="4" t="s">
        <v>26</v>
      </c>
      <c r="R406" s="4">
        <v>0</v>
      </c>
      <c r="S406" s="4" t="s">
        <v>314</v>
      </c>
      <c r="T406" s="4" t="s">
        <v>715</v>
      </c>
      <c r="U406" s="4">
        <v>21</v>
      </c>
      <c r="V406" s="4">
        <v>23</v>
      </c>
      <c r="W406" s="4">
        <v>81</v>
      </c>
    </row>
    <row r="407" spans="1:23" ht="11.25" customHeight="1" x14ac:dyDescent="0.25">
      <c r="A407" s="4" t="s">
        <v>21</v>
      </c>
      <c r="B407" s="4" t="s">
        <v>33</v>
      </c>
      <c r="C407" s="4" t="s">
        <v>41</v>
      </c>
      <c r="D407" s="4" t="s">
        <v>42</v>
      </c>
      <c r="E407" s="4" t="s">
        <v>25</v>
      </c>
      <c r="F407" s="4" t="s">
        <v>25</v>
      </c>
      <c r="G407" s="4" t="s">
        <v>25</v>
      </c>
      <c r="H407" s="4" t="s">
        <v>35</v>
      </c>
      <c r="I407" s="5">
        <v>43862</v>
      </c>
      <c r="J407" s="6">
        <v>39960</v>
      </c>
      <c r="K407" s="6">
        <v>39960</v>
      </c>
      <c r="L407" s="6">
        <v>1613.5989999999999</v>
      </c>
      <c r="M407" s="6">
        <v>1613.5989999999999</v>
      </c>
      <c r="N407" s="6">
        <v>1613.5989999999999</v>
      </c>
      <c r="O407" s="6">
        <v>1613.5989999999999</v>
      </c>
      <c r="P407" s="6">
        <v>0</v>
      </c>
      <c r="Q407" s="4" t="s">
        <v>26</v>
      </c>
      <c r="R407" s="4">
        <v>0</v>
      </c>
      <c r="S407" s="4" t="s">
        <v>315</v>
      </c>
      <c r="T407" s="4" t="s">
        <v>716</v>
      </c>
      <c r="U407" s="4">
        <v>21</v>
      </c>
      <c r="V407" s="4">
        <v>23</v>
      </c>
      <c r="W407" s="4">
        <v>81</v>
      </c>
    </row>
    <row r="408" spans="1:23" ht="11.25" customHeight="1" x14ac:dyDescent="0.25">
      <c r="A408" s="4" t="s">
        <v>27</v>
      </c>
      <c r="B408" s="4" t="s">
        <v>33</v>
      </c>
      <c r="C408" s="4" t="s">
        <v>41</v>
      </c>
      <c r="D408" s="4" t="s">
        <v>42</v>
      </c>
      <c r="E408" s="4" t="s">
        <v>25</v>
      </c>
      <c r="F408" s="4" t="s">
        <v>25</v>
      </c>
      <c r="G408" s="4" t="s">
        <v>25</v>
      </c>
      <c r="H408" s="4" t="s">
        <v>35</v>
      </c>
      <c r="I408" s="5">
        <v>43862</v>
      </c>
      <c r="J408" s="6">
        <v>213</v>
      </c>
      <c r="K408" s="6">
        <v>213</v>
      </c>
      <c r="L408" s="6">
        <v>12.025</v>
      </c>
      <c r="M408" s="6">
        <v>12.025</v>
      </c>
      <c r="N408" s="6">
        <v>12.025</v>
      </c>
      <c r="O408" s="6">
        <v>12.025</v>
      </c>
      <c r="P408" s="6">
        <v>0</v>
      </c>
      <c r="Q408" s="4" t="s">
        <v>26</v>
      </c>
      <c r="R408" s="4">
        <v>0</v>
      </c>
      <c r="S408" s="4" t="s">
        <v>315</v>
      </c>
      <c r="T408" s="4" t="s">
        <v>716</v>
      </c>
      <c r="U408" s="4">
        <v>21</v>
      </c>
      <c r="V408" s="4">
        <v>23</v>
      </c>
      <c r="W408" s="4">
        <v>81</v>
      </c>
    </row>
    <row r="409" spans="1:23" ht="11.25" customHeight="1" x14ac:dyDescent="0.25">
      <c r="A409" s="4" t="s">
        <v>28</v>
      </c>
      <c r="B409" s="4" t="s">
        <v>33</v>
      </c>
      <c r="C409" s="4" t="s">
        <v>41</v>
      </c>
      <c r="D409" s="4" t="s">
        <v>42</v>
      </c>
      <c r="E409" s="4" t="s">
        <v>25</v>
      </c>
      <c r="F409" s="4" t="s">
        <v>25</v>
      </c>
      <c r="G409" s="4" t="s">
        <v>25</v>
      </c>
      <c r="H409" s="4" t="s">
        <v>35</v>
      </c>
      <c r="I409" s="5">
        <v>43862</v>
      </c>
      <c r="J409" s="6">
        <v>550</v>
      </c>
      <c r="K409" s="6">
        <v>550</v>
      </c>
      <c r="L409" s="6">
        <v>25.530999999999999</v>
      </c>
      <c r="M409" s="6">
        <v>25.530999999999999</v>
      </c>
      <c r="N409" s="6">
        <v>25.530999999999999</v>
      </c>
      <c r="O409" s="6">
        <v>25.530999999999999</v>
      </c>
      <c r="P409" s="6">
        <v>0</v>
      </c>
      <c r="Q409" s="4" t="s">
        <v>26</v>
      </c>
      <c r="R409" s="4">
        <v>0</v>
      </c>
      <c r="S409" s="4" t="s">
        <v>315</v>
      </c>
      <c r="T409" s="4" t="s">
        <v>716</v>
      </c>
      <c r="U409" s="4">
        <v>21</v>
      </c>
      <c r="V409" s="4">
        <v>23</v>
      </c>
      <c r="W409" s="4">
        <v>81</v>
      </c>
    </row>
    <row r="410" spans="1:23" ht="11.25" customHeight="1" x14ac:dyDescent="0.25">
      <c r="A410" s="4" t="s">
        <v>21</v>
      </c>
      <c r="B410" s="4" t="s">
        <v>33</v>
      </c>
      <c r="C410" s="4" t="s">
        <v>41</v>
      </c>
      <c r="D410" s="4" t="s">
        <v>42</v>
      </c>
      <c r="E410" s="4" t="s">
        <v>25</v>
      </c>
      <c r="F410" s="4" t="s">
        <v>25</v>
      </c>
      <c r="G410" s="4" t="s">
        <v>25</v>
      </c>
      <c r="H410" s="4" t="s">
        <v>35</v>
      </c>
      <c r="I410" s="5">
        <v>43891</v>
      </c>
      <c r="J410" s="6">
        <v>40133</v>
      </c>
      <c r="K410" s="6">
        <v>40133</v>
      </c>
      <c r="L410" s="6">
        <v>1442.02</v>
      </c>
      <c r="M410" s="6">
        <v>1442.02</v>
      </c>
      <c r="N410" s="6">
        <v>1442.02</v>
      </c>
      <c r="O410" s="6">
        <v>1442.02</v>
      </c>
      <c r="P410" s="6">
        <v>0</v>
      </c>
      <c r="Q410" s="4" t="s">
        <v>26</v>
      </c>
      <c r="R410" s="4">
        <v>0</v>
      </c>
      <c r="S410" s="4" t="s">
        <v>316</v>
      </c>
      <c r="T410" s="4" t="s">
        <v>717</v>
      </c>
      <c r="U410" s="4">
        <v>21</v>
      </c>
      <c r="V410" s="4">
        <v>23</v>
      </c>
      <c r="W410" s="4">
        <v>81</v>
      </c>
    </row>
    <row r="411" spans="1:23" ht="11.25" customHeight="1" x14ac:dyDescent="0.25">
      <c r="A411" s="4" t="s">
        <v>28</v>
      </c>
      <c r="B411" s="4" t="s">
        <v>33</v>
      </c>
      <c r="C411" s="4" t="s">
        <v>41</v>
      </c>
      <c r="D411" s="4" t="s">
        <v>42</v>
      </c>
      <c r="E411" s="4" t="s">
        <v>25</v>
      </c>
      <c r="F411" s="4" t="s">
        <v>25</v>
      </c>
      <c r="G411" s="4" t="s">
        <v>25</v>
      </c>
      <c r="H411" s="4" t="s">
        <v>35</v>
      </c>
      <c r="I411" s="5">
        <v>43891</v>
      </c>
      <c r="J411" s="6">
        <v>550</v>
      </c>
      <c r="K411" s="6">
        <v>550</v>
      </c>
      <c r="L411" s="6">
        <v>22.544</v>
      </c>
      <c r="M411" s="6">
        <v>22.544</v>
      </c>
      <c r="N411" s="6">
        <v>22.544</v>
      </c>
      <c r="O411" s="6">
        <v>22.544</v>
      </c>
      <c r="P411" s="6">
        <v>0</v>
      </c>
      <c r="Q411" s="4" t="s">
        <v>26</v>
      </c>
      <c r="R411" s="4">
        <v>0</v>
      </c>
      <c r="S411" s="4" t="s">
        <v>316</v>
      </c>
      <c r="T411" s="4" t="s">
        <v>717</v>
      </c>
      <c r="U411" s="4">
        <v>21</v>
      </c>
      <c r="V411" s="4">
        <v>23</v>
      </c>
      <c r="W411" s="4">
        <v>81</v>
      </c>
    </row>
    <row r="412" spans="1:23" ht="11.25" customHeight="1" x14ac:dyDescent="0.25">
      <c r="A412" s="4" t="s">
        <v>21</v>
      </c>
      <c r="B412" s="4" t="s">
        <v>33</v>
      </c>
      <c r="C412" s="4" t="s">
        <v>41</v>
      </c>
      <c r="D412" s="4" t="s">
        <v>42</v>
      </c>
      <c r="E412" s="4" t="s">
        <v>25</v>
      </c>
      <c r="F412" s="4" t="s">
        <v>25</v>
      </c>
      <c r="G412" s="4" t="s">
        <v>25</v>
      </c>
      <c r="H412" s="4" t="s">
        <v>35</v>
      </c>
      <c r="I412" s="5">
        <v>43922</v>
      </c>
      <c r="J412" s="6">
        <v>40048</v>
      </c>
      <c r="K412" s="6">
        <v>40048</v>
      </c>
      <c r="L412" s="6">
        <v>1510.826</v>
      </c>
      <c r="M412" s="6">
        <v>1510.826</v>
      </c>
      <c r="N412" s="6">
        <v>1510.826</v>
      </c>
      <c r="O412" s="6">
        <v>1510.826</v>
      </c>
      <c r="P412" s="6">
        <v>0</v>
      </c>
      <c r="Q412" s="4" t="s">
        <v>26</v>
      </c>
      <c r="R412" s="4">
        <v>0</v>
      </c>
      <c r="S412" s="4" t="s">
        <v>317</v>
      </c>
      <c r="T412" s="4" t="s">
        <v>718</v>
      </c>
      <c r="U412" s="4">
        <v>21</v>
      </c>
      <c r="V412" s="4">
        <v>23</v>
      </c>
      <c r="W412" s="4">
        <v>81</v>
      </c>
    </row>
    <row r="413" spans="1:23" ht="11.25" customHeight="1" x14ac:dyDescent="0.25">
      <c r="A413" s="4" t="s">
        <v>27</v>
      </c>
      <c r="B413" s="4" t="s">
        <v>33</v>
      </c>
      <c r="C413" s="4" t="s">
        <v>41</v>
      </c>
      <c r="D413" s="4" t="s">
        <v>42</v>
      </c>
      <c r="E413" s="4" t="s">
        <v>25</v>
      </c>
      <c r="F413" s="4" t="s">
        <v>25</v>
      </c>
      <c r="G413" s="4" t="s">
        <v>25</v>
      </c>
      <c r="H413" s="4" t="s">
        <v>35</v>
      </c>
      <c r="I413" s="5">
        <v>43922</v>
      </c>
      <c r="J413" s="6">
        <v>30</v>
      </c>
      <c r="K413" s="6">
        <v>30</v>
      </c>
      <c r="L413" s="6">
        <v>0.48</v>
      </c>
      <c r="M413" s="6">
        <v>0.48</v>
      </c>
      <c r="N413" s="6">
        <v>0.48</v>
      </c>
      <c r="O413" s="6">
        <v>0.48</v>
      </c>
      <c r="P413" s="6">
        <v>0</v>
      </c>
      <c r="Q413" s="4" t="s">
        <v>26</v>
      </c>
      <c r="R413" s="4">
        <v>0</v>
      </c>
      <c r="S413" s="4" t="s">
        <v>317</v>
      </c>
      <c r="T413" s="4" t="s">
        <v>718</v>
      </c>
      <c r="U413" s="4">
        <v>21</v>
      </c>
      <c r="V413" s="4">
        <v>23</v>
      </c>
      <c r="W413" s="4">
        <v>81</v>
      </c>
    </row>
    <row r="414" spans="1:23" ht="11.25" customHeight="1" x14ac:dyDescent="0.25">
      <c r="A414" s="4" t="s">
        <v>28</v>
      </c>
      <c r="B414" s="4" t="s">
        <v>33</v>
      </c>
      <c r="C414" s="4" t="s">
        <v>41</v>
      </c>
      <c r="D414" s="4" t="s">
        <v>42</v>
      </c>
      <c r="E414" s="4" t="s">
        <v>25</v>
      </c>
      <c r="F414" s="4" t="s">
        <v>25</v>
      </c>
      <c r="G414" s="4" t="s">
        <v>25</v>
      </c>
      <c r="H414" s="4" t="s">
        <v>35</v>
      </c>
      <c r="I414" s="5">
        <v>43922</v>
      </c>
      <c r="J414" s="6">
        <v>550</v>
      </c>
      <c r="K414" s="6">
        <v>550</v>
      </c>
      <c r="L414" s="6">
        <v>16.998000000000001</v>
      </c>
      <c r="M414" s="6">
        <v>16.998000000000001</v>
      </c>
      <c r="N414" s="6">
        <v>16.998000000000001</v>
      </c>
      <c r="O414" s="6">
        <v>16.998000000000001</v>
      </c>
      <c r="P414" s="6">
        <v>0</v>
      </c>
      <c r="Q414" s="4" t="s">
        <v>26</v>
      </c>
      <c r="R414" s="4">
        <v>0</v>
      </c>
      <c r="S414" s="4" t="s">
        <v>317</v>
      </c>
      <c r="T414" s="4" t="s">
        <v>718</v>
      </c>
      <c r="U414" s="4">
        <v>21</v>
      </c>
      <c r="V414" s="4">
        <v>23</v>
      </c>
      <c r="W414" s="4">
        <v>81</v>
      </c>
    </row>
    <row r="415" spans="1:23" ht="11.25" customHeight="1" x14ac:dyDescent="0.25">
      <c r="A415" s="4" t="s">
        <v>21</v>
      </c>
      <c r="B415" s="4" t="s">
        <v>33</v>
      </c>
      <c r="C415" s="4" t="s">
        <v>41</v>
      </c>
      <c r="D415" s="4" t="s">
        <v>42</v>
      </c>
      <c r="E415" s="4" t="s">
        <v>25</v>
      </c>
      <c r="F415" s="4" t="s">
        <v>25</v>
      </c>
      <c r="G415" s="4" t="s">
        <v>25</v>
      </c>
      <c r="H415" s="4" t="s">
        <v>35</v>
      </c>
      <c r="I415" s="5">
        <v>43952</v>
      </c>
      <c r="J415" s="6">
        <v>38707</v>
      </c>
      <c r="K415" s="6">
        <v>38707</v>
      </c>
      <c r="L415" s="6">
        <v>1251.26</v>
      </c>
      <c r="M415" s="6">
        <v>1251.26</v>
      </c>
      <c r="N415" s="6">
        <v>1251.26</v>
      </c>
      <c r="O415" s="6">
        <v>1251.26</v>
      </c>
      <c r="P415" s="6">
        <v>0</v>
      </c>
      <c r="Q415" s="4" t="s">
        <v>26</v>
      </c>
      <c r="R415" s="4">
        <v>0</v>
      </c>
      <c r="S415" s="4" t="s">
        <v>318</v>
      </c>
      <c r="T415" s="4" t="s">
        <v>719</v>
      </c>
      <c r="U415" s="4">
        <v>21</v>
      </c>
      <c r="V415" s="4">
        <v>23</v>
      </c>
      <c r="W415" s="4">
        <v>81</v>
      </c>
    </row>
    <row r="416" spans="1:23" ht="11.25" customHeight="1" x14ac:dyDescent="0.25">
      <c r="A416" s="4" t="s">
        <v>27</v>
      </c>
      <c r="B416" s="4" t="s">
        <v>33</v>
      </c>
      <c r="C416" s="4" t="s">
        <v>41</v>
      </c>
      <c r="D416" s="4" t="s">
        <v>42</v>
      </c>
      <c r="E416" s="4" t="s">
        <v>25</v>
      </c>
      <c r="F416" s="4" t="s">
        <v>25</v>
      </c>
      <c r="G416" s="4" t="s">
        <v>25</v>
      </c>
      <c r="H416" s="4" t="s">
        <v>35</v>
      </c>
      <c r="I416" s="5">
        <v>43952</v>
      </c>
      <c r="J416" s="6">
        <v>793</v>
      </c>
      <c r="K416" s="6">
        <v>793</v>
      </c>
      <c r="L416" s="6">
        <v>38.277999999999999</v>
      </c>
      <c r="M416" s="6">
        <v>38.277999999999999</v>
      </c>
      <c r="N416" s="6">
        <v>38.277999999999999</v>
      </c>
      <c r="O416" s="6">
        <v>38.277999999999999</v>
      </c>
      <c r="P416" s="6">
        <v>0</v>
      </c>
      <c r="Q416" s="4" t="s">
        <v>26</v>
      </c>
      <c r="R416" s="4">
        <v>0</v>
      </c>
      <c r="S416" s="4" t="s">
        <v>318</v>
      </c>
      <c r="T416" s="4" t="s">
        <v>719</v>
      </c>
      <c r="U416" s="4">
        <v>21</v>
      </c>
      <c r="V416" s="4">
        <v>23</v>
      </c>
      <c r="W416" s="4">
        <v>81</v>
      </c>
    </row>
    <row r="417" spans="1:23" ht="11.25" customHeight="1" x14ac:dyDescent="0.25">
      <c r="A417" s="4" t="s">
        <v>28</v>
      </c>
      <c r="B417" s="4" t="s">
        <v>33</v>
      </c>
      <c r="C417" s="4" t="s">
        <v>41</v>
      </c>
      <c r="D417" s="4" t="s">
        <v>42</v>
      </c>
      <c r="E417" s="4" t="s">
        <v>25</v>
      </c>
      <c r="F417" s="4" t="s">
        <v>25</v>
      </c>
      <c r="G417" s="4" t="s">
        <v>25</v>
      </c>
      <c r="H417" s="4" t="s">
        <v>35</v>
      </c>
      <c r="I417" s="5">
        <v>43952</v>
      </c>
      <c r="J417" s="6">
        <v>550</v>
      </c>
      <c r="K417" s="6">
        <v>550</v>
      </c>
      <c r="L417" s="6">
        <v>11.62</v>
      </c>
      <c r="M417" s="6">
        <v>11.62</v>
      </c>
      <c r="N417" s="6">
        <v>11.62</v>
      </c>
      <c r="O417" s="6">
        <v>11.62</v>
      </c>
      <c r="P417" s="6">
        <v>0</v>
      </c>
      <c r="Q417" s="4" t="s">
        <v>26</v>
      </c>
      <c r="R417" s="4">
        <v>0</v>
      </c>
      <c r="S417" s="4" t="s">
        <v>318</v>
      </c>
      <c r="T417" s="4" t="s">
        <v>719</v>
      </c>
      <c r="U417" s="4">
        <v>21</v>
      </c>
      <c r="V417" s="4">
        <v>23</v>
      </c>
      <c r="W417" s="4">
        <v>81</v>
      </c>
    </row>
    <row r="418" spans="1:23" ht="11.25" customHeight="1" x14ac:dyDescent="0.25">
      <c r="A418" s="4" t="s">
        <v>21</v>
      </c>
      <c r="B418" s="4" t="s">
        <v>33</v>
      </c>
      <c r="C418" s="4" t="s">
        <v>41</v>
      </c>
      <c r="D418" s="4" t="s">
        <v>42</v>
      </c>
      <c r="E418" s="4" t="s">
        <v>25</v>
      </c>
      <c r="F418" s="4" t="s">
        <v>25</v>
      </c>
      <c r="G418" s="4" t="s">
        <v>25</v>
      </c>
      <c r="H418" s="4" t="s">
        <v>35</v>
      </c>
      <c r="I418" s="5">
        <v>43983</v>
      </c>
      <c r="J418" s="6">
        <v>38054</v>
      </c>
      <c r="K418" s="6">
        <v>38054</v>
      </c>
      <c r="L418" s="6">
        <v>1285.4390000000001</v>
      </c>
      <c r="M418" s="6">
        <v>1285.4390000000001</v>
      </c>
      <c r="N418" s="6">
        <v>1285.4390000000001</v>
      </c>
      <c r="O418" s="6">
        <v>1285.4390000000001</v>
      </c>
      <c r="P418" s="6">
        <v>0</v>
      </c>
      <c r="Q418" s="4" t="s">
        <v>26</v>
      </c>
      <c r="R418" s="4">
        <v>0</v>
      </c>
      <c r="S418" s="4" t="s">
        <v>319</v>
      </c>
      <c r="T418" s="4" t="s">
        <v>720</v>
      </c>
      <c r="U418" s="4">
        <v>21</v>
      </c>
      <c r="V418" s="4">
        <v>23</v>
      </c>
      <c r="W418" s="4">
        <v>81</v>
      </c>
    </row>
    <row r="419" spans="1:23" ht="11.25" customHeight="1" x14ac:dyDescent="0.25">
      <c r="A419" s="4" t="s">
        <v>27</v>
      </c>
      <c r="B419" s="4" t="s">
        <v>33</v>
      </c>
      <c r="C419" s="4" t="s">
        <v>41</v>
      </c>
      <c r="D419" s="4" t="s">
        <v>42</v>
      </c>
      <c r="E419" s="4" t="s">
        <v>25</v>
      </c>
      <c r="F419" s="4" t="s">
        <v>25</v>
      </c>
      <c r="G419" s="4" t="s">
        <v>25</v>
      </c>
      <c r="H419" s="4" t="s">
        <v>35</v>
      </c>
      <c r="I419" s="5">
        <v>43983</v>
      </c>
      <c r="J419" s="6">
        <v>574</v>
      </c>
      <c r="K419" s="6">
        <v>574</v>
      </c>
      <c r="L419" s="6">
        <v>15.385999999999999</v>
      </c>
      <c r="M419" s="6">
        <v>15.385999999999999</v>
      </c>
      <c r="N419" s="6">
        <v>15.385999999999999</v>
      </c>
      <c r="O419" s="6">
        <v>15.385999999999999</v>
      </c>
      <c r="P419" s="6">
        <v>0</v>
      </c>
      <c r="Q419" s="4" t="s">
        <v>26</v>
      </c>
      <c r="R419" s="4">
        <v>0</v>
      </c>
      <c r="S419" s="4" t="s">
        <v>319</v>
      </c>
      <c r="T419" s="4" t="s">
        <v>720</v>
      </c>
      <c r="U419" s="4">
        <v>21</v>
      </c>
      <c r="V419" s="4">
        <v>23</v>
      </c>
      <c r="W419" s="4">
        <v>81</v>
      </c>
    </row>
    <row r="420" spans="1:23" ht="11.25" customHeight="1" x14ac:dyDescent="0.25">
      <c r="A420" s="4" t="s">
        <v>28</v>
      </c>
      <c r="B420" s="4" t="s">
        <v>33</v>
      </c>
      <c r="C420" s="4" t="s">
        <v>41</v>
      </c>
      <c r="D420" s="4" t="s">
        <v>42</v>
      </c>
      <c r="E420" s="4" t="s">
        <v>25</v>
      </c>
      <c r="F420" s="4" t="s">
        <v>25</v>
      </c>
      <c r="G420" s="4" t="s">
        <v>25</v>
      </c>
      <c r="H420" s="4" t="s">
        <v>35</v>
      </c>
      <c r="I420" s="5">
        <v>43983</v>
      </c>
      <c r="J420" s="6">
        <v>550</v>
      </c>
      <c r="K420" s="6">
        <v>550</v>
      </c>
      <c r="L420" s="6">
        <v>11.984</v>
      </c>
      <c r="M420" s="6">
        <v>11.984</v>
      </c>
      <c r="N420" s="6">
        <v>11.984</v>
      </c>
      <c r="O420" s="6">
        <v>11.984</v>
      </c>
      <c r="P420" s="6">
        <v>0</v>
      </c>
      <c r="Q420" s="4" t="s">
        <v>26</v>
      </c>
      <c r="R420" s="4">
        <v>0</v>
      </c>
      <c r="S420" s="4" t="s">
        <v>319</v>
      </c>
      <c r="T420" s="4" t="s">
        <v>720</v>
      </c>
      <c r="U420" s="4">
        <v>21</v>
      </c>
      <c r="V420" s="4">
        <v>23</v>
      </c>
      <c r="W420" s="4">
        <v>81</v>
      </c>
    </row>
    <row r="421" spans="1:23" ht="11.25" customHeight="1" x14ac:dyDescent="0.25">
      <c r="A421" s="4" t="s">
        <v>21</v>
      </c>
      <c r="B421" s="4" t="s">
        <v>33</v>
      </c>
      <c r="C421" s="4" t="s">
        <v>41</v>
      </c>
      <c r="D421" s="4" t="s">
        <v>42</v>
      </c>
      <c r="E421" s="4" t="s">
        <v>25</v>
      </c>
      <c r="F421" s="4" t="s">
        <v>25</v>
      </c>
      <c r="G421" s="4" t="s">
        <v>25</v>
      </c>
      <c r="H421" s="4" t="s">
        <v>35</v>
      </c>
      <c r="I421" s="5">
        <v>44013</v>
      </c>
      <c r="J421" s="6">
        <v>39322</v>
      </c>
      <c r="K421" s="6">
        <v>39322</v>
      </c>
      <c r="L421" s="6">
        <v>1273.614</v>
      </c>
      <c r="M421" s="6">
        <v>1273.614</v>
      </c>
      <c r="N421" s="6">
        <v>1273.614</v>
      </c>
      <c r="O421" s="6">
        <v>1273.614</v>
      </c>
      <c r="P421" s="6">
        <v>0</v>
      </c>
      <c r="Q421" s="4" t="s">
        <v>26</v>
      </c>
      <c r="R421" s="4">
        <v>0</v>
      </c>
      <c r="S421" s="4" t="s">
        <v>320</v>
      </c>
      <c r="T421" s="4" t="s">
        <v>721</v>
      </c>
      <c r="U421" s="4">
        <v>21</v>
      </c>
      <c r="V421" s="4">
        <v>23</v>
      </c>
      <c r="W421" s="4">
        <v>81</v>
      </c>
    </row>
    <row r="422" spans="1:23" ht="11.25" customHeight="1" x14ac:dyDescent="0.25">
      <c r="A422" s="4" t="s">
        <v>28</v>
      </c>
      <c r="B422" s="4" t="s">
        <v>33</v>
      </c>
      <c r="C422" s="4" t="s">
        <v>41</v>
      </c>
      <c r="D422" s="4" t="s">
        <v>42</v>
      </c>
      <c r="E422" s="4" t="s">
        <v>25</v>
      </c>
      <c r="F422" s="4" t="s">
        <v>25</v>
      </c>
      <c r="G422" s="4" t="s">
        <v>25</v>
      </c>
      <c r="H422" s="4" t="s">
        <v>35</v>
      </c>
      <c r="I422" s="5">
        <v>44013</v>
      </c>
      <c r="J422" s="6">
        <v>550</v>
      </c>
      <c r="K422" s="6">
        <v>550</v>
      </c>
      <c r="L422" s="6">
        <v>12.045999999999999</v>
      </c>
      <c r="M422" s="6">
        <v>12.045999999999999</v>
      </c>
      <c r="N422" s="6">
        <v>12.045999999999999</v>
      </c>
      <c r="O422" s="6">
        <v>12.045999999999999</v>
      </c>
      <c r="P422" s="6">
        <v>0</v>
      </c>
      <c r="Q422" s="4" t="s">
        <v>26</v>
      </c>
      <c r="R422" s="4">
        <v>0</v>
      </c>
      <c r="S422" s="4" t="s">
        <v>320</v>
      </c>
      <c r="T422" s="4" t="s">
        <v>721</v>
      </c>
      <c r="U422" s="4">
        <v>21</v>
      </c>
      <c r="V422" s="4">
        <v>23</v>
      </c>
      <c r="W422" s="4">
        <v>81</v>
      </c>
    </row>
    <row r="423" spans="1:23" ht="11.25" customHeight="1" x14ac:dyDescent="0.25">
      <c r="A423" s="4" t="s">
        <v>21</v>
      </c>
      <c r="B423" s="4" t="s">
        <v>33</v>
      </c>
      <c r="C423" s="4" t="s">
        <v>41</v>
      </c>
      <c r="D423" s="4" t="s">
        <v>42</v>
      </c>
      <c r="E423" s="4" t="s">
        <v>25</v>
      </c>
      <c r="F423" s="4" t="s">
        <v>25</v>
      </c>
      <c r="G423" s="4" t="s">
        <v>25</v>
      </c>
      <c r="H423" s="4" t="s">
        <v>35</v>
      </c>
      <c r="I423" s="5">
        <v>44044</v>
      </c>
      <c r="J423" s="6">
        <v>39404</v>
      </c>
      <c r="K423" s="6">
        <v>39404</v>
      </c>
      <c r="L423" s="6">
        <v>1343.49</v>
      </c>
      <c r="M423" s="6">
        <v>1343.49</v>
      </c>
      <c r="N423" s="6">
        <v>1343.49</v>
      </c>
      <c r="O423" s="6">
        <v>1343.49</v>
      </c>
      <c r="P423" s="6">
        <v>0</v>
      </c>
      <c r="Q423" s="4" t="s">
        <v>26</v>
      </c>
      <c r="R423" s="4">
        <v>0</v>
      </c>
      <c r="S423" s="4" t="s">
        <v>321</v>
      </c>
      <c r="T423" s="4" t="s">
        <v>722</v>
      </c>
      <c r="U423" s="4">
        <v>21</v>
      </c>
      <c r="V423" s="4">
        <v>23</v>
      </c>
      <c r="W423" s="4">
        <v>81</v>
      </c>
    </row>
    <row r="424" spans="1:23" ht="11.25" customHeight="1" x14ac:dyDescent="0.25">
      <c r="A424" s="4" t="s">
        <v>28</v>
      </c>
      <c r="B424" s="4" t="s">
        <v>33</v>
      </c>
      <c r="C424" s="4" t="s">
        <v>41</v>
      </c>
      <c r="D424" s="4" t="s">
        <v>42</v>
      </c>
      <c r="E424" s="4" t="s">
        <v>25</v>
      </c>
      <c r="F424" s="4" t="s">
        <v>25</v>
      </c>
      <c r="G424" s="4" t="s">
        <v>25</v>
      </c>
      <c r="H424" s="4" t="s">
        <v>35</v>
      </c>
      <c r="I424" s="5">
        <v>44044</v>
      </c>
      <c r="J424" s="6">
        <v>550</v>
      </c>
      <c r="K424" s="6">
        <v>550</v>
      </c>
      <c r="L424" s="6">
        <v>16.231000000000002</v>
      </c>
      <c r="M424" s="6">
        <v>16.231000000000002</v>
      </c>
      <c r="N424" s="6">
        <v>16.231000000000002</v>
      </c>
      <c r="O424" s="6">
        <v>16.231000000000002</v>
      </c>
      <c r="P424" s="6">
        <v>0</v>
      </c>
      <c r="Q424" s="4" t="s">
        <v>26</v>
      </c>
      <c r="R424" s="4">
        <v>0</v>
      </c>
      <c r="S424" s="4" t="s">
        <v>321</v>
      </c>
      <c r="T424" s="4" t="s">
        <v>722</v>
      </c>
      <c r="U424" s="4">
        <v>21</v>
      </c>
      <c r="V424" s="4">
        <v>23</v>
      </c>
      <c r="W424" s="4">
        <v>81</v>
      </c>
    </row>
    <row r="425" spans="1:23" ht="11.25" customHeight="1" x14ac:dyDescent="0.25">
      <c r="A425" s="4" t="s">
        <v>59</v>
      </c>
      <c r="B425" s="4" t="s">
        <v>33</v>
      </c>
      <c r="C425" s="4" t="s">
        <v>41</v>
      </c>
      <c r="D425" s="4" t="s">
        <v>42</v>
      </c>
      <c r="E425" s="4" t="s">
        <v>25</v>
      </c>
      <c r="F425" s="4" t="s">
        <v>25</v>
      </c>
      <c r="G425" s="4" t="s">
        <v>25</v>
      </c>
      <c r="H425" s="4" t="s">
        <v>35</v>
      </c>
      <c r="I425" s="5">
        <v>44075</v>
      </c>
      <c r="J425" s="6">
        <v>39404</v>
      </c>
      <c r="K425" s="6">
        <v>39404</v>
      </c>
      <c r="L425" s="6">
        <v>1343.49</v>
      </c>
      <c r="M425" s="6">
        <v>1343.49</v>
      </c>
      <c r="N425" s="6">
        <v>1343.49</v>
      </c>
      <c r="O425" s="6">
        <v>1343.49</v>
      </c>
      <c r="P425" s="6">
        <v>0</v>
      </c>
      <c r="Q425" s="4" t="s">
        <v>26</v>
      </c>
      <c r="R425" s="4">
        <v>0</v>
      </c>
      <c r="S425" s="4" t="s">
        <v>322</v>
      </c>
      <c r="T425" s="4" t="s">
        <v>723</v>
      </c>
      <c r="U425" s="4">
        <v>21</v>
      </c>
      <c r="V425" s="4">
        <v>23</v>
      </c>
      <c r="W425" s="4">
        <v>81</v>
      </c>
    </row>
    <row r="426" spans="1:23" ht="11.25" customHeight="1" x14ac:dyDescent="0.25">
      <c r="A426" s="4" t="s">
        <v>59</v>
      </c>
      <c r="B426" s="4" t="s">
        <v>33</v>
      </c>
      <c r="C426" s="4" t="s">
        <v>41</v>
      </c>
      <c r="D426" s="4" t="s">
        <v>42</v>
      </c>
      <c r="E426" s="4" t="s">
        <v>25</v>
      </c>
      <c r="F426" s="4" t="s">
        <v>25</v>
      </c>
      <c r="G426" s="4" t="s">
        <v>25</v>
      </c>
      <c r="H426" s="4" t="s">
        <v>35</v>
      </c>
      <c r="I426" s="5">
        <v>44075</v>
      </c>
      <c r="J426" s="6">
        <v>550</v>
      </c>
      <c r="K426" s="6">
        <v>550</v>
      </c>
      <c r="L426" s="6">
        <v>16.231000000000002</v>
      </c>
      <c r="M426" s="6">
        <v>16.231000000000002</v>
      </c>
      <c r="N426" s="6">
        <v>16.231000000000002</v>
      </c>
      <c r="O426" s="6">
        <v>16.231000000000002</v>
      </c>
      <c r="P426" s="6">
        <v>0</v>
      </c>
      <c r="Q426" s="4" t="s">
        <v>26</v>
      </c>
      <c r="R426" s="4">
        <v>0</v>
      </c>
      <c r="S426" s="4" t="s">
        <v>322</v>
      </c>
      <c r="T426" s="4" t="s">
        <v>723</v>
      </c>
      <c r="U426" s="4">
        <v>21</v>
      </c>
      <c r="V426" s="4">
        <v>23</v>
      </c>
      <c r="W426" s="4">
        <v>81</v>
      </c>
    </row>
    <row r="427" spans="1:23" ht="11.25" customHeight="1" x14ac:dyDescent="0.25">
      <c r="A427" s="4" t="s">
        <v>21</v>
      </c>
      <c r="B427" s="4" t="s">
        <v>33</v>
      </c>
      <c r="C427" s="4" t="s">
        <v>41</v>
      </c>
      <c r="D427" s="4" t="s">
        <v>40</v>
      </c>
      <c r="E427" s="4" t="s">
        <v>25</v>
      </c>
      <c r="F427" s="4" t="s">
        <v>63</v>
      </c>
      <c r="G427" s="4" t="s">
        <v>25</v>
      </c>
      <c r="H427" s="4" t="s">
        <v>36</v>
      </c>
      <c r="I427" s="5">
        <v>43739</v>
      </c>
      <c r="J427" s="6">
        <v>44514</v>
      </c>
      <c r="K427" s="6">
        <v>32208.162123059999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4" t="s">
        <v>60</v>
      </c>
      <c r="R427" s="4">
        <v>0</v>
      </c>
      <c r="S427" s="4" t="s">
        <v>299</v>
      </c>
      <c r="U427" s="4">
        <v>22</v>
      </c>
      <c r="V427" s="4">
        <v>0</v>
      </c>
      <c r="W427" s="4">
        <v>0</v>
      </c>
    </row>
    <row r="428" spans="1:23" ht="11.25" customHeight="1" x14ac:dyDescent="0.25">
      <c r="A428" s="4" t="s">
        <v>21</v>
      </c>
      <c r="B428" s="4" t="s">
        <v>33</v>
      </c>
      <c r="C428" s="4" t="s">
        <v>41</v>
      </c>
      <c r="D428" s="4" t="s">
        <v>40</v>
      </c>
      <c r="E428" s="4" t="s">
        <v>25</v>
      </c>
      <c r="F428" s="4" t="s">
        <v>63</v>
      </c>
      <c r="G428" s="4" t="s">
        <v>25</v>
      </c>
      <c r="H428" s="4" t="s">
        <v>36</v>
      </c>
      <c r="I428" s="5">
        <v>43770</v>
      </c>
      <c r="J428" s="6">
        <v>45464</v>
      </c>
      <c r="K428" s="6">
        <v>32887.834701599997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4" t="s">
        <v>60</v>
      </c>
      <c r="R428" s="4">
        <v>0</v>
      </c>
      <c r="S428" s="4" t="s">
        <v>300</v>
      </c>
      <c r="U428" s="4">
        <v>22</v>
      </c>
      <c r="V428" s="4">
        <v>0</v>
      </c>
      <c r="W428" s="4">
        <v>0</v>
      </c>
    </row>
    <row r="429" spans="1:23" ht="11.25" customHeight="1" x14ac:dyDescent="0.25">
      <c r="A429" s="4" t="s">
        <v>21</v>
      </c>
      <c r="B429" s="4" t="s">
        <v>33</v>
      </c>
      <c r="C429" s="4" t="s">
        <v>41</v>
      </c>
      <c r="D429" s="4" t="s">
        <v>40</v>
      </c>
      <c r="E429" s="4" t="s">
        <v>25</v>
      </c>
      <c r="F429" s="4" t="s">
        <v>63</v>
      </c>
      <c r="G429" s="4" t="s">
        <v>25</v>
      </c>
      <c r="H429" s="4" t="s">
        <v>36</v>
      </c>
      <c r="I429" s="5">
        <v>43800</v>
      </c>
      <c r="J429" s="6">
        <v>45464</v>
      </c>
      <c r="K429" s="6">
        <v>32994.665554159998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4" t="s">
        <v>60</v>
      </c>
      <c r="R429" s="4">
        <v>0</v>
      </c>
      <c r="S429" s="4" t="s">
        <v>301</v>
      </c>
      <c r="U429" s="4">
        <v>22</v>
      </c>
      <c r="V429" s="4">
        <v>0</v>
      </c>
      <c r="W429" s="4">
        <v>0</v>
      </c>
    </row>
    <row r="430" spans="1:23" ht="11.25" customHeight="1" x14ac:dyDescent="0.25">
      <c r="A430" s="4" t="s">
        <v>21</v>
      </c>
      <c r="B430" s="4" t="s">
        <v>33</v>
      </c>
      <c r="C430" s="4" t="s">
        <v>41</v>
      </c>
      <c r="D430" s="4" t="s">
        <v>40</v>
      </c>
      <c r="E430" s="4" t="s">
        <v>25</v>
      </c>
      <c r="F430" s="4" t="s">
        <v>63</v>
      </c>
      <c r="G430" s="4" t="s">
        <v>25</v>
      </c>
      <c r="H430" s="4" t="s">
        <v>36</v>
      </c>
      <c r="I430" s="5">
        <v>43831</v>
      </c>
      <c r="J430" s="6">
        <v>46480</v>
      </c>
      <c r="K430" s="6">
        <v>33682.745263999997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4" t="s">
        <v>60</v>
      </c>
      <c r="R430" s="4">
        <v>0</v>
      </c>
      <c r="S430" s="4" t="s">
        <v>302</v>
      </c>
      <c r="U430" s="4">
        <v>22</v>
      </c>
      <c r="V430" s="4">
        <v>0</v>
      </c>
      <c r="W430" s="4">
        <v>0</v>
      </c>
    </row>
    <row r="431" spans="1:23" ht="11.25" customHeight="1" x14ac:dyDescent="0.25">
      <c r="A431" s="4" t="s">
        <v>21</v>
      </c>
      <c r="B431" s="4" t="s">
        <v>33</v>
      </c>
      <c r="C431" s="4" t="s">
        <v>41</v>
      </c>
      <c r="D431" s="4" t="s">
        <v>40</v>
      </c>
      <c r="E431" s="4" t="s">
        <v>25</v>
      </c>
      <c r="F431" s="4" t="s">
        <v>63</v>
      </c>
      <c r="G431" s="4" t="s">
        <v>25</v>
      </c>
      <c r="H431" s="4" t="s">
        <v>36</v>
      </c>
      <c r="I431" s="5">
        <v>43862</v>
      </c>
      <c r="J431" s="6">
        <v>46780</v>
      </c>
      <c r="K431" s="6">
        <v>33733.502877799998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4" t="s">
        <v>60</v>
      </c>
      <c r="R431" s="4">
        <v>0</v>
      </c>
      <c r="S431" s="4" t="s">
        <v>303</v>
      </c>
      <c r="U431" s="4">
        <v>22</v>
      </c>
      <c r="V431" s="4">
        <v>0</v>
      </c>
      <c r="W431" s="4">
        <v>0</v>
      </c>
    </row>
    <row r="432" spans="1:23" ht="11.25" customHeight="1" x14ac:dyDescent="0.25">
      <c r="A432" s="4" t="s">
        <v>21</v>
      </c>
      <c r="B432" s="4" t="s">
        <v>33</v>
      </c>
      <c r="C432" s="4" t="s">
        <v>41</v>
      </c>
      <c r="D432" s="4" t="s">
        <v>40</v>
      </c>
      <c r="E432" s="4" t="s">
        <v>25</v>
      </c>
      <c r="F432" s="4" t="s">
        <v>63</v>
      </c>
      <c r="G432" s="4" t="s">
        <v>25</v>
      </c>
      <c r="H432" s="4" t="s">
        <v>36</v>
      </c>
      <c r="I432" s="5">
        <v>43891</v>
      </c>
      <c r="J432" s="6">
        <v>46293</v>
      </c>
      <c r="K432" s="6">
        <v>35032.826318489999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4" t="s">
        <v>60</v>
      </c>
      <c r="R432" s="4">
        <v>0</v>
      </c>
      <c r="S432" s="4" t="s">
        <v>304</v>
      </c>
      <c r="U432" s="4">
        <v>22</v>
      </c>
      <c r="V432" s="4">
        <v>0</v>
      </c>
      <c r="W432" s="4">
        <v>0</v>
      </c>
    </row>
    <row r="433" spans="1:23" ht="11.25" customHeight="1" x14ac:dyDescent="0.25">
      <c r="A433" s="4" t="s">
        <v>21</v>
      </c>
      <c r="B433" s="4" t="s">
        <v>33</v>
      </c>
      <c r="C433" s="4" t="s">
        <v>41</v>
      </c>
      <c r="D433" s="4" t="s">
        <v>40</v>
      </c>
      <c r="E433" s="4" t="s">
        <v>25</v>
      </c>
      <c r="F433" s="4" t="s">
        <v>63</v>
      </c>
      <c r="G433" s="4" t="s">
        <v>25</v>
      </c>
      <c r="H433" s="4" t="s">
        <v>36</v>
      </c>
      <c r="I433" s="5">
        <v>43922</v>
      </c>
      <c r="J433" s="6">
        <v>46409</v>
      </c>
      <c r="K433" s="6">
        <v>34877.248983719997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4" t="s">
        <v>60</v>
      </c>
      <c r="R433" s="4">
        <v>0</v>
      </c>
      <c r="S433" s="4" t="s">
        <v>305</v>
      </c>
      <c r="U433" s="4">
        <v>22</v>
      </c>
      <c r="V433" s="4">
        <v>0</v>
      </c>
      <c r="W433" s="4">
        <v>0</v>
      </c>
    </row>
    <row r="434" spans="1:23" ht="11.25" customHeight="1" x14ac:dyDescent="0.25">
      <c r="A434" s="4" t="s">
        <v>21</v>
      </c>
      <c r="B434" s="4" t="s">
        <v>33</v>
      </c>
      <c r="C434" s="4" t="s">
        <v>41</v>
      </c>
      <c r="D434" s="4" t="s">
        <v>40</v>
      </c>
      <c r="E434" s="4" t="s">
        <v>25</v>
      </c>
      <c r="F434" s="4" t="s">
        <v>63</v>
      </c>
      <c r="G434" s="4" t="s">
        <v>25</v>
      </c>
      <c r="H434" s="4" t="s">
        <v>36</v>
      </c>
      <c r="I434" s="5">
        <v>43952</v>
      </c>
      <c r="J434" s="6">
        <v>41910</v>
      </c>
      <c r="K434" s="6">
        <v>31494.346587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4" t="s">
        <v>60</v>
      </c>
      <c r="R434" s="4">
        <v>0</v>
      </c>
      <c r="S434" s="4" t="s">
        <v>306</v>
      </c>
      <c r="U434" s="4">
        <v>22</v>
      </c>
      <c r="V434" s="4">
        <v>0</v>
      </c>
      <c r="W434" s="4">
        <v>0</v>
      </c>
    </row>
    <row r="435" spans="1:23" ht="11.25" customHeight="1" x14ac:dyDescent="0.25">
      <c r="A435" s="4" t="s">
        <v>21</v>
      </c>
      <c r="B435" s="4" t="s">
        <v>33</v>
      </c>
      <c r="C435" s="4" t="s">
        <v>41</v>
      </c>
      <c r="D435" s="4" t="s">
        <v>40</v>
      </c>
      <c r="E435" s="4" t="s">
        <v>25</v>
      </c>
      <c r="F435" s="4" t="s">
        <v>63</v>
      </c>
      <c r="G435" s="4" t="s">
        <v>25</v>
      </c>
      <c r="H435" s="4" t="s">
        <v>36</v>
      </c>
      <c r="I435" s="5">
        <v>43983</v>
      </c>
      <c r="J435" s="6">
        <v>41910</v>
      </c>
      <c r="K435" s="6">
        <v>30967.857241199999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4" t="s">
        <v>60</v>
      </c>
      <c r="R435" s="4">
        <v>0</v>
      </c>
      <c r="S435" s="4" t="s">
        <v>307</v>
      </c>
      <c r="U435" s="4">
        <v>22</v>
      </c>
      <c r="V435" s="4">
        <v>0</v>
      </c>
      <c r="W435" s="4">
        <v>0</v>
      </c>
    </row>
    <row r="436" spans="1:23" ht="11.25" customHeight="1" x14ac:dyDescent="0.25">
      <c r="A436" s="4" t="s">
        <v>21</v>
      </c>
      <c r="B436" s="4" t="s">
        <v>33</v>
      </c>
      <c r="C436" s="4" t="s">
        <v>41</v>
      </c>
      <c r="D436" s="4" t="s">
        <v>40</v>
      </c>
      <c r="E436" s="4" t="s">
        <v>25</v>
      </c>
      <c r="F436" s="4" t="s">
        <v>63</v>
      </c>
      <c r="G436" s="4" t="s">
        <v>25</v>
      </c>
      <c r="H436" s="4" t="s">
        <v>36</v>
      </c>
      <c r="I436" s="5">
        <v>44013</v>
      </c>
      <c r="J436" s="6">
        <v>44011</v>
      </c>
      <c r="K436" s="6">
        <v>32106.63053147</v>
      </c>
      <c r="L436" s="6">
        <v>0</v>
      </c>
      <c r="M436" s="6">
        <v>0</v>
      </c>
      <c r="N436" s="6">
        <v>0</v>
      </c>
      <c r="O436" s="6">
        <v>0</v>
      </c>
      <c r="P436" s="6">
        <v>0</v>
      </c>
      <c r="Q436" s="4" t="s">
        <v>60</v>
      </c>
      <c r="R436" s="4">
        <v>0</v>
      </c>
      <c r="S436" s="4" t="s">
        <v>308</v>
      </c>
      <c r="U436" s="4">
        <v>22</v>
      </c>
      <c r="V436" s="4">
        <v>0</v>
      </c>
      <c r="W436" s="4">
        <v>0</v>
      </c>
    </row>
    <row r="437" spans="1:23" ht="11.25" customHeight="1" x14ac:dyDescent="0.25">
      <c r="A437" s="4" t="s">
        <v>21</v>
      </c>
      <c r="B437" s="4" t="s">
        <v>33</v>
      </c>
      <c r="C437" s="4" t="s">
        <v>41</v>
      </c>
      <c r="D437" s="4" t="s">
        <v>40</v>
      </c>
      <c r="E437" s="4" t="s">
        <v>25</v>
      </c>
      <c r="F437" s="4" t="s">
        <v>63</v>
      </c>
      <c r="G437" s="4" t="s">
        <v>25</v>
      </c>
      <c r="H437" s="4" t="s">
        <v>36</v>
      </c>
      <c r="I437" s="5">
        <v>44044</v>
      </c>
      <c r="J437" s="6">
        <v>44798</v>
      </c>
      <c r="K437" s="6">
        <v>33598.5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4" t="s">
        <v>60</v>
      </c>
      <c r="R437" s="4">
        <v>0</v>
      </c>
      <c r="S437" s="4" t="s">
        <v>309</v>
      </c>
      <c r="U437" s="4">
        <v>22</v>
      </c>
      <c r="V437" s="4">
        <v>0</v>
      </c>
      <c r="W437" s="4">
        <v>0</v>
      </c>
    </row>
    <row r="438" spans="1:23" ht="11.25" customHeight="1" x14ac:dyDescent="0.25">
      <c r="A438" s="4" t="s">
        <v>59</v>
      </c>
      <c r="B438" s="4" t="s">
        <v>33</v>
      </c>
      <c r="C438" s="4" t="s">
        <v>41</v>
      </c>
      <c r="D438" s="4" t="s">
        <v>40</v>
      </c>
      <c r="E438" s="4" t="s">
        <v>25</v>
      </c>
      <c r="F438" s="4" t="s">
        <v>63</v>
      </c>
      <c r="G438" s="4" t="s">
        <v>25</v>
      </c>
      <c r="H438" s="4" t="s">
        <v>36</v>
      </c>
      <c r="I438" s="5">
        <v>44075</v>
      </c>
      <c r="J438" s="6">
        <v>44798</v>
      </c>
      <c r="K438" s="6">
        <v>33598.5</v>
      </c>
      <c r="L438" s="6">
        <v>0</v>
      </c>
      <c r="M438" s="6">
        <v>0</v>
      </c>
      <c r="N438" s="6">
        <v>0</v>
      </c>
      <c r="O438" s="6">
        <v>0</v>
      </c>
      <c r="P438" s="6">
        <v>0</v>
      </c>
      <c r="Q438" s="4" t="s">
        <v>60</v>
      </c>
      <c r="R438" s="4">
        <v>0</v>
      </c>
      <c r="S438" s="4" t="s">
        <v>310</v>
      </c>
      <c r="U438" s="4">
        <v>22</v>
      </c>
      <c r="V438" s="4">
        <v>0</v>
      </c>
      <c r="W438" s="4">
        <v>0</v>
      </c>
    </row>
    <row r="439" spans="1:23" ht="11.25" customHeight="1" x14ac:dyDescent="0.25">
      <c r="A439" s="4" t="s">
        <v>21</v>
      </c>
      <c r="B439" s="4" t="s">
        <v>33</v>
      </c>
      <c r="C439" s="4" t="s">
        <v>41</v>
      </c>
      <c r="D439" s="4" t="s">
        <v>40</v>
      </c>
      <c r="E439" s="4" t="s">
        <v>25</v>
      </c>
      <c r="F439" s="4" t="s">
        <v>63</v>
      </c>
      <c r="G439" s="4" t="s">
        <v>25</v>
      </c>
      <c r="H439" s="4" t="s">
        <v>25</v>
      </c>
      <c r="I439" s="5">
        <v>43739</v>
      </c>
      <c r="J439" s="6">
        <v>0</v>
      </c>
      <c r="K439" s="6">
        <v>0</v>
      </c>
      <c r="L439" s="6">
        <v>20287.528999999999</v>
      </c>
      <c r="M439" s="6">
        <v>20287.528999999999</v>
      </c>
      <c r="N439" s="6">
        <v>0</v>
      </c>
      <c r="O439" s="6">
        <v>0</v>
      </c>
      <c r="P439" s="6">
        <v>45</v>
      </c>
      <c r="Q439" s="4" t="s">
        <v>60</v>
      </c>
      <c r="R439" s="4">
        <v>0</v>
      </c>
      <c r="S439" s="4" t="s">
        <v>323</v>
      </c>
      <c r="U439" s="4">
        <v>0</v>
      </c>
      <c r="V439" s="4">
        <v>23</v>
      </c>
      <c r="W439" s="4">
        <v>0</v>
      </c>
    </row>
    <row r="440" spans="1:23" ht="11.25" customHeight="1" x14ac:dyDescent="0.25">
      <c r="A440" s="4" t="s">
        <v>21</v>
      </c>
      <c r="B440" s="4" t="s">
        <v>33</v>
      </c>
      <c r="C440" s="4" t="s">
        <v>41</v>
      </c>
      <c r="D440" s="4" t="s">
        <v>40</v>
      </c>
      <c r="E440" s="4" t="s">
        <v>25</v>
      </c>
      <c r="F440" s="4" t="s">
        <v>63</v>
      </c>
      <c r="G440" s="4" t="s">
        <v>25</v>
      </c>
      <c r="H440" s="4" t="s">
        <v>25</v>
      </c>
      <c r="I440" s="5">
        <v>43770</v>
      </c>
      <c r="J440" s="6">
        <v>0</v>
      </c>
      <c r="K440" s="6">
        <v>0</v>
      </c>
      <c r="L440" s="6">
        <v>19718.810000000001</v>
      </c>
      <c r="M440" s="6">
        <v>19718.810000000001</v>
      </c>
      <c r="N440" s="6">
        <v>0</v>
      </c>
      <c r="O440" s="6">
        <v>0</v>
      </c>
      <c r="P440" s="6">
        <v>48</v>
      </c>
      <c r="Q440" s="4" t="s">
        <v>60</v>
      </c>
      <c r="R440" s="4">
        <v>0</v>
      </c>
      <c r="S440" s="4" t="s">
        <v>324</v>
      </c>
      <c r="U440" s="4">
        <v>0</v>
      </c>
      <c r="V440" s="4">
        <v>23</v>
      </c>
      <c r="W440" s="4">
        <v>0</v>
      </c>
    </row>
    <row r="441" spans="1:23" ht="11.25" customHeight="1" x14ac:dyDescent="0.25">
      <c r="A441" s="4" t="s">
        <v>21</v>
      </c>
      <c r="B441" s="4" t="s">
        <v>33</v>
      </c>
      <c r="C441" s="4" t="s">
        <v>41</v>
      </c>
      <c r="D441" s="4" t="s">
        <v>40</v>
      </c>
      <c r="E441" s="4" t="s">
        <v>25</v>
      </c>
      <c r="F441" s="4" t="s">
        <v>63</v>
      </c>
      <c r="G441" s="4" t="s">
        <v>25</v>
      </c>
      <c r="H441" s="4" t="s">
        <v>25</v>
      </c>
      <c r="I441" s="5">
        <v>43800</v>
      </c>
      <c r="J441" s="6">
        <v>0</v>
      </c>
      <c r="K441" s="6">
        <v>0</v>
      </c>
      <c r="L441" s="6">
        <v>19907.462</v>
      </c>
      <c r="M441" s="6">
        <v>19907.462</v>
      </c>
      <c r="N441" s="6">
        <v>0</v>
      </c>
      <c r="O441" s="6">
        <v>0</v>
      </c>
      <c r="P441" s="6">
        <v>48</v>
      </c>
      <c r="Q441" s="4" t="s">
        <v>60</v>
      </c>
      <c r="R441" s="4">
        <v>0</v>
      </c>
      <c r="S441" s="4" t="s">
        <v>325</v>
      </c>
      <c r="U441" s="4">
        <v>0</v>
      </c>
      <c r="V441" s="4">
        <v>23</v>
      </c>
      <c r="W441" s="4">
        <v>0</v>
      </c>
    </row>
    <row r="442" spans="1:23" ht="11.25" customHeight="1" x14ac:dyDescent="0.25">
      <c r="A442" s="4" t="s">
        <v>21</v>
      </c>
      <c r="B442" s="4" t="s">
        <v>33</v>
      </c>
      <c r="C442" s="4" t="s">
        <v>41</v>
      </c>
      <c r="D442" s="4" t="s">
        <v>40</v>
      </c>
      <c r="E442" s="4" t="s">
        <v>25</v>
      </c>
      <c r="F442" s="4" t="s">
        <v>63</v>
      </c>
      <c r="G442" s="4" t="s">
        <v>25</v>
      </c>
      <c r="H442" s="4" t="s">
        <v>25</v>
      </c>
      <c r="I442" s="5">
        <v>43831</v>
      </c>
      <c r="J442" s="6">
        <v>0</v>
      </c>
      <c r="K442" s="6">
        <v>0</v>
      </c>
      <c r="L442" s="6">
        <v>20952.216</v>
      </c>
      <c r="M442" s="6">
        <v>20952.216</v>
      </c>
      <c r="N442" s="6">
        <v>0</v>
      </c>
      <c r="O442" s="6">
        <v>0</v>
      </c>
      <c r="P442" s="6">
        <v>50</v>
      </c>
      <c r="Q442" s="4" t="s">
        <v>60</v>
      </c>
      <c r="R442" s="4">
        <v>0</v>
      </c>
      <c r="S442" s="4" t="s">
        <v>326</v>
      </c>
      <c r="U442" s="4">
        <v>0</v>
      </c>
      <c r="V442" s="4">
        <v>23</v>
      </c>
      <c r="W442" s="4">
        <v>0</v>
      </c>
    </row>
    <row r="443" spans="1:23" ht="11.25" customHeight="1" x14ac:dyDescent="0.25">
      <c r="A443" s="4" t="s">
        <v>21</v>
      </c>
      <c r="B443" s="4" t="s">
        <v>33</v>
      </c>
      <c r="C443" s="4" t="s">
        <v>41</v>
      </c>
      <c r="D443" s="4" t="s">
        <v>40</v>
      </c>
      <c r="E443" s="4" t="s">
        <v>25</v>
      </c>
      <c r="F443" s="4" t="s">
        <v>63</v>
      </c>
      <c r="G443" s="4" t="s">
        <v>25</v>
      </c>
      <c r="H443" s="4" t="s">
        <v>25</v>
      </c>
      <c r="I443" s="5">
        <v>43862</v>
      </c>
      <c r="J443" s="6">
        <v>0</v>
      </c>
      <c r="K443" s="6">
        <v>0</v>
      </c>
      <c r="L443" s="6">
        <v>19422.186000000002</v>
      </c>
      <c r="M443" s="6">
        <v>19422.186000000002</v>
      </c>
      <c r="N443" s="6">
        <v>0</v>
      </c>
      <c r="O443" s="6">
        <v>0</v>
      </c>
      <c r="P443" s="6">
        <v>50</v>
      </c>
      <c r="Q443" s="4" t="s">
        <v>60</v>
      </c>
      <c r="R443" s="4">
        <v>0</v>
      </c>
      <c r="S443" s="4" t="s">
        <v>327</v>
      </c>
      <c r="U443" s="4">
        <v>0</v>
      </c>
      <c r="V443" s="4">
        <v>23</v>
      </c>
      <c r="W443" s="4">
        <v>0</v>
      </c>
    </row>
    <row r="444" spans="1:23" ht="11.25" customHeight="1" x14ac:dyDescent="0.25">
      <c r="A444" s="4" t="s">
        <v>21</v>
      </c>
      <c r="B444" s="4" t="s">
        <v>33</v>
      </c>
      <c r="C444" s="4" t="s">
        <v>41</v>
      </c>
      <c r="D444" s="4" t="s">
        <v>40</v>
      </c>
      <c r="E444" s="4" t="s">
        <v>25</v>
      </c>
      <c r="F444" s="4" t="s">
        <v>63</v>
      </c>
      <c r="G444" s="4" t="s">
        <v>25</v>
      </c>
      <c r="H444" s="4" t="s">
        <v>25</v>
      </c>
      <c r="I444" s="5">
        <v>43891</v>
      </c>
      <c r="J444" s="6">
        <v>0</v>
      </c>
      <c r="K444" s="6">
        <v>0</v>
      </c>
      <c r="L444" s="6">
        <v>19378.527999999998</v>
      </c>
      <c r="M444" s="6">
        <v>19378.527999999998</v>
      </c>
      <c r="N444" s="6">
        <v>0</v>
      </c>
      <c r="O444" s="6">
        <v>0</v>
      </c>
      <c r="P444" s="6">
        <v>50</v>
      </c>
      <c r="Q444" s="4" t="s">
        <v>60</v>
      </c>
      <c r="R444" s="4">
        <v>0</v>
      </c>
      <c r="S444" s="4" t="s">
        <v>328</v>
      </c>
      <c r="U444" s="4">
        <v>0</v>
      </c>
      <c r="V444" s="4">
        <v>23</v>
      </c>
      <c r="W444" s="4">
        <v>0</v>
      </c>
    </row>
    <row r="445" spans="1:23" ht="11.25" customHeight="1" x14ac:dyDescent="0.25">
      <c r="A445" s="4" t="s">
        <v>21</v>
      </c>
      <c r="B445" s="4" t="s">
        <v>33</v>
      </c>
      <c r="C445" s="4" t="s">
        <v>41</v>
      </c>
      <c r="D445" s="4" t="s">
        <v>40</v>
      </c>
      <c r="E445" s="4" t="s">
        <v>25</v>
      </c>
      <c r="F445" s="4" t="s">
        <v>63</v>
      </c>
      <c r="G445" s="4" t="s">
        <v>25</v>
      </c>
      <c r="H445" s="4" t="s">
        <v>25</v>
      </c>
      <c r="I445" s="5">
        <v>43922</v>
      </c>
      <c r="J445" s="6">
        <v>0</v>
      </c>
      <c r="K445" s="6">
        <v>0</v>
      </c>
      <c r="L445" s="6">
        <v>14852.009</v>
      </c>
      <c r="M445" s="6">
        <v>14852.009</v>
      </c>
      <c r="N445" s="6">
        <v>0</v>
      </c>
      <c r="O445" s="6">
        <v>0</v>
      </c>
      <c r="P445" s="6">
        <v>51</v>
      </c>
      <c r="Q445" s="4" t="s">
        <v>60</v>
      </c>
      <c r="R445" s="4">
        <v>0</v>
      </c>
      <c r="S445" s="4" t="s">
        <v>329</v>
      </c>
      <c r="U445" s="4">
        <v>0</v>
      </c>
      <c r="V445" s="4">
        <v>23</v>
      </c>
      <c r="W445" s="4">
        <v>0</v>
      </c>
    </row>
    <row r="446" spans="1:23" ht="11.25" customHeight="1" x14ac:dyDescent="0.25">
      <c r="A446" s="4" t="s">
        <v>21</v>
      </c>
      <c r="B446" s="4" t="s">
        <v>33</v>
      </c>
      <c r="C446" s="4" t="s">
        <v>41</v>
      </c>
      <c r="D446" s="4" t="s">
        <v>40</v>
      </c>
      <c r="E446" s="4" t="s">
        <v>25</v>
      </c>
      <c r="F446" s="4" t="s">
        <v>63</v>
      </c>
      <c r="G446" s="4" t="s">
        <v>25</v>
      </c>
      <c r="H446" s="4" t="s">
        <v>25</v>
      </c>
      <c r="I446" s="5">
        <v>43952</v>
      </c>
      <c r="J446" s="6">
        <v>0</v>
      </c>
      <c r="K446" s="6">
        <v>0</v>
      </c>
      <c r="L446" s="6">
        <v>16108.739</v>
      </c>
      <c r="M446" s="6">
        <v>16108.739</v>
      </c>
      <c r="N446" s="6">
        <v>0</v>
      </c>
      <c r="O446" s="6">
        <v>0</v>
      </c>
      <c r="P446" s="6">
        <v>55</v>
      </c>
      <c r="Q446" s="4" t="s">
        <v>60</v>
      </c>
      <c r="R446" s="4">
        <v>0</v>
      </c>
      <c r="S446" s="4" t="s">
        <v>330</v>
      </c>
      <c r="U446" s="4">
        <v>0</v>
      </c>
      <c r="V446" s="4">
        <v>23</v>
      </c>
      <c r="W446" s="4">
        <v>0</v>
      </c>
    </row>
    <row r="447" spans="1:23" ht="11.25" customHeight="1" x14ac:dyDescent="0.25">
      <c r="A447" s="4" t="s">
        <v>21</v>
      </c>
      <c r="B447" s="4" t="s">
        <v>33</v>
      </c>
      <c r="C447" s="4" t="s">
        <v>41</v>
      </c>
      <c r="D447" s="4" t="s">
        <v>40</v>
      </c>
      <c r="E447" s="4" t="s">
        <v>25</v>
      </c>
      <c r="F447" s="4" t="s">
        <v>63</v>
      </c>
      <c r="G447" s="4" t="s">
        <v>25</v>
      </c>
      <c r="H447" s="4" t="s">
        <v>25</v>
      </c>
      <c r="I447" s="5">
        <v>43983</v>
      </c>
      <c r="J447" s="6">
        <v>0</v>
      </c>
      <c r="K447" s="6">
        <v>0</v>
      </c>
      <c r="L447" s="6">
        <v>16108.739</v>
      </c>
      <c r="M447" s="6">
        <v>16108.739</v>
      </c>
      <c r="N447" s="6">
        <v>0</v>
      </c>
      <c r="O447" s="6">
        <v>0</v>
      </c>
      <c r="P447" s="6">
        <v>55</v>
      </c>
      <c r="Q447" s="4" t="s">
        <v>60</v>
      </c>
      <c r="R447" s="4">
        <v>0</v>
      </c>
      <c r="S447" s="4" t="s">
        <v>331</v>
      </c>
      <c r="U447" s="4">
        <v>0</v>
      </c>
      <c r="V447" s="4">
        <v>23</v>
      </c>
      <c r="W447" s="4">
        <v>0</v>
      </c>
    </row>
    <row r="448" spans="1:23" ht="11.25" customHeight="1" x14ac:dyDescent="0.25">
      <c r="A448" s="4" t="s">
        <v>21</v>
      </c>
      <c r="B448" s="4" t="s">
        <v>33</v>
      </c>
      <c r="C448" s="4" t="s">
        <v>41</v>
      </c>
      <c r="D448" s="4" t="s">
        <v>40</v>
      </c>
      <c r="E448" s="4" t="s">
        <v>25</v>
      </c>
      <c r="F448" s="4" t="s">
        <v>63</v>
      </c>
      <c r="G448" s="4" t="s">
        <v>25</v>
      </c>
      <c r="H448" s="4" t="s">
        <v>25</v>
      </c>
      <c r="I448" s="5">
        <v>44013</v>
      </c>
      <c r="J448" s="6">
        <v>0</v>
      </c>
      <c r="K448" s="6">
        <v>0</v>
      </c>
      <c r="L448" s="6">
        <v>17346.935000000001</v>
      </c>
      <c r="M448" s="6">
        <v>17346.935000000001</v>
      </c>
      <c r="N448" s="6">
        <v>0</v>
      </c>
      <c r="O448" s="6">
        <v>0</v>
      </c>
      <c r="P448" s="6">
        <v>41</v>
      </c>
      <c r="Q448" s="4" t="s">
        <v>60</v>
      </c>
      <c r="R448" s="4">
        <v>0</v>
      </c>
      <c r="S448" s="4" t="s">
        <v>332</v>
      </c>
      <c r="U448" s="4">
        <v>0</v>
      </c>
      <c r="V448" s="4">
        <v>23</v>
      </c>
      <c r="W448" s="4">
        <v>0</v>
      </c>
    </row>
    <row r="449" spans="1:23" ht="11.25" customHeight="1" x14ac:dyDescent="0.25">
      <c r="A449" s="4" t="s">
        <v>21</v>
      </c>
      <c r="B449" s="4" t="s">
        <v>33</v>
      </c>
      <c r="C449" s="4" t="s">
        <v>41</v>
      </c>
      <c r="D449" s="4" t="s">
        <v>40</v>
      </c>
      <c r="E449" s="4" t="s">
        <v>25</v>
      </c>
      <c r="F449" s="4" t="s">
        <v>63</v>
      </c>
      <c r="G449" s="4" t="s">
        <v>25</v>
      </c>
      <c r="H449" s="4" t="s">
        <v>25</v>
      </c>
      <c r="I449" s="5">
        <v>44044</v>
      </c>
      <c r="J449" s="6">
        <v>0</v>
      </c>
      <c r="K449" s="6">
        <v>0</v>
      </c>
      <c r="L449" s="6">
        <v>19937.614000000001</v>
      </c>
      <c r="M449" s="6">
        <v>19937.614000000001</v>
      </c>
      <c r="N449" s="6">
        <v>0</v>
      </c>
      <c r="O449" s="6">
        <v>0</v>
      </c>
      <c r="P449" s="6">
        <v>56</v>
      </c>
      <c r="Q449" s="4" t="s">
        <v>60</v>
      </c>
      <c r="R449" s="4">
        <v>0</v>
      </c>
      <c r="S449" s="4" t="s">
        <v>333</v>
      </c>
      <c r="U449" s="4">
        <v>0</v>
      </c>
      <c r="V449" s="4">
        <v>23</v>
      </c>
      <c r="W449" s="4">
        <v>0</v>
      </c>
    </row>
    <row r="450" spans="1:23" ht="11.25" customHeight="1" x14ac:dyDescent="0.25">
      <c r="A450" s="4" t="s">
        <v>59</v>
      </c>
      <c r="B450" s="4" t="s">
        <v>33</v>
      </c>
      <c r="C450" s="4" t="s">
        <v>41</v>
      </c>
      <c r="D450" s="4" t="s">
        <v>40</v>
      </c>
      <c r="E450" s="4" t="s">
        <v>25</v>
      </c>
      <c r="F450" s="4" t="s">
        <v>63</v>
      </c>
      <c r="G450" s="4" t="s">
        <v>25</v>
      </c>
      <c r="H450" s="4" t="s">
        <v>25</v>
      </c>
      <c r="I450" s="5">
        <v>44075</v>
      </c>
      <c r="J450" s="6">
        <v>0</v>
      </c>
      <c r="K450" s="6">
        <v>0</v>
      </c>
      <c r="L450" s="6">
        <v>19937.614000000001</v>
      </c>
      <c r="M450" s="6">
        <v>19937.614000000001</v>
      </c>
      <c r="N450" s="6">
        <v>0</v>
      </c>
      <c r="O450" s="6">
        <v>0</v>
      </c>
      <c r="P450" s="6">
        <v>56</v>
      </c>
      <c r="Q450" s="4" t="s">
        <v>60</v>
      </c>
      <c r="R450" s="4">
        <v>0</v>
      </c>
      <c r="S450" s="4" t="s">
        <v>334</v>
      </c>
      <c r="U450" s="4">
        <v>0</v>
      </c>
      <c r="V450" s="4">
        <v>23</v>
      </c>
      <c r="W450" s="4">
        <v>0</v>
      </c>
    </row>
    <row r="451" spans="1:23" ht="11.25" customHeight="1" x14ac:dyDescent="0.25">
      <c r="A451" s="4" t="s">
        <v>21</v>
      </c>
      <c r="B451" s="4" t="s">
        <v>33</v>
      </c>
      <c r="C451" s="4" t="s">
        <v>41</v>
      </c>
      <c r="D451" s="4" t="s">
        <v>40</v>
      </c>
      <c r="E451" s="4" t="s">
        <v>25</v>
      </c>
      <c r="F451" s="4" t="s">
        <v>63</v>
      </c>
      <c r="G451" s="4" t="s">
        <v>25</v>
      </c>
      <c r="H451" s="4" t="s">
        <v>35</v>
      </c>
      <c r="I451" s="5">
        <v>43739</v>
      </c>
      <c r="J451" s="6">
        <v>38961</v>
      </c>
      <c r="K451" s="6">
        <v>28005.293033639999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4" t="s">
        <v>60</v>
      </c>
      <c r="R451" s="4">
        <v>0</v>
      </c>
      <c r="S451" s="4" t="s">
        <v>311</v>
      </c>
      <c r="U451" s="4">
        <v>21</v>
      </c>
      <c r="V451" s="4">
        <v>0</v>
      </c>
      <c r="W451" s="4">
        <v>0</v>
      </c>
    </row>
    <row r="452" spans="1:23" ht="11.25" customHeight="1" x14ac:dyDescent="0.25">
      <c r="A452" s="4" t="s">
        <v>21</v>
      </c>
      <c r="B452" s="4" t="s">
        <v>33</v>
      </c>
      <c r="C452" s="4" t="s">
        <v>41</v>
      </c>
      <c r="D452" s="4" t="s">
        <v>40</v>
      </c>
      <c r="E452" s="4" t="s">
        <v>25</v>
      </c>
      <c r="F452" s="4" t="s">
        <v>63</v>
      </c>
      <c r="G452" s="4" t="s">
        <v>25</v>
      </c>
      <c r="H452" s="4" t="s">
        <v>35</v>
      </c>
      <c r="I452" s="5">
        <v>43770</v>
      </c>
      <c r="J452" s="6">
        <v>39880</v>
      </c>
      <c r="K452" s="6">
        <v>28676.253576399999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4" t="s">
        <v>60</v>
      </c>
      <c r="R452" s="4">
        <v>0</v>
      </c>
      <c r="S452" s="4" t="s">
        <v>312</v>
      </c>
      <c r="U452" s="4">
        <v>21</v>
      </c>
      <c r="V452" s="4">
        <v>0</v>
      </c>
      <c r="W452" s="4">
        <v>0</v>
      </c>
    </row>
    <row r="453" spans="1:23" ht="11.25" customHeight="1" x14ac:dyDescent="0.25">
      <c r="A453" s="4" t="s">
        <v>21</v>
      </c>
      <c r="B453" s="4" t="s">
        <v>33</v>
      </c>
      <c r="C453" s="4" t="s">
        <v>41</v>
      </c>
      <c r="D453" s="4" t="s">
        <v>40</v>
      </c>
      <c r="E453" s="4" t="s">
        <v>25</v>
      </c>
      <c r="F453" s="4" t="s">
        <v>63</v>
      </c>
      <c r="G453" s="4" t="s">
        <v>25</v>
      </c>
      <c r="H453" s="4" t="s">
        <v>35</v>
      </c>
      <c r="I453" s="5">
        <v>43800</v>
      </c>
      <c r="J453" s="6">
        <v>39880</v>
      </c>
      <c r="K453" s="6">
        <v>28760.635668399998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4" t="s">
        <v>60</v>
      </c>
      <c r="R453" s="4">
        <v>0</v>
      </c>
      <c r="S453" s="4" t="s">
        <v>313</v>
      </c>
      <c r="U453" s="4">
        <v>21</v>
      </c>
      <c r="V453" s="4">
        <v>0</v>
      </c>
      <c r="W453" s="4">
        <v>0</v>
      </c>
    </row>
    <row r="454" spans="1:23" ht="11.25" customHeight="1" x14ac:dyDescent="0.25">
      <c r="A454" s="4" t="s">
        <v>21</v>
      </c>
      <c r="B454" s="4" t="s">
        <v>33</v>
      </c>
      <c r="C454" s="4" t="s">
        <v>41</v>
      </c>
      <c r="D454" s="4" t="s">
        <v>40</v>
      </c>
      <c r="E454" s="4" t="s">
        <v>25</v>
      </c>
      <c r="F454" s="4" t="s">
        <v>63</v>
      </c>
      <c r="G454" s="4" t="s">
        <v>25</v>
      </c>
      <c r="H454" s="4" t="s">
        <v>35</v>
      </c>
      <c r="I454" s="5">
        <v>43831</v>
      </c>
      <c r="J454" s="6">
        <v>41163</v>
      </c>
      <c r="K454" s="6">
        <v>29609.906337150001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4" t="s">
        <v>60</v>
      </c>
      <c r="R454" s="4">
        <v>0</v>
      </c>
      <c r="S454" s="4" t="s">
        <v>314</v>
      </c>
      <c r="U454" s="4">
        <v>21</v>
      </c>
      <c r="V454" s="4">
        <v>0</v>
      </c>
      <c r="W454" s="4">
        <v>0</v>
      </c>
    </row>
    <row r="455" spans="1:23" ht="11.25" customHeight="1" x14ac:dyDescent="0.25">
      <c r="A455" s="4" t="s">
        <v>21</v>
      </c>
      <c r="B455" s="4" t="s">
        <v>33</v>
      </c>
      <c r="C455" s="4" t="s">
        <v>41</v>
      </c>
      <c r="D455" s="4" t="s">
        <v>40</v>
      </c>
      <c r="E455" s="4" t="s">
        <v>25</v>
      </c>
      <c r="F455" s="4" t="s">
        <v>63</v>
      </c>
      <c r="G455" s="4" t="s">
        <v>25</v>
      </c>
      <c r="H455" s="4" t="s">
        <v>35</v>
      </c>
      <c r="I455" s="5">
        <v>43862</v>
      </c>
      <c r="J455" s="6">
        <v>41245</v>
      </c>
      <c r="K455" s="6">
        <v>29544.820500500002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4" t="s">
        <v>60</v>
      </c>
      <c r="R455" s="4">
        <v>0</v>
      </c>
      <c r="S455" s="4" t="s">
        <v>315</v>
      </c>
      <c r="U455" s="4">
        <v>21</v>
      </c>
      <c r="V455" s="4">
        <v>0</v>
      </c>
      <c r="W455" s="4">
        <v>0</v>
      </c>
    </row>
    <row r="456" spans="1:23" ht="11.25" customHeight="1" x14ac:dyDescent="0.25">
      <c r="A456" s="4" t="s">
        <v>21</v>
      </c>
      <c r="B456" s="4" t="s">
        <v>33</v>
      </c>
      <c r="C456" s="4" t="s">
        <v>41</v>
      </c>
      <c r="D456" s="4" t="s">
        <v>40</v>
      </c>
      <c r="E456" s="4" t="s">
        <v>25</v>
      </c>
      <c r="F456" s="4" t="s">
        <v>63</v>
      </c>
      <c r="G456" s="4" t="s">
        <v>25</v>
      </c>
      <c r="H456" s="4" t="s">
        <v>35</v>
      </c>
      <c r="I456" s="5">
        <v>43891</v>
      </c>
      <c r="J456" s="6">
        <v>40820</v>
      </c>
      <c r="K456" s="6">
        <v>30565.040401999999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4" t="s">
        <v>60</v>
      </c>
      <c r="R456" s="4">
        <v>0</v>
      </c>
      <c r="S456" s="4" t="s">
        <v>316</v>
      </c>
      <c r="U456" s="4">
        <v>21</v>
      </c>
      <c r="V456" s="4">
        <v>0</v>
      </c>
      <c r="W456" s="4">
        <v>0</v>
      </c>
    </row>
    <row r="457" spans="1:23" ht="11.25" customHeight="1" x14ac:dyDescent="0.25">
      <c r="A457" s="4" t="s">
        <v>21</v>
      </c>
      <c r="B457" s="4" t="s">
        <v>33</v>
      </c>
      <c r="C457" s="4" t="s">
        <v>41</v>
      </c>
      <c r="D457" s="4" t="s">
        <v>40</v>
      </c>
      <c r="E457" s="4" t="s">
        <v>25</v>
      </c>
      <c r="F457" s="4" t="s">
        <v>63</v>
      </c>
      <c r="G457" s="4" t="s">
        <v>25</v>
      </c>
      <c r="H457" s="4" t="s">
        <v>35</v>
      </c>
      <c r="I457" s="5">
        <v>43922</v>
      </c>
      <c r="J457" s="6">
        <v>41032</v>
      </c>
      <c r="K457" s="6">
        <v>30479.30899664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4" t="s">
        <v>60</v>
      </c>
      <c r="R457" s="4">
        <v>0</v>
      </c>
      <c r="S457" s="4" t="s">
        <v>317</v>
      </c>
      <c r="U457" s="4">
        <v>21</v>
      </c>
      <c r="V457" s="4">
        <v>0</v>
      </c>
      <c r="W457" s="4">
        <v>0</v>
      </c>
    </row>
    <row r="458" spans="1:23" ht="11.25" customHeight="1" x14ac:dyDescent="0.25">
      <c r="A458" s="4" t="s">
        <v>21</v>
      </c>
      <c r="B458" s="4" t="s">
        <v>33</v>
      </c>
      <c r="C458" s="4" t="s">
        <v>41</v>
      </c>
      <c r="D458" s="4" t="s">
        <v>40</v>
      </c>
      <c r="E458" s="4" t="s">
        <v>25</v>
      </c>
      <c r="F458" s="4" t="s">
        <v>63</v>
      </c>
      <c r="G458" s="4" t="s">
        <v>25</v>
      </c>
      <c r="H458" s="4" t="s">
        <v>35</v>
      </c>
      <c r="I458" s="5">
        <v>43952</v>
      </c>
      <c r="J458" s="6">
        <v>36728</v>
      </c>
      <c r="K458" s="6">
        <v>27284.50508744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4" t="s">
        <v>60</v>
      </c>
      <c r="R458" s="4">
        <v>0</v>
      </c>
      <c r="S458" s="4" t="s">
        <v>318</v>
      </c>
      <c r="U458" s="4">
        <v>21</v>
      </c>
      <c r="V458" s="4">
        <v>0</v>
      </c>
      <c r="W458" s="4">
        <v>0</v>
      </c>
    </row>
    <row r="459" spans="1:23" ht="11.25" customHeight="1" x14ac:dyDescent="0.25">
      <c r="A459" s="4" t="s">
        <v>21</v>
      </c>
      <c r="B459" s="4" t="s">
        <v>33</v>
      </c>
      <c r="C459" s="4" t="s">
        <v>41</v>
      </c>
      <c r="D459" s="4" t="s">
        <v>40</v>
      </c>
      <c r="E459" s="4" t="s">
        <v>25</v>
      </c>
      <c r="F459" s="4" t="s">
        <v>63</v>
      </c>
      <c r="G459" s="4" t="s">
        <v>25</v>
      </c>
      <c r="H459" s="4" t="s">
        <v>35</v>
      </c>
      <c r="I459" s="5">
        <v>43983</v>
      </c>
      <c r="J459" s="6">
        <v>36728</v>
      </c>
      <c r="K459" s="6">
        <v>26828.53541488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4" t="s">
        <v>60</v>
      </c>
      <c r="R459" s="4">
        <v>0</v>
      </c>
      <c r="S459" s="4" t="s">
        <v>319</v>
      </c>
      <c r="U459" s="4">
        <v>21</v>
      </c>
      <c r="V459" s="4">
        <v>0</v>
      </c>
      <c r="W459" s="4">
        <v>0</v>
      </c>
    </row>
    <row r="460" spans="1:23" ht="11.25" customHeight="1" x14ac:dyDescent="0.25">
      <c r="A460" s="4" t="s">
        <v>21</v>
      </c>
      <c r="B460" s="4" t="s">
        <v>33</v>
      </c>
      <c r="C460" s="4" t="s">
        <v>41</v>
      </c>
      <c r="D460" s="4" t="s">
        <v>40</v>
      </c>
      <c r="E460" s="4" t="s">
        <v>25</v>
      </c>
      <c r="F460" s="4" t="s">
        <v>63</v>
      </c>
      <c r="G460" s="4" t="s">
        <v>25</v>
      </c>
      <c r="H460" s="4" t="s">
        <v>35</v>
      </c>
      <c r="I460" s="5">
        <v>44013</v>
      </c>
      <c r="J460" s="6">
        <v>38585</v>
      </c>
      <c r="K460" s="6">
        <v>27811.329868950001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4" t="s">
        <v>60</v>
      </c>
      <c r="R460" s="4">
        <v>0</v>
      </c>
      <c r="S460" s="4" t="s">
        <v>320</v>
      </c>
      <c r="U460" s="4">
        <v>21</v>
      </c>
      <c r="V460" s="4">
        <v>0</v>
      </c>
      <c r="W460" s="4">
        <v>0</v>
      </c>
    </row>
    <row r="461" spans="1:23" ht="11.25" customHeight="1" x14ac:dyDescent="0.25">
      <c r="A461" s="4" t="s">
        <v>21</v>
      </c>
      <c r="B461" s="4" t="s">
        <v>33</v>
      </c>
      <c r="C461" s="4" t="s">
        <v>41</v>
      </c>
      <c r="D461" s="4" t="s">
        <v>40</v>
      </c>
      <c r="E461" s="4" t="s">
        <v>25</v>
      </c>
      <c r="F461" s="4" t="s">
        <v>63</v>
      </c>
      <c r="G461" s="4" t="s">
        <v>25</v>
      </c>
      <c r="H461" s="4" t="s">
        <v>35</v>
      </c>
      <c r="I461" s="5">
        <v>44044</v>
      </c>
      <c r="J461" s="6">
        <v>40321</v>
      </c>
      <c r="K461" s="6">
        <v>29837.54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4" t="s">
        <v>60</v>
      </c>
      <c r="R461" s="4">
        <v>0</v>
      </c>
      <c r="S461" s="4" t="s">
        <v>321</v>
      </c>
      <c r="U461" s="4">
        <v>21</v>
      </c>
      <c r="V461" s="4">
        <v>0</v>
      </c>
      <c r="W461" s="4">
        <v>0</v>
      </c>
    </row>
    <row r="462" spans="1:23" ht="11.25" customHeight="1" x14ac:dyDescent="0.25">
      <c r="A462" s="4" t="s">
        <v>59</v>
      </c>
      <c r="B462" s="4" t="s">
        <v>33</v>
      </c>
      <c r="C462" s="4" t="s">
        <v>41</v>
      </c>
      <c r="D462" s="4" t="s">
        <v>40</v>
      </c>
      <c r="E462" s="4" t="s">
        <v>25</v>
      </c>
      <c r="F462" s="4" t="s">
        <v>63</v>
      </c>
      <c r="G462" s="4" t="s">
        <v>25</v>
      </c>
      <c r="H462" s="4" t="s">
        <v>35</v>
      </c>
      <c r="I462" s="5">
        <v>44075</v>
      </c>
      <c r="J462" s="6">
        <v>40321</v>
      </c>
      <c r="K462" s="6">
        <v>29837.54</v>
      </c>
      <c r="L462" s="6">
        <v>0</v>
      </c>
      <c r="M462" s="6">
        <v>0</v>
      </c>
      <c r="N462" s="6">
        <v>0</v>
      </c>
      <c r="O462" s="6">
        <v>0</v>
      </c>
      <c r="P462" s="6">
        <v>0</v>
      </c>
      <c r="Q462" s="4" t="s">
        <v>60</v>
      </c>
      <c r="R462" s="4">
        <v>0</v>
      </c>
      <c r="S462" s="4" t="s">
        <v>322</v>
      </c>
      <c r="U462" s="4">
        <v>21</v>
      </c>
      <c r="V462" s="4">
        <v>0</v>
      </c>
      <c r="W462" s="4">
        <v>0</v>
      </c>
    </row>
    <row r="463" spans="1:23" ht="11.25" customHeight="1" x14ac:dyDescent="0.25">
      <c r="A463" s="4" t="s">
        <v>21</v>
      </c>
      <c r="B463" s="4" t="s">
        <v>33</v>
      </c>
      <c r="C463" s="4" t="s">
        <v>41</v>
      </c>
      <c r="D463" s="4" t="s">
        <v>40</v>
      </c>
      <c r="E463" s="4" t="s">
        <v>25</v>
      </c>
      <c r="F463" s="4" t="s">
        <v>25</v>
      </c>
      <c r="G463" s="4" t="s">
        <v>25</v>
      </c>
      <c r="H463" s="4" t="s">
        <v>36</v>
      </c>
      <c r="I463" s="5">
        <v>43739</v>
      </c>
      <c r="J463" s="6">
        <v>2438</v>
      </c>
      <c r="K463" s="6">
        <v>2438</v>
      </c>
      <c r="L463" s="6">
        <v>513.66300000000001</v>
      </c>
      <c r="M463" s="6">
        <v>513.66300000000001</v>
      </c>
      <c r="N463" s="6">
        <v>513.66300000000001</v>
      </c>
      <c r="O463" s="6">
        <v>513.66300000000001</v>
      </c>
      <c r="P463" s="6">
        <v>0</v>
      </c>
      <c r="Q463" s="4" t="s">
        <v>26</v>
      </c>
      <c r="R463" s="4">
        <v>0</v>
      </c>
      <c r="S463" s="4" t="s">
        <v>299</v>
      </c>
      <c r="T463" s="4" t="s">
        <v>700</v>
      </c>
      <c r="U463" s="4">
        <v>22</v>
      </c>
      <c r="V463" s="4">
        <v>23</v>
      </c>
      <c r="W463" s="4">
        <v>82</v>
      </c>
    </row>
    <row r="464" spans="1:23" ht="11.25" customHeight="1" x14ac:dyDescent="0.25">
      <c r="A464" s="4" t="s">
        <v>21</v>
      </c>
      <c r="B464" s="4" t="s">
        <v>33</v>
      </c>
      <c r="C464" s="4" t="s">
        <v>41</v>
      </c>
      <c r="D464" s="4" t="s">
        <v>40</v>
      </c>
      <c r="E464" s="4" t="s">
        <v>25</v>
      </c>
      <c r="F464" s="4" t="s">
        <v>25</v>
      </c>
      <c r="G464" s="4" t="s">
        <v>25</v>
      </c>
      <c r="H464" s="4" t="s">
        <v>36</v>
      </c>
      <c r="I464" s="5">
        <v>43770</v>
      </c>
      <c r="J464" s="6">
        <v>2512</v>
      </c>
      <c r="K464" s="6">
        <v>2512</v>
      </c>
      <c r="L464" s="6">
        <v>571.21299999999997</v>
      </c>
      <c r="M464" s="6">
        <v>571.21299999999997</v>
      </c>
      <c r="N464" s="6">
        <v>571.21299999999997</v>
      </c>
      <c r="O464" s="6">
        <v>571.21299999999997</v>
      </c>
      <c r="P464" s="6">
        <v>0</v>
      </c>
      <c r="Q464" s="4" t="s">
        <v>26</v>
      </c>
      <c r="R464" s="4">
        <v>0</v>
      </c>
      <c r="S464" s="4" t="s">
        <v>300</v>
      </c>
      <c r="T464" s="4" t="s">
        <v>701</v>
      </c>
      <c r="U464" s="4">
        <v>22</v>
      </c>
      <c r="V464" s="4">
        <v>23</v>
      </c>
      <c r="W464" s="4">
        <v>82</v>
      </c>
    </row>
    <row r="465" spans="1:23" ht="11.25" customHeight="1" x14ac:dyDescent="0.25">
      <c r="A465" s="4" t="s">
        <v>21</v>
      </c>
      <c r="B465" s="4" t="s">
        <v>33</v>
      </c>
      <c r="C465" s="4" t="s">
        <v>41</v>
      </c>
      <c r="D465" s="4" t="s">
        <v>40</v>
      </c>
      <c r="E465" s="4" t="s">
        <v>25</v>
      </c>
      <c r="F465" s="4" t="s">
        <v>25</v>
      </c>
      <c r="G465" s="4" t="s">
        <v>25</v>
      </c>
      <c r="H465" s="4" t="s">
        <v>36</v>
      </c>
      <c r="I465" s="5">
        <v>43800</v>
      </c>
      <c r="J465" s="6">
        <v>2556</v>
      </c>
      <c r="K465" s="6">
        <v>2556</v>
      </c>
      <c r="L465" s="6">
        <v>529.96600000000001</v>
      </c>
      <c r="M465" s="6">
        <v>529.96600000000001</v>
      </c>
      <c r="N465" s="6">
        <v>529.96600000000001</v>
      </c>
      <c r="O465" s="6">
        <v>529.96600000000001</v>
      </c>
      <c r="P465" s="6">
        <v>0</v>
      </c>
      <c r="Q465" s="4" t="s">
        <v>26</v>
      </c>
      <c r="R465" s="4">
        <v>0</v>
      </c>
      <c r="S465" s="4" t="s">
        <v>301</v>
      </c>
      <c r="T465" s="4" t="s">
        <v>702</v>
      </c>
      <c r="U465" s="4">
        <v>22</v>
      </c>
      <c r="V465" s="4">
        <v>23</v>
      </c>
      <c r="W465" s="4">
        <v>82</v>
      </c>
    </row>
    <row r="466" spans="1:23" ht="11.25" customHeight="1" x14ac:dyDescent="0.25">
      <c r="A466" s="4" t="s">
        <v>21</v>
      </c>
      <c r="B466" s="4" t="s">
        <v>33</v>
      </c>
      <c r="C466" s="4" t="s">
        <v>41</v>
      </c>
      <c r="D466" s="4" t="s">
        <v>40</v>
      </c>
      <c r="E466" s="4" t="s">
        <v>25</v>
      </c>
      <c r="F466" s="4" t="s">
        <v>25</v>
      </c>
      <c r="G466" s="4" t="s">
        <v>25</v>
      </c>
      <c r="H466" s="4" t="s">
        <v>36</v>
      </c>
      <c r="I466" s="5">
        <v>43831</v>
      </c>
      <c r="J466" s="6">
        <v>2532</v>
      </c>
      <c r="K466" s="6">
        <v>2532</v>
      </c>
      <c r="L466" s="6">
        <v>510.15300000000002</v>
      </c>
      <c r="M466" s="6">
        <v>510.15300000000002</v>
      </c>
      <c r="N466" s="6">
        <v>510.15300000000002</v>
      </c>
      <c r="O466" s="6">
        <v>510.15300000000002</v>
      </c>
      <c r="P466" s="6">
        <v>0</v>
      </c>
      <c r="Q466" s="4" t="s">
        <v>26</v>
      </c>
      <c r="R466" s="4">
        <v>0</v>
      </c>
      <c r="S466" s="4" t="s">
        <v>302</v>
      </c>
      <c r="T466" s="4" t="s">
        <v>703</v>
      </c>
      <c r="U466" s="4">
        <v>22</v>
      </c>
      <c r="V466" s="4">
        <v>23</v>
      </c>
      <c r="W466" s="4">
        <v>82</v>
      </c>
    </row>
    <row r="467" spans="1:23" ht="11.25" customHeight="1" x14ac:dyDescent="0.25">
      <c r="A467" s="4" t="s">
        <v>21</v>
      </c>
      <c r="B467" s="4" t="s">
        <v>33</v>
      </c>
      <c r="C467" s="4" t="s">
        <v>41</v>
      </c>
      <c r="D467" s="4" t="s">
        <v>40</v>
      </c>
      <c r="E467" s="4" t="s">
        <v>25</v>
      </c>
      <c r="F467" s="4" t="s">
        <v>25</v>
      </c>
      <c r="G467" s="4" t="s">
        <v>25</v>
      </c>
      <c r="H467" s="4" t="s">
        <v>36</v>
      </c>
      <c r="I467" s="5">
        <v>43862</v>
      </c>
      <c r="J467" s="6">
        <v>2740</v>
      </c>
      <c r="K467" s="6">
        <v>2740</v>
      </c>
      <c r="L467" s="6">
        <v>526.95399999999995</v>
      </c>
      <c r="M467" s="6">
        <v>526.95399999999995</v>
      </c>
      <c r="N467" s="6">
        <v>526.95399999999995</v>
      </c>
      <c r="O467" s="6">
        <v>526.95399999999995</v>
      </c>
      <c r="P467" s="6">
        <v>0</v>
      </c>
      <c r="Q467" s="4" t="s">
        <v>26</v>
      </c>
      <c r="R467" s="4">
        <v>0</v>
      </c>
      <c r="S467" s="4" t="s">
        <v>303</v>
      </c>
      <c r="T467" s="4" t="s">
        <v>704</v>
      </c>
      <c r="U467" s="4">
        <v>22</v>
      </c>
      <c r="V467" s="4">
        <v>23</v>
      </c>
      <c r="W467" s="4">
        <v>82</v>
      </c>
    </row>
    <row r="468" spans="1:23" ht="11.25" customHeight="1" x14ac:dyDescent="0.25">
      <c r="A468" s="4" t="s">
        <v>21</v>
      </c>
      <c r="B468" s="4" t="s">
        <v>33</v>
      </c>
      <c r="C468" s="4" t="s">
        <v>41</v>
      </c>
      <c r="D468" s="4" t="s">
        <v>40</v>
      </c>
      <c r="E468" s="4" t="s">
        <v>25</v>
      </c>
      <c r="F468" s="4" t="s">
        <v>25</v>
      </c>
      <c r="G468" s="4" t="s">
        <v>25</v>
      </c>
      <c r="H468" s="4" t="s">
        <v>36</v>
      </c>
      <c r="I468" s="5">
        <v>43891</v>
      </c>
      <c r="J468" s="6">
        <v>2737</v>
      </c>
      <c r="K468" s="6">
        <v>2737</v>
      </c>
      <c r="L468" s="6">
        <v>471.13099999999997</v>
      </c>
      <c r="M468" s="6">
        <v>471.13099999999997</v>
      </c>
      <c r="N468" s="6">
        <v>471.13099999999997</v>
      </c>
      <c r="O468" s="6">
        <v>471.13099999999997</v>
      </c>
      <c r="P468" s="6">
        <v>0</v>
      </c>
      <c r="Q468" s="4" t="s">
        <v>26</v>
      </c>
      <c r="R468" s="4">
        <v>0</v>
      </c>
      <c r="S468" s="4" t="s">
        <v>304</v>
      </c>
      <c r="T468" s="4" t="s">
        <v>705</v>
      </c>
      <c r="U468" s="4">
        <v>22</v>
      </c>
      <c r="V468" s="4">
        <v>23</v>
      </c>
      <c r="W468" s="4">
        <v>82</v>
      </c>
    </row>
    <row r="469" spans="1:23" ht="11.25" customHeight="1" x14ac:dyDescent="0.25">
      <c r="A469" s="4" t="s">
        <v>21</v>
      </c>
      <c r="B469" s="4" t="s">
        <v>33</v>
      </c>
      <c r="C469" s="4" t="s">
        <v>41</v>
      </c>
      <c r="D469" s="4" t="s">
        <v>40</v>
      </c>
      <c r="E469" s="4" t="s">
        <v>25</v>
      </c>
      <c r="F469" s="4" t="s">
        <v>25</v>
      </c>
      <c r="G469" s="4" t="s">
        <v>25</v>
      </c>
      <c r="H469" s="4" t="s">
        <v>36</v>
      </c>
      <c r="I469" s="5">
        <v>43922</v>
      </c>
      <c r="J469" s="6">
        <v>2723</v>
      </c>
      <c r="K469" s="6">
        <v>2723</v>
      </c>
      <c r="L469" s="6">
        <v>465.16699999999997</v>
      </c>
      <c r="M469" s="6">
        <v>465.16699999999997</v>
      </c>
      <c r="N469" s="6">
        <v>465.16699999999997</v>
      </c>
      <c r="O469" s="6">
        <v>465.16699999999997</v>
      </c>
      <c r="P469" s="6">
        <v>0</v>
      </c>
      <c r="Q469" s="4" t="s">
        <v>26</v>
      </c>
      <c r="R469" s="4">
        <v>0</v>
      </c>
      <c r="S469" s="4" t="s">
        <v>305</v>
      </c>
      <c r="T469" s="4" t="s">
        <v>706</v>
      </c>
      <c r="U469" s="4">
        <v>22</v>
      </c>
      <c r="V469" s="4">
        <v>23</v>
      </c>
      <c r="W469" s="4">
        <v>82</v>
      </c>
    </row>
    <row r="470" spans="1:23" ht="11.25" customHeight="1" x14ac:dyDescent="0.25">
      <c r="A470" s="4" t="s">
        <v>21</v>
      </c>
      <c r="B470" s="4" t="s">
        <v>33</v>
      </c>
      <c r="C470" s="4" t="s">
        <v>41</v>
      </c>
      <c r="D470" s="4" t="s">
        <v>40</v>
      </c>
      <c r="E470" s="4" t="s">
        <v>25</v>
      </c>
      <c r="F470" s="4" t="s">
        <v>25</v>
      </c>
      <c r="G470" s="4" t="s">
        <v>25</v>
      </c>
      <c r="H470" s="4" t="s">
        <v>36</v>
      </c>
      <c r="I470" s="5">
        <v>43952</v>
      </c>
      <c r="J470" s="6">
        <v>2758</v>
      </c>
      <c r="K470" s="6">
        <v>2758</v>
      </c>
      <c r="L470" s="6">
        <v>387.69900000000001</v>
      </c>
      <c r="M470" s="6">
        <v>387.69900000000001</v>
      </c>
      <c r="N470" s="6">
        <v>387.69900000000001</v>
      </c>
      <c r="O470" s="6">
        <v>387.69900000000001</v>
      </c>
      <c r="P470" s="6">
        <v>0</v>
      </c>
      <c r="Q470" s="4" t="s">
        <v>26</v>
      </c>
      <c r="R470" s="4">
        <v>0</v>
      </c>
      <c r="S470" s="4" t="s">
        <v>306</v>
      </c>
      <c r="T470" s="4" t="s">
        <v>707</v>
      </c>
      <c r="U470" s="4">
        <v>22</v>
      </c>
      <c r="V470" s="4">
        <v>23</v>
      </c>
      <c r="W470" s="4">
        <v>82</v>
      </c>
    </row>
    <row r="471" spans="1:23" ht="11.25" customHeight="1" x14ac:dyDescent="0.25">
      <c r="A471" s="4" t="s">
        <v>21</v>
      </c>
      <c r="B471" s="4" t="s">
        <v>33</v>
      </c>
      <c r="C471" s="4" t="s">
        <v>41</v>
      </c>
      <c r="D471" s="4" t="s">
        <v>40</v>
      </c>
      <c r="E471" s="4" t="s">
        <v>25</v>
      </c>
      <c r="F471" s="4" t="s">
        <v>25</v>
      </c>
      <c r="G471" s="4" t="s">
        <v>25</v>
      </c>
      <c r="H471" s="4" t="s">
        <v>36</v>
      </c>
      <c r="I471" s="5">
        <v>43983</v>
      </c>
      <c r="J471" s="6">
        <v>2789</v>
      </c>
      <c r="K471" s="6">
        <v>2789</v>
      </c>
      <c r="L471" s="6">
        <v>431.923</v>
      </c>
      <c r="M471" s="6">
        <v>431.923</v>
      </c>
      <c r="N471" s="6">
        <v>431.923</v>
      </c>
      <c r="O471" s="6">
        <v>431.923</v>
      </c>
      <c r="P471" s="6">
        <v>0</v>
      </c>
      <c r="Q471" s="4" t="s">
        <v>26</v>
      </c>
      <c r="R471" s="4">
        <v>0</v>
      </c>
      <c r="S471" s="4" t="s">
        <v>307</v>
      </c>
      <c r="T471" s="4" t="s">
        <v>708</v>
      </c>
      <c r="U471" s="4">
        <v>22</v>
      </c>
      <c r="V471" s="4">
        <v>23</v>
      </c>
      <c r="W471" s="4">
        <v>82</v>
      </c>
    </row>
    <row r="472" spans="1:23" ht="11.25" customHeight="1" x14ac:dyDescent="0.25">
      <c r="A472" s="4" t="s">
        <v>21</v>
      </c>
      <c r="B472" s="4" t="s">
        <v>33</v>
      </c>
      <c r="C472" s="4" t="s">
        <v>41</v>
      </c>
      <c r="D472" s="4" t="s">
        <v>40</v>
      </c>
      <c r="E472" s="4" t="s">
        <v>25</v>
      </c>
      <c r="F472" s="4" t="s">
        <v>25</v>
      </c>
      <c r="G472" s="4" t="s">
        <v>25</v>
      </c>
      <c r="H472" s="4" t="s">
        <v>36</v>
      </c>
      <c r="I472" s="5">
        <v>44013</v>
      </c>
      <c r="J472" s="6">
        <v>2811</v>
      </c>
      <c r="K472" s="6">
        <v>2811</v>
      </c>
      <c r="L472" s="6">
        <v>428.92899999999997</v>
      </c>
      <c r="M472" s="6">
        <v>428.92899999999997</v>
      </c>
      <c r="N472" s="6">
        <v>428.92899999999997</v>
      </c>
      <c r="O472" s="6">
        <v>428.92899999999997</v>
      </c>
      <c r="P472" s="6">
        <v>0</v>
      </c>
      <c r="Q472" s="4" t="s">
        <v>26</v>
      </c>
      <c r="R472" s="4">
        <v>0</v>
      </c>
      <c r="S472" s="4" t="s">
        <v>308</v>
      </c>
      <c r="T472" s="4" t="s">
        <v>709</v>
      </c>
      <c r="U472" s="4">
        <v>22</v>
      </c>
      <c r="V472" s="4">
        <v>23</v>
      </c>
      <c r="W472" s="4">
        <v>82</v>
      </c>
    </row>
    <row r="473" spans="1:23" ht="11.25" customHeight="1" x14ac:dyDescent="0.25">
      <c r="A473" s="4" t="s">
        <v>21</v>
      </c>
      <c r="B473" s="4" t="s">
        <v>33</v>
      </c>
      <c r="C473" s="4" t="s">
        <v>41</v>
      </c>
      <c r="D473" s="4" t="s">
        <v>40</v>
      </c>
      <c r="E473" s="4" t="s">
        <v>25</v>
      </c>
      <c r="F473" s="4" t="s">
        <v>25</v>
      </c>
      <c r="G473" s="4" t="s">
        <v>25</v>
      </c>
      <c r="H473" s="4" t="s">
        <v>36</v>
      </c>
      <c r="I473" s="5">
        <v>44044</v>
      </c>
      <c r="J473" s="6">
        <v>2670</v>
      </c>
      <c r="K473" s="6">
        <v>2670</v>
      </c>
      <c r="L473" s="6">
        <v>405.21300000000002</v>
      </c>
      <c r="M473" s="6">
        <v>405.21300000000002</v>
      </c>
      <c r="N473" s="6">
        <v>405.21300000000002</v>
      </c>
      <c r="O473" s="6">
        <v>405.21300000000002</v>
      </c>
      <c r="P473" s="6">
        <v>0</v>
      </c>
      <c r="Q473" s="4" t="s">
        <v>26</v>
      </c>
      <c r="R473" s="4">
        <v>0</v>
      </c>
      <c r="S473" s="4" t="s">
        <v>309</v>
      </c>
      <c r="T473" s="4" t="s">
        <v>710</v>
      </c>
      <c r="U473" s="4">
        <v>22</v>
      </c>
      <c r="V473" s="4">
        <v>23</v>
      </c>
      <c r="W473" s="4">
        <v>82</v>
      </c>
    </row>
    <row r="474" spans="1:23" ht="11.25" customHeight="1" x14ac:dyDescent="0.25">
      <c r="A474" s="4" t="s">
        <v>27</v>
      </c>
      <c r="B474" s="4" t="s">
        <v>33</v>
      </c>
      <c r="C474" s="4" t="s">
        <v>41</v>
      </c>
      <c r="D474" s="4" t="s">
        <v>40</v>
      </c>
      <c r="E474" s="4" t="s">
        <v>25</v>
      </c>
      <c r="F474" s="4" t="s">
        <v>25</v>
      </c>
      <c r="G474" s="4" t="s">
        <v>25</v>
      </c>
      <c r="H474" s="4" t="s">
        <v>36</v>
      </c>
      <c r="I474" s="5">
        <v>44044</v>
      </c>
      <c r="J474" s="6">
        <v>150</v>
      </c>
      <c r="K474" s="6">
        <v>150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4" t="s">
        <v>26</v>
      </c>
      <c r="R474" s="4">
        <v>0</v>
      </c>
      <c r="S474" s="4" t="s">
        <v>309</v>
      </c>
      <c r="T474" s="4" t="s">
        <v>710</v>
      </c>
      <c r="U474" s="4">
        <v>22</v>
      </c>
      <c r="V474" s="4">
        <v>0</v>
      </c>
      <c r="W474" s="4">
        <v>0</v>
      </c>
    </row>
    <row r="475" spans="1:23" ht="11.25" customHeight="1" x14ac:dyDescent="0.25">
      <c r="A475" s="4" t="s">
        <v>59</v>
      </c>
      <c r="B475" s="4" t="s">
        <v>33</v>
      </c>
      <c r="C475" s="4" t="s">
        <v>41</v>
      </c>
      <c r="D475" s="4" t="s">
        <v>40</v>
      </c>
      <c r="E475" s="4" t="s">
        <v>25</v>
      </c>
      <c r="F475" s="4" t="s">
        <v>25</v>
      </c>
      <c r="G475" s="4" t="s">
        <v>25</v>
      </c>
      <c r="H475" s="4" t="s">
        <v>36</v>
      </c>
      <c r="I475" s="5">
        <v>44075</v>
      </c>
      <c r="J475" s="6">
        <v>2670</v>
      </c>
      <c r="K475" s="6">
        <v>2670</v>
      </c>
      <c r="L475" s="6">
        <v>405.21300000000002</v>
      </c>
      <c r="M475" s="6">
        <v>405.21300000000002</v>
      </c>
      <c r="N475" s="6">
        <v>405.21300000000002</v>
      </c>
      <c r="O475" s="6">
        <v>405.21300000000002</v>
      </c>
      <c r="P475" s="6">
        <v>0</v>
      </c>
      <c r="Q475" s="4" t="s">
        <v>26</v>
      </c>
      <c r="R475" s="4">
        <v>0</v>
      </c>
      <c r="S475" s="4" t="s">
        <v>310</v>
      </c>
      <c r="T475" s="4" t="s">
        <v>711</v>
      </c>
      <c r="U475" s="4">
        <v>22</v>
      </c>
      <c r="V475" s="4">
        <v>23</v>
      </c>
      <c r="W475" s="4">
        <v>82</v>
      </c>
    </row>
    <row r="476" spans="1:23" ht="11.25" customHeight="1" x14ac:dyDescent="0.25">
      <c r="A476" s="4" t="s">
        <v>59</v>
      </c>
      <c r="B476" s="4" t="s">
        <v>33</v>
      </c>
      <c r="C476" s="4" t="s">
        <v>41</v>
      </c>
      <c r="D476" s="4" t="s">
        <v>40</v>
      </c>
      <c r="E476" s="4" t="s">
        <v>25</v>
      </c>
      <c r="F476" s="4" t="s">
        <v>25</v>
      </c>
      <c r="G476" s="4" t="s">
        <v>25</v>
      </c>
      <c r="H476" s="4" t="s">
        <v>36</v>
      </c>
      <c r="I476" s="5">
        <v>44075</v>
      </c>
      <c r="J476" s="6">
        <v>150</v>
      </c>
      <c r="K476" s="6">
        <v>150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4" t="s">
        <v>26</v>
      </c>
      <c r="R476" s="4">
        <v>0</v>
      </c>
      <c r="S476" s="4" t="s">
        <v>310</v>
      </c>
      <c r="T476" s="4" t="s">
        <v>711</v>
      </c>
      <c r="U476" s="4">
        <v>22</v>
      </c>
      <c r="V476" s="4">
        <v>0</v>
      </c>
      <c r="W476" s="4">
        <v>0</v>
      </c>
    </row>
    <row r="477" spans="1:23" ht="11.25" customHeight="1" x14ac:dyDescent="0.25">
      <c r="A477" s="4" t="s">
        <v>21</v>
      </c>
      <c r="B477" s="4" t="s">
        <v>33</v>
      </c>
      <c r="C477" s="4" t="s">
        <v>41</v>
      </c>
      <c r="D477" s="4" t="s">
        <v>40</v>
      </c>
      <c r="E477" s="4" t="s">
        <v>25</v>
      </c>
      <c r="F477" s="4" t="s">
        <v>25</v>
      </c>
      <c r="G477" s="4" t="s">
        <v>25</v>
      </c>
      <c r="H477" s="4" t="s">
        <v>35</v>
      </c>
      <c r="I477" s="5">
        <v>43739</v>
      </c>
      <c r="J477" s="6">
        <v>1212</v>
      </c>
      <c r="K477" s="6">
        <v>1212</v>
      </c>
      <c r="L477" s="6">
        <v>40.665999999999997</v>
      </c>
      <c r="M477" s="6">
        <v>40.665999999999997</v>
      </c>
      <c r="N477" s="6">
        <v>40.665999999999997</v>
      </c>
      <c r="O477" s="6">
        <v>40.665999999999997</v>
      </c>
      <c r="P477" s="6">
        <v>0</v>
      </c>
      <c r="Q477" s="4" t="s">
        <v>26</v>
      </c>
      <c r="R477" s="4">
        <v>0</v>
      </c>
      <c r="S477" s="4" t="s">
        <v>311</v>
      </c>
      <c r="T477" s="4" t="s">
        <v>712</v>
      </c>
      <c r="U477" s="4">
        <v>21</v>
      </c>
      <c r="V477" s="4">
        <v>23</v>
      </c>
      <c r="W477" s="4">
        <v>81</v>
      </c>
    </row>
    <row r="478" spans="1:23" ht="11.25" customHeight="1" x14ac:dyDescent="0.25">
      <c r="A478" s="4" t="s">
        <v>21</v>
      </c>
      <c r="B478" s="4" t="s">
        <v>33</v>
      </c>
      <c r="C478" s="4" t="s">
        <v>41</v>
      </c>
      <c r="D478" s="4" t="s">
        <v>40</v>
      </c>
      <c r="E478" s="4" t="s">
        <v>25</v>
      </c>
      <c r="F478" s="4" t="s">
        <v>25</v>
      </c>
      <c r="G478" s="4" t="s">
        <v>25</v>
      </c>
      <c r="H478" s="4" t="s">
        <v>35</v>
      </c>
      <c r="I478" s="5">
        <v>43770</v>
      </c>
      <c r="J478" s="6">
        <v>1235</v>
      </c>
      <c r="K478" s="6">
        <v>1235</v>
      </c>
      <c r="L478" s="6">
        <v>46.005000000000003</v>
      </c>
      <c r="M478" s="6">
        <v>46.005000000000003</v>
      </c>
      <c r="N478" s="6">
        <v>46.005000000000003</v>
      </c>
      <c r="O478" s="6">
        <v>46.005000000000003</v>
      </c>
      <c r="P478" s="6">
        <v>0</v>
      </c>
      <c r="Q478" s="4" t="s">
        <v>26</v>
      </c>
      <c r="R478" s="4">
        <v>0</v>
      </c>
      <c r="S478" s="4" t="s">
        <v>312</v>
      </c>
      <c r="T478" s="4" t="s">
        <v>713</v>
      </c>
      <c r="U478" s="4">
        <v>21</v>
      </c>
      <c r="V478" s="4">
        <v>23</v>
      </c>
      <c r="W478" s="4">
        <v>81</v>
      </c>
    </row>
    <row r="479" spans="1:23" ht="11.25" customHeight="1" x14ac:dyDescent="0.25">
      <c r="A479" s="4" t="s">
        <v>21</v>
      </c>
      <c r="B479" s="4" t="s">
        <v>33</v>
      </c>
      <c r="C479" s="4" t="s">
        <v>41</v>
      </c>
      <c r="D479" s="4" t="s">
        <v>40</v>
      </c>
      <c r="E479" s="4" t="s">
        <v>25</v>
      </c>
      <c r="F479" s="4" t="s">
        <v>25</v>
      </c>
      <c r="G479" s="4" t="s">
        <v>25</v>
      </c>
      <c r="H479" s="4" t="s">
        <v>35</v>
      </c>
      <c r="I479" s="5">
        <v>43800</v>
      </c>
      <c r="J479" s="6">
        <v>1272</v>
      </c>
      <c r="K479" s="6">
        <v>1272</v>
      </c>
      <c r="L479" s="6">
        <v>39.320999999999998</v>
      </c>
      <c r="M479" s="6">
        <v>39.320999999999998</v>
      </c>
      <c r="N479" s="6">
        <v>39.320999999999998</v>
      </c>
      <c r="O479" s="6">
        <v>39.320999999999998</v>
      </c>
      <c r="P479" s="6">
        <v>0</v>
      </c>
      <c r="Q479" s="4" t="s">
        <v>26</v>
      </c>
      <c r="R479" s="4">
        <v>0</v>
      </c>
      <c r="S479" s="4" t="s">
        <v>313</v>
      </c>
      <c r="T479" s="4" t="s">
        <v>714</v>
      </c>
      <c r="U479" s="4">
        <v>21</v>
      </c>
      <c r="V479" s="4">
        <v>23</v>
      </c>
      <c r="W479" s="4">
        <v>81</v>
      </c>
    </row>
    <row r="480" spans="1:23" ht="11.25" customHeight="1" x14ac:dyDescent="0.25">
      <c r="A480" s="4" t="s">
        <v>21</v>
      </c>
      <c r="B480" s="4" t="s">
        <v>33</v>
      </c>
      <c r="C480" s="4" t="s">
        <v>41</v>
      </c>
      <c r="D480" s="4" t="s">
        <v>40</v>
      </c>
      <c r="E480" s="4" t="s">
        <v>25</v>
      </c>
      <c r="F480" s="4" t="s">
        <v>25</v>
      </c>
      <c r="G480" s="4" t="s">
        <v>25</v>
      </c>
      <c r="H480" s="4" t="s">
        <v>35</v>
      </c>
      <c r="I480" s="5">
        <v>43831</v>
      </c>
      <c r="J480" s="6">
        <v>1230</v>
      </c>
      <c r="K480" s="6">
        <v>1230</v>
      </c>
      <c r="L480" s="6">
        <v>36.475000000000001</v>
      </c>
      <c r="M480" s="6">
        <v>36.475000000000001</v>
      </c>
      <c r="N480" s="6">
        <v>36.475000000000001</v>
      </c>
      <c r="O480" s="6">
        <v>36.475000000000001</v>
      </c>
      <c r="P480" s="6">
        <v>0</v>
      </c>
      <c r="Q480" s="4" t="s">
        <v>26</v>
      </c>
      <c r="R480" s="4">
        <v>0</v>
      </c>
      <c r="S480" s="4" t="s">
        <v>314</v>
      </c>
      <c r="T480" s="4" t="s">
        <v>715</v>
      </c>
      <c r="U480" s="4">
        <v>21</v>
      </c>
      <c r="V480" s="4">
        <v>23</v>
      </c>
      <c r="W480" s="4">
        <v>81</v>
      </c>
    </row>
    <row r="481" spans="1:23" ht="11.25" customHeight="1" x14ac:dyDescent="0.25">
      <c r="A481" s="4" t="s">
        <v>21</v>
      </c>
      <c r="B481" s="4" t="s">
        <v>33</v>
      </c>
      <c r="C481" s="4" t="s">
        <v>41</v>
      </c>
      <c r="D481" s="4" t="s">
        <v>40</v>
      </c>
      <c r="E481" s="4" t="s">
        <v>25</v>
      </c>
      <c r="F481" s="4" t="s">
        <v>25</v>
      </c>
      <c r="G481" s="4" t="s">
        <v>25</v>
      </c>
      <c r="H481" s="4" t="s">
        <v>35</v>
      </c>
      <c r="I481" s="5">
        <v>43862</v>
      </c>
      <c r="J481" s="6">
        <v>1456</v>
      </c>
      <c r="K481" s="6">
        <v>1456</v>
      </c>
      <c r="L481" s="6">
        <v>38.963999999999999</v>
      </c>
      <c r="M481" s="6">
        <v>38.963999999999999</v>
      </c>
      <c r="N481" s="6">
        <v>38.963999999999999</v>
      </c>
      <c r="O481" s="6">
        <v>38.963999999999999</v>
      </c>
      <c r="P481" s="6">
        <v>0</v>
      </c>
      <c r="Q481" s="4" t="s">
        <v>26</v>
      </c>
      <c r="R481" s="4">
        <v>0</v>
      </c>
      <c r="S481" s="4" t="s">
        <v>315</v>
      </c>
      <c r="T481" s="4" t="s">
        <v>716</v>
      </c>
      <c r="U481" s="4">
        <v>21</v>
      </c>
      <c r="V481" s="4">
        <v>23</v>
      </c>
      <c r="W481" s="4">
        <v>81</v>
      </c>
    </row>
    <row r="482" spans="1:23" ht="11.25" customHeight="1" x14ac:dyDescent="0.25">
      <c r="A482" s="4" t="s">
        <v>21</v>
      </c>
      <c r="B482" s="4" t="s">
        <v>33</v>
      </c>
      <c r="C482" s="4" t="s">
        <v>41</v>
      </c>
      <c r="D482" s="4" t="s">
        <v>40</v>
      </c>
      <c r="E482" s="4" t="s">
        <v>25</v>
      </c>
      <c r="F482" s="4" t="s">
        <v>25</v>
      </c>
      <c r="G482" s="4" t="s">
        <v>25</v>
      </c>
      <c r="H482" s="4" t="s">
        <v>35</v>
      </c>
      <c r="I482" s="5">
        <v>43891</v>
      </c>
      <c r="J482" s="6">
        <v>1434</v>
      </c>
      <c r="K482" s="6">
        <v>1434</v>
      </c>
      <c r="L482" s="6">
        <v>34.579000000000001</v>
      </c>
      <c r="M482" s="6">
        <v>34.579000000000001</v>
      </c>
      <c r="N482" s="6">
        <v>34.579000000000001</v>
      </c>
      <c r="O482" s="6">
        <v>34.579000000000001</v>
      </c>
      <c r="P482" s="6">
        <v>0</v>
      </c>
      <c r="Q482" s="4" t="s">
        <v>26</v>
      </c>
      <c r="R482" s="4">
        <v>0</v>
      </c>
      <c r="S482" s="4" t="s">
        <v>316</v>
      </c>
      <c r="T482" s="4" t="s">
        <v>717</v>
      </c>
      <c r="U482" s="4">
        <v>21</v>
      </c>
      <c r="V482" s="4">
        <v>23</v>
      </c>
      <c r="W482" s="4">
        <v>81</v>
      </c>
    </row>
    <row r="483" spans="1:23" ht="11.25" customHeight="1" x14ac:dyDescent="0.25">
      <c r="A483" s="4" t="s">
        <v>21</v>
      </c>
      <c r="B483" s="4" t="s">
        <v>33</v>
      </c>
      <c r="C483" s="4" t="s">
        <v>41</v>
      </c>
      <c r="D483" s="4" t="s">
        <v>40</v>
      </c>
      <c r="E483" s="4" t="s">
        <v>25</v>
      </c>
      <c r="F483" s="4" t="s">
        <v>25</v>
      </c>
      <c r="G483" s="4" t="s">
        <v>25</v>
      </c>
      <c r="H483" s="4" t="s">
        <v>35</v>
      </c>
      <c r="I483" s="5">
        <v>43922</v>
      </c>
      <c r="J483" s="6">
        <v>1454</v>
      </c>
      <c r="K483" s="6">
        <v>1454</v>
      </c>
      <c r="L483" s="6">
        <v>34.479999999999997</v>
      </c>
      <c r="M483" s="6">
        <v>34.479999999999997</v>
      </c>
      <c r="N483" s="6">
        <v>34.479999999999997</v>
      </c>
      <c r="O483" s="6">
        <v>34.479999999999997</v>
      </c>
      <c r="P483" s="6">
        <v>0</v>
      </c>
      <c r="Q483" s="4" t="s">
        <v>26</v>
      </c>
      <c r="R483" s="4">
        <v>0</v>
      </c>
      <c r="S483" s="4" t="s">
        <v>317</v>
      </c>
      <c r="T483" s="4" t="s">
        <v>718</v>
      </c>
      <c r="U483" s="4">
        <v>21</v>
      </c>
      <c r="V483" s="4">
        <v>23</v>
      </c>
      <c r="W483" s="4">
        <v>81</v>
      </c>
    </row>
    <row r="484" spans="1:23" ht="11.25" customHeight="1" x14ac:dyDescent="0.25">
      <c r="A484" s="4" t="s">
        <v>21</v>
      </c>
      <c r="B484" s="4" t="s">
        <v>33</v>
      </c>
      <c r="C484" s="4" t="s">
        <v>41</v>
      </c>
      <c r="D484" s="4" t="s">
        <v>40</v>
      </c>
      <c r="E484" s="4" t="s">
        <v>25</v>
      </c>
      <c r="F484" s="4" t="s">
        <v>25</v>
      </c>
      <c r="G484" s="4" t="s">
        <v>25</v>
      </c>
      <c r="H484" s="4" t="s">
        <v>35</v>
      </c>
      <c r="I484" s="5">
        <v>43952</v>
      </c>
      <c r="J484" s="6">
        <v>1479</v>
      </c>
      <c r="K484" s="6">
        <v>1479</v>
      </c>
      <c r="L484" s="6">
        <v>28.73</v>
      </c>
      <c r="M484" s="6">
        <v>28.73</v>
      </c>
      <c r="N484" s="6">
        <v>28.73</v>
      </c>
      <c r="O484" s="6">
        <v>28.73</v>
      </c>
      <c r="P484" s="6">
        <v>0</v>
      </c>
      <c r="Q484" s="4" t="s">
        <v>26</v>
      </c>
      <c r="R484" s="4">
        <v>0</v>
      </c>
      <c r="S484" s="4" t="s">
        <v>318</v>
      </c>
      <c r="T484" s="4" t="s">
        <v>719</v>
      </c>
      <c r="U484" s="4">
        <v>21</v>
      </c>
      <c r="V484" s="4">
        <v>23</v>
      </c>
      <c r="W484" s="4">
        <v>81</v>
      </c>
    </row>
    <row r="485" spans="1:23" ht="11.25" customHeight="1" x14ac:dyDescent="0.25">
      <c r="A485" s="4" t="s">
        <v>21</v>
      </c>
      <c r="B485" s="4" t="s">
        <v>33</v>
      </c>
      <c r="C485" s="4" t="s">
        <v>41</v>
      </c>
      <c r="D485" s="4" t="s">
        <v>40</v>
      </c>
      <c r="E485" s="4" t="s">
        <v>25</v>
      </c>
      <c r="F485" s="4" t="s">
        <v>25</v>
      </c>
      <c r="G485" s="4" t="s">
        <v>25</v>
      </c>
      <c r="H485" s="4" t="s">
        <v>35</v>
      </c>
      <c r="I485" s="5">
        <v>43983</v>
      </c>
      <c r="J485" s="6">
        <v>1529</v>
      </c>
      <c r="K485" s="6">
        <v>1529</v>
      </c>
      <c r="L485" s="6">
        <v>29.91</v>
      </c>
      <c r="M485" s="6">
        <v>29.91</v>
      </c>
      <c r="N485" s="6">
        <v>29.91</v>
      </c>
      <c r="O485" s="6">
        <v>29.91</v>
      </c>
      <c r="P485" s="6">
        <v>0</v>
      </c>
      <c r="Q485" s="4" t="s">
        <v>26</v>
      </c>
      <c r="R485" s="4">
        <v>0</v>
      </c>
      <c r="S485" s="4" t="s">
        <v>319</v>
      </c>
      <c r="T485" s="4" t="s">
        <v>720</v>
      </c>
      <c r="U485" s="4">
        <v>21</v>
      </c>
      <c r="V485" s="4">
        <v>23</v>
      </c>
      <c r="W485" s="4">
        <v>81</v>
      </c>
    </row>
    <row r="486" spans="1:23" ht="11.25" customHeight="1" x14ac:dyDescent="0.25">
      <c r="A486" s="4" t="s">
        <v>21</v>
      </c>
      <c r="B486" s="4" t="s">
        <v>33</v>
      </c>
      <c r="C486" s="4" t="s">
        <v>41</v>
      </c>
      <c r="D486" s="4" t="s">
        <v>40</v>
      </c>
      <c r="E486" s="4" t="s">
        <v>25</v>
      </c>
      <c r="F486" s="4" t="s">
        <v>25</v>
      </c>
      <c r="G486" s="4" t="s">
        <v>25</v>
      </c>
      <c r="H486" s="4" t="s">
        <v>35</v>
      </c>
      <c r="I486" s="5">
        <v>44013</v>
      </c>
      <c r="J486" s="6">
        <v>1561</v>
      </c>
      <c r="K486" s="6">
        <v>1561</v>
      </c>
      <c r="L486" s="6">
        <v>32.420999999999999</v>
      </c>
      <c r="M486" s="6">
        <v>32.420999999999999</v>
      </c>
      <c r="N486" s="6">
        <v>32.420999999999999</v>
      </c>
      <c r="O486" s="6">
        <v>32.420999999999999</v>
      </c>
      <c r="P486" s="6">
        <v>0</v>
      </c>
      <c r="Q486" s="4" t="s">
        <v>26</v>
      </c>
      <c r="R486" s="4">
        <v>0</v>
      </c>
      <c r="S486" s="4" t="s">
        <v>320</v>
      </c>
      <c r="T486" s="4" t="s">
        <v>721</v>
      </c>
      <c r="U486" s="4">
        <v>21</v>
      </c>
      <c r="V486" s="4">
        <v>23</v>
      </c>
      <c r="W486" s="4">
        <v>81</v>
      </c>
    </row>
    <row r="487" spans="1:23" ht="11.25" customHeight="1" x14ac:dyDescent="0.25">
      <c r="A487" s="4" t="s">
        <v>21</v>
      </c>
      <c r="B487" s="4" t="s">
        <v>33</v>
      </c>
      <c r="C487" s="4" t="s">
        <v>41</v>
      </c>
      <c r="D487" s="4" t="s">
        <v>40</v>
      </c>
      <c r="E487" s="4" t="s">
        <v>25</v>
      </c>
      <c r="F487" s="4" t="s">
        <v>25</v>
      </c>
      <c r="G487" s="4" t="s">
        <v>25</v>
      </c>
      <c r="H487" s="4" t="s">
        <v>35</v>
      </c>
      <c r="I487" s="5">
        <v>44044</v>
      </c>
      <c r="J487" s="6">
        <v>1458</v>
      </c>
      <c r="K487" s="6">
        <v>1458</v>
      </c>
      <c r="L487" s="6">
        <v>27.067</v>
      </c>
      <c r="M487" s="6">
        <v>27.067</v>
      </c>
      <c r="N487" s="6">
        <v>27.067</v>
      </c>
      <c r="O487" s="6">
        <v>27.067</v>
      </c>
      <c r="P487" s="6">
        <v>0</v>
      </c>
      <c r="Q487" s="4" t="s">
        <v>26</v>
      </c>
      <c r="R487" s="4">
        <v>0</v>
      </c>
      <c r="S487" s="4" t="s">
        <v>321</v>
      </c>
      <c r="T487" s="4" t="s">
        <v>722</v>
      </c>
      <c r="U487" s="4">
        <v>21</v>
      </c>
      <c r="V487" s="4">
        <v>23</v>
      </c>
      <c r="W487" s="4">
        <v>81</v>
      </c>
    </row>
    <row r="488" spans="1:23" ht="11.25" customHeight="1" x14ac:dyDescent="0.25">
      <c r="A488" s="4" t="s">
        <v>27</v>
      </c>
      <c r="B488" s="4" t="s">
        <v>33</v>
      </c>
      <c r="C488" s="4" t="s">
        <v>41</v>
      </c>
      <c r="D488" s="4" t="s">
        <v>40</v>
      </c>
      <c r="E488" s="4" t="s">
        <v>25</v>
      </c>
      <c r="F488" s="4" t="s">
        <v>25</v>
      </c>
      <c r="G488" s="4" t="s">
        <v>25</v>
      </c>
      <c r="H488" s="4" t="s">
        <v>35</v>
      </c>
      <c r="I488" s="5">
        <v>44044</v>
      </c>
      <c r="J488" s="6">
        <v>150</v>
      </c>
      <c r="K488" s="6">
        <v>150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4" t="s">
        <v>26</v>
      </c>
      <c r="R488" s="4">
        <v>0</v>
      </c>
      <c r="S488" s="4" t="s">
        <v>321</v>
      </c>
      <c r="T488" s="4" t="s">
        <v>722</v>
      </c>
      <c r="U488" s="4">
        <v>21</v>
      </c>
      <c r="V488" s="4">
        <v>0</v>
      </c>
      <c r="W488" s="4">
        <v>0</v>
      </c>
    </row>
    <row r="489" spans="1:23" ht="11.25" customHeight="1" x14ac:dyDescent="0.25">
      <c r="A489" s="4" t="s">
        <v>59</v>
      </c>
      <c r="B489" s="4" t="s">
        <v>33</v>
      </c>
      <c r="C489" s="4" t="s">
        <v>41</v>
      </c>
      <c r="D489" s="4" t="s">
        <v>40</v>
      </c>
      <c r="E489" s="4" t="s">
        <v>25</v>
      </c>
      <c r="F489" s="4" t="s">
        <v>25</v>
      </c>
      <c r="G489" s="4" t="s">
        <v>25</v>
      </c>
      <c r="H489" s="4" t="s">
        <v>35</v>
      </c>
      <c r="I489" s="5">
        <v>44075</v>
      </c>
      <c r="J489" s="6">
        <v>1458</v>
      </c>
      <c r="K489" s="6">
        <v>1458</v>
      </c>
      <c r="L489" s="6">
        <v>27.067</v>
      </c>
      <c r="M489" s="6">
        <v>27.067</v>
      </c>
      <c r="N489" s="6">
        <v>27.067</v>
      </c>
      <c r="O489" s="6">
        <v>27.067</v>
      </c>
      <c r="P489" s="6">
        <v>0</v>
      </c>
      <c r="Q489" s="4" t="s">
        <v>26</v>
      </c>
      <c r="R489" s="4">
        <v>0</v>
      </c>
      <c r="S489" s="4" t="s">
        <v>322</v>
      </c>
      <c r="T489" s="4" t="s">
        <v>723</v>
      </c>
      <c r="U489" s="4">
        <v>21</v>
      </c>
      <c r="V489" s="4">
        <v>23</v>
      </c>
      <c r="W489" s="4">
        <v>81</v>
      </c>
    </row>
    <row r="490" spans="1:23" ht="11.25" customHeight="1" x14ac:dyDescent="0.25">
      <c r="A490" s="4" t="s">
        <v>59</v>
      </c>
      <c r="B490" s="4" t="s">
        <v>33</v>
      </c>
      <c r="C490" s="4" t="s">
        <v>41</v>
      </c>
      <c r="D490" s="4" t="s">
        <v>40</v>
      </c>
      <c r="E490" s="4" t="s">
        <v>25</v>
      </c>
      <c r="F490" s="4" t="s">
        <v>25</v>
      </c>
      <c r="G490" s="4" t="s">
        <v>25</v>
      </c>
      <c r="H490" s="4" t="s">
        <v>35</v>
      </c>
      <c r="I490" s="5">
        <v>44075</v>
      </c>
      <c r="J490" s="6">
        <v>150</v>
      </c>
      <c r="K490" s="6">
        <v>150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4" t="s">
        <v>26</v>
      </c>
      <c r="R490" s="4">
        <v>0</v>
      </c>
      <c r="S490" s="4" t="s">
        <v>322</v>
      </c>
      <c r="T490" s="4" t="s">
        <v>723</v>
      </c>
      <c r="U490" s="4">
        <v>21</v>
      </c>
      <c r="V490" s="4">
        <v>0</v>
      </c>
      <c r="W490" s="4">
        <v>0</v>
      </c>
    </row>
    <row r="491" spans="1:23" ht="11.25" customHeight="1" x14ac:dyDescent="0.25">
      <c r="A491" s="4" t="s">
        <v>21</v>
      </c>
      <c r="B491" s="4" t="s">
        <v>33</v>
      </c>
      <c r="C491" s="4" t="s">
        <v>41</v>
      </c>
      <c r="D491" s="4" t="s">
        <v>48</v>
      </c>
      <c r="E491" s="4" t="s">
        <v>25</v>
      </c>
      <c r="F491" s="4" t="s">
        <v>25</v>
      </c>
      <c r="G491" s="4" t="s">
        <v>25</v>
      </c>
      <c r="H491" s="4" t="s">
        <v>36</v>
      </c>
      <c r="I491" s="5">
        <v>43739</v>
      </c>
      <c r="J491" s="6">
        <v>24692</v>
      </c>
      <c r="K491" s="6">
        <v>24692</v>
      </c>
      <c r="L491" s="6">
        <v>6664.5429999999997</v>
      </c>
      <c r="M491" s="6">
        <v>6664.5429999999997</v>
      </c>
      <c r="N491" s="6">
        <v>6664.5429999999997</v>
      </c>
      <c r="O491" s="6">
        <v>6664.5429999999997</v>
      </c>
      <c r="P491" s="6">
        <v>0</v>
      </c>
      <c r="Q491" s="4" t="s">
        <v>26</v>
      </c>
      <c r="R491" s="4">
        <v>0</v>
      </c>
      <c r="S491" s="4" t="s">
        <v>299</v>
      </c>
      <c r="T491" s="4" t="s">
        <v>700</v>
      </c>
      <c r="U491" s="4">
        <v>22</v>
      </c>
      <c r="V491" s="4">
        <v>23</v>
      </c>
      <c r="W491" s="4">
        <v>82</v>
      </c>
    </row>
    <row r="492" spans="1:23" ht="11.25" customHeight="1" x14ac:dyDescent="0.25">
      <c r="A492" s="4" t="s">
        <v>28</v>
      </c>
      <c r="B492" s="4" t="s">
        <v>33</v>
      </c>
      <c r="C492" s="4" t="s">
        <v>41</v>
      </c>
      <c r="D492" s="4" t="s">
        <v>48</v>
      </c>
      <c r="E492" s="4" t="s">
        <v>25</v>
      </c>
      <c r="F492" s="4" t="s">
        <v>25</v>
      </c>
      <c r="G492" s="4" t="s">
        <v>25</v>
      </c>
      <c r="H492" s="4" t="s">
        <v>36</v>
      </c>
      <c r="I492" s="5">
        <v>43739</v>
      </c>
      <c r="J492" s="6">
        <v>4000</v>
      </c>
      <c r="K492" s="6">
        <v>4000</v>
      </c>
      <c r="L492" s="6">
        <v>1713.5429999999999</v>
      </c>
      <c r="M492" s="6">
        <v>1713.5429999999999</v>
      </c>
      <c r="N492" s="6">
        <v>1713.5429999999999</v>
      </c>
      <c r="O492" s="6">
        <v>1713.5429999999999</v>
      </c>
      <c r="P492" s="6">
        <v>0</v>
      </c>
      <c r="Q492" s="4" t="s">
        <v>26</v>
      </c>
      <c r="R492" s="4">
        <v>0</v>
      </c>
      <c r="S492" s="4" t="s">
        <v>299</v>
      </c>
      <c r="T492" s="4" t="s">
        <v>700</v>
      </c>
      <c r="U492" s="4">
        <v>22</v>
      </c>
      <c r="V492" s="4">
        <v>23</v>
      </c>
      <c r="W492" s="4">
        <v>82</v>
      </c>
    </row>
    <row r="493" spans="1:23" ht="11.25" customHeight="1" x14ac:dyDescent="0.25">
      <c r="A493" s="4" t="s">
        <v>21</v>
      </c>
      <c r="B493" s="4" t="s">
        <v>33</v>
      </c>
      <c r="C493" s="4" t="s">
        <v>41</v>
      </c>
      <c r="D493" s="4" t="s">
        <v>48</v>
      </c>
      <c r="E493" s="4" t="s">
        <v>25</v>
      </c>
      <c r="F493" s="4" t="s">
        <v>25</v>
      </c>
      <c r="G493" s="4" t="s">
        <v>25</v>
      </c>
      <c r="H493" s="4" t="s">
        <v>36</v>
      </c>
      <c r="I493" s="5">
        <v>43770</v>
      </c>
      <c r="J493" s="6">
        <v>24508</v>
      </c>
      <c r="K493" s="6">
        <v>24508</v>
      </c>
      <c r="L493" s="6">
        <v>7382.4979999999996</v>
      </c>
      <c r="M493" s="6">
        <v>7382.4979999999996</v>
      </c>
      <c r="N493" s="6">
        <v>7382.4979999999996</v>
      </c>
      <c r="O493" s="6">
        <v>7382.4979999999996</v>
      </c>
      <c r="P493" s="6">
        <v>0</v>
      </c>
      <c r="Q493" s="4" t="s">
        <v>26</v>
      </c>
      <c r="R493" s="4">
        <v>0</v>
      </c>
      <c r="S493" s="4" t="s">
        <v>300</v>
      </c>
      <c r="T493" s="4" t="s">
        <v>701</v>
      </c>
      <c r="U493" s="4">
        <v>22</v>
      </c>
      <c r="V493" s="4">
        <v>23</v>
      </c>
      <c r="W493" s="4">
        <v>82</v>
      </c>
    </row>
    <row r="494" spans="1:23" ht="11.25" customHeight="1" x14ac:dyDescent="0.25">
      <c r="A494" s="4" t="s">
        <v>28</v>
      </c>
      <c r="B494" s="4" t="s">
        <v>33</v>
      </c>
      <c r="C494" s="4" t="s">
        <v>41</v>
      </c>
      <c r="D494" s="4" t="s">
        <v>48</v>
      </c>
      <c r="E494" s="4" t="s">
        <v>25</v>
      </c>
      <c r="F494" s="4" t="s">
        <v>25</v>
      </c>
      <c r="G494" s="4" t="s">
        <v>25</v>
      </c>
      <c r="H494" s="4" t="s">
        <v>36</v>
      </c>
      <c r="I494" s="5">
        <v>43770</v>
      </c>
      <c r="J494" s="6">
        <v>4000</v>
      </c>
      <c r="K494" s="6">
        <v>4000</v>
      </c>
      <c r="L494" s="6">
        <v>1868.4690000000001</v>
      </c>
      <c r="M494" s="6">
        <v>1868.4690000000001</v>
      </c>
      <c r="N494" s="6">
        <v>1868.4690000000001</v>
      </c>
      <c r="O494" s="6">
        <v>1868.4690000000001</v>
      </c>
      <c r="P494" s="6">
        <v>0</v>
      </c>
      <c r="Q494" s="4" t="s">
        <v>26</v>
      </c>
      <c r="R494" s="4">
        <v>0</v>
      </c>
      <c r="S494" s="4" t="s">
        <v>300</v>
      </c>
      <c r="T494" s="4" t="s">
        <v>701</v>
      </c>
      <c r="U494" s="4">
        <v>22</v>
      </c>
      <c r="V494" s="4">
        <v>23</v>
      </c>
      <c r="W494" s="4">
        <v>82</v>
      </c>
    </row>
    <row r="495" spans="1:23" ht="11.25" customHeight="1" x14ac:dyDescent="0.25">
      <c r="A495" s="4" t="s">
        <v>21</v>
      </c>
      <c r="B495" s="4" t="s">
        <v>33</v>
      </c>
      <c r="C495" s="4" t="s">
        <v>41</v>
      </c>
      <c r="D495" s="4" t="s">
        <v>48</v>
      </c>
      <c r="E495" s="4" t="s">
        <v>25</v>
      </c>
      <c r="F495" s="4" t="s">
        <v>25</v>
      </c>
      <c r="G495" s="4" t="s">
        <v>25</v>
      </c>
      <c r="H495" s="4" t="s">
        <v>36</v>
      </c>
      <c r="I495" s="5">
        <v>43800</v>
      </c>
      <c r="J495" s="6">
        <v>24637</v>
      </c>
      <c r="K495" s="6">
        <v>24637</v>
      </c>
      <c r="L495" s="6">
        <v>6728.192</v>
      </c>
      <c r="M495" s="6">
        <v>6728.192</v>
      </c>
      <c r="N495" s="6">
        <v>6728.192</v>
      </c>
      <c r="O495" s="6">
        <v>6728.192</v>
      </c>
      <c r="P495" s="6">
        <v>0</v>
      </c>
      <c r="Q495" s="4" t="s">
        <v>26</v>
      </c>
      <c r="R495" s="4">
        <v>0</v>
      </c>
      <c r="S495" s="4" t="s">
        <v>301</v>
      </c>
      <c r="T495" s="4" t="s">
        <v>702</v>
      </c>
      <c r="U495" s="4">
        <v>22</v>
      </c>
      <c r="V495" s="4">
        <v>23</v>
      </c>
      <c r="W495" s="4">
        <v>82</v>
      </c>
    </row>
    <row r="496" spans="1:23" ht="11.25" customHeight="1" x14ac:dyDescent="0.25">
      <c r="A496" s="4" t="s">
        <v>28</v>
      </c>
      <c r="B496" s="4" t="s">
        <v>33</v>
      </c>
      <c r="C496" s="4" t="s">
        <v>41</v>
      </c>
      <c r="D496" s="4" t="s">
        <v>48</v>
      </c>
      <c r="E496" s="4" t="s">
        <v>25</v>
      </c>
      <c r="F496" s="4" t="s">
        <v>25</v>
      </c>
      <c r="G496" s="4" t="s">
        <v>25</v>
      </c>
      <c r="H496" s="4" t="s">
        <v>36</v>
      </c>
      <c r="I496" s="5">
        <v>43800</v>
      </c>
      <c r="J496" s="6">
        <v>4000</v>
      </c>
      <c r="K496" s="6">
        <v>4000</v>
      </c>
      <c r="L496" s="6">
        <v>1684.7750000000001</v>
      </c>
      <c r="M496" s="6">
        <v>1684.7750000000001</v>
      </c>
      <c r="N496" s="6">
        <v>1684.7750000000001</v>
      </c>
      <c r="O496" s="6">
        <v>1684.7750000000001</v>
      </c>
      <c r="P496" s="6">
        <v>0</v>
      </c>
      <c r="Q496" s="4" t="s">
        <v>26</v>
      </c>
      <c r="R496" s="4">
        <v>0</v>
      </c>
      <c r="S496" s="4" t="s">
        <v>301</v>
      </c>
      <c r="T496" s="4" t="s">
        <v>702</v>
      </c>
      <c r="U496" s="4">
        <v>22</v>
      </c>
      <c r="V496" s="4">
        <v>23</v>
      </c>
      <c r="W496" s="4">
        <v>82</v>
      </c>
    </row>
    <row r="497" spans="1:23" ht="11.25" customHeight="1" x14ac:dyDescent="0.25">
      <c r="A497" s="4" t="s">
        <v>21</v>
      </c>
      <c r="B497" s="4" t="s">
        <v>33</v>
      </c>
      <c r="C497" s="4" t="s">
        <v>41</v>
      </c>
      <c r="D497" s="4" t="s">
        <v>48</v>
      </c>
      <c r="E497" s="4" t="s">
        <v>25</v>
      </c>
      <c r="F497" s="4" t="s">
        <v>25</v>
      </c>
      <c r="G497" s="4" t="s">
        <v>25</v>
      </c>
      <c r="H497" s="4" t="s">
        <v>36</v>
      </c>
      <c r="I497" s="5">
        <v>43831</v>
      </c>
      <c r="J497" s="6">
        <v>23704</v>
      </c>
      <c r="K497" s="6">
        <v>23704</v>
      </c>
      <c r="L497" s="6">
        <v>6559.5330000000004</v>
      </c>
      <c r="M497" s="6">
        <v>6559.5330000000004</v>
      </c>
      <c r="N497" s="6">
        <v>6559.5330000000004</v>
      </c>
      <c r="O497" s="6">
        <v>6559.5330000000004</v>
      </c>
      <c r="P497" s="6">
        <v>0</v>
      </c>
      <c r="Q497" s="4" t="s">
        <v>26</v>
      </c>
      <c r="R497" s="4">
        <v>0</v>
      </c>
      <c r="S497" s="4" t="s">
        <v>302</v>
      </c>
      <c r="T497" s="4" t="s">
        <v>703</v>
      </c>
      <c r="U497" s="4">
        <v>22</v>
      </c>
      <c r="V497" s="4">
        <v>23</v>
      </c>
      <c r="W497" s="4">
        <v>82</v>
      </c>
    </row>
    <row r="498" spans="1:23" ht="11.25" customHeight="1" x14ac:dyDescent="0.25">
      <c r="A498" s="4" t="s">
        <v>28</v>
      </c>
      <c r="B498" s="4" t="s">
        <v>33</v>
      </c>
      <c r="C498" s="4" t="s">
        <v>41</v>
      </c>
      <c r="D498" s="4" t="s">
        <v>48</v>
      </c>
      <c r="E498" s="4" t="s">
        <v>25</v>
      </c>
      <c r="F498" s="4" t="s">
        <v>25</v>
      </c>
      <c r="G498" s="4" t="s">
        <v>25</v>
      </c>
      <c r="H498" s="4" t="s">
        <v>36</v>
      </c>
      <c r="I498" s="5">
        <v>43831</v>
      </c>
      <c r="J498" s="6">
        <v>4000</v>
      </c>
      <c r="K498" s="6">
        <v>4000</v>
      </c>
      <c r="L498" s="6">
        <v>1367.8489999999999</v>
      </c>
      <c r="M498" s="6">
        <v>1367.8489999999999</v>
      </c>
      <c r="N498" s="6">
        <v>1367.8489999999999</v>
      </c>
      <c r="O498" s="6">
        <v>1367.8489999999999</v>
      </c>
      <c r="P498" s="6">
        <v>0</v>
      </c>
      <c r="Q498" s="4" t="s">
        <v>26</v>
      </c>
      <c r="R498" s="4">
        <v>0</v>
      </c>
      <c r="S498" s="4" t="s">
        <v>302</v>
      </c>
      <c r="T498" s="4" t="s">
        <v>703</v>
      </c>
      <c r="U498" s="4">
        <v>22</v>
      </c>
      <c r="V498" s="4">
        <v>23</v>
      </c>
      <c r="W498" s="4">
        <v>82</v>
      </c>
    </row>
    <row r="499" spans="1:23" ht="11.25" customHeight="1" x14ac:dyDescent="0.25">
      <c r="A499" s="4" t="s">
        <v>21</v>
      </c>
      <c r="B499" s="4" t="s">
        <v>33</v>
      </c>
      <c r="C499" s="4" t="s">
        <v>41</v>
      </c>
      <c r="D499" s="4" t="s">
        <v>48</v>
      </c>
      <c r="E499" s="4" t="s">
        <v>25</v>
      </c>
      <c r="F499" s="4" t="s">
        <v>25</v>
      </c>
      <c r="G499" s="4" t="s">
        <v>25</v>
      </c>
      <c r="H499" s="4" t="s">
        <v>36</v>
      </c>
      <c r="I499" s="5">
        <v>43862</v>
      </c>
      <c r="J499" s="6">
        <v>24054</v>
      </c>
      <c r="K499" s="6">
        <v>24054</v>
      </c>
      <c r="L499" s="6">
        <v>6612.0349999999999</v>
      </c>
      <c r="M499" s="6">
        <v>6612.0349999999999</v>
      </c>
      <c r="N499" s="6">
        <v>6612.0349999999999</v>
      </c>
      <c r="O499" s="6">
        <v>6612.0349999999999</v>
      </c>
      <c r="P499" s="6">
        <v>0</v>
      </c>
      <c r="Q499" s="4" t="s">
        <v>26</v>
      </c>
      <c r="R499" s="4">
        <v>0</v>
      </c>
      <c r="S499" s="4" t="s">
        <v>303</v>
      </c>
      <c r="T499" s="4" t="s">
        <v>704</v>
      </c>
      <c r="U499" s="4">
        <v>22</v>
      </c>
      <c r="V499" s="4">
        <v>23</v>
      </c>
      <c r="W499" s="4">
        <v>82</v>
      </c>
    </row>
    <row r="500" spans="1:23" ht="11.25" customHeight="1" x14ac:dyDescent="0.25">
      <c r="A500" s="4" t="s">
        <v>28</v>
      </c>
      <c r="B500" s="4" t="s">
        <v>33</v>
      </c>
      <c r="C500" s="4" t="s">
        <v>41</v>
      </c>
      <c r="D500" s="4" t="s">
        <v>48</v>
      </c>
      <c r="E500" s="4" t="s">
        <v>25</v>
      </c>
      <c r="F500" s="4" t="s">
        <v>25</v>
      </c>
      <c r="G500" s="4" t="s">
        <v>25</v>
      </c>
      <c r="H500" s="4" t="s">
        <v>36</v>
      </c>
      <c r="I500" s="5">
        <v>43862</v>
      </c>
      <c r="J500" s="6">
        <v>4000</v>
      </c>
      <c r="K500" s="6">
        <v>4000</v>
      </c>
      <c r="L500" s="6">
        <v>1541.8330000000001</v>
      </c>
      <c r="M500" s="6">
        <v>1541.8330000000001</v>
      </c>
      <c r="N500" s="6">
        <v>1541.8330000000001</v>
      </c>
      <c r="O500" s="6">
        <v>1541.8330000000001</v>
      </c>
      <c r="P500" s="6">
        <v>0</v>
      </c>
      <c r="Q500" s="4" t="s">
        <v>26</v>
      </c>
      <c r="R500" s="4">
        <v>0</v>
      </c>
      <c r="S500" s="4" t="s">
        <v>303</v>
      </c>
      <c r="T500" s="4" t="s">
        <v>704</v>
      </c>
      <c r="U500" s="4">
        <v>22</v>
      </c>
      <c r="V500" s="4">
        <v>23</v>
      </c>
      <c r="W500" s="4">
        <v>82</v>
      </c>
    </row>
    <row r="501" spans="1:23" ht="11.25" customHeight="1" x14ac:dyDescent="0.25">
      <c r="A501" s="4" t="s">
        <v>21</v>
      </c>
      <c r="B501" s="4" t="s">
        <v>33</v>
      </c>
      <c r="C501" s="4" t="s">
        <v>41</v>
      </c>
      <c r="D501" s="4" t="s">
        <v>48</v>
      </c>
      <c r="E501" s="4" t="s">
        <v>25</v>
      </c>
      <c r="F501" s="4" t="s">
        <v>25</v>
      </c>
      <c r="G501" s="4" t="s">
        <v>25</v>
      </c>
      <c r="H501" s="4" t="s">
        <v>36</v>
      </c>
      <c r="I501" s="5">
        <v>43891</v>
      </c>
      <c r="J501" s="6">
        <v>23971</v>
      </c>
      <c r="K501" s="6">
        <v>23971</v>
      </c>
      <c r="L501" s="6">
        <v>6198.7209999999995</v>
      </c>
      <c r="M501" s="6">
        <v>6198.7209999999995</v>
      </c>
      <c r="N501" s="6">
        <v>6198.7209999999995</v>
      </c>
      <c r="O501" s="6">
        <v>6198.7209999999995</v>
      </c>
      <c r="P501" s="6">
        <v>0</v>
      </c>
      <c r="Q501" s="4" t="s">
        <v>26</v>
      </c>
      <c r="R501" s="4">
        <v>0</v>
      </c>
      <c r="S501" s="4" t="s">
        <v>304</v>
      </c>
      <c r="T501" s="4" t="s">
        <v>705</v>
      </c>
      <c r="U501" s="4">
        <v>22</v>
      </c>
      <c r="V501" s="4">
        <v>23</v>
      </c>
      <c r="W501" s="4">
        <v>82</v>
      </c>
    </row>
    <row r="502" spans="1:23" ht="11.25" customHeight="1" x14ac:dyDescent="0.25">
      <c r="A502" s="4" t="s">
        <v>28</v>
      </c>
      <c r="B502" s="4" t="s">
        <v>33</v>
      </c>
      <c r="C502" s="4" t="s">
        <v>41</v>
      </c>
      <c r="D502" s="4" t="s">
        <v>48</v>
      </c>
      <c r="E502" s="4" t="s">
        <v>25</v>
      </c>
      <c r="F502" s="4" t="s">
        <v>25</v>
      </c>
      <c r="G502" s="4" t="s">
        <v>25</v>
      </c>
      <c r="H502" s="4" t="s">
        <v>36</v>
      </c>
      <c r="I502" s="5">
        <v>43891</v>
      </c>
      <c r="J502" s="6">
        <v>4000</v>
      </c>
      <c r="K502" s="6">
        <v>4000</v>
      </c>
      <c r="L502" s="6">
        <v>1372.7639999999999</v>
      </c>
      <c r="M502" s="6">
        <v>1372.7639999999999</v>
      </c>
      <c r="N502" s="6">
        <v>1372.7639999999999</v>
      </c>
      <c r="O502" s="6">
        <v>1372.7639999999999</v>
      </c>
      <c r="P502" s="6">
        <v>0</v>
      </c>
      <c r="Q502" s="4" t="s">
        <v>26</v>
      </c>
      <c r="R502" s="4">
        <v>0</v>
      </c>
      <c r="S502" s="4" t="s">
        <v>304</v>
      </c>
      <c r="T502" s="4" t="s">
        <v>705</v>
      </c>
      <c r="U502" s="4">
        <v>22</v>
      </c>
      <c r="V502" s="4">
        <v>23</v>
      </c>
      <c r="W502" s="4">
        <v>82</v>
      </c>
    </row>
    <row r="503" spans="1:23" ht="11.25" customHeight="1" x14ac:dyDescent="0.25">
      <c r="A503" s="4" t="s">
        <v>21</v>
      </c>
      <c r="B503" s="4" t="s">
        <v>33</v>
      </c>
      <c r="C503" s="4" t="s">
        <v>41</v>
      </c>
      <c r="D503" s="4" t="s">
        <v>48</v>
      </c>
      <c r="E503" s="4" t="s">
        <v>25</v>
      </c>
      <c r="F503" s="4" t="s">
        <v>25</v>
      </c>
      <c r="G503" s="4" t="s">
        <v>25</v>
      </c>
      <c r="H503" s="4" t="s">
        <v>36</v>
      </c>
      <c r="I503" s="5">
        <v>43922</v>
      </c>
      <c r="J503" s="6">
        <v>22776</v>
      </c>
      <c r="K503" s="6">
        <v>22776</v>
      </c>
      <c r="L503" s="6">
        <v>6163.0720000000001</v>
      </c>
      <c r="M503" s="6">
        <v>6163.0720000000001</v>
      </c>
      <c r="N503" s="6">
        <v>6163.0720000000001</v>
      </c>
      <c r="O503" s="6">
        <v>6163.0720000000001</v>
      </c>
      <c r="P503" s="6">
        <v>0</v>
      </c>
      <c r="Q503" s="4" t="s">
        <v>26</v>
      </c>
      <c r="R503" s="4">
        <v>0</v>
      </c>
      <c r="S503" s="4" t="s">
        <v>305</v>
      </c>
      <c r="T503" s="4" t="s">
        <v>706</v>
      </c>
      <c r="U503" s="4">
        <v>22</v>
      </c>
      <c r="V503" s="4">
        <v>23</v>
      </c>
      <c r="W503" s="4">
        <v>82</v>
      </c>
    </row>
    <row r="504" spans="1:23" ht="11.25" customHeight="1" x14ac:dyDescent="0.25">
      <c r="A504" s="4" t="s">
        <v>28</v>
      </c>
      <c r="B504" s="4" t="s">
        <v>33</v>
      </c>
      <c r="C504" s="4" t="s">
        <v>41</v>
      </c>
      <c r="D504" s="4" t="s">
        <v>48</v>
      </c>
      <c r="E504" s="4" t="s">
        <v>25</v>
      </c>
      <c r="F504" s="4" t="s">
        <v>25</v>
      </c>
      <c r="G504" s="4" t="s">
        <v>25</v>
      </c>
      <c r="H504" s="4" t="s">
        <v>36</v>
      </c>
      <c r="I504" s="5">
        <v>43922</v>
      </c>
      <c r="J504" s="6">
        <v>4000</v>
      </c>
      <c r="K504" s="6">
        <v>4000</v>
      </c>
      <c r="L504" s="6">
        <v>1169.8630000000001</v>
      </c>
      <c r="M504" s="6">
        <v>1169.8630000000001</v>
      </c>
      <c r="N504" s="6">
        <v>1169.8630000000001</v>
      </c>
      <c r="O504" s="6">
        <v>1169.8630000000001</v>
      </c>
      <c r="P504" s="6">
        <v>0</v>
      </c>
      <c r="Q504" s="4" t="s">
        <v>26</v>
      </c>
      <c r="R504" s="4">
        <v>0</v>
      </c>
      <c r="S504" s="4" t="s">
        <v>305</v>
      </c>
      <c r="T504" s="4" t="s">
        <v>706</v>
      </c>
      <c r="U504" s="4">
        <v>22</v>
      </c>
      <c r="V504" s="4">
        <v>23</v>
      </c>
      <c r="W504" s="4">
        <v>82</v>
      </c>
    </row>
    <row r="505" spans="1:23" ht="11.25" customHeight="1" x14ac:dyDescent="0.25">
      <c r="A505" s="4" t="s">
        <v>21</v>
      </c>
      <c r="B505" s="4" t="s">
        <v>33</v>
      </c>
      <c r="C505" s="4" t="s">
        <v>41</v>
      </c>
      <c r="D505" s="4" t="s">
        <v>48</v>
      </c>
      <c r="E505" s="4" t="s">
        <v>25</v>
      </c>
      <c r="F505" s="4" t="s">
        <v>25</v>
      </c>
      <c r="G505" s="4" t="s">
        <v>25</v>
      </c>
      <c r="H505" s="4" t="s">
        <v>36</v>
      </c>
      <c r="I505" s="5">
        <v>43952</v>
      </c>
      <c r="J505" s="6">
        <v>23110</v>
      </c>
      <c r="K505" s="6">
        <v>23110</v>
      </c>
      <c r="L505" s="6">
        <v>5718.9880000000003</v>
      </c>
      <c r="M505" s="6">
        <v>5718.9880000000003</v>
      </c>
      <c r="N505" s="6">
        <v>5718.9880000000003</v>
      </c>
      <c r="O505" s="6">
        <v>5718.9880000000003</v>
      </c>
      <c r="P505" s="6">
        <v>0</v>
      </c>
      <c r="Q505" s="4" t="s">
        <v>26</v>
      </c>
      <c r="R505" s="4">
        <v>0</v>
      </c>
      <c r="S505" s="4" t="s">
        <v>306</v>
      </c>
      <c r="T505" s="4" t="s">
        <v>707</v>
      </c>
      <c r="U505" s="4">
        <v>22</v>
      </c>
      <c r="V505" s="4">
        <v>23</v>
      </c>
      <c r="W505" s="4">
        <v>82</v>
      </c>
    </row>
    <row r="506" spans="1:23" ht="11.25" customHeight="1" x14ac:dyDescent="0.25">
      <c r="A506" s="4" t="s">
        <v>28</v>
      </c>
      <c r="B506" s="4" t="s">
        <v>33</v>
      </c>
      <c r="C506" s="4" t="s">
        <v>41</v>
      </c>
      <c r="D506" s="4" t="s">
        <v>48</v>
      </c>
      <c r="E506" s="4" t="s">
        <v>25</v>
      </c>
      <c r="F506" s="4" t="s">
        <v>25</v>
      </c>
      <c r="G506" s="4" t="s">
        <v>25</v>
      </c>
      <c r="H506" s="4" t="s">
        <v>36</v>
      </c>
      <c r="I506" s="5">
        <v>43952</v>
      </c>
      <c r="J506" s="6">
        <v>4000</v>
      </c>
      <c r="K506" s="6">
        <v>4000</v>
      </c>
      <c r="L506" s="6">
        <v>922.45799999999997</v>
      </c>
      <c r="M506" s="6">
        <v>922.45799999999997</v>
      </c>
      <c r="N506" s="6">
        <v>922.45799999999997</v>
      </c>
      <c r="O506" s="6">
        <v>922.45799999999997</v>
      </c>
      <c r="P506" s="6">
        <v>0</v>
      </c>
      <c r="Q506" s="4" t="s">
        <v>26</v>
      </c>
      <c r="R506" s="4">
        <v>0</v>
      </c>
      <c r="S506" s="4" t="s">
        <v>306</v>
      </c>
      <c r="T506" s="4" t="s">
        <v>707</v>
      </c>
      <c r="U506" s="4">
        <v>22</v>
      </c>
      <c r="V506" s="4">
        <v>23</v>
      </c>
      <c r="W506" s="4">
        <v>82</v>
      </c>
    </row>
    <row r="507" spans="1:23" ht="11.25" customHeight="1" x14ac:dyDescent="0.25">
      <c r="A507" s="4" t="s">
        <v>21</v>
      </c>
      <c r="B507" s="4" t="s">
        <v>33</v>
      </c>
      <c r="C507" s="4" t="s">
        <v>41</v>
      </c>
      <c r="D507" s="4" t="s">
        <v>48</v>
      </c>
      <c r="E507" s="4" t="s">
        <v>25</v>
      </c>
      <c r="F507" s="4" t="s">
        <v>25</v>
      </c>
      <c r="G507" s="4" t="s">
        <v>25</v>
      </c>
      <c r="H507" s="4" t="s">
        <v>36</v>
      </c>
      <c r="I507" s="5">
        <v>43983</v>
      </c>
      <c r="J507" s="6">
        <v>20895</v>
      </c>
      <c r="K507" s="6">
        <v>20895</v>
      </c>
      <c r="L507" s="6">
        <v>4849.9889999999996</v>
      </c>
      <c r="M507" s="6">
        <v>4849.9889999999996</v>
      </c>
      <c r="N507" s="6">
        <v>4849.9889999999996</v>
      </c>
      <c r="O507" s="6">
        <v>4849.9889999999996</v>
      </c>
      <c r="P507" s="6">
        <v>0</v>
      </c>
      <c r="Q507" s="4" t="s">
        <v>26</v>
      </c>
      <c r="R507" s="4">
        <v>0</v>
      </c>
      <c r="S507" s="4" t="s">
        <v>307</v>
      </c>
      <c r="T507" s="4" t="s">
        <v>708</v>
      </c>
      <c r="U507" s="4">
        <v>22</v>
      </c>
      <c r="V507" s="4">
        <v>23</v>
      </c>
      <c r="W507" s="4">
        <v>82</v>
      </c>
    </row>
    <row r="508" spans="1:23" ht="11.25" customHeight="1" x14ac:dyDescent="0.25">
      <c r="A508" s="4" t="s">
        <v>28</v>
      </c>
      <c r="B508" s="4" t="s">
        <v>33</v>
      </c>
      <c r="C508" s="4" t="s">
        <v>41</v>
      </c>
      <c r="D508" s="4" t="s">
        <v>48</v>
      </c>
      <c r="E508" s="4" t="s">
        <v>25</v>
      </c>
      <c r="F508" s="4" t="s">
        <v>25</v>
      </c>
      <c r="G508" s="4" t="s">
        <v>25</v>
      </c>
      <c r="H508" s="4" t="s">
        <v>36</v>
      </c>
      <c r="I508" s="5">
        <v>43983</v>
      </c>
      <c r="J508" s="6">
        <v>4000</v>
      </c>
      <c r="K508" s="6">
        <v>4000</v>
      </c>
      <c r="L508" s="6">
        <v>905.51099999999997</v>
      </c>
      <c r="M508" s="6">
        <v>905.51099999999997</v>
      </c>
      <c r="N508" s="6">
        <v>905.51099999999997</v>
      </c>
      <c r="O508" s="6">
        <v>905.51099999999997</v>
      </c>
      <c r="P508" s="6">
        <v>0</v>
      </c>
      <c r="Q508" s="4" t="s">
        <v>26</v>
      </c>
      <c r="R508" s="4">
        <v>0</v>
      </c>
      <c r="S508" s="4" t="s">
        <v>307</v>
      </c>
      <c r="T508" s="4" t="s">
        <v>708</v>
      </c>
      <c r="U508" s="4">
        <v>22</v>
      </c>
      <c r="V508" s="4">
        <v>23</v>
      </c>
      <c r="W508" s="4">
        <v>82</v>
      </c>
    </row>
    <row r="509" spans="1:23" ht="11.25" customHeight="1" x14ac:dyDescent="0.25">
      <c r="A509" s="4" t="s">
        <v>21</v>
      </c>
      <c r="B509" s="4" t="s">
        <v>33</v>
      </c>
      <c r="C509" s="4" t="s">
        <v>41</v>
      </c>
      <c r="D509" s="4" t="s">
        <v>48</v>
      </c>
      <c r="E509" s="4" t="s">
        <v>25</v>
      </c>
      <c r="F509" s="4" t="s">
        <v>25</v>
      </c>
      <c r="G509" s="4" t="s">
        <v>25</v>
      </c>
      <c r="H509" s="4" t="s">
        <v>36</v>
      </c>
      <c r="I509" s="5">
        <v>44013</v>
      </c>
      <c r="J509" s="6">
        <v>20990</v>
      </c>
      <c r="K509" s="6">
        <v>20990</v>
      </c>
      <c r="L509" s="6">
        <v>4534.7700000000004</v>
      </c>
      <c r="M509" s="6">
        <v>4534.7700000000004</v>
      </c>
      <c r="N509" s="6">
        <v>4534.7700000000004</v>
      </c>
      <c r="O509" s="6">
        <v>4534.7700000000004</v>
      </c>
      <c r="P509" s="6">
        <v>0</v>
      </c>
      <c r="Q509" s="4" t="s">
        <v>26</v>
      </c>
      <c r="R509" s="4">
        <v>0</v>
      </c>
      <c r="S509" s="4" t="s">
        <v>308</v>
      </c>
      <c r="T509" s="4" t="s">
        <v>709</v>
      </c>
      <c r="U509" s="4">
        <v>22</v>
      </c>
      <c r="V509" s="4">
        <v>23</v>
      </c>
      <c r="W509" s="4">
        <v>82</v>
      </c>
    </row>
    <row r="510" spans="1:23" ht="11.25" customHeight="1" x14ac:dyDescent="0.25">
      <c r="A510" s="4" t="s">
        <v>28</v>
      </c>
      <c r="B510" s="4" t="s">
        <v>33</v>
      </c>
      <c r="C510" s="4" t="s">
        <v>41</v>
      </c>
      <c r="D510" s="4" t="s">
        <v>48</v>
      </c>
      <c r="E510" s="4" t="s">
        <v>25</v>
      </c>
      <c r="F510" s="4" t="s">
        <v>25</v>
      </c>
      <c r="G510" s="4" t="s">
        <v>25</v>
      </c>
      <c r="H510" s="4" t="s">
        <v>36</v>
      </c>
      <c r="I510" s="5">
        <v>44013</v>
      </c>
      <c r="J510" s="6">
        <v>4000</v>
      </c>
      <c r="K510" s="6">
        <v>4000</v>
      </c>
      <c r="L510" s="6">
        <v>827.35599999999999</v>
      </c>
      <c r="M510" s="6">
        <v>827.35599999999999</v>
      </c>
      <c r="N510" s="6">
        <v>827.35599999999999</v>
      </c>
      <c r="O510" s="6">
        <v>827.35599999999999</v>
      </c>
      <c r="P510" s="6">
        <v>0</v>
      </c>
      <c r="Q510" s="4" t="s">
        <v>26</v>
      </c>
      <c r="R510" s="4">
        <v>0</v>
      </c>
      <c r="S510" s="4" t="s">
        <v>308</v>
      </c>
      <c r="T510" s="4" t="s">
        <v>709</v>
      </c>
      <c r="U510" s="4">
        <v>22</v>
      </c>
      <c r="V510" s="4">
        <v>23</v>
      </c>
      <c r="W510" s="4">
        <v>82</v>
      </c>
    </row>
    <row r="511" spans="1:23" ht="11.25" customHeight="1" x14ac:dyDescent="0.25">
      <c r="A511" s="4" t="s">
        <v>21</v>
      </c>
      <c r="B511" s="4" t="s">
        <v>33</v>
      </c>
      <c r="C511" s="4" t="s">
        <v>41</v>
      </c>
      <c r="D511" s="4" t="s">
        <v>48</v>
      </c>
      <c r="E511" s="4" t="s">
        <v>25</v>
      </c>
      <c r="F511" s="4" t="s">
        <v>25</v>
      </c>
      <c r="G511" s="4" t="s">
        <v>25</v>
      </c>
      <c r="H511" s="4" t="s">
        <v>36</v>
      </c>
      <c r="I511" s="5">
        <v>44044</v>
      </c>
      <c r="J511" s="6">
        <v>21718</v>
      </c>
      <c r="K511" s="6">
        <v>21718</v>
      </c>
      <c r="L511" s="6">
        <v>4912.1769999999997</v>
      </c>
      <c r="M511" s="6">
        <v>4912.1769999999997</v>
      </c>
      <c r="N511" s="6">
        <v>4912.1769999999997</v>
      </c>
      <c r="O511" s="6">
        <v>4912.1769999999997</v>
      </c>
      <c r="P511" s="6">
        <v>0</v>
      </c>
      <c r="Q511" s="4" t="s">
        <v>26</v>
      </c>
      <c r="R511" s="4">
        <v>0</v>
      </c>
      <c r="S511" s="4" t="s">
        <v>309</v>
      </c>
      <c r="T511" s="4" t="s">
        <v>710</v>
      </c>
      <c r="U511" s="4">
        <v>22</v>
      </c>
      <c r="V511" s="4">
        <v>23</v>
      </c>
      <c r="W511" s="4">
        <v>82</v>
      </c>
    </row>
    <row r="512" spans="1:23" ht="11.25" customHeight="1" x14ac:dyDescent="0.25">
      <c r="A512" s="4" t="s">
        <v>28</v>
      </c>
      <c r="B512" s="4" t="s">
        <v>33</v>
      </c>
      <c r="C512" s="4" t="s">
        <v>41</v>
      </c>
      <c r="D512" s="4" t="s">
        <v>48</v>
      </c>
      <c r="E512" s="4" t="s">
        <v>25</v>
      </c>
      <c r="F512" s="4" t="s">
        <v>25</v>
      </c>
      <c r="G512" s="4" t="s">
        <v>25</v>
      </c>
      <c r="H512" s="4" t="s">
        <v>36</v>
      </c>
      <c r="I512" s="5">
        <v>44044</v>
      </c>
      <c r="J512" s="6">
        <v>4000</v>
      </c>
      <c r="K512" s="6">
        <v>4000</v>
      </c>
      <c r="L512" s="6">
        <v>869.70100000000002</v>
      </c>
      <c r="M512" s="6">
        <v>869.70100000000002</v>
      </c>
      <c r="N512" s="6">
        <v>869.70100000000002</v>
      </c>
      <c r="O512" s="6">
        <v>869.70100000000002</v>
      </c>
      <c r="P512" s="6">
        <v>0</v>
      </c>
      <c r="Q512" s="4" t="s">
        <v>26</v>
      </c>
      <c r="R512" s="4">
        <v>0</v>
      </c>
      <c r="S512" s="4" t="s">
        <v>309</v>
      </c>
      <c r="T512" s="4" t="s">
        <v>710</v>
      </c>
      <c r="U512" s="4">
        <v>22</v>
      </c>
      <c r="V512" s="4">
        <v>23</v>
      </c>
      <c r="W512" s="4">
        <v>82</v>
      </c>
    </row>
    <row r="513" spans="1:23" ht="11.25" customHeight="1" x14ac:dyDescent="0.25">
      <c r="A513" s="4" t="s">
        <v>59</v>
      </c>
      <c r="B513" s="4" t="s">
        <v>33</v>
      </c>
      <c r="C513" s="4" t="s">
        <v>41</v>
      </c>
      <c r="D513" s="4" t="s">
        <v>48</v>
      </c>
      <c r="E513" s="4" t="s">
        <v>25</v>
      </c>
      <c r="F513" s="4" t="s">
        <v>25</v>
      </c>
      <c r="G513" s="4" t="s">
        <v>25</v>
      </c>
      <c r="H513" s="4" t="s">
        <v>36</v>
      </c>
      <c r="I513" s="5">
        <v>44075</v>
      </c>
      <c r="J513" s="6">
        <v>21718</v>
      </c>
      <c r="K513" s="6">
        <v>21718</v>
      </c>
      <c r="L513" s="6">
        <v>4912.1769999999997</v>
      </c>
      <c r="M513" s="6">
        <v>4912.1769999999997</v>
      </c>
      <c r="N513" s="6">
        <v>4912.1769999999997</v>
      </c>
      <c r="O513" s="6">
        <v>4912.1769999999997</v>
      </c>
      <c r="P513" s="6">
        <v>0</v>
      </c>
      <c r="Q513" s="4" t="s">
        <v>26</v>
      </c>
      <c r="R513" s="4">
        <v>0</v>
      </c>
      <c r="S513" s="4" t="s">
        <v>310</v>
      </c>
      <c r="T513" s="4" t="s">
        <v>711</v>
      </c>
      <c r="U513" s="4">
        <v>22</v>
      </c>
      <c r="V513" s="4">
        <v>23</v>
      </c>
      <c r="W513" s="4">
        <v>82</v>
      </c>
    </row>
    <row r="514" spans="1:23" ht="11.25" customHeight="1" x14ac:dyDescent="0.25">
      <c r="A514" s="4" t="s">
        <v>59</v>
      </c>
      <c r="B514" s="4" t="s">
        <v>33</v>
      </c>
      <c r="C514" s="4" t="s">
        <v>41</v>
      </c>
      <c r="D514" s="4" t="s">
        <v>48</v>
      </c>
      <c r="E514" s="4" t="s">
        <v>25</v>
      </c>
      <c r="F514" s="4" t="s">
        <v>25</v>
      </c>
      <c r="G514" s="4" t="s">
        <v>25</v>
      </c>
      <c r="H514" s="4" t="s">
        <v>36</v>
      </c>
      <c r="I514" s="5">
        <v>44075</v>
      </c>
      <c r="J514" s="6">
        <v>4000</v>
      </c>
      <c r="K514" s="6">
        <v>4000</v>
      </c>
      <c r="L514" s="6">
        <v>869.70100000000002</v>
      </c>
      <c r="M514" s="6">
        <v>869.70100000000002</v>
      </c>
      <c r="N514" s="6">
        <v>869.70100000000002</v>
      </c>
      <c r="O514" s="6">
        <v>869.70100000000002</v>
      </c>
      <c r="P514" s="6">
        <v>0</v>
      </c>
      <c r="Q514" s="4" t="s">
        <v>26</v>
      </c>
      <c r="R514" s="4">
        <v>0</v>
      </c>
      <c r="S514" s="4" t="s">
        <v>310</v>
      </c>
      <c r="T514" s="4" t="s">
        <v>711</v>
      </c>
      <c r="U514" s="4">
        <v>22</v>
      </c>
      <c r="V514" s="4">
        <v>23</v>
      </c>
      <c r="W514" s="4">
        <v>82</v>
      </c>
    </row>
    <row r="515" spans="1:23" ht="11.25" customHeight="1" x14ac:dyDescent="0.25">
      <c r="A515" s="4" t="s">
        <v>21</v>
      </c>
      <c r="B515" s="4" t="s">
        <v>33</v>
      </c>
      <c r="C515" s="4" t="s">
        <v>41</v>
      </c>
      <c r="D515" s="4" t="s">
        <v>48</v>
      </c>
      <c r="E515" s="4" t="s">
        <v>25</v>
      </c>
      <c r="F515" s="4" t="s">
        <v>25</v>
      </c>
      <c r="G515" s="4" t="s">
        <v>25</v>
      </c>
      <c r="H515" s="4" t="s">
        <v>35</v>
      </c>
      <c r="I515" s="5">
        <v>43739</v>
      </c>
      <c r="J515" s="6">
        <v>18092</v>
      </c>
      <c r="K515" s="6">
        <v>18092</v>
      </c>
      <c r="L515" s="6">
        <v>699.43499999999995</v>
      </c>
      <c r="M515" s="6">
        <v>699.43499999999995</v>
      </c>
      <c r="N515" s="6">
        <v>699.43499999999995</v>
      </c>
      <c r="O515" s="6">
        <v>699.43499999999995</v>
      </c>
      <c r="P515" s="6">
        <v>0</v>
      </c>
      <c r="Q515" s="4" t="s">
        <v>26</v>
      </c>
      <c r="R515" s="4">
        <v>0</v>
      </c>
      <c r="S515" s="4" t="s">
        <v>311</v>
      </c>
      <c r="T515" s="4" t="s">
        <v>712</v>
      </c>
      <c r="U515" s="4">
        <v>21</v>
      </c>
      <c r="V515" s="4">
        <v>23</v>
      </c>
      <c r="W515" s="4">
        <v>81</v>
      </c>
    </row>
    <row r="516" spans="1:23" ht="11.25" customHeight="1" x14ac:dyDescent="0.25">
      <c r="A516" s="4" t="s">
        <v>28</v>
      </c>
      <c r="B516" s="4" t="s">
        <v>33</v>
      </c>
      <c r="C516" s="4" t="s">
        <v>41</v>
      </c>
      <c r="D516" s="4" t="s">
        <v>48</v>
      </c>
      <c r="E516" s="4" t="s">
        <v>25</v>
      </c>
      <c r="F516" s="4" t="s">
        <v>25</v>
      </c>
      <c r="G516" s="4" t="s">
        <v>25</v>
      </c>
      <c r="H516" s="4" t="s">
        <v>35</v>
      </c>
      <c r="I516" s="5">
        <v>43739</v>
      </c>
      <c r="J516" s="6">
        <v>2850</v>
      </c>
      <c r="K516" s="6">
        <v>2850</v>
      </c>
      <c r="L516" s="6">
        <v>0</v>
      </c>
      <c r="M516" s="6">
        <v>0</v>
      </c>
      <c r="N516" s="6">
        <v>0</v>
      </c>
      <c r="O516" s="6">
        <v>0</v>
      </c>
      <c r="P516" s="6">
        <v>0</v>
      </c>
      <c r="Q516" s="4" t="s">
        <v>26</v>
      </c>
      <c r="R516" s="4">
        <v>0</v>
      </c>
      <c r="S516" s="4" t="s">
        <v>311</v>
      </c>
      <c r="T516" s="4" t="s">
        <v>712</v>
      </c>
      <c r="U516" s="4">
        <v>21</v>
      </c>
      <c r="V516" s="4">
        <v>0</v>
      </c>
      <c r="W516" s="4">
        <v>0</v>
      </c>
    </row>
    <row r="517" spans="1:23" ht="11.25" customHeight="1" x14ac:dyDescent="0.25">
      <c r="A517" s="4" t="s">
        <v>21</v>
      </c>
      <c r="B517" s="4" t="s">
        <v>33</v>
      </c>
      <c r="C517" s="4" t="s">
        <v>41</v>
      </c>
      <c r="D517" s="4" t="s">
        <v>48</v>
      </c>
      <c r="E517" s="4" t="s">
        <v>25</v>
      </c>
      <c r="F517" s="4" t="s">
        <v>25</v>
      </c>
      <c r="G517" s="4" t="s">
        <v>25</v>
      </c>
      <c r="H517" s="4" t="s">
        <v>35</v>
      </c>
      <c r="I517" s="5">
        <v>43770</v>
      </c>
      <c r="J517" s="6">
        <v>18162</v>
      </c>
      <c r="K517" s="6">
        <v>18162</v>
      </c>
      <c r="L517" s="6">
        <v>747.22299999999996</v>
      </c>
      <c r="M517" s="6">
        <v>747.22299999999996</v>
      </c>
      <c r="N517" s="6">
        <v>747.22299999999996</v>
      </c>
      <c r="O517" s="6">
        <v>747.22299999999996</v>
      </c>
      <c r="P517" s="6">
        <v>0</v>
      </c>
      <c r="Q517" s="4" t="s">
        <v>26</v>
      </c>
      <c r="R517" s="4">
        <v>0</v>
      </c>
      <c r="S517" s="4" t="s">
        <v>312</v>
      </c>
      <c r="T517" s="4" t="s">
        <v>713</v>
      </c>
      <c r="U517" s="4">
        <v>21</v>
      </c>
      <c r="V517" s="4">
        <v>23</v>
      </c>
      <c r="W517" s="4">
        <v>81</v>
      </c>
    </row>
    <row r="518" spans="1:23" ht="11.25" customHeight="1" x14ac:dyDescent="0.25">
      <c r="A518" s="4" t="s">
        <v>28</v>
      </c>
      <c r="B518" s="4" t="s">
        <v>33</v>
      </c>
      <c r="C518" s="4" t="s">
        <v>41</v>
      </c>
      <c r="D518" s="4" t="s">
        <v>48</v>
      </c>
      <c r="E518" s="4" t="s">
        <v>25</v>
      </c>
      <c r="F518" s="4" t="s">
        <v>25</v>
      </c>
      <c r="G518" s="4" t="s">
        <v>25</v>
      </c>
      <c r="H518" s="4" t="s">
        <v>35</v>
      </c>
      <c r="I518" s="5">
        <v>43770</v>
      </c>
      <c r="J518" s="6">
        <v>2850</v>
      </c>
      <c r="K518" s="6">
        <v>2850</v>
      </c>
      <c r="L518" s="6">
        <v>214.26499999999999</v>
      </c>
      <c r="M518" s="6">
        <v>214.26499999999999</v>
      </c>
      <c r="N518" s="6">
        <v>214.26499999999999</v>
      </c>
      <c r="O518" s="6">
        <v>214.26499999999999</v>
      </c>
      <c r="P518" s="6">
        <v>0</v>
      </c>
      <c r="Q518" s="4" t="s">
        <v>26</v>
      </c>
      <c r="R518" s="4">
        <v>0</v>
      </c>
      <c r="S518" s="4" t="s">
        <v>312</v>
      </c>
      <c r="T518" s="4" t="s">
        <v>713</v>
      </c>
      <c r="U518" s="4">
        <v>21</v>
      </c>
      <c r="V518" s="4">
        <v>23</v>
      </c>
      <c r="W518" s="4">
        <v>81</v>
      </c>
    </row>
    <row r="519" spans="1:23" ht="11.25" customHeight="1" x14ac:dyDescent="0.25">
      <c r="A519" s="4" t="s">
        <v>21</v>
      </c>
      <c r="B519" s="4" t="s">
        <v>33</v>
      </c>
      <c r="C519" s="4" t="s">
        <v>41</v>
      </c>
      <c r="D519" s="4" t="s">
        <v>48</v>
      </c>
      <c r="E519" s="4" t="s">
        <v>25</v>
      </c>
      <c r="F519" s="4" t="s">
        <v>25</v>
      </c>
      <c r="G519" s="4" t="s">
        <v>25</v>
      </c>
      <c r="H519" s="4" t="s">
        <v>35</v>
      </c>
      <c r="I519" s="5">
        <v>43800</v>
      </c>
      <c r="J519" s="6">
        <v>17926</v>
      </c>
      <c r="K519" s="6">
        <v>17926</v>
      </c>
      <c r="L519" s="6">
        <v>651.02800000000002</v>
      </c>
      <c r="M519" s="6">
        <v>651.02800000000002</v>
      </c>
      <c r="N519" s="6">
        <v>651.02800000000002</v>
      </c>
      <c r="O519" s="6">
        <v>651.02800000000002</v>
      </c>
      <c r="P519" s="6">
        <v>0</v>
      </c>
      <c r="Q519" s="4" t="s">
        <v>26</v>
      </c>
      <c r="R519" s="4">
        <v>0</v>
      </c>
      <c r="S519" s="4" t="s">
        <v>313</v>
      </c>
      <c r="T519" s="4" t="s">
        <v>714</v>
      </c>
      <c r="U519" s="4">
        <v>21</v>
      </c>
      <c r="V519" s="4">
        <v>23</v>
      </c>
      <c r="W519" s="4">
        <v>81</v>
      </c>
    </row>
    <row r="520" spans="1:23" ht="11.25" customHeight="1" x14ac:dyDescent="0.25">
      <c r="A520" s="4" t="s">
        <v>28</v>
      </c>
      <c r="B520" s="4" t="s">
        <v>33</v>
      </c>
      <c r="C520" s="4" t="s">
        <v>41</v>
      </c>
      <c r="D520" s="4" t="s">
        <v>48</v>
      </c>
      <c r="E520" s="4" t="s">
        <v>25</v>
      </c>
      <c r="F520" s="4" t="s">
        <v>25</v>
      </c>
      <c r="G520" s="4" t="s">
        <v>25</v>
      </c>
      <c r="H520" s="4" t="s">
        <v>35</v>
      </c>
      <c r="I520" s="5">
        <v>43800</v>
      </c>
      <c r="J520" s="6">
        <v>2850</v>
      </c>
      <c r="K520" s="6">
        <v>2850</v>
      </c>
      <c r="L520" s="6">
        <v>182.221</v>
      </c>
      <c r="M520" s="6">
        <v>182.221</v>
      </c>
      <c r="N520" s="6">
        <v>182.221</v>
      </c>
      <c r="O520" s="6">
        <v>182.221</v>
      </c>
      <c r="P520" s="6">
        <v>0</v>
      </c>
      <c r="Q520" s="4" t="s">
        <v>26</v>
      </c>
      <c r="R520" s="4">
        <v>0</v>
      </c>
      <c r="S520" s="4" t="s">
        <v>313</v>
      </c>
      <c r="T520" s="4" t="s">
        <v>714</v>
      </c>
      <c r="U520" s="4">
        <v>21</v>
      </c>
      <c r="V520" s="4">
        <v>23</v>
      </c>
      <c r="W520" s="4">
        <v>81</v>
      </c>
    </row>
    <row r="521" spans="1:23" ht="11.25" customHeight="1" x14ac:dyDescent="0.25">
      <c r="A521" s="4" t="s">
        <v>21</v>
      </c>
      <c r="B521" s="4" t="s">
        <v>33</v>
      </c>
      <c r="C521" s="4" t="s">
        <v>41</v>
      </c>
      <c r="D521" s="4" t="s">
        <v>48</v>
      </c>
      <c r="E521" s="4" t="s">
        <v>25</v>
      </c>
      <c r="F521" s="4" t="s">
        <v>25</v>
      </c>
      <c r="G521" s="4" t="s">
        <v>25</v>
      </c>
      <c r="H521" s="4" t="s">
        <v>35</v>
      </c>
      <c r="I521" s="5">
        <v>43831</v>
      </c>
      <c r="J521" s="6">
        <v>17988</v>
      </c>
      <c r="K521" s="6">
        <v>17988</v>
      </c>
      <c r="L521" s="6">
        <v>619.58100000000002</v>
      </c>
      <c r="M521" s="6">
        <v>619.58100000000002</v>
      </c>
      <c r="N521" s="6">
        <v>619.58100000000002</v>
      </c>
      <c r="O521" s="6">
        <v>619.58100000000002</v>
      </c>
      <c r="P521" s="6">
        <v>0</v>
      </c>
      <c r="Q521" s="4" t="s">
        <v>26</v>
      </c>
      <c r="R521" s="4">
        <v>0</v>
      </c>
      <c r="S521" s="4" t="s">
        <v>314</v>
      </c>
      <c r="T521" s="4" t="s">
        <v>715</v>
      </c>
      <c r="U521" s="4">
        <v>21</v>
      </c>
      <c r="V521" s="4">
        <v>23</v>
      </c>
      <c r="W521" s="4">
        <v>81</v>
      </c>
    </row>
    <row r="522" spans="1:23" ht="11.25" customHeight="1" x14ac:dyDescent="0.25">
      <c r="A522" s="4" t="s">
        <v>28</v>
      </c>
      <c r="B522" s="4" t="s">
        <v>33</v>
      </c>
      <c r="C522" s="4" t="s">
        <v>41</v>
      </c>
      <c r="D522" s="4" t="s">
        <v>48</v>
      </c>
      <c r="E522" s="4" t="s">
        <v>25</v>
      </c>
      <c r="F522" s="4" t="s">
        <v>25</v>
      </c>
      <c r="G522" s="4" t="s">
        <v>25</v>
      </c>
      <c r="H522" s="4" t="s">
        <v>35</v>
      </c>
      <c r="I522" s="5">
        <v>43831</v>
      </c>
      <c r="J522" s="6">
        <v>2850</v>
      </c>
      <c r="K522" s="6">
        <v>2850</v>
      </c>
      <c r="L522" s="6">
        <v>121.217</v>
      </c>
      <c r="M522" s="6">
        <v>121.217</v>
      </c>
      <c r="N522" s="6">
        <v>121.217</v>
      </c>
      <c r="O522" s="6">
        <v>121.217</v>
      </c>
      <c r="P522" s="6">
        <v>0</v>
      </c>
      <c r="Q522" s="4" t="s">
        <v>26</v>
      </c>
      <c r="R522" s="4">
        <v>0</v>
      </c>
      <c r="S522" s="4" t="s">
        <v>314</v>
      </c>
      <c r="T522" s="4" t="s">
        <v>715</v>
      </c>
      <c r="U522" s="4">
        <v>21</v>
      </c>
      <c r="V522" s="4">
        <v>23</v>
      </c>
      <c r="W522" s="4">
        <v>81</v>
      </c>
    </row>
    <row r="523" spans="1:23" ht="11.25" customHeight="1" x14ac:dyDescent="0.25">
      <c r="A523" s="4" t="s">
        <v>21</v>
      </c>
      <c r="B523" s="4" t="s">
        <v>33</v>
      </c>
      <c r="C523" s="4" t="s">
        <v>41</v>
      </c>
      <c r="D523" s="4" t="s">
        <v>48</v>
      </c>
      <c r="E523" s="4" t="s">
        <v>25</v>
      </c>
      <c r="F523" s="4" t="s">
        <v>25</v>
      </c>
      <c r="G523" s="4" t="s">
        <v>25</v>
      </c>
      <c r="H523" s="4" t="s">
        <v>35</v>
      </c>
      <c r="I523" s="5">
        <v>43862</v>
      </c>
      <c r="J523" s="6">
        <v>18234</v>
      </c>
      <c r="K523" s="6">
        <v>18234</v>
      </c>
      <c r="L523" s="6">
        <v>661.69299999999998</v>
      </c>
      <c r="M523" s="6">
        <v>661.69299999999998</v>
      </c>
      <c r="N523" s="6">
        <v>661.69299999999998</v>
      </c>
      <c r="O523" s="6">
        <v>661.69299999999998</v>
      </c>
      <c r="P523" s="6">
        <v>0</v>
      </c>
      <c r="Q523" s="4" t="s">
        <v>26</v>
      </c>
      <c r="R523" s="4">
        <v>0</v>
      </c>
      <c r="S523" s="4" t="s">
        <v>315</v>
      </c>
      <c r="T523" s="4" t="s">
        <v>716</v>
      </c>
      <c r="U523" s="4">
        <v>21</v>
      </c>
      <c r="V523" s="4">
        <v>23</v>
      </c>
      <c r="W523" s="4">
        <v>81</v>
      </c>
    </row>
    <row r="524" spans="1:23" ht="11.25" customHeight="1" x14ac:dyDescent="0.25">
      <c r="A524" s="4" t="s">
        <v>28</v>
      </c>
      <c r="B524" s="4" t="s">
        <v>33</v>
      </c>
      <c r="C524" s="4" t="s">
        <v>41</v>
      </c>
      <c r="D524" s="4" t="s">
        <v>48</v>
      </c>
      <c r="E524" s="4" t="s">
        <v>25</v>
      </c>
      <c r="F524" s="4" t="s">
        <v>25</v>
      </c>
      <c r="G524" s="4" t="s">
        <v>25</v>
      </c>
      <c r="H524" s="4" t="s">
        <v>35</v>
      </c>
      <c r="I524" s="5">
        <v>43862</v>
      </c>
      <c r="J524" s="6">
        <v>2850</v>
      </c>
      <c r="K524" s="6">
        <v>2850</v>
      </c>
      <c r="L524" s="6">
        <v>157.667</v>
      </c>
      <c r="M524" s="6">
        <v>157.667</v>
      </c>
      <c r="N524" s="6">
        <v>157.667</v>
      </c>
      <c r="O524" s="6">
        <v>157.667</v>
      </c>
      <c r="P524" s="6">
        <v>0</v>
      </c>
      <c r="Q524" s="4" t="s">
        <v>26</v>
      </c>
      <c r="R524" s="4">
        <v>0</v>
      </c>
      <c r="S524" s="4" t="s">
        <v>315</v>
      </c>
      <c r="T524" s="4" t="s">
        <v>716</v>
      </c>
      <c r="U524" s="4">
        <v>21</v>
      </c>
      <c r="V524" s="4">
        <v>23</v>
      </c>
      <c r="W524" s="4">
        <v>81</v>
      </c>
    </row>
    <row r="525" spans="1:23" ht="11.25" customHeight="1" x14ac:dyDescent="0.25">
      <c r="A525" s="4" t="s">
        <v>21</v>
      </c>
      <c r="B525" s="4" t="s">
        <v>33</v>
      </c>
      <c r="C525" s="4" t="s">
        <v>41</v>
      </c>
      <c r="D525" s="4" t="s">
        <v>48</v>
      </c>
      <c r="E525" s="4" t="s">
        <v>25</v>
      </c>
      <c r="F525" s="4" t="s">
        <v>25</v>
      </c>
      <c r="G525" s="4" t="s">
        <v>25</v>
      </c>
      <c r="H525" s="4" t="s">
        <v>35</v>
      </c>
      <c r="I525" s="5">
        <v>43891</v>
      </c>
      <c r="J525" s="6">
        <v>17725</v>
      </c>
      <c r="K525" s="6">
        <v>17725</v>
      </c>
      <c r="L525" s="6">
        <v>598.202</v>
      </c>
      <c r="M525" s="6">
        <v>598.202</v>
      </c>
      <c r="N525" s="6">
        <v>598.202</v>
      </c>
      <c r="O525" s="6">
        <v>598.202</v>
      </c>
      <c r="P525" s="6">
        <v>0</v>
      </c>
      <c r="Q525" s="4" t="s">
        <v>26</v>
      </c>
      <c r="R525" s="4">
        <v>0</v>
      </c>
      <c r="S525" s="4" t="s">
        <v>316</v>
      </c>
      <c r="T525" s="4" t="s">
        <v>717</v>
      </c>
      <c r="U525" s="4">
        <v>21</v>
      </c>
      <c r="V525" s="4">
        <v>23</v>
      </c>
      <c r="W525" s="4">
        <v>81</v>
      </c>
    </row>
    <row r="526" spans="1:23" ht="11.25" customHeight="1" x14ac:dyDescent="0.25">
      <c r="A526" s="4" t="s">
        <v>28</v>
      </c>
      <c r="B526" s="4" t="s">
        <v>33</v>
      </c>
      <c r="C526" s="4" t="s">
        <v>41</v>
      </c>
      <c r="D526" s="4" t="s">
        <v>48</v>
      </c>
      <c r="E526" s="4" t="s">
        <v>25</v>
      </c>
      <c r="F526" s="4" t="s">
        <v>25</v>
      </c>
      <c r="G526" s="4" t="s">
        <v>25</v>
      </c>
      <c r="H526" s="4" t="s">
        <v>35</v>
      </c>
      <c r="I526" s="5">
        <v>43891</v>
      </c>
      <c r="J526" s="6">
        <v>2850</v>
      </c>
      <c r="K526" s="6">
        <v>2850</v>
      </c>
      <c r="L526" s="6">
        <v>134.505</v>
      </c>
      <c r="M526" s="6">
        <v>134.505</v>
      </c>
      <c r="N526" s="6">
        <v>134.505</v>
      </c>
      <c r="O526" s="6">
        <v>134.505</v>
      </c>
      <c r="P526" s="6">
        <v>0</v>
      </c>
      <c r="Q526" s="4" t="s">
        <v>26</v>
      </c>
      <c r="R526" s="4">
        <v>0</v>
      </c>
      <c r="S526" s="4" t="s">
        <v>316</v>
      </c>
      <c r="T526" s="4" t="s">
        <v>717</v>
      </c>
      <c r="U526" s="4">
        <v>21</v>
      </c>
      <c r="V526" s="4">
        <v>23</v>
      </c>
      <c r="W526" s="4">
        <v>81</v>
      </c>
    </row>
    <row r="527" spans="1:23" ht="11.25" customHeight="1" x14ac:dyDescent="0.25">
      <c r="A527" s="4" t="s">
        <v>21</v>
      </c>
      <c r="B527" s="4" t="s">
        <v>33</v>
      </c>
      <c r="C527" s="4" t="s">
        <v>41</v>
      </c>
      <c r="D527" s="4" t="s">
        <v>48</v>
      </c>
      <c r="E527" s="4" t="s">
        <v>25</v>
      </c>
      <c r="F527" s="4" t="s">
        <v>25</v>
      </c>
      <c r="G527" s="4" t="s">
        <v>25</v>
      </c>
      <c r="H527" s="4" t="s">
        <v>35</v>
      </c>
      <c r="I527" s="5">
        <v>43922</v>
      </c>
      <c r="J527" s="6">
        <v>16958</v>
      </c>
      <c r="K527" s="6">
        <v>16958</v>
      </c>
      <c r="L527" s="6">
        <v>613.08199999999999</v>
      </c>
      <c r="M527" s="6">
        <v>613.08199999999999</v>
      </c>
      <c r="N527" s="6">
        <v>613.08199999999999</v>
      </c>
      <c r="O527" s="6">
        <v>613.08199999999999</v>
      </c>
      <c r="P527" s="6">
        <v>0</v>
      </c>
      <c r="Q527" s="4" t="s">
        <v>26</v>
      </c>
      <c r="R527" s="4">
        <v>0</v>
      </c>
      <c r="S527" s="4" t="s">
        <v>317</v>
      </c>
      <c r="T527" s="4" t="s">
        <v>718</v>
      </c>
      <c r="U527" s="4">
        <v>21</v>
      </c>
      <c r="V527" s="4">
        <v>23</v>
      </c>
      <c r="W527" s="4">
        <v>81</v>
      </c>
    </row>
    <row r="528" spans="1:23" ht="11.25" customHeight="1" x14ac:dyDescent="0.25">
      <c r="A528" s="4" t="s">
        <v>28</v>
      </c>
      <c r="B528" s="4" t="s">
        <v>33</v>
      </c>
      <c r="C528" s="4" t="s">
        <v>41</v>
      </c>
      <c r="D528" s="4" t="s">
        <v>48</v>
      </c>
      <c r="E528" s="4" t="s">
        <v>25</v>
      </c>
      <c r="F528" s="4" t="s">
        <v>25</v>
      </c>
      <c r="G528" s="4" t="s">
        <v>25</v>
      </c>
      <c r="H528" s="4" t="s">
        <v>35</v>
      </c>
      <c r="I528" s="5">
        <v>43922</v>
      </c>
      <c r="J528" s="6">
        <v>2850</v>
      </c>
      <c r="K528" s="6">
        <v>2850</v>
      </c>
      <c r="L528" s="6">
        <v>122.187</v>
      </c>
      <c r="M528" s="6">
        <v>122.187</v>
      </c>
      <c r="N528" s="6">
        <v>122.187</v>
      </c>
      <c r="O528" s="6">
        <v>122.187</v>
      </c>
      <c r="P528" s="6">
        <v>0</v>
      </c>
      <c r="Q528" s="4" t="s">
        <v>26</v>
      </c>
      <c r="R528" s="4">
        <v>0</v>
      </c>
      <c r="S528" s="4" t="s">
        <v>317</v>
      </c>
      <c r="T528" s="4" t="s">
        <v>718</v>
      </c>
      <c r="U528" s="4">
        <v>21</v>
      </c>
      <c r="V528" s="4">
        <v>23</v>
      </c>
      <c r="W528" s="4">
        <v>81</v>
      </c>
    </row>
    <row r="529" spans="1:23" ht="11.25" customHeight="1" x14ac:dyDescent="0.25">
      <c r="A529" s="4" t="s">
        <v>21</v>
      </c>
      <c r="B529" s="4" t="s">
        <v>33</v>
      </c>
      <c r="C529" s="4" t="s">
        <v>41</v>
      </c>
      <c r="D529" s="4" t="s">
        <v>48</v>
      </c>
      <c r="E529" s="4" t="s">
        <v>25</v>
      </c>
      <c r="F529" s="4" t="s">
        <v>25</v>
      </c>
      <c r="G529" s="4" t="s">
        <v>25</v>
      </c>
      <c r="H529" s="4" t="s">
        <v>35</v>
      </c>
      <c r="I529" s="5">
        <v>43952</v>
      </c>
      <c r="J529" s="6">
        <v>17429</v>
      </c>
      <c r="K529" s="6">
        <v>17429</v>
      </c>
      <c r="L529" s="6">
        <v>546.54600000000005</v>
      </c>
      <c r="M529" s="6">
        <v>546.54600000000005</v>
      </c>
      <c r="N529" s="6">
        <v>546.54600000000005</v>
      </c>
      <c r="O529" s="6">
        <v>546.54600000000005</v>
      </c>
      <c r="P529" s="6">
        <v>0</v>
      </c>
      <c r="Q529" s="4" t="s">
        <v>26</v>
      </c>
      <c r="R529" s="4">
        <v>0</v>
      </c>
      <c r="S529" s="4" t="s">
        <v>318</v>
      </c>
      <c r="T529" s="4" t="s">
        <v>719</v>
      </c>
      <c r="U529" s="4">
        <v>21</v>
      </c>
      <c r="V529" s="4">
        <v>23</v>
      </c>
      <c r="W529" s="4">
        <v>81</v>
      </c>
    </row>
    <row r="530" spans="1:23" ht="11.25" customHeight="1" x14ac:dyDescent="0.25">
      <c r="A530" s="4" t="s">
        <v>28</v>
      </c>
      <c r="B530" s="4" t="s">
        <v>33</v>
      </c>
      <c r="C530" s="4" t="s">
        <v>41</v>
      </c>
      <c r="D530" s="4" t="s">
        <v>48</v>
      </c>
      <c r="E530" s="4" t="s">
        <v>25</v>
      </c>
      <c r="F530" s="4" t="s">
        <v>25</v>
      </c>
      <c r="G530" s="4" t="s">
        <v>25</v>
      </c>
      <c r="H530" s="4" t="s">
        <v>35</v>
      </c>
      <c r="I530" s="5">
        <v>43952</v>
      </c>
      <c r="J530" s="6">
        <v>2850</v>
      </c>
      <c r="K530" s="6">
        <v>2850</v>
      </c>
      <c r="L530" s="6">
        <v>89.007999999999996</v>
      </c>
      <c r="M530" s="6">
        <v>89.007999999999996</v>
      </c>
      <c r="N530" s="6">
        <v>89.007999999999996</v>
      </c>
      <c r="O530" s="6">
        <v>89.007999999999996</v>
      </c>
      <c r="P530" s="6">
        <v>0</v>
      </c>
      <c r="Q530" s="4" t="s">
        <v>26</v>
      </c>
      <c r="R530" s="4">
        <v>0</v>
      </c>
      <c r="S530" s="4" t="s">
        <v>318</v>
      </c>
      <c r="T530" s="4" t="s">
        <v>719</v>
      </c>
      <c r="U530" s="4">
        <v>21</v>
      </c>
      <c r="V530" s="4">
        <v>23</v>
      </c>
      <c r="W530" s="4">
        <v>81</v>
      </c>
    </row>
    <row r="531" spans="1:23" ht="11.25" customHeight="1" x14ac:dyDescent="0.25">
      <c r="A531" s="4" t="s">
        <v>21</v>
      </c>
      <c r="B531" s="4" t="s">
        <v>33</v>
      </c>
      <c r="C531" s="4" t="s">
        <v>41</v>
      </c>
      <c r="D531" s="4" t="s">
        <v>48</v>
      </c>
      <c r="E531" s="4" t="s">
        <v>25</v>
      </c>
      <c r="F531" s="4" t="s">
        <v>25</v>
      </c>
      <c r="G531" s="4" t="s">
        <v>25</v>
      </c>
      <c r="H531" s="4" t="s">
        <v>35</v>
      </c>
      <c r="I531" s="5">
        <v>43983</v>
      </c>
      <c r="J531" s="6">
        <v>15365</v>
      </c>
      <c r="K531" s="6">
        <v>15365</v>
      </c>
      <c r="L531" s="6">
        <v>495.63</v>
      </c>
      <c r="M531" s="6">
        <v>495.63</v>
      </c>
      <c r="N531" s="6">
        <v>495.63</v>
      </c>
      <c r="O531" s="6">
        <v>495.63</v>
      </c>
      <c r="P531" s="6">
        <v>0</v>
      </c>
      <c r="Q531" s="4" t="s">
        <v>26</v>
      </c>
      <c r="R531" s="4">
        <v>0</v>
      </c>
      <c r="S531" s="4" t="s">
        <v>319</v>
      </c>
      <c r="T531" s="4" t="s">
        <v>720</v>
      </c>
      <c r="U531" s="4">
        <v>21</v>
      </c>
      <c r="V531" s="4">
        <v>23</v>
      </c>
      <c r="W531" s="4">
        <v>81</v>
      </c>
    </row>
    <row r="532" spans="1:23" ht="11.25" customHeight="1" x14ac:dyDescent="0.25">
      <c r="A532" s="4" t="s">
        <v>28</v>
      </c>
      <c r="B532" s="4" t="s">
        <v>33</v>
      </c>
      <c r="C532" s="4" t="s">
        <v>41</v>
      </c>
      <c r="D532" s="4" t="s">
        <v>48</v>
      </c>
      <c r="E532" s="4" t="s">
        <v>25</v>
      </c>
      <c r="F532" s="4" t="s">
        <v>25</v>
      </c>
      <c r="G532" s="4" t="s">
        <v>25</v>
      </c>
      <c r="H532" s="4" t="s">
        <v>35</v>
      </c>
      <c r="I532" s="5">
        <v>43983</v>
      </c>
      <c r="J532" s="6">
        <v>2850</v>
      </c>
      <c r="K532" s="6">
        <v>2850</v>
      </c>
      <c r="L532" s="6">
        <v>99.540999999999997</v>
      </c>
      <c r="M532" s="6">
        <v>99.540999999999997</v>
      </c>
      <c r="N532" s="6">
        <v>99.540999999999997</v>
      </c>
      <c r="O532" s="6">
        <v>99.540999999999997</v>
      </c>
      <c r="P532" s="6">
        <v>0</v>
      </c>
      <c r="Q532" s="4" t="s">
        <v>26</v>
      </c>
      <c r="R532" s="4">
        <v>0</v>
      </c>
      <c r="S532" s="4" t="s">
        <v>319</v>
      </c>
      <c r="T532" s="4" t="s">
        <v>720</v>
      </c>
      <c r="U532" s="4">
        <v>21</v>
      </c>
      <c r="V532" s="4">
        <v>23</v>
      </c>
      <c r="W532" s="4">
        <v>81</v>
      </c>
    </row>
    <row r="533" spans="1:23" ht="11.25" customHeight="1" x14ac:dyDescent="0.25">
      <c r="A533" s="4" t="s">
        <v>21</v>
      </c>
      <c r="B533" s="4" t="s">
        <v>33</v>
      </c>
      <c r="C533" s="4" t="s">
        <v>41</v>
      </c>
      <c r="D533" s="4" t="s">
        <v>48</v>
      </c>
      <c r="E533" s="4" t="s">
        <v>25</v>
      </c>
      <c r="F533" s="4" t="s">
        <v>25</v>
      </c>
      <c r="G533" s="4" t="s">
        <v>25</v>
      </c>
      <c r="H533" s="4" t="s">
        <v>35</v>
      </c>
      <c r="I533" s="5">
        <v>44013</v>
      </c>
      <c r="J533" s="6">
        <v>15401</v>
      </c>
      <c r="K533" s="6">
        <v>15401</v>
      </c>
      <c r="L533" s="6">
        <v>467.98599999999999</v>
      </c>
      <c r="M533" s="6">
        <v>467.98599999999999</v>
      </c>
      <c r="N533" s="6">
        <v>467.98599999999999</v>
      </c>
      <c r="O533" s="6">
        <v>467.98599999999999</v>
      </c>
      <c r="P533" s="6">
        <v>0</v>
      </c>
      <c r="Q533" s="4" t="s">
        <v>26</v>
      </c>
      <c r="R533" s="4">
        <v>0</v>
      </c>
      <c r="S533" s="4" t="s">
        <v>320</v>
      </c>
      <c r="T533" s="4" t="s">
        <v>721</v>
      </c>
      <c r="U533" s="4">
        <v>21</v>
      </c>
      <c r="V533" s="4">
        <v>23</v>
      </c>
      <c r="W533" s="4">
        <v>81</v>
      </c>
    </row>
    <row r="534" spans="1:23" ht="11.25" customHeight="1" x14ac:dyDescent="0.25">
      <c r="A534" s="4" t="s">
        <v>28</v>
      </c>
      <c r="B534" s="4" t="s">
        <v>33</v>
      </c>
      <c r="C534" s="4" t="s">
        <v>41</v>
      </c>
      <c r="D534" s="4" t="s">
        <v>48</v>
      </c>
      <c r="E534" s="4" t="s">
        <v>25</v>
      </c>
      <c r="F534" s="4" t="s">
        <v>25</v>
      </c>
      <c r="G534" s="4" t="s">
        <v>25</v>
      </c>
      <c r="H534" s="4" t="s">
        <v>35</v>
      </c>
      <c r="I534" s="5">
        <v>44013</v>
      </c>
      <c r="J534" s="6">
        <v>2850</v>
      </c>
      <c r="K534" s="6">
        <v>2850</v>
      </c>
      <c r="L534" s="6">
        <v>91.08</v>
      </c>
      <c r="M534" s="6">
        <v>91.08</v>
      </c>
      <c r="N534" s="6">
        <v>91.08</v>
      </c>
      <c r="O534" s="6">
        <v>91.08</v>
      </c>
      <c r="P534" s="6">
        <v>0</v>
      </c>
      <c r="Q534" s="4" t="s">
        <v>26</v>
      </c>
      <c r="R534" s="4">
        <v>0</v>
      </c>
      <c r="S534" s="4" t="s">
        <v>320</v>
      </c>
      <c r="T534" s="4" t="s">
        <v>721</v>
      </c>
      <c r="U534" s="4">
        <v>21</v>
      </c>
      <c r="V534" s="4">
        <v>23</v>
      </c>
      <c r="W534" s="4">
        <v>81</v>
      </c>
    </row>
    <row r="535" spans="1:23" ht="11.25" customHeight="1" x14ac:dyDescent="0.25">
      <c r="A535" s="4" t="s">
        <v>21</v>
      </c>
      <c r="B535" s="4" t="s">
        <v>33</v>
      </c>
      <c r="C535" s="4" t="s">
        <v>41</v>
      </c>
      <c r="D535" s="4" t="s">
        <v>48</v>
      </c>
      <c r="E535" s="4" t="s">
        <v>25</v>
      </c>
      <c r="F535" s="4" t="s">
        <v>25</v>
      </c>
      <c r="G535" s="4" t="s">
        <v>25</v>
      </c>
      <c r="H535" s="4" t="s">
        <v>35</v>
      </c>
      <c r="I535" s="5">
        <v>44044</v>
      </c>
      <c r="J535" s="6">
        <v>16120</v>
      </c>
      <c r="K535" s="6">
        <v>16120</v>
      </c>
      <c r="L535" s="6">
        <v>526.04200000000003</v>
      </c>
      <c r="M535" s="6">
        <v>526.04200000000003</v>
      </c>
      <c r="N535" s="6">
        <v>526.04200000000003</v>
      </c>
      <c r="O535" s="6">
        <v>526.04200000000003</v>
      </c>
      <c r="P535" s="6">
        <v>0</v>
      </c>
      <c r="Q535" s="4" t="s">
        <v>26</v>
      </c>
      <c r="R535" s="4">
        <v>0</v>
      </c>
      <c r="S535" s="4" t="s">
        <v>321</v>
      </c>
      <c r="T535" s="4" t="s">
        <v>722</v>
      </c>
      <c r="U535" s="4">
        <v>21</v>
      </c>
      <c r="V535" s="4">
        <v>23</v>
      </c>
      <c r="W535" s="4">
        <v>81</v>
      </c>
    </row>
    <row r="536" spans="1:23" ht="11.25" customHeight="1" x14ac:dyDescent="0.25">
      <c r="A536" s="4" t="s">
        <v>28</v>
      </c>
      <c r="B536" s="4" t="s">
        <v>33</v>
      </c>
      <c r="C536" s="4" t="s">
        <v>41</v>
      </c>
      <c r="D536" s="4" t="s">
        <v>48</v>
      </c>
      <c r="E536" s="4" t="s">
        <v>25</v>
      </c>
      <c r="F536" s="4" t="s">
        <v>25</v>
      </c>
      <c r="G536" s="4" t="s">
        <v>25</v>
      </c>
      <c r="H536" s="4" t="s">
        <v>35</v>
      </c>
      <c r="I536" s="5">
        <v>44044</v>
      </c>
      <c r="J536" s="6">
        <v>2850</v>
      </c>
      <c r="K536" s="6">
        <v>2850</v>
      </c>
      <c r="L536" s="6">
        <v>101.96599999999999</v>
      </c>
      <c r="M536" s="6">
        <v>101.96599999999999</v>
      </c>
      <c r="N536" s="6">
        <v>101.96599999999999</v>
      </c>
      <c r="O536" s="6">
        <v>101.96599999999999</v>
      </c>
      <c r="P536" s="6">
        <v>0</v>
      </c>
      <c r="Q536" s="4" t="s">
        <v>26</v>
      </c>
      <c r="R536" s="4">
        <v>0</v>
      </c>
      <c r="S536" s="4" t="s">
        <v>321</v>
      </c>
      <c r="T536" s="4" t="s">
        <v>722</v>
      </c>
      <c r="U536" s="4">
        <v>21</v>
      </c>
      <c r="V536" s="4">
        <v>23</v>
      </c>
      <c r="W536" s="4">
        <v>81</v>
      </c>
    </row>
    <row r="537" spans="1:23" ht="11.25" customHeight="1" x14ac:dyDescent="0.25">
      <c r="A537" s="4" t="s">
        <v>59</v>
      </c>
      <c r="B537" s="4" t="s">
        <v>33</v>
      </c>
      <c r="C537" s="4" t="s">
        <v>41</v>
      </c>
      <c r="D537" s="4" t="s">
        <v>48</v>
      </c>
      <c r="E537" s="4" t="s">
        <v>25</v>
      </c>
      <c r="F537" s="4" t="s">
        <v>25</v>
      </c>
      <c r="G537" s="4" t="s">
        <v>25</v>
      </c>
      <c r="H537" s="4" t="s">
        <v>35</v>
      </c>
      <c r="I537" s="5">
        <v>44075</v>
      </c>
      <c r="J537" s="6">
        <v>16120</v>
      </c>
      <c r="K537" s="6">
        <v>16120</v>
      </c>
      <c r="L537" s="6">
        <v>526.04200000000003</v>
      </c>
      <c r="M537" s="6">
        <v>526.04200000000003</v>
      </c>
      <c r="N537" s="6">
        <v>526.04200000000003</v>
      </c>
      <c r="O537" s="6">
        <v>526.04200000000003</v>
      </c>
      <c r="P537" s="6">
        <v>0</v>
      </c>
      <c r="Q537" s="4" t="s">
        <v>26</v>
      </c>
      <c r="R537" s="4">
        <v>0</v>
      </c>
      <c r="S537" s="4" t="s">
        <v>322</v>
      </c>
      <c r="T537" s="4" t="s">
        <v>723</v>
      </c>
      <c r="U537" s="4">
        <v>21</v>
      </c>
      <c r="V537" s="4">
        <v>23</v>
      </c>
      <c r="W537" s="4">
        <v>81</v>
      </c>
    </row>
    <row r="538" spans="1:23" ht="11.25" customHeight="1" x14ac:dyDescent="0.25">
      <c r="A538" s="4" t="s">
        <v>59</v>
      </c>
      <c r="B538" s="4" t="s">
        <v>33</v>
      </c>
      <c r="C538" s="4" t="s">
        <v>41</v>
      </c>
      <c r="D538" s="4" t="s">
        <v>48</v>
      </c>
      <c r="E538" s="4" t="s">
        <v>25</v>
      </c>
      <c r="F538" s="4" t="s">
        <v>25</v>
      </c>
      <c r="G538" s="4" t="s">
        <v>25</v>
      </c>
      <c r="H538" s="4" t="s">
        <v>35</v>
      </c>
      <c r="I538" s="5">
        <v>44075</v>
      </c>
      <c r="J538" s="6">
        <v>2850</v>
      </c>
      <c r="K538" s="6">
        <v>2850</v>
      </c>
      <c r="L538" s="6">
        <v>101.96599999999999</v>
      </c>
      <c r="M538" s="6">
        <v>101.96599999999999</v>
      </c>
      <c r="N538" s="6">
        <v>101.96599999999999</v>
      </c>
      <c r="O538" s="6">
        <v>101.96599999999999</v>
      </c>
      <c r="P538" s="6">
        <v>0</v>
      </c>
      <c r="Q538" s="4" t="s">
        <v>26</v>
      </c>
      <c r="R538" s="4">
        <v>0</v>
      </c>
      <c r="S538" s="4" t="s">
        <v>322</v>
      </c>
      <c r="T538" s="4" t="s">
        <v>723</v>
      </c>
      <c r="U538" s="4">
        <v>21</v>
      </c>
      <c r="V538" s="4">
        <v>23</v>
      </c>
      <c r="W538" s="4">
        <v>81</v>
      </c>
    </row>
    <row r="539" spans="1:23" ht="11.25" customHeight="1" x14ac:dyDescent="0.25">
      <c r="A539" s="4" t="s">
        <v>21</v>
      </c>
      <c r="B539" s="4" t="s">
        <v>33</v>
      </c>
      <c r="C539" s="4" t="s">
        <v>41</v>
      </c>
      <c r="D539" s="4" t="s">
        <v>47</v>
      </c>
      <c r="E539" s="4" t="s">
        <v>25</v>
      </c>
      <c r="F539" s="4" t="s">
        <v>25</v>
      </c>
      <c r="G539" s="4" t="s">
        <v>25</v>
      </c>
      <c r="H539" s="4" t="s">
        <v>36</v>
      </c>
      <c r="I539" s="5">
        <v>43739</v>
      </c>
      <c r="J539" s="6">
        <v>781</v>
      </c>
      <c r="K539" s="6">
        <v>718.52</v>
      </c>
      <c r="L539" s="6">
        <v>352.00299999999999</v>
      </c>
      <c r="M539" s="6">
        <v>323.84276</v>
      </c>
      <c r="N539" s="6">
        <v>352.00299999999999</v>
      </c>
      <c r="O539" s="6">
        <v>323.84276</v>
      </c>
      <c r="P539" s="6">
        <v>0</v>
      </c>
      <c r="Q539" s="4" t="s">
        <v>26</v>
      </c>
      <c r="R539" s="4">
        <v>0</v>
      </c>
      <c r="S539" s="4" t="s">
        <v>299</v>
      </c>
      <c r="T539" s="4" t="s">
        <v>700</v>
      </c>
      <c r="U539" s="4">
        <v>22</v>
      </c>
      <c r="V539" s="4">
        <v>23</v>
      </c>
      <c r="W539" s="4">
        <v>82</v>
      </c>
    </row>
    <row r="540" spans="1:23" ht="11.25" customHeight="1" x14ac:dyDescent="0.25">
      <c r="A540" s="4" t="s">
        <v>21</v>
      </c>
      <c r="B540" s="4" t="s">
        <v>33</v>
      </c>
      <c r="C540" s="4" t="s">
        <v>41</v>
      </c>
      <c r="D540" s="4" t="s">
        <v>47</v>
      </c>
      <c r="E540" s="4" t="s">
        <v>25</v>
      </c>
      <c r="F540" s="4" t="s">
        <v>25</v>
      </c>
      <c r="G540" s="4" t="s">
        <v>25</v>
      </c>
      <c r="H540" s="4" t="s">
        <v>36</v>
      </c>
      <c r="I540" s="5">
        <v>43770</v>
      </c>
      <c r="J540" s="6">
        <v>779</v>
      </c>
      <c r="K540" s="6">
        <v>716.68000000000006</v>
      </c>
      <c r="L540" s="6">
        <v>325.995</v>
      </c>
      <c r="M540" s="6">
        <v>299.91540000000003</v>
      </c>
      <c r="N540" s="6">
        <v>325.995</v>
      </c>
      <c r="O540" s="6">
        <v>299.91540000000003</v>
      </c>
      <c r="P540" s="6">
        <v>0</v>
      </c>
      <c r="Q540" s="4" t="s">
        <v>26</v>
      </c>
      <c r="R540" s="4">
        <v>0</v>
      </c>
      <c r="S540" s="4" t="s">
        <v>300</v>
      </c>
      <c r="T540" s="4" t="s">
        <v>701</v>
      </c>
      <c r="U540" s="4">
        <v>22</v>
      </c>
      <c r="V540" s="4">
        <v>23</v>
      </c>
      <c r="W540" s="4">
        <v>82</v>
      </c>
    </row>
    <row r="541" spans="1:23" ht="11.25" customHeight="1" x14ac:dyDescent="0.25">
      <c r="A541" s="4" t="s">
        <v>21</v>
      </c>
      <c r="B541" s="4" t="s">
        <v>33</v>
      </c>
      <c r="C541" s="4" t="s">
        <v>41</v>
      </c>
      <c r="D541" s="4" t="s">
        <v>47</v>
      </c>
      <c r="E541" s="4" t="s">
        <v>25</v>
      </c>
      <c r="F541" s="4" t="s">
        <v>25</v>
      </c>
      <c r="G541" s="4" t="s">
        <v>25</v>
      </c>
      <c r="H541" s="4" t="s">
        <v>36</v>
      </c>
      <c r="I541" s="5">
        <v>43800</v>
      </c>
      <c r="J541" s="6">
        <v>733</v>
      </c>
      <c r="K541" s="6">
        <v>674.36</v>
      </c>
      <c r="L541" s="6">
        <v>297.36099999999999</v>
      </c>
      <c r="M541" s="6">
        <v>273.57211999999998</v>
      </c>
      <c r="N541" s="6">
        <v>297.36099999999999</v>
      </c>
      <c r="O541" s="6">
        <v>273.57211999999998</v>
      </c>
      <c r="P541" s="6">
        <v>0</v>
      </c>
      <c r="Q541" s="4" t="s">
        <v>26</v>
      </c>
      <c r="R541" s="4">
        <v>0</v>
      </c>
      <c r="S541" s="4" t="s">
        <v>301</v>
      </c>
      <c r="T541" s="4" t="s">
        <v>702</v>
      </c>
      <c r="U541" s="4">
        <v>22</v>
      </c>
      <c r="V541" s="4">
        <v>23</v>
      </c>
      <c r="W541" s="4">
        <v>82</v>
      </c>
    </row>
    <row r="542" spans="1:23" ht="11.25" customHeight="1" x14ac:dyDescent="0.25">
      <c r="A542" s="4" t="s">
        <v>21</v>
      </c>
      <c r="B542" s="4" t="s">
        <v>33</v>
      </c>
      <c r="C542" s="4" t="s">
        <v>41</v>
      </c>
      <c r="D542" s="4" t="s">
        <v>47</v>
      </c>
      <c r="E542" s="4" t="s">
        <v>25</v>
      </c>
      <c r="F542" s="4" t="s">
        <v>25</v>
      </c>
      <c r="G542" s="4" t="s">
        <v>25</v>
      </c>
      <c r="H542" s="4" t="s">
        <v>36</v>
      </c>
      <c r="I542" s="5">
        <v>43831</v>
      </c>
      <c r="J542" s="6">
        <v>722</v>
      </c>
      <c r="K542" s="6">
        <v>664.24</v>
      </c>
      <c r="L542" s="6">
        <v>328.46</v>
      </c>
      <c r="M542" s="6">
        <v>302.1832</v>
      </c>
      <c r="N542" s="6">
        <v>328.46</v>
      </c>
      <c r="O542" s="6">
        <v>302.1832</v>
      </c>
      <c r="P542" s="6">
        <v>0</v>
      </c>
      <c r="Q542" s="4" t="s">
        <v>26</v>
      </c>
      <c r="R542" s="4">
        <v>0</v>
      </c>
      <c r="S542" s="4" t="s">
        <v>302</v>
      </c>
      <c r="T542" s="4" t="s">
        <v>703</v>
      </c>
      <c r="U542" s="4">
        <v>22</v>
      </c>
      <c r="V542" s="4">
        <v>23</v>
      </c>
      <c r="W542" s="4">
        <v>82</v>
      </c>
    </row>
    <row r="543" spans="1:23" ht="11.25" customHeight="1" x14ac:dyDescent="0.25">
      <c r="A543" s="4" t="s">
        <v>21</v>
      </c>
      <c r="B543" s="4" t="s">
        <v>33</v>
      </c>
      <c r="C543" s="4" t="s">
        <v>41</v>
      </c>
      <c r="D543" s="4" t="s">
        <v>47</v>
      </c>
      <c r="E543" s="4" t="s">
        <v>25</v>
      </c>
      <c r="F543" s="4" t="s">
        <v>25</v>
      </c>
      <c r="G543" s="4" t="s">
        <v>25</v>
      </c>
      <c r="H543" s="4" t="s">
        <v>36</v>
      </c>
      <c r="I543" s="5">
        <v>43862</v>
      </c>
      <c r="J543" s="6">
        <v>777</v>
      </c>
      <c r="K543" s="6">
        <v>714.84</v>
      </c>
      <c r="L543" s="6">
        <v>318.10399999999998</v>
      </c>
      <c r="M543" s="6">
        <v>292.65568000000002</v>
      </c>
      <c r="N543" s="6">
        <v>318.10399999999998</v>
      </c>
      <c r="O543" s="6">
        <v>292.65568000000002</v>
      </c>
      <c r="P543" s="6">
        <v>0</v>
      </c>
      <c r="Q543" s="4" t="s">
        <v>26</v>
      </c>
      <c r="R543" s="4">
        <v>0</v>
      </c>
      <c r="S543" s="4" t="s">
        <v>303</v>
      </c>
      <c r="T543" s="4" t="s">
        <v>704</v>
      </c>
      <c r="U543" s="4">
        <v>22</v>
      </c>
      <c r="V543" s="4">
        <v>23</v>
      </c>
      <c r="W543" s="4">
        <v>82</v>
      </c>
    </row>
    <row r="544" spans="1:23" ht="11.25" customHeight="1" x14ac:dyDescent="0.25">
      <c r="A544" s="4" t="s">
        <v>21</v>
      </c>
      <c r="B544" s="4" t="s">
        <v>33</v>
      </c>
      <c r="C544" s="4" t="s">
        <v>41</v>
      </c>
      <c r="D544" s="4" t="s">
        <v>47</v>
      </c>
      <c r="E544" s="4" t="s">
        <v>25</v>
      </c>
      <c r="F544" s="4" t="s">
        <v>25</v>
      </c>
      <c r="G544" s="4" t="s">
        <v>25</v>
      </c>
      <c r="H544" s="4" t="s">
        <v>36</v>
      </c>
      <c r="I544" s="5">
        <v>43891</v>
      </c>
      <c r="J544" s="6">
        <v>825</v>
      </c>
      <c r="K544" s="6">
        <v>759</v>
      </c>
      <c r="L544" s="6">
        <v>318.88499999999999</v>
      </c>
      <c r="M544" s="6">
        <v>293.37420000000003</v>
      </c>
      <c r="N544" s="6">
        <v>318.88499999999999</v>
      </c>
      <c r="O544" s="6">
        <v>293.37420000000003</v>
      </c>
      <c r="P544" s="6">
        <v>0</v>
      </c>
      <c r="Q544" s="4" t="s">
        <v>26</v>
      </c>
      <c r="R544" s="4">
        <v>0</v>
      </c>
      <c r="S544" s="4" t="s">
        <v>304</v>
      </c>
      <c r="T544" s="4" t="s">
        <v>705</v>
      </c>
      <c r="U544" s="4">
        <v>22</v>
      </c>
      <c r="V544" s="4">
        <v>23</v>
      </c>
      <c r="W544" s="4">
        <v>82</v>
      </c>
    </row>
    <row r="545" spans="1:23" ht="11.25" customHeight="1" x14ac:dyDescent="0.25">
      <c r="A545" s="4" t="s">
        <v>21</v>
      </c>
      <c r="B545" s="4" t="s">
        <v>33</v>
      </c>
      <c r="C545" s="4" t="s">
        <v>41</v>
      </c>
      <c r="D545" s="4" t="s">
        <v>47</v>
      </c>
      <c r="E545" s="4" t="s">
        <v>25</v>
      </c>
      <c r="F545" s="4" t="s">
        <v>25</v>
      </c>
      <c r="G545" s="4" t="s">
        <v>25</v>
      </c>
      <c r="H545" s="4" t="s">
        <v>36</v>
      </c>
      <c r="I545" s="5">
        <v>43922</v>
      </c>
      <c r="J545" s="6">
        <v>773</v>
      </c>
      <c r="K545" s="6">
        <v>711.16000000000008</v>
      </c>
      <c r="L545" s="6">
        <v>327.36700000000002</v>
      </c>
      <c r="M545" s="6">
        <v>301.17764000000005</v>
      </c>
      <c r="N545" s="6">
        <v>327.36700000000002</v>
      </c>
      <c r="O545" s="6">
        <v>301.17764000000005</v>
      </c>
      <c r="P545" s="6">
        <v>0</v>
      </c>
      <c r="Q545" s="4" t="s">
        <v>26</v>
      </c>
      <c r="R545" s="4">
        <v>0</v>
      </c>
      <c r="S545" s="4" t="s">
        <v>305</v>
      </c>
      <c r="T545" s="4" t="s">
        <v>706</v>
      </c>
      <c r="U545" s="4">
        <v>22</v>
      </c>
      <c r="V545" s="4">
        <v>23</v>
      </c>
      <c r="W545" s="4">
        <v>82</v>
      </c>
    </row>
    <row r="546" spans="1:23" ht="11.25" customHeight="1" x14ac:dyDescent="0.25">
      <c r="A546" s="4" t="s">
        <v>21</v>
      </c>
      <c r="B546" s="4" t="s">
        <v>33</v>
      </c>
      <c r="C546" s="4" t="s">
        <v>41</v>
      </c>
      <c r="D546" s="4" t="s">
        <v>47</v>
      </c>
      <c r="E546" s="4" t="s">
        <v>25</v>
      </c>
      <c r="F546" s="4" t="s">
        <v>25</v>
      </c>
      <c r="G546" s="4" t="s">
        <v>25</v>
      </c>
      <c r="H546" s="4" t="s">
        <v>36</v>
      </c>
      <c r="I546" s="5">
        <v>43952</v>
      </c>
      <c r="J546" s="6">
        <v>775</v>
      </c>
      <c r="K546" s="6">
        <v>713</v>
      </c>
      <c r="L546" s="6">
        <v>275.20100000000002</v>
      </c>
      <c r="M546" s="6">
        <v>253.18492000000003</v>
      </c>
      <c r="N546" s="6">
        <v>275.20100000000002</v>
      </c>
      <c r="O546" s="6">
        <v>253.18492000000003</v>
      </c>
      <c r="P546" s="6">
        <v>0</v>
      </c>
      <c r="Q546" s="4" t="s">
        <v>26</v>
      </c>
      <c r="R546" s="4">
        <v>0</v>
      </c>
      <c r="S546" s="4" t="s">
        <v>306</v>
      </c>
      <c r="T546" s="4" t="s">
        <v>707</v>
      </c>
      <c r="U546" s="4">
        <v>22</v>
      </c>
      <c r="V546" s="4">
        <v>23</v>
      </c>
      <c r="W546" s="4">
        <v>82</v>
      </c>
    </row>
    <row r="547" spans="1:23" ht="11.25" customHeight="1" x14ac:dyDescent="0.25">
      <c r="A547" s="4" t="s">
        <v>21</v>
      </c>
      <c r="B547" s="4" t="s">
        <v>33</v>
      </c>
      <c r="C547" s="4" t="s">
        <v>41</v>
      </c>
      <c r="D547" s="4" t="s">
        <v>47</v>
      </c>
      <c r="E547" s="4" t="s">
        <v>25</v>
      </c>
      <c r="F547" s="4" t="s">
        <v>25</v>
      </c>
      <c r="G547" s="4" t="s">
        <v>25</v>
      </c>
      <c r="H547" s="4" t="s">
        <v>36</v>
      </c>
      <c r="I547" s="5">
        <v>43983</v>
      </c>
      <c r="J547" s="6">
        <v>798</v>
      </c>
      <c r="K547" s="6">
        <v>734.16000000000008</v>
      </c>
      <c r="L547" s="6">
        <v>329.52300000000002</v>
      </c>
      <c r="M547" s="6">
        <v>303.16116000000005</v>
      </c>
      <c r="N547" s="6">
        <v>329.52300000000002</v>
      </c>
      <c r="O547" s="6">
        <v>303.16116000000005</v>
      </c>
      <c r="P547" s="6">
        <v>0</v>
      </c>
      <c r="Q547" s="4" t="s">
        <v>26</v>
      </c>
      <c r="R547" s="4">
        <v>0</v>
      </c>
      <c r="S547" s="4" t="s">
        <v>307</v>
      </c>
      <c r="T547" s="4" t="s">
        <v>708</v>
      </c>
      <c r="U547" s="4">
        <v>22</v>
      </c>
      <c r="V547" s="4">
        <v>23</v>
      </c>
      <c r="W547" s="4">
        <v>82</v>
      </c>
    </row>
    <row r="548" spans="1:23" ht="11.25" customHeight="1" x14ac:dyDescent="0.25">
      <c r="A548" s="4" t="s">
        <v>21</v>
      </c>
      <c r="B548" s="4" t="s">
        <v>33</v>
      </c>
      <c r="C548" s="4" t="s">
        <v>41</v>
      </c>
      <c r="D548" s="4" t="s">
        <v>47</v>
      </c>
      <c r="E548" s="4" t="s">
        <v>25</v>
      </c>
      <c r="F548" s="4" t="s">
        <v>25</v>
      </c>
      <c r="G548" s="4" t="s">
        <v>25</v>
      </c>
      <c r="H548" s="4" t="s">
        <v>36</v>
      </c>
      <c r="I548" s="5">
        <v>44013</v>
      </c>
      <c r="J548" s="6">
        <v>606</v>
      </c>
      <c r="K548" s="6">
        <v>557.52</v>
      </c>
      <c r="L548" s="6">
        <v>215.73699999999999</v>
      </c>
      <c r="M548" s="6">
        <v>198.47803999999999</v>
      </c>
      <c r="N548" s="6">
        <v>215.73699999999999</v>
      </c>
      <c r="O548" s="6">
        <v>198.47803999999999</v>
      </c>
      <c r="P548" s="6">
        <v>0</v>
      </c>
      <c r="Q548" s="4" t="s">
        <v>26</v>
      </c>
      <c r="R548" s="4">
        <v>0</v>
      </c>
      <c r="S548" s="4" t="s">
        <v>308</v>
      </c>
      <c r="T548" s="4" t="s">
        <v>709</v>
      </c>
      <c r="U548" s="4">
        <v>22</v>
      </c>
      <c r="V548" s="4">
        <v>23</v>
      </c>
      <c r="W548" s="4">
        <v>82</v>
      </c>
    </row>
    <row r="549" spans="1:23" ht="11.25" customHeight="1" x14ac:dyDescent="0.25">
      <c r="A549" s="4" t="s">
        <v>27</v>
      </c>
      <c r="B549" s="4" t="s">
        <v>33</v>
      </c>
      <c r="C549" s="4" t="s">
        <v>41</v>
      </c>
      <c r="D549" s="4" t="s">
        <v>47</v>
      </c>
      <c r="E549" s="4" t="s">
        <v>25</v>
      </c>
      <c r="F549" s="4" t="s">
        <v>25</v>
      </c>
      <c r="G549" s="4" t="s">
        <v>25</v>
      </c>
      <c r="H549" s="4" t="s">
        <v>36</v>
      </c>
      <c r="I549" s="5">
        <v>44013</v>
      </c>
      <c r="J549" s="6">
        <v>245</v>
      </c>
      <c r="K549" s="6">
        <v>225.4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4" t="s">
        <v>26</v>
      </c>
      <c r="R549" s="4">
        <v>0</v>
      </c>
      <c r="S549" s="4" t="s">
        <v>308</v>
      </c>
      <c r="T549" s="4" t="s">
        <v>709</v>
      </c>
      <c r="U549" s="4">
        <v>22</v>
      </c>
      <c r="V549" s="4">
        <v>0</v>
      </c>
      <c r="W549" s="4">
        <v>0</v>
      </c>
    </row>
    <row r="550" spans="1:23" ht="11.25" customHeight="1" x14ac:dyDescent="0.25">
      <c r="A550" s="4" t="s">
        <v>21</v>
      </c>
      <c r="B550" s="4" t="s">
        <v>33</v>
      </c>
      <c r="C550" s="4" t="s">
        <v>41</v>
      </c>
      <c r="D550" s="4" t="s">
        <v>47</v>
      </c>
      <c r="E550" s="4" t="s">
        <v>25</v>
      </c>
      <c r="F550" s="4" t="s">
        <v>25</v>
      </c>
      <c r="G550" s="4" t="s">
        <v>25</v>
      </c>
      <c r="H550" s="4" t="s">
        <v>36</v>
      </c>
      <c r="I550" s="5">
        <v>44044</v>
      </c>
      <c r="J550" s="6">
        <v>876</v>
      </c>
      <c r="K550" s="6">
        <v>805.92000000000007</v>
      </c>
      <c r="L550" s="6">
        <v>368.00900000000001</v>
      </c>
      <c r="M550" s="6">
        <v>338.56828000000002</v>
      </c>
      <c r="N550" s="6">
        <v>368.00900000000001</v>
      </c>
      <c r="O550" s="6">
        <v>338.56828000000002</v>
      </c>
      <c r="P550" s="6">
        <v>0</v>
      </c>
      <c r="Q550" s="4" t="s">
        <v>26</v>
      </c>
      <c r="R550" s="4">
        <v>0</v>
      </c>
      <c r="S550" s="4" t="s">
        <v>309</v>
      </c>
      <c r="T550" s="4" t="s">
        <v>710</v>
      </c>
      <c r="U550" s="4">
        <v>22</v>
      </c>
      <c r="V550" s="4">
        <v>23</v>
      </c>
      <c r="W550" s="4">
        <v>82</v>
      </c>
    </row>
    <row r="551" spans="1:23" ht="11.25" customHeight="1" x14ac:dyDescent="0.25">
      <c r="A551" s="4" t="s">
        <v>59</v>
      </c>
      <c r="B551" s="4" t="s">
        <v>33</v>
      </c>
      <c r="C551" s="4" t="s">
        <v>41</v>
      </c>
      <c r="D551" s="4" t="s">
        <v>47</v>
      </c>
      <c r="E551" s="4" t="s">
        <v>25</v>
      </c>
      <c r="F551" s="4" t="s">
        <v>25</v>
      </c>
      <c r="G551" s="4" t="s">
        <v>25</v>
      </c>
      <c r="H551" s="4" t="s">
        <v>36</v>
      </c>
      <c r="I551" s="5">
        <v>44075</v>
      </c>
      <c r="J551" s="6">
        <v>876</v>
      </c>
      <c r="K551" s="6">
        <v>805.92000000000007</v>
      </c>
      <c r="L551" s="6">
        <v>368.00900000000001</v>
      </c>
      <c r="M551" s="6">
        <v>338.56828000000002</v>
      </c>
      <c r="N551" s="6">
        <v>368.00900000000001</v>
      </c>
      <c r="O551" s="6">
        <v>338.56828000000002</v>
      </c>
      <c r="P551" s="6">
        <v>0</v>
      </c>
      <c r="Q551" s="4" t="s">
        <v>26</v>
      </c>
      <c r="R551" s="4">
        <v>0</v>
      </c>
      <c r="S551" s="4" t="s">
        <v>310</v>
      </c>
      <c r="T551" s="4" t="s">
        <v>711</v>
      </c>
      <c r="U551" s="4">
        <v>22</v>
      </c>
      <c r="V551" s="4">
        <v>23</v>
      </c>
      <c r="W551" s="4">
        <v>82</v>
      </c>
    </row>
    <row r="552" spans="1:23" ht="11.25" customHeight="1" x14ac:dyDescent="0.25">
      <c r="A552" s="4" t="s">
        <v>21</v>
      </c>
      <c r="B552" s="4" t="s">
        <v>33</v>
      </c>
      <c r="C552" s="4" t="s">
        <v>41</v>
      </c>
      <c r="D552" s="4" t="s">
        <v>47</v>
      </c>
      <c r="E552" s="4" t="s">
        <v>25</v>
      </c>
      <c r="F552" s="4" t="s">
        <v>25</v>
      </c>
      <c r="G552" s="4" t="s">
        <v>25</v>
      </c>
      <c r="H552" s="4" t="s">
        <v>35</v>
      </c>
      <c r="I552" s="5">
        <v>43739</v>
      </c>
      <c r="J552" s="6">
        <v>704</v>
      </c>
      <c r="K552" s="6">
        <v>647.68000000000006</v>
      </c>
      <c r="L552" s="6">
        <v>34.075000000000003</v>
      </c>
      <c r="M552" s="6">
        <v>31.349000000000004</v>
      </c>
      <c r="N552" s="6">
        <v>34.075000000000003</v>
      </c>
      <c r="O552" s="6">
        <v>31.349000000000004</v>
      </c>
      <c r="P552" s="6">
        <v>0</v>
      </c>
      <c r="Q552" s="4" t="s">
        <v>26</v>
      </c>
      <c r="R552" s="4">
        <v>0</v>
      </c>
      <c r="S552" s="4" t="s">
        <v>311</v>
      </c>
      <c r="T552" s="4" t="s">
        <v>712</v>
      </c>
      <c r="U552" s="4">
        <v>21</v>
      </c>
      <c r="V552" s="4">
        <v>23</v>
      </c>
      <c r="W552" s="4">
        <v>81</v>
      </c>
    </row>
    <row r="553" spans="1:23" ht="11.25" customHeight="1" x14ac:dyDescent="0.25">
      <c r="A553" s="4" t="s">
        <v>21</v>
      </c>
      <c r="B553" s="4" t="s">
        <v>33</v>
      </c>
      <c r="C553" s="4" t="s">
        <v>41</v>
      </c>
      <c r="D553" s="4" t="s">
        <v>47</v>
      </c>
      <c r="E553" s="4" t="s">
        <v>25</v>
      </c>
      <c r="F553" s="4" t="s">
        <v>25</v>
      </c>
      <c r="G553" s="4" t="s">
        <v>25</v>
      </c>
      <c r="H553" s="4" t="s">
        <v>35</v>
      </c>
      <c r="I553" s="5">
        <v>43770</v>
      </c>
      <c r="J553" s="6">
        <v>720</v>
      </c>
      <c r="K553" s="6">
        <v>662.4</v>
      </c>
      <c r="L553" s="6">
        <v>32.393000000000001</v>
      </c>
      <c r="M553" s="6">
        <v>29.801560000000002</v>
      </c>
      <c r="N553" s="6">
        <v>32.393000000000001</v>
      </c>
      <c r="O553" s="6">
        <v>29.801560000000002</v>
      </c>
      <c r="P553" s="6">
        <v>0</v>
      </c>
      <c r="Q553" s="4" t="s">
        <v>26</v>
      </c>
      <c r="R553" s="4">
        <v>0</v>
      </c>
      <c r="S553" s="4" t="s">
        <v>312</v>
      </c>
      <c r="T553" s="4" t="s">
        <v>713</v>
      </c>
      <c r="U553" s="4">
        <v>21</v>
      </c>
      <c r="V553" s="4">
        <v>23</v>
      </c>
      <c r="W553" s="4">
        <v>81</v>
      </c>
    </row>
    <row r="554" spans="1:23" ht="11.25" customHeight="1" x14ac:dyDescent="0.25">
      <c r="A554" s="4" t="s">
        <v>21</v>
      </c>
      <c r="B554" s="4" t="s">
        <v>33</v>
      </c>
      <c r="C554" s="4" t="s">
        <v>41</v>
      </c>
      <c r="D554" s="4" t="s">
        <v>47</v>
      </c>
      <c r="E554" s="4" t="s">
        <v>25</v>
      </c>
      <c r="F554" s="4" t="s">
        <v>25</v>
      </c>
      <c r="G554" s="4" t="s">
        <v>25</v>
      </c>
      <c r="H554" s="4" t="s">
        <v>35</v>
      </c>
      <c r="I554" s="5">
        <v>43800</v>
      </c>
      <c r="J554" s="6">
        <v>630</v>
      </c>
      <c r="K554" s="6">
        <v>579.6</v>
      </c>
      <c r="L554" s="6">
        <v>29.05</v>
      </c>
      <c r="M554" s="6">
        <v>26.726000000000003</v>
      </c>
      <c r="N554" s="6">
        <v>29.05</v>
      </c>
      <c r="O554" s="6">
        <v>26.726000000000003</v>
      </c>
      <c r="P554" s="6">
        <v>0</v>
      </c>
      <c r="Q554" s="4" t="s">
        <v>26</v>
      </c>
      <c r="R554" s="4">
        <v>0</v>
      </c>
      <c r="S554" s="4" t="s">
        <v>313</v>
      </c>
      <c r="T554" s="4" t="s">
        <v>714</v>
      </c>
      <c r="U554" s="4">
        <v>21</v>
      </c>
      <c r="V554" s="4">
        <v>23</v>
      </c>
      <c r="W554" s="4">
        <v>81</v>
      </c>
    </row>
    <row r="555" spans="1:23" ht="11.25" customHeight="1" x14ac:dyDescent="0.25">
      <c r="A555" s="4" t="s">
        <v>21</v>
      </c>
      <c r="B555" s="4" t="s">
        <v>33</v>
      </c>
      <c r="C555" s="4" t="s">
        <v>41</v>
      </c>
      <c r="D555" s="4" t="s">
        <v>47</v>
      </c>
      <c r="E555" s="4" t="s">
        <v>25</v>
      </c>
      <c r="F555" s="4" t="s">
        <v>25</v>
      </c>
      <c r="G555" s="4" t="s">
        <v>25</v>
      </c>
      <c r="H555" s="4" t="s">
        <v>35</v>
      </c>
      <c r="I555" s="5">
        <v>43831</v>
      </c>
      <c r="J555" s="6">
        <v>659</v>
      </c>
      <c r="K555" s="6">
        <v>606.28</v>
      </c>
      <c r="L555" s="6">
        <v>29.417000000000002</v>
      </c>
      <c r="M555" s="6">
        <v>27.063640000000003</v>
      </c>
      <c r="N555" s="6">
        <v>29.417000000000002</v>
      </c>
      <c r="O555" s="6">
        <v>27.063640000000003</v>
      </c>
      <c r="P555" s="6">
        <v>0</v>
      </c>
      <c r="Q555" s="4" t="s">
        <v>26</v>
      </c>
      <c r="R555" s="4">
        <v>0</v>
      </c>
      <c r="S555" s="4" t="s">
        <v>314</v>
      </c>
      <c r="T555" s="4" t="s">
        <v>715</v>
      </c>
      <c r="U555" s="4">
        <v>21</v>
      </c>
      <c r="V555" s="4">
        <v>23</v>
      </c>
      <c r="W555" s="4">
        <v>81</v>
      </c>
    </row>
    <row r="556" spans="1:23" ht="11.25" customHeight="1" x14ac:dyDescent="0.25">
      <c r="A556" s="4" t="s">
        <v>21</v>
      </c>
      <c r="B556" s="4" t="s">
        <v>33</v>
      </c>
      <c r="C556" s="4" t="s">
        <v>41</v>
      </c>
      <c r="D556" s="4" t="s">
        <v>47</v>
      </c>
      <c r="E556" s="4" t="s">
        <v>25</v>
      </c>
      <c r="F556" s="4" t="s">
        <v>25</v>
      </c>
      <c r="G556" s="4" t="s">
        <v>25</v>
      </c>
      <c r="H556" s="4" t="s">
        <v>35</v>
      </c>
      <c r="I556" s="5">
        <v>43862</v>
      </c>
      <c r="J556" s="6">
        <v>677</v>
      </c>
      <c r="K556" s="6">
        <v>622.84</v>
      </c>
      <c r="L556" s="6">
        <v>30.206</v>
      </c>
      <c r="M556" s="6">
        <v>27.78952</v>
      </c>
      <c r="N556" s="6">
        <v>30.206</v>
      </c>
      <c r="O556" s="6">
        <v>27.78952</v>
      </c>
      <c r="P556" s="6">
        <v>0</v>
      </c>
      <c r="Q556" s="4" t="s">
        <v>26</v>
      </c>
      <c r="R556" s="4">
        <v>0</v>
      </c>
      <c r="S556" s="4" t="s">
        <v>315</v>
      </c>
      <c r="T556" s="4" t="s">
        <v>716</v>
      </c>
      <c r="U556" s="4">
        <v>21</v>
      </c>
      <c r="V556" s="4">
        <v>23</v>
      </c>
      <c r="W556" s="4">
        <v>81</v>
      </c>
    </row>
    <row r="557" spans="1:23" ht="11.25" customHeight="1" x14ac:dyDescent="0.25">
      <c r="A557" s="4" t="s">
        <v>21</v>
      </c>
      <c r="B557" s="4" t="s">
        <v>33</v>
      </c>
      <c r="C557" s="4" t="s">
        <v>41</v>
      </c>
      <c r="D557" s="4" t="s">
        <v>47</v>
      </c>
      <c r="E557" s="4" t="s">
        <v>25</v>
      </c>
      <c r="F557" s="4" t="s">
        <v>25</v>
      </c>
      <c r="G557" s="4" t="s">
        <v>25</v>
      </c>
      <c r="H557" s="4" t="s">
        <v>35</v>
      </c>
      <c r="I557" s="5">
        <v>43891</v>
      </c>
      <c r="J557" s="6">
        <v>680</v>
      </c>
      <c r="K557" s="6">
        <v>625.6</v>
      </c>
      <c r="L557" s="6">
        <v>30.259</v>
      </c>
      <c r="M557" s="6">
        <v>27.838280000000001</v>
      </c>
      <c r="N557" s="6">
        <v>30.259</v>
      </c>
      <c r="O557" s="6">
        <v>27.838280000000001</v>
      </c>
      <c r="P557" s="6">
        <v>0</v>
      </c>
      <c r="Q557" s="4" t="s">
        <v>26</v>
      </c>
      <c r="R557" s="4">
        <v>0</v>
      </c>
      <c r="S557" s="4" t="s">
        <v>316</v>
      </c>
      <c r="T557" s="4" t="s">
        <v>717</v>
      </c>
      <c r="U557" s="4">
        <v>21</v>
      </c>
      <c r="V557" s="4">
        <v>23</v>
      </c>
      <c r="W557" s="4">
        <v>81</v>
      </c>
    </row>
    <row r="558" spans="1:23" ht="11.25" customHeight="1" x14ac:dyDescent="0.25">
      <c r="A558" s="4" t="s">
        <v>21</v>
      </c>
      <c r="B558" s="4" t="s">
        <v>33</v>
      </c>
      <c r="C558" s="4" t="s">
        <v>41</v>
      </c>
      <c r="D558" s="4" t="s">
        <v>47</v>
      </c>
      <c r="E558" s="4" t="s">
        <v>25</v>
      </c>
      <c r="F558" s="4" t="s">
        <v>25</v>
      </c>
      <c r="G558" s="4" t="s">
        <v>25</v>
      </c>
      <c r="H558" s="4" t="s">
        <v>35</v>
      </c>
      <c r="I558" s="5">
        <v>43922</v>
      </c>
      <c r="J558" s="6">
        <v>660</v>
      </c>
      <c r="K558" s="6">
        <v>607.20000000000005</v>
      </c>
      <c r="L558" s="6">
        <v>29.832999999999998</v>
      </c>
      <c r="M558" s="6">
        <v>27.446359999999999</v>
      </c>
      <c r="N558" s="6">
        <v>29.832999999999998</v>
      </c>
      <c r="O558" s="6">
        <v>27.446359999999999</v>
      </c>
      <c r="P558" s="6">
        <v>0</v>
      </c>
      <c r="Q558" s="4" t="s">
        <v>26</v>
      </c>
      <c r="R558" s="4">
        <v>0</v>
      </c>
      <c r="S558" s="4" t="s">
        <v>317</v>
      </c>
      <c r="T558" s="4" t="s">
        <v>718</v>
      </c>
      <c r="U558" s="4">
        <v>21</v>
      </c>
      <c r="V558" s="4">
        <v>23</v>
      </c>
      <c r="W558" s="4">
        <v>81</v>
      </c>
    </row>
    <row r="559" spans="1:23" ht="11.25" customHeight="1" x14ac:dyDescent="0.25">
      <c r="A559" s="4" t="s">
        <v>21</v>
      </c>
      <c r="B559" s="4" t="s">
        <v>33</v>
      </c>
      <c r="C559" s="4" t="s">
        <v>41</v>
      </c>
      <c r="D559" s="4" t="s">
        <v>47</v>
      </c>
      <c r="E559" s="4" t="s">
        <v>25</v>
      </c>
      <c r="F559" s="4" t="s">
        <v>25</v>
      </c>
      <c r="G559" s="4" t="s">
        <v>25</v>
      </c>
      <c r="H559" s="4" t="s">
        <v>35</v>
      </c>
      <c r="I559" s="5">
        <v>43952</v>
      </c>
      <c r="J559" s="6">
        <v>661</v>
      </c>
      <c r="K559" s="6">
        <v>608.12</v>
      </c>
      <c r="L559" s="6">
        <v>25.033000000000001</v>
      </c>
      <c r="M559" s="6">
        <v>23.030360000000002</v>
      </c>
      <c r="N559" s="6">
        <v>25.033000000000001</v>
      </c>
      <c r="O559" s="6">
        <v>23.030360000000002</v>
      </c>
      <c r="P559" s="6">
        <v>0</v>
      </c>
      <c r="Q559" s="4" t="s">
        <v>26</v>
      </c>
      <c r="R559" s="4">
        <v>0</v>
      </c>
      <c r="S559" s="4" t="s">
        <v>318</v>
      </c>
      <c r="T559" s="4" t="s">
        <v>719</v>
      </c>
      <c r="U559" s="4">
        <v>21</v>
      </c>
      <c r="V559" s="4">
        <v>23</v>
      </c>
      <c r="W559" s="4">
        <v>81</v>
      </c>
    </row>
    <row r="560" spans="1:23" ht="11.25" customHeight="1" x14ac:dyDescent="0.25">
      <c r="A560" s="4" t="s">
        <v>21</v>
      </c>
      <c r="B560" s="4" t="s">
        <v>33</v>
      </c>
      <c r="C560" s="4" t="s">
        <v>41</v>
      </c>
      <c r="D560" s="4" t="s">
        <v>47</v>
      </c>
      <c r="E560" s="4" t="s">
        <v>25</v>
      </c>
      <c r="F560" s="4" t="s">
        <v>25</v>
      </c>
      <c r="G560" s="4" t="s">
        <v>25</v>
      </c>
      <c r="H560" s="4" t="s">
        <v>35</v>
      </c>
      <c r="I560" s="5">
        <v>43983</v>
      </c>
      <c r="J560" s="6">
        <v>712</v>
      </c>
      <c r="K560" s="6">
        <v>655.04000000000008</v>
      </c>
      <c r="L560" s="6">
        <v>31.492000000000001</v>
      </c>
      <c r="M560" s="6">
        <v>28.972640000000002</v>
      </c>
      <c r="N560" s="6">
        <v>31.492000000000001</v>
      </c>
      <c r="O560" s="6">
        <v>28.972640000000002</v>
      </c>
      <c r="P560" s="6">
        <v>0</v>
      </c>
      <c r="Q560" s="4" t="s">
        <v>26</v>
      </c>
      <c r="R560" s="4">
        <v>0</v>
      </c>
      <c r="S560" s="4" t="s">
        <v>319</v>
      </c>
      <c r="T560" s="4" t="s">
        <v>720</v>
      </c>
      <c r="U560" s="4">
        <v>21</v>
      </c>
      <c r="V560" s="4">
        <v>23</v>
      </c>
      <c r="W560" s="4">
        <v>81</v>
      </c>
    </row>
    <row r="561" spans="1:23" ht="11.25" customHeight="1" x14ac:dyDescent="0.25">
      <c r="A561" s="4" t="s">
        <v>21</v>
      </c>
      <c r="B561" s="4" t="s">
        <v>33</v>
      </c>
      <c r="C561" s="4" t="s">
        <v>41</v>
      </c>
      <c r="D561" s="4" t="s">
        <v>47</v>
      </c>
      <c r="E561" s="4" t="s">
        <v>25</v>
      </c>
      <c r="F561" s="4" t="s">
        <v>25</v>
      </c>
      <c r="G561" s="4" t="s">
        <v>25</v>
      </c>
      <c r="H561" s="4" t="s">
        <v>35</v>
      </c>
      <c r="I561" s="5">
        <v>44013</v>
      </c>
      <c r="J561" s="6">
        <v>439</v>
      </c>
      <c r="K561" s="6">
        <v>403.88</v>
      </c>
      <c r="L561" s="6">
        <v>18.164000000000001</v>
      </c>
      <c r="M561" s="6">
        <v>16.710880000000003</v>
      </c>
      <c r="N561" s="6">
        <v>18.164000000000001</v>
      </c>
      <c r="O561" s="6">
        <v>16.710880000000003</v>
      </c>
      <c r="P561" s="6">
        <v>0</v>
      </c>
      <c r="Q561" s="4" t="s">
        <v>26</v>
      </c>
      <c r="R561" s="4">
        <v>0</v>
      </c>
      <c r="S561" s="4" t="s">
        <v>320</v>
      </c>
      <c r="T561" s="4" t="s">
        <v>721</v>
      </c>
      <c r="U561" s="4">
        <v>21</v>
      </c>
      <c r="V561" s="4">
        <v>23</v>
      </c>
      <c r="W561" s="4">
        <v>81</v>
      </c>
    </row>
    <row r="562" spans="1:23" ht="11.25" customHeight="1" x14ac:dyDescent="0.25">
      <c r="A562" s="4" t="s">
        <v>27</v>
      </c>
      <c r="B562" s="4" t="s">
        <v>33</v>
      </c>
      <c r="C562" s="4" t="s">
        <v>41</v>
      </c>
      <c r="D562" s="4" t="s">
        <v>47</v>
      </c>
      <c r="E562" s="4" t="s">
        <v>25</v>
      </c>
      <c r="F562" s="4" t="s">
        <v>25</v>
      </c>
      <c r="G562" s="4" t="s">
        <v>25</v>
      </c>
      <c r="H562" s="4" t="s">
        <v>35</v>
      </c>
      <c r="I562" s="5">
        <v>44013</v>
      </c>
      <c r="J562" s="6">
        <v>245</v>
      </c>
      <c r="K562" s="6">
        <v>225.4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4" t="s">
        <v>26</v>
      </c>
      <c r="R562" s="4">
        <v>0</v>
      </c>
      <c r="S562" s="4" t="s">
        <v>320</v>
      </c>
      <c r="T562" s="4" t="s">
        <v>721</v>
      </c>
      <c r="U562" s="4">
        <v>21</v>
      </c>
      <c r="V562" s="4">
        <v>0</v>
      </c>
      <c r="W562" s="4">
        <v>0</v>
      </c>
    </row>
    <row r="563" spans="1:23" ht="11.25" customHeight="1" x14ac:dyDescent="0.25">
      <c r="A563" s="4" t="s">
        <v>21</v>
      </c>
      <c r="B563" s="4" t="s">
        <v>33</v>
      </c>
      <c r="C563" s="4" t="s">
        <v>41</v>
      </c>
      <c r="D563" s="4" t="s">
        <v>47</v>
      </c>
      <c r="E563" s="4" t="s">
        <v>25</v>
      </c>
      <c r="F563" s="4" t="s">
        <v>25</v>
      </c>
      <c r="G563" s="4" t="s">
        <v>25</v>
      </c>
      <c r="H563" s="4" t="s">
        <v>35</v>
      </c>
      <c r="I563" s="5">
        <v>44044</v>
      </c>
      <c r="J563" s="6">
        <v>779</v>
      </c>
      <c r="K563" s="6">
        <v>716.68000000000006</v>
      </c>
      <c r="L563" s="6">
        <v>38.588999999999999</v>
      </c>
      <c r="M563" s="6">
        <v>35.50188</v>
      </c>
      <c r="N563" s="6">
        <v>38.588999999999999</v>
      </c>
      <c r="O563" s="6">
        <v>35.50188</v>
      </c>
      <c r="P563" s="6">
        <v>0</v>
      </c>
      <c r="Q563" s="4" t="s">
        <v>26</v>
      </c>
      <c r="R563" s="4">
        <v>0</v>
      </c>
      <c r="S563" s="4" t="s">
        <v>321</v>
      </c>
      <c r="T563" s="4" t="s">
        <v>722</v>
      </c>
      <c r="U563" s="4">
        <v>21</v>
      </c>
      <c r="V563" s="4">
        <v>23</v>
      </c>
      <c r="W563" s="4">
        <v>81</v>
      </c>
    </row>
    <row r="564" spans="1:23" ht="11.25" customHeight="1" x14ac:dyDescent="0.25">
      <c r="A564" s="4" t="s">
        <v>59</v>
      </c>
      <c r="B564" s="4" t="s">
        <v>33</v>
      </c>
      <c r="C564" s="4" t="s">
        <v>41</v>
      </c>
      <c r="D564" s="4" t="s">
        <v>47</v>
      </c>
      <c r="E564" s="4" t="s">
        <v>25</v>
      </c>
      <c r="F564" s="4" t="s">
        <v>25</v>
      </c>
      <c r="G564" s="4" t="s">
        <v>25</v>
      </c>
      <c r="H564" s="4" t="s">
        <v>35</v>
      </c>
      <c r="I564" s="5">
        <v>44075</v>
      </c>
      <c r="J564" s="6">
        <v>779</v>
      </c>
      <c r="K564" s="6">
        <v>716.68000000000006</v>
      </c>
      <c r="L564" s="6">
        <v>38.588999999999999</v>
      </c>
      <c r="M564" s="6">
        <v>35.50188</v>
      </c>
      <c r="N564" s="6">
        <v>38.588999999999999</v>
      </c>
      <c r="O564" s="6">
        <v>35.50188</v>
      </c>
      <c r="P564" s="6">
        <v>0</v>
      </c>
      <c r="Q564" s="4" t="s">
        <v>26</v>
      </c>
      <c r="R564" s="4">
        <v>0</v>
      </c>
      <c r="S564" s="4" t="s">
        <v>322</v>
      </c>
      <c r="T564" s="4" t="s">
        <v>723</v>
      </c>
      <c r="U564" s="4">
        <v>21</v>
      </c>
      <c r="V564" s="4">
        <v>23</v>
      </c>
      <c r="W564" s="4">
        <v>81</v>
      </c>
    </row>
    <row r="565" spans="1:23" ht="11.25" customHeight="1" x14ac:dyDescent="0.25">
      <c r="A565" s="4" t="s">
        <v>21</v>
      </c>
      <c r="B565" s="4" t="s">
        <v>33</v>
      </c>
      <c r="C565" s="4" t="s">
        <v>41</v>
      </c>
      <c r="D565" s="4" t="s">
        <v>52</v>
      </c>
      <c r="E565" s="4" t="s">
        <v>53</v>
      </c>
      <c r="F565" s="4" t="s">
        <v>25</v>
      </c>
      <c r="G565" s="4" t="s">
        <v>25</v>
      </c>
      <c r="H565" s="4" t="s">
        <v>36</v>
      </c>
      <c r="I565" s="5">
        <v>43739</v>
      </c>
      <c r="J565" s="6">
        <v>9800</v>
      </c>
      <c r="K565" s="6">
        <v>8624</v>
      </c>
      <c r="L565" s="6">
        <v>4514.2240000000002</v>
      </c>
      <c r="M565" s="6">
        <v>3972.51712</v>
      </c>
      <c r="N565" s="6">
        <v>4514.2240000000002</v>
      </c>
      <c r="O565" s="6">
        <v>3972.51712</v>
      </c>
      <c r="P565" s="6">
        <v>0</v>
      </c>
      <c r="Q565" s="4" t="s">
        <v>26</v>
      </c>
      <c r="R565" s="4">
        <v>0</v>
      </c>
      <c r="S565" s="4" t="s">
        <v>299</v>
      </c>
      <c r="T565" s="4" t="s">
        <v>700</v>
      </c>
      <c r="U565" s="4">
        <v>22</v>
      </c>
      <c r="V565" s="4">
        <v>23</v>
      </c>
      <c r="W565" s="4">
        <v>82</v>
      </c>
    </row>
    <row r="566" spans="1:23" ht="11.25" customHeight="1" x14ac:dyDescent="0.25">
      <c r="A566" s="4" t="s">
        <v>21</v>
      </c>
      <c r="B566" s="4" t="s">
        <v>33</v>
      </c>
      <c r="C566" s="4" t="s">
        <v>41</v>
      </c>
      <c r="D566" s="4" t="s">
        <v>52</v>
      </c>
      <c r="E566" s="4" t="s">
        <v>53</v>
      </c>
      <c r="F566" s="4" t="s">
        <v>25</v>
      </c>
      <c r="G566" s="4" t="s">
        <v>25</v>
      </c>
      <c r="H566" s="4" t="s">
        <v>36</v>
      </c>
      <c r="I566" s="5">
        <v>43770</v>
      </c>
      <c r="J566" s="6">
        <v>9795</v>
      </c>
      <c r="K566" s="6">
        <v>8619.6</v>
      </c>
      <c r="L566" s="6">
        <v>4572.0990000000002</v>
      </c>
      <c r="M566" s="6">
        <v>4023.4471200000003</v>
      </c>
      <c r="N566" s="6">
        <v>4572.0990000000002</v>
      </c>
      <c r="O566" s="6">
        <v>4023.4471200000003</v>
      </c>
      <c r="P566" s="6">
        <v>0</v>
      </c>
      <c r="Q566" s="4" t="s">
        <v>26</v>
      </c>
      <c r="R566" s="4">
        <v>0</v>
      </c>
      <c r="S566" s="4" t="s">
        <v>300</v>
      </c>
      <c r="T566" s="4" t="s">
        <v>701</v>
      </c>
      <c r="U566" s="4">
        <v>22</v>
      </c>
      <c r="V566" s="4">
        <v>23</v>
      </c>
      <c r="W566" s="4">
        <v>82</v>
      </c>
    </row>
    <row r="567" spans="1:23" ht="11.25" customHeight="1" x14ac:dyDescent="0.25">
      <c r="A567" s="4" t="s">
        <v>21</v>
      </c>
      <c r="B567" s="4" t="s">
        <v>33</v>
      </c>
      <c r="C567" s="4" t="s">
        <v>41</v>
      </c>
      <c r="D567" s="4" t="s">
        <v>52</v>
      </c>
      <c r="E567" s="4" t="s">
        <v>53</v>
      </c>
      <c r="F567" s="4" t="s">
        <v>25</v>
      </c>
      <c r="G567" s="4" t="s">
        <v>25</v>
      </c>
      <c r="H567" s="4" t="s">
        <v>36</v>
      </c>
      <c r="I567" s="5">
        <v>43800</v>
      </c>
      <c r="J567" s="6">
        <v>9831</v>
      </c>
      <c r="K567" s="6">
        <v>8651.2800000000007</v>
      </c>
      <c r="L567" s="6">
        <v>4345.348</v>
      </c>
      <c r="M567" s="6">
        <v>3823.9062399999998</v>
      </c>
      <c r="N567" s="6">
        <v>4345.348</v>
      </c>
      <c r="O567" s="6">
        <v>3823.9062399999998</v>
      </c>
      <c r="P567" s="6">
        <v>0</v>
      </c>
      <c r="Q567" s="4" t="s">
        <v>26</v>
      </c>
      <c r="R567" s="4">
        <v>0</v>
      </c>
      <c r="S567" s="4" t="s">
        <v>301</v>
      </c>
      <c r="T567" s="4" t="s">
        <v>702</v>
      </c>
      <c r="U567" s="4">
        <v>22</v>
      </c>
      <c r="V567" s="4">
        <v>23</v>
      </c>
      <c r="W567" s="4">
        <v>82</v>
      </c>
    </row>
    <row r="568" spans="1:23" ht="11.25" customHeight="1" x14ac:dyDescent="0.25">
      <c r="A568" s="4" t="s">
        <v>21</v>
      </c>
      <c r="B568" s="4" t="s">
        <v>33</v>
      </c>
      <c r="C568" s="4" t="s">
        <v>41</v>
      </c>
      <c r="D568" s="4" t="s">
        <v>52</v>
      </c>
      <c r="E568" s="4" t="s">
        <v>53</v>
      </c>
      <c r="F568" s="4" t="s">
        <v>25</v>
      </c>
      <c r="G568" s="4" t="s">
        <v>25</v>
      </c>
      <c r="H568" s="4" t="s">
        <v>36</v>
      </c>
      <c r="I568" s="5">
        <v>43831</v>
      </c>
      <c r="J568" s="6">
        <v>9808</v>
      </c>
      <c r="K568" s="6">
        <v>8631.0400000000009</v>
      </c>
      <c r="L568" s="6">
        <v>4575.3519999999999</v>
      </c>
      <c r="M568" s="6">
        <v>4026.3097600000001</v>
      </c>
      <c r="N568" s="6">
        <v>4575.3519999999999</v>
      </c>
      <c r="O568" s="6">
        <v>4026.3097600000001</v>
      </c>
      <c r="P568" s="6">
        <v>0</v>
      </c>
      <c r="Q568" s="4" t="s">
        <v>26</v>
      </c>
      <c r="R568" s="4">
        <v>0</v>
      </c>
      <c r="S568" s="4" t="s">
        <v>302</v>
      </c>
      <c r="T568" s="4" t="s">
        <v>703</v>
      </c>
      <c r="U568" s="4">
        <v>22</v>
      </c>
      <c r="V568" s="4">
        <v>23</v>
      </c>
      <c r="W568" s="4">
        <v>82</v>
      </c>
    </row>
    <row r="569" spans="1:23" ht="11.25" customHeight="1" x14ac:dyDescent="0.25">
      <c r="A569" s="4" t="s">
        <v>21</v>
      </c>
      <c r="B569" s="4" t="s">
        <v>33</v>
      </c>
      <c r="C569" s="4" t="s">
        <v>41</v>
      </c>
      <c r="D569" s="4" t="s">
        <v>52</v>
      </c>
      <c r="E569" s="4" t="s">
        <v>53</v>
      </c>
      <c r="F569" s="4" t="s">
        <v>25</v>
      </c>
      <c r="G569" s="4" t="s">
        <v>25</v>
      </c>
      <c r="H569" s="4" t="s">
        <v>36</v>
      </c>
      <c r="I569" s="5">
        <v>43862</v>
      </c>
      <c r="J569" s="6">
        <v>9853</v>
      </c>
      <c r="K569" s="6">
        <v>8670.64</v>
      </c>
      <c r="L569" s="6">
        <v>4766.9369999999999</v>
      </c>
      <c r="M569" s="6">
        <v>4194.9045599999999</v>
      </c>
      <c r="N569" s="6">
        <v>4766.9369999999999</v>
      </c>
      <c r="O569" s="6">
        <v>4194.9045599999999</v>
      </c>
      <c r="P569" s="6">
        <v>0</v>
      </c>
      <c r="Q569" s="4" t="s">
        <v>26</v>
      </c>
      <c r="R569" s="4">
        <v>0</v>
      </c>
      <c r="S569" s="4" t="s">
        <v>303</v>
      </c>
      <c r="T569" s="4" t="s">
        <v>704</v>
      </c>
      <c r="U569" s="4">
        <v>22</v>
      </c>
      <c r="V569" s="4">
        <v>23</v>
      </c>
      <c r="W569" s="4">
        <v>82</v>
      </c>
    </row>
    <row r="570" spans="1:23" ht="11.25" customHeight="1" x14ac:dyDescent="0.25">
      <c r="A570" s="4" t="s">
        <v>21</v>
      </c>
      <c r="B570" s="4" t="s">
        <v>33</v>
      </c>
      <c r="C570" s="4" t="s">
        <v>41</v>
      </c>
      <c r="D570" s="4" t="s">
        <v>52</v>
      </c>
      <c r="E570" s="4" t="s">
        <v>53</v>
      </c>
      <c r="F570" s="4" t="s">
        <v>25</v>
      </c>
      <c r="G570" s="4" t="s">
        <v>25</v>
      </c>
      <c r="H570" s="4" t="s">
        <v>36</v>
      </c>
      <c r="I570" s="5">
        <v>43891</v>
      </c>
      <c r="J570" s="6">
        <v>9871</v>
      </c>
      <c r="K570" s="6">
        <v>8686.48</v>
      </c>
      <c r="L570" s="6">
        <v>4457.8869999999997</v>
      </c>
      <c r="M570" s="6">
        <v>3922.9405599999996</v>
      </c>
      <c r="N570" s="6">
        <v>4457.8869999999997</v>
      </c>
      <c r="O570" s="6">
        <v>3922.9405599999996</v>
      </c>
      <c r="P570" s="6">
        <v>0</v>
      </c>
      <c r="Q570" s="4" t="s">
        <v>26</v>
      </c>
      <c r="R570" s="4">
        <v>0</v>
      </c>
      <c r="S570" s="4" t="s">
        <v>304</v>
      </c>
      <c r="T570" s="4" t="s">
        <v>705</v>
      </c>
      <c r="U570" s="4">
        <v>22</v>
      </c>
      <c r="V570" s="4">
        <v>23</v>
      </c>
      <c r="W570" s="4">
        <v>82</v>
      </c>
    </row>
    <row r="571" spans="1:23" ht="11.25" customHeight="1" x14ac:dyDescent="0.25">
      <c r="A571" s="4" t="s">
        <v>21</v>
      </c>
      <c r="B571" s="4" t="s">
        <v>33</v>
      </c>
      <c r="C571" s="4" t="s">
        <v>41</v>
      </c>
      <c r="D571" s="4" t="s">
        <v>52</v>
      </c>
      <c r="E571" s="4" t="s">
        <v>53</v>
      </c>
      <c r="F571" s="4" t="s">
        <v>25</v>
      </c>
      <c r="G571" s="4" t="s">
        <v>25</v>
      </c>
      <c r="H571" s="4" t="s">
        <v>36</v>
      </c>
      <c r="I571" s="5">
        <v>43922</v>
      </c>
      <c r="J571" s="6">
        <v>9861</v>
      </c>
      <c r="K571" s="6">
        <v>8677.68</v>
      </c>
      <c r="L571" s="6">
        <v>4824.7709999999997</v>
      </c>
      <c r="M571" s="6">
        <v>4245.7984799999995</v>
      </c>
      <c r="N571" s="6">
        <v>4824.7709999999997</v>
      </c>
      <c r="O571" s="6">
        <v>4245.7984799999995</v>
      </c>
      <c r="P571" s="6">
        <v>0</v>
      </c>
      <c r="Q571" s="4" t="s">
        <v>26</v>
      </c>
      <c r="R571" s="4">
        <v>0</v>
      </c>
      <c r="S571" s="4" t="s">
        <v>305</v>
      </c>
      <c r="T571" s="4" t="s">
        <v>706</v>
      </c>
      <c r="U571" s="4">
        <v>22</v>
      </c>
      <c r="V571" s="4">
        <v>23</v>
      </c>
      <c r="W571" s="4">
        <v>82</v>
      </c>
    </row>
    <row r="572" spans="1:23" ht="11.25" customHeight="1" x14ac:dyDescent="0.25">
      <c r="A572" s="4" t="s">
        <v>21</v>
      </c>
      <c r="B572" s="4" t="s">
        <v>33</v>
      </c>
      <c r="C572" s="4" t="s">
        <v>41</v>
      </c>
      <c r="D572" s="4" t="s">
        <v>52</v>
      </c>
      <c r="E572" s="4" t="s">
        <v>53</v>
      </c>
      <c r="F572" s="4" t="s">
        <v>25</v>
      </c>
      <c r="G572" s="4" t="s">
        <v>25</v>
      </c>
      <c r="H572" s="4" t="s">
        <v>36</v>
      </c>
      <c r="I572" s="5">
        <v>43952</v>
      </c>
      <c r="J572" s="6">
        <v>9845</v>
      </c>
      <c r="K572" s="6">
        <v>8663.6</v>
      </c>
      <c r="L572" s="6">
        <v>4612.7529999999997</v>
      </c>
      <c r="M572" s="6">
        <v>4059.22264</v>
      </c>
      <c r="N572" s="6">
        <v>4612.7529999999997</v>
      </c>
      <c r="O572" s="6">
        <v>4059.22264</v>
      </c>
      <c r="P572" s="6">
        <v>0</v>
      </c>
      <c r="Q572" s="4" t="s">
        <v>26</v>
      </c>
      <c r="R572" s="4">
        <v>0</v>
      </c>
      <c r="S572" s="4" t="s">
        <v>306</v>
      </c>
      <c r="T572" s="4" t="s">
        <v>707</v>
      </c>
      <c r="U572" s="4">
        <v>22</v>
      </c>
      <c r="V572" s="4">
        <v>23</v>
      </c>
      <c r="W572" s="4">
        <v>82</v>
      </c>
    </row>
    <row r="573" spans="1:23" ht="11.25" customHeight="1" x14ac:dyDescent="0.25">
      <c r="A573" s="4" t="s">
        <v>21</v>
      </c>
      <c r="B573" s="4" t="s">
        <v>33</v>
      </c>
      <c r="C573" s="4" t="s">
        <v>41</v>
      </c>
      <c r="D573" s="4" t="s">
        <v>52</v>
      </c>
      <c r="E573" s="4" t="s">
        <v>53</v>
      </c>
      <c r="F573" s="4" t="s">
        <v>25</v>
      </c>
      <c r="G573" s="4" t="s">
        <v>25</v>
      </c>
      <c r="H573" s="4" t="s">
        <v>36</v>
      </c>
      <c r="I573" s="5">
        <v>43983</v>
      </c>
      <c r="J573" s="6">
        <v>9867</v>
      </c>
      <c r="K573" s="6">
        <v>8682.9600000000009</v>
      </c>
      <c r="L573" s="6">
        <v>4701.09</v>
      </c>
      <c r="M573" s="6">
        <v>4136.9592000000002</v>
      </c>
      <c r="N573" s="6">
        <v>4701.09</v>
      </c>
      <c r="O573" s="6">
        <v>4136.9592000000002</v>
      </c>
      <c r="P573" s="6">
        <v>0</v>
      </c>
      <c r="Q573" s="4" t="s">
        <v>26</v>
      </c>
      <c r="R573" s="4">
        <v>0</v>
      </c>
      <c r="S573" s="4" t="s">
        <v>307</v>
      </c>
      <c r="T573" s="4" t="s">
        <v>708</v>
      </c>
      <c r="U573" s="4">
        <v>22</v>
      </c>
      <c r="V573" s="4">
        <v>23</v>
      </c>
      <c r="W573" s="4">
        <v>82</v>
      </c>
    </row>
    <row r="574" spans="1:23" ht="11.25" customHeight="1" x14ac:dyDescent="0.25">
      <c r="A574" s="4" t="s">
        <v>21</v>
      </c>
      <c r="B574" s="4" t="s">
        <v>33</v>
      </c>
      <c r="C574" s="4" t="s">
        <v>41</v>
      </c>
      <c r="D574" s="4" t="s">
        <v>52</v>
      </c>
      <c r="E574" s="4" t="s">
        <v>53</v>
      </c>
      <c r="F574" s="4" t="s">
        <v>25</v>
      </c>
      <c r="G574" s="4" t="s">
        <v>25</v>
      </c>
      <c r="H574" s="4" t="s">
        <v>36</v>
      </c>
      <c r="I574" s="5">
        <v>44013</v>
      </c>
      <c r="J574" s="6">
        <v>9817</v>
      </c>
      <c r="K574" s="6">
        <v>8638.9600000000009</v>
      </c>
      <c r="L574" s="6">
        <v>4510.7780000000002</v>
      </c>
      <c r="M574" s="6">
        <v>3969.4846400000001</v>
      </c>
      <c r="N574" s="6">
        <v>4510.7780000000002</v>
      </c>
      <c r="O574" s="6">
        <v>3969.4846400000001</v>
      </c>
      <c r="P574" s="6">
        <v>0</v>
      </c>
      <c r="Q574" s="4" t="s">
        <v>26</v>
      </c>
      <c r="R574" s="4">
        <v>0</v>
      </c>
      <c r="S574" s="4" t="s">
        <v>308</v>
      </c>
      <c r="T574" s="4" t="s">
        <v>709</v>
      </c>
      <c r="U574" s="4">
        <v>22</v>
      </c>
      <c r="V574" s="4">
        <v>23</v>
      </c>
      <c r="W574" s="4">
        <v>82</v>
      </c>
    </row>
    <row r="575" spans="1:23" ht="11.25" customHeight="1" x14ac:dyDescent="0.25">
      <c r="A575" s="4" t="s">
        <v>21</v>
      </c>
      <c r="B575" s="4" t="s">
        <v>33</v>
      </c>
      <c r="C575" s="4" t="s">
        <v>41</v>
      </c>
      <c r="D575" s="4" t="s">
        <v>52</v>
      </c>
      <c r="E575" s="4" t="s">
        <v>53</v>
      </c>
      <c r="F575" s="4" t="s">
        <v>25</v>
      </c>
      <c r="G575" s="4" t="s">
        <v>25</v>
      </c>
      <c r="H575" s="4" t="s">
        <v>36</v>
      </c>
      <c r="I575" s="5">
        <v>44044</v>
      </c>
      <c r="J575" s="6">
        <v>9822</v>
      </c>
      <c r="K575" s="6">
        <v>8643.36</v>
      </c>
      <c r="L575" s="6">
        <v>4519.3159999999998</v>
      </c>
      <c r="M575" s="6">
        <v>3976.9980799999998</v>
      </c>
      <c r="N575" s="6">
        <v>4519.3159999999998</v>
      </c>
      <c r="O575" s="6">
        <v>3976.9980799999998</v>
      </c>
      <c r="P575" s="6">
        <v>0</v>
      </c>
      <c r="Q575" s="4" t="s">
        <v>26</v>
      </c>
      <c r="R575" s="4">
        <v>0</v>
      </c>
      <c r="S575" s="4" t="s">
        <v>309</v>
      </c>
      <c r="T575" s="4" t="s">
        <v>710</v>
      </c>
      <c r="U575" s="4">
        <v>22</v>
      </c>
      <c r="V575" s="4">
        <v>23</v>
      </c>
      <c r="W575" s="4">
        <v>82</v>
      </c>
    </row>
    <row r="576" spans="1:23" ht="11.25" customHeight="1" x14ac:dyDescent="0.25">
      <c r="A576" s="4" t="s">
        <v>59</v>
      </c>
      <c r="B576" s="4" t="s">
        <v>33</v>
      </c>
      <c r="C576" s="4" t="s">
        <v>41</v>
      </c>
      <c r="D576" s="4" t="s">
        <v>52</v>
      </c>
      <c r="E576" s="4" t="s">
        <v>53</v>
      </c>
      <c r="F576" s="4" t="s">
        <v>25</v>
      </c>
      <c r="G576" s="4" t="s">
        <v>25</v>
      </c>
      <c r="H576" s="4" t="s">
        <v>36</v>
      </c>
      <c r="I576" s="5">
        <v>44075</v>
      </c>
      <c r="J576" s="6">
        <v>9822</v>
      </c>
      <c r="K576" s="6">
        <v>8643.36</v>
      </c>
      <c r="L576" s="6">
        <v>4519.3159999999998</v>
      </c>
      <c r="M576" s="6">
        <v>3976.9980799999998</v>
      </c>
      <c r="N576" s="6">
        <v>4519.3159999999998</v>
      </c>
      <c r="O576" s="6">
        <v>3976.9980799999998</v>
      </c>
      <c r="P576" s="6">
        <v>0</v>
      </c>
      <c r="Q576" s="4" t="s">
        <v>26</v>
      </c>
      <c r="R576" s="4">
        <v>0</v>
      </c>
      <c r="S576" s="4" t="s">
        <v>310</v>
      </c>
      <c r="T576" s="4" t="s">
        <v>711</v>
      </c>
      <c r="U576" s="4">
        <v>22</v>
      </c>
      <c r="V576" s="4">
        <v>23</v>
      </c>
      <c r="W576" s="4">
        <v>82</v>
      </c>
    </row>
    <row r="577" spans="1:23" ht="11.25" customHeight="1" x14ac:dyDescent="0.25">
      <c r="A577" s="4" t="s">
        <v>21</v>
      </c>
      <c r="B577" s="4" t="s">
        <v>33</v>
      </c>
      <c r="C577" s="4" t="s">
        <v>41</v>
      </c>
      <c r="D577" s="4" t="s">
        <v>52</v>
      </c>
      <c r="E577" s="4" t="s">
        <v>53</v>
      </c>
      <c r="F577" s="4" t="s">
        <v>25</v>
      </c>
      <c r="G577" s="4" t="s">
        <v>25</v>
      </c>
      <c r="H577" s="4" t="s">
        <v>35</v>
      </c>
      <c r="I577" s="5">
        <v>43739</v>
      </c>
      <c r="J577" s="6">
        <v>7945</v>
      </c>
      <c r="K577" s="6">
        <v>6991.6</v>
      </c>
      <c r="L577" s="6">
        <v>389.94</v>
      </c>
      <c r="M577" s="6">
        <v>343.1472</v>
      </c>
      <c r="N577" s="6">
        <v>389.94</v>
      </c>
      <c r="O577" s="6">
        <v>343.1472</v>
      </c>
      <c r="P577" s="6">
        <v>0</v>
      </c>
      <c r="Q577" s="4" t="s">
        <v>26</v>
      </c>
      <c r="R577" s="4">
        <v>0</v>
      </c>
      <c r="S577" s="4" t="s">
        <v>311</v>
      </c>
      <c r="T577" s="4" t="s">
        <v>712</v>
      </c>
      <c r="U577" s="4">
        <v>21</v>
      </c>
      <c r="V577" s="4">
        <v>23</v>
      </c>
      <c r="W577" s="4">
        <v>81</v>
      </c>
    </row>
    <row r="578" spans="1:23" ht="11.25" customHeight="1" x14ac:dyDescent="0.25">
      <c r="A578" s="4" t="s">
        <v>21</v>
      </c>
      <c r="B578" s="4" t="s">
        <v>33</v>
      </c>
      <c r="C578" s="4" t="s">
        <v>41</v>
      </c>
      <c r="D578" s="4" t="s">
        <v>52</v>
      </c>
      <c r="E578" s="4" t="s">
        <v>53</v>
      </c>
      <c r="F578" s="4" t="s">
        <v>25</v>
      </c>
      <c r="G578" s="4" t="s">
        <v>25</v>
      </c>
      <c r="H578" s="4" t="s">
        <v>35</v>
      </c>
      <c r="I578" s="5">
        <v>43770</v>
      </c>
      <c r="J578" s="6">
        <v>7973</v>
      </c>
      <c r="K578" s="6">
        <v>7016.24</v>
      </c>
      <c r="L578" s="6">
        <v>407.637</v>
      </c>
      <c r="M578" s="6">
        <v>358.72055999999998</v>
      </c>
      <c r="N578" s="6">
        <v>407.637</v>
      </c>
      <c r="O578" s="6">
        <v>358.72055999999998</v>
      </c>
      <c r="P578" s="6">
        <v>0</v>
      </c>
      <c r="Q578" s="4" t="s">
        <v>26</v>
      </c>
      <c r="R578" s="4">
        <v>0</v>
      </c>
      <c r="S578" s="4" t="s">
        <v>312</v>
      </c>
      <c r="T578" s="4" t="s">
        <v>713</v>
      </c>
      <c r="U578" s="4">
        <v>21</v>
      </c>
      <c r="V578" s="4">
        <v>23</v>
      </c>
      <c r="W578" s="4">
        <v>81</v>
      </c>
    </row>
    <row r="579" spans="1:23" ht="11.25" customHeight="1" x14ac:dyDescent="0.25">
      <c r="A579" s="4" t="s">
        <v>21</v>
      </c>
      <c r="B579" s="4" t="s">
        <v>33</v>
      </c>
      <c r="C579" s="4" t="s">
        <v>41</v>
      </c>
      <c r="D579" s="4" t="s">
        <v>52</v>
      </c>
      <c r="E579" s="4" t="s">
        <v>53</v>
      </c>
      <c r="F579" s="4" t="s">
        <v>25</v>
      </c>
      <c r="G579" s="4" t="s">
        <v>25</v>
      </c>
      <c r="H579" s="4" t="s">
        <v>35</v>
      </c>
      <c r="I579" s="5">
        <v>43800</v>
      </c>
      <c r="J579" s="6">
        <v>7941</v>
      </c>
      <c r="K579" s="6">
        <v>6988.08</v>
      </c>
      <c r="L579" s="6">
        <v>362.37299999999999</v>
      </c>
      <c r="M579" s="6">
        <v>318.88824</v>
      </c>
      <c r="N579" s="6">
        <v>362.37299999999999</v>
      </c>
      <c r="O579" s="6">
        <v>318.88824</v>
      </c>
      <c r="P579" s="6">
        <v>0</v>
      </c>
      <c r="Q579" s="4" t="s">
        <v>26</v>
      </c>
      <c r="R579" s="4">
        <v>0</v>
      </c>
      <c r="S579" s="4" t="s">
        <v>313</v>
      </c>
      <c r="T579" s="4" t="s">
        <v>714</v>
      </c>
      <c r="U579" s="4">
        <v>21</v>
      </c>
      <c r="V579" s="4">
        <v>23</v>
      </c>
      <c r="W579" s="4">
        <v>81</v>
      </c>
    </row>
    <row r="580" spans="1:23" ht="11.25" customHeight="1" x14ac:dyDescent="0.25">
      <c r="A580" s="4" t="s">
        <v>21</v>
      </c>
      <c r="B580" s="4" t="s">
        <v>33</v>
      </c>
      <c r="C580" s="4" t="s">
        <v>41</v>
      </c>
      <c r="D580" s="4" t="s">
        <v>52</v>
      </c>
      <c r="E580" s="4" t="s">
        <v>53</v>
      </c>
      <c r="F580" s="4" t="s">
        <v>25</v>
      </c>
      <c r="G580" s="4" t="s">
        <v>25</v>
      </c>
      <c r="H580" s="4" t="s">
        <v>35</v>
      </c>
      <c r="I580" s="5">
        <v>43831</v>
      </c>
      <c r="J580" s="6">
        <v>7921</v>
      </c>
      <c r="K580" s="6">
        <v>6970.4800000000005</v>
      </c>
      <c r="L580" s="6">
        <v>378.95400000000001</v>
      </c>
      <c r="M580" s="6">
        <v>333.47952000000004</v>
      </c>
      <c r="N580" s="6">
        <v>378.95400000000001</v>
      </c>
      <c r="O580" s="6">
        <v>333.47952000000004</v>
      </c>
      <c r="P580" s="6">
        <v>0</v>
      </c>
      <c r="Q580" s="4" t="s">
        <v>26</v>
      </c>
      <c r="R580" s="4">
        <v>0</v>
      </c>
      <c r="S580" s="4" t="s">
        <v>314</v>
      </c>
      <c r="T580" s="4" t="s">
        <v>715</v>
      </c>
      <c r="U580" s="4">
        <v>21</v>
      </c>
      <c r="V580" s="4">
        <v>23</v>
      </c>
      <c r="W580" s="4">
        <v>81</v>
      </c>
    </row>
    <row r="581" spans="1:23" ht="11.25" customHeight="1" x14ac:dyDescent="0.25">
      <c r="A581" s="4" t="s">
        <v>21</v>
      </c>
      <c r="B581" s="4" t="s">
        <v>33</v>
      </c>
      <c r="C581" s="4" t="s">
        <v>41</v>
      </c>
      <c r="D581" s="4" t="s">
        <v>52</v>
      </c>
      <c r="E581" s="4" t="s">
        <v>53</v>
      </c>
      <c r="F581" s="4" t="s">
        <v>25</v>
      </c>
      <c r="G581" s="4" t="s">
        <v>25</v>
      </c>
      <c r="H581" s="4" t="s">
        <v>35</v>
      </c>
      <c r="I581" s="5">
        <v>43862</v>
      </c>
      <c r="J581" s="6">
        <v>7899</v>
      </c>
      <c r="K581" s="6">
        <v>6951.12</v>
      </c>
      <c r="L581" s="6">
        <v>402.07499999999999</v>
      </c>
      <c r="M581" s="6">
        <v>353.82599999999996</v>
      </c>
      <c r="N581" s="6">
        <v>402.07499999999999</v>
      </c>
      <c r="O581" s="6">
        <v>353.82599999999996</v>
      </c>
      <c r="P581" s="6">
        <v>0</v>
      </c>
      <c r="Q581" s="4" t="s">
        <v>26</v>
      </c>
      <c r="R581" s="4">
        <v>0</v>
      </c>
      <c r="S581" s="4" t="s">
        <v>315</v>
      </c>
      <c r="T581" s="4" t="s">
        <v>716</v>
      </c>
      <c r="U581" s="4">
        <v>21</v>
      </c>
      <c r="V581" s="4">
        <v>23</v>
      </c>
      <c r="W581" s="4">
        <v>81</v>
      </c>
    </row>
    <row r="582" spans="1:23" ht="11.25" customHeight="1" x14ac:dyDescent="0.25">
      <c r="A582" s="4" t="s">
        <v>21</v>
      </c>
      <c r="B582" s="4" t="s">
        <v>33</v>
      </c>
      <c r="C582" s="4" t="s">
        <v>41</v>
      </c>
      <c r="D582" s="4" t="s">
        <v>52</v>
      </c>
      <c r="E582" s="4" t="s">
        <v>53</v>
      </c>
      <c r="F582" s="4" t="s">
        <v>25</v>
      </c>
      <c r="G582" s="4" t="s">
        <v>25</v>
      </c>
      <c r="H582" s="4" t="s">
        <v>35</v>
      </c>
      <c r="I582" s="5">
        <v>43891</v>
      </c>
      <c r="J582" s="6">
        <v>7933</v>
      </c>
      <c r="K582" s="6">
        <v>6981.04</v>
      </c>
      <c r="L582" s="6">
        <v>366.37299999999999</v>
      </c>
      <c r="M582" s="6">
        <v>322.40823999999998</v>
      </c>
      <c r="N582" s="6">
        <v>366.37299999999999</v>
      </c>
      <c r="O582" s="6">
        <v>322.40823999999998</v>
      </c>
      <c r="P582" s="6">
        <v>0</v>
      </c>
      <c r="Q582" s="4" t="s">
        <v>26</v>
      </c>
      <c r="R582" s="4">
        <v>0</v>
      </c>
      <c r="S582" s="4" t="s">
        <v>316</v>
      </c>
      <c r="T582" s="4" t="s">
        <v>717</v>
      </c>
      <c r="U582" s="4">
        <v>21</v>
      </c>
      <c r="V582" s="4">
        <v>23</v>
      </c>
      <c r="W582" s="4">
        <v>81</v>
      </c>
    </row>
    <row r="583" spans="1:23" ht="11.25" customHeight="1" x14ac:dyDescent="0.25">
      <c r="A583" s="4" t="s">
        <v>21</v>
      </c>
      <c r="B583" s="4" t="s">
        <v>33</v>
      </c>
      <c r="C583" s="4" t="s">
        <v>41</v>
      </c>
      <c r="D583" s="4" t="s">
        <v>52</v>
      </c>
      <c r="E583" s="4" t="s">
        <v>53</v>
      </c>
      <c r="F583" s="4" t="s">
        <v>25</v>
      </c>
      <c r="G583" s="4" t="s">
        <v>25</v>
      </c>
      <c r="H583" s="4" t="s">
        <v>35</v>
      </c>
      <c r="I583" s="5">
        <v>43922</v>
      </c>
      <c r="J583" s="6">
        <v>7955</v>
      </c>
      <c r="K583" s="6">
        <v>7000.4</v>
      </c>
      <c r="L583" s="6">
        <v>416.745</v>
      </c>
      <c r="M583" s="6">
        <v>366.73560000000003</v>
      </c>
      <c r="N583" s="6">
        <v>416.745</v>
      </c>
      <c r="O583" s="6">
        <v>366.73560000000003</v>
      </c>
      <c r="P583" s="6">
        <v>0</v>
      </c>
      <c r="Q583" s="4" t="s">
        <v>26</v>
      </c>
      <c r="R583" s="4">
        <v>0</v>
      </c>
      <c r="S583" s="4" t="s">
        <v>317</v>
      </c>
      <c r="T583" s="4" t="s">
        <v>718</v>
      </c>
      <c r="U583" s="4">
        <v>21</v>
      </c>
      <c r="V583" s="4">
        <v>23</v>
      </c>
      <c r="W583" s="4">
        <v>81</v>
      </c>
    </row>
    <row r="584" spans="1:23" ht="11.25" customHeight="1" x14ac:dyDescent="0.25">
      <c r="A584" s="4" t="s">
        <v>21</v>
      </c>
      <c r="B584" s="4" t="s">
        <v>33</v>
      </c>
      <c r="C584" s="4" t="s">
        <v>41</v>
      </c>
      <c r="D584" s="4" t="s">
        <v>52</v>
      </c>
      <c r="E584" s="4" t="s">
        <v>53</v>
      </c>
      <c r="F584" s="4" t="s">
        <v>25</v>
      </c>
      <c r="G584" s="4" t="s">
        <v>25</v>
      </c>
      <c r="H584" s="4" t="s">
        <v>35</v>
      </c>
      <c r="I584" s="5">
        <v>43952</v>
      </c>
      <c r="J584" s="6">
        <v>7917</v>
      </c>
      <c r="K584" s="6">
        <v>6966.96</v>
      </c>
      <c r="L584" s="6">
        <v>359.61</v>
      </c>
      <c r="M584" s="6">
        <v>316.45679999999999</v>
      </c>
      <c r="N584" s="6">
        <v>359.61</v>
      </c>
      <c r="O584" s="6">
        <v>316.45679999999999</v>
      </c>
      <c r="P584" s="6">
        <v>0</v>
      </c>
      <c r="Q584" s="4" t="s">
        <v>26</v>
      </c>
      <c r="R584" s="4">
        <v>0</v>
      </c>
      <c r="S584" s="4" t="s">
        <v>318</v>
      </c>
      <c r="T584" s="4" t="s">
        <v>719</v>
      </c>
      <c r="U584" s="4">
        <v>21</v>
      </c>
      <c r="V584" s="4">
        <v>23</v>
      </c>
      <c r="W584" s="4">
        <v>81</v>
      </c>
    </row>
    <row r="585" spans="1:23" ht="11.25" customHeight="1" x14ac:dyDescent="0.25">
      <c r="A585" s="4" t="s">
        <v>21</v>
      </c>
      <c r="B585" s="4" t="s">
        <v>33</v>
      </c>
      <c r="C585" s="4" t="s">
        <v>41</v>
      </c>
      <c r="D585" s="4" t="s">
        <v>52</v>
      </c>
      <c r="E585" s="4" t="s">
        <v>53</v>
      </c>
      <c r="F585" s="4" t="s">
        <v>25</v>
      </c>
      <c r="G585" s="4" t="s">
        <v>25</v>
      </c>
      <c r="H585" s="4" t="s">
        <v>35</v>
      </c>
      <c r="I585" s="5">
        <v>43983</v>
      </c>
      <c r="J585" s="6">
        <v>7920</v>
      </c>
      <c r="K585" s="6">
        <v>6969.6</v>
      </c>
      <c r="L585" s="6">
        <v>396.50599999999997</v>
      </c>
      <c r="M585" s="6">
        <v>348.92527999999999</v>
      </c>
      <c r="N585" s="6">
        <v>396.50599999999997</v>
      </c>
      <c r="O585" s="6">
        <v>348.92527999999999</v>
      </c>
      <c r="P585" s="6">
        <v>0</v>
      </c>
      <c r="Q585" s="4" t="s">
        <v>26</v>
      </c>
      <c r="R585" s="4">
        <v>0</v>
      </c>
      <c r="S585" s="4" t="s">
        <v>319</v>
      </c>
      <c r="T585" s="4" t="s">
        <v>720</v>
      </c>
      <c r="U585" s="4">
        <v>21</v>
      </c>
      <c r="V585" s="4">
        <v>23</v>
      </c>
      <c r="W585" s="4">
        <v>81</v>
      </c>
    </row>
    <row r="586" spans="1:23" ht="11.25" customHeight="1" x14ac:dyDescent="0.25">
      <c r="A586" s="4" t="s">
        <v>21</v>
      </c>
      <c r="B586" s="4" t="s">
        <v>33</v>
      </c>
      <c r="C586" s="4" t="s">
        <v>41</v>
      </c>
      <c r="D586" s="4" t="s">
        <v>52</v>
      </c>
      <c r="E586" s="4" t="s">
        <v>53</v>
      </c>
      <c r="F586" s="4" t="s">
        <v>25</v>
      </c>
      <c r="G586" s="4" t="s">
        <v>25</v>
      </c>
      <c r="H586" s="4" t="s">
        <v>35</v>
      </c>
      <c r="I586" s="5">
        <v>44013</v>
      </c>
      <c r="J586" s="6">
        <v>7912</v>
      </c>
      <c r="K586" s="6">
        <v>6962.56</v>
      </c>
      <c r="L586" s="6">
        <v>393.71199999999999</v>
      </c>
      <c r="M586" s="6">
        <v>346.46656000000002</v>
      </c>
      <c r="N586" s="6">
        <v>393.71199999999999</v>
      </c>
      <c r="O586" s="6">
        <v>346.46656000000002</v>
      </c>
      <c r="P586" s="6">
        <v>0</v>
      </c>
      <c r="Q586" s="4" t="s">
        <v>26</v>
      </c>
      <c r="R586" s="4">
        <v>0</v>
      </c>
      <c r="S586" s="4" t="s">
        <v>320</v>
      </c>
      <c r="T586" s="4" t="s">
        <v>721</v>
      </c>
      <c r="U586" s="4">
        <v>21</v>
      </c>
      <c r="V586" s="4">
        <v>23</v>
      </c>
      <c r="W586" s="4">
        <v>81</v>
      </c>
    </row>
    <row r="587" spans="1:23" ht="11.25" customHeight="1" x14ac:dyDescent="0.25">
      <c r="A587" s="4" t="s">
        <v>21</v>
      </c>
      <c r="B587" s="4" t="s">
        <v>33</v>
      </c>
      <c r="C587" s="4" t="s">
        <v>41</v>
      </c>
      <c r="D587" s="4" t="s">
        <v>52</v>
      </c>
      <c r="E587" s="4" t="s">
        <v>53</v>
      </c>
      <c r="F587" s="4" t="s">
        <v>25</v>
      </c>
      <c r="G587" s="4" t="s">
        <v>25</v>
      </c>
      <c r="H587" s="4" t="s">
        <v>35</v>
      </c>
      <c r="I587" s="5">
        <v>44044</v>
      </c>
      <c r="J587" s="6">
        <v>7908</v>
      </c>
      <c r="K587" s="6">
        <v>6959.04</v>
      </c>
      <c r="L587" s="6">
        <v>394.91699999999997</v>
      </c>
      <c r="M587" s="6">
        <v>347.52695999999997</v>
      </c>
      <c r="N587" s="6">
        <v>394.91699999999997</v>
      </c>
      <c r="O587" s="6">
        <v>347.52695999999997</v>
      </c>
      <c r="P587" s="6">
        <v>0</v>
      </c>
      <c r="Q587" s="4" t="s">
        <v>26</v>
      </c>
      <c r="R587" s="4">
        <v>0</v>
      </c>
      <c r="S587" s="4" t="s">
        <v>321</v>
      </c>
      <c r="T587" s="4" t="s">
        <v>722</v>
      </c>
      <c r="U587" s="4">
        <v>21</v>
      </c>
      <c r="V587" s="4">
        <v>23</v>
      </c>
      <c r="W587" s="4">
        <v>81</v>
      </c>
    </row>
    <row r="588" spans="1:23" ht="11.25" customHeight="1" x14ac:dyDescent="0.25">
      <c r="A588" s="4" t="s">
        <v>59</v>
      </c>
      <c r="B588" s="4" t="s">
        <v>33</v>
      </c>
      <c r="C588" s="4" t="s">
        <v>41</v>
      </c>
      <c r="D588" s="4" t="s">
        <v>52</v>
      </c>
      <c r="E588" s="4" t="s">
        <v>53</v>
      </c>
      <c r="F588" s="4" t="s">
        <v>25</v>
      </c>
      <c r="G588" s="4" t="s">
        <v>25</v>
      </c>
      <c r="H588" s="4" t="s">
        <v>35</v>
      </c>
      <c r="I588" s="5">
        <v>44075</v>
      </c>
      <c r="J588" s="6">
        <v>7908</v>
      </c>
      <c r="K588" s="6">
        <v>6959.04</v>
      </c>
      <c r="L588" s="6">
        <v>394.91699999999997</v>
      </c>
      <c r="M588" s="6">
        <v>347.52695999999997</v>
      </c>
      <c r="N588" s="6">
        <v>394.91699999999997</v>
      </c>
      <c r="O588" s="6">
        <v>347.52695999999997</v>
      </c>
      <c r="P588" s="6">
        <v>0</v>
      </c>
      <c r="Q588" s="4" t="s">
        <v>26</v>
      </c>
      <c r="R588" s="4">
        <v>0</v>
      </c>
      <c r="S588" s="4" t="s">
        <v>322</v>
      </c>
      <c r="T588" s="4" t="s">
        <v>723</v>
      </c>
      <c r="U588" s="4">
        <v>21</v>
      </c>
      <c r="V588" s="4">
        <v>23</v>
      </c>
      <c r="W588" s="4">
        <v>81</v>
      </c>
    </row>
    <row r="589" spans="1:23" ht="11.25" customHeight="1" x14ac:dyDescent="0.25">
      <c r="A589" s="4" t="s">
        <v>21</v>
      </c>
      <c r="B589" s="4" t="s">
        <v>33</v>
      </c>
      <c r="C589" s="4" t="s">
        <v>41</v>
      </c>
      <c r="D589" s="4" t="s">
        <v>52</v>
      </c>
      <c r="E589" s="4" t="s">
        <v>58</v>
      </c>
      <c r="F589" s="4" t="s">
        <v>25</v>
      </c>
      <c r="G589" s="4" t="s">
        <v>25</v>
      </c>
      <c r="H589" s="4" t="s">
        <v>36</v>
      </c>
      <c r="I589" s="5">
        <v>43770</v>
      </c>
      <c r="J589" s="6">
        <v>34507</v>
      </c>
      <c r="K589" s="6">
        <v>34507</v>
      </c>
      <c r="L589" s="6">
        <v>8656.357</v>
      </c>
      <c r="M589" s="6">
        <v>8656.357</v>
      </c>
      <c r="N589" s="6">
        <v>8656.357</v>
      </c>
      <c r="O589" s="6">
        <v>8656.357</v>
      </c>
      <c r="P589" s="6">
        <v>0</v>
      </c>
      <c r="Q589" s="4" t="s">
        <v>26</v>
      </c>
      <c r="R589" s="4">
        <v>0</v>
      </c>
      <c r="S589" s="4" t="s">
        <v>300</v>
      </c>
      <c r="T589" s="4" t="s">
        <v>701</v>
      </c>
      <c r="U589" s="4">
        <v>22</v>
      </c>
      <c r="V589" s="4">
        <v>23</v>
      </c>
      <c r="W589" s="4">
        <v>82</v>
      </c>
    </row>
    <row r="590" spans="1:23" ht="11.25" customHeight="1" x14ac:dyDescent="0.25">
      <c r="A590" s="4" t="s">
        <v>21</v>
      </c>
      <c r="B590" s="4" t="s">
        <v>33</v>
      </c>
      <c r="C590" s="4" t="s">
        <v>41</v>
      </c>
      <c r="D590" s="4" t="s">
        <v>52</v>
      </c>
      <c r="E590" s="4" t="s">
        <v>58</v>
      </c>
      <c r="F590" s="4" t="s">
        <v>25</v>
      </c>
      <c r="G590" s="4" t="s">
        <v>25</v>
      </c>
      <c r="H590" s="4" t="s">
        <v>36</v>
      </c>
      <c r="I590" s="5">
        <v>43800</v>
      </c>
      <c r="J590" s="6">
        <v>15595</v>
      </c>
      <c r="K590" s="6">
        <v>15595</v>
      </c>
      <c r="L590" s="6">
        <v>4114.5879999999997</v>
      </c>
      <c r="M590" s="6">
        <v>4114.5879999999997</v>
      </c>
      <c r="N590" s="6">
        <v>4114.5879999999997</v>
      </c>
      <c r="O590" s="6">
        <v>4114.5879999999997</v>
      </c>
      <c r="P590" s="6">
        <v>0</v>
      </c>
      <c r="Q590" s="4" t="s">
        <v>26</v>
      </c>
      <c r="R590" s="4">
        <v>0</v>
      </c>
      <c r="S590" s="4" t="s">
        <v>301</v>
      </c>
      <c r="T590" s="4" t="s">
        <v>702</v>
      </c>
      <c r="U590" s="4">
        <v>22</v>
      </c>
      <c r="V590" s="4">
        <v>23</v>
      </c>
      <c r="W590" s="4">
        <v>82</v>
      </c>
    </row>
    <row r="591" spans="1:23" ht="11.25" customHeight="1" x14ac:dyDescent="0.25">
      <c r="A591" s="4" t="s">
        <v>21</v>
      </c>
      <c r="B591" s="4" t="s">
        <v>33</v>
      </c>
      <c r="C591" s="4" t="s">
        <v>41</v>
      </c>
      <c r="D591" s="4" t="s">
        <v>52</v>
      </c>
      <c r="E591" s="4" t="s">
        <v>58</v>
      </c>
      <c r="F591" s="4" t="s">
        <v>25</v>
      </c>
      <c r="G591" s="4" t="s">
        <v>25</v>
      </c>
      <c r="H591" s="4" t="s">
        <v>36</v>
      </c>
      <c r="I591" s="5">
        <v>43831</v>
      </c>
      <c r="J591" s="6">
        <v>14842</v>
      </c>
      <c r="K591" s="6">
        <v>14842</v>
      </c>
      <c r="L591" s="6">
        <v>3825.1509999999998</v>
      </c>
      <c r="M591" s="6">
        <v>3825.1509999999998</v>
      </c>
      <c r="N591" s="6">
        <v>3825.1509999999998</v>
      </c>
      <c r="O591" s="6">
        <v>3825.1509999999998</v>
      </c>
      <c r="P591" s="6">
        <v>0</v>
      </c>
      <c r="Q591" s="4" t="s">
        <v>26</v>
      </c>
      <c r="R591" s="4">
        <v>0</v>
      </c>
      <c r="S591" s="4" t="s">
        <v>302</v>
      </c>
      <c r="T591" s="4" t="s">
        <v>703</v>
      </c>
      <c r="U591" s="4">
        <v>22</v>
      </c>
      <c r="V591" s="4">
        <v>23</v>
      </c>
      <c r="W591" s="4">
        <v>82</v>
      </c>
    </row>
    <row r="592" spans="1:23" ht="11.25" customHeight="1" x14ac:dyDescent="0.25">
      <c r="A592" s="4" t="s">
        <v>21</v>
      </c>
      <c r="B592" s="4" t="s">
        <v>33</v>
      </c>
      <c r="C592" s="4" t="s">
        <v>41</v>
      </c>
      <c r="D592" s="4" t="s">
        <v>52</v>
      </c>
      <c r="E592" s="4" t="s">
        <v>58</v>
      </c>
      <c r="F592" s="4" t="s">
        <v>25</v>
      </c>
      <c r="G592" s="4" t="s">
        <v>25</v>
      </c>
      <c r="H592" s="4" t="s">
        <v>36</v>
      </c>
      <c r="I592" s="5">
        <v>43862</v>
      </c>
      <c r="J592" s="6">
        <v>16226</v>
      </c>
      <c r="K592" s="6">
        <v>16226</v>
      </c>
      <c r="L592" s="6">
        <v>4156.759</v>
      </c>
      <c r="M592" s="6">
        <v>4156.759</v>
      </c>
      <c r="N592" s="6">
        <v>4156.759</v>
      </c>
      <c r="O592" s="6">
        <v>4156.759</v>
      </c>
      <c r="P592" s="6">
        <v>0</v>
      </c>
      <c r="Q592" s="4" t="s">
        <v>26</v>
      </c>
      <c r="R592" s="4">
        <v>0</v>
      </c>
      <c r="S592" s="4" t="s">
        <v>303</v>
      </c>
      <c r="T592" s="4" t="s">
        <v>704</v>
      </c>
      <c r="U592" s="4">
        <v>22</v>
      </c>
      <c r="V592" s="4">
        <v>23</v>
      </c>
      <c r="W592" s="4">
        <v>82</v>
      </c>
    </row>
    <row r="593" spans="1:23" ht="11.25" customHeight="1" x14ac:dyDescent="0.25">
      <c r="A593" s="4" t="s">
        <v>21</v>
      </c>
      <c r="B593" s="4" t="s">
        <v>33</v>
      </c>
      <c r="C593" s="4" t="s">
        <v>41</v>
      </c>
      <c r="D593" s="4" t="s">
        <v>52</v>
      </c>
      <c r="E593" s="4" t="s">
        <v>58</v>
      </c>
      <c r="F593" s="4" t="s">
        <v>25</v>
      </c>
      <c r="G593" s="4" t="s">
        <v>25</v>
      </c>
      <c r="H593" s="4" t="s">
        <v>36</v>
      </c>
      <c r="I593" s="5">
        <v>43891</v>
      </c>
      <c r="J593" s="6">
        <v>14981</v>
      </c>
      <c r="K593" s="6">
        <v>14981</v>
      </c>
      <c r="L593" s="6">
        <v>4017.6410000000001</v>
      </c>
      <c r="M593" s="6">
        <v>4017.6410000000001</v>
      </c>
      <c r="N593" s="6">
        <v>4017.6410000000001</v>
      </c>
      <c r="O593" s="6">
        <v>4017.6410000000001</v>
      </c>
      <c r="P593" s="6">
        <v>0</v>
      </c>
      <c r="Q593" s="4" t="s">
        <v>26</v>
      </c>
      <c r="R593" s="4">
        <v>0</v>
      </c>
      <c r="S593" s="4" t="s">
        <v>304</v>
      </c>
      <c r="T593" s="4" t="s">
        <v>705</v>
      </c>
      <c r="U593" s="4">
        <v>22</v>
      </c>
      <c r="V593" s="4">
        <v>23</v>
      </c>
      <c r="W593" s="4">
        <v>82</v>
      </c>
    </row>
    <row r="594" spans="1:23" ht="11.25" customHeight="1" x14ac:dyDescent="0.25">
      <c r="A594" s="4" t="s">
        <v>21</v>
      </c>
      <c r="B594" s="4" t="s">
        <v>33</v>
      </c>
      <c r="C594" s="4" t="s">
        <v>41</v>
      </c>
      <c r="D594" s="4" t="s">
        <v>52</v>
      </c>
      <c r="E594" s="4" t="s">
        <v>58</v>
      </c>
      <c r="F594" s="4" t="s">
        <v>25</v>
      </c>
      <c r="G594" s="4" t="s">
        <v>25</v>
      </c>
      <c r="H594" s="4" t="s">
        <v>36</v>
      </c>
      <c r="I594" s="5">
        <v>43922</v>
      </c>
      <c r="J594" s="6">
        <v>14881</v>
      </c>
      <c r="K594" s="6">
        <v>14881</v>
      </c>
      <c r="L594" s="6">
        <v>3952.3679999999999</v>
      </c>
      <c r="M594" s="6">
        <v>3952.3679999999999</v>
      </c>
      <c r="N594" s="6">
        <v>3952.3679999999999</v>
      </c>
      <c r="O594" s="6">
        <v>3952.3679999999999</v>
      </c>
      <c r="P594" s="6">
        <v>0</v>
      </c>
      <c r="Q594" s="4" t="s">
        <v>26</v>
      </c>
      <c r="R594" s="4">
        <v>0</v>
      </c>
      <c r="S594" s="4" t="s">
        <v>305</v>
      </c>
      <c r="T594" s="4" t="s">
        <v>706</v>
      </c>
      <c r="U594" s="4">
        <v>22</v>
      </c>
      <c r="V594" s="4">
        <v>23</v>
      </c>
      <c r="W594" s="4">
        <v>82</v>
      </c>
    </row>
    <row r="595" spans="1:23" ht="11.25" customHeight="1" x14ac:dyDescent="0.25">
      <c r="A595" s="4" t="s">
        <v>21</v>
      </c>
      <c r="B595" s="4" t="s">
        <v>33</v>
      </c>
      <c r="C595" s="4" t="s">
        <v>41</v>
      </c>
      <c r="D595" s="4" t="s">
        <v>52</v>
      </c>
      <c r="E595" s="4" t="s">
        <v>58</v>
      </c>
      <c r="F595" s="4" t="s">
        <v>25</v>
      </c>
      <c r="G595" s="4" t="s">
        <v>25</v>
      </c>
      <c r="H595" s="4" t="s">
        <v>36</v>
      </c>
      <c r="I595" s="5">
        <v>43952</v>
      </c>
      <c r="J595" s="6">
        <v>14496</v>
      </c>
      <c r="K595" s="6">
        <v>14496</v>
      </c>
      <c r="L595" s="6">
        <v>3580.4560000000001</v>
      </c>
      <c r="M595" s="6">
        <v>3580.4560000000001</v>
      </c>
      <c r="N595" s="6">
        <v>3580.4560000000001</v>
      </c>
      <c r="O595" s="6">
        <v>3580.4560000000001</v>
      </c>
      <c r="P595" s="6">
        <v>0</v>
      </c>
      <c r="Q595" s="4" t="s">
        <v>26</v>
      </c>
      <c r="R595" s="4">
        <v>0</v>
      </c>
      <c r="S595" s="4" t="s">
        <v>306</v>
      </c>
      <c r="T595" s="4" t="s">
        <v>707</v>
      </c>
      <c r="U595" s="4">
        <v>22</v>
      </c>
      <c r="V595" s="4">
        <v>23</v>
      </c>
      <c r="W595" s="4">
        <v>82</v>
      </c>
    </row>
    <row r="596" spans="1:23" ht="11.25" customHeight="1" x14ac:dyDescent="0.25">
      <c r="A596" s="4" t="s">
        <v>21</v>
      </c>
      <c r="B596" s="4" t="s">
        <v>33</v>
      </c>
      <c r="C596" s="4" t="s">
        <v>41</v>
      </c>
      <c r="D596" s="4" t="s">
        <v>52</v>
      </c>
      <c r="E596" s="4" t="s">
        <v>58</v>
      </c>
      <c r="F596" s="4" t="s">
        <v>25</v>
      </c>
      <c r="G596" s="4" t="s">
        <v>25</v>
      </c>
      <c r="H596" s="4" t="s">
        <v>36</v>
      </c>
      <c r="I596" s="5">
        <v>43983</v>
      </c>
      <c r="J596" s="6">
        <v>15510</v>
      </c>
      <c r="K596" s="6">
        <v>15510</v>
      </c>
      <c r="L596" s="6">
        <v>3817.1149999999998</v>
      </c>
      <c r="M596" s="6">
        <v>3817.1149999999998</v>
      </c>
      <c r="N596" s="6">
        <v>3817.1149999999998</v>
      </c>
      <c r="O596" s="6">
        <v>3817.1149999999998</v>
      </c>
      <c r="P596" s="6">
        <v>0</v>
      </c>
      <c r="Q596" s="4" t="s">
        <v>26</v>
      </c>
      <c r="R596" s="4">
        <v>0</v>
      </c>
      <c r="S596" s="4" t="s">
        <v>307</v>
      </c>
      <c r="T596" s="4" t="s">
        <v>708</v>
      </c>
      <c r="U596" s="4">
        <v>22</v>
      </c>
      <c r="V596" s="4">
        <v>23</v>
      </c>
      <c r="W596" s="4">
        <v>82</v>
      </c>
    </row>
    <row r="597" spans="1:23" ht="11.25" customHeight="1" x14ac:dyDescent="0.25">
      <c r="A597" s="4" t="s">
        <v>21</v>
      </c>
      <c r="B597" s="4" t="s">
        <v>33</v>
      </c>
      <c r="C597" s="4" t="s">
        <v>41</v>
      </c>
      <c r="D597" s="4" t="s">
        <v>52</v>
      </c>
      <c r="E597" s="4" t="s">
        <v>58</v>
      </c>
      <c r="F597" s="4" t="s">
        <v>25</v>
      </c>
      <c r="G597" s="4" t="s">
        <v>25</v>
      </c>
      <c r="H597" s="4" t="s">
        <v>36</v>
      </c>
      <c r="I597" s="5">
        <v>44013</v>
      </c>
      <c r="J597" s="6">
        <v>17366</v>
      </c>
      <c r="K597" s="6">
        <v>17366</v>
      </c>
      <c r="L597" s="6">
        <v>3773.7860000000001</v>
      </c>
      <c r="M597" s="6">
        <v>3773.7860000000001</v>
      </c>
      <c r="N597" s="6">
        <v>3773.7860000000001</v>
      </c>
      <c r="O597" s="6">
        <v>3773.7860000000001</v>
      </c>
      <c r="P597" s="6">
        <v>0</v>
      </c>
      <c r="Q597" s="4" t="s">
        <v>26</v>
      </c>
      <c r="R597" s="4">
        <v>0</v>
      </c>
      <c r="S597" s="4" t="s">
        <v>308</v>
      </c>
      <c r="T597" s="4" t="s">
        <v>709</v>
      </c>
      <c r="U597" s="4">
        <v>22</v>
      </c>
      <c r="V597" s="4">
        <v>23</v>
      </c>
      <c r="W597" s="4">
        <v>82</v>
      </c>
    </row>
    <row r="598" spans="1:23" ht="11.25" customHeight="1" x14ac:dyDescent="0.25">
      <c r="A598" s="4" t="s">
        <v>21</v>
      </c>
      <c r="B598" s="4" t="s">
        <v>33</v>
      </c>
      <c r="C598" s="4" t="s">
        <v>41</v>
      </c>
      <c r="D598" s="4" t="s">
        <v>52</v>
      </c>
      <c r="E598" s="4" t="s">
        <v>58</v>
      </c>
      <c r="F598" s="4" t="s">
        <v>25</v>
      </c>
      <c r="G598" s="4" t="s">
        <v>25</v>
      </c>
      <c r="H598" s="4" t="s">
        <v>36</v>
      </c>
      <c r="I598" s="5">
        <v>44044</v>
      </c>
      <c r="J598" s="6">
        <v>16363</v>
      </c>
      <c r="K598" s="6">
        <v>16363</v>
      </c>
      <c r="L598" s="6">
        <v>3955.5949999999998</v>
      </c>
      <c r="M598" s="6">
        <v>3955.5949999999998</v>
      </c>
      <c r="N598" s="6">
        <v>3955.5949999999998</v>
      </c>
      <c r="O598" s="6">
        <v>3955.5949999999998</v>
      </c>
      <c r="P598" s="6">
        <v>0</v>
      </c>
      <c r="Q598" s="4" t="s">
        <v>26</v>
      </c>
      <c r="R598" s="4">
        <v>0</v>
      </c>
      <c r="S598" s="4" t="s">
        <v>309</v>
      </c>
      <c r="T598" s="4" t="s">
        <v>710</v>
      </c>
      <c r="U598" s="4">
        <v>22</v>
      </c>
      <c r="V598" s="4">
        <v>23</v>
      </c>
      <c r="W598" s="4">
        <v>82</v>
      </c>
    </row>
    <row r="599" spans="1:23" ht="11.25" customHeight="1" x14ac:dyDescent="0.25">
      <c r="A599" s="4" t="s">
        <v>59</v>
      </c>
      <c r="B599" s="4" t="s">
        <v>33</v>
      </c>
      <c r="C599" s="4" t="s">
        <v>41</v>
      </c>
      <c r="D599" s="4" t="s">
        <v>52</v>
      </c>
      <c r="E599" s="4" t="s">
        <v>58</v>
      </c>
      <c r="F599" s="4" t="s">
        <v>25</v>
      </c>
      <c r="G599" s="4" t="s">
        <v>25</v>
      </c>
      <c r="H599" s="4" t="s">
        <v>36</v>
      </c>
      <c r="I599" s="5">
        <v>44075</v>
      </c>
      <c r="J599" s="6">
        <v>16363</v>
      </c>
      <c r="K599" s="6">
        <v>16363</v>
      </c>
      <c r="L599" s="6">
        <v>3955.5949999999998</v>
      </c>
      <c r="M599" s="6">
        <v>3955.5949999999998</v>
      </c>
      <c r="N599" s="6">
        <v>3955.5949999999998</v>
      </c>
      <c r="O599" s="6">
        <v>3955.5949999999998</v>
      </c>
      <c r="P599" s="6">
        <v>0</v>
      </c>
      <c r="Q599" s="4" t="s">
        <v>26</v>
      </c>
      <c r="R599" s="4">
        <v>0</v>
      </c>
      <c r="S599" s="4" t="s">
        <v>310</v>
      </c>
      <c r="T599" s="4" t="s">
        <v>711</v>
      </c>
      <c r="U599" s="4">
        <v>22</v>
      </c>
      <c r="V599" s="4">
        <v>23</v>
      </c>
      <c r="W599" s="4">
        <v>82</v>
      </c>
    </row>
    <row r="600" spans="1:23" ht="11.25" customHeight="1" x14ac:dyDescent="0.25">
      <c r="A600" s="4" t="s">
        <v>21</v>
      </c>
      <c r="B600" s="4" t="s">
        <v>33</v>
      </c>
      <c r="C600" s="4" t="s">
        <v>41</v>
      </c>
      <c r="D600" s="4" t="s">
        <v>52</v>
      </c>
      <c r="E600" s="4" t="s">
        <v>58</v>
      </c>
      <c r="F600" s="4" t="s">
        <v>25</v>
      </c>
      <c r="G600" s="4" t="s">
        <v>25</v>
      </c>
      <c r="H600" s="4" t="s">
        <v>35</v>
      </c>
      <c r="I600" s="5">
        <v>43770</v>
      </c>
      <c r="J600" s="6">
        <v>31218</v>
      </c>
      <c r="K600" s="6">
        <v>31218</v>
      </c>
      <c r="L600" s="6">
        <v>1465.2829999999999</v>
      </c>
      <c r="M600" s="6">
        <v>1465.2829999999999</v>
      </c>
      <c r="N600" s="6">
        <v>1465.2829999999999</v>
      </c>
      <c r="O600" s="6">
        <v>1465.2829999999999</v>
      </c>
      <c r="P600" s="6">
        <v>0</v>
      </c>
      <c r="Q600" s="4" t="s">
        <v>26</v>
      </c>
      <c r="R600" s="4">
        <v>0</v>
      </c>
      <c r="S600" s="4" t="s">
        <v>312</v>
      </c>
      <c r="T600" s="4" t="s">
        <v>713</v>
      </c>
      <c r="U600" s="4">
        <v>21</v>
      </c>
      <c r="V600" s="4">
        <v>23</v>
      </c>
      <c r="W600" s="4">
        <v>81</v>
      </c>
    </row>
    <row r="601" spans="1:23" ht="11.25" customHeight="1" x14ac:dyDescent="0.25">
      <c r="A601" s="4" t="s">
        <v>21</v>
      </c>
      <c r="B601" s="4" t="s">
        <v>33</v>
      </c>
      <c r="C601" s="4" t="s">
        <v>41</v>
      </c>
      <c r="D601" s="4" t="s">
        <v>52</v>
      </c>
      <c r="E601" s="4" t="s">
        <v>58</v>
      </c>
      <c r="F601" s="4" t="s">
        <v>25</v>
      </c>
      <c r="G601" s="4" t="s">
        <v>25</v>
      </c>
      <c r="H601" s="4" t="s">
        <v>35</v>
      </c>
      <c r="I601" s="5">
        <v>43800</v>
      </c>
      <c r="J601" s="6">
        <v>16228</v>
      </c>
      <c r="K601" s="6">
        <v>16228</v>
      </c>
      <c r="L601" s="6">
        <v>684.26300000000003</v>
      </c>
      <c r="M601" s="6">
        <v>684.26300000000003</v>
      </c>
      <c r="N601" s="6">
        <v>684.26300000000003</v>
      </c>
      <c r="O601" s="6">
        <v>684.26300000000003</v>
      </c>
      <c r="P601" s="6">
        <v>0</v>
      </c>
      <c r="Q601" s="4" t="s">
        <v>26</v>
      </c>
      <c r="R601" s="4">
        <v>0</v>
      </c>
      <c r="S601" s="4" t="s">
        <v>313</v>
      </c>
      <c r="T601" s="4" t="s">
        <v>714</v>
      </c>
      <c r="U601" s="4">
        <v>21</v>
      </c>
      <c r="V601" s="4">
        <v>23</v>
      </c>
      <c r="W601" s="4">
        <v>81</v>
      </c>
    </row>
    <row r="602" spans="1:23" ht="11.25" customHeight="1" x14ac:dyDescent="0.25">
      <c r="A602" s="4" t="s">
        <v>21</v>
      </c>
      <c r="B602" s="4" t="s">
        <v>33</v>
      </c>
      <c r="C602" s="4" t="s">
        <v>41</v>
      </c>
      <c r="D602" s="4" t="s">
        <v>52</v>
      </c>
      <c r="E602" s="4" t="s">
        <v>58</v>
      </c>
      <c r="F602" s="4" t="s">
        <v>25</v>
      </c>
      <c r="G602" s="4" t="s">
        <v>25</v>
      </c>
      <c r="H602" s="4" t="s">
        <v>35</v>
      </c>
      <c r="I602" s="5">
        <v>43831</v>
      </c>
      <c r="J602" s="6">
        <v>15053</v>
      </c>
      <c r="K602" s="6">
        <v>15053</v>
      </c>
      <c r="L602" s="6">
        <v>576.70100000000002</v>
      </c>
      <c r="M602" s="6">
        <v>576.70100000000002</v>
      </c>
      <c r="N602" s="6">
        <v>576.70100000000002</v>
      </c>
      <c r="O602" s="6">
        <v>576.70100000000002</v>
      </c>
      <c r="P602" s="6">
        <v>0</v>
      </c>
      <c r="Q602" s="4" t="s">
        <v>26</v>
      </c>
      <c r="R602" s="4">
        <v>0</v>
      </c>
      <c r="S602" s="4" t="s">
        <v>314</v>
      </c>
      <c r="T602" s="4" t="s">
        <v>715</v>
      </c>
      <c r="U602" s="4">
        <v>21</v>
      </c>
      <c r="V602" s="4">
        <v>23</v>
      </c>
      <c r="W602" s="4">
        <v>81</v>
      </c>
    </row>
    <row r="603" spans="1:23" ht="11.25" customHeight="1" x14ac:dyDescent="0.25">
      <c r="A603" s="4" t="s">
        <v>21</v>
      </c>
      <c r="B603" s="4" t="s">
        <v>33</v>
      </c>
      <c r="C603" s="4" t="s">
        <v>41</v>
      </c>
      <c r="D603" s="4" t="s">
        <v>52</v>
      </c>
      <c r="E603" s="4" t="s">
        <v>58</v>
      </c>
      <c r="F603" s="4" t="s">
        <v>25</v>
      </c>
      <c r="G603" s="4" t="s">
        <v>25</v>
      </c>
      <c r="H603" s="4" t="s">
        <v>35</v>
      </c>
      <c r="I603" s="5">
        <v>43862</v>
      </c>
      <c r="J603" s="6">
        <v>14853</v>
      </c>
      <c r="K603" s="6">
        <v>14853</v>
      </c>
      <c r="L603" s="6">
        <v>719.96699999999998</v>
      </c>
      <c r="M603" s="6">
        <v>719.96699999999998</v>
      </c>
      <c r="N603" s="6">
        <v>719.96699999999998</v>
      </c>
      <c r="O603" s="6">
        <v>719.96699999999998</v>
      </c>
      <c r="P603" s="6">
        <v>0</v>
      </c>
      <c r="Q603" s="4" t="s">
        <v>26</v>
      </c>
      <c r="R603" s="4">
        <v>0</v>
      </c>
      <c r="S603" s="4" t="s">
        <v>315</v>
      </c>
      <c r="T603" s="4" t="s">
        <v>716</v>
      </c>
      <c r="U603" s="4">
        <v>21</v>
      </c>
      <c r="V603" s="4">
        <v>23</v>
      </c>
      <c r="W603" s="4">
        <v>81</v>
      </c>
    </row>
    <row r="604" spans="1:23" ht="11.25" customHeight="1" x14ac:dyDescent="0.25">
      <c r="A604" s="4" t="s">
        <v>21</v>
      </c>
      <c r="B604" s="4" t="s">
        <v>33</v>
      </c>
      <c r="C604" s="4" t="s">
        <v>41</v>
      </c>
      <c r="D604" s="4" t="s">
        <v>52</v>
      </c>
      <c r="E604" s="4" t="s">
        <v>58</v>
      </c>
      <c r="F604" s="4" t="s">
        <v>25</v>
      </c>
      <c r="G604" s="4" t="s">
        <v>25</v>
      </c>
      <c r="H604" s="4" t="s">
        <v>35</v>
      </c>
      <c r="I604" s="5">
        <v>43891</v>
      </c>
      <c r="J604" s="6">
        <v>15266</v>
      </c>
      <c r="K604" s="6">
        <v>15266</v>
      </c>
      <c r="L604" s="6">
        <v>652.98299999999995</v>
      </c>
      <c r="M604" s="6">
        <v>652.98299999999995</v>
      </c>
      <c r="N604" s="6">
        <v>652.98299999999995</v>
      </c>
      <c r="O604" s="6">
        <v>652.98299999999995</v>
      </c>
      <c r="P604" s="6">
        <v>0</v>
      </c>
      <c r="Q604" s="4" t="s">
        <v>26</v>
      </c>
      <c r="R604" s="4">
        <v>0</v>
      </c>
      <c r="S604" s="4" t="s">
        <v>316</v>
      </c>
      <c r="T604" s="4" t="s">
        <v>717</v>
      </c>
      <c r="U604" s="4">
        <v>21</v>
      </c>
      <c r="V604" s="4">
        <v>23</v>
      </c>
      <c r="W604" s="4">
        <v>81</v>
      </c>
    </row>
    <row r="605" spans="1:23" ht="11.25" customHeight="1" x14ac:dyDescent="0.25">
      <c r="A605" s="4" t="s">
        <v>21</v>
      </c>
      <c r="B605" s="4" t="s">
        <v>33</v>
      </c>
      <c r="C605" s="4" t="s">
        <v>41</v>
      </c>
      <c r="D605" s="4" t="s">
        <v>52</v>
      </c>
      <c r="E605" s="4" t="s">
        <v>58</v>
      </c>
      <c r="F605" s="4" t="s">
        <v>25</v>
      </c>
      <c r="G605" s="4" t="s">
        <v>25</v>
      </c>
      <c r="H605" s="4" t="s">
        <v>35</v>
      </c>
      <c r="I605" s="5">
        <v>43922</v>
      </c>
      <c r="J605" s="6">
        <v>14608</v>
      </c>
      <c r="K605" s="6">
        <v>14608</v>
      </c>
      <c r="L605" s="6">
        <v>631.4</v>
      </c>
      <c r="M605" s="6">
        <v>631.4</v>
      </c>
      <c r="N605" s="6">
        <v>631.4</v>
      </c>
      <c r="O605" s="6">
        <v>631.4</v>
      </c>
      <c r="P605" s="6">
        <v>0</v>
      </c>
      <c r="Q605" s="4" t="s">
        <v>26</v>
      </c>
      <c r="R605" s="4">
        <v>0</v>
      </c>
      <c r="S605" s="4" t="s">
        <v>317</v>
      </c>
      <c r="T605" s="4" t="s">
        <v>718</v>
      </c>
      <c r="U605" s="4">
        <v>21</v>
      </c>
      <c r="V605" s="4">
        <v>23</v>
      </c>
      <c r="W605" s="4">
        <v>81</v>
      </c>
    </row>
    <row r="606" spans="1:23" ht="11.25" customHeight="1" x14ac:dyDescent="0.25">
      <c r="A606" s="4" t="s">
        <v>21</v>
      </c>
      <c r="B606" s="4" t="s">
        <v>33</v>
      </c>
      <c r="C606" s="4" t="s">
        <v>41</v>
      </c>
      <c r="D606" s="4" t="s">
        <v>52</v>
      </c>
      <c r="E606" s="4" t="s">
        <v>58</v>
      </c>
      <c r="F606" s="4" t="s">
        <v>25</v>
      </c>
      <c r="G606" s="4" t="s">
        <v>25</v>
      </c>
      <c r="H606" s="4" t="s">
        <v>35</v>
      </c>
      <c r="I606" s="5">
        <v>43952</v>
      </c>
      <c r="J606" s="6">
        <v>14133</v>
      </c>
      <c r="K606" s="6">
        <v>14133</v>
      </c>
      <c r="L606" s="6">
        <v>609.83299999999997</v>
      </c>
      <c r="M606" s="6">
        <v>609.83299999999997</v>
      </c>
      <c r="N606" s="6">
        <v>609.83299999999997</v>
      </c>
      <c r="O606" s="6">
        <v>609.83299999999997</v>
      </c>
      <c r="P606" s="6">
        <v>0</v>
      </c>
      <c r="Q606" s="4" t="s">
        <v>26</v>
      </c>
      <c r="R606" s="4">
        <v>0</v>
      </c>
      <c r="S606" s="4" t="s">
        <v>318</v>
      </c>
      <c r="T606" s="4" t="s">
        <v>719</v>
      </c>
      <c r="U606" s="4">
        <v>21</v>
      </c>
      <c r="V606" s="4">
        <v>23</v>
      </c>
      <c r="W606" s="4">
        <v>81</v>
      </c>
    </row>
    <row r="607" spans="1:23" ht="11.25" customHeight="1" x14ac:dyDescent="0.25">
      <c r="A607" s="4" t="s">
        <v>21</v>
      </c>
      <c r="B607" s="4" t="s">
        <v>33</v>
      </c>
      <c r="C607" s="4" t="s">
        <v>41</v>
      </c>
      <c r="D607" s="4" t="s">
        <v>52</v>
      </c>
      <c r="E607" s="4" t="s">
        <v>58</v>
      </c>
      <c r="F607" s="4" t="s">
        <v>25</v>
      </c>
      <c r="G607" s="4" t="s">
        <v>25</v>
      </c>
      <c r="H607" s="4" t="s">
        <v>35</v>
      </c>
      <c r="I607" s="5">
        <v>43983</v>
      </c>
      <c r="J607" s="6">
        <v>16520</v>
      </c>
      <c r="K607" s="6">
        <v>16520</v>
      </c>
      <c r="L607" s="6">
        <v>662.77300000000002</v>
      </c>
      <c r="M607" s="6">
        <v>662.77300000000002</v>
      </c>
      <c r="N607" s="6">
        <v>662.77300000000002</v>
      </c>
      <c r="O607" s="6">
        <v>662.77300000000002</v>
      </c>
      <c r="P607" s="6">
        <v>0</v>
      </c>
      <c r="Q607" s="4" t="s">
        <v>26</v>
      </c>
      <c r="R607" s="4">
        <v>0</v>
      </c>
      <c r="S607" s="4" t="s">
        <v>319</v>
      </c>
      <c r="T607" s="4" t="s">
        <v>720</v>
      </c>
      <c r="U607" s="4">
        <v>21</v>
      </c>
      <c r="V607" s="4">
        <v>23</v>
      </c>
      <c r="W607" s="4">
        <v>81</v>
      </c>
    </row>
    <row r="608" spans="1:23" ht="11.25" customHeight="1" x14ac:dyDescent="0.25">
      <c r="A608" s="4" t="s">
        <v>21</v>
      </c>
      <c r="B608" s="4" t="s">
        <v>33</v>
      </c>
      <c r="C608" s="4" t="s">
        <v>41</v>
      </c>
      <c r="D608" s="4" t="s">
        <v>52</v>
      </c>
      <c r="E608" s="4" t="s">
        <v>58</v>
      </c>
      <c r="F608" s="4" t="s">
        <v>25</v>
      </c>
      <c r="G608" s="4" t="s">
        <v>25</v>
      </c>
      <c r="H608" s="4" t="s">
        <v>35</v>
      </c>
      <c r="I608" s="5">
        <v>44013</v>
      </c>
      <c r="J608" s="6">
        <v>20365</v>
      </c>
      <c r="K608" s="6">
        <v>20365</v>
      </c>
      <c r="L608" s="6">
        <v>667.98500000000001</v>
      </c>
      <c r="M608" s="6">
        <v>667.98500000000001</v>
      </c>
      <c r="N608" s="6">
        <v>667.98500000000001</v>
      </c>
      <c r="O608" s="6">
        <v>667.98500000000001</v>
      </c>
      <c r="P608" s="6">
        <v>0</v>
      </c>
      <c r="Q608" s="4" t="s">
        <v>26</v>
      </c>
      <c r="R608" s="4">
        <v>0</v>
      </c>
      <c r="S608" s="4" t="s">
        <v>320</v>
      </c>
      <c r="T608" s="4" t="s">
        <v>721</v>
      </c>
      <c r="U608" s="4">
        <v>21</v>
      </c>
      <c r="V608" s="4">
        <v>23</v>
      </c>
      <c r="W608" s="4">
        <v>81</v>
      </c>
    </row>
    <row r="609" spans="1:23" ht="11.25" customHeight="1" x14ac:dyDescent="0.25">
      <c r="A609" s="4" t="s">
        <v>21</v>
      </c>
      <c r="B609" s="4" t="s">
        <v>33</v>
      </c>
      <c r="C609" s="4" t="s">
        <v>41</v>
      </c>
      <c r="D609" s="4" t="s">
        <v>52</v>
      </c>
      <c r="E609" s="4" t="s">
        <v>58</v>
      </c>
      <c r="F609" s="4" t="s">
        <v>25</v>
      </c>
      <c r="G609" s="4" t="s">
        <v>25</v>
      </c>
      <c r="H609" s="4" t="s">
        <v>35</v>
      </c>
      <c r="I609" s="5">
        <v>44044</v>
      </c>
      <c r="J609" s="6">
        <v>16858</v>
      </c>
      <c r="K609" s="6">
        <v>16858</v>
      </c>
      <c r="L609" s="6">
        <v>723.49599999999998</v>
      </c>
      <c r="M609" s="6">
        <v>723.49599999999998</v>
      </c>
      <c r="N609" s="6">
        <v>723.49599999999998</v>
      </c>
      <c r="O609" s="6">
        <v>723.49599999999998</v>
      </c>
      <c r="P609" s="6">
        <v>0</v>
      </c>
      <c r="Q609" s="4" t="s">
        <v>26</v>
      </c>
      <c r="R609" s="4">
        <v>0</v>
      </c>
      <c r="S609" s="4" t="s">
        <v>321</v>
      </c>
      <c r="T609" s="4" t="s">
        <v>722</v>
      </c>
      <c r="U609" s="4">
        <v>21</v>
      </c>
      <c r="V609" s="4">
        <v>23</v>
      </c>
      <c r="W609" s="4">
        <v>81</v>
      </c>
    </row>
    <row r="610" spans="1:23" ht="11.25" customHeight="1" x14ac:dyDescent="0.25">
      <c r="A610" s="4" t="s">
        <v>59</v>
      </c>
      <c r="B610" s="4" t="s">
        <v>33</v>
      </c>
      <c r="C610" s="4" t="s">
        <v>41</v>
      </c>
      <c r="D610" s="4" t="s">
        <v>52</v>
      </c>
      <c r="E610" s="4" t="s">
        <v>58</v>
      </c>
      <c r="F610" s="4" t="s">
        <v>25</v>
      </c>
      <c r="G610" s="4" t="s">
        <v>25</v>
      </c>
      <c r="H610" s="4" t="s">
        <v>35</v>
      </c>
      <c r="I610" s="5">
        <v>44075</v>
      </c>
      <c r="J610" s="6">
        <v>16858</v>
      </c>
      <c r="K610" s="6">
        <v>16858</v>
      </c>
      <c r="L610" s="6">
        <v>723.49599999999998</v>
      </c>
      <c r="M610" s="6">
        <v>723.49599999999998</v>
      </c>
      <c r="N610" s="6">
        <v>723.49599999999998</v>
      </c>
      <c r="O610" s="6">
        <v>723.49599999999998</v>
      </c>
      <c r="P610" s="6">
        <v>0</v>
      </c>
      <c r="Q610" s="4" t="s">
        <v>26</v>
      </c>
      <c r="R610" s="4">
        <v>0</v>
      </c>
      <c r="S610" s="4" t="s">
        <v>322</v>
      </c>
      <c r="T610" s="4" t="s">
        <v>723</v>
      </c>
      <c r="U610" s="4">
        <v>21</v>
      </c>
      <c r="V610" s="4">
        <v>23</v>
      </c>
      <c r="W610" s="4">
        <v>81</v>
      </c>
    </row>
    <row r="611" spans="1:23" ht="11.25" customHeight="1" x14ac:dyDescent="0.25">
      <c r="A611" s="4" t="s">
        <v>21</v>
      </c>
      <c r="B611" s="4" t="s">
        <v>33</v>
      </c>
      <c r="C611" s="4" t="s">
        <v>34</v>
      </c>
      <c r="D611" s="4" t="s">
        <v>42</v>
      </c>
      <c r="E611" s="4" t="s">
        <v>25</v>
      </c>
      <c r="F611" s="4" t="s">
        <v>25</v>
      </c>
      <c r="G611" s="4" t="s">
        <v>25</v>
      </c>
      <c r="H611" s="4" t="s">
        <v>36</v>
      </c>
      <c r="I611" s="5">
        <v>43739</v>
      </c>
      <c r="J611" s="6">
        <v>0</v>
      </c>
      <c r="K611" s="6">
        <v>0</v>
      </c>
      <c r="L611" s="6">
        <v>22604.132000000001</v>
      </c>
      <c r="M611" s="6">
        <v>22604.132000000001</v>
      </c>
      <c r="N611" s="6">
        <v>22604.132000000001</v>
      </c>
      <c r="O611" s="6">
        <v>22604.132000000001</v>
      </c>
      <c r="P611" s="6">
        <v>0</v>
      </c>
      <c r="Q611" s="4" t="s">
        <v>26</v>
      </c>
      <c r="R611" s="4">
        <v>0</v>
      </c>
      <c r="S611" s="4" t="s">
        <v>335</v>
      </c>
      <c r="T611" s="4" t="s">
        <v>700</v>
      </c>
      <c r="U611" s="4">
        <v>0</v>
      </c>
      <c r="V611" s="4">
        <v>28</v>
      </c>
      <c r="W611" s="4">
        <v>82</v>
      </c>
    </row>
    <row r="612" spans="1:23" ht="11.25" customHeight="1" x14ac:dyDescent="0.25">
      <c r="A612" s="4" t="s">
        <v>27</v>
      </c>
      <c r="B612" s="4" t="s">
        <v>33</v>
      </c>
      <c r="C612" s="4" t="s">
        <v>34</v>
      </c>
      <c r="D612" s="4" t="s">
        <v>42</v>
      </c>
      <c r="E612" s="4" t="s">
        <v>25</v>
      </c>
      <c r="F612" s="4" t="s">
        <v>25</v>
      </c>
      <c r="G612" s="4" t="s">
        <v>25</v>
      </c>
      <c r="H612" s="4" t="s">
        <v>36</v>
      </c>
      <c r="I612" s="5">
        <v>43739</v>
      </c>
      <c r="J612" s="6">
        <v>0</v>
      </c>
      <c r="K612" s="6">
        <v>0</v>
      </c>
      <c r="L612" s="6">
        <v>103.14400000000001</v>
      </c>
      <c r="M612" s="6">
        <v>103.14400000000001</v>
      </c>
      <c r="N612" s="6">
        <v>103.14400000000001</v>
      </c>
      <c r="O612" s="6">
        <v>103.14400000000001</v>
      </c>
      <c r="P612" s="6">
        <v>0</v>
      </c>
      <c r="Q612" s="4" t="s">
        <v>26</v>
      </c>
      <c r="R612" s="4">
        <v>0</v>
      </c>
      <c r="S612" s="4" t="s">
        <v>335</v>
      </c>
      <c r="T612" s="4" t="s">
        <v>700</v>
      </c>
      <c r="U612" s="4">
        <v>0</v>
      </c>
      <c r="V612" s="4">
        <v>28</v>
      </c>
      <c r="W612" s="4">
        <v>82</v>
      </c>
    </row>
    <row r="613" spans="1:23" ht="11.25" customHeight="1" x14ac:dyDescent="0.25">
      <c r="A613" s="4" t="s">
        <v>28</v>
      </c>
      <c r="B613" s="4" t="s">
        <v>33</v>
      </c>
      <c r="C613" s="4" t="s">
        <v>34</v>
      </c>
      <c r="D613" s="4" t="s">
        <v>42</v>
      </c>
      <c r="E613" s="4" t="s">
        <v>25</v>
      </c>
      <c r="F613" s="4" t="s">
        <v>25</v>
      </c>
      <c r="G613" s="4" t="s">
        <v>25</v>
      </c>
      <c r="H613" s="4" t="s">
        <v>36</v>
      </c>
      <c r="I613" s="5">
        <v>43739</v>
      </c>
      <c r="J613" s="6">
        <v>0</v>
      </c>
      <c r="K613" s="6">
        <v>0</v>
      </c>
      <c r="L613" s="6">
        <v>843.99800000000005</v>
      </c>
      <c r="M613" s="6">
        <v>843.99800000000005</v>
      </c>
      <c r="N613" s="6">
        <v>843.99800000000005</v>
      </c>
      <c r="O613" s="6">
        <v>843.99800000000005</v>
      </c>
      <c r="P613" s="6">
        <v>0</v>
      </c>
      <c r="Q613" s="4" t="s">
        <v>26</v>
      </c>
      <c r="R613" s="4">
        <v>0</v>
      </c>
      <c r="S613" s="4" t="s">
        <v>335</v>
      </c>
      <c r="T613" s="4" t="s">
        <v>700</v>
      </c>
      <c r="U613" s="4">
        <v>0</v>
      </c>
      <c r="V613" s="4">
        <v>28</v>
      </c>
      <c r="W613" s="4">
        <v>82</v>
      </c>
    </row>
    <row r="614" spans="1:23" ht="11.25" customHeight="1" x14ac:dyDescent="0.25">
      <c r="A614" s="4" t="s">
        <v>21</v>
      </c>
      <c r="B614" s="4" t="s">
        <v>33</v>
      </c>
      <c r="C614" s="4" t="s">
        <v>34</v>
      </c>
      <c r="D614" s="4" t="s">
        <v>42</v>
      </c>
      <c r="E614" s="4" t="s">
        <v>25</v>
      </c>
      <c r="F614" s="4" t="s">
        <v>25</v>
      </c>
      <c r="G614" s="4" t="s">
        <v>25</v>
      </c>
      <c r="H614" s="4" t="s">
        <v>36</v>
      </c>
      <c r="I614" s="5">
        <v>43770</v>
      </c>
      <c r="J614" s="6">
        <v>0</v>
      </c>
      <c r="K614" s="6">
        <v>0</v>
      </c>
      <c r="L614" s="6">
        <v>23964.532999999999</v>
      </c>
      <c r="M614" s="6">
        <v>23964.532999999999</v>
      </c>
      <c r="N614" s="6">
        <v>23964.532999999999</v>
      </c>
      <c r="O614" s="6">
        <v>23964.532999999999</v>
      </c>
      <c r="P614" s="6">
        <v>0</v>
      </c>
      <c r="Q614" s="4" t="s">
        <v>26</v>
      </c>
      <c r="R614" s="4">
        <v>0</v>
      </c>
      <c r="S614" s="4" t="s">
        <v>336</v>
      </c>
      <c r="T614" s="4" t="s">
        <v>701</v>
      </c>
      <c r="U614" s="4">
        <v>0</v>
      </c>
      <c r="V614" s="4">
        <v>28</v>
      </c>
      <c r="W614" s="4">
        <v>82</v>
      </c>
    </row>
    <row r="615" spans="1:23" ht="11.25" customHeight="1" x14ac:dyDescent="0.25">
      <c r="A615" s="4" t="s">
        <v>27</v>
      </c>
      <c r="B615" s="4" t="s">
        <v>33</v>
      </c>
      <c r="C615" s="4" t="s">
        <v>34</v>
      </c>
      <c r="D615" s="4" t="s">
        <v>42</v>
      </c>
      <c r="E615" s="4" t="s">
        <v>25</v>
      </c>
      <c r="F615" s="4" t="s">
        <v>25</v>
      </c>
      <c r="G615" s="4" t="s">
        <v>25</v>
      </c>
      <c r="H615" s="4" t="s">
        <v>36</v>
      </c>
      <c r="I615" s="5">
        <v>43770</v>
      </c>
      <c r="J615" s="6">
        <v>0</v>
      </c>
      <c r="K615" s="6">
        <v>0</v>
      </c>
      <c r="L615" s="6">
        <v>7.8029999999999999</v>
      </c>
      <c r="M615" s="6">
        <v>7.8029999999999999</v>
      </c>
      <c r="N615" s="6">
        <v>7.8029999999999999</v>
      </c>
      <c r="O615" s="6">
        <v>7.8029999999999999</v>
      </c>
      <c r="P615" s="6">
        <v>0</v>
      </c>
      <c r="Q615" s="4" t="s">
        <v>26</v>
      </c>
      <c r="R615" s="4">
        <v>0</v>
      </c>
      <c r="S615" s="4" t="s">
        <v>336</v>
      </c>
      <c r="T615" s="4" t="s">
        <v>701</v>
      </c>
      <c r="U615" s="4">
        <v>0</v>
      </c>
      <c r="V615" s="4">
        <v>28</v>
      </c>
      <c r="W615" s="4">
        <v>82</v>
      </c>
    </row>
    <row r="616" spans="1:23" ht="11.25" customHeight="1" x14ac:dyDescent="0.25">
      <c r="A616" s="4" t="s">
        <v>28</v>
      </c>
      <c r="B616" s="4" t="s">
        <v>33</v>
      </c>
      <c r="C616" s="4" t="s">
        <v>34</v>
      </c>
      <c r="D616" s="4" t="s">
        <v>42</v>
      </c>
      <c r="E616" s="4" t="s">
        <v>25</v>
      </c>
      <c r="F616" s="4" t="s">
        <v>25</v>
      </c>
      <c r="G616" s="4" t="s">
        <v>25</v>
      </c>
      <c r="H616" s="4" t="s">
        <v>36</v>
      </c>
      <c r="I616" s="5">
        <v>43770</v>
      </c>
      <c r="J616" s="6">
        <v>0</v>
      </c>
      <c r="K616" s="6">
        <v>0</v>
      </c>
      <c r="L616" s="6">
        <v>866.86</v>
      </c>
      <c r="M616" s="6">
        <v>866.86</v>
      </c>
      <c r="N616" s="6">
        <v>866.86</v>
      </c>
      <c r="O616" s="6">
        <v>866.86</v>
      </c>
      <c r="P616" s="6">
        <v>0</v>
      </c>
      <c r="Q616" s="4" t="s">
        <v>26</v>
      </c>
      <c r="R616" s="4">
        <v>0</v>
      </c>
      <c r="S616" s="4" t="s">
        <v>336</v>
      </c>
      <c r="T616" s="4" t="s">
        <v>701</v>
      </c>
      <c r="U616" s="4">
        <v>0</v>
      </c>
      <c r="V616" s="4">
        <v>28</v>
      </c>
      <c r="W616" s="4">
        <v>82</v>
      </c>
    </row>
    <row r="617" spans="1:23" ht="11.25" customHeight="1" x14ac:dyDescent="0.25">
      <c r="A617" s="4" t="s">
        <v>21</v>
      </c>
      <c r="B617" s="4" t="s">
        <v>33</v>
      </c>
      <c r="C617" s="4" t="s">
        <v>34</v>
      </c>
      <c r="D617" s="4" t="s">
        <v>42</v>
      </c>
      <c r="E617" s="4" t="s">
        <v>25</v>
      </c>
      <c r="F617" s="4" t="s">
        <v>25</v>
      </c>
      <c r="G617" s="4" t="s">
        <v>25</v>
      </c>
      <c r="H617" s="4" t="s">
        <v>36</v>
      </c>
      <c r="I617" s="5">
        <v>43800</v>
      </c>
      <c r="J617" s="6">
        <v>0</v>
      </c>
      <c r="K617" s="6">
        <v>0</v>
      </c>
      <c r="L617" s="6">
        <v>21865.151999999998</v>
      </c>
      <c r="M617" s="6">
        <v>21865.151999999998</v>
      </c>
      <c r="N617" s="6">
        <v>21865.151999999998</v>
      </c>
      <c r="O617" s="6">
        <v>21865.151999999998</v>
      </c>
      <c r="P617" s="6">
        <v>0</v>
      </c>
      <c r="Q617" s="4" t="s">
        <v>26</v>
      </c>
      <c r="R617" s="4">
        <v>0</v>
      </c>
      <c r="S617" s="4" t="s">
        <v>337</v>
      </c>
      <c r="T617" s="4" t="s">
        <v>702</v>
      </c>
      <c r="U617" s="4">
        <v>0</v>
      </c>
      <c r="V617" s="4">
        <v>28</v>
      </c>
      <c r="W617" s="4">
        <v>82</v>
      </c>
    </row>
    <row r="618" spans="1:23" ht="11.25" customHeight="1" x14ac:dyDescent="0.25">
      <c r="A618" s="4" t="s">
        <v>27</v>
      </c>
      <c r="B618" s="4" t="s">
        <v>33</v>
      </c>
      <c r="C618" s="4" t="s">
        <v>34</v>
      </c>
      <c r="D618" s="4" t="s">
        <v>42</v>
      </c>
      <c r="E618" s="4" t="s">
        <v>25</v>
      </c>
      <c r="F618" s="4" t="s">
        <v>25</v>
      </c>
      <c r="G618" s="4" t="s">
        <v>25</v>
      </c>
      <c r="H618" s="4" t="s">
        <v>36</v>
      </c>
      <c r="I618" s="5">
        <v>43800</v>
      </c>
      <c r="J618" s="6">
        <v>0</v>
      </c>
      <c r="K618" s="6">
        <v>0</v>
      </c>
      <c r="L618" s="6">
        <v>30.341999999999999</v>
      </c>
      <c r="M618" s="6">
        <v>30.341999999999999</v>
      </c>
      <c r="N618" s="6">
        <v>30.341999999999999</v>
      </c>
      <c r="O618" s="6">
        <v>30.341999999999999</v>
      </c>
      <c r="P618" s="6">
        <v>0</v>
      </c>
      <c r="Q618" s="4" t="s">
        <v>26</v>
      </c>
      <c r="R618" s="4">
        <v>0</v>
      </c>
      <c r="S618" s="4" t="s">
        <v>337</v>
      </c>
      <c r="T618" s="4" t="s">
        <v>702</v>
      </c>
      <c r="U618" s="4">
        <v>0</v>
      </c>
      <c r="V618" s="4">
        <v>28</v>
      </c>
      <c r="W618" s="4">
        <v>82</v>
      </c>
    </row>
    <row r="619" spans="1:23" ht="11.25" customHeight="1" x14ac:dyDescent="0.25">
      <c r="A619" s="4" t="s">
        <v>28</v>
      </c>
      <c r="B619" s="4" t="s">
        <v>33</v>
      </c>
      <c r="C619" s="4" t="s">
        <v>34</v>
      </c>
      <c r="D619" s="4" t="s">
        <v>42</v>
      </c>
      <c r="E619" s="4" t="s">
        <v>25</v>
      </c>
      <c r="F619" s="4" t="s">
        <v>25</v>
      </c>
      <c r="G619" s="4" t="s">
        <v>25</v>
      </c>
      <c r="H619" s="4" t="s">
        <v>36</v>
      </c>
      <c r="I619" s="5">
        <v>43800</v>
      </c>
      <c r="J619" s="6">
        <v>0</v>
      </c>
      <c r="K619" s="6">
        <v>0</v>
      </c>
      <c r="L619" s="6">
        <v>822.12199999999996</v>
      </c>
      <c r="M619" s="6">
        <v>822.12199999999996</v>
      </c>
      <c r="N619" s="6">
        <v>822.12199999999996</v>
      </c>
      <c r="O619" s="6">
        <v>822.12199999999996</v>
      </c>
      <c r="P619" s="6">
        <v>0</v>
      </c>
      <c r="Q619" s="4" t="s">
        <v>26</v>
      </c>
      <c r="R619" s="4">
        <v>0</v>
      </c>
      <c r="S619" s="4" t="s">
        <v>337</v>
      </c>
      <c r="T619" s="4" t="s">
        <v>702</v>
      </c>
      <c r="U619" s="4">
        <v>0</v>
      </c>
      <c r="V619" s="4">
        <v>28</v>
      </c>
      <c r="W619" s="4">
        <v>82</v>
      </c>
    </row>
    <row r="620" spans="1:23" ht="11.25" customHeight="1" x14ac:dyDescent="0.25">
      <c r="A620" s="4" t="s">
        <v>21</v>
      </c>
      <c r="B620" s="4" t="s">
        <v>33</v>
      </c>
      <c r="C620" s="4" t="s">
        <v>34</v>
      </c>
      <c r="D620" s="4" t="s">
        <v>42</v>
      </c>
      <c r="E620" s="4" t="s">
        <v>25</v>
      </c>
      <c r="F620" s="4" t="s">
        <v>25</v>
      </c>
      <c r="G620" s="4" t="s">
        <v>25</v>
      </c>
      <c r="H620" s="4" t="s">
        <v>36</v>
      </c>
      <c r="I620" s="5">
        <v>43831</v>
      </c>
      <c r="J620" s="6">
        <v>0</v>
      </c>
      <c r="K620" s="6">
        <v>0</v>
      </c>
      <c r="L620" s="6">
        <v>20665.629000000001</v>
      </c>
      <c r="M620" s="6">
        <v>20665.629000000001</v>
      </c>
      <c r="N620" s="6">
        <v>20665.629000000001</v>
      </c>
      <c r="O620" s="6">
        <v>20665.629000000001</v>
      </c>
      <c r="P620" s="6">
        <v>0</v>
      </c>
      <c r="Q620" s="4" t="s">
        <v>26</v>
      </c>
      <c r="R620" s="4">
        <v>0</v>
      </c>
      <c r="S620" s="4" t="s">
        <v>338</v>
      </c>
      <c r="T620" s="4" t="s">
        <v>703</v>
      </c>
      <c r="U620" s="4">
        <v>0</v>
      </c>
      <c r="V620" s="4">
        <v>28</v>
      </c>
      <c r="W620" s="4">
        <v>82</v>
      </c>
    </row>
    <row r="621" spans="1:23" ht="11.25" customHeight="1" x14ac:dyDescent="0.25">
      <c r="A621" s="4" t="s">
        <v>27</v>
      </c>
      <c r="B621" s="4" t="s">
        <v>33</v>
      </c>
      <c r="C621" s="4" t="s">
        <v>34</v>
      </c>
      <c r="D621" s="4" t="s">
        <v>42</v>
      </c>
      <c r="E621" s="4" t="s">
        <v>25</v>
      </c>
      <c r="F621" s="4" t="s">
        <v>25</v>
      </c>
      <c r="G621" s="4" t="s">
        <v>25</v>
      </c>
      <c r="H621" s="4" t="s">
        <v>36</v>
      </c>
      <c r="I621" s="5">
        <v>43831</v>
      </c>
      <c r="J621" s="6">
        <v>0</v>
      </c>
      <c r="K621" s="6">
        <v>0</v>
      </c>
      <c r="L621" s="6">
        <v>42.61</v>
      </c>
      <c r="M621" s="6">
        <v>42.61</v>
      </c>
      <c r="N621" s="6">
        <v>42.61</v>
      </c>
      <c r="O621" s="6">
        <v>42.61</v>
      </c>
      <c r="P621" s="6">
        <v>0</v>
      </c>
      <c r="Q621" s="4" t="s">
        <v>26</v>
      </c>
      <c r="R621" s="4">
        <v>0</v>
      </c>
      <c r="S621" s="4" t="s">
        <v>338</v>
      </c>
      <c r="T621" s="4" t="s">
        <v>703</v>
      </c>
      <c r="U621" s="4">
        <v>0</v>
      </c>
      <c r="V621" s="4">
        <v>28</v>
      </c>
      <c r="W621" s="4">
        <v>82</v>
      </c>
    </row>
    <row r="622" spans="1:23" ht="11.25" customHeight="1" x14ac:dyDescent="0.25">
      <c r="A622" s="4" t="s">
        <v>28</v>
      </c>
      <c r="B622" s="4" t="s">
        <v>33</v>
      </c>
      <c r="C622" s="4" t="s">
        <v>34</v>
      </c>
      <c r="D622" s="4" t="s">
        <v>42</v>
      </c>
      <c r="E622" s="4" t="s">
        <v>25</v>
      </c>
      <c r="F622" s="4" t="s">
        <v>25</v>
      </c>
      <c r="G622" s="4" t="s">
        <v>25</v>
      </c>
      <c r="H622" s="4" t="s">
        <v>36</v>
      </c>
      <c r="I622" s="5">
        <v>43831</v>
      </c>
      <c r="J622" s="6">
        <v>0</v>
      </c>
      <c r="K622" s="6">
        <v>0</v>
      </c>
      <c r="L622" s="6">
        <v>617.13300000000004</v>
      </c>
      <c r="M622" s="6">
        <v>617.13300000000004</v>
      </c>
      <c r="N622" s="6">
        <v>617.13300000000004</v>
      </c>
      <c r="O622" s="6">
        <v>617.13300000000004</v>
      </c>
      <c r="P622" s="6">
        <v>0</v>
      </c>
      <c r="Q622" s="4" t="s">
        <v>26</v>
      </c>
      <c r="R622" s="4">
        <v>0</v>
      </c>
      <c r="S622" s="4" t="s">
        <v>338</v>
      </c>
      <c r="T622" s="4" t="s">
        <v>703</v>
      </c>
      <c r="U622" s="4">
        <v>0</v>
      </c>
      <c r="V622" s="4">
        <v>28</v>
      </c>
      <c r="W622" s="4">
        <v>82</v>
      </c>
    </row>
    <row r="623" spans="1:23" ht="11.25" customHeight="1" x14ac:dyDescent="0.25">
      <c r="A623" s="4" t="s">
        <v>21</v>
      </c>
      <c r="B623" s="4" t="s">
        <v>33</v>
      </c>
      <c r="C623" s="4" t="s">
        <v>34</v>
      </c>
      <c r="D623" s="4" t="s">
        <v>42</v>
      </c>
      <c r="E623" s="4" t="s">
        <v>25</v>
      </c>
      <c r="F623" s="4" t="s">
        <v>25</v>
      </c>
      <c r="G623" s="4" t="s">
        <v>25</v>
      </c>
      <c r="H623" s="4" t="s">
        <v>36</v>
      </c>
      <c r="I623" s="5">
        <v>43862</v>
      </c>
      <c r="J623" s="6">
        <v>0</v>
      </c>
      <c r="K623" s="6">
        <v>0</v>
      </c>
      <c r="L623" s="6">
        <v>21804.061000000002</v>
      </c>
      <c r="M623" s="6">
        <v>21804.061000000002</v>
      </c>
      <c r="N623" s="6">
        <v>21804.061000000002</v>
      </c>
      <c r="O623" s="6">
        <v>21804.061000000002</v>
      </c>
      <c r="P623" s="6">
        <v>0</v>
      </c>
      <c r="Q623" s="4" t="s">
        <v>26</v>
      </c>
      <c r="R623" s="4">
        <v>0</v>
      </c>
      <c r="S623" s="4" t="s">
        <v>339</v>
      </c>
      <c r="T623" s="4" t="s">
        <v>704</v>
      </c>
      <c r="U623" s="4">
        <v>0</v>
      </c>
      <c r="V623" s="4">
        <v>28</v>
      </c>
      <c r="W623" s="4">
        <v>82</v>
      </c>
    </row>
    <row r="624" spans="1:23" ht="11.25" customHeight="1" x14ac:dyDescent="0.25">
      <c r="A624" s="4" t="s">
        <v>27</v>
      </c>
      <c r="B624" s="4" t="s">
        <v>33</v>
      </c>
      <c r="C624" s="4" t="s">
        <v>34</v>
      </c>
      <c r="D624" s="4" t="s">
        <v>42</v>
      </c>
      <c r="E624" s="4" t="s">
        <v>25</v>
      </c>
      <c r="F624" s="4" t="s">
        <v>25</v>
      </c>
      <c r="G624" s="4" t="s">
        <v>25</v>
      </c>
      <c r="H624" s="4" t="s">
        <v>36</v>
      </c>
      <c r="I624" s="5">
        <v>43862</v>
      </c>
      <c r="J624" s="6">
        <v>0</v>
      </c>
      <c r="K624" s="6">
        <v>0</v>
      </c>
      <c r="L624" s="6">
        <v>105.18</v>
      </c>
      <c r="M624" s="6">
        <v>105.18</v>
      </c>
      <c r="N624" s="6">
        <v>105.18</v>
      </c>
      <c r="O624" s="6">
        <v>105.18</v>
      </c>
      <c r="P624" s="6">
        <v>0</v>
      </c>
      <c r="Q624" s="4" t="s">
        <v>26</v>
      </c>
      <c r="R624" s="4">
        <v>0</v>
      </c>
      <c r="S624" s="4" t="s">
        <v>339</v>
      </c>
      <c r="T624" s="4" t="s">
        <v>704</v>
      </c>
      <c r="U624" s="4">
        <v>0</v>
      </c>
      <c r="V624" s="4">
        <v>28</v>
      </c>
      <c r="W624" s="4">
        <v>82</v>
      </c>
    </row>
    <row r="625" spans="1:23" ht="11.25" customHeight="1" x14ac:dyDescent="0.25">
      <c r="A625" s="4" t="s">
        <v>28</v>
      </c>
      <c r="B625" s="4" t="s">
        <v>33</v>
      </c>
      <c r="C625" s="4" t="s">
        <v>34</v>
      </c>
      <c r="D625" s="4" t="s">
        <v>42</v>
      </c>
      <c r="E625" s="4" t="s">
        <v>25</v>
      </c>
      <c r="F625" s="4" t="s">
        <v>25</v>
      </c>
      <c r="G625" s="4" t="s">
        <v>25</v>
      </c>
      <c r="H625" s="4" t="s">
        <v>36</v>
      </c>
      <c r="I625" s="5">
        <v>43862</v>
      </c>
      <c r="J625" s="6">
        <v>0</v>
      </c>
      <c r="K625" s="6">
        <v>0</v>
      </c>
      <c r="L625" s="6">
        <v>672.19299999999998</v>
      </c>
      <c r="M625" s="6">
        <v>672.19299999999998</v>
      </c>
      <c r="N625" s="6">
        <v>672.19299999999998</v>
      </c>
      <c r="O625" s="6">
        <v>672.19299999999998</v>
      </c>
      <c r="P625" s="6">
        <v>0</v>
      </c>
      <c r="Q625" s="4" t="s">
        <v>26</v>
      </c>
      <c r="R625" s="4">
        <v>0</v>
      </c>
      <c r="S625" s="4" t="s">
        <v>339</v>
      </c>
      <c r="T625" s="4" t="s">
        <v>704</v>
      </c>
      <c r="U625" s="4">
        <v>0</v>
      </c>
      <c r="V625" s="4">
        <v>28</v>
      </c>
      <c r="W625" s="4">
        <v>82</v>
      </c>
    </row>
    <row r="626" spans="1:23" ht="11.25" customHeight="1" x14ac:dyDescent="0.25">
      <c r="A626" s="4" t="s">
        <v>21</v>
      </c>
      <c r="B626" s="4" t="s">
        <v>33</v>
      </c>
      <c r="C626" s="4" t="s">
        <v>34</v>
      </c>
      <c r="D626" s="4" t="s">
        <v>42</v>
      </c>
      <c r="E626" s="4" t="s">
        <v>25</v>
      </c>
      <c r="F626" s="4" t="s">
        <v>25</v>
      </c>
      <c r="G626" s="4" t="s">
        <v>25</v>
      </c>
      <c r="H626" s="4" t="s">
        <v>36</v>
      </c>
      <c r="I626" s="5">
        <v>43891</v>
      </c>
      <c r="J626" s="6">
        <v>0</v>
      </c>
      <c r="K626" s="6">
        <v>0</v>
      </c>
      <c r="L626" s="6">
        <v>19869.427</v>
      </c>
      <c r="M626" s="6">
        <v>19869.427</v>
      </c>
      <c r="N626" s="6">
        <v>19869.427</v>
      </c>
      <c r="O626" s="6">
        <v>19869.427</v>
      </c>
      <c r="P626" s="6">
        <v>0</v>
      </c>
      <c r="Q626" s="4" t="s">
        <v>26</v>
      </c>
      <c r="R626" s="4">
        <v>0</v>
      </c>
      <c r="S626" s="4" t="s">
        <v>340</v>
      </c>
      <c r="T626" s="4" t="s">
        <v>705</v>
      </c>
      <c r="U626" s="4">
        <v>0</v>
      </c>
      <c r="V626" s="4">
        <v>28</v>
      </c>
      <c r="W626" s="4">
        <v>82</v>
      </c>
    </row>
    <row r="627" spans="1:23" ht="11.25" customHeight="1" x14ac:dyDescent="0.25">
      <c r="A627" s="4" t="s">
        <v>27</v>
      </c>
      <c r="B627" s="4" t="s">
        <v>33</v>
      </c>
      <c r="C627" s="4" t="s">
        <v>34</v>
      </c>
      <c r="D627" s="4" t="s">
        <v>42</v>
      </c>
      <c r="E627" s="4" t="s">
        <v>25</v>
      </c>
      <c r="F627" s="4" t="s">
        <v>25</v>
      </c>
      <c r="G627" s="4" t="s">
        <v>25</v>
      </c>
      <c r="H627" s="4" t="s">
        <v>36</v>
      </c>
      <c r="I627" s="5">
        <v>43891</v>
      </c>
      <c r="J627" s="6">
        <v>0</v>
      </c>
      <c r="K627" s="6">
        <v>0</v>
      </c>
      <c r="L627" s="6">
        <v>93.224999999999994</v>
      </c>
      <c r="M627" s="6">
        <v>93.224999999999994</v>
      </c>
      <c r="N627" s="6">
        <v>93.224999999999994</v>
      </c>
      <c r="O627" s="6">
        <v>93.224999999999994</v>
      </c>
      <c r="P627" s="6">
        <v>0</v>
      </c>
      <c r="Q627" s="4" t="s">
        <v>26</v>
      </c>
      <c r="R627" s="4">
        <v>0</v>
      </c>
      <c r="S627" s="4" t="s">
        <v>340</v>
      </c>
      <c r="T627" s="4" t="s">
        <v>705</v>
      </c>
      <c r="U627" s="4">
        <v>0</v>
      </c>
      <c r="V627" s="4">
        <v>28</v>
      </c>
      <c r="W627" s="4">
        <v>82</v>
      </c>
    </row>
    <row r="628" spans="1:23" ht="11.25" customHeight="1" x14ac:dyDescent="0.25">
      <c r="A628" s="4" t="s">
        <v>28</v>
      </c>
      <c r="B628" s="4" t="s">
        <v>33</v>
      </c>
      <c r="C628" s="4" t="s">
        <v>34</v>
      </c>
      <c r="D628" s="4" t="s">
        <v>42</v>
      </c>
      <c r="E628" s="4" t="s">
        <v>25</v>
      </c>
      <c r="F628" s="4" t="s">
        <v>25</v>
      </c>
      <c r="G628" s="4" t="s">
        <v>25</v>
      </c>
      <c r="H628" s="4" t="s">
        <v>36</v>
      </c>
      <c r="I628" s="5">
        <v>43891</v>
      </c>
      <c r="J628" s="6">
        <v>0</v>
      </c>
      <c r="K628" s="6">
        <v>0</v>
      </c>
      <c r="L628" s="6">
        <v>703.63199999999995</v>
      </c>
      <c r="M628" s="6">
        <v>703.63199999999995</v>
      </c>
      <c r="N628" s="6">
        <v>703.63199999999995</v>
      </c>
      <c r="O628" s="6">
        <v>703.63199999999995</v>
      </c>
      <c r="P628" s="6">
        <v>0</v>
      </c>
      <c r="Q628" s="4" t="s">
        <v>26</v>
      </c>
      <c r="R628" s="4">
        <v>0</v>
      </c>
      <c r="S628" s="4" t="s">
        <v>340</v>
      </c>
      <c r="T628" s="4" t="s">
        <v>705</v>
      </c>
      <c r="U628" s="4">
        <v>0</v>
      </c>
      <c r="V628" s="4">
        <v>28</v>
      </c>
      <c r="W628" s="4">
        <v>82</v>
      </c>
    </row>
    <row r="629" spans="1:23" ht="11.25" customHeight="1" x14ac:dyDescent="0.25">
      <c r="A629" s="4" t="s">
        <v>21</v>
      </c>
      <c r="B629" s="4" t="s">
        <v>33</v>
      </c>
      <c r="C629" s="4" t="s">
        <v>34</v>
      </c>
      <c r="D629" s="4" t="s">
        <v>42</v>
      </c>
      <c r="E629" s="4" t="s">
        <v>25</v>
      </c>
      <c r="F629" s="4" t="s">
        <v>25</v>
      </c>
      <c r="G629" s="4" t="s">
        <v>25</v>
      </c>
      <c r="H629" s="4" t="s">
        <v>36</v>
      </c>
      <c r="I629" s="5">
        <v>43922</v>
      </c>
      <c r="J629" s="6">
        <v>0</v>
      </c>
      <c r="K629" s="6">
        <v>0</v>
      </c>
      <c r="L629" s="6">
        <v>18943.346000000001</v>
      </c>
      <c r="M629" s="6">
        <v>18943.346000000001</v>
      </c>
      <c r="N629" s="6">
        <v>18943.346000000001</v>
      </c>
      <c r="O629" s="6">
        <v>18943.346000000001</v>
      </c>
      <c r="P629" s="6">
        <v>0</v>
      </c>
      <c r="Q629" s="4" t="s">
        <v>26</v>
      </c>
      <c r="R629" s="4">
        <v>0</v>
      </c>
      <c r="S629" s="4" t="s">
        <v>341</v>
      </c>
      <c r="T629" s="4" t="s">
        <v>706</v>
      </c>
      <c r="U629" s="4">
        <v>0</v>
      </c>
      <c r="V629" s="4">
        <v>28</v>
      </c>
      <c r="W629" s="4">
        <v>82</v>
      </c>
    </row>
    <row r="630" spans="1:23" ht="11.25" customHeight="1" x14ac:dyDescent="0.25">
      <c r="A630" s="4" t="s">
        <v>27</v>
      </c>
      <c r="B630" s="4" t="s">
        <v>33</v>
      </c>
      <c r="C630" s="4" t="s">
        <v>34</v>
      </c>
      <c r="D630" s="4" t="s">
        <v>42</v>
      </c>
      <c r="E630" s="4" t="s">
        <v>25</v>
      </c>
      <c r="F630" s="4" t="s">
        <v>25</v>
      </c>
      <c r="G630" s="4" t="s">
        <v>25</v>
      </c>
      <c r="H630" s="4" t="s">
        <v>36</v>
      </c>
      <c r="I630" s="5">
        <v>43922</v>
      </c>
      <c r="J630" s="6">
        <v>0</v>
      </c>
      <c r="K630" s="6">
        <v>0</v>
      </c>
      <c r="L630" s="6">
        <v>13.167999999999999</v>
      </c>
      <c r="M630" s="6">
        <v>13.167999999999999</v>
      </c>
      <c r="N630" s="6">
        <v>13.167999999999999</v>
      </c>
      <c r="O630" s="6">
        <v>13.167999999999999</v>
      </c>
      <c r="P630" s="6">
        <v>0</v>
      </c>
      <c r="Q630" s="4" t="s">
        <v>26</v>
      </c>
      <c r="R630" s="4">
        <v>0</v>
      </c>
      <c r="S630" s="4" t="s">
        <v>341</v>
      </c>
      <c r="T630" s="4" t="s">
        <v>706</v>
      </c>
      <c r="U630" s="4">
        <v>0</v>
      </c>
      <c r="V630" s="4">
        <v>28</v>
      </c>
      <c r="W630" s="4">
        <v>82</v>
      </c>
    </row>
    <row r="631" spans="1:23" ht="11.25" customHeight="1" x14ac:dyDescent="0.25">
      <c r="A631" s="4" t="s">
        <v>28</v>
      </c>
      <c r="B631" s="4" t="s">
        <v>33</v>
      </c>
      <c r="C631" s="4" t="s">
        <v>34</v>
      </c>
      <c r="D631" s="4" t="s">
        <v>42</v>
      </c>
      <c r="E631" s="4" t="s">
        <v>25</v>
      </c>
      <c r="F631" s="4" t="s">
        <v>25</v>
      </c>
      <c r="G631" s="4" t="s">
        <v>25</v>
      </c>
      <c r="H631" s="4" t="s">
        <v>36</v>
      </c>
      <c r="I631" s="5">
        <v>43922</v>
      </c>
      <c r="J631" s="6">
        <v>0</v>
      </c>
      <c r="K631" s="6">
        <v>0</v>
      </c>
      <c r="L631" s="6">
        <v>744.57299999999998</v>
      </c>
      <c r="M631" s="6">
        <v>744.57299999999998</v>
      </c>
      <c r="N631" s="6">
        <v>744.57299999999998</v>
      </c>
      <c r="O631" s="6">
        <v>744.57299999999998</v>
      </c>
      <c r="P631" s="6">
        <v>0</v>
      </c>
      <c r="Q631" s="4" t="s">
        <v>26</v>
      </c>
      <c r="R631" s="4">
        <v>0</v>
      </c>
      <c r="S631" s="4" t="s">
        <v>341</v>
      </c>
      <c r="T631" s="4" t="s">
        <v>706</v>
      </c>
      <c r="U631" s="4">
        <v>0</v>
      </c>
      <c r="V631" s="4">
        <v>28</v>
      </c>
      <c r="W631" s="4">
        <v>82</v>
      </c>
    </row>
    <row r="632" spans="1:23" ht="11.25" customHeight="1" x14ac:dyDescent="0.25">
      <c r="A632" s="4" t="s">
        <v>21</v>
      </c>
      <c r="B632" s="4" t="s">
        <v>33</v>
      </c>
      <c r="C632" s="4" t="s">
        <v>34</v>
      </c>
      <c r="D632" s="4" t="s">
        <v>42</v>
      </c>
      <c r="E632" s="4" t="s">
        <v>25</v>
      </c>
      <c r="F632" s="4" t="s">
        <v>25</v>
      </c>
      <c r="G632" s="4" t="s">
        <v>25</v>
      </c>
      <c r="H632" s="4" t="s">
        <v>36</v>
      </c>
      <c r="I632" s="5">
        <v>43952</v>
      </c>
      <c r="J632" s="6">
        <v>0</v>
      </c>
      <c r="K632" s="6">
        <v>0</v>
      </c>
      <c r="L632" s="6">
        <v>15401.210999999999</v>
      </c>
      <c r="M632" s="6">
        <v>15401.210999999999</v>
      </c>
      <c r="N632" s="6">
        <v>15401.210999999999</v>
      </c>
      <c r="O632" s="6">
        <v>15401.210999999999</v>
      </c>
      <c r="P632" s="6">
        <v>0</v>
      </c>
      <c r="Q632" s="4" t="s">
        <v>26</v>
      </c>
      <c r="R632" s="4">
        <v>0</v>
      </c>
      <c r="S632" s="4" t="s">
        <v>342</v>
      </c>
      <c r="T632" s="4" t="s">
        <v>707</v>
      </c>
      <c r="U632" s="4">
        <v>0</v>
      </c>
      <c r="V632" s="4">
        <v>28</v>
      </c>
      <c r="W632" s="4">
        <v>82</v>
      </c>
    </row>
    <row r="633" spans="1:23" ht="11.25" customHeight="1" x14ac:dyDescent="0.25">
      <c r="A633" s="4" t="s">
        <v>27</v>
      </c>
      <c r="B633" s="4" t="s">
        <v>33</v>
      </c>
      <c r="C633" s="4" t="s">
        <v>34</v>
      </c>
      <c r="D633" s="4" t="s">
        <v>42</v>
      </c>
      <c r="E633" s="4" t="s">
        <v>25</v>
      </c>
      <c r="F633" s="4" t="s">
        <v>25</v>
      </c>
      <c r="G633" s="4" t="s">
        <v>25</v>
      </c>
      <c r="H633" s="4" t="s">
        <v>36</v>
      </c>
      <c r="I633" s="5">
        <v>43952</v>
      </c>
      <c r="J633" s="6">
        <v>0</v>
      </c>
      <c r="K633" s="6">
        <v>0</v>
      </c>
      <c r="L633" s="6">
        <v>12.983000000000001</v>
      </c>
      <c r="M633" s="6">
        <v>12.983000000000001</v>
      </c>
      <c r="N633" s="6">
        <v>12.983000000000001</v>
      </c>
      <c r="O633" s="6">
        <v>12.983000000000001</v>
      </c>
      <c r="P633" s="6">
        <v>0</v>
      </c>
      <c r="Q633" s="4" t="s">
        <v>26</v>
      </c>
      <c r="R633" s="4">
        <v>0</v>
      </c>
      <c r="S633" s="4" t="s">
        <v>342</v>
      </c>
      <c r="T633" s="4" t="s">
        <v>707</v>
      </c>
      <c r="U633" s="4">
        <v>0</v>
      </c>
      <c r="V633" s="4">
        <v>28</v>
      </c>
      <c r="W633" s="4">
        <v>82</v>
      </c>
    </row>
    <row r="634" spans="1:23" ht="11.25" customHeight="1" x14ac:dyDescent="0.25">
      <c r="A634" s="4" t="s">
        <v>28</v>
      </c>
      <c r="B634" s="4" t="s">
        <v>33</v>
      </c>
      <c r="C634" s="4" t="s">
        <v>34</v>
      </c>
      <c r="D634" s="4" t="s">
        <v>42</v>
      </c>
      <c r="E634" s="4" t="s">
        <v>25</v>
      </c>
      <c r="F634" s="4" t="s">
        <v>25</v>
      </c>
      <c r="G634" s="4" t="s">
        <v>25</v>
      </c>
      <c r="H634" s="4" t="s">
        <v>36</v>
      </c>
      <c r="I634" s="5">
        <v>43952</v>
      </c>
      <c r="J634" s="6">
        <v>0</v>
      </c>
      <c r="K634" s="6">
        <v>0</v>
      </c>
      <c r="L634" s="6">
        <v>623.43299999999999</v>
      </c>
      <c r="M634" s="6">
        <v>623.43299999999999</v>
      </c>
      <c r="N634" s="6">
        <v>623.43299999999999</v>
      </c>
      <c r="O634" s="6">
        <v>623.43299999999999</v>
      </c>
      <c r="P634" s="6">
        <v>0</v>
      </c>
      <c r="Q634" s="4" t="s">
        <v>26</v>
      </c>
      <c r="R634" s="4">
        <v>0</v>
      </c>
      <c r="S634" s="4" t="s">
        <v>342</v>
      </c>
      <c r="T634" s="4" t="s">
        <v>707</v>
      </c>
      <c r="U634" s="4">
        <v>0</v>
      </c>
      <c r="V634" s="4">
        <v>28</v>
      </c>
      <c r="W634" s="4">
        <v>82</v>
      </c>
    </row>
    <row r="635" spans="1:23" ht="11.25" customHeight="1" x14ac:dyDescent="0.25">
      <c r="A635" s="4" t="s">
        <v>21</v>
      </c>
      <c r="B635" s="4" t="s">
        <v>33</v>
      </c>
      <c r="C635" s="4" t="s">
        <v>34</v>
      </c>
      <c r="D635" s="4" t="s">
        <v>42</v>
      </c>
      <c r="E635" s="4" t="s">
        <v>25</v>
      </c>
      <c r="F635" s="4" t="s">
        <v>25</v>
      </c>
      <c r="G635" s="4" t="s">
        <v>25</v>
      </c>
      <c r="H635" s="4" t="s">
        <v>36</v>
      </c>
      <c r="I635" s="5">
        <v>43983</v>
      </c>
      <c r="J635" s="6">
        <v>0</v>
      </c>
      <c r="K635" s="6">
        <v>0</v>
      </c>
      <c r="L635" s="6">
        <v>15555.379000000001</v>
      </c>
      <c r="M635" s="6">
        <v>15555.379000000001</v>
      </c>
      <c r="N635" s="6">
        <v>15555.379000000001</v>
      </c>
      <c r="O635" s="6">
        <v>15555.379000000001</v>
      </c>
      <c r="P635" s="6">
        <v>0</v>
      </c>
      <c r="Q635" s="4" t="s">
        <v>26</v>
      </c>
      <c r="R635" s="4">
        <v>0</v>
      </c>
      <c r="S635" s="4" t="s">
        <v>343</v>
      </c>
      <c r="T635" s="4" t="s">
        <v>708</v>
      </c>
      <c r="U635" s="4">
        <v>0</v>
      </c>
      <c r="V635" s="4">
        <v>28</v>
      </c>
      <c r="W635" s="4">
        <v>82</v>
      </c>
    </row>
    <row r="636" spans="1:23" ht="11.25" customHeight="1" x14ac:dyDescent="0.25">
      <c r="A636" s="4" t="s">
        <v>27</v>
      </c>
      <c r="B636" s="4" t="s">
        <v>33</v>
      </c>
      <c r="C636" s="4" t="s">
        <v>34</v>
      </c>
      <c r="D636" s="4" t="s">
        <v>42</v>
      </c>
      <c r="E636" s="4" t="s">
        <v>25</v>
      </c>
      <c r="F636" s="4" t="s">
        <v>25</v>
      </c>
      <c r="G636" s="4" t="s">
        <v>25</v>
      </c>
      <c r="H636" s="4" t="s">
        <v>36</v>
      </c>
      <c r="I636" s="5">
        <v>43983</v>
      </c>
      <c r="J636" s="6">
        <v>0</v>
      </c>
      <c r="K636" s="6">
        <v>0</v>
      </c>
      <c r="L636" s="6">
        <v>12.406000000000001</v>
      </c>
      <c r="M636" s="6">
        <v>12.406000000000001</v>
      </c>
      <c r="N636" s="6">
        <v>12.406000000000001</v>
      </c>
      <c r="O636" s="6">
        <v>12.406000000000001</v>
      </c>
      <c r="P636" s="6">
        <v>0</v>
      </c>
      <c r="Q636" s="4" t="s">
        <v>26</v>
      </c>
      <c r="R636" s="4">
        <v>0</v>
      </c>
      <c r="S636" s="4" t="s">
        <v>343</v>
      </c>
      <c r="T636" s="4" t="s">
        <v>708</v>
      </c>
      <c r="U636" s="4">
        <v>0</v>
      </c>
      <c r="V636" s="4">
        <v>28</v>
      </c>
      <c r="W636" s="4">
        <v>82</v>
      </c>
    </row>
    <row r="637" spans="1:23" ht="11.25" customHeight="1" x14ac:dyDescent="0.25">
      <c r="A637" s="4" t="s">
        <v>28</v>
      </c>
      <c r="B637" s="4" t="s">
        <v>33</v>
      </c>
      <c r="C637" s="4" t="s">
        <v>34</v>
      </c>
      <c r="D637" s="4" t="s">
        <v>42</v>
      </c>
      <c r="E637" s="4" t="s">
        <v>25</v>
      </c>
      <c r="F637" s="4" t="s">
        <v>25</v>
      </c>
      <c r="G637" s="4" t="s">
        <v>25</v>
      </c>
      <c r="H637" s="4" t="s">
        <v>36</v>
      </c>
      <c r="I637" s="5">
        <v>43983</v>
      </c>
      <c r="J637" s="6">
        <v>0</v>
      </c>
      <c r="K637" s="6">
        <v>0</v>
      </c>
      <c r="L637" s="6">
        <v>244.191</v>
      </c>
      <c r="M637" s="6">
        <v>244.191</v>
      </c>
      <c r="N637" s="6">
        <v>244.191</v>
      </c>
      <c r="O637" s="6">
        <v>244.191</v>
      </c>
      <c r="P637" s="6">
        <v>0</v>
      </c>
      <c r="Q637" s="4" t="s">
        <v>26</v>
      </c>
      <c r="R637" s="4">
        <v>0</v>
      </c>
      <c r="S637" s="4" t="s">
        <v>343</v>
      </c>
      <c r="T637" s="4" t="s">
        <v>708</v>
      </c>
      <c r="U637" s="4">
        <v>0</v>
      </c>
      <c r="V637" s="4">
        <v>28</v>
      </c>
      <c r="W637" s="4">
        <v>82</v>
      </c>
    </row>
    <row r="638" spans="1:23" ht="11.25" customHeight="1" x14ac:dyDescent="0.25">
      <c r="A638" s="4" t="s">
        <v>21</v>
      </c>
      <c r="B638" s="4" t="s">
        <v>33</v>
      </c>
      <c r="C638" s="4" t="s">
        <v>34</v>
      </c>
      <c r="D638" s="4" t="s">
        <v>42</v>
      </c>
      <c r="E638" s="4" t="s">
        <v>25</v>
      </c>
      <c r="F638" s="4" t="s">
        <v>25</v>
      </c>
      <c r="G638" s="4" t="s">
        <v>25</v>
      </c>
      <c r="H638" s="4" t="s">
        <v>36</v>
      </c>
      <c r="I638" s="5">
        <v>44013</v>
      </c>
      <c r="J638" s="6">
        <v>0</v>
      </c>
      <c r="K638" s="6">
        <v>0</v>
      </c>
      <c r="L638" s="6">
        <v>15117.457</v>
      </c>
      <c r="M638" s="6">
        <v>15117.457</v>
      </c>
      <c r="N638" s="6">
        <v>15117.457</v>
      </c>
      <c r="O638" s="6">
        <v>15117.457</v>
      </c>
      <c r="P638" s="6">
        <v>0</v>
      </c>
      <c r="Q638" s="4" t="s">
        <v>26</v>
      </c>
      <c r="R638" s="4">
        <v>0</v>
      </c>
      <c r="S638" s="4" t="s">
        <v>344</v>
      </c>
      <c r="T638" s="4" t="s">
        <v>709</v>
      </c>
      <c r="U638" s="4">
        <v>0</v>
      </c>
      <c r="V638" s="4">
        <v>28</v>
      </c>
      <c r="W638" s="4">
        <v>82</v>
      </c>
    </row>
    <row r="639" spans="1:23" ht="11.25" customHeight="1" x14ac:dyDescent="0.25">
      <c r="A639" s="4" t="s">
        <v>27</v>
      </c>
      <c r="B639" s="4" t="s">
        <v>33</v>
      </c>
      <c r="C639" s="4" t="s">
        <v>34</v>
      </c>
      <c r="D639" s="4" t="s">
        <v>42</v>
      </c>
      <c r="E639" s="4" t="s">
        <v>25</v>
      </c>
      <c r="F639" s="4" t="s">
        <v>25</v>
      </c>
      <c r="G639" s="4" t="s">
        <v>25</v>
      </c>
      <c r="H639" s="4" t="s">
        <v>36</v>
      </c>
      <c r="I639" s="5">
        <v>44013</v>
      </c>
      <c r="J639" s="6">
        <v>0</v>
      </c>
      <c r="K639" s="6">
        <v>0</v>
      </c>
      <c r="L639" s="6">
        <v>35.244</v>
      </c>
      <c r="M639" s="6">
        <v>35.244</v>
      </c>
      <c r="N639" s="6">
        <v>35.244</v>
      </c>
      <c r="O639" s="6">
        <v>35.244</v>
      </c>
      <c r="P639" s="6">
        <v>0</v>
      </c>
      <c r="Q639" s="4" t="s">
        <v>26</v>
      </c>
      <c r="R639" s="4">
        <v>0</v>
      </c>
      <c r="S639" s="4" t="s">
        <v>344</v>
      </c>
      <c r="T639" s="4" t="s">
        <v>709</v>
      </c>
      <c r="U639" s="4">
        <v>0</v>
      </c>
      <c r="V639" s="4">
        <v>28</v>
      </c>
      <c r="W639" s="4">
        <v>82</v>
      </c>
    </row>
    <row r="640" spans="1:23" ht="11.25" customHeight="1" x14ac:dyDescent="0.25">
      <c r="A640" s="4" t="s">
        <v>28</v>
      </c>
      <c r="B640" s="4" t="s">
        <v>33</v>
      </c>
      <c r="C640" s="4" t="s">
        <v>34</v>
      </c>
      <c r="D640" s="4" t="s">
        <v>42</v>
      </c>
      <c r="E640" s="4" t="s">
        <v>25</v>
      </c>
      <c r="F640" s="4" t="s">
        <v>25</v>
      </c>
      <c r="G640" s="4" t="s">
        <v>25</v>
      </c>
      <c r="H640" s="4" t="s">
        <v>36</v>
      </c>
      <c r="I640" s="5">
        <v>44013</v>
      </c>
      <c r="J640" s="6">
        <v>0</v>
      </c>
      <c r="K640" s="6">
        <v>0</v>
      </c>
      <c r="L640" s="6">
        <v>236.15199999999999</v>
      </c>
      <c r="M640" s="6">
        <v>236.15199999999999</v>
      </c>
      <c r="N640" s="6">
        <v>236.15199999999999</v>
      </c>
      <c r="O640" s="6">
        <v>236.15199999999999</v>
      </c>
      <c r="P640" s="6">
        <v>0</v>
      </c>
      <c r="Q640" s="4" t="s">
        <v>26</v>
      </c>
      <c r="R640" s="4">
        <v>0</v>
      </c>
      <c r="S640" s="4" t="s">
        <v>344</v>
      </c>
      <c r="T640" s="4" t="s">
        <v>709</v>
      </c>
      <c r="U640" s="4">
        <v>0</v>
      </c>
      <c r="V640" s="4">
        <v>28</v>
      </c>
      <c r="W640" s="4">
        <v>82</v>
      </c>
    </row>
    <row r="641" spans="1:23" ht="11.25" customHeight="1" x14ac:dyDescent="0.25">
      <c r="A641" s="4" t="s">
        <v>21</v>
      </c>
      <c r="B641" s="4" t="s">
        <v>33</v>
      </c>
      <c r="C641" s="4" t="s">
        <v>34</v>
      </c>
      <c r="D641" s="4" t="s">
        <v>42</v>
      </c>
      <c r="E641" s="4" t="s">
        <v>25</v>
      </c>
      <c r="F641" s="4" t="s">
        <v>25</v>
      </c>
      <c r="G641" s="4" t="s">
        <v>25</v>
      </c>
      <c r="H641" s="4" t="s">
        <v>36</v>
      </c>
      <c r="I641" s="5">
        <v>44044</v>
      </c>
      <c r="J641" s="6">
        <v>0</v>
      </c>
      <c r="K641" s="6">
        <v>0</v>
      </c>
      <c r="L641" s="6">
        <v>16325.962</v>
      </c>
      <c r="M641" s="6">
        <v>16325.962</v>
      </c>
      <c r="N641" s="6">
        <v>16325.962</v>
      </c>
      <c r="O641" s="6">
        <v>16325.962</v>
      </c>
      <c r="P641" s="6">
        <v>0</v>
      </c>
      <c r="Q641" s="4" t="s">
        <v>26</v>
      </c>
      <c r="R641" s="4">
        <v>0</v>
      </c>
      <c r="S641" s="4" t="s">
        <v>345</v>
      </c>
      <c r="T641" s="4" t="s">
        <v>710</v>
      </c>
      <c r="U641" s="4">
        <v>0</v>
      </c>
      <c r="V641" s="4">
        <v>28</v>
      </c>
      <c r="W641" s="4">
        <v>82</v>
      </c>
    </row>
    <row r="642" spans="1:23" ht="11.25" customHeight="1" x14ac:dyDescent="0.25">
      <c r="A642" s="4" t="s">
        <v>27</v>
      </c>
      <c r="B642" s="4" t="s">
        <v>33</v>
      </c>
      <c r="C642" s="4" t="s">
        <v>34</v>
      </c>
      <c r="D642" s="4" t="s">
        <v>42</v>
      </c>
      <c r="E642" s="4" t="s">
        <v>25</v>
      </c>
      <c r="F642" s="4" t="s">
        <v>25</v>
      </c>
      <c r="G642" s="4" t="s">
        <v>25</v>
      </c>
      <c r="H642" s="4" t="s">
        <v>36</v>
      </c>
      <c r="I642" s="5">
        <v>44044</v>
      </c>
      <c r="J642" s="6">
        <v>0</v>
      </c>
      <c r="K642" s="6">
        <v>0</v>
      </c>
      <c r="L642" s="6">
        <v>0.41199999999999998</v>
      </c>
      <c r="M642" s="6">
        <v>0.41199999999999998</v>
      </c>
      <c r="N642" s="6">
        <v>0.41199999999999998</v>
      </c>
      <c r="O642" s="6">
        <v>0.41199999999999998</v>
      </c>
      <c r="P642" s="6">
        <v>0</v>
      </c>
      <c r="Q642" s="4" t="s">
        <v>26</v>
      </c>
      <c r="R642" s="4">
        <v>0</v>
      </c>
      <c r="S642" s="4" t="s">
        <v>345</v>
      </c>
      <c r="T642" s="4" t="s">
        <v>710</v>
      </c>
      <c r="U642" s="4">
        <v>0</v>
      </c>
      <c r="V642" s="4">
        <v>28</v>
      </c>
      <c r="W642" s="4">
        <v>82</v>
      </c>
    </row>
    <row r="643" spans="1:23" ht="11.25" customHeight="1" x14ac:dyDescent="0.25">
      <c r="A643" s="4" t="s">
        <v>28</v>
      </c>
      <c r="B643" s="4" t="s">
        <v>33</v>
      </c>
      <c r="C643" s="4" t="s">
        <v>34</v>
      </c>
      <c r="D643" s="4" t="s">
        <v>42</v>
      </c>
      <c r="E643" s="4" t="s">
        <v>25</v>
      </c>
      <c r="F643" s="4" t="s">
        <v>25</v>
      </c>
      <c r="G643" s="4" t="s">
        <v>25</v>
      </c>
      <c r="H643" s="4" t="s">
        <v>36</v>
      </c>
      <c r="I643" s="5">
        <v>44044</v>
      </c>
      <c r="J643" s="6">
        <v>0</v>
      </c>
      <c r="K643" s="6">
        <v>0</v>
      </c>
      <c r="L643" s="6">
        <v>352.51299999999998</v>
      </c>
      <c r="M643" s="6">
        <v>352.51299999999998</v>
      </c>
      <c r="N643" s="6">
        <v>352.51299999999998</v>
      </c>
      <c r="O643" s="6">
        <v>352.51299999999998</v>
      </c>
      <c r="P643" s="6">
        <v>0</v>
      </c>
      <c r="Q643" s="4" t="s">
        <v>26</v>
      </c>
      <c r="R643" s="4">
        <v>0</v>
      </c>
      <c r="S643" s="4" t="s">
        <v>345</v>
      </c>
      <c r="T643" s="4" t="s">
        <v>710</v>
      </c>
      <c r="U643" s="4">
        <v>0</v>
      </c>
      <c r="V643" s="4">
        <v>28</v>
      </c>
      <c r="W643" s="4">
        <v>82</v>
      </c>
    </row>
    <row r="644" spans="1:23" ht="11.25" customHeight="1" x14ac:dyDescent="0.25">
      <c r="A644" s="4" t="s">
        <v>59</v>
      </c>
      <c r="B644" s="4" t="s">
        <v>33</v>
      </c>
      <c r="C644" s="4" t="s">
        <v>34</v>
      </c>
      <c r="D644" s="4" t="s">
        <v>42</v>
      </c>
      <c r="E644" s="4" t="s">
        <v>25</v>
      </c>
      <c r="F644" s="4" t="s">
        <v>25</v>
      </c>
      <c r="G644" s="4" t="s">
        <v>25</v>
      </c>
      <c r="H644" s="4" t="s">
        <v>36</v>
      </c>
      <c r="I644" s="5">
        <v>44075</v>
      </c>
      <c r="J644" s="6">
        <v>0</v>
      </c>
      <c r="K644" s="6">
        <v>0</v>
      </c>
      <c r="L644" s="6">
        <v>16325.962</v>
      </c>
      <c r="M644" s="6">
        <v>16325.962</v>
      </c>
      <c r="N644" s="6">
        <v>16325.962</v>
      </c>
      <c r="O644" s="6">
        <v>16325.962</v>
      </c>
      <c r="P644" s="6">
        <v>0</v>
      </c>
      <c r="Q644" s="4" t="s">
        <v>26</v>
      </c>
      <c r="R644" s="4">
        <v>0</v>
      </c>
      <c r="S644" s="4" t="s">
        <v>346</v>
      </c>
      <c r="T644" s="4" t="s">
        <v>711</v>
      </c>
      <c r="U644" s="4">
        <v>0</v>
      </c>
      <c r="V644" s="4">
        <v>28</v>
      </c>
      <c r="W644" s="4">
        <v>82</v>
      </c>
    </row>
    <row r="645" spans="1:23" ht="11.25" customHeight="1" x14ac:dyDescent="0.25">
      <c r="A645" s="4" t="s">
        <v>59</v>
      </c>
      <c r="B645" s="4" t="s">
        <v>33</v>
      </c>
      <c r="C645" s="4" t="s">
        <v>34</v>
      </c>
      <c r="D645" s="4" t="s">
        <v>42</v>
      </c>
      <c r="E645" s="4" t="s">
        <v>25</v>
      </c>
      <c r="F645" s="4" t="s">
        <v>25</v>
      </c>
      <c r="G645" s="4" t="s">
        <v>25</v>
      </c>
      <c r="H645" s="4" t="s">
        <v>36</v>
      </c>
      <c r="I645" s="5">
        <v>44075</v>
      </c>
      <c r="J645" s="6">
        <v>0</v>
      </c>
      <c r="K645" s="6">
        <v>0</v>
      </c>
      <c r="L645" s="6">
        <v>0.41199999999999998</v>
      </c>
      <c r="M645" s="6">
        <v>0.41199999999999998</v>
      </c>
      <c r="N645" s="6">
        <v>0.41199999999999998</v>
      </c>
      <c r="O645" s="6">
        <v>0.41199999999999998</v>
      </c>
      <c r="P645" s="6">
        <v>0</v>
      </c>
      <c r="Q645" s="4" t="s">
        <v>26</v>
      </c>
      <c r="R645" s="4">
        <v>0</v>
      </c>
      <c r="S645" s="4" t="s">
        <v>346</v>
      </c>
      <c r="T645" s="4" t="s">
        <v>711</v>
      </c>
      <c r="U645" s="4">
        <v>0</v>
      </c>
      <c r="V645" s="4">
        <v>28</v>
      </c>
      <c r="W645" s="4">
        <v>82</v>
      </c>
    </row>
    <row r="646" spans="1:23" ht="11.25" customHeight="1" x14ac:dyDescent="0.25">
      <c r="A646" s="4" t="s">
        <v>59</v>
      </c>
      <c r="B646" s="4" t="s">
        <v>33</v>
      </c>
      <c r="C646" s="4" t="s">
        <v>34</v>
      </c>
      <c r="D646" s="4" t="s">
        <v>42</v>
      </c>
      <c r="E646" s="4" t="s">
        <v>25</v>
      </c>
      <c r="F646" s="4" t="s">
        <v>25</v>
      </c>
      <c r="G646" s="4" t="s">
        <v>25</v>
      </c>
      <c r="H646" s="4" t="s">
        <v>36</v>
      </c>
      <c r="I646" s="5">
        <v>44075</v>
      </c>
      <c r="J646" s="6">
        <v>0</v>
      </c>
      <c r="K646" s="6">
        <v>0</v>
      </c>
      <c r="L646" s="6">
        <v>352.51299999999998</v>
      </c>
      <c r="M646" s="6">
        <v>352.51299999999998</v>
      </c>
      <c r="N646" s="6">
        <v>352.51299999999998</v>
      </c>
      <c r="O646" s="6">
        <v>352.51299999999998</v>
      </c>
      <c r="P646" s="6">
        <v>0</v>
      </c>
      <c r="Q646" s="4" t="s">
        <v>26</v>
      </c>
      <c r="R646" s="4">
        <v>0</v>
      </c>
      <c r="S646" s="4" t="s">
        <v>346</v>
      </c>
      <c r="T646" s="4" t="s">
        <v>711</v>
      </c>
      <c r="U646" s="4">
        <v>0</v>
      </c>
      <c r="V646" s="4">
        <v>28</v>
      </c>
      <c r="W646" s="4">
        <v>82</v>
      </c>
    </row>
    <row r="647" spans="1:23" ht="11.25" customHeight="1" x14ac:dyDescent="0.25">
      <c r="A647" s="4" t="s">
        <v>21</v>
      </c>
      <c r="B647" s="4" t="s">
        <v>33</v>
      </c>
      <c r="C647" s="4" t="s">
        <v>34</v>
      </c>
      <c r="D647" s="4" t="s">
        <v>42</v>
      </c>
      <c r="E647" s="4" t="s">
        <v>25</v>
      </c>
      <c r="F647" s="4" t="s">
        <v>25</v>
      </c>
      <c r="G647" s="4" t="s">
        <v>25</v>
      </c>
      <c r="H647" s="4" t="s">
        <v>25</v>
      </c>
      <c r="I647" s="5">
        <v>43739</v>
      </c>
      <c r="J647" s="6">
        <v>123787</v>
      </c>
      <c r="K647" s="6">
        <v>123787</v>
      </c>
      <c r="L647" s="6">
        <v>0</v>
      </c>
      <c r="M647" s="6">
        <v>0</v>
      </c>
      <c r="N647" s="6">
        <v>0</v>
      </c>
      <c r="O647" s="6">
        <v>0</v>
      </c>
      <c r="P647" s="6">
        <v>911</v>
      </c>
      <c r="Q647" s="4" t="s">
        <v>26</v>
      </c>
      <c r="R647" s="4">
        <v>0</v>
      </c>
      <c r="S647" s="4" t="s">
        <v>347</v>
      </c>
      <c r="U647" s="4">
        <v>26</v>
      </c>
      <c r="V647" s="4">
        <v>0</v>
      </c>
      <c r="W647" s="4">
        <v>0</v>
      </c>
    </row>
    <row r="648" spans="1:23" ht="11.25" customHeight="1" x14ac:dyDescent="0.25">
      <c r="A648" s="4" t="s">
        <v>27</v>
      </c>
      <c r="B648" s="4" t="s">
        <v>33</v>
      </c>
      <c r="C648" s="4" t="s">
        <v>34</v>
      </c>
      <c r="D648" s="4" t="s">
        <v>42</v>
      </c>
      <c r="E648" s="4" t="s">
        <v>25</v>
      </c>
      <c r="F648" s="4" t="s">
        <v>25</v>
      </c>
      <c r="G648" s="4" t="s">
        <v>25</v>
      </c>
      <c r="H648" s="4" t="s">
        <v>25</v>
      </c>
      <c r="I648" s="5">
        <v>43739</v>
      </c>
      <c r="J648" s="6">
        <v>274</v>
      </c>
      <c r="K648" s="6">
        <v>274</v>
      </c>
      <c r="L648" s="6">
        <v>0</v>
      </c>
      <c r="M648" s="6">
        <v>0</v>
      </c>
      <c r="N648" s="6">
        <v>0</v>
      </c>
      <c r="O648" s="6">
        <v>0</v>
      </c>
      <c r="P648" s="6">
        <v>2</v>
      </c>
      <c r="Q648" s="4" t="s">
        <v>26</v>
      </c>
      <c r="R648" s="4">
        <v>0</v>
      </c>
      <c r="S648" s="4" t="s">
        <v>347</v>
      </c>
      <c r="U648" s="4">
        <v>26</v>
      </c>
      <c r="V648" s="4">
        <v>0</v>
      </c>
      <c r="W648" s="4">
        <v>0</v>
      </c>
    </row>
    <row r="649" spans="1:23" ht="11.25" customHeight="1" x14ac:dyDescent="0.25">
      <c r="A649" s="4" t="s">
        <v>28</v>
      </c>
      <c r="B649" s="4" t="s">
        <v>33</v>
      </c>
      <c r="C649" s="4" t="s">
        <v>34</v>
      </c>
      <c r="D649" s="4" t="s">
        <v>42</v>
      </c>
      <c r="E649" s="4" t="s">
        <v>25</v>
      </c>
      <c r="F649" s="4" t="s">
        <v>25</v>
      </c>
      <c r="G649" s="4" t="s">
        <v>25</v>
      </c>
      <c r="H649" s="4" t="s">
        <v>25</v>
      </c>
      <c r="I649" s="5">
        <v>43739</v>
      </c>
      <c r="J649" s="6">
        <v>11024</v>
      </c>
      <c r="K649" s="6">
        <v>11024</v>
      </c>
      <c r="L649" s="6">
        <v>0</v>
      </c>
      <c r="M649" s="6">
        <v>0</v>
      </c>
      <c r="N649" s="6">
        <v>0</v>
      </c>
      <c r="O649" s="6">
        <v>0</v>
      </c>
      <c r="P649" s="6">
        <v>43</v>
      </c>
      <c r="Q649" s="4" t="s">
        <v>26</v>
      </c>
      <c r="R649" s="4">
        <v>0</v>
      </c>
      <c r="S649" s="4" t="s">
        <v>347</v>
      </c>
      <c r="U649" s="4">
        <v>26</v>
      </c>
      <c r="V649" s="4">
        <v>0</v>
      </c>
      <c r="W649" s="4">
        <v>0</v>
      </c>
    </row>
    <row r="650" spans="1:23" ht="11.25" customHeight="1" x14ac:dyDescent="0.25">
      <c r="A650" s="4" t="s">
        <v>21</v>
      </c>
      <c r="B650" s="4" t="s">
        <v>33</v>
      </c>
      <c r="C650" s="4" t="s">
        <v>34</v>
      </c>
      <c r="D650" s="4" t="s">
        <v>42</v>
      </c>
      <c r="E650" s="4" t="s">
        <v>25</v>
      </c>
      <c r="F650" s="4" t="s">
        <v>25</v>
      </c>
      <c r="G650" s="4" t="s">
        <v>25</v>
      </c>
      <c r="H650" s="4" t="s">
        <v>25</v>
      </c>
      <c r="I650" s="5">
        <v>43770</v>
      </c>
      <c r="J650" s="6">
        <v>124583</v>
      </c>
      <c r="K650" s="6">
        <v>124583</v>
      </c>
      <c r="L650" s="6">
        <v>0</v>
      </c>
      <c r="M650" s="6">
        <v>0</v>
      </c>
      <c r="N650" s="6">
        <v>0</v>
      </c>
      <c r="O650" s="6">
        <v>0</v>
      </c>
      <c r="P650" s="6">
        <v>908</v>
      </c>
      <c r="Q650" s="4" t="s">
        <v>26</v>
      </c>
      <c r="R650" s="4">
        <v>0</v>
      </c>
      <c r="S650" s="4" t="s">
        <v>348</v>
      </c>
      <c r="U650" s="4">
        <v>26</v>
      </c>
      <c r="V650" s="4">
        <v>0</v>
      </c>
      <c r="W650" s="4">
        <v>0</v>
      </c>
    </row>
    <row r="651" spans="1:23" ht="11.25" customHeight="1" x14ac:dyDescent="0.25">
      <c r="A651" s="4" t="s">
        <v>27</v>
      </c>
      <c r="B651" s="4" t="s">
        <v>33</v>
      </c>
      <c r="C651" s="4" t="s">
        <v>34</v>
      </c>
      <c r="D651" s="4" t="s">
        <v>42</v>
      </c>
      <c r="E651" s="4" t="s">
        <v>25</v>
      </c>
      <c r="F651" s="4" t="s">
        <v>25</v>
      </c>
      <c r="G651" s="4" t="s">
        <v>25</v>
      </c>
      <c r="H651" s="4" t="s">
        <v>25</v>
      </c>
      <c r="I651" s="5">
        <v>43770</v>
      </c>
      <c r="J651" s="6">
        <v>80</v>
      </c>
      <c r="K651" s="6">
        <v>80</v>
      </c>
      <c r="L651" s="6">
        <v>0</v>
      </c>
      <c r="M651" s="6">
        <v>0</v>
      </c>
      <c r="N651" s="6">
        <v>0</v>
      </c>
      <c r="O651" s="6">
        <v>0</v>
      </c>
      <c r="P651" s="6">
        <v>1</v>
      </c>
      <c r="Q651" s="4" t="s">
        <v>26</v>
      </c>
      <c r="R651" s="4">
        <v>0</v>
      </c>
      <c r="S651" s="4" t="s">
        <v>348</v>
      </c>
      <c r="U651" s="4">
        <v>26</v>
      </c>
      <c r="V651" s="4">
        <v>0</v>
      </c>
      <c r="W651" s="4">
        <v>0</v>
      </c>
    </row>
    <row r="652" spans="1:23" ht="11.25" customHeight="1" x14ac:dyDescent="0.25">
      <c r="A652" s="4" t="s">
        <v>28</v>
      </c>
      <c r="B652" s="4" t="s">
        <v>33</v>
      </c>
      <c r="C652" s="4" t="s">
        <v>34</v>
      </c>
      <c r="D652" s="4" t="s">
        <v>42</v>
      </c>
      <c r="E652" s="4" t="s">
        <v>25</v>
      </c>
      <c r="F652" s="4" t="s">
        <v>25</v>
      </c>
      <c r="G652" s="4" t="s">
        <v>25</v>
      </c>
      <c r="H652" s="4" t="s">
        <v>25</v>
      </c>
      <c r="I652" s="5">
        <v>43770</v>
      </c>
      <c r="J652" s="6">
        <v>11024</v>
      </c>
      <c r="K652" s="6">
        <v>11024</v>
      </c>
      <c r="L652" s="6">
        <v>0</v>
      </c>
      <c r="M652" s="6">
        <v>0</v>
      </c>
      <c r="N652" s="6">
        <v>0</v>
      </c>
      <c r="O652" s="6">
        <v>0</v>
      </c>
      <c r="P652" s="6">
        <v>43</v>
      </c>
      <c r="Q652" s="4" t="s">
        <v>26</v>
      </c>
      <c r="R652" s="4">
        <v>0</v>
      </c>
      <c r="S652" s="4" t="s">
        <v>348</v>
      </c>
      <c r="U652" s="4">
        <v>26</v>
      </c>
      <c r="V652" s="4">
        <v>0</v>
      </c>
      <c r="W652" s="4">
        <v>0</v>
      </c>
    </row>
    <row r="653" spans="1:23" ht="11.25" customHeight="1" x14ac:dyDescent="0.25">
      <c r="A653" s="4" t="s">
        <v>21</v>
      </c>
      <c r="B653" s="4" t="s">
        <v>33</v>
      </c>
      <c r="C653" s="4" t="s">
        <v>34</v>
      </c>
      <c r="D653" s="4" t="s">
        <v>42</v>
      </c>
      <c r="E653" s="4" t="s">
        <v>25</v>
      </c>
      <c r="F653" s="4" t="s">
        <v>25</v>
      </c>
      <c r="G653" s="4" t="s">
        <v>25</v>
      </c>
      <c r="H653" s="4" t="s">
        <v>25</v>
      </c>
      <c r="I653" s="5">
        <v>43800</v>
      </c>
      <c r="J653" s="6">
        <v>122024</v>
      </c>
      <c r="K653" s="6">
        <v>122024</v>
      </c>
      <c r="L653" s="6">
        <v>0</v>
      </c>
      <c r="M653" s="6">
        <v>0</v>
      </c>
      <c r="N653" s="6">
        <v>0</v>
      </c>
      <c r="O653" s="6">
        <v>0</v>
      </c>
      <c r="P653" s="6">
        <v>902</v>
      </c>
      <c r="Q653" s="4" t="s">
        <v>26</v>
      </c>
      <c r="R653" s="4">
        <v>0</v>
      </c>
      <c r="S653" s="4" t="s">
        <v>349</v>
      </c>
      <c r="U653" s="4">
        <v>26</v>
      </c>
      <c r="V653" s="4">
        <v>0</v>
      </c>
      <c r="W653" s="4">
        <v>0</v>
      </c>
    </row>
    <row r="654" spans="1:23" ht="11.25" customHeight="1" x14ac:dyDescent="0.25">
      <c r="A654" s="4" t="s">
        <v>27</v>
      </c>
      <c r="B654" s="4" t="s">
        <v>33</v>
      </c>
      <c r="C654" s="4" t="s">
        <v>34</v>
      </c>
      <c r="D654" s="4" t="s">
        <v>42</v>
      </c>
      <c r="E654" s="4" t="s">
        <v>25</v>
      </c>
      <c r="F654" s="4" t="s">
        <v>25</v>
      </c>
      <c r="G654" s="4" t="s">
        <v>25</v>
      </c>
      <c r="H654" s="4" t="s">
        <v>25</v>
      </c>
      <c r="I654" s="5">
        <v>43800</v>
      </c>
      <c r="J654" s="6">
        <v>230</v>
      </c>
      <c r="K654" s="6">
        <v>230</v>
      </c>
      <c r="L654" s="6">
        <v>0</v>
      </c>
      <c r="M654" s="6">
        <v>0</v>
      </c>
      <c r="N654" s="6">
        <v>0</v>
      </c>
      <c r="O654" s="6">
        <v>0</v>
      </c>
      <c r="P654" s="6">
        <v>2</v>
      </c>
      <c r="Q654" s="4" t="s">
        <v>26</v>
      </c>
      <c r="R654" s="4">
        <v>0</v>
      </c>
      <c r="S654" s="4" t="s">
        <v>349</v>
      </c>
      <c r="U654" s="4">
        <v>26</v>
      </c>
      <c r="V654" s="4">
        <v>0</v>
      </c>
      <c r="W654" s="4">
        <v>0</v>
      </c>
    </row>
    <row r="655" spans="1:23" ht="11.25" customHeight="1" x14ac:dyDescent="0.25">
      <c r="A655" s="4" t="s">
        <v>28</v>
      </c>
      <c r="B655" s="4" t="s">
        <v>33</v>
      </c>
      <c r="C655" s="4" t="s">
        <v>34</v>
      </c>
      <c r="D655" s="4" t="s">
        <v>42</v>
      </c>
      <c r="E655" s="4" t="s">
        <v>25</v>
      </c>
      <c r="F655" s="4" t="s">
        <v>25</v>
      </c>
      <c r="G655" s="4" t="s">
        <v>25</v>
      </c>
      <c r="H655" s="4" t="s">
        <v>25</v>
      </c>
      <c r="I655" s="5">
        <v>43800</v>
      </c>
      <c r="J655" s="6">
        <v>11604</v>
      </c>
      <c r="K655" s="6">
        <v>11604</v>
      </c>
      <c r="L655" s="6">
        <v>0</v>
      </c>
      <c r="M655" s="6">
        <v>0</v>
      </c>
      <c r="N655" s="6">
        <v>0</v>
      </c>
      <c r="O655" s="6">
        <v>0</v>
      </c>
      <c r="P655" s="6">
        <v>46</v>
      </c>
      <c r="Q655" s="4" t="s">
        <v>26</v>
      </c>
      <c r="R655" s="4">
        <v>0</v>
      </c>
      <c r="S655" s="4" t="s">
        <v>349</v>
      </c>
      <c r="U655" s="4">
        <v>26</v>
      </c>
      <c r="V655" s="4">
        <v>0</v>
      </c>
      <c r="W655" s="4">
        <v>0</v>
      </c>
    </row>
    <row r="656" spans="1:23" ht="11.25" customHeight="1" x14ac:dyDescent="0.25">
      <c r="A656" s="4" t="s">
        <v>21</v>
      </c>
      <c r="B656" s="4" t="s">
        <v>33</v>
      </c>
      <c r="C656" s="4" t="s">
        <v>34</v>
      </c>
      <c r="D656" s="4" t="s">
        <v>42</v>
      </c>
      <c r="E656" s="4" t="s">
        <v>25</v>
      </c>
      <c r="F656" s="4" t="s">
        <v>25</v>
      </c>
      <c r="G656" s="4" t="s">
        <v>25</v>
      </c>
      <c r="H656" s="4" t="s">
        <v>25</v>
      </c>
      <c r="I656" s="5">
        <v>43831</v>
      </c>
      <c r="J656" s="6">
        <v>120702</v>
      </c>
      <c r="K656" s="6">
        <v>120702</v>
      </c>
      <c r="L656" s="6">
        <v>0</v>
      </c>
      <c r="M656" s="6">
        <v>0</v>
      </c>
      <c r="N656" s="6">
        <v>0</v>
      </c>
      <c r="O656" s="6">
        <v>0</v>
      </c>
      <c r="P656" s="6">
        <v>901</v>
      </c>
      <c r="Q656" s="4" t="s">
        <v>26</v>
      </c>
      <c r="R656" s="4">
        <v>0</v>
      </c>
      <c r="S656" s="4" t="s">
        <v>350</v>
      </c>
      <c r="U656" s="4">
        <v>26</v>
      </c>
      <c r="V656" s="4">
        <v>0</v>
      </c>
      <c r="W656" s="4">
        <v>0</v>
      </c>
    </row>
    <row r="657" spans="1:23" ht="11.25" customHeight="1" x14ac:dyDescent="0.25">
      <c r="A657" s="4" t="s">
        <v>27</v>
      </c>
      <c r="B657" s="4" t="s">
        <v>33</v>
      </c>
      <c r="C657" s="4" t="s">
        <v>34</v>
      </c>
      <c r="D657" s="4" t="s">
        <v>42</v>
      </c>
      <c r="E657" s="4" t="s">
        <v>25</v>
      </c>
      <c r="F657" s="4" t="s">
        <v>25</v>
      </c>
      <c r="G657" s="4" t="s">
        <v>25</v>
      </c>
      <c r="H657" s="4" t="s">
        <v>25</v>
      </c>
      <c r="I657" s="5">
        <v>43831</v>
      </c>
      <c r="J657" s="6">
        <v>266</v>
      </c>
      <c r="K657" s="6">
        <v>266</v>
      </c>
      <c r="L657" s="6">
        <v>0</v>
      </c>
      <c r="M657" s="6">
        <v>0</v>
      </c>
      <c r="N657" s="6">
        <v>0</v>
      </c>
      <c r="O657" s="6">
        <v>0</v>
      </c>
      <c r="P657" s="6">
        <v>3</v>
      </c>
      <c r="Q657" s="4" t="s">
        <v>26</v>
      </c>
      <c r="R657" s="4">
        <v>0</v>
      </c>
      <c r="S657" s="4" t="s">
        <v>350</v>
      </c>
      <c r="U657" s="4">
        <v>26</v>
      </c>
      <c r="V657" s="4">
        <v>0</v>
      </c>
      <c r="W657" s="4">
        <v>0</v>
      </c>
    </row>
    <row r="658" spans="1:23" ht="11.25" customHeight="1" x14ac:dyDescent="0.25">
      <c r="A658" s="4" t="s">
        <v>28</v>
      </c>
      <c r="B658" s="4" t="s">
        <v>33</v>
      </c>
      <c r="C658" s="4" t="s">
        <v>34</v>
      </c>
      <c r="D658" s="4" t="s">
        <v>42</v>
      </c>
      <c r="E658" s="4" t="s">
        <v>25</v>
      </c>
      <c r="F658" s="4" t="s">
        <v>25</v>
      </c>
      <c r="G658" s="4" t="s">
        <v>25</v>
      </c>
      <c r="H658" s="4" t="s">
        <v>25</v>
      </c>
      <c r="I658" s="5">
        <v>43831</v>
      </c>
      <c r="J658" s="6">
        <v>11654</v>
      </c>
      <c r="K658" s="6">
        <v>11654</v>
      </c>
      <c r="L658" s="6">
        <v>0</v>
      </c>
      <c r="M658" s="6">
        <v>0</v>
      </c>
      <c r="N658" s="6">
        <v>0</v>
      </c>
      <c r="O658" s="6">
        <v>0</v>
      </c>
      <c r="P658" s="6">
        <v>46</v>
      </c>
      <c r="Q658" s="4" t="s">
        <v>26</v>
      </c>
      <c r="R658" s="4">
        <v>0</v>
      </c>
      <c r="S658" s="4" t="s">
        <v>350</v>
      </c>
      <c r="U658" s="4">
        <v>26</v>
      </c>
      <c r="V658" s="4">
        <v>0</v>
      </c>
      <c r="W658" s="4">
        <v>0</v>
      </c>
    </row>
    <row r="659" spans="1:23" ht="11.25" customHeight="1" x14ac:dyDescent="0.25">
      <c r="A659" s="4" t="s">
        <v>21</v>
      </c>
      <c r="B659" s="4" t="s">
        <v>33</v>
      </c>
      <c r="C659" s="4" t="s">
        <v>34</v>
      </c>
      <c r="D659" s="4" t="s">
        <v>42</v>
      </c>
      <c r="E659" s="4" t="s">
        <v>25</v>
      </c>
      <c r="F659" s="4" t="s">
        <v>25</v>
      </c>
      <c r="G659" s="4" t="s">
        <v>25</v>
      </c>
      <c r="H659" s="4" t="s">
        <v>25</v>
      </c>
      <c r="I659" s="5">
        <v>43862</v>
      </c>
      <c r="J659" s="6">
        <v>121439</v>
      </c>
      <c r="K659" s="6">
        <v>121439</v>
      </c>
      <c r="L659" s="6">
        <v>0</v>
      </c>
      <c r="M659" s="6">
        <v>0</v>
      </c>
      <c r="N659" s="6">
        <v>0</v>
      </c>
      <c r="O659" s="6">
        <v>0</v>
      </c>
      <c r="P659" s="6">
        <v>908</v>
      </c>
      <c r="Q659" s="4" t="s">
        <v>26</v>
      </c>
      <c r="R659" s="4">
        <v>0</v>
      </c>
      <c r="S659" s="4" t="s">
        <v>351</v>
      </c>
      <c r="U659" s="4">
        <v>26</v>
      </c>
      <c r="V659" s="4">
        <v>0</v>
      </c>
      <c r="W659" s="4">
        <v>0</v>
      </c>
    </row>
    <row r="660" spans="1:23" ht="11.25" customHeight="1" x14ac:dyDescent="0.25">
      <c r="A660" s="4" t="s">
        <v>27</v>
      </c>
      <c r="B660" s="4" t="s">
        <v>33</v>
      </c>
      <c r="C660" s="4" t="s">
        <v>34</v>
      </c>
      <c r="D660" s="4" t="s">
        <v>42</v>
      </c>
      <c r="E660" s="4" t="s">
        <v>25</v>
      </c>
      <c r="F660" s="4" t="s">
        <v>25</v>
      </c>
      <c r="G660" s="4" t="s">
        <v>25</v>
      </c>
      <c r="H660" s="4" t="s">
        <v>25</v>
      </c>
      <c r="I660" s="5">
        <v>43862</v>
      </c>
      <c r="J660" s="6">
        <v>370</v>
      </c>
      <c r="K660" s="6">
        <v>370</v>
      </c>
      <c r="L660" s="6">
        <v>0</v>
      </c>
      <c r="M660" s="6">
        <v>0</v>
      </c>
      <c r="N660" s="6">
        <v>0</v>
      </c>
      <c r="O660" s="6">
        <v>0</v>
      </c>
      <c r="P660" s="6">
        <v>3</v>
      </c>
      <c r="Q660" s="4" t="s">
        <v>26</v>
      </c>
      <c r="R660" s="4">
        <v>0</v>
      </c>
      <c r="S660" s="4" t="s">
        <v>351</v>
      </c>
      <c r="U660" s="4">
        <v>26</v>
      </c>
      <c r="V660" s="4">
        <v>0</v>
      </c>
      <c r="W660" s="4">
        <v>0</v>
      </c>
    </row>
    <row r="661" spans="1:23" ht="11.25" customHeight="1" x14ac:dyDescent="0.25">
      <c r="A661" s="4" t="s">
        <v>28</v>
      </c>
      <c r="B661" s="4" t="s">
        <v>33</v>
      </c>
      <c r="C661" s="4" t="s">
        <v>34</v>
      </c>
      <c r="D661" s="4" t="s">
        <v>42</v>
      </c>
      <c r="E661" s="4" t="s">
        <v>25</v>
      </c>
      <c r="F661" s="4" t="s">
        <v>25</v>
      </c>
      <c r="G661" s="4" t="s">
        <v>25</v>
      </c>
      <c r="H661" s="4" t="s">
        <v>25</v>
      </c>
      <c r="I661" s="5">
        <v>43862</v>
      </c>
      <c r="J661" s="6">
        <v>11754</v>
      </c>
      <c r="K661" s="6">
        <v>11754</v>
      </c>
      <c r="L661" s="6">
        <v>0</v>
      </c>
      <c r="M661" s="6">
        <v>0</v>
      </c>
      <c r="N661" s="6">
        <v>0</v>
      </c>
      <c r="O661" s="6">
        <v>0</v>
      </c>
      <c r="P661" s="6">
        <v>47</v>
      </c>
      <c r="Q661" s="4" t="s">
        <v>26</v>
      </c>
      <c r="R661" s="4">
        <v>0</v>
      </c>
      <c r="S661" s="4" t="s">
        <v>351</v>
      </c>
      <c r="U661" s="4">
        <v>26</v>
      </c>
      <c r="V661" s="4">
        <v>0</v>
      </c>
      <c r="W661" s="4">
        <v>0</v>
      </c>
    </row>
    <row r="662" spans="1:23" ht="11.25" customHeight="1" x14ac:dyDescent="0.25">
      <c r="A662" s="4" t="s">
        <v>21</v>
      </c>
      <c r="B662" s="4" t="s">
        <v>33</v>
      </c>
      <c r="C662" s="4" t="s">
        <v>34</v>
      </c>
      <c r="D662" s="4" t="s">
        <v>42</v>
      </c>
      <c r="E662" s="4" t="s">
        <v>25</v>
      </c>
      <c r="F662" s="4" t="s">
        <v>25</v>
      </c>
      <c r="G662" s="4" t="s">
        <v>25</v>
      </c>
      <c r="H662" s="4" t="s">
        <v>25</v>
      </c>
      <c r="I662" s="5">
        <v>43891</v>
      </c>
      <c r="J662" s="6">
        <v>117567</v>
      </c>
      <c r="K662" s="6">
        <v>117567</v>
      </c>
      <c r="L662" s="6">
        <v>0</v>
      </c>
      <c r="M662" s="6">
        <v>0</v>
      </c>
      <c r="N662" s="6">
        <v>0</v>
      </c>
      <c r="O662" s="6">
        <v>0</v>
      </c>
      <c r="P662" s="6">
        <v>909</v>
      </c>
      <c r="Q662" s="4" t="s">
        <v>26</v>
      </c>
      <c r="R662" s="4">
        <v>0</v>
      </c>
      <c r="S662" s="4" t="s">
        <v>352</v>
      </c>
      <c r="U662" s="4">
        <v>26</v>
      </c>
      <c r="V662" s="4">
        <v>0</v>
      </c>
      <c r="W662" s="4">
        <v>0</v>
      </c>
    </row>
    <row r="663" spans="1:23" ht="11.25" customHeight="1" x14ac:dyDescent="0.25">
      <c r="A663" s="4" t="s">
        <v>27</v>
      </c>
      <c r="B663" s="4" t="s">
        <v>33</v>
      </c>
      <c r="C663" s="4" t="s">
        <v>34</v>
      </c>
      <c r="D663" s="4" t="s">
        <v>42</v>
      </c>
      <c r="E663" s="4" t="s">
        <v>25</v>
      </c>
      <c r="F663" s="4" t="s">
        <v>25</v>
      </c>
      <c r="G663" s="4" t="s">
        <v>25</v>
      </c>
      <c r="H663" s="4" t="s">
        <v>25</v>
      </c>
      <c r="I663" s="5">
        <v>43891</v>
      </c>
      <c r="J663" s="6">
        <v>2315</v>
      </c>
      <c r="K663" s="6">
        <v>2315</v>
      </c>
      <c r="L663" s="6">
        <v>0</v>
      </c>
      <c r="M663" s="6">
        <v>0</v>
      </c>
      <c r="N663" s="6">
        <v>0</v>
      </c>
      <c r="O663" s="6">
        <v>0</v>
      </c>
      <c r="P663" s="6">
        <v>4</v>
      </c>
      <c r="Q663" s="4" t="s">
        <v>26</v>
      </c>
      <c r="R663" s="4">
        <v>0</v>
      </c>
      <c r="S663" s="4" t="s">
        <v>352</v>
      </c>
      <c r="U663" s="4">
        <v>26</v>
      </c>
      <c r="V663" s="4">
        <v>0</v>
      </c>
      <c r="W663" s="4">
        <v>0</v>
      </c>
    </row>
    <row r="664" spans="1:23" ht="11.25" customHeight="1" x14ac:dyDescent="0.25">
      <c r="A664" s="4" t="s">
        <v>28</v>
      </c>
      <c r="B664" s="4" t="s">
        <v>33</v>
      </c>
      <c r="C664" s="4" t="s">
        <v>34</v>
      </c>
      <c r="D664" s="4" t="s">
        <v>42</v>
      </c>
      <c r="E664" s="4" t="s">
        <v>25</v>
      </c>
      <c r="F664" s="4" t="s">
        <v>25</v>
      </c>
      <c r="G664" s="4" t="s">
        <v>25</v>
      </c>
      <c r="H664" s="4" t="s">
        <v>25</v>
      </c>
      <c r="I664" s="5">
        <v>43891</v>
      </c>
      <c r="J664" s="6">
        <v>12978</v>
      </c>
      <c r="K664" s="6">
        <v>12978</v>
      </c>
      <c r="L664" s="6">
        <v>0</v>
      </c>
      <c r="M664" s="6">
        <v>0</v>
      </c>
      <c r="N664" s="6">
        <v>0</v>
      </c>
      <c r="O664" s="6">
        <v>0</v>
      </c>
      <c r="P664" s="6">
        <v>49</v>
      </c>
      <c r="Q664" s="4" t="s">
        <v>26</v>
      </c>
      <c r="R664" s="4">
        <v>0</v>
      </c>
      <c r="S664" s="4" t="s">
        <v>352</v>
      </c>
      <c r="U664" s="4">
        <v>26</v>
      </c>
      <c r="V664" s="4">
        <v>0</v>
      </c>
      <c r="W664" s="4">
        <v>0</v>
      </c>
    </row>
    <row r="665" spans="1:23" ht="11.25" customHeight="1" x14ac:dyDescent="0.25">
      <c r="A665" s="4" t="s">
        <v>21</v>
      </c>
      <c r="B665" s="4" t="s">
        <v>33</v>
      </c>
      <c r="C665" s="4" t="s">
        <v>34</v>
      </c>
      <c r="D665" s="4" t="s">
        <v>42</v>
      </c>
      <c r="E665" s="4" t="s">
        <v>25</v>
      </c>
      <c r="F665" s="4" t="s">
        <v>25</v>
      </c>
      <c r="G665" s="4" t="s">
        <v>25</v>
      </c>
      <c r="H665" s="4" t="s">
        <v>25</v>
      </c>
      <c r="I665" s="5">
        <v>43922</v>
      </c>
      <c r="J665" s="6">
        <v>120048</v>
      </c>
      <c r="K665" s="6">
        <v>120048</v>
      </c>
      <c r="L665" s="6">
        <v>0</v>
      </c>
      <c r="M665" s="6">
        <v>0</v>
      </c>
      <c r="N665" s="6">
        <v>0</v>
      </c>
      <c r="O665" s="6">
        <v>0</v>
      </c>
      <c r="P665" s="6">
        <v>912</v>
      </c>
      <c r="Q665" s="4" t="s">
        <v>26</v>
      </c>
      <c r="R665" s="4">
        <v>0</v>
      </c>
      <c r="S665" s="4" t="s">
        <v>353</v>
      </c>
      <c r="U665" s="4">
        <v>26</v>
      </c>
      <c r="V665" s="4">
        <v>0</v>
      </c>
      <c r="W665" s="4">
        <v>0</v>
      </c>
    </row>
    <row r="666" spans="1:23" ht="11.25" customHeight="1" x14ac:dyDescent="0.25">
      <c r="A666" s="4" t="s">
        <v>27</v>
      </c>
      <c r="B666" s="4" t="s">
        <v>33</v>
      </c>
      <c r="C666" s="4" t="s">
        <v>34</v>
      </c>
      <c r="D666" s="4" t="s">
        <v>42</v>
      </c>
      <c r="E666" s="4" t="s">
        <v>25</v>
      </c>
      <c r="F666" s="4" t="s">
        <v>25</v>
      </c>
      <c r="G666" s="4" t="s">
        <v>25</v>
      </c>
      <c r="H666" s="4" t="s">
        <v>25</v>
      </c>
      <c r="I666" s="5">
        <v>43922</v>
      </c>
      <c r="J666" s="6">
        <v>170</v>
      </c>
      <c r="K666" s="6">
        <v>170</v>
      </c>
      <c r="L666" s="6">
        <v>0</v>
      </c>
      <c r="M666" s="6">
        <v>0</v>
      </c>
      <c r="N666" s="6">
        <v>0</v>
      </c>
      <c r="O666" s="6">
        <v>0</v>
      </c>
      <c r="P666" s="6">
        <v>1</v>
      </c>
      <c r="Q666" s="4" t="s">
        <v>26</v>
      </c>
      <c r="R666" s="4">
        <v>0</v>
      </c>
      <c r="S666" s="4" t="s">
        <v>353</v>
      </c>
      <c r="U666" s="4">
        <v>26</v>
      </c>
      <c r="V666" s="4">
        <v>0</v>
      </c>
      <c r="W666" s="4">
        <v>0</v>
      </c>
    </row>
    <row r="667" spans="1:23" ht="11.25" customHeight="1" x14ac:dyDescent="0.25">
      <c r="A667" s="4" t="s">
        <v>28</v>
      </c>
      <c r="B667" s="4" t="s">
        <v>33</v>
      </c>
      <c r="C667" s="4" t="s">
        <v>34</v>
      </c>
      <c r="D667" s="4" t="s">
        <v>42</v>
      </c>
      <c r="E667" s="4" t="s">
        <v>25</v>
      </c>
      <c r="F667" s="4" t="s">
        <v>25</v>
      </c>
      <c r="G667" s="4" t="s">
        <v>25</v>
      </c>
      <c r="H667" s="4" t="s">
        <v>25</v>
      </c>
      <c r="I667" s="5">
        <v>43922</v>
      </c>
      <c r="J667" s="6">
        <v>13688</v>
      </c>
      <c r="K667" s="6">
        <v>13688</v>
      </c>
      <c r="L667" s="6">
        <v>0</v>
      </c>
      <c r="M667" s="6">
        <v>0</v>
      </c>
      <c r="N667" s="6">
        <v>0</v>
      </c>
      <c r="O667" s="6">
        <v>0</v>
      </c>
      <c r="P667" s="6">
        <v>51</v>
      </c>
      <c r="Q667" s="4" t="s">
        <v>26</v>
      </c>
      <c r="R667" s="4">
        <v>0</v>
      </c>
      <c r="S667" s="4" t="s">
        <v>353</v>
      </c>
      <c r="U667" s="4">
        <v>26</v>
      </c>
      <c r="V667" s="4">
        <v>0</v>
      </c>
      <c r="W667" s="4">
        <v>0</v>
      </c>
    </row>
    <row r="668" spans="1:23" ht="11.25" customHeight="1" x14ac:dyDescent="0.25">
      <c r="A668" s="4" t="s">
        <v>21</v>
      </c>
      <c r="B668" s="4" t="s">
        <v>33</v>
      </c>
      <c r="C668" s="4" t="s">
        <v>34</v>
      </c>
      <c r="D668" s="4" t="s">
        <v>42</v>
      </c>
      <c r="E668" s="4" t="s">
        <v>25</v>
      </c>
      <c r="F668" s="4" t="s">
        <v>25</v>
      </c>
      <c r="G668" s="4" t="s">
        <v>25</v>
      </c>
      <c r="H668" s="4" t="s">
        <v>25</v>
      </c>
      <c r="I668" s="5">
        <v>43952</v>
      </c>
      <c r="J668" s="6">
        <v>116145</v>
      </c>
      <c r="K668" s="6">
        <v>116145</v>
      </c>
      <c r="L668" s="6">
        <v>0</v>
      </c>
      <c r="M668" s="6">
        <v>0</v>
      </c>
      <c r="N668" s="6">
        <v>0</v>
      </c>
      <c r="O668" s="6">
        <v>0</v>
      </c>
      <c r="P668" s="6">
        <v>899</v>
      </c>
      <c r="Q668" s="4" t="s">
        <v>26</v>
      </c>
      <c r="R668" s="4">
        <v>0</v>
      </c>
      <c r="S668" s="4" t="s">
        <v>354</v>
      </c>
      <c r="U668" s="4">
        <v>26</v>
      </c>
      <c r="V668" s="4">
        <v>0</v>
      </c>
      <c r="W668" s="4">
        <v>0</v>
      </c>
    </row>
    <row r="669" spans="1:23" ht="11.25" customHeight="1" x14ac:dyDescent="0.25">
      <c r="A669" s="4" t="s">
        <v>27</v>
      </c>
      <c r="B669" s="4" t="s">
        <v>33</v>
      </c>
      <c r="C669" s="4" t="s">
        <v>34</v>
      </c>
      <c r="D669" s="4" t="s">
        <v>42</v>
      </c>
      <c r="E669" s="4" t="s">
        <v>25</v>
      </c>
      <c r="F669" s="4" t="s">
        <v>25</v>
      </c>
      <c r="G669" s="4" t="s">
        <v>25</v>
      </c>
      <c r="H669" s="4" t="s">
        <v>25</v>
      </c>
      <c r="I669" s="5">
        <v>43952</v>
      </c>
      <c r="J669" s="6">
        <v>1310</v>
      </c>
      <c r="K669" s="6">
        <v>1310</v>
      </c>
      <c r="L669" s="6">
        <v>0</v>
      </c>
      <c r="M669" s="6">
        <v>0</v>
      </c>
      <c r="N669" s="6">
        <v>0</v>
      </c>
      <c r="O669" s="6">
        <v>0</v>
      </c>
      <c r="P669" s="6">
        <v>3</v>
      </c>
      <c r="Q669" s="4" t="s">
        <v>26</v>
      </c>
      <c r="R669" s="4">
        <v>0</v>
      </c>
      <c r="S669" s="4" t="s">
        <v>354</v>
      </c>
      <c r="U669" s="4">
        <v>26</v>
      </c>
      <c r="V669" s="4">
        <v>0</v>
      </c>
      <c r="W669" s="4">
        <v>0</v>
      </c>
    </row>
    <row r="670" spans="1:23" ht="11.25" customHeight="1" x14ac:dyDescent="0.25">
      <c r="A670" s="4" t="s">
        <v>28</v>
      </c>
      <c r="B670" s="4" t="s">
        <v>33</v>
      </c>
      <c r="C670" s="4" t="s">
        <v>34</v>
      </c>
      <c r="D670" s="4" t="s">
        <v>42</v>
      </c>
      <c r="E670" s="4" t="s">
        <v>25</v>
      </c>
      <c r="F670" s="4" t="s">
        <v>25</v>
      </c>
      <c r="G670" s="4" t="s">
        <v>25</v>
      </c>
      <c r="H670" s="4" t="s">
        <v>25</v>
      </c>
      <c r="I670" s="5">
        <v>43952</v>
      </c>
      <c r="J670" s="6">
        <v>15613</v>
      </c>
      <c r="K670" s="6">
        <v>15613</v>
      </c>
      <c r="L670" s="6">
        <v>0</v>
      </c>
      <c r="M670" s="6">
        <v>0</v>
      </c>
      <c r="N670" s="6">
        <v>0</v>
      </c>
      <c r="O670" s="6">
        <v>0</v>
      </c>
      <c r="P670" s="6">
        <v>54</v>
      </c>
      <c r="Q670" s="4" t="s">
        <v>26</v>
      </c>
      <c r="R670" s="4">
        <v>0</v>
      </c>
      <c r="S670" s="4" t="s">
        <v>354</v>
      </c>
      <c r="U670" s="4">
        <v>26</v>
      </c>
      <c r="V670" s="4">
        <v>0</v>
      </c>
      <c r="W670" s="4">
        <v>0</v>
      </c>
    </row>
    <row r="671" spans="1:23" ht="11.25" customHeight="1" x14ac:dyDescent="0.25">
      <c r="A671" s="4" t="s">
        <v>21</v>
      </c>
      <c r="B671" s="4" t="s">
        <v>33</v>
      </c>
      <c r="C671" s="4" t="s">
        <v>34</v>
      </c>
      <c r="D671" s="4" t="s">
        <v>42</v>
      </c>
      <c r="E671" s="4" t="s">
        <v>25</v>
      </c>
      <c r="F671" s="4" t="s">
        <v>25</v>
      </c>
      <c r="G671" s="4" t="s">
        <v>25</v>
      </c>
      <c r="H671" s="4" t="s">
        <v>25</v>
      </c>
      <c r="I671" s="5">
        <v>43983</v>
      </c>
      <c r="J671" s="6">
        <v>114549</v>
      </c>
      <c r="K671" s="6">
        <v>114549</v>
      </c>
      <c r="L671" s="6">
        <v>0</v>
      </c>
      <c r="M671" s="6">
        <v>0</v>
      </c>
      <c r="N671" s="6">
        <v>0</v>
      </c>
      <c r="O671" s="6">
        <v>0</v>
      </c>
      <c r="P671" s="6">
        <v>906</v>
      </c>
      <c r="Q671" s="4" t="s">
        <v>26</v>
      </c>
      <c r="R671" s="4">
        <v>0</v>
      </c>
      <c r="S671" s="4" t="s">
        <v>355</v>
      </c>
      <c r="U671" s="4">
        <v>26</v>
      </c>
      <c r="V671" s="4">
        <v>0</v>
      </c>
      <c r="W671" s="4">
        <v>0</v>
      </c>
    </row>
    <row r="672" spans="1:23" ht="11.25" customHeight="1" x14ac:dyDescent="0.25">
      <c r="A672" s="4" t="s">
        <v>27</v>
      </c>
      <c r="B672" s="4" t="s">
        <v>33</v>
      </c>
      <c r="C672" s="4" t="s">
        <v>34</v>
      </c>
      <c r="D672" s="4" t="s">
        <v>42</v>
      </c>
      <c r="E672" s="4" t="s">
        <v>25</v>
      </c>
      <c r="F672" s="4" t="s">
        <v>25</v>
      </c>
      <c r="G672" s="4" t="s">
        <v>25</v>
      </c>
      <c r="H672" s="4" t="s">
        <v>25</v>
      </c>
      <c r="I672" s="5">
        <v>43983</v>
      </c>
      <c r="J672" s="6">
        <v>1140</v>
      </c>
      <c r="K672" s="6">
        <v>1140</v>
      </c>
      <c r="L672" s="6">
        <v>0</v>
      </c>
      <c r="M672" s="6">
        <v>0</v>
      </c>
      <c r="N672" s="6">
        <v>0</v>
      </c>
      <c r="O672" s="6">
        <v>0</v>
      </c>
      <c r="P672" s="6">
        <v>4</v>
      </c>
      <c r="Q672" s="4" t="s">
        <v>26</v>
      </c>
      <c r="R672" s="4">
        <v>0</v>
      </c>
      <c r="S672" s="4" t="s">
        <v>355</v>
      </c>
      <c r="U672" s="4">
        <v>26</v>
      </c>
      <c r="V672" s="4">
        <v>0</v>
      </c>
      <c r="W672" s="4">
        <v>0</v>
      </c>
    </row>
    <row r="673" spans="1:23" ht="11.25" customHeight="1" x14ac:dyDescent="0.25">
      <c r="A673" s="4" t="s">
        <v>28</v>
      </c>
      <c r="B673" s="4" t="s">
        <v>33</v>
      </c>
      <c r="C673" s="4" t="s">
        <v>34</v>
      </c>
      <c r="D673" s="4" t="s">
        <v>42</v>
      </c>
      <c r="E673" s="4" t="s">
        <v>25</v>
      </c>
      <c r="F673" s="4" t="s">
        <v>25</v>
      </c>
      <c r="G673" s="4" t="s">
        <v>25</v>
      </c>
      <c r="H673" s="4" t="s">
        <v>25</v>
      </c>
      <c r="I673" s="5">
        <v>43983</v>
      </c>
      <c r="J673" s="6">
        <v>6530</v>
      </c>
      <c r="K673" s="6">
        <v>6530</v>
      </c>
      <c r="L673" s="6">
        <v>0</v>
      </c>
      <c r="M673" s="6">
        <v>0</v>
      </c>
      <c r="N673" s="6">
        <v>0</v>
      </c>
      <c r="O673" s="6">
        <v>0</v>
      </c>
      <c r="P673" s="6">
        <v>29</v>
      </c>
      <c r="Q673" s="4" t="s">
        <v>26</v>
      </c>
      <c r="R673" s="4">
        <v>0</v>
      </c>
      <c r="S673" s="4" t="s">
        <v>355</v>
      </c>
      <c r="U673" s="4">
        <v>26</v>
      </c>
      <c r="V673" s="4">
        <v>0</v>
      </c>
      <c r="W673" s="4">
        <v>0</v>
      </c>
    </row>
    <row r="674" spans="1:23" ht="11.25" customHeight="1" x14ac:dyDescent="0.25">
      <c r="A674" s="4" t="s">
        <v>21</v>
      </c>
      <c r="B674" s="4" t="s">
        <v>33</v>
      </c>
      <c r="C674" s="4" t="s">
        <v>34</v>
      </c>
      <c r="D674" s="4" t="s">
        <v>42</v>
      </c>
      <c r="E674" s="4" t="s">
        <v>25</v>
      </c>
      <c r="F674" s="4" t="s">
        <v>25</v>
      </c>
      <c r="G674" s="4" t="s">
        <v>25</v>
      </c>
      <c r="H674" s="4" t="s">
        <v>25</v>
      </c>
      <c r="I674" s="5">
        <v>44013</v>
      </c>
      <c r="J674" s="6">
        <v>119745</v>
      </c>
      <c r="K674" s="6">
        <v>119745</v>
      </c>
      <c r="L674" s="6">
        <v>0</v>
      </c>
      <c r="M674" s="6">
        <v>0</v>
      </c>
      <c r="N674" s="6">
        <v>0</v>
      </c>
      <c r="O674" s="6">
        <v>0</v>
      </c>
      <c r="P674" s="6">
        <v>899</v>
      </c>
      <c r="Q674" s="4" t="s">
        <v>26</v>
      </c>
      <c r="R674" s="4">
        <v>0</v>
      </c>
      <c r="S674" s="4" t="s">
        <v>356</v>
      </c>
      <c r="U674" s="4">
        <v>26</v>
      </c>
      <c r="V674" s="4">
        <v>0</v>
      </c>
      <c r="W674" s="4">
        <v>0</v>
      </c>
    </row>
    <row r="675" spans="1:23" ht="11.25" customHeight="1" x14ac:dyDescent="0.25">
      <c r="A675" s="4" t="s">
        <v>27</v>
      </c>
      <c r="B675" s="4" t="s">
        <v>33</v>
      </c>
      <c r="C675" s="4" t="s">
        <v>34</v>
      </c>
      <c r="D675" s="4" t="s">
        <v>42</v>
      </c>
      <c r="E675" s="4" t="s">
        <v>25</v>
      </c>
      <c r="F675" s="4" t="s">
        <v>25</v>
      </c>
      <c r="G675" s="4" t="s">
        <v>25</v>
      </c>
      <c r="H675" s="4" t="s">
        <v>25</v>
      </c>
      <c r="I675" s="5">
        <v>44013</v>
      </c>
      <c r="J675" s="6">
        <v>324</v>
      </c>
      <c r="K675" s="6">
        <v>324</v>
      </c>
      <c r="L675" s="6">
        <v>0</v>
      </c>
      <c r="M675" s="6">
        <v>0</v>
      </c>
      <c r="N675" s="6">
        <v>0</v>
      </c>
      <c r="O675" s="6">
        <v>0</v>
      </c>
      <c r="P675" s="6">
        <v>3</v>
      </c>
      <c r="Q675" s="4" t="s">
        <v>26</v>
      </c>
      <c r="R675" s="4">
        <v>0</v>
      </c>
      <c r="S675" s="4" t="s">
        <v>356</v>
      </c>
      <c r="U675" s="4">
        <v>26</v>
      </c>
      <c r="V675" s="4">
        <v>0</v>
      </c>
      <c r="W675" s="4">
        <v>0</v>
      </c>
    </row>
    <row r="676" spans="1:23" ht="11.25" customHeight="1" x14ac:dyDescent="0.25">
      <c r="A676" s="4" t="s">
        <v>28</v>
      </c>
      <c r="B676" s="4" t="s">
        <v>33</v>
      </c>
      <c r="C676" s="4" t="s">
        <v>34</v>
      </c>
      <c r="D676" s="4" t="s">
        <v>42</v>
      </c>
      <c r="E676" s="4" t="s">
        <v>25</v>
      </c>
      <c r="F676" s="4" t="s">
        <v>25</v>
      </c>
      <c r="G676" s="4" t="s">
        <v>25</v>
      </c>
      <c r="H676" s="4" t="s">
        <v>25</v>
      </c>
      <c r="I676" s="5">
        <v>44013</v>
      </c>
      <c r="J676" s="6">
        <v>6794</v>
      </c>
      <c r="K676" s="6">
        <v>6794</v>
      </c>
      <c r="L676" s="6">
        <v>0</v>
      </c>
      <c r="M676" s="6">
        <v>0</v>
      </c>
      <c r="N676" s="6">
        <v>0</v>
      </c>
      <c r="O676" s="6">
        <v>0</v>
      </c>
      <c r="P676" s="6">
        <v>29</v>
      </c>
      <c r="Q676" s="4" t="s">
        <v>26</v>
      </c>
      <c r="R676" s="4">
        <v>0</v>
      </c>
      <c r="S676" s="4" t="s">
        <v>356</v>
      </c>
      <c r="U676" s="4">
        <v>26</v>
      </c>
      <c r="V676" s="4">
        <v>0</v>
      </c>
      <c r="W676" s="4">
        <v>0</v>
      </c>
    </row>
    <row r="677" spans="1:23" ht="11.25" customHeight="1" x14ac:dyDescent="0.25">
      <c r="A677" s="4" t="s">
        <v>21</v>
      </c>
      <c r="B677" s="4" t="s">
        <v>33</v>
      </c>
      <c r="C677" s="4" t="s">
        <v>34</v>
      </c>
      <c r="D677" s="4" t="s">
        <v>42</v>
      </c>
      <c r="E677" s="4" t="s">
        <v>25</v>
      </c>
      <c r="F677" s="4" t="s">
        <v>25</v>
      </c>
      <c r="G677" s="4" t="s">
        <v>25</v>
      </c>
      <c r="H677" s="4" t="s">
        <v>25</v>
      </c>
      <c r="I677" s="5">
        <v>44044</v>
      </c>
      <c r="J677" s="6">
        <v>115872</v>
      </c>
      <c r="K677" s="6">
        <v>115872</v>
      </c>
      <c r="L677" s="6">
        <v>0</v>
      </c>
      <c r="M677" s="6">
        <v>0</v>
      </c>
      <c r="N677" s="6">
        <v>0</v>
      </c>
      <c r="O677" s="6">
        <v>0</v>
      </c>
      <c r="P677" s="6">
        <v>915</v>
      </c>
      <c r="Q677" s="4" t="s">
        <v>26</v>
      </c>
      <c r="R677" s="4">
        <v>0</v>
      </c>
      <c r="S677" s="4" t="s">
        <v>357</v>
      </c>
      <c r="U677" s="4">
        <v>26</v>
      </c>
      <c r="V677" s="4">
        <v>0</v>
      </c>
      <c r="W677" s="4">
        <v>0</v>
      </c>
    </row>
    <row r="678" spans="1:23" ht="11.25" customHeight="1" x14ac:dyDescent="0.25">
      <c r="A678" s="4" t="s">
        <v>27</v>
      </c>
      <c r="B678" s="4" t="s">
        <v>33</v>
      </c>
      <c r="C678" s="4" t="s">
        <v>34</v>
      </c>
      <c r="D678" s="4" t="s">
        <v>42</v>
      </c>
      <c r="E678" s="4" t="s">
        <v>25</v>
      </c>
      <c r="F678" s="4" t="s">
        <v>25</v>
      </c>
      <c r="G678" s="4" t="s">
        <v>25</v>
      </c>
      <c r="H678" s="4" t="s">
        <v>25</v>
      </c>
      <c r="I678" s="5">
        <v>44044</v>
      </c>
      <c r="J678" s="6">
        <v>335</v>
      </c>
      <c r="K678" s="6">
        <v>335</v>
      </c>
      <c r="L678" s="6">
        <v>0</v>
      </c>
      <c r="M678" s="6">
        <v>0</v>
      </c>
      <c r="N678" s="6">
        <v>0</v>
      </c>
      <c r="O678" s="6">
        <v>0</v>
      </c>
      <c r="P678" s="6">
        <v>3</v>
      </c>
      <c r="Q678" s="4" t="s">
        <v>26</v>
      </c>
      <c r="R678" s="4">
        <v>0</v>
      </c>
      <c r="S678" s="4" t="s">
        <v>357</v>
      </c>
      <c r="U678" s="4">
        <v>26</v>
      </c>
      <c r="V678" s="4">
        <v>0</v>
      </c>
      <c r="W678" s="4">
        <v>0</v>
      </c>
    </row>
    <row r="679" spans="1:23" ht="11.25" customHeight="1" x14ac:dyDescent="0.25">
      <c r="A679" s="4" t="s">
        <v>28</v>
      </c>
      <c r="B679" s="4" t="s">
        <v>33</v>
      </c>
      <c r="C679" s="4" t="s">
        <v>34</v>
      </c>
      <c r="D679" s="4" t="s">
        <v>42</v>
      </c>
      <c r="E679" s="4" t="s">
        <v>25</v>
      </c>
      <c r="F679" s="4" t="s">
        <v>25</v>
      </c>
      <c r="G679" s="4" t="s">
        <v>25</v>
      </c>
      <c r="H679" s="4" t="s">
        <v>25</v>
      </c>
      <c r="I679" s="5">
        <v>44044</v>
      </c>
      <c r="J679" s="6">
        <v>19642</v>
      </c>
      <c r="K679" s="6">
        <v>19642</v>
      </c>
      <c r="L679" s="6">
        <v>0</v>
      </c>
      <c r="M679" s="6">
        <v>0</v>
      </c>
      <c r="N679" s="6">
        <v>0</v>
      </c>
      <c r="O679" s="6">
        <v>0</v>
      </c>
      <c r="P679" s="6">
        <v>61</v>
      </c>
      <c r="Q679" s="4" t="s">
        <v>26</v>
      </c>
      <c r="R679" s="4">
        <v>0</v>
      </c>
      <c r="S679" s="4" t="s">
        <v>357</v>
      </c>
      <c r="U679" s="4">
        <v>26</v>
      </c>
      <c r="V679" s="4">
        <v>0</v>
      </c>
      <c r="W679" s="4">
        <v>0</v>
      </c>
    </row>
    <row r="680" spans="1:23" ht="11.25" customHeight="1" x14ac:dyDescent="0.25">
      <c r="A680" s="4" t="s">
        <v>59</v>
      </c>
      <c r="B680" s="4" t="s">
        <v>33</v>
      </c>
      <c r="C680" s="4" t="s">
        <v>34</v>
      </c>
      <c r="D680" s="4" t="s">
        <v>42</v>
      </c>
      <c r="E680" s="4" t="s">
        <v>25</v>
      </c>
      <c r="F680" s="4" t="s">
        <v>25</v>
      </c>
      <c r="G680" s="4" t="s">
        <v>25</v>
      </c>
      <c r="H680" s="4" t="s">
        <v>25</v>
      </c>
      <c r="I680" s="5">
        <v>44075</v>
      </c>
      <c r="J680" s="6">
        <v>115872</v>
      </c>
      <c r="K680" s="6">
        <v>115872</v>
      </c>
      <c r="L680" s="6">
        <v>0</v>
      </c>
      <c r="M680" s="6">
        <v>0</v>
      </c>
      <c r="N680" s="6">
        <v>0</v>
      </c>
      <c r="O680" s="6">
        <v>0</v>
      </c>
      <c r="P680" s="6">
        <v>915</v>
      </c>
      <c r="Q680" s="4" t="s">
        <v>26</v>
      </c>
      <c r="R680" s="4">
        <v>0</v>
      </c>
      <c r="S680" s="4" t="s">
        <v>358</v>
      </c>
      <c r="U680" s="4">
        <v>26</v>
      </c>
      <c r="V680" s="4">
        <v>0</v>
      </c>
      <c r="W680" s="4">
        <v>0</v>
      </c>
    </row>
    <row r="681" spans="1:23" ht="11.25" customHeight="1" x14ac:dyDescent="0.25">
      <c r="A681" s="4" t="s">
        <v>59</v>
      </c>
      <c r="B681" s="4" t="s">
        <v>33</v>
      </c>
      <c r="C681" s="4" t="s">
        <v>34</v>
      </c>
      <c r="D681" s="4" t="s">
        <v>42</v>
      </c>
      <c r="E681" s="4" t="s">
        <v>25</v>
      </c>
      <c r="F681" s="4" t="s">
        <v>25</v>
      </c>
      <c r="G681" s="4" t="s">
        <v>25</v>
      </c>
      <c r="H681" s="4" t="s">
        <v>25</v>
      </c>
      <c r="I681" s="5">
        <v>44075</v>
      </c>
      <c r="J681" s="6">
        <v>335</v>
      </c>
      <c r="K681" s="6">
        <v>335</v>
      </c>
      <c r="L681" s="6">
        <v>0</v>
      </c>
      <c r="M681" s="6">
        <v>0</v>
      </c>
      <c r="N681" s="6">
        <v>0</v>
      </c>
      <c r="O681" s="6">
        <v>0</v>
      </c>
      <c r="P681" s="6">
        <v>3</v>
      </c>
      <c r="Q681" s="4" t="s">
        <v>26</v>
      </c>
      <c r="R681" s="4">
        <v>0</v>
      </c>
      <c r="S681" s="4" t="s">
        <v>358</v>
      </c>
      <c r="U681" s="4">
        <v>26</v>
      </c>
      <c r="V681" s="4">
        <v>0</v>
      </c>
      <c r="W681" s="4">
        <v>0</v>
      </c>
    </row>
    <row r="682" spans="1:23" ht="11.25" customHeight="1" x14ac:dyDescent="0.25">
      <c r="A682" s="4" t="s">
        <v>59</v>
      </c>
      <c r="B682" s="4" t="s">
        <v>33</v>
      </c>
      <c r="C682" s="4" t="s">
        <v>34</v>
      </c>
      <c r="D682" s="4" t="s">
        <v>42</v>
      </c>
      <c r="E682" s="4" t="s">
        <v>25</v>
      </c>
      <c r="F682" s="4" t="s">
        <v>25</v>
      </c>
      <c r="G682" s="4" t="s">
        <v>25</v>
      </c>
      <c r="H682" s="4" t="s">
        <v>25</v>
      </c>
      <c r="I682" s="5">
        <v>44075</v>
      </c>
      <c r="J682" s="6">
        <v>19642</v>
      </c>
      <c r="K682" s="6">
        <v>19642</v>
      </c>
      <c r="L682" s="6">
        <v>0</v>
      </c>
      <c r="M682" s="6">
        <v>0</v>
      </c>
      <c r="N682" s="6">
        <v>0</v>
      </c>
      <c r="O682" s="6">
        <v>0</v>
      </c>
      <c r="P682" s="6">
        <v>61</v>
      </c>
      <c r="Q682" s="4" t="s">
        <v>26</v>
      </c>
      <c r="R682" s="4">
        <v>0</v>
      </c>
      <c r="S682" s="4" t="s">
        <v>358</v>
      </c>
      <c r="U682" s="4">
        <v>26</v>
      </c>
      <c r="V682" s="4">
        <v>0</v>
      </c>
      <c r="W682" s="4">
        <v>0</v>
      </c>
    </row>
    <row r="683" spans="1:23" ht="11.25" customHeight="1" x14ac:dyDescent="0.25">
      <c r="A683" s="4" t="s">
        <v>21</v>
      </c>
      <c r="B683" s="4" t="s">
        <v>33</v>
      </c>
      <c r="C683" s="4" t="s">
        <v>34</v>
      </c>
      <c r="D683" s="4" t="s">
        <v>42</v>
      </c>
      <c r="E683" s="4" t="s">
        <v>25</v>
      </c>
      <c r="F683" s="4" t="s">
        <v>25</v>
      </c>
      <c r="G683" s="4" t="s">
        <v>25</v>
      </c>
      <c r="H683" s="4" t="s">
        <v>35</v>
      </c>
      <c r="I683" s="5">
        <v>43739</v>
      </c>
      <c r="J683" s="6">
        <v>0</v>
      </c>
      <c r="K683" s="6">
        <v>0</v>
      </c>
      <c r="L683" s="6">
        <v>2340.2860000000001</v>
      </c>
      <c r="M683" s="6">
        <v>2340.2860000000001</v>
      </c>
      <c r="N683" s="6">
        <v>2340.2860000000001</v>
      </c>
      <c r="O683" s="6">
        <v>2340.2860000000001</v>
      </c>
      <c r="P683" s="6">
        <v>0</v>
      </c>
      <c r="Q683" s="4" t="s">
        <v>26</v>
      </c>
      <c r="R683" s="4">
        <v>0</v>
      </c>
      <c r="S683" s="4" t="s">
        <v>359</v>
      </c>
      <c r="T683" s="4" t="s">
        <v>712</v>
      </c>
      <c r="U683" s="4">
        <v>0</v>
      </c>
      <c r="V683" s="4">
        <v>27</v>
      </c>
      <c r="W683" s="4">
        <v>81</v>
      </c>
    </row>
    <row r="684" spans="1:23" ht="11.25" customHeight="1" x14ac:dyDescent="0.25">
      <c r="A684" s="4" t="s">
        <v>27</v>
      </c>
      <c r="B684" s="4" t="s">
        <v>33</v>
      </c>
      <c r="C684" s="4" t="s">
        <v>34</v>
      </c>
      <c r="D684" s="4" t="s">
        <v>42</v>
      </c>
      <c r="E684" s="4" t="s">
        <v>25</v>
      </c>
      <c r="F684" s="4" t="s">
        <v>25</v>
      </c>
      <c r="G684" s="4" t="s">
        <v>25</v>
      </c>
      <c r="H684" s="4" t="s">
        <v>35</v>
      </c>
      <c r="I684" s="5">
        <v>43739</v>
      </c>
      <c r="J684" s="6">
        <v>0</v>
      </c>
      <c r="K684" s="6">
        <v>0</v>
      </c>
      <c r="L684" s="6">
        <v>10.191000000000001</v>
      </c>
      <c r="M684" s="6">
        <v>10.191000000000001</v>
      </c>
      <c r="N684" s="6">
        <v>10.191000000000001</v>
      </c>
      <c r="O684" s="6">
        <v>10.191000000000001</v>
      </c>
      <c r="P684" s="6">
        <v>0</v>
      </c>
      <c r="Q684" s="4" t="s">
        <v>26</v>
      </c>
      <c r="R684" s="4">
        <v>0</v>
      </c>
      <c r="S684" s="4" t="s">
        <v>359</v>
      </c>
      <c r="T684" s="4" t="s">
        <v>712</v>
      </c>
      <c r="U684" s="4">
        <v>0</v>
      </c>
      <c r="V684" s="4">
        <v>27</v>
      </c>
      <c r="W684" s="4">
        <v>81</v>
      </c>
    </row>
    <row r="685" spans="1:23" ht="11.25" customHeight="1" x14ac:dyDescent="0.25">
      <c r="A685" s="4" t="s">
        <v>21</v>
      </c>
      <c r="B685" s="4" t="s">
        <v>33</v>
      </c>
      <c r="C685" s="4" t="s">
        <v>34</v>
      </c>
      <c r="D685" s="4" t="s">
        <v>42</v>
      </c>
      <c r="E685" s="4" t="s">
        <v>25</v>
      </c>
      <c r="F685" s="4" t="s">
        <v>25</v>
      </c>
      <c r="G685" s="4" t="s">
        <v>25</v>
      </c>
      <c r="H685" s="4" t="s">
        <v>35</v>
      </c>
      <c r="I685" s="5">
        <v>43770</v>
      </c>
      <c r="J685" s="6">
        <v>0</v>
      </c>
      <c r="K685" s="6">
        <v>0</v>
      </c>
      <c r="L685" s="6">
        <v>2463.3490000000002</v>
      </c>
      <c r="M685" s="6">
        <v>2463.3490000000002</v>
      </c>
      <c r="N685" s="6">
        <v>2463.3490000000002</v>
      </c>
      <c r="O685" s="6">
        <v>2463.3490000000002</v>
      </c>
      <c r="P685" s="6">
        <v>0</v>
      </c>
      <c r="Q685" s="4" t="s">
        <v>26</v>
      </c>
      <c r="R685" s="4">
        <v>0</v>
      </c>
      <c r="S685" s="4" t="s">
        <v>360</v>
      </c>
      <c r="T685" s="4" t="s">
        <v>713</v>
      </c>
      <c r="U685" s="4">
        <v>0</v>
      </c>
      <c r="V685" s="4">
        <v>27</v>
      </c>
      <c r="W685" s="4">
        <v>81</v>
      </c>
    </row>
    <row r="686" spans="1:23" ht="11.25" customHeight="1" x14ac:dyDescent="0.25">
      <c r="A686" s="4" t="s">
        <v>27</v>
      </c>
      <c r="B686" s="4" t="s">
        <v>33</v>
      </c>
      <c r="C686" s="4" t="s">
        <v>34</v>
      </c>
      <c r="D686" s="4" t="s">
        <v>42</v>
      </c>
      <c r="E686" s="4" t="s">
        <v>25</v>
      </c>
      <c r="F686" s="4" t="s">
        <v>25</v>
      </c>
      <c r="G686" s="4" t="s">
        <v>25</v>
      </c>
      <c r="H686" s="4" t="s">
        <v>35</v>
      </c>
      <c r="I686" s="5">
        <v>43770</v>
      </c>
      <c r="J686" s="6">
        <v>0</v>
      </c>
      <c r="K686" s="6">
        <v>0</v>
      </c>
      <c r="L686" s="6">
        <v>0.82299999999999995</v>
      </c>
      <c r="M686" s="6">
        <v>0.82299999999999995</v>
      </c>
      <c r="N686" s="6">
        <v>0.82299999999999995</v>
      </c>
      <c r="O686" s="6">
        <v>0.82299999999999995</v>
      </c>
      <c r="P686" s="6">
        <v>0</v>
      </c>
      <c r="Q686" s="4" t="s">
        <v>26</v>
      </c>
      <c r="R686" s="4">
        <v>0</v>
      </c>
      <c r="S686" s="4" t="s">
        <v>360</v>
      </c>
      <c r="T686" s="4" t="s">
        <v>713</v>
      </c>
      <c r="U686" s="4">
        <v>0</v>
      </c>
      <c r="V686" s="4">
        <v>27</v>
      </c>
      <c r="W686" s="4">
        <v>81</v>
      </c>
    </row>
    <row r="687" spans="1:23" ht="11.25" customHeight="1" x14ac:dyDescent="0.25">
      <c r="A687" s="4" t="s">
        <v>28</v>
      </c>
      <c r="B687" s="4" t="s">
        <v>33</v>
      </c>
      <c r="C687" s="4" t="s">
        <v>34</v>
      </c>
      <c r="D687" s="4" t="s">
        <v>42</v>
      </c>
      <c r="E687" s="4" t="s">
        <v>25</v>
      </c>
      <c r="F687" s="4" t="s">
        <v>25</v>
      </c>
      <c r="G687" s="4" t="s">
        <v>25</v>
      </c>
      <c r="H687" s="4" t="s">
        <v>35</v>
      </c>
      <c r="I687" s="5">
        <v>43770</v>
      </c>
      <c r="J687" s="6">
        <v>0</v>
      </c>
      <c r="K687" s="6">
        <v>0</v>
      </c>
      <c r="L687" s="6">
        <v>142.47300000000001</v>
      </c>
      <c r="M687" s="6">
        <v>142.47300000000001</v>
      </c>
      <c r="N687" s="6">
        <v>142.47300000000001</v>
      </c>
      <c r="O687" s="6">
        <v>142.47300000000001</v>
      </c>
      <c r="P687" s="6">
        <v>0</v>
      </c>
      <c r="Q687" s="4" t="s">
        <v>26</v>
      </c>
      <c r="R687" s="4">
        <v>0</v>
      </c>
      <c r="S687" s="4" t="s">
        <v>360</v>
      </c>
      <c r="T687" s="4" t="s">
        <v>713</v>
      </c>
      <c r="U687" s="4">
        <v>0</v>
      </c>
      <c r="V687" s="4">
        <v>27</v>
      </c>
      <c r="W687" s="4">
        <v>81</v>
      </c>
    </row>
    <row r="688" spans="1:23" ht="11.25" customHeight="1" x14ac:dyDescent="0.25">
      <c r="A688" s="4" t="s">
        <v>21</v>
      </c>
      <c r="B688" s="4" t="s">
        <v>33</v>
      </c>
      <c r="C688" s="4" t="s">
        <v>34</v>
      </c>
      <c r="D688" s="4" t="s">
        <v>42</v>
      </c>
      <c r="E688" s="4" t="s">
        <v>25</v>
      </c>
      <c r="F688" s="4" t="s">
        <v>25</v>
      </c>
      <c r="G688" s="4" t="s">
        <v>25</v>
      </c>
      <c r="H688" s="4" t="s">
        <v>35</v>
      </c>
      <c r="I688" s="5">
        <v>43800</v>
      </c>
      <c r="J688" s="6">
        <v>0</v>
      </c>
      <c r="K688" s="6">
        <v>0</v>
      </c>
      <c r="L688" s="6">
        <v>2136.114</v>
      </c>
      <c r="M688" s="6">
        <v>2136.114</v>
      </c>
      <c r="N688" s="6">
        <v>2136.114</v>
      </c>
      <c r="O688" s="6">
        <v>2136.114</v>
      </c>
      <c r="P688" s="6">
        <v>0</v>
      </c>
      <c r="Q688" s="4" t="s">
        <v>26</v>
      </c>
      <c r="R688" s="4">
        <v>0</v>
      </c>
      <c r="S688" s="4" t="s">
        <v>361</v>
      </c>
      <c r="T688" s="4" t="s">
        <v>714</v>
      </c>
      <c r="U688" s="4">
        <v>0</v>
      </c>
      <c r="V688" s="4">
        <v>27</v>
      </c>
      <c r="W688" s="4">
        <v>81</v>
      </c>
    </row>
    <row r="689" spans="1:23" ht="11.25" customHeight="1" x14ac:dyDescent="0.25">
      <c r="A689" s="4" t="s">
        <v>27</v>
      </c>
      <c r="B689" s="4" t="s">
        <v>33</v>
      </c>
      <c r="C689" s="4" t="s">
        <v>34</v>
      </c>
      <c r="D689" s="4" t="s">
        <v>42</v>
      </c>
      <c r="E689" s="4" t="s">
        <v>25</v>
      </c>
      <c r="F689" s="4" t="s">
        <v>25</v>
      </c>
      <c r="G689" s="4" t="s">
        <v>25</v>
      </c>
      <c r="H689" s="4" t="s">
        <v>35</v>
      </c>
      <c r="I689" s="5">
        <v>43800</v>
      </c>
      <c r="J689" s="6">
        <v>0</v>
      </c>
      <c r="K689" s="6">
        <v>0</v>
      </c>
      <c r="L689" s="6">
        <v>0.95</v>
      </c>
      <c r="M689" s="6">
        <v>0.95</v>
      </c>
      <c r="N689" s="6">
        <v>0.95</v>
      </c>
      <c r="O689" s="6">
        <v>0.95</v>
      </c>
      <c r="P689" s="6">
        <v>0</v>
      </c>
      <c r="Q689" s="4" t="s">
        <v>26</v>
      </c>
      <c r="R689" s="4">
        <v>0</v>
      </c>
      <c r="S689" s="4" t="s">
        <v>361</v>
      </c>
      <c r="T689" s="4" t="s">
        <v>714</v>
      </c>
      <c r="U689" s="4">
        <v>0</v>
      </c>
      <c r="V689" s="4">
        <v>27</v>
      </c>
      <c r="W689" s="4">
        <v>81</v>
      </c>
    </row>
    <row r="690" spans="1:23" ht="11.25" customHeight="1" x14ac:dyDescent="0.25">
      <c r="A690" s="4" t="s">
        <v>28</v>
      </c>
      <c r="B690" s="4" t="s">
        <v>33</v>
      </c>
      <c r="C690" s="4" t="s">
        <v>34</v>
      </c>
      <c r="D690" s="4" t="s">
        <v>42</v>
      </c>
      <c r="E690" s="4" t="s">
        <v>25</v>
      </c>
      <c r="F690" s="4" t="s">
        <v>25</v>
      </c>
      <c r="G690" s="4" t="s">
        <v>25</v>
      </c>
      <c r="H690" s="4" t="s">
        <v>35</v>
      </c>
      <c r="I690" s="5">
        <v>43800</v>
      </c>
      <c r="J690" s="6">
        <v>0</v>
      </c>
      <c r="K690" s="6">
        <v>0</v>
      </c>
      <c r="L690" s="6">
        <v>130.702</v>
      </c>
      <c r="M690" s="6">
        <v>130.702</v>
      </c>
      <c r="N690" s="6">
        <v>130.702</v>
      </c>
      <c r="O690" s="6">
        <v>130.702</v>
      </c>
      <c r="P690" s="6">
        <v>0</v>
      </c>
      <c r="Q690" s="4" t="s">
        <v>26</v>
      </c>
      <c r="R690" s="4">
        <v>0</v>
      </c>
      <c r="S690" s="4" t="s">
        <v>361</v>
      </c>
      <c r="T690" s="4" t="s">
        <v>714</v>
      </c>
      <c r="U690" s="4">
        <v>0</v>
      </c>
      <c r="V690" s="4">
        <v>27</v>
      </c>
      <c r="W690" s="4">
        <v>81</v>
      </c>
    </row>
    <row r="691" spans="1:23" ht="11.25" customHeight="1" x14ac:dyDescent="0.25">
      <c r="A691" s="4" t="s">
        <v>21</v>
      </c>
      <c r="B691" s="4" t="s">
        <v>33</v>
      </c>
      <c r="C691" s="4" t="s">
        <v>34</v>
      </c>
      <c r="D691" s="4" t="s">
        <v>42</v>
      </c>
      <c r="E691" s="4" t="s">
        <v>25</v>
      </c>
      <c r="F691" s="4" t="s">
        <v>25</v>
      </c>
      <c r="G691" s="4" t="s">
        <v>25</v>
      </c>
      <c r="H691" s="4" t="s">
        <v>35</v>
      </c>
      <c r="I691" s="5">
        <v>43831</v>
      </c>
      <c r="J691" s="6">
        <v>0</v>
      </c>
      <c r="K691" s="6">
        <v>0</v>
      </c>
      <c r="L691" s="6">
        <v>1951.8019999999999</v>
      </c>
      <c r="M691" s="6">
        <v>1951.8019999999999</v>
      </c>
      <c r="N691" s="6">
        <v>1951.8019999999999</v>
      </c>
      <c r="O691" s="6">
        <v>1951.8019999999999</v>
      </c>
      <c r="P691" s="6">
        <v>0</v>
      </c>
      <c r="Q691" s="4" t="s">
        <v>26</v>
      </c>
      <c r="R691" s="4">
        <v>0</v>
      </c>
      <c r="S691" s="4" t="s">
        <v>362</v>
      </c>
      <c r="T691" s="4" t="s">
        <v>715</v>
      </c>
      <c r="U691" s="4">
        <v>0</v>
      </c>
      <c r="V691" s="4">
        <v>27</v>
      </c>
      <c r="W691" s="4">
        <v>81</v>
      </c>
    </row>
    <row r="692" spans="1:23" ht="11.25" customHeight="1" x14ac:dyDescent="0.25">
      <c r="A692" s="4" t="s">
        <v>27</v>
      </c>
      <c r="B692" s="4" t="s">
        <v>33</v>
      </c>
      <c r="C692" s="4" t="s">
        <v>34</v>
      </c>
      <c r="D692" s="4" t="s">
        <v>42</v>
      </c>
      <c r="E692" s="4" t="s">
        <v>25</v>
      </c>
      <c r="F692" s="4" t="s">
        <v>25</v>
      </c>
      <c r="G692" s="4" t="s">
        <v>25</v>
      </c>
      <c r="H692" s="4" t="s">
        <v>35</v>
      </c>
      <c r="I692" s="5">
        <v>43831</v>
      </c>
      <c r="J692" s="6">
        <v>0</v>
      </c>
      <c r="K692" s="6">
        <v>0</v>
      </c>
      <c r="L692" s="6">
        <v>5.22</v>
      </c>
      <c r="M692" s="6">
        <v>5.22</v>
      </c>
      <c r="N692" s="6">
        <v>5.22</v>
      </c>
      <c r="O692" s="6">
        <v>5.22</v>
      </c>
      <c r="P692" s="6">
        <v>0</v>
      </c>
      <c r="Q692" s="4" t="s">
        <v>26</v>
      </c>
      <c r="R692" s="4">
        <v>0</v>
      </c>
      <c r="S692" s="4" t="s">
        <v>362</v>
      </c>
      <c r="T692" s="4" t="s">
        <v>715</v>
      </c>
      <c r="U692" s="4">
        <v>0</v>
      </c>
      <c r="V692" s="4">
        <v>27</v>
      </c>
      <c r="W692" s="4">
        <v>81</v>
      </c>
    </row>
    <row r="693" spans="1:23" ht="11.25" customHeight="1" x14ac:dyDescent="0.25">
      <c r="A693" s="4" t="s">
        <v>28</v>
      </c>
      <c r="B693" s="4" t="s">
        <v>33</v>
      </c>
      <c r="C693" s="4" t="s">
        <v>34</v>
      </c>
      <c r="D693" s="4" t="s">
        <v>42</v>
      </c>
      <c r="E693" s="4" t="s">
        <v>25</v>
      </c>
      <c r="F693" s="4" t="s">
        <v>25</v>
      </c>
      <c r="G693" s="4" t="s">
        <v>25</v>
      </c>
      <c r="H693" s="4" t="s">
        <v>35</v>
      </c>
      <c r="I693" s="5">
        <v>43831</v>
      </c>
      <c r="J693" s="6">
        <v>0</v>
      </c>
      <c r="K693" s="6">
        <v>0</v>
      </c>
      <c r="L693" s="6">
        <v>83.9</v>
      </c>
      <c r="M693" s="6">
        <v>83.9</v>
      </c>
      <c r="N693" s="6">
        <v>83.9</v>
      </c>
      <c r="O693" s="6">
        <v>83.9</v>
      </c>
      <c r="P693" s="6">
        <v>0</v>
      </c>
      <c r="Q693" s="4" t="s">
        <v>26</v>
      </c>
      <c r="R693" s="4">
        <v>0</v>
      </c>
      <c r="S693" s="4" t="s">
        <v>362</v>
      </c>
      <c r="T693" s="4" t="s">
        <v>715</v>
      </c>
      <c r="U693" s="4">
        <v>0</v>
      </c>
      <c r="V693" s="4">
        <v>27</v>
      </c>
      <c r="W693" s="4">
        <v>81</v>
      </c>
    </row>
    <row r="694" spans="1:23" ht="11.25" customHeight="1" x14ac:dyDescent="0.25">
      <c r="A694" s="4" t="s">
        <v>21</v>
      </c>
      <c r="B694" s="4" t="s">
        <v>33</v>
      </c>
      <c r="C694" s="4" t="s">
        <v>34</v>
      </c>
      <c r="D694" s="4" t="s">
        <v>42</v>
      </c>
      <c r="E694" s="4" t="s">
        <v>25</v>
      </c>
      <c r="F694" s="4" t="s">
        <v>25</v>
      </c>
      <c r="G694" s="4" t="s">
        <v>25</v>
      </c>
      <c r="H694" s="4" t="s">
        <v>35</v>
      </c>
      <c r="I694" s="5">
        <v>43862</v>
      </c>
      <c r="J694" s="6">
        <v>0</v>
      </c>
      <c r="K694" s="6">
        <v>0</v>
      </c>
      <c r="L694" s="6">
        <v>2127.277</v>
      </c>
      <c r="M694" s="6">
        <v>2127.277</v>
      </c>
      <c r="N694" s="6">
        <v>2127.277</v>
      </c>
      <c r="O694" s="6">
        <v>2127.277</v>
      </c>
      <c r="P694" s="6">
        <v>0</v>
      </c>
      <c r="Q694" s="4" t="s">
        <v>26</v>
      </c>
      <c r="R694" s="4">
        <v>0</v>
      </c>
      <c r="S694" s="4" t="s">
        <v>363</v>
      </c>
      <c r="T694" s="4" t="s">
        <v>716</v>
      </c>
      <c r="U694" s="4">
        <v>0</v>
      </c>
      <c r="V694" s="4">
        <v>27</v>
      </c>
      <c r="W694" s="4">
        <v>81</v>
      </c>
    </row>
    <row r="695" spans="1:23" ht="11.25" customHeight="1" x14ac:dyDescent="0.25">
      <c r="A695" s="4" t="s">
        <v>27</v>
      </c>
      <c r="B695" s="4" t="s">
        <v>33</v>
      </c>
      <c r="C695" s="4" t="s">
        <v>34</v>
      </c>
      <c r="D695" s="4" t="s">
        <v>42</v>
      </c>
      <c r="E695" s="4" t="s">
        <v>25</v>
      </c>
      <c r="F695" s="4" t="s">
        <v>25</v>
      </c>
      <c r="G695" s="4" t="s">
        <v>25</v>
      </c>
      <c r="H695" s="4" t="s">
        <v>35</v>
      </c>
      <c r="I695" s="5">
        <v>43862</v>
      </c>
      <c r="J695" s="6">
        <v>0</v>
      </c>
      <c r="K695" s="6">
        <v>0</v>
      </c>
      <c r="L695" s="6">
        <v>6.593</v>
      </c>
      <c r="M695" s="6">
        <v>6.593</v>
      </c>
      <c r="N695" s="6">
        <v>6.593</v>
      </c>
      <c r="O695" s="6">
        <v>6.593</v>
      </c>
      <c r="P695" s="6">
        <v>0</v>
      </c>
      <c r="Q695" s="4" t="s">
        <v>26</v>
      </c>
      <c r="R695" s="4">
        <v>0</v>
      </c>
      <c r="S695" s="4" t="s">
        <v>363</v>
      </c>
      <c r="T695" s="4" t="s">
        <v>716</v>
      </c>
      <c r="U695" s="4">
        <v>0</v>
      </c>
      <c r="V695" s="4">
        <v>27</v>
      </c>
      <c r="W695" s="4">
        <v>81</v>
      </c>
    </row>
    <row r="696" spans="1:23" ht="11.25" customHeight="1" x14ac:dyDescent="0.25">
      <c r="A696" s="4" t="s">
        <v>28</v>
      </c>
      <c r="B696" s="4" t="s">
        <v>33</v>
      </c>
      <c r="C696" s="4" t="s">
        <v>34</v>
      </c>
      <c r="D696" s="4" t="s">
        <v>42</v>
      </c>
      <c r="E696" s="4" t="s">
        <v>25</v>
      </c>
      <c r="F696" s="4" t="s">
        <v>25</v>
      </c>
      <c r="G696" s="4" t="s">
        <v>25</v>
      </c>
      <c r="H696" s="4" t="s">
        <v>35</v>
      </c>
      <c r="I696" s="5">
        <v>43862</v>
      </c>
      <c r="J696" s="6">
        <v>0</v>
      </c>
      <c r="K696" s="6">
        <v>0</v>
      </c>
      <c r="L696" s="6">
        <v>90.881</v>
      </c>
      <c r="M696" s="6">
        <v>90.881</v>
      </c>
      <c r="N696" s="6">
        <v>90.881</v>
      </c>
      <c r="O696" s="6">
        <v>90.881</v>
      </c>
      <c r="P696" s="6">
        <v>0</v>
      </c>
      <c r="Q696" s="4" t="s">
        <v>26</v>
      </c>
      <c r="R696" s="4">
        <v>0</v>
      </c>
      <c r="S696" s="4" t="s">
        <v>363</v>
      </c>
      <c r="T696" s="4" t="s">
        <v>716</v>
      </c>
      <c r="U696" s="4">
        <v>0</v>
      </c>
      <c r="V696" s="4">
        <v>27</v>
      </c>
      <c r="W696" s="4">
        <v>81</v>
      </c>
    </row>
    <row r="697" spans="1:23" ht="11.25" customHeight="1" x14ac:dyDescent="0.25">
      <c r="A697" s="4" t="s">
        <v>21</v>
      </c>
      <c r="B697" s="4" t="s">
        <v>33</v>
      </c>
      <c r="C697" s="4" t="s">
        <v>34</v>
      </c>
      <c r="D697" s="4" t="s">
        <v>42</v>
      </c>
      <c r="E697" s="4" t="s">
        <v>25</v>
      </c>
      <c r="F697" s="4" t="s">
        <v>25</v>
      </c>
      <c r="G697" s="4" t="s">
        <v>25</v>
      </c>
      <c r="H697" s="4" t="s">
        <v>35</v>
      </c>
      <c r="I697" s="5">
        <v>43891</v>
      </c>
      <c r="J697" s="6">
        <v>0</v>
      </c>
      <c r="K697" s="6">
        <v>0</v>
      </c>
      <c r="L697" s="6">
        <v>1930.4290000000001</v>
      </c>
      <c r="M697" s="6">
        <v>1930.4290000000001</v>
      </c>
      <c r="N697" s="6">
        <v>1930.4290000000001</v>
      </c>
      <c r="O697" s="6">
        <v>1930.4290000000001</v>
      </c>
      <c r="P697" s="6">
        <v>0</v>
      </c>
      <c r="Q697" s="4" t="s">
        <v>26</v>
      </c>
      <c r="R697" s="4">
        <v>0</v>
      </c>
      <c r="S697" s="4" t="s">
        <v>364</v>
      </c>
      <c r="T697" s="4" t="s">
        <v>717</v>
      </c>
      <c r="U697" s="4">
        <v>0</v>
      </c>
      <c r="V697" s="4">
        <v>27</v>
      </c>
      <c r="W697" s="4">
        <v>81</v>
      </c>
    </row>
    <row r="698" spans="1:23" ht="11.25" customHeight="1" x14ac:dyDescent="0.25">
      <c r="A698" s="4" t="s">
        <v>27</v>
      </c>
      <c r="B698" s="4" t="s">
        <v>33</v>
      </c>
      <c r="C698" s="4" t="s">
        <v>34</v>
      </c>
      <c r="D698" s="4" t="s">
        <v>42</v>
      </c>
      <c r="E698" s="4" t="s">
        <v>25</v>
      </c>
      <c r="F698" s="4" t="s">
        <v>25</v>
      </c>
      <c r="G698" s="4" t="s">
        <v>25</v>
      </c>
      <c r="H698" s="4" t="s">
        <v>35</v>
      </c>
      <c r="I698" s="5">
        <v>43891</v>
      </c>
      <c r="J698" s="6">
        <v>0</v>
      </c>
      <c r="K698" s="6">
        <v>0</v>
      </c>
      <c r="L698" s="6">
        <v>11.579000000000001</v>
      </c>
      <c r="M698" s="6">
        <v>11.579000000000001</v>
      </c>
      <c r="N698" s="6">
        <v>11.579000000000001</v>
      </c>
      <c r="O698" s="6">
        <v>11.579000000000001</v>
      </c>
      <c r="P698" s="6">
        <v>0</v>
      </c>
      <c r="Q698" s="4" t="s">
        <v>26</v>
      </c>
      <c r="R698" s="4">
        <v>0</v>
      </c>
      <c r="S698" s="4" t="s">
        <v>364</v>
      </c>
      <c r="T698" s="4" t="s">
        <v>717</v>
      </c>
      <c r="U698" s="4">
        <v>0</v>
      </c>
      <c r="V698" s="4">
        <v>27</v>
      </c>
      <c r="W698" s="4">
        <v>81</v>
      </c>
    </row>
    <row r="699" spans="1:23" ht="11.25" customHeight="1" x14ac:dyDescent="0.25">
      <c r="A699" s="4" t="s">
        <v>28</v>
      </c>
      <c r="B699" s="4" t="s">
        <v>33</v>
      </c>
      <c r="C699" s="4" t="s">
        <v>34</v>
      </c>
      <c r="D699" s="4" t="s">
        <v>42</v>
      </c>
      <c r="E699" s="4" t="s">
        <v>25</v>
      </c>
      <c r="F699" s="4" t="s">
        <v>25</v>
      </c>
      <c r="G699" s="4" t="s">
        <v>25</v>
      </c>
      <c r="H699" s="4" t="s">
        <v>35</v>
      </c>
      <c r="I699" s="5">
        <v>43891</v>
      </c>
      <c r="J699" s="6">
        <v>0</v>
      </c>
      <c r="K699" s="6">
        <v>0</v>
      </c>
      <c r="L699" s="6">
        <v>106.008</v>
      </c>
      <c r="M699" s="6">
        <v>106.008</v>
      </c>
      <c r="N699" s="6">
        <v>106.008</v>
      </c>
      <c r="O699" s="6">
        <v>106.008</v>
      </c>
      <c r="P699" s="6">
        <v>0</v>
      </c>
      <c r="Q699" s="4" t="s">
        <v>26</v>
      </c>
      <c r="R699" s="4">
        <v>0</v>
      </c>
      <c r="S699" s="4" t="s">
        <v>364</v>
      </c>
      <c r="T699" s="4" t="s">
        <v>717</v>
      </c>
      <c r="U699" s="4">
        <v>0</v>
      </c>
      <c r="V699" s="4">
        <v>27</v>
      </c>
      <c r="W699" s="4">
        <v>81</v>
      </c>
    </row>
    <row r="700" spans="1:23" ht="11.25" customHeight="1" x14ac:dyDescent="0.25">
      <c r="A700" s="4" t="s">
        <v>21</v>
      </c>
      <c r="B700" s="4" t="s">
        <v>33</v>
      </c>
      <c r="C700" s="4" t="s">
        <v>34</v>
      </c>
      <c r="D700" s="4" t="s">
        <v>42</v>
      </c>
      <c r="E700" s="4" t="s">
        <v>25</v>
      </c>
      <c r="F700" s="4" t="s">
        <v>25</v>
      </c>
      <c r="G700" s="4" t="s">
        <v>25</v>
      </c>
      <c r="H700" s="4" t="s">
        <v>35</v>
      </c>
      <c r="I700" s="5">
        <v>43922</v>
      </c>
      <c r="J700" s="6">
        <v>0</v>
      </c>
      <c r="K700" s="6">
        <v>0</v>
      </c>
      <c r="L700" s="6">
        <v>1828.424</v>
      </c>
      <c r="M700" s="6">
        <v>1828.424</v>
      </c>
      <c r="N700" s="6">
        <v>1828.424</v>
      </c>
      <c r="O700" s="6">
        <v>1828.424</v>
      </c>
      <c r="P700" s="6">
        <v>0</v>
      </c>
      <c r="Q700" s="4" t="s">
        <v>26</v>
      </c>
      <c r="R700" s="4">
        <v>0</v>
      </c>
      <c r="S700" s="4" t="s">
        <v>365</v>
      </c>
      <c r="T700" s="4" t="s">
        <v>718</v>
      </c>
      <c r="U700" s="4">
        <v>0</v>
      </c>
      <c r="V700" s="4">
        <v>27</v>
      </c>
      <c r="W700" s="4">
        <v>81</v>
      </c>
    </row>
    <row r="701" spans="1:23" ht="11.25" customHeight="1" x14ac:dyDescent="0.25">
      <c r="A701" s="4" t="s">
        <v>27</v>
      </c>
      <c r="B701" s="4" t="s">
        <v>33</v>
      </c>
      <c r="C701" s="4" t="s">
        <v>34</v>
      </c>
      <c r="D701" s="4" t="s">
        <v>42</v>
      </c>
      <c r="E701" s="4" t="s">
        <v>25</v>
      </c>
      <c r="F701" s="4" t="s">
        <v>25</v>
      </c>
      <c r="G701" s="4" t="s">
        <v>25</v>
      </c>
      <c r="H701" s="4" t="s">
        <v>35</v>
      </c>
      <c r="I701" s="5">
        <v>43922</v>
      </c>
      <c r="J701" s="6">
        <v>0</v>
      </c>
      <c r="K701" s="6">
        <v>0</v>
      </c>
      <c r="L701" s="6">
        <v>2.597</v>
      </c>
      <c r="M701" s="6">
        <v>2.597</v>
      </c>
      <c r="N701" s="6">
        <v>2.597</v>
      </c>
      <c r="O701" s="6">
        <v>2.597</v>
      </c>
      <c r="P701" s="6">
        <v>0</v>
      </c>
      <c r="Q701" s="4" t="s">
        <v>26</v>
      </c>
      <c r="R701" s="4">
        <v>0</v>
      </c>
      <c r="S701" s="4" t="s">
        <v>365</v>
      </c>
      <c r="T701" s="4" t="s">
        <v>718</v>
      </c>
      <c r="U701" s="4">
        <v>0</v>
      </c>
      <c r="V701" s="4">
        <v>27</v>
      </c>
      <c r="W701" s="4">
        <v>81</v>
      </c>
    </row>
    <row r="702" spans="1:23" ht="11.25" customHeight="1" x14ac:dyDescent="0.25">
      <c r="A702" s="4" t="s">
        <v>28</v>
      </c>
      <c r="B702" s="4" t="s">
        <v>33</v>
      </c>
      <c r="C702" s="4" t="s">
        <v>34</v>
      </c>
      <c r="D702" s="4" t="s">
        <v>42</v>
      </c>
      <c r="E702" s="4" t="s">
        <v>25</v>
      </c>
      <c r="F702" s="4" t="s">
        <v>25</v>
      </c>
      <c r="G702" s="4" t="s">
        <v>25</v>
      </c>
      <c r="H702" s="4" t="s">
        <v>35</v>
      </c>
      <c r="I702" s="5">
        <v>43922</v>
      </c>
      <c r="J702" s="6">
        <v>0</v>
      </c>
      <c r="K702" s="6">
        <v>0</v>
      </c>
      <c r="L702" s="6">
        <v>109.21</v>
      </c>
      <c r="M702" s="6">
        <v>109.21</v>
      </c>
      <c r="N702" s="6">
        <v>109.21</v>
      </c>
      <c r="O702" s="6">
        <v>109.21</v>
      </c>
      <c r="P702" s="6">
        <v>0</v>
      </c>
      <c r="Q702" s="4" t="s">
        <v>26</v>
      </c>
      <c r="R702" s="4">
        <v>0</v>
      </c>
      <c r="S702" s="4" t="s">
        <v>365</v>
      </c>
      <c r="T702" s="4" t="s">
        <v>718</v>
      </c>
      <c r="U702" s="4">
        <v>0</v>
      </c>
      <c r="V702" s="4">
        <v>27</v>
      </c>
      <c r="W702" s="4">
        <v>81</v>
      </c>
    </row>
    <row r="703" spans="1:23" ht="11.25" customHeight="1" x14ac:dyDescent="0.25">
      <c r="A703" s="4" t="s">
        <v>21</v>
      </c>
      <c r="B703" s="4" t="s">
        <v>33</v>
      </c>
      <c r="C703" s="4" t="s">
        <v>34</v>
      </c>
      <c r="D703" s="4" t="s">
        <v>42</v>
      </c>
      <c r="E703" s="4" t="s">
        <v>25</v>
      </c>
      <c r="F703" s="4" t="s">
        <v>25</v>
      </c>
      <c r="G703" s="4" t="s">
        <v>25</v>
      </c>
      <c r="H703" s="4" t="s">
        <v>35</v>
      </c>
      <c r="I703" s="5">
        <v>43952</v>
      </c>
      <c r="J703" s="6">
        <v>0</v>
      </c>
      <c r="K703" s="6">
        <v>0</v>
      </c>
      <c r="L703" s="6">
        <v>1336.4469999999999</v>
      </c>
      <c r="M703" s="6">
        <v>1336.4469999999999</v>
      </c>
      <c r="N703" s="6">
        <v>1336.4469999999999</v>
      </c>
      <c r="O703" s="6">
        <v>1336.4469999999999</v>
      </c>
      <c r="P703" s="6">
        <v>0</v>
      </c>
      <c r="Q703" s="4" t="s">
        <v>26</v>
      </c>
      <c r="R703" s="4">
        <v>0</v>
      </c>
      <c r="S703" s="4" t="s">
        <v>366</v>
      </c>
      <c r="T703" s="4" t="s">
        <v>719</v>
      </c>
      <c r="U703" s="4">
        <v>0</v>
      </c>
      <c r="V703" s="4">
        <v>27</v>
      </c>
      <c r="W703" s="4">
        <v>81</v>
      </c>
    </row>
    <row r="704" spans="1:23" ht="11.25" customHeight="1" x14ac:dyDescent="0.25">
      <c r="A704" s="4" t="s">
        <v>27</v>
      </c>
      <c r="B704" s="4" t="s">
        <v>33</v>
      </c>
      <c r="C704" s="4" t="s">
        <v>34</v>
      </c>
      <c r="D704" s="4" t="s">
        <v>42</v>
      </c>
      <c r="E704" s="4" t="s">
        <v>25</v>
      </c>
      <c r="F704" s="4" t="s">
        <v>25</v>
      </c>
      <c r="G704" s="4" t="s">
        <v>25</v>
      </c>
      <c r="H704" s="4" t="s">
        <v>35</v>
      </c>
      <c r="I704" s="5">
        <v>43952</v>
      </c>
      <c r="J704" s="6">
        <v>0</v>
      </c>
      <c r="K704" s="6">
        <v>0</v>
      </c>
      <c r="L704" s="6">
        <v>1.0720000000000001</v>
      </c>
      <c r="M704" s="6">
        <v>1.0720000000000001</v>
      </c>
      <c r="N704" s="6">
        <v>1.0720000000000001</v>
      </c>
      <c r="O704" s="6">
        <v>1.0720000000000001</v>
      </c>
      <c r="P704" s="6">
        <v>0</v>
      </c>
      <c r="Q704" s="4" t="s">
        <v>26</v>
      </c>
      <c r="R704" s="4">
        <v>0</v>
      </c>
      <c r="S704" s="4" t="s">
        <v>366</v>
      </c>
      <c r="T704" s="4" t="s">
        <v>719</v>
      </c>
      <c r="U704" s="4">
        <v>0</v>
      </c>
      <c r="V704" s="4">
        <v>27</v>
      </c>
      <c r="W704" s="4">
        <v>81</v>
      </c>
    </row>
    <row r="705" spans="1:23" ht="11.25" customHeight="1" x14ac:dyDescent="0.25">
      <c r="A705" s="4" t="s">
        <v>28</v>
      </c>
      <c r="B705" s="4" t="s">
        <v>33</v>
      </c>
      <c r="C705" s="4" t="s">
        <v>34</v>
      </c>
      <c r="D705" s="4" t="s">
        <v>42</v>
      </c>
      <c r="E705" s="4" t="s">
        <v>25</v>
      </c>
      <c r="F705" s="4" t="s">
        <v>25</v>
      </c>
      <c r="G705" s="4" t="s">
        <v>25</v>
      </c>
      <c r="H705" s="4" t="s">
        <v>35</v>
      </c>
      <c r="I705" s="5">
        <v>43952</v>
      </c>
      <c r="J705" s="6">
        <v>0</v>
      </c>
      <c r="K705" s="6">
        <v>0</v>
      </c>
      <c r="L705" s="6">
        <v>63.174999999999997</v>
      </c>
      <c r="M705" s="6">
        <v>63.174999999999997</v>
      </c>
      <c r="N705" s="6">
        <v>63.174999999999997</v>
      </c>
      <c r="O705" s="6">
        <v>63.174999999999997</v>
      </c>
      <c r="P705" s="6">
        <v>0</v>
      </c>
      <c r="Q705" s="4" t="s">
        <v>26</v>
      </c>
      <c r="R705" s="4">
        <v>0</v>
      </c>
      <c r="S705" s="4" t="s">
        <v>366</v>
      </c>
      <c r="T705" s="4" t="s">
        <v>719</v>
      </c>
      <c r="U705" s="4">
        <v>0</v>
      </c>
      <c r="V705" s="4">
        <v>27</v>
      </c>
      <c r="W705" s="4">
        <v>81</v>
      </c>
    </row>
    <row r="706" spans="1:23" ht="11.25" customHeight="1" x14ac:dyDescent="0.25">
      <c r="A706" s="4" t="s">
        <v>21</v>
      </c>
      <c r="B706" s="4" t="s">
        <v>33</v>
      </c>
      <c r="C706" s="4" t="s">
        <v>34</v>
      </c>
      <c r="D706" s="4" t="s">
        <v>42</v>
      </c>
      <c r="E706" s="4" t="s">
        <v>25</v>
      </c>
      <c r="F706" s="4" t="s">
        <v>25</v>
      </c>
      <c r="G706" s="4" t="s">
        <v>25</v>
      </c>
      <c r="H706" s="4" t="s">
        <v>35</v>
      </c>
      <c r="I706" s="5">
        <v>43983</v>
      </c>
      <c r="J706" s="6">
        <v>0</v>
      </c>
      <c r="K706" s="6">
        <v>0</v>
      </c>
      <c r="L706" s="6">
        <v>1410.038</v>
      </c>
      <c r="M706" s="6">
        <v>1410.038</v>
      </c>
      <c r="N706" s="6">
        <v>1410.038</v>
      </c>
      <c r="O706" s="6">
        <v>1410.038</v>
      </c>
      <c r="P706" s="6">
        <v>0</v>
      </c>
      <c r="Q706" s="4" t="s">
        <v>26</v>
      </c>
      <c r="R706" s="4">
        <v>0</v>
      </c>
      <c r="S706" s="4" t="s">
        <v>367</v>
      </c>
      <c r="T706" s="4" t="s">
        <v>720</v>
      </c>
      <c r="U706" s="4">
        <v>0</v>
      </c>
      <c r="V706" s="4">
        <v>27</v>
      </c>
      <c r="W706" s="4">
        <v>81</v>
      </c>
    </row>
    <row r="707" spans="1:23" ht="11.25" customHeight="1" x14ac:dyDescent="0.25">
      <c r="A707" s="4" t="s">
        <v>27</v>
      </c>
      <c r="B707" s="4" t="s">
        <v>33</v>
      </c>
      <c r="C707" s="4" t="s">
        <v>34</v>
      </c>
      <c r="D707" s="4" t="s">
        <v>42</v>
      </c>
      <c r="E707" s="4" t="s">
        <v>25</v>
      </c>
      <c r="F707" s="4" t="s">
        <v>25</v>
      </c>
      <c r="G707" s="4" t="s">
        <v>25</v>
      </c>
      <c r="H707" s="4" t="s">
        <v>35</v>
      </c>
      <c r="I707" s="5">
        <v>43983</v>
      </c>
      <c r="J707" s="6">
        <v>0</v>
      </c>
      <c r="K707" s="6">
        <v>0</v>
      </c>
      <c r="L707" s="6">
        <v>2.5390000000000001</v>
      </c>
      <c r="M707" s="6">
        <v>2.5390000000000001</v>
      </c>
      <c r="N707" s="6">
        <v>2.5390000000000001</v>
      </c>
      <c r="O707" s="6">
        <v>2.5390000000000001</v>
      </c>
      <c r="P707" s="6">
        <v>0</v>
      </c>
      <c r="Q707" s="4" t="s">
        <v>26</v>
      </c>
      <c r="R707" s="4">
        <v>0</v>
      </c>
      <c r="S707" s="4" t="s">
        <v>367</v>
      </c>
      <c r="T707" s="4" t="s">
        <v>720</v>
      </c>
      <c r="U707" s="4">
        <v>0</v>
      </c>
      <c r="V707" s="4">
        <v>27</v>
      </c>
      <c r="W707" s="4">
        <v>81</v>
      </c>
    </row>
    <row r="708" spans="1:23" ht="11.25" customHeight="1" x14ac:dyDescent="0.25">
      <c r="A708" s="4" t="s">
        <v>28</v>
      </c>
      <c r="B708" s="4" t="s">
        <v>33</v>
      </c>
      <c r="C708" s="4" t="s">
        <v>34</v>
      </c>
      <c r="D708" s="4" t="s">
        <v>42</v>
      </c>
      <c r="E708" s="4" t="s">
        <v>25</v>
      </c>
      <c r="F708" s="4" t="s">
        <v>25</v>
      </c>
      <c r="G708" s="4" t="s">
        <v>25</v>
      </c>
      <c r="H708" s="4" t="s">
        <v>35</v>
      </c>
      <c r="I708" s="5">
        <v>43983</v>
      </c>
      <c r="J708" s="6">
        <v>0</v>
      </c>
      <c r="K708" s="6">
        <v>0</v>
      </c>
      <c r="L708" s="6">
        <v>33.520000000000003</v>
      </c>
      <c r="M708" s="6">
        <v>33.520000000000003</v>
      </c>
      <c r="N708" s="6">
        <v>33.520000000000003</v>
      </c>
      <c r="O708" s="6">
        <v>33.520000000000003</v>
      </c>
      <c r="P708" s="6">
        <v>0</v>
      </c>
      <c r="Q708" s="4" t="s">
        <v>26</v>
      </c>
      <c r="R708" s="4">
        <v>0</v>
      </c>
      <c r="S708" s="4" t="s">
        <v>367</v>
      </c>
      <c r="T708" s="4" t="s">
        <v>720</v>
      </c>
      <c r="U708" s="4">
        <v>0</v>
      </c>
      <c r="V708" s="4">
        <v>27</v>
      </c>
      <c r="W708" s="4">
        <v>81</v>
      </c>
    </row>
    <row r="709" spans="1:23" ht="11.25" customHeight="1" x14ac:dyDescent="0.25">
      <c r="A709" s="4" t="s">
        <v>21</v>
      </c>
      <c r="B709" s="4" t="s">
        <v>33</v>
      </c>
      <c r="C709" s="4" t="s">
        <v>34</v>
      </c>
      <c r="D709" s="4" t="s">
        <v>42</v>
      </c>
      <c r="E709" s="4" t="s">
        <v>25</v>
      </c>
      <c r="F709" s="4" t="s">
        <v>25</v>
      </c>
      <c r="G709" s="4" t="s">
        <v>25</v>
      </c>
      <c r="H709" s="4" t="s">
        <v>35</v>
      </c>
      <c r="I709" s="5">
        <v>44013</v>
      </c>
      <c r="J709" s="6">
        <v>0</v>
      </c>
      <c r="K709" s="6">
        <v>0</v>
      </c>
      <c r="L709" s="6">
        <v>1402.9770000000001</v>
      </c>
      <c r="M709" s="6">
        <v>1402.9770000000001</v>
      </c>
      <c r="N709" s="6">
        <v>1402.9770000000001</v>
      </c>
      <c r="O709" s="6">
        <v>1402.9770000000001</v>
      </c>
      <c r="P709" s="6">
        <v>0</v>
      </c>
      <c r="Q709" s="4" t="s">
        <v>26</v>
      </c>
      <c r="R709" s="4">
        <v>0</v>
      </c>
      <c r="S709" s="4" t="s">
        <v>368</v>
      </c>
      <c r="T709" s="4" t="s">
        <v>721</v>
      </c>
      <c r="U709" s="4">
        <v>0</v>
      </c>
      <c r="V709" s="4">
        <v>27</v>
      </c>
      <c r="W709" s="4">
        <v>81</v>
      </c>
    </row>
    <row r="710" spans="1:23" ht="11.25" customHeight="1" x14ac:dyDescent="0.25">
      <c r="A710" s="4" t="s">
        <v>27</v>
      </c>
      <c r="B710" s="4" t="s">
        <v>33</v>
      </c>
      <c r="C710" s="4" t="s">
        <v>34</v>
      </c>
      <c r="D710" s="4" t="s">
        <v>42</v>
      </c>
      <c r="E710" s="4" t="s">
        <v>25</v>
      </c>
      <c r="F710" s="4" t="s">
        <v>25</v>
      </c>
      <c r="G710" s="4" t="s">
        <v>25</v>
      </c>
      <c r="H710" s="4" t="s">
        <v>35</v>
      </c>
      <c r="I710" s="5">
        <v>44013</v>
      </c>
      <c r="J710" s="6">
        <v>0</v>
      </c>
      <c r="K710" s="6">
        <v>0</v>
      </c>
      <c r="L710" s="6">
        <v>4.0949999999999998</v>
      </c>
      <c r="M710" s="6">
        <v>4.0949999999999998</v>
      </c>
      <c r="N710" s="6">
        <v>4.0949999999999998</v>
      </c>
      <c r="O710" s="6">
        <v>4.0949999999999998</v>
      </c>
      <c r="P710" s="6">
        <v>0</v>
      </c>
      <c r="Q710" s="4" t="s">
        <v>26</v>
      </c>
      <c r="R710" s="4">
        <v>0</v>
      </c>
      <c r="S710" s="4" t="s">
        <v>368</v>
      </c>
      <c r="T710" s="4" t="s">
        <v>721</v>
      </c>
      <c r="U710" s="4">
        <v>0</v>
      </c>
      <c r="V710" s="4">
        <v>27</v>
      </c>
      <c r="W710" s="4">
        <v>81</v>
      </c>
    </row>
    <row r="711" spans="1:23" ht="11.25" customHeight="1" x14ac:dyDescent="0.25">
      <c r="A711" s="4" t="s">
        <v>28</v>
      </c>
      <c r="B711" s="4" t="s">
        <v>33</v>
      </c>
      <c r="C711" s="4" t="s">
        <v>34</v>
      </c>
      <c r="D711" s="4" t="s">
        <v>42</v>
      </c>
      <c r="E711" s="4" t="s">
        <v>25</v>
      </c>
      <c r="F711" s="4" t="s">
        <v>25</v>
      </c>
      <c r="G711" s="4" t="s">
        <v>25</v>
      </c>
      <c r="H711" s="4" t="s">
        <v>35</v>
      </c>
      <c r="I711" s="5">
        <v>44013</v>
      </c>
      <c r="J711" s="6">
        <v>0</v>
      </c>
      <c r="K711" s="6">
        <v>0</v>
      </c>
      <c r="L711" s="6">
        <v>32.686</v>
      </c>
      <c r="M711" s="6">
        <v>32.686</v>
      </c>
      <c r="N711" s="6">
        <v>32.686</v>
      </c>
      <c r="O711" s="6">
        <v>32.686</v>
      </c>
      <c r="P711" s="6">
        <v>0</v>
      </c>
      <c r="Q711" s="4" t="s">
        <v>26</v>
      </c>
      <c r="R711" s="4">
        <v>0</v>
      </c>
      <c r="S711" s="4" t="s">
        <v>368</v>
      </c>
      <c r="T711" s="4" t="s">
        <v>721</v>
      </c>
      <c r="U711" s="4">
        <v>0</v>
      </c>
      <c r="V711" s="4">
        <v>27</v>
      </c>
      <c r="W711" s="4">
        <v>81</v>
      </c>
    </row>
    <row r="712" spans="1:23" ht="11.25" customHeight="1" x14ac:dyDescent="0.25">
      <c r="A712" s="4" t="s">
        <v>21</v>
      </c>
      <c r="B712" s="4" t="s">
        <v>33</v>
      </c>
      <c r="C712" s="4" t="s">
        <v>34</v>
      </c>
      <c r="D712" s="4" t="s">
        <v>42</v>
      </c>
      <c r="E712" s="4" t="s">
        <v>25</v>
      </c>
      <c r="F712" s="4" t="s">
        <v>25</v>
      </c>
      <c r="G712" s="4" t="s">
        <v>25</v>
      </c>
      <c r="H712" s="4" t="s">
        <v>35</v>
      </c>
      <c r="I712" s="5">
        <v>44044</v>
      </c>
      <c r="J712" s="6">
        <v>0</v>
      </c>
      <c r="K712" s="6">
        <v>0</v>
      </c>
      <c r="L712" s="6">
        <v>1567.9880000000001</v>
      </c>
      <c r="M712" s="6">
        <v>1567.9880000000001</v>
      </c>
      <c r="N712" s="6">
        <v>1567.9880000000001</v>
      </c>
      <c r="O712" s="6">
        <v>1567.9880000000001</v>
      </c>
      <c r="P712" s="6">
        <v>0</v>
      </c>
      <c r="Q712" s="4" t="s">
        <v>26</v>
      </c>
      <c r="R712" s="4">
        <v>0</v>
      </c>
      <c r="S712" s="4" t="s">
        <v>369</v>
      </c>
      <c r="T712" s="4" t="s">
        <v>722</v>
      </c>
      <c r="U712" s="4">
        <v>0</v>
      </c>
      <c r="V712" s="4">
        <v>27</v>
      </c>
      <c r="W712" s="4">
        <v>81</v>
      </c>
    </row>
    <row r="713" spans="1:23" ht="11.25" customHeight="1" x14ac:dyDescent="0.25">
      <c r="A713" s="4" t="s">
        <v>27</v>
      </c>
      <c r="B713" s="4" t="s">
        <v>33</v>
      </c>
      <c r="C713" s="4" t="s">
        <v>34</v>
      </c>
      <c r="D713" s="4" t="s">
        <v>42</v>
      </c>
      <c r="E713" s="4" t="s">
        <v>25</v>
      </c>
      <c r="F713" s="4" t="s">
        <v>25</v>
      </c>
      <c r="G713" s="4" t="s">
        <v>25</v>
      </c>
      <c r="H713" s="4" t="s">
        <v>35</v>
      </c>
      <c r="I713" s="5">
        <v>44044</v>
      </c>
      <c r="J713" s="6">
        <v>0</v>
      </c>
      <c r="K713" s="6">
        <v>0</v>
      </c>
      <c r="L713" s="6">
        <v>0.104</v>
      </c>
      <c r="M713" s="6">
        <v>0.104</v>
      </c>
      <c r="N713" s="6">
        <v>0.104</v>
      </c>
      <c r="O713" s="6">
        <v>0.104</v>
      </c>
      <c r="P713" s="6">
        <v>0</v>
      </c>
      <c r="Q713" s="4" t="s">
        <v>26</v>
      </c>
      <c r="R713" s="4">
        <v>0</v>
      </c>
      <c r="S713" s="4" t="s">
        <v>369</v>
      </c>
      <c r="T713" s="4" t="s">
        <v>722</v>
      </c>
      <c r="U713" s="4">
        <v>0</v>
      </c>
      <c r="V713" s="4">
        <v>27</v>
      </c>
      <c r="W713" s="4">
        <v>81</v>
      </c>
    </row>
    <row r="714" spans="1:23" ht="11.25" customHeight="1" x14ac:dyDescent="0.25">
      <c r="A714" s="4" t="s">
        <v>28</v>
      </c>
      <c r="B714" s="4" t="s">
        <v>33</v>
      </c>
      <c r="C714" s="4" t="s">
        <v>34</v>
      </c>
      <c r="D714" s="4" t="s">
        <v>42</v>
      </c>
      <c r="E714" s="4" t="s">
        <v>25</v>
      </c>
      <c r="F714" s="4" t="s">
        <v>25</v>
      </c>
      <c r="G714" s="4" t="s">
        <v>25</v>
      </c>
      <c r="H714" s="4" t="s">
        <v>35</v>
      </c>
      <c r="I714" s="5">
        <v>44044</v>
      </c>
      <c r="J714" s="6">
        <v>0</v>
      </c>
      <c r="K714" s="6">
        <v>0</v>
      </c>
      <c r="L714" s="6">
        <v>53.747999999999998</v>
      </c>
      <c r="M714" s="6">
        <v>53.747999999999998</v>
      </c>
      <c r="N714" s="6">
        <v>53.747999999999998</v>
      </c>
      <c r="O714" s="6">
        <v>53.747999999999998</v>
      </c>
      <c r="P714" s="6">
        <v>0</v>
      </c>
      <c r="Q714" s="4" t="s">
        <v>26</v>
      </c>
      <c r="R714" s="4">
        <v>0</v>
      </c>
      <c r="S714" s="4" t="s">
        <v>369</v>
      </c>
      <c r="T714" s="4" t="s">
        <v>722</v>
      </c>
      <c r="U714" s="4">
        <v>0</v>
      </c>
      <c r="V714" s="4">
        <v>27</v>
      </c>
      <c r="W714" s="4">
        <v>81</v>
      </c>
    </row>
    <row r="715" spans="1:23" ht="11.25" customHeight="1" x14ac:dyDescent="0.25">
      <c r="A715" s="4" t="s">
        <v>59</v>
      </c>
      <c r="B715" s="4" t="s">
        <v>33</v>
      </c>
      <c r="C715" s="4" t="s">
        <v>34</v>
      </c>
      <c r="D715" s="4" t="s">
        <v>42</v>
      </c>
      <c r="E715" s="4" t="s">
        <v>25</v>
      </c>
      <c r="F715" s="4" t="s">
        <v>25</v>
      </c>
      <c r="G715" s="4" t="s">
        <v>25</v>
      </c>
      <c r="H715" s="4" t="s">
        <v>35</v>
      </c>
      <c r="I715" s="5">
        <v>44075</v>
      </c>
      <c r="J715" s="6">
        <v>0</v>
      </c>
      <c r="K715" s="6">
        <v>0</v>
      </c>
      <c r="L715" s="6">
        <v>1567.9880000000001</v>
      </c>
      <c r="M715" s="6">
        <v>1567.9880000000001</v>
      </c>
      <c r="N715" s="6">
        <v>1567.9880000000001</v>
      </c>
      <c r="O715" s="6">
        <v>1567.9880000000001</v>
      </c>
      <c r="P715" s="6">
        <v>0</v>
      </c>
      <c r="Q715" s="4" t="s">
        <v>26</v>
      </c>
      <c r="R715" s="4">
        <v>0</v>
      </c>
      <c r="S715" s="4" t="s">
        <v>370</v>
      </c>
      <c r="T715" s="4" t="s">
        <v>723</v>
      </c>
      <c r="U715" s="4">
        <v>0</v>
      </c>
      <c r="V715" s="4">
        <v>27</v>
      </c>
      <c r="W715" s="4">
        <v>81</v>
      </c>
    </row>
    <row r="716" spans="1:23" ht="11.25" customHeight="1" x14ac:dyDescent="0.25">
      <c r="A716" s="4" t="s">
        <v>59</v>
      </c>
      <c r="B716" s="4" t="s">
        <v>33</v>
      </c>
      <c r="C716" s="4" t="s">
        <v>34</v>
      </c>
      <c r="D716" s="4" t="s">
        <v>42</v>
      </c>
      <c r="E716" s="4" t="s">
        <v>25</v>
      </c>
      <c r="F716" s="4" t="s">
        <v>25</v>
      </c>
      <c r="G716" s="4" t="s">
        <v>25</v>
      </c>
      <c r="H716" s="4" t="s">
        <v>35</v>
      </c>
      <c r="I716" s="5">
        <v>44075</v>
      </c>
      <c r="J716" s="6">
        <v>0</v>
      </c>
      <c r="K716" s="6">
        <v>0</v>
      </c>
      <c r="L716" s="6">
        <v>0.104</v>
      </c>
      <c r="M716" s="6">
        <v>0.104</v>
      </c>
      <c r="N716" s="6">
        <v>0.104</v>
      </c>
      <c r="O716" s="6">
        <v>0.104</v>
      </c>
      <c r="P716" s="6">
        <v>0</v>
      </c>
      <c r="Q716" s="4" t="s">
        <v>26</v>
      </c>
      <c r="R716" s="4">
        <v>0</v>
      </c>
      <c r="S716" s="4" t="s">
        <v>370</v>
      </c>
      <c r="T716" s="4" t="s">
        <v>723</v>
      </c>
      <c r="U716" s="4">
        <v>0</v>
      </c>
      <c r="V716" s="4">
        <v>27</v>
      </c>
      <c r="W716" s="4">
        <v>81</v>
      </c>
    </row>
    <row r="717" spans="1:23" ht="11.25" customHeight="1" x14ac:dyDescent="0.25">
      <c r="A717" s="4" t="s">
        <v>59</v>
      </c>
      <c r="B717" s="4" t="s">
        <v>33</v>
      </c>
      <c r="C717" s="4" t="s">
        <v>34</v>
      </c>
      <c r="D717" s="4" t="s">
        <v>42</v>
      </c>
      <c r="E717" s="4" t="s">
        <v>25</v>
      </c>
      <c r="F717" s="4" t="s">
        <v>25</v>
      </c>
      <c r="G717" s="4" t="s">
        <v>25</v>
      </c>
      <c r="H717" s="4" t="s">
        <v>35</v>
      </c>
      <c r="I717" s="5">
        <v>44075</v>
      </c>
      <c r="J717" s="6">
        <v>0</v>
      </c>
      <c r="K717" s="6">
        <v>0</v>
      </c>
      <c r="L717" s="6">
        <v>53.747999999999998</v>
      </c>
      <c r="M717" s="6">
        <v>53.747999999999998</v>
      </c>
      <c r="N717" s="6">
        <v>53.747999999999998</v>
      </c>
      <c r="O717" s="6">
        <v>53.747999999999998</v>
      </c>
      <c r="P717" s="6">
        <v>0</v>
      </c>
      <c r="Q717" s="4" t="s">
        <v>26</v>
      </c>
      <c r="R717" s="4">
        <v>0</v>
      </c>
      <c r="S717" s="4" t="s">
        <v>370</v>
      </c>
      <c r="T717" s="4" t="s">
        <v>723</v>
      </c>
      <c r="U717" s="4">
        <v>0</v>
      </c>
      <c r="V717" s="4">
        <v>27</v>
      </c>
      <c r="W717" s="4">
        <v>81</v>
      </c>
    </row>
    <row r="718" spans="1:23" ht="11.25" customHeight="1" x14ac:dyDescent="0.25">
      <c r="A718" s="4" t="s">
        <v>21</v>
      </c>
      <c r="B718" s="4" t="s">
        <v>33</v>
      </c>
      <c r="C718" s="4" t="s">
        <v>34</v>
      </c>
      <c r="D718" s="4" t="s">
        <v>40</v>
      </c>
      <c r="E718" s="4" t="s">
        <v>25</v>
      </c>
      <c r="F718" s="4" t="s">
        <v>63</v>
      </c>
      <c r="G718" s="4" t="s">
        <v>25</v>
      </c>
      <c r="H718" s="4" t="s">
        <v>36</v>
      </c>
      <c r="I718" s="5">
        <v>43739</v>
      </c>
      <c r="J718" s="6">
        <v>0</v>
      </c>
      <c r="K718" s="6">
        <v>0</v>
      </c>
      <c r="L718" s="6">
        <v>9522.5750000000007</v>
      </c>
      <c r="M718" s="6">
        <v>9522.5750000000007</v>
      </c>
      <c r="N718" s="6">
        <v>0</v>
      </c>
      <c r="O718" s="6">
        <v>0</v>
      </c>
      <c r="P718" s="6">
        <v>0</v>
      </c>
      <c r="Q718" s="4" t="s">
        <v>60</v>
      </c>
      <c r="R718" s="4">
        <v>0</v>
      </c>
      <c r="S718" s="4" t="s">
        <v>335</v>
      </c>
      <c r="U718" s="4">
        <v>0</v>
      </c>
      <c r="V718" s="4">
        <v>28</v>
      </c>
      <c r="W718" s="4">
        <v>0</v>
      </c>
    </row>
    <row r="719" spans="1:23" ht="11.25" customHeight="1" x14ac:dyDescent="0.25">
      <c r="A719" s="4" t="s">
        <v>21</v>
      </c>
      <c r="B719" s="4" t="s">
        <v>33</v>
      </c>
      <c r="C719" s="4" t="s">
        <v>34</v>
      </c>
      <c r="D719" s="4" t="s">
        <v>40</v>
      </c>
      <c r="E719" s="4" t="s">
        <v>25</v>
      </c>
      <c r="F719" s="4" t="s">
        <v>63</v>
      </c>
      <c r="G719" s="4" t="s">
        <v>25</v>
      </c>
      <c r="H719" s="4" t="s">
        <v>36</v>
      </c>
      <c r="I719" s="5">
        <v>43770</v>
      </c>
      <c r="J719" s="6">
        <v>0</v>
      </c>
      <c r="K719" s="6">
        <v>0</v>
      </c>
      <c r="L719" s="6">
        <v>9113.6360000000004</v>
      </c>
      <c r="M719" s="6">
        <v>9113.6360000000004</v>
      </c>
      <c r="N719" s="6">
        <v>0</v>
      </c>
      <c r="O719" s="6">
        <v>0</v>
      </c>
      <c r="P719" s="6">
        <v>0</v>
      </c>
      <c r="Q719" s="4" t="s">
        <v>60</v>
      </c>
      <c r="R719" s="4">
        <v>0</v>
      </c>
      <c r="S719" s="4" t="s">
        <v>336</v>
      </c>
      <c r="U719" s="4">
        <v>0</v>
      </c>
      <c r="V719" s="4">
        <v>28</v>
      </c>
      <c r="W719" s="4">
        <v>0</v>
      </c>
    </row>
    <row r="720" spans="1:23" ht="11.25" customHeight="1" x14ac:dyDescent="0.25">
      <c r="A720" s="4" t="s">
        <v>21</v>
      </c>
      <c r="B720" s="4" t="s">
        <v>33</v>
      </c>
      <c r="C720" s="4" t="s">
        <v>34</v>
      </c>
      <c r="D720" s="4" t="s">
        <v>40</v>
      </c>
      <c r="E720" s="4" t="s">
        <v>25</v>
      </c>
      <c r="F720" s="4" t="s">
        <v>63</v>
      </c>
      <c r="G720" s="4" t="s">
        <v>25</v>
      </c>
      <c r="H720" s="4" t="s">
        <v>36</v>
      </c>
      <c r="I720" s="5">
        <v>43800</v>
      </c>
      <c r="J720" s="6">
        <v>0</v>
      </c>
      <c r="K720" s="6">
        <v>0</v>
      </c>
      <c r="L720" s="6">
        <v>9277.1280000000006</v>
      </c>
      <c r="M720" s="6">
        <v>9277.1280000000006</v>
      </c>
      <c r="N720" s="6">
        <v>0</v>
      </c>
      <c r="O720" s="6">
        <v>0</v>
      </c>
      <c r="P720" s="6">
        <v>0</v>
      </c>
      <c r="Q720" s="4" t="s">
        <v>60</v>
      </c>
      <c r="R720" s="4">
        <v>0</v>
      </c>
      <c r="S720" s="4" t="s">
        <v>337</v>
      </c>
      <c r="U720" s="4">
        <v>0</v>
      </c>
      <c r="V720" s="4">
        <v>28</v>
      </c>
      <c r="W720" s="4">
        <v>0</v>
      </c>
    </row>
    <row r="721" spans="1:23" ht="11.25" customHeight="1" x14ac:dyDescent="0.25">
      <c r="A721" s="4" t="s">
        <v>21</v>
      </c>
      <c r="B721" s="4" t="s">
        <v>33</v>
      </c>
      <c r="C721" s="4" t="s">
        <v>34</v>
      </c>
      <c r="D721" s="4" t="s">
        <v>40</v>
      </c>
      <c r="E721" s="4" t="s">
        <v>25</v>
      </c>
      <c r="F721" s="4" t="s">
        <v>63</v>
      </c>
      <c r="G721" s="4" t="s">
        <v>25</v>
      </c>
      <c r="H721" s="4" t="s">
        <v>36</v>
      </c>
      <c r="I721" s="5">
        <v>43831</v>
      </c>
      <c r="J721" s="6">
        <v>0</v>
      </c>
      <c r="K721" s="6">
        <v>0</v>
      </c>
      <c r="L721" s="6">
        <v>9105.9320000000007</v>
      </c>
      <c r="M721" s="6">
        <v>9105.9320000000007</v>
      </c>
      <c r="N721" s="6">
        <v>0</v>
      </c>
      <c r="O721" s="6">
        <v>0</v>
      </c>
      <c r="P721" s="6">
        <v>0</v>
      </c>
      <c r="Q721" s="4" t="s">
        <v>60</v>
      </c>
      <c r="R721" s="4">
        <v>0</v>
      </c>
      <c r="S721" s="4" t="s">
        <v>338</v>
      </c>
      <c r="U721" s="4">
        <v>0</v>
      </c>
      <c r="V721" s="4">
        <v>28</v>
      </c>
      <c r="W721" s="4">
        <v>0</v>
      </c>
    </row>
    <row r="722" spans="1:23" ht="11.25" customHeight="1" x14ac:dyDescent="0.25">
      <c r="A722" s="4" t="s">
        <v>21</v>
      </c>
      <c r="B722" s="4" t="s">
        <v>33</v>
      </c>
      <c r="C722" s="4" t="s">
        <v>34</v>
      </c>
      <c r="D722" s="4" t="s">
        <v>40</v>
      </c>
      <c r="E722" s="4" t="s">
        <v>25</v>
      </c>
      <c r="F722" s="4" t="s">
        <v>63</v>
      </c>
      <c r="G722" s="4" t="s">
        <v>25</v>
      </c>
      <c r="H722" s="4" t="s">
        <v>36</v>
      </c>
      <c r="I722" s="5">
        <v>43862</v>
      </c>
      <c r="J722" s="6">
        <v>0</v>
      </c>
      <c r="K722" s="6">
        <v>0</v>
      </c>
      <c r="L722" s="6">
        <v>8777.8739999999998</v>
      </c>
      <c r="M722" s="6">
        <v>8777.8739999999998</v>
      </c>
      <c r="N722" s="6">
        <v>0</v>
      </c>
      <c r="O722" s="6">
        <v>0</v>
      </c>
      <c r="P722" s="6">
        <v>0</v>
      </c>
      <c r="Q722" s="4" t="s">
        <v>60</v>
      </c>
      <c r="R722" s="4">
        <v>0</v>
      </c>
      <c r="S722" s="4" t="s">
        <v>339</v>
      </c>
      <c r="U722" s="4">
        <v>0</v>
      </c>
      <c r="V722" s="4">
        <v>28</v>
      </c>
      <c r="W722" s="4">
        <v>0</v>
      </c>
    </row>
    <row r="723" spans="1:23" ht="11.25" customHeight="1" x14ac:dyDescent="0.25">
      <c r="A723" s="4" t="s">
        <v>21</v>
      </c>
      <c r="B723" s="4" t="s">
        <v>33</v>
      </c>
      <c r="C723" s="4" t="s">
        <v>34</v>
      </c>
      <c r="D723" s="4" t="s">
        <v>40</v>
      </c>
      <c r="E723" s="4" t="s">
        <v>25</v>
      </c>
      <c r="F723" s="4" t="s">
        <v>63</v>
      </c>
      <c r="G723" s="4" t="s">
        <v>25</v>
      </c>
      <c r="H723" s="4" t="s">
        <v>36</v>
      </c>
      <c r="I723" s="5">
        <v>43891</v>
      </c>
      <c r="J723" s="6">
        <v>0</v>
      </c>
      <c r="K723" s="6">
        <v>0</v>
      </c>
      <c r="L723" s="6">
        <v>9129.2980000000007</v>
      </c>
      <c r="M723" s="6">
        <v>9129.2980000000007</v>
      </c>
      <c r="N723" s="6">
        <v>0</v>
      </c>
      <c r="O723" s="6">
        <v>0</v>
      </c>
      <c r="P723" s="6">
        <v>0</v>
      </c>
      <c r="Q723" s="4" t="s">
        <v>60</v>
      </c>
      <c r="R723" s="4">
        <v>0</v>
      </c>
      <c r="S723" s="4" t="s">
        <v>340</v>
      </c>
      <c r="U723" s="4">
        <v>0</v>
      </c>
      <c r="V723" s="4">
        <v>28</v>
      </c>
      <c r="W723" s="4">
        <v>0</v>
      </c>
    </row>
    <row r="724" spans="1:23" ht="11.25" customHeight="1" x14ac:dyDescent="0.25">
      <c r="A724" s="4" t="s">
        <v>21</v>
      </c>
      <c r="B724" s="4" t="s">
        <v>33</v>
      </c>
      <c r="C724" s="4" t="s">
        <v>34</v>
      </c>
      <c r="D724" s="4" t="s">
        <v>40</v>
      </c>
      <c r="E724" s="4" t="s">
        <v>25</v>
      </c>
      <c r="F724" s="4" t="s">
        <v>63</v>
      </c>
      <c r="G724" s="4" t="s">
        <v>25</v>
      </c>
      <c r="H724" s="4" t="s">
        <v>36</v>
      </c>
      <c r="I724" s="5">
        <v>43922</v>
      </c>
      <c r="J724" s="6">
        <v>0</v>
      </c>
      <c r="K724" s="6">
        <v>0</v>
      </c>
      <c r="L724" s="6">
        <v>8006.4009999999998</v>
      </c>
      <c r="M724" s="6">
        <v>8006.4009999999998</v>
      </c>
      <c r="N724" s="6">
        <v>0</v>
      </c>
      <c r="O724" s="6">
        <v>0</v>
      </c>
      <c r="P724" s="6">
        <v>0</v>
      </c>
      <c r="Q724" s="4" t="s">
        <v>60</v>
      </c>
      <c r="R724" s="4">
        <v>0</v>
      </c>
      <c r="S724" s="4" t="s">
        <v>341</v>
      </c>
      <c r="U724" s="4">
        <v>0</v>
      </c>
      <c r="V724" s="4">
        <v>28</v>
      </c>
      <c r="W724" s="4">
        <v>0</v>
      </c>
    </row>
    <row r="725" spans="1:23" ht="11.25" customHeight="1" x14ac:dyDescent="0.25">
      <c r="A725" s="4" t="s">
        <v>21</v>
      </c>
      <c r="B725" s="4" t="s">
        <v>33</v>
      </c>
      <c r="C725" s="4" t="s">
        <v>34</v>
      </c>
      <c r="D725" s="4" t="s">
        <v>40</v>
      </c>
      <c r="E725" s="4" t="s">
        <v>25</v>
      </c>
      <c r="F725" s="4" t="s">
        <v>63</v>
      </c>
      <c r="G725" s="4" t="s">
        <v>25</v>
      </c>
      <c r="H725" s="4" t="s">
        <v>36</v>
      </c>
      <c r="I725" s="5">
        <v>43952</v>
      </c>
      <c r="J725" s="6">
        <v>0</v>
      </c>
      <c r="K725" s="6">
        <v>0</v>
      </c>
      <c r="L725" s="6">
        <v>8153.3289999999997</v>
      </c>
      <c r="M725" s="6">
        <v>8153.3289999999997</v>
      </c>
      <c r="N725" s="6">
        <v>0</v>
      </c>
      <c r="O725" s="6">
        <v>0</v>
      </c>
      <c r="P725" s="6">
        <v>0</v>
      </c>
      <c r="Q725" s="4" t="s">
        <v>60</v>
      </c>
      <c r="R725" s="4">
        <v>0</v>
      </c>
      <c r="S725" s="4" t="s">
        <v>342</v>
      </c>
      <c r="U725" s="4">
        <v>0</v>
      </c>
      <c r="V725" s="4">
        <v>28</v>
      </c>
      <c r="W725" s="4">
        <v>0</v>
      </c>
    </row>
    <row r="726" spans="1:23" ht="11.25" customHeight="1" x14ac:dyDescent="0.25">
      <c r="A726" s="4" t="s">
        <v>21</v>
      </c>
      <c r="B726" s="4" t="s">
        <v>33</v>
      </c>
      <c r="C726" s="4" t="s">
        <v>34</v>
      </c>
      <c r="D726" s="4" t="s">
        <v>40</v>
      </c>
      <c r="E726" s="4" t="s">
        <v>25</v>
      </c>
      <c r="F726" s="4" t="s">
        <v>63</v>
      </c>
      <c r="G726" s="4" t="s">
        <v>25</v>
      </c>
      <c r="H726" s="4" t="s">
        <v>36</v>
      </c>
      <c r="I726" s="5">
        <v>43983</v>
      </c>
      <c r="J726" s="6">
        <v>0</v>
      </c>
      <c r="K726" s="6">
        <v>0</v>
      </c>
      <c r="L726" s="6">
        <v>8153.3289999999997</v>
      </c>
      <c r="M726" s="6">
        <v>8153.3289999999997</v>
      </c>
      <c r="N726" s="6">
        <v>0</v>
      </c>
      <c r="O726" s="6">
        <v>0</v>
      </c>
      <c r="P726" s="6">
        <v>0</v>
      </c>
      <c r="Q726" s="4" t="s">
        <v>60</v>
      </c>
      <c r="R726" s="4">
        <v>0</v>
      </c>
      <c r="S726" s="4" t="s">
        <v>343</v>
      </c>
      <c r="U726" s="4">
        <v>0</v>
      </c>
      <c r="V726" s="4">
        <v>28</v>
      </c>
      <c r="W726" s="4">
        <v>0</v>
      </c>
    </row>
    <row r="727" spans="1:23" ht="11.25" customHeight="1" x14ac:dyDescent="0.25">
      <c r="A727" s="4" t="s">
        <v>21</v>
      </c>
      <c r="B727" s="4" t="s">
        <v>33</v>
      </c>
      <c r="C727" s="4" t="s">
        <v>34</v>
      </c>
      <c r="D727" s="4" t="s">
        <v>40</v>
      </c>
      <c r="E727" s="4" t="s">
        <v>25</v>
      </c>
      <c r="F727" s="4" t="s">
        <v>63</v>
      </c>
      <c r="G727" s="4" t="s">
        <v>25</v>
      </c>
      <c r="H727" s="4" t="s">
        <v>36</v>
      </c>
      <c r="I727" s="5">
        <v>44013</v>
      </c>
      <c r="J727" s="6">
        <v>0</v>
      </c>
      <c r="K727" s="6">
        <v>0</v>
      </c>
      <c r="L727" s="6">
        <v>7304.66</v>
      </c>
      <c r="M727" s="6">
        <v>7304.66</v>
      </c>
      <c r="N727" s="6">
        <v>0</v>
      </c>
      <c r="O727" s="6">
        <v>0</v>
      </c>
      <c r="P727" s="6">
        <v>0</v>
      </c>
      <c r="Q727" s="4" t="s">
        <v>60</v>
      </c>
      <c r="R727" s="4">
        <v>0</v>
      </c>
      <c r="S727" s="4" t="s">
        <v>344</v>
      </c>
      <c r="U727" s="4">
        <v>0</v>
      </c>
      <c r="V727" s="4">
        <v>28</v>
      </c>
      <c r="W727" s="4">
        <v>0</v>
      </c>
    </row>
    <row r="728" spans="1:23" ht="11.25" customHeight="1" x14ac:dyDescent="0.25">
      <c r="A728" s="4" t="s">
        <v>21</v>
      </c>
      <c r="B728" s="4" t="s">
        <v>33</v>
      </c>
      <c r="C728" s="4" t="s">
        <v>34</v>
      </c>
      <c r="D728" s="4" t="s">
        <v>40</v>
      </c>
      <c r="E728" s="4" t="s">
        <v>25</v>
      </c>
      <c r="F728" s="4" t="s">
        <v>63</v>
      </c>
      <c r="G728" s="4" t="s">
        <v>25</v>
      </c>
      <c r="H728" s="4" t="s">
        <v>36</v>
      </c>
      <c r="I728" s="5">
        <v>44044</v>
      </c>
      <c r="J728" s="6">
        <v>0</v>
      </c>
      <c r="K728" s="6">
        <v>0</v>
      </c>
      <c r="L728" s="6">
        <v>8652.2639999999992</v>
      </c>
      <c r="M728" s="6">
        <v>8652.2639999999992</v>
      </c>
      <c r="N728" s="6">
        <v>0</v>
      </c>
      <c r="O728" s="6">
        <v>0</v>
      </c>
      <c r="P728" s="6">
        <v>0</v>
      </c>
      <c r="Q728" s="4" t="s">
        <v>60</v>
      </c>
      <c r="R728" s="4">
        <v>0</v>
      </c>
      <c r="S728" s="4" t="s">
        <v>345</v>
      </c>
      <c r="U728" s="4">
        <v>0</v>
      </c>
      <c r="V728" s="4">
        <v>28</v>
      </c>
      <c r="W728" s="4">
        <v>0</v>
      </c>
    </row>
    <row r="729" spans="1:23" ht="11.25" customHeight="1" x14ac:dyDescent="0.25">
      <c r="A729" s="4" t="s">
        <v>59</v>
      </c>
      <c r="B729" s="4" t="s">
        <v>33</v>
      </c>
      <c r="C729" s="4" t="s">
        <v>34</v>
      </c>
      <c r="D729" s="4" t="s">
        <v>40</v>
      </c>
      <c r="E729" s="4" t="s">
        <v>25</v>
      </c>
      <c r="F729" s="4" t="s">
        <v>63</v>
      </c>
      <c r="G729" s="4" t="s">
        <v>25</v>
      </c>
      <c r="H729" s="4" t="s">
        <v>36</v>
      </c>
      <c r="I729" s="5">
        <v>44075</v>
      </c>
      <c r="J729" s="6">
        <v>0</v>
      </c>
      <c r="K729" s="6">
        <v>0</v>
      </c>
      <c r="L729" s="6">
        <v>8652.2639999999992</v>
      </c>
      <c r="M729" s="6">
        <v>8652.2639999999992</v>
      </c>
      <c r="N729" s="6">
        <v>0</v>
      </c>
      <c r="O729" s="6">
        <v>0</v>
      </c>
      <c r="P729" s="6">
        <v>0</v>
      </c>
      <c r="Q729" s="4" t="s">
        <v>60</v>
      </c>
      <c r="R729" s="4">
        <v>0</v>
      </c>
      <c r="S729" s="4" t="s">
        <v>346</v>
      </c>
      <c r="U729" s="4">
        <v>0</v>
      </c>
      <c r="V729" s="4">
        <v>28</v>
      </c>
      <c r="W729" s="4">
        <v>0</v>
      </c>
    </row>
    <row r="730" spans="1:23" ht="11.25" customHeight="1" x14ac:dyDescent="0.25">
      <c r="A730" s="4" t="s">
        <v>21</v>
      </c>
      <c r="B730" s="4" t="s">
        <v>33</v>
      </c>
      <c r="C730" s="4" t="s">
        <v>34</v>
      </c>
      <c r="D730" s="4" t="s">
        <v>40</v>
      </c>
      <c r="E730" s="4" t="s">
        <v>25</v>
      </c>
      <c r="F730" s="4" t="s">
        <v>63</v>
      </c>
      <c r="G730" s="4" t="s">
        <v>25</v>
      </c>
      <c r="H730" s="4" t="s">
        <v>25</v>
      </c>
      <c r="I730" s="5">
        <v>43739</v>
      </c>
      <c r="J730" s="6">
        <v>28658</v>
      </c>
      <c r="K730" s="6">
        <v>18105.797125640001</v>
      </c>
      <c r="L730" s="6">
        <v>0</v>
      </c>
      <c r="M730" s="6">
        <v>0</v>
      </c>
      <c r="N730" s="6">
        <v>0</v>
      </c>
      <c r="O730" s="6">
        <v>0</v>
      </c>
      <c r="P730" s="6">
        <v>38</v>
      </c>
      <c r="Q730" s="4" t="s">
        <v>60</v>
      </c>
      <c r="R730" s="4">
        <v>0</v>
      </c>
      <c r="S730" s="4" t="s">
        <v>347</v>
      </c>
      <c r="U730" s="4">
        <v>26</v>
      </c>
      <c r="V730" s="4">
        <v>0</v>
      </c>
      <c r="W730" s="4">
        <v>0</v>
      </c>
    </row>
    <row r="731" spans="1:23" ht="11.25" customHeight="1" x14ac:dyDescent="0.25">
      <c r="A731" s="4" t="s">
        <v>21</v>
      </c>
      <c r="B731" s="4" t="s">
        <v>33</v>
      </c>
      <c r="C731" s="4" t="s">
        <v>34</v>
      </c>
      <c r="D731" s="4" t="s">
        <v>40</v>
      </c>
      <c r="E731" s="4" t="s">
        <v>25</v>
      </c>
      <c r="F731" s="4" t="s">
        <v>63</v>
      </c>
      <c r="G731" s="4" t="s">
        <v>25</v>
      </c>
      <c r="H731" s="4" t="s">
        <v>25</v>
      </c>
      <c r="I731" s="5">
        <v>43770</v>
      </c>
      <c r="J731" s="6">
        <v>28818</v>
      </c>
      <c r="K731" s="6">
        <v>19538.206887960001</v>
      </c>
      <c r="L731" s="6">
        <v>0</v>
      </c>
      <c r="M731" s="6">
        <v>0</v>
      </c>
      <c r="N731" s="6">
        <v>0</v>
      </c>
      <c r="O731" s="6">
        <v>0</v>
      </c>
      <c r="P731" s="6">
        <v>39</v>
      </c>
      <c r="Q731" s="4" t="s">
        <v>60</v>
      </c>
      <c r="R731" s="4">
        <v>0</v>
      </c>
      <c r="S731" s="4" t="s">
        <v>348</v>
      </c>
      <c r="U731" s="4">
        <v>26</v>
      </c>
      <c r="V731" s="4">
        <v>0</v>
      </c>
      <c r="W731" s="4">
        <v>0</v>
      </c>
    </row>
    <row r="732" spans="1:23" ht="11.25" customHeight="1" x14ac:dyDescent="0.25">
      <c r="A732" s="4" t="s">
        <v>21</v>
      </c>
      <c r="B732" s="4" t="s">
        <v>33</v>
      </c>
      <c r="C732" s="4" t="s">
        <v>34</v>
      </c>
      <c r="D732" s="4" t="s">
        <v>40</v>
      </c>
      <c r="E732" s="4" t="s">
        <v>25</v>
      </c>
      <c r="F732" s="4" t="s">
        <v>63</v>
      </c>
      <c r="G732" s="4" t="s">
        <v>25</v>
      </c>
      <c r="H732" s="4" t="s">
        <v>25</v>
      </c>
      <c r="I732" s="5">
        <v>43800</v>
      </c>
      <c r="J732" s="6">
        <v>28738</v>
      </c>
      <c r="K732" s="6">
        <v>18304.5297207</v>
      </c>
      <c r="L732" s="6">
        <v>0</v>
      </c>
      <c r="M732" s="6">
        <v>0</v>
      </c>
      <c r="N732" s="6">
        <v>0</v>
      </c>
      <c r="O732" s="6">
        <v>0</v>
      </c>
      <c r="P732" s="6">
        <v>39</v>
      </c>
      <c r="Q732" s="4" t="s">
        <v>60</v>
      </c>
      <c r="R732" s="4">
        <v>0</v>
      </c>
      <c r="S732" s="4" t="s">
        <v>349</v>
      </c>
      <c r="U732" s="4">
        <v>26</v>
      </c>
      <c r="V732" s="4">
        <v>0</v>
      </c>
      <c r="W732" s="4">
        <v>0</v>
      </c>
    </row>
    <row r="733" spans="1:23" ht="11.25" customHeight="1" x14ac:dyDescent="0.25">
      <c r="A733" s="4" t="s">
        <v>21</v>
      </c>
      <c r="B733" s="4" t="s">
        <v>33</v>
      </c>
      <c r="C733" s="4" t="s">
        <v>34</v>
      </c>
      <c r="D733" s="4" t="s">
        <v>40</v>
      </c>
      <c r="E733" s="4" t="s">
        <v>25</v>
      </c>
      <c r="F733" s="4" t="s">
        <v>63</v>
      </c>
      <c r="G733" s="4" t="s">
        <v>25</v>
      </c>
      <c r="H733" s="4" t="s">
        <v>25</v>
      </c>
      <c r="I733" s="5">
        <v>43831</v>
      </c>
      <c r="J733" s="6">
        <v>30386</v>
      </c>
      <c r="K733" s="6">
        <v>19479.92555236</v>
      </c>
      <c r="L733" s="6">
        <v>0</v>
      </c>
      <c r="M733" s="6">
        <v>0</v>
      </c>
      <c r="N733" s="6">
        <v>0</v>
      </c>
      <c r="O733" s="6">
        <v>0</v>
      </c>
      <c r="P733" s="6">
        <v>42</v>
      </c>
      <c r="Q733" s="4" t="s">
        <v>60</v>
      </c>
      <c r="R733" s="4">
        <v>0</v>
      </c>
      <c r="S733" s="4" t="s">
        <v>350</v>
      </c>
      <c r="U733" s="4">
        <v>26</v>
      </c>
      <c r="V733" s="4">
        <v>0</v>
      </c>
      <c r="W733" s="4">
        <v>0</v>
      </c>
    </row>
    <row r="734" spans="1:23" ht="11.25" customHeight="1" x14ac:dyDescent="0.25">
      <c r="A734" s="4" t="s">
        <v>21</v>
      </c>
      <c r="B734" s="4" t="s">
        <v>33</v>
      </c>
      <c r="C734" s="4" t="s">
        <v>34</v>
      </c>
      <c r="D734" s="4" t="s">
        <v>40</v>
      </c>
      <c r="E734" s="4" t="s">
        <v>25</v>
      </c>
      <c r="F734" s="4" t="s">
        <v>63</v>
      </c>
      <c r="G734" s="4" t="s">
        <v>25</v>
      </c>
      <c r="H734" s="4" t="s">
        <v>25</v>
      </c>
      <c r="I734" s="5">
        <v>43862</v>
      </c>
      <c r="J734" s="6">
        <v>30729</v>
      </c>
      <c r="K734" s="6">
        <v>19578.240551940002</v>
      </c>
      <c r="L734" s="6">
        <v>0</v>
      </c>
      <c r="M734" s="6">
        <v>0</v>
      </c>
      <c r="N734" s="6">
        <v>0</v>
      </c>
      <c r="O734" s="6">
        <v>0</v>
      </c>
      <c r="P734" s="6">
        <v>43</v>
      </c>
      <c r="Q734" s="4" t="s">
        <v>60</v>
      </c>
      <c r="R734" s="4">
        <v>0</v>
      </c>
      <c r="S734" s="4" t="s">
        <v>351</v>
      </c>
      <c r="U734" s="4">
        <v>26</v>
      </c>
      <c r="V734" s="4">
        <v>0</v>
      </c>
      <c r="W734" s="4">
        <v>0</v>
      </c>
    </row>
    <row r="735" spans="1:23" ht="11.25" customHeight="1" x14ac:dyDescent="0.25">
      <c r="A735" s="4" t="s">
        <v>21</v>
      </c>
      <c r="B735" s="4" t="s">
        <v>33</v>
      </c>
      <c r="C735" s="4" t="s">
        <v>34</v>
      </c>
      <c r="D735" s="4" t="s">
        <v>40</v>
      </c>
      <c r="E735" s="4" t="s">
        <v>25</v>
      </c>
      <c r="F735" s="4" t="s">
        <v>63</v>
      </c>
      <c r="G735" s="4" t="s">
        <v>25</v>
      </c>
      <c r="H735" s="4" t="s">
        <v>25</v>
      </c>
      <c r="I735" s="5">
        <v>43891</v>
      </c>
      <c r="J735" s="6">
        <v>30674</v>
      </c>
      <c r="K735" s="6">
        <v>20339.552416539998</v>
      </c>
      <c r="L735" s="6">
        <v>0</v>
      </c>
      <c r="M735" s="6">
        <v>0</v>
      </c>
      <c r="N735" s="6">
        <v>0</v>
      </c>
      <c r="O735" s="6">
        <v>0</v>
      </c>
      <c r="P735" s="6">
        <v>44</v>
      </c>
      <c r="Q735" s="4" t="s">
        <v>60</v>
      </c>
      <c r="R735" s="4">
        <v>0</v>
      </c>
      <c r="S735" s="4" t="s">
        <v>352</v>
      </c>
      <c r="U735" s="4">
        <v>26</v>
      </c>
      <c r="V735" s="4">
        <v>0</v>
      </c>
      <c r="W735" s="4">
        <v>0</v>
      </c>
    </row>
    <row r="736" spans="1:23" ht="11.25" customHeight="1" x14ac:dyDescent="0.25">
      <c r="A736" s="4" t="s">
        <v>21</v>
      </c>
      <c r="B736" s="4" t="s">
        <v>33</v>
      </c>
      <c r="C736" s="4" t="s">
        <v>34</v>
      </c>
      <c r="D736" s="4" t="s">
        <v>40</v>
      </c>
      <c r="E736" s="4" t="s">
        <v>25</v>
      </c>
      <c r="F736" s="4" t="s">
        <v>63</v>
      </c>
      <c r="G736" s="4" t="s">
        <v>25</v>
      </c>
      <c r="H736" s="4" t="s">
        <v>25</v>
      </c>
      <c r="I736" s="5">
        <v>43922</v>
      </c>
      <c r="J736" s="6">
        <v>31233</v>
      </c>
      <c r="K736" s="6">
        <v>20999.21989407</v>
      </c>
      <c r="L736" s="6">
        <v>0</v>
      </c>
      <c r="M736" s="6">
        <v>0</v>
      </c>
      <c r="N736" s="6">
        <v>0</v>
      </c>
      <c r="O736" s="6">
        <v>0</v>
      </c>
      <c r="P736" s="6">
        <v>46</v>
      </c>
      <c r="Q736" s="4" t="s">
        <v>60</v>
      </c>
      <c r="R736" s="4">
        <v>0</v>
      </c>
      <c r="S736" s="4" t="s">
        <v>353</v>
      </c>
      <c r="U736" s="4">
        <v>26</v>
      </c>
      <c r="V736" s="4">
        <v>0</v>
      </c>
      <c r="W736" s="4">
        <v>0</v>
      </c>
    </row>
    <row r="737" spans="1:23" ht="11.25" customHeight="1" x14ac:dyDescent="0.25">
      <c r="A737" s="4" t="s">
        <v>21</v>
      </c>
      <c r="B737" s="4" t="s">
        <v>33</v>
      </c>
      <c r="C737" s="4" t="s">
        <v>34</v>
      </c>
      <c r="D737" s="4" t="s">
        <v>40</v>
      </c>
      <c r="E737" s="4" t="s">
        <v>25</v>
      </c>
      <c r="F737" s="4" t="s">
        <v>63</v>
      </c>
      <c r="G737" s="4" t="s">
        <v>25</v>
      </c>
      <c r="H737" s="4" t="s">
        <v>25</v>
      </c>
      <c r="I737" s="5">
        <v>43952</v>
      </c>
      <c r="J737" s="6">
        <v>31789</v>
      </c>
      <c r="K737" s="6">
        <v>21260.29278389</v>
      </c>
      <c r="L737" s="6">
        <v>0</v>
      </c>
      <c r="M737" s="6">
        <v>0</v>
      </c>
      <c r="N737" s="6">
        <v>0</v>
      </c>
      <c r="O737" s="6">
        <v>0</v>
      </c>
      <c r="P737" s="6">
        <v>48</v>
      </c>
      <c r="Q737" s="4" t="s">
        <v>60</v>
      </c>
      <c r="R737" s="4">
        <v>0</v>
      </c>
      <c r="S737" s="4" t="s">
        <v>354</v>
      </c>
      <c r="U737" s="4">
        <v>26</v>
      </c>
      <c r="V737" s="4">
        <v>0</v>
      </c>
      <c r="W737" s="4">
        <v>0</v>
      </c>
    </row>
    <row r="738" spans="1:23" ht="11.25" customHeight="1" x14ac:dyDescent="0.25">
      <c r="A738" s="4" t="s">
        <v>21</v>
      </c>
      <c r="B738" s="4" t="s">
        <v>33</v>
      </c>
      <c r="C738" s="4" t="s">
        <v>34</v>
      </c>
      <c r="D738" s="4" t="s">
        <v>40</v>
      </c>
      <c r="E738" s="4" t="s">
        <v>25</v>
      </c>
      <c r="F738" s="4" t="s">
        <v>63</v>
      </c>
      <c r="G738" s="4" t="s">
        <v>25</v>
      </c>
      <c r="H738" s="4" t="s">
        <v>25</v>
      </c>
      <c r="I738" s="5">
        <v>43983</v>
      </c>
      <c r="J738" s="6">
        <v>31789</v>
      </c>
      <c r="K738" s="6">
        <v>20936.759282719999</v>
      </c>
      <c r="L738" s="6">
        <v>0</v>
      </c>
      <c r="M738" s="6">
        <v>0</v>
      </c>
      <c r="N738" s="6">
        <v>0</v>
      </c>
      <c r="O738" s="6">
        <v>0</v>
      </c>
      <c r="P738" s="6">
        <v>48</v>
      </c>
      <c r="Q738" s="4" t="s">
        <v>60</v>
      </c>
      <c r="R738" s="4">
        <v>0</v>
      </c>
      <c r="S738" s="4" t="s">
        <v>355</v>
      </c>
      <c r="U738" s="4">
        <v>26</v>
      </c>
      <c r="V738" s="4">
        <v>0</v>
      </c>
      <c r="W738" s="4">
        <v>0</v>
      </c>
    </row>
    <row r="739" spans="1:23" ht="11.25" customHeight="1" x14ac:dyDescent="0.25">
      <c r="A739" s="4" t="s">
        <v>21</v>
      </c>
      <c r="B739" s="4" t="s">
        <v>33</v>
      </c>
      <c r="C739" s="4" t="s">
        <v>34</v>
      </c>
      <c r="D739" s="4" t="s">
        <v>40</v>
      </c>
      <c r="E739" s="4" t="s">
        <v>25</v>
      </c>
      <c r="F739" s="4" t="s">
        <v>63</v>
      </c>
      <c r="G739" s="4" t="s">
        <v>25</v>
      </c>
      <c r="H739" s="4" t="s">
        <v>25</v>
      </c>
      <c r="I739" s="5">
        <v>44013</v>
      </c>
      <c r="J739" s="6">
        <v>26128</v>
      </c>
      <c r="K739" s="6">
        <v>17431.1880752</v>
      </c>
      <c r="L739" s="6">
        <v>0</v>
      </c>
      <c r="M739" s="6">
        <v>0</v>
      </c>
      <c r="N739" s="6">
        <v>0</v>
      </c>
      <c r="O739" s="6">
        <v>0</v>
      </c>
      <c r="P739" s="6">
        <v>36</v>
      </c>
      <c r="Q739" s="4" t="s">
        <v>60</v>
      </c>
      <c r="R739" s="4">
        <v>0</v>
      </c>
      <c r="S739" s="4" t="s">
        <v>356</v>
      </c>
      <c r="U739" s="4">
        <v>26</v>
      </c>
      <c r="V739" s="4">
        <v>0</v>
      </c>
      <c r="W739" s="4">
        <v>0</v>
      </c>
    </row>
    <row r="740" spans="1:23" ht="11.25" customHeight="1" x14ac:dyDescent="0.25">
      <c r="A740" s="4" t="s">
        <v>21</v>
      </c>
      <c r="B740" s="4" t="s">
        <v>33</v>
      </c>
      <c r="C740" s="4" t="s">
        <v>34</v>
      </c>
      <c r="D740" s="4" t="s">
        <v>40</v>
      </c>
      <c r="E740" s="4" t="s">
        <v>25</v>
      </c>
      <c r="F740" s="4" t="s">
        <v>63</v>
      </c>
      <c r="G740" s="4" t="s">
        <v>25</v>
      </c>
      <c r="H740" s="4" t="s">
        <v>25</v>
      </c>
      <c r="I740" s="5">
        <v>44044</v>
      </c>
      <c r="J740" s="6">
        <v>32612</v>
      </c>
      <c r="K740" s="6">
        <v>21850.04</v>
      </c>
      <c r="L740" s="6">
        <v>0</v>
      </c>
      <c r="M740" s="6">
        <v>0</v>
      </c>
      <c r="N740" s="6">
        <v>0</v>
      </c>
      <c r="O740" s="6">
        <v>0</v>
      </c>
      <c r="P740" s="6">
        <v>51</v>
      </c>
      <c r="Q740" s="4" t="s">
        <v>60</v>
      </c>
      <c r="R740" s="4">
        <v>0</v>
      </c>
      <c r="S740" s="4" t="s">
        <v>357</v>
      </c>
      <c r="U740" s="4">
        <v>26</v>
      </c>
      <c r="V740" s="4">
        <v>0</v>
      </c>
      <c r="W740" s="4">
        <v>0</v>
      </c>
    </row>
    <row r="741" spans="1:23" ht="11.25" customHeight="1" x14ac:dyDescent="0.25">
      <c r="A741" s="4" t="s">
        <v>59</v>
      </c>
      <c r="B741" s="4" t="s">
        <v>33</v>
      </c>
      <c r="C741" s="4" t="s">
        <v>34</v>
      </c>
      <c r="D741" s="4" t="s">
        <v>40</v>
      </c>
      <c r="E741" s="4" t="s">
        <v>25</v>
      </c>
      <c r="F741" s="4" t="s">
        <v>63</v>
      </c>
      <c r="G741" s="4" t="s">
        <v>25</v>
      </c>
      <c r="H741" s="4" t="s">
        <v>25</v>
      </c>
      <c r="I741" s="5">
        <v>44075</v>
      </c>
      <c r="J741" s="6">
        <v>32612</v>
      </c>
      <c r="K741" s="6">
        <v>21850.04</v>
      </c>
      <c r="L741" s="6">
        <v>0</v>
      </c>
      <c r="M741" s="6">
        <v>0</v>
      </c>
      <c r="N741" s="6">
        <v>0</v>
      </c>
      <c r="O741" s="6">
        <v>0</v>
      </c>
      <c r="P741" s="6">
        <v>51</v>
      </c>
      <c r="Q741" s="4" t="s">
        <v>60</v>
      </c>
      <c r="R741" s="4">
        <v>0</v>
      </c>
      <c r="S741" s="4" t="s">
        <v>358</v>
      </c>
      <c r="U741" s="4">
        <v>26</v>
      </c>
      <c r="V741" s="4">
        <v>0</v>
      </c>
      <c r="W741" s="4">
        <v>0</v>
      </c>
    </row>
    <row r="742" spans="1:23" ht="11.25" customHeight="1" x14ac:dyDescent="0.25">
      <c r="A742" s="4" t="s">
        <v>21</v>
      </c>
      <c r="B742" s="4" t="s">
        <v>33</v>
      </c>
      <c r="C742" s="4" t="s">
        <v>34</v>
      </c>
      <c r="D742" s="4" t="s">
        <v>40</v>
      </c>
      <c r="E742" s="4" t="s">
        <v>25</v>
      </c>
      <c r="F742" s="4" t="s">
        <v>63</v>
      </c>
      <c r="G742" s="4" t="s">
        <v>25</v>
      </c>
      <c r="H742" s="4" t="s">
        <v>35</v>
      </c>
      <c r="I742" s="5">
        <v>43739</v>
      </c>
      <c r="J742" s="6">
        <v>0</v>
      </c>
      <c r="K742" s="6">
        <v>0</v>
      </c>
      <c r="L742" s="6">
        <v>1047.0619999999999</v>
      </c>
      <c r="M742" s="6">
        <v>710.75534998225999</v>
      </c>
      <c r="N742" s="6">
        <v>0</v>
      </c>
      <c r="O742" s="6">
        <v>0</v>
      </c>
      <c r="P742" s="6">
        <v>0</v>
      </c>
      <c r="Q742" s="4" t="s">
        <v>60</v>
      </c>
      <c r="R742" s="4">
        <v>0</v>
      </c>
      <c r="S742" s="4" t="s">
        <v>359</v>
      </c>
      <c r="U742" s="4">
        <v>0</v>
      </c>
      <c r="V742" s="4">
        <v>27</v>
      </c>
      <c r="W742" s="4">
        <v>0</v>
      </c>
    </row>
    <row r="743" spans="1:23" ht="11.25" customHeight="1" x14ac:dyDescent="0.25">
      <c r="A743" s="4" t="s">
        <v>21</v>
      </c>
      <c r="B743" s="4" t="s">
        <v>33</v>
      </c>
      <c r="C743" s="4" t="s">
        <v>34</v>
      </c>
      <c r="D743" s="4" t="s">
        <v>40</v>
      </c>
      <c r="E743" s="4" t="s">
        <v>25</v>
      </c>
      <c r="F743" s="4" t="s">
        <v>63</v>
      </c>
      <c r="G743" s="4" t="s">
        <v>25</v>
      </c>
      <c r="H743" s="4" t="s">
        <v>35</v>
      </c>
      <c r="I743" s="5">
        <v>43770</v>
      </c>
      <c r="J743" s="6">
        <v>0</v>
      </c>
      <c r="K743" s="6">
        <v>0</v>
      </c>
      <c r="L743" s="6">
        <v>892.98900000000003</v>
      </c>
      <c r="M743" s="6">
        <v>563.05930103369997</v>
      </c>
      <c r="N743" s="6">
        <v>0</v>
      </c>
      <c r="O743" s="6">
        <v>0</v>
      </c>
      <c r="P743" s="6">
        <v>0</v>
      </c>
      <c r="Q743" s="4" t="s">
        <v>60</v>
      </c>
      <c r="R743" s="4">
        <v>0</v>
      </c>
      <c r="S743" s="4" t="s">
        <v>360</v>
      </c>
      <c r="U743" s="4">
        <v>0</v>
      </c>
      <c r="V743" s="4">
        <v>27</v>
      </c>
      <c r="W743" s="4">
        <v>0</v>
      </c>
    </row>
    <row r="744" spans="1:23" ht="11.25" customHeight="1" x14ac:dyDescent="0.25">
      <c r="A744" s="4" t="s">
        <v>21</v>
      </c>
      <c r="B744" s="4" t="s">
        <v>33</v>
      </c>
      <c r="C744" s="4" t="s">
        <v>34</v>
      </c>
      <c r="D744" s="4" t="s">
        <v>40</v>
      </c>
      <c r="E744" s="4" t="s">
        <v>25</v>
      </c>
      <c r="F744" s="4" t="s">
        <v>63</v>
      </c>
      <c r="G744" s="4" t="s">
        <v>25</v>
      </c>
      <c r="H744" s="4" t="s">
        <v>35</v>
      </c>
      <c r="I744" s="5">
        <v>43800</v>
      </c>
      <c r="J744" s="6">
        <v>0</v>
      </c>
      <c r="K744" s="6">
        <v>0</v>
      </c>
      <c r="L744" s="6">
        <v>875.40200000000004</v>
      </c>
      <c r="M744" s="6">
        <v>597.85909616554</v>
      </c>
      <c r="N744" s="6">
        <v>0</v>
      </c>
      <c r="O744" s="6">
        <v>0</v>
      </c>
      <c r="P744" s="6">
        <v>0</v>
      </c>
      <c r="Q744" s="4" t="s">
        <v>60</v>
      </c>
      <c r="R744" s="4">
        <v>0</v>
      </c>
      <c r="S744" s="4" t="s">
        <v>361</v>
      </c>
      <c r="U744" s="4">
        <v>0</v>
      </c>
      <c r="V744" s="4">
        <v>27</v>
      </c>
      <c r="W744" s="4">
        <v>0</v>
      </c>
    </row>
    <row r="745" spans="1:23" ht="11.25" customHeight="1" x14ac:dyDescent="0.25">
      <c r="A745" s="4" t="s">
        <v>21</v>
      </c>
      <c r="B745" s="4" t="s">
        <v>33</v>
      </c>
      <c r="C745" s="4" t="s">
        <v>34</v>
      </c>
      <c r="D745" s="4" t="s">
        <v>40</v>
      </c>
      <c r="E745" s="4" t="s">
        <v>25</v>
      </c>
      <c r="F745" s="4" t="s">
        <v>63</v>
      </c>
      <c r="G745" s="4" t="s">
        <v>25</v>
      </c>
      <c r="H745" s="4" t="s">
        <v>35</v>
      </c>
      <c r="I745" s="5">
        <v>43831</v>
      </c>
      <c r="J745" s="6">
        <v>0</v>
      </c>
      <c r="K745" s="6">
        <v>0</v>
      </c>
      <c r="L745" s="6">
        <v>979.89599999999996</v>
      </c>
      <c r="M745" s="6">
        <v>674.92929804816004</v>
      </c>
      <c r="N745" s="6">
        <v>0</v>
      </c>
      <c r="O745" s="6">
        <v>0</v>
      </c>
      <c r="P745" s="6">
        <v>0</v>
      </c>
      <c r="Q745" s="4" t="s">
        <v>60</v>
      </c>
      <c r="R745" s="4">
        <v>0</v>
      </c>
      <c r="S745" s="4" t="s">
        <v>362</v>
      </c>
      <c r="U745" s="4">
        <v>0</v>
      </c>
      <c r="V745" s="4">
        <v>27</v>
      </c>
      <c r="W745" s="4">
        <v>0</v>
      </c>
    </row>
    <row r="746" spans="1:23" ht="11.25" customHeight="1" x14ac:dyDescent="0.25">
      <c r="A746" s="4" t="s">
        <v>21</v>
      </c>
      <c r="B746" s="4" t="s">
        <v>33</v>
      </c>
      <c r="C746" s="4" t="s">
        <v>34</v>
      </c>
      <c r="D746" s="4" t="s">
        <v>40</v>
      </c>
      <c r="E746" s="4" t="s">
        <v>25</v>
      </c>
      <c r="F746" s="4" t="s">
        <v>63</v>
      </c>
      <c r="G746" s="4" t="s">
        <v>25</v>
      </c>
      <c r="H746" s="4" t="s">
        <v>35</v>
      </c>
      <c r="I746" s="5">
        <v>43862</v>
      </c>
      <c r="J746" s="6">
        <v>0</v>
      </c>
      <c r="K746" s="6">
        <v>0</v>
      </c>
      <c r="L746" s="6">
        <v>874.16800000000001</v>
      </c>
      <c r="M746" s="6">
        <v>599.14239520616002</v>
      </c>
      <c r="N746" s="6">
        <v>0</v>
      </c>
      <c r="O746" s="6">
        <v>0</v>
      </c>
      <c r="P746" s="6">
        <v>0</v>
      </c>
      <c r="Q746" s="4" t="s">
        <v>60</v>
      </c>
      <c r="R746" s="4">
        <v>0</v>
      </c>
      <c r="S746" s="4" t="s">
        <v>363</v>
      </c>
      <c r="U746" s="4">
        <v>0</v>
      </c>
      <c r="V746" s="4">
        <v>27</v>
      </c>
      <c r="W746" s="4">
        <v>0</v>
      </c>
    </row>
    <row r="747" spans="1:23" ht="11.25" customHeight="1" x14ac:dyDescent="0.25">
      <c r="A747" s="4" t="s">
        <v>21</v>
      </c>
      <c r="B747" s="4" t="s">
        <v>33</v>
      </c>
      <c r="C747" s="4" t="s">
        <v>34</v>
      </c>
      <c r="D747" s="4" t="s">
        <v>40</v>
      </c>
      <c r="E747" s="4" t="s">
        <v>25</v>
      </c>
      <c r="F747" s="4" t="s">
        <v>63</v>
      </c>
      <c r="G747" s="4" t="s">
        <v>25</v>
      </c>
      <c r="H747" s="4" t="s">
        <v>35</v>
      </c>
      <c r="I747" s="5">
        <v>43891</v>
      </c>
      <c r="J747" s="6">
        <v>0</v>
      </c>
      <c r="K747" s="6">
        <v>0</v>
      </c>
      <c r="L747" s="6">
        <v>941.30399999999997</v>
      </c>
      <c r="M747" s="6">
        <v>673.44196843559996</v>
      </c>
      <c r="N747" s="6">
        <v>0</v>
      </c>
      <c r="O747" s="6">
        <v>0</v>
      </c>
      <c r="P747" s="6">
        <v>0</v>
      </c>
      <c r="Q747" s="4" t="s">
        <v>60</v>
      </c>
      <c r="R747" s="4">
        <v>0</v>
      </c>
      <c r="S747" s="4" t="s">
        <v>364</v>
      </c>
      <c r="U747" s="4">
        <v>0</v>
      </c>
      <c r="V747" s="4">
        <v>27</v>
      </c>
      <c r="W747" s="4">
        <v>0</v>
      </c>
    </row>
    <row r="748" spans="1:23" ht="11.25" customHeight="1" x14ac:dyDescent="0.25">
      <c r="A748" s="4" t="s">
        <v>21</v>
      </c>
      <c r="B748" s="4" t="s">
        <v>33</v>
      </c>
      <c r="C748" s="4" t="s">
        <v>34</v>
      </c>
      <c r="D748" s="4" t="s">
        <v>40</v>
      </c>
      <c r="E748" s="4" t="s">
        <v>25</v>
      </c>
      <c r="F748" s="4" t="s">
        <v>63</v>
      </c>
      <c r="G748" s="4" t="s">
        <v>25</v>
      </c>
      <c r="H748" s="4" t="s">
        <v>35</v>
      </c>
      <c r="I748" s="5">
        <v>43922</v>
      </c>
      <c r="J748" s="6">
        <v>0</v>
      </c>
      <c r="K748" s="6">
        <v>0</v>
      </c>
      <c r="L748" s="6">
        <v>748.73599999999999</v>
      </c>
      <c r="M748" s="6">
        <v>534.27896175616002</v>
      </c>
      <c r="N748" s="6">
        <v>0</v>
      </c>
      <c r="O748" s="6">
        <v>0</v>
      </c>
      <c r="P748" s="6">
        <v>0</v>
      </c>
      <c r="Q748" s="4" t="s">
        <v>60</v>
      </c>
      <c r="R748" s="4">
        <v>0</v>
      </c>
      <c r="S748" s="4" t="s">
        <v>365</v>
      </c>
      <c r="U748" s="4">
        <v>0</v>
      </c>
      <c r="V748" s="4">
        <v>27</v>
      </c>
      <c r="W748" s="4">
        <v>0</v>
      </c>
    </row>
    <row r="749" spans="1:23" ht="11.25" customHeight="1" x14ac:dyDescent="0.25">
      <c r="A749" s="4" t="s">
        <v>21</v>
      </c>
      <c r="B749" s="4" t="s">
        <v>33</v>
      </c>
      <c r="C749" s="4" t="s">
        <v>34</v>
      </c>
      <c r="D749" s="4" t="s">
        <v>40</v>
      </c>
      <c r="E749" s="4" t="s">
        <v>25</v>
      </c>
      <c r="F749" s="4" t="s">
        <v>63</v>
      </c>
      <c r="G749" s="4" t="s">
        <v>25</v>
      </c>
      <c r="H749" s="4" t="s">
        <v>35</v>
      </c>
      <c r="I749" s="5">
        <v>43952</v>
      </c>
      <c r="J749" s="6">
        <v>0</v>
      </c>
      <c r="K749" s="6">
        <v>0</v>
      </c>
      <c r="L749" s="6">
        <v>759.61300000000006</v>
      </c>
      <c r="M749" s="6">
        <v>549.16568978141004</v>
      </c>
      <c r="N749" s="6">
        <v>0</v>
      </c>
      <c r="O749" s="6">
        <v>0</v>
      </c>
      <c r="P749" s="6">
        <v>0</v>
      </c>
      <c r="Q749" s="4" t="s">
        <v>60</v>
      </c>
      <c r="R749" s="4">
        <v>0</v>
      </c>
      <c r="S749" s="4" t="s">
        <v>366</v>
      </c>
      <c r="U749" s="4">
        <v>0</v>
      </c>
      <c r="V749" s="4">
        <v>27</v>
      </c>
      <c r="W749" s="4">
        <v>0</v>
      </c>
    </row>
    <row r="750" spans="1:23" ht="11.25" customHeight="1" x14ac:dyDescent="0.25">
      <c r="A750" s="4" t="s">
        <v>21</v>
      </c>
      <c r="B750" s="4" t="s">
        <v>33</v>
      </c>
      <c r="C750" s="4" t="s">
        <v>34</v>
      </c>
      <c r="D750" s="4" t="s">
        <v>40</v>
      </c>
      <c r="E750" s="4" t="s">
        <v>25</v>
      </c>
      <c r="F750" s="4" t="s">
        <v>63</v>
      </c>
      <c r="G750" s="4" t="s">
        <v>25</v>
      </c>
      <c r="H750" s="4" t="s">
        <v>35</v>
      </c>
      <c r="I750" s="5">
        <v>43983</v>
      </c>
      <c r="J750" s="6">
        <v>0</v>
      </c>
      <c r="K750" s="6">
        <v>0</v>
      </c>
      <c r="L750" s="6">
        <v>759.61300000000006</v>
      </c>
      <c r="M750" s="6">
        <v>543.50967215244998</v>
      </c>
      <c r="N750" s="6">
        <v>0</v>
      </c>
      <c r="O750" s="6">
        <v>0</v>
      </c>
      <c r="P750" s="6">
        <v>0</v>
      </c>
      <c r="Q750" s="4" t="s">
        <v>60</v>
      </c>
      <c r="R750" s="4">
        <v>0</v>
      </c>
      <c r="S750" s="4" t="s">
        <v>367</v>
      </c>
      <c r="U750" s="4">
        <v>0</v>
      </c>
      <c r="V750" s="4">
        <v>27</v>
      </c>
      <c r="W750" s="4">
        <v>0</v>
      </c>
    </row>
    <row r="751" spans="1:23" ht="11.25" customHeight="1" x14ac:dyDescent="0.25">
      <c r="A751" s="4" t="s">
        <v>21</v>
      </c>
      <c r="B751" s="4" t="s">
        <v>33</v>
      </c>
      <c r="C751" s="4" t="s">
        <v>34</v>
      </c>
      <c r="D751" s="4" t="s">
        <v>40</v>
      </c>
      <c r="E751" s="4" t="s">
        <v>25</v>
      </c>
      <c r="F751" s="4" t="s">
        <v>63</v>
      </c>
      <c r="G751" s="4" t="s">
        <v>25</v>
      </c>
      <c r="H751" s="4" t="s">
        <v>35</v>
      </c>
      <c r="I751" s="5">
        <v>44013</v>
      </c>
      <c r="J751" s="6">
        <v>0</v>
      </c>
      <c r="K751" s="6">
        <v>0</v>
      </c>
      <c r="L751" s="6">
        <v>782.59400000000005</v>
      </c>
      <c r="M751" s="6">
        <v>562.38294210848005</v>
      </c>
      <c r="N751" s="6">
        <v>0</v>
      </c>
      <c r="O751" s="6">
        <v>0</v>
      </c>
      <c r="P751" s="6">
        <v>0</v>
      </c>
      <c r="Q751" s="4" t="s">
        <v>60</v>
      </c>
      <c r="R751" s="4">
        <v>0</v>
      </c>
      <c r="S751" s="4" t="s">
        <v>368</v>
      </c>
      <c r="U751" s="4">
        <v>0</v>
      </c>
      <c r="V751" s="4">
        <v>27</v>
      </c>
      <c r="W751" s="4">
        <v>0</v>
      </c>
    </row>
    <row r="752" spans="1:23" ht="11.25" customHeight="1" x14ac:dyDescent="0.25">
      <c r="A752" s="4" t="s">
        <v>21</v>
      </c>
      <c r="B752" s="4" t="s">
        <v>33</v>
      </c>
      <c r="C752" s="4" t="s">
        <v>34</v>
      </c>
      <c r="D752" s="4" t="s">
        <v>40</v>
      </c>
      <c r="E752" s="4" t="s">
        <v>25</v>
      </c>
      <c r="F752" s="4" t="s">
        <v>63</v>
      </c>
      <c r="G752" s="4" t="s">
        <v>25</v>
      </c>
      <c r="H752" s="4" t="s">
        <v>35</v>
      </c>
      <c r="I752" s="5">
        <v>44044</v>
      </c>
      <c r="J752" s="6">
        <v>0</v>
      </c>
      <c r="K752" s="6">
        <v>0</v>
      </c>
      <c r="L752" s="6">
        <v>815.26900000000001</v>
      </c>
      <c r="M752" s="6">
        <v>586.99368000000004</v>
      </c>
      <c r="N752" s="6">
        <v>0</v>
      </c>
      <c r="O752" s="6">
        <v>0</v>
      </c>
      <c r="P752" s="6">
        <v>0</v>
      </c>
      <c r="Q752" s="4" t="s">
        <v>60</v>
      </c>
      <c r="R752" s="4">
        <v>0</v>
      </c>
      <c r="S752" s="4" t="s">
        <v>369</v>
      </c>
      <c r="U752" s="4">
        <v>0</v>
      </c>
      <c r="V752" s="4">
        <v>27</v>
      </c>
      <c r="W752" s="4">
        <v>0</v>
      </c>
    </row>
    <row r="753" spans="1:23" ht="11.25" customHeight="1" x14ac:dyDescent="0.25">
      <c r="A753" s="4" t="s">
        <v>59</v>
      </c>
      <c r="B753" s="4" t="s">
        <v>33</v>
      </c>
      <c r="C753" s="4" t="s">
        <v>34</v>
      </c>
      <c r="D753" s="4" t="s">
        <v>40</v>
      </c>
      <c r="E753" s="4" t="s">
        <v>25</v>
      </c>
      <c r="F753" s="4" t="s">
        <v>63</v>
      </c>
      <c r="G753" s="4" t="s">
        <v>25</v>
      </c>
      <c r="H753" s="4" t="s">
        <v>35</v>
      </c>
      <c r="I753" s="5">
        <v>44075</v>
      </c>
      <c r="J753" s="6">
        <v>0</v>
      </c>
      <c r="K753" s="6">
        <v>0</v>
      </c>
      <c r="L753" s="6">
        <v>815.26900000000001</v>
      </c>
      <c r="M753" s="6">
        <v>586.99368000000004</v>
      </c>
      <c r="N753" s="6">
        <v>0</v>
      </c>
      <c r="O753" s="6">
        <v>0</v>
      </c>
      <c r="P753" s="6">
        <v>0</v>
      </c>
      <c r="Q753" s="4" t="s">
        <v>60</v>
      </c>
      <c r="R753" s="4">
        <v>0</v>
      </c>
      <c r="S753" s="4" t="s">
        <v>370</v>
      </c>
      <c r="U753" s="4">
        <v>0</v>
      </c>
      <c r="V753" s="4">
        <v>27</v>
      </c>
      <c r="W753" s="4">
        <v>0</v>
      </c>
    </row>
    <row r="754" spans="1:23" ht="11.25" customHeight="1" x14ac:dyDescent="0.25">
      <c r="A754" s="4" t="s">
        <v>21</v>
      </c>
      <c r="B754" s="4" t="s">
        <v>33</v>
      </c>
      <c r="C754" s="4" t="s">
        <v>34</v>
      </c>
      <c r="D754" s="4" t="s">
        <v>40</v>
      </c>
      <c r="E754" s="4" t="s">
        <v>25</v>
      </c>
      <c r="F754" s="4" t="s">
        <v>25</v>
      </c>
      <c r="G754" s="4" t="s">
        <v>25</v>
      </c>
      <c r="H754" s="4" t="s">
        <v>36</v>
      </c>
      <c r="I754" s="5">
        <v>43739</v>
      </c>
      <c r="J754" s="6">
        <v>0</v>
      </c>
      <c r="K754" s="6">
        <v>0</v>
      </c>
      <c r="L754" s="6">
        <v>2945.4160000000002</v>
      </c>
      <c r="M754" s="6">
        <v>2945.4160000000002</v>
      </c>
      <c r="N754" s="6">
        <v>2945.4160000000002</v>
      </c>
      <c r="O754" s="6">
        <v>2945.4160000000002</v>
      </c>
      <c r="P754" s="6">
        <v>0</v>
      </c>
      <c r="Q754" s="4" t="s">
        <v>26</v>
      </c>
      <c r="R754" s="4">
        <v>0</v>
      </c>
      <c r="S754" s="4" t="s">
        <v>335</v>
      </c>
      <c r="T754" s="4" t="s">
        <v>700</v>
      </c>
      <c r="U754" s="4">
        <v>0</v>
      </c>
      <c r="V754" s="4">
        <v>28</v>
      </c>
      <c r="W754" s="4">
        <v>82</v>
      </c>
    </row>
    <row r="755" spans="1:23" ht="11.25" customHeight="1" x14ac:dyDescent="0.25">
      <c r="A755" s="4" t="s">
        <v>27</v>
      </c>
      <c r="B755" s="4" t="s">
        <v>33</v>
      </c>
      <c r="C755" s="4" t="s">
        <v>34</v>
      </c>
      <c r="D755" s="4" t="s">
        <v>40</v>
      </c>
      <c r="E755" s="4" t="s">
        <v>25</v>
      </c>
      <c r="F755" s="4" t="s">
        <v>25</v>
      </c>
      <c r="G755" s="4" t="s">
        <v>25</v>
      </c>
      <c r="H755" s="4" t="s">
        <v>36</v>
      </c>
      <c r="I755" s="5">
        <v>43739</v>
      </c>
      <c r="J755" s="6">
        <v>0</v>
      </c>
      <c r="K755" s="6">
        <v>0</v>
      </c>
      <c r="L755" s="6">
        <v>3.665</v>
      </c>
      <c r="M755" s="6">
        <v>3.665</v>
      </c>
      <c r="N755" s="6">
        <v>3.665</v>
      </c>
      <c r="O755" s="6">
        <v>3.665</v>
      </c>
      <c r="P755" s="6">
        <v>0</v>
      </c>
      <c r="Q755" s="4" t="s">
        <v>26</v>
      </c>
      <c r="R755" s="4">
        <v>0</v>
      </c>
      <c r="S755" s="4" t="s">
        <v>335</v>
      </c>
      <c r="T755" s="4" t="s">
        <v>700</v>
      </c>
      <c r="U755" s="4">
        <v>0</v>
      </c>
      <c r="V755" s="4">
        <v>28</v>
      </c>
      <c r="W755" s="4">
        <v>82</v>
      </c>
    </row>
    <row r="756" spans="1:23" ht="11.25" customHeight="1" x14ac:dyDescent="0.25">
      <c r="A756" s="4" t="s">
        <v>28</v>
      </c>
      <c r="B756" s="4" t="s">
        <v>33</v>
      </c>
      <c r="C756" s="4" t="s">
        <v>34</v>
      </c>
      <c r="D756" s="4" t="s">
        <v>40</v>
      </c>
      <c r="E756" s="4" t="s">
        <v>25</v>
      </c>
      <c r="F756" s="4" t="s">
        <v>25</v>
      </c>
      <c r="G756" s="4" t="s">
        <v>25</v>
      </c>
      <c r="H756" s="4" t="s">
        <v>36</v>
      </c>
      <c r="I756" s="5">
        <v>43739</v>
      </c>
      <c r="J756" s="6">
        <v>0</v>
      </c>
      <c r="K756" s="6">
        <v>0</v>
      </c>
      <c r="L756" s="6">
        <v>10.709</v>
      </c>
      <c r="M756" s="6">
        <v>10.709</v>
      </c>
      <c r="N756" s="6">
        <v>10.709</v>
      </c>
      <c r="O756" s="6">
        <v>10.709</v>
      </c>
      <c r="P756" s="6">
        <v>0</v>
      </c>
      <c r="Q756" s="4" t="s">
        <v>26</v>
      </c>
      <c r="R756" s="4">
        <v>0</v>
      </c>
      <c r="S756" s="4" t="s">
        <v>335</v>
      </c>
      <c r="T756" s="4" t="s">
        <v>700</v>
      </c>
      <c r="U756" s="4">
        <v>0</v>
      </c>
      <c r="V756" s="4">
        <v>28</v>
      </c>
      <c r="W756" s="4">
        <v>82</v>
      </c>
    </row>
    <row r="757" spans="1:23" ht="11.25" customHeight="1" x14ac:dyDescent="0.25">
      <c r="A757" s="4" t="s">
        <v>21</v>
      </c>
      <c r="B757" s="4" t="s">
        <v>33</v>
      </c>
      <c r="C757" s="4" t="s">
        <v>34</v>
      </c>
      <c r="D757" s="4" t="s">
        <v>40</v>
      </c>
      <c r="E757" s="4" t="s">
        <v>25</v>
      </c>
      <c r="F757" s="4" t="s">
        <v>25</v>
      </c>
      <c r="G757" s="4" t="s">
        <v>25</v>
      </c>
      <c r="H757" s="4" t="s">
        <v>36</v>
      </c>
      <c r="I757" s="5">
        <v>43770</v>
      </c>
      <c r="J757" s="6">
        <v>0</v>
      </c>
      <c r="K757" s="6">
        <v>0</v>
      </c>
      <c r="L757" s="6">
        <v>2797.2350000000001</v>
      </c>
      <c r="M757" s="6">
        <v>2797.2350000000001</v>
      </c>
      <c r="N757" s="6">
        <v>2797.2350000000001</v>
      </c>
      <c r="O757" s="6">
        <v>2797.2350000000001</v>
      </c>
      <c r="P757" s="6">
        <v>0</v>
      </c>
      <c r="Q757" s="4" t="s">
        <v>26</v>
      </c>
      <c r="R757" s="4">
        <v>0</v>
      </c>
      <c r="S757" s="4" t="s">
        <v>336</v>
      </c>
      <c r="T757" s="4" t="s">
        <v>701</v>
      </c>
      <c r="U757" s="4">
        <v>0</v>
      </c>
      <c r="V757" s="4">
        <v>28</v>
      </c>
      <c r="W757" s="4">
        <v>82</v>
      </c>
    </row>
    <row r="758" spans="1:23" ht="11.25" customHeight="1" x14ac:dyDescent="0.25">
      <c r="A758" s="4" t="s">
        <v>27</v>
      </c>
      <c r="B758" s="4" t="s">
        <v>33</v>
      </c>
      <c r="C758" s="4" t="s">
        <v>34</v>
      </c>
      <c r="D758" s="4" t="s">
        <v>40</v>
      </c>
      <c r="E758" s="4" t="s">
        <v>25</v>
      </c>
      <c r="F758" s="4" t="s">
        <v>25</v>
      </c>
      <c r="G758" s="4" t="s">
        <v>25</v>
      </c>
      <c r="H758" s="4" t="s">
        <v>36</v>
      </c>
      <c r="I758" s="5">
        <v>43770</v>
      </c>
      <c r="J758" s="6">
        <v>0</v>
      </c>
      <c r="K758" s="6">
        <v>0</v>
      </c>
      <c r="L758" s="6">
        <v>61.134999999999998</v>
      </c>
      <c r="M758" s="6">
        <v>61.134999999999998</v>
      </c>
      <c r="N758" s="6">
        <v>61.134999999999998</v>
      </c>
      <c r="O758" s="6">
        <v>61.134999999999998</v>
      </c>
      <c r="P758" s="6">
        <v>0</v>
      </c>
      <c r="Q758" s="4" t="s">
        <v>26</v>
      </c>
      <c r="R758" s="4">
        <v>0</v>
      </c>
      <c r="S758" s="4" t="s">
        <v>336</v>
      </c>
      <c r="T758" s="4" t="s">
        <v>701</v>
      </c>
      <c r="U758" s="4">
        <v>0</v>
      </c>
      <c r="V758" s="4">
        <v>28</v>
      </c>
      <c r="W758" s="4">
        <v>82</v>
      </c>
    </row>
    <row r="759" spans="1:23" ht="11.25" customHeight="1" x14ac:dyDescent="0.25">
      <c r="A759" s="4" t="s">
        <v>28</v>
      </c>
      <c r="B759" s="4" t="s">
        <v>33</v>
      </c>
      <c r="C759" s="4" t="s">
        <v>34</v>
      </c>
      <c r="D759" s="4" t="s">
        <v>40</v>
      </c>
      <c r="E759" s="4" t="s">
        <v>25</v>
      </c>
      <c r="F759" s="4" t="s">
        <v>25</v>
      </c>
      <c r="G759" s="4" t="s">
        <v>25</v>
      </c>
      <c r="H759" s="4" t="s">
        <v>36</v>
      </c>
      <c r="I759" s="5">
        <v>43770</v>
      </c>
      <c r="J759" s="6">
        <v>0</v>
      </c>
      <c r="K759" s="6">
        <v>0</v>
      </c>
      <c r="L759" s="6">
        <v>4.0910000000000002</v>
      </c>
      <c r="M759" s="6">
        <v>4.0910000000000002</v>
      </c>
      <c r="N759" s="6">
        <v>4.0910000000000002</v>
      </c>
      <c r="O759" s="6">
        <v>4.0910000000000002</v>
      </c>
      <c r="P759" s="6">
        <v>0</v>
      </c>
      <c r="Q759" s="4" t="s">
        <v>26</v>
      </c>
      <c r="R759" s="4">
        <v>0</v>
      </c>
      <c r="S759" s="4" t="s">
        <v>336</v>
      </c>
      <c r="T759" s="4" t="s">
        <v>701</v>
      </c>
      <c r="U759" s="4">
        <v>0</v>
      </c>
      <c r="V759" s="4">
        <v>28</v>
      </c>
      <c r="W759" s="4">
        <v>82</v>
      </c>
    </row>
    <row r="760" spans="1:23" ht="11.25" customHeight="1" x14ac:dyDescent="0.25">
      <c r="A760" s="4" t="s">
        <v>21</v>
      </c>
      <c r="B760" s="4" t="s">
        <v>33</v>
      </c>
      <c r="C760" s="4" t="s">
        <v>34</v>
      </c>
      <c r="D760" s="4" t="s">
        <v>40</v>
      </c>
      <c r="E760" s="4" t="s">
        <v>25</v>
      </c>
      <c r="F760" s="4" t="s">
        <v>25</v>
      </c>
      <c r="G760" s="4" t="s">
        <v>25</v>
      </c>
      <c r="H760" s="4" t="s">
        <v>36</v>
      </c>
      <c r="I760" s="5">
        <v>43800</v>
      </c>
      <c r="J760" s="6">
        <v>0</v>
      </c>
      <c r="K760" s="6">
        <v>0</v>
      </c>
      <c r="L760" s="6">
        <v>2684.395</v>
      </c>
      <c r="M760" s="6">
        <v>2684.395</v>
      </c>
      <c r="N760" s="6">
        <v>2684.395</v>
      </c>
      <c r="O760" s="6">
        <v>2684.395</v>
      </c>
      <c r="P760" s="6">
        <v>0</v>
      </c>
      <c r="Q760" s="4" t="s">
        <v>26</v>
      </c>
      <c r="R760" s="4">
        <v>0</v>
      </c>
      <c r="S760" s="4" t="s">
        <v>337</v>
      </c>
      <c r="T760" s="4" t="s">
        <v>702</v>
      </c>
      <c r="U760" s="4">
        <v>0</v>
      </c>
      <c r="V760" s="4">
        <v>28</v>
      </c>
      <c r="W760" s="4">
        <v>82</v>
      </c>
    </row>
    <row r="761" spans="1:23" ht="11.25" customHeight="1" x14ac:dyDescent="0.25">
      <c r="A761" s="4" t="s">
        <v>27</v>
      </c>
      <c r="B761" s="4" t="s">
        <v>33</v>
      </c>
      <c r="C761" s="4" t="s">
        <v>34</v>
      </c>
      <c r="D761" s="4" t="s">
        <v>40</v>
      </c>
      <c r="E761" s="4" t="s">
        <v>25</v>
      </c>
      <c r="F761" s="4" t="s">
        <v>25</v>
      </c>
      <c r="G761" s="4" t="s">
        <v>25</v>
      </c>
      <c r="H761" s="4" t="s">
        <v>36</v>
      </c>
      <c r="I761" s="5">
        <v>43800</v>
      </c>
      <c r="J761" s="6">
        <v>0</v>
      </c>
      <c r="K761" s="6">
        <v>0</v>
      </c>
      <c r="L761" s="6">
        <v>4.7859999999999996</v>
      </c>
      <c r="M761" s="6">
        <v>4.7859999999999996</v>
      </c>
      <c r="N761" s="6">
        <v>4.7859999999999996</v>
      </c>
      <c r="O761" s="6">
        <v>4.7859999999999996</v>
      </c>
      <c r="P761" s="6">
        <v>0</v>
      </c>
      <c r="Q761" s="4" t="s">
        <v>26</v>
      </c>
      <c r="R761" s="4">
        <v>0</v>
      </c>
      <c r="S761" s="4" t="s">
        <v>337</v>
      </c>
      <c r="T761" s="4" t="s">
        <v>702</v>
      </c>
      <c r="U761" s="4">
        <v>0</v>
      </c>
      <c r="V761" s="4">
        <v>28</v>
      </c>
      <c r="W761" s="4">
        <v>82</v>
      </c>
    </row>
    <row r="762" spans="1:23" ht="11.25" customHeight="1" x14ac:dyDescent="0.25">
      <c r="A762" s="4" t="s">
        <v>28</v>
      </c>
      <c r="B762" s="4" t="s">
        <v>33</v>
      </c>
      <c r="C762" s="4" t="s">
        <v>34</v>
      </c>
      <c r="D762" s="4" t="s">
        <v>40</v>
      </c>
      <c r="E762" s="4" t="s">
        <v>25</v>
      </c>
      <c r="F762" s="4" t="s">
        <v>25</v>
      </c>
      <c r="G762" s="4" t="s">
        <v>25</v>
      </c>
      <c r="H762" s="4" t="s">
        <v>36</v>
      </c>
      <c r="I762" s="5">
        <v>43800</v>
      </c>
      <c r="J762" s="6">
        <v>0</v>
      </c>
      <c r="K762" s="6">
        <v>0</v>
      </c>
      <c r="L762" s="6">
        <v>66.516999999999996</v>
      </c>
      <c r="M762" s="6">
        <v>66.516999999999996</v>
      </c>
      <c r="N762" s="6">
        <v>66.516999999999996</v>
      </c>
      <c r="O762" s="6">
        <v>66.516999999999996</v>
      </c>
      <c r="P762" s="6">
        <v>0</v>
      </c>
      <c r="Q762" s="4" t="s">
        <v>26</v>
      </c>
      <c r="R762" s="4">
        <v>0</v>
      </c>
      <c r="S762" s="4" t="s">
        <v>337</v>
      </c>
      <c r="T762" s="4" t="s">
        <v>702</v>
      </c>
      <c r="U762" s="4">
        <v>0</v>
      </c>
      <c r="V762" s="4">
        <v>28</v>
      </c>
      <c r="W762" s="4">
        <v>82</v>
      </c>
    </row>
    <row r="763" spans="1:23" ht="11.25" customHeight="1" x14ac:dyDescent="0.25">
      <c r="A763" s="4" t="s">
        <v>21</v>
      </c>
      <c r="B763" s="4" t="s">
        <v>33</v>
      </c>
      <c r="C763" s="4" t="s">
        <v>34</v>
      </c>
      <c r="D763" s="4" t="s">
        <v>40</v>
      </c>
      <c r="E763" s="4" t="s">
        <v>25</v>
      </c>
      <c r="F763" s="4" t="s">
        <v>25</v>
      </c>
      <c r="G763" s="4" t="s">
        <v>25</v>
      </c>
      <c r="H763" s="4" t="s">
        <v>36</v>
      </c>
      <c r="I763" s="5">
        <v>43831</v>
      </c>
      <c r="J763" s="6">
        <v>0</v>
      </c>
      <c r="K763" s="6">
        <v>0</v>
      </c>
      <c r="L763" s="6">
        <v>2122.011</v>
      </c>
      <c r="M763" s="6">
        <v>2122.011</v>
      </c>
      <c r="N763" s="6">
        <v>2122.011</v>
      </c>
      <c r="O763" s="6">
        <v>2122.011</v>
      </c>
      <c r="P763" s="6">
        <v>0</v>
      </c>
      <c r="Q763" s="4" t="s">
        <v>26</v>
      </c>
      <c r="R763" s="4">
        <v>0</v>
      </c>
      <c r="S763" s="4" t="s">
        <v>338</v>
      </c>
      <c r="T763" s="4" t="s">
        <v>703</v>
      </c>
      <c r="U763" s="4">
        <v>0</v>
      </c>
      <c r="V763" s="4">
        <v>28</v>
      </c>
      <c r="W763" s="4">
        <v>82</v>
      </c>
    </row>
    <row r="764" spans="1:23" ht="11.25" customHeight="1" x14ac:dyDescent="0.25">
      <c r="A764" s="4" t="s">
        <v>27</v>
      </c>
      <c r="B764" s="4" t="s">
        <v>33</v>
      </c>
      <c r="C764" s="4" t="s">
        <v>34</v>
      </c>
      <c r="D764" s="4" t="s">
        <v>40</v>
      </c>
      <c r="E764" s="4" t="s">
        <v>25</v>
      </c>
      <c r="F764" s="4" t="s">
        <v>25</v>
      </c>
      <c r="G764" s="4" t="s">
        <v>25</v>
      </c>
      <c r="H764" s="4" t="s">
        <v>36</v>
      </c>
      <c r="I764" s="5">
        <v>43831</v>
      </c>
      <c r="J764" s="6">
        <v>0</v>
      </c>
      <c r="K764" s="6">
        <v>0</v>
      </c>
      <c r="L764" s="6">
        <v>151.22300000000001</v>
      </c>
      <c r="M764" s="6">
        <v>151.22300000000001</v>
      </c>
      <c r="N764" s="6">
        <v>151.22300000000001</v>
      </c>
      <c r="O764" s="6">
        <v>151.22300000000001</v>
      </c>
      <c r="P764" s="6">
        <v>0</v>
      </c>
      <c r="Q764" s="4" t="s">
        <v>26</v>
      </c>
      <c r="R764" s="4">
        <v>0</v>
      </c>
      <c r="S764" s="4" t="s">
        <v>338</v>
      </c>
      <c r="T764" s="4" t="s">
        <v>703</v>
      </c>
      <c r="U764" s="4">
        <v>0</v>
      </c>
      <c r="V764" s="4">
        <v>28</v>
      </c>
      <c r="W764" s="4">
        <v>82</v>
      </c>
    </row>
    <row r="765" spans="1:23" ht="11.25" customHeight="1" x14ac:dyDescent="0.25">
      <c r="A765" s="4" t="s">
        <v>28</v>
      </c>
      <c r="B765" s="4" t="s">
        <v>33</v>
      </c>
      <c r="C765" s="4" t="s">
        <v>34</v>
      </c>
      <c r="D765" s="4" t="s">
        <v>40</v>
      </c>
      <c r="E765" s="4" t="s">
        <v>25</v>
      </c>
      <c r="F765" s="4" t="s">
        <v>25</v>
      </c>
      <c r="G765" s="4" t="s">
        <v>25</v>
      </c>
      <c r="H765" s="4" t="s">
        <v>36</v>
      </c>
      <c r="I765" s="5">
        <v>43831</v>
      </c>
      <c r="J765" s="6">
        <v>0</v>
      </c>
      <c r="K765" s="6">
        <v>0</v>
      </c>
      <c r="L765" s="6">
        <v>35.049999999999997</v>
      </c>
      <c r="M765" s="6">
        <v>35.049999999999997</v>
      </c>
      <c r="N765" s="6">
        <v>35.049999999999997</v>
      </c>
      <c r="O765" s="6">
        <v>35.049999999999997</v>
      </c>
      <c r="P765" s="6">
        <v>0</v>
      </c>
      <c r="Q765" s="4" t="s">
        <v>26</v>
      </c>
      <c r="R765" s="4">
        <v>0</v>
      </c>
      <c r="S765" s="4" t="s">
        <v>338</v>
      </c>
      <c r="T765" s="4" t="s">
        <v>703</v>
      </c>
      <c r="U765" s="4">
        <v>0</v>
      </c>
      <c r="V765" s="4">
        <v>28</v>
      </c>
      <c r="W765" s="4">
        <v>82</v>
      </c>
    </row>
    <row r="766" spans="1:23" ht="11.25" customHeight="1" x14ac:dyDescent="0.25">
      <c r="A766" s="4" t="s">
        <v>21</v>
      </c>
      <c r="B766" s="4" t="s">
        <v>33</v>
      </c>
      <c r="C766" s="4" t="s">
        <v>34</v>
      </c>
      <c r="D766" s="4" t="s">
        <v>40</v>
      </c>
      <c r="E766" s="4" t="s">
        <v>25</v>
      </c>
      <c r="F766" s="4" t="s">
        <v>25</v>
      </c>
      <c r="G766" s="4" t="s">
        <v>25</v>
      </c>
      <c r="H766" s="4" t="s">
        <v>36</v>
      </c>
      <c r="I766" s="5">
        <v>43862</v>
      </c>
      <c r="J766" s="6">
        <v>0</v>
      </c>
      <c r="K766" s="6">
        <v>0</v>
      </c>
      <c r="L766" s="6">
        <v>2540.741</v>
      </c>
      <c r="M766" s="6">
        <v>2540.741</v>
      </c>
      <c r="N766" s="6">
        <v>2540.741</v>
      </c>
      <c r="O766" s="6">
        <v>2540.741</v>
      </c>
      <c r="P766" s="6">
        <v>0</v>
      </c>
      <c r="Q766" s="4" t="s">
        <v>26</v>
      </c>
      <c r="R766" s="4">
        <v>0</v>
      </c>
      <c r="S766" s="4" t="s">
        <v>339</v>
      </c>
      <c r="T766" s="4" t="s">
        <v>704</v>
      </c>
      <c r="U766" s="4">
        <v>0</v>
      </c>
      <c r="V766" s="4">
        <v>28</v>
      </c>
      <c r="W766" s="4">
        <v>82</v>
      </c>
    </row>
    <row r="767" spans="1:23" ht="11.25" customHeight="1" x14ac:dyDescent="0.25">
      <c r="A767" s="4" t="s">
        <v>28</v>
      </c>
      <c r="B767" s="4" t="s">
        <v>33</v>
      </c>
      <c r="C767" s="4" t="s">
        <v>34</v>
      </c>
      <c r="D767" s="4" t="s">
        <v>40</v>
      </c>
      <c r="E767" s="4" t="s">
        <v>25</v>
      </c>
      <c r="F767" s="4" t="s">
        <v>25</v>
      </c>
      <c r="G767" s="4" t="s">
        <v>25</v>
      </c>
      <c r="H767" s="4" t="s">
        <v>36</v>
      </c>
      <c r="I767" s="5">
        <v>43862</v>
      </c>
      <c r="J767" s="6">
        <v>0</v>
      </c>
      <c r="K767" s="6">
        <v>0</v>
      </c>
      <c r="L767" s="6">
        <v>49.540999999999997</v>
      </c>
      <c r="M767" s="6">
        <v>49.540999999999997</v>
      </c>
      <c r="N767" s="6">
        <v>49.540999999999997</v>
      </c>
      <c r="O767" s="6">
        <v>49.540999999999997</v>
      </c>
      <c r="P767" s="6">
        <v>0</v>
      </c>
      <c r="Q767" s="4" t="s">
        <v>26</v>
      </c>
      <c r="R767" s="4">
        <v>0</v>
      </c>
      <c r="S767" s="4" t="s">
        <v>339</v>
      </c>
      <c r="T767" s="4" t="s">
        <v>704</v>
      </c>
      <c r="U767" s="4">
        <v>0</v>
      </c>
      <c r="V767" s="4">
        <v>28</v>
      </c>
      <c r="W767" s="4">
        <v>82</v>
      </c>
    </row>
    <row r="768" spans="1:23" ht="11.25" customHeight="1" x14ac:dyDescent="0.25">
      <c r="A768" s="4" t="s">
        <v>21</v>
      </c>
      <c r="B768" s="4" t="s">
        <v>33</v>
      </c>
      <c r="C768" s="4" t="s">
        <v>34</v>
      </c>
      <c r="D768" s="4" t="s">
        <v>40</v>
      </c>
      <c r="E768" s="4" t="s">
        <v>25</v>
      </c>
      <c r="F768" s="4" t="s">
        <v>25</v>
      </c>
      <c r="G768" s="4" t="s">
        <v>25</v>
      </c>
      <c r="H768" s="4" t="s">
        <v>36</v>
      </c>
      <c r="I768" s="5">
        <v>43891</v>
      </c>
      <c r="J768" s="6">
        <v>0</v>
      </c>
      <c r="K768" s="6">
        <v>0</v>
      </c>
      <c r="L768" s="6">
        <v>2220.6489999999999</v>
      </c>
      <c r="M768" s="6">
        <v>2220.6489999999999</v>
      </c>
      <c r="N768" s="6">
        <v>2220.6489999999999</v>
      </c>
      <c r="O768" s="6">
        <v>2220.6489999999999</v>
      </c>
      <c r="P768" s="6">
        <v>0</v>
      </c>
      <c r="Q768" s="4" t="s">
        <v>26</v>
      </c>
      <c r="R768" s="4">
        <v>0</v>
      </c>
      <c r="S768" s="4" t="s">
        <v>340</v>
      </c>
      <c r="T768" s="4" t="s">
        <v>705</v>
      </c>
      <c r="U768" s="4">
        <v>0</v>
      </c>
      <c r="V768" s="4">
        <v>28</v>
      </c>
      <c r="W768" s="4">
        <v>82</v>
      </c>
    </row>
    <row r="769" spans="1:23" ht="11.25" customHeight="1" x14ac:dyDescent="0.25">
      <c r="A769" s="4" t="s">
        <v>27</v>
      </c>
      <c r="B769" s="4" t="s">
        <v>33</v>
      </c>
      <c r="C769" s="4" t="s">
        <v>34</v>
      </c>
      <c r="D769" s="4" t="s">
        <v>40</v>
      </c>
      <c r="E769" s="4" t="s">
        <v>25</v>
      </c>
      <c r="F769" s="4" t="s">
        <v>25</v>
      </c>
      <c r="G769" s="4" t="s">
        <v>25</v>
      </c>
      <c r="H769" s="4" t="s">
        <v>36</v>
      </c>
      <c r="I769" s="5">
        <v>43891</v>
      </c>
      <c r="J769" s="6">
        <v>0</v>
      </c>
      <c r="K769" s="6">
        <v>0</v>
      </c>
      <c r="L769" s="6">
        <v>25.433</v>
      </c>
      <c r="M769" s="6">
        <v>25.433</v>
      </c>
      <c r="N769" s="6">
        <v>25.433</v>
      </c>
      <c r="O769" s="6">
        <v>25.433</v>
      </c>
      <c r="P769" s="6">
        <v>0</v>
      </c>
      <c r="Q769" s="4" t="s">
        <v>26</v>
      </c>
      <c r="R769" s="4">
        <v>0</v>
      </c>
      <c r="S769" s="4" t="s">
        <v>340</v>
      </c>
      <c r="T769" s="4" t="s">
        <v>705</v>
      </c>
      <c r="U769" s="4">
        <v>0</v>
      </c>
      <c r="V769" s="4">
        <v>28</v>
      </c>
      <c r="W769" s="4">
        <v>82</v>
      </c>
    </row>
    <row r="770" spans="1:23" ht="11.25" customHeight="1" x14ac:dyDescent="0.25">
      <c r="A770" s="4" t="s">
        <v>28</v>
      </c>
      <c r="B770" s="4" t="s">
        <v>33</v>
      </c>
      <c r="C770" s="4" t="s">
        <v>34</v>
      </c>
      <c r="D770" s="4" t="s">
        <v>40</v>
      </c>
      <c r="E770" s="4" t="s">
        <v>25</v>
      </c>
      <c r="F770" s="4" t="s">
        <v>25</v>
      </c>
      <c r="G770" s="4" t="s">
        <v>25</v>
      </c>
      <c r="H770" s="4" t="s">
        <v>36</v>
      </c>
      <c r="I770" s="5">
        <v>43891</v>
      </c>
      <c r="J770" s="6">
        <v>0</v>
      </c>
      <c r="K770" s="6">
        <v>0</v>
      </c>
      <c r="L770" s="6">
        <v>69.989000000000004</v>
      </c>
      <c r="M770" s="6">
        <v>69.989000000000004</v>
      </c>
      <c r="N770" s="6">
        <v>69.989000000000004</v>
      </c>
      <c r="O770" s="6">
        <v>69.989000000000004</v>
      </c>
      <c r="P770" s="6">
        <v>0</v>
      </c>
      <c r="Q770" s="4" t="s">
        <v>26</v>
      </c>
      <c r="R770" s="4">
        <v>0</v>
      </c>
      <c r="S770" s="4" t="s">
        <v>340</v>
      </c>
      <c r="T770" s="4" t="s">
        <v>705</v>
      </c>
      <c r="U770" s="4">
        <v>0</v>
      </c>
      <c r="V770" s="4">
        <v>28</v>
      </c>
      <c r="W770" s="4">
        <v>82</v>
      </c>
    </row>
    <row r="771" spans="1:23" ht="11.25" customHeight="1" x14ac:dyDescent="0.25">
      <c r="A771" s="4" t="s">
        <v>21</v>
      </c>
      <c r="B771" s="4" t="s">
        <v>33</v>
      </c>
      <c r="C771" s="4" t="s">
        <v>34</v>
      </c>
      <c r="D771" s="4" t="s">
        <v>40</v>
      </c>
      <c r="E771" s="4" t="s">
        <v>25</v>
      </c>
      <c r="F771" s="4" t="s">
        <v>25</v>
      </c>
      <c r="G771" s="4" t="s">
        <v>25</v>
      </c>
      <c r="H771" s="4" t="s">
        <v>36</v>
      </c>
      <c r="I771" s="5">
        <v>43922</v>
      </c>
      <c r="J771" s="6">
        <v>0</v>
      </c>
      <c r="K771" s="6">
        <v>0</v>
      </c>
      <c r="L771" s="6">
        <v>2355.7370000000001</v>
      </c>
      <c r="M771" s="6">
        <v>2355.7370000000001</v>
      </c>
      <c r="N771" s="6">
        <v>2355.7370000000001</v>
      </c>
      <c r="O771" s="6">
        <v>2355.7370000000001</v>
      </c>
      <c r="P771" s="6">
        <v>0</v>
      </c>
      <c r="Q771" s="4" t="s">
        <v>26</v>
      </c>
      <c r="R771" s="4">
        <v>0</v>
      </c>
      <c r="S771" s="4" t="s">
        <v>341</v>
      </c>
      <c r="T771" s="4" t="s">
        <v>706</v>
      </c>
      <c r="U771" s="4">
        <v>0</v>
      </c>
      <c r="V771" s="4">
        <v>28</v>
      </c>
      <c r="W771" s="4">
        <v>82</v>
      </c>
    </row>
    <row r="772" spans="1:23" ht="11.25" customHeight="1" x14ac:dyDescent="0.25">
      <c r="A772" s="4" t="s">
        <v>27</v>
      </c>
      <c r="B772" s="4" t="s">
        <v>33</v>
      </c>
      <c r="C772" s="4" t="s">
        <v>34</v>
      </c>
      <c r="D772" s="4" t="s">
        <v>40</v>
      </c>
      <c r="E772" s="4" t="s">
        <v>25</v>
      </c>
      <c r="F772" s="4" t="s">
        <v>25</v>
      </c>
      <c r="G772" s="4" t="s">
        <v>25</v>
      </c>
      <c r="H772" s="4" t="s">
        <v>36</v>
      </c>
      <c r="I772" s="5">
        <v>43922</v>
      </c>
      <c r="J772" s="6">
        <v>0</v>
      </c>
      <c r="K772" s="6">
        <v>0</v>
      </c>
      <c r="L772" s="6">
        <v>2.9390000000000001</v>
      </c>
      <c r="M772" s="6">
        <v>2.9390000000000001</v>
      </c>
      <c r="N772" s="6">
        <v>2.9390000000000001</v>
      </c>
      <c r="O772" s="6">
        <v>2.9390000000000001</v>
      </c>
      <c r="P772" s="6">
        <v>0</v>
      </c>
      <c r="Q772" s="4" t="s">
        <v>26</v>
      </c>
      <c r="R772" s="4">
        <v>0</v>
      </c>
      <c r="S772" s="4" t="s">
        <v>341</v>
      </c>
      <c r="T772" s="4" t="s">
        <v>706</v>
      </c>
      <c r="U772" s="4">
        <v>0</v>
      </c>
      <c r="V772" s="4">
        <v>28</v>
      </c>
      <c r="W772" s="4">
        <v>82</v>
      </c>
    </row>
    <row r="773" spans="1:23" ht="11.25" customHeight="1" x14ac:dyDescent="0.25">
      <c r="A773" s="4" t="s">
        <v>28</v>
      </c>
      <c r="B773" s="4" t="s">
        <v>33</v>
      </c>
      <c r="C773" s="4" t="s">
        <v>34</v>
      </c>
      <c r="D773" s="4" t="s">
        <v>40</v>
      </c>
      <c r="E773" s="4" t="s">
        <v>25</v>
      </c>
      <c r="F773" s="4" t="s">
        <v>25</v>
      </c>
      <c r="G773" s="4" t="s">
        <v>25</v>
      </c>
      <c r="H773" s="4" t="s">
        <v>36</v>
      </c>
      <c r="I773" s="5">
        <v>43922</v>
      </c>
      <c r="J773" s="6">
        <v>0</v>
      </c>
      <c r="K773" s="6">
        <v>0</v>
      </c>
      <c r="L773" s="6">
        <v>62.408999999999999</v>
      </c>
      <c r="M773" s="6">
        <v>62.408999999999999</v>
      </c>
      <c r="N773" s="6">
        <v>62.408999999999999</v>
      </c>
      <c r="O773" s="6">
        <v>62.408999999999999</v>
      </c>
      <c r="P773" s="6">
        <v>0</v>
      </c>
      <c r="Q773" s="4" t="s">
        <v>26</v>
      </c>
      <c r="R773" s="4">
        <v>0</v>
      </c>
      <c r="S773" s="4" t="s">
        <v>341</v>
      </c>
      <c r="T773" s="4" t="s">
        <v>706</v>
      </c>
      <c r="U773" s="4">
        <v>0</v>
      </c>
      <c r="V773" s="4">
        <v>28</v>
      </c>
      <c r="W773" s="4">
        <v>82</v>
      </c>
    </row>
    <row r="774" spans="1:23" ht="11.25" customHeight="1" x14ac:dyDescent="0.25">
      <c r="A774" s="4" t="s">
        <v>21</v>
      </c>
      <c r="B774" s="4" t="s">
        <v>33</v>
      </c>
      <c r="C774" s="4" t="s">
        <v>34</v>
      </c>
      <c r="D774" s="4" t="s">
        <v>40</v>
      </c>
      <c r="E774" s="4" t="s">
        <v>25</v>
      </c>
      <c r="F774" s="4" t="s">
        <v>25</v>
      </c>
      <c r="G774" s="4" t="s">
        <v>25</v>
      </c>
      <c r="H774" s="4" t="s">
        <v>36</v>
      </c>
      <c r="I774" s="5">
        <v>43952</v>
      </c>
      <c r="J774" s="6">
        <v>0</v>
      </c>
      <c r="K774" s="6">
        <v>0</v>
      </c>
      <c r="L774" s="6">
        <v>1754.0329999999999</v>
      </c>
      <c r="M774" s="6">
        <v>1754.0329999999999</v>
      </c>
      <c r="N774" s="6">
        <v>1754.0329999999999</v>
      </c>
      <c r="O774" s="6">
        <v>1754.0329999999999</v>
      </c>
      <c r="P774" s="6">
        <v>0</v>
      </c>
      <c r="Q774" s="4" t="s">
        <v>26</v>
      </c>
      <c r="R774" s="4">
        <v>0</v>
      </c>
      <c r="S774" s="4" t="s">
        <v>342</v>
      </c>
      <c r="T774" s="4" t="s">
        <v>707</v>
      </c>
      <c r="U774" s="4">
        <v>0</v>
      </c>
      <c r="V774" s="4">
        <v>28</v>
      </c>
      <c r="W774" s="4">
        <v>82</v>
      </c>
    </row>
    <row r="775" spans="1:23" ht="11.25" customHeight="1" x14ac:dyDescent="0.25">
      <c r="A775" s="4" t="s">
        <v>28</v>
      </c>
      <c r="B775" s="4" t="s">
        <v>33</v>
      </c>
      <c r="C775" s="4" t="s">
        <v>34</v>
      </c>
      <c r="D775" s="4" t="s">
        <v>40</v>
      </c>
      <c r="E775" s="4" t="s">
        <v>25</v>
      </c>
      <c r="F775" s="4" t="s">
        <v>25</v>
      </c>
      <c r="G775" s="4" t="s">
        <v>25</v>
      </c>
      <c r="H775" s="4" t="s">
        <v>36</v>
      </c>
      <c r="I775" s="5">
        <v>43952</v>
      </c>
      <c r="J775" s="6">
        <v>0</v>
      </c>
      <c r="K775" s="6">
        <v>0</v>
      </c>
      <c r="L775" s="6">
        <v>56.521000000000001</v>
      </c>
      <c r="M775" s="6">
        <v>56.521000000000001</v>
      </c>
      <c r="N775" s="6">
        <v>56.521000000000001</v>
      </c>
      <c r="O775" s="6">
        <v>56.521000000000001</v>
      </c>
      <c r="P775" s="6">
        <v>0</v>
      </c>
      <c r="Q775" s="4" t="s">
        <v>26</v>
      </c>
      <c r="R775" s="4">
        <v>0</v>
      </c>
      <c r="S775" s="4" t="s">
        <v>342</v>
      </c>
      <c r="T775" s="4" t="s">
        <v>707</v>
      </c>
      <c r="U775" s="4">
        <v>0</v>
      </c>
      <c r="V775" s="4">
        <v>28</v>
      </c>
      <c r="W775" s="4">
        <v>82</v>
      </c>
    </row>
    <row r="776" spans="1:23" ht="11.25" customHeight="1" x14ac:dyDescent="0.25">
      <c r="A776" s="4" t="s">
        <v>21</v>
      </c>
      <c r="B776" s="4" t="s">
        <v>33</v>
      </c>
      <c r="C776" s="4" t="s">
        <v>34</v>
      </c>
      <c r="D776" s="4" t="s">
        <v>40</v>
      </c>
      <c r="E776" s="4" t="s">
        <v>25</v>
      </c>
      <c r="F776" s="4" t="s">
        <v>25</v>
      </c>
      <c r="G776" s="4" t="s">
        <v>25</v>
      </c>
      <c r="H776" s="4" t="s">
        <v>36</v>
      </c>
      <c r="I776" s="5">
        <v>43983</v>
      </c>
      <c r="J776" s="6">
        <v>0</v>
      </c>
      <c r="K776" s="6">
        <v>0</v>
      </c>
      <c r="L776" s="6">
        <v>1931.4090000000001</v>
      </c>
      <c r="M776" s="6">
        <v>1931.4090000000001</v>
      </c>
      <c r="N776" s="6">
        <v>1931.4090000000001</v>
      </c>
      <c r="O776" s="6">
        <v>1931.4090000000001</v>
      </c>
      <c r="P776" s="6">
        <v>0</v>
      </c>
      <c r="Q776" s="4" t="s">
        <v>26</v>
      </c>
      <c r="R776" s="4">
        <v>0</v>
      </c>
      <c r="S776" s="4" t="s">
        <v>343</v>
      </c>
      <c r="T776" s="4" t="s">
        <v>708</v>
      </c>
      <c r="U776" s="4">
        <v>0</v>
      </c>
      <c r="V776" s="4">
        <v>28</v>
      </c>
      <c r="W776" s="4">
        <v>82</v>
      </c>
    </row>
    <row r="777" spans="1:23" ht="11.25" customHeight="1" x14ac:dyDescent="0.25">
      <c r="A777" s="4" t="s">
        <v>27</v>
      </c>
      <c r="B777" s="4" t="s">
        <v>33</v>
      </c>
      <c r="C777" s="4" t="s">
        <v>34</v>
      </c>
      <c r="D777" s="4" t="s">
        <v>40</v>
      </c>
      <c r="E777" s="4" t="s">
        <v>25</v>
      </c>
      <c r="F777" s="4" t="s">
        <v>25</v>
      </c>
      <c r="G777" s="4" t="s">
        <v>25</v>
      </c>
      <c r="H777" s="4" t="s">
        <v>36</v>
      </c>
      <c r="I777" s="5">
        <v>43983</v>
      </c>
      <c r="J777" s="6">
        <v>0</v>
      </c>
      <c r="K777" s="6">
        <v>0</v>
      </c>
      <c r="L777" s="6">
        <v>25.989000000000001</v>
      </c>
      <c r="M777" s="6">
        <v>25.989000000000001</v>
      </c>
      <c r="N777" s="6">
        <v>25.989000000000001</v>
      </c>
      <c r="O777" s="6">
        <v>25.989000000000001</v>
      </c>
      <c r="P777" s="6">
        <v>0</v>
      </c>
      <c r="Q777" s="4" t="s">
        <v>26</v>
      </c>
      <c r="R777" s="4">
        <v>0</v>
      </c>
      <c r="S777" s="4" t="s">
        <v>343</v>
      </c>
      <c r="T777" s="4" t="s">
        <v>708</v>
      </c>
      <c r="U777" s="4">
        <v>0</v>
      </c>
      <c r="V777" s="4">
        <v>28</v>
      </c>
      <c r="W777" s="4">
        <v>82</v>
      </c>
    </row>
    <row r="778" spans="1:23" ht="11.25" customHeight="1" x14ac:dyDescent="0.25">
      <c r="A778" s="4" t="s">
        <v>28</v>
      </c>
      <c r="B778" s="4" t="s">
        <v>33</v>
      </c>
      <c r="C778" s="4" t="s">
        <v>34</v>
      </c>
      <c r="D778" s="4" t="s">
        <v>40</v>
      </c>
      <c r="E778" s="4" t="s">
        <v>25</v>
      </c>
      <c r="F778" s="4" t="s">
        <v>25</v>
      </c>
      <c r="G778" s="4" t="s">
        <v>25</v>
      </c>
      <c r="H778" s="4" t="s">
        <v>36</v>
      </c>
      <c r="I778" s="5">
        <v>43983</v>
      </c>
      <c r="J778" s="6">
        <v>0</v>
      </c>
      <c r="K778" s="6">
        <v>0</v>
      </c>
      <c r="L778" s="6">
        <v>121.191</v>
      </c>
      <c r="M778" s="6">
        <v>121.191</v>
      </c>
      <c r="N778" s="6">
        <v>121.191</v>
      </c>
      <c r="O778" s="6">
        <v>121.191</v>
      </c>
      <c r="P778" s="6">
        <v>0</v>
      </c>
      <c r="Q778" s="4" t="s">
        <v>26</v>
      </c>
      <c r="R778" s="4">
        <v>0</v>
      </c>
      <c r="S778" s="4" t="s">
        <v>343</v>
      </c>
      <c r="T778" s="4" t="s">
        <v>708</v>
      </c>
      <c r="U778" s="4">
        <v>0</v>
      </c>
      <c r="V778" s="4">
        <v>28</v>
      </c>
      <c r="W778" s="4">
        <v>82</v>
      </c>
    </row>
    <row r="779" spans="1:23" ht="11.25" customHeight="1" x14ac:dyDescent="0.25">
      <c r="A779" s="4" t="s">
        <v>21</v>
      </c>
      <c r="B779" s="4" t="s">
        <v>33</v>
      </c>
      <c r="C779" s="4" t="s">
        <v>34</v>
      </c>
      <c r="D779" s="4" t="s">
        <v>40</v>
      </c>
      <c r="E779" s="4" t="s">
        <v>25</v>
      </c>
      <c r="F779" s="4" t="s">
        <v>25</v>
      </c>
      <c r="G779" s="4" t="s">
        <v>25</v>
      </c>
      <c r="H779" s="4" t="s">
        <v>36</v>
      </c>
      <c r="I779" s="5">
        <v>44013</v>
      </c>
      <c r="J779" s="6">
        <v>0</v>
      </c>
      <c r="K779" s="6">
        <v>0</v>
      </c>
      <c r="L779" s="6">
        <v>2076.2440000000001</v>
      </c>
      <c r="M779" s="6">
        <v>2076.2440000000001</v>
      </c>
      <c r="N779" s="6">
        <v>2076.2440000000001</v>
      </c>
      <c r="O779" s="6">
        <v>2076.2440000000001</v>
      </c>
      <c r="P779" s="6">
        <v>0</v>
      </c>
      <c r="Q779" s="4" t="s">
        <v>26</v>
      </c>
      <c r="R779" s="4">
        <v>0</v>
      </c>
      <c r="S779" s="4" t="s">
        <v>344</v>
      </c>
      <c r="T779" s="4" t="s">
        <v>709</v>
      </c>
      <c r="U779" s="4">
        <v>0</v>
      </c>
      <c r="V779" s="4">
        <v>28</v>
      </c>
      <c r="W779" s="4">
        <v>82</v>
      </c>
    </row>
    <row r="780" spans="1:23" ht="11.25" customHeight="1" x14ac:dyDescent="0.25">
      <c r="A780" s="4" t="s">
        <v>27</v>
      </c>
      <c r="B780" s="4" t="s">
        <v>33</v>
      </c>
      <c r="C780" s="4" t="s">
        <v>34</v>
      </c>
      <c r="D780" s="4" t="s">
        <v>40</v>
      </c>
      <c r="E780" s="4" t="s">
        <v>25</v>
      </c>
      <c r="F780" s="4" t="s">
        <v>25</v>
      </c>
      <c r="G780" s="4" t="s">
        <v>25</v>
      </c>
      <c r="H780" s="4" t="s">
        <v>36</v>
      </c>
      <c r="I780" s="5">
        <v>44013</v>
      </c>
      <c r="J780" s="6">
        <v>0</v>
      </c>
      <c r="K780" s="6">
        <v>0</v>
      </c>
      <c r="L780" s="6">
        <v>21.2</v>
      </c>
      <c r="M780" s="6">
        <v>21.2</v>
      </c>
      <c r="N780" s="6">
        <v>21.2</v>
      </c>
      <c r="O780" s="6">
        <v>21.2</v>
      </c>
      <c r="P780" s="6">
        <v>0</v>
      </c>
      <c r="Q780" s="4" t="s">
        <v>26</v>
      </c>
      <c r="R780" s="4">
        <v>0</v>
      </c>
      <c r="S780" s="4" t="s">
        <v>344</v>
      </c>
      <c r="T780" s="4" t="s">
        <v>709</v>
      </c>
      <c r="U780" s="4">
        <v>0</v>
      </c>
      <c r="V780" s="4">
        <v>28</v>
      </c>
      <c r="W780" s="4">
        <v>82</v>
      </c>
    </row>
    <row r="781" spans="1:23" ht="11.25" customHeight="1" x14ac:dyDescent="0.25">
      <c r="A781" s="4" t="s">
        <v>28</v>
      </c>
      <c r="B781" s="4" t="s">
        <v>33</v>
      </c>
      <c r="C781" s="4" t="s">
        <v>34</v>
      </c>
      <c r="D781" s="4" t="s">
        <v>40</v>
      </c>
      <c r="E781" s="4" t="s">
        <v>25</v>
      </c>
      <c r="F781" s="4" t="s">
        <v>25</v>
      </c>
      <c r="G781" s="4" t="s">
        <v>25</v>
      </c>
      <c r="H781" s="4" t="s">
        <v>36</v>
      </c>
      <c r="I781" s="5">
        <v>44013</v>
      </c>
      <c r="J781" s="6">
        <v>0</v>
      </c>
      <c r="K781" s="6">
        <v>0</v>
      </c>
      <c r="L781" s="6">
        <v>164.58799999999999</v>
      </c>
      <c r="M781" s="6">
        <v>164.58799999999999</v>
      </c>
      <c r="N781" s="6">
        <v>164.58799999999999</v>
      </c>
      <c r="O781" s="6">
        <v>164.58799999999999</v>
      </c>
      <c r="P781" s="6">
        <v>0</v>
      </c>
      <c r="Q781" s="4" t="s">
        <v>26</v>
      </c>
      <c r="R781" s="4">
        <v>0</v>
      </c>
      <c r="S781" s="4" t="s">
        <v>344</v>
      </c>
      <c r="T781" s="4" t="s">
        <v>709</v>
      </c>
      <c r="U781" s="4">
        <v>0</v>
      </c>
      <c r="V781" s="4">
        <v>28</v>
      </c>
      <c r="W781" s="4">
        <v>82</v>
      </c>
    </row>
    <row r="782" spans="1:23" ht="11.25" customHeight="1" x14ac:dyDescent="0.25">
      <c r="A782" s="4" t="s">
        <v>21</v>
      </c>
      <c r="B782" s="4" t="s">
        <v>33</v>
      </c>
      <c r="C782" s="4" t="s">
        <v>34</v>
      </c>
      <c r="D782" s="4" t="s">
        <v>40</v>
      </c>
      <c r="E782" s="4" t="s">
        <v>25</v>
      </c>
      <c r="F782" s="4" t="s">
        <v>25</v>
      </c>
      <c r="G782" s="4" t="s">
        <v>25</v>
      </c>
      <c r="H782" s="4" t="s">
        <v>36</v>
      </c>
      <c r="I782" s="5">
        <v>44044</v>
      </c>
      <c r="J782" s="6">
        <v>0</v>
      </c>
      <c r="K782" s="6">
        <v>0</v>
      </c>
      <c r="L782" s="6">
        <v>1972.558</v>
      </c>
      <c r="M782" s="6">
        <v>1972.558</v>
      </c>
      <c r="N782" s="6">
        <v>1972.558</v>
      </c>
      <c r="O782" s="6">
        <v>1972.558</v>
      </c>
      <c r="P782" s="6">
        <v>0</v>
      </c>
      <c r="Q782" s="4" t="s">
        <v>26</v>
      </c>
      <c r="R782" s="4">
        <v>0</v>
      </c>
      <c r="S782" s="4" t="s">
        <v>345</v>
      </c>
      <c r="T782" s="4" t="s">
        <v>710</v>
      </c>
      <c r="U782" s="4">
        <v>0</v>
      </c>
      <c r="V782" s="4">
        <v>28</v>
      </c>
      <c r="W782" s="4">
        <v>82</v>
      </c>
    </row>
    <row r="783" spans="1:23" ht="11.25" customHeight="1" x14ac:dyDescent="0.25">
      <c r="A783" s="4" t="s">
        <v>27</v>
      </c>
      <c r="B783" s="4" t="s">
        <v>33</v>
      </c>
      <c r="C783" s="4" t="s">
        <v>34</v>
      </c>
      <c r="D783" s="4" t="s">
        <v>40</v>
      </c>
      <c r="E783" s="4" t="s">
        <v>25</v>
      </c>
      <c r="F783" s="4" t="s">
        <v>25</v>
      </c>
      <c r="G783" s="4" t="s">
        <v>25</v>
      </c>
      <c r="H783" s="4" t="s">
        <v>36</v>
      </c>
      <c r="I783" s="5">
        <v>44044</v>
      </c>
      <c r="J783" s="6">
        <v>0</v>
      </c>
      <c r="K783" s="6">
        <v>0</v>
      </c>
      <c r="L783" s="6">
        <v>30.524000000000001</v>
      </c>
      <c r="M783" s="6">
        <v>30.524000000000001</v>
      </c>
      <c r="N783" s="6">
        <v>30.524000000000001</v>
      </c>
      <c r="O783" s="6">
        <v>30.524000000000001</v>
      </c>
      <c r="P783" s="6">
        <v>0</v>
      </c>
      <c r="Q783" s="4" t="s">
        <v>26</v>
      </c>
      <c r="R783" s="4">
        <v>0</v>
      </c>
      <c r="S783" s="4" t="s">
        <v>345</v>
      </c>
      <c r="T783" s="4" t="s">
        <v>710</v>
      </c>
      <c r="U783" s="4">
        <v>0</v>
      </c>
      <c r="V783" s="4">
        <v>28</v>
      </c>
      <c r="W783" s="4">
        <v>82</v>
      </c>
    </row>
    <row r="784" spans="1:23" ht="11.25" customHeight="1" x14ac:dyDescent="0.25">
      <c r="A784" s="4" t="s">
        <v>28</v>
      </c>
      <c r="B784" s="4" t="s">
        <v>33</v>
      </c>
      <c r="C784" s="4" t="s">
        <v>34</v>
      </c>
      <c r="D784" s="4" t="s">
        <v>40</v>
      </c>
      <c r="E784" s="4" t="s">
        <v>25</v>
      </c>
      <c r="F784" s="4" t="s">
        <v>25</v>
      </c>
      <c r="G784" s="4" t="s">
        <v>25</v>
      </c>
      <c r="H784" s="4" t="s">
        <v>36</v>
      </c>
      <c r="I784" s="5">
        <v>44044</v>
      </c>
      <c r="J784" s="6">
        <v>0</v>
      </c>
      <c r="K784" s="6">
        <v>0</v>
      </c>
      <c r="L784" s="6">
        <v>150.28800000000001</v>
      </c>
      <c r="M784" s="6">
        <v>150.28800000000001</v>
      </c>
      <c r="N784" s="6">
        <v>150.28800000000001</v>
      </c>
      <c r="O784" s="6">
        <v>150.28800000000001</v>
      </c>
      <c r="P784" s="6">
        <v>0</v>
      </c>
      <c r="Q784" s="4" t="s">
        <v>26</v>
      </c>
      <c r="R784" s="4">
        <v>0</v>
      </c>
      <c r="S784" s="4" t="s">
        <v>345</v>
      </c>
      <c r="T784" s="4" t="s">
        <v>710</v>
      </c>
      <c r="U784" s="4">
        <v>0</v>
      </c>
      <c r="V784" s="4">
        <v>28</v>
      </c>
      <c r="W784" s="4">
        <v>82</v>
      </c>
    </row>
    <row r="785" spans="1:23" ht="11.25" customHeight="1" x14ac:dyDescent="0.25">
      <c r="A785" s="4" t="s">
        <v>59</v>
      </c>
      <c r="B785" s="4" t="s">
        <v>33</v>
      </c>
      <c r="C785" s="4" t="s">
        <v>34</v>
      </c>
      <c r="D785" s="4" t="s">
        <v>40</v>
      </c>
      <c r="E785" s="4" t="s">
        <v>25</v>
      </c>
      <c r="F785" s="4" t="s">
        <v>25</v>
      </c>
      <c r="G785" s="4" t="s">
        <v>25</v>
      </c>
      <c r="H785" s="4" t="s">
        <v>36</v>
      </c>
      <c r="I785" s="5">
        <v>44075</v>
      </c>
      <c r="J785" s="6">
        <v>0</v>
      </c>
      <c r="K785" s="6">
        <v>0</v>
      </c>
      <c r="L785" s="6">
        <v>1972.558</v>
      </c>
      <c r="M785" s="6">
        <v>1972.558</v>
      </c>
      <c r="N785" s="6">
        <v>1972.558</v>
      </c>
      <c r="O785" s="6">
        <v>1972.558</v>
      </c>
      <c r="P785" s="6">
        <v>0</v>
      </c>
      <c r="Q785" s="4" t="s">
        <v>26</v>
      </c>
      <c r="R785" s="4">
        <v>0</v>
      </c>
      <c r="S785" s="4" t="s">
        <v>346</v>
      </c>
      <c r="T785" s="4" t="s">
        <v>711</v>
      </c>
      <c r="U785" s="4">
        <v>0</v>
      </c>
      <c r="V785" s="4">
        <v>28</v>
      </c>
      <c r="W785" s="4">
        <v>82</v>
      </c>
    </row>
    <row r="786" spans="1:23" ht="11.25" customHeight="1" x14ac:dyDescent="0.25">
      <c r="A786" s="4" t="s">
        <v>59</v>
      </c>
      <c r="B786" s="4" t="s">
        <v>33</v>
      </c>
      <c r="C786" s="4" t="s">
        <v>34</v>
      </c>
      <c r="D786" s="4" t="s">
        <v>40</v>
      </c>
      <c r="E786" s="4" t="s">
        <v>25</v>
      </c>
      <c r="F786" s="4" t="s">
        <v>25</v>
      </c>
      <c r="G786" s="4" t="s">
        <v>25</v>
      </c>
      <c r="H786" s="4" t="s">
        <v>36</v>
      </c>
      <c r="I786" s="5">
        <v>44075</v>
      </c>
      <c r="J786" s="6">
        <v>0</v>
      </c>
      <c r="K786" s="6">
        <v>0</v>
      </c>
      <c r="L786" s="6">
        <v>30.524000000000001</v>
      </c>
      <c r="M786" s="6">
        <v>30.524000000000001</v>
      </c>
      <c r="N786" s="6">
        <v>30.524000000000001</v>
      </c>
      <c r="O786" s="6">
        <v>30.524000000000001</v>
      </c>
      <c r="P786" s="6">
        <v>0</v>
      </c>
      <c r="Q786" s="4" t="s">
        <v>26</v>
      </c>
      <c r="R786" s="4">
        <v>0</v>
      </c>
      <c r="S786" s="4" t="s">
        <v>346</v>
      </c>
      <c r="T786" s="4" t="s">
        <v>711</v>
      </c>
      <c r="U786" s="4">
        <v>0</v>
      </c>
      <c r="V786" s="4">
        <v>28</v>
      </c>
      <c r="W786" s="4">
        <v>82</v>
      </c>
    </row>
    <row r="787" spans="1:23" ht="11.25" customHeight="1" x14ac:dyDescent="0.25">
      <c r="A787" s="4" t="s">
        <v>59</v>
      </c>
      <c r="B787" s="4" t="s">
        <v>33</v>
      </c>
      <c r="C787" s="4" t="s">
        <v>34</v>
      </c>
      <c r="D787" s="4" t="s">
        <v>40</v>
      </c>
      <c r="E787" s="4" t="s">
        <v>25</v>
      </c>
      <c r="F787" s="4" t="s">
        <v>25</v>
      </c>
      <c r="G787" s="4" t="s">
        <v>25</v>
      </c>
      <c r="H787" s="4" t="s">
        <v>36</v>
      </c>
      <c r="I787" s="5">
        <v>44075</v>
      </c>
      <c r="J787" s="6">
        <v>0</v>
      </c>
      <c r="K787" s="6">
        <v>0</v>
      </c>
      <c r="L787" s="6">
        <v>150.28800000000001</v>
      </c>
      <c r="M787" s="6">
        <v>150.28800000000001</v>
      </c>
      <c r="N787" s="6">
        <v>150.28800000000001</v>
      </c>
      <c r="O787" s="6">
        <v>150.28800000000001</v>
      </c>
      <c r="P787" s="6">
        <v>0</v>
      </c>
      <c r="Q787" s="4" t="s">
        <v>26</v>
      </c>
      <c r="R787" s="4">
        <v>0</v>
      </c>
      <c r="S787" s="4" t="s">
        <v>346</v>
      </c>
      <c r="T787" s="4" t="s">
        <v>711</v>
      </c>
      <c r="U787" s="4">
        <v>0</v>
      </c>
      <c r="V787" s="4">
        <v>28</v>
      </c>
      <c r="W787" s="4">
        <v>82</v>
      </c>
    </row>
    <row r="788" spans="1:23" ht="11.25" customHeight="1" x14ac:dyDescent="0.25">
      <c r="A788" s="4" t="s">
        <v>21</v>
      </c>
      <c r="B788" s="4" t="s">
        <v>33</v>
      </c>
      <c r="C788" s="4" t="s">
        <v>34</v>
      </c>
      <c r="D788" s="4" t="s">
        <v>40</v>
      </c>
      <c r="E788" s="4" t="s">
        <v>25</v>
      </c>
      <c r="F788" s="4" t="s">
        <v>25</v>
      </c>
      <c r="G788" s="4" t="s">
        <v>25</v>
      </c>
      <c r="H788" s="4" t="s">
        <v>25</v>
      </c>
      <c r="I788" s="5">
        <v>43739</v>
      </c>
      <c r="J788" s="6">
        <v>19283</v>
      </c>
      <c r="K788" s="6">
        <v>19283</v>
      </c>
      <c r="L788" s="6">
        <v>0</v>
      </c>
      <c r="M788" s="6">
        <v>0</v>
      </c>
      <c r="N788" s="6">
        <v>0</v>
      </c>
      <c r="O788" s="6">
        <v>0</v>
      </c>
      <c r="P788" s="6">
        <v>126</v>
      </c>
      <c r="Q788" s="4" t="s">
        <v>26</v>
      </c>
      <c r="R788" s="4">
        <v>0</v>
      </c>
      <c r="S788" s="4" t="s">
        <v>347</v>
      </c>
      <c r="U788" s="4">
        <v>26</v>
      </c>
      <c r="V788" s="4">
        <v>0</v>
      </c>
      <c r="W788" s="4">
        <v>0</v>
      </c>
    </row>
    <row r="789" spans="1:23" ht="11.25" customHeight="1" x14ac:dyDescent="0.25">
      <c r="A789" s="4" t="s">
        <v>27</v>
      </c>
      <c r="B789" s="4" t="s">
        <v>33</v>
      </c>
      <c r="C789" s="4" t="s">
        <v>34</v>
      </c>
      <c r="D789" s="4" t="s">
        <v>40</v>
      </c>
      <c r="E789" s="4" t="s">
        <v>25</v>
      </c>
      <c r="F789" s="4" t="s">
        <v>25</v>
      </c>
      <c r="G789" s="4" t="s">
        <v>25</v>
      </c>
      <c r="H789" s="4" t="s">
        <v>25</v>
      </c>
      <c r="I789" s="5">
        <v>43739</v>
      </c>
      <c r="J789" s="6">
        <v>57</v>
      </c>
      <c r="K789" s="6">
        <v>57</v>
      </c>
      <c r="L789" s="6">
        <v>0</v>
      </c>
      <c r="M789" s="6">
        <v>0</v>
      </c>
      <c r="N789" s="6">
        <v>0</v>
      </c>
      <c r="O789" s="6">
        <v>0</v>
      </c>
      <c r="P789" s="6">
        <v>1</v>
      </c>
      <c r="Q789" s="4" t="s">
        <v>26</v>
      </c>
      <c r="R789" s="4">
        <v>0</v>
      </c>
      <c r="S789" s="4" t="s">
        <v>347</v>
      </c>
      <c r="U789" s="4">
        <v>26</v>
      </c>
      <c r="V789" s="4">
        <v>0</v>
      </c>
      <c r="W789" s="4">
        <v>0</v>
      </c>
    </row>
    <row r="790" spans="1:23" ht="11.25" customHeight="1" x14ac:dyDescent="0.25">
      <c r="A790" s="4" t="s">
        <v>28</v>
      </c>
      <c r="B790" s="4" t="s">
        <v>33</v>
      </c>
      <c r="C790" s="4" t="s">
        <v>34</v>
      </c>
      <c r="D790" s="4" t="s">
        <v>40</v>
      </c>
      <c r="E790" s="4" t="s">
        <v>25</v>
      </c>
      <c r="F790" s="4" t="s">
        <v>25</v>
      </c>
      <c r="G790" s="4" t="s">
        <v>25</v>
      </c>
      <c r="H790" s="4" t="s">
        <v>25</v>
      </c>
      <c r="I790" s="5">
        <v>43739</v>
      </c>
      <c r="J790" s="6">
        <v>1100</v>
      </c>
      <c r="K790" s="6">
        <v>1100</v>
      </c>
      <c r="L790" s="6">
        <v>0</v>
      </c>
      <c r="M790" s="6">
        <v>0</v>
      </c>
      <c r="N790" s="6">
        <v>0</v>
      </c>
      <c r="O790" s="6">
        <v>0</v>
      </c>
      <c r="P790" s="6">
        <v>4</v>
      </c>
      <c r="Q790" s="4" t="s">
        <v>26</v>
      </c>
      <c r="R790" s="4">
        <v>0</v>
      </c>
      <c r="S790" s="4" t="s">
        <v>347</v>
      </c>
      <c r="U790" s="4">
        <v>26</v>
      </c>
      <c r="V790" s="4">
        <v>0</v>
      </c>
      <c r="W790" s="4">
        <v>0</v>
      </c>
    </row>
    <row r="791" spans="1:23" ht="11.25" customHeight="1" x14ac:dyDescent="0.25">
      <c r="A791" s="4" t="s">
        <v>21</v>
      </c>
      <c r="B791" s="4" t="s">
        <v>33</v>
      </c>
      <c r="C791" s="4" t="s">
        <v>34</v>
      </c>
      <c r="D791" s="4" t="s">
        <v>40</v>
      </c>
      <c r="E791" s="4" t="s">
        <v>25</v>
      </c>
      <c r="F791" s="4" t="s">
        <v>25</v>
      </c>
      <c r="G791" s="4" t="s">
        <v>25</v>
      </c>
      <c r="H791" s="4" t="s">
        <v>25</v>
      </c>
      <c r="I791" s="5">
        <v>43770</v>
      </c>
      <c r="J791" s="6">
        <v>19242</v>
      </c>
      <c r="K791" s="6">
        <v>19242</v>
      </c>
      <c r="L791" s="6">
        <v>0</v>
      </c>
      <c r="M791" s="6">
        <v>0</v>
      </c>
      <c r="N791" s="6">
        <v>0</v>
      </c>
      <c r="O791" s="6">
        <v>0</v>
      </c>
      <c r="P791" s="6">
        <v>125</v>
      </c>
      <c r="Q791" s="4" t="s">
        <v>26</v>
      </c>
      <c r="R791" s="4">
        <v>0</v>
      </c>
      <c r="S791" s="4" t="s">
        <v>348</v>
      </c>
      <c r="U791" s="4">
        <v>26</v>
      </c>
      <c r="V791" s="4">
        <v>0</v>
      </c>
      <c r="W791" s="4">
        <v>0</v>
      </c>
    </row>
    <row r="792" spans="1:23" ht="11.25" customHeight="1" x14ac:dyDescent="0.25">
      <c r="A792" s="4" t="s">
        <v>27</v>
      </c>
      <c r="B792" s="4" t="s">
        <v>33</v>
      </c>
      <c r="C792" s="4" t="s">
        <v>34</v>
      </c>
      <c r="D792" s="4" t="s">
        <v>40</v>
      </c>
      <c r="E792" s="4" t="s">
        <v>25</v>
      </c>
      <c r="F792" s="4" t="s">
        <v>25</v>
      </c>
      <c r="G792" s="4" t="s">
        <v>25</v>
      </c>
      <c r="H792" s="4" t="s">
        <v>25</v>
      </c>
      <c r="I792" s="5">
        <v>43770</v>
      </c>
      <c r="J792" s="6">
        <v>340</v>
      </c>
      <c r="K792" s="6">
        <v>340</v>
      </c>
      <c r="L792" s="6">
        <v>0</v>
      </c>
      <c r="M792" s="6">
        <v>0</v>
      </c>
      <c r="N792" s="6">
        <v>0</v>
      </c>
      <c r="O792" s="6">
        <v>0</v>
      </c>
      <c r="P792" s="6">
        <v>2</v>
      </c>
      <c r="Q792" s="4" t="s">
        <v>26</v>
      </c>
      <c r="R792" s="4">
        <v>0</v>
      </c>
      <c r="S792" s="4" t="s">
        <v>348</v>
      </c>
      <c r="U792" s="4">
        <v>26</v>
      </c>
      <c r="V792" s="4">
        <v>0</v>
      </c>
      <c r="W792" s="4">
        <v>0</v>
      </c>
    </row>
    <row r="793" spans="1:23" ht="11.25" customHeight="1" x14ac:dyDescent="0.25">
      <c r="A793" s="4" t="s">
        <v>28</v>
      </c>
      <c r="B793" s="4" t="s">
        <v>33</v>
      </c>
      <c r="C793" s="4" t="s">
        <v>34</v>
      </c>
      <c r="D793" s="4" t="s">
        <v>40</v>
      </c>
      <c r="E793" s="4" t="s">
        <v>25</v>
      </c>
      <c r="F793" s="4" t="s">
        <v>25</v>
      </c>
      <c r="G793" s="4" t="s">
        <v>25</v>
      </c>
      <c r="H793" s="4" t="s">
        <v>25</v>
      </c>
      <c r="I793" s="5">
        <v>43770</v>
      </c>
      <c r="J793" s="6">
        <v>1100</v>
      </c>
      <c r="K793" s="6">
        <v>1100</v>
      </c>
      <c r="L793" s="6">
        <v>0</v>
      </c>
      <c r="M793" s="6">
        <v>0</v>
      </c>
      <c r="N793" s="6">
        <v>0</v>
      </c>
      <c r="O793" s="6">
        <v>0</v>
      </c>
      <c r="P793" s="6">
        <v>4</v>
      </c>
      <c r="Q793" s="4" t="s">
        <v>26</v>
      </c>
      <c r="R793" s="4">
        <v>0</v>
      </c>
      <c r="S793" s="4" t="s">
        <v>348</v>
      </c>
      <c r="U793" s="4">
        <v>26</v>
      </c>
      <c r="V793" s="4">
        <v>0</v>
      </c>
      <c r="W793" s="4">
        <v>0</v>
      </c>
    </row>
    <row r="794" spans="1:23" ht="11.25" customHeight="1" x14ac:dyDescent="0.25">
      <c r="A794" s="4" t="s">
        <v>21</v>
      </c>
      <c r="B794" s="4" t="s">
        <v>33</v>
      </c>
      <c r="C794" s="4" t="s">
        <v>34</v>
      </c>
      <c r="D794" s="4" t="s">
        <v>40</v>
      </c>
      <c r="E794" s="4" t="s">
        <v>25</v>
      </c>
      <c r="F794" s="4" t="s">
        <v>25</v>
      </c>
      <c r="G794" s="4" t="s">
        <v>25</v>
      </c>
      <c r="H794" s="4" t="s">
        <v>25</v>
      </c>
      <c r="I794" s="5">
        <v>43800</v>
      </c>
      <c r="J794" s="6">
        <v>19088</v>
      </c>
      <c r="K794" s="6">
        <v>19088</v>
      </c>
      <c r="L794" s="6">
        <v>0</v>
      </c>
      <c r="M794" s="6">
        <v>0</v>
      </c>
      <c r="N794" s="6">
        <v>0</v>
      </c>
      <c r="O794" s="6">
        <v>0</v>
      </c>
      <c r="P794" s="6">
        <v>124</v>
      </c>
      <c r="Q794" s="4" t="s">
        <v>26</v>
      </c>
      <c r="R794" s="4">
        <v>0</v>
      </c>
      <c r="S794" s="4" t="s">
        <v>349</v>
      </c>
      <c r="U794" s="4">
        <v>26</v>
      </c>
      <c r="V794" s="4">
        <v>0</v>
      </c>
      <c r="W794" s="4">
        <v>0</v>
      </c>
    </row>
    <row r="795" spans="1:23" ht="11.25" customHeight="1" x14ac:dyDescent="0.25">
      <c r="A795" s="4" t="s">
        <v>27</v>
      </c>
      <c r="B795" s="4" t="s">
        <v>33</v>
      </c>
      <c r="C795" s="4" t="s">
        <v>34</v>
      </c>
      <c r="D795" s="4" t="s">
        <v>40</v>
      </c>
      <c r="E795" s="4" t="s">
        <v>25</v>
      </c>
      <c r="F795" s="4" t="s">
        <v>25</v>
      </c>
      <c r="G795" s="4" t="s">
        <v>25</v>
      </c>
      <c r="H795" s="4" t="s">
        <v>25</v>
      </c>
      <c r="I795" s="5">
        <v>43800</v>
      </c>
      <c r="J795" s="6">
        <v>89</v>
      </c>
      <c r="K795" s="6">
        <v>89</v>
      </c>
      <c r="L795" s="6">
        <v>0</v>
      </c>
      <c r="M795" s="6">
        <v>0</v>
      </c>
      <c r="N795" s="6">
        <v>0</v>
      </c>
      <c r="O795" s="6">
        <v>0</v>
      </c>
      <c r="P795" s="6">
        <v>1</v>
      </c>
      <c r="Q795" s="4" t="s">
        <v>26</v>
      </c>
      <c r="R795" s="4">
        <v>0</v>
      </c>
      <c r="S795" s="4" t="s">
        <v>349</v>
      </c>
      <c r="U795" s="4">
        <v>26</v>
      </c>
      <c r="V795" s="4">
        <v>0</v>
      </c>
      <c r="W795" s="4">
        <v>0</v>
      </c>
    </row>
    <row r="796" spans="1:23" ht="11.25" customHeight="1" x14ac:dyDescent="0.25">
      <c r="A796" s="4" t="s">
        <v>28</v>
      </c>
      <c r="B796" s="4" t="s">
        <v>33</v>
      </c>
      <c r="C796" s="4" t="s">
        <v>34</v>
      </c>
      <c r="D796" s="4" t="s">
        <v>40</v>
      </c>
      <c r="E796" s="4" t="s">
        <v>25</v>
      </c>
      <c r="F796" s="4" t="s">
        <v>25</v>
      </c>
      <c r="G796" s="4" t="s">
        <v>25</v>
      </c>
      <c r="H796" s="4" t="s">
        <v>25</v>
      </c>
      <c r="I796" s="5">
        <v>43800</v>
      </c>
      <c r="J796" s="6">
        <v>730</v>
      </c>
      <c r="K796" s="6">
        <v>730</v>
      </c>
      <c r="L796" s="6">
        <v>0</v>
      </c>
      <c r="M796" s="6">
        <v>0</v>
      </c>
      <c r="N796" s="6">
        <v>0</v>
      </c>
      <c r="O796" s="6">
        <v>0</v>
      </c>
      <c r="P796" s="6">
        <v>5</v>
      </c>
      <c r="Q796" s="4" t="s">
        <v>26</v>
      </c>
      <c r="R796" s="4">
        <v>0</v>
      </c>
      <c r="S796" s="4" t="s">
        <v>349</v>
      </c>
      <c r="U796" s="4">
        <v>26</v>
      </c>
      <c r="V796" s="4">
        <v>0</v>
      </c>
      <c r="W796" s="4">
        <v>0</v>
      </c>
    </row>
    <row r="797" spans="1:23" ht="11.25" customHeight="1" x14ac:dyDescent="0.25">
      <c r="A797" s="4" t="s">
        <v>21</v>
      </c>
      <c r="B797" s="4" t="s">
        <v>33</v>
      </c>
      <c r="C797" s="4" t="s">
        <v>34</v>
      </c>
      <c r="D797" s="4" t="s">
        <v>40</v>
      </c>
      <c r="E797" s="4" t="s">
        <v>25</v>
      </c>
      <c r="F797" s="4" t="s">
        <v>25</v>
      </c>
      <c r="G797" s="4" t="s">
        <v>25</v>
      </c>
      <c r="H797" s="4" t="s">
        <v>25</v>
      </c>
      <c r="I797" s="5">
        <v>43831</v>
      </c>
      <c r="J797" s="6">
        <v>17104</v>
      </c>
      <c r="K797" s="6">
        <v>17104</v>
      </c>
      <c r="L797" s="6">
        <v>0</v>
      </c>
      <c r="M797" s="6">
        <v>0</v>
      </c>
      <c r="N797" s="6">
        <v>0</v>
      </c>
      <c r="O797" s="6">
        <v>0</v>
      </c>
      <c r="P797" s="6">
        <v>120</v>
      </c>
      <c r="Q797" s="4" t="s">
        <v>26</v>
      </c>
      <c r="R797" s="4">
        <v>0</v>
      </c>
      <c r="S797" s="4" t="s">
        <v>350</v>
      </c>
      <c r="U797" s="4">
        <v>26</v>
      </c>
      <c r="V797" s="4">
        <v>0</v>
      </c>
      <c r="W797" s="4">
        <v>0</v>
      </c>
    </row>
    <row r="798" spans="1:23" ht="11.25" customHeight="1" x14ac:dyDescent="0.25">
      <c r="A798" s="4" t="s">
        <v>27</v>
      </c>
      <c r="B798" s="4" t="s">
        <v>33</v>
      </c>
      <c r="C798" s="4" t="s">
        <v>34</v>
      </c>
      <c r="D798" s="4" t="s">
        <v>40</v>
      </c>
      <c r="E798" s="4" t="s">
        <v>25</v>
      </c>
      <c r="F798" s="4" t="s">
        <v>25</v>
      </c>
      <c r="G798" s="4" t="s">
        <v>25</v>
      </c>
      <c r="H798" s="4" t="s">
        <v>25</v>
      </c>
      <c r="I798" s="5">
        <v>43831</v>
      </c>
      <c r="J798" s="6">
        <v>774</v>
      </c>
      <c r="K798" s="6">
        <v>774</v>
      </c>
      <c r="L798" s="6">
        <v>0</v>
      </c>
      <c r="M798" s="6">
        <v>0</v>
      </c>
      <c r="N798" s="6">
        <v>0</v>
      </c>
      <c r="O798" s="6">
        <v>0</v>
      </c>
      <c r="P798" s="6">
        <v>2</v>
      </c>
      <c r="Q798" s="4" t="s">
        <v>26</v>
      </c>
      <c r="R798" s="4">
        <v>0</v>
      </c>
      <c r="S798" s="4" t="s">
        <v>350</v>
      </c>
      <c r="U798" s="4">
        <v>26</v>
      </c>
      <c r="V798" s="4">
        <v>0</v>
      </c>
      <c r="W798" s="4">
        <v>0</v>
      </c>
    </row>
    <row r="799" spans="1:23" ht="11.25" customHeight="1" x14ac:dyDescent="0.25">
      <c r="A799" s="4" t="s">
        <v>28</v>
      </c>
      <c r="B799" s="4" t="s">
        <v>33</v>
      </c>
      <c r="C799" s="4" t="s">
        <v>34</v>
      </c>
      <c r="D799" s="4" t="s">
        <v>40</v>
      </c>
      <c r="E799" s="4" t="s">
        <v>25</v>
      </c>
      <c r="F799" s="4" t="s">
        <v>25</v>
      </c>
      <c r="G799" s="4" t="s">
        <v>25</v>
      </c>
      <c r="H799" s="4" t="s">
        <v>25</v>
      </c>
      <c r="I799" s="5">
        <v>43831</v>
      </c>
      <c r="J799" s="6">
        <v>730</v>
      </c>
      <c r="K799" s="6">
        <v>730</v>
      </c>
      <c r="L799" s="6">
        <v>0</v>
      </c>
      <c r="M799" s="6">
        <v>0</v>
      </c>
      <c r="N799" s="6">
        <v>0</v>
      </c>
      <c r="O799" s="6">
        <v>0</v>
      </c>
      <c r="P799" s="6">
        <v>5</v>
      </c>
      <c r="Q799" s="4" t="s">
        <v>26</v>
      </c>
      <c r="R799" s="4">
        <v>0</v>
      </c>
      <c r="S799" s="4" t="s">
        <v>350</v>
      </c>
      <c r="U799" s="4">
        <v>26</v>
      </c>
      <c r="V799" s="4">
        <v>0</v>
      </c>
      <c r="W799" s="4">
        <v>0</v>
      </c>
    </row>
    <row r="800" spans="1:23" ht="11.25" customHeight="1" x14ac:dyDescent="0.25">
      <c r="A800" s="4" t="s">
        <v>21</v>
      </c>
      <c r="B800" s="4" t="s">
        <v>33</v>
      </c>
      <c r="C800" s="4" t="s">
        <v>34</v>
      </c>
      <c r="D800" s="4" t="s">
        <v>40</v>
      </c>
      <c r="E800" s="4" t="s">
        <v>25</v>
      </c>
      <c r="F800" s="4" t="s">
        <v>25</v>
      </c>
      <c r="G800" s="4" t="s">
        <v>25</v>
      </c>
      <c r="H800" s="4" t="s">
        <v>25</v>
      </c>
      <c r="I800" s="5">
        <v>43862</v>
      </c>
      <c r="J800" s="6">
        <v>17502</v>
      </c>
      <c r="K800" s="6">
        <v>17502</v>
      </c>
      <c r="L800" s="6">
        <v>0</v>
      </c>
      <c r="M800" s="6">
        <v>0</v>
      </c>
      <c r="N800" s="6">
        <v>0</v>
      </c>
      <c r="O800" s="6">
        <v>0</v>
      </c>
      <c r="P800" s="6">
        <v>118</v>
      </c>
      <c r="Q800" s="4" t="s">
        <v>26</v>
      </c>
      <c r="R800" s="4">
        <v>0</v>
      </c>
      <c r="S800" s="4" t="s">
        <v>351</v>
      </c>
      <c r="U800" s="4">
        <v>26</v>
      </c>
      <c r="V800" s="4">
        <v>0</v>
      </c>
      <c r="W800" s="4">
        <v>0</v>
      </c>
    </row>
    <row r="801" spans="1:23" ht="11.25" customHeight="1" x14ac:dyDescent="0.25">
      <c r="A801" s="4" t="s">
        <v>27</v>
      </c>
      <c r="B801" s="4" t="s">
        <v>33</v>
      </c>
      <c r="C801" s="4" t="s">
        <v>34</v>
      </c>
      <c r="D801" s="4" t="s">
        <v>40</v>
      </c>
      <c r="E801" s="4" t="s">
        <v>25</v>
      </c>
      <c r="F801" s="4" t="s">
        <v>25</v>
      </c>
      <c r="G801" s="4" t="s">
        <v>25</v>
      </c>
      <c r="H801" s="4" t="s">
        <v>25</v>
      </c>
      <c r="I801" s="5">
        <v>43862</v>
      </c>
      <c r="J801" s="6">
        <v>50</v>
      </c>
      <c r="K801" s="6">
        <v>50</v>
      </c>
      <c r="L801" s="6">
        <v>0</v>
      </c>
      <c r="M801" s="6">
        <v>0</v>
      </c>
      <c r="N801" s="6">
        <v>0</v>
      </c>
      <c r="O801" s="6">
        <v>0</v>
      </c>
      <c r="P801" s="6">
        <v>1</v>
      </c>
      <c r="Q801" s="4" t="s">
        <v>26</v>
      </c>
      <c r="R801" s="4">
        <v>0</v>
      </c>
      <c r="S801" s="4" t="s">
        <v>351</v>
      </c>
      <c r="U801" s="4">
        <v>26</v>
      </c>
      <c r="V801" s="4">
        <v>0</v>
      </c>
      <c r="W801" s="4">
        <v>0</v>
      </c>
    </row>
    <row r="802" spans="1:23" ht="11.25" customHeight="1" x14ac:dyDescent="0.25">
      <c r="A802" s="4" t="s">
        <v>28</v>
      </c>
      <c r="B802" s="4" t="s">
        <v>33</v>
      </c>
      <c r="C802" s="4" t="s">
        <v>34</v>
      </c>
      <c r="D802" s="4" t="s">
        <v>40</v>
      </c>
      <c r="E802" s="4" t="s">
        <v>25</v>
      </c>
      <c r="F802" s="4" t="s">
        <v>25</v>
      </c>
      <c r="G802" s="4" t="s">
        <v>25</v>
      </c>
      <c r="H802" s="4" t="s">
        <v>25</v>
      </c>
      <c r="I802" s="5">
        <v>43862</v>
      </c>
      <c r="J802" s="6">
        <v>730</v>
      </c>
      <c r="K802" s="6">
        <v>730</v>
      </c>
      <c r="L802" s="6">
        <v>0</v>
      </c>
      <c r="M802" s="6">
        <v>0</v>
      </c>
      <c r="N802" s="6">
        <v>0</v>
      </c>
      <c r="O802" s="6">
        <v>0</v>
      </c>
      <c r="P802" s="6">
        <v>5</v>
      </c>
      <c r="Q802" s="4" t="s">
        <v>26</v>
      </c>
      <c r="R802" s="4">
        <v>0</v>
      </c>
      <c r="S802" s="4" t="s">
        <v>351</v>
      </c>
      <c r="U802" s="4">
        <v>26</v>
      </c>
      <c r="V802" s="4">
        <v>0</v>
      </c>
      <c r="W802" s="4">
        <v>0</v>
      </c>
    </row>
    <row r="803" spans="1:23" ht="11.25" customHeight="1" x14ac:dyDescent="0.25">
      <c r="A803" s="4" t="s">
        <v>21</v>
      </c>
      <c r="B803" s="4" t="s">
        <v>33</v>
      </c>
      <c r="C803" s="4" t="s">
        <v>34</v>
      </c>
      <c r="D803" s="4" t="s">
        <v>40</v>
      </c>
      <c r="E803" s="4" t="s">
        <v>25</v>
      </c>
      <c r="F803" s="4" t="s">
        <v>25</v>
      </c>
      <c r="G803" s="4" t="s">
        <v>25</v>
      </c>
      <c r="H803" s="4" t="s">
        <v>25</v>
      </c>
      <c r="I803" s="5">
        <v>43891</v>
      </c>
      <c r="J803" s="6">
        <v>18150</v>
      </c>
      <c r="K803" s="6">
        <v>18150</v>
      </c>
      <c r="L803" s="6">
        <v>0</v>
      </c>
      <c r="M803" s="6">
        <v>0</v>
      </c>
      <c r="N803" s="6">
        <v>0</v>
      </c>
      <c r="O803" s="6">
        <v>0</v>
      </c>
      <c r="P803" s="6">
        <v>118</v>
      </c>
      <c r="Q803" s="4" t="s">
        <v>26</v>
      </c>
      <c r="R803" s="4">
        <v>0</v>
      </c>
      <c r="S803" s="4" t="s">
        <v>352</v>
      </c>
      <c r="U803" s="4">
        <v>26</v>
      </c>
      <c r="V803" s="4">
        <v>0</v>
      </c>
      <c r="W803" s="4">
        <v>0</v>
      </c>
    </row>
    <row r="804" spans="1:23" ht="11.25" customHeight="1" x14ac:dyDescent="0.25">
      <c r="A804" s="4" t="s">
        <v>27</v>
      </c>
      <c r="B804" s="4" t="s">
        <v>33</v>
      </c>
      <c r="C804" s="4" t="s">
        <v>34</v>
      </c>
      <c r="D804" s="4" t="s">
        <v>40</v>
      </c>
      <c r="E804" s="4" t="s">
        <v>25</v>
      </c>
      <c r="F804" s="4" t="s">
        <v>25</v>
      </c>
      <c r="G804" s="4" t="s">
        <v>25</v>
      </c>
      <c r="H804" s="4" t="s">
        <v>25</v>
      </c>
      <c r="I804" s="5">
        <v>43891</v>
      </c>
      <c r="J804" s="6">
        <v>100</v>
      </c>
      <c r="K804" s="6">
        <v>100</v>
      </c>
      <c r="L804" s="6">
        <v>0</v>
      </c>
      <c r="M804" s="6">
        <v>0</v>
      </c>
      <c r="N804" s="6">
        <v>0</v>
      </c>
      <c r="O804" s="6">
        <v>0</v>
      </c>
      <c r="P804" s="6">
        <v>2</v>
      </c>
      <c r="Q804" s="4" t="s">
        <v>26</v>
      </c>
      <c r="R804" s="4">
        <v>0</v>
      </c>
      <c r="S804" s="4" t="s">
        <v>352</v>
      </c>
      <c r="U804" s="4">
        <v>26</v>
      </c>
      <c r="V804" s="4">
        <v>0</v>
      </c>
      <c r="W804" s="4">
        <v>0</v>
      </c>
    </row>
    <row r="805" spans="1:23" ht="11.25" customHeight="1" x14ac:dyDescent="0.25">
      <c r="A805" s="4" t="s">
        <v>28</v>
      </c>
      <c r="B805" s="4" t="s">
        <v>33</v>
      </c>
      <c r="C805" s="4" t="s">
        <v>34</v>
      </c>
      <c r="D805" s="4" t="s">
        <v>40</v>
      </c>
      <c r="E805" s="4" t="s">
        <v>25</v>
      </c>
      <c r="F805" s="4" t="s">
        <v>25</v>
      </c>
      <c r="G805" s="4" t="s">
        <v>25</v>
      </c>
      <c r="H805" s="4" t="s">
        <v>25</v>
      </c>
      <c r="I805" s="5">
        <v>43891</v>
      </c>
      <c r="J805" s="6">
        <v>1093</v>
      </c>
      <c r="K805" s="6">
        <v>1093</v>
      </c>
      <c r="L805" s="6">
        <v>0</v>
      </c>
      <c r="M805" s="6">
        <v>0</v>
      </c>
      <c r="N805" s="6">
        <v>0</v>
      </c>
      <c r="O805" s="6">
        <v>0</v>
      </c>
      <c r="P805" s="6">
        <v>7</v>
      </c>
      <c r="Q805" s="4" t="s">
        <v>26</v>
      </c>
      <c r="R805" s="4">
        <v>0</v>
      </c>
      <c r="S805" s="4" t="s">
        <v>352</v>
      </c>
      <c r="U805" s="4">
        <v>26</v>
      </c>
      <c r="V805" s="4">
        <v>0</v>
      </c>
      <c r="W805" s="4">
        <v>0</v>
      </c>
    </row>
    <row r="806" spans="1:23" ht="11.25" customHeight="1" x14ac:dyDescent="0.25">
      <c r="A806" s="4" t="s">
        <v>21</v>
      </c>
      <c r="B806" s="4" t="s">
        <v>33</v>
      </c>
      <c r="C806" s="4" t="s">
        <v>34</v>
      </c>
      <c r="D806" s="4" t="s">
        <v>40</v>
      </c>
      <c r="E806" s="4" t="s">
        <v>25</v>
      </c>
      <c r="F806" s="4" t="s">
        <v>25</v>
      </c>
      <c r="G806" s="4" t="s">
        <v>25</v>
      </c>
      <c r="H806" s="4" t="s">
        <v>25</v>
      </c>
      <c r="I806" s="5">
        <v>43922</v>
      </c>
      <c r="J806" s="6">
        <v>17813</v>
      </c>
      <c r="K806" s="6">
        <v>17813</v>
      </c>
      <c r="L806" s="6">
        <v>0</v>
      </c>
      <c r="M806" s="6">
        <v>0</v>
      </c>
      <c r="N806" s="6">
        <v>0</v>
      </c>
      <c r="O806" s="6">
        <v>0</v>
      </c>
      <c r="P806" s="6">
        <v>118</v>
      </c>
      <c r="Q806" s="4" t="s">
        <v>26</v>
      </c>
      <c r="R806" s="4">
        <v>0</v>
      </c>
      <c r="S806" s="4" t="s">
        <v>353</v>
      </c>
      <c r="U806" s="4">
        <v>26</v>
      </c>
      <c r="V806" s="4">
        <v>0</v>
      </c>
      <c r="W806" s="4">
        <v>0</v>
      </c>
    </row>
    <row r="807" spans="1:23" ht="11.25" customHeight="1" x14ac:dyDescent="0.25">
      <c r="A807" s="4" t="s">
        <v>27</v>
      </c>
      <c r="B807" s="4" t="s">
        <v>33</v>
      </c>
      <c r="C807" s="4" t="s">
        <v>34</v>
      </c>
      <c r="D807" s="4" t="s">
        <v>40</v>
      </c>
      <c r="E807" s="4" t="s">
        <v>25</v>
      </c>
      <c r="F807" s="4" t="s">
        <v>25</v>
      </c>
      <c r="G807" s="4" t="s">
        <v>25</v>
      </c>
      <c r="H807" s="4" t="s">
        <v>25</v>
      </c>
      <c r="I807" s="5">
        <v>43922</v>
      </c>
      <c r="J807" s="6">
        <v>122</v>
      </c>
      <c r="K807" s="6">
        <v>122</v>
      </c>
      <c r="L807" s="6">
        <v>0</v>
      </c>
      <c r="M807" s="6">
        <v>0</v>
      </c>
      <c r="N807" s="6">
        <v>0</v>
      </c>
      <c r="O807" s="6">
        <v>0</v>
      </c>
      <c r="P807" s="6">
        <v>2</v>
      </c>
      <c r="Q807" s="4" t="s">
        <v>26</v>
      </c>
      <c r="R807" s="4">
        <v>0</v>
      </c>
      <c r="S807" s="4" t="s">
        <v>353</v>
      </c>
      <c r="U807" s="4">
        <v>26</v>
      </c>
      <c r="V807" s="4">
        <v>0</v>
      </c>
      <c r="W807" s="4">
        <v>0</v>
      </c>
    </row>
    <row r="808" spans="1:23" ht="11.25" customHeight="1" x14ac:dyDescent="0.25">
      <c r="A808" s="4" t="s">
        <v>28</v>
      </c>
      <c r="B808" s="4" t="s">
        <v>33</v>
      </c>
      <c r="C808" s="4" t="s">
        <v>34</v>
      </c>
      <c r="D808" s="4" t="s">
        <v>40</v>
      </c>
      <c r="E808" s="4" t="s">
        <v>25</v>
      </c>
      <c r="F808" s="4" t="s">
        <v>25</v>
      </c>
      <c r="G808" s="4" t="s">
        <v>25</v>
      </c>
      <c r="H808" s="4" t="s">
        <v>25</v>
      </c>
      <c r="I808" s="5">
        <v>43922</v>
      </c>
      <c r="J808" s="6">
        <v>1093</v>
      </c>
      <c r="K808" s="6">
        <v>1093</v>
      </c>
      <c r="L808" s="6">
        <v>0</v>
      </c>
      <c r="M808" s="6">
        <v>0</v>
      </c>
      <c r="N808" s="6">
        <v>0</v>
      </c>
      <c r="O808" s="6">
        <v>0</v>
      </c>
      <c r="P808" s="6">
        <v>7</v>
      </c>
      <c r="Q808" s="4" t="s">
        <v>26</v>
      </c>
      <c r="R808" s="4">
        <v>0</v>
      </c>
      <c r="S808" s="4" t="s">
        <v>353</v>
      </c>
      <c r="U808" s="4">
        <v>26</v>
      </c>
      <c r="V808" s="4">
        <v>0</v>
      </c>
      <c r="W808" s="4">
        <v>0</v>
      </c>
    </row>
    <row r="809" spans="1:23" ht="11.25" customHeight="1" x14ac:dyDescent="0.25">
      <c r="A809" s="4" t="s">
        <v>21</v>
      </c>
      <c r="B809" s="4" t="s">
        <v>33</v>
      </c>
      <c r="C809" s="4" t="s">
        <v>34</v>
      </c>
      <c r="D809" s="4" t="s">
        <v>40</v>
      </c>
      <c r="E809" s="4" t="s">
        <v>25</v>
      </c>
      <c r="F809" s="4" t="s">
        <v>25</v>
      </c>
      <c r="G809" s="4" t="s">
        <v>25</v>
      </c>
      <c r="H809" s="4" t="s">
        <v>25</v>
      </c>
      <c r="I809" s="5">
        <v>43952</v>
      </c>
      <c r="J809" s="6">
        <v>16679</v>
      </c>
      <c r="K809" s="6">
        <v>16679</v>
      </c>
      <c r="L809" s="6">
        <v>0</v>
      </c>
      <c r="M809" s="6">
        <v>0</v>
      </c>
      <c r="N809" s="6">
        <v>0</v>
      </c>
      <c r="O809" s="6">
        <v>0</v>
      </c>
      <c r="P809" s="6">
        <v>115</v>
      </c>
      <c r="Q809" s="4" t="s">
        <v>26</v>
      </c>
      <c r="R809" s="4">
        <v>0</v>
      </c>
      <c r="S809" s="4" t="s">
        <v>354</v>
      </c>
      <c r="U809" s="4">
        <v>26</v>
      </c>
      <c r="V809" s="4">
        <v>0</v>
      </c>
      <c r="W809" s="4">
        <v>0</v>
      </c>
    </row>
    <row r="810" spans="1:23" ht="11.25" customHeight="1" x14ac:dyDescent="0.25">
      <c r="A810" s="4" t="s">
        <v>27</v>
      </c>
      <c r="B810" s="4" t="s">
        <v>33</v>
      </c>
      <c r="C810" s="4" t="s">
        <v>34</v>
      </c>
      <c r="D810" s="4" t="s">
        <v>40</v>
      </c>
      <c r="E810" s="4" t="s">
        <v>25</v>
      </c>
      <c r="F810" s="4" t="s">
        <v>25</v>
      </c>
      <c r="G810" s="4" t="s">
        <v>25</v>
      </c>
      <c r="H810" s="4" t="s">
        <v>25</v>
      </c>
      <c r="I810" s="5">
        <v>43952</v>
      </c>
      <c r="J810" s="6">
        <v>60</v>
      </c>
      <c r="K810" s="6">
        <v>60</v>
      </c>
      <c r="L810" s="6">
        <v>0</v>
      </c>
      <c r="M810" s="6">
        <v>0</v>
      </c>
      <c r="N810" s="6">
        <v>0</v>
      </c>
      <c r="O810" s="6">
        <v>0</v>
      </c>
      <c r="P810" s="6">
        <v>1</v>
      </c>
      <c r="Q810" s="4" t="s">
        <v>26</v>
      </c>
      <c r="R810" s="4">
        <v>0</v>
      </c>
      <c r="S810" s="4" t="s">
        <v>354</v>
      </c>
      <c r="U810" s="4">
        <v>26</v>
      </c>
      <c r="V810" s="4">
        <v>0</v>
      </c>
      <c r="W810" s="4">
        <v>0</v>
      </c>
    </row>
    <row r="811" spans="1:23" ht="11.25" customHeight="1" x14ac:dyDescent="0.25">
      <c r="A811" s="4" t="s">
        <v>28</v>
      </c>
      <c r="B811" s="4" t="s">
        <v>33</v>
      </c>
      <c r="C811" s="4" t="s">
        <v>34</v>
      </c>
      <c r="D811" s="4" t="s">
        <v>40</v>
      </c>
      <c r="E811" s="4" t="s">
        <v>25</v>
      </c>
      <c r="F811" s="4" t="s">
        <v>25</v>
      </c>
      <c r="G811" s="4" t="s">
        <v>25</v>
      </c>
      <c r="H811" s="4" t="s">
        <v>25</v>
      </c>
      <c r="I811" s="5">
        <v>43952</v>
      </c>
      <c r="J811" s="6">
        <v>1093</v>
      </c>
      <c r="K811" s="6">
        <v>1093</v>
      </c>
      <c r="L811" s="6">
        <v>0</v>
      </c>
      <c r="M811" s="6">
        <v>0</v>
      </c>
      <c r="N811" s="6">
        <v>0</v>
      </c>
      <c r="O811" s="6">
        <v>0</v>
      </c>
      <c r="P811" s="6">
        <v>7</v>
      </c>
      <c r="Q811" s="4" t="s">
        <v>26</v>
      </c>
      <c r="R811" s="4">
        <v>0</v>
      </c>
      <c r="S811" s="4" t="s">
        <v>354</v>
      </c>
      <c r="U811" s="4">
        <v>26</v>
      </c>
      <c r="V811" s="4">
        <v>0</v>
      </c>
      <c r="W811" s="4">
        <v>0</v>
      </c>
    </row>
    <row r="812" spans="1:23" ht="11.25" customHeight="1" x14ac:dyDescent="0.25">
      <c r="A812" s="4" t="s">
        <v>21</v>
      </c>
      <c r="B812" s="4" t="s">
        <v>33</v>
      </c>
      <c r="C812" s="4" t="s">
        <v>34</v>
      </c>
      <c r="D812" s="4" t="s">
        <v>40</v>
      </c>
      <c r="E812" s="4" t="s">
        <v>25</v>
      </c>
      <c r="F812" s="4" t="s">
        <v>25</v>
      </c>
      <c r="G812" s="4" t="s">
        <v>25</v>
      </c>
      <c r="H812" s="4" t="s">
        <v>25</v>
      </c>
      <c r="I812" s="5">
        <v>43983</v>
      </c>
      <c r="J812" s="6">
        <v>16220</v>
      </c>
      <c r="K812" s="6">
        <v>16220</v>
      </c>
      <c r="L812" s="6">
        <v>0</v>
      </c>
      <c r="M812" s="6">
        <v>0</v>
      </c>
      <c r="N812" s="6">
        <v>0</v>
      </c>
      <c r="O812" s="6">
        <v>0</v>
      </c>
      <c r="P812" s="6">
        <v>114</v>
      </c>
      <c r="Q812" s="4" t="s">
        <v>26</v>
      </c>
      <c r="R812" s="4">
        <v>0</v>
      </c>
      <c r="S812" s="4" t="s">
        <v>355</v>
      </c>
      <c r="U812" s="4">
        <v>26</v>
      </c>
      <c r="V812" s="4">
        <v>0</v>
      </c>
      <c r="W812" s="4">
        <v>0</v>
      </c>
    </row>
    <row r="813" spans="1:23" ht="11.25" customHeight="1" x14ac:dyDescent="0.25">
      <c r="A813" s="4" t="s">
        <v>27</v>
      </c>
      <c r="B813" s="4" t="s">
        <v>33</v>
      </c>
      <c r="C813" s="4" t="s">
        <v>34</v>
      </c>
      <c r="D813" s="4" t="s">
        <v>40</v>
      </c>
      <c r="E813" s="4" t="s">
        <v>25</v>
      </c>
      <c r="F813" s="4" t="s">
        <v>25</v>
      </c>
      <c r="G813" s="4" t="s">
        <v>25</v>
      </c>
      <c r="H813" s="4" t="s">
        <v>25</v>
      </c>
      <c r="I813" s="5">
        <v>43983</v>
      </c>
      <c r="J813" s="6">
        <v>288</v>
      </c>
      <c r="K813" s="6">
        <v>288</v>
      </c>
      <c r="L813" s="6">
        <v>0</v>
      </c>
      <c r="M813" s="6">
        <v>0</v>
      </c>
      <c r="N813" s="6">
        <v>0</v>
      </c>
      <c r="O813" s="6">
        <v>0</v>
      </c>
      <c r="P813" s="6">
        <v>2</v>
      </c>
      <c r="Q813" s="4" t="s">
        <v>26</v>
      </c>
      <c r="R813" s="4">
        <v>0</v>
      </c>
      <c r="S813" s="4" t="s">
        <v>355</v>
      </c>
      <c r="U813" s="4">
        <v>26</v>
      </c>
      <c r="V813" s="4">
        <v>0</v>
      </c>
      <c r="W813" s="4">
        <v>0</v>
      </c>
    </row>
    <row r="814" spans="1:23" ht="11.25" customHeight="1" x14ac:dyDescent="0.25">
      <c r="A814" s="4" t="s">
        <v>28</v>
      </c>
      <c r="B814" s="4" t="s">
        <v>33</v>
      </c>
      <c r="C814" s="4" t="s">
        <v>34</v>
      </c>
      <c r="D814" s="4" t="s">
        <v>40</v>
      </c>
      <c r="E814" s="4" t="s">
        <v>25</v>
      </c>
      <c r="F814" s="4" t="s">
        <v>25</v>
      </c>
      <c r="G814" s="4" t="s">
        <v>25</v>
      </c>
      <c r="H814" s="4" t="s">
        <v>25</v>
      </c>
      <c r="I814" s="5">
        <v>43983</v>
      </c>
      <c r="J814" s="6">
        <v>1623</v>
      </c>
      <c r="K814" s="6">
        <v>1623</v>
      </c>
      <c r="L814" s="6">
        <v>0</v>
      </c>
      <c r="M814" s="6">
        <v>0</v>
      </c>
      <c r="N814" s="6">
        <v>0</v>
      </c>
      <c r="O814" s="6">
        <v>0</v>
      </c>
      <c r="P814" s="6">
        <v>9</v>
      </c>
      <c r="Q814" s="4" t="s">
        <v>26</v>
      </c>
      <c r="R814" s="4">
        <v>0</v>
      </c>
      <c r="S814" s="4" t="s">
        <v>355</v>
      </c>
      <c r="U814" s="4">
        <v>26</v>
      </c>
      <c r="V814" s="4">
        <v>0</v>
      </c>
      <c r="W814" s="4">
        <v>0</v>
      </c>
    </row>
    <row r="815" spans="1:23" ht="11.25" customHeight="1" x14ac:dyDescent="0.25">
      <c r="A815" s="4" t="s">
        <v>21</v>
      </c>
      <c r="B815" s="4" t="s">
        <v>33</v>
      </c>
      <c r="C815" s="4" t="s">
        <v>34</v>
      </c>
      <c r="D815" s="4" t="s">
        <v>40</v>
      </c>
      <c r="E815" s="4" t="s">
        <v>25</v>
      </c>
      <c r="F815" s="4" t="s">
        <v>25</v>
      </c>
      <c r="G815" s="4" t="s">
        <v>25</v>
      </c>
      <c r="H815" s="4" t="s">
        <v>25</v>
      </c>
      <c r="I815" s="5">
        <v>44013</v>
      </c>
      <c r="J815" s="6">
        <v>15522</v>
      </c>
      <c r="K815" s="6">
        <v>15522</v>
      </c>
      <c r="L815" s="6">
        <v>0</v>
      </c>
      <c r="M815" s="6">
        <v>0</v>
      </c>
      <c r="N815" s="6">
        <v>0</v>
      </c>
      <c r="O815" s="6">
        <v>0</v>
      </c>
      <c r="P815" s="6">
        <v>113</v>
      </c>
      <c r="Q815" s="4" t="s">
        <v>26</v>
      </c>
      <c r="R815" s="4">
        <v>0</v>
      </c>
      <c r="S815" s="4" t="s">
        <v>356</v>
      </c>
      <c r="U815" s="4">
        <v>26</v>
      </c>
      <c r="V815" s="4">
        <v>0</v>
      </c>
      <c r="W815" s="4">
        <v>0</v>
      </c>
    </row>
    <row r="816" spans="1:23" ht="11.25" customHeight="1" x14ac:dyDescent="0.25">
      <c r="A816" s="4" t="s">
        <v>27</v>
      </c>
      <c r="B816" s="4" t="s">
        <v>33</v>
      </c>
      <c r="C816" s="4" t="s">
        <v>34</v>
      </c>
      <c r="D816" s="4" t="s">
        <v>40</v>
      </c>
      <c r="E816" s="4" t="s">
        <v>25</v>
      </c>
      <c r="F816" s="4" t="s">
        <v>25</v>
      </c>
      <c r="G816" s="4" t="s">
        <v>25</v>
      </c>
      <c r="H816" s="4" t="s">
        <v>25</v>
      </c>
      <c r="I816" s="5">
        <v>44013</v>
      </c>
      <c r="J816" s="6">
        <v>165</v>
      </c>
      <c r="K816" s="6">
        <v>165</v>
      </c>
      <c r="L816" s="6">
        <v>0</v>
      </c>
      <c r="M816" s="6">
        <v>0</v>
      </c>
      <c r="N816" s="6">
        <v>0</v>
      </c>
      <c r="O816" s="6">
        <v>0</v>
      </c>
      <c r="P816" s="6">
        <v>2</v>
      </c>
      <c r="Q816" s="4" t="s">
        <v>26</v>
      </c>
      <c r="R816" s="4">
        <v>0</v>
      </c>
      <c r="S816" s="4" t="s">
        <v>356</v>
      </c>
      <c r="U816" s="4">
        <v>26</v>
      </c>
      <c r="V816" s="4">
        <v>0</v>
      </c>
      <c r="W816" s="4">
        <v>0</v>
      </c>
    </row>
    <row r="817" spans="1:23" ht="11.25" customHeight="1" x14ac:dyDescent="0.25">
      <c r="A817" s="4" t="s">
        <v>28</v>
      </c>
      <c r="B817" s="4" t="s">
        <v>33</v>
      </c>
      <c r="C817" s="4" t="s">
        <v>34</v>
      </c>
      <c r="D817" s="4" t="s">
        <v>40</v>
      </c>
      <c r="E817" s="4" t="s">
        <v>25</v>
      </c>
      <c r="F817" s="4" t="s">
        <v>25</v>
      </c>
      <c r="G817" s="4" t="s">
        <v>25</v>
      </c>
      <c r="H817" s="4" t="s">
        <v>25</v>
      </c>
      <c r="I817" s="5">
        <v>44013</v>
      </c>
      <c r="J817" s="6">
        <v>1623</v>
      </c>
      <c r="K817" s="6">
        <v>1623</v>
      </c>
      <c r="L817" s="6">
        <v>0</v>
      </c>
      <c r="M817" s="6">
        <v>0</v>
      </c>
      <c r="N817" s="6">
        <v>0</v>
      </c>
      <c r="O817" s="6">
        <v>0</v>
      </c>
      <c r="P817" s="6">
        <v>9</v>
      </c>
      <c r="Q817" s="4" t="s">
        <v>26</v>
      </c>
      <c r="R817" s="4">
        <v>0</v>
      </c>
      <c r="S817" s="4" t="s">
        <v>356</v>
      </c>
      <c r="U817" s="4">
        <v>26</v>
      </c>
      <c r="V817" s="4">
        <v>0</v>
      </c>
      <c r="W817" s="4">
        <v>0</v>
      </c>
    </row>
    <row r="818" spans="1:23" ht="11.25" customHeight="1" x14ac:dyDescent="0.25">
      <c r="A818" s="4" t="s">
        <v>21</v>
      </c>
      <c r="B818" s="4" t="s">
        <v>33</v>
      </c>
      <c r="C818" s="4" t="s">
        <v>34</v>
      </c>
      <c r="D818" s="4" t="s">
        <v>40</v>
      </c>
      <c r="E818" s="4" t="s">
        <v>25</v>
      </c>
      <c r="F818" s="4" t="s">
        <v>25</v>
      </c>
      <c r="G818" s="4" t="s">
        <v>25</v>
      </c>
      <c r="H818" s="4" t="s">
        <v>25</v>
      </c>
      <c r="I818" s="5">
        <v>44044</v>
      </c>
      <c r="J818" s="6">
        <v>15106</v>
      </c>
      <c r="K818" s="6">
        <v>15106</v>
      </c>
      <c r="L818" s="6">
        <v>0</v>
      </c>
      <c r="M818" s="6">
        <v>0</v>
      </c>
      <c r="N818" s="6">
        <v>0</v>
      </c>
      <c r="O818" s="6">
        <v>0</v>
      </c>
      <c r="P818" s="6">
        <v>113</v>
      </c>
      <c r="Q818" s="4" t="s">
        <v>26</v>
      </c>
      <c r="R818" s="4">
        <v>0</v>
      </c>
      <c r="S818" s="4" t="s">
        <v>357</v>
      </c>
      <c r="U818" s="4">
        <v>26</v>
      </c>
      <c r="V818" s="4">
        <v>0</v>
      </c>
      <c r="W818" s="4">
        <v>0</v>
      </c>
    </row>
    <row r="819" spans="1:23" ht="11.25" customHeight="1" x14ac:dyDescent="0.25">
      <c r="A819" s="4" t="s">
        <v>27</v>
      </c>
      <c r="B819" s="4" t="s">
        <v>33</v>
      </c>
      <c r="C819" s="4" t="s">
        <v>34</v>
      </c>
      <c r="D819" s="4" t="s">
        <v>40</v>
      </c>
      <c r="E819" s="4" t="s">
        <v>25</v>
      </c>
      <c r="F819" s="4" t="s">
        <v>25</v>
      </c>
      <c r="G819" s="4" t="s">
        <v>25</v>
      </c>
      <c r="H819" s="4" t="s">
        <v>25</v>
      </c>
      <c r="I819" s="5">
        <v>44044</v>
      </c>
      <c r="J819" s="6">
        <v>259</v>
      </c>
      <c r="K819" s="6">
        <v>259</v>
      </c>
      <c r="L819" s="6">
        <v>0</v>
      </c>
      <c r="M819" s="6">
        <v>0</v>
      </c>
      <c r="N819" s="6">
        <v>0</v>
      </c>
      <c r="O819" s="6">
        <v>0</v>
      </c>
      <c r="P819" s="6">
        <v>2</v>
      </c>
      <c r="Q819" s="4" t="s">
        <v>26</v>
      </c>
      <c r="R819" s="4">
        <v>0</v>
      </c>
      <c r="S819" s="4" t="s">
        <v>357</v>
      </c>
      <c r="U819" s="4">
        <v>26</v>
      </c>
      <c r="V819" s="4">
        <v>0</v>
      </c>
      <c r="W819" s="4">
        <v>0</v>
      </c>
    </row>
    <row r="820" spans="1:23" ht="11.25" customHeight="1" x14ac:dyDescent="0.25">
      <c r="A820" s="4" t="s">
        <v>28</v>
      </c>
      <c r="B820" s="4" t="s">
        <v>33</v>
      </c>
      <c r="C820" s="4" t="s">
        <v>34</v>
      </c>
      <c r="D820" s="4" t="s">
        <v>40</v>
      </c>
      <c r="E820" s="4" t="s">
        <v>25</v>
      </c>
      <c r="F820" s="4" t="s">
        <v>25</v>
      </c>
      <c r="G820" s="4" t="s">
        <v>25</v>
      </c>
      <c r="H820" s="4" t="s">
        <v>25</v>
      </c>
      <c r="I820" s="5">
        <v>44044</v>
      </c>
      <c r="J820" s="6">
        <v>1758</v>
      </c>
      <c r="K820" s="6">
        <v>1758</v>
      </c>
      <c r="L820" s="6">
        <v>0</v>
      </c>
      <c r="M820" s="6">
        <v>0</v>
      </c>
      <c r="N820" s="6">
        <v>0</v>
      </c>
      <c r="O820" s="6">
        <v>0</v>
      </c>
      <c r="P820" s="6">
        <v>10</v>
      </c>
      <c r="Q820" s="4" t="s">
        <v>26</v>
      </c>
      <c r="R820" s="4">
        <v>0</v>
      </c>
      <c r="S820" s="4" t="s">
        <v>357</v>
      </c>
      <c r="U820" s="4">
        <v>26</v>
      </c>
      <c r="V820" s="4">
        <v>0</v>
      </c>
      <c r="W820" s="4">
        <v>0</v>
      </c>
    </row>
    <row r="821" spans="1:23" ht="11.25" customHeight="1" x14ac:dyDescent="0.25">
      <c r="A821" s="4" t="s">
        <v>59</v>
      </c>
      <c r="B821" s="4" t="s">
        <v>33</v>
      </c>
      <c r="C821" s="4" t="s">
        <v>34</v>
      </c>
      <c r="D821" s="4" t="s">
        <v>40</v>
      </c>
      <c r="E821" s="4" t="s">
        <v>25</v>
      </c>
      <c r="F821" s="4" t="s">
        <v>25</v>
      </c>
      <c r="G821" s="4" t="s">
        <v>25</v>
      </c>
      <c r="H821" s="4" t="s">
        <v>25</v>
      </c>
      <c r="I821" s="5">
        <v>44075</v>
      </c>
      <c r="J821" s="6">
        <v>15106</v>
      </c>
      <c r="K821" s="6">
        <v>15106</v>
      </c>
      <c r="L821" s="6">
        <v>0</v>
      </c>
      <c r="M821" s="6">
        <v>0</v>
      </c>
      <c r="N821" s="6">
        <v>0</v>
      </c>
      <c r="O821" s="6">
        <v>0</v>
      </c>
      <c r="P821" s="6">
        <v>113</v>
      </c>
      <c r="Q821" s="4" t="s">
        <v>26</v>
      </c>
      <c r="R821" s="4">
        <v>0</v>
      </c>
      <c r="S821" s="4" t="s">
        <v>358</v>
      </c>
      <c r="U821" s="4">
        <v>26</v>
      </c>
      <c r="V821" s="4">
        <v>0</v>
      </c>
      <c r="W821" s="4">
        <v>0</v>
      </c>
    </row>
    <row r="822" spans="1:23" ht="11.25" customHeight="1" x14ac:dyDescent="0.25">
      <c r="A822" s="4" t="s">
        <v>59</v>
      </c>
      <c r="B822" s="4" t="s">
        <v>33</v>
      </c>
      <c r="C822" s="4" t="s">
        <v>34</v>
      </c>
      <c r="D822" s="4" t="s">
        <v>40</v>
      </c>
      <c r="E822" s="4" t="s">
        <v>25</v>
      </c>
      <c r="F822" s="4" t="s">
        <v>25</v>
      </c>
      <c r="G822" s="4" t="s">
        <v>25</v>
      </c>
      <c r="H822" s="4" t="s">
        <v>25</v>
      </c>
      <c r="I822" s="5">
        <v>44075</v>
      </c>
      <c r="J822" s="6">
        <v>259</v>
      </c>
      <c r="K822" s="6">
        <v>259</v>
      </c>
      <c r="L822" s="6">
        <v>0</v>
      </c>
      <c r="M822" s="6">
        <v>0</v>
      </c>
      <c r="N822" s="6">
        <v>0</v>
      </c>
      <c r="O822" s="6">
        <v>0</v>
      </c>
      <c r="P822" s="6">
        <v>2</v>
      </c>
      <c r="Q822" s="4" t="s">
        <v>26</v>
      </c>
      <c r="R822" s="4">
        <v>0</v>
      </c>
      <c r="S822" s="4" t="s">
        <v>358</v>
      </c>
      <c r="U822" s="4">
        <v>26</v>
      </c>
      <c r="V822" s="4">
        <v>0</v>
      </c>
      <c r="W822" s="4">
        <v>0</v>
      </c>
    </row>
    <row r="823" spans="1:23" ht="11.25" customHeight="1" x14ac:dyDescent="0.25">
      <c r="A823" s="4" t="s">
        <v>59</v>
      </c>
      <c r="B823" s="4" t="s">
        <v>33</v>
      </c>
      <c r="C823" s="4" t="s">
        <v>34</v>
      </c>
      <c r="D823" s="4" t="s">
        <v>40</v>
      </c>
      <c r="E823" s="4" t="s">
        <v>25</v>
      </c>
      <c r="F823" s="4" t="s">
        <v>25</v>
      </c>
      <c r="G823" s="4" t="s">
        <v>25</v>
      </c>
      <c r="H823" s="4" t="s">
        <v>25</v>
      </c>
      <c r="I823" s="5">
        <v>44075</v>
      </c>
      <c r="J823" s="6">
        <v>1758</v>
      </c>
      <c r="K823" s="6">
        <v>1758</v>
      </c>
      <c r="L823" s="6">
        <v>0</v>
      </c>
      <c r="M823" s="6">
        <v>0</v>
      </c>
      <c r="N823" s="6">
        <v>0</v>
      </c>
      <c r="O823" s="6">
        <v>0</v>
      </c>
      <c r="P823" s="6">
        <v>10</v>
      </c>
      <c r="Q823" s="4" t="s">
        <v>26</v>
      </c>
      <c r="R823" s="4">
        <v>0</v>
      </c>
      <c r="S823" s="4" t="s">
        <v>358</v>
      </c>
      <c r="U823" s="4">
        <v>26</v>
      </c>
      <c r="V823" s="4">
        <v>0</v>
      </c>
      <c r="W823" s="4">
        <v>0</v>
      </c>
    </row>
    <row r="824" spans="1:23" ht="11.25" customHeight="1" x14ac:dyDescent="0.25">
      <c r="A824" s="4" t="s">
        <v>21</v>
      </c>
      <c r="B824" s="4" t="s">
        <v>33</v>
      </c>
      <c r="C824" s="4" t="s">
        <v>34</v>
      </c>
      <c r="D824" s="4" t="s">
        <v>40</v>
      </c>
      <c r="E824" s="4" t="s">
        <v>25</v>
      </c>
      <c r="F824" s="4" t="s">
        <v>25</v>
      </c>
      <c r="G824" s="4" t="s">
        <v>25</v>
      </c>
      <c r="H824" s="4" t="s">
        <v>35</v>
      </c>
      <c r="I824" s="5">
        <v>43739</v>
      </c>
      <c r="J824" s="6">
        <v>0</v>
      </c>
      <c r="K824" s="6">
        <v>0</v>
      </c>
      <c r="L824" s="6">
        <v>178.494</v>
      </c>
      <c r="M824" s="6">
        <v>178.494</v>
      </c>
      <c r="N824" s="6">
        <v>178.494</v>
      </c>
      <c r="O824" s="6">
        <v>178.494</v>
      </c>
      <c r="P824" s="6">
        <v>0</v>
      </c>
      <c r="Q824" s="4" t="s">
        <v>26</v>
      </c>
      <c r="R824" s="4">
        <v>0</v>
      </c>
      <c r="S824" s="4" t="s">
        <v>359</v>
      </c>
      <c r="T824" s="4" t="s">
        <v>712</v>
      </c>
      <c r="U824" s="4">
        <v>0</v>
      </c>
      <c r="V824" s="4">
        <v>27</v>
      </c>
      <c r="W824" s="4">
        <v>81</v>
      </c>
    </row>
    <row r="825" spans="1:23" ht="11.25" customHeight="1" x14ac:dyDescent="0.25">
      <c r="A825" s="4" t="s">
        <v>27</v>
      </c>
      <c r="B825" s="4" t="s">
        <v>33</v>
      </c>
      <c r="C825" s="4" t="s">
        <v>34</v>
      </c>
      <c r="D825" s="4" t="s">
        <v>40</v>
      </c>
      <c r="E825" s="4" t="s">
        <v>25</v>
      </c>
      <c r="F825" s="4" t="s">
        <v>25</v>
      </c>
      <c r="G825" s="4" t="s">
        <v>25</v>
      </c>
      <c r="H825" s="4" t="s">
        <v>35</v>
      </c>
      <c r="I825" s="5">
        <v>43739</v>
      </c>
      <c r="J825" s="6">
        <v>0</v>
      </c>
      <c r="K825" s="6">
        <v>0</v>
      </c>
      <c r="L825" s="6">
        <v>0.20499999999999999</v>
      </c>
      <c r="M825" s="6">
        <v>0.20499999999999999</v>
      </c>
      <c r="N825" s="6">
        <v>0.20499999999999999</v>
      </c>
      <c r="O825" s="6">
        <v>0.20499999999999999</v>
      </c>
      <c r="P825" s="6">
        <v>0</v>
      </c>
      <c r="Q825" s="4" t="s">
        <v>26</v>
      </c>
      <c r="R825" s="4">
        <v>0</v>
      </c>
      <c r="S825" s="4" t="s">
        <v>359</v>
      </c>
      <c r="T825" s="4" t="s">
        <v>712</v>
      </c>
      <c r="U825" s="4">
        <v>0</v>
      </c>
      <c r="V825" s="4">
        <v>27</v>
      </c>
      <c r="W825" s="4">
        <v>81</v>
      </c>
    </row>
    <row r="826" spans="1:23" ht="11.25" customHeight="1" x14ac:dyDescent="0.25">
      <c r="A826" s="4" t="s">
        <v>21</v>
      </c>
      <c r="B826" s="4" t="s">
        <v>33</v>
      </c>
      <c r="C826" s="4" t="s">
        <v>34</v>
      </c>
      <c r="D826" s="4" t="s">
        <v>40</v>
      </c>
      <c r="E826" s="4" t="s">
        <v>25</v>
      </c>
      <c r="F826" s="4" t="s">
        <v>25</v>
      </c>
      <c r="G826" s="4" t="s">
        <v>25</v>
      </c>
      <c r="H826" s="4" t="s">
        <v>35</v>
      </c>
      <c r="I826" s="5">
        <v>43770</v>
      </c>
      <c r="J826" s="6">
        <v>0</v>
      </c>
      <c r="K826" s="6">
        <v>0</v>
      </c>
      <c r="L826" s="6">
        <v>185.49600000000001</v>
      </c>
      <c r="M826" s="6">
        <v>185.49600000000001</v>
      </c>
      <c r="N826" s="6">
        <v>185.49600000000001</v>
      </c>
      <c r="O826" s="6">
        <v>185.49600000000001</v>
      </c>
      <c r="P826" s="6">
        <v>0</v>
      </c>
      <c r="Q826" s="4" t="s">
        <v>26</v>
      </c>
      <c r="R826" s="4">
        <v>0</v>
      </c>
      <c r="S826" s="4" t="s">
        <v>360</v>
      </c>
      <c r="T826" s="4" t="s">
        <v>713</v>
      </c>
      <c r="U826" s="4">
        <v>0</v>
      </c>
      <c r="V826" s="4">
        <v>27</v>
      </c>
      <c r="W826" s="4">
        <v>81</v>
      </c>
    </row>
    <row r="827" spans="1:23" ht="11.25" customHeight="1" x14ac:dyDescent="0.25">
      <c r="A827" s="4" t="s">
        <v>27</v>
      </c>
      <c r="B827" s="4" t="s">
        <v>33</v>
      </c>
      <c r="C827" s="4" t="s">
        <v>34</v>
      </c>
      <c r="D827" s="4" t="s">
        <v>40</v>
      </c>
      <c r="E827" s="4" t="s">
        <v>25</v>
      </c>
      <c r="F827" s="4" t="s">
        <v>25</v>
      </c>
      <c r="G827" s="4" t="s">
        <v>25</v>
      </c>
      <c r="H827" s="4" t="s">
        <v>35</v>
      </c>
      <c r="I827" s="5">
        <v>43770</v>
      </c>
      <c r="J827" s="6">
        <v>0</v>
      </c>
      <c r="K827" s="6">
        <v>0</v>
      </c>
      <c r="L827" s="6">
        <v>3.1880000000000002</v>
      </c>
      <c r="M827" s="6">
        <v>3.1880000000000002</v>
      </c>
      <c r="N827" s="6">
        <v>3.1880000000000002</v>
      </c>
      <c r="O827" s="6">
        <v>3.1880000000000002</v>
      </c>
      <c r="P827" s="6">
        <v>0</v>
      </c>
      <c r="Q827" s="4" t="s">
        <v>26</v>
      </c>
      <c r="R827" s="4">
        <v>0</v>
      </c>
      <c r="S827" s="4" t="s">
        <v>360</v>
      </c>
      <c r="T827" s="4" t="s">
        <v>713</v>
      </c>
      <c r="U827" s="4">
        <v>0</v>
      </c>
      <c r="V827" s="4">
        <v>27</v>
      </c>
      <c r="W827" s="4">
        <v>81</v>
      </c>
    </row>
    <row r="828" spans="1:23" ht="11.25" customHeight="1" x14ac:dyDescent="0.25">
      <c r="A828" s="4" t="s">
        <v>28</v>
      </c>
      <c r="B828" s="4" t="s">
        <v>33</v>
      </c>
      <c r="C828" s="4" t="s">
        <v>34</v>
      </c>
      <c r="D828" s="4" t="s">
        <v>40</v>
      </c>
      <c r="E828" s="4" t="s">
        <v>25</v>
      </c>
      <c r="F828" s="4" t="s">
        <v>25</v>
      </c>
      <c r="G828" s="4" t="s">
        <v>25</v>
      </c>
      <c r="H828" s="4" t="s">
        <v>35</v>
      </c>
      <c r="I828" s="5">
        <v>43770</v>
      </c>
      <c r="J828" s="6">
        <v>0</v>
      </c>
      <c r="K828" s="6">
        <v>0</v>
      </c>
      <c r="L828" s="6">
        <v>1.155</v>
      </c>
      <c r="M828" s="6">
        <v>1.155</v>
      </c>
      <c r="N828" s="6">
        <v>1.155</v>
      </c>
      <c r="O828" s="6">
        <v>1.155</v>
      </c>
      <c r="P828" s="6">
        <v>0</v>
      </c>
      <c r="Q828" s="4" t="s">
        <v>26</v>
      </c>
      <c r="R828" s="4">
        <v>0</v>
      </c>
      <c r="S828" s="4" t="s">
        <v>360</v>
      </c>
      <c r="T828" s="4" t="s">
        <v>713</v>
      </c>
      <c r="U828" s="4">
        <v>0</v>
      </c>
      <c r="V828" s="4">
        <v>27</v>
      </c>
      <c r="W828" s="4">
        <v>81</v>
      </c>
    </row>
    <row r="829" spans="1:23" ht="11.25" customHeight="1" x14ac:dyDescent="0.25">
      <c r="A829" s="4" t="s">
        <v>21</v>
      </c>
      <c r="B829" s="4" t="s">
        <v>33</v>
      </c>
      <c r="C829" s="4" t="s">
        <v>34</v>
      </c>
      <c r="D829" s="4" t="s">
        <v>40</v>
      </c>
      <c r="E829" s="4" t="s">
        <v>25</v>
      </c>
      <c r="F829" s="4" t="s">
        <v>25</v>
      </c>
      <c r="G829" s="4" t="s">
        <v>25</v>
      </c>
      <c r="H829" s="4" t="s">
        <v>35</v>
      </c>
      <c r="I829" s="5">
        <v>43800</v>
      </c>
      <c r="J829" s="6">
        <v>0</v>
      </c>
      <c r="K829" s="6">
        <v>0</v>
      </c>
      <c r="L829" s="6">
        <v>160.982</v>
      </c>
      <c r="M829" s="6">
        <v>160.982</v>
      </c>
      <c r="N829" s="6">
        <v>160.982</v>
      </c>
      <c r="O829" s="6">
        <v>160.982</v>
      </c>
      <c r="P829" s="6">
        <v>0</v>
      </c>
      <c r="Q829" s="4" t="s">
        <v>26</v>
      </c>
      <c r="R829" s="4">
        <v>0</v>
      </c>
      <c r="S829" s="4" t="s">
        <v>361</v>
      </c>
      <c r="T829" s="4" t="s">
        <v>714</v>
      </c>
      <c r="U829" s="4">
        <v>0</v>
      </c>
      <c r="V829" s="4">
        <v>27</v>
      </c>
      <c r="W829" s="4">
        <v>81</v>
      </c>
    </row>
    <row r="830" spans="1:23" ht="11.25" customHeight="1" x14ac:dyDescent="0.25">
      <c r="A830" s="4" t="s">
        <v>27</v>
      </c>
      <c r="B830" s="4" t="s">
        <v>33</v>
      </c>
      <c r="C830" s="4" t="s">
        <v>34</v>
      </c>
      <c r="D830" s="4" t="s">
        <v>40</v>
      </c>
      <c r="E830" s="4" t="s">
        <v>25</v>
      </c>
      <c r="F830" s="4" t="s">
        <v>25</v>
      </c>
      <c r="G830" s="4" t="s">
        <v>25</v>
      </c>
      <c r="H830" s="4" t="s">
        <v>35</v>
      </c>
      <c r="I830" s="5">
        <v>43800</v>
      </c>
      <c r="J830" s="6">
        <v>0</v>
      </c>
      <c r="K830" s="6">
        <v>0</v>
      </c>
      <c r="L830" s="6">
        <v>0.129</v>
      </c>
      <c r="M830" s="6">
        <v>0.129</v>
      </c>
      <c r="N830" s="6">
        <v>0.129</v>
      </c>
      <c r="O830" s="6">
        <v>0.129</v>
      </c>
      <c r="P830" s="6">
        <v>0</v>
      </c>
      <c r="Q830" s="4" t="s">
        <v>26</v>
      </c>
      <c r="R830" s="4">
        <v>0</v>
      </c>
      <c r="S830" s="4" t="s">
        <v>361</v>
      </c>
      <c r="T830" s="4" t="s">
        <v>714</v>
      </c>
      <c r="U830" s="4">
        <v>0</v>
      </c>
      <c r="V830" s="4">
        <v>27</v>
      </c>
      <c r="W830" s="4">
        <v>81</v>
      </c>
    </row>
    <row r="831" spans="1:23" ht="11.25" customHeight="1" x14ac:dyDescent="0.25">
      <c r="A831" s="4" t="s">
        <v>28</v>
      </c>
      <c r="B831" s="4" t="s">
        <v>33</v>
      </c>
      <c r="C831" s="4" t="s">
        <v>34</v>
      </c>
      <c r="D831" s="4" t="s">
        <v>40</v>
      </c>
      <c r="E831" s="4" t="s">
        <v>25</v>
      </c>
      <c r="F831" s="4" t="s">
        <v>25</v>
      </c>
      <c r="G831" s="4" t="s">
        <v>25</v>
      </c>
      <c r="H831" s="4" t="s">
        <v>35</v>
      </c>
      <c r="I831" s="5">
        <v>43800</v>
      </c>
      <c r="J831" s="6">
        <v>0</v>
      </c>
      <c r="K831" s="6">
        <v>0</v>
      </c>
      <c r="L831" s="6">
        <v>1.97</v>
      </c>
      <c r="M831" s="6">
        <v>1.97</v>
      </c>
      <c r="N831" s="6">
        <v>1.97</v>
      </c>
      <c r="O831" s="6">
        <v>1.97</v>
      </c>
      <c r="P831" s="6">
        <v>0</v>
      </c>
      <c r="Q831" s="4" t="s">
        <v>26</v>
      </c>
      <c r="R831" s="4">
        <v>0</v>
      </c>
      <c r="S831" s="4" t="s">
        <v>361</v>
      </c>
      <c r="T831" s="4" t="s">
        <v>714</v>
      </c>
      <c r="U831" s="4">
        <v>0</v>
      </c>
      <c r="V831" s="4">
        <v>27</v>
      </c>
      <c r="W831" s="4">
        <v>81</v>
      </c>
    </row>
    <row r="832" spans="1:23" ht="11.25" customHeight="1" x14ac:dyDescent="0.25">
      <c r="A832" s="4" t="s">
        <v>21</v>
      </c>
      <c r="B832" s="4" t="s">
        <v>33</v>
      </c>
      <c r="C832" s="4" t="s">
        <v>34</v>
      </c>
      <c r="D832" s="4" t="s">
        <v>40</v>
      </c>
      <c r="E832" s="4" t="s">
        <v>25</v>
      </c>
      <c r="F832" s="4" t="s">
        <v>25</v>
      </c>
      <c r="G832" s="4" t="s">
        <v>25</v>
      </c>
      <c r="H832" s="4" t="s">
        <v>35</v>
      </c>
      <c r="I832" s="5">
        <v>43831</v>
      </c>
      <c r="J832" s="6">
        <v>0</v>
      </c>
      <c r="K832" s="6">
        <v>0</v>
      </c>
      <c r="L832" s="6">
        <v>147.714</v>
      </c>
      <c r="M832" s="6">
        <v>147.714</v>
      </c>
      <c r="N832" s="6">
        <v>147.714</v>
      </c>
      <c r="O832" s="6">
        <v>147.714</v>
      </c>
      <c r="P832" s="6">
        <v>0</v>
      </c>
      <c r="Q832" s="4" t="s">
        <v>26</v>
      </c>
      <c r="R832" s="4">
        <v>0</v>
      </c>
      <c r="S832" s="4" t="s">
        <v>362</v>
      </c>
      <c r="T832" s="4" t="s">
        <v>715</v>
      </c>
      <c r="U832" s="4">
        <v>0</v>
      </c>
      <c r="V832" s="4">
        <v>27</v>
      </c>
      <c r="W832" s="4">
        <v>81</v>
      </c>
    </row>
    <row r="833" spans="1:23" ht="11.25" customHeight="1" x14ac:dyDescent="0.25">
      <c r="A833" s="4" t="s">
        <v>27</v>
      </c>
      <c r="B833" s="4" t="s">
        <v>33</v>
      </c>
      <c r="C833" s="4" t="s">
        <v>34</v>
      </c>
      <c r="D833" s="4" t="s">
        <v>40</v>
      </c>
      <c r="E833" s="4" t="s">
        <v>25</v>
      </c>
      <c r="F833" s="4" t="s">
        <v>25</v>
      </c>
      <c r="G833" s="4" t="s">
        <v>25</v>
      </c>
      <c r="H833" s="4" t="s">
        <v>35</v>
      </c>
      <c r="I833" s="5">
        <v>43831</v>
      </c>
      <c r="J833" s="6">
        <v>0</v>
      </c>
      <c r="K833" s="6">
        <v>0</v>
      </c>
      <c r="L833" s="6">
        <v>2.9060000000000001</v>
      </c>
      <c r="M833" s="6">
        <v>2.9060000000000001</v>
      </c>
      <c r="N833" s="6">
        <v>2.9060000000000001</v>
      </c>
      <c r="O833" s="6">
        <v>2.9060000000000001</v>
      </c>
      <c r="P833" s="6">
        <v>0</v>
      </c>
      <c r="Q833" s="4" t="s">
        <v>26</v>
      </c>
      <c r="R833" s="4">
        <v>0</v>
      </c>
      <c r="S833" s="4" t="s">
        <v>362</v>
      </c>
      <c r="T833" s="4" t="s">
        <v>715</v>
      </c>
      <c r="U833" s="4">
        <v>0</v>
      </c>
      <c r="V833" s="4">
        <v>27</v>
      </c>
      <c r="W833" s="4">
        <v>81</v>
      </c>
    </row>
    <row r="834" spans="1:23" ht="11.25" customHeight="1" x14ac:dyDescent="0.25">
      <c r="A834" s="4" t="s">
        <v>28</v>
      </c>
      <c r="B834" s="4" t="s">
        <v>33</v>
      </c>
      <c r="C834" s="4" t="s">
        <v>34</v>
      </c>
      <c r="D834" s="4" t="s">
        <v>40</v>
      </c>
      <c r="E834" s="4" t="s">
        <v>25</v>
      </c>
      <c r="F834" s="4" t="s">
        <v>25</v>
      </c>
      <c r="G834" s="4" t="s">
        <v>25</v>
      </c>
      <c r="H834" s="4" t="s">
        <v>35</v>
      </c>
      <c r="I834" s="5">
        <v>43831</v>
      </c>
      <c r="J834" s="6">
        <v>0</v>
      </c>
      <c r="K834" s="6">
        <v>0</v>
      </c>
      <c r="L834" s="6">
        <v>1.284</v>
      </c>
      <c r="M834" s="6">
        <v>1.284</v>
      </c>
      <c r="N834" s="6">
        <v>1.284</v>
      </c>
      <c r="O834" s="6">
        <v>1.284</v>
      </c>
      <c r="P834" s="6">
        <v>0</v>
      </c>
      <c r="Q834" s="4" t="s">
        <v>26</v>
      </c>
      <c r="R834" s="4">
        <v>0</v>
      </c>
      <c r="S834" s="4" t="s">
        <v>362</v>
      </c>
      <c r="T834" s="4" t="s">
        <v>715</v>
      </c>
      <c r="U834" s="4">
        <v>0</v>
      </c>
      <c r="V834" s="4">
        <v>27</v>
      </c>
      <c r="W834" s="4">
        <v>81</v>
      </c>
    </row>
    <row r="835" spans="1:23" ht="11.25" customHeight="1" x14ac:dyDescent="0.25">
      <c r="A835" s="4" t="s">
        <v>21</v>
      </c>
      <c r="B835" s="4" t="s">
        <v>33</v>
      </c>
      <c r="C835" s="4" t="s">
        <v>34</v>
      </c>
      <c r="D835" s="4" t="s">
        <v>40</v>
      </c>
      <c r="E835" s="4" t="s">
        <v>25</v>
      </c>
      <c r="F835" s="4" t="s">
        <v>25</v>
      </c>
      <c r="G835" s="4" t="s">
        <v>25</v>
      </c>
      <c r="H835" s="4" t="s">
        <v>35</v>
      </c>
      <c r="I835" s="5">
        <v>43862</v>
      </c>
      <c r="J835" s="6">
        <v>0</v>
      </c>
      <c r="K835" s="6">
        <v>0</v>
      </c>
      <c r="L835" s="6">
        <v>154.33600000000001</v>
      </c>
      <c r="M835" s="6">
        <v>154.33600000000001</v>
      </c>
      <c r="N835" s="6">
        <v>154.33600000000001</v>
      </c>
      <c r="O835" s="6">
        <v>154.33600000000001</v>
      </c>
      <c r="P835" s="6">
        <v>0</v>
      </c>
      <c r="Q835" s="4" t="s">
        <v>26</v>
      </c>
      <c r="R835" s="4">
        <v>0</v>
      </c>
      <c r="S835" s="4" t="s">
        <v>363</v>
      </c>
      <c r="T835" s="4" t="s">
        <v>716</v>
      </c>
      <c r="U835" s="4">
        <v>0</v>
      </c>
      <c r="V835" s="4">
        <v>27</v>
      </c>
      <c r="W835" s="4">
        <v>81</v>
      </c>
    </row>
    <row r="836" spans="1:23" ht="11.25" customHeight="1" x14ac:dyDescent="0.25">
      <c r="A836" s="4" t="s">
        <v>28</v>
      </c>
      <c r="B836" s="4" t="s">
        <v>33</v>
      </c>
      <c r="C836" s="4" t="s">
        <v>34</v>
      </c>
      <c r="D836" s="4" t="s">
        <v>40</v>
      </c>
      <c r="E836" s="4" t="s">
        <v>25</v>
      </c>
      <c r="F836" s="4" t="s">
        <v>25</v>
      </c>
      <c r="G836" s="4" t="s">
        <v>25</v>
      </c>
      <c r="H836" s="4" t="s">
        <v>35</v>
      </c>
      <c r="I836" s="5">
        <v>43862</v>
      </c>
      <c r="J836" s="6">
        <v>0</v>
      </c>
      <c r="K836" s="6">
        <v>0</v>
      </c>
      <c r="L836" s="6">
        <v>1.823</v>
      </c>
      <c r="M836" s="6">
        <v>1.823</v>
      </c>
      <c r="N836" s="6">
        <v>1.823</v>
      </c>
      <c r="O836" s="6">
        <v>1.823</v>
      </c>
      <c r="P836" s="6">
        <v>0</v>
      </c>
      <c r="Q836" s="4" t="s">
        <v>26</v>
      </c>
      <c r="R836" s="4">
        <v>0</v>
      </c>
      <c r="S836" s="4" t="s">
        <v>363</v>
      </c>
      <c r="T836" s="4" t="s">
        <v>716</v>
      </c>
      <c r="U836" s="4">
        <v>0</v>
      </c>
      <c r="V836" s="4">
        <v>27</v>
      </c>
      <c r="W836" s="4">
        <v>81</v>
      </c>
    </row>
    <row r="837" spans="1:23" ht="11.25" customHeight="1" x14ac:dyDescent="0.25">
      <c r="A837" s="4" t="s">
        <v>21</v>
      </c>
      <c r="B837" s="4" t="s">
        <v>33</v>
      </c>
      <c r="C837" s="4" t="s">
        <v>34</v>
      </c>
      <c r="D837" s="4" t="s">
        <v>40</v>
      </c>
      <c r="E837" s="4" t="s">
        <v>25</v>
      </c>
      <c r="F837" s="4" t="s">
        <v>25</v>
      </c>
      <c r="G837" s="4" t="s">
        <v>25</v>
      </c>
      <c r="H837" s="4" t="s">
        <v>35</v>
      </c>
      <c r="I837" s="5">
        <v>43891</v>
      </c>
      <c r="J837" s="6">
        <v>0</v>
      </c>
      <c r="K837" s="6">
        <v>0</v>
      </c>
      <c r="L837" s="6">
        <v>129.66499999999999</v>
      </c>
      <c r="M837" s="6">
        <v>129.66499999999999</v>
      </c>
      <c r="N837" s="6">
        <v>129.66499999999999</v>
      </c>
      <c r="O837" s="6">
        <v>129.66499999999999</v>
      </c>
      <c r="P837" s="6">
        <v>0</v>
      </c>
      <c r="Q837" s="4" t="s">
        <v>26</v>
      </c>
      <c r="R837" s="4">
        <v>0</v>
      </c>
      <c r="S837" s="4" t="s">
        <v>364</v>
      </c>
      <c r="T837" s="4" t="s">
        <v>717</v>
      </c>
      <c r="U837" s="4">
        <v>0</v>
      </c>
      <c r="V837" s="4">
        <v>27</v>
      </c>
      <c r="W837" s="4">
        <v>81</v>
      </c>
    </row>
    <row r="838" spans="1:23" ht="11.25" customHeight="1" x14ac:dyDescent="0.25">
      <c r="A838" s="4" t="s">
        <v>27</v>
      </c>
      <c r="B838" s="4" t="s">
        <v>33</v>
      </c>
      <c r="C838" s="4" t="s">
        <v>34</v>
      </c>
      <c r="D838" s="4" t="s">
        <v>40</v>
      </c>
      <c r="E838" s="4" t="s">
        <v>25</v>
      </c>
      <c r="F838" s="4" t="s">
        <v>25</v>
      </c>
      <c r="G838" s="4" t="s">
        <v>25</v>
      </c>
      <c r="H838" s="4" t="s">
        <v>35</v>
      </c>
      <c r="I838" s="5">
        <v>43891</v>
      </c>
      <c r="J838" s="6">
        <v>0</v>
      </c>
      <c r="K838" s="6">
        <v>0</v>
      </c>
      <c r="L838" s="6">
        <v>2.7559999999999998</v>
      </c>
      <c r="M838" s="6">
        <v>2.7559999999999998</v>
      </c>
      <c r="N838" s="6">
        <v>2.7559999999999998</v>
      </c>
      <c r="O838" s="6">
        <v>2.7559999999999998</v>
      </c>
      <c r="P838" s="6">
        <v>0</v>
      </c>
      <c r="Q838" s="4" t="s">
        <v>26</v>
      </c>
      <c r="R838" s="4">
        <v>0</v>
      </c>
      <c r="S838" s="4" t="s">
        <v>364</v>
      </c>
      <c r="T838" s="4" t="s">
        <v>717</v>
      </c>
      <c r="U838" s="4">
        <v>0</v>
      </c>
      <c r="V838" s="4">
        <v>27</v>
      </c>
      <c r="W838" s="4">
        <v>81</v>
      </c>
    </row>
    <row r="839" spans="1:23" ht="11.25" customHeight="1" x14ac:dyDescent="0.25">
      <c r="A839" s="4" t="s">
        <v>28</v>
      </c>
      <c r="B839" s="4" t="s">
        <v>33</v>
      </c>
      <c r="C839" s="4" t="s">
        <v>34</v>
      </c>
      <c r="D839" s="4" t="s">
        <v>40</v>
      </c>
      <c r="E839" s="4" t="s">
        <v>25</v>
      </c>
      <c r="F839" s="4" t="s">
        <v>25</v>
      </c>
      <c r="G839" s="4" t="s">
        <v>25</v>
      </c>
      <c r="H839" s="4" t="s">
        <v>35</v>
      </c>
      <c r="I839" s="5">
        <v>43891</v>
      </c>
      <c r="J839" s="6">
        <v>0</v>
      </c>
      <c r="K839" s="6">
        <v>0</v>
      </c>
      <c r="L839" s="6">
        <v>7.577</v>
      </c>
      <c r="M839" s="6">
        <v>7.577</v>
      </c>
      <c r="N839" s="6">
        <v>7.577</v>
      </c>
      <c r="O839" s="6">
        <v>7.577</v>
      </c>
      <c r="P839" s="6">
        <v>0</v>
      </c>
      <c r="Q839" s="4" t="s">
        <v>26</v>
      </c>
      <c r="R839" s="4">
        <v>0</v>
      </c>
      <c r="S839" s="4" t="s">
        <v>364</v>
      </c>
      <c r="T839" s="4" t="s">
        <v>717</v>
      </c>
      <c r="U839" s="4">
        <v>0</v>
      </c>
      <c r="V839" s="4">
        <v>27</v>
      </c>
      <c r="W839" s="4">
        <v>81</v>
      </c>
    </row>
    <row r="840" spans="1:23" ht="11.25" customHeight="1" x14ac:dyDescent="0.25">
      <c r="A840" s="4" t="s">
        <v>21</v>
      </c>
      <c r="B840" s="4" t="s">
        <v>33</v>
      </c>
      <c r="C840" s="4" t="s">
        <v>34</v>
      </c>
      <c r="D840" s="4" t="s">
        <v>40</v>
      </c>
      <c r="E840" s="4" t="s">
        <v>25</v>
      </c>
      <c r="F840" s="4" t="s">
        <v>25</v>
      </c>
      <c r="G840" s="4" t="s">
        <v>25</v>
      </c>
      <c r="H840" s="4" t="s">
        <v>35</v>
      </c>
      <c r="I840" s="5">
        <v>43922</v>
      </c>
      <c r="J840" s="6">
        <v>0</v>
      </c>
      <c r="K840" s="6">
        <v>0</v>
      </c>
      <c r="L840" s="6">
        <v>138.404</v>
      </c>
      <c r="M840" s="6">
        <v>138.404</v>
      </c>
      <c r="N840" s="6">
        <v>138.404</v>
      </c>
      <c r="O840" s="6">
        <v>138.404</v>
      </c>
      <c r="P840" s="6">
        <v>0</v>
      </c>
      <c r="Q840" s="4" t="s">
        <v>26</v>
      </c>
      <c r="R840" s="4">
        <v>0</v>
      </c>
      <c r="S840" s="4" t="s">
        <v>365</v>
      </c>
      <c r="T840" s="4" t="s">
        <v>718</v>
      </c>
      <c r="U840" s="4">
        <v>0</v>
      </c>
      <c r="V840" s="4">
        <v>27</v>
      </c>
      <c r="W840" s="4">
        <v>81</v>
      </c>
    </row>
    <row r="841" spans="1:23" ht="11.25" customHeight="1" x14ac:dyDescent="0.25">
      <c r="A841" s="4" t="s">
        <v>27</v>
      </c>
      <c r="B841" s="4" t="s">
        <v>33</v>
      </c>
      <c r="C841" s="4" t="s">
        <v>34</v>
      </c>
      <c r="D841" s="4" t="s">
        <v>40</v>
      </c>
      <c r="E841" s="4" t="s">
        <v>25</v>
      </c>
      <c r="F841" s="4" t="s">
        <v>25</v>
      </c>
      <c r="G841" s="4" t="s">
        <v>25</v>
      </c>
      <c r="H841" s="4" t="s">
        <v>35</v>
      </c>
      <c r="I841" s="5">
        <v>43922</v>
      </c>
      <c r="J841" s="6">
        <v>0</v>
      </c>
      <c r="K841" s="6">
        <v>0</v>
      </c>
      <c r="L841" s="6">
        <v>0.13700000000000001</v>
      </c>
      <c r="M841" s="6">
        <v>0.13700000000000001</v>
      </c>
      <c r="N841" s="6">
        <v>0.13700000000000001</v>
      </c>
      <c r="O841" s="6">
        <v>0.13700000000000001</v>
      </c>
      <c r="P841" s="6">
        <v>0</v>
      </c>
      <c r="Q841" s="4" t="s">
        <v>26</v>
      </c>
      <c r="R841" s="4">
        <v>0</v>
      </c>
      <c r="S841" s="4" t="s">
        <v>365</v>
      </c>
      <c r="T841" s="4" t="s">
        <v>718</v>
      </c>
      <c r="U841" s="4">
        <v>0</v>
      </c>
      <c r="V841" s="4">
        <v>27</v>
      </c>
      <c r="W841" s="4">
        <v>81</v>
      </c>
    </row>
    <row r="842" spans="1:23" ht="11.25" customHeight="1" x14ac:dyDescent="0.25">
      <c r="A842" s="4" t="s">
        <v>28</v>
      </c>
      <c r="B842" s="4" t="s">
        <v>33</v>
      </c>
      <c r="C842" s="4" t="s">
        <v>34</v>
      </c>
      <c r="D842" s="4" t="s">
        <v>40</v>
      </c>
      <c r="E842" s="4" t="s">
        <v>25</v>
      </c>
      <c r="F842" s="4" t="s">
        <v>25</v>
      </c>
      <c r="G842" s="4" t="s">
        <v>25</v>
      </c>
      <c r="H842" s="4" t="s">
        <v>35</v>
      </c>
      <c r="I842" s="5">
        <v>43922</v>
      </c>
      <c r="J842" s="6">
        <v>0</v>
      </c>
      <c r="K842" s="6">
        <v>0</v>
      </c>
      <c r="L842" s="6">
        <v>8.0830000000000002</v>
      </c>
      <c r="M842" s="6">
        <v>8.0830000000000002</v>
      </c>
      <c r="N842" s="6">
        <v>8.0830000000000002</v>
      </c>
      <c r="O842" s="6">
        <v>8.0830000000000002</v>
      </c>
      <c r="P842" s="6">
        <v>0</v>
      </c>
      <c r="Q842" s="4" t="s">
        <v>26</v>
      </c>
      <c r="R842" s="4">
        <v>0</v>
      </c>
      <c r="S842" s="4" t="s">
        <v>365</v>
      </c>
      <c r="T842" s="4" t="s">
        <v>718</v>
      </c>
      <c r="U842" s="4">
        <v>0</v>
      </c>
      <c r="V842" s="4">
        <v>27</v>
      </c>
      <c r="W842" s="4">
        <v>81</v>
      </c>
    </row>
    <row r="843" spans="1:23" ht="11.25" customHeight="1" x14ac:dyDescent="0.25">
      <c r="A843" s="4" t="s">
        <v>21</v>
      </c>
      <c r="B843" s="4" t="s">
        <v>33</v>
      </c>
      <c r="C843" s="4" t="s">
        <v>34</v>
      </c>
      <c r="D843" s="4" t="s">
        <v>40</v>
      </c>
      <c r="E843" s="4" t="s">
        <v>25</v>
      </c>
      <c r="F843" s="4" t="s">
        <v>25</v>
      </c>
      <c r="G843" s="4" t="s">
        <v>25</v>
      </c>
      <c r="H843" s="4" t="s">
        <v>35</v>
      </c>
      <c r="I843" s="5">
        <v>43952</v>
      </c>
      <c r="J843" s="6">
        <v>0</v>
      </c>
      <c r="K843" s="6">
        <v>0</v>
      </c>
      <c r="L843" s="6">
        <v>105.872</v>
      </c>
      <c r="M843" s="6">
        <v>105.872</v>
      </c>
      <c r="N843" s="6">
        <v>105.872</v>
      </c>
      <c r="O843" s="6">
        <v>105.872</v>
      </c>
      <c r="P843" s="6">
        <v>0</v>
      </c>
      <c r="Q843" s="4" t="s">
        <v>26</v>
      </c>
      <c r="R843" s="4">
        <v>0</v>
      </c>
      <c r="S843" s="4" t="s">
        <v>366</v>
      </c>
      <c r="T843" s="4" t="s">
        <v>719</v>
      </c>
      <c r="U843" s="4">
        <v>0</v>
      </c>
      <c r="V843" s="4">
        <v>27</v>
      </c>
      <c r="W843" s="4">
        <v>81</v>
      </c>
    </row>
    <row r="844" spans="1:23" ht="11.25" customHeight="1" x14ac:dyDescent="0.25">
      <c r="A844" s="4" t="s">
        <v>28</v>
      </c>
      <c r="B844" s="4" t="s">
        <v>33</v>
      </c>
      <c r="C844" s="4" t="s">
        <v>34</v>
      </c>
      <c r="D844" s="4" t="s">
        <v>40</v>
      </c>
      <c r="E844" s="4" t="s">
        <v>25</v>
      </c>
      <c r="F844" s="4" t="s">
        <v>25</v>
      </c>
      <c r="G844" s="4" t="s">
        <v>25</v>
      </c>
      <c r="H844" s="4" t="s">
        <v>35</v>
      </c>
      <c r="I844" s="5">
        <v>43952</v>
      </c>
      <c r="J844" s="6">
        <v>0</v>
      </c>
      <c r="K844" s="6">
        <v>0</v>
      </c>
      <c r="L844" s="6">
        <v>6.6139999999999999</v>
      </c>
      <c r="M844" s="6">
        <v>6.6139999999999999</v>
      </c>
      <c r="N844" s="6">
        <v>6.6139999999999999</v>
      </c>
      <c r="O844" s="6">
        <v>6.6139999999999999</v>
      </c>
      <c r="P844" s="6">
        <v>0</v>
      </c>
      <c r="Q844" s="4" t="s">
        <v>26</v>
      </c>
      <c r="R844" s="4">
        <v>0</v>
      </c>
      <c r="S844" s="4" t="s">
        <v>366</v>
      </c>
      <c r="T844" s="4" t="s">
        <v>719</v>
      </c>
      <c r="U844" s="4">
        <v>0</v>
      </c>
      <c r="V844" s="4">
        <v>27</v>
      </c>
      <c r="W844" s="4">
        <v>81</v>
      </c>
    </row>
    <row r="845" spans="1:23" ht="11.25" customHeight="1" x14ac:dyDescent="0.25">
      <c r="A845" s="4" t="s">
        <v>21</v>
      </c>
      <c r="B845" s="4" t="s">
        <v>33</v>
      </c>
      <c r="C845" s="4" t="s">
        <v>34</v>
      </c>
      <c r="D845" s="4" t="s">
        <v>40</v>
      </c>
      <c r="E845" s="4" t="s">
        <v>25</v>
      </c>
      <c r="F845" s="4" t="s">
        <v>25</v>
      </c>
      <c r="G845" s="4" t="s">
        <v>25</v>
      </c>
      <c r="H845" s="4" t="s">
        <v>35</v>
      </c>
      <c r="I845" s="5">
        <v>43983</v>
      </c>
      <c r="J845" s="6">
        <v>0</v>
      </c>
      <c r="K845" s="6">
        <v>0</v>
      </c>
      <c r="L845" s="6">
        <v>283.56099999999998</v>
      </c>
      <c r="M845" s="6">
        <v>283.56099999999998</v>
      </c>
      <c r="N845" s="6">
        <v>283.56099999999998</v>
      </c>
      <c r="O845" s="6">
        <v>283.56099999999998</v>
      </c>
      <c r="P845" s="6">
        <v>0</v>
      </c>
      <c r="Q845" s="4" t="s">
        <v>26</v>
      </c>
      <c r="R845" s="4">
        <v>0</v>
      </c>
      <c r="S845" s="4" t="s">
        <v>367</v>
      </c>
      <c r="T845" s="4" t="s">
        <v>720</v>
      </c>
      <c r="U845" s="4">
        <v>0</v>
      </c>
      <c r="V845" s="4">
        <v>27</v>
      </c>
      <c r="W845" s="4">
        <v>81</v>
      </c>
    </row>
    <row r="846" spans="1:23" ht="11.25" customHeight="1" x14ac:dyDescent="0.25">
      <c r="A846" s="4" t="s">
        <v>27</v>
      </c>
      <c r="B846" s="4" t="s">
        <v>33</v>
      </c>
      <c r="C846" s="4" t="s">
        <v>34</v>
      </c>
      <c r="D846" s="4" t="s">
        <v>40</v>
      </c>
      <c r="E846" s="4" t="s">
        <v>25</v>
      </c>
      <c r="F846" s="4" t="s">
        <v>25</v>
      </c>
      <c r="G846" s="4" t="s">
        <v>25</v>
      </c>
      <c r="H846" s="4" t="s">
        <v>35</v>
      </c>
      <c r="I846" s="5">
        <v>43983</v>
      </c>
      <c r="J846" s="6">
        <v>0</v>
      </c>
      <c r="K846" s="6">
        <v>0</v>
      </c>
      <c r="L846" s="6">
        <v>6.3879999999999999</v>
      </c>
      <c r="M846" s="6">
        <v>6.3879999999999999</v>
      </c>
      <c r="N846" s="6">
        <v>6.3879999999999999</v>
      </c>
      <c r="O846" s="6">
        <v>6.3879999999999999</v>
      </c>
      <c r="P846" s="6">
        <v>0</v>
      </c>
      <c r="Q846" s="4" t="s">
        <v>26</v>
      </c>
      <c r="R846" s="4">
        <v>0</v>
      </c>
      <c r="S846" s="4" t="s">
        <v>367</v>
      </c>
      <c r="T846" s="4" t="s">
        <v>720</v>
      </c>
      <c r="U846" s="4">
        <v>0</v>
      </c>
      <c r="V846" s="4">
        <v>27</v>
      </c>
      <c r="W846" s="4">
        <v>81</v>
      </c>
    </row>
    <row r="847" spans="1:23" ht="11.25" customHeight="1" x14ac:dyDescent="0.25">
      <c r="A847" s="4" t="s">
        <v>28</v>
      </c>
      <c r="B847" s="4" t="s">
        <v>33</v>
      </c>
      <c r="C847" s="4" t="s">
        <v>34</v>
      </c>
      <c r="D847" s="4" t="s">
        <v>40</v>
      </c>
      <c r="E847" s="4" t="s">
        <v>25</v>
      </c>
      <c r="F847" s="4" t="s">
        <v>25</v>
      </c>
      <c r="G847" s="4" t="s">
        <v>25</v>
      </c>
      <c r="H847" s="4" t="s">
        <v>35</v>
      </c>
      <c r="I847" s="5">
        <v>43983</v>
      </c>
      <c r="J847" s="6">
        <v>0</v>
      </c>
      <c r="K847" s="6">
        <v>0</v>
      </c>
      <c r="L847" s="6">
        <v>9.4290000000000003</v>
      </c>
      <c r="M847" s="6">
        <v>9.4290000000000003</v>
      </c>
      <c r="N847" s="6">
        <v>9.4290000000000003</v>
      </c>
      <c r="O847" s="6">
        <v>9.4290000000000003</v>
      </c>
      <c r="P847" s="6">
        <v>0</v>
      </c>
      <c r="Q847" s="4" t="s">
        <v>26</v>
      </c>
      <c r="R847" s="4">
        <v>0</v>
      </c>
      <c r="S847" s="4" t="s">
        <v>367</v>
      </c>
      <c r="T847" s="4" t="s">
        <v>720</v>
      </c>
      <c r="U847" s="4">
        <v>0</v>
      </c>
      <c r="V847" s="4">
        <v>27</v>
      </c>
      <c r="W847" s="4">
        <v>81</v>
      </c>
    </row>
    <row r="848" spans="1:23" ht="11.25" customHeight="1" x14ac:dyDescent="0.25">
      <c r="A848" s="4" t="s">
        <v>27</v>
      </c>
      <c r="B848" s="4" t="s">
        <v>33</v>
      </c>
      <c r="C848" s="4" t="s">
        <v>34</v>
      </c>
      <c r="D848" s="4" t="s">
        <v>40</v>
      </c>
      <c r="E848" s="4" t="s">
        <v>25</v>
      </c>
      <c r="F848" s="4" t="s">
        <v>25</v>
      </c>
      <c r="G848" s="4" t="s">
        <v>25</v>
      </c>
      <c r="H848" s="4" t="s">
        <v>35</v>
      </c>
      <c r="I848" s="5">
        <v>44013</v>
      </c>
      <c r="J848" s="6">
        <v>0</v>
      </c>
      <c r="K848" s="6">
        <v>0</v>
      </c>
      <c r="L848" s="6">
        <v>-26.184999999999999</v>
      </c>
      <c r="M848" s="6">
        <v>-26.184999999999999</v>
      </c>
      <c r="N848" s="6">
        <v>-26.184999999999999</v>
      </c>
      <c r="O848" s="6">
        <v>-26.184999999999999</v>
      </c>
      <c r="P848" s="6">
        <v>0</v>
      </c>
      <c r="Q848" s="4" t="s">
        <v>26</v>
      </c>
      <c r="R848" s="4">
        <v>0</v>
      </c>
      <c r="S848" s="4" t="s">
        <v>368</v>
      </c>
      <c r="T848" s="4" t="s">
        <v>721</v>
      </c>
      <c r="U848" s="4">
        <v>0</v>
      </c>
      <c r="V848" s="4">
        <v>27</v>
      </c>
      <c r="W848" s="4">
        <v>81</v>
      </c>
    </row>
    <row r="849" spans="1:23" ht="11.25" customHeight="1" x14ac:dyDescent="0.25">
      <c r="A849" s="4" t="s">
        <v>28</v>
      </c>
      <c r="B849" s="4" t="s">
        <v>33</v>
      </c>
      <c r="C849" s="4" t="s">
        <v>34</v>
      </c>
      <c r="D849" s="4" t="s">
        <v>40</v>
      </c>
      <c r="E849" s="4" t="s">
        <v>25</v>
      </c>
      <c r="F849" s="4" t="s">
        <v>25</v>
      </c>
      <c r="G849" s="4" t="s">
        <v>25</v>
      </c>
      <c r="H849" s="4" t="s">
        <v>35</v>
      </c>
      <c r="I849" s="5">
        <v>44013</v>
      </c>
      <c r="J849" s="6">
        <v>0</v>
      </c>
      <c r="K849" s="6">
        <v>0</v>
      </c>
      <c r="L849" s="6">
        <v>13.973000000000001</v>
      </c>
      <c r="M849" s="6">
        <v>13.973000000000001</v>
      </c>
      <c r="N849" s="6">
        <v>13.973000000000001</v>
      </c>
      <c r="O849" s="6">
        <v>13.973000000000001</v>
      </c>
      <c r="P849" s="6">
        <v>0</v>
      </c>
      <c r="Q849" s="4" t="s">
        <v>26</v>
      </c>
      <c r="R849" s="4">
        <v>0</v>
      </c>
      <c r="S849" s="4" t="s">
        <v>368</v>
      </c>
      <c r="T849" s="4" t="s">
        <v>721</v>
      </c>
      <c r="U849" s="4">
        <v>0</v>
      </c>
      <c r="V849" s="4">
        <v>27</v>
      </c>
      <c r="W849" s="4">
        <v>81</v>
      </c>
    </row>
    <row r="850" spans="1:23" ht="11.25" customHeight="1" x14ac:dyDescent="0.25">
      <c r="A850" s="4" t="s">
        <v>21</v>
      </c>
      <c r="B850" s="4" t="s">
        <v>33</v>
      </c>
      <c r="C850" s="4" t="s">
        <v>34</v>
      </c>
      <c r="D850" s="4" t="s">
        <v>40</v>
      </c>
      <c r="E850" s="4" t="s">
        <v>25</v>
      </c>
      <c r="F850" s="4" t="s">
        <v>25</v>
      </c>
      <c r="G850" s="4" t="s">
        <v>25</v>
      </c>
      <c r="H850" s="4" t="s">
        <v>35</v>
      </c>
      <c r="I850" s="5">
        <v>44044</v>
      </c>
      <c r="J850" s="6">
        <v>0</v>
      </c>
      <c r="K850" s="6">
        <v>0</v>
      </c>
      <c r="L850" s="6">
        <v>119.90900000000001</v>
      </c>
      <c r="M850" s="6">
        <v>119.90900000000001</v>
      </c>
      <c r="N850" s="6">
        <v>119.90900000000001</v>
      </c>
      <c r="O850" s="6">
        <v>119.90900000000001</v>
      </c>
      <c r="P850" s="6">
        <v>0</v>
      </c>
      <c r="Q850" s="4" t="s">
        <v>26</v>
      </c>
      <c r="R850" s="4">
        <v>0</v>
      </c>
      <c r="S850" s="4" t="s">
        <v>369</v>
      </c>
      <c r="T850" s="4" t="s">
        <v>722</v>
      </c>
      <c r="U850" s="4">
        <v>0</v>
      </c>
      <c r="V850" s="4">
        <v>27</v>
      </c>
      <c r="W850" s="4">
        <v>81</v>
      </c>
    </row>
    <row r="851" spans="1:23" ht="11.25" customHeight="1" x14ac:dyDescent="0.25">
      <c r="A851" s="4" t="s">
        <v>27</v>
      </c>
      <c r="B851" s="4" t="s">
        <v>33</v>
      </c>
      <c r="C851" s="4" t="s">
        <v>34</v>
      </c>
      <c r="D851" s="4" t="s">
        <v>40</v>
      </c>
      <c r="E851" s="4" t="s">
        <v>25</v>
      </c>
      <c r="F851" s="4" t="s">
        <v>25</v>
      </c>
      <c r="G851" s="4" t="s">
        <v>25</v>
      </c>
      <c r="H851" s="4" t="s">
        <v>35</v>
      </c>
      <c r="I851" s="5">
        <v>44044</v>
      </c>
      <c r="J851" s="6">
        <v>0</v>
      </c>
      <c r="K851" s="6">
        <v>0</v>
      </c>
      <c r="L851" s="6">
        <v>1.968</v>
      </c>
      <c r="M851" s="6">
        <v>1.968</v>
      </c>
      <c r="N851" s="6">
        <v>1.968</v>
      </c>
      <c r="O851" s="6">
        <v>1.968</v>
      </c>
      <c r="P851" s="6">
        <v>0</v>
      </c>
      <c r="Q851" s="4" t="s">
        <v>26</v>
      </c>
      <c r="R851" s="4">
        <v>0</v>
      </c>
      <c r="S851" s="4" t="s">
        <v>369</v>
      </c>
      <c r="T851" s="4" t="s">
        <v>722</v>
      </c>
      <c r="U851" s="4">
        <v>0</v>
      </c>
      <c r="V851" s="4">
        <v>27</v>
      </c>
      <c r="W851" s="4">
        <v>81</v>
      </c>
    </row>
    <row r="852" spans="1:23" ht="11.25" customHeight="1" x14ac:dyDescent="0.25">
      <c r="A852" s="4" t="s">
        <v>28</v>
      </c>
      <c r="B852" s="4" t="s">
        <v>33</v>
      </c>
      <c r="C852" s="4" t="s">
        <v>34</v>
      </c>
      <c r="D852" s="4" t="s">
        <v>40</v>
      </c>
      <c r="E852" s="4" t="s">
        <v>25</v>
      </c>
      <c r="F852" s="4" t="s">
        <v>25</v>
      </c>
      <c r="G852" s="4" t="s">
        <v>25</v>
      </c>
      <c r="H852" s="4" t="s">
        <v>35</v>
      </c>
      <c r="I852" s="5">
        <v>44044</v>
      </c>
      <c r="J852" s="6">
        <v>0</v>
      </c>
      <c r="K852" s="6">
        <v>0</v>
      </c>
      <c r="L852" s="6">
        <v>12.042999999999999</v>
      </c>
      <c r="M852" s="6">
        <v>12.042999999999999</v>
      </c>
      <c r="N852" s="6">
        <v>12.042999999999999</v>
      </c>
      <c r="O852" s="6">
        <v>12.042999999999999</v>
      </c>
      <c r="P852" s="6">
        <v>0</v>
      </c>
      <c r="Q852" s="4" t="s">
        <v>26</v>
      </c>
      <c r="R852" s="4">
        <v>0</v>
      </c>
      <c r="S852" s="4" t="s">
        <v>369</v>
      </c>
      <c r="T852" s="4" t="s">
        <v>722</v>
      </c>
      <c r="U852" s="4">
        <v>0</v>
      </c>
      <c r="V852" s="4">
        <v>27</v>
      </c>
      <c r="W852" s="4">
        <v>81</v>
      </c>
    </row>
    <row r="853" spans="1:23" ht="11.25" customHeight="1" x14ac:dyDescent="0.25">
      <c r="A853" s="4" t="s">
        <v>59</v>
      </c>
      <c r="B853" s="4" t="s">
        <v>33</v>
      </c>
      <c r="C853" s="4" t="s">
        <v>34</v>
      </c>
      <c r="D853" s="4" t="s">
        <v>40</v>
      </c>
      <c r="E853" s="4" t="s">
        <v>25</v>
      </c>
      <c r="F853" s="4" t="s">
        <v>25</v>
      </c>
      <c r="G853" s="4" t="s">
        <v>25</v>
      </c>
      <c r="H853" s="4" t="s">
        <v>35</v>
      </c>
      <c r="I853" s="5">
        <v>44075</v>
      </c>
      <c r="J853" s="6">
        <v>0</v>
      </c>
      <c r="K853" s="6">
        <v>0</v>
      </c>
      <c r="L853" s="6">
        <v>119.90900000000001</v>
      </c>
      <c r="M853" s="6">
        <v>119.90900000000001</v>
      </c>
      <c r="N853" s="6">
        <v>119.90900000000001</v>
      </c>
      <c r="O853" s="6">
        <v>119.90900000000001</v>
      </c>
      <c r="P853" s="6">
        <v>0</v>
      </c>
      <c r="Q853" s="4" t="s">
        <v>26</v>
      </c>
      <c r="R853" s="4">
        <v>0</v>
      </c>
      <c r="S853" s="4" t="s">
        <v>370</v>
      </c>
      <c r="T853" s="4" t="s">
        <v>723</v>
      </c>
      <c r="U853" s="4">
        <v>0</v>
      </c>
      <c r="V853" s="4">
        <v>27</v>
      </c>
      <c r="W853" s="4">
        <v>81</v>
      </c>
    </row>
    <row r="854" spans="1:23" ht="11.25" customHeight="1" x14ac:dyDescent="0.25">
      <c r="A854" s="4" t="s">
        <v>59</v>
      </c>
      <c r="B854" s="4" t="s">
        <v>33</v>
      </c>
      <c r="C854" s="4" t="s">
        <v>34</v>
      </c>
      <c r="D854" s="4" t="s">
        <v>40</v>
      </c>
      <c r="E854" s="4" t="s">
        <v>25</v>
      </c>
      <c r="F854" s="4" t="s">
        <v>25</v>
      </c>
      <c r="G854" s="4" t="s">
        <v>25</v>
      </c>
      <c r="H854" s="4" t="s">
        <v>35</v>
      </c>
      <c r="I854" s="5">
        <v>44075</v>
      </c>
      <c r="J854" s="6">
        <v>0</v>
      </c>
      <c r="K854" s="6">
        <v>0</v>
      </c>
      <c r="L854" s="6">
        <v>1.968</v>
      </c>
      <c r="M854" s="6">
        <v>1.968</v>
      </c>
      <c r="N854" s="6">
        <v>1.968</v>
      </c>
      <c r="O854" s="6">
        <v>1.968</v>
      </c>
      <c r="P854" s="6">
        <v>0</v>
      </c>
      <c r="Q854" s="4" t="s">
        <v>26</v>
      </c>
      <c r="R854" s="4">
        <v>0</v>
      </c>
      <c r="S854" s="4" t="s">
        <v>370</v>
      </c>
      <c r="T854" s="4" t="s">
        <v>723</v>
      </c>
      <c r="U854" s="4">
        <v>0</v>
      </c>
      <c r="V854" s="4">
        <v>27</v>
      </c>
      <c r="W854" s="4">
        <v>81</v>
      </c>
    </row>
    <row r="855" spans="1:23" ht="11.25" customHeight="1" x14ac:dyDescent="0.25">
      <c r="A855" s="4" t="s">
        <v>59</v>
      </c>
      <c r="B855" s="4" t="s">
        <v>33</v>
      </c>
      <c r="C855" s="4" t="s">
        <v>34</v>
      </c>
      <c r="D855" s="4" t="s">
        <v>40</v>
      </c>
      <c r="E855" s="4" t="s">
        <v>25</v>
      </c>
      <c r="F855" s="4" t="s">
        <v>25</v>
      </c>
      <c r="G855" s="4" t="s">
        <v>25</v>
      </c>
      <c r="H855" s="4" t="s">
        <v>35</v>
      </c>
      <c r="I855" s="5">
        <v>44075</v>
      </c>
      <c r="J855" s="6">
        <v>0</v>
      </c>
      <c r="K855" s="6">
        <v>0</v>
      </c>
      <c r="L855" s="6">
        <v>12.042999999999999</v>
      </c>
      <c r="M855" s="6">
        <v>12.042999999999999</v>
      </c>
      <c r="N855" s="6">
        <v>12.042999999999999</v>
      </c>
      <c r="O855" s="6">
        <v>12.042999999999999</v>
      </c>
      <c r="P855" s="6">
        <v>0</v>
      </c>
      <c r="Q855" s="4" t="s">
        <v>26</v>
      </c>
      <c r="R855" s="4">
        <v>0</v>
      </c>
      <c r="S855" s="4" t="s">
        <v>370</v>
      </c>
      <c r="T855" s="4" t="s">
        <v>723</v>
      </c>
      <c r="U855" s="4">
        <v>0</v>
      </c>
      <c r="V855" s="4">
        <v>27</v>
      </c>
      <c r="W855" s="4">
        <v>81</v>
      </c>
    </row>
    <row r="856" spans="1:23" ht="11.25" customHeight="1" x14ac:dyDescent="0.25">
      <c r="A856" s="4" t="s">
        <v>21</v>
      </c>
      <c r="B856" s="4" t="s">
        <v>33</v>
      </c>
      <c r="C856" s="4" t="s">
        <v>34</v>
      </c>
      <c r="D856" s="4" t="s">
        <v>48</v>
      </c>
      <c r="E856" s="4" t="s">
        <v>25</v>
      </c>
      <c r="F856" s="4" t="s">
        <v>25</v>
      </c>
      <c r="G856" s="4" t="s">
        <v>25</v>
      </c>
      <c r="H856" s="4" t="s">
        <v>36</v>
      </c>
      <c r="I856" s="5">
        <v>43739</v>
      </c>
      <c r="J856" s="6">
        <v>0</v>
      </c>
      <c r="K856" s="6">
        <v>0</v>
      </c>
      <c r="L856" s="6">
        <v>9745.19</v>
      </c>
      <c r="M856" s="6">
        <v>9745.19</v>
      </c>
      <c r="N856" s="6">
        <v>9745.19</v>
      </c>
      <c r="O856" s="6">
        <v>9745.19</v>
      </c>
      <c r="P856" s="6">
        <v>0</v>
      </c>
      <c r="Q856" s="4" t="s">
        <v>26</v>
      </c>
      <c r="R856" s="4">
        <v>0</v>
      </c>
      <c r="S856" s="4" t="s">
        <v>335</v>
      </c>
      <c r="T856" s="4" t="s">
        <v>700</v>
      </c>
      <c r="U856" s="4">
        <v>0</v>
      </c>
      <c r="V856" s="4">
        <v>28</v>
      </c>
      <c r="W856" s="4">
        <v>82</v>
      </c>
    </row>
    <row r="857" spans="1:23" ht="11.25" customHeight="1" x14ac:dyDescent="0.25">
      <c r="A857" s="4" t="s">
        <v>28</v>
      </c>
      <c r="B857" s="4" t="s">
        <v>33</v>
      </c>
      <c r="C857" s="4" t="s">
        <v>34</v>
      </c>
      <c r="D857" s="4" t="s">
        <v>48</v>
      </c>
      <c r="E857" s="4" t="s">
        <v>25</v>
      </c>
      <c r="F857" s="4" t="s">
        <v>25</v>
      </c>
      <c r="G857" s="4" t="s">
        <v>25</v>
      </c>
      <c r="H857" s="4" t="s">
        <v>36</v>
      </c>
      <c r="I857" s="5">
        <v>43739</v>
      </c>
      <c r="J857" s="6">
        <v>0</v>
      </c>
      <c r="K857" s="6">
        <v>0</v>
      </c>
      <c r="L857" s="6">
        <v>1349.056</v>
      </c>
      <c r="M857" s="6">
        <v>1349.056</v>
      </c>
      <c r="N857" s="6">
        <v>1349.056</v>
      </c>
      <c r="O857" s="6">
        <v>1349.056</v>
      </c>
      <c r="P857" s="6">
        <v>0</v>
      </c>
      <c r="Q857" s="4" t="s">
        <v>26</v>
      </c>
      <c r="R857" s="4">
        <v>0</v>
      </c>
      <c r="S857" s="4" t="s">
        <v>335</v>
      </c>
      <c r="T857" s="4" t="s">
        <v>700</v>
      </c>
      <c r="U857" s="4">
        <v>0</v>
      </c>
      <c r="V857" s="4">
        <v>28</v>
      </c>
      <c r="W857" s="4">
        <v>82</v>
      </c>
    </row>
    <row r="858" spans="1:23" ht="11.25" customHeight="1" x14ac:dyDescent="0.25">
      <c r="A858" s="4" t="s">
        <v>21</v>
      </c>
      <c r="B858" s="4" t="s">
        <v>33</v>
      </c>
      <c r="C858" s="4" t="s">
        <v>34</v>
      </c>
      <c r="D858" s="4" t="s">
        <v>48</v>
      </c>
      <c r="E858" s="4" t="s">
        <v>25</v>
      </c>
      <c r="F858" s="4" t="s">
        <v>25</v>
      </c>
      <c r="G858" s="4" t="s">
        <v>25</v>
      </c>
      <c r="H858" s="4" t="s">
        <v>36</v>
      </c>
      <c r="I858" s="5">
        <v>43770</v>
      </c>
      <c r="J858" s="6">
        <v>0</v>
      </c>
      <c r="K858" s="6">
        <v>0</v>
      </c>
      <c r="L858" s="6">
        <v>9908.1810000000005</v>
      </c>
      <c r="M858" s="6">
        <v>9908.1810000000005</v>
      </c>
      <c r="N858" s="6">
        <v>9908.1810000000005</v>
      </c>
      <c r="O858" s="6">
        <v>9908.1810000000005</v>
      </c>
      <c r="P858" s="6">
        <v>0</v>
      </c>
      <c r="Q858" s="4" t="s">
        <v>26</v>
      </c>
      <c r="R858" s="4">
        <v>0</v>
      </c>
      <c r="S858" s="4" t="s">
        <v>336</v>
      </c>
      <c r="T858" s="4" t="s">
        <v>701</v>
      </c>
      <c r="U858" s="4">
        <v>0</v>
      </c>
      <c r="V858" s="4">
        <v>28</v>
      </c>
      <c r="W858" s="4">
        <v>82</v>
      </c>
    </row>
    <row r="859" spans="1:23" ht="11.25" customHeight="1" x14ac:dyDescent="0.25">
      <c r="A859" s="4" t="s">
        <v>28</v>
      </c>
      <c r="B859" s="4" t="s">
        <v>33</v>
      </c>
      <c r="C859" s="4" t="s">
        <v>34</v>
      </c>
      <c r="D859" s="4" t="s">
        <v>48</v>
      </c>
      <c r="E859" s="4" t="s">
        <v>25</v>
      </c>
      <c r="F859" s="4" t="s">
        <v>25</v>
      </c>
      <c r="G859" s="4" t="s">
        <v>25</v>
      </c>
      <c r="H859" s="4" t="s">
        <v>36</v>
      </c>
      <c r="I859" s="5">
        <v>43770</v>
      </c>
      <c r="J859" s="6">
        <v>0</v>
      </c>
      <c r="K859" s="6">
        <v>0</v>
      </c>
      <c r="L859" s="6">
        <v>1411.3520000000001</v>
      </c>
      <c r="M859" s="6">
        <v>1411.3520000000001</v>
      </c>
      <c r="N859" s="6">
        <v>1411.3520000000001</v>
      </c>
      <c r="O859" s="6">
        <v>1411.3520000000001</v>
      </c>
      <c r="P859" s="6">
        <v>0</v>
      </c>
      <c r="Q859" s="4" t="s">
        <v>26</v>
      </c>
      <c r="R859" s="4">
        <v>0</v>
      </c>
      <c r="S859" s="4" t="s">
        <v>336</v>
      </c>
      <c r="T859" s="4" t="s">
        <v>701</v>
      </c>
      <c r="U859" s="4">
        <v>0</v>
      </c>
      <c r="V859" s="4">
        <v>28</v>
      </c>
      <c r="W859" s="4">
        <v>82</v>
      </c>
    </row>
    <row r="860" spans="1:23" ht="11.25" customHeight="1" x14ac:dyDescent="0.25">
      <c r="A860" s="4" t="s">
        <v>21</v>
      </c>
      <c r="B860" s="4" t="s">
        <v>33</v>
      </c>
      <c r="C860" s="4" t="s">
        <v>34</v>
      </c>
      <c r="D860" s="4" t="s">
        <v>48</v>
      </c>
      <c r="E860" s="4" t="s">
        <v>25</v>
      </c>
      <c r="F860" s="4" t="s">
        <v>25</v>
      </c>
      <c r="G860" s="4" t="s">
        <v>25</v>
      </c>
      <c r="H860" s="4" t="s">
        <v>36</v>
      </c>
      <c r="I860" s="5">
        <v>43800</v>
      </c>
      <c r="J860" s="6">
        <v>0</v>
      </c>
      <c r="K860" s="6">
        <v>0</v>
      </c>
      <c r="L860" s="6">
        <v>8936.09</v>
      </c>
      <c r="M860" s="6">
        <v>8936.09</v>
      </c>
      <c r="N860" s="6">
        <v>8936.09</v>
      </c>
      <c r="O860" s="6">
        <v>8936.09</v>
      </c>
      <c r="P860" s="6">
        <v>0</v>
      </c>
      <c r="Q860" s="4" t="s">
        <v>26</v>
      </c>
      <c r="R860" s="4">
        <v>0</v>
      </c>
      <c r="S860" s="4" t="s">
        <v>337</v>
      </c>
      <c r="T860" s="4" t="s">
        <v>702</v>
      </c>
      <c r="U860" s="4">
        <v>0</v>
      </c>
      <c r="V860" s="4">
        <v>28</v>
      </c>
      <c r="W860" s="4">
        <v>82</v>
      </c>
    </row>
    <row r="861" spans="1:23" ht="11.25" customHeight="1" x14ac:dyDescent="0.25">
      <c r="A861" s="4" t="s">
        <v>28</v>
      </c>
      <c r="B861" s="4" t="s">
        <v>33</v>
      </c>
      <c r="C861" s="4" t="s">
        <v>34</v>
      </c>
      <c r="D861" s="4" t="s">
        <v>48</v>
      </c>
      <c r="E861" s="4" t="s">
        <v>25</v>
      </c>
      <c r="F861" s="4" t="s">
        <v>25</v>
      </c>
      <c r="G861" s="4" t="s">
        <v>25</v>
      </c>
      <c r="H861" s="4" t="s">
        <v>36</v>
      </c>
      <c r="I861" s="5">
        <v>43800</v>
      </c>
      <c r="J861" s="6">
        <v>0</v>
      </c>
      <c r="K861" s="6">
        <v>0</v>
      </c>
      <c r="L861" s="6">
        <v>1348.654</v>
      </c>
      <c r="M861" s="6">
        <v>1348.654</v>
      </c>
      <c r="N861" s="6">
        <v>1348.654</v>
      </c>
      <c r="O861" s="6">
        <v>1348.654</v>
      </c>
      <c r="P861" s="6">
        <v>0</v>
      </c>
      <c r="Q861" s="4" t="s">
        <v>26</v>
      </c>
      <c r="R861" s="4">
        <v>0</v>
      </c>
      <c r="S861" s="4" t="s">
        <v>337</v>
      </c>
      <c r="T861" s="4" t="s">
        <v>702</v>
      </c>
      <c r="U861" s="4">
        <v>0</v>
      </c>
      <c r="V861" s="4">
        <v>28</v>
      </c>
      <c r="W861" s="4">
        <v>82</v>
      </c>
    </row>
    <row r="862" spans="1:23" ht="11.25" customHeight="1" x14ac:dyDescent="0.25">
      <c r="A862" s="4" t="s">
        <v>21</v>
      </c>
      <c r="B862" s="4" t="s">
        <v>33</v>
      </c>
      <c r="C862" s="4" t="s">
        <v>34</v>
      </c>
      <c r="D862" s="4" t="s">
        <v>48</v>
      </c>
      <c r="E862" s="4" t="s">
        <v>25</v>
      </c>
      <c r="F862" s="4" t="s">
        <v>25</v>
      </c>
      <c r="G862" s="4" t="s">
        <v>25</v>
      </c>
      <c r="H862" s="4" t="s">
        <v>36</v>
      </c>
      <c r="I862" s="5">
        <v>43831</v>
      </c>
      <c r="J862" s="6">
        <v>0</v>
      </c>
      <c r="K862" s="6">
        <v>0</v>
      </c>
      <c r="L862" s="6">
        <v>8380.08</v>
      </c>
      <c r="M862" s="6">
        <v>8380.08</v>
      </c>
      <c r="N862" s="6">
        <v>8380.08</v>
      </c>
      <c r="O862" s="6">
        <v>8380.08</v>
      </c>
      <c r="P862" s="6">
        <v>0</v>
      </c>
      <c r="Q862" s="4" t="s">
        <v>26</v>
      </c>
      <c r="R862" s="4">
        <v>0</v>
      </c>
      <c r="S862" s="4" t="s">
        <v>338</v>
      </c>
      <c r="T862" s="4" t="s">
        <v>703</v>
      </c>
      <c r="U862" s="4">
        <v>0</v>
      </c>
      <c r="V862" s="4">
        <v>28</v>
      </c>
      <c r="W862" s="4">
        <v>82</v>
      </c>
    </row>
    <row r="863" spans="1:23" ht="11.25" customHeight="1" x14ac:dyDescent="0.25">
      <c r="A863" s="4" t="s">
        <v>28</v>
      </c>
      <c r="B863" s="4" t="s">
        <v>33</v>
      </c>
      <c r="C863" s="4" t="s">
        <v>34</v>
      </c>
      <c r="D863" s="4" t="s">
        <v>48</v>
      </c>
      <c r="E863" s="4" t="s">
        <v>25</v>
      </c>
      <c r="F863" s="4" t="s">
        <v>25</v>
      </c>
      <c r="G863" s="4" t="s">
        <v>25</v>
      </c>
      <c r="H863" s="4" t="s">
        <v>36</v>
      </c>
      <c r="I863" s="5">
        <v>43831</v>
      </c>
      <c r="J863" s="6">
        <v>0</v>
      </c>
      <c r="K863" s="6">
        <v>0</v>
      </c>
      <c r="L863" s="6">
        <v>1270.395</v>
      </c>
      <c r="M863" s="6">
        <v>1270.395</v>
      </c>
      <c r="N863" s="6">
        <v>1270.395</v>
      </c>
      <c r="O863" s="6">
        <v>1270.395</v>
      </c>
      <c r="P863" s="6">
        <v>0</v>
      </c>
      <c r="Q863" s="4" t="s">
        <v>26</v>
      </c>
      <c r="R863" s="4">
        <v>0</v>
      </c>
      <c r="S863" s="4" t="s">
        <v>338</v>
      </c>
      <c r="T863" s="4" t="s">
        <v>703</v>
      </c>
      <c r="U863" s="4">
        <v>0</v>
      </c>
      <c r="V863" s="4">
        <v>28</v>
      </c>
      <c r="W863" s="4">
        <v>82</v>
      </c>
    </row>
    <row r="864" spans="1:23" ht="11.25" customHeight="1" x14ac:dyDescent="0.25">
      <c r="A864" s="4" t="s">
        <v>21</v>
      </c>
      <c r="B864" s="4" t="s">
        <v>33</v>
      </c>
      <c r="C864" s="4" t="s">
        <v>34</v>
      </c>
      <c r="D864" s="4" t="s">
        <v>48</v>
      </c>
      <c r="E864" s="4" t="s">
        <v>25</v>
      </c>
      <c r="F864" s="4" t="s">
        <v>25</v>
      </c>
      <c r="G864" s="4" t="s">
        <v>25</v>
      </c>
      <c r="H864" s="4" t="s">
        <v>36</v>
      </c>
      <c r="I864" s="5">
        <v>43862</v>
      </c>
      <c r="J864" s="6">
        <v>0</v>
      </c>
      <c r="K864" s="6">
        <v>0</v>
      </c>
      <c r="L864" s="6">
        <v>8914.2780000000002</v>
      </c>
      <c r="M864" s="6">
        <v>8914.2780000000002</v>
      </c>
      <c r="N864" s="6">
        <v>8914.2780000000002</v>
      </c>
      <c r="O864" s="6">
        <v>8914.2780000000002</v>
      </c>
      <c r="P864" s="6">
        <v>0</v>
      </c>
      <c r="Q864" s="4" t="s">
        <v>26</v>
      </c>
      <c r="R864" s="4">
        <v>0</v>
      </c>
      <c r="S864" s="4" t="s">
        <v>339</v>
      </c>
      <c r="T864" s="4" t="s">
        <v>704</v>
      </c>
      <c r="U864" s="4">
        <v>0</v>
      </c>
      <c r="V864" s="4">
        <v>28</v>
      </c>
      <c r="W864" s="4">
        <v>82</v>
      </c>
    </row>
    <row r="865" spans="1:23" ht="11.25" customHeight="1" x14ac:dyDescent="0.25">
      <c r="A865" s="4" t="s">
        <v>28</v>
      </c>
      <c r="B865" s="4" t="s">
        <v>33</v>
      </c>
      <c r="C865" s="4" t="s">
        <v>34</v>
      </c>
      <c r="D865" s="4" t="s">
        <v>48</v>
      </c>
      <c r="E865" s="4" t="s">
        <v>25</v>
      </c>
      <c r="F865" s="4" t="s">
        <v>25</v>
      </c>
      <c r="G865" s="4" t="s">
        <v>25</v>
      </c>
      <c r="H865" s="4" t="s">
        <v>36</v>
      </c>
      <c r="I865" s="5">
        <v>43862</v>
      </c>
      <c r="J865" s="6">
        <v>0</v>
      </c>
      <c r="K865" s="6">
        <v>0</v>
      </c>
      <c r="L865" s="6">
        <v>1333.57</v>
      </c>
      <c r="M865" s="6">
        <v>1333.57</v>
      </c>
      <c r="N865" s="6">
        <v>1333.57</v>
      </c>
      <c r="O865" s="6">
        <v>1333.57</v>
      </c>
      <c r="P865" s="6">
        <v>0</v>
      </c>
      <c r="Q865" s="4" t="s">
        <v>26</v>
      </c>
      <c r="R865" s="4">
        <v>0</v>
      </c>
      <c r="S865" s="4" t="s">
        <v>339</v>
      </c>
      <c r="T865" s="4" t="s">
        <v>704</v>
      </c>
      <c r="U865" s="4">
        <v>0</v>
      </c>
      <c r="V865" s="4">
        <v>28</v>
      </c>
      <c r="W865" s="4">
        <v>82</v>
      </c>
    </row>
    <row r="866" spans="1:23" ht="11.25" customHeight="1" x14ac:dyDescent="0.25">
      <c r="A866" s="4" t="s">
        <v>21</v>
      </c>
      <c r="B866" s="4" t="s">
        <v>33</v>
      </c>
      <c r="C866" s="4" t="s">
        <v>34</v>
      </c>
      <c r="D866" s="4" t="s">
        <v>48</v>
      </c>
      <c r="E866" s="4" t="s">
        <v>25</v>
      </c>
      <c r="F866" s="4" t="s">
        <v>25</v>
      </c>
      <c r="G866" s="4" t="s">
        <v>25</v>
      </c>
      <c r="H866" s="4" t="s">
        <v>36</v>
      </c>
      <c r="I866" s="5">
        <v>43891</v>
      </c>
      <c r="J866" s="6">
        <v>0</v>
      </c>
      <c r="K866" s="6">
        <v>0</v>
      </c>
      <c r="L866" s="6">
        <v>8230.3889999999992</v>
      </c>
      <c r="M866" s="6">
        <v>8230.3889999999992</v>
      </c>
      <c r="N866" s="6">
        <v>8230.3889999999992</v>
      </c>
      <c r="O866" s="6">
        <v>8230.3889999999992</v>
      </c>
      <c r="P866" s="6">
        <v>0</v>
      </c>
      <c r="Q866" s="4" t="s">
        <v>26</v>
      </c>
      <c r="R866" s="4">
        <v>0</v>
      </c>
      <c r="S866" s="4" t="s">
        <v>340</v>
      </c>
      <c r="T866" s="4" t="s">
        <v>705</v>
      </c>
      <c r="U866" s="4">
        <v>0</v>
      </c>
      <c r="V866" s="4">
        <v>28</v>
      </c>
      <c r="W866" s="4">
        <v>82</v>
      </c>
    </row>
    <row r="867" spans="1:23" ht="11.25" customHeight="1" x14ac:dyDescent="0.25">
      <c r="A867" s="4" t="s">
        <v>28</v>
      </c>
      <c r="B867" s="4" t="s">
        <v>33</v>
      </c>
      <c r="C867" s="4" t="s">
        <v>34</v>
      </c>
      <c r="D867" s="4" t="s">
        <v>48</v>
      </c>
      <c r="E867" s="4" t="s">
        <v>25</v>
      </c>
      <c r="F867" s="4" t="s">
        <v>25</v>
      </c>
      <c r="G867" s="4" t="s">
        <v>25</v>
      </c>
      <c r="H867" s="4" t="s">
        <v>36</v>
      </c>
      <c r="I867" s="5">
        <v>43891</v>
      </c>
      <c r="J867" s="6">
        <v>0</v>
      </c>
      <c r="K867" s="6">
        <v>0</v>
      </c>
      <c r="L867" s="6">
        <v>1198.415</v>
      </c>
      <c r="M867" s="6">
        <v>1198.415</v>
      </c>
      <c r="N867" s="6">
        <v>1198.415</v>
      </c>
      <c r="O867" s="6">
        <v>1198.415</v>
      </c>
      <c r="P867" s="6">
        <v>0</v>
      </c>
      <c r="Q867" s="4" t="s">
        <v>26</v>
      </c>
      <c r="R867" s="4">
        <v>0</v>
      </c>
      <c r="S867" s="4" t="s">
        <v>340</v>
      </c>
      <c r="T867" s="4" t="s">
        <v>705</v>
      </c>
      <c r="U867" s="4">
        <v>0</v>
      </c>
      <c r="V867" s="4">
        <v>28</v>
      </c>
      <c r="W867" s="4">
        <v>82</v>
      </c>
    </row>
    <row r="868" spans="1:23" ht="11.25" customHeight="1" x14ac:dyDescent="0.25">
      <c r="A868" s="4" t="s">
        <v>21</v>
      </c>
      <c r="B868" s="4" t="s">
        <v>33</v>
      </c>
      <c r="C868" s="4" t="s">
        <v>34</v>
      </c>
      <c r="D868" s="4" t="s">
        <v>48</v>
      </c>
      <c r="E868" s="4" t="s">
        <v>25</v>
      </c>
      <c r="F868" s="4" t="s">
        <v>25</v>
      </c>
      <c r="G868" s="4" t="s">
        <v>25</v>
      </c>
      <c r="H868" s="4" t="s">
        <v>36</v>
      </c>
      <c r="I868" s="5">
        <v>43922</v>
      </c>
      <c r="J868" s="6">
        <v>0</v>
      </c>
      <c r="K868" s="6">
        <v>0</v>
      </c>
      <c r="L868" s="6">
        <v>7811.7640000000001</v>
      </c>
      <c r="M868" s="6">
        <v>7811.7640000000001</v>
      </c>
      <c r="N868" s="6">
        <v>7811.7640000000001</v>
      </c>
      <c r="O868" s="6">
        <v>7811.7640000000001</v>
      </c>
      <c r="P868" s="6">
        <v>0</v>
      </c>
      <c r="Q868" s="4" t="s">
        <v>26</v>
      </c>
      <c r="R868" s="4">
        <v>0</v>
      </c>
      <c r="S868" s="4" t="s">
        <v>341</v>
      </c>
      <c r="T868" s="4" t="s">
        <v>706</v>
      </c>
      <c r="U868" s="4">
        <v>0</v>
      </c>
      <c r="V868" s="4">
        <v>28</v>
      </c>
      <c r="W868" s="4">
        <v>82</v>
      </c>
    </row>
    <row r="869" spans="1:23" ht="11.25" customHeight="1" x14ac:dyDescent="0.25">
      <c r="A869" s="4" t="s">
        <v>27</v>
      </c>
      <c r="B869" s="4" t="s">
        <v>33</v>
      </c>
      <c r="C869" s="4" t="s">
        <v>34</v>
      </c>
      <c r="D869" s="4" t="s">
        <v>48</v>
      </c>
      <c r="E869" s="4" t="s">
        <v>25</v>
      </c>
      <c r="F869" s="4" t="s">
        <v>25</v>
      </c>
      <c r="G869" s="4" t="s">
        <v>25</v>
      </c>
      <c r="H869" s="4" t="s">
        <v>36</v>
      </c>
      <c r="I869" s="5">
        <v>43922</v>
      </c>
      <c r="J869" s="6">
        <v>0</v>
      </c>
      <c r="K869" s="6">
        <v>0</v>
      </c>
      <c r="L869" s="6">
        <v>41.19</v>
      </c>
      <c r="M869" s="6">
        <v>41.19</v>
      </c>
      <c r="N869" s="6">
        <v>41.19</v>
      </c>
      <c r="O869" s="6">
        <v>41.19</v>
      </c>
      <c r="P869" s="6">
        <v>0</v>
      </c>
      <c r="Q869" s="4" t="s">
        <v>26</v>
      </c>
      <c r="R869" s="4">
        <v>0</v>
      </c>
      <c r="S869" s="4" t="s">
        <v>341</v>
      </c>
      <c r="T869" s="4" t="s">
        <v>706</v>
      </c>
      <c r="U869" s="4">
        <v>0</v>
      </c>
      <c r="V869" s="4">
        <v>28</v>
      </c>
      <c r="W869" s="4">
        <v>82</v>
      </c>
    </row>
    <row r="870" spans="1:23" ht="11.25" customHeight="1" x14ac:dyDescent="0.25">
      <c r="A870" s="4" t="s">
        <v>28</v>
      </c>
      <c r="B870" s="4" t="s">
        <v>33</v>
      </c>
      <c r="C870" s="4" t="s">
        <v>34</v>
      </c>
      <c r="D870" s="4" t="s">
        <v>48</v>
      </c>
      <c r="E870" s="4" t="s">
        <v>25</v>
      </c>
      <c r="F870" s="4" t="s">
        <v>25</v>
      </c>
      <c r="G870" s="4" t="s">
        <v>25</v>
      </c>
      <c r="H870" s="4" t="s">
        <v>36</v>
      </c>
      <c r="I870" s="5">
        <v>43922</v>
      </c>
      <c r="J870" s="6">
        <v>0</v>
      </c>
      <c r="K870" s="6">
        <v>0</v>
      </c>
      <c r="L870" s="6">
        <v>1166.69</v>
      </c>
      <c r="M870" s="6">
        <v>1166.69</v>
      </c>
      <c r="N870" s="6">
        <v>1166.69</v>
      </c>
      <c r="O870" s="6">
        <v>1166.69</v>
      </c>
      <c r="P870" s="6">
        <v>0</v>
      </c>
      <c r="Q870" s="4" t="s">
        <v>26</v>
      </c>
      <c r="R870" s="4">
        <v>0</v>
      </c>
      <c r="S870" s="4" t="s">
        <v>341</v>
      </c>
      <c r="T870" s="4" t="s">
        <v>706</v>
      </c>
      <c r="U870" s="4">
        <v>0</v>
      </c>
      <c r="V870" s="4">
        <v>28</v>
      </c>
      <c r="W870" s="4">
        <v>82</v>
      </c>
    </row>
    <row r="871" spans="1:23" ht="11.25" customHeight="1" x14ac:dyDescent="0.25">
      <c r="A871" s="4" t="s">
        <v>21</v>
      </c>
      <c r="B871" s="4" t="s">
        <v>33</v>
      </c>
      <c r="C871" s="4" t="s">
        <v>34</v>
      </c>
      <c r="D871" s="4" t="s">
        <v>48</v>
      </c>
      <c r="E871" s="4" t="s">
        <v>25</v>
      </c>
      <c r="F871" s="4" t="s">
        <v>25</v>
      </c>
      <c r="G871" s="4" t="s">
        <v>25</v>
      </c>
      <c r="H871" s="4" t="s">
        <v>36</v>
      </c>
      <c r="I871" s="5">
        <v>43952</v>
      </c>
      <c r="J871" s="6">
        <v>0</v>
      </c>
      <c r="K871" s="6">
        <v>0</v>
      </c>
      <c r="L871" s="6">
        <v>6530.6670000000004</v>
      </c>
      <c r="M871" s="6">
        <v>6530.6670000000004</v>
      </c>
      <c r="N871" s="6">
        <v>6530.6670000000004</v>
      </c>
      <c r="O871" s="6">
        <v>6530.6670000000004</v>
      </c>
      <c r="P871" s="6">
        <v>0</v>
      </c>
      <c r="Q871" s="4" t="s">
        <v>26</v>
      </c>
      <c r="R871" s="4">
        <v>0</v>
      </c>
      <c r="S871" s="4" t="s">
        <v>342</v>
      </c>
      <c r="T871" s="4" t="s">
        <v>707</v>
      </c>
      <c r="U871" s="4">
        <v>0</v>
      </c>
      <c r="V871" s="4">
        <v>28</v>
      </c>
      <c r="W871" s="4">
        <v>82</v>
      </c>
    </row>
    <row r="872" spans="1:23" ht="11.25" customHeight="1" x14ac:dyDescent="0.25">
      <c r="A872" s="4" t="s">
        <v>28</v>
      </c>
      <c r="B872" s="4" t="s">
        <v>33</v>
      </c>
      <c r="C872" s="4" t="s">
        <v>34</v>
      </c>
      <c r="D872" s="4" t="s">
        <v>48</v>
      </c>
      <c r="E872" s="4" t="s">
        <v>25</v>
      </c>
      <c r="F872" s="4" t="s">
        <v>25</v>
      </c>
      <c r="G872" s="4" t="s">
        <v>25</v>
      </c>
      <c r="H872" s="4" t="s">
        <v>36</v>
      </c>
      <c r="I872" s="5">
        <v>43952</v>
      </c>
      <c r="J872" s="6">
        <v>0</v>
      </c>
      <c r="K872" s="6">
        <v>0</v>
      </c>
      <c r="L872" s="6">
        <v>906.60699999999997</v>
      </c>
      <c r="M872" s="6">
        <v>906.60699999999997</v>
      </c>
      <c r="N872" s="6">
        <v>906.60699999999997</v>
      </c>
      <c r="O872" s="6">
        <v>906.60699999999997</v>
      </c>
      <c r="P872" s="6">
        <v>0</v>
      </c>
      <c r="Q872" s="4" t="s">
        <v>26</v>
      </c>
      <c r="R872" s="4">
        <v>0</v>
      </c>
      <c r="S872" s="4" t="s">
        <v>342</v>
      </c>
      <c r="T872" s="4" t="s">
        <v>707</v>
      </c>
      <c r="U872" s="4">
        <v>0</v>
      </c>
      <c r="V872" s="4">
        <v>28</v>
      </c>
      <c r="W872" s="4">
        <v>82</v>
      </c>
    </row>
    <row r="873" spans="1:23" ht="11.25" customHeight="1" x14ac:dyDescent="0.25">
      <c r="A873" s="4" t="s">
        <v>21</v>
      </c>
      <c r="B873" s="4" t="s">
        <v>33</v>
      </c>
      <c r="C873" s="4" t="s">
        <v>34</v>
      </c>
      <c r="D873" s="4" t="s">
        <v>48</v>
      </c>
      <c r="E873" s="4" t="s">
        <v>25</v>
      </c>
      <c r="F873" s="4" t="s">
        <v>25</v>
      </c>
      <c r="G873" s="4" t="s">
        <v>25</v>
      </c>
      <c r="H873" s="4" t="s">
        <v>36</v>
      </c>
      <c r="I873" s="5">
        <v>43983</v>
      </c>
      <c r="J873" s="6">
        <v>0</v>
      </c>
      <c r="K873" s="6">
        <v>0</v>
      </c>
      <c r="L873" s="6">
        <v>5779.0169999999998</v>
      </c>
      <c r="M873" s="6">
        <v>5779.0169999999998</v>
      </c>
      <c r="N873" s="6">
        <v>5779.0169999999998</v>
      </c>
      <c r="O873" s="6">
        <v>5779.0169999999998</v>
      </c>
      <c r="P873" s="6">
        <v>0</v>
      </c>
      <c r="Q873" s="4" t="s">
        <v>26</v>
      </c>
      <c r="R873" s="4">
        <v>0</v>
      </c>
      <c r="S873" s="4" t="s">
        <v>343</v>
      </c>
      <c r="T873" s="4" t="s">
        <v>708</v>
      </c>
      <c r="U873" s="4">
        <v>0</v>
      </c>
      <c r="V873" s="4">
        <v>28</v>
      </c>
      <c r="W873" s="4">
        <v>82</v>
      </c>
    </row>
    <row r="874" spans="1:23" ht="11.25" customHeight="1" x14ac:dyDescent="0.25">
      <c r="A874" s="4" t="s">
        <v>27</v>
      </c>
      <c r="B874" s="4" t="s">
        <v>33</v>
      </c>
      <c r="C874" s="4" t="s">
        <v>34</v>
      </c>
      <c r="D874" s="4" t="s">
        <v>48</v>
      </c>
      <c r="E874" s="4" t="s">
        <v>25</v>
      </c>
      <c r="F874" s="4" t="s">
        <v>25</v>
      </c>
      <c r="G874" s="4" t="s">
        <v>25</v>
      </c>
      <c r="H874" s="4" t="s">
        <v>36</v>
      </c>
      <c r="I874" s="5">
        <v>43983</v>
      </c>
      <c r="J874" s="6">
        <v>0</v>
      </c>
      <c r="K874" s="6">
        <v>0</v>
      </c>
      <c r="L874" s="6">
        <v>594.83100000000002</v>
      </c>
      <c r="M874" s="6">
        <v>594.83100000000002</v>
      </c>
      <c r="N874" s="6">
        <v>594.83100000000002</v>
      </c>
      <c r="O874" s="6">
        <v>594.83100000000002</v>
      </c>
      <c r="P874" s="6">
        <v>0</v>
      </c>
      <c r="Q874" s="4" t="s">
        <v>26</v>
      </c>
      <c r="R874" s="4">
        <v>0</v>
      </c>
      <c r="S874" s="4" t="s">
        <v>343</v>
      </c>
      <c r="T874" s="4" t="s">
        <v>708</v>
      </c>
      <c r="U874" s="4">
        <v>0</v>
      </c>
      <c r="V874" s="4">
        <v>28</v>
      </c>
      <c r="W874" s="4">
        <v>82</v>
      </c>
    </row>
    <row r="875" spans="1:23" ht="11.25" customHeight="1" x14ac:dyDescent="0.25">
      <c r="A875" s="4" t="s">
        <v>28</v>
      </c>
      <c r="B875" s="4" t="s">
        <v>33</v>
      </c>
      <c r="C875" s="4" t="s">
        <v>34</v>
      </c>
      <c r="D875" s="4" t="s">
        <v>48</v>
      </c>
      <c r="E875" s="4" t="s">
        <v>25</v>
      </c>
      <c r="F875" s="4" t="s">
        <v>25</v>
      </c>
      <c r="G875" s="4" t="s">
        <v>25</v>
      </c>
      <c r="H875" s="4" t="s">
        <v>36</v>
      </c>
      <c r="I875" s="5">
        <v>43983</v>
      </c>
      <c r="J875" s="6">
        <v>0</v>
      </c>
      <c r="K875" s="6">
        <v>0</v>
      </c>
      <c r="L875" s="6">
        <v>1311.845</v>
      </c>
      <c r="M875" s="6">
        <v>1311.845</v>
      </c>
      <c r="N875" s="6">
        <v>1311.845</v>
      </c>
      <c r="O875" s="6">
        <v>1311.845</v>
      </c>
      <c r="P875" s="6">
        <v>0</v>
      </c>
      <c r="Q875" s="4" t="s">
        <v>26</v>
      </c>
      <c r="R875" s="4">
        <v>0</v>
      </c>
      <c r="S875" s="4" t="s">
        <v>343</v>
      </c>
      <c r="T875" s="4" t="s">
        <v>708</v>
      </c>
      <c r="U875" s="4">
        <v>0</v>
      </c>
      <c r="V875" s="4">
        <v>28</v>
      </c>
      <c r="W875" s="4">
        <v>82</v>
      </c>
    </row>
    <row r="876" spans="1:23" ht="11.25" customHeight="1" x14ac:dyDescent="0.25">
      <c r="A876" s="4" t="s">
        <v>21</v>
      </c>
      <c r="B876" s="4" t="s">
        <v>33</v>
      </c>
      <c r="C876" s="4" t="s">
        <v>34</v>
      </c>
      <c r="D876" s="4" t="s">
        <v>48</v>
      </c>
      <c r="E876" s="4" t="s">
        <v>25</v>
      </c>
      <c r="F876" s="4" t="s">
        <v>25</v>
      </c>
      <c r="G876" s="4" t="s">
        <v>25</v>
      </c>
      <c r="H876" s="4" t="s">
        <v>36</v>
      </c>
      <c r="I876" s="5">
        <v>44013</v>
      </c>
      <c r="J876" s="6">
        <v>0</v>
      </c>
      <c r="K876" s="6">
        <v>0</v>
      </c>
      <c r="L876" s="6">
        <v>5884.9589999999998</v>
      </c>
      <c r="M876" s="6">
        <v>5884.9589999999998</v>
      </c>
      <c r="N876" s="6">
        <v>5884.9589999999998</v>
      </c>
      <c r="O876" s="6">
        <v>5884.9589999999998</v>
      </c>
      <c r="P876" s="6">
        <v>0</v>
      </c>
      <c r="Q876" s="4" t="s">
        <v>26</v>
      </c>
      <c r="R876" s="4">
        <v>0</v>
      </c>
      <c r="S876" s="4" t="s">
        <v>344</v>
      </c>
      <c r="T876" s="4" t="s">
        <v>709</v>
      </c>
      <c r="U876" s="4">
        <v>0</v>
      </c>
      <c r="V876" s="4">
        <v>28</v>
      </c>
      <c r="W876" s="4">
        <v>82</v>
      </c>
    </row>
    <row r="877" spans="1:23" ht="11.25" customHeight="1" x14ac:dyDescent="0.25">
      <c r="A877" s="4" t="s">
        <v>28</v>
      </c>
      <c r="B877" s="4" t="s">
        <v>33</v>
      </c>
      <c r="C877" s="4" t="s">
        <v>34</v>
      </c>
      <c r="D877" s="4" t="s">
        <v>48</v>
      </c>
      <c r="E877" s="4" t="s">
        <v>25</v>
      </c>
      <c r="F877" s="4" t="s">
        <v>25</v>
      </c>
      <c r="G877" s="4" t="s">
        <v>25</v>
      </c>
      <c r="H877" s="4" t="s">
        <v>36</v>
      </c>
      <c r="I877" s="5">
        <v>44013</v>
      </c>
      <c r="J877" s="6">
        <v>0</v>
      </c>
      <c r="K877" s="6">
        <v>0</v>
      </c>
      <c r="L877" s="6">
        <v>1035.8209999999999</v>
      </c>
      <c r="M877" s="6">
        <v>1035.8209999999999</v>
      </c>
      <c r="N877" s="6">
        <v>1035.8209999999999</v>
      </c>
      <c r="O877" s="6">
        <v>1035.8209999999999</v>
      </c>
      <c r="P877" s="6">
        <v>0</v>
      </c>
      <c r="Q877" s="4" t="s">
        <v>26</v>
      </c>
      <c r="R877" s="4">
        <v>0</v>
      </c>
      <c r="S877" s="4" t="s">
        <v>344</v>
      </c>
      <c r="T877" s="4" t="s">
        <v>709</v>
      </c>
      <c r="U877" s="4">
        <v>0</v>
      </c>
      <c r="V877" s="4">
        <v>28</v>
      </c>
      <c r="W877" s="4">
        <v>82</v>
      </c>
    </row>
    <row r="878" spans="1:23" ht="11.25" customHeight="1" x14ac:dyDescent="0.25">
      <c r="A878" s="4" t="s">
        <v>21</v>
      </c>
      <c r="B878" s="4" t="s">
        <v>33</v>
      </c>
      <c r="C878" s="4" t="s">
        <v>34</v>
      </c>
      <c r="D878" s="4" t="s">
        <v>48</v>
      </c>
      <c r="E878" s="4" t="s">
        <v>25</v>
      </c>
      <c r="F878" s="4" t="s">
        <v>25</v>
      </c>
      <c r="G878" s="4" t="s">
        <v>25</v>
      </c>
      <c r="H878" s="4" t="s">
        <v>36</v>
      </c>
      <c r="I878" s="5">
        <v>44044</v>
      </c>
      <c r="J878" s="6">
        <v>0</v>
      </c>
      <c r="K878" s="6">
        <v>0</v>
      </c>
      <c r="L878" s="6">
        <v>6119.8339999999998</v>
      </c>
      <c r="M878" s="6">
        <v>6119.8339999999998</v>
      </c>
      <c r="N878" s="6">
        <v>6119.8339999999998</v>
      </c>
      <c r="O878" s="6">
        <v>6119.8339999999998</v>
      </c>
      <c r="P878" s="6">
        <v>0</v>
      </c>
      <c r="Q878" s="4" t="s">
        <v>26</v>
      </c>
      <c r="R878" s="4">
        <v>0</v>
      </c>
      <c r="S878" s="4" t="s">
        <v>345</v>
      </c>
      <c r="T878" s="4" t="s">
        <v>710</v>
      </c>
      <c r="U878" s="4">
        <v>0</v>
      </c>
      <c r="V878" s="4">
        <v>28</v>
      </c>
      <c r="W878" s="4">
        <v>82</v>
      </c>
    </row>
    <row r="879" spans="1:23" ht="11.25" customHeight="1" x14ac:dyDescent="0.25">
      <c r="A879" s="4" t="s">
        <v>28</v>
      </c>
      <c r="B879" s="4" t="s">
        <v>33</v>
      </c>
      <c r="C879" s="4" t="s">
        <v>34</v>
      </c>
      <c r="D879" s="4" t="s">
        <v>48</v>
      </c>
      <c r="E879" s="4" t="s">
        <v>25</v>
      </c>
      <c r="F879" s="4" t="s">
        <v>25</v>
      </c>
      <c r="G879" s="4" t="s">
        <v>25</v>
      </c>
      <c r="H879" s="4" t="s">
        <v>36</v>
      </c>
      <c r="I879" s="5">
        <v>44044</v>
      </c>
      <c r="J879" s="6">
        <v>0</v>
      </c>
      <c r="K879" s="6">
        <v>0</v>
      </c>
      <c r="L879" s="6">
        <v>1181.6210000000001</v>
      </c>
      <c r="M879" s="6">
        <v>1181.6210000000001</v>
      </c>
      <c r="N879" s="6">
        <v>1181.6210000000001</v>
      </c>
      <c r="O879" s="6">
        <v>1181.6210000000001</v>
      </c>
      <c r="P879" s="6">
        <v>0</v>
      </c>
      <c r="Q879" s="4" t="s">
        <v>26</v>
      </c>
      <c r="R879" s="4">
        <v>0</v>
      </c>
      <c r="S879" s="4" t="s">
        <v>345</v>
      </c>
      <c r="T879" s="4" t="s">
        <v>710</v>
      </c>
      <c r="U879" s="4">
        <v>0</v>
      </c>
      <c r="V879" s="4">
        <v>28</v>
      </c>
      <c r="W879" s="4">
        <v>82</v>
      </c>
    </row>
    <row r="880" spans="1:23" ht="11.25" customHeight="1" x14ac:dyDescent="0.25">
      <c r="A880" s="4" t="s">
        <v>59</v>
      </c>
      <c r="B880" s="4" t="s">
        <v>33</v>
      </c>
      <c r="C880" s="4" t="s">
        <v>34</v>
      </c>
      <c r="D880" s="4" t="s">
        <v>48</v>
      </c>
      <c r="E880" s="4" t="s">
        <v>25</v>
      </c>
      <c r="F880" s="4" t="s">
        <v>25</v>
      </c>
      <c r="G880" s="4" t="s">
        <v>25</v>
      </c>
      <c r="H880" s="4" t="s">
        <v>36</v>
      </c>
      <c r="I880" s="5">
        <v>44075</v>
      </c>
      <c r="J880" s="6">
        <v>0</v>
      </c>
      <c r="K880" s="6">
        <v>0</v>
      </c>
      <c r="L880" s="6">
        <v>6119.8339999999998</v>
      </c>
      <c r="M880" s="6">
        <v>6119.8339999999998</v>
      </c>
      <c r="N880" s="6">
        <v>6119.8339999999998</v>
      </c>
      <c r="O880" s="6">
        <v>6119.8339999999998</v>
      </c>
      <c r="P880" s="6">
        <v>0</v>
      </c>
      <c r="Q880" s="4" t="s">
        <v>26</v>
      </c>
      <c r="R880" s="4">
        <v>0</v>
      </c>
      <c r="S880" s="4" t="s">
        <v>346</v>
      </c>
      <c r="T880" s="4" t="s">
        <v>711</v>
      </c>
      <c r="U880" s="4">
        <v>0</v>
      </c>
      <c r="V880" s="4">
        <v>28</v>
      </c>
      <c r="W880" s="4">
        <v>82</v>
      </c>
    </row>
    <row r="881" spans="1:23" ht="11.25" customHeight="1" x14ac:dyDescent="0.25">
      <c r="A881" s="4" t="s">
        <v>59</v>
      </c>
      <c r="B881" s="4" t="s">
        <v>33</v>
      </c>
      <c r="C881" s="4" t="s">
        <v>34</v>
      </c>
      <c r="D881" s="4" t="s">
        <v>48</v>
      </c>
      <c r="E881" s="4" t="s">
        <v>25</v>
      </c>
      <c r="F881" s="4" t="s">
        <v>25</v>
      </c>
      <c r="G881" s="4" t="s">
        <v>25</v>
      </c>
      <c r="H881" s="4" t="s">
        <v>36</v>
      </c>
      <c r="I881" s="5">
        <v>44075</v>
      </c>
      <c r="J881" s="6">
        <v>0</v>
      </c>
      <c r="K881" s="6">
        <v>0</v>
      </c>
      <c r="L881" s="6">
        <v>1181.6210000000001</v>
      </c>
      <c r="M881" s="6">
        <v>1181.6210000000001</v>
      </c>
      <c r="N881" s="6">
        <v>1181.6210000000001</v>
      </c>
      <c r="O881" s="6">
        <v>1181.6210000000001</v>
      </c>
      <c r="P881" s="6">
        <v>0</v>
      </c>
      <c r="Q881" s="4" t="s">
        <v>26</v>
      </c>
      <c r="R881" s="4">
        <v>0</v>
      </c>
      <c r="S881" s="4" t="s">
        <v>346</v>
      </c>
      <c r="T881" s="4" t="s">
        <v>711</v>
      </c>
      <c r="U881" s="4">
        <v>0</v>
      </c>
      <c r="V881" s="4">
        <v>28</v>
      </c>
      <c r="W881" s="4">
        <v>82</v>
      </c>
    </row>
    <row r="882" spans="1:23" ht="11.25" customHeight="1" x14ac:dyDescent="0.25">
      <c r="A882" s="4" t="s">
        <v>21</v>
      </c>
      <c r="B882" s="4" t="s">
        <v>33</v>
      </c>
      <c r="C882" s="4" t="s">
        <v>34</v>
      </c>
      <c r="D882" s="4" t="s">
        <v>48</v>
      </c>
      <c r="E882" s="4" t="s">
        <v>25</v>
      </c>
      <c r="F882" s="4" t="s">
        <v>25</v>
      </c>
      <c r="G882" s="4" t="s">
        <v>25</v>
      </c>
      <c r="H882" s="4" t="s">
        <v>25</v>
      </c>
      <c r="I882" s="5">
        <v>43739</v>
      </c>
      <c r="J882" s="6">
        <v>51795</v>
      </c>
      <c r="K882" s="6">
        <v>51795</v>
      </c>
      <c r="L882" s="6">
        <v>0</v>
      </c>
      <c r="M882" s="6">
        <v>0</v>
      </c>
      <c r="N882" s="6">
        <v>0</v>
      </c>
      <c r="O882" s="6">
        <v>0</v>
      </c>
      <c r="P882" s="6">
        <v>287</v>
      </c>
      <c r="Q882" s="4" t="s">
        <v>26</v>
      </c>
      <c r="R882" s="4">
        <v>0</v>
      </c>
      <c r="S882" s="4" t="s">
        <v>347</v>
      </c>
      <c r="U882" s="4">
        <v>26</v>
      </c>
      <c r="V882" s="4">
        <v>0</v>
      </c>
      <c r="W882" s="4">
        <v>0</v>
      </c>
    </row>
    <row r="883" spans="1:23" ht="11.25" customHeight="1" x14ac:dyDescent="0.25">
      <c r="A883" s="4" t="s">
        <v>28</v>
      </c>
      <c r="B883" s="4" t="s">
        <v>33</v>
      </c>
      <c r="C883" s="4" t="s">
        <v>34</v>
      </c>
      <c r="D883" s="4" t="s">
        <v>48</v>
      </c>
      <c r="E883" s="4" t="s">
        <v>25</v>
      </c>
      <c r="F883" s="4" t="s">
        <v>25</v>
      </c>
      <c r="G883" s="4" t="s">
        <v>25</v>
      </c>
      <c r="H883" s="4" t="s">
        <v>25</v>
      </c>
      <c r="I883" s="5">
        <v>43739</v>
      </c>
      <c r="J883" s="6">
        <v>7153</v>
      </c>
      <c r="K883" s="6">
        <v>7153</v>
      </c>
      <c r="L883" s="6">
        <v>0</v>
      </c>
      <c r="M883" s="6">
        <v>0</v>
      </c>
      <c r="N883" s="6">
        <v>0</v>
      </c>
      <c r="O883" s="6">
        <v>0</v>
      </c>
      <c r="P883" s="6">
        <v>11</v>
      </c>
      <c r="Q883" s="4" t="s">
        <v>26</v>
      </c>
      <c r="R883" s="4">
        <v>0</v>
      </c>
      <c r="S883" s="4" t="s">
        <v>347</v>
      </c>
      <c r="U883" s="4">
        <v>26</v>
      </c>
      <c r="V883" s="4">
        <v>0</v>
      </c>
      <c r="W883" s="4">
        <v>0</v>
      </c>
    </row>
    <row r="884" spans="1:23" ht="11.25" customHeight="1" x14ac:dyDescent="0.25">
      <c r="A884" s="4" t="s">
        <v>21</v>
      </c>
      <c r="B884" s="4" t="s">
        <v>33</v>
      </c>
      <c r="C884" s="4" t="s">
        <v>34</v>
      </c>
      <c r="D884" s="4" t="s">
        <v>48</v>
      </c>
      <c r="E884" s="4" t="s">
        <v>25</v>
      </c>
      <c r="F884" s="4" t="s">
        <v>25</v>
      </c>
      <c r="G884" s="4" t="s">
        <v>25</v>
      </c>
      <c r="H884" s="4" t="s">
        <v>25</v>
      </c>
      <c r="I884" s="5">
        <v>43770</v>
      </c>
      <c r="J884" s="6">
        <v>51294</v>
      </c>
      <c r="K884" s="6">
        <v>51294</v>
      </c>
      <c r="L884" s="6">
        <v>0</v>
      </c>
      <c r="M884" s="6">
        <v>0</v>
      </c>
      <c r="N884" s="6">
        <v>0</v>
      </c>
      <c r="O884" s="6">
        <v>0</v>
      </c>
      <c r="P884" s="6">
        <v>284</v>
      </c>
      <c r="Q884" s="4" t="s">
        <v>26</v>
      </c>
      <c r="R884" s="4">
        <v>0</v>
      </c>
      <c r="S884" s="4" t="s">
        <v>348</v>
      </c>
      <c r="U884" s="4">
        <v>26</v>
      </c>
      <c r="V884" s="4">
        <v>0</v>
      </c>
      <c r="W884" s="4">
        <v>0</v>
      </c>
    </row>
    <row r="885" spans="1:23" ht="11.25" customHeight="1" x14ac:dyDescent="0.25">
      <c r="A885" s="4" t="s">
        <v>28</v>
      </c>
      <c r="B885" s="4" t="s">
        <v>33</v>
      </c>
      <c r="C885" s="4" t="s">
        <v>34</v>
      </c>
      <c r="D885" s="4" t="s">
        <v>48</v>
      </c>
      <c r="E885" s="4" t="s">
        <v>25</v>
      </c>
      <c r="F885" s="4" t="s">
        <v>25</v>
      </c>
      <c r="G885" s="4" t="s">
        <v>25</v>
      </c>
      <c r="H885" s="4" t="s">
        <v>25</v>
      </c>
      <c r="I885" s="5">
        <v>43770</v>
      </c>
      <c r="J885" s="6">
        <v>7153</v>
      </c>
      <c r="K885" s="6">
        <v>7153</v>
      </c>
      <c r="L885" s="6">
        <v>0</v>
      </c>
      <c r="M885" s="6">
        <v>0</v>
      </c>
      <c r="N885" s="6">
        <v>0</v>
      </c>
      <c r="O885" s="6">
        <v>0</v>
      </c>
      <c r="P885" s="6">
        <v>11</v>
      </c>
      <c r="Q885" s="4" t="s">
        <v>26</v>
      </c>
      <c r="R885" s="4">
        <v>0</v>
      </c>
      <c r="S885" s="4" t="s">
        <v>348</v>
      </c>
      <c r="U885" s="4">
        <v>26</v>
      </c>
      <c r="V885" s="4">
        <v>0</v>
      </c>
      <c r="W885" s="4">
        <v>0</v>
      </c>
    </row>
    <row r="886" spans="1:23" ht="11.25" customHeight="1" x14ac:dyDescent="0.25">
      <c r="A886" s="4" t="s">
        <v>21</v>
      </c>
      <c r="B886" s="4" t="s">
        <v>33</v>
      </c>
      <c r="C886" s="4" t="s">
        <v>34</v>
      </c>
      <c r="D886" s="4" t="s">
        <v>48</v>
      </c>
      <c r="E886" s="4" t="s">
        <v>25</v>
      </c>
      <c r="F886" s="4" t="s">
        <v>25</v>
      </c>
      <c r="G886" s="4" t="s">
        <v>25</v>
      </c>
      <c r="H886" s="4" t="s">
        <v>25</v>
      </c>
      <c r="I886" s="5">
        <v>43800</v>
      </c>
      <c r="J886" s="6">
        <v>51961</v>
      </c>
      <c r="K886" s="6">
        <v>51961</v>
      </c>
      <c r="L886" s="6">
        <v>0</v>
      </c>
      <c r="M886" s="6">
        <v>0</v>
      </c>
      <c r="N886" s="6">
        <v>0</v>
      </c>
      <c r="O886" s="6">
        <v>0</v>
      </c>
      <c r="P886" s="6">
        <v>285</v>
      </c>
      <c r="Q886" s="4" t="s">
        <v>26</v>
      </c>
      <c r="R886" s="4">
        <v>0</v>
      </c>
      <c r="S886" s="4" t="s">
        <v>349</v>
      </c>
      <c r="U886" s="4">
        <v>26</v>
      </c>
      <c r="V886" s="4">
        <v>0</v>
      </c>
      <c r="W886" s="4">
        <v>0</v>
      </c>
    </row>
    <row r="887" spans="1:23" ht="11.25" customHeight="1" x14ac:dyDescent="0.25">
      <c r="A887" s="4" t="s">
        <v>28</v>
      </c>
      <c r="B887" s="4" t="s">
        <v>33</v>
      </c>
      <c r="C887" s="4" t="s">
        <v>34</v>
      </c>
      <c r="D887" s="4" t="s">
        <v>48</v>
      </c>
      <c r="E887" s="4" t="s">
        <v>25</v>
      </c>
      <c r="F887" s="4" t="s">
        <v>25</v>
      </c>
      <c r="G887" s="4" t="s">
        <v>25</v>
      </c>
      <c r="H887" s="4" t="s">
        <v>25</v>
      </c>
      <c r="I887" s="5">
        <v>43800</v>
      </c>
      <c r="J887" s="6">
        <v>7153</v>
      </c>
      <c r="K887" s="6">
        <v>7153</v>
      </c>
      <c r="L887" s="6">
        <v>0</v>
      </c>
      <c r="M887" s="6">
        <v>0</v>
      </c>
      <c r="N887" s="6">
        <v>0</v>
      </c>
      <c r="O887" s="6">
        <v>0</v>
      </c>
      <c r="P887" s="6">
        <v>11</v>
      </c>
      <c r="Q887" s="4" t="s">
        <v>26</v>
      </c>
      <c r="R887" s="4">
        <v>0</v>
      </c>
      <c r="S887" s="4" t="s">
        <v>349</v>
      </c>
      <c r="U887" s="4">
        <v>26</v>
      </c>
      <c r="V887" s="4">
        <v>0</v>
      </c>
      <c r="W887" s="4">
        <v>0</v>
      </c>
    </row>
    <row r="888" spans="1:23" ht="11.25" customHeight="1" x14ac:dyDescent="0.25">
      <c r="A888" s="4" t="s">
        <v>21</v>
      </c>
      <c r="B888" s="4" t="s">
        <v>33</v>
      </c>
      <c r="C888" s="4" t="s">
        <v>34</v>
      </c>
      <c r="D888" s="4" t="s">
        <v>48</v>
      </c>
      <c r="E888" s="4" t="s">
        <v>25</v>
      </c>
      <c r="F888" s="4" t="s">
        <v>25</v>
      </c>
      <c r="G888" s="4" t="s">
        <v>25</v>
      </c>
      <c r="H888" s="4" t="s">
        <v>25</v>
      </c>
      <c r="I888" s="5">
        <v>43831</v>
      </c>
      <c r="J888" s="6">
        <v>50338</v>
      </c>
      <c r="K888" s="6">
        <v>50338</v>
      </c>
      <c r="L888" s="6">
        <v>0</v>
      </c>
      <c r="M888" s="6">
        <v>0</v>
      </c>
      <c r="N888" s="6">
        <v>0</v>
      </c>
      <c r="O888" s="6">
        <v>0</v>
      </c>
      <c r="P888" s="6">
        <v>288</v>
      </c>
      <c r="Q888" s="4" t="s">
        <v>26</v>
      </c>
      <c r="R888" s="4">
        <v>0</v>
      </c>
      <c r="S888" s="4" t="s">
        <v>350</v>
      </c>
      <c r="U888" s="4">
        <v>26</v>
      </c>
      <c r="V888" s="4">
        <v>0</v>
      </c>
      <c r="W888" s="4">
        <v>0</v>
      </c>
    </row>
    <row r="889" spans="1:23" ht="11.25" customHeight="1" x14ac:dyDescent="0.25">
      <c r="A889" s="4" t="s">
        <v>28</v>
      </c>
      <c r="B889" s="4" t="s">
        <v>33</v>
      </c>
      <c r="C889" s="4" t="s">
        <v>34</v>
      </c>
      <c r="D889" s="4" t="s">
        <v>48</v>
      </c>
      <c r="E889" s="4" t="s">
        <v>25</v>
      </c>
      <c r="F889" s="4" t="s">
        <v>25</v>
      </c>
      <c r="G889" s="4" t="s">
        <v>25</v>
      </c>
      <c r="H889" s="4" t="s">
        <v>25</v>
      </c>
      <c r="I889" s="5">
        <v>43831</v>
      </c>
      <c r="J889" s="6">
        <v>7153</v>
      </c>
      <c r="K889" s="6">
        <v>7153</v>
      </c>
      <c r="L889" s="6">
        <v>0</v>
      </c>
      <c r="M889" s="6">
        <v>0</v>
      </c>
      <c r="N889" s="6">
        <v>0</v>
      </c>
      <c r="O889" s="6">
        <v>0</v>
      </c>
      <c r="P889" s="6">
        <v>11</v>
      </c>
      <c r="Q889" s="4" t="s">
        <v>26</v>
      </c>
      <c r="R889" s="4">
        <v>0</v>
      </c>
      <c r="S889" s="4" t="s">
        <v>350</v>
      </c>
      <c r="U889" s="4">
        <v>26</v>
      </c>
      <c r="V889" s="4">
        <v>0</v>
      </c>
      <c r="W889" s="4">
        <v>0</v>
      </c>
    </row>
    <row r="890" spans="1:23" ht="11.25" customHeight="1" x14ac:dyDescent="0.25">
      <c r="A890" s="4" t="s">
        <v>21</v>
      </c>
      <c r="B890" s="4" t="s">
        <v>33</v>
      </c>
      <c r="C890" s="4" t="s">
        <v>34</v>
      </c>
      <c r="D890" s="4" t="s">
        <v>48</v>
      </c>
      <c r="E890" s="4" t="s">
        <v>25</v>
      </c>
      <c r="F890" s="4" t="s">
        <v>25</v>
      </c>
      <c r="G890" s="4" t="s">
        <v>25</v>
      </c>
      <c r="H890" s="4" t="s">
        <v>25</v>
      </c>
      <c r="I890" s="5">
        <v>43862</v>
      </c>
      <c r="J890" s="6">
        <v>51355</v>
      </c>
      <c r="K890" s="6">
        <v>51355</v>
      </c>
      <c r="L890" s="6">
        <v>0</v>
      </c>
      <c r="M890" s="6">
        <v>0</v>
      </c>
      <c r="N890" s="6">
        <v>0</v>
      </c>
      <c r="O890" s="6">
        <v>0</v>
      </c>
      <c r="P890" s="6">
        <v>289</v>
      </c>
      <c r="Q890" s="4" t="s">
        <v>26</v>
      </c>
      <c r="R890" s="4">
        <v>0</v>
      </c>
      <c r="S890" s="4" t="s">
        <v>351</v>
      </c>
      <c r="U890" s="4">
        <v>26</v>
      </c>
      <c r="V890" s="4">
        <v>0</v>
      </c>
      <c r="W890" s="4">
        <v>0</v>
      </c>
    </row>
    <row r="891" spans="1:23" ht="11.25" customHeight="1" x14ac:dyDescent="0.25">
      <c r="A891" s="4" t="s">
        <v>28</v>
      </c>
      <c r="B891" s="4" t="s">
        <v>33</v>
      </c>
      <c r="C891" s="4" t="s">
        <v>34</v>
      </c>
      <c r="D891" s="4" t="s">
        <v>48</v>
      </c>
      <c r="E891" s="4" t="s">
        <v>25</v>
      </c>
      <c r="F891" s="4" t="s">
        <v>25</v>
      </c>
      <c r="G891" s="4" t="s">
        <v>25</v>
      </c>
      <c r="H891" s="4" t="s">
        <v>25</v>
      </c>
      <c r="I891" s="5">
        <v>43862</v>
      </c>
      <c r="J891" s="6">
        <v>7053</v>
      </c>
      <c r="K891" s="6">
        <v>7053</v>
      </c>
      <c r="L891" s="6">
        <v>0</v>
      </c>
      <c r="M891" s="6">
        <v>0</v>
      </c>
      <c r="N891" s="6">
        <v>0</v>
      </c>
      <c r="O891" s="6">
        <v>0</v>
      </c>
      <c r="P891" s="6">
        <v>11</v>
      </c>
      <c r="Q891" s="4" t="s">
        <v>26</v>
      </c>
      <c r="R891" s="4">
        <v>0</v>
      </c>
      <c r="S891" s="4" t="s">
        <v>351</v>
      </c>
      <c r="U891" s="4">
        <v>26</v>
      </c>
      <c r="V891" s="4">
        <v>0</v>
      </c>
      <c r="W891" s="4">
        <v>0</v>
      </c>
    </row>
    <row r="892" spans="1:23" ht="11.25" customHeight="1" x14ac:dyDescent="0.25">
      <c r="A892" s="4" t="s">
        <v>21</v>
      </c>
      <c r="B892" s="4" t="s">
        <v>33</v>
      </c>
      <c r="C892" s="4" t="s">
        <v>34</v>
      </c>
      <c r="D892" s="4" t="s">
        <v>48</v>
      </c>
      <c r="E892" s="4" t="s">
        <v>25</v>
      </c>
      <c r="F892" s="4" t="s">
        <v>25</v>
      </c>
      <c r="G892" s="4" t="s">
        <v>25</v>
      </c>
      <c r="H892" s="4" t="s">
        <v>25</v>
      </c>
      <c r="I892" s="5">
        <v>43891</v>
      </c>
      <c r="J892" s="6">
        <v>51068</v>
      </c>
      <c r="K892" s="6">
        <v>51068</v>
      </c>
      <c r="L892" s="6">
        <v>0</v>
      </c>
      <c r="M892" s="6">
        <v>0</v>
      </c>
      <c r="N892" s="6">
        <v>0</v>
      </c>
      <c r="O892" s="6">
        <v>0</v>
      </c>
      <c r="P892" s="6">
        <v>289</v>
      </c>
      <c r="Q892" s="4" t="s">
        <v>26</v>
      </c>
      <c r="R892" s="4">
        <v>0</v>
      </c>
      <c r="S892" s="4" t="s">
        <v>352</v>
      </c>
      <c r="U892" s="4">
        <v>26</v>
      </c>
      <c r="V892" s="4">
        <v>0</v>
      </c>
      <c r="W892" s="4">
        <v>0</v>
      </c>
    </row>
    <row r="893" spans="1:23" ht="11.25" customHeight="1" x14ac:dyDescent="0.25">
      <c r="A893" s="4" t="s">
        <v>28</v>
      </c>
      <c r="B893" s="4" t="s">
        <v>33</v>
      </c>
      <c r="C893" s="4" t="s">
        <v>34</v>
      </c>
      <c r="D893" s="4" t="s">
        <v>48</v>
      </c>
      <c r="E893" s="4" t="s">
        <v>25</v>
      </c>
      <c r="F893" s="4" t="s">
        <v>25</v>
      </c>
      <c r="G893" s="4" t="s">
        <v>25</v>
      </c>
      <c r="H893" s="4" t="s">
        <v>25</v>
      </c>
      <c r="I893" s="5">
        <v>43891</v>
      </c>
      <c r="J893" s="6">
        <v>7053</v>
      </c>
      <c r="K893" s="6">
        <v>7053</v>
      </c>
      <c r="L893" s="6">
        <v>0</v>
      </c>
      <c r="M893" s="6">
        <v>0</v>
      </c>
      <c r="N893" s="6">
        <v>0</v>
      </c>
      <c r="O893" s="6">
        <v>0</v>
      </c>
      <c r="P893" s="6">
        <v>11</v>
      </c>
      <c r="Q893" s="4" t="s">
        <v>26</v>
      </c>
      <c r="R893" s="4">
        <v>0</v>
      </c>
      <c r="S893" s="4" t="s">
        <v>352</v>
      </c>
      <c r="U893" s="4">
        <v>26</v>
      </c>
      <c r="V893" s="4">
        <v>0</v>
      </c>
      <c r="W893" s="4">
        <v>0</v>
      </c>
    </row>
    <row r="894" spans="1:23" ht="11.25" customHeight="1" x14ac:dyDescent="0.25">
      <c r="A894" s="4" t="s">
        <v>21</v>
      </c>
      <c r="B894" s="4" t="s">
        <v>33</v>
      </c>
      <c r="C894" s="4" t="s">
        <v>34</v>
      </c>
      <c r="D894" s="4" t="s">
        <v>48</v>
      </c>
      <c r="E894" s="4" t="s">
        <v>25</v>
      </c>
      <c r="F894" s="4" t="s">
        <v>25</v>
      </c>
      <c r="G894" s="4" t="s">
        <v>25</v>
      </c>
      <c r="H894" s="4" t="s">
        <v>25</v>
      </c>
      <c r="I894" s="5">
        <v>43922</v>
      </c>
      <c r="J894" s="6">
        <v>50080</v>
      </c>
      <c r="K894" s="6">
        <v>50080</v>
      </c>
      <c r="L894" s="6">
        <v>0</v>
      </c>
      <c r="M894" s="6">
        <v>0</v>
      </c>
      <c r="N894" s="6">
        <v>0</v>
      </c>
      <c r="O894" s="6">
        <v>0</v>
      </c>
      <c r="P894" s="6">
        <v>287</v>
      </c>
      <c r="Q894" s="4" t="s">
        <v>26</v>
      </c>
      <c r="R894" s="4">
        <v>0</v>
      </c>
      <c r="S894" s="4" t="s">
        <v>353</v>
      </c>
      <c r="U894" s="4">
        <v>26</v>
      </c>
      <c r="V894" s="4">
        <v>0</v>
      </c>
      <c r="W894" s="4">
        <v>0</v>
      </c>
    </row>
    <row r="895" spans="1:23" ht="11.25" customHeight="1" x14ac:dyDescent="0.25">
      <c r="A895" s="4" t="s">
        <v>27</v>
      </c>
      <c r="B895" s="4" t="s">
        <v>33</v>
      </c>
      <c r="C895" s="4" t="s">
        <v>34</v>
      </c>
      <c r="D895" s="4" t="s">
        <v>48</v>
      </c>
      <c r="E895" s="4" t="s">
        <v>25</v>
      </c>
      <c r="F895" s="4" t="s">
        <v>25</v>
      </c>
      <c r="G895" s="4" t="s">
        <v>25</v>
      </c>
      <c r="H895" s="4" t="s">
        <v>25</v>
      </c>
      <c r="I895" s="5">
        <v>43922</v>
      </c>
      <c r="J895" s="6">
        <v>180</v>
      </c>
      <c r="K895" s="6">
        <v>180</v>
      </c>
      <c r="L895" s="6">
        <v>0</v>
      </c>
      <c r="M895" s="6">
        <v>0</v>
      </c>
      <c r="N895" s="6">
        <v>0</v>
      </c>
      <c r="O895" s="6">
        <v>0</v>
      </c>
      <c r="P895" s="6">
        <v>2</v>
      </c>
      <c r="Q895" s="4" t="s">
        <v>26</v>
      </c>
      <c r="R895" s="4">
        <v>0</v>
      </c>
      <c r="S895" s="4" t="s">
        <v>353</v>
      </c>
      <c r="U895" s="4">
        <v>26</v>
      </c>
      <c r="V895" s="4">
        <v>0</v>
      </c>
      <c r="W895" s="4">
        <v>0</v>
      </c>
    </row>
    <row r="896" spans="1:23" ht="11.25" customHeight="1" x14ac:dyDescent="0.25">
      <c r="A896" s="4" t="s">
        <v>28</v>
      </c>
      <c r="B896" s="4" t="s">
        <v>33</v>
      </c>
      <c r="C896" s="4" t="s">
        <v>34</v>
      </c>
      <c r="D896" s="4" t="s">
        <v>48</v>
      </c>
      <c r="E896" s="4" t="s">
        <v>25</v>
      </c>
      <c r="F896" s="4" t="s">
        <v>25</v>
      </c>
      <c r="G896" s="4" t="s">
        <v>25</v>
      </c>
      <c r="H896" s="4" t="s">
        <v>25</v>
      </c>
      <c r="I896" s="5">
        <v>43922</v>
      </c>
      <c r="J896" s="6">
        <v>7053</v>
      </c>
      <c r="K896" s="6">
        <v>7053</v>
      </c>
      <c r="L896" s="6">
        <v>0</v>
      </c>
      <c r="M896" s="6">
        <v>0</v>
      </c>
      <c r="N896" s="6">
        <v>0</v>
      </c>
      <c r="O896" s="6">
        <v>0</v>
      </c>
      <c r="P896" s="6">
        <v>11</v>
      </c>
      <c r="Q896" s="4" t="s">
        <v>26</v>
      </c>
      <c r="R896" s="4">
        <v>0</v>
      </c>
      <c r="S896" s="4" t="s">
        <v>353</v>
      </c>
      <c r="U896" s="4">
        <v>26</v>
      </c>
      <c r="V896" s="4">
        <v>0</v>
      </c>
      <c r="W896" s="4">
        <v>0</v>
      </c>
    </row>
    <row r="897" spans="1:23" ht="11.25" customHeight="1" x14ac:dyDescent="0.25">
      <c r="A897" s="4" t="s">
        <v>21</v>
      </c>
      <c r="B897" s="4" t="s">
        <v>33</v>
      </c>
      <c r="C897" s="4" t="s">
        <v>34</v>
      </c>
      <c r="D897" s="4" t="s">
        <v>48</v>
      </c>
      <c r="E897" s="4" t="s">
        <v>25</v>
      </c>
      <c r="F897" s="4" t="s">
        <v>25</v>
      </c>
      <c r="G897" s="4" t="s">
        <v>25</v>
      </c>
      <c r="H897" s="4" t="s">
        <v>25</v>
      </c>
      <c r="I897" s="5">
        <v>43952</v>
      </c>
      <c r="J897" s="6">
        <v>47859</v>
      </c>
      <c r="K897" s="6">
        <v>47859</v>
      </c>
      <c r="L897" s="6">
        <v>0</v>
      </c>
      <c r="M897" s="6">
        <v>0</v>
      </c>
      <c r="N897" s="6">
        <v>0</v>
      </c>
      <c r="O897" s="6">
        <v>0</v>
      </c>
      <c r="P897" s="6">
        <v>290</v>
      </c>
      <c r="Q897" s="4" t="s">
        <v>26</v>
      </c>
      <c r="R897" s="4">
        <v>0</v>
      </c>
      <c r="S897" s="4" t="s">
        <v>354</v>
      </c>
      <c r="U897" s="4">
        <v>26</v>
      </c>
      <c r="V897" s="4">
        <v>0</v>
      </c>
      <c r="W897" s="4">
        <v>0</v>
      </c>
    </row>
    <row r="898" spans="1:23" ht="11.25" customHeight="1" x14ac:dyDescent="0.25">
      <c r="A898" s="4" t="s">
        <v>28</v>
      </c>
      <c r="B898" s="4" t="s">
        <v>33</v>
      </c>
      <c r="C898" s="4" t="s">
        <v>34</v>
      </c>
      <c r="D898" s="4" t="s">
        <v>48</v>
      </c>
      <c r="E898" s="4" t="s">
        <v>25</v>
      </c>
      <c r="F898" s="4" t="s">
        <v>25</v>
      </c>
      <c r="G898" s="4" t="s">
        <v>25</v>
      </c>
      <c r="H898" s="4" t="s">
        <v>25</v>
      </c>
      <c r="I898" s="5">
        <v>43952</v>
      </c>
      <c r="J898" s="6">
        <v>7053</v>
      </c>
      <c r="K898" s="6">
        <v>7053</v>
      </c>
      <c r="L898" s="6">
        <v>0</v>
      </c>
      <c r="M898" s="6">
        <v>0</v>
      </c>
      <c r="N898" s="6">
        <v>0</v>
      </c>
      <c r="O898" s="6">
        <v>0</v>
      </c>
      <c r="P898" s="6">
        <v>11</v>
      </c>
      <c r="Q898" s="4" t="s">
        <v>26</v>
      </c>
      <c r="R898" s="4">
        <v>0</v>
      </c>
      <c r="S898" s="4" t="s">
        <v>354</v>
      </c>
      <c r="U898" s="4">
        <v>26</v>
      </c>
      <c r="V898" s="4">
        <v>0</v>
      </c>
      <c r="W898" s="4">
        <v>0</v>
      </c>
    </row>
    <row r="899" spans="1:23" ht="11.25" customHeight="1" x14ac:dyDescent="0.25">
      <c r="A899" s="4" t="s">
        <v>21</v>
      </c>
      <c r="B899" s="4" t="s">
        <v>33</v>
      </c>
      <c r="C899" s="4" t="s">
        <v>34</v>
      </c>
      <c r="D899" s="4" t="s">
        <v>48</v>
      </c>
      <c r="E899" s="4" t="s">
        <v>25</v>
      </c>
      <c r="F899" s="4" t="s">
        <v>25</v>
      </c>
      <c r="G899" s="4" t="s">
        <v>25</v>
      </c>
      <c r="H899" s="4" t="s">
        <v>25</v>
      </c>
      <c r="I899" s="5">
        <v>43983</v>
      </c>
      <c r="J899" s="6">
        <v>42761</v>
      </c>
      <c r="K899" s="6">
        <v>42761</v>
      </c>
      <c r="L899" s="6">
        <v>0</v>
      </c>
      <c r="M899" s="6">
        <v>0</v>
      </c>
      <c r="N899" s="6">
        <v>0</v>
      </c>
      <c r="O899" s="6">
        <v>0</v>
      </c>
      <c r="P899" s="6">
        <v>282</v>
      </c>
      <c r="Q899" s="4" t="s">
        <v>26</v>
      </c>
      <c r="R899" s="4">
        <v>0</v>
      </c>
      <c r="S899" s="4" t="s">
        <v>355</v>
      </c>
      <c r="U899" s="4">
        <v>26</v>
      </c>
      <c r="V899" s="4">
        <v>0</v>
      </c>
      <c r="W899" s="4">
        <v>0</v>
      </c>
    </row>
    <row r="900" spans="1:23" ht="11.25" customHeight="1" x14ac:dyDescent="0.25">
      <c r="A900" s="4" t="s">
        <v>27</v>
      </c>
      <c r="B900" s="4" t="s">
        <v>33</v>
      </c>
      <c r="C900" s="4" t="s">
        <v>34</v>
      </c>
      <c r="D900" s="4" t="s">
        <v>48</v>
      </c>
      <c r="E900" s="4" t="s">
        <v>25</v>
      </c>
      <c r="F900" s="4" t="s">
        <v>25</v>
      </c>
      <c r="G900" s="4" t="s">
        <v>25</v>
      </c>
      <c r="H900" s="4" t="s">
        <v>25</v>
      </c>
      <c r="I900" s="5">
        <v>43983</v>
      </c>
      <c r="J900" s="6">
        <v>3848</v>
      </c>
      <c r="K900" s="6">
        <v>3848</v>
      </c>
      <c r="L900" s="6">
        <v>0</v>
      </c>
      <c r="M900" s="6">
        <v>0</v>
      </c>
      <c r="N900" s="6">
        <v>0</v>
      </c>
      <c r="O900" s="6">
        <v>0</v>
      </c>
      <c r="P900" s="6">
        <v>3</v>
      </c>
      <c r="Q900" s="4" t="s">
        <v>26</v>
      </c>
      <c r="R900" s="4">
        <v>0</v>
      </c>
      <c r="S900" s="4" t="s">
        <v>355</v>
      </c>
      <c r="U900" s="4">
        <v>26</v>
      </c>
      <c r="V900" s="4">
        <v>0</v>
      </c>
      <c r="W900" s="4">
        <v>0</v>
      </c>
    </row>
    <row r="901" spans="1:23" ht="11.25" customHeight="1" x14ac:dyDescent="0.25">
      <c r="A901" s="4" t="s">
        <v>28</v>
      </c>
      <c r="B901" s="4" t="s">
        <v>33</v>
      </c>
      <c r="C901" s="4" t="s">
        <v>34</v>
      </c>
      <c r="D901" s="4" t="s">
        <v>48</v>
      </c>
      <c r="E901" s="4" t="s">
        <v>25</v>
      </c>
      <c r="F901" s="4" t="s">
        <v>25</v>
      </c>
      <c r="G901" s="4" t="s">
        <v>25</v>
      </c>
      <c r="H901" s="4" t="s">
        <v>25</v>
      </c>
      <c r="I901" s="5">
        <v>43983</v>
      </c>
      <c r="J901" s="6">
        <v>9803</v>
      </c>
      <c r="K901" s="6">
        <v>9803</v>
      </c>
      <c r="L901" s="6">
        <v>0</v>
      </c>
      <c r="M901" s="6">
        <v>0</v>
      </c>
      <c r="N901" s="6">
        <v>0</v>
      </c>
      <c r="O901" s="6">
        <v>0</v>
      </c>
      <c r="P901" s="6">
        <v>13</v>
      </c>
      <c r="Q901" s="4" t="s">
        <v>26</v>
      </c>
      <c r="R901" s="4">
        <v>0</v>
      </c>
      <c r="S901" s="4" t="s">
        <v>355</v>
      </c>
      <c r="U901" s="4">
        <v>26</v>
      </c>
      <c r="V901" s="4">
        <v>0</v>
      </c>
      <c r="W901" s="4">
        <v>0</v>
      </c>
    </row>
    <row r="902" spans="1:23" ht="11.25" customHeight="1" x14ac:dyDescent="0.25">
      <c r="A902" s="4" t="s">
        <v>21</v>
      </c>
      <c r="B902" s="4" t="s">
        <v>33</v>
      </c>
      <c r="C902" s="4" t="s">
        <v>34</v>
      </c>
      <c r="D902" s="4" t="s">
        <v>48</v>
      </c>
      <c r="E902" s="4" t="s">
        <v>25</v>
      </c>
      <c r="F902" s="4" t="s">
        <v>25</v>
      </c>
      <c r="G902" s="4" t="s">
        <v>25</v>
      </c>
      <c r="H902" s="4" t="s">
        <v>25</v>
      </c>
      <c r="I902" s="5">
        <v>44013</v>
      </c>
      <c r="J902" s="6">
        <v>47529</v>
      </c>
      <c r="K902" s="6">
        <v>47529</v>
      </c>
      <c r="L902" s="6">
        <v>0</v>
      </c>
      <c r="M902" s="6">
        <v>0</v>
      </c>
      <c r="N902" s="6">
        <v>0</v>
      </c>
      <c r="O902" s="6">
        <v>0</v>
      </c>
      <c r="P902" s="6">
        <v>285</v>
      </c>
      <c r="Q902" s="4" t="s">
        <v>26</v>
      </c>
      <c r="R902" s="4">
        <v>0</v>
      </c>
      <c r="S902" s="4" t="s">
        <v>356</v>
      </c>
      <c r="U902" s="4">
        <v>26</v>
      </c>
      <c r="V902" s="4">
        <v>0</v>
      </c>
      <c r="W902" s="4">
        <v>0</v>
      </c>
    </row>
    <row r="903" spans="1:23" ht="11.25" customHeight="1" x14ac:dyDescent="0.25">
      <c r="A903" s="4" t="s">
        <v>28</v>
      </c>
      <c r="B903" s="4" t="s">
        <v>33</v>
      </c>
      <c r="C903" s="4" t="s">
        <v>34</v>
      </c>
      <c r="D903" s="4" t="s">
        <v>48</v>
      </c>
      <c r="E903" s="4" t="s">
        <v>25</v>
      </c>
      <c r="F903" s="4" t="s">
        <v>25</v>
      </c>
      <c r="G903" s="4" t="s">
        <v>25</v>
      </c>
      <c r="H903" s="4" t="s">
        <v>25</v>
      </c>
      <c r="I903" s="5">
        <v>44013</v>
      </c>
      <c r="J903" s="6">
        <v>9953</v>
      </c>
      <c r="K903" s="6">
        <v>9953</v>
      </c>
      <c r="L903" s="6">
        <v>0</v>
      </c>
      <c r="M903" s="6">
        <v>0</v>
      </c>
      <c r="N903" s="6">
        <v>0</v>
      </c>
      <c r="O903" s="6">
        <v>0</v>
      </c>
      <c r="P903" s="6">
        <v>14</v>
      </c>
      <c r="Q903" s="4" t="s">
        <v>26</v>
      </c>
      <c r="R903" s="4">
        <v>0</v>
      </c>
      <c r="S903" s="4" t="s">
        <v>356</v>
      </c>
      <c r="U903" s="4">
        <v>26</v>
      </c>
      <c r="V903" s="4">
        <v>0</v>
      </c>
      <c r="W903" s="4">
        <v>0</v>
      </c>
    </row>
    <row r="904" spans="1:23" ht="11.25" customHeight="1" x14ac:dyDescent="0.25">
      <c r="A904" s="4" t="s">
        <v>21</v>
      </c>
      <c r="B904" s="4" t="s">
        <v>33</v>
      </c>
      <c r="C904" s="4" t="s">
        <v>34</v>
      </c>
      <c r="D904" s="4" t="s">
        <v>48</v>
      </c>
      <c r="E904" s="4" t="s">
        <v>25</v>
      </c>
      <c r="F904" s="4" t="s">
        <v>25</v>
      </c>
      <c r="G904" s="4" t="s">
        <v>25</v>
      </c>
      <c r="H904" s="4" t="s">
        <v>25</v>
      </c>
      <c r="I904" s="5">
        <v>44044</v>
      </c>
      <c r="J904" s="6">
        <v>47476</v>
      </c>
      <c r="K904" s="6">
        <v>47476</v>
      </c>
      <c r="L904" s="6">
        <v>0</v>
      </c>
      <c r="M904" s="6">
        <v>0</v>
      </c>
      <c r="N904" s="6">
        <v>0</v>
      </c>
      <c r="O904" s="6">
        <v>0</v>
      </c>
      <c r="P904" s="6">
        <v>285</v>
      </c>
      <c r="Q904" s="4" t="s">
        <v>26</v>
      </c>
      <c r="R904" s="4">
        <v>0</v>
      </c>
      <c r="S904" s="4" t="s">
        <v>357</v>
      </c>
      <c r="U904" s="4">
        <v>26</v>
      </c>
      <c r="V904" s="4">
        <v>0</v>
      </c>
      <c r="W904" s="4">
        <v>0</v>
      </c>
    </row>
    <row r="905" spans="1:23" ht="11.25" customHeight="1" x14ac:dyDescent="0.25">
      <c r="A905" s="4" t="s">
        <v>28</v>
      </c>
      <c r="B905" s="4" t="s">
        <v>33</v>
      </c>
      <c r="C905" s="4" t="s">
        <v>34</v>
      </c>
      <c r="D905" s="4" t="s">
        <v>48</v>
      </c>
      <c r="E905" s="4" t="s">
        <v>25</v>
      </c>
      <c r="F905" s="4" t="s">
        <v>25</v>
      </c>
      <c r="G905" s="4" t="s">
        <v>25</v>
      </c>
      <c r="H905" s="4" t="s">
        <v>25</v>
      </c>
      <c r="I905" s="5">
        <v>44044</v>
      </c>
      <c r="J905" s="6">
        <v>9953</v>
      </c>
      <c r="K905" s="6">
        <v>9953</v>
      </c>
      <c r="L905" s="6">
        <v>0</v>
      </c>
      <c r="M905" s="6">
        <v>0</v>
      </c>
      <c r="N905" s="6">
        <v>0</v>
      </c>
      <c r="O905" s="6">
        <v>0</v>
      </c>
      <c r="P905" s="6">
        <v>14</v>
      </c>
      <c r="Q905" s="4" t="s">
        <v>26</v>
      </c>
      <c r="R905" s="4">
        <v>0</v>
      </c>
      <c r="S905" s="4" t="s">
        <v>357</v>
      </c>
      <c r="U905" s="4">
        <v>26</v>
      </c>
      <c r="V905" s="4">
        <v>0</v>
      </c>
      <c r="W905" s="4">
        <v>0</v>
      </c>
    </row>
    <row r="906" spans="1:23" ht="11.25" customHeight="1" x14ac:dyDescent="0.25">
      <c r="A906" s="4" t="s">
        <v>59</v>
      </c>
      <c r="B906" s="4" t="s">
        <v>33</v>
      </c>
      <c r="C906" s="4" t="s">
        <v>34</v>
      </c>
      <c r="D906" s="4" t="s">
        <v>48</v>
      </c>
      <c r="E906" s="4" t="s">
        <v>25</v>
      </c>
      <c r="F906" s="4" t="s">
        <v>25</v>
      </c>
      <c r="G906" s="4" t="s">
        <v>25</v>
      </c>
      <c r="H906" s="4" t="s">
        <v>25</v>
      </c>
      <c r="I906" s="5">
        <v>44075</v>
      </c>
      <c r="J906" s="6">
        <v>47476</v>
      </c>
      <c r="K906" s="6">
        <v>47476</v>
      </c>
      <c r="L906" s="6">
        <v>0</v>
      </c>
      <c r="M906" s="6">
        <v>0</v>
      </c>
      <c r="N906" s="6">
        <v>0</v>
      </c>
      <c r="O906" s="6">
        <v>0</v>
      </c>
      <c r="P906" s="6">
        <v>285</v>
      </c>
      <c r="Q906" s="4" t="s">
        <v>26</v>
      </c>
      <c r="R906" s="4">
        <v>0</v>
      </c>
      <c r="S906" s="4" t="s">
        <v>358</v>
      </c>
      <c r="U906" s="4">
        <v>26</v>
      </c>
      <c r="V906" s="4">
        <v>0</v>
      </c>
      <c r="W906" s="4">
        <v>0</v>
      </c>
    </row>
    <row r="907" spans="1:23" ht="11.25" customHeight="1" x14ac:dyDescent="0.25">
      <c r="A907" s="4" t="s">
        <v>59</v>
      </c>
      <c r="B907" s="4" t="s">
        <v>33</v>
      </c>
      <c r="C907" s="4" t="s">
        <v>34</v>
      </c>
      <c r="D907" s="4" t="s">
        <v>48</v>
      </c>
      <c r="E907" s="4" t="s">
        <v>25</v>
      </c>
      <c r="F907" s="4" t="s">
        <v>25</v>
      </c>
      <c r="G907" s="4" t="s">
        <v>25</v>
      </c>
      <c r="H907" s="4" t="s">
        <v>25</v>
      </c>
      <c r="I907" s="5">
        <v>44075</v>
      </c>
      <c r="J907" s="6">
        <v>9953</v>
      </c>
      <c r="K907" s="6">
        <v>9953</v>
      </c>
      <c r="L907" s="6">
        <v>0</v>
      </c>
      <c r="M907" s="6">
        <v>0</v>
      </c>
      <c r="N907" s="6">
        <v>0</v>
      </c>
      <c r="O907" s="6">
        <v>0</v>
      </c>
      <c r="P907" s="6">
        <v>14</v>
      </c>
      <c r="Q907" s="4" t="s">
        <v>26</v>
      </c>
      <c r="R907" s="4">
        <v>0</v>
      </c>
      <c r="S907" s="4" t="s">
        <v>358</v>
      </c>
      <c r="U907" s="4">
        <v>26</v>
      </c>
      <c r="V907" s="4">
        <v>0</v>
      </c>
      <c r="W907" s="4">
        <v>0</v>
      </c>
    </row>
    <row r="908" spans="1:23" ht="11.25" customHeight="1" x14ac:dyDescent="0.25">
      <c r="A908" s="4" t="s">
        <v>21</v>
      </c>
      <c r="B908" s="4" t="s">
        <v>33</v>
      </c>
      <c r="C908" s="4" t="s">
        <v>34</v>
      </c>
      <c r="D908" s="4" t="s">
        <v>48</v>
      </c>
      <c r="E908" s="4" t="s">
        <v>25</v>
      </c>
      <c r="F908" s="4" t="s">
        <v>25</v>
      </c>
      <c r="G908" s="4" t="s">
        <v>25</v>
      </c>
      <c r="H908" s="4" t="s">
        <v>35</v>
      </c>
      <c r="I908" s="5">
        <v>43739</v>
      </c>
      <c r="J908" s="6">
        <v>0</v>
      </c>
      <c r="K908" s="6">
        <v>0</v>
      </c>
      <c r="L908" s="6">
        <v>1021.478</v>
      </c>
      <c r="M908" s="6">
        <v>1021.478</v>
      </c>
      <c r="N908" s="6">
        <v>1021.478</v>
      </c>
      <c r="O908" s="6">
        <v>1021.478</v>
      </c>
      <c r="P908" s="6">
        <v>0</v>
      </c>
      <c r="Q908" s="4" t="s">
        <v>26</v>
      </c>
      <c r="R908" s="4">
        <v>0</v>
      </c>
      <c r="S908" s="4" t="s">
        <v>359</v>
      </c>
      <c r="T908" s="4" t="s">
        <v>712</v>
      </c>
      <c r="U908" s="4">
        <v>0</v>
      </c>
      <c r="V908" s="4">
        <v>27</v>
      </c>
      <c r="W908" s="4">
        <v>81</v>
      </c>
    </row>
    <row r="909" spans="1:23" ht="11.25" customHeight="1" x14ac:dyDescent="0.25">
      <c r="A909" s="4" t="s">
        <v>28</v>
      </c>
      <c r="B909" s="4" t="s">
        <v>33</v>
      </c>
      <c r="C909" s="4" t="s">
        <v>34</v>
      </c>
      <c r="D909" s="4" t="s">
        <v>48</v>
      </c>
      <c r="E909" s="4" t="s">
        <v>25</v>
      </c>
      <c r="F909" s="4" t="s">
        <v>25</v>
      </c>
      <c r="G909" s="4" t="s">
        <v>25</v>
      </c>
      <c r="H909" s="4" t="s">
        <v>35</v>
      </c>
      <c r="I909" s="5">
        <v>43739</v>
      </c>
      <c r="J909" s="6">
        <v>0</v>
      </c>
      <c r="K909" s="6">
        <v>0</v>
      </c>
      <c r="L909" s="6">
        <v>0.54600000000000004</v>
      </c>
      <c r="M909" s="6">
        <v>0.54600000000000004</v>
      </c>
      <c r="N909" s="6">
        <v>0.54600000000000004</v>
      </c>
      <c r="O909" s="6">
        <v>0.54600000000000004</v>
      </c>
      <c r="P909" s="6">
        <v>0</v>
      </c>
      <c r="Q909" s="4" t="s">
        <v>26</v>
      </c>
      <c r="R909" s="4">
        <v>0</v>
      </c>
      <c r="S909" s="4" t="s">
        <v>359</v>
      </c>
      <c r="T909" s="4" t="s">
        <v>712</v>
      </c>
      <c r="U909" s="4">
        <v>0</v>
      </c>
      <c r="V909" s="4">
        <v>27</v>
      </c>
      <c r="W909" s="4">
        <v>81</v>
      </c>
    </row>
    <row r="910" spans="1:23" ht="11.25" customHeight="1" x14ac:dyDescent="0.25">
      <c r="A910" s="4" t="s">
        <v>21</v>
      </c>
      <c r="B910" s="4" t="s">
        <v>33</v>
      </c>
      <c r="C910" s="4" t="s">
        <v>34</v>
      </c>
      <c r="D910" s="4" t="s">
        <v>48</v>
      </c>
      <c r="E910" s="4" t="s">
        <v>25</v>
      </c>
      <c r="F910" s="4" t="s">
        <v>25</v>
      </c>
      <c r="G910" s="4" t="s">
        <v>25</v>
      </c>
      <c r="H910" s="4" t="s">
        <v>35</v>
      </c>
      <c r="I910" s="5">
        <v>43770</v>
      </c>
      <c r="J910" s="6">
        <v>0</v>
      </c>
      <c r="K910" s="6">
        <v>0</v>
      </c>
      <c r="L910" s="6">
        <v>1007.8150000000001</v>
      </c>
      <c r="M910" s="6">
        <v>1007.8150000000001</v>
      </c>
      <c r="N910" s="6">
        <v>1007.8150000000001</v>
      </c>
      <c r="O910" s="6">
        <v>1007.8150000000001</v>
      </c>
      <c r="P910" s="6">
        <v>0</v>
      </c>
      <c r="Q910" s="4" t="s">
        <v>26</v>
      </c>
      <c r="R910" s="4">
        <v>0</v>
      </c>
      <c r="S910" s="4" t="s">
        <v>360</v>
      </c>
      <c r="T910" s="4" t="s">
        <v>713</v>
      </c>
      <c r="U910" s="4">
        <v>0</v>
      </c>
      <c r="V910" s="4">
        <v>27</v>
      </c>
      <c r="W910" s="4">
        <v>81</v>
      </c>
    </row>
    <row r="911" spans="1:23" ht="11.25" customHeight="1" x14ac:dyDescent="0.25">
      <c r="A911" s="4" t="s">
        <v>28</v>
      </c>
      <c r="B911" s="4" t="s">
        <v>33</v>
      </c>
      <c r="C911" s="4" t="s">
        <v>34</v>
      </c>
      <c r="D911" s="4" t="s">
        <v>48</v>
      </c>
      <c r="E911" s="4" t="s">
        <v>25</v>
      </c>
      <c r="F911" s="4" t="s">
        <v>25</v>
      </c>
      <c r="G911" s="4" t="s">
        <v>25</v>
      </c>
      <c r="H911" s="4" t="s">
        <v>35</v>
      </c>
      <c r="I911" s="5">
        <v>43770</v>
      </c>
      <c r="J911" s="6">
        <v>0</v>
      </c>
      <c r="K911" s="6">
        <v>0</v>
      </c>
      <c r="L911" s="6">
        <v>168.60400000000001</v>
      </c>
      <c r="M911" s="6">
        <v>168.60400000000001</v>
      </c>
      <c r="N911" s="6">
        <v>168.60400000000001</v>
      </c>
      <c r="O911" s="6">
        <v>168.60400000000001</v>
      </c>
      <c r="P911" s="6">
        <v>0</v>
      </c>
      <c r="Q911" s="4" t="s">
        <v>26</v>
      </c>
      <c r="R911" s="4">
        <v>0</v>
      </c>
      <c r="S911" s="4" t="s">
        <v>360</v>
      </c>
      <c r="T911" s="4" t="s">
        <v>713</v>
      </c>
      <c r="U911" s="4">
        <v>0</v>
      </c>
      <c r="V911" s="4">
        <v>27</v>
      </c>
      <c r="W911" s="4">
        <v>81</v>
      </c>
    </row>
    <row r="912" spans="1:23" ht="11.25" customHeight="1" x14ac:dyDescent="0.25">
      <c r="A912" s="4" t="s">
        <v>21</v>
      </c>
      <c r="B912" s="4" t="s">
        <v>33</v>
      </c>
      <c r="C912" s="4" t="s">
        <v>34</v>
      </c>
      <c r="D912" s="4" t="s">
        <v>48</v>
      </c>
      <c r="E912" s="4" t="s">
        <v>25</v>
      </c>
      <c r="F912" s="4" t="s">
        <v>25</v>
      </c>
      <c r="G912" s="4" t="s">
        <v>25</v>
      </c>
      <c r="H912" s="4" t="s">
        <v>35</v>
      </c>
      <c r="I912" s="5">
        <v>43800</v>
      </c>
      <c r="J912" s="6">
        <v>0</v>
      </c>
      <c r="K912" s="6">
        <v>0</v>
      </c>
      <c r="L912" s="6">
        <v>884.58900000000006</v>
      </c>
      <c r="M912" s="6">
        <v>884.58900000000006</v>
      </c>
      <c r="N912" s="6">
        <v>884.58900000000006</v>
      </c>
      <c r="O912" s="6">
        <v>884.58900000000006</v>
      </c>
      <c r="P912" s="6">
        <v>0</v>
      </c>
      <c r="Q912" s="4" t="s">
        <v>26</v>
      </c>
      <c r="R912" s="4">
        <v>0</v>
      </c>
      <c r="S912" s="4" t="s">
        <v>361</v>
      </c>
      <c r="T912" s="4" t="s">
        <v>714</v>
      </c>
      <c r="U912" s="4">
        <v>0</v>
      </c>
      <c r="V912" s="4">
        <v>27</v>
      </c>
      <c r="W912" s="4">
        <v>81</v>
      </c>
    </row>
    <row r="913" spans="1:23" ht="11.25" customHeight="1" x14ac:dyDescent="0.25">
      <c r="A913" s="4" t="s">
        <v>28</v>
      </c>
      <c r="B913" s="4" t="s">
        <v>33</v>
      </c>
      <c r="C913" s="4" t="s">
        <v>34</v>
      </c>
      <c r="D913" s="4" t="s">
        <v>48</v>
      </c>
      <c r="E913" s="4" t="s">
        <v>25</v>
      </c>
      <c r="F913" s="4" t="s">
        <v>25</v>
      </c>
      <c r="G913" s="4" t="s">
        <v>25</v>
      </c>
      <c r="H913" s="4" t="s">
        <v>35</v>
      </c>
      <c r="I913" s="5">
        <v>43800</v>
      </c>
      <c r="J913" s="6">
        <v>0</v>
      </c>
      <c r="K913" s="6">
        <v>0</v>
      </c>
      <c r="L913" s="6">
        <v>153.52500000000001</v>
      </c>
      <c r="M913" s="6">
        <v>153.52500000000001</v>
      </c>
      <c r="N913" s="6">
        <v>153.52500000000001</v>
      </c>
      <c r="O913" s="6">
        <v>153.52500000000001</v>
      </c>
      <c r="P913" s="6">
        <v>0</v>
      </c>
      <c r="Q913" s="4" t="s">
        <v>26</v>
      </c>
      <c r="R913" s="4">
        <v>0</v>
      </c>
      <c r="S913" s="4" t="s">
        <v>361</v>
      </c>
      <c r="T913" s="4" t="s">
        <v>714</v>
      </c>
      <c r="U913" s="4">
        <v>0</v>
      </c>
      <c r="V913" s="4">
        <v>27</v>
      </c>
      <c r="W913" s="4">
        <v>81</v>
      </c>
    </row>
    <row r="914" spans="1:23" ht="11.25" customHeight="1" x14ac:dyDescent="0.25">
      <c r="A914" s="4" t="s">
        <v>21</v>
      </c>
      <c r="B914" s="4" t="s">
        <v>33</v>
      </c>
      <c r="C914" s="4" t="s">
        <v>34</v>
      </c>
      <c r="D914" s="4" t="s">
        <v>48</v>
      </c>
      <c r="E914" s="4" t="s">
        <v>25</v>
      </c>
      <c r="F914" s="4" t="s">
        <v>25</v>
      </c>
      <c r="G914" s="4" t="s">
        <v>25</v>
      </c>
      <c r="H914" s="4" t="s">
        <v>35</v>
      </c>
      <c r="I914" s="5">
        <v>43831</v>
      </c>
      <c r="J914" s="6">
        <v>0</v>
      </c>
      <c r="K914" s="6">
        <v>0</v>
      </c>
      <c r="L914" s="6">
        <v>802.74</v>
      </c>
      <c r="M914" s="6">
        <v>802.74</v>
      </c>
      <c r="N914" s="6">
        <v>802.74</v>
      </c>
      <c r="O914" s="6">
        <v>802.74</v>
      </c>
      <c r="P914" s="6">
        <v>0</v>
      </c>
      <c r="Q914" s="4" t="s">
        <v>26</v>
      </c>
      <c r="R914" s="4">
        <v>0</v>
      </c>
      <c r="S914" s="4" t="s">
        <v>362</v>
      </c>
      <c r="T914" s="4" t="s">
        <v>715</v>
      </c>
      <c r="U914" s="4">
        <v>0</v>
      </c>
      <c r="V914" s="4">
        <v>27</v>
      </c>
      <c r="W914" s="4">
        <v>81</v>
      </c>
    </row>
    <row r="915" spans="1:23" ht="11.25" customHeight="1" x14ac:dyDescent="0.25">
      <c r="A915" s="4" t="s">
        <v>28</v>
      </c>
      <c r="B915" s="4" t="s">
        <v>33</v>
      </c>
      <c r="C915" s="4" t="s">
        <v>34</v>
      </c>
      <c r="D915" s="4" t="s">
        <v>48</v>
      </c>
      <c r="E915" s="4" t="s">
        <v>25</v>
      </c>
      <c r="F915" s="4" t="s">
        <v>25</v>
      </c>
      <c r="G915" s="4" t="s">
        <v>25</v>
      </c>
      <c r="H915" s="4" t="s">
        <v>35</v>
      </c>
      <c r="I915" s="5">
        <v>43831</v>
      </c>
      <c r="J915" s="6">
        <v>0</v>
      </c>
      <c r="K915" s="6">
        <v>0</v>
      </c>
      <c r="L915" s="6">
        <v>143.529</v>
      </c>
      <c r="M915" s="6">
        <v>143.529</v>
      </c>
      <c r="N915" s="6">
        <v>143.529</v>
      </c>
      <c r="O915" s="6">
        <v>143.529</v>
      </c>
      <c r="P915" s="6">
        <v>0</v>
      </c>
      <c r="Q915" s="4" t="s">
        <v>26</v>
      </c>
      <c r="R915" s="4">
        <v>0</v>
      </c>
      <c r="S915" s="4" t="s">
        <v>362</v>
      </c>
      <c r="T915" s="4" t="s">
        <v>715</v>
      </c>
      <c r="U915" s="4">
        <v>0</v>
      </c>
      <c r="V915" s="4">
        <v>27</v>
      </c>
      <c r="W915" s="4">
        <v>81</v>
      </c>
    </row>
    <row r="916" spans="1:23" ht="11.25" customHeight="1" x14ac:dyDescent="0.25">
      <c r="A916" s="4" t="s">
        <v>21</v>
      </c>
      <c r="B916" s="4" t="s">
        <v>33</v>
      </c>
      <c r="C916" s="4" t="s">
        <v>34</v>
      </c>
      <c r="D916" s="4" t="s">
        <v>48</v>
      </c>
      <c r="E916" s="4" t="s">
        <v>25</v>
      </c>
      <c r="F916" s="4" t="s">
        <v>25</v>
      </c>
      <c r="G916" s="4" t="s">
        <v>25</v>
      </c>
      <c r="H916" s="4" t="s">
        <v>35</v>
      </c>
      <c r="I916" s="5">
        <v>43862</v>
      </c>
      <c r="J916" s="6">
        <v>0</v>
      </c>
      <c r="K916" s="6">
        <v>0</v>
      </c>
      <c r="L916" s="6">
        <v>884.14700000000005</v>
      </c>
      <c r="M916" s="6">
        <v>884.14700000000005</v>
      </c>
      <c r="N916" s="6">
        <v>884.14700000000005</v>
      </c>
      <c r="O916" s="6">
        <v>884.14700000000005</v>
      </c>
      <c r="P916" s="6">
        <v>0</v>
      </c>
      <c r="Q916" s="4" t="s">
        <v>26</v>
      </c>
      <c r="R916" s="4">
        <v>0</v>
      </c>
      <c r="S916" s="4" t="s">
        <v>363</v>
      </c>
      <c r="T916" s="4" t="s">
        <v>716</v>
      </c>
      <c r="U916" s="4">
        <v>0</v>
      </c>
      <c r="V916" s="4">
        <v>27</v>
      </c>
      <c r="W916" s="4">
        <v>81</v>
      </c>
    </row>
    <row r="917" spans="1:23" ht="11.25" customHeight="1" x14ac:dyDescent="0.25">
      <c r="A917" s="4" t="s">
        <v>28</v>
      </c>
      <c r="B917" s="4" t="s">
        <v>33</v>
      </c>
      <c r="C917" s="4" t="s">
        <v>34</v>
      </c>
      <c r="D917" s="4" t="s">
        <v>48</v>
      </c>
      <c r="E917" s="4" t="s">
        <v>25</v>
      </c>
      <c r="F917" s="4" t="s">
        <v>25</v>
      </c>
      <c r="G917" s="4" t="s">
        <v>25</v>
      </c>
      <c r="H917" s="4" t="s">
        <v>35</v>
      </c>
      <c r="I917" s="5">
        <v>43862</v>
      </c>
      <c r="J917" s="6">
        <v>0</v>
      </c>
      <c r="K917" s="6">
        <v>0</v>
      </c>
      <c r="L917" s="6">
        <v>153.876</v>
      </c>
      <c r="M917" s="6">
        <v>153.876</v>
      </c>
      <c r="N917" s="6">
        <v>153.876</v>
      </c>
      <c r="O917" s="6">
        <v>153.876</v>
      </c>
      <c r="P917" s="6">
        <v>0</v>
      </c>
      <c r="Q917" s="4" t="s">
        <v>26</v>
      </c>
      <c r="R917" s="4">
        <v>0</v>
      </c>
      <c r="S917" s="4" t="s">
        <v>363</v>
      </c>
      <c r="T917" s="4" t="s">
        <v>716</v>
      </c>
      <c r="U917" s="4">
        <v>0</v>
      </c>
      <c r="V917" s="4">
        <v>27</v>
      </c>
      <c r="W917" s="4">
        <v>81</v>
      </c>
    </row>
    <row r="918" spans="1:23" ht="11.25" customHeight="1" x14ac:dyDescent="0.25">
      <c r="A918" s="4" t="s">
        <v>21</v>
      </c>
      <c r="B918" s="4" t="s">
        <v>33</v>
      </c>
      <c r="C918" s="4" t="s">
        <v>34</v>
      </c>
      <c r="D918" s="4" t="s">
        <v>48</v>
      </c>
      <c r="E918" s="4" t="s">
        <v>25</v>
      </c>
      <c r="F918" s="4" t="s">
        <v>25</v>
      </c>
      <c r="G918" s="4" t="s">
        <v>25</v>
      </c>
      <c r="H918" s="4" t="s">
        <v>35</v>
      </c>
      <c r="I918" s="5">
        <v>43891</v>
      </c>
      <c r="J918" s="6">
        <v>0</v>
      </c>
      <c r="K918" s="6">
        <v>0</v>
      </c>
      <c r="L918" s="6">
        <v>807.78499999999997</v>
      </c>
      <c r="M918" s="6">
        <v>807.78499999999997</v>
      </c>
      <c r="N918" s="6">
        <v>807.78499999999997</v>
      </c>
      <c r="O918" s="6">
        <v>807.78499999999997</v>
      </c>
      <c r="P918" s="6">
        <v>0</v>
      </c>
      <c r="Q918" s="4" t="s">
        <v>26</v>
      </c>
      <c r="R918" s="4">
        <v>0</v>
      </c>
      <c r="S918" s="4" t="s">
        <v>364</v>
      </c>
      <c r="T918" s="4" t="s">
        <v>717</v>
      </c>
      <c r="U918" s="4">
        <v>0</v>
      </c>
      <c r="V918" s="4">
        <v>27</v>
      </c>
      <c r="W918" s="4">
        <v>81</v>
      </c>
    </row>
    <row r="919" spans="1:23" ht="11.25" customHeight="1" x14ac:dyDescent="0.25">
      <c r="A919" s="4" t="s">
        <v>28</v>
      </c>
      <c r="B919" s="4" t="s">
        <v>33</v>
      </c>
      <c r="C919" s="4" t="s">
        <v>34</v>
      </c>
      <c r="D919" s="4" t="s">
        <v>48</v>
      </c>
      <c r="E919" s="4" t="s">
        <v>25</v>
      </c>
      <c r="F919" s="4" t="s">
        <v>25</v>
      </c>
      <c r="G919" s="4" t="s">
        <v>25</v>
      </c>
      <c r="H919" s="4" t="s">
        <v>35</v>
      </c>
      <c r="I919" s="5">
        <v>43891</v>
      </c>
      <c r="J919" s="6">
        <v>0</v>
      </c>
      <c r="K919" s="6">
        <v>0</v>
      </c>
      <c r="L919" s="6">
        <v>131.114</v>
      </c>
      <c r="M919" s="6">
        <v>131.114</v>
      </c>
      <c r="N919" s="6">
        <v>131.114</v>
      </c>
      <c r="O919" s="6">
        <v>131.114</v>
      </c>
      <c r="P919" s="6">
        <v>0</v>
      </c>
      <c r="Q919" s="4" t="s">
        <v>26</v>
      </c>
      <c r="R919" s="4">
        <v>0</v>
      </c>
      <c r="S919" s="4" t="s">
        <v>364</v>
      </c>
      <c r="T919" s="4" t="s">
        <v>717</v>
      </c>
      <c r="U919" s="4">
        <v>0</v>
      </c>
      <c r="V919" s="4">
        <v>27</v>
      </c>
      <c r="W919" s="4">
        <v>81</v>
      </c>
    </row>
    <row r="920" spans="1:23" ht="11.25" customHeight="1" x14ac:dyDescent="0.25">
      <c r="A920" s="4" t="s">
        <v>21</v>
      </c>
      <c r="B920" s="4" t="s">
        <v>33</v>
      </c>
      <c r="C920" s="4" t="s">
        <v>34</v>
      </c>
      <c r="D920" s="4" t="s">
        <v>48</v>
      </c>
      <c r="E920" s="4" t="s">
        <v>25</v>
      </c>
      <c r="F920" s="4" t="s">
        <v>25</v>
      </c>
      <c r="G920" s="4" t="s">
        <v>25</v>
      </c>
      <c r="H920" s="4" t="s">
        <v>35</v>
      </c>
      <c r="I920" s="5">
        <v>43922</v>
      </c>
      <c r="J920" s="6">
        <v>0</v>
      </c>
      <c r="K920" s="6">
        <v>0</v>
      </c>
      <c r="L920" s="6">
        <v>805.57899999999995</v>
      </c>
      <c r="M920" s="6">
        <v>805.57899999999995</v>
      </c>
      <c r="N920" s="6">
        <v>805.57899999999995</v>
      </c>
      <c r="O920" s="6">
        <v>805.57899999999995</v>
      </c>
      <c r="P920" s="6">
        <v>0</v>
      </c>
      <c r="Q920" s="4" t="s">
        <v>26</v>
      </c>
      <c r="R920" s="4">
        <v>0</v>
      </c>
      <c r="S920" s="4" t="s">
        <v>365</v>
      </c>
      <c r="T920" s="4" t="s">
        <v>718</v>
      </c>
      <c r="U920" s="4">
        <v>0</v>
      </c>
      <c r="V920" s="4">
        <v>27</v>
      </c>
      <c r="W920" s="4">
        <v>81</v>
      </c>
    </row>
    <row r="921" spans="1:23" ht="11.25" customHeight="1" x14ac:dyDescent="0.25">
      <c r="A921" s="4" t="s">
        <v>27</v>
      </c>
      <c r="B921" s="4" t="s">
        <v>33</v>
      </c>
      <c r="C921" s="4" t="s">
        <v>34</v>
      </c>
      <c r="D921" s="4" t="s">
        <v>48</v>
      </c>
      <c r="E921" s="4" t="s">
        <v>25</v>
      </c>
      <c r="F921" s="4" t="s">
        <v>25</v>
      </c>
      <c r="G921" s="4" t="s">
        <v>25</v>
      </c>
      <c r="H921" s="4" t="s">
        <v>35</v>
      </c>
      <c r="I921" s="5">
        <v>43922</v>
      </c>
      <c r="J921" s="6">
        <v>0</v>
      </c>
      <c r="K921" s="6">
        <v>0</v>
      </c>
      <c r="L921" s="6">
        <v>6.923</v>
      </c>
      <c r="M921" s="6">
        <v>6.923</v>
      </c>
      <c r="N921" s="6">
        <v>6.923</v>
      </c>
      <c r="O921" s="6">
        <v>6.923</v>
      </c>
      <c r="P921" s="6">
        <v>0</v>
      </c>
      <c r="Q921" s="4" t="s">
        <v>26</v>
      </c>
      <c r="R921" s="4">
        <v>0</v>
      </c>
      <c r="S921" s="4" t="s">
        <v>365</v>
      </c>
      <c r="T921" s="4" t="s">
        <v>718</v>
      </c>
      <c r="U921" s="4">
        <v>0</v>
      </c>
      <c r="V921" s="4">
        <v>27</v>
      </c>
      <c r="W921" s="4">
        <v>81</v>
      </c>
    </row>
    <row r="922" spans="1:23" ht="11.25" customHeight="1" x14ac:dyDescent="0.25">
      <c r="A922" s="4" t="s">
        <v>28</v>
      </c>
      <c r="B922" s="4" t="s">
        <v>33</v>
      </c>
      <c r="C922" s="4" t="s">
        <v>34</v>
      </c>
      <c r="D922" s="4" t="s">
        <v>48</v>
      </c>
      <c r="E922" s="4" t="s">
        <v>25</v>
      </c>
      <c r="F922" s="4" t="s">
        <v>25</v>
      </c>
      <c r="G922" s="4" t="s">
        <v>25</v>
      </c>
      <c r="H922" s="4" t="s">
        <v>35</v>
      </c>
      <c r="I922" s="5">
        <v>43922</v>
      </c>
      <c r="J922" s="6">
        <v>0</v>
      </c>
      <c r="K922" s="6">
        <v>0</v>
      </c>
      <c r="L922" s="6">
        <v>138.124</v>
      </c>
      <c r="M922" s="6">
        <v>138.124</v>
      </c>
      <c r="N922" s="6">
        <v>138.124</v>
      </c>
      <c r="O922" s="6">
        <v>138.124</v>
      </c>
      <c r="P922" s="6">
        <v>0</v>
      </c>
      <c r="Q922" s="4" t="s">
        <v>26</v>
      </c>
      <c r="R922" s="4">
        <v>0</v>
      </c>
      <c r="S922" s="4" t="s">
        <v>365</v>
      </c>
      <c r="T922" s="4" t="s">
        <v>718</v>
      </c>
      <c r="U922" s="4">
        <v>0</v>
      </c>
      <c r="V922" s="4">
        <v>27</v>
      </c>
      <c r="W922" s="4">
        <v>81</v>
      </c>
    </row>
    <row r="923" spans="1:23" ht="11.25" customHeight="1" x14ac:dyDescent="0.25">
      <c r="A923" s="4" t="s">
        <v>21</v>
      </c>
      <c r="B923" s="4" t="s">
        <v>33</v>
      </c>
      <c r="C923" s="4" t="s">
        <v>34</v>
      </c>
      <c r="D923" s="4" t="s">
        <v>48</v>
      </c>
      <c r="E923" s="4" t="s">
        <v>25</v>
      </c>
      <c r="F923" s="4" t="s">
        <v>25</v>
      </c>
      <c r="G923" s="4" t="s">
        <v>25</v>
      </c>
      <c r="H923" s="4" t="s">
        <v>35</v>
      </c>
      <c r="I923" s="5">
        <v>43952</v>
      </c>
      <c r="J923" s="6">
        <v>0</v>
      </c>
      <c r="K923" s="6">
        <v>0</v>
      </c>
      <c r="L923" s="6">
        <v>638.06200000000001</v>
      </c>
      <c r="M923" s="6">
        <v>638.06200000000001</v>
      </c>
      <c r="N923" s="6">
        <v>638.06200000000001</v>
      </c>
      <c r="O923" s="6">
        <v>638.06200000000001</v>
      </c>
      <c r="P923" s="6">
        <v>0</v>
      </c>
      <c r="Q923" s="4" t="s">
        <v>26</v>
      </c>
      <c r="R923" s="4">
        <v>0</v>
      </c>
      <c r="S923" s="4" t="s">
        <v>366</v>
      </c>
      <c r="T923" s="4" t="s">
        <v>719</v>
      </c>
      <c r="U923" s="4">
        <v>0</v>
      </c>
      <c r="V923" s="4">
        <v>27</v>
      </c>
      <c r="W923" s="4">
        <v>81</v>
      </c>
    </row>
    <row r="924" spans="1:23" ht="11.25" customHeight="1" x14ac:dyDescent="0.25">
      <c r="A924" s="4" t="s">
        <v>28</v>
      </c>
      <c r="B924" s="4" t="s">
        <v>33</v>
      </c>
      <c r="C924" s="4" t="s">
        <v>34</v>
      </c>
      <c r="D924" s="4" t="s">
        <v>48</v>
      </c>
      <c r="E924" s="4" t="s">
        <v>25</v>
      </c>
      <c r="F924" s="4" t="s">
        <v>25</v>
      </c>
      <c r="G924" s="4" t="s">
        <v>25</v>
      </c>
      <c r="H924" s="4" t="s">
        <v>35</v>
      </c>
      <c r="I924" s="5">
        <v>43952</v>
      </c>
      <c r="J924" s="6">
        <v>0</v>
      </c>
      <c r="K924" s="6">
        <v>0</v>
      </c>
      <c r="L924" s="6">
        <v>110.539</v>
      </c>
      <c r="M924" s="6">
        <v>110.539</v>
      </c>
      <c r="N924" s="6">
        <v>110.539</v>
      </c>
      <c r="O924" s="6">
        <v>110.539</v>
      </c>
      <c r="P924" s="6">
        <v>0</v>
      </c>
      <c r="Q924" s="4" t="s">
        <v>26</v>
      </c>
      <c r="R924" s="4">
        <v>0</v>
      </c>
      <c r="S924" s="4" t="s">
        <v>366</v>
      </c>
      <c r="T924" s="4" t="s">
        <v>719</v>
      </c>
      <c r="U924" s="4">
        <v>0</v>
      </c>
      <c r="V924" s="4">
        <v>27</v>
      </c>
      <c r="W924" s="4">
        <v>81</v>
      </c>
    </row>
    <row r="925" spans="1:23" ht="11.25" customHeight="1" x14ac:dyDescent="0.25">
      <c r="A925" s="4" t="s">
        <v>21</v>
      </c>
      <c r="B925" s="4" t="s">
        <v>33</v>
      </c>
      <c r="C925" s="4" t="s">
        <v>34</v>
      </c>
      <c r="D925" s="4" t="s">
        <v>48</v>
      </c>
      <c r="E925" s="4" t="s">
        <v>25</v>
      </c>
      <c r="F925" s="4" t="s">
        <v>25</v>
      </c>
      <c r="G925" s="4" t="s">
        <v>25</v>
      </c>
      <c r="H925" s="4" t="s">
        <v>35</v>
      </c>
      <c r="I925" s="5">
        <v>43983</v>
      </c>
      <c r="J925" s="6">
        <v>0</v>
      </c>
      <c r="K925" s="6">
        <v>0</v>
      </c>
      <c r="L925" s="6">
        <v>638.78300000000002</v>
      </c>
      <c r="M925" s="6">
        <v>638.78300000000002</v>
      </c>
      <c r="N925" s="6">
        <v>638.78300000000002</v>
      </c>
      <c r="O925" s="6">
        <v>638.78300000000002</v>
      </c>
      <c r="P925" s="6">
        <v>0</v>
      </c>
      <c r="Q925" s="4" t="s">
        <v>26</v>
      </c>
      <c r="R925" s="4">
        <v>0</v>
      </c>
      <c r="S925" s="4" t="s">
        <v>367</v>
      </c>
      <c r="T925" s="4" t="s">
        <v>720</v>
      </c>
      <c r="U925" s="4">
        <v>0</v>
      </c>
      <c r="V925" s="4">
        <v>27</v>
      </c>
      <c r="W925" s="4">
        <v>81</v>
      </c>
    </row>
    <row r="926" spans="1:23" ht="11.25" customHeight="1" x14ac:dyDescent="0.25">
      <c r="A926" s="4" t="s">
        <v>27</v>
      </c>
      <c r="B926" s="4" t="s">
        <v>33</v>
      </c>
      <c r="C926" s="4" t="s">
        <v>34</v>
      </c>
      <c r="D926" s="4" t="s">
        <v>48</v>
      </c>
      <c r="E926" s="4" t="s">
        <v>25</v>
      </c>
      <c r="F926" s="4" t="s">
        <v>25</v>
      </c>
      <c r="G926" s="4" t="s">
        <v>25</v>
      </c>
      <c r="H926" s="4" t="s">
        <v>35</v>
      </c>
      <c r="I926" s="5">
        <v>43983</v>
      </c>
      <c r="J926" s="6">
        <v>0</v>
      </c>
      <c r="K926" s="6">
        <v>0</v>
      </c>
      <c r="L926" s="6">
        <v>44.107999999999997</v>
      </c>
      <c r="M926" s="6">
        <v>44.107999999999997</v>
      </c>
      <c r="N926" s="6">
        <v>44.107999999999997</v>
      </c>
      <c r="O926" s="6">
        <v>44.107999999999997</v>
      </c>
      <c r="P926" s="6">
        <v>0</v>
      </c>
      <c r="Q926" s="4" t="s">
        <v>26</v>
      </c>
      <c r="R926" s="4">
        <v>0</v>
      </c>
      <c r="S926" s="4" t="s">
        <v>367</v>
      </c>
      <c r="T926" s="4" t="s">
        <v>720</v>
      </c>
      <c r="U926" s="4">
        <v>0</v>
      </c>
      <c r="V926" s="4">
        <v>27</v>
      </c>
      <c r="W926" s="4">
        <v>81</v>
      </c>
    </row>
    <row r="927" spans="1:23" ht="11.25" customHeight="1" x14ac:dyDescent="0.25">
      <c r="A927" s="4" t="s">
        <v>28</v>
      </c>
      <c r="B927" s="4" t="s">
        <v>33</v>
      </c>
      <c r="C927" s="4" t="s">
        <v>34</v>
      </c>
      <c r="D927" s="4" t="s">
        <v>48</v>
      </c>
      <c r="E927" s="4" t="s">
        <v>25</v>
      </c>
      <c r="F927" s="4" t="s">
        <v>25</v>
      </c>
      <c r="G927" s="4" t="s">
        <v>25</v>
      </c>
      <c r="H927" s="4" t="s">
        <v>35</v>
      </c>
      <c r="I927" s="5">
        <v>43983</v>
      </c>
      <c r="J927" s="6">
        <v>0</v>
      </c>
      <c r="K927" s="6">
        <v>0</v>
      </c>
      <c r="L927" s="6">
        <v>158.06100000000001</v>
      </c>
      <c r="M927" s="6">
        <v>158.06100000000001</v>
      </c>
      <c r="N927" s="6">
        <v>158.06100000000001</v>
      </c>
      <c r="O927" s="6">
        <v>158.06100000000001</v>
      </c>
      <c r="P927" s="6">
        <v>0</v>
      </c>
      <c r="Q927" s="4" t="s">
        <v>26</v>
      </c>
      <c r="R927" s="4">
        <v>0</v>
      </c>
      <c r="S927" s="4" t="s">
        <v>367</v>
      </c>
      <c r="T927" s="4" t="s">
        <v>720</v>
      </c>
      <c r="U927" s="4">
        <v>0</v>
      </c>
      <c r="V927" s="4">
        <v>27</v>
      </c>
      <c r="W927" s="4">
        <v>81</v>
      </c>
    </row>
    <row r="928" spans="1:23" ht="11.25" customHeight="1" x14ac:dyDescent="0.25">
      <c r="A928" s="4" t="s">
        <v>21</v>
      </c>
      <c r="B928" s="4" t="s">
        <v>33</v>
      </c>
      <c r="C928" s="4" t="s">
        <v>34</v>
      </c>
      <c r="D928" s="4" t="s">
        <v>48</v>
      </c>
      <c r="E928" s="4" t="s">
        <v>25</v>
      </c>
      <c r="F928" s="4" t="s">
        <v>25</v>
      </c>
      <c r="G928" s="4" t="s">
        <v>25</v>
      </c>
      <c r="H928" s="4" t="s">
        <v>35</v>
      </c>
      <c r="I928" s="5">
        <v>44013</v>
      </c>
      <c r="J928" s="6">
        <v>0</v>
      </c>
      <c r="K928" s="6">
        <v>0</v>
      </c>
      <c r="L928" s="6">
        <v>630.29300000000001</v>
      </c>
      <c r="M928" s="6">
        <v>630.29300000000001</v>
      </c>
      <c r="N928" s="6">
        <v>630.29300000000001</v>
      </c>
      <c r="O928" s="6">
        <v>630.29300000000001</v>
      </c>
      <c r="P928" s="6">
        <v>0</v>
      </c>
      <c r="Q928" s="4" t="s">
        <v>26</v>
      </c>
      <c r="R928" s="4">
        <v>0</v>
      </c>
      <c r="S928" s="4" t="s">
        <v>368</v>
      </c>
      <c r="T928" s="4" t="s">
        <v>721</v>
      </c>
      <c r="U928" s="4">
        <v>0</v>
      </c>
      <c r="V928" s="4">
        <v>27</v>
      </c>
      <c r="W928" s="4">
        <v>81</v>
      </c>
    </row>
    <row r="929" spans="1:23" ht="11.25" customHeight="1" x14ac:dyDescent="0.25">
      <c r="A929" s="4" t="s">
        <v>28</v>
      </c>
      <c r="B929" s="4" t="s">
        <v>33</v>
      </c>
      <c r="C929" s="4" t="s">
        <v>34</v>
      </c>
      <c r="D929" s="4" t="s">
        <v>48</v>
      </c>
      <c r="E929" s="4" t="s">
        <v>25</v>
      </c>
      <c r="F929" s="4" t="s">
        <v>25</v>
      </c>
      <c r="G929" s="4" t="s">
        <v>25</v>
      </c>
      <c r="H929" s="4" t="s">
        <v>35</v>
      </c>
      <c r="I929" s="5">
        <v>44013</v>
      </c>
      <c r="J929" s="6">
        <v>0</v>
      </c>
      <c r="K929" s="6">
        <v>0</v>
      </c>
      <c r="L929" s="6">
        <v>128.73699999999999</v>
      </c>
      <c r="M929" s="6">
        <v>128.73699999999999</v>
      </c>
      <c r="N929" s="6">
        <v>128.73699999999999</v>
      </c>
      <c r="O929" s="6">
        <v>128.73699999999999</v>
      </c>
      <c r="P929" s="6">
        <v>0</v>
      </c>
      <c r="Q929" s="4" t="s">
        <v>26</v>
      </c>
      <c r="R929" s="4">
        <v>0</v>
      </c>
      <c r="S929" s="4" t="s">
        <v>368</v>
      </c>
      <c r="T929" s="4" t="s">
        <v>721</v>
      </c>
      <c r="U929" s="4">
        <v>0</v>
      </c>
      <c r="V929" s="4">
        <v>27</v>
      </c>
      <c r="W929" s="4">
        <v>81</v>
      </c>
    </row>
    <row r="930" spans="1:23" ht="11.25" customHeight="1" x14ac:dyDescent="0.25">
      <c r="A930" s="4" t="s">
        <v>21</v>
      </c>
      <c r="B930" s="4" t="s">
        <v>33</v>
      </c>
      <c r="C930" s="4" t="s">
        <v>34</v>
      </c>
      <c r="D930" s="4" t="s">
        <v>48</v>
      </c>
      <c r="E930" s="4" t="s">
        <v>25</v>
      </c>
      <c r="F930" s="4" t="s">
        <v>25</v>
      </c>
      <c r="G930" s="4" t="s">
        <v>25</v>
      </c>
      <c r="H930" s="4" t="s">
        <v>35</v>
      </c>
      <c r="I930" s="5">
        <v>44044</v>
      </c>
      <c r="J930" s="6">
        <v>0</v>
      </c>
      <c r="K930" s="6">
        <v>0</v>
      </c>
      <c r="L930" s="6">
        <v>656.23599999999999</v>
      </c>
      <c r="M930" s="6">
        <v>656.23599999999999</v>
      </c>
      <c r="N930" s="6">
        <v>656.23599999999999</v>
      </c>
      <c r="O930" s="6">
        <v>656.23599999999999</v>
      </c>
      <c r="P930" s="6">
        <v>0</v>
      </c>
      <c r="Q930" s="4" t="s">
        <v>26</v>
      </c>
      <c r="R930" s="4">
        <v>0</v>
      </c>
      <c r="S930" s="4" t="s">
        <v>369</v>
      </c>
      <c r="T930" s="4" t="s">
        <v>722</v>
      </c>
      <c r="U930" s="4">
        <v>0</v>
      </c>
      <c r="V930" s="4">
        <v>27</v>
      </c>
      <c r="W930" s="4">
        <v>81</v>
      </c>
    </row>
    <row r="931" spans="1:23" ht="11.25" customHeight="1" x14ac:dyDescent="0.25">
      <c r="A931" s="4" t="s">
        <v>28</v>
      </c>
      <c r="B931" s="4" t="s">
        <v>33</v>
      </c>
      <c r="C931" s="4" t="s">
        <v>34</v>
      </c>
      <c r="D931" s="4" t="s">
        <v>48</v>
      </c>
      <c r="E931" s="4" t="s">
        <v>25</v>
      </c>
      <c r="F931" s="4" t="s">
        <v>25</v>
      </c>
      <c r="G931" s="4" t="s">
        <v>25</v>
      </c>
      <c r="H931" s="4" t="s">
        <v>35</v>
      </c>
      <c r="I931" s="5">
        <v>44044</v>
      </c>
      <c r="J931" s="6">
        <v>0</v>
      </c>
      <c r="K931" s="6">
        <v>0</v>
      </c>
      <c r="L931" s="6">
        <v>155.31100000000001</v>
      </c>
      <c r="M931" s="6">
        <v>155.31100000000001</v>
      </c>
      <c r="N931" s="6">
        <v>155.31100000000001</v>
      </c>
      <c r="O931" s="6">
        <v>155.31100000000001</v>
      </c>
      <c r="P931" s="6">
        <v>0</v>
      </c>
      <c r="Q931" s="4" t="s">
        <v>26</v>
      </c>
      <c r="R931" s="4">
        <v>0</v>
      </c>
      <c r="S931" s="4" t="s">
        <v>369</v>
      </c>
      <c r="T931" s="4" t="s">
        <v>722</v>
      </c>
      <c r="U931" s="4">
        <v>0</v>
      </c>
      <c r="V931" s="4">
        <v>27</v>
      </c>
      <c r="W931" s="4">
        <v>81</v>
      </c>
    </row>
    <row r="932" spans="1:23" ht="11.25" customHeight="1" x14ac:dyDescent="0.25">
      <c r="A932" s="4" t="s">
        <v>59</v>
      </c>
      <c r="B932" s="4" t="s">
        <v>33</v>
      </c>
      <c r="C932" s="4" t="s">
        <v>34</v>
      </c>
      <c r="D932" s="4" t="s">
        <v>48</v>
      </c>
      <c r="E932" s="4" t="s">
        <v>25</v>
      </c>
      <c r="F932" s="4" t="s">
        <v>25</v>
      </c>
      <c r="G932" s="4" t="s">
        <v>25</v>
      </c>
      <c r="H932" s="4" t="s">
        <v>35</v>
      </c>
      <c r="I932" s="5">
        <v>44075</v>
      </c>
      <c r="J932" s="6">
        <v>0</v>
      </c>
      <c r="K932" s="6">
        <v>0</v>
      </c>
      <c r="L932" s="6">
        <v>656.23599999999999</v>
      </c>
      <c r="M932" s="6">
        <v>656.23599999999999</v>
      </c>
      <c r="N932" s="6">
        <v>656.23599999999999</v>
      </c>
      <c r="O932" s="6">
        <v>656.23599999999999</v>
      </c>
      <c r="P932" s="6">
        <v>0</v>
      </c>
      <c r="Q932" s="4" t="s">
        <v>26</v>
      </c>
      <c r="R932" s="4">
        <v>0</v>
      </c>
      <c r="S932" s="4" t="s">
        <v>370</v>
      </c>
      <c r="T932" s="4" t="s">
        <v>723</v>
      </c>
      <c r="U932" s="4">
        <v>0</v>
      </c>
      <c r="V932" s="4">
        <v>27</v>
      </c>
      <c r="W932" s="4">
        <v>81</v>
      </c>
    </row>
    <row r="933" spans="1:23" ht="11.25" customHeight="1" x14ac:dyDescent="0.25">
      <c r="A933" s="4" t="s">
        <v>59</v>
      </c>
      <c r="B933" s="4" t="s">
        <v>33</v>
      </c>
      <c r="C933" s="4" t="s">
        <v>34</v>
      </c>
      <c r="D933" s="4" t="s">
        <v>48</v>
      </c>
      <c r="E933" s="4" t="s">
        <v>25</v>
      </c>
      <c r="F933" s="4" t="s">
        <v>25</v>
      </c>
      <c r="G933" s="4" t="s">
        <v>25</v>
      </c>
      <c r="H933" s="4" t="s">
        <v>35</v>
      </c>
      <c r="I933" s="5">
        <v>44075</v>
      </c>
      <c r="J933" s="6">
        <v>0</v>
      </c>
      <c r="K933" s="6">
        <v>0</v>
      </c>
      <c r="L933" s="6">
        <v>155.31100000000001</v>
      </c>
      <c r="M933" s="6">
        <v>155.31100000000001</v>
      </c>
      <c r="N933" s="6">
        <v>155.31100000000001</v>
      </c>
      <c r="O933" s="6">
        <v>155.31100000000001</v>
      </c>
      <c r="P933" s="6">
        <v>0</v>
      </c>
      <c r="Q933" s="4" t="s">
        <v>26</v>
      </c>
      <c r="R933" s="4">
        <v>0</v>
      </c>
      <c r="S933" s="4" t="s">
        <v>370</v>
      </c>
      <c r="T933" s="4" t="s">
        <v>723</v>
      </c>
      <c r="U933" s="4">
        <v>0</v>
      </c>
      <c r="V933" s="4">
        <v>27</v>
      </c>
      <c r="W933" s="4">
        <v>81</v>
      </c>
    </row>
    <row r="934" spans="1:23" ht="11.25" customHeight="1" x14ac:dyDescent="0.25">
      <c r="A934" s="4" t="s">
        <v>21</v>
      </c>
      <c r="B934" s="4" t="s">
        <v>33</v>
      </c>
      <c r="C934" s="4" t="s">
        <v>34</v>
      </c>
      <c r="D934" s="4" t="s">
        <v>24</v>
      </c>
      <c r="E934" s="4" t="s">
        <v>24</v>
      </c>
      <c r="F934" s="4" t="s">
        <v>25</v>
      </c>
      <c r="G934" s="4" t="s">
        <v>25</v>
      </c>
      <c r="H934" s="4" t="s">
        <v>36</v>
      </c>
      <c r="I934" s="5">
        <v>43739</v>
      </c>
      <c r="J934" s="6">
        <v>0</v>
      </c>
      <c r="K934" s="6">
        <v>0</v>
      </c>
      <c r="L934" s="6">
        <v>123.929</v>
      </c>
      <c r="M934" s="6">
        <v>123.929</v>
      </c>
      <c r="N934" s="6">
        <v>123.929</v>
      </c>
      <c r="O934" s="6">
        <v>123.929</v>
      </c>
      <c r="P934" s="6">
        <v>0</v>
      </c>
      <c r="Q934" s="4" t="s">
        <v>26</v>
      </c>
      <c r="R934" s="4">
        <v>0</v>
      </c>
      <c r="S934" s="4" t="s">
        <v>335</v>
      </c>
      <c r="T934" s="4" t="s">
        <v>700</v>
      </c>
      <c r="U934" s="4">
        <v>0</v>
      </c>
      <c r="V934" s="4">
        <v>28</v>
      </c>
      <c r="W934" s="4">
        <v>82</v>
      </c>
    </row>
    <row r="935" spans="1:23" ht="11.25" customHeight="1" x14ac:dyDescent="0.25">
      <c r="A935" s="4" t="s">
        <v>27</v>
      </c>
      <c r="B935" s="4" t="s">
        <v>33</v>
      </c>
      <c r="C935" s="4" t="s">
        <v>34</v>
      </c>
      <c r="D935" s="4" t="s">
        <v>24</v>
      </c>
      <c r="E935" s="4" t="s">
        <v>24</v>
      </c>
      <c r="F935" s="4" t="s">
        <v>25</v>
      </c>
      <c r="G935" s="4" t="s">
        <v>25</v>
      </c>
      <c r="H935" s="4" t="s">
        <v>36</v>
      </c>
      <c r="I935" s="5">
        <v>43739</v>
      </c>
      <c r="J935" s="6">
        <v>0</v>
      </c>
      <c r="K935" s="6">
        <v>0</v>
      </c>
      <c r="L935" s="6">
        <v>0.90300000000000002</v>
      </c>
      <c r="M935" s="6">
        <v>0.90300000000000002</v>
      </c>
      <c r="N935" s="6">
        <v>0.90300000000000002</v>
      </c>
      <c r="O935" s="6">
        <v>0.90300000000000002</v>
      </c>
      <c r="P935" s="6">
        <v>0</v>
      </c>
      <c r="Q935" s="4" t="s">
        <v>26</v>
      </c>
      <c r="R935" s="4">
        <v>0</v>
      </c>
      <c r="S935" s="4" t="s">
        <v>335</v>
      </c>
      <c r="T935" s="4" t="s">
        <v>700</v>
      </c>
      <c r="U935" s="4">
        <v>0</v>
      </c>
      <c r="V935" s="4">
        <v>28</v>
      </c>
      <c r="W935" s="4">
        <v>82</v>
      </c>
    </row>
    <row r="936" spans="1:23" ht="11.25" customHeight="1" x14ac:dyDescent="0.25">
      <c r="A936" s="4" t="s">
        <v>28</v>
      </c>
      <c r="B936" s="4" t="s">
        <v>33</v>
      </c>
      <c r="C936" s="4" t="s">
        <v>34</v>
      </c>
      <c r="D936" s="4" t="s">
        <v>24</v>
      </c>
      <c r="E936" s="4" t="s">
        <v>24</v>
      </c>
      <c r="F936" s="4" t="s">
        <v>25</v>
      </c>
      <c r="G936" s="4" t="s">
        <v>25</v>
      </c>
      <c r="H936" s="4" t="s">
        <v>36</v>
      </c>
      <c r="I936" s="5">
        <v>43739</v>
      </c>
      <c r="J936" s="6">
        <v>0</v>
      </c>
      <c r="K936" s="6">
        <v>0</v>
      </c>
      <c r="L936" s="6">
        <v>4.3630000000000004</v>
      </c>
      <c r="M936" s="6">
        <v>4.3630000000000004</v>
      </c>
      <c r="N936" s="6">
        <v>4.3630000000000004</v>
      </c>
      <c r="O936" s="6">
        <v>4.3630000000000004</v>
      </c>
      <c r="P936" s="6">
        <v>0</v>
      </c>
      <c r="Q936" s="4" t="s">
        <v>26</v>
      </c>
      <c r="R936" s="4">
        <v>0</v>
      </c>
      <c r="S936" s="4" t="s">
        <v>335</v>
      </c>
      <c r="T936" s="4" t="s">
        <v>700</v>
      </c>
      <c r="U936" s="4">
        <v>0</v>
      </c>
      <c r="V936" s="4">
        <v>28</v>
      </c>
      <c r="W936" s="4">
        <v>82</v>
      </c>
    </row>
    <row r="937" spans="1:23" ht="11.25" customHeight="1" x14ac:dyDescent="0.25">
      <c r="A937" s="4" t="s">
        <v>21</v>
      </c>
      <c r="B937" s="4" t="s">
        <v>33</v>
      </c>
      <c r="C937" s="4" t="s">
        <v>34</v>
      </c>
      <c r="D937" s="4" t="s">
        <v>24</v>
      </c>
      <c r="E937" s="4" t="s">
        <v>24</v>
      </c>
      <c r="F937" s="4" t="s">
        <v>25</v>
      </c>
      <c r="G937" s="4" t="s">
        <v>25</v>
      </c>
      <c r="H937" s="4" t="s">
        <v>36</v>
      </c>
      <c r="I937" s="5">
        <v>43770</v>
      </c>
      <c r="J937" s="6">
        <v>0</v>
      </c>
      <c r="K937" s="6">
        <v>0</v>
      </c>
      <c r="L937" s="6">
        <v>128.59299999999999</v>
      </c>
      <c r="M937" s="6">
        <v>128.59299999999999</v>
      </c>
      <c r="N937" s="6">
        <v>128.59299999999999</v>
      </c>
      <c r="O937" s="6">
        <v>128.59299999999999</v>
      </c>
      <c r="P937" s="6">
        <v>0</v>
      </c>
      <c r="Q937" s="4" t="s">
        <v>26</v>
      </c>
      <c r="R937" s="4">
        <v>0</v>
      </c>
      <c r="S937" s="4" t="s">
        <v>336</v>
      </c>
      <c r="T937" s="4" t="s">
        <v>701</v>
      </c>
      <c r="U937" s="4">
        <v>0</v>
      </c>
      <c r="V937" s="4">
        <v>28</v>
      </c>
      <c r="W937" s="4">
        <v>82</v>
      </c>
    </row>
    <row r="938" spans="1:23" ht="11.25" customHeight="1" x14ac:dyDescent="0.25">
      <c r="A938" s="4" t="s">
        <v>28</v>
      </c>
      <c r="B938" s="4" t="s">
        <v>33</v>
      </c>
      <c r="C938" s="4" t="s">
        <v>34</v>
      </c>
      <c r="D938" s="4" t="s">
        <v>24</v>
      </c>
      <c r="E938" s="4" t="s">
        <v>24</v>
      </c>
      <c r="F938" s="4" t="s">
        <v>25</v>
      </c>
      <c r="G938" s="4" t="s">
        <v>25</v>
      </c>
      <c r="H938" s="4" t="s">
        <v>36</v>
      </c>
      <c r="I938" s="5">
        <v>43770</v>
      </c>
      <c r="J938" s="6">
        <v>0</v>
      </c>
      <c r="K938" s="6">
        <v>0</v>
      </c>
      <c r="L938" s="6">
        <v>3.8370000000000002</v>
      </c>
      <c r="M938" s="6">
        <v>3.8370000000000002</v>
      </c>
      <c r="N938" s="6">
        <v>3.8370000000000002</v>
      </c>
      <c r="O938" s="6">
        <v>3.8370000000000002</v>
      </c>
      <c r="P938" s="6">
        <v>0</v>
      </c>
      <c r="Q938" s="4" t="s">
        <v>26</v>
      </c>
      <c r="R938" s="4">
        <v>0</v>
      </c>
      <c r="S938" s="4" t="s">
        <v>336</v>
      </c>
      <c r="T938" s="4" t="s">
        <v>701</v>
      </c>
      <c r="U938" s="4">
        <v>0</v>
      </c>
      <c r="V938" s="4">
        <v>28</v>
      </c>
      <c r="W938" s="4">
        <v>82</v>
      </c>
    </row>
    <row r="939" spans="1:23" ht="11.25" customHeight="1" x14ac:dyDescent="0.25">
      <c r="A939" s="4" t="s">
        <v>21</v>
      </c>
      <c r="B939" s="4" t="s">
        <v>33</v>
      </c>
      <c r="C939" s="4" t="s">
        <v>34</v>
      </c>
      <c r="D939" s="4" t="s">
        <v>24</v>
      </c>
      <c r="E939" s="4" t="s">
        <v>24</v>
      </c>
      <c r="F939" s="4" t="s">
        <v>25</v>
      </c>
      <c r="G939" s="4" t="s">
        <v>25</v>
      </c>
      <c r="H939" s="4" t="s">
        <v>36</v>
      </c>
      <c r="I939" s="5">
        <v>43800</v>
      </c>
      <c r="J939" s="6">
        <v>0</v>
      </c>
      <c r="K939" s="6">
        <v>0</v>
      </c>
      <c r="L939" s="6">
        <v>115.98</v>
      </c>
      <c r="M939" s="6">
        <v>115.98</v>
      </c>
      <c r="N939" s="6">
        <v>115.98</v>
      </c>
      <c r="O939" s="6">
        <v>115.98</v>
      </c>
      <c r="P939" s="6">
        <v>0</v>
      </c>
      <c r="Q939" s="4" t="s">
        <v>26</v>
      </c>
      <c r="R939" s="4">
        <v>0</v>
      </c>
      <c r="S939" s="4" t="s">
        <v>337</v>
      </c>
      <c r="T939" s="4" t="s">
        <v>702</v>
      </c>
      <c r="U939" s="4">
        <v>0</v>
      </c>
      <c r="V939" s="4">
        <v>28</v>
      </c>
      <c r="W939" s="4">
        <v>82</v>
      </c>
    </row>
    <row r="940" spans="1:23" ht="11.25" customHeight="1" x14ac:dyDescent="0.25">
      <c r="A940" s="4" t="s">
        <v>27</v>
      </c>
      <c r="B940" s="4" t="s">
        <v>33</v>
      </c>
      <c r="C940" s="4" t="s">
        <v>34</v>
      </c>
      <c r="D940" s="4" t="s">
        <v>24</v>
      </c>
      <c r="E940" s="4" t="s">
        <v>24</v>
      </c>
      <c r="F940" s="4" t="s">
        <v>25</v>
      </c>
      <c r="G940" s="4" t="s">
        <v>25</v>
      </c>
      <c r="H940" s="4" t="s">
        <v>36</v>
      </c>
      <c r="I940" s="5">
        <v>43800</v>
      </c>
      <c r="J940" s="6">
        <v>0</v>
      </c>
      <c r="K940" s="6">
        <v>0</v>
      </c>
      <c r="L940" s="6">
        <v>1.2749999999999999</v>
      </c>
      <c r="M940" s="6">
        <v>1.2749999999999999</v>
      </c>
      <c r="N940" s="6">
        <v>1.2749999999999999</v>
      </c>
      <c r="O940" s="6">
        <v>1.2749999999999999</v>
      </c>
      <c r="P940" s="6">
        <v>0</v>
      </c>
      <c r="Q940" s="4" t="s">
        <v>26</v>
      </c>
      <c r="R940" s="4">
        <v>0</v>
      </c>
      <c r="S940" s="4" t="s">
        <v>337</v>
      </c>
      <c r="T940" s="4" t="s">
        <v>702</v>
      </c>
      <c r="U940" s="4">
        <v>0</v>
      </c>
      <c r="V940" s="4">
        <v>28</v>
      </c>
      <c r="W940" s="4">
        <v>82</v>
      </c>
    </row>
    <row r="941" spans="1:23" ht="11.25" customHeight="1" x14ac:dyDescent="0.25">
      <c r="A941" s="4" t="s">
        <v>28</v>
      </c>
      <c r="B941" s="4" t="s">
        <v>33</v>
      </c>
      <c r="C941" s="4" t="s">
        <v>34</v>
      </c>
      <c r="D941" s="4" t="s">
        <v>24</v>
      </c>
      <c r="E941" s="4" t="s">
        <v>24</v>
      </c>
      <c r="F941" s="4" t="s">
        <v>25</v>
      </c>
      <c r="G941" s="4" t="s">
        <v>25</v>
      </c>
      <c r="H941" s="4" t="s">
        <v>36</v>
      </c>
      <c r="I941" s="5">
        <v>43800</v>
      </c>
      <c r="J941" s="6">
        <v>0</v>
      </c>
      <c r="K941" s="6">
        <v>0</v>
      </c>
      <c r="L941" s="6">
        <v>2.4889999999999999</v>
      </c>
      <c r="M941" s="6">
        <v>2.4889999999999999</v>
      </c>
      <c r="N941" s="6">
        <v>2.4889999999999999</v>
      </c>
      <c r="O941" s="6">
        <v>2.4889999999999999</v>
      </c>
      <c r="P941" s="6">
        <v>0</v>
      </c>
      <c r="Q941" s="4" t="s">
        <v>26</v>
      </c>
      <c r="R941" s="4">
        <v>0</v>
      </c>
      <c r="S941" s="4" t="s">
        <v>337</v>
      </c>
      <c r="T941" s="4" t="s">
        <v>702</v>
      </c>
      <c r="U941" s="4">
        <v>0</v>
      </c>
      <c r="V941" s="4">
        <v>28</v>
      </c>
      <c r="W941" s="4">
        <v>82</v>
      </c>
    </row>
    <row r="942" spans="1:23" ht="11.25" customHeight="1" x14ac:dyDescent="0.25">
      <c r="A942" s="4" t="s">
        <v>21</v>
      </c>
      <c r="B942" s="4" t="s">
        <v>33</v>
      </c>
      <c r="C942" s="4" t="s">
        <v>34</v>
      </c>
      <c r="D942" s="4" t="s">
        <v>24</v>
      </c>
      <c r="E942" s="4" t="s">
        <v>24</v>
      </c>
      <c r="F942" s="4" t="s">
        <v>25</v>
      </c>
      <c r="G942" s="4" t="s">
        <v>25</v>
      </c>
      <c r="H942" s="4" t="s">
        <v>36</v>
      </c>
      <c r="I942" s="5">
        <v>43831</v>
      </c>
      <c r="J942" s="6">
        <v>0</v>
      </c>
      <c r="K942" s="6">
        <v>0</v>
      </c>
      <c r="L942" s="6">
        <v>107.26600000000001</v>
      </c>
      <c r="M942" s="6">
        <v>107.26600000000001</v>
      </c>
      <c r="N942" s="6">
        <v>107.26600000000001</v>
      </c>
      <c r="O942" s="6">
        <v>107.26600000000001</v>
      </c>
      <c r="P942" s="6">
        <v>0</v>
      </c>
      <c r="Q942" s="4" t="s">
        <v>26</v>
      </c>
      <c r="R942" s="4">
        <v>0</v>
      </c>
      <c r="S942" s="4" t="s">
        <v>338</v>
      </c>
      <c r="T942" s="4" t="s">
        <v>703</v>
      </c>
      <c r="U942" s="4">
        <v>0</v>
      </c>
      <c r="V942" s="4">
        <v>28</v>
      </c>
      <c r="W942" s="4">
        <v>82</v>
      </c>
    </row>
    <row r="943" spans="1:23" ht="11.25" customHeight="1" x14ac:dyDescent="0.25">
      <c r="A943" s="4" t="s">
        <v>27</v>
      </c>
      <c r="B943" s="4" t="s">
        <v>33</v>
      </c>
      <c r="C943" s="4" t="s">
        <v>34</v>
      </c>
      <c r="D943" s="4" t="s">
        <v>24</v>
      </c>
      <c r="E943" s="4" t="s">
        <v>24</v>
      </c>
      <c r="F943" s="4" t="s">
        <v>25</v>
      </c>
      <c r="G943" s="4" t="s">
        <v>25</v>
      </c>
      <c r="H943" s="4" t="s">
        <v>36</v>
      </c>
      <c r="I943" s="5">
        <v>43831</v>
      </c>
      <c r="J943" s="6">
        <v>0</v>
      </c>
      <c r="K943" s="6">
        <v>0</v>
      </c>
      <c r="L943" s="6">
        <v>2.2999999999999998</v>
      </c>
      <c r="M943" s="6">
        <v>2.2999999999999998</v>
      </c>
      <c r="N943" s="6">
        <v>2.2999999999999998</v>
      </c>
      <c r="O943" s="6">
        <v>2.2999999999999998</v>
      </c>
      <c r="P943" s="6">
        <v>0</v>
      </c>
      <c r="Q943" s="4" t="s">
        <v>26</v>
      </c>
      <c r="R943" s="4">
        <v>0</v>
      </c>
      <c r="S943" s="4" t="s">
        <v>338</v>
      </c>
      <c r="T943" s="4" t="s">
        <v>703</v>
      </c>
      <c r="U943" s="4">
        <v>0</v>
      </c>
      <c r="V943" s="4">
        <v>28</v>
      </c>
      <c r="W943" s="4">
        <v>82</v>
      </c>
    </row>
    <row r="944" spans="1:23" ht="11.25" customHeight="1" x14ac:dyDescent="0.25">
      <c r="A944" s="4" t="s">
        <v>28</v>
      </c>
      <c r="B944" s="4" t="s">
        <v>33</v>
      </c>
      <c r="C944" s="4" t="s">
        <v>34</v>
      </c>
      <c r="D944" s="4" t="s">
        <v>24</v>
      </c>
      <c r="E944" s="4" t="s">
        <v>24</v>
      </c>
      <c r="F944" s="4" t="s">
        <v>25</v>
      </c>
      <c r="G944" s="4" t="s">
        <v>25</v>
      </c>
      <c r="H944" s="4" t="s">
        <v>36</v>
      </c>
      <c r="I944" s="5">
        <v>43831</v>
      </c>
      <c r="J944" s="6">
        <v>0</v>
      </c>
      <c r="K944" s="6">
        <v>0</v>
      </c>
      <c r="L944" s="6">
        <v>1.524</v>
      </c>
      <c r="M944" s="6">
        <v>1.524</v>
      </c>
      <c r="N944" s="6">
        <v>1.524</v>
      </c>
      <c r="O944" s="6">
        <v>1.524</v>
      </c>
      <c r="P944" s="6">
        <v>0</v>
      </c>
      <c r="Q944" s="4" t="s">
        <v>26</v>
      </c>
      <c r="R944" s="4">
        <v>0</v>
      </c>
      <c r="S944" s="4" t="s">
        <v>338</v>
      </c>
      <c r="T944" s="4" t="s">
        <v>703</v>
      </c>
      <c r="U944" s="4">
        <v>0</v>
      </c>
      <c r="V944" s="4">
        <v>28</v>
      </c>
      <c r="W944" s="4">
        <v>82</v>
      </c>
    </row>
    <row r="945" spans="1:23" ht="11.25" customHeight="1" x14ac:dyDescent="0.25">
      <c r="A945" s="4" t="s">
        <v>21</v>
      </c>
      <c r="B945" s="4" t="s">
        <v>33</v>
      </c>
      <c r="C945" s="4" t="s">
        <v>34</v>
      </c>
      <c r="D945" s="4" t="s">
        <v>24</v>
      </c>
      <c r="E945" s="4" t="s">
        <v>24</v>
      </c>
      <c r="F945" s="4" t="s">
        <v>25</v>
      </c>
      <c r="G945" s="4" t="s">
        <v>25</v>
      </c>
      <c r="H945" s="4" t="s">
        <v>36</v>
      </c>
      <c r="I945" s="5">
        <v>43862</v>
      </c>
      <c r="J945" s="6">
        <v>0</v>
      </c>
      <c r="K945" s="6">
        <v>0</v>
      </c>
      <c r="L945" s="6">
        <v>115.77800000000001</v>
      </c>
      <c r="M945" s="6">
        <v>115.77800000000001</v>
      </c>
      <c r="N945" s="6">
        <v>115.77800000000001</v>
      </c>
      <c r="O945" s="6">
        <v>115.77800000000001</v>
      </c>
      <c r="P945" s="6">
        <v>0</v>
      </c>
      <c r="Q945" s="4" t="s">
        <v>26</v>
      </c>
      <c r="R945" s="4">
        <v>0</v>
      </c>
      <c r="S945" s="4" t="s">
        <v>339</v>
      </c>
      <c r="T945" s="4" t="s">
        <v>704</v>
      </c>
      <c r="U945" s="4">
        <v>0</v>
      </c>
      <c r="V945" s="4">
        <v>28</v>
      </c>
      <c r="W945" s="4">
        <v>82</v>
      </c>
    </row>
    <row r="946" spans="1:23" ht="11.25" customHeight="1" x14ac:dyDescent="0.25">
      <c r="A946" s="4" t="s">
        <v>27</v>
      </c>
      <c r="B946" s="4" t="s">
        <v>33</v>
      </c>
      <c r="C946" s="4" t="s">
        <v>34</v>
      </c>
      <c r="D946" s="4" t="s">
        <v>24</v>
      </c>
      <c r="E946" s="4" t="s">
        <v>24</v>
      </c>
      <c r="F946" s="4" t="s">
        <v>25</v>
      </c>
      <c r="G946" s="4" t="s">
        <v>25</v>
      </c>
      <c r="H946" s="4" t="s">
        <v>36</v>
      </c>
      <c r="I946" s="5">
        <v>43862</v>
      </c>
      <c r="J946" s="6">
        <v>0</v>
      </c>
      <c r="K946" s="6">
        <v>0</v>
      </c>
      <c r="L946" s="6">
        <v>2.4089999999999998</v>
      </c>
      <c r="M946" s="6">
        <v>2.4089999999999998</v>
      </c>
      <c r="N946" s="6">
        <v>2.4089999999999998</v>
      </c>
      <c r="O946" s="6">
        <v>2.4089999999999998</v>
      </c>
      <c r="P946" s="6">
        <v>0</v>
      </c>
      <c r="Q946" s="4" t="s">
        <v>26</v>
      </c>
      <c r="R946" s="4">
        <v>0</v>
      </c>
      <c r="S946" s="4" t="s">
        <v>339</v>
      </c>
      <c r="T946" s="4" t="s">
        <v>704</v>
      </c>
      <c r="U946" s="4">
        <v>0</v>
      </c>
      <c r="V946" s="4">
        <v>28</v>
      </c>
      <c r="W946" s="4">
        <v>82</v>
      </c>
    </row>
    <row r="947" spans="1:23" ht="11.25" customHeight="1" x14ac:dyDescent="0.25">
      <c r="A947" s="4" t="s">
        <v>28</v>
      </c>
      <c r="B947" s="4" t="s">
        <v>33</v>
      </c>
      <c r="C947" s="4" t="s">
        <v>34</v>
      </c>
      <c r="D947" s="4" t="s">
        <v>24</v>
      </c>
      <c r="E947" s="4" t="s">
        <v>24</v>
      </c>
      <c r="F947" s="4" t="s">
        <v>25</v>
      </c>
      <c r="G947" s="4" t="s">
        <v>25</v>
      </c>
      <c r="H947" s="4" t="s">
        <v>36</v>
      </c>
      <c r="I947" s="5">
        <v>43862</v>
      </c>
      <c r="J947" s="6">
        <v>0</v>
      </c>
      <c r="K947" s="6">
        <v>0</v>
      </c>
      <c r="L947" s="6">
        <v>3.4009999999999998</v>
      </c>
      <c r="M947" s="6">
        <v>3.4009999999999998</v>
      </c>
      <c r="N947" s="6">
        <v>3.4009999999999998</v>
      </c>
      <c r="O947" s="6">
        <v>3.4009999999999998</v>
      </c>
      <c r="P947" s="6">
        <v>0</v>
      </c>
      <c r="Q947" s="4" t="s">
        <v>26</v>
      </c>
      <c r="R947" s="4">
        <v>0</v>
      </c>
      <c r="S947" s="4" t="s">
        <v>339</v>
      </c>
      <c r="T947" s="4" t="s">
        <v>704</v>
      </c>
      <c r="U947" s="4">
        <v>0</v>
      </c>
      <c r="V947" s="4">
        <v>28</v>
      </c>
      <c r="W947" s="4">
        <v>82</v>
      </c>
    </row>
    <row r="948" spans="1:23" ht="11.25" customHeight="1" x14ac:dyDescent="0.25">
      <c r="A948" s="4" t="s">
        <v>21</v>
      </c>
      <c r="B948" s="4" t="s">
        <v>33</v>
      </c>
      <c r="C948" s="4" t="s">
        <v>34</v>
      </c>
      <c r="D948" s="4" t="s">
        <v>24</v>
      </c>
      <c r="E948" s="4" t="s">
        <v>24</v>
      </c>
      <c r="F948" s="4" t="s">
        <v>25</v>
      </c>
      <c r="G948" s="4" t="s">
        <v>25</v>
      </c>
      <c r="H948" s="4" t="s">
        <v>36</v>
      </c>
      <c r="I948" s="5">
        <v>43891</v>
      </c>
      <c r="J948" s="6">
        <v>0</v>
      </c>
      <c r="K948" s="6">
        <v>0</v>
      </c>
      <c r="L948" s="6">
        <v>105.41800000000001</v>
      </c>
      <c r="M948" s="6">
        <v>105.41800000000001</v>
      </c>
      <c r="N948" s="6">
        <v>105.41800000000001</v>
      </c>
      <c r="O948" s="6">
        <v>105.41800000000001</v>
      </c>
      <c r="P948" s="6">
        <v>0</v>
      </c>
      <c r="Q948" s="4" t="s">
        <v>26</v>
      </c>
      <c r="R948" s="4">
        <v>0</v>
      </c>
      <c r="S948" s="4" t="s">
        <v>340</v>
      </c>
      <c r="T948" s="4" t="s">
        <v>705</v>
      </c>
      <c r="U948" s="4">
        <v>0</v>
      </c>
      <c r="V948" s="4">
        <v>28</v>
      </c>
      <c r="W948" s="4">
        <v>82</v>
      </c>
    </row>
    <row r="949" spans="1:23" ht="11.25" customHeight="1" x14ac:dyDescent="0.25">
      <c r="A949" s="4" t="s">
        <v>27</v>
      </c>
      <c r="B949" s="4" t="s">
        <v>33</v>
      </c>
      <c r="C949" s="4" t="s">
        <v>34</v>
      </c>
      <c r="D949" s="4" t="s">
        <v>24</v>
      </c>
      <c r="E949" s="4" t="s">
        <v>24</v>
      </c>
      <c r="F949" s="4" t="s">
        <v>25</v>
      </c>
      <c r="G949" s="4" t="s">
        <v>25</v>
      </c>
      <c r="H949" s="4" t="s">
        <v>36</v>
      </c>
      <c r="I949" s="5">
        <v>43891</v>
      </c>
      <c r="J949" s="6">
        <v>0</v>
      </c>
      <c r="K949" s="6">
        <v>0</v>
      </c>
      <c r="L949" s="6">
        <v>2.1560000000000001</v>
      </c>
      <c r="M949" s="6">
        <v>2.1560000000000001</v>
      </c>
      <c r="N949" s="6">
        <v>2.1560000000000001</v>
      </c>
      <c r="O949" s="6">
        <v>2.1560000000000001</v>
      </c>
      <c r="P949" s="6">
        <v>0</v>
      </c>
      <c r="Q949" s="4" t="s">
        <v>26</v>
      </c>
      <c r="R949" s="4">
        <v>0</v>
      </c>
      <c r="S949" s="4" t="s">
        <v>340</v>
      </c>
      <c r="T949" s="4" t="s">
        <v>705</v>
      </c>
      <c r="U949" s="4">
        <v>0</v>
      </c>
      <c r="V949" s="4">
        <v>28</v>
      </c>
      <c r="W949" s="4">
        <v>82</v>
      </c>
    </row>
    <row r="950" spans="1:23" ht="11.25" customHeight="1" x14ac:dyDescent="0.25">
      <c r="A950" s="4" t="s">
        <v>28</v>
      </c>
      <c r="B950" s="4" t="s">
        <v>33</v>
      </c>
      <c r="C950" s="4" t="s">
        <v>34</v>
      </c>
      <c r="D950" s="4" t="s">
        <v>24</v>
      </c>
      <c r="E950" s="4" t="s">
        <v>24</v>
      </c>
      <c r="F950" s="4" t="s">
        <v>25</v>
      </c>
      <c r="G950" s="4" t="s">
        <v>25</v>
      </c>
      <c r="H950" s="4" t="s">
        <v>36</v>
      </c>
      <c r="I950" s="5">
        <v>43891</v>
      </c>
      <c r="J950" s="6">
        <v>0</v>
      </c>
      <c r="K950" s="6">
        <v>0</v>
      </c>
      <c r="L950" s="6">
        <v>2.8</v>
      </c>
      <c r="M950" s="6">
        <v>2.8</v>
      </c>
      <c r="N950" s="6">
        <v>2.8</v>
      </c>
      <c r="O950" s="6">
        <v>2.8</v>
      </c>
      <c r="P950" s="6">
        <v>0</v>
      </c>
      <c r="Q950" s="4" t="s">
        <v>26</v>
      </c>
      <c r="R950" s="4">
        <v>0</v>
      </c>
      <c r="S950" s="4" t="s">
        <v>340</v>
      </c>
      <c r="T950" s="4" t="s">
        <v>705</v>
      </c>
      <c r="U950" s="4">
        <v>0</v>
      </c>
      <c r="V950" s="4">
        <v>28</v>
      </c>
      <c r="W950" s="4">
        <v>82</v>
      </c>
    </row>
    <row r="951" spans="1:23" ht="11.25" customHeight="1" x14ac:dyDescent="0.25">
      <c r="A951" s="4" t="s">
        <v>21</v>
      </c>
      <c r="B951" s="4" t="s">
        <v>33</v>
      </c>
      <c r="C951" s="4" t="s">
        <v>34</v>
      </c>
      <c r="D951" s="4" t="s">
        <v>24</v>
      </c>
      <c r="E951" s="4" t="s">
        <v>24</v>
      </c>
      <c r="F951" s="4" t="s">
        <v>25</v>
      </c>
      <c r="G951" s="4" t="s">
        <v>25</v>
      </c>
      <c r="H951" s="4" t="s">
        <v>36</v>
      </c>
      <c r="I951" s="5">
        <v>43922</v>
      </c>
      <c r="J951" s="6">
        <v>0</v>
      </c>
      <c r="K951" s="6">
        <v>0</v>
      </c>
      <c r="L951" s="6">
        <v>108.21299999999999</v>
      </c>
      <c r="M951" s="6">
        <v>108.21299999999999</v>
      </c>
      <c r="N951" s="6">
        <v>108.21299999999999</v>
      </c>
      <c r="O951" s="6">
        <v>108.21299999999999</v>
      </c>
      <c r="P951" s="6">
        <v>0</v>
      </c>
      <c r="Q951" s="4" t="s">
        <v>26</v>
      </c>
      <c r="R951" s="4">
        <v>0</v>
      </c>
      <c r="S951" s="4" t="s">
        <v>341</v>
      </c>
      <c r="T951" s="4" t="s">
        <v>706</v>
      </c>
      <c r="U951" s="4">
        <v>0</v>
      </c>
      <c r="V951" s="4">
        <v>28</v>
      </c>
      <c r="W951" s="4">
        <v>82</v>
      </c>
    </row>
    <row r="952" spans="1:23" ht="11.25" customHeight="1" x14ac:dyDescent="0.25">
      <c r="A952" s="4" t="s">
        <v>27</v>
      </c>
      <c r="B952" s="4" t="s">
        <v>33</v>
      </c>
      <c r="C952" s="4" t="s">
        <v>34</v>
      </c>
      <c r="D952" s="4" t="s">
        <v>24</v>
      </c>
      <c r="E952" s="4" t="s">
        <v>24</v>
      </c>
      <c r="F952" s="4" t="s">
        <v>25</v>
      </c>
      <c r="G952" s="4" t="s">
        <v>25</v>
      </c>
      <c r="H952" s="4" t="s">
        <v>36</v>
      </c>
      <c r="I952" s="5">
        <v>43922</v>
      </c>
      <c r="J952" s="6">
        <v>0</v>
      </c>
      <c r="K952" s="6">
        <v>0</v>
      </c>
      <c r="L952" s="6">
        <v>1.1319999999999999</v>
      </c>
      <c r="M952" s="6">
        <v>1.1319999999999999</v>
      </c>
      <c r="N952" s="6">
        <v>1.1319999999999999</v>
      </c>
      <c r="O952" s="6">
        <v>1.1319999999999999</v>
      </c>
      <c r="P952" s="6">
        <v>0</v>
      </c>
      <c r="Q952" s="4" t="s">
        <v>26</v>
      </c>
      <c r="R952" s="4">
        <v>0</v>
      </c>
      <c r="S952" s="4" t="s">
        <v>341</v>
      </c>
      <c r="T952" s="4" t="s">
        <v>706</v>
      </c>
      <c r="U952" s="4">
        <v>0</v>
      </c>
      <c r="V952" s="4">
        <v>28</v>
      </c>
      <c r="W952" s="4">
        <v>82</v>
      </c>
    </row>
    <row r="953" spans="1:23" ht="11.25" customHeight="1" x14ac:dyDescent="0.25">
      <c r="A953" s="4" t="s">
        <v>28</v>
      </c>
      <c r="B953" s="4" t="s">
        <v>33</v>
      </c>
      <c r="C953" s="4" t="s">
        <v>34</v>
      </c>
      <c r="D953" s="4" t="s">
        <v>24</v>
      </c>
      <c r="E953" s="4" t="s">
        <v>24</v>
      </c>
      <c r="F953" s="4" t="s">
        <v>25</v>
      </c>
      <c r="G953" s="4" t="s">
        <v>25</v>
      </c>
      <c r="H953" s="4" t="s">
        <v>36</v>
      </c>
      <c r="I953" s="5">
        <v>43922</v>
      </c>
      <c r="J953" s="6">
        <v>0</v>
      </c>
      <c r="K953" s="6">
        <v>0</v>
      </c>
      <c r="L953" s="6">
        <v>3.3959999999999999</v>
      </c>
      <c r="M953" s="6">
        <v>3.3959999999999999</v>
      </c>
      <c r="N953" s="6">
        <v>3.3959999999999999</v>
      </c>
      <c r="O953" s="6">
        <v>3.3959999999999999</v>
      </c>
      <c r="P953" s="6">
        <v>0</v>
      </c>
      <c r="Q953" s="4" t="s">
        <v>26</v>
      </c>
      <c r="R953" s="4">
        <v>0</v>
      </c>
      <c r="S953" s="4" t="s">
        <v>341</v>
      </c>
      <c r="T953" s="4" t="s">
        <v>706</v>
      </c>
      <c r="U953" s="4">
        <v>0</v>
      </c>
      <c r="V953" s="4">
        <v>28</v>
      </c>
      <c r="W953" s="4">
        <v>82</v>
      </c>
    </row>
    <row r="954" spans="1:23" ht="11.25" customHeight="1" x14ac:dyDescent="0.25">
      <c r="A954" s="4" t="s">
        <v>21</v>
      </c>
      <c r="B954" s="4" t="s">
        <v>33</v>
      </c>
      <c r="C954" s="4" t="s">
        <v>34</v>
      </c>
      <c r="D954" s="4" t="s">
        <v>24</v>
      </c>
      <c r="E954" s="4" t="s">
        <v>24</v>
      </c>
      <c r="F954" s="4" t="s">
        <v>25</v>
      </c>
      <c r="G954" s="4" t="s">
        <v>25</v>
      </c>
      <c r="H954" s="4" t="s">
        <v>36</v>
      </c>
      <c r="I954" s="5">
        <v>43952</v>
      </c>
      <c r="J954" s="6">
        <v>0</v>
      </c>
      <c r="K954" s="6">
        <v>0</v>
      </c>
      <c r="L954" s="6">
        <v>103.721</v>
      </c>
      <c r="M954" s="6">
        <v>103.721</v>
      </c>
      <c r="N954" s="6">
        <v>103.721</v>
      </c>
      <c r="O954" s="6">
        <v>103.721</v>
      </c>
      <c r="P954" s="6">
        <v>0</v>
      </c>
      <c r="Q954" s="4" t="s">
        <v>26</v>
      </c>
      <c r="R954" s="4">
        <v>0</v>
      </c>
      <c r="S954" s="4" t="s">
        <v>342</v>
      </c>
      <c r="T954" s="4" t="s">
        <v>707</v>
      </c>
      <c r="U954" s="4">
        <v>0</v>
      </c>
      <c r="V954" s="4">
        <v>28</v>
      </c>
      <c r="W954" s="4">
        <v>82</v>
      </c>
    </row>
    <row r="955" spans="1:23" ht="11.25" customHeight="1" x14ac:dyDescent="0.25">
      <c r="A955" s="4" t="s">
        <v>27</v>
      </c>
      <c r="B955" s="4" t="s">
        <v>33</v>
      </c>
      <c r="C955" s="4" t="s">
        <v>34</v>
      </c>
      <c r="D955" s="4" t="s">
        <v>24</v>
      </c>
      <c r="E955" s="4" t="s">
        <v>24</v>
      </c>
      <c r="F955" s="4" t="s">
        <v>25</v>
      </c>
      <c r="G955" s="4" t="s">
        <v>25</v>
      </c>
      <c r="H955" s="4" t="s">
        <v>36</v>
      </c>
      <c r="I955" s="5">
        <v>43952</v>
      </c>
      <c r="J955" s="6">
        <v>0</v>
      </c>
      <c r="K955" s="6">
        <v>0</v>
      </c>
      <c r="L955" s="6">
        <v>2.5590000000000002</v>
      </c>
      <c r="M955" s="6">
        <v>2.5590000000000002</v>
      </c>
      <c r="N955" s="6">
        <v>2.5590000000000002</v>
      </c>
      <c r="O955" s="6">
        <v>2.5590000000000002</v>
      </c>
      <c r="P955" s="6">
        <v>0</v>
      </c>
      <c r="Q955" s="4" t="s">
        <v>26</v>
      </c>
      <c r="R955" s="4">
        <v>0</v>
      </c>
      <c r="S955" s="4" t="s">
        <v>342</v>
      </c>
      <c r="T955" s="4" t="s">
        <v>707</v>
      </c>
      <c r="U955" s="4">
        <v>0</v>
      </c>
      <c r="V955" s="4">
        <v>28</v>
      </c>
      <c r="W955" s="4">
        <v>82</v>
      </c>
    </row>
    <row r="956" spans="1:23" ht="11.25" customHeight="1" x14ac:dyDescent="0.25">
      <c r="A956" s="4" t="s">
        <v>28</v>
      </c>
      <c r="B956" s="4" t="s">
        <v>33</v>
      </c>
      <c r="C956" s="4" t="s">
        <v>34</v>
      </c>
      <c r="D956" s="4" t="s">
        <v>24</v>
      </c>
      <c r="E956" s="4" t="s">
        <v>24</v>
      </c>
      <c r="F956" s="4" t="s">
        <v>25</v>
      </c>
      <c r="G956" s="4" t="s">
        <v>25</v>
      </c>
      <c r="H956" s="4" t="s">
        <v>36</v>
      </c>
      <c r="I956" s="5">
        <v>43952</v>
      </c>
      <c r="J956" s="6">
        <v>0</v>
      </c>
      <c r="K956" s="6">
        <v>0</v>
      </c>
      <c r="L956" s="6">
        <v>5.5650000000000004</v>
      </c>
      <c r="M956" s="6">
        <v>5.5650000000000004</v>
      </c>
      <c r="N956" s="6">
        <v>5.5650000000000004</v>
      </c>
      <c r="O956" s="6">
        <v>5.5650000000000004</v>
      </c>
      <c r="P956" s="6">
        <v>0</v>
      </c>
      <c r="Q956" s="4" t="s">
        <v>26</v>
      </c>
      <c r="R956" s="4">
        <v>0</v>
      </c>
      <c r="S956" s="4" t="s">
        <v>342</v>
      </c>
      <c r="T956" s="4" t="s">
        <v>707</v>
      </c>
      <c r="U956" s="4">
        <v>0</v>
      </c>
      <c r="V956" s="4">
        <v>28</v>
      </c>
      <c r="W956" s="4">
        <v>82</v>
      </c>
    </row>
    <row r="957" spans="1:23" ht="11.25" customHeight="1" x14ac:dyDescent="0.25">
      <c r="A957" s="4" t="s">
        <v>21</v>
      </c>
      <c r="B957" s="4" t="s">
        <v>33</v>
      </c>
      <c r="C957" s="4" t="s">
        <v>34</v>
      </c>
      <c r="D957" s="4" t="s">
        <v>24</v>
      </c>
      <c r="E957" s="4" t="s">
        <v>24</v>
      </c>
      <c r="F957" s="4" t="s">
        <v>25</v>
      </c>
      <c r="G957" s="4" t="s">
        <v>25</v>
      </c>
      <c r="H957" s="4" t="s">
        <v>36</v>
      </c>
      <c r="I957" s="5">
        <v>43983</v>
      </c>
      <c r="J957" s="6">
        <v>0</v>
      </c>
      <c r="K957" s="6">
        <v>0</v>
      </c>
      <c r="L957" s="6">
        <v>102.364</v>
      </c>
      <c r="M957" s="6">
        <v>102.364</v>
      </c>
      <c r="N957" s="6">
        <v>102.364</v>
      </c>
      <c r="O957" s="6">
        <v>102.364</v>
      </c>
      <c r="P957" s="6">
        <v>0</v>
      </c>
      <c r="Q957" s="4" t="s">
        <v>26</v>
      </c>
      <c r="R957" s="4">
        <v>0</v>
      </c>
      <c r="S957" s="4" t="s">
        <v>343</v>
      </c>
      <c r="T957" s="4" t="s">
        <v>708</v>
      </c>
      <c r="U957" s="4">
        <v>0</v>
      </c>
      <c r="V957" s="4">
        <v>28</v>
      </c>
      <c r="W957" s="4">
        <v>82</v>
      </c>
    </row>
    <row r="958" spans="1:23" ht="11.25" customHeight="1" x14ac:dyDescent="0.25">
      <c r="A958" s="4" t="s">
        <v>27</v>
      </c>
      <c r="B958" s="4" t="s">
        <v>33</v>
      </c>
      <c r="C958" s="4" t="s">
        <v>34</v>
      </c>
      <c r="D958" s="4" t="s">
        <v>24</v>
      </c>
      <c r="E958" s="4" t="s">
        <v>24</v>
      </c>
      <c r="F958" s="4" t="s">
        <v>25</v>
      </c>
      <c r="G958" s="4" t="s">
        <v>25</v>
      </c>
      <c r="H958" s="4" t="s">
        <v>36</v>
      </c>
      <c r="I958" s="5">
        <v>43983</v>
      </c>
      <c r="J958" s="6">
        <v>0</v>
      </c>
      <c r="K958" s="6">
        <v>0</v>
      </c>
      <c r="L958" s="6">
        <v>2.7210000000000001</v>
      </c>
      <c r="M958" s="6">
        <v>2.7210000000000001</v>
      </c>
      <c r="N958" s="6">
        <v>2.7210000000000001</v>
      </c>
      <c r="O958" s="6">
        <v>2.7210000000000001</v>
      </c>
      <c r="P958" s="6">
        <v>0</v>
      </c>
      <c r="Q958" s="4" t="s">
        <v>26</v>
      </c>
      <c r="R958" s="4">
        <v>0</v>
      </c>
      <c r="S958" s="4" t="s">
        <v>343</v>
      </c>
      <c r="T958" s="4" t="s">
        <v>708</v>
      </c>
      <c r="U958" s="4">
        <v>0</v>
      </c>
      <c r="V958" s="4">
        <v>28</v>
      </c>
      <c r="W958" s="4">
        <v>82</v>
      </c>
    </row>
    <row r="959" spans="1:23" ht="11.25" customHeight="1" x14ac:dyDescent="0.25">
      <c r="A959" s="4" t="s">
        <v>28</v>
      </c>
      <c r="B959" s="4" t="s">
        <v>33</v>
      </c>
      <c r="C959" s="4" t="s">
        <v>34</v>
      </c>
      <c r="D959" s="4" t="s">
        <v>24</v>
      </c>
      <c r="E959" s="4" t="s">
        <v>24</v>
      </c>
      <c r="F959" s="4" t="s">
        <v>25</v>
      </c>
      <c r="G959" s="4" t="s">
        <v>25</v>
      </c>
      <c r="H959" s="4" t="s">
        <v>36</v>
      </c>
      <c r="I959" s="5">
        <v>43983</v>
      </c>
      <c r="J959" s="6">
        <v>0</v>
      </c>
      <c r="K959" s="6">
        <v>0</v>
      </c>
      <c r="L959" s="6">
        <v>5.4729999999999999</v>
      </c>
      <c r="M959" s="6">
        <v>5.4729999999999999</v>
      </c>
      <c r="N959" s="6">
        <v>5.4729999999999999</v>
      </c>
      <c r="O959" s="6">
        <v>5.4729999999999999</v>
      </c>
      <c r="P959" s="6">
        <v>0</v>
      </c>
      <c r="Q959" s="4" t="s">
        <v>26</v>
      </c>
      <c r="R959" s="4">
        <v>0</v>
      </c>
      <c r="S959" s="4" t="s">
        <v>343</v>
      </c>
      <c r="T959" s="4" t="s">
        <v>708</v>
      </c>
      <c r="U959" s="4">
        <v>0</v>
      </c>
      <c r="V959" s="4">
        <v>28</v>
      </c>
      <c r="W959" s="4">
        <v>82</v>
      </c>
    </row>
    <row r="960" spans="1:23" ht="11.25" customHeight="1" x14ac:dyDescent="0.25">
      <c r="A960" s="4" t="s">
        <v>21</v>
      </c>
      <c r="B960" s="4" t="s">
        <v>33</v>
      </c>
      <c r="C960" s="4" t="s">
        <v>34</v>
      </c>
      <c r="D960" s="4" t="s">
        <v>24</v>
      </c>
      <c r="E960" s="4" t="s">
        <v>24</v>
      </c>
      <c r="F960" s="4" t="s">
        <v>25</v>
      </c>
      <c r="G960" s="4" t="s">
        <v>25</v>
      </c>
      <c r="H960" s="4" t="s">
        <v>36</v>
      </c>
      <c r="I960" s="5">
        <v>44013</v>
      </c>
      <c r="J960" s="6">
        <v>0</v>
      </c>
      <c r="K960" s="6">
        <v>0</v>
      </c>
      <c r="L960" s="6">
        <v>102.26</v>
      </c>
      <c r="M960" s="6">
        <v>102.26</v>
      </c>
      <c r="N960" s="6">
        <v>102.26</v>
      </c>
      <c r="O960" s="6">
        <v>102.26</v>
      </c>
      <c r="P960" s="6">
        <v>0</v>
      </c>
      <c r="Q960" s="4" t="s">
        <v>26</v>
      </c>
      <c r="R960" s="4">
        <v>0</v>
      </c>
      <c r="S960" s="4" t="s">
        <v>344</v>
      </c>
      <c r="T960" s="4" t="s">
        <v>709</v>
      </c>
      <c r="U960" s="4">
        <v>0</v>
      </c>
      <c r="V960" s="4">
        <v>28</v>
      </c>
      <c r="W960" s="4">
        <v>82</v>
      </c>
    </row>
    <row r="961" spans="1:23" ht="11.25" customHeight="1" x14ac:dyDescent="0.25">
      <c r="A961" s="4" t="s">
        <v>27</v>
      </c>
      <c r="B961" s="4" t="s">
        <v>33</v>
      </c>
      <c r="C961" s="4" t="s">
        <v>34</v>
      </c>
      <c r="D961" s="4" t="s">
        <v>24</v>
      </c>
      <c r="E961" s="4" t="s">
        <v>24</v>
      </c>
      <c r="F961" s="4" t="s">
        <v>25</v>
      </c>
      <c r="G961" s="4" t="s">
        <v>25</v>
      </c>
      <c r="H961" s="4" t="s">
        <v>36</v>
      </c>
      <c r="I961" s="5">
        <v>44013</v>
      </c>
      <c r="J961" s="6">
        <v>0</v>
      </c>
      <c r="K961" s="6">
        <v>0</v>
      </c>
      <c r="L961" s="6">
        <v>2.3559999999999999</v>
      </c>
      <c r="M961" s="6">
        <v>2.3559999999999999</v>
      </c>
      <c r="N961" s="6">
        <v>2.3559999999999999</v>
      </c>
      <c r="O961" s="6">
        <v>2.3559999999999999</v>
      </c>
      <c r="P961" s="6">
        <v>0</v>
      </c>
      <c r="Q961" s="4" t="s">
        <v>26</v>
      </c>
      <c r="R961" s="4">
        <v>0</v>
      </c>
      <c r="S961" s="4" t="s">
        <v>344</v>
      </c>
      <c r="T961" s="4" t="s">
        <v>709</v>
      </c>
      <c r="U961" s="4">
        <v>0</v>
      </c>
      <c r="V961" s="4">
        <v>28</v>
      </c>
      <c r="W961" s="4">
        <v>82</v>
      </c>
    </row>
    <row r="962" spans="1:23" ht="11.25" customHeight="1" x14ac:dyDescent="0.25">
      <c r="A962" s="4" t="s">
        <v>28</v>
      </c>
      <c r="B962" s="4" t="s">
        <v>33</v>
      </c>
      <c r="C962" s="4" t="s">
        <v>34</v>
      </c>
      <c r="D962" s="4" t="s">
        <v>24</v>
      </c>
      <c r="E962" s="4" t="s">
        <v>24</v>
      </c>
      <c r="F962" s="4" t="s">
        <v>25</v>
      </c>
      <c r="G962" s="4" t="s">
        <v>25</v>
      </c>
      <c r="H962" s="4" t="s">
        <v>36</v>
      </c>
      <c r="I962" s="5">
        <v>44013</v>
      </c>
      <c r="J962" s="6">
        <v>0</v>
      </c>
      <c r="K962" s="6">
        <v>0</v>
      </c>
      <c r="L962" s="6">
        <v>5.84</v>
      </c>
      <c r="M962" s="6">
        <v>5.84</v>
      </c>
      <c r="N962" s="6">
        <v>5.84</v>
      </c>
      <c r="O962" s="6">
        <v>5.84</v>
      </c>
      <c r="P962" s="6">
        <v>0</v>
      </c>
      <c r="Q962" s="4" t="s">
        <v>26</v>
      </c>
      <c r="R962" s="4">
        <v>0</v>
      </c>
      <c r="S962" s="4" t="s">
        <v>344</v>
      </c>
      <c r="T962" s="4" t="s">
        <v>709</v>
      </c>
      <c r="U962" s="4">
        <v>0</v>
      </c>
      <c r="V962" s="4">
        <v>28</v>
      </c>
      <c r="W962" s="4">
        <v>82</v>
      </c>
    </row>
    <row r="963" spans="1:23" ht="11.25" customHeight="1" x14ac:dyDescent="0.25">
      <c r="A963" s="4" t="s">
        <v>21</v>
      </c>
      <c r="B963" s="4" t="s">
        <v>33</v>
      </c>
      <c r="C963" s="4" t="s">
        <v>34</v>
      </c>
      <c r="D963" s="4" t="s">
        <v>24</v>
      </c>
      <c r="E963" s="4" t="s">
        <v>24</v>
      </c>
      <c r="F963" s="4" t="s">
        <v>25</v>
      </c>
      <c r="G963" s="4" t="s">
        <v>25</v>
      </c>
      <c r="H963" s="4" t="s">
        <v>36</v>
      </c>
      <c r="I963" s="5">
        <v>44044</v>
      </c>
      <c r="J963" s="6">
        <v>0</v>
      </c>
      <c r="K963" s="6">
        <v>0</v>
      </c>
      <c r="L963" s="6">
        <v>117.586</v>
      </c>
      <c r="M963" s="6">
        <v>117.586</v>
      </c>
      <c r="N963" s="6">
        <v>117.586</v>
      </c>
      <c r="O963" s="6">
        <v>117.586</v>
      </c>
      <c r="P963" s="6">
        <v>0</v>
      </c>
      <c r="Q963" s="4" t="s">
        <v>26</v>
      </c>
      <c r="R963" s="4">
        <v>0</v>
      </c>
      <c r="S963" s="4" t="s">
        <v>345</v>
      </c>
      <c r="T963" s="4" t="s">
        <v>710</v>
      </c>
      <c r="U963" s="4">
        <v>0</v>
      </c>
      <c r="V963" s="4">
        <v>28</v>
      </c>
      <c r="W963" s="4">
        <v>82</v>
      </c>
    </row>
    <row r="964" spans="1:23" ht="11.25" customHeight="1" x14ac:dyDescent="0.25">
      <c r="A964" s="4" t="s">
        <v>28</v>
      </c>
      <c r="B964" s="4" t="s">
        <v>33</v>
      </c>
      <c r="C964" s="4" t="s">
        <v>34</v>
      </c>
      <c r="D964" s="4" t="s">
        <v>24</v>
      </c>
      <c r="E964" s="4" t="s">
        <v>24</v>
      </c>
      <c r="F964" s="4" t="s">
        <v>25</v>
      </c>
      <c r="G964" s="4" t="s">
        <v>25</v>
      </c>
      <c r="H964" s="4" t="s">
        <v>36</v>
      </c>
      <c r="I964" s="5">
        <v>44044</v>
      </c>
      <c r="J964" s="6">
        <v>0</v>
      </c>
      <c r="K964" s="6">
        <v>0</v>
      </c>
      <c r="L964" s="6">
        <v>4.1970000000000001</v>
      </c>
      <c r="M964" s="6">
        <v>4.1970000000000001</v>
      </c>
      <c r="N964" s="6">
        <v>4.1970000000000001</v>
      </c>
      <c r="O964" s="6">
        <v>4.1970000000000001</v>
      </c>
      <c r="P964" s="6">
        <v>0</v>
      </c>
      <c r="Q964" s="4" t="s">
        <v>26</v>
      </c>
      <c r="R964" s="4">
        <v>0</v>
      </c>
      <c r="S964" s="4" t="s">
        <v>345</v>
      </c>
      <c r="T964" s="4" t="s">
        <v>710</v>
      </c>
      <c r="U964" s="4">
        <v>0</v>
      </c>
      <c r="V964" s="4">
        <v>28</v>
      </c>
      <c r="W964" s="4">
        <v>82</v>
      </c>
    </row>
    <row r="965" spans="1:23" ht="11.25" customHeight="1" x14ac:dyDescent="0.25">
      <c r="A965" s="4" t="s">
        <v>59</v>
      </c>
      <c r="B965" s="4" t="s">
        <v>33</v>
      </c>
      <c r="C965" s="4" t="s">
        <v>34</v>
      </c>
      <c r="D965" s="4" t="s">
        <v>24</v>
      </c>
      <c r="E965" s="4" t="s">
        <v>24</v>
      </c>
      <c r="F965" s="4" t="s">
        <v>25</v>
      </c>
      <c r="G965" s="4" t="s">
        <v>25</v>
      </c>
      <c r="H965" s="4" t="s">
        <v>36</v>
      </c>
      <c r="I965" s="5">
        <v>44075</v>
      </c>
      <c r="J965" s="6">
        <v>0</v>
      </c>
      <c r="K965" s="6">
        <v>0</v>
      </c>
      <c r="L965" s="6">
        <v>117.586</v>
      </c>
      <c r="M965" s="6">
        <v>117.586</v>
      </c>
      <c r="N965" s="6">
        <v>117.586</v>
      </c>
      <c r="O965" s="6">
        <v>117.586</v>
      </c>
      <c r="P965" s="6">
        <v>0</v>
      </c>
      <c r="Q965" s="4" t="s">
        <v>26</v>
      </c>
      <c r="R965" s="4">
        <v>0</v>
      </c>
      <c r="S965" s="4" t="s">
        <v>346</v>
      </c>
      <c r="T965" s="4" t="s">
        <v>711</v>
      </c>
      <c r="U965" s="4">
        <v>0</v>
      </c>
      <c r="V965" s="4">
        <v>28</v>
      </c>
      <c r="W965" s="4">
        <v>82</v>
      </c>
    </row>
    <row r="966" spans="1:23" ht="11.25" customHeight="1" x14ac:dyDescent="0.25">
      <c r="A966" s="4" t="s">
        <v>59</v>
      </c>
      <c r="B966" s="4" t="s">
        <v>33</v>
      </c>
      <c r="C966" s="4" t="s">
        <v>34</v>
      </c>
      <c r="D966" s="4" t="s">
        <v>24</v>
      </c>
      <c r="E966" s="4" t="s">
        <v>24</v>
      </c>
      <c r="F966" s="4" t="s">
        <v>25</v>
      </c>
      <c r="G966" s="4" t="s">
        <v>25</v>
      </c>
      <c r="H966" s="4" t="s">
        <v>36</v>
      </c>
      <c r="I966" s="5">
        <v>44075</v>
      </c>
      <c r="J966" s="6">
        <v>0</v>
      </c>
      <c r="K966" s="6">
        <v>0</v>
      </c>
      <c r="L966" s="6">
        <v>4.1970000000000001</v>
      </c>
      <c r="M966" s="6">
        <v>4.1970000000000001</v>
      </c>
      <c r="N966" s="6">
        <v>4.1970000000000001</v>
      </c>
      <c r="O966" s="6">
        <v>4.1970000000000001</v>
      </c>
      <c r="P966" s="6">
        <v>0</v>
      </c>
      <c r="Q966" s="4" t="s">
        <v>26</v>
      </c>
      <c r="R966" s="4">
        <v>0</v>
      </c>
      <c r="S966" s="4" t="s">
        <v>346</v>
      </c>
      <c r="T966" s="4" t="s">
        <v>711</v>
      </c>
      <c r="U966" s="4">
        <v>0</v>
      </c>
      <c r="V966" s="4">
        <v>28</v>
      </c>
      <c r="W966" s="4">
        <v>82</v>
      </c>
    </row>
    <row r="967" spans="1:23" ht="11.25" customHeight="1" x14ac:dyDescent="0.25">
      <c r="A967" s="4" t="s">
        <v>21</v>
      </c>
      <c r="B967" s="4" t="s">
        <v>33</v>
      </c>
      <c r="C967" s="4" t="s">
        <v>34</v>
      </c>
      <c r="D967" s="4" t="s">
        <v>24</v>
      </c>
      <c r="E967" s="4" t="s">
        <v>24</v>
      </c>
      <c r="F967" s="4" t="s">
        <v>25</v>
      </c>
      <c r="G967" s="4" t="s">
        <v>25</v>
      </c>
      <c r="H967" s="4" t="s">
        <v>25</v>
      </c>
      <c r="I967" s="5">
        <v>43739</v>
      </c>
      <c r="J967" s="6">
        <v>1148</v>
      </c>
      <c r="K967" s="6">
        <v>1148</v>
      </c>
      <c r="L967" s="6">
        <v>0</v>
      </c>
      <c r="M967" s="6">
        <v>0</v>
      </c>
      <c r="N967" s="6">
        <v>0</v>
      </c>
      <c r="O967" s="6">
        <v>0</v>
      </c>
      <c r="P967" s="6">
        <v>24</v>
      </c>
      <c r="Q967" s="4" t="s">
        <v>26</v>
      </c>
      <c r="R967" s="4">
        <v>0</v>
      </c>
      <c r="S967" s="4" t="s">
        <v>347</v>
      </c>
      <c r="U967" s="4">
        <v>26</v>
      </c>
      <c r="V967" s="4">
        <v>0</v>
      </c>
      <c r="W967" s="4">
        <v>0</v>
      </c>
    </row>
    <row r="968" spans="1:23" ht="11.25" customHeight="1" x14ac:dyDescent="0.25">
      <c r="A968" s="4" t="s">
        <v>27</v>
      </c>
      <c r="B968" s="4" t="s">
        <v>33</v>
      </c>
      <c r="C968" s="4" t="s">
        <v>34</v>
      </c>
      <c r="D968" s="4" t="s">
        <v>24</v>
      </c>
      <c r="E968" s="4" t="s">
        <v>24</v>
      </c>
      <c r="F968" s="4" t="s">
        <v>25</v>
      </c>
      <c r="G968" s="4" t="s">
        <v>25</v>
      </c>
      <c r="H968" s="4" t="s">
        <v>25</v>
      </c>
      <c r="I968" s="5">
        <v>43739</v>
      </c>
      <c r="J968" s="6">
        <v>50</v>
      </c>
      <c r="K968" s="6">
        <v>50</v>
      </c>
      <c r="L968" s="6">
        <v>0</v>
      </c>
      <c r="M968" s="6">
        <v>0</v>
      </c>
      <c r="N968" s="6">
        <v>0</v>
      </c>
      <c r="O968" s="6">
        <v>0</v>
      </c>
      <c r="P968" s="6">
        <v>1</v>
      </c>
      <c r="Q968" s="4" t="s">
        <v>26</v>
      </c>
      <c r="R968" s="4">
        <v>0</v>
      </c>
      <c r="S968" s="4" t="s">
        <v>347</v>
      </c>
      <c r="U968" s="4">
        <v>26</v>
      </c>
      <c r="V968" s="4">
        <v>0</v>
      </c>
      <c r="W968" s="4">
        <v>0</v>
      </c>
    </row>
    <row r="969" spans="1:23" ht="11.25" customHeight="1" x14ac:dyDescent="0.25">
      <c r="A969" s="4" t="s">
        <v>28</v>
      </c>
      <c r="B969" s="4" t="s">
        <v>33</v>
      </c>
      <c r="C969" s="4" t="s">
        <v>34</v>
      </c>
      <c r="D969" s="4" t="s">
        <v>24</v>
      </c>
      <c r="E969" s="4" t="s">
        <v>24</v>
      </c>
      <c r="F969" s="4" t="s">
        <v>25</v>
      </c>
      <c r="G969" s="4" t="s">
        <v>25</v>
      </c>
      <c r="H969" s="4" t="s">
        <v>25</v>
      </c>
      <c r="I969" s="5">
        <v>43739</v>
      </c>
      <c r="J969" s="6">
        <v>110</v>
      </c>
      <c r="K969" s="6">
        <v>110</v>
      </c>
      <c r="L969" s="6">
        <v>0</v>
      </c>
      <c r="M969" s="6">
        <v>0</v>
      </c>
      <c r="N969" s="6">
        <v>0</v>
      </c>
      <c r="O969" s="6">
        <v>0</v>
      </c>
      <c r="P969" s="6">
        <v>3</v>
      </c>
      <c r="Q969" s="4" t="s">
        <v>26</v>
      </c>
      <c r="R969" s="4">
        <v>0</v>
      </c>
      <c r="S969" s="4" t="s">
        <v>347</v>
      </c>
      <c r="U969" s="4">
        <v>26</v>
      </c>
      <c r="V969" s="4">
        <v>0</v>
      </c>
      <c r="W969" s="4">
        <v>0</v>
      </c>
    </row>
    <row r="970" spans="1:23" ht="11.25" customHeight="1" x14ac:dyDescent="0.25">
      <c r="A970" s="4" t="s">
        <v>21</v>
      </c>
      <c r="B970" s="4" t="s">
        <v>33</v>
      </c>
      <c r="C970" s="4" t="s">
        <v>34</v>
      </c>
      <c r="D970" s="4" t="s">
        <v>24</v>
      </c>
      <c r="E970" s="4" t="s">
        <v>24</v>
      </c>
      <c r="F970" s="4" t="s">
        <v>25</v>
      </c>
      <c r="G970" s="4" t="s">
        <v>25</v>
      </c>
      <c r="H970" s="4" t="s">
        <v>25</v>
      </c>
      <c r="I970" s="5">
        <v>43770</v>
      </c>
      <c r="J970" s="6">
        <v>1125</v>
      </c>
      <c r="K970" s="6">
        <v>1125</v>
      </c>
      <c r="L970" s="6">
        <v>0</v>
      </c>
      <c r="M970" s="6">
        <v>0</v>
      </c>
      <c r="N970" s="6">
        <v>0</v>
      </c>
      <c r="O970" s="6">
        <v>0</v>
      </c>
      <c r="P970" s="6">
        <v>24</v>
      </c>
      <c r="Q970" s="4" t="s">
        <v>26</v>
      </c>
      <c r="R970" s="4">
        <v>0</v>
      </c>
      <c r="S970" s="4" t="s">
        <v>348</v>
      </c>
      <c r="U970" s="4">
        <v>26</v>
      </c>
      <c r="V970" s="4">
        <v>0</v>
      </c>
      <c r="W970" s="4">
        <v>0</v>
      </c>
    </row>
    <row r="971" spans="1:23" ht="11.25" customHeight="1" x14ac:dyDescent="0.25">
      <c r="A971" s="4" t="s">
        <v>27</v>
      </c>
      <c r="B971" s="4" t="s">
        <v>33</v>
      </c>
      <c r="C971" s="4" t="s">
        <v>34</v>
      </c>
      <c r="D971" s="4" t="s">
        <v>24</v>
      </c>
      <c r="E971" s="4" t="s">
        <v>24</v>
      </c>
      <c r="F971" s="4" t="s">
        <v>25</v>
      </c>
      <c r="G971" s="4" t="s">
        <v>25</v>
      </c>
      <c r="H971" s="4" t="s">
        <v>25</v>
      </c>
      <c r="I971" s="5">
        <v>43770</v>
      </c>
      <c r="J971" s="6">
        <v>50</v>
      </c>
      <c r="K971" s="6">
        <v>50</v>
      </c>
      <c r="L971" s="6">
        <v>0</v>
      </c>
      <c r="M971" s="6">
        <v>0</v>
      </c>
      <c r="N971" s="6">
        <v>0</v>
      </c>
      <c r="O971" s="6">
        <v>0</v>
      </c>
      <c r="P971" s="6">
        <v>1</v>
      </c>
      <c r="Q971" s="4" t="s">
        <v>26</v>
      </c>
      <c r="R971" s="4">
        <v>0</v>
      </c>
      <c r="S971" s="4" t="s">
        <v>348</v>
      </c>
      <c r="U971" s="4">
        <v>26</v>
      </c>
      <c r="V971" s="4">
        <v>0</v>
      </c>
      <c r="W971" s="4">
        <v>0</v>
      </c>
    </row>
    <row r="972" spans="1:23" ht="11.25" customHeight="1" x14ac:dyDescent="0.25">
      <c r="A972" s="4" t="s">
        <v>28</v>
      </c>
      <c r="B972" s="4" t="s">
        <v>33</v>
      </c>
      <c r="C972" s="4" t="s">
        <v>34</v>
      </c>
      <c r="D972" s="4" t="s">
        <v>24</v>
      </c>
      <c r="E972" s="4" t="s">
        <v>24</v>
      </c>
      <c r="F972" s="4" t="s">
        <v>25</v>
      </c>
      <c r="G972" s="4" t="s">
        <v>25</v>
      </c>
      <c r="H972" s="4" t="s">
        <v>25</v>
      </c>
      <c r="I972" s="5">
        <v>43770</v>
      </c>
      <c r="J972" s="6">
        <v>110</v>
      </c>
      <c r="K972" s="6">
        <v>110</v>
      </c>
      <c r="L972" s="6">
        <v>0</v>
      </c>
      <c r="M972" s="6">
        <v>0</v>
      </c>
      <c r="N972" s="6">
        <v>0</v>
      </c>
      <c r="O972" s="6">
        <v>0</v>
      </c>
      <c r="P972" s="6">
        <v>3</v>
      </c>
      <c r="Q972" s="4" t="s">
        <v>26</v>
      </c>
      <c r="R972" s="4">
        <v>0</v>
      </c>
      <c r="S972" s="4" t="s">
        <v>348</v>
      </c>
      <c r="U972" s="4">
        <v>26</v>
      </c>
      <c r="V972" s="4">
        <v>0</v>
      </c>
      <c r="W972" s="4">
        <v>0</v>
      </c>
    </row>
    <row r="973" spans="1:23" ht="11.25" customHeight="1" x14ac:dyDescent="0.25">
      <c r="A973" s="4" t="s">
        <v>21</v>
      </c>
      <c r="B973" s="4" t="s">
        <v>33</v>
      </c>
      <c r="C973" s="4" t="s">
        <v>34</v>
      </c>
      <c r="D973" s="4" t="s">
        <v>24</v>
      </c>
      <c r="E973" s="4" t="s">
        <v>24</v>
      </c>
      <c r="F973" s="4" t="s">
        <v>25</v>
      </c>
      <c r="G973" s="4" t="s">
        <v>25</v>
      </c>
      <c r="H973" s="4" t="s">
        <v>25</v>
      </c>
      <c r="I973" s="5">
        <v>43800</v>
      </c>
      <c r="J973" s="6">
        <v>1127</v>
      </c>
      <c r="K973" s="6">
        <v>1127</v>
      </c>
      <c r="L973" s="6">
        <v>0</v>
      </c>
      <c r="M973" s="6">
        <v>0</v>
      </c>
      <c r="N973" s="6">
        <v>0</v>
      </c>
      <c r="O973" s="6">
        <v>0</v>
      </c>
      <c r="P973" s="6">
        <v>24</v>
      </c>
      <c r="Q973" s="4" t="s">
        <v>26</v>
      </c>
      <c r="R973" s="4">
        <v>0</v>
      </c>
      <c r="S973" s="4" t="s">
        <v>349</v>
      </c>
      <c r="U973" s="4">
        <v>26</v>
      </c>
      <c r="V973" s="4">
        <v>0</v>
      </c>
      <c r="W973" s="4">
        <v>0</v>
      </c>
    </row>
    <row r="974" spans="1:23" ht="11.25" customHeight="1" x14ac:dyDescent="0.25">
      <c r="A974" s="4" t="s">
        <v>27</v>
      </c>
      <c r="B974" s="4" t="s">
        <v>33</v>
      </c>
      <c r="C974" s="4" t="s">
        <v>34</v>
      </c>
      <c r="D974" s="4" t="s">
        <v>24</v>
      </c>
      <c r="E974" s="4" t="s">
        <v>24</v>
      </c>
      <c r="F974" s="4" t="s">
        <v>25</v>
      </c>
      <c r="G974" s="4" t="s">
        <v>25</v>
      </c>
      <c r="H974" s="4" t="s">
        <v>25</v>
      </c>
      <c r="I974" s="5">
        <v>43800</v>
      </c>
      <c r="J974" s="6">
        <v>50</v>
      </c>
      <c r="K974" s="6">
        <v>50</v>
      </c>
      <c r="L974" s="6">
        <v>0</v>
      </c>
      <c r="M974" s="6">
        <v>0</v>
      </c>
      <c r="N974" s="6">
        <v>0</v>
      </c>
      <c r="O974" s="6">
        <v>0</v>
      </c>
      <c r="P974" s="6">
        <v>1</v>
      </c>
      <c r="Q974" s="4" t="s">
        <v>26</v>
      </c>
      <c r="R974" s="4">
        <v>0</v>
      </c>
      <c r="S974" s="4" t="s">
        <v>349</v>
      </c>
      <c r="U974" s="4">
        <v>26</v>
      </c>
      <c r="V974" s="4">
        <v>0</v>
      </c>
      <c r="W974" s="4">
        <v>0</v>
      </c>
    </row>
    <row r="975" spans="1:23" ht="11.25" customHeight="1" x14ac:dyDescent="0.25">
      <c r="A975" s="4" t="s">
        <v>28</v>
      </c>
      <c r="B975" s="4" t="s">
        <v>33</v>
      </c>
      <c r="C975" s="4" t="s">
        <v>34</v>
      </c>
      <c r="D975" s="4" t="s">
        <v>24</v>
      </c>
      <c r="E975" s="4" t="s">
        <v>24</v>
      </c>
      <c r="F975" s="4" t="s">
        <v>25</v>
      </c>
      <c r="G975" s="4" t="s">
        <v>25</v>
      </c>
      <c r="H975" s="4" t="s">
        <v>25</v>
      </c>
      <c r="I975" s="5">
        <v>43800</v>
      </c>
      <c r="J975" s="6">
        <v>110</v>
      </c>
      <c r="K975" s="6">
        <v>110</v>
      </c>
      <c r="L975" s="6">
        <v>0</v>
      </c>
      <c r="M975" s="6">
        <v>0</v>
      </c>
      <c r="N975" s="6">
        <v>0</v>
      </c>
      <c r="O975" s="6">
        <v>0</v>
      </c>
      <c r="P975" s="6">
        <v>3</v>
      </c>
      <c r="Q975" s="4" t="s">
        <v>26</v>
      </c>
      <c r="R975" s="4">
        <v>0</v>
      </c>
      <c r="S975" s="4" t="s">
        <v>349</v>
      </c>
      <c r="U975" s="4">
        <v>26</v>
      </c>
      <c r="V975" s="4">
        <v>0</v>
      </c>
      <c r="W975" s="4">
        <v>0</v>
      </c>
    </row>
    <row r="976" spans="1:23" ht="11.25" customHeight="1" x14ac:dyDescent="0.25">
      <c r="A976" s="4" t="s">
        <v>21</v>
      </c>
      <c r="B976" s="4" t="s">
        <v>33</v>
      </c>
      <c r="C976" s="4" t="s">
        <v>34</v>
      </c>
      <c r="D976" s="4" t="s">
        <v>24</v>
      </c>
      <c r="E976" s="4" t="s">
        <v>24</v>
      </c>
      <c r="F976" s="4" t="s">
        <v>25</v>
      </c>
      <c r="G976" s="4" t="s">
        <v>25</v>
      </c>
      <c r="H976" s="4" t="s">
        <v>25</v>
      </c>
      <c r="I976" s="5">
        <v>43831</v>
      </c>
      <c r="J976" s="6">
        <v>1108</v>
      </c>
      <c r="K976" s="6">
        <v>1108</v>
      </c>
      <c r="L976" s="6">
        <v>0</v>
      </c>
      <c r="M976" s="6">
        <v>0</v>
      </c>
      <c r="N976" s="6">
        <v>0</v>
      </c>
      <c r="O976" s="6">
        <v>0</v>
      </c>
      <c r="P976" s="6">
        <v>24</v>
      </c>
      <c r="Q976" s="4" t="s">
        <v>26</v>
      </c>
      <c r="R976" s="4">
        <v>0</v>
      </c>
      <c r="S976" s="4" t="s">
        <v>350</v>
      </c>
      <c r="U976" s="4">
        <v>26</v>
      </c>
      <c r="V976" s="4">
        <v>0</v>
      </c>
      <c r="W976" s="4">
        <v>0</v>
      </c>
    </row>
    <row r="977" spans="1:23" ht="11.25" customHeight="1" x14ac:dyDescent="0.25">
      <c r="A977" s="4" t="s">
        <v>27</v>
      </c>
      <c r="B977" s="4" t="s">
        <v>33</v>
      </c>
      <c r="C977" s="4" t="s">
        <v>34</v>
      </c>
      <c r="D977" s="4" t="s">
        <v>24</v>
      </c>
      <c r="E977" s="4" t="s">
        <v>24</v>
      </c>
      <c r="F977" s="4" t="s">
        <v>25</v>
      </c>
      <c r="G977" s="4" t="s">
        <v>25</v>
      </c>
      <c r="H977" s="4" t="s">
        <v>25</v>
      </c>
      <c r="I977" s="5">
        <v>43831</v>
      </c>
      <c r="J977" s="6">
        <v>50</v>
      </c>
      <c r="K977" s="6">
        <v>50</v>
      </c>
      <c r="L977" s="6">
        <v>0</v>
      </c>
      <c r="M977" s="6">
        <v>0</v>
      </c>
      <c r="N977" s="6">
        <v>0</v>
      </c>
      <c r="O977" s="6">
        <v>0</v>
      </c>
      <c r="P977" s="6">
        <v>1</v>
      </c>
      <c r="Q977" s="4" t="s">
        <v>26</v>
      </c>
      <c r="R977" s="4">
        <v>0</v>
      </c>
      <c r="S977" s="4" t="s">
        <v>350</v>
      </c>
      <c r="U977" s="4">
        <v>26</v>
      </c>
      <c r="V977" s="4">
        <v>0</v>
      </c>
      <c r="W977" s="4">
        <v>0</v>
      </c>
    </row>
    <row r="978" spans="1:23" ht="11.25" customHeight="1" x14ac:dyDescent="0.25">
      <c r="A978" s="4" t="s">
        <v>28</v>
      </c>
      <c r="B978" s="4" t="s">
        <v>33</v>
      </c>
      <c r="C978" s="4" t="s">
        <v>34</v>
      </c>
      <c r="D978" s="4" t="s">
        <v>24</v>
      </c>
      <c r="E978" s="4" t="s">
        <v>24</v>
      </c>
      <c r="F978" s="4" t="s">
        <v>25</v>
      </c>
      <c r="G978" s="4" t="s">
        <v>25</v>
      </c>
      <c r="H978" s="4" t="s">
        <v>25</v>
      </c>
      <c r="I978" s="5">
        <v>43831</v>
      </c>
      <c r="J978" s="6">
        <v>110</v>
      </c>
      <c r="K978" s="6">
        <v>110</v>
      </c>
      <c r="L978" s="6">
        <v>0</v>
      </c>
      <c r="M978" s="6">
        <v>0</v>
      </c>
      <c r="N978" s="6">
        <v>0</v>
      </c>
      <c r="O978" s="6">
        <v>0</v>
      </c>
      <c r="P978" s="6">
        <v>3</v>
      </c>
      <c r="Q978" s="4" t="s">
        <v>26</v>
      </c>
      <c r="R978" s="4">
        <v>0</v>
      </c>
      <c r="S978" s="4" t="s">
        <v>350</v>
      </c>
      <c r="U978" s="4">
        <v>26</v>
      </c>
      <c r="V978" s="4">
        <v>0</v>
      </c>
      <c r="W978" s="4">
        <v>0</v>
      </c>
    </row>
    <row r="979" spans="1:23" ht="11.25" customHeight="1" x14ac:dyDescent="0.25">
      <c r="A979" s="4" t="s">
        <v>21</v>
      </c>
      <c r="B979" s="4" t="s">
        <v>33</v>
      </c>
      <c r="C979" s="4" t="s">
        <v>34</v>
      </c>
      <c r="D979" s="4" t="s">
        <v>24</v>
      </c>
      <c r="E979" s="4" t="s">
        <v>24</v>
      </c>
      <c r="F979" s="4" t="s">
        <v>25</v>
      </c>
      <c r="G979" s="4" t="s">
        <v>25</v>
      </c>
      <c r="H979" s="4" t="s">
        <v>25</v>
      </c>
      <c r="I979" s="5">
        <v>43862</v>
      </c>
      <c r="J979" s="6">
        <v>1143</v>
      </c>
      <c r="K979" s="6">
        <v>1143</v>
      </c>
      <c r="L979" s="6">
        <v>0</v>
      </c>
      <c r="M979" s="6">
        <v>0</v>
      </c>
      <c r="N979" s="6">
        <v>0</v>
      </c>
      <c r="O979" s="6">
        <v>0</v>
      </c>
      <c r="P979" s="6">
        <v>24</v>
      </c>
      <c r="Q979" s="4" t="s">
        <v>26</v>
      </c>
      <c r="R979" s="4">
        <v>0</v>
      </c>
      <c r="S979" s="4" t="s">
        <v>351</v>
      </c>
      <c r="U979" s="4">
        <v>26</v>
      </c>
      <c r="V979" s="4">
        <v>0</v>
      </c>
      <c r="W979" s="4">
        <v>0</v>
      </c>
    </row>
    <row r="980" spans="1:23" ht="11.25" customHeight="1" x14ac:dyDescent="0.25">
      <c r="A980" s="4" t="s">
        <v>27</v>
      </c>
      <c r="B980" s="4" t="s">
        <v>33</v>
      </c>
      <c r="C980" s="4" t="s">
        <v>34</v>
      </c>
      <c r="D980" s="4" t="s">
        <v>24</v>
      </c>
      <c r="E980" s="4" t="s">
        <v>24</v>
      </c>
      <c r="F980" s="4" t="s">
        <v>25</v>
      </c>
      <c r="G980" s="4" t="s">
        <v>25</v>
      </c>
      <c r="H980" s="4" t="s">
        <v>25</v>
      </c>
      <c r="I980" s="5">
        <v>43862</v>
      </c>
      <c r="J980" s="6">
        <v>50</v>
      </c>
      <c r="K980" s="6">
        <v>50</v>
      </c>
      <c r="L980" s="6">
        <v>0</v>
      </c>
      <c r="M980" s="6">
        <v>0</v>
      </c>
      <c r="N980" s="6">
        <v>0</v>
      </c>
      <c r="O980" s="6">
        <v>0</v>
      </c>
      <c r="P980" s="6">
        <v>1</v>
      </c>
      <c r="Q980" s="4" t="s">
        <v>26</v>
      </c>
      <c r="R980" s="4">
        <v>0</v>
      </c>
      <c r="S980" s="4" t="s">
        <v>351</v>
      </c>
      <c r="U980" s="4">
        <v>26</v>
      </c>
      <c r="V980" s="4">
        <v>0</v>
      </c>
      <c r="W980" s="4">
        <v>0</v>
      </c>
    </row>
    <row r="981" spans="1:23" ht="11.25" customHeight="1" x14ac:dyDescent="0.25">
      <c r="A981" s="4" t="s">
        <v>28</v>
      </c>
      <c r="B981" s="4" t="s">
        <v>33</v>
      </c>
      <c r="C981" s="4" t="s">
        <v>34</v>
      </c>
      <c r="D981" s="4" t="s">
        <v>24</v>
      </c>
      <c r="E981" s="4" t="s">
        <v>24</v>
      </c>
      <c r="F981" s="4" t="s">
        <v>25</v>
      </c>
      <c r="G981" s="4" t="s">
        <v>25</v>
      </c>
      <c r="H981" s="4" t="s">
        <v>25</v>
      </c>
      <c r="I981" s="5">
        <v>43862</v>
      </c>
      <c r="J981" s="6">
        <v>110</v>
      </c>
      <c r="K981" s="6">
        <v>110</v>
      </c>
      <c r="L981" s="6">
        <v>0</v>
      </c>
      <c r="M981" s="6">
        <v>0</v>
      </c>
      <c r="N981" s="6">
        <v>0</v>
      </c>
      <c r="O981" s="6">
        <v>0</v>
      </c>
      <c r="P981" s="6">
        <v>3</v>
      </c>
      <c r="Q981" s="4" t="s">
        <v>26</v>
      </c>
      <c r="R981" s="4">
        <v>0</v>
      </c>
      <c r="S981" s="4" t="s">
        <v>351</v>
      </c>
      <c r="U981" s="4">
        <v>26</v>
      </c>
      <c r="V981" s="4">
        <v>0</v>
      </c>
      <c r="W981" s="4">
        <v>0</v>
      </c>
    </row>
    <row r="982" spans="1:23" ht="11.25" customHeight="1" x14ac:dyDescent="0.25">
      <c r="A982" s="4" t="s">
        <v>21</v>
      </c>
      <c r="B982" s="4" t="s">
        <v>33</v>
      </c>
      <c r="C982" s="4" t="s">
        <v>34</v>
      </c>
      <c r="D982" s="4" t="s">
        <v>24</v>
      </c>
      <c r="E982" s="4" t="s">
        <v>24</v>
      </c>
      <c r="F982" s="4" t="s">
        <v>25</v>
      </c>
      <c r="G982" s="4" t="s">
        <v>25</v>
      </c>
      <c r="H982" s="4" t="s">
        <v>25</v>
      </c>
      <c r="I982" s="5">
        <v>43891</v>
      </c>
      <c r="J982" s="6">
        <v>1144</v>
      </c>
      <c r="K982" s="6">
        <v>1144</v>
      </c>
      <c r="L982" s="6">
        <v>0</v>
      </c>
      <c r="M982" s="6">
        <v>0</v>
      </c>
      <c r="N982" s="6">
        <v>0</v>
      </c>
      <c r="O982" s="6">
        <v>0</v>
      </c>
      <c r="P982" s="6">
        <v>24</v>
      </c>
      <c r="Q982" s="4" t="s">
        <v>26</v>
      </c>
      <c r="R982" s="4">
        <v>0</v>
      </c>
      <c r="S982" s="4" t="s">
        <v>352</v>
      </c>
      <c r="U982" s="4">
        <v>26</v>
      </c>
      <c r="V982" s="4">
        <v>0</v>
      </c>
      <c r="W982" s="4">
        <v>0</v>
      </c>
    </row>
    <row r="983" spans="1:23" ht="11.25" customHeight="1" x14ac:dyDescent="0.25">
      <c r="A983" s="4" t="s">
        <v>27</v>
      </c>
      <c r="B983" s="4" t="s">
        <v>33</v>
      </c>
      <c r="C983" s="4" t="s">
        <v>34</v>
      </c>
      <c r="D983" s="4" t="s">
        <v>24</v>
      </c>
      <c r="E983" s="4" t="s">
        <v>24</v>
      </c>
      <c r="F983" s="4" t="s">
        <v>25</v>
      </c>
      <c r="G983" s="4" t="s">
        <v>25</v>
      </c>
      <c r="H983" s="4" t="s">
        <v>25</v>
      </c>
      <c r="I983" s="5">
        <v>43891</v>
      </c>
      <c r="J983" s="6">
        <v>50</v>
      </c>
      <c r="K983" s="6">
        <v>50</v>
      </c>
      <c r="L983" s="6">
        <v>0</v>
      </c>
      <c r="M983" s="6">
        <v>0</v>
      </c>
      <c r="N983" s="6">
        <v>0</v>
      </c>
      <c r="O983" s="6">
        <v>0</v>
      </c>
      <c r="P983" s="6">
        <v>1</v>
      </c>
      <c r="Q983" s="4" t="s">
        <v>26</v>
      </c>
      <c r="R983" s="4">
        <v>0</v>
      </c>
      <c r="S983" s="4" t="s">
        <v>352</v>
      </c>
      <c r="U983" s="4">
        <v>26</v>
      </c>
      <c r="V983" s="4">
        <v>0</v>
      </c>
      <c r="W983" s="4">
        <v>0</v>
      </c>
    </row>
    <row r="984" spans="1:23" ht="11.25" customHeight="1" x14ac:dyDescent="0.25">
      <c r="A984" s="4" t="s">
        <v>28</v>
      </c>
      <c r="B984" s="4" t="s">
        <v>33</v>
      </c>
      <c r="C984" s="4" t="s">
        <v>34</v>
      </c>
      <c r="D984" s="4" t="s">
        <v>24</v>
      </c>
      <c r="E984" s="4" t="s">
        <v>24</v>
      </c>
      <c r="F984" s="4" t="s">
        <v>25</v>
      </c>
      <c r="G984" s="4" t="s">
        <v>25</v>
      </c>
      <c r="H984" s="4" t="s">
        <v>25</v>
      </c>
      <c r="I984" s="5">
        <v>43891</v>
      </c>
      <c r="J984" s="6">
        <v>110</v>
      </c>
      <c r="K984" s="6">
        <v>110</v>
      </c>
      <c r="L984" s="6">
        <v>0</v>
      </c>
      <c r="M984" s="6">
        <v>0</v>
      </c>
      <c r="N984" s="6">
        <v>0</v>
      </c>
      <c r="O984" s="6">
        <v>0</v>
      </c>
      <c r="P984" s="6">
        <v>3</v>
      </c>
      <c r="Q984" s="4" t="s">
        <v>26</v>
      </c>
      <c r="R984" s="4">
        <v>0</v>
      </c>
      <c r="S984" s="4" t="s">
        <v>352</v>
      </c>
      <c r="U984" s="4">
        <v>26</v>
      </c>
      <c r="V984" s="4">
        <v>0</v>
      </c>
      <c r="W984" s="4">
        <v>0</v>
      </c>
    </row>
    <row r="985" spans="1:23" ht="11.25" customHeight="1" x14ac:dyDescent="0.25">
      <c r="A985" s="4" t="s">
        <v>21</v>
      </c>
      <c r="B985" s="4" t="s">
        <v>33</v>
      </c>
      <c r="C985" s="4" t="s">
        <v>34</v>
      </c>
      <c r="D985" s="4" t="s">
        <v>24</v>
      </c>
      <c r="E985" s="4" t="s">
        <v>24</v>
      </c>
      <c r="F985" s="4" t="s">
        <v>25</v>
      </c>
      <c r="G985" s="4" t="s">
        <v>25</v>
      </c>
      <c r="H985" s="4" t="s">
        <v>25</v>
      </c>
      <c r="I985" s="5">
        <v>43922</v>
      </c>
      <c r="J985" s="6">
        <v>1129</v>
      </c>
      <c r="K985" s="6">
        <v>1129</v>
      </c>
      <c r="L985" s="6">
        <v>0</v>
      </c>
      <c r="M985" s="6">
        <v>0</v>
      </c>
      <c r="N985" s="6">
        <v>0</v>
      </c>
      <c r="O985" s="6">
        <v>0</v>
      </c>
      <c r="P985" s="6">
        <v>24</v>
      </c>
      <c r="Q985" s="4" t="s">
        <v>26</v>
      </c>
      <c r="R985" s="4">
        <v>0</v>
      </c>
      <c r="S985" s="4" t="s">
        <v>353</v>
      </c>
      <c r="U985" s="4">
        <v>26</v>
      </c>
      <c r="V985" s="4">
        <v>0</v>
      </c>
      <c r="W985" s="4">
        <v>0</v>
      </c>
    </row>
    <row r="986" spans="1:23" ht="11.25" customHeight="1" x14ac:dyDescent="0.25">
      <c r="A986" s="4" t="s">
        <v>27</v>
      </c>
      <c r="B986" s="4" t="s">
        <v>33</v>
      </c>
      <c r="C986" s="4" t="s">
        <v>34</v>
      </c>
      <c r="D986" s="4" t="s">
        <v>24</v>
      </c>
      <c r="E986" s="4" t="s">
        <v>24</v>
      </c>
      <c r="F986" s="4" t="s">
        <v>25</v>
      </c>
      <c r="G986" s="4" t="s">
        <v>25</v>
      </c>
      <c r="H986" s="4" t="s">
        <v>25</v>
      </c>
      <c r="I986" s="5">
        <v>43922</v>
      </c>
      <c r="J986" s="6">
        <v>50</v>
      </c>
      <c r="K986" s="6">
        <v>50</v>
      </c>
      <c r="L986" s="6">
        <v>0</v>
      </c>
      <c r="M986" s="6">
        <v>0</v>
      </c>
      <c r="N986" s="6">
        <v>0</v>
      </c>
      <c r="O986" s="6">
        <v>0</v>
      </c>
      <c r="P986" s="6">
        <v>1</v>
      </c>
      <c r="Q986" s="4" t="s">
        <v>26</v>
      </c>
      <c r="R986" s="4">
        <v>0</v>
      </c>
      <c r="S986" s="4" t="s">
        <v>353</v>
      </c>
      <c r="U986" s="4">
        <v>26</v>
      </c>
      <c r="V986" s="4">
        <v>0</v>
      </c>
      <c r="W986" s="4">
        <v>0</v>
      </c>
    </row>
    <row r="987" spans="1:23" ht="11.25" customHeight="1" x14ac:dyDescent="0.25">
      <c r="A987" s="4" t="s">
        <v>28</v>
      </c>
      <c r="B987" s="4" t="s">
        <v>33</v>
      </c>
      <c r="C987" s="4" t="s">
        <v>34</v>
      </c>
      <c r="D987" s="4" t="s">
        <v>24</v>
      </c>
      <c r="E987" s="4" t="s">
        <v>24</v>
      </c>
      <c r="F987" s="4" t="s">
        <v>25</v>
      </c>
      <c r="G987" s="4" t="s">
        <v>25</v>
      </c>
      <c r="H987" s="4" t="s">
        <v>25</v>
      </c>
      <c r="I987" s="5">
        <v>43922</v>
      </c>
      <c r="J987" s="6">
        <v>110</v>
      </c>
      <c r="K987" s="6">
        <v>110</v>
      </c>
      <c r="L987" s="6">
        <v>0</v>
      </c>
      <c r="M987" s="6">
        <v>0</v>
      </c>
      <c r="N987" s="6">
        <v>0</v>
      </c>
      <c r="O987" s="6">
        <v>0</v>
      </c>
      <c r="P987" s="6">
        <v>3</v>
      </c>
      <c r="Q987" s="4" t="s">
        <v>26</v>
      </c>
      <c r="R987" s="4">
        <v>0</v>
      </c>
      <c r="S987" s="4" t="s">
        <v>353</v>
      </c>
      <c r="U987" s="4">
        <v>26</v>
      </c>
      <c r="V987" s="4">
        <v>0</v>
      </c>
      <c r="W987" s="4">
        <v>0</v>
      </c>
    </row>
    <row r="988" spans="1:23" ht="11.25" customHeight="1" x14ac:dyDescent="0.25">
      <c r="A988" s="4" t="s">
        <v>21</v>
      </c>
      <c r="B988" s="4" t="s">
        <v>33</v>
      </c>
      <c r="C988" s="4" t="s">
        <v>34</v>
      </c>
      <c r="D988" s="4" t="s">
        <v>24</v>
      </c>
      <c r="E988" s="4" t="s">
        <v>24</v>
      </c>
      <c r="F988" s="4" t="s">
        <v>25</v>
      </c>
      <c r="G988" s="4" t="s">
        <v>25</v>
      </c>
      <c r="H988" s="4" t="s">
        <v>25</v>
      </c>
      <c r="I988" s="5">
        <v>43952</v>
      </c>
      <c r="J988" s="6">
        <v>1138</v>
      </c>
      <c r="K988" s="6">
        <v>1138</v>
      </c>
      <c r="L988" s="6">
        <v>0</v>
      </c>
      <c r="M988" s="6">
        <v>0</v>
      </c>
      <c r="N988" s="6">
        <v>0</v>
      </c>
      <c r="O988" s="6">
        <v>0</v>
      </c>
      <c r="P988" s="6">
        <v>24</v>
      </c>
      <c r="Q988" s="4" t="s">
        <v>26</v>
      </c>
      <c r="R988" s="4">
        <v>0</v>
      </c>
      <c r="S988" s="4" t="s">
        <v>354</v>
      </c>
      <c r="U988" s="4">
        <v>26</v>
      </c>
      <c r="V988" s="4">
        <v>0</v>
      </c>
      <c r="W988" s="4">
        <v>0</v>
      </c>
    </row>
    <row r="989" spans="1:23" ht="11.25" customHeight="1" x14ac:dyDescent="0.25">
      <c r="A989" s="4" t="s">
        <v>27</v>
      </c>
      <c r="B989" s="4" t="s">
        <v>33</v>
      </c>
      <c r="C989" s="4" t="s">
        <v>34</v>
      </c>
      <c r="D989" s="4" t="s">
        <v>24</v>
      </c>
      <c r="E989" s="4" t="s">
        <v>24</v>
      </c>
      <c r="F989" s="4" t="s">
        <v>25</v>
      </c>
      <c r="G989" s="4" t="s">
        <v>25</v>
      </c>
      <c r="H989" s="4" t="s">
        <v>25</v>
      </c>
      <c r="I989" s="5">
        <v>43952</v>
      </c>
      <c r="J989" s="6">
        <v>50</v>
      </c>
      <c r="K989" s="6">
        <v>50</v>
      </c>
      <c r="L989" s="6">
        <v>0</v>
      </c>
      <c r="M989" s="6">
        <v>0</v>
      </c>
      <c r="N989" s="6">
        <v>0</v>
      </c>
      <c r="O989" s="6">
        <v>0</v>
      </c>
      <c r="P989" s="6">
        <v>1</v>
      </c>
      <c r="Q989" s="4" t="s">
        <v>26</v>
      </c>
      <c r="R989" s="4">
        <v>0</v>
      </c>
      <c r="S989" s="4" t="s">
        <v>354</v>
      </c>
      <c r="U989" s="4">
        <v>26</v>
      </c>
      <c r="V989" s="4">
        <v>0</v>
      </c>
      <c r="W989" s="4">
        <v>0</v>
      </c>
    </row>
    <row r="990" spans="1:23" ht="11.25" customHeight="1" x14ac:dyDescent="0.25">
      <c r="A990" s="4" t="s">
        <v>28</v>
      </c>
      <c r="B990" s="4" t="s">
        <v>33</v>
      </c>
      <c r="C990" s="4" t="s">
        <v>34</v>
      </c>
      <c r="D990" s="4" t="s">
        <v>24</v>
      </c>
      <c r="E990" s="4" t="s">
        <v>24</v>
      </c>
      <c r="F990" s="4" t="s">
        <v>25</v>
      </c>
      <c r="G990" s="4" t="s">
        <v>25</v>
      </c>
      <c r="H990" s="4" t="s">
        <v>25</v>
      </c>
      <c r="I990" s="5">
        <v>43952</v>
      </c>
      <c r="J990" s="6">
        <v>110</v>
      </c>
      <c r="K990" s="6">
        <v>110</v>
      </c>
      <c r="L990" s="6">
        <v>0</v>
      </c>
      <c r="M990" s="6">
        <v>0</v>
      </c>
      <c r="N990" s="6">
        <v>0</v>
      </c>
      <c r="O990" s="6">
        <v>0</v>
      </c>
      <c r="P990" s="6">
        <v>3</v>
      </c>
      <c r="Q990" s="4" t="s">
        <v>26</v>
      </c>
      <c r="R990" s="4">
        <v>0</v>
      </c>
      <c r="S990" s="4" t="s">
        <v>354</v>
      </c>
      <c r="U990" s="4">
        <v>26</v>
      </c>
      <c r="V990" s="4">
        <v>0</v>
      </c>
      <c r="W990" s="4">
        <v>0</v>
      </c>
    </row>
    <row r="991" spans="1:23" ht="11.25" customHeight="1" x14ac:dyDescent="0.25">
      <c r="A991" s="4" t="s">
        <v>21</v>
      </c>
      <c r="B991" s="4" t="s">
        <v>33</v>
      </c>
      <c r="C991" s="4" t="s">
        <v>34</v>
      </c>
      <c r="D991" s="4" t="s">
        <v>24</v>
      </c>
      <c r="E991" s="4" t="s">
        <v>24</v>
      </c>
      <c r="F991" s="4" t="s">
        <v>25</v>
      </c>
      <c r="G991" s="4" t="s">
        <v>25</v>
      </c>
      <c r="H991" s="4" t="s">
        <v>25</v>
      </c>
      <c r="I991" s="5">
        <v>43983</v>
      </c>
      <c r="J991" s="6">
        <v>1142</v>
      </c>
      <c r="K991" s="6">
        <v>1142</v>
      </c>
      <c r="L991" s="6">
        <v>0</v>
      </c>
      <c r="M991" s="6">
        <v>0</v>
      </c>
      <c r="N991" s="6">
        <v>0</v>
      </c>
      <c r="O991" s="6">
        <v>0</v>
      </c>
      <c r="P991" s="6">
        <v>24</v>
      </c>
      <c r="Q991" s="4" t="s">
        <v>26</v>
      </c>
      <c r="R991" s="4">
        <v>0</v>
      </c>
      <c r="S991" s="4" t="s">
        <v>355</v>
      </c>
      <c r="U991" s="4">
        <v>26</v>
      </c>
      <c r="V991" s="4">
        <v>0</v>
      </c>
      <c r="W991" s="4">
        <v>0</v>
      </c>
    </row>
    <row r="992" spans="1:23" ht="11.25" customHeight="1" x14ac:dyDescent="0.25">
      <c r="A992" s="4" t="s">
        <v>27</v>
      </c>
      <c r="B992" s="4" t="s">
        <v>33</v>
      </c>
      <c r="C992" s="4" t="s">
        <v>34</v>
      </c>
      <c r="D992" s="4" t="s">
        <v>24</v>
      </c>
      <c r="E992" s="4" t="s">
        <v>24</v>
      </c>
      <c r="F992" s="4" t="s">
        <v>25</v>
      </c>
      <c r="G992" s="4" t="s">
        <v>25</v>
      </c>
      <c r="H992" s="4" t="s">
        <v>25</v>
      </c>
      <c r="I992" s="5">
        <v>43983</v>
      </c>
      <c r="J992" s="6">
        <v>50</v>
      </c>
      <c r="K992" s="6">
        <v>50</v>
      </c>
      <c r="L992" s="6">
        <v>0</v>
      </c>
      <c r="M992" s="6">
        <v>0</v>
      </c>
      <c r="N992" s="6">
        <v>0</v>
      </c>
      <c r="O992" s="6">
        <v>0</v>
      </c>
      <c r="P992" s="6">
        <v>1</v>
      </c>
      <c r="Q992" s="4" t="s">
        <v>26</v>
      </c>
      <c r="R992" s="4">
        <v>0</v>
      </c>
      <c r="S992" s="4" t="s">
        <v>355</v>
      </c>
      <c r="U992" s="4">
        <v>26</v>
      </c>
      <c r="V992" s="4">
        <v>0</v>
      </c>
      <c r="W992" s="4">
        <v>0</v>
      </c>
    </row>
    <row r="993" spans="1:23" ht="11.25" customHeight="1" x14ac:dyDescent="0.25">
      <c r="A993" s="4" t="s">
        <v>28</v>
      </c>
      <c r="B993" s="4" t="s">
        <v>33</v>
      </c>
      <c r="C993" s="4" t="s">
        <v>34</v>
      </c>
      <c r="D993" s="4" t="s">
        <v>24</v>
      </c>
      <c r="E993" s="4" t="s">
        <v>24</v>
      </c>
      <c r="F993" s="4" t="s">
        <v>25</v>
      </c>
      <c r="G993" s="4" t="s">
        <v>25</v>
      </c>
      <c r="H993" s="4" t="s">
        <v>25</v>
      </c>
      <c r="I993" s="5">
        <v>43983</v>
      </c>
      <c r="J993" s="6">
        <v>110</v>
      </c>
      <c r="K993" s="6">
        <v>110</v>
      </c>
      <c r="L993" s="6">
        <v>0</v>
      </c>
      <c r="M993" s="6">
        <v>0</v>
      </c>
      <c r="N993" s="6">
        <v>0</v>
      </c>
      <c r="O993" s="6">
        <v>0</v>
      </c>
      <c r="P993" s="6">
        <v>3</v>
      </c>
      <c r="Q993" s="4" t="s">
        <v>26</v>
      </c>
      <c r="R993" s="4">
        <v>0</v>
      </c>
      <c r="S993" s="4" t="s">
        <v>355</v>
      </c>
      <c r="U993" s="4">
        <v>26</v>
      </c>
      <c r="V993" s="4">
        <v>0</v>
      </c>
      <c r="W993" s="4">
        <v>0</v>
      </c>
    </row>
    <row r="994" spans="1:23" ht="11.25" customHeight="1" x14ac:dyDescent="0.25">
      <c r="A994" s="4" t="s">
        <v>21</v>
      </c>
      <c r="B994" s="4" t="s">
        <v>33</v>
      </c>
      <c r="C994" s="4" t="s">
        <v>34</v>
      </c>
      <c r="D994" s="4" t="s">
        <v>24</v>
      </c>
      <c r="E994" s="4" t="s">
        <v>24</v>
      </c>
      <c r="F994" s="4" t="s">
        <v>25</v>
      </c>
      <c r="G994" s="4" t="s">
        <v>25</v>
      </c>
      <c r="H994" s="4" t="s">
        <v>25</v>
      </c>
      <c r="I994" s="5">
        <v>44013</v>
      </c>
      <c r="J994" s="6">
        <v>1142</v>
      </c>
      <c r="K994" s="6">
        <v>1142</v>
      </c>
      <c r="L994" s="6">
        <v>0</v>
      </c>
      <c r="M994" s="6">
        <v>0</v>
      </c>
      <c r="N994" s="6">
        <v>0</v>
      </c>
      <c r="O994" s="6">
        <v>0</v>
      </c>
      <c r="P994" s="6">
        <v>24</v>
      </c>
      <c r="Q994" s="4" t="s">
        <v>26</v>
      </c>
      <c r="R994" s="4">
        <v>0</v>
      </c>
      <c r="S994" s="4" t="s">
        <v>356</v>
      </c>
      <c r="U994" s="4">
        <v>26</v>
      </c>
      <c r="V994" s="4">
        <v>0</v>
      </c>
      <c r="W994" s="4">
        <v>0</v>
      </c>
    </row>
    <row r="995" spans="1:23" ht="11.25" customHeight="1" x14ac:dyDescent="0.25">
      <c r="A995" s="4" t="s">
        <v>27</v>
      </c>
      <c r="B995" s="4" t="s">
        <v>33</v>
      </c>
      <c r="C995" s="4" t="s">
        <v>34</v>
      </c>
      <c r="D995" s="4" t="s">
        <v>24</v>
      </c>
      <c r="E995" s="4" t="s">
        <v>24</v>
      </c>
      <c r="F995" s="4" t="s">
        <v>25</v>
      </c>
      <c r="G995" s="4" t="s">
        <v>25</v>
      </c>
      <c r="H995" s="4" t="s">
        <v>25</v>
      </c>
      <c r="I995" s="5">
        <v>44013</v>
      </c>
      <c r="J995" s="6">
        <v>50</v>
      </c>
      <c r="K995" s="6">
        <v>50</v>
      </c>
      <c r="L995" s="6">
        <v>0</v>
      </c>
      <c r="M995" s="6">
        <v>0</v>
      </c>
      <c r="N995" s="6">
        <v>0</v>
      </c>
      <c r="O995" s="6">
        <v>0</v>
      </c>
      <c r="P995" s="6">
        <v>1</v>
      </c>
      <c r="Q995" s="4" t="s">
        <v>26</v>
      </c>
      <c r="R995" s="4">
        <v>0</v>
      </c>
      <c r="S995" s="4" t="s">
        <v>356</v>
      </c>
      <c r="U995" s="4">
        <v>26</v>
      </c>
      <c r="V995" s="4">
        <v>0</v>
      </c>
      <c r="W995" s="4">
        <v>0</v>
      </c>
    </row>
    <row r="996" spans="1:23" ht="11.25" customHeight="1" x14ac:dyDescent="0.25">
      <c r="A996" s="4" t="s">
        <v>28</v>
      </c>
      <c r="B996" s="4" t="s">
        <v>33</v>
      </c>
      <c r="C996" s="4" t="s">
        <v>34</v>
      </c>
      <c r="D996" s="4" t="s">
        <v>24</v>
      </c>
      <c r="E996" s="4" t="s">
        <v>24</v>
      </c>
      <c r="F996" s="4" t="s">
        <v>25</v>
      </c>
      <c r="G996" s="4" t="s">
        <v>25</v>
      </c>
      <c r="H996" s="4" t="s">
        <v>25</v>
      </c>
      <c r="I996" s="5">
        <v>44013</v>
      </c>
      <c r="J996" s="6">
        <v>110</v>
      </c>
      <c r="K996" s="6">
        <v>110</v>
      </c>
      <c r="L996" s="6">
        <v>0</v>
      </c>
      <c r="M996" s="6">
        <v>0</v>
      </c>
      <c r="N996" s="6">
        <v>0</v>
      </c>
      <c r="O996" s="6">
        <v>0</v>
      </c>
      <c r="P996" s="6">
        <v>3</v>
      </c>
      <c r="Q996" s="4" t="s">
        <v>26</v>
      </c>
      <c r="R996" s="4">
        <v>0</v>
      </c>
      <c r="S996" s="4" t="s">
        <v>356</v>
      </c>
      <c r="U996" s="4">
        <v>26</v>
      </c>
      <c r="V996" s="4">
        <v>0</v>
      </c>
      <c r="W996" s="4">
        <v>0</v>
      </c>
    </row>
    <row r="997" spans="1:23" ht="11.25" customHeight="1" x14ac:dyDescent="0.25">
      <c r="A997" s="4" t="s">
        <v>21</v>
      </c>
      <c r="B997" s="4" t="s">
        <v>33</v>
      </c>
      <c r="C997" s="4" t="s">
        <v>34</v>
      </c>
      <c r="D997" s="4" t="s">
        <v>24</v>
      </c>
      <c r="E997" s="4" t="s">
        <v>24</v>
      </c>
      <c r="F997" s="4" t="s">
        <v>25</v>
      </c>
      <c r="G997" s="4" t="s">
        <v>25</v>
      </c>
      <c r="H997" s="4" t="s">
        <v>25</v>
      </c>
      <c r="I997" s="5">
        <v>44044</v>
      </c>
      <c r="J997" s="6">
        <v>1189</v>
      </c>
      <c r="K997" s="6">
        <v>1189</v>
      </c>
      <c r="L997" s="6">
        <v>0</v>
      </c>
      <c r="M997" s="6">
        <v>0</v>
      </c>
      <c r="N997" s="6">
        <v>0</v>
      </c>
      <c r="O997" s="6">
        <v>0</v>
      </c>
      <c r="P997" s="6">
        <v>25</v>
      </c>
      <c r="Q997" s="4" t="s">
        <v>26</v>
      </c>
      <c r="R997" s="4">
        <v>0</v>
      </c>
      <c r="S997" s="4" t="s">
        <v>357</v>
      </c>
      <c r="U997" s="4">
        <v>26</v>
      </c>
      <c r="V997" s="4">
        <v>0</v>
      </c>
      <c r="W997" s="4">
        <v>0</v>
      </c>
    </row>
    <row r="998" spans="1:23" ht="11.25" customHeight="1" x14ac:dyDescent="0.25">
      <c r="A998" s="4" t="s">
        <v>28</v>
      </c>
      <c r="B998" s="4" t="s">
        <v>33</v>
      </c>
      <c r="C998" s="4" t="s">
        <v>34</v>
      </c>
      <c r="D998" s="4" t="s">
        <v>24</v>
      </c>
      <c r="E998" s="4" t="s">
        <v>24</v>
      </c>
      <c r="F998" s="4" t="s">
        <v>25</v>
      </c>
      <c r="G998" s="4" t="s">
        <v>25</v>
      </c>
      <c r="H998" s="4" t="s">
        <v>25</v>
      </c>
      <c r="I998" s="5">
        <v>44044</v>
      </c>
      <c r="J998" s="6">
        <v>110</v>
      </c>
      <c r="K998" s="6">
        <v>110</v>
      </c>
      <c r="L998" s="6">
        <v>0</v>
      </c>
      <c r="M998" s="6">
        <v>0</v>
      </c>
      <c r="N998" s="6">
        <v>0</v>
      </c>
      <c r="O998" s="6">
        <v>0</v>
      </c>
      <c r="P998" s="6">
        <v>3</v>
      </c>
      <c r="Q998" s="4" t="s">
        <v>26</v>
      </c>
      <c r="R998" s="4">
        <v>0</v>
      </c>
      <c r="S998" s="4" t="s">
        <v>357</v>
      </c>
      <c r="U998" s="4">
        <v>26</v>
      </c>
      <c r="V998" s="4">
        <v>0</v>
      </c>
      <c r="W998" s="4">
        <v>0</v>
      </c>
    </row>
    <row r="999" spans="1:23" ht="11.25" customHeight="1" x14ac:dyDescent="0.25">
      <c r="A999" s="4" t="s">
        <v>59</v>
      </c>
      <c r="B999" s="4" t="s">
        <v>33</v>
      </c>
      <c r="C999" s="4" t="s">
        <v>34</v>
      </c>
      <c r="D999" s="4" t="s">
        <v>24</v>
      </c>
      <c r="E999" s="4" t="s">
        <v>24</v>
      </c>
      <c r="F999" s="4" t="s">
        <v>25</v>
      </c>
      <c r="G999" s="4" t="s">
        <v>25</v>
      </c>
      <c r="H999" s="4" t="s">
        <v>25</v>
      </c>
      <c r="I999" s="5">
        <v>44075</v>
      </c>
      <c r="J999" s="6">
        <v>1189</v>
      </c>
      <c r="K999" s="6">
        <v>1189</v>
      </c>
      <c r="L999" s="6">
        <v>0</v>
      </c>
      <c r="M999" s="6">
        <v>0</v>
      </c>
      <c r="N999" s="6">
        <v>0</v>
      </c>
      <c r="O999" s="6">
        <v>0</v>
      </c>
      <c r="P999" s="6">
        <v>25</v>
      </c>
      <c r="Q999" s="4" t="s">
        <v>26</v>
      </c>
      <c r="R999" s="4">
        <v>0</v>
      </c>
      <c r="S999" s="4" t="s">
        <v>358</v>
      </c>
      <c r="U999" s="4">
        <v>26</v>
      </c>
      <c r="V999" s="4">
        <v>0</v>
      </c>
      <c r="W999" s="4">
        <v>0</v>
      </c>
    </row>
    <row r="1000" spans="1:23" ht="11.25" customHeight="1" x14ac:dyDescent="0.25">
      <c r="A1000" s="4" t="s">
        <v>59</v>
      </c>
      <c r="B1000" s="4" t="s">
        <v>33</v>
      </c>
      <c r="C1000" s="4" t="s">
        <v>34</v>
      </c>
      <c r="D1000" s="4" t="s">
        <v>24</v>
      </c>
      <c r="E1000" s="4" t="s">
        <v>24</v>
      </c>
      <c r="F1000" s="4" t="s">
        <v>25</v>
      </c>
      <c r="G1000" s="4" t="s">
        <v>25</v>
      </c>
      <c r="H1000" s="4" t="s">
        <v>25</v>
      </c>
      <c r="I1000" s="5">
        <v>44075</v>
      </c>
      <c r="J1000" s="6">
        <v>110</v>
      </c>
      <c r="K1000" s="6">
        <v>110</v>
      </c>
      <c r="L1000" s="6">
        <v>0</v>
      </c>
      <c r="M1000" s="6">
        <v>0</v>
      </c>
      <c r="N1000" s="6">
        <v>0</v>
      </c>
      <c r="O1000" s="6">
        <v>0</v>
      </c>
      <c r="P1000" s="6">
        <v>3</v>
      </c>
      <c r="Q1000" s="4" t="s">
        <v>26</v>
      </c>
      <c r="R1000" s="4">
        <v>0</v>
      </c>
      <c r="S1000" s="4" t="s">
        <v>358</v>
      </c>
      <c r="U1000" s="4">
        <v>26</v>
      </c>
      <c r="V1000" s="4">
        <v>0</v>
      </c>
      <c r="W1000" s="4">
        <v>0</v>
      </c>
    </row>
    <row r="1001" spans="1:23" ht="11.25" customHeight="1" x14ac:dyDescent="0.25">
      <c r="A1001" s="4" t="s">
        <v>21</v>
      </c>
      <c r="B1001" s="4" t="s">
        <v>33</v>
      </c>
      <c r="C1001" s="4" t="s">
        <v>34</v>
      </c>
      <c r="D1001" s="4" t="s">
        <v>24</v>
      </c>
      <c r="E1001" s="4" t="s">
        <v>24</v>
      </c>
      <c r="F1001" s="4" t="s">
        <v>25</v>
      </c>
      <c r="G1001" s="4" t="s">
        <v>25</v>
      </c>
      <c r="H1001" s="4" t="s">
        <v>35</v>
      </c>
      <c r="I1001" s="5">
        <v>43739</v>
      </c>
      <c r="J1001" s="6">
        <v>0</v>
      </c>
      <c r="K1001" s="6">
        <v>0</v>
      </c>
      <c r="L1001" s="6">
        <v>13.86</v>
      </c>
      <c r="M1001" s="6">
        <v>13.86</v>
      </c>
      <c r="N1001" s="6">
        <v>13.86</v>
      </c>
      <c r="O1001" s="6">
        <v>13.86</v>
      </c>
      <c r="P1001" s="6">
        <v>0</v>
      </c>
      <c r="Q1001" s="4" t="s">
        <v>26</v>
      </c>
      <c r="R1001" s="4">
        <v>0</v>
      </c>
      <c r="S1001" s="4" t="s">
        <v>359</v>
      </c>
      <c r="T1001" s="4" t="s">
        <v>712</v>
      </c>
      <c r="U1001" s="4">
        <v>0</v>
      </c>
      <c r="V1001" s="4">
        <v>27</v>
      </c>
      <c r="W1001" s="4">
        <v>81</v>
      </c>
    </row>
    <row r="1002" spans="1:23" ht="11.25" customHeight="1" x14ac:dyDescent="0.25">
      <c r="A1002" s="4" t="s">
        <v>27</v>
      </c>
      <c r="B1002" s="4" t="s">
        <v>33</v>
      </c>
      <c r="C1002" s="4" t="s">
        <v>34</v>
      </c>
      <c r="D1002" s="4" t="s">
        <v>24</v>
      </c>
      <c r="E1002" s="4" t="s">
        <v>24</v>
      </c>
      <c r="F1002" s="4" t="s">
        <v>25</v>
      </c>
      <c r="G1002" s="4" t="s">
        <v>25</v>
      </c>
      <c r="H1002" s="4" t="s">
        <v>35</v>
      </c>
      <c r="I1002" s="5">
        <v>43739</v>
      </c>
      <c r="J1002" s="6">
        <v>0</v>
      </c>
      <c r="K1002" s="6">
        <v>0</v>
      </c>
      <c r="L1002" s="6">
        <v>0.80400000000000005</v>
      </c>
      <c r="M1002" s="6">
        <v>0.80400000000000005</v>
      </c>
      <c r="N1002" s="6">
        <v>0.80400000000000005</v>
      </c>
      <c r="O1002" s="6">
        <v>0.80400000000000005</v>
      </c>
      <c r="P1002" s="6">
        <v>0</v>
      </c>
      <c r="Q1002" s="4" t="s">
        <v>26</v>
      </c>
      <c r="R1002" s="4">
        <v>0</v>
      </c>
      <c r="S1002" s="4" t="s">
        <v>359</v>
      </c>
      <c r="T1002" s="4" t="s">
        <v>712</v>
      </c>
      <c r="U1002" s="4">
        <v>0</v>
      </c>
      <c r="V1002" s="4">
        <v>27</v>
      </c>
      <c r="W1002" s="4">
        <v>81</v>
      </c>
    </row>
    <row r="1003" spans="1:23" ht="11.25" customHeight="1" x14ac:dyDescent="0.25">
      <c r="A1003" s="4" t="s">
        <v>21</v>
      </c>
      <c r="B1003" s="4" t="s">
        <v>33</v>
      </c>
      <c r="C1003" s="4" t="s">
        <v>34</v>
      </c>
      <c r="D1003" s="4" t="s">
        <v>24</v>
      </c>
      <c r="E1003" s="4" t="s">
        <v>24</v>
      </c>
      <c r="F1003" s="4" t="s">
        <v>25</v>
      </c>
      <c r="G1003" s="4" t="s">
        <v>25</v>
      </c>
      <c r="H1003" s="4" t="s">
        <v>35</v>
      </c>
      <c r="I1003" s="5">
        <v>43770</v>
      </c>
      <c r="J1003" s="6">
        <v>0</v>
      </c>
      <c r="K1003" s="6">
        <v>0</v>
      </c>
      <c r="L1003" s="6">
        <v>14.03</v>
      </c>
      <c r="M1003" s="6">
        <v>14.03</v>
      </c>
      <c r="N1003" s="6">
        <v>14.03</v>
      </c>
      <c r="O1003" s="6">
        <v>14.03</v>
      </c>
      <c r="P1003" s="6">
        <v>0</v>
      </c>
      <c r="Q1003" s="4" t="s">
        <v>26</v>
      </c>
      <c r="R1003" s="4">
        <v>0</v>
      </c>
      <c r="S1003" s="4" t="s">
        <v>360</v>
      </c>
      <c r="T1003" s="4" t="s">
        <v>713</v>
      </c>
      <c r="U1003" s="4">
        <v>0</v>
      </c>
      <c r="V1003" s="4">
        <v>27</v>
      </c>
      <c r="W1003" s="4">
        <v>81</v>
      </c>
    </row>
    <row r="1004" spans="1:23" ht="11.25" customHeight="1" x14ac:dyDescent="0.25">
      <c r="A1004" s="4" t="s">
        <v>27</v>
      </c>
      <c r="B1004" s="4" t="s">
        <v>33</v>
      </c>
      <c r="C1004" s="4" t="s">
        <v>34</v>
      </c>
      <c r="D1004" s="4" t="s">
        <v>24</v>
      </c>
      <c r="E1004" s="4" t="s">
        <v>24</v>
      </c>
      <c r="F1004" s="4" t="s">
        <v>25</v>
      </c>
      <c r="G1004" s="4" t="s">
        <v>25</v>
      </c>
      <c r="H1004" s="4" t="s">
        <v>35</v>
      </c>
      <c r="I1004" s="5">
        <v>43770</v>
      </c>
      <c r="J1004" s="6">
        <v>0</v>
      </c>
      <c r="K1004" s="6">
        <v>0</v>
      </c>
      <c r="L1004" s="6">
        <v>0.63200000000000001</v>
      </c>
      <c r="M1004" s="6">
        <v>0.63200000000000001</v>
      </c>
      <c r="N1004" s="6">
        <v>0.63200000000000001</v>
      </c>
      <c r="O1004" s="6">
        <v>0.63200000000000001</v>
      </c>
      <c r="P1004" s="6">
        <v>0</v>
      </c>
      <c r="Q1004" s="4" t="s">
        <v>26</v>
      </c>
      <c r="R1004" s="4">
        <v>0</v>
      </c>
      <c r="S1004" s="4" t="s">
        <v>360</v>
      </c>
      <c r="T1004" s="4" t="s">
        <v>713</v>
      </c>
      <c r="U1004" s="4">
        <v>0</v>
      </c>
      <c r="V1004" s="4">
        <v>27</v>
      </c>
      <c r="W1004" s="4">
        <v>81</v>
      </c>
    </row>
    <row r="1005" spans="1:23" ht="11.25" customHeight="1" x14ac:dyDescent="0.25">
      <c r="A1005" s="4" t="s">
        <v>28</v>
      </c>
      <c r="B1005" s="4" t="s">
        <v>33</v>
      </c>
      <c r="C1005" s="4" t="s">
        <v>34</v>
      </c>
      <c r="D1005" s="4" t="s">
        <v>24</v>
      </c>
      <c r="E1005" s="4" t="s">
        <v>24</v>
      </c>
      <c r="F1005" s="4" t="s">
        <v>25</v>
      </c>
      <c r="G1005" s="4" t="s">
        <v>25</v>
      </c>
      <c r="H1005" s="4" t="s">
        <v>35</v>
      </c>
      <c r="I1005" s="5">
        <v>43770</v>
      </c>
      <c r="J1005" s="6">
        <v>0</v>
      </c>
      <c r="K1005" s="6">
        <v>0</v>
      </c>
      <c r="L1005" s="6">
        <v>0.7</v>
      </c>
      <c r="M1005" s="6">
        <v>0.7</v>
      </c>
      <c r="N1005" s="6">
        <v>0.7</v>
      </c>
      <c r="O1005" s="6">
        <v>0.7</v>
      </c>
      <c r="P1005" s="6">
        <v>0</v>
      </c>
      <c r="Q1005" s="4" t="s">
        <v>26</v>
      </c>
      <c r="R1005" s="4">
        <v>0</v>
      </c>
      <c r="S1005" s="4" t="s">
        <v>360</v>
      </c>
      <c r="T1005" s="4" t="s">
        <v>713</v>
      </c>
      <c r="U1005" s="4">
        <v>0</v>
      </c>
      <c r="V1005" s="4">
        <v>27</v>
      </c>
      <c r="W1005" s="4">
        <v>81</v>
      </c>
    </row>
    <row r="1006" spans="1:23" ht="11.25" customHeight="1" x14ac:dyDescent="0.25">
      <c r="A1006" s="4" t="s">
        <v>21</v>
      </c>
      <c r="B1006" s="4" t="s">
        <v>33</v>
      </c>
      <c r="C1006" s="4" t="s">
        <v>34</v>
      </c>
      <c r="D1006" s="4" t="s">
        <v>24</v>
      </c>
      <c r="E1006" s="4" t="s">
        <v>24</v>
      </c>
      <c r="F1006" s="4" t="s">
        <v>25</v>
      </c>
      <c r="G1006" s="4" t="s">
        <v>25</v>
      </c>
      <c r="H1006" s="4" t="s">
        <v>35</v>
      </c>
      <c r="I1006" s="5">
        <v>43800</v>
      </c>
      <c r="J1006" s="6">
        <v>0</v>
      </c>
      <c r="K1006" s="6">
        <v>0</v>
      </c>
      <c r="L1006" s="6">
        <v>12.744</v>
      </c>
      <c r="M1006" s="6">
        <v>12.744</v>
      </c>
      <c r="N1006" s="6">
        <v>12.744</v>
      </c>
      <c r="O1006" s="6">
        <v>12.744</v>
      </c>
      <c r="P1006" s="6">
        <v>0</v>
      </c>
      <c r="Q1006" s="4" t="s">
        <v>26</v>
      </c>
      <c r="R1006" s="4">
        <v>0</v>
      </c>
      <c r="S1006" s="4" t="s">
        <v>361</v>
      </c>
      <c r="T1006" s="4" t="s">
        <v>714</v>
      </c>
      <c r="U1006" s="4">
        <v>0</v>
      </c>
      <c r="V1006" s="4">
        <v>27</v>
      </c>
      <c r="W1006" s="4">
        <v>81</v>
      </c>
    </row>
    <row r="1007" spans="1:23" ht="11.25" customHeight="1" x14ac:dyDescent="0.25">
      <c r="A1007" s="4" t="s">
        <v>27</v>
      </c>
      <c r="B1007" s="4" t="s">
        <v>33</v>
      </c>
      <c r="C1007" s="4" t="s">
        <v>34</v>
      </c>
      <c r="D1007" s="4" t="s">
        <v>24</v>
      </c>
      <c r="E1007" s="4" t="s">
        <v>24</v>
      </c>
      <c r="F1007" s="4" t="s">
        <v>25</v>
      </c>
      <c r="G1007" s="4" t="s">
        <v>25</v>
      </c>
      <c r="H1007" s="4" t="s">
        <v>35</v>
      </c>
      <c r="I1007" s="5">
        <v>43800</v>
      </c>
      <c r="J1007" s="6">
        <v>0</v>
      </c>
      <c r="K1007" s="6">
        <v>0</v>
      </c>
      <c r="L1007" s="6">
        <v>0.71799999999999997</v>
      </c>
      <c r="M1007" s="6">
        <v>0.71799999999999997</v>
      </c>
      <c r="N1007" s="6">
        <v>0.71799999999999997</v>
      </c>
      <c r="O1007" s="6">
        <v>0.71799999999999997</v>
      </c>
      <c r="P1007" s="6">
        <v>0</v>
      </c>
      <c r="Q1007" s="4" t="s">
        <v>26</v>
      </c>
      <c r="R1007" s="4">
        <v>0</v>
      </c>
      <c r="S1007" s="4" t="s">
        <v>361</v>
      </c>
      <c r="T1007" s="4" t="s">
        <v>714</v>
      </c>
      <c r="U1007" s="4">
        <v>0</v>
      </c>
      <c r="V1007" s="4">
        <v>27</v>
      </c>
      <c r="W1007" s="4">
        <v>81</v>
      </c>
    </row>
    <row r="1008" spans="1:23" ht="11.25" customHeight="1" x14ac:dyDescent="0.25">
      <c r="A1008" s="4" t="s">
        <v>28</v>
      </c>
      <c r="B1008" s="4" t="s">
        <v>33</v>
      </c>
      <c r="C1008" s="4" t="s">
        <v>34</v>
      </c>
      <c r="D1008" s="4" t="s">
        <v>24</v>
      </c>
      <c r="E1008" s="4" t="s">
        <v>24</v>
      </c>
      <c r="F1008" s="4" t="s">
        <v>25</v>
      </c>
      <c r="G1008" s="4" t="s">
        <v>25</v>
      </c>
      <c r="H1008" s="4" t="s">
        <v>35</v>
      </c>
      <c r="I1008" s="5">
        <v>43800</v>
      </c>
      <c r="J1008" s="6">
        <v>0</v>
      </c>
      <c r="K1008" s="6">
        <v>0</v>
      </c>
      <c r="L1008" s="6">
        <v>0.61599999999999999</v>
      </c>
      <c r="M1008" s="6">
        <v>0.61599999999999999</v>
      </c>
      <c r="N1008" s="6">
        <v>0.61599999999999999</v>
      </c>
      <c r="O1008" s="6">
        <v>0.61599999999999999</v>
      </c>
      <c r="P1008" s="6">
        <v>0</v>
      </c>
      <c r="Q1008" s="4" t="s">
        <v>26</v>
      </c>
      <c r="R1008" s="4">
        <v>0</v>
      </c>
      <c r="S1008" s="4" t="s">
        <v>361</v>
      </c>
      <c r="T1008" s="4" t="s">
        <v>714</v>
      </c>
      <c r="U1008" s="4">
        <v>0</v>
      </c>
      <c r="V1008" s="4">
        <v>27</v>
      </c>
      <c r="W1008" s="4">
        <v>81</v>
      </c>
    </row>
    <row r="1009" spans="1:23" ht="11.25" customHeight="1" x14ac:dyDescent="0.25">
      <c r="A1009" s="4" t="s">
        <v>21</v>
      </c>
      <c r="B1009" s="4" t="s">
        <v>33</v>
      </c>
      <c r="C1009" s="4" t="s">
        <v>34</v>
      </c>
      <c r="D1009" s="4" t="s">
        <v>24</v>
      </c>
      <c r="E1009" s="4" t="s">
        <v>24</v>
      </c>
      <c r="F1009" s="4" t="s">
        <v>25</v>
      </c>
      <c r="G1009" s="4" t="s">
        <v>25</v>
      </c>
      <c r="H1009" s="4" t="s">
        <v>35</v>
      </c>
      <c r="I1009" s="5">
        <v>43831</v>
      </c>
      <c r="J1009" s="6">
        <v>0</v>
      </c>
      <c r="K1009" s="6">
        <v>0</v>
      </c>
      <c r="L1009" s="6">
        <v>11.664999999999999</v>
      </c>
      <c r="M1009" s="6">
        <v>11.664999999999999</v>
      </c>
      <c r="N1009" s="6">
        <v>11.664999999999999</v>
      </c>
      <c r="O1009" s="6">
        <v>11.664999999999999</v>
      </c>
      <c r="P1009" s="6">
        <v>0</v>
      </c>
      <c r="Q1009" s="4" t="s">
        <v>26</v>
      </c>
      <c r="R1009" s="4">
        <v>0</v>
      </c>
      <c r="S1009" s="4" t="s">
        <v>362</v>
      </c>
      <c r="T1009" s="4" t="s">
        <v>715</v>
      </c>
      <c r="U1009" s="4">
        <v>0</v>
      </c>
      <c r="V1009" s="4">
        <v>27</v>
      </c>
      <c r="W1009" s="4">
        <v>81</v>
      </c>
    </row>
    <row r="1010" spans="1:23" ht="11.25" customHeight="1" x14ac:dyDescent="0.25">
      <c r="A1010" s="4" t="s">
        <v>27</v>
      </c>
      <c r="B1010" s="4" t="s">
        <v>33</v>
      </c>
      <c r="C1010" s="4" t="s">
        <v>34</v>
      </c>
      <c r="D1010" s="4" t="s">
        <v>24</v>
      </c>
      <c r="E1010" s="4" t="s">
        <v>24</v>
      </c>
      <c r="F1010" s="4" t="s">
        <v>25</v>
      </c>
      <c r="G1010" s="4" t="s">
        <v>25</v>
      </c>
      <c r="H1010" s="4" t="s">
        <v>35</v>
      </c>
      <c r="I1010" s="5">
        <v>43831</v>
      </c>
      <c r="J1010" s="6">
        <v>0</v>
      </c>
      <c r="K1010" s="6">
        <v>0</v>
      </c>
      <c r="L1010" s="6">
        <v>0.65900000000000003</v>
      </c>
      <c r="M1010" s="6">
        <v>0.65900000000000003</v>
      </c>
      <c r="N1010" s="6">
        <v>0.65900000000000003</v>
      </c>
      <c r="O1010" s="6">
        <v>0.65900000000000003</v>
      </c>
      <c r="P1010" s="6">
        <v>0</v>
      </c>
      <c r="Q1010" s="4" t="s">
        <v>26</v>
      </c>
      <c r="R1010" s="4">
        <v>0</v>
      </c>
      <c r="S1010" s="4" t="s">
        <v>362</v>
      </c>
      <c r="T1010" s="4" t="s">
        <v>715</v>
      </c>
      <c r="U1010" s="4">
        <v>0</v>
      </c>
      <c r="V1010" s="4">
        <v>27</v>
      </c>
      <c r="W1010" s="4">
        <v>81</v>
      </c>
    </row>
    <row r="1011" spans="1:23" ht="11.25" customHeight="1" x14ac:dyDescent="0.25">
      <c r="A1011" s="4" t="s">
        <v>28</v>
      </c>
      <c r="B1011" s="4" t="s">
        <v>33</v>
      </c>
      <c r="C1011" s="4" t="s">
        <v>34</v>
      </c>
      <c r="D1011" s="4" t="s">
        <v>24</v>
      </c>
      <c r="E1011" s="4" t="s">
        <v>24</v>
      </c>
      <c r="F1011" s="4" t="s">
        <v>25</v>
      </c>
      <c r="G1011" s="4" t="s">
        <v>25</v>
      </c>
      <c r="H1011" s="4" t="s">
        <v>35</v>
      </c>
      <c r="I1011" s="5">
        <v>43831</v>
      </c>
      <c r="J1011" s="6">
        <v>0</v>
      </c>
      <c r="K1011" s="6">
        <v>0</v>
      </c>
      <c r="L1011" s="6">
        <v>0.254</v>
      </c>
      <c r="M1011" s="6">
        <v>0.254</v>
      </c>
      <c r="N1011" s="6">
        <v>0.254</v>
      </c>
      <c r="O1011" s="6">
        <v>0.254</v>
      </c>
      <c r="P1011" s="6">
        <v>0</v>
      </c>
      <c r="Q1011" s="4" t="s">
        <v>26</v>
      </c>
      <c r="R1011" s="4">
        <v>0</v>
      </c>
      <c r="S1011" s="4" t="s">
        <v>362</v>
      </c>
      <c r="T1011" s="4" t="s">
        <v>715</v>
      </c>
      <c r="U1011" s="4">
        <v>0</v>
      </c>
      <c r="V1011" s="4">
        <v>27</v>
      </c>
      <c r="W1011" s="4">
        <v>81</v>
      </c>
    </row>
    <row r="1012" spans="1:23" ht="11.25" customHeight="1" x14ac:dyDescent="0.25">
      <c r="A1012" s="4" t="s">
        <v>21</v>
      </c>
      <c r="B1012" s="4" t="s">
        <v>33</v>
      </c>
      <c r="C1012" s="4" t="s">
        <v>34</v>
      </c>
      <c r="D1012" s="4" t="s">
        <v>24</v>
      </c>
      <c r="E1012" s="4" t="s">
        <v>24</v>
      </c>
      <c r="F1012" s="4" t="s">
        <v>25</v>
      </c>
      <c r="G1012" s="4" t="s">
        <v>25</v>
      </c>
      <c r="H1012" s="4" t="s">
        <v>35</v>
      </c>
      <c r="I1012" s="5">
        <v>43862</v>
      </c>
      <c r="J1012" s="6">
        <v>0</v>
      </c>
      <c r="K1012" s="6">
        <v>0</v>
      </c>
      <c r="L1012" s="6">
        <v>11.734999999999999</v>
      </c>
      <c r="M1012" s="6">
        <v>11.734999999999999</v>
      </c>
      <c r="N1012" s="6">
        <v>11.734999999999999</v>
      </c>
      <c r="O1012" s="6">
        <v>11.734999999999999</v>
      </c>
      <c r="P1012" s="6">
        <v>0</v>
      </c>
      <c r="Q1012" s="4" t="s">
        <v>26</v>
      </c>
      <c r="R1012" s="4">
        <v>0</v>
      </c>
      <c r="S1012" s="4" t="s">
        <v>363</v>
      </c>
      <c r="T1012" s="4" t="s">
        <v>716</v>
      </c>
      <c r="U1012" s="4">
        <v>0</v>
      </c>
      <c r="V1012" s="4">
        <v>27</v>
      </c>
      <c r="W1012" s="4">
        <v>81</v>
      </c>
    </row>
    <row r="1013" spans="1:23" ht="11.25" customHeight="1" x14ac:dyDescent="0.25">
      <c r="A1013" s="4" t="s">
        <v>27</v>
      </c>
      <c r="B1013" s="4" t="s">
        <v>33</v>
      </c>
      <c r="C1013" s="4" t="s">
        <v>34</v>
      </c>
      <c r="D1013" s="4" t="s">
        <v>24</v>
      </c>
      <c r="E1013" s="4" t="s">
        <v>24</v>
      </c>
      <c r="F1013" s="4" t="s">
        <v>25</v>
      </c>
      <c r="G1013" s="4" t="s">
        <v>25</v>
      </c>
      <c r="H1013" s="4" t="s">
        <v>35</v>
      </c>
      <c r="I1013" s="5">
        <v>43862</v>
      </c>
      <c r="J1013" s="6">
        <v>0</v>
      </c>
      <c r="K1013" s="6">
        <v>0</v>
      </c>
      <c r="L1013" s="6">
        <v>0.64</v>
      </c>
      <c r="M1013" s="6">
        <v>0.64</v>
      </c>
      <c r="N1013" s="6">
        <v>0.64</v>
      </c>
      <c r="O1013" s="6">
        <v>0.64</v>
      </c>
      <c r="P1013" s="6">
        <v>0</v>
      </c>
      <c r="Q1013" s="4" t="s">
        <v>26</v>
      </c>
      <c r="R1013" s="4">
        <v>0</v>
      </c>
      <c r="S1013" s="4" t="s">
        <v>363</v>
      </c>
      <c r="T1013" s="4" t="s">
        <v>716</v>
      </c>
      <c r="U1013" s="4">
        <v>0</v>
      </c>
      <c r="V1013" s="4">
        <v>27</v>
      </c>
      <c r="W1013" s="4">
        <v>81</v>
      </c>
    </row>
    <row r="1014" spans="1:23" ht="11.25" customHeight="1" x14ac:dyDescent="0.25">
      <c r="A1014" s="4" t="s">
        <v>28</v>
      </c>
      <c r="B1014" s="4" t="s">
        <v>33</v>
      </c>
      <c r="C1014" s="4" t="s">
        <v>34</v>
      </c>
      <c r="D1014" s="4" t="s">
        <v>24</v>
      </c>
      <c r="E1014" s="4" t="s">
        <v>24</v>
      </c>
      <c r="F1014" s="4" t="s">
        <v>25</v>
      </c>
      <c r="G1014" s="4" t="s">
        <v>25</v>
      </c>
      <c r="H1014" s="4" t="s">
        <v>35</v>
      </c>
      <c r="I1014" s="5">
        <v>43862</v>
      </c>
      <c r="J1014" s="6">
        <v>0</v>
      </c>
      <c r="K1014" s="6">
        <v>0</v>
      </c>
      <c r="L1014" s="6">
        <v>0.435</v>
      </c>
      <c r="M1014" s="6">
        <v>0.435</v>
      </c>
      <c r="N1014" s="6">
        <v>0.435</v>
      </c>
      <c r="O1014" s="6">
        <v>0.435</v>
      </c>
      <c r="P1014" s="6">
        <v>0</v>
      </c>
      <c r="Q1014" s="4" t="s">
        <v>26</v>
      </c>
      <c r="R1014" s="4">
        <v>0</v>
      </c>
      <c r="S1014" s="4" t="s">
        <v>363</v>
      </c>
      <c r="T1014" s="4" t="s">
        <v>716</v>
      </c>
      <c r="U1014" s="4">
        <v>0</v>
      </c>
      <c r="V1014" s="4">
        <v>27</v>
      </c>
      <c r="W1014" s="4">
        <v>81</v>
      </c>
    </row>
    <row r="1015" spans="1:23" ht="11.25" customHeight="1" x14ac:dyDescent="0.25">
      <c r="A1015" s="4" t="s">
        <v>21</v>
      </c>
      <c r="B1015" s="4" t="s">
        <v>33</v>
      </c>
      <c r="C1015" s="4" t="s">
        <v>34</v>
      </c>
      <c r="D1015" s="4" t="s">
        <v>24</v>
      </c>
      <c r="E1015" s="4" t="s">
        <v>24</v>
      </c>
      <c r="F1015" s="4" t="s">
        <v>25</v>
      </c>
      <c r="G1015" s="4" t="s">
        <v>25</v>
      </c>
      <c r="H1015" s="4" t="s">
        <v>35</v>
      </c>
      <c r="I1015" s="5">
        <v>43891</v>
      </c>
      <c r="J1015" s="6">
        <v>0</v>
      </c>
      <c r="K1015" s="6">
        <v>0</v>
      </c>
      <c r="L1015" s="6">
        <v>10.946</v>
      </c>
      <c r="M1015" s="6">
        <v>10.946</v>
      </c>
      <c r="N1015" s="6">
        <v>10.946</v>
      </c>
      <c r="O1015" s="6">
        <v>10.946</v>
      </c>
      <c r="P1015" s="6">
        <v>0</v>
      </c>
      <c r="Q1015" s="4" t="s">
        <v>26</v>
      </c>
      <c r="R1015" s="4">
        <v>0</v>
      </c>
      <c r="S1015" s="4" t="s">
        <v>364</v>
      </c>
      <c r="T1015" s="4" t="s">
        <v>717</v>
      </c>
      <c r="U1015" s="4">
        <v>0</v>
      </c>
      <c r="V1015" s="4">
        <v>27</v>
      </c>
      <c r="W1015" s="4">
        <v>81</v>
      </c>
    </row>
    <row r="1016" spans="1:23" ht="11.25" customHeight="1" x14ac:dyDescent="0.25">
      <c r="A1016" s="4" t="s">
        <v>27</v>
      </c>
      <c r="B1016" s="4" t="s">
        <v>33</v>
      </c>
      <c r="C1016" s="4" t="s">
        <v>34</v>
      </c>
      <c r="D1016" s="4" t="s">
        <v>24</v>
      </c>
      <c r="E1016" s="4" t="s">
        <v>24</v>
      </c>
      <c r="F1016" s="4" t="s">
        <v>25</v>
      </c>
      <c r="G1016" s="4" t="s">
        <v>25</v>
      </c>
      <c r="H1016" s="4" t="s">
        <v>35</v>
      </c>
      <c r="I1016" s="5">
        <v>43891</v>
      </c>
      <c r="J1016" s="6">
        <v>0</v>
      </c>
      <c r="K1016" s="6">
        <v>0</v>
      </c>
      <c r="L1016" s="6">
        <v>0.57299999999999995</v>
      </c>
      <c r="M1016" s="6">
        <v>0.57299999999999995</v>
      </c>
      <c r="N1016" s="6">
        <v>0.57299999999999995</v>
      </c>
      <c r="O1016" s="6">
        <v>0.57299999999999995</v>
      </c>
      <c r="P1016" s="6">
        <v>0</v>
      </c>
      <c r="Q1016" s="4" t="s">
        <v>26</v>
      </c>
      <c r="R1016" s="4">
        <v>0</v>
      </c>
      <c r="S1016" s="4" t="s">
        <v>364</v>
      </c>
      <c r="T1016" s="4" t="s">
        <v>717</v>
      </c>
      <c r="U1016" s="4">
        <v>0</v>
      </c>
      <c r="V1016" s="4">
        <v>27</v>
      </c>
      <c r="W1016" s="4">
        <v>81</v>
      </c>
    </row>
    <row r="1017" spans="1:23" ht="11.25" customHeight="1" x14ac:dyDescent="0.25">
      <c r="A1017" s="4" t="s">
        <v>28</v>
      </c>
      <c r="B1017" s="4" t="s">
        <v>33</v>
      </c>
      <c r="C1017" s="4" t="s">
        <v>34</v>
      </c>
      <c r="D1017" s="4" t="s">
        <v>24</v>
      </c>
      <c r="E1017" s="4" t="s">
        <v>24</v>
      </c>
      <c r="F1017" s="4" t="s">
        <v>25</v>
      </c>
      <c r="G1017" s="4" t="s">
        <v>25</v>
      </c>
      <c r="H1017" s="4" t="s">
        <v>35</v>
      </c>
      <c r="I1017" s="5">
        <v>43891</v>
      </c>
      <c r="J1017" s="6">
        <v>0</v>
      </c>
      <c r="K1017" s="6">
        <v>0</v>
      </c>
      <c r="L1017" s="6">
        <v>0.372</v>
      </c>
      <c r="M1017" s="6">
        <v>0.372</v>
      </c>
      <c r="N1017" s="6">
        <v>0.372</v>
      </c>
      <c r="O1017" s="6">
        <v>0.372</v>
      </c>
      <c r="P1017" s="6">
        <v>0</v>
      </c>
      <c r="Q1017" s="4" t="s">
        <v>26</v>
      </c>
      <c r="R1017" s="4">
        <v>0</v>
      </c>
      <c r="S1017" s="4" t="s">
        <v>364</v>
      </c>
      <c r="T1017" s="4" t="s">
        <v>717</v>
      </c>
      <c r="U1017" s="4">
        <v>0</v>
      </c>
      <c r="V1017" s="4">
        <v>27</v>
      </c>
      <c r="W1017" s="4">
        <v>81</v>
      </c>
    </row>
    <row r="1018" spans="1:23" ht="11.25" customHeight="1" x14ac:dyDescent="0.25">
      <c r="A1018" s="4" t="s">
        <v>21</v>
      </c>
      <c r="B1018" s="4" t="s">
        <v>33</v>
      </c>
      <c r="C1018" s="4" t="s">
        <v>34</v>
      </c>
      <c r="D1018" s="4" t="s">
        <v>24</v>
      </c>
      <c r="E1018" s="4" t="s">
        <v>24</v>
      </c>
      <c r="F1018" s="4" t="s">
        <v>25</v>
      </c>
      <c r="G1018" s="4" t="s">
        <v>25</v>
      </c>
      <c r="H1018" s="4" t="s">
        <v>35</v>
      </c>
      <c r="I1018" s="5">
        <v>43922</v>
      </c>
      <c r="J1018" s="6">
        <v>0</v>
      </c>
      <c r="K1018" s="6">
        <v>0</v>
      </c>
      <c r="L1018" s="6">
        <v>12.667</v>
      </c>
      <c r="M1018" s="6">
        <v>12.667</v>
      </c>
      <c r="N1018" s="6">
        <v>12.667</v>
      </c>
      <c r="O1018" s="6">
        <v>12.667</v>
      </c>
      <c r="P1018" s="6">
        <v>0</v>
      </c>
      <c r="Q1018" s="4" t="s">
        <v>26</v>
      </c>
      <c r="R1018" s="4">
        <v>0</v>
      </c>
      <c r="S1018" s="4" t="s">
        <v>365</v>
      </c>
      <c r="T1018" s="4" t="s">
        <v>718</v>
      </c>
      <c r="U1018" s="4">
        <v>0</v>
      </c>
      <c r="V1018" s="4">
        <v>27</v>
      </c>
      <c r="W1018" s="4">
        <v>81</v>
      </c>
    </row>
    <row r="1019" spans="1:23" ht="11.25" customHeight="1" x14ac:dyDescent="0.25">
      <c r="A1019" s="4" t="s">
        <v>27</v>
      </c>
      <c r="B1019" s="4" t="s">
        <v>33</v>
      </c>
      <c r="C1019" s="4" t="s">
        <v>34</v>
      </c>
      <c r="D1019" s="4" t="s">
        <v>24</v>
      </c>
      <c r="E1019" s="4" t="s">
        <v>24</v>
      </c>
      <c r="F1019" s="4" t="s">
        <v>25</v>
      </c>
      <c r="G1019" s="4" t="s">
        <v>25</v>
      </c>
      <c r="H1019" s="4" t="s">
        <v>35</v>
      </c>
      <c r="I1019" s="5">
        <v>43922</v>
      </c>
      <c r="J1019" s="6">
        <v>0</v>
      </c>
      <c r="K1019" s="6">
        <v>0</v>
      </c>
      <c r="L1019" s="6">
        <v>0.58799999999999997</v>
      </c>
      <c r="M1019" s="6">
        <v>0.58799999999999997</v>
      </c>
      <c r="N1019" s="6">
        <v>0.58799999999999997</v>
      </c>
      <c r="O1019" s="6">
        <v>0.58799999999999997</v>
      </c>
      <c r="P1019" s="6">
        <v>0</v>
      </c>
      <c r="Q1019" s="4" t="s">
        <v>26</v>
      </c>
      <c r="R1019" s="4">
        <v>0</v>
      </c>
      <c r="S1019" s="4" t="s">
        <v>365</v>
      </c>
      <c r="T1019" s="4" t="s">
        <v>718</v>
      </c>
      <c r="U1019" s="4">
        <v>0</v>
      </c>
      <c r="V1019" s="4">
        <v>27</v>
      </c>
      <c r="W1019" s="4">
        <v>81</v>
      </c>
    </row>
    <row r="1020" spans="1:23" ht="11.25" customHeight="1" x14ac:dyDescent="0.25">
      <c r="A1020" s="4" t="s">
        <v>28</v>
      </c>
      <c r="B1020" s="4" t="s">
        <v>33</v>
      </c>
      <c r="C1020" s="4" t="s">
        <v>34</v>
      </c>
      <c r="D1020" s="4" t="s">
        <v>24</v>
      </c>
      <c r="E1020" s="4" t="s">
        <v>24</v>
      </c>
      <c r="F1020" s="4" t="s">
        <v>25</v>
      </c>
      <c r="G1020" s="4" t="s">
        <v>25</v>
      </c>
      <c r="H1020" s="4" t="s">
        <v>35</v>
      </c>
      <c r="I1020" s="5">
        <v>43922</v>
      </c>
      <c r="J1020" s="6">
        <v>0</v>
      </c>
      <c r="K1020" s="6">
        <v>0</v>
      </c>
      <c r="L1020" s="6">
        <v>1.2889999999999999</v>
      </c>
      <c r="M1020" s="6">
        <v>1.2889999999999999</v>
      </c>
      <c r="N1020" s="6">
        <v>1.2889999999999999</v>
      </c>
      <c r="O1020" s="6">
        <v>1.2889999999999999</v>
      </c>
      <c r="P1020" s="6">
        <v>0</v>
      </c>
      <c r="Q1020" s="4" t="s">
        <v>26</v>
      </c>
      <c r="R1020" s="4">
        <v>0</v>
      </c>
      <c r="S1020" s="4" t="s">
        <v>365</v>
      </c>
      <c r="T1020" s="4" t="s">
        <v>718</v>
      </c>
      <c r="U1020" s="4">
        <v>0</v>
      </c>
      <c r="V1020" s="4">
        <v>27</v>
      </c>
      <c r="W1020" s="4">
        <v>81</v>
      </c>
    </row>
    <row r="1021" spans="1:23" ht="11.25" customHeight="1" x14ac:dyDescent="0.25">
      <c r="A1021" s="4" t="s">
        <v>21</v>
      </c>
      <c r="B1021" s="4" t="s">
        <v>33</v>
      </c>
      <c r="C1021" s="4" t="s">
        <v>34</v>
      </c>
      <c r="D1021" s="4" t="s">
        <v>24</v>
      </c>
      <c r="E1021" s="4" t="s">
        <v>24</v>
      </c>
      <c r="F1021" s="4" t="s">
        <v>25</v>
      </c>
      <c r="G1021" s="4" t="s">
        <v>25</v>
      </c>
      <c r="H1021" s="4" t="s">
        <v>35</v>
      </c>
      <c r="I1021" s="5">
        <v>43952</v>
      </c>
      <c r="J1021" s="6">
        <v>0</v>
      </c>
      <c r="K1021" s="6">
        <v>0</v>
      </c>
      <c r="L1021" s="6">
        <v>10.09</v>
      </c>
      <c r="M1021" s="6">
        <v>10.09</v>
      </c>
      <c r="N1021" s="6">
        <v>10.09</v>
      </c>
      <c r="O1021" s="6">
        <v>10.09</v>
      </c>
      <c r="P1021" s="6">
        <v>0</v>
      </c>
      <c r="Q1021" s="4" t="s">
        <v>26</v>
      </c>
      <c r="R1021" s="4">
        <v>0</v>
      </c>
      <c r="S1021" s="4" t="s">
        <v>366</v>
      </c>
      <c r="T1021" s="4" t="s">
        <v>719</v>
      </c>
      <c r="U1021" s="4">
        <v>0</v>
      </c>
      <c r="V1021" s="4">
        <v>27</v>
      </c>
      <c r="W1021" s="4">
        <v>81</v>
      </c>
    </row>
    <row r="1022" spans="1:23" ht="11.25" customHeight="1" x14ac:dyDescent="0.25">
      <c r="A1022" s="4" t="s">
        <v>27</v>
      </c>
      <c r="B1022" s="4" t="s">
        <v>33</v>
      </c>
      <c r="C1022" s="4" t="s">
        <v>34</v>
      </c>
      <c r="D1022" s="4" t="s">
        <v>24</v>
      </c>
      <c r="E1022" s="4" t="s">
        <v>24</v>
      </c>
      <c r="F1022" s="4" t="s">
        <v>25</v>
      </c>
      <c r="G1022" s="4" t="s">
        <v>25</v>
      </c>
      <c r="H1022" s="4" t="s">
        <v>35</v>
      </c>
      <c r="I1022" s="5">
        <v>43952</v>
      </c>
      <c r="J1022" s="6">
        <v>0</v>
      </c>
      <c r="K1022" s="6">
        <v>0</v>
      </c>
      <c r="L1022" s="6">
        <v>0.71499999999999997</v>
      </c>
      <c r="M1022" s="6">
        <v>0.71499999999999997</v>
      </c>
      <c r="N1022" s="6">
        <v>0.71499999999999997</v>
      </c>
      <c r="O1022" s="6">
        <v>0.71499999999999997</v>
      </c>
      <c r="P1022" s="6">
        <v>0</v>
      </c>
      <c r="Q1022" s="4" t="s">
        <v>26</v>
      </c>
      <c r="R1022" s="4">
        <v>0</v>
      </c>
      <c r="S1022" s="4" t="s">
        <v>366</v>
      </c>
      <c r="T1022" s="4" t="s">
        <v>719</v>
      </c>
      <c r="U1022" s="4">
        <v>0</v>
      </c>
      <c r="V1022" s="4">
        <v>27</v>
      </c>
      <c r="W1022" s="4">
        <v>81</v>
      </c>
    </row>
    <row r="1023" spans="1:23" ht="11.25" customHeight="1" x14ac:dyDescent="0.25">
      <c r="A1023" s="4" t="s">
        <v>28</v>
      </c>
      <c r="B1023" s="4" t="s">
        <v>33</v>
      </c>
      <c r="C1023" s="4" t="s">
        <v>34</v>
      </c>
      <c r="D1023" s="4" t="s">
        <v>24</v>
      </c>
      <c r="E1023" s="4" t="s">
        <v>24</v>
      </c>
      <c r="F1023" s="4" t="s">
        <v>25</v>
      </c>
      <c r="G1023" s="4" t="s">
        <v>25</v>
      </c>
      <c r="H1023" s="4" t="s">
        <v>35</v>
      </c>
      <c r="I1023" s="5">
        <v>43952</v>
      </c>
      <c r="J1023" s="6">
        <v>0</v>
      </c>
      <c r="K1023" s="6">
        <v>0</v>
      </c>
      <c r="L1023" s="6">
        <v>0.73699999999999999</v>
      </c>
      <c r="M1023" s="6">
        <v>0.73699999999999999</v>
      </c>
      <c r="N1023" s="6">
        <v>0.73699999999999999</v>
      </c>
      <c r="O1023" s="6">
        <v>0.73699999999999999</v>
      </c>
      <c r="P1023" s="6">
        <v>0</v>
      </c>
      <c r="Q1023" s="4" t="s">
        <v>26</v>
      </c>
      <c r="R1023" s="4">
        <v>0</v>
      </c>
      <c r="S1023" s="4" t="s">
        <v>366</v>
      </c>
      <c r="T1023" s="4" t="s">
        <v>719</v>
      </c>
      <c r="U1023" s="4">
        <v>0</v>
      </c>
      <c r="V1023" s="4">
        <v>27</v>
      </c>
      <c r="W1023" s="4">
        <v>81</v>
      </c>
    </row>
    <row r="1024" spans="1:23" ht="11.25" customHeight="1" x14ac:dyDescent="0.25">
      <c r="A1024" s="4" t="s">
        <v>21</v>
      </c>
      <c r="B1024" s="4" t="s">
        <v>33</v>
      </c>
      <c r="C1024" s="4" t="s">
        <v>34</v>
      </c>
      <c r="D1024" s="4" t="s">
        <v>24</v>
      </c>
      <c r="E1024" s="4" t="s">
        <v>24</v>
      </c>
      <c r="F1024" s="4" t="s">
        <v>25</v>
      </c>
      <c r="G1024" s="4" t="s">
        <v>25</v>
      </c>
      <c r="H1024" s="4" t="s">
        <v>35</v>
      </c>
      <c r="I1024" s="5">
        <v>43983</v>
      </c>
      <c r="J1024" s="6">
        <v>0</v>
      </c>
      <c r="K1024" s="6">
        <v>0</v>
      </c>
      <c r="L1024" s="6">
        <v>12.659000000000001</v>
      </c>
      <c r="M1024" s="6">
        <v>12.659000000000001</v>
      </c>
      <c r="N1024" s="6">
        <v>12.659000000000001</v>
      </c>
      <c r="O1024" s="6">
        <v>12.659000000000001</v>
      </c>
      <c r="P1024" s="6">
        <v>0</v>
      </c>
      <c r="Q1024" s="4" t="s">
        <v>26</v>
      </c>
      <c r="R1024" s="4">
        <v>0</v>
      </c>
      <c r="S1024" s="4" t="s">
        <v>367</v>
      </c>
      <c r="T1024" s="4" t="s">
        <v>720</v>
      </c>
      <c r="U1024" s="4">
        <v>0</v>
      </c>
      <c r="V1024" s="4">
        <v>27</v>
      </c>
      <c r="W1024" s="4">
        <v>81</v>
      </c>
    </row>
    <row r="1025" spans="1:23" ht="11.25" customHeight="1" x14ac:dyDescent="0.25">
      <c r="A1025" s="4" t="s">
        <v>27</v>
      </c>
      <c r="B1025" s="4" t="s">
        <v>33</v>
      </c>
      <c r="C1025" s="4" t="s">
        <v>34</v>
      </c>
      <c r="D1025" s="4" t="s">
        <v>24</v>
      </c>
      <c r="E1025" s="4" t="s">
        <v>24</v>
      </c>
      <c r="F1025" s="4" t="s">
        <v>25</v>
      </c>
      <c r="G1025" s="4" t="s">
        <v>25</v>
      </c>
      <c r="H1025" s="4" t="s">
        <v>35</v>
      </c>
      <c r="I1025" s="5">
        <v>43983</v>
      </c>
      <c r="J1025" s="6">
        <v>0</v>
      </c>
      <c r="K1025" s="6">
        <v>0</v>
      </c>
      <c r="L1025" s="6">
        <v>0.51500000000000001</v>
      </c>
      <c r="M1025" s="6">
        <v>0.51500000000000001</v>
      </c>
      <c r="N1025" s="6">
        <v>0.51500000000000001</v>
      </c>
      <c r="O1025" s="6">
        <v>0.51500000000000001</v>
      </c>
      <c r="P1025" s="6">
        <v>0</v>
      </c>
      <c r="Q1025" s="4" t="s">
        <v>26</v>
      </c>
      <c r="R1025" s="4">
        <v>0</v>
      </c>
      <c r="S1025" s="4" t="s">
        <v>367</v>
      </c>
      <c r="T1025" s="4" t="s">
        <v>720</v>
      </c>
      <c r="U1025" s="4">
        <v>0</v>
      </c>
      <c r="V1025" s="4">
        <v>27</v>
      </c>
      <c r="W1025" s="4">
        <v>81</v>
      </c>
    </row>
    <row r="1026" spans="1:23" ht="11.25" customHeight="1" x14ac:dyDescent="0.25">
      <c r="A1026" s="4" t="s">
        <v>28</v>
      </c>
      <c r="B1026" s="4" t="s">
        <v>33</v>
      </c>
      <c r="C1026" s="4" t="s">
        <v>34</v>
      </c>
      <c r="D1026" s="4" t="s">
        <v>24</v>
      </c>
      <c r="E1026" s="4" t="s">
        <v>24</v>
      </c>
      <c r="F1026" s="4" t="s">
        <v>25</v>
      </c>
      <c r="G1026" s="4" t="s">
        <v>25</v>
      </c>
      <c r="H1026" s="4" t="s">
        <v>35</v>
      </c>
      <c r="I1026" s="5">
        <v>43983</v>
      </c>
      <c r="J1026" s="6">
        <v>0</v>
      </c>
      <c r="K1026" s="6">
        <v>0</v>
      </c>
      <c r="L1026" s="6">
        <v>1.0209999999999999</v>
      </c>
      <c r="M1026" s="6">
        <v>1.0209999999999999</v>
      </c>
      <c r="N1026" s="6">
        <v>1.0209999999999999</v>
      </c>
      <c r="O1026" s="6">
        <v>1.0209999999999999</v>
      </c>
      <c r="P1026" s="6">
        <v>0</v>
      </c>
      <c r="Q1026" s="4" t="s">
        <v>26</v>
      </c>
      <c r="R1026" s="4">
        <v>0</v>
      </c>
      <c r="S1026" s="4" t="s">
        <v>367</v>
      </c>
      <c r="T1026" s="4" t="s">
        <v>720</v>
      </c>
      <c r="U1026" s="4">
        <v>0</v>
      </c>
      <c r="V1026" s="4">
        <v>27</v>
      </c>
      <c r="W1026" s="4">
        <v>81</v>
      </c>
    </row>
    <row r="1027" spans="1:23" ht="11.25" customHeight="1" x14ac:dyDescent="0.25">
      <c r="A1027" s="4" t="s">
        <v>21</v>
      </c>
      <c r="B1027" s="4" t="s">
        <v>33</v>
      </c>
      <c r="C1027" s="4" t="s">
        <v>34</v>
      </c>
      <c r="D1027" s="4" t="s">
        <v>24</v>
      </c>
      <c r="E1027" s="4" t="s">
        <v>24</v>
      </c>
      <c r="F1027" s="4" t="s">
        <v>25</v>
      </c>
      <c r="G1027" s="4" t="s">
        <v>25</v>
      </c>
      <c r="H1027" s="4" t="s">
        <v>35</v>
      </c>
      <c r="I1027" s="5">
        <v>44013</v>
      </c>
      <c r="J1027" s="6">
        <v>0</v>
      </c>
      <c r="K1027" s="6">
        <v>0</v>
      </c>
      <c r="L1027" s="6">
        <v>11.676</v>
      </c>
      <c r="M1027" s="6">
        <v>11.676</v>
      </c>
      <c r="N1027" s="6">
        <v>11.676</v>
      </c>
      <c r="O1027" s="6">
        <v>11.676</v>
      </c>
      <c r="P1027" s="6">
        <v>0</v>
      </c>
      <c r="Q1027" s="4" t="s">
        <v>26</v>
      </c>
      <c r="R1027" s="4">
        <v>0</v>
      </c>
      <c r="S1027" s="4" t="s">
        <v>368</v>
      </c>
      <c r="T1027" s="4" t="s">
        <v>721</v>
      </c>
      <c r="U1027" s="4">
        <v>0</v>
      </c>
      <c r="V1027" s="4">
        <v>27</v>
      </c>
      <c r="W1027" s="4">
        <v>81</v>
      </c>
    </row>
    <row r="1028" spans="1:23" ht="11.25" customHeight="1" x14ac:dyDescent="0.25">
      <c r="A1028" s="4" t="s">
        <v>27</v>
      </c>
      <c r="B1028" s="4" t="s">
        <v>33</v>
      </c>
      <c r="C1028" s="4" t="s">
        <v>34</v>
      </c>
      <c r="D1028" s="4" t="s">
        <v>24</v>
      </c>
      <c r="E1028" s="4" t="s">
        <v>24</v>
      </c>
      <c r="F1028" s="4" t="s">
        <v>25</v>
      </c>
      <c r="G1028" s="4" t="s">
        <v>25</v>
      </c>
      <c r="H1028" s="4" t="s">
        <v>35</v>
      </c>
      <c r="I1028" s="5">
        <v>44013</v>
      </c>
      <c r="J1028" s="6">
        <v>0</v>
      </c>
      <c r="K1028" s="6">
        <v>0</v>
      </c>
      <c r="L1028" s="6">
        <v>0.61499999999999999</v>
      </c>
      <c r="M1028" s="6">
        <v>0.61499999999999999</v>
      </c>
      <c r="N1028" s="6">
        <v>0.61499999999999999</v>
      </c>
      <c r="O1028" s="6">
        <v>0.61499999999999999</v>
      </c>
      <c r="P1028" s="6">
        <v>0</v>
      </c>
      <c r="Q1028" s="4" t="s">
        <v>26</v>
      </c>
      <c r="R1028" s="4">
        <v>0</v>
      </c>
      <c r="S1028" s="4" t="s">
        <v>368</v>
      </c>
      <c r="T1028" s="4" t="s">
        <v>721</v>
      </c>
      <c r="U1028" s="4">
        <v>0</v>
      </c>
      <c r="V1028" s="4">
        <v>27</v>
      </c>
      <c r="W1028" s="4">
        <v>81</v>
      </c>
    </row>
    <row r="1029" spans="1:23" ht="11.25" customHeight="1" x14ac:dyDescent="0.25">
      <c r="A1029" s="4" t="s">
        <v>28</v>
      </c>
      <c r="B1029" s="4" t="s">
        <v>33</v>
      </c>
      <c r="C1029" s="4" t="s">
        <v>34</v>
      </c>
      <c r="D1029" s="4" t="s">
        <v>24</v>
      </c>
      <c r="E1029" s="4" t="s">
        <v>24</v>
      </c>
      <c r="F1029" s="4" t="s">
        <v>25</v>
      </c>
      <c r="G1029" s="4" t="s">
        <v>25</v>
      </c>
      <c r="H1029" s="4" t="s">
        <v>35</v>
      </c>
      <c r="I1029" s="5">
        <v>44013</v>
      </c>
      <c r="J1029" s="6">
        <v>0</v>
      </c>
      <c r="K1029" s="6">
        <v>0</v>
      </c>
      <c r="L1029" s="6">
        <v>1.1359999999999999</v>
      </c>
      <c r="M1029" s="6">
        <v>1.1359999999999999</v>
      </c>
      <c r="N1029" s="6">
        <v>1.1359999999999999</v>
      </c>
      <c r="O1029" s="6">
        <v>1.1359999999999999</v>
      </c>
      <c r="P1029" s="6">
        <v>0</v>
      </c>
      <c r="Q1029" s="4" t="s">
        <v>26</v>
      </c>
      <c r="R1029" s="4">
        <v>0</v>
      </c>
      <c r="S1029" s="4" t="s">
        <v>368</v>
      </c>
      <c r="T1029" s="4" t="s">
        <v>721</v>
      </c>
      <c r="U1029" s="4">
        <v>0</v>
      </c>
      <c r="V1029" s="4">
        <v>27</v>
      </c>
      <c r="W1029" s="4">
        <v>81</v>
      </c>
    </row>
    <row r="1030" spans="1:23" ht="11.25" customHeight="1" x14ac:dyDescent="0.25">
      <c r="A1030" s="4" t="s">
        <v>21</v>
      </c>
      <c r="B1030" s="4" t="s">
        <v>33</v>
      </c>
      <c r="C1030" s="4" t="s">
        <v>34</v>
      </c>
      <c r="D1030" s="4" t="s">
        <v>24</v>
      </c>
      <c r="E1030" s="4" t="s">
        <v>24</v>
      </c>
      <c r="F1030" s="4" t="s">
        <v>25</v>
      </c>
      <c r="G1030" s="4" t="s">
        <v>25</v>
      </c>
      <c r="H1030" s="4" t="s">
        <v>35</v>
      </c>
      <c r="I1030" s="5">
        <v>44044</v>
      </c>
      <c r="J1030" s="6">
        <v>0</v>
      </c>
      <c r="K1030" s="6">
        <v>0</v>
      </c>
      <c r="L1030" s="6">
        <v>12.445</v>
      </c>
      <c r="M1030" s="6">
        <v>12.445</v>
      </c>
      <c r="N1030" s="6">
        <v>12.445</v>
      </c>
      <c r="O1030" s="6">
        <v>12.445</v>
      </c>
      <c r="P1030" s="6">
        <v>0</v>
      </c>
      <c r="Q1030" s="4" t="s">
        <v>26</v>
      </c>
      <c r="R1030" s="4">
        <v>0</v>
      </c>
      <c r="S1030" s="4" t="s">
        <v>369</v>
      </c>
      <c r="T1030" s="4" t="s">
        <v>722</v>
      </c>
      <c r="U1030" s="4">
        <v>0</v>
      </c>
      <c r="V1030" s="4">
        <v>27</v>
      </c>
      <c r="W1030" s="4">
        <v>81</v>
      </c>
    </row>
    <row r="1031" spans="1:23" ht="11.25" customHeight="1" x14ac:dyDescent="0.25">
      <c r="A1031" s="4" t="s">
        <v>28</v>
      </c>
      <c r="B1031" s="4" t="s">
        <v>33</v>
      </c>
      <c r="C1031" s="4" t="s">
        <v>34</v>
      </c>
      <c r="D1031" s="4" t="s">
        <v>24</v>
      </c>
      <c r="E1031" s="4" t="s">
        <v>24</v>
      </c>
      <c r="F1031" s="4" t="s">
        <v>25</v>
      </c>
      <c r="G1031" s="4" t="s">
        <v>25</v>
      </c>
      <c r="H1031" s="4" t="s">
        <v>35</v>
      </c>
      <c r="I1031" s="5">
        <v>44044</v>
      </c>
      <c r="J1031" s="6">
        <v>0</v>
      </c>
      <c r="K1031" s="6">
        <v>0</v>
      </c>
      <c r="L1031" s="6">
        <v>0.94499999999999995</v>
      </c>
      <c r="M1031" s="6">
        <v>0.94499999999999995</v>
      </c>
      <c r="N1031" s="6">
        <v>0.94499999999999995</v>
      </c>
      <c r="O1031" s="6">
        <v>0.94499999999999995</v>
      </c>
      <c r="P1031" s="6">
        <v>0</v>
      </c>
      <c r="Q1031" s="4" t="s">
        <v>26</v>
      </c>
      <c r="R1031" s="4">
        <v>0</v>
      </c>
      <c r="S1031" s="4" t="s">
        <v>369</v>
      </c>
      <c r="T1031" s="4" t="s">
        <v>722</v>
      </c>
      <c r="U1031" s="4">
        <v>0</v>
      </c>
      <c r="V1031" s="4">
        <v>27</v>
      </c>
      <c r="W1031" s="4">
        <v>81</v>
      </c>
    </row>
    <row r="1032" spans="1:23" ht="11.25" customHeight="1" x14ac:dyDescent="0.25">
      <c r="A1032" s="4" t="s">
        <v>59</v>
      </c>
      <c r="B1032" s="4" t="s">
        <v>33</v>
      </c>
      <c r="C1032" s="4" t="s">
        <v>34</v>
      </c>
      <c r="D1032" s="4" t="s">
        <v>24</v>
      </c>
      <c r="E1032" s="4" t="s">
        <v>24</v>
      </c>
      <c r="F1032" s="4" t="s">
        <v>25</v>
      </c>
      <c r="G1032" s="4" t="s">
        <v>25</v>
      </c>
      <c r="H1032" s="4" t="s">
        <v>35</v>
      </c>
      <c r="I1032" s="5">
        <v>44075</v>
      </c>
      <c r="J1032" s="6">
        <v>0</v>
      </c>
      <c r="K1032" s="6">
        <v>0</v>
      </c>
      <c r="L1032" s="6">
        <v>12.445</v>
      </c>
      <c r="M1032" s="6">
        <v>12.445</v>
      </c>
      <c r="N1032" s="6">
        <v>12.445</v>
      </c>
      <c r="O1032" s="6">
        <v>12.445</v>
      </c>
      <c r="P1032" s="6">
        <v>0</v>
      </c>
      <c r="Q1032" s="4" t="s">
        <v>26</v>
      </c>
      <c r="R1032" s="4">
        <v>0</v>
      </c>
      <c r="S1032" s="4" t="s">
        <v>370</v>
      </c>
      <c r="T1032" s="4" t="s">
        <v>723</v>
      </c>
      <c r="U1032" s="4">
        <v>0</v>
      </c>
      <c r="V1032" s="4">
        <v>27</v>
      </c>
      <c r="W1032" s="4">
        <v>81</v>
      </c>
    </row>
    <row r="1033" spans="1:23" ht="11.25" customHeight="1" x14ac:dyDescent="0.25">
      <c r="A1033" s="4" t="s">
        <v>59</v>
      </c>
      <c r="B1033" s="4" t="s">
        <v>33</v>
      </c>
      <c r="C1033" s="4" t="s">
        <v>34</v>
      </c>
      <c r="D1033" s="4" t="s">
        <v>24</v>
      </c>
      <c r="E1033" s="4" t="s">
        <v>24</v>
      </c>
      <c r="F1033" s="4" t="s">
        <v>25</v>
      </c>
      <c r="G1033" s="4" t="s">
        <v>25</v>
      </c>
      <c r="H1033" s="4" t="s">
        <v>35</v>
      </c>
      <c r="I1033" s="5">
        <v>44075</v>
      </c>
      <c r="J1033" s="6">
        <v>0</v>
      </c>
      <c r="K1033" s="6">
        <v>0</v>
      </c>
      <c r="L1033" s="6">
        <v>0.94499999999999995</v>
      </c>
      <c r="M1033" s="6">
        <v>0.94499999999999995</v>
      </c>
      <c r="N1033" s="6">
        <v>0.94499999999999995</v>
      </c>
      <c r="O1033" s="6">
        <v>0.94499999999999995</v>
      </c>
      <c r="P1033" s="6">
        <v>0</v>
      </c>
      <c r="Q1033" s="4" t="s">
        <v>26</v>
      </c>
      <c r="R1033" s="4">
        <v>0</v>
      </c>
      <c r="S1033" s="4" t="s">
        <v>370</v>
      </c>
      <c r="T1033" s="4" t="s">
        <v>723</v>
      </c>
      <c r="U1033" s="4">
        <v>0</v>
      </c>
      <c r="V1033" s="4">
        <v>27</v>
      </c>
      <c r="W1033" s="4">
        <v>81</v>
      </c>
    </row>
    <row r="1034" spans="1:23" ht="11.25" customHeight="1" x14ac:dyDescent="0.25">
      <c r="A1034" s="4" t="s">
        <v>21</v>
      </c>
      <c r="B1034" s="4" t="s">
        <v>33</v>
      </c>
      <c r="C1034" s="4" t="s">
        <v>34</v>
      </c>
      <c r="D1034" s="4" t="s">
        <v>47</v>
      </c>
      <c r="E1034" s="4" t="s">
        <v>55</v>
      </c>
      <c r="F1034" s="4" t="s">
        <v>57</v>
      </c>
      <c r="G1034" s="4" t="s">
        <v>25</v>
      </c>
      <c r="H1034" s="4" t="s">
        <v>36</v>
      </c>
      <c r="I1034" s="5">
        <v>43739</v>
      </c>
      <c r="J1034" s="6">
        <v>0</v>
      </c>
      <c r="K1034" s="6">
        <v>0</v>
      </c>
      <c r="L1034" s="6">
        <v>680.548</v>
      </c>
      <c r="M1034" s="6">
        <v>136.1096</v>
      </c>
      <c r="N1034" s="6">
        <v>680.548</v>
      </c>
      <c r="O1034" s="6">
        <v>136.1096</v>
      </c>
      <c r="P1034" s="6">
        <v>0</v>
      </c>
      <c r="Q1034" s="4" t="s">
        <v>26</v>
      </c>
      <c r="R1034" s="4">
        <v>0</v>
      </c>
      <c r="S1034" s="4" t="s">
        <v>335</v>
      </c>
      <c r="T1034" s="4" t="s">
        <v>700</v>
      </c>
      <c r="U1034" s="4">
        <v>0</v>
      </c>
      <c r="V1034" s="4">
        <v>28</v>
      </c>
      <c r="W1034" s="4">
        <v>82</v>
      </c>
    </row>
    <row r="1035" spans="1:23" ht="11.25" customHeight="1" x14ac:dyDescent="0.25">
      <c r="A1035" s="4" t="s">
        <v>27</v>
      </c>
      <c r="B1035" s="4" t="s">
        <v>33</v>
      </c>
      <c r="C1035" s="4" t="s">
        <v>34</v>
      </c>
      <c r="D1035" s="4" t="s">
        <v>47</v>
      </c>
      <c r="E1035" s="4" t="s">
        <v>55</v>
      </c>
      <c r="F1035" s="4" t="s">
        <v>57</v>
      </c>
      <c r="G1035" s="4" t="s">
        <v>25</v>
      </c>
      <c r="H1035" s="4" t="s">
        <v>36</v>
      </c>
      <c r="I1035" s="5">
        <v>43739</v>
      </c>
      <c r="J1035" s="6">
        <v>0</v>
      </c>
      <c r="K1035" s="6">
        <v>0</v>
      </c>
      <c r="L1035" s="6">
        <v>0.52700000000000002</v>
      </c>
      <c r="M1035" s="6">
        <v>0.10539999999999999</v>
      </c>
      <c r="N1035" s="6">
        <v>0.52700000000000002</v>
      </c>
      <c r="O1035" s="6">
        <v>0.10539999999999999</v>
      </c>
      <c r="P1035" s="6">
        <v>0</v>
      </c>
      <c r="Q1035" s="4" t="s">
        <v>26</v>
      </c>
      <c r="R1035" s="4">
        <v>0</v>
      </c>
      <c r="S1035" s="4" t="s">
        <v>335</v>
      </c>
      <c r="T1035" s="4" t="s">
        <v>700</v>
      </c>
      <c r="U1035" s="4">
        <v>0</v>
      </c>
      <c r="V1035" s="4">
        <v>28</v>
      </c>
      <c r="W1035" s="4">
        <v>82</v>
      </c>
    </row>
    <row r="1036" spans="1:23" ht="11.25" customHeight="1" x14ac:dyDescent="0.25">
      <c r="A1036" s="4" t="s">
        <v>21</v>
      </c>
      <c r="B1036" s="4" t="s">
        <v>33</v>
      </c>
      <c r="C1036" s="4" t="s">
        <v>34</v>
      </c>
      <c r="D1036" s="4" t="s">
        <v>47</v>
      </c>
      <c r="E1036" s="4" t="s">
        <v>55</v>
      </c>
      <c r="F1036" s="4" t="s">
        <v>57</v>
      </c>
      <c r="G1036" s="4" t="s">
        <v>25</v>
      </c>
      <c r="H1036" s="4" t="s">
        <v>36</v>
      </c>
      <c r="I1036" s="5">
        <v>43770</v>
      </c>
      <c r="J1036" s="6">
        <v>0</v>
      </c>
      <c r="K1036" s="6">
        <v>0</v>
      </c>
      <c r="L1036" s="6">
        <v>844.74</v>
      </c>
      <c r="M1036" s="6">
        <v>168.94800000000001</v>
      </c>
      <c r="N1036" s="6">
        <v>844.74</v>
      </c>
      <c r="O1036" s="6">
        <v>168.94800000000001</v>
      </c>
      <c r="P1036" s="6">
        <v>0</v>
      </c>
      <c r="Q1036" s="4" t="s">
        <v>26</v>
      </c>
      <c r="R1036" s="4">
        <v>0</v>
      </c>
      <c r="S1036" s="4" t="s">
        <v>336</v>
      </c>
      <c r="T1036" s="4" t="s">
        <v>701</v>
      </c>
      <c r="U1036" s="4">
        <v>0</v>
      </c>
      <c r="V1036" s="4">
        <v>28</v>
      </c>
      <c r="W1036" s="4">
        <v>82</v>
      </c>
    </row>
    <row r="1037" spans="1:23" ht="11.25" customHeight="1" x14ac:dyDescent="0.25">
      <c r="A1037" s="4" t="s">
        <v>27</v>
      </c>
      <c r="B1037" s="4" t="s">
        <v>33</v>
      </c>
      <c r="C1037" s="4" t="s">
        <v>34</v>
      </c>
      <c r="D1037" s="4" t="s">
        <v>47</v>
      </c>
      <c r="E1037" s="4" t="s">
        <v>55</v>
      </c>
      <c r="F1037" s="4" t="s">
        <v>57</v>
      </c>
      <c r="G1037" s="4" t="s">
        <v>25</v>
      </c>
      <c r="H1037" s="4" t="s">
        <v>36</v>
      </c>
      <c r="I1037" s="5">
        <v>43770</v>
      </c>
      <c r="J1037" s="6">
        <v>0</v>
      </c>
      <c r="K1037" s="6">
        <v>0</v>
      </c>
      <c r="L1037" s="6">
        <v>10.929</v>
      </c>
      <c r="M1037" s="6">
        <v>2.1858</v>
      </c>
      <c r="N1037" s="6">
        <v>10.929</v>
      </c>
      <c r="O1037" s="6">
        <v>2.1858</v>
      </c>
      <c r="P1037" s="6">
        <v>0</v>
      </c>
      <c r="Q1037" s="4" t="s">
        <v>26</v>
      </c>
      <c r="R1037" s="4">
        <v>0</v>
      </c>
      <c r="S1037" s="4" t="s">
        <v>336</v>
      </c>
      <c r="T1037" s="4" t="s">
        <v>701</v>
      </c>
      <c r="U1037" s="4">
        <v>0</v>
      </c>
      <c r="V1037" s="4">
        <v>28</v>
      </c>
      <c r="W1037" s="4">
        <v>82</v>
      </c>
    </row>
    <row r="1038" spans="1:23" ht="11.25" customHeight="1" x14ac:dyDescent="0.25">
      <c r="A1038" s="4" t="s">
        <v>21</v>
      </c>
      <c r="B1038" s="4" t="s">
        <v>33</v>
      </c>
      <c r="C1038" s="4" t="s">
        <v>34</v>
      </c>
      <c r="D1038" s="4" t="s">
        <v>47</v>
      </c>
      <c r="E1038" s="4" t="s">
        <v>55</v>
      </c>
      <c r="F1038" s="4" t="s">
        <v>57</v>
      </c>
      <c r="G1038" s="4" t="s">
        <v>25</v>
      </c>
      <c r="H1038" s="4" t="s">
        <v>36</v>
      </c>
      <c r="I1038" s="5">
        <v>43800</v>
      </c>
      <c r="J1038" s="6">
        <v>0</v>
      </c>
      <c r="K1038" s="6">
        <v>0</v>
      </c>
      <c r="L1038" s="6">
        <v>189.51599999999999</v>
      </c>
      <c r="M1038" s="6">
        <v>37.903199999999998</v>
      </c>
      <c r="N1038" s="6">
        <v>189.51599999999999</v>
      </c>
      <c r="O1038" s="6">
        <v>37.903199999999998</v>
      </c>
      <c r="P1038" s="6">
        <v>0</v>
      </c>
      <c r="Q1038" s="4" t="s">
        <v>26</v>
      </c>
      <c r="R1038" s="4">
        <v>0</v>
      </c>
      <c r="S1038" s="4" t="s">
        <v>337</v>
      </c>
      <c r="T1038" s="4" t="s">
        <v>702</v>
      </c>
      <c r="U1038" s="4">
        <v>0</v>
      </c>
      <c r="V1038" s="4">
        <v>28</v>
      </c>
      <c r="W1038" s="4">
        <v>82</v>
      </c>
    </row>
    <row r="1039" spans="1:23" ht="11.25" customHeight="1" x14ac:dyDescent="0.25">
      <c r="A1039" s="4" t="s">
        <v>27</v>
      </c>
      <c r="B1039" s="4" t="s">
        <v>33</v>
      </c>
      <c r="C1039" s="4" t="s">
        <v>34</v>
      </c>
      <c r="D1039" s="4" t="s">
        <v>47</v>
      </c>
      <c r="E1039" s="4" t="s">
        <v>55</v>
      </c>
      <c r="F1039" s="4" t="s">
        <v>57</v>
      </c>
      <c r="G1039" s="4" t="s">
        <v>25</v>
      </c>
      <c r="H1039" s="4" t="s">
        <v>36</v>
      </c>
      <c r="I1039" s="5">
        <v>43800</v>
      </c>
      <c r="J1039" s="6">
        <v>0</v>
      </c>
      <c r="K1039" s="6">
        <v>0</v>
      </c>
      <c r="L1039" s="6">
        <v>0.88600000000000001</v>
      </c>
      <c r="M1039" s="6">
        <v>0.1772</v>
      </c>
      <c r="N1039" s="6">
        <v>0.88600000000000001</v>
      </c>
      <c r="O1039" s="6">
        <v>0.1772</v>
      </c>
      <c r="P1039" s="6">
        <v>0</v>
      </c>
      <c r="Q1039" s="4" t="s">
        <v>26</v>
      </c>
      <c r="R1039" s="4">
        <v>0</v>
      </c>
      <c r="S1039" s="4" t="s">
        <v>337</v>
      </c>
      <c r="T1039" s="4" t="s">
        <v>702</v>
      </c>
      <c r="U1039" s="4">
        <v>0</v>
      </c>
      <c r="V1039" s="4">
        <v>28</v>
      </c>
      <c r="W1039" s="4">
        <v>82</v>
      </c>
    </row>
    <row r="1040" spans="1:23" ht="11.25" customHeight="1" x14ac:dyDescent="0.25">
      <c r="A1040" s="4" t="s">
        <v>21</v>
      </c>
      <c r="B1040" s="4" t="s">
        <v>33</v>
      </c>
      <c r="C1040" s="4" t="s">
        <v>34</v>
      </c>
      <c r="D1040" s="4" t="s">
        <v>47</v>
      </c>
      <c r="E1040" s="4" t="s">
        <v>55</v>
      </c>
      <c r="F1040" s="4" t="s">
        <v>57</v>
      </c>
      <c r="G1040" s="4" t="s">
        <v>25</v>
      </c>
      <c r="H1040" s="4" t="s">
        <v>36</v>
      </c>
      <c r="I1040" s="5">
        <v>43831</v>
      </c>
      <c r="J1040" s="6">
        <v>0</v>
      </c>
      <c r="K1040" s="6">
        <v>0</v>
      </c>
      <c r="L1040" s="6">
        <v>239.26400000000001</v>
      </c>
      <c r="M1040" s="6">
        <v>47.852800000000002</v>
      </c>
      <c r="N1040" s="6">
        <v>239.26400000000001</v>
      </c>
      <c r="O1040" s="6">
        <v>47.852800000000002</v>
      </c>
      <c r="P1040" s="6">
        <v>0</v>
      </c>
      <c r="Q1040" s="4" t="s">
        <v>26</v>
      </c>
      <c r="R1040" s="4">
        <v>0</v>
      </c>
      <c r="S1040" s="4" t="s">
        <v>338</v>
      </c>
      <c r="T1040" s="4" t="s">
        <v>703</v>
      </c>
      <c r="U1040" s="4">
        <v>0</v>
      </c>
      <c r="V1040" s="4">
        <v>28</v>
      </c>
      <c r="W1040" s="4">
        <v>82</v>
      </c>
    </row>
    <row r="1041" spans="1:23" ht="11.25" customHeight="1" x14ac:dyDescent="0.25">
      <c r="A1041" s="4" t="s">
        <v>27</v>
      </c>
      <c r="B1041" s="4" t="s">
        <v>33</v>
      </c>
      <c r="C1041" s="4" t="s">
        <v>34</v>
      </c>
      <c r="D1041" s="4" t="s">
        <v>47</v>
      </c>
      <c r="E1041" s="4" t="s">
        <v>55</v>
      </c>
      <c r="F1041" s="4" t="s">
        <v>57</v>
      </c>
      <c r="G1041" s="4" t="s">
        <v>25</v>
      </c>
      <c r="H1041" s="4" t="s">
        <v>36</v>
      </c>
      <c r="I1041" s="5">
        <v>43831</v>
      </c>
      <c r="J1041" s="6">
        <v>0</v>
      </c>
      <c r="K1041" s="6">
        <v>0</v>
      </c>
      <c r="L1041" s="6">
        <v>4.1440000000000001</v>
      </c>
      <c r="M1041" s="6">
        <v>0.82879999999999998</v>
      </c>
      <c r="N1041" s="6">
        <v>4.1440000000000001</v>
      </c>
      <c r="O1041" s="6">
        <v>0.82879999999999998</v>
      </c>
      <c r="P1041" s="6">
        <v>0</v>
      </c>
      <c r="Q1041" s="4" t="s">
        <v>26</v>
      </c>
      <c r="R1041" s="4">
        <v>0</v>
      </c>
      <c r="S1041" s="4" t="s">
        <v>338</v>
      </c>
      <c r="T1041" s="4" t="s">
        <v>703</v>
      </c>
      <c r="U1041" s="4">
        <v>0</v>
      </c>
      <c r="V1041" s="4">
        <v>28</v>
      </c>
      <c r="W1041" s="4">
        <v>82</v>
      </c>
    </row>
    <row r="1042" spans="1:23" ht="11.25" customHeight="1" x14ac:dyDescent="0.25">
      <c r="A1042" s="4" t="s">
        <v>21</v>
      </c>
      <c r="B1042" s="4" t="s">
        <v>33</v>
      </c>
      <c r="C1042" s="4" t="s">
        <v>34</v>
      </c>
      <c r="D1042" s="4" t="s">
        <v>47</v>
      </c>
      <c r="E1042" s="4" t="s">
        <v>55</v>
      </c>
      <c r="F1042" s="4" t="s">
        <v>57</v>
      </c>
      <c r="G1042" s="4" t="s">
        <v>25</v>
      </c>
      <c r="H1042" s="4" t="s">
        <v>36</v>
      </c>
      <c r="I1042" s="5">
        <v>43862</v>
      </c>
      <c r="J1042" s="6">
        <v>0</v>
      </c>
      <c r="K1042" s="6">
        <v>0</v>
      </c>
      <c r="L1042" s="6">
        <v>147.75299999999999</v>
      </c>
      <c r="M1042" s="6">
        <v>29.550599999999999</v>
      </c>
      <c r="N1042" s="6">
        <v>147.75299999999999</v>
      </c>
      <c r="O1042" s="6">
        <v>29.550599999999999</v>
      </c>
      <c r="P1042" s="6">
        <v>0</v>
      </c>
      <c r="Q1042" s="4" t="s">
        <v>26</v>
      </c>
      <c r="R1042" s="4">
        <v>0</v>
      </c>
      <c r="S1042" s="4" t="s">
        <v>339</v>
      </c>
      <c r="T1042" s="4" t="s">
        <v>704</v>
      </c>
      <c r="U1042" s="4">
        <v>0</v>
      </c>
      <c r="V1042" s="4">
        <v>28</v>
      </c>
      <c r="W1042" s="4">
        <v>82</v>
      </c>
    </row>
    <row r="1043" spans="1:23" ht="11.25" customHeight="1" x14ac:dyDescent="0.25">
      <c r="A1043" s="4" t="s">
        <v>27</v>
      </c>
      <c r="B1043" s="4" t="s">
        <v>33</v>
      </c>
      <c r="C1043" s="4" t="s">
        <v>34</v>
      </c>
      <c r="D1043" s="4" t="s">
        <v>47</v>
      </c>
      <c r="E1043" s="4" t="s">
        <v>55</v>
      </c>
      <c r="F1043" s="4" t="s">
        <v>57</v>
      </c>
      <c r="G1043" s="4" t="s">
        <v>25</v>
      </c>
      <c r="H1043" s="4" t="s">
        <v>36</v>
      </c>
      <c r="I1043" s="5">
        <v>43862</v>
      </c>
      <c r="J1043" s="6">
        <v>0</v>
      </c>
      <c r="K1043" s="6">
        <v>0</v>
      </c>
      <c r="L1043" s="6">
        <v>15.968999999999999</v>
      </c>
      <c r="M1043" s="6">
        <v>3.1938</v>
      </c>
      <c r="N1043" s="6">
        <v>15.968999999999999</v>
      </c>
      <c r="O1043" s="6">
        <v>3.1938</v>
      </c>
      <c r="P1043" s="6">
        <v>0</v>
      </c>
      <c r="Q1043" s="4" t="s">
        <v>26</v>
      </c>
      <c r="R1043" s="4">
        <v>0</v>
      </c>
      <c r="S1043" s="4" t="s">
        <v>339</v>
      </c>
      <c r="T1043" s="4" t="s">
        <v>704</v>
      </c>
      <c r="U1043" s="4">
        <v>0</v>
      </c>
      <c r="V1043" s="4">
        <v>28</v>
      </c>
      <c r="W1043" s="4">
        <v>82</v>
      </c>
    </row>
    <row r="1044" spans="1:23" ht="11.25" customHeight="1" x14ac:dyDescent="0.25">
      <c r="A1044" s="4" t="s">
        <v>21</v>
      </c>
      <c r="B1044" s="4" t="s">
        <v>33</v>
      </c>
      <c r="C1044" s="4" t="s">
        <v>34</v>
      </c>
      <c r="D1044" s="4" t="s">
        <v>47</v>
      </c>
      <c r="E1044" s="4" t="s">
        <v>55</v>
      </c>
      <c r="F1044" s="4" t="s">
        <v>57</v>
      </c>
      <c r="G1044" s="4" t="s">
        <v>25</v>
      </c>
      <c r="H1044" s="4" t="s">
        <v>36</v>
      </c>
      <c r="I1044" s="5">
        <v>43891</v>
      </c>
      <c r="J1044" s="6">
        <v>0</v>
      </c>
      <c r="K1044" s="6">
        <v>0</v>
      </c>
      <c r="L1044" s="6">
        <v>67.769000000000005</v>
      </c>
      <c r="M1044" s="6">
        <v>13.553800000000001</v>
      </c>
      <c r="N1044" s="6">
        <v>67.769000000000005</v>
      </c>
      <c r="O1044" s="6">
        <v>13.553800000000001</v>
      </c>
      <c r="P1044" s="6">
        <v>0</v>
      </c>
      <c r="Q1044" s="4" t="s">
        <v>26</v>
      </c>
      <c r="R1044" s="4">
        <v>0</v>
      </c>
      <c r="S1044" s="4" t="s">
        <v>340</v>
      </c>
      <c r="T1044" s="4" t="s">
        <v>705</v>
      </c>
      <c r="U1044" s="4">
        <v>0</v>
      </c>
      <c r="V1044" s="4">
        <v>28</v>
      </c>
      <c r="W1044" s="4">
        <v>82</v>
      </c>
    </row>
    <row r="1045" spans="1:23" ht="11.25" customHeight="1" x14ac:dyDescent="0.25">
      <c r="A1045" s="4" t="s">
        <v>27</v>
      </c>
      <c r="B1045" s="4" t="s">
        <v>33</v>
      </c>
      <c r="C1045" s="4" t="s">
        <v>34</v>
      </c>
      <c r="D1045" s="4" t="s">
        <v>47</v>
      </c>
      <c r="E1045" s="4" t="s">
        <v>55</v>
      </c>
      <c r="F1045" s="4" t="s">
        <v>57</v>
      </c>
      <c r="G1045" s="4" t="s">
        <v>25</v>
      </c>
      <c r="H1045" s="4" t="s">
        <v>36</v>
      </c>
      <c r="I1045" s="5">
        <v>43891</v>
      </c>
      <c r="J1045" s="6">
        <v>0</v>
      </c>
      <c r="K1045" s="6">
        <v>0</v>
      </c>
      <c r="L1045" s="6">
        <v>14.173999999999999</v>
      </c>
      <c r="M1045" s="6">
        <v>2.8348</v>
      </c>
      <c r="N1045" s="6">
        <v>14.173999999999999</v>
      </c>
      <c r="O1045" s="6">
        <v>2.8348</v>
      </c>
      <c r="P1045" s="6">
        <v>0</v>
      </c>
      <c r="Q1045" s="4" t="s">
        <v>26</v>
      </c>
      <c r="R1045" s="4">
        <v>0</v>
      </c>
      <c r="S1045" s="4" t="s">
        <v>340</v>
      </c>
      <c r="T1045" s="4" t="s">
        <v>705</v>
      </c>
      <c r="U1045" s="4">
        <v>0</v>
      </c>
      <c r="V1045" s="4">
        <v>28</v>
      </c>
      <c r="W1045" s="4">
        <v>82</v>
      </c>
    </row>
    <row r="1046" spans="1:23" ht="11.25" customHeight="1" x14ac:dyDescent="0.25">
      <c r="A1046" s="4" t="s">
        <v>21</v>
      </c>
      <c r="B1046" s="4" t="s">
        <v>33</v>
      </c>
      <c r="C1046" s="4" t="s">
        <v>34</v>
      </c>
      <c r="D1046" s="4" t="s">
        <v>47</v>
      </c>
      <c r="E1046" s="4" t="s">
        <v>55</v>
      </c>
      <c r="F1046" s="4" t="s">
        <v>57</v>
      </c>
      <c r="G1046" s="4" t="s">
        <v>25</v>
      </c>
      <c r="H1046" s="4" t="s">
        <v>36</v>
      </c>
      <c r="I1046" s="5">
        <v>43922</v>
      </c>
      <c r="J1046" s="6">
        <v>0</v>
      </c>
      <c r="K1046" s="6">
        <v>0</v>
      </c>
      <c r="L1046" s="6">
        <v>211.55699999999999</v>
      </c>
      <c r="M1046" s="6">
        <v>42.311399999999999</v>
      </c>
      <c r="N1046" s="6">
        <v>211.55699999999999</v>
      </c>
      <c r="O1046" s="6">
        <v>42.311399999999999</v>
      </c>
      <c r="P1046" s="6">
        <v>0</v>
      </c>
      <c r="Q1046" s="4" t="s">
        <v>26</v>
      </c>
      <c r="R1046" s="4">
        <v>0</v>
      </c>
      <c r="S1046" s="4" t="s">
        <v>341</v>
      </c>
      <c r="T1046" s="4" t="s">
        <v>706</v>
      </c>
      <c r="U1046" s="4">
        <v>0</v>
      </c>
      <c r="V1046" s="4">
        <v>28</v>
      </c>
      <c r="W1046" s="4">
        <v>82</v>
      </c>
    </row>
    <row r="1047" spans="1:23" ht="11.25" customHeight="1" x14ac:dyDescent="0.25">
      <c r="A1047" s="4" t="s">
        <v>27</v>
      </c>
      <c r="B1047" s="4" t="s">
        <v>33</v>
      </c>
      <c r="C1047" s="4" t="s">
        <v>34</v>
      </c>
      <c r="D1047" s="4" t="s">
        <v>47</v>
      </c>
      <c r="E1047" s="4" t="s">
        <v>55</v>
      </c>
      <c r="F1047" s="4" t="s">
        <v>57</v>
      </c>
      <c r="G1047" s="4" t="s">
        <v>25</v>
      </c>
      <c r="H1047" s="4" t="s">
        <v>36</v>
      </c>
      <c r="I1047" s="5">
        <v>43922</v>
      </c>
      <c r="J1047" s="6">
        <v>0</v>
      </c>
      <c r="K1047" s="6">
        <v>0</v>
      </c>
      <c r="L1047" s="6">
        <v>6.3440000000000003</v>
      </c>
      <c r="M1047" s="6">
        <v>1.2687999999999999</v>
      </c>
      <c r="N1047" s="6">
        <v>6.3440000000000003</v>
      </c>
      <c r="O1047" s="6">
        <v>1.2687999999999999</v>
      </c>
      <c r="P1047" s="6">
        <v>0</v>
      </c>
      <c r="Q1047" s="4" t="s">
        <v>26</v>
      </c>
      <c r="R1047" s="4">
        <v>0</v>
      </c>
      <c r="S1047" s="4" t="s">
        <v>341</v>
      </c>
      <c r="T1047" s="4" t="s">
        <v>706</v>
      </c>
      <c r="U1047" s="4">
        <v>0</v>
      </c>
      <c r="V1047" s="4">
        <v>28</v>
      </c>
      <c r="W1047" s="4">
        <v>82</v>
      </c>
    </row>
    <row r="1048" spans="1:23" ht="11.25" customHeight="1" x14ac:dyDescent="0.25">
      <c r="A1048" s="4" t="s">
        <v>21</v>
      </c>
      <c r="B1048" s="4" t="s">
        <v>33</v>
      </c>
      <c r="C1048" s="4" t="s">
        <v>34</v>
      </c>
      <c r="D1048" s="4" t="s">
        <v>47</v>
      </c>
      <c r="E1048" s="4" t="s">
        <v>55</v>
      </c>
      <c r="F1048" s="4" t="s">
        <v>57</v>
      </c>
      <c r="G1048" s="4" t="s">
        <v>25</v>
      </c>
      <c r="H1048" s="4" t="s">
        <v>36</v>
      </c>
      <c r="I1048" s="5">
        <v>43952</v>
      </c>
      <c r="J1048" s="6">
        <v>0</v>
      </c>
      <c r="K1048" s="6">
        <v>0</v>
      </c>
      <c r="L1048" s="6">
        <v>406.21899999999999</v>
      </c>
      <c r="M1048" s="6">
        <v>81.243799999999993</v>
      </c>
      <c r="N1048" s="6">
        <v>406.21899999999999</v>
      </c>
      <c r="O1048" s="6">
        <v>81.243799999999993</v>
      </c>
      <c r="P1048" s="6">
        <v>0</v>
      </c>
      <c r="Q1048" s="4" t="s">
        <v>26</v>
      </c>
      <c r="R1048" s="4">
        <v>0</v>
      </c>
      <c r="S1048" s="4" t="s">
        <v>342</v>
      </c>
      <c r="T1048" s="4" t="s">
        <v>707</v>
      </c>
      <c r="U1048" s="4">
        <v>0</v>
      </c>
      <c r="V1048" s="4">
        <v>28</v>
      </c>
      <c r="W1048" s="4">
        <v>82</v>
      </c>
    </row>
    <row r="1049" spans="1:23" ht="11.25" customHeight="1" x14ac:dyDescent="0.25">
      <c r="A1049" s="4" t="s">
        <v>27</v>
      </c>
      <c r="B1049" s="4" t="s">
        <v>33</v>
      </c>
      <c r="C1049" s="4" t="s">
        <v>34</v>
      </c>
      <c r="D1049" s="4" t="s">
        <v>47</v>
      </c>
      <c r="E1049" s="4" t="s">
        <v>55</v>
      </c>
      <c r="F1049" s="4" t="s">
        <v>57</v>
      </c>
      <c r="G1049" s="4" t="s">
        <v>25</v>
      </c>
      <c r="H1049" s="4" t="s">
        <v>36</v>
      </c>
      <c r="I1049" s="5">
        <v>43952</v>
      </c>
      <c r="J1049" s="6">
        <v>0</v>
      </c>
      <c r="K1049" s="6">
        <v>0</v>
      </c>
      <c r="L1049" s="6">
        <v>5.2149999999999999</v>
      </c>
      <c r="M1049" s="6">
        <v>1.0429999999999999</v>
      </c>
      <c r="N1049" s="6">
        <v>5.2149999999999999</v>
      </c>
      <c r="O1049" s="6">
        <v>1.0429999999999999</v>
      </c>
      <c r="P1049" s="6">
        <v>0</v>
      </c>
      <c r="Q1049" s="4" t="s">
        <v>26</v>
      </c>
      <c r="R1049" s="4">
        <v>0</v>
      </c>
      <c r="S1049" s="4" t="s">
        <v>342</v>
      </c>
      <c r="T1049" s="4" t="s">
        <v>707</v>
      </c>
      <c r="U1049" s="4">
        <v>0</v>
      </c>
      <c r="V1049" s="4">
        <v>28</v>
      </c>
      <c r="W1049" s="4">
        <v>82</v>
      </c>
    </row>
    <row r="1050" spans="1:23" ht="11.25" customHeight="1" x14ac:dyDescent="0.25">
      <c r="A1050" s="4" t="s">
        <v>21</v>
      </c>
      <c r="B1050" s="4" t="s">
        <v>33</v>
      </c>
      <c r="C1050" s="4" t="s">
        <v>34</v>
      </c>
      <c r="D1050" s="4" t="s">
        <v>47</v>
      </c>
      <c r="E1050" s="4" t="s">
        <v>55</v>
      </c>
      <c r="F1050" s="4" t="s">
        <v>57</v>
      </c>
      <c r="G1050" s="4" t="s">
        <v>25</v>
      </c>
      <c r="H1050" s="4" t="s">
        <v>36</v>
      </c>
      <c r="I1050" s="5">
        <v>43983</v>
      </c>
      <c r="J1050" s="6">
        <v>0</v>
      </c>
      <c r="K1050" s="6">
        <v>0</v>
      </c>
      <c r="L1050" s="6">
        <v>832.40599999999995</v>
      </c>
      <c r="M1050" s="6">
        <v>166.4812</v>
      </c>
      <c r="N1050" s="6">
        <v>832.40599999999995</v>
      </c>
      <c r="O1050" s="6">
        <v>166.4812</v>
      </c>
      <c r="P1050" s="6">
        <v>0</v>
      </c>
      <c r="Q1050" s="4" t="s">
        <v>26</v>
      </c>
      <c r="R1050" s="4">
        <v>0</v>
      </c>
      <c r="S1050" s="4" t="s">
        <v>343</v>
      </c>
      <c r="T1050" s="4" t="s">
        <v>708</v>
      </c>
      <c r="U1050" s="4">
        <v>0</v>
      </c>
      <c r="V1050" s="4">
        <v>28</v>
      </c>
      <c r="W1050" s="4">
        <v>82</v>
      </c>
    </row>
    <row r="1051" spans="1:23" ht="11.25" customHeight="1" x14ac:dyDescent="0.25">
      <c r="A1051" s="4" t="s">
        <v>27</v>
      </c>
      <c r="B1051" s="4" t="s">
        <v>33</v>
      </c>
      <c r="C1051" s="4" t="s">
        <v>34</v>
      </c>
      <c r="D1051" s="4" t="s">
        <v>47</v>
      </c>
      <c r="E1051" s="4" t="s">
        <v>55</v>
      </c>
      <c r="F1051" s="4" t="s">
        <v>57</v>
      </c>
      <c r="G1051" s="4" t="s">
        <v>25</v>
      </c>
      <c r="H1051" s="4" t="s">
        <v>36</v>
      </c>
      <c r="I1051" s="5">
        <v>43983</v>
      </c>
      <c r="J1051" s="6">
        <v>0</v>
      </c>
      <c r="K1051" s="6">
        <v>0</v>
      </c>
      <c r="L1051" s="6">
        <v>28.344999999999999</v>
      </c>
      <c r="M1051" s="6">
        <v>5.6689999999999996</v>
      </c>
      <c r="N1051" s="6">
        <v>28.344999999999999</v>
      </c>
      <c r="O1051" s="6">
        <v>5.6689999999999996</v>
      </c>
      <c r="P1051" s="6">
        <v>0</v>
      </c>
      <c r="Q1051" s="4" t="s">
        <v>26</v>
      </c>
      <c r="R1051" s="4">
        <v>0</v>
      </c>
      <c r="S1051" s="4" t="s">
        <v>343</v>
      </c>
      <c r="T1051" s="4" t="s">
        <v>708</v>
      </c>
      <c r="U1051" s="4">
        <v>0</v>
      </c>
      <c r="V1051" s="4">
        <v>28</v>
      </c>
      <c r="W1051" s="4">
        <v>82</v>
      </c>
    </row>
    <row r="1052" spans="1:23" ht="11.25" customHeight="1" x14ac:dyDescent="0.25">
      <c r="A1052" s="4" t="s">
        <v>21</v>
      </c>
      <c r="B1052" s="4" t="s">
        <v>33</v>
      </c>
      <c r="C1052" s="4" t="s">
        <v>34</v>
      </c>
      <c r="D1052" s="4" t="s">
        <v>47</v>
      </c>
      <c r="E1052" s="4" t="s">
        <v>55</v>
      </c>
      <c r="F1052" s="4" t="s">
        <v>57</v>
      </c>
      <c r="G1052" s="4" t="s">
        <v>25</v>
      </c>
      <c r="H1052" s="4" t="s">
        <v>36</v>
      </c>
      <c r="I1052" s="5">
        <v>44013</v>
      </c>
      <c r="J1052" s="6">
        <v>0</v>
      </c>
      <c r="K1052" s="6">
        <v>0</v>
      </c>
      <c r="L1052" s="6">
        <v>1179.5039999999999</v>
      </c>
      <c r="M1052" s="6">
        <v>235.9008</v>
      </c>
      <c r="N1052" s="6">
        <v>1179.5039999999999</v>
      </c>
      <c r="O1052" s="6">
        <v>235.9008</v>
      </c>
      <c r="P1052" s="6">
        <v>0</v>
      </c>
      <c r="Q1052" s="4" t="s">
        <v>26</v>
      </c>
      <c r="R1052" s="4">
        <v>0</v>
      </c>
      <c r="S1052" s="4" t="s">
        <v>344</v>
      </c>
      <c r="T1052" s="4" t="s">
        <v>709</v>
      </c>
      <c r="U1052" s="4">
        <v>0</v>
      </c>
      <c r="V1052" s="4">
        <v>28</v>
      </c>
      <c r="W1052" s="4">
        <v>82</v>
      </c>
    </row>
    <row r="1053" spans="1:23" ht="11.25" customHeight="1" x14ac:dyDescent="0.25">
      <c r="A1053" s="4" t="s">
        <v>27</v>
      </c>
      <c r="B1053" s="4" t="s">
        <v>33</v>
      </c>
      <c r="C1053" s="4" t="s">
        <v>34</v>
      </c>
      <c r="D1053" s="4" t="s">
        <v>47</v>
      </c>
      <c r="E1053" s="4" t="s">
        <v>55</v>
      </c>
      <c r="F1053" s="4" t="s">
        <v>57</v>
      </c>
      <c r="G1053" s="4" t="s">
        <v>25</v>
      </c>
      <c r="H1053" s="4" t="s">
        <v>36</v>
      </c>
      <c r="I1053" s="5">
        <v>44013</v>
      </c>
      <c r="J1053" s="6">
        <v>0</v>
      </c>
      <c r="K1053" s="6">
        <v>0</v>
      </c>
      <c r="L1053" s="6">
        <v>29.838000000000001</v>
      </c>
      <c r="M1053" s="6">
        <v>5.9676</v>
      </c>
      <c r="N1053" s="6">
        <v>29.838000000000001</v>
      </c>
      <c r="O1053" s="6">
        <v>5.9676</v>
      </c>
      <c r="P1053" s="6">
        <v>0</v>
      </c>
      <c r="Q1053" s="4" t="s">
        <v>26</v>
      </c>
      <c r="R1053" s="4">
        <v>0</v>
      </c>
      <c r="S1053" s="4" t="s">
        <v>344</v>
      </c>
      <c r="T1053" s="4" t="s">
        <v>709</v>
      </c>
      <c r="U1053" s="4">
        <v>0</v>
      </c>
      <c r="V1053" s="4">
        <v>28</v>
      </c>
      <c r="W1053" s="4">
        <v>82</v>
      </c>
    </row>
    <row r="1054" spans="1:23" ht="11.25" customHeight="1" x14ac:dyDescent="0.25">
      <c r="A1054" s="4" t="s">
        <v>21</v>
      </c>
      <c r="B1054" s="4" t="s">
        <v>33</v>
      </c>
      <c r="C1054" s="4" t="s">
        <v>34</v>
      </c>
      <c r="D1054" s="4" t="s">
        <v>47</v>
      </c>
      <c r="E1054" s="4" t="s">
        <v>55</v>
      </c>
      <c r="F1054" s="4" t="s">
        <v>57</v>
      </c>
      <c r="G1054" s="4" t="s">
        <v>25</v>
      </c>
      <c r="H1054" s="4" t="s">
        <v>36</v>
      </c>
      <c r="I1054" s="5">
        <v>44044</v>
      </c>
      <c r="J1054" s="6">
        <v>0</v>
      </c>
      <c r="K1054" s="6">
        <v>0</v>
      </c>
      <c r="L1054" s="6">
        <v>1170.998</v>
      </c>
      <c r="M1054" s="6">
        <v>234.1996</v>
      </c>
      <c r="N1054" s="6">
        <v>1170.998</v>
      </c>
      <c r="O1054" s="6">
        <v>234.1996</v>
      </c>
      <c r="P1054" s="6">
        <v>0</v>
      </c>
      <c r="Q1054" s="4" t="s">
        <v>26</v>
      </c>
      <c r="R1054" s="4">
        <v>0</v>
      </c>
      <c r="S1054" s="4" t="s">
        <v>345</v>
      </c>
      <c r="T1054" s="4" t="s">
        <v>710</v>
      </c>
      <c r="U1054" s="4">
        <v>0</v>
      </c>
      <c r="V1054" s="4">
        <v>28</v>
      </c>
      <c r="W1054" s="4">
        <v>82</v>
      </c>
    </row>
    <row r="1055" spans="1:23" ht="11.25" customHeight="1" x14ac:dyDescent="0.25">
      <c r="A1055" s="4" t="s">
        <v>27</v>
      </c>
      <c r="B1055" s="4" t="s">
        <v>33</v>
      </c>
      <c r="C1055" s="4" t="s">
        <v>34</v>
      </c>
      <c r="D1055" s="4" t="s">
        <v>47</v>
      </c>
      <c r="E1055" s="4" t="s">
        <v>55</v>
      </c>
      <c r="F1055" s="4" t="s">
        <v>57</v>
      </c>
      <c r="G1055" s="4" t="s">
        <v>25</v>
      </c>
      <c r="H1055" s="4" t="s">
        <v>36</v>
      </c>
      <c r="I1055" s="5">
        <v>44044</v>
      </c>
      <c r="J1055" s="6">
        <v>0</v>
      </c>
      <c r="K1055" s="6">
        <v>0</v>
      </c>
      <c r="L1055" s="6">
        <v>28.576000000000001</v>
      </c>
      <c r="M1055" s="6">
        <v>5.7152000000000003</v>
      </c>
      <c r="N1055" s="6">
        <v>28.576000000000001</v>
      </c>
      <c r="O1055" s="6">
        <v>5.7152000000000003</v>
      </c>
      <c r="P1055" s="6">
        <v>0</v>
      </c>
      <c r="Q1055" s="4" t="s">
        <v>26</v>
      </c>
      <c r="R1055" s="4">
        <v>0</v>
      </c>
      <c r="S1055" s="4" t="s">
        <v>345</v>
      </c>
      <c r="T1055" s="4" t="s">
        <v>710</v>
      </c>
      <c r="U1055" s="4">
        <v>0</v>
      </c>
      <c r="V1055" s="4">
        <v>28</v>
      </c>
      <c r="W1055" s="4">
        <v>82</v>
      </c>
    </row>
    <row r="1056" spans="1:23" ht="11.25" customHeight="1" x14ac:dyDescent="0.25">
      <c r="A1056" s="4" t="s">
        <v>59</v>
      </c>
      <c r="B1056" s="4" t="s">
        <v>33</v>
      </c>
      <c r="C1056" s="4" t="s">
        <v>34</v>
      </c>
      <c r="D1056" s="4" t="s">
        <v>47</v>
      </c>
      <c r="E1056" s="4" t="s">
        <v>55</v>
      </c>
      <c r="F1056" s="4" t="s">
        <v>57</v>
      </c>
      <c r="G1056" s="4" t="s">
        <v>25</v>
      </c>
      <c r="H1056" s="4" t="s">
        <v>36</v>
      </c>
      <c r="I1056" s="5">
        <v>44075</v>
      </c>
      <c r="J1056" s="6">
        <v>0</v>
      </c>
      <c r="K1056" s="6">
        <v>0</v>
      </c>
      <c r="L1056" s="6">
        <v>1170.998</v>
      </c>
      <c r="M1056" s="6">
        <v>234.1996</v>
      </c>
      <c r="N1056" s="6">
        <v>1170.998</v>
      </c>
      <c r="O1056" s="6">
        <v>234.1996</v>
      </c>
      <c r="P1056" s="6">
        <v>0</v>
      </c>
      <c r="Q1056" s="4" t="s">
        <v>26</v>
      </c>
      <c r="R1056" s="4">
        <v>0</v>
      </c>
      <c r="S1056" s="4" t="s">
        <v>346</v>
      </c>
      <c r="T1056" s="4" t="s">
        <v>711</v>
      </c>
      <c r="U1056" s="4">
        <v>0</v>
      </c>
      <c r="V1056" s="4">
        <v>28</v>
      </c>
      <c r="W1056" s="4">
        <v>82</v>
      </c>
    </row>
    <row r="1057" spans="1:23" ht="11.25" customHeight="1" x14ac:dyDescent="0.25">
      <c r="A1057" s="4" t="s">
        <v>59</v>
      </c>
      <c r="B1057" s="4" t="s">
        <v>33</v>
      </c>
      <c r="C1057" s="4" t="s">
        <v>34</v>
      </c>
      <c r="D1057" s="4" t="s">
        <v>47</v>
      </c>
      <c r="E1057" s="4" t="s">
        <v>55</v>
      </c>
      <c r="F1057" s="4" t="s">
        <v>57</v>
      </c>
      <c r="G1057" s="4" t="s">
        <v>25</v>
      </c>
      <c r="H1057" s="4" t="s">
        <v>36</v>
      </c>
      <c r="I1057" s="5">
        <v>44075</v>
      </c>
      <c r="J1057" s="6">
        <v>0</v>
      </c>
      <c r="K1057" s="6">
        <v>0</v>
      </c>
      <c r="L1057" s="6">
        <v>28.576000000000001</v>
      </c>
      <c r="M1057" s="6">
        <v>5.7152000000000003</v>
      </c>
      <c r="N1057" s="6">
        <v>28.576000000000001</v>
      </c>
      <c r="O1057" s="6">
        <v>5.7152000000000003</v>
      </c>
      <c r="P1057" s="6">
        <v>0</v>
      </c>
      <c r="Q1057" s="4" t="s">
        <v>26</v>
      </c>
      <c r="R1057" s="4">
        <v>0</v>
      </c>
      <c r="S1057" s="4" t="s">
        <v>346</v>
      </c>
      <c r="T1057" s="4" t="s">
        <v>711</v>
      </c>
      <c r="U1057" s="4">
        <v>0</v>
      </c>
      <c r="V1057" s="4">
        <v>28</v>
      </c>
      <c r="W1057" s="4">
        <v>82</v>
      </c>
    </row>
    <row r="1058" spans="1:23" ht="11.25" customHeight="1" x14ac:dyDescent="0.25">
      <c r="A1058" s="4" t="s">
        <v>21</v>
      </c>
      <c r="B1058" s="4" t="s">
        <v>33</v>
      </c>
      <c r="C1058" s="4" t="s">
        <v>34</v>
      </c>
      <c r="D1058" s="4" t="s">
        <v>47</v>
      </c>
      <c r="E1058" s="4" t="s">
        <v>55</v>
      </c>
      <c r="F1058" s="4" t="s">
        <v>25</v>
      </c>
      <c r="G1058" s="4" t="s">
        <v>25</v>
      </c>
      <c r="H1058" s="4" t="s">
        <v>36</v>
      </c>
      <c r="I1058" s="5">
        <v>43739</v>
      </c>
      <c r="J1058" s="6">
        <v>0</v>
      </c>
      <c r="K1058" s="6">
        <v>0</v>
      </c>
      <c r="L1058" s="6">
        <v>956.12900000000002</v>
      </c>
      <c r="M1058" s="6">
        <v>879.63868000000002</v>
      </c>
      <c r="N1058" s="6">
        <v>956.12900000000002</v>
      </c>
      <c r="O1058" s="6">
        <v>879.63868000000002</v>
      </c>
      <c r="P1058" s="6">
        <v>0</v>
      </c>
      <c r="Q1058" s="4" t="s">
        <v>26</v>
      </c>
      <c r="R1058" s="4">
        <v>0</v>
      </c>
      <c r="S1058" s="4" t="s">
        <v>335</v>
      </c>
      <c r="T1058" s="4" t="s">
        <v>700</v>
      </c>
      <c r="U1058" s="4">
        <v>0</v>
      </c>
      <c r="V1058" s="4">
        <v>28</v>
      </c>
      <c r="W1058" s="4">
        <v>82</v>
      </c>
    </row>
    <row r="1059" spans="1:23" ht="11.25" customHeight="1" x14ac:dyDescent="0.25">
      <c r="A1059" s="4" t="s">
        <v>27</v>
      </c>
      <c r="B1059" s="4" t="s">
        <v>33</v>
      </c>
      <c r="C1059" s="4" t="s">
        <v>34</v>
      </c>
      <c r="D1059" s="4" t="s">
        <v>47</v>
      </c>
      <c r="E1059" s="4" t="s">
        <v>55</v>
      </c>
      <c r="F1059" s="4" t="s">
        <v>25</v>
      </c>
      <c r="G1059" s="4" t="s">
        <v>25</v>
      </c>
      <c r="H1059" s="4" t="s">
        <v>36</v>
      </c>
      <c r="I1059" s="5">
        <v>43739</v>
      </c>
      <c r="J1059" s="6">
        <v>0</v>
      </c>
      <c r="K1059" s="6">
        <v>0</v>
      </c>
      <c r="L1059" s="6">
        <v>1.9330000000000001</v>
      </c>
      <c r="M1059" s="6">
        <v>1.7783600000000002</v>
      </c>
      <c r="N1059" s="6">
        <v>1.9330000000000001</v>
      </c>
      <c r="O1059" s="6">
        <v>1.7783600000000002</v>
      </c>
      <c r="P1059" s="6">
        <v>0</v>
      </c>
      <c r="Q1059" s="4" t="s">
        <v>26</v>
      </c>
      <c r="R1059" s="4">
        <v>0</v>
      </c>
      <c r="S1059" s="4" t="s">
        <v>335</v>
      </c>
      <c r="T1059" s="4" t="s">
        <v>700</v>
      </c>
      <c r="U1059" s="4">
        <v>0</v>
      </c>
      <c r="V1059" s="4">
        <v>28</v>
      </c>
      <c r="W1059" s="4">
        <v>82</v>
      </c>
    </row>
    <row r="1060" spans="1:23" ht="11.25" customHeight="1" x14ac:dyDescent="0.25">
      <c r="A1060" s="4" t="s">
        <v>21</v>
      </c>
      <c r="B1060" s="4" t="s">
        <v>33</v>
      </c>
      <c r="C1060" s="4" t="s">
        <v>34</v>
      </c>
      <c r="D1060" s="4" t="s">
        <v>47</v>
      </c>
      <c r="E1060" s="4" t="s">
        <v>55</v>
      </c>
      <c r="F1060" s="4" t="s">
        <v>25</v>
      </c>
      <c r="G1060" s="4" t="s">
        <v>25</v>
      </c>
      <c r="H1060" s="4" t="s">
        <v>36</v>
      </c>
      <c r="I1060" s="5">
        <v>43770</v>
      </c>
      <c r="J1060" s="6">
        <v>0</v>
      </c>
      <c r="K1060" s="6">
        <v>0</v>
      </c>
      <c r="L1060" s="6">
        <v>1213.0989999999999</v>
      </c>
      <c r="M1060" s="6">
        <v>1116.05108</v>
      </c>
      <c r="N1060" s="6">
        <v>1213.0989999999999</v>
      </c>
      <c r="O1060" s="6">
        <v>1116.05108</v>
      </c>
      <c r="P1060" s="6">
        <v>0</v>
      </c>
      <c r="Q1060" s="4" t="s">
        <v>26</v>
      </c>
      <c r="R1060" s="4">
        <v>0</v>
      </c>
      <c r="S1060" s="4" t="s">
        <v>336</v>
      </c>
      <c r="T1060" s="4" t="s">
        <v>701</v>
      </c>
      <c r="U1060" s="4">
        <v>0</v>
      </c>
      <c r="V1060" s="4">
        <v>28</v>
      </c>
      <c r="W1060" s="4">
        <v>82</v>
      </c>
    </row>
    <row r="1061" spans="1:23" ht="11.25" customHeight="1" x14ac:dyDescent="0.25">
      <c r="A1061" s="4" t="s">
        <v>27</v>
      </c>
      <c r="B1061" s="4" t="s">
        <v>33</v>
      </c>
      <c r="C1061" s="4" t="s">
        <v>34</v>
      </c>
      <c r="D1061" s="4" t="s">
        <v>47</v>
      </c>
      <c r="E1061" s="4" t="s">
        <v>55</v>
      </c>
      <c r="F1061" s="4" t="s">
        <v>25</v>
      </c>
      <c r="G1061" s="4" t="s">
        <v>25</v>
      </c>
      <c r="H1061" s="4" t="s">
        <v>36</v>
      </c>
      <c r="I1061" s="5">
        <v>43770</v>
      </c>
      <c r="J1061" s="6">
        <v>0</v>
      </c>
      <c r="K1061" s="6">
        <v>0</v>
      </c>
      <c r="L1061" s="6">
        <v>22.696999999999999</v>
      </c>
      <c r="M1061" s="6">
        <v>20.881240000000002</v>
      </c>
      <c r="N1061" s="6">
        <v>22.696999999999999</v>
      </c>
      <c r="O1061" s="6">
        <v>20.881240000000002</v>
      </c>
      <c r="P1061" s="6">
        <v>0</v>
      </c>
      <c r="Q1061" s="4" t="s">
        <v>26</v>
      </c>
      <c r="R1061" s="4">
        <v>0</v>
      </c>
      <c r="S1061" s="4" t="s">
        <v>336</v>
      </c>
      <c r="T1061" s="4" t="s">
        <v>701</v>
      </c>
      <c r="U1061" s="4">
        <v>0</v>
      </c>
      <c r="V1061" s="4">
        <v>28</v>
      </c>
      <c r="W1061" s="4">
        <v>82</v>
      </c>
    </row>
    <row r="1062" spans="1:23" ht="11.25" customHeight="1" x14ac:dyDescent="0.25">
      <c r="A1062" s="4" t="s">
        <v>21</v>
      </c>
      <c r="B1062" s="4" t="s">
        <v>33</v>
      </c>
      <c r="C1062" s="4" t="s">
        <v>34</v>
      </c>
      <c r="D1062" s="4" t="s">
        <v>47</v>
      </c>
      <c r="E1062" s="4" t="s">
        <v>55</v>
      </c>
      <c r="F1062" s="4" t="s">
        <v>25</v>
      </c>
      <c r="G1062" s="4" t="s">
        <v>25</v>
      </c>
      <c r="H1062" s="4" t="s">
        <v>36</v>
      </c>
      <c r="I1062" s="5">
        <v>43800</v>
      </c>
      <c r="J1062" s="6">
        <v>0</v>
      </c>
      <c r="K1062" s="6">
        <v>0</v>
      </c>
      <c r="L1062" s="6">
        <v>342.91699999999997</v>
      </c>
      <c r="M1062" s="6">
        <v>315.48363999999998</v>
      </c>
      <c r="N1062" s="6">
        <v>342.91699999999997</v>
      </c>
      <c r="O1062" s="6">
        <v>315.48363999999998</v>
      </c>
      <c r="P1062" s="6">
        <v>0</v>
      </c>
      <c r="Q1062" s="4" t="s">
        <v>26</v>
      </c>
      <c r="R1062" s="4">
        <v>0</v>
      </c>
      <c r="S1062" s="4" t="s">
        <v>337</v>
      </c>
      <c r="T1062" s="4" t="s">
        <v>702</v>
      </c>
      <c r="U1062" s="4">
        <v>0</v>
      </c>
      <c r="V1062" s="4">
        <v>28</v>
      </c>
      <c r="W1062" s="4">
        <v>82</v>
      </c>
    </row>
    <row r="1063" spans="1:23" ht="11.25" customHeight="1" x14ac:dyDescent="0.25">
      <c r="A1063" s="4" t="s">
        <v>21</v>
      </c>
      <c r="B1063" s="4" t="s">
        <v>33</v>
      </c>
      <c r="C1063" s="4" t="s">
        <v>34</v>
      </c>
      <c r="D1063" s="4" t="s">
        <v>47</v>
      </c>
      <c r="E1063" s="4" t="s">
        <v>55</v>
      </c>
      <c r="F1063" s="4" t="s">
        <v>25</v>
      </c>
      <c r="G1063" s="4" t="s">
        <v>25</v>
      </c>
      <c r="H1063" s="4" t="s">
        <v>36</v>
      </c>
      <c r="I1063" s="5">
        <v>43831</v>
      </c>
      <c r="J1063" s="6">
        <v>0</v>
      </c>
      <c r="K1063" s="6">
        <v>0</v>
      </c>
      <c r="L1063" s="6">
        <v>340.26100000000002</v>
      </c>
      <c r="M1063" s="6">
        <v>313.04012000000006</v>
      </c>
      <c r="N1063" s="6">
        <v>340.26100000000002</v>
      </c>
      <c r="O1063" s="6">
        <v>313.04012000000006</v>
      </c>
      <c r="P1063" s="6">
        <v>0</v>
      </c>
      <c r="Q1063" s="4" t="s">
        <v>26</v>
      </c>
      <c r="R1063" s="4">
        <v>0</v>
      </c>
      <c r="S1063" s="4" t="s">
        <v>338</v>
      </c>
      <c r="T1063" s="4" t="s">
        <v>703</v>
      </c>
      <c r="U1063" s="4">
        <v>0</v>
      </c>
      <c r="V1063" s="4">
        <v>28</v>
      </c>
      <c r="W1063" s="4">
        <v>82</v>
      </c>
    </row>
    <row r="1064" spans="1:23" ht="11.25" customHeight="1" x14ac:dyDescent="0.25">
      <c r="A1064" s="4" t="s">
        <v>21</v>
      </c>
      <c r="B1064" s="4" t="s">
        <v>33</v>
      </c>
      <c r="C1064" s="4" t="s">
        <v>34</v>
      </c>
      <c r="D1064" s="4" t="s">
        <v>47</v>
      </c>
      <c r="E1064" s="4" t="s">
        <v>55</v>
      </c>
      <c r="F1064" s="4" t="s">
        <v>25</v>
      </c>
      <c r="G1064" s="4" t="s">
        <v>25</v>
      </c>
      <c r="H1064" s="4" t="s">
        <v>36</v>
      </c>
      <c r="I1064" s="5">
        <v>43862</v>
      </c>
      <c r="J1064" s="6">
        <v>0</v>
      </c>
      <c r="K1064" s="6">
        <v>0</v>
      </c>
      <c r="L1064" s="6">
        <v>298.91800000000001</v>
      </c>
      <c r="M1064" s="6">
        <v>275.00456000000003</v>
      </c>
      <c r="N1064" s="6">
        <v>298.91800000000001</v>
      </c>
      <c r="O1064" s="6">
        <v>275.00456000000003</v>
      </c>
      <c r="P1064" s="6">
        <v>0</v>
      </c>
      <c r="Q1064" s="4" t="s">
        <v>26</v>
      </c>
      <c r="R1064" s="4">
        <v>0</v>
      </c>
      <c r="S1064" s="4" t="s">
        <v>339</v>
      </c>
      <c r="T1064" s="4" t="s">
        <v>704</v>
      </c>
      <c r="U1064" s="4">
        <v>0</v>
      </c>
      <c r="V1064" s="4">
        <v>28</v>
      </c>
      <c r="W1064" s="4">
        <v>82</v>
      </c>
    </row>
    <row r="1065" spans="1:23" ht="11.25" customHeight="1" x14ac:dyDescent="0.25">
      <c r="A1065" s="4" t="s">
        <v>27</v>
      </c>
      <c r="B1065" s="4" t="s">
        <v>33</v>
      </c>
      <c r="C1065" s="4" t="s">
        <v>34</v>
      </c>
      <c r="D1065" s="4" t="s">
        <v>47</v>
      </c>
      <c r="E1065" s="4" t="s">
        <v>55</v>
      </c>
      <c r="F1065" s="4" t="s">
        <v>25</v>
      </c>
      <c r="G1065" s="4" t="s">
        <v>25</v>
      </c>
      <c r="H1065" s="4" t="s">
        <v>36</v>
      </c>
      <c r="I1065" s="5">
        <v>43862</v>
      </c>
      <c r="J1065" s="6">
        <v>0</v>
      </c>
      <c r="K1065" s="6">
        <v>0</v>
      </c>
      <c r="L1065" s="6">
        <v>16.077000000000002</v>
      </c>
      <c r="M1065" s="6">
        <v>14.790840000000003</v>
      </c>
      <c r="N1065" s="6">
        <v>16.077000000000002</v>
      </c>
      <c r="O1065" s="6">
        <v>14.790840000000003</v>
      </c>
      <c r="P1065" s="6">
        <v>0</v>
      </c>
      <c r="Q1065" s="4" t="s">
        <v>26</v>
      </c>
      <c r="R1065" s="4">
        <v>0</v>
      </c>
      <c r="S1065" s="4" t="s">
        <v>339</v>
      </c>
      <c r="T1065" s="4" t="s">
        <v>704</v>
      </c>
      <c r="U1065" s="4">
        <v>0</v>
      </c>
      <c r="V1065" s="4">
        <v>28</v>
      </c>
      <c r="W1065" s="4">
        <v>82</v>
      </c>
    </row>
    <row r="1066" spans="1:23" ht="11.25" customHeight="1" x14ac:dyDescent="0.25">
      <c r="A1066" s="4" t="s">
        <v>21</v>
      </c>
      <c r="B1066" s="4" t="s">
        <v>33</v>
      </c>
      <c r="C1066" s="4" t="s">
        <v>34</v>
      </c>
      <c r="D1066" s="4" t="s">
        <v>47</v>
      </c>
      <c r="E1066" s="4" t="s">
        <v>55</v>
      </c>
      <c r="F1066" s="4" t="s">
        <v>25</v>
      </c>
      <c r="G1066" s="4" t="s">
        <v>25</v>
      </c>
      <c r="H1066" s="4" t="s">
        <v>36</v>
      </c>
      <c r="I1066" s="5">
        <v>43891</v>
      </c>
      <c r="J1066" s="6">
        <v>0</v>
      </c>
      <c r="K1066" s="6">
        <v>0</v>
      </c>
      <c r="L1066" s="6">
        <v>132.851</v>
      </c>
      <c r="M1066" s="6">
        <v>122.22292</v>
      </c>
      <c r="N1066" s="6">
        <v>132.851</v>
      </c>
      <c r="O1066" s="6">
        <v>122.22292</v>
      </c>
      <c r="P1066" s="6">
        <v>0</v>
      </c>
      <c r="Q1066" s="4" t="s">
        <v>26</v>
      </c>
      <c r="R1066" s="4">
        <v>0</v>
      </c>
      <c r="S1066" s="4" t="s">
        <v>340</v>
      </c>
      <c r="T1066" s="4" t="s">
        <v>705</v>
      </c>
      <c r="U1066" s="4">
        <v>0</v>
      </c>
      <c r="V1066" s="4">
        <v>28</v>
      </c>
      <c r="W1066" s="4">
        <v>82</v>
      </c>
    </row>
    <row r="1067" spans="1:23" ht="11.25" customHeight="1" x14ac:dyDescent="0.25">
      <c r="A1067" s="4" t="s">
        <v>27</v>
      </c>
      <c r="B1067" s="4" t="s">
        <v>33</v>
      </c>
      <c r="C1067" s="4" t="s">
        <v>34</v>
      </c>
      <c r="D1067" s="4" t="s">
        <v>47</v>
      </c>
      <c r="E1067" s="4" t="s">
        <v>55</v>
      </c>
      <c r="F1067" s="4" t="s">
        <v>25</v>
      </c>
      <c r="G1067" s="4" t="s">
        <v>25</v>
      </c>
      <c r="H1067" s="4" t="s">
        <v>36</v>
      </c>
      <c r="I1067" s="5">
        <v>43891</v>
      </c>
      <c r="J1067" s="6">
        <v>0</v>
      </c>
      <c r="K1067" s="6">
        <v>0</v>
      </c>
      <c r="L1067" s="6">
        <v>13.804</v>
      </c>
      <c r="M1067" s="6">
        <v>12.699680000000001</v>
      </c>
      <c r="N1067" s="6">
        <v>13.804</v>
      </c>
      <c r="O1067" s="6">
        <v>12.699680000000001</v>
      </c>
      <c r="P1067" s="6">
        <v>0</v>
      </c>
      <c r="Q1067" s="4" t="s">
        <v>26</v>
      </c>
      <c r="R1067" s="4">
        <v>0</v>
      </c>
      <c r="S1067" s="4" t="s">
        <v>340</v>
      </c>
      <c r="T1067" s="4" t="s">
        <v>705</v>
      </c>
      <c r="U1067" s="4">
        <v>0</v>
      </c>
      <c r="V1067" s="4">
        <v>28</v>
      </c>
      <c r="W1067" s="4">
        <v>82</v>
      </c>
    </row>
    <row r="1068" spans="1:23" ht="11.25" customHeight="1" x14ac:dyDescent="0.25">
      <c r="A1068" s="4" t="s">
        <v>21</v>
      </c>
      <c r="B1068" s="4" t="s">
        <v>33</v>
      </c>
      <c r="C1068" s="4" t="s">
        <v>34</v>
      </c>
      <c r="D1068" s="4" t="s">
        <v>47</v>
      </c>
      <c r="E1068" s="4" t="s">
        <v>55</v>
      </c>
      <c r="F1068" s="4" t="s">
        <v>25</v>
      </c>
      <c r="G1068" s="4" t="s">
        <v>25</v>
      </c>
      <c r="H1068" s="4" t="s">
        <v>36</v>
      </c>
      <c r="I1068" s="5">
        <v>43922</v>
      </c>
      <c r="J1068" s="6">
        <v>0</v>
      </c>
      <c r="K1068" s="6">
        <v>0</v>
      </c>
      <c r="L1068" s="6">
        <v>346.67200000000003</v>
      </c>
      <c r="M1068" s="6">
        <v>318.93824000000006</v>
      </c>
      <c r="N1068" s="6">
        <v>346.67200000000003</v>
      </c>
      <c r="O1068" s="6">
        <v>318.93824000000006</v>
      </c>
      <c r="P1068" s="6">
        <v>0</v>
      </c>
      <c r="Q1068" s="4" t="s">
        <v>26</v>
      </c>
      <c r="R1068" s="4">
        <v>0</v>
      </c>
      <c r="S1068" s="4" t="s">
        <v>341</v>
      </c>
      <c r="T1068" s="4" t="s">
        <v>706</v>
      </c>
      <c r="U1068" s="4">
        <v>0</v>
      </c>
      <c r="V1068" s="4">
        <v>28</v>
      </c>
      <c r="W1068" s="4">
        <v>82</v>
      </c>
    </row>
    <row r="1069" spans="1:23" ht="11.25" customHeight="1" x14ac:dyDescent="0.25">
      <c r="A1069" s="4" t="s">
        <v>27</v>
      </c>
      <c r="B1069" s="4" t="s">
        <v>33</v>
      </c>
      <c r="C1069" s="4" t="s">
        <v>34</v>
      </c>
      <c r="D1069" s="4" t="s">
        <v>47</v>
      </c>
      <c r="E1069" s="4" t="s">
        <v>55</v>
      </c>
      <c r="F1069" s="4" t="s">
        <v>25</v>
      </c>
      <c r="G1069" s="4" t="s">
        <v>25</v>
      </c>
      <c r="H1069" s="4" t="s">
        <v>36</v>
      </c>
      <c r="I1069" s="5">
        <v>43922</v>
      </c>
      <c r="J1069" s="6">
        <v>0</v>
      </c>
      <c r="K1069" s="6">
        <v>0</v>
      </c>
      <c r="L1069" s="6">
        <v>5.2279999999999998</v>
      </c>
      <c r="M1069" s="6">
        <v>4.8097599999999998</v>
      </c>
      <c r="N1069" s="6">
        <v>5.2279999999999998</v>
      </c>
      <c r="O1069" s="6">
        <v>4.8097599999999998</v>
      </c>
      <c r="P1069" s="6">
        <v>0</v>
      </c>
      <c r="Q1069" s="4" t="s">
        <v>26</v>
      </c>
      <c r="R1069" s="4">
        <v>0</v>
      </c>
      <c r="S1069" s="4" t="s">
        <v>341</v>
      </c>
      <c r="T1069" s="4" t="s">
        <v>706</v>
      </c>
      <c r="U1069" s="4">
        <v>0</v>
      </c>
      <c r="V1069" s="4">
        <v>28</v>
      </c>
      <c r="W1069" s="4">
        <v>82</v>
      </c>
    </row>
    <row r="1070" spans="1:23" ht="11.25" customHeight="1" x14ac:dyDescent="0.25">
      <c r="A1070" s="4" t="s">
        <v>21</v>
      </c>
      <c r="B1070" s="4" t="s">
        <v>33</v>
      </c>
      <c r="C1070" s="4" t="s">
        <v>34</v>
      </c>
      <c r="D1070" s="4" t="s">
        <v>47</v>
      </c>
      <c r="E1070" s="4" t="s">
        <v>55</v>
      </c>
      <c r="F1070" s="4" t="s">
        <v>25</v>
      </c>
      <c r="G1070" s="4" t="s">
        <v>25</v>
      </c>
      <c r="H1070" s="4" t="s">
        <v>36</v>
      </c>
      <c r="I1070" s="5">
        <v>43952</v>
      </c>
      <c r="J1070" s="6">
        <v>0</v>
      </c>
      <c r="K1070" s="6">
        <v>0</v>
      </c>
      <c r="L1070" s="6">
        <v>722.94600000000003</v>
      </c>
      <c r="M1070" s="6">
        <v>665.11032</v>
      </c>
      <c r="N1070" s="6">
        <v>722.94600000000003</v>
      </c>
      <c r="O1070" s="6">
        <v>665.11032</v>
      </c>
      <c r="P1070" s="6">
        <v>0</v>
      </c>
      <c r="Q1070" s="4" t="s">
        <v>26</v>
      </c>
      <c r="R1070" s="4">
        <v>0</v>
      </c>
      <c r="S1070" s="4" t="s">
        <v>342</v>
      </c>
      <c r="T1070" s="4" t="s">
        <v>707</v>
      </c>
      <c r="U1070" s="4">
        <v>0</v>
      </c>
      <c r="V1070" s="4">
        <v>28</v>
      </c>
      <c r="W1070" s="4">
        <v>82</v>
      </c>
    </row>
    <row r="1071" spans="1:23" ht="11.25" customHeight="1" x14ac:dyDescent="0.25">
      <c r="A1071" s="4" t="s">
        <v>21</v>
      </c>
      <c r="B1071" s="4" t="s">
        <v>33</v>
      </c>
      <c r="C1071" s="4" t="s">
        <v>34</v>
      </c>
      <c r="D1071" s="4" t="s">
        <v>47</v>
      </c>
      <c r="E1071" s="4" t="s">
        <v>55</v>
      </c>
      <c r="F1071" s="4" t="s">
        <v>25</v>
      </c>
      <c r="G1071" s="4" t="s">
        <v>25</v>
      </c>
      <c r="H1071" s="4" t="s">
        <v>36</v>
      </c>
      <c r="I1071" s="5">
        <v>43983</v>
      </c>
      <c r="J1071" s="6">
        <v>0</v>
      </c>
      <c r="K1071" s="6">
        <v>0</v>
      </c>
      <c r="L1071" s="6">
        <v>1957.6759999999999</v>
      </c>
      <c r="M1071" s="6">
        <v>1801.0619200000001</v>
      </c>
      <c r="N1071" s="6">
        <v>1957.6759999999999</v>
      </c>
      <c r="O1071" s="6">
        <v>1801.0619200000001</v>
      </c>
      <c r="P1071" s="6">
        <v>0</v>
      </c>
      <c r="Q1071" s="4" t="s">
        <v>26</v>
      </c>
      <c r="R1071" s="4">
        <v>0</v>
      </c>
      <c r="S1071" s="4" t="s">
        <v>343</v>
      </c>
      <c r="T1071" s="4" t="s">
        <v>708</v>
      </c>
      <c r="U1071" s="4">
        <v>0</v>
      </c>
      <c r="V1071" s="4">
        <v>28</v>
      </c>
      <c r="W1071" s="4">
        <v>82</v>
      </c>
    </row>
    <row r="1072" spans="1:23" ht="11.25" customHeight="1" x14ac:dyDescent="0.25">
      <c r="A1072" s="4" t="s">
        <v>27</v>
      </c>
      <c r="B1072" s="4" t="s">
        <v>33</v>
      </c>
      <c r="C1072" s="4" t="s">
        <v>34</v>
      </c>
      <c r="D1072" s="4" t="s">
        <v>47</v>
      </c>
      <c r="E1072" s="4" t="s">
        <v>55</v>
      </c>
      <c r="F1072" s="4" t="s">
        <v>25</v>
      </c>
      <c r="G1072" s="4" t="s">
        <v>25</v>
      </c>
      <c r="H1072" s="4" t="s">
        <v>36</v>
      </c>
      <c r="I1072" s="5">
        <v>43983</v>
      </c>
      <c r="J1072" s="6">
        <v>0</v>
      </c>
      <c r="K1072" s="6">
        <v>0</v>
      </c>
      <c r="L1072" s="6">
        <v>10.285</v>
      </c>
      <c r="M1072" s="6">
        <v>9.4622000000000011</v>
      </c>
      <c r="N1072" s="6">
        <v>10.285</v>
      </c>
      <c r="O1072" s="6">
        <v>9.4622000000000011</v>
      </c>
      <c r="P1072" s="6">
        <v>0</v>
      </c>
      <c r="Q1072" s="4" t="s">
        <v>26</v>
      </c>
      <c r="R1072" s="4">
        <v>0</v>
      </c>
      <c r="S1072" s="4" t="s">
        <v>343</v>
      </c>
      <c r="T1072" s="4" t="s">
        <v>708</v>
      </c>
      <c r="U1072" s="4">
        <v>0</v>
      </c>
      <c r="V1072" s="4">
        <v>28</v>
      </c>
      <c r="W1072" s="4">
        <v>82</v>
      </c>
    </row>
    <row r="1073" spans="1:23" ht="11.25" customHeight="1" x14ac:dyDescent="0.25">
      <c r="A1073" s="4" t="s">
        <v>21</v>
      </c>
      <c r="B1073" s="4" t="s">
        <v>33</v>
      </c>
      <c r="C1073" s="4" t="s">
        <v>34</v>
      </c>
      <c r="D1073" s="4" t="s">
        <v>47</v>
      </c>
      <c r="E1073" s="4" t="s">
        <v>55</v>
      </c>
      <c r="F1073" s="4" t="s">
        <v>25</v>
      </c>
      <c r="G1073" s="4" t="s">
        <v>25</v>
      </c>
      <c r="H1073" s="4" t="s">
        <v>36</v>
      </c>
      <c r="I1073" s="5">
        <v>44013</v>
      </c>
      <c r="J1073" s="6">
        <v>0</v>
      </c>
      <c r="K1073" s="6">
        <v>0</v>
      </c>
      <c r="L1073" s="6">
        <v>1958.9480000000001</v>
      </c>
      <c r="M1073" s="6">
        <v>1802.2321600000002</v>
      </c>
      <c r="N1073" s="6">
        <v>1958.9480000000001</v>
      </c>
      <c r="O1073" s="6">
        <v>1802.2321600000002</v>
      </c>
      <c r="P1073" s="6">
        <v>0</v>
      </c>
      <c r="Q1073" s="4" t="s">
        <v>26</v>
      </c>
      <c r="R1073" s="4">
        <v>0</v>
      </c>
      <c r="S1073" s="4" t="s">
        <v>344</v>
      </c>
      <c r="T1073" s="4" t="s">
        <v>709</v>
      </c>
      <c r="U1073" s="4">
        <v>0</v>
      </c>
      <c r="V1073" s="4">
        <v>28</v>
      </c>
      <c r="W1073" s="4">
        <v>82</v>
      </c>
    </row>
    <row r="1074" spans="1:23" ht="11.25" customHeight="1" x14ac:dyDescent="0.25">
      <c r="A1074" s="4" t="s">
        <v>27</v>
      </c>
      <c r="B1074" s="4" t="s">
        <v>33</v>
      </c>
      <c r="C1074" s="4" t="s">
        <v>34</v>
      </c>
      <c r="D1074" s="4" t="s">
        <v>47</v>
      </c>
      <c r="E1074" s="4" t="s">
        <v>55</v>
      </c>
      <c r="F1074" s="4" t="s">
        <v>25</v>
      </c>
      <c r="G1074" s="4" t="s">
        <v>25</v>
      </c>
      <c r="H1074" s="4" t="s">
        <v>36</v>
      </c>
      <c r="I1074" s="5">
        <v>44013</v>
      </c>
      <c r="J1074" s="6">
        <v>0</v>
      </c>
      <c r="K1074" s="6">
        <v>0</v>
      </c>
      <c r="L1074" s="6">
        <v>66.974000000000004</v>
      </c>
      <c r="M1074" s="6">
        <v>61.616080000000004</v>
      </c>
      <c r="N1074" s="6">
        <v>66.974000000000004</v>
      </c>
      <c r="O1074" s="6">
        <v>61.616080000000004</v>
      </c>
      <c r="P1074" s="6">
        <v>0</v>
      </c>
      <c r="Q1074" s="4" t="s">
        <v>26</v>
      </c>
      <c r="R1074" s="4">
        <v>0</v>
      </c>
      <c r="S1074" s="4" t="s">
        <v>344</v>
      </c>
      <c r="T1074" s="4" t="s">
        <v>709</v>
      </c>
      <c r="U1074" s="4">
        <v>0</v>
      </c>
      <c r="V1074" s="4">
        <v>28</v>
      </c>
      <c r="W1074" s="4">
        <v>82</v>
      </c>
    </row>
    <row r="1075" spans="1:23" ht="11.25" customHeight="1" x14ac:dyDescent="0.25">
      <c r="A1075" s="4" t="s">
        <v>21</v>
      </c>
      <c r="B1075" s="4" t="s">
        <v>33</v>
      </c>
      <c r="C1075" s="4" t="s">
        <v>34</v>
      </c>
      <c r="D1075" s="4" t="s">
        <v>47</v>
      </c>
      <c r="E1075" s="4" t="s">
        <v>55</v>
      </c>
      <c r="F1075" s="4" t="s">
        <v>25</v>
      </c>
      <c r="G1075" s="4" t="s">
        <v>25</v>
      </c>
      <c r="H1075" s="4" t="s">
        <v>36</v>
      </c>
      <c r="I1075" s="5">
        <v>44044</v>
      </c>
      <c r="J1075" s="6">
        <v>0</v>
      </c>
      <c r="K1075" s="6">
        <v>0</v>
      </c>
      <c r="L1075" s="6">
        <v>2088.9360000000001</v>
      </c>
      <c r="M1075" s="6">
        <v>1921.8211200000003</v>
      </c>
      <c r="N1075" s="6">
        <v>2088.9360000000001</v>
      </c>
      <c r="O1075" s="6">
        <v>1921.8211200000003</v>
      </c>
      <c r="P1075" s="6">
        <v>0</v>
      </c>
      <c r="Q1075" s="4" t="s">
        <v>26</v>
      </c>
      <c r="R1075" s="4">
        <v>0</v>
      </c>
      <c r="S1075" s="4" t="s">
        <v>345</v>
      </c>
      <c r="T1075" s="4" t="s">
        <v>710</v>
      </c>
      <c r="U1075" s="4">
        <v>0</v>
      </c>
      <c r="V1075" s="4">
        <v>28</v>
      </c>
      <c r="W1075" s="4">
        <v>82</v>
      </c>
    </row>
    <row r="1076" spans="1:23" ht="11.25" customHeight="1" x14ac:dyDescent="0.25">
      <c r="A1076" s="4" t="s">
        <v>27</v>
      </c>
      <c r="B1076" s="4" t="s">
        <v>33</v>
      </c>
      <c r="C1076" s="4" t="s">
        <v>34</v>
      </c>
      <c r="D1076" s="4" t="s">
        <v>47</v>
      </c>
      <c r="E1076" s="4" t="s">
        <v>55</v>
      </c>
      <c r="F1076" s="4" t="s">
        <v>25</v>
      </c>
      <c r="G1076" s="4" t="s">
        <v>25</v>
      </c>
      <c r="H1076" s="4" t="s">
        <v>36</v>
      </c>
      <c r="I1076" s="5">
        <v>44044</v>
      </c>
      <c r="J1076" s="6">
        <v>0</v>
      </c>
      <c r="K1076" s="6">
        <v>0</v>
      </c>
      <c r="L1076" s="6">
        <v>26.326000000000001</v>
      </c>
      <c r="M1076" s="6">
        <v>24.219920000000002</v>
      </c>
      <c r="N1076" s="6">
        <v>26.326000000000001</v>
      </c>
      <c r="O1076" s="6">
        <v>24.219920000000002</v>
      </c>
      <c r="P1076" s="6">
        <v>0</v>
      </c>
      <c r="Q1076" s="4" t="s">
        <v>26</v>
      </c>
      <c r="R1076" s="4">
        <v>0</v>
      </c>
      <c r="S1076" s="4" t="s">
        <v>345</v>
      </c>
      <c r="T1076" s="4" t="s">
        <v>710</v>
      </c>
      <c r="U1076" s="4">
        <v>0</v>
      </c>
      <c r="V1076" s="4">
        <v>28</v>
      </c>
      <c r="W1076" s="4">
        <v>82</v>
      </c>
    </row>
    <row r="1077" spans="1:23" ht="11.25" customHeight="1" x14ac:dyDescent="0.25">
      <c r="A1077" s="4" t="s">
        <v>59</v>
      </c>
      <c r="B1077" s="4" t="s">
        <v>33</v>
      </c>
      <c r="C1077" s="4" t="s">
        <v>34</v>
      </c>
      <c r="D1077" s="4" t="s">
        <v>47</v>
      </c>
      <c r="E1077" s="4" t="s">
        <v>55</v>
      </c>
      <c r="F1077" s="4" t="s">
        <v>25</v>
      </c>
      <c r="G1077" s="4" t="s">
        <v>25</v>
      </c>
      <c r="H1077" s="4" t="s">
        <v>36</v>
      </c>
      <c r="I1077" s="5">
        <v>44075</v>
      </c>
      <c r="J1077" s="6">
        <v>0</v>
      </c>
      <c r="K1077" s="6">
        <v>0</v>
      </c>
      <c r="L1077" s="6">
        <v>2088.9360000000001</v>
      </c>
      <c r="M1077" s="6">
        <v>1921.8211200000003</v>
      </c>
      <c r="N1077" s="6">
        <v>2088.9360000000001</v>
      </c>
      <c r="O1077" s="6">
        <v>1921.8211200000003</v>
      </c>
      <c r="P1077" s="6">
        <v>0</v>
      </c>
      <c r="Q1077" s="4" t="s">
        <v>26</v>
      </c>
      <c r="R1077" s="4">
        <v>0</v>
      </c>
      <c r="S1077" s="4" t="s">
        <v>346</v>
      </c>
      <c r="T1077" s="4" t="s">
        <v>711</v>
      </c>
      <c r="U1077" s="4">
        <v>0</v>
      </c>
      <c r="V1077" s="4">
        <v>28</v>
      </c>
      <c r="W1077" s="4">
        <v>82</v>
      </c>
    </row>
    <row r="1078" spans="1:23" ht="11.25" customHeight="1" x14ac:dyDescent="0.25">
      <c r="A1078" s="4" t="s">
        <v>59</v>
      </c>
      <c r="B1078" s="4" t="s">
        <v>33</v>
      </c>
      <c r="C1078" s="4" t="s">
        <v>34</v>
      </c>
      <c r="D1078" s="4" t="s">
        <v>47</v>
      </c>
      <c r="E1078" s="4" t="s">
        <v>55</v>
      </c>
      <c r="F1078" s="4" t="s">
        <v>25</v>
      </c>
      <c r="G1078" s="4" t="s">
        <v>25</v>
      </c>
      <c r="H1078" s="4" t="s">
        <v>36</v>
      </c>
      <c r="I1078" s="5">
        <v>44075</v>
      </c>
      <c r="J1078" s="6">
        <v>0</v>
      </c>
      <c r="K1078" s="6">
        <v>0</v>
      </c>
      <c r="L1078" s="6">
        <v>26.326000000000001</v>
      </c>
      <c r="M1078" s="6">
        <v>24.219920000000002</v>
      </c>
      <c r="N1078" s="6">
        <v>26.326000000000001</v>
      </c>
      <c r="O1078" s="6">
        <v>24.219920000000002</v>
      </c>
      <c r="P1078" s="6">
        <v>0</v>
      </c>
      <c r="Q1078" s="4" t="s">
        <v>26</v>
      </c>
      <c r="R1078" s="4">
        <v>0</v>
      </c>
      <c r="S1078" s="4" t="s">
        <v>346</v>
      </c>
      <c r="T1078" s="4" t="s">
        <v>711</v>
      </c>
      <c r="U1078" s="4">
        <v>0</v>
      </c>
      <c r="V1078" s="4">
        <v>28</v>
      </c>
      <c r="W1078" s="4">
        <v>82</v>
      </c>
    </row>
    <row r="1079" spans="1:23" ht="11.25" customHeight="1" x14ac:dyDescent="0.25">
      <c r="A1079" s="4" t="s">
        <v>21</v>
      </c>
      <c r="B1079" s="4" t="s">
        <v>33</v>
      </c>
      <c r="C1079" s="4" t="s">
        <v>34</v>
      </c>
      <c r="D1079" s="4" t="s">
        <v>47</v>
      </c>
      <c r="E1079" s="4" t="s">
        <v>55</v>
      </c>
      <c r="F1079" s="4" t="s">
        <v>25</v>
      </c>
      <c r="G1079" s="4" t="s">
        <v>25</v>
      </c>
      <c r="H1079" s="4" t="s">
        <v>25</v>
      </c>
      <c r="I1079" s="5">
        <v>43739</v>
      </c>
      <c r="J1079" s="6">
        <v>8444</v>
      </c>
      <c r="K1079" s="6">
        <v>7768.4800000000005</v>
      </c>
      <c r="L1079" s="6">
        <v>0</v>
      </c>
      <c r="M1079" s="6">
        <v>0</v>
      </c>
      <c r="N1079" s="6">
        <v>0</v>
      </c>
      <c r="O1079" s="6">
        <v>0</v>
      </c>
      <c r="P1079" s="6">
        <v>119</v>
      </c>
      <c r="Q1079" s="4" t="s">
        <v>26</v>
      </c>
      <c r="R1079" s="4">
        <v>0</v>
      </c>
      <c r="S1079" s="4" t="s">
        <v>347</v>
      </c>
      <c r="U1079" s="4">
        <v>26</v>
      </c>
      <c r="V1079" s="4">
        <v>0</v>
      </c>
      <c r="W1079" s="4">
        <v>0</v>
      </c>
    </row>
    <row r="1080" spans="1:23" ht="11.25" customHeight="1" x14ac:dyDescent="0.25">
      <c r="A1080" s="4" t="s">
        <v>27</v>
      </c>
      <c r="B1080" s="4" t="s">
        <v>33</v>
      </c>
      <c r="C1080" s="4" t="s">
        <v>34</v>
      </c>
      <c r="D1080" s="4" t="s">
        <v>47</v>
      </c>
      <c r="E1080" s="4" t="s">
        <v>55</v>
      </c>
      <c r="F1080" s="4" t="s">
        <v>25</v>
      </c>
      <c r="G1080" s="4" t="s">
        <v>25</v>
      </c>
      <c r="H1080" s="4" t="s">
        <v>25</v>
      </c>
      <c r="I1080" s="5">
        <v>43739</v>
      </c>
      <c r="J1080" s="6">
        <v>69</v>
      </c>
      <c r="K1080" s="6">
        <v>63.480000000000004</v>
      </c>
      <c r="L1080" s="6">
        <v>0</v>
      </c>
      <c r="M1080" s="6">
        <v>0</v>
      </c>
      <c r="N1080" s="6">
        <v>0</v>
      </c>
      <c r="O1080" s="6">
        <v>0</v>
      </c>
      <c r="P1080" s="6">
        <v>4</v>
      </c>
      <c r="Q1080" s="4" t="s">
        <v>26</v>
      </c>
      <c r="R1080" s="4">
        <v>0</v>
      </c>
      <c r="S1080" s="4" t="s">
        <v>347</v>
      </c>
      <c r="U1080" s="4">
        <v>26</v>
      </c>
      <c r="V1080" s="4">
        <v>0</v>
      </c>
      <c r="W1080" s="4">
        <v>0</v>
      </c>
    </row>
    <row r="1081" spans="1:23" ht="11.25" customHeight="1" x14ac:dyDescent="0.25">
      <c r="A1081" s="4" t="s">
        <v>21</v>
      </c>
      <c r="B1081" s="4" t="s">
        <v>33</v>
      </c>
      <c r="C1081" s="4" t="s">
        <v>34</v>
      </c>
      <c r="D1081" s="4" t="s">
        <v>47</v>
      </c>
      <c r="E1081" s="4" t="s">
        <v>55</v>
      </c>
      <c r="F1081" s="4" t="s">
        <v>25</v>
      </c>
      <c r="G1081" s="4" t="s">
        <v>25</v>
      </c>
      <c r="H1081" s="4" t="s">
        <v>25</v>
      </c>
      <c r="I1081" s="5">
        <v>43770</v>
      </c>
      <c r="J1081" s="6">
        <v>10820</v>
      </c>
      <c r="K1081" s="6">
        <v>9954.4</v>
      </c>
      <c r="L1081" s="6">
        <v>0</v>
      </c>
      <c r="M1081" s="6">
        <v>0</v>
      </c>
      <c r="N1081" s="6">
        <v>0</v>
      </c>
      <c r="O1081" s="6">
        <v>0</v>
      </c>
      <c r="P1081" s="6">
        <v>120</v>
      </c>
      <c r="Q1081" s="4" t="s">
        <v>26</v>
      </c>
      <c r="R1081" s="4">
        <v>0</v>
      </c>
      <c r="S1081" s="4" t="s">
        <v>348</v>
      </c>
      <c r="U1081" s="4">
        <v>26</v>
      </c>
      <c r="V1081" s="4">
        <v>0</v>
      </c>
      <c r="W1081" s="4">
        <v>0</v>
      </c>
    </row>
    <row r="1082" spans="1:23" ht="11.25" customHeight="1" x14ac:dyDescent="0.25">
      <c r="A1082" s="4" t="s">
        <v>27</v>
      </c>
      <c r="B1082" s="4" t="s">
        <v>33</v>
      </c>
      <c r="C1082" s="4" t="s">
        <v>34</v>
      </c>
      <c r="D1082" s="4" t="s">
        <v>47</v>
      </c>
      <c r="E1082" s="4" t="s">
        <v>55</v>
      </c>
      <c r="F1082" s="4" t="s">
        <v>25</v>
      </c>
      <c r="G1082" s="4" t="s">
        <v>25</v>
      </c>
      <c r="H1082" s="4" t="s">
        <v>25</v>
      </c>
      <c r="I1082" s="5">
        <v>43770</v>
      </c>
      <c r="J1082" s="6">
        <v>618</v>
      </c>
      <c r="K1082" s="6">
        <v>568.56000000000006</v>
      </c>
      <c r="L1082" s="6">
        <v>0</v>
      </c>
      <c r="M1082" s="6">
        <v>0</v>
      </c>
      <c r="N1082" s="6">
        <v>0</v>
      </c>
      <c r="O1082" s="6">
        <v>0</v>
      </c>
      <c r="P1082" s="6">
        <v>4</v>
      </c>
      <c r="Q1082" s="4" t="s">
        <v>26</v>
      </c>
      <c r="R1082" s="4">
        <v>0</v>
      </c>
      <c r="S1082" s="4" t="s">
        <v>348</v>
      </c>
      <c r="U1082" s="4">
        <v>26</v>
      </c>
      <c r="V1082" s="4">
        <v>0</v>
      </c>
      <c r="W1082" s="4">
        <v>0</v>
      </c>
    </row>
    <row r="1083" spans="1:23" ht="11.25" customHeight="1" x14ac:dyDescent="0.25">
      <c r="A1083" s="4" t="s">
        <v>21</v>
      </c>
      <c r="B1083" s="4" t="s">
        <v>33</v>
      </c>
      <c r="C1083" s="4" t="s">
        <v>34</v>
      </c>
      <c r="D1083" s="4" t="s">
        <v>47</v>
      </c>
      <c r="E1083" s="4" t="s">
        <v>55</v>
      </c>
      <c r="F1083" s="4" t="s">
        <v>25</v>
      </c>
      <c r="G1083" s="4" t="s">
        <v>25</v>
      </c>
      <c r="H1083" s="4" t="s">
        <v>25</v>
      </c>
      <c r="I1083" s="5">
        <v>43800</v>
      </c>
      <c r="J1083" s="6">
        <v>7268</v>
      </c>
      <c r="K1083" s="6">
        <v>6686.56</v>
      </c>
      <c r="L1083" s="6">
        <v>0</v>
      </c>
      <c r="M1083" s="6">
        <v>0</v>
      </c>
      <c r="N1083" s="6">
        <v>0</v>
      </c>
      <c r="O1083" s="6">
        <v>0</v>
      </c>
      <c r="P1083" s="6">
        <v>124</v>
      </c>
      <c r="Q1083" s="4" t="s">
        <v>26</v>
      </c>
      <c r="R1083" s="4">
        <v>0</v>
      </c>
      <c r="S1083" s="4" t="s">
        <v>349</v>
      </c>
      <c r="U1083" s="4">
        <v>26</v>
      </c>
      <c r="V1083" s="4">
        <v>0</v>
      </c>
      <c r="W1083" s="4">
        <v>0</v>
      </c>
    </row>
    <row r="1084" spans="1:23" ht="11.25" customHeight="1" x14ac:dyDescent="0.25">
      <c r="A1084" s="4" t="s">
        <v>27</v>
      </c>
      <c r="B1084" s="4" t="s">
        <v>33</v>
      </c>
      <c r="C1084" s="4" t="s">
        <v>34</v>
      </c>
      <c r="D1084" s="4" t="s">
        <v>47</v>
      </c>
      <c r="E1084" s="4" t="s">
        <v>55</v>
      </c>
      <c r="F1084" s="4" t="s">
        <v>25</v>
      </c>
      <c r="G1084" s="4" t="s">
        <v>25</v>
      </c>
      <c r="H1084" s="4" t="s">
        <v>25</v>
      </c>
      <c r="I1084" s="5">
        <v>43800</v>
      </c>
      <c r="J1084" s="6">
        <v>517</v>
      </c>
      <c r="K1084" s="6">
        <v>475.64000000000004</v>
      </c>
      <c r="L1084" s="6">
        <v>0</v>
      </c>
      <c r="M1084" s="6">
        <v>0</v>
      </c>
      <c r="N1084" s="6">
        <v>0</v>
      </c>
      <c r="O1084" s="6">
        <v>0</v>
      </c>
      <c r="P1084" s="6">
        <v>3</v>
      </c>
      <c r="Q1084" s="4" t="s">
        <v>26</v>
      </c>
      <c r="R1084" s="4">
        <v>0</v>
      </c>
      <c r="S1084" s="4" t="s">
        <v>349</v>
      </c>
      <c r="U1084" s="4">
        <v>26</v>
      </c>
      <c r="V1084" s="4">
        <v>0</v>
      </c>
      <c r="W1084" s="4">
        <v>0</v>
      </c>
    </row>
    <row r="1085" spans="1:23" ht="11.25" customHeight="1" x14ac:dyDescent="0.25">
      <c r="A1085" s="4" t="s">
        <v>21</v>
      </c>
      <c r="B1085" s="4" t="s">
        <v>33</v>
      </c>
      <c r="C1085" s="4" t="s">
        <v>34</v>
      </c>
      <c r="D1085" s="4" t="s">
        <v>47</v>
      </c>
      <c r="E1085" s="4" t="s">
        <v>55</v>
      </c>
      <c r="F1085" s="4" t="s">
        <v>25</v>
      </c>
      <c r="G1085" s="4" t="s">
        <v>25</v>
      </c>
      <c r="H1085" s="4" t="s">
        <v>25</v>
      </c>
      <c r="I1085" s="5">
        <v>43831</v>
      </c>
      <c r="J1085" s="6">
        <v>10041</v>
      </c>
      <c r="K1085" s="6">
        <v>9237.7200000000012</v>
      </c>
      <c r="L1085" s="6">
        <v>0</v>
      </c>
      <c r="M1085" s="6">
        <v>0</v>
      </c>
      <c r="N1085" s="6">
        <v>0</v>
      </c>
      <c r="O1085" s="6">
        <v>0</v>
      </c>
      <c r="P1085" s="6">
        <v>125</v>
      </c>
      <c r="Q1085" s="4" t="s">
        <v>26</v>
      </c>
      <c r="R1085" s="4">
        <v>0</v>
      </c>
      <c r="S1085" s="4" t="s">
        <v>350</v>
      </c>
      <c r="U1085" s="4">
        <v>26</v>
      </c>
      <c r="V1085" s="4">
        <v>0</v>
      </c>
      <c r="W1085" s="4">
        <v>0</v>
      </c>
    </row>
    <row r="1086" spans="1:23" ht="11.25" customHeight="1" x14ac:dyDescent="0.25">
      <c r="A1086" s="4" t="s">
        <v>27</v>
      </c>
      <c r="B1086" s="4" t="s">
        <v>33</v>
      </c>
      <c r="C1086" s="4" t="s">
        <v>34</v>
      </c>
      <c r="D1086" s="4" t="s">
        <v>47</v>
      </c>
      <c r="E1086" s="4" t="s">
        <v>55</v>
      </c>
      <c r="F1086" s="4" t="s">
        <v>25</v>
      </c>
      <c r="G1086" s="4" t="s">
        <v>25</v>
      </c>
      <c r="H1086" s="4" t="s">
        <v>25</v>
      </c>
      <c r="I1086" s="5">
        <v>43831</v>
      </c>
      <c r="J1086" s="6">
        <v>538</v>
      </c>
      <c r="K1086" s="6">
        <v>494.96000000000004</v>
      </c>
      <c r="L1086" s="6">
        <v>0</v>
      </c>
      <c r="M1086" s="6">
        <v>0</v>
      </c>
      <c r="N1086" s="6">
        <v>0</v>
      </c>
      <c r="O1086" s="6">
        <v>0</v>
      </c>
      <c r="P1086" s="6">
        <v>4</v>
      </c>
      <c r="Q1086" s="4" t="s">
        <v>26</v>
      </c>
      <c r="R1086" s="4">
        <v>0</v>
      </c>
      <c r="S1086" s="4" t="s">
        <v>350</v>
      </c>
      <c r="U1086" s="4">
        <v>26</v>
      </c>
      <c r="V1086" s="4">
        <v>0</v>
      </c>
      <c r="W1086" s="4">
        <v>0</v>
      </c>
    </row>
    <row r="1087" spans="1:23" ht="11.25" customHeight="1" x14ac:dyDescent="0.25">
      <c r="A1087" s="4" t="s">
        <v>21</v>
      </c>
      <c r="B1087" s="4" t="s">
        <v>33</v>
      </c>
      <c r="C1087" s="4" t="s">
        <v>34</v>
      </c>
      <c r="D1087" s="4" t="s">
        <v>47</v>
      </c>
      <c r="E1087" s="4" t="s">
        <v>55</v>
      </c>
      <c r="F1087" s="4" t="s">
        <v>25</v>
      </c>
      <c r="G1087" s="4" t="s">
        <v>25</v>
      </c>
      <c r="H1087" s="4" t="s">
        <v>25</v>
      </c>
      <c r="I1087" s="5">
        <v>43862</v>
      </c>
      <c r="J1087" s="6">
        <v>9059</v>
      </c>
      <c r="K1087" s="6">
        <v>8334.2800000000007</v>
      </c>
      <c r="L1087" s="6">
        <v>0</v>
      </c>
      <c r="M1087" s="6">
        <v>0</v>
      </c>
      <c r="N1087" s="6">
        <v>0</v>
      </c>
      <c r="O1087" s="6">
        <v>0</v>
      </c>
      <c r="P1087" s="6">
        <v>124</v>
      </c>
      <c r="Q1087" s="4" t="s">
        <v>26</v>
      </c>
      <c r="R1087" s="4">
        <v>0</v>
      </c>
      <c r="S1087" s="4" t="s">
        <v>351</v>
      </c>
      <c r="U1087" s="4">
        <v>26</v>
      </c>
      <c r="V1087" s="4">
        <v>0</v>
      </c>
      <c r="W1087" s="4">
        <v>0</v>
      </c>
    </row>
    <row r="1088" spans="1:23" ht="11.25" customHeight="1" x14ac:dyDescent="0.25">
      <c r="A1088" s="4" t="s">
        <v>27</v>
      </c>
      <c r="B1088" s="4" t="s">
        <v>33</v>
      </c>
      <c r="C1088" s="4" t="s">
        <v>34</v>
      </c>
      <c r="D1088" s="4" t="s">
        <v>47</v>
      </c>
      <c r="E1088" s="4" t="s">
        <v>55</v>
      </c>
      <c r="F1088" s="4" t="s">
        <v>25</v>
      </c>
      <c r="G1088" s="4" t="s">
        <v>25</v>
      </c>
      <c r="H1088" s="4" t="s">
        <v>25</v>
      </c>
      <c r="I1088" s="5">
        <v>43862</v>
      </c>
      <c r="J1088" s="6">
        <v>833</v>
      </c>
      <c r="K1088" s="6">
        <v>766.36</v>
      </c>
      <c r="L1088" s="6">
        <v>0</v>
      </c>
      <c r="M1088" s="6">
        <v>0</v>
      </c>
      <c r="N1088" s="6">
        <v>0</v>
      </c>
      <c r="O1088" s="6">
        <v>0</v>
      </c>
      <c r="P1088" s="6">
        <v>4</v>
      </c>
      <c r="Q1088" s="4" t="s">
        <v>26</v>
      </c>
      <c r="R1088" s="4">
        <v>0</v>
      </c>
      <c r="S1088" s="4" t="s">
        <v>351</v>
      </c>
      <c r="U1088" s="4">
        <v>26</v>
      </c>
      <c r="V1088" s="4">
        <v>0</v>
      </c>
      <c r="W1088" s="4">
        <v>0</v>
      </c>
    </row>
    <row r="1089" spans="1:23" ht="11.25" customHeight="1" x14ac:dyDescent="0.25">
      <c r="A1089" s="4" t="s">
        <v>21</v>
      </c>
      <c r="B1089" s="4" t="s">
        <v>33</v>
      </c>
      <c r="C1089" s="4" t="s">
        <v>34</v>
      </c>
      <c r="D1089" s="4" t="s">
        <v>47</v>
      </c>
      <c r="E1089" s="4" t="s">
        <v>55</v>
      </c>
      <c r="F1089" s="4" t="s">
        <v>25</v>
      </c>
      <c r="G1089" s="4" t="s">
        <v>25</v>
      </c>
      <c r="H1089" s="4" t="s">
        <v>25</v>
      </c>
      <c r="I1089" s="5">
        <v>43891</v>
      </c>
      <c r="J1089" s="6">
        <v>5721</v>
      </c>
      <c r="K1089" s="6">
        <v>5263.3200000000006</v>
      </c>
      <c r="L1089" s="6">
        <v>0</v>
      </c>
      <c r="M1089" s="6">
        <v>0</v>
      </c>
      <c r="N1089" s="6">
        <v>0</v>
      </c>
      <c r="O1089" s="6">
        <v>0</v>
      </c>
      <c r="P1089" s="6">
        <v>122</v>
      </c>
      <c r="Q1089" s="4" t="s">
        <v>26</v>
      </c>
      <c r="R1089" s="4">
        <v>0</v>
      </c>
      <c r="S1089" s="4" t="s">
        <v>352</v>
      </c>
      <c r="U1089" s="4">
        <v>26</v>
      </c>
      <c r="V1089" s="4">
        <v>0</v>
      </c>
      <c r="W1089" s="4">
        <v>0</v>
      </c>
    </row>
    <row r="1090" spans="1:23" ht="11.25" customHeight="1" x14ac:dyDescent="0.25">
      <c r="A1090" s="4" t="s">
        <v>27</v>
      </c>
      <c r="B1090" s="4" t="s">
        <v>33</v>
      </c>
      <c r="C1090" s="4" t="s">
        <v>34</v>
      </c>
      <c r="D1090" s="4" t="s">
        <v>47</v>
      </c>
      <c r="E1090" s="4" t="s">
        <v>55</v>
      </c>
      <c r="F1090" s="4" t="s">
        <v>25</v>
      </c>
      <c r="G1090" s="4" t="s">
        <v>25</v>
      </c>
      <c r="H1090" s="4" t="s">
        <v>25</v>
      </c>
      <c r="I1090" s="5">
        <v>43891</v>
      </c>
      <c r="J1090" s="6">
        <v>376</v>
      </c>
      <c r="K1090" s="6">
        <v>345.92</v>
      </c>
      <c r="L1090" s="6">
        <v>0</v>
      </c>
      <c r="M1090" s="6">
        <v>0</v>
      </c>
      <c r="N1090" s="6">
        <v>0</v>
      </c>
      <c r="O1090" s="6">
        <v>0</v>
      </c>
      <c r="P1090" s="6">
        <v>4</v>
      </c>
      <c r="Q1090" s="4" t="s">
        <v>26</v>
      </c>
      <c r="R1090" s="4">
        <v>0</v>
      </c>
      <c r="S1090" s="4" t="s">
        <v>352</v>
      </c>
      <c r="U1090" s="4">
        <v>26</v>
      </c>
      <c r="V1090" s="4">
        <v>0</v>
      </c>
      <c r="W1090" s="4">
        <v>0</v>
      </c>
    </row>
    <row r="1091" spans="1:23" ht="11.25" customHeight="1" x14ac:dyDescent="0.25">
      <c r="A1091" s="4" t="s">
        <v>21</v>
      </c>
      <c r="B1091" s="4" t="s">
        <v>33</v>
      </c>
      <c r="C1091" s="4" t="s">
        <v>34</v>
      </c>
      <c r="D1091" s="4" t="s">
        <v>47</v>
      </c>
      <c r="E1091" s="4" t="s">
        <v>55</v>
      </c>
      <c r="F1091" s="4" t="s">
        <v>25</v>
      </c>
      <c r="G1091" s="4" t="s">
        <v>25</v>
      </c>
      <c r="H1091" s="4" t="s">
        <v>25</v>
      </c>
      <c r="I1091" s="5">
        <v>43922</v>
      </c>
      <c r="J1091" s="6">
        <v>8385</v>
      </c>
      <c r="K1091" s="6">
        <v>7714.2000000000007</v>
      </c>
      <c r="L1091" s="6">
        <v>0</v>
      </c>
      <c r="M1091" s="6">
        <v>0</v>
      </c>
      <c r="N1091" s="6">
        <v>0</v>
      </c>
      <c r="O1091" s="6">
        <v>0</v>
      </c>
      <c r="P1091" s="6">
        <v>124</v>
      </c>
      <c r="Q1091" s="4" t="s">
        <v>26</v>
      </c>
      <c r="R1091" s="4">
        <v>0</v>
      </c>
      <c r="S1091" s="4" t="s">
        <v>353</v>
      </c>
      <c r="U1091" s="4">
        <v>26</v>
      </c>
      <c r="V1091" s="4">
        <v>0</v>
      </c>
      <c r="W1091" s="4">
        <v>0</v>
      </c>
    </row>
    <row r="1092" spans="1:23" ht="11.25" customHeight="1" x14ac:dyDescent="0.25">
      <c r="A1092" s="4" t="s">
        <v>27</v>
      </c>
      <c r="B1092" s="4" t="s">
        <v>33</v>
      </c>
      <c r="C1092" s="4" t="s">
        <v>34</v>
      </c>
      <c r="D1092" s="4" t="s">
        <v>47</v>
      </c>
      <c r="E1092" s="4" t="s">
        <v>55</v>
      </c>
      <c r="F1092" s="4" t="s">
        <v>25</v>
      </c>
      <c r="G1092" s="4" t="s">
        <v>25</v>
      </c>
      <c r="H1092" s="4" t="s">
        <v>25</v>
      </c>
      <c r="I1092" s="5">
        <v>43922</v>
      </c>
      <c r="J1092" s="6">
        <v>377</v>
      </c>
      <c r="K1092" s="6">
        <v>346.84000000000003</v>
      </c>
      <c r="L1092" s="6">
        <v>0</v>
      </c>
      <c r="M1092" s="6">
        <v>0</v>
      </c>
      <c r="N1092" s="6">
        <v>0</v>
      </c>
      <c r="O1092" s="6">
        <v>0</v>
      </c>
      <c r="P1092" s="6">
        <v>3</v>
      </c>
      <c r="Q1092" s="4" t="s">
        <v>26</v>
      </c>
      <c r="R1092" s="4">
        <v>0</v>
      </c>
      <c r="S1092" s="4" t="s">
        <v>353</v>
      </c>
      <c r="U1092" s="4">
        <v>26</v>
      </c>
      <c r="V1092" s="4">
        <v>0</v>
      </c>
      <c r="W1092" s="4">
        <v>0</v>
      </c>
    </row>
    <row r="1093" spans="1:23" ht="11.25" customHeight="1" x14ac:dyDescent="0.25">
      <c r="A1093" s="4" t="s">
        <v>21</v>
      </c>
      <c r="B1093" s="4" t="s">
        <v>33</v>
      </c>
      <c r="C1093" s="4" t="s">
        <v>34</v>
      </c>
      <c r="D1093" s="4" t="s">
        <v>47</v>
      </c>
      <c r="E1093" s="4" t="s">
        <v>55</v>
      </c>
      <c r="F1093" s="4" t="s">
        <v>25</v>
      </c>
      <c r="G1093" s="4" t="s">
        <v>25</v>
      </c>
      <c r="H1093" s="4" t="s">
        <v>25</v>
      </c>
      <c r="I1093" s="5">
        <v>43952</v>
      </c>
      <c r="J1093" s="6">
        <v>12180</v>
      </c>
      <c r="K1093" s="6">
        <v>11205.6</v>
      </c>
      <c r="L1093" s="6">
        <v>0</v>
      </c>
      <c r="M1093" s="6">
        <v>0</v>
      </c>
      <c r="N1093" s="6">
        <v>0</v>
      </c>
      <c r="O1093" s="6">
        <v>0</v>
      </c>
      <c r="P1093" s="6">
        <v>123</v>
      </c>
      <c r="Q1093" s="4" t="s">
        <v>26</v>
      </c>
      <c r="R1093" s="4">
        <v>0</v>
      </c>
      <c r="S1093" s="4" t="s">
        <v>354</v>
      </c>
      <c r="U1093" s="4">
        <v>26</v>
      </c>
      <c r="V1093" s="4">
        <v>0</v>
      </c>
      <c r="W1093" s="4">
        <v>0</v>
      </c>
    </row>
    <row r="1094" spans="1:23" ht="11.25" customHeight="1" x14ac:dyDescent="0.25">
      <c r="A1094" s="4" t="s">
        <v>27</v>
      </c>
      <c r="B1094" s="4" t="s">
        <v>33</v>
      </c>
      <c r="C1094" s="4" t="s">
        <v>34</v>
      </c>
      <c r="D1094" s="4" t="s">
        <v>47</v>
      </c>
      <c r="E1094" s="4" t="s">
        <v>55</v>
      </c>
      <c r="F1094" s="4" t="s">
        <v>25</v>
      </c>
      <c r="G1094" s="4" t="s">
        <v>25</v>
      </c>
      <c r="H1094" s="4" t="s">
        <v>25</v>
      </c>
      <c r="I1094" s="5">
        <v>43952</v>
      </c>
      <c r="J1094" s="6">
        <v>522</v>
      </c>
      <c r="K1094" s="6">
        <v>480.24</v>
      </c>
      <c r="L1094" s="6">
        <v>0</v>
      </c>
      <c r="M1094" s="6">
        <v>0</v>
      </c>
      <c r="N1094" s="6">
        <v>0</v>
      </c>
      <c r="O1094" s="6">
        <v>0</v>
      </c>
      <c r="P1094" s="6">
        <v>3</v>
      </c>
      <c r="Q1094" s="4" t="s">
        <v>26</v>
      </c>
      <c r="R1094" s="4">
        <v>0</v>
      </c>
      <c r="S1094" s="4" t="s">
        <v>354</v>
      </c>
      <c r="U1094" s="4">
        <v>26</v>
      </c>
      <c r="V1094" s="4">
        <v>0</v>
      </c>
      <c r="W1094" s="4">
        <v>0</v>
      </c>
    </row>
    <row r="1095" spans="1:23" ht="11.25" customHeight="1" x14ac:dyDescent="0.25">
      <c r="A1095" s="4" t="s">
        <v>21</v>
      </c>
      <c r="B1095" s="4" t="s">
        <v>33</v>
      </c>
      <c r="C1095" s="4" t="s">
        <v>34</v>
      </c>
      <c r="D1095" s="4" t="s">
        <v>47</v>
      </c>
      <c r="E1095" s="4" t="s">
        <v>55</v>
      </c>
      <c r="F1095" s="4" t="s">
        <v>25</v>
      </c>
      <c r="G1095" s="4" t="s">
        <v>25</v>
      </c>
      <c r="H1095" s="4" t="s">
        <v>25</v>
      </c>
      <c r="I1095" s="5">
        <v>43983</v>
      </c>
      <c r="J1095" s="6">
        <v>14803</v>
      </c>
      <c r="K1095" s="6">
        <v>13618.76</v>
      </c>
      <c r="L1095" s="6">
        <v>0</v>
      </c>
      <c r="M1095" s="6">
        <v>0</v>
      </c>
      <c r="N1095" s="6">
        <v>0</v>
      </c>
      <c r="O1095" s="6">
        <v>0</v>
      </c>
      <c r="P1095" s="6">
        <v>125</v>
      </c>
      <c r="Q1095" s="4" t="s">
        <v>26</v>
      </c>
      <c r="R1095" s="4">
        <v>0</v>
      </c>
      <c r="S1095" s="4" t="s">
        <v>355</v>
      </c>
      <c r="U1095" s="4">
        <v>26</v>
      </c>
      <c r="V1095" s="4">
        <v>0</v>
      </c>
      <c r="W1095" s="4">
        <v>0</v>
      </c>
    </row>
    <row r="1096" spans="1:23" ht="11.25" customHeight="1" x14ac:dyDescent="0.25">
      <c r="A1096" s="4" t="s">
        <v>27</v>
      </c>
      <c r="B1096" s="4" t="s">
        <v>33</v>
      </c>
      <c r="C1096" s="4" t="s">
        <v>34</v>
      </c>
      <c r="D1096" s="4" t="s">
        <v>47</v>
      </c>
      <c r="E1096" s="4" t="s">
        <v>55</v>
      </c>
      <c r="F1096" s="4" t="s">
        <v>25</v>
      </c>
      <c r="G1096" s="4" t="s">
        <v>25</v>
      </c>
      <c r="H1096" s="4" t="s">
        <v>25</v>
      </c>
      <c r="I1096" s="5">
        <v>43983</v>
      </c>
      <c r="J1096" s="6">
        <v>375</v>
      </c>
      <c r="K1096" s="6">
        <v>345</v>
      </c>
      <c r="L1096" s="6">
        <v>0</v>
      </c>
      <c r="M1096" s="6">
        <v>0</v>
      </c>
      <c r="N1096" s="6">
        <v>0</v>
      </c>
      <c r="O1096" s="6">
        <v>0</v>
      </c>
      <c r="P1096" s="6">
        <v>3</v>
      </c>
      <c r="Q1096" s="4" t="s">
        <v>26</v>
      </c>
      <c r="R1096" s="4">
        <v>0</v>
      </c>
      <c r="S1096" s="4" t="s">
        <v>355</v>
      </c>
      <c r="U1096" s="4">
        <v>26</v>
      </c>
      <c r="V1096" s="4">
        <v>0</v>
      </c>
      <c r="W1096" s="4">
        <v>0</v>
      </c>
    </row>
    <row r="1097" spans="1:23" ht="11.25" customHeight="1" x14ac:dyDescent="0.25">
      <c r="A1097" s="4" t="s">
        <v>21</v>
      </c>
      <c r="B1097" s="4" t="s">
        <v>33</v>
      </c>
      <c r="C1097" s="4" t="s">
        <v>34</v>
      </c>
      <c r="D1097" s="4" t="s">
        <v>47</v>
      </c>
      <c r="E1097" s="4" t="s">
        <v>55</v>
      </c>
      <c r="F1097" s="4" t="s">
        <v>25</v>
      </c>
      <c r="G1097" s="4" t="s">
        <v>25</v>
      </c>
      <c r="H1097" s="4" t="s">
        <v>25</v>
      </c>
      <c r="I1097" s="5">
        <v>44013</v>
      </c>
      <c r="J1097" s="6">
        <v>14883</v>
      </c>
      <c r="K1097" s="6">
        <v>13692.36</v>
      </c>
      <c r="L1097" s="6">
        <v>0</v>
      </c>
      <c r="M1097" s="6">
        <v>0</v>
      </c>
      <c r="N1097" s="6">
        <v>0</v>
      </c>
      <c r="O1097" s="6">
        <v>0</v>
      </c>
      <c r="P1097" s="6">
        <v>123</v>
      </c>
      <c r="Q1097" s="4" t="s">
        <v>26</v>
      </c>
      <c r="R1097" s="4">
        <v>0</v>
      </c>
      <c r="S1097" s="4" t="s">
        <v>356</v>
      </c>
      <c r="U1097" s="4">
        <v>26</v>
      </c>
      <c r="V1097" s="4">
        <v>0</v>
      </c>
      <c r="W1097" s="4">
        <v>0</v>
      </c>
    </row>
    <row r="1098" spans="1:23" ht="11.25" customHeight="1" x14ac:dyDescent="0.25">
      <c r="A1098" s="4" t="s">
        <v>27</v>
      </c>
      <c r="B1098" s="4" t="s">
        <v>33</v>
      </c>
      <c r="C1098" s="4" t="s">
        <v>34</v>
      </c>
      <c r="D1098" s="4" t="s">
        <v>47</v>
      </c>
      <c r="E1098" s="4" t="s">
        <v>55</v>
      </c>
      <c r="F1098" s="4" t="s">
        <v>25</v>
      </c>
      <c r="G1098" s="4" t="s">
        <v>25</v>
      </c>
      <c r="H1098" s="4" t="s">
        <v>25</v>
      </c>
      <c r="I1098" s="5">
        <v>44013</v>
      </c>
      <c r="J1098" s="6">
        <v>356</v>
      </c>
      <c r="K1098" s="6">
        <v>327.52000000000004</v>
      </c>
      <c r="L1098" s="6">
        <v>0</v>
      </c>
      <c r="M1098" s="6">
        <v>0</v>
      </c>
      <c r="N1098" s="6">
        <v>0</v>
      </c>
      <c r="O1098" s="6">
        <v>0</v>
      </c>
      <c r="P1098" s="6">
        <v>3</v>
      </c>
      <c r="Q1098" s="4" t="s">
        <v>26</v>
      </c>
      <c r="R1098" s="4">
        <v>0</v>
      </c>
      <c r="S1098" s="4" t="s">
        <v>356</v>
      </c>
      <c r="U1098" s="4">
        <v>26</v>
      </c>
      <c r="V1098" s="4">
        <v>0</v>
      </c>
      <c r="W1098" s="4">
        <v>0</v>
      </c>
    </row>
    <row r="1099" spans="1:23" ht="11.25" customHeight="1" x14ac:dyDescent="0.25">
      <c r="A1099" s="4" t="s">
        <v>21</v>
      </c>
      <c r="B1099" s="4" t="s">
        <v>33</v>
      </c>
      <c r="C1099" s="4" t="s">
        <v>34</v>
      </c>
      <c r="D1099" s="4" t="s">
        <v>47</v>
      </c>
      <c r="E1099" s="4" t="s">
        <v>55</v>
      </c>
      <c r="F1099" s="4" t="s">
        <v>25</v>
      </c>
      <c r="G1099" s="4" t="s">
        <v>25</v>
      </c>
      <c r="H1099" s="4" t="s">
        <v>25</v>
      </c>
      <c r="I1099" s="5">
        <v>44044</v>
      </c>
      <c r="J1099" s="6">
        <v>13077</v>
      </c>
      <c r="K1099" s="6">
        <v>12030.84</v>
      </c>
      <c r="L1099" s="6">
        <v>0</v>
      </c>
      <c r="M1099" s="6">
        <v>0</v>
      </c>
      <c r="N1099" s="6">
        <v>0</v>
      </c>
      <c r="O1099" s="6">
        <v>0</v>
      </c>
      <c r="P1099" s="6">
        <v>121</v>
      </c>
      <c r="Q1099" s="4" t="s">
        <v>26</v>
      </c>
      <c r="R1099" s="4">
        <v>0</v>
      </c>
      <c r="S1099" s="4" t="s">
        <v>357</v>
      </c>
      <c r="U1099" s="4">
        <v>26</v>
      </c>
      <c r="V1099" s="4">
        <v>0</v>
      </c>
      <c r="W1099" s="4">
        <v>0</v>
      </c>
    </row>
    <row r="1100" spans="1:23" ht="11.25" customHeight="1" x14ac:dyDescent="0.25">
      <c r="A1100" s="4" t="s">
        <v>27</v>
      </c>
      <c r="B1100" s="4" t="s">
        <v>33</v>
      </c>
      <c r="C1100" s="4" t="s">
        <v>34</v>
      </c>
      <c r="D1100" s="4" t="s">
        <v>47</v>
      </c>
      <c r="E1100" s="4" t="s">
        <v>55</v>
      </c>
      <c r="F1100" s="4" t="s">
        <v>25</v>
      </c>
      <c r="G1100" s="4" t="s">
        <v>25</v>
      </c>
      <c r="H1100" s="4" t="s">
        <v>25</v>
      </c>
      <c r="I1100" s="5">
        <v>44044</v>
      </c>
      <c r="J1100" s="6">
        <v>376</v>
      </c>
      <c r="K1100" s="6">
        <v>345.92</v>
      </c>
      <c r="L1100" s="6">
        <v>0</v>
      </c>
      <c r="M1100" s="6">
        <v>0</v>
      </c>
      <c r="N1100" s="6">
        <v>0</v>
      </c>
      <c r="O1100" s="6">
        <v>0</v>
      </c>
      <c r="P1100" s="6">
        <v>3</v>
      </c>
      <c r="Q1100" s="4" t="s">
        <v>26</v>
      </c>
      <c r="R1100" s="4">
        <v>0</v>
      </c>
      <c r="S1100" s="4" t="s">
        <v>357</v>
      </c>
      <c r="U1100" s="4">
        <v>26</v>
      </c>
      <c r="V1100" s="4">
        <v>0</v>
      </c>
      <c r="W1100" s="4">
        <v>0</v>
      </c>
    </row>
    <row r="1101" spans="1:23" ht="11.25" customHeight="1" x14ac:dyDescent="0.25">
      <c r="A1101" s="4" t="s">
        <v>59</v>
      </c>
      <c r="B1101" s="4" t="s">
        <v>33</v>
      </c>
      <c r="C1101" s="4" t="s">
        <v>34</v>
      </c>
      <c r="D1101" s="4" t="s">
        <v>47</v>
      </c>
      <c r="E1101" s="4" t="s">
        <v>55</v>
      </c>
      <c r="F1101" s="4" t="s">
        <v>25</v>
      </c>
      <c r="G1101" s="4" t="s">
        <v>25</v>
      </c>
      <c r="H1101" s="4" t="s">
        <v>25</v>
      </c>
      <c r="I1101" s="5">
        <v>44075</v>
      </c>
      <c r="J1101" s="6">
        <v>13077</v>
      </c>
      <c r="K1101" s="6">
        <v>12030.84</v>
      </c>
      <c r="L1101" s="6">
        <v>0</v>
      </c>
      <c r="M1101" s="6">
        <v>0</v>
      </c>
      <c r="N1101" s="6">
        <v>0</v>
      </c>
      <c r="O1101" s="6">
        <v>0</v>
      </c>
      <c r="P1101" s="6">
        <v>121</v>
      </c>
      <c r="Q1101" s="4" t="s">
        <v>26</v>
      </c>
      <c r="R1101" s="4">
        <v>0</v>
      </c>
      <c r="S1101" s="4" t="s">
        <v>358</v>
      </c>
      <c r="U1101" s="4">
        <v>26</v>
      </c>
      <c r="V1101" s="4">
        <v>0</v>
      </c>
      <c r="W1101" s="4">
        <v>0</v>
      </c>
    </row>
    <row r="1102" spans="1:23" ht="11.25" customHeight="1" x14ac:dyDescent="0.25">
      <c r="A1102" s="4" t="s">
        <v>59</v>
      </c>
      <c r="B1102" s="4" t="s">
        <v>33</v>
      </c>
      <c r="C1102" s="4" t="s">
        <v>34</v>
      </c>
      <c r="D1102" s="4" t="s">
        <v>47</v>
      </c>
      <c r="E1102" s="4" t="s">
        <v>55</v>
      </c>
      <c r="F1102" s="4" t="s">
        <v>25</v>
      </c>
      <c r="G1102" s="4" t="s">
        <v>25</v>
      </c>
      <c r="H1102" s="4" t="s">
        <v>25</v>
      </c>
      <c r="I1102" s="5">
        <v>44075</v>
      </c>
      <c r="J1102" s="6">
        <v>376</v>
      </c>
      <c r="K1102" s="6">
        <v>345.92</v>
      </c>
      <c r="L1102" s="6">
        <v>0</v>
      </c>
      <c r="M1102" s="6">
        <v>0</v>
      </c>
      <c r="N1102" s="6">
        <v>0</v>
      </c>
      <c r="O1102" s="6">
        <v>0</v>
      </c>
      <c r="P1102" s="6">
        <v>3</v>
      </c>
      <c r="Q1102" s="4" t="s">
        <v>26</v>
      </c>
      <c r="R1102" s="4">
        <v>0</v>
      </c>
      <c r="S1102" s="4" t="s">
        <v>358</v>
      </c>
      <c r="U1102" s="4">
        <v>26</v>
      </c>
      <c r="V1102" s="4">
        <v>0</v>
      </c>
      <c r="W1102" s="4">
        <v>0</v>
      </c>
    </row>
    <row r="1103" spans="1:23" ht="11.25" customHeight="1" x14ac:dyDescent="0.25">
      <c r="A1103" s="4" t="s">
        <v>27</v>
      </c>
      <c r="B1103" s="4" t="s">
        <v>33</v>
      </c>
      <c r="C1103" s="4" t="s">
        <v>34</v>
      </c>
      <c r="D1103" s="4" t="s">
        <v>47</v>
      </c>
      <c r="E1103" s="4" t="s">
        <v>55</v>
      </c>
      <c r="F1103" s="4" t="s">
        <v>25</v>
      </c>
      <c r="G1103" s="4" t="s">
        <v>25</v>
      </c>
      <c r="H1103" s="4" t="s">
        <v>35</v>
      </c>
      <c r="I1103" s="5">
        <v>43739</v>
      </c>
      <c r="J1103" s="6">
        <v>0</v>
      </c>
      <c r="K1103" s="6">
        <v>0</v>
      </c>
      <c r="L1103" s="6">
        <v>-0.17699999999999999</v>
      </c>
      <c r="M1103" s="6">
        <v>-0.16283999999999998</v>
      </c>
      <c r="N1103" s="6">
        <v>-0.17699999999999999</v>
      </c>
      <c r="O1103" s="6">
        <v>-0.16283999999999998</v>
      </c>
      <c r="P1103" s="6">
        <v>0</v>
      </c>
      <c r="Q1103" s="4" t="s">
        <v>26</v>
      </c>
      <c r="R1103" s="4">
        <v>0</v>
      </c>
      <c r="S1103" s="4" t="s">
        <v>359</v>
      </c>
      <c r="T1103" s="4" t="s">
        <v>712</v>
      </c>
      <c r="U1103" s="4">
        <v>0</v>
      </c>
      <c r="V1103" s="4">
        <v>27</v>
      </c>
      <c r="W1103" s="4">
        <v>81</v>
      </c>
    </row>
    <row r="1104" spans="1:23" ht="11.25" customHeight="1" x14ac:dyDescent="0.25">
      <c r="A1104" s="4" t="s">
        <v>21</v>
      </c>
      <c r="B1104" s="4" t="s">
        <v>33</v>
      </c>
      <c r="C1104" s="4" t="s">
        <v>34</v>
      </c>
      <c r="D1104" s="4" t="s">
        <v>47</v>
      </c>
      <c r="E1104" s="4" t="s">
        <v>55</v>
      </c>
      <c r="F1104" s="4" t="s">
        <v>25</v>
      </c>
      <c r="G1104" s="4" t="s">
        <v>25</v>
      </c>
      <c r="H1104" s="4" t="s">
        <v>35</v>
      </c>
      <c r="I1104" s="5">
        <v>43770</v>
      </c>
      <c r="J1104" s="6">
        <v>0</v>
      </c>
      <c r="K1104" s="6">
        <v>0</v>
      </c>
      <c r="L1104" s="6">
        <v>14.436999999999999</v>
      </c>
      <c r="M1104" s="6">
        <v>13.28204</v>
      </c>
      <c r="N1104" s="6">
        <v>14.436999999999999</v>
      </c>
      <c r="O1104" s="6">
        <v>13.28204</v>
      </c>
      <c r="P1104" s="6">
        <v>0</v>
      </c>
      <c r="Q1104" s="4" t="s">
        <v>26</v>
      </c>
      <c r="R1104" s="4">
        <v>0</v>
      </c>
      <c r="S1104" s="4" t="s">
        <v>360</v>
      </c>
      <c r="T1104" s="4" t="s">
        <v>713</v>
      </c>
      <c r="U1104" s="4">
        <v>0</v>
      </c>
      <c r="V1104" s="4">
        <v>27</v>
      </c>
      <c r="W1104" s="4">
        <v>81</v>
      </c>
    </row>
    <row r="1105" spans="1:23" ht="11.25" customHeight="1" x14ac:dyDescent="0.25">
      <c r="A1105" s="4" t="s">
        <v>27</v>
      </c>
      <c r="B1105" s="4" t="s">
        <v>33</v>
      </c>
      <c r="C1105" s="4" t="s">
        <v>34</v>
      </c>
      <c r="D1105" s="4" t="s">
        <v>47</v>
      </c>
      <c r="E1105" s="4" t="s">
        <v>55</v>
      </c>
      <c r="F1105" s="4" t="s">
        <v>25</v>
      </c>
      <c r="G1105" s="4" t="s">
        <v>25</v>
      </c>
      <c r="H1105" s="4" t="s">
        <v>35</v>
      </c>
      <c r="I1105" s="5">
        <v>43770</v>
      </c>
      <c r="J1105" s="6">
        <v>0</v>
      </c>
      <c r="K1105" s="6">
        <v>0</v>
      </c>
      <c r="L1105" s="6">
        <v>2.0179999999999998</v>
      </c>
      <c r="M1105" s="6">
        <v>1.85656</v>
      </c>
      <c r="N1105" s="6">
        <v>2.0179999999999998</v>
      </c>
      <c r="O1105" s="6">
        <v>1.85656</v>
      </c>
      <c r="P1105" s="6">
        <v>0</v>
      </c>
      <c r="Q1105" s="4" t="s">
        <v>26</v>
      </c>
      <c r="R1105" s="4">
        <v>0</v>
      </c>
      <c r="S1105" s="4" t="s">
        <v>360</v>
      </c>
      <c r="T1105" s="4" t="s">
        <v>713</v>
      </c>
      <c r="U1105" s="4">
        <v>0</v>
      </c>
      <c r="V1105" s="4">
        <v>27</v>
      </c>
      <c r="W1105" s="4">
        <v>81</v>
      </c>
    </row>
    <row r="1106" spans="1:23" ht="11.25" customHeight="1" x14ac:dyDescent="0.25">
      <c r="A1106" s="4" t="s">
        <v>21</v>
      </c>
      <c r="B1106" s="4" t="s">
        <v>33</v>
      </c>
      <c r="C1106" s="4" t="s">
        <v>34</v>
      </c>
      <c r="D1106" s="4" t="s">
        <v>47</v>
      </c>
      <c r="E1106" s="4" t="s">
        <v>55</v>
      </c>
      <c r="F1106" s="4" t="s">
        <v>25</v>
      </c>
      <c r="G1106" s="4" t="s">
        <v>25</v>
      </c>
      <c r="H1106" s="4" t="s">
        <v>35</v>
      </c>
      <c r="I1106" s="5">
        <v>43800</v>
      </c>
      <c r="J1106" s="6">
        <v>0</v>
      </c>
      <c r="K1106" s="6">
        <v>0</v>
      </c>
      <c r="L1106" s="6">
        <v>22.21</v>
      </c>
      <c r="M1106" s="6">
        <v>20.433200000000003</v>
      </c>
      <c r="N1106" s="6">
        <v>22.21</v>
      </c>
      <c r="O1106" s="6">
        <v>20.433200000000003</v>
      </c>
      <c r="P1106" s="6">
        <v>0</v>
      </c>
      <c r="Q1106" s="4" t="s">
        <v>26</v>
      </c>
      <c r="R1106" s="4">
        <v>0</v>
      </c>
      <c r="S1106" s="4" t="s">
        <v>361</v>
      </c>
      <c r="T1106" s="4" t="s">
        <v>714</v>
      </c>
      <c r="U1106" s="4">
        <v>0</v>
      </c>
      <c r="V1106" s="4">
        <v>27</v>
      </c>
      <c r="W1106" s="4">
        <v>81</v>
      </c>
    </row>
    <row r="1107" spans="1:23" ht="11.25" customHeight="1" x14ac:dyDescent="0.25">
      <c r="A1107" s="4" t="s">
        <v>21</v>
      </c>
      <c r="B1107" s="4" t="s">
        <v>33</v>
      </c>
      <c r="C1107" s="4" t="s">
        <v>34</v>
      </c>
      <c r="D1107" s="4" t="s">
        <v>47</v>
      </c>
      <c r="E1107" s="4" t="s">
        <v>55</v>
      </c>
      <c r="F1107" s="4" t="s">
        <v>25</v>
      </c>
      <c r="G1107" s="4" t="s">
        <v>25</v>
      </c>
      <c r="H1107" s="4" t="s">
        <v>35</v>
      </c>
      <c r="I1107" s="5">
        <v>43831</v>
      </c>
      <c r="J1107" s="6">
        <v>0</v>
      </c>
      <c r="K1107" s="6">
        <v>0</v>
      </c>
      <c r="L1107" s="6">
        <v>3.5760000000000001</v>
      </c>
      <c r="M1107" s="6">
        <v>3.2899200000000004</v>
      </c>
      <c r="N1107" s="6">
        <v>3.5760000000000001</v>
      </c>
      <c r="O1107" s="6">
        <v>3.2899200000000004</v>
      </c>
      <c r="P1107" s="6">
        <v>0</v>
      </c>
      <c r="Q1107" s="4" t="s">
        <v>26</v>
      </c>
      <c r="R1107" s="4">
        <v>0</v>
      </c>
      <c r="S1107" s="4" t="s">
        <v>362</v>
      </c>
      <c r="T1107" s="4" t="s">
        <v>715</v>
      </c>
      <c r="U1107" s="4">
        <v>0</v>
      </c>
      <c r="V1107" s="4">
        <v>27</v>
      </c>
      <c r="W1107" s="4">
        <v>81</v>
      </c>
    </row>
    <row r="1108" spans="1:23" ht="11.25" customHeight="1" x14ac:dyDescent="0.25">
      <c r="A1108" s="4" t="s">
        <v>21</v>
      </c>
      <c r="B1108" s="4" t="s">
        <v>33</v>
      </c>
      <c r="C1108" s="4" t="s">
        <v>34</v>
      </c>
      <c r="D1108" s="4" t="s">
        <v>47</v>
      </c>
      <c r="E1108" s="4" t="s">
        <v>55</v>
      </c>
      <c r="F1108" s="4" t="s">
        <v>25</v>
      </c>
      <c r="G1108" s="4" t="s">
        <v>25</v>
      </c>
      <c r="H1108" s="4" t="s">
        <v>35</v>
      </c>
      <c r="I1108" s="5">
        <v>43862</v>
      </c>
      <c r="J1108" s="6">
        <v>0</v>
      </c>
      <c r="K1108" s="6">
        <v>0</v>
      </c>
      <c r="L1108" s="6">
        <v>9.1059999999999999</v>
      </c>
      <c r="M1108" s="6">
        <v>8.3775200000000005</v>
      </c>
      <c r="N1108" s="6">
        <v>9.1059999999999999</v>
      </c>
      <c r="O1108" s="6">
        <v>8.3775200000000005</v>
      </c>
      <c r="P1108" s="6">
        <v>0</v>
      </c>
      <c r="Q1108" s="4" t="s">
        <v>26</v>
      </c>
      <c r="R1108" s="4">
        <v>0</v>
      </c>
      <c r="S1108" s="4" t="s">
        <v>363</v>
      </c>
      <c r="T1108" s="4" t="s">
        <v>716</v>
      </c>
      <c r="U1108" s="4">
        <v>0</v>
      </c>
      <c r="V1108" s="4">
        <v>27</v>
      </c>
      <c r="W1108" s="4">
        <v>81</v>
      </c>
    </row>
    <row r="1109" spans="1:23" ht="11.25" customHeight="1" x14ac:dyDescent="0.25">
      <c r="A1109" s="4" t="s">
        <v>27</v>
      </c>
      <c r="B1109" s="4" t="s">
        <v>33</v>
      </c>
      <c r="C1109" s="4" t="s">
        <v>34</v>
      </c>
      <c r="D1109" s="4" t="s">
        <v>47</v>
      </c>
      <c r="E1109" s="4" t="s">
        <v>55</v>
      </c>
      <c r="F1109" s="4" t="s">
        <v>25</v>
      </c>
      <c r="G1109" s="4" t="s">
        <v>25</v>
      </c>
      <c r="H1109" s="4" t="s">
        <v>35</v>
      </c>
      <c r="I1109" s="5">
        <v>43862</v>
      </c>
      <c r="J1109" s="6">
        <v>0</v>
      </c>
      <c r="K1109" s="6">
        <v>0</v>
      </c>
      <c r="L1109" s="6">
        <v>0.27900000000000003</v>
      </c>
      <c r="M1109" s="6">
        <v>0.25668000000000002</v>
      </c>
      <c r="N1109" s="6">
        <v>0.27900000000000003</v>
      </c>
      <c r="O1109" s="6">
        <v>0.25668000000000002</v>
      </c>
      <c r="P1109" s="6">
        <v>0</v>
      </c>
      <c r="Q1109" s="4" t="s">
        <v>26</v>
      </c>
      <c r="R1109" s="4">
        <v>0</v>
      </c>
      <c r="S1109" s="4" t="s">
        <v>363</v>
      </c>
      <c r="T1109" s="4" t="s">
        <v>716</v>
      </c>
      <c r="U1109" s="4">
        <v>0</v>
      </c>
      <c r="V1109" s="4">
        <v>27</v>
      </c>
      <c r="W1109" s="4">
        <v>81</v>
      </c>
    </row>
    <row r="1110" spans="1:23" ht="11.25" customHeight="1" x14ac:dyDescent="0.25">
      <c r="A1110" s="4" t="s">
        <v>21</v>
      </c>
      <c r="B1110" s="4" t="s">
        <v>33</v>
      </c>
      <c r="C1110" s="4" t="s">
        <v>34</v>
      </c>
      <c r="D1110" s="4" t="s">
        <v>47</v>
      </c>
      <c r="E1110" s="4" t="s">
        <v>55</v>
      </c>
      <c r="F1110" s="4" t="s">
        <v>25</v>
      </c>
      <c r="G1110" s="4" t="s">
        <v>25</v>
      </c>
      <c r="H1110" s="4" t="s">
        <v>35</v>
      </c>
      <c r="I1110" s="5">
        <v>43891</v>
      </c>
      <c r="J1110" s="6">
        <v>0</v>
      </c>
      <c r="K1110" s="6">
        <v>0</v>
      </c>
      <c r="L1110" s="6">
        <v>5.4989999999999997</v>
      </c>
      <c r="M1110" s="6">
        <v>5.0590799999999998</v>
      </c>
      <c r="N1110" s="6">
        <v>5.4989999999999997</v>
      </c>
      <c r="O1110" s="6">
        <v>5.0590799999999998</v>
      </c>
      <c r="P1110" s="6">
        <v>0</v>
      </c>
      <c r="Q1110" s="4" t="s">
        <v>26</v>
      </c>
      <c r="R1110" s="4">
        <v>0</v>
      </c>
      <c r="S1110" s="4" t="s">
        <v>364</v>
      </c>
      <c r="T1110" s="4" t="s">
        <v>717</v>
      </c>
      <c r="U1110" s="4">
        <v>0</v>
      </c>
      <c r="V1110" s="4">
        <v>27</v>
      </c>
      <c r="W1110" s="4">
        <v>81</v>
      </c>
    </row>
    <row r="1111" spans="1:23" ht="11.25" customHeight="1" x14ac:dyDescent="0.25">
      <c r="A1111" s="4" t="s">
        <v>27</v>
      </c>
      <c r="B1111" s="4" t="s">
        <v>33</v>
      </c>
      <c r="C1111" s="4" t="s">
        <v>34</v>
      </c>
      <c r="D1111" s="4" t="s">
        <v>47</v>
      </c>
      <c r="E1111" s="4" t="s">
        <v>55</v>
      </c>
      <c r="F1111" s="4" t="s">
        <v>25</v>
      </c>
      <c r="G1111" s="4" t="s">
        <v>25</v>
      </c>
      <c r="H1111" s="4" t="s">
        <v>35</v>
      </c>
      <c r="I1111" s="5">
        <v>43891</v>
      </c>
      <c r="J1111" s="6">
        <v>0</v>
      </c>
      <c r="K1111" s="6">
        <v>0</v>
      </c>
      <c r="L1111" s="6">
        <v>0.23400000000000001</v>
      </c>
      <c r="M1111" s="6">
        <v>0.21528000000000003</v>
      </c>
      <c r="N1111" s="6">
        <v>0.23400000000000001</v>
      </c>
      <c r="O1111" s="6">
        <v>0.21528000000000003</v>
      </c>
      <c r="P1111" s="6">
        <v>0</v>
      </c>
      <c r="Q1111" s="4" t="s">
        <v>26</v>
      </c>
      <c r="R1111" s="4">
        <v>0</v>
      </c>
      <c r="S1111" s="4" t="s">
        <v>364</v>
      </c>
      <c r="T1111" s="4" t="s">
        <v>717</v>
      </c>
      <c r="U1111" s="4">
        <v>0</v>
      </c>
      <c r="V1111" s="4">
        <v>27</v>
      </c>
      <c r="W1111" s="4">
        <v>81</v>
      </c>
    </row>
    <row r="1112" spans="1:23" ht="11.25" customHeight="1" x14ac:dyDescent="0.25">
      <c r="A1112" s="4" t="s">
        <v>21</v>
      </c>
      <c r="B1112" s="4" t="s">
        <v>33</v>
      </c>
      <c r="C1112" s="4" t="s">
        <v>34</v>
      </c>
      <c r="D1112" s="4" t="s">
        <v>47</v>
      </c>
      <c r="E1112" s="4" t="s">
        <v>55</v>
      </c>
      <c r="F1112" s="4" t="s">
        <v>25</v>
      </c>
      <c r="G1112" s="4" t="s">
        <v>25</v>
      </c>
      <c r="H1112" s="4" t="s">
        <v>35</v>
      </c>
      <c r="I1112" s="5">
        <v>43922</v>
      </c>
      <c r="J1112" s="6">
        <v>0</v>
      </c>
      <c r="K1112" s="6">
        <v>0</v>
      </c>
      <c r="L1112" s="6">
        <v>6.6459999999999999</v>
      </c>
      <c r="M1112" s="6">
        <v>6.1143200000000002</v>
      </c>
      <c r="N1112" s="6">
        <v>6.6459999999999999</v>
      </c>
      <c r="O1112" s="6">
        <v>6.1143200000000002</v>
      </c>
      <c r="P1112" s="6">
        <v>0</v>
      </c>
      <c r="Q1112" s="4" t="s">
        <v>26</v>
      </c>
      <c r="R1112" s="4">
        <v>0</v>
      </c>
      <c r="S1112" s="4" t="s">
        <v>365</v>
      </c>
      <c r="T1112" s="4" t="s">
        <v>718</v>
      </c>
      <c r="U1112" s="4">
        <v>0</v>
      </c>
      <c r="V1112" s="4">
        <v>27</v>
      </c>
      <c r="W1112" s="4">
        <v>81</v>
      </c>
    </row>
    <row r="1113" spans="1:23" ht="11.25" customHeight="1" x14ac:dyDescent="0.25">
      <c r="A1113" s="4" t="s">
        <v>27</v>
      </c>
      <c r="B1113" s="4" t="s">
        <v>33</v>
      </c>
      <c r="C1113" s="4" t="s">
        <v>34</v>
      </c>
      <c r="D1113" s="4" t="s">
        <v>47</v>
      </c>
      <c r="E1113" s="4" t="s">
        <v>55</v>
      </c>
      <c r="F1113" s="4" t="s">
        <v>25</v>
      </c>
      <c r="G1113" s="4" t="s">
        <v>25</v>
      </c>
      <c r="H1113" s="4" t="s">
        <v>35</v>
      </c>
      <c r="I1113" s="5">
        <v>43922</v>
      </c>
      <c r="J1113" s="6">
        <v>0</v>
      </c>
      <c r="K1113" s="6">
        <v>0</v>
      </c>
      <c r="L1113" s="6">
        <v>1.095</v>
      </c>
      <c r="M1113" s="6">
        <v>1.0074000000000001</v>
      </c>
      <c r="N1113" s="6">
        <v>1.095</v>
      </c>
      <c r="O1113" s="6">
        <v>1.0074000000000001</v>
      </c>
      <c r="P1113" s="6">
        <v>0</v>
      </c>
      <c r="Q1113" s="4" t="s">
        <v>26</v>
      </c>
      <c r="R1113" s="4">
        <v>0</v>
      </c>
      <c r="S1113" s="4" t="s">
        <v>365</v>
      </c>
      <c r="T1113" s="4" t="s">
        <v>718</v>
      </c>
      <c r="U1113" s="4">
        <v>0</v>
      </c>
      <c r="V1113" s="4">
        <v>27</v>
      </c>
      <c r="W1113" s="4">
        <v>81</v>
      </c>
    </row>
    <row r="1114" spans="1:23" ht="11.25" customHeight="1" x14ac:dyDescent="0.25">
      <c r="A1114" s="4" t="s">
        <v>21</v>
      </c>
      <c r="B1114" s="4" t="s">
        <v>33</v>
      </c>
      <c r="C1114" s="4" t="s">
        <v>34</v>
      </c>
      <c r="D1114" s="4" t="s">
        <v>47</v>
      </c>
      <c r="E1114" s="4" t="s">
        <v>55</v>
      </c>
      <c r="F1114" s="4" t="s">
        <v>25</v>
      </c>
      <c r="G1114" s="4" t="s">
        <v>25</v>
      </c>
      <c r="H1114" s="4" t="s">
        <v>35</v>
      </c>
      <c r="I1114" s="5">
        <v>43952</v>
      </c>
      <c r="J1114" s="6">
        <v>0</v>
      </c>
      <c r="K1114" s="6">
        <v>0</v>
      </c>
      <c r="L1114" s="6">
        <v>14.085000000000001</v>
      </c>
      <c r="M1114" s="6">
        <v>12.958200000000001</v>
      </c>
      <c r="N1114" s="6">
        <v>14.085000000000001</v>
      </c>
      <c r="O1114" s="6">
        <v>12.958200000000001</v>
      </c>
      <c r="P1114" s="6">
        <v>0</v>
      </c>
      <c r="Q1114" s="4" t="s">
        <v>26</v>
      </c>
      <c r="R1114" s="4">
        <v>0</v>
      </c>
      <c r="S1114" s="4" t="s">
        <v>366</v>
      </c>
      <c r="T1114" s="4" t="s">
        <v>719</v>
      </c>
      <c r="U1114" s="4">
        <v>0</v>
      </c>
      <c r="V1114" s="4">
        <v>27</v>
      </c>
      <c r="W1114" s="4">
        <v>81</v>
      </c>
    </row>
    <row r="1115" spans="1:23" ht="11.25" customHeight="1" x14ac:dyDescent="0.25">
      <c r="A1115" s="4" t="s">
        <v>27</v>
      </c>
      <c r="B1115" s="4" t="s">
        <v>33</v>
      </c>
      <c r="C1115" s="4" t="s">
        <v>34</v>
      </c>
      <c r="D1115" s="4" t="s">
        <v>47</v>
      </c>
      <c r="E1115" s="4" t="s">
        <v>55</v>
      </c>
      <c r="F1115" s="4" t="s">
        <v>25</v>
      </c>
      <c r="G1115" s="4" t="s">
        <v>25</v>
      </c>
      <c r="H1115" s="4" t="s">
        <v>35</v>
      </c>
      <c r="I1115" s="5">
        <v>43952</v>
      </c>
      <c r="J1115" s="6">
        <v>0</v>
      </c>
      <c r="K1115" s="6">
        <v>0</v>
      </c>
      <c r="L1115" s="6">
        <v>1.246</v>
      </c>
      <c r="M1115" s="6">
        <v>1.14632</v>
      </c>
      <c r="N1115" s="6">
        <v>1.246</v>
      </c>
      <c r="O1115" s="6">
        <v>1.14632</v>
      </c>
      <c r="P1115" s="6">
        <v>0</v>
      </c>
      <c r="Q1115" s="4" t="s">
        <v>26</v>
      </c>
      <c r="R1115" s="4">
        <v>0</v>
      </c>
      <c r="S1115" s="4" t="s">
        <v>366</v>
      </c>
      <c r="T1115" s="4" t="s">
        <v>719</v>
      </c>
      <c r="U1115" s="4">
        <v>0</v>
      </c>
      <c r="V1115" s="4">
        <v>27</v>
      </c>
      <c r="W1115" s="4">
        <v>81</v>
      </c>
    </row>
    <row r="1116" spans="1:23" ht="11.25" customHeight="1" x14ac:dyDescent="0.25">
      <c r="A1116" s="4" t="s">
        <v>21</v>
      </c>
      <c r="B1116" s="4" t="s">
        <v>33</v>
      </c>
      <c r="C1116" s="4" t="s">
        <v>34</v>
      </c>
      <c r="D1116" s="4" t="s">
        <v>47</v>
      </c>
      <c r="E1116" s="4" t="s">
        <v>55</v>
      </c>
      <c r="F1116" s="4" t="s">
        <v>25</v>
      </c>
      <c r="G1116" s="4" t="s">
        <v>25</v>
      </c>
      <c r="H1116" s="4" t="s">
        <v>35</v>
      </c>
      <c r="I1116" s="5">
        <v>43983</v>
      </c>
      <c r="J1116" s="6">
        <v>0</v>
      </c>
      <c r="K1116" s="6">
        <v>0</v>
      </c>
      <c r="L1116" s="6">
        <v>33.988</v>
      </c>
      <c r="M1116" s="6">
        <v>31.26896</v>
      </c>
      <c r="N1116" s="6">
        <v>33.988</v>
      </c>
      <c r="O1116" s="6">
        <v>31.26896</v>
      </c>
      <c r="P1116" s="6">
        <v>0</v>
      </c>
      <c r="Q1116" s="4" t="s">
        <v>26</v>
      </c>
      <c r="R1116" s="4">
        <v>0</v>
      </c>
      <c r="S1116" s="4" t="s">
        <v>367</v>
      </c>
      <c r="T1116" s="4" t="s">
        <v>720</v>
      </c>
      <c r="U1116" s="4">
        <v>0</v>
      </c>
      <c r="V1116" s="4">
        <v>27</v>
      </c>
      <c r="W1116" s="4">
        <v>81</v>
      </c>
    </row>
    <row r="1117" spans="1:23" ht="11.25" customHeight="1" x14ac:dyDescent="0.25">
      <c r="A1117" s="4" t="s">
        <v>27</v>
      </c>
      <c r="B1117" s="4" t="s">
        <v>33</v>
      </c>
      <c r="C1117" s="4" t="s">
        <v>34</v>
      </c>
      <c r="D1117" s="4" t="s">
        <v>47</v>
      </c>
      <c r="E1117" s="4" t="s">
        <v>55</v>
      </c>
      <c r="F1117" s="4" t="s">
        <v>25</v>
      </c>
      <c r="G1117" s="4" t="s">
        <v>25</v>
      </c>
      <c r="H1117" s="4" t="s">
        <v>35</v>
      </c>
      <c r="I1117" s="5">
        <v>43983</v>
      </c>
      <c r="J1117" s="6">
        <v>0</v>
      </c>
      <c r="K1117" s="6">
        <v>0</v>
      </c>
      <c r="L1117" s="6">
        <v>1.1439999999999999</v>
      </c>
      <c r="M1117" s="6">
        <v>1.0524799999999999</v>
      </c>
      <c r="N1117" s="6">
        <v>1.1439999999999999</v>
      </c>
      <c r="O1117" s="6">
        <v>1.0524799999999999</v>
      </c>
      <c r="P1117" s="6">
        <v>0</v>
      </c>
      <c r="Q1117" s="4" t="s">
        <v>26</v>
      </c>
      <c r="R1117" s="4">
        <v>0</v>
      </c>
      <c r="S1117" s="4" t="s">
        <v>367</v>
      </c>
      <c r="T1117" s="4" t="s">
        <v>720</v>
      </c>
      <c r="U1117" s="4">
        <v>0</v>
      </c>
      <c r="V1117" s="4">
        <v>27</v>
      </c>
      <c r="W1117" s="4">
        <v>81</v>
      </c>
    </row>
    <row r="1118" spans="1:23" ht="11.25" customHeight="1" x14ac:dyDescent="0.25">
      <c r="A1118" s="4" t="s">
        <v>21</v>
      </c>
      <c r="B1118" s="4" t="s">
        <v>33</v>
      </c>
      <c r="C1118" s="4" t="s">
        <v>34</v>
      </c>
      <c r="D1118" s="4" t="s">
        <v>47</v>
      </c>
      <c r="E1118" s="4" t="s">
        <v>55</v>
      </c>
      <c r="F1118" s="4" t="s">
        <v>25</v>
      </c>
      <c r="G1118" s="4" t="s">
        <v>25</v>
      </c>
      <c r="H1118" s="4" t="s">
        <v>35</v>
      </c>
      <c r="I1118" s="5">
        <v>44013</v>
      </c>
      <c r="J1118" s="6">
        <v>0</v>
      </c>
      <c r="K1118" s="6">
        <v>0</v>
      </c>
      <c r="L1118" s="6">
        <v>29.946000000000002</v>
      </c>
      <c r="M1118" s="6">
        <v>27.550320000000003</v>
      </c>
      <c r="N1118" s="6">
        <v>29.946000000000002</v>
      </c>
      <c r="O1118" s="6">
        <v>27.550320000000003</v>
      </c>
      <c r="P1118" s="6">
        <v>0</v>
      </c>
      <c r="Q1118" s="4" t="s">
        <v>26</v>
      </c>
      <c r="R1118" s="4">
        <v>0</v>
      </c>
      <c r="S1118" s="4" t="s">
        <v>368</v>
      </c>
      <c r="T1118" s="4" t="s">
        <v>721</v>
      </c>
      <c r="U1118" s="4">
        <v>0</v>
      </c>
      <c r="V1118" s="4">
        <v>27</v>
      </c>
      <c r="W1118" s="4">
        <v>81</v>
      </c>
    </row>
    <row r="1119" spans="1:23" ht="11.25" customHeight="1" x14ac:dyDescent="0.25">
      <c r="A1119" s="4" t="s">
        <v>27</v>
      </c>
      <c r="B1119" s="4" t="s">
        <v>33</v>
      </c>
      <c r="C1119" s="4" t="s">
        <v>34</v>
      </c>
      <c r="D1119" s="4" t="s">
        <v>47</v>
      </c>
      <c r="E1119" s="4" t="s">
        <v>55</v>
      </c>
      <c r="F1119" s="4" t="s">
        <v>25</v>
      </c>
      <c r="G1119" s="4" t="s">
        <v>25</v>
      </c>
      <c r="H1119" s="4" t="s">
        <v>35</v>
      </c>
      <c r="I1119" s="5">
        <v>44013</v>
      </c>
      <c r="J1119" s="6">
        <v>0</v>
      </c>
      <c r="K1119" s="6">
        <v>0</v>
      </c>
      <c r="L1119" s="6">
        <v>1.774</v>
      </c>
      <c r="M1119" s="6">
        <v>1.6320800000000002</v>
      </c>
      <c r="N1119" s="6">
        <v>1.774</v>
      </c>
      <c r="O1119" s="6">
        <v>1.6320800000000002</v>
      </c>
      <c r="P1119" s="6">
        <v>0</v>
      </c>
      <c r="Q1119" s="4" t="s">
        <v>26</v>
      </c>
      <c r="R1119" s="4">
        <v>0</v>
      </c>
      <c r="S1119" s="4" t="s">
        <v>368</v>
      </c>
      <c r="T1119" s="4" t="s">
        <v>721</v>
      </c>
      <c r="U1119" s="4">
        <v>0</v>
      </c>
      <c r="V1119" s="4">
        <v>27</v>
      </c>
      <c r="W1119" s="4">
        <v>81</v>
      </c>
    </row>
    <row r="1120" spans="1:23" ht="11.25" customHeight="1" x14ac:dyDescent="0.25">
      <c r="A1120" s="4" t="s">
        <v>21</v>
      </c>
      <c r="B1120" s="4" t="s">
        <v>33</v>
      </c>
      <c r="C1120" s="4" t="s">
        <v>34</v>
      </c>
      <c r="D1120" s="4" t="s">
        <v>47</v>
      </c>
      <c r="E1120" s="4" t="s">
        <v>55</v>
      </c>
      <c r="F1120" s="4" t="s">
        <v>25</v>
      </c>
      <c r="G1120" s="4" t="s">
        <v>25</v>
      </c>
      <c r="H1120" s="4" t="s">
        <v>35</v>
      </c>
      <c r="I1120" s="5">
        <v>44044</v>
      </c>
      <c r="J1120" s="6">
        <v>0</v>
      </c>
      <c r="K1120" s="6">
        <v>0</v>
      </c>
      <c r="L1120" s="6">
        <v>30.613</v>
      </c>
      <c r="M1120" s="6">
        <v>28.163959999999999</v>
      </c>
      <c r="N1120" s="6">
        <v>30.613</v>
      </c>
      <c r="O1120" s="6">
        <v>28.163959999999999</v>
      </c>
      <c r="P1120" s="6">
        <v>0</v>
      </c>
      <c r="Q1120" s="4" t="s">
        <v>26</v>
      </c>
      <c r="R1120" s="4">
        <v>0</v>
      </c>
      <c r="S1120" s="4" t="s">
        <v>369</v>
      </c>
      <c r="T1120" s="4" t="s">
        <v>722</v>
      </c>
      <c r="U1120" s="4">
        <v>0</v>
      </c>
      <c r="V1120" s="4">
        <v>27</v>
      </c>
      <c r="W1120" s="4">
        <v>81</v>
      </c>
    </row>
    <row r="1121" spans="1:23" ht="11.25" customHeight="1" x14ac:dyDescent="0.25">
      <c r="A1121" s="4" t="s">
        <v>27</v>
      </c>
      <c r="B1121" s="4" t="s">
        <v>33</v>
      </c>
      <c r="C1121" s="4" t="s">
        <v>34</v>
      </c>
      <c r="D1121" s="4" t="s">
        <v>47</v>
      </c>
      <c r="E1121" s="4" t="s">
        <v>55</v>
      </c>
      <c r="F1121" s="4" t="s">
        <v>25</v>
      </c>
      <c r="G1121" s="4" t="s">
        <v>25</v>
      </c>
      <c r="H1121" s="4" t="s">
        <v>35</v>
      </c>
      <c r="I1121" s="5">
        <v>44044</v>
      </c>
      <c r="J1121" s="6">
        <v>0</v>
      </c>
      <c r="K1121" s="6">
        <v>0</v>
      </c>
      <c r="L1121" s="6">
        <v>0.89900000000000002</v>
      </c>
      <c r="M1121" s="6">
        <v>0.82708000000000004</v>
      </c>
      <c r="N1121" s="6">
        <v>0.89900000000000002</v>
      </c>
      <c r="O1121" s="6">
        <v>0.82708000000000004</v>
      </c>
      <c r="P1121" s="6">
        <v>0</v>
      </c>
      <c r="Q1121" s="4" t="s">
        <v>26</v>
      </c>
      <c r="R1121" s="4">
        <v>0</v>
      </c>
      <c r="S1121" s="4" t="s">
        <v>369</v>
      </c>
      <c r="T1121" s="4" t="s">
        <v>722</v>
      </c>
      <c r="U1121" s="4">
        <v>0</v>
      </c>
      <c r="V1121" s="4">
        <v>27</v>
      </c>
      <c r="W1121" s="4">
        <v>81</v>
      </c>
    </row>
    <row r="1122" spans="1:23" ht="11.25" customHeight="1" x14ac:dyDescent="0.25">
      <c r="A1122" s="4" t="s">
        <v>59</v>
      </c>
      <c r="B1122" s="4" t="s">
        <v>33</v>
      </c>
      <c r="C1122" s="4" t="s">
        <v>34</v>
      </c>
      <c r="D1122" s="4" t="s">
        <v>47</v>
      </c>
      <c r="E1122" s="4" t="s">
        <v>55</v>
      </c>
      <c r="F1122" s="4" t="s">
        <v>25</v>
      </c>
      <c r="G1122" s="4" t="s">
        <v>25</v>
      </c>
      <c r="H1122" s="4" t="s">
        <v>35</v>
      </c>
      <c r="I1122" s="5">
        <v>44075</v>
      </c>
      <c r="J1122" s="6">
        <v>0</v>
      </c>
      <c r="K1122" s="6">
        <v>0</v>
      </c>
      <c r="L1122" s="6">
        <v>30.613</v>
      </c>
      <c r="M1122" s="6">
        <v>28.163959999999999</v>
      </c>
      <c r="N1122" s="6">
        <v>30.613</v>
      </c>
      <c r="O1122" s="6">
        <v>28.163959999999999</v>
      </c>
      <c r="P1122" s="6">
        <v>0</v>
      </c>
      <c r="Q1122" s="4" t="s">
        <v>26</v>
      </c>
      <c r="R1122" s="4">
        <v>0</v>
      </c>
      <c r="S1122" s="4" t="s">
        <v>370</v>
      </c>
      <c r="T1122" s="4" t="s">
        <v>723</v>
      </c>
      <c r="U1122" s="4">
        <v>0</v>
      </c>
      <c r="V1122" s="4">
        <v>27</v>
      </c>
      <c r="W1122" s="4">
        <v>81</v>
      </c>
    </row>
    <row r="1123" spans="1:23" ht="11.25" customHeight="1" x14ac:dyDescent="0.25">
      <c r="A1123" s="4" t="s">
        <v>59</v>
      </c>
      <c r="B1123" s="4" t="s">
        <v>33</v>
      </c>
      <c r="C1123" s="4" t="s">
        <v>34</v>
      </c>
      <c r="D1123" s="4" t="s">
        <v>47</v>
      </c>
      <c r="E1123" s="4" t="s">
        <v>55</v>
      </c>
      <c r="F1123" s="4" t="s">
        <v>25</v>
      </c>
      <c r="G1123" s="4" t="s">
        <v>25</v>
      </c>
      <c r="H1123" s="4" t="s">
        <v>35</v>
      </c>
      <c r="I1123" s="5">
        <v>44075</v>
      </c>
      <c r="J1123" s="6">
        <v>0</v>
      </c>
      <c r="K1123" s="6">
        <v>0</v>
      </c>
      <c r="L1123" s="6">
        <v>0.89900000000000002</v>
      </c>
      <c r="M1123" s="6">
        <v>0.82708000000000004</v>
      </c>
      <c r="N1123" s="6">
        <v>0.89900000000000002</v>
      </c>
      <c r="O1123" s="6">
        <v>0.82708000000000004</v>
      </c>
      <c r="P1123" s="6">
        <v>0</v>
      </c>
      <c r="Q1123" s="4" t="s">
        <v>26</v>
      </c>
      <c r="R1123" s="4">
        <v>0</v>
      </c>
      <c r="S1123" s="4" t="s">
        <v>370</v>
      </c>
      <c r="T1123" s="4" t="s">
        <v>723</v>
      </c>
      <c r="U1123" s="4">
        <v>0</v>
      </c>
      <c r="V1123" s="4">
        <v>27</v>
      </c>
      <c r="W1123" s="4">
        <v>81</v>
      </c>
    </row>
    <row r="1124" spans="1:23" ht="11.25" customHeight="1" x14ac:dyDescent="0.25">
      <c r="A1124" s="4" t="s">
        <v>21</v>
      </c>
      <c r="B1124" s="4" t="s">
        <v>33</v>
      </c>
      <c r="C1124" s="4" t="s">
        <v>34</v>
      </c>
      <c r="D1124" s="4" t="s">
        <v>47</v>
      </c>
      <c r="E1124" s="4" t="s">
        <v>25</v>
      </c>
      <c r="F1124" s="4" t="s">
        <v>25</v>
      </c>
      <c r="G1124" s="4" t="s">
        <v>25</v>
      </c>
      <c r="H1124" s="4" t="s">
        <v>36</v>
      </c>
      <c r="I1124" s="5">
        <v>43739</v>
      </c>
      <c r="J1124" s="6">
        <v>0</v>
      </c>
      <c r="K1124" s="6">
        <v>0</v>
      </c>
      <c r="L1124" s="6">
        <v>1858.81</v>
      </c>
      <c r="M1124" s="6">
        <v>1710.1052</v>
      </c>
      <c r="N1124" s="6">
        <v>1858.81</v>
      </c>
      <c r="O1124" s="6">
        <v>1710.1052</v>
      </c>
      <c r="P1124" s="6">
        <v>0</v>
      </c>
      <c r="Q1124" s="4" t="s">
        <v>26</v>
      </c>
      <c r="R1124" s="4">
        <v>0</v>
      </c>
      <c r="S1124" s="4" t="s">
        <v>335</v>
      </c>
      <c r="T1124" s="4" t="s">
        <v>700</v>
      </c>
      <c r="U1124" s="4">
        <v>0</v>
      </c>
      <c r="V1124" s="4">
        <v>28</v>
      </c>
      <c r="W1124" s="4">
        <v>82</v>
      </c>
    </row>
    <row r="1125" spans="1:23" ht="11.25" customHeight="1" x14ac:dyDescent="0.25">
      <c r="A1125" s="4" t="s">
        <v>28</v>
      </c>
      <c r="B1125" s="4" t="s">
        <v>33</v>
      </c>
      <c r="C1125" s="4" t="s">
        <v>34</v>
      </c>
      <c r="D1125" s="4" t="s">
        <v>47</v>
      </c>
      <c r="E1125" s="4" t="s">
        <v>25</v>
      </c>
      <c r="F1125" s="4" t="s">
        <v>25</v>
      </c>
      <c r="G1125" s="4" t="s">
        <v>25</v>
      </c>
      <c r="H1125" s="4" t="s">
        <v>36</v>
      </c>
      <c r="I1125" s="5">
        <v>43739</v>
      </c>
      <c r="J1125" s="6">
        <v>0</v>
      </c>
      <c r="K1125" s="6">
        <v>0</v>
      </c>
      <c r="L1125" s="6">
        <v>25.309000000000001</v>
      </c>
      <c r="M1125" s="6">
        <v>23.284280000000003</v>
      </c>
      <c r="N1125" s="6">
        <v>25.309000000000001</v>
      </c>
      <c r="O1125" s="6">
        <v>23.284280000000003</v>
      </c>
      <c r="P1125" s="6">
        <v>0</v>
      </c>
      <c r="Q1125" s="4" t="s">
        <v>26</v>
      </c>
      <c r="R1125" s="4">
        <v>0</v>
      </c>
      <c r="S1125" s="4" t="s">
        <v>335</v>
      </c>
      <c r="T1125" s="4" t="s">
        <v>700</v>
      </c>
      <c r="U1125" s="4">
        <v>0</v>
      </c>
      <c r="V1125" s="4">
        <v>28</v>
      </c>
      <c r="W1125" s="4">
        <v>82</v>
      </c>
    </row>
    <row r="1126" spans="1:23" ht="11.25" customHeight="1" x14ac:dyDescent="0.25">
      <c r="A1126" s="4" t="s">
        <v>21</v>
      </c>
      <c r="B1126" s="4" t="s">
        <v>33</v>
      </c>
      <c r="C1126" s="4" t="s">
        <v>34</v>
      </c>
      <c r="D1126" s="4" t="s">
        <v>47</v>
      </c>
      <c r="E1126" s="4" t="s">
        <v>25</v>
      </c>
      <c r="F1126" s="4" t="s">
        <v>25</v>
      </c>
      <c r="G1126" s="4" t="s">
        <v>25</v>
      </c>
      <c r="H1126" s="4" t="s">
        <v>36</v>
      </c>
      <c r="I1126" s="5">
        <v>43770</v>
      </c>
      <c r="J1126" s="6">
        <v>0</v>
      </c>
      <c r="K1126" s="6">
        <v>0</v>
      </c>
      <c r="L1126" s="6">
        <v>2014.8430000000001</v>
      </c>
      <c r="M1126" s="6">
        <v>1853.6555600000002</v>
      </c>
      <c r="N1126" s="6">
        <v>2014.8430000000001</v>
      </c>
      <c r="O1126" s="6">
        <v>1853.6555600000002</v>
      </c>
      <c r="P1126" s="6">
        <v>0</v>
      </c>
      <c r="Q1126" s="4" t="s">
        <v>26</v>
      </c>
      <c r="R1126" s="4">
        <v>0</v>
      </c>
      <c r="S1126" s="4" t="s">
        <v>336</v>
      </c>
      <c r="T1126" s="4" t="s">
        <v>701</v>
      </c>
      <c r="U1126" s="4">
        <v>0</v>
      </c>
      <c r="V1126" s="4">
        <v>28</v>
      </c>
      <c r="W1126" s="4">
        <v>82</v>
      </c>
    </row>
    <row r="1127" spans="1:23" ht="11.25" customHeight="1" x14ac:dyDescent="0.25">
      <c r="A1127" s="4" t="s">
        <v>28</v>
      </c>
      <c r="B1127" s="4" t="s">
        <v>33</v>
      </c>
      <c r="C1127" s="4" t="s">
        <v>34</v>
      </c>
      <c r="D1127" s="4" t="s">
        <v>47</v>
      </c>
      <c r="E1127" s="4" t="s">
        <v>25</v>
      </c>
      <c r="F1127" s="4" t="s">
        <v>25</v>
      </c>
      <c r="G1127" s="4" t="s">
        <v>25</v>
      </c>
      <c r="H1127" s="4" t="s">
        <v>36</v>
      </c>
      <c r="I1127" s="5">
        <v>43770</v>
      </c>
      <c r="J1127" s="6">
        <v>0</v>
      </c>
      <c r="K1127" s="6">
        <v>0</v>
      </c>
      <c r="L1127" s="6">
        <v>24.013000000000002</v>
      </c>
      <c r="M1127" s="6">
        <v>22.091960000000004</v>
      </c>
      <c r="N1127" s="6">
        <v>24.013000000000002</v>
      </c>
      <c r="O1127" s="6">
        <v>22.091960000000004</v>
      </c>
      <c r="P1127" s="6">
        <v>0</v>
      </c>
      <c r="Q1127" s="4" t="s">
        <v>26</v>
      </c>
      <c r="R1127" s="4">
        <v>0</v>
      </c>
      <c r="S1127" s="4" t="s">
        <v>336</v>
      </c>
      <c r="T1127" s="4" t="s">
        <v>701</v>
      </c>
      <c r="U1127" s="4">
        <v>0</v>
      </c>
      <c r="V1127" s="4">
        <v>28</v>
      </c>
      <c r="W1127" s="4">
        <v>82</v>
      </c>
    </row>
    <row r="1128" spans="1:23" ht="11.25" customHeight="1" x14ac:dyDescent="0.25">
      <c r="A1128" s="4" t="s">
        <v>21</v>
      </c>
      <c r="B1128" s="4" t="s">
        <v>33</v>
      </c>
      <c r="C1128" s="4" t="s">
        <v>34</v>
      </c>
      <c r="D1128" s="4" t="s">
        <v>47</v>
      </c>
      <c r="E1128" s="4" t="s">
        <v>25</v>
      </c>
      <c r="F1128" s="4" t="s">
        <v>25</v>
      </c>
      <c r="G1128" s="4" t="s">
        <v>25</v>
      </c>
      <c r="H1128" s="4" t="s">
        <v>36</v>
      </c>
      <c r="I1128" s="5">
        <v>43800</v>
      </c>
      <c r="J1128" s="6">
        <v>0</v>
      </c>
      <c r="K1128" s="6">
        <v>0</v>
      </c>
      <c r="L1128" s="6">
        <v>1734.3440000000001</v>
      </c>
      <c r="M1128" s="6">
        <v>1595.5964800000002</v>
      </c>
      <c r="N1128" s="6">
        <v>1734.3440000000001</v>
      </c>
      <c r="O1128" s="6">
        <v>1595.5964800000002</v>
      </c>
      <c r="P1128" s="6">
        <v>0</v>
      </c>
      <c r="Q1128" s="4" t="s">
        <v>26</v>
      </c>
      <c r="R1128" s="4">
        <v>0</v>
      </c>
      <c r="S1128" s="4" t="s">
        <v>337</v>
      </c>
      <c r="T1128" s="4" t="s">
        <v>702</v>
      </c>
      <c r="U1128" s="4">
        <v>0</v>
      </c>
      <c r="V1128" s="4">
        <v>28</v>
      </c>
      <c r="W1128" s="4">
        <v>82</v>
      </c>
    </row>
    <row r="1129" spans="1:23" ht="11.25" customHeight="1" x14ac:dyDescent="0.25">
      <c r="A1129" s="4" t="s">
        <v>27</v>
      </c>
      <c r="B1129" s="4" t="s">
        <v>33</v>
      </c>
      <c r="C1129" s="4" t="s">
        <v>34</v>
      </c>
      <c r="D1129" s="4" t="s">
        <v>47</v>
      </c>
      <c r="E1129" s="4" t="s">
        <v>25</v>
      </c>
      <c r="F1129" s="4" t="s">
        <v>25</v>
      </c>
      <c r="G1129" s="4" t="s">
        <v>25</v>
      </c>
      <c r="H1129" s="4" t="s">
        <v>36</v>
      </c>
      <c r="I1129" s="5">
        <v>43800</v>
      </c>
      <c r="J1129" s="6">
        <v>0</v>
      </c>
      <c r="K1129" s="6">
        <v>0</v>
      </c>
      <c r="L1129" s="6">
        <v>12.28</v>
      </c>
      <c r="M1129" s="6">
        <v>11.297599999999999</v>
      </c>
      <c r="N1129" s="6">
        <v>12.28</v>
      </c>
      <c r="O1129" s="6">
        <v>11.297599999999999</v>
      </c>
      <c r="P1129" s="6">
        <v>0</v>
      </c>
      <c r="Q1129" s="4" t="s">
        <v>26</v>
      </c>
      <c r="R1129" s="4">
        <v>0</v>
      </c>
      <c r="S1129" s="4" t="s">
        <v>337</v>
      </c>
      <c r="T1129" s="4" t="s">
        <v>702</v>
      </c>
      <c r="U1129" s="4">
        <v>0</v>
      </c>
      <c r="V1129" s="4">
        <v>28</v>
      </c>
      <c r="W1129" s="4">
        <v>82</v>
      </c>
    </row>
    <row r="1130" spans="1:23" ht="11.25" customHeight="1" x14ac:dyDescent="0.25">
      <c r="A1130" s="4" t="s">
        <v>28</v>
      </c>
      <c r="B1130" s="4" t="s">
        <v>33</v>
      </c>
      <c r="C1130" s="4" t="s">
        <v>34</v>
      </c>
      <c r="D1130" s="4" t="s">
        <v>47</v>
      </c>
      <c r="E1130" s="4" t="s">
        <v>25</v>
      </c>
      <c r="F1130" s="4" t="s">
        <v>25</v>
      </c>
      <c r="G1130" s="4" t="s">
        <v>25</v>
      </c>
      <c r="H1130" s="4" t="s">
        <v>36</v>
      </c>
      <c r="I1130" s="5">
        <v>43800</v>
      </c>
      <c r="J1130" s="6">
        <v>0</v>
      </c>
      <c r="K1130" s="6">
        <v>0</v>
      </c>
      <c r="L1130" s="6">
        <v>37.652000000000001</v>
      </c>
      <c r="M1130" s="6">
        <v>34.63984</v>
      </c>
      <c r="N1130" s="6">
        <v>37.652000000000001</v>
      </c>
      <c r="O1130" s="6">
        <v>34.63984</v>
      </c>
      <c r="P1130" s="6">
        <v>0</v>
      </c>
      <c r="Q1130" s="4" t="s">
        <v>26</v>
      </c>
      <c r="R1130" s="4">
        <v>0</v>
      </c>
      <c r="S1130" s="4" t="s">
        <v>337</v>
      </c>
      <c r="T1130" s="4" t="s">
        <v>702</v>
      </c>
      <c r="U1130" s="4">
        <v>0</v>
      </c>
      <c r="V1130" s="4">
        <v>28</v>
      </c>
      <c r="W1130" s="4">
        <v>82</v>
      </c>
    </row>
    <row r="1131" spans="1:23" ht="11.25" customHeight="1" x14ac:dyDescent="0.25">
      <c r="A1131" s="4" t="s">
        <v>21</v>
      </c>
      <c r="B1131" s="4" t="s">
        <v>33</v>
      </c>
      <c r="C1131" s="4" t="s">
        <v>34</v>
      </c>
      <c r="D1131" s="4" t="s">
        <v>47</v>
      </c>
      <c r="E1131" s="4" t="s">
        <v>25</v>
      </c>
      <c r="F1131" s="4" t="s">
        <v>25</v>
      </c>
      <c r="G1131" s="4" t="s">
        <v>25</v>
      </c>
      <c r="H1131" s="4" t="s">
        <v>36</v>
      </c>
      <c r="I1131" s="5">
        <v>43831</v>
      </c>
      <c r="J1131" s="6">
        <v>0</v>
      </c>
      <c r="K1131" s="6">
        <v>0</v>
      </c>
      <c r="L1131" s="6">
        <v>1598.2159999999999</v>
      </c>
      <c r="M1131" s="6">
        <v>1470.3587199999999</v>
      </c>
      <c r="N1131" s="6">
        <v>1598.2159999999999</v>
      </c>
      <c r="O1131" s="6">
        <v>1470.3587199999999</v>
      </c>
      <c r="P1131" s="6">
        <v>0</v>
      </c>
      <c r="Q1131" s="4" t="s">
        <v>26</v>
      </c>
      <c r="R1131" s="4">
        <v>0</v>
      </c>
      <c r="S1131" s="4" t="s">
        <v>338</v>
      </c>
      <c r="T1131" s="4" t="s">
        <v>703</v>
      </c>
      <c r="U1131" s="4">
        <v>0</v>
      </c>
      <c r="V1131" s="4">
        <v>28</v>
      </c>
      <c r="W1131" s="4">
        <v>82</v>
      </c>
    </row>
    <row r="1132" spans="1:23" ht="11.25" customHeight="1" x14ac:dyDescent="0.25">
      <c r="A1132" s="4" t="s">
        <v>27</v>
      </c>
      <c r="B1132" s="4" t="s">
        <v>33</v>
      </c>
      <c r="C1132" s="4" t="s">
        <v>34</v>
      </c>
      <c r="D1132" s="4" t="s">
        <v>47</v>
      </c>
      <c r="E1132" s="4" t="s">
        <v>25</v>
      </c>
      <c r="F1132" s="4" t="s">
        <v>25</v>
      </c>
      <c r="G1132" s="4" t="s">
        <v>25</v>
      </c>
      <c r="H1132" s="4" t="s">
        <v>36</v>
      </c>
      <c r="I1132" s="5">
        <v>43831</v>
      </c>
      <c r="J1132" s="6">
        <v>0</v>
      </c>
      <c r="K1132" s="6">
        <v>0</v>
      </c>
      <c r="L1132" s="6">
        <v>9.2140000000000004</v>
      </c>
      <c r="M1132" s="6">
        <v>8.4768800000000013</v>
      </c>
      <c r="N1132" s="6">
        <v>9.2140000000000004</v>
      </c>
      <c r="O1132" s="6">
        <v>8.4768800000000013</v>
      </c>
      <c r="P1132" s="6">
        <v>0</v>
      </c>
      <c r="Q1132" s="4" t="s">
        <v>26</v>
      </c>
      <c r="R1132" s="4">
        <v>0</v>
      </c>
      <c r="S1132" s="4" t="s">
        <v>338</v>
      </c>
      <c r="T1132" s="4" t="s">
        <v>703</v>
      </c>
      <c r="U1132" s="4">
        <v>0</v>
      </c>
      <c r="V1132" s="4">
        <v>28</v>
      </c>
      <c r="W1132" s="4">
        <v>82</v>
      </c>
    </row>
    <row r="1133" spans="1:23" ht="11.25" customHeight="1" x14ac:dyDescent="0.25">
      <c r="A1133" s="4" t="s">
        <v>28</v>
      </c>
      <c r="B1133" s="4" t="s">
        <v>33</v>
      </c>
      <c r="C1133" s="4" t="s">
        <v>34</v>
      </c>
      <c r="D1133" s="4" t="s">
        <v>47</v>
      </c>
      <c r="E1133" s="4" t="s">
        <v>25</v>
      </c>
      <c r="F1133" s="4" t="s">
        <v>25</v>
      </c>
      <c r="G1133" s="4" t="s">
        <v>25</v>
      </c>
      <c r="H1133" s="4" t="s">
        <v>36</v>
      </c>
      <c r="I1133" s="5">
        <v>43831</v>
      </c>
      <c r="J1133" s="6">
        <v>0</v>
      </c>
      <c r="K1133" s="6">
        <v>0</v>
      </c>
      <c r="L1133" s="6">
        <v>39.344000000000001</v>
      </c>
      <c r="M1133" s="6">
        <v>36.196480000000001</v>
      </c>
      <c r="N1133" s="6">
        <v>39.344000000000001</v>
      </c>
      <c r="O1133" s="6">
        <v>36.196480000000001</v>
      </c>
      <c r="P1133" s="6">
        <v>0</v>
      </c>
      <c r="Q1133" s="4" t="s">
        <v>26</v>
      </c>
      <c r="R1133" s="4">
        <v>0</v>
      </c>
      <c r="S1133" s="4" t="s">
        <v>338</v>
      </c>
      <c r="T1133" s="4" t="s">
        <v>703</v>
      </c>
      <c r="U1133" s="4">
        <v>0</v>
      </c>
      <c r="V1133" s="4">
        <v>28</v>
      </c>
      <c r="W1133" s="4">
        <v>82</v>
      </c>
    </row>
    <row r="1134" spans="1:23" ht="11.25" customHeight="1" x14ac:dyDescent="0.25">
      <c r="A1134" s="4" t="s">
        <v>21</v>
      </c>
      <c r="B1134" s="4" t="s">
        <v>33</v>
      </c>
      <c r="C1134" s="4" t="s">
        <v>34</v>
      </c>
      <c r="D1134" s="4" t="s">
        <v>47</v>
      </c>
      <c r="E1134" s="4" t="s">
        <v>25</v>
      </c>
      <c r="F1134" s="4" t="s">
        <v>25</v>
      </c>
      <c r="G1134" s="4" t="s">
        <v>25</v>
      </c>
      <c r="H1134" s="4" t="s">
        <v>36</v>
      </c>
      <c r="I1134" s="5">
        <v>43862</v>
      </c>
      <c r="J1134" s="6">
        <v>0</v>
      </c>
      <c r="K1134" s="6">
        <v>0</v>
      </c>
      <c r="L1134" s="6">
        <v>1710.1890000000001</v>
      </c>
      <c r="M1134" s="6">
        <v>1573.3738800000001</v>
      </c>
      <c r="N1134" s="6">
        <v>1710.1890000000001</v>
      </c>
      <c r="O1134" s="6">
        <v>1573.3738800000001</v>
      </c>
      <c r="P1134" s="6">
        <v>0</v>
      </c>
      <c r="Q1134" s="4" t="s">
        <v>26</v>
      </c>
      <c r="R1134" s="4">
        <v>0</v>
      </c>
      <c r="S1134" s="4" t="s">
        <v>339</v>
      </c>
      <c r="T1134" s="4" t="s">
        <v>704</v>
      </c>
      <c r="U1134" s="4">
        <v>0</v>
      </c>
      <c r="V1134" s="4">
        <v>28</v>
      </c>
      <c r="W1134" s="4">
        <v>82</v>
      </c>
    </row>
    <row r="1135" spans="1:23" ht="11.25" customHeight="1" x14ac:dyDescent="0.25">
      <c r="A1135" s="4" t="s">
        <v>27</v>
      </c>
      <c r="B1135" s="4" t="s">
        <v>33</v>
      </c>
      <c r="C1135" s="4" t="s">
        <v>34</v>
      </c>
      <c r="D1135" s="4" t="s">
        <v>47</v>
      </c>
      <c r="E1135" s="4" t="s">
        <v>25</v>
      </c>
      <c r="F1135" s="4" t="s">
        <v>25</v>
      </c>
      <c r="G1135" s="4" t="s">
        <v>25</v>
      </c>
      <c r="H1135" s="4" t="s">
        <v>36</v>
      </c>
      <c r="I1135" s="5">
        <v>43862</v>
      </c>
      <c r="J1135" s="6">
        <v>0</v>
      </c>
      <c r="K1135" s="6">
        <v>0</v>
      </c>
      <c r="L1135" s="6">
        <v>19.030999999999999</v>
      </c>
      <c r="M1135" s="6">
        <v>17.508520000000001</v>
      </c>
      <c r="N1135" s="6">
        <v>19.030999999999999</v>
      </c>
      <c r="O1135" s="6">
        <v>17.508520000000001</v>
      </c>
      <c r="P1135" s="6">
        <v>0</v>
      </c>
      <c r="Q1135" s="4" t="s">
        <v>26</v>
      </c>
      <c r="R1135" s="4">
        <v>0</v>
      </c>
      <c r="S1135" s="4" t="s">
        <v>339</v>
      </c>
      <c r="T1135" s="4" t="s">
        <v>704</v>
      </c>
      <c r="U1135" s="4">
        <v>0</v>
      </c>
      <c r="V1135" s="4">
        <v>28</v>
      </c>
      <c r="W1135" s="4">
        <v>82</v>
      </c>
    </row>
    <row r="1136" spans="1:23" ht="11.25" customHeight="1" x14ac:dyDescent="0.25">
      <c r="A1136" s="4" t="s">
        <v>28</v>
      </c>
      <c r="B1136" s="4" t="s">
        <v>33</v>
      </c>
      <c r="C1136" s="4" t="s">
        <v>34</v>
      </c>
      <c r="D1136" s="4" t="s">
        <v>47</v>
      </c>
      <c r="E1136" s="4" t="s">
        <v>25</v>
      </c>
      <c r="F1136" s="4" t="s">
        <v>25</v>
      </c>
      <c r="G1136" s="4" t="s">
        <v>25</v>
      </c>
      <c r="H1136" s="4" t="s">
        <v>36</v>
      </c>
      <c r="I1136" s="5">
        <v>43862</v>
      </c>
      <c r="J1136" s="6">
        <v>0</v>
      </c>
      <c r="K1136" s="6">
        <v>0</v>
      </c>
      <c r="L1136" s="6">
        <v>39.936999999999998</v>
      </c>
      <c r="M1136" s="6">
        <v>36.742040000000003</v>
      </c>
      <c r="N1136" s="6">
        <v>39.936999999999998</v>
      </c>
      <c r="O1136" s="6">
        <v>36.742040000000003</v>
      </c>
      <c r="P1136" s="6">
        <v>0</v>
      </c>
      <c r="Q1136" s="4" t="s">
        <v>26</v>
      </c>
      <c r="R1136" s="4">
        <v>0</v>
      </c>
      <c r="S1136" s="4" t="s">
        <v>339</v>
      </c>
      <c r="T1136" s="4" t="s">
        <v>704</v>
      </c>
      <c r="U1136" s="4">
        <v>0</v>
      </c>
      <c r="V1136" s="4">
        <v>28</v>
      </c>
      <c r="W1136" s="4">
        <v>82</v>
      </c>
    </row>
    <row r="1137" spans="1:23" ht="11.25" customHeight="1" x14ac:dyDescent="0.25">
      <c r="A1137" s="4" t="s">
        <v>21</v>
      </c>
      <c r="B1137" s="4" t="s">
        <v>33</v>
      </c>
      <c r="C1137" s="4" t="s">
        <v>34</v>
      </c>
      <c r="D1137" s="4" t="s">
        <v>47</v>
      </c>
      <c r="E1137" s="4" t="s">
        <v>25</v>
      </c>
      <c r="F1137" s="4" t="s">
        <v>25</v>
      </c>
      <c r="G1137" s="4" t="s">
        <v>25</v>
      </c>
      <c r="H1137" s="4" t="s">
        <v>36</v>
      </c>
      <c r="I1137" s="5">
        <v>43891</v>
      </c>
      <c r="J1137" s="6">
        <v>0</v>
      </c>
      <c r="K1137" s="6">
        <v>0</v>
      </c>
      <c r="L1137" s="6">
        <v>2112.779</v>
      </c>
      <c r="M1137" s="6">
        <v>1943.7566800000002</v>
      </c>
      <c r="N1137" s="6">
        <v>2112.779</v>
      </c>
      <c r="O1137" s="6">
        <v>1943.7566800000002</v>
      </c>
      <c r="P1137" s="6">
        <v>0</v>
      </c>
      <c r="Q1137" s="4" t="s">
        <v>26</v>
      </c>
      <c r="R1137" s="4">
        <v>0</v>
      </c>
      <c r="S1137" s="4" t="s">
        <v>340</v>
      </c>
      <c r="T1137" s="4" t="s">
        <v>705</v>
      </c>
      <c r="U1137" s="4">
        <v>0</v>
      </c>
      <c r="V1137" s="4">
        <v>28</v>
      </c>
      <c r="W1137" s="4">
        <v>82</v>
      </c>
    </row>
    <row r="1138" spans="1:23" ht="11.25" customHeight="1" x14ac:dyDescent="0.25">
      <c r="A1138" s="4" t="s">
        <v>27</v>
      </c>
      <c r="B1138" s="4" t="s">
        <v>33</v>
      </c>
      <c r="C1138" s="4" t="s">
        <v>34</v>
      </c>
      <c r="D1138" s="4" t="s">
        <v>47</v>
      </c>
      <c r="E1138" s="4" t="s">
        <v>25</v>
      </c>
      <c r="F1138" s="4" t="s">
        <v>25</v>
      </c>
      <c r="G1138" s="4" t="s">
        <v>25</v>
      </c>
      <c r="H1138" s="4" t="s">
        <v>36</v>
      </c>
      <c r="I1138" s="5">
        <v>43891</v>
      </c>
      <c r="J1138" s="6">
        <v>0</v>
      </c>
      <c r="K1138" s="6">
        <v>0</v>
      </c>
      <c r="L1138" s="6">
        <v>16.46</v>
      </c>
      <c r="M1138" s="6">
        <v>15.143200000000002</v>
      </c>
      <c r="N1138" s="6">
        <v>16.46</v>
      </c>
      <c r="O1138" s="6">
        <v>15.143200000000002</v>
      </c>
      <c r="P1138" s="6">
        <v>0</v>
      </c>
      <c r="Q1138" s="4" t="s">
        <v>26</v>
      </c>
      <c r="R1138" s="4">
        <v>0</v>
      </c>
      <c r="S1138" s="4" t="s">
        <v>340</v>
      </c>
      <c r="T1138" s="4" t="s">
        <v>705</v>
      </c>
      <c r="U1138" s="4">
        <v>0</v>
      </c>
      <c r="V1138" s="4">
        <v>28</v>
      </c>
      <c r="W1138" s="4">
        <v>82</v>
      </c>
    </row>
    <row r="1139" spans="1:23" ht="11.25" customHeight="1" x14ac:dyDescent="0.25">
      <c r="A1139" s="4" t="s">
        <v>28</v>
      </c>
      <c r="B1139" s="4" t="s">
        <v>33</v>
      </c>
      <c r="C1139" s="4" t="s">
        <v>34</v>
      </c>
      <c r="D1139" s="4" t="s">
        <v>47</v>
      </c>
      <c r="E1139" s="4" t="s">
        <v>25</v>
      </c>
      <c r="F1139" s="4" t="s">
        <v>25</v>
      </c>
      <c r="G1139" s="4" t="s">
        <v>25</v>
      </c>
      <c r="H1139" s="4" t="s">
        <v>36</v>
      </c>
      <c r="I1139" s="5">
        <v>43891</v>
      </c>
      <c r="J1139" s="6">
        <v>0</v>
      </c>
      <c r="K1139" s="6">
        <v>0</v>
      </c>
      <c r="L1139" s="6">
        <v>54.99</v>
      </c>
      <c r="M1139" s="6">
        <v>50.590800000000002</v>
      </c>
      <c r="N1139" s="6">
        <v>54.99</v>
      </c>
      <c r="O1139" s="6">
        <v>50.590800000000002</v>
      </c>
      <c r="P1139" s="6">
        <v>0</v>
      </c>
      <c r="Q1139" s="4" t="s">
        <v>26</v>
      </c>
      <c r="R1139" s="4">
        <v>0</v>
      </c>
      <c r="S1139" s="4" t="s">
        <v>340</v>
      </c>
      <c r="T1139" s="4" t="s">
        <v>705</v>
      </c>
      <c r="U1139" s="4">
        <v>0</v>
      </c>
      <c r="V1139" s="4">
        <v>28</v>
      </c>
      <c r="W1139" s="4">
        <v>82</v>
      </c>
    </row>
    <row r="1140" spans="1:23" ht="11.25" customHeight="1" x14ac:dyDescent="0.25">
      <c r="A1140" s="4" t="s">
        <v>21</v>
      </c>
      <c r="B1140" s="4" t="s">
        <v>33</v>
      </c>
      <c r="C1140" s="4" t="s">
        <v>34</v>
      </c>
      <c r="D1140" s="4" t="s">
        <v>47</v>
      </c>
      <c r="E1140" s="4" t="s">
        <v>25</v>
      </c>
      <c r="F1140" s="4" t="s">
        <v>25</v>
      </c>
      <c r="G1140" s="4" t="s">
        <v>25</v>
      </c>
      <c r="H1140" s="4" t="s">
        <v>36</v>
      </c>
      <c r="I1140" s="5">
        <v>43922</v>
      </c>
      <c r="J1140" s="6">
        <v>0</v>
      </c>
      <c r="K1140" s="6">
        <v>0</v>
      </c>
      <c r="L1140" s="6">
        <v>2340.3690000000001</v>
      </c>
      <c r="M1140" s="6">
        <v>2153.1394800000003</v>
      </c>
      <c r="N1140" s="6">
        <v>2340.3690000000001</v>
      </c>
      <c r="O1140" s="6">
        <v>2153.1394800000003</v>
      </c>
      <c r="P1140" s="6">
        <v>0</v>
      </c>
      <c r="Q1140" s="4" t="s">
        <v>26</v>
      </c>
      <c r="R1140" s="4">
        <v>0</v>
      </c>
      <c r="S1140" s="4" t="s">
        <v>341</v>
      </c>
      <c r="T1140" s="4" t="s">
        <v>706</v>
      </c>
      <c r="U1140" s="4">
        <v>0</v>
      </c>
      <c r="V1140" s="4">
        <v>28</v>
      </c>
      <c r="W1140" s="4">
        <v>82</v>
      </c>
    </row>
    <row r="1141" spans="1:23" ht="11.25" customHeight="1" x14ac:dyDescent="0.25">
      <c r="A1141" s="4" t="s">
        <v>27</v>
      </c>
      <c r="B1141" s="4" t="s">
        <v>33</v>
      </c>
      <c r="C1141" s="4" t="s">
        <v>34</v>
      </c>
      <c r="D1141" s="4" t="s">
        <v>47</v>
      </c>
      <c r="E1141" s="4" t="s">
        <v>25</v>
      </c>
      <c r="F1141" s="4" t="s">
        <v>25</v>
      </c>
      <c r="G1141" s="4" t="s">
        <v>25</v>
      </c>
      <c r="H1141" s="4" t="s">
        <v>36</v>
      </c>
      <c r="I1141" s="5">
        <v>43922</v>
      </c>
      <c r="J1141" s="6">
        <v>0</v>
      </c>
      <c r="K1141" s="6">
        <v>0</v>
      </c>
      <c r="L1141" s="6">
        <v>35.110999999999997</v>
      </c>
      <c r="M1141" s="6">
        <v>32.302120000000002</v>
      </c>
      <c r="N1141" s="6">
        <v>35.110999999999997</v>
      </c>
      <c r="O1141" s="6">
        <v>32.302120000000002</v>
      </c>
      <c r="P1141" s="6">
        <v>0</v>
      </c>
      <c r="Q1141" s="4" t="s">
        <v>26</v>
      </c>
      <c r="R1141" s="4">
        <v>0</v>
      </c>
      <c r="S1141" s="4" t="s">
        <v>341</v>
      </c>
      <c r="T1141" s="4" t="s">
        <v>706</v>
      </c>
      <c r="U1141" s="4">
        <v>0</v>
      </c>
      <c r="V1141" s="4">
        <v>28</v>
      </c>
      <c r="W1141" s="4">
        <v>82</v>
      </c>
    </row>
    <row r="1142" spans="1:23" ht="11.25" customHeight="1" x14ac:dyDescent="0.25">
      <c r="A1142" s="4" t="s">
        <v>28</v>
      </c>
      <c r="B1142" s="4" t="s">
        <v>33</v>
      </c>
      <c r="C1142" s="4" t="s">
        <v>34</v>
      </c>
      <c r="D1142" s="4" t="s">
        <v>47</v>
      </c>
      <c r="E1142" s="4" t="s">
        <v>25</v>
      </c>
      <c r="F1142" s="4" t="s">
        <v>25</v>
      </c>
      <c r="G1142" s="4" t="s">
        <v>25</v>
      </c>
      <c r="H1142" s="4" t="s">
        <v>36</v>
      </c>
      <c r="I1142" s="5">
        <v>43922</v>
      </c>
      <c r="J1142" s="6">
        <v>0</v>
      </c>
      <c r="K1142" s="6">
        <v>0</v>
      </c>
      <c r="L1142" s="6">
        <v>59.365000000000002</v>
      </c>
      <c r="M1142" s="6">
        <v>54.615800000000007</v>
      </c>
      <c r="N1142" s="6">
        <v>59.365000000000002</v>
      </c>
      <c r="O1142" s="6">
        <v>54.615800000000007</v>
      </c>
      <c r="P1142" s="6">
        <v>0</v>
      </c>
      <c r="Q1142" s="4" t="s">
        <v>26</v>
      </c>
      <c r="R1142" s="4">
        <v>0</v>
      </c>
      <c r="S1142" s="4" t="s">
        <v>341</v>
      </c>
      <c r="T1142" s="4" t="s">
        <v>706</v>
      </c>
      <c r="U1142" s="4">
        <v>0</v>
      </c>
      <c r="V1142" s="4">
        <v>28</v>
      </c>
      <c r="W1142" s="4">
        <v>82</v>
      </c>
    </row>
    <row r="1143" spans="1:23" ht="11.25" customHeight="1" x14ac:dyDescent="0.25">
      <c r="A1143" s="4" t="s">
        <v>21</v>
      </c>
      <c r="B1143" s="4" t="s">
        <v>33</v>
      </c>
      <c r="C1143" s="4" t="s">
        <v>34</v>
      </c>
      <c r="D1143" s="4" t="s">
        <v>47</v>
      </c>
      <c r="E1143" s="4" t="s">
        <v>25</v>
      </c>
      <c r="F1143" s="4" t="s">
        <v>25</v>
      </c>
      <c r="G1143" s="4" t="s">
        <v>25</v>
      </c>
      <c r="H1143" s="4" t="s">
        <v>36</v>
      </c>
      <c r="I1143" s="5">
        <v>43952</v>
      </c>
      <c r="J1143" s="6">
        <v>0</v>
      </c>
      <c r="K1143" s="6">
        <v>0</v>
      </c>
      <c r="L1143" s="6">
        <v>1884.789</v>
      </c>
      <c r="M1143" s="6">
        <v>1734.0058800000002</v>
      </c>
      <c r="N1143" s="6">
        <v>1884.789</v>
      </c>
      <c r="O1143" s="6">
        <v>1734.0058800000002</v>
      </c>
      <c r="P1143" s="6">
        <v>0</v>
      </c>
      <c r="Q1143" s="4" t="s">
        <v>26</v>
      </c>
      <c r="R1143" s="4">
        <v>0</v>
      </c>
      <c r="S1143" s="4" t="s">
        <v>342</v>
      </c>
      <c r="T1143" s="4" t="s">
        <v>707</v>
      </c>
      <c r="U1143" s="4">
        <v>0</v>
      </c>
      <c r="V1143" s="4">
        <v>28</v>
      </c>
      <c r="W1143" s="4">
        <v>82</v>
      </c>
    </row>
    <row r="1144" spans="1:23" ht="11.25" customHeight="1" x14ac:dyDescent="0.25">
      <c r="A1144" s="4" t="s">
        <v>27</v>
      </c>
      <c r="B1144" s="4" t="s">
        <v>33</v>
      </c>
      <c r="C1144" s="4" t="s">
        <v>34</v>
      </c>
      <c r="D1144" s="4" t="s">
        <v>47</v>
      </c>
      <c r="E1144" s="4" t="s">
        <v>25</v>
      </c>
      <c r="F1144" s="4" t="s">
        <v>25</v>
      </c>
      <c r="G1144" s="4" t="s">
        <v>25</v>
      </c>
      <c r="H1144" s="4" t="s">
        <v>36</v>
      </c>
      <c r="I1144" s="5">
        <v>43952</v>
      </c>
      <c r="J1144" s="6">
        <v>0</v>
      </c>
      <c r="K1144" s="6">
        <v>0</v>
      </c>
      <c r="L1144" s="6">
        <v>27.236000000000001</v>
      </c>
      <c r="M1144" s="6">
        <v>25.057120000000001</v>
      </c>
      <c r="N1144" s="6">
        <v>27.236000000000001</v>
      </c>
      <c r="O1144" s="6">
        <v>25.057120000000001</v>
      </c>
      <c r="P1144" s="6">
        <v>0</v>
      </c>
      <c r="Q1144" s="4" t="s">
        <v>26</v>
      </c>
      <c r="R1144" s="4">
        <v>0</v>
      </c>
      <c r="S1144" s="4" t="s">
        <v>342</v>
      </c>
      <c r="T1144" s="4" t="s">
        <v>707</v>
      </c>
      <c r="U1144" s="4">
        <v>0</v>
      </c>
      <c r="V1144" s="4">
        <v>28</v>
      </c>
      <c r="W1144" s="4">
        <v>82</v>
      </c>
    </row>
    <row r="1145" spans="1:23" ht="11.25" customHeight="1" x14ac:dyDescent="0.25">
      <c r="A1145" s="4" t="s">
        <v>28</v>
      </c>
      <c r="B1145" s="4" t="s">
        <v>33</v>
      </c>
      <c r="C1145" s="4" t="s">
        <v>34</v>
      </c>
      <c r="D1145" s="4" t="s">
        <v>47</v>
      </c>
      <c r="E1145" s="4" t="s">
        <v>25</v>
      </c>
      <c r="F1145" s="4" t="s">
        <v>25</v>
      </c>
      <c r="G1145" s="4" t="s">
        <v>25</v>
      </c>
      <c r="H1145" s="4" t="s">
        <v>36</v>
      </c>
      <c r="I1145" s="5">
        <v>43952</v>
      </c>
      <c r="J1145" s="6">
        <v>0</v>
      </c>
      <c r="K1145" s="6">
        <v>0</v>
      </c>
      <c r="L1145" s="6">
        <v>81.884</v>
      </c>
      <c r="M1145" s="6">
        <v>75.333280000000002</v>
      </c>
      <c r="N1145" s="6">
        <v>81.884</v>
      </c>
      <c r="O1145" s="6">
        <v>75.333280000000002</v>
      </c>
      <c r="P1145" s="6">
        <v>0</v>
      </c>
      <c r="Q1145" s="4" t="s">
        <v>26</v>
      </c>
      <c r="R1145" s="4">
        <v>0</v>
      </c>
      <c r="S1145" s="4" t="s">
        <v>342</v>
      </c>
      <c r="T1145" s="4" t="s">
        <v>707</v>
      </c>
      <c r="U1145" s="4">
        <v>0</v>
      </c>
      <c r="V1145" s="4">
        <v>28</v>
      </c>
      <c r="W1145" s="4">
        <v>82</v>
      </c>
    </row>
    <row r="1146" spans="1:23" ht="11.25" customHeight="1" x14ac:dyDescent="0.25">
      <c r="A1146" s="4" t="s">
        <v>21</v>
      </c>
      <c r="B1146" s="4" t="s">
        <v>33</v>
      </c>
      <c r="C1146" s="4" t="s">
        <v>34</v>
      </c>
      <c r="D1146" s="4" t="s">
        <v>47</v>
      </c>
      <c r="E1146" s="4" t="s">
        <v>25</v>
      </c>
      <c r="F1146" s="4" t="s">
        <v>25</v>
      </c>
      <c r="G1146" s="4" t="s">
        <v>25</v>
      </c>
      <c r="H1146" s="4" t="s">
        <v>36</v>
      </c>
      <c r="I1146" s="5">
        <v>43983</v>
      </c>
      <c r="J1146" s="6">
        <v>0</v>
      </c>
      <c r="K1146" s="6">
        <v>0</v>
      </c>
      <c r="L1146" s="6">
        <v>1796.68</v>
      </c>
      <c r="M1146" s="6">
        <v>1652.9456000000002</v>
      </c>
      <c r="N1146" s="6">
        <v>1796.68</v>
      </c>
      <c r="O1146" s="6">
        <v>1652.9456000000002</v>
      </c>
      <c r="P1146" s="6">
        <v>0</v>
      </c>
      <c r="Q1146" s="4" t="s">
        <v>26</v>
      </c>
      <c r="R1146" s="4">
        <v>0</v>
      </c>
      <c r="S1146" s="4" t="s">
        <v>343</v>
      </c>
      <c r="T1146" s="4" t="s">
        <v>708</v>
      </c>
      <c r="U1146" s="4">
        <v>0</v>
      </c>
      <c r="V1146" s="4">
        <v>28</v>
      </c>
      <c r="W1146" s="4">
        <v>82</v>
      </c>
    </row>
    <row r="1147" spans="1:23" ht="11.25" customHeight="1" x14ac:dyDescent="0.25">
      <c r="A1147" s="4" t="s">
        <v>27</v>
      </c>
      <c r="B1147" s="4" t="s">
        <v>33</v>
      </c>
      <c r="C1147" s="4" t="s">
        <v>34</v>
      </c>
      <c r="D1147" s="4" t="s">
        <v>47</v>
      </c>
      <c r="E1147" s="4" t="s">
        <v>25</v>
      </c>
      <c r="F1147" s="4" t="s">
        <v>25</v>
      </c>
      <c r="G1147" s="4" t="s">
        <v>25</v>
      </c>
      <c r="H1147" s="4" t="s">
        <v>36</v>
      </c>
      <c r="I1147" s="5">
        <v>43983</v>
      </c>
      <c r="J1147" s="6">
        <v>0</v>
      </c>
      <c r="K1147" s="6">
        <v>0</v>
      </c>
      <c r="L1147" s="6">
        <v>25.707999999999998</v>
      </c>
      <c r="M1147" s="6">
        <v>23.65136</v>
      </c>
      <c r="N1147" s="6">
        <v>25.707999999999998</v>
      </c>
      <c r="O1147" s="6">
        <v>23.65136</v>
      </c>
      <c r="P1147" s="6">
        <v>0</v>
      </c>
      <c r="Q1147" s="4" t="s">
        <v>26</v>
      </c>
      <c r="R1147" s="4">
        <v>0</v>
      </c>
      <c r="S1147" s="4" t="s">
        <v>343</v>
      </c>
      <c r="T1147" s="4" t="s">
        <v>708</v>
      </c>
      <c r="U1147" s="4">
        <v>0</v>
      </c>
      <c r="V1147" s="4">
        <v>28</v>
      </c>
      <c r="W1147" s="4">
        <v>82</v>
      </c>
    </row>
    <row r="1148" spans="1:23" ht="11.25" customHeight="1" x14ac:dyDescent="0.25">
      <c r="A1148" s="4" t="s">
        <v>28</v>
      </c>
      <c r="B1148" s="4" t="s">
        <v>33</v>
      </c>
      <c r="C1148" s="4" t="s">
        <v>34</v>
      </c>
      <c r="D1148" s="4" t="s">
        <v>47</v>
      </c>
      <c r="E1148" s="4" t="s">
        <v>25</v>
      </c>
      <c r="F1148" s="4" t="s">
        <v>25</v>
      </c>
      <c r="G1148" s="4" t="s">
        <v>25</v>
      </c>
      <c r="H1148" s="4" t="s">
        <v>36</v>
      </c>
      <c r="I1148" s="5">
        <v>43983</v>
      </c>
      <c r="J1148" s="6">
        <v>0</v>
      </c>
      <c r="K1148" s="6">
        <v>0</v>
      </c>
      <c r="L1148" s="6">
        <v>62.497999999999998</v>
      </c>
      <c r="M1148" s="6">
        <v>57.498159999999999</v>
      </c>
      <c r="N1148" s="6">
        <v>62.497999999999998</v>
      </c>
      <c r="O1148" s="6">
        <v>57.498159999999999</v>
      </c>
      <c r="P1148" s="6">
        <v>0</v>
      </c>
      <c r="Q1148" s="4" t="s">
        <v>26</v>
      </c>
      <c r="R1148" s="4">
        <v>0</v>
      </c>
      <c r="S1148" s="4" t="s">
        <v>343</v>
      </c>
      <c r="T1148" s="4" t="s">
        <v>708</v>
      </c>
      <c r="U1148" s="4">
        <v>0</v>
      </c>
      <c r="V1148" s="4">
        <v>28</v>
      </c>
      <c r="W1148" s="4">
        <v>82</v>
      </c>
    </row>
    <row r="1149" spans="1:23" ht="11.25" customHeight="1" x14ac:dyDescent="0.25">
      <c r="A1149" s="4" t="s">
        <v>21</v>
      </c>
      <c r="B1149" s="4" t="s">
        <v>33</v>
      </c>
      <c r="C1149" s="4" t="s">
        <v>34</v>
      </c>
      <c r="D1149" s="4" t="s">
        <v>47</v>
      </c>
      <c r="E1149" s="4" t="s">
        <v>25</v>
      </c>
      <c r="F1149" s="4" t="s">
        <v>25</v>
      </c>
      <c r="G1149" s="4" t="s">
        <v>25</v>
      </c>
      <c r="H1149" s="4" t="s">
        <v>36</v>
      </c>
      <c r="I1149" s="5">
        <v>44013</v>
      </c>
      <c r="J1149" s="6">
        <v>0</v>
      </c>
      <c r="K1149" s="6">
        <v>0</v>
      </c>
      <c r="L1149" s="6">
        <v>1713.537</v>
      </c>
      <c r="M1149" s="6">
        <v>1576.4540400000001</v>
      </c>
      <c r="N1149" s="6">
        <v>1713.537</v>
      </c>
      <c r="O1149" s="6">
        <v>1576.4540400000001</v>
      </c>
      <c r="P1149" s="6">
        <v>0</v>
      </c>
      <c r="Q1149" s="4" t="s">
        <v>26</v>
      </c>
      <c r="R1149" s="4">
        <v>0</v>
      </c>
      <c r="S1149" s="4" t="s">
        <v>344</v>
      </c>
      <c r="T1149" s="4" t="s">
        <v>709</v>
      </c>
      <c r="U1149" s="4">
        <v>0</v>
      </c>
      <c r="V1149" s="4">
        <v>28</v>
      </c>
      <c r="W1149" s="4">
        <v>82</v>
      </c>
    </row>
    <row r="1150" spans="1:23" ht="11.25" customHeight="1" x14ac:dyDescent="0.25">
      <c r="A1150" s="4" t="s">
        <v>27</v>
      </c>
      <c r="B1150" s="4" t="s">
        <v>33</v>
      </c>
      <c r="C1150" s="4" t="s">
        <v>34</v>
      </c>
      <c r="D1150" s="4" t="s">
        <v>47</v>
      </c>
      <c r="E1150" s="4" t="s">
        <v>25</v>
      </c>
      <c r="F1150" s="4" t="s">
        <v>25</v>
      </c>
      <c r="G1150" s="4" t="s">
        <v>25</v>
      </c>
      <c r="H1150" s="4" t="s">
        <v>36</v>
      </c>
      <c r="I1150" s="5">
        <v>44013</v>
      </c>
      <c r="J1150" s="6">
        <v>0</v>
      </c>
      <c r="K1150" s="6">
        <v>0</v>
      </c>
      <c r="L1150" s="6">
        <v>47.707999999999998</v>
      </c>
      <c r="M1150" s="6">
        <v>43.891359999999999</v>
      </c>
      <c r="N1150" s="6">
        <v>47.707999999999998</v>
      </c>
      <c r="O1150" s="6">
        <v>43.891359999999999</v>
      </c>
      <c r="P1150" s="6">
        <v>0</v>
      </c>
      <c r="Q1150" s="4" t="s">
        <v>26</v>
      </c>
      <c r="R1150" s="4">
        <v>0</v>
      </c>
      <c r="S1150" s="4" t="s">
        <v>344</v>
      </c>
      <c r="T1150" s="4" t="s">
        <v>709</v>
      </c>
      <c r="U1150" s="4">
        <v>0</v>
      </c>
      <c r="V1150" s="4">
        <v>28</v>
      </c>
      <c r="W1150" s="4">
        <v>82</v>
      </c>
    </row>
    <row r="1151" spans="1:23" ht="11.25" customHeight="1" x14ac:dyDescent="0.25">
      <c r="A1151" s="4" t="s">
        <v>28</v>
      </c>
      <c r="B1151" s="4" t="s">
        <v>33</v>
      </c>
      <c r="C1151" s="4" t="s">
        <v>34</v>
      </c>
      <c r="D1151" s="4" t="s">
        <v>47</v>
      </c>
      <c r="E1151" s="4" t="s">
        <v>25</v>
      </c>
      <c r="F1151" s="4" t="s">
        <v>25</v>
      </c>
      <c r="G1151" s="4" t="s">
        <v>25</v>
      </c>
      <c r="H1151" s="4" t="s">
        <v>36</v>
      </c>
      <c r="I1151" s="5">
        <v>44013</v>
      </c>
      <c r="J1151" s="6">
        <v>0</v>
      </c>
      <c r="K1151" s="6">
        <v>0</v>
      </c>
      <c r="L1151" s="6">
        <v>226.25800000000001</v>
      </c>
      <c r="M1151" s="6">
        <v>208.15736000000001</v>
      </c>
      <c r="N1151" s="6">
        <v>226.25800000000001</v>
      </c>
      <c r="O1151" s="6">
        <v>208.15736000000001</v>
      </c>
      <c r="P1151" s="6">
        <v>0</v>
      </c>
      <c r="Q1151" s="4" t="s">
        <v>26</v>
      </c>
      <c r="R1151" s="4">
        <v>0</v>
      </c>
      <c r="S1151" s="4" t="s">
        <v>344</v>
      </c>
      <c r="T1151" s="4" t="s">
        <v>709</v>
      </c>
      <c r="U1151" s="4">
        <v>0</v>
      </c>
      <c r="V1151" s="4">
        <v>28</v>
      </c>
      <c r="W1151" s="4">
        <v>82</v>
      </c>
    </row>
    <row r="1152" spans="1:23" ht="11.25" customHeight="1" x14ac:dyDescent="0.25">
      <c r="A1152" s="4" t="s">
        <v>21</v>
      </c>
      <c r="B1152" s="4" t="s">
        <v>33</v>
      </c>
      <c r="C1152" s="4" t="s">
        <v>34</v>
      </c>
      <c r="D1152" s="4" t="s">
        <v>47</v>
      </c>
      <c r="E1152" s="4" t="s">
        <v>25</v>
      </c>
      <c r="F1152" s="4" t="s">
        <v>25</v>
      </c>
      <c r="G1152" s="4" t="s">
        <v>25</v>
      </c>
      <c r="H1152" s="4" t="s">
        <v>36</v>
      </c>
      <c r="I1152" s="5">
        <v>44044</v>
      </c>
      <c r="J1152" s="6">
        <v>0</v>
      </c>
      <c r="K1152" s="6">
        <v>0</v>
      </c>
      <c r="L1152" s="6">
        <v>1814.5129999999999</v>
      </c>
      <c r="M1152" s="6">
        <v>1669.35196</v>
      </c>
      <c r="N1152" s="6">
        <v>1814.5129999999999</v>
      </c>
      <c r="O1152" s="6">
        <v>1669.35196</v>
      </c>
      <c r="P1152" s="6">
        <v>0</v>
      </c>
      <c r="Q1152" s="4" t="s">
        <v>26</v>
      </c>
      <c r="R1152" s="4">
        <v>0</v>
      </c>
      <c r="S1152" s="4" t="s">
        <v>345</v>
      </c>
      <c r="T1152" s="4" t="s">
        <v>710</v>
      </c>
      <c r="U1152" s="4">
        <v>0</v>
      </c>
      <c r="V1152" s="4">
        <v>28</v>
      </c>
      <c r="W1152" s="4">
        <v>82</v>
      </c>
    </row>
    <row r="1153" spans="1:23" ht="11.25" customHeight="1" x14ac:dyDescent="0.25">
      <c r="A1153" s="4" t="s">
        <v>27</v>
      </c>
      <c r="B1153" s="4" t="s">
        <v>33</v>
      </c>
      <c r="C1153" s="4" t="s">
        <v>34</v>
      </c>
      <c r="D1153" s="4" t="s">
        <v>47</v>
      </c>
      <c r="E1153" s="4" t="s">
        <v>25</v>
      </c>
      <c r="F1153" s="4" t="s">
        <v>25</v>
      </c>
      <c r="G1153" s="4" t="s">
        <v>25</v>
      </c>
      <c r="H1153" s="4" t="s">
        <v>36</v>
      </c>
      <c r="I1153" s="5">
        <v>44044</v>
      </c>
      <c r="J1153" s="6">
        <v>0</v>
      </c>
      <c r="K1153" s="6">
        <v>0</v>
      </c>
      <c r="L1153" s="6">
        <v>48.156999999999996</v>
      </c>
      <c r="M1153" s="6">
        <v>44.30444</v>
      </c>
      <c r="N1153" s="6">
        <v>48.156999999999996</v>
      </c>
      <c r="O1153" s="6">
        <v>44.30444</v>
      </c>
      <c r="P1153" s="6">
        <v>0</v>
      </c>
      <c r="Q1153" s="4" t="s">
        <v>26</v>
      </c>
      <c r="R1153" s="4">
        <v>0</v>
      </c>
      <c r="S1153" s="4" t="s">
        <v>345</v>
      </c>
      <c r="T1153" s="4" t="s">
        <v>710</v>
      </c>
      <c r="U1153" s="4">
        <v>0</v>
      </c>
      <c r="V1153" s="4">
        <v>28</v>
      </c>
      <c r="W1153" s="4">
        <v>82</v>
      </c>
    </row>
    <row r="1154" spans="1:23" ht="11.25" customHeight="1" x14ac:dyDescent="0.25">
      <c r="A1154" s="4" t="s">
        <v>28</v>
      </c>
      <c r="B1154" s="4" t="s">
        <v>33</v>
      </c>
      <c r="C1154" s="4" t="s">
        <v>34</v>
      </c>
      <c r="D1154" s="4" t="s">
        <v>47</v>
      </c>
      <c r="E1154" s="4" t="s">
        <v>25</v>
      </c>
      <c r="F1154" s="4" t="s">
        <v>25</v>
      </c>
      <c r="G1154" s="4" t="s">
        <v>25</v>
      </c>
      <c r="H1154" s="4" t="s">
        <v>36</v>
      </c>
      <c r="I1154" s="5">
        <v>44044</v>
      </c>
      <c r="J1154" s="6">
        <v>0</v>
      </c>
      <c r="K1154" s="6">
        <v>0</v>
      </c>
      <c r="L1154" s="6">
        <v>251.316</v>
      </c>
      <c r="M1154" s="6">
        <v>231.21072000000001</v>
      </c>
      <c r="N1154" s="6">
        <v>251.316</v>
      </c>
      <c r="O1154" s="6">
        <v>231.21072000000001</v>
      </c>
      <c r="P1154" s="6">
        <v>0</v>
      </c>
      <c r="Q1154" s="4" t="s">
        <v>26</v>
      </c>
      <c r="R1154" s="4">
        <v>0</v>
      </c>
      <c r="S1154" s="4" t="s">
        <v>345</v>
      </c>
      <c r="T1154" s="4" t="s">
        <v>710</v>
      </c>
      <c r="U1154" s="4">
        <v>0</v>
      </c>
      <c r="V1154" s="4">
        <v>28</v>
      </c>
      <c r="W1154" s="4">
        <v>82</v>
      </c>
    </row>
    <row r="1155" spans="1:23" ht="11.25" customHeight="1" x14ac:dyDescent="0.25">
      <c r="A1155" s="4" t="s">
        <v>59</v>
      </c>
      <c r="B1155" s="4" t="s">
        <v>33</v>
      </c>
      <c r="C1155" s="4" t="s">
        <v>34</v>
      </c>
      <c r="D1155" s="4" t="s">
        <v>47</v>
      </c>
      <c r="E1155" s="4" t="s">
        <v>25</v>
      </c>
      <c r="F1155" s="4" t="s">
        <v>25</v>
      </c>
      <c r="G1155" s="4" t="s">
        <v>25</v>
      </c>
      <c r="H1155" s="4" t="s">
        <v>36</v>
      </c>
      <c r="I1155" s="5">
        <v>44075</v>
      </c>
      <c r="J1155" s="6">
        <v>0</v>
      </c>
      <c r="K1155" s="6">
        <v>0</v>
      </c>
      <c r="L1155" s="6">
        <v>1814.5129999999999</v>
      </c>
      <c r="M1155" s="6">
        <v>1669.35196</v>
      </c>
      <c r="N1155" s="6">
        <v>1814.5129999999999</v>
      </c>
      <c r="O1155" s="6">
        <v>1669.35196</v>
      </c>
      <c r="P1155" s="6">
        <v>0</v>
      </c>
      <c r="Q1155" s="4" t="s">
        <v>26</v>
      </c>
      <c r="R1155" s="4">
        <v>0</v>
      </c>
      <c r="S1155" s="4" t="s">
        <v>346</v>
      </c>
      <c r="T1155" s="4" t="s">
        <v>711</v>
      </c>
      <c r="U1155" s="4">
        <v>0</v>
      </c>
      <c r="V1155" s="4">
        <v>28</v>
      </c>
      <c r="W1155" s="4">
        <v>82</v>
      </c>
    </row>
    <row r="1156" spans="1:23" ht="11.25" customHeight="1" x14ac:dyDescent="0.25">
      <c r="A1156" s="4" t="s">
        <v>59</v>
      </c>
      <c r="B1156" s="4" t="s">
        <v>33</v>
      </c>
      <c r="C1156" s="4" t="s">
        <v>34</v>
      </c>
      <c r="D1156" s="4" t="s">
        <v>47</v>
      </c>
      <c r="E1156" s="4" t="s">
        <v>25</v>
      </c>
      <c r="F1156" s="4" t="s">
        <v>25</v>
      </c>
      <c r="G1156" s="4" t="s">
        <v>25</v>
      </c>
      <c r="H1156" s="4" t="s">
        <v>36</v>
      </c>
      <c r="I1156" s="5">
        <v>44075</v>
      </c>
      <c r="J1156" s="6">
        <v>0</v>
      </c>
      <c r="K1156" s="6">
        <v>0</v>
      </c>
      <c r="L1156" s="6">
        <v>48.156999999999996</v>
      </c>
      <c r="M1156" s="6">
        <v>44.30444</v>
      </c>
      <c r="N1156" s="6">
        <v>48.156999999999996</v>
      </c>
      <c r="O1156" s="6">
        <v>44.30444</v>
      </c>
      <c r="P1156" s="6">
        <v>0</v>
      </c>
      <c r="Q1156" s="4" t="s">
        <v>26</v>
      </c>
      <c r="R1156" s="4">
        <v>0</v>
      </c>
      <c r="S1156" s="4" t="s">
        <v>346</v>
      </c>
      <c r="T1156" s="4" t="s">
        <v>711</v>
      </c>
      <c r="U1156" s="4">
        <v>0</v>
      </c>
      <c r="V1156" s="4">
        <v>28</v>
      </c>
      <c r="W1156" s="4">
        <v>82</v>
      </c>
    </row>
    <row r="1157" spans="1:23" ht="11.25" customHeight="1" x14ac:dyDescent="0.25">
      <c r="A1157" s="4" t="s">
        <v>59</v>
      </c>
      <c r="B1157" s="4" t="s">
        <v>33</v>
      </c>
      <c r="C1157" s="4" t="s">
        <v>34</v>
      </c>
      <c r="D1157" s="4" t="s">
        <v>47</v>
      </c>
      <c r="E1157" s="4" t="s">
        <v>25</v>
      </c>
      <c r="F1157" s="4" t="s">
        <v>25</v>
      </c>
      <c r="G1157" s="4" t="s">
        <v>25</v>
      </c>
      <c r="H1157" s="4" t="s">
        <v>36</v>
      </c>
      <c r="I1157" s="5">
        <v>44075</v>
      </c>
      <c r="J1157" s="6">
        <v>0</v>
      </c>
      <c r="K1157" s="6">
        <v>0</v>
      </c>
      <c r="L1157" s="6">
        <v>251.316</v>
      </c>
      <c r="M1157" s="6">
        <v>231.21072000000001</v>
      </c>
      <c r="N1157" s="6">
        <v>251.316</v>
      </c>
      <c r="O1157" s="6">
        <v>231.21072000000001</v>
      </c>
      <c r="P1157" s="6">
        <v>0</v>
      </c>
      <c r="Q1157" s="4" t="s">
        <v>26</v>
      </c>
      <c r="R1157" s="4">
        <v>0</v>
      </c>
      <c r="S1157" s="4" t="s">
        <v>346</v>
      </c>
      <c r="T1157" s="4" t="s">
        <v>711</v>
      </c>
      <c r="U1157" s="4">
        <v>0</v>
      </c>
      <c r="V1157" s="4">
        <v>28</v>
      </c>
      <c r="W1157" s="4">
        <v>82</v>
      </c>
    </row>
    <row r="1158" spans="1:23" ht="11.25" customHeight="1" x14ac:dyDescent="0.25">
      <c r="A1158" s="4" t="s">
        <v>21</v>
      </c>
      <c r="B1158" s="4" t="s">
        <v>33</v>
      </c>
      <c r="C1158" s="4" t="s">
        <v>34</v>
      </c>
      <c r="D1158" s="4" t="s">
        <v>47</v>
      </c>
      <c r="E1158" s="4" t="s">
        <v>25</v>
      </c>
      <c r="F1158" s="4" t="s">
        <v>25</v>
      </c>
      <c r="G1158" s="4" t="s">
        <v>25</v>
      </c>
      <c r="H1158" s="4" t="s">
        <v>25</v>
      </c>
      <c r="I1158" s="5">
        <v>43739</v>
      </c>
      <c r="J1158" s="6">
        <v>7088</v>
      </c>
      <c r="K1158" s="6">
        <v>6520.96</v>
      </c>
      <c r="L1158" s="6">
        <v>0</v>
      </c>
      <c r="M1158" s="6">
        <v>0</v>
      </c>
      <c r="N1158" s="6">
        <v>0</v>
      </c>
      <c r="O1158" s="6">
        <v>0</v>
      </c>
      <c r="P1158" s="6">
        <v>53</v>
      </c>
      <c r="Q1158" s="4" t="s">
        <v>26</v>
      </c>
      <c r="R1158" s="4">
        <v>0</v>
      </c>
      <c r="S1158" s="4" t="s">
        <v>347</v>
      </c>
      <c r="U1158" s="4">
        <v>26</v>
      </c>
      <c r="V1158" s="4">
        <v>0</v>
      </c>
      <c r="W1158" s="4">
        <v>0</v>
      </c>
    </row>
    <row r="1159" spans="1:23" ht="11.25" customHeight="1" x14ac:dyDescent="0.25">
      <c r="A1159" s="4" t="s">
        <v>28</v>
      </c>
      <c r="B1159" s="4" t="s">
        <v>33</v>
      </c>
      <c r="C1159" s="4" t="s">
        <v>34</v>
      </c>
      <c r="D1159" s="4" t="s">
        <v>47</v>
      </c>
      <c r="E1159" s="4" t="s">
        <v>25</v>
      </c>
      <c r="F1159" s="4" t="s">
        <v>25</v>
      </c>
      <c r="G1159" s="4" t="s">
        <v>25</v>
      </c>
      <c r="H1159" s="4" t="s">
        <v>25</v>
      </c>
      <c r="I1159" s="5">
        <v>43739</v>
      </c>
      <c r="J1159" s="6">
        <v>872</v>
      </c>
      <c r="K1159" s="6">
        <v>802.24</v>
      </c>
      <c r="L1159" s="6">
        <v>0</v>
      </c>
      <c r="M1159" s="6">
        <v>0</v>
      </c>
      <c r="N1159" s="6">
        <v>0</v>
      </c>
      <c r="O1159" s="6">
        <v>0</v>
      </c>
      <c r="P1159" s="6">
        <v>3</v>
      </c>
      <c r="Q1159" s="4" t="s">
        <v>26</v>
      </c>
      <c r="R1159" s="4">
        <v>0</v>
      </c>
      <c r="S1159" s="4" t="s">
        <v>347</v>
      </c>
      <c r="U1159" s="4">
        <v>26</v>
      </c>
      <c r="V1159" s="4">
        <v>0</v>
      </c>
      <c r="W1159" s="4">
        <v>0</v>
      </c>
    </row>
    <row r="1160" spans="1:23" ht="11.25" customHeight="1" x14ac:dyDescent="0.25">
      <c r="A1160" s="4" t="s">
        <v>21</v>
      </c>
      <c r="B1160" s="4" t="s">
        <v>33</v>
      </c>
      <c r="C1160" s="4" t="s">
        <v>34</v>
      </c>
      <c r="D1160" s="4" t="s">
        <v>47</v>
      </c>
      <c r="E1160" s="4" t="s">
        <v>25</v>
      </c>
      <c r="F1160" s="4" t="s">
        <v>25</v>
      </c>
      <c r="G1160" s="4" t="s">
        <v>25</v>
      </c>
      <c r="H1160" s="4" t="s">
        <v>25</v>
      </c>
      <c r="I1160" s="5">
        <v>43770</v>
      </c>
      <c r="J1160" s="6">
        <v>7445</v>
      </c>
      <c r="K1160" s="6">
        <v>6849.4000000000005</v>
      </c>
      <c r="L1160" s="6">
        <v>0</v>
      </c>
      <c r="M1160" s="6">
        <v>0</v>
      </c>
      <c r="N1160" s="6">
        <v>0</v>
      </c>
      <c r="O1160" s="6">
        <v>0</v>
      </c>
      <c r="P1160" s="6">
        <v>55</v>
      </c>
      <c r="Q1160" s="4" t="s">
        <v>26</v>
      </c>
      <c r="R1160" s="4">
        <v>0</v>
      </c>
      <c r="S1160" s="4" t="s">
        <v>348</v>
      </c>
      <c r="U1160" s="4">
        <v>26</v>
      </c>
      <c r="V1160" s="4">
        <v>0</v>
      </c>
      <c r="W1160" s="4">
        <v>0</v>
      </c>
    </row>
    <row r="1161" spans="1:23" ht="11.25" customHeight="1" x14ac:dyDescent="0.25">
      <c r="A1161" s="4" t="s">
        <v>28</v>
      </c>
      <c r="B1161" s="4" t="s">
        <v>33</v>
      </c>
      <c r="C1161" s="4" t="s">
        <v>34</v>
      </c>
      <c r="D1161" s="4" t="s">
        <v>47</v>
      </c>
      <c r="E1161" s="4" t="s">
        <v>25</v>
      </c>
      <c r="F1161" s="4" t="s">
        <v>25</v>
      </c>
      <c r="G1161" s="4" t="s">
        <v>25</v>
      </c>
      <c r="H1161" s="4" t="s">
        <v>25</v>
      </c>
      <c r="I1161" s="5">
        <v>43770</v>
      </c>
      <c r="J1161" s="6">
        <v>872</v>
      </c>
      <c r="K1161" s="6">
        <v>802.24</v>
      </c>
      <c r="L1161" s="6">
        <v>0</v>
      </c>
      <c r="M1161" s="6">
        <v>0</v>
      </c>
      <c r="N1161" s="6">
        <v>0</v>
      </c>
      <c r="O1161" s="6">
        <v>0</v>
      </c>
      <c r="P1161" s="6">
        <v>3</v>
      </c>
      <c r="Q1161" s="4" t="s">
        <v>26</v>
      </c>
      <c r="R1161" s="4">
        <v>0</v>
      </c>
      <c r="S1161" s="4" t="s">
        <v>348</v>
      </c>
      <c r="U1161" s="4">
        <v>26</v>
      </c>
      <c r="V1161" s="4">
        <v>0</v>
      </c>
      <c r="W1161" s="4">
        <v>0</v>
      </c>
    </row>
    <row r="1162" spans="1:23" ht="11.25" customHeight="1" x14ac:dyDescent="0.25">
      <c r="A1162" s="4" t="s">
        <v>21</v>
      </c>
      <c r="B1162" s="4" t="s">
        <v>33</v>
      </c>
      <c r="C1162" s="4" t="s">
        <v>34</v>
      </c>
      <c r="D1162" s="4" t="s">
        <v>47</v>
      </c>
      <c r="E1162" s="4" t="s">
        <v>25</v>
      </c>
      <c r="F1162" s="4" t="s">
        <v>25</v>
      </c>
      <c r="G1162" s="4" t="s">
        <v>25</v>
      </c>
      <c r="H1162" s="4" t="s">
        <v>25</v>
      </c>
      <c r="I1162" s="5">
        <v>43800</v>
      </c>
      <c r="J1162" s="6">
        <v>6163</v>
      </c>
      <c r="K1162" s="6">
        <v>5669.96</v>
      </c>
      <c r="L1162" s="6">
        <v>0</v>
      </c>
      <c r="M1162" s="6">
        <v>0</v>
      </c>
      <c r="N1162" s="6">
        <v>0</v>
      </c>
      <c r="O1162" s="6">
        <v>0</v>
      </c>
      <c r="P1162" s="6">
        <v>55</v>
      </c>
      <c r="Q1162" s="4" t="s">
        <v>26</v>
      </c>
      <c r="R1162" s="4">
        <v>0</v>
      </c>
      <c r="S1162" s="4" t="s">
        <v>349</v>
      </c>
      <c r="U1162" s="4">
        <v>26</v>
      </c>
      <c r="V1162" s="4">
        <v>0</v>
      </c>
      <c r="W1162" s="4">
        <v>0</v>
      </c>
    </row>
    <row r="1163" spans="1:23" ht="11.25" customHeight="1" x14ac:dyDescent="0.25">
      <c r="A1163" s="4" t="s">
        <v>27</v>
      </c>
      <c r="B1163" s="4" t="s">
        <v>33</v>
      </c>
      <c r="C1163" s="4" t="s">
        <v>34</v>
      </c>
      <c r="D1163" s="4" t="s">
        <v>47</v>
      </c>
      <c r="E1163" s="4" t="s">
        <v>25</v>
      </c>
      <c r="F1163" s="4" t="s">
        <v>25</v>
      </c>
      <c r="G1163" s="4" t="s">
        <v>25</v>
      </c>
      <c r="H1163" s="4" t="s">
        <v>25</v>
      </c>
      <c r="I1163" s="5">
        <v>43800</v>
      </c>
      <c r="J1163" s="6">
        <v>38</v>
      </c>
      <c r="K1163" s="6">
        <v>34.96</v>
      </c>
      <c r="L1163" s="6">
        <v>0</v>
      </c>
      <c r="M1163" s="6">
        <v>0</v>
      </c>
      <c r="N1163" s="6">
        <v>0</v>
      </c>
      <c r="O1163" s="6">
        <v>0</v>
      </c>
      <c r="P1163" s="6">
        <v>1</v>
      </c>
      <c r="Q1163" s="4" t="s">
        <v>26</v>
      </c>
      <c r="R1163" s="4">
        <v>0</v>
      </c>
      <c r="S1163" s="4" t="s">
        <v>349</v>
      </c>
      <c r="U1163" s="4">
        <v>26</v>
      </c>
      <c r="V1163" s="4">
        <v>0</v>
      </c>
      <c r="W1163" s="4">
        <v>0</v>
      </c>
    </row>
    <row r="1164" spans="1:23" ht="11.25" customHeight="1" x14ac:dyDescent="0.25">
      <c r="A1164" s="4" t="s">
        <v>28</v>
      </c>
      <c r="B1164" s="4" t="s">
        <v>33</v>
      </c>
      <c r="C1164" s="4" t="s">
        <v>34</v>
      </c>
      <c r="D1164" s="4" t="s">
        <v>47</v>
      </c>
      <c r="E1164" s="4" t="s">
        <v>25</v>
      </c>
      <c r="F1164" s="4" t="s">
        <v>25</v>
      </c>
      <c r="G1164" s="4" t="s">
        <v>25</v>
      </c>
      <c r="H1164" s="4" t="s">
        <v>25</v>
      </c>
      <c r="I1164" s="5">
        <v>43800</v>
      </c>
      <c r="J1164" s="6">
        <v>872</v>
      </c>
      <c r="K1164" s="6">
        <v>802.24</v>
      </c>
      <c r="L1164" s="6">
        <v>0</v>
      </c>
      <c r="M1164" s="6">
        <v>0</v>
      </c>
      <c r="N1164" s="6">
        <v>0</v>
      </c>
      <c r="O1164" s="6">
        <v>0</v>
      </c>
      <c r="P1164" s="6">
        <v>3</v>
      </c>
      <c r="Q1164" s="4" t="s">
        <v>26</v>
      </c>
      <c r="R1164" s="4">
        <v>0</v>
      </c>
      <c r="S1164" s="4" t="s">
        <v>349</v>
      </c>
      <c r="U1164" s="4">
        <v>26</v>
      </c>
      <c r="V1164" s="4">
        <v>0</v>
      </c>
      <c r="W1164" s="4">
        <v>0</v>
      </c>
    </row>
    <row r="1165" spans="1:23" ht="11.25" customHeight="1" x14ac:dyDescent="0.25">
      <c r="A1165" s="4" t="s">
        <v>21</v>
      </c>
      <c r="B1165" s="4" t="s">
        <v>33</v>
      </c>
      <c r="C1165" s="4" t="s">
        <v>34</v>
      </c>
      <c r="D1165" s="4" t="s">
        <v>47</v>
      </c>
      <c r="E1165" s="4" t="s">
        <v>25</v>
      </c>
      <c r="F1165" s="4" t="s">
        <v>25</v>
      </c>
      <c r="G1165" s="4" t="s">
        <v>25</v>
      </c>
      <c r="H1165" s="4" t="s">
        <v>25</v>
      </c>
      <c r="I1165" s="5">
        <v>43831</v>
      </c>
      <c r="J1165" s="6">
        <v>5817</v>
      </c>
      <c r="K1165" s="6">
        <v>5351.64</v>
      </c>
      <c r="L1165" s="6">
        <v>0</v>
      </c>
      <c r="M1165" s="6">
        <v>0</v>
      </c>
      <c r="N1165" s="6">
        <v>0</v>
      </c>
      <c r="O1165" s="6">
        <v>0</v>
      </c>
      <c r="P1165" s="6">
        <v>53</v>
      </c>
      <c r="Q1165" s="4" t="s">
        <v>26</v>
      </c>
      <c r="R1165" s="4">
        <v>0</v>
      </c>
      <c r="S1165" s="4" t="s">
        <v>350</v>
      </c>
      <c r="U1165" s="4">
        <v>26</v>
      </c>
      <c r="V1165" s="4">
        <v>0</v>
      </c>
      <c r="W1165" s="4">
        <v>0</v>
      </c>
    </row>
    <row r="1166" spans="1:23" ht="11.25" customHeight="1" x14ac:dyDescent="0.25">
      <c r="A1166" s="4" t="s">
        <v>27</v>
      </c>
      <c r="B1166" s="4" t="s">
        <v>33</v>
      </c>
      <c r="C1166" s="4" t="s">
        <v>34</v>
      </c>
      <c r="D1166" s="4" t="s">
        <v>47</v>
      </c>
      <c r="E1166" s="4" t="s">
        <v>25</v>
      </c>
      <c r="F1166" s="4" t="s">
        <v>25</v>
      </c>
      <c r="G1166" s="4" t="s">
        <v>25</v>
      </c>
      <c r="H1166" s="4" t="s">
        <v>25</v>
      </c>
      <c r="I1166" s="5">
        <v>43831</v>
      </c>
      <c r="J1166" s="6">
        <v>232</v>
      </c>
      <c r="K1166" s="6">
        <v>213.44</v>
      </c>
      <c r="L1166" s="6">
        <v>0</v>
      </c>
      <c r="M1166" s="6">
        <v>0</v>
      </c>
      <c r="N1166" s="6">
        <v>0</v>
      </c>
      <c r="O1166" s="6">
        <v>0</v>
      </c>
      <c r="P1166" s="6">
        <v>1</v>
      </c>
      <c r="Q1166" s="4" t="s">
        <v>26</v>
      </c>
      <c r="R1166" s="4">
        <v>0</v>
      </c>
      <c r="S1166" s="4" t="s">
        <v>350</v>
      </c>
      <c r="U1166" s="4">
        <v>26</v>
      </c>
      <c r="V1166" s="4">
        <v>0</v>
      </c>
      <c r="W1166" s="4">
        <v>0</v>
      </c>
    </row>
    <row r="1167" spans="1:23" ht="11.25" customHeight="1" x14ac:dyDescent="0.25">
      <c r="A1167" s="4" t="s">
        <v>28</v>
      </c>
      <c r="B1167" s="4" t="s">
        <v>33</v>
      </c>
      <c r="C1167" s="4" t="s">
        <v>34</v>
      </c>
      <c r="D1167" s="4" t="s">
        <v>47</v>
      </c>
      <c r="E1167" s="4" t="s">
        <v>25</v>
      </c>
      <c r="F1167" s="4" t="s">
        <v>25</v>
      </c>
      <c r="G1167" s="4" t="s">
        <v>25</v>
      </c>
      <c r="H1167" s="4" t="s">
        <v>25</v>
      </c>
      <c r="I1167" s="5">
        <v>43831</v>
      </c>
      <c r="J1167" s="6">
        <v>872</v>
      </c>
      <c r="K1167" s="6">
        <v>802.24</v>
      </c>
      <c r="L1167" s="6">
        <v>0</v>
      </c>
      <c r="M1167" s="6">
        <v>0</v>
      </c>
      <c r="N1167" s="6">
        <v>0</v>
      </c>
      <c r="O1167" s="6">
        <v>0</v>
      </c>
      <c r="P1167" s="6">
        <v>3</v>
      </c>
      <c r="Q1167" s="4" t="s">
        <v>26</v>
      </c>
      <c r="R1167" s="4">
        <v>0</v>
      </c>
      <c r="S1167" s="4" t="s">
        <v>350</v>
      </c>
      <c r="U1167" s="4">
        <v>26</v>
      </c>
      <c r="V1167" s="4">
        <v>0</v>
      </c>
      <c r="W1167" s="4">
        <v>0</v>
      </c>
    </row>
    <row r="1168" spans="1:23" ht="11.25" customHeight="1" x14ac:dyDescent="0.25">
      <c r="A1168" s="4" t="s">
        <v>21</v>
      </c>
      <c r="B1168" s="4" t="s">
        <v>33</v>
      </c>
      <c r="C1168" s="4" t="s">
        <v>34</v>
      </c>
      <c r="D1168" s="4" t="s">
        <v>47</v>
      </c>
      <c r="E1168" s="4" t="s">
        <v>25</v>
      </c>
      <c r="F1168" s="4" t="s">
        <v>25</v>
      </c>
      <c r="G1168" s="4" t="s">
        <v>25</v>
      </c>
      <c r="H1168" s="4" t="s">
        <v>25</v>
      </c>
      <c r="I1168" s="5">
        <v>43862</v>
      </c>
      <c r="J1168" s="6">
        <v>6431</v>
      </c>
      <c r="K1168" s="6">
        <v>5916.52</v>
      </c>
      <c r="L1168" s="6">
        <v>0</v>
      </c>
      <c r="M1168" s="6">
        <v>0</v>
      </c>
      <c r="N1168" s="6">
        <v>0</v>
      </c>
      <c r="O1168" s="6">
        <v>0</v>
      </c>
      <c r="P1168" s="6">
        <v>54</v>
      </c>
      <c r="Q1168" s="4" t="s">
        <v>26</v>
      </c>
      <c r="R1168" s="4">
        <v>0</v>
      </c>
      <c r="S1168" s="4" t="s">
        <v>351</v>
      </c>
      <c r="U1168" s="4">
        <v>26</v>
      </c>
      <c r="V1168" s="4">
        <v>0</v>
      </c>
      <c r="W1168" s="4">
        <v>0</v>
      </c>
    </row>
    <row r="1169" spans="1:23" ht="11.25" customHeight="1" x14ac:dyDescent="0.25">
      <c r="A1169" s="4" t="s">
        <v>27</v>
      </c>
      <c r="B1169" s="4" t="s">
        <v>33</v>
      </c>
      <c r="C1169" s="4" t="s">
        <v>34</v>
      </c>
      <c r="D1169" s="4" t="s">
        <v>47</v>
      </c>
      <c r="E1169" s="4" t="s">
        <v>25</v>
      </c>
      <c r="F1169" s="4" t="s">
        <v>25</v>
      </c>
      <c r="G1169" s="4" t="s">
        <v>25</v>
      </c>
      <c r="H1169" s="4" t="s">
        <v>25</v>
      </c>
      <c r="I1169" s="5">
        <v>43862</v>
      </c>
      <c r="J1169" s="6">
        <v>227</v>
      </c>
      <c r="K1169" s="6">
        <v>208.84</v>
      </c>
      <c r="L1169" s="6">
        <v>0</v>
      </c>
      <c r="M1169" s="6">
        <v>0</v>
      </c>
      <c r="N1169" s="6">
        <v>0</v>
      </c>
      <c r="O1169" s="6">
        <v>0</v>
      </c>
      <c r="P1169" s="6">
        <v>1</v>
      </c>
      <c r="Q1169" s="4" t="s">
        <v>26</v>
      </c>
      <c r="R1169" s="4">
        <v>0</v>
      </c>
      <c r="S1169" s="4" t="s">
        <v>351</v>
      </c>
      <c r="U1169" s="4">
        <v>26</v>
      </c>
      <c r="V1169" s="4">
        <v>0</v>
      </c>
      <c r="W1169" s="4">
        <v>0</v>
      </c>
    </row>
    <row r="1170" spans="1:23" ht="11.25" customHeight="1" x14ac:dyDescent="0.25">
      <c r="A1170" s="4" t="s">
        <v>28</v>
      </c>
      <c r="B1170" s="4" t="s">
        <v>33</v>
      </c>
      <c r="C1170" s="4" t="s">
        <v>34</v>
      </c>
      <c r="D1170" s="4" t="s">
        <v>47</v>
      </c>
      <c r="E1170" s="4" t="s">
        <v>25</v>
      </c>
      <c r="F1170" s="4" t="s">
        <v>25</v>
      </c>
      <c r="G1170" s="4" t="s">
        <v>25</v>
      </c>
      <c r="H1170" s="4" t="s">
        <v>25</v>
      </c>
      <c r="I1170" s="5">
        <v>43862</v>
      </c>
      <c r="J1170" s="6">
        <v>872</v>
      </c>
      <c r="K1170" s="6">
        <v>802.24</v>
      </c>
      <c r="L1170" s="6">
        <v>0</v>
      </c>
      <c r="M1170" s="6">
        <v>0</v>
      </c>
      <c r="N1170" s="6">
        <v>0</v>
      </c>
      <c r="O1170" s="6">
        <v>0</v>
      </c>
      <c r="P1170" s="6">
        <v>3</v>
      </c>
      <c r="Q1170" s="4" t="s">
        <v>26</v>
      </c>
      <c r="R1170" s="4">
        <v>0</v>
      </c>
      <c r="S1170" s="4" t="s">
        <v>351</v>
      </c>
      <c r="U1170" s="4">
        <v>26</v>
      </c>
      <c r="V1170" s="4">
        <v>0</v>
      </c>
      <c r="W1170" s="4">
        <v>0</v>
      </c>
    </row>
    <row r="1171" spans="1:23" ht="11.25" customHeight="1" x14ac:dyDescent="0.25">
      <c r="A1171" s="4" t="s">
        <v>21</v>
      </c>
      <c r="B1171" s="4" t="s">
        <v>33</v>
      </c>
      <c r="C1171" s="4" t="s">
        <v>34</v>
      </c>
      <c r="D1171" s="4" t="s">
        <v>47</v>
      </c>
      <c r="E1171" s="4" t="s">
        <v>25</v>
      </c>
      <c r="F1171" s="4" t="s">
        <v>25</v>
      </c>
      <c r="G1171" s="4" t="s">
        <v>25</v>
      </c>
      <c r="H1171" s="4" t="s">
        <v>25</v>
      </c>
      <c r="I1171" s="5">
        <v>43891</v>
      </c>
      <c r="J1171" s="6">
        <v>6985</v>
      </c>
      <c r="K1171" s="6">
        <v>6426.2000000000007</v>
      </c>
      <c r="L1171" s="6">
        <v>0</v>
      </c>
      <c r="M1171" s="6">
        <v>0</v>
      </c>
      <c r="N1171" s="6">
        <v>0</v>
      </c>
      <c r="O1171" s="6">
        <v>0</v>
      </c>
      <c r="P1171" s="6">
        <v>56</v>
      </c>
      <c r="Q1171" s="4" t="s">
        <v>26</v>
      </c>
      <c r="R1171" s="4">
        <v>0</v>
      </c>
      <c r="S1171" s="4" t="s">
        <v>352</v>
      </c>
      <c r="U1171" s="4">
        <v>26</v>
      </c>
      <c r="V1171" s="4">
        <v>0</v>
      </c>
      <c r="W1171" s="4">
        <v>0</v>
      </c>
    </row>
    <row r="1172" spans="1:23" ht="11.25" customHeight="1" x14ac:dyDescent="0.25">
      <c r="A1172" s="4" t="s">
        <v>27</v>
      </c>
      <c r="B1172" s="4" t="s">
        <v>33</v>
      </c>
      <c r="C1172" s="4" t="s">
        <v>34</v>
      </c>
      <c r="D1172" s="4" t="s">
        <v>47</v>
      </c>
      <c r="E1172" s="4" t="s">
        <v>25</v>
      </c>
      <c r="F1172" s="4" t="s">
        <v>25</v>
      </c>
      <c r="G1172" s="4" t="s">
        <v>25</v>
      </c>
      <c r="H1172" s="4" t="s">
        <v>25</v>
      </c>
      <c r="I1172" s="5">
        <v>43891</v>
      </c>
      <c r="J1172" s="6">
        <v>227</v>
      </c>
      <c r="K1172" s="6">
        <v>208.84</v>
      </c>
      <c r="L1172" s="6">
        <v>0</v>
      </c>
      <c r="M1172" s="6">
        <v>0</v>
      </c>
      <c r="N1172" s="6">
        <v>0</v>
      </c>
      <c r="O1172" s="6">
        <v>0</v>
      </c>
      <c r="P1172" s="6">
        <v>1</v>
      </c>
      <c r="Q1172" s="4" t="s">
        <v>26</v>
      </c>
      <c r="R1172" s="4">
        <v>0</v>
      </c>
      <c r="S1172" s="4" t="s">
        <v>352</v>
      </c>
      <c r="U1172" s="4">
        <v>26</v>
      </c>
      <c r="V1172" s="4">
        <v>0</v>
      </c>
      <c r="W1172" s="4">
        <v>0</v>
      </c>
    </row>
    <row r="1173" spans="1:23" ht="11.25" customHeight="1" x14ac:dyDescent="0.25">
      <c r="A1173" s="4" t="s">
        <v>28</v>
      </c>
      <c r="B1173" s="4" t="s">
        <v>33</v>
      </c>
      <c r="C1173" s="4" t="s">
        <v>34</v>
      </c>
      <c r="D1173" s="4" t="s">
        <v>47</v>
      </c>
      <c r="E1173" s="4" t="s">
        <v>25</v>
      </c>
      <c r="F1173" s="4" t="s">
        <v>25</v>
      </c>
      <c r="G1173" s="4" t="s">
        <v>25</v>
      </c>
      <c r="H1173" s="4" t="s">
        <v>25</v>
      </c>
      <c r="I1173" s="5">
        <v>43891</v>
      </c>
      <c r="J1173" s="6">
        <v>872</v>
      </c>
      <c r="K1173" s="6">
        <v>802.24</v>
      </c>
      <c r="L1173" s="6">
        <v>0</v>
      </c>
      <c r="M1173" s="6">
        <v>0</v>
      </c>
      <c r="N1173" s="6">
        <v>0</v>
      </c>
      <c r="O1173" s="6">
        <v>0</v>
      </c>
      <c r="P1173" s="6">
        <v>3</v>
      </c>
      <c r="Q1173" s="4" t="s">
        <v>26</v>
      </c>
      <c r="R1173" s="4">
        <v>0</v>
      </c>
      <c r="S1173" s="4" t="s">
        <v>352</v>
      </c>
      <c r="U1173" s="4">
        <v>26</v>
      </c>
      <c r="V1173" s="4">
        <v>0</v>
      </c>
      <c r="W1173" s="4">
        <v>0</v>
      </c>
    </row>
    <row r="1174" spans="1:23" ht="11.25" customHeight="1" x14ac:dyDescent="0.25">
      <c r="A1174" s="4" t="s">
        <v>21</v>
      </c>
      <c r="B1174" s="4" t="s">
        <v>33</v>
      </c>
      <c r="C1174" s="4" t="s">
        <v>34</v>
      </c>
      <c r="D1174" s="4" t="s">
        <v>47</v>
      </c>
      <c r="E1174" s="4" t="s">
        <v>25</v>
      </c>
      <c r="F1174" s="4" t="s">
        <v>25</v>
      </c>
      <c r="G1174" s="4" t="s">
        <v>25</v>
      </c>
      <c r="H1174" s="4" t="s">
        <v>25</v>
      </c>
      <c r="I1174" s="5">
        <v>43922</v>
      </c>
      <c r="J1174" s="6">
        <v>7575</v>
      </c>
      <c r="K1174" s="6">
        <v>6969</v>
      </c>
      <c r="L1174" s="6">
        <v>0</v>
      </c>
      <c r="M1174" s="6">
        <v>0</v>
      </c>
      <c r="N1174" s="6">
        <v>0</v>
      </c>
      <c r="O1174" s="6">
        <v>0</v>
      </c>
      <c r="P1174" s="6">
        <v>54</v>
      </c>
      <c r="Q1174" s="4" t="s">
        <v>26</v>
      </c>
      <c r="R1174" s="4">
        <v>0</v>
      </c>
      <c r="S1174" s="4" t="s">
        <v>353</v>
      </c>
      <c r="U1174" s="4">
        <v>26</v>
      </c>
      <c r="V1174" s="4">
        <v>0</v>
      </c>
      <c r="W1174" s="4">
        <v>0</v>
      </c>
    </row>
    <row r="1175" spans="1:23" ht="11.25" customHeight="1" x14ac:dyDescent="0.25">
      <c r="A1175" s="4" t="s">
        <v>27</v>
      </c>
      <c r="B1175" s="4" t="s">
        <v>33</v>
      </c>
      <c r="C1175" s="4" t="s">
        <v>34</v>
      </c>
      <c r="D1175" s="4" t="s">
        <v>47</v>
      </c>
      <c r="E1175" s="4" t="s">
        <v>25</v>
      </c>
      <c r="F1175" s="4" t="s">
        <v>25</v>
      </c>
      <c r="G1175" s="4" t="s">
        <v>25</v>
      </c>
      <c r="H1175" s="4" t="s">
        <v>25</v>
      </c>
      <c r="I1175" s="5">
        <v>43922</v>
      </c>
      <c r="J1175" s="6">
        <v>273</v>
      </c>
      <c r="K1175" s="6">
        <v>251.16000000000003</v>
      </c>
      <c r="L1175" s="6">
        <v>0</v>
      </c>
      <c r="M1175" s="6">
        <v>0</v>
      </c>
      <c r="N1175" s="6">
        <v>0</v>
      </c>
      <c r="O1175" s="6">
        <v>0</v>
      </c>
      <c r="P1175" s="6">
        <v>2</v>
      </c>
      <c r="Q1175" s="4" t="s">
        <v>26</v>
      </c>
      <c r="R1175" s="4">
        <v>0</v>
      </c>
      <c r="S1175" s="4" t="s">
        <v>353</v>
      </c>
      <c r="U1175" s="4">
        <v>26</v>
      </c>
      <c r="V1175" s="4">
        <v>0</v>
      </c>
      <c r="W1175" s="4">
        <v>0</v>
      </c>
    </row>
    <row r="1176" spans="1:23" ht="11.25" customHeight="1" x14ac:dyDescent="0.25">
      <c r="A1176" s="4" t="s">
        <v>28</v>
      </c>
      <c r="B1176" s="4" t="s">
        <v>33</v>
      </c>
      <c r="C1176" s="4" t="s">
        <v>34</v>
      </c>
      <c r="D1176" s="4" t="s">
        <v>47</v>
      </c>
      <c r="E1176" s="4" t="s">
        <v>25</v>
      </c>
      <c r="F1176" s="4" t="s">
        <v>25</v>
      </c>
      <c r="G1176" s="4" t="s">
        <v>25</v>
      </c>
      <c r="H1176" s="4" t="s">
        <v>25</v>
      </c>
      <c r="I1176" s="5">
        <v>43922</v>
      </c>
      <c r="J1176" s="6">
        <v>872</v>
      </c>
      <c r="K1176" s="6">
        <v>802.24</v>
      </c>
      <c r="L1176" s="6">
        <v>0</v>
      </c>
      <c r="M1176" s="6">
        <v>0</v>
      </c>
      <c r="N1176" s="6">
        <v>0</v>
      </c>
      <c r="O1176" s="6">
        <v>0</v>
      </c>
      <c r="P1176" s="6">
        <v>3</v>
      </c>
      <c r="Q1176" s="4" t="s">
        <v>26</v>
      </c>
      <c r="R1176" s="4">
        <v>0</v>
      </c>
      <c r="S1176" s="4" t="s">
        <v>353</v>
      </c>
      <c r="U1176" s="4">
        <v>26</v>
      </c>
      <c r="V1176" s="4">
        <v>0</v>
      </c>
      <c r="W1176" s="4">
        <v>0</v>
      </c>
    </row>
    <row r="1177" spans="1:23" ht="11.25" customHeight="1" x14ac:dyDescent="0.25">
      <c r="A1177" s="4" t="s">
        <v>21</v>
      </c>
      <c r="B1177" s="4" t="s">
        <v>33</v>
      </c>
      <c r="C1177" s="4" t="s">
        <v>34</v>
      </c>
      <c r="D1177" s="4" t="s">
        <v>47</v>
      </c>
      <c r="E1177" s="4" t="s">
        <v>25</v>
      </c>
      <c r="F1177" s="4" t="s">
        <v>25</v>
      </c>
      <c r="G1177" s="4" t="s">
        <v>25</v>
      </c>
      <c r="H1177" s="4" t="s">
        <v>25</v>
      </c>
      <c r="I1177" s="5">
        <v>43952</v>
      </c>
      <c r="J1177" s="6">
        <v>6137</v>
      </c>
      <c r="K1177" s="6">
        <v>5646.04</v>
      </c>
      <c r="L1177" s="6">
        <v>0</v>
      </c>
      <c r="M1177" s="6">
        <v>0</v>
      </c>
      <c r="N1177" s="6">
        <v>0</v>
      </c>
      <c r="O1177" s="6">
        <v>0</v>
      </c>
      <c r="P1177" s="6">
        <v>54</v>
      </c>
      <c r="Q1177" s="4" t="s">
        <v>26</v>
      </c>
      <c r="R1177" s="4">
        <v>0</v>
      </c>
      <c r="S1177" s="4" t="s">
        <v>354</v>
      </c>
      <c r="U1177" s="4">
        <v>26</v>
      </c>
      <c r="V1177" s="4">
        <v>0</v>
      </c>
      <c r="W1177" s="4">
        <v>0</v>
      </c>
    </row>
    <row r="1178" spans="1:23" ht="11.25" customHeight="1" x14ac:dyDescent="0.25">
      <c r="A1178" s="4" t="s">
        <v>27</v>
      </c>
      <c r="B1178" s="4" t="s">
        <v>33</v>
      </c>
      <c r="C1178" s="4" t="s">
        <v>34</v>
      </c>
      <c r="D1178" s="4" t="s">
        <v>47</v>
      </c>
      <c r="E1178" s="4" t="s">
        <v>25</v>
      </c>
      <c r="F1178" s="4" t="s">
        <v>25</v>
      </c>
      <c r="G1178" s="4" t="s">
        <v>25</v>
      </c>
      <c r="H1178" s="4" t="s">
        <v>25</v>
      </c>
      <c r="I1178" s="5">
        <v>43952</v>
      </c>
      <c r="J1178" s="6">
        <v>471</v>
      </c>
      <c r="K1178" s="6">
        <v>433.32</v>
      </c>
      <c r="L1178" s="6">
        <v>0</v>
      </c>
      <c r="M1178" s="6">
        <v>0</v>
      </c>
      <c r="N1178" s="6">
        <v>0</v>
      </c>
      <c r="O1178" s="6">
        <v>0</v>
      </c>
      <c r="P1178" s="6">
        <v>2</v>
      </c>
      <c r="Q1178" s="4" t="s">
        <v>26</v>
      </c>
      <c r="R1178" s="4">
        <v>0</v>
      </c>
      <c r="S1178" s="4" t="s">
        <v>354</v>
      </c>
      <c r="U1178" s="4">
        <v>26</v>
      </c>
      <c r="V1178" s="4">
        <v>0</v>
      </c>
      <c r="W1178" s="4">
        <v>0</v>
      </c>
    </row>
    <row r="1179" spans="1:23" ht="11.25" customHeight="1" x14ac:dyDescent="0.25">
      <c r="A1179" s="4" t="s">
        <v>28</v>
      </c>
      <c r="B1179" s="4" t="s">
        <v>33</v>
      </c>
      <c r="C1179" s="4" t="s">
        <v>34</v>
      </c>
      <c r="D1179" s="4" t="s">
        <v>47</v>
      </c>
      <c r="E1179" s="4" t="s">
        <v>25</v>
      </c>
      <c r="F1179" s="4" t="s">
        <v>25</v>
      </c>
      <c r="G1179" s="4" t="s">
        <v>25</v>
      </c>
      <c r="H1179" s="4" t="s">
        <v>25</v>
      </c>
      <c r="I1179" s="5">
        <v>43952</v>
      </c>
      <c r="J1179" s="6">
        <v>1120</v>
      </c>
      <c r="K1179" s="6">
        <v>1030.4000000000001</v>
      </c>
      <c r="L1179" s="6">
        <v>0</v>
      </c>
      <c r="M1179" s="6">
        <v>0</v>
      </c>
      <c r="N1179" s="6">
        <v>0</v>
      </c>
      <c r="O1179" s="6">
        <v>0</v>
      </c>
      <c r="P1179" s="6">
        <v>4</v>
      </c>
      <c r="Q1179" s="4" t="s">
        <v>26</v>
      </c>
      <c r="R1179" s="4">
        <v>0</v>
      </c>
      <c r="S1179" s="4" t="s">
        <v>354</v>
      </c>
      <c r="U1179" s="4">
        <v>26</v>
      </c>
      <c r="V1179" s="4">
        <v>0</v>
      </c>
      <c r="W1179" s="4">
        <v>0</v>
      </c>
    </row>
    <row r="1180" spans="1:23" ht="11.25" customHeight="1" x14ac:dyDescent="0.25">
      <c r="A1180" s="4" t="s">
        <v>21</v>
      </c>
      <c r="B1180" s="4" t="s">
        <v>33</v>
      </c>
      <c r="C1180" s="4" t="s">
        <v>34</v>
      </c>
      <c r="D1180" s="4" t="s">
        <v>47</v>
      </c>
      <c r="E1180" s="4" t="s">
        <v>25</v>
      </c>
      <c r="F1180" s="4" t="s">
        <v>25</v>
      </c>
      <c r="G1180" s="4" t="s">
        <v>25</v>
      </c>
      <c r="H1180" s="4" t="s">
        <v>25</v>
      </c>
      <c r="I1180" s="5">
        <v>43983</v>
      </c>
      <c r="J1180" s="6">
        <v>5979</v>
      </c>
      <c r="K1180" s="6">
        <v>5500.68</v>
      </c>
      <c r="L1180" s="6">
        <v>0</v>
      </c>
      <c r="M1180" s="6">
        <v>0</v>
      </c>
      <c r="N1180" s="6">
        <v>0</v>
      </c>
      <c r="O1180" s="6">
        <v>0</v>
      </c>
      <c r="P1180" s="6">
        <v>56</v>
      </c>
      <c r="Q1180" s="4" t="s">
        <v>26</v>
      </c>
      <c r="R1180" s="4">
        <v>0</v>
      </c>
      <c r="S1180" s="4" t="s">
        <v>355</v>
      </c>
      <c r="U1180" s="4">
        <v>26</v>
      </c>
      <c r="V1180" s="4">
        <v>0</v>
      </c>
      <c r="W1180" s="4">
        <v>0</v>
      </c>
    </row>
    <row r="1181" spans="1:23" ht="11.25" customHeight="1" x14ac:dyDescent="0.25">
      <c r="A1181" s="4" t="s">
        <v>27</v>
      </c>
      <c r="B1181" s="4" t="s">
        <v>33</v>
      </c>
      <c r="C1181" s="4" t="s">
        <v>34</v>
      </c>
      <c r="D1181" s="4" t="s">
        <v>47</v>
      </c>
      <c r="E1181" s="4" t="s">
        <v>25</v>
      </c>
      <c r="F1181" s="4" t="s">
        <v>25</v>
      </c>
      <c r="G1181" s="4" t="s">
        <v>25</v>
      </c>
      <c r="H1181" s="4" t="s">
        <v>25</v>
      </c>
      <c r="I1181" s="5">
        <v>43983</v>
      </c>
      <c r="J1181" s="6">
        <v>397</v>
      </c>
      <c r="K1181" s="6">
        <v>365.24</v>
      </c>
      <c r="L1181" s="6">
        <v>0</v>
      </c>
      <c r="M1181" s="6">
        <v>0</v>
      </c>
      <c r="N1181" s="6">
        <v>0</v>
      </c>
      <c r="O1181" s="6">
        <v>0</v>
      </c>
      <c r="P1181" s="6">
        <v>2</v>
      </c>
      <c r="Q1181" s="4" t="s">
        <v>26</v>
      </c>
      <c r="R1181" s="4">
        <v>0</v>
      </c>
      <c r="S1181" s="4" t="s">
        <v>355</v>
      </c>
      <c r="U1181" s="4">
        <v>26</v>
      </c>
      <c r="V1181" s="4">
        <v>0</v>
      </c>
      <c r="W1181" s="4">
        <v>0</v>
      </c>
    </row>
    <row r="1182" spans="1:23" ht="11.25" customHeight="1" x14ac:dyDescent="0.25">
      <c r="A1182" s="4" t="s">
        <v>28</v>
      </c>
      <c r="B1182" s="4" t="s">
        <v>33</v>
      </c>
      <c r="C1182" s="4" t="s">
        <v>34</v>
      </c>
      <c r="D1182" s="4" t="s">
        <v>47</v>
      </c>
      <c r="E1182" s="4" t="s">
        <v>25</v>
      </c>
      <c r="F1182" s="4" t="s">
        <v>25</v>
      </c>
      <c r="G1182" s="4" t="s">
        <v>25</v>
      </c>
      <c r="H1182" s="4" t="s">
        <v>25</v>
      </c>
      <c r="I1182" s="5">
        <v>43983</v>
      </c>
      <c r="J1182" s="6">
        <v>1396</v>
      </c>
      <c r="K1182" s="6">
        <v>1284.3200000000002</v>
      </c>
      <c r="L1182" s="6">
        <v>0</v>
      </c>
      <c r="M1182" s="6">
        <v>0</v>
      </c>
      <c r="N1182" s="6">
        <v>0</v>
      </c>
      <c r="O1182" s="6">
        <v>0</v>
      </c>
      <c r="P1182" s="6">
        <v>5</v>
      </c>
      <c r="Q1182" s="4" t="s">
        <v>26</v>
      </c>
      <c r="R1182" s="4">
        <v>0</v>
      </c>
      <c r="S1182" s="4" t="s">
        <v>355</v>
      </c>
      <c r="U1182" s="4">
        <v>26</v>
      </c>
      <c r="V1182" s="4">
        <v>0</v>
      </c>
      <c r="W1182" s="4">
        <v>0</v>
      </c>
    </row>
    <row r="1183" spans="1:23" ht="11.25" customHeight="1" x14ac:dyDescent="0.25">
      <c r="A1183" s="4" t="s">
        <v>21</v>
      </c>
      <c r="B1183" s="4" t="s">
        <v>33</v>
      </c>
      <c r="C1183" s="4" t="s">
        <v>34</v>
      </c>
      <c r="D1183" s="4" t="s">
        <v>47</v>
      </c>
      <c r="E1183" s="4" t="s">
        <v>25</v>
      </c>
      <c r="F1183" s="4" t="s">
        <v>25</v>
      </c>
      <c r="G1183" s="4" t="s">
        <v>25</v>
      </c>
      <c r="H1183" s="4" t="s">
        <v>25</v>
      </c>
      <c r="I1183" s="5">
        <v>44013</v>
      </c>
      <c r="J1183" s="6">
        <v>5798</v>
      </c>
      <c r="K1183" s="6">
        <v>5334.16</v>
      </c>
      <c r="L1183" s="6">
        <v>0</v>
      </c>
      <c r="M1183" s="6">
        <v>0</v>
      </c>
      <c r="N1183" s="6">
        <v>0</v>
      </c>
      <c r="O1183" s="6">
        <v>0</v>
      </c>
      <c r="P1183" s="6">
        <v>55</v>
      </c>
      <c r="Q1183" s="4" t="s">
        <v>26</v>
      </c>
      <c r="R1183" s="4">
        <v>0</v>
      </c>
      <c r="S1183" s="4" t="s">
        <v>356</v>
      </c>
      <c r="U1183" s="4">
        <v>26</v>
      </c>
      <c r="V1183" s="4">
        <v>0</v>
      </c>
      <c r="W1183" s="4">
        <v>0</v>
      </c>
    </row>
    <row r="1184" spans="1:23" ht="11.25" customHeight="1" x14ac:dyDescent="0.25">
      <c r="A1184" s="4" t="s">
        <v>27</v>
      </c>
      <c r="B1184" s="4" t="s">
        <v>33</v>
      </c>
      <c r="C1184" s="4" t="s">
        <v>34</v>
      </c>
      <c r="D1184" s="4" t="s">
        <v>47</v>
      </c>
      <c r="E1184" s="4" t="s">
        <v>25</v>
      </c>
      <c r="F1184" s="4" t="s">
        <v>25</v>
      </c>
      <c r="G1184" s="4" t="s">
        <v>25</v>
      </c>
      <c r="H1184" s="4" t="s">
        <v>25</v>
      </c>
      <c r="I1184" s="5">
        <v>44013</v>
      </c>
      <c r="J1184" s="6">
        <v>455</v>
      </c>
      <c r="K1184" s="6">
        <v>418.6</v>
      </c>
      <c r="L1184" s="6">
        <v>0</v>
      </c>
      <c r="M1184" s="6">
        <v>0</v>
      </c>
      <c r="N1184" s="6">
        <v>0</v>
      </c>
      <c r="O1184" s="6">
        <v>0</v>
      </c>
      <c r="P1184" s="6">
        <v>2</v>
      </c>
      <c r="Q1184" s="4" t="s">
        <v>26</v>
      </c>
      <c r="R1184" s="4">
        <v>0</v>
      </c>
      <c r="S1184" s="4" t="s">
        <v>356</v>
      </c>
      <c r="U1184" s="4">
        <v>26</v>
      </c>
      <c r="V1184" s="4">
        <v>0</v>
      </c>
      <c r="W1184" s="4">
        <v>0</v>
      </c>
    </row>
    <row r="1185" spans="1:23" ht="11.25" customHeight="1" x14ac:dyDescent="0.25">
      <c r="A1185" s="4" t="s">
        <v>28</v>
      </c>
      <c r="B1185" s="4" t="s">
        <v>33</v>
      </c>
      <c r="C1185" s="4" t="s">
        <v>34</v>
      </c>
      <c r="D1185" s="4" t="s">
        <v>47</v>
      </c>
      <c r="E1185" s="4" t="s">
        <v>25</v>
      </c>
      <c r="F1185" s="4" t="s">
        <v>25</v>
      </c>
      <c r="G1185" s="4" t="s">
        <v>25</v>
      </c>
      <c r="H1185" s="4" t="s">
        <v>25</v>
      </c>
      <c r="I1185" s="5">
        <v>44013</v>
      </c>
      <c r="J1185" s="6">
        <v>1893</v>
      </c>
      <c r="K1185" s="6">
        <v>1741.5600000000002</v>
      </c>
      <c r="L1185" s="6">
        <v>0</v>
      </c>
      <c r="M1185" s="6">
        <v>0</v>
      </c>
      <c r="N1185" s="6">
        <v>0</v>
      </c>
      <c r="O1185" s="6">
        <v>0</v>
      </c>
      <c r="P1185" s="6">
        <v>5</v>
      </c>
      <c r="Q1185" s="4" t="s">
        <v>26</v>
      </c>
      <c r="R1185" s="4">
        <v>0</v>
      </c>
      <c r="S1185" s="4" t="s">
        <v>356</v>
      </c>
      <c r="U1185" s="4">
        <v>26</v>
      </c>
      <c r="V1185" s="4">
        <v>0</v>
      </c>
      <c r="W1185" s="4">
        <v>0</v>
      </c>
    </row>
    <row r="1186" spans="1:23" ht="11.25" customHeight="1" x14ac:dyDescent="0.25">
      <c r="A1186" s="4" t="s">
        <v>21</v>
      </c>
      <c r="B1186" s="4" t="s">
        <v>33</v>
      </c>
      <c r="C1186" s="4" t="s">
        <v>34</v>
      </c>
      <c r="D1186" s="4" t="s">
        <v>47</v>
      </c>
      <c r="E1186" s="4" t="s">
        <v>25</v>
      </c>
      <c r="F1186" s="4" t="s">
        <v>25</v>
      </c>
      <c r="G1186" s="4" t="s">
        <v>25</v>
      </c>
      <c r="H1186" s="4" t="s">
        <v>25</v>
      </c>
      <c r="I1186" s="5">
        <v>44044</v>
      </c>
      <c r="J1186" s="6">
        <v>6044</v>
      </c>
      <c r="K1186" s="6">
        <v>5560.4800000000005</v>
      </c>
      <c r="L1186" s="6">
        <v>0</v>
      </c>
      <c r="M1186" s="6">
        <v>0</v>
      </c>
      <c r="N1186" s="6">
        <v>0</v>
      </c>
      <c r="O1186" s="6">
        <v>0</v>
      </c>
      <c r="P1186" s="6">
        <v>54</v>
      </c>
      <c r="Q1186" s="4" t="s">
        <v>26</v>
      </c>
      <c r="R1186" s="4">
        <v>0</v>
      </c>
      <c r="S1186" s="4" t="s">
        <v>357</v>
      </c>
      <c r="U1186" s="4">
        <v>26</v>
      </c>
      <c r="V1186" s="4">
        <v>0</v>
      </c>
      <c r="W1186" s="4">
        <v>0</v>
      </c>
    </row>
    <row r="1187" spans="1:23" ht="11.25" customHeight="1" x14ac:dyDescent="0.25">
      <c r="A1187" s="4" t="s">
        <v>27</v>
      </c>
      <c r="B1187" s="4" t="s">
        <v>33</v>
      </c>
      <c r="C1187" s="4" t="s">
        <v>34</v>
      </c>
      <c r="D1187" s="4" t="s">
        <v>47</v>
      </c>
      <c r="E1187" s="4" t="s">
        <v>25</v>
      </c>
      <c r="F1187" s="4" t="s">
        <v>25</v>
      </c>
      <c r="G1187" s="4" t="s">
        <v>25</v>
      </c>
      <c r="H1187" s="4" t="s">
        <v>25</v>
      </c>
      <c r="I1187" s="5">
        <v>44044</v>
      </c>
      <c r="J1187" s="6">
        <v>513</v>
      </c>
      <c r="K1187" s="6">
        <v>471.96000000000004</v>
      </c>
      <c r="L1187" s="6">
        <v>0</v>
      </c>
      <c r="M1187" s="6">
        <v>0</v>
      </c>
      <c r="N1187" s="6">
        <v>0</v>
      </c>
      <c r="O1187" s="6">
        <v>0</v>
      </c>
      <c r="P1187" s="6">
        <v>2</v>
      </c>
      <c r="Q1187" s="4" t="s">
        <v>26</v>
      </c>
      <c r="R1187" s="4">
        <v>0</v>
      </c>
      <c r="S1187" s="4" t="s">
        <v>357</v>
      </c>
      <c r="U1187" s="4">
        <v>26</v>
      </c>
      <c r="V1187" s="4">
        <v>0</v>
      </c>
      <c r="W1187" s="4">
        <v>0</v>
      </c>
    </row>
    <row r="1188" spans="1:23" ht="11.25" customHeight="1" x14ac:dyDescent="0.25">
      <c r="A1188" s="4" t="s">
        <v>28</v>
      </c>
      <c r="B1188" s="4" t="s">
        <v>33</v>
      </c>
      <c r="C1188" s="4" t="s">
        <v>34</v>
      </c>
      <c r="D1188" s="4" t="s">
        <v>47</v>
      </c>
      <c r="E1188" s="4" t="s">
        <v>25</v>
      </c>
      <c r="F1188" s="4" t="s">
        <v>25</v>
      </c>
      <c r="G1188" s="4" t="s">
        <v>25</v>
      </c>
      <c r="H1188" s="4" t="s">
        <v>25</v>
      </c>
      <c r="I1188" s="5">
        <v>44044</v>
      </c>
      <c r="J1188" s="6">
        <v>1996</v>
      </c>
      <c r="K1188" s="6">
        <v>1836.3200000000002</v>
      </c>
      <c r="L1188" s="6">
        <v>0</v>
      </c>
      <c r="M1188" s="6">
        <v>0</v>
      </c>
      <c r="N1188" s="6">
        <v>0</v>
      </c>
      <c r="O1188" s="6">
        <v>0</v>
      </c>
      <c r="P1188" s="6">
        <v>5</v>
      </c>
      <c r="Q1188" s="4" t="s">
        <v>26</v>
      </c>
      <c r="R1188" s="4">
        <v>0</v>
      </c>
      <c r="S1188" s="4" t="s">
        <v>357</v>
      </c>
      <c r="U1188" s="4">
        <v>26</v>
      </c>
      <c r="V1188" s="4">
        <v>0</v>
      </c>
      <c r="W1188" s="4">
        <v>0</v>
      </c>
    </row>
    <row r="1189" spans="1:23" ht="11.25" customHeight="1" x14ac:dyDescent="0.25">
      <c r="A1189" s="4" t="s">
        <v>59</v>
      </c>
      <c r="B1189" s="4" t="s">
        <v>33</v>
      </c>
      <c r="C1189" s="4" t="s">
        <v>34</v>
      </c>
      <c r="D1189" s="4" t="s">
        <v>47</v>
      </c>
      <c r="E1189" s="4" t="s">
        <v>25</v>
      </c>
      <c r="F1189" s="4" t="s">
        <v>25</v>
      </c>
      <c r="G1189" s="4" t="s">
        <v>25</v>
      </c>
      <c r="H1189" s="4" t="s">
        <v>25</v>
      </c>
      <c r="I1189" s="5">
        <v>44075</v>
      </c>
      <c r="J1189" s="6">
        <v>6044</v>
      </c>
      <c r="K1189" s="6">
        <v>5560.4800000000005</v>
      </c>
      <c r="L1189" s="6">
        <v>0</v>
      </c>
      <c r="M1189" s="6">
        <v>0</v>
      </c>
      <c r="N1189" s="6">
        <v>0</v>
      </c>
      <c r="O1189" s="6">
        <v>0</v>
      </c>
      <c r="P1189" s="6">
        <v>54</v>
      </c>
      <c r="Q1189" s="4" t="s">
        <v>26</v>
      </c>
      <c r="R1189" s="4">
        <v>0</v>
      </c>
      <c r="S1189" s="4" t="s">
        <v>358</v>
      </c>
      <c r="U1189" s="4">
        <v>26</v>
      </c>
      <c r="V1189" s="4">
        <v>0</v>
      </c>
      <c r="W1189" s="4">
        <v>0</v>
      </c>
    </row>
    <row r="1190" spans="1:23" ht="11.25" customHeight="1" x14ac:dyDescent="0.25">
      <c r="A1190" s="4" t="s">
        <v>59</v>
      </c>
      <c r="B1190" s="4" t="s">
        <v>33</v>
      </c>
      <c r="C1190" s="4" t="s">
        <v>34</v>
      </c>
      <c r="D1190" s="4" t="s">
        <v>47</v>
      </c>
      <c r="E1190" s="4" t="s">
        <v>25</v>
      </c>
      <c r="F1190" s="4" t="s">
        <v>25</v>
      </c>
      <c r="G1190" s="4" t="s">
        <v>25</v>
      </c>
      <c r="H1190" s="4" t="s">
        <v>25</v>
      </c>
      <c r="I1190" s="5">
        <v>44075</v>
      </c>
      <c r="J1190" s="6">
        <v>513</v>
      </c>
      <c r="K1190" s="6">
        <v>471.96000000000004</v>
      </c>
      <c r="L1190" s="6">
        <v>0</v>
      </c>
      <c r="M1190" s="6">
        <v>0</v>
      </c>
      <c r="N1190" s="6">
        <v>0</v>
      </c>
      <c r="O1190" s="6">
        <v>0</v>
      </c>
      <c r="P1190" s="6">
        <v>2</v>
      </c>
      <c r="Q1190" s="4" t="s">
        <v>26</v>
      </c>
      <c r="R1190" s="4">
        <v>0</v>
      </c>
      <c r="S1190" s="4" t="s">
        <v>358</v>
      </c>
      <c r="U1190" s="4">
        <v>26</v>
      </c>
      <c r="V1190" s="4">
        <v>0</v>
      </c>
      <c r="W1190" s="4">
        <v>0</v>
      </c>
    </row>
    <row r="1191" spans="1:23" ht="11.25" customHeight="1" x14ac:dyDescent="0.25">
      <c r="A1191" s="4" t="s">
        <v>59</v>
      </c>
      <c r="B1191" s="4" t="s">
        <v>33</v>
      </c>
      <c r="C1191" s="4" t="s">
        <v>34</v>
      </c>
      <c r="D1191" s="4" t="s">
        <v>47</v>
      </c>
      <c r="E1191" s="4" t="s">
        <v>25</v>
      </c>
      <c r="F1191" s="4" t="s">
        <v>25</v>
      </c>
      <c r="G1191" s="4" t="s">
        <v>25</v>
      </c>
      <c r="H1191" s="4" t="s">
        <v>25</v>
      </c>
      <c r="I1191" s="5">
        <v>44075</v>
      </c>
      <c r="J1191" s="6">
        <v>1996</v>
      </c>
      <c r="K1191" s="6">
        <v>1836.3200000000002</v>
      </c>
      <c r="L1191" s="6">
        <v>0</v>
      </c>
      <c r="M1191" s="6">
        <v>0</v>
      </c>
      <c r="N1191" s="6">
        <v>0</v>
      </c>
      <c r="O1191" s="6">
        <v>0</v>
      </c>
      <c r="P1191" s="6">
        <v>5</v>
      </c>
      <c r="Q1191" s="4" t="s">
        <v>26</v>
      </c>
      <c r="R1191" s="4">
        <v>0</v>
      </c>
      <c r="S1191" s="4" t="s">
        <v>358</v>
      </c>
      <c r="U1191" s="4">
        <v>26</v>
      </c>
      <c r="V1191" s="4">
        <v>0</v>
      </c>
      <c r="W1191" s="4">
        <v>0</v>
      </c>
    </row>
    <row r="1192" spans="1:23" ht="11.25" customHeight="1" x14ac:dyDescent="0.25">
      <c r="A1192" s="4" t="s">
        <v>21</v>
      </c>
      <c r="B1192" s="4" t="s">
        <v>33</v>
      </c>
      <c r="C1192" s="4" t="s">
        <v>34</v>
      </c>
      <c r="D1192" s="4" t="s">
        <v>47</v>
      </c>
      <c r="E1192" s="4" t="s">
        <v>25</v>
      </c>
      <c r="F1192" s="4" t="s">
        <v>25</v>
      </c>
      <c r="G1192" s="4" t="s">
        <v>25</v>
      </c>
      <c r="H1192" s="4" t="s">
        <v>35</v>
      </c>
      <c r="I1192" s="5">
        <v>43739</v>
      </c>
      <c r="J1192" s="6">
        <v>0</v>
      </c>
      <c r="K1192" s="6">
        <v>0</v>
      </c>
      <c r="L1192" s="6">
        <v>167.59899999999999</v>
      </c>
      <c r="M1192" s="6">
        <v>154.19108</v>
      </c>
      <c r="N1192" s="6">
        <v>167.59899999999999</v>
      </c>
      <c r="O1192" s="6">
        <v>154.19108</v>
      </c>
      <c r="P1192" s="6">
        <v>0</v>
      </c>
      <c r="Q1192" s="4" t="s">
        <v>26</v>
      </c>
      <c r="R1192" s="4">
        <v>0</v>
      </c>
      <c r="S1192" s="4" t="s">
        <v>359</v>
      </c>
      <c r="T1192" s="4" t="s">
        <v>712</v>
      </c>
      <c r="U1192" s="4">
        <v>0</v>
      </c>
      <c r="V1192" s="4">
        <v>27</v>
      </c>
      <c r="W1192" s="4">
        <v>81</v>
      </c>
    </row>
    <row r="1193" spans="1:23" ht="11.25" customHeight="1" x14ac:dyDescent="0.25">
      <c r="A1193" s="4" t="s">
        <v>28</v>
      </c>
      <c r="B1193" s="4" t="s">
        <v>33</v>
      </c>
      <c r="C1193" s="4" t="s">
        <v>34</v>
      </c>
      <c r="D1193" s="4" t="s">
        <v>47</v>
      </c>
      <c r="E1193" s="4" t="s">
        <v>25</v>
      </c>
      <c r="F1193" s="4" t="s">
        <v>25</v>
      </c>
      <c r="G1193" s="4" t="s">
        <v>25</v>
      </c>
      <c r="H1193" s="4" t="s">
        <v>35</v>
      </c>
      <c r="I1193" s="5">
        <v>43739</v>
      </c>
      <c r="J1193" s="6">
        <v>0</v>
      </c>
      <c r="K1193" s="6">
        <v>0</v>
      </c>
      <c r="L1193" s="6">
        <v>17.416</v>
      </c>
      <c r="M1193" s="6">
        <v>16.02272</v>
      </c>
      <c r="N1193" s="6">
        <v>17.416</v>
      </c>
      <c r="O1193" s="6">
        <v>16.02272</v>
      </c>
      <c r="P1193" s="6">
        <v>0</v>
      </c>
      <c r="Q1193" s="4" t="s">
        <v>26</v>
      </c>
      <c r="R1193" s="4">
        <v>0</v>
      </c>
      <c r="S1193" s="4" t="s">
        <v>359</v>
      </c>
      <c r="T1193" s="4" t="s">
        <v>712</v>
      </c>
      <c r="U1193" s="4">
        <v>0</v>
      </c>
      <c r="V1193" s="4">
        <v>27</v>
      </c>
      <c r="W1193" s="4">
        <v>81</v>
      </c>
    </row>
    <row r="1194" spans="1:23" ht="11.25" customHeight="1" x14ac:dyDescent="0.25">
      <c r="A1194" s="4" t="s">
        <v>21</v>
      </c>
      <c r="B1194" s="4" t="s">
        <v>33</v>
      </c>
      <c r="C1194" s="4" t="s">
        <v>34</v>
      </c>
      <c r="D1194" s="4" t="s">
        <v>47</v>
      </c>
      <c r="E1194" s="4" t="s">
        <v>25</v>
      </c>
      <c r="F1194" s="4" t="s">
        <v>25</v>
      </c>
      <c r="G1194" s="4" t="s">
        <v>25</v>
      </c>
      <c r="H1194" s="4" t="s">
        <v>35</v>
      </c>
      <c r="I1194" s="5">
        <v>43770</v>
      </c>
      <c r="J1194" s="6">
        <v>0</v>
      </c>
      <c r="K1194" s="6">
        <v>0</v>
      </c>
      <c r="L1194" s="6">
        <v>181.14400000000001</v>
      </c>
      <c r="M1194" s="6">
        <v>166.65248000000003</v>
      </c>
      <c r="N1194" s="6">
        <v>181.14400000000001</v>
      </c>
      <c r="O1194" s="6">
        <v>166.65248000000003</v>
      </c>
      <c r="P1194" s="6">
        <v>0</v>
      </c>
      <c r="Q1194" s="4" t="s">
        <v>26</v>
      </c>
      <c r="R1194" s="4">
        <v>0</v>
      </c>
      <c r="S1194" s="4" t="s">
        <v>360</v>
      </c>
      <c r="T1194" s="4" t="s">
        <v>713</v>
      </c>
      <c r="U1194" s="4">
        <v>0</v>
      </c>
      <c r="V1194" s="4">
        <v>27</v>
      </c>
      <c r="W1194" s="4">
        <v>81</v>
      </c>
    </row>
    <row r="1195" spans="1:23" ht="11.25" customHeight="1" x14ac:dyDescent="0.25">
      <c r="A1195" s="4" t="s">
        <v>28</v>
      </c>
      <c r="B1195" s="4" t="s">
        <v>33</v>
      </c>
      <c r="C1195" s="4" t="s">
        <v>34</v>
      </c>
      <c r="D1195" s="4" t="s">
        <v>47</v>
      </c>
      <c r="E1195" s="4" t="s">
        <v>25</v>
      </c>
      <c r="F1195" s="4" t="s">
        <v>25</v>
      </c>
      <c r="G1195" s="4" t="s">
        <v>25</v>
      </c>
      <c r="H1195" s="4" t="s">
        <v>35</v>
      </c>
      <c r="I1195" s="5">
        <v>43770</v>
      </c>
      <c r="J1195" s="6">
        <v>0</v>
      </c>
      <c r="K1195" s="6">
        <v>0</v>
      </c>
      <c r="L1195" s="6">
        <v>1.5629999999999999</v>
      </c>
      <c r="M1195" s="6">
        <v>1.4379599999999999</v>
      </c>
      <c r="N1195" s="6">
        <v>1.5629999999999999</v>
      </c>
      <c r="O1195" s="6">
        <v>1.4379599999999999</v>
      </c>
      <c r="P1195" s="6">
        <v>0</v>
      </c>
      <c r="Q1195" s="4" t="s">
        <v>26</v>
      </c>
      <c r="R1195" s="4">
        <v>0</v>
      </c>
      <c r="S1195" s="4" t="s">
        <v>360</v>
      </c>
      <c r="T1195" s="4" t="s">
        <v>713</v>
      </c>
      <c r="U1195" s="4">
        <v>0</v>
      </c>
      <c r="V1195" s="4">
        <v>27</v>
      </c>
      <c r="W1195" s="4">
        <v>81</v>
      </c>
    </row>
    <row r="1196" spans="1:23" ht="11.25" customHeight="1" x14ac:dyDescent="0.25">
      <c r="A1196" s="4" t="s">
        <v>21</v>
      </c>
      <c r="B1196" s="4" t="s">
        <v>33</v>
      </c>
      <c r="C1196" s="4" t="s">
        <v>34</v>
      </c>
      <c r="D1196" s="4" t="s">
        <v>47</v>
      </c>
      <c r="E1196" s="4" t="s">
        <v>25</v>
      </c>
      <c r="F1196" s="4" t="s">
        <v>25</v>
      </c>
      <c r="G1196" s="4" t="s">
        <v>25</v>
      </c>
      <c r="H1196" s="4" t="s">
        <v>35</v>
      </c>
      <c r="I1196" s="5">
        <v>43800</v>
      </c>
      <c r="J1196" s="6">
        <v>0</v>
      </c>
      <c r="K1196" s="6">
        <v>0</v>
      </c>
      <c r="L1196" s="6">
        <v>150.98500000000001</v>
      </c>
      <c r="M1196" s="6">
        <v>138.90620000000001</v>
      </c>
      <c r="N1196" s="6">
        <v>150.98500000000001</v>
      </c>
      <c r="O1196" s="6">
        <v>138.90620000000001</v>
      </c>
      <c r="P1196" s="6">
        <v>0</v>
      </c>
      <c r="Q1196" s="4" t="s">
        <v>26</v>
      </c>
      <c r="R1196" s="4">
        <v>0</v>
      </c>
      <c r="S1196" s="4" t="s">
        <v>361</v>
      </c>
      <c r="T1196" s="4" t="s">
        <v>714</v>
      </c>
      <c r="U1196" s="4">
        <v>0</v>
      </c>
      <c r="V1196" s="4">
        <v>27</v>
      </c>
      <c r="W1196" s="4">
        <v>81</v>
      </c>
    </row>
    <row r="1197" spans="1:23" ht="11.25" customHeight="1" x14ac:dyDescent="0.25">
      <c r="A1197" s="4" t="s">
        <v>27</v>
      </c>
      <c r="B1197" s="4" t="s">
        <v>33</v>
      </c>
      <c r="C1197" s="4" t="s">
        <v>34</v>
      </c>
      <c r="D1197" s="4" t="s">
        <v>47</v>
      </c>
      <c r="E1197" s="4" t="s">
        <v>25</v>
      </c>
      <c r="F1197" s="4" t="s">
        <v>25</v>
      </c>
      <c r="G1197" s="4" t="s">
        <v>25</v>
      </c>
      <c r="H1197" s="4" t="s">
        <v>35</v>
      </c>
      <c r="I1197" s="5">
        <v>43800</v>
      </c>
      <c r="J1197" s="6">
        <v>0</v>
      </c>
      <c r="K1197" s="6">
        <v>0</v>
      </c>
      <c r="L1197" s="6">
        <v>0.311</v>
      </c>
      <c r="M1197" s="6">
        <v>0.28611999999999999</v>
      </c>
      <c r="N1197" s="6">
        <v>0.311</v>
      </c>
      <c r="O1197" s="6">
        <v>0.28611999999999999</v>
      </c>
      <c r="P1197" s="6">
        <v>0</v>
      </c>
      <c r="Q1197" s="4" t="s">
        <v>26</v>
      </c>
      <c r="R1197" s="4">
        <v>0</v>
      </c>
      <c r="S1197" s="4" t="s">
        <v>361</v>
      </c>
      <c r="T1197" s="4" t="s">
        <v>714</v>
      </c>
      <c r="U1197" s="4">
        <v>0</v>
      </c>
      <c r="V1197" s="4">
        <v>27</v>
      </c>
      <c r="W1197" s="4">
        <v>81</v>
      </c>
    </row>
    <row r="1198" spans="1:23" ht="11.25" customHeight="1" x14ac:dyDescent="0.25">
      <c r="A1198" s="4" t="s">
        <v>28</v>
      </c>
      <c r="B1198" s="4" t="s">
        <v>33</v>
      </c>
      <c r="C1198" s="4" t="s">
        <v>34</v>
      </c>
      <c r="D1198" s="4" t="s">
        <v>47</v>
      </c>
      <c r="E1198" s="4" t="s">
        <v>25</v>
      </c>
      <c r="F1198" s="4" t="s">
        <v>25</v>
      </c>
      <c r="G1198" s="4" t="s">
        <v>25</v>
      </c>
      <c r="H1198" s="4" t="s">
        <v>35</v>
      </c>
      <c r="I1198" s="5">
        <v>43800</v>
      </c>
      <c r="J1198" s="6">
        <v>0</v>
      </c>
      <c r="K1198" s="6">
        <v>0</v>
      </c>
      <c r="L1198" s="6">
        <v>0.875</v>
      </c>
      <c r="M1198" s="6">
        <v>0.80500000000000005</v>
      </c>
      <c r="N1198" s="6">
        <v>0.875</v>
      </c>
      <c r="O1198" s="6">
        <v>0.80500000000000005</v>
      </c>
      <c r="P1198" s="6">
        <v>0</v>
      </c>
      <c r="Q1198" s="4" t="s">
        <v>26</v>
      </c>
      <c r="R1198" s="4">
        <v>0</v>
      </c>
      <c r="S1198" s="4" t="s">
        <v>361</v>
      </c>
      <c r="T1198" s="4" t="s">
        <v>714</v>
      </c>
      <c r="U1198" s="4">
        <v>0</v>
      </c>
      <c r="V1198" s="4">
        <v>27</v>
      </c>
      <c r="W1198" s="4">
        <v>81</v>
      </c>
    </row>
    <row r="1199" spans="1:23" ht="11.25" customHeight="1" x14ac:dyDescent="0.25">
      <c r="A1199" s="4" t="s">
        <v>21</v>
      </c>
      <c r="B1199" s="4" t="s">
        <v>33</v>
      </c>
      <c r="C1199" s="4" t="s">
        <v>34</v>
      </c>
      <c r="D1199" s="4" t="s">
        <v>47</v>
      </c>
      <c r="E1199" s="4" t="s">
        <v>25</v>
      </c>
      <c r="F1199" s="4" t="s">
        <v>25</v>
      </c>
      <c r="G1199" s="4" t="s">
        <v>25</v>
      </c>
      <c r="H1199" s="4" t="s">
        <v>35</v>
      </c>
      <c r="I1199" s="5">
        <v>43831</v>
      </c>
      <c r="J1199" s="6">
        <v>0</v>
      </c>
      <c r="K1199" s="6">
        <v>0</v>
      </c>
      <c r="L1199" s="6">
        <v>126.56699999999999</v>
      </c>
      <c r="M1199" s="6">
        <v>116.44163999999999</v>
      </c>
      <c r="N1199" s="6">
        <v>126.56699999999999</v>
      </c>
      <c r="O1199" s="6">
        <v>116.44163999999999</v>
      </c>
      <c r="P1199" s="6">
        <v>0</v>
      </c>
      <c r="Q1199" s="4" t="s">
        <v>26</v>
      </c>
      <c r="R1199" s="4">
        <v>0</v>
      </c>
      <c r="S1199" s="4" t="s">
        <v>362</v>
      </c>
      <c r="T1199" s="4" t="s">
        <v>715</v>
      </c>
      <c r="U1199" s="4">
        <v>0</v>
      </c>
      <c r="V1199" s="4">
        <v>27</v>
      </c>
      <c r="W1199" s="4">
        <v>81</v>
      </c>
    </row>
    <row r="1200" spans="1:23" ht="11.25" customHeight="1" x14ac:dyDescent="0.25">
      <c r="A1200" s="4" t="s">
        <v>28</v>
      </c>
      <c r="B1200" s="4" t="s">
        <v>33</v>
      </c>
      <c r="C1200" s="4" t="s">
        <v>34</v>
      </c>
      <c r="D1200" s="4" t="s">
        <v>47</v>
      </c>
      <c r="E1200" s="4" t="s">
        <v>25</v>
      </c>
      <c r="F1200" s="4" t="s">
        <v>25</v>
      </c>
      <c r="G1200" s="4" t="s">
        <v>25</v>
      </c>
      <c r="H1200" s="4" t="s">
        <v>35</v>
      </c>
      <c r="I1200" s="5">
        <v>43831</v>
      </c>
      <c r="J1200" s="6">
        <v>0</v>
      </c>
      <c r="K1200" s="6">
        <v>0</v>
      </c>
      <c r="L1200" s="6">
        <v>1.6359999999999999</v>
      </c>
      <c r="M1200" s="6">
        <v>1.50512</v>
      </c>
      <c r="N1200" s="6">
        <v>1.6359999999999999</v>
      </c>
      <c r="O1200" s="6">
        <v>1.50512</v>
      </c>
      <c r="P1200" s="6">
        <v>0</v>
      </c>
      <c r="Q1200" s="4" t="s">
        <v>26</v>
      </c>
      <c r="R1200" s="4">
        <v>0</v>
      </c>
      <c r="S1200" s="4" t="s">
        <v>362</v>
      </c>
      <c r="T1200" s="4" t="s">
        <v>715</v>
      </c>
      <c r="U1200" s="4">
        <v>0</v>
      </c>
      <c r="V1200" s="4">
        <v>27</v>
      </c>
      <c r="W1200" s="4">
        <v>81</v>
      </c>
    </row>
    <row r="1201" spans="1:23" ht="11.25" customHeight="1" x14ac:dyDescent="0.25">
      <c r="A1201" s="4" t="s">
        <v>21</v>
      </c>
      <c r="B1201" s="4" t="s">
        <v>33</v>
      </c>
      <c r="C1201" s="4" t="s">
        <v>34</v>
      </c>
      <c r="D1201" s="4" t="s">
        <v>47</v>
      </c>
      <c r="E1201" s="4" t="s">
        <v>25</v>
      </c>
      <c r="F1201" s="4" t="s">
        <v>25</v>
      </c>
      <c r="G1201" s="4" t="s">
        <v>25</v>
      </c>
      <c r="H1201" s="4" t="s">
        <v>35</v>
      </c>
      <c r="I1201" s="5">
        <v>43862</v>
      </c>
      <c r="J1201" s="6">
        <v>0</v>
      </c>
      <c r="K1201" s="6">
        <v>0</v>
      </c>
      <c r="L1201" s="6">
        <v>142.10900000000001</v>
      </c>
      <c r="M1201" s="6">
        <v>130.74028000000001</v>
      </c>
      <c r="N1201" s="6">
        <v>142.10900000000001</v>
      </c>
      <c r="O1201" s="6">
        <v>130.74028000000001</v>
      </c>
      <c r="P1201" s="6">
        <v>0</v>
      </c>
      <c r="Q1201" s="4" t="s">
        <v>26</v>
      </c>
      <c r="R1201" s="4">
        <v>0</v>
      </c>
      <c r="S1201" s="4" t="s">
        <v>363</v>
      </c>
      <c r="T1201" s="4" t="s">
        <v>716</v>
      </c>
      <c r="U1201" s="4">
        <v>0</v>
      </c>
      <c r="V1201" s="4">
        <v>27</v>
      </c>
      <c r="W1201" s="4">
        <v>81</v>
      </c>
    </row>
    <row r="1202" spans="1:23" ht="11.25" customHeight="1" x14ac:dyDescent="0.25">
      <c r="A1202" s="4" t="s">
        <v>28</v>
      </c>
      <c r="B1202" s="4" t="s">
        <v>33</v>
      </c>
      <c r="C1202" s="4" t="s">
        <v>34</v>
      </c>
      <c r="D1202" s="4" t="s">
        <v>47</v>
      </c>
      <c r="E1202" s="4" t="s">
        <v>25</v>
      </c>
      <c r="F1202" s="4" t="s">
        <v>25</v>
      </c>
      <c r="G1202" s="4" t="s">
        <v>25</v>
      </c>
      <c r="H1202" s="4" t="s">
        <v>35</v>
      </c>
      <c r="I1202" s="5">
        <v>43862</v>
      </c>
      <c r="J1202" s="6">
        <v>0</v>
      </c>
      <c r="K1202" s="6">
        <v>0</v>
      </c>
      <c r="L1202" s="6">
        <v>0.65300000000000002</v>
      </c>
      <c r="M1202" s="6">
        <v>0.60076000000000007</v>
      </c>
      <c r="N1202" s="6">
        <v>0.65300000000000002</v>
      </c>
      <c r="O1202" s="6">
        <v>0.60076000000000007</v>
      </c>
      <c r="P1202" s="6">
        <v>0</v>
      </c>
      <c r="Q1202" s="4" t="s">
        <v>26</v>
      </c>
      <c r="R1202" s="4">
        <v>0</v>
      </c>
      <c r="S1202" s="4" t="s">
        <v>363</v>
      </c>
      <c r="T1202" s="4" t="s">
        <v>716</v>
      </c>
      <c r="U1202" s="4">
        <v>0</v>
      </c>
      <c r="V1202" s="4">
        <v>27</v>
      </c>
      <c r="W1202" s="4">
        <v>81</v>
      </c>
    </row>
    <row r="1203" spans="1:23" ht="11.25" customHeight="1" x14ac:dyDescent="0.25">
      <c r="A1203" s="4" t="s">
        <v>21</v>
      </c>
      <c r="B1203" s="4" t="s">
        <v>33</v>
      </c>
      <c r="C1203" s="4" t="s">
        <v>34</v>
      </c>
      <c r="D1203" s="4" t="s">
        <v>47</v>
      </c>
      <c r="E1203" s="4" t="s">
        <v>25</v>
      </c>
      <c r="F1203" s="4" t="s">
        <v>25</v>
      </c>
      <c r="G1203" s="4" t="s">
        <v>25</v>
      </c>
      <c r="H1203" s="4" t="s">
        <v>35</v>
      </c>
      <c r="I1203" s="5">
        <v>43891</v>
      </c>
      <c r="J1203" s="6">
        <v>0</v>
      </c>
      <c r="K1203" s="6">
        <v>0</v>
      </c>
      <c r="L1203" s="6">
        <v>181.12700000000001</v>
      </c>
      <c r="M1203" s="6">
        <v>166.63684000000001</v>
      </c>
      <c r="N1203" s="6">
        <v>181.12700000000001</v>
      </c>
      <c r="O1203" s="6">
        <v>166.63684000000001</v>
      </c>
      <c r="P1203" s="6">
        <v>0</v>
      </c>
      <c r="Q1203" s="4" t="s">
        <v>26</v>
      </c>
      <c r="R1203" s="4">
        <v>0</v>
      </c>
      <c r="S1203" s="4" t="s">
        <v>364</v>
      </c>
      <c r="T1203" s="4" t="s">
        <v>717</v>
      </c>
      <c r="U1203" s="4">
        <v>0</v>
      </c>
      <c r="V1203" s="4">
        <v>27</v>
      </c>
      <c r="W1203" s="4">
        <v>81</v>
      </c>
    </row>
    <row r="1204" spans="1:23" ht="11.25" customHeight="1" x14ac:dyDescent="0.25">
      <c r="A1204" s="4" t="s">
        <v>28</v>
      </c>
      <c r="B1204" s="4" t="s">
        <v>33</v>
      </c>
      <c r="C1204" s="4" t="s">
        <v>34</v>
      </c>
      <c r="D1204" s="4" t="s">
        <v>47</v>
      </c>
      <c r="E1204" s="4" t="s">
        <v>25</v>
      </c>
      <c r="F1204" s="4" t="s">
        <v>25</v>
      </c>
      <c r="G1204" s="4" t="s">
        <v>25</v>
      </c>
      <c r="H1204" s="4" t="s">
        <v>35</v>
      </c>
      <c r="I1204" s="5">
        <v>43891</v>
      </c>
      <c r="J1204" s="6">
        <v>0</v>
      </c>
      <c r="K1204" s="6">
        <v>0</v>
      </c>
      <c r="L1204" s="6">
        <v>1.6739999999999999</v>
      </c>
      <c r="M1204" s="6">
        <v>1.5400800000000001</v>
      </c>
      <c r="N1204" s="6">
        <v>1.6739999999999999</v>
      </c>
      <c r="O1204" s="6">
        <v>1.5400800000000001</v>
      </c>
      <c r="P1204" s="6">
        <v>0</v>
      </c>
      <c r="Q1204" s="4" t="s">
        <v>26</v>
      </c>
      <c r="R1204" s="4">
        <v>0</v>
      </c>
      <c r="S1204" s="4" t="s">
        <v>364</v>
      </c>
      <c r="T1204" s="4" t="s">
        <v>717</v>
      </c>
      <c r="U1204" s="4">
        <v>0</v>
      </c>
      <c r="V1204" s="4">
        <v>27</v>
      </c>
      <c r="W1204" s="4">
        <v>81</v>
      </c>
    </row>
    <row r="1205" spans="1:23" ht="11.25" customHeight="1" x14ac:dyDescent="0.25">
      <c r="A1205" s="4" t="s">
        <v>21</v>
      </c>
      <c r="B1205" s="4" t="s">
        <v>33</v>
      </c>
      <c r="C1205" s="4" t="s">
        <v>34</v>
      </c>
      <c r="D1205" s="4" t="s">
        <v>47</v>
      </c>
      <c r="E1205" s="4" t="s">
        <v>25</v>
      </c>
      <c r="F1205" s="4" t="s">
        <v>25</v>
      </c>
      <c r="G1205" s="4" t="s">
        <v>25</v>
      </c>
      <c r="H1205" s="4" t="s">
        <v>35</v>
      </c>
      <c r="I1205" s="5">
        <v>43922</v>
      </c>
      <c r="J1205" s="6">
        <v>0</v>
      </c>
      <c r="K1205" s="6">
        <v>0</v>
      </c>
      <c r="L1205" s="6">
        <v>206.483</v>
      </c>
      <c r="M1205" s="6">
        <v>189.96436</v>
      </c>
      <c r="N1205" s="6">
        <v>206.483</v>
      </c>
      <c r="O1205" s="6">
        <v>189.96436</v>
      </c>
      <c r="P1205" s="6">
        <v>0</v>
      </c>
      <c r="Q1205" s="4" t="s">
        <v>26</v>
      </c>
      <c r="R1205" s="4">
        <v>0</v>
      </c>
      <c r="S1205" s="4" t="s">
        <v>365</v>
      </c>
      <c r="T1205" s="4" t="s">
        <v>718</v>
      </c>
      <c r="U1205" s="4">
        <v>0</v>
      </c>
      <c r="V1205" s="4">
        <v>27</v>
      </c>
      <c r="W1205" s="4">
        <v>81</v>
      </c>
    </row>
    <row r="1206" spans="1:23" ht="11.25" customHeight="1" x14ac:dyDescent="0.25">
      <c r="A1206" s="4" t="s">
        <v>27</v>
      </c>
      <c r="B1206" s="4" t="s">
        <v>33</v>
      </c>
      <c r="C1206" s="4" t="s">
        <v>34</v>
      </c>
      <c r="D1206" s="4" t="s">
        <v>47</v>
      </c>
      <c r="E1206" s="4" t="s">
        <v>25</v>
      </c>
      <c r="F1206" s="4" t="s">
        <v>25</v>
      </c>
      <c r="G1206" s="4" t="s">
        <v>25</v>
      </c>
      <c r="H1206" s="4" t="s">
        <v>35</v>
      </c>
      <c r="I1206" s="5">
        <v>43922</v>
      </c>
      <c r="J1206" s="6">
        <v>0</v>
      </c>
      <c r="K1206" s="6">
        <v>0</v>
      </c>
      <c r="L1206" s="6">
        <v>0.41699999999999998</v>
      </c>
      <c r="M1206" s="6">
        <v>0.38363999999999998</v>
      </c>
      <c r="N1206" s="6">
        <v>0.41699999999999998</v>
      </c>
      <c r="O1206" s="6">
        <v>0.38363999999999998</v>
      </c>
      <c r="P1206" s="6">
        <v>0</v>
      </c>
      <c r="Q1206" s="4" t="s">
        <v>26</v>
      </c>
      <c r="R1206" s="4">
        <v>0</v>
      </c>
      <c r="S1206" s="4" t="s">
        <v>365</v>
      </c>
      <c r="T1206" s="4" t="s">
        <v>718</v>
      </c>
      <c r="U1206" s="4">
        <v>0</v>
      </c>
      <c r="V1206" s="4">
        <v>27</v>
      </c>
      <c r="W1206" s="4">
        <v>81</v>
      </c>
    </row>
    <row r="1207" spans="1:23" ht="11.25" customHeight="1" x14ac:dyDescent="0.25">
      <c r="A1207" s="4" t="s">
        <v>28</v>
      </c>
      <c r="B1207" s="4" t="s">
        <v>33</v>
      </c>
      <c r="C1207" s="4" t="s">
        <v>34</v>
      </c>
      <c r="D1207" s="4" t="s">
        <v>47</v>
      </c>
      <c r="E1207" s="4" t="s">
        <v>25</v>
      </c>
      <c r="F1207" s="4" t="s">
        <v>25</v>
      </c>
      <c r="G1207" s="4" t="s">
        <v>25</v>
      </c>
      <c r="H1207" s="4" t="s">
        <v>35</v>
      </c>
      <c r="I1207" s="5">
        <v>43922</v>
      </c>
      <c r="J1207" s="6">
        <v>0</v>
      </c>
      <c r="K1207" s="6">
        <v>0</v>
      </c>
      <c r="L1207" s="6">
        <v>3.2309999999999999</v>
      </c>
      <c r="M1207" s="6">
        <v>2.9725199999999998</v>
      </c>
      <c r="N1207" s="6">
        <v>3.2309999999999999</v>
      </c>
      <c r="O1207" s="6">
        <v>2.9725199999999998</v>
      </c>
      <c r="P1207" s="6">
        <v>0</v>
      </c>
      <c r="Q1207" s="4" t="s">
        <v>26</v>
      </c>
      <c r="R1207" s="4">
        <v>0</v>
      </c>
      <c r="S1207" s="4" t="s">
        <v>365</v>
      </c>
      <c r="T1207" s="4" t="s">
        <v>718</v>
      </c>
      <c r="U1207" s="4">
        <v>0</v>
      </c>
      <c r="V1207" s="4">
        <v>27</v>
      </c>
      <c r="W1207" s="4">
        <v>81</v>
      </c>
    </row>
    <row r="1208" spans="1:23" ht="11.25" customHeight="1" x14ac:dyDescent="0.25">
      <c r="A1208" s="4" t="s">
        <v>21</v>
      </c>
      <c r="B1208" s="4" t="s">
        <v>33</v>
      </c>
      <c r="C1208" s="4" t="s">
        <v>34</v>
      </c>
      <c r="D1208" s="4" t="s">
        <v>47</v>
      </c>
      <c r="E1208" s="4" t="s">
        <v>25</v>
      </c>
      <c r="F1208" s="4" t="s">
        <v>25</v>
      </c>
      <c r="G1208" s="4" t="s">
        <v>25</v>
      </c>
      <c r="H1208" s="4" t="s">
        <v>35</v>
      </c>
      <c r="I1208" s="5">
        <v>43952</v>
      </c>
      <c r="J1208" s="6">
        <v>0</v>
      </c>
      <c r="K1208" s="6">
        <v>0</v>
      </c>
      <c r="L1208" s="6">
        <v>151.37299999999999</v>
      </c>
      <c r="M1208" s="6">
        <v>139.26316</v>
      </c>
      <c r="N1208" s="6">
        <v>151.37299999999999</v>
      </c>
      <c r="O1208" s="6">
        <v>139.26316</v>
      </c>
      <c r="P1208" s="6">
        <v>0</v>
      </c>
      <c r="Q1208" s="4" t="s">
        <v>26</v>
      </c>
      <c r="R1208" s="4">
        <v>0</v>
      </c>
      <c r="S1208" s="4" t="s">
        <v>366</v>
      </c>
      <c r="T1208" s="4" t="s">
        <v>719</v>
      </c>
      <c r="U1208" s="4">
        <v>0</v>
      </c>
      <c r="V1208" s="4">
        <v>27</v>
      </c>
      <c r="W1208" s="4">
        <v>81</v>
      </c>
    </row>
    <row r="1209" spans="1:23" ht="11.25" customHeight="1" x14ac:dyDescent="0.25">
      <c r="A1209" s="4" t="s">
        <v>27</v>
      </c>
      <c r="B1209" s="4" t="s">
        <v>33</v>
      </c>
      <c r="C1209" s="4" t="s">
        <v>34</v>
      </c>
      <c r="D1209" s="4" t="s">
        <v>47</v>
      </c>
      <c r="E1209" s="4" t="s">
        <v>25</v>
      </c>
      <c r="F1209" s="4" t="s">
        <v>25</v>
      </c>
      <c r="G1209" s="4" t="s">
        <v>25</v>
      </c>
      <c r="H1209" s="4" t="s">
        <v>35</v>
      </c>
      <c r="I1209" s="5">
        <v>43952</v>
      </c>
      <c r="J1209" s="6">
        <v>0</v>
      </c>
      <c r="K1209" s="6">
        <v>0</v>
      </c>
      <c r="L1209" s="6">
        <v>2.6659999999999999</v>
      </c>
      <c r="M1209" s="6">
        <v>2.4527200000000002</v>
      </c>
      <c r="N1209" s="6">
        <v>2.6659999999999999</v>
      </c>
      <c r="O1209" s="6">
        <v>2.4527200000000002</v>
      </c>
      <c r="P1209" s="6">
        <v>0</v>
      </c>
      <c r="Q1209" s="4" t="s">
        <v>26</v>
      </c>
      <c r="R1209" s="4">
        <v>0</v>
      </c>
      <c r="S1209" s="4" t="s">
        <v>366</v>
      </c>
      <c r="T1209" s="4" t="s">
        <v>719</v>
      </c>
      <c r="U1209" s="4">
        <v>0</v>
      </c>
      <c r="V1209" s="4">
        <v>27</v>
      </c>
      <c r="W1209" s="4">
        <v>81</v>
      </c>
    </row>
    <row r="1210" spans="1:23" ht="11.25" customHeight="1" x14ac:dyDescent="0.25">
      <c r="A1210" s="4" t="s">
        <v>28</v>
      </c>
      <c r="B1210" s="4" t="s">
        <v>33</v>
      </c>
      <c r="C1210" s="4" t="s">
        <v>34</v>
      </c>
      <c r="D1210" s="4" t="s">
        <v>47</v>
      </c>
      <c r="E1210" s="4" t="s">
        <v>25</v>
      </c>
      <c r="F1210" s="4" t="s">
        <v>25</v>
      </c>
      <c r="G1210" s="4" t="s">
        <v>25</v>
      </c>
      <c r="H1210" s="4" t="s">
        <v>35</v>
      </c>
      <c r="I1210" s="5">
        <v>43952</v>
      </c>
      <c r="J1210" s="6">
        <v>0</v>
      </c>
      <c r="K1210" s="6">
        <v>0</v>
      </c>
      <c r="L1210" s="6">
        <v>4.2409999999999997</v>
      </c>
      <c r="M1210" s="6">
        <v>3.9017200000000001</v>
      </c>
      <c r="N1210" s="6">
        <v>4.2409999999999997</v>
      </c>
      <c r="O1210" s="6">
        <v>3.9017200000000001</v>
      </c>
      <c r="P1210" s="6">
        <v>0</v>
      </c>
      <c r="Q1210" s="4" t="s">
        <v>26</v>
      </c>
      <c r="R1210" s="4">
        <v>0</v>
      </c>
      <c r="S1210" s="4" t="s">
        <v>366</v>
      </c>
      <c r="T1210" s="4" t="s">
        <v>719</v>
      </c>
      <c r="U1210" s="4">
        <v>0</v>
      </c>
      <c r="V1210" s="4">
        <v>27</v>
      </c>
      <c r="W1210" s="4">
        <v>81</v>
      </c>
    </row>
    <row r="1211" spans="1:23" ht="11.25" customHeight="1" x14ac:dyDescent="0.25">
      <c r="A1211" s="4" t="s">
        <v>21</v>
      </c>
      <c r="B1211" s="4" t="s">
        <v>33</v>
      </c>
      <c r="C1211" s="4" t="s">
        <v>34</v>
      </c>
      <c r="D1211" s="4" t="s">
        <v>47</v>
      </c>
      <c r="E1211" s="4" t="s">
        <v>25</v>
      </c>
      <c r="F1211" s="4" t="s">
        <v>25</v>
      </c>
      <c r="G1211" s="4" t="s">
        <v>25</v>
      </c>
      <c r="H1211" s="4" t="s">
        <v>35</v>
      </c>
      <c r="I1211" s="5">
        <v>43983</v>
      </c>
      <c r="J1211" s="6">
        <v>0</v>
      </c>
      <c r="K1211" s="6">
        <v>0</v>
      </c>
      <c r="L1211" s="6">
        <v>161.43700000000001</v>
      </c>
      <c r="M1211" s="6">
        <v>148.52204</v>
      </c>
      <c r="N1211" s="6">
        <v>161.43700000000001</v>
      </c>
      <c r="O1211" s="6">
        <v>148.52204</v>
      </c>
      <c r="P1211" s="6">
        <v>0</v>
      </c>
      <c r="Q1211" s="4" t="s">
        <v>26</v>
      </c>
      <c r="R1211" s="4">
        <v>0</v>
      </c>
      <c r="S1211" s="4" t="s">
        <v>367</v>
      </c>
      <c r="T1211" s="4" t="s">
        <v>720</v>
      </c>
      <c r="U1211" s="4">
        <v>0</v>
      </c>
      <c r="V1211" s="4">
        <v>27</v>
      </c>
      <c r="W1211" s="4">
        <v>81</v>
      </c>
    </row>
    <row r="1212" spans="1:23" ht="11.25" customHeight="1" x14ac:dyDescent="0.25">
      <c r="A1212" s="4" t="s">
        <v>27</v>
      </c>
      <c r="B1212" s="4" t="s">
        <v>33</v>
      </c>
      <c r="C1212" s="4" t="s">
        <v>34</v>
      </c>
      <c r="D1212" s="4" t="s">
        <v>47</v>
      </c>
      <c r="E1212" s="4" t="s">
        <v>25</v>
      </c>
      <c r="F1212" s="4" t="s">
        <v>25</v>
      </c>
      <c r="G1212" s="4" t="s">
        <v>25</v>
      </c>
      <c r="H1212" s="4" t="s">
        <v>35</v>
      </c>
      <c r="I1212" s="5">
        <v>43983</v>
      </c>
      <c r="J1212" s="6">
        <v>0</v>
      </c>
      <c r="K1212" s="6">
        <v>0</v>
      </c>
      <c r="L1212" s="6">
        <v>1.2969999999999999</v>
      </c>
      <c r="M1212" s="6">
        <v>1.1932400000000001</v>
      </c>
      <c r="N1212" s="6">
        <v>1.2969999999999999</v>
      </c>
      <c r="O1212" s="6">
        <v>1.1932400000000001</v>
      </c>
      <c r="P1212" s="6">
        <v>0</v>
      </c>
      <c r="Q1212" s="4" t="s">
        <v>26</v>
      </c>
      <c r="R1212" s="4">
        <v>0</v>
      </c>
      <c r="S1212" s="4" t="s">
        <v>367</v>
      </c>
      <c r="T1212" s="4" t="s">
        <v>720</v>
      </c>
      <c r="U1212" s="4">
        <v>0</v>
      </c>
      <c r="V1212" s="4">
        <v>27</v>
      </c>
      <c r="W1212" s="4">
        <v>81</v>
      </c>
    </row>
    <row r="1213" spans="1:23" ht="11.25" customHeight="1" x14ac:dyDescent="0.25">
      <c r="A1213" s="4" t="s">
        <v>28</v>
      </c>
      <c r="B1213" s="4" t="s">
        <v>33</v>
      </c>
      <c r="C1213" s="4" t="s">
        <v>34</v>
      </c>
      <c r="D1213" s="4" t="s">
        <v>47</v>
      </c>
      <c r="E1213" s="4" t="s">
        <v>25</v>
      </c>
      <c r="F1213" s="4" t="s">
        <v>25</v>
      </c>
      <c r="G1213" s="4" t="s">
        <v>25</v>
      </c>
      <c r="H1213" s="4" t="s">
        <v>35</v>
      </c>
      <c r="I1213" s="5">
        <v>43983</v>
      </c>
      <c r="J1213" s="6">
        <v>0</v>
      </c>
      <c r="K1213" s="6">
        <v>0</v>
      </c>
      <c r="L1213" s="6">
        <v>2.266</v>
      </c>
      <c r="M1213" s="6">
        <v>2.0847199999999999</v>
      </c>
      <c r="N1213" s="6">
        <v>2.266</v>
      </c>
      <c r="O1213" s="6">
        <v>2.0847199999999999</v>
      </c>
      <c r="P1213" s="6">
        <v>0</v>
      </c>
      <c r="Q1213" s="4" t="s">
        <v>26</v>
      </c>
      <c r="R1213" s="4">
        <v>0</v>
      </c>
      <c r="S1213" s="4" t="s">
        <v>367</v>
      </c>
      <c r="T1213" s="4" t="s">
        <v>720</v>
      </c>
      <c r="U1213" s="4">
        <v>0</v>
      </c>
      <c r="V1213" s="4">
        <v>27</v>
      </c>
      <c r="W1213" s="4">
        <v>81</v>
      </c>
    </row>
    <row r="1214" spans="1:23" ht="11.25" customHeight="1" x14ac:dyDescent="0.25">
      <c r="A1214" s="4" t="s">
        <v>21</v>
      </c>
      <c r="B1214" s="4" t="s">
        <v>33</v>
      </c>
      <c r="C1214" s="4" t="s">
        <v>34</v>
      </c>
      <c r="D1214" s="4" t="s">
        <v>47</v>
      </c>
      <c r="E1214" s="4" t="s">
        <v>25</v>
      </c>
      <c r="F1214" s="4" t="s">
        <v>25</v>
      </c>
      <c r="G1214" s="4" t="s">
        <v>25</v>
      </c>
      <c r="H1214" s="4" t="s">
        <v>35</v>
      </c>
      <c r="I1214" s="5">
        <v>44013</v>
      </c>
      <c r="J1214" s="6">
        <v>0</v>
      </c>
      <c r="K1214" s="6">
        <v>0</v>
      </c>
      <c r="L1214" s="6">
        <v>148.465</v>
      </c>
      <c r="M1214" s="6">
        <v>136.58780000000002</v>
      </c>
      <c r="N1214" s="6">
        <v>148.465</v>
      </c>
      <c r="O1214" s="6">
        <v>136.58780000000002</v>
      </c>
      <c r="P1214" s="6">
        <v>0</v>
      </c>
      <c r="Q1214" s="4" t="s">
        <v>26</v>
      </c>
      <c r="R1214" s="4">
        <v>0</v>
      </c>
      <c r="S1214" s="4" t="s">
        <v>368</v>
      </c>
      <c r="T1214" s="4" t="s">
        <v>721</v>
      </c>
      <c r="U1214" s="4">
        <v>0</v>
      </c>
      <c r="V1214" s="4">
        <v>27</v>
      </c>
      <c r="W1214" s="4">
        <v>81</v>
      </c>
    </row>
    <row r="1215" spans="1:23" ht="11.25" customHeight="1" x14ac:dyDescent="0.25">
      <c r="A1215" s="4" t="s">
        <v>27</v>
      </c>
      <c r="B1215" s="4" t="s">
        <v>33</v>
      </c>
      <c r="C1215" s="4" t="s">
        <v>34</v>
      </c>
      <c r="D1215" s="4" t="s">
        <v>47</v>
      </c>
      <c r="E1215" s="4" t="s">
        <v>25</v>
      </c>
      <c r="F1215" s="4" t="s">
        <v>25</v>
      </c>
      <c r="G1215" s="4" t="s">
        <v>25</v>
      </c>
      <c r="H1215" s="4" t="s">
        <v>35</v>
      </c>
      <c r="I1215" s="5">
        <v>44013</v>
      </c>
      <c r="J1215" s="6">
        <v>0</v>
      </c>
      <c r="K1215" s="6">
        <v>0</v>
      </c>
      <c r="L1215" s="6">
        <v>2.633</v>
      </c>
      <c r="M1215" s="6">
        <v>2.4223600000000003</v>
      </c>
      <c r="N1215" s="6">
        <v>2.633</v>
      </c>
      <c r="O1215" s="6">
        <v>2.4223600000000003</v>
      </c>
      <c r="P1215" s="6">
        <v>0</v>
      </c>
      <c r="Q1215" s="4" t="s">
        <v>26</v>
      </c>
      <c r="R1215" s="4">
        <v>0</v>
      </c>
      <c r="S1215" s="4" t="s">
        <v>368</v>
      </c>
      <c r="T1215" s="4" t="s">
        <v>721</v>
      </c>
      <c r="U1215" s="4">
        <v>0</v>
      </c>
      <c r="V1215" s="4">
        <v>27</v>
      </c>
      <c r="W1215" s="4">
        <v>81</v>
      </c>
    </row>
    <row r="1216" spans="1:23" ht="11.25" customHeight="1" x14ac:dyDescent="0.25">
      <c r="A1216" s="4" t="s">
        <v>28</v>
      </c>
      <c r="B1216" s="4" t="s">
        <v>33</v>
      </c>
      <c r="C1216" s="4" t="s">
        <v>34</v>
      </c>
      <c r="D1216" s="4" t="s">
        <v>47</v>
      </c>
      <c r="E1216" s="4" t="s">
        <v>25</v>
      </c>
      <c r="F1216" s="4" t="s">
        <v>25</v>
      </c>
      <c r="G1216" s="4" t="s">
        <v>25</v>
      </c>
      <c r="H1216" s="4" t="s">
        <v>35</v>
      </c>
      <c r="I1216" s="5">
        <v>44013</v>
      </c>
      <c r="J1216" s="6">
        <v>0</v>
      </c>
      <c r="K1216" s="6">
        <v>0</v>
      </c>
      <c r="L1216" s="6">
        <v>24.263000000000002</v>
      </c>
      <c r="M1216" s="6">
        <v>22.321960000000004</v>
      </c>
      <c r="N1216" s="6">
        <v>24.263000000000002</v>
      </c>
      <c r="O1216" s="6">
        <v>22.321960000000004</v>
      </c>
      <c r="P1216" s="6">
        <v>0</v>
      </c>
      <c r="Q1216" s="4" t="s">
        <v>26</v>
      </c>
      <c r="R1216" s="4">
        <v>0</v>
      </c>
      <c r="S1216" s="4" t="s">
        <v>368</v>
      </c>
      <c r="T1216" s="4" t="s">
        <v>721</v>
      </c>
      <c r="U1216" s="4">
        <v>0</v>
      </c>
      <c r="V1216" s="4">
        <v>27</v>
      </c>
      <c r="W1216" s="4">
        <v>81</v>
      </c>
    </row>
    <row r="1217" spans="1:23" ht="11.25" customHeight="1" x14ac:dyDescent="0.25">
      <c r="A1217" s="4" t="s">
        <v>21</v>
      </c>
      <c r="B1217" s="4" t="s">
        <v>33</v>
      </c>
      <c r="C1217" s="4" t="s">
        <v>34</v>
      </c>
      <c r="D1217" s="4" t="s">
        <v>47</v>
      </c>
      <c r="E1217" s="4" t="s">
        <v>25</v>
      </c>
      <c r="F1217" s="4" t="s">
        <v>25</v>
      </c>
      <c r="G1217" s="4" t="s">
        <v>25</v>
      </c>
      <c r="H1217" s="4" t="s">
        <v>35</v>
      </c>
      <c r="I1217" s="5">
        <v>44044</v>
      </c>
      <c r="J1217" s="6">
        <v>0</v>
      </c>
      <c r="K1217" s="6">
        <v>0</v>
      </c>
      <c r="L1217" s="6">
        <v>159.03899999999999</v>
      </c>
      <c r="M1217" s="6">
        <v>146.31587999999999</v>
      </c>
      <c r="N1217" s="6">
        <v>159.03899999999999</v>
      </c>
      <c r="O1217" s="6">
        <v>146.31587999999999</v>
      </c>
      <c r="P1217" s="6">
        <v>0</v>
      </c>
      <c r="Q1217" s="4" t="s">
        <v>26</v>
      </c>
      <c r="R1217" s="4">
        <v>0</v>
      </c>
      <c r="S1217" s="4" t="s">
        <v>369</v>
      </c>
      <c r="T1217" s="4" t="s">
        <v>722</v>
      </c>
      <c r="U1217" s="4">
        <v>0</v>
      </c>
      <c r="V1217" s="4">
        <v>27</v>
      </c>
      <c r="W1217" s="4">
        <v>81</v>
      </c>
    </row>
    <row r="1218" spans="1:23" ht="11.25" customHeight="1" x14ac:dyDescent="0.25">
      <c r="A1218" s="4" t="s">
        <v>27</v>
      </c>
      <c r="B1218" s="4" t="s">
        <v>33</v>
      </c>
      <c r="C1218" s="4" t="s">
        <v>34</v>
      </c>
      <c r="D1218" s="4" t="s">
        <v>47</v>
      </c>
      <c r="E1218" s="4" t="s">
        <v>25</v>
      </c>
      <c r="F1218" s="4" t="s">
        <v>25</v>
      </c>
      <c r="G1218" s="4" t="s">
        <v>25</v>
      </c>
      <c r="H1218" s="4" t="s">
        <v>35</v>
      </c>
      <c r="I1218" s="5">
        <v>44044</v>
      </c>
      <c r="J1218" s="6">
        <v>0</v>
      </c>
      <c r="K1218" s="6">
        <v>0</v>
      </c>
      <c r="L1218" s="6">
        <v>7.7350000000000003</v>
      </c>
      <c r="M1218" s="6">
        <v>7.116200000000001</v>
      </c>
      <c r="N1218" s="6">
        <v>7.7350000000000003</v>
      </c>
      <c r="O1218" s="6">
        <v>7.116200000000001</v>
      </c>
      <c r="P1218" s="6">
        <v>0</v>
      </c>
      <c r="Q1218" s="4" t="s">
        <v>26</v>
      </c>
      <c r="R1218" s="4">
        <v>0</v>
      </c>
      <c r="S1218" s="4" t="s">
        <v>369</v>
      </c>
      <c r="T1218" s="4" t="s">
        <v>722</v>
      </c>
      <c r="U1218" s="4">
        <v>0</v>
      </c>
      <c r="V1218" s="4">
        <v>27</v>
      </c>
      <c r="W1218" s="4">
        <v>81</v>
      </c>
    </row>
    <row r="1219" spans="1:23" ht="11.25" customHeight="1" x14ac:dyDescent="0.25">
      <c r="A1219" s="4" t="s">
        <v>28</v>
      </c>
      <c r="B1219" s="4" t="s">
        <v>33</v>
      </c>
      <c r="C1219" s="4" t="s">
        <v>34</v>
      </c>
      <c r="D1219" s="4" t="s">
        <v>47</v>
      </c>
      <c r="E1219" s="4" t="s">
        <v>25</v>
      </c>
      <c r="F1219" s="4" t="s">
        <v>25</v>
      </c>
      <c r="G1219" s="4" t="s">
        <v>25</v>
      </c>
      <c r="H1219" s="4" t="s">
        <v>35</v>
      </c>
      <c r="I1219" s="5">
        <v>44044</v>
      </c>
      <c r="J1219" s="6">
        <v>0</v>
      </c>
      <c r="K1219" s="6">
        <v>0</v>
      </c>
      <c r="L1219" s="6">
        <v>31.681999999999999</v>
      </c>
      <c r="M1219" s="6">
        <v>29.14744</v>
      </c>
      <c r="N1219" s="6">
        <v>31.681999999999999</v>
      </c>
      <c r="O1219" s="6">
        <v>29.14744</v>
      </c>
      <c r="P1219" s="6">
        <v>0</v>
      </c>
      <c r="Q1219" s="4" t="s">
        <v>26</v>
      </c>
      <c r="R1219" s="4">
        <v>0</v>
      </c>
      <c r="S1219" s="4" t="s">
        <v>369</v>
      </c>
      <c r="T1219" s="4" t="s">
        <v>722</v>
      </c>
      <c r="U1219" s="4">
        <v>0</v>
      </c>
      <c r="V1219" s="4">
        <v>27</v>
      </c>
      <c r="W1219" s="4">
        <v>81</v>
      </c>
    </row>
    <row r="1220" spans="1:23" ht="11.25" customHeight="1" x14ac:dyDescent="0.25">
      <c r="A1220" s="4" t="s">
        <v>59</v>
      </c>
      <c r="B1220" s="4" t="s">
        <v>33</v>
      </c>
      <c r="C1220" s="4" t="s">
        <v>34</v>
      </c>
      <c r="D1220" s="4" t="s">
        <v>47</v>
      </c>
      <c r="E1220" s="4" t="s">
        <v>25</v>
      </c>
      <c r="F1220" s="4" t="s">
        <v>25</v>
      </c>
      <c r="G1220" s="4" t="s">
        <v>25</v>
      </c>
      <c r="H1220" s="4" t="s">
        <v>35</v>
      </c>
      <c r="I1220" s="5">
        <v>44075</v>
      </c>
      <c r="J1220" s="6">
        <v>0</v>
      </c>
      <c r="K1220" s="6">
        <v>0</v>
      </c>
      <c r="L1220" s="6">
        <v>159.03899999999999</v>
      </c>
      <c r="M1220" s="6">
        <v>146.31587999999999</v>
      </c>
      <c r="N1220" s="6">
        <v>159.03899999999999</v>
      </c>
      <c r="O1220" s="6">
        <v>146.31587999999999</v>
      </c>
      <c r="P1220" s="6">
        <v>0</v>
      </c>
      <c r="Q1220" s="4" t="s">
        <v>26</v>
      </c>
      <c r="R1220" s="4">
        <v>0</v>
      </c>
      <c r="S1220" s="4" t="s">
        <v>370</v>
      </c>
      <c r="T1220" s="4" t="s">
        <v>723</v>
      </c>
      <c r="U1220" s="4">
        <v>0</v>
      </c>
      <c r="V1220" s="4">
        <v>27</v>
      </c>
      <c r="W1220" s="4">
        <v>81</v>
      </c>
    </row>
    <row r="1221" spans="1:23" ht="11.25" customHeight="1" x14ac:dyDescent="0.25">
      <c r="A1221" s="4" t="s">
        <v>59</v>
      </c>
      <c r="B1221" s="4" t="s">
        <v>33</v>
      </c>
      <c r="C1221" s="4" t="s">
        <v>34</v>
      </c>
      <c r="D1221" s="4" t="s">
        <v>47</v>
      </c>
      <c r="E1221" s="4" t="s">
        <v>25</v>
      </c>
      <c r="F1221" s="4" t="s">
        <v>25</v>
      </c>
      <c r="G1221" s="4" t="s">
        <v>25</v>
      </c>
      <c r="H1221" s="4" t="s">
        <v>35</v>
      </c>
      <c r="I1221" s="5">
        <v>44075</v>
      </c>
      <c r="J1221" s="6">
        <v>0</v>
      </c>
      <c r="K1221" s="6">
        <v>0</v>
      </c>
      <c r="L1221" s="6">
        <v>7.7350000000000003</v>
      </c>
      <c r="M1221" s="6">
        <v>7.116200000000001</v>
      </c>
      <c r="N1221" s="6">
        <v>7.7350000000000003</v>
      </c>
      <c r="O1221" s="6">
        <v>7.116200000000001</v>
      </c>
      <c r="P1221" s="6">
        <v>0</v>
      </c>
      <c r="Q1221" s="4" t="s">
        <v>26</v>
      </c>
      <c r="R1221" s="4">
        <v>0</v>
      </c>
      <c r="S1221" s="4" t="s">
        <v>370</v>
      </c>
      <c r="T1221" s="4" t="s">
        <v>723</v>
      </c>
      <c r="U1221" s="4">
        <v>0</v>
      </c>
      <c r="V1221" s="4">
        <v>27</v>
      </c>
      <c r="W1221" s="4">
        <v>81</v>
      </c>
    </row>
    <row r="1222" spans="1:23" ht="11.25" customHeight="1" x14ac:dyDescent="0.25">
      <c r="A1222" s="4" t="s">
        <v>59</v>
      </c>
      <c r="B1222" s="4" t="s">
        <v>33</v>
      </c>
      <c r="C1222" s="4" t="s">
        <v>34</v>
      </c>
      <c r="D1222" s="4" t="s">
        <v>47</v>
      </c>
      <c r="E1222" s="4" t="s">
        <v>25</v>
      </c>
      <c r="F1222" s="4" t="s">
        <v>25</v>
      </c>
      <c r="G1222" s="4" t="s">
        <v>25</v>
      </c>
      <c r="H1222" s="4" t="s">
        <v>35</v>
      </c>
      <c r="I1222" s="5">
        <v>44075</v>
      </c>
      <c r="J1222" s="6">
        <v>0</v>
      </c>
      <c r="K1222" s="6">
        <v>0</v>
      </c>
      <c r="L1222" s="6">
        <v>31.681999999999999</v>
      </c>
      <c r="M1222" s="6">
        <v>29.14744</v>
      </c>
      <c r="N1222" s="6">
        <v>31.681999999999999</v>
      </c>
      <c r="O1222" s="6">
        <v>29.14744</v>
      </c>
      <c r="P1222" s="6">
        <v>0</v>
      </c>
      <c r="Q1222" s="4" t="s">
        <v>26</v>
      </c>
      <c r="R1222" s="4">
        <v>0</v>
      </c>
      <c r="S1222" s="4" t="s">
        <v>370</v>
      </c>
      <c r="T1222" s="4" t="s">
        <v>723</v>
      </c>
      <c r="U1222" s="4">
        <v>0</v>
      </c>
      <c r="V1222" s="4">
        <v>27</v>
      </c>
      <c r="W1222" s="4">
        <v>81</v>
      </c>
    </row>
    <row r="1223" spans="1:23" ht="11.25" customHeight="1" x14ac:dyDescent="0.25">
      <c r="A1223" s="4" t="s">
        <v>21</v>
      </c>
      <c r="B1223" s="4" t="s">
        <v>33</v>
      </c>
      <c r="C1223" s="4" t="s">
        <v>34</v>
      </c>
      <c r="D1223" s="4" t="s">
        <v>52</v>
      </c>
      <c r="E1223" s="4" t="s">
        <v>53</v>
      </c>
      <c r="F1223" s="4" t="s">
        <v>25</v>
      </c>
      <c r="G1223" s="4" t="s">
        <v>25</v>
      </c>
      <c r="H1223" s="4" t="s">
        <v>36</v>
      </c>
      <c r="I1223" s="5">
        <v>43739</v>
      </c>
      <c r="J1223" s="6">
        <v>0</v>
      </c>
      <c r="K1223" s="6">
        <v>0</v>
      </c>
      <c r="L1223" s="6">
        <v>5354.7449999999999</v>
      </c>
      <c r="M1223" s="6">
        <v>4712.1755999999996</v>
      </c>
      <c r="N1223" s="6">
        <v>5354.7449999999999</v>
      </c>
      <c r="O1223" s="6">
        <v>4712.1755999999996</v>
      </c>
      <c r="P1223" s="6">
        <v>0</v>
      </c>
      <c r="Q1223" s="4" t="s">
        <v>26</v>
      </c>
      <c r="R1223" s="4">
        <v>0</v>
      </c>
      <c r="S1223" s="4" t="s">
        <v>335</v>
      </c>
      <c r="T1223" s="4" t="s">
        <v>700</v>
      </c>
      <c r="U1223" s="4">
        <v>0</v>
      </c>
      <c r="V1223" s="4">
        <v>28</v>
      </c>
      <c r="W1223" s="4">
        <v>82</v>
      </c>
    </row>
    <row r="1224" spans="1:23" ht="11.25" customHeight="1" x14ac:dyDescent="0.25">
      <c r="A1224" s="4" t="s">
        <v>21</v>
      </c>
      <c r="B1224" s="4" t="s">
        <v>33</v>
      </c>
      <c r="C1224" s="4" t="s">
        <v>34</v>
      </c>
      <c r="D1224" s="4" t="s">
        <v>52</v>
      </c>
      <c r="E1224" s="4" t="s">
        <v>53</v>
      </c>
      <c r="F1224" s="4" t="s">
        <v>25</v>
      </c>
      <c r="G1224" s="4" t="s">
        <v>25</v>
      </c>
      <c r="H1224" s="4" t="s">
        <v>36</v>
      </c>
      <c r="I1224" s="5">
        <v>43770</v>
      </c>
      <c r="J1224" s="6">
        <v>0</v>
      </c>
      <c r="K1224" s="6">
        <v>0</v>
      </c>
      <c r="L1224" s="6">
        <v>5316.1350000000002</v>
      </c>
      <c r="M1224" s="6">
        <v>4678.1988000000001</v>
      </c>
      <c r="N1224" s="6">
        <v>5316.1350000000002</v>
      </c>
      <c r="O1224" s="6">
        <v>4678.1988000000001</v>
      </c>
      <c r="P1224" s="6">
        <v>0</v>
      </c>
      <c r="Q1224" s="4" t="s">
        <v>26</v>
      </c>
      <c r="R1224" s="4">
        <v>0</v>
      </c>
      <c r="S1224" s="4" t="s">
        <v>336</v>
      </c>
      <c r="T1224" s="4" t="s">
        <v>701</v>
      </c>
      <c r="U1224" s="4">
        <v>0</v>
      </c>
      <c r="V1224" s="4">
        <v>28</v>
      </c>
      <c r="W1224" s="4">
        <v>82</v>
      </c>
    </row>
    <row r="1225" spans="1:23" ht="11.25" customHeight="1" x14ac:dyDescent="0.25">
      <c r="A1225" s="4" t="s">
        <v>21</v>
      </c>
      <c r="B1225" s="4" t="s">
        <v>33</v>
      </c>
      <c r="C1225" s="4" t="s">
        <v>34</v>
      </c>
      <c r="D1225" s="4" t="s">
        <v>52</v>
      </c>
      <c r="E1225" s="4" t="s">
        <v>53</v>
      </c>
      <c r="F1225" s="4" t="s">
        <v>25</v>
      </c>
      <c r="G1225" s="4" t="s">
        <v>25</v>
      </c>
      <c r="H1225" s="4" t="s">
        <v>36</v>
      </c>
      <c r="I1225" s="5">
        <v>43800</v>
      </c>
      <c r="J1225" s="6">
        <v>0</v>
      </c>
      <c r="K1225" s="6">
        <v>0</v>
      </c>
      <c r="L1225" s="6">
        <v>4739.692</v>
      </c>
      <c r="M1225" s="6">
        <v>4170.9289600000002</v>
      </c>
      <c r="N1225" s="6">
        <v>4739.692</v>
      </c>
      <c r="O1225" s="6">
        <v>4170.9289600000002</v>
      </c>
      <c r="P1225" s="6">
        <v>0</v>
      </c>
      <c r="Q1225" s="4" t="s">
        <v>26</v>
      </c>
      <c r="R1225" s="4">
        <v>0</v>
      </c>
      <c r="S1225" s="4" t="s">
        <v>337</v>
      </c>
      <c r="T1225" s="4" t="s">
        <v>702</v>
      </c>
      <c r="U1225" s="4">
        <v>0</v>
      </c>
      <c r="V1225" s="4">
        <v>28</v>
      </c>
      <c r="W1225" s="4">
        <v>82</v>
      </c>
    </row>
    <row r="1226" spans="1:23" ht="11.25" customHeight="1" x14ac:dyDescent="0.25">
      <c r="A1226" s="4" t="s">
        <v>21</v>
      </c>
      <c r="B1226" s="4" t="s">
        <v>33</v>
      </c>
      <c r="C1226" s="4" t="s">
        <v>34</v>
      </c>
      <c r="D1226" s="4" t="s">
        <v>52</v>
      </c>
      <c r="E1226" s="4" t="s">
        <v>53</v>
      </c>
      <c r="F1226" s="4" t="s">
        <v>25</v>
      </c>
      <c r="G1226" s="4" t="s">
        <v>25</v>
      </c>
      <c r="H1226" s="4" t="s">
        <v>36</v>
      </c>
      <c r="I1226" s="5">
        <v>43831</v>
      </c>
      <c r="J1226" s="6">
        <v>0</v>
      </c>
      <c r="K1226" s="6">
        <v>0</v>
      </c>
      <c r="L1226" s="6">
        <v>5425.13</v>
      </c>
      <c r="M1226" s="6">
        <v>4774.1144000000004</v>
      </c>
      <c r="N1226" s="6">
        <v>5425.13</v>
      </c>
      <c r="O1226" s="6">
        <v>4774.1144000000004</v>
      </c>
      <c r="P1226" s="6">
        <v>0</v>
      </c>
      <c r="Q1226" s="4" t="s">
        <v>26</v>
      </c>
      <c r="R1226" s="4">
        <v>0</v>
      </c>
      <c r="S1226" s="4" t="s">
        <v>338</v>
      </c>
      <c r="T1226" s="4" t="s">
        <v>703</v>
      </c>
      <c r="U1226" s="4">
        <v>0</v>
      </c>
      <c r="V1226" s="4">
        <v>28</v>
      </c>
      <c r="W1226" s="4">
        <v>82</v>
      </c>
    </row>
    <row r="1227" spans="1:23" ht="11.25" customHeight="1" x14ac:dyDescent="0.25">
      <c r="A1227" s="4" t="s">
        <v>21</v>
      </c>
      <c r="B1227" s="4" t="s">
        <v>33</v>
      </c>
      <c r="C1227" s="4" t="s">
        <v>34</v>
      </c>
      <c r="D1227" s="4" t="s">
        <v>52</v>
      </c>
      <c r="E1227" s="4" t="s">
        <v>53</v>
      </c>
      <c r="F1227" s="4" t="s">
        <v>25</v>
      </c>
      <c r="G1227" s="4" t="s">
        <v>25</v>
      </c>
      <c r="H1227" s="4" t="s">
        <v>36</v>
      </c>
      <c r="I1227" s="5">
        <v>43862</v>
      </c>
      <c r="J1227" s="6">
        <v>0</v>
      </c>
      <c r="K1227" s="6">
        <v>0</v>
      </c>
      <c r="L1227" s="6">
        <v>5529.4539999999997</v>
      </c>
      <c r="M1227" s="6">
        <v>4865.9195199999995</v>
      </c>
      <c r="N1227" s="6">
        <v>5529.4539999999997</v>
      </c>
      <c r="O1227" s="6">
        <v>4865.9195199999995</v>
      </c>
      <c r="P1227" s="6">
        <v>0</v>
      </c>
      <c r="Q1227" s="4" t="s">
        <v>26</v>
      </c>
      <c r="R1227" s="4">
        <v>0</v>
      </c>
      <c r="S1227" s="4" t="s">
        <v>339</v>
      </c>
      <c r="T1227" s="4" t="s">
        <v>704</v>
      </c>
      <c r="U1227" s="4">
        <v>0</v>
      </c>
      <c r="V1227" s="4">
        <v>28</v>
      </c>
      <c r="W1227" s="4">
        <v>82</v>
      </c>
    </row>
    <row r="1228" spans="1:23" ht="11.25" customHeight="1" x14ac:dyDescent="0.25">
      <c r="A1228" s="4" t="s">
        <v>21</v>
      </c>
      <c r="B1228" s="4" t="s">
        <v>33</v>
      </c>
      <c r="C1228" s="4" t="s">
        <v>34</v>
      </c>
      <c r="D1228" s="4" t="s">
        <v>52</v>
      </c>
      <c r="E1228" s="4" t="s">
        <v>53</v>
      </c>
      <c r="F1228" s="4" t="s">
        <v>25</v>
      </c>
      <c r="G1228" s="4" t="s">
        <v>25</v>
      </c>
      <c r="H1228" s="4" t="s">
        <v>36</v>
      </c>
      <c r="I1228" s="5">
        <v>43891</v>
      </c>
      <c r="J1228" s="6">
        <v>0</v>
      </c>
      <c r="K1228" s="6">
        <v>0</v>
      </c>
      <c r="L1228" s="6">
        <v>5158.1980000000003</v>
      </c>
      <c r="M1228" s="6">
        <v>4539.2142400000002</v>
      </c>
      <c r="N1228" s="6">
        <v>5158.1980000000003</v>
      </c>
      <c r="O1228" s="6">
        <v>4539.2142400000002</v>
      </c>
      <c r="P1228" s="6">
        <v>0</v>
      </c>
      <c r="Q1228" s="4" t="s">
        <v>26</v>
      </c>
      <c r="R1228" s="4">
        <v>0</v>
      </c>
      <c r="S1228" s="4" t="s">
        <v>340</v>
      </c>
      <c r="T1228" s="4" t="s">
        <v>705</v>
      </c>
      <c r="U1228" s="4">
        <v>0</v>
      </c>
      <c r="V1228" s="4">
        <v>28</v>
      </c>
      <c r="W1228" s="4">
        <v>82</v>
      </c>
    </row>
    <row r="1229" spans="1:23" ht="11.25" customHeight="1" x14ac:dyDescent="0.25">
      <c r="A1229" s="4" t="s">
        <v>21</v>
      </c>
      <c r="B1229" s="4" t="s">
        <v>33</v>
      </c>
      <c r="C1229" s="4" t="s">
        <v>34</v>
      </c>
      <c r="D1229" s="4" t="s">
        <v>52</v>
      </c>
      <c r="E1229" s="4" t="s">
        <v>53</v>
      </c>
      <c r="F1229" s="4" t="s">
        <v>25</v>
      </c>
      <c r="G1229" s="4" t="s">
        <v>25</v>
      </c>
      <c r="H1229" s="4" t="s">
        <v>36</v>
      </c>
      <c r="I1229" s="5">
        <v>43922</v>
      </c>
      <c r="J1229" s="6">
        <v>0</v>
      </c>
      <c r="K1229" s="6">
        <v>0</v>
      </c>
      <c r="L1229" s="6">
        <v>5236.3900000000003</v>
      </c>
      <c r="M1229" s="6">
        <v>4608.0232000000005</v>
      </c>
      <c r="N1229" s="6">
        <v>5236.3900000000003</v>
      </c>
      <c r="O1229" s="6">
        <v>4608.0232000000005</v>
      </c>
      <c r="P1229" s="6">
        <v>0</v>
      </c>
      <c r="Q1229" s="4" t="s">
        <v>26</v>
      </c>
      <c r="R1229" s="4">
        <v>0</v>
      </c>
      <c r="S1229" s="4" t="s">
        <v>341</v>
      </c>
      <c r="T1229" s="4" t="s">
        <v>706</v>
      </c>
      <c r="U1229" s="4">
        <v>0</v>
      </c>
      <c r="V1229" s="4">
        <v>28</v>
      </c>
      <c r="W1229" s="4">
        <v>82</v>
      </c>
    </row>
    <row r="1230" spans="1:23" ht="11.25" customHeight="1" x14ac:dyDescent="0.25">
      <c r="A1230" s="4" t="s">
        <v>21</v>
      </c>
      <c r="B1230" s="4" t="s">
        <v>33</v>
      </c>
      <c r="C1230" s="4" t="s">
        <v>34</v>
      </c>
      <c r="D1230" s="4" t="s">
        <v>52</v>
      </c>
      <c r="E1230" s="4" t="s">
        <v>53</v>
      </c>
      <c r="F1230" s="4" t="s">
        <v>25</v>
      </c>
      <c r="G1230" s="4" t="s">
        <v>25</v>
      </c>
      <c r="H1230" s="4" t="s">
        <v>36</v>
      </c>
      <c r="I1230" s="5">
        <v>43952</v>
      </c>
      <c r="J1230" s="6">
        <v>0</v>
      </c>
      <c r="K1230" s="6">
        <v>0</v>
      </c>
      <c r="L1230" s="6">
        <v>4846.5690000000004</v>
      </c>
      <c r="M1230" s="6">
        <v>4264.9807200000005</v>
      </c>
      <c r="N1230" s="6">
        <v>4846.5690000000004</v>
      </c>
      <c r="O1230" s="6">
        <v>4264.9807200000005</v>
      </c>
      <c r="P1230" s="6">
        <v>0</v>
      </c>
      <c r="Q1230" s="4" t="s">
        <v>26</v>
      </c>
      <c r="R1230" s="4">
        <v>0</v>
      </c>
      <c r="S1230" s="4" t="s">
        <v>342</v>
      </c>
      <c r="T1230" s="4" t="s">
        <v>707</v>
      </c>
      <c r="U1230" s="4">
        <v>0</v>
      </c>
      <c r="V1230" s="4">
        <v>28</v>
      </c>
      <c r="W1230" s="4">
        <v>82</v>
      </c>
    </row>
    <row r="1231" spans="1:23" ht="11.25" customHeight="1" x14ac:dyDescent="0.25">
      <c r="A1231" s="4" t="s">
        <v>21</v>
      </c>
      <c r="B1231" s="4" t="s">
        <v>33</v>
      </c>
      <c r="C1231" s="4" t="s">
        <v>34</v>
      </c>
      <c r="D1231" s="4" t="s">
        <v>52</v>
      </c>
      <c r="E1231" s="4" t="s">
        <v>53</v>
      </c>
      <c r="F1231" s="4" t="s">
        <v>25</v>
      </c>
      <c r="G1231" s="4" t="s">
        <v>25</v>
      </c>
      <c r="H1231" s="4" t="s">
        <v>36</v>
      </c>
      <c r="I1231" s="5">
        <v>43983</v>
      </c>
      <c r="J1231" s="6">
        <v>0</v>
      </c>
      <c r="K1231" s="6">
        <v>0</v>
      </c>
      <c r="L1231" s="6">
        <v>4807.7939999999999</v>
      </c>
      <c r="M1231" s="6">
        <v>4230.8587200000002</v>
      </c>
      <c r="N1231" s="6">
        <v>4807.7939999999999</v>
      </c>
      <c r="O1231" s="6">
        <v>4230.8587200000002</v>
      </c>
      <c r="P1231" s="6">
        <v>0</v>
      </c>
      <c r="Q1231" s="4" t="s">
        <v>26</v>
      </c>
      <c r="R1231" s="4">
        <v>0</v>
      </c>
      <c r="S1231" s="4" t="s">
        <v>343</v>
      </c>
      <c r="T1231" s="4" t="s">
        <v>708</v>
      </c>
      <c r="U1231" s="4">
        <v>0</v>
      </c>
      <c r="V1231" s="4">
        <v>28</v>
      </c>
      <c r="W1231" s="4">
        <v>82</v>
      </c>
    </row>
    <row r="1232" spans="1:23" ht="11.25" customHeight="1" x14ac:dyDescent="0.25">
      <c r="A1232" s="4" t="s">
        <v>21</v>
      </c>
      <c r="B1232" s="4" t="s">
        <v>33</v>
      </c>
      <c r="C1232" s="4" t="s">
        <v>34</v>
      </c>
      <c r="D1232" s="4" t="s">
        <v>52</v>
      </c>
      <c r="E1232" s="4" t="s">
        <v>53</v>
      </c>
      <c r="F1232" s="4" t="s">
        <v>25</v>
      </c>
      <c r="G1232" s="4" t="s">
        <v>25</v>
      </c>
      <c r="H1232" s="4" t="s">
        <v>36</v>
      </c>
      <c r="I1232" s="5">
        <v>44013</v>
      </c>
      <c r="J1232" s="6">
        <v>0</v>
      </c>
      <c r="K1232" s="6">
        <v>0</v>
      </c>
      <c r="L1232" s="6">
        <v>4652.2060000000001</v>
      </c>
      <c r="M1232" s="6">
        <v>4093.94128</v>
      </c>
      <c r="N1232" s="6">
        <v>4652.2060000000001</v>
      </c>
      <c r="O1232" s="6">
        <v>4093.94128</v>
      </c>
      <c r="P1232" s="6">
        <v>0</v>
      </c>
      <c r="Q1232" s="4" t="s">
        <v>26</v>
      </c>
      <c r="R1232" s="4">
        <v>0</v>
      </c>
      <c r="S1232" s="4" t="s">
        <v>344</v>
      </c>
      <c r="T1232" s="4" t="s">
        <v>709</v>
      </c>
      <c r="U1232" s="4">
        <v>0</v>
      </c>
      <c r="V1232" s="4">
        <v>28</v>
      </c>
      <c r="W1232" s="4">
        <v>82</v>
      </c>
    </row>
    <row r="1233" spans="1:23" ht="11.25" customHeight="1" x14ac:dyDescent="0.25">
      <c r="A1233" s="4" t="s">
        <v>21</v>
      </c>
      <c r="B1233" s="4" t="s">
        <v>33</v>
      </c>
      <c r="C1233" s="4" t="s">
        <v>34</v>
      </c>
      <c r="D1233" s="4" t="s">
        <v>52</v>
      </c>
      <c r="E1233" s="4" t="s">
        <v>53</v>
      </c>
      <c r="F1233" s="4" t="s">
        <v>25</v>
      </c>
      <c r="G1233" s="4" t="s">
        <v>25</v>
      </c>
      <c r="H1233" s="4" t="s">
        <v>36</v>
      </c>
      <c r="I1233" s="5">
        <v>44044</v>
      </c>
      <c r="J1233" s="6">
        <v>0</v>
      </c>
      <c r="K1233" s="6">
        <v>0</v>
      </c>
      <c r="L1233" s="6">
        <v>4885.2669999999998</v>
      </c>
      <c r="M1233" s="6">
        <v>4299.03496</v>
      </c>
      <c r="N1233" s="6">
        <v>4885.2669999999998</v>
      </c>
      <c r="O1233" s="6">
        <v>4299.03496</v>
      </c>
      <c r="P1233" s="6">
        <v>0</v>
      </c>
      <c r="Q1233" s="4" t="s">
        <v>26</v>
      </c>
      <c r="R1233" s="4">
        <v>0</v>
      </c>
      <c r="S1233" s="4" t="s">
        <v>345</v>
      </c>
      <c r="T1233" s="4" t="s">
        <v>710</v>
      </c>
      <c r="U1233" s="4">
        <v>0</v>
      </c>
      <c r="V1233" s="4">
        <v>28</v>
      </c>
      <c r="W1233" s="4">
        <v>82</v>
      </c>
    </row>
    <row r="1234" spans="1:23" ht="11.25" customHeight="1" x14ac:dyDescent="0.25">
      <c r="A1234" s="4" t="s">
        <v>59</v>
      </c>
      <c r="B1234" s="4" t="s">
        <v>33</v>
      </c>
      <c r="C1234" s="4" t="s">
        <v>34</v>
      </c>
      <c r="D1234" s="4" t="s">
        <v>52</v>
      </c>
      <c r="E1234" s="4" t="s">
        <v>53</v>
      </c>
      <c r="F1234" s="4" t="s">
        <v>25</v>
      </c>
      <c r="G1234" s="4" t="s">
        <v>25</v>
      </c>
      <c r="H1234" s="4" t="s">
        <v>36</v>
      </c>
      <c r="I1234" s="5">
        <v>44075</v>
      </c>
      <c r="J1234" s="6">
        <v>0</v>
      </c>
      <c r="K1234" s="6">
        <v>0</v>
      </c>
      <c r="L1234" s="6">
        <v>4885.2669999999998</v>
      </c>
      <c r="M1234" s="6">
        <v>4299.03496</v>
      </c>
      <c r="N1234" s="6">
        <v>4885.2669999999998</v>
      </c>
      <c r="O1234" s="6">
        <v>4299.03496</v>
      </c>
      <c r="P1234" s="6">
        <v>0</v>
      </c>
      <c r="Q1234" s="4" t="s">
        <v>26</v>
      </c>
      <c r="R1234" s="4">
        <v>0</v>
      </c>
      <c r="S1234" s="4" t="s">
        <v>346</v>
      </c>
      <c r="T1234" s="4" t="s">
        <v>711</v>
      </c>
      <c r="U1234" s="4">
        <v>0</v>
      </c>
      <c r="V1234" s="4">
        <v>28</v>
      </c>
      <c r="W1234" s="4">
        <v>82</v>
      </c>
    </row>
    <row r="1235" spans="1:23" ht="11.25" customHeight="1" x14ac:dyDescent="0.25">
      <c r="A1235" s="4" t="s">
        <v>21</v>
      </c>
      <c r="B1235" s="4" t="s">
        <v>33</v>
      </c>
      <c r="C1235" s="4" t="s">
        <v>34</v>
      </c>
      <c r="D1235" s="4" t="s">
        <v>52</v>
      </c>
      <c r="E1235" s="4" t="s">
        <v>53</v>
      </c>
      <c r="F1235" s="4" t="s">
        <v>25</v>
      </c>
      <c r="G1235" s="4" t="s">
        <v>25</v>
      </c>
      <c r="H1235" s="4" t="s">
        <v>25</v>
      </c>
      <c r="I1235" s="5">
        <v>43739</v>
      </c>
      <c r="J1235" s="6">
        <v>17200</v>
      </c>
      <c r="K1235" s="6">
        <v>15136</v>
      </c>
      <c r="L1235" s="6">
        <v>0</v>
      </c>
      <c r="M1235" s="6">
        <v>0</v>
      </c>
      <c r="N1235" s="6">
        <v>0</v>
      </c>
      <c r="O1235" s="6">
        <v>0</v>
      </c>
      <c r="P1235" s="6">
        <v>79</v>
      </c>
      <c r="Q1235" s="4" t="s">
        <v>26</v>
      </c>
      <c r="R1235" s="4">
        <v>0</v>
      </c>
      <c r="S1235" s="4" t="s">
        <v>347</v>
      </c>
      <c r="U1235" s="4">
        <v>26</v>
      </c>
      <c r="V1235" s="4">
        <v>0</v>
      </c>
      <c r="W1235" s="4">
        <v>0</v>
      </c>
    </row>
    <row r="1236" spans="1:23" ht="11.25" customHeight="1" x14ac:dyDescent="0.25">
      <c r="A1236" s="4" t="s">
        <v>21</v>
      </c>
      <c r="B1236" s="4" t="s">
        <v>33</v>
      </c>
      <c r="C1236" s="4" t="s">
        <v>34</v>
      </c>
      <c r="D1236" s="4" t="s">
        <v>52</v>
      </c>
      <c r="E1236" s="4" t="s">
        <v>53</v>
      </c>
      <c r="F1236" s="4" t="s">
        <v>25</v>
      </c>
      <c r="G1236" s="4" t="s">
        <v>25</v>
      </c>
      <c r="H1236" s="4" t="s">
        <v>25</v>
      </c>
      <c r="I1236" s="5">
        <v>43770</v>
      </c>
      <c r="J1236" s="6">
        <v>17378</v>
      </c>
      <c r="K1236" s="6">
        <v>15292.64</v>
      </c>
      <c r="L1236" s="6">
        <v>0</v>
      </c>
      <c r="M1236" s="6">
        <v>0</v>
      </c>
      <c r="N1236" s="6">
        <v>0</v>
      </c>
      <c r="O1236" s="6">
        <v>0</v>
      </c>
      <c r="P1236" s="6">
        <v>79</v>
      </c>
      <c r="Q1236" s="4" t="s">
        <v>26</v>
      </c>
      <c r="R1236" s="4">
        <v>0</v>
      </c>
      <c r="S1236" s="4" t="s">
        <v>348</v>
      </c>
      <c r="U1236" s="4">
        <v>26</v>
      </c>
      <c r="V1236" s="4">
        <v>0</v>
      </c>
      <c r="W1236" s="4">
        <v>0</v>
      </c>
    </row>
    <row r="1237" spans="1:23" ht="11.25" customHeight="1" x14ac:dyDescent="0.25">
      <c r="A1237" s="4" t="s">
        <v>21</v>
      </c>
      <c r="B1237" s="4" t="s">
        <v>33</v>
      </c>
      <c r="C1237" s="4" t="s">
        <v>34</v>
      </c>
      <c r="D1237" s="4" t="s">
        <v>52</v>
      </c>
      <c r="E1237" s="4" t="s">
        <v>53</v>
      </c>
      <c r="F1237" s="4" t="s">
        <v>25</v>
      </c>
      <c r="G1237" s="4" t="s">
        <v>25</v>
      </c>
      <c r="H1237" s="4" t="s">
        <v>25</v>
      </c>
      <c r="I1237" s="5">
        <v>43800</v>
      </c>
      <c r="J1237" s="6">
        <v>17420</v>
      </c>
      <c r="K1237" s="6">
        <v>15329.6</v>
      </c>
      <c r="L1237" s="6">
        <v>0</v>
      </c>
      <c r="M1237" s="6">
        <v>0</v>
      </c>
      <c r="N1237" s="6">
        <v>0</v>
      </c>
      <c r="O1237" s="6">
        <v>0</v>
      </c>
      <c r="P1237" s="6">
        <v>79</v>
      </c>
      <c r="Q1237" s="4" t="s">
        <v>26</v>
      </c>
      <c r="R1237" s="4">
        <v>0</v>
      </c>
      <c r="S1237" s="4" t="s">
        <v>349</v>
      </c>
      <c r="U1237" s="4">
        <v>26</v>
      </c>
      <c r="V1237" s="4">
        <v>0</v>
      </c>
      <c r="W1237" s="4">
        <v>0</v>
      </c>
    </row>
    <row r="1238" spans="1:23" ht="11.25" customHeight="1" x14ac:dyDescent="0.25">
      <c r="A1238" s="4" t="s">
        <v>21</v>
      </c>
      <c r="B1238" s="4" t="s">
        <v>33</v>
      </c>
      <c r="C1238" s="4" t="s">
        <v>34</v>
      </c>
      <c r="D1238" s="4" t="s">
        <v>52</v>
      </c>
      <c r="E1238" s="4" t="s">
        <v>53</v>
      </c>
      <c r="F1238" s="4" t="s">
        <v>25</v>
      </c>
      <c r="G1238" s="4" t="s">
        <v>25</v>
      </c>
      <c r="H1238" s="4" t="s">
        <v>25</v>
      </c>
      <c r="I1238" s="5">
        <v>43831</v>
      </c>
      <c r="J1238" s="6">
        <v>17269</v>
      </c>
      <c r="K1238" s="6">
        <v>15196.72</v>
      </c>
      <c r="L1238" s="6">
        <v>0</v>
      </c>
      <c r="M1238" s="6">
        <v>0</v>
      </c>
      <c r="N1238" s="6">
        <v>0</v>
      </c>
      <c r="O1238" s="6">
        <v>0</v>
      </c>
      <c r="P1238" s="6">
        <v>79</v>
      </c>
      <c r="Q1238" s="4" t="s">
        <v>26</v>
      </c>
      <c r="R1238" s="4">
        <v>0</v>
      </c>
      <c r="S1238" s="4" t="s">
        <v>350</v>
      </c>
      <c r="U1238" s="4">
        <v>26</v>
      </c>
      <c r="V1238" s="4">
        <v>0</v>
      </c>
      <c r="W1238" s="4">
        <v>0</v>
      </c>
    </row>
    <row r="1239" spans="1:23" ht="11.25" customHeight="1" x14ac:dyDescent="0.25">
      <c r="A1239" s="4" t="s">
        <v>21</v>
      </c>
      <c r="B1239" s="4" t="s">
        <v>33</v>
      </c>
      <c r="C1239" s="4" t="s">
        <v>34</v>
      </c>
      <c r="D1239" s="4" t="s">
        <v>52</v>
      </c>
      <c r="E1239" s="4" t="s">
        <v>53</v>
      </c>
      <c r="F1239" s="4" t="s">
        <v>25</v>
      </c>
      <c r="G1239" s="4" t="s">
        <v>25</v>
      </c>
      <c r="H1239" s="4" t="s">
        <v>25</v>
      </c>
      <c r="I1239" s="5">
        <v>43862</v>
      </c>
      <c r="J1239" s="6">
        <v>17492</v>
      </c>
      <c r="K1239" s="6">
        <v>15392.960000000001</v>
      </c>
      <c r="L1239" s="6">
        <v>0</v>
      </c>
      <c r="M1239" s="6">
        <v>0</v>
      </c>
      <c r="N1239" s="6">
        <v>0</v>
      </c>
      <c r="O1239" s="6">
        <v>0</v>
      </c>
      <c r="P1239" s="6">
        <v>79</v>
      </c>
      <c r="Q1239" s="4" t="s">
        <v>26</v>
      </c>
      <c r="R1239" s="4">
        <v>0</v>
      </c>
      <c r="S1239" s="4" t="s">
        <v>351</v>
      </c>
      <c r="U1239" s="4">
        <v>26</v>
      </c>
      <c r="V1239" s="4">
        <v>0</v>
      </c>
      <c r="W1239" s="4">
        <v>0</v>
      </c>
    </row>
    <row r="1240" spans="1:23" ht="11.25" customHeight="1" x14ac:dyDescent="0.25">
      <c r="A1240" s="4" t="s">
        <v>21</v>
      </c>
      <c r="B1240" s="4" t="s">
        <v>33</v>
      </c>
      <c r="C1240" s="4" t="s">
        <v>34</v>
      </c>
      <c r="D1240" s="4" t="s">
        <v>52</v>
      </c>
      <c r="E1240" s="4" t="s">
        <v>53</v>
      </c>
      <c r="F1240" s="4" t="s">
        <v>25</v>
      </c>
      <c r="G1240" s="4" t="s">
        <v>25</v>
      </c>
      <c r="H1240" s="4" t="s">
        <v>25</v>
      </c>
      <c r="I1240" s="5">
        <v>43891</v>
      </c>
      <c r="J1240" s="6">
        <v>17490</v>
      </c>
      <c r="K1240" s="6">
        <v>15391.2</v>
      </c>
      <c r="L1240" s="6">
        <v>0</v>
      </c>
      <c r="M1240" s="6">
        <v>0</v>
      </c>
      <c r="N1240" s="6">
        <v>0</v>
      </c>
      <c r="O1240" s="6">
        <v>0</v>
      </c>
      <c r="P1240" s="6">
        <v>80</v>
      </c>
      <c r="Q1240" s="4" t="s">
        <v>26</v>
      </c>
      <c r="R1240" s="4">
        <v>0</v>
      </c>
      <c r="S1240" s="4" t="s">
        <v>352</v>
      </c>
      <c r="U1240" s="4">
        <v>26</v>
      </c>
      <c r="V1240" s="4">
        <v>0</v>
      </c>
      <c r="W1240" s="4">
        <v>0</v>
      </c>
    </row>
    <row r="1241" spans="1:23" ht="11.25" customHeight="1" x14ac:dyDescent="0.25">
      <c r="A1241" s="4" t="s">
        <v>21</v>
      </c>
      <c r="B1241" s="4" t="s">
        <v>33</v>
      </c>
      <c r="C1241" s="4" t="s">
        <v>34</v>
      </c>
      <c r="D1241" s="4" t="s">
        <v>52</v>
      </c>
      <c r="E1241" s="4" t="s">
        <v>53</v>
      </c>
      <c r="F1241" s="4" t="s">
        <v>25</v>
      </c>
      <c r="G1241" s="4" t="s">
        <v>25</v>
      </c>
      <c r="H1241" s="4" t="s">
        <v>25</v>
      </c>
      <c r="I1241" s="5">
        <v>43922</v>
      </c>
      <c r="J1241" s="6">
        <v>17540</v>
      </c>
      <c r="K1241" s="6">
        <v>15435.2</v>
      </c>
      <c r="L1241" s="6">
        <v>0</v>
      </c>
      <c r="M1241" s="6">
        <v>0</v>
      </c>
      <c r="N1241" s="6">
        <v>0</v>
      </c>
      <c r="O1241" s="6">
        <v>0</v>
      </c>
      <c r="P1241" s="6">
        <v>80</v>
      </c>
      <c r="Q1241" s="4" t="s">
        <v>26</v>
      </c>
      <c r="R1241" s="4">
        <v>0</v>
      </c>
      <c r="S1241" s="4" t="s">
        <v>353</v>
      </c>
      <c r="U1241" s="4">
        <v>26</v>
      </c>
      <c r="V1241" s="4">
        <v>0</v>
      </c>
      <c r="W1241" s="4">
        <v>0</v>
      </c>
    </row>
    <row r="1242" spans="1:23" ht="11.25" customHeight="1" x14ac:dyDescent="0.25">
      <c r="A1242" s="4" t="s">
        <v>21</v>
      </c>
      <c r="B1242" s="4" t="s">
        <v>33</v>
      </c>
      <c r="C1242" s="4" t="s">
        <v>34</v>
      </c>
      <c r="D1242" s="4" t="s">
        <v>52</v>
      </c>
      <c r="E1242" s="4" t="s">
        <v>53</v>
      </c>
      <c r="F1242" s="4" t="s">
        <v>25</v>
      </c>
      <c r="G1242" s="4" t="s">
        <v>25</v>
      </c>
      <c r="H1242" s="4" t="s">
        <v>25</v>
      </c>
      <c r="I1242" s="5">
        <v>43952</v>
      </c>
      <c r="J1242" s="6">
        <v>17393</v>
      </c>
      <c r="K1242" s="6">
        <v>15305.84</v>
      </c>
      <c r="L1242" s="6">
        <v>0</v>
      </c>
      <c r="M1242" s="6">
        <v>0</v>
      </c>
      <c r="N1242" s="6">
        <v>0</v>
      </c>
      <c r="O1242" s="6">
        <v>0</v>
      </c>
      <c r="P1242" s="6">
        <v>80</v>
      </c>
      <c r="Q1242" s="4" t="s">
        <v>26</v>
      </c>
      <c r="R1242" s="4">
        <v>0</v>
      </c>
      <c r="S1242" s="4" t="s">
        <v>354</v>
      </c>
      <c r="U1242" s="4">
        <v>26</v>
      </c>
      <c r="V1242" s="4">
        <v>0</v>
      </c>
      <c r="W1242" s="4">
        <v>0</v>
      </c>
    </row>
    <row r="1243" spans="1:23" ht="11.25" customHeight="1" x14ac:dyDescent="0.25">
      <c r="A1243" s="4" t="s">
        <v>21</v>
      </c>
      <c r="B1243" s="4" t="s">
        <v>33</v>
      </c>
      <c r="C1243" s="4" t="s">
        <v>34</v>
      </c>
      <c r="D1243" s="4" t="s">
        <v>52</v>
      </c>
      <c r="E1243" s="4" t="s">
        <v>53</v>
      </c>
      <c r="F1243" s="4" t="s">
        <v>25</v>
      </c>
      <c r="G1243" s="4" t="s">
        <v>25</v>
      </c>
      <c r="H1243" s="4" t="s">
        <v>25</v>
      </c>
      <c r="I1243" s="5">
        <v>43983</v>
      </c>
      <c r="J1243" s="6">
        <v>17394</v>
      </c>
      <c r="K1243" s="6">
        <v>15306.72</v>
      </c>
      <c r="L1243" s="6">
        <v>0</v>
      </c>
      <c r="M1243" s="6">
        <v>0</v>
      </c>
      <c r="N1243" s="6">
        <v>0</v>
      </c>
      <c r="O1243" s="6">
        <v>0</v>
      </c>
      <c r="P1243" s="6">
        <v>80</v>
      </c>
      <c r="Q1243" s="4" t="s">
        <v>26</v>
      </c>
      <c r="R1243" s="4">
        <v>0</v>
      </c>
      <c r="S1243" s="4" t="s">
        <v>355</v>
      </c>
      <c r="U1243" s="4">
        <v>26</v>
      </c>
      <c r="V1243" s="4">
        <v>0</v>
      </c>
      <c r="W1243" s="4">
        <v>0</v>
      </c>
    </row>
    <row r="1244" spans="1:23" ht="11.25" customHeight="1" x14ac:dyDescent="0.25">
      <c r="A1244" s="4" t="s">
        <v>21</v>
      </c>
      <c r="B1244" s="4" t="s">
        <v>33</v>
      </c>
      <c r="C1244" s="4" t="s">
        <v>34</v>
      </c>
      <c r="D1244" s="4" t="s">
        <v>52</v>
      </c>
      <c r="E1244" s="4" t="s">
        <v>53</v>
      </c>
      <c r="F1244" s="4" t="s">
        <v>25</v>
      </c>
      <c r="G1244" s="4" t="s">
        <v>25</v>
      </c>
      <c r="H1244" s="4" t="s">
        <v>25</v>
      </c>
      <c r="I1244" s="5">
        <v>44013</v>
      </c>
      <c r="J1244" s="6">
        <v>17377</v>
      </c>
      <c r="K1244" s="6">
        <v>15291.76</v>
      </c>
      <c r="L1244" s="6">
        <v>0</v>
      </c>
      <c r="M1244" s="6">
        <v>0</v>
      </c>
      <c r="N1244" s="6">
        <v>0</v>
      </c>
      <c r="O1244" s="6">
        <v>0</v>
      </c>
      <c r="P1244" s="6">
        <v>80</v>
      </c>
      <c r="Q1244" s="4" t="s">
        <v>26</v>
      </c>
      <c r="R1244" s="4">
        <v>0</v>
      </c>
      <c r="S1244" s="4" t="s">
        <v>356</v>
      </c>
      <c r="U1244" s="4">
        <v>26</v>
      </c>
      <c r="V1244" s="4">
        <v>0</v>
      </c>
      <c r="W1244" s="4">
        <v>0</v>
      </c>
    </row>
    <row r="1245" spans="1:23" ht="11.25" customHeight="1" x14ac:dyDescent="0.25">
      <c r="A1245" s="4" t="s">
        <v>21</v>
      </c>
      <c r="B1245" s="4" t="s">
        <v>33</v>
      </c>
      <c r="C1245" s="4" t="s">
        <v>34</v>
      </c>
      <c r="D1245" s="4" t="s">
        <v>52</v>
      </c>
      <c r="E1245" s="4" t="s">
        <v>53</v>
      </c>
      <c r="F1245" s="4" t="s">
        <v>25</v>
      </c>
      <c r="G1245" s="4" t="s">
        <v>25</v>
      </c>
      <c r="H1245" s="4" t="s">
        <v>25</v>
      </c>
      <c r="I1245" s="5">
        <v>44044</v>
      </c>
      <c r="J1245" s="6">
        <v>17469</v>
      </c>
      <c r="K1245" s="6">
        <v>15372.72</v>
      </c>
      <c r="L1245" s="6">
        <v>0</v>
      </c>
      <c r="M1245" s="6">
        <v>0</v>
      </c>
      <c r="N1245" s="6">
        <v>0</v>
      </c>
      <c r="O1245" s="6">
        <v>0</v>
      </c>
      <c r="P1245" s="6">
        <v>80</v>
      </c>
      <c r="Q1245" s="4" t="s">
        <v>26</v>
      </c>
      <c r="R1245" s="4">
        <v>0</v>
      </c>
      <c r="S1245" s="4" t="s">
        <v>357</v>
      </c>
      <c r="U1245" s="4">
        <v>26</v>
      </c>
      <c r="V1245" s="4">
        <v>0</v>
      </c>
      <c r="W1245" s="4">
        <v>0</v>
      </c>
    </row>
    <row r="1246" spans="1:23" ht="11.25" customHeight="1" x14ac:dyDescent="0.25">
      <c r="A1246" s="4" t="s">
        <v>59</v>
      </c>
      <c r="B1246" s="4" t="s">
        <v>33</v>
      </c>
      <c r="C1246" s="4" t="s">
        <v>34</v>
      </c>
      <c r="D1246" s="4" t="s">
        <v>52</v>
      </c>
      <c r="E1246" s="4" t="s">
        <v>53</v>
      </c>
      <c r="F1246" s="4" t="s">
        <v>25</v>
      </c>
      <c r="G1246" s="4" t="s">
        <v>25</v>
      </c>
      <c r="H1246" s="4" t="s">
        <v>25</v>
      </c>
      <c r="I1246" s="5">
        <v>44075</v>
      </c>
      <c r="J1246" s="6">
        <v>17469</v>
      </c>
      <c r="K1246" s="6">
        <v>15372.72</v>
      </c>
      <c r="L1246" s="6">
        <v>0</v>
      </c>
      <c r="M1246" s="6">
        <v>0</v>
      </c>
      <c r="N1246" s="6">
        <v>0</v>
      </c>
      <c r="O1246" s="6">
        <v>0</v>
      </c>
      <c r="P1246" s="6">
        <v>80</v>
      </c>
      <c r="Q1246" s="4" t="s">
        <v>26</v>
      </c>
      <c r="R1246" s="4">
        <v>0</v>
      </c>
      <c r="S1246" s="4" t="s">
        <v>358</v>
      </c>
      <c r="U1246" s="4">
        <v>26</v>
      </c>
      <c r="V1246" s="4">
        <v>0</v>
      </c>
      <c r="W1246" s="4">
        <v>0</v>
      </c>
    </row>
    <row r="1247" spans="1:23" ht="11.25" customHeight="1" x14ac:dyDescent="0.25">
      <c r="A1247" s="4" t="s">
        <v>21</v>
      </c>
      <c r="B1247" s="4" t="s">
        <v>33</v>
      </c>
      <c r="C1247" s="4" t="s">
        <v>34</v>
      </c>
      <c r="D1247" s="4" t="s">
        <v>52</v>
      </c>
      <c r="E1247" s="4" t="s">
        <v>53</v>
      </c>
      <c r="F1247" s="4" t="s">
        <v>25</v>
      </c>
      <c r="G1247" s="4" t="s">
        <v>25</v>
      </c>
      <c r="H1247" s="4" t="s">
        <v>35</v>
      </c>
      <c r="I1247" s="5">
        <v>43739</v>
      </c>
      <c r="J1247" s="6">
        <v>0</v>
      </c>
      <c r="K1247" s="6">
        <v>0</v>
      </c>
      <c r="L1247" s="6">
        <v>500.017</v>
      </c>
      <c r="M1247" s="6">
        <v>440.01495999999997</v>
      </c>
      <c r="N1247" s="6">
        <v>500.017</v>
      </c>
      <c r="O1247" s="6">
        <v>440.01495999999997</v>
      </c>
      <c r="P1247" s="6">
        <v>0</v>
      </c>
      <c r="Q1247" s="4" t="s">
        <v>26</v>
      </c>
      <c r="R1247" s="4">
        <v>0</v>
      </c>
      <c r="S1247" s="4" t="s">
        <v>359</v>
      </c>
      <c r="T1247" s="4" t="s">
        <v>712</v>
      </c>
      <c r="U1247" s="4">
        <v>0</v>
      </c>
      <c r="V1247" s="4">
        <v>27</v>
      </c>
      <c r="W1247" s="4">
        <v>81</v>
      </c>
    </row>
    <row r="1248" spans="1:23" ht="11.25" customHeight="1" x14ac:dyDescent="0.25">
      <c r="A1248" s="4" t="s">
        <v>21</v>
      </c>
      <c r="B1248" s="4" t="s">
        <v>33</v>
      </c>
      <c r="C1248" s="4" t="s">
        <v>34</v>
      </c>
      <c r="D1248" s="4" t="s">
        <v>52</v>
      </c>
      <c r="E1248" s="4" t="s">
        <v>53</v>
      </c>
      <c r="F1248" s="4" t="s">
        <v>25</v>
      </c>
      <c r="G1248" s="4" t="s">
        <v>25</v>
      </c>
      <c r="H1248" s="4" t="s">
        <v>35</v>
      </c>
      <c r="I1248" s="5">
        <v>43770</v>
      </c>
      <c r="J1248" s="6">
        <v>0</v>
      </c>
      <c r="K1248" s="6">
        <v>0</v>
      </c>
      <c r="L1248" s="6">
        <v>475.28300000000002</v>
      </c>
      <c r="M1248" s="6">
        <v>418.24904000000004</v>
      </c>
      <c r="N1248" s="6">
        <v>475.28300000000002</v>
      </c>
      <c r="O1248" s="6">
        <v>418.24904000000004</v>
      </c>
      <c r="P1248" s="6">
        <v>0</v>
      </c>
      <c r="Q1248" s="4" t="s">
        <v>26</v>
      </c>
      <c r="R1248" s="4">
        <v>0</v>
      </c>
      <c r="S1248" s="4" t="s">
        <v>360</v>
      </c>
      <c r="T1248" s="4" t="s">
        <v>713</v>
      </c>
      <c r="U1248" s="4">
        <v>0</v>
      </c>
      <c r="V1248" s="4">
        <v>27</v>
      </c>
      <c r="W1248" s="4">
        <v>81</v>
      </c>
    </row>
    <row r="1249" spans="1:23" ht="11.25" customHeight="1" x14ac:dyDescent="0.25">
      <c r="A1249" s="4" t="s">
        <v>21</v>
      </c>
      <c r="B1249" s="4" t="s">
        <v>33</v>
      </c>
      <c r="C1249" s="4" t="s">
        <v>34</v>
      </c>
      <c r="D1249" s="4" t="s">
        <v>52</v>
      </c>
      <c r="E1249" s="4" t="s">
        <v>53</v>
      </c>
      <c r="F1249" s="4" t="s">
        <v>25</v>
      </c>
      <c r="G1249" s="4" t="s">
        <v>25</v>
      </c>
      <c r="H1249" s="4" t="s">
        <v>35</v>
      </c>
      <c r="I1249" s="5">
        <v>43800</v>
      </c>
      <c r="J1249" s="6">
        <v>0</v>
      </c>
      <c r="K1249" s="6">
        <v>0</v>
      </c>
      <c r="L1249" s="6">
        <v>456.238</v>
      </c>
      <c r="M1249" s="6">
        <v>401.48944</v>
      </c>
      <c r="N1249" s="6">
        <v>456.238</v>
      </c>
      <c r="O1249" s="6">
        <v>401.48944</v>
      </c>
      <c r="P1249" s="6">
        <v>0</v>
      </c>
      <c r="Q1249" s="4" t="s">
        <v>26</v>
      </c>
      <c r="R1249" s="4">
        <v>0</v>
      </c>
      <c r="S1249" s="4" t="s">
        <v>361</v>
      </c>
      <c r="T1249" s="4" t="s">
        <v>714</v>
      </c>
      <c r="U1249" s="4">
        <v>0</v>
      </c>
      <c r="V1249" s="4">
        <v>27</v>
      </c>
      <c r="W1249" s="4">
        <v>81</v>
      </c>
    </row>
    <row r="1250" spans="1:23" ht="11.25" customHeight="1" x14ac:dyDescent="0.25">
      <c r="A1250" s="4" t="s">
        <v>21</v>
      </c>
      <c r="B1250" s="4" t="s">
        <v>33</v>
      </c>
      <c r="C1250" s="4" t="s">
        <v>34</v>
      </c>
      <c r="D1250" s="4" t="s">
        <v>52</v>
      </c>
      <c r="E1250" s="4" t="s">
        <v>53</v>
      </c>
      <c r="F1250" s="4" t="s">
        <v>25</v>
      </c>
      <c r="G1250" s="4" t="s">
        <v>25</v>
      </c>
      <c r="H1250" s="4" t="s">
        <v>35</v>
      </c>
      <c r="I1250" s="5">
        <v>43831</v>
      </c>
      <c r="J1250" s="6">
        <v>0</v>
      </c>
      <c r="K1250" s="6">
        <v>0</v>
      </c>
      <c r="L1250" s="6">
        <v>508.66</v>
      </c>
      <c r="M1250" s="6">
        <v>447.62080000000003</v>
      </c>
      <c r="N1250" s="6">
        <v>508.66</v>
      </c>
      <c r="O1250" s="6">
        <v>447.62080000000003</v>
      </c>
      <c r="P1250" s="6">
        <v>0</v>
      </c>
      <c r="Q1250" s="4" t="s">
        <v>26</v>
      </c>
      <c r="R1250" s="4">
        <v>0</v>
      </c>
      <c r="S1250" s="4" t="s">
        <v>362</v>
      </c>
      <c r="T1250" s="4" t="s">
        <v>715</v>
      </c>
      <c r="U1250" s="4">
        <v>0</v>
      </c>
      <c r="V1250" s="4">
        <v>27</v>
      </c>
      <c r="W1250" s="4">
        <v>81</v>
      </c>
    </row>
    <row r="1251" spans="1:23" ht="11.25" customHeight="1" x14ac:dyDescent="0.25">
      <c r="A1251" s="4" t="s">
        <v>21</v>
      </c>
      <c r="B1251" s="4" t="s">
        <v>33</v>
      </c>
      <c r="C1251" s="4" t="s">
        <v>34</v>
      </c>
      <c r="D1251" s="4" t="s">
        <v>52</v>
      </c>
      <c r="E1251" s="4" t="s">
        <v>53</v>
      </c>
      <c r="F1251" s="4" t="s">
        <v>25</v>
      </c>
      <c r="G1251" s="4" t="s">
        <v>25</v>
      </c>
      <c r="H1251" s="4" t="s">
        <v>35</v>
      </c>
      <c r="I1251" s="5">
        <v>43862</v>
      </c>
      <c r="J1251" s="6">
        <v>0</v>
      </c>
      <c r="K1251" s="6">
        <v>0</v>
      </c>
      <c r="L1251" s="6">
        <v>536.274</v>
      </c>
      <c r="M1251" s="6">
        <v>471.92112000000003</v>
      </c>
      <c r="N1251" s="6">
        <v>536.274</v>
      </c>
      <c r="O1251" s="6">
        <v>471.92112000000003</v>
      </c>
      <c r="P1251" s="6">
        <v>0</v>
      </c>
      <c r="Q1251" s="4" t="s">
        <v>26</v>
      </c>
      <c r="R1251" s="4">
        <v>0</v>
      </c>
      <c r="S1251" s="4" t="s">
        <v>363</v>
      </c>
      <c r="T1251" s="4" t="s">
        <v>716</v>
      </c>
      <c r="U1251" s="4">
        <v>0</v>
      </c>
      <c r="V1251" s="4">
        <v>27</v>
      </c>
      <c r="W1251" s="4">
        <v>81</v>
      </c>
    </row>
    <row r="1252" spans="1:23" ht="11.25" customHeight="1" x14ac:dyDescent="0.25">
      <c r="A1252" s="4" t="s">
        <v>21</v>
      </c>
      <c r="B1252" s="4" t="s">
        <v>33</v>
      </c>
      <c r="C1252" s="4" t="s">
        <v>34</v>
      </c>
      <c r="D1252" s="4" t="s">
        <v>52</v>
      </c>
      <c r="E1252" s="4" t="s">
        <v>53</v>
      </c>
      <c r="F1252" s="4" t="s">
        <v>25</v>
      </c>
      <c r="G1252" s="4" t="s">
        <v>25</v>
      </c>
      <c r="H1252" s="4" t="s">
        <v>35</v>
      </c>
      <c r="I1252" s="5">
        <v>43891</v>
      </c>
      <c r="J1252" s="6">
        <v>0</v>
      </c>
      <c r="K1252" s="6">
        <v>0</v>
      </c>
      <c r="L1252" s="6">
        <v>481.88099999999997</v>
      </c>
      <c r="M1252" s="6">
        <v>424.05527999999998</v>
      </c>
      <c r="N1252" s="6">
        <v>481.88099999999997</v>
      </c>
      <c r="O1252" s="6">
        <v>424.05527999999998</v>
      </c>
      <c r="P1252" s="6">
        <v>0</v>
      </c>
      <c r="Q1252" s="4" t="s">
        <v>26</v>
      </c>
      <c r="R1252" s="4">
        <v>0</v>
      </c>
      <c r="S1252" s="4" t="s">
        <v>364</v>
      </c>
      <c r="T1252" s="4" t="s">
        <v>717</v>
      </c>
      <c r="U1252" s="4">
        <v>0</v>
      </c>
      <c r="V1252" s="4">
        <v>27</v>
      </c>
      <c r="W1252" s="4">
        <v>81</v>
      </c>
    </row>
    <row r="1253" spans="1:23" ht="11.25" customHeight="1" x14ac:dyDescent="0.25">
      <c r="A1253" s="4" t="s">
        <v>21</v>
      </c>
      <c r="B1253" s="4" t="s">
        <v>33</v>
      </c>
      <c r="C1253" s="4" t="s">
        <v>34</v>
      </c>
      <c r="D1253" s="4" t="s">
        <v>52</v>
      </c>
      <c r="E1253" s="4" t="s">
        <v>53</v>
      </c>
      <c r="F1253" s="4" t="s">
        <v>25</v>
      </c>
      <c r="G1253" s="4" t="s">
        <v>25</v>
      </c>
      <c r="H1253" s="4" t="s">
        <v>35</v>
      </c>
      <c r="I1253" s="5">
        <v>43922</v>
      </c>
      <c r="J1253" s="6">
        <v>0</v>
      </c>
      <c r="K1253" s="6">
        <v>0</v>
      </c>
      <c r="L1253" s="6">
        <v>503.37200000000001</v>
      </c>
      <c r="M1253" s="6">
        <v>442.96736000000004</v>
      </c>
      <c r="N1253" s="6">
        <v>503.37200000000001</v>
      </c>
      <c r="O1253" s="6">
        <v>442.96736000000004</v>
      </c>
      <c r="P1253" s="6">
        <v>0</v>
      </c>
      <c r="Q1253" s="4" t="s">
        <v>26</v>
      </c>
      <c r="R1253" s="4">
        <v>0</v>
      </c>
      <c r="S1253" s="4" t="s">
        <v>365</v>
      </c>
      <c r="T1253" s="4" t="s">
        <v>718</v>
      </c>
      <c r="U1253" s="4">
        <v>0</v>
      </c>
      <c r="V1253" s="4">
        <v>27</v>
      </c>
      <c r="W1253" s="4">
        <v>81</v>
      </c>
    </row>
    <row r="1254" spans="1:23" ht="11.25" customHeight="1" x14ac:dyDescent="0.25">
      <c r="A1254" s="4" t="s">
        <v>21</v>
      </c>
      <c r="B1254" s="4" t="s">
        <v>33</v>
      </c>
      <c r="C1254" s="4" t="s">
        <v>34</v>
      </c>
      <c r="D1254" s="4" t="s">
        <v>52</v>
      </c>
      <c r="E1254" s="4" t="s">
        <v>53</v>
      </c>
      <c r="F1254" s="4" t="s">
        <v>25</v>
      </c>
      <c r="G1254" s="4" t="s">
        <v>25</v>
      </c>
      <c r="H1254" s="4" t="s">
        <v>35</v>
      </c>
      <c r="I1254" s="5">
        <v>43952</v>
      </c>
      <c r="J1254" s="6">
        <v>0</v>
      </c>
      <c r="K1254" s="6">
        <v>0</v>
      </c>
      <c r="L1254" s="6">
        <v>438.33699999999999</v>
      </c>
      <c r="M1254" s="6">
        <v>385.73656</v>
      </c>
      <c r="N1254" s="6">
        <v>438.33699999999999</v>
      </c>
      <c r="O1254" s="6">
        <v>385.73656</v>
      </c>
      <c r="P1254" s="6">
        <v>0</v>
      </c>
      <c r="Q1254" s="4" t="s">
        <v>26</v>
      </c>
      <c r="R1254" s="4">
        <v>0</v>
      </c>
      <c r="S1254" s="4" t="s">
        <v>366</v>
      </c>
      <c r="T1254" s="4" t="s">
        <v>719</v>
      </c>
      <c r="U1254" s="4">
        <v>0</v>
      </c>
      <c r="V1254" s="4">
        <v>27</v>
      </c>
      <c r="W1254" s="4">
        <v>81</v>
      </c>
    </row>
    <row r="1255" spans="1:23" ht="11.25" customHeight="1" x14ac:dyDescent="0.25">
      <c r="A1255" s="4" t="s">
        <v>21</v>
      </c>
      <c r="B1255" s="4" t="s">
        <v>33</v>
      </c>
      <c r="C1255" s="4" t="s">
        <v>34</v>
      </c>
      <c r="D1255" s="4" t="s">
        <v>52</v>
      </c>
      <c r="E1255" s="4" t="s">
        <v>53</v>
      </c>
      <c r="F1255" s="4" t="s">
        <v>25</v>
      </c>
      <c r="G1255" s="4" t="s">
        <v>25</v>
      </c>
      <c r="H1255" s="4" t="s">
        <v>35</v>
      </c>
      <c r="I1255" s="5">
        <v>43983</v>
      </c>
      <c r="J1255" s="6">
        <v>0</v>
      </c>
      <c r="K1255" s="6">
        <v>0</v>
      </c>
      <c r="L1255" s="6">
        <v>470.84800000000001</v>
      </c>
      <c r="M1255" s="6">
        <v>414.34624000000002</v>
      </c>
      <c r="N1255" s="6">
        <v>470.84800000000001</v>
      </c>
      <c r="O1255" s="6">
        <v>414.34624000000002</v>
      </c>
      <c r="P1255" s="6">
        <v>0</v>
      </c>
      <c r="Q1255" s="4" t="s">
        <v>26</v>
      </c>
      <c r="R1255" s="4">
        <v>0</v>
      </c>
      <c r="S1255" s="4" t="s">
        <v>367</v>
      </c>
      <c r="T1255" s="4" t="s">
        <v>720</v>
      </c>
      <c r="U1255" s="4">
        <v>0</v>
      </c>
      <c r="V1255" s="4">
        <v>27</v>
      </c>
      <c r="W1255" s="4">
        <v>81</v>
      </c>
    </row>
    <row r="1256" spans="1:23" ht="11.25" customHeight="1" x14ac:dyDescent="0.25">
      <c r="A1256" s="4" t="s">
        <v>21</v>
      </c>
      <c r="B1256" s="4" t="s">
        <v>33</v>
      </c>
      <c r="C1256" s="4" t="s">
        <v>34</v>
      </c>
      <c r="D1256" s="4" t="s">
        <v>52</v>
      </c>
      <c r="E1256" s="4" t="s">
        <v>53</v>
      </c>
      <c r="F1256" s="4" t="s">
        <v>25</v>
      </c>
      <c r="G1256" s="4" t="s">
        <v>25</v>
      </c>
      <c r="H1256" s="4" t="s">
        <v>35</v>
      </c>
      <c r="I1256" s="5">
        <v>44013</v>
      </c>
      <c r="J1256" s="6">
        <v>0</v>
      </c>
      <c r="K1256" s="6">
        <v>0</v>
      </c>
      <c r="L1256" s="6">
        <v>455.96699999999998</v>
      </c>
      <c r="M1256" s="6">
        <v>401.25095999999996</v>
      </c>
      <c r="N1256" s="6">
        <v>455.96699999999998</v>
      </c>
      <c r="O1256" s="6">
        <v>401.25095999999996</v>
      </c>
      <c r="P1256" s="6">
        <v>0</v>
      </c>
      <c r="Q1256" s="4" t="s">
        <v>26</v>
      </c>
      <c r="R1256" s="4">
        <v>0</v>
      </c>
      <c r="S1256" s="4" t="s">
        <v>368</v>
      </c>
      <c r="T1256" s="4" t="s">
        <v>721</v>
      </c>
      <c r="U1256" s="4">
        <v>0</v>
      </c>
      <c r="V1256" s="4">
        <v>27</v>
      </c>
      <c r="W1256" s="4">
        <v>81</v>
      </c>
    </row>
    <row r="1257" spans="1:23" ht="11.25" customHeight="1" x14ac:dyDescent="0.25">
      <c r="A1257" s="4" t="s">
        <v>21</v>
      </c>
      <c r="B1257" s="4" t="s">
        <v>33</v>
      </c>
      <c r="C1257" s="4" t="s">
        <v>34</v>
      </c>
      <c r="D1257" s="4" t="s">
        <v>52</v>
      </c>
      <c r="E1257" s="4" t="s">
        <v>53</v>
      </c>
      <c r="F1257" s="4" t="s">
        <v>25</v>
      </c>
      <c r="G1257" s="4" t="s">
        <v>25</v>
      </c>
      <c r="H1257" s="4" t="s">
        <v>35</v>
      </c>
      <c r="I1257" s="5">
        <v>44044</v>
      </c>
      <c r="J1257" s="6">
        <v>0</v>
      </c>
      <c r="K1257" s="6">
        <v>0</v>
      </c>
      <c r="L1257" s="6">
        <v>487.88499999999999</v>
      </c>
      <c r="M1257" s="6">
        <v>429.33879999999999</v>
      </c>
      <c r="N1257" s="6">
        <v>487.88499999999999</v>
      </c>
      <c r="O1257" s="6">
        <v>429.33879999999999</v>
      </c>
      <c r="P1257" s="6">
        <v>0</v>
      </c>
      <c r="Q1257" s="4" t="s">
        <v>26</v>
      </c>
      <c r="R1257" s="4">
        <v>0</v>
      </c>
      <c r="S1257" s="4" t="s">
        <v>369</v>
      </c>
      <c r="T1257" s="4" t="s">
        <v>722</v>
      </c>
      <c r="U1257" s="4">
        <v>0</v>
      </c>
      <c r="V1257" s="4">
        <v>27</v>
      </c>
      <c r="W1257" s="4">
        <v>81</v>
      </c>
    </row>
    <row r="1258" spans="1:23" ht="11.25" customHeight="1" x14ac:dyDescent="0.25">
      <c r="A1258" s="4" t="s">
        <v>59</v>
      </c>
      <c r="B1258" s="4" t="s">
        <v>33</v>
      </c>
      <c r="C1258" s="4" t="s">
        <v>34</v>
      </c>
      <c r="D1258" s="4" t="s">
        <v>52</v>
      </c>
      <c r="E1258" s="4" t="s">
        <v>53</v>
      </c>
      <c r="F1258" s="4" t="s">
        <v>25</v>
      </c>
      <c r="G1258" s="4" t="s">
        <v>25</v>
      </c>
      <c r="H1258" s="4" t="s">
        <v>35</v>
      </c>
      <c r="I1258" s="5">
        <v>44075</v>
      </c>
      <c r="J1258" s="6">
        <v>0</v>
      </c>
      <c r="K1258" s="6">
        <v>0</v>
      </c>
      <c r="L1258" s="6">
        <v>487.88499999999999</v>
      </c>
      <c r="M1258" s="6">
        <v>429.33879999999999</v>
      </c>
      <c r="N1258" s="6">
        <v>487.88499999999999</v>
      </c>
      <c r="O1258" s="6">
        <v>429.33879999999999</v>
      </c>
      <c r="P1258" s="6">
        <v>0</v>
      </c>
      <c r="Q1258" s="4" t="s">
        <v>26</v>
      </c>
      <c r="R1258" s="4">
        <v>0</v>
      </c>
      <c r="S1258" s="4" t="s">
        <v>370</v>
      </c>
      <c r="T1258" s="4" t="s">
        <v>723</v>
      </c>
      <c r="U1258" s="4">
        <v>0</v>
      </c>
      <c r="V1258" s="4">
        <v>27</v>
      </c>
      <c r="W1258" s="4">
        <v>81</v>
      </c>
    </row>
    <row r="1259" spans="1:23" ht="11.25" customHeight="1" x14ac:dyDescent="0.25">
      <c r="A1259" s="4" t="s">
        <v>21</v>
      </c>
      <c r="B1259" s="4" t="s">
        <v>33</v>
      </c>
      <c r="C1259" s="4" t="s">
        <v>34</v>
      </c>
      <c r="D1259" s="4" t="s">
        <v>52</v>
      </c>
      <c r="E1259" s="4" t="s">
        <v>58</v>
      </c>
      <c r="F1259" s="4" t="s">
        <v>25</v>
      </c>
      <c r="G1259" s="4" t="s">
        <v>25</v>
      </c>
      <c r="H1259" s="4" t="s">
        <v>36</v>
      </c>
      <c r="I1259" s="5">
        <v>43770</v>
      </c>
      <c r="J1259" s="6">
        <v>0</v>
      </c>
      <c r="K1259" s="6">
        <v>0</v>
      </c>
      <c r="L1259" s="6">
        <v>517.476</v>
      </c>
      <c r="M1259" s="6">
        <v>517.476</v>
      </c>
      <c r="N1259" s="6">
        <v>517.476</v>
      </c>
      <c r="O1259" s="6">
        <v>517.476</v>
      </c>
      <c r="P1259" s="6">
        <v>0</v>
      </c>
      <c r="Q1259" s="4" t="s">
        <v>26</v>
      </c>
      <c r="R1259" s="4">
        <v>0</v>
      </c>
      <c r="S1259" s="4" t="s">
        <v>336</v>
      </c>
      <c r="T1259" s="4" t="s">
        <v>701</v>
      </c>
      <c r="U1259" s="4">
        <v>0</v>
      </c>
      <c r="V1259" s="4">
        <v>28</v>
      </c>
      <c r="W1259" s="4">
        <v>82</v>
      </c>
    </row>
    <row r="1260" spans="1:23" ht="11.25" customHeight="1" x14ac:dyDescent="0.25">
      <c r="A1260" s="4" t="s">
        <v>21</v>
      </c>
      <c r="B1260" s="4" t="s">
        <v>33</v>
      </c>
      <c r="C1260" s="4" t="s">
        <v>34</v>
      </c>
      <c r="D1260" s="4" t="s">
        <v>52</v>
      </c>
      <c r="E1260" s="4" t="s">
        <v>58</v>
      </c>
      <c r="F1260" s="4" t="s">
        <v>25</v>
      </c>
      <c r="G1260" s="4" t="s">
        <v>25</v>
      </c>
      <c r="H1260" s="4" t="s">
        <v>36</v>
      </c>
      <c r="I1260" s="5">
        <v>43800</v>
      </c>
      <c r="J1260" s="6">
        <v>0</v>
      </c>
      <c r="K1260" s="6">
        <v>0</v>
      </c>
      <c r="L1260" s="6">
        <v>285.22000000000003</v>
      </c>
      <c r="M1260" s="6">
        <v>285.22000000000003</v>
      </c>
      <c r="N1260" s="6">
        <v>285.22000000000003</v>
      </c>
      <c r="O1260" s="6">
        <v>285.22000000000003</v>
      </c>
      <c r="P1260" s="6">
        <v>0</v>
      </c>
      <c r="Q1260" s="4" t="s">
        <v>26</v>
      </c>
      <c r="R1260" s="4">
        <v>0</v>
      </c>
      <c r="S1260" s="4" t="s">
        <v>337</v>
      </c>
      <c r="T1260" s="4" t="s">
        <v>702</v>
      </c>
      <c r="U1260" s="4">
        <v>0</v>
      </c>
      <c r="V1260" s="4">
        <v>28</v>
      </c>
      <c r="W1260" s="4">
        <v>82</v>
      </c>
    </row>
    <row r="1261" spans="1:23" ht="11.25" customHeight="1" x14ac:dyDescent="0.25">
      <c r="A1261" s="4" t="s">
        <v>21</v>
      </c>
      <c r="B1261" s="4" t="s">
        <v>33</v>
      </c>
      <c r="C1261" s="4" t="s">
        <v>34</v>
      </c>
      <c r="D1261" s="4" t="s">
        <v>52</v>
      </c>
      <c r="E1261" s="4" t="s">
        <v>58</v>
      </c>
      <c r="F1261" s="4" t="s">
        <v>25</v>
      </c>
      <c r="G1261" s="4" t="s">
        <v>25</v>
      </c>
      <c r="H1261" s="4" t="s">
        <v>36</v>
      </c>
      <c r="I1261" s="5">
        <v>43831</v>
      </c>
      <c r="J1261" s="6">
        <v>0</v>
      </c>
      <c r="K1261" s="6">
        <v>0</v>
      </c>
      <c r="L1261" s="6">
        <v>223.827</v>
      </c>
      <c r="M1261" s="6">
        <v>223.827</v>
      </c>
      <c r="N1261" s="6">
        <v>223.827</v>
      </c>
      <c r="O1261" s="6">
        <v>223.827</v>
      </c>
      <c r="P1261" s="6">
        <v>0</v>
      </c>
      <c r="Q1261" s="4" t="s">
        <v>26</v>
      </c>
      <c r="R1261" s="4">
        <v>0</v>
      </c>
      <c r="S1261" s="4" t="s">
        <v>338</v>
      </c>
      <c r="T1261" s="4" t="s">
        <v>703</v>
      </c>
      <c r="U1261" s="4">
        <v>0</v>
      </c>
      <c r="V1261" s="4">
        <v>28</v>
      </c>
      <c r="W1261" s="4">
        <v>82</v>
      </c>
    </row>
    <row r="1262" spans="1:23" ht="11.25" customHeight="1" x14ac:dyDescent="0.25">
      <c r="A1262" s="4" t="s">
        <v>21</v>
      </c>
      <c r="B1262" s="4" t="s">
        <v>33</v>
      </c>
      <c r="C1262" s="4" t="s">
        <v>34</v>
      </c>
      <c r="D1262" s="4" t="s">
        <v>52</v>
      </c>
      <c r="E1262" s="4" t="s">
        <v>58</v>
      </c>
      <c r="F1262" s="4" t="s">
        <v>25</v>
      </c>
      <c r="G1262" s="4" t="s">
        <v>25</v>
      </c>
      <c r="H1262" s="4" t="s">
        <v>36</v>
      </c>
      <c r="I1262" s="5">
        <v>43862</v>
      </c>
      <c r="J1262" s="6">
        <v>0</v>
      </c>
      <c r="K1262" s="6">
        <v>0</v>
      </c>
      <c r="L1262" s="6">
        <v>249.55799999999999</v>
      </c>
      <c r="M1262" s="6">
        <v>249.55799999999999</v>
      </c>
      <c r="N1262" s="6">
        <v>249.55799999999999</v>
      </c>
      <c r="O1262" s="6">
        <v>249.55799999999999</v>
      </c>
      <c r="P1262" s="6">
        <v>0</v>
      </c>
      <c r="Q1262" s="4" t="s">
        <v>26</v>
      </c>
      <c r="R1262" s="4">
        <v>0</v>
      </c>
      <c r="S1262" s="4" t="s">
        <v>339</v>
      </c>
      <c r="T1262" s="4" t="s">
        <v>704</v>
      </c>
      <c r="U1262" s="4">
        <v>0</v>
      </c>
      <c r="V1262" s="4">
        <v>28</v>
      </c>
      <c r="W1262" s="4">
        <v>82</v>
      </c>
    </row>
    <row r="1263" spans="1:23" ht="11.25" customHeight="1" x14ac:dyDescent="0.25">
      <c r="A1263" s="4" t="s">
        <v>21</v>
      </c>
      <c r="B1263" s="4" t="s">
        <v>33</v>
      </c>
      <c r="C1263" s="4" t="s">
        <v>34</v>
      </c>
      <c r="D1263" s="4" t="s">
        <v>52</v>
      </c>
      <c r="E1263" s="4" t="s">
        <v>58</v>
      </c>
      <c r="F1263" s="4" t="s">
        <v>25</v>
      </c>
      <c r="G1263" s="4" t="s">
        <v>25</v>
      </c>
      <c r="H1263" s="4" t="s">
        <v>36</v>
      </c>
      <c r="I1263" s="5">
        <v>43891</v>
      </c>
      <c r="J1263" s="6">
        <v>0</v>
      </c>
      <c r="K1263" s="6">
        <v>0</v>
      </c>
      <c r="L1263" s="6">
        <v>223.535</v>
      </c>
      <c r="M1263" s="6">
        <v>223.535</v>
      </c>
      <c r="N1263" s="6">
        <v>223.535</v>
      </c>
      <c r="O1263" s="6">
        <v>223.535</v>
      </c>
      <c r="P1263" s="6">
        <v>0</v>
      </c>
      <c r="Q1263" s="4" t="s">
        <v>26</v>
      </c>
      <c r="R1263" s="4">
        <v>0</v>
      </c>
      <c r="S1263" s="4" t="s">
        <v>340</v>
      </c>
      <c r="T1263" s="4" t="s">
        <v>705</v>
      </c>
      <c r="U1263" s="4">
        <v>0</v>
      </c>
      <c r="V1263" s="4">
        <v>28</v>
      </c>
      <c r="W1263" s="4">
        <v>82</v>
      </c>
    </row>
    <row r="1264" spans="1:23" ht="11.25" customHeight="1" x14ac:dyDescent="0.25">
      <c r="A1264" s="4" t="s">
        <v>21</v>
      </c>
      <c r="B1264" s="4" t="s">
        <v>33</v>
      </c>
      <c r="C1264" s="4" t="s">
        <v>34</v>
      </c>
      <c r="D1264" s="4" t="s">
        <v>52</v>
      </c>
      <c r="E1264" s="4" t="s">
        <v>58</v>
      </c>
      <c r="F1264" s="4" t="s">
        <v>25</v>
      </c>
      <c r="G1264" s="4" t="s">
        <v>25</v>
      </c>
      <c r="H1264" s="4" t="s">
        <v>36</v>
      </c>
      <c r="I1264" s="5">
        <v>43922</v>
      </c>
      <c r="J1264" s="6">
        <v>0</v>
      </c>
      <c r="K1264" s="6">
        <v>0</v>
      </c>
      <c r="L1264" s="6">
        <v>219.87100000000001</v>
      </c>
      <c r="M1264" s="6">
        <v>219.87100000000001</v>
      </c>
      <c r="N1264" s="6">
        <v>219.87100000000001</v>
      </c>
      <c r="O1264" s="6">
        <v>219.87100000000001</v>
      </c>
      <c r="P1264" s="6">
        <v>0</v>
      </c>
      <c r="Q1264" s="4" t="s">
        <v>26</v>
      </c>
      <c r="R1264" s="4">
        <v>0</v>
      </c>
      <c r="S1264" s="4" t="s">
        <v>341</v>
      </c>
      <c r="T1264" s="4" t="s">
        <v>706</v>
      </c>
      <c r="U1264" s="4">
        <v>0</v>
      </c>
      <c r="V1264" s="4">
        <v>28</v>
      </c>
      <c r="W1264" s="4">
        <v>82</v>
      </c>
    </row>
    <row r="1265" spans="1:23" ht="11.25" customHeight="1" x14ac:dyDescent="0.25">
      <c r="A1265" s="4" t="s">
        <v>21</v>
      </c>
      <c r="B1265" s="4" t="s">
        <v>33</v>
      </c>
      <c r="C1265" s="4" t="s">
        <v>34</v>
      </c>
      <c r="D1265" s="4" t="s">
        <v>52</v>
      </c>
      <c r="E1265" s="4" t="s">
        <v>58</v>
      </c>
      <c r="F1265" s="4" t="s">
        <v>25</v>
      </c>
      <c r="G1265" s="4" t="s">
        <v>25</v>
      </c>
      <c r="H1265" s="4" t="s">
        <v>36</v>
      </c>
      <c r="I1265" s="5">
        <v>43952</v>
      </c>
      <c r="J1265" s="6">
        <v>0</v>
      </c>
      <c r="K1265" s="6">
        <v>0</v>
      </c>
      <c r="L1265" s="6">
        <v>243.92500000000001</v>
      </c>
      <c r="M1265" s="6">
        <v>243.92500000000001</v>
      </c>
      <c r="N1265" s="6">
        <v>243.92500000000001</v>
      </c>
      <c r="O1265" s="6">
        <v>243.92500000000001</v>
      </c>
      <c r="P1265" s="6">
        <v>0</v>
      </c>
      <c r="Q1265" s="4" t="s">
        <v>26</v>
      </c>
      <c r="R1265" s="4">
        <v>0</v>
      </c>
      <c r="S1265" s="4" t="s">
        <v>342</v>
      </c>
      <c r="T1265" s="4" t="s">
        <v>707</v>
      </c>
      <c r="U1265" s="4">
        <v>0</v>
      </c>
      <c r="V1265" s="4">
        <v>28</v>
      </c>
      <c r="W1265" s="4">
        <v>82</v>
      </c>
    </row>
    <row r="1266" spans="1:23" ht="11.25" customHeight="1" x14ac:dyDescent="0.25">
      <c r="A1266" s="4" t="s">
        <v>21</v>
      </c>
      <c r="B1266" s="4" t="s">
        <v>33</v>
      </c>
      <c r="C1266" s="4" t="s">
        <v>34</v>
      </c>
      <c r="D1266" s="4" t="s">
        <v>52</v>
      </c>
      <c r="E1266" s="4" t="s">
        <v>58</v>
      </c>
      <c r="F1266" s="4" t="s">
        <v>25</v>
      </c>
      <c r="G1266" s="4" t="s">
        <v>25</v>
      </c>
      <c r="H1266" s="4" t="s">
        <v>36</v>
      </c>
      <c r="I1266" s="5">
        <v>43983</v>
      </c>
      <c r="J1266" s="6">
        <v>0</v>
      </c>
      <c r="K1266" s="6">
        <v>0</v>
      </c>
      <c r="L1266" s="6">
        <v>262.52199999999999</v>
      </c>
      <c r="M1266" s="6">
        <v>262.52199999999999</v>
      </c>
      <c r="N1266" s="6">
        <v>262.52199999999999</v>
      </c>
      <c r="O1266" s="6">
        <v>262.52199999999999</v>
      </c>
      <c r="P1266" s="6">
        <v>0</v>
      </c>
      <c r="Q1266" s="4" t="s">
        <v>26</v>
      </c>
      <c r="R1266" s="4">
        <v>0</v>
      </c>
      <c r="S1266" s="4" t="s">
        <v>343</v>
      </c>
      <c r="T1266" s="4" t="s">
        <v>708</v>
      </c>
      <c r="U1266" s="4">
        <v>0</v>
      </c>
      <c r="V1266" s="4">
        <v>28</v>
      </c>
      <c r="W1266" s="4">
        <v>82</v>
      </c>
    </row>
    <row r="1267" spans="1:23" ht="11.25" customHeight="1" x14ac:dyDescent="0.25">
      <c r="A1267" s="4" t="s">
        <v>21</v>
      </c>
      <c r="B1267" s="4" t="s">
        <v>33</v>
      </c>
      <c r="C1267" s="4" t="s">
        <v>34</v>
      </c>
      <c r="D1267" s="4" t="s">
        <v>52</v>
      </c>
      <c r="E1267" s="4" t="s">
        <v>58</v>
      </c>
      <c r="F1267" s="4" t="s">
        <v>25</v>
      </c>
      <c r="G1267" s="4" t="s">
        <v>25</v>
      </c>
      <c r="H1267" s="4" t="s">
        <v>36</v>
      </c>
      <c r="I1267" s="5">
        <v>44013</v>
      </c>
      <c r="J1267" s="6">
        <v>0</v>
      </c>
      <c r="K1267" s="6">
        <v>0</v>
      </c>
      <c r="L1267" s="6">
        <v>216.511</v>
      </c>
      <c r="M1267" s="6">
        <v>216.511</v>
      </c>
      <c r="N1267" s="6">
        <v>216.511</v>
      </c>
      <c r="O1267" s="6">
        <v>216.511</v>
      </c>
      <c r="P1267" s="6">
        <v>0</v>
      </c>
      <c r="Q1267" s="4" t="s">
        <v>26</v>
      </c>
      <c r="R1267" s="4">
        <v>0</v>
      </c>
      <c r="S1267" s="4" t="s">
        <v>344</v>
      </c>
      <c r="T1267" s="4" t="s">
        <v>709</v>
      </c>
      <c r="U1267" s="4">
        <v>0</v>
      </c>
      <c r="V1267" s="4">
        <v>28</v>
      </c>
      <c r="W1267" s="4">
        <v>82</v>
      </c>
    </row>
    <row r="1268" spans="1:23" ht="11.25" customHeight="1" x14ac:dyDescent="0.25">
      <c r="A1268" s="4" t="s">
        <v>21</v>
      </c>
      <c r="B1268" s="4" t="s">
        <v>33</v>
      </c>
      <c r="C1268" s="4" t="s">
        <v>34</v>
      </c>
      <c r="D1268" s="4" t="s">
        <v>52</v>
      </c>
      <c r="E1268" s="4" t="s">
        <v>58</v>
      </c>
      <c r="F1268" s="4" t="s">
        <v>25</v>
      </c>
      <c r="G1268" s="4" t="s">
        <v>25</v>
      </c>
      <c r="H1268" s="4" t="s">
        <v>36</v>
      </c>
      <c r="I1268" s="5">
        <v>44044</v>
      </c>
      <c r="J1268" s="6">
        <v>0</v>
      </c>
      <c r="K1268" s="6">
        <v>0</v>
      </c>
      <c r="L1268" s="6">
        <v>269.88099999999997</v>
      </c>
      <c r="M1268" s="6">
        <v>269.88099999999997</v>
      </c>
      <c r="N1268" s="6">
        <v>269.88099999999997</v>
      </c>
      <c r="O1268" s="6">
        <v>269.88099999999997</v>
      </c>
      <c r="P1268" s="6">
        <v>0</v>
      </c>
      <c r="Q1268" s="4" t="s">
        <v>26</v>
      </c>
      <c r="R1268" s="4">
        <v>0</v>
      </c>
      <c r="S1268" s="4" t="s">
        <v>345</v>
      </c>
      <c r="T1268" s="4" t="s">
        <v>710</v>
      </c>
      <c r="U1268" s="4">
        <v>0</v>
      </c>
      <c r="V1268" s="4">
        <v>28</v>
      </c>
      <c r="W1268" s="4">
        <v>82</v>
      </c>
    </row>
    <row r="1269" spans="1:23" ht="11.25" customHeight="1" x14ac:dyDescent="0.25">
      <c r="A1269" s="4" t="s">
        <v>59</v>
      </c>
      <c r="B1269" s="4" t="s">
        <v>33</v>
      </c>
      <c r="C1269" s="4" t="s">
        <v>34</v>
      </c>
      <c r="D1269" s="4" t="s">
        <v>52</v>
      </c>
      <c r="E1269" s="4" t="s">
        <v>58</v>
      </c>
      <c r="F1269" s="4" t="s">
        <v>25</v>
      </c>
      <c r="G1269" s="4" t="s">
        <v>25</v>
      </c>
      <c r="H1269" s="4" t="s">
        <v>36</v>
      </c>
      <c r="I1269" s="5">
        <v>44075</v>
      </c>
      <c r="J1269" s="6">
        <v>0</v>
      </c>
      <c r="K1269" s="6">
        <v>0</v>
      </c>
      <c r="L1269" s="6">
        <v>269.88099999999997</v>
      </c>
      <c r="M1269" s="6">
        <v>269.88099999999997</v>
      </c>
      <c r="N1269" s="6">
        <v>269.88099999999997</v>
      </c>
      <c r="O1269" s="6">
        <v>269.88099999999997</v>
      </c>
      <c r="P1269" s="6">
        <v>0</v>
      </c>
      <c r="Q1269" s="4" t="s">
        <v>26</v>
      </c>
      <c r="R1269" s="4">
        <v>0</v>
      </c>
      <c r="S1269" s="4" t="s">
        <v>346</v>
      </c>
      <c r="T1269" s="4" t="s">
        <v>711</v>
      </c>
      <c r="U1269" s="4">
        <v>0</v>
      </c>
      <c r="V1269" s="4">
        <v>28</v>
      </c>
      <c r="W1269" s="4">
        <v>82</v>
      </c>
    </row>
    <row r="1270" spans="1:23" ht="11.25" customHeight="1" x14ac:dyDescent="0.25">
      <c r="A1270" s="4" t="s">
        <v>21</v>
      </c>
      <c r="B1270" s="4" t="s">
        <v>33</v>
      </c>
      <c r="C1270" s="4" t="s">
        <v>34</v>
      </c>
      <c r="D1270" s="4" t="s">
        <v>52</v>
      </c>
      <c r="E1270" s="4" t="s">
        <v>58</v>
      </c>
      <c r="F1270" s="4" t="s">
        <v>25</v>
      </c>
      <c r="G1270" s="4" t="s">
        <v>25</v>
      </c>
      <c r="H1270" s="4" t="s">
        <v>25</v>
      </c>
      <c r="I1270" s="5">
        <v>43770</v>
      </c>
      <c r="J1270" s="6">
        <v>7297</v>
      </c>
      <c r="K1270" s="6">
        <v>7297</v>
      </c>
      <c r="L1270" s="6">
        <v>0</v>
      </c>
      <c r="M1270" s="6">
        <v>0</v>
      </c>
      <c r="N1270" s="6">
        <v>0</v>
      </c>
      <c r="O1270" s="6">
        <v>0</v>
      </c>
      <c r="P1270" s="6">
        <v>3</v>
      </c>
      <c r="Q1270" s="4" t="s">
        <v>26</v>
      </c>
      <c r="R1270" s="4">
        <v>0</v>
      </c>
      <c r="S1270" s="4" t="s">
        <v>348</v>
      </c>
      <c r="U1270" s="4">
        <v>26</v>
      </c>
      <c r="V1270" s="4">
        <v>0</v>
      </c>
      <c r="W1270" s="4">
        <v>0</v>
      </c>
    </row>
    <row r="1271" spans="1:23" ht="11.25" customHeight="1" x14ac:dyDescent="0.25">
      <c r="A1271" s="4" t="s">
        <v>21</v>
      </c>
      <c r="B1271" s="4" t="s">
        <v>33</v>
      </c>
      <c r="C1271" s="4" t="s">
        <v>34</v>
      </c>
      <c r="D1271" s="4" t="s">
        <v>52</v>
      </c>
      <c r="E1271" s="4" t="s">
        <v>58</v>
      </c>
      <c r="F1271" s="4" t="s">
        <v>25</v>
      </c>
      <c r="G1271" s="4" t="s">
        <v>25</v>
      </c>
      <c r="H1271" s="4" t="s">
        <v>25</v>
      </c>
      <c r="I1271" s="5">
        <v>43800</v>
      </c>
      <c r="J1271" s="6">
        <v>3211</v>
      </c>
      <c r="K1271" s="6">
        <v>3211</v>
      </c>
      <c r="L1271" s="6">
        <v>0</v>
      </c>
      <c r="M1271" s="6">
        <v>0</v>
      </c>
      <c r="N1271" s="6">
        <v>0</v>
      </c>
      <c r="O1271" s="6">
        <v>0</v>
      </c>
      <c r="P1271" s="6">
        <v>3</v>
      </c>
      <c r="Q1271" s="4" t="s">
        <v>26</v>
      </c>
      <c r="R1271" s="4">
        <v>0</v>
      </c>
      <c r="S1271" s="4" t="s">
        <v>349</v>
      </c>
      <c r="U1271" s="4">
        <v>26</v>
      </c>
      <c r="V1271" s="4">
        <v>0</v>
      </c>
      <c r="W1271" s="4">
        <v>0</v>
      </c>
    </row>
    <row r="1272" spans="1:23" ht="11.25" customHeight="1" x14ac:dyDescent="0.25">
      <c r="A1272" s="4" t="s">
        <v>21</v>
      </c>
      <c r="B1272" s="4" t="s">
        <v>33</v>
      </c>
      <c r="C1272" s="4" t="s">
        <v>34</v>
      </c>
      <c r="D1272" s="4" t="s">
        <v>52</v>
      </c>
      <c r="E1272" s="4" t="s">
        <v>58</v>
      </c>
      <c r="F1272" s="4" t="s">
        <v>25</v>
      </c>
      <c r="G1272" s="4" t="s">
        <v>25</v>
      </c>
      <c r="H1272" s="4" t="s">
        <v>25</v>
      </c>
      <c r="I1272" s="5">
        <v>43831</v>
      </c>
      <c r="J1272" s="6">
        <v>2800</v>
      </c>
      <c r="K1272" s="6">
        <v>2800</v>
      </c>
      <c r="L1272" s="6">
        <v>0</v>
      </c>
      <c r="M1272" s="6">
        <v>0</v>
      </c>
      <c r="N1272" s="6">
        <v>0</v>
      </c>
      <c r="O1272" s="6">
        <v>0</v>
      </c>
      <c r="P1272" s="6">
        <v>3</v>
      </c>
      <c r="Q1272" s="4" t="s">
        <v>26</v>
      </c>
      <c r="R1272" s="4">
        <v>0</v>
      </c>
      <c r="S1272" s="4" t="s">
        <v>350</v>
      </c>
      <c r="U1272" s="4">
        <v>26</v>
      </c>
      <c r="V1272" s="4">
        <v>0</v>
      </c>
      <c r="W1272" s="4">
        <v>0</v>
      </c>
    </row>
    <row r="1273" spans="1:23" ht="11.25" customHeight="1" x14ac:dyDescent="0.25">
      <c r="A1273" s="4" t="s">
        <v>21</v>
      </c>
      <c r="B1273" s="4" t="s">
        <v>33</v>
      </c>
      <c r="C1273" s="4" t="s">
        <v>34</v>
      </c>
      <c r="D1273" s="4" t="s">
        <v>52</v>
      </c>
      <c r="E1273" s="4" t="s">
        <v>58</v>
      </c>
      <c r="F1273" s="4" t="s">
        <v>25</v>
      </c>
      <c r="G1273" s="4" t="s">
        <v>25</v>
      </c>
      <c r="H1273" s="4" t="s">
        <v>25</v>
      </c>
      <c r="I1273" s="5">
        <v>43862</v>
      </c>
      <c r="J1273" s="6">
        <v>2945</v>
      </c>
      <c r="K1273" s="6">
        <v>2945</v>
      </c>
      <c r="L1273" s="6">
        <v>0</v>
      </c>
      <c r="M1273" s="6">
        <v>0</v>
      </c>
      <c r="N1273" s="6">
        <v>0</v>
      </c>
      <c r="O1273" s="6">
        <v>0</v>
      </c>
      <c r="P1273" s="6">
        <v>3</v>
      </c>
      <c r="Q1273" s="4" t="s">
        <v>26</v>
      </c>
      <c r="R1273" s="4">
        <v>0</v>
      </c>
      <c r="S1273" s="4" t="s">
        <v>351</v>
      </c>
      <c r="U1273" s="4">
        <v>26</v>
      </c>
      <c r="V1273" s="4">
        <v>0</v>
      </c>
      <c r="W1273" s="4">
        <v>0</v>
      </c>
    </row>
    <row r="1274" spans="1:23" ht="11.25" customHeight="1" x14ac:dyDescent="0.25">
      <c r="A1274" s="4" t="s">
        <v>21</v>
      </c>
      <c r="B1274" s="4" t="s">
        <v>33</v>
      </c>
      <c r="C1274" s="4" t="s">
        <v>34</v>
      </c>
      <c r="D1274" s="4" t="s">
        <v>52</v>
      </c>
      <c r="E1274" s="4" t="s">
        <v>58</v>
      </c>
      <c r="F1274" s="4" t="s">
        <v>25</v>
      </c>
      <c r="G1274" s="4" t="s">
        <v>25</v>
      </c>
      <c r="H1274" s="4" t="s">
        <v>25</v>
      </c>
      <c r="I1274" s="5">
        <v>43891</v>
      </c>
      <c r="J1274" s="6">
        <v>2800</v>
      </c>
      <c r="K1274" s="6">
        <v>2800</v>
      </c>
      <c r="L1274" s="6">
        <v>0</v>
      </c>
      <c r="M1274" s="6">
        <v>0</v>
      </c>
      <c r="N1274" s="6">
        <v>0</v>
      </c>
      <c r="O1274" s="6">
        <v>0</v>
      </c>
      <c r="P1274" s="6">
        <v>3</v>
      </c>
      <c r="Q1274" s="4" t="s">
        <v>26</v>
      </c>
      <c r="R1274" s="4">
        <v>0</v>
      </c>
      <c r="S1274" s="4" t="s">
        <v>352</v>
      </c>
      <c r="U1274" s="4">
        <v>26</v>
      </c>
      <c r="V1274" s="4">
        <v>0</v>
      </c>
      <c r="W1274" s="4">
        <v>0</v>
      </c>
    </row>
    <row r="1275" spans="1:23" ht="11.25" customHeight="1" x14ac:dyDescent="0.25">
      <c r="A1275" s="4" t="s">
        <v>21</v>
      </c>
      <c r="B1275" s="4" t="s">
        <v>33</v>
      </c>
      <c r="C1275" s="4" t="s">
        <v>34</v>
      </c>
      <c r="D1275" s="4" t="s">
        <v>52</v>
      </c>
      <c r="E1275" s="4" t="s">
        <v>58</v>
      </c>
      <c r="F1275" s="4" t="s">
        <v>25</v>
      </c>
      <c r="G1275" s="4" t="s">
        <v>25</v>
      </c>
      <c r="H1275" s="4" t="s">
        <v>25</v>
      </c>
      <c r="I1275" s="5">
        <v>43922</v>
      </c>
      <c r="J1275" s="6">
        <v>2800</v>
      </c>
      <c r="K1275" s="6">
        <v>2800</v>
      </c>
      <c r="L1275" s="6">
        <v>0</v>
      </c>
      <c r="M1275" s="6">
        <v>0</v>
      </c>
      <c r="N1275" s="6">
        <v>0</v>
      </c>
      <c r="O1275" s="6">
        <v>0</v>
      </c>
      <c r="P1275" s="6">
        <v>3</v>
      </c>
      <c r="Q1275" s="4" t="s">
        <v>26</v>
      </c>
      <c r="R1275" s="4">
        <v>0</v>
      </c>
      <c r="S1275" s="4" t="s">
        <v>353</v>
      </c>
      <c r="U1275" s="4">
        <v>26</v>
      </c>
      <c r="V1275" s="4">
        <v>0</v>
      </c>
      <c r="W1275" s="4">
        <v>0</v>
      </c>
    </row>
    <row r="1276" spans="1:23" ht="11.25" customHeight="1" x14ac:dyDescent="0.25">
      <c r="A1276" s="4" t="s">
        <v>21</v>
      </c>
      <c r="B1276" s="4" t="s">
        <v>33</v>
      </c>
      <c r="C1276" s="4" t="s">
        <v>34</v>
      </c>
      <c r="D1276" s="4" t="s">
        <v>52</v>
      </c>
      <c r="E1276" s="4" t="s">
        <v>58</v>
      </c>
      <c r="F1276" s="4" t="s">
        <v>25</v>
      </c>
      <c r="G1276" s="4" t="s">
        <v>25</v>
      </c>
      <c r="H1276" s="4" t="s">
        <v>25</v>
      </c>
      <c r="I1276" s="5">
        <v>43952</v>
      </c>
      <c r="J1276" s="6">
        <v>3426</v>
      </c>
      <c r="K1276" s="6">
        <v>3426</v>
      </c>
      <c r="L1276" s="6">
        <v>0</v>
      </c>
      <c r="M1276" s="6">
        <v>0</v>
      </c>
      <c r="N1276" s="6">
        <v>0</v>
      </c>
      <c r="O1276" s="6">
        <v>0</v>
      </c>
      <c r="P1276" s="6">
        <v>3</v>
      </c>
      <c r="Q1276" s="4" t="s">
        <v>26</v>
      </c>
      <c r="R1276" s="4">
        <v>0</v>
      </c>
      <c r="S1276" s="4" t="s">
        <v>354</v>
      </c>
      <c r="U1276" s="4">
        <v>26</v>
      </c>
      <c r="V1276" s="4">
        <v>0</v>
      </c>
      <c r="W1276" s="4">
        <v>0</v>
      </c>
    </row>
    <row r="1277" spans="1:23" ht="11.25" customHeight="1" x14ac:dyDescent="0.25">
      <c r="A1277" s="4" t="s">
        <v>21</v>
      </c>
      <c r="B1277" s="4" t="s">
        <v>33</v>
      </c>
      <c r="C1277" s="4" t="s">
        <v>34</v>
      </c>
      <c r="D1277" s="4" t="s">
        <v>52</v>
      </c>
      <c r="E1277" s="4" t="s">
        <v>58</v>
      </c>
      <c r="F1277" s="4" t="s">
        <v>25</v>
      </c>
      <c r="G1277" s="4" t="s">
        <v>25</v>
      </c>
      <c r="H1277" s="4" t="s">
        <v>25</v>
      </c>
      <c r="I1277" s="5">
        <v>43983</v>
      </c>
      <c r="J1277" s="6">
        <v>3701</v>
      </c>
      <c r="K1277" s="6">
        <v>3701</v>
      </c>
      <c r="L1277" s="6">
        <v>0</v>
      </c>
      <c r="M1277" s="6">
        <v>0</v>
      </c>
      <c r="N1277" s="6">
        <v>0</v>
      </c>
      <c r="O1277" s="6">
        <v>0</v>
      </c>
      <c r="P1277" s="6">
        <v>3</v>
      </c>
      <c r="Q1277" s="4" t="s">
        <v>26</v>
      </c>
      <c r="R1277" s="4">
        <v>0</v>
      </c>
      <c r="S1277" s="4" t="s">
        <v>355</v>
      </c>
      <c r="U1277" s="4">
        <v>26</v>
      </c>
      <c r="V1277" s="4">
        <v>0</v>
      </c>
      <c r="W1277" s="4">
        <v>0</v>
      </c>
    </row>
    <row r="1278" spans="1:23" ht="11.25" customHeight="1" x14ac:dyDescent="0.25">
      <c r="A1278" s="4" t="s">
        <v>21</v>
      </c>
      <c r="B1278" s="4" t="s">
        <v>33</v>
      </c>
      <c r="C1278" s="4" t="s">
        <v>34</v>
      </c>
      <c r="D1278" s="4" t="s">
        <v>52</v>
      </c>
      <c r="E1278" s="4" t="s">
        <v>58</v>
      </c>
      <c r="F1278" s="4" t="s">
        <v>25</v>
      </c>
      <c r="G1278" s="4" t="s">
        <v>25</v>
      </c>
      <c r="H1278" s="4" t="s">
        <v>25</v>
      </c>
      <c r="I1278" s="5">
        <v>44013</v>
      </c>
      <c r="J1278" s="6">
        <v>2904</v>
      </c>
      <c r="K1278" s="6">
        <v>2904</v>
      </c>
      <c r="L1278" s="6">
        <v>0</v>
      </c>
      <c r="M1278" s="6">
        <v>0</v>
      </c>
      <c r="N1278" s="6">
        <v>0</v>
      </c>
      <c r="O1278" s="6">
        <v>0</v>
      </c>
      <c r="P1278" s="6">
        <v>3</v>
      </c>
      <c r="Q1278" s="4" t="s">
        <v>26</v>
      </c>
      <c r="R1278" s="4">
        <v>0</v>
      </c>
      <c r="S1278" s="4" t="s">
        <v>356</v>
      </c>
      <c r="U1278" s="4">
        <v>26</v>
      </c>
      <c r="V1278" s="4">
        <v>0</v>
      </c>
      <c r="W1278" s="4">
        <v>0</v>
      </c>
    </row>
    <row r="1279" spans="1:23" ht="11.25" customHeight="1" x14ac:dyDescent="0.25">
      <c r="A1279" s="4" t="s">
        <v>21</v>
      </c>
      <c r="B1279" s="4" t="s">
        <v>33</v>
      </c>
      <c r="C1279" s="4" t="s">
        <v>34</v>
      </c>
      <c r="D1279" s="4" t="s">
        <v>52</v>
      </c>
      <c r="E1279" s="4" t="s">
        <v>58</v>
      </c>
      <c r="F1279" s="4" t="s">
        <v>25</v>
      </c>
      <c r="G1279" s="4" t="s">
        <v>25</v>
      </c>
      <c r="H1279" s="4" t="s">
        <v>25</v>
      </c>
      <c r="I1279" s="5">
        <v>44044</v>
      </c>
      <c r="J1279" s="6">
        <v>3425</v>
      </c>
      <c r="K1279" s="6">
        <v>3425</v>
      </c>
      <c r="L1279" s="6">
        <v>0</v>
      </c>
      <c r="M1279" s="6">
        <v>0</v>
      </c>
      <c r="N1279" s="6">
        <v>0</v>
      </c>
      <c r="O1279" s="6">
        <v>0</v>
      </c>
      <c r="P1279" s="6">
        <v>3</v>
      </c>
      <c r="Q1279" s="4" t="s">
        <v>26</v>
      </c>
      <c r="R1279" s="4">
        <v>0</v>
      </c>
      <c r="S1279" s="4" t="s">
        <v>357</v>
      </c>
      <c r="U1279" s="4">
        <v>26</v>
      </c>
      <c r="V1279" s="4">
        <v>0</v>
      </c>
      <c r="W1279" s="4">
        <v>0</v>
      </c>
    </row>
    <row r="1280" spans="1:23" ht="11.25" customHeight="1" x14ac:dyDescent="0.25">
      <c r="A1280" s="4" t="s">
        <v>59</v>
      </c>
      <c r="B1280" s="4" t="s">
        <v>33</v>
      </c>
      <c r="C1280" s="4" t="s">
        <v>34</v>
      </c>
      <c r="D1280" s="4" t="s">
        <v>52</v>
      </c>
      <c r="E1280" s="4" t="s">
        <v>58</v>
      </c>
      <c r="F1280" s="4" t="s">
        <v>25</v>
      </c>
      <c r="G1280" s="4" t="s">
        <v>25</v>
      </c>
      <c r="H1280" s="4" t="s">
        <v>25</v>
      </c>
      <c r="I1280" s="5">
        <v>44075</v>
      </c>
      <c r="J1280" s="6">
        <v>3425</v>
      </c>
      <c r="K1280" s="6">
        <v>3425</v>
      </c>
      <c r="L1280" s="6">
        <v>0</v>
      </c>
      <c r="M1280" s="6">
        <v>0</v>
      </c>
      <c r="N1280" s="6">
        <v>0</v>
      </c>
      <c r="O1280" s="6">
        <v>0</v>
      </c>
      <c r="P1280" s="6">
        <v>3</v>
      </c>
      <c r="Q1280" s="4" t="s">
        <v>26</v>
      </c>
      <c r="R1280" s="4">
        <v>0</v>
      </c>
      <c r="S1280" s="4" t="s">
        <v>358</v>
      </c>
      <c r="U1280" s="4">
        <v>26</v>
      </c>
      <c r="V1280" s="4">
        <v>0</v>
      </c>
      <c r="W1280" s="4">
        <v>0</v>
      </c>
    </row>
    <row r="1281" spans="1:23" ht="11.25" customHeight="1" x14ac:dyDescent="0.25">
      <c r="A1281" s="4" t="s">
        <v>21</v>
      </c>
      <c r="B1281" s="4" t="s">
        <v>33</v>
      </c>
      <c r="C1281" s="4" t="s">
        <v>34</v>
      </c>
      <c r="D1281" s="4" t="s">
        <v>52</v>
      </c>
      <c r="E1281" s="4" t="s">
        <v>58</v>
      </c>
      <c r="F1281" s="4" t="s">
        <v>25</v>
      </c>
      <c r="G1281" s="4" t="s">
        <v>25</v>
      </c>
      <c r="H1281" s="4" t="s">
        <v>35</v>
      </c>
      <c r="I1281" s="5">
        <v>43770</v>
      </c>
      <c r="J1281" s="6">
        <v>0</v>
      </c>
      <c r="K1281" s="6">
        <v>0</v>
      </c>
      <c r="L1281" s="6">
        <v>29.231000000000002</v>
      </c>
      <c r="M1281" s="6">
        <v>29.231000000000002</v>
      </c>
      <c r="N1281" s="6">
        <v>29.231000000000002</v>
      </c>
      <c r="O1281" s="6">
        <v>29.231000000000002</v>
      </c>
      <c r="P1281" s="6">
        <v>0</v>
      </c>
      <c r="Q1281" s="4" t="s">
        <v>26</v>
      </c>
      <c r="R1281" s="4">
        <v>0</v>
      </c>
      <c r="S1281" s="4" t="s">
        <v>360</v>
      </c>
      <c r="T1281" s="4" t="s">
        <v>713</v>
      </c>
      <c r="U1281" s="4">
        <v>0</v>
      </c>
      <c r="V1281" s="4">
        <v>27</v>
      </c>
      <c r="W1281" s="4">
        <v>81</v>
      </c>
    </row>
    <row r="1282" spans="1:23" ht="11.25" customHeight="1" x14ac:dyDescent="0.25">
      <c r="A1282" s="4" t="s">
        <v>21</v>
      </c>
      <c r="B1282" s="4" t="s">
        <v>33</v>
      </c>
      <c r="C1282" s="4" t="s">
        <v>34</v>
      </c>
      <c r="D1282" s="4" t="s">
        <v>52</v>
      </c>
      <c r="E1282" s="4" t="s">
        <v>58</v>
      </c>
      <c r="F1282" s="4" t="s">
        <v>25</v>
      </c>
      <c r="G1282" s="4" t="s">
        <v>25</v>
      </c>
      <c r="H1282" s="4" t="s">
        <v>35</v>
      </c>
      <c r="I1282" s="5">
        <v>43800</v>
      </c>
      <c r="J1282" s="6">
        <v>0</v>
      </c>
      <c r="K1282" s="6">
        <v>0</v>
      </c>
      <c r="L1282" s="6">
        <v>19.960999999999999</v>
      </c>
      <c r="M1282" s="6">
        <v>19.960999999999999</v>
      </c>
      <c r="N1282" s="6">
        <v>19.960999999999999</v>
      </c>
      <c r="O1282" s="6">
        <v>19.960999999999999</v>
      </c>
      <c r="P1282" s="6">
        <v>0</v>
      </c>
      <c r="Q1282" s="4" t="s">
        <v>26</v>
      </c>
      <c r="R1282" s="4">
        <v>0</v>
      </c>
      <c r="S1282" s="4" t="s">
        <v>361</v>
      </c>
      <c r="T1282" s="4" t="s">
        <v>714</v>
      </c>
      <c r="U1282" s="4">
        <v>0</v>
      </c>
      <c r="V1282" s="4">
        <v>27</v>
      </c>
      <c r="W1282" s="4">
        <v>81</v>
      </c>
    </row>
    <row r="1283" spans="1:23" ht="11.25" customHeight="1" x14ac:dyDescent="0.25">
      <c r="A1283" s="4" t="s">
        <v>21</v>
      </c>
      <c r="B1283" s="4" t="s">
        <v>33</v>
      </c>
      <c r="C1283" s="4" t="s">
        <v>34</v>
      </c>
      <c r="D1283" s="4" t="s">
        <v>52</v>
      </c>
      <c r="E1283" s="4" t="s">
        <v>58</v>
      </c>
      <c r="F1283" s="4" t="s">
        <v>25</v>
      </c>
      <c r="G1283" s="4" t="s">
        <v>25</v>
      </c>
      <c r="H1283" s="4" t="s">
        <v>35</v>
      </c>
      <c r="I1283" s="5">
        <v>43831</v>
      </c>
      <c r="J1283" s="6">
        <v>0</v>
      </c>
      <c r="K1283" s="6">
        <v>0</v>
      </c>
      <c r="L1283" s="6">
        <v>13.715999999999999</v>
      </c>
      <c r="M1283" s="6">
        <v>13.715999999999999</v>
      </c>
      <c r="N1283" s="6">
        <v>13.715999999999999</v>
      </c>
      <c r="O1283" s="6">
        <v>13.715999999999999</v>
      </c>
      <c r="P1283" s="6">
        <v>0</v>
      </c>
      <c r="Q1283" s="4" t="s">
        <v>26</v>
      </c>
      <c r="R1283" s="4">
        <v>0</v>
      </c>
      <c r="S1283" s="4" t="s">
        <v>362</v>
      </c>
      <c r="T1283" s="4" t="s">
        <v>715</v>
      </c>
      <c r="U1283" s="4">
        <v>0</v>
      </c>
      <c r="V1283" s="4">
        <v>27</v>
      </c>
      <c r="W1283" s="4">
        <v>81</v>
      </c>
    </row>
    <row r="1284" spans="1:23" ht="11.25" customHeight="1" x14ac:dyDescent="0.25">
      <c r="A1284" s="4" t="s">
        <v>21</v>
      </c>
      <c r="B1284" s="4" t="s">
        <v>33</v>
      </c>
      <c r="C1284" s="4" t="s">
        <v>34</v>
      </c>
      <c r="D1284" s="4" t="s">
        <v>52</v>
      </c>
      <c r="E1284" s="4" t="s">
        <v>58</v>
      </c>
      <c r="F1284" s="4" t="s">
        <v>25</v>
      </c>
      <c r="G1284" s="4" t="s">
        <v>25</v>
      </c>
      <c r="H1284" s="4" t="s">
        <v>35</v>
      </c>
      <c r="I1284" s="5">
        <v>43862</v>
      </c>
      <c r="J1284" s="6">
        <v>0</v>
      </c>
      <c r="K1284" s="6">
        <v>0</v>
      </c>
      <c r="L1284" s="6">
        <v>16.43</v>
      </c>
      <c r="M1284" s="6">
        <v>16.43</v>
      </c>
      <c r="N1284" s="6">
        <v>16.43</v>
      </c>
      <c r="O1284" s="6">
        <v>16.43</v>
      </c>
      <c r="P1284" s="6">
        <v>0</v>
      </c>
      <c r="Q1284" s="4" t="s">
        <v>26</v>
      </c>
      <c r="R1284" s="4">
        <v>0</v>
      </c>
      <c r="S1284" s="4" t="s">
        <v>363</v>
      </c>
      <c r="T1284" s="4" t="s">
        <v>716</v>
      </c>
      <c r="U1284" s="4">
        <v>0</v>
      </c>
      <c r="V1284" s="4">
        <v>27</v>
      </c>
      <c r="W1284" s="4">
        <v>81</v>
      </c>
    </row>
    <row r="1285" spans="1:23" ht="11.25" customHeight="1" x14ac:dyDescent="0.25">
      <c r="A1285" s="4" t="s">
        <v>21</v>
      </c>
      <c r="B1285" s="4" t="s">
        <v>33</v>
      </c>
      <c r="C1285" s="4" t="s">
        <v>34</v>
      </c>
      <c r="D1285" s="4" t="s">
        <v>52</v>
      </c>
      <c r="E1285" s="4" t="s">
        <v>58</v>
      </c>
      <c r="F1285" s="4" t="s">
        <v>25</v>
      </c>
      <c r="G1285" s="4" t="s">
        <v>25</v>
      </c>
      <c r="H1285" s="4" t="s">
        <v>35</v>
      </c>
      <c r="I1285" s="5">
        <v>43891</v>
      </c>
      <c r="J1285" s="6">
        <v>0</v>
      </c>
      <c r="K1285" s="6">
        <v>0</v>
      </c>
      <c r="L1285" s="6">
        <v>14.663</v>
      </c>
      <c r="M1285" s="6">
        <v>14.663</v>
      </c>
      <c r="N1285" s="6">
        <v>14.663</v>
      </c>
      <c r="O1285" s="6">
        <v>14.663</v>
      </c>
      <c r="P1285" s="6">
        <v>0</v>
      </c>
      <c r="Q1285" s="4" t="s">
        <v>26</v>
      </c>
      <c r="R1285" s="4">
        <v>0</v>
      </c>
      <c r="S1285" s="4" t="s">
        <v>364</v>
      </c>
      <c r="T1285" s="4" t="s">
        <v>717</v>
      </c>
      <c r="U1285" s="4">
        <v>0</v>
      </c>
      <c r="V1285" s="4">
        <v>27</v>
      </c>
      <c r="W1285" s="4">
        <v>81</v>
      </c>
    </row>
    <row r="1286" spans="1:23" ht="11.25" customHeight="1" x14ac:dyDescent="0.25">
      <c r="A1286" s="4" t="s">
        <v>21</v>
      </c>
      <c r="B1286" s="4" t="s">
        <v>33</v>
      </c>
      <c r="C1286" s="4" t="s">
        <v>34</v>
      </c>
      <c r="D1286" s="4" t="s">
        <v>52</v>
      </c>
      <c r="E1286" s="4" t="s">
        <v>58</v>
      </c>
      <c r="F1286" s="4" t="s">
        <v>25</v>
      </c>
      <c r="G1286" s="4" t="s">
        <v>25</v>
      </c>
      <c r="H1286" s="4" t="s">
        <v>35</v>
      </c>
      <c r="I1286" s="5">
        <v>43922</v>
      </c>
      <c r="J1286" s="6">
        <v>0</v>
      </c>
      <c r="K1286" s="6">
        <v>0</v>
      </c>
      <c r="L1286" s="6">
        <v>11.835000000000001</v>
      </c>
      <c r="M1286" s="6">
        <v>11.835000000000001</v>
      </c>
      <c r="N1286" s="6">
        <v>11.835000000000001</v>
      </c>
      <c r="O1286" s="6">
        <v>11.835000000000001</v>
      </c>
      <c r="P1286" s="6">
        <v>0</v>
      </c>
      <c r="Q1286" s="4" t="s">
        <v>26</v>
      </c>
      <c r="R1286" s="4">
        <v>0</v>
      </c>
      <c r="S1286" s="4" t="s">
        <v>365</v>
      </c>
      <c r="T1286" s="4" t="s">
        <v>718</v>
      </c>
      <c r="U1286" s="4">
        <v>0</v>
      </c>
      <c r="V1286" s="4">
        <v>27</v>
      </c>
      <c r="W1286" s="4">
        <v>81</v>
      </c>
    </row>
    <row r="1287" spans="1:23" ht="11.25" customHeight="1" x14ac:dyDescent="0.25">
      <c r="A1287" s="4" t="s">
        <v>21</v>
      </c>
      <c r="B1287" s="4" t="s">
        <v>33</v>
      </c>
      <c r="C1287" s="4" t="s">
        <v>34</v>
      </c>
      <c r="D1287" s="4" t="s">
        <v>52</v>
      </c>
      <c r="E1287" s="4" t="s">
        <v>58</v>
      </c>
      <c r="F1287" s="4" t="s">
        <v>25</v>
      </c>
      <c r="G1287" s="4" t="s">
        <v>25</v>
      </c>
      <c r="H1287" s="4" t="s">
        <v>35</v>
      </c>
      <c r="I1287" s="5">
        <v>43952</v>
      </c>
      <c r="J1287" s="6">
        <v>0</v>
      </c>
      <c r="K1287" s="6">
        <v>0</v>
      </c>
      <c r="L1287" s="6">
        <v>19.997</v>
      </c>
      <c r="M1287" s="6">
        <v>19.997</v>
      </c>
      <c r="N1287" s="6">
        <v>19.997</v>
      </c>
      <c r="O1287" s="6">
        <v>19.997</v>
      </c>
      <c r="P1287" s="6">
        <v>0</v>
      </c>
      <c r="Q1287" s="4" t="s">
        <v>26</v>
      </c>
      <c r="R1287" s="4">
        <v>0</v>
      </c>
      <c r="S1287" s="4" t="s">
        <v>366</v>
      </c>
      <c r="T1287" s="4" t="s">
        <v>719</v>
      </c>
      <c r="U1287" s="4">
        <v>0</v>
      </c>
      <c r="V1287" s="4">
        <v>27</v>
      </c>
      <c r="W1287" s="4">
        <v>81</v>
      </c>
    </row>
    <row r="1288" spans="1:23" ht="11.25" customHeight="1" x14ac:dyDescent="0.25">
      <c r="A1288" s="4" t="s">
        <v>21</v>
      </c>
      <c r="B1288" s="4" t="s">
        <v>33</v>
      </c>
      <c r="C1288" s="4" t="s">
        <v>34</v>
      </c>
      <c r="D1288" s="4" t="s">
        <v>52</v>
      </c>
      <c r="E1288" s="4" t="s">
        <v>58</v>
      </c>
      <c r="F1288" s="4" t="s">
        <v>25</v>
      </c>
      <c r="G1288" s="4" t="s">
        <v>25</v>
      </c>
      <c r="H1288" s="4" t="s">
        <v>35</v>
      </c>
      <c r="I1288" s="5">
        <v>43983</v>
      </c>
      <c r="J1288" s="6">
        <v>0</v>
      </c>
      <c r="K1288" s="6">
        <v>0</v>
      </c>
      <c r="L1288" s="6">
        <v>23.45</v>
      </c>
      <c r="M1288" s="6">
        <v>23.45</v>
      </c>
      <c r="N1288" s="6">
        <v>23.45</v>
      </c>
      <c r="O1288" s="6">
        <v>23.45</v>
      </c>
      <c r="P1288" s="6">
        <v>0</v>
      </c>
      <c r="Q1288" s="4" t="s">
        <v>26</v>
      </c>
      <c r="R1288" s="4">
        <v>0</v>
      </c>
      <c r="S1288" s="4" t="s">
        <v>367</v>
      </c>
      <c r="T1288" s="4" t="s">
        <v>720</v>
      </c>
      <c r="U1288" s="4">
        <v>0</v>
      </c>
      <c r="V1288" s="4">
        <v>27</v>
      </c>
      <c r="W1288" s="4">
        <v>81</v>
      </c>
    </row>
    <row r="1289" spans="1:23" ht="11.25" customHeight="1" x14ac:dyDescent="0.25">
      <c r="A1289" s="4" t="s">
        <v>21</v>
      </c>
      <c r="B1289" s="4" t="s">
        <v>33</v>
      </c>
      <c r="C1289" s="4" t="s">
        <v>34</v>
      </c>
      <c r="D1289" s="4" t="s">
        <v>52</v>
      </c>
      <c r="E1289" s="4" t="s">
        <v>58</v>
      </c>
      <c r="F1289" s="4" t="s">
        <v>25</v>
      </c>
      <c r="G1289" s="4" t="s">
        <v>25</v>
      </c>
      <c r="H1289" s="4" t="s">
        <v>35</v>
      </c>
      <c r="I1289" s="5">
        <v>44013</v>
      </c>
      <c r="J1289" s="6">
        <v>0</v>
      </c>
      <c r="K1289" s="6">
        <v>0</v>
      </c>
      <c r="L1289" s="6">
        <v>12.688000000000001</v>
      </c>
      <c r="M1289" s="6">
        <v>12.688000000000001</v>
      </c>
      <c r="N1289" s="6">
        <v>12.688000000000001</v>
      </c>
      <c r="O1289" s="6">
        <v>12.688000000000001</v>
      </c>
      <c r="P1289" s="6">
        <v>0</v>
      </c>
      <c r="Q1289" s="4" t="s">
        <v>26</v>
      </c>
      <c r="R1289" s="4">
        <v>0</v>
      </c>
      <c r="S1289" s="4" t="s">
        <v>368</v>
      </c>
      <c r="T1289" s="4" t="s">
        <v>721</v>
      </c>
      <c r="U1289" s="4">
        <v>0</v>
      </c>
      <c r="V1289" s="4">
        <v>27</v>
      </c>
      <c r="W1289" s="4">
        <v>81</v>
      </c>
    </row>
    <row r="1290" spans="1:23" ht="11.25" customHeight="1" x14ac:dyDescent="0.25">
      <c r="A1290" s="4" t="s">
        <v>21</v>
      </c>
      <c r="B1290" s="4" t="s">
        <v>33</v>
      </c>
      <c r="C1290" s="4" t="s">
        <v>34</v>
      </c>
      <c r="D1290" s="4" t="s">
        <v>52</v>
      </c>
      <c r="E1290" s="4" t="s">
        <v>58</v>
      </c>
      <c r="F1290" s="4" t="s">
        <v>25</v>
      </c>
      <c r="G1290" s="4" t="s">
        <v>25</v>
      </c>
      <c r="H1290" s="4" t="s">
        <v>35</v>
      </c>
      <c r="I1290" s="5">
        <v>44044</v>
      </c>
      <c r="J1290" s="6">
        <v>0</v>
      </c>
      <c r="K1290" s="6">
        <v>0</v>
      </c>
      <c r="L1290" s="6">
        <v>19.835000000000001</v>
      </c>
      <c r="M1290" s="6">
        <v>19.835000000000001</v>
      </c>
      <c r="N1290" s="6">
        <v>19.835000000000001</v>
      </c>
      <c r="O1290" s="6">
        <v>19.835000000000001</v>
      </c>
      <c r="P1290" s="6">
        <v>0</v>
      </c>
      <c r="Q1290" s="4" t="s">
        <v>26</v>
      </c>
      <c r="R1290" s="4">
        <v>0</v>
      </c>
      <c r="S1290" s="4" t="s">
        <v>369</v>
      </c>
      <c r="T1290" s="4" t="s">
        <v>722</v>
      </c>
      <c r="U1290" s="4">
        <v>0</v>
      </c>
      <c r="V1290" s="4">
        <v>27</v>
      </c>
      <c r="W1290" s="4">
        <v>81</v>
      </c>
    </row>
    <row r="1291" spans="1:23" ht="11.25" customHeight="1" x14ac:dyDescent="0.25">
      <c r="A1291" s="4" t="s">
        <v>59</v>
      </c>
      <c r="B1291" s="4" t="s">
        <v>33</v>
      </c>
      <c r="C1291" s="4" t="s">
        <v>34</v>
      </c>
      <c r="D1291" s="4" t="s">
        <v>52</v>
      </c>
      <c r="E1291" s="4" t="s">
        <v>58</v>
      </c>
      <c r="F1291" s="4" t="s">
        <v>25</v>
      </c>
      <c r="G1291" s="4" t="s">
        <v>25</v>
      </c>
      <c r="H1291" s="4" t="s">
        <v>35</v>
      </c>
      <c r="I1291" s="5">
        <v>44075</v>
      </c>
      <c r="J1291" s="6">
        <v>0</v>
      </c>
      <c r="K1291" s="6">
        <v>0</v>
      </c>
      <c r="L1291" s="6">
        <v>19.835000000000001</v>
      </c>
      <c r="M1291" s="6">
        <v>19.835000000000001</v>
      </c>
      <c r="N1291" s="6">
        <v>19.835000000000001</v>
      </c>
      <c r="O1291" s="6">
        <v>19.835000000000001</v>
      </c>
      <c r="P1291" s="6">
        <v>0</v>
      </c>
      <c r="Q1291" s="4" t="s">
        <v>26</v>
      </c>
      <c r="R1291" s="4">
        <v>0</v>
      </c>
      <c r="S1291" s="4" t="s">
        <v>370</v>
      </c>
      <c r="T1291" s="4" t="s">
        <v>723</v>
      </c>
      <c r="U1291" s="4">
        <v>0</v>
      </c>
      <c r="V1291" s="4">
        <v>27</v>
      </c>
      <c r="W1291" s="4">
        <v>81</v>
      </c>
    </row>
    <row r="1292" spans="1:23" ht="11.25" customHeight="1" x14ac:dyDescent="0.25">
      <c r="A1292" s="4" t="s">
        <v>21</v>
      </c>
      <c r="B1292" s="4" t="s">
        <v>44</v>
      </c>
      <c r="C1292" s="4" t="s">
        <v>41</v>
      </c>
      <c r="D1292" s="4" t="s">
        <v>42</v>
      </c>
      <c r="E1292" s="4" t="s">
        <v>25</v>
      </c>
      <c r="F1292" s="4" t="s">
        <v>25</v>
      </c>
      <c r="G1292" s="4" t="s">
        <v>25</v>
      </c>
      <c r="H1292" s="4" t="s">
        <v>36</v>
      </c>
      <c r="I1292" s="5">
        <v>43739</v>
      </c>
      <c r="J1292" s="6">
        <v>20741</v>
      </c>
      <c r="K1292" s="6">
        <v>20741</v>
      </c>
      <c r="L1292" s="6">
        <v>7418.7860000000001</v>
      </c>
      <c r="M1292" s="6">
        <v>7418.7860000000001</v>
      </c>
      <c r="N1292" s="6">
        <v>7418.7860000000001</v>
      </c>
      <c r="O1292" s="6">
        <v>7418.7860000000001</v>
      </c>
      <c r="P1292" s="6">
        <v>0</v>
      </c>
      <c r="Q1292" s="4" t="s">
        <v>26</v>
      </c>
      <c r="R1292" s="4">
        <v>0</v>
      </c>
      <c r="S1292" s="4" t="s">
        <v>371</v>
      </c>
      <c r="T1292" s="4" t="s">
        <v>725</v>
      </c>
      <c r="U1292" s="4">
        <v>32</v>
      </c>
      <c r="V1292" s="4">
        <v>33</v>
      </c>
      <c r="W1292" s="4">
        <v>84</v>
      </c>
    </row>
    <row r="1293" spans="1:23" ht="11.25" customHeight="1" x14ac:dyDescent="0.25">
      <c r="A1293" s="4" t="s">
        <v>28</v>
      </c>
      <c r="B1293" s="4" t="s">
        <v>44</v>
      </c>
      <c r="C1293" s="4" t="s">
        <v>41</v>
      </c>
      <c r="D1293" s="4" t="s">
        <v>42</v>
      </c>
      <c r="E1293" s="4" t="s">
        <v>25</v>
      </c>
      <c r="F1293" s="4" t="s">
        <v>25</v>
      </c>
      <c r="G1293" s="4" t="s">
        <v>25</v>
      </c>
      <c r="H1293" s="4" t="s">
        <v>36</v>
      </c>
      <c r="I1293" s="5">
        <v>43739</v>
      </c>
      <c r="J1293" s="6">
        <v>2360</v>
      </c>
      <c r="K1293" s="6">
        <v>2360</v>
      </c>
      <c r="L1293" s="6">
        <v>668.73900000000003</v>
      </c>
      <c r="M1293" s="6">
        <v>668.73900000000003</v>
      </c>
      <c r="N1293" s="6">
        <v>668.73900000000003</v>
      </c>
      <c r="O1293" s="6">
        <v>668.73900000000003</v>
      </c>
      <c r="P1293" s="6">
        <v>0</v>
      </c>
      <c r="Q1293" s="4" t="s">
        <v>26</v>
      </c>
      <c r="R1293" s="4">
        <v>0</v>
      </c>
      <c r="S1293" s="4" t="s">
        <v>371</v>
      </c>
      <c r="T1293" s="4" t="s">
        <v>725</v>
      </c>
      <c r="U1293" s="4">
        <v>32</v>
      </c>
      <c r="V1293" s="4">
        <v>33</v>
      </c>
      <c r="W1293" s="4">
        <v>84</v>
      </c>
    </row>
    <row r="1294" spans="1:23" ht="11.25" customHeight="1" x14ac:dyDescent="0.25">
      <c r="A1294" s="4" t="s">
        <v>21</v>
      </c>
      <c r="B1294" s="4" t="s">
        <v>44</v>
      </c>
      <c r="C1294" s="4" t="s">
        <v>41</v>
      </c>
      <c r="D1294" s="4" t="s">
        <v>42</v>
      </c>
      <c r="E1294" s="4" t="s">
        <v>25</v>
      </c>
      <c r="F1294" s="4" t="s">
        <v>25</v>
      </c>
      <c r="G1294" s="4" t="s">
        <v>25</v>
      </c>
      <c r="H1294" s="4" t="s">
        <v>36</v>
      </c>
      <c r="I1294" s="5">
        <v>43770</v>
      </c>
      <c r="J1294" s="6">
        <v>19950</v>
      </c>
      <c r="K1294" s="6">
        <v>19950</v>
      </c>
      <c r="L1294" s="6">
        <v>7480.7849999999999</v>
      </c>
      <c r="M1294" s="6">
        <v>7480.7849999999999</v>
      </c>
      <c r="N1294" s="6">
        <v>7480.7849999999999</v>
      </c>
      <c r="O1294" s="6">
        <v>7480.7849999999999</v>
      </c>
      <c r="P1294" s="6">
        <v>0</v>
      </c>
      <c r="Q1294" s="4" t="s">
        <v>26</v>
      </c>
      <c r="R1294" s="4">
        <v>0</v>
      </c>
      <c r="S1294" s="4" t="s">
        <v>372</v>
      </c>
      <c r="T1294" s="4" t="s">
        <v>726</v>
      </c>
      <c r="U1294" s="4">
        <v>32</v>
      </c>
      <c r="V1294" s="4">
        <v>33</v>
      </c>
      <c r="W1294" s="4">
        <v>84</v>
      </c>
    </row>
    <row r="1295" spans="1:23" ht="11.25" customHeight="1" x14ac:dyDescent="0.25">
      <c r="A1295" s="4" t="s">
        <v>27</v>
      </c>
      <c r="B1295" s="4" t="s">
        <v>44</v>
      </c>
      <c r="C1295" s="4" t="s">
        <v>41</v>
      </c>
      <c r="D1295" s="4" t="s">
        <v>42</v>
      </c>
      <c r="E1295" s="4" t="s">
        <v>25</v>
      </c>
      <c r="F1295" s="4" t="s">
        <v>25</v>
      </c>
      <c r="G1295" s="4" t="s">
        <v>25</v>
      </c>
      <c r="H1295" s="4" t="s">
        <v>36</v>
      </c>
      <c r="I1295" s="5">
        <v>43770</v>
      </c>
      <c r="J1295" s="6">
        <v>927</v>
      </c>
      <c r="K1295" s="6">
        <v>927</v>
      </c>
      <c r="L1295" s="6">
        <v>347.99099999999999</v>
      </c>
      <c r="M1295" s="6">
        <v>347.99099999999999</v>
      </c>
      <c r="N1295" s="6">
        <v>347.99099999999999</v>
      </c>
      <c r="O1295" s="6">
        <v>347.99099999999999</v>
      </c>
      <c r="P1295" s="6">
        <v>0</v>
      </c>
      <c r="Q1295" s="4" t="s">
        <v>26</v>
      </c>
      <c r="R1295" s="4">
        <v>0</v>
      </c>
      <c r="S1295" s="4" t="s">
        <v>372</v>
      </c>
      <c r="T1295" s="4" t="s">
        <v>726</v>
      </c>
      <c r="U1295" s="4">
        <v>32</v>
      </c>
      <c r="V1295" s="4">
        <v>33</v>
      </c>
      <c r="W1295" s="4">
        <v>84</v>
      </c>
    </row>
    <row r="1296" spans="1:23" ht="11.25" customHeight="1" x14ac:dyDescent="0.25">
      <c r="A1296" s="4" t="s">
        <v>28</v>
      </c>
      <c r="B1296" s="4" t="s">
        <v>44</v>
      </c>
      <c r="C1296" s="4" t="s">
        <v>41</v>
      </c>
      <c r="D1296" s="4" t="s">
        <v>42</v>
      </c>
      <c r="E1296" s="4" t="s">
        <v>25</v>
      </c>
      <c r="F1296" s="4" t="s">
        <v>25</v>
      </c>
      <c r="G1296" s="4" t="s">
        <v>25</v>
      </c>
      <c r="H1296" s="4" t="s">
        <v>36</v>
      </c>
      <c r="I1296" s="5">
        <v>43770</v>
      </c>
      <c r="J1296" s="6">
        <v>2360</v>
      </c>
      <c r="K1296" s="6">
        <v>2360</v>
      </c>
      <c r="L1296" s="6">
        <v>727.27499999999998</v>
      </c>
      <c r="M1296" s="6">
        <v>727.27499999999998</v>
      </c>
      <c r="N1296" s="6">
        <v>727.27499999999998</v>
      </c>
      <c r="O1296" s="6">
        <v>727.27499999999998</v>
      </c>
      <c r="P1296" s="6">
        <v>0</v>
      </c>
      <c r="Q1296" s="4" t="s">
        <v>26</v>
      </c>
      <c r="R1296" s="4">
        <v>0</v>
      </c>
      <c r="S1296" s="4" t="s">
        <v>372</v>
      </c>
      <c r="T1296" s="4" t="s">
        <v>726</v>
      </c>
      <c r="U1296" s="4">
        <v>32</v>
      </c>
      <c r="V1296" s="4">
        <v>33</v>
      </c>
      <c r="W1296" s="4">
        <v>84</v>
      </c>
    </row>
    <row r="1297" spans="1:23" ht="11.25" customHeight="1" x14ac:dyDescent="0.25">
      <c r="A1297" s="4" t="s">
        <v>21</v>
      </c>
      <c r="B1297" s="4" t="s">
        <v>44</v>
      </c>
      <c r="C1297" s="4" t="s">
        <v>41</v>
      </c>
      <c r="D1297" s="4" t="s">
        <v>42</v>
      </c>
      <c r="E1297" s="4" t="s">
        <v>25</v>
      </c>
      <c r="F1297" s="4" t="s">
        <v>25</v>
      </c>
      <c r="G1297" s="4" t="s">
        <v>25</v>
      </c>
      <c r="H1297" s="4" t="s">
        <v>36</v>
      </c>
      <c r="I1297" s="5">
        <v>43800</v>
      </c>
      <c r="J1297" s="6">
        <v>19259</v>
      </c>
      <c r="K1297" s="6">
        <v>19259</v>
      </c>
      <c r="L1297" s="6">
        <v>7092.5879999999997</v>
      </c>
      <c r="M1297" s="6">
        <v>7092.5879999999997</v>
      </c>
      <c r="N1297" s="6">
        <v>7092.5879999999997</v>
      </c>
      <c r="O1297" s="6">
        <v>7092.5879999999997</v>
      </c>
      <c r="P1297" s="6">
        <v>0</v>
      </c>
      <c r="Q1297" s="4" t="s">
        <v>26</v>
      </c>
      <c r="R1297" s="4">
        <v>0</v>
      </c>
      <c r="S1297" s="4" t="s">
        <v>373</v>
      </c>
      <c r="T1297" s="4" t="s">
        <v>727</v>
      </c>
      <c r="U1297" s="4">
        <v>32</v>
      </c>
      <c r="V1297" s="4">
        <v>33</v>
      </c>
      <c r="W1297" s="4">
        <v>84</v>
      </c>
    </row>
    <row r="1298" spans="1:23" ht="11.25" customHeight="1" x14ac:dyDescent="0.25">
      <c r="A1298" s="4" t="s">
        <v>27</v>
      </c>
      <c r="B1298" s="4" t="s">
        <v>44</v>
      </c>
      <c r="C1298" s="4" t="s">
        <v>41</v>
      </c>
      <c r="D1298" s="4" t="s">
        <v>42</v>
      </c>
      <c r="E1298" s="4" t="s">
        <v>25</v>
      </c>
      <c r="F1298" s="4" t="s">
        <v>25</v>
      </c>
      <c r="G1298" s="4" t="s">
        <v>25</v>
      </c>
      <c r="H1298" s="4" t="s">
        <v>36</v>
      </c>
      <c r="I1298" s="5">
        <v>43800</v>
      </c>
      <c r="J1298" s="6">
        <v>953</v>
      </c>
      <c r="K1298" s="6">
        <v>953</v>
      </c>
      <c r="L1298" s="6">
        <v>350.858</v>
      </c>
      <c r="M1298" s="6">
        <v>350.858</v>
      </c>
      <c r="N1298" s="6">
        <v>350.858</v>
      </c>
      <c r="O1298" s="6">
        <v>350.858</v>
      </c>
      <c r="P1298" s="6">
        <v>0</v>
      </c>
      <c r="Q1298" s="4" t="s">
        <v>26</v>
      </c>
      <c r="R1298" s="4">
        <v>0</v>
      </c>
      <c r="S1298" s="4" t="s">
        <v>373</v>
      </c>
      <c r="T1298" s="4" t="s">
        <v>727</v>
      </c>
      <c r="U1298" s="4">
        <v>32</v>
      </c>
      <c r="V1298" s="4">
        <v>33</v>
      </c>
      <c r="W1298" s="4">
        <v>84</v>
      </c>
    </row>
    <row r="1299" spans="1:23" ht="11.25" customHeight="1" x14ac:dyDescent="0.25">
      <c r="A1299" s="4" t="s">
        <v>28</v>
      </c>
      <c r="B1299" s="4" t="s">
        <v>44</v>
      </c>
      <c r="C1299" s="4" t="s">
        <v>41</v>
      </c>
      <c r="D1299" s="4" t="s">
        <v>42</v>
      </c>
      <c r="E1299" s="4" t="s">
        <v>25</v>
      </c>
      <c r="F1299" s="4" t="s">
        <v>25</v>
      </c>
      <c r="G1299" s="4" t="s">
        <v>25</v>
      </c>
      <c r="H1299" s="4" t="s">
        <v>36</v>
      </c>
      <c r="I1299" s="5">
        <v>43800</v>
      </c>
      <c r="J1299" s="6">
        <v>760</v>
      </c>
      <c r="K1299" s="6">
        <v>760</v>
      </c>
      <c r="L1299" s="6">
        <v>272.50099999999998</v>
      </c>
      <c r="M1299" s="6">
        <v>272.50099999999998</v>
      </c>
      <c r="N1299" s="6">
        <v>272.50099999999998</v>
      </c>
      <c r="O1299" s="6">
        <v>272.50099999999998</v>
      </c>
      <c r="P1299" s="6">
        <v>0</v>
      </c>
      <c r="Q1299" s="4" t="s">
        <v>26</v>
      </c>
      <c r="R1299" s="4">
        <v>0</v>
      </c>
      <c r="S1299" s="4" t="s">
        <v>373</v>
      </c>
      <c r="T1299" s="4" t="s">
        <v>727</v>
      </c>
      <c r="U1299" s="4">
        <v>32</v>
      </c>
      <c r="V1299" s="4">
        <v>33</v>
      </c>
      <c r="W1299" s="4">
        <v>84</v>
      </c>
    </row>
    <row r="1300" spans="1:23" ht="11.25" customHeight="1" x14ac:dyDescent="0.25">
      <c r="A1300" s="4" t="s">
        <v>21</v>
      </c>
      <c r="B1300" s="4" t="s">
        <v>44</v>
      </c>
      <c r="C1300" s="4" t="s">
        <v>41</v>
      </c>
      <c r="D1300" s="4" t="s">
        <v>42</v>
      </c>
      <c r="E1300" s="4" t="s">
        <v>25</v>
      </c>
      <c r="F1300" s="4" t="s">
        <v>25</v>
      </c>
      <c r="G1300" s="4" t="s">
        <v>25</v>
      </c>
      <c r="H1300" s="4" t="s">
        <v>36</v>
      </c>
      <c r="I1300" s="5">
        <v>43831</v>
      </c>
      <c r="J1300" s="6">
        <v>19517</v>
      </c>
      <c r="K1300" s="6">
        <v>19517</v>
      </c>
      <c r="L1300" s="6">
        <v>7404.5529999999999</v>
      </c>
      <c r="M1300" s="6">
        <v>7404.5529999999999</v>
      </c>
      <c r="N1300" s="6">
        <v>7404.5529999999999</v>
      </c>
      <c r="O1300" s="6">
        <v>7404.5529999999999</v>
      </c>
      <c r="P1300" s="6">
        <v>0</v>
      </c>
      <c r="Q1300" s="4" t="s">
        <v>26</v>
      </c>
      <c r="R1300" s="4">
        <v>0</v>
      </c>
      <c r="S1300" s="4" t="s">
        <v>374</v>
      </c>
      <c r="T1300" s="4" t="s">
        <v>728</v>
      </c>
      <c r="U1300" s="4">
        <v>32</v>
      </c>
      <c r="V1300" s="4">
        <v>33</v>
      </c>
      <c r="W1300" s="4">
        <v>84</v>
      </c>
    </row>
    <row r="1301" spans="1:23" ht="11.25" customHeight="1" x14ac:dyDescent="0.25">
      <c r="A1301" s="4" t="s">
        <v>27</v>
      </c>
      <c r="B1301" s="4" t="s">
        <v>44</v>
      </c>
      <c r="C1301" s="4" t="s">
        <v>41</v>
      </c>
      <c r="D1301" s="4" t="s">
        <v>42</v>
      </c>
      <c r="E1301" s="4" t="s">
        <v>25</v>
      </c>
      <c r="F1301" s="4" t="s">
        <v>25</v>
      </c>
      <c r="G1301" s="4" t="s">
        <v>25</v>
      </c>
      <c r="H1301" s="4" t="s">
        <v>36</v>
      </c>
      <c r="I1301" s="5">
        <v>43831</v>
      </c>
      <c r="J1301" s="6">
        <v>75</v>
      </c>
      <c r="K1301" s="6">
        <v>75</v>
      </c>
      <c r="L1301" s="6">
        <v>30.391999999999999</v>
      </c>
      <c r="M1301" s="6">
        <v>30.391999999999999</v>
      </c>
      <c r="N1301" s="6">
        <v>30.391999999999999</v>
      </c>
      <c r="O1301" s="6">
        <v>30.391999999999999</v>
      </c>
      <c r="P1301" s="6">
        <v>0</v>
      </c>
      <c r="Q1301" s="4" t="s">
        <v>26</v>
      </c>
      <c r="R1301" s="4">
        <v>0</v>
      </c>
      <c r="S1301" s="4" t="s">
        <v>374</v>
      </c>
      <c r="T1301" s="4" t="s">
        <v>728</v>
      </c>
      <c r="U1301" s="4">
        <v>32</v>
      </c>
      <c r="V1301" s="4">
        <v>33</v>
      </c>
      <c r="W1301" s="4">
        <v>84</v>
      </c>
    </row>
    <row r="1302" spans="1:23" ht="11.25" customHeight="1" x14ac:dyDescent="0.25">
      <c r="A1302" s="4" t="s">
        <v>28</v>
      </c>
      <c r="B1302" s="4" t="s">
        <v>44</v>
      </c>
      <c r="C1302" s="4" t="s">
        <v>41</v>
      </c>
      <c r="D1302" s="4" t="s">
        <v>42</v>
      </c>
      <c r="E1302" s="4" t="s">
        <v>25</v>
      </c>
      <c r="F1302" s="4" t="s">
        <v>25</v>
      </c>
      <c r="G1302" s="4" t="s">
        <v>25</v>
      </c>
      <c r="H1302" s="4" t="s">
        <v>36</v>
      </c>
      <c r="I1302" s="5">
        <v>43831</v>
      </c>
      <c r="J1302" s="6">
        <v>760</v>
      </c>
      <c r="K1302" s="6">
        <v>760</v>
      </c>
      <c r="L1302" s="6">
        <v>269.86500000000001</v>
      </c>
      <c r="M1302" s="6">
        <v>269.86500000000001</v>
      </c>
      <c r="N1302" s="6">
        <v>269.86500000000001</v>
      </c>
      <c r="O1302" s="6">
        <v>269.86500000000001</v>
      </c>
      <c r="P1302" s="6">
        <v>0</v>
      </c>
      <c r="Q1302" s="4" t="s">
        <v>26</v>
      </c>
      <c r="R1302" s="4">
        <v>0</v>
      </c>
      <c r="S1302" s="4" t="s">
        <v>374</v>
      </c>
      <c r="T1302" s="4" t="s">
        <v>728</v>
      </c>
      <c r="U1302" s="4">
        <v>32</v>
      </c>
      <c r="V1302" s="4">
        <v>33</v>
      </c>
      <c r="W1302" s="4">
        <v>84</v>
      </c>
    </row>
    <row r="1303" spans="1:23" ht="11.25" customHeight="1" x14ac:dyDescent="0.25">
      <c r="A1303" s="4" t="s">
        <v>21</v>
      </c>
      <c r="B1303" s="4" t="s">
        <v>44</v>
      </c>
      <c r="C1303" s="4" t="s">
        <v>41</v>
      </c>
      <c r="D1303" s="4" t="s">
        <v>42</v>
      </c>
      <c r="E1303" s="4" t="s">
        <v>25</v>
      </c>
      <c r="F1303" s="4" t="s">
        <v>25</v>
      </c>
      <c r="G1303" s="4" t="s">
        <v>25</v>
      </c>
      <c r="H1303" s="4" t="s">
        <v>36</v>
      </c>
      <c r="I1303" s="5">
        <v>43862</v>
      </c>
      <c r="J1303" s="6">
        <v>19713</v>
      </c>
      <c r="K1303" s="6">
        <v>19713</v>
      </c>
      <c r="L1303" s="6">
        <v>7381.8959999999997</v>
      </c>
      <c r="M1303" s="6">
        <v>7381.8959999999997</v>
      </c>
      <c r="N1303" s="6">
        <v>7381.8959999999997</v>
      </c>
      <c r="O1303" s="6">
        <v>7381.8959999999997</v>
      </c>
      <c r="P1303" s="6">
        <v>0</v>
      </c>
      <c r="Q1303" s="4" t="s">
        <v>26</v>
      </c>
      <c r="R1303" s="4">
        <v>0</v>
      </c>
      <c r="S1303" s="4" t="s">
        <v>375</v>
      </c>
      <c r="T1303" s="4" t="s">
        <v>729</v>
      </c>
      <c r="U1303" s="4">
        <v>32</v>
      </c>
      <c r="V1303" s="4">
        <v>33</v>
      </c>
      <c r="W1303" s="4">
        <v>84</v>
      </c>
    </row>
    <row r="1304" spans="1:23" ht="11.25" customHeight="1" x14ac:dyDescent="0.25">
      <c r="A1304" s="4" t="s">
        <v>27</v>
      </c>
      <c r="B1304" s="4" t="s">
        <v>44</v>
      </c>
      <c r="C1304" s="4" t="s">
        <v>41</v>
      </c>
      <c r="D1304" s="4" t="s">
        <v>42</v>
      </c>
      <c r="E1304" s="4" t="s">
        <v>25</v>
      </c>
      <c r="F1304" s="4" t="s">
        <v>25</v>
      </c>
      <c r="G1304" s="4" t="s">
        <v>25</v>
      </c>
      <c r="H1304" s="4" t="s">
        <v>36</v>
      </c>
      <c r="I1304" s="5">
        <v>43862</v>
      </c>
      <c r="J1304" s="6">
        <v>457</v>
      </c>
      <c r="K1304" s="6">
        <v>457</v>
      </c>
      <c r="L1304" s="6">
        <v>66.7</v>
      </c>
      <c r="M1304" s="6">
        <v>66.7</v>
      </c>
      <c r="N1304" s="6">
        <v>66.7</v>
      </c>
      <c r="O1304" s="6">
        <v>66.7</v>
      </c>
      <c r="P1304" s="6">
        <v>0</v>
      </c>
      <c r="Q1304" s="4" t="s">
        <v>26</v>
      </c>
      <c r="R1304" s="4">
        <v>0</v>
      </c>
      <c r="S1304" s="4" t="s">
        <v>375</v>
      </c>
      <c r="T1304" s="4" t="s">
        <v>729</v>
      </c>
      <c r="U1304" s="4">
        <v>32</v>
      </c>
      <c r="V1304" s="4">
        <v>33</v>
      </c>
      <c r="W1304" s="4">
        <v>84</v>
      </c>
    </row>
    <row r="1305" spans="1:23" ht="11.25" customHeight="1" x14ac:dyDescent="0.25">
      <c r="A1305" s="4" t="s">
        <v>28</v>
      </c>
      <c r="B1305" s="4" t="s">
        <v>44</v>
      </c>
      <c r="C1305" s="4" t="s">
        <v>41</v>
      </c>
      <c r="D1305" s="4" t="s">
        <v>42</v>
      </c>
      <c r="E1305" s="4" t="s">
        <v>25</v>
      </c>
      <c r="F1305" s="4" t="s">
        <v>25</v>
      </c>
      <c r="G1305" s="4" t="s">
        <v>25</v>
      </c>
      <c r="H1305" s="4" t="s">
        <v>36</v>
      </c>
      <c r="I1305" s="5">
        <v>43862</v>
      </c>
      <c r="J1305" s="6">
        <v>3060</v>
      </c>
      <c r="K1305" s="6">
        <v>3060</v>
      </c>
      <c r="L1305" s="6">
        <v>1178.8130000000001</v>
      </c>
      <c r="M1305" s="6">
        <v>1178.8130000000001</v>
      </c>
      <c r="N1305" s="6">
        <v>1178.8130000000001</v>
      </c>
      <c r="O1305" s="6">
        <v>1178.8130000000001</v>
      </c>
      <c r="P1305" s="6">
        <v>0</v>
      </c>
      <c r="Q1305" s="4" t="s">
        <v>26</v>
      </c>
      <c r="R1305" s="4">
        <v>0</v>
      </c>
      <c r="S1305" s="4" t="s">
        <v>375</v>
      </c>
      <c r="T1305" s="4" t="s">
        <v>729</v>
      </c>
      <c r="U1305" s="4">
        <v>32</v>
      </c>
      <c r="V1305" s="4">
        <v>33</v>
      </c>
      <c r="W1305" s="4">
        <v>84</v>
      </c>
    </row>
    <row r="1306" spans="1:23" ht="11.25" customHeight="1" x14ac:dyDescent="0.25">
      <c r="A1306" s="4" t="s">
        <v>21</v>
      </c>
      <c r="B1306" s="4" t="s">
        <v>44</v>
      </c>
      <c r="C1306" s="4" t="s">
        <v>41</v>
      </c>
      <c r="D1306" s="4" t="s">
        <v>42</v>
      </c>
      <c r="E1306" s="4" t="s">
        <v>25</v>
      </c>
      <c r="F1306" s="4" t="s">
        <v>25</v>
      </c>
      <c r="G1306" s="4" t="s">
        <v>25</v>
      </c>
      <c r="H1306" s="4" t="s">
        <v>36</v>
      </c>
      <c r="I1306" s="5">
        <v>43891</v>
      </c>
      <c r="J1306" s="6">
        <v>18938</v>
      </c>
      <c r="K1306" s="6">
        <v>18938</v>
      </c>
      <c r="L1306" s="6">
        <v>7034.71</v>
      </c>
      <c r="M1306" s="6">
        <v>7034.71</v>
      </c>
      <c r="N1306" s="6">
        <v>7034.71</v>
      </c>
      <c r="O1306" s="6">
        <v>7034.71</v>
      </c>
      <c r="P1306" s="6">
        <v>0</v>
      </c>
      <c r="Q1306" s="4" t="s">
        <v>26</v>
      </c>
      <c r="R1306" s="4">
        <v>0</v>
      </c>
      <c r="S1306" s="4" t="s">
        <v>376</v>
      </c>
      <c r="T1306" s="4" t="s">
        <v>730</v>
      </c>
      <c r="U1306" s="4">
        <v>32</v>
      </c>
      <c r="V1306" s="4">
        <v>33</v>
      </c>
      <c r="W1306" s="4">
        <v>84</v>
      </c>
    </row>
    <row r="1307" spans="1:23" ht="11.25" customHeight="1" x14ac:dyDescent="0.25">
      <c r="A1307" s="4" t="s">
        <v>27</v>
      </c>
      <c r="B1307" s="4" t="s">
        <v>44</v>
      </c>
      <c r="C1307" s="4" t="s">
        <v>41</v>
      </c>
      <c r="D1307" s="4" t="s">
        <v>42</v>
      </c>
      <c r="E1307" s="4" t="s">
        <v>25</v>
      </c>
      <c r="F1307" s="4" t="s">
        <v>25</v>
      </c>
      <c r="G1307" s="4" t="s">
        <v>25</v>
      </c>
      <c r="H1307" s="4" t="s">
        <v>36</v>
      </c>
      <c r="I1307" s="5">
        <v>43891</v>
      </c>
      <c r="J1307" s="6">
        <v>170</v>
      </c>
      <c r="K1307" s="6">
        <v>170</v>
      </c>
      <c r="L1307" s="6">
        <v>62.851999999999997</v>
      </c>
      <c r="M1307" s="6">
        <v>62.851999999999997</v>
      </c>
      <c r="N1307" s="6">
        <v>62.851999999999997</v>
      </c>
      <c r="O1307" s="6">
        <v>62.851999999999997</v>
      </c>
      <c r="P1307" s="6">
        <v>0</v>
      </c>
      <c r="Q1307" s="4" t="s">
        <v>26</v>
      </c>
      <c r="R1307" s="4">
        <v>0</v>
      </c>
      <c r="S1307" s="4" t="s">
        <v>376</v>
      </c>
      <c r="T1307" s="4" t="s">
        <v>730</v>
      </c>
      <c r="U1307" s="4">
        <v>32</v>
      </c>
      <c r="V1307" s="4">
        <v>33</v>
      </c>
      <c r="W1307" s="4">
        <v>84</v>
      </c>
    </row>
    <row r="1308" spans="1:23" ht="11.25" customHeight="1" x14ac:dyDescent="0.25">
      <c r="A1308" s="4" t="s">
        <v>28</v>
      </c>
      <c r="B1308" s="4" t="s">
        <v>44</v>
      </c>
      <c r="C1308" s="4" t="s">
        <v>41</v>
      </c>
      <c r="D1308" s="4" t="s">
        <v>42</v>
      </c>
      <c r="E1308" s="4" t="s">
        <v>25</v>
      </c>
      <c r="F1308" s="4" t="s">
        <v>25</v>
      </c>
      <c r="G1308" s="4" t="s">
        <v>25</v>
      </c>
      <c r="H1308" s="4" t="s">
        <v>36</v>
      </c>
      <c r="I1308" s="5">
        <v>43891</v>
      </c>
      <c r="J1308" s="6">
        <v>760</v>
      </c>
      <c r="K1308" s="6">
        <v>760</v>
      </c>
      <c r="L1308" s="6">
        <v>247.49100000000001</v>
      </c>
      <c r="M1308" s="6">
        <v>247.49100000000001</v>
      </c>
      <c r="N1308" s="6">
        <v>247.49100000000001</v>
      </c>
      <c r="O1308" s="6">
        <v>247.49100000000001</v>
      </c>
      <c r="P1308" s="6">
        <v>0</v>
      </c>
      <c r="Q1308" s="4" t="s">
        <v>26</v>
      </c>
      <c r="R1308" s="4">
        <v>0</v>
      </c>
      <c r="S1308" s="4" t="s">
        <v>376</v>
      </c>
      <c r="T1308" s="4" t="s">
        <v>730</v>
      </c>
      <c r="U1308" s="4">
        <v>32</v>
      </c>
      <c r="V1308" s="4">
        <v>33</v>
      </c>
      <c r="W1308" s="4">
        <v>84</v>
      </c>
    </row>
    <row r="1309" spans="1:23" ht="11.25" customHeight="1" x14ac:dyDescent="0.25">
      <c r="A1309" s="4" t="s">
        <v>21</v>
      </c>
      <c r="B1309" s="4" t="s">
        <v>44</v>
      </c>
      <c r="C1309" s="4" t="s">
        <v>41</v>
      </c>
      <c r="D1309" s="4" t="s">
        <v>42</v>
      </c>
      <c r="E1309" s="4" t="s">
        <v>25</v>
      </c>
      <c r="F1309" s="4" t="s">
        <v>25</v>
      </c>
      <c r="G1309" s="4" t="s">
        <v>25</v>
      </c>
      <c r="H1309" s="4" t="s">
        <v>36</v>
      </c>
      <c r="I1309" s="5">
        <v>43922</v>
      </c>
      <c r="J1309" s="6">
        <v>18567</v>
      </c>
      <c r="K1309" s="6">
        <v>18567</v>
      </c>
      <c r="L1309" s="6">
        <v>7184.7049999999999</v>
      </c>
      <c r="M1309" s="6">
        <v>7184.7049999999999</v>
      </c>
      <c r="N1309" s="6">
        <v>7184.7049999999999</v>
      </c>
      <c r="O1309" s="6">
        <v>7184.7049999999999</v>
      </c>
      <c r="P1309" s="6">
        <v>0</v>
      </c>
      <c r="Q1309" s="4" t="s">
        <v>26</v>
      </c>
      <c r="R1309" s="4">
        <v>0</v>
      </c>
      <c r="S1309" s="4" t="s">
        <v>377</v>
      </c>
      <c r="T1309" s="4" t="s">
        <v>731</v>
      </c>
      <c r="U1309" s="4">
        <v>32</v>
      </c>
      <c r="V1309" s="4">
        <v>33</v>
      </c>
      <c r="W1309" s="4">
        <v>84</v>
      </c>
    </row>
    <row r="1310" spans="1:23" ht="11.25" customHeight="1" x14ac:dyDescent="0.25">
      <c r="A1310" s="4" t="s">
        <v>27</v>
      </c>
      <c r="B1310" s="4" t="s">
        <v>44</v>
      </c>
      <c r="C1310" s="4" t="s">
        <v>41</v>
      </c>
      <c r="D1310" s="4" t="s">
        <v>42</v>
      </c>
      <c r="E1310" s="4" t="s">
        <v>25</v>
      </c>
      <c r="F1310" s="4" t="s">
        <v>25</v>
      </c>
      <c r="G1310" s="4" t="s">
        <v>25</v>
      </c>
      <c r="H1310" s="4" t="s">
        <v>36</v>
      </c>
      <c r="I1310" s="5">
        <v>43922</v>
      </c>
      <c r="J1310" s="6">
        <v>380</v>
      </c>
      <c r="K1310" s="6">
        <v>380</v>
      </c>
      <c r="L1310" s="6">
        <v>18.698</v>
      </c>
      <c r="M1310" s="6">
        <v>18.698</v>
      </c>
      <c r="N1310" s="6">
        <v>18.698</v>
      </c>
      <c r="O1310" s="6">
        <v>18.698</v>
      </c>
      <c r="P1310" s="6">
        <v>0</v>
      </c>
      <c r="Q1310" s="4" t="s">
        <v>26</v>
      </c>
      <c r="R1310" s="4">
        <v>0</v>
      </c>
      <c r="S1310" s="4" t="s">
        <v>377</v>
      </c>
      <c r="T1310" s="4" t="s">
        <v>731</v>
      </c>
      <c r="U1310" s="4">
        <v>32</v>
      </c>
      <c r="V1310" s="4">
        <v>33</v>
      </c>
      <c r="W1310" s="4">
        <v>84</v>
      </c>
    </row>
    <row r="1311" spans="1:23" ht="11.25" customHeight="1" x14ac:dyDescent="0.25">
      <c r="A1311" s="4" t="s">
        <v>28</v>
      </c>
      <c r="B1311" s="4" t="s">
        <v>44</v>
      </c>
      <c r="C1311" s="4" t="s">
        <v>41</v>
      </c>
      <c r="D1311" s="4" t="s">
        <v>42</v>
      </c>
      <c r="E1311" s="4" t="s">
        <v>25</v>
      </c>
      <c r="F1311" s="4" t="s">
        <v>25</v>
      </c>
      <c r="G1311" s="4" t="s">
        <v>25</v>
      </c>
      <c r="H1311" s="4" t="s">
        <v>36</v>
      </c>
      <c r="I1311" s="5">
        <v>43922</v>
      </c>
      <c r="J1311" s="6">
        <v>760</v>
      </c>
      <c r="K1311" s="6">
        <v>760</v>
      </c>
      <c r="L1311" s="6">
        <v>253.28399999999999</v>
      </c>
      <c r="M1311" s="6">
        <v>253.28399999999999</v>
      </c>
      <c r="N1311" s="6">
        <v>253.28399999999999</v>
      </c>
      <c r="O1311" s="6">
        <v>253.28399999999999</v>
      </c>
      <c r="P1311" s="6">
        <v>0</v>
      </c>
      <c r="Q1311" s="4" t="s">
        <v>26</v>
      </c>
      <c r="R1311" s="4">
        <v>0</v>
      </c>
      <c r="S1311" s="4" t="s">
        <v>377</v>
      </c>
      <c r="T1311" s="4" t="s">
        <v>731</v>
      </c>
      <c r="U1311" s="4">
        <v>32</v>
      </c>
      <c r="V1311" s="4">
        <v>33</v>
      </c>
      <c r="W1311" s="4">
        <v>84</v>
      </c>
    </row>
    <row r="1312" spans="1:23" ht="11.25" customHeight="1" x14ac:dyDescent="0.25">
      <c r="A1312" s="4" t="s">
        <v>21</v>
      </c>
      <c r="B1312" s="4" t="s">
        <v>44</v>
      </c>
      <c r="C1312" s="4" t="s">
        <v>41</v>
      </c>
      <c r="D1312" s="4" t="s">
        <v>42</v>
      </c>
      <c r="E1312" s="4" t="s">
        <v>25</v>
      </c>
      <c r="F1312" s="4" t="s">
        <v>25</v>
      </c>
      <c r="G1312" s="4" t="s">
        <v>25</v>
      </c>
      <c r="H1312" s="4" t="s">
        <v>36</v>
      </c>
      <c r="I1312" s="5">
        <v>43952</v>
      </c>
      <c r="J1312" s="6">
        <v>18168</v>
      </c>
      <c r="K1312" s="6">
        <v>18168</v>
      </c>
      <c r="L1312" s="6">
        <v>6487.9960000000001</v>
      </c>
      <c r="M1312" s="6">
        <v>6487.9960000000001</v>
      </c>
      <c r="N1312" s="6">
        <v>6487.9960000000001</v>
      </c>
      <c r="O1312" s="6">
        <v>6487.9960000000001</v>
      </c>
      <c r="P1312" s="6">
        <v>0</v>
      </c>
      <c r="Q1312" s="4" t="s">
        <v>26</v>
      </c>
      <c r="R1312" s="4">
        <v>0</v>
      </c>
      <c r="S1312" s="4" t="s">
        <v>378</v>
      </c>
      <c r="T1312" s="4" t="s">
        <v>732</v>
      </c>
      <c r="U1312" s="4">
        <v>32</v>
      </c>
      <c r="V1312" s="4">
        <v>33</v>
      </c>
      <c r="W1312" s="4">
        <v>84</v>
      </c>
    </row>
    <row r="1313" spans="1:23" ht="11.25" customHeight="1" x14ac:dyDescent="0.25">
      <c r="A1313" s="4" t="s">
        <v>27</v>
      </c>
      <c r="B1313" s="4" t="s">
        <v>44</v>
      </c>
      <c r="C1313" s="4" t="s">
        <v>41</v>
      </c>
      <c r="D1313" s="4" t="s">
        <v>42</v>
      </c>
      <c r="E1313" s="4" t="s">
        <v>25</v>
      </c>
      <c r="F1313" s="4" t="s">
        <v>25</v>
      </c>
      <c r="G1313" s="4" t="s">
        <v>25</v>
      </c>
      <c r="H1313" s="4" t="s">
        <v>36</v>
      </c>
      <c r="I1313" s="5">
        <v>43952</v>
      </c>
      <c r="J1313" s="6">
        <v>380</v>
      </c>
      <c r="K1313" s="6">
        <v>380</v>
      </c>
      <c r="L1313" s="6">
        <v>16.594000000000001</v>
      </c>
      <c r="M1313" s="6">
        <v>16.594000000000001</v>
      </c>
      <c r="N1313" s="6">
        <v>16.594000000000001</v>
      </c>
      <c r="O1313" s="6">
        <v>16.594000000000001</v>
      </c>
      <c r="P1313" s="6">
        <v>0</v>
      </c>
      <c r="Q1313" s="4" t="s">
        <v>26</v>
      </c>
      <c r="R1313" s="4">
        <v>0</v>
      </c>
      <c r="S1313" s="4" t="s">
        <v>378</v>
      </c>
      <c r="T1313" s="4" t="s">
        <v>732</v>
      </c>
      <c r="U1313" s="4">
        <v>32</v>
      </c>
      <c r="V1313" s="4">
        <v>33</v>
      </c>
      <c r="W1313" s="4">
        <v>84</v>
      </c>
    </row>
    <row r="1314" spans="1:23" ht="11.25" customHeight="1" x14ac:dyDescent="0.25">
      <c r="A1314" s="4" t="s">
        <v>28</v>
      </c>
      <c r="B1314" s="4" t="s">
        <v>44</v>
      </c>
      <c r="C1314" s="4" t="s">
        <v>41</v>
      </c>
      <c r="D1314" s="4" t="s">
        <v>42</v>
      </c>
      <c r="E1314" s="4" t="s">
        <v>25</v>
      </c>
      <c r="F1314" s="4" t="s">
        <v>25</v>
      </c>
      <c r="G1314" s="4" t="s">
        <v>25</v>
      </c>
      <c r="H1314" s="4" t="s">
        <v>36</v>
      </c>
      <c r="I1314" s="5">
        <v>43952</v>
      </c>
      <c r="J1314" s="6">
        <v>3060</v>
      </c>
      <c r="K1314" s="6">
        <v>3060</v>
      </c>
      <c r="L1314" s="6">
        <v>989.54200000000003</v>
      </c>
      <c r="M1314" s="6">
        <v>989.54200000000003</v>
      </c>
      <c r="N1314" s="6">
        <v>989.54200000000003</v>
      </c>
      <c r="O1314" s="6">
        <v>989.54200000000003</v>
      </c>
      <c r="P1314" s="6">
        <v>0</v>
      </c>
      <c r="Q1314" s="4" t="s">
        <v>26</v>
      </c>
      <c r="R1314" s="4">
        <v>0</v>
      </c>
      <c r="S1314" s="4" t="s">
        <v>378</v>
      </c>
      <c r="T1314" s="4" t="s">
        <v>732</v>
      </c>
      <c r="U1314" s="4">
        <v>32</v>
      </c>
      <c r="V1314" s="4">
        <v>33</v>
      </c>
      <c r="W1314" s="4">
        <v>84</v>
      </c>
    </row>
    <row r="1315" spans="1:23" ht="11.25" customHeight="1" x14ac:dyDescent="0.25">
      <c r="A1315" s="4" t="s">
        <v>21</v>
      </c>
      <c r="B1315" s="4" t="s">
        <v>44</v>
      </c>
      <c r="C1315" s="4" t="s">
        <v>41</v>
      </c>
      <c r="D1315" s="4" t="s">
        <v>42</v>
      </c>
      <c r="E1315" s="4" t="s">
        <v>25</v>
      </c>
      <c r="F1315" s="4" t="s">
        <v>25</v>
      </c>
      <c r="G1315" s="4" t="s">
        <v>25</v>
      </c>
      <c r="H1315" s="4" t="s">
        <v>36</v>
      </c>
      <c r="I1315" s="5">
        <v>43983</v>
      </c>
      <c r="J1315" s="6">
        <v>19682</v>
      </c>
      <c r="K1315" s="6">
        <v>19682</v>
      </c>
      <c r="L1315" s="6">
        <v>6853.5150000000003</v>
      </c>
      <c r="M1315" s="6">
        <v>6853.5150000000003</v>
      </c>
      <c r="N1315" s="6">
        <v>6853.5150000000003</v>
      </c>
      <c r="O1315" s="6">
        <v>6853.5150000000003</v>
      </c>
      <c r="P1315" s="6">
        <v>0</v>
      </c>
      <c r="Q1315" s="4" t="s">
        <v>26</v>
      </c>
      <c r="R1315" s="4">
        <v>0</v>
      </c>
      <c r="S1315" s="4" t="s">
        <v>379</v>
      </c>
      <c r="T1315" s="4" t="s">
        <v>733</v>
      </c>
      <c r="U1315" s="4">
        <v>32</v>
      </c>
      <c r="V1315" s="4">
        <v>33</v>
      </c>
      <c r="W1315" s="4">
        <v>84</v>
      </c>
    </row>
    <row r="1316" spans="1:23" ht="11.25" customHeight="1" x14ac:dyDescent="0.25">
      <c r="A1316" s="4" t="s">
        <v>27</v>
      </c>
      <c r="B1316" s="4" t="s">
        <v>44</v>
      </c>
      <c r="C1316" s="4" t="s">
        <v>41</v>
      </c>
      <c r="D1316" s="4" t="s">
        <v>42</v>
      </c>
      <c r="E1316" s="4" t="s">
        <v>25</v>
      </c>
      <c r="F1316" s="4" t="s">
        <v>25</v>
      </c>
      <c r="G1316" s="4" t="s">
        <v>25</v>
      </c>
      <c r="H1316" s="4" t="s">
        <v>36</v>
      </c>
      <c r="I1316" s="5">
        <v>43983</v>
      </c>
      <c r="J1316" s="6">
        <v>380</v>
      </c>
      <c r="K1316" s="6">
        <v>380</v>
      </c>
      <c r="L1316" s="6">
        <v>16.619</v>
      </c>
      <c r="M1316" s="6">
        <v>16.619</v>
      </c>
      <c r="N1316" s="6">
        <v>16.619</v>
      </c>
      <c r="O1316" s="6">
        <v>16.619</v>
      </c>
      <c r="P1316" s="6">
        <v>0</v>
      </c>
      <c r="Q1316" s="4" t="s">
        <v>26</v>
      </c>
      <c r="R1316" s="4">
        <v>0</v>
      </c>
      <c r="S1316" s="4" t="s">
        <v>379</v>
      </c>
      <c r="T1316" s="4" t="s">
        <v>733</v>
      </c>
      <c r="U1316" s="4">
        <v>32</v>
      </c>
      <c r="V1316" s="4">
        <v>33</v>
      </c>
      <c r="W1316" s="4">
        <v>84</v>
      </c>
    </row>
    <row r="1317" spans="1:23" ht="11.25" customHeight="1" x14ac:dyDescent="0.25">
      <c r="A1317" s="4" t="s">
        <v>28</v>
      </c>
      <c r="B1317" s="4" t="s">
        <v>44</v>
      </c>
      <c r="C1317" s="4" t="s">
        <v>41</v>
      </c>
      <c r="D1317" s="4" t="s">
        <v>42</v>
      </c>
      <c r="E1317" s="4" t="s">
        <v>25</v>
      </c>
      <c r="F1317" s="4" t="s">
        <v>25</v>
      </c>
      <c r="G1317" s="4" t="s">
        <v>25</v>
      </c>
      <c r="H1317" s="4" t="s">
        <v>36</v>
      </c>
      <c r="I1317" s="5">
        <v>43983</v>
      </c>
      <c r="J1317" s="6">
        <v>760</v>
      </c>
      <c r="K1317" s="6">
        <v>760</v>
      </c>
      <c r="L1317" s="6">
        <v>174.596</v>
      </c>
      <c r="M1317" s="6">
        <v>174.596</v>
      </c>
      <c r="N1317" s="6">
        <v>174.596</v>
      </c>
      <c r="O1317" s="6">
        <v>174.596</v>
      </c>
      <c r="P1317" s="6">
        <v>0</v>
      </c>
      <c r="Q1317" s="4" t="s">
        <v>26</v>
      </c>
      <c r="R1317" s="4">
        <v>0</v>
      </c>
      <c r="S1317" s="4" t="s">
        <v>379</v>
      </c>
      <c r="T1317" s="4" t="s">
        <v>733</v>
      </c>
      <c r="U1317" s="4">
        <v>32</v>
      </c>
      <c r="V1317" s="4">
        <v>33</v>
      </c>
      <c r="W1317" s="4">
        <v>84</v>
      </c>
    </row>
    <row r="1318" spans="1:23" ht="11.25" customHeight="1" x14ac:dyDescent="0.25">
      <c r="A1318" s="4" t="s">
        <v>21</v>
      </c>
      <c r="B1318" s="4" t="s">
        <v>44</v>
      </c>
      <c r="C1318" s="4" t="s">
        <v>41</v>
      </c>
      <c r="D1318" s="4" t="s">
        <v>42</v>
      </c>
      <c r="E1318" s="4" t="s">
        <v>25</v>
      </c>
      <c r="F1318" s="4" t="s">
        <v>25</v>
      </c>
      <c r="G1318" s="4" t="s">
        <v>25</v>
      </c>
      <c r="H1318" s="4" t="s">
        <v>36</v>
      </c>
      <c r="I1318" s="5">
        <v>44013</v>
      </c>
      <c r="J1318" s="6">
        <v>20089</v>
      </c>
      <c r="K1318" s="6">
        <v>20089</v>
      </c>
      <c r="L1318" s="6">
        <v>6867.5519999999997</v>
      </c>
      <c r="M1318" s="6">
        <v>6867.5519999999997</v>
      </c>
      <c r="N1318" s="6">
        <v>6867.5519999999997</v>
      </c>
      <c r="O1318" s="6">
        <v>6867.5519999999997</v>
      </c>
      <c r="P1318" s="6">
        <v>0</v>
      </c>
      <c r="Q1318" s="4" t="s">
        <v>26</v>
      </c>
      <c r="R1318" s="4">
        <v>0</v>
      </c>
      <c r="S1318" s="4" t="s">
        <v>380</v>
      </c>
      <c r="T1318" s="4" t="s">
        <v>734</v>
      </c>
      <c r="U1318" s="4">
        <v>32</v>
      </c>
      <c r="V1318" s="4">
        <v>33</v>
      </c>
      <c r="W1318" s="4">
        <v>84</v>
      </c>
    </row>
    <row r="1319" spans="1:23" ht="11.25" customHeight="1" x14ac:dyDescent="0.25">
      <c r="A1319" s="4" t="s">
        <v>27</v>
      </c>
      <c r="B1319" s="4" t="s">
        <v>44</v>
      </c>
      <c r="C1319" s="4" t="s">
        <v>41</v>
      </c>
      <c r="D1319" s="4" t="s">
        <v>42</v>
      </c>
      <c r="E1319" s="4" t="s">
        <v>25</v>
      </c>
      <c r="F1319" s="4" t="s">
        <v>25</v>
      </c>
      <c r="G1319" s="4" t="s">
        <v>25</v>
      </c>
      <c r="H1319" s="4" t="s">
        <v>36</v>
      </c>
      <c r="I1319" s="5">
        <v>44013</v>
      </c>
      <c r="J1319" s="6">
        <v>380</v>
      </c>
      <c r="K1319" s="6">
        <v>380</v>
      </c>
      <c r="L1319" s="6">
        <v>14.273</v>
      </c>
      <c r="M1319" s="6">
        <v>14.273</v>
      </c>
      <c r="N1319" s="6">
        <v>14.273</v>
      </c>
      <c r="O1319" s="6">
        <v>14.273</v>
      </c>
      <c r="P1319" s="6">
        <v>0</v>
      </c>
      <c r="Q1319" s="4" t="s">
        <v>26</v>
      </c>
      <c r="R1319" s="4">
        <v>0</v>
      </c>
      <c r="S1319" s="4" t="s">
        <v>380</v>
      </c>
      <c r="T1319" s="4" t="s">
        <v>734</v>
      </c>
      <c r="U1319" s="4">
        <v>32</v>
      </c>
      <c r="V1319" s="4">
        <v>33</v>
      </c>
      <c r="W1319" s="4">
        <v>84</v>
      </c>
    </row>
    <row r="1320" spans="1:23" ht="11.25" customHeight="1" x14ac:dyDescent="0.25">
      <c r="A1320" s="4" t="s">
        <v>28</v>
      </c>
      <c r="B1320" s="4" t="s">
        <v>44</v>
      </c>
      <c r="C1320" s="4" t="s">
        <v>41</v>
      </c>
      <c r="D1320" s="4" t="s">
        <v>42</v>
      </c>
      <c r="E1320" s="4" t="s">
        <v>25</v>
      </c>
      <c r="F1320" s="4" t="s">
        <v>25</v>
      </c>
      <c r="G1320" s="4" t="s">
        <v>25</v>
      </c>
      <c r="H1320" s="4" t="s">
        <v>36</v>
      </c>
      <c r="I1320" s="5">
        <v>44013</v>
      </c>
      <c r="J1320" s="6">
        <v>760</v>
      </c>
      <c r="K1320" s="6">
        <v>760</v>
      </c>
      <c r="L1320" s="6">
        <v>149.66399999999999</v>
      </c>
      <c r="M1320" s="6">
        <v>149.66399999999999</v>
      </c>
      <c r="N1320" s="6">
        <v>149.66399999999999</v>
      </c>
      <c r="O1320" s="6">
        <v>149.66399999999999</v>
      </c>
      <c r="P1320" s="6">
        <v>0</v>
      </c>
      <c r="Q1320" s="4" t="s">
        <v>26</v>
      </c>
      <c r="R1320" s="4">
        <v>0</v>
      </c>
      <c r="S1320" s="4" t="s">
        <v>380</v>
      </c>
      <c r="T1320" s="4" t="s">
        <v>734</v>
      </c>
      <c r="U1320" s="4">
        <v>32</v>
      </c>
      <c r="V1320" s="4">
        <v>33</v>
      </c>
      <c r="W1320" s="4">
        <v>84</v>
      </c>
    </row>
    <row r="1321" spans="1:23" ht="11.25" customHeight="1" x14ac:dyDescent="0.25">
      <c r="A1321" s="4" t="s">
        <v>21</v>
      </c>
      <c r="B1321" s="4" t="s">
        <v>44</v>
      </c>
      <c r="C1321" s="4" t="s">
        <v>41</v>
      </c>
      <c r="D1321" s="4" t="s">
        <v>42</v>
      </c>
      <c r="E1321" s="4" t="s">
        <v>25</v>
      </c>
      <c r="F1321" s="4" t="s">
        <v>25</v>
      </c>
      <c r="G1321" s="4" t="s">
        <v>25</v>
      </c>
      <c r="H1321" s="4" t="s">
        <v>36</v>
      </c>
      <c r="I1321" s="5">
        <v>44044</v>
      </c>
      <c r="J1321" s="6">
        <v>19317</v>
      </c>
      <c r="K1321" s="6">
        <v>19317</v>
      </c>
      <c r="L1321" s="6">
        <v>6582.4759999999997</v>
      </c>
      <c r="M1321" s="6">
        <v>6582.4759999999997</v>
      </c>
      <c r="N1321" s="6">
        <v>6582.4759999999997</v>
      </c>
      <c r="O1321" s="6">
        <v>6582.4759999999997</v>
      </c>
      <c r="P1321" s="6">
        <v>0</v>
      </c>
      <c r="Q1321" s="4" t="s">
        <v>26</v>
      </c>
      <c r="R1321" s="4">
        <v>0</v>
      </c>
      <c r="S1321" s="4" t="s">
        <v>381</v>
      </c>
      <c r="T1321" s="4" t="s">
        <v>735</v>
      </c>
      <c r="U1321" s="4">
        <v>32</v>
      </c>
      <c r="V1321" s="4">
        <v>33</v>
      </c>
      <c r="W1321" s="4">
        <v>84</v>
      </c>
    </row>
    <row r="1322" spans="1:23" ht="11.25" customHeight="1" x14ac:dyDescent="0.25">
      <c r="A1322" s="4" t="s">
        <v>27</v>
      </c>
      <c r="B1322" s="4" t="s">
        <v>44</v>
      </c>
      <c r="C1322" s="4" t="s">
        <v>41</v>
      </c>
      <c r="D1322" s="4" t="s">
        <v>42</v>
      </c>
      <c r="E1322" s="4" t="s">
        <v>25</v>
      </c>
      <c r="F1322" s="4" t="s">
        <v>25</v>
      </c>
      <c r="G1322" s="4" t="s">
        <v>25</v>
      </c>
      <c r="H1322" s="4" t="s">
        <v>36</v>
      </c>
      <c r="I1322" s="5">
        <v>44044</v>
      </c>
      <c r="J1322" s="6">
        <v>480</v>
      </c>
      <c r="K1322" s="6">
        <v>480</v>
      </c>
      <c r="L1322" s="6">
        <v>3.4460000000000002</v>
      </c>
      <c r="M1322" s="6">
        <v>3.4460000000000002</v>
      </c>
      <c r="N1322" s="6">
        <v>3.4460000000000002</v>
      </c>
      <c r="O1322" s="6">
        <v>3.4460000000000002</v>
      </c>
      <c r="P1322" s="6">
        <v>0</v>
      </c>
      <c r="Q1322" s="4" t="s">
        <v>26</v>
      </c>
      <c r="R1322" s="4">
        <v>0</v>
      </c>
      <c r="S1322" s="4" t="s">
        <v>381</v>
      </c>
      <c r="T1322" s="4" t="s">
        <v>735</v>
      </c>
      <c r="U1322" s="4">
        <v>32</v>
      </c>
      <c r="V1322" s="4">
        <v>33</v>
      </c>
      <c r="W1322" s="4">
        <v>84</v>
      </c>
    </row>
    <row r="1323" spans="1:23" ht="11.25" customHeight="1" x14ac:dyDescent="0.25">
      <c r="A1323" s="4" t="s">
        <v>28</v>
      </c>
      <c r="B1323" s="4" t="s">
        <v>44</v>
      </c>
      <c r="C1323" s="4" t="s">
        <v>41</v>
      </c>
      <c r="D1323" s="4" t="s">
        <v>42</v>
      </c>
      <c r="E1323" s="4" t="s">
        <v>25</v>
      </c>
      <c r="F1323" s="4" t="s">
        <v>25</v>
      </c>
      <c r="G1323" s="4" t="s">
        <v>25</v>
      </c>
      <c r="H1323" s="4" t="s">
        <v>36</v>
      </c>
      <c r="I1323" s="5">
        <v>44044</v>
      </c>
      <c r="J1323" s="6">
        <v>760</v>
      </c>
      <c r="K1323" s="6">
        <v>760</v>
      </c>
      <c r="L1323" s="6">
        <v>134.852</v>
      </c>
      <c r="M1323" s="6">
        <v>134.852</v>
      </c>
      <c r="N1323" s="6">
        <v>134.852</v>
      </c>
      <c r="O1323" s="6">
        <v>134.852</v>
      </c>
      <c r="P1323" s="6">
        <v>0</v>
      </c>
      <c r="Q1323" s="4" t="s">
        <v>26</v>
      </c>
      <c r="R1323" s="4">
        <v>0</v>
      </c>
      <c r="S1323" s="4" t="s">
        <v>381</v>
      </c>
      <c r="T1323" s="4" t="s">
        <v>735</v>
      </c>
      <c r="U1323" s="4">
        <v>32</v>
      </c>
      <c r="V1323" s="4">
        <v>33</v>
      </c>
      <c r="W1323" s="4">
        <v>84</v>
      </c>
    </row>
    <row r="1324" spans="1:23" ht="11.25" customHeight="1" x14ac:dyDescent="0.25">
      <c r="A1324" s="4" t="s">
        <v>59</v>
      </c>
      <c r="B1324" s="4" t="s">
        <v>44</v>
      </c>
      <c r="C1324" s="4" t="s">
        <v>41</v>
      </c>
      <c r="D1324" s="4" t="s">
        <v>42</v>
      </c>
      <c r="E1324" s="4" t="s">
        <v>25</v>
      </c>
      <c r="F1324" s="4" t="s">
        <v>25</v>
      </c>
      <c r="G1324" s="4" t="s">
        <v>25</v>
      </c>
      <c r="H1324" s="4" t="s">
        <v>36</v>
      </c>
      <c r="I1324" s="5">
        <v>44075</v>
      </c>
      <c r="J1324" s="6">
        <v>19317</v>
      </c>
      <c r="K1324" s="6">
        <v>19317</v>
      </c>
      <c r="L1324" s="6">
        <v>6582.4759999999997</v>
      </c>
      <c r="M1324" s="6">
        <v>6582.4759999999997</v>
      </c>
      <c r="N1324" s="6">
        <v>6582.4759999999997</v>
      </c>
      <c r="O1324" s="6">
        <v>6582.4759999999997</v>
      </c>
      <c r="P1324" s="6">
        <v>0</v>
      </c>
      <c r="Q1324" s="4" t="s">
        <v>26</v>
      </c>
      <c r="R1324" s="4">
        <v>0</v>
      </c>
      <c r="S1324" s="4" t="s">
        <v>382</v>
      </c>
      <c r="T1324" s="4" t="s">
        <v>736</v>
      </c>
      <c r="U1324" s="4">
        <v>32</v>
      </c>
      <c r="V1324" s="4">
        <v>33</v>
      </c>
      <c r="W1324" s="4">
        <v>84</v>
      </c>
    </row>
    <row r="1325" spans="1:23" ht="11.25" customHeight="1" x14ac:dyDescent="0.25">
      <c r="A1325" s="4" t="s">
        <v>59</v>
      </c>
      <c r="B1325" s="4" t="s">
        <v>44</v>
      </c>
      <c r="C1325" s="4" t="s">
        <v>41</v>
      </c>
      <c r="D1325" s="4" t="s">
        <v>42</v>
      </c>
      <c r="E1325" s="4" t="s">
        <v>25</v>
      </c>
      <c r="F1325" s="4" t="s">
        <v>25</v>
      </c>
      <c r="G1325" s="4" t="s">
        <v>25</v>
      </c>
      <c r="H1325" s="4" t="s">
        <v>36</v>
      </c>
      <c r="I1325" s="5">
        <v>44075</v>
      </c>
      <c r="J1325" s="6">
        <v>480</v>
      </c>
      <c r="K1325" s="6">
        <v>480</v>
      </c>
      <c r="L1325" s="6">
        <v>3.4460000000000002</v>
      </c>
      <c r="M1325" s="6">
        <v>3.4460000000000002</v>
      </c>
      <c r="N1325" s="6">
        <v>3.4460000000000002</v>
      </c>
      <c r="O1325" s="6">
        <v>3.4460000000000002</v>
      </c>
      <c r="P1325" s="6">
        <v>0</v>
      </c>
      <c r="Q1325" s="4" t="s">
        <v>26</v>
      </c>
      <c r="R1325" s="4">
        <v>0</v>
      </c>
      <c r="S1325" s="4" t="s">
        <v>382</v>
      </c>
      <c r="T1325" s="4" t="s">
        <v>736</v>
      </c>
      <c r="U1325" s="4">
        <v>32</v>
      </c>
      <c r="V1325" s="4">
        <v>33</v>
      </c>
      <c r="W1325" s="4">
        <v>84</v>
      </c>
    </row>
    <row r="1326" spans="1:23" ht="11.25" customHeight="1" x14ac:dyDescent="0.25">
      <c r="A1326" s="4" t="s">
        <v>59</v>
      </c>
      <c r="B1326" s="4" t="s">
        <v>44</v>
      </c>
      <c r="C1326" s="4" t="s">
        <v>41</v>
      </c>
      <c r="D1326" s="4" t="s">
        <v>42</v>
      </c>
      <c r="E1326" s="4" t="s">
        <v>25</v>
      </c>
      <c r="F1326" s="4" t="s">
        <v>25</v>
      </c>
      <c r="G1326" s="4" t="s">
        <v>25</v>
      </c>
      <c r="H1326" s="4" t="s">
        <v>36</v>
      </c>
      <c r="I1326" s="5">
        <v>44075</v>
      </c>
      <c r="J1326" s="6">
        <v>760</v>
      </c>
      <c r="K1326" s="6">
        <v>760</v>
      </c>
      <c r="L1326" s="6">
        <v>134.852</v>
      </c>
      <c r="M1326" s="6">
        <v>134.852</v>
      </c>
      <c r="N1326" s="6">
        <v>134.852</v>
      </c>
      <c r="O1326" s="6">
        <v>134.852</v>
      </c>
      <c r="P1326" s="6">
        <v>0</v>
      </c>
      <c r="Q1326" s="4" t="s">
        <v>26</v>
      </c>
      <c r="R1326" s="4">
        <v>0</v>
      </c>
      <c r="S1326" s="4" t="s">
        <v>382</v>
      </c>
      <c r="T1326" s="4" t="s">
        <v>736</v>
      </c>
      <c r="U1326" s="4">
        <v>32</v>
      </c>
      <c r="V1326" s="4">
        <v>33</v>
      </c>
      <c r="W1326" s="4">
        <v>84</v>
      </c>
    </row>
    <row r="1327" spans="1:23" ht="11.25" customHeight="1" x14ac:dyDescent="0.25">
      <c r="A1327" s="4" t="s">
        <v>21</v>
      </c>
      <c r="B1327" s="4" t="s">
        <v>44</v>
      </c>
      <c r="C1327" s="4" t="s">
        <v>41</v>
      </c>
      <c r="D1327" s="4" t="s">
        <v>42</v>
      </c>
      <c r="E1327" s="4" t="s">
        <v>25</v>
      </c>
      <c r="F1327" s="4" t="s">
        <v>25</v>
      </c>
      <c r="G1327" s="4" t="s">
        <v>25</v>
      </c>
      <c r="H1327" s="4" t="s">
        <v>35</v>
      </c>
      <c r="I1327" s="5">
        <v>43739</v>
      </c>
      <c r="J1327" s="6">
        <v>18632</v>
      </c>
      <c r="K1327" s="6">
        <v>18632</v>
      </c>
      <c r="L1327" s="6">
        <v>752.452</v>
      </c>
      <c r="M1327" s="6">
        <v>752.452</v>
      </c>
      <c r="N1327" s="6">
        <v>752.452</v>
      </c>
      <c r="O1327" s="6">
        <v>752.452</v>
      </c>
      <c r="P1327" s="6">
        <v>0</v>
      </c>
      <c r="Q1327" s="4" t="s">
        <v>26</v>
      </c>
      <c r="R1327" s="4">
        <v>0</v>
      </c>
      <c r="S1327" s="4" t="s">
        <v>383</v>
      </c>
      <c r="T1327" s="4" t="s">
        <v>737</v>
      </c>
      <c r="U1327" s="4">
        <v>31</v>
      </c>
      <c r="V1327" s="4">
        <v>33</v>
      </c>
      <c r="W1327" s="4">
        <v>83</v>
      </c>
    </row>
    <row r="1328" spans="1:23" ht="11.25" customHeight="1" x14ac:dyDescent="0.25">
      <c r="A1328" s="4" t="s">
        <v>28</v>
      </c>
      <c r="B1328" s="4" t="s">
        <v>44</v>
      </c>
      <c r="C1328" s="4" t="s">
        <v>41</v>
      </c>
      <c r="D1328" s="4" t="s">
        <v>42</v>
      </c>
      <c r="E1328" s="4" t="s">
        <v>25</v>
      </c>
      <c r="F1328" s="4" t="s">
        <v>25</v>
      </c>
      <c r="G1328" s="4" t="s">
        <v>25</v>
      </c>
      <c r="H1328" s="4" t="s">
        <v>35</v>
      </c>
      <c r="I1328" s="5">
        <v>43739</v>
      </c>
      <c r="J1328" s="6">
        <v>1310</v>
      </c>
      <c r="K1328" s="6">
        <v>1310</v>
      </c>
      <c r="L1328" s="6">
        <v>0</v>
      </c>
      <c r="M1328" s="6">
        <v>0</v>
      </c>
      <c r="N1328" s="6">
        <v>0</v>
      </c>
      <c r="O1328" s="6">
        <v>0</v>
      </c>
      <c r="P1328" s="6">
        <v>0</v>
      </c>
      <c r="Q1328" s="4" t="s">
        <v>26</v>
      </c>
      <c r="R1328" s="4">
        <v>0</v>
      </c>
      <c r="S1328" s="4" t="s">
        <v>383</v>
      </c>
      <c r="T1328" s="4" t="s">
        <v>737</v>
      </c>
      <c r="U1328" s="4">
        <v>31</v>
      </c>
      <c r="V1328" s="4">
        <v>0</v>
      </c>
      <c r="W1328" s="4">
        <v>0</v>
      </c>
    </row>
    <row r="1329" spans="1:23" ht="11.25" customHeight="1" x14ac:dyDescent="0.25">
      <c r="A1329" s="4" t="s">
        <v>21</v>
      </c>
      <c r="B1329" s="4" t="s">
        <v>44</v>
      </c>
      <c r="C1329" s="4" t="s">
        <v>41</v>
      </c>
      <c r="D1329" s="4" t="s">
        <v>42</v>
      </c>
      <c r="E1329" s="4" t="s">
        <v>25</v>
      </c>
      <c r="F1329" s="4" t="s">
        <v>25</v>
      </c>
      <c r="G1329" s="4" t="s">
        <v>25</v>
      </c>
      <c r="H1329" s="4" t="s">
        <v>35</v>
      </c>
      <c r="I1329" s="5">
        <v>43770</v>
      </c>
      <c r="J1329" s="6">
        <v>18136</v>
      </c>
      <c r="K1329" s="6">
        <v>18136</v>
      </c>
      <c r="L1329" s="6">
        <v>771.55700000000002</v>
      </c>
      <c r="M1329" s="6">
        <v>771.55700000000002</v>
      </c>
      <c r="N1329" s="6">
        <v>771.55700000000002</v>
      </c>
      <c r="O1329" s="6">
        <v>771.55700000000002</v>
      </c>
      <c r="P1329" s="6">
        <v>0</v>
      </c>
      <c r="Q1329" s="4" t="s">
        <v>26</v>
      </c>
      <c r="R1329" s="4">
        <v>0</v>
      </c>
      <c r="S1329" s="4" t="s">
        <v>384</v>
      </c>
      <c r="T1329" s="4" t="s">
        <v>738</v>
      </c>
      <c r="U1329" s="4">
        <v>31</v>
      </c>
      <c r="V1329" s="4">
        <v>33</v>
      </c>
      <c r="W1329" s="4">
        <v>83</v>
      </c>
    </row>
    <row r="1330" spans="1:23" ht="11.25" customHeight="1" x14ac:dyDescent="0.25">
      <c r="A1330" s="4" t="s">
        <v>27</v>
      </c>
      <c r="B1330" s="4" t="s">
        <v>44</v>
      </c>
      <c r="C1330" s="4" t="s">
        <v>41</v>
      </c>
      <c r="D1330" s="4" t="s">
        <v>42</v>
      </c>
      <c r="E1330" s="4" t="s">
        <v>25</v>
      </c>
      <c r="F1330" s="4" t="s">
        <v>25</v>
      </c>
      <c r="G1330" s="4" t="s">
        <v>25</v>
      </c>
      <c r="H1330" s="4" t="s">
        <v>35</v>
      </c>
      <c r="I1330" s="5">
        <v>43770</v>
      </c>
      <c r="J1330" s="6">
        <v>607</v>
      </c>
      <c r="K1330" s="6">
        <v>607</v>
      </c>
      <c r="L1330" s="6">
        <v>28.259</v>
      </c>
      <c r="M1330" s="6">
        <v>28.259</v>
      </c>
      <c r="N1330" s="6">
        <v>28.259</v>
      </c>
      <c r="O1330" s="6">
        <v>28.259</v>
      </c>
      <c r="P1330" s="6">
        <v>0</v>
      </c>
      <c r="Q1330" s="4" t="s">
        <v>26</v>
      </c>
      <c r="R1330" s="4">
        <v>0</v>
      </c>
      <c r="S1330" s="4" t="s">
        <v>384</v>
      </c>
      <c r="T1330" s="4" t="s">
        <v>738</v>
      </c>
      <c r="U1330" s="4">
        <v>31</v>
      </c>
      <c r="V1330" s="4">
        <v>33</v>
      </c>
      <c r="W1330" s="4">
        <v>83</v>
      </c>
    </row>
    <row r="1331" spans="1:23" ht="11.25" customHeight="1" x14ac:dyDescent="0.25">
      <c r="A1331" s="4" t="s">
        <v>28</v>
      </c>
      <c r="B1331" s="4" t="s">
        <v>44</v>
      </c>
      <c r="C1331" s="4" t="s">
        <v>41</v>
      </c>
      <c r="D1331" s="4" t="s">
        <v>42</v>
      </c>
      <c r="E1331" s="4" t="s">
        <v>25</v>
      </c>
      <c r="F1331" s="4" t="s">
        <v>25</v>
      </c>
      <c r="G1331" s="4" t="s">
        <v>25</v>
      </c>
      <c r="H1331" s="4" t="s">
        <v>35</v>
      </c>
      <c r="I1331" s="5">
        <v>43770</v>
      </c>
      <c r="J1331" s="6">
        <v>1310</v>
      </c>
      <c r="K1331" s="6">
        <v>1310</v>
      </c>
      <c r="L1331" s="6">
        <v>74.388999999999996</v>
      </c>
      <c r="M1331" s="6">
        <v>74.388999999999996</v>
      </c>
      <c r="N1331" s="6">
        <v>74.388999999999996</v>
      </c>
      <c r="O1331" s="6">
        <v>74.388999999999996</v>
      </c>
      <c r="P1331" s="6">
        <v>0</v>
      </c>
      <c r="Q1331" s="4" t="s">
        <v>26</v>
      </c>
      <c r="R1331" s="4">
        <v>0</v>
      </c>
      <c r="S1331" s="4" t="s">
        <v>384</v>
      </c>
      <c r="T1331" s="4" t="s">
        <v>738</v>
      </c>
      <c r="U1331" s="4">
        <v>31</v>
      </c>
      <c r="V1331" s="4">
        <v>33</v>
      </c>
      <c r="W1331" s="4">
        <v>83</v>
      </c>
    </row>
    <row r="1332" spans="1:23" ht="11.25" customHeight="1" x14ac:dyDescent="0.25">
      <c r="A1332" s="4" t="s">
        <v>21</v>
      </c>
      <c r="B1332" s="4" t="s">
        <v>44</v>
      </c>
      <c r="C1332" s="4" t="s">
        <v>41</v>
      </c>
      <c r="D1332" s="4" t="s">
        <v>42</v>
      </c>
      <c r="E1332" s="4" t="s">
        <v>25</v>
      </c>
      <c r="F1332" s="4" t="s">
        <v>25</v>
      </c>
      <c r="G1332" s="4" t="s">
        <v>25</v>
      </c>
      <c r="H1332" s="4" t="s">
        <v>35</v>
      </c>
      <c r="I1332" s="5">
        <v>43800</v>
      </c>
      <c r="J1332" s="6">
        <v>17509</v>
      </c>
      <c r="K1332" s="6">
        <v>17509</v>
      </c>
      <c r="L1332" s="6">
        <v>713.423</v>
      </c>
      <c r="M1332" s="6">
        <v>713.423</v>
      </c>
      <c r="N1332" s="6">
        <v>713.423</v>
      </c>
      <c r="O1332" s="6">
        <v>713.423</v>
      </c>
      <c r="P1332" s="6">
        <v>0</v>
      </c>
      <c r="Q1332" s="4" t="s">
        <v>26</v>
      </c>
      <c r="R1332" s="4">
        <v>0</v>
      </c>
      <c r="S1332" s="4" t="s">
        <v>385</v>
      </c>
      <c r="T1332" s="4" t="s">
        <v>739</v>
      </c>
      <c r="U1332" s="4">
        <v>31</v>
      </c>
      <c r="V1332" s="4">
        <v>33</v>
      </c>
      <c r="W1332" s="4">
        <v>83</v>
      </c>
    </row>
    <row r="1333" spans="1:23" ht="11.25" customHeight="1" x14ac:dyDescent="0.25">
      <c r="A1333" s="4" t="s">
        <v>27</v>
      </c>
      <c r="B1333" s="4" t="s">
        <v>44</v>
      </c>
      <c r="C1333" s="4" t="s">
        <v>41</v>
      </c>
      <c r="D1333" s="4" t="s">
        <v>42</v>
      </c>
      <c r="E1333" s="4" t="s">
        <v>25</v>
      </c>
      <c r="F1333" s="4" t="s">
        <v>25</v>
      </c>
      <c r="G1333" s="4" t="s">
        <v>25</v>
      </c>
      <c r="H1333" s="4" t="s">
        <v>35</v>
      </c>
      <c r="I1333" s="5">
        <v>43800</v>
      </c>
      <c r="J1333" s="6">
        <v>664</v>
      </c>
      <c r="K1333" s="6">
        <v>664</v>
      </c>
      <c r="L1333" s="6">
        <v>29.344000000000001</v>
      </c>
      <c r="M1333" s="6">
        <v>29.344000000000001</v>
      </c>
      <c r="N1333" s="6">
        <v>29.344000000000001</v>
      </c>
      <c r="O1333" s="6">
        <v>29.344000000000001</v>
      </c>
      <c r="P1333" s="6">
        <v>0</v>
      </c>
      <c r="Q1333" s="4" t="s">
        <v>26</v>
      </c>
      <c r="R1333" s="4">
        <v>0</v>
      </c>
      <c r="S1333" s="4" t="s">
        <v>385</v>
      </c>
      <c r="T1333" s="4" t="s">
        <v>739</v>
      </c>
      <c r="U1333" s="4">
        <v>31</v>
      </c>
      <c r="V1333" s="4">
        <v>33</v>
      </c>
      <c r="W1333" s="4">
        <v>83</v>
      </c>
    </row>
    <row r="1334" spans="1:23" ht="11.25" customHeight="1" x14ac:dyDescent="0.25">
      <c r="A1334" s="4" t="s">
        <v>28</v>
      </c>
      <c r="B1334" s="4" t="s">
        <v>44</v>
      </c>
      <c r="C1334" s="4" t="s">
        <v>41</v>
      </c>
      <c r="D1334" s="4" t="s">
        <v>42</v>
      </c>
      <c r="E1334" s="4" t="s">
        <v>25</v>
      </c>
      <c r="F1334" s="4" t="s">
        <v>25</v>
      </c>
      <c r="G1334" s="4" t="s">
        <v>25</v>
      </c>
      <c r="H1334" s="4" t="s">
        <v>35</v>
      </c>
      <c r="I1334" s="5">
        <v>43800</v>
      </c>
      <c r="J1334" s="6">
        <v>710</v>
      </c>
      <c r="K1334" s="6">
        <v>710</v>
      </c>
      <c r="L1334" s="6">
        <v>31.387</v>
      </c>
      <c r="M1334" s="6">
        <v>31.387</v>
      </c>
      <c r="N1334" s="6">
        <v>31.387</v>
      </c>
      <c r="O1334" s="6">
        <v>31.387</v>
      </c>
      <c r="P1334" s="6">
        <v>0</v>
      </c>
      <c r="Q1334" s="4" t="s">
        <v>26</v>
      </c>
      <c r="R1334" s="4">
        <v>0</v>
      </c>
      <c r="S1334" s="4" t="s">
        <v>385</v>
      </c>
      <c r="T1334" s="4" t="s">
        <v>739</v>
      </c>
      <c r="U1334" s="4">
        <v>31</v>
      </c>
      <c r="V1334" s="4">
        <v>33</v>
      </c>
      <c r="W1334" s="4">
        <v>83</v>
      </c>
    </row>
    <row r="1335" spans="1:23" ht="11.25" customHeight="1" x14ac:dyDescent="0.25">
      <c r="A1335" s="4" t="s">
        <v>21</v>
      </c>
      <c r="B1335" s="4" t="s">
        <v>44</v>
      </c>
      <c r="C1335" s="4" t="s">
        <v>41</v>
      </c>
      <c r="D1335" s="4" t="s">
        <v>42</v>
      </c>
      <c r="E1335" s="4" t="s">
        <v>25</v>
      </c>
      <c r="F1335" s="4" t="s">
        <v>25</v>
      </c>
      <c r="G1335" s="4" t="s">
        <v>25</v>
      </c>
      <c r="H1335" s="4" t="s">
        <v>35</v>
      </c>
      <c r="I1335" s="5">
        <v>43831</v>
      </c>
      <c r="J1335" s="6">
        <v>17526</v>
      </c>
      <c r="K1335" s="6">
        <v>17526</v>
      </c>
      <c r="L1335" s="6">
        <v>699.71299999999997</v>
      </c>
      <c r="M1335" s="6">
        <v>699.71299999999997</v>
      </c>
      <c r="N1335" s="6">
        <v>699.71299999999997</v>
      </c>
      <c r="O1335" s="6">
        <v>699.71299999999997</v>
      </c>
      <c r="P1335" s="6">
        <v>0</v>
      </c>
      <c r="Q1335" s="4" t="s">
        <v>26</v>
      </c>
      <c r="R1335" s="4">
        <v>0</v>
      </c>
      <c r="S1335" s="4" t="s">
        <v>386</v>
      </c>
      <c r="T1335" s="4" t="s">
        <v>740</v>
      </c>
      <c r="U1335" s="4">
        <v>31</v>
      </c>
      <c r="V1335" s="4">
        <v>33</v>
      </c>
      <c r="W1335" s="4">
        <v>83</v>
      </c>
    </row>
    <row r="1336" spans="1:23" ht="11.25" customHeight="1" x14ac:dyDescent="0.25">
      <c r="A1336" s="4" t="s">
        <v>27</v>
      </c>
      <c r="B1336" s="4" t="s">
        <v>44</v>
      </c>
      <c r="C1336" s="4" t="s">
        <v>41</v>
      </c>
      <c r="D1336" s="4" t="s">
        <v>42</v>
      </c>
      <c r="E1336" s="4" t="s">
        <v>25</v>
      </c>
      <c r="F1336" s="4" t="s">
        <v>25</v>
      </c>
      <c r="G1336" s="4" t="s">
        <v>25</v>
      </c>
      <c r="H1336" s="4" t="s">
        <v>35</v>
      </c>
      <c r="I1336" s="5">
        <v>43831</v>
      </c>
      <c r="J1336" s="6">
        <v>74</v>
      </c>
      <c r="K1336" s="6">
        <v>74</v>
      </c>
      <c r="L1336" s="6">
        <v>3.4929999999999999</v>
      </c>
      <c r="M1336" s="6">
        <v>3.4929999999999999</v>
      </c>
      <c r="N1336" s="6">
        <v>3.4929999999999999</v>
      </c>
      <c r="O1336" s="6">
        <v>3.4929999999999999</v>
      </c>
      <c r="P1336" s="6">
        <v>0</v>
      </c>
      <c r="Q1336" s="4" t="s">
        <v>26</v>
      </c>
      <c r="R1336" s="4">
        <v>0</v>
      </c>
      <c r="S1336" s="4" t="s">
        <v>386</v>
      </c>
      <c r="T1336" s="4" t="s">
        <v>740</v>
      </c>
      <c r="U1336" s="4">
        <v>31</v>
      </c>
      <c r="V1336" s="4">
        <v>33</v>
      </c>
      <c r="W1336" s="4">
        <v>83</v>
      </c>
    </row>
    <row r="1337" spans="1:23" ht="11.25" customHeight="1" x14ac:dyDescent="0.25">
      <c r="A1337" s="4" t="s">
        <v>28</v>
      </c>
      <c r="B1337" s="4" t="s">
        <v>44</v>
      </c>
      <c r="C1337" s="4" t="s">
        <v>41</v>
      </c>
      <c r="D1337" s="4" t="s">
        <v>42</v>
      </c>
      <c r="E1337" s="4" t="s">
        <v>25</v>
      </c>
      <c r="F1337" s="4" t="s">
        <v>25</v>
      </c>
      <c r="G1337" s="4" t="s">
        <v>25</v>
      </c>
      <c r="H1337" s="4" t="s">
        <v>35</v>
      </c>
      <c r="I1337" s="5">
        <v>43831</v>
      </c>
      <c r="J1337" s="6">
        <v>710</v>
      </c>
      <c r="K1337" s="6">
        <v>710</v>
      </c>
      <c r="L1337" s="6">
        <v>32.384999999999998</v>
      </c>
      <c r="M1337" s="6">
        <v>32.384999999999998</v>
      </c>
      <c r="N1337" s="6">
        <v>32.384999999999998</v>
      </c>
      <c r="O1337" s="6">
        <v>32.384999999999998</v>
      </c>
      <c r="P1337" s="6">
        <v>0</v>
      </c>
      <c r="Q1337" s="4" t="s">
        <v>26</v>
      </c>
      <c r="R1337" s="4">
        <v>0</v>
      </c>
      <c r="S1337" s="4" t="s">
        <v>386</v>
      </c>
      <c r="T1337" s="4" t="s">
        <v>740</v>
      </c>
      <c r="U1337" s="4">
        <v>31</v>
      </c>
      <c r="V1337" s="4">
        <v>33</v>
      </c>
      <c r="W1337" s="4">
        <v>83</v>
      </c>
    </row>
    <row r="1338" spans="1:23" ht="11.25" customHeight="1" x14ac:dyDescent="0.25">
      <c r="A1338" s="4" t="s">
        <v>21</v>
      </c>
      <c r="B1338" s="4" t="s">
        <v>44</v>
      </c>
      <c r="C1338" s="4" t="s">
        <v>41</v>
      </c>
      <c r="D1338" s="4" t="s">
        <v>42</v>
      </c>
      <c r="E1338" s="4" t="s">
        <v>25</v>
      </c>
      <c r="F1338" s="4" t="s">
        <v>25</v>
      </c>
      <c r="G1338" s="4" t="s">
        <v>25</v>
      </c>
      <c r="H1338" s="4" t="s">
        <v>35</v>
      </c>
      <c r="I1338" s="5">
        <v>43862</v>
      </c>
      <c r="J1338" s="6">
        <v>17751</v>
      </c>
      <c r="K1338" s="6">
        <v>17751</v>
      </c>
      <c r="L1338" s="6">
        <v>754.88599999999997</v>
      </c>
      <c r="M1338" s="6">
        <v>754.88599999999997</v>
      </c>
      <c r="N1338" s="6">
        <v>754.88599999999997</v>
      </c>
      <c r="O1338" s="6">
        <v>754.88599999999997</v>
      </c>
      <c r="P1338" s="6">
        <v>0</v>
      </c>
      <c r="Q1338" s="4" t="s">
        <v>26</v>
      </c>
      <c r="R1338" s="4">
        <v>0</v>
      </c>
      <c r="S1338" s="4" t="s">
        <v>387</v>
      </c>
      <c r="T1338" s="4" t="s">
        <v>741</v>
      </c>
      <c r="U1338" s="4">
        <v>31</v>
      </c>
      <c r="V1338" s="4">
        <v>33</v>
      </c>
      <c r="W1338" s="4">
        <v>83</v>
      </c>
    </row>
    <row r="1339" spans="1:23" ht="11.25" customHeight="1" x14ac:dyDescent="0.25">
      <c r="A1339" s="4" t="s">
        <v>27</v>
      </c>
      <c r="B1339" s="4" t="s">
        <v>44</v>
      </c>
      <c r="C1339" s="4" t="s">
        <v>41</v>
      </c>
      <c r="D1339" s="4" t="s">
        <v>42</v>
      </c>
      <c r="E1339" s="4" t="s">
        <v>25</v>
      </c>
      <c r="F1339" s="4" t="s">
        <v>25</v>
      </c>
      <c r="G1339" s="4" t="s">
        <v>25</v>
      </c>
      <c r="H1339" s="4" t="s">
        <v>35</v>
      </c>
      <c r="I1339" s="5">
        <v>43862</v>
      </c>
      <c r="J1339" s="6">
        <v>494</v>
      </c>
      <c r="K1339" s="6">
        <v>494</v>
      </c>
      <c r="L1339" s="6">
        <v>9.2070000000000007</v>
      </c>
      <c r="M1339" s="6">
        <v>9.2070000000000007</v>
      </c>
      <c r="N1339" s="6">
        <v>9.2070000000000007</v>
      </c>
      <c r="O1339" s="6">
        <v>9.2070000000000007</v>
      </c>
      <c r="P1339" s="6">
        <v>0</v>
      </c>
      <c r="Q1339" s="4" t="s">
        <v>26</v>
      </c>
      <c r="R1339" s="4">
        <v>0</v>
      </c>
      <c r="S1339" s="4" t="s">
        <v>387</v>
      </c>
      <c r="T1339" s="4" t="s">
        <v>741</v>
      </c>
      <c r="U1339" s="4">
        <v>31</v>
      </c>
      <c r="V1339" s="4">
        <v>33</v>
      </c>
      <c r="W1339" s="4">
        <v>83</v>
      </c>
    </row>
    <row r="1340" spans="1:23" ht="11.25" customHeight="1" x14ac:dyDescent="0.25">
      <c r="A1340" s="4" t="s">
        <v>28</v>
      </c>
      <c r="B1340" s="4" t="s">
        <v>44</v>
      </c>
      <c r="C1340" s="4" t="s">
        <v>41</v>
      </c>
      <c r="D1340" s="4" t="s">
        <v>42</v>
      </c>
      <c r="E1340" s="4" t="s">
        <v>25</v>
      </c>
      <c r="F1340" s="4" t="s">
        <v>25</v>
      </c>
      <c r="G1340" s="4" t="s">
        <v>25</v>
      </c>
      <c r="H1340" s="4" t="s">
        <v>35</v>
      </c>
      <c r="I1340" s="5">
        <v>43862</v>
      </c>
      <c r="J1340" s="6">
        <v>2560</v>
      </c>
      <c r="K1340" s="6">
        <v>2560</v>
      </c>
      <c r="L1340" s="6">
        <v>115.271</v>
      </c>
      <c r="M1340" s="6">
        <v>115.271</v>
      </c>
      <c r="N1340" s="6">
        <v>115.271</v>
      </c>
      <c r="O1340" s="6">
        <v>115.271</v>
      </c>
      <c r="P1340" s="6">
        <v>0</v>
      </c>
      <c r="Q1340" s="4" t="s">
        <v>26</v>
      </c>
      <c r="R1340" s="4">
        <v>0</v>
      </c>
      <c r="S1340" s="4" t="s">
        <v>387</v>
      </c>
      <c r="T1340" s="4" t="s">
        <v>741</v>
      </c>
      <c r="U1340" s="4">
        <v>31</v>
      </c>
      <c r="V1340" s="4">
        <v>33</v>
      </c>
      <c r="W1340" s="4">
        <v>83</v>
      </c>
    </row>
    <row r="1341" spans="1:23" ht="11.25" customHeight="1" x14ac:dyDescent="0.25">
      <c r="A1341" s="4" t="s">
        <v>21</v>
      </c>
      <c r="B1341" s="4" t="s">
        <v>44</v>
      </c>
      <c r="C1341" s="4" t="s">
        <v>41</v>
      </c>
      <c r="D1341" s="4" t="s">
        <v>42</v>
      </c>
      <c r="E1341" s="4" t="s">
        <v>25</v>
      </c>
      <c r="F1341" s="4" t="s">
        <v>25</v>
      </c>
      <c r="G1341" s="4" t="s">
        <v>25</v>
      </c>
      <c r="H1341" s="4" t="s">
        <v>35</v>
      </c>
      <c r="I1341" s="5">
        <v>43891</v>
      </c>
      <c r="J1341" s="6">
        <v>17014</v>
      </c>
      <c r="K1341" s="6">
        <v>17014</v>
      </c>
      <c r="L1341" s="6">
        <v>687.51400000000001</v>
      </c>
      <c r="M1341" s="6">
        <v>687.51400000000001</v>
      </c>
      <c r="N1341" s="6">
        <v>687.51400000000001</v>
      </c>
      <c r="O1341" s="6">
        <v>687.51400000000001</v>
      </c>
      <c r="P1341" s="6">
        <v>0</v>
      </c>
      <c r="Q1341" s="4" t="s">
        <v>26</v>
      </c>
      <c r="R1341" s="4">
        <v>0</v>
      </c>
      <c r="S1341" s="4" t="s">
        <v>388</v>
      </c>
      <c r="T1341" s="4" t="s">
        <v>742</v>
      </c>
      <c r="U1341" s="4">
        <v>31</v>
      </c>
      <c r="V1341" s="4">
        <v>33</v>
      </c>
      <c r="W1341" s="4">
        <v>83</v>
      </c>
    </row>
    <row r="1342" spans="1:23" ht="11.25" customHeight="1" x14ac:dyDescent="0.25">
      <c r="A1342" s="4" t="s">
        <v>27</v>
      </c>
      <c r="B1342" s="4" t="s">
        <v>44</v>
      </c>
      <c r="C1342" s="4" t="s">
        <v>41</v>
      </c>
      <c r="D1342" s="4" t="s">
        <v>42</v>
      </c>
      <c r="E1342" s="4" t="s">
        <v>25</v>
      </c>
      <c r="F1342" s="4" t="s">
        <v>25</v>
      </c>
      <c r="G1342" s="4" t="s">
        <v>25</v>
      </c>
      <c r="H1342" s="4" t="s">
        <v>35</v>
      </c>
      <c r="I1342" s="5">
        <v>43891</v>
      </c>
      <c r="J1342" s="6">
        <v>155</v>
      </c>
      <c r="K1342" s="6">
        <v>155</v>
      </c>
      <c r="L1342" s="6">
        <v>6.7510000000000003</v>
      </c>
      <c r="M1342" s="6">
        <v>6.7510000000000003</v>
      </c>
      <c r="N1342" s="6">
        <v>6.7510000000000003</v>
      </c>
      <c r="O1342" s="6">
        <v>6.7510000000000003</v>
      </c>
      <c r="P1342" s="6">
        <v>0</v>
      </c>
      <c r="Q1342" s="4" t="s">
        <v>26</v>
      </c>
      <c r="R1342" s="4">
        <v>0</v>
      </c>
      <c r="S1342" s="4" t="s">
        <v>388</v>
      </c>
      <c r="T1342" s="4" t="s">
        <v>742</v>
      </c>
      <c r="U1342" s="4">
        <v>31</v>
      </c>
      <c r="V1342" s="4">
        <v>33</v>
      </c>
      <c r="W1342" s="4">
        <v>83</v>
      </c>
    </row>
    <row r="1343" spans="1:23" ht="11.25" customHeight="1" x14ac:dyDescent="0.25">
      <c r="A1343" s="4" t="s">
        <v>28</v>
      </c>
      <c r="B1343" s="4" t="s">
        <v>44</v>
      </c>
      <c r="C1343" s="4" t="s">
        <v>41</v>
      </c>
      <c r="D1343" s="4" t="s">
        <v>42</v>
      </c>
      <c r="E1343" s="4" t="s">
        <v>25</v>
      </c>
      <c r="F1343" s="4" t="s">
        <v>25</v>
      </c>
      <c r="G1343" s="4" t="s">
        <v>25</v>
      </c>
      <c r="H1343" s="4" t="s">
        <v>35</v>
      </c>
      <c r="I1343" s="5">
        <v>43891</v>
      </c>
      <c r="J1343" s="6">
        <v>710</v>
      </c>
      <c r="K1343" s="6">
        <v>710</v>
      </c>
      <c r="L1343" s="6">
        <v>27.914000000000001</v>
      </c>
      <c r="M1343" s="6">
        <v>27.914000000000001</v>
      </c>
      <c r="N1343" s="6">
        <v>27.914000000000001</v>
      </c>
      <c r="O1343" s="6">
        <v>27.914000000000001</v>
      </c>
      <c r="P1343" s="6">
        <v>0</v>
      </c>
      <c r="Q1343" s="4" t="s">
        <v>26</v>
      </c>
      <c r="R1343" s="4">
        <v>0</v>
      </c>
      <c r="S1343" s="4" t="s">
        <v>388</v>
      </c>
      <c r="T1343" s="4" t="s">
        <v>742</v>
      </c>
      <c r="U1343" s="4">
        <v>31</v>
      </c>
      <c r="V1343" s="4">
        <v>33</v>
      </c>
      <c r="W1343" s="4">
        <v>83</v>
      </c>
    </row>
    <row r="1344" spans="1:23" ht="11.25" customHeight="1" x14ac:dyDescent="0.25">
      <c r="A1344" s="4" t="s">
        <v>21</v>
      </c>
      <c r="B1344" s="4" t="s">
        <v>44</v>
      </c>
      <c r="C1344" s="4" t="s">
        <v>41</v>
      </c>
      <c r="D1344" s="4" t="s">
        <v>42</v>
      </c>
      <c r="E1344" s="4" t="s">
        <v>25</v>
      </c>
      <c r="F1344" s="4" t="s">
        <v>25</v>
      </c>
      <c r="G1344" s="4" t="s">
        <v>25</v>
      </c>
      <c r="H1344" s="4" t="s">
        <v>35</v>
      </c>
      <c r="I1344" s="5">
        <v>43922</v>
      </c>
      <c r="J1344" s="6">
        <v>16631</v>
      </c>
      <c r="K1344" s="6">
        <v>16631</v>
      </c>
      <c r="L1344" s="6">
        <v>712.28700000000003</v>
      </c>
      <c r="M1344" s="6">
        <v>712.28700000000003</v>
      </c>
      <c r="N1344" s="6">
        <v>712.28700000000003</v>
      </c>
      <c r="O1344" s="6">
        <v>712.28700000000003</v>
      </c>
      <c r="P1344" s="6">
        <v>0</v>
      </c>
      <c r="Q1344" s="4" t="s">
        <v>26</v>
      </c>
      <c r="R1344" s="4">
        <v>0</v>
      </c>
      <c r="S1344" s="4" t="s">
        <v>389</v>
      </c>
      <c r="T1344" s="4" t="s">
        <v>743</v>
      </c>
      <c r="U1344" s="4">
        <v>31</v>
      </c>
      <c r="V1344" s="4">
        <v>33</v>
      </c>
      <c r="W1344" s="4">
        <v>83</v>
      </c>
    </row>
    <row r="1345" spans="1:23" ht="11.25" customHeight="1" x14ac:dyDescent="0.25">
      <c r="A1345" s="4" t="s">
        <v>27</v>
      </c>
      <c r="B1345" s="4" t="s">
        <v>44</v>
      </c>
      <c r="C1345" s="4" t="s">
        <v>41</v>
      </c>
      <c r="D1345" s="4" t="s">
        <v>42</v>
      </c>
      <c r="E1345" s="4" t="s">
        <v>25</v>
      </c>
      <c r="F1345" s="4" t="s">
        <v>25</v>
      </c>
      <c r="G1345" s="4" t="s">
        <v>25</v>
      </c>
      <c r="H1345" s="4" t="s">
        <v>35</v>
      </c>
      <c r="I1345" s="5">
        <v>43922</v>
      </c>
      <c r="J1345" s="6">
        <v>380</v>
      </c>
      <c r="K1345" s="6">
        <v>380</v>
      </c>
      <c r="L1345" s="6">
        <v>4.3890000000000002</v>
      </c>
      <c r="M1345" s="6">
        <v>4.3890000000000002</v>
      </c>
      <c r="N1345" s="6">
        <v>4.3890000000000002</v>
      </c>
      <c r="O1345" s="6">
        <v>4.3890000000000002</v>
      </c>
      <c r="P1345" s="6">
        <v>0</v>
      </c>
      <c r="Q1345" s="4" t="s">
        <v>26</v>
      </c>
      <c r="R1345" s="4">
        <v>0</v>
      </c>
      <c r="S1345" s="4" t="s">
        <v>389</v>
      </c>
      <c r="T1345" s="4" t="s">
        <v>743</v>
      </c>
      <c r="U1345" s="4">
        <v>31</v>
      </c>
      <c r="V1345" s="4">
        <v>33</v>
      </c>
      <c r="W1345" s="4">
        <v>83</v>
      </c>
    </row>
    <row r="1346" spans="1:23" ht="11.25" customHeight="1" x14ac:dyDescent="0.25">
      <c r="A1346" s="4" t="s">
        <v>28</v>
      </c>
      <c r="B1346" s="4" t="s">
        <v>44</v>
      </c>
      <c r="C1346" s="4" t="s">
        <v>41</v>
      </c>
      <c r="D1346" s="4" t="s">
        <v>42</v>
      </c>
      <c r="E1346" s="4" t="s">
        <v>25</v>
      </c>
      <c r="F1346" s="4" t="s">
        <v>25</v>
      </c>
      <c r="G1346" s="4" t="s">
        <v>25</v>
      </c>
      <c r="H1346" s="4" t="s">
        <v>35</v>
      </c>
      <c r="I1346" s="5">
        <v>43922</v>
      </c>
      <c r="J1346" s="6">
        <v>710</v>
      </c>
      <c r="K1346" s="6">
        <v>710</v>
      </c>
      <c r="L1346" s="6">
        <v>30.844000000000001</v>
      </c>
      <c r="M1346" s="6">
        <v>30.844000000000001</v>
      </c>
      <c r="N1346" s="6">
        <v>30.844000000000001</v>
      </c>
      <c r="O1346" s="6">
        <v>30.844000000000001</v>
      </c>
      <c r="P1346" s="6">
        <v>0</v>
      </c>
      <c r="Q1346" s="4" t="s">
        <v>26</v>
      </c>
      <c r="R1346" s="4">
        <v>0</v>
      </c>
      <c r="S1346" s="4" t="s">
        <v>389</v>
      </c>
      <c r="T1346" s="4" t="s">
        <v>743</v>
      </c>
      <c r="U1346" s="4">
        <v>31</v>
      </c>
      <c r="V1346" s="4">
        <v>33</v>
      </c>
      <c r="W1346" s="4">
        <v>83</v>
      </c>
    </row>
    <row r="1347" spans="1:23" ht="11.25" customHeight="1" x14ac:dyDescent="0.25">
      <c r="A1347" s="4" t="s">
        <v>21</v>
      </c>
      <c r="B1347" s="4" t="s">
        <v>44</v>
      </c>
      <c r="C1347" s="4" t="s">
        <v>41</v>
      </c>
      <c r="D1347" s="4" t="s">
        <v>42</v>
      </c>
      <c r="E1347" s="4" t="s">
        <v>25</v>
      </c>
      <c r="F1347" s="4" t="s">
        <v>25</v>
      </c>
      <c r="G1347" s="4" t="s">
        <v>25</v>
      </c>
      <c r="H1347" s="4" t="s">
        <v>35</v>
      </c>
      <c r="I1347" s="5">
        <v>43952</v>
      </c>
      <c r="J1347" s="6">
        <v>16277</v>
      </c>
      <c r="K1347" s="6">
        <v>16277</v>
      </c>
      <c r="L1347" s="6">
        <v>592.00300000000004</v>
      </c>
      <c r="M1347" s="6">
        <v>592.00300000000004</v>
      </c>
      <c r="N1347" s="6">
        <v>592.00300000000004</v>
      </c>
      <c r="O1347" s="6">
        <v>592.00300000000004</v>
      </c>
      <c r="P1347" s="6">
        <v>0</v>
      </c>
      <c r="Q1347" s="4" t="s">
        <v>26</v>
      </c>
      <c r="R1347" s="4">
        <v>0</v>
      </c>
      <c r="S1347" s="4" t="s">
        <v>390</v>
      </c>
      <c r="T1347" s="4" t="s">
        <v>744</v>
      </c>
      <c r="U1347" s="4">
        <v>31</v>
      </c>
      <c r="V1347" s="4">
        <v>33</v>
      </c>
      <c r="W1347" s="4">
        <v>83</v>
      </c>
    </row>
    <row r="1348" spans="1:23" ht="11.25" customHeight="1" x14ac:dyDescent="0.25">
      <c r="A1348" s="4" t="s">
        <v>27</v>
      </c>
      <c r="B1348" s="4" t="s">
        <v>44</v>
      </c>
      <c r="C1348" s="4" t="s">
        <v>41</v>
      </c>
      <c r="D1348" s="4" t="s">
        <v>42</v>
      </c>
      <c r="E1348" s="4" t="s">
        <v>25</v>
      </c>
      <c r="F1348" s="4" t="s">
        <v>25</v>
      </c>
      <c r="G1348" s="4" t="s">
        <v>25</v>
      </c>
      <c r="H1348" s="4" t="s">
        <v>35</v>
      </c>
      <c r="I1348" s="5">
        <v>43952</v>
      </c>
      <c r="J1348" s="6">
        <v>380</v>
      </c>
      <c r="K1348" s="6">
        <v>380</v>
      </c>
      <c r="L1348" s="6">
        <v>3.331</v>
      </c>
      <c r="M1348" s="6">
        <v>3.331</v>
      </c>
      <c r="N1348" s="6">
        <v>3.331</v>
      </c>
      <c r="O1348" s="6">
        <v>3.331</v>
      </c>
      <c r="P1348" s="6">
        <v>0</v>
      </c>
      <c r="Q1348" s="4" t="s">
        <v>26</v>
      </c>
      <c r="R1348" s="4">
        <v>0</v>
      </c>
      <c r="S1348" s="4" t="s">
        <v>390</v>
      </c>
      <c r="T1348" s="4" t="s">
        <v>744</v>
      </c>
      <c r="U1348" s="4">
        <v>31</v>
      </c>
      <c r="V1348" s="4">
        <v>33</v>
      </c>
      <c r="W1348" s="4">
        <v>83</v>
      </c>
    </row>
    <row r="1349" spans="1:23" ht="11.25" customHeight="1" x14ac:dyDescent="0.25">
      <c r="A1349" s="4" t="s">
        <v>28</v>
      </c>
      <c r="B1349" s="4" t="s">
        <v>44</v>
      </c>
      <c r="C1349" s="4" t="s">
        <v>41</v>
      </c>
      <c r="D1349" s="4" t="s">
        <v>42</v>
      </c>
      <c r="E1349" s="4" t="s">
        <v>25</v>
      </c>
      <c r="F1349" s="4" t="s">
        <v>25</v>
      </c>
      <c r="G1349" s="4" t="s">
        <v>25</v>
      </c>
      <c r="H1349" s="4" t="s">
        <v>35</v>
      </c>
      <c r="I1349" s="5">
        <v>43952</v>
      </c>
      <c r="J1349" s="6">
        <v>2560</v>
      </c>
      <c r="K1349" s="6">
        <v>2560</v>
      </c>
      <c r="L1349" s="6">
        <v>83.488</v>
      </c>
      <c r="M1349" s="6">
        <v>83.488</v>
      </c>
      <c r="N1349" s="6">
        <v>83.488</v>
      </c>
      <c r="O1349" s="6">
        <v>83.488</v>
      </c>
      <c r="P1349" s="6">
        <v>0</v>
      </c>
      <c r="Q1349" s="4" t="s">
        <v>26</v>
      </c>
      <c r="R1349" s="4">
        <v>0</v>
      </c>
      <c r="S1349" s="4" t="s">
        <v>390</v>
      </c>
      <c r="T1349" s="4" t="s">
        <v>744</v>
      </c>
      <c r="U1349" s="4">
        <v>31</v>
      </c>
      <c r="V1349" s="4">
        <v>33</v>
      </c>
      <c r="W1349" s="4">
        <v>83</v>
      </c>
    </row>
    <row r="1350" spans="1:23" ht="11.25" customHeight="1" x14ac:dyDescent="0.25">
      <c r="A1350" s="4" t="s">
        <v>21</v>
      </c>
      <c r="B1350" s="4" t="s">
        <v>44</v>
      </c>
      <c r="C1350" s="4" t="s">
        <v>41</v>
      </c>
      <c r="D1350" s="4" t="s">
        <v>42</v>
      </c>
      <c r="E1350" s="4" t="s">
        <v>25</v>
      </c>
      <c r="F1350" s="4" t="s">
        <v>25</v>
      </c>
      <c r="G1350" s="4" t="s">
        <v>25</v>
      </c>
      <c r="H1350" s="4" t="s">
        <v>35</v>
      </c>
      <c r="I1350" s="5">
        <v>43983</v>
      </c>
      <c r="J1350" s="6">
        <v>17584</v>
      </c>
      <c r="K1350" s="6">
        <v>17584</v>
      </c>
      <c r="L1350" s="6">
        <v>690.60500000000002</v>
      </c>
      <c r="M1350" s="6">
        <v>690.60500000000002</v>
      </c>
      <c r="N1350" s="6">
        <v>690.60500000000002</v>
      </c>
      <c r="O1350" s="6">
        <v>690.60500000000002</v>
      </c>
      <c r="P1350" s="6">
        <v>0</v>
      </c>
      <c r="Q1350" s="4" t="s">
        <v>26</v>
      </c>
      <c r="R1350" s="4">
        <v>0</v>
      </c>
      <c r="S1350" s="4" t="s">
        <v>391</v>
      </c>
      <c r="T1350" s="4" t="s">
        <v>745</v>
      </c>
      <c r="U1350" s="4">
        <v>31</v>
      </c>
      <c r="V1350" s="4">
        <v>33</v>
      </c>
      <c r="W1350" s="4">
        <v>83</v>
      </c>
    </row>
    <row r="1351" spans="1:23" ht="11.25" customHeight="1" x14ac:dyDescent="0.25">
      <c r="A1351" s="4" t="s">
        <v>27</v>
      </c>
      <c r="B1351" s="4" t="s">
        <v>44</v>
      </c>
      <c r="C1351" s="4" t="s">
        <v>41</v>
      </c>
      <c r="D1351" s="4" t="s">
        <v>42</v>
      </c>
      <c r="E1351" s="4" t="s">
        <v>25</v>
      </c>
      <c r="F1351" s="4" t="s">
        <v>25</v>
      </c>
      <c r="G1351" s="4" t="s">
        <v>25</v>
      </c>
      <c r="H1351" s="4" t="s">
        <v>35</v>
      </c>
      <c r="I1351" s="5">
        <v>43983</v>
      </c>
      <c r="J1351" s="6">
        <v>380</v>
      </c>
      <c r="K1351" s="6">
        <v>380</v>
      </c>
      <c r="L1351" s="6">
        <v>3.8620000000000001</v>
      </c>
      <c r="M1351" s="6">
        <v>3.8620000000000001</v>
      </c>
      <c r="N1351" s="6">
        <v>3.8620000000000001</v>
      </c>
      <c r="O1351" s="6">
        <v>3.8620000000000001</v>
      </c>
      <c r="P1351" s="6">
        <v>0</v>
      </c>
      <c r="Q1351" s="4" t="s">
        <v>26</v>
      </c>
      <c r="R1351" s="4">
        <v>0</v>
      </c>
      <c r="S1351" s="4" t="s">
        <v>391</v>
      </c>
      <c r="T1351" s="4" t="s">
        <v>745</v>
      </c>
      <c r="U1351" s="4">
        <v>31</v>
      </c>
      <c r="V1351" s="4">
        <v>33</v>
      </c>
      <c r="W1351" s="4">
        <v>83</v>
      </c>
    </row>
    <row r="1352" spans="1:23" ht="11.25" customHeight="1" x14ac:dyDescent="0.25">
      <c r="A1352" s="4" t="s">
        <v>28</v>
      </c>
      <c r="B1352" s="4" t="s">
        <v>44</v>
      </c>
      <c r="C1352" s="4" t="s">
        <v>41</v>
      </c>
      <c r="D1352" s="4" t="s">
        <v>42</v>
      </c>
      <c r="E1352" s="4" t="s">
        <v>25</v>
      </c>
      <c r="F1352" s="4" t="s">
        <v>25</v>
      </c>
      <c r="G1352" s="4" t="s">
        <v>25</v>
      </c>
      <c r="H1352" s="4" t="s">
        <v>35</v>
      </c>
      <c r="I1352" s="5">
        <v>43983</v>
      </c>
      <c r="J1352" s="6">
        <v>710</v>
      </c>
      <c r="K1352" s="6">
        <v>710</v>
      </c>
      <c r="L1352" s="6">
        <v>20.452999999999999</v>
      </c>
      <c r="M1352" s="6">
        <v>20.452999999999999</v>
      </c>
      <c r="N1352" s="6">
        <v>20.452999999999999</v>
      </c>
      <c r="O1352" s="6">
        <v>20.452999999999999</v>
      </c>
      <c r="P1352" s="6">
        <v>0</v>
      </c>
      <c r="Q1352" s="4" t="s">
        <v>26</v>
      </c>
      <c r="R1352" s="4">
        <v>0</v>
      </c>
      <c r="S1352" s="4" t="s">
        <v>391</v>
      </c>
      <c r="T1352" s="4" t="s">
        <v>745</v>
      </c>
      <c r="U1352" s="4">
        <v>31</v>
      </c>
      <c r="V1352" s="4">
        <v>33</v>
      </c>
      <c r="W1352" s="4">
        <v>83</v>
      </c>
    </row>
    <row r="1353" spans="1:23" ht="11.25" customHeight="1" x14ac:dyDescent="0.25">
      <c r="A1353" s="4" t="s">
        <v>21</v>
      </c>
      <c r="B1353" s="4" t="s">
        <v>44</v>
      </c>
      <c r="C1353" s="4" t="s">
        <v>41</v>
      </c>
      <c r="D1353" s="4" t="s">
        <v>42</v>
      </c>
      <c r="E1353" s="4" t="s">
        <v>25</v>
      </c>
      <c r="F1353" s="4" t="s">
        <v>25</v>
      </c>
      <c r="G1353" s="4" t="s">
        <v>25</v>
      </c>
      <c r="H1353" s="4" t="s">
        <v>35</v>
      </c>
      <c r="I1353" s="5">
        <v>44013</v>
      </c>
      <c r="J1353" s="6">
        <v>17946</v>
      </c>
      <c r="K1353" s="6">
        <v>17946</v>
      </c>
      <c r="L1353" s="6">
        <v>673.86699999999996</v>
      </c>
      <c r="M1353" s="6">
        <v>673.86699999999996</v>
      </c>
      <c r="N1353" s="6">
        <v>673.86699999999996</v>
      </c>
      <c r="O1353" s="6">
        <v>673.86699999999996</v>
      </c>
      <c r="P1353" s="6">
        <v>0</v>
      </c>
      <c r="Q1353" s="4" t="s">
        <v>26</v>
      </c>
      <c r="R1353" s="4">
        <v>0</v>
      </c>
      <c r="S1353" s="4" t="s">
        <v>392</v>
      </c>
      <c r="T1353" s="4" t="s">
        <v>746</v>
      </c>
      <c r="U1353" s="4">
        <v>31</v>
      </c>
      <c r="V1353" s="4">
        <v>33</v>
      </c>
      <c r="W1353" s="4">
        <v>83</v>
      </c>
    </row>
    <row r="1354" spans="1:23" ht="11.25" customHeight="1" x14ac:dyDescent="0.25">
      <c r="A1354" s="4" t="s">
        <v>27</v>
      </c>
      <c r="B1354" s="4" t="s">
        <v>44</v>
      </c>
      <c r="C1354" s="4" t="s">
        <v>41</v>
      </c>
      <c r="D1354" s="4" t="s">
        <v>42</v>
      </c>
      <c r="E1354" s="4" t="s">
        <v>25</v>
      </c>
      <c r="F1354" s="4" t="s">
        <v>25</v>
      </c>
      <c r="G1354" s="4" t="s">
        <v>25</v>
      </c>
      <c r="H1354" s="4" t="s">
        <v>35</v>
      </c>
      <c r="I1354" s="5">
        <v>44013</v>
      </c>
      <c r="J1354" s="6">
        <v>380</v>
      </c>
      <c r="K1354" s="6">
        <v>380</v>
      </c>
      <c r="L1354" s="6">
        <v>3.6469999999999998</v>
      </c>
      <c r="M1354" s="6">
        <v>3.6469999999999998</v>
      </c>
      <c r="N1354" s="6">
        <v>3.6469999999999998</v>
      </c>
      <c r="O1354" s="6">
        <v>3.6469999999999998</v>
      </c>
      <c r="P1354" s="6">
        <v>0</v>
      </c>
      <c r="Q1354" s="4" t="s">
        <v>26</v>
      </c>
      <c r="R1354" s="4">
        <v>0</v>
      </c>
      <c r="S1354" s="4" t="s">
        <v>392</v>
      </c>
      <c r="T1354" s="4" t="s">
        <v>746</v>
      </c>
      <c r="U1354" s="4">
        <v>31</v>
      </c>
      <c r="V1354" s="4">
        <v>33</v>
      </c>
      <c r="W1354" s="4">
        <v>83</v>
      </c>
    </row>
    <row r="1355" spans="1:23" ht="11.25" customHeight="1" x14ac:dyDescent="0.25">
      <c r="A1355" s="4" t="s">
        <v>28</v>
      </c>
      <c r="B1355" s="4" t="s">
        <v>44</v>
      </c>
      <c r="C1355" s="4" t="s">
        <v>41</v>
      </c>
      <c r="D1355" s="4" t="s">
        <v>42</v>
      </c>
      <c r="E1355" s="4" t="s">
        <v>25</v>
      </c>
      <c r="F1355" s="4" t="s">
        <v>25</v>
      </c>
      <c r="G1355" s="4" t="s">
        <v>25</v>
      </c>
      <c r="H1355" s="4" t="s">
        <v>35</v>
      </c>
      <c r="I1355" s="5">
        <v>44013</v>
      </c>
      <c r="J1355" s="6">
        <v>710</v>
      </c>
      <c r="K1355" s="6">
        <v>710</v>
      </c>
      <c r="L1355" s="6">
        <v>17.539000000000001</v>
      </c>
      <c r="M1355" s="6">
        <v>17.539000000000001</v>
      </c>
      <c r="N1355" s="6">
        <v>17.539000000000001</v>
      </c>
      <c r="O1355" s="6">
        <v>17.539000000000001</v>
      </c>
      <c r="P1355" s="6">
        <v>0</v>
      </c>
      <c r="Q1355" s="4" t="s">
        <v>26</v>
      </c>
      <c r="R1355" s="4">
        <v>0</v>
      </c>
      <c r="S1355" s="4" t="s">
        <v>392</v>
      </c>
      <c r="T1355" s="4" t="s">
        <v>746</v>
      </c>
      <c r="U1355" s="4">
        <v>31</v>
      </c>
      <c r="V1355" s="4">
        <v>33</v>
      </c>
      <c r="W1355" s="4">
        <v>83</v>
      </c>
    </row>
    <row r="1356" spans="1:23" ht="11.25" customHeight="1" x14ac:dyDescent="0.25">
      <c r="A1356" s="4" t="s">
        <v>21</v>
      </c>
      <c r="B1356" s="4" t="s">
        <v>44</v>
      </c>
      <c r="C1356" s="4" t="s">
        <v>41</v>
      </c>
      <c r="D1356" s="4" t="s">
        <v>42</v>
      </c>
      <c r="E1356" s="4" t="s">
        <v>25</v>
      </c>
      <c r="F1356" s="4" t="s">
        <v>25</v>
      </c>
      <c r="G1356" s="4" t="s">
        <v>25</v>
      </c>
      <c r="H1356" s="4" t="s">
        <v>35</v>
      </c>
      <c r="I1356" s="5">
        <v>44044</v>
      </c>
      <c r="J1356" s="6">
        <v>17239</v>
      </c>
      <c r="K1356" s="6">
        <v>17239</v>
      </c>
      <c r="L1356" s="6">
        <v>686.48299999999995</v>
      </c>
      <c r="M1356" s="6">
        <v>686.48299999999995</v>
      </c>
      <c r="N1356" s="6">
        <v>686.48299999999995</v>
      </c>
      <c r="O1356" s="6">
        <v>686.48299999999995</v>
      </c>
      <c r="P1356" s="6">
        <v>0</v>
      </c>
      <c r="Q1356" s="4" t="s">
        <v>26</v>
      </c>
      <c r="R1356" s="4">
        <v>0</v>
      </c>
      <c r="S1356" s="4" t="s">
        <v>393</v>
      </c>
      <c r="T1356" s="4" t="s">
        <v>747</v>
      </c>
      <c r="U1356" s="4">
        <v>31</v>
      </c>
      <c r="V1356" s="4">
        <v>33</v>
      </c>
      <c r="W1356" s="4">
        <v>83</v>
      </c>
    </row>
    <row r="1357" spans="1:23" ht="11.25" customHeight="1" x14ac:dyDescent="0.25">
      <c r="A1357" s="4" t="s">
        <v>27</v>
      </c>
      <c r="B1357" s="4" t="s">
        <v>44</v>
      </c>
      <c r="C1357" s="4" t="s">
        <v>41</v>
      </c>
      <c r="D1357" s="4" t="s">
        <v>42</v>
      </c>
      <c r="E1357" s="4" t="s">
        <v>25</v>
      </c>
      <c r="F1357" s="4" t="s">
        <v>25</v>
      </c>
      <c r="G1357" s="4" t="s">
        <v>25</v>
      </c>
      <c r="H1357" s="4" t="s">
        <v>35</v>
      </c>
      <c r="I1357" s="5">
        <v>44044</v>
      </c>
      <c r="J1357" s="6">
        <v>480</v>
      </c>
      <c r="K1357" s="6">
        <v>480</v>
      </c>
      <c r="L1357" s="6">
        <v>4.2060000000000004</v>
      </c>
      <c r="M1357" s="6">
        <v>4.2060000000000004</v>
      </c>
      <c r="N1357" s="6">
        <v>4.2060000000000004</v>
      </c>
      <c r="O1357" s="6">
        <v>4.2060000000000004</v>
      </c>
      <c r="P1357" s="6">
        <v>0</v>
      </c>
      <c r="Q1357" s="4" t="s">
        <v>26</v>
      </c>
      <c r="R1357" s="4">
        <v>0</v>
      </c>
      <c r="S1357" s="4" t="s">
        <v>393</v>
      </c>
      <c r="T1357" s="4" t="s">
        <v>747</v>
      </c>
      <c r="U1357" s="4">
        <v>31</v>
      </c>
      <c r="V1357" s="4">
        <v>33</v>
      </c>
      <c r="W1357" s="4">
        <v>83</v>
      </c>
    </row>
    <row r="1358" spans="1:23" ht="11.25" customHeight="1" x14ac:dyDescent="0.25">
      <c r="A1358" s="4" t="s">
        <v>28</v>
      </c>
      <c r="B1358" s="4" t="s">
        <v>44</v>
      </c>
      <c r="C1358" s="4" t="s">
        <v>41</v>
      </c>
      <c r="D1358" s="4" t="s">
        <v>42</v>
      </c>
      <c r="E1358" s="4" t="s">
        <v>25</v>
      </c>
      <c r="F1358" s="4" t="s">
        <v>25</v>
      </c>
      <c r="G1358" s="4" t="s">
        <v>25</v>
      </c>
      <c r="H1358" s="4" t="s">
        <v>35</v>
      </c>
      <c r="I1358" s="5">
        <v>44044</v>
      </c>
      <c r="J1358" s="6">
        <v>710</v>
      </c>
      <c r="K1358" s="6">
        <v>710</v>
      </c>
      <c r="L1358" s="6">
        <v>16.016999999999999</v>
      </c>
      <c r="M1358" s="6">
        <v>16.016999999999999</v>
      </c>
      <c r="N1358" s="6">
        <v>16.016999999999999</v>
      </c>
      <c r="O1358" s="6">
        <v>16.016999999999999</v>
      </c>
      <c r="P1358" s="6">
        <v>0</v>
      </c>
      <c r="Q1358" s="4" t="s">
        <v>26</v>
      </c>
      <c r="R1358" s="4">
        <v>0</v>
      </c>
      <c r="S1358" s="4" t="s">
        <v>393</v>
      </c>
      <c r="T1358" s="4" t="s">
        <v>747</v>
      </c>
      <c r="U1358" s="4">
        <v>31</v>
      </c>
      <c r="V1358" s="4">
        <v>33</v>
      </c>
      <c r="W1358" s="4">
        <v>83</v>
      </c>
    </row>
    <row r="1359" spans="1:23" ht="11.25" customHeight="1" x14ac:dyDescent="0.25">
      <c r="A1359" s="4" t="s">
        <v>59</v>
      </c>
      <c r="B1359" s="4" t="s">
        <v>44</v>
      </c>
      <c r="C1359" s="4" t="s">
        <v>41</v>
      </c>
      <c r="D1359" s="4" t="s">
        <v>42</v>
      </c>
      <c r="E1359" s="4" t="s">
        <v>25</v>
      </c>
      <c r="F1359" s="4" t="s">
        <v>25</v>
      </c>
      <c r="G1359" s="4" t="s">
        <v>25</v>
      </c>
      <c r="H1359" s="4" t="s">
        <v>35</v>
      </c>
      <c r="I1359" s="5">
        <v>44075</v>
      </c>
      <c r="J1359" s="6">
        <v>17239</v>
      </c>
      <c r="K1359" s="6">
        <v>17239</v>
      </c>
      <c r="L1359" s="6">
        <v>686.48299999999995</v>
      </c>
      <c r="M1359" s="6">
        <v>686.48299999999995</v>
      </c>
      <c r="N1359" s="6">
        <v>686.48299999999995</v>
      </c>
      <c r="O1359" s="6">
        <v>686.48299999999995</v>
      </c>
      <c r="P1359" s="6">
        <v>0</v>
      </c>
      <c r="Q1359" s="4" t="s">
        <v>26</v>
      </c>
      <c r="R1359" s="4">
        <v>0</v>
      </c>
      <c r="S1359" s="4" t="s">
        <v>394</v>
      </c>
      <c r="T1359" s="4" t="s">
        <v>748</v>
      </c>
      <c r="U1359" s="4">
        <v>31</v>
      </c>
      <c r="V1359" s="4">
        <v>33</v>
      </c>
      <c r="W1359" s="4">
        <v>83</v>
      </c>
    </row>
    <row r="1360" spans="1:23" ht="11.25" customHeight="1" x14ac:dyDescent="0.25">
      <c r="A1360" s="4" t="s">
        <v>59</v>
      </c>
      <c r="B1360" s="4" t="s">
        <v>44</v>
      </c>
      <c r="C1360" s="4" t="s">
        <v>41</v>
      </c>
      <c r="D1360" s="4" t="s">
        <v>42</v>
      </c>
      <c r="E1360" s="4" t="s">
        <v>25</v>
      </c>
      <c r="F1360" s="4" t="s">
        <v>25</v>
      </c>
      <c r="G1360" s="4" t="s">
        <v>25</v>
      </c>
      <c r="H1360" s="4" t="s">
        <v>35</v>
      </c>
      <c r="I1360" s="5">
        <v>44075</v>
      </c>
      <c r="J1360" s="6">
        <v>480</v>
      </c>
      <c r="K1360" s="6">
        <v>480</v>
      </c>
      <c r="L1360" s="6">
        <v>4.2060000000000004</v>
      </c>
      <c r="M1360" s="6">
        <v>4.2060000000000004</v>
      </c>
      <c r="N1360" s="6">
        <v>4.2060000000000004</v>
      </c>
      <c r="O1360" s="6">
        <v>4.2060000000000004</v>
      </c>
      <c r="P1360" s="6">
        <v>0</v>
      </c>
      <c r="Q1360" s="4" t="s">
        <v>26</v>
      </c>
      <c r="R1360" s="4">
        <v>0</v>
      </c>
      <c r="S1360" s="4" t="s">
        <v>394</v>
      </c>
      <c r="T1360" s="4" t="s">
        <v>748</v>
      </c>
      <c r="U1360" s="4">
        <v>31</v>
      </c>
      <c r="V1360" s="4">
        <v>33</v>
      </c>
      <c r="W1360" s="4">
        <v>83</v>
      </c>
    </row>
    <row r="1361" spans="1:23" ht="11.25" customHeight="1" x14ac:dyDescent="0.25">
      <c r="A1361" s="4" t="s">
        <v>59</v>
      </c>
      <c r="B1361" s="4" t="s">
        <v>44</v>
      </c>
      <c r="C1361" s="4" t="s">
        <v>41</v>
      </c>
      <c r="D1361" s="4" t="s">
        <v>42</v>
      </c>
      <c r="E1361" s="4" t="s">
        <v>25</v>
      </c>
      <c r="F1361" s="4" t="s">
        <v>25</v>
      </c>
      <c r="G1361" s="4" t="s">
        <v>25</v>
      </c>
      <c r="H1361" s="4" t="s">
        <v>35</v>
      </c>
      <c r="I1361" s="5">
        <v>44075</v>
      </c>
      <c r="J1361" s="6">
        <v>710</v>
      </c>
      <c r="K1361" s="6">
        <v>710</v>
      </c>
      <c r="L1361" s="6">
        <v>16.016999999999999</v>
      </c>
      <c r="M1361" s="6">
        <v>16.016999999999999</v>
      </c>
      <c r="N1361" s="6">
        <v>16.016999999999999</v>
      </c>
      <c r="O1361" s="6">
        <v>16.016999999999999</v>
      </c>
      <c r="P1361" s="6">
        <v>0</v>
      </c>
      <c r="Q1361" s="4" t="s">
        <v>26</v>
      </c>
      <c r="R1361" s="4">
        <v>0</v>
      </c>
      <c r="S1361" s="4" t="s">
        <v>394</v>
      </c>
      <c r="T1361" s="4" t="s">
        <v>748</v>
      </c>
      <c r="U1361" s="4">
        <v>31</v>
      </c>
      <c r="V1361" s="4">
        <v>33</v>
      </c>
      <c r="W1361" s="4">
        <v>83</v>
      </c>
    </row>
    <row r="1362" spans="1:23" ht="11.25" customHeight="1" x14ac:dyDescent="0.25">
      <c r="A1362" s="4" t="s">
        <v>21</v>
      </c>
      <c r="B1362" s="4" t="s">
        <v>44</v>
      </c>
      <c r="C1362" s="4" t="s">
        <v>41</v>
      </c>
      <c r="D1362" s="4" t="s">
        <v>40</v>
      </c>
      <c r="E1362" s="4" t="s">
        <v>25</v>
      </c>
      <c r="F1362" s="4" t="s">
        <v>63</v>
      </c>
      <c r="G1362" s="4" t="s">
        <v>25</v>
      </c>
      <c r="H1362" s="4" t="s">
        <v>36</v>
      </c>
      <c r="I1362" s="5">
        <v>43739</v>
      </c>
      <c r="J1362" s="6">
        <v>11307</v>
      </c>
      <c r="K1362" s="6">
        <v>7176.8075336399997</v>
      </c>
      <c r="L1362" s="6">
        <v>0</v>
      </c>
      <c r="M1362" s="6">
        <v>0</v>
      </c>
      <c r="N1362" s="6">
        <v>0</v>
      </c>
      <c r="O1362" s="6">
        <v>0</v>
      </c>
      <c r="P1362" s="6">
        <v>0</v>
      </c>
      <c r="Q1362" s="4" t="s">
        <v>60</v>
      </c>
      <c r="R1362" s="4">
        <v>0</v>
      </c>
      <c r="S1362" s="4" t="s">
        <v>371</v>
      </c>
      <c r="U1362" s="4">
        <v>32</v>
      </c>
      <c r="V1362" s="4">
        <v>0</v>
      </c>
      <c r="W1362" s="4">
        <v>0</v>
      </c>
    </row>
    <row r="1363" spans="1:23" ht="11.25" customHeight="1" x14ac:dyDescent="0.25">
      <c r="A1363" s="4" t="s">
        <v>21</v>
      </c>
      <c r="B1363" s="4" t="s">
        <v>44</v>
      </c>
      <c r="C1363" s="4" t="s">
        <v>41</v>
      </c>
      <c r="D1363" s="4" t="s">
        <v>40</v>
      </c>
      <c r="E1363" s="4" t="s">
        <v>25</v>
      </c>
      <c r="F1363" s="4" t="s">
        <v>63</v>
      </c>
      <c r="G1363" s="4" t="s">
        <v>25</v>
      </c>
      <c r="H1363" s="4" t="s">
        <v>36</v>
      </c>
      <c r="I1363" s="5">
        <v>43770</v>
      </c>
      <c r="J1363" s="6">
        <v>11307</v>
      </c>
      <c r="K1363" s="6">
        <v>7197.53134245</v>
      </c>
      <c r="L1363" s="6">
        <v>0</v>
      </c>
      <c r="M1363" s="6">
        <v>0</v>
      </c>
      <c r="N1363" s="6">
        <v>0</v>
      </c>
      <c r="O1363" s="6">
        <v>0</v>
      </c>
      <c r="P1363" s="6">
        <v>0</v>
      </c>
      <c r="Q1363" s="4" t="s">
        <v>60</v>
      </c>
      <c r="R1363" s="4">
        <v>0</v>
      </c>
      <c r="S1363" s="4" t="s">
        <v>372</v>
      </c>
      <c r="U1363" s="4">
        <v>32</v>
      </c>
      <c r="V1363" s="4">
        <v>0</v>
      </c>
      <c r="W1363" s="4">
        <v>0</v>
      </c>
    </row>
    <row r="1364" spans="1:23" ht="11.25" customHeight="1" x14ac:dyDescent="0.25">
      <c r="A1364" s="4" t="s">
        <v>21</v>
      </c>
      <c r="B1364" s="4" t="s">
        <v>44</v>
      </c>
      <c r="C1364" s="4" t="s">
        <v>41</v>
      </c>
      <c r="D1364" s="4" t="s">
        <v>40</v>
      </c>
      <c r="E1364" s="4" t="s">
        <v>25</v>
      </c>
      <c r="F1364" s="4" t="s">
        <v>63</v>
      </c>
      <c r="G1364" s="4" t="s">
        <v>25</v>
      </c>
      <c r="H1364" s="4" t="s">
        <v>36</v>
      </c>
      <c r="I1364" s="5">
        <v>43800</v>
      </c>
      <c r="J1364" s="6">
        <v>11307</v>
      </c>
      <c r="K1364" s="6">
        <v>7234.7516119800002</v>
      </c>
      <c r="L1364" s="6">
        <v>0</v>
      </c>
      <c r="M1364" s="6">
        <v>0</v>
      </c>
      <c r="N1364" s="6">
        <v>0</v>
      </c>
      <c r="O1364" s="6">
        <v>0</v>
      </c>
      <c r="P1364" s="6">
        <v>0</v>
      </c>
      <c r="Q1364" s="4" t="s">
        <v>60</v>
      </c>
      <c r="R1364" s="4">
        <v>0</v>
      </c>
      <c r="S1364" s="4" t="s">
        <v>373</v>
      </c>
      <c r="U1364" s="4">
        <v>32</v>
      </c>
      <c r="V1364" s="4">
        <v>0</v>
      </c>
      <c r="W1364" s="4">
        <v>0</v>
      </c>
    </row>
    <row r="1365" spans="1:23" ht="11.25" customHeight="1" x14ac:dyDescent="0.25">
      <c r="A1365" s="4" t="s">
        <v>21</v>
      </c>
      <c r="B1365" s="4" t="s">
        <v>44</v>
      </c>
      <c r="C1365" s="4" t="s">
        <v>41</v>
      </c>
      <c r="D1365" s="4" t="s">
        <v>40</v>
      </c>
      <c r="E1365" s="4" t="s">
        <v>25</v>
      </c>
      <c r="F1365" s="4" t="s">
        <v>63</v>
      </c>
      <c r="G1365" s="4" t="s">
        <v>25</v>
      </c>
      <c r="H1365" s="4" t="s">
        <v>36</v>
      </c>
      <c r="I1365" s="5">
        <v>43831</v>
      </c>
      <c r="J1365" s="6">
        <v>12948</v>
      </c>
      <c r="K1365" s="6">
        <v>8757.7600827599999</v>
      </c>
      <c r="L1365" s="6">
        <v>0</v>
      </c>
      <c r="M1365" s="6">
        <v>0</v>
      </c>
      <c r="N1365" s="6">
        <v>0</v>
      </c>
      <c r="O1365" s="6">
        <v>0</v>
      </c>
      <c r="P1365" s="6">
        <v>0</v>
      </c>
      <c r="Q1365" s="4" t="s">
        <v>60</v>
      </c>
      <c r="R1365" s="4">
        <v>0</v>
      </c>
      <c r="S1365" s="4" t="s">
        <v>374</v>
      </c>
      <c r="U1365" s="4">
        <v>32</v>
      </c>
      <c r="V1365" s="4">
        <v>0</v>
      </c>
      <c r="W1365" s="4">
        <v>0</v>
      </c>
    </row>
    <row r="1366" spans="1:23" ht="11.25" customHeight="1" x14ac:dyDescent="0.25">
      <c r="A1366" s="4" t="s">
        <v>21</v>
      </c>
      <c r="B1366" s="4" t="s">
        <v>44</v>
      </c>
      <c r="C1366" s="4" t="s">
        <v>41</v>
      </c>
      <c r="D1366" s="4" t="s">
        <v>40</v>
      </c>
      <c r="E1366" s="4" t="s">
        <v>25</v>
      </c>
      <c r="F1366" s="4" t="s">
        <v>63</v>
      </c>
      <c r="G1366" s="4" t="s">
        <v>25</v>
      </c>
      <c r="H1366" s="4" t="s">
        <v>36</v>
      </c>
      <c r="I1366" s="5">
        <v>43862</v>
      </c>
      <c r="J1366" s="6">
        <v>12887</v>
      </c>
      <c r="K1366" s="6">
        <v>8219.4699703900005</v>
      </c>
      <c r="L1366" s="6">
        <v>0</v>
      </c>
      <c r="M1366" s="6">
        <v>0</v>
      </c>
      <c r="N1366" s="6">
        <v>0</v>
      </c>
      <c r="O1366" s="6">
        <v>0</v>
      </c>
      <c r="P1366" s="6">
        <v>0</v>
      </c>
      <c r="Q1366" s="4" t="s">
        <v>60</v>
      </c>
      <c r="R1366" s="4">
        <v>0</v>
      </c>
      <c r="S1366" s="4" t="s">
        <v>375</v>
      </c>
      <c r="U1366" s="4">
        <v>32</v>
      </c>
      <c r="V1366" s="4">
        <v>0</v>
      </c>
      <c r="W1366" s="4">
        <v>0</v>
      </c>
    </row>
    <row r="1367" spans="1:23" ht="11.25" customHeight="1" x14ac:dyDescent="0.25">
      <c r="A1367" s="4" t="s">
        <v>21</v>
      </c>
      <c r="B1367" s="4" t="s">
        <v>44</v>
      </c>
      <c r="C1367" s="4" t="s">
        <v>41</v>
      </c>
      <c r="D1367" s="4" t="s">
        <v>40</v>
      </c>
      <c r="E1367" s="4" t="s">
        <v>25</v>
      </c>
      <c r="F1367" s="4" t="s">
        <v>63</v>
      </c>
      <c r="G1367" s="4" t="s">
        <v>25</v>
      </c>
      <c r="H1367" s="4" t="s">
        <v>36</v>
      </c>
      <c r="I1367" s="5">
        <v>43891</v>
      </c>
      <c r="J1367" s="6">
        <v>12771</v>
      </c>
      <c r="K1367" s="6">
        <v>8162.6822204399996</v>
      </c>
      <c r="L1367" s="6">
        <v>0</v>
      </c>
      <c r="M1367" s="6">
        <v>0</v>
      </c>
      <c r="N1367" s="6">
        <v>0</v>
      </c>
      <c r="O1367" s="6">
        <v>0</v>
      </c>
      <c r="P1367" s="6">
        <v>0</v>
      </c>
      <c r="Q1367" s="4" t="s">
        <v>60</v>
      </c>
      <c r="R1367" s="4">
        <v>0</v>
      </c>
      <c r="S1367" s="4" t="s">
        <v>376</v>
      </c>
      <c r="U1367" s="4">
        <v>32</v>
      </c>
      <c r="V1367" s="4">
        <v>0</v>
      </c>
      <c r="W1367" s="4">
        <v>0</v>
      </c>
    </row>
    <row r="1368" spans="1:23" ht="11.25" customHeight="1" x14ac:dyDescent="0.25">
      <c r="A1368" s="4" t="s">
        <v>21</v>
      </c>
      <c r="B1368" s="4" t="s">
        <v>44</v>
      </c>
      <c r="C1368" s="4" t="s">
        <v>41</v>
      </c>
      <c r="D1368" s="4" t="s">
        <v>40</v>
      </c>
      <c r="E1368" s="4" t="s">
        <v>25</v>
      </c>
      <c r="F1368" s="4" t="s">
        <v>63</v>
      </c>
      <c r="G1368" s="4" t="s">
        <v>25</v>
      </c>
      <c r="H1368" s="4" t="s">
        <v>36</v>
      </c>
      <c r="I1368" s="5">
        <v>43922</v>
      </c>
      <c r="J1368" s="6">
        <v>12791</v>
      </c>
      <c r="K1368" s="6">
        <v>8114.6468543499996</v>
      </c>
      <c r="L1368" s="6">
        <v>0</v>
      </c>
      <c r="M1368" s="6">
        <v>0</v>
      </c>
      <c r="N1368" s="6">
        <v>0</v>
      </c>
      <c r="O1368" s="6">
        <v>0</v>
      </c>
      <c r="P1368" s="6">
        <v>0</v>
      </c>
      <c r="Q1368" s="4" t="s">
        <v>60</v>
      </c>
      <c r="R1368" s="4">
        <v>0</v>
      </c>
      <c r="S1368" s="4" t="s">
        <v>377</v>
      </c>
      <c r="U1368" s="4">
        <v>32</v>
      </c>
      <c r="V1368" s="4">
        <v>0</v>
      </c>
      <c r="W1368" s="4">
        <v>0</v>
      </c>
    </row>
    <row r="1369" spans="1:23" ht="11.25" customHeight="1" x14ac:dyDescent="0.25">
      <c r="A1369" s="4" t="s">
        <v>21</v>
      </c>
      <c r="B1369" s="4" t="s">
        <v>44</v>
      </c>
      <c r="C1369" s="4" t="s">
        <v>41</v>
      </c>
      <c r="D1369" s="4" t="s">
        <v>40</v>
      </c>
      <c r="E1369" s="4" t="s">
        <v>25</v>
      </c>
      <c r="F1369" s="4" t="s">
        <v>63</v>
      </c>
      <c r="G1369" s="4" t="s">
        <v>25</v>
      </c>
      <c r="H1369" s="4" t="s">
        <v>36</v>
      </c>
      <c r="I1369" s="5">
        <v>43952</v>
      </c>
      <c r="J1369" s="6">
        <v>12848</v>
      </c>
      <c r="K1369" s="6">
        <v>8385.0359788799997</v>
      </c>
      <c r="L1369" s="6">
        <v>0</v>
      </c>
      <c r="M1369" s="6">
        <v>0</v>
      </c>
      <c r="N1369" s="6">
        <v>0</v>
      </c>
      <c r="O1369" s="6">
        <v>0</v>
      </c>
      <c r="P1369" s="6">
        <v>0</v>
      </c>
      <c r="Q1369" s="4" t="s">
        <v>60</v>
      </c>
      <c r="R1369" s="4">
        <v>0</v>
      </c>
      <c r="S1369" s="4" t="s">
        <v>378</v>
      </c>
      <c r="U1369" s="4">
        <v>32</v>
      </c>
      <c r="V1369" s="4">
        <v>0</v>
      </c>
      <c r="W1369" s="4">
        <v>0</v>
      </c>
    </row>
    <row r="1370" spans="1:23" ht="11.25" customHeight="1" x14ac:dyDescent="0.25">
      <c r="A1370" s="4" t="s">
        <v>21</v>
      </c>
      <c r="B1370" s="4" t="s">
        <v>44</v>
      </c>
      <c r="C1370" s="4" t="s">
        <v>41</v>
      </c>
      <c r="D1370" s="4" t="s">
        <v>40</v>
      </c>
      <c r="E1370" s="4" t="s">
        <v>25</v>
      </c>
      <c r="F1370" s="4" t="s">
        <v>63</v>
      </c>
      <c r="G1370" s="4" t="s">
        <v>25</v>
      </c>
      <c r="H1370" s="4" t="s">
        <v>36</v>
      </c>
      <c r="I1370" s="5">
        <v>43983</v>
      </c>
      <c r="J1370" s="6">
        <v>12848</v>
      </c>
      <c r="K1370" s="6">
        <v>8088.0828529600003</v>
      </c>
      <c r="L1370" s="6">
        <v>0</v>
      </c>
      <c r="M1370" s="6">
        <v>0</v>
      </c>
      <c r="N1370" s="6">
        <v>0</v>
      </c>
      <c r="O1370" s="6">
        <v>0</v>
      </c>
      <c r="P1370" s="6">
        <v>0</v>
      </c>
      <c r="Q1370" s="4" t="s">
        <v>60</v>
      </c>
      <c r="R1370" s="4">
        <v>0</v>
      </c>
      <c r="S1370" s="4" t="s">
        <v>379</v>
      </c>
      <c r="U1370" s="4">
        <v>32</v>
      </c>
      <c r="V1370" s="4">
        <v>0</v>
      </c>
      <c r="W1370" s="4">
        <v>0</v>
      </c>
    </row>
    <row r="1371" spans="1:23" ht="11.25" customHeight="1" x14ac:dyDescent="0.25">
      <c r="A1371" s="4" t="s">
        <v>21</v>
      </c>
      <c r="B1371" s="4" t="s">
        <v>44</v>
      </c>
      <c r="C1371" s="4" t="s">
        <v>41</v>
      </c>
      <c r="D1371" s="4" t="s">
        <v>40</v>
      </c>
      <c r="E1371" s="4" t="s">
        <v>25</v>
      </c>
      <c r="F1371" s="4" t="s">
        <v>63</v>
      </c>
      <c r="G1371" s="4" t="s">
        <v>25</v>
      </c>
      <c r="H1371" s="4" t="s">
        <v>36</v>
      </c>
      <c r="I1371" s="5">
        <v>44013</v>
      </c>
      <c r="J1371" s="6">
        <v>11307</v>
      </c>
      <c r="K1371" s="6">
        <v>7136.9102187899998</v>
      </c>
      <c r="L1371" s="6">
        <v>0</v>
      </c>
      <c r="M1371" s="6">
        <v>0</v>
      </c>
      <c r="N1371" s="6">
        <v>0</v>
      </c>
      <c r="O1371" s="6">
        <v>0</v>
      </c>
      <c r="P1371" s="6">
        <v>0</v>
      </c>
      <c r="Q1371" s="4" t="s">
        <v>60</v>
      </c>
      <c r="R1371" s="4">
        <v>0</v>
      </c>
      <c r="S1371" s="4" t="s">
        <v>380</v>
      </c>
      <c r="U1371" s="4">
        <v>32</v>
      </c>
      <c r="V1371" s="4">
        <v>0</v>
      </c>
      <c r="W1371" s="4">
        <v>0</v>
      </c>
    </row>
    <row r="1372" spans="1:23" ht="11.25" customHeight="1" x14ac:dyDescent="0.25">
      <c r="A1372" s="4" t="s">
        <v>21</v>
      </c>
      <c r="B1372" s="4" t="s">
        <v>44</v>
      </c>
      <c r="C1372" s="4" t="s">
        <v>41</v>
      </c>
      <c r="D1372" s="4" t="s">
        <v>40</v>
      </c>
      <c r="E1372" s="4" t="s">
        <v>25</v>
      </c>
      <c r="F1372" s="4" t="s">
        <v>63</v>
      </c>
      <c r="G1372" s="4" t="s">
        <v>25</v>
      </c>
      <c r="H1372" s="4" t="s">
        <v>36</v>
      </c>
      <c r="I1372" s="5">
        <v>44044</v>
      </c>
      <c r="J1372" s="6">
        <v>13737</v>
      </c>
      <c r="K1372" s="6">
        <v>8929.0499999999993</v>
      </c>
      <c r="L1372" s="6">
        <v>0</v>
      </c>
      <c r="M1372" s="6">
        <v>0</v>
      </c>
      <c r="N1372" s="6">
        <v>0</v>
      </c>
      <c r="O1372" s="6">
        <v>0</v>
      </c>
      <c r="P1372" s="6">
        <v>0</v>
      </c>
      <c r="Q1372" s="4" t="s">
        <v>60</v>
      </c>
      <c r="R1372" s="4">
        <v>0</v>
      </c>
      <c r="S1372" s="4" t="s">
        <v>381</v>
      </c>
      <c r="U1372" s="4">
        <v>32</v>
      </c>
      <c r="V1372" s="4">
        <v>0</v>
      </c>
      <c r="W1372" s="4">
        <v>0</v>
      </c>
    </row>
    <row r="1373" spans="1:23" ht="11.25" customHeight="1" x14ac:dyDescent="0.25">
      <c r="A1373" s="4" t="s">
        <v>59</v>
      </c>
      <c r="B1373" s="4" t="s">
        <v>44</v>
      </c>
      <c r="C1373" s="4" t="s">
        <v>41</v>
      </c>
      <c r="D1373" s="4" t="s">
        <v>40</v>
      </c>
      <c r="E1373" s="4" t="s">
        <v>25</v>
      </c>
      <c r="F1373" s="4" t="s">
        <v>63</v>
      </c>
      <c r="G1373" s="4" t="s">
        <v>25</v>
      </c>
      <c r="H1373" s="4" t="s">
        <v>36</v>
      </c>
      <c r="I1373" s="5">
        <v>44075</v>
      </c>
      <c r="J1373" s="6">
        <v>13737</v>
      </c>
      <c r="K1373" s="6">
        <v>8929.0499999999993</v>
      </c>
      <c r="L1373" s="6">
        <v>0</v>
      </c>
      <c r="M1373" s="6">
        <v>0</v>
      </c>
      <c r="N1373" s="6">
        <v>0</v>
      </c>
      <c r="O1373" s="6">
        <v>0</v>
      </c>
      <c r="P1373" s="6">
        <v>0</v>
      </c>
      <c r="Q1373" s="4" t="s">
        <v>60</v>
      </c>
      <c r="R1373" s="4">
        <v>0</v>
      </c>
      <c r="S1373" s="4" t="s">
        <v>382</v>
      </c>
      <c r="U1373" s="4">
        <v>32</v>
      </c>
      <c r="V1373" s="4">
        <v>0</v>
      </c>
      <c r="W1373" s="4">
        <v>0</v>
      </c>
    </row>
    <row r="1374" spans="1:23" ht="11.25" customHeight="1" x14ac:dyDescent="0.25">
      <c r="A1374" s="4" t="s">
        <v>21</v>
      </c>
      <c r="B1374" s="4" t="s">
        <v>44</v>
      </c>
      <c r="C1374" s="4" t="s">
        <v>41</v>
      </c>
      <c r="D1374" s="4" t="s">
        <v>40</v>
      </c>
      <c r="E1374" s="4" t="s">
        <v>25</v>
      </c>
      <c r="F1374" s="4" t="s">
        <v>63</v>
      </c>
      <c r="G1374" s="4" t="s">
        <v>25</v>
      </c>
      <c r="H1374" s="4" t="s">
        <v>25</v>
      </c>
      <c r="I1374" s="5">
        <v>43739</v>
      </c>
      <c r="J1374" s="6">
        <v>0</v>
      </c>
      <c r="K1374" s="6">
        <v>0</v>
      </c>
      <c r="L1374" s="6">
        <v>5617.4639999999999</v>
      </c>
      <c r="M1374" s="6">
        <v>5617.4639999999999</v>
      </c>
      <c r="N1374" s="6">
        <v>0</v>
      </c>
      <c r="O1374" s="6">
        <v>0</v>
      </c>
      <c r="P1374" s="6">
        <v>33</v>
      </c>
      <c r="Q1374" s="4" t="s">
        <v>60</v>
      </c>
      <c r="R1374" s="4">
        <v>0</v>
      </c>
      <c r="S1374" s="4" t="s">
        <v>395</v>
      </c>
      <c r="U1374" s="4">
        <v>0</v>
      </c>
      <c r="V1374" s="4">
        <v>33</v>
      </c>
      <c r="W1374" s="4">
        <v>0</v>
      </c>
    </row>
    <row r="1375" spans="1:23" ht="11.25" customHeight="1" x14ac:dyDescent="0.25">
      <c r="A1375" s="4" t="s">
        <v>21</v>
      </c>
      <c r="B1375" s="4" t="s">
        <v>44</v>
      </c>
      <c r="C1375" s="4" t="s">
        <v>41</v>
      </c>
      <c r="D1375" s="4" t="s">
        <v>40</v>
      </c>
      <c r="E1375" s="4" t="s">
        <v>25</v>
      </c>
      <c r="F1375" s="4" t="s">
        <v>63</v>
      </c>
      <c r="G1375" s="4" t="s">
        <v>25</v>
      </c>
      <c r="H1375" s="4" t="s">
        <v>25</v>
      </c>
      <c r="I1375" s="5">
        <v>43770</v>
      </c>
      <c r="J1375" s="6">
        <v>0</v>
      </c>
      <c r="K1375" s="6">
        <v>0</v>
      </c>
      <c r="L1375" s="6">
        <v>5408.6980000000003</v>
      </c>
      <c r="M1375" s="6">
        <v>5408.6980000000003</v>
      </c>
      <c r="N1375" s="6">
        <v>0</v>
      </c>
      <c r="O1375" s="6">
        <v>0</v>
      </c>
      <c r="P1375" s="6">
        <v>33</v>
      </c>
      <c r="Q1375" s="4" t="s">
        <v>60</v>
      </c>
      <c r="R1375" s="4">
        <v>0</v>
      </c>
      <c r="S1375" s="4" t="s">
        <v>396</v>
      </c>
      <c r="U1375" s="4">
        <v>0</v>
      </c>
      <c r="V1375" s="4">
        <v>33</v>
      </c>
      <c r="W1375" s="4">
        <v>0</v>
      </c>
    </row>
    <row r="1376" spans="1:23" ht="11.25" customHeight="1" x14ac:dyDescent="0.25">
      <c r="A1376" s="4" t="s">
        <v>21</v>
      </c>
      <c r="B1376" s="4" t="s">
        <v>44</v>
      </c>
      <c r="C1376" s="4" t="s">
        <v>41</v>
      </c>
      <c r="D1376" s="4" t="s">
        <v>40</v>
      </c>
      <c r="E1376" s="4" t="s">
        <v>25</v>
      </c>
      <c r="F1376" s="4" t="s">
        <v>63</v>
      </c>
      <c r="G1376" s="4" t="s">
        <v>25</v>
      </c>
      <c r="H1376" s="4" t="s">
        <v>25</v>
      </c>
      <c r="I1376" s="5">
        <v>43800</v>
      </c>
      <c r="J1376" s="6">
        <v>0</v>
      </c>
      <c r="K1376" s="6">
        <v>0</v>
      </c>
      <c r="L1376" s="6">
        <v>5506.1310000000003</v>
      </c>
      <c r="M1376" s="6">
        <v>5506.1310000000003</v>
      </c>
      <c r="N1376" s="6">
        <v>0</v>
      </c>
      <c r="O1376" s="6">
        <v>0</v>
      </c>
      <c r="P1376" s="6">
        <v>33</v>
      </c>
      <c r="Q1376" s="4" t="s">
        <v>60</v>
      </c>
      <c r="R1376" s="4">
        <v>0</v>
      </c>
      <c r="S1376" s="4" t="s">
        <v>397</v>
      </c>
      <c r="U1376" s="4">
        <v>0</v>
      </c>
      <c r="V1376" s="4">
        <v>33</v>
      </c>
      <c r="W1376" s="4">
        <v>0</v>
      </c>
    </row>
    <row r="1377" spans="1:23" ht="11.25" customHeight="1" x14ac:dyDescent="0.25">
      <c r="A1377" s="4" t="s">
        <v>21</v>
      </c>
      <c r="B1377" s="4" t="s">
        <v>44</v>
      </c>
      <c r="C1377" s="4" t="s">
        <v>41</v>
      </c>
      <c r="D1377" s="4" t="s">
        <v>40</v>
      </c>
      <c r="E1377" s="4" t="s">
        <v>25</v>
      </c>
      <c r="F1377" s="4" t="s">
        <v>63</v>
      </c>
      <c r="G1377" s="4" t="s">
        <v>25</v>
      </c>
      <c r="H1377" s="4" t="s">
        <v>25</v>
      </c>
      <c r="I1377" s="5">
        <v>43831</v>
      </c>
      <c r="J1377" s="6">
        <v>0</v>
      </c>
      <c r="K1377" s="6">
        <v>0</v>
      </c>
      <c r="L1377" s="6">
        <v>5585.7110000000002</v>
      </c>
      <c r="M1377" s="6">
        <v>5585.7110000000002</v>
      </c>
      <c r="N1377" s="6">
        <v>0</v>
      </c>
      <c r="O1377" s="6">
        <v>0</v>
      </c>
      <c r="P1377" s="6">
        <v>35</v>
      </c>
      <c r="Q1377" s="4" t="s">
        <v>60</v>
      </c>
      <c r="R1377" s="4">
        <v>0</v>
      </c>
      <c r="S1377" s="4" t="s">
        <v>398</v>
      </c>
      <c r="U1377" s="4">
        <v>0</v>
      </c>
      <c r="V1377" s="4">
        <v>33</v>
      </c>
      <c r="W1377" s="4">
        <v>0</v>
      </c>
    </row>
    <row r="1378" spans="1:23" ht="11.25" customHeight="1" x14ac:dyDescent="0.25">
      <c r="A1378" s="4" t="s">
        <v>21</v>
      </c>
      <c r="B1378" s="4" t="s">
        <v>44</v>
      </c>
      <c r="C1378" s="4" t="s">
        <v>41</v>
      </c>
      <c r="D1378" s="4" t="s">
        <v>40</v>
      </c>
      <c r="E1378" s="4" t="s">
        <v>25</v>
      </c>
      <c r="F1378" s="4" t="s">
        <v>63</v>
      </c>
      <c r="G1378" s="4" t="s">
        <v>25</v>
      </c>
      <c r="H1378" s="4" t="s">
        <v>25</v>
      </c>
      <c r="I1378" s="5">
        <v>43862</v>
      </c>
      <c r="J1378" s="6">
        <v>0</v>
      </c>
      <c r="K1378" s="6">
        <v>0</v>
      </c>
      <c r="L1378" s="6">
        <v>5187.1400000000003</v>
      </c>
      <c r="M1378" s="6">
        <v>5187.1400000000003</v>
      </c>
      <c r="N1378" s="6">
        <v>0</v>
      </c>
      <c r="O1378" s="6">
        <v>0</v>
      </c>
      <c r="P1378" s="6">
        <v>35</v>
      </c>
      <c r="Q1378" s="4" t="s">
        <v>60</v>
      </c>
      <c r="R1378" s="4">
        <v>0</v>
      </c>
      <c r="S1378" s="4" t="s">
        <v>399</v>
      </c>
      <c r="U1378" s="4">
        <v>0</v>
      </c>
      <c r="V1378" s="4">
        <v>33</v>
      </c>
      <c r="W1378" s="4">
        <v>0</v>
      </c>
    </row>
    <row r="1379" spans="1:23" ht="11.25" customHeight="1" x14ac:dyDescent="0.25">
      <c r="A1379" s="4" t="s">
        <v>21</v>
      </c>
      <c r="B1379" s="4" t="s">
        <v>44</v>
      </c>
      <c r="C1379" s="4" t="s">
        <v>41</v>
      </c>
      <c r="D1379" s="4" t="s">
        <v>40</v>
      </c>
      <c r="E1379" s="4" t="s">
        <v>25</v>
      </c>
      <c r="F1379" s="4" t="s">
        <v>63</v>
      </c>
      <c r="G1379" s="4" t="s">
        <v>25</v>
      </c>
      <c r="H1379" s="4" t="s">
        <v>25</v>
      </c>
      <c r="I1379" s="5">
        <v>43891</v>
      </c>
      <c r="J1379" s="6">
        <v>0</v>
      </c>
      <c r="K1379" s="6">
        <v>0</v>
      </c>
      <c r="L1379" s="6">
        <v>4956.4880000000003</v>
      </c>
      <c r="M1379" s="6">
        <v>4956.4880000000003</v>
      </c>
      <c r="N1379" s="6">
        <v>0</v>
      </c>
      <c r="O1379" s="6">
        <v>0</v>
      </c>
      <c r="P1379" s="6">
        <v>35</v>
      </c>
      <c r="Q1379" s="4" t="s">
        <v>60</v>
      </c>
      <c r="R1379" s="4">
        <v>0</v>
      </c>
      <c r="S1379" s="4" t="s">
        <v>400</v>
      </c>
      <c r="U1379" s="4">
        <v>0</v>
      </c>
      <c r="V1379" s="4">
        <v>33</v>
      </c>
      <c r="W1379" s="4">
        <v>0</v>
      </c>
    </row>
    <row r="1380" spans="1:23" ht="11.25" customHeight="1" x14ac:dyDescent="0.25">
      <c r="A1380" s="4" t="s">
        <v>21</v>
      </c>
      <c r="B1380" s="4" t="s">
        <v>44</v>
      </c>
      <c r="C1380" s="4" t="s">
        <v>41</v>
      </c>
      <c r="D1380" s="4" t="s">
        <v>40</v>
      </c>
      <c r="E1380" s="4" t="s">
        <v>25</v>
      </c>
      <c r="F1380" s="4" t="s">
        <v>63</v>
      </c>
      <c r="G1380" s="4" t="s">
        <v>25</v>
      </c>
      <c r="H1380" s="4" t="s">
        <v>25</v>
      </c>
      <c r="I1380" s="5">
        <v>43922</v>
      </c>
      <c r="J1380" s="6">
        <v>0</v>
      </c>
      <c r="K1380" s="6">
        <v>0</v>
      </c>
      <c r="L1380" s="6">
        <v>3957.848</v>
      </c>
      <c r="M1380" s="6">
        <v>3957.848</v>
      </c>
      <c r="N1380" s="6">
        <v>0</v>
      </c>
      <c r="O1380" s="6">
        <v>0</v>
      </c>
      <c r="P1380" s="6">
        <v>35</v>
      </c>
      <c r="Q1380" s="4" t="s">
        <v>60</v>
      </c>
      <c r="R1380" s="4">
        <v>0</v>
      </c>
      <c r="S1380" s="4" t="s">
        <v>401</v>
      </c>
      <c r="U1380" s="4">
        <v>0</v>
      </c>
      <c r="V1380" s="4">
        <v>33</v>
      </c>
      <c r="W1380" s="4">
        <v>0</v>
      </c>
    </row>
    <row r="1381" spans="1:23" ht="11.25" customHeight="1" x14ac:dyDescent="0.25">
      <c r="A1381" s="4" t="s">
        <v>21</v>
      </c>
      <c r="B1381" s="4" t="s">
        <v>44</v>
      </c>
      <c r="C1381" s="4" t="s">
        <v>41</v>
      </c>
      <c r="D1381" s="4" t="s">
        <v>40</v>
      </c>
      <c r="E1381" s="4" t="s">
        <v>25</v>
      </c>
      <c r="F1381" s="4" t="s">
        <v>63</v>
      </c>
      <c r="G1381" s="4" t="s">
        <v>25</v>
      </c>
      <c r="H1381" s="4" t="s">
        <v>25</v>
      </c>
      <c r="I1381" s="5">
        <v>43952</v>
      </c>
      <c r="J1381" s="6">
        <v>0</v>
      </c>
      <c r="K1381" s="6">
        <v>0</v>
      </c>
      <c r="L1381" s="6">
        <v>4070.922</v>
      </c>
      <c r="M1381" s="6">
        <v>4070.922</v>
      </c>
      <c r="N1381" s="6">
        <v>0</v>
      </c>
      <c r="O1381" s="6">
        <v>0</v>
      </c>
      <c r="P1381" s="6">
        <v>36</v>
      </c>
      <c r="Q1381" s="4" t="s">
        <v>60</v>
      </c>
      <c r="R1381" s="4">
        <v>0</v>
      </c>
      <c r="S1381" s="4" t="s">
        <v>402</v>
      </c>
      <c r="U1381" s="4">
        <v>0</v>
      </c>
      <c r="V1381" s="4">
        <v>33</v>
      </c>
      <c r="W1381" s="4">
        <v>0</v>
      </c>
    </row>
    <row r="1382" spans="1:23" ht="11.25" customHeight="1" x14ac:dyDescent="0.25">
      <c r="A1382" s="4" t="s">
        <v>21</v>
      </c>
      <c r="B1382" s="4" t="s">
        <v>44</v>
      </c>
      <c r="C1382" s="4" t="s">
        <v>41</v>
      </c>
      <c r="D1382" s="4" t="s">
        <v>40</v>
      </c>
      <c r="E1382" s="4" t="s">
        <v>25</v>
      </c>
      <c r="F1382" s="4" t="s">
        <v>63</v>
      </c>
      <c r="G1382" s="4" t="s">
        <v>25</v>
      </c>
      <c r="H1382" s="4" t="s">
        <v>25</v>
      </c>
      <c r="I1382" s="5">
        <v>43983</v>
      </c>
      <c r="J1382" s="6">
        <v>0</v>
      </c>
      <c r="K1382" s="6">
        <v>0</v>
      </c>
      <c r="L1382" s="6">
        <v>4070.922</v>
      </c>
      <c r="M1382" s="6">
        <v>4070.922</v>
      </c>
      <c r="N1382" s="6">
        <v>0</v>
      </c>
      <c r="O1382" s="6">
        <v>0</v>
      </c>
      <c r="P1382" s="6">
        <v>36</v>
      </c>
      <c r="Q1382" s="4" t="s">
        <v>60</v>
      </c>
      <c r="R1382" s="4">
        <v>0</v>
      </c>
      <c r="S1382" s="4" t="s">
        <v>403</v>
      </c>
      <c r="U1382" s="4">
        <v>0</v>
      </c>
      <c r="V1382" s="4">
        <v>33</v>
      </c>
      <c r="W1382" s="4">
        <v>0</v>
      </c>
    </row>
    <row r="1383" spans="1:23" ht="11.25" customHeight="1" x14ac:dyDescent="0.25">
      <c r="A1383" s="4" t="s">
        <v>21</v>
      </c>
      <c r="B1383" s="4" t="s">
        <v>44</v>
      </c>
      <c r="C1383" s="4" t="s">
        <v>41</v>
      </c>
      <c r="D1383" s="4" t="s">
        <v>40</v>
      </c>
      <c r="E1383" s="4" t="s">
        <v>25</v>
      </c>
      <c r="F1383" s="4" t="s">
        <v>63</v>
      </c>
      <c r="G1383" s="4" t="s">
        <v>25</v>
      </c>
      <c r="H1383" s="4" t="s">
        <v>25</v>
      </c>
      <c r="I1383" s="5">
        <v>44013</v>
      </c>
      <c r="J1383" s="6">
        <v>0</v>
      </c>
      <c r="K1383" s="6">
        <v>0</v>
      </c>
      <c r="L1383" s="6">
        <v>4732.4459999999999</v>
      </c>
      <c r="M1383" s="6">
        <v>4732.4459999999999</v>
      </c>
      <c r="N1383" s="6">
        <v>0</v>
      </c>
      <c r="O1383" s="6">
        <v>0</v>
      </c>
      <c r="P1383" s="6">
        <v>33</v>
      </c>
      <c r="Q1383" s="4" t="s">
        <v>60</v>
      </c>
      <c r="R1383" s="4">
        <v>0</v>
      </c>
      <c r="S1383" s="4" t="s">
        <v>404</v>
      </c>
      <c r="U1383" s="4">
        <v>0</v>
      </c>
      <c r="V1383" s="4">
        <v>33</v>
      </c>
      <c r="W1383" s="4">
        <v>0</v>
      </c>
    </row>
    <row r="1384" spans="1:23" ht="11.25" customHeight="1" x14ac:dyDescent="0.25">
      <c r="A1384" s="4" t="s">
        <v>21</v>
      </c>
      <c r="B1384" s="4" t="s">
        <v>44</v>
      </c>
      <c r="C1384" s="4" t="s">
        <v>41</v>
      </c>
      <c r="D1384" s="4" t="s">
        <v>40</v>
      </c>
      <c r="E1384" s="4" t="s">
        <v>25</v>
      </c>
      <c r="F1384" s="4" t="s">
        <v>63</v>
      </c>
      <c r="G1384" s="4" t="s">
        <v>25</v>
      </c>
      <c r="H1384" s="4" t="s">
        <v>25</v>
      </c>
      <c r="I1384" s="5">
        <v>44044</v>
      </c>
      <c r="J1384" s="6">
        <v>0</v>
      </c>
      <c r="K1384" s="6">
        <v>0</v>
      </c>
      <c r="L1384" s="6">
        <v>4957.28</v>
      </c>
      <c r="M1384" s="6">
        <v>4957.28</v>
      </c>
      <c r="N1384" s="6">
        <v>0</v>
      </c>
      <c r="O1384" s="6">
        <v>0</v>
      </c>
      <c r="P1384" s="6">
        <v>39</v>
      </c>
      <c r="Q1384" s="4" t="s">
        <v>60</v>
      </c>
      <c r="R1384" s="4">
        <v>0</v>
      </c>
      <c r="S1384" s="4" t="s">
        <v>405</v>
      </c>
      <c r="U1384" s="4">
        <v>0</v>
      </c>
      <c r="V1384" s="4">
        <v>33</v>
      </c>
      <c r="W1384" s="4">
        <v>0</v>
      </c>
    </row>
    <row r="1385" spans="1:23" ht="11.25" customHeight="1" x14ac:dyDescent="0.25">
      <c r="A1385" s="4" t="s">
        <v>59</v>
      </c>
      <c r="B1385" s="4" t="s">
        <v>44</v>
      </c>
      <c r="C1385" s="4" t="s">
        <v>41</v>
      </c>
      <c r="D1385" s="4" t="s">
        <v>40</v>
      </c>
      <c r="E1385" s="4" t="s">
        <v>25</v>
      </c>
      <c r="F1385" s="4" t="s">
        <v>63</v>
      </c>
      <c r="G1385" s="4" t="s">
        <v>25</v>
      </c>
      <c r="H1385" s="4" t="s">
        <v>25</v>
      </c>
      <c r="I1385" s="5">
        <v>44075</v>
      </c>
      <c r="J1385" s="6">
        <v>0</v>
      </c>
      <c r="K1385" s="6">
        <v>0</v>
      </c>
      <c r="L1385" s="6">
        <v>4957.28</v>
      </c>
      <c r="M1385" s="6">
        <v>4957.28</v>
      </c>
      <c r="N1385" s="6">
        <v>0</v>
      </c>
      <c r="O1385" s="6">
        <v>0</v>
      </c>
      <c r="P1385" s="6">
        <v>39</v>
      </c>
      <c r="Q1385" s="4" t="s">
        <v>60</v>
      </c>
      <c r="R1385" s="4">
        <v>0</v>
      </c>
      <c r="S1385" s="4" t="s">
        <v>406</v>
      </c>
      <c r="U1385" s="4">
        <v>0</v>
      </c>
      <c r="V1385" s="4">
        <v>33</v>
      </c>
      <c r="W1385" s="4">
        <v>0</v>
      </c>
    </row>
    <row r="1386" spans="1:23" ht="11.25" customHeight="1" x14ac:dyDescent="0.25">
      <c r="A1386" s="4" t="s">
        <v>21</v>
      </c>
      <c r="B1386" s="4" t="s">
        <v>44</v>
      </c>
      <c r="C1386" s="4" t="s">
        <v>41</v>
      </c>
      <c r="D1386" s="4" t="s">
        <v>40</v>
      </c>
      <c r="E1386" s="4" t="s">
        <v>25</v>
      </c>
      <c r="F1386" s="4" t="s">
        <v>63</v>
      </c>
      <c r="G1386" s="4" t="s">
        <v>25</v>
      </c>
      <c r="H1386" s="4" t="s">
        <v>35</v>
      </c>
      <c r="I1386" s="5">
        <v>43739</v>
      </c>
      <c r="J1386" s="6">
        <v>10448</v>
      </c>
      <c r="K1386" s="6">
        <v>6634.1785751999996</v>
      </c>
      <c r="L1386" s="6">
        <v>0</v>
      </c>
      <c r="M1386" s="6">
        <v>0</v>
      </c>
      <c r="N1386" s="6">
        <v>0</v>
      </c>
      <c r="O1386" s="6">
        <v>0</v>
      </c>
      <c r="P1386" s="6">
        <v>0</v>
      </c>
      <c r="Q1386" s="4" t="s">
        <v>60</v>
      </c>
      <c r="R1386" s="4">
        <v>0</v>
      </c>
      <c r="S1386" s="4" t="s">
        <v>383</v>
      </c>
      <c r="U1386" s="4">
        <v>31</v>
      </c>
      <c r="V1386" s="4">
        <v>0</v>
      </c>
      <c r="W1386" s="4">
        <v>0</v>
      </c>
    </row>
    <row r="1387" spans="1:23" ht="11.25" customHeight="1" x14ac:dyDescent="0.25">
      <c r="A1387" s="4" t="s">
        <v>21</v>
      </c>
      <c r="B1387" s="4" t="s">
        <v>44</v>
      </c>
      <c r="C1387" s="4" t="s">
        <v>41</v>
      </c>
      <c r="D1387" s="4" t="s">
        <v>40</v>
      </c>
      <c r="E1387" s="4" t="s">
        <v>25</v>
      </c>
      <c r="F1387" s="4" t="s">
        <v>63</v>
      </c>
      <c r="G1387" s="4" t="s">
        <v>25</v>
      </c>
      <c r="H1387" s="4" t="s">
        <v>35</v>
      </c>
      <c r="I1387" s="5">
        <v>43770</v>
      </c>
      <c r="J1387" s="6">
        <v>10448</v>
      </c>
      <c r="K1387" s="6">
        <v>6652.4083500799998</v>
      </c>
      <c r="L1387" s="6">
        <v>0</v>
      </c>
      <c r="M1387" s="6">
        <v>0</v>
      </c>
      <c r="N1387" s="6">
        <v>0</v>
      </c>
      <c r="O1387" s="6">
        <v>0</v>
      </c>
      <c r="P1387" s="6">
        <v>0</v>
      </c>
      <c r="Q1387" s="4" t="s">
        <v>60</v>
      </c>
      <c r="R1387" s="4">
        <v>0</v>
      </c>
      <c r="S1387" s="4" t="s">
        <v>384</v>
      </c>
      <c r="U1387" s="4">
        <v>31</v>
      </c>
      <c r="V1387" s="4">
        <v>0</v>
      </c>
      <c r="W1387" s="4">
        <v>0</v>
      </c>
    </row>
    <row r="1388" spans="1:23" ht="11.25" customHeight="1" x14ac:dyDescent="0.25">
      <c r="A1388" s="4" t="s">
        <v>21</v>
      </c>
      <c r="B1388" s="4" t="s">
        <v>44</v>
      </c>
      <c r="C1388" s="4" t="s">
        <v>41</v>
      </c>
      <c r="D1388" s="4" t="s">
        <v>40</v>
      </c>
      <c r="E1388" s="4" t="s">
        <v>25</v>
      </c>
      <c r="F1388" s="4" t="s">
        <v>63</v>
      </c>
      <c r="G1388" s="4" t="s">
        <v>25</v>
      </c>
      <c r="H1388" s="4" t="s">
        <v>35</v>
      </c>
      <c r="I1388" s="5">
        <v>43800</v>
      </c>
      <c r="J1388" s="6">
        <v>10448</v>
      </c>
      <c r="K1388" s="6">
        <v>6686.5232641599996</v>
      </c>
      <c r="L1388" s="6">
        <v>0</v>
      </c>
      <c r="M1388" s="6">
        <v>0</v>
      </c>
      <c r="N1388" s="6">
        <v>0</v>
      </c>
      <c r="O1388" s="6">
        <v>0</v>
      </c>
      <c r="P1388" s="6">
        <v>0</v>
      </c>
      <c r="Q1388" s="4" t="s">
        <v>60</v>
      </c>
      <c r="R1388" s="4">
        <v>0</v>
      </c>
      <c r="S1388" s="4" t="s">
        <v>385</v>
      </c>
      <c r="U1388" s="4">
        <v>31</v>
      </c>
      <c r="V1388" s="4">
        <v>0</v>
      </c>
      <c r="W1388" s="4">
        <v>0</v>
      </c>
    </row>
    <row r="1389" spans="1:23" ht="11.25" customHeight="1" x14ac:dyDescent="0.25">
      <c r="A1389" s="4" t="s">
        <v>21</v>
      </c>
      <c r="B1389" s="4" t="s">
        <v>44</v>
      </c>
      <c r="C1389" s="4" t="s">
        <v>41</v>
      </c>
      <c r="D1389" s="4" t="s">
        <v>40</v>
      </c>
      <c r="E1389" s="4" t="s">
        <v>25</v>
      </c>
      <c r="F1389" s="4" t="s">
        <v>63</v>
      </c>
      <c r="G1389" s="4" t="s">
        <v>25</v>
      </c>
      <c r="H1389" s="4" t="s">
        <v>35</v>
      </c>
      <c r="I1389" s="5">
        <v>43831</v>
      </c>
      <c r="J1389" s="6">
        <v>11979</v>
      </c>
      <c r="K1389" s="6">
        <v>8104.6517953499997</v>
      </c>
      <c r="L1389" s="6">
        <v>0</v>
      </c>
      <c r="M1389" s="6">
        <v>0</v>
      </c>
      <c r="N1389" s="6">
        <v>0</v>
      </c>
      <c r="O1389" s="6">
        <v>0</v>
      </c>
      <c r="P1389" s="6">
        <v>0</v>
      </c>
      <c r="Q1389" s="4" t="s">
        <v>60</v>
      </c>
      <c r="R1389" s="4">
        <v>0</v>
      </c>
      <c r="S1389" s="4" t="s">
        <v>386</v>
      </c>
      <c r="U1389" s="4">
        <v>31</v>
      </c>
      <c r="V1389" s="4">
        <v>0</v>
      </c>
      <c r="W1389" s="4">
        <v>0</v>
      </c>
    </row>
    <row r="1390" spans="1:23" ht="11.25" customHeight="1" x14ac:dyDescent="0.25">
      <c r="A1390" s="4" t="s">
        <v>21</v>
      </c>
      <c r="B1390" s="4" t="s">
        <v>44</v>
      </c>
      <c r="C1390" s="4" t="s">
        <v>41</v>
      </c>
      <c r="D1390" s="4" t="s">
        <v>40</v>
      </c>
      <c r="E1390" s="4" t="s">
        <v>25</v>
      </c>
      <c r="F1390" s="4" t="s">
        <v>63</v>
      </c>
      <c r="G1390" s="4" t="s">
        <v>25</v>
      </c>
      <c r="H1390" s="4" t="s">
        <v>35</v>
      </c>
      <c r="I1390" s="5">
        <v>43862</v>
      </c>
      <c r="J1390" s="6">
        <v>11884</v>
      </c>
      <c r="K1390" s="6">
        <v>7569.0654166800005</v>
      </c>
      <c r="L1390" s="6">
        <v>0</v>
      </c>
      <c r="M1390" s="6">
        <v>0</v>
      </c>
      <c r="N1390" s="6">
        <v>0</v>
      </c>
      <c r="O1390" s="6">
        <v>0</v>
      </c>
      <c r="P1390" s="6">
        <v>0</v>
      </c>
      <c r="Q1390" s="4" t="s">
        <v>60</v>
      </c>
      <c r="R1390" s="4">
        <v>0</v>
      </c>
      <c r="S1390" s="4" t="s">
        <v>387</v>
      </c>
      <c r="U1390" s="4">
        <v>31</v>
      </c>
      <c r="V1390" s="4">
        <v>0</v>
      </c>
      <c r="W1390" s="4">
        <v>0</v>
      </c>
    </row>
    <row r="1391" spans="1:23" ht="11.25" customHeight="1" x14ac:dyDescent="0.25">
      <c r="A1391" s="4" t="s">
        <v>21</v>
      </c>
      <c r="B1391" s="4" t="s">
        <v>44</v>
      </c>
      <c r="C1391" s="4" t="s">
        <v>41</v>
      </c>
      <c r="D1391" s="4" t="s">
        <v>40</v>
      </c>
      <c r="E1391" s="4" t="s">
        <v>25</v>
      </c>
      <c r="F1391" s="4" t="s">
        <v>63</v>
      </c>
      <c r="G1391" s="4" t="s">
        <v>25</v>
      </c>
      <c r="H1391" s="4" t="s">
        <v>35</v>
      </c>
      <c r="I1391" s="5">
        <v>43891</v>
      </c>
      <c r="J1391" s="6">
        <v>11802</v>
      </c>
      <c r="K1391" s="6">
        <v>7539.6826797599997</v>
      </c>
      <c r="L1391" s="6">
        <v>0</v>
      </c>
      <c r="M1391" s="6">
        <v>0</v>
      </c>
      <c r="N1391" s="6">
        <v>0</v>
      </c>
      <c r="O1391" s="6">
        <v>0</v>
      </c>
      <c r="P1391" s="6">
        <v>0</v>
      </c>
      <c r="Q1391" s="4" t="s">
        <v>60</v>
      </c>
      <c r="R1391" s="4">
        <v>0</v>
      </c>
      <c r="S1391" s="4" t="s">
        <v>388</v>
      </c>
      <c r="U1391" s="4">
        <v>31</v>
      </c>
      <c r="V1391" s="4">
        <v>0</v>
      </c>
      <c r="W1391" s="4">
        <v>0</v>
      </c>
    </row>
    <row r="1392" spans="1:23" ht="11.25" customHeight="1" x14ac:dyDescent="0.25">
      <c r="A1392" s="4" t="s">
        <v>21</v>
      </c>
      <c r="B1392" s="4" t="s">
        <v>44</v>
      </c>
      <c r="C1392" s="4" t="s">
        <v>41</v>
      </c>
      <c r="D1392" s="4" t="s">
        <v>40</v>
      </c>
      <c r="E1392" s="4" t="s">
        <v>25</v>
      </c>
      <c r="F1392" s="4" t="s">
        <v>63</v>
      </c>
      <c r="G1392" s="4" t="s">
        <v>25</v>
      </c>
      <c r="H1392" s="4" t="s">
        <v>35</v>
      </c>
      <c r="I1392" s="5">
        <v>43922</v>
      </c>
      <c r="J1392" s="6">
        <v>11823</v>
      </c>
      <c r="K1392" s="6">
        <v>7503.1484383799998</v>
      </c>
      <c r="L1392" s="6">
        <v>0</v>
      </c>
      <c r="M1392" s="6">
        <v>0</v>
      </c>
      <c r="N1392" s="6">
        <v>0</v>
      </c>
      <c r="O1392" s="6">
        <v>0</v>
      </c>
      <c r="P1392" s="6">
        <v>0</v>
      </c>
      <c r="Q1392" s="4" t="s">
        <v>60</v>
      </c>
      <c r="R1392" s="4">
        <v>0</v>
      </c>
      <c r="S1392" s="4" t="s">
        <v>389</v>
      </c>
      <c r="U1392" s="4">
        <v>31</v>
      </c>
      <c r="V1392" s="4">
        <v>0</v>
      </c>
      <c r="W1392" s="4">
        <v>0</v>
      </c>
    </row>
    <row r="1393" spans="1:23" ht="11.25" customHeight="1" x14ac:dyDescent="0.25">
      <c r="A1393" s="4" t="s">
        <v>21</v>
      </c>
      <c r="B1393" s="4" t="s">
        <v>44</v>
      </c>
      <c r="C1393" s="4" t="s">
        <v>41</v>
      </c>
      <c r="D1393" s="4" t="s">
        <v>40</v>
      </c>
      <c r="E1393" s="4" t="s">
        <v>25</v>
      </c>
      <c r="F1393" s="4" t="s">
        <v>63</v>
      </c>
      <c r="G1393" s="4" t="s">
        <v>25</v>
      </c>
      <c r="H1393" s="4" t="s">
        <v>35</v>
      </c>
      <c r="I1393" s="5">
        <v>43952</v>
      </c>
      <c r="J1393" s="6">
        <v>11882</v>
      </c>
      <c r="K1393" s="6">
        <v>7775.9786093599996</v>
      </c>
      <c r="L1393" s="6">
        <v>0</v>
      </c>
      <c r="M1393" s="6">
        <v>0</v>
      </c>
      <c r="N1393" s="6">
        <v>0</v>
      </c>
      <c r="O1393" s="6">
        <v>0</v>
      </c>
      <c r="P1393" s="6">
        <v>0</v>
      </c>
      <c r="Q1393" s="4" t="s">
        <v>60</v>
      </c>
      <c r="R1393" s="4">
        <v>0</v>
      </c>
      <c r="S1393" s="4" t="s">
        <v>390</v>
      </c>
      <c r="U1393" s="4">
        <v>31</v>
      </c>
      <c r="V1393" s="4">
        <v>0</v>
      </c>
      <c r="W1393" s="4">
        <v>0</v>
      </c>
    </row>
    <row r="1394" spans="1:23" ht="11.25" customHeight="1" x14ac:dyDescent="0.25">
      <c r="A1394" s="4" t="s">
        <v>21</v>
      </c>
      <c r="B1394" s="4" t="s">
        <v>44</v>
      </c>
      <c r="C1394" s="4" t="s">
        <v>41</v>
      </c>
      <c r="D1394" s="4" t="s">
        <v>40</v>
      </c>
      <c r="E1394" s="4" t="s">
        <v>25</v>
      </c>
      <c r="F1394" s="4" t="s">
        <v>63</v>
      </c>
      <c r="G1394" s="4" t="s">
        <v>25</v>
      </c>
      <c r="H1394" s="4" t="s">
        <v>35</v>
      </c>
      <c r="I1394" s="5">
        <v>43983</v>
      </c>
      <c r="J1394" s="6">
        <v>11882</v>
      </c>
      <c r="K1394" s="6">
        <v>7480.9745709400004</v>
      </c>
      <c r="L1394" s="6">
        <v>0</v>
      </c>
      <c r="M1394" s="6">
        <v>0</v>
      </c>
      <c r="N1394" s="6">
        <v>0</v>
      </c>
      <c r="O1394" s="6">
        <v>0</v>
      </c>
      <c r="P1394" s="6">
        <v>0</v>
      </c>
      <c r="Q1394" s="4" t="s">
        <v>60</v>
      </c>
      <c r="R1394" s="4">
        <v>0</v>
      </c>
      <c r="S1394" s="4" t="s">
        <v>391</v>
      </c>
      <c r="U1394" s="4">
        <v>31</v>
      </c>
      <c r="V1394" s="4">
        <v>0</v>
      </c>
      <c r="W1394" s="4">
        <v>0</v>
      </c>
    </row>
    <row r="1395" spans="1:23" ht="11.25" customHeight="1" x14ac:dyDescent="0.25">
      <c r="A1395" s="4" t="s">
        <v>21</v>
      </c>
      <c r="B1395" s="4" t="s">
        <v>44</v>
      </c>
      <c r="C1395" s="4" t="s">
        <v>41</v>
      </c>
      <c r="D1395" s="4" t="s">
        <v>40</v>
      </c>
      <c r="E1395" s="4" t="s">
        <v>25</v>
      </c>
      <c r="F1395" s="4" t="s">
        <v>63</v>
      </c>
      <c r="G1395" s="4" t="s">
        <v>25</v>
      </c>
      <c r="H1395" s="4" t="s">
        <v>35</v>
      </c>
      <c r="I1395" s="5">
        <v>44013</v>
      </c>
      <c r="J1395" s="6">
        <v>10448</v>
      </c>
      <c r="K1395" s="6">
        <v>6596.7883175999996</v>
      </c>
      <c r="L1395" s="6">
        <v>0</v>
      </c>
      <c r="M1395" s="6">
        <v>0</v>
      </c>
      <c r="N1395" s="6">
        <v>0</v>
      </c>
      <c r="O1395" s="6">
        <v>0</v>
      </c>
      <c r="P1395" s="6">
        <v>0</v>
      </c>
      <c r="Q1395" s="4" t="s">
        <v>60</v>
      </c>
      <c r="R1395" s="4">
        <v>0</v>
      </c>
      <c r="S1395" s="4" t="s">
        <v>392</v>
      </c>
      <c r="U1395" s="4">
        <v>31</v>
      </c>
      <c r="V1395" s="4">
        <v>0</v>
      </c>
      <c r="W1395" s="4">
        <v>0</v>
      </c>
    </row>
    <row r="1396" spans="1:23" ht="11.25" customHeight="1" x14ac:dyDescent="0.25">
      <c r="A1396" s="4" t="s">
        <v>21</v>
      </c>
      <c r="B1396" s="4" t="s">
        <v>44</v>
      </c>
      <c r="C1396" s="4" t="s">
        <v>41</v>
      </c>
      <c r="D1396" s="4" t="s">
        <v>40</v>
      </c>
      <c r="E1396" s="4" t="s">
        <v>25</v>
      </c>
      <c r="F1396" s="4" t="s">
        <v>63</v>
      </c>
      <c r="G1396" s="4" t="s">
        <v>25</v>
      </c>
      <c r="H1396" s="4" t="s">
        <v>35</v>
      </c>
      <c r="I1396" s="5">
        <v>44044</v>
      </c>
      <c r="J1396" s="6">
        <v>12709</v>
      </c>
      <c r="K1396" s="6">
        <v>8260.85</v>
      </c>
      <c r="L1396" s="6">
        <v>0</v>
      </c>
      <c r="M1396" s="6">
        <v>0</v>
      </c>
      <c r="N1396" s="6">
        <v>0</v>
      </c>
      <c r="O1396" s="6">
        <v>0</v>
      </c>
      <c r="P1396" s="6">
        <v>0</v>
      </c>
      <c r="Q1396" s="4" t="s">
        <v>60</v>
      </c>
      <c r="R1396" s="4">
        <v>0</v>
      </c>
      <c r="S1396" s="4" t="s">
        <v>393</v>
      </c>
      <c r="U1396" s="4">
        <v>31</v>
      </c>
      <c r="V1396" s="4">
        <v>0</v>
      </c>
      <c r="W1396" s="4">
        <v>0</v>
      </c>
    </row>
    <row r="1397" spans="1:23" ht="11.25" customHeight="1" x14ac:dyDescent="0.25">
      <c r="A1397" s="4" t="s">
        <v>59</v>
      </c>
      <c r="B1397" s="4" t="s">
        <v>44</v>
      </c>
      <c r="C1397" s="4" t="s">
        <v>41</v>
      </c>
      <c r="D1397" s="4" t="s">
        <v>40</v>
      </c>
      <c r="E1397" s="4" t="s">
        <v>25</v>
      </c>
      <c r="F1397" s="4" t="s">
        <v>63</v>
      </c>
      <c r="G1397" s="4" t="s">
        <v>25</v>
      </c>
      <c r="H1397" s="4" t="s">
        <v>35</v>
      </c>
      <c r="I1397" s="5">
        <v>44075</v>
      </c>
      <c r="J1397" s="6">
        <v>12709</v>
      </c>
      <c r="K1397" s="6">
        <v>8260.85</v>
      </c>
      <c r="L1397" s="6">
        <v>0</v>
      </c>
      <c r="M1397" s="6">
        <v>0</v>
      </c>
      <c r="N1397" s="6">
        <v>0</v>
      </c>
      <c r="O1397" s="6">
        <v>0</v>
      </c>
      <c r="P1397" s="6">
        <v>0</v>
      </c>
      <c r="Q1397" s="4" t="s">
        <v>60</v>
      </c>
      <c r="R1397" s="4">
        <v>0</v>
      </c>
      <c r="S1397" s="4" t="s">
        <v>394</v>
      </c>
      <c r="U1397" s="4">
        <v>31</v>
      </c>
      <c r="V1397" s="4">
        <v>0</v>
      </c>
      <c r="W1397" s="4">
        <v>0</v>
      </c>
    </row>
    <row r="1398" spans="1:23" ht="11.25" customHeight="1" x14ac:dyDescent="0.25">
      <c r="A1398" s="4" t="s">
        <v>21</v>
      </c>
      <c r="B1398" s="4" t="s">
        <v>44</v>
      </c>
      <c r="C1398" s="4" t="s">
        <v>41</v>
      </c>
      <c r="D1398" s="4" t="s">
        <v>48</v>
      </c>
      <c r="E1398" s="4" t="s">
        <v>25</v>
      </c>
      <c r="F1398" s="4" t="s">
        <v>25</v>
      </c>
      <c r="G1398" s="4" t="s">
        <v>25</v>
      </c>
      <c r="H1398" s="4" t="s">
        <v>36</v>
      </c>
      <c r="I1398" s="5">
        <v>43739</v>
      </c>
      <c r="J1398" s="6">
        <v>14827</v>
      </c>
      <c r="K1398" s="6">
        <v>14827</v>
      </c>
      <c r="L1398" s="6">
        <v>3933.87</v>
      </c>
      <c r="M1398" s="6">
        <v>3933.87</v>
      </c>
      <c r="N1398" s="6">
        <v>3933.87</v>
      </c>
      <c r="O1398" s="6">
        <v>3933.87</v>
      </c>
      <c r="P1398" s="6">
        <v>0</v>
      </c>
      <c r="Q1398" s="4" t="s">
        <v>26</v>
      </c>
      <c r="R1398" s="4">
        <v>0</v>
      </c>
      <c r="S1398" s="4" t="s">
        <v>371</v>
      </c>
      <c r="T1398" s="4" t="s">
        <v>725</v>
      </c>
      <c r="U1398" s="4">
        <v>32</v>
      </c>
      <c r="V1398" s="4">
        <v>33</v>
      </c>
      <c r="W1398" s="4">
        <v>84</v>
      </c>
    </row>
    <row r="1399" spans="1:23" ht="11.25" customHeight="1" x14ac:dyDescent="0.25">
      <c r="A1399" s="4" t="s">
        <v>27</v>
      </c>
      <c r="B1399" s="4" t="s">
        <v>44</v>
      </c>
      <c r="C1399" s="4" t="s">
        <v>41</v>
      </c>
      <c r="D1399" s="4" t="s">
        <v>48</v>
      </c>
      <c r="E1399" s="4" t="s">
        <v>25</v>
      </c>
      <c r="F1399" s="4" t="s">
        <v>25</v>
      </c>
      <c r="G1399" s="4" t="s">
        <v>25</v>
      </c>
      <c r="H1399" s="4" t="s">
        <v>36</v>
      </c>
      <c r="I1399" s="5">
        <v>43739</v>
      </c>
      <c r="J1399" s="6">
        <v>436</v>
      </c>
      <c r="K1399" s="6">
        <v>436</v>
      </c>
      <c r="L1399" s="6">
        <v>149.66</v>
      </c>
      <c r="M1399" s="6">
        <v>149.66</v>
      </c>
      <c r="N1399" s="6">
        <v>149.66</v>
      </c>
      <c r="O1399" s="6">
        <v>149.66</v>
      </c>
      <c r="P1399" s="6">
        <v>0</v>
      </c>
      <c r="Q1399" s="4" t="s">
        <v>26</v>
      </c>
      <c r="R1399" s="4">
        <v>0</v>
      </c>
      <c r="S1399" s="4" t="s">
        <v>371</v>
      </c>
      <c r="T1399" s="4" t="s">
        <v>725</v>
      </c>
      <c r="U1399" s="4">
        <v>32</v>
      </c>
      <c r="V1399" s="4">
        <v>33</v>
      </c>
      <c r="W1399" s="4">
        <v>84</v>
      </c>
    </row>
    <row r="1400" spans="1:23" ht="11.25" customHeight="1" x14ac:dyDescent="0.25">
      <c r="A1400" s="4" t="s">
        <v>21</v>
      </c>
      <c r="B1400" s="4" t="s">
        <v>44</v>
      </c>
      <c r="C1400" s="4" t="s">
        <v>41</v>
      </c>
      <c r="D1400" s="4" t="s">
        <v>48</v>
      </c>
      <c r="E1400" s="4" t="s">
        <v>25</v>
      </c>
      <c r="F1400" s="4" t="s">
        <v>25</v>
      </c>
      <c r="G1400" s="4" t="s">
        <v>25</v>
      </c>
      <c r="H1400" s="4" t="s">
        <v>36</v>
      </c>
      <c r="I1400" s="5">
        <v>43770</v>
      </c>
      <c r="J1400" s="6">
        <v>15554</v>
      </c>
      <c r="K1400" s="6">
        <v>15554</v>
      </c>
      <c r="L1400" s="6">
        <v>4090.127</v>
      </c>
      <c r="M1400" s="6">
        <v>4090.127</v>
      </c>
      <c r="N1400" s="6">
        <v>4090.127</v>
      </c>
      <c r="O1400" s="6">
        <v>4090.127</v>
      </c>
      <c r="P1400" s="6">
        <v>0</v>
      </c>
      <c r="Q1400" s="4" t="s">
        <v>26</v>
      </c>
      <c r="R1400" s="4">
        <v>0</v>
      </c>
      <c r="S1400" s="4" t="s">
        <v>372</v>
      </c>
      <c r="T1400" s="4" t="s">
        <v>726</v>
      </c>
      <c r="U1400" s="4">
        <v>32</v>
      </c>
      <c r="V1400" s="4">
        <v>33</v>
      </c>
      <c r="W1400" s="4">
        <v>84</v>
      </c>
    </row>
    <row r="1401" spans="1:23" ht="11.25" customHeight="1" x14ac:dyDescent="0.25">
      <c r="A1401" s="4" t="s">
        <v>27</v>
      </c>
      <c r="B1401" s="4" t="s">
        <v>44</v>
      </c>
      <c r="C1401" s="4" t="s">
        <v>41</v>
      </c>
      <c r="D1401" s="4" t="s">
        <v>48</v>
      </c>
      <c r="E1401" s="4" t="s">
        <v>25</v>
      </c>
      <c r="F1401" s="4" t="s">
        <v>25</v>
      </c>
      <c r="G1401" s="4" t="s">
        <v>25</v>
      </c>
      <c r="H1401" s="4" t="s">
        <v>36</v>
      </c>
      <c r="I1401" s="5">
        <v>43770</v>
      </c>
      <c r="J1401" s="6">
        <v>436</v>
      </c>
      <c r="K1401" s="6">
        <v>436</v>
      </c>
      <c r="L1401" s="6">
        <v>154.79300000000001</v>
      </c>
      <c r="M1401" s="6">
        <v>154.79300000000001</v>
      </c>
      <c r="N1401" s="6">
        <v>154.79300000000001</v>
      </c>
      <c r="O1401" s="6">
        <v>154.79300000000001</v>
      </c>
      <c r="P1401" s="6">
        <v>0</v>
      </c>
      <c r="Q1401" s="4" t="s">
        <v>26</v>
      </c>
      <c r="R1401" s="4">
        <v>0</v>
      </c>
      <c r="S1401" s="4" t="s">
        <v>372</v>
      </c>
      <c r="T1401" s="4" t="s">
        <v>726</v>
      </c>
      <c r="U1401" s="4">
        <v>32</v>
      </c>
      <c r="V1401" s="4">
        <v>33</v>
      </c>
      <c r="W1401" s="4">
        <v>84</v>
      </c>
    </row>
    <row r="1402" spans="1:23" ht="11.25" customHeight="1" x14ac:dyDescent="0.25">
      <c r="A1402" s="4" t="s">
        <v>21</v>
      </c>
      <c r="B1402" s="4" t="s">
        <v>44</v>
      </c>
      <c r="C1402" s="4" t="s">
        <v>41</v>
      </c>
      <c r="D1402" s="4" t="s">
        <v>48</v>
      </c>
      <c r="E1402" s="4" t="s">
        <v>25</v>
      </c>
      <c r="F1402" s="4" t="s">
        <v>25</v>
      </c>
      <c r="G1402" s="4" t="s">
        <v>25</v>
      </c>
      <c r="H1402" s="4" t="s">
        <v>36</v>
      </c>
      <c r="I1402" s="5">
        <v>43800</v>
      </c>
      <c r="J1402" s="6">
        <v>15775</v>
      </c>
      <c r="K1402" s="6">
        <v>15775</v>
      </c>
      <c r="L1402" s="6">
        <v>3903.7860000000001</v>
      </c>
      <c r="M1402" s="6">
        <v>3903.7860000000001</v>
      </c>
      <c r="N1402" s="6">
        <v>3903.7860000000001</v>
      </c>
      <c r="O1402" s="6">
        <v>3903.7860000000001</v>
      </c>
      <c r="P1402" s="6">
        <v>0</v>
      </c>
      <c r="Q1402" s="4" t="s">
        <v>26</v>
      </c>
      <c r="R1402" s="4">
        <v>0</v>
      </c>
      <c r="S1402" s="4" t="s">
        <v>373</v>
      </c>
      <c r="T1402" s="4" t="s">
        <v>727</v>
      </c>
      <c r="U1402" s="4">
        <v>32</v>
      </c>
      <c r="V1402" s="4">
        <v>33</v>
      </c>
      <c r="W1402" s="4">
        <v>84</v>
      </c>
    </row>
    <row r="1403" spans="1:23" ht="11.25" customHeight="1" x14ac:dyDescent="0.25">
      <c r="A1403" s="4" t="s">
        <v>27</v>
      </c>
      <c r="B1403" s="4" t="s">
        <v>44</v>
      </c>
      <c r="C1403" s="4" t="s">
        <v>41</v>
      </c>
      <c r="D1403" s="4" t="s">
        <v>48</v>
      </c>
      <c r="E1403" s="4" t="s">
        <v>25</v>
      </c>
      <c r="F1403" s="4" t="s">
        <v>25</v>
      </c>
      <c r="G1403" s="4" t="s">
        <v>25</v>
      </c>
      <c r="H1403" s="4" t="s">
        <v>36</v>
      </c>
      <c r="I1403" s="5">
        <v>43800</v>
      </c>
      <c r="J1403" s="6">
        <v>436</v>
      </c>
      <c r="K1403" s="6">
        <v>436</v>
      </c>
      <c r="L1403" s="6">
        <v>146.85400000000001</v>
      </c>
      <c r="M1403" s="6">
        <v>146.85400000000001</v>
      </c>
      <c r="N1403" s="6">
        <v>146.85400000000001</v>
      </c>
      <c r="O1403" s="6">
        <v>146.85400000000001</v>
      </c>
      <c r="P1403" s="6">
        <v>0</v>
      </c>
      <c r="Q1403" s="4" t="s">
        <v>26</v>
      </c>
      <c r="R1403" s="4">
        <v>0</v>
      </c>
      <c r="S1403" s="4" t="s">
        <v>373</v>
      </c>
      <c r="T1403" s="4" t="s">
        <v>727</v>
      </c>
      <c r="U1403" s="4">
        <v>32</v>
      </c>
      <c r="V1403" s="4">
        <v>33</v>
      </c>
      <c r="W1403" s="4">
        <v>84</v>
      </c>
    </row>
    <row r="1404" spans="1:23" ht="11.25" customHeight="1" x14ac:dyDescent="0.25">
      <c r="A1404" s="4" t="s">
        <v>21</v>
      </c>
      <c r="B1404" s="4" t="s">
        <v>44</v>
      </c>
      <c r="C1404" s="4" t="s">
        <v>41</v>
      </c>
      <c r="D1404" s="4" t="s">
        <v>48</v>
      </c>
      <c r="E1404" s="4" t="s">
        <v>25</v>
      </c>
      <c r="F1404" s="4" t="s">
        <v>25</v>
      </c>
      <c r="G1404" s="4" t="s">
        <v>25</v>
      </c>
      <c r="H1404" s="4" t="s">
        <v>36</v>
      </c>
      <c r="I1404" s="5">
        <v>43831</v>
      </c>
      <c r="J1404" s="6">
        <v>15884</v>
      </c>
      <c r="K1404" s="6">
        <v>15884</v>
      </c>
      <c r="L1404" s="6">
        <v>3796.4960000000001</v>
      </c>
      <c r="M1404" s="6">
        <v>3796.4960000000001</v>
      </c>
      <c r="N1404" s="6">
        <v>3796.4960000000001</v>
      </c>
      <c r="O1404" s="6">
        <v>3796.4960000000001</v>
      </c>
      <c r="P1404" s="6">
        <v>0</v>
      </c>
      <c r="Q1404" s="4" t="s">
        <v>26</v>
      </c>
      <c r="R1404" s="4">
        <v>0</v>
      </c>
      <c r="S1404" s="4" t="s">
        <v>374</v>
      </c>
      <c r="T1404" s="4" t="s">
        <v>728</v>
      </c>
      <c r="U1404" s="4">
        <v>32</v>
      </c>
      <c r="V1404" s="4">
        <v>33</v>
      </c>
      <c r="W1404" s="4">
        <v>84</v>
      </c>
    </row>
    <row r="1405" spans="1:23" ht="11.25" customHeight="1" x14ac:dyDescent="0.25">
      <c r="A1405" s="4" t="s">
        <v>27</v>
      </c>
      <c r="B1405" s="4" t="s">
        <v>44</v>
      </c>
      <c r="C1405" s="4" t="s">
        <v>41</v>
      </c>
      <c r="D1405" s="4" t="s">
        <v>48</v>
      </c>
      <c r="E1405" s="4" t="s">
        <v>25</v>
      </c>
      <c r="F1405" s="4" t="s">
        <v>25</v>
      </c>
      <c r="G1405" s="4" t="s">
        <v>25</v>
      </c>
      <c r="H1405" s="4" t="s">
        <v>36</v>
      </c>
      <c r="I1405" s="5">
        <v>43831</v>
      </c>
      <c r="J1405" s="6">
        <v>436</v>
      </c>
      <c r="K1405" s="6">
        <v>436</v>
      </c>
      <c r="L1405" s="6">
        <v>145.36600000000001</v>
      </c>
      <c r="M1405" s="6">
        <v>145.36600000000001</v>
      </c>
      <c r="N1405" s="6">
        <v>145.36600000000001</v>
      </c>
      <c r="O1405" s="6">
        <v>145.36600000000001</v>
      </c>
      <c r="P1405" s="6">
        <v>0</v>
      </c>
      <c r="Q1405" s="4" t="s">
        <v>26</v>
      </c>
      <c r="R1405" s="4">
        <v>0</v>
      </c>
      <c r="S1405" s="4" t="s">
        <v>374</v>
      </c>
      <c r="T1405" s="4" t="s">
        <v>728</v>
      </c>
      <c r="U1405" s="4">
        <v>32</v>
      </c>
      <c r="V1405" s="4">
        <v>33</v>
      </c>
      <c r="W1405" s="4">
        <v>84</v>
      </c>
    </row>
    <row r="1406" spans="1:23" ht="11.25" customHeight="1" x14ac:dyDescent="0.25">
      <c r="A1406" s="4" t="s">
        <v>21</v>
      </c>
      <c r="B1406" s="4" t="s">
        <v>44</v>
      </c>
      <c r="C1406" s="4" t="s">
        <v>41</v>
      </c>
      <c r="D1406" s="4" t="s">
        <v>48</v>
      </c>
      <c r="E1406" s="4" t="s">
        <v>25</v>
      </c>
      <c r="F1406" s="4" t="s">
        <v>25</v>
      </c>
      <c r="G1406" s="4" t="s">
        <v>25</v>
      </c>
      <c r="H1406" s="4" t="s">
        <v>36</v>
      </c>
      <c r="I1406" s="5">
        <v>43862</v>
      </c>
      <c r="J1406" s="6">
        <v>15999</v>
      </c>
      <c r="K1406" s="6">
        <v>15999</v>
      </c>
      <c r="L1406" s="6">
        <v>3971.7420000000002</v>
      </c>
      <c r="M1406" s="6">
        <v>3971.7420000000002</v>
      </c>
      <c r="N1406" s="6">
        <v>3971.7420000000002</v>
      </c>
      <c r="O1406" s="6">
        <v>3971.7420000000002</v>
      </c>
      <c r="P1406" s="6">
        <v>0</v>
      </c>
      <c r="Q1406" s="4" t="s">
        <v>26</v>
      </c>
      <c r="R1406" s="4">
        <v>0</v>
      </c>
      <c r="S1406" s="4" t="s">
        <v>375</v>
      </c>
      <c r="T1406" s="4" t="s">
        <v>729</v>
      </c>
      <c r="U1406" s="4">
        <v>32</v>
      </c>
      <c r="V1406" s="4">
        <v>33</v>
      </c>
      <c r="W1406" s="4">
        <v>84</v>
      </c>
    </row>
    <row r="1407" spans="1:23" ht="11.25" customHeight="1" x14ac:dyDescent="0.25">
      <c r="A1407" s="4" t="s">
        <v>27</v>
      </c>
      <c r="B1407" s="4" t="s">
        <v>44</v>
      </c>
      <c r="C1407" s="4" t="s">
        <v>41</v>
      </c>
      <c r="D1407" s="4" t="s">
        <v>48</v>
      </c>
      <c r="E1407" s="4" t="s">
        <v>25</v>
      </c>
      <c r="F1407" s="4" t="s">
        <v>25</v>
      </c>
      <c r="G1407" s="4" t="s">
        <v>25</v>
      </c>
      <c r="H1407" s="4" t="s">
        <v>36</v>
      </c>
      <c r="I1407" s="5">
        <v>43862</v>
      </c>
      <c r="J1407" s="6">
        <v>436</v>
      </c>
      <c r="K1407" s="6">
        <v>436</v>
      </c>
      <c r="L1407" s="6">
        <v>150.876</v>
      </c>
      <c r="M1407" s="6">
        <v>150.876</v>
      </c>
      <c r="N1407" s="6">
        <v>150.876</v>
      </c>
      <c r="O1407" s="6">
        <v>150.876</v>
      </c>
      <c r="P1407" s="6">
        <v>0</v>
      </c>
      <c r="Q1407" s="4" t="s">
        <v>26</v>
      </c>
      <c r="R1407" s="4">
        <v>0</v>
      </c>
      <c r="S1407" s="4" t="s">
        <v>375</v>
      </c>
      <c r="T1407" s="4" t="s">
        <v>729</v>
      </c>
      <c r="U1407" s="4">
        <v>32</v>
      </c>
      <c r="V1407" s="4">
        <v>33</v>
      </c>
      <c r="W1407" s="4">
        <v>84</v>
      </c>
    </row>
    <row r="1408" spans="1:23" ht="11.25" customHeight="1" x14ac:dyDescent="0.25">
      <c r="A1408" s="4" t="s">
        <v>21</v>
      </c>
      <c r="B1408" s="4" t="s">
        <v>44</v>
      </c>
      <c r="C1408" s="4" t="s">
        <v>41</v>
      </c>
      <c r="D1408" s="4" t="s">
        <v>48</v>
      </c>
      <c r="E1408" s="4" t="s">
        <v>25</v>
      </c>
      <c r="F1408" s="4" t="s">
        <v>25</v>
      </c>
      <c r="G1408" s="4" t="s">
        <v>25</v>
      </c>
      <c r="H1408" s="4" t="s">
        <v>36</v>
      </c>
      <c r="I1408" s="5">
        <v>43891</v>
      </c>
      <c r="J1408" s="6">
        <v>15936</v>
      </c>
      <c r="K1408" s="6">
        <v>15936</v>
      </c>
      <c r="L1408" s="6">
        <v>3540.556</v>
      </c>
      <c r="M1408" s="6">
        <v>3540.556</v>
      </c>
      <c r="N1408" s="6">
        <v>3540.556</v>
      </c>
      <c r="O1408" s="6">
        <v>3540.556</v>
      </c>
      <c r="P1408" s="6">
        <v>0</v>
      </c>
      <c r="Q1408" s="4" t="s">
        <v>26</v>
      </c>
      <c r="R1408" s="4">
        <v>0</v>
      </c>
      <c r="S1408" s="4" t="s">
        <v>376</v>
      </c>
      <c r="T1408" s="4" t="s">
        <v>730</v>
      </c>
      <c r="U1408" s="4">
        <v>32</v>
      </c>
      <c r="V1408" s="4">
        <v>33</v>
      </c>
      <c r="W1408" s="4">
        <v>84</v>
      </c>
    </row>
    <row r="1409" spans="1:23" ht="11.25" customHeight="1" x14ac:dyDescent="0.25">
      <c r="A1409" s="4" t="s">
        <v>27</v>
      </c>
      <c r="B1409" s="4" t="s">
        <v>44</v>
      </c>
      <c r="C1409" s="4" t="s">
        <v>41</v>
      </c>
      <c r="D1409" s="4" t="s">
        <v>48</v>
      </c>
      <c r="E1409" s="4" t="s">
        <v>25</v>
      </c>
      <c r="F1409" s="4" t="s">
        <v>25</v>
      </c>
      <c r="G1409" s="4" t="s">
        <v>25</v>
      </c>
      <c r="H1409" s="4" t="s">
        <v>36</v>
      </c>
      <c r="I1409" s="5">
        <v>43891</v>
      </c>
      <c r="J1409" s="6">
        <v>436</v>
      </c>
      <c r="K1409" s="6">
        <v>436</v>
      </c>
      <c r="L1409" s="6">
        <v>137.34899999999999</v>
      </c>
      <c r="M1409" s="6">
        <v>137.34899999999999</v>
      </c>
      <c r="N1409" s="6">
        <v>137.34899999999999</v>
      </c>
      <c r="O1409" s="6">
        <v>137.34899999999999</v>
      </c>
      <c r="P1409" s="6">
        <v>0</v>
      </c>
      <c r="Q1409" s="4" t="s">
        <v>26</v>
      </c>
      <c r="R1409" s="4">
        <v>0</v>
      </c>
      <c r="S1409" s="4" t="s">
        <v>376</v>
      </c>
      <c r="T1409" s="4" t="s">
        <v>730</v>
      </c>
      <c r="U1409" s="4">
        <v>32</v>
      </c>
      <c r="V1409" s="4">
        <v>33</v>
      </c>
      <c r="W1409" s="4">
        <v>84</v>
      </c>
    </row>
    <row r="1410" spans="1:23" ht="11.25" customHeight="1" x14ac:dyDescent="0.25">
      <c r="A1410" s="4" t="s">
        <v>21</v>
      </c>
      <c r="B1410" s="4" t="s">
        <v>44</v>
      </c>
      <c r="C1410" s="4" t="s">
        <v>41</v>
      </c>
      <c r="D1410" s="4" t="s">
        <v>48</v>
      </c>
      <c r="E1410" s="4" t="s">
        <v>25</v>
      </c>
      <c r="F1410" s="4" t="s">
        <v>25</v>
      </c>
      <c r="G1410" s="4" t="s">
        <v>25</v>
      </c>
      <c r="H1410" s="4" t="s">
        <v>36</v>
      </c>
      <c r="I1410" s="5">
        <v>43922</v>
      </c>
      <c r="J1410" s="6">
        <v>15895</v>
      </c>
      <c r="K1410" s="6">
        <v>15895</v>
      </c>
      <c r="L1410" s="6">
        <v>3357.4780000000001</v>
      </c>
      <c r="M1410" s="6">
        <v>3357.4780000000001</v>
      </c>
      <c r="N1410" s="6">
        <v>3357.4780000000001</v>
      </c>
      <c r="O1410" s="6">
        <v>3357.4780000000001</v>
      </c>
      <c r="P1410" s="6">
        <v>0</v>
      </c>
      <c r="Q1410" s="4" t="s">
        <v>26</v>
      </c>
      <c r="R1410" s="4">
        <v>0</v>
      </c>
      <c r="S1410" s="4" t="s">
        <v>377</v>
      </c>
      <c r="T1410" s="4" t="s">
        <v>731</v>
      </c>
      <c r="U1410" s="4">
        <v>32</v>
      </c>
      <c r="V1410" s="4">
        <v>33</v>
      </c>
      <c r="W1410" s="4">
        <v>84</v>
      </c>
    </row>
    <row r="1411" spans="1:23" ht="11.25" customHeight="1" x14ac:dyDescent="0.25">
      <c r="A1411" s="4" t="s">
        <v>27</v>
      </c>
      <c r="B1411" s="4" t="s">
        <v>44</v>
      </c>
      <c r="C1411" s="4" t="s">
        <v>41</v>
      </c>
      <c r="D1411" s="4" t="s">
        <v>48</v>
      </c>
      <c r="E1411" s="4" t="s">
        <v>25</v>
      </c>
      <c r="F1411" s="4" t="s">
        <v>25</v>
      </c>
      <c r="G1411" s="4" t="s">
        <v>25</v>
      </c>
      <c r="H1411" s="4" t="s">
        <v>36</v>
      </c>
      <c r="I1411" s="5">
        <v>43922</v>
      </c>
      <c r="J1411" s="6">
        <v>436</v>
      </c>
      <c r="K1411" s="6">
        <v>436</v>
      </c>
      <c r="L1411" s="6">
        <v>142.869</v>
      </c>
      <c r="M1411" s="6">
        <v>142.869</v>
      </c>
      <c r="N1411" s="6">
        <v>142.869</v>
      </c>
      <c r="O1411" s="6">
        <v>142.869</v>
      </c>
      <c r="P1411" s="6">
        <v>0</v>
      </c>
      <c r="Q1411" s="4" t="s">
        <v>26</v>
      </c>
      <c r="R1411" s="4">
        <v>0</v>
      </c>
      <c r="S1411" s="4" t="s">
        <v>377</v>
      </c>
      <c r="T1411" s="4" t="s">
        <v>731</v>
      </c>
      <c r="U1411" s="4">
        <v>32</v>
      </c>
      <c r="V1411" s="4">
        <v>33</v>
      </c>
      <c r="W1411" s="4">
        <v>84</v>
      </c>
    </row>
    <row r="1412" spans="1:23" ht="11.25" customHeight="1" x14ac:dyDescent="0.25">
      <c r="A1412" s="4" t="s">
        <v>21</v>
      </c>
      <c r="B1412" s="4" t="s">
        <v>44</v>
      </c>
      <c r="C1412" s="4" t="s">
        <v>41</v>
      </c>
      <c r="D1412" s="4" t="s">
        <v>48</v>
      </c>
      <c r="E1412" s="4" t="s">
        <v>25</v>
      </c>
      <c r="F1412" s="4" t="s">
        <v>25</v>
      </c>
      <c r="G1412" s="4" t="s">
        <v>25</v>
      </c>
      <c r="H1412" s="4" t="s">
        <v>36</v>
      </c>
      <c r="I1412" s="5">
        <v>43952</v>
      </c>
      <c r="J1412" s="6">
        <v>15502</v>
      </c>
      <c r="K1412" s="6">
        <v>15502</v>
      </c>
      <c r="L1412" s="6">
        <v>2758.002</v>
      </c>
      <c r="M1412" s="6">
        <v>2758.002</v>
      </c>
      <c r="N1412" s="6">
        <v>2758.002</v>
      </c>
      <c r="O1412" s="6">
        <v>2758.002</v>
      </c>
      <c r="P1412" s="6">
        <v>0</v>
      </c>
      <c r="Q1412" s="4" t="s">
        <v>26</v>
      </c>
      <c r="R1412" s="4">
        <v>0</v>
      </c>
      <c r="S1412" s="4" t="s">
        <v>378</v>
      </c>
      <c r="T1412" s="4" t="s">
        <v>732</v>
      </c>
      <c r="U1412" s="4">
        <v>32</v>
      </c>
      <c r="V1412" s="4">
        <v>33</v>
      </c>
      <c r="W1412" s="4">
        <v>84</v>
      </c>
    </row>
    <row r="1413" spans="1:23" ht="11.25" customHeight="1" x14ac:dyDescent="0.25">
      <c r="A1413" s="4" t="s">
        <v>27</v>
      </c>
      <c r="B1413" s="4" t="s">
        <v>44</v>
      </c>
      <c r="C1413" s="4" t="s">
        <v>41</v>
      </c>
      <c r="D1413" s="4" t="s">
        <v>48</v>
      </c>
      <c r="E1413" s="4" t="s">
        <v>25</v>
      </c>
      <c r="F1413" s="4" t="s">
        <v>25</v>
      </c>
      <c r="G1413" s="4" t="s">
        <v>25</v>
      </c>
      <c r="H1413" s="4" t="s">
        <v>36</v>
      </c>
      <c r="I1413" s="5">
        <v>43952</v>
      </c>
      <c r="J1413" s="6">
        <v>436</v>
      </c>
      <c r="K1413" s="6">
        <v>436</v>
      </c>
      <c r="L1413" s="6">
        <v>143.10300000000001</v>
      </c>
      <c r="M1413" s="6">
        <v>143.10300000000001</v>
      </c>
      <c r="N1413" s="6">
        <v>143.10300000000001</v>
      </c>
      <c r="O1413" s="6">
        <v>143.10300000000001</v>
      </c>
      <c r="P1413" s="6">
        <v>0</v>
      </c>
      <c r="Q1413" s="4" t="s">
        <v>26</v>
      </c>
      <c r="R1413" s="4">
        <v>0</v>
      </c>
      <c r="S1413" s="4" t="s">
        <v>378</v>
      </c>
      <c r="T1413" s="4" t="s">
        <v>732</v>
      </c>
      <c r="U1413" s="4">
        <v>32</v>
      </c>
      <c r="V1413" s="4">
        <v>33</v>
      </c>
      <c r="W1413" s="4">
        <v>84</v>
      </c>
    </row>
    <row r="1414" spans="1:23" ht="11.25" customHeight="1" x14ac:dyDescent="0.25">
      <c r="A1414" s="4" t="s">
        <v>21</v>
      </c>
      <c r="B1414" s="4" t="s">
        <v>44</v>
      </c>
      <c r="C1414" s="4" t="s">
        <v>41</v>
      </c>
      <c r="D1414" s="4" t="s">
        <v>48</v>
      </c>
      <c r="E1414" s="4" t="s">
        <v>25</v>
      </c>
      <c r="F1414" s="4" t="s">
        <v>25</v>
      </c>
      <c r="G1414" s="4" t="s">
        <v>25</v>
      </c>
      <c r="H1414" s="4" t="s">
        <v>36</v>
      </c>
      <c r="I1414" s="5">
        <v>43983</v>
      </c>
      <c r="J1414" s="6">
        <v>13442</v>
      </c>
      <c r="K1414" s="6">
        <v>13442</v>
      </c>
      <c r="L1414" s="6">
        <v>2555.12</v>
      </c>
      <c r="M1414" s="6">
        <v>2555.12</v>
      </c>
      <c r="N1414" s="6">
        <v>2555.12</v>
      </c>
      <c r="O1414" s="6">
        <v>2555.12</v>
      </c>
      <c r="P1414" s="6">
        <v>0</v>
      </c>
      <c r="Q1414" s="4" t="s">
        <v>26</v>
      </c>
      <c r="R1414" s="4">
        <v>0</v>
      </c>
      <c r="S1414" s="4" t="s">
        <v>379</v>
      </c>
      <c r="T1414" s="4" t="s">
        <v>733</v>
      </c>
      <c r="U1414" s="4">
        <v>32</v>
      </c>
      <c r="V1414" s="4">
        <v>33</v>
      </c>
      <c r="W1414" s="4">
        <v>84</v>
      </c>
    </row>
    <row r="1415" spans="1:23" ht="11.25" customHeight="1" x14ac:dyDescent="0.25">
      <c r="A1415" s="4" t="s">
        <v>27</v>
      </c>
      <c r="B1415" s="4" t="s">
        <v>44</v>
      </c>
      <c r="C1415" s="4" t="s">
        <v>41</v>
      </c>
      <c r="D1415" s="4" t="s">
        <v>48</v>
      </c>
      <c r="E1415" s="4" t="s">
        <v>25</v>
      </c>
      <c r="F1415" s="4" t="s">
        <v>25</v>
      </c>
      <c r="G1415" s="4" t="s">
        <v>25</v>
      </c>
      <c r="H1415" s="4" t="s">
        <v>36</v>
      </c>
      <c r="I1415" s="5">
        <v>43983</v>
      </c>
      <c r="J1415" s="6">
        <v>1836</v>
      </c>
      <c r="K1415" s="6">
        <v>1836</v>
      </c>
      <c r="L1415" s="6">
        <v>261.637</v>
      </c>
      <c r="M1415" s="6">
        <v>261.637</v>
      </c>
      <c r="N1415" s="6">
        <v>261.637</v>
      </c>
      <c r="O1415" s="6">
        <v>261.637</v>
      </c>
      <c r="P1415" s="6">
        <v>0</v>
      </c>
      <c r="Q1415" s="4" t="s">
        <v>26</v>
      </c>
      <c r="R1415" s="4">
        <v>0</v>
      </c>
      <c r="S1415" s="4" t="s">
        <v>379</v>
      </c>
      <c r="T1415" s="4" t="s">
        <v>733</v>
      </c>
      <c r="U1415" s="4">
        <v>32</v>
      </c>
      <c r="V1415" s="4">
        <v>33</v>
      </c>
      <c r="W1415" s="4">
        <v>84</v>
      </c>
    </row>
    <row r="1416" spans="1:23" ht="11.25" customHeight="1" x14ac:dyDescent="0.25">
      <c r="A1416" s="4" t="s">
        <v>21</v>
      </c>
      <c r="B1416" s="4" t="s">
        <v>44</v>
      </c>
      <c r="C1416" s="4" t="s">
        <v>41</v>
      </c>
      <c r="D1416" s="4" t="s">
        <v>48</v>
      </c>
      <c r="E1416" s="4" t="s">
        <v>25</v>
      </c>
      <c r="F1416" s="4" t="s">
        <v>25</v>
      </c>
      <c r="G1416" s="4" t="s">
        <v>25</v>
      </c>
      <c r="H1416" s="4" t="s">
        <v>36</v>
      </c>
      <c r="I1416" s="5">
        <v>44013</v>
      </c>
      <c r="J1416" s="6">
        <v>14142</v>
      </c>
      <c r="K1416" s="6">
        <v>14142</v>
      </c>
      <c r="L1416" s="6">
        <v>2355.8420000000001</v>
      </c>
      <c r="M1416" s="6">
        <v>2355.8420000000001</v>
      </c>
      <c r="N1416" s="6">
        <v>2355.8420000000001</v>
      </c>
      <c r="O1416" s="6">
        <v>2355.8420000000001</v>
      </c>
      <c r="P1416" s="6">
        <v>0</v>
      </c>
      <c r="Q1416" s="4" t="s">
        <v>26</v>
      </c>
      <c r="R1416" s="4">
        <v>0</v>
      </c>
      <c r="S1416" s="4" t="s">
        <v>380</v>
      </c>
      <c r="T1416" s="4" t="s">
        <v>734</v>
      </c>
      <c r="U1416" s="4">
        <v>32</v>
      </c>
      <c r="V1416" s="4">
        <v>33</v>
      </c>
      <c r="W1416" s="4">
        <v>84</v>
      </c>
    </row>
    <row r="1417" spans="1:23" ht="11.25" customHeight="1" x14ac:dyDescent="0.25">
      <c r="A1417" s="4" t="s">
        <v>27</v>
      </c>
      <c r="B1417" s="4" t="s">
        <v>44</v>
      </c>
      <c r="C1417" s="4" t="s">
        <v>41</v>
      </c>
      <c r="D1417" s="4" t="s">
        <v>48</v>
      </c>
      <c r="E1417" s="4" t="s">
        <v>25</v>
      </c>
      <c r="F1417" s="4" t="s">
        <v>25</v>
      </c>
      <c r="G1417" s="4" t="s">
        <v>25</v>
      </c>
      <c r="H1417" s="4" t="s">
        <v>36</v>
      </c>
      <c r="I1417" s="5">
        <v>44013</v>
      </c>
      <c r="J1417" s="6">
        <v>436</v>
      </c>
      <c r="K1417" s="6">
        <v>436</v>
      </c>
      <c r="L1417" s="6">
        <v>58.287999999999997</v>
      </c>
      <c r="M1417" s="6">
        <v>58.287999999999997</v>
      </c>
      <c r="N1417" s="6">
        <v>58.287999999999997</v>
      </c>
      <c r="O1417" s="6">
        <v>58.287999999999997</v>
      </c>
      <c r="P1417" s="6">
        <v>0</v>
      </c>
      <c r="Q1417" s="4" t="s">
        <v>26</v>
      </c>
      <c r="R1417" s="4">
        <v>0</v>
      </c>
      <c r="S1417" s="4" t="s">
        <v>380</v>
      </c>
      <c r="T1417" s="4" t="s">
        <v>734</v>
      </c>
      <c r="U1417" s="4">
        <v>32</v>
      </c>
      <c r="V1417" s="4">
        <v>33</v>
      </c>
      <c r="W1417" s="4">
        <v>84</v>
      </c>
    </row>
    <row r="1418" spans="1:23" ht="11.25" customHeight="1" x14ac:dyDescent="0.25">
      <c r="A1418" s="4" t="s">
        <v>21</v>
      </c>
      <c r="B1418" s="4" t="s">
        <v>44</v>
      </c>
      <c r="C1418" s="4" t="s">
        <v>41</v>
      </c>
      <c r="D1418" s="4" t="s">
        <v>48</v>
      </c>
      <c r="E1418" s="4" t="s">
        <v>25</v>
      </c>
      <c r="F1418" s="4" t="s">
        <v>25</v>
      </c>
      <c r="G1418" s="4" t="s">
        <v>25</v>
      </c>
      <c r="H1418" s="4" t="s">
        <v>36</v>
      </c>
      <c r="I1418" s="5">
        <v>44044</v>
      </c>
      <c r="J1418" s="6">
        <v>14142</v>
      </c>
      <c r="K1418" s="6">
        <v>14142</v>
      </c>
      <c r="L1418" s="6">
        <v>2415.0929999999998</v>
      </c>
      <c r="M1418" s="6">
        <v>2415.0929999999998</v>
      </c>
      <c r="N1418" s="6">
        <v>2415.0929999999998</v>
      </c>
      <c r="O1418" s="6">
        <v>2415.0929999999998</v>
      </c>
      <c r="P1418" s="6">
        <v>0</v>
      </c>
      <c r="Q1418" s="4" t="s">
        <v>26</v>
      </c>
      <c r="R1418" s="4">
        <v>0</v>
      </c>
      <c r="S1418" s="4" t="s">
        <v>381</v>
      </c>
      <c r="T1418" s="4" t="s">
        <v>735</v>
      </c>
      <c r="U1418" s="4">
        <v>32</v>
      </c>
      <c r="V1418" s="4">
        <v>33</v>
      </c>
      <c r="W1418" s="4">
        <v>84</v>
      </c>
    </row>
    <row r="1419" spans="1:23" ht="11.25" customHeight="1" x14ac:dyDescent="0.25">
      <c r="A1419" s="4" t="s">
        <v>27</v>
      </c>
      <c r="B1419" s="4" t="s">
        <v>44</v>
      </c>
      <c r="C1419" s="4" t="s">
        <v>41</v>
      </c>
      <c r="D1419" s="4" t="s">
        <v>48</v>
      </c>
      <c r="E1419" s="4" t="s">
        <v>25</v>
      </c>
      <c r="F1419" s="4" t="s">
        <v>25</v>
      </c>
      <c r="G1419" s="4" t="s">
        <v>25</v>
      </c>
      <c r="H1419" s="4" t="s">
        <v>36</v>
      </c>
      <c r="I1419" s="5">
        <v>44044</v>
      </c>
      <c r="J1419" s="6">
        <v>436</v>
      </c>
      <c r="K1419" s="6">
        <v>436</v>
      </c>
      <c r="L1419" s="6">
        <v>137.18199999999999</v>
      </c>
      <c r="M1419" s="6">
        <v>137.18199999999999</v>
      </c>
      <c r="N1419" s="6">
        <v>137.18199999999999</v>
      </c>
      <c r="O1419" s="6">
        <v>137.18199999999999</v>
      </c>
      <c r="P1419" s="6">
        <v>0</v>
      </c>
      <c r="Q1419" s="4" t="s">
        <v>26</v>
      </c>
      <c r="R1419" s="4">
        <v>0</v>
      </c>
      <c r="S1419" s="4" t="s">
        <v>381</v>
      </c>
      <c r="T1419" s="4" t="s">
        <v>735</v>
      </c>
      <c r="U1419" s="4">
        <v>32</v>
      </c>
      <c r="V1419" s="4">
        <v>33</v>
      </c>
      <c r="W1419" s="4">
        <v>84</v>
      </c>
    </row>
    <row r="1420" spans="1:23" ht="11.25" customHeight="1" x14ac:dyDescent="0.25">
      <c r="A1420" s="4" t="s">
        <v>59</v>
      </c>
      <c r="B1420" s="4" t="s">
        <v>44</v>
      </c>
      <c r="C1420" s="4" t="s">
        <v>41</v>
      </c>
      <c r="D1420" s="4" t="s">
        <v>48</v>
      </c>
      <c r="E1420" s="4" t="s">
        <v>25</v>
      </c>
      <c r="F1420" s="4" t="s">
        <v>25</v>
      </c>
      <c r="G1420" s="4" t="s">
        <v>25</v>
      </c>
      <c r="H1420" s="4" t="s">
        <v>36</v>
      </c>
      <c r="I1420" s="5">
        <v>44075</v>
      </c>
      <c r="J1420" s="6">
        <v>14142</v>
      </c>
      <c r="K1420" s="6">
        <v>14142</v>
      </c>
      <c r="L1420" s="6">
        <v>2415.0929999999998</v>
      </c>
      <c r="M1420" s="6">
        <v>2415.0929999999998</v>
      </c>
      <c r="N1420" s="6">
        <v>2415.0929999999998</v>
      </c>
      <c r="O1420" s="6">
        <v>2415.0929999999998</v>
      </c>
      <c r="P1420" s="6">
        <v>0</v>
      </c>
      <c r="Q1420" s="4" t="s">
        <v>26</v>
      </c>
      <c r="R1420" s="4">
        <v>0</v>
      </c>
      <c r="S1420" s="4" t="s">
        <v>382</v>
      </c>
      <c r="T1420" s="4" t="s">
        <v>736</v>
      </c>
      <c r="U1420" s="4">
        <v>32</v>
      </c>
      <c r="V1420" s="4">
        <v>33</v>
      </c>
      <c r="W1420" s="4">
        <v>84</v>
      </c>
    </row>
    <row r="1421" spans="1:23" ht="11.25" customHeight="1" x14ac:dyDescent="0.25">
      <c r="A1421" s="4" t="s">
        <v>59</v>
      </c>
      <c r="B1421" s="4" t="s">
        <v>44</v>
      </c>
      <c r="C1421" s="4" t="s">
        <v>41</v>
      </c>
      <c r="D1421" s="4" t="s">
        <v>48</v>
      </c>
      <c r="E1421" s="4" t="s">
        <v>25</v>
      </c>
      <c r="F1421" s="4" t="s">
        <v>25</v>
      </c>
      <c r="G1421" s="4" t="s">
        <v>25</v>
      </c>
      <c r="H1421" s="4" t="s">
        <v>36</v>
      </c>
      <c r="I1421" s="5">
        <v>44075</v>
      </c>
      <c r="J1421" s="6">
        <v>436</v>
      </c>
      <c r="K1421" s="6">
        <v>436</v>
      </c>
      <c r="L1421" s="6">
        <v>137.18199999999999</v>
      </c>
      <c r="M1421" s="6">
        <v>137.18199999999999</v>
      </c>
      <c r="N1421" s="6">
        <v>137.18199999999999</v>
      </c>
      <c r="O1421" s="6">
        <v>137.18199999999999</v>
      </c>
      <c r="P1421" s="6">
        <v>0</v>
      </c>
      <c r="Q1421" s="4" t="s">
        <v>26</v>
      </c>
      <c r="R1421" s="4">
        <v>0</v>
      </c>
      <c r="S1421" s="4" t="s">
        <v>382</v>
      </c>
      <c r="T1421" s="4" t="s">
        <v>736</v>
      </c>
      <c r="U1421" s="4">
        <v>32</v>
      </c>
      <c r="V1421" s="4">
        <v>33</v>
      </c>
      <c r="W1421" s="4">
        <v>84</v>
      </c>
    </row>
    <row r="1422" spans="1:23" ht="11.25" customHeight="1" x14ac:dyDescent="0.25">
      <c r="A1422" s="4" t="s">
        <v>21</v>
      </c>
      <c r="B1422" s="4" t="s">
        <v>44</v>
      </c>
      <c r="C1422" s="4" t="s">
        <v>41</v>
      </c>
      <c r="D1422" s="4" t="s">
        <v>48</v>
      </c>
      <c r="E1422" s="4" t="s">
        <v>25</v>
      </c>
      <c r="F1422" s="4" t="s">
        <v>25</v>
      </c>
      <c r="G1422" s="4" t="s">
        <v>25</v>
      </c>
      <c r="H1422" s="4" t="s">
        <v>35</v>
      </c>
      <c r="I1422" s="5">
        <v>43739</v>
      </c>
      <c r="J1422" s="6">
        <v>13210</v>
      </c>
      <c r="K1422" s="6">
        <v>13210</v>
      </c>
      <c r="L1422" s="6">
        <v>460.65800000000002</v>
      </c>
      <c r="M1422" s="6">
        <v>460.65800000000002</v>
      </c>
      <c r="N1422" s="6">
        <v>460.65800000000002</v>
      </c>
      <c r="O1422" s="6">
        <v>460.65800000000002</v>
      </c>
      <c r="P1422" s="6">
        <v>0</v>
      </c>
      <c r="Q1422" s="4" t="s">
        <v>26</v>
      </c>
      <c r="R1422" s="4">
        <v>0</v>
      </c>
      <c r="S1422" s="4" t="s">
        <v>383</v>
      </c>
      <c r="T1422" s="4" t="s">
        <v>737</v>
      </c>
      <c r="U1422" s="4">
        <v>31</v>
      </c>
      <c r="V1422" s="4">
        <v>33</v>
      </c>
      <c r="W1422" s="4">
        <v>83</v>
      </c>
    </row>
    <row r="1423" spans="1:23" ht="11.25" customHeight="1" x14ac:dyDescent="0.25">
      <c r="A1423" s="4" t="s">
        <v>27</v>
      </c>
      <c r="B1423" s="4" t="s">
        <v>44</v>
      </c>
      <c r="C1423" s="4" t="s">
        <v>41</v>
      </c>
      <c r="D1423" s="4" t="s">
        <v>48</v>
      </c>
      <c r="E1423" s="4" t="s">
        <v>25</v>
      </c>
      <c r="F1423" s="4" t="s">
        <v>25</v>
      </c>
      <c r="G1423" s="4" t="s">
        <v>25</v>
      </c>
      <c r="H1423" s="4" t="s">
        <v>35</v>
      </c>
      <c r="I1423" s="5">
        <v>43739</v>
      </c>
      <c r="J1423" s="6">
        <v>360</v>
      </c>
      <c r="K1423" s="6">
        <v>360</v>
      </c>
      <c r="L1423" s="6">
        <v>16.213000000000001</v>
      </c>
      <c r="M1423" s="6">
        <v>16.213000000000001</v>
      </c>
      <c r="N1423" s="6">
        <v>16.213000000000001</v>
      </c>
      <c r="O1423" s="6">
        <v>16.213000000000001</v>
      </c>
      <c r="P1423" s="6">
        <v>0</v>
      </c>
      <c r="Q1423" s="4" t="s">
        <v>26</v>
      </c>
      <c r="R1423" s="4">
        <v>0</v>
      </c>
      <c r="S1423" s="4" t="s">
        <v>383</v>
      </c>
      <c r="T1423" s="4" t="s">
        <v>737</v>
      </c>
      <c r="U1423" s="4">
        <v>31</v>
      </c>
      <c r="V1423" s="4">
        <v>33</v>
      </c>
      <c r="W1423" s="4">
        <v>83</v>
      </c>
    </row>
    <row r="1424" spans="1:23" ht="11.25" customHeight="1" x14ac:dyDescent="0.25">
      <c r="A1424" s="4" t="s">
        <v>21</v>
      </c>
      <c r="B1424" s="4" t="s">
        <v>44</v>
      </c>
      <c r="C1424" s="4" t="s">
        <v>41</v>
      </c>
      <c r="D1424" s="4" t="s">
        <v>48</v>
      </c>
      <c r="E1424" s="4" t="s">
        <v>25</v>
      </c>
      <c r="F1424" s="4" t="s">
        <v>25</v>
      </c>
      <c r="G1424" s="4" t="s">
        <v>25</v>
      </c>
      <c r="H1424" s="4" t="s">
        <v>35</v>
      </c>
      <c r="I1424" s="5">
        <v>43770</v>
      </c>
      <c r="J1424" s="6">
        <v>13646</v>
      </c>
      <c r="K1424" s="6">
        <v>13646</v>
      </c>
      <c r="L1424" s="6">
        <v>462.49200000000002</v>
      </c>
      <c r="M1424" s="6">
        <v>462.49200000000002</v>
      </c>
      <c r="N1424" s="6">
        <v>462.49200000000002</v>
      </c>
      <c r="O1424" s="6">
        <v>462.49200000000002</v>
      </c>
      <c r="P1424" s="6">
        <v>0</v>
      </c>
      <c r="Q1424" s="4" t="s">
        <v>26</v>
      </c>
      <c r="R1424" s="4">
        <v>0</v>
      </c>
      <c r="S1424" s="4" t="s">
        <v>384</v>
      </c>
      <c r="T1424" s="4" t="s">
        <v>738</v>
      </c>
      <c r="U1424" s="4">
        <v>31</v>
      </c>
      <c r="V1424" s="4">
        <v>33</v>
      </c>
      <c r="W1424" s="4">
        <v>83</v>
      </c>
    </row>
    <row r="1425" spans="1:23" ht="11.25" customHeight="1" x14ac:dyDescent="0.25">
      <c r="A1425" s="4" t="s">
        <v>27</v>
      </c>
      <c r="B1425" s="4" t="s">
        <v>44</v>
      </c>
      <c r="C1425" s="4" t="s">
        <v>41</v>
      </c>
      <c r="D1425" s="4" t="s">
        <v>48</v>
      </c>
      <c r="E1425" s="4" t="s">
        <v>25</v>
      </c>
      <c r="F1425" s="4" t="s">
        <v>25</v>
      </c>
      <c r="G1425" s="4" t="s">
        <v>25</v>
      </c>
      <c r="H1425" s="4" t="s">
        <v>35</v>
      </c>
      <c r="I1425" s="5">
        <v>43770</v>
      </c>
      <c r="J1425" s="6">
        <v>360</v>
      </c>
      <c r="K1425" s="6">
        <v>360</v>
      </c>
      <c r="L1425" s="6">
        <v>16.501999999999999</v>
      </c>
      <c r="M1425" s="6">
        <v>16.501999999999999</v>
      </c>
      <c r="N1425" s="6">
        <v>16.501999999999999</v>
      </c>
      <c r="O1425" s="6">
        <v>16.501999999999999</v>
      </c>
      <c r="P1425" s="6">
        <v>0</v>
      </c>
      <c r="Q1425" s="4" t="s">
        <v>26</v>
      </c>
      <c r="R1425" s="4">
        <v>0</v>
      </c>
      <c r="S1425" s="4" t="s">
        <v>384</v>
      </c>
      <c r="T1425" s="4" t="s">
        <v>738</v>
      </c>
      <c r="U1425" s="4">
        <v>31</v>
      </c>
      <c r="V1425" s="4">
        <v>33</v>
      </c>
      <c r="W1425" s="4">
        <v>83</v>
      </c>
    </row>
    <row r="1426" spans="1:23" ht="11.25" customHeight="1" x14ac:dyDescent="0.25">
      <c r="A1426" s="4" t="s">
        <v>21</v>
      </c>
      <c r="B1426" s="4" t="s">
        <v>44</v>
      </c>
      <c r="C1426" s="4" t="s">
        <v>41</v>
      </c>
      <c r="D1426" s="4" t="s">
        <v>48</v>
      </c>
      <c r="E1426" s="4" t="s">
        <v>25</v>
      </c>
      <c r="F1426" s="4" t="s">
        <v>25</v>
      </c>
      <c r="G1426" s="4" t="s">
        <v>25</v>
      </c>
      <c r="H1426" s="4" t="s">
        <v>35</v>
      </c>
      <c r="I1426" s="5">
        <v>43800</v>
      </c>
      <c r="J1426" s="6">
        <v>13789</v>
      </c>
      <c r="K1426" s="6">
        <v>13789</v>
      </c>
      <c r="L1426" s="6">
        <v>427.404</v>
      </c>
      <c r="M1426" s="6">
        <v>427.404</v>
      </c>
      <c r="N1426" s="6">
        <v>427.404</v>
      </c>
      <c r="O1426" s="6">
        <v>427.404</v>
      </c>
      <c r="P1426" s="6">
        <v>0</v>
      </c>
      <c r="Q1426" s="4" t="s">
        <v>26</v>
      </c>
      <c r="R1426" s="4">
        <v>0</v>
      </c>
      <c r="S1426" s="4" t="s">
        <v>385</v>
      </c>
      <c r="T1426" s="4" t="s">
        <v>739</v>
      </c>
      <c r="U1426" s="4">
        <v>31</v>
      </c>
      <c r="V1426" s="4">
        <v>33</v>
      </c>
      <c r="W1426" s="4">
        <v>83</v>
      </c>
    </row>
    <row r="1427" spans="1:23" ht="11.25" customHeight="1" x14ac:dyDescent="0.25">
      <c r="A1427" s="4" t="s">
        <v>27</v>
      </c>
      <c r="B1427" s="4" t="s">
        <v>44</v>
      </c>
      <c r="C1427" s="4" t="s">
        <v>41</v>
      </c>
      <c r="D1427" s="4" t="s">
        <v>48</v>
      </c>
      <c r="E1427" s="4" t="s">
        <v>25</v>
      </c>
      <c r="F1427" s="4" t="s">
        <v>25</v>
      </c>
      <c r="G1427" s="4" t="s">
        <v>25</v>
      </c>
      <c r="H1427" s="4" t="s">
        <v>35</v>
      </c>
      <c r="I1427" s="5">
        <v>43800</v>
      </c>
      <c r="J1427" s="6">
        <v>360</v>
      </c>
      <c r="K1427" s="6">
        <v>360</v>
      </c>
      <c r="L1427" s="6">
        <v>15.137</v>
      </c>
      <c r="M1427" s="6">
        <v>15.137</v>
      </c>
      <c r="N1427" s="6">
        <v>15.137</v>
      </c>
      <c r="O1427" s="6">
        <v>15.137</v>
      </c>
      <c r="P1427" s="6">
        <v>0</v>
      </c>
      <c r="Q1427" s="4" t="s">
        <v>26</v>
      </c>
      <c r="R1427" s="4">
        <v>0</v>
      </c>
      <c r="S1427" s="4" t="s">
        <v>385</v>
      </c>
      <c r="T1427" s="4" t="s">
        <v>739</v>
      </c>
      <c r="U1427" s="4">
        <v>31</v>
      </c>
      <c r="V1427" s="4">
        <v>33</v>
      </c>
      <c r="W1427" s="4">
        <v>83</v>
      </c>
    </row>
    <row r="1428" spans="1:23" ht="11.25" customHeight="1" x14ac:dyDescent="0.25">
      <c r="A1428" s="4" t="s">
        <v>21</v>
      </c>
      <c r="B1428" s="4" t="s">
        <v>44</v>
      </c>
      <c r="C1428" s="4" t="s">
        <v>41</v>
      </c>
      <c r="D1428" s="4" t="s">
        <v>48</v>
      </c>
      <c r="E1428" s="4" t="s">
        <v>25</v>
      </c>
      <c r="F1428" s="4" t="s">
        <v>25</v>
      </c>
      <c r="G1428" s="4" t="s">
        <v>25</v>
      </c>
      <c r="H1428" s="4" t="s">
        <v>35</v>
      </c>
      <c r="I1428" s="5">
        <v>43831</v>
      </c>
      <c r="J1428" s="6">
        <v>13922</v>
      </c>
      <c r="K1428" s="6">
        <v>13922</v>
      </c>
      <c r="L1428" s="6">
        <v>405.09500000000003</v>
      </c>
      <c r="M1428" s="6">
        <v>405.09500000000003</v>
      </c>
      <c r="N1428" s="6">
        <v>405.09500000000003</v>
      </c>
      <c r="O1428" s="6">
        <v>405.09500000000003</v>
      </c>
      <c r="P1428" s="6">
        <v>0</v>
      </c>
      <c r="Q1428" s="4" t="s">
        <v>26</v>
      </c>
      <c r="R1428" s="4">
        <v>0</v>
      </c>
      <c r="S1428" s="4" t="s">
        <v>386</v>
      </c>
      <c r="T1428" s="4" t="s">
        <v>740</v>
      </c>
      <c r="U1428" s="4">
        <v>31</v>
      </c>
      <c r="V1428" s="4">
        <v>33</v>
      </c>
      <c r="W1428" s="4">
        <v>83</v>
      </c>
    </row>
    <row r="1429" spans="1:23" ht="11.25" customHeight="1" x14ac:dyDescent="0.25">
      <c r="A1429" s="4" t="s">
        <v>27</v>
      </c>
      <c r="B1429" s="4" t="s">
        <v>44</v>
      </c>
      <c r="C1429" s="4" t="s">
        <v>41</v>
      </c>
      <c r="D1429" s="4" t="s">
        <v>48</v>
      </c>
      <c r="E1429" s="4" t="s">
        <v>25</v>
      </c>
      <c r="F1429" s="4" t="s">
        <v>25</v>
      </c>
      <c r="G1429" s="4" t="s">
        <v>25</v>
      </c>
      <c r="H1429" s="4" t="s">
        <v>35</v>
      </c>
      <c r="I1429" s="5">
        <v>43831</v>
      </c>
      <c r="J1429" s="6">
        <v>360</v>
      </c>
      <c r="K1429" s="6">
        <v>360</v>
      </c>
      <c r="L1429" s="6">
        <v>13.069000000000001</v>
      </c>
      <c r="M1429" s="6">
        <v>13.069000000000001</v>
      </c>
      <c r="N1429" s="6">
        <v>13.069000000000001</v>
      </c>
      <c r="O1429" s="6">
        <v>13.069000000000001</v>
      </c>
      <c r="P1429" s="6">
        <v>0</v>
      </c>
      <c r="Q1429" s="4" t="s">
        <v>26</v>
      </c>
      <c r="R1429" s="4">
        <v>0</v>
      </c>
      <c r="S1429" s="4" t="s">
        <v>386</v>
      </c>
      <c r="T1429" s="4" t="s">
        <v>740</v>
      </c>
      <c r="U1429" s="4">
        <v>31</v>
      </c>
      <c r="V1429" s="4">
        <v>33</v>
      </c>
      <c r="W1429" s="4">
        <v>83</v>
      </c>
    </row>
    <row r="1430" spans="1:23" ht="11.25" customHeight="1" x14ac:dyDescent="0.25">
      <c r="A1430" s="4" t="s">
        <v>21</v>
      </c>
      <c r="B1430" s="4" t="s">
        <v>44</v>
      </c>
      <c r="C1430" s="4" t="s">
        <v>41</v>
      </c>
      <c r="D1430" s="4" t="s">
        <v>48</v>
      </c>
      <c r="E1430" s="4" t="s">
        <v>25</v>
      </c>
      <c r="F1430" s="4" t="s">
        <v>25</v>
      </c>
      <c r="G1430" s="4" t="s">
        <v>25</v>
      </c>
      <c r="H1430" s="4" t="s">
        <v>35</v>
      </c>
      <c r="I1430" s="5">
        <v>43862</v>
      </c>
      <c r="J1430" s="6">
        <v>13982</v>
      </c>
      <c r="K1430" s="6">
        <v>13982</v>
      </c>
      <c r="L1430" s="6">
        <v>444.89499999999998</v>
      </c>
      <c r="M1430" s="6">
        <v>444.89499999999998</v>
      </c>
      <c r="N1430" s="6">
        <v>444.89499999999998</v>
      </c>
      <c r="O1430" s="6">
        <v>444.89499999999998</v>
      </c>
      <c r="P1430" s="6">
        <v>0</v>
      </c>
      <c r="Q1430" s="4" t="s">
        <v>26</v>
      </c>
      <c r="R1430" s="4">
        <v>0</v>
      </c>
      <c r="S1430" s="4" t="s">
        <v>387</v>
      </c>
      <c r="T1430" s="4" t="s">
        <v>741</v>
      </c>
      <c r="U1430" s="4">
        <v>31</v>
      </c>
      <c r="V1430" s="4">
        <v>33</v>
      </c>
      <c r="W1430" s="4">
        <v>83</v>
      </c>
    </row>
    <row r="1431" spans="1:23" ht="11.25" customHeight="1" x14ac:dyDescent="0.25">
      <c r="A1431" s="4" t="s">
        <v>27</v>
      </c>
      <c r="B1431" s="4" t="s">
        <v>44</v>
      </c>
      <c r="C1431" s="4" t="s">
        <v>41</v>
      </c>
      <c r="D1431" s="4" t="s">
        <v>48</v>
      </c>
      <c r="E1431" s="4" t="s">
        <v>25</v>
      </c>
      <c r="F1431" s="4" t="s">
        <v>25</v>
      </c>
      <c r="G1431" s="4" t="s">
        <v>25</v>
      </c>
      <c r="H1431" s="4" t="s">
        <v>35</v>
      </c>
      <c r="I1431" s="5">
        <v>43862</v>
      </c>
      <c r="J1431" s="6">
        <v>360</v>
      </c>
      <c r="K1431" s="6">
        <v>360</v>
      </c>
      <c r="L1431" s="6">
        <v>16.881</v>
      </c>
      <c r="M1431" s="6">
        <v>16.881</v>
      </c>
      <c r="N1431" s="6">
        <v>16.881</v>
      </c>
      <c r="O1431" s="6">
        <v>16.881</v>
      </c>
      <c r="P1431" s="6">
        <v>0</v>
      </c>
      <c r="Q1431" s="4" t="s">
        <v>26</v>
      </c>
      <c r="R1431" s="4">
        <v>0</v>
      </c>
      <c r="S1431" s="4" t="s">
        <v>387</v>
      </c>
      <c r="T1431" s="4" t="s">
        <v>741</v>
      </c>
      <c r="U1431" s="4">
        <v>31</v>
      </c>
      <c r="V1431" s="4">
        <v>33</v>
      </c>
      <c r="W1431" s="4">
        <v>83</v>
      </c>
    </row>
    <row r="1432" spans="1:23" ht="11.25" customHeight="1" x14ac:dyDescent="0.25">
      <c r="A1432" s="4" t="s">
        <v>21</v>
      </c>
      <c r="B1432" s="4" t="s">
        <v>44</v>
      </c>
      <c r="C1432" s="4" t="s">
        <v>41</v>
      </c>
      <c r="D1432" s="4" t="s">
        <v>48</v>
      </c>
      <c r="E1432" s="4" t="s">
        <v>25</v>
      </c>
      <c r="F1432" s="4" t="s">
        <v>25</v>
      </c>
      <c r="G1432" s="4" t="s">
        <v>25</v>
      </c>
      <c r="H1432" s="4" t="s">
        <v>35</v>
      </c>
      <c r="I1432" s="5">
        <v>43891</v>
      </c>
      <c r="J1432" s="6">
        <v>13922</v>
      </c>
      <c r="K1432" s="6">
        <v>13922</v>
      </c>
      <c r="L1432" s="6">
        <v>397.96300000000002</v>
      </c>
      <c r="M1432" s="6">
        <v>397.96300000000002</v>
      </c>
      <c r="N1432" s="6">
        <v>397.96300000000002</v>
      </c>
      <c r="O1432" s="6">
        <v>397.96300000000002</v>
      </c>
      <c r="P1432" s="6">
        <v>0</v>
      </c>
      <c r="Q1432" s="4" t="s">
        <v>26</v>
      </c>
      <c r="R1432" s="4">
        <v>0</v>
      </c>
      <c r="S1432" s="4" t="s">
        <v>388</v>
      </c>
      <c r="T1432" s="4" t="s">
        <v>742</v>
      </c>
      <c r="U1432" s="4">
        <v>31</v>
      </c>
      <c r="V1432" s="4">
        <v>33</v>
      </c>
      <c r="W1432" s="4">
        <v>83</v>
      </c>
    </row>
    <row r="1433" spans="1:23" ht="11.25" customHeight="1" x14ac:dyDescent="0.25">
      <c r="A1433" s="4" t="s">
        <v>27</v>
      </c>
      <c r="B1433" s="4" t="s">
        <v>44</v>
      </c>
      <c r="C1433" s="4" t="s">
        <v>41</v>
      </c>
      <c r="D1433" s="4" t="s">
        <v>48</v>
      </c>
      <c r="E1433" s="4" t="s">
        <v>25</v>
      </c>
      <c r="F1433" s="4" t="s">
        <v>25</v>
      </c>
      <c r="G1433" s="4" t="s">
        <v>25</v>
      </c>
      <c r="H1433" s="4" t="s">
        <v>35</v>
      </c>
      <c r="I1433" s="5">
        <v>43891</v>
      </c>
      <c r="J1433" s="6">
        <v>360</v>
      </c>
      <c r="K1433" s="6">
        <v>360</v>
      </c>
      <c r="L1433" s="6">
        <v>14.324</v>
      </c>
      <c r="M1433" s="6">
        <v>14.324</v>
      </c>
      <c r="N1433" s="6">
        <v>14.324</v>
      </c>
      <c r="O1433" s="6">
        <v>14.324</v>
      </c>
      <c r="P1433" s="6">
        <v>0</v>
      </c>
      <c r="Q1433" s="4" t="s">
        <v>26</v>
      </c>
      <c r="R1433" s="4">
        <v>0</v>
      </c>
      <c r="S1433" s="4" t="s">
        <v>388</v>
      </c>
      <c r="T1433" s="4" t="s">
        <v>742</v>
      </c>
      <c r="U1433" s="4">
        <v>31</v>
      </c>
      <c r="V1433" s="4">
        <v>33</v>
      </c>
      <c r="W1433" s="4">
        <v>83</v>
      </c>
    </row>
    <row r="1434" spans="1:23" ht="11.25" customHeight="1" x14ac:dyDescent="0.25">
      <c r="A1434" s="4" t="s">
        <v>21</v>
      </c>
      <c r="B1434" s="4" t="s">
        <v>44</v>
      </c>
      <c r="C1434" s="4" t="s">
        <v>41</v>
      </c>
      <c r="D1434" s="4" t="s">
        <v>48</v>
      </c>
      <c r="E1434" s="4" t="s">
        <v>25</v>
      </c>
      <c r="F1434" s="4" t="s">
        <v>25</v>
      </c>
      <c r="G1434" s="4" t="s">
        <v>25</v>
      </c>
      <c r="H1434" s="4" t="s">
        <v>35</v>
      </c>
      <c r="I1434" s="5">
        <v>43922</v>
      </c>
      <c r="J1434" s="6">
        <v>13910</v>
      </c>
      <c r="K1434" s="6">
        <v>13910</v>
      </c>
      <c r="L1434" s="6">
        <v>379.94099999999997</v>
      </c>
      <c r="M1434" s="6">
        <v>379.94099999999997</v>
      </c>
      <c r="N1434" s="6">
        <v>379.94099999999997</v>
      </c>
      <c r="O1434" s="6">
        <v>379.94099999999997</v>
      </c>
      <c r="P1434" s="6">
        <v>0</v>
      </c>
      <c r="Q1434" s="4" t="s">
        <v>26</v>
      </c>
      <c r="R1434" s="4">
        <v>0</v>
      </c>
      <c r="S1434" s="4" t="s">
        <v>389</v>
      </c>
      <c r="T1434" s="4" t="s">
        <v>743</v>
      </c>
      <c r="U1434" s="4">
        <v>31</v>
      </c>
      <c r="V1434" s="4">
        <v>33</v>
      </c>
      <c r="W1434" s="4">
        <v>83</v>
      </c>
    </row>
    <row r="1435" spans="1:23" ht="11.25" customHeight="1" x14ac:dyDescent="0.25">
      <c r="A1435" s="4" t="s">
        <v>27</v>
      </c>
      <c r="B1435" s="4" t="s">
        <v>44</v>
      </c>
      <c r="C1435" s="4" t="s">
        <v>41</v>
      </c>
      <c r="D1435" s="4" t="s">
        <v>48</v>
      </c>
      <c r="E1435" s="4" t="s">
        <v>25</v>
      </c>
      <c r="F1435" s="4" t="s">
        <v>25</v>
      </c>
      <c r="G1435" s="4" t="s">
        <v>25</v>
      </c>
      <c r="H1435" s="4" t="s">
        <v>35</v>
      </c>
      <c r="I1435" s="5">
        <v>43922</v>
      </c>
      <c r="J1435" s="6">
        <v>360</v>
      </c>
      <c r="K1435" s="6">
        <v>360</v>
      </c>
      <c r="L1435" s="6">
        <v>13.842000000000001</v>
      </c>
      <c r="M1435" s="6">
        <v>13.842000000000001</v>
      </c>
      <c r="N1435" s="6">
        <v>13.842000000000001</v>
      </c>
      <c r="O1435" s="6">
        <v>13.842000000000001</v>
      </c>
      <c r="P1435" s="6">
        <v>0</v>
      </c>
      <c r="Q1435" s="4" t="s">
        <v>26</v>
      </c>
      <c r="R1435" s="4">
        <v>0</v>
      </c>
      <c r="S1435" s="4" t="s">
        <v>389</v>
      </c>
      <c r="T1435" s="4" t="s">
        <v>743</v>
      </c>
      <c r="U1435" s="4">
        <v>31</v>
      </c>
      <c r="V1435" s="4">
        <v>33</v>
      </c>
      <c r="W1435" s="4">
        <v>83</v>
      </c>
    </row>
    <row r="1436" spans="1:23" ht="11.25" customHeight="1" x14ac:dyDescent="0.25">
      <c r="A1436" s="4" t="s">
        <v>21</v>
      </c>
      <c r="B1436" s="4" t="s">
        <v>44</v>
      </c>
      <c r="C1436" s="4" t="s">
        <v>41</v>
      </c>
      <c r="D1436" s="4" t="s">
        <v>48</v>
      </c>
      <c r="E1436" s="4" t="s">
        <v>25</v>
      </c>
      <c r="F1436" s="4" t="s">
        <v>25</v>
      </c>
      <c r="G1436" s="4" t="s">
        <v>25</v>
      </c>
      <c r="H1436" s="4" t="s">
        <v>35</v>
      </c>
      <c r="I1436" s="5">
        <v>43952</v>
      </c>
      <c r="J1436" s="6">
        <v>13620</v>
      </c>
      <c r="K1436" s="6">
        <v>13620</v>
      </c>
      <c r="L1436" s="6">
        <v>279.69900000000001</v>
      </c>
      <c r="M1436" s="6">
        <v>279.69900000000001</v>
      </c>
      <c r="N1436" s="6">
        <v>279.69900000000001</v>
      </c>
      <c r="O1436" s="6">
        <v>279.69900000000001</v>
      </c>
      <c r="P1436" s="6">
        <v>0</v>
      </c>
      <c r="Q1436" s="4" t="s">
        <v>26</v>
      </c>
      <c r="R1436" s="4">
        <v>0</v>
      </c>
      <c r="S1436" s="4" t="s">
        <v>390</v>
      </c>
      <c r="T1436" s="4" t="s">
        <v>744</v>
      </c>
      <c r="U1436" s="4">
        <v>31</v>
      </c>
      <c r="V1436" s="4">
        <v>33</v>
      </c>
      <c r="W1436" s="4">
        <v>83</v>
      </c>
    </row>
    <row r="1437" spans="1:23" ht="11.25" customHeight="1" x14ac:dyDescent="0.25">
      <c r="A1437" s="4" t="s">
        <v>27</v>
      </c>
      <c r="B1437" s="4" t="s">
        <v>44</v>
      </c>
      <c r="C1437" s="4" t="s">
        <v>41</v>
      </c>
      <c r="D1437" s="4" t="s">
        <v>48</v>
      </c>
      <c r="E1437" s="4" t="s">
        <v>25</v>
      </c>
      <c r="F1437" s="4" t="s">
        <v>25</v>
      </c>
      <c r="G1437" s="4" t="s">
        <v>25</v>
      </c>
      <c r="H1437" s="4" t="s">
        <v>35</v>
      </c>
      <c r="I1437" s="5">
        <v>43952</v>
      </c>
      <c r="J1437" s="6">
        <v>360</v>
      </c>
      <c r="K1437" s="6">
        <v>360</v>
      </c>
      <c r="L1437" s="6">
        <v>13.564</v>
      </c>
      <c r="M1437" s="6">
        <v>13.564</v>
      </c>
      <c r="N1437" s="6">
        <v>13.564</v>
      </c>
      <c r="O1437" s="6">
        <v>13.564</v>
      </c>
      <c r="P1437" s="6">
        <v>0</v>
      </c>
      <c r="Q1437" s="4" t="s">
        <v>26</v>
      </c>
      <c r="R1437" s="4">
        <v>0</v>
      </c>
      <c r="S1437" s="4" t="s">
        <v>390</v>
      </c>
      <c r="T1437" s="4" t="s">
        <v>744</v>
      </c>
      <c r="U1437" s="4">
        <v>31</v>
      </c>
      <c r="V1437" s="4">
        <v>33</v>
      </c>
      <c r="W1437" s="4">
        <v>83</v>
      </c>
    </row>
    <row r="1438" spans="1:23" ht="11.25" customHeight="1" x14ac:dyDescent="0.25">
      <c r="A1438" s="4" t="s">
        <v>21</v>
      </c>
      <c r="B1438" s="4" t="s">
        <v>44</v>
      </c>
      <c r="C1438" s="4" t="s">
        <v>41</v>
      </c>
      <c r="D1438" s="4" t="s">
        <v>48</v>
      </c>
      <c r="E1438" s="4" t="s">
        <v>25</v>
      </c>
      <c r="F1438" s="4" t="s">
        <v>25</v>
      </c>
      <c r="G1438" s="4" t="s">
        <v>25</v>
      </c>
      <c r="H1438" s="4" t="s">
        <v>35</v>
      </c>
      <c r="I1438" s="5">
        <v>43983</v>
      </c>
      <c r="J1438" s="6">
        <v>11840</v>
      </c>
      <c r="K1438" s="6">
        <v>11840</v>
      </c>
      <c r="L1438" s="6">
        <v>280.43900000000002</v>
      </c>
      <c r="M1438" s="6">
        <v>280.43900000000002</v>
      </c>
      <c r="N1438" s="6">
        <v>280.43900000000002</v>
      </c>
      <c r="O1438" s="6">
        <v>280.43900000000002</v>
      </c>
      <c r="P1438" s="6">
        <v>0</v>
      </c>
      <c r="Q1438" s="4" t="s">
        <v>26</v>
      </c>
      <c r="R1438" s="4">
        <v>0</v>
      </c>
      <c r="S1438" s="4" t="s">
        <v>391</v>
      </c>
      <c r="T1438" s="4" t="s">
        <v>745</v>
      </c>
      <c r="U1438" s="4">
        <v>31</v>
      </c>
      <c r="V1438" s="4">
        <v>33</v>
      </c>
      <c r="W1438" s="4">
        <v>83</v>
      </c>
    </row>
    <row r="1439" spans="1:23" ht="11.25" customHeight="1" x14ac:dyDescent="0.25">
      <c r="A1439" s="4" t="s">
        <v>27</v>
      </c>
      <c r="B1439" s="4" t="s">
        <v>44</v>
      </c>
      <c r="C1439" s="4" t="s">
        <v>41</v>
      </c>
      <c r="D1439" s="4" t="s">
        <v>48</v>
      </c>
      <c r="E1439" s="4" t="s">
        <v>25</v>
      </c>
      <c r="F1439" s="4" t="s">
        <v>25</v>
      </c>
      <c r="G1439" s="4" t="s">
        <v>25</v>
      </c>
      <c r="H1439" s="4" t="s">
        <v>35</v>
      </c>
      <c r="I1439" s="5">
        <v>43983</v>
      </c>
      <c r="J1439" s="6">
        <v>1610</v>
      </c>
      <c r="K1439" s="6">
        <v>1610</v>
      </c>
      <c r="L1439" s="6">
        <v>30.332999999999998</v>
      </c>
      <c r="M1439" s="6">
        <v>30.332999999999998</v>
      </c>
      <c r="N1439" s="6">
        <v>30.332999999999998</v>
      </c>
      <c r="O1439" s="6">
        <v>30.332999999999998</v>
      </c>
      <c r="P1439" s="6">
        <v>0</v>
      </c>
      <c r="Q1439" s="4" t="s">
        <v>26</v>
      </c>
      <c r="R1439" s="4">
        <v>0</v>
      </c>
      <c r="S1439" s="4" t="s">
        <v>391</v>
      </c>
      <c r="T1439" s="4" t="s">
        <v>745</v>
      </c>
      <c r="U1439" s="4">
        <v>31</v>
      </c>
      <c r="V1439" s="4">
        <v>33</v>
      </c>
      <c r="W1439" s="4">
        <v>83</v>
      </c>
    </row>
    <row r="1440" spans="1:23" ht="11.25" customHeight="1" x14ac:dyDescent="0.25">
      <c r="A1440" s="4" t="s">
        <v>21</v>
      </c>
      <c r="B1440" s="4" t="s">
        <v>44</v>
      </c>
      <c r="C1440" s="4" t="s">
        <v>41</v>
      </c>
      <c r="D1440" s="4" t="s">
        <v>48</v>
      </c>
      <c r="E1440" s="4" t="s">
        <v>25</v>
      </c>
      <c r="F1440" s="4" t="s">
        <v>25</v>
      </c>
      <c r="G1440" s="4" t="s">
        <v>25</v>
      </c>
      <c r="H1440" s="4" t="s">
        <v>35</v>
      </c>
      <c r="I1440" s="5">
        <v>44013</v>
      </c>
      <c r="J1440" s="6">
        <v>12420</v>
      </c>
      <c r="K1440" s="6">
        <v>12420</v>
      </c>
      <c r="L1440" s="6">
        <v>261.53100000000001</v>
      </c>
      <c r="M1440" s="6">
        <v>261.53100000000001</v>
      </c>
      <c r="N1440" s="6">
        <v>261.53100000000001</v>
      </c>
      <c r="O1440" s="6">
        <v>261.53100000000001</v>
      </c>
      <c r="P1440" s="6">
        <v>0</v>
      </c>
      <c r="Q1440" s="4" t="s">
        <v>26</v>
      </c>
      <c r="R1440" s="4">
        <v>0</v>
      </c>
      <c r="S1440" s="4" t="s">
        <v>392</v>
      </c>
      <c r="T1440" s="4" t="s">
        <v>746</v>
      </c>
      <c r="U1440" s="4">
        <v>31</v>
      </c>
      <c r="V1440" s="4">
        <v>33</v>
      </c>
      <c r="W1440" s="4">
        <v>83</v>
      </c>
    </row>
    <row r="1441" spans="1:23" ht="11.25" customHeight="1" x14ac:dyDescent="0.25">
      <c r="A1441" s="4" t="s">
        <v>27</v>
      </c>
      <c r="B1441" s="4" t="s">
        <v>44</v>
      </c>
      <c r="C1441" s="4" t="s">
        <v>41</v>
      </c>
      <c r="D1441" s="4" t="s">
        <v>48</v>
      </c>
      <c r="E1441" s="4" t="s">
        <v>25</v>
      </c>
      <c r="F1441" s="4" t="s">
        <v>25</v>
      </c>
      <c r="G1441" s="4" t="s">
        <v>25</v>
      </c>
      <c r="H1441" s="4" t="s">
        <v>35</v>
      </c>
      <c r="I1441" s="5">
        <v>44013</v>
      </c>
      <c r="J1441" s="6">
        <v>360</v>
      </c>
      <c r="K1441" s="6">
        <v>360</v>
      </c>
      <c r="L1441" s="6">
        <v>5.2149999999999999</v>
      </c>
      <c r="M1441" s="6">
        <v>5.2149999999999999</v>
      </c>
      <c r="N1441" s="6">
        <v>5.2149999999999999</v>
      </c>
      <c r="O1441" s="6">
        <v>5.2149999999999999</v>
      </c>
      <c r="P1441" s="6">
        <v>0</v>
      </c>
      <c r="Q1441" s="4" t="s">
        <v>26</v>
      </c>
      <c r="R1441" s="4">
        <v>0</v>
      </c>
      <c r="S1441" s="4" t="s">
        <v>392</v>
      </c>
      <c r="T1441" s="4" t="s">
        <v>746</v>
      </c>
      <c r="U1441" s="4">
        <v>31</v>
      </c>
      <c r="V1441" s="4">
        <v>33</v>
      </c>
      <c r="W1441" s="4">
        <v>83</v>
      </c>
    </row>
    <row r="1442" spans="1:23" ht="11.25" customHeight="1" x14ac:dyDescent="0.25">
      <c r="A1442" s="4" t="s">
        <v>21</v>
      </c>
      <c r="B1442" s="4" t="s">
        <v>44</v>
      </c>
      <c r="C1442" s="4" t="s">
        <v>41</v>
      </c>
      <c r="D1442" s="4" t="s">
        <v>48</v>
      </c>
      <c r="E1442" s="4" t="s">
        <v>25</v>
      </c>
      <c r="F1442" s="4" t="s">
        <v>25</v>
      </c>
      <c r="G1442" s="4" t="s">
        <v>25</v>
      </c>
      <c r="H1442" s="4" t="s">
        <v>35</v>
      </c>
      <c r="I1442" s="5">
        <v>44044</v>
      </c>
      <c r="J1442" s="6">
        <v>12420</v>
      </c>
      <c r="K1442" s="6">
        <v>12420</v>
      </c>
      <c r="L1442" s="6">
        <v>271.39800000000002</v>
      </c>
      <c r="M1442" s="6">
        <v>271.39800000000002</v>
      </c>
      <c r="N1442" s="6">
        <v>271.39800000000002</v>
      </c>
      <c r="O1442" s="6">
        <v>271.39800000000002</v>
      </c>
      <c r="P1442" s="6">
        <v>0</v>
      </c>
      <c r="Q1442" s="4" t="s">
        <v>26</v>
      </c>
      <c r="R1442" s="4">
        <v>0</v>
      </c>
      <c r="S1442" s="4" t="s">
        <v>393</v>
      </c>
      <c r="T1442" s="4" t="s">
        <v>747</v>
      </c>
      <c r="U1442" s="4">
        <v>31</v>
      </c>
      <c r="V1442" s="4">
        <v>33</v>
      </c>
      <c r="W1442" s="4">
        <v>83</v>
      </c>
    </row>
    <row r="1443" spans="1:23" ht="11.25" customHeight="1" x14ac:dyDescent="0.25">
      <c r="A1443" s="4" t="s">
        <v>27</v>
      </c>
      <c r="B1443" s="4" t="s">
        <v>44</v>
      </c>
      <c r="C1443" s="4" t="s">
        <v>41</v>
      </c>
      <c r="D1443" s="4" t="s">
        <v>48</v>
      </c>
      <c r="E1443" s="4" t="s">
        <v>25</v>
      </c>
      <c r="F1443" s="4" t="s">
        <v>25</v>
      </c>
      <c r="G1443" s="4" t="s">
        <v>25</v>
      </c>
      <c r="H1443" s="4" t="s">
        <v>35</v>
      </c>
      <c r="I1443" s="5">
        <v>44044</v>
      </c>
      <c r="J1443" s="6">
        <v>360</v>
      </c>
      <c r="K1443" s="6">
        <v>360</v>
      </c>
      <c r="L1443" s="6">
        <v>14.36</v>
      </c>
      <c r="M1443" s="6">
        <v>14.36</v>
      </c>
      <c r="N1443" s="6">
        <v>14.36</v>
      </c>
      <c r="O1443" s="6">
        <v>14.36</v>
      </c>
      <c r="P1443" s="6">
        <v>0</v>
      </c>
      <c r="Q1443" s="4" t="s">
        <v>26</v>
      </c>
      <c r="R1443" s="4">
        <v>0</v>
      </c>
      <c r="S1443" s="4" t="s">
        <v>393</v>
      </c>
      <c r="T1443" s="4" t="s">
        <v>747</v>
      </c>
      <c r="U1443" s="4">
        <v>31</v>
      </c>
      <c r="V1443" s="4">
        <v>33</v>
      </c>
      <c r="W1443" s="4">
        <v>83</v>
      </c>
    </row>
    <row r="1444" spans="1:23" ht="11.25" customHeight="1" x14ac:dyDescent="0.25">
      <c r="A1444" s="4" t="s">
        <v>59</v>
      </c>
      <c r="B1444" s="4" t="s">
        <v>44</v>
      </c>
      <c r="C1444" s="4" t="s">
        <v>41</v>
      </c>
      <c r="D1444" s="4" t="s">
        <v>48</v>
      </c>
      <c r="E1444" s="4" t="s">
        <v>25</v>
      </c>
      <c r="F1444" s="4" t="s">
        <v>25</v>
      </c>
      <c r="G1444" s="4" t="s">
        <v>25</v>
      </c>
      <c r="H1444" s="4" t="s">
        <v>35</v>
      </c>
      <c r="I1444" s="5">
        <v>44075</v>
      </c>
      <c r="J1444" s="6">
        <v>12420</v>
      </c>
      <c r="K1444" s="6">
        <v>12420</v>
      </c>
      <c r="L1444" s="6">
        <v>271.39800000000002</v>
      </c>
      <c r="M1444" s="6">
        <v>271.39800000000002</v>
      </c>
      <c r="N1444" s="6">
        <v>271.39800000000002</v>
      </c>
      <c r="O1444" s="6">
        <v>271.39800000000002</v>
      </c>
      <c r="P1444" s="6">
        <v>0</v>
      </c>
      <c r="Q1444" s="4" t="s">
        <v>26</v>
      </c>
      <c r="R1444" s="4">
        <v>0</v>
      </c>
      <c r="S1444" s="4" t="s">
        <v>394</v>
      </c>
      <c r="T1444" s="4" t="s">
        <v>748</v>
      </c>
      <c r="U1444" s="4">
        <v>31</v>
      </c>
      <c r="V1444" s="4">
        <v>33</v>
      </c>
      <c r="W1444" s="4">
        <v>83</v>
      </c>
    </row>
    <row r="1445" spans="1:23" ht="11.25" customHeight="1" x14ac:dyDescent="0.25">
      <c r="A1445" s="4" t="s">
        <v>59</v>
      </c>
      <c r="B1445" s="4" t="s">
        <v>44</v>
      </c>
      <c r="C1445" s="4" t="s">
        <v>41</v>
      </c>
      <c r="D1445" s="4" t="s">
        <v>48</v>
      </c>
      <c r="E1445" s="4" t="s">
        <v>25</v>
      </c>
      <c r="F1445" s="4" t="s">
        <v>25</v>
      </c>
      <c r="G1445" s="4" t="s">
        <v>25</v>
      </c>
      <c r="H1445" s="4" t="s">
        <v>35</v>
      </c>
      <c r="I1445" s="5">
        <v>44075</v>
      </c>
      <c r="J1445" s="6">
        <v>360</v>
      </c>
      <c r="K1445" s="6">
        <v>360</v>
      </c>
      <c r="L1445" s="6">
        <v>14.36</v>
      </c>
      <c r="M1445" s="6">
        <v>14.36</v>
      </c>
      <c r="N1445" s="6">
        <v>14.36</v>
      </c>
      <c r="O1445" s="6">
        <v>14.36</v>
      </c>
      <c r="P1445" s="6">
        <v>0</v>
      </c>
      <c r="Q1445" s="4" t="s">
        <v>26</v>
      </c>
      <c r="R1445" s="4">
        <v>0</v>
      </c>
      <c r="S1445" s="4" t="s">
        <v>394</v>
      </c>
      <c r="T1445" s="4" t="s">
        <v>748</v>
      </c>
      <c r="U1445" s="4">
        <v>31</v>
      </c>
      <c r="V1445" s="4">
        <v>33</v>
      </c>
      <c r="W1445" s="4">
        <v>83</v>
      </c>
    </row>
    <row r="1446" spans="1:23" ht="11.25" customHeight="1" x14ac:dyDescent="0.25">
      <c r="A1446" s="4" t="s">
        <v>21</v>
      </c>
      <c r="B1446" s="4" t="s">
        <v>44</v>
      </c>
      <c r="C1446" s="4" t="s">
        <v>34</v>
      </c>
      <c r="D1446" s="4" t="s">
        <v>42</v>
      </c>
      <c r="E1446" s="4" t="s">
        <v>25</v>
      </c>
      <c r="F1446" s="4" t="s">
        <v>25</v>
      </c>
      <c r="G1446" s="4" t="s">
        <v>25</v>
      </c>
      <c r="H1446" s="4" t="s">
        <v>36</v>
      </c>
      <c r="I1446" s="5">
        <v>43739</v>
      </c>
      <c r="J1446" s="6">
        <v>0</v>
      </c>
      <c r="K1446" s="6">
        <v>0</v>
      </c>
      <c r="L1446" s="6">
        <v>6523.6260000000002</v>
      </c>
      <c r="M1446" s="6">
        <v>6523.6260000000002</v>
      </c>
      <c r="N1446" s="6">
        <v>6523.6260000000002</v>
      </c>
      <c r="O1446" s="6">
        <v>6523.6260000000002</v>
      </c>
      <c r="P1446" s="6">
        <v>0</v>
      </c>
      <c r="Q1446" s="4" t="s">
        <v>26</v>
      </c>
      <c r="R1446" s="4">
        <v>0</v>
      </c>
      <c r="S1446" s="4" t="s">
        <v>407</v>
      </c>
      <c r="T1446" s="4" t="s">
        <v>725</v>
      </c>
      <c r="U1446" s="4">
        <v>0</v>
      </c>
      <c r="V1446" s="4">
        <v>37</v>
      </c>
      <c r="W1446" s="4">
        <v>84</v>
      </c>
    </row>
    <row r="1447" spans="1:23" ht="11.25" customHeight="1" x14ac:dyDescent="0.25">
      <c r="A1447" s="4" t="s">
        <v>28</v>
      </c>
      <c r="B1447" s="4" t="s">
        <v>44</v>
      </c>
      <c r="C1447" s="4" t="s">
        <v>34</v>
      </c>
      <c r="D1447" s="4" t="s">
        <v>42</v>
      </c>
      <c r="E1447" s="4" t="s">
        <v>25</v>
      </c>
      <c r="F1447" s="4" t="s">
        <v>25</v>
      </c>
      <c r="G1447" s="4" t="s">
        <v>25</v>
      </c>
      <c r="H1447" s="4" t="s">
        <v>36</v>
      </c>
      <c r="I1447" s="5">
        <v>43739</v>
      </c>
      <c r="J1447" s="6">
        <v>0</v>
      </c>
      <c r="K1447" s="6">
        <v>0</v>
      </c>
      <c r="L1447" s="6">
        <v>383.14299999999997</v>
      </c>
      <c r="M1447" s="6">
        <v>383.14299999999997</v>
      </c>
      <c r="N1447" s="6">
        <v>383.14299999999997</v>
      </c>
      <c r="O1447" s="6">
        <v>383.14299999999997</v>
      </c>
      <c r="P1447" s="6">
        <v>0</v>
      </c>
      <c r="Q1447" s="4" t="s">
        <v>26</v>
      </c>
      <c r="R1447" s="4">
        <v>0</v>
      </c>
      <c r="S1447" s="4" t="s">
        <v>407</v>
      </c>
      <c r="T1447" s="4" t="s">
        <v>725</v>
      </c>
      <c r="U1447" s="4">
        <v>0</v>
      </c>
      <c r="V1447" s="4">
        <v>37</v>
      </c>
      <c r="W1447" s="4">
        <v>84</v>
      </c>
    </row>
    <row r="1448" spans="1:23" ht="11.25" customHeight="1" x14ac:dyDescent="0.25">
      <c r="A1448" s="4" t="s">
        <v>21</v>
      </c>
      <c r="B1448" s="4" t="s">
        <v>44</v>
      </c>
      <c r="C1448" s="4" t="s">
        <v>34</v>
      </c>
      <c r="D1448" s="4" t="s">
        <v>42</v>
      </c>
      <c r="E1448" s="4" t="s">
        <v>25</v>
      </c>
      <c r="F1448" s="4" t="s">
        <v>25</v>
      </c>
      <c r="G1448" s="4" t="s">
        <v>25</v>
      </c>
      <c r="H1448" s="4" t="s">
        <v>36</v>
      </c>
      <c r="I1448" s="5">
        <v>43770</v>
      </c>
      <c r="J1448" s="6">
        <v>0</v>
      </c>
      <c r="K1448" s="6">
        <v>0</v>
      </c>
      <c r="L1448" s="6">
        <v>6340.2920000000004</v>
      </c>
      <c r="M1448" s="6">
        <v>6340.2920000000004</v>
      </c>
      <c r="N1448" s="6">
        <v>6340.2920000000004</v>
      </c>
      <c r="O1448" s="6">
        <v>6340.2920000000004</v>
      </c>
      <c r="P1448" s="6">
        <v>0</v>
      </c>
      <c r="Q1448" s="4" t="s">
        <v>26</v>
      </c>
      <c r="R1448" s="4">
        <v>0</v>
      </c>
      <c r="S1448" s="4" t="s">
        <v>408</v>
      </c>
      <c r="T1448" s="4" t="s">
        <v>726</v>
      </c>
      <c r="U1448" s="4">
        <v>0</v>
      </c>
      <c r="V1448" s="4">
        <v>37</v>
      </c>
      <c r="W1448" s="4">
        <v>84</v>
      </c>
    </row>
    <row r="1449" spans="1:23" ht="11.25" customHeight="1" x14ac:dyDescent="0.25">
      <c r="A1449" s="4" t="s">
        <v>27</v>
      </c>
      <c r="B1449" s="4" t="s">
        <v>44</v>
      </c>
      <c r="C1449" s="4" t="s">
        <v>34</v>
      </c>
      <c r="D1449" s="4" t="s">
        <v>42</v>
      </c>
      <c r="E1449" s="4" t="s">
        <v>25</v>
      </c>
      <c r="F1449" s="4" t="s">
        <v>25</v>
      </c>
      <c r="G1449" s="4" t="s">
        <v>25</v>
      </c>
      <c r="H1449" s="4" t="s">
        <v>36</v>
      </c>
      <c r="I1449" s="5">
        <v>43770</v>
      </c>
      <c r="J1449" s="6">
        <v>0</v>
      </c>
      <c r="K1449" s="6">
        <v>0</v>
      </c>
      <c r="L1449" s="6">
        <v>267.86200000000002</v>
      </c>
      <c r="M1449" s="6">
        <v>267.86200000000002</v>
      </c>
      <c r="N1449" s="6">
        <v>267.86200000000002</v>
      </c>
      <c r="O1449" s="6">
        <v>267.86200000000002</v>
      </c>
      <c r="P1449" s="6">
        <v>0</v>
      </c>
      <c r="Q1449" s="4" t="s">
        <v>26</v>
      </c>
      <c r="R1449" s="4">
        <v>0</v>
      </c>
      <c r="S1449" s="4" t="s">
        <v>408</v>
      </c>
      <c r="T1449" s="4" t="s">
        <v>726</v>
      </c>
      <c r="U1449" s="4">
        <v>0</v>
      </c>
      <c r="V1449" s="4">
        <v>37</v>
      </c>
      <c r="W1449" s="4">
        <v>84</v>
      </c>
    </row>
    <row r="1450" spans="1:23" ht="11.25" customHeight="1" x14ac:dyDescent="0.25">
      <c r="A1450" s="4" t="s">
        <v>28</v>
      </c>
      <c r="B1450" s="4" t="s">
        <v>44</v>
      </c>
      <c r="C1450" s="4" t="s">
        <v>34</v>
      </c>
      <c r="D1450" s="4" t="s">
        <v>42</v>
      </c>
      <c r="E1450" s="4" t="s">
        <v>25</v>
      </c>
      <c r="F1450" s="4" t="s">
        <v>25</v>
      </c>
      <c r="G1450" s="4" t="s">
        <v>25</v>
      </c>
      <c r="H1450" s="4" t="s">
        <v>36</v>
      </c>
      <c r="I1450" s="5">
        <v>43770</v>
      </c>
      <c r="J1450" s="6">
        <v>0</v>
      </c>
      <c r="K1450" s="6">
        <v>0</v>
      </c>
      <c r="L1450" s="6">
        <v>386.67</v>
      </c>
      <c r="M1450" s="6">
        <v>386.67</v>
      </c>
      <c r="N1450" s="6">
        <v>386.67</v>
      </c>
      <c r="O1450" s="6">
        <v>386.67</v>
      </c>
      <c r="P1450" s="6">
        <v>0</v>
      </c>
      <c r="Q1450" s="4" t="s">
        <v>26</v>
      </c>
      <c r="R1450" s="4">
        <v>0</v>
      </c>
      <c r="S1450" s="4" t="s">
        <v>408</v>
      </c>
      <c r="T1450" s="4" t="s">
        <v>726</v>
      </c>
      <c r="U1450" s="4">
        <v>0</v>
      </c>
      <c r="V1450" s="4">
        <v>37</v>
      </c>
      <c r="W1450" s="4">
        <v>84</v>
      </c>
    </row>
    <row r="1451" spans="1:23" ht="11.25" customHeight="1" x14ac:dyDescent="0.25">
      <c r="A1451" s="4" t="s">
        <v>21</v>
      </c>
      <c r="B1451" s="4" t="s">
        <v>44</v>
      </c>
      <c r="C1451" s="4" t="s">
        <v>34</v>
      </c>
      <c r="D1451" s="4" t="s">
        <v>42</v>
      </c>
      <c r="E1451" s="4" t="s">
        <v>25</v>
      </c>
      <c r="F1451" s="4" t="s">
        <v>25</v>
      </c>
      <c r="G1451" s="4" t="s">
        <v>25</v>
      </c>
      <c r="H1451" s="4" t="s">
        <v>36</v>
      </c>
      <c r="I1451" s="5">
        <v>43800</v>
      </c>
      <c r="J1451" s="6">
        <v>0</v>
      </c>
      <c r="K1451" s="6">
        <v>0</v>
      </c>
      <c r="L1451" s="6">
        <v>6326.99</v>
      </c>
      <c r="M1451" s="6">
        <v>6326.99</v>
      </c>
      <c r="N1451" s="6">
        <v>6326.99</v>
      </c>
      <c r="O1451" s="6">
        <v>6326.99</v>
      </c>
      <c r="P1451" s="6">
        <v>0</v>
      </c>
      <c r="Q1451" s="4" t="s">
        <v>26</v>
      </c>
      <c r="R1451" s="4">
        <v>0</v>
      </c>
      <c r="S1451" s="4" t="s">
        <v>409</v>
      </c>
      <c r="T1451" s="4" t="s">
        <v>727</v>
      </c>
      <c r="U1451" s="4">
        <v>0</v>
      </c>
      <c r="V1451" s="4">
        <v>37</v>
      </c>
      <c r="W1451" s="4">
        <v>84</v>
      </c>
    </row>
    <row r="1452" spans="1:23" ht="11.25" customHeight="1" x14ac:dyDescent="0.25">
      <c r="A1452" s="4" t="s">
        <v>28</v>
      </c>
      <c r="B1452" s="4" t="s">
        <v>44</v>
      </c>
      <c r="C1452" s="4" t="s">
        <v>34</v>
      </c>
      <c r="D1452" s="4" t="s">
        <v>42</v>
      </c>
      <c r="E1452" s="4" t="s">
        <v>25</v>
      </c>
      <c r="F1452" s="4" t="s">
        <v>25</v>
      </c>
      <c r="G1452" s="4" t="s">
        <v>25</v>
      </c>
      <c r="H1452" s="4" t="s">
        <v>36</v>
      </c>
      <c r="I1452" s="5">
        <v>43800</v>
      </c>
      <c r="J1452" s="6">
        <v>0</v>
      </c>
      <c r="K1452" s="6">
        <v>0</v>
      </c>
      <c r="L1452" s="6">
        <v>828.84400000000005</v>
      </c>
      <c r="M1452" s="6">
        <v>828.84400000000005</v>
      </c>
      <c r="N1452" s="6">
        <v>828.84400000000005</v>
      </c>
      <c r="O1452" s="6">
        <v>828.84400000000005</v>
      </c>
      <c r="P1452" s="6">
        <v>0</v>
      </c>
      <c r="Q1452" s="4" t="s">
        <v>26</v>
      </c>
      <c r="R1452" s="4">
        <v>0</v>
      </c>
      <c r="S1452" s="4" t="s">
        <v>409</v>
      </c>
      <c r="T1452" s="4" t="s">
        <v>727</v>
      </c>
      <c r="U1452" s="4">
        <v>0</v>
      </c>
      <c r="V1452" s="4">
        <v>37</v>
      </c>
      <c r="W1452" s="4">
        <v>84</v>
      </c>
    </row>
    <row r="1453" spans="1:23" ht="11.25" customHeight="1" x14ac:dyDescent="0.25">
      <c r="A1453" s="4" t="s">
        <v>21</v>
      </c>
      <c r="B1453" s="4" t="s">
        <v>44</v>
      </c>
      <c r="C1453" s="4" t="s">
        <v>34</v>
      </c>
      <c r="D1453" s="4" t="s">
        <v>42</v>
      </c>
      <c r="E1453" s="4" t="s">
        <v>25</v>
      </c>
      <c r="F1453" s="4" t="s">
        <v>25</v>
      </c>
      <c r="G1453" s="4" t="s">
        <v>25</v>
      </c>
      <c r="H1453" s="4" t="s">
        <v>36</v>
      </c>
      <c r="I1453" s="5">
        <v>43831</v>
      </c>
      <c r="J1453" s="6">
        <v>0</v>
      </c>
      <c r="K1453" s="6">
        <v>0</v>
      </c>
      <c r="L1453" s="6">
        <v>5878.5460000000003</v>
      </c>
      <c r="M1453" s="6">
        <v>5878.5460000000003</v>
      </c>
      <c r="N1453" s="6">
        <v>5878.5460000000003</v>
      </c>
      <c r="O1453" s="6">
        <v>5878.5460000000003</v>
      </c>
      <c r="P1453" s="6">
        <v>0</v>
      </c>
      <c r="Q1453" s="4" t="s">
        <v>26</v>
      </c>
      <c r="R1453" s="4">
        <v>0</v>
      </c>
      <c r="S1453" s="4" t="s">
        <v>410</v>
      </c>
      <c r="T1453" s="4" t="s">
        <v>728</v>
      </c>
      <c r="U1453" s="4">
        <v>0</v>
      </c>
      <c r="V1453" s="4">
        <v>37</v>
      </c>
      <c r="W1453" s="4">
        <v>84</v>
      </c>
    </row>
    <row r="1454" spans="1:23" ht="11.25" customHeight="1" x14ac:dyDescent="0.25">
      <c r="A1454" s="4" t="s">
        <v>27</v>
      </c>
      <c r="B1454" s="4" t="s">
        <v>44</v>
      </c>
      <c r="C1454" s="4" t="s">
        <v>34</v>
      </c>
      <c r="D1454" s="4" t="s">
        <v>42</v>
      </c>
      <c r="E1454" s="4" t="s">
        <v>25</v>
      </c>
      <c r="F1454" s="4" t="s">
        <v>25</v>
      </c>
      <c r="G1454" s="4" t="s">
        <v>25</v>
      </c>
      <c r="H1454" s="4" t="s">
        <v>36</v>
      </c>
      <c r="I1454" s="5">
        <v>43831</v>
      </c>
      <c r="J1454" s="6">
        <v>0</v>
      </c>
      <c r="K1454" s="6">
        <v>0</v>
      </c>
      <c r="L1454" s="6">
        <v>18.882999999999999</v>
      </c>
      <c r="M1454" s="6">
        <v>18.882999999999999</v>
      </c>
      <c r="N1454" s="6">
        <v>18.882999999999999</v>
      </c>
      <c r="O1454" s="6">
        <v>18.882999999999999</v>
      </c>
      <c r="P1454" s="6">
        <v>0</v>
      </c>
      <c r="Q1454" s="4" t="s">
        <v>26</v>
      </c>
      <c r="R1454" s="4">
        <v>0</v>
      </c>
      <c r="S1454" s="4" t="s">
        <v>410</v>
      </c>
      <c r="T1454" s="4" t="s">
        <v>728</v>
      </c>
      <c r="U1454" s="4">
        <v>0</v>
      </c>
      <c r="V1454" s="4">
        <v>37</v>
      </c>
      <c r="W1454" s="4">
        <v>84</v>
      </c>
    </row>
    <row r="1455" spans="1:23" ht="11.25" customHeight="1" x14ac:dyDescent="0.25">
      <c r="A1455" s="4" t="s">
        <v>28</v>
      </c>
      <c r="B1455" s="4" t="s">
        <v>44</v>
      </c>
      <c r="C1455" s="4" t="s">
        <v>34</v>
      </c>
      <c r="D1455" s="4" t="s">
        <v>42</v>
      </c>
      <c r="E1455" s="4" t="s">
        <v>25</v>
      </c>
      <c r="F1455" s="4" t="s">
        <v>25</v>
      </c>
      <c r="G1455" s="4" t="s">
        <v>25</v>
      </c>
      <c r="H1455" s="4" t="s">
        <v>36</v>
      </c>
      <c r="I1455" s="5">
        <v>43831</v>
      </c>
      <c r="J1455" s="6">
        <v>0</v>
      </c>
      <c r="K1455" s="6">
        <v>0</v>
      </c>
      <c r="L1455" s="6">
        <v>612.27499999999998</v>
      </c>
      <c r="M1455" s="6">
        <v>612.27499999999998</v>
      </c>
      <c r="N1455" s="6">
        <v>612.27499999999998</v>
      </c>
      <c r="O1455" s="6">
        <v>612.27499999999998</v>
      </c>
      <c r="P1455" s="6">
        <v>0</v>
      </c>
      <c r="Q1455" s="4" t="s">
        <v>26</v>
      </c>
      <c r="R1455" s="4">
        <v>0</v>
      </c>
      <c r="S1455" s="4" t="s">
        <v>410</v>
      </c>
      <c r="T1455" s="4" t="s">
        <v>728</v>
      </c>
      <c r="U1455" s="4">
        <v>0</v>
      </c>
      <c r="V1455" s="4">
        <v>37</v>
      </c>
      <c r="W1455" s="4">
        <v>84</v>
      </c>
    </row>
    <row r="1456" spans="1:23" ht="11.25" customHeight="1" x14ac:dyDescent="0.25">
      <c r="A1456" s="4" t="s">
        <v>21</v>
      </c>
      <c r="B1456" s="4" t="s">
        <v>44</v>
      </c>
      <c r="C1456" s="4" t="s">
        <v>34</v>
      </c>
      <c r="D1456" s="4" t="s">
        <v>42</v>
      </c>
      <c r="E1456" s="4" t="s">
        <v>25</v>
      </c>
      <c r="F1456" s="4" t="s">
        <v>25</v>
      </c>
      <c r="G1456" s="4" t="s">
        <v>25</v>
      </c>
      <c r="H1456" s="4" t="s">
        <v>36</v>
      </c>
      <c r="I1456" s="5">
        <v>43862</v>
      </c>
      <c r="J1456" s="6">
        <v>0</v>
      </c>
      <c r="K1456" s="6">
        <v>0</v>
      </c>
      <c r="L1456" s="6">
        <v>6338.9570000000003</v>
      </c>
      <c r="M1456" s="6">
        <v>6338.9570000000003</v>
      </c>
      <c r="N1456" s="6">
        <v>6338.9570000000003</v>
      </c>
      <c r="O1456" s="6">
        <v>6338.9570000000003</v>
      </c>
      <c r="P1456" s="6">
        <v>0</v>
      </c>
      <c r="Q1456" s="4" t="s">
        <v>26</v>
      </c>
      <c r="R1456" s="4">
        <v>0</v>
      </c>
      <c r="S1456" s="4" t="s">
        <v>411</v>
      </c>
      <c r="T1456" s="4" t="s">
        <v>729</v>
      </c>
      <c r="U1456" s="4">
        <v>0</v>
      </c>
      <c r="V1456" s="4">
        <v>37</v>
      </c>
      <c r="W1456" s="4">
        <v>84</v>
      </c>
    </row>
    <row r="1457" spans="1:23" ht="11.25" customHeight="1" x14ac:dyDescent="0.25">
      <c r="A1457" s="4" t="s">
        <v>28</v>
      </c>
      <c r="B1457" s="4" t="s">
        <v>44</v>
      </c>
      <c r="C1457" s="4" t="s">
        <v>34</v>
      </c>
      <c r="D1457" s="4" t="s">
        <v>42</v>
      </c>
      <c r="E1457" s="4" t="s">
        <v>25</v>
      </c>
      <c r="F1457" s="4" t="s">
        <v>25</v>
      </c>
      <c r="G1457" s="4" t="s">
        <v>25</v>
      </c>
      <c r="H1457" s="4" t="s">
        <v>36</v>
      </c>
      <c r="I1457" s="5">
        <v>43862</v>
      </c>
      <c r="J1457" s="6">
        <v>0</v>
      </c>
      <c r="K1457" s="6">
        <v>0</v>
      </c>
      <c r="L1457" s="6">
        <v>698.73199999999997</v>
      </c>
      <c r="M1457" s="6">
        <v>698.73199999999997</v>
      </c>
      <c r="N1457" s="6">
        <v>698.73199999999997</v>
      </c>
      <c r="O1457" s="6">
        <v>698.73199999999997</v>
      </c>
      <c r="P1457" s="6">
        <v>0</v>
      </c>
      <c r="Q1457" s="4" t="s">
        <v>26</v>
      </c>
      <c r="R1457" s="4">
        <v>0</v>
      </c>
      <c r="S1457" s="4" t="s">
        <v>411</v>
      </c>
      <c r="T1457" s="4" t="s">
        <v>729</v>
      </c>
      <c r="U1457" s="4">
        <v>0</v>
      </c>
      <c r="V1457" s="4">
        <v>37</v>
      </c>
      <c r="W1457" s="4">
        <v>84</v>
      </c>
    </row>
    <row r="1458" spans="1:23" ht="11.25" customHeight="1" x14ac:dyDescent="0.25">
      <c r="A1458" s="4" t="s">
        <v>21</v>
      </c>
      <c r="B1458" s="4" t="s">
        <v>44</v>
      </c>
      <c r="C1458" s="4" t="s">
        <v>34</v>
      </c>
      <c r="D1458" s="4" t="s">
        <v>42</v>
      </c>
      <c r="E1458" s="4" t="s">
        <v>25</v>
      </c>
      <c r="F1458" s="4" t="s">
        <v>25</v>
      </c>
      <c r="G1458" s="4" t="s">
        <v>25</v>
      </c>
      <c r="H1458" s="4" t="s">
        <v>36</v>
      </c>
      <c r="I1458" s="5">
        <v>43891</v>
      </c>
      <c r="J1458" s="6">
        <v>0</v>
      </c>
      <c r="K1458" s="6">
        <v>0</v>
      </c>
      <c r="L1458" s="6">
        <v>5727.89</v>
      </c>
      <c r="M1458" s="6">
        <v>5727.89</v>
      </c>
      <c r="N1458" s="6">
        <v>5727.89</v>
      </c>
      <c r="O1458" s="6">
        <v>5727.89</v>
      </c>
      <c r="P1458" s="6">
        <v>0</v>
      </c>
      <c r="Q1458" s="4" t="s">
        <v>26</v>
      </c>
      <c r="R1458" s="4">
        <v>0</v>
      </c>
      <c r="S1458" s="4" t="s">
        <v>412</v>
      </c>
      <c r="T1458" s="4" t="s">
        <v>730</v>
      </c>
      <c r="U1458" s="4">
        <v>0</v>
      </c>
      <c r="V1458" s="4">
        <v>37</v>
      </c>
      <c r="W1458" s="4">
        <v>84</v>
      </c>
    </row>
    <row r="1459" spans="1:23" ht="11.25" customHeight="1" x14ac:dyDescent="0.25">
      <c r="A1459" s="4" t="s">
        <v>28</v>
      </c>
      <c r="B1459" s="4" t="s">
        <v>44</v>
      </c>
      <c r="C1459" s="4" t="s">
        <v>34</v>
      </c>
      <c r="D1459" s="4" t="s">
        <v>42</v>
      </c>
      <c r="E1459" s="4" t="s">
        <v>25</v>
      </c>
      <c r="F1459" s="4" t="s">
        <v>25</v>
      </c>
      <c r="G1459" s="4" t="s">
        <v>25</v>
      </c>
      <c r="H1459" s="4" t="s">
        <v>36</v>
      </c>
      <c r="I1459" s="5">
        <v>43891</v>
      </c>
      <c r="J1459" s="6">
        <v>0</v>
      </c>
      <c r="K1459" s="6">
        <v>0</v>
      </c>
      <c r="L1459" s="6">
        <v>576.62099999999998</v>
      </c>
      <c r="M1459" s="6">
        <v>576.62099999999998</v>
      </c>
      <c r="N1459" s="6">
        <v>576.62099999999998</v>
      </c>
      <c r="O1459" s="6">
        <v>576.62099999999998</v>
      </c>
      <c r="P1459" s="6">
        <v>0</v>
      </c>
      <c r="Q1459" s="4" t="s">
        <v>26</v>
      </c>
      <c r="R1459" s="4">
        <v>0</v>
      </c>
      <c r="S1459" s="4" t="s">
        <v>412</v>
      </c>
      <c r="T1459" s="4" t="s">
        <v>730</v>
      </c>
      <c r="U1459" s="4">
        <v>0</v>
      </c>
      <c r="V1459" s="4">
        <v>37</v>
      </c>
      <c r="W1459" s="4">
        <v>84</v>
      </c>
    </row>
    <row r="1460" spans="1:23" ht="11.25" customHeight="1" x14ac:dyDescent="0.25">
      <c r="A1460" s="4" t="s">
        <v>21</v>
      </c>
      <c r="B1460" s="4" t="s">
        <v>44</v>
      </c>
      <c r="C1460" s="4" t="s">
        <v>34</v>
      </c>
      <c r="D1460" s="4" t="s">
        <v>42</v>
      </c>
      <c r="E1460" s="4" t="s">
        <v>25</v>
      </c>
      <c r="F1460" s="4" t="s">
        <v>25</v>
      </c>
      <c r="G1460" s="4" t="s">
        <v>25</v>
      </c>
      <c r="H1460" s="4" t="s">
        <v>36</v>
      </c>
      <c r="I1460" s="5">
        <v>43922</v>
      </c>
      <c r="J1460" s="6">
        <v>0</v>
      </c>
      <c r="K1460" s="6">
        <v>0</v>
      </c>
      <c r="L1460" s="6">
        <v>5294.9269999999997</v>
      </c>
      <c r="M1460" s="6">
        <v>5294.9269999999997</v>
      </c>
      <c r="N1460" s="6">
        <v>5294.9269999999997</v>
      </c>
      <c r="O1460" s="6">
        <v>5294.9269999999997</v>
      </c>
      <c r="P1460" s="6">
        <v>0</v>
      </c>
      <c r="Q1460" s="4" t="s">
        <v>26</v>
      </c>
      <c r="R1460" s="4">
        <v>0</v>
      </c>
      <c r="S1460" s="4" t="s">
        <v>413</v>
      </c>
      <c r="T1460" s="4" t="s">
        <v>731</v>
      </c>
      <c r="U1460" s="4">
        <v>0</v>
      </c>
      <c r="V1460" s="4">
        <v>37</v>
      </c>
      <c r="W1460" s="4">
        <v>84</v>
      </c>
    </row>
    <row r="1461" spans="1:23" ht="11.25" customHeight="1" x14ac:dyDescent="0.25">
      <c r="A1461" s="4" t="s">
        <v>27</v>
      </c>
      <c r="B1461" s="4" t="s">
        <v>44</v>
      </c>
      <c r="C1461" s="4" t="s">
        <v>34</v>
      </c>
      <c r="D1461" s="4" t="s">
        <v>42</v>
      </c>
      <c r="E1461" s="4" t="s">
        <v>25</v>
      </c>
      <c r="F1461" s="4" t="s">
        <v>25</v>
      </c>
      <c r="G1461" s="4" t="s">
        <v>25</v>
      </c>
      <c r="H1461" s="4" t="s">
        <v>36</v>
      </c>
      <c r="I1461" s="5">
        <v>43922</v>
      </c>
      <c r="J1461" s="6">
        <v>0</v>
      </c>
      <c r="K1461" s="6">
        <v>0</v>
      </c>
      <c r="L1461" s="6">
        <v>209.76400000000001</v>
      </c>
      <c r="M1461" s="6">
        <v>209.76400000000001</v>
      </c>
      <c r="N1461" s="6">
        <v>209.76400000000001</v>
      </c>
      <c r="O1461" s="6">
        <v>209.76400000000001</v>
      </c>
      <c r="P1461" s="6">
        <v>0</v>
      </c>
      <c r="Q1461" s="4" t="s">
        <v>26</v>
      </c>
      <c r="R1461" s="4">
        <v>0</v>
      </c>
      <c r="S1461" s="4" t="s">
        <v>413</v>
      </c>
      <c r="T1461" s="4" t="s">
        <v>731</v>
      </c>
      <c r="U1461" s="4">
        <v>0</v>
      </c>
      <c r="V1461" s="4">
        <v>37</v>
      </c>
      <c r="W1461" s="4">
        <v>84</v>
      </c>
    </row>
    <row r="1462" spans="1:23" ht="11.25" customHeight="1" x14ac:dyDescent="0.25">
      <c r="A1462" s="4" t="s">
        <v>28</v>
      </c>
      <c r="B1462" s="4" t="s">
        <v>44</v>
      </c>
      <c r="C1462" s="4" t="s">
        <v>34</v>
      </c>
      <c r="D1462" s="4" t="s">
        <v>42</v>
      </c>
      <c r="E1462" s="4" t="s">
        <v>25</v>
      </c>
      <c r="F1462" s="4" t="s">
        <v>25</v>
      </c>
      <c r="G1462" s="4" t="s">
        <v>25</v>
      </c>
      <c r="H1462" s="4" t="s">
        <v>36</v>
      </c>
      <c r="I1462" s="5">
        <v>43922</v>
      </c>
      <c r="J1462" s="6">
        <v>0</v>
      </c>
      <c r="K1462" s="6">
        <v>0</v>
      </c>
      <c r="L1462" s="6">
        <v>493.21800000000002</v>
      </c>
      <c r="M1462" s="6">
        <v>493.21800000000002</v>
      </c>
      <c r="N1462" s="6">
        <v>493.21800000000002</v>
      </c>
      <c r="O1462" s="6">
        <v>493.21800000000002</v>
      </c>
      <c r="P1462" s="6">
        <v>0</v>
      </c>
      <c r="Q1462" s="4" t="s">
        <v>26</v>
      </c>
      <c r="R1462" s="4">
        <v>0</v>
      </c>
      <c r="S1462" s="4" t="s">
        <v>413</v>
      </c>
      <c r="T1462" s="4" t="s">
        <v>731</v>
      </c>
      <c r="U1462" s="4">
        <v>0</v>
      </c>
      <c r="V1462" s="4">
        <v>37</v>
      </c>
      <c r="W1462" s="4">
        <v>84</v>
      </c>
    </row>
    <row r="1463" spans="1:23" ht="11.25" customHeight="1" x14ac:dyDescent="0.25">
      <c r="A1463" s="4" t="s">
        <v>21</v>
      </c>
      <c r="B1463" s="4" t="s">
        <v>44</v>
      </c>
      <c r="C1463" s="4" t="s">
        <v>34</v>
      </c>
      <c r="D1463" s="4" t="s">
        <v>42</v>
      </c>
      <c r="E1463" s="4" t="s">
        <v>25</v>
      </c>
      <c r="F1463" s="4" t="s">
        <v>25</v>
      </c>
      <c r="G1463" s="4" t="s">
        <v>25</v>
      </c>
      <c r="H1463" s="4" t="s">
        <v>36</v>
      </c>
      <c r="I1463" s="5">
        <v>43952</v>
      </c>
      <c r="J1463" s="6">
        <v>0</v>
      </c>
      <c r="K1463" s="6">
        <v>0</v>
      </c>
      <c r="L1463" s="6">
        <v>4223.8209999999999</v>
      </c>
      <c r="M1463" s="6">
        <v>4223.8209999999999</v>
      </c>
      <c r="N1463" s="6">
        <v>4223.8209999999999</v>
      </c>
      <c r="O1463" s="6">
        <v>4223.8209999999999</v>
      </c>
      <c r="P1463" s="6">
        <v>0</v>
      </c>
      <c r="Q1463" s="4" t="s">
        <v>26</v>
      </c>
      <c r="R1463" s="4">
        <v>0</v>
      </c>
      <c r="S1463" s="4" t="s">
        <v>414</v>
      </c>
      <c r="T1463" s="4" t="s">
        <v>732</v>
      </c>
      <c r="U1463" s="4">
        <v>0</v>
      </c>
      <c r="V1463" s="4">
        <v>37</v>
      </c>
      <c r="W1463" s="4">
        <v>84</v>
      </c>
    </row>
    <row r="1464" spans="1:23" ht="11.25" customHeight="1" x14ac:dyDescent="0.25">
      <c r="A1464" s="4" t="s">
        <v>28</v>
      </c>
      <c r="B1464" s="4" t="s">
        <v>44</v>
      </c>
      <c r="C1464" s="4" t="s">
        <v>34</v>
      </c>
      <c r="D1464" s="4" t="s">
        <v>42</v>
      </c>
      <c r="E1464" s="4" t="s">
        <v>25</v>
      </c>
      <c r="F1464" s="4" t="s">
        <v>25</v>
      </c>
      <c r="G1464" s="4" t="s">
        <v>25</v>
      </c>
      <c r="H1464" s="4" t="s">
        <v>36</v>
      </c>
      <c r="I1464" s="5">
        <v>43952</v>
      </c>
      <c r="J1464" s="6">
        <v>0</v>
      </c>
      <c r="K1464" s="6">
        <v>0</v>
      </c>
      <c r="L1464" s="6">
        <v>337.584</v>
      </c>
      <c r="M1464" s="6">
        <v>337.584</v>
      </c>
      <c r="N1464" s="6">
        <v>337.584</v>
      </c>
      <c r="O1464" s="6">
        <v>337.584</v>
      </c>
      <c r="P1464" s="6">
        <v>0</v>
      </c>
      <c r="Q1464" s="4" t="s">
        <v>26</v>
      </c>
      <c r="R1464" s="4">
        <v>0</v>
      </c>
      <c r="S1464" s="4" t="s">
        <v>414</v>
      </c>
      <c r="T1464" s="4" t="s">
        <v>732</v>
      </c>
      <c r="U1464" s="4">
        <v>0</v>
      </c>
      <c r="V1464" s="4">
        <v>37</v>
      </c>
      <c r="W1464" s="4">
        <v>84</v>
      </c>
    </row>
    <row r="1465" spans="1:23" ht="11.25" customHeight="1" x14ac:dyDescent="0.25">
      <c r="A1465" s="4" t="s">
        <v>21</v>
      </c>
      <c r="B1465" s="4" t="s">
        <v>44</v>
      </c>
      <c r="C1465" s="4" t="s">
        <v>34</v>
      </c>
      <c r="D1465" s="4" t="s">
        <v>42</v>
      </c>
      <c r="E1465" s="4" t="s">
        <v>25</v>
      </c>
      <c r="F1465" s="4" t="s">
        <v>25</v>
      </c>
      <c r="G1465" s="4" t="s">
        <v>25</v>
      </c>
      <c r="H1465" s="4" t="s">
        <v>36</v>
      </c>
      <c r="I1465" s="5">
        <v>43983</v>
      </c>
      <c r="J1465" s="6">
        <v>0</v>
      </c>
      <c r="K1465" s="6">
        <v>0</v>
      </c>
      <c r="L1465" s="6">
        <v>4150.2550000000001</v>
      </c>
      <c r="M1465" s="6">
        <v>4150.2550000000001</v>
      </c>
      <c r="N1465" s="6">
        <v>4150.2550000000001</v>
      </c>
      <c r="O1465" s="6">
        <v>4150.2550000000001</v>
      </c>
      <c r="P1465" s="6">
        <v>0</v>
      </c>
      <c r="Q1465" s="4" t="s">
        <v>26</v>
      </c>
      <c r="R1465" s="4">
        <v>0</v>
      </c>
      <c r="S1465" s="4" t="s">
        <v>415</v>
      </c>
      <c r="T1465" s="4" t="s">
        <v>733</v>
      </c>
      <c r="U1465" s="4">
        <v>0</v>
      </c>
      <c r="V1465" s="4">
        <v>37</v>
      </c>
      <c r="W1465" s="4">
        <v>84</v>
      </c>
    </row>
    <row r="1466" spans="1:23" ht="11.25" customHeight="1" x14ac:dyDescent="0.25">
      <c r="A1466" s="4" t="s">
        <v>27</v>
      </c>
      <c r="B1466" s="4" t="s">
        <v>44</v>
      </c>
      <c r="C1466" s="4" t="s">
        <v>34</v>
      </c>
      <c r="D1466" s="4" t="s">
        <v>42</v>
      </c>
      <c r="E1466" s="4" t="s">
        <v>25</v>
      </c>
      <c r="F1466" s="4" t="s">
        <v>25</v>
      </c>
      <c r="G1466" s="4" t="s">
        <v>25</v>
      </c>
      <c r="H1466" s="4" t="s">
        <v>36</v>
      </c>
      <c r="I1466" s="5">
        <v>43983</v>
      </c>
      <c r="J1466" s="6">
        <v>0</v>
      </c>
      <c r="K1466" s="6">
        <v>0</v>
      </c>
      <c r="L1466" s="6">
        <v>25.931999999999999</v>
      </c>
      <c r="M1466" s="6">
        <v>25.931999999999999</v>
      </c>
      <c r="N1466" s="6">
        <v>25.931999999999999</v>
      </c>
      <c r="O1466" s="6">
        <v>25.931999999999999</v>
      </c>
      <c r="P1466" s="6">
        <v>0</v>
      </c>
      <c r="Q1466" s="4" t="s">
        <v>26</v>
      </c>
      <c r="R1466" s="4">
        <v>0</v>
      </c>
      <c r="S1466" s="4" t="s">
        <v>415</v>
      </c>
      <c r="T1466" s="4" t="s">
        <v>733</v>
      </c>
      <c r="U1466" s="4">
        <v>0</v>
      </c>
      <c r="V1466" s="4">
        <v>37</v>
      </c>
      <c r="W1466" s="4">
        <v>84</v>
      </c>
    </row>
    <row r="1467" spans="1:23" ht="11.25" customHeight="1" x14ac:dyDescent="0.25">
      <c r="A1467" s="4" t="s">
        <v>28</v>
      </c>
      <c r="B1467" s="4" t="s">
        <v>44</v>
      </c>
      <c r="C1467" s="4" t="s">
        <v>34</v>
      </c>
      <c r="D1467" s="4" t="s">
        <v>42</v>
      </c>
      <c r="E1467" s="4" t="s">
        <v>25</v>
      </c>
      <c r="F1467" s="4" t="s">
        <v>25</v>
      </c>
      <c r="G1467" s="4" t="s">
        <v>25</v>
      </c>
      <c r="H1467" s="4" t="s">
        <v>36</v>
      </c>
      <c r="I1467" s="5">
        <v>43983</v>
      </c>
      <c r="J1467" s="6">
        <v>0</v>
      </c>
      <c r="K1467" s="6">
        <v>0</v>
      </c>
      <c r="L1467" s="6">
        <v>339.17399999999998</v>
      </c>
      <c r="M1467" s="6">
        <v>339.17399999999998</v>
      </c>
      <c r="N1467" s="6">
        <v>339.17399999999998</v>
      </c>
      <c r="O1467" s="6">
        <v>339.17399999999998</v>
      </c>
      <c r="P1467" s="6">
        <v>0</v>
      </c>
      <c r="Q1467" s="4" t="s">
        <v>26</v>
      </c>
      <c r="R1467" s="4">
        <v>0</v>
      </c>
      <c r="S1467" s="4" t="s">
        <v>415</v>
      </c>
      <c r="T1467" s="4" t="s">
        <v>733</v>
      </c>
      <c r="U1467" s="4">
        <v>0</v>
      </c>
      <c r="V1467" s="4">
        <v>37</v>
      </c>
      <c r="W1467" s="4">
        <v>84</v>
      </c>
    </row>
    <row r="1468" spans="1:23" ht="11.25" customHeight="1" x14ac:dyDescent="0.25">
      <c r="A1468" s="4" t="s">
        <v>21</v>
      </c>
      <c r="B1468" s="4" t="s">
        <v>44</v>
      </c>
      <c r="C1468" s="4" t="s">
        <v>34</v>
      </c>
      <c r="D1468" s="4" t="s">
        <v>42</v>
      </c>
      <c r="E1468" s="4" t="s">
        <v>25</v>
      </c>
      <c r="F1468" s="4" t="s">
        <v>25</v>
      </c>
      <c r="G1468" s="4" t="s">
        <v>25</v>
      </c>
      <c r="H1468" s="4" t="s">
        <v>36</v>
      </c>
      <c r="I1468" s="5">
        <v>44013</v>
      </c>
      <c r="J1468" s="6">
        <v>0</v>
      </c>
      <c r="K1468" s="6">
        <v>0</v>
      </c>
      <c r="L1468" s="6">
        <v>3689.8530000000001</v>
      </c>
      <c r="M1468" s="6">
        <v>3689.8530000000001</v>
      </c>
      <c r="N1468" s="6">
        <v>3689.8530000000001</v>
      </c>
      <c r="O1468" s="6">
        <v>3689.8530000000001</v>
      </c>
      <c r="P1468" s="6">
        <v>0</v>
      </c>
      <c r="Q1468" s="4" t="s">
        <v>26</v>
      </c>
      <c r="R1468" s="4">
        <v>0</v>
      </c>
      <c r="S1468" s="4" t="s">
        <v>416</v>
      </c>
      <c r="T1468" s="4" t="s">
        <v>734</v>
      </c>
      <c r="U1468" s="4">
        <v>0</v>
      </c>
      <c r="V1468" s="4">
        <v>37</v>
      </c>
      <c r="W1468" s="4">
        <v>84</v>
      </c>
    </row>
    <row r="1469" spans="1:23" ht="11.25" customHeight="1" x14ac:dyDescent="0.25">
      <c r="A1469" s="4" t="s">
        <v>27</v>
      </c>
      <c r="B1469" s="4" t="s">
        <v>44</v>
      </c>
      <c r="C1469" s="4" t="s">
        <v>34</v>
      </c>
      <c r="D1469" s="4" t="s">
        <v>42</v>
      </c>
      <c r="E1469" s="4" t="s">
        <v>25</v>
      </c>
      <c r="F1469" s="4" t="s">
        <v>25</v>
      </c>
      <c r="G1469" s="4" t="s">
        <v>25</v>
      </c>
      <c r="H1469" s="4" t="s">
        <v>36</v>
      </c>
      <c r="I1469" s="5">
        <v>44013</v>
      </c>
      <c r="J1469" s="6">
        <v>0</v>
      </c>
      <c r="K1469" s="6">
        <v>0</v>
      </c>
      <c r="L1469" s="6">
        <v>2.1339999999999999</v>
      </c>
      <c r="M1469" s="6">
        <v>2.1339999999999999</v>
      </c>
      <c r="N1469" s="6">
        <v>2.1339999999999999</v>
      </c>
      <c r="O1469" s="6">
        <v>2.1339999999999999</v>
      </c>
      <c r="P1469" s="6">
        <v>0</v>
      </c>
      <c r="Q1469" s="4" t="s">
        <v>26</v>
      </c>
      <c r="R1469" s="4">
        <v>0</v>
      </c>
      <c r="S1469" s="4" t="s">
        <v>416</v>
      </c>
      <c r="T1469" s="4" t="s">
        <v>734</v>
      </c>
      <c r="U1469" s="4">
        <v>0</v>
      </c>
      <c r="V1469" s="4">
        <v>37</v>
      </c>
      <c r="W1469" s="4">
        <v>84</v>
      </c>
    </row>
    <row r="1470" spans="1:23" ht="11.25" customHeight="1" x14ac:dyDescent="0.25">
      <c r="A1470" s="4" t="s">
        <v>28</v>
      </c>
      <c r="B1470" s="4" t="s">
        <v>44</v>
      </c>
      <c r="C1470" s="4" t="s">
        <v>34</v>
      </c>
      <c r="D1470" s="4" t="s">
        <v>42</v>
      </c>
      <c r="E1470" s="4" t="s">
        <v>25</v>
      </c>
      <c r="F1470" s="4" t="s">
        <v>25</v>
      </c>
      <c r="G1470" s="4" t="s">
        <v>25</v>
      </c>
      <c r="H1470" s="4" t="s">
        <v>36</v>
      </c>
      <c r="I1470" s="5">
        <v>44013</v>
      </c>
      <c r="J1470" s="6">
        <v>0</v>
      </c>
      <c r="K1470" s="6">
        <v>0</v>
      </c>
      <c r="L1470" s="6">
        <v>308.48899999999998</v>
      </c>
      <c r="M1470" s="6">
        <v>308.48899999999998</v>
      </c>
      <c r="N1470" s="6">
        <v>308.48899999999998</v>
      </c>
      <c r="O1470" s="6">
        <v>308.48899999999998</v>
      </c>
      <c r="P1470" s="6">
        <v>0</v>
      </c>
      <c r="Q1470" s="4" t="s">
        <v>26</v>
      </c>
      <c r="R1470" s="4">
        <v>0</v>
      </c>
      <c r="S1470" s="4" t="s">
        <v>416</v>
      </c>
      <c r="T1470" s="4" t="s">
        <v>734</v>
      </c>
      <c r="U1470" s="4">
        <v>0</v>
      </c>
      <c r="V1470" s="4">
        <v>37</v>
      </c>
      <c r="W1470" s="4">
        <v>84</v>
      </c>
    </row>
    <row r="1471" spans="1:23" ht="11.25" customHeight="1" x14ac:dyDescent="0.25">
      <c r="A1471" s="4" t="s">
        <v>21</v>
      </c>
      <c r="B1471" s="4" t="s">
        <v>44</v>
      </c>
      <c r="C1471" s="4" t="s">
        <v>34</v>
      </c>
      <c r="D1471" s="4" t="s">
        <v>42</v>
      </c>
      <c r="E1471" s="4" t="s">
        <v>25</v>
      </c>
      <c r="F1471" s="4" t="s">
        <v>25</v>
      </c>
      <c r="G1471" s="4" t="s">
        <v>25</v>
      </c>
      <c r="H1471" s="4" t="s">
        <v>36</v>
      </c>
      <c r="I1471" s="5">
        <v>44044</v>
      </c>
      <c r="J1471" s="6">
        <v>0</v>
      </c>
      <c r="K1471" s="6">
        <v>0</v>
      </c>
      <c r="L1471" s="6">
        <v>3755.893</v>
      </c>
      <c r="M1471" s="6">
        <v>3755.893</v>
      </c>
      <c r="N1471" s="6">
        <v>3755.893</v>
      </c>
      <c r="O1471" s="6">
        <v>3755.893</v>
      </c>
      <c r="P1471" s="6">
        <v>0</v>
      </c>
      <c r="Q1471" s="4" t="s">
        <v>26</v>
      </c>
      <c r="R1471" s="4">
        <v>0</v>
      </c>
      <c r="S1471" s="4" t="s">
        <v>417</v>
      </c>
      <c r="T1471" s="4" t="s">
        <v>735</v>
      </c>
      <c r="U1471" s="4">
        <v>0</v>
      </c>
      <c r="V1471" s="4">
        <v>37</v>
      </c>
      <c r="W1471" s="4">
        <v>84</v>
      </c>
    </row>
    <row r="1472" spans="1:23" ht="11.25" customHeight="1" x14ac:dyDescent="0.25">
      <c r="A1472" s="4" t="s">
        <v>27</v>
      </c>
      <c r="B1472" s="4" t="s">
        <v>44</v>
      </c>
      <c r="C1472" s="4" t="s">
        <v>34</v>
      </c>
      <c r="D1472" s="4" t="s">
        <v>42</v>
      </c>
      <c r="E1472" s="4" t="s">
        <v>25</v>
      </c>
      <c r="F1472" s="4" t="s">
        <v>25</v>
      </c>
      <c r="G1472" s="4" t="s">
        <v>25</v>
      </c>
      <c r="H1472" s="4" t="s">
        <v>36</v>
      </c>
      <c r="I1472" s="5">
        <v>44044</v>
      </c>
      <c r="J1472" s="6">
        <v>0</v>
      </c>
      <c r="K1472" s="6">
        <v>0</v>
      </c>
      <c r="L1472" s="6">
        <v>9.3710000000000004</v>
      </c>
      <c r="M1472" s="6">
        <v>9.3710000000000004</v>
      </c>
      <c r="N1472" s="6">
        <v>9.3710000000000004</v>
      </c>
      <c r="O1472" s="6">
        <v>9.3710000000000004</v>
      </c>
      <c r="P1472" s="6">
        <v>0</v>
      </c>
      <c r="Q1472" s="4" t="s">
        <v>26</v>
      </c>
      <c r="R1472" s="4">
        <v>0</v>
      </c>
      <c r="S1472" s="4" t="s">
        <v>417</v>
      </c>
      <c r="T1472" s="4" t="s">
        <v>735</v>
      </c>
      <c r="U1472" s="4">
        <v>0</v>
      </c>
      <c r="V1472" s="4">
        <v>37</v>
      </c>
      <c r="W1472" s="4">
        <v>84</v>
      </c>
    </row>
    <row r="1473" spans="1:23" ht="11.25" customHeight="1" x14ac:dyDescent="0.25">
      <c r="A1473" s="4" t="s">
        <v>28</v>
      </c>
      <c r="B1473" s="4" t="s">
        <v>44</v>
      </c>
      <c r="C1473" s="4" t="s">
        <v>34</v>
      </c>
      <c r="D1473" s="4" t="s">
        <v>42</v>
      </c>
      <c r="E1473" s="4" t="s">
        <v>25</v>
      </c>
      <c r="F1473" s="4" t="s">
        <v>25</v>
      </c>
      <c r="G1473" s="4" t="s">
        <v>25</v>
      </c>
      <c r="H1473" s="4" t="s">
        <v>36</v>
      </c>
      <c r="I1473" s="5">
        <v>44044</v>
      </c>
      <c r="J1473" s="6">
        <v>0</v>
      </c>
      <c r="K1473" s="6">
        <v>0</v>
      </c>
      <c r="L1473" s="6">
        <v>436.762</v>
      </c>
      <c r="M1473" s="6">
        <v>436.762</v>
      </c>
      <c r="N1473" s="6">
        <v>436.762</v>
      </c>
      <c r="O1473" s="6">
        <v>436.762</v>
      </c>
      <c r="P1473" s="6">
        <v>0</v>
      </c>
      <c r="Q1473" s="4" t="s">
        <v>26</v>
      </c>
      <c r="R1473" s="4">
        <v>0</v>
      </c>
      <c r="S1473" s="4" t="s">
        <v>417</v>
      </c>
      <c r="T1473" s="4" t="s">
        <v>735</v>
      </c>
      <c r="U1473" s="4">
        <v>0</v>
      </c>
      <c r="V1473" s="4">
        <v>37</v>
      </c>
      <c r="W1473" s="4">
        <v>84</v>
      </c>
    </row>
    <row r="1474" spans="1:23" ht="11.25" customHeight="1" x14ac:dyDescent="0.25">
      <c r="A1474" s="4" t="s">
        <v>59</v>
      </c>
      <c r="B1474" s="4" t="s">
        <v>44</v>
      </c>
      <c r="C1474" s="4" t="s">
        <v>34</v>
      </c>
      <c r="D1474" s="4" t="s">
        <v>42</v>
      </c>
      <c r="E1474" s="4" t="s">
        <v>25</v>
      </c>
      <c r="F1474" s="4" t="s">
        <v>25</v>
      </c>
      <c r="G1474" s="4" t="s">
        <v>25</v>
      </c>
      <c r="H1474" s="4" t="s">
        <v>36</v>
      </c>
      <c r="I1474" s="5">
        <v>44075</v>
      </c>
      <c r="J1474" s="6">
        <v>0</v>
      </c>
      <c r="K1474" s="6">
        <v>0</v>
      </c>
      <c r="L1474" s="6">
        <v>3755.893</v>
      </c>
      <c r="M1474" s="6">
        <v>3755.893</v>
      </c>
      <c r="N1474" s="6">
        <v>3755.893</v>
      </c>
      <c r="O1474" s="6">
        <v>3755.893</v>
      </c>
      <c r="P1474" s="6">
        <v>0</v>
      </c>
      <c r="Q1474" s="4" t="s">
        <v>26</v>
      </c>
      <c r="R1474" s="4">
        <v>0</v>
      </c>
      <c r="S1474" s="4" t="s">
        <v>418</v>
      </c>
      <c r="T1474" s="4" t="s">
        <v>736</v>
      </c>
      <c r="U1474" s="4">
        <v>0</v>
      </c>
      <c r="V1474" s="4">
        <v>37</v>
      </c>
      <c r="W1474" s="4">
        <v>84</v>
      </c>
    </row>
    <row r="1475" spans="1:23" ht="11.25" customHeight="1" x14ac:dyDescent="0.25">
      <c r="A1475" s="4" t="s">
        <v>59</v>
      </c>
      <c r="B1475" s="4" t="s">
        <v>44</v>
      </c>
      <c r="C1475" s="4" t="s">
        <v>34</v>
      </c>
      <c r="D1475" s="4" t="s">
        <v>42</v>
      </c>
      <c r="E1475" s="4" t="s">
        <v>25</v>
      </c>
      <c r="F1475" s="4" t="s">
        <v>25</v>
      </c>
      <c r="G1475" s="4" t="s">
        <v>25</v>
      </c>
      <c r="H1475" s="4" t="s">
        <v>36</v>
      </c>
      <c r="I1475" s="5">
        <v>44075</v>
      </c>
      <c r="J1475" s="6">
        <v>0</v>
      </c>
      <c r="K1475" s="6">
        <v>0</v>
      </c>
      <c r="L1475" s="6">
        <v>9.3710000000000004</v>
      </c>
      <c r="M1475" s="6">
        <v>9.3710000000000004</v>
      </c>
      <c r="N1475" s="6">
        <v>9.3710000000000004</v>
      </c>
      <c r="O1475" s="6">
        <v>9.3710000000000004</v>
      </c>
      <c r="P1475" s="6">
        <v>0</v>
      </c>
      <c r="Q1475" s="4" t="s">
        <v>26</v>
      </c>
      <c r="R1475" s="4">
        <v>0</v>
      </c>
      <c r="S1475" s="4" t="s">
        <v>418</v>
      </c>
      <c r="T1475" s="4" t="s">
        <v>736</v>
      </c>
      <c r="U1475" s="4">
        <v>0</v>
      </c>
      <c r="V1475" s="4">
        <v>37</v>
      </c>
      <c r="W1475" s="4">
        <v>84</v>
      </c>
    </row>
    <row r="1476" spans="1:23" ht="11.25" customHeight="1" x14ac:dyDescent="0.25">
      <c r="A1476" s="4" t="s">
        <v>59</v>
      </c>
      <c r="B1476" s="4" t="s">
        <v>44</v>
      </c>
      <c r="C1476" s="4" t="s">
        <v>34</v>
      </c>
      <c r="D1476" s="4" t="s">
        <v>42</v>
      </c>
      <c r="E1476" s="4" t="s">
        <v>25</v>
      </c>
      <c r="F1476" s="4" t="s">
        <v>25</v>
      </c>
      <c r="G1476" s="4" t="s">
        <v>25</v>
      </c>
      <c r="H1476" s="4" t="s">
        <v>36</v>
      </c>
      <c r="I1476" s="5">
        <v>44075</v>
      </c>
      <c r="J1476" s="6">
        <v>0</v>
      </c>
      <c r="K1476" s="6">
        <v>0</v>
      </c>
      <c r="L1476" s="6">
        <v>436.762</v>
      </c>
      <c r="M1476" s="6">
        <v>436.762</v>
      </c>
      <c r="N1476" s="6">
        <v>436.762</v>
      </c>
      <c r="O1476" s="6">
        <v>436.762</v>
      </c>
      <c r="P1476" s="6">
        <v>0</v>
      </c>
      <c r="Q1476" s="4" t="s">
        <v>26</v>
      </c>
      <c r="R1476" s="4">
        <v>0</v>
      </c>
      <c r="S1476" s="4" t="s">
        <v>418</v>
      </c>
      <c r="T1476" s="4" t="s">
        <v>736</v>
      </c>
      <c r="U1476" s="4">
        <v>0</v>
      </c>
      <c r="V1476" s="4">
        <v>37</v>
      </c>
      <c r="W1476" s="4">
        <v>84</v>
      </c>
    </row>
    <row r="1477" spans="1:23" ht="11.25" customHeight="1" x14ac:dyDescent="0.25">
      <c r="A1477" s="4" t="s">
        <v>21</v>
      </c>
      <c r="B1477" s="4" t="s">
        <v>44</v>
      </c>
      <c r="C1477" s="4" t="s">
        <v>34</v>
      </c>
      <c r="D1477" s="4" t="s">
        <v>42</v>
      </c>
      <c r="E1477" s="4" t="s">
        <v>25</v>
      </c>
      <c r="F1477" s="4" t="s">
        <v>25</v>
      </c>
      <c r="G1477" s="4" t="s">
        <v>25</v>
      </c>
      <c r="H1477" s="4" t="s">
        <v>25</v>
      </c>
      <c r="I1477" s="5">
        <v>43739</v>
      </c>
      <c r="J1477" s="6">
        <v>27545</v>
      </c>
      <c r="K1477" s="6">
        <v>27545</v>
      </c>
      <c r="L1477" s="6">
        <v>0</v>
      </c>
      <c r="M1477" s="6">
        <v>0</v>
      </c>
      <c r="N1477" s="6">
        <v>0</v>
      </c>
      <c r="O1477" s="6">
        <v>0</v>
      </c>
      <c r="P1477" s="6">
        <v>105</v>
      </c>
      <c r="Q1477" s="4" t="s">
        <v>26</v>
      </c>
      <c r="R1477" s="4">
        <v>0</v>
      </c>
      <c r="S1477" s="4" t="s">
        <v>419</v>
      </c>
      <c r="U1477" s="4">
        <v>35</v>
      </c>
      <c r="V1477" s="4">
        <v>0</v>
      </c>
      <c r="W1477" s="4">
        <v>0</v>
      </c>
    </row>
    <row r="1478" spans="1:23" ht="11.25" customHeight="1" x14ac:dyDescent="0.25">
      <c r="A1478" s="4" t="s">
        <v>27</v>
      </c>
      <c r="B1478" s="4" t="s">
        <v>44</v>
      </c>
      <c r="C1478" s="4" t="s">
        <v>34</v>
      </c>
      <c r="D1478" s="4" t="s">
        <v>42</v>
      </c>
      <c r="E1478" s="4" t="s">
        <v>25</v>
      </c>
      <c r="F1478" s="4" t="s">
        <v>25</v>
      </c>
      <c r="G1478" s="4" t="s">
        <v>25</v>
      </c>
      <c r="H1478" s="4" t="s">
        <v>25</v>
      </c>
      <c r="I1478" s="5">
        <v>43739</v>
      </c>
      <c r="J1478" s="6">
        <v>130</v>
      </c>
      <c r="K1478" s="6">
        <v>130</v>
      </c>
      <c r="L1478" s="6">
        <v>0</v>
      </c>
      <c r="M1478" s="6">
        <v>0</v>
      </c>
      <c r="N1478" s="6">
        <v>0</v>
      </c>
      <c r="O1478" s="6">
        <v>0</v>
      </c>
      <c r="P1478" s="6">
        <v>1</v>
      </c>
      <c r="Q1478" s="4" t="s">
        <v>26</v>
      </c>
      <c r="R1478" s="4">
        <v>0</v>
      </c>
      <c r="S1478" s="4" t="s">
        <v>419</v>
      </c>
      <c r="U1478" s="4">
        <v>35</v>
      </c>
      <c r="V1478" s="4">
        <v>0</v>
      </c>
      <c r="W1478" s="4">
        <v>0</v>
      </c>
    </row>
    <row r="1479" spans="1:23" ht="11.25" customHeight="1" x14ac:dyDescent="0.25">
      <c r="A1479" s="4" t="s">
        <v>28</v>
      </c>
      <c r="B1479" s="4" t="s">
        <v>44</v>
      </c>
      <c r="C1479" s="4" t="s">
        <v>34</v>
      </c>
      <c r="D1479" s="4" t="s">
        <v>42</v>
      </c>
      <c r="E1479" s="4" t="s">
        <v>25</v>
      </c>
      <c r="F1479" s="4" t="s">
        <v>25</v>
      </c>
      <c r="G1479" s="4" t="s">
        <v>25</v>
      </c>
      <c r="H1479" s="4" t="s">
        <v>25</v>
      </c>
      <c r="I1479" s="5">
        <v>43739</v>
      </c>
      <c r="J1479" s="6">
        <v>2370</v>
      </c>
      <c r="K1479" s="6">
        <v>2370</v>
      </c>
      <c r="L1479" s="6">
        <v>0</v>
      </c>
      <c r="M1479" s="6">
        <v>0</v>
      </c>
      <c r="N1479" s="6">
        <v>0</v>
      </c>
      <c r="O1479" s="6">
        <v>0</v>
      </c>
      <c r="P1479" s="6">
        <v>6</v>
      </c>
      <c r="Q1479" s="4" t="s">
        <v>26</v>
      </c>
      <c r="R1479" s="4">
        <v>0</v>
      </c>
      <c r="S1479" s="4" t="s">
        <v>419</v>
      </c>
      <c r="U1479" s="4">
        <v>35</v>
      </c>
      <c r="V1479" s="4">
        <v>0</v>
      </c>
      <c r="W1479" s="4">
        <v>0</v>
      </c>
    </row>
    <row r="1480" spans="1:23" ht="11.25" customHeight="1" x14ac:dyDescent="0.25">
      <c r="A1480" s="4" t="s">
        <v>21</v>
      </c>
      <c r="B1480" s="4" t="s">
        <v>44</v>
      </c>
      <c r="C1480" s="4" t="s">
        <v>34</v>
      </c>
      <c r="D1480" s="4" t="s">
        <v>42</v>
      </c>
      <c r="E1480" s="4" t="s">
        <v>25</v>
      </c>
      <c r="F1480" s="4" t="s">
        <v>25</v>
      </c>
      <c r="G1480" s="4" t="s">
        <v>25</v>
      </c>
      <c r="H1480" s="4" t="s">
        <v>25</v>
      </c>
      <c r="I1480" s="5">
        <v>43770</v>
      </c>
      <c r="J1480" s="6">
        <v>26831</v>
      </c>
      <c r="K1480" s="6">
        <v>26831</v>
      </c>
      <c r="L1480" s="6">
        <v>0</v>
      </c>
      <c r="M1480" s="6">
        <v>0</v>
      </c>
      <c r="N1480" s="6">
        <v>0</v>
      </c>
      <c r="O1480" s="6">
        <v>0</v>
      </c>
      <c r="P1480" s="6">
        <v>105</v>
      </c>
      <c r="Q1480" s="4" t="s">
        <v>26</v>
      </c>
      <c r="R1480" s="4">
        <v>0</v>
      </c>
      <c r="S1480" s="4" t="s">
        <v>420</v>
      </c>
      <c r="U1480" s="4">
        <v>35</v>
      </c>
      <c r="V1480" s="4">
        <v>0</v>
      </c>
      <c r="W1480" s="4">
        <v>0</v>
      </c>
    </row>
    <row r="1481" spans="1:23" ht="11.25" customHeight="1" x14ac:dyDescent="0.25">
      <c r="A1481" s="4" t="s">
        <v>27</v>
      </c>
      <c r="B1481" s="4" t="s">
        <v>44</v>
      </c>
      <c r="C1481" s="4" t="s">
        <v>34</v>
      </c>
      <c r="D1481" s="4" t="s">
        <v>42</v>
      </c>
      <c r="E1481" s="4" t="s">
        <v>25</v>
      </c>
      <c r="F1481" s="4" t="s">
        <v>25</v>
      </c>
      <c r="G1481" s="4" t="s">
        <v>25</v>
      </c>
      <c r="H1481" s="4" t="s">
        <v>25</v>
      </c>
      <c r="I1481" s="5">
        <v>43770</v>
      </c>
      <c r="J1481" s="6">
        <v>1167</v>
      </c>
      <c r="K1481" s="6">
        <v>1167</v>
      </c>
      <c r="L1481" s="6">
        <v>0</v>
      </c>
      <c r="M1481" s="6">
        <v>0</v>
      </c>
      <c r="N1481" s="6">
        <v>0</v>
      </c>
      <c r="O1481" s="6">
        <v>0</v>
      </c>
      <c r="P1481" s="6">
        <v>2</v>
      </c>
      <c r="Q1481" s="4" t="s">
        <v>26</v>
      </c>
      <c r="R1481" s="4">
        <v>0</v>
      </c>
      <c r="S1481" s="4" t="s">
        <v>420</v>
      </c>
      <c r="U1481" s="4">
        <v>35</v>
      </c>
      <c r="V1481" s="4">
        <v>0</v>
      </c>
      <c r="W1481" s="4">
        <v>0</v>
      </c>
    </row>
    <row r="1482" spans="1:23" ht="11.25" customHeight="1" x14ac:dyDescent="0.25">
      <c r="A1482" s="4" t="s">
        <v>28</v>
      </c>
      <c r="B1482" s="4" t="s">
        <v>44</v>
      </c>
      <c r="C1482" s="4" t="s">
        <v>34</v>
      </c>
      <c r="D1482" s="4" t="s">
        <v>42</v>
      </c>
      <c r="E1482" s="4" t="s">
        <v>25</v>
      </c>
      <c r="F1482" s="4" t="s">
        <v>25</v>
      </c>
      <c r="G1482" s="4" t="s">
        <v>25</v>
      </c>
      <c r="H1482" s="4" t="s">
        <v>25</v>
      </c>
      <c r="I1482" s="5">
        <v>43770</v>
      </c>
      <c r="J1482" s="6">
        <v>2370</v>
      </c>
      <c r="K1482" s="6">
        <v>2370</v>
      </c>
      <c r="L1482" s="6">
        <v>0</v>
      </c>
      <c r="M1482" s="6">
        <v>0</v>
      </c>
      <c r="N1482" s="6">
        <v>0</v>
      </c>
      <c r="O1482" s="6">
        <v>0</v>
      </c>
      <c r="P1482" s="6">
        <v>6</v>
      </c>
      <c r="Q1482" s="4" t="s">
        <v>26</v>
      </c>
      <c r="R1482" s="4">
        <v>0</v>
      </c>
      <c r="S1482" s="4" t="s">
        <v>420</v>
      </c>
      <c r="U1482" s="4">
        <v>35</v>
      </c>
      <c r="V1482" s="4">
        <v>0</v>
      </c>
      <c r="W1482" s="4">
        <v>0</v>
      </c>
    </row>
    <row r="1483" spans="1:23" ht="11.25" customHeight="1" x14ac:dyDescent="0.25">
      <c r="A1483" s="4" t="s">
        <v>21</v>
      </c>
      <c r="B1483" s="4" t="s">
        <v>44</v>
      </c>
      <c r="C1483" s="4" t="s">
        <v>34</v>
      </c>
      <c r="D1483" s="4" t="s">
        <v>42</v>
      </c>
      <c r="E1483" s="4" t="s">
        <v>25</v>
      </c>
      <c r="F1483" s="4" t="s">
        <v>25</v>
      </c>
      <c r="G1483" s="4" t="s">
        <v>25</v>
      </c>
      <c r="H1483" s="4" t="s">
        <v>25</v>
      </c>
      <c r="I1483" s="5">
        <v>43800</v>
      </c>
      <c r="J1483" s="6">
        <v>27599</v>
      </c>
      <c r="K1483" s="6">
        <v>27599</v>
      </c>
      <c r="L1483" s="6">
        <v>0</v>
      </c>
      <c r="M1483" s="6">
        <v>0</v>
      </c>
      <c r="N1483" s="6">
        <v>0</v>
      </c>
      <c r="O1483" s="6">
        <v>0</v>
      </c>
      <c r="P1483" s="6">
        <v>105</v>
      </c>
      <c r="Q1483" s="4" t="s">
        <v>26</v>
      </c>
      <c r="R1483" s="4">
        <v>0</v>
      </c>
      <c r="S1483" s="4" t="s">
        <v>421</v>
      </c>
      <c r="U1483" s="4">
        <v>35</v>
      </c>
      <c r="V1483" s="4">
        <v>0</v>
      </c>
      <c r="W1483" s="4">
        <v>0</v>
      </c>
    </row>
    <row r="1484" spans="1:23" ht="11.25" customHeight="1" x14ac:dyDescent="0.25">
      <c r="A1484" s="4" t="s">
        <v>27</v>
      </c>
      <c r="B1484" s="4" t="s">
        <v>44</v>
      </c>
      <c r="C1484" s="4" t="s">
        <v>34</v>
      </c>
      <c r="D1484" s="4" t="s">
        <v>42</v>
      </c>
      <c r="E1484" s="4" t="s">
        <v>25</v>
      </c>
      <c r="F1484" s="4" t="s">
        <v>25</v>
      </c>
      <c r="G1484" s="4" t="s">
        <v>25</v>
      </c>
      <c r="H1484" s="4" t="s">
        <v>25</v>
      </c>
      <c r="I1484" s="5">
        <v>43800</v>
      </c>
      <c r="J1484" s="6">
        <v>130</v>
      </c>
      <c r="K1484" s="6">
        <v>130</v>
      </c>
      <c r="L1484" s="6">
        <v>0</v>
      </c>
      <c r="M1484" s="6">
        <v>0</v>
      </c>
      <c r="N1484" s="6">
        <v>0</v>
      </c>
      <c r="O1484" s="6">
        <v>0</v>
      </c>
      <c r="P1484" s="6">
        <v>1</v>
      </c>
      <c r="Q1484" s="4" t="s">
        <v>26</v>
      </c>
      <c r="R1484" s="4">
        <v>0</v>
      </c>
      <c r="S1484" s="4" t="s">
        <v>421</v>
      </c>
      <c r="U1484" s="4">
        <v>35</v>
      </c>
      <c r="V1484" s="4">
        <v>0</v>
      </c>
      <c r="W1484" s="4">
        <v>0</v>
      </c>
    </row>
    <row r="1485" spans="1:23" ht="11.25" customHeight="1" x14ac:dyDescent="0.25">
      <c r="A1485" s="4" t="s">
        <v>28</v>
      </c>
      <c r="B1485" s="4" t="s">
        <v>44</v>
      </c>
      <c r="C1485" s="4" t="s">
        <v>34</v>
      </c>
      <c r="D1485" s="4" t="s">
        <v>42</v>
      </c>
      <c r="E1485" s="4" t="s">
        <v>25</v>
      </c>
      <c r="F1485" s="4" t="s">
        <v>25</v>
      </c>
      <c r="G1485" s="4" t="s">
        <v>25</v>
      </c>
      <c r="H1485" s="4" t="s">
        <v>25</v>
      </c>
      <c r="I1485" s="5">
        <v>43800</v>
      </c>
      <c r="J1485" s="6">
        <v>3970</v>
      </c>
      <c r="K1485" s="6">
        <v>3970</v>
      </c>
      <c r="L1485" s="6">
        <v>0</v>
      </c>
      <c r="M1485" s="6">
        <v>0</v>
      </c>
      <c r="N1485" s="6">
        <v>0</v>
      </c>
      <c r="O1485" s="6">
        <v>0</v>
      </c>
      <c r="P1485" s="6">
        <v>7</v>
      </c>
      <c r="Q1485" s="4" t="s">
        <v>26</v>
      </c>
      <c r="R1485" s="4">
        <v>0</v>
      </c>
      <c r="S1485" s="4" t="s">
        <v>421</v>
      </c>
      <c r="U1485" s="4">
        <v>35</v>
      </c>
      <c r="V1485" s="4">
        <v>0</v>
      </c>
      <c r="W1485" s="4">
        <v>0</v>
      </c>
    </row>
    <row r="1486" spans="1:23" ht="11.25" customHeight="1" x14ac:dyDescent="0.25">
      <c r="A1486" s="4" t="s">
        <v>21</v>
      </c>
      <c r="B1486" s="4" t="s">
        <v>44</v>
      </c>
      <c r="C1486" s="4" t="s">
        <v>34</v>
      </c>
      <c r="D1486" s="4" t="s">
        <v>42</v>
      </c>
      <c r="E1486" s="4" t="s">
        <v>25</v>
      </c>
      <c r="F1486" s="4" t="s">
        <v>25</v>
      </c>
      <c r="G1486" s="4" t="s">
        <v>25</v>
      </c>
      <c r="H1486" s="4" t="s">
        <v>25</v>
      </c>
      <c r="I1486" s="5">
        <v>43831</v>
      </c>
      <c r="J1486" s="6">
        <v>26735</v>
      </c>
      <c r="K1486" s="6">
        <v>26735</v>
      </c>
      <c r="L1486" s="6">
        <v>0</v>
      </c>
      <c r="M1486" s="6">
        <v>0</v>
      </c>
      <c r="N1486" s="6">
        <v>0</v>
      </c>
      <c r="O1486" s="6">
        <v>0</v>
      </c>
      <c r="P1486" s="6">
        <v>103</v>
      </c>
      <c r="Q1486" s="4" t="s">
        <v>26</v>
      </c>
      <c r="R1486" s="4">
        <v>0</v>
      </c>
      <c r="S1486" s="4" t="s">
        <v>422</v>
      </c>
      <c r="U1486" s="4">
        <v>35</v>
      </c>
      <c r="V1486" s="4">
        <v>0</v>
      </c>
      <c r="W1486" s="4">
        <v>0</v>
      </c>
    </row>
    <row r="1487" spans="1:23" ht="11.25" customHeight="1" x14ac:dyDescent="0.25">
      <c r="A1487" s="4" t="s">
        <v>27</v>
      </c>
      <c r="B1487" s="4" t="s">
        <v>44</v>
      </c>
      <c r="C1487" s="4" t="s">
        <v>34</v>
      </c>
      <c r="D1487" s="4" t="s">
        <v>42</v>
      </c>
      <c r="E1487" s="4" t="s">
        <v>25</v>
      </c>
      <c r="F1487" s="4" t="s">
        <v>25</v>
      </c>
      <c r="G1487" s="4" t="s">
        <v>25</v>
      </c>
      <c r="H1487" s="4" t="s">
        <v>25</v>
      </c>
      <c r="I1487" s="5">
        <v>43831</v>
      </c>
      <c r="J1487" s="6">
        <v>265</v>
      </c>
      <c r="K1487" s="6">
        <v>265</v>
      </c>
      <c r="L1487" s="6">
        <v>0</v>
      </c>
      <c r="M1487" s="6">
        <v>0</v>
      </c>
      <c r="N1487" s="6">
        <v>0</v>
      </c>
      <c r="O1487" s="6">
        <v>0</v>
      </c>
      <c r="P1487" s="6">
        <v>2</v>
      </c>
      <c r="Q1487" s="4" t="s">
        <v>26</v>
      </c>
      <c r="R1487" s="4">
        <v>0</v>
      </c>
      <c r="S1487" s="4" t="s">
        <v>422</v>
      </c>
      <c r="U1487" s="4">
        <v>35</v>
      </c>
      <c r="V1487" s="4">
        <v>0</v>
      </c>
      <c r="W1487" s="4">
        <v>0</v>
      </c>
    </row>
    <row r="1488" spans="1:23" ht="11.25" customHeight="1" x14ac:dyDescent="0.25">
      <c r="A1488" s="4" t="s">
        <v>28</v>
      </c>
      <c r="B1488" s="4" t="s">
        <v>44</v>
      </c>
      <c r="C1488" s="4" t="s">
        <v>34</v>
      </c>
      <c r="D1488" s="4" t="s">
        <v>42</v>
      </c>
      <c r="E1488" s="4" t="s">
        <v>25</v>
      </c>
      <c r="F1488" s="4" t="s">
        <v>25</v>
      </c>
      <c r="G1488" s="4" t="s">
        <v>25</v>
      </c>
      <c r="H1488" s="4" t="s">
        <v>25</v>
      </c>
      <c r="I1488" s="5">
        <v>43831</v>
      </c>
      <c r="J1488" s="6">
        <v>3470</v>
      </c>
      <c r="K1488" s="6">
        <v>3470</v>
      </c>
      <c r="L1488" s="6">
        <v>0</v>
      </c>
      <c r="M1488" s="6">
        <v>0</v>
      </c>
      <c r="N1488" s="6">
        <v>0</v>
      </c>
      <c r="O1488" s="6">
        <v>0</v>
      </c>
      <c r="P1488" s="6">
        <v>5</v>
      </c>
      <c r="Q1488" s="4" t="s">
        <v>26</v>
      </c>
      <c r="R1488" s="4">
        <v>0</v>
      </c>
      <c r="S1488" s="4" t="s">
        <v>422</v>
      </c>
      <c r="U1488" s="4">
        <v>35</v>
      </c>
      <c r="V1488" s="4">
        <v>0</v>
      </c>
      <c r="W1488" s="4">
        <v>0</v>
      </c>
    </row>
    <row r="1489" spans="1:23" ht="11.25" customHeight="1" x14ac:dyDescent="0.25">
      <c r="A1489" s="4" t="s">
        <v>21</v>
      </c>
      <c r="B1489" s="4" t="s">
        <v>44</v>
      </c>
      <c r="C1489" s="4" t="s">
        <v>34</v>
      </c>
      <c r="D1489" s="4" t="s">
        <v>42</v>
      </c>
      <c r="E1489" s="4" t="s">
        <v>25</v>
      </c>
      <c r="F1489" s="4" t="s">
        <v>25</v>
      </c>
      <c r="G1489" s="4" t="s">
        <v>25</v>
      </c>
      <c r="H1489" s="4" t="s">
        <v>25</v>
      </c>
      <c r="I1489" s="5">
        <v>43862</v>
      </c>
      <c r="J1489" s="6">
        <v>27618</v>
      </c>
      <c r="K1489" s="6">
        <v>27618</v>
      </c>
      <c r="L1489" s="6">
        <v>0</v>
      </c>
      <c r="M1489" s="6">
        <v>0</v>
      </c>
      <c r="N1489" s="6">
        <v>0</v>
      </c>
      <c r="O1489" s="6">
        <v>0</v>
      </c>
      <c r="P1489" s="6">
        <v>104</v>
      </c>
      <c r="Q1489" s="4" t="s">
        <v>26</v>
      </c>
      <c r="R1489" s="4">
        <v>0</v>
      </c>
      <c r="S1489" s="4" t="s">
        <v>423</v>
      </c>
      <c r="U1489" s="4">
        <v>35</v>
      </c>
      <c r="V1489" s="4">
        <v>0</v>
      </c>
      <c r="W1489" s="4">
        <v>0</v>
      </c>
    </row>
    <row r="1490" spans="1:23" ht="11.25" customHeight="1" x14ac:dyDescent="0.25">
      <c r="A1490" s="4" t="s">
        <v>27</v>
      </c>
      <c r="B1490" s="4" t="s">
        <v>44</v>
      </c>
      <c r="C1490" s="4" t="s">
        <v>34</v>
      </c>
      <c r="D1490" s="4" t="s">
        <v>42</v>
      </c>
      <c r="E1490" s="4" t="s">
        <v>25</v>
      </c>
      <c r="F1490" s="4" t="s">
        <v>25</v>
      </c>
      <c r="G1490" s="4" t="s">
        <v>25</v>
      </c>
      <c r="H1490" s="4" t="s">
        <v>25</v>
      </c>
      <c r="I1490" s="5">
        <v>43862</v>
      </c>
      <c r="J1490" s="6">
        <v>130</v>
      </c>
      <c r="K1490" s="6">
        <v>130</v>
      </c>
      <c r="L1490" s="6">
        <v>0</v>
      </c>
      <c r="M1490" s="6">
        <v>0</v>
      </c>
      <c r="N1490" s="6">
        <v>0</v>
      </c>
      <c r="O1490" s="6">
        <v>0</v>
      </c>
      <c r="P1490" s="6">
        <v>1</v>
      </c>
      <c r="Q1490" s="4" t="s">
        <v>26</v>
      </c>
      <c r="R1490" s="4">
        <v>0</v>
      </c>
      <c r="S1490" s="4" t="s">
        <v>423</v>
      </c>
      <c r="U1490" s="4">
        <v>35</v>
      </c>
      <c r="V1490" s="4">
        <v>0</v>
      </c>
      <c r="W1490" s="4">
        <v>0</v>
      </c>
    </row>
    <row r="1491" spans="1:23" ht="11.25" customHeight="1" x14ac:dyDescent="0.25">
      <c r="A1491" s="4" t="s">
        <v>28</v>
      </c>
      <c r="B1491" s="4" t="s">
        <v>44</v>
      </c>
      <c r="C1491" s="4" t="s">
        <v>34</v>
      </c>
      <c r="D1491" s="4" t="s">
        <v>42</v>
      </c>
      <c r="E1491" s="4" t="s">
        <v>25</v>
      </c>
      <c r="F1491" s="4" t="s">
        <v>25</v>
      </c>
      <c r="G1491" s="4" t="s">
        <v>25</v>
      </c>
      <c r="H1491" s="4" t="s">
        <v>25</v>
      </c>
      <c r="I1491" s="5">
        <v>43862</v>
      </c>
      <c r="J1491" s="6">
        <v>3470</v>
      </c>
      <c r="K1491" s="6">
        <v>3470</v>
      </c>
      <c r="L1491" s="6">
        <v>0</v>
      </c>
      <c r="M1491" s="6">
        <v>0</v>
      </c>
      <c r="N1491" s="6">
        <v>0</v>
      </c>
      <c r="O1491" s="6">
        <v>0</v>
      </c>
      <c r="P1491" s="6">
        <v>5</v>
      </c>
      <c r="Q1491" s="4" t="s">
        <v>26</v>
      </c>
      <c r="R1491" s="4">
        <v>0</v>
      </c>
      <c r="S1491" s="4" t="s">
        <v>423</v>
      </c>
      <c r="U1491" s="4">
        <v>35</v>
      </c>
      <c r="V1491" s="4">
        <v>0</v>
      </c>
      <c r="W1491" s="4">
        <v>0</v>
      </c>
    </row>
    <row r="1492" spans="1:23" ht="11.25" customHeight="1" x14ac:dyDescent="0.25">
      <c r="A1492" s="4" t="s">
        <v>21</v>
      </c>
      <c r="B1492" s="4" t="s">
        <v>44</v>
      </c>
      <c r="C1492" s="4" t="s">
        <v>34</v>
      </c>
      <c r="D1492" s="4" t="s">
        <v>42</v>
      </c>
      <c r="E1492" s="4" t="s">
        <v>25</v>
      </c>
      <c r="F1492" s="4" t="s">
        <v>25</v>
      </c>
      <c r="G1492" s="4" t="s">
        <v>25</v>
      </c>
      <c r="H1492" s="4" t="s">
        <v>25</v>
      </c>
      <c r="I1492" s="5">
        <v>43891</v>
      </c>
      <c r="J1492" s="6">
        <v>27385</v>
      </c>
      <c r="K1492" s="6">
        <v>27385</v>
      </c>
      <c r="L1492" s="6">
        <v>0</v>
      </c>
      <c r="M1492" s="6">
        <v>0</v>
      </c>
      <c r="N1492" s="6">
        <v>0</v>
      </c>
      <c r="O1492" s="6">
        <v>0</v>
      </c>
      <c r="P1492" s="6">
        <v>104</v>
      </c>
      <c r="Q1492" s="4" t="s">
        <v>26</v>
      </c>
      <c r="R1492" s="4">
        <v>0</v>
      </c>
      <c r="S1492" s="4" t="s">
        <v>424</v>
      </c>
      <c r="U1492" s="4">
        <v>35</v>
      </c>
      <c r="V1492" s="4">
        <v>0</v>
      </c>
      <c r="W1492" s="4">
        <v>0</v>
      </c>
    </row>
    <row r="1493" spans="1:23" ht="11.25" customHeight="1" x14ac:dyDescent="0.25">
      <c r="A1493" s="4" t="s">
        <v>27</v>
      </c>
      <c r="B1493" s="4" t="s">
        <v>44</v>
      </c>
      <c r="C1493" s="4" t="s">
        <v>34</v>
      </c>
      <c r="D1493" s="4" t="s">
        <v>42</v>
      </c>
      <c r="E1493" s="4" t="s">
        <v>25</v>
      </c>
      <c r="F1493" s="4" t="s">
        <v>25</v>
      </c>
      <c r="G1493" s="4" t="s">
        <v>25</v>
      </c>
      <c r="H1493" s="4" t="s">
        <v>25</v>
      </c>
      <c r="I1493" s="5">
        <v>43891</v>
      </c>
      <c r="J1493" s="6">
        <v>130</v>
      </c>
      <c r="K1493" s="6">
        <v>130</v>
      </c>
      <c r="L1493" s="6">
        <v>0</v>
      </c>
      <c r="M1493" s="6">
        <v>0</v>
      </c>
      <c r="N1493" s="6">
        <v>0</v>
      </c>
      <c r="O1493" s="6">
        <v>0</v>
      </c>
      <c r="P1493" s="6">
        <v>1</v>
      </c>
      <c r="Q1493" s="4" t="s">
        <v>26</v>
      </c>
      <c r="R1493" s="4">
        <v>0</v>
      </c>
      <c r="S1493" s="4" t="s">
        <v>424</v>
      </c>
      <c r="U1493" s="4">
        <v>35</v>
      </c>
      <c r="V1493" s="4">
        <v>0</v>
      </c>
      <c r="W1493" s="4">
        <v>0</v>
      </c>
    </row>
    <row r="1494" spans="1:23" ht="11.25" customHeight="1" x14ac:dyDescent="0.25">
      <c r="A1494" s="4" t="s">
        <v>28</v>
      </c>
      <c r="B1494" s="4" t="s">
        <v>44</v>
      </c>
      <c r="C1494" s="4" t="s">
        <v>34</v>
      </c>
      <c r="D1494" s="4" t="s">
        <v>42</v>
      </c>
      <c r="E1494" s="4" t="s">
        <v>25</v>
      </c>
      <c r="F1494" s="4" t="s">
        <v>25</v>
      </c>
      <c r="G1494" s="4" t="s">
        <v>25</v>
      </c>
      <c r="H1494" s="4" t="s">
        <v>25</v>
      </c>
      <c r="I1494" s="5">
        <v>43891</v>
      </c>
      <c r="J1494" s="6">
        <v>3470</v>
      </c>
      <c r="K1494" s="6">
        <v>3470</v>
      </c>
      <c r="L1494" s="6">
        <v>0</v>
      </c>
      <c r="M1494" s="6">
        <v>0</v>
      </c>
      <c r="N1494" s="6">
        <v>0</v>
      </c>
      <c r="O1494" s="6">
        <v>0</v>
      </c>
      <c r="P1494" s="6">
        <v>5</v>
      </c>
      <c r="Q1494" s="4" t="s">
        <v>26</v>
      </c>
      <c r="R1494" s="4">
        <v>0</v>
      </c>
      <c r="S1494" s="4" t="s">
        <v>424</v>
      </c>
      <c r="U1494" s="4">
        <v>35</v>
      </c>
      <c r="V1494" s="4">
        <v>0</v>
      </c>
      <c r="W1494" s="4">
        <v>0</v>
      </c>
    </row>
    <row r="1495" spans="1:23" ht="11.25" customHeight="1" x14ac:dyDescent="0.25">
      <c r="A1495" s="4" t="s">
        <v>21</v>
      </c>
      <c r="B1495" s="4" t="s">
        <v>44</v>
      </c>
      <c r="C1495" s="4" t="s">
        <v>34</v>
      </c>
      <c r="D1495" s="4" t="s">
        <v>42</v>
      </c>
      <c r="E1495" s="4" t="s">
        <v>25</v>
      </c>
      <c r="F1495" s="4" t="s">
        <v>25</v>
      </c>
      <c r="G1495" s="4" t="s">
        <v>25</v>
      </c>
      <c r="H1495" s="4" t="s">
        <v>25</v>
      </c>
      <c r="I1495" s="5">
        <v>43922</v>
      </c>
      <c r="J1495" s="6">
        <v>27287</v>
      </c>
      <c r="K1495" s="6">
        <v>27287</v>
      </c>
      <c r="L1495" s="6">
        <v>0</v>
      </c>
      <c r="M1495" s="6">
        <v>0</v>
      </c>
      <c r="N1495" s="6">
        <v>0</v>
      </c>
      <c r="O1495" s="6">
        <v>0</v>
      </c>
      <c r="P1495" s="6">
        <v>103</v>
      </c>
      <c r="Q1495" s="4" t="s">
        <v>26</v>
      </c>
      <c r="R1495" s="4">
        <v>0</v>
      </c>
      <c r="S1495" s="4" t="s">
        <v>425</v>
      </c>
      <c r="U1495" s="4">
        <v>35</v>
      </c>
      <c r="V1495" s="4">
        <v>0</v>
      </c>
      <c r="W1495" s="4">
        <v>0</v>
      </c>
    </row>
    <row r="1496" spans="1:23" ht="11.25" customHeight="1" x14ac:dyDescent="0.25">
      <c r="A1496" s="4" t="s">
        <v>27</v>
      </c>
      <c r="B1496" s="4" t="s">
        <v>44</v>
      </c>
      <c r="C1496" s="4" t="s">
        <v>34</v>
      </c>
      <c r="D1496" s="4" t="s">
        <v>42</v>
      </c>
      <c r="E1496" s="4" t="s">
        <v>25</v>
      </c>
      <c r="F1496" s="4" t="s">
        <v>25</v>
      </c>
      <c r="G1496" s="4" t="s">
        <v>25</v>
      </c>
      <c r="H1496" s="4" t="s">
        <v>25</v>
      </c>
      <c r="I1496" s="5">
        <v>43922</v>
      </c>
      <c r="J1496" s="6">
        <v>1630</v>
      </c>
      <c r="K1496" s="6">
        <v>1630</v>
      </c>
      <c r="L1496" s="6">
        <v>0</v>
      </c>
      <c r="M1496" s="6">
        <v>0</v>
      </c>
      <c r="N1496" s="6">
        <v>0</v>
      </c>
      <c r="O1496" s="6">
        <v>0</v>
      </c>
      <c r="P1496" s="6">
        <v>2</v>
      </c>
      <c r="Q1496" s="4" t="s">
        <v>26</v>
      </c>
      <c r="R1496" s="4">
        <v>0</v>
      </c>
      <c r="S1496" s="4" t="s">
        <v>425</v>
      </c>
      <c r="U1496" s="4">
        <v>35</v>
      </c>
      <c r="V1496" s="4">
        <v>0</v>
      </c>
      <c r="W1496" s="4">
        <v>0</v>
      </c>
    </row>
    <row r="1497" spans="1:23" ht="11.25" customHeight="1" x14ac:dyDescent="0.25">
      <c r="A1497" s="4" t="s">
        <v>28</v>
      </c>
      <c r="B1497" s="4" t="s">
        <v>44</v>
      </c>
      <c r="C1497" s="4" t="s">
        <v>34</v>
      </c>
      <c r="D1497" s="4" t="s">
        <v>42</v>
      </c>
      <c r="E1497" s="4" t="s">
        <v>25</v>
      </c>
      <c r="F1497" s="4" t="s">
        <v>25</v>
      </c>
      <c r="G1497" s="4" t="s">
        <v>25</v>
      </c>
      <c r="H1497" s="4" t="s">
        <v>25</v>
      </c>
      <c r="I1497" s="5">
        <v>43922</v>
      </c>
      <c r="J1497" s="6">
        <v>3470</v>
      </c>
      <c r="K1497" s="6">
        <v>3470</v>
      </c>
      <c r="L1497" s="6">
        <v>0</v>
      </c>
      <c r="M1497" s="6">
        <v>0</v>
      </c>
      <c r="N1497" s="6">
        <v>0</v>
      </c>
      <c r="O1497" s="6">
        <v>0</v>
      </c>
      <c r="P1497" s="6">
        <v>5</v>
      </c>
      <c r="Q1497" s="4" t="s">
        <v>26</v>
      </c>
      <c r="R1497" s="4">
        <v>0</v>
      </c>
      <c r="S1497" s="4" t="s">
        <v>425</v>
      </c>
      <c r="U1497" s="4">
        <v>35</v>
      </c>
      <c r="V1497" s="4">
        <v>0</v>
      </c>
      <c r="W1497" s="4">
        <v>0</v>
      </c>
    </row>
    <row r="1498" spans="1:23" ht="11.25" customHeight="1" x14ac:dyDescent="0.25">
      <c r="A1498" s="4" t="s">
        <v>21</v>
      </c>
      <c r="B1498" s="4" t="s">
        <v>44</v>
      </c>
      <c r="C1498" s="4" t="s">
        <v>34</v>
      </c>
      <c r="D1498" s="4" t="s">
        <v>42</v>
      </c>
      <c r="E1498" s="4" t="s">
        <v>25</v>
      </c>
      <c r="F1498" s="4" t="s">
        <v>25</v>
      </c>
      <c r="G1498" s="4" t="s">
        <v>25</v>
      </c>
      <c r="H1498" s="4" t="s">
        <v>25</v>
      </c>
      <c r="I1498" s="5">
        <v>43952</v>
      </c>
      <c r="J1498" s="6">
        <v>26632</v>
      </c>
      <c r="K1498" s="6">
        <v>26632</v>
      </c>
      <c r="L1498" s="6">
        <v>0</v>
      </c>
      <c r="M1498" s="6">
        <v>0</v>
      </c>
      <c r="N1498" s="6">
        <v>0</v>
      </c>
      <c r="O1498" s="6">
        <v>0</v>
      </c>
      <c r="P1498" s="6">
        <v>102</v>
      </c>
      <c r="Q1498" s="4" t="s">
        <v>26</v>
      </c>
      <c r="R1498" s="4">
        <v>0</v>
      </c>
      <c r="S1498" s="4" t="s">
        <v>426</v>
      </c>
      <c r="U1498" s="4">
        <v>35</v>
      </c>
      <c r="V1498" s="4">
        <v>0</v>
      </c>
      <c r="W1498" s="4">
        <v>0</v>
      </c>
    </row>
    <row r="1499" spans="1:23" ht="11.25" customHeight="1" x14ac:dyDescent="0.25">
      <c r="A1499" s="4" t="s">
        <v>27</v>
      </c>
      <c r="B1499" s="4" t="s">
        <v>44</v>
      </c>
      <c r="C1499" s="4" t="s">
        <v>34</v>
      </c>
      <c r="D1499" s="4" t="s">
        <v>42</v>
      </c>
      <c r="E1499" s="4" t="s">
        <v>25</v>
      </c>
      <c r="F1499" s="4" t="s">
        <v>25</v>
      </c>
      <c r="G1499" s="4" t="s">
        <v>25</v>
      </c>
      <c r="H1499" s="4" t="s">
        <v>25</v>
      </c>
      <c r="I1499" s="5">
        <v>43952</v>
      </c>
      <c r="J1499" s="6">
        <v>130</v>
      </c>
      <c r="K1499" s="6">
        <v>130</v>
      </c>
      <c r="L1499" s="6">
        <v>0</v>
      </c>
      <c r="M1499" s="6">
        <v>0</v>
      </c>
      <c r="N1499" s="6">
        <v>0</v>
      </c>
      <c r="O1499" s="6">
        <v>0</v>
      </c>
      <c r="P1499" s="6">
        <v>1</v>
      </c>
      <c r="Q1499" s="4" t="s">
        <v>26</v>
      </c>
      <c r="R1499" s="4">
        <v>0</v>
      </c>
      <c r="S1499" s="4" t="s">
        <v>426</v>
      </c>
      <c r="U1499" s="4">
        <v>35</v>
      </c>
      <c r="V1499" s="4">
        <v>0</v>
      </c>
      <c r="W1499" s="4">
        <v>0</v>
      </c>
    </row>
    <row r="1500" spans="1:23" ht="11.25" customHeight="1" x14ac:dyDescent="0.25">
      <c r="A1500" s="4" t="s">
        <v>28</v>
      </c>
      <c r="B1500" s="4" t="s">
        <v>44</v>
      </c>
      <c r="C1500" s="4" t="s">
        <v>34</v>
      </c>
      <c r="D1500" s="4" t="s">
        <v>42</v>
      </c>
      <c r="E1500" s="4" t="s">
        <v>25</v>
      </c>
      <c r="F1500" s="4" t="s">
        <v>25</v>
      </c>
      <c r="G1500" s="4" t="s">
        <v>25</v>
      </c>
      <c r="H1500" s="4" t="s">
        <v>25</v>
      </c>
      <c r="I1500" s="5">
        <v>43952</v>
      </c>
      <c r="J1500" s="6">
        <v>3470</v>
      </c>
      <c r="K1500" s="6">
        <v>3470</v>
      </c>
      <c r="L1500" s="6">
        <v>0</v>
      </c>
      <c r="M1500" s="6">
        <v>0</v>
      </c>
      <c r="N1500" s="6">
        <v>0</v>
      </c>
      <c r="O1500" s="6">
        <v>0</v>
      </c>
      <c r="P1500" s="6">
        <v>5</v>
      </c>
      <c r="Q1500" s="4" t="s">
        <v>26</v>
      </c>
      <c r="R1500" s="4">
        <v>0</v>
      </c>
      <c r="S1500" s="4" t="s">
        <v>426</v>
      </c>
      <c r="U1500" s="4">
        <v>35</v>
      </c>
      <c r="V1500" s="4">
        <v>0</v>
      </c>
      <c r="W1500" s="4">
        <v>0</v>
      </c>
    </row>
    <row r="1501" spans="1:23" ht="11.25" customHeight="1" x14ac:dyDescent="0.25">
      <c r="A1501" s="4" t="s">
        <v>21</v>
      </c>
      <c r="B1501" s="4" t="s">
        <v>44</v>
      </c>
      <c r="C1501" s="4" t="s">
        <v>34</v>
      </c>
      <c r="D1501" s="4" t="s">
        <v>42</v>
      </c>
      <c r="E1501" s="4" t="s">
        <v>25</v>
      </c>
      <c r="F1501" s="4" t="s">
        <v>25</v>
      </c>
      <c r="G1501" s="4" t="s">
        <v>25</v>
      </c>
      <c r="H1501" s="4" t="s">
        <v>25</v>
      </c>
      <c r="I1501" s="5">
        <v>43983</v>
      </c>
      <c r="J1501" s="6">
        <v>27271</v>
      </c>
      <c r="K1501" s="6">
        <v>27271</v>
      </c>
      <c r="L1501" s="6">
        <v>0</v>
      </c>
      <c r="M1501" s="6">
        <v>0</v>
      </c>
      <c r="N1501" s="6">
        <v>0</v>
      </c>
      <c r="O1501" s="6">
        <v>0</v>
      </c>
      <c r="P1501" s="6">
        <v>101</v>
      </c>
      <c r="Q1501" s="4" t="s">
        <v>26</v>
      </c>
      <c r="R1501" s="4">
        <v>0</v>
      </c>
      <c r="S1501" s="4" t="s">
        <v>427</v>
      </c>
      <c r="U1501" s="4">
        <v>35</v>
      </c>
      <c r="V1501" s="4">
        <v>0</v>
      </c>
      <c r="W1501" s="4">
        <v>0</v>
      </c>
    </row>
    <row r="1502" spans="1:23" ht="11.25" customHeight="1" x14ac:dyDescent="0.25">
      <c r="A1502" s="4" t="s">
        <v>27</v>
      </c>
      <c r="B1502" s="4" t="s">
        <v>44</v>
      </c>
      <c r="C1502" s="4" t="s">
        <v>34</v>
      </c>
      <c r="D1502" s="4" t="s">
        <v>42</v>
      </c>
      <c r="E1502" s="4" t="s">
        <v>25</v>
      </c>
      <c r="F1502" s="4" t="s">
        <v>25</v>
      </c>
      <c r="G1502" s="4" t="s">
        <v>25</v>
      </c>
      <c r="H1502" s="4" t="s">
        <v>25</v>
      </c>
      <c r="I1502" s="5">
        <v>43983</v>
      </c>
      <c r="J1502" s="6">
        <v>730</v>
      </c>
      <c r="K1502" s="6">
        <v>730</v>
      </c>
      <c r="L1502" s="6">
        <v>0</v>
      </c>
      <c r="M1502" s="6">
        <v>0</v>
      </c>
      <c r="N1502" s="6">
        <v>0</v>
      </c>
      <c r="O1502" s="6">
        <v>0</v>
      </c>
      <c r="P1502" s="6">
        <v>2</v>
      </c>
      <c r="Q1502" s="4" t="s">
        <v>26</v>
      </c>
      <c r="R1502" s="4">
        <v>0</v>
      </c>
      <c r="S1502" s="4" t="s">
        <v>427</v>
      </c>
      <c r="U1502" s="4">
        <v>35</v>
      </c>
      <c r="V1502" s="4">
        <v>0</v>
      </c>
      <c r="W1502" s="4">
        <v>0</v>
      </c>
    </row>
    <row r="1503" spans="1:23" ht="11.25" customHeight="1" x14ac:dyDescent="0.25">
      <c r="A1503" s="4" t="s">
        <v>28</v>
      </c>
      <c r="B1503" s="4" t="s">
        <v>44</v>
      </c>
      <c r="C1503" s="4" t="s">
        <v>34</v>
      </c>
      <c r="D1503" s="4" t="s">
        <v>42</v>
      </c>
      <c r="E1503" s="4" t="s">
        <v>25</v>
      </c>
      <c r="F1503" s="4" t="s">
        <v>25</v>
      </c>
      <c r="G1503" s="4" t="s">
        <v>25</v>
      </c>
      <c r="H1503" s="4" t="s">
        <v>25</v>
      </c>
      <c r="I1503" s="5">
        <v>43983</v>
      </c>
      <c r="J1503" s="6">
        <v>3470</v>
      </c>
      <c r="K1503" s="6">
        <v>3470</v>
      </c>
      <c r="L1503" s="6">
        <v>0</v>
      </c>
      <c r="M1503" s="6">
        <v>0</v>
      </c>
      <c r="N1503" s="6">
        <v>0</v>
      </c>
      <c r="O1503" s="6">
        <v>0</v>
      </c>
      <c r="P1503" s="6">
        <v>5</v>
      </c>
      <c r="Q1503" s="4" t="s">
        <v>26</v>
      </c>
      <c r="R1503" s="4">
        <v>0</v>
      </c>
      <c r="S1503" s="4" t="s">
        <v>427</v>
      </c>
      <c r="U1503" s="4">
        <v>35</v>
      </c>
      <c r="V1503" s="4">
        <v>0</v>
      </c>
      <c r="W1503" s="4">
        <v>0</v>
      </c>
    </row>
    <row r="1504" spans="1:23" ht="11.25" customHeight="1" x14ac:dyDescent="0.25">
      <c r="A1504" s="4" t="s">
        <v>21</v>
      </c>
      <c r="B1504" s="4" t="s">
        <v>44</v>
      </c>
      <c r="C1504" s="4" t="s">
        <v>34</v>
      </c>
      <c r="D1504" s="4" t="s">
        <v>42</v>
      </c>
      <c r="E1504" s="4" t="s">
        <v>25</v>
      </c>
      <c r="F1504" s="4" t="s">
        <v>25</v>
      </c>
      <c r="G1504" s="4" t="s">
        <v>25</v>
      </c>
      <c r="H1504" s="4" t="s">
        <v>25</v>
      </c>
      <c r="I1504" s="5">
        <v>44013</v>
      </c>
      <c r="J1504" s="6">
        <v>25636</v>
      </c>
      <c r="K1504" s="6">
        <v>25636</v>
      </c>
      <c r="L1504" s="6">
        <v>0</v>
      </c>
      <c r="M1504" s="6">
        <v>0</v>
      </c>
      <c r="N1504" s="6">
        <v>0</v>
      </c>
      <c r="O1504" s="6">
        <v>0</v>
      </c>
      <c r="P1504" s="6">
        <v>100</v>
      </c>
      <c r="Q1504" s="4" t="s">
        <v>26</v>
      </c>
      <c r="R1504" s="4">
        <v>0</v>
      </c>
      <c r="S1504" s="4" t="s">
        <v>428</v>
      </c>
      <c r="U1504" s="4">
        <v>35</v>
      </c>
      <c r="V1504" s="4">
        <v>0</v>
      </c>
      <c r="W1504" s="4">
        <v>0</v>
      </c>
    </row>
    <row r="1505" spans="1:23" ht="11.25" customHeight="1" x14ac:dyDescent="0.25">
      <c r="A1505" s="4" t="s">
        <v>27</v>
      </c>
      <c r="B1505" s="4" t="s">
        <v>44</v>
      </c>
      <c r="C1505" s="4" t="s">
        <v>34</v>
      </c>
      <c r="D1505" s="4" t="s">
        <v>42</v>
      </c>
      <c r="E1505" s="4" t="s">
        <v>25</v>
      </c>
      <c r="F1505" s="4" t="s">
        <v>25</v>
      </c>
      <c r="G1505" s="4" t="s">
        <v>25</v>
      </c>
      <c r="H1505" s="4" t="s">
        <v>25</v>
      </c>
      <c r="I1505" s="5">
        <v>44013</v>
      </c>
      <c r="J1505" s="6">
        <v>730</v>
      </c>
      <c r="K1505" s="6">
        <v>730</v>
      </c>
      <c r="L1505" s="6">
        <v>0</v>
      </c>
      <c r="M1505" s="6">
        <v>0</v>
      </c>
      <c r="N1505" s="6">
        <v>0</v>
      </c>
      <c r="O1505" s="6">
        <v>0</v>
      </c>
      <c r="P1505" s="6">
        <v>2</v>
      </c>
      <c r="Q1505" s="4" t="s">
        <v>26</v>
      </c>
      <c r="R1505" s="4">
        <v>0</v>
      </c>
      <c r="S1505" s="4" t="s">
        <v>428</v>
      </c>
      <c r="U1505" s="4">
        <v>35</v>
      </c>
      <c r="V1505" s="4">
        <v>0</v>
      </c>
      <c r="W1505" s="4">
        <v>0</v>
      </c>
    </row>
    <row r="1506" spans="1:23" ht="11.25" customHeight="1" x14ac:dyDescent="0.25">
      <c r="A1506" s="4" t="s">
        <v>28</v>
      </c>
      <c r="B1506" s="4" t="s">
        <v>44</v>
      </c>
      <c r="C1506" s="4" t="s">
        <v>34</v>
      </c>
      <c r="D1506" s="4" t="s">
        <v>42</v>
      </c>
      <c r="E1506" s="4" t="s">
        <v>25</v>
      </c>
      <c r="F1506" s="4" t="s">
        <v>25</v>
      </c>
      <c r="G1506" s="4" t="s">
        <v>25</v>
      </c>
      <c r="H1506" s="4" t="s">
        <v>25</v>
      </c>
      <c r="I1506" s="5">
        <v>44013</v>
      </c>
      <c r="J1506" s="6">
        <v>3470</v>
      </c>
      <c r="K1506" s="6">
        <v>3470</v>
      </c>
      <c r="L1506" s="6">
        <v>0</v>
      </c>
      <c r="M1506" s="6">
        <v>0</v>
      </c>
      <c r="N1506" s="6">
        <v>0</v>
      </c>
      <c r="O1506" s="6">
        <v>0</v>
      </c>
      <c r="P1506" s="6">
        <v>5</v>
      </c>
      <c r="Q1506" s="4" t="s">
        <v>26</v>
      </c>
      <c r="R1506" s="4">
        <v>0</v>
      </c>
      <c r="S1506" s="4" t="s">
        <v>428</v>
      </c>
      <c r="U1506" s="4">
        <v>35</v>
      </c>
      <c r="V1506" s="4">
        <v>0</v>
      </c>
      <c r="W1506" s="4">
        <v>0</v>
      </c>
    </row>
    <row r="1507" spans="1:23" ht="11.25" customHeight="1" x14ac:dyDescent="0.25">
      <c r="A1507" s="4" t="s">
        <v>21</v>
      </c>
      <c r="B1507" s="4" t="s">
        <v>44</v>
      </c>
      <c r="C1507" s="4" t="s">
        <v>34</v>
      </c>
      <c r="D1507" s="4" t="s">
        <v>42</v>
      </c>
      <c r="E1507" s="4" t="s">
        <v>25</v>
      </c>
      <c r="F1507" s="4" t="s">
        <v>25</v>
      </c>
      <c r="G1507" s="4" t="s">
        <v>25</v>
      </c>
      <c r="H1507" s="4" t="s">
        <v>25</v>
      </c>
      <c r="I1507" s="5">
        <v>44044</v>
      </c>
      <c r="J1507" s="6">
        <v>25307</v>
      </c>
      <c r="K1507" s="6">
        <v>25307</v>
      </c>
      <c r="L1507" s="6">
        <v>0</v>
      </c>
      <c r="M1507" s="6">
        <v>0</v>
      </c>
      <c r="N1507" s="6">
        <v>0</v>
      </c>
      <c r="O1507" s="6">
        <v>0</v>
      </c>
      <c r="P1507" s="6">
        <v>100</v>
      </c>
      <c r="Q1507" s="4" t="s">
        <v>26</v>
      </c>
      <c r="R1507" s="4">
        <v>0</v>
      </c>
      <c r="S1507" s="4" t="s">
        <v>429</v>
      </c>
      <c r="U1507" s="4">
        <v>35</v>
      </c>
      <c r="V1507" s="4">
        <v>0</v>
      </c>
      <c r="W1507" s="4">
        <v>0</v>
      </c>
    </row>
    <row r="1508" spans="1:23" ht="11.25" customHeight="1" x14ac:dyDescent="0.25">
      <c r="A1508" s="4" t="s">
        <v>27</v>
      </c>
      <c r="B1508" s="4" t="s">
        <v>44</v>
      </c>
      <c r="C1508" s="4" t="s">
        <v>34</v>
      </c>
      <c r="D1508" s="4" t="s">
        <v>42</v>
      </c>
      <c r="E1508" s="4" t="s">
        <v>25</v>
      </c>
      <c r="F1508" s="4" t="s">
        <v>25</v>
      </c>
      <c r="G1508" s="4" t="s">
        <v>25</v>
      </c>
      <c r="H1508" s="4" t="s">
        <v>25</v>
      </c>
      <c r="I1508" s="5">
        <v>44044</v>
      </c>
      <c r="J1508" s="6">
        <v>730</v>
      </c>
      <c r="K1508" s="6">
        <v>730</v>
      </c>
      <c r="L1508" s="6">
        <v>0</v>
      </c>
      <c r="M1508" s="6">
        <v>0</v>
      </c>
      <c r="N1508" s="6">
        <v>0</v>
      </c>
      <c r="O1508" s="6">
        <v>0</v>
      </c>
      <c r="P1508" s="6">
        <v>2</v>
      </c>
      <c r="Q1508" s="4" t="s">
        <v>26</v>
      </c>
      <c r="R1508" s="4">
        <v>0</v>
      </c>
      <c r="S1508" s="4" t="s">
        <v>429</v>
      </c>
      <c r="U1508" s="4">
        <v>35</v>
      </c>
      <c r="V1508" s="4">
        <v>0</v>
      </c>
      <c r="W1508" s="4">
        <v>0</v>
      </c>
    </row>
    <row r="1509" spans="1:23" ht="11.25" customHeight="1" x14ac:dyDescent="0.25">
      <c r="A1509" s="4" t="s">
        <v>28</v>
      </c>
      <c r="B1509" s="4" t="s">
        <v>44</v>
      </c>
      <c r="C1509" s="4" t="s">
        <v>34</v>
      </c>
      <c r="D1509" s="4" t="s">
        <v>42</v>
      </c>
      <c r="E1509" s="4" t="s">
        <v>25</v>
      </c>
      <c r="F1509" s="4" t="s">
        <v>25</v>
      </c>
      <c r="G1509" s="4" t="s">
        <v>25</v>
      </c>
      <c r="H1509" s="4" t="s">
        <v>25</v>
      </c>
      <c r="I1509" s="5">
        <v>44044</v>
      </c>
      <c r="J1509" s="6">
        <v>3470</v>
      </c>
      <c r="K1509" s="6">
        <v>3470</v>
      </c>
      <c r="L1509" s="6">
        <v>0</v>
      </c>
      <c r="M1509" s="6">
        <v>0</v>
      </c>
      <c r="N1509" s="6">
        <v>0</v>
      </c>
      <c r="O1509" s="6">
        <v>0</v>
      </c>
      <c r="P1509" s="6">
        <v>5</v>
      </c>
      <c r="Q1509" s="4" t="s">
        <v>26</v>
      </c>
      <c r="R1509" s="4">
        <v>0</v>
      </c>
      <c r="S1509" s="4" t="s">
        <v>429</v>
      </c>
      <c r="U1509" s="4">
        <v>35</v>
      </c>
      <c r="V1509" s="4">
        <v>0</v>
      </c>
      <c r="W1509" s="4">
        <v>0</v>
      </c>
    </row>
    <row r="1510" spans="1:23" ht="11.25" customHeight="1" x14ac:dyDescent="0.25">
      <c r="A1510" s="4" t="s">
        <v>59</v>
      </c>
      <c r="B1510" s="4" t="s">
        <v>44</v>
      </c>
      <c r="C1510" s="4" t="s">
        <v>34</v>
      </c>
      <c r="D1510" s="4" t="s">
        <v>42</v>
      </c>
      <c r="E1510" s="4" t="s">
        <v>25</v>
      </c>
      <c r="F1510" s="4" t="s">
        <v>25</v>
      </c>
      <c r="G1510" s="4" t="s">
        <v>25</v>
      </c>
      <c r="H1510" s="4" t="s">
        <v>25</v>
      </c>
      <c r="I1510" s="5">
        <v>44075</v>
      </c>
      <c r="J1510" s="6">
        <v>25307</v>
      </c>
      <c r="K1510" s="6">
        <v>25307</v>
      </c>
      <c r="L1510" s="6">
        <v>0</v>
      </c>
      <c r="M1510" s="6">
        <v>0</v>
      </c>
      <c r="N1510" s="6">
        <v>0</v>
      </c>
      <c r="O1510" s="6">
        <v>0</v>
      </c>
      <c r="P1510" s="6">
        <v>100</v>
      </c>
      <c r="Q1510" s="4" t="s">
        <v>26</v>
      </c>
      <c r="R1510" s="4">
        <v>0</v>
      </c>
      <c r="S1510" s="4" t="s">
        <v>430</v>
      </c>
      <c r="U1510" s="4">
        <v>35</v>
      </c>
      <c r="V1510" s="4">
        <v>0</v>
      </c>
      <c r="W1510" s="4">
        <v>0</v>
      </c>
    </row>
    <row r="1511" spans="1:23" ht="11.25" customHeight="1" x14ac:dyDescent="0.25">
      <c r="A1511" s="4" t="s">
        <v>59</v>
      </c>
      <c r="B1511" s="4" t="s">
        <v>44</v>
      </c>
      <c r="C1511" s="4" t="s">
        <v>34</v>
      </c>
      <c r="D1511" s="4" t="s">
        <v>42</v>
      </c>
      <c r="E1511" s="4" t="s">
        <v>25</v>
      </c>
      <c r="F1511" s="4" t="s">
        <v>25</v>
      </c>
      <c r="G1511" s="4" t="s">
        <v>25</v>
      </c>
      <c r="H1511" s="4" t="s">
        <v>25</v>
      </c>
      <c r="I1511" s="5">
        <v>44075</v>
      </c>
      <c r="J1511" s="6">
        <v>730</v>
      </c>
      <c r="K1511" s="6">
        <v>730</v>
      </c>
      <c r="L1511" s="6">
        <v>0</v>
      </c>
      <c r="M1511" s="6">
        <v>0</v>
      </c>
      <c r="N1511" s="6">
        <v>0</v>
      </c>
      <c r="O1511" s="6">
        <v>0</v>
      </c>
      <c r="P1511" s="6">
        <v>2</v>
      </c>
      <c r="Q1511" s="4" t="s">
        <v>26</v>
      </c>
      <c r="R1511" s="4">
        <v>0</v>
      </c>
      <c r="S1511" s="4" t="s">
        <v>430</v>
      </c>
      <c r="U1511" s="4">
        <v>35</v>
      </c>
      <c r="V1511" s="4">
        <v>0</v>
      </c>
      <c r="W1511" s="4">
        <v>0</v>
      </c>
    </row>
    <row r="1512" spans="1:23" ht="11.25" customHeight="1" x14ac:dyDescent="0.25">
      <c r="A1512" s="4" t="s">
        <v>59</v>
      </c>
      <c r="B1512" s="4" t="s">
        <v>44</v>
      </c>
      <c r="C1512" s="4" t="s">
        <v>34</v>
      </c>
      <c r="D1512" s="4" t="s">
        <v>42</v>
      </c>
      <c r="E1512" s="4" t="s">
        <v>25</v>
      </c>
      <c r="F1512" s="4" t="s">
        <v>25</v>
      </c>
      <c r="G1512" s="4" t="s">
        <v>25</v>
      </c>
      <c r="H1512" s="4" t="s">
        <v>25</v>
      </c>
      <c r="I1512" s="5">
        <v>44075</v>
      </c>
      <c r="J1512" s="6">
        <v>3470</v>
      </c>
      <c r="K1512" s="6">
        <v>3470</v>
      </c>
      <c r="L1512" s="6">
        <v>0</v>
      </c>
      <c r="M1512" s="6">
        <v>0</v>
      </c>
      <c r="N1512" s="6">
        <v>0</v>
      </c>
      <c r="O1512" s="6">
        <v>0</v>
      </c>
      <c r="P1512" s="6">
        <v>5</v>
      </c>
      <c r="Q1512" s="4" t="s">
        <v>26</v>
      </c>
      <c r="R1512" s="4">
        <v>0</v>
      </c>
      <c r="S1512" s="4" t="s">
        <v>430</v>
      </c>
      <c r="U1512" s="4">
        <v>35</v>
      </c>
      <c r="V1512" s="4">
        <v>0</v>
      </c>
      <c r="W1512" s="4">
        <v>0</v>
      </c>
    </row>
    <row r="1513" spans="1:23" ht="11.25" customHeight="1" x14ac:dyDescent="0.25">
      <c r="A1513" s="4" t="s">
        <v>21</v>
      </c>
      <c r="B1513" s="4" t="s">
        <v>44</v>
      </c>
      <c r="C1513" s="4" t="s">
        <v>34</v>
      </c>
      <c r="D1513" s="4" t="s">
        <v>42</v>
      </c>
      <c r="E1513" s="4" t="s">
        <v>25</v>
      </c>
      <c r="F1513" s="4" t="s">
        <v>25</v>
      </c>
      <c r="G1513" s="4" t="s">
        <v>25</v>
      </c>
      <c r="H1513" s="4" t="s">
        <v>35</v>
      </c>
      <c r="I1513" s="5">
        <v>43739</v>
      </c>
      <c r="J1513" s="6">
        <v>0</v>
      </c>
      <c r="K1513" s="6">
        <v>0</v>
      </c>
      <c r="L1513" s="6">
        <v>632.09</v>
      </c>
      <c r="M1513" s="6">
        <v>632.09</v>
      </c>
      <c r="N1513" s="6">
        <v>632.09</v>
      </c>
      <c r="O1513" s="6">
        <v>632.09</v>
      </c>
      <c r="P1513" s="6">
        <v>0</v>
      </c>
      <c r="Q1513" s="4" t="s">
        <v>26</v>
      </c>
      <c r="R1513" s="4">
        <v>0</v>
      </c>
      <c r="S1513" s="4" t="s">
        <v>431</v>
      </c>
      <c r="T1513" s="4" t="s">
        <v>737</v>
      </c>
      <c r="U1513" s="4">
        <v>0</v>
      </c>
      <c r="V1513" s="4">
        <v>36</v>
      </c>
      <c r="W1513" s="4">
        <v>83</v>
      </c>
    </row>
    <row r="1514" spans="1:23" ht="11.25" customHeight="1" x14ac:dyDescent="0.25">
      <c r="A1514" s="4" t="s">
        <v>21</v>
      </c>
      <c r="B1514" s="4" t="s">
        <v>44</v>
      </c>
      <c r="C1514" s="4" t="s">
        <v>34</v>
      </c>
      <c r="D1514" s="4" t="s">
        <v>42</v>
      </c>
      <c r="E1514" s="4" t="s">
        <v>25</v>
      </c>
      <c r="F1514" s="4" t="s">
        <v>25</v>
      </c>
      <c r="G1514" s="4" t="s">
        <v>25</v>
      </c>
      <c r="H1514" s="4" t="s">
        <v>35</v>
      </c>
      <c r="I1514" s="5">
        <v>43770</v>
      </c>
      <c r="J1514" s="6">
        <v>0</v>
      </c>
      <c r="K1514" s="6">
        <v>0</v>
      </c>
      <c r="L1514" s="6">
        <v>613.87199999999996</v>
      </c>
      <c r="M1514" s="6">
        <v>613.87199999999996</v>
      </c>
      <c r="N1514" s="6">
        <v>613.87199999999996</v>
      </c>
      <c r="O1514" s="6">
        <v>613.87199999999996</v>
      </c>
      <c r="P1514" s="6">
        <v>0</v>
      </c>
      <c r="Q1514" s="4" t="s">
        <v>26</v>
      </c>
      <c r="R1514" s="4">
        <v>0</v>
      </c>
      <c r="S1514" s="4" t="s">
        <v>432</v>
      </c>
      <c r="T1514" s="4" t="s">
        <v>738</v>
      </c>
      <c r="U1514" s="4">
        <v>0</v>
      </c>
      <c r="V1514" s="4">
        <v>36</v>
      </c>
      <c r="W1514" s="4">
        <v>83</v>
      </c>
    </row>
    <row r="1515" spans="1:23" ht="11.25" customHeight="1" x14ac:dyDescent="0.25">
      <c r="A1515" s="4" t="s">
        <v>27</v>
      </c>
      <c r="B1515" s="4" t="s">
        <v>44</v>
      </c>
      <c r="C1515" s="4" t="s">
        <v>34</v>
      </c>
      <c r="D1515" s="4" t="s">
        <v>42</v>
      </c>
      <c r="E1515" s="4" t="s">
        <v>25</v>
      </c>
      <c r="F1515" s="4" t="s">
        <v>25</v>
      </c>
      <c r="G1515" s="4" t="s">
        <v>25</v>
      </c>
      <c r="H1515" s="4" t="s">
        <v>35</v>
      </c>
      <c r="I1515" s="5">
        <v>43770</v>
      </c>
      <c r="J1515" s="6">
        <v>0</v>
      </c>
      <c r="K1515" s="6">
        <v>0</v>
      </c>
      <c r="L1515" s="6">
        <v>11.111000000000001</v>
      </c>
      <c r="M1515" s="6">
        <v>11.111000000000001</v>
      </c>
      <c r="N1515" s="6">
        <v>11.111000000000001</v>
      </c>
      <c r="O1515" s="6">
        <v>11.111000000000001</v>
      </c>
      <c r="P1515" s="6">
        <v>0</v>
      </c>
      <c r="Q1515" s="4" t="s">
        <v>26</v>
      </c>
      <c r="R1515" s="4">
        <v>0</v>
      </c>
      <c r="S1515" s="4" t="s">
        <v>432</v>
      </c>
      <c r="T1515" s="4" t="s">
        <v>738</v>
      </c>
      <c r="U1515" s="4">
        <v>0</v>
      </c>
      <c r="V1515" s="4">
        <v>36</v>
      </c>
      <c r="W1515" s="4">
        <v>83</v>
      </c>
    </row>
    <row r="1516" spans="1:23" ht="11.25" customHeight="1" x14ac:dyDescent="0.25">
      <c r="A1516" s="4" t="s">
        <v>28</v>
      </c>
      <c r="B1516" s="4" t="s">
        <v>44</v>
      </c>
      <c r="C1516" s="4" t="s">
        <v>34</v>
      </c>
      <c r="D1516" s="4" t="s">
        <v>42</v>
      </c>
      <c r="E1516" s="4" t="s">
        <v>25</v>
      </c>
      <c r="F1516" s="4" t="s">
        <v>25</v>
      </c>
      <c r="G1516" s="4" t="s">
        <v>25</v>
      </c>
      <c r="H1516" s="4" t="s">
        <v>35</v>
      </c>
      <c r="I1516" s="5">
        <v>43770</v>
      </c>
      <c r="J1516" s="6">
        <v>0</v>
      </c>
      <c r="K1516" s="6">
        <v>0</v>
      </c>
      <c r="L1516" s="6">
        <v>19.215</v>
      </c>
      <c r="M1516" s="6">
        <v>19.215</v>
      </c>
      <c r="N1516" s="6">
        <v>19.215</v>
      </c>
      <c r="O1516" s="6">
        <v>19.215</v>
      </c>
      <c r="P1516" s="6">
        <v>0</v>
      </c>
      <c r="Q1516" s="4" t="s">
        <v>26</v>
      </c>
      <c r="R1516" s="4">
        <v>0</v>
      </c>
      <c r="S1516" s="4" t="s">
        <v>432</v>
      </c>
      <c r="T1516" s="4" t="s">
        <v>738</v>
      </c>
      <c r="U1516" s="4">
        <v>0</v>
      </c>
      <c r="V1516" s="4">
        <v>36</v>
      </c>
      <c r="W1516" s="4">
        <v>83</v>
      </c>
    </row>
    <row r="1517" spans="1:23" ht="11.25" customHeight="1" x14ac:dyDescent="0.25">
      <c r="A1517" s="4" t="s">
        <v>21</v>
      </c>
      <c r="B1517" s="4" t="s">
        <v>44</v>
      </c>
      <c r="C1517" s="4" t="s">
        <v>34</v>
      </c>
      <c r="D1517" s="4" t="s">
        <v>42</v>
      </c>
      <c r="E1517" s="4" t="s">
        <v>25</v>
      </c>
      <c r="F1517" s="4" t="s">
        <v>25</v>
      </c>
      <c r="G1517" s="4" t="s">
        <v>25</v>
      </c>
      <c r="H1517" s="4" t="s">
        <v>35</v>
      </c>
      <c r="I1517" s="5">
        <v>43800</v>
      </c>
      <c r="J1517" s="6">
        <v>0</v>
      </c>
      <c r="K1517" s="6">
        <v>0</v>
      </c>
      <c r="L1517" s="6">
        <v>592.95500000000004</v>
      </c>
      <c r="M1517" s="6">
        <v>592.95500000000004</v>
      </c>
      <c r="N1517" s="6">
        <v>592.95500000000004</v>
      </c>
      <c r="O1517" s="6">
        <v>592.95500000000004</v>
      </c>
      <c r="P1517" s="6">
        <v>0</v>
      </c>
      <c r="Q1517" s="4" t="s">
        <v>26</v>
      </c>
      <c r="R1517" s="4">
        <v>0</v>
      </c>
      <c r="S1517" s="4" t="s">
        <v>433</v>
      </c>
      <c r="T1517" s="4" t="s">
        <v>739</v>
      </c>
      <c r="U1517" s="4">
        <v>0</v>
      </c>
      <c r="V1517" s="4">
        <v>36</v>
      </c>
      <c r="W1517" s="4">
        <v>83</v>
      </c>
    </row>
    <row r="1518" spans="1:23" ht="11.25" customHeight="1" x14ac:dyDescent="0.25">
      <c r="A1518" s="4" t="s">
        <v>28</v>
      </c>
      <c r="B1518" s="4" t="s">
        <v>44</v>
      </c>
      <c r="C1518" s="4" t="s">
        <v>34</v>
      </c>
      <c r="D1518" s="4" t="s">
        <v>42</v>
      </c>
      <c r="E1518" s="4" t="s">
        <v>25</v>
      </c>
      <c r="F1518" s="4" t="s">
        <v>25</v>
      </c>
      <c r="G1518" s="4" t="s">
        <v>25</v>
      </c>
      <c r="H1518" s="4" t="s">
        <v>35</v>
      </c>
      <c r="I1518" s="5">
        <v>43800</v>
      </c>
      <c r="J1518" s="6">
        <v>0</v>
      </c>
      <c r="K1518" s="6">
        <v>0</v>
      </c>
      <c r="L1518" s="6">
        <v>89.9</v>
      </c>
      <c r="M1518" s="6">
        <v>89.9</v>
      </c>
      <c r="N1518" s="6">
        <v>89.9</v>
      </c>
      <c r="O1518" s="6">
        <v>89.9</v>
      </c>
      <c r="P1518" s="6">
        <v>0</v>
      </c>
      <c r="Q1518" s="4" t="s">
        <v>26</v>
      </c>
      <c r="R1518" s="4">
        <v>0</v>
      </c>
      <c r="S1518" s="4" t="s">
        <v>433</v>
      </c>
      <c r="T1518" s="4" t="s">
        <v>739</v>
      </c>
      <c r="U1518" s="4">
        <v>0</v>
      </c>
      <c r="V1518" s="4">
        <v>36</v>
      </c>
      <c r="W1518" s="4">
        <v>83</v>
      </c>
    </row>
    <row r="1519" spans="1:23" ht="11.25" customHeight="1" x14ac:dyDescent="0.25">
      <c r="A1519" s="4" t="s">
        <v>21</v>
      </c>
      <c r="B1519" s="4" t="s">
        <v>44</v>
      </c>
      <c r="C1519" s="4" t="s">
        <v>34</v>
      </c>
      <c r="D1519" s="4" t="s">
        <v>42</v>
      </c>
      <c r="E1519" s="4" t="s">
        <v>25</v>
      </c>
      <c r="F1519" s="4" t="s">
        <v>25</v>
      </c>
      <c r="G1519" s="4" t="s">
        <v>25</v>
      </c>
      <c r="H1519" s="4" t="s">
        <v>35</v>
      </c>
      <c r="I1519" s="5">
        <v>43831</v>
      </c>
      <c r="J1519" s="6">
        <v>0</v>
      </c>
      <c r="K1519" s="6">
        <v>0</v>
      </c>
      <c r="L1519" s="6">
        <v>523.58199999999999</v>
      </c>
      <c r="M1519" s="6">
        <v>523.58199999999999</v>
      </c>
      <c r="N1519" s="6">
        <v>523.58199999999999</v>
      </c>
      <c r="O1519" s="6">
        <v>523.58199999999999</v>
      </c>
      <c r="P1519" s="6">
        <v>0</v>
      </c>
      <c r="Q1519" s="4" t="s">
        <v>26</v>
      </c>
      <c r="R1519" s="4">
        <v>0</v>
      </c>
      <c r="S1519" s="4" t="s">
        <v>434</v>
      </c>
      <c r="T1519" s="4" t="s">
        <v>740</v>
      </c>
      <c r="U1519" s="4">
        <v>0</v>
      </c>
      <c r="V1519" s="4">
        <v>36</v>
      </c>
      <c r="W1519" s="4">
        <v>83</v>
      </c>
    </row>
    <row r="1520" spans="1:23" ht="11.25" customHeight="1" x14ac:dyDescent="0.25">
      <c r="A1520" s="4" t="s">
        <v>27</v>
      </c>
      <c r="B1520" s="4" t="s">
        <v>44</v>
      </c>
      <c r="C1520" s="4" t="s">
        <v>34</v>
      </c>
      <c r="D1520" s="4" t="s">
        <v>42</v>
      </c>
      <c r="E1520" s="4" t="s">
        <v>25</v>
      </c>
      <c r="F1520" s="4" t="s">
        <v>25</v>
      </c>
      <c r="G1520" s="4" t="s">
        <v>25</v>
      </c>
      <c r="H1520" s="4" t="s">
        <v>35</v>
      </c>
      <c r="I1520" s="5">
        <v>43831</v>
      </c>
      <c r="J1520" s="6">
        <v>0</v>
      </c>
      <c r="K1520" s="6">
        <v>0</v>
      </c>
      <c r="L1520" s="6">
        <v>2.5390000000000001</v>
      </c>
      <c r="M1520" s="6">
        <v>2.5390000000000001</v>
      </c>
      <c r="N1520" s="6">
        <v>2.5390000000000001</v>
      </c>
      <c r="O1520" s="6">
        <v>2.5390000000000001</v>
      </c>
      <c r="P1520" s="6">
        <v>0</v>
      </c>
      <c r="Q1520" s="4" t="s">
        <v>26</v>
      </c>
      <c r="R1520" s="4">
        <v>0</v>
      </c>
      <c r="S1520" s="4" t="s">
        <v>434</v>
      </c>
      <c r="T1520" s="4" t="s">
        <v>740</v>
      </c>
      <c r="U1520" s="4">
        <v>0</v>
      </c>
      <c r="V1520" s="4">
        <v>36</v>
      </c>
      <c r="W1520" s="4">
        <v>83</v>
      </c>
    </row>
    <row r="1521" spans="1:23" ht="11.25" customHeight="1" x14ac:dyDescent="0.25">
      <c r="A1521" s="4" t="s">
        <v>28</v>
      </c>
      <c r="B1521" s="4" t="s">
        <v>44</v>
      </c>
      <c r="C1521" s="4" t="s">
        <v>34</v>
      </c>
      <c r="D1521" s="4" t="s">
        <v>42</v>
      </c>
      <c r="E1521" s="4" t="s">
        <v>25</v>
      </c>
      <c r="F1521" s="4" t="s">
        <v>25</v>
      </c>
      <c r="G1521" s="4" t="s">
        <v>25</v>
      </c>
      <c r="H1521" s="4" t="s">
        <v>35</v>
      </c>
      <c r="I1521" s="5">
        <v>43831</v>
      </c>
      <c r="J1521" s="6">
        <v>0</v>
      </c>
      <c r="K1521" s="6">
        <v>0</v>
      </c>
      <c r="L1521" s="6">
        <v>62.731999999999999</v>
      </c>
      <c r="M1521" s="6">
        <v>62.731999999999999</v>
      </c>
      <c r="N1521" s="6">
        <v>62.731999999999999</v>
      </c>
      <c r="O1521" s="6">
        <v>62.731999999999999</v>
      </c>
      <c r="P1521" s="6">
        <v>0</v>
      </c>
      <c r="Q1521" s="4" t="s">
        <v>26</v>
      </c>
      <c r="R1521" s="4">
        <v>0</v>
      </c>
      <c r="S1521" s="4" t="s">
        <v>434</v>
      </c>
      <c r="T1521" s="4" t="s">
        <v>740</v>
      </c>
      <c r="U1521" s="4">
        <v>0</v>
      </c>
      <c r="V1521" s="4">
        <v>36</v>
      </c>
      <c r="W1521" s="4">
        <v>83</v>
      </c>
    </row>
    <row r="1522" spans="1:23" ht="11.25" customHeight="1" x14ac:dyDescent="0.25">
      <c r="A1522" s="4" t="s">
        <v>21</v>
      </c>
      <c r="B1522" s="4" t="s">
        <v>44</v>
      </c>
      <c r="C1522" s="4" t="s">
        <v>34</v>
      </c>
      <c r="D1522" s="4" t="s">
        <v>42</v>
      </c>
      <c r="E1522" s="4" t="s">
        <v>25</v>
      </c>
      <c r="F1522" s="4" t="s">
        <v>25</v>
      </c>
      <c r="G1522" s="4" t="s">
        <v>25</v>
      </c>
      <c r="H1522" s="4" t="s">
        <v>35</v>
      </c>
      <c r="I1522" s="5">
        <v>43862</v>
      </c>
      <c r="J1522" s="6">
        <v>0</v>
      </c>
      <c r="K1522" s="6">
        <v>0</v>
      </c>
      <c r="L1522" s="6">
        <v>608.28800000000001</v>
      </c>
      <c r="M1522" s="6">
        <v>608.28800000000001</v>
      </c>
      <c r="N1522" s="6">
        <v>608.28800000000001</v>
      </c>
      <c r="O1522" s="6">
        <v>608.28800000000001</v>
      </c>
      <c r="P1522" s="6">
        <v>0</v>
      </c>
      <c r="Q1522" s="4" t="s">
        <v>26</v>
      </c>
      <c r="R1522" s="4">
        <v>0</v>
      </c>
      <c r="S1522" s="4" t="s">
        <v>435</v>
      </c>
      <c r="T1522" s="4" t="s">
        <v>741</v>
      </c>
      <c r="U1522" s="4">
        <v>0</v>
      </c>
      <c r="V1522" s="4">
        <v>36</v>
      </c>
      <c r="W1522" s="4">
        <v>83</v>
      </c>
    </row>
    <row r="1523" spans="1:23" ht="11.25" customHeight="1" x14ac:dyDescent="0.25">
      <c r="A1523" s="4" t="s">
        <v>28</v>
      </c>
      <c r="B1523" s="4" t="s">
        <v>44</v>
      </c>
      <c r="C1523" s="4" t="s">
        <v>34</v>
      </c>
      <c r="D1523" s="4" t="s">
        <v>42</v>
      </c>
      <c r="E1523" s="4" t="s">
        <v>25</v>
      </c>
      <c r="F1523" s="4" t="s">
        <v>25</v>
      </c>
      <c r="G1523" s="4" t="s">
        <v>25</v>
      </c>
      <c r="H1523" s="4" t="s">
        <v>35</v>
      </c>
      <c r="I1523" s="5">
        <v>43862</v>
      </c>
      <c r="J1523" s="6">
        <v>0</v>
      </c>
      <c r="K1523" s="6">
        <v>0</v>
      </c>
      <c r="L1523" s="6">
        <v>79.23</v>
      </c>
      <c r="M1523" s="6">
        <v>79.23</v>
      </c>
      <c r="N1523" s="6">
        <v>79.23</v>
      </c>
      <c r="O1523" s="6">
        <v>79.23</v>
      </c>
      <c r="P1523" s="6">
        <v>0</v>
      </c>
      <c r="Q1523" s="4" t="s">
        <v>26</v>
      </c>
      <c r="R1523" s="4">
        <v>0</v>
      </c>
      <c r="S1523" s="4" t="s">
        <v>435</v>
      </c>
      <c r="T1523" s="4" t="s">
        <v>741</v>
      </c>
      <c r="U1523" s="4">
        <v>0</v>
      </c>
      <c r="V1523" s="4">
        <v>36</v>
      </c>
      <c r="W1523" s="4">
        <v>83</v>
      </c>
    </row>
    <row r="1524" spans="1:23" ht="11.25" customHeight="1" x14ac:dyDescent="0.25">
      <c r="A1524" s="4" t="s">
        <v>21</v>
      </c>
      <c r="B1524" s="4" t="s">
        <v>44</v>
      </c>
      <c r="C1524" s="4" t="s">
        <v>34</v>
      </c>
      <c r="D1524" s="4" t="s">
        <v>42</v>
      </c>
      <c r="E1524" s="4" t="s">
        <v>25</v>
      </c>
      <c r="F1524" s="4" t="s">
        <v>25</v>
      </c>
      <c r="G1524" s="4" t="s">
        <v>25</v>
      </c>
      <c r="H1524" s="4" t="s">
        <v>35</v>
      </c>
      <c r="I1524" s="5">
        <v>43891</v>
      </c>
      <c r="J1524" s="6">
        <v>0</v>
      </c>
      <c r="K1524" s="6">
        <v>0</v>
      </c>
      <c r="L1524" s="6">
        <v>539.90099999999995</v>
      </c>
      <c r="M1524" s="6">
        <v>539.90099999999995</v>
      </c>
      <c r="N1524" s="6">
        <v>539.90099999999995</v>
      </c>
      <c r="O1524" s="6">
        <v>539.90099999999995</v>
      </c>
      <c r="P1524" s="6">
        <v>0</v>
      </c>
      <c r="Q1524" s="4" t="s">
        <v>26</v>
      </c>
      <c r="R1524" s="4">
        <v>0</v>
      </c>
      <c r="S1524" s="4" t="s">
        <v>436</v>
      </c>
      <c r="T1524" s="4" t="s">
        <v>742</v>
      </c>
      <c r="U1524" s="4">
        <v>0</v>
      </c>
      <c r="V1524" s="4">
        <v>36</v>
      </c>
      <c r="W1524" s="4">
        <v>83</v>
      </c>
    </row>
    <row r="1525" spans="1:23" ht="11.25" customHeight="1" x14ac:dyDescent="0.25">
      <c r="A1525" s="4" t="s">
        <v>28</v>
      </c>
      <c r="B1525" s="4" t="s">
        <v>44</v>
      </c>
      <c r="C1525" s="4" t="s">
        <v>34</v>
      </c>
      <c r="D1525" s="4" t="s">
        <v>42</v>
      </c>
      <c r="E1525" s="4" t="s">
        <v>25</v>
      </c>
      <c r="F1525" s="4" t="s">
        <v>25</v>
      </c>
      <c r="G1525" s="4" t="s">
        <v>25</v>
      </c>
      <c r="H1525" s="4" t="s">
        <v>35</v>
      </c>
      <c r="I1525" s="5">
        <v>43891</v>
      </c>
      <c r="J1525" s="6">
        <v>0</v>
      </c>
      <c r="K1525" s="6">
        <v>0</v>
      </c>
      <c r="L1525" s="6">
        <v>63.475999999999999</v>
      </c>
      <c r="M1525" s="6">
        <v>63.475999999999999</v>
      </c>
      <c r="N1525" s="6">
        <v>63.475999999999999</v>
      </c>
      <c r="O1525" s="6">
        <v>63.475999999999999</v>
      </c>
      <c r="P1525" s="6">
        <v>0</v>
      </c>
      <c r="Q1525" s="4" t="s">
        <v>26</v>
      </c>
      <c r="R1525" s="4">
        <v>0</v>
      </c>
      <c r="S1525" s="4" t="s">
        <v>436</v>
      </c>
      <c r="T1525" s="4" t="s">
        <v>742</v>
      </c>
      <c r="U1525" s="4">
        <v>0</v>
      </c>
      <c r="V1525" s="4">
        <v>36</v>
      </c>
      <c r="W1525" s="4">
        <v>83</v>
      </c>
    </row>
    <row r="1526" spans="1:23" ht="11.25" customHeight="1" x14ac:dyDescent="0.25">
      <c r="A1526" s="4" t="s">
        <v>21</v>
      </c>
      <c r="B1526" s="4" t="s">
        <v>44</v>
      </c>
      <c r="C1526" s="4" t="s">
        <v>34</v>
      </c>
      <c r="D1526" s="4" t="s">
        <v>42</v>
      </c>
      <c r="E1526" s="4" t="s">
        <v>25</v>
      </c>
      <c r="F1526" s="4" t="s">
        <v>25</v>
      </c>
      <c r="G1526" s="4" t="s">
        <v>25</v>
      </c>
      <c r="H1526" s="4" t="s">
        <v>35</v>
      </c>
      <c r="I1526" s="5">
        <v>43922</v>
      </c>
      <c r="J1526" s="6">
        <v>0</v>
      </c>
      <c r="K1526" s="6">
        <v>0</v>
      </c>
      <c r="L1526" s="6">
        <v>553.68499999999995</v>
      </c>
      <c r="M1526" s="6">
        <v>553.68499999999995</v>
      </c>
      <c r="N1526" s="6">
        <v>553.68499999999995</v>
      </c>
      <c r="O1526" s="6">
        <v>553.68499999999995</v>
      </c>
      <c r="P1526" s="6">
        <v>0</v>
      </c>
      <c r="Q1526" s="4" t="s">
        <v>26</v>
      </c>
      <c r="R1526" s="4">
        <v>0</v>
      </c>
      <c r="S1526" s="4" t="s">
        <v>437</v>
      </c>
      <c r="T1526" s="4" t="s">
        <v>743</v>
      </c>
      <c r="U1526" s="4">
        <v>0</v>
      </c>
      <c r="V1526" s="4">
        <v>36</v>
      </c>
      <c r="W1526" s="4">
        <v>83</v>
      </c>
    </row>
    <row r="1527" spans="1:23" ht="11.25" customHeight="1" x14ac:dyDescent="0.25">
      <c r="A1527" s="4" t="s">
        <v>27</v>
      </c>
      <c r="B1527" s="4" t="s">
        <v>44</v>
      </c>
      <c r="C1527" s="4" t="s">
        <v>34</v>
      </c>
      <c r="D1527" s="4" t="s">
        <v>42</v>
      </c>
      <c r="E1527" s="4" t="s">
        <v>25</v>
      </c>
      <c r="F1527" s="4" t="s">
        <v>25</v>
      </c>
      <c r="G1527" s="4" t="s">
        <v>25</v>
      </c>
      <c r="H1527" s="4" t="s">
        <v>35</v>
      </c>
      <c r="I1527" s="5">
        <v>43922</v>
      </c>
      <c r="J1527" s="6">
        <v>0</v>
      </c>
      <c r="K1527" s="6">
        <v>0</v>
      </c>
      <c r="L1527" s="6">
        <v>67.489999999999995</v>
      </c>
      <c r="M1527" s="6">
        <v>67.489999999999995</v>
      </c>
      <c r="N1527" s="6">
        <v>67.489999999999995</v>
      </c>
      <c r="O1527" s="6">
        <v>67.489999999999995</v>
      </c>
      <c r="P1527" s="6">
        <v>0</v>
      </c>
      <c r="Q1527" s="4" t="s">
        <v>26</v>
      </c>
      <c r="R1527" s="4">
        <v>0</v>
      </c>
      <c r="S1527" s="4" t="s">
        <v>437</v>
      </c>
      <c r="T1527" s="4" t="s">
        <v>743</v>
      </c>
      <c r="U1527" s="4">
        <v>0</v>
      </c>
      <c r="V1527" s="4">
        <v>36</v>
      </c>
      <c r="W1527" s="4">
        <v>83</v>
      </c>
    </row>
    <row r="1528" spans="1:23" ht="11.25" customHeight="1" x14ac:dyDescent="0.25">
      <c r="A1528" s="4" t="s">
        <v>28</v>
      </c>
      <c r="B1528" s="4" t="s">
        <v>44</v>
      </c>
      <c r="C1528" s="4" t="s">
        <v>34</v>
      </c>
      <c r="D1528" s="4" t="s">
        <v>42</v>
      </c>
      <c r="E1528" s="4" t="s">
        <v>25</v>
      </c>
      <c r="F1528" s="4" t="s">
        <v>25</v>
      </c>
      <c r="G1528" s="4" t="s">
        <v>25</v>
      </c>
      <c r="H1528" s="4" t="s">
        <v>35</v>
      </c>
      <c r="I1528" s="5">
        <v>43922</v>
      </c>
      <c r="J1528" s="6">
        <v>0</v>
      </c>
      <c r="K1528" s="6">
        <v>0</v>
      </c>
      <c r="L1528" s="6">
        <v>53.984999999999999</v>
      </c>
      <c r="M1528" s="6">
        <v>53.984999999999999</v>
      </c>
      <c r="N1528" s="6">
        <v>53.984999999999999</v>
      </c>
      <c r="O1528" s="6">
        <v>53.984999999999999</v>
      </c>
      <c r="P1528" s="6">
        <v>0</v>
      </c>
      <c r="Q1528" s="4" t="s">
        <v>26</v>
      </c>
      <c r="R1528" s="4">
        <v>0</v>
      </c>
      <c r="S1528" s="4" t="s">
        <v>437</v>
      </c>
      <c r="T1528" s="4" t="s">
        <v>743</v>
      </c>
      <c r="U1528" s="4">
        <v>0</v>
      </c>
      <c r="V1528" s="4">
        <v>36</v>
      </c>
      <c r="W1528" s="4">
        <v>83</v>
      </c>
    </row>
    <row r="1529" spans="1:23" ht="11.25" customHeight="1" x14ac:dyDescent="0.25">
      <c r="A1529" s="4" t="s">
        <v>21</v>
      </c>
      <c r="B1529" s="4" t="s">
        <v>44</v>
      </c>
      <c r="C1529" s="4" t="s">
        <v>34</v>
      </c>
      <c r="D1529" s="4" t="s">
        <v>42</v>
      </c>
      <c r="E1529" s="4" t="s">
        <v>25</v>
      </c>
      <c r="F1529" s="4" t="s">
        <v>25</v>
      </c>
      <c r="G1529" s="4" t="s">
        <v>25</v>
      </c>
      <c r="H1529" s="4" t="s">
        <v>35</v>
      </c>
      <c r="I1529" s="5">
        <v>43952</v>
      </c>
      <c r="J1529" s="6">
        <v>0</v>
      </c>
      <c r="K1529" s="6">
        <v>0</v>
      </c>
      <c r="L1529" s="6">
        <v>368.435</v>
      </c>
      <c r="M1529" s="6">
        <v>368.435</v>
      </c>
      <c r="N1529" s="6">
        <v>368.435</v>
      </c>
      <c r="O1529" s="6">
        <v>368.435</v>
      </c>
      <c r="P1529" s="6">
        <v>0</v>
      </c>
      <c r="Q1529" s="4" t="s">
        <v>26</v>
      </c>
      <c r="R1529" s="4">
        <v>0</v>
      </c>
      <c r="S1529" s="4" t="s">
        <v>438</v>
      </c>
      <c r="T1529" s="4" t="s">
        <v>744</v>
      </c>
      <c r="U1529" s="4">
        <v>0</v>
      </c>
      <c r="V1529" s="4">
        <v>36</v>
      </c>
      <c r="W1529" s="4">
        <v>83</v>
      </c>
    </row>
    <row r="1530" spans="1:23" ht="11.25" customHeight="1" x14ac:dyDescent="0.25">
      <c r="A1530" s="4" t="s">
        <v>28</v>
      </c>
      <c r="B1530" s="4" t="s">
        <v>44</v>
      </c>
      <c r="C1530" s="4" t="s">
        <v>34</v>
      </c>
      <c r="D1530" s="4" t="s">
        <v>42</v>
      </c>
      <c r="E1530" s="4" t="s">
        <v>25</v>
      </c>
      <c r="F1530" s="4" t="s">
        <v>25</v>
      </c>
      <c r="G1530" s="4" t="s">
        <v>25</v>
      </c>
      <c r="H1530" s="4" t="s">
        <v>35</v>
      </c>
      <c r="I1530" s="5">
        <v>43952</v>
      </c>
      <c r="J1530" s="6">
        <v>0</v>
      </c>
      <c r="K1530" s="6">
        <v>0</v>
      </c>
      <c r="L1530" s="6">
        <v>32.951000000000001</v>
      </c>
      <c r="M1530" s="6">
        <v>32.951000000000001</v>
      </c>
      <c r="N1530" s="6">
        <v>32.951000000000001</v>
      </c>
      <c r="O1530" s="6">
        <v>32.951000000000001</v>
      </c>
      <c r="P1530" s="6">
        <v>0</v>
      </c>
      <c r="Q1530" s="4" t="s">
        <v>26</v>
      </c>
      <c r="R1530" s="4">
        <v>0</v>
      </c>
      <c r="S1530" s="4" t="s">
        <v>438</v>
      </c>
      <c r="T1530" s="4" t="s">
        <v>744</v>
      </c>
      <c r="U1530" s="4">
        <v>0</v>
      </c>
      <c r="V1530" s="4">
        <v>36</v>
      </c>
      <c r="W1530" s="4">
        <v>83</v>
      </c>
    </row>
    <row r="1531" spans="1:23" ht="11.25" customHeight="1" x14ac:dyDescent="0.25">
      <c r="A1531" s="4" t="s">
        <v>21</v>
      </c>
      <c r="B1531" s="4" t="s">
        <v>44</v>
      </c>
      <c r="C1531" s="4" t="s">
        <v>34</v>
      </c>
      <c r="D1531" s="4" t="s">
        <v>42</v>
      </c>
      <c r="E1531" s="4" t="s">
        <v>25</v>
      </c>
      <c r="F1531" s="4" t="s">
        <v>25</v>
      </c>
      <c r="G1531" s="4" t="s">
        <v>25</v>
      </c>
      <c r="H1531" s="4" t="s">
        <v>35</v>
      </c>
      <c r="I1531" s="5">
        <v>43983</v>
      </c>
      <c r="J1531" s="6">
        <v>0</v>
      </c>
      <c r="K1531" s="6">
        <v>0</v>
      </c>
      <c r="L1531" s="6">
        <v>414.92500000000001</v>
      </c>
      <c r="M1531" s="6">
        <v>414.92500000000001</v>
      </c>
      <c r="N1531" s="6">
        <v>414.92500000000001</v>
      </c>
      <c r="O1531" s="6">
        <v>414.92500000000001</v>
      </c>
      <c r="P1531" s="6">
        <v>0</v>
      </c>
      <c r="Q1531" s="4" t="s">
        <v>26</v>
      </c>
      <c r="R1531" s="4">
        <v>0</v>
      </c>
      <c r="S1531" s="4" t="s">
        <v>439</v>
      </c>
      <c r="T1531" s="4" t="s">
        <v>745</v>
      </c>
      <c r="U1531" s="4">
        <v>0</v>
      </c>
      <c r="V1531" s="4">
        <v>36</v>
      </c>
      <c r="W1531" s="4">
        <v>83</v>
      </c>
    </row>
    <row r="1532" spans="1:23" ht="11.25" customHeight="1" x14ac:dyDescent="0.25">
      <c r="A1532" s="4" t="s">
        <v>27</v>
      </c>
      <c r="B1532" s="4" t="s">
        <v>44</v>
      </c>
      <c r="C1532" s="4" t="s">
        <v>34</v>
      </c>
      <c r="D1532" s="4" t="s">
        <v>42</v>
      </c>
      <c r="E1532" s="4" t="s">
        <v>25</v>
      </c>
      <c r="F1532" s="4" t="s">
        <v>25</v>
      </c>
      <c r="G1532" s="4" t="s">
        <v>25</v>
      </c>
      <c r="H1532" s="4" t="s">
        <v>35</v>
      </c>
      <c r="I1532" s="5">
        <v>43983</v>
      </c>
      <c r="J1532" s="6">
        <v>0</v>
      </c>
      <c r="K1532" s="6">
        <v>0</v>
      </c>
      <c r="L1532" s="6">
        <v>14.092000000000001</v>
      </c>
      <c r="M1532" s="6">
        <v>14.092000000000001</v>
      </c>
      <c r="N1532" s="6">
        <v>14.092000000000001</v>
      </c>
      <c r="O1532" s="6">
        <v>14.092000000000001</v>
      </c>
      <c r="P1532" s="6">
        <v>0</v>
      </c>
      <c r="Q1532" s="4" t="s">
        <v>26</v>
      </c>
      <c r="R1532" s="4">
        <v>0</v>
      </c>
      <c r="S1532" s="4" t="s">
        <v>439</v>
      </c>
      <c r="T1532" s="4" t="s">
        <v>745</v>
      </c>
      <c r="U1532" s="4">
        <v>0</v>
      </c>
      <c r="V1532" s="4">
        <v>36</v>
      </c>
      <c r="W1532" s="4">
        <v>83</v>
      </c>
    </row>
    <row r="1533" spans="1:23" ht="11.25" customHeight="1" x14ac:dyDescent="0.25">
      <c r="A1533" s="4" t="s">
        <v>28</v>
      </c>
      <c r="B1533" s="4" t="s">
        <v>44</v>
      </c>
      <c r="C1533" s="4" t="s">
        <v>34</v>
      </c>
      <c r="D1533" s="4" t="s">
        <v>42</v>
      </c>
      <c r="E1533" s="4" t="s">
        <v>25</v>
      </c>
      <c r="F1533" s="4" t="s">
        <v>25</v>
      </c>
      <c r="G1533" s="4" t="s">
        <v>25</v>
      </c>
      <c r="H1533" s="4" t="s">
        <v>35</v>
      </c>
      <c r="I1533" s="5">
        <v>43983</v>
      </c>
      <c r="J1533" s="6">
        <v>0</v>
      </c>
      <c r="K1533" s="6">
        <v>0</v>
      </c>
      <c r="L1533" s="6">
        <v>33.442</v>
      </c>
      <c r="M1533" s="6">
        <v>33.442</v>
      </c>
      <c r="N1533" s="6">
        <v>33.442</v>
      </c>
      <c r="O1533" s="6">
        <v>33.442</v>
      </c>
      <c r="P1533" s="6">
        <v>0</v>
      </c>
      <c r="Q1533" s="4" t="s">
        <v>26</v>
      </c>
      <c r="R1533" s="4">
        <v>0</v>
      </c>
      <c r="S1533" s="4" t="s">
        <v>439</v>
      </c>
      <c r="T1533" s="4" t="s">
        <v>745</v>
      </c>
      <c r="U1533" s="4">
        <v>0</v>
      </c>
      <c r="V1533" s="4">
        <v>36</v>
      </c>
      <c r="W1533" s="4">
        <v>83</v>
      </c>
    </row>
    <row r="1534" spans="1:23" ht="11.25" customHeight="1" x14ac:dyDescent="0.25">
      <c r="A1534" s="4" t="s">
        <v>21</v>
      </c>
      <c r="B1534" s="4" t="s">
        <v>44</v>
      </c>
      <c r="C1534" s="4" t="s">
        <v>34</v>
      </c>
      <c r="D1534" s="4" t="s">
        <v>42</v>
      </c>
      <c r="E1534" s="4" t="s">
        <v>25</v>
      </c>
      <c r="F1534" s="4" t="s">
        <v>25</v>
      </c>
      <c r="G1534" s="4" t="s">
        <v>25</v>
      </c>
      <c r="H1534" s="4" t="s">
        <v>35</v>
      </c>
      <c r="I1534" s="5">
        <v>44013</v>
      </c>
      <c r="J1534" s="6">
        <v>0</v>
      </c>
      <c r="K1534" s="6">
        <v>0</v>
      </c>
      <c r="L1534" s="6">
        <v>344.95</v>
      </c>
      <c r="M1534" s="6">
        <v>344.95</v>
      </c>
      <c r="N1534" s="6">
        <v>344.95</v>
      </c>
      <c r="O1534" s="6">
        <v>344.95</v>
      </c>
      <c r="P1534" s="6">
        <v>0</v>
      </c>
      <c r="Q1534" s="4" t="s">
        <v>26</v>
      </c>
      <c r="R1534" s="4">
        <v>0</v>
      </c>
      <c r="S1534" s="4" t="s">
        <v>440</v>
      </c>
      <c r="T1534" s="4" t="s">
        <v>746</v>
      </c>
      <c r="U1534" s="4">
        <v>0</v>
      </c>
      <c r="V1534" s="4">
        <v>36</v>
      </c>
      <c r="W1534" s="4">
        <v>83</v>
      </c>
    </row>
    <row r="1535" spans="1:23" ht="11.25" customHeight="1" x14ac:dyDescent="0.25">
      <c r="A1535" s="4" t="s">
        <v>27</v>
      </c>
      <c r="B1535" s="4" t="s">
        <v>44</v>
      </c>
      <c r="C1535" s="4" t="s">
        <v>34</v>
      </c>
      <c r="D1535" s="4" t="s">
        <v>42</v>
      </c>
      <c r="E1535" s="4" t="s">
        <v>25</v>
      </c>
      <c r="F1535" s="4" t="s">
        <v>25</v>
      </c>
      <c r="G1535" s="4" t="s">
        <v>25</v>
      </c>
      <c r="H1535" s="4" t="s">
        <v>35</v>
      </c>
      <c r="I1535" s="5">
        <v>44013</v>
      </c>
      <c r="J1535" s="6">
        <v>0</v>
      </c>
      <c r="K1535" s="6">
        <v>0</v>
      </c>
      <c r="L1535" s="6">
        <v>12.898999999999999</v>
      </c>
      <c r="M1535" s="6">
        <v>12.898999999999999</v>
      </c>
      <c r="N1535" s="6">
        <v>12.898999999999999</v>
      </c>
      <c r="O1535" s="6">
        <v>12.898999999999999</v>
      </c>
      <c r="P1535" s="6">
        <v>0</v>
      </c>
      <c r="Q1535" s="4" t="s">
        <v>26</v>
      </c>
      <c r="R1535" s="4">
        <v>0</v>
      </c>
      <c r="S1535" s="4" t="s">
        <v>440</v>
      </c>
      <c r="T1535" s="4" t="s">
        <v>746</v>
      </c>
      <c r="U1535" s="4">
        <v>0</v>
      </c>
      <c r="V1535" s="4">
        <v>36</v>
      </c>
      <c r="W1535" s="4">
        <v>83</v>
      </c>
    </row>
    <row r="1536" spans="1:23" ht="11.25" customHeight="1" x14ac:dyDescent="0.25">
      <c r="A1536" s="4" t="s">
        <v>28</v>
      </c>
      <c r="B1536" s="4" t="s">
        <v>44</v>
      </c>
      <c r="C1536" s="4" t="s">
        <v>34</v>
      </c>
      <c r="D1536" s="4" t="s">
        <v>42</v>
      </c>
      <c r="E1536" s="4" t="s">
        <v>25</v>
      </c>
      <c r="F1536" s="4" t="s">
        <v>25</v>
      </c>
      <c r="G1536" s="4" t="s">
        <v>25</v>
      </c>
      <c r="H1536" s="4" t="s">
        <v>35</v>
      </c>
      <c r="I1536" s="5">
        <v>44013</v>
      </c>
      <c r="J1536" s="6">
        <v>0</v>
      </c>
      <c r="K1536" s="6">
        <v>0</v>
      </c>
      <c r="L1536" s="6">
        <v>26.837</v>
      </c>
      <c r="M1536" s="6">
        <v>26.837</v>
      </c>
      <c r="N1536" s="6">
        <v>26.837</v>
      </c>
      <c r="O1536" s="6">
        <v>26.837</v>
      </c>
      <c r="P1536" s="6">
        <v>0</v>
      </c>
      <c r="Q1536" s="4" t="s">
        <v>26</v>
      </c>
      <c r="R1536" s="4">
        <v>0</v>
      </c>
      <c r="S1536" s="4" t="s">
        <v>440</v>
      </c>
      <c r="T1536" s="4" t="s">
        <v>746</v>
      </c>
      <c r="U1536" s="4">
        <v>0</v>
      </c>
      <c r="V1536" s="4">
        <v>36</v>
      </c>
      <c r="W1536" s="4">
        <v>83</v>
      </c>
    </row>
    <row r="1537" spans="1:23" ht="11.25" customHeight="1" x14ac:dyDescent="0.25">
      <c r="A1537" s="4" t="s">
        <v>21</v>
      </c>
      <c r="B1537" s="4" t="s">
        <v>44</v>
      </c>
      <c r="C1537" s="4" t="s">
        <v>34</v>
      </c>
      <c r="D1537" s="4" t="s">
        <v>42</v>
      </c>
      <c r="E1537" s="4" t="s">
        <v>25</v>
      </c>
      <c r="F1537" s="4" t="s">
        <v>25</v>
      </c>
      <c r="G1537" s="4" t="s">
        <v>25</v>
      </c>
      <c r="H1537" s="4" t="s">
        <v>35</v>
      </c>
      <c r="I1537" s="5">
        <v>44044</v>
      </c>
      <c r="J1537" s="6">
        <v>0</v>
      </c>
      <c r="K1537" s="6">
        <v>0</v>
      </c>
      <c r="L1537" s="6">
        <v>382.06700000000001</v>
      </c>
      <c r="M1537" s="6">
        <v>382.06700000000001</v>
      </c>
      <c r="N1537" s="6">
        <v>382.06700000000001</v>
      </c>
      <c r="O1537" s="6">
        <v>382.06700000000001</v>
      </c>
      <c r="P1537" s="6">
        <v>0</v>
      </c>
      <c r="Q1537" s="4" t="s">
        <v>26</v>
      </c>
      <c r="R1537" s="4">
        <v>0</v>
      </c>
      <c r="S1537" s="4" t="s">
        <v>441</v>
      </c>
      <c r="T1537" s="4" t="s">
        <v>747</v>
      </c>
      <c r="U1537" s="4">
        <v>0</v>
      </c>
      <c r="V1537" s="4">
        <v>36</v>
      </c>
      <c r="W1537" s="4">
        <v>83</v>
      </c>
    </row>
    <row r="1538" spans="1:23" ht="11.25" customHeight="1" x14ac:dyDescent="0.25">
      <c r="A1538" s="4" t="s">
        <v>27</v>
      </c>
      <c r="B1538" s="4" t="s">
        <v>44</v>
      </c>
      <c r="C1538" s="4" t="s">
        <v>34</v>
      </c>
      <c r="D1538" s="4" t="s">
        <v>42</v>
      </c>
      <c r="E1538" s="4" t="s">
        <v>25</v>
      </c>
      <c r="F1538" s="4" t="s">
        <v>25</v>
      </c>
      <c r="G1538" s="4" t="s">
        <v>25</v>
      </c>
      <c r="H1538" s="4" t="s">
        <v>35</v>
      </c>
      <c r="I1538" s="5">
        <v>44044</v>
      </c>
      <c r="J1538" s="6">
        <v>0</v>
      </c>
      <c r="K1538" s="6">
        <v>0</v>
      </c>
      <c r="L1538" s="6">
        <v>14.215999999999999</v>
      </c>
      <c r="M1538" s="6">
        <v>14.215999999999999</v>
      </c>
      <c r="N1538" s="6">
        <v>14.215999999999999</v>
      </c>
      <c r="O1538" s="6">
        <v>14.215999999999999</v>
      </c>
      <c r="P1538" s="6">
        <v>0</v>
      </c>
      <c r="Q1538" s="4" t="s">
        <v>26</v>
      </c>
      <c r="R1538" s="4">
        <v>0</v>
      </c>
      <c r="S1538" s="4" t="s">
        <v>441</v>
      </c>
      <c r="T1538" s="4" t="s">
        <v>747</v>
      </c>
      <c r="U1538" s="4">
        <v>0</v>
      </c>
      <c r="V1538" s="4">
        <v>36</v>
      </c>
      <c r="W1538" s="4">
        <v>83</v>
      </c>
    </row>
    <row r="1539" spans="1:23" ht="11.25" customHeight="1" x14ac:dyDescent="0.25">
      <c r="A1539" s="4" t="s">
        <v>28</v>
      </c>
      <c r="B1539" s="4" t="s">
        <v>44</v>
      </c>
      <c r="C1539" s="4" t="s">
        <v>34</v>
      </c>
      <c r="D1539" s="4" t="s">
        <v>42</v>
      </c>
      <c r="E1539" s="4" t="s">
        <v>25</v>
      </c>
      <c r="F1539" s="4" t="s">
        <v>25</v>
      </c>
      <c r="G1539" s="4" t="s">
        <v>25</v>
      </c>
      <c r="H1539" s="4" t="s">
        <v>35</v>
      </c>
      <c r="I1539" s="5">
        <v>44044</v>
      </c>
      <c r="J1539" s="6">
        <v>0</v>
      </c>
      <c r="K1539" s="6">
        <v>0</v>
      </c>
      <c r="L1539" s="6">
        <v>32.156999999999996</v>
      </c>
      <c r="M1539" s="6">
        <v>32.156999999999996</v>
      </c>
      <c r="N1539" s="6">
        <v>32.156999999999996</v>
      </c>
      <c r="O1539" s="6">
        <v>32.156999999999996</v>
      </c>
      <c r="P1539" s="6">
        <v>0</v>
      </c>
      <c r="Q1539" s="4" t="s">
        <v>26</v>
      </c>
      <c r="R1539" s="4">
        <v>0</v>
      </c>
      <c r="S1539" s="4" t="s">
        <v>441</v>
      </c>
      <c r="T1539" s="4" t="s">
        <v>747</v>
      </c>
      <c r="U1539" s="4">
        <v>0</v>
      </c>
      <c r="V1539" s="4">
        <v>36</v>
      </c>
      <c r="W1539" s="4">
        <v>83</v>
      </c>
    </row>
    <row r="1540" spans="1:23" ht="11.25" customHeight="1" x14ac:dyDescent="0.25">
      <c r="A1540" s="4" t="s">
        <v>59</v>
      </c>
      <c r="B1540" s="4" t="s">
        <v>44</v>
      </c>
      <c r="C1540" s="4" t="s">
        <v>34</v>
      </c>
      <c r="D1540" s="4" t="s">
        <v>42</v>
      </c>
      <c r="E1540" s="4" t="s">
        <v>25</v>
      </c>
      <c r="F1540" s="4" t="s">
        <v>25</v>
      </c>
      <c r="G1540" s="4" t="s">
        <v>25</v>
      </c>
      <c r="H1540" s="4" t="s">
        <v>35</v>
      </c>
      <c r="I1540" s="5">
        <v>44075</v>
      </c>
      <c r="J1540" s="6">
        <v>0</v>
      </c>
      <c r="K1540" s="6">
        <v>0</v>
      </c>
      <c r="L1540" s="6">
        <v>382.06700000000001</v>
      </c>
      <c r="M1540" s="6">
        <v>382.06700000000001</v>
      </c>
      <c r="N1540" s="6">
        <v>382.06700000000001</v>
      </c>
      <c r="O1540" s="6">
        <v>382.06700000000001</v>
      </c>
      <c r="P1540" s="6">
        <v>0</v>
      </c>
      <c r="Q1540" s="4" t="s">
        <v>26</v>
      </c>
      <c r="R1540" s="4">
        <v>0</v>
      </c>
      <c r="S1540" s="4" t="s">
        <v>442</v>
      </c>
      <c r="T1540" s="4" t="s">
        <v>748</v>
      </c>
      <c r="U1540" s="4">
        <v>0</v>
      </c>
      <c r="V1540" s="4">
        <v>36</v>
      </c>
      <c r="W1540" s="4">
        <v>83</v>
      </c>
    </row>
    <row r="1541" spans="1:23" ht="11.25" customHeight="1" x14ac:dyDescent="0.25">
      <c r="A1541" s="4" t="s">
        <v>59</v>
      </c>
      <c r="B1541" s="4" t="s">
        <v>44</v>
      </c>
      <c r="C1541" s="4" t="s">
        <v>34</v>
      </c>
      <c r="D1541" s="4" t="s">
        <v>42</v>
      </c>
      <c r="E1541" s="4" t="s">
        <v>25</v>
      </c>
      <c r="F1541" s="4" t="s">
        <v>25</v>
      </c>
      <c r="G1541" s="4" t="s">
        <v>25</v>
      </c>
      <c r="H1541" s="4" t="s">
        <v>35</v>
      </c>
      <c r="I1541" s="5">
        <v>44075</v>
      </c>
      <c r="J1541" s="6">
        <v>0</v>
      </c>
      <c r="K1541" s="6">
        <v>0</v>
      </c>
      <c r="L1541" s="6">
        <v>14.215999999999999</v>
      </c>
      <c r="M1541" s="6">
        <v>14.215999999999999</v>
      </c>
      <c r="N1541" s="6">
        <v>14.215999999999999</v>
      </c>
      <c r="O1541" s="6">
        <v>14.215999999999999</v>
      </c>
      <c r="P1541" s="6">
        <v>0</v>
      </c>
      <c r="Q1541" s="4" t="s">
        <v>26</v>
      </c>
      <c r="R1541" s="4">
        <v>0</v>
      </c>
      <c r="S1541" s="4" t="s">
        <v>442</v>
      </c>
      <c r="T1541" s="4" t="s">
        <v>748</v>
      </c>
      <c r="U1541" s="4">
        <v>0</v>
      </c>
      <c r="V1541" s="4">
        <v>36</v>
      </c>
      <c r="W1541" s="4">
        <v>83</v>
      </c>
    </row>
    <row r="1542" spans="1:23" ht="11.25" customHeight="1" x14ac:dyDescent="0.25">
      <c r="A1542" s="4" t="s">
        <v>59</v>
      </c>
      <c r="B1542" s="4" t="s">
        <v>44</v>
      </c>
      <c r="C1542" s="4" t="s">
        <v>34</v>
      </c>
      <c r="D1542" s="4" t="s">
        <v>42</v>
      </c>
      <c r="E1542" s="4" t="s">
        <v>25</v>
      </c>
      <c r="F1542" s="4" t="s">
        <v>25</v>
      </c>
      <c r="G1542" s="4" t="s">
        <v>25</v>
      </c>
      <c r="H1542" s="4" t="s">
        <v>35</v>
      </c>
      <c r="I1542" s="5">
        <v>44075</v>
      </c>
      <c r="J1542" s="6">
        <v>0</v>
      </c>
      <c r="K1542" s="6">
        <v>0</v>
      </c>
      <c r="L1542" s="6">
        <v>32.156999999999996</v>
      </c>
      <c r="M1542" s="6">
        <v>32.156999999999996</v>
      </c>
      <c r="N1542" s="6">
        <v>32.156999999999996</v>
      </c>
      <c r="O1542" s="6">
        <v>32.156999999999996</v>
      </c>
      <c r="P1542" s="6">
        <v>0</v>
      </c>
      <c r="Q1542" s="4" t="s">
        <v>26</v>
      </c>
      <c r="R1542" s="4">
        <v>0</v>
      </c>
      <c r="S1542" s="4" t="s">
        <v>442</v>
      </c>
      <c r="T1542" s="4" t="s">
        <v>748</v>
      </c>
      <c r="U1542" s="4">
        <v>0</v>
      </c>
      <c r="V1542" s="4">
        <v>36</v>
      </c>
      <c r="W1542" s="4">
        <v>83</v>
      </c>
    </row>
    <row r="1543" spans="1:23" ht="11.25" customHeight="1" x14ac:dyDescent="0.25">
      <c r="A1543" s="4" t="s">
        <v>21</v>
      </c>
      <c r="B1543" s="4" t="s">
        <v>44</v>
      </c>
      <c r="C1543" s="4" t="s">
        <v>34</v>
      </c>
      <c r="D1543" s="4" t="s">
        <v>40</v>
      </c>
      <c r="E1543" s="4" t="s">
        <v>25</v>
      </c>
      <c r="F1543" s="4" t="s">
        <v>63</v>
      </c>
      <c r="G1543" s="4" t="s">
        <v>25</v>
      </c>
      <c r="H1543" s="4" t="s">
        <v>36</v>
      </c>
      <c r="I1543" s="5">
        <v>43739</v>
      </c>
      <c r="J1543" s="6">
        <v>0</v>
      </c>
      <c r="K1543" s="6">
        <v>0</v>
      </c>
      <c r="L1543" s="6">
        <v>2216.1469999999999</v>
      </c>
      <c r="M1543" s="6">
        <v>2216.1469999999999</v>
      </c>
      <c r="N1543" s="6">
        <v>0</v>
      </c>
      <c r="O1543" s="6">
        <v>0</v>
      </c>
      <c r="P1543" s="6">
        <v>0</v>
      </c>
      <c r="Q1543" s="4" t="s">
        <v>60</v>
      </c>
      <c r="R1543" s="4">
        <v>0</v>
      </c>
      <c r="S1543" s="4" t="s">
        <v>407</v>
      </c>
      <c r="U1543" s="4">
        <v>0</v>
      </c>
      <c r="V1543" s="4">
        <v>37</v>
      </c>
      <c r="W1543" s="4">
        <v>0</v>
      </c>
    </row>
    <row r="1544" spans="1:23" ht="11.25" customHeight="1" x14ac:dyDescent="0.25">
      <c r="A1544" s="4" t="s">
        <v>21</v>
      </c>
      <c r="B1544" s="4" t="s">
        <v>44</v>
      </c>
      <c r="C1544" s="4" t="s">
        <v>34</v>
      </c>
      <c r="D1544" s="4" t="s">
        <v>40</v>
      </c>
      <c r="E1544" s="4" t="s">
        <v>25</v>
      </c>
      <c r="F1544" s="4" t="s">
        <v>63</v>
      </c>
      <c r="G1544" s="4" t="s">
        <v>25</v>
      </c>
      <c r="H1544" s="4" t="s">
        <v>36</v>
      </c>
      <c r="I1544" s="5">
        <v>43770</v>
      </c>
      <c r="J1544" s="6">
        <v>0</v>
      </c>
      <c r="K1544" s="6">
        <v>0</v>
      </c>
      <c r="L1544" s="6">
        <v>2075.64</v>
      </c>
      <c r="M1544" s="6">
        <v>2075.64</v>
      </c>
      <c r="N1544" s="6">
        <v>0</v>
      </c>
      <c r="O1544" s="6">
        <v>0</v>
      </c>
      <c r="P1544" s="6">
        <v>0</v>
      </c>
      <c r="Q1544" s="4" t="s">
        <v>60</v>
      </c>
      <c r="R1544" s="4">
        <v>0</v>
      </c>
      <c r="S1544" s="4" t="s">
        <v>408</v>
      </c>
      <c r="U1544" s="4">
        <v>0</v>
      </c>
      <c r="V1544" s="4">
        <v>37</v>
      </c>
      <c r="W1544" s="4">
        <v>0</v>
      </c>
    </row>
    <row r="1545" spans="1:23" ht="11.25" customHeight="1" x14ac:dyDescent="0.25">
      <c r="A1545" s="4" t="s">
        <v>21</v>
      </c>
      <c r="B1545" s="4" t="s">
        <v>44</v>
      </c>
      <c r="C1545" s="4" t="s">
        <v>34</v>
      </c>
      <c r="D1545" s="4" t="s">
        <v>40</v>
      </c>
      <c r="E1545" s="4" t="s">
        <v>25</v>
      </c>
      <c r="F1545" s="4" t="s">
        <v>63</v>
      </c>
      <c r="G1545" s="4" t="s">
        <v>25</v>
      </c>
      <c r="H1545" s="4" t="s">
        <v>36</v>
      </c>
      <c r="I1545" s="5">
        <v>43800</v>
      </c>
      <c r="J1545" s="6">
        <v>0</v>
      </c>
      <c r="K1545" s="6">
        <v>0</v>
      </c>
      <c r="L1545" s="6">
        <v>2183.33</v>
      </c>
      <c r="M1545" s="6">
        <v>2183.33</v>
      </c>
      <c r="N1545" s="6">
        <v>0</v>
      </c>
      <c r="O1545" s="6">
        <v>0</v>
      </c>
      <c r="P1545" s="6">
        <v>0</v>
      </c>
      <c r="Q1545" s="4" t="s">
        <v>60</v>
      </c>
      <c r="R1545" s="4">
        <v>0</v>
      </c>
      <c r="S1545" s="4" t="s">
        <v>409</v>
      </c>
      <c r="U1545" s="4">
        <v>0</v>
      </c>
      <c r="V1545" s="4">
        <v>37</v>
      </c>
      <c r="W1545" s="4">
        <v>0</v>
      </c>
    </row>
    <row r="1546" spans="1:23" ht="11.25" customHeight="1" x14ac:dyDescent="0.25">
      <c r="A1546" s="4" t="s">
        <v>21</v>
      </c>
      <c r="B1546" s="4" t="s">
        <v>44</v>
      </c>
      <c r="C1546" s="4" t="s">
        <v>34</v>
      </c>
      <c r="D1546" s="4" t="s">
        <v>40</v>
      </c>
      <c r="E1546" s="4" t="s">
        <v>25</v>
      </c>
      <c r="F1546" s="4" t="s">
        <v>63</v>
      </c>
      <c r="G1546" s="4" t="s">
        <v>25</v>
      </c>
      <c r="H1546" s="4" t="s">
        <v>36</v>
      </c>
      <c r="I1546" s="5">
        <v>43831</v>
      </c>
      <c r="J1546" s="6">
        <v>0</v>
      </c>
      <c r="K1546" s="6">
        <v>0</v>
      </c>
      <c r="L1546" s="6">
        <v>2192.85</v>
      </c>
      <c r="M1546" s="6">
        <v>2192.85</v>
      </c>
      <c r="N1546" s="6">
        <v>0</v>
      </c>
      <c r="O1546" s="6">
        <v>0</v>
      </c>
      <c r="P1546" s="6">
        <v>0</v>
      </c>
      <c r="Q1546" s="4" t="s">
        <v>60</v>
      </c>
      <c r="R1546" s="4">
        <v>0</v>
      </c>
      <c r="S1546" s="4" t="s">
        <v>410</v>
      </c>
      <c r="U1546" s="4">
        <v>0</v>
      </c>
      <c r="V1546" s="4">
        <v>37</v>
      </c>
      <c r="W1546" s="4">
        <v>0</v>
      </c>
    </row>
    <row r="1547" spans="1:23" ht="11.25" customHeight="1" x14ac:dyDescent="0.25">
      <c r="A1547" s="4" t="s">
        <v>21</v>
      </c>
      <c r="B1547" s="4" t="s">
        <v>44</v>
      </c>
      <c r="C1547" s="4" t="s">
        <v>34</v>
      </c>
      <c r="D1547" s="4" t="s">
        <v>40</v>
      </c>
      <c r="E1547" s="4" t="s">
        <v>25</v>
      </c>
      <c r="F1547" s="4" t="s">
        <v>63</v>
      </c>
      <c r="G1547" s="4" t="s">
        <v>25</v>
      </c>
      <c r="H1547" s="4" t="s">
        <v>36</v>
      </c>
      <c r="I1547" s="5">
        <v>43862</v>
      </c>
      <c r="J1547" s="6">
        <v>0</v>
      </c>
      <c r="K1547" s="6">
        <v>0</v>
      </c>
      <c r="L1547" s="6">
        <v>1960.819</v>
      </c>
      <c r="M1547" s="6">
        <v>1960.819</v>
      </c>
      <c r="N1547" s="6">
        <v>0</v>
      </c>
      <c r="O1547" s="6">
        <v>0</v>
      </c>
      <c r="P1547" s="6">
        <v>0</v>
      </c>
      <c r="Q1547" s="4" t="s">
        <v>60</v>
      </c>
      <c r="R1547" s="4">
        <v>0</v>
      </c>
      <c r="S1547" s="4" t="s">
        <v>411</v>
      </c>
      <c r="U1547" s="4">
        <v>0</v>
      </c>
      <c r="V1547" s="4">
        <v>37</v>
      </c>
      <c r="W1547" s="4">
        <v>0</v>
      </c>
    </row>
    <row r="1548" spans="1:23" ht="11.25" customHeight="1" x14ac:dyDescent="0.25">
      <c r="A1548" s="4" t="s">
        <v>21</v>
      </c>
      <c r="B1548" s="4" t="s">
        <v>44</v>
      </c>
      <c r="C1548" s="4" t="s">
        <v>34</v>
      </c>
      <c r="D1548" s="4" t="s">
        <v>40</v>
      </c>
      <c r="E1548" s="4" t="s">
        <v>25</v>
      </c>
      <c r="F1548" s="4" t="s">
        <v>63</v>
      </c>
      <c r="G1548" s="4" t="s">
        <v>25</v>
      </c>
      <c r="H1548" s="4" t="s">
        <v>36</v>
      </c>
      <c r="I1548" s="5">
        <v>43891</v>
      </c>
      <c r="J1548" s="6">
        <v>0</v>
      </c>
      <c r="K1548" s="6">
        <v>0</v>
      </c>
      <c r="L1548" s="6">
        <v>2094.172</v>
      </c>
      <c r="M1548" s="6">
        <v>2094.172</v>
      </c>
      <c r="N1548" s="6">
        <v>0</v>
      </c>
      <c r="O1548" s="6">
        <v>0</v>
      </c>
      <c r="P1548" s="6">
        <v>0</v>
      </c>
      <c r="Q1548" s="4" t="s">
        <v>60</v>
      </c>
      <c r="R1548" s="4">
        <v>0</v>
      </c>
      <c r="S1548" s="4" t="s">
        <v>412</v>
      </c>
      <c r="U1548" s="4">
        <v>0</v>
      </c>
      <c r="V1548" s="4">
        <v>37</v>
      </c>
      <c r="W1548" s="4">
        <v>0</v>
      </c>
    </row>
    <row r="1549" spans="1:23" ht="11.25" customHeight="1" x14ac:dyDescent="0.25">
      <c r="A1549" s="4" t="s">
        <v>21</v>
      </c>
      <c r="B1549" s="4" t="s">
        <v>44</v>
      </c>
      <c r="C1549" s="4" t="s">
        <v>34</v>
      </c>
      <c r="D1549" s="4" t="s">
        <v>40</v>
      </c>
      <c r="E1549" s="4" t="s">
        <v>25</v>
      </c>
      <c r="F1549" s="4" t="s">
        <v>63</v>
      </c>
      <c r="G1549" s="4" t="s">
        <v>25</v>
      </c>
      <c r="H1549" s="4" t="s">
        <v>36</v>
      </c>
      <c r="I1549" s="5">
        <v>43922</v>
      </c>
      <c r="J1549" s="6">
        <v>0</v>
      </c>
      <c r="K1549" s="6">
        <v>0</v>
      </c>
      <c r="L1549" s="6">
        <v>1934.481</v>
      </c>
      <c r="M1549" s="6">
        <v>1934.481</v>
      </c>
      <c r="N1549" s="6">
        <v>0</v>
      </c>
      <c r="O1549" s="6">
        <v>0</v>
      </c>
      <c r="P1549" s="6">
        <v>0</v>
      </c>
      <c r="Q1549" s="4" t="s">
        <v>60</v>
      </c>
      <c r="R1549" s="4">
        <v>0</v>
      </c>
      <c r="S1549" s="4" t="s">
        <v>413</v>
      </c>
      <c r="U1549" s="4">
        <v>0</v>
      </c>
      <c r="V1549" s="4">
        <v>37</v>
      </c>
      <c r="W1549" s="4">
        <v>0</v>
      </c>
    </row>
    <row r="1550" spans="1:23" ht="11.25" customHeight="1" x14ac:dyDescent="0.25">
      <c r="A1550" s="4" t="s">
        <v>21</v>
      </c>
      <c r="B1550" s="4" t="s">
        <v>44</v>
      </c>
      <c r="C1550" s="4" t="s">
        <v>34</v>
      </c>
      <c r="D1550" s="4" t="s">
        <v>40</v>
      </c>
      <c r="E1550" s="4" t="s">
        <v>25</v>
      </c>
      <c r="F1550" s="4" t="s">
        <v>63</v>
      </c>
      <c r="G1550" s="4" t="s">
        <v>25</v>
      </c>
      <c r="H1550" s="4" t="s">
        <v>36</v>
      </c>
      <c r="I1550" s="5">
        <v>43952</v>
      </c>
      <c r="J1550" s="6">
        <v>0</v>
      </c>
      <c r="K1550" s="6">
        <v>0</v>
      </c>
      <c r="L1550" s="6">
        <v>1943.2639999999999</v>
      </c>
      <c r="M1550" s="6">
        <v>1943.2639999999999</v>
      </c>
      <c r="N1550" s="6">
        <v>0</v>
      </c>
      <c r="O1550" s="6">
        <v>0</v>
      </c>
      <c r="P1550" s="6">
        <v>0</v>
      </c>
      <c r="Q1550" s="4" t="s">
        <v>60</v>
      </c>
      <c r="R1550" s="4">
        <v>0</v>
      </c>
      <c r="S1550" s="4" t="s">
        <v>414</v>
      </c>
      <c r="U1550" s="4">
        <v>0</v>
      </c>
      <c r="V1550" s="4">
        <v>37</v>
      </c>
      <c r="W1550" s="4">
        <v>0</v>
      </c>
    </row>
    <row r="1551" spans="1:23" ht="11.25" customHeight="1" x14ac:dyDescent="0.25">
      <c r="A1551" s="4" t="s">
        <v>21</v>
      </c>
      <c r="B1551" s="4" t="s">
        <v>44</v>
      </c>
      <c r="C1551" s="4" t="s">
        <v>34</v>
      </c>
      <c r="D1551" s="4" t="s">
        <v>40</v>
      </c>
      <c r="E1551" s="4" t="s">
        <v>25</v>
      </c>
      <c r="F1551" s="4" t="s">
        <v>63</v>
      </c>
      <c r="G1551" s="4" t="s">
        <v>25</v>
      </c>
      <c r="H1551" s="4" t="s">
        <v>36</v>
      </c>
      <c r="I1551" s="5">
        <v>43983</v>
      </c>
      <c r="J1551" s="6">
        <v>0</v>
      </c>
      <c r="K1551" s="6">
        <v>0</v>
      </c>
      <c r="L1551" s="6">
        <v>1943.2639999999999</v>
      </c>
      <c r="M1551" s="6">
        <v>1943.2639999999999</v>
      </c>
      <c r="N1551" s="6">
        <v>0</v>
      </c>
      <c r="O1551" s="6">
        <v>0</v>
      </c>
      <c r="P1551" s="6">
        <v>0</v>
      </c>
      <c r="Q1551" s="4" t="s">
        <v>60</v>
      </c>
      <c r="R1551" s="4">
        <v>0</v>
      </c>
      <c r="S1551" s="4" t="s">
        <v>415</v>
      </c>
      <c r="U1551" s="4">
        <v>0</v>
      </c>
      <c r="V1551" s="4">
        <v>37</v>
      </c>
      <c r="W1551" s="4">
        <v>0</v>
      </c>
    </row>
    <row r="1552" spans="1:23" ht="11.25" customHeight="1" x14ac:dyDescent="0.25">
      <c r="A1552" s="4" t="s">
        <v>21</v>
      </c>
      <c r="B1552" s="4" t="s">
        <v>44</v>
      </c>
      <c r="C1552" s="4" t="s">
        <v>34</v>
      </c>
      <c r="D1552" s="4" t="s">
        <v>40</v>
      </c>
      <c r="E1552" s="4" t="s">
        <v>25</v>
      </c>
      <c r="F1552" s="4" t="s">
        <v>63</v>
      </c>
      <c r="G1552" s="4" t="s">
        <v>25</v>
      </c>
      <c r="H1552" s="4" t="s">
        <v>36</v>
      </c>
      <c r="I1552" s="5">
        <v>44013</v>
      </c>
      <c r="J1552" s="6">
        <v>0</v>
      </c>
      <c r="K1552" s="6">
        <v>0</v>
      </c>
      <c r="L1552" s="6">
        <v>1682.3130000000001</v>
      </c>
      <c r="M1552" s="6">
        <v>1682.3130000000001</v>
      </c>
      <c r="N1552" s="6">
        <v>0</v>
      </c>
      <c r="O1552" s="6">
        <v>0</v>
      </c>
      <c r="P1552" s="6">
        <v>0</v>
      </c>
      <c r="Q1552" s="4" t="s">
        <v>60</v>
      </c>
      <c r="R1552" s="4">
        <v>0</v>
      </c>
      <c r="S1552" s="4" t="s">
        <v>416</v>
      </c>
      <c r="U1552" s="4">
        <v>0</v>
      </c>
      <c r="V1552" s="4">
        <v>37</v>
      </c>
      <c r="W1552" s="4">
        <v>0</v>
      </c>
    </row>
    <row r="1553" spans="1:23" ht="11.25" customHeight="1" x14ac:dyDescent="0.25">
      <c r="A1553" s="4" t="s">
        <v>21</v>
      </c>
      <c r="B1553" s="4" t="s">
        <v>44</v>
      </c>
      <c r="C1553" s="4" t="s">
        <v>34</v>
      </c>
      <c r="D1553" s="4" t="s">
        <v>40</v>
      </c>
      <c r="E1553" s="4" t="s">
        <v>25</v>
      </c>
      <c r="F1553" s="4" t="s">
        <v>63</v>
      </c>
      <c r="G1553" s="4" t="s">
        <v>25</v>
      </c>
      <c r="H1553" s="4" t="s">
        <v>36</v>
      </c>
      <c r="I1553" s="5">
        <v>44044</v>
      </c>
      <c r="J1553" s="6">
        <v>0</v>
      </c>
      <c r="K1553" s="6">
        <v>0</v>
      </c>
      <c r="L1553" s="6">
        <v>2074.7269999999999</v>
      </c>
      <c r="M1553" s="6">
        <v>2074.7269999999999</v>
      </c>
      <c r="N1553" s="6">
        <v>0</v>
      </c>
      <c r="O1553" s="6">
        <v>0</v>
      </c>
      <c r="P1553" s="6">
        <v>0</v>
      </c>
      <c r="Q1553" s="4" t="s">
        <v>60</v>
      </c>
      <c r="R1553" s="4">
        <v>0</v>
      </c>
      <c r="S1553" s="4" t="s">
        <v>417</v>
      </c>
      <c r="U1553" s="4">
        <v>0</v>
      </c>
      <c r="V1553" s="4">
        <v>37</v>
      </c>
      <c r="W1553" s="4">
        <v>0</v>
      </c>
    </row>
    <row r="1554" spans="1:23" ht="11.25" customHeight="1" x14ac:dyDescent="0.25">
      <c r="A1554" s="4" t="s">
        <v>59</v>
      </c>
      <c r="B1554" s="4" t="s">
        <v>44</v>
      </c>
      <c r="C1554" s="4" t="s">
        <v>34</v>
      </c>
      <c r="D1554" s="4" t="s">
        <v>40</v>
      </c>
      <c r="E1554" s="4" t="s">
        <v>25</v>
      </c>
      <c r="F1554" s="4" t="s">
        <v>63</v>
      </c>
      <c r="G1554" s="4" t="s">
        <v>25</v>
      </c>
      <c r="H1554" s="4" t="s">
        <v>36</v>
      </c>
      <c r="I1554" s="5">
        <v>44075</v>
      </c>
      <c r="J1554" s="6">
        <v>0</v>
      </c>
      <c r="K1554" s="6">
        <v>0</v>
      </c>
      <c r="L1554" s="6">
        <v>2074.7269999999999</v>
      </c>
      <c r="M1554" s="6">
        <v>2074.7269999999999</v>
      </c>
      <c r="N1554" s="6">
        <v>0</v>
      </c>
      <c r="O1554" s="6">
        <v>0</v>
      </c>
      <c r="P1554" s="6">
        <v>0</v>
      </c>
      <c r="Q1554" s="4" t="s">
        <v>60</v>
      </c>
      <c r="R1554" s="4">
        <v>0</v>
      </c>
      <c r="S1554" s="4" t="s">
        <v>418</v>
      </c>
      <c r="U1554" s="4">
        <v>0</v>
      </c>
      <c r="V1554" s="4">
        <v>37</v>
      </c>
      <c r="W1554" s="4">
        <v>0</v>
      </c>
    </row>
    <row r="1555" spans="1:23" ht="11.25" customHeight="1" x14ac:dyDescent="0.25">
      <c r="A1555" s="4" t="s">
        <v>21</v>
      </c>
      <c r="B1555" s="4" t="s">
        <v>44</v>
      </c>
      <c r="C1555" s="4" t="s">
        <v>34</v>
      </c>
      <c r="D1555" s="4" t="s">
        <v>40</v>
      </c>
      <c r="E1555" s="4" t="s">
        <v>25</v>
      </c>
      <c r="F1555" s="4" t="s">
        <v>63</v>
      </c>
      <c r="G1555" s="4" t="s">
        <v>25</v>
      </c>
      <c r="H1555" s="4" t="s">
        <v>25</v>
      </c>
      <c r="I1555" s="5">
        <v>43739</v>
      </c>
      <c r="J1555" s="6">
        <v>9073</v>
      </c>
      <c r="K1555" s="6">
        <v>5630.4092904199997</v>
      </c>
      <c r="L1555" s="6">
        <v>0</v>
      </c>
      <c r="M1555" s="6">
        <v>0</v>
      </c>
      <c r="N1555" s="6">
        <v>0</v>
      </c>
      <c r="O1555" s="6">
        <v>0</v>
      </c>
      <c r="P1555" s="6">
        <v>17</v>
      </c>
      <c r="Q1555" s="4" t="s">
        <v>60</v>
      </c>
      <c r="R1555" s="4">
        <v>0</v>
      </c>
      <c r="S1555" s="4" t="s">
        <v>419</v>
      </c>
      <c r="U1555" s="4">
        <v>35</v>
      </c>
      <c r="V1555" s="4">
        <v>0</v>
      </c>
      <c r="W1555" s="4">
        <v>0</v>
      </c>
    </row>
    <row r="1556" spans="1:23" ht="11.25" customHeight="1" x14ac:dyDescent="0.25">
      <c r="A1556" s="4" t="s">
        <v>21</v>
      </c>
      <c r="B1556" s="4" t="s">
        <v>44</v>
      </c>
      <c r="C1556" s="4" t="s">
        <v>34</v>
      </c>
      <c r="D1556" s="4" t="s">
        <v>40</v>
      </c>
      <c r="E1556" s="4" t="s">
        <v>25</v>
      </c>
      <c r="F1556" s="4" t="s">
        <v>63</v>
      </c>
      <c r="G1556" s="4" t="s">
        <v>25</v>
      </c>
      <c r="H1556" s="4" t="s">
        <v>25</v>
      </c>
      <c r="I1556" s="5">
        <v>43770</v>
      </c>
      <c r="J1556" s="6">
        <v>9073</v>
      </c>
      <c r="K1556" s="6">
        <v>5949.4595208199999</v>
      </c>
      <c r="L1556" s="6">
        <v>0</v>
      </c>
      <c r="M1556" s="6">
        <v>0</v>
      </c>
      <c r="N1556" s="6">
        <v>0</v>
      </c>
      <c r="O1556" s="6">
        <v>0</v>
      </c>
      <c r="P1556" s="6">
        <v>17</v>
      </c>
      <c r="Q1556" s="4" t="s">
        <v>60</v>
      </c>
      <c r="R1556" s="4">
        <v>0</v>
      </c>
      <c r="S1556" s="4" t="s">
        <v>420</v>
      </c>
      <c r="U1556" s="4">
        <v>35</v>
      </c>
      <c r="V1556" s="4">
        <v>0</v>
      </c>
      <c r="W1556" s="4">
        <v>0</v>
      </c>
    </row>
    <row r="1557" spans="1:23" ht="11.25" customHeight="1" x14ac:dyDescent="0.25">
      <c r="A1557" s="4" t="s">
        <v>21</v>
      </c>
      <c r="B1557" s="4" t="s">
        <v>44</v>
      </c>
      <c r="C1557" s="4" t="s">
        <v>34</v>
      </c>
      <c r="D1557" s="4" t="s">
        <v>40</v>
      </c>
      <c r="E1557" s="4" t="s">
        <v>25</v>
      </c>
      <c r="F1557" s="4" t="s">
        <v>63</v>
      </c>
      <c r="G1557" s="4" t="s">
        <v>25</v>
      </c>
      <c r="H1557" s="4" t="s">
        <v>25</v>
      </c>
      <c r="I1557" s="5">
        <v>43800</v>
      </c>
      <c r="J1557" s="6">
        <v>9513</v>
      </c>
      <c r="K1557" s="6">
        <v>5972.0757062399998</v>
      </c>
      <c r="L1557" s="6">
        <v>0</v>
      </c>
      <c r="M1557" s="6">
        <v>0</v>
      </c>
      <c r="N1557" s="6">
        <v>0</v>
      </c>
      <c r="O1557" s="6">
        <v>0</v>
      </c>
      <c r="P1557" s="6">
        <v>18</v>
      </c>
      <c r="Q1557" s="4" t="s">
        <v>60</v>
      </c>
      <c r="R1557" s="4">
        <v>0</v>
      </c>
      <c r="S1557" s="4" t="s">
        <v>421</v>
      </c>
      <c r="U1557" s="4">
        <v>35</v>
      </c>
      <c r="V1557" s="4">
        <v>0</v>
      </c>
      <c r="W1557" s="4">
        <v>0</v>
      </c>
    </row>
    <row r="1558" spans="1:23" ht="11.25" customHeight="1" x14ac:dyDescent="0.25">
      <c r="A1558" s="4" t="s">
        <v>21</v>
      </c>
      <c r="B1558" s="4" t="s">
        <v>44</v>
      </c>
      <c r="C1558" s="4" t="s">
        <v>34</v>
      </c>
      <c r="D1558" s="4" t="s">
        <v>40</v>
      </c>
      <c r="E1558" s="4" t="s">
        <v>25</v>
      </c>
      <c r="F1558" s="4" t="s">
        <v>63</v>
      </c>
      <c r="G1558" s="4" t="s">
        <v>25</v>
      </c>
      <c r="H1558" s="4" t="s">
        <v>25</v>
      </c>
      <c r="I1558" s="5">
        <v>43831</v>
      </c>
      <c r="J1558" s="6">
        <v>9513</v>
      </c>
      <c r="K1558" s="6">
        <v>6120.0328221899999</v>
      </c>
      <c r="L1558" s="6">
        <v>0</v>
      </c>
      <c r="M1558" s="6">
        <v>0</v>
      </c>
      <c r="N1558" s="6">
        <v>0</v>
      </c>
      <c r="O1558" s="6">
        <v>0</v>
      </c>
      <c r="P1558" s="6">
        <v>18</v>
      </c>
      <c r="Q1558" s="4" t="s">
        <v>60</v>
      </c>
      <c r="R1558" s="4">
        <v>0</v>
      </c>
      <c r="S1558" s="4" t="s">
        <v>422</v>
      </c>
      <c r="U1558" s="4">
        <v>35</v>
      </c>
      <c r="V1558" s="4">
        <v>0</v>
      </c>
      <c r="W1558" s="4">
        <v>0</v>
      </c>
    </row>
    <row r="1559" spans="1:23" ht="11.25" customHeight="1" x14ac:dyDescent="0.25">
      <c r="A1559" s="4" t="s">
        <v>21</v>
      </c>
      <c r="B1559" s="4" t="s">
        <v>44</v>
      </c>
      <c r="C1559" s="4" t="s">
        <v>34</v>
      </c>
      <c r="D1559" s="4" t="s">
        <v>40</v>
      </c>
      <c r="E1559" s="4" t="s">
        <v>25</v>
      </c>
      <c r="F1559" s="4" t="s">
        <v>63</v>
      </c>
      <c r="G1559" s="4" t="s">
        <v>25</v>
      </c>
      <c r="H1559" s="4" t="s">
        <v>25</v>
      </c>
      <c r="I1559" s="5">
        <v>43862</v>
      </c>
      <c r="J1559" s="6">
        <v>9513</v>
      </c>
      <c r="K1559" s="6">
        <v>5888.6965443600002</v>
      </c>
      <c r="L1559" s="6">
        <v>0</v>
      </c>
      <c r="M1559" s="6">
        <v>0</v>
      </c>
      <c r="N1559" s="6">
        <v>0</v>
      </c>
      <c r="O1559" s="6">
        <v>0</v>
      </c>
      <c r="P1559" s="6">
        <v>18</v>
      </c>
      <c r="Q1559" s="4" t="s">
        <v>60</v>
      </c>
      <c r="R1559" s="4">
        <v>0</v>
      </c>
      <c r="S1559" s="4" t="s">
        <v>423</v>
      </c>
      <c r="U1559" s="4">
        <v>35</v>
      </c>
      <c r="V1559" s="4">
        <v>0</v>
      </c>
      <c r="W1559" s="4">
        <v>0</v>
      </c>
    </row>
    <row r="1560" spans="1:23" ht="11.25" customHeight="1" x14ac:dyDescent="0.25">
      <c r="A1560" s="4" t="s">
        <v>21</v>
      </c>
      <c r="B1560" s="4" t="s">
        <v>44</v>
      </c>
      <c r="C1560" s="4" t="s">
        <v>34</v>
      </c>
      <c r="D1560" s="4" t="s">
        <v>40</v>
      </c>
      <c r="E1560" s="4" t="s">
        <v>25</v>
      </c>
      <c r="F1560" s="4" t="s">
        <v>63</v>
      </c>
      <c r="G1560" s="4" t="s">
        <v>25</v>
      </c>
      <c r="H1560" s="4" t="s">
        <v>25</v>
      </c>
      <c r="I1560" s="5">
        <v>43891</v>
      </c>
      <c r="J1560" s="6">
        <v>10363</v>
      </c>
      <c r="K1560" s="6">
        <v>6508.9693146299996</v>
      </c>
      <c r="L1560" s="6">
        <v>0</v>
      </c>
      <c r="M1560" s="6">
        <v>0</v>
      </c>
      <c r="N1560" s="6">
        <v>0</v>
      </c>
      <c r="O1560" s="6">
        <v>0</v>
      </c>
      <c r="P1560" s="6">
        <v>19</v>
      </c>
      <c r="Q1560" s="4" t="s">
        <v>60</v>
      </c>
      <c r="R1560" s="4">
        <v>0</v>
      </c>
      <c r="S1560" s="4" t="s">
        <v>424</v>
      </c>
      <c r="U1560" s="4">
        <v>35</v>
      </c>
      <c r="V1560" s="4">
        <v>0</v>
      </c>
      <c r="W1560" s="4">
        <v>0</v>
      </c>
    </row>
    <row r="1561" spans="1:23" ht="11.25" customHeight="1" x14ac:dyDescent="0.25">
      <c r="A1561" s="4" t="s">
        <v>21</v>
      </c>
      <c r="B1561" s="4" t="s">
        <v>44</v>
      </c>
      <c r="C1561" s="4" t="s">
        <v>34</v>
      </c>
      <c r="D1561" s="4" t="s">
        <v>40</v>
      </c>
      <c r="E1561" s="4" t="s">
        <v>25</v>
      </c>
      <c r="F1561" s="4" t="s">
        <v>63</v>
      </c>
      <c r="G1561" s="4" t="s">
        <v>25</v>
      </c>
      <c r="H1561" s="4" t="s">
        <v>25</v>
      </c>
      <c r="I1561" s="5">
        <v>43922</v>
      </c>
      <c r="J1561" s="6">
        <v>11998</v>
      </c>
      <c r="K1561" s="6">
        <v>7444.2273686199997</v>
      </c>
      <c r="L1561" s="6">
        <v>0</v>
      </c>
      <c r="M1561" s="6">
        <v>0</v>
      </c>
      <c r="N1561" s="6">
        <v>0</v>
      </c>
      <c r="O1561" s="6">
        <v>0</v>
      </c>
      <c r="P1561" s="6">
        <v>21</v>
      </c>
      <c r="Q1561" s="4" t="s">
        <v>60</v>
      </c>
      <c r="R1561" s="4">
        <v>0</v>
      </c>
      <c r="S1561" s="4" t="s">
        <v>425</v>
      </c>
      <c r="U1561" s="4">
        <v>35</v>
      </c>
      <c r="V1561" s="4">
        <v>0</v>
      </c>
      <c r="W1561" s="4">
        <v>0</v>
      </c>
    </row>
    <row r="1562" spans="1:23" ht="11.25" customHeight="1" x14ac:dyDescent="0.25">
      <c r="A1562" s="4" t="s">
        <v>21</v>
      </c>
      <c r="B1562" s="4" t="s">
        <v>44</v>
      </c>
      <c r="C1562" s="4" t="s">
        <v>34</v>
      </c>
      <c r="D1562" s="4" t="s">
        <v>40</v>
      </c>
      <c r="E1562" s="4" t="s">
        <v>25</v>
      </c>
      <c r="F1562" s="4" t="s">
        <v>63</v>
      </c>
      <c r="G1562" s="4" t="s">
        <v>25</v>
      </c>
      <c r="H1562" s="4" t="s">
        <v>25</v>
      </c>
      <c r="I1562" s="5">
        <v>43952</v>
      </c>
      <c r="J1562" s="6">
        <v>12378</v>
      </c>
      <c r="K1562" s="6">
        <v>7589.1920569800004</v>
      </c>
      <c r="L1562" s="6">
        <v>0</v>
      </c>
      <c r="M1562" s="6">
        <v>0</v>
      </c>
      <c r="N1562" s="6">
        <v>0</v>
      </c>
      <c r="O1562" s="6">
        <v>0</v>
      </c>
      <c r="P1562" s="6">
        <v>22</v>
      </c>
      <c r="Q1562" s="4" t="s">
        <v>60</v>
      </c>
      <c r="R1562" s="4">
        <v>0</v>
      </c>
      <c r="S1562" s="4" t="s">
        <v>426</v>
      </c>
      <c r="U1562" s="4">
        <v>35</v>
      </c>
      <c r="V1562" s="4">
        <v>0</v>
      </c>
      <c r="W1562" s="4">
        <v>0</v>
      </c>
    </row>
    <row r="1563" spans="1:23" ht="11.25" customHeight="1" x14ac:dyDescent="0.25">
      <c r="A1563" s="4" t="s">
        <v>21</v>
      </c>
      <c r="B1563" s="4" t="s">
        <v>44</v>
      </c>
      <c r="C1563" s="4" t="s">
        <v>34</v>
      </c>
      <c r="D1563" s="4" t="s">
        <v>40</v>
      </c>
      <c r="E1563" s="4" t="s">
        <v>25</v>
      </c>
      <c r="F1563" s="4" t="s">
        <v>63</v>
      </c>
      <c r="G1563" s="4" t="s">
        <v>25</v>
      </c>
      <c r="H1563" s="4" t="s">
        <v>25</v>
      </c>
      <c r="I1563" s="5">
        <v>43983</v>
      </c>
      <c r="J1563" s="6">
        <v>12378</v>
      </c>
      <c r="K1563" s="6">
        <v>7653.0947197799997</v>
      </c>
      <c r="L1563" s="6">
        <v>0</v>
      </c>
      <c r="M1563" s="6">
        <v>0</v>
      </c>
      <c r="N1563" s="6">
        <v>0</v>
      </c>
      <c r="O1563" s="6">
        <v>0</v>
      </c>
      <c r="P1563" s="6">
        <v>22</v>
      </c>
      <c r="Q1563" s="4" t="s">
        <v>60</v>
      </c>
      <c r="R1563" s="4">
        <v>0</v>
      </c>
      <c r="S1563" s="4" t="s">
        <v>427</v>
      </c>
      <c r="U1563" s="4">
        <v>35</v>
      </c>
      <c r="V1563" s="4">
        <v>0</v>
      </c>
      <c r="W1563" s="4">
        <v>0</v>
      </c>
    </row>
    <row r="1564" spans="1:23" ht="11.25" customHeight="1" x14ac:dyDescent="0.25">
      <c r="A1564" s="4" t="s">
        <v>21</v>
      </c>
      <c r="B1564" s="4" t="s">
        <v>44</v>
      </c>
      <c r="C1564" s="4" t="s">
        <v>34</v>
      </c>
      <c r="D1564" s="4" t="s">
        <v>40</v>
      </c>
      <c r="E1564" s="4" t="s">
        <v>25</v>
      </c>
      <c r="F1564" s="4" t="s">
        <v>63</v>
      </c>
      <c r="G1564" s="4" t="s">
        <v>25</v>
      </c>
      <c r="H1564" s="4" t="s">
        <v>25</v>
      </c>
      <c r="I1564" s="5">
        <v>44013</v>
      </c>
      <c r="J1564" s="6">
        <v>8838</v>
      </c>
      <c r="K1564" s="6">
        <v>5382.5778862200004</v>
      </c>
      <c r="L1564" s="6">
        <v>0</v>
      </c>
      <c r="M1564" s="6">
        <v>0</v>
      </c>
      <c r="N1564" s="6">
        <v>0</v>
      </c>
      <c r="O1564" s="6">
        <v>0</v>
      </c>
      <c r="P1564" s="6">
        <v>16</v>
      </c>
      <c r="Q1564" s="4" t="s">
        <v>60</v>
      </c>
      <c r="R1564" s="4">
        <v>0</v>
      </c>
      <c r="S1564" s="4" t="s">
        <v>428</v>
      </c>
      <c r="U1564" s="4">
        <v>35</v>
      </c>
      <c r="V1564" s="4">
        <v>0</v>
      </c>
      <c r="W1564" s="4">
        <v>0</v>
      </c>
    </row>
    <row r="1565" spans="1:23" ht="11.25" customHeight="1" x14ac:dyDescent="0.25">
      <c r="A1565" s="4" t="s">
        <v>21</v>
      </c>
      <c r="B1565" s="4" t="s">
        <v>44</v>
      </c>
      <c r="C1565" s="4" t="s">
        <v>34</v>
      </c>
      <c r="D1565" s="4" t="s">
        <v>40</v>
      </c>
      <c r="E1565" s="4" t="s">
        <v>25</v>
      </c>
      <c r="F1565" s="4" t="s">
        <v>63</v>
      </c>
      <c r="G1565" s="4" t="s">
        <v>25</v>
      </c>
      <c r="H1565" s="4" t="s">
        <v>25</v>
      </c>
      <c r="I1565" s="5">
        <v>44044</v>
      </c>
      <c r="J1565" s="6">
        <v>12378</v>
      </c>
      <c r="K1565" s="6">
        <v>7550.58</v>
      </c>
      <c r="L1565" s="6">
        <v>0</v>
      </c>
      <c r="M1565" s="6">
        <v>0</v>
      </c>
      <c r="N1565" s="6">
        <v>0</v>
      </c>
      <c r="O1565" s="6">
        <v>0</v>
      </c>
      <c r="P1565" s="6">
        <v>22</v>
      </c>
      <c r="Q1565" s="4" t="s">
        <v>60</v>
      </c>
      <c r="R1565" s="4">
        <v>0</v>
      </c>
      <c r="S1565" s="4" t="s">
        <v>429</v>
      </c>
      <c r="U1565" s="4">
        <v>35</v>
      </c>
      <c r="V1565" s="4">
        <v>0</v>
      </c>
      <c r="W1565" s="4">
        <v>0</v>
      </c>
    </row>
    <row r="1566" spans="1:23" ht="11.25" customHeight="1" x14ac:dyDescent="0.25">
      <c r="A1566" s="4" t="s">
        <v>59</v>
      </c>
      <c r="B1566" s="4" t="s">
        <v>44</v>
      </c>
      <c r="C1566" s="4" t="s">
        <v>34</v>
      </c>
      <c r="D1566" s="4" t="s">
        <v>40</v>
      </c>
      <c r="E1566" s="4" t="s">
        <v>25</v>
      </c>
      <c r="F1566" s="4" t="s">
        <v>63</v>
      </c>
      <c r="G1566" s="4" t="s">
        <v>25</v>
      </c>
      <c r="H1566" s="4" t="s">
        <v>25</v>
      </c>
      <c r="I1566" s="5">
        <v>44075</v>
      </c>
      <c r="J1566" s="6">
        <v>12378</v>
      </c>
      <c r="K1566" s="6">
        <v>7550.58</v>
      </c>
      <c r="L1566" s="6">
        <v>0</v>
      </c>
      <c r="M1566" s="6">
        <v>0</v>
      </c>
      <c r="N1566" s="6">
        <v>0</v>
      </c>
      <c r="O1566" s="6">
        <v>0</v>
      </c>
      <c r="P1566" s="6">
        <v>22</v>
      </c>
      <c r="Q1566" s="4" t="s">
        <v>60</v>
      </c>
      <c r="R1566" s="4">
        <v>0</v>
      </c>
      <c r="S1566" s="4" t="s">
        <v>430</v>
      </c>
      <c r="U1566" s="4">
        <v>35</v>
      </c>
      <c r="V1566" s="4">
        <v>0</v>
      </c>
      <c r="W1566" s="4">
        <v>0</v>
      </c>
    </row>
    <row r="1567" spans="1:23" ht="11.25" customHeight="1" x14ac:dyDescent="0.25">
      <c r="A1567" s="4" t="s">
        <v>21</v>
      </c>
      <c r="B1567" s="4" t="s">
        <v>44</v>
      </c>
      <c r="C1567" s="4" t="s">
        <v>34</v>
      </c>
      <c r="D1567" s="4" t="s">
        <v>40</v>
      </c>
      <c r="E1567" s="4" t="s">
        <v>25</v>
      </c>
      <c r="F1567" s="4" t="s">
        <v>63</v>
      </c>
      <c r="G1567" s="4" t="s">
        <v>25</v>
      </c>
      <c r="H1567" s="4" t="s">
        <v>35</v>
      </c>
      <c r="I1567" s="5">
        <v>43739</v>
      </c>
      <c r="J1567" s="6">
        <v>0</v>
      </c>
      <c r="K1567" s="6">
        <v>0</v>
      </c>
      <c r="L1567" s="6">
        <v>297.952</v>
      </c>
      <c r="M1567" s="6">
        <v>195.44079503200001</v>
      </c>
      <c r="N1567" s="6">
        <v>0</v>
      </c>
      <c r="O1567" s="6">
        <v>0</v>
      </c>
      <c r="P1567" s="6">
        <v>0</v>
      </c>
      <c r="Q1567" s="4" t="s">
        <v>60</v>
      </c>
      <c r="R1567" s="4">
        <v>0</v>
      </c>
      <c r="S1567" s="4" t="s">
        <v>431</v>
      </c>
      <c r="U1567" s="4">
        <v>0</v>
      </c>
      <c r="V1567" s="4">
        <v>36</v>
      </c>
      <c r="W1567" s="4">
        <v>0</v>
      </c>
    </row>
    <row r="1568" spans="1:23" ht="11.25" customHeight="1" x14ac:dyDescent="0.25">
      <c r="A1568" s="4" t="s">
        <v>21</v>
      </c>
      <c r="B1568" s="4" t="s">
        <v>44</v>
      </c>
      <c r="C1568" s="4" t="s">
        <v>34</v>
      </c>
      <c r="D1568" s="4" t="s">
        <v>40</v>
      </c>
      <c r="E1568" s="4" t="s">
        <v>25</v>
      </c>
      <c r="F1568" s="4" t="s">
        <v>63</v>
      </c>
      <c r="G1568" s="4" t="s">
        <v>25</v>
      </c>
      <c r="H1568" s="4" t="s">
        <v>35</v>
      </c>
      <c r="I1568" s="5">
        <v>43770</v>
      </c>
      <c r="J1568" s="6">
        <v>0</v>
      </c>
      <c r="K1568" s="6">
        <v>0</v>
      </c>
      <c r="L1568" s="6">
        <v>259.803</v>
      </c>
      <c r="M1568" s="6">
        <v>161.49602332062</v>
      </c>
      <c r="N1568" s="6">
        <v>0</v>
      </c>
      <c r="O1568" s="6">
        <v>0</v>
      </c>
      <c r="P1568" s="6">
        <v>0</v>
      </c>
      <c r="Q1568" s="4" t="s">
        <v>60</v>
      </c>
      <c r="R1568" s="4">
        <v>0</v>
      </c>
      <c r="S1568" s="4" t="s">
        <v>432</v>
      </c>
      <c r="U1568" s="4">
        <v>0</v>
      </c>
      <c r="V1568" s="4">
        <v>36</v>
      </c>
      <c r="W1568" s="4">
        <v>0</v>
      </c>
    </row>
    <row r="1569" spans="1:23" ht="11.25" customHeight="1" x14ac:dyDescent="0.25">
      <c r="A1569" s="4" t="s">
        <v>21</v>
      </c>
      <c r="B1569" s="4" t="s">
        <v>44</v>
      </c>
      <c r="C1569" s="4" t="s">
        <v>34</v>
      </c>
      <c r="D1569" s="4" t="s">
        <v>40</v>
      </c>
      <c r="E1569" s="4" t="s">
        <v>25</v>
      </c>
      <c r="F1569" s="4" t="s">
        <v>63</v>
      </c>
      <c r="G1569" s="4" t="s">
        <v>25</v>
      </c>
      <c r="H1569" s="4" t="s">
        <v>35</v>
      </c>
      <c r="I1569" s="5">
        <v>43800</v>
      </c>
      <c r="J1569" s="6">
        <v>0</v>
      </c>
      <c r="K1569" s="6">
        <v>0</v>
      </c>
      <c r="L1569" s="6">
        <v>264.79500000000002</v>
      </c>
      <c r="M1569" s="6">
        <v>175.42622410875001</v>
      </c>
      <c r="N1569" s="6">
        <v>0</v>
      </c>
      <c r="O1569" s="6">
        <v>0</v>
      </c>
      <c r="P1569" s="6">
        <v>0</v>
      </c>
      <c r="Q1569" s="4" t="s">
        <v>60</v>
      </c>
      <c r="R1569" s="4">
        <v>0</v>
      </c>
      <c r="S1569" s="4" t="s">
        <v>433</v>
      </c>
      <c r="U1569" s="4">
        <v>0</v>
      </c>
      <c r="V1569" s="4">
        <v>36</v>
      </c>
      <c r="W1569" s="4">
        <v>0</v>
      </c>
    </row>
    <row r="1570" spans="1:23" ht="11.25" customHeight="1" x14ac:dyDescent="0.25">
      <c r="A1570" s="4" t="s">
        <v>21</v>
      </c>
      <c r="B1570" s="4" t="s">
        <v>44</v>
      </c>
      <c r="C1570" s="4" t="s">
        <v>34</v>
      </c>
      <c r="D1570" s="4" t="s">
        <v>40</v>
      </c>
      <c r="E1570" s="4" t="s">
        <v>25</v>
      </c>
      <c r="F1570" s="4" t="s">
        <v>63</v>
      </c>
      <c r="G1570" s="4" t="s">
        <v>25</v>
      </c>
      <c r="H1570" s="4" t="s">
        <v>35</v>
      </c>
      <c r="I1570" s="5">
        <v>43831</v>
      </c>
      <c r="J1570" s="6">
        <v>0</v>
      </c>
      <c r="K1570" s="6">
        <v>0</v>
      </c>
      <c r="L1570" s="6">
        <v>289.28399999999999</v>
      </c>
      <c r="M1570" s="6">
        <v>198.51033734975999</v>
      </c>
      <c r="N1570" s="6">
        <v>0</v>
      </c>
      <c r="O1570" s="6">
        <v>0</v>
      </c>
      <c r="P1570" s="6">
        <v>0</v>
      </c>
      <c r="Q1570" s="4" t="s">
        <v>60</v>
      </c>
      <c r="R1570" s="4">
        <v>0</v>
      </c>
      <c r="S1570" s="4" t="s">
        <v>434</v>
      </c>
      <c r="U1570" s="4">
        <v>0</v>
      </c>
      <c r="V1570" s="4">
        <v>36</v>
      </c>
      <c r="W1570" s="4">
        <v>0</v>
      </c>
    </row>
    <row r="1571" spans="1:23" ht="11.25" customHeight="1" x14ac:dyDescent="0.25">
      <c r="A1571" s="4" t="s">
        <v>21</v>
      </c>
      <c r="B1571" s="4" t="s">
        <v>44</v>
      </c>
      <c r="C1571" s="4" t="s">
        <v>34</v>
      </c>
      <c r="D1571" s="4" t="s">
        <v>40</v>
      </c>
      <c r="E1571" s="4" t="s">
        <v>25</v>
      </c>
      <c r="F1571" s="4" t="s">
        <v>63</v>
      </c>
      <c r="G1571" s="4" t="s">
        <v>25</v>
      </c>
      <c r="H1571" s="4" t="s">
        <v>35</v>
      </c>
      <c r="I1571" s="5">
        <v>43862</v>
      </c>
      <c r="J1571" s="6">
        <v>0</v>
      </c>
      <c r="K1571" s="6">
        <v>0</v>
      </c>
      <c r="L1571" s="6">
        <v>240.24600000000001</v>
      </c>
      <c r="M1571" s="6">
        <v>157.09251815478001</v>
      </c>
      <c r="N1571" s="6">
        <v>0</v>
      </c>
      <c r="O1571" s="6">
        <v>0</v>
      </c>
      <c r="P1571" s="6">
        <v>0</v>
      </c>
      <c r="Q1571" s="4" t="s">
        <v>60</v>
      </c>
      <c r="R1571" s="4">
        <v>0</v>
      </c>
      <c r="S1571" s="4" t="s">
        <v>435</v>
      </c>
      <c r="U1571" s="4">
        <v>0</v>
      </c>
      <c r="V1571" s="4">
        <v>36</v>
      </c>
      <c r="W1571" s="4">
        <v>0</v>
      </c>
    </row>
    <row r="1572" spans="1:23" ht="11.25" customHeight="1" x14ac:dyDescent="0.25">
      <c r="A1572" s="4" t="s">
        <v>21</v>
      </c>
      <c r="B1572" s="4" t="s">
        <v>44</v>
      </c>
      <c r="C1572" s="4" t="s">
        <v>34</v>
      </c>
      <c r="D1572" s="4" t="s">
        <v>40</v>
      </c>
      <c r="E1572" s="4" t="s">
        <v>25</v>
      </c>
      <c r="F1572" s="4" t="s">
        <v>63</v>
      </c>
      <c r="G1572" s="4" t="s">
        <v>25</v>
      </c>
      <c r="H1572" s="4" t="s">
        <v>35</v>
      </c>
      <c r="I1572" s="5">
        <v>43891</v>
      </c>
      <c r="J1572" s="6">
        <v>0</v>
      </c>
      <c r="K1572" s="6">
        <v>0</v>
      </c>
      <c r="L1572" s="6">
        <v>264.87900000000002</v>
      </c>
      <c r="M1572" s="6">
        <v>176.56615349946</v>
      </c>
      <c r="N1572" s="6">
        <v>0</v>
      </c>
      <c r="O1572" s="6">
        <v>0</v>
      </c>
      <c r="P1572" s="6">
        <v>0</v>
      </c>
      <c r="Q1572" s="4" t="s">
        <v>60</v>
      </c>
      <c r="R1572" s="4">
        <v>0</v>
      </c>
      <c r="S1572" s="4" t="s">
        <v>436</v>
      </c>
      <c r="U1572" s="4">
        <v>0</v>
      </c>
      <c r="V1572" s="4">
        <v>36</v>
      </c>
      <c r="W1572" s="4">
        <v>0</v>
      </c>
    </row>
    <row r="1573" spans="1:23" ht="11.25" customHeight="1" x14ac:dyDescent="0.25">
      <c r="A1573" s="4" t="s">
        <v>21</v>
      </c>
      <c r="B1573" s="4" t="s">
        <v>44</v>
      </c>
      <c r="C1573" s="4" t="s">
        <v>34</v>
      </c>
      <c r="D1573" s="4" t="s">
        <v>40</v>
      </c>
      <c r="E1573" s="4" t="s">
        <v>25</v>
      </c>
      <c r="F1573" s="4" t="s">
        <v>63</v>
      </c>
      <c r="G1573" s="4" t="s">
        <v>25</v>
      </c>
      <c r="H1573" s="4" t="s">
        <v>35</v>
      </c>
      <c r="I1573" s="5">
        <v>43922</v>
      </c>
      <c r="J1573" s="6">
        <v>0</v>
      </c>
      <c r="K1573" s="6">
        <v>0</v>
      </c>
      <c r="L1573" s="6">
        <v>249.36</v>
      </c>
      <c r="M1573" s="6">
        <v>164.96038006800001</v>
      </c>
      <c r="N1573" s="6">
        <v>0</v>
      </c>
      <c r="O1573" s="6">
        <v>0</v>
      </c>
      <c r="P1573" s="6">
        <v>0</v>
      </c>
      <c r="Q1573" s="4" t="s">
        <v>60</v>
      </c>
      <c r="R1573" s="4">
        <v>0</v>
      </c>
      <c r="S1573" s="4" t="s">
        <v>437</v>
      </c>
      <c r="U1573" s="4">
        <v>0</v>
      </c>
      <c r="V1573" s="4">
        <v>36</v>
      </c>
      <c r="W1573" s="4">
        <v>0</v>
      </c>
    </row>
    <row r="1574" spans="1:23" ht="11.25" customHeight="1" x14ac:dyDescent="0.25">
      <c r="A1574" s="4" t="s">
        <v>21</v>
      </c>
      <c r="B1574" s="4" t="s">
        <v>44</v>
      </c>
      <c r="C1574" s="4" t="s">
        <v>34</v>
      </c>
      <c r="D1574" s="4" t="s">
        <v>40</v>
      </c>
      <c r="E1574" s="4" t="s">
        <v>25</v>
      </c>
      <c r="F1574" s="4" t="s">
        <v>63</v>
      </c>
      <c r="G1574" s="4" t="s">
        <v>25</v>
      </c>
      <c r="H1574" s="4" t="s">
        <v>35</v>
      </c>
      <c r="I1574" s="5">
        <v>43952</v>
      </c>
      <c r="J1574" s="6">
        <v>0</v>
      </c>
      <c r="K1574" s="6">
        <v>0</v>
      </c>
      <c r="L1574" s="6">
        <v>220.82599999999999</v>
      </c>
      <c r="M1574" s="6">
        <v>145.75165890918001</v>
      </c>
      <c r="N1574" s="6">
        <v>0</v>
      </c>
      <c r="O1574" s="6">
        <v>0</v>
      </c>
      <c r="P1574" s="6">
        <v>0</v>
      </c>
      <c r="Q1574" s="4" t="s">
        <v>60</v>
      </c>
      <c r="R1574" s="4">
        <v>0</v>
      </c>
      <c r="S1574" s="4" t="s">
        <v>438</v>
      </c>
      <c r="U1574" s="4">
        <v>0</v>
      </c>
      <c r="V1574" s="4">
        <v>36</v>
      </c>
      <c r="W1574" s="4">
        <v>0</v>
      </c>
    </row>
    <row r="1575" spans="1:23" ht="11.25" customHeight="1" x14ac:dyDescent="0.25">
      <c r="A1575" s="4" t="s">
        <v>21</v>
      </c>
      <c r="B1575" s="4" t="s">
        <v>44</v>
      </c>
      <c r="C1575" s="4" t="s">
        <v>34</v>
      </c>
      <c r="D1575" s="4" t="s">
        <v>40</v>
      </c>
      <c r="E1575" s="4" t="s">
        <v>25</v>
      </c>
      <c r="F1575" s="4" t="s">
        <v>63</v>
      </c>
      <c r="G1575" s="4" t="s">
        <v>25</v>
      </c>
      <c r="H1575" s="4" t="s">
        <v>35</v>
      </c>
      <c r="I1575" s="5">
        <v>43983</v>
      </c>
      <c r="J1575" s="6">
        <v>0</v>
      </c>
      <c r="K1575" s="6">
        <v>0</v>
      </c>
      <c r="L1575" s="6">
        <v>220.82599999999999</v>
      </c>
      <c r="M1575" s="6">
        <v>147.78605376633999</v>
      </c>
      <c r="N1575" s="6">
        <v>0</v>
      </c>
      <c r="O1575" s="6">
        <v>0</v>
      </c>
      <c r="P1575" s="6">
        <v>0</v>
      </c>
      <c r="Q1575" s="4" t="s">
        <v>60</v>
      </c>
      <c r="R1575" s="4">
        <v>0</v>
      </c>
      <c r="S1575" s="4" t="s">
        <v>439</v>
      </c>
      <c r="U1575" s="4">
        <v>0</v>
      </c>
      <c r="V1575" s="4">
        <v>36</v>
      </c>
      <c r="W1575" s="4">
        <v>0</v>
      </c>
    </row>
    <row r="1576" spans="1:23" ht="11.25" customHeight="1" x14ac:dyDescent="0.25">
      <c r="A1576" s="4" t="s">
        <v>21</v>
      </c>
      <c r="B1576" s="4" t="s">
        <v>44</v>
      </c>
      <c r="C1576" s="4" t="s">
        <v>34</v>
      </c>
      <c r="D1576" s="4" t="s">
        <v>40</v>
      </c>
      <c r="E1576" s="4" t="s">
        <v>25</v>
      </c>
      <c r="F1576" s="4" t="s">
        <v>63</v>
      </c>
      <c r="G1576" s="4" t="s">
        <v>25</v>
      </c>
      <c r="H1576" s="4" t="s">
        <v>35</v>
      </c>
      <c r="I1576" s="5">
        <v>44013</v>
      </c>
      <c r="J1576" s="6">
        <v>0</v>
      </c>
      <c r="K1576" s="6">
        <v>0</v>
      </c>
      <c r="L1576" s="6">
        <v>228.57300000000001</v>
      </c>
      <c r="M1576" s="6">
        <v>146.40605567757001</v>
      </c>
      <c r="N1576" s="6">
        <v>0</v>
      </c>
      <c r="O1576" s="6">
        <v>0</v>
      </c>
      <c r="P1576" s="6">
        <v>0</v>
      </c>
      <c r="Q1576" s="4" t="s">
        <v>60</v>
      </c>
      <c r="R1576" s="4">
        <v>0</v>
      </c>
      <c r="S1576" s="4" t="s">
        <v>440</v>
      </c>
      <c r="U1576" s="4">
        <v>0</v>
      </c>
      <c r="V1576" s="4">
        <v>36</v>
      </c>
      <c r="W1576" s="4">
        <v>0</v>
      </c>
    </row>
    <row r="1577" spans="1:23" ht="11.25" customHeight="1" x14ac:dyDescent="0.25">
      <c r="A1577" s="4" t="s">
        <v>21</v>
      </c>
      <c r="B1577" s="4" t="s">
        <v>44</v>
      </c>
      <c r="C1577" s="4" t="s">
        <v>34</v>
      </c>
      <c r="D1577" s="4" t="s">
        <v>40</v>
      </c>
      <c r="E1577" s="4" t="s">
        <v>25</v>
      </c>
      <c r="F1577" s="4" t="s">
        <v>63</v>
      </c>
      <c r="G1577" s="4" t="s">
        <v>25</v>
      </c>
      <c r="H1577" s="4" t="s">
        <v>35</v>
      </c>
      <c r="I1577" s="5">
        <v>44044</v>
      </c>
      <c r="J1577" s="6">
        <v>0</v>
      </c>
      <c r="K1577" s="6">
        <v>0</v>
      </c>
      <c r="L1577" s="6">
        <v>265.601</v>
      </c>
      <c r="M1577" s="6">
        <v>175.29666</v>
      </c>
      <c r="N1577" s="6">
        <v>0</v>
      </c>
      <c r="O1577" s="6">
        <v>0</v>
      </c>
      <c r="P1577" s="6">
        <v>0</v>
      </c>
      <c r="Q1577" s="4" t="s">
        <v>60</v>
      </c>
      <c r="R1577" s="4">
        <v>0</v>
      </c>
      <c r="S1577" s="4" t="s">
        <v>441</v>
      </c>
      <c r="U1577" s="4">
        <v>0</v>
      </c>
      <c r="V1577" s="4">
        <v>36</v>
      </c>
      <c r="W1577" s="4">
        <v>0</v>
      </c>
    </row>
    <row r="1578" spans="1:23" ht="11.25" customHeight="1" x14ac:dyDescent="0.25">
      <c r="A1578" s="4" t="s">
        <v>59</v>
      </c>
      <c r="B1578" s="4" t="s">
        <v>44</v>
      </c>
      <c r="C1578" s="4" t="s">
        <v>34</v>
      </c>
      <c r="D1578" s="4" t="s">
        <v>40</v>
      </c>
      <c r="E1578" s="4" t="s">
        <v>25</v>
      </c>
      <c r="F1578" s="4" t="s">
        <v>63</v>
      </c>
      <c r="G1578" s="4" t="s">
        <v>25</v>
      </c>
      <c r="H1578" s="4" t="s">
        <v>35</v>
      </c>
      <c r="I1578" s="5">
        <v>44075</v>
      </c>
      <c r="J1578" s="6">
        <v>0</v>
      </c>
      <c r="K1578" s="6">
        <v>0</v>
      </c>
      <c r="L1578" s="6">
        <v>265.601</v>
      </c>
      <c r="M1578" s="6">
        <v>175.29666</v>
      </c>
      <c r="N1578" s="6">
        <v>0</v>
      </c>
      <c r="O1578" s="6">
        <v>0</v>
      </c>
      <c r="P1578" s="6">
        <v>0</v>
      </c>
      <c r="Q1578" s="4" t="s">
        <v>60</v>
      </c>
      <c r="R1578" s="4">
        <v>0</v>
      </c>
      <c r="S1578" s="4" t="s">
        <v>442</v>
      </c>
      <c r="U1578" s="4">
        <v>0</v>
      </c>
      <c r="V1578" s="4">
        <v>36</v>
      </c>
      <c r="W1578" s="4">
        <v>0</v>
      </c>
    </row>
    <row r="1579" spans="1:23" ht="11.25" customHeight="1" x14ac:dyDescent="0.25">
      <c r="A1579" s="4" t="s">
        <v>21</v>
      </c>
      <c r="B1579" s="4" t="s">
        <v>44</v>
      </c>
      <c r="C1579" s="4" t="s">
        <v>34</v>
      </c>
      <c r="D1579" s="4" t="s">
        <v>48</v>
      </c>
      <c r="E1579" s="4" t="s">
        <v>25</v>
      </c>
      <c r="F1579" s="4" t="s">
        <v>25</v>
      </c>
      <c r="G1579" s="4" t="s">
        <v>25</v>
      </c>
      <c r="H1579" s="4" t="s">
        <v>36</v>
      </c>
      <c r="I1579" s="5">
        <v>43739</v>
      </c>
      <c r="J1579" s="6">
        <v>0</v>
      </c>
      <c r="K1579" s="6">
        <v>0</v>
      </c>
      <c r="L1579" s="6">
        <v>14299.428</v>
      </c>
      <c r="M1579" s="6">
        <v>14299.428</v>
      </c>
      <c r="N1579" s="6">
        <v>14299.428</v>
      </c>
      <c r="O1579" s="6">
        <v>14299.428</v>
      </c>
      <c r="P1579" s="6">
        <v>0</v>
      </c>
      <c r="Q1579" s="4" t="s">
        <v>26</v>
      </c>
      <c r="R1579" s="4">
        <v>0</v>
      </c>
      <c r="S1579" s="4" t="s">
        <v>407</v>
      </c>
      <c r="T1579" s="4" t="s">
        <v>725</v>
      </c>
      <c r="U1579" s="4">
        <v>0</v>
      </c>
      <c r="V1579" s="4">
        <v>37</v>
      </c>
      <c r="W1579" s="4">
        <v>84</v>
      </c>
    </row>
    <row r="1580" spans="1:23" ht="11.25" customHeight="1" x14ac:dyDescent="0.25">
      <c r="A1580" s="4" t="s">
        <v>28</v>
      </c>
      <c r="B1580" s="4" t="s">
        <v>44</v>
      </c>
      <c r="C1580" s="4" t="s">
        <v>34</v>
      </c>
      <c r="D1580" s="4" t="s">
        <v>48</v>
      </c>
      <c r="E1580" s="4" t="s">
        <v>25</v>
      </c>
      <c r="F1580" s="4" t="s">
        <v>25</v>
      </c>
      <c r="G1580" s="4" t="s">
        <v>25</v>
      </c>
      <c r="H1580" s="4" t="s">
        <v>36</v>
      </c>
      <c r="I1580" s="5">
        <v>43739</v>
      </c>
      <c r="J1580" s="6">
        <v>0</v>
      </c>
      <c r="K1580" s="6">
        <v>0</v>
      </c>
      <c r="L1580" s="6">
        <v>832.93200000000002</v>
      </c>
      <c r="M1580" s="6">
        <v>832.93200000000002</v>
      </c>
      <c r="N1580" s="6">
        <v>832.93200000000002</v>
      </c>
      <c r="O1580" s="6">
        <v>832.93200000000002</v>
      </c>
      <c r="P1580" s="6">
        <v>0</v>
      </c>
      <c r="Q1580" s="4" t="s">
        <v>26</v>
      </c>
      <c r="R1580" s="4">
        <v>0</v>
      </c>
      <c r="S1580" s="4" t="s">
        <v>407</v>
      </c>
      <c r="T1580" s="4" t="s">
        <v>725</v>
      </c>
      <c r="U1580" s="4">
        <v>0</v>
      </c>
      <c r="V1580" s="4">
        <v>37</v>
      </c>
      <c r="W1580" s="4">
        <v>84</v>
      </c>
    </row>
    <row r="1581" spans="1:23" ht="11.25" customHeight="1" x14ac:dyDescent="0.25">
      <c r="A1581" s="4" t="s">
        <v>21</v>
      </c>
      <c r="B1581" s="4" t="s">
        <v>44</v>
      </c>
      <c r="C1581" s="4" t="s">
        <v>34</v>
      </c>
      <c r="D1581" s="4" t="s">
        <v>48</v>
      </c>
      <c r="E1581" s="4" t="s">
        <v>25</v>
      </c>
      <c r="F1581" s="4" t="s">
        <v>25</v>
      </c>
      <c r="G1581" s="4" t="s">
        <v>25</v>
      </c>
      <c r="H1581" s="4" t="s">
        <v>36</v>
      </c>
      <c r="I1581" s="5">
        <v>43770</v>
      </c>
      <c r="J1581" s="6">
        <v>0</v>
      </c>
      <c r="K1581" s="6">
        <v>0</v>
      </c>
      <c r="L1581" s="6">
        <v>13923.145</v>
      </c>
      <c r="M1581" s="6">
        <v>13923.145</v>
      </c>
      <c r="N1581" s="6">
        <v>13923.145</v>
      </c>
      <c r="O1581" s="6">
        <v>13923.145</v>
      </c>
      <c r="P1581" s="6">
        <v>0</v>
      </c>
      <c r="Q1581" s="4" t="s">
        <v>26</v>
      </c>
      <c r="R1581" s="4">
        <v>0</v>
      </c>
      <c r="S1581" s="4" t="s">
        <v>408</v>
      </c>
      <c r="T1581" s="4" t="s">
        <v>726</v>
      </c>
      <c r="U1581" s="4">
        <v>0</v>
      </c>
      <c r="V1581" s="4">
        <v>37</v>
      </c>
      <c r="W1581" s="4">
        <v>84</v>
      </c>
    </row>
    <row r="1582" spans="1:23" ht="11.25" customHeight="1" x14ac:dyDescent="0.25">
      <c r="A1582" s="4" t="s">
        <v>28</v>
      </c>
      <c r="B1582" s="4" t="s">
        <v>44</v>
      </c>
      <c r="C1582" s="4" t="s">
        <v>34</v>
      </c>
      <c r="D1582" s="4" t="s">
        <v>48</v>
      </c>
      <c r="E1582" s="4" t="s">
        <v>25</v>
      </c>
      <c r="F1582" s="4" t="s">
        <v>25</v>
      </c>
      <c r="G1582" s="4" t="s">
        <v>25</v>
      </c>
      <c r="H1582" s="4" t="s">
        <v>36</v>
      </c>
      <c r="I1582" s="5">
        <v>43770</v>
      </c>
      <c r="J1582" s="6">
        <v>0</v>
      </c>
      <c r="K1582" s="6">
        <v>0</v>
      </c>
      <c r="L1582" s="6">
        <v>892.69299999999998</v>
      </c>
      <c r="M1582" s="6">
        <v>892.69299999999998</v>
      </c>
      <c r="N1582" s="6">
        <v>892.69299999999998</v>
      </c>
      <c r="O1582" s="6">
        <v>892.69299999999998</v>
      </c>
      <c r="P1582" s="6">
        <v>0</v>
      </c>
      <c r="Q1582" s="4" t="s">
        <v>26</v>
      </c>
      <c r="R1582" s="4">
        <v>0</v>
      </c>
      <c r="S1582" s="4" t="s">
        <v>408</v>
      </c>
      <c r="T1582" s="4" t="s">
        <v>726</v>
      </c>
      <c r="U1582" s="4">
        <v>0</v>
      </c>
      <c r="V1582" s="4">
        <v>37</v>
      </c>
      <c r="W1582" s="4">
        <v>84</v>
      </c>
    </row>
    <row r="1583" spans="1:23" ht="11.25" customHeight="1" x14ac:dyDescent="0.25">
      <c r="A1583" s="4" t="s">
        <v>21</v>
      </c>
      <c r="B1583" s="4" t="s">
        <v>44</v>
      </c>
      <c r="C1583" s="4" t="s">
        <v>34</v>
      </c>
      <c r="D1583" s="4" t="s">
        <v>48</v>
      </c>
      <c r="E1583" s="4" t="s">
        <v>25</v>
      </c>
      <c r="F1583" s="4" t="s">
        <v>25</v>
      </c>
      <c r="G1583" s="4" t="s">
        <v>25</v>
      </c>
      <c r="H1583" s="4" t="s">
        <v>36</v>
      </c>
      <c r="I1583" s="5">
        <v>43800</v>
      </c>
      <c r="J1583" s="6">
        <v>0</v>
      </c>
      <c r="K1583" s="6">
        <v>0</v>
      </c>
      <c r="L1583" s="6">
        <v>12725.377</v>
      </c>
      <c r="M1583" s="6">
        <v>12725.377</v>
      </c>
      <c r="N1583" s="6">
        <v>12725.377</v>
      </c>
      <c r="O1583" s="6">
        <v>12725.377</v>
      </c>
      <c r="P1583" s="6">
        <v>0</v>
      </c>
      <c r="Q1583" s="4" t="s">
        <v>26</v>
      </c>
      <c r="R1583" s="4">
        <v>0</v>
      </c>
      <c r="S1583" s="4" t="s">
        <v>409</v>
      </c>
      <c r="T1583" s="4" t="s">
        <v>727</v>
      </c>
      <c r="U1583" s="4">
        <v>0</v>
      </c>
      <c r="V1583" s="4">
        <v>37</v>
      </c>
      <c r="W1583" s="4">
        <v>84</v>
      </c>
    </row>
    <row r="1584" spans="1:23" ht="11.25" customHeight="1" x14ac:dyDescent="0.25">
      <c r="A1584" s="4" t="s">
        <v>27</v>
      </c>
      <c r="B1584" s="4" t="s">
        <v>44</v>
      </c>
      <c r="C1584" s="4" t="s">
        <v>34</v>
      </c>
      <c r="D1584" s="4" t="s">
        <v>48</v>
      </c>
      <c r="E1584" s="4" t="s">
        <v>25</v>
      </c>
      <c r="F1584" s="4" t="s">
        <v>25</v>
      </c>
      <c r="G1584" s="4" t="s">
        <v>25</v>
      </c>
      <c r="H1584" s="4" t="s">
        <v>36</v>
      </c>
      <c r="I1584" s="5">
        <v>43800</v>
      </c>
      <c r="J1584" s="6">
        <v>0</v>
      </c>
      <c r="K1584" s="6">
        <v>0</v>
      </c>
      <c r="L1584" s="6">
        <v>338.55799999999999</v>
      </c>
      <c r="M1584" s="6">
        <v>338.55799999999999</v>
      </c>
      <c r="N1584" s="6">
        <v>338.55799999999999</v>
      </c>
      <c r="O1584" s="6">
        <v>338.55799999999999</v>
      </c>
      <c r="P1584" s="6">
        <v>0</v>
      </c>
      <c r="Q1584" s="4" t="s">
        <v>26</v>
      </c>
      <c r="R1584" s="4">
        <v>0</v>
      </c>
      <c r="S1584" s="4" t="s">
        <v>409</v>
      </c>
      <c r="T1584" s="4" t="s">
        <v>727</v>
      </c>
      <c r="U1584" s="4">
        <v>0</v>
      </c>
      <c r="V1584" s="4">
        <v>37</v>
      </c>
      <c r="W1584" s="4">
        <v>84</v>
      </c>
    </row>
    <row r="1585" spans="1:23" ht="11.25" customHeight="1" x14ac:dyDescent="0.25">
      <c r="A1585" s="4" t="s">
        <v>28</v>
      </c>
      <c r="B1585" s="4" t="s">
        <v>44</v>
      </c>
      <c r="C1585" s="4" t="s">
        <v>34</v>
      </c>
      <c r="D1585" s="4" t="s">
        <v>48</v>
      </c>
      <c r="E1585" s="4" t="s">
        <v>25</v>
      </c>
      <c r="F1585" s="4" t="s">
        <v>25</v>
      </c>
      <c r="G1585" s="4" t="s">
        <v>25</v>
      </c>
      <c r="H1585" s="4" t="s">
        <v>36</v>
      </c>
      <c r="I1585" s="5">
        <v>43800</v>
      </c>
      <c r="J1585" s="6">
        <v>0</v>
      </c>
      <c r="K1585" s="6">
        <v>0</v>
      </c>
      <c r="L1585" s="6">
        <v>943.03899999999999</v>
      </c>
      <c r="M1585" s="6">
        <v>943.03899999999999</v>
      </c>
      <c r="N1585" s="6">
        <v>943.03899999999999</v>
      </c>
      <c r="O1585" s="6">
        <v>943.03899999999999</v>
      </c>
      <c r="P1585" s="6">
        <v>0</v>
      </c>
      <c r="Q1585" s="4" t="s">
        <v>26</v>
      </c>
      <c r="R1585" s="4">
        <v>0</v>
      </c>
      <c r="S1585" s="4" t="s">
        <v>409</v>
      </c>
      <c r="T1585" s="4" t="s">
        <v>727</v>
      </c>
      <c r="U1585" s="4">
        <v>0</v>
      </c>
      <c r="V1585" s="4">
        <v>37</v>
      </c>
      <c r="W1585" s="4">
        <v>84</v>
      </c>
    </row>
    <row r="1586" spans="1:23" ht="11.25" customHeight="1" x14ac:dyDescent="0.25">
      <c r="A1586" s="4" t="s">
        <v>21</v>
      </c>
      <c r="B1586" s="4" t="s">
        <v>44</v>
      </c>
      <c r="C1586" s="4" t="s">
        <v>34</v>
      </c>
      <c r="D1586" s="4" t="s">
        <v>48</v>
      </c>
      <c r="E1586" s="4" t="s">
        <v>25</v>
      </c>
      <c r="F1586" s="4" t="s">
        <v>25</v>
      </c>
      <c r="G1586" s="4" t="s">
        <v>25</v>
      </c>
      <c r="H1586" s="4" t="s">
        <v>36</v>
      </c>
      <c r="I1586" s="5">
        <v>43831</v>
      </c>
      <c r="J1586" s="6">
        <v>0</v>
      </c>
      <c r="K1586" s="6">
        <v>0</v>
      </c>
      <c r="L1586" s="6">
        <v>12259.43</v>
      </c>
      <c r="M1586" s="6">
        <v>12259.43</v>
      </c>
      <c r="N1586" s="6">
        <v>12259.43</v>
      </c>
      <c r="O1586" s="6">
        <v>12259.43</v>
      </c>
      <c r="P1586" s="6">
        <v>0</v>
      </c>
      <c r="Q1586" s="4" t="s">
        <v>26</v>
      </c>
      <c r="R1586" s="4">
        <v>0</v>
      </c>
      <c r="S1586" s="4" t="s">
        <v>410</v>
      </c>
      <c r="T1586" s="4" t="s">
        <v>728</v>
      </c>
      <c r="U1586" s="4">
        <v>0</v>
      </c>
      <c r="V1586" s="4">
        <v>37</v>
      </c>
      <c r="W1586" s="4">
        <v>84</v>
      </c>
    </row>
    <row r="1587" spans="1:23" ht="11.25" customHeight="1" x14ac:dyDescent="0.25">
      <c r="A1587" s="4" t="s">
        <v>28</v>
      </c>
      <c r="B1587" s="4" t="s">
        <v>44</v>
      </c>
      <c r="C1587" s="4" t="s">
        <v>34</v>
      </c>
      <c r="D1587" s="4" t="s">
        <v>48</v>
      </c>
      <c r="E1587" s="4" t="s">
        <v>25</v>
      </c>
      <c r="F1587" s="4" t="s">
        <v>25</v>
      </c>
      <c r="G1587" s="4" t="s">
        <v>25</v>
      </c>
      <c r="H1587" s="4" t="s">
        <v>36</v>
      </c>
      <c r="I1587" s="5">
        <v>43831</v>
      </c>
      <c r="J1587" s="6">
        <v>0</v>
      </c>
      <c r="K1587" s="6">
        <v>0</v>
      </c>
      <c r="L1587" s="6">
        <v>857.06799999999998</v>
      </c>
      <c r="M1587" s="6">
        <v>857.06799999999998</v>
      </c>
      <c r="N1587" s="6">
        <v>857.06799999999998</v>
      </c>
      <c r="O1587" s="6">
        <v>857.06799999999998</v>
      </c>
      <c r="P1587" s="6">
        <v>0</v>
      </c>
      <c r="Q1587" s="4" t="s">
        <v>26</v>
      </c>
      <c r="R1587" s="4">
        <v>0</v>
      </c>
      <c r="S1587" s="4" t="s">
        <v>410</v>
      </c>
      <c r="T1587" s="4" t="s">
        <v>728</v>
      </c>
      <c r="U1587" s="4">
        <v>0</v>
      </c>
      <c r="V1587" s="4">
        <v>37</v>
      </c>
      <c r="W1587" s="4">
        <v>84</v>
      </c>
    </row>
    <row r="1588" spans="1:23" ht="11.25" customHeight="1" x14ac:dyDescent="0.25">
      <c r="A1588" s="4" t="s">
        <v>21</v>
      </c>
      <c r="B1588" s="4" t="s">
        <v>44</v>
      </c>
      <c r="C1588" s="4" t="s">
        <v>34</v>
      </c>
      <c r="D1588" s="4" t="s">
        <v>48</v>
      </c>
      <c r="E1588" s="4" t="s">
        <v>25</v>
      </c>
      <c r="F1588" s="4" t="s">
        <v>25</v>
      </c>
      <c r="G1588" s="4" t="s">
        <v>25</v>
      </c>
      <c r="H1588" s="4" t="s">
        <v>36</v>
      </c>
      <c r="I1588" s="5">
        <v>43862</v>
      </c>
      <c r="J1588" s="6">
        <v>0</v>
      </c>
      <c r="K1588" s="6">
        <v>0</v>
      </c>
      <c r="L1588" s="6">
        <v>13232.063</v>
      </c>
      <c r="M1588" s="6">
        <v>13232.063</v>
      </c>
      <c r="N1588" s="6">
        <v>13232.063</v>
      </c>
      <c r="O1588" s="6">
        <v>13232.063</v>
      </c>
      <c r="P1588" s="6">
        <v>0</v>
      </c>
      <c r="Q1588" s="4" t="s">
        <v>26</v>
      </c>
      <c r="R1588" s="4">
        <v>0</v>
      </c>
      <c r="S1588" s="4" t="s">
        <v>411</v>
      </c>
      <c r="T1588" s="4" t="s">
        <v>729</v>
      </c>
      <c r="U1588" s="4">
        <v>0</v>
      </c>
      <c r="V1588" s="4">
        <v>37</v>
      </c>
      <c r="W1588" s="4">
        <v>84</v>
      </c>
    </row>
    <row r="1589" spans="1:23" ht="11.25" customHeight="1" x14ac:dyDescent="0.25">
      <c r="A1589" s="4" t="s">
        <v>28</v>
      </c>
      <c r="B1589" s="4" t="s">
        <v>44</v>
      </c>
      <c r="C1589" s="4" t="s">
        <v>34</v>
      </c>
      <c r="D1589" s="4" t="s">
        <v>48</v>
      </c>
      <c r="E1589" s="4" t="s">
        <v>25</v>
      </c>
      <c r="F1589" s="4" t="s">
        <v>25</v>
      </c>
      <c r="G1589" s="4" t="s">
        <v>25</v>
      </c>
      <c r="H1589" s="4" t="s">
        <v>36</v>
      </c>
      <c r="I1589" s="5">
        <v>43862</v>
      </c>
      <c r="J1589" s="6">
        <v>0</v>
      </c>
      <c r="K1589" s="6">
        <v>0</v>
      </c>
      <c r="L1589" s="6">
        <v>943.62199999999996</v>
      </c>
      <c r="M1589" s="6">
        <v>943.62199999999996</v>
      </c>
      <c r="N1589" s="6">
        <v>943.62199999999996</v>
      </c>
      <c r="O1589" s="6">
        <v>943.62199999999996</v>
      </c>
      <c r="P1589" s="6">
        <v>0</v>
      </c>
      <c r="Q1589" s="4" t="s">
        <v>26</v>
      </c>
      <c r="R1589" s="4">
        <v>0</v>
      </c>
      <c r="S1589" s="4" t="s">
        <v>411</v>
      </c>
      <c r="T1589" s="4" t="s">
        <v>729</v>
      </c>
      <c r="U1589" s="4">
        <v>0</v>
      </c>
      <c r="V1589" s="4">
        <v>37</v>
      </c>
      <c r="W1589" s="4">
        <v>84</v>
      </c>
    </row>
    <row r="1590" spans="1:23" ht="11.25" customHeight="1" x14ac:dyDescent="0.25">
      <c r="A1590" s="4" t="s">
        <v>21</v>
      </c>
      <c r="B1590" s="4" t="s">
        <v>44</v>
      </c>
      <c r="C1590" s="4" t="s">
        <v>34</v>
      </c>
      <c r="D1590" s="4" t="s">
        <v>48</v>
      </c>
      <c r="E1590" s="4" t="s">
        <v>25</v>
      </c>
      <c r="F1590" s="4" t="s">
        <v>25</v>
      </c>
      <c r="G1590" s="4" t="s">
        <v>25</v>
      </c>
      <c r="H1590" s="4" t="s">
        <v>36</v>
      </c>
      <c r="I1590" s="5">
        <v>43891</v>
      </c>
      <c r="J1590" s="6">
        <v>0</v>
      </c>
      <c r="K1590" s="6">
        <v>0</v>
      </c>
      <c r="L1590" s="6">
        <v>11712.858</v>
      </c>
      <c r="M1590" s="6">
        <v>11712.858</v>
      </c>
      <c r="N1590" s="6">
        <v>11712.858</v>
      </c>
      <c r="O1590" s="6">
        <v>11712.858</v>
      </c>
      <c r="P1590" s="6">
        <v>0</v>
      </c>
      <c r="Q1590" s="4" t="s">
        <v>26</v>
      </c>
      <c r="R1590" s="4">
        <v>0</v>
      </c>
      <c r="S1590" s="4" t="s">
        <v>412</v>
      </c>
      <c r="T1590" s="4" t="s">
        <v>730</v>
      </c>
      <c r="U1590" s="4">
        <v>0</v>
      </c>
      <c r="V1590" s="4">
        <v>37</v>
      </c>
      <c r="W1590" s="4">
        <v>84</v>
      </c>
    </row>
    <row r="1591" spans="1:23" ht="11.25" customHeight="1" x14ac:dyDescent="0.25">
      <c r="A1591" s="4" t="s">
        <v>28</v>
      </c>
      <c r="B1591" s="4" t="s">
        <v>44</v>
      </c>
      <c r="C1591" s="4" t="s">
        <v>34</v>
      </c>
      <c r="D1591" s="4" t="s">
        <v>48</v>
      </c>
      <c r="E1591" s="4" t="s">
        <v>25</v>
      </c>
      <c r="F1591" s="4" t="s">
        <v>25</v>
      </c>
      <c r="G1591" s="4" t="s">
        <v>25</v>
      </c>
      <c r="H1591" s="4" t="s">
        <v>36</v>
      </c>
      <c r="I1591" s="5">
        <v>43891</v>
      </c>
      <c r="J1591" s="6">
        <v>0</v>
      </c>
      <c r="K1591" s="6">
        <v>0</v>
      </c>
      <c r="L1591" s="6">
        <v>835.23400000000004</v>
      </c>
      <c r="M1591" s="6">
        <v>835.23400000000004</v>
      </c>
      <c r="N1591" s="6">
        <v>835.23400000000004</v>
      </c>
      <c r="O1591" s="6">
        <v>835.23400000000004</v>
      </c>
      <c r="P1591" s="6">
        <v>0</v>
      </c>
      <c r="Q1591" s="4" t="s">
        <v>26</v>
      </c>
      <c r="R1591" s="4">
        <v>0</v>
      </c>
      <c r="S1591" s="4" t="s">
        <v>412</v>
      </c>
      <c r="T1591" s="4" t="s">
        <v>730</v>
      </c>
      <c r="U1591" s="4">
        <v>0</v>
      </c>
      <c r="V1591" s="4">
        <v>37</v>
      </c>
      <c r="W1591" s="4">
        <v>84</v>
      </c>
    </row>
    <row r="1592" spans="1:23" ht="11.25" customHeight="1" x14ac:dyDescent="0.25">
      <c r="A1592" s="4" t="s">
        <v>21</v>
      </c>
      <c r="B1592" s="4" t="s">
        <v>44</v>
      </c>
      <c r="C1592" s="4" t="s">
        <v>34</v>
      </c>
      <c r="D1592" s="4" t="s">
        <v>48</v>
      </c>
      <c r="E1592" s="4" t="s">
        <v>25</v>
      </c>
      <c r="F1592" s="4" t="s">
        <v>25</v>
      </c>
      <c r="G1592" s="4" t="s">
        <v>25</v>
      </c>
      <c r="H1592" s="4" t="s">
        <v>36</v>
      </c>
      <c r="I1592" s="5">
        <v>43922</v>
      </c>
      <c r="J1592" s="6">
        <v>0</v>
      </c>
      <c r="K1592" s="6">
        <v>0</v>
      </c>
      <c r="L1592" s="6">
        <v>10897.46</v>
      </c>
      <c r="M1592" s="6">
        <v>10897.46</v>
      </c>
      <c r="N1592" s="6">
        <v>10897.46</v>
      </c>
      <c r="O1592" s="6">
        <v>10897.46</v>
      </c>
      <c r="P1592" s="6">
        <v>0</v>
      </c>
      <c r="Q1592" s="4" t="s">
        <v>26</v>
      </c>
      <c r="R1592" s="4">
        <v>0</v>
      </c>
      <c r="S1592" s="4" t="s">
        <v>413</v>
      </c>
      <c r="T1592" s="4" t="s">
        <v>731</v>
      </c>
      <c r="U1592" s="4">
        <v>0</v>
      </c>
      <c r="V1592" s="4">
        <v>37</v>
      </c>
      <c r="W1592" s="4">
        <v>84</v>
      </c>
    </row>
    <row r="1593" spans="1:23" ht="11.25" customHeight="1" x14ac:dyDescent="0.25">
      <c r="A1593" s="4" t="s">
        <v>27</v>
      </c>
      <c r="B1593" s="4" t="s">
        <v>44</v>
      </c>
      <c r="C1593" s="4" t="s">
        <v>34</v>
      </c>
      <c r="D1593" s="4" t="s">
        <v>48</v>
      </c>
      <c r="E1593" s="4" t="s">
        <v>25</v>
      </c>
      <c r="F1593" s="4" t="s">
        <v>25</v>
      </c>
      <c r="G1593" s="4" t="s">
        <v>25</v>
      </c>
      <c r="H1593" s="4" t="s">
        <v>36</v>
      </c>
      <c r="I1593" s="5">
        <v>43922</v>
      </c>
      <c r="J1593" s="6">
        <v>0</v>
      </c>
      <c r="K1593" s="6">
        <v>0</v>
      </c>
      <c r="L1593" s="6">
        <v>152.595</v>
      </c>
      <c r="M1593" s="6">
        <v>152.595</v>
      </c>
      <c r="N1593" s="6">
        <v>152.595</v>
      </c>
      <c r="O1593" s="6">
        <v>152.595</v>
      </c>
      <c r="P1593" s="6">
        <v>0</v>
      </c>
      <c r="Q1593" s="4" t="s">
        <v>26</v>
      </c>
      <c r="R1593" s="4">
        <v>0</v>
      </c>
      <c r="S1593" s="4" t="s">
        <v>413</v>
      </c>
      <c r="T1593" s="4" t="s">
        <v>731</v>
      </c>
      <c r="U1593" s="4">
        <v>0</v>
      </c>
      <c r="V1593" s="4">
        <v>37</v>
      </c>
      <c r="W1593" s="4">
        <v>84</v>
      </c>
    </row>
    <row r="1594" spans="1:23" ht="11.25" customHeight="1" x14ac:dyDescent="0.25">
      <c r="A1594" s="4" t="s">
        <v>28</v>
      </c>
      <c r="B1594" s="4" t="s">
        <v>44</v>
      </c>
      <c r="C1594" s="4" t="s">
        <v>34</v>
      </c>
      <c r="D1594" s="4" t="s">
        <v>48</v>
      </c>
      <c r="E1594" s="4" t="s">
        <v>25</v>
      </c>
      <c r="F1594" s="4" t="s">
        <v>25</v>
      </c>
      <c r="G1594" s="4" t="s">
        <v>25</v>
      </c>
      <c r="H1594" s="4" t="s">
        <v>36</v>
      </c>
      <c r="I1594" s="5">
        <v>43922</v>
      </c>
      <c r="J1594" s="6">
        <v>0</v>
      </c>
      <c r="K1594" s="6">
        <v>0</v>
      </c>
      <c r="L1594" s="6">
        <v>730.22900000000004</v>
      </c>
      <c r="M1594" s="6">
        <v>730.22900000000004</v>
      </c>
      <c r="N1594" s="6">
        <v>730.22900000000004</v>
      </c>
      <c r="O1594" s="6">
        <v>730.22900000000004</v>
      </c>
      <c r="P1594" s="6">
        <v>0</v>
      </c>
      <c r="Q1594" s="4" t="s">
        <v>26</v>
      </c>
      <c r="R1594" s="4">
        <v>0</v>
      </c>
      <c r="S1594" s="4" t="s">
        <v>413</v>
      </c>
      <c r="T1594" s="4" t="s">
        <v>731</v>
      </c>
      <c r="U1594" s="4">
        <v>0</v>
      </c>
      <c r="V1594" s="4">
        <v>37</v>
      </c>
      <c r="W1594" s="4">
        <v>84</v>
      </c>
    </row>
    <row r="1595" spans="1:23" ht="11.25" customHeight="1" x14ac:dyDescent="0.25">
      <c r="A1595" s="4" t="s">
        <v>21</v>
      </c>
      <c r="B1595" s="4" t="s">
        <v>44</v>
      </c>
      <c r="C1595" s="4" t="s">
        <v>34</v>
      </c>
      <c r="D1595" s="4" t="s">
        <v>48</v>
      </c>
      <c r="E1595" s="4" t="s">
        <v>25</v>
      </c>
      <c r="F1595" s="4" t="s">
        <v>25</v>
      </c>
      <c r="G1595" s="4" t="s">
        <v>25</v>
      </c>
      <c r="H1595" s="4" t="s">
        <v>36</v>
      </c>
      <c r="I1595" s="5">
        <v>43952</v>
      </c>
      <c r="J1595" s="6">
        <v>0</v>
      </c>
      <c r="K1595" s="6">
        <v>0</v>
      </c>
      <c r="L1595" s="6">
        <v>8335.4920000000002</v>
      </c>
      <c r="M1595" s="6">
        <v>8335.4920000000002</v>
      </c>
      <c r="N1595" s="6">
        <v>8335.4920000000002</v>
      </c>
      <c r="O1595" s="6">
        <v>8335.4920000000002</v>
      </c>
      <c r="P1595" s="6">
        <v>0</v>
      </c>
      <c r="Q1595" s="4" t="s">
        <v>26</v>
      </c>
      <c r="R1595" s="4">
        <v>0</v>
      </c>
      <c r="S1595" s="4" t="s">
        <v>414</v>
      </c>
      <c r="T1595" s="4" t="s">
        <v>732</v>
      </c>
      <c r="U1595" s="4">
        <v>0</v>
      </c>
      <c r="V1595" s="4">
        <v>37</v>
      </c>
      <c r="W1595" s="4">
        <v>84</v>
      </c>
    </row>
    <row r="1596" spans="1:23" ht="11.25" customHeight="1" x14ac:dyDescent="0.25">
      <c r="A1596" s="4" t="s">
        <v>28</v>
      </c>
      <c r="B1596" s="4" t="s">
        <v>44</v>
      </c>
      <c r="C1596" s="4" t="s">
        <v>34</v>
      </c>
      <c r="D1596" s="4" t="s">
        <v>48</v>
      </c>
      <c r="E1596" s="4" t="s">
        <v>25</v>
      </c>
      <c r="F1596" s="4" t="s">
        <v>25</v>
      </c>
      <c r="G1596" s="4" t="s">
        <v>25</v>
      </c>
      <c r="H1596" s="4" t="s">
        <v>36</v>
      </c>
      <c r="I1596" s="5">
        <v>43952</v>
      </c>
      <c r="J1596" s="6">
        <v>0</v>
      </c>
      <c r="K1596" s="6">
        <v>0</v>
      </c>
      <c r="L1596" s="6">
        <v>536.40099999999995</v>
      </c>
      <c r="M1596" s="6">
        <v>536.40099999999995</v>
      </c>
      <c r="N1596" s="6">
        <v>536.40099999999995</v>
      </c>
      <c r="O1596" s="6">
        <v>536.40099999999995</v>
      </c>
      <c r="P1596" s="6">
        <v>0</v>
      </c>
      <c r="Q1596" s="4" t="s">
        <v>26</v>
      </c>
      <c r="R1596" s="4">
        <v>0</v>
      </c>
      <c r="S1596" s="4" t="s">
        <v>414</v>
      </c>
      <c r="T1596" s="4" t="s">
        <v>732</v>
      </c>
      <c r="U1596" s="4">
        <v>0</v>
      </c>
      <c r="V1596" s="4">
        <v>37</v>
      </c>
      <c r="W1596" s="4">
        <v>84</v>
      </c>
    </row>
    <row r="1597" spans="1:23" ht="11.25" customHeight="1" x14ac:dyDescent="0.25">
      <c r="A1597" s="4" t="s">
        <v>21</v>
      </c>
      <c r="B1597" s="4" t="s">
        <v>44</v>
      </c>
      <c r="C1597" s="4" t="s">
        <v>34</v>
      </c>
      <c r="D1597" s="4" t="s">
        <v>48</v>
      </c>
      <c r="E1597" s="4" t="s">
        <v>25</v>
      </c>
      <c r="F1597" s="4" t="s">
        <v>25</v>
      </c>
      <c r="G1597" s="4" t="s">
        <v>25</v>
      </c>
      <c r="H1597" s="4" t="s">
        <v>36</v>
      </c>
      <c r="I1597" s="5">
        <v>43983</v>
      </c>
      <c r="J1597" s="6">
        <v>0</v>
      </c>
      <c r="K1597" s="6">
        <v>0</v>
      </c>
      <c r="L1597" s="6">
        <v>8333.5319999999992</v>
      </c>
      <c r="M1597" s="6">
        <v>8333.5319999999992</v>
      </c>
      <c r="N1597" s="6">
        <v>8333.5319999999992</v>
      </c>
      <c r="O1597" s="6">
        <v>8333.5319999999992</v>
      </c>
      <c r="P1597" s="6">
        <v>0</v>
      </c>
      <c r="Q1597" s="4" t="s">
        <v>26</v>
      </c>
      <c r="R1597" s="4">
        <v>0</v>
      </c>
      <c r="S1597" s="4" t="s">
        <v>415</v>
      </c>
      <c r="T1597" s="4" t="s">
        <v>733</v>
      </c>
      <c r="U1597" s="4">
        <v>0</v>
      </c>
      <c r="V1597" s="4">
        <v>37</v>
      </c>
      <c r="W1597" s="4">
        <v>84</v>
      </c>
    </row>
    <row r="1598" spans="1:23" ht="11.25" customHeight="1" x14ac:dyDescent="0.25">
      <c r="A1598" s="4" t="s">
        <v>28</v>
      </c>
      <c r="B1598" s="4" t="s">
        <v>44</v>
      </c>
      <c r="C1598" s="4" t="s">
        <v>34</v>
      </c>
      <c r="D1598" s="4" t="s">
        <v>48</v>
      </c>
      <c r="E1598" s="4" t="s">
        <v>25</v>
      </c>
      <c r="F1598" s="4" t="s">
        <v>25</v>
      </c>
      <c r="G1598" s="4" t="s">
        <v>25</v>
      </c>
      <c r="H1598" s="4" t="s">
        <v>36</v>
      </c>
      <c r="I1598" s="5">
        <v>43983</v>
      </c>
      <c r="J1598" s="6">
        <v>0</v>
      </c>
      <c r="K1598" s="6">
        <v>0</v>
      </c>
      <c r="L1598" s="6">
        <v>769.31</v>
      </c>
      <c r="M1598" s="6">
        <v>769.31</v>
      </c>
      <c r="N1598" s="6">
        <v>769.31</v>
      </c>
      <c r="O1598" s="6">
        <v>769.31</v>
      </c>
      <c r="P1598" s="6">
        <v>0</v>
      </c>
      <c r="Q1598" s="4" t="s">
        <v>26</v>
      </c>
      <c r="R1598" s="4">
        <v>0</v>
      </c>
      <c r="S1598" s="4" t="s">
        <v>415</v>
      </c>
      <c r="T1598" s="4" t="s">
        <v>733</v>
      </c>
      <c r="U1598" s="4">
        <v>0</v>
      </c>
      <c r="V1598" s="4">
        <v>37</v>
      </c>
      <c r="W1598" s="4">
        <v>84</v>
      </c>
    </row>
    <row r="1599" spans="1:23" ht="11.25" customHeight="1" x14ac:dyDescent="0.25">
      <c r="A1599" s="4" t="s">
        <v>21</v>
      </c>
      <c r="B1599" s="4" t="s">
        <v>44</v>
      </c>
      <c r="C1599" s="4" t="s">
        <v>34</v>
      </c>
      <c r="D1599" s="4" t="s">
        <v>48</v>
      </c>
      <c r="E1599" s="4" t="s">
        <v>25</v>
      </c>
      <c r="F1599" s="4" t="s">
        <v>25</v>
      </c>
      <c r="G1599" s="4" t="s">
        <v>25</v>
      </c>
      <c r="H1599" s="4" t="s">
        <v>36</v>
      </c>
      <c r="I1599" s="5">
        <v>44013</v>
      </c>
      <c r="J1599" s="6">
        <v>0</v>
      </c>
      <c r="K1599" s="6">
        <v>0</v>
      </c>
      <c r="L1599" s="6">
        <v>7726.7879999999996</v>
      </c>
      <c r="M1599" s="6">
        <v>7726.7879999999996</v>
      </c>
      <c r="N1599" s="6">
        <v>7726.7879999999996</v>
      </c>
      <c r="O1599" s="6">
        <v>7726.7879999999996</v>
      </c>
      <c r="P1599" s="6">
        <v>0</v>
      </c>
      <c r="Q1599" s="4" t="s">
        <v>26</v>
      </c>
      <c r="R1599" s="4">
        <v>0</v>
      </c>
      <c r="S1599" s="4" t="s">
        <v>416</v>
      </c>
      <c r="T1599" s="4" t="s">
        <v>734</v>
      </c>
      <c r="U1599" s="4">
        <v>0</v>
      </c>
      <c r="V1599" s="4">
        <v>37</v>
      </c>
      <c r="W1599" s="4">
        <v>84</v>
      </c>
    </row>
    <row r="1600" spans="1:23" ht="11.25" customHeight="1" x14ac:dyDescent="0.25">
      <c r="A1600" s="4" t="s">
        <v>28</v>
      </c>
      <c r="B1600" s="4" t="s">
        <v>44</v>
      </c>
      <c r="C1600" s="4" t="s">
        <v>34</v>
      </c>
      <c r="D1600" s="4" t="s">
        <v>48</v>
      </c>
      <c r="E1600" s="4" t="s">
        <v>25</v>
      </c>
      <c r="F1600" s="4" t="s">
        <v>25</v>
      </c>
      <c r="G1600" s="4" t="s">
        <v>25</v>
      </c>
      <c r="H1600" s="4" t="s">
        <v>36</v>
      </c>
      <c r="I1600" s="5">
        <v>44013</v>
      </c>
      <c r="J1600" s="6">
        <v>0</v>
      </c>
      <c r="K1600" s="6">
        <v>0</v>
      </c>
      <c r="L1600" s="6">
        <v>723.62300000000005</v>
      </c>
      <c r="M1600" s="6">
        <v>723.62300000000005</v>
      </c>
      <c r="N1600" s="6">
        <v>723.62300000000005</v>
      </c>
      <c r="O1600" s="6">
        <v>723.62300000000005</v>
      </c>
      <c r="P1600" s="6">
        <v>0</v>
      </c>
      <c r="Q1600" s="4" t="s">
        <v>26</v>
      </c>
      <c r="R1600" s="4">
        <v>0</v>
      </c>
      <c r="S1600" s="4" t="s">
        <v>416</v>
      </c>
      <c r="T1600" s="4" t="s">
        <v>734</v>
      </c>
      <c r="U1600" s="4">
        <v>0</v>
      </c>
      <c r="V1600" s="4">
        <v>37</v>
      </c>
      <c r="W1600" s="4">
        <v>84</v>
      </c>
    </row>
    <row r="1601" spans="1:23" ht="11.25" customHeight="1" x14ac:dyDescent="0.25">
      <c r="A1601" s="4" t="s">
        <v>21</v>
      </c>
      <c r="B1601" s="4" t="s">
        <v>44</v>
      </c>
      <c r="C1601" s="4" t="s">
        <v>34</v>
      </c>
      <c r="D1601" s="4" t="s">
        <v>48</v>
      </c>
      <c r="E1601" s="4" t="s">
        <v>25</v>
      </c>
      <c r="F1601" s="4" t="s">
        <v>25</v>
      </c>
      <c r="G1601" s="4" t="s">
        <v>25</v>
      </c>
      <c r="H1601" s="4" t="s">
        <v>36</v>
      </c>
      <c r="I1601" s="5">
        <v>44044</v>
      </c>
      <c r="J1601" s="6">
        <v>0</v>
      </c>
      <c r="K1601" s="6">
        <v>0</v>
      </c>
      <c r="L1601" s="6">
        <v>7336.2430000000004</v>
      </c>
      <c r="M1601" s="6">
        <v>7336.2430000000004</v>
      </c>
      <c r="N1601" s="6">
        <v>7336.2430000000004</v>
      </c>
      <c r="O1601" s="6">
        <v>7336.2430000000004</v>
      </c>
      <c r="P1601" s="6">
        <v>0</v>
      </c>
      <c r="Q1601" s="4" t="s">
        <v>26</v>
      </c>
      <c r="R1601" s="4">
        <v>0</v>
      </c>
      <c r="S1601" s="4" t="s">
        <v>417</v>
      </c>
      <c r="T1601" s="4" t="s">
        <v>735</v>
      </c>
      <c r="U1601" s="4">
        <v>0</v>
      </c>
      <c r="V1601" s="4">
        <v>37</v>
      </c>
      <c r="W1601" s="4">
        <v>84</v>
      </c>
    </row>
    <row r="1602" spans="1:23" ht="11.25" customHeight="1" x14ac:dyDescent="0.25">
      <c r="A1602" s="4" t="s">
        <v>27</v>
      </c>
      <c r="B1602" s="4" t="s">
        <v>44</v>
      </c>
      <c r="C1602" s="4" t="s">
        <v>34</v>
      </c>
      <c r="D1602" s="4" t="s">
        <v>48</v>
      </c>
      <c r="E1602" s="4" t="s">
        <v>25</v>
      </c>
      <c r="F1602" s="4" t="s">
        <v>25</v>
      </c>
      <c r="G1602" s="4" t="s">
        <v>25</v>
      </c>
      <c r="H1602" s="4" t="s">
        <v>36</v>
      </c>
      <c r="I1602" s="5">
        <v>44044</v>
      </c>
      <c r="J1602" s="6">
        <v>0</v>
      </c>
      <c r="K1602" s="6">
        <v>0</v>
      </c>
      <c r="L1602" s="6">
        <v>246.01599999999999</v>
      </c>
      <c r="M1602" s="6">
        <v>246.01599999999999</v>
      </c>
      <c r="N1602" s="6">
        <v>246.01599999999999</v>
      </c>
      <c r="O1602" s="6">
        <v>246.01599999999999</v>
      </c>
      <c r="P1602" s="6">
        <v>0</v>
      </c>
      <c r="Q1602" s="4" t="s">
        <v>26</v>
      </c>
      <c r="R1602" s="4">
        <v>0</v>
      </c>
      <c r="S1602" s="4" t="s">
        <v>417</v>
      </c>
      <c r="T1602" s="4" t="s">
        <v>735</v>
      </c>
      <c r="U1602" s="4">
        <v>0</v>
      </c>
      <c r="V1602" s="4">
        <v>37</v>
      </c>
      <c r="W1602" s="4">
        <v>84</v>
      </c>
    </row>
    <row r="1603" spans="1:23" ht="11.25" customHeight="1" x14ac:dyDescent="0.25">
      <c r="A1603" s="4" t="s">
        <v>28</v>
      </c>
      <c r="B1603" s="4" t="s">
        <v>44</v>
      </c>
      <c r="C1603" s="4" t="s">
        <v>34</v>
      </c>
      <c r="D1603" s="4" t="s">
        <v>48</v>
      </c>
      <c r="E1603" s="4" t="s">
        <v>25</v>
      </c>
      <c r="F1603" s="4" t="s">
        <v>25</v>
      </c>
      <c r="G1603" s="4" t="s">
        <v>25</v>
      </c>
      <c r="H1603" s="4" t="s">
        <v>36</v>
      </c>
      <c r="I1603" s="5">
        <v>44044</v>
      </c>
      <c r="J1603" s="6">
        <v>0</v>
      </c>
      <c r="K1603" s="6">
        <v>0</v>
      </c>
      <c r="L1603" s="6">
        <v>757.66300000000001</v>
      </c>
      <c r="M1603" s="6">
        <v>757.66300000000001</v>
      </c>
      <c r="N1603" s="6">
        <v>757.66300000000001</v>
      </c>
      <c r="O1603" s="6">
        <v>757.66300000000001</v>
      </c>
      <c r="P1603" s="6">
        <v>0</v>
      </c>
      <c r="Q1603" s="4" t="s">
        <v>26</v>
      </c>
      <c r="R1603" s="4">
        <v>0</v>
      </c>
      <c r="S1603" s="4" t="s">
        <v>417</v>
      </c>
      <c r="T1603" s="4" t="s">
        <v>735</v>
      </c>
      <c r="U1603" s="4">
        <v>0</v>
      </c>
      <c r="V1603" s="4">
        <v>37</v>
      </c>
      <c r="W1603" s="4">
        <v>84</v>
      </c>
    </row>
    <row r="1604" spans="1:23" ht="11.25" customHeight="1" x14ac:dyDescent="0.25">
      <c r="A1604" s="4" t="s">
        <v>59</v>
      </c>
      <c r="B1604" s="4" t="s">
        <v>44</v>
      </c>
      <c r="C1604" s="4" t="s">
        <v>34</v>
      </c>
      <c r="D1604" s="4" t="s">
        <v>48</v>
      </c>
      <c r="E1604" s="4" t="s">
        <v>25</v>
      </c>
      <c r="F1604" s="4" t="s">
        <v>25</v>
      </c>
      <c r="G1604" s="4" t="s">
        <v>25</v>
      </c>
      <c r="H1604" s="4" t="s">
        <v>36</v>
      </c>
      <c r="I1604" s="5">
        <v>44075</v>
      </c>
      <c r="J1604" s="6">
        <v>0</v>
      </c>
      <c r="K1604" s="6">
        <v>0</v>
      </c>
      <c r="L1604" s="6">
        <v>7336.2430000000004</v>
      </c>
      <c r="M1604" s="6">
        <v>7336.2430000000004</v>
      </c>
      <c r="N1604" s="6">
        <v>7336.2430000000004</v>
      </c>
      <c r="O1604" s="6">
        <v>7336.2430000000004</v>
      </c>
      <c r="P1604" s="6">
        <v>0</v>
      </c>
      <c r="Q1604" s="4" t="s">
        <v>26</v>
      </c>
      <c r="R1604" s="4">
        <v>0</v>
      </c>
      <c r="S1604" s="4" t="s">
        <v>418</v>
      </c>
      <c r="T1604" s="4" t="s">
        <v>736</v>
      </c>
      <c r="U1604" s="4">
        <v>0</v>
      </c>
      <c r="V1604" s="4">
        <v>37</v>
      </c>
      <c r="W1604" s="4">
        <v>84</v>
      </c>
    </row>
    <row r="1605" spans="1:23" ht="11.25" customHeight="1" x14ac:dyDescent="0.25">
      <c r="A1605" s="4" t="s">
        <v>59</v>
      </c>
      <c r="B1605" s="4" t="s">
        <v>44</v>
      </c>
      <c r="C1605" s="4" t="s">
        <v>34</v>
      </c>
      <c r="D1605" s="4" t="s">
        <v>48</v>
      </c>
      <c r="E1605" s="4" t="s">
        <v>25</v>
      </c>
      <c r="F1605" s="4" t="s">
        <v>25</v>
      </c>
      <c r="G1605" s="4" t="s">
        <v>25</v>
      </c>
      <c r="H1605" s="4" t="s">
        <v>36</v>
      </c>
      <c r="I1605" s="5">
        <v>44075</v>
      </c>
      <c r="J1605" s="6">
        <v>0</v>
      </c>
      <c r="K1605" s="6">
        <v>0</v>
      </c>
      <c r="L1605" s="6">
        <v>246.01599999999999</v>
      </c>
      <c r="M1605" s="6">
        <v>246.01599999999999</v>
      </c>
      <c r="N1605" s="6">
        <v>246.01599999999999</v>
      </c>
      <c r="O1605" s="6">
        <v>246.01599999999999</v>
      </c>
      <c r="P1605" s="6">
        <v>0</v>
      </c>
      <c r="Q1605" s="4" t="s">
        <v>26</v>
      </c>
      <c r="R1605" s="4">
        <v>0</v>
      </c>
      <c r="S1605" s="4" t="s">
        <v>418</v>
      </c>
      <c r="T1605" s="4" t="s">
        <v>736</v>
      </c>
      <c r="U1605" s="4">
        <v>0</v>
      </c>
      <c r="V1605" s="4">
        <v>37</v>
      </c>
      <c r="W1605" s="4">
        <v>84</v>
      </c>
    </row>
    <row r="1606" spans="1:23" ht="11.25" customHeight="1" x14ac:dyDescent="0.25">
      <c r="A1606" s="4" t="s">
        <v>59</v>
      </c>
      <c r="B1606" s="4" t="s">
        <v>44</v>
      </c>
      <c r="C1606" s="4" t="s">
        <v>34</v>
      </c>
      <c r="D1606" s="4" t="s">
        <v>48</v>
      </c>
      <c r="E1606" s="4" t="s">
        <v>25</v>
      </c>
      <c r="F1606" s="4" t="s">
        <v>25</v>
      </c>
      <c r="G1606" s="4" t="s">
        <v>25</v>
      </c>
      <c r="H1606" s="4" t="s">
        <v>36</v>
      </c>
      <c r="I1606" s="5">
        <v>44075</v>
      </c>
      <c r="J1606" s="6">
        <v>0</v>
      </c>
      <c r="K1606" s="6">
        <v>0</v>
      </c>
      <c r="L1606" s="6">
        <v>757.66300000000001</v>
      </c>
      <c r="M1606" s="6">
        <v>757.66300000000001</v>
      </c>
      <c r="N1606" s="6">
        <v>757.66300000000001</v>
      </c>
      <c r="O1606" s="6">
        <v>757.66300000000001</v>
      </c>
      <c r="P1606" s="6">
        <v>0</v>
      </c>
      <c r="Q1606" s="4" t="s">
        <v>26</v>
      </c>
      <c r="R1606" s="4">
        <v>0</v>
      </c>
      <c r="S1606" s="4" t="s">
        <v>418</v>
      </c>
      <c r="T1606" s="4" t="s">
        <v>736</v>
      </c>
      <c r="U1606" s="4">
        <v>0</v>
      </c>
      <c r="V1606" s="4">
        <v>37</v>
      </c>
      <c r="W1606" s="4">
        <v>84</v>
      </c>
    </row>
    <row r="1607" spans="1:23" ht="11.25" customHeight="1" x14ac:dyDescent="0.25">
      <c r="A1607" s="4" t="s">
        <v>21</v>
      </c>
      <c r="B1607" s="4" t="s">
        <v>44</v>
      </c>
      <c r="C1607" s="4" t="s">
        <v>34</v>
      </c>
      <c r="D1607" s="4" t="s">
        <v>48</v>
      </c>
      <c r="E1607" s="4" t="s">
        <v>25</v>
      </c>
      <c r="F1607" s="4" t="s">
        <v>25</v>
      </c>
      <c r="G1607" s="4" t="s">
        <v>25</v>
      </c>
      <c r="H1607" s="4" t="s">
        <v>25</v>
      </c>
      <c r="I1607" s="5">
        <v>43739</v>
      </c>
      <c r="J1607" s="6">
        <v>64253</v>
      </c>
      <c r="K1607" s="6">
        <v>64253</v>
      </c>
      <c r="L1607" s="6">
        <v>0</v>
      </c>
      <c r="M1607" s="6">
        <v>0</v>
      </c>
      <c r="N1607" s="6">
        <v>0</v>
      </c>
      <c r="O1607" s="6">
        <v>0</v>
      </c>
      <c r="P1607" s="6">
        <v>86</v>
      </c>
      <c r="Q1607" s="4" t="s">
        <v>26</v>
      </c>
      <c r="R1607" s="4">
        <v>0</v>
      </c>
      <c r="S1607" s="4" t="s">
        <v>419</v>
      </c>
      <c r="U1607" s="4">
        <v>35</v>
      </c>
      <c r="V1607" s="4">
        <v>0</v>
      </c>
      <c r="W1607" s="4">
        <v>0</v>
      </c>
    </row>
    <row r="1608" spans="1:23" ht="11.25" customHeight="1" x14ac:dyDescent="0.25">
      <c r="A1608" s="4" t="s">
        <v>28</v>
      </c>
      <c r="B1608" s="4" t="s">
        <v>44</v>
      </c>
      <c r="C1608" s="4" t="s">
        <v>34</v>
      </c>
      <c r="D1608" s="4" t="s">
        <v>48</v>
      </c>
      <c r="E1608" s="4" t="s">
        <v>25</v>
      </c>
      <c r="F1608" s="4" t="s">
        <v>25</v>
      </c>
      <c r="G1608" s="4" t="s">
        <v>25</v>
      </c>
      <c r="H1608" s="4" t="s">
        <v>25</v>
      </c>
      <c r="I1608" s="5">
        <v>43739</v>
      </c>
      <c r="J1608" s="6">
        <v>4700</v>
      </c>
      <c r="K1608" s="6">
        <v>4700</v>
      </c>
      <c r="L1608" s="6">
        <v>0</v>
      </c>
      <c r="M1608" s="6">
        <v>0</v>
      </c>
      <c r="N1608" s="6">
        <v>0</v>
      </c>
      <c r="O1608" s="6">
        <v>0</v>
      </c>
      <c r="P1608" s="6">
        <v>4</v>
      </c>
      <c r="Q1608" s="4" t="s">
        <v>26</v>
      </c>
      <c r="R1608" s="4">
        <v>0</v>
      </c>
      <c r="S1608" s="4" t="s">
        <v>419</v>
      </c>
      <c r="U1608" s="4">
        <v>35</v>
      </c>
      <c r="V1608" s="4">
        <v>0</v>
      </c>
      <c r="W1608" s="4">
        <v>0</v>
      </c>
    </row>
    <row r="1609" spans="1:23" ht="11.25" customHeight="1" x14ac:dyDescent="0.25">
      <c r="A1609" s="4" t="s">
        <v>21</v>
      </c>
      <c r="B1609" s="4" t="s">
        <v>44</v>
      </c>
      <c r="C1609" s="4" t="s">
        <v>34</v>
      </c>
      <c r="D1609" s="4" t="s">
        <v>48</v>
      </c>
      <c r="E1609" s="4" t="s">
        <v>25</v>
      </c>
      <c r="F1609" s="4" t="s">
        <v>25</v>
      </c>
      <c r="G1609" s="4" t="s">
        <v>25</v>
      </c>
      <c r="H1609" s="4" t="s">
        <v>25</v>
      </c>
      <c r="I1609" s="5">
        <v>43770</v>
      </c>
      <c r="J1609" s="6">
        <v>63221</v>
      </c>
      <c r="K1609" s="6">
        <v>63221</v>
      </c>
      <c r="L1609" s="6">
        <v>0</v>
      </c>
      <c r="M1609" s="6">
        <v>0</v>
      </c>
      <c r="N1609" s="6">
        <v>0</v>
      </c>
      <c r="O1609" s="6">
        <v>0</v>
      </c>
      <c r="P1609" s="6">
        <v>85</v>
      </c>
      <c r="Q1609" s="4" t="s">
        <v>26</v>
      </c>
      <c r="R1609" s="4">
        <v>0</v>
      </c>
      <c r="S1609" s="4" t="s">
        <v>420</v>
      </c>
      <c r="U1609" s="4">
        <v>35</v>
      </c>
      <c r="V1609" s="4">
        <v>0</v>
      </c>
      <c r="W1609" s="4">
        <v>0</v>
      </c>
    </row>
    <row r="1610" spans="1:23" ht="11.25" customHeight="1" x14ac:dyDescent="0.25">
      <c r="A1610" s="4" t="s">
        <v>28</v>
      </c>
      <c r="B1610" s="4" t="s">
        <v>44</v>
      </c>
      <c r="C1610" s="4" t="s">
        <v>34</v>
      </c>
      <c r="D1610" s="4" t="s">
        <v>48</v>
      </c>
      <c r="E1610" s="4" t="s">
        <v>25</v>
      </c>
      <c r="F1610" s="4" t="s">
        <v>25</v>
      </c>
      <c r="G1610" s="4" t="s">
        <v>25</v>
      </c>
      <c r="H1610" s="4" t="s">
        <v>25</v>
      </c>
      <c r="I1610" s="5">
        <v>43770</v>
      </c>
      <c r="J1610" s="6">
        <v>4700</v>
      </c>
      <c r="K1610" s="6">
        <v>4700</v>
      </c>
      <c r="L1610" s="6">
        <v>0</v>
      </c>
      <c r="M1610" s="6">
        <v>0</v>
      </c>
      <c r="N1610" s="6">
        <v>0</v>
      </c>
      <c r="O1610" s="6">
        <v>0</v>
      </c>
      <c r="P1610" s="6">
        <v>4</v>
      </c>
      <c r="Q1610" s="4" t="s">
        <v>26</v>
      </c>
      <c r="R1610" s="4">
        <v>0</v>
      </c>
      <c r="S1610" s="4" t="s">
        <v>420</v>
      </c>
      <c r="U1610" s="4">
        <v>35</v>
      </c>
      <c r="V1610" s="4">
        <v>0</v>
      </c>
      <c r="W1610" s="4">
        <v>0</v>
      </c>
    </row>
    <row r="1611" spans="1:23" ht="11.25" customHeight="1" x14ac:dyDescent="0.25">
      <c r="A1611" s="4" t="s">
        <v>21</v>
      </c>
      <c r="B1611" s="4" t="s">
        <v>44</v>
      </c>
      <c r="C1611" s="4" t="s">
        <v>34</v>
      </c>
      <c r="D1611" s="4" t="s">
        <v>48</v>
      </c>
      <c r="E1611" s="4" t="s">
        <v>25</v>
      </c>
      <c r="F1611" s="4" t="s">
        <v>25</v>
      </c>
      <c r="G1611" s="4" t="s">
        <v>25</v>
      </c>
      <c r="H1611" s="4" t="s">
        <v>25</v>
      </c>
      <c r="I1611" s="5">
        <v>43800</v>
      </c>
      <c r="J1611" s="6">
        <v>63128</v>
      </c>
      <c r="K1611" s="6">
        <v>63128</v>
      </c>
      <c r="L1611" s="6">
        <v>0</v>
      </c>
      <c r="M1611" s="6">
        <v>0</v>
      </c>
      <c r="N1611" s="6">
        <v>0</v>
      </c>
      <c r="O1611" s="6">
        <v>0</v>
      </c>
      <c r="P1611" s="6">
        <v>86</v>
      </c>
      <c r="Q1611" s="4" t="s">
        <v>26</v>
      </c>
      <c r="R1611" s="4">
        <v>0</v>
      </c>
      <c r="S1611" s="4" t="s">
        <v>421</v>
      </c>
      <c r="U1611" s="4">
        <v>35</v>
      </c>
      <c r="V1611" s="4">
        <v>0</v>
      </c>
      <c r="W1611" s="4">
        <v>0</v>
      </c>
    </row>
    <row r="1612" spans="1:23" ht="11.25" customHeight="1" x14ac:dyDescent="0.25">
      <c r="A1612" s="4" t="s">
        <v>27</v>
      </c>
      <c r="B1612" s="4" t="s">
        <v>44</v>
      </c>
      <c r="C1612" s="4" t="s">
        <v>34</v>
      </c>
      <c r="D1612" s="4" t="s">
        <v>48</v>
      </c>
      <c r="E1612" s="4" t="s">
        <v>25</v>
      </c>
      <c r="F1612" s="4" t="s">
        <v>25</v>
      </c>
      <c r="G1612" s="4" t="s">
        <v>25</v>
      </c>
      <c r="H1612" s="4" t="s">
        <v>25</v>
      </c>
      <c r="I1612" s="5">
        <v>43800</v>
      </c>
      <c r="J1612" s="6">
        <v>1250</v>
      </c>
      <c r="K1612" s="6">
        <v>1250</v>
      </c>
      <c r="L1612" s="6">
        <v>0</v>
      </c>
      <c r="M1612" s="6">
        <v>0</v>
      </c>
      <c r="N1612" s="6">
        <v>0</v>
      </c>
      <c r="O1612" s="6">
        <v>0</v>
      </c>
      <c r="P1612" s="6">
        <v>0</v>
      </c>
      <c r="Q1612" s="4" t="s">
        <v>26</v>
      </c>
      <c r="R1612" s="4">
        <v>0</v>
      </c>
      <c r="S1612" s="4" t="s">
        <v>421</v>
      </c>
      <c r="U1612" s="4">
        <v>35</v>
      </c>
      <c r="V1612" s="4">
        <v>0</v>
      </c>
      <c r="W1612" s="4">
        <v>0</v>
      </c>
    </row>
    <row r="1613" spans="1:23" ht="11.25" customHeight="1" x14ac:dyDescent="0.25">
      <c r="A1613" s="4" t="s">
        <v>28</v>
      </c>
      <c r="B1613" s="4" t="s">
        <v>44</v>
      </c>
      <c r="C1613" s="4" t="s">
        <v>34</v>
      </c>
      <c r="D1613" s="4" t="s">
        <v>48</v>
      </c>
      <c r="E1613" s="4" t="s">
        <v>25</v>
      </c>
      <c r="F1613" s="4" t="s">
        <v>25</v>
      </c>
      <c r="G1613" s="4" t="s">
        <v>25</v>
      </c>
      <c r="H1613" s="4" t="s">
        <v>25</v>
      </c>
      <c r="I1613" s="5">
        <v>43800</v>
      </c>
      <c r="J1613" s="6">
        <v>4700</v>
      </c>
      <c r="K1613" s="6">
        <v>4700</v>
      </c>
      <c r="L1613" s="6">
        <v>0</v>
      </c>
      <c r="M1613" s="6">
        <v>0</v>
      </c>
      <c r="N1613" s="6">
        <v>0</v>
      </c>
      <c r="O1613" s="6">
        <v>0</v>
      </c>
      <c r="P1613" s="6">
        <v>4</v>
      </c>
      <c r="Q1613" s="4" t="s">
        <v>26</v>
      </c>
      <c r="R1613" s="4">
        <v>0</v>
      </c>
      <c r="S1613" s="4" t="s">
        <v>421</v>
      </c>
      <c r="U1613" s="4">
        <v>35</v>
      </c>
      <c r="V1613" s="4">
        <v>0</v>
      </c>
      <c r="W1613" s="4">
        <v>0</v>
      </c>
    </row>
    <row r="1614" spans="1:23" ht="11.25" customHeight="1" x14ac:dyDescent="0.25">
      <c r="A1614" s="4" t="s">
        <v>21</v>
      </c>
      <c r="B1614" s="4" t="s">
        <v>44</v>
      </c>
      <c r="C1614" s="4" t="s">
        <v>34</v>
      </c>
      <c r="D1614" s="4" t="s">
        <v>48</v>
      </c>
      <c r="E1614" s="4" t="s">
        <v>25</v>
      </c>
      <c r="F1614" s="4" t="s">
        <v>25</v>
      </c>
      <c r="G1614" s="4" t="s">
        <v>25</v>
      </c>
      <c r="H1614" s="4" t="s">
        <v>25</v>
      </c>
      <c r="I1614" s="5">
        <v>43831</v>
      </c>
      <c r="J1614" s="6">
        <v>62511</v>
      </c>
      <c r="K1614" s="6">
        <v>62511</v>
      </c>
      <c r="L1614" s="6">
        <v>0</v>
      </c>
      <c r="M1614" s="6">
        <v>0</v>
      </c>
      <c r="N1614" s="6">
        <v>0</v>
      </c>
      <c r="O1614" s="6">
        <v>0</v>
      </c>
      <c r="P1614" s="6">
        <v>85</v>
      </c>
      <c r="Q1614" s="4" t="s">
        <v>26</v>
      </c>
      <c r="R1614" s="4">
        <v>0</v>
      </c>
      <c r="S1614" s="4" t="s">
        <v>422</v>
      </c>
      <c r="U1614" s="4">
        <v>35</v>
      </c>
      <c r="V1614" s="4">
        <v>0</v>
      </c>
      <c r="W1614" s="4">
        <v>0</v>
      </c>
    </row>
    <row r="1615" spans="1:23" ht="11.25" customHeight="1" x14ac:dyDescent="0.25">
      <c r="A1615" s="4" t="s">
        <v>28</v>
      </c>
      <c r="B1615" s="4" t="s">
        <v>44</v>
      </c>
      <c r="C1615" s="4" t="s">
        <v>34</v>
      </c>
      <c r="D1615" s="4" t="s">
        <v>48</v>
      </c>
      <c r="E1615" s="4" t="s">
        <v>25</v>
      </c>
      <c r="F1615" s="4" t="s">
        <v>25</v>
      </c>
      <c r="G1615" s="4" t="s">
        <v>25</v>
      </c>
      <c r="H1615" s="4" t="s">
        <v>25</v>
      </c>
      <c r="I1615" s="5">
        <v>43831</v>
      </c>
      <c r="J1615" s="6">
        <v>5200</v>
      </c>
      <c r="K1615" s="6">
        <v>5200</v>
      </c>
      <c r="L1615" s="6">
        <v>0</v>
      </c>
      <c r="M1615" s="6">
        <v>0</v>
      </c>
      <c r="N1615" s="6">
        <v>0</v>
      </c>
      <c r="O1615" s="6">
        <v>0</v>
      </c>
      <c r="P1615" s="6">
        <v>6</v>
      </c>
      <c r="Q1615" s="4" t="s">
        <v>26</v>
      </c>
      <c r="R1615" s="4">
        <v>0</v>
      </c>
      <c r="S1615" s="4" t="s">
        <v>422</v>
      </c>
      <c r="U1615" s="4">
        <v>35</v>
      </c>
      <c r="V1615" s="4">
        <v>0</v>
      </c>
      <c r="W1615" s="4">
        <v>0</v>
      </c>
    </row>
    <row r="1616" spans="1:23" ht="11.25" customHeight="1" x14ac:dyDescent="0.25">
      <c r="A1616" s="4" t="s">
        <v>21</v>
      </c>
      <c r="B1616" s="4" t="s">
        <v>44</v>
      </c>
      <c r="C1616" s="4" t="s">
        <v>34</v>
      </c>
      <c r="D1616" s="4" t="s">
        <v>48</v>
      </c>
      <c r="E1616" s="4" t="s">
        <v>25</v>
      </c>
      <c r="F1616" s="4" t="s">
        <v>25</v>
      </c>
      <c r="G1616" s="4" t="s">
        <v>25</v>
      </c>
      <c r="H1616" s="4" t="s">
        <v>25</v>
      </c>
      <c r="I1616" s="5">
        <v>43862</v>
      </c>
      <c r="J1616" s="6">
        <v>62889</v>
      </c>
      <c r="K1616" s="6">
        <v>62889</v>
      </c>
      <c r="L1616" s="6">
        <v>0</v>
      </c>
      <c r="M1616" s="6">
        <v>0</v>
      </c>
      <c r="N1616" s="6">
        <v>0</v>
      </c>
      <c r="O1616" s="6">
        <v>0</v>
      </c>
      <c r="P1616" s="6">
        <v>85</v>
      </c>
      <c r="Q1616" s="4" t="s">
        <v>26</v>
      </c>
      <c r="R1616" s="4">
        <v>0</v>
      </c>
      <c r="S1616" s="4" t="s">
        <v>423</v>
      </c>
      <c r="U1616" s="4">
        <v>35</v>
      </c>
      <c r="V1616" s="4">
        <v>0</v>
      </c>
      <c r="W1616" s="4">
        <v>0</v>
      </c>
    </row>
    <row r="1617" spans="1:23" ht="11.25" customHeight="1" x14ac:dyDescent="0.25">
      <c r="A1617" s="4" t="s">
        <v>28</v>
      </c>
      <c r="B1617" s="4" t="s">
        <v>44</v>
      </c>
      <c r="C1617" s="4" t="s">
        <v>34</v>
      </c>
      <c r="D1617" s="4" t="s">
        <v>48</v>
      </c>
      <c r="E1617" s="4" t="s">
        <v>25</v>
      </c>
      <c r="F1617" s="4" t="s">
        <v>25</v>
      </c>
      <c r="G1617" s="4" t="s">
        <v>25</v>
      </c>
      <c r="H1617" s="4" t="s">
        <v>25</v>
      </c>
      <c r="I1617" s="5">
        <v>43862</v>
      </c>
      <c r="J1617" s="6">
        <v>5200</v>
      </c>
      <c r="K1617" s="6">
        <v>5200</v>
      </c>
      <c r="L1617" s="6">
        <v>0</v>
      </c>
      <c r="M1617" s="6">
        <v>0</v>
      </c>
      <c r="N1617" s="6">
        <v>0</v>
      </c>
      <c r="O1617" s="6">
        <v>0</v>
      </c>
      <c r="P1617" s="6">
        <v>6</v>
      </c>
      <c r="Q1617" s="4" t="s">
        <v>26</v>
      </c>
      <c r="R1617" s="4">
        <v>0</v>
      </c>
      <c r="S1617" s="4" t="s">
        <v>423</v>
      </c>
      <c r="U1617" s="4">
        <v>35</v>
      </c>
      <c r="V1617" s="4">
        <v>0</v>
      </c>
      <c r="W1617" s="4">
        <v>0</v>
      </c>
    </row>
    <row r="1618" spans="1:23" ht="11.25" customHeight="1" x14ac:dyDescent="0.25">
      <c r="A1618" s="4" t="s">
        <v>21</v>
      </c>
      <c r="B1618" s="4" t="s">
        <v>44</v>
      </c>
      <c r="C1618" s="4" t="s">
        <v>34</v>
      </c>
      <c r="D1618" s="4" t="s">
        <v>48</v>
      </c>
      <c r="E1618" s="4" t="s">
        <v>25</v>
      </c>
      <c r="F1618" s="4" t="s">
        <v>25</v>
      </c>
      <c r="G1618" s="4" t="s">
        <v>25</v>
      </c>
      <c r="H1618" s="4" t="s">
        <v>25</v>
      </c>
      <c r="I1618" s="5">
        <v>43891</v>
      </c>
      <c r="J1618" s="6">
        <v>62123</v>
      </c>
      <c r="K1618" s="6">
        <v>62123</v>
      </c>
      <c r="L1618" s="6">
        <v>0</v>
      </c>
      <c r="M1618" s="6">
        <v>0</v>
      </c>
      <c r="N1618" s="6">
        <v>0</v>
      </c>
      <c r="O1618" s="6">
        <v>0</v>
      </c>
      <c r="P1618" s="6">
        <v>85</v>
      </c>
      <c r="Q1618" s="4" t="s">
        <v>26</v>
      </c>
      <c r="R1618" s="4">
        <v>0</v>
      </c>
      <c r="S1618" s="4" t="s">
        <v>424</v>
      </c>
      <c r="U1618" s="4">
        <v>35</v>
      </c>
      <c r="V1618" s="4">
        <v>0</v>
      </c>
      <c r="W1618" s="4">
        <v>0</v>
      </c>
    </row>
    <row r="1619" spans="1:23" ht="11.25" customHeight="1" x14ac:dyDescent="0.25">
      <c r="A1619" s="4" t="s">
        <v>28</v>
      </c>
      <c r="B1619" s="4" t="s">
        <v>44</v>
      </c>
      <c r="C1619" s="4" t="s">
        <v>34</v>
      </c>
      <c r="D1619" s="4" t="s">
        <v>48</v>
      </c>
      <c r="E1619" s="4" t="s">
        <v>25</v>
      </c>
      <c r="F1619" s="4" t="s">
        <v>25</v>
      </c>
      <c r="G1619" s="4" t="s">
        <v>25</v>
      </c>
      <c r="H1619" s="4" t="s">
        <v>25</v>
      </c>
      <c r="I1619" s="5">
        <v>43891</v>
      </c>
      <c r="J1619" s="6">
        <v>5350</v>
      </c>
      <c r="K1619" s="6">
        <v>5350</v>
      </c>
      <c r="L1619" s="6">
        <v>0</v>
      </c>
      <c r="M1619" s="6">
        <v>0</v>
      </c>
      <c r="N1619" s="6">
        <v>0</v>
      </c>
      <c r="O1619" s="6">
        <v>0</v>
      </c>
      <c r="P1619" s="6">
        <v>6</v>
      </c>
      <c r="Q1619" s="4" t="s">
        <v>26</v>
      </c>
      <c r="R1619" s="4">
        <v>0</v>
      </c>
      <c r="S1619" s="4" t="s">
        <v>424</v>
      </c>
      <c r="U1619" s="4">
        <v>35</v>
      </c>
      <c r="V1619" s="4">
        <v>0</v>
      </c>
      <c r="W1619" s="4">
        <v>0</v>
      </c>
    </row>
    <row r="1620" spans="1:23" ht="11.25" customHeight="1" x14ac:dyDescent="0.25">
      <c r="A1620" s="4" t="s">
        <v>21</v>
      </c>
      <c r="B1620" s="4" t="s">
        <v>44</v>
      </c>
      <c r="C1620" s="4" t="s">
        <v>34</v>
      </c>
      <c r="D1620" s="4" t="s">
        <v>48</v>
      </c>
      <c r="E1620" s="4" t="s">
        <v>25</v>
      </c>
      <c r="F1620" s="4" t="s">
        <v>25</v>
      </c>
      <c r="G1620" s="4" t="s">
        <v>25</v>
      </c>
      <c r="H1620" s="4" t="s">
        <v>25</v>
      </c>
      <c r="I1620" s="5">
        <v>43922</v>
      </c>
      <c r="J1620" s="6">
        <v>60185</v>
      </c>
      <c r="K1620" s="6">
        <v>60185</v>
      </c>
      <c r="L1620" s="6">
        <v>0</v>
      </c>
      <c r="M1620" s="6">
        <v>0</v>
      </c>
      <c r="N1620" s="6">
        <v>0</v>
      </c>
      <c r="O1620" s="6">
        <v>0</v>
      </c>
      <c r="P1620" s="6">
        <v>84</v>
      </c>
      <c r="Q1620" s="4" t="s">
        <v>26</v>
      </c>
      <c r="R1620" s="4">
        <v>0</v>
      </c>
      <c r="S1620" s="4" t="s">
        <v>425</v>
      </c>
      <c r="U1620" s="4">
        <v>35</v>
      </c>
      <c r="V1620" s="4">
        <v>0</v>
      </c>
      <c r="W1620" s="4">
        <v>0</v>
      </c>
    </row>
    <row r="1621" spans="1:23" ht="11.25" customHeight="1" x14ac:dyDescent="0.25">
      <c r="A1621" s="4" t="s">
        <v>27</v>
      </c>
      <c r="B1621" s="4" t="s">
        <v>44</v>
      </c>
      <c r="C1621" s="4" t="s">
        <v>34</v>
      </c>
      <c r="D1621" s="4" t="s">
        <v>48</v>
      </c>
      <c r="E1621" s="4" t="s">
        <v>25</v>
      </c>
      <c r="F1621" s="4" t="s">
        <v>25</v>
      </c>
      <c r="G1621" s="4" t="s">
        <v>25</v>
      </c>
      <c r="H1621" s="4" t="s">
        <v>25</v>
      </c>
      <c r="I1621" s="5">
        <v>43922</v>
      </c>
      <c r="J1621" s="6">
        <v>750</v>
      </c>
      <c r="K1621" s="6">
        <v>750</v>
      </c>
      <c r="L1621" s="6">
        <v>0</v>
      </c>
      <c r="M1621" s="6">
        <v>0</v>
      </c>
      <c r="N1621" s="6">
        <v>0</v>
      </c>
      <c r="O1621" s="6">
        <v>0</v>
      </c>
      <c r="P1621" s="6">
        <v>1</v>
      </c>
      <c r="Q1621" s="4" t="s">
        <v>26</v>
      </c>
      <c r="R1621" s="4">
        <v>0</v>
      </c>
      <c r="S1621" s="4" t="s">
        <v>425</v>
      </c>
      <c r="U1621" s="4">
        <v>35</v>
      </c>
      <c r="V1621" s="4">
        <v>0</v>
      </c>
      <c r="W1621" s="4">
        <v>0</v>
      </c>
    </row>
    <row r="1622" spans="1:23" ht="11.25" customHeight="1" x14ac:dyDescent="0.25">
      <c r="A1622" s="4" t="s">
        <v>28</v>
      </c>
      <c r="B1622" s="4" t="s">
        <v>44</v>
      </c>
      <c r="C1622" s="4" t="s">
        <v>34</v>
      </c>
      <c r="D1622" s="4" t="s">
        <v>48</v>
      </c>
      <c r="E1622" s="4" t="s">
        <v>25</v>
      </c>
      <c r="F1622" s="4" t="s">
        <v>25</v>
      </c>
      <c r="G1622" s="4" t="s">
        <v>25</v>
      </c>
      <c r="H1622" s="4" t="s">
        <v>25</v>
      </c>
      <c r="I1622" s="5">
        <v>43922</v>
      </c>
      <c r="J1622" s="6">
        <v>5350</v>
      </c>
      <c r="K1622" s="6">
        <v>5350</v>
      </c>
      <c r="L1622" s="6">
        <v>0</v>
      </c>
      <c r="M1622" s="6">
        <v>0</v>
      </c>
      <c r="N1622" s="6">
        <v>0</v>
      </c>
      <c r="O1622" s="6">
        <v>0</v>
      </c>
      <c r="P1622" s="6">
        <v>6</v>
      </c>
      <c r="Q1622" s="4" t="s">
        <v>26</v>
      </c>
      <c r="R1622" s="4">
        <v>0</v>
      </c>
      <c r="S1622" s="4" t="s">
        <v>425</v>
      </c>
      <c r="U1622" s="4">
        <v>35</v>
      </c>
      <c r="V1622" s="4">
        <v>0</v>
      </c>
      <c r="W1622" s="4">
        <v>0</v>
      </c>
    </row>
    <row r="1623" spans="1:23" ht="11.25" customHeight="1" x14ac:dyDescent="0.25">
      <c r="A1623" s="4" t="s">
        <v>21</v>
      </c>
      <c r="B1623" s="4" t="s">
        <v>44</v>
      </c>
      <c r="C1623" s="4" t="s">
        <v>34</v>
      </c>
      <c r="D1623" s="4" t="s">
        <v>48</v>
      </c>
      <c r="E1623" s="4" t="s">
        <v>25</v>
      </c>
      <c r="F1623" s="4" t="s">
        <v>25</v>
      </c>
      <c r="G1623" s="4" t="s">
        <v>25</v>
      </c>
      <c r="H1623" s="4" t="s">
        <v>25</v>
      </c>
      <c r="I1623" s="5">
        <v>43952</v>
      </c>
      <c r="J1623" s="6">
        <v>60733</v>
      </c>
      <c r="K1623" s="6">
        <v>60733</v>
      </c>
      <c r="L1623" s="6">
        <v>0</v>
      </c>
      <c r="M1623" s="6">
        <v>0</v>
      </c>
      <c r="N1623" s="6">
        <v>0</v>
      </c>
      <c r="O1623" s="6">
        <v>0</v>
      </c>
      <c r="P1623" s="6">
        <v>85</v>
      </c>
      <c r="Q1623" s="4" t="s">
        <v>26</v>
      </c>
      <c r="R1623" s="4">
        <v>0</v>
      </c>
      <c r="S1623" s="4" t="s">
        <v>426</v>
      </c>
      <c r="U1623" s="4">
        <v>35</v>
      </c>
      <c r="V1623" s="4">
        <v>0</v>
      </c>
      <c r="W1623" s="4">
        <v>0</v>
      </c>
    </row>
    <row r="1624" spans="1:23" ht="11.25" customHeight="1" x14ac:dyDescent="0.25">
      <c r="A1624" s="4" t="s">
        <v>28</v>
      </c>
      <c r="B1624" s="4" t="s">
        <v>44</v>
      </c>
      <c r="C1624" s="4" t="s">
        <v>34</v>
      </c>
      <c r="D1624" s="4" t="s">
        <v>48</v>
      </c>
      <c r="E1624" s="4" t="s">
        <v>25</v>
      </c>
      <c r="F1624" s="4" t="s">
        <v>25</v>
      </c>
      <c r="G1624" s="4" t="s">
        <v>25</v>
      </c>
      <c r="H1624" s="4" t="s">
        <v>25</v>
      </c>
      <c r="I1624" s="5">
        <v>43952</v>
      </c>
      <c r="J1624" s="6">
        <v>5350</v>
      </c>
      <c r="K1624" s="6">
        <v>5350</v>
      </c>
      <c r="L1624" s="6">
        <v>0</v>
      </c>
      <c r="M1624" s="6">
        <v>0</v>
      </c>
      <c r="N1624" s="6">
        <v>0</v>
      </c>
      <c r="O1624" s="6">
        <v>0</v>
      </c>
      <c r="P1624" s="6">
        <v>6</v>
      </c>
      <c r="Q1624" s="4" t="s">
        <v>26</v>
      </c>
      <c r="R1624" s="4">
        <v>0</v>
      </c>
      <c r="S1624" s="4" t="s">
        <v>426</v>
      </c>
      <c r="U1624" s="4">
        <v>35</v>
      </c>
      <c r="V1624" s="4">
        <v>0</v>
      </c>
      <c r="W1624" s="4">
        <v>0</v>
      </c>
    </row>
    <row r="1625" spans="1:23" ht="11.25" customHeight="1" x14ac:dyDescent="0.25">
      <c r="A1625" s="4" t="s">
        <v>21</v>
      </c>
      <c r="B1625" s="4" t="s">
        <v>44</v>
      </c>
      <c r="C1625" s="4" t="s">
        <v>34</v>
      </c>
      <c r="D1625" s="4" t="s">
        <v>48</v>
      </c>
      <c r="E1625" s="4" t="s">
        <v>25</v>
      </c>
      <c r="F1625" s="4" t="s">
        <v>25</v>
      </c>
      <c r="G1625" s="4" t="s">
        <v>25</v>
      </c>
      <c r="H1625" s="4" t="s">
        <v>25</v>
      </c>
      <c r="I1625" s="5">
        <v>43983</v>
      </c>
      <c r="J1625" s="6">
        <v>59614</v>
      </c>
      <c r="K1625" s="6">
        <v>59614</v>
      </c>
      <c r="L1625" s="6">
        <v>0</v>
      </c>
      <c r="M1625" s="6">
        <v>0</v>
      </c>
      <c r="N1625" s="6">
        <v>0</v>
      </c>
      <c r="O1625" s="6">
        <v>0</v>
      </c>
      <c r="P1625" s="6">
        <v>85</v>
      </c>
      <c r="Q1625" s="4" t="s">
        <v>26</v>
      </c>
      <c r="R1625" s="4">
        <v>0</v>
      </c>
      <c r="S1625" s="4" t="s">
        <v>427</v>
      </c>
      <c r="U1625" s="4">
        <v>35</v>
      </c>
      <c r="V1625" s="4">
        <v>0</v>
      </c>
      <c r="W1625" s="4">
        <v>0</v>
      </c>
    </row>
    <row r="1626" spans="1:23" ht="11.25" customHeight="1" x14ac:dyDescent="0.25">
      <c r="A1626" s="4" t="s">
        <v>28</v>
      </c>
      <c r="B1626" s="4" t="s">
        <v>44</v>
      </c>
      <c r="C1626" s="4" t="s">
        <v>34</v>
      </c>
      <c r="D1626" s="4" t="s">
        <v>48</v>
      </c>
      <c r="E1626" s="4" t="s">
        <v>25</v>
      </c>
      <c r="F1626" s="4" t="s">
        <v>25</v>
      </c>
      <c r="G1626" s="4" t="s">
        <v>25</v>
      </c>
      <c r="H1626" s="4" t="s">
        <v>25</v>
      </c>
      <c r="I1626" s="5">
        <v>43983</v>
      </c>
      <c r="J1626" s="6">
        <v>6600</v>
      </c>
      <c r="K1626" s="6">
        <v>6600</v>
      </c>
      <c r="L1626" s="6">
        <v>0</v>
      </c>
      <c r="M1626" s="6">
        <v>0</v>
      </c>
      <c r="N1626" s="6">
        <v>0</v>
      </c>
      <c r="O1626" s="6">
        <v>0</v>
      </c>
      <c r="P1626" s="6">
        <v>7</v>
      </c>
      <c r="Q1626" s="4" t="s">
        <v>26</v>
      </c>
      <c r="R1626" s="4">
        <v>0</v>
      </c>
      <c r="S1626" s="4" t="s">
        <v>427</v>
      </c>
      <c r="U1626" s="4">
        <v>35</v>
      </c>
      <c r="V1626" s="4">
        <v>0</v>
      </c>
      <c r="W1626" s="4">
        <v>0</v>
      </c>
    </row>
    <row r="1627" spans="1:23" ht="11.25" customHeight="1" x14ac:dyDescent="0.25">
      <c r="A1627" s="4" t="s">
        <v>21</v>
      </c>
      <c r="B1627" s="4" t="s">
        <v>44</v>
      </c>
      <c r="C1627" s="4" t="s">
        <v>34</v>
      </c>
      <c r="D1627" s="4" t="s">
        <v>48</v>
      </c>
      <c r="E1627" s="4" t="s">
        <v>25</v>
      </c>
      <c r="F1627" s="4" t="s">
        <v>25</v>
      </c>
      <c r="G1627" s="4" t="s">
        <v>25</v>
      </c>
      <c r="H1627" s="4" t="s">
        <v>25</v>
      </c>
      <c r="I1627" s="5">
        <v>44013</v>
      </c>
      <c r="J1627" s="6">
        <v>58967</v>
      </c>
      <c r="K1627" s="6">
        <v>58967</v>
      </c>
      <c r="L1627" s="6">
        <v>0</v>
      </c>
      <c r="M1627" s="6">
        <v>0</v>
      </c>
      <c r="N1627" s="6">
        <v>0</v>
      </c>
      <c r="O1627" s="6">
        <v>0</v>
      </c>
      <c r="P1627" s="6">
        <v>83</v>
      </c>
      <c r="Q1627" s="4" t="s">
        <v>26</v>
      </c>
      <c r="R1627" s="4">
        <v>0</v>
      </c>
      <c r="S1627" s="4" t="s">
        <v>428</v>
      </c>
      <c r="U1627" s="4">
        <v>35</v>
      </c>
      <c r="V1627" s="4">
        <v>0</v>
      </c>
      <c r="W1627" s="4">
        <v>0</v>
      </c>
    </row>
    <row r="1628" spans="1:23" ht="11.25" customHeight="1" x14ac:dyDescent="0.25">
      <c r="A1628" s="4" t="s">
        <v>28</v>
      </c>
      <c r="B1628" s="4" t="s">
        <v>44</v>
      </c>
      <c r="C1628" s="4" t="s">
        <v>34</v>
      </c>
      <c r="D1628" s="4" t="s">
        <v>48</v>
      </c>
      <c r="E1628" s="4" t="s">
        <v>25</v>
      </c>
      <c r="F1628" s="4" t="s">
        <v>25</v>
      </c>
      <c r="G1628" s="4" t="s">
        <v>25</v>
      </c>
      <c r="H1628" s="4" t="s">
        <v>25</v>
      </c>
      <c r="I1628" s="5">
        <v>44013</v>
      </c>
      <c r="J1628" s="6">
        <v>6600</v>
      </c>
      <c r="K1628" s="6">
        <v>6600</v>
      </c>
      <c r="L1628" s="6">
        <v>0</v>
      </c>
      <c r="M1628" s="6">
        <v>0</v>
      </c>
      <c r="N1628" s="6">
        <v>0</v>
      </c>
      <c r="O1628" s="6">
        <v>0</v>
      </c>
      <c r="P1628" s="6">
        <v>6</v>
      </c>
      <c r="Q1628" s="4" t="s">
        <v>26</v>
      </c>
      <c r="R1628" s="4">
        <v>0</v>
      </c>
      <c r="S1628" s="4" t="s">
        <v>428</v>
      </c>
      <c r="U1628" s="4">
        <v>35</v>
      </c>
      <c r="V1628" s="4">
        <v>0</v>
      </c>
      <c r="W1628" s="4">
        <v>0</v>
      </c>
    </row>
    <row r="1629" spans="1:23" ht="11.25" customHeight="1" x14ac:dyDescent="0.25">
      <c r="A1629" s="4" t="s">
        <v>21</v>
      </c>
      <c r="B1629" s="4" t="s">
        <v>44</v>
      </c>
      <c r="C1629" s="4" t="s">
        <v>34</v>
      </c>
      <c r="D1629" s="4" t="s">
        <v>48</v>
      </c>
      <c r="E1629" s="4" t="s">
        <v>25</v>
      </c>
      <c r="F1629" s="4" t="s">
        <v>25</v>
      </c>
      <c r="G1629" s="4" t="s">
        <v>25</v>
      </c>
      <c r="H1629" s="4" t="s">
        <v>25</v>
      </c>
      <c r="I1629" s="5">
        <v>44044</v>
      </c>
      <c r="J1629" s="6">
        <v>57091</v>
      </c>
      <c r="K1629" s="6">
        <v>57091</v>
      </c>
      <c r="L1629" s="6">
        <v>0</v>
      </c>
      <c r="M1629" s="6">
        <v>0</v>
      </c>
      <c r="N1629" s="6">
        <v>0</v>
      </c>
      <c r="O1629" s="6">
        <v>0</v>
      </c>
      <c r="P1629" s="6">
        <v>82</v>
      </c>
      <c r="Q1629" s="4" t="s">
        <v>26</v>
      </c>
      <c r="R1629" s="4">
        <v>0</v>
      </c>
      <c r="S1629" s="4" t="s">
        <v>429</v>
      </c>
      <c r="U1629" s="4">
        <v>35</v>
      </c>
      <c r="V1629" s="4">
        <v>0</v>
      </c>
      <c r="W1629" s="4">
        <v>0</v>
      </c>
    </row>
    <row r="1630" spans="1:23" ht="11.25" customHeight="1" x14ac:dyDescent="0.25">
      <c r="A1630" s="4" t="s">
        <v>27</v>
      </c>
      <c r="B1630" s="4" t="s">
        <v>44</v>
      </c>
      <c r="C1630" s="4" t="s">
        <v>34</v>
      </c>
      <c r="D1630" s="4" t="s">
        <v>48</v>
      </c>
      <c r="E1630" s="4" t="s">
        <v>25</v>
      </c>
      <c r="F1630" s="4" t="s">
        <v>25</v>
      </c>
      <c r="G1630" s="4" t="s">
        <v>25</v>
      </c>
      <c r="H1630" s="4" t="s">
        <v>25</v>
      </c>
      <c r="I1630" s="5">
        <v>44044</v>
      </c>
      <c r="J1630" s="6">
        <v>1930</v>
      </c>
      <c r="K1630" s="6">
        <v>1930</v>
      </c>
      <c r="L1630" s="6">
        <v>0</v>
      </c>
      <c r="M1630" s="6">
        <v>0</v>
      </c>
      <c r="N1630" s="6">
        <v>0</v>
      </c>
      <c r="O1630" s="6">
        <v>0</v>
      </c>
      <c r="P1630" s="6">
        <v>1</v>
      </c>
      <c r="Q1630" s="4" t="s">
        <v>26</v>
      </c>
      <c r="R1630" s="4">
        <v>0</v>
      </c>
      <c r="S1630" s="4" t="s">
        <v>429</v>
      </c>
      <c r="U1630" s="4">
        <v>35</v>
      </c>
      <c r="V1630" s="4">
        <v>0</v>
      </c>
      <c r="W1630" s="4">
        <v>0</v>
      </c>
    </row>
    <row r="1631" spans="1:23" ht="11.25" customHeight="1" x14ac:dyDescent="0.25">
      <c r="A1631" s="4" t="s">
        <v>28</v>
      </c>
      <c r="B1631" s="4" t="s">
        <v>44</v>
      </c>
      <c r="C1631" s="4" t="s">
        <v>34</v>
      </c>
      <c r="D1631" s="4" t="s">
        <v>48</v>
      </c>
      <c r="E1631" s="4" t="s">
        <v>25</v>
      </c>
      <c r="F1631" s="4" t="s">
        <v>25</v>
      </c>
      <c r="G1631" s="4" t="s">
        <v>25</v>
      </c>
      <c r="H1631" s="4" t="s">
        <v>25</v>
      </c>
      <c r="I1631" s="5">
        <v>44044</v>
      </c>
      <c r="J1631" s="6">
        <v>6600</v>
      </c>
      <c r="K1631" s="6">
        <v>6600</v>
      </c>
      <c r="L1631" s="6">
        <v>0</v>
      </c>
      <c r="M1631" s="6">
        <v>0</v>
      </c>
      <c r="N1631" s="6">
        <v>0</v>
      </c>
      <c r="O1631" s="6">
        <v>0</v>
      </c>
      <c r="P1631" s="6">
        <v>7</v>
      </c>
      <c r="Q1631" s="4" t="s">
        <v>26</v>
      </c>
      <c r="R1631" s="4">
        <v>0</v>
      </c>
      <c r="S1631" s="4" t="s">
        <v>429</v>
      </c>
      <c r="U1631" s="4">
        <v>35</v>
      </c>
      <c r="V1631" s="4">
        <v>0</v>
      </c>
      <c r="W1631" s="4">
        <v>0</v>
      </c>
    </row>
    <row r="1632" spans="1:23" ht="11.25" customHeight="1" x14ac:dyDescent="0.25">
      <c r="A1632" s="4" t="s">
        <v>59</v>
      </c>
      <c r="B1632" s="4" t="s">
        <v>44</v>
      </c>
      <c r="C1632" s="4" t="s">
        <v>34</v>
      </c>
      <c r="D1632" s="4" t="s">
        <v>48</v>
      </c>
      <c r="E1632" s="4" t="s">
        <v>25</v>
      </c>
      <c r="F1632" s="4" t="s">
        <v>25</v>
      </c>
      <c r="G1632" s="4" t="s">
        <v>25</v>
      </c>
      <c r="H1632" s="4" t="s">
        <v>25</v>
      </c>
      <c r="I1632" s="5">
        <v>44075</v>
      </c>
      <c r="J1632" s="6">
        <v>57091</v>
      </c>
      <c r="K1632" s="6">
        <v>57091</v>
      </c>
      <c r="L1632" s="6">
        <v>0</v>
      </c>
      <c r="M1632" s="6">
        <v>0</v>
      </c>
      <c r="N1632" s="6">
        <v>0</v>
      </c>
      <c r="O1632" s="6">
        <v>0</v>
      </c>
      <c r="P1632" s="6">
        <v>82</v>
      </c>
      <c r="Q1632" s="4" t="s">
        <v>26</v>
      </c>
      <c r="R1632" s="4">
        <v>0</v>
      </c>
      <c r="S1632" s="4" t="s">
        <v>430</v>
      </c>
      <c r="U1632" s="4">
        <v>35</v>
      </c>
      <c r="V1632" s="4">
        <v>0</v>
      </c>
      <c r="W1632" s="4">
        <v>0</v>
      </c>
    </row>
    <row r="1633" spans="1:23" ht="11.25" customHeight="1" x14ac:dyDescent="0.25">
      <c r="A1633" s="4" t="s">
        <v>59</v>
      </c>
      <c r="B1633" s="4" t="s">
        <v>44</v>
      </c>
      <c r="C1633" s="4" t="s">
        <v>34</v>
      </c>
      <c r="D1633" s="4" t="s">
        <v>48</v>
      </c>
      <c r="E1633" s="4" t="s">
        <v>25</v>
      </c>
      <c r="F1633" s="4" t="s">
        <v>25</v>
      </c>
      <c r="G1633" s="4" t="s">
        <v>25</v>
      </c>
      <c r="H1633" s="4" t="s">
        <v>25</v>
      </c>
      <c r="I1633" s="5">
        <v>44075</v>
      </c>
      <c r="J1633" s="6">
        <v>1930</v>
      </c>
      <c r="K1633" s="6">
        <v>1930</v>
      </c>
      <c r="L1633" s="6">
        <v>0</v>
      </c>
      <c r="M1633" s="6">
        <v>0</v>
      </c>
      <c r="N1633" s="6">
        <v>0</v>
      </c>
      <c r="O1633" s="6">
        <v>0</v>
      </c>
      <c r="P1633" s="6">
        <v>1</v>
      </c>
      <c r="Q1633" s="4" t="s">
        <v>26</v>
      </c>
      <c r="R1633" s="4">
        <v>0</v>
      </c>
      <c r="S1633" s="4" t="s">
        <v>430</v>
      </c>
      <c r="U1633" s="4">
        <v>35</v>
      </c>
      <c r="V1633" s="4">
        <v>0</v>
      </c>
      <c r="W1633" s="4">
        <v>0</v>
      </c>
    </row>
    <row r="1634" spans="1:23" ht="11.25" customHeight="1" x14ac:dyDescent="0.25">
      <c r="A1634" s="4" t="s">
        <v>59</v>
      </c>
      <c r="B1634" s="4" t="s">
        <v>44</v>
      </c>
      <c r="C1634" s="4" t="s">
        <v>34</v>
      </c>
      <c r="D1634" s="4" t="s">
        <v>48</v>
      </c>
      <c r="E1634" s="4" t="s">
        <v>25</v>
      </c>
      <c r="F1634" s="4" t="s">
        <v>25</v>
      </c>
      <c r="G1634" s="4" t="s">
        <v>25</v>
      </c>
      <c r="H1634" s="4" t="s">
        <v>25</v>
      </c>
      <c r="I1634" s="5">
        <v>44075</v>
      </c>
      <c r="J1634" s="6">
        <v>6600</v>
      </c>
      <c r="K1634" s="6">
        <v>6600</v>
      </c>
      <c r="L1634" s="6">
        <v>0</v>
      </c>
      <c r="M1634" s="6">
        <v>0</v>
      </c>
      <c r="N1634" s="6">
        <v>0</v>
      </c>
      <c r="O1634" s="6">
        <v>0</v>
      </c>
      <c r="P1634" s="6">
        <v>7</v>
      </c>
      <c r="Q1634" s="4" t="s">
        <v>26</v>
      </c>
      <c r="R1634" s="4">
        <v>0</v>
      </c>
      <c r="S1634" s="4" t="s">
        <v>430</v>
      </c>
      <c r="U1634" s="4">
        <v>35</v>
      </c>
      <c r="V1634" s="4">
        <v>0</v>
      </c>
      <c r="W1634" s="4">
        <v>0</v>
      </c>
    </row>
    <row r="1635" spans="1:23" ht="11.25" customHeight="1" x14ac:dyDescent="0.25">
      <c r="A1635" s="4" t="s">
        <v>21</v>
      </c>
      <c r="B1635" s="4" t="s">
        <v>44</v>
      </c>
      <c r="C1635" s="4" t="s">
        <v>34</v>
      </c>
      <c r="D1635" s="4" t="s">
        <v>48</v>
      </c>
      <c r="E1635" s="4" t="s">
        <v>25</v>
      </c>
      <c r="F1635" s="4" t="s">
        <v>25</v>
      </c>
      <c r="G1635" s="4" t="s">
        <v>25</v>
      </c>
      <c r="H1635" s="4" t="s">
        <v>35</v>
      </c>
      <c r="I1635" s="5">
        <v>43739</v>
      </c>
      <c r="J1635" s="6">
        <v>0</v>
      </c>
      <c r="K1635" s="6">
        <v>0</v>
      </c>
      <c r="L1635" s="6">
        <v>1416.6110000000001</v>
      </c>
      <c r="M1635" s="6">
        <v>1416.6110000000001</v>
      </c>
      <c r="N1635" s="6">
        <v>1416.6110000000001</v>
      </c>
      <c r="O1635" s="6">
        <v>1416.6110000000001</v>
      </c>
      <c r="P1635" s="6">
        <v>0</v>
      </c>
      <c r="Q1635" s="4" t="s">
        <v>26</v>
      </c>
      <c r="R1635" s="4">
        <v>0</v>
      </c>
      <c r="S1635" s="4" t="s">
        <v>431</v>
      </c>
      <c r="T1635" s="4" t="s">
        <v>737</v>
      </c>
      <c r="U1635" s="4">
        <v>0</v>
      </c>
      <c r="V1635" s="4">
        <v>36</v>
      </c>
      <c r="W1635" s="4">
        <v>83</v>
      </c>
    </row>
    <row r="1636" spans="1:23" ht="11.25" customHeight="1" x14ac:dyDescent="0.25">
      <c r="A1636" s="4" t="s">
        <v>21</v>
      </c>
      <c r="B1636" s="4" t="s">
        <v>44</v>
      </c>
      <c r="C1636" s="4" t="s">
        <v>34</v>
      </c>
      <c r="D1636" s="4" t="s">
        <v>48</v>
      </c>
      <c r="E1636" s="4" t="s">
        <v>25</v>
      </c>
      <c r="F1636" s="4" t="s">
        <v>25</v>
      </c>
      <c r="G1636" s="4" t="s">
        <v>25</v>
      </c>
      <c r="H1636" s="4" t="s">
        <v>35</v>
      </c>
      <c r="I1636" s="5">
        <v>43770</v>
      </c>
      <c r="J1636" s="6">
        <v>0</v>
      </c>
      <c r="K1636" s="6">
        <v>0</v>
      </c>
      <c r="L1636" s="6">
        <v>1353.77</v>
      </c>
      <c r="M1636" s="6">
        <v>1353.77</v>
      </c>
      <c r="N1636" s="6">
        <v>1353.77</v>
      </c>
      <c r="O1636" s="6">
        <v>1353.77</v>
      </c>
      <c r="P1636" s="6">
        <v>0</v>
      </c>
      <c r="Q1636" s="4" t="s">
        <v>26</v>
      </c>
      <c r="R1636" s="4">
        <v>0</v>
      </c>
      <c r="S1636" s="4" t="s">
        <v>432</v>
      </c>
      <c r="T1636" s="4" t="s">
        <v>738</v>
      </c>
      <c r="U1636" s="4">
        <v>0</v>
      </c>
      <c r="V1636" s="4">
        <v>36</v>
      </c>
      <c r="W1636" s="4">
        <v>83</v>
      </c>
    </row>
    <row r="1637" spans="1:23" ht="11.25" customHeight="1" x14ac:dyDescent="0.25">
      <c r="A1637" s="4" t="s">
        <v>28</v>
      </c>
      <c r="B1637" s="4" t="s">
        <v>44</v>
      </c>
      <c r="C1637" s="4" t="s">
        <v>34</v>
      </c>
      <c r="D1637" s="4" t="s">
        <v>48</v>
      </c>
      <c r="E1637" s="4" t="s">
        <v>25</v>
      </c>
      <c r="F1637" s="4" t="s">
        <v>25</v>
      </c>
      <c r="G1637" s="4" t="s">
        <v>25</v>
      </c>
      <c r="H1637" s="4" t="s">
        <v>35</v>
      </c>
      <c r="I1637" s="5">
        <v>43770</v>
      </c>
      <c r="J1637" s="6">
        <v>0</v>
      </c>
      <c r="K1637" s="6">
        <v>0</v>
      </c>
      <c r="L1637" s="6">
        <v>140.84</v>
      </c>
      <c r="M1637" s="6">
        <v>140.84</v>
      </c>
      <c r="N1637" s="6">
        <v>140.84</v>
      </c>
      <c r="O1637" s="6">
        <v>140.84</v>
      </c>
      <c r="P1637" s="6">
        <v>0</v>
      </c>
      <c r="Q1637" s="4" t="s">
        <v>26</v>
      </c>
      <c r="R1637" s="4">
        <v>0</v>
      </c>
      <c r="S1637" s="4" t="s">
        <v>432</v>
      </c>
      <c r="T1637" s="4" t="s">
        <v>738</v>
      </c>
      <c r="U1637" s="4">
        <v>0</v>
      </c>
      <c r="V1637" s="4">
        <v>36</v>
      </c>
      <c r="W1637" s="4">
        <v>83</v>
      </c>
    </row>
    <row r="1638" spans="1:23" ht="11.25" customHeight="1" x14ac:dyDescent="0.25">
      <c r="A1638" s="4" t="s">
        <v>21</v>
      </c>
      <c r="B1638" s="4" t="s">
        <v>44</v>
      </c>
      <c r="C1638" s="4" t="s">
        <v>34</v>
      </c>
      <c r="D1638" s="4" t="s">
        <v>48</v>
      </c>
      <c r="E1638" s="4" t="s">
        <v>25</v>
      </c>
      <c r="F1638" s="4" t="s">
        <v>25</v>
      </c>
      <c r="G1638" s="4" t="s">
        <v>25</v>
      </c>
      <c r="H1638" s="4" t="s">
        <v>35</v>
      </c>
      <c r="I1638" s="5">
        <v>43800</v>
      </c>
      <c r="J1638" s="6">
        <v>0</v>
      </c>
      <c r="K1638" s="6">
        <v>0</v>
      </c>
      <c r="L1638" s="6">
        <v>1242.97</v>
      </c>
      <c r="M1638" s="6">
        <v>1242.97</v>
      </c>
      <c r="N1638" s="6">
        <v>1242.97</v>
      </c>
      <c r="O1638" s="6">
        <v>1242.97</v>
      </c>
      <c r="P1638" s="6">
        <v>0</v>
      </c>
      <c r="Q1638" s="4" t="s">
        <v>26</v>
      </c>
      <c r="R1638" s="4">
        <v>0</v>
      </c>
      <c r="S1638" s="4" t="s">
        <v>433</v>
      </c>
      <c r="T1638" s="4" t="s">
        <v>739</v>
      </c>
      <c r="U1638" s="4">
        <v>0</v>
      </c>
      <c r="V1638" s="4">
        <v>36</v>
      </c>
      <c r="W1638" s="4">
        <v>83</v>
      </c>
    </row>
    <row r="1639" spans="1:23" ht="11.25" customHeight="1" x14ac:dyDescent="0.25">
      <c r="A1639" s="4" t="s">
        <v>27</v>
      </c>
      <c r="B1639" s="4" t="s">
        <v>44</v>
      </c>
      <c r="C1639" s="4" t="s">
        <v>34</v>
      </c>
      <c r="D1639" s="4" t="s">
        <v>48</v>
      </c>
      <c r="E1639" s="4" t="s">
        <v>25</v>
      </c>
      <c r="F1639" s="4" t="s">
        <v>25</v>
      </c>
      <c r="G1639" s="4" t="s">
        <v>25</v>
      </c>
      <c r="H1639" s="4" t="s">
        <v>35</v>
      </c>
      <c r="I1639" s="5">
        <v>43800</v>
      </c>
      <c r="J1639" s="6">
        <v>0</v>
      </c>
      <c r="K1639" s="6">
        <v>0</v>
      </c>
      <c r="L1639" s="6">
        <v>46.033999999999999</v>
      </c>
      <c r="M1639" s="6">
        <v>46.033999999999999</v>
      </c>
      <c r="N1639" s="6">
        <v>46.033999999999999</v>
      </c>
      <c r="O1639" s="6">
        <v>46.033999999999999</v>
      </c>
      <c r="P1639" s="6">
        <v>0</v>
      </c>
      <c r="Q1639" s="4" t="s">
        <v>26</v>
      </c>
      <c r="R1639" s="4">
        <v>0</v>
      </c>
      <c r="S1639" s="4" t="s">
        <v>433</v>
      </c>
      <c r="T1639" s="4" t="s">
        <v>739</v>
      </c>
      <c r="U1639" s="4">
        <v>0</v>
      </c>
      <c r="V1639" s="4">
        <v>36</v>
      </c>
      <c r="W1639" s="4">
        <v>83</v>
      </c>
    </row>
    <row r="1640" spans="1:23" ht="11.25" customHeight="1" x14ac:dyDescent="0.25">
      <c r="A1640" s="4" t="s">
        <v>28</v>
      </c>
      <c r="B1640" s="4" t="s">
        <v>44</v>
      </c>
      <c r="C1640" s="4" t="s">
        <v>34</v>
      </c>
      <c r="D1640" s="4" t="s">
        <v>48</v>
      </c>
      <c r="E1640" s="4" t="s">
        <v>25</v>
      </c>
      <c r="F1640" s="4" t="s">
        <v>25</v>
      </c>
      <c r="G1640" s="4" t="s">
        <v>25</v>
      </c>
      <c r="H1640" s="4" t="s">
        <v>35</v>
      </c>
      <c r="I1640" s="5">
        <v>43800</v>
      </c>
      <c r="J1640" s="6">
        <v>0</v>
      </c>
      <c r="K1640" s="6">
        <v>0</v>
      </c>
      <c r="L1640" s="6">
        <v>123.247</v>
      </c>
      <c r="M1640" s="6">
        <v>123.247</v>
      </c>
      <c r="N1640" s="6">
        <v>123.247</v>
      </c>
      <c r="O1640" s="6">
        <v>123.247</v>
      </c>
      <c r="P1640" s="6">
        <v>0</v>
      </c>
      <c r="Q1640" s="4" t="s">
        <v>26</v>
      </c>
      <c r="R1640" s="4">
        <v>0</v>
      </c>
      <c r="S1640" s="4" t="s">
        <v>433</v>
      </c>
      <c r="T1640" s="4" t="s">
        <v>739</v>
      </c>
      <c r="U1640" s="4">
        <v>0</v>
      </c>
      <c r="V1640" s="4">
        <v>36</v>
      </c>
      <c r="W1640" s="4">
        <v>83</v>
      </c>
    </row>
    <row r="1641" spans="1:23" ht="11.25" customHeight="1" x14ac:dyDescent="0.25">
      <c r="A1641" s="4" t="s">
        <v>21</v>
      </c>
      <c r="B1641" s="4" t="s">
        <v>44</v>
      </c>
      <c r="C1641" s="4" t="s">
        <v>34</v>
      </c>
      <c r="D1641" s="4" t="s">
        <v>48</v>
      </c>
      <c r="E1641" s="4" t="s">
        <v>25</v>
      </c>
      <c r="F1641" s="4" t="s">
        <v>25</v>
      </c>
      <c r="G1641" s="4" t="s">
        <v>25</v>
      </c>
      <c r="H1641" s="4" t="s">
        <v>35</v>
      </c>
      <c r="I1641" s="5">
        <v>43831</v>
      </c>
      <c r="J1641" s="6">
        <v>0</v>
      </c>
      <c r="K1641" s="6">
        <v>0</v>
      </c>
      <c r="L1641" s="6">
        <v>1156.829</v>
      </c>
      <c r="M1641" s="6">
        <v>1156.829</v>
      </c>
      <c r="N1641" s="6">
        <v>1156.829</v>
      </c>
      <c r="O1641" s="6">
        <v>1156.829</v>
      </c>
      <c r="P1641" s="6">
        <v>0</v>
      </c>
      <c r="Q1641" s="4" t="s">
        <v>26</v>
      </c>
      <c r="R1641" s="4">
        <v>0</v>
      </c>
      <c r="S1641" s="4" t="s">
        <v>434</v>
      </c>
      <c r="T1641" s="4" t="s">
        <v>740</v>
      </c>
      <c r="U1641" s="4">
        <v>0</v>
      </c>
      <c r="V1641" s="4">
        <v>36</v>
      </c>
      <c r="W1641" s="4">
        <v>83</v>
      </c>
    </row>
    <row r="1642" spans="1:23" ht="11.25" customHeight="1" x14ac:dyDescent="0.25">
      <c r="A1642" s="4" t="s">
        <v>28</v>
      </c>
      <c r="B1642" s="4" t="s">
        <v>44</v>
      </c>
      <c r="C1642" s="4" t="s">
        <v>34</v>
      </c>
      <c r="D1642" s="4" t="s">
        <v>48</v>
      </c>
      <c r="E1642" s="4" t="s">
        <v>25</v>
      </c>
      <c r="F1642" s="4" t="s">
        <v>25</v>
      </c>
      <c r="G1642" s="4" t="s">
        <v>25</v>
      </c>
      <c r="H1642" s="4" t="s">
        <v>35</v>
      </c>
      <c r="I1642" s="5">
        <v>43831</v>
      </c>
      <c r="J1642" s="6">
        <v>0</v>
      </c>
      <c r="K1642" s="6">
        <v>0</v>
      </c>
      <c r="L1642" s="6">
        <v>120.679</v>
      </c>
      <c r="M1642" s="6">
        <v>120.679</v>
      </c>
      <c r="N1642" s="6">
        <v>120.679</v>
      </c>
      <c r="O1642" s="6">
        <v>120.679</v>
      </c>
      <c r="P1642" s="6">
        <v>0</v>
      </c>
      <c r="Q1642" s="4" t="s">
        <v>26</v>
      </c>
      <c r="R1642" s="4">
        <v>0</v>
      </c>
      <c r="S1642" s="4" t="s">
        <v>434</v>
      </c>
      <c r="T1642" s="4" t="s">
        <v>740</v>
      </c>
      <c r="U1642" s="4">
        <v>0</v>
      </c>
      <c r="V1642" s="4">
        <v>36</v>
      </c>
      <c r="W1642" s="4">
        <v>83</v>
      </c>
    </row>
    <row r="1643" spans="1:23" ht="11.25" customHeight="1" x14ac:dyDescent="0.25">
      <c r="A1643" s="4" t="s">
        <v>21</v>
      </c>
      <c r="B1643" s="4" t="s">
        <v>44</v>
      </c>
      <c r="C1643" s="4" t="s">
        <v>34</v>
      </c>
      <c r="D1643" s="4" t="s">
        <v>48</v>
      </c>
      <c r="E1643" s="4" t="s">
        <v>25</v>
      </c>
      <c r="F1643" s="4" t="s">
        <v>25</v>
      </c>
      <c r="G1643" s="4" t="s">
        <v>25</v>
      </c>
      <c r="H1643" s="4" t="s">
        <v>35</v>
      </c>
      <c r="I1643" s="5">
        <v>43862</v>
      </c>
      <c r="J1643" s="6">
        <v>0</v>
      </c>
      <c r="K1643" s="6">
        <v>0</v>
      </c>
      <c r="L1643" s="6">
        <v>1239.336</v>
      </c>
      <c r="M1643" s="6">
        <v>1239.336</v>
      </c>
      <c r="N1643" s="6">
        <v>1239.336</v>
      </c>
      <c r="O1643" s="6">
        <v>1239.336</v>
      </c>
      <c r="P1643" s="6">
        <v>0</v>
      </c>
      <c r="Q1643" s="4" t="s">
        <v>26</v>
      </c>
      <c r="R1643" s="4">
        <v>0</v>
      </c>
      <c r="S1643" s="4" t="s">
        <v>435</v>
      </c>
      <c r="T1643" s="4" t="s">
        <v>741</v>
      </c>
      <c r="U1643" s="4">
        <v>0</v>
      </c>
      <c r="V1643" s="4">
        <v>36</v>
      </c>
      <c r="W1643" s="4">
        <v>83</v>
      </c>
    </row>
    <row r="1644" spans="1:23" ht="11.25" customHeight="1" x14ac:dyDescent="0.25">
      <c r="A1644" s="4" t="s">
        <v>28</v>
      </c>
      <c r="B1644" s="4" t="s">
        <v>44</v>
      </c>
      <c r="C1644" s="4" t="s">
        <v>34</v>
      </c>
      <c r="D1644" s="4" t="s">
        <v>48</v>
      </c>
      <c r="E1644" s="4" t="s">
        <v>25</v>
      </c>
      <c r="F1644" s="4" t="s">
        <v>25</v>
      </c>
      <c r="G1644" s="4" t="s">
        <v>25</v>
      </c>
      <c r="H1644" s="4" t="s">
        <v>35</v>
      </c>
      <c r="I1644" s="5">
        <v>43862</v>
      </c>
      <c r="J1644" s="6">
        <v>0</v>
      </c>
      <c r="K1644" s="6">
        <v>0</v>
      </c>
      <c r="L1644" s="6">
        <v>138.80799999999999</v>
      </c>
      <c r="M1644" s="6">
        <v>138.80799999999999</v>
      </c>
      <c r="N1644" s="6">
        <v>138.80799999999999</v>
      </c>
      <c r="O1644" s="6">
        <v>138.80799999999999</v>
      </c>
      <c r="P1644" s="6">
        <v>0</v>
      </c>
      <c r="Q1644" s="4" t="s">
        <v>26</v>
      </c>
      <c r="R1644" s="4">
        <v>0</v>
      </c>
      <c r="S1644" s="4" t="s">
        <v>435</v>
      </c>
      <c r="T1644" s="4" t="s">
        <v>741</v>
      </c>
      <c r="U1644" s="4">
        <v>0</v>
      </c>
      <c r="V1644" s="4">
        <v>36</v>
      </c>
      <c r="W1644" s="4">
        <v>83</v>
      </c>
    </row>
    <row r="1645" spans="1:23" ht="11.25" customHeight="1" x14ac:dyDescent="0.25">
      <c r="A1645" s="4" t="s">
        <v>21</v>
      </c>
      <c r="B1645" s="4" t="s">
        <v>44</v>
      </c>
      <c r="C1645" s="4" t="s">
        <v>34</v>
      </c>
      <c r="D1645" s="4" t="s">
        <v>48</v>
      </c>
      <c r="E1645" s="4" t="s">
        <v>25</v>
      </c>
      <c r="F1645" s="4" t="s">
        <v>25</v>
      </c>
      <c r="G1645" s="4" t="s">
        <v>25</v>
      </c>
      <c r="H1645" s="4" t="s">
        <v>35</v>
      </c>
      <c r="I1645" s="5">
        <v>43891</v>
      </c>
      <c r="J1645" s="6">
        <v>0</v>
      </c>
      <c r="K1645" s="6">
        <v>0</v>
      </c>
      <c r="L1645" s="6">
        <v>1159.279</v>
      </c>
      <c r="M1645" s="6">
        <v>1159.279</v>
      </c>
      <c r="N1645" s="6">
        <v>1159.279</v>
      </c>
      <c r="O1645" s="6">
        <v>1159.279</v>
      </c>
      <c r="P1645" s="6">
        <v>0</v>
      </c>
      <c r="Q1645" s="4" t="s">
        <v>26</v>
      </c>
      <c r="R1645" s="4">
        <v>0</v>
      </c>
      <c r="S1645" s="4" t="s">
        <v>436</v>
      </c>
      <c r="T1645" s="4" t="s">
        <v>742</v>
      </c>
      <c r="U1645" s="4">
        <v>0</v>
      </c>
      <c r="V1645" s="4">
        <v>36</v>
      </c>
      <c r="W1645" s="4">
        <v>83</v>
      </c>
    </row>
    <row r="1646" spans="1:23" ht="11.25" customHeight="1" x14ac:dyDescent="0.25">
      <c r="A1646" s="4" t="s">
        <v>28</v>
      </c>
      <c r="B1646" s="4" t="s">
        <v>44</v>
      </c>
      <c r="C1646" s="4" t="s">
        <v>34</v>
      </c>
      <c r="D1646" s="4" t="s">
        <v>48</v>
      </c>
      <c r="E1646" s="4" t="s">
        <v>25</v>
      </c>
      <c r="F1646" s="4" t="s">
        <v>25</v>
      </c>
      <c r="G1646" s="4" t="s">
        <v>25</v>
      </c>
      <c r="H1646" s="4" t="s">
        <v>35</v>
      </c>
      <c r="I1646" s="5">
        <v>43891</v>
      </c>
      <c r="J1646" s="6">
        <v>0</v>
      </c>
      <c r="K1646" s="6">
        <v>0</v>
      </c>
      <c r="L1646" s="6">
        <v>120.955</v>
      </c>
      <c r="M1646" s="6">
        <v>120.955</v>
      </c>
      <c r="N1646" s="6">
        <v>120.955</v>
      </c>
      <c r="O1646" s="6">
        <v>120.955</v>
      </c>
      <c r="P1646" s="6">
        <v>0</v>
      </c>
      <c r="Q1646" s="4" t="s">
        <v>26</v>
      </c>
      <c r="R1646" s="4">
        <v>0</v>
      </c>
      <c r="S1646" s="4" t="s">
        <v>436</v>
      </c>
      <c r="T1646" s="4" t="s">
        <v>742</v>
      </c>
      <c r="U1646" s="4">
        <v>0</v>
      </c>
      <c r="V1646" s="4">
        <v>36</v>
      </c>
      <c r="W1646" s="4">
        <v>83</v>
      </c>
    </row>
    <row r="1647" spans="1:23" ht="11.25" customHeight="1" x14ac:dyDescent="0.25">
      <c r="A1647" s="4" t="s">
        <v>21</v>
      </c>
      <c r="B1647" s="4" t="s">
        <v>44</v>
      </c>
      <c r="C1647" s="4" t="s">
        <v>34</v>
      </c>
      <c r="D1647" s="4" t="s">
        <v>48</v>
      </c>
      <c r="E1647" s="4" t="s">
        <v>25</v>
      </c>
      <c r="F1647" s="4" t="s">
        <v>25</v>
      </c>
      <c r="G1647" s="4" t="s">
        <v>25</v>
      </c>
      <c r="H1647" s="4" t="s">
        <v>35</v>
      </c>
      <c r="I1647" s="5">
        <v>43922</v>
      </c>
      <c r="J1647" s="6">
        <v>0</v>
      </c>
      <c r="K1647" s="6">
        <v>0</v>
      </c>
      <c r="L1647" s="6">
        <v>1097.1990000000001</v>
      </c>
      <c r="M1647" s="6">
        <v>1097.1990000000001</v>
      </c>
      <c r="N1647" s="6">
        <v>1097.1990000000001</v>
      </c>
      <c r="O1647" s="6">
        <v>1097.1990000000001</v>
      </c>
      <c r="P1647" s="6">
        <v>0</v>
      </c>
      <c r="Q1647" s="4" t="s">
        <v>26</v>
      </c>
      <c r="R1647" s="4">
        <v>0</v>
      </c>
      <c r="S1647" s="4" t="s">
        <v>437</v>
      </c>
      <c r="T1647" s="4" t="s">
        <v>743</v>
      </c>
      <c r="U1647" s="4">
        <v>0</v>
      </c>
      <c r="V1647" s="4">
        <v>36</v>
      </c>
      <c r="W1647" s="4">
        <v>83</v>
      </c>
    </row>
    <row r="1648" spans="1:23" ht="11.25" customHeight="1" x14ac:dyDescent="0.25">
      <c r="A1648" s="4" t="s">
        <v>27</v>
      </c>
      <c r="B1648" s="4" t="s">
        <v>44</v>
      </c>
      <c r="C1648" s="4" t="s">
        <v>34</v>
      </c>
      <c r="D1648" s="4" t="s">
        <v>48</v>
      </c>
      <c r="E1648" s="4" t="s">
        <v>25</v>
      </c>
      <c r="F1648" s="4" t="s">
        <v>25</v>
      </c>
      <c r="G1648" s="4" t="s">
        <v>25</v>
      </c>
      <c r="H1648" s="4" t="s">
        <v>35</v>
      </c>
      <c r="I1648" s="5">
        <v>43922</v>
      </c>
      <c r="J1648" s="6">
        <v>0</v>
      </c>
      <c r="K1648" s="6">
        <v>0</v>
      </c>
      <c r="L1648" s="6">
        <v>19.425000000000001</v>
      </c>
      <c r="M1648" s="6">
        <v>19.425000000000001</v>
      </c>
      <c r="N1648" s="6">
        <v>19.425000000000001</v>
      </c>
      <c r="O1648" s="6">
        <v>19.425000000000001</v>
      </c>
      <c r="P1648" s="6">
        <v>0</v>
      </c>
      <c r="Q1648" s="4" t="s">
        <v>26</v>
      </c>
      <c r="R1648" s="4">
        <v>0</v>
      </c>
      <c r="S1648" s="4" t="s">
        <v>437</v>
      </c>
      <c r="T1648" s="4" t="s">
        <v>743</v>
      </c>
      <c r="U1648" s="4">
        <v>0</v>
      </c>
      <c r="V1648" s="4">
        <v>36</v>
      </c>
      <c r="W1648" s="4">
        <v>83</v>
      </c>
    </row>
    <row r="1649" spans="1:23" ht="11.25" customHeight="1" x14ac:dyDescent="0.25">
      <c r="A1649" s="4" t="s">
        <v>28</v>
      </c>
      <c r="B1649" s="4" t="s">
        <v>44</v>
      </c>
      <c r="C1649" s="4" t="s">
        <v>34</v>
      </c>
      <c r="D1649" s="4" t="s">
        <v>48</v>
      </c>
      <c r="E1649" s="4" t="s">
        <v>25</v>
      </c>
      <c r="F1649" s="4" t="s">
        <v>25</v>
      </c>
      <c r="G1649" s="4" t="s">
        <v>25</v>
      </c>
      <c r="H1649" s="4" t="s">
        <v>35</v>
      </c>
      <c r="I1649" s="5">
        <v>43922</v>
      </c>
      <c r="J1649" s="6">
        <v>0</v>
      </c>
      <c r="K1649" s="6">
        <v>0</v>
      </c>
      <c r="L1649" s="6">
        <v>107.123</v>
      </c>
      <c r="M1649" s="6">
        <v>107.123</v>
      </c>
      <c r="N1649" s="6">
        <v>107.123</v>
      </c>
      <c r="O1649" s="6">
        <v>107.123</v>
      </c>
      <c r="P1649" s="6">
        <v>0</v>
      </c>
      <c r="Q1649" s="4" t="s">
        <v>26</v>
      </c>
      <c r="R1649" s="4">
        <v>0</v>
      </c>
      <c r="S1649" s="4" t="s">
        <v>437</v>
      </c>
      <c r="T1649" s="4" t="s">
        <v>743</v>
      </c>
      <c r="U1649" s="4">
        <v>0</v>
      </c>
      <c r="V1649" s="4">
        <v>36</v>
      </c>
      <c r="W1649" s="4">
        <v>83</v>
      </c>
    </row>
    <row r="1650" spans="1:23" ht="11.25" customHeight="1" x14ac:dyDescent="0.25">
      <c r="A1650" s="4" t="s">
        <v>21</v>
      </c>
      <c r="B1650" s="4" t="s">
        <v>44</v>
      </c>
      <c r="C1650" s="4" t="s">
        <v>34</v>
      </c>
      <c r="D1650" s="4" t="s">
        <v>48</v>
      </c>
      <c r="E1650" s="4" t="s">
        <v>25</v>
      </c>
      <c r="F1650" s="4" t="s">
        <v>25</v>
      </c>
      <c r="G1650" s="4" t="s">
        <v>25</v>
      </c>
      <c r="H1650" s="4" t="s">
        <v>35</v>
      </c>
      <c r="I1650" s="5">
        <v>43952</v>
      </c>
      <c r="J1650" s="6">
        <v>0</v>
      </c>
      <c r="K1650" s="6">
        <v>0</v>
      </c>
      <c r="L1650" s="6">
        <v>785.47</v>
      </c>
      <c r="M1650" s="6">
        <v>785.47</v>
      </c>
      <c r="N1650" s="6">
        <v>785.47</v>
      </c>
      <c r="O1650" s="6">
        <v>785.47</v>
      </c>
      <c r="P1650" s="6">
        <v>0</v>
      </c>
      <c r="Q1650" s="4" t="s">
        <v>26</v>
      </c>
      <c r="R1650" s="4">
        <v>0</v>
      </c>
      <c r="S1650" s="4" t="s">
        <v>438</v>
      </c>
      <c r="T1650" s="4" t="s">
        <v>744</v>
      </c>
      <c r="U1650" s="4">
        <v>0</v>
      </c>
      <c r="V1650" s="4">
        <v>36</v>
      </c>
      <c r="W1650" s="4">
        <v>83</v>
      </c>
    </row>
    <row r="1651" spans="1:23" ht="11.25" customHeight="1" x14ac:dyDescent="0.25">
      <c r="A1651" s="4" t="s">
        <v>28</v>
      </c>
      <c r="B1651" s="4" t="s">
        <v>44</v>
      </c>
      <c r="C1651" s="4" t="s">
        <v>34</v>
      </c>
      <c r="D1651" s="4" t="s">
        <v>48</v>
      </c>
      <c r="E1651" s="4" t="s">
        <v>25</v>
      </c>
      <c r="F1651" s="4" t="s">
        <v>25</v>
      </c>
      <c r="G1651" s="4" t="s">
        <v>25</v>
      </c>
      <c r="H1651" s="4" t="s">
        <v>35</v>
      </c>
      <c r="I1651" s="5">
        <v>43952</v>
      </c>
      <c r="J1651" s="6">
        <v>0</v>
      </c>
      <c r="K1651" s="6">
        <v>0</v>
      </c>
      <c r="L1651" s="6">
        <v>67.614999999999995</v>
      </c>
      <c r="M1651" s="6">
        <v>67.614999999999995</v>
      </c>
      <c r="N1651" s="6">
        <v>67.614999999999995</v>
      </c>
      <c r="O1651" s="6">
        <v>67.614999999999995</v>
      </c>
      <c r="P1651" s="6">
        <v>0</v>
      </c>
      <c r="Q1651" s="4" t="s">
        <v>26</v>
      </c>
      <c r="R1651" s="4">
        <v>0</v>
      </c>
      <c r="S1651" s="4" t="s">
        <v>438</v>
      </c>
      <c r="T1651" s="4" t="s">
        <v>744</v>
      </c>
      <c r="U1651" s="4">
        <v>0</v>
      </c>
      <c r="V1651" s="4">
        <v>36</v>
      </c>
      <c r="W1651" s="4">
        <v>83</v>
      </c>
    </row>
    <row r="1652" spans="1:23" ht="11.25" customHeight="1" x14ac:dyDescent="0.25">
      <c r="A1652" s="4" t="s">
        <v>21</v>
      </c>
      <c r="B1652" s="4" t="s">
        <v>44</v>
      </c>
      <c r="C1652" s="4" t="s">
        <v>34</v>
      </c>
      <c r="D1652" s="4" t="s">
        <v>48</v>
      </c>
      <c r="E1652" s="4" t="s">
        <v>25</v>
      </c>
      <c r="F1652" s="4" t="s">
        <v>25</v>
      </c>
      <c r="G1652" s="4" t="s">
        <v>25</v>
      </c>
      <c r="H1652" s="4" t="s">
        <v>35</v>
      </c>
      <c r="I1652" s="5">
        <v>43983</v>
      </c>
      <c r="J1652" s="6">
        <v>0</v>
      </c>
      <c r="K1652" s="6">
        <v>0</v>
      </c>
      <c r="L1652" s="6">
        <v>833.30700000000002</v>
      </c>
      <c r="M1652" s="6">
        <v>833.30700000000002</v>
      </c>
      <c r="N1652" s="6">
        <v>833.30700000000002</v>
      </c>
      <c r="O1652" s="6">
        <v>833.30700000000002</v>
      </c>
      <c r="P1652" s="6">
        <v>0</v>
      </c>
      <c r="Q1652" s="4" t="s">
        <v>26</v>
      </c>
      <c r="R1652" s="4">
        <v>0</v>
      </c>
      <c r="S1652" s="4" t="s">
        <v>439</v>
      </c>
      <c r="T1652" s="4" t="s">
        <v>745</v>
      </c>
      <c r="U1652" s="4">
        <v>0</v>
      </c>
      <c r="V1652" s="4">
        <v>36</v>
      </c>
      <c r="W1652" s="4">
        <v>83</v>
      </c>
    </row>
    <row r="1653" spans="1:23" ht="11.25" customHeight="1" x14ac:dyDescent="0.25">
      <c r="A1653" s="4" t="s">
        <v>28</v>
      </c>
      <c r="B1653" s="4" t="s">
        <v>44</v>
      </c>
      <c r="C1653" s="4" t="s">
        <v>34</v>
      </c>
      <c r="D1653" s="4" t="s">
        <v>48</v>
      </c>
      <c r="E1653" s="4" t="s">
        <v>25</v>
      </c>
      <c r="F1653" s="4" t="s">
        <v>25</v>
      </c>
      <c r="G1653" s="4" t="s">
        <v>25</v>
      </c>
      <c r="H1653" s="4" t="s">
        <v>35</v>
      </c>
      <c r="I1653" s="5">
        <v>43983</v>
      </c>
      <c r="J1653" s="6">
        <v>0</v>
      </c>
      <c r="K1653" s="6">
        <v>0</v>
      </c>
      <c r="L1653" s="6">
        <v>95.42</v>
      </c>
      <c r="M1653" s="6">
        <v>95.42</v>
      </c>
      <c r="N1653" s="6">
        <v>95.42</v>
      </c>
      <c r="O1653" s="6">
        <v>95.42</v>
      </c>
      <c r="P1653" s="6">
        <v>0</v>
      </c>
      <c r="Q1653" s="4" t="s">
        <v>26</v>
      </c>
      <c r="R1653" s="4">
        <v>0</v>
      </c>
      <c r="S1653" s="4" t="s">
        <v>439</v>
      </c>
      <c r="T1653" s="4" t="s">
        <v>745</v>
      </c>
      <c r="U1653" s="4">
        <v>0</v>
      </c>
      <c r="V1653" s="4">
        <v>36</v>
      </c>
      <c r="W1653" s="4">
        <v>83</v>
      </c>
    </row>
    <row r="1654" spans="1:23" ht="11.25" customHeight="1" x14ac:dyDescent="0.25">
      <c r="A1654" s="4" t="s">
        <v>21</v>
      </c>
      <c r="B1654" s="4" t="s">
        <v>44</v>
      </c>
      <c r="C1654" s="4" t="s">
        <v>34</v>
      </c>
      <c r="D1654" s="4" t="s">
        <v>48</v>
      </c>
      <c r="E1654" s="4" t="s">
        <v>25</v>
      </c>
      <c r="F1654" s="4" t="s">
        <v>25</v>
      </c>
      <c r="G1654" s="4" t="s">
        <v>25</v>
      </c>
      <c r="H1654" s="4" t="s">
        <v>35</v>
      </c>
      <c r="I1654" s="5">
        <v>44013</v>
      </c>
      <c r="J1654" s="6">
        <v>0</v>
      </c>
      <c r="K1654" s="6">
        <v>0</v>
      </c>
      <c r="L1654" s="6">
        <v>788.65200000000004</v>
      </c>
      <c r="M1654" s="6">
        <v>788.65200000000004</v>
      </c>
      <c r="N1654" s="6">
        <v>788.65200000000004</v>
      </c>
      <c r="O1654" s="6">
        <v>788.65200000000004</v>
      </c>
      <c r="P1654" s="6">
        <v>0</v>
      </c>
      <c r="Q1654" s="4" t="s">
        <v>26</v>
      </c>
      <c r="R1654" s="4">
        <v>0</v>
      </c>
      <c r="S1654" s="4" t="s">
        <v>440</v>
      </c>
      <c r="T1654" s="4" t="s">
        <v>746</v>
      </c>
      <c r="U1654" s="4">
        <v>0</v>
      </c>
      <c r="V1654" s="4">
        <v>36</v>
      </c>
      <c r="W1654" s="4">
        <v>83</v>
      </c>
    </row>
    <row r="1655" spans="1:23" ht="11.25" customHeight="1" x14ac:dyDescent="0.25">
      <c r="A1655" s="4" t="s">
        <v>28</v>
      </c>
      <c r="B1655" s="4" t="s">
        <v>44</v>
      </c>
      <c r="C1655" s="4" t="s">
        <v>34</v>
      </c>
      <c r="D1655" s="4" t="s">
        <v>48</v>
      </c>
      <c r="E1655" s="4" t="s">
        <v>25</v>
      </c>
      <c r="F1655" s="4" t="s">
        <v>25</v>
      </c>
      <c r="G1655" s="4" t="s">
        <v>25</v>
      </c>
      <c r="H1655" s="4" t="s">
        <v>35</v>
      </c>
      <c r="I1655" s="5">
        <v>44013</v>
      </c>
      <c r="J1655" s="6">
        <v>0</v>
      </c>
      <c r="K1655" s="6">
        <v>0</v>
      </c>
      <c r="L1655" s="6">
        <v>93.974000000000004</v>
      </c>
      <c r="M1655" s="6">
        <v>93.974000000000004</v>
      </c>
      <c r="N1655" s="6">
        <v>93.974000000000004</v>
      </c>
      <c r="O1655" s="6">
        <v>93.974000000000004</v>
      </c>
      <c r="P1655" s="6">
        <v>0</v>
      </c>
      <c r="Q1655" s="4" t="s">
        <v>26</v>
      </c>
      <c r="R1655" s="4">
        <v>0</v>
      </c>
      <c r="S1655" s="4" t="s">
        <v>440</v>
      </c>
      <c r="T1655" s="4" t="s">
        <v>746</v>
      </c>
      <c r="U1655" s="4">
        <v>0</v>
      </c>
      <c r="V1655" s="4">
        <v>36</v>
      </c>
      <c r="W1655" s="4">
        <v>83</v>
      </c>
    </row>
    <row r="1656" spans="1:23" ht="11.25" customHeight="1" x14ac:dyDescent="0.25">
      <c r="A1656" s="4" t="s">
        <v>21</v>
      </c>
      <c r="B1656" s="4" t="s">
        <v>44</v>
      </c>
      <c r="C1656" s="4" t="s">
        <v>34</v>
      </c>
      <c r="D1656" s="4" t="s">
        <v>48</v>
      </c>
      <c r="E1656" s="4" t="s">
        <v>25</v>
      </c>
      <c r="F1656" s="4" t="s">
        <v>25</v>
      </c>
      <c r="G1656" s="4" t="s">
        <v>25</v>
      </c>
      <c r="H1656" s="4" t="s">
        <v>35</v>
      </c>
      <c r="I1656" s="5">
        <v>44044</v>
      </c>
      <c r="J1656" s="6">
        <v>0</v>
      </c>
      <c r="K1656" s="6">
        <v>0</v>
      </c>
      <c r="L1656" s="6">
        <v>757.30399999999997</v>
      </c>
      <c r="M1656" s="6">
        <v>757.30399999999997</v>
      </c>
      <c r="N1656" s="6">
        <v>757.30399999999997</v>
      </c>
      <c r="O1656" s="6">
        <v>757.30399999999997</v>
      </c>
      <c r="P1656" s="6">
        <v>0</v>
      </c>
      <c r="Q1656" s="4" t="s">
        <v>26</v>
      </c>
      <c r="R1656" s="4">
        <v>0</v>
      </c>
      <c r="S1656" s="4" t="s">
        <v>441</v>
      </c>
      <c r="T1656" s="4" t="s">
        <v>747</v>
      </c>
      <c r="U1656" s="4">
        <v>0</v>
      </c>
      <c r="V1656" s="4">
        <v>36</v>
      </c>
      <c r="W1656" s="4">
        <v>83</v>
      </c>
    </row>
    <row r="1657" spans="1:23" ht="11.25" customHeight="1" x14ac:dyDescent="0.25">
      <c r="A1657" s="4" t="s">
        <v>27</v>
      </c>
      <c r="B1657" s="4" t="s">
        <v>44</v>
      </c>
      <c r="C1657" s="4" t="s">
        <v>34</v>
      </c>
      <c r="D1657" s="4" t="s">
        <v>48</v>
      </c>
      <c r="E1657" s="4" t="s">
        <v>25</v>
      </c>
      <c r="F1657" s="4" t="s">
        <v>25</v>
      </c>
      <c r="G1657" s="4" t="s">
        <v>25</v>
      </c>
      <c r="H1657" s="4" t="s">
        <v>35</v>
      </c>
      <c r="I1657" s="5">
        <v>44044</v>
      </c>
      <c r="J1657" s="6">
        <v>0</v>
      </c>
      <c r="K1657" s="6">
        <v>0</v>
      </c>
      <c r="L1657" s="6">
        <v>19.332999999999998</v>
      </c>
      <c r="M1657" s="6">
        <v>19.332999999999998</v>
      </c>
      <c r="N1657" s="6">
        <v>19.332999999999998</v>
      </c>
      <c r="O1657" s="6">
        <v>19.332999999999998</v>
      </c>
      <c r="P1657" s="6">
        <v>0</v>
      </c>
      <c r="Q1657" s="4" t="s">
        <v>26</v>
      </c>
      <c r="R1657" s="4">
        <v>0</v>
      </c>
      <c r="S1657" s="4" t="s">
        <v>441</v>
      </c>
      <c r="T1657" s="4" t="s">
        <v>747</v>
      </c>
      <c r="U1657" s="4">
        <v>0</v>
      </c>
      <c r="V1657" s="4">
        <v>36</v>
      </c>
      <c r="W1657" s="4">
        <v>83</v>
      </c>
    </row>
    <row r="1658" spans="1:23" ht="11.25" customHeight="1" x14ac:dyDescent="0.25">
      <c r="A1658" s="4" t="s">
        <v>28</v>
      </c>
      <c r="B1658" s="4" t="s">
        <v>44</v>
      </c>
      <c r="C1658" s="4" t="s">
        <v>34</v>
      </c>
      <c r="D1658" s="4" t="s">
        <v>48</v>
      </c>
      <c r="E1658" s="4" t="s">
        <v>25</v>
      </c>
      <c r="F1658" s="4" t="s">
        <v>25</v>
      </c>
      <c r="G1658" s="4" t="s">
        <v>25</v>
      </c>
      <c r="H1658" s="4" t="s">
        <v>35</v>
      </c>
      <c r="I1658" s="5">
        <v>44044</v>
      </c>
      <c r="J1658" s="6">
        <v>0</v>
      </c>
      <c r="K1658" s="6">
        <v>0</v>
      </c>
      <c r="L1658" s="6">
        <v>93.763999999999996</v>
      </c>
      <c r="M1658" s="6">
        <v>93.763999999999996</v>
      </c>
      <c r="N1658" s="6">
        <v>93.763999999999996</v>
      </c>
      <c r="O1658" s="6">
        <v>93.763999999999996</v>
      </c>
      <c r="P1658" s="6">
        <v>0</v>
      </c>
      <c r="Q1658" s="4" t="s">
        <v>26</v>
      </c>
      <c r="R1658" s="4">
        <v>0</v>
      </c>
      <c r="S1658" s="4" t="s">
        <v>441</v>
      </c>
      <c r="T1658" s="4" t="s">
        <v>747</v>
      </c>
      <c r="U1658" s="4">
        <v>0</v>
      </c>
      <c r="V1658" s="4">
        <v>36</v>
      </c>
      <c r="W1658" s="4">
        <v>83</v>
      </c>
    </row>
    <row r="1659" spans="1:23" ht="11.25" customHeight="1" x14ac:dyDescent="0.25">
      <c r="A1659" s="4" t="s">
        <v>59</v>
      </c>
      <c r="B1659" s="4" t="s">
        <v>44</v>
      </c>
      <c r="C1659" s="4" t="s">
        <v>34</v>
      </c>
      <c r="D1659" s="4" t="s">
        <v>48</v>
      </c>
      <c r="E1659" s="4" t="s">
        <v>25</v>
      </c>
      <c r="F1659" s="4" t="s">
        <v>25</v>
      </c>
      <c r="G1659" s="4" t="s">
        <v>25</v>
      </c>
      <c r="H1659" s="4" t="s">
        <v>35</v>
      </c>
      <c r="I1659" s="5">
        <v>44075</v>
      </c>
      <c r="J1659" s="6">
        <v>0</v>
      </c>
      <c r="K1659" s="6">
        <v>0</v>
      </c>
      <c r="L1659" s="6">
        <v>757.30399999999997</v>
      </c>
      <c r="M1659" s="6">
        <v>757.30399999999997</v>
      </c>
      <c r="N1659" s="6">
        <v>757.30399999999997</v>
      </c>
      <c r="O1659" s="6">
        <v>757.30399999999997</v>
      </c>
      <c r="P1659" s="6">
        <v>0</v>
      </c>
      <c r="Q1659" s="4" t="s">
        <v>26</v>
      </c>
      <c r="R1659" s="4">
        <v>0</v>
      </c>
      <c r="S1659" s="4" t="s">
        <v>442</v>
      </c>
      <c r="T1659" s="4" t="s">
        <v>748</v>
      </c>
      <c r="U1659" s="4">
        <v>0</v>
      </c>
      <c r="V1659" s="4">
        <v>36</v>
      </c>
      <c r="W1659" s="4">
        <v>83</v>
      </c>
    </row>
    <row r="1660" spans="1:23" ht="11.25" customHeight="1" x14ac:dyDescent="0.25">
      <c r="A1660" s="4" t="s">
        <v>59</v>
      </c>
      <c r="B1660" s="4" t="s">
        <v>44</v>
      </c>
      <c r="C1660" s="4" t="s">
        <v>34</v>
      </c>
      <c r="D1660" s="4" t="s">
        <v>48</v>
      </c>
      <c r="E1660" s="4" t="s">
        <v>25</v>
      </c>
      <c r="F1660" s="4" t="s">
        <v>25</v>
      </c>
      <c r="G1660" s="4" t="s">
        <v>25</v>
      </c>
      <c r="H1660" s="4" t="s">
        <v>35</v>
      </c>
      <c r="I1660" s="5">
        <v>44075</v>
      </c>
      <c r="J1660" s="6">
        <v>0</v>
      </c>
      <c r="K1660" s="6">
        <v>0</v>
      </c>
      <c r="L1660" s="6">
        <v>19.332999999999998</v>
      </c>
      <c r="M1660" s="6">
        <v>19.332999999999998</v>
      </c>
      <c r="N1660" s="6">
        <v>19.332999999999998</v>
      </c>
      <c r="O1660" s="6">
        <v>19.332999999999998</v>
      </c>
      <c r="P1660" s="6">
        <v>0</v>
      </c>
      <c r="Q1660" s="4" t="s">
        <v>26</v>
      </c>
      <c r="R1660" s="4">
        <v>0</v>
      </c>
      <c r="S1660" s="4" t="s">
        <v>442</v>
      </c>
      <c r="T1660" s="4" t="s">
        <v>748</v>
      </c>
      <c r="U1660" s="4">
        <v>0</v>
      </c>
      <c r="V1660" s="4">
        <v>36</v>
      </c>
      <c r="W1660" s="4">
        <v>83</v>
      </c>
    </row>
    <row r="1661" spans="1:23" ht="11.25" customHeight="1" x14ac:dyDescent="0.25">
      <c r="A1661" s="4" t="s">
        <v>59</v>
      </c>
      <c r="B1661" s="4" t="s">
        <v>44</v>
      </c>
      <c r="C1661" s="4" t="s">
        <v>34</v>
      </c>
      <c r="D1661" s="4" t="s">
        <v>48</v>
      </c>
      <c r="E1661" s="4" t="s">
        <v>25</v>
      </c>
      <c r="F1661" s="4" t="s">
        <v>25</v>
      </c>
      <c r="G1661" s="4" t="s">
        <v>25</v>
      </c>
      <c r="H1661" s="4" t="s">
        <v>35</v>
      </c>
      <c r="I1661" s="5">
        <v>44075</v>
      </c>
      <c r="J1661" s="6">
        <v>0</v>
      </c>
      <c r="K1661" s="6">
        <v>0</v>
      </c>
      <c r="L1661" s="6">
        <v>93.763999999999996</v>
      </c>
      <c r="M1661" s="6">
        <v>93.763999999999996</v>
      </c>
      <c r="N1661" s="6">
        <v>93.763999999999996</v>
      </c>
      <c r="O1661" s="6">
        <v>93.763999999999996</v>
      </c>
      <c r="P1661" s="6">
        <v>0</v>
      </c>
      <c r="Q1661" s="4" t="s">
        <v>26</v>
      </c>
      <c r="R1661" s="4">
        <v>0</v>
      </c>
      <c r="S1661" s="4" t="s">
        <v>442</v>
      </c>
      <c r="T1661" s="4" t="s">
        <v>748</v>
      </c>
      <c r="U1661" s="4">
        <v>0</v>
      </c>
      <c r="V1661" s="4">
        <v>36</v>
      </c>
      <c r="W1661" s="4">
        <v>83</v>
      </c>
    </row>
    <row r="1662" spans="1:23" ht="11.25" customHeight="1" x14ac:dyDescent="0.25">
      <c r="A1662" s="4" t="s">
        <v>21</v>
      </c>
      <c r="B1662" s="4" t="s">
        <v>22</v>
      </c>
      <c r="C1662" s="4" t="s">
        <v>37</v>
      </c>
      <c r="D1662" s="4" t="s">
        <v>24</v>
      </c>
      <c r="E1662" s="4" t="s">
        <v>24</v>
      </c>
      <c r="F1662" s="4" t="s">
        <v>25</v>
      </c>
      <c r="G1662" s="4" t="s">
        <v>25</v>
      </c>
      <c r="H1662" s="4" t="s">
        <v>36</v>
      </c>
      <c r="I1662" s="5">
        <v>43739</v>
      </c>
      <c r="J1662" s="6">
        <v>0</v>
      </c>
      <c r="K1662" s="6">
        <v>0</v>
      </c>
      <c r="L1662" s="6">
        <v>188.077</v>
      </c>
      <c r="M1662" s="6">
        <v>188.077</v>
      </c>
      <c r="N1662" s="6">
        <v>188.077</v>
      </c>
      <c r="O1662" s="6">
        <v>188.077</v>
      </c>
      <c r="P1662" s="6">
        <v>0</v>
      </c>
      <c r="Q1662" s="4" t="s">
        <v>26</v>
      </c>
      <c r="R1662" s="4">
        <v>0</v>
      </c>
      <c r="S1662" s="4" t="s">
        <v>443</v>
      </c>
      <c r="T1662" s="4" t="s">
        <v>750</v>
      </c>
      <c r="U1662" s="4">
        <v>0</v>
      </c>
      <c r="V1662" s="4">
        <v>44</v>
      </c>
      <c r="W1662" s="4">
        <v>87</v>
      </c>
    </row>
    <row r="1663" spans="1:23" ht="11.25" customHeight="1" x14ac:dyDescent="0.25">
      <c r="A1663" s="4" t="s">
        <v>27</v>
      </c>
      <c r="B1663" s="4" t="s">
        <v>22</v>
      </c>
      <c r="C1663" s="4" t="s">
        <v>37</v>
      </c>
      <c r="D1663" s="4" t="s">
        <v>24</v>
      </c>
      <c r="E1663" s="4" t="s">
        <v>24</v>
      </c>
      <c r="F1663" s="4" t="s">
        <v>25</v>
      </c>
      <c r="G1663" s="4" t="s">
        <v>25</v>
      </c>
      <c r="H1663" s="4" t="s">
        <v>36</v>
      </c>
      <c r="I1663" s="5">
        <v>43739</v>
      </c>
      <c r="J1663" s="6">
        <v>0</v>
      </c>
      <c r="K1663" s="6">
        <v>0</v>
      </c>
      <c r="L1663" s="6">
        <v>4.3760000000000003</v>
      </c>
      <c r="M1663" s="6">
        <v>4.3760000000000003</v>
      </c>
      <c r="N1663" s="6">
        <v>4.3760000000000003</v>
      </c>
      <c r="O1663" s="6">
        <v>4.3760000000000003</v>
      </c>
      <c r="P1663" s="6">
        <v>0</v>
      </c>
      <c r="Q1663" s="4" t="s">
        <v>26</v>
      </c>
      <c r="R1663" s="4">
        <v>0</v>
      </c>
      <c r="S1663" s="4" t="s">
        <v>443</v>
      </c>
      <c r="T1663" s="4" t="s">
        <v>750</v>
      </c>
      <c r="U1663" s="4">
        <v>0</v>
      </c>
      <c r="V1663" s="4">
        <v>44</v>
      </c>
      <c r="W1663" s="4">
        <v>87</v>
      </c>
    </row>
    <row r="1664" spans="1:23" ht="11.25" customHeight="1" x14ac:dyDescent="0.25">
      <c r="A1664" s="4" t="s">
        <v>28</v>
      </c>
      <c r="B1664" s="4" t="s">
        <v>22</v>
      </c>
      <c r="C1664" s="4" t="s">
        <v>37</v>
      </c>
      <c r="D1664" s="4" t="s">
        <v>24</v>
      </c>
      <c r="E1664" s="4" t="s">
        <v>24</v>
      </c>
      <c r="F1664" s="4" t="s">
        <v>25</v>
      </c>
      <c r="G1664" s="4" t="s">
        <v>25</v>
      </c>
      <c r="H1664" s="4" t="s">
        <v>36</v>
      </c>
      <c r="I1664" s="5">
        <v>43739</v>
      </c>
      <c r="J1664" s="6">
        <v>0</v>
      </c>
      <c r="K1664" s="6">
        <v>0</v>
      </c>
      <c r="L1664" s="6">
        <v>0.04</v>
      </c>
      <c r="M1664" s="6">
        <v>0.04</v>
      </c>
      <c r="N1664" s="6">
        <v>0.04</v>
      </c>
      <c r="O1664" s="6">
        <v>0.04</v>
      </c>
      <c r="P1664" s="6">
        <v>0</v>
      </c>
      <c r="Q1664" s="4" t="s">
        <v>26</v>
      </c>
      <c r="R1664" s="4">
        <v>0</v>
      </c>
      <c r="S1664" s="4" t="s">
        <v>443</v>
      </c>
      <c r="T1664" s="4" t="s">
        <v>750</v>
      </c>
      <c r="U1664" s="4">
        <v>0</v>
      </c>
      <c r="V1664" s="4">
        <v>44</v>
      </c>
      <c r="W1664" s="4">
        <v>87</v>
      </c>
    </row>
    <row r="1665" spans="1:23" ht="11.25" customHeight="1" x14ac:dyDescent="0.25">
      <c r="A1665" s="4" t="s">
        <v>21</v>
      </c>
      <c r="B1665" s="4" t="s">
        <v>22</v>
      </c>
      <c r="C1665" s="4" t="s">
        <v>37</v>
      </c>
      <c r="D1665" s="4" t="s">
        <v>24</v>
      </c>
      <c r="E1665" s="4" t="s">
        <v>24</v>
      </c>
      <c r="F1665" s="4" t="s">
        <v>25</v>
      </c>
      <c r="G1665" s="4" t="s">
        <v>25</v>
      </c>
      <c r="H1665" s="4" t="s">
        <v>36</v>
      </c>
      <c r="I1665" s="5">
        <v>43770</v>
      </c>
      <c r="J1665" s="6">
        <v>0</v>
      </c>
      <c r="K1665" s="6">
        <v>0</v>
      </c>
      <c r="L1665" s="6">
        <v>200.804</v>
      </c>
      <c r="M1665" s="6">
        <v>200.804</v>
      </c>
      <c r="N1665" s="6">
        <v>200.804</v>
      </c>
      <c r="O1665" s="6">
        <v>200.804</v>
      </c>
      <c r="P1665" s="6">
        <v>0</v>
      </c>
      <c r="Q1665" s="4" t="s">
        <v>26</v>
      </c>
      <c r="R1665" s="4">
        <v>0</v>
      </c>
      <c r="S1665" s="4" t="s">
        <v>444</v>
      </c>
      <c r="T1665" s="4" t="s">
        <v>751</v>
      </c>
      <c r="U1665" s="4">
        <v>0</v>
      </c>
      <c r="V1665" s="4">
        <v>44</v>
      </c>
      <c r="W1665" s="4">
        <v>87</v>
      </c>
    </row>
    <row r="1666" spans="1:23" ht="11.25" customHeight="1" x14ac:dyDescent="0.25">
      <c r="A1666" s="4" t="s">
        <v>27</v>
      </c>
      <c r="B1666" s="4" t="s">
        <v>22</v>
      </c>
      <c r="C1666" s="4" t="s">
        <v>37</v>
      </c>
      <c r="D1666" s="4" t="s">
        <v>24</v>
      </c>
      <c r="E1666" s="4" t="s">
        <v>24</v>
      </c>
      <c r="F1666" s="4" t="s">
        <v>25</v>
      </c>
      <c r="G1666" s="4" t="s">
        <v>25</v>
      </c>
      <c r="H1666" s="4" t="s">
        <v>36</v>
      </c>
      <c r="I1666" s="5">
        <v>43770</v>
      </c>
      <c r="J1666" s="6">
        <v>0</v>
      </c>
      <c r="K1666" s="6">
        <v>0</v>
      </c>
      <c r="L1666" s="6">
        <v>2.2429999999999999</v>
      </c>
      <c r="M1666" s="6">
        <v>2.2429999999999999</v>
      </c>
      <c r="N1666" s="6">
        <v>2.2429999999999999</v>
      </c>
      <c r="O1666" s="6">
        <v>2.2429999999999999</v>
      </c>
      <c r="P1666" s="6">
        <v>0</v>
      </c>
      <c r="Q1666" s="4" t="s">
        <v>26</v>
      </c>
      <c r="R1666" s="4">
        <v>0</v>
      </c>
      <c r="S1666" s="4" t="s">
        <v>444</v>
      </c>
      <c r="T1666" s="4" t="s">
        <v>751</v>
      </c>
      <c r="U1666" s="4">
        <v>0</v>
      </c>
      <c r="V1666" s="4">
        <v>44</v>
      </c>
      <c r="W1666" s="4">
        <v>87</v>
      </c>
    </row>
    <row r="1667" spans="1:23" ht="11.25" customHeight="1" x14ac:dyDescent="0.25">
      <c r="A1667" s="4" t="s">
        <v>28</v>
      </c>
      <c r="B1667" s="4" t="s">
        <v>22</v>
      </c>
      <c r="C1667" s="4" t="s">
        <v>37</v>
      </c>
      <c r="D1667" s="4" t="s">
        <v>24</v>
      </c>
      <c r="E1667" s="4" t="s">
        <v>24</v>
      </c>
      <c r="F1667" s="4" t="s">
        <v>25</v>
      </c>
      <c r="G1667" s="4" t="s">
        <v>25</v>
      </c>
      <c r="H1667" s="4" t="s">
        <v>36</v>
      </c>
      <c r="I1667" s="5">
        <v>43770</v>
      </c>
      <c r="J1667" s="6">
        <v>0</v>
      </c>
      <c r="K1667" s="6">
        <v>0</v>
      </c>
      <c r="L1667" s="6">
        <v>0.113</v>
      </c>
      <c r="M1667" s="6">
        <v>0.113</v>
      </c>
      <c r="N1667" s="6">
        <v>0.113</v>
      </c>
      <c r="O1667" s="6">
        <v>0.113</v>
      </c>
      <c r="P1667" s="6">
        <v>0</v>
      </c>
      <c r="Q1667" s="4" t="s">
        <v>26</v>
      </c>
      <c r="R1667" s="4">
        <v>0</v>
      </c>
      <c r="S1667" s="4" t="s">
        <v>444</v>
      </c>
      <c r="T1667" s="4" t="s">
        <v>751</v>
      </c>
      <c r="U1667" s="4">
        <v>0</v>
      </c>
      <c r="V1667" s="4">
        <v>44</v>
      </c>
      <c r="W1667" s="4">
        <v>87</v>
      </c>
    </row>
    <row r="1668" spans="1:23" ht="11.25" customHeight="1" x14ac:dyDescent="0.25">
      <c r="A1668" s="4" t="s">
        <v>28</v>
      </c>
      <c r="B1668" s="4" t="s">
        <v>22</v>
      </c>
      <c r="C1668" s="4" t="s">
        <v>37</v>
      </c>
      <c r="D1668" s="4" t="s">
        <v>24</v>
      </c>
      <c r="E1668" s="4" t="s">
        <v>24</v>
      </c>
      <c r="F1668" s="4" t="s">
        <v>25</v>
      </c>
      <c r="G1668" s="4" t="s">
        <v>25</v>
      </c>
      <c r="H1668" s="4" t="s">
        <v>36</v>
      </c>
      <c r="I1668" s="5">
        <v>43770</v>
      </c>
      <c r="J1668" s="6">
        <v>0</v>
      </c>
      <c r="K1668" s="6">
        <v>0</v>
      </c>
      <c r="L1668" s="6">
        <v>0.113</v>
      </c>
      <c r="M1668" s="6">
        <v>0.113</v>
      </c>
      <c r="N1668" s="6">
        <v>0.113</v>
      </c>
      <c r="O1668" s="6">
        <v>0.113</v>
      </c>
      <c r="P1668" s="6">
        <v>0</v>
      </c>
      <c r="Q1668" s="4" t="s">
        <v>26</v>
      </c>
      <c r="R1668" s="4">
        <v>0</v>
      </c>
      <c r="S1668" s="4" t="s">
        <v>444</v>
      </c>
      <c r="T1668" s="4" t="s">
        <v>751</v>
      </c>
      <c r="U1668" s="4">
        <v>0</v>
      </c>
      <c r="V1668" s="4">
        <v>44</v>
      </c>
      <c r="W1668" s="4">
        <v>87</v>
      </c>
    </row>
    <row r="1669" spans="1:23" ht="11.25" customHeight="1" x14ac:dyDescent="0.25">
      <c r="A1669" s="4" t="s">
        <v>21</v>
      </c>
      <c r="B1669" s="4" t="s">
        <v>22</v>
      </c>
      <c r="C1669" s="4" t="s">
        <v>37</v>
      </c>
      <c r="D1669" s="4" t="s">
        <v>24</v>
      </c>
      <c r="E1669" s="4" t="s">
        <v>24</v>
      </c>
      <c r="F1669" s="4" t="s">
        <v>25</v>
      </c>
      <c r="G1669" s="4" t="s">
        <v>25</v>
      </c>
      <c r="H1669" s="4" t="s">
        <v>36</v>
      </c>
      <c r="I1669" s="5">
        <v>43800</v>
      </c>
      <c r="J1669" s="6">
        <v>0</v>
      </c>
      <c r="K1669" s="6">
        <v>0</v>
      </c>
      <c r="L1669" s="6">
        <v>168.14</v>
      </c>
      <c r="M1669" s="6">
        <v>168.14</v>
      </c>
      <c r="N1669" s="6">
        <v>168.14</v>
      </c>
      <c r="O1669" s="6">
        <v>168.14</v>
      </c>
      <c r="P1669" s="6">
        <v>0</v>
      </c>
      <c r="Q1669" s="4" t="s">
        <v>26</v>
      </c>
      <c r="R1669" s="4">
        <v>0</v>
      </c>
      <c r="S1669" s="4" t="s">
        <v>445</v>
      </c>
      <c r="T1669" s="4" t="s">
        <v>752</v>
      </c>
      <c r="U1669" s="4">
        <v>0</v>
      </c>
      <c r="V1669" s="4">
        <v>44</v>
      </c>
      <c r="W1669" s="4">
        <v>87</v>
      </c>
    </row>
    <row r="1670" spans="1:23" ht="11.25" customHeight="1" x14ac:dyDescent="0.25">
      <c r="A1670" s="4" t="s">
        <v>27</v>
      </c>
      <c r="B1670" s="4" t="s">
        <v>22</v>
      </c>
      <c r="C1670" s="4" t="s">
        <v>37</v>
      </c>
      <c r="D1670" s="4" t="s">
        <v>24</v>
      </c>
      <c r="E1670" s="4" t="s">
        <v>24</v>
      </c>
      <c r="F1670" s="4" t="s">
        <v>25</v>
      </c>
      <c r="G1670" s="4" t="s">
        <v>25</v>
      </c>
      <c r="H1670" s="4" t="s">
        <v>36</v>
      </c>
      <c r="I1670" s="5">
        <v>43800</v>
      </c>
      <c r="J1670" s="6">
        <v>0</v>
      </c>
      <c r="K1670" s="6">
        <v>0</v>
      </c>
      <c r="L1670" s="6">
        <v>5.0540000000000003</v>
      </c>
      <c r="M1670" s="6">
        <v>5.0540000000000003</v>
      </c>
      <c r="N1670" s="6">
        <v>5.0540000000000003</v>
      </c>
      <c r="O1670" s="6">
        <v>5.0540000000000003</v>
      </c>
      <c r="P1670" s="6">
        <v>0</v>
      </c>
      <c r="Q1670" s="4" t="s">
        <v>26</v>
      </c>
      <c r="R1670" s="4">
        <v>0</v>
      </c>
      <c r="S1670" s="4" t="s">
        <v>445</v>
      </c>
      <c r="T1670" s="4" t="s">
        <v>752</v>
      </c>
      <c r="U1670" s="4">
        <v>0</v>
      </c>
      <c r="V1670" s="4">
        <v>44</v>
      </c>
      <c r="W1670" s="4">
        <v>87</v>
      </c>
    </row>
    <row r="1671" spans="1:23" ht="11.25" customHeight="1" x14ac:dyDescent="0.25">
      <c r="A1671" s="4" t="s">
        <v>28</v>
      </c>
      <c r="B1671" s="4" t="s">
        <v>22</v>
      </c>
      <c r="C1671" s="4" t="s">
        <v>37</v>
      </c>
      <c r="D1671" s="4" t="s">
        <v>24</v>
      </c>
      <c r="E1671" s="4" t="s">
        <v>24</v>
      </c>
      <c r="F1671" s="4" t="s">
        <v>25</v>
      </c>
      <c r="G1671" s="4" t="s">
        <v>25</v>
      </c>
      <c r="H1671" s="4" t="s">
        <v>36</v>
      </c>
      <c r="I1671" s="5">
        <v>43800</v>
      </c>
      <c r="J1671" s="6">
        <v>0</v>
      </c>
      <c r="K1671" s="6">
        <v>0</v>
      </c>
      <c r="L1671" s="6">
        <v>2.9000000000000001E-2</v>
      </c>
      <c r="M1671" s="6">
        <v>2.9000000000000001E-2</v>
      </c>
      <c r="N1671" s="6">
        <v>2.9000000000000001E-2</v>
      </c>
      <c r="O1671" s="6">
        <v>2.9000000000000001E-2</v>
      </c>
      <c r="P1671" s="6">
        <v>0</v>
      </c>
      <c r="Q1671" s="4" t="s">
        <v>26</v>
      </c>
      <c r="R1671" s="4">
        <v>0</v>
      </c>
      <c r="S1671" s="4" t="s">
        <v>445</v>
      </c>
      <c r="T1671" s="4" t="s">
        <v>752</v>
      </c>
      <c r="U1671" s="4">
        <v>0</v>
      </c>
      <c r="V1671" s="4">
        <v>44</v>
      </c>
      <c r="W1671" s="4">
        <v>87</v>
      </c>
    </row>
    <row r="1672" spans="1:23" ht="11.25" customHeight="1" x14ac:dyDescent="0.25">
      <c r="A1672" s="4" t="s">
        <v>21</v>
      </c>
      <c r="B1672" s="4" t="s">
        <v>22</v>
      </c>
      <c r="C1672" s="4" t="s">
        <v>37</v>
      </c>
      <c r="D1672" s="4" t="s">
        <v>24</v>
      </c>
      <c r="E1672" s="4" t="s">
        <v>24</v>
      </c>
      <c r="F1672" s="4" t="s">
        <v>25</v>
      </c>
      <c r="G1672" s="4" t="s">
        <v>25</v>
      </c>
      <c r="H1672" s="4" t="s">
        <v>36</v>
      </c>
      <c r="I1672" s="5">
        <v>43831</v>
      </c>
      <c r="J1672" s="6">
        <v>0</v>
      </c>
      <c r="K1672" s="6">
        <v>0</v>
      </c>
      <c r="L1672" s="6">
        <v>186.04</v>
      </c>
      <c r="M1672" s="6">
        <v>186.04</v>
      </c>
      <c r="N1672" s="6">
        <v>186.04</v>
      </c>
      <c r="O1672" s="6">
        <v>186.04</v>
      </c>
      <c r="P1672" s="6">
        <v>0</v>
      </c>
      <c r="Q1672" s="4" t="s">
        <v>26</v>
      </c>
      <c r="R1672" s="4">
        <v>0</v>
      </c>
      <c r="S1672" s="4" t="s">
        <v>446</v>
      </c>
      <c r="T1672" s="4" t="s">
        <v>753</v>
      </c>
      <c r="U1672" s="4">
        <v>0</v>
      </c>
      <c r="V1672" s="4">
        <v>44</v>
      </c>
      <c r="W1672" s="4">
        <v>87</v>
      </c>
    </row>
    <row r="1673" spans="1:23" ht="11.25" customHeight="1" x14ac:dyDescent="0.25">
      <c r="A1673" s="4" t="s">
        <v>27</v>
      </c>
      <c r="B1673" s="4" t="s">
        <v>22</v>
      </c>
      <c r="C1673" s="4" t="s">
        <v>37</v>
      </c>
      <c r="D1673" s="4" t="s">
        <v>24</v>
      </c>
      <c r="E1673" s="4" t="s">
        <v>24</v>
      </c>
      <c r="F1673" s="4" t="s">
        <v>25</v>
      </c>
      <c r="G1673" s="4" t="s">
        <v>25</v>
      </c>
      <c r="H1673" s="4" t="s">
        <v>36</v>
      </c>
      <c r="I1673" s="5">
        <v>43831</v>
      </c>
      <c r="J1673" s="6">
        <v>0</v>
      </c>
      <c r="K1673" s="6">
        <v>0</v>
      </c>
      <c r="L1673" s="6">
        <v>3.5249999999999999</v>
      </c>
      <c r="M1673" s="6">
        <v>3.5249999999999999</v>
      </c>
      <c r="N1673" s="6">
        <v>3.5249999999999999</v>
      </c>
      <c r="O1673" s="6">
        <v>3.5249999999999999</v>
      </c>
      <c r="P1673" s="6">
        <v>0</v>
      </c>
      <c r="Q1673" s="4" t="s">
        <v>26</v>
      </c>
      <c r="R1673" s="4">
        <v>0</v>
      </c>
      <c r="S1673" s="4" t="s">
        <v>446</v>
      </c>
      <c r="T1673" s="4" t="s">
        <v>753</v>
      </c>
      <c r="U1673" s="4">
        <v>0</v>
      </c>
      <c r="V1673" s="4">
        <v>44</v>
      </c>
      <c r="W1673" s="4">
        <v>87</v>
      </c>
    </row>
    <row r="1674" spans="1:23" ht="11.25" customHeight="1" x14ac:dyDescent="0.25">
      <c r="A1674" s="4" t="s">
        <v>28</v>
      </c>
      <c r="B1674" s="4" t="s">
        <v>22</v>
      </c>
      <c r="C1674" s="4" t="s">
        <v>37</v>
      </c>
      <c r="D1674" s="4" t="s">
        <v>24</v>
      </c>
      <c r="E1674" s="4" t="s">
        <v>24</v>
      </c>
      <c r="F1674" s="4" t="s">
        <v>25</v>
      </c>
      <c r="G1674" s="4" t="s">
        <v>25</v>
      </c>
      <c r="H1674" s="4" t="s">
        <v>36</v>
      </c>
      <c r="I1674" s="5">
        <v>43831</v>
      </c>
      <c r="J1674" s="6">
        <v>0</v>
      </c>
      <c r="K1674" s="6">
        <v>0</v>
      </c>
      <c r="L1674" s="6">
        <v>2.1999999999999999E-2</v>
      </c>
      <c r="M1674" s="6">
        <v>2.1999999999999999E-2</v>
      </c>
      <c r="N1674" s="6">
        <v>2.1999999999999999E-2</v>
      </c>
      <c r="O1674" s="6">
        <v>2.1999999999999999E-2</v>
      </c>
      <c r="P1674" s="6">
        <v>0</v>
      </c>
      <c r="Q1674" s="4" t="s">
        <v>26</v>
      </c>
      <c r="R1674" s="4">
        <v>0</v>
      </c>
      <c r="S1674" s="4" t="s">
        <v>446</v>
      </c>
      <c r="T1674" s="4" t="s">
        <v>753</v>
      </c>
      <c r="U1674" s="4">
        <v>0</v>
      </c>
      <c r="V1674" s="4">
        <v>44</v>
      </c>
      <c r="W1674" s="4">
        <v>87</v>
      </c>
    </row>
    <row r="1675" spans="1:23" ht="11.25" customHeight="1" x14ac:dyDescent="0.25">
      <c r="A1675" s="4" t="s">
        <v>21</v>
      </c>
      <c r="B1675" s="4" t="s">
        <v>22</v>
      </c>
      <c r="C1675" s="4" t="s">
        <v>37</v>
      </c>
      <c r="D1675" s="4" t="s">
        <v>24</v>
      </c>
      <c r="E1675" s="4" t="s">
        <v>24</v>
      </c>
      <c r="F1675" s="4" t="s">
        <v>25</v>
      </c>
      <c r="G1675" s="4" t="s">
        <v>25</v>
      </c>
      <c r="H1675" s="4" t="s">
        <v>36</v>
      </c>
      <c r="I1675" s="5">
        <v>43862</v>
      </c>
      <c r="J1675" s="6">
        <v>0</v>
      </c>
      <c r="K1675" s="6">
        <v>0</v>
      </c>
      <c r="L1675" s="6">
        <v>171.82900000000001</v>
      </c>
      <c r="M1675" s="6">
        <v>171.82900000000001</v>
      </c>
      <c r="N1675" s="6">
        <v>171.82900000000001</v>
      </c>
      <c r="O1675" s="6">
        <v>171.82900000000001</v>
      </c>
      <c r="P1675" s="6">
        <v>0</v>
      </c>
      <c r="Q1675" s="4" t="s">
        <v>26</v>
      </c>
      <c r="R1675" s="4">
        <v>0</v>
      </c>
      <c r="S1675" s="4" t="s">
        <v>447</v>
      </c>
      <c r="T1675" s="4" t="s">
        <v>754</v>
      </c>
      <c r="U1675" s="4">
        <v>0</v>
      </c>
      <c r="V1675" s="4">
        <v>44</v>
      </c>
      <c r="W1675" s="4">
        <v>87</v>
      </c>
    </row>
    <row r="1676" spans="1:23" ht="11.25" customHeight="1" x14ac:dyDescent="0.25">
      <c r="A1676" s="4" t="s">
        <v>27</v>
      </c>
      <c r="B1676" s="4" t="s">
        <v>22</v>
      </c>
      <c r="C1676" s="4" t="s">
        <v>37</v>
      </c>
      <c r="D1676" s="4" t="s">
        <v>24</v>
      </c>
      <c r="E1676" s="4" t="s">
        <v>24</v>
      </c>
      <c r="F1676" s="4" t="s">
        <v>25</v>
      </c>
      <c r="G1676" s="4" t="s">
        <v>25</v>
      </c>
      <c r="H1676" s="4" t="s">
        <v>36</v>
      </c>
      <c r="I1676" s="5">
        <v>43862</v>
      </c>
      <c r="J1676" s="6">
        <v>0</v>
      </c>
      <c r="K1676" s="6">
        <v>0</v>
      </c>
      <c r="L1676" s="6">
        <v>0.89600000000000002</v>
      </c>
      <c r="M1676" s="6">
        <v>0.89600000000000002</v>
      </c>
      <c r="N1676" s="6">
        <v>0.89600000000000002</v>
      </c>
      <c r="O1676" s="6">
        <v>0.89600000000000002</v>
      </c>
      <c r="P1676" s="6">
        <v>0</v>
      </c>
      <c r="Q1676" s="4" t="s">
        <v>26</v>
      </c>
      <c r="R1676" s="4">
        <v>0</v>
      </c>
      <c r="S1676" s="4" t="s">
        <v>447</v>
      </c>
      <c r="T1676" s="4" t="s">
        <v>754</v>
      </c>
      <c r="U1676" s="4">
        <v>0</v>
      </c>
      <c r="V1676" s="4">
        <v>44</v>
      </c>
      <c r="W1676" s="4">
        <v>87</v>
      </c>
    </row>
    <row r="1677" spans="1:23" ht="11.25" customHeight="1" x14ac:dyDescent="0.25">
      <c r="A1677" s="4" t="s">
        <v>21</v>
      </c>
      <c r="B1677" s="4" t="s">
        <v>22</v>
      </c>
      <c r="C1677" s="4" t="s">
        <v>37</v>
      </c>
      <c r="D1677" s="4" t="s">
        <v>24</v>
      </c>
      <c r="E1677" s="4" t="s">
        <v>24</v>
      </c>
      <c r="F1677" s="4" t="s">
        <v>25</v>
      </c>
      <c r="G1677" s="4" t="s">
        <v>25</v>
      </c>
      <c r="H1677" s="4" t="s">
        <v>36</v>
      </c>
      <c r="I1677" s="5">
        <v>43891</v>
      </c>
      <c r="J1677" s="6">
        <v>0</v>
      </c>
      <c r="K1677" s="6">
        <v>0</v>
      </c>
      <c r="L1677" s="6">
        <v>170.30099999999999</v>
      </c>
      <c r="M1677" s="6">
        <v>170.30099999999999</v>
      </c>
      <c r="N1677" s="6">
        <v>170.30099999999999</v>
      </c>
      <c r="O1677" s="6">
        <v>170.30099999999999</v>
      </c>
      <c r="P1677" s="6">
        <v>0</v>
      </c>
      <c r="Q1677" s="4" t="s">
        <v>26</v>
      </c>
      <c r="R1677" s="4">
        <v>0</v>
      </c>
      <c r="S1677" s="4" t="s">
        <v>448</v>
      </c>
      <c r="T1677" s="4" t="s">
        <v>755</v>
      </c>
      <c r="U1677" s="4">
        <v>0</v>
      </c>
      <c r="V1677" s="4">
        <v>44</v>
      </c>
      <c r="W1677" s="4">
        <v>87</v>
      </c>
    </row>
    <row r="1678" spans="1:23" ht="11.25" customHeight="1" x14ac:dyDescent="0.25">
      <c r="A1678" s="4" t="s">
        <v>27</v>
      </c>
      <c r="B1678" s="4" t="s">
        <v>22</v>
      </c>
      <c r="C1678" s="4" t="s">
        <v>37</v>
      </c>
      <c r="D1678" s="4" t="s">
        <v>24</v>
      </c>
      <c r="E1678" s="4" t="s">
        <v>24</v>
      </c>
      <c r="F1678" s="4" t="s">
        <v>25</v>
      </c>
      <c r="G1678" s="4" t="s">
        <v>25</v>
      </c>
      <c r="H1678" s="4" t="s">
        <v>36</v>
      </c>
      <c r="I1678" s="5">
        <v>43891</v>
      </c>
      <c r="J1678" s="6">
        <v>0</v>
      </c>
      <c r="K1678" s="6">
        <v>0</v>
      </c>
      <c r="L1678" s="6">
        <v>0.30399999999999999</v>
      </c>
      <c r="M1678" s="6">
        <v>0.30399999999999999</v>
      </c>
      <c r="N1678" s="6">
        <v>0.30399999999999999</v>
      </c>
      <c r="O1678" s="6">
        <v>0.30399999999999999</v>
      </c>
      <c r="P1678" s="6">
        <v>0</v>
      </c>
      <c r="Q1678" s="4" t="s">
        <v>26</v>
      </c>
      <c r="R1678" s="4">
        <v>0</v>
      </c>
      <c r="S1678" s="4" t="s">
        <v>448</v>
      </c>
      <c r="T1678" s="4" t="s">
        <v>755</v>
      </c>
      <c r="U1678" s="4">
        <v>0</v>
      </c>
      <c r="V1678" s="4">
        <v>44</v>
      </c>
      <c r="W1678" s="4">
        <v>87</v>
      </c>
    </row>
    <row r="1679" spans="1:23" ht="11.25" customHeight="1" x14ac:dyDescent="0.25">
      <c r="A1679" s="4" t="s">
        <v>21</v>
      </c>
      <c r="B1679" s="4" t="s">
        <v>22</v>
      </c>
      <c r="C1679" s="4" t="s">
        <v>37</v>
      </c>
      <c r="D1679" s="4" t="s">
        <v>24</v>
      </c>
      <c r="E1679" s="4" t="s">
        <v>24</v>
      </c>
      <c r="F1679" s="4" t="s">
        <v>25</v>
      </c>
      <c r="G1679" s="4" t="s">
        <v>25</v>
      </c>
      <c r="H1679" s="4" t="s">
        <v>36</v>
      </c>
      <c r="I1679" s="5">
        <v>43922</v>
      </c>
      <c r="J1679" s="6">
        <v>0</v>
      </c>
      <c r="K1679" s="6">
        <v>0</v>
      </c>
      <c r="L1679" s="6">
        <v>179.27699999999999</v>
      </c>
      <c r="M1679" s="6">
        <v>179.27699999999999</v>
      </c>
      <c r="N1679" s="6">
        <v>179.27699999999999</v>
      </c>
      <c r="O1679" s="6">
        <v>179.27699999999999</v>
      </c>
      <c r="P1679" s="6">
        <v>0</v>
      </c>
      <c r="Q1679" s="4" t="s">
        <v>26</v>
      </c>
      <c r="R1679" s="4">
        <v>0</v>
      </c>
      <c r="S1679" s="4" t="s">
        <v>449</v>
      </c>
      <c r="T1679" s="4" t="s">
        <v>756</v>
      </c>
      <c r="U1679" s="4">
        <v>0</v>
      </c>
      <c r="V1679" s="4">
        <v>44</v>
      </c>
      <c r="W1679" s="4">
        <v>87</v>
      </c>
    </row>
    <row r="1680" spans="1:23" ht="11.25" customHeight="1" x14ac:dyDescent="0.25">
      <c r="A1680" s="4" t="s">
        <v>27</v>
      </c>
      <c r="B1680" s="4" t="s">
        <v>22</v>
      </c>
      <c r="C1680" s="4" t="s">
        <v>37</v>
      </c>
      <c r="D1680" s="4" t="s">
        <v>24</v>
      </c>
      <c r="E1680" s="4" t="s">
        <v>24</v>
      </c>
      <c r="F1680" s="4" t="s">
        <v>25</v>
      </c>
      <c r="G1680" s="4" t="s">
        <v>25</v>
      </c>
      <c r="H1680" s="4" t="s">
        <v>36</v>
      </c>
      <c r="I1680" s="5">
        <v>43922</v>
      </c>
      <c r="J1680" s="6">
        <v>0</v>
      </c>
      <c r="K1680" s="6">
        <v>0</v>
      </c>
      <c r="L1680" s="6">
        <v>0.65600000000000003</v>
      </c>
      <c r="M1680" s="6">
        <v>0.65600000000000003</v>
      </c>
      <c r="N1680" s="6">
        <v>0.65600000000000003</v>
      </c>
      <c r="O1680" s="6">
        <v>0.65600000000000003</v>
      </c>
      <c r="P1680" s="6">
        <v>0</v>
      </c>
      <c r="Q1680" s="4" t="s">
        <v>26</v>
      </c>
      <c r="R1680" s="4">
        <v>0</v>
      </c>
      <c r="S1680" s="4" t="s">
        <v>449</v>
      </c>
      <c r="T1680" s="4" t="s">
        <v>756</v>
      </c>
      <c r="U1680" s="4">
        <v>0</v>
      </c>
      <c r="V1680" s="4">
        <v>44</v>
      </c>
      <c r="W1680" s="4">
        <v>87</v>
      </c>
    </row>
    <row r="1681" spans="1:23" ht="11.25" customHeight="1" x14ac:dyDescent="0.25">
      <c r="A1681" s="4" t="s">
        <v>21</v>
      </c>
      <c r="B1681" s="4" t="s">
        <v>22</v>
      </c>
      <c r="C1681" s="4" t="s">
        <v>37</v>
      </c>
      <c r="D1681" s="4" t="s">
        <v>24</v>
      </c>
      <c r="E1681" s="4" t="s">
        <v>24</v>
      </c>
      <c r="F1681" s="4" t="s">
        <v>25</v>
      </c>
      <c r="G1681" s="4" t="s">
        <v>25</v>
      </c>
      <c r="H1681" s="4" t="s">
        <v>36</v>
      </c>
      <c r="I1681" s="5">
        <v>43952</v>
      </c>
      <c r="J1681" s="6">
        <v>0</v>
      </c>
      <c r="K1681" s="6">
        <v>0</v>
      </c>
      <c r="L1681" s="6">
        <v>157.38800000000001</v>
      </c>
      <c r="M1681" s="6">
        <v>157.38800000000001</v>
      </c>
      <c r="N1681" s="6">
        <v>157.38800000000001</v>
      </c>
      <c r="O1681" s="6">
        <v>157.38800000000001</v>
      </c>
      <c r="P1681" s="6">
        <v>0</v>
      </c>
      <c r="Q1681" s="4" t="s">
        <v>26</v>
      </c>
      <c r="R1681" s="4">
        <v>0</v>
      </c>
      <c r="S1681" s="4" t="s">
        <v>450</v>
      </c>
      <c r="T1681" s="4" t="s">
        <v>757</v>
      </c>
      <c r="U1681" s="4">
        <v>0</v>
      </c>
      <c r="V1681" s="4">
        <v>44</v>
      </c>
      <c r="W1681" s="4">
        <v>87</v>
      </c>
    </row>
    <row r="1682" spans="1:23" ht="11.25" customHeight="1" x14ac:dyDescent="0.25">
      <c r="A1682" s="4" t="s">
        <v>27</v>
      </c>
      <c r="B1682" s="4" t="s">
        <v>22</v>
      </c>
      <c r="C1682" s="4" t="s">
        <v>37</v>
      </c>
      <c r="D1682" s="4" t="s">
        <v>24</v>
      </c>
      <c r="E1682" s="4" t="s">
        <v>24</v>
      </c>
      <c r="F1682" s="4" t="s">
        <v>25</v>
      </c>
      <c r="G1682" s="4" t="s">
        <v>25</v>
      </c>
      <c r="H1682" s="4" t="s">
        <v>36</v>
      </c>
      <c r="I1682" s="5">
        <v>43952</v>
      </c>
      <c r="J1682" s="6">
        <v>0</v>
      </c>
      <c r="K1682" s="6">
        <v>0</v>
      </c>
      <c r="L1682" s="6">
        <v>0.89900000000000002</v>
      </c>
      <c r="M1682" s="6">
        <v>0.89900000000000002</v>
      </c>
      <c r="N1682" s="6">
        <v>0.89900000000000002</v>
      </c>
      <c r="O1682" s="6">
        <v>0.89900000000000002</v>
      </c>
      <c r="P1682" s="6">
        <v>0</v>
      </c>
      <c r="Q1682" s="4" t="s">
        <v>26</v>
      </c>
      <c r="R1682" s="4">
        <v>0</v>
      </c>
      <c r="S1682" s="4" t="s">
        <v>450</v>
      </c>
      <c r="T1682" s="4" t="s">
        <v>757</v>
      </c>
      <c r="U1682" s="4">
        <v>0</v>
      </c>
      <c r="V1682" s="4">
        <v>44</v>
      </c>
      <c r="W1682" s="4">
        <v>87</v>
      </c>
    </row>
    <row r="1683" spans="1:23" ht="11.25" customHeight="1" x14ac:dyDescent="0.25">
      <c r="A1683" s="4" t="s">
        <v>21</v>
      </c>
      <c r="B1683" s="4" t="s">
        <v>22</v>
      </c>
      <c r="C1683" s="4" t="s">
        <v>37</v>
      </c>
      <c r="D1683" s="4" t="s">
        <v>24</v>
      </c>
      <c r="E1683" s="4" t="s">
        <v>24</v>
      </c>
      <c r="F1683" s="4" t="s">
        <v>25</v>
      </c>
      <c r="G1683" s="4" t="s">
        <v>25</v>
      </c>
      <c r="H1683" s="4" t="s">
        <v>36</v>
      </c>
      <c r="I1683" s="5">
        <v>43983</v>
      </c>
      <c r="J1683" s="6">
        <v>0</v>
      </c>
      <c r="K1683" s="6">
        <v>0</v>
      </c>
      <c r="L1683" s="6">
        <v>149.21799999999999</v>
      </c>
      <c r="M1683" s="6">
        <v>149.21799999999999</v>
      </c>
      <c r="N1683" s="6">
        <v>149.21799999999999</v>
      </c>
      <c r="O1683" s="6">
        <v>149.21799999999999</v>
      </c>
      <c r="P1683" s="6">
        <v>0</v>
      </c>
      <c r="Q1683" s="4" t="s">
        <v>26</v>
      </c>
      <c r="R1683" s="4">
        <v>0</v>
      </c>
      <c r="S1683" s="4" t="s">
        <v>451</v>
      </c>
      <c r="T1683" s="4" t="s">
        <v>758</v>
      </c>
      <c r="U1683" s="4">
        <v>0</v>
      </c>
      <c r="V1683" s="4">
        <v>44</v>
      </c>
      <c r="W1683" s="4">
        <v>87</v>
      </c>
    </row>
    <row r="1684" spans="1:23" ht="11.25" customHeight="1" x14ac:dyDescent="0.25">
      <c r="A1684" s="4" t="s">
        <v>27</v>
      </c>
      <c r="B1684" s="4" t="s">
        <v>22</v>
      </c>
      <c r="C1684" s="4" t="s">
        <v>37</v>
      </c>
      <c r="D1684" s="4" t="s">
        <v>24</v>
      </c>
      <c r="E1684" s="4" t="s">
        <v>24</v>
      </c>
      <c r="F1684" s="4" t="s">
        <v>25</v>
      </c>
      <c r="G1684" s="4" t="s">
        <v>25</v>
      </c>
      <c r="H1684" s="4" t="s">
        <v>36</v>
      </c>
      <c r="I1684" s="5">
        <v>43983</v>
      </c>
      <c r="J1684" s="6">
        <v>0</v>
      </c>
      <c r="K1684" s="6">
        <v>0</v>
      </c>
      <c r="L1684" s="6">
        <v>1.5760000000000001</v>
      </c>
      <c r="M1684" s="6">
        <v>1.5760000000000001</v>
      </c>
      <c r="N1684" s="6">
        <v>1.5760000000000001</v>
      </c>
      <c r="O1684" s="6">
        <v>1.5760000000000001</v>
      </c>
      <c r="P1684" s="6">
        <v>0</v>
      </c>
      <c r="Q1684" s="4" t="s">
        <v>26</v>
      </c>
      <c r="R1684" s="4">
        <v>0</v>
      </c>
      <c r="S1684" s="4" t="s">
        <v>451</v>
      </c>
      <c r="T1684" s="4" t="s">
        <v>758</v>
      </c>
      <c r="U1684" s="4">
        <v>0</v>
      </c>
      <c r="V1684" s="4">
        <v>44</v>
      </c>
      <c r="W1684" s="4">
        <v>87</v>
      </c>
    </row>
    <row r="1685" spans="1:23" ht="11.25" customHeight="1" x14ac:dyDescent="0.25">
      <c r="A1685" s="4" t="s">
        <v>21</v>
      </c>
      <c r="B1685" s="4" t="s">
        <v>22</v>
      </c>
      <c r="C1685" s="4" t="s">
        <v>37</v>
      </c>
      <c r="D1685" s="4" t="s">
        <v>24</v>
      </c>
      <c r="E1685" s="4" t="s">
        <v>24</v>
      </c>
      <c r="F1685" s="4" t="s">
        <v>25</v>
      </c>
      <c r="G1685" s="4" t="s">
        <v>25</v>
      </c>
      <c r="H1685" s="4" t="s">
        <v>36</v>
      </c>
      <c r="I1685" s="5">
        <v>44013</v>
      </c>
      <c r="J1685" s="6">
        <v>0</v>
      </c>
      <c r="K1685" s="6">
        <v>0</v>
      </c>
      <c r="L1685" s="6">
        <v>154.20599999999999</v>
      </c>
      <c r="M1685" s="6">
        <v>154.20599999999999</v>
      </c>
      <c r="N1685" s="6">
        <v>154.20599999999999</v>
      </c>
      <c r="O1685" s="6">
        <v>154.20599999999999</v>
      </c>
      <c r="P1685" s="6">
        <v>0</v>
      </c>
      <c r="Q1685" s="4" t="s">
        <v>26</v>
      </c>
      <c r="R1685" s="4">
        <v>0</v>
      </c>
      <c r="S1685" s="4" t="s">
        <v>452</v>
      </c>
      <c r="T1685" s="4" t="s">
        <v>759</v>
      </c>
      <c r="U1685" s="4">
        <v>0</v>
      </c>
      <c r="V1685" s="4">
        <v>44</v>
      </c>
      <c r="W1685" s="4">
        <v>87</v>
      </c>
    </row>
    <row r="1686" spans="1:23" ht="11.25" customHeight="1" x14ac:dyDescent="0.25">
      <c r="A1686" s="4" t="s">
        <v>27</v>
      </c>
      <c r="B1686" s="4" t="s">
        <v>22</v>
      </c>
      <c r="C1686" s="4" t="s">
        <v>37</v>
      </c>
      <c r="D1686" s="4" t="s">
        <v>24</v>
      </c>
      <c r="E1686" s="4" t="s">
        <v>24</v>
      </c>
      <c r="F1686" s="4" t="s">
        <v>25</v>
      </c>
      <c r="G1686" s="4" t="s">
        <v>25</v>
      </c>
      <c r="H1686" s="4" t="s">
        <v>36</v>
      </c>
      <c r="I1686" s="5">
        <v>44013</v>
      </c>
      <c r="J1686" s="6">
        <v>0</v>
      </c>
      <c r="K1686" s="6">
        <v>0</v>
      </c>
      <c r="L1686" s="6">
        <v>1.657</v>
      </c>
      <c r="M1686" s="6">
        <v>1.657</v>
      </c>
      <c r="N1686" s="6">
        <v>1.657</v>
      </c>
      <c r="O1686" s="6">
        <v>1.657</v>
      </c>
      <c r="P1686" s="6">
        <v>0</v>
      </c>
      <c r="Q1686" s="4" t="s">
        <v>26</v>
      </c>
      <c r="R1686" s="4">
        <v>0</v>
      </c>
      <c r="S1686" s="4" t="s">
        <v>452</v>
      </c>
      <c r="T1686" s="4" t="s">
        <v>759</v>
      </c>
      <c r="U1686" s="4">
        <v>0</v>
      </c>
      <c r="V1686" s="4">
        <v>44</v>
      </c>
      <c r="W1686" s="4">
        <v>87</v>
      </c>
    </row>
    <row r="1687" spans="1:23" ht="11.25" customHeight="1" x14ac:dyDescent="0.25">
      <c r="A1687" s="4" t="s">
        <v>21</v>
      </c>
      <c r="B1687" s="4" t="s">
        <v>22</v>
      </c>
      <c r="C1687" s="4" t="s">
        <v>37</v>
      </c>
      <c r="D1687" s="4" t="s">
        <v>24</v>
      </c>
      <c r="E1687" s="4" t="s">
        <v>24</v>
      </c>
      <c r="F1687" s="4" t="s">
        <v>25</v>
      </c>
      <c r="G1687" s="4" t="s">
        <v>25</v>
      </c>
      <c r="H1687" s="4" t="s">
        <v>36</v>
      </c>
      <c r="I1687" s="5">
        <v>44044</v>
      </c>
      <c r="J1687" s="6">
        <v>0</v>
      </c>
      <c r="K1687" s="6">
        <v>0</v>
      </c>
      <c r="L1687" s="6">
        <v>183.77099999999999</v>
      </c>
      <c r="M1687" s="6">
        <v>183.77099999999999</v>
      </c>
      <c r="N1687" s="6">
        <v>183.77099999999999</v>
      </c>
      <c r="O1687" s="6">
        <v>183.77099999999999</v>
      </c>
      <c r="P1687" s="6">
        <v>0</v>
      </c>
      <c r="Q1687" s="4" t="s">
        <v>26</v>
      </c>
      <c r="R1687" s="4">
        <v>0</v>
      </c>
      <c r="S1687" s="4" t="s">
        <v>453</v>
      </c>
      <c r="T1687" s="4" t="s">
        <v>760</v>
      </c>
      <c r="U1687" s="4">
        <v>0</v>
      </c>
      <c r="V1687" s="4">
        <v>44</v>
      </c>
      <c r="W1687" s="4">
        <v>87</v>
      </c>
    </row>
    <row r="1688" spans="1:23" ht="11.25" customHeight="1" x14ac:dyDescent="0.25">
      <c r="A1688" s="4" t="s">
        <v>27</v>
      </c>
      <c r="B1688" s="4" t="s">
        <v>22</v>
      </c>
      <c r="C1688" s="4" t="s">
        <v>37</v>
      </c>
      <c r="D1688" s="4" t="s">
        <v>24</v>
      </c>
      <c r="E1688" s="4" t="s">
        <v>24</v>
      </c>
      <c r="F1688" s="4" t="s">
        <v>25</v>
      </c>
      <c r="G1688" s="4" t="s">
        <v>25</v>
      </c>
      <c r="H1688" s="4" t="s">
        <v>36</v>
      </c>
      <c r="I1688" s="5">
        <v>44044</v>
      </c>
      <c r="J1688" s="6">
        <v>0</v>
      </c>
      <c r="K1688" s="6">
        <v>0</v>
      </c>
      <c r="L1688" s="6">
        <v>1.123</v>
      </c>
      <c r="M1688" s="6">
        <v>1.123</v>
      </c>
      <c r="N1688" s="6">
        <v>1.123</v>
      </c>
      <c r="O1688" s="6">
        <v>1.123</v>
      </c>
      <c r="P1688" s="6">
        <v>0</v>
      </c>
      <c r="Q1688" s="4" t="s">
        <v>26</v>
      </c>
      <c r="R1688" s="4">
        <v>0</v>
      </c>
      <c r="S1688" s="4" t="s">
        <v>453</v>
      </c>
      <c r="T1688" s="4" t="s">
        <v>760</v>
      </c>
      <c r="U1688" s="4">
        <v>0</v>
      </c>
      <c r="V1688" s="4">
        <v>44</v>
      </c>
      <c r="W1688" s="4">
        <v>87</v>
      </c>
    </row>
    <row r="1689" spans="1:23" ht="11.25" customHeight="1" x14ac:dyDescent="0.25">
      <c r="A1689" s="4" t="s">
        <v>59</v>
      </c>
      <c r="B1689" s="4" t="s">
        <v>22</v>
      </c>
      <c r="C1689" s="4" t="s">
        <v>37</v>
      </c>
      <c r="D1689" s="4" t="s">
        <v>24</v>
      </c>
      <c r="E1689" s="4" t="s">
        <v>24</v>
      </c>
      <c r="F1689" s="4" t="s">
        <v>25</v>
      </c>
      <c r="G1689" s="4" t="s">
        <v>25</v>
      </c>
      <c r="H1689" s="4" t="s">
        <v>36</v>
      </c>
      <c r="I1689" s="5">
        <v>44075</v>
      </c>
      <c r="J1689" s="6">
        <v>0</v>
      </c>
      <c r="K1689" s="6">
        <v>0</v>
      </c>
      <c r="L1689" s="6">
        <v>183.77099999999999</v>
      </c>
      <c r="M1689" s="6">
        <v>183.77099999999999</v>
      </c>
      <c r="N1689" s="6">
        <v>183.77099999999999</v>
      </c>
      <c r="O1689" s="6">
        <v>183.77099999999999</v>
      </c>
      <c r="P1689" s="6">
        <v>0</v>
      </c>
      <c r="Q1689" s="4" t="s">
        <v>26</v>
      </c>
      <c r="R1689" s="4">
        <v>0</v>
      </c>
      <c r="S1689" s="4" t="s">
        <v>454</v>
      </c>
      <c r="T1689" s="4" t="s">
        <v>761</v>
      </c>
      <c r="U1689" s="4">
        <v>0</v>
      </c>
      <c r="V1689" s="4">
        <v>44</v>
      </c>
      <c r="W1689" s="4">
        <v>87</v>
      </c>
    </row>
    <row r="1690" spans="1:23" ht="11.25" customHeight="1" x14ac:dyDescent="0.25">
      <c r="A1690" s="4" t="s">
        <v>59</v>
      </c>
      <c r="B1690" s="4" t="s">
        <v>22</v>
      </c>
      <c r="C1690" s="4" t="s">
        <v>37</v>
      </c>
      <c r="D1690" s="4" t="s">
        <v>24</v>
      </c>
      <c r="E1690" s="4" t="s">
        <v>24</v>
      </c>
      <c r="F1690" s="4" t="s">
        <v>25</v>
      </c>
      <c r="G1690" s="4" t="s">
        <v>25</v>
      </c>
      <c r="H1690" s="4" t="s">
        <v>36</v>
      </c>
      <c r="I1690" s="5">
        <v>44075</v>
      </c>
      <c r="J1690" s="6">
        <v>0</v>
      </c>
      <c r="K1690" s="6">
        <v>0</v>
      </c>
      <c r="L1690" s="6">
        <v>1.123</v>
      </c>
      <c r="M1690" s="6">
        <v>1.123</v>
      </c>
      <c r="N1690" s="6">
        <v>1.123</v>
      </c>
      <c r="O1690" s="6">
        <v>1.123</v>
      </c>
      <c r="P1690" s="6">
        <v>0</v>
      </c>
      <c r="Q1690" s="4" t="s">
        <v>26</v>
      </c>
      <c r="R1690" s="4">
        <v>0</v>
      </c>
      <c r="S1690" s="4" t="s">
        <v>454</v>
      </c>
      <c r="T1690" s="4" t="s">
        <v>761</v>
      </c>
      <c r="U1690" s="4">
        <v>0</v>
      </c>
      <c r="V1690" s="4">
        <v>44</v>
      </c>
      <c r="W1690" s="4">
        <v>87</v>
      </c>
    </row>
    <row r="1691" spans="1:23" ht="11.25" customHeight="1" x14ac:dyDescent="0.25">
      <c r="A1691" s="4" t="s">
        <v>21</v>
      </c>
      <c r="B1691" s="4" t="s">
        <v>22</v>
      </c>
      <c r="C1691" s="4" t="s">
        <v>37</v>
      </c>
      <c r="D1691" s="4" t="s">
        <v>24</v>
      </c>
      <c r="E1691" s="4" t="s">
        <v>24</v>
      </c>
      <c r="F1691" s="4" t="s">
        <v>25</v>
      </c>
      <c r="G1691" s="4" t="s">
        <v>25</v>
      </c>
      <c r="H1691" s="4" t="s">
        <v>38</v>
      </c>
      <c r="I1691" s="5">
        <v>43739</v>
      </c>
      <c r="J1691" s="6">
        <v>0</v>
      </c>
      <c r="K1691" s="6">
        <v>0</v>
      </c>
      <c r="L1691" s="6">
        <v>14.584</v>
      </c>
      <c r="M1691" s="6">
        <v>14.584</v>
      </c>
      <c r="N1691" s="6">
        <v>14.584</v>
      </c>
      <c r="O1691" s="6">
        <v>14.584</v>
      </c>
      <c r="P1691" s="6">
        <v>0</v>
      </c>
      <c r="Q1691" s="4" t="s">
        <v>26</v>
      </c>
      <c r="R1691" s="4">
        <v>0</v>
      </c>
      <c r="S1691" s="4" t="s">
        <v>455</v>
      </c>
      <c r="T1691" s="4" t="s">
        <v>762</v>
      </c>
      <c r="U1691" s="4">
        <v>0</v>
      </c>
      <c r="V1691" s="4">
        <v>43</v>
      </c>
      <c r="W1691" s="4">
        <v>86</v>
      </c>
    </row>
    <row r="1692" spans="1:23" ht="11.25" customHeight="1" x14ac:dyDescent="0.25">
      <c r="A1692" s="4" t="s">
        <v>27</v>
      </c>
      <c r="B1692" s="4" t="s">
        <v>22</v>
      </c>
      <c r="C1692" s="4" t="s">
        <v>37</v>
      </c>
      <c r="D1692" s="4" t="s">
        <v>24</v>
      </c>
      <c r="E1692" s="4" t="s">
        <v>24</v>
      </c>
      <c r="F1692" s="4" t="s">
        <v>25</v>
      </c>
      <c r="G1692" s="4" t="s">
        <v>25</v>
      </c>
      <c r="H1692" s="4" t="s">
        <v>38</v>
      </c>
      <c r="I1692" s="5">
        <v>43739</v>
      </c>
      <c r="J1692" s="6">
        <v>0</v>
      </c>
      <c r="K1692" s="6">
        <v>0</v>
      </c>
      <c r="L1692" s="6">
        <v>0.36699999999999999</v>
      </c>
      <c r="M1692" s="6">
        <v>0.36699999999999999</v>
      </c>
      <c r="N1692" s="6">
        <v>0.36699999999999999</v>
      </c>
      <c r="O1692" s="6">
        <v>0.36699999999999999</v>
      </c>
      <c r="P1692" s="6">
        <v>0</v>
      </c>
      <c r="Q1692" s="4" t="s">
        <v>26</v>
      </c>
      <c r="R1692" s="4">
        <v>0</v>
      </c>
      <c r="S1692" s="4" t="s">
        <v>455</v>
      </c>
      <c r="T1692" s="4" t="s">
        <v>762</v>
      </c>
      <c r="U1692" s="4">
        <v>0</v>
      </c>
      <c r="V1692" s="4">
        <v>43</v>
      </c>
      <c r="W1692" s="4">
        <v>86</v>
      </c>
    </row>
    <row r="1693" spans="1:23" ht="11.25" customHeight="1" x14ac:dyDescent="0.25">
      <c r="A1693" s="4" t="s">
        <v>28</v>
      </c>
      <c r="B1693" s="4" t="s">
        <v>22</v>
      </c>
      <c r="C1693" s="4" t="s">
        <v>37</v>
      </c>
      <c r="D1693" s="4" t="s">
        <v>24</v>
      </c>
      <c r="E1693" s="4" t="s">
        <v>24</v>
      </c>
      <c r="F1693" s="4" t="s">
        <v>25</v>
      </c>
      <c r="G1693" s="4" t="s">
        <v>25</v>
      </c>
      <c r="H1693" s="4" t="s">
        <v>38</v>
      </c>
      <c r="I1693" s="5">
        <v>43739</v>
      </c>
      <c r="J1693" s="6">
        <v>0</v>
      </c>
      <c r="K1693" s="6">
        <v>0</v>
      </c>
      <c r="L1693" s="6">
        <v>3.0000000000000001E-3</v>
      </c>
      <c r="M1693" s="6">
        <v>3.0000000000000001E-3</v>
      </c>
      <c r="N1693" s="6">
        <v>3.0000000000000001E-3</v>
      </c>
      <c r="O1693" s="6">
        <v>3.0000000000000001E-3</v>
      </c>
      <c r="P1693" s="6">
        <v>0</v>
      </c>
      <c r="Q1693" s="4" t="s">
        <v>26</v>
      </c>
      <c r="R1693" s="4">
        <v>0</v>
      </c>
      <c r="S1693" s="4" t="s">
        <v>455</v>
      </c>
      <c r="T1693" s="4" t="s">
        <v>762</v>
      </c>
      <c r="U1693" s="4">
        <v>0</v>
      </c>
      <c r="V1693" s="4">
        <v>43</v>
      </c>
      <c r="W1693" s="4">
        <v>86</v>
      </c>
    </row>
    <row r="1694" spans="1:23" ht="11.25" customHeight="1" x14ac:dyDescent="0.25">
      <c r="A1694" s="4" t="s">
        <v>21</v>
      </c>
      <c r="B1694" s="4" t="s">
        <v>22</v>
      </c>
      <c r="C1694" s="4" t="s">
        <v>37</v>
      </c>
      <c r="D1694" s="4" t="s">
        <v>24</v>
      </c>
      <c r="E1694" s="4" t="s">
        <v>24</v>
      </c>
      <c r="F1694" s="4" t="s">
        <v>25</v>
      </c>
      <c r="G1694" s="4" t="s">
        <v>25</v>
      </c>
      <c r="H1694" s="4" t="s">
        <v>38</v>
      </c>
      <c r="I1694" s="5">
        <v>43770</v>
      </c>
      <c r="J1694" s="6">
        <v>0</v>
      </c>
      <c r="K1694" s="6">
        <v>0</v>
      </c>
      <c r="L1694" s="6">
        <v>14.778</v>
      </c>
      <c r="M1694" s="6">
        <v>14.778</v>
      </c>
      <c r="N1694" s="6">
        <v>14.778</v>
      </c>
      <c r="O1694" s="6">
        <v>14.778</v>
      </c>
      <c r="P1694" s="6">
        <v>0</v>
      </c>
      <c r="Q1694" s="4" t="s">
        <v>26</v>
      </c>
      <c r="R1694" s="4">
        <v>0</v>
      </c>
      <c r="S1694" s="4" t="s">
        <v>456</v>
      </c>
      <c r="T1694" s="4" t="s">
        <v>763</v>
      </c>
      <c r="U1694" s="4">
        <v>0</v>
      </c>
      <c r="V1694" s="4">
        <v>43</v>
      </c>
      <c r="W1694" s="4">
        <v>86</v>
      </c>
    </row>
    <row r="1695" spans="1:23" ht="11.25" customHeight="1" x14ac:dyDescent="0.25">
      <c r="A1695" s="4" t="s">
        <v>27</v>
      </c>
      <c r="B1695" s="4" t="s">
        <v>22</v>
      </c>
      <c r="C1695" s="4" t="s">
        <v>37</v>
      </c>
      <c r="D1695" s="4" t="s">
        <v>24</v>
      </c>
      <c r="E1695" s="4" t="s">
        <v>24</v>
      </c>
      <c r="F1695" s="4" t="s">
        <v>25</v>
      </c>
      <c r="G1695" s="4" t="s">
        <v>25</v>
      </c>
      <c r="H1695" s="4" t="s">
        <v>38</v>
      </c>
      <c r="I1695" s="5">
        <v>43770</v>
      </c>
      <c r="J1695" s="6">
        <v>0</v>
      </c>
      <c r="K1695" s="6">
        <v>0</v>
      </c>
      <c r="L1695" s="6">
        <v>0.123</v>
      </c>
      <c r="M1695" s="6">
        <v>0.123</v>
      </c>
      <c r="N1695" s="6">
        <v>0.123</v>
      </c>
      <c r="O1695" s="6">
        <v>0.123</v>
      </c>
      <c r="P1695" s="6">
        <v>0</v>
      </c>
      <c r="Q1695" s="4" t="s">
        <v>26</v>
      </c>
      <c r="R1695" s="4">
        <v>0</v>
      </c>
      <c r="S1695" s="4" t="s">
        <v>456</v>
      </c>
      <c r="T1695" s="4" t="s">
        <v>763</v>
      </c>
      <c r="U1695" s="4">
        <v>0</v>
      </c>
      <c r="V1695" s="4">
        <v>43</v>
      </c>
      <c r="W1695" s="4">
        <v>86</v>
      </c>
    </row>
    <row r="1696" spans="1:23" ht="11.25" customHeight="1" x14ac:dyDescent="0.25">
      <c r="A1696" s="4" t="s">
        <v>28</v>
      </c>
      <c r="B1696" s="4" t="s">
        <v>22</v>
      </c>
      <c r="C1696" s="4" t="s">
        <v>37</v>
      </c>
      <c r="D1696" s="4" t="s">
        <v>24</v>
      </c>
      <c r="E1696" s="4" t="s">
        <v>24</v>
      </c>
      <c r="F1696" s="4" t="s">
        <v>25</v>
      </c>
      <c r="G1696" s="4" t="s">
        <v>25</v>
      </c>
      <c r="H1696" s="4" t="s">
        <v>38</v>
      </c>
      <c r="I1696" s="5">
        <v>43770</v>
      </c>
      <c r="J1696" s="6">
        <v>0</v>
      </c>
      <c r="K1696" s="6">
        <v>0</v>
      </c>
      <c r="L1696" s="6">
        <v>3.6999999999999998E-2</v>
      </c>
      <c r="M1696" s="6">
        <v>3.6999999999999998E-2</v>
      </c>
      <c r="N1696" s="6">
        <v>3.6999999999999998E-2</v>
      </c>
      <c r="O1696" s="6">
        <v>3.6999999999999998E-2</v>
      </c>
      <c r="P1696" s="6">
        <v>0</v>
      </c>
      <c r="Q1696" s="4" t="s">
        <v>26</v>
      </c>
      <c r="R1696" s="4">
        <v>0</v>
      </c>
      <c r="S1696" s="4" t="s">
        <v>456</v>
      </c>
      <c r="T1696" s="4" t="s">
        <v>763</v>
      </c>
      <c r="U1696" s="4">
        <v>0</v>
      </c>
      <c r="V1696" s="4">
        <v>43</v>
      </c>
      <c r="W1696" s="4">
        <v>86</v>
      </c>
    </row>
    <row r="1697" spans="1:23" ht="11.25" customHeight="1" x14ac:dyDescent="0.25">
      <c r="A1697" s="4" t="s">
        <v>28</v>
      </c>
      <c r="B1697" s="4" t="s">
        <v>22</v>
      </c>
      <c r="C1697" s="4" t="s">
        <v>37</v>
      </c>
      <c r="D1697" s="4" t="s">
        <v>24</v>
      </c>
      <c r="E1697" s="4" t="s">
        <v>24</v>
      </c>
      <c r="F1697" s="4" t="s">
        <v>25</v>
      </c>
      <c r="G1697" s="4" t="s">
        <v>25</v>
      </c>
      <c r="H1697" s="4" t="s">
        <v>38</v>
      </c>
      <c r="I1697" s="5">
        <v>43770</v>
      </c>
      <c r="J1697" s="6">
        <v>0</v>
      </c>
      <c r="K1697" s="6">
        <v>0</v>
      </c>
      <c r="L1697" s="6">
        <v>3.6999999999999998E-2</v>
      </c>
      <c r="M1697" s="6">
        <v>3.6999999999999998E-2</v>
      </c>
      <c r="N1697" s="6">
        <v>3.6999999999999998E-2</v>
      </c>
      <c r="O1697" s="6">
        <v>3.6999999999999998E-2</v>
      </c>
      <c r="P1697" s="6">
        <v>0</v>
      </c>
      <c r="Q1697" s="4" t="s">
        <v>26</v>
      </c>
      <c r="R1697" s="4">
        <v>0</v>
      </c>
      <c r="S1697" s="4" t="s">
        <v>456</v>
      </c>
      <c r="T1697" s="4" t="s">
        <v>763</v>
      </c>
      <c r="U1697" s="4">
        <v>0</v>
      </c>
      <c r="V1697" s="4">
        <v>43</v>
      </c>
      <c r="W1697" s="4">
        <v>86</v>
      </c>
    </row>
    <row r="1698" spans="1:23" ht="11.25" customHeight="1" x14ac:dyDescent="0.25">
      <c r="A1698" s="4" t="s">
        <v>21</v>
      </c>
      <c r="B1698" s="4" t="s">
        <v>22</v>
      </c>
      <c r="C1698" s="4" t="s">
        <v>37</v>
      </c>
      <c r="D1698" s="4" t="s">
        <v>24</v>
      </c>
      <c r="E1698" s="4" t="s">
        <v>24</v>
      </c>
      <c r="F1698" s="4" t="s">
        <v>25</v>
      </c>
      <c r="G1698" s="4" t="s">
        <v>25</v>
      </c>
      <c r="H1698" s="4" t="s">
        <v>38</v>
      </c>
      <c r="I1698" s="5">
        <v>43800</v>
      </c>
      <c r="J1698" s="6">
        <v>0</v>
      </c>
      <c r="K1698" s="6">
        <v>0</v>
      </c>
      <c r="L1698" s="6">
        <v>12.145</v>
      </c>
      <c r="M1698" s="6">
        <v>12.145</v>
      </c>
      <c r="N1698" s="6">
        <v>12.145</v>
      </c>
      <c r="O1698" s="6">
        <v>12.145</v>
      </c>
      <c r="P1698" s="6">
        <v>0</v>
      </c>
      <c r="Q1698" s="4" t="s">
        <v>26</v>
      </c>
      <c r="R1698" s="4">
        <v>0</v>
      </c>
      <c r="S1698" s="4" t="s">
        <v>457</v>
      </c>
      <c r="T1698" s="4" t="s">
        <v>764</v>
      </c>
      <c r="U1698" s="4">
        <v>0</v>
      </c>
      <c r="V1698" s="4">
        <v>43</v>
      </c>
      <c r="W1698" s="4">
        <v>86</v>
      </c>
    </row>
    <row r="1699" spans="1:23" ht="11.25" customHeight="1" x14ac:dyDescent="0.25">
      <c r="A1699" s="4" t="s">
        <v>27</v>
      </c>
      <c r="B1699" s="4" t="s">
        <v>22</v>
      </c>
      <c r="C1699" s="4" t="s">
        <v>37</v>
      </c>
      <c r="D1699" s="4" t="s">
        <v>24</v>
      </c>
      <c r="E1699" s="4" t="s">
        <v>24</v>
      </c>
      <c r="F1699" s="4" t="s">
        <v>25</v>
      </c>
      <c r="G1699" s="4" t="s">
        <v>25</v>
      </c>
      <c r="H1699" s="4" t="s">
        <v>38</v>
      </c>
      <c r="I1699" s="5">
        <v>43800</v>
      </c>
      <c r="J1699" s="6">
        <v>0</v>
      </c>
      <c r="K1699" s="6">
        <v>0</v>
      </c>
      <c r="L1699" s="6">
        <v>0.33200000000000002</v>
      </c>
      <c r="M1699" s="6">
        <v>0.33200000000000002</v>
      </c>
      <c r="N1699" s="6">
        <v>0.33200000000000002</v>
      </c>
      <c r="O1699" s="6">
        <v>0.33200000000000002</v>
      </c>
      <c r="P1699" s="6">
        <v>0</v>
      </c>
      <c r="Q1699" s="4" t="s">
        <v>26</v>
      </c>
      <c r="R1699" s="4">
        <v>0</v>
      </c>
      <c r="S1699" s="4" t="s">
        <v>457</v>
      </c>
      <c r="T1699" s="4" t="s">
        <v>764</v>
      </c>
      <c r="U1699" s="4">
        <v>0</v>
      </c>
      <c r="V1699" s="4">
        <v>43</v>
      </c>
      <c r="W1699" s="4">
        <v>86</v>
      </c>
    </row>
    <row r="1700" spans="1:23" ht="11.25" customHeight="1" x14ac:dyDescent="0.25">
      <c r="A1700" s="4" t="s">
        <v>28</v>
      </c>
      <c r="B1700" s="4" t="s">
        <v>22</v>
      </c>
      <c r="C1700" s="4" t="s">
        <v>37</v>
      </c>
      <c r="D1700" s="4" t="s">
        <v>24</v>
      </c>
      <c r="E1700" s="4" t="s">
        <v>24</v>
      </c>
      <c r="F1700" s="4" t="s">
        <v>25</v>
      </c>
      <c r="G1700" s="4" t="s">
        <v>25</v>
      </c>
      <c r="H1700" s="4" t="s">
        <v>38</v>
      </c>
      <c r="I1700" s="5">
        <v>43800</v>
      </c>
      <c r="J1700" s="6">
        <v>0</v>
      </c>
      <c r="K1700" s="6">
        <v>0</v>
      </c>
      <c r="L1700" s="6">
        <v>1.9E-2</v>
      </c>
      <c r="M1700" s="6">
        <v>1.9E-2</v>
      </c>
      <c r="N1700" s="6">
        <v>1.9E-2</v>
      </c>
      <c r="O1700" s="6">
        <v>1.9E-2</v>
      </c>
      <c r="P1700" s="6">
        <v>0</v>
      </c>
      <c r="Q1700" s="4" t="s">
        <v>26</v>
      </c>
      <c r="R1700" s="4">
        <v>0</v>
      </c>
      <c r="S1700" s="4" t="s">
        <v>457</v>
      </c>
      <c r="T1700" s="4" t="s">
        <v>764</v>
      </c>
      <c r="U1700" s="4">
        <v>0</v>
      </c>
      <c r="V1700" s="4">
        <v>43</v>
      </c>
      <c r="W1700" s="4">
        <v>86</v>
      </c>
    </row>
    <row r="1701" spans="1:23" ht="11.25" customHeight="1" x14ac:dyDescent="0.25">
      <c r="A1701" s="4" t="s">
        <v>21</v>
      </c>
      <c r="B1701" s="4" t="s">
        <v>22</v>
      </c>
      <c r="C1701" s="4" t="s">
        <v>37</v>
      </c>
      <c r="D1701" s="4" t="s">
        <v>24</v>
      </c>
      <c r="E1701" s="4" t="s">
        <v>24</v>
      </c>
      <c r="F1701" s="4" t="s">
        <v>25</v>
      </c>
      <c r="G1701" s="4" t="s">
        <v>25</v>
      </c>
      <c r="H1701" s="4" t="s">
        <v>38</v>
      </c>
      <c r="I1701" s="5">
        <v>43831</v>
      </c>
      <c r="J1701" s="6">
        <v>0</v>
      </c>
      <c r="K1701" s="6">
        <v>0</v>
      </c>
      <c r="L1701" s="6">
        <v>13.917999999999999</v>
      </c>
      <c r="M1701" s="6">
        <v>13.917999999999999</v>
      </c>
      <c r="N1701" s="6">
        <v>13.917999999999999</v>
      </c>
      <c r="O1701" s="6">
        <v>13.917999999999999</v>
      </c>
      <c r="P1701" s="6">
        <v>0</v>
      </c>
      <c r="Q1701" s="4" t="s">
        <v>26</v>
      </c>
      <c r="R1701" s="4">
        <v>0</v>
      </c>
      <c r="S1701" s="4" t="s">
        <v>458</v>
      </c>
      <c r="T1701" s="4" t="s">
        <v>765</v>
      </c>
      <c r="U1701" s="4">
        <v>0</v>
      </c>
      <c r="V1701" s="4">
        <v>43</v>
      </c>
      <c r="W1701" s="4">
        <v>86</v>
      </c>
    </row>
    <row r="1702" spans="1:23" ht="11.25" customHeight="1" x14ac:dyDescent="0.25">
      <c r="A1702" s="4" t="s">
        <v>27</v>
      </c>
      <c r="B1702" s="4" t="s">
        <v>22</v>
      </c>
      <c r="C1702" s="4" t="s">
        <v>37</v>
      </c>
      <c r="D1702" s="4" t="s">
        <v>24</v>
      </c>
      <c r="E1702" s="4" t="s">
        <v>24</v>
      </c>
      <c r="F1702" s="4" t="s">
        <v>25</v>
      </c>
      <c r="G1702" s="4" t="s">
        <v>25</v>
      </c>
      <c r="H1702" s="4" t="s">
        <v>38</v>
      </c>
      <c r="I1702" s="5">
        <v>43831</v>
      </c>
      <c r="J1702" s="6">
        <v>0</v>
      </c>
      <c r="K1702" s="6">
        <v>0</v>
      </c>
      <c r="L1702" s="6">
        <v>0.111</v>
      </c>
      <c r="M1702" s="6">
        <v>0.111</v>
      </c>
      <c r="N1702" s="6">
        <v>0.111</v>
      </c>
      <c r="O1702" s="6">
        <v>0.111</v>
      </c>
      <c r="P1702" s="6">
        <v>0</v>
      </c>
      <c r="Q1702" s="4" t="s">
        <v>26</v>
      </c>
      <c r="R1702" s="4">
        <v>0</v>
      </c>
      <c r="S1702" s="4" t="s">
        <v>458</v>
      </c>
      <c r="T1702" s="4" t="s">
        <v>765</v>
      </c>
      <c r="U1702" s="4">
        <v>0</v>
      </c>
      <c r="V1702" s="4">
        <v>43</v>
      </c>
      <c r="W1702" s="4">
        <v>86</v>
      </c>
    </row>
    <row r="1703" spans="1:23" ht="11.25" customHeight="1" x14ac:dyDescent="0.25">
      <c r="A1703" s="4" t="s">
        <v>28</v>
      </c>
      <c r="B1703" s="4" t="s">
        <v>22</v>
      </c>
      <c r="C1703" s="4" t="s">
        <v>37</v>
      </c>
      <c r="D1703" s="4" t="s">
        <v>24</v>
      </c>
      <c r="E1703" s="4" t="s">
        <v>24</v>
      </c>
      <c r="F1703" s="4" t="s">
        <v>25</v>
      </c>
      <c r="G1703" s="4" t="s">
        <v>25</v>
      </c>
      <c r="H1703" s="4" t="s">
        <v>38</v>
      </c>
      <c r="I1703" s="5">
        <v>43831</v>
      </c>
      <c r="J1703" s="6">
        <v>0</v>
      </c>
      <c r="K1703" s="6">
        <v>0</v>
      </c>
      <c r="L1703" s="6">
        <v>1.6E-2</v>
      </c>
      <c r="M1703" s="6">
        <v>1.6E-2</v>
      </c>
      <c r="N1703" s="6">
        <v>1.6E-2</v>
      </c>
      <c r="O1703" s="6">
        <v>1.6E-2</v>
      </c>
      <c r="P1703" s="6">
        <v>0</v>
      </c>
      <c r="Q1703" s="4" t="s">
        <v>26</v>
      </c>
      <c r="R1703" s="4">
        <v>0</v>
      </c>
      <c r="S1703" s="4" t="s">
        <v>458</v>
      </c>
      <c r="T1703" s="4" t="s">
        <v>765</v>
      </c>
      <c r="U1703" s="4">
        <v>0</v>
      </c>
      <c r="V1703" s="4">
        <v>43</v>
      </c>
      <c r="W1703" s="4">
        <v>86</v>
      </c>
    </row>
    <row r="1704" spans="1:23" ht="11.25" customHeight="1" x14ac:dyDescent="0.25">
      <c r="A1704" s="4" t="s">
        <v>21</v>
      </c>
      <c r="B1704" s="4" t="s">
        <v>22</v>
      </c>
      <c r="C1704" s="4" t="s">
        <v>37</v>
      </c>
      <c r="D1704" s="4" t="s">
        <v>24</v>
      </c>
      <c r="E1704" s="4" t="s">
        <v>24</v>
      </c>
      <c r="F1704" s="4" t="s">
        <v>25</v>
      </c>
      <c r="G1704" s="4" t="s">
        <v>25</v>
      </c>
      <c r="H1704" s="4" t="s">
        <v>38</v>
      </c>
      <c r="I1704" s="5">
        <v>43862</v>
      </c>
      <c r="J1704" s="6">
        <v>0</v>
      </c>
      <c r="K1704" s="6">
        <v>0</v>
      </c>
      <c r="L1704" s="6">
        <v>13.444000000000001</v>
      </c>
      <c r="M1704" s="6">
        <v>13.444000000000001</v>
      </c>
      <c r="N1704" s="6">
        <v>13.444000000000001</v>
      </c>
      <c r="O1704" s="6">
        <v>13.444000000000001</v>
      </c>
      <c r="P1704" s="6">
        <v>0</v>
      </c>
      <c r="Q1704" s="4" t="s">
        <v>26</v>
      </c>
      <c r="R1704" s="4">
        <v>0</v>
      </c>
      <c r="S1704" s="4" t="s">
        <v>459</v>
      </c>
      <c r="T1704" s="4" t="s">
        <v>766</v>
      </c>
      <c r="U1704" s="4">
        <v>0</v>
      </c>
      <c r="V1704" s="4">
        <v>43</v>
      </c>
      <c r="W1704" s="4">
        <v>86</v>
      </c>
    </row>
    <row r="1705" spans="1:23" ht="11.25" customHeight="1" x14ac:dyDescent="0.25">
      <c r="A1705" s="4" t="s">
        <v>27</v>
      </c>
      <c r="B1705" s="4" t="s">
        <v>22</v>
      </c>
      <c r="C1705" s="4" t="s">
        <v>37</v>
      </c>
      <c r="D1705" s="4" t="s">
        <v>24</v>
      </c>
      <c r="E1705" s="4" t="s">
        <v>24</v>
      </c>
      <c r="F1705" s="4" t="s">
        <v>25</v>
      </c>
      <c r="G1705" s="4" t="s">
        <v>25</v>
      </c>
      <c r="H1705" s="4" t="s">
        <v>38</v>
      </c>
      <c r="I1705" s="5">
        <v>43862</v>
      </c>
      <c r="J1705" s="6">
        <v>0</v>
      </c>
      <c r="K1705" s="6">
        <v>0</v>
      </c>
      <c r="L1705" s="6">
        <v>0.19400000000000001</v>
      </c>
      <c r="M1705" s="6">
        <v>0.19400000000000001</v>
      </c>
      <c r="N1705" s="6">
        <v>0.19400000000000001</v>
      </c>
      <c r="O1705" s="6">
        <v>0.19400000000000001</v>
      </c>
      <c r="P1705" s="6">
        <v>0</v>
      </c>
      <c r="Q1705" s="4" t="s">
        <v>26</v>
      </c>
      <c r="R1705" s="4">
        <v>0</v>
      </c>
      <c r="S1705" s="4" t="s">
        <v>459</v>
      </c>
      <c r="T1705" s="4" t="s">
        <v>766</v>
      </c>
      <c r="U1705" s="4">
        <v>0</v>
      </c>
      <c r="V1705" s="4">
        <v>43</v>
      </c>
      <c r="W1705" s="4">
        <v>86</v>
      </c>
    </row>
    <row r="1706" spans="1:23" ht="11.25" customHeight="1" x14ac:dyDescent="0.25">
      <c r="A1706" s="4" t="s">
        <v>21</v>
      </c>
      <c r="B1706" s="4" t="s">
        <v>22</v>
      </c>
      <c r="C1706" s="4" t="s">
        <v>37</v>
      </c>
      <c r="D1706" s="4" t="s">
        <v>24</v>
      </c>
      <c r="E1706" s="4" t="s">
        <v>24</v>
      </c>
      <c r="F1706" s="4" t="s">
        <v>25</v>
      </c>
      <c r="G1706" s="4" t="s">
        <v>25</v>
      </c>
      <c r="H1706" s="4" t="s">
        <v>38</v>
      </c>
      <c r="I1706" s="5">
        <v>43891</v>
      </c>
      <c r="J1706" s="6">
        <v>0</v>
      </c>
      <c r="K1706" s="6">
        <v>0</v>
      </c>
      <c r="L1706" s="6">
        <v>12.813000000000001</v>
      </c>
      <c r="M1706" s="6">
        <v>12.813000000000001</v>
      </c>
      <c r="N1706" s="6">
        <v>12.813000000000001</v>
      </c>
      <c r="O1706" s="6">
        <v>12.813000000000001</v>
      </c>
      <c r="P1706" s="6">
        <v>0</v>
      </c>
      <c r="Q1706" s="4" t="s">
        <v>26</v>
      </c>
      <c r="R1706" s="4">
        <v>0</v>
      </c>
      <c r="S1706" s="4" t="s">
        <v>460</v>
      </c>
      <c r="T1706" s="4" t="s">
        <v>767</v>
      </c>
      <c r="U1706" s="4">
        <v>0</v>
      </c>
      <c r="V1706" s="4">
        <v>43</v>
      </c>
      <c r="W1706" s="4">
        <v>86</v>
      </c>
    </row>
    <row r="1707" spans="1:23" ht="11.25" customHeight="1" x14ac:dyDescent="0.25">
      <c r="A1707" s="4" t="s">
        <v>27</v>
      </c>
      <c r="B1707" s="4" t="s">
        <v>22</v>
      </c>
      <c r="C1707" s="4" t="s">
        <v>37</v>
      </c>
      <c r="D1707" s="4" t="s">
        <v>24</v>
      </c>
      <c r="E1707" s="4" t="s">
        <v>24</v>
      </c>
      <c r="F1707" s="4" t="s">
        <v>25</v>
      </c>
      <c r="G1707" s="4" t="s">
        <v>25</v>
      </c>
      <c r="H1707" s="4" t="s">
        <v>38</v>
      </c>
      <c r="I1707" s="5">
        <v>43891</v>
      </c>
      <c r="J1707" s="6">
        <v>0</v>
      </c>
      <c r="K1707" s="6">
        <v>0</v>
      </c>
      <c r="L1707" s="6">
        <v>1.6E-2</v>
      </c>
      <c r="M1707" s="6">
        <v>1.6E-2</v>
      </c>
      <c r="N1707" s="6">
        <v>1.6E-2</v>
      </c>
      <c r="O1707" s="6">
        <v>1.6E-2</v>
      </c>
      <c r="P1707" s="6">
        <v>0</v>
      </c>
      <c r="Q1707" s="4" t="s">
        <v>26</v>
      </c>
      <c r="R1707" s="4">
        <v>0</v>
      </c>
      <c r="S1707" s="4" t="s">
        <v>460</v>
      </c>
      <c r="T1707" s="4" t="s">
        <v>767</v>
      </c>
      <c r="U1707" s="4">
        <v>0</v>
      </c>
      <c r="V1707" s="4">
        <v>43</v>
      </c>
      <c r="W1707" s="4">
        <v>86</v>
      </c>
    </row>
    <row r="1708" spans="1:23" ht="11.25" customHeight="1" x14ac:dyDescent="0.25">
      <c r="A1708" s="4" t="s">
        <v>21</v>
      </c>
      <c r="B1708" s="4" t="s">
        <v>22</v>
      </c>
      <c r="C1708" s="4" t="s">
        <v>37</v>
      </c>
      <c r="D1708" s="4" t="s">
        <v>24</v>
      </c>
      <c r="E1708" s="4" t="s">
        <v>24</v>
      </c>
      <c r="F1708" s="4" t="s">
        <v>25</v>
      </c>
      <c r="G1708" s="4" t="s">
        <v>25</v>
      </c>
      <c r="H1708" s="4" t="s">
        <v>38</v>
      </c>
      <c r="I1708" s="5">
        <v>43922</v>
      </c>
      <c r="J1708" s="6">
        <v>0</v>
      </c>
      <c r="K1708" s="6">
        <v>0</v>
      </c>
      <c r="L1708" s="6">
        <v>13.818</v>
      </c>
      <c r="M1708" s="6">
        <v>13.818</v>
      </c>
      <c r="N1708" s="6">
        <v>13.818</v>
      </c>
      <c r="O1708" s="6">
        <v>13.818</v>
      </c>
      <c r="P1708" s="6">
        <v>0</v>
      </c>
      <c r="Q1708" s="4" t="s">
        <v>26</v>
      </c>
      <c r="R1708" s="4">
        <v>0</v>
      </c>
      <c r="S1708" s="4" t="s">
        <v>461</v>
      </c>
      <c r="T1708" s="4" t="s">
        <v>768</v>
      </c>
      <c r="U1708" s="4">
        <v>0</v>
      </c>
      <c r="V1708" s="4">
        <v>43</v>
      </c>
      <c r="W1708" s="4">
        <v>86</v>
      </c>
    </row>
    <row r="1709" spans="1:23" ht="11.25" customHeight="1" x14ac:dyDescent="0.25">
      <c r="A1709" s="4" t="s">
        <v>27</v>
      </c>
      <c r="B1709" s="4" t="s">
        <v>22</v>
      </c>
      <c r="C1709" s="4" t="s">
        <v>37</v>
      </c>
      <c r="D1709" s="4" t="s">
        <v>24</v>
      </c>
      <c r="E1709" s="4" t="s">
        <v>24</v>
      </c>
      <c r="F1709" s="4" t="s">
        <v>25</v>
      </c>
      <c r="G1709" s="4" t="s">
        <v>25</v>
      </c>
      <c r="H1709" s="4" t="s">
        <v>38</v>
      </c>
      <c r="I1709" s="5">
        <v>43922</v>
      </c>
      <c r="J1709" s="6">
        <v>0</v>
      </c>
      <c r="K1709" s="6">
        <v>0</v>
      </c>
      <c r="L1709" s="6">
        <v>4.5999999999999999E-2</v>
      </c>
      <c r="M1709" s="6">
        <v>4.5999999999999999E-2</v>
      </c>
      <c r="N1709" s="6">
        <v>4.5999999999999999E-2</v>
      </c>
      <c r="O1709" s="6">
        <v>4.5999999999999999E-2</v>
      </c>
      <c r="P1709" s="6">
        <v>0</v>
      </c>
      <c r="Q1709" s="4" t="s">
        <v>26</v>
      </c>
      <c r="R1709" s="4">
        <v>0</v>
      </c>
      <c r="S1709" s="4" t="s">
        <v>461</v>
      </c>
      <c r="T1709" s="4" t="s">
        <v>768</v>
      </c>
      <c r="U1709" s="4">
        <v>0</v>
      </c>
      <c r="V1709" s="4">
        <v>43</v>
      </c>
      <c r="W1709" s="4">
        <v>86</v>
      </c>
    </row>
    <row r="1710" spans="1:23" ht="11.25" customHeight="1" x14ac:dyDescent="0.25">
      <c r="A1710" s="4" t="s">
        <v>21</v>
      </c>
      <c r="B1710" s="4" t="s">
        <v>22</v>
      </c>
      <c r="C1710" s="4" t="s">
        <v>37</v>
      </c>
      <c r="D1710" s="4" t="s">
        <v>24</v>
      </c>
      <c r="E1710" s="4" t="s">
        <v>24</v>
      </c>
      <c r="F1710" s="4" t="s">
        <v>25</v>
      </c>
      <c r="G1710" s="4" t="s">
        <v>25</v>
      </c>
      <c r="H1710" s="4" t="s">
        <v>38</v>
      </c>
      <c r="I1710" s="5">
        <v>43952</v>
      </c>
      <c r="J1710" s="6">
        <v>0</v>
      </c>
      <c r="K1710" s="6">
        <v>0</v>
      </c>
      <c r="L1710" s="6">
        <v>12.731</v>
      </c>
      <c r="M1710" s="6">
        <v>12.731</v>
      </c>
      <c r="N1710" s="6">
        <v>12.731</v>
      </c>
      <c r="O1710" s="6">
        <v>12.731</v>
      </c>
      <c r="P1710" s="6">
        <v>0</v>
      </c>
      <c r="Q1710" s="4" t="s">
        <v>26</v>
      </c>
      <c r="R1710" s="4">
        <v>0</v>
      </c>
      <c r="S1710" s="4" t="s">
        <v>462</v>
      </c>
      <c r="T1710" s="4" t="s">
        <v>769</v>
      </c>
      <c r="U1710" s="4">
        <v>0</v>
      </c>
      <c r="V1710" s="4">
        <v>43</v>
      </c>
      <c r="W1710" s="4">
        <v>86</v>
      </c>
    </row>
    <row r="1711" spans="1:23" ht="11.25" customHeight="1" x14ac:dyDescent="0.25">
      <c r="A1711" s="4" t="s">
        <v>27</v>
      </c>
      <c r="B1711" s="4" t="s">
        <v>22</v>
      </c>
      <c r="C1711" s="4" t="s">
        <v>37</v>
      </c>
      <c r="D1711" s="4" t="s">
        <v>24</v>
      </c>
      <c r="E1711" s="4" t="s">
        <v>24</v>
      </c>
      <c r="F1711" s="4" t="s">
        <v>25</v>
      </c>
      <c r="G1711" s="4" t="s">
        <v>25</v>
      </c>
      <c r="H1711" s="4" t="s">
        <v>38</v>
      </c>
      <c r="I1711" s="5">
        <v>43952</v>
      </c>
      <c r="J1711" s="6">
        <v>0</v>
      </c>
      <c r="K1711" s="6">
        <v>0</v>
      </c>
      <c r="L1711" s="6">
        <v>0.186</v>
      </c>
      <c r="M1711" s="6">
        <v>0.186</v>
      </c>
      <c r="N1711" s="6">
        <v>0.186</v>
      </c>
      <c r="O1711" s="6">
        <v>0.186</v>
      </c>
      <c r="P1711" s="6">
        <v>0</v>
      </c>
      <c r="Q1711" s="4" t="s">
        <v>26</v>
      </c>
      <c r="R1711" s="4">
        <v>0</v>
      </c>
      <c r="S1711" s="4" t="s">
        <v>462</v>
      </c>
      <c r="T1711" s="4" t="s">
        <v>769</v>
      </c>
      <c r="U1711" s="4">
        <v>0</v>
      </c>
      <c r="V1711" s="4">
        <v>43</v>
      </c>
      <c r="W1711" s="4">
        <v>86</v>
      </c>
    </row>
    <row r="1712" spans="1:23" ht="11.25" customHeight="1" x14ac:dyDescent="0.25">
      <c r="A1712" s="4" t="s">
        <v>21</v>
      </c>
      <c r="B1712" s="4" t="s">
        <v>22</v>
      </c>
      <c r="C1712" s="4" t="s">
        <v>37</v>
      </c>
      <c r="D1712" s="4" t="s">
        <v>24</v>
      </c>
      <c r="E1712" s="4" t="s">
        <v>24</v>
      </c>
      <c r="F1712" s="4" t="s">
        <v>25</v>
      </c>
      <c r="G1712" s="4" t="s">
        <v>25</v>
      </c>
      <c r="H1712" s="4" t="s">
        <v>38</v>
      </c>
      <c r="I1712" s="5">
        <v>43983</v>
      </c>
      <c r="J1712" s="6">
        <v>0</v>
      </c>
      <c r="K1712" s="6">
        <v>0</v>
      </c>
      <c r="L1712" s="6">
        <v>11.597</v>
      </c>
      <c r="M1712" s="6">
        <v>11.597</v>
      </c>
      <c r="N1712" s="6">
        <v>11.597</v>
      </c>
      <c r="O1712" s="6">
        <v>11.597</v>
      </c>
      <c r="P1712" s="6">
        <v>0</v>
      </c>
      <c r="Q1712" s="4" t="s">
        <v>26</v>
      </c>
      <c r="R1712" s="4">
        <v>0</v>
      </c>
      <c r="S1712" s="4" t="s">
        <v>463</v>
      </c>
      <c r="T1712" s="4" t="s">
        <v>770</v>
      </c>
      <c r="U1712" s="4">
        <v>0</v>
      </c>
      <c r="V1712" s="4">
        <v>43</v>
      </c>
      <c r="W1712" s="4">
        <v>86</v>
      </c>
    </row>
    <row r="1713" spans="1:23" ht="11.25" customHeight="1" x14ac:dyDescent="0.25">
      <c r="A1713" s="4" t="s">
        <v>27</v>
      </c>
      <c r="B1713" s="4" t="s">
        <v>22</v>
      </c>
      <c r="C1713" s="4" t="s">
        <v>37</v>
      </c>
      <c r="D1713" s="4" t="s">
        <v>24</v>
      </c>
      <c r="E1713" s="4" t="s">
        <v>24</v>
      </c>
      <c r="F1713" s="4" t="s">
        <v>25</v>
      </c>
      <c r="G1713" s="4" t="s">
        <v>25</v>
      </c>
      <c r="H1713" s="4" t="s">
        <v>38</v>
      </c>
      <c r="I1713" s="5">
        <v>43983</v>
      </c>
      <c r="J1713" s="6">
        <v>0</v>
      </c>
      <c r="K1713" s="6">
        <v>0</v>
      </c>
      <c r="L1713" s="6">
        <v>0.14299999999999999</v>
      </c>
      <c r="M1713" s="6">
        <v>0.14299999999999999</v>
      </c>
      <c r="N1713" s="6">
        <v>0.14299999999999999</v>
      </c>
      <c r="O1713" s="6">
        <v>0.14299999999999999</v>
      </c>
      <c r="P1713" s="6">
        <v>0</v>
      </c>
      <c r="Q1713" s="4" t="s">
        <v>26</v>
      </c>
      <c r="R1713" s="4">
        <v>0</v>
      </c>
      <c r="S1713" s="4" t="s">
        <v>463</v>
      </c>
      <c r="T1713" s="4" t="s">
        <v>770</v>
      </c>
      <c r="U1713" s="4">
        <v>0</v>
      </c>
      <c r="V1713" s="4">
        <v>43</v>
      </c>
      <c r="W1713" s="4">
        <v>86</v>
      </c>
    </row>
    <row r="1714" spans="1:23" ht="11.25" customHeight="1" x14ac:dyDescent="0.25">
      <c r="A1714" s="4" t="s">
        <v>21</v>
      </c>
      <c r="B1714" s="4" t="s">
        <v>22</v>
      </c>
      <c r="C1714" s="4" t="s">
        <v>37</v>
      </c>
      <c r="D1714" s="4" t="s">
        <v>24</v>
      </c>
      <c r="E1714" s="4" t="s">
        <v>24</v>
      </c>
      <c r="F1714" s="4" t="s">
        <v>25</v>
      </c>
      <c r="G1714" s="4" t="s">
        <v>25</v>
      </c>
      <c r="H1714" s="4" t="s">
        <v>38</v>
      </c>
      <c r="I1714" s="5">
        <v>44013</v>
      </c>
      <c r="J1714" s="6">
        <v>0</v>
      </c>
      <c r="K1714" s="6">
        <v>0</v>
      </c>
      <c r="L1714" s="6">
        <v>13.442</v>
      </c>
      <c r="M1714" s="6">
        <v>13.442</v>
      </c>
      <c r="N1714" s="6">
        <v>13.442</v>
      </c>
      <c r="O1714" s="6">
        <v>13.442</v>
      </c>
      <c r="P1714" s="6">
        <v>0</v>
      </c>
      <c r="Q1714" s="4" t="s">
        <v>26</v>
      </c>
      <c r="R1714" s="4">
        <v>0</v>
      </c>
      <c r="S1714" s="4" t="s">
        <v>464</v>
      </c>
      <c r="T1714" s="4" t="s">
        <v>771</v>
      </c>
      <c r="U1714" s="4">
        <v>0</v>
      </c>
      <c r="V1714" s="4">
        <v>43</v>
      </c>
      <c r="W1714" s="4">
        <v>86</v>
      </c>
    </row>
    <row r="1715" spans="1:23" ht="11.25" customHeight="1" x14ac:dyDescent="0.25">
      <c r="A1715" s="4" t="s">
        <v>27</v>
      </c>
      <c r="B1715" s="4" t="s">
        <v>22</v>
      </c>
      <c r="C1715" s="4" t="s">
        <v>37</v>
      </c>
      <c r="D1715" s="4" t="s">
        <v>24</v>
      </c>
      <c r="E1715" s="4" t="s">
        <v>24</v>
      </c>
      <c r="F1715" s="4" t="s">
        <v>25</v>
      </c>
      <c r="G1715" s="4" t="s">
        <v>25</v>
      </c>
      <c r="H1715" s="4" t="s">
        <v>38</v>
      </c>
      <c r="I1715" s="5">
        <v>44013</v>
      </c>
      <c r="J1715" s="6">
        <v>0</v>
      </c>
      <c r="K1715" s="6">
        <v>0</v>
      </c>
      <c r="L1715" s="6">
        <v>0.158</v>
      </c>
      <c r="M1715" s="6">
        <v>0.158</v>
      </c>
      <c r="N1715" s="6">
        <v>0.158</v>
      </c>
      <c r="O1715" s="6">
        <v>0.158</v>
      </c>
      <c r="P1715" s="6">
        <v>0</v>
      </c>
      <c r="Q1715" s="4" t="s">
        <v>26</v>
      </c>
      <c r="R1715" s="4">
        <v>0</v>
      </c>
      <c r="S1715" s="4" t="s">
        <v>464</v>
      </c>
      <c r="T1715" s="4" t="s">
        <v>771</v>
      </c>
      <c r="U1715" s="4">
        <v>0</v>
      </c>
      <c r="V1715" s="4">
        <v>43</v>
      </c>
      <c r="W1715" s="4">
        <v>86</v>
      </c>
    </row>
    <row r="1716" spans="1:23" ht="11.25" customHeight="1" x14ac:dyDescent="0.25">
      <c r="A1716" s="4" t="s">
        <v>21</v>
      </c>
      <c r="B1716" s="4" t="s">
        <v>22</v>
      </c>
      <c r="C1716" s="4" t="s">
        <v>37</v>
      </c>
      <c r="D1716" s="4" t="s">
        <v>24</v>
      </c>
      <c r="E1716" s="4" t="s">
        <v>24</v>
      </c>
      <c r="F1716" s="4" t="s">
        <v>25</v>
      </c>
      <c r="G1716" s="4" t="s">
        <v>25</v>
      </c>
      <c r="H1716" s="4" t="s">
        <v>38</v>
      </c>
      <c r="I1716" s="5">
        <v>44044</v>
      </c>
      <c r="J1716" s="6">
        <v>0</v>
      </c>
      <c r="K1716" s="6">
        <v>0</v>
      </c>
      <c r="L1716" s="6">
        <v>15.189</v>
      </c>
      <c r="M1716" s="6">
        <v>15.189</v>
      </c>
      <c r="N1716" s="6">
        <v>15.189</v>
      </c>
      <c r="O1716" s="6">
        <v>15.189</v>
      </c>
      <c r="P1716" s="6">
        <v>0</v>
      </c>
      <c r="Q1716" s="4" t="s">
        <v>26</v>
      </c>
      <c r="R1716" s="4">
        <v>0</v>
      </c>
      <c r="S1716" s="4" t="s">
        <v>465</v>
      </c>
      <c r="T1716" s="4" t="s">
        <v>772</v>
      </c>
      <c r="U1716" s="4">
        <v>0</v>
      </c>
      <c r="V1716" s="4">
        <v>43</v>
      </c>
      <c r="W1716" s="4">
        <v>86</v>
      </c>
    </row>
    <row r="1717" spans="1:23" ht="11.25" customHeight="1" x14ac:dyDescent="0.25">
      <c r="A1717" s="4" t="s">
        <v>27</v>
      </c>
      <c r="B1717" s="4" t="s">
        <v>22</v>
      </c>
      <c r="C1717" s="4" t="s">
        <v>37</v>
      </c>
      <c r="D1717" s="4" t="s">
        <v>24</v>
      </c>
      <c r="E1717" s="4" t="s">
        <v>24</v>
      </c>
      <c r="F1717" s="4" t="s">
        <v>25</v>
      </c>
      <c r="G1717" s="4" t="s">
        <v>25</v>
      </c>
      <c r="H1717" s="4" t="s">
        <v>38</v>
      </c>
      <c r="I1717" s="5">
        <v>44044</v>
      </c>
      <c r="J1717" s="6">
        <v>0</v>
      </c>
      <c r="K1717" s="6">
        <v>0</v>
      </c>
      <c r="L1717" s="6">
        <v>0.129</v>
      </c>
      <c r="M1717" s="6">
        <v>0.129</v>
      </c>
      <c r="N1717" s="6">
        <v>0.129</v>
      </c>
      <c r="O1717" s="6">
        <v>0.129</v>
      </c>
      <c r="P1717" s="6">
        <v>0</v>
      </c>
      <c r="Q1717" s="4" t="s">
        <v>26</v>
      </c>
      <c r="R1717" s="4">
        <v>0</v>
      </c>
      <c r="S1717" s="4" t="s">
        <v>465</v>
      </c>
      <c r="T1717" s="4" t="s">
        <v>772</v>
      </c>
      <c r="U1717" s="4">
        <v>0</v>
      </c>
      <c r="V1717" s="4">
        <v>43</v>
      </c>
      <c r="W1717" s="4">
        <v>86</v>
      </c>
    </row>
    <row r="1718" spans="1:23" ht="11.25" customHeight="1" x14ac:dyDescent="0.25">
      <c r="A1718" s="4" t="s">
        <v>59</v>
      </c>
      <c r="B1718" s="4" t="s">
        <v>22</v>
      </c>
      <c r="C1718" s="4" t="s">
        <v>37</v>
      </c>
      <c r="D1718" s="4" t="s">
        <v>24</v>
      </c>
      <c r="E1718" s="4" t="s">
        <v>24</v>
      </c>
      <c r="F1718" s="4" t="s">
        <v>25</v>
      </c>
      <c r="G1718" s="4" t="s">
        <v>25</v>
      </c>
      <c r="H1718" s="4" t="s">
        <v>38</v>
      </c>
      <c r="I1718" s="5">
        <v>44075</v>
      </c>
      <c r="J1718" s="6">
        <v>0</v>
      </c>
      <c r="K1718" s="6">
        <v>0</v>
      </c>
      <c r="L1718" s="6">
        <v>15.189</v>
      </c>
      <c r="M1718" s="6">
        <v>15.189</v>
      </c>
      <c r="N1718" s="6">
        <v>15.189</v>
      </c>
      <c r="O1718" s="6">
        <v>15.189</v>
      </c>
      <c r="P1718" s="6">
        <v>0</v>
      </c>
      <c r="Q1718" s="4" t="s">
        <v>26</v>
      </c>
      <c r="R1718" s="4">
        <v>0</v>
      </c>
      <c r="S1718" s="4" t="s">
        <v>466</v>
      </c>
      <c r="T1718" s="4" t="s">
        <v>773</v>
      </c>
      <c r="U1718" s="4">
        <v>0</v>
      </c>
      <c r="V1718" s="4">
        <v>43</v>
      </c>
      <c r="W1718" s="4">
        <v>86</v>
      </c>
    </row>
    <row r="1719" spans="1:23" ht="11.25" customHeight="1" x14ac:dyDescent="0.25">
      <c r="A1719" s="4" t="s">
        <v>59</v>
      </c>
      <c r="B1719" s="4" t="s">
        <v>22</v>
      </c>
      <c r="C1719" s="4" t="s">
        <v>37</v>
      </c>
      <c r="D1719" s="4" t="s">
        <v>24</v>
      </c>
      <c r="E1719" s="4" t="s">
        <v>24</v>
      </c>
      <c r="F1719" s="4" t="s">
        <v>25</v>
      </c>
      <c r="G1719" s="4" t="s">
        <v>25</v>
      </c>
      <c r="H1719" s="4" t="s">
        <v>38</v>
      </c>
      <c r="I1719" s="5">
        <v>44075</v>
      </c>
      <c r="J1719" s="6">
        <v>0</v>
      </c>
      <c r="K1719" s="6">
        <v>0</v>
      </c>
      <c r="L1719" s="6">
        <v>0.129</v>
      </c>
      <c r="M1719" s="6">
        <v>0.129</v>
      </c>
      <c r="N1719" s="6">
        <v>0.129</v>
      </c>
      <c r="O1719" s="6">
        <v>0.129</v>
      </c>
      <c r="P1719" s="6">
        <v>0</v>
      </c>
      <c r="Q1719" s="4" t="s">
        <v>26</v>
      </c>
      <c r="R1719" s="4">
        <v>0</v>
      </c>
      <c r="S1719" s="4" t="s">
        <v>466</v>
      </c>
      <c r="T1719" s="4" t="s">
        <v>773</v>
      </c>
      <c r="U1719" s="4">
        <v>0</v>
      </c>
      <c r="V1719" s="4">
        <v>43</v>
      </c>
      <c r="W1719" s="4">
        <v>86</v>
      </c>
    </row>
    <row r="1720" spans="1:23" ht="11.25" customHeight="1" x14ac:dyDescent="0.25">
      <c r="A1720" s="4" t="s">
        <v>21</v>
      </c>
      <c r="B1720" s="4" t="s">
        <v>22</v>
      </c>
      <c r="C1720" s="4" t="s">
        <v>37</v>
      </c>
      <c r="D1720" s="4" t="s">
        <v>24</v>
      </c>
      <c r="E1720" s="4" t="s">
        <v>24</v>
      </c>
      <c r="F1720" s="4" t="s">
        <v>25</v>
      </c>
      <c r="G1720" s="4" t="s">
        <v>25</v>
      </c>
      <c r="H1720" s="4" t="s">
        <v>35</v>
      </c>
      <c r="I1720" s="5">
        <v>43739</v>
      </c>
      <c r="J1720" s="6">
        <v>0</v>
      </c>
      <c r="K1720" s="6">
        <v>0</v>
      </c>
      <c r="L1720" s="6">
        <v>22.004000000000001</v>
      </c>
      <c r="M1720" s="6">
        <v>22.004000000000001</v>
      </c>
      <c r="N1720" s="6">
        <v>22.004000000000001</v>
      </c>
      <c r="O1720" s="6">
        <v>22.004000000000001</v>
      </c>
      <c r="P1720" s="6">
        <v>0</v>
      </c>
      <c r="Q1720" s="4" t="s">
        <v>26</v>
      </c>
      <c r="R1720" s="4">
        <v>0</v>
      </c>
      <c r="S1720" s="4" t="s">
        <v>467</v>
      </c>
      <c r="T1720" s="4" t="s">
        <v>774</v>
      </c>
      <c r="U1720" s="4">
        <v>0</v>
      </c>
      <c r="V1720" s="4">
        <v>42</v>
      </c>
      <c r="W1720" s="4">
        <v>85</v>
      </c>
    </row>
    <row r="1721" spans="1:23" ht="11.25" customHeight="1" x14ac:dyDescent="0.25">
      <c r="A1721" s="4" t="s">
        <v>27</v>
      </c>
      <c r="B1721" s="4" t="s">
        <v>22</v>
      </c>
      <c r="C1721" s="4" t="s">
        <v>37</v>
      </c>
      <c r="D1721" s="4" t="s">
        <v>24</v>
      </c>
      <c r="E1721" s="4" t="s">
        <v>24</v>
      </c>
      <c r="F1721" s="4" t="s">
        <v>25</v>
      </c>
      <c r="G1721" s="4" t="s">
        <v>25</v>
      </c>
      <c r="H1721" s="4" t="s">
        <v>35</v>
      </c>
      <c r="I1721" s="5">
        <v>43739</v>
      </c>
      <c r="J1721" s="6">
        <v>0</v>
      </c>
      <c r="K1721" s="6">
        <v>0</v>
      </c>
      <c r="L1721" s="6">
        <v>0.5</v>
      </c>
      <c r="M1721" s="6">
        <v>0.5</v>
      </c>
      <c r="N1721" s="6">
        <v>0.5</v>
      </c>
      <c r="O1721" s="6">
        <v>0.5</v>
      </c>
      <c r="P1721" s="6">
        <v>0</v>
      </c>
      <c r="Q1721" s="4" t="s">
        <v>26</v>
      </c>
      <c r="R1721" s="4">
        <v>0</v>
      </c>
      <c r="S1721" s="4" t="s">
        <v>467</v>
      </c>
      <c r="T1721" s="4" t="s">
        <v>774</v>
      </c>
      <c r="U1721" s="4">
        <v>0</v>
      </c>
      <c r="V1721" s="4">
        <v>42</v>
      </c>
      <c r="W1721" s="4">
        <v>85</v>
      </c>
    </row>
    <row r="1722" spans="1:23" ht="11.25" customHeight="1" x14ac:dyDescent="0.25">
      <c r="A1722" s="4" t="s">
        <v>28</v>
      </c>
      <c r="B1722" s="4" t="s">
        <v>22</v>
      </c>
      <c r="C1722" s="4" t="s">
        <v>37</v>
      </c>
      <c r="D1722" s="4" t="s">
        <v>24</v>
      </c>
      <c r="E1722" s="4" t="s">
        <v>24</v>
      </c>
      <c r="F1722" s="4" t="s">
        <v>25</v>
      </c>
      <c r="G1722" s="4" t="s">
        <v>25</v>
      </c>
      <c r="H1722" s="4" t="s">
        <v>35</v>
      </c>
      <c r="I1722" s="5">
        <v>43739</v>
      </c>
      <c r="J1722" s="6">
        <v>0</v>
      </c>
      <c r="K1722" s="6">
        <v>0</v>
      </c>
      <c r="L1722" s="6">
        <v>3.5999999999999997E-2</v>
      </c>
      <c r="M1722" s="6">
        <v>3.5999999999999997E-2</v>
      </c>
      <c r="N1722" s="6">
        <v>3.5999999999999997E-2</v>
      </c>
      <c r="O1722" s="6">
        <v>3.5999999999999997E-2</v>
      </c>
      <c r="P1722" s="6">
        <v>0</v>
      </c>
      <c r="Q1722" s="4" t="s">
        <v>26</v>
      </c>
      <c r="R1722" s="4">
        <v>0</v>
      </c>
      <c r="S1722" s="4" t="s">
        <v>467</v>
      </c>
      <c r="T1722" s="4" t="s">
        <v>774</v>
      </c>
      <c r="U1722" s="4">
        <v>0</v>
      </c>
      <c r="V1722" s="4">
        <v>42</v>
      </c>
      <c r="W1722" s="4">
        <v>85</v>
      </c>
    </row>
    <row r="1723" spans="1:23" ht="11.25" customHeight="1" x14ac:dyDescent="0.25">
      <c r="A1723" s="4" t="s">
        <v>21</v>
      </c>
      <c r="B1723" s="4" t="s">
        <v>22</v>
      </c>
      <c r="C1723" s="4" t="s">
        <v>37</v>
      </c>
      <c r="D1723" s="4" t="s">
        <v>24</v>
      </c>
      <c r="E1723" s="4" t="s">
        <v>24</v>
      </c>
      <c r="F1723" s="4" t="s">
        <v>25</v>
      </c>
      <c r="G1723" s="4" t="s">
        <v>25</v>
      </c>
      <c r="H1723" s="4" t="s">
        <v>35</v>
      </c>
      <c r="I1723" s="5">
        <v>43770</v>
      </c>
      <c r="J1723" s="6">
        <v>0</v>
      </c>
      <c r="K1723" s="6">
        <v>0</v>
      </c>
      <c r="L1723" s="6">
        <v>21.875</v>
      </c>
      <c r="M1723" s="6">
        <v>21.875</v>
      </c>
      <c r="N1723" s="6">
        <v>21.875</v>
      </c>
      <c r="O1723" s="6">
        <v>21.875</v>
      </c>
      <c r="P1723" s="6">
        <v>0</v>
      </c>
      <c r="Q1723" s="4" t="s">
        <v>26</v>
      </c>
      <c r="R1723" s="4">
        <v>0</v>
      </c>
      <c r="S1723" s="4" t="s">
        <v>468</v>
      </c>
      <c r="T1723" s="4" t="s">
        <v>775</v>
      </c>
      <c r="U1723" s="4">
        <v>0</v>
      </c>
      <c r="V1723" s="4">
        <v>42</v>
      </c>
      <c r="W1723" s="4">
        <v>85</v>
      </c>
    </row>
    <row r="1724" spans="1:23" ht="11.25" customHeight="1" x14ac:dyDescent="0.25">
      <c r="A1724" s="4" t="s">
        <v>27</v>
      </c>
      <c r="B1724" s="4" t="s">
        <v>22</v>
      </c>
      <c r="C1724" s="4" t="s">
        <v>37</v>
      </c>
      <c r="D1724" s="4" t="s">
        <v>24</v>
      </c>
      <c r="E1724" s="4" t="s">
        <v>24</v>
      </c>
      <c r="F1724" s="4" t="s">
        <v>25</v>
      </c>
      <c r="G1724" s="4" t="s">
        <v>25</v>
      </c>
      <c r="H1724" s="4" t="s">
        <v>35</v>
      </c>
      <c r="I1724" s="5">
        <v>43770</v>
      </c>
      <c r="J1724" s="6">
        <v>0</v>
      </c>
      <c r="K1724" s="6">
        <v>0</v>
      </c>
      <c r="L1724" s="6">
        <v>0.11899999999999999</v>
      </c>
      <c r="M1724" s="6">
        <v>0.11899999999999999</v>
      </c>
      <c r="N1724" s="6">
        <v>0.11899999999999999</v>
      </c>
      <c r="O1724" s="6">
        <v>0.11899999999999999</v>
      </c>
      <c r="P1724" s="6">
        <v>0</v>
      </c>
      <c r="Q1724" s="4" t="s">
        <v>26</v>
      </c>
      <c r="R1724" s="4">
        <v>0</v>
      </c>
      <c r="S1724" s="4" t="s">
        <v>468</v>
      </c>
      <c r="T1724" s="4" t="s">
        <v>775</v>
      </c>
      <c r="U1724" s="4">
        <v>0</v>
      </c>
      <c r="V1724" s="4">
        <v>42</v>
      </c>
      <c r="W1724" s="4">
        <v>85</v>
      </c>
    </row>
    <row r="1725" spans="1:23" ht="11.25" customHeight="1" x14ac:dyDescent="0.25">
      <c r="A1725" s="4" t="s">
        <v>28</v>
      </c>
      <c r="B1725" s="4" t="s">
        <v>22</v>
      </c>
      <c r="C1725" s="4" t="s">
        <v>37</v>
      </c>
      <c r="D1725" s="4" t="s">
        <v>24</v>
      </c>
      <c r="E1725" s="4" t="s">
        <v>24</v>
      </c>
      <c r="F1725" s="4" t="s">
        <v>25</v>
      </c>
      <c r="G1725" s="4" t="s">
        <v>25</v>
      </c>
      <c r="H1725" s="4" t="s">
        <v>35</v>
      </c>
      <c r="I1725" s="5">
        <v>43770</v>
      </c>
      <c r="J1725" s="6">
        <v>0</v>
      </c>
      <c r="K1725" s="6">
        <v>0</v>
      </c>
      <c r="L1725" s="6">
        <v>3.7999999999999999E-2</v>
      </c>
      <c r="M1725" s="6">
        <v>3.7999999999999999E-2</v>
      </c>
      <c r="N1725" s="6">
        <v>3.7999999999999999E-2</v>
      </c>
      <c r="O1725" s="6">
        <v>3.7999999999999999E-2</v>
      </c>
      <c r="P1725" s="6">
        <v>0</v>
      </c>
      <c r="Q1725" s="4" t="s">
        <v>26</v>
      </c>
      <c r="R1725" s="4">
        <v>0</v>
      </c>
      <c r="S1725" s="4" t="s">
        <v>468</v>
      </c>
      <c r="T1725" s="4" t="s">
        <v>775</v>
      </c>
      <c r="U1725" s="4">
        <v>0</v>
      </c>
      <c r="V1725" s="4">
        <v>42</v>
      </c>
      <c r="W1725" s="4">
        <v>85</v>
      </c>
    </row>
    <row r="1726" spans="1:23" ht="11.25" customHeight="1" x14ac:dyDescent="0.25">
      <c r="A1726" s="4" t="s">
        <v>28</v>
      </c>
      <c r="B1726" s="4" t="s">
        <v>22</v>
      </c>
      <c r="C1726" s="4" t="s">
        <v>37</v>
      </c>
      <c r="D1726" s="4" t="s">
        <v>24</v>
      </c>
      <c r="E1726" s="4" t="s">
        <v>24</v>
      </c>
      <c r="F1726" s="4" t="s">
        <v>25</v>
      </c>
      <c r="G1726" s="4" t="s">
        <v>25</v>
      </c>
      <c r="H1726" s="4" t="s">
        <v>35</v>
      </c>
      <c r="I1726" s="5">
        <v>43770</v>
      </c>
      <c r="J1726" s="6">
        <v>0</v>
      </c>
      <c r="K1726" s="6">
        <v>0</v>
      </c>
      <c r="L1726" s="6">
        <v>3.7999999999999999E-2</v>
      </c>
      <c r="M1726" s="6">
        <v>3.7999999999999999E-2</v>
      </c>
      <c r="N1726" s="6">
        <v>3.7999999999999999E-2</v>
      </c>
      <c r="O1726" s="6">
        <v>3.7999999999999999E-2</v>
      </c>
      <c r="P1726" s="6">
        <v>0</v>
      </c>
      <c r="Q1726" s="4" t="s">
        <v>26</v>
      </c>
      <c r="R1726" s="4">
        <v>0</v>
      </c>
      <c r="S1726" s="4" t="s">
        <v>468</v>
      </c>
      <c r="T1726" s="4" t="s">
        <v>775</v>
      </c>
      <c r="U1726" s="4">
        <v>0</v>
      </c>
      <c r="V1726" s="4">
        <v>42</v>
      </c>
      <c r="W1726" s="4">
        <v>85</v>
      </c>
    </row>
    <row r="1727" spans="1:23" ht="11.25" customHeight="1" x14ac:dyDescent="0.25">
      <c r="A1727" s="4" t="s">
        <v>21</v>
      </c>
      <c r="B1727" s="4" t="s">
        <v>22</v>
      </c>
      <c r="C1727" s="4" t="s">
        <v>37</v>
      </c>
      <c r="D1727" s="4" t="s">
        <v>24</v>
      </c>
      <c r="E1727" s="4" t="s">
        <v>24</v>
      </c>
      <c r="F1727" s="4" t="s">
        <v>25</v>
      </c>
      <c r="G1727" s="4" t="s">
        <v>25</v>
      </c>
      <c r="H1727" s="4" t="s">
        <v>35</v>
      </c>
      <c r="I1727" s="5">
        <v>43800</v>
      </c>
      <c r="J1727" s="6">
        <v>0</v>
      </c>
      <c r="K1727" s="6">
        <v>0</v>
      </c>
      <c r="L1727" s="6">
        <v>18.416</v>
      </c>
      <c r="M1727" s="6">
        <v>18.416</v>
      </c>
      <c r="N1727" s="6">
        <v>18.416</v>
      </c>
      <c r="O1727" s="6">
        <v>18.416</v>
      </c>
      <c r="P1727" s="6">
        <v>0</v>
      </c>
      <c r="Q1727" s="4" t="s">
        <v>26</v>
      </c>
      <c r="R1727" s="4">
        <v>0</v>
      </c>
      <c r="S1727" s="4" t="s">
        <v>469</v>
      </c>
      <c r="T1727" s="4" t="s">
        <v>776</v>
      </c>
      <c r="U1727" s="4">
        <v>0</v>
      </c>
      <c r="V1727" s="4">
        <v>42</v>
      </c>
      <c r="W1727" s="4">
        <v>85</v>
      </c>
    </row>
    <row r="1728" spans="1:23" ht="11.25" customHeight="1" x14ac:dyDescent="0.25">
      <c r="A1728" s="4" t="s">
        <v>27</v>
      </c>
      <c r="B1728" s="4" t="s">
        <v>22</v>
      </c>
      <c r="C1728" s="4" t="s">
        <v>37</v>
      </c>
      <c r="D1728" s="4" t="s">
        <v>24</v>
      </c>
      <c r="E1728" s="4" t="s">
        <v>24</v>
      </c>
      <c r="F1728" s="4" t="s">
        <v>25</v>
      </c>
      <c r="G1728" s="4" t="s">
        <v>25</v>
      </c>
      <c r="H1728" s="4" t="s">
        <v>35</v>
      </c>
      <c r="I1728" s="5">
        <v>43800</v>
      </c>
      <c r="J1728" s="6">
        <v>0</v>
      </c>
      <c r="K1728" s="6">
        <v>0</v>
      </c>
      <c r="L1728" s="6">
        <v>0.45300000000000001</v>
      </c>
      <c r="M1728" s="6">
        <v>0.45300000000000001</v>
      </c>
      <c r="N1728" s="6">
        <v>0.45300000000000001</v>
      </c>
      <c r="O1728" s="6">
        <v>0.45300000000000001</v>
      </c>
      <c r="P1728" s="6">
        <v>0</v>
      </c>
      <c r="Q1728" s="4" t="s">
        <v>26</v>
      </c>
      <c r="R1728" s="4">
        <v>0</v>
      </c>
      <c r="S1728" s="4" t="s">
        <v>469</v>
      </c>
      <c r="T1728" s="4" t="s">
        <v>776</v>
      </c>
      <c r="U1728" s="4">
        <v>0</v>
      </c>
      <c r="V1728" s="4">
        <v>42</v>
      </c>
      <c r="W1728" s="4">
        <v>85</v>
      </c>
    </row>
    <row r="1729" spans="1:23" ht="11.25" customHeight="1" x14ac:dyDescent="0.25">
      <c r="A1729" s="4" t="s">
        <v>28</v>
      </c>
      <c r="B1729" s="4" t="s">
        <v>22</v>
      </c>
      <c r="C1729" s="4" t="s">
        <v>37</v>
      </c>
      <c r="D1729" s="4" t="s">
        <v>24</v>
      </c>
      <c r="E1729" s="4" t="s">
        <v>24</v>
      </c>
      <c r="F1729" s="4" t="s">
        <v>25</v>
      </c>
      <c r="G1729" s="4" t="s">
        <v>25</v>
      </c>
      <c r="H1729" s="4" t="s">
        <v>35</v>
      </c>
      <c r="I1729" s="5">
        <v>43800</v>
      </c>
      <c r="J1729" s="6">
        <v>0</v>
      </c>
      <c r="K1729" s="6">
        <v>0</v>
      </c>
      <c r="L1729" s="6">
        <v>0.03</v>
      </c>
      <c r="M1729" s="6">
        <v>0.03</v>
      </c>
      <c r="N1729" s="6">
        <v>0.03</v>
      </c>
      <c r="O1729" s="6">
        <v>0.03</v>
      </c>
      <c r="P1729" s="6">
        <v>0</v>
      </c>
      <c r="Q1729" s="4" t="s">
        <v>26</v>
      </c>
      <c r="R1729" s="4">
        <v>0</v>
      </c>
      <c r="S1729" s="4" t="s">
        <v>469</v>
      </c>
      <c r="T1729" s="4" t="s">
        <v>776</v>
      </c>
      <c r="U1729" s="4">
        <v>0</v>
      </c>
      <c r="V1729" s="4">
        <v>42</v>
      </c>
      <c r="W1729" s="4">
        <v>85</v>
      </c>
    </row>
    <row r="1730" spans="1:23" ht="11.25" customHeight="1" x14ac:dyDescent="0.25">
      <c r="A1730" s="4" t="s">
        <v>21</v>
      </c>
      <c r="B1730" s="4" t="s">
        <v>22</v>
      </c>
      <c r="C1730" s="4" t="s">
        <v>37</v>
      </c>
      <c r="D1730" s="4" t="s">
        <v>24</v>
      </c>
      <c r="E1730" s="4" t="s">
        <v>24</v>
      </c>
      <c r="F1730" s="4" t="s">
        <v>25</v>
      </c>
      <c r="G1730" s="4" t="s">
        <v>25</v>
      </c>
      <c r="H1730" s="4" t="s">
        <v>35</v>
      </c>
      <c r="I1730" s="5">
        <v>43831</v>
      </c>
      <c r="J1730" s="6">
        <v>0</v>
      </c>
      <c r="K1730" s="6">
        <v>0</v>
      </c>
      <c r="L1730" s="6">
        <v>20.158000000000001</v>
      </c>
      <c r="M1730" s="6">
        <v>20.158000000000001</v>
      </c>
      <c r="N1730" s="6">
        <v>20.158000000000001</v>
      </c>
      <c r="O1730" s="6">
        <v>20.158000000000001</v>
      </c>
      <c r="P1730" s="6">
        <v>0</v>
      </c>
      <c r="Q1730" s="4" t="s">
        <v>26</v>
      </c>
      <c r="R1730" s="4">
        <v>0</v>
      </c>
      <c r="S1730" s="4" t="s">
        <v>470</v>
      </c>
      <c r="T1730" s="4" t="s">
        <v>777</v>
      </c>
      <c r="U1730" s="4">
        <v>0</v>
      </c>
      <c r="V1730" s="4">
        <v>42</v>
      </c>
      <c r="W1730" s="4">
        <v>85</v>
      </c>
    </row>
    <row r="1731" spans="1:23" ht="11.25" customHeight="1" x14ac:dyDescent="0.25">
      <c r="A1731" s="4" t="s">
        <v>27</v>
      </c>
      <c r="B1731" s="4" t="s">
        <v>22</v>
      </c>
      <c r="C1731" s="4" t="s">
        <v>37</v>
      </c>
      <c r="D1731" s="4" t="s">
        <v>24</v>
      </c>
      <c r="E1731" s="4" t="s">
        <v>24</v>
      </c>
      <c r="F1731" s="4" t="s">
        <v>25</v>
      </c>
      <c r="G1731" s="4" t="s">
        <v>25</v>
      </c>
      <c r="H1731" s="4" t="s">
        <v>35</v>
      </c>
      <c r="I1731" s="5">
        <v>43831</v>
      </c>
      <c r="J1731" s="6">
        <v>0</v>
      </c>
      <c r="K1731" s="6">
        <v>0</v>
      </c>
      <c r="L1731" s="6">
        <v>0.17199999999999999</v>
      </c>
      <c r="M1731" s="6">
        <v>0.17199999999999999</v>
      </c>
      <c r="N1731" s="6">
        <v>0.17199999999999999</v>
      </c>
      <c r="O1731" s="6">
        <v>0.17199999999999999</v>
      </c>
      <c r="P1731" s="6">
        <v>0</v>
      </c>
      <c r="Q1731" s="4" t="s">
        <v>26</v>
      </c>
      <c r="R1731" s="4">
        <v>0</v>
      </c>
      <c r="S1731" s="4" t="s">
        <v>470</v>
      </c>
      <c r="T1731" s="4" t="s">
        <v>777</v>
      </c>
      <c r="U1731" s="4">
        <v>0</v>
      </c>
      <c r="V1731" s="4">
        <v>42</v>
      </c>
      <c r="W1731" s="4">
        <v>85</v>
      </c>
    </row>
    <row r="1732" spans="1:23" ht="11.25" customHeight="1" x14ac:dyDescent="0.25">
      <c r="A1732" s="4" t="s">
        <v>28</v>
      </c>
      <c r="B1732" s="4" t="s">
        <v>22</v>
      </c>
      <c r="C1732" s="4" t="s">
        <v>37</v>
      </c>
      <c r="D1732" s="4" t="s">
        <v>24</v>
      </c>
      <c r="E1732" s="4" t="s">
        <v>24</v>
      </c>
      <c r="F1732" s="4" t="s">
        <v>25</v>
      </c>
      <c r="G1732" s="4" t="s">
        <v>25</v>
      </c>
      <c r="H1732" s="4" t="s">
        <v>35</v>
      </c>
      <c r="I1732" s="5">
        <v>43831</v>
      </c>
      <c r="J1732" s="6">
        <v>0</v>
      </c>
      <c r="K1732" s="6">
        <v>0</v>
      </c>
      <c r="L1732" s="6">
        <v>3.5000000000000003E-2</v>
      </c>
      <c r="M1732" s="6">
        <v>3.5000000000000003E-2</v>
      </c>
      <c r="N1732" s="6">
        <v>3.5000000000000003E-2</v>
      </c>
      <c r="O1732" s="6">
        <v>3.5000000000000003E-2</v>
      </c>
      <c r="P1732" s="6">
        <v>0</v>
      </c>
      <c r="Q1732" s="4" t="s">
        <v>26</v>
      </c>
      <c r="R1732" s="4">
        <v>0</v>
      </c>
      <c r="S1732" s="4" t="s">
        <v>470</v>
      </c>
      <c r="T1732" s="4" t="s">
        <v>777</v>
      </c>
      <c r="U1732" s="4">
        <v>0</v>
      </c>
      <c r="V1732" s="4">
        <v>42</v>
      </c>
      <c r="W1732" s="4">
        <v>85</v>
      </c>
    </row>
    <row r="1733" spans="1:23" ht="11.25" customHeight="1" x14ac:dyDescent="0.25">
      <c r="A1733" s="4" t="s">
        <v>21</v>
      </c>
      <c r="B1733" s="4" t="s">
        <v>22</v>
      </c>
      <c r="C1733" s="4" t="s">
        <v>37</v>
      </c>
      <c r="D1733" s="4" t="s">
        <v>24</v>
      </c>
      <c r="E1733" s="4" t="s">
        <v>24</v>
      </c>
      <c r="F1733" s="4" t="s">
        <v>25</v>
      </c>
      <c r="G1733" s="4" t="s">
        <v>25</v>
      </c>
      <c r="H1733" s="4" t="s">
        <v>35</v>
      </c>
      <c r="I1733" s="5">
        <v>43862</v>
      </c>
      <c r="J1733" s="6">
        <v>0</v>
      </c>
      <c r="K1733" s="6">
        <v>0</v>
      </c>
      <c r="L1733" s="6">
        <v>19.827000000000002</v>
      </c>
      <c r="M1733" s="6">
        <v>19.827000000000002</v>
      </c>
      <c r="N1733" s="6">
        <v>19.827000000000002</v>
      </c>
      <c r="O1733" s="6">
        <v>19.827000000000002</v>
      </c>
      <c r="P1733" s="6">
        <v>0</v>
      </c>
      <c r="Q1733" s="4" t="s">
        <v>26</v>
      </c>
      <c r="R1733" s="4">
        <v>0</v>
      </c>
      <c r="S1733" s="4" t="s">
        <v>471</v>
      </c>
      <c r="T1733" s="4" t="s">
        <v>778</v>
      </c>
      <c r="U1733" s="4">
        <v>0</v>
      </c>
      <c r="V1733" s="4">
        <v>42</v>
      </c>
      <c r="W1733" s="4">
        <v>85</v>
      </c>
    </row>
    <row r="1734" spans="1:23" ht="11.25" customHeight="1" x14ac:dyDescent="0.25">
      <c r="A1734" s="4" t="s">
        <v>27</v>
      </c>
      <c r="B1734" s="4" t="s">
        <v>22</v>
      </c>
      <c r="C1734" s="4" t="s">
        <v>37</v>
      </c>
      <c r="D1734" s="4" t="s">
        <v>24</v>
      </c>
      <c r="E1734" s="4" t="s">
        <v>24</v>
      </c>
      <c r="F1734" s="4" t="s">
        <v>25</v>
      </c>
      <c r="G1734" s="4" t="s">
        <v>25</v>
      </c>
      <c r="H1734" s="4" t="s">
        <v>35</v>
      </c>
      <c r="I1734" s="5">
        <v>43862</v>
      </c>
      <c r="J1734" s="6">
        <v>0</v>
      </c>
      <c r="K1734" s="6">
        <v>0</v>
      </c>
      <c r="L1734" s="6">
        <v>0.11700000000000001</v>
      </c>
      <c r="M1734" s="6">
        <v>0.11700000000000001</v>
      </c>
      <c r="N1734" s="6">
        <v>0.11700000000000001</v>
      </c>
      <c r="O1734" s="6">
        <v>0.11700000000000001</v>
      </c>
      <c r="P1734" s="6">
        <v>0</v>
      </c>
      <c r="Q1734" s="4" t="s">
        <v>26</v>
      </c>
      <c r="R1734" s="4">
        <v>0</v>
      </c>
      <c r="S1734" s="4" t="s">
        <v>471</v>
      </c>
      <c r="T1734" s="4" t="s">
        <v>778</v>
      </c>
      <c r="U1734" s="4">
        <v>0</v>
      </c>
      <c r="V1734" s="4">
        <v>42</v>
      </c>
      <c r="W1734" s="4">
        <v>85</v>
      </c>
    </row>
    <row r="1735" spans="1:23" ht="11.25" customHeight="1" x14ac:dyDescent="0.25">
      <c r="A1735" s="4" t="s">
        <v>21</v>
      </c>
      <c r="B1735" s="4" t="s">
        <v>22</v>
      </c>
      <c r="C1735" s="4" t="s">
        <v>37</v>
      </c>
      <c r="D1735" s="4" t="s">
        <v>24</v>
      </c>
      <c r="E1735" s="4" t="s">
        <v>24</v>
      </c>
      <c r="F1735" s="4" t="s">
        <v>25</v>
      </c>
      <c r="G1735" s="4" t="s">
        <v>25</v>
      </c>
      <c r="H1735" s="4" t="s">
        <v>35</v>
      </c>
      <c r="I1735" s="5">
        <v>43891</v>
      </c>
      <c r="J1735" s="6">
        <v>0</v>
      </c>
      <c r="K1735" s="6">
        <v>0</v>
      </c>
      <c r="L1735" s="6">
        <v>19.361999999999998</v>
      </c>
      <c r="M1735" s="6">
        <v>19.361999999999998</v>
      </c>
      <c r="N1735" s="6">
        <v>19.361999999999998</v>
      </c>
      <c r="O1735" s="6">
        <v>19.361999999999998</v>
      </c>
      <c r="P1735" s="6">
        <v>0</v>
      </c>
      <c r="Q1735" s="4" t="s">
        <v>26</v>
      </c>
      <c r="R1735" s="4">
        <v>0</v>
      </c>
      <c r="S1735" s="4" t="s">
        <v>472</v>
      </c>
      <c r="T1735" s="4" t="s">
        <v>779</v>
      </c>
      <c r="U1735" s="4">
        <v>0</v>
      </c>
      <c r="V1735" s="4">
        <v>42</v>
      </c>
      <c r="W1735" s="4">
        <v>85</v>
      </c>
    </row>
    <row r="1736" spans="1:23" ht="11.25" customHeight="1" x14ac:dyDescent="0.25">
      <c r="A1736" s="4" t="s">
        <v>27</v>
      </c>
      <c r="B1736" s="4" t="s">
        <v>22</v>
      </c>
      <c r="C1736" s="4" t="s">
        <v>37</v>
      </c>
      <c r="D1736" s="4" t="s">
        <v>24</v>
      </c>
      <c r="E1736" s="4" t="s">
        <v>24</v>
      </c>
      <c r="F1736" s="4" t="s">
        <v>25</v>
      </c>
      <c r="G1736" s="4" t="s">
        <v>25</v>
      </c>
      <c r="H1736" s="4" t="s">
        <v>35</v>
      </c>
      <c r="I1736" s="5">
        <v>43891</v>
      </c>
      <c r="J1736" s="6">
        <v>0</v>
      </c>
      <c r="K1736" s="6">
        <v>0</v>
      </c>
      <c r="L1736" s="6">
        <v>2.5000000000000001E-2</v>
      </c>
      <c r="M1736" s="6">
        <v>2.5000000000000001E-2</v>
      </c>
      <c r="N1736" s="6">
        <v>2.5000000000000001E-2</v>
      </c>
      <c r="O1736" s="6">
        <v>2.5000000000000001E-2</v>
      </c>
      <c r="P1736" s="6">
        <v>0</v>
      </c>
      <c r="Q1736" s="4" t="s">
        <v>26</v>
      </c>
      <c r="R1736" s="4">
        <v>0</v>
      </c>
      <c r="S1736" s="4" t="s">
        <v>472</v>
      </c>
      <c r="T1736" s="4" t="s">
        <v>779</v>
      </c>
      <c r="U1736" s="4">
        <v>0</v>
      </c>
      <c r="V1736" s="4">
        <v>42</v>
      </c>
      <c r="W1736" s="4">
        <v>85</v>
      </c>
    </row>
    <row r="1737" spans="1:23" ht="11.25" customHeight="1" x14ac:dyDescent="0.25">
      <c r="A1737" s="4" t="s">
        <v>21</v>
      </c>
      <c r="B1737" s="4" t="s">
        <v>22</v>
      </c>
      <c r="C1737" s="4" t="s">
        <v>37</v>
      </c>
      <c r="D1737" s="4" t="s">
        <v>24</v>
      </c>
      <c r="E1737" s="4" t="s">
        <v>24</v>
      </c>
      <c r="F1737" s="4" t="s">
        <v>25</v>
      </c>
      <c r="G1737" s="4" t="s">
        <v>25</v>
      </c>
      <c r="H1737" s="4" t="s">
        <v>35</v>
      </c>
      <c r="I1737" s="5">
        <v>43922</v>
      </c>
      <c r="J1737" s="6">
        <v>0</v>
      </c>
      <c r="K1737" s="6">
        <v>0</v>
      </c>
      <c r="L1737" s="6">
        <v>21.719000000000001</v>
      </c>
      <c r="M1737" s="6">
        <v>21.719000000000001</v>
      </c>
      <c r="N1737" s="6">
        <v>21.719000000000001</v>
      </c>
      <c r="O1737" s="6">
        <v>21.719000000000001</v>
      </c>
      <c r="P1737" s="6">
        <v>0</v>
      </c>
      <c r="Q1737" s="4" t="s">
        <v>26</v>
      </c>
      <c r="R1737" s="4">
        <v>0</v>
      </c>
      <c r="S1737" s="4" t="s">
        <v>473</v>
      </c>
      <c r="T1737" s="4" t="s">
        <v>780</v>
      </c>
      <c r="U1737" s="4">
        <v>0</v>
      </c>
      <c r="V1737" s="4">
        <v>42</v>
      </c>
      <c r="W1737" s="4">
        <v>85</v>
      </c>
    </row>
    <row r="1738" spans="1:23" ht="11.25" customHeight="1" x14ac:dyDescent="0.25">
      <c r="A1738" s="4" t="s">
        <v>27</v>
      </c>
      <c r="B1738" s="4" t="s">
        <v>22</v>
      </c>
      <c r="C1738" s="4" t="s">
        <v>37</v>
      </c>
      <c r="D1738" s="4" t="s">
        <v>24</v>
      </c>
      <c r="E1738" s="4" t="s">
        <v>24</v>
      </c>
      <c r="F1738" s="4" t="s">
        <v>25</v>
      </c>
      <c r="G1738" s="4" t="s">
        <v>25</v>
      </c>
      <c r="H1738" s="4" t="s">
        <v>35</v>
      </c>
      <c r="I1738" s="5">
        <v>43922</v>
      </c>
      <c r="J1738" s="6">
        <v>0</v>
      </c>
      <c r="K1738" s="6">
        <v>0</v>
      </c>
      <c r="L1738" s="6">
        <v>5.8000000000000003E-2</v>
      </c>
      <c r="M1738" s="6">
        <v>5.8000000000000003E-2</v>
      </c>
      <c r="N1738" s="6">
        <v>5.8000000000000003E-2</v>
      </c>
      <c r="O1738" s="6">
        <v>5.8000000000000003E-2</v>
      </c>
      <c r="P1738" s="6">
        <v>0</v>
      </c>
      <c r="Q1738" s="4" t="s">
        <v>26</v>
      </c>
      <c r="R1738" s="4">
        <v>0</v>
      </c>
      <c r="S1738" s="4" t="s">
        <v>473</v>
      </c>
      <c r="T1738" s="4" t="s">
        <v>780</v>
      </c>
      <c r="U1738" s="4">
        <v>0</v>
      </c>
      <c r="V1738" s="4">
        <v>42</v>
      </c>
      <c r="W1738" s="4">
        <v>85</v>
      </c>
    </row>
    <row r="1739" spans="1:23" ht="11.25" customHeight="1" x14ac:dyDescent="0.25">
      <c r="A1739" s="4" t="s">
        <v>21</v>
      </c>
      <c r="B1739" s="4" t="s">
        <v>22</v>
      </c>
      <c r="C1739" s="4" t="s">
        <v>37</v>
      </c>
      <c r="D1739" s="4" t="s">
        <v>24</v>
      </c>
      <c r="E1739" s="4" t="s">
        <v>24</v>
      </c>
      <c r="F1739" s="4" t="s">
        <v>25</v>
      </c>
      <c r="G1739" s="4" t="s">
        <v>25</v>
      </c>
      <c r="H1739" s="4" t="s">
        <v>35</v>
      </c>
      <c r="I1739" s="5">
        <v>43952</v>
      </c>
      <c r="J1739" s="6">
        <v>0</v>
      </c>
      <c r="K1739" s="6">
        <v>0</v>
      </c>
      <c r="L1739" s="6">
        <v>20.113</v>
      </c>
      <c r="M1739" s="6">
        <v>20.113</v>
      </c>
      <c r="N1739" s="6">
        <v>20.113</v>
      </c>
      <c r="O1739" s="6">
        <v>20.113</v>
      </c>
      <c r="P1739" s="6">
        <v>0</v>
      </c>
      <c r="Q1739" s="4" t="s">
        <v>26</v>
      </c>
      <c r="R1739" s="4">
        <v>0</v>
      </c>
      <c r="S1739" s="4" t="s">
        <v>474</v>
      </c>
      <c r="T1739" s="4" t="s">
        <v>781</v>
      </c>
      <c r="U1739" s="4">
        <v>0</v>
      </c>
      <c r="V1739" s="4">
        <v>42</v>
      </c>
      <c r="W1739" s="4">
        <v>85</v>
      </c>
    </row>
    <row r="1740" spans="1:23" ht="11.25" customHeight="1" x14ac:dyDescent="0.25">
      <c r="A1740" s="4" t="s">
        <v>27</v>
      </c>
      <c r="B1740" s="4" t="s">
        <v>22</v>
      </c>
      <c r="C1740" s="4" t="s">
        <v>37</v>
      </c>
      <c r="D1740" s="4" t="s">
        <v>24</v>
      </c>
      <c r="E1740" s="4" t="s">
        <v>24</v>
      </c>
      <c r="F1740" s="4" t="s">
        <v>25</v>
      </c>
      <c r="G1740" s="4" t="s">
        <v>25</v>
      </c>
      <c r="H1740" s="4" t="s">
        <v>35</v>
      </c>
      <c r="I1740" s="5">
        <v>43952</v>
      </c>
      <c r="J1740" s="6">
        <v>0</v>
      </c>
      <c r="K1740" s="6">
        <v>0</v>
      </c>
      <c r="L1740" s="6">
        <v>0.111</v>
      </c>
      <c r="M1740" s="6">
        <v>0.111</v>
      </c>
      <c r="N1740" s="6">
        <v>0.111</v>
      </c>
      <c r="O1740" s="6">
        <v>0.111</v>
      </c>
      <c r="P1740" s="6">
        <v>0</v>
      </c>
      <c r="Q1740" s="4" t="s">
        <v>26</v>
      </c>
      <c r="R1740" s="4">
        <v>0</v>
      </c>
      <c r="S1740" s="4" t="s">
        <v>474</v>
      </c>
      <c r="T1740" s="4" t="s">
        <v>781</v>
      </c>
      <c r="U1740" s="4">
        <v>0</v>
      </c>
      <c r="V1740" s="4">
        <v>42</v>
      </c>
      <c r="W1740" s="4">
        <v>85</v>
      </c>
    </row>
    <row r="1741" spans="1:23" ht="11.25" customHeight="1" x14ac:dyDescent="0.25">
      <c r="A1741" s="4" t="s">
        <v>21</v>
      </c>
      <c r="B1741" s="4" t="s">
        <v>22</v>
      </c>
      <c r="C1741" s="4" t="s">
        <v>37</v>
      </c>
      <c r="D1741" s="4" t="s">
        <v>24</v>
      </c>
      <c r="E1741" s="4" t="s">
        <v>24</v>
      </c>
      <c r="F1741" s="4" t="s">
        <v>25</v>
      </c>
      <c r="G1741" s="4" t="s">
        <v>25</v>
      </c>
      <c r="H1741" s="4" t="s">
        <v>35</v>
      </c>
      <c r="I1741" s="5">
        <v>43983</v>
      </c>
      <c r="J1741" s="6">
        <v>0</v>
      </c>
      <c r="K1741" s="6">
        <v>0</v>
      </c>
      <c r="L1741" s="6">
        <v>20.027000000000001</v>
      </c>
      <c r="M1741" s="6">
        <v>20.027000000000001</v>
      </c>
      <c r="N1741" s="6">
        <v>20.027000000000001</v>
      </c>
      <c r="O1741" s="6">
        <v>20.027000000000001</v>
      </c>
      <c r="P1741" s="6">
        <v>0</v>
      </c>
      <c r="Q1741" s="4" t="s">
        <v>26</v>
      </c>
      <c r="R1741" s="4">
        <v>0</v>
      </c>
      <c r="S1741" s="4" t="s">
        <v>475</v>
      </c>
      <c r="T1741" s="4" t="s">
        <v>782</v>
      </c>
      <c r="U1741" s="4">
        <v>0</v>
      </c>
      <c r="V1741" s="4">
        <v>42</v>
      </c>
      <c r="W1741" s="4">
        <v>85</v>
      </c>
    </row>
    <row r="1742" spans="1:23" ht="11.25" customHeight="1" x14ac:dyDescent="0.25">
      <c r="A1742" s="4" t="s">
        <v>27</v>
      </c>
      <c r="B1742" s="4" t="s">
        <v>22</v>
      </c>
      <c r="C1742" s="4" t="s">
        <v>37</v>
      </c>
      <c r="D1742" s="4" t="s">
        <v>24</v>
      </c>
      <c r="E1742" s="4" t="s">
        <v>24</v>
      </c>
      <c r="F1742" s="4" t="s">
        <v>25</v>
      </c>
      <c r="G1742" s="4" t="s">
        <v>25</v>
      </c>
      <c r="H1742" s="4" t="s">
        <v>35</v>
      </c>
      <c r="I1742" s="5">
        <v>43983</v>
      </c>
      <c r="J1742" s="6">
        <v>0</v>
      </c>
      <c r="K1742" s="6">
        <v>0</v>
      </c>
      <c r="L1742" s="6">
        <v>0.17699999999999999</v>
      </c>
      <c r="M1742" s="6">
        <v>0.17699999999999999</v>
      </c>
      <c r="N1742" s="6">
        <v>0.17699999999999999</v>
      </c>
      <c r="O1742" s="6">
        <v>0.17699999999999999</v>
      </c>
      <c r="P1742" s="6">
        <v>0</v>
      </c>
      <c r="Q1742" s="4" t="s">
        <v>26</v>
      </c>
      <c r="R1742" s="4">
        <v>0</v>
      </c>
      <c r="S1742" s="4" t="s">
        <v>475</v>
      </c>
      <c r="T1742" s="4" t="s">
        <v>782</v>
      </c>
      <c r="U1742" s="4">
        <v>0</v>
      </c>
      <c r="V1742" s="4">
        <v>42</v>
      </c>
      <c r="W1742" s="4">
        <v>85</v>
      </c>
    </row>
    <row r="1743" spans="1:23" ht="11.25" customHeight="1" x14ac:dyDescent="0.25">
      <c r="A1743" s="4" t="s">
        <v>21</v>
      </c>
      <c r="B1743" s="4" t="s">
        <v>22</v>
      </c>
      <c r="C1743" s="4" t="s">
        <v>37</v>
      </c>
      <c r="D1743" s="4" t="s">
        <v>24</v>
      </c>
      <c r="E1743" s="4" t="s">
        <v>24</v>
      </c>
      <c r="F1743" s="4" t="s">
        <v>25</v>
      </c>
      <c r="G1743" s="4" t="s">
        <v>25</v>
      </c>
      <c r="H1743" s="4" t="s">
        <v>35</v>
      </c>
      <c r="I1743" s="5">
        <v>44013</v>
      </c>
      <c r="J1743" s="6">
        <v>0</v>
      </c>
      <c r="K1743" s="6">
        <v>0</v>
      </c>
      <c r="L1743" s="6">
        <v>20.957999999999998</v>
      </c>
      <c r="M1743" s="6">
        <v>20.957999999999998</v>
      </c>
      <c r="N1743" s="6">
        <v>20.957999999999998</v>
      </c>
      <c r="O1743" s="6">
        <v>20.957999999999998</v>
      </c>
      <c r="P1743" s="6">
        <v>0</v>
      </c>
      <c r="Q1743" s="4" t="s">
        <v>26</v>
      </c>
      <c r="R1743" s="4">
        <v>0</v>
      </c>
      <c r="S1743" s="4" t="s">
        <v>476</v>
      </c>
      <c r="T1743" s="4" t="s">
        <v>783</v>
      </c>
      <c r="U1743" s="4">
        <v>0</v>
      </c>
      <c r="V1743" s="4">
        <v>42</v>
      </c>
      <c r="W1743" s="4">
        <v>85</v>
      </c>
    </row>
    <row r="1744" spans="1:23" ht="11.25" customHeight="1" x14ac:dyDescent="0.25">
      <c r="A1744" s="4" t="s">
        <v>27</v>
      </c>
      <c r="B1744" s="4" t="s">
        <v>22</v>
      </c>
      <c r="C1744" s="4" t="s">
        <v>37</v>
      </c>
      <c r="D1744" s="4" t="s">
        <v>24</v>
      </c>
      <c r="E1744" s="4" t="s">
        <v>24</v>
      </c>
      <c r="F1744" s="4" t="s">
        <v>25</v>
      </c>
      <c r="G1744" s="4" t="s">
        <v>25</v>
      </c>
      <c r="H1744" s="4" t="s">
        <v>35</v>
      </c>
      <c r="I1744" s="5">
        <v>44013</v>
      </c>
      <c r="J1744" s="6">
        <v>0</v>
      </c>
      <c r="K1744" s="6">
        <v>0</v>
      </c>
      <c r="L1744" s="6">
        <v>0.20699999999999999</v>
      </c>
      <c r="M1744" s="6">
        <v>0.20699999999999999</v>
      </c>
      <c r="N1744" s="6">
        <v>0.20699999999999999</v>
      </c>
      <c r="O1744" s="6">
        <v>0.20699999999999999</v>
      </c>
      <c r="P1744" s="6">
        <v>0</v>
      </c>
      <c r="Q1744" s="4" t="s">
        <v>26</v>
      </c>
      <c r="R1744" s="4">
        <v>0</v>
      </c>
      <c r="S1744" s="4" t="s">
        <v>476</v>
      </c>
      <c r="T1744" s="4" t="s">
        <v>783</v>
      </c>
      <c r="U1744" s="4">
        <v>0</v>
      </c>
      <c r="V1744" s="4">
        <v>42</v>
      </c>
      <c r="W1744" s="4">
        <v>85</v>
      </c>
    </row>
    <row r="1745" spans="1:23" ht="11.25" customHeight="1" x14ac:dyDescent="0.25">
      <c r="A1745" s="4" t="s">
        <v>21</v>
      </c>
      <c r="B1745" s="4" t="s">
        <v>22</v>
      </c>
      <c r="C1745" s="4" t="s">
        <v>37</v>
      </c>
      <c r="D1745" s="4" t="s">
        <v>24</v>
      </c>
      <c r="E1745" s="4" t="s">
        <v>24</v>
      </c>
      <c r="F1745" s="4" t="s">
        <v>25</v>
      </c>
      <c r="G1745" s="4" t="s">
        <v>25</v>
      </c>
      <c r="H1745" s="4" t="s">
        <v>35</v>
      </c>
      <c r="I1745" s="5">
        <v>44044</v>
      </c>
      <c r="J1745" s="6">
        <v>0</v>
      </c>
      <c r="K1745" s="6">
        <v>0</v>
      </c>
      <c r="L1745" s="6">
        <v>23.411000000000001</v>
      </c>
      <c r="M1745" s="6">
        <v>23.411000000000001</v>
      </c>
      <c r="N1745" s="6">
        <v>23.411000000000001</v>
      </c>
      <c r="O1745" s="6">
        <v>23.411000000000001</v>
      </c>
      <c r="P1745" s="6">
        <v>0</v>
      </c>
      <c r="Q1745" s="4" t="s">
        <v>26</v>
      </c>
      <c r="R1745" s="4">
        <v>0</v>
      </c>
      <c r="S1745" s="4" t="s">
        <v>477</v>
      </c>
      <c r="T1745" s="4" t="s">
        <v>784</v>
      </c>
      <c r="U1745" s="4">
        <v>0</v>
      </c>
      <c r="V1745" s="4">
        <v>42</v>
      </c>
      <c r="W1745" s="4">
        <v>85</v>
      </c>
    </row>
    <row r="1746" spans="1:23" ht="11.25" customHeight="1" x14ac:dyDescent="0.25">
      <c r="A1746" s="4" t="s">
        <v>27</v>
      </c>
      <c r="B1746" s="4" t="s">
        <v>22</v>
      </c>
      <c r="C1746" s="4" t="s">
        <v>37</v>
      </c>
      <c r="D1746" s="4" t="s">
        <v>24</v>
      </c>
      <c r="E1746" s="4" t="s">
        <v>24</v>
      </c>
      <c r="F1746" s="4" t="s">
        <v>25</v>
      </c>
      <c r="G1746" s="4" t="s">
        <v>25</v>
      </c>
      <c r="H1746" s="4" t="s">
        <v>35</v>
      </c>
      <c r="I1746" s="5">
        <v>44044</v>
      </c>
      <c r="J1746" s="6">
        <v>0</v>
      </c>
      <c r="K1746" s="6">
        <v>0</v>
      </c>
      <c r="L1746" s="6">
        <v>0.114</v>
      </c>
      <c r="M1746" s="6">
        <v>0.114</v>
      </c>
      <c r="N1746" s="6">
        <v>0.114</v>
      </c>
      <c r="O1746" s="6">
        <v>0.114</v>
      </c>
      <c r="P1746" s="6">
        <v>0</v>
      </c>
      <c r="Q1746" s="4" t="s">
        <v>26</v>
      </c>
      <c r="R1746" s="4">
        <v>0</v>
      </c>
      <c r="S1746" s="4" t="s">
        <v>477</v>
      </c>
      <c r="T1746" s="4" t="s">
        <v>784</v>
      </c>
      <c r="U1746" s="4">
        <v>0</v>
      </c>
      <c r="V1746" s="4">
        <v>42</v>
      </c>
      <c r="W1746" s="4">
        <v>85</v>
      </c>
    </row>
    <row r="1747" spans="1:23" ht="11.25" customHeight="1" x14ac:dyDescent="0.25">
      <c r="A1747" s="4" t="s">
        <v>59</v>
      </c>
      <c r="B1747" s="4" t="s">
        <v>22</v>
      </c>
      <c r="C1747" s="4" t="s">
        <v>37</v>
      </c>
      <c r="D1747" s="4" t="s">
        <v>24</v>
      </c>
      <c r="E1747" s="4" t="s">
        <v>24</v>
      </c>
      <c r="F1747" s="4" t="s">
        <v>25</v>
      </c>
      <c r="G1747" s="4" t="s">
        <v>25</v>
      </c>
      <c r="H1747" s="4" t="s">
        <v>35</v>
      </c>
      <c r="I1747" s="5">
        <v>44075</v>
      </c>
      <c r="J1747" s="6">
        <v>0</v>
      </c>
      <c r="K1747" s="6">
        <v>0</v>
      </c>
      <c r="L1747" s="6">
        <v>23.411000000000001</v>
      </c>
      <c r="M1747" s="6">
        <v>23.411000000000001</v>
      </c>
      <c r="N1747" s="6">
        <v>23.411000000000001</v>
      </c>
      <c r="O1747" s="6">
        <v>23.411000000000001</v>
      </c>
      <c r="P1747" s="6">
        <v>0</v>
      </c>
      <c r="Q1747" s="4" t="s">
        <v>26</v>
      </c>
      <c r="R1747" s="4">
        <v>0</v>
      </c>
      <c r="S1747" s="4" t="s">
        <v>478</v>
      </c>
      <c r="T1747" s="4" t="s">
        <v>785</v>
      </c>
      <c r="U1747" s="4">
        <v>0</v>
      </c>
      <c r="V1747" s="4">
        <v>42</v>
      </c>
      <c r="W1747" s="4">
        <v>85</v>
      </c>
    </row>
    <row r="1748" spans="1:23" ht="11.25" customHeight="1" x14ac:dyDescent="0.25">
      <c r="A1748" s="4" t="s">
        <v>59</v>
      </c>
      <c r="B1748" s="4" t="s">
        <v>22</v>
      </c>
      <c r="C1748" s="4" t="s">
        <v>37</v>
      </c>
      <c r="D1748" s="4" t="s">
        <v>24</v>
      </c>
      <c r="E1748" s="4" t="s">
        <v>24</v>
      </c>
      <c r="F1748" s="4" t="s">
        <v>25</v>
      </c>
      <c r="G1748" s="4" t="s">
        <v>25</v>
      </c>
      <c r="H1748" s="4" t="s">
        <v>35</v>
      </c>
      <c r="I1748" s="5">
        <v>44075</v>
      </c>
      <c r="J1748" s="6">
        <v>0</v>
      </c>
      <c r="K1748" s="6">
        <v>0</v>
      </c>
      <c r="L1748" s="6">
        <v>0.114</v>
      </c>
      <c r="M1748" s="6">
        <v>0.114</v>
      </c>
      <c r="N1748" s="6">
        <v>0.114</v>
      </c>
      <c r="O1748" s="6">
        <v>0.114</v>
      </c>
      <c r="P1748" s="6">
        <v>0</v>
      </c>
      <c r="Q1748" s="4" t="s">
        <v>26</v>
      </c>
      <c r="R1748" s="4">
        <v>0</v>
      </c>
      <c r="S1748" s="4" t="s">
        <v>478</v>
      </c>
      <c r="T1748" s="4" t="s">
        <v>785</v>
      </c>
      <c r="U1748" s="4">
        <v>0</v>
      </c>
      <c r="V1748" s="4">
        <v>42</v>
      </c>
      <c r="W1748" s="4">
        <v>85</v>
      </c>
    </row>
    <row r="1749" spans="1:23" ht="11.25" customHeight="1" x14ac:dyDescent="0.25">
      <c r="A1749" s="4" t="s">
        <v>21</v>
      </c>
      <c r="B1749" s="4" t="s">
        <v>22</v>
      </c>
      <c r="C1749" s="4" t="s">
        <v>23</v>
      </c>
      <c r="D1749" s="4" t="s">
        <v>24</v>
      </c>
      <c r="E1749" s="4" t="s">
        <v>24</v>
      </c>
      <c r="F1749" s="4" t="s">
        <v>25</v>
      </c>
      <c r="G1749" s="4" t="s">
        <v>25</v>
      </c>
      <c r="H1749" s="4" t="s">
        <v>25</v>
      </c>
      <c r="I1749" s="5">
        <v>43739</v>
      </c>
      <c r="J1749" s="6">
        <v>0</v>
      </c>
      <c r="K1749" s="6">
        <v>0</v>
      </c>
      <c r="L1749" s="6">
        <v>195401.87700000001</v>
      </c>
      <c r="M1749" s="6">
        <v>195401.87700000001</v>
      </c>
      <c r="N1749" s="6">
        <v>195401.87700000001</v>
      </c>
      <c r="O1749" s="6">
        <v>195401.87700000001</v>
      </c>
      <c r="P1749" s="6">
        <v>942675</v>
      </c>
      <c r="Q1749" s="4" t="s">
        <v>26</v>
      </c>
      <c r="R1749" s="4">
        <v>0</v>
      </c>
      <c r="S1749" s="4" t="s">
        <v>479</v>
      </c>
      <c r="T1749" s="4" t="s">
        <v>786</v>
      </c>
      <c r="U1749" s="4">
        <v>0</v>
      </c>
      <c r="V1749" s="4">
        <v>45</v>
      </c>
      <c r="W1749" s="4">
        <v>88</v>
      </c>
    </row>
    <row r="1750" spans="1:23" ht="11.25" customHeight="1" x14ac:dyDescent="0.25">
      <c r="A1750" s="4" t="s">
        <v>27</v>
      </c>
      <c r="B1750" s="4" t="s">
        <v>22</v>
      </c>
      <c r="C1750" s="4" t="s">
        <v>23</v>
      </c>
      <c r="D1750" s="4" t="s">
        <v>24</v>
      </c>
      <c r="E1750" s="4" t="s">
        <v>24</v>
      </c>
      <c r="F1750" s="4" t="s">
        <v>25</v>
      </c>
      <c r="G1750" s="4" t="s">
        <v>25</v>
      </c>
      <c r="H1750" s="4" t="s">
        <v>25</v>
      </c>
      <c r="I1750" s="5">
        <v>43739</v>
      </c>
      <c r="J1750" s="6">
        <v>0</v>
      </c>
      <c r="K1750" s="6">
        <v>0</v>
      </c>
      <c r="L1750" s="6">
        <v>134.36799999999999</v>
      </c>
      <c r="M1750" s="6">
        <v>134.36799999999999</v>
      </c>
      <c r="N1750" s="6">
        <v>134.36799999999999</v>
      </c>
      <c r="O1750" s="6">
        <v>134.36799999999999</v>
      </c>
      <c r="P1750" s="6">
        <v>238</v>
      </c>
      <c r="Q1750" s="4" t="s">
        <v>26</v>
      </c>
      <c r="R1750" s="4">
        <v>0</v>
      </c>
      <c r="S1750" s="4" t="s">
        <v>479</v>
      </c>
      <c r="T1750" s="4" t="s">
        <v>786</v>
      </c>
      <c r="U1750" s="4">
        <v>0</v>
      </c>
      <c r="V1750" s="4">
        <v>45</v>
      </c>
      <c r="W1750" s="4">
        <v>88</v>
      </c>
    </row>
    <row r="1751" spans="1:23" ht="11.25" customHeight="1" x14ac:dyDescent="0.25">
      <c r="A1751" s="4" t="s">
        <v>28</v>
      </c>
      <c r="B1751" s="4" t="s">
        <v>22</v>
      </c>
      <c r="C1751" s="4" t="s">
        <v>23</v>
      </c>
      <c r="D1751" s="4" t="s">
        <v>24</v>
      </c>
      <c r="E1751" s="4" t="s">
        <v>24</v>
      </c>
      <c r="F1751" s="4" t="s">
        <v>25</v>
      </c>
      <c r="G1751" s="4" t="s">
        <v>25</v>
      </c>
      <c r="H1751" s="4" t="s">
        <v>25</v>
      </c>
      <c r="I1751" s="5">
        <v>43739</v>
      </c>
      <c r="J1751" s="6">
        <v>0</v>
      </c>
      <c r="K1751" s="6">
        <v>0</v>
      </c>
      <c r="L1751" s="6">
        <v>414.495</v>
      </c>
      <c r="M1751" s="6">
        <v>414.495</v>
      </c>
      <c r="N1751" s="6">
        <v>414.495</v>
      </c>
      <c r="O1751" s="6">
        <v>414.495</v>
      </c>
      <c r="P1751" s="6">
        <v>1300</v>
      </c>
      <c r="Q1751" s="4" t="s">
        <v>26</v>
      </c>
      <c r="R1751" s="4">
        <v>0</v>
      </c>
      <c r="S1751" s="4" t="s">
        <v>479</v>
      </c>
      <c r="T1751" s="4" t="s">
        <v>786</v>
      </c>
      <c r="U1751" s="4">
        <v>0</v>
      </c>
      <c r="V1751" s="4">
        <v>45</v>
      </c>
      <c r="W1751" s="4">
        <v>88</v>
      </c>
    </row>
    <row r="1752" spans="1:23" ht="11.25" customHeight="1" x14ac:dyDescent="0.25">
      <c r="A1752" s="4" t="s">
        <v>28</v>
      </c>
      <c r="B1752" s="4" t="s">
        <v>22</v>
      </c>
      <c r="C1752" s="4" t="s">
        <v>23</v>
      </c>
      <c r="D1752" s="4" t="s">
        <v>24</v>
      </c>
      <c r="E1752" s="4" t="s">
        <v>24</v>
      </c>
      <c r="F1752" s="4" t="s">
        <v>25</v>
      </c>
      <c r="G1752" s="4" t="s">
        <v>25</v>
      </c>
      <c r="H1752" s="4" t="s">
        <v>25</v>
      </c>
      <c r="I1752" s="5">
        <v>43739</v>
      </c>
      <c r="J1752" s="6">
        <v>0</v>
      </c>
      <c r="K1752" s="6">
        <v>0</v>
      </c>
      <c r="L1752" s="6">
        <v>1.64</v>
      </c>
      <c r="M1752" s="6">
        <v>1.64</v>
      </c>
      <c r="N1752" s="6">
        <v>1.64</v>
      </c>
      <c r="O1752" s="6">
        <v>1.64</v>
      </c>
      <c r="P1752" s="6">
        <v>2</v>
      </c>
      <c r="Q1752" s="4" t="s">
        <v>26</v>
      </c>
      <c r="R1752" s="4">
        <v>0</v>
      </c>
      <c r="S1752" s="4" t="s">
        <v>479</v>
      </c>
      <c r="T1752" s="4" t="s">
        <v>786</v>
      </c>
      <c r="U1752" s="4">
        <v>0</v>
      </c>
      <c r="V1752" s="4">
        <v>45</v>
      </c>
      <c r="W1752" s="4">
        <v>88</v>
      </c>
    </row>
    <row r="1753" spans="1:23" ht="11.25" customHeight="1" x14ac:dyDescent="0.25">
      <c r="A1753" s="4" t="s">
        <v>21</v>
      </c>
      <c r="B1753" s="4" t="s">
        <v>22</v>
      </c>
      <c r="C1753" s="4" t="s">
        <v>23</v>
      </c>
      <c r="D1753" s="4" t="s">
        <v>24</v>
      </c>
      <c r="E1753" s="4" t="s">
        <v>24</v>
      </c>
      <c r="F1753" s="4" t="s">
        <v>25</v>
      </c>
      <c r="G1753" s="4" t="s">
        <v>25</v>
      </c>
      <c r="H1753" s="4" t="s">
        <v>25</v>
      </c>
      <c r="I1753" s="5">
        <v>43770</v>
      </c>
      <c r="J1753" s="6">
        <v>0</v>
      </c>
      <c r="K1753" s="6">
        <v>0</v>
      </c>
      <c r="L1753" s="6">
        <v>207331.63500000001</v>
      </c>
      <c r="M1753" s="6">
        <v>207331.63500000001</v>
      </c>
      <c r="N1753" s="6">
        <v>207331.63500000001</v>
      </c>
      <c r="O1753" s="6">
        <v>207331.63500000001</v>
      </c>
      <c r="P1753" s="6">
        <v>938244</v>
      </c>
      <c r="Q1753" s="4" t="s">
        <v>26</v>
      </c>
      <c r="R1753" s="4">
        <v>0</v>
      </c>
      <c r="S1753" s="4" t="s">
        <v>480</v>
      </c>
      <c r="T1753" s="4" t="s">
        <v>787</v>
      </c>
      <c r="U1753" s="4">
        <v>0</v>
      </c>
      <c r="V1753" s="4">
        <v>45</v>
      </c>
      <c r="W1753" s="4">
        <v>88</v>
      </c>
    </row>
    <row r="1754" spans="1:23" ht="11.25" customHeight="1" x14ac:dyDescent="0.25">
      <c r="A1754" s="4" t="s">
        <v>27</v>
      </c>
      <c r="B1754" s="4" t="s">
        <v>22</v>
      </c>
      <c r="C1754" s="4" t="s">
        <v>23</v>
      </c>
      <c r="D1754" s="4" t="s">
        <v>24</v>
      </c>
      <c r="E1754" s="4" t="s">
        <v>24</v>
      </c>
      <c r="F1754" s="4" t="s">
        <v>25</v>
      </c>
      <c r="G1754" s="4" t="s">
        <v>25</v>
      </c>
      <c r="H1754" s="4" t="s">
        <v>25</v>
      </c>
      <c r="I1754" s="5">
        <v>43770</v>
      </c>
      <c r="J1754" s="6">
        <v>0</v>
      </c>
      <c r="K1754" s="6">
        <v>0</v>
      </c>
      <c r="L1754" s="6">
        <v>102.38800000000001</v>
      </c>
      <c r="M1754" s="6">
        <v>102.38800000000001</v>
      </c>
      <c r="N1754" s="6">
        <v>102.38800000000001</v>
      </c>
      <c r="O1754" s="6">
        <v>102.38800000000001</v>
      </c>
      <c r="P1754" s="6">
        <v>184</v>
      </c>
      <c r="Q1754" s="4" t="s">
        <v>26</v>
      </c>
      <c r="R1754" s="4">
        <v>0</v>
      </c>
      <c r="S1754" s="4" t="s">
        <v>480</v>
      </c>
      <c r="T1754" s="4" t="s">
        <v>787</v>
      </c>
      <c r="U1754" s="4">
        <v>0</v>
      </c>
      <c r="V1754" s="4">
        <v>45</v>
      </c>
      <c r="W1754" s="4">
        <v>88</v>
      </c>
    </row>
    <row r="1755" spans="1:23" ht="11.25" customHeight="1" x14ac:dyDescent="0.25">
      <c r="A1755" s="4" t="s">
        <v>28</v>
      </c>
      <c r="B1755" s="4" t="s">
        <v>22</v>
      </c>
      <c r="C1755" s="4" t="s">
        <v>23</v>
      </c>
      <c r="D1755" s="4" t="s">
        <v>24</v>
      </c>
      <c r="E1755" s="4" t="s">
        <v>24</v>
      </c>
      <c r="F1755" s="4" t="s">
        <v>25</v>
      </c>
      <c r="G1755" s="4" t="s">
        <v>25</v>
      </c>
      <c r="H1755" s="4" t="s">
        <v>25</v>
      </c>
      <c r="I1755" s="5">
        <v>43770</v>
      </c>
      <c r="J1755" s="6">
        <v>0</v>
      </c>
      <c r="K1755" s="6">
        <v>0</v>
      </c>
      <c r="L1755" s="6">
        <v>392.61700000000002</v>
      </c>
      <c r="M1755" s="6">
        <v>392.61700000000002</v>
      </c>
      <c r="N1755" s="6">
        <v>392.61700000000002</v>
      </c>
      <c r="O1755" s="6">
        <v>392.61700000000002</v>
      </c>
      <c r="P1755" s="6">
        <v>1294</v>
      </c>
      <c r="Q1755" s="4" t="s">
        <v>26</v>
      </c>
      <c r="R1755" s="4">
        <v>0</v>
      </c>
      <c r="S1755" s="4" t="s">
        <v>480</v>
      </c>
      <c r="T1755" s="4" t="s">
        <v>787</v>
      </c>
      <c r="U1755" s="4">
        <v>0</v>
      </c>
      <c r="V1755" s="4">
        <v>45</v>
      </c>
      <c r="W1755" s="4">
        <v>88</v>
      </c>
    </row>
    <row r="1756" spans="1:23" ht="11.25" customHeight="1" x14ac:dyDescent="0.25">
      <c r="A1756" s="4" t="s">
        <v>28</v>
      </c>
      <c r="B1756" s="4" t="s">
        <v>22</v>
      </c>
      <c r="C1756" s="4" t="s">
        <v>23</v>
      </c>
      <c r="D1756" s="4" t="s">
        <v>24</v>
      </c>
      <c r="E1756" s="4" t="s">
        <v>24</v>
      </c>
      <c r="F1756" s="4" t="s">
        <v>25</v>
      </c>
      <c r="G1756" s="4" t="s">
        <v>25</v>
      </c>
      <c r="H1756" s="4" t="s">
        <v>25</v>
      </c>
      <c r="I1756" s="5">
        <v>43770</v>
      </c>
      <c r="J1756" s="6">
        <v>0</v>
      </c>
      <c r="K1756" s="6">
        <v>0</v>
      </c>
      <c r="L1756" s="6">
        <v>0.1</v>
      </c>
      <c r="M1756" s="6">
        <v>0.1</v>
      </c>
      <c r="N1756" s="6">
        <v>0.1</v>
      </c>
      <c r="O1756" s="6">
        <v>0.1</v>
      </c>
      <c r="P1756" s="6">
        <v>1</v>
      </c>
      <c r="Q1756" s="4" t="s">
        <v>26</v>
      </c>
      <c r="R1756" s="4">
        <v>0</v>
      </c>
      <c r="S1756" s="4" t="s">
        <v>480</v>
      </c>
      <c r="T1756" s="4" t="s">
        <v>787</v>
      </c>
      <c r="U1756" s="4">
        <v>0</v>
      </c>
      <c r="V1756" s="4">
        <v>45</v>
      </c>
      <c r="W1756" s="4">
        <v>88</v>
      </c>
    </row>
    <row r="1757" spans="1:23" ht="11.25" customHeight="1" x14ac:dyDescent="0.25">
      <c r="A1757" s="4" t="s">
        <v>21</v>
      </c>
      <c r="B1757" s="4" t="s">
        <v>22</v>
      </c>
      <c r="C1757" s="4" t="s">
        <v>23</v>
      </c>
      <c r="D1757" s="4" t="s">
        <v>24</v>
      </c>
      <c r="E1757" s="4" t="s">
        <v>24</v>
      </c>
      <c r="F1757" s="4" t="s">
        <v>25</v>
      </c>
      <c r="G1757" s="4" t="s">
        <v>25</v>
      </c>
      <c r="H1757" s="4" t="s">
        <v>25</v>
      </c>
      <c r="I1757" s="5">
        <v>43800</v>
      </c>
      <c r="J1757" s="6">
        <v>0</v>
      </c>
      <c r="K1757" s="6">
        <v>0</v>
      </c>
      <c r="L1757" s="6">
        <v>179007.51</v>
      </c>
      <c r="M1757" s="6">
        <v>179007.51</v>
      </c>
      <c r="N1757" s="6">
        <v>179007.51</v>
      </c>
      <c r="O1757" s="6">
        <v>179007.51</v>
      </c>
      <c r="P1757" s="6">
        <v>940006</v>
      </c>
      <c r="Q1757" s="4" t="s">
        <v>26</v>
      </c>
      <c r="R1757" s="4">
        <v>0</v>
      </c>
      <c r="S1757" s="4" t="s">
        <v>481</v>
      </c>
      <c r="T1757" s="4" t="s">
        <v>788</v>
      </c>
      <c r="U1757" s="4">
        <v>0</v>
      </c>
      <c r="V1757" s="4">
        <v>45</v>
      </c>
      <c r="W1757" s="4">
        <v>88</v>
      </c>
    </row>
    <row r="1758" spans="1:23" ht="11.25" customHeight="1" x14ac:dyDescent="0.25">
      <c r="A1758" s="4" t="s">
        <v>27</v>
      </c>
      <c r="B1758" s="4" t="s">
        <v>22</v>
      </c>
      <c r="C1758" s="4" t="s">
        <v>23</v>
      </c>
      <c r="D1758" s="4" t="s">
        <v>24</v>
      </c>
      <c r="E1758" s="4" t="s">
        <v>24</v>
      </c>
      <c r="F1758" s="4" t="s">
        <v>25</v>
      </c>
      <c r="G1758" s="4" t="s">
        <v>25</v>
      </c>
      <c r="H1758" s="4" t="s">
        <v>25</v>
      </c>
      <c r="I1758" s="5">
        <v>43800</v>
      </c>
      <c r="J1758" s="6">
        <v>0</v>
      </c>
      <c r="K1758" s="6">
        <v>0</v>
      </c>
      <c r="L1758" s="6">
        <v>129.339</v>
      </c>
      <c r="M1758" s="6">
        <v>129.339</v>
      </c>
      <c r="N1758" s="6">
        <v>129.339</v>
      </c>
      <c r="O1758" s="6">
        <v>129.339</v>
      </c>
      <c r="P1758" s="6">
        <v>255</v>
      </c>
      <c r="Q1758" s="4" t="s">
        <v>26</v>
      </c>
      <c r="R1758" s="4">
        <v>0</v>
      </c>
      <c r="S1758" s="4" t="s">
        <v>481</v>
      </c>
      <c r="T1758" s="4" t="s">
        <v>788</v>
      </c>
      <c r="U1758" s="4">
        <v>0</v>
      </c>
      <c r="V1758" s="4">
        <v>45</v>
      </c>
      <c r="W1758" s="4">
        <v>88</v>
      </c>
    </row>
    <row r="1759" spans="1:23" ht="11.25" customHeight="1" x14ac:dyDescent="0.25">
      <c r="A1759" s="4" t="s">
        <v>28</v>
      </c>
      <c r="B1759" s="4" t="s">
        <v>22</v>
      </c>
      <c r="C1759" s="4" t="s">
        <v>23</v>
      </c>
      <c r="D1759" s="4" t="s">
        <v>24</v>
      </c>
      <c r="E1759" s="4" t="s">
        <v>24</v>
      </c>
      <c r="F1759" s="4" t="s">
        <v>25</v>
      </c>
      <c r="G1759" s="4" t="s">
        <v>25</v>
      </c>
      <c r="H1759" s="4" t="s">
        <v>25</v>
      </c>
      <c r="I1759" s="5">
        <v>43800</v>
      </c>
      <c r="J1759" s="6">
        <v>0</v>
      </c>
      <c r="K1759" s="6">
        <v>0</v>
      </c>
      <c r="L1759" s="6">
        <v>368.75200000000001</v>
      </c>
      <c r="M1759" s="6">
        <v>368.75200000000001</v>
      </c>
      <c r="N1759" s="6">
        <v>368.75200000000001</v>
      </c>
      <c r="O1759" s="6">
        <v>368.75200000000001</v>
      </c>
      <c r="P1759" s="6">
        <v>1295</v>
      </c>
      <c r="Q1759" s="4" t="s">
        <v>26</v>
      </c>
      <c r="R1759" s="4">
        <v>0</v>
      </c>
      <c r="S1759" s="4" t="s">
        <v>481</v>
      </c>
      <c r="T1759" s="4" t="s">
        <v>788</v>
      </c>
      <c r="U1759" s="4">
        <v>0</v>
      </c>
      <c r="V1759" s="4">
        <v>45</v>
      </c>
      <c r="W1759" s="4">
        <v>88</v>
      </c>
    </row>
    <row r="1760" spans="1:23" ht="11.25" customHeight="1" x14ac:dyDescent="0.25">
      <c r="A1760" s="4" t="s">
        <v>21</v>
      </c>
      <c r="B1760" s="4" t="s">
        <v>22</v>
      </c>
      <c r="C1760" s="4" t="s">
        <v>23</v>
      </c>
      <c r="D1760" s="4" t="s">
        <v>24</v>
      </c>
      <c r="E1760" s="4" t="s">
        <v>24</v>
      </c>
      <c r="F1760" s="4" t="s">
        <v>25</v>
      </c>
      <c r="G1760" s="4" t="s">
        <v>25</v>
      </c>
      <c r="H1760" s="4" t="s">
        <v>25</v>
      </c>
      <c r="I1760" s="5">
        <v>43831</v>
      </c>
      <c r="J1760" s="6">
        <v>0</v>
      </c>
      <c r="K1760" s="6">
        <v>0</v>
      </c>
      <c r="L1760" s="6">
        <v>194795.829</v>
      </c>
      <c r="M1760" s="6">
        <v>194795.829</v>
      </c>
      <c r="N1760" s="6">
        <v>194795.829</v>
      </c>
      <c r="O1760" s="6">
        <v>194795.829</v>
      </c>
      <c r="P1760" s="6">
        <v>940719</v>
      </c>
      <c r="Q1760" s="4" t="s">
        <v>26</v>
      </c>
      <c r="R1760" s="4">
        <v>0</v>
      </c>
      <c r="S1760" s="4" t="s">
        <v>482</v>
      </c>
      <c r="T1760" s="4" t="s">
        <v>789</v>
      </c>
      <c r="U1760" s="4">
        <v>0</v>
      </c>
      <c r="V1760" s="4">
        <v>45</v>
      </c>
      <c r="W1760" s="4">
        <v>88</v>
      </c>
    </row>
    <row r="1761" spans="1:23" ht="11.25" customHeight="1" x14ac:dyDescent="0.25">
      <c r="A1761" s="4" t="s">
        <v>27</v>
      </c>
      <c r="B1761" s="4" t="s">
        <v>22</v>
      </c>
      <c r="C1761" s="4" t="s">
        <v>23</v>
      </c>
      <c r="D1761" s="4" t="s">
        <v>24</v>
      </c>
      <c r="E1761" s="4" t="s">
        <v>24</v>
      </c>
      <c r="F1761" s="4" t="s">
        <v>25</v>
      </c>
      <c r="G1761" s="4" t="s">
        <v>25</v>
      </c>
      <c r="H1761" s="4" t="s">
        <v>25</v>
      </c>
      <c r="I1761" s="5">
        <v>43831</v>
      </c>
      <c r="J1761" s="6">
        <v>0</v>
      </c>
      <c r="K1761" s="6">
        <v>0</v>
      </c>
      <c r="L1761" s="6">
        <v>160.214</v>
      </c>
      <c r="M1761" s="6">
        <v>160.214</v>
      </c>
      <c r="N1761" s="6">
        <v>160.214</v>
      </c>
      <c r="O1761" s="6">
        <v>160.214</v>
      </c>
      <c r="P1761" s="6">
        <v>268</v>
      </c>
      <c r="Q1761" s="4" t="s">
        <v>26</v>
      </c>
      <c r="R1761" s="4">
        <v>0</v>
      </c>
      <c r="S1761" s="4" t="s">
        <v>482</v>
      </c>
      <c r="T1761" s="4" t="s">
        <v>789</v>
      </c>
      <c r="U1761" s="4">
        <v>0</v>
      </c>
      <c r="V1761" s="4">
        <v>45</v>
      </c>
      <c r="W1761" s="4">
        <v>88</v>
      </c>
    </row>
    <row r="1762" spans="1:23" ht="11.25" customHeight="1" x14ac:dyDescent="0.25">
      <c r="A1762" s="4" t="s">
        <v>28</v>
      </c>
      <c r="B1762" s="4" t="s">
        <v>22</v>
      </c>
      <c r="C1762" s="4" t="s">
        <v>23</v>
      </c>
      <c r="D1762" s="4" t="s">
        <v>24</v>
      </c>
      <c r="E1762" s="4" t="s">
        <v>24</v>
      </c>
      <c r="F1762" s="4" t="s">
        <v>25</v>
      </c>
      <c r="G1762" s="4" t="s">
        <v>25</v>
      </c>
      <c r="H1762" s="4" t="s">
        <v>25</v>
      </c>
      <c r="I1762" s="5">
        <v>43831</v>
      </c>
      <c r="J1762" s="6">
        <v>0</v>
      </c>
      <c r="K1762" s="6">
        <v>0</v>
      </c>
      <c r="L1762" s="6">
        <v>359.54899999999998</v>
      </c>
      <c r="M1762" s="6">
        <v>359.54899999999998</v>
      </c>
      <c r="N1762" s="6">
        <v>359.54899999999998</v>
      </c>
      <c r="O1762" s="6">
        <v>359.54899999999998</v>
      </c>
      <c r="P1762" s="6">
        <v>1292</v>
      </c>
      <c r="Q1762" s="4" t="s">
        <v>26</v>
      </c>
      <c r="R1762" s="4">
        <v>0</v>
      </c>
      <c r="S1762" s="4" t="s">
        <v>482</v>
      </c>
      <c r="T1762" s="4" t="s">
        <v>789</v>
      </c>
      <c r="U1762" s="4">
        <v>0</v>
      </c>
      <c r="V1762" s="4">
        <v>45</v>
      </c>
      <c r="W1762" s="4">
        <v>88</v>
      </c>
    </row>
    <row r="1763" spans="1:23" ht="11.25" customHeight="1" x14ac:dyDescent="0.25">
      <c r="A1763" s="4" t="s">
        <v>28</v>
      </c>
      <c r="B1763" s="4" t="s">
        <v>22</v>
      </c>
      <c r="C1763" s="4" t="s">
        <v>23</v>
      </c>
      <c r="D1763" s="4" t="s">
        <v>24</v>
      </c>
      <c r="E1763" s="4" t="s">
        <v>24</v>
      </c>
      <c r="F1763" s="4" t="s">
        <v>25</v>
      </c>
      <c r="G1763" s="4" t="s">
        <v>25</v>
      </c>
      <c r="H1763" s="4" t="s">
        <v>25</v>
      </c>
      <c r="I1763" s="5">
        <v>43831</v>
      </c>
      <c r="J1763" s="6">
        <v>0</v>
      </c>
      <c r="K1763" s="6">
        <v>0</v>
      </c>
      <c r="L1763" s="6">
        <v>3.6619999999999999</v>
      </c>
      <c r="M1763" s="6">
        <v>3.6619999999999999</v>
      </c>
      <c r="N1763" s="6">
        <v>3.6619999999999999</v>
      </c>
      <c r="O1763" s="6">
        <v>3.6619999999999999</v>
      </c>
      <c r="P1763" s="6">
        <v>2</v>
      </c>
      <c r="Q1763" s="4" t="s">
        <v>26</v>
      </c>
      <c r="R1763" s="4">
        <v>0</v>
      </c>
      <c r="S1763" s="4" t="s">
        <v>482</v>
      </c>
      <c r="T1763" s="4" t="s">
        <v>789</v>
      </c>
      <c r="U1763" s="4">
        <v>0</v>
      </c>
      <c r="V1763" s="4">
        <v>45</v>
      </c>
      <c r="W1763" s="4">
        <v>88</v>
      </c>
    </row>
    <row r="1764" spans="1:23" ht="11.25" customHeight="1" x14ac:dyDescent="0.25">
      <c r="A1764" s="4" t="s">
        <v>21</v>
      </c>
      <c r="B1764" s="4" t="s">
        <v>22</v>
      </c>
      <c r="C1764" s="4" t="s">
        <v>23</v>
      </c>
      <c r="D1764" s="4" t="s">
        <v>24</v>
      </c>
      <c r="E1764" s="4" t="s">
        <v>24</v>
      </c>
      <c r="F1764" s="4" t="s">
        <v>25</v>
      </c>
      <c r="G1764" s="4" t="s">
        <v>25</v>
      </c>
      <c r="H1764" s="4" t="s">
        <v>25</v>
      </c>
      <c r="I1764" s="5">
        <v>43862</v>
      </c>
      <c r="J1764" s="6">
        <v>0</v>
      </c>
      <c r="K1764" s="6">
        <v>0</v>
      </c>
      <c r="L1764" s="6">
        <v>182485.511</v>
      </c>
      <c r="M1764" s="6">
        <v>182485.511</v>
      </c>
      <c r="N1764" s="6">
        <v>182485.511</v>
      </c>
      <c r="O1764" s="6">
        <v>182485.511</v>
      </c>
      <c r="P1764" s="6">
        <v>944128</v>
      </c>
      <c r="Q1764" s="4" t="s">
        <v>26</v>
      </c>
      <c r="R1764" s="4">
        <v>0</v>
      </c>
      <c r="S1764" s="4" t="s">
        <v>483</v>
      </c>
      <c r="T1764" s="4" t="s">
        <v>790</v>
      </c>
      <c r="U1764" s="4">
        <v>0</v>
      </c>
      <c r="V1764" s="4">
        <v>45</v>
      </c>
      <c r="W1764" s="4">
        <v>88</v>
      </c>
    </row>
    <row r="1765" spans="1:23" ht="11.25" customHeight="1" x14ac:dyDescent="0.25">
      <c r="A1765" s="4" t="s">
        <v>27</v>
      </c>
      <c r="B1765" s="4" t="s">
        <v>22</v>
      </c>
      <c r="C1765" s="4" t="s">
        <v>23</v>
      </c>
      <c r="D1765" s="4" t="s">
        <v>24</v>
      </c>
      <c r="E1765" s="4" t="s">
        <v>24</v>
      </c>
      <c r="F1765" s="4" t="s">
        <v>25</v>
      </c>
      <c r="G1765" s="4" t="s">
        <v>25</v>
      </c>
      <c r="H1765" s="4" t="s">
        <v>25</v>
      </c>
      <c r="I1765" s="5">
        <v>43862</v>
      </c>
      <c r="J1765" s="6">
        <v>0</v>
      </c>
      <c r="K1765" s="6">
        <v>0</v>
      </c>
      <c r="L1765" s="6">
        <v>115.705</v>
      </c>
      <c r="M1765" s="6">
        <v>115.705</v>
      </c>
      <c r="N1765" s="6">
        <v>115.705</v>
      </c>
      <c r="O1765" s="6">
        <v>115.705</v>
      </c>
      <c r="P1765" s="6">
        <v>244</v>
      </c>
      <c r="Q1765" s="4" t="s">
        <v>26</v>
      </c>
      <c r="R1765" s="4">
        <v>0</v>
      </c>
      <c r="S1765" s="4" t="s">
        <v>483</v>
      </c>
      <c r="T1765" s="4" t="s">
        <v>790</v>
      </c>
      <c r="U1765" s="4">
        <v>0</v>
      </c>
      <c r="V1765" s="4">
        <v>45</v>
      </c>
      <c r="W1765" s="4">
        <v>88</v>
      </c>
    </row>
    <row r="1766" spans="1:23" ht="11.25" customHeight="1" x14ac:dyDescent="0.25">
      <c r="A1766" s="4" t="s">
        <v>28</v>
      </c>
      <c r="B1766" s="4" t="s">
        <v>22</v>
      </c>
      <c r="C1766" s="4" t="s">
        <v>23</v>
      </c>
      <c r="D1766" s="4" t="s">
        <v>24</v>
      </c>
      <c r="E1766" s="4" t="s">
        <v>24</v>
      </c>
      <c r="F1766" s="4" t="s">
        <v>25</v>
      </c>
      <c r="G1766" s="4" t="s">
        <v>25</v>
      </c>
      <c r="H1766" s="4" t="s">
        <v>25</v>
      </c>
      <c r="I1766" s="5">
        <v>43862</v>
      </c>
      <c r="J1766" s="6">
        <v>0</v>
      </c>
      <c r="K1766" s="6">
        <v>0</v>
      </c>
      <c r="L1766" s="6">
        <v>381.16800000000001</v>
      </c>
      <c r="M1766" s="6">
        <v>381.16800000000001</v>
      </c>
      <c r="N1766" s="6">
        <v>381.16800000000001</v>
      </c>
      <c r="O1766" s="6">
        <v>381.16800000000001</v>
      </c>
      <c r="P1766" s="6">
        <v>1297</v>
      </c>
      <c r="Q1766" s="4" t="s">
        <v>26</v>
      </c>
      <c r="R1766" s="4">
        <v>0</v>
      </c>
      <c r="S1766" s="4" t="s">
        <v>483</v>
      </c>
      <c r="T1766" s="4" t="s">
        <v>790</v>
      </c>
      <c r="U1766" s="4">
        <v>0</v>
      </c>
      <c r="V1766" s="4">
        <v>45</v>
      </c>
      <c r="W1766" s="4">
        <v>88</v>
      </c>
    </row>
    <row r="1767" spans="1:23" ht="11.25" customHeight="1" x14ac:dyDescent="0.25">
      <c r="A1767" s="4" t="s">
        <v>28</v>
      </c>
      <c r="B1767" s="4" t="s">
        <v>22</v>
      </c>
      <c r="C1767" s="4" t="s">
        <v>23</v>
      </c>
      <c r="D1767" s="4" t="s">
        <v>24</v>
      </c>
      <c r="E1767" s="4" t="s">
        <v>24</v>
      </c>
      <c r="F1767" s="4" t="s">
        <v>25</v>
      </c>
      <c r="G1767" s="4" t="s">
        <v>25</v>
      </c>
      <c r="H1767" s="4" t="s">
        <v>25</v>
      </c>
      <c r="I1767" s="5">
        <v>43862</v>
      </c>
      <c r="J1767" s="6">
        <v>0</v>
      </c>
      <c r="K1767" s="6">
        <v>0</v>
      </c>
      <c r="L1767" s="6">
        <v>6.3369999999999997</v>
      </c>
      <c r="M1767" s="6">
        <v>6.3369999999999997</v>
      </c>
      <c r="N1767" s="6">
        <v>6.3369999999999997</v>
      </c>
      <c r="O1767" s="6">
        <v>6.3369999999999997</v>
      </c>
      <c r="P1767" s="6">
        <v>2</v>
      </c>
      <c r="Q1767" s="4" t="s">
        <v>26</v>
      </c>
      <c r="R1767" s="4">
        <v>0</v>
      </c>
      <c r="S1767" s="4" t="s">
        <v>483</v>
      </c>
      <c r="T1767" s="4" t="s">
        <v>790</v>
      </c>
      <c r="U1767" s="4">
        <v>0</v>
      </c>
      <c r="V1767" s="4">
        <v>45</v>
      </c>
      <c r="W1767" s="4">
        <v>88</v>
      </c>
    </row>
    <row r="1768" spans="1:23" ht="11.25" customHeight="1" x14ac:dyDescent="0.25">
      <c r="A1768" s="4" t="s">
        <v>21</v>
      </c>
      <c r="B1768" s="4" t="s">
        <v>22</v>
      </c>
      <c r="C1768" s="4" t="s">
        <v>23</v>
      </c>
      <c r="D1768" s="4" t="s">
        <v>24</v>
      </c>
      <c r="E1768" s="4" t="s">
        <v>24</v>
      </c>
      <c r="F1768" s="4" t="s">
        <v>25</v>
      </c>
      <c r="G1768" s="4" t="s">
        <v>25</v>
      </c>
      <c r="H1768" s="4" t="s">
        <v>25</v>
      </c>
      <c r="I1768" s="5">
        <v>43891</v>
      </c>
      <c r="J1768" s="6">
        <v>0</v>
      </c>
      <c r="K1768" s="6">
        <v>0</v>
      </c>
      <c r="L1768" s="6">
        <v>187028.478</v>
      </c>
      <c r="M1768" s="6">
        <v>187028.478</v>
      </c>
      <c r="N1768" s="6">
        <v>187028.478</v>
      </c>
      <c r="O1768" s="6">
        <v>187028.478</v>
      </c>
      <c r="P1768" s="6">
        <v>940596</v>
      </c>
      <c r="Q1768" s="4" t="s">
        <v>26</v>
      </c>
      <c r="R1768" s="4">
        <v>0</v>
      </c>
      <c r="S1768" s="4" t="s">
        <v>484</v>
      </c>
      <c r="T1768" s="4" t="s">
        <v>791</v>
      </c>
      <c r="U1768" s="4">
        <v>0</v>
      </c>
      <c r="V1768" s="4">
        <v>45</v>
      </c>
      <c r="W1768" s="4">
        <v>88</v>
      </c>
    </row>
    <row r="1769" spans="1:23" ht="11.25" customHeight="1" x14ac:dyDescent="0.25">
      <c r="A1769" s="4" t="s">
        <v>27</v>
      </c>
      <c r="B1769" s="4" t="s">
        <v>22</v>
      </c>
      <c r="C1769" s="4" t="s">
        <v>23</v>
      </c>
      <c r="D1769" s="4" t="s">
        <v>24</v>
      </c>
      <c r="E1769" s="4" t="s">
        <v>24</v>
      </c>
      <c r="F1769" s="4" t="s">
        <v>25</v>
      </c>
      <c r="G1769" s="4" t="s">
        <v>25</v>
      </c>
      <c r="H1769" s="4" t="s">
        <v>25</v>
      </c>
      <c r="I1769" s="5">
        <v>43891</v>
      </c>
      <c r="J1769" s="6">
        <v>0</v>
      </c>
      <c r="K1769" s="6">
        <v>0</v>
      </c>
      <c r="L1769" s="6">
        <v>130.26400000000001</v>
      </c>
      <c r="M1769" s="6">
        <v>130.26400000000001</v>
      </c>
      <c r="N1769" s="6">
        <v>130.26400000000001</v>
      </c>
      <c r="O1769" s="6">
        <v>130.26400000000001</v>
      </c>
      <c r="P1769" s="6">
        <v>272</v>
      </c>
      <c r="Q1769" s="4" t="s">
        <v>26</v>
      </c>
      <c r="R1769" s="4">
        <v>0</v>
      </c>
      <c r="S1769" s="4" t="s">
        <v>484</v>
      </c>
      <c r="T1769" s="4" t="s">
        <v>791</v>
      </c>
      <c r="U1769" s="4">
        <v>0</v>
      </c>
      <c r="V1769" s="4">
        <v>45</v>
      </c>
      <c r="W1769" s="4">
        <v>88</v>
      </c>
    </row>
    <row r="1770" spans="1:23" ht="11.25" customHeight="1" x14ac:dyDescent="0.25">
      <c r="A1770" s="4" t="s">
        <v>28</v>
      </c>
      <c r="B1770" s="4" t="s">
        <v>22</v>
      </c>
      <c r="C1770" s="4" t="s">
        <v>23</v>
      </c>
      <c r="D1770" s="4" t="s">
        <v>24</v>
      </c>
      <c r="E1770" s="4" t="s">
        <v>24</v>
      </c>
      <c r="F1770" s="4" t="s">
        <v>25</v>
      </c>
      <c r="G1770" s="4" t="s">
        <v>25</v>
      </c>
      <c r="H1770" s="4" t="s">
        <v>25</v>
      </c>
      <c r="I1770" s="5">
        <v>43891</v>
      </c>
      <c r="J1770" s="6">
        <v>0</v>
      </c>
      <c r="K1770" s="6">
        <v>0</v>
      </c>
      <c r="L1770" s="6">
        <v>405.14100000000002</v>
      </c>
      <c r="M1770" s="6">
        <v>405.14100000000002</v>
      </c>
      <c r="N1770" s="6">
        <v>405.14100000000002</v>
      </c>
      <c r="O1770" s="6">
        <v>405.14100000000002</v>
      </c>
      <c r="P1770" s="6">
        <v>1286</v>
      </c>
      <c r="Q1770" s="4" t="s">
        <v>26</v>
      </c>
      <c r="R1770" s="4">
        <v>0</v>
      </c>
      <c r="S1770" s="4" t="s">
        <v>484</v>
      </c>
      <c r="T1770" s="4" t="s">
        <v>791</v>
      </c>
      <c r="U1770" s="4">
        <v>0</v>
      </c>
      <c r="V1770" s="4">
        <v>45</v>
      </c>
      <c r="W1770" s="4">
        <v>88</v>
      </c>
    </row>
    <row r="1771" spans="1:23" ht="11.25" customHeight="1" x14ac:dyDescent="0.25">
      <c r="A1771" s="4" t="s">
        <v>28</v>
      </c>
      <c r="B1771" s="4" t="s">
        <v>22</v>
      </c>
      <c r="C1771" s="4" t="s">
        <v>23</v>
      </c>
      <c r="D1771" s="4" t="s">
        <v>24</v>
      </c>
      <c r="E1771" s="4" t="s">
        <v>24</v>
      </c>
      <c r="F1771" s="4" t="s">
        <v>25</v>
      </c>
      <c r="G1771" s="4" t="s">
        <v>25</v>
      </c>
      <c r="H1771" s="4" t="s">
        <v>25</v>
      </c>
      <c r="I1771" s="5">
        <v>43891</v>
      </c>
      <c r="J1771" s="6">
        <v>0</v>
      </c>
      <c r="K1771" s="6">
        <v>0</v>
      </c>
      <c r="L1771" s="6">
        <v>0.80200000000000005</v>
      </c>
      <c r="M1771" s="6">
        <v>0.80200000000000005</v>
      </c>
      <c r="N1771" s="6">
        <v>0.80200000000000005</v>
      </c>
      <c r="O1771" s="6">
        <v>0.80200000000000005</v>
      </c>
      <c r="P1771" s="6">
        <v>1</v>
      </c>
      <c r="Q1771" s="4" t="s">
        <v>26</v>
      </c>
      <c r="R1771" s="4">
        <v>0</v>
      </c>
      <c r="S1771" s="4" t="s">
        <v>484</v>
      </c>
      <c r="T1771" s="4" t="s">
        <v>791</v>
      </c>
      <c r="U1771" s="4">
        <v>0</v>
      </c>
      <c r="V1771" s="4">
        <v>45</v>
      </c>
      <c r="W1771" s="4">
        <v>88</v>
      </c>
    </row>
    <row r="1772" spans="1:23" ht="11.25" customHeight="1" x14ac:dyDescent="0.25">
      <c r="A1772" s="4" t="s">
        <v>21</v>
      </c>
      <c r="B1772" s="4" t="s">
        <v>22</v>
      </c>
      <c r="C1772" s="4" t="s">
        <v>23</v>
      </c>
      <c r="D1772" s="4" t="s">
        <v>24</v>
      </c>
      <c r="E1772" s="4" t="s">
        <v>24</v>
      </c>
      <c r="F1772" s="4" t="s">
        <v>25</v>
      </c>
      <c r="G1772" s="4" t="s">
        <v>25</v>
      </c>
      <c r="H1772" s="4" t="s">
        <v>25</v>
      </c>
      <c r="I1772" s="5">
        <v>43922</v>
      </c>
      <c r="J1772" s="6">
        <v>0</v>
      </c>
      <c r="K1772" s="6">
        <v>0</v>
      </c>
      <c r="L1772" s="6">
        <v>203196.59099999999</v>
      </c>
      <c r="M1772" s="6">
        <v>203196.59099999999</v>
      </c>
      <c r="N1772" s="6">
        <v>203196.59099999999</v>
      </c>
      <c r="O1772" s="6">
        <v>203196.59099999999</v>
      </c>
      <c r="P1772" s="6">
        <v>938774</v>
      </c>
      <c r="Q1772" s="4" t="s">
        <v>26</v>
      </c>
      <c r="R1772" s="4">
        <v>0</v>
      </c>
      <c r="S1772" s="4" t="s">
        <v>485</v>
      </c>
      <c r="T1772" s="4" t="s">
        <v>792</v>
      </c>
      <c r="U1772" s="4">
        <v>0</v>
      </c>
      <c r="V1772" s="4">
        <v>45</v>
      </c>
      <c r="W1772" s="4">
        <v>88</v>
      </c>
    </row>
    <row r="1773" spans="1:23" ht="11.25" customHeight="1" x14ac:dyDescent="0.25">
      <c r="A1773" s="4" t="s">
        <v>27</v>
      </c>
      <c r="B1773" s="4" t="s">
        <v>22</v>
      </c>
      <c r="C1773" s="4" t="s">
        <v>23</v>
      </c>
      <c r="D1773" s="4" t="s">
        <v>24</v>
      </c>
      <c r="E1773" s="4" t="s">
        <v>24</v>
      </c>
      <c r="F1773" s="4" t="s">
        <v>25</v>
      </c>
      <c r="G1773" s="4" t="s">
        <v>25</v>
      </c>
      <c r="H1773" s="4" t="s">
        <v>25</v>
      </c>
      <c r="I1773" s="5">
        <v>43922</v>
      </c>
      <c r="J1773" s="6">
        <v>0</v>
      </c>
      <c r="K1773" s="6">
        <v>0</v>
      </c>
      <c r="L1773" s="6">
        <v>168.87899999999999</v>
      </c>
      <c r="M1773" s="6">
        <v>168.87899999999999</v>
      </c>
      <c r="N1773" s="6">
        <v>168.87899999999999</v>
      </c>
      <c r="O1773" s="6">
        <v>168.87899999999999</v>
      </c>
      <c r="P1773" s="6">
        <v>283</v>
      </c>
      <c r="Q1773" s="4" t="s">
        <v>26</v>
      </c>
      <c r="R1773" s="4">
        <v>0</v>
      </c>
      <c r="S1773" s="4" t="s">
        <v>485</v>
      </c>
      <c r="T1773" s="4" t="s">
        <v>792</v>
      </c>
      <c r="U1773" s="4">
        <v>0</v>
      </c>
      <c r="V1773" s="4">
        <v>45</v>
      </c>
      <c r="W1773" s="4">
        <v>88</v>
      </c>
    </row>
    <row r="1774" spans="1:23" ht="11.25" customHeight="1" x14ac:dyDescent="0.25">
      <c r="A1774" s="4" t="s">
        <v>28</v>
      </c>
      <c r="B1774" s="4" t="s">
        <v>22</v>
      </c>
      <c r="C1774" s="4" t="s">
        <v>23</v>
      </c>
      <c r="D1774" s="4" t="s">
        <v>24</v>
      </c>
      <c r="E1774" s="4" t="s">
        <v>24</v>
      </c>
      <c r="F1774" s="4" t="s">
        <v>25</v>
      </c>
      <c r="G1774" s="4" t="s">
        <v>25</v>
      </c>
      <c r="H1774" s="4" t="s">
        <v>25</v>
      </c>
      <c r="I1774" s="5">
        <v>43922</v>
      </c>
      <c r="J1774" s="6">
        <v>0</v>
      </c>
      <c r="K1774" s="6">
        <v>0</v>
      </c>
      <c r="L1774" s="6">
        <v>455.44600000000003</v>
      </c>
      <c r="M1774" s="6">
        <v>455.44600000000003</v>
      </c>
      <c r="N1774" s="6">
        <v>455.44600000000003</v>
      </c>
      <c r="O1774" s="6">
        <v>455.44600000000003</v>
      </c>
      <c r="P1774" s="6">
        <v>1279</v>
      </c>
      <c r="Q1774" s="4" t="s">
        <v>26</v>
      </c>
      <c r="R1774" s="4">
        <v>0</v>
      </c>
      <c r="S1774" s="4" t="s">
        <v>485</v>
      </c>
      <c r="T1774" s="4" t="s">
        <v>792</v>
      </c>
      <c r="U1774" s="4">
        <v>0</v>
      </c>
      <c r="V1774" s="4">
        <v>45</v>
      </c>
      <c r="W1774" s="4">
        <v>88</v>
      </c>
    </row>
    <row r="1775" spans="1:23" ht="11.25" customHeight="1" x14ac:dyDescent="0.25">
      <c r="A1775" s="4" t="s">
        <v>28</v>
      </c>
      <c r="B1775" s="4" t="s">
        <v>22</v>
      </c>
      <c r="C1775" s="4" t="s">
        <v>23</v>
      </c>
      <c r="D1775" s="4" t="s">
        <v>24</v>
      </c>
      <c r="E1775" s="4" t="s">
        <v>24</v>
      </c>
      <c r="F1775" s="4" t="s">
        <v>25</v>
      </c>
      <c r="G1775" s="4" t="s">
        <v>25</v>
      </c>
      <c r="H1775" s="4" t="s">
        <v>25</v>
      </c>
      <c r="I1775" s="5">
        <v>43922</v>
      </c>
      <c r="J1775" s="6">
        <v>0</v>
      </c>
      <c r="K1775" s="6">
        <v>0</v>
      </c>
      <c r="L1775" s="6">
        <v>1.0509999999999999</v>
      </c>
      <c r="M1775" s="6">
        <v>1.0509999999999999</v>
      </c>
      <c r="N1775" s="6">
        <v>1.0509999999999999</v>
      </c>
      <c r="O1775" s="6">
        <v>1.0509999999999999</v>
      </c>
      <c r="P1775" s="6">
        <v>2</v>
      </c>
      <c r="Q1775" s="4" t="s">
        <v>26</v>
      </c>
      <c r="R1775" s="4">
        <v>0</v>
      </c>
      <c r="S1775" s="4" t="s">
        <v>485</v>
      </c>
      <c r="T1775" s="4" t="s">
        <v>792</v>
      </c>
      <c r="U1775" s="4">
        <v>0</v>
      </c>
      <c r="V1775" s="4">
        <v>45</v>
      </c>
      <c r="W1775" s="4">
        <v>88</v>
      </c>
    </row>
    <row r="1776" spans="1:23" ht="11.25" customHeight="1" x14ac:dyDescent="0.25">
      <c r="A1776" s="4" t="s">
        <v>21</v>
      </c>
      <c r="B1776" s="4" t="s">
        <v>22</v>
      </c>
      <c r="C1776" s="4" t="s">
        <v>23</v>
      </c>
      <c r="D1776" s="4" t="s">
        <v>24</v>
      </c>
      <c r="E1776" s="4" t="s">
        <v>24</v>
      </c>
      <c r="F1776" s="4" t="s">
        <v>25</v>
      </c>
      <c r="G1776" s="4" t="s">
        <v>25</v>
      </c>
      <c r="H1776" s="4" t="s">
        <v>25</v>
      </c>
      <c r="I1776" s="5">
        <v>43952</v>
      </c>
      <c r="J1776" s="6">
        <v>0</v>
      </c>
      <c r="K1776" s="6">
        <v>0</v>
      </c>
      <c r="L1776" s="6">
        <v>199167.98300000001</v>
      </c>
      <c r="M1776" s="6">
        <v>199167.98300000001</v>
      </c>
      <c r="N1776" s="6">
        <v>199167.98300000001</v>
      </c>
      <c r="O1776" s="6">
        <v>199167.98300000001</v>
      </c>
      <c r="P1776" s="6">
        <v>936578</v>
      </c>
      <c r="Q1776" s="4" t="s">
        <v>26</v>
      </c>
      <c r="R1776" s="4">
        <v>0</v>
      </c>
      <c r="S1776" s="4" t="s">
        <v>486</v>
      </c>
      <c r="T1776" s="4" t="s">
        <v>793</v>
      </c>
      <c r="U1776" s="4">
        <v>0</v>
      </c>
      <c r="V1776" s="4">
        <v>45</v>
      </c>
      <c r="W1776" s="4">
        <v>88</v>
      </c>
    </row>
    <row r="1777" spans="1:23" ht="11.25" customHeight="1" x14ac:dyDescent="0.25">
      <c r="A1777" s="4" t="s">
        <v>27</v>
      </c>
      <c r="B1777" s="4" t="s">
        <v>22</v>
      </c>
      <c r="C1777" s="4" t="s">
        <v>23</v>
      </c>
      <c r="D1777" s="4" t="s">
        <v>24</v>
      </c>
      <c r="E1777" s="4" t="s">
        <v>24</v>
      </c>
      <c r="F1777" s="4" t="s">
        <v>25</v>
      </c>
      <c r="G1777" s="4" t="s">
        <v>25</v>
      </c>
      <c r="H1777" s="4" t="s">
        <v>25</v>
      </c>
      <c r="I1777" s="5">
        <v>43952</v>
      </c>
      <c r="J1777" s="6">
        <v>0</v>
      </c>
      <c r="K1777" s="6">
        <v>0</v>
      </c>
      <c r="L1777" s="6">
        <v>120.601</v>
      </c>
      <c r="M1777" s="6">
        <v>120.601</v>
      </c>
      <c r="N1777" s="6">
        <v>120.601</v>
      </c>
      <c r="O1777" s="6">
        <v>120.601</v>
      </c>
      <c r="P1777" s="6">
        <v>185</v>
      </c>
      <c r="Q1777" s="4" t="s">
        <v>26</v>
      </c>
      <c r="R1777" s="4">
        <v>0</v>
      </c>
      <c r="S1777" s="4" t="s">
        <v>486</v>
      </c>
      <c r="T1777" s="4" t="s">
        <v>793</v>
      </c>
      <c r="U1777" s="4">
        <v>0</v>
      </c>
      <c r="V1777" s="4">
        <v>45</v>
      </c>
      <c r="W1777" s="4">
        <v>88</v>
      </c>
    </row>
    <row r="1778" spans="1:23" ht="11.25" customHeight="1" x14ac:dyDescent="0.25">
      <c r="A1778" s="4" t="s">
        <v>28</v>
      </c>
      <c r="B1778" s="4" t="s">
        <v>22</v>
      </c>
      <c r="C1778" s="4" t="s">
        <v>23</v>
      </c>
      <c r="D1778" s="4" t="s">
        <v>24</v>
      </c>
      <c r="E1778" s="4" t="s">
        <v>24</v>
      </c>
      <c r="F1778" s="4" t="s">
        <v>25</v>
      </c>
      <c r="G1778" s="4" t="s">
        <v>25</v>
      </c>
      <c r="H1778" s="4" t="s">
        <v>25</v>
      </c>
      <c r="I1778" s="5">
        <v>43952</v>
      </c>
      <c r="J1778" s="6">
        <v>0</v>
      </c>
      <c r="K1778" s="6">
        <v>0</v>
      </c>
      <c r="L1778" s="6">
        <v>459.70800000000003</v>
      </c>
      <c r="M1778" s="6">
        <v>459.70800000000003</v>
      </c>
      <c r="N1778" s="6">
        <v>459.70800000000003</v>
      </c>
      <c r="O1778" s="6">
        <v>459.70800000000003</v>
      </c>
      <c r="P1778" s="6">
        <v>1281</v>
      </c>
      <c r="Q1778" s="4" t="s">
        <v>26</v>
      </c>
      <c r="R1778" s="4">
        <v>0</v>
      </c>
      <c r="S1778" s="4" t="s">
        <v>486</v>
      </c>
      <c r="T1778" s="4" t="s">
        <v>793</v>
      </c>
      <c r="U1778" s="4">
        <v>0</v>
      </c>
      <c r="V1778" s="4">
        <v>45</v>
      </c>
      <c r="W1778" s="4">
        <v>88</v>
      </c>
    </row>
    <row r="1779" spans="1:23" ht="11.25" customHeight="1" x14ac:dyDescent="0.25">
      <c r="A1779" s="4" t="s">
        <v>21</v>
      </c>
      <c r="B1779" s="4" t="s">
        <v>22</v>
      </c>
      <c r="C1779" s="4" t="s">
        <v>23</v>
      </c>
      <c r="D1779" s="4" t="s">
        <v>24</v>
      </c>
      <c r="E1779" s="4" t="s">
        <v>24</v>
      </c>
      <c r="F1779" s="4" t="s">
        <v>25</v>
      </c>
      <c r="G1779" s="4" t="s">
        <v>25</v>
      </c>
      <c r="H1779" s="4" t="s">
        <v>25</v>
      </c>
      <c r="I1779" s="5">
        <v>43983</v>
      </c>
      <c r="J1779" s="6">
        <v>0</v>
      </c>
      <c r="K1779" s="6">
        <v>0</v>
      </c>
      <c r="L1779" s="6">
        <v>181012.848</v>
      </c>
      <c r="M1779" s="6">
        <v>181012.848</v>
      </c>
      <c r="N1779" s="6">
        <v>181012.848</v>
      </c>
      <c r="O1779" s="6">
        <v>181012.848</v>
      </c>
      <c r="P1779" s="6">
        <v>935691</v>
      </c>
      <c r="Q1779" s="4" t="s">
        <v>26</v>
      </c>
      <c r="R1779" s="4">
        <v>0</v>
      </c>
      <c r="S1779" s="4" t="s">
        <v>487</v>
      </c>
      <c r="T1779" s="4" t="s">
        <v>794</v>
      </c>
      <c r="U1779" s="4">
        <v>0</v>
      </c>
      <c r="V1779" s="4">
        <v>45</v>
      </c>
      <c r="W1779" s="4">
        <v>88</v>
      </c>
    </row>
    <row r="1780" spans="1:23" ht="11.25" customHeight="1" x14ac:dyDescent="0.25">
      <c r="A1780" s="4" t="s">
        <v>27</v>
      </c>
      <c r="B1780" s="4" t="s">
        <v>22</v>
      </c>
      <c r="C1780" s="4" t="s">
        <v>23</v>
      </c>
      <c r="D1780" s="4" t="s">
        <v>24</v>
      </c>
      <c r="E1780" s="4" t="s">
        <v>24</v>
      </c>
      <c r="F1780" s="4" t="s">
        <v>25</v>
      </c>
      <c r="G1780" s="4" t="s">
        <v>25</v>
      </c>
      <c r="H1780" s="4" t="s">
        <v>25</v>
      </c>
      <c r="I1780" s="5">
        <v>43983</v>
      </c>
      <c r="J1780" s="6">
        <v>0</v>
      </c>
      <c r="K1780" s="6">
        <v>0</v>
      </c>
      <c r="L1780" s="6">
        <v>107.893</v>
      </c>
      <c r="M1780" s="6">
        <v>107.893</v>
      </c>
      <c r="N1780" s="6">
        <v>107.893</v>
      </c>
      <c r="O1780" s="6">
        <v>107.893</v>
      </c>
      <c r="P1780" s="6">
        <v>203</v>
      </c>
      <c r="Q1780" s="4" t="s">
        <v>26</v>
      </c>
      <c r="R1780" s="4">
        <v>0</v>
      </c>
      <c r="S1780" s="4" t="s">
        <v>487</v>
      </c>
      <c r="T1780" s="4" t="s">
        <v>794</v>
      </c>
      <c r="U1780" s="4">
        <v>0</v>
      </c>
      <c r="V1780" s="4">
        <v>45</v>
      </c>
      <c r="W1780" s="4">
        <v>88</v>
      </c>
    </row>
    <row r="1781" spans="1:23" ht="11.25" customHeight="1" x14ac:dyDescent="0.25">
      <c r="A1781" s="4" t="s">
        <v>28</v>
      </c>
      <c r="B1781" s="4" t="s">
        <v>22</v>
      </c>
      <c r="C1781" s="4" t="s">
        <v>23</v>
      </c>
      <c r="D1781" s="4" t="s">
        <v>24</v>
      </c>
      <c r="E1781" s="4" t="s">
        <v>24</v>
      </c>
      <c r="F1781" s="4" t="s">
        <v>25</v>
      </c>
      <c r="G1781" s="4" t="s">
        <v>25</v>
      </c>
      <c r="H1781" s="4" t="s">
        <v>25</v>
      </c>
      <c r="I1781" s="5">
        <v>43983</v>
      </c>
      <c r="J1781" s="6">
        <v>0</v>
      </c>
      <c r="K1781" s="6">
        <v>0</v>
      </c>
      <c r="L1781" s="6">
        <v>441.90899999999999</v>
      </c>
      <c r="M1781" s="6">
        <v>441.90899999999999</v>
      </c>
      <c r="N1781" s="6">
        <v>441.90899999999999</v>
      </c>
      <c r="O1781" s="6">
        <v>441.90899999999999</v>
      </c>
      <c r="P1781" s="6">
        <v>1292</v>
      </c>
      <c r="Q1781" s="4" t="s">
        <v>26</v>
      </c>
      <c r="R1781" s="4">
        <v>0</v>
      </c>
      <c r="S1781" s="4" t="s">
        <v>487</v>
      </c>
      <c r="T1781" s="4" t="s">
        <v>794</v>
      </c>
      <c r="U1781" s="4">
        <v>0</v>
      </c>
      <c r="V1781" s="4">
        <v>45</v>
      </c>
      <c r="W1781" s="4">
        <v>88</v>
      </c>
    </row>
    <row r="1782" spans="1:23" ht="11.25" customHeight="1" x14ac:dyDescent="0.25">
      <c r="A1782" s="4" t="s">
        <v>28</v>
      </c>
      <c r="B1782" s="4" t="s">
        <v>22</v>
      </c>
      <c r="C1782" s="4" t="s">
        <v>23</v>
      </c>
      <c r="D1782" s="4" t="s">
        <v>24</v>
      </c>
      <c r="E1782" s="4" t="s">
        <v>24</v>
      </c>
      <c r="F1782" s="4" t="s">
        <v>25</v>
      </c>
      <c r="G1782" s="4" t="s">
        <v>25</v>
      </c>
      <c r="H1782" s="4" t="s">
        <v>25</v>
      </c>
      <c r="I1782" s="5">
        <v>43983</v>
      </c>
      <c r="J1782" s="6">
        <v>0</v>
      </c>
      <c r="K1782" s="6">
        <v>0</v>
      </c>
      <c r="L1782" s="6">
        <v>3.0030000000000001</v>
      </c>
      <c r="M1782" s="6">
        <v>3.0030000000000001</v>
      </c>
      <c r="N1782" s="6">
        <v>3.0030000000000001</v>
      </c>
      <c r="O1782" s="6">
        <v>3.0030000000000001</v>
      </c>
      <c r="P1782" s="6">
        <v>2</v>
      </c>
      <c r="Q1782" s="4" t="s">
        <v>26</v>
      </c>
      <c r="R1782" s="4">
        <v>0</v>
      </c>
      <c r="S1782" s="4" t="s">
        <v>487</v>
      </c>
      <c r="T1782" s="4" t="s">
        <v>794</v>
      </c>
      <c r="U1782" s="4">
        <v>0</v>
      </c>
      <c r="V1782" s="4">
        <v>45</v>
      </c>
      <c r="W1782" s="4">
        <v>88</v>
      </c>
    </row>
    <row r="1783" spans="1:23" ht="11.25" customHeight="1" x14ac:dyDescent="0.25">
      <c r="A1783" s="4" t="s">
        <v>21</v>
      </c>
      <c r="B1783" s="4" t="s">
        <v>22</v>
      </c>
      <c r="C1783" s="4" t="s">
        <v>23</v>
      </c>
      <c r="D1783" s="4" t="s">
        <v>24</v>
      </c>
      <c r="E1783" s="4" t="s">
        <v>24</v>
      </c>
      <c r="F1783" s="4" t="s">
        <v>25</v>
      </c>
      <c r="G1783" s="4" t="s">
        <v>25</v>
      </c>
      <c r="H1783" s="4" t="s">
        <v>25</v>
      </c>
      <c r="I1783" s="5">
        <v>44013</v>
      </c>
      <c r="J1783" s="6">
        <v>0</v>
      </c>
      <c r="K1783" s="6">
        <v>0</v>
      </c>
      <c r="L1783" s="6">
        <v>184711.89499999999</v>
      </c>
      <c r="M1783" s="6">
        <v>184711.89499999999</v>
      </c>
      <c r="N1783" s="6">
        <v>184711.89499999999</v>
      </c>
      <c r="O1783" s="6">
        <v>184711.89499999999</v>
      </c>
      <c r="P1783" s="6">
        <v>935296</v>
      </c>
      <c r="Q1783" s="4" t="s">
        <v>26</v>
      </c>
      <c r="R1783" s="4">
        <v>0</v>
      </c>
      <c r="S1783" s="4" t="s">
        <v>488</v>
      </c>
      <c r="T1783" s="4" t="s">
        <v>795</v>
      </c>
      <c r="U1783" s="4">
        <v>0</v>
      </c>
      <c r="V1783" s="4">
        <v>45</v>
      </c>
      <c r="W1783" s="4">
        <v>88</v>
      </c>
    </row>
    <row r="1784" spans="1:23" ht="11.25" customHeight="1" x14ac:dyDescent="0.25">
      <c r="A1784" s="4" t="s">
        <v>27</v>
      </c>
      <c r="B1784" s="4" t="s">
        <v>22</v>
      </c>
      <c r="C1784" s="4" t="s">
        <v>23</v>
      </c>
      <c r="D1784" s="4" t="s">
        <v>24</v>
      </c>
      <c r="E1784" s="4" t="s">
        <v>24</v>
      </c>
      <c r="F1784" s="4" t="s">
        <v>25</v>
      </c>
      <c r="G1784" s="4" t="s">
        <v>25</v>
      </c>
      <c r="H1784" s="4" t="s">
        <v>25</v>
      </c>
      <c r="I1784" s="5">
        <v>44013</v>
      </c>
      <c r="J1784" s="6">
        <v>0</v>
      </c>
      <c r="K1784" s="6">
        <v>0</v>
      </c>
      <c r="L1784" s="6">
        <v>153.864</v>
      </c>
      <c r="M1784" s="6">
        <v>153.864</v>
      </c>
      <c r="N1784" s="6">
        <v>153.864</v>
      </c>
      <c r="O1784" s="6">
        <v>153.864</v>
      </c>
      <c r="P1784" s="6">
        <v>282</v>
      </c>
      <c r="Q1784" s="4" t="s">
        <v>26</v>
      </c>
      <c r="R1784" s="4">
        <v>0</v>
      </c>
      <c r="S1784" s="4" t="s">
        <v>488</v>
      </c>
      <c r="T1784" s="4" t="s">
        <v>795</v>
      </c>
      <c r="U1784" s="4">
        <v>0</v>
      </c>
      <c r="V1784" s="4">
        <v>45</v>
      </c>
      <c r="W1784" s="4">
        <v>88</v>
      </c>
    </row>
    <row r="1785" spans="1:23" ht="11.25" customHeight="1" x14ac:dyDescent="0.25">
      <c r="A1785" s="4" t="s">
        <v>28</v>
      </c>
      <c r="B1785" s="4" t="s">
        <v>22</v>
      </c>
      <c r="C1785" s="4" t="s">
        <v>23</v>
      </c>
      <c r="D1785" s="4" t="s">
        <v>24</v>
      </c>
      <c r="E1785" s="4" t="s">
        <v>24</v>
      </c>
      <c r="F1785" s="4" t="s">
        <v>25</v>
      </c>
      <c r="G1785" s="4" t="s">
        <v>25</v>
      </c>
      <c r="H1785" s="4" t="s">
        <v>25</v>
      </c>
      <c r="I1785" s="5">
        <v>44013</v>
      </c>
      <c r="J1785" s="6">
        <v>0</v>
      </c>
      <c r="K1785" s="6">
        <v>0</v>
      </c>
      <c r="L1785" s="6">
        <v>427.38900000000001</v>
      </c>
      <c r="M1785" s="6">
        <v>427.38900000000001</v>
      </c>
      <c r="N1785" s="6">
        <v>427.38900000000001</v>
      </c>
      <c r="O1785" s="6">
        <v>427.38900000000001</v>
      </c>
      <c r="P1785" s="6">
        <v>1282</v>
      </c>
      <c r="Q1785" s="4" t="s">
        <v>26</v>
      </c>
      <c r="R1785" s="4">
        <v>0</v>
      </c>
      <c r="S1785" s="4" t="s">
        <v>488</v>
      </c>
      <c r="T1785" s="4" t="s">
        <v>795</v>
      </c>
      <c r="U1785" s="4">
        <v>0</v>
      </c>
      <c r="V1785" s="4">
        <v>45</v>
      </c>
      <c r="W1785" s="4">
        <v>88</v>
      </c>
    </row>
    <row r="1786" spans="1:23" ht="11.25" customHeight="1" x14ac:dyDescent="0.25">
      <c r="A1786" s="4" t="s">
        <v>28</v>
      </c>
      <c r="B1786" s="4" t="s">
        <v>22</v>
      </c>
      <c r="C1786" s="4" t="s">
        <v>23</v>
      </c>
      <c r="D1786" s="4" t="s">
        <v>24</v>
      </c>
      <c r="E1786" s="4" t="s">
        <v>24</v>
      </c>
      <c r="F1786" s="4" t="s">
        <v>25</v>
      </c>
      <c r="G1786" s="4" t="s">
        <v>25</v>
      </c>
      <c r="H1786" s="4" t="s">
        <v>25</v>
      </c>
      <c r="I1786" s="5">
        <v>44013</v>
      </c>
      <c r="J1786" s="6">
        <v>0</v>
      </c>
      <c r="K1786" s="6">
        <v>0</v>
      </c>
      <c r="L1786" s="6">
        <v>2.625</v>
      </c>
      <c r="M1786" s="6">
        <v>2.625</v>
      </c>
      <c r="N1786" s="6">
        <v>2.625</v>
      </c>
      <c r="O1786" s="6">
        <v>2.625</v>
      </c>
      <c r="P1786" s="6">
        <v>2</v>
      </c>
      <c r="Q1786" s="4" t="s">
        <v>26</v>
      </c>
      <c r="R1786" s="4">
        <v>0</v>
      </c>
      <c r="S1786" s="4" t="s">
        <v>488</v>
      </c>
      <c r="T1786" s="4" t="s">
        <v>795</v>
      </c>
      <c r="U1786" s="4">
        <v>0</v>
      </c>
      <c r="V1786" s="4">
        <v>45</v>
      </c>
      <c r="W1786" s="4">
        <v>88</v>
      </c>
    </row>
    <row r="1787" spans="1:23" ht="11.25" customHeight="1" x14ac:dyDescent="0.25">
      <c r="A1787" s="4" t="s">
        <v>21</v>
      </c>
      <c r="B1787" s="4" t="s">
        <v>22</v>
      </c>
      <c r="C1787" s="4" t="s">
        <v>23</v>
      </c>
      <c r="D1787" s="4" t="s">
        <v>24</v>
      </c>
      <c r="E1787" s="4" t="s">
        <v>24</v>
      </c>
      <c r="F1787" s="4" t="s">
        <v>25</v>
      </c>
      <c r="G1787" s="4" t="s">
        <v>25</v>
      </c>
      <c r="H1787" s="4" t="s">
        <v>25</v>
      </c>
      <c r="I1787" s="5">
        <v>44044</v>
      </c>
      <c r="J1787" s="6">
        <v>0</v>
      </c>
      <c r="K1787" s="6">
        <v>0</v>
      </c>
      <c r="L1787" s="6">
        <v>200899.79800000001</v>
      </c>
      <c r="M1787" s="6">
        <v>200899.79800000001</v>
      </c>
      <c r="N1787" s="6">
        <v>200899.79800000001</v>
      </c>
      <c r="O1787" s="6">
        <v>200899.79800000001</v>
      </c>
      <c r="P1787" s="6">
        <v>936940</v>
      </c>
      <c r="Q1787" s="4" t="s">
        <v>26</v>
      </c>
      <c r="R1787" s="4">
        <v>0</v>
      </c>
      <c r="S1787" s="4" t="s">
        <v>489</v>
      </c>
      <c r="T1787" s="4" t="s">
        <v>796</v>
      </c>
      <c r="U1787" s="4">
        <v>0</v>
      </c>
      <c r="V1787" s="4">
        <v>45</v>
      </c>
      <c r="W1787" s="4">
        <v>88</v>
      </c>
    </row>
    <row r="1788" spans="1:23" ht="11.25" customHeight="1" x14ac:dyDescent="0.25">
      <c r="A1788" s="4" t="s">
        <v>27</v>
      </c>
      <c r="B1788" s="4" t="s">
        <v>22</v>
      </c>
      <c r="C1788" s="4" t="s">
        <v>23</v>
      </c>
      <c r="D1788" s="4" t="s">
        <v>24</v>
      </c>
      <c r="E1788" s="4" t="s">
        <v>24</v>
      </c>
      <c r="F1788" s="4" t="s">
        <v>25</v>
      </c>
      <c r="G1788" s="4" t="s">
        <v>25</v>
      </c>
      <c r="H1788" s="4" t="s">
        <v>25</v>
      </c>
      <c r="I1788" s="5">
        <v>44044</v>
      </c>
      <c r="J1788" s="6">
        <v>0</v>
      </c>
      <c r="K1788" s="6">
        <v>0</v>
      </c>
      <c r="L1788" s="6">
        <v>119.798</v>
      </c>
      <c r="M1788" s="6">
        <v>119.798</v>
      </c>
      <c r="N1788" s="6">
        <v>119.798</v>
      </c>
      <c r="O1788" s="6">
        <v>119.798</v>
      </c>
      <c r="P1788" s="6">
        <v>243</v>
      </c>
      <c r="Q1788" s="4" t="s">
        <v>26</v>
      </c>
      <c r="R1788" s="4">
        <v>0</v>
      </c>
      <c r="S1788" s="4" t="s">
        <v>489</v>
      </c>
      <c r="T1788" s="4" t="s">
        <v>796</v>
      </c>
      <c r="U1788" s="4">
        <v>0</v>
      </c>
      <c r="V1788" s="4">
        <v>45</v>
      </c>
      <c r="W1788" s="4">
        <v>88</v>
      </c>
    </row>
    <row r="1789" spans="1:23" ht="11.25" customHeight="1" x14ac:dyDescent="0.25">
      <c r="A1789" s="4" t="s">
        <v>28</v>
      </c>
      <c r="B1789" s="4" t="s">
        <v>22</v>
      </c>
      <c r="C1789" s="4" t="s">
        <v>23</v>
      </c>
      <c r="D1789" s="4" t="s">
        <v>24</v>
      </c>
      <c r="E1789" s="4" t="s">
        <v>24</v>
      </c>
      <c r="F1789" s="4" t="s">
        <v>25</v>
      </c>
      <c r="G1789" s="4" t="s">
        <v>25</v>
      </c>
      <c r="H1789" s="4" t="s">
        <v>25</v>
      </c>
      <c r="I1789" s="5">
        <v>44044</v>
      </c>
      <c r="J1789" s="6">
        <v>0</v>
      </c>
      <c r="K1789" s="6">
        <v>0</v>
      </c>
      <c r="L1789" s="6">
        <v>423.89</v>
      </c>
      <c r="M1789" s="6">
        <v>423.89</v>
      </c>
      <c r="N1789" s="6">
        <v>423.89</v>
      </c>
      <c r="O1789" s="6">
        <v>423.89</v>
      </c>
      <c r="P1789" s="6">
        <v>1277</v>
      </c>
      <c r="Q1789" s="4" t="s">
        <v>26</v>
      </c>
      <c r="R1789" s="4">
        <v>0</v>
      </c>
      <c r="S1789" s="4" t="s">
        <v>489</v>
      </c>
      <c r="T1789" s="4" t="s">
        <v>796</v>
      </c>
      <c r="U1789" s="4">
        <v>0</v>
      </c>
      <c r="V1789" s="4">
        <v>45</v>
      </c>
      <c r="W1789" s="4">
        <v>88</v>
      </c>
    </row>
    <row r="1790" spans="1:23" ht="11.25" customHeight="1" x14ac:dyDescent="0.25">
      <c r="A1790" s="4" t="s">
        <v>28</v>
      </c>
      <c r="B1790" s="4" t="s">
        <v>22</v>
      </c>
      <c r="C1790" s="4" t="s">
        <v>23</v>
      </c>
      <c r="D1790" s="4" t="s">
        <v>24</v>
      </c>
      <c r="E1790" s="4" t="s">
        <v>24</v>
      </c>
      <c r="F1790" s="4" t="s">
        <v>25</v>
      </c>
      <c r="G1790" s="4" t="s">
        <v>25</v>
      </c>
      <c r="H1790" s="4" t="s">
        <v>25</v>
      </c>
      <c r="I1790" s="5">
        <v>44044</v>
      </c>
      <c r="J1790" s="6">
        <v>0</v>
      </c>
      <c r="K1790" s="6">
        <v>0</v>
      </c>
      <c r="L1790" s="6">
        <v>0.377</v>
      </c>
      <c r="M1790" s="6">
        <v>0.377</v>
      </c>
      <c r="N1790" s="6">
        <v>0.377</v>
      </c>
      <c r="O1790" s="6">
        <v>0.377</v>
      </c>
      <c r="P1790" s="6">
        <v>2</v>
      </c>
      <c r="Q1790" s="4" t="s">
        <v>26</v>
      </c>
      <c r="R1790" s="4">
        <v>0</v>
      </c>
      <c r="S1790" s="4" t="s">
        <v>489</v>
      </c>
      <c r="T1790" s="4" t="s">
        <v>796</v>
      </c>
      <c r="U1790" s="4">
        <v>0</v>
      </c>
      <c r="V1790" s="4">
        <v>45</v>
      </c>
      <c r="W1790" s="4">
        <v>88</v>
      </c>
    </row>
    <row r="1791" spans="1:23" ht="11.25" customHeight="1" x14ac:dyDescent="0.25">
      <c r="A1791" s="4" t="s">
        <v>59</v>
      </c>
      <c r="B1791" s="4" t="s">
        <v>22</v>
      </c>
      <c r="C1791" s="4" t="s">
        <v>23</v>
      </c>
      <c r="D1791" s="4" t="s">
        <v>24</v>
      </c>
      <c r="E1791" s="4" t="s">
        <v>24</v>
      </c>
      <c r="F1791" s="4" t="s">
        <v>25</v>
      </c>
      <c r="G1791" s="4" t="s">
        <v>25</v>
      </c>
      <c r="H1791" s="4" t="s">
        <v>25</v>
      </c>
      <c r="I1791" s="5">
        <v>44075</v>
      </c>
      <c r="J1791" s="6">
        <v>0</v>
      </c>
      <c r="K1791" s="6">
        <v>0</v>
      </c>
      <c r="L1791" s="6">
        <v>200899.79800000001</v>
      </c>
      <c r="M1791" s="6">
        <v>200899.79800000001</v>
      </c>
      <c r="N1791" s="6">
        <v>200899.79800000001</v>
      </c>
      <c r="O1791" s="6">
        <v>200899.79800000001</v>
      </c>
      <c r="P1791" s="6">
        <v>936940</v>
      </c>
      <c r="Q1791" s="4" t="s">
        <v>26</v>
      </c>
      <c r="R1791" s="4">
        <v>0</v>
      </c>
      <c r="S1791" s="4" t="s">
        <v>490</v>
      </c>
      <c r="T1791" s="4" t="s">
        <v>797</v>
      </c>
      <c r="U1791" s="4">
        <v>0</v>
      </c>
      <c r="V1791" s="4">
        <v>45</v>
      </c>
      <c r="W1791" s="4">
        <v>88</v>
      </c>
    </row>
    <row r="1792" spans="1:23" ht="11.25" customHeight="1" x14ac:dyDescent="0.25">
      <c r="A1792" s="4" t="s">
        <v>59</v>
      </c>
      <c r="B1792" s="4" t="s">
        <v>22</v>
      </c>
      <c r="C1792" s="4" t="s">
        <v>23</v>
      </c>
      <c r="D1792" s="4" t="s">
        <v>24</v>
      </c>
      <c r="E1792" s="4" t="s">
        <v>24</v>
      </c>
      <c r="F1792" s="4" t="s">
        <v>25</v>
      </c>
      <c r="G1792" s="4" t="s">
        <v>25</v>
      </c>
      <c r="H1792" s="4" t="s">
        <v>25</v>
      </c>
      <c r="I1792" s="5">
        <v>44075</v>
      </c>
      <c r="J1792" s="6">
        <v>0</v>
      </c>
      <c r="K1792" s="6">
        <v>0</v>
      </c>
      <c r="L1792" s="6">
        <v>119.798</v>
      </c>
      <c r="M1792" s="6">
        <v>119.798</v>
      </c>
      <c r="N1792" s="6">
        <v>119.798</v>
      </c>
      <c r="O1792" s="6">
        <v>119.798</v>
      </c>
      <c r="P1792" s="6">
        <v>243</v>
      </c>
      <c r="Q1792" s="4" t="s">
        <v>26</v>
      </c>
      <c r="R1792" s="4">
        <v>0</v>
      </c>
      <c r="S1792" s="4" t="s">
        <v>490</v>
      </c>
      <c r="T1792" s="4" t="s">
        <v>797</v>
      </c>
      <c r="U1792" s="4">
        <v>0</v>
      </c>
      <c r="V1792" s="4">
        <v>45</v>
      </c>
      <c r="W1792" s="4">
        <v>88</v>
      </c>
    </row>
    <row r="1793" spans="1:23" ht="11.25" customHeight="1" x14ac:dyDescent="0.25">
      <c r="A1793" s="4" t="s">
        <v>59</v>
      </c>
      <c r="B1793" s="4" t="s">
        <v>22</v>
      </c>
      <c r="C1793" s="4" t="s">
        <v>23</v>
      </c>
      <c r="D1793" s="4" t="s">
        <v>24</v>
      </c>
      <c r="E1793" s="4" t="s">
        <v>24</v>
      </c>
      <c r="F1793" s="4" t="s">
        <v>25</v>
      </c>
      <c r="G1793" s="4" t="s">
        <v>25</v>
      </c>
      <c r="H1793" s="4" t="s">
        <v>25</v>
      </c>
      <c r="I1793" s="5">
        <v>44075</v>
      </c>
      <c r="J1793" s="6">
        <v>0</v>
      </c>
      <c r="K1793" s="6">
        <v>0</v>
      </c>
      <c r="L1793" s="6">
        <v>423.89</v>
      </c>
      <c r="M1793" s="6">
        <v>423.89</v>
      </c>
      <c r="N1793" s="6">
        <v>423.89</v>
      </c>
      <c r="O1793" s="6">
        <v>423.89</v>
      </c>
      <c r="P1793" s="6">
        <v>1277</v>
      </c>
      <c r="Q1793" s="4" t="s">
        <v>26</v>
      </c>
      <c r="R1793" s="4">
        <v>0</v>
      </c>
      <c r="S1793" s="4" t="s">
        <v>490</v>
      </c>
      <c r="T1793" s="4" t="s">
        <v>797</v>
      </c>
      <c r="U1793" s="4">
        <v>0</v>
      </c>
      <c r="V1793" s="4">
        <v>45</v>
      </c>
      <c r="W1793" s="4">
        <v>88</v>
      </c>
    </row>
    <row r="1794" spans="1:23" ht="11.25" customHeight="1" x14ac:dyDescent="0.25">
      <c r="A1794" s="4" t="s">
        <v>59</v>
      </c>
      <c r="B1794" s="4" t="s">
        <v>22</v>
      </c>
      <c r="C1794" s="4" t="s">
        <v>23</v>
      </c>
      <c r="D1794" s="4" t="s">
        <v>24</v>
      </c>
      <c r="E1794" s="4" t="s">
        <v>24</v>
      </c>
      <c r="F1794" s="4" t="s">
        <v>25</v>
      </c>
      <c r="G1794" s="4" t="s">
        <v>25</v>
      </c>
      <c r="H1794" s="4" t="s">
        <v>25</v>
      </c>
      <c r="I1794" s="5">
        <v>44075</v>
      </c>
      <c r="J1794" s="6">
        <v>0</v>
      </c>
      <c r="K1794" s="6">
        <v>0</v>
      </c>
      <c r="L1794" s="6">
        <v>0.377</v>
      </c>
      <c r="M1794" s="6">
        <v>0.377</v>
      </c>
      <c r="N1794" s="6">
        <v>0.377</v>
      </c>
      <c r="O1794" s="6">
        <v>0.377</v>
      </c>
      <c r="P1794" s="6">
        <v>2</v>
      </c>
      <c r="Q1794" s="4" t="s">
        <v>26</v>
      </c>
      <c r="R1794" s="4">
        <v>0</v>
      </c>
      <c r="S1794" s="4" t="s">
        <v>490</v>
      </c>
      <c r="T1794" s="4" t="s">
        <v>797</v>
      </c>
      <c r="U1794" s="4">
        <v>0</v>
      </c>
      <c r="V1794" s="4">
        <v>45</v>
      </c>
      <c r="W1794" s="4">
        <v>88</v>
      </c>
    </row>
    <row r="1795" spans="1:23" ht="11.25" customHeight="1" x14ac:dyDescent="0.25">
      <c r="A1795" s="4" t="s">
        <v>21</v>
      </c>
      <c r="B1795" s="4" t="s">
        <v>22</v>
      </c>
      <c r="C1795" s="4" t="s">
        <v>23</v>
      </c>
      <c r="D1795" s="4" t="s">
        <v>24</v>
      </c>
      <c r="E1795" s="4" t="s">
        <v>29</v>
      </c>
      <c r="F1795" s="4" t="s">
        <v>25</v>
      </c>
      <c r="G1795" s="4" t="s">
        <v>25</v>
      </c>
      <c r="H1795" s="4" t="s">
        <v>25</v>
      </c>
      <c r="I1795" s="5">
        <v>43739</v>
      </c>
      <c r="J1795" s="6">
        <v>0</v>
      </c>
      <c r="K1795" s="6">
        <v>0</v>
      </c>
      <c r="L1795" s="6">
        <v>259.98</v>
      </c>
      <c r="M1795" s="6">
        <v>259.98</v>
      </c>
      <c r="N1795" s="6">
        <v>259.98</v>
      </c>
      <c r="O1795" s="6">
        <v>259.98</v>
      </c>
      <c r="P1795" s="6">
        <v>461</v>
      </c>
      <c r="Q1795" s="4" t="s">
        <v>26</v>
      </c>
      <c r="R1795" s="4">
        <v>0</v>
      </c>
      <c r="S1795" s="4" t="s">
        <v>491</v>
      </c>
      <c r="T1795" s="4" t="s">
        <v>798</v>
      </c>
      <c r="U1795" s="4">
        <v>0</v>
      </c>
      <c r="V1795" s="4">
        <v>46</v>
      </c>
      <c r="W1795" s="4">
        <v>89</v>
      </c>
    </row>
    <row r="1796" spans="1:23" ht="11.25" customHeight="1" x14ac:dyDescent="0.25">
      <c r="A1796" s="4" t="s">
        <v>27</v>
      </c>
      <c r="B1796" s="4" t="s">
        <v>22</v>
      </c>
      <c r="C1796" s="4" t="s">
        <v>23</v>
      </c>
      <c r="D1796" s="4" t="s">
        <v>24</v>
      </c>
      <c r="E1796" s="4" t="s">
        <v>29</v>
      </c>
      <c r="F1796" s="4" t="s">
        <v>25</v>
      </c>
      <c r="G1796" s="4" t="s">
        <v>25</v>
      </c>
      <c r="H1796" s="4" t="s">
        <v>25</v>
      </c>
      <c r="I1796" s="5">
        <v>43739</v>
      </c>
      <c r="J1796" s="6">
        <v>0</v>
      </c>
      <c r="K1796" s="6">
        <v>0</v>
      </c>
      <c r="L1796" s="6">
        <v>0.09</v>
      </c>
      <c r="M1796" s="6">
        <v>0.09</v>
      </c>
      <c r="N1796" s="6">
        <v>0.09</v>
      </c>
      <c r="O1796" s="6">
        <v>0.09</v>
      </c>
      <c r="P1796" s="6">
        <v>0</v>
      </c>
      <c r="Q1796" s="4" t="s">
        <v>26</v>
      </c>
      <c r="R1796" s="4">
        <v>0</v>
      </c>
      <c r="S1796" s="4" t="s">
        <v>491</v>
      </c>
      <c r="T1796" s="4" t="s">
        <v>798</v>
      </c>
      <c r="U1796" s="4">
        <v>0</v>
      </c>
      <c r="V1796" s="4">
        <v>46</v>
      </c>
      <c r="W1796" s="4">
        <v>89</v>
      </c>
    </row>
    <row r="1797" spans="1:23" ht="11.25" customHeight="1" x14ac:dyDescent="0.25">
      <c r="A1797" s="4" t="s">
        <v>21</v>
      </c>
      <c r="B1797" s="4" t="s">
        <v>22</v>
      </c>
      <c r="C1797" s="4" t="s">
        <v>23</v>
      </c>
      <c r="D1797" s="4" t="s">
        <v>24</v>
      </c>
      <c r="E1797" s="4" t="s">
        <v>29</v>
      </c>
      <c r="F1797" s="4" t="s">
        <v>25</v>
      </c>
      <c r="G1797" s="4" t="s">
        <v>25</v>
      </c>
      <c r="H1797" s="4" t="s">
        <v>25</v>
      </c>
      <c r="I1797" s="5">
        <v>43770</v>
      </c>
      <c r="J1797" s="6">
        <v>0</v>
      </c>
      <c r="K1797" s="6">
        <v>0</v>
      </c>
      <c r="L1797" s="6">
        <v>266.10000000000002</v>
      </c>
      <c r="M1797" s="6">
        <v>266.10000000000002</v>
      </c>
      <c r="N1797" s="6">
        <v>266.10000000000002</v>
      </c>
      <c r="O1797" s="6">
        <v>266.10000000000002</v>
      </c>
      <c r="P1797" s="6">
        <v>410</v>
      </c>
      <c r="Q1797" s="4" t="s">
        <v>26</v>
      </c>
      <c r="R1797" s="4">
        <v>0</v>
      </c>
      <c r="S1797" s="4" t="s">
        <v>492</v>
      </c>
      <c r="T1797" s="4" t="s">
        <v>799</v>
      </c>
      <c r="U1797" s="4">
        <v>0</v>
      </c>
      <c r="V1797" s="4">
        <v>46</v>
      </c>
      <c r="W1797" s="4">
        <v>89</v>
      </c>
    </row>
    <row r="1798" spans="1:23" ht="11.25" customHeight="1" x14ac:dyDescent="0.25">
      <c r="A1798" s="4" t="s">
        <v>27</v>
      </c>
      <c r="B1798" s="4" t="s">
        <v>22</v>
      </c>
      <c r="C1798" s="4" t="s">
        <v>23</v>
      </c>
      <c r="D1798" s="4" t="s">
        <v>24</v>
      </c>
      <c r="E1798" s="4" t="s">
        <v>29</v>
      </c>
      <c r="F1798" s="4" t="s">
        <v>25</v>
      </c>
      <c r="G1798" s="4" t="s">
        <v>25</v>
      </c>
      <c r="H1798" s="4" t="s">
        <v>25</v>
      </c>
      <c r="I1798" s="5">
        <v>43770</v>
      </c>
      <c r="J1798" s="6">
        <v>0</v>
      </c>
      <c r="K1798" s="6">
        <v>0</v>
      </c>
      <c r="L1798" s="6">
        <v>0.15</v>
      </c>
      <c r="M1798" s="6">
        <v>0.15</v>
      </c>
      <c r="N1798" s="6">
        <v>0.15</v>
      </c>
      <c r="O1798" s="6">
        <v>0.15</v>
      </c>
      <c r="P1798" s="6">
        <v>0</v>
      </c>
      <c r="Q1798" s="4" t="s">
        <v>26</v>
      </c>
      <c r="R1798" s="4">
        <v>0</v>
      </c>
      <c r="S1798" s="4" t="s">
        <v>492</v>
      </c>
      <c r="T1798" s="4" t="s">
        <v>799</v>
      </c>
      <c r="U1798" s="4">
        <v>0</v>
      </c>
      <c r="V1798" s="4">
        <v>46</v>
      </c>
      <c r="W1798" s="4">
        <v>89</v>
      </c>
    </row>
    <row r="1799" spans="1:23" ht="11.25" customHeight="1" x14ac:dyDescent="0.25">
      <c r="A1799" s="4" t="s">
        <v>21</v>
      </c>
      <c r="B1799" s="4" t="s">
        <v>22</v>
      </c>
      <c r="C1799" s="4" t="s">
        <v>23</v>
      </c>
      <c r="D1799" s="4" t="s">
        <v>24</v>
      </c>
      <c r="E1799" s="4" t="s">
        <v>29</v>
      </c>
      <c r="F1799" s="4" t="s">
        <v>25</v>
      </c>
      <c r="G1799" s="4" t="s">
        <v>25</v>
      </c>
      <c r="H1799" s="4" t="s">
        <v>25</v>
      </c>
      <c r="I1799" s="5">
        <v>43800</v>
      </c>
      <c r="J1799" s="6">
        <v>0</v>
      </c>
      <c r="K1799" s="6">
        <v>0</v>
      </c>
      <c r="L1799" s="6">
        <v>272.55</v>
      </c>
      <c r="M1799" s="6">
        <v>272.55</v>
      </c>
      <c r="N1799" s="6">
        <v>272.55</v>
      </c>
      <c r="O1799" s="6">
        <v>272.55</v>
      </c>
      <c r="P1799" s="6">
        <v>488</v>
      </c>
      <c r="Q1799" s="4" t="s">
        <v>26</v>
      </c>
      <c r="R1799" s="4">
        <v>0</v>
      </c>
      <c r="S1799" s="4" t="s">
        <v>493</v>
      </c>
      <c r="T1799" s="4" t="s">
        <v>800</v>
      </c>
      <c r="U1799" s="4">
        <v>0</v>
      </c>
      <c r="V1799" s="4">
        <v>46</v>
      </c>
      <c r="W1799" s="4">
        <v>89</v>
      </c>
    </row>
    <row r="1800" spans="1:23" ht="11.25" customHeight="1" x14ac:dyDescent="0.25">
      <c r="A1800" s="4" t="s">
        <v>27</v>
      </c>
      <c r="B1800" s="4" t="s">
        <v>22</v>
      </c>
      <c r="C1800" s="4" t="s">
        <v>23</v>
      </c>
      <c r="D1800" s="4" t="s">
        <v>24</v>
      </c>
      <c r="E1800" s="4" t="s">
        <v>29</v>
      </c>
      <c r="F1800" s="4" t="s">
        <v>25</v>
      </c>
      <c r="G1800" s="4" t="s">
        <v>25</v>
      </c>
      <c r="H1800" s="4" t="s">
        <v>25</v>
      </c>
      <c r="I1800" s="5">
        <v>43800</v>
      </c>
      <c r="J1800" s="6">
        <v>0</v>
      </c>
      <c r="K1800" s="6">
        <v>0</v>
      </c>
      <c r="L1800" s="6">
        <v>0.12</v>
      </c>
      <c r="M1800" s="6">
        <v>0.12</v>
      </c>
      <c r="N1800" s="6">
        <v>0.12</v>
      </c>
      <c r="O1800" s="6">
        <v>0.12</v>
      </c>
      <c r="P1800" s="6">
        <v>2</v>
      </c>
      <c r="Q1800" s="4" t="s">
        <v>26</v>
      </c>
      <c r="R1800" s="4">
        <v>0</v>
      </c>
      <c r="S1800" s="4" t="s">
        <v>493</v>
      </c>
      <c r="T1800" s="4" t="s">
        <v>800</v>
      </c>
      <c r="U1800" s="4">
        <v>0</v>
      </c>
      <c r="V1800" s="4">
        <v>46</v>
      </c>
      <c r="W1800" s="4">
        <v>89</v>
      </c>
    </row>
    <row r="1801" spans="1:23" ht="11.25" customHeight="1" x14ac:dyDescent="0.25">
      <c r="A1801" s="4" t="s">
        <v>21</v>
      </c>
      <c r="B1801" s="4" t="s">
        <v>22</v>
      </c>
      <c r="C1801" s="4" t="s">
        <v>23</v>
      </c>
      <c r="D1801" s="4" t="s">
        <v>24</v>
      </c>
      <c r="E1801" s="4" t="s">
        <v>29</v>
      </c>
      <c r="F1801" s="4" t="s">
        <v>25</v>
      </c>
      <c r="G1801" s="4" t="s">
        <v>25</v>
      </c>
      <c r="H1801" s="4" t="s">
        <v>25</v>
      </c>
      <c r="I1801" s="5">
        <v>43831</v>
      </c>
      <c r="J1801" s="6">
        <v>0</v>
      </c>
      <c r="K1801" s="6">
        <v>0</v>
      </c>
      <c r="L1801" s="6">
        <v>275.61</v>
      </c>
      <c r="M1801" s="6">
        <v>275.61</v>
      </c>
      <c r="N1801" s="6">
        <v>275.61</v>
      </c>
      <c r="O1801" s="6">
        <v>275.61</v>
      </c>
      <c r="P1801" s="6">
        <v>515</v>
      </c>
      <c r="Q1801" s="4" t="s">
        <v>26</v>
      </c>
      <c r="R1801" s="4">
        <v>0</v>
      </c>
      <c r="S1801" s="4" t="s">
        <v>494</v>
      </c>
      <c r="T1801" s="4" t="s">
        <v>801</v>
      </c>
      <c r="U1801" s="4">
        <v>0</v>
      </c>
      <c r="V1801" s="4">
        <v>46</v>
      </c>
      <c r="W1801" s="4">
        <v>89</v>
      </c>
    </row>
    <row r="1802" spans="1:23" ht="11.25" customHeight="1" x14ac:dyDescent="0.25">
      <c r="A1802" s="4" t="s">
        <v>27</v>
      </c>
      <c r="B1802" s="4" t="s">
        <v>22</v>
      </c>
      <c r="C1802" s="4" t="s">
        <v>23</v>
      </c>
      <c r="D1802" s="4" t="s">
        <v>24</v>
      </c>
      <c r="E1802" s="4" t="s">
        <v>29</v>
      </c>
      <c r="F1802" s="4" t="s">
        <v>25</v>
      </c>
      <c r="G1802" s="4" t="s">
        <v>25</v>
      </c>
      <c r="H1802" s="4" t="s">
        <v>25</v>
      </c>
      <c r="I1802" s="5">
        <v>43831</v>
      </c>
      <c r="J1802" s="6">
        <v>0</v>
      </c>
      <c r="K1802" s="6">
        <v>0</v>
      </c>
      <c r="L1802" s="6">
        <v>0.21</v>
      </c>
      <c r="M1802" s="6">
        <v>0.21</v>
      </c>
      <c r="N1802" s="6">
        <v>0.21</v>
      </c>
      <c r="O1802" s="6">
        <v>0.21</v>
      </c>
      <c r="P1802" s="6">
        <v>1</v>
      </c>
      <c r="Q1802" s="4" t="s">
        <v>26</v>
      </c>
      <c r="R1802" s="4">
        <v>0</v>
      </c>
      <c r="S1802" s="4" t="s">
        <v>494</v>
      </c>
      <c r="T1802" s="4" t="s">
        <v>801</v>
      </c>
      <c r="U1802" s="4">
        <v>0</v>
      </c>
      <c r="V1802" s="4">
        <v>46</v>
      </c>
      <c r="W1802" s="4">
        <v>89</v>
      </c>
    </row>
    <row r="1803" spans="1:23" ht="11.25" customHeight="1" x14ac:dyDescent="0.25">
      <c r="A1803" s="4" t="s">
        <v>21</v>
      </c>
      <c r="B1803" s="4" t="s">
        <v>22</v>
      </c>
      <c r="C1803" s="4" t="s">
        <v>23</v>
      </c>
      <c r="D1803" s="4" t="s">
        <v>24</v>
      </c>
      <c r="E1803" s="4" t="s">
        <v>29</v>
      </c>
      <c r="F1803" s="4" t="s">
        <v>25</v>
      </c>
      <c r="G1803" s="4" t="s">
        <v>25</v>
      </c>
      <c r="H1803" s="4" t="s">
        <v>25</v>
      </c>
      <c r="I1803" s="5">
        <v>43862</v>
      </c>
      <c r="J1803" s="6">
        <v>0</v>
      </c>
      <c r="K1803" s="6">
        <v>0</v>
      </c>
      <c r="L1803" s="6">
        <v>276.45</v>
      </c>
      <c r="M1803" s="6">
        <v>276.45</v>
      </c>
      <c r="N1803" s="6">
        <v>276.45</v>
      </c>
      <c r="O1803" s="6">
        <v>276.45</v>
      </c>
      <c r="P1803" s="6">
        <v>502</v>
      </c>
      <c r="Q1803" s="4" t="s">
        <v>26</v>
      </c>
      <c r="R1803" s="4">
        <v>0</v>
      </c>
      <c r="S1803" s="4" t="s">
        <v>495</v>
      </c>
      <c r="T1803" s="4" t="s">
        <v>802</v>
      </c>
      <c r="U1803" s="4">
        <v>0</v>
      </c>
      <c r="V1803" s="4">
        <v>46</v>
      </c>
      <c r="W1803" s="4">
        <v>89</v>
      </c>
    </row>
    <row r="1804" spans="1:23" ht="11.25" customHeight="1" x14ac:dyDescent="0.25">
      <c r="A1804" s="4" t="s">
        <v>21</v>
      </c>
      <c r="B1804" s="4" t="s">
        <v>22</v>
      </c>
      <c r="C1804" s="4" t="s">
        <v>23</v>
      </c>
      <c r="D1804" s="4" t="s">
        <v>24</v>
      </c>
      <c r="E1804" s="4" t="s">
        <v>29</v>
      </c>
      <c r="F1804" s="4" t="s">
        <v>25</v>
      </c>
      <c r="G1804" s="4" t="s">
        <v>25</v>
      </c>
      <c r="H1804" s="4" t="s">
        <v>25</v>
      </c>
      <c r="I1804" s="5">
        <v>43891</v>
      </c>
      <c r="J1804" s="6">
        <v>0</v>
      </c>
      <c r="K1804" s="6">
        <v>0</v>
      </c>
      <c r="L1804" s="6">
        <v>256.35000000000002</v>
      </c>
      <c r="M1804" s="6">
        <v>256.35000000000002</v>
      </c>
      <c r="N1804" s="6">
        <v>256.35000000000002</v>
      </c>
      <c r="O1804" s="6">
        <v>256.35000000000002</v>
      </c>
      <c r="P1804" s="6">
        <v>411</v>
      </c>
      <c r="Q1804" s="4" t="s">
        <v>26</v>
      </c>
      <c r="R1804" s="4">
        <v>0</v>
      </c>
      <c r="S1804" s="4" t="s">
        <v>496</v>
      </c>
      <c r="T1804" s="4" t="s">
        <v>803</v>
      </c>
      <c r="U1804" s="4">
        <v>0</v>
      </c>
      <c r="V1804" s="4">
        <v>46</v>
      </c>
      <c r="W1804" s="4">
        <v>89</v>
      </c>
    </row>
    <row r="1805" spans="1:23" ht="11.25" customHeight="1" x14ac:dyDescent="0.25">
      <c r="A1805" s="4" t="s">
        <v>27</v>
      </c>
      <c r="B1805" s="4" t="s">
        <v>22</v>
      </c>
      <c r="C1805" s="4" t="s">
        <v>23</v>
      </c>
      <c r="D1805" s="4" t="s">
        <v>24</v>
      </c>
      <c r="E1805" s="4" t="s">
        <v>29</v>
      </c>
      <c r="F1805" s="4" t="s">
        <v>25</v>
      </c>
      <c r="G1805" s="4" t="s">
        <v>25</v>
      </c>
      <c r="H1805" s="4" t="s">
        <v>25</v>
      </c>
      <c r="I1805" s="5">
        <v>43891</v>
      </c>
      <c r="J1805" s="6">
        <v>0</v>
      </c>
      <c r="K1805" s="6">
        <v>0</v>
      </c>
      <c r="L1805" s="6">
        <v>0.24</v>
      </c>
      <c r="M1805" s="6">
        <v>0.24</v>
      </c>
      <c r="N1805" s="6">
        <v>0.24</v>
      </c>
      <c r="O1805" s="6">
        <v>0.24</v>
      </c>
      <c r="P1805" s="6">
        <v>0</v>
      </c>
      <c r="Q1805" s="4" t="s">
        <v>26</v>
      </c>
      <c r="R1805" s="4">
        <v>0</v>
      </c>
      <c r="S1805" s="4" t="s">
        <v>496</v>
      </c>
      <c r="T1805" s="4" t="s">
        <v>803</v>
      </c>
      <c r="U1805" s="4">
        <v>0</v>
      </c>
      <c r="V1805" s="4">
        <v>46</v>
      </c>
      <c r="W1805" s="4">
        <v>89</v>
      </c>
    </row>
    <row r="1806" spans="1:23" ht="11.25" customHeight="1" x14ac:dyDescent="0.25">
      <c r="A1806" s="4" t="s">
        <v>21</v>
      </c>
      <c r="B1806" s="4" t="s">
        <v>22</v>
      </c>
      <c r="C1806" s="4" t="s">
        <v>23</v>
      </c>
      <c r="D1806" s="4" t="s">
        <v>24</v>
      </c>
      <c r="E1806" s="4" t="s">
        <v>29</v>
      </c>
      <c r="F1806" s="4" t="s">
        <v>25</v>
      </c>
      <c r="G1806" s="4" t="s">
        <v>25</v>
      </c>
      <c r="H1806" s="4" t="s">
        <v>25</v>
      </c>
      <c r="I1806" s="5">
        <v>43922</v>
      </c>
      <c r="J1806" s="6">
        <v>0</v>
      </c>
      <c r="K1806" s="6">
        <v>0</v>
      </c>
      <c r="L1806" s="6">
        <v>251.94</v>
      </c>
      <c r="M1806" s="6">
        <v>251.94</v>
      </c>
      <c r="N1806" s="6">
        <v>251.94</v>
      </c>
      <c r="O1806" s="6">
        <v>251.94</v>
      </c>
      <c r="P1806" s="6">
        <v>324</v>
      </c>
      <c r="Q1806" s="4" t="s">
        <v>26</v>
      </c>
      <c r="R1806" s="4">
        <v>0</v>
      </c>
      <c r="S1806" s="4" t="s">
        <v>497</v>
      </c>
      <c r="T1806" s="4" t="s">
        <v>804</v>
      </c>
      <c r="U1806" s="4">
        <v>0</v>
      </c>
      <c r="V1806" s="4">
        <v>46</v>
      </c>
      <c r="W1806" s="4">
        <v>89</v>
      </c>
    </row>
    <row r="1807" spans="1:23" ht="11.25" customHeight="1" x14ac:dyDescent="0.25">
      <c r="A1807" s="4" t="s">
        <v>27</v>
      </c>
      <c r="B1807" s="4" t="s">
        <v>22</v>
      </c>
      <c r="C1807" s="4" t="s">
        <v>23</v>
      </c>
      <c r="D1807" s="4" t="s">
        <v>24</v>
      </c>
      <c r="E1807" s="4" t="s">
        <v>29</v>
      </c>
      <c r="F1807" s="4" t="s">
        <v>25</v>
      </c>
      <c r="G1807" s="4" t="s">
        <v>25</v>
      </c>
      <c r="H1807" s="4" t="s">
        <v>25</v>
      </c>
      <c r="I1807" s="5">
        <v>43922</v>
      </c>
      <c r="J1807" s="6">
        <v>0</v>
      </c>
      <c r="K1807" s="6">
        <v>0</v>
      </c>
      <c r="L1807" s="6">
        <v>0.96</v>
      </c>
      <c r="M1807" s="6">
        <v>0.96</v>
      </c>
      <c r="N1807" s="6">
        <v>0.96</v>
      </c>
      <c r="O1807" s="6">
        <v>0.96</v>
      </c>
      <c r="P1807" s="6">
        <v>0</v>
      </c>
      <c r="Q1807" s="4" t="s">
        <v>26</v>
      </c>
      <c r="R1807" s="4">
        <v>0</v>
      </c>
      <c r="S1807" s="4" t="s">
        <v>497</v>
      </c>
      <c r="T1807" s="4" t="s">
        <v>804</v>
      </c>
      <c r="U1807" s="4">
        <v>0</v>
      </c>
      <c r="V1807" s="4">
        <v>46</v>
      </c>
      <c r="W1807" s="4">
        <v>89</v>
      </c>
    </row>
    <row r="1808" spans="1:23" ht="11.25" customHeight="1" x14ac:dyDescent="0.25">
      <c r="A1808" s="4" t="s">
        <v>21</v>
      </c>
      <c r="B1808" s="4" t="s">
        <v>22</v>
      </c>
      <c r="C1808" s="4" t="s">
        <v>23</v>
      </c>
      <c r="D1808" s="4" t="s">
        <v>24</v>
      </c>
      <c r="E1808" s="4" t="s">
        <v>29</v>
      </c>
      <c r="F1808" s="4" t="s">
        <v>25</v>
      </c>
      <c r="G1808" s="4" t="s">
        <v>25</v>
      </c>
      <c r="H1808" s="4" t="s">
        <v>25</v>
      </c>
      <c r="I1808" s="5">
        <v>43952</v>
      </c>
      <c r="J1808" s="6">
        <v>0</v>
      </c>
      <c r="K1808" s="6">
        <v>0</v>
      </c>
      <c r="L1808" s="6">
        <v>298.23</v>
      </c>
      <c r="M1808" s="6">
        <v>298.23</v>
      </c>
      <c r="N1808" s="6">
        <v>298.23</v>
      </c>
      <c r="O1808" s="6">
        <v>298.23</v>
      </c>
      <c r="P1808" s="6">
        <v>356</v>
      </c>
      <c r="Q1808" s="4" t="s">
        <v>26</v>
      </c>
      <c r="R1808" s="4">
        <v>0</v>
      </c>
      <c r="S1808" s="4" t="s">
        <v>498</v>
      </c>
      <c r="T1808" s="4" t="s">
        <v>805</v>
      </c>
      <c r="U1808" s="4">
        <v>0</v>
      </c>
      <c r="V1808" s="4">
        <v>46</v>
      </c>
      <c r="W1808" s="4">
        <v>89</v>
      </c>
    </row>
    <row r="1809" spans="1:23" ht="11.25" customHeight="1" x14ac:dyDescent="0.25">
      <c r="A1809" s="4" t="s">
        <v>27</v>
      </c>
      <c r="B1809" s="4" t="s">
        <v>22</v>
      </c>
      <c r="C1809" s="4" t="s">
        <v>23</v>
      </c>
      <c r="D1809" s="4" t="s">
        <v>24</v>
      </c>
      <c r="E1809" s="4" t="s">
        <v>29</v>
      </c>
      <c r="F1809" s="4" t="s">
        <v>25</v>
      </c>
      <c r="G1809" s="4" t="s">
        <v>25</v>
      </c>
      <c r="H1809" s="4" t="s">
        <v>25</v>
      </c>
      <c r="I1809" s="5">
        <v>43952</v>
      </c>
      <c r="J1809" s="6">
        <v>0</v>
      </c>
      <c r="K1809" s="6">
        <v>0</v>
      </c>
      <c r="L1809" s="6">
        <v>2.46</v>
      </c>
      <c r="M1809" s="6">
        <v>2.46</v>
      </c>
      <c r="N1809" s="6">
        <v>2.46</v>
      </c>
      <c r="O1809" s="6">
        <v>2.46</v>
      </c>
      <c r="P1809" s="6">
        <v>0</v>
      </c>
      <c r="Q1809" s="4" t="s">
        <v>26</v>
      </c>
      <c r="R1809" s="4">
        <v>0</v>
      </c>
      <c r="S1809" s="4" t="s">
        <v>498</v>
      </c>
      <c r="T1809" s="4" t="s">
        <v>805</v>
      </c>
      <c r="U1809" s="4">
        <v>0</v>
      </c>
      <c r="V1809" s="4">
        <v>46</v>
      </c>
      <c r="W1809" s="4">
        <v>89</v>
      </c>
    </row>
    <row r="1810" spans="1:23" ht="11.25" customHeight="1" x14ac:dyDescent="0.25">
      <c r="A1810" s="4" t="s">
        <v>21</v>
      </c>
      <c r="B1810" s="4" t="s">
        <v>22</v>
      </c>
      <c r="C1810" s="4" t="s">
        <v>23</v>
      </c>
      <c r="D1810" s="4" t="s">
        <v>24</v>
      </c>
      <c r="E1810" s="4" t="s">
        <v>29</v>
      </c>
      <c r="F1810" s="4" t="s">
        <v>25</v>
      </c>
      <c r="G1810" s="4" t="s">
        <v>25</v>
      </c>
      <c r="H1810" s="4" t="s">
        <v>25</v>
      </c>
      <c r="I1810" s="5">
        <v>43983</v>
      </c>
      <c r="J1810" s="6">
        <v>0</v>
      </c>
      <c r="K1810" s="6">
        <v>0</v>
      </c>
      <c r="L1810" s="6">
        <v>324.12</v>
      </c>
      <c r="M1810" s="6">
        <v>324.12</v>
      </c>
      <c r="N1810" s="6">
        <v>324.12</v>
      </c>
      <c r="O1810" s="6">
        <v>324.12</v>
      </c>
      <c r="P1810" s="6">
        <v>347</v>
      </c>
      <c r="Q1810" s="4" t="s">
        <v>26</v>
      </c>
      <c r="R1810" s="4">
        <v>0</v>
      </c>
      <c r="S1810" s="4" t="s">
        <v>499</v>
      </c>
      <c r="T1810" s="4" t="s">
        <v>806</v>
      </c>
      <c r="U1810" s="4">
        <v>0</v>
      </c>
      <c r="V1810" s="4">
        <v>46</v>
      </c>
      <c r="W1810" s="4">
        <v>89</v>
      </c>
    </row>
    <row r="1811" spans="1:23" ht="11.25" customHeight="1" x14ac:dyDescent="0.25">
      <c r="A1811" s="4" t="s">
        <v>27</v>
      </c>
      <c r="B1811" s="4" t="s">
        <v>22</v>
      </c>
      <c r="C1811" s="4" t="s">
        <v>23</v>
      </c>
      <c r="D1811" s="4" t="s">
        <v>24</v>
      </c>
      <c r="E1811" s="4" t="s">
        <v>29</v>
      </c>
      <c r="F1811" s="4" t="s">
        <v>25</v>
      </c>
      <c r="G1811" s="4" t="s">
        <v>25</v>
      </c>
      <c r="H1811" s="4" t="s">
        <v>25</v>
      </c>
      <c r="I1811" s="5">
        <v>43983</v>
      </c>
      <c r="J1811" s="6">
        <v>0</v>
      </c>
      <c r="K1811" s="6">
        <v>0</v>
      </c>
      <c r="L1811" s="6">
        <v>0.21</v>
      </c>
      <c r="M1811" s="6">
        <v>0.21</v>
      </c>
      <c r="N1811" s="6">
        <v>0.21</v>
      </c>
      <c r="O1811" s="6">
        <v>0.21</v>
      </c>
      <c r="P1811" s="6">
        <v>0</v>
      </c>
      <c r="Q1811" s="4" t="s">
        <v>26</v>
      </c>
      <c r="R1811" s="4">
        <v>0</v>
      </c>
      <c r="S1811" s="4" t="s">
        <v>499</v>
      </c>
      <c r="T1811" s="4" t="s">
        <v>806</v>
      </c>
      <c r="U1811" s="4">
        <v>0</v>
      </c>
      <c r="V1811" s="4">
        <v>46</v>
      </c>
      <c r="W1811" s="4">
        <v>89</v>
      </c>
    </row>
    <row r="1812" spans="1:23" ht="11.25" customHeight="1" x14ac:dyDescent="0.25">
      <c r="A1812" s="4" t="s">
        <v>21</v>
      </c>
      <c r="B1812" s="4" t="s">
        <v>22</v>
      </c>
      <c r="C1812" s="4" t="s">
        <v>23</v>
      </c>
      <c r="D1812" s="4" t="s">
        <v>24</v>
      </c>
      <c r="E1812" s="4" t="s">
        <v>29</v>
      </c>
      <c r="F1812" s="4" t="s">
        <v>25</v>
      </c>
      <c r="G1812" s="4" t="s">
        <v>25</v>
      </c>
      <c r="H1812" s="4" t="s">
        <v>25</v>
      </c>
      <c r="I1812" s="5">
        <v>44013</v>
      </c>
      <c r="J1812" s="6">
        <v>0</v>
      </c>
      <c r="K1812" s="6">
        <v>0</v>
      </c>
      <c r="L1812" s="6">
        <v>336.48</v>
      </c>
      <c r="M1812" s="6">
        <v>336.48</v>
      </c>
      <c r="N1812" s="6">
        <v>336.48</v>
      </c>
      <c r="O1812" s="6">
        <v>336.48</v>
      </c>
      <c r="P1812" s="6">
        <v>335</v>
      </c>
      <c r="Q1812" s="4" t="s">
        <v>26</v>
      </c>
      <c r="R1812" s="4">
        <v>0</v>
      </c>
      <c r="S1812" s="4" t="s">
        <v>500</v>
      </c>
      <c r="T1812" s="4" t="s">
        <v>807</v>
      </c>
      <c r="U1812" s="4">
        <v>0</v>
      </c>
      <c r="V1812" s="4">
        <v>46</v>
      </c>
      <c r="W1812" s="4">
        <v>89</v>
      </c>
    </row>
    <row r="1813" spans="1:23" ht="11.25" customHeight="1" x14ac:dyDescent="0.25">
      <c r="A1813" s="4" t="s">
        <v>27</v>
      </c>
      <c r="B1813" s="4" t="s">
        <v>22</v>
      </c>
      <c r="C1813" s="4" t="s">
        <v>23</v>
      </c>
      <c r="D1813" s="4" t="s">
        <v>24</v>
      </c>
      <c r="E1813" s="4" t="s">
        <v>29</v>
      </c>
      <c r="F1813" s="4" t="s">
        <v>25</v>
      </c>
      <c r="G1813" s="4" t="s">
        <v>25</v>
      </c>
      <c r="H1813" s="4" t="s">
        <v>25</v>
      </c>
      <c r="I1813" s="5">
        <v>44013</v>
      </c>
      <c r="J1813" s="6">
        <v>0</v>
      </c>
      <c r="K1813" s="6">
        <v>0</v>
      </c>
      <c r="L1813" s="6">
        <v>0.12</v>
      </c>
      <c r="M1813" s="6">
        <v>0.12</v>
      </c>
      <c r="N1813" s="6">
        <v>0.12</v>
      </c>
      <c r="O1813" s="6">
        <v>0.12</v>
      </c>
      <c r="P1813" s="6">
        <v>0</v>
      </c>
      <c r="Q1813" s="4" t="s">
        <v>26</v>
      </c>
      <c r="R1813" s="4">
        <v>0</v>
      </c>
      <c r="S1813" s="4" t="s">
        <v>500</v>
      </c>
      <c r="T1813" s="4" t="s">
        <v>807</v>
      </c>
      <c r="U1813" s="4">
        <v>0</v>
      </c>
      <c r="V1813" s="4">
        <v>46</v>
      </c>
      <c r="W1813" s="4">
        <v>89</v>
      </c>
    </row>
    <row r="1814" spans="1:23" ht="11.25" customHeight="1" x14ac:dyDescent="0.25">
      <c r="A1814" s="4" t="s">
        <v>21</v>
      </c>
      <c r="B1814" s="4" t="s">
        <v>22</v>
      </c>
      <c r="C1814" s="4" t="s">
        <v>23</v>
      </c>
      <c r="D1814" s="4" t="s">
        <v>24</v>
      </c>
      <c r="E1814" s="4" t="s">
        <v>29</v>
      </c>
      <c r="F1814" s="4" t="s">
        <v>25</v>
      </c>
      <c r="G1814" s="4" t="s">
        <v>25</v>
      </c>
      <c r="H1814" s="4" t="s">
        <v>25</v>
      </c>
      <c r="I1814" s="5">
        <v>44044</v>
      </c>
      <c r="J1814" s="6">
        <v>0</v>
      </c>
      <c r="K1814" s="6">
        <v>0</v>
      </c>
      <c r="L1814" s="6">
        <v>342.18</v>
      </c>
      <c r="M1814" s="6">
        <v>342.18</v>
      </c>
      <c r="N1814" s="6">
        <v>342.18</v>
      </c>
      <c r="O1814" s="6">
        <v>342.18</v>
      </c>
      <c r="P1814" s="6">
        <v>318</v>
      </c>
      <c r="Q1814" s="4" t="s">
        <v>26</v>
      </c>
      <c r="R1814" s="4">
        <v>0</v>
      </c>
      <c r="S1814" s="4" t="s">
        <v>501</v>
      </c>
      <c r="T1814" s="4" t="s">
        <v>808</v>
      </c>
      <c r="U1814" s="4">
        <v>0</v>
      </c>
      <c r="V1814" s="4">
        <v>46</v>
      </c>
      <c r="W1814" s="4">
        <v>89</v>
      </c>
    </row>
    <row r="1815" spans="1:23" ht="11.25" customHeight="1" x14ac:dyDescent="0.25">
      <c r="A1815" s="4" t="s">
        <v>27</v>
      </c>
      <c r="B1815" s="4" t="s">
        <v>22</v>
      </c>
      <c r="C1815" s="4" t="s">
        <v>23</v>
      </c>
      <c r="D1815" s="4" t="s">
        <v>24</v>
      </c>
      <c r="E1815" s="4" t="s">
        <v>29</v>
      </c>
      <c r="F1815" s="4" t="s">
        <v>25</v>
      </c>
      <c r="G1815" s="4" t="s">
        <v>25</v>
      </c>
      <c r="H1815" s="4" t="s">
        <v>25</v>
      </c>
      <c r="I1815" s="5">
        <v>44044</v>
      </c>
      <c r="J1815" s="6">
        <v>0</v>
      </c>
      <c r="K1815" s="6">
        <v>0</v>
      </c>
      <c r="L1815" s="6">
        <v>0.12</v>
      </c>
      <c r="M1815" s="6">
        <v>0.12</v>
      </c>
      <c r="N1815" s="6">
        <v>0.12</v>
      </c>
      <c r="O1815" s="6">
        <v>0.12</v>
      </c>
      <c r="P1815" s="6">
        <v>1</v>
      </c>
      <c r="Q1815" s="4" t="s">
        <v>26</v>
      </c>
      <c r="R1815" s="4">
        <v>0</v>
      </c>
      <c r="S1815" s="4" t="s">
        <v>501</v>
      </c>
      <c r="T1815" s="4" t="s">
        <v>808</v>
      </c>
      <c r="U1815" s="4">
        <v>0</v>
      </c>
      <c r="V1815" s="4">
        <v>46</v>
      </c>
      <c r="W1815" s="4">
        <v>89</v>
      </c>
    </row>
    <row r="1816" spans="1:23" ht="11.25" customHeight="1" x14ac:dyDescent="0.25">
      <c r="A1816" s="4" t="s">
        <v>59</v>
      </c>
      <c r="B1816" s="4" t="s">
        <v>22</v>
      </c>
      <c r="C1816" s="4" t="s">
        <v>23</v>
      </c>
      <c r="D1816" s="4" t="s">
        <v>24</v>
      </c>
      <c r="E1816" s="4" t="s">
        <v>29</v>
      </c>
      <c r="F1816" s="4" t="s">
        <v>25</v>
      </c>
      <c r="G1816" s="4" t="s">
        <v>25</v>
      </c>
      <c r="H1816" s="4" t="s">
        <v>25</v>
      </c>
      <c r="I1816" s="5">
        <v>44075</v>
      </c>
      <c r="J1816" s="6">
        <v>0</v>
      </c>
      <c r="K1816" s="6">
        <v>0</v>
      </c>
      <c r="L1816" s="6">
        <v>342.18</v>
      </c>
      <c r="M1816" s="6">
        <v>342.18</v>
      </c>
      <c r="N1816" s="6">
        <v>342.18</v>
      </c>
      <c r="O1816" s="6">
        <v>342.18</v>
      </c>
      <c r="P1816" s="6">
        <v>318</v>
      </c>
      <c r="Q1816" s="4" t="s">
        <v>26</v>
      </c>
      <c r="R1816" s="4">
        <v>0</v>
      </c>
      <c r="S1816" s="4" t="s">
        <v>502</v>
      </c>
      <c r="T1816" s="4" t="s">
        <v>809</v>
      </c>
      <c r="U1816" s="4">
        <v>0</v>
      </c>
      <c r="V1816" s="4">
        <v>46</v>
      </c>
      <c r="W1816" s="4">
        <v>89</v>
      </c>
    </row>
    <row r="1817" spans="1:23" ht="11.25" customHeight="1" x14ac:dyDescent="0.25">
      <c r="A1817" s="4" t="s">
        <v>59</v>
      </c>
      <c r="B1817" s="4" t="s">
        <v>22</v>
      </c>
      <c r="C1817" s="4" t="s">
        <v>23</v>
      </c>
      <c r="D1817" s="4" t="s">
        <v>24</v>
      </c>
      <c r="E1817" s="4" t="s">
        <v>29</v>
      </c>
      <c r="F1817" s="4" t="s">
        <v>25</v>
      </c>
      <c r="G1817" s="4" t="s">
        <v>25</v>
      </c>
      <c r="H1817" s="4" t="s">
        <v>25</v>
      </c>
      <c r="I1817" s="5">
        <v>44075</v>
      </c>
      <c r="J1817" s="6">
        <v>0</v>
      </c>
      <c r="K1817" s="6">
        <v>0</v>
      </c>
      <c r="L1817" s="6">
        <v>0.12</v>
      </c>
      <c r="M1817" s="6">
        <v>0.12</v>
      </c>
      <c r="N1817" s="6">
        <v>0.12</v>
      </c>
      <c r="O1817" s="6">
        <v>0.12</v>
      </c>
      <c r="P1817" s="6">
        <v>1</v>
      </c>
      <c r="Q1817" s="4" t="s">
        <v>26</v>
      </c>
      <c r="R1817" s="4">
        <v>0</v>
      </c>
      <c r="S1817" s="4" t="s">
        <v>502</v>
      </c>
      <c r="T1817" s="4" t="s">
        <v>809</v>
      </c>
      <c r="U1817" s="4">
        <v>0</v>
      </c>
      <c r="V1817" s="4">
        <v>46</v>
      </c>
      <c r="W1817" s="4">
        <v>89</v>
      </c>
    </row>
    <row r="1818" spans="1:23" ht="11.25" customHeight="1" x14ac:dyDescent="0.25">
      <c r="A1818" s="4" t="s">
        <v>21</v>
      </c>
      <c r="B1818" s="4" t="s">
        <v>22</v>
      </c>
      <c r="C1818" s="4" t="s">
        <v>23</v>
      </c>
      <c r="D1818" s="4" t="s">
        <v>24</v>
      </c>
      <c r="E1818" s="4" t="s">
        <v>30</v>
      </c>
      <c r="F1818" s="4" t="s">
        <v>25</v>
      </c>
      <c r="G1818" s="4" t="s">
        <v>25</v>
      </c>
      <c r="H1818" s="4" t="s">
        <v>25</v>
      </c>
      <c r="I1818" s="5">
        <v>43739</v>
      </c>
      <c r="J1818" s="6">
        <v>0</v>
      </c>
      <c r="K1818" s="6">
        <v>0</v>
      </c>
      <c r="L1818" s="6">
        <v>543.95899999999995</v>
      </c>
      <c r="M1818" s="6">
        <v>543.95899999999995</v>
      </c>
      <c r="N1818" s="6">
        <v>543.95899999999995</v>
      </c>
      <c r="O1818" s="6">
        <v>543.95899999999995</v>
      </c>
      <c r="P1818" s="6">
        <v>1306</v>
      </c>
      <c r="Q1818" s="4" t="s">
        <v>26</v>
      </c>
      <c r="R1818" s="4">
        <v>0</v>
      </c>
      <c r="S1818" s="4" t="s">
        <v>503</v>
      </c>
      <c r="T1818" s="4" t="s">
        <v>810</v>
      </c>
      <c r="U1818" s="4">
        <v>0</v>
      </c>
      <c r="V1818" s="4">
        <v>47</v>
      </c>
      <c r="W1818" s="4">
        <v>90</v>
      </c>
    </row>
    <row r="1819" spans="1:23" ht="11.25" customHeight="1" x14ac:dyDescent="0.25">
      <c r="A1819" s="4" t="s">
        <v>27</v>
      </c>
      <c r="B1819" s="4" t="s">
        <v>22</v>
      </c>
      <c r="C1819" s="4" t="s">
        <v>23</v>
      </c>
      <c r="D1819" s="4" t="s">
        <v>24</v>
      </c>
      <c r="E1819" s="4" t="s">
        <v>30</v>
      </c>
      <c r="F1819" s="4" t="s">
        <v>25</v>
      </c>
      <c r="G1819" s="4" t="s">
        <v>25</v>
      </c>
      <c r="H1819" s="4" t="s">
        <v>25</v>
      </c>
      <c r="I1819" s="5">
        <v>43739</v>
      </c>
      <c r="J1819" s="6">
        <v>0</v>
      </c>
      <c r="K1819" s="6">
        <v>0</v>
      </c>
      <c r="L1819" s="6">
        <v>0.17</v>
      </c>
      <c r="M1819" s="6">
        <v>0.17</v>
      </c>
      <c r="N1819" s="6">
        <v>0.17</v>
      </c>
      <c r="O1819" s="6">
        <v>0.17</v>
      </c>
      <c r="P1819" s="6">
        <v>0</v>
      </c>
      <c r="Q1819" s="4" t="s">
        <v>26</v>
      </c>
      <c r="R1819" s="4">
        <v>0</v>
      </c>
      <c r="S1819" s="4" t="s">
        <v>503</v>
      </c>
      <c r="T1819" s="4" t="s">
        <v>810</v>
      </c>
      <c r="U1819" s="4">
        <v>0</v>
      </c>
      <c r="V1819" s="4">
        <v>47</v>
      </c>
      <c r="W1819" s="4">
        <v>90</v>
      </c>
    </row>
    <row r="1820" spans="1:23" ht="11.25" customHeight="1" x14ac:dyDescent="0.25">
      <c r="A1820" s="4" t="s">
        <v>21</v>
      </c>
      <c r="B1820" s="4" t="s">
        <v>22</v>
      </c>
      <c r="C1820" s="4" t="s">
        <v>23</v>
      </c>
      <c r="D1820" s="4" t="s">
        <v>24</v>
      </c>
      <c r="E1820" s="4" t="s">
        <v>30</v>
      </c>
      <c r="F1820" s="4" t="s">
        <v>25</v>
      </c>
      <c r="G1820" s="4" t="s">
        <v>25</v>
      </c>
      <c r="H1820" s="4" t="s">
        <v>25</v>
      </c>
      <c r="I1820" s="5">
        <v>43770</v>
      </c>
      <c r="J1820" s="6">
        <v>0</v>
      </c>
      <c r="K1820" s="6">
        <v>0</v>
      </c>
      <c r="L1820" s="6">
        <v>566.62099999999998</v>
      </c>
      <c r="M1820" s="6">
        <v>566.62099999999998</v>
      </c>
      <c r="N1820" s="6">
        <v>566.62099999999998</v>
      </c>
      <c r="O1820" s="6">
        <v>566.62099999999998</v>
      </c>
      <c r="P1820" s="6">
        <v>1079</v>
      </c>
      <c r="Q1820" s="4" t="s">
        <v>26</v>
      </c>
      <c r="R1820" s="4">
        <v>0</v>
      </c>
      <c r="S1820" s="4" t="s">
        <v>504</v>
      </c>
      <c r="T1820" s="4" t="s">
        <v>811</v>
      </c>
      <c r="U1820" s="4">
        <v>0</v>
      </c>
      <c r="V1820" s="4">
        <v>47</v>
      </c>
      <c r="W1820" s="4">
        <v>90</v>
      </c>
    </row>
    <row r="1821" spans="1:23" ht="11.25" customHeight="1" x14ac:dyDescent="0.25">
      <c r="A1821" s="4" t="s">
        <v>27</v>
      </c>
      <c r="B1821" s="4" t="s">
        <v>22</v>
      </c>
      <c r="C1821" s="4" t="s">
        <v>23</v>
      </c>
      <c r="D1821" s="4" t="s">
        <v>24</v>
      </c>
      <c r="E1821" s="4" t="s">
        <v>30</v>
      </c>
      <c r="F1821" s="4" t="s">
        <v>25</v>
      </c>
      <c r="G1821" s="4" t="s">
        <v>25</v>
      </c>
      <c r="H1821" s="4" t="s">
        <v>25</v>
      </c>
      <c r="I1821" s="5">
        <v>43770</v>
      </c>
      <c r="J1821" s="6">
        <v>0</v>
      </c>
      <c r="K1821" s="6">
        <v>0</v>
      </c>
      <c r="L1821" s="6">
        <v>0.32800000000000001</v>
      </c>
      <c r="M1821" s="6">
        <v>0.32800000000000001</v>
      </c>
      <c r="N1821" s="6">
        <v>0.32800000000000001</v>
      </c>
      <c r="O1821" s="6">
        <v>0.32800000000000001</v>
      </c>
      <c r="P1821" s="6">
        <v>1</v>
      </c>
      <c r="Q1821" s="4" t="s">
        <v>26</v>
      </c>
      <c r="R1821" s="4">
        <v>0</v>
      </c>
      <c r="S1821" s="4" t="s">
        <v>504</v>
      </c>
      <c r="T1821" s="4" t="s">
        <v>811</v>
      </c>
      <c r="U1821" s="4">
        <v>0</v>
      </c>
      <c r="V1821" s="4">
        <v>47</v>
      </c>
      <c r="W1821" s="4">
        <v>90</v>
      </c>
    </row>
    <row r="1822" spans="1:23" ht="11.25" customHeight="1" x14ac:dyDescent="0.25">
      <c r="A1822" s="4" t="s">
        <v>21</v>
      </c>
      <c r="B1822" s="4" t="s">
        <v>22</v>
      </c>
      <c r="C1822" s="4" t="s">
        <v>23</v>
      </c>
      <c r="D1822" s="4" t="s">
        <v>24</v>
      </c>
      <c r="E1822" s="4" t="s">
        <v>30</v>
      </c>
      <c r="F1822" s="4" t="s">
        <v>25</v>
      </c>
      <c r="G1822" s="4" t="s">
        <v>25</v>
      </c>
      <c r="H1822" s="4" t="s">
        <v>25</v>
      </c>
      <c r="I1822" s="5">
        <v>43800</v>
      </c>
      <c r="J1822" s="6">
        <v>0</v>
      </c>
      <c r="K1822" s="6">
        <v>0</v>
      </c>
      <c r="L1822" s="6">
        <v>561.79999999999995</v>
      </c>
      <c r="M1822" s="6">
        <v>561.79999999999995</v>
      </c>
      <c r="N1822" s="6">
        <v>561.79999999999995</v>
      </c>
      <c r="O1822" s="6">
        <v>561.79999999999995</v>
      </c>
      <c r="P1822" s="6">
        <v>1669</v>
      </c>
      <c r="Q1822" s="4" t="s">
        <v>26</v>
      </c>
      <c r="R1822" s="4">
        <v>0</v>
      </c>
      <c r="S1822" s="4" t="s">
        <v>505</v>
      </c>
      <c r="T1822" s="4" t="s">
        <v>812</v>
      </c>
      <c r="U1822" s="4">
        <v>0</v>
      </c>
      <c r="V1822" s="4">
        <v>47</v>
      </c>
      <c r="W1822" s="4">
        <v>90</v>
      </c>
    </row>
    <row r="1823" spans="1:23" ht="11.25" customHeight="1" x14ac:dyDescent="0.25">
      <c r="A1823" s="4" t="s">
        <v>27</v>
      </c>
      <c r="B1823" s="4" t="s">
        <v>22</v>
      </c>
      <c r="C1823" s="4" t="s">
        <v>23</v>
      </c>
      <c r="D1823" s="4" t="s">
        <v>24</v>
      </c>
      <c r="E1823" s="4" t="s">
        <v>30</v>
      </c>
      <c r="F1823" s="4" t="s">
        <v>25</v>
      </c>
      <c r="G1823" s="4" t="s">
        <v>25</v>
      </c>
      <c r="H1823" s="4" t="s">
        <v>25</v>
      </c>
      <c r="I1823" s="5">
        <v>43800</v>
      </c>
      <c r="J1823" s="6">
        <v>0</v>
      </c>
      <c r="K1823" s="6">
        <v>0</v>
      </c>
      <c r="L1823" s="6">
        <v>0.14000000000000001</v>
      </c>
      <c r="M1823" s="6">
        <v>0.14000000000000001</v>
      </c>
      <c r="N1823" s="6">
        <v>0.14000000000000001</v>
      </c>
      <c r="O1823" s="6">
        <v>0.14000000000000001</v>
      </c>
      <c r="P1823" s="6">
        <v>0</v>
      </c>
      <c r="Q1823" s="4" t="s">
        <v>26</v>
      </c>
      <c r="R1823" s="4">
        <v>0</v>
      </c>
      <c r="S1823" s="4" t="s">
        <v>505</v>
      </c>
      <c r="T1823" s="4" t="s">
        <v>812</v>
      </c>
      <c r="U1823" s="4">
        <v>0</v>
      </c>
      <c r="V1823" s="4">
        <v>47</v>
      </c>
      <c r="W1823" s="4">
        <v>90</v>
      </c>
    </row>
    <row r="1824" spans="1:23" ht="11.25" customHeight="1" x14ac:dyDescent="0.25">
      <c r="A1824" s="4" t="s">
        <v>21</v>
      </c>
      <c r="B1824" s="4" t="s">
        <v>22</v>
      </c>
      <c r="C1824" s="4" t="s">
        <v>23</v>
      </c>
      <c r="D1824" s="4" t="s">
        <v>24</v>
      </c>
      <c r="E1824" s="4" t="s">
        <v>30</v>
      </c>
      <c r="F1824" s="4" t="s">
        <v>25</v>
      </c>
      <c r="G1824" s="4" t="s">
        <v>25</v>
      </c>
      <c r="H1824" s="4" t="s">
        <v>25</v>
      </c>
      <c r="I1824" s="5">
        <v>43831</v>
      </c>
      <c r="J1824" s="6">
        <v>0</v>
      </c>
      <c r="K1824" s="6">
        <v>0</v>
      </c>
      <c r="L1824" s="6">
        <v>571.98199999999997</v>
      </c>
      <c r="M1824" s="6">
        <v>571.98199999999997</v>
      </c>
      <c r="N1824" s="6">
        <v>571.98199999999997</v>
      </c>
      <c r="O1824" s="6">
        <v>571.98199999999997</v>
      </c>
      <c r="P1824" s="6">
        <v>1397</v>
      </c>
      <c r="Q1824" s="4" t="s">
        <v>26</v>
      </c>
      <c r="R1824" s="4">
        <v>0</v>
      </c>
      <c r="S1824" s="4" t="s">
        <v>506</v>
      </c>
      <c r="T1824" s="4" t="s">
        <v>813</v>
      </c>
      <c r="U1824" s="4">
        <v>0</v>
      </c>
      <c r="V1824" s="4">
        <v>47</v>
      </c>
      <c r="W1824" s="4">
        <v>90</v>
      </c>
    </row>
    <row r="1825" spans="1:23" ht="11.25" customHeight="1" x14ac:dyDescent="0.25">
      <c r="A1825" s="4" t="s">
        <v>27</v>
      </c>
      <c r="B1825" s="4" t="s">
        <v>22</v>
      </c>
      <c r="C1825" s="4" t="s">
        <v>23</v>
      </c>
      <c r="D1825" s="4" t="s">
        <v>24</v>
      </c>
      <c r="E1825" s="4" t="s">
        <v>30</v>
      </c>
      <c r="F1825" s="4" t="s">
        <v>25</v>
      </c>
      <c r="G1825" s="4" t="s">
        <v>25</v>
      </c>
      <c r="H1825" s="4" t="s">
        <v>25</v>
      </c>
      <c r="I1825" s="5">
        <v>43831</v>
      </c>
      <c r="J1825" s="6">
        <v>0</v>
      </c>
      <c r="K1825" s="6">
        <v>0</v>
      </c>
      <c r="L1825" s="6">
        <v>0.35499999999999998</v>
      </c>
      <c r="M1825" s="6">
        <v>0.35499999999999998</v>
      </c>
      <c r="N1825" s="6">
        <v>0.35499999999999998</v>
      </c>
      <c r="O1825" s="6">
        <v>0.35499999999999998</v>
      </c>
      <c r="P1825" s="6">
        <v>0</v>
      </c>
      <c r="Q1825" s="4" t="s">
        <v>26</v>
      </c>
      <c r="R1825" s="4">
        <v>0</v>
      </c>
      <c r="S1825" s="4" t="s">
        <v>506</v>
      </c>
      <c r="T1825" s="4" t="s">
        <v>813</v>
      </c>
      <c r="U1825" s="4">
        <v>0</v>
      </c>
      <c r="V1825" s="4">
        <v>47</v>
      </c>
      <c r="W1825" s="4">
        <v>90</v>
      </c>
    </row>
    <row r="1826" spans="1:23" ht="11.25" customHeight="1" x14ac:dyDescent="0.25">
      <c r="A1826" s="4" t="s">
        <v>21</v>
      </c>
      <c r="B1826" s="4" t="s">
        <v>22</v>
      </c>
      <c r="C1826" s="4" t="s">
        <v>23</v>
      </c>
      <c r="D1826" s="4" t="s">
        <v>24</v>
      </c>
      <c r="E1826" s="4" t="s">
        <v>30</v>
      </c>
      <c r="F1826" s="4" t="s">
        <v>25</v>
      </c>
      <c r="G1826" s="4" t="s">
        <v>25</v>
      </c>
      <c r="H1826" s="4" t="s">
        <v>25</v>
      </c>
      <c r="I1826" s="5">
        <v>43862</v>
      </c>
      <c r="J1826" s="6">
        <v>0</v>
      </c>
      <c r="K1826" s="6">
        <v>0</v>
      </c>
      <c r="L1826" s="6">
        <v>564.67499999999995</v>
      </c>
      <c r="M1826" s="6">
        <v>564.67499999999995</v>
      </c>
      <c r="N1826" s="6">
        <v>564.67499999999995</v>
      </c>
      <c r="O1826" s="6">
        <v>564.67499999999995</v>
      </c>
      <c r="P1826" s="6">
        <v>1744</v>
      </c>
      <c r="Q1826" s="4" t="s">
        <v>26</v>
      </c>
      <c r="R1826" s="4">
        <v>0</v>
      </c>
      <c r="S1826" s="4" t="s">
        <v>507</v>
      </c>
      <c r="T1826" s="4" t="s">
        <v>814</v>
      </c>
      <c r="U1826" s="4">
        <v>0</v>
      </c>
      <c r="V1826" s="4">
        <v>47</v>
      </c>
      <c r="W1826" s="4">
        <v>90</v>
      </c>
    </row>
    <row r="1827" spans="1:23" ht="11.25" customHeight="1" x14ac:dyDescent="0.25">
      <c r="A1827" s="4" t="s">
        <v>21</v>
      </c>
      <c r="B1827" s="4" t="s">
        <v>22</v>
      </c>
      <c r="C1827" s="4" t="s">
        <v>23</v>
      </c>
      <c r="D1827" s="4" t="s">
        <v>24</v>
      </c>
      <c r="E1827" s="4" t="s">
        <v>30</v>
      </c>
      <c r="F1827" s="4" t="s">
        <v>25</v>
      </c>
      <c r="G1827" s="4" t="s">
        <v>25</v>
      </c>
      <c r="H1827" s="4" t="s">
        <v>25</v>
      </c>
      <c r="I1827" s="5">
        <v>43891</v>
      </c>
      <c r="J1827" s="6">
        <v>0</v>
      </c>
      <c r="K1827" s="6">
        <v>0</v>
      </c>
      <c r="L1827" s="6">
        <v>532.59799999999996</v>
      </c>
      <c r="M1827" s="6">
        <v>532.59799999999996</v>
      </c>
      <c r="N1827" s="6">
        <v>532.59799999999996</v>
      </c>
      <c r="O1827" s="6">
        <v>532.59799999999996</v>
      </c>
      <c r="P1827" s="6">
        <v>1472</v>
      </c>
      <c r="Q1827" s="4" t="s">
        <v>26</v>
      </c>
      <c r="R1827" s="4">
        <v>0</v>
      </c>
      <c r="S1827" s="4" t="s">
        <v>508</v>
      </c>
      <c r="T1827" s="4" t="s">
        <v>815</v>
      </c>
      <c r="U1827" s="4">
        <v>0</v>
      </c>
      <c r="V1827" s="4">
        <v>47</v>
      </c>
      <c r="W1827" s="4">
        <v>90</v>
      </c>
    </row>
    <row r="1828" spans="1:23" ht="11.25" customHeight="1" x14ac:dyDescent="0.25">
      <c r="A1828" s="4" t="s">
        <v>27</v>
      </c>
      <c r="B1828" s="4" t="s">
        <v>22</v>
      </c>
      <c r="C1828" s="4" t="s">
        <v>23</v>
      </c>
      <c r="D1828" s="4" t="s">
        <v>24</v>
      </c>
      <c r="E1828" s="4" t="s">
        <v>30</v>
      </c>
      <c r="F1828" s="4" t="s">
        <v>25</v>
      </c>
      <c r="G1828" s="4" t="s">
        <v>25</v>
      </c>
      <c r="H1828" s="4" t="s">
        <v>25</v>
      </c>
      <c r="I1828" s="5">
        <v>43891</v>
      </c>
      <c r="J1828" s="6">
        <v>0</v>
      </c>
      <c r="K1828" s="6">
        <v>0</v>
      </c>
      <c r="L1828" s="6">
        <v>0.48399999999999999</v>
      </c>
      <c r="M1828" s="6">
        <v>0.48399999999999999</v>
      </c>
      <c r="N1828" s="6">
        <v>0.48399999999999999</v>
      </c>
      <c r="O1828" s="6">
        <v>0.48399999999999999</v>
      </c>
      <c r="P1828" s="6">
        <v>1</v>
      </c>
      <c r="Q1828" s="4" t="s">
        <v>26</v>
      </c>
      <c r="R1828" s="4">
        <v>0</v>
      </c>
      <c r="S1828" s="4" t="s">
        <v>508</v>
      </c>
      <c r="T1828" s="4" t="s">
        <v>815</v>
      </c>
      <c r="U1828" s="4">
        <v>0</v>
      </c>
      <c r="V1828" s="4">
        <v>47</v>
      </c>
      <c r="W1828" s="4">
        <v>90</v>
      </c>
    </row>
    <row r="1829" spans="1:23" ht="11.25" customHeight="1" x14ac:dyDescent="0.25">
      <c r="A1829" s="4" t="s">
        <v>21</v>
      </c>
      <c r="B1829" s="4" t="s">
        <v>22</v>
      </c>
      <c r="C1829" s="4" t="s">
        <v>23</v>
      </c>
      <c r="D1829" s="4" t="s">
        <v>24</v>
      </c>
      <c r="E1829" s="4" t="s">
        <v>30</v>
      </c>
      <c r="F1829" s="4" t="s">
        <v>25</v>
      </c>
      <c r="G1829" s="4" t="s">
        <v>25</v>
      </c>
      <c r="H1829" s="4" t="s">
        <v>25</v>
      </c>
      <c r="I1829" s="5">
        <v>43922</v>
      </c>
      <c r="J1829" s="6">
        <v>0</v>
      </c>
      <c r="K1829" s="6">
        <v>0</v>
      </c>
      <c r="L1829" s="6">
        <v>536.19799999999998</v>
      </c>
      <c r="M1829" s="6">
        <v>536.19799999999998</v>
      </c>
      <c r="N1829" s="6">
        <v>536.19799999999998</v>
      </c>
      <c r="O1829" s="6">
        <v>536.19799999999998</v>
      </c>
      <c r="P1829" s="6">
        <v>1169</v>
      </c>
      <c r="Q1829" s="4" t="s">
        <v>26</v>
      </c>
      <c r="R1829" s="4">
        <v>0</v>
      </c>
      <c r="S1829" s="4" t="s">
        <v>509</v>
      </c>
      <c r="T1829" s="4" t="s">
        <v>816</v>
      </c>
      <c r="U1829" s="4">
        <v>0</v>
      </c>
      <c r="V1829" s="4">
        <v>47</v>
      </c>
      <c r="W1829" s="4">
        <v>90</v>
      </c>
    </row>
    <row r="1830" spans="1:23" ht="11.25" customHeight="1" x14ac:dyDescent="0.25">
      <c r="A1830" s="4" t="s">
        <v>27</v>
      </c>
      <c r="B1830" s="4" t="s">
        <v>22</v>
      </c>
      <c r="C1830" s="4" t="s">
        <v>23</v>
      </c>
      <c r="D1830" s="4" t="s">
        <v>24</v>
      </c>
      <c r="E1830" s="4" t="s">
        <v>30</v>
      </c>
      <c r="F1830" s="4" t="s">
        <v>25</v>
      </c>
      <c r="G1830" s="4" t="s">
        <v>25</v>
      </c>
      <c r="H1830" s="4" t="s">
        <v>25</v>
      </c>
      <c r="I1830" s="5">
        <v>43922</v>
      </c>
      <c r="J1830" s="6">
        <v>0</v>
      </c>
      <c r="K1830" s="6">
        <v>0</v>
      </c>
      <c r="L1830" s="6">
        <v>2.2400000000000002</v>
      </c>
      <c r="M1830" s="6">
        <v>2.2400000000000002</v>
      </c>
      <c r="N1830" s="6">
        <v>2.2400000000000002</v>
      </c>
      <c r="O1830" s="6">
        <v>2.2400000000000002</v>
      </c>
      <c r="P1830" s="6">
        <v>0</v>
      </c>
      <c r="Q1830" s="4" t="s">
        <v>26</v>
      </c>
      <c r="R1830" s="4">
        <v>0</v>
      </c>
      <c r="S1830" s="4" t="s">
        <v>509</v>
      </c>
      <c r="T1830" s="4" t="s">
        <v>816</v>
      </c>
      <c r="U1830" s="4">
        <v>0</v>
      </c>
      <c r="V1830" s="4">
        <v>47</v>
      </c>
      <c r="W1830" s="4">
        <v>90</v>
      </c>
    </row>
    <row r="1831" spans="1:23" ht="11.25" customHeight="1" x14ac:dyDescent="0.25">
      <c r="A1831" s="4" t="s">
        <v>21</v>
      </c>
      <c r="B1831" s="4" t="s">
        <v>22</v>
      </c>
      <c r="C1831" s="4" t="s">
        <v>23</v>
      </c>
      <c r="D1831" s="4" t="s">
        <v>24</v>
      </c>
      <c r="E1831" s="4" t="s">
        <v>30</v>
      </c>
      <c r="F1831" s="4" t="s">
        <v>25</v>
      </c>
      <c r="G1831" s="4" t="s">
        <v>25</v>
      </c>
      <c r="H1831" s="4" t="s">
        <v>25</v>
      </c>
      <c r="I1831" s="5">
        <v>43952</v>
      </c>
      <c r="J1831" s="6">
        <v>0</v>
      </c>
      <c r="K1831" s="6">
        <v>0</v>
      </c>
      <c r="L1831" s="6">
        <v>635.86900000000003</v>
      </c>
      <c r="M1831" s="6">
        <v>635.86900000000003</v>
      </c>
      <c r="N1831" s="6">
        <v>635.86900000000003</v>
      </c>
      <c r="O1831" s="6">
        <v>635.86900000000003</v>
      </c>
      <c r="P1831" s="6">
        <v>1424</v>
      </c>
      <c r="Q1831" s="4" t="s">
        <v>26</v>
      </c>
      <c r="R1831" s="4">
        <v>0</v>
      </c>
      <c r="S1831" s="4" t="s">
        <v>510</v>
      </c>
      <c r="T1831" s="4" t="s">
        <v>817</v>
      </c>
      <c r="U1831" s="4">
        <v>0</v>
      </c>
      <c r="V1831" s="4">
        <v>47</v>
      </c>
      <c r="W1831" s="4">
        <v>90</v>
      </c>
    </row>
    <row r="1832" spans="1:23" ht="11.25" customHeight="1" x14ac:dyDescent="0.25">
      <c r="A1832" s="4" t="s">
        <v>27</v>
      </c>
      <c r="B1832" s="4" t="s">
        <v>22</v>
      </c>
      <c r="C1832" s="4" t="s">
        <v>23</v>
      </c>
      <c r="D1832" s="4" t="s">
        <v>24</v>
      </c>
      <c r="E1832" s="4" t="s">
        <v>30</v>
      </c>
      <c r="F1832" s="4" t="s">
        <v>25</v>
      </c>
      <c r="G1832" s="4" t="s">
        <v>25</v>
      </c>
      <c r="H1832" s="4" t="s">
        <v>25</v>
      </c>
      <c r="I1832" s="5">
        <v>43952</v>
      </c>
      <c r="J1832" s="6">
        <v>0</v>
      </c>
      <c r="K1832" s="6">
        <v>0</v>
      </c>
      <c r="L1832" s="6">
        <v>5.74</v>
      </c>
      <c r="M1832" s="6">
        <v>5.74</v>
      </c>
      <c r="N1832" s="6">
        <v>5.74</v>
      </c>
      <c r="O1832" s="6">
        <v>5.74</v>
      </c>
      <c r="P1832" s="6">
        <v>0</v>
      </c>
      <c r="Q1832" s="4" t="s">
        <v>26</v>
      </c>
      <c r="R1832" s="4">
        <v>0</v>
      </c>
      <c r="S1832" s="4" t="s">
        <v>510</v>
      </c>
      <c r="T1832" s="4" t="s">
        <v>817</v>
      </c>
      <c r="U1832" s="4">
        <v>0</v>
      </c>
      <c r="V1832" s="4">
        <v>47</v>
      </c>
      <c r="W1832" s="4">
        <v>90</v>
      </c>
    </row>
    <row r="1833" spans="1:23" ht="11.25" customHeight="1" x14ac:dyDescent="0.25">
      <c r="A1833" s="4" t="s">
        <v>21</v>
      </c>
      <c r="B1833" s="4" t="s">
        <v>22</v>
      </c>
      <c r="C1833" s="4" t="s">
        <v>23</v>
      </c>
      <c r="D1833" s="4" t="s">
        <v>24</v>
      </c>
      <c r="E1833" s="4" t="s">
        <v>30</v>
      </c>
      <c r="F1833" s="4" t="s">
        <v>25</v>
      </c>
      <c r="G1833" s="4" t="s">
        <v>25</v>
      </c>
      <c r="H1833" s="4" t="s">
        <v>25</v>
      </c>
      <c r="I1833" s="5">
        <v>43983</v>
      </c>
      <c r="J1833" s="6">
        <v>0</v>
      </c>
      <c r="K1833" s="6">
        <v>0</v>
      </c>
      <c r="L1833" s="6">
        <v>683.36500000000001</v>
      </c>
      <c r="M1833" s="6">
        <v>683.36500000000001</v>
      </c>
      <c r="N1833" s="6">
        <v>683.36500000000001</v>
      </c>
      <c r="O1833" s="6">
        <v>683.36500000000001</v>
      </c>
      <c r="P1833" s="6">
        <v>1934</v>
      </c>
      <c r="Q1833" s="4" t="s">
        <v>26</v>
      </c>
      <c r="R1833" s="4">
        <v>0</v>
      </c>
      <c r="S1833" s="4" t="s">
        <v>511</v>
      </c>
      <c r="T1833" s="4" t="s">
        <v>818</v>
      </c>
      <c r="U1833" s="4">
        <v>0</v>
      </c>
      <c r="V1833" s="4">
        <v>47</v>
      </c>
      <c r="W1833" s="4">
        <v>90</v>
      </c>
    </row>
    <row r="1834" spans="1:23" ht="11.25" customHeight="1" x14ac:dyDescent="0.25">
      <c r="A1834" s="4" t="s">
        <v>27</v>
      </c>
      <c r="B1834" s="4" t="s">
        <v>22</v>
      </c>
      <c r="C1834" s="4" t="s">
        <v>23</v>
      </c>
      <c r="D1834" s="4" t="s">
        <v>24</v>
      </c>
      <c r="E1834" s="4" t="s">
        <v>30</v>
      </c>
      <c r="F1834" s="4" t="s">
        <v>25</v>
      </c>
      <c r="G1834" s="4" t="s">
        <v>25</v>
      </c>
      <c r="H1834" s="4" t="s">
        <v>25</v>
      </c>
      <c r="I1834" s="5">
        <v>43983</v>
      </c>
      <c r="J1834" s="6">
        <v>0</v>
      </c>
      <c r="K1834" s="6">
        <v>0</v>
      </c>
      <c r="L1834" s="6">
        <v>0.49</v>
      </c>
      <c r="M1834" s="6">
        <v>0.49</v>
      </c>
      <c r="N1834" s="6">
        <v>0.49</v>
      </c>
      <c r="O1834" s="6">
        <v>0.49</v>
      </c>
      <c r="P1834" s="6">
        <v>0</v>
      </c>
      <c r="Q1834" s="4" t="s">
        <v>26</v>
      </c>
      <c r="R1834" s="4">
        <v>0</v>
      </c>
      <c r="S1834" s="4" t="s">
        <v>511</v>
      </c>
      <c r="T1834" s="4" t="s">
        <v>818</v>
      </c>
      <c r="U1834" s="4">
        <v>0</v>
      </c>
      <c r="V1834" s="4">
        <v>47</v>
      </c>
      <c r="W1834" s="4">
        <v>90</v>
      </c>
    </row>
    <row r="1835" spans="1:23" ht="11.25" customHeight="1" x14ac:dyDescent="0.25">
      <c r="A1835" s="4" t="s">
        <v>21</v>
      </c>
      <c r="B1835" s="4" t="s">
        <v>22</v>
      </c>
      <c r="C1835" s="4" t="s">
        <v>23</v>
      </c>
      <c r="D1835" s="4" t="s">
        <v>24</v>
      </c>
      <c r="E1835" s="4" t="s">
        <v>30</v>
      </c>
      <c r="F1835" s="4" t="s">
        <v>25</v>
      </c>
      <c r="G1835" s="4" t="s">
        <v>25</v>
      </c>
      <c r="H1835" s="4" t="s">
        <v>25</v>
      </c>
      <c r="I1835" s="5">
        <v>44013</v>
      </c>
      <c r="J1835" s="6">
        <v>0</v>
      </c>
      <c r="K1835" s="6">
        <v>0</v>
      </c>
      <c r="L1835" s="6">
        <v>714.41399999999999</v>
      </c>
      <c r="M1835" s="6">
        <v>714.41399999999999</v>
      </c>
      <c r="N1835" s="6">
        <v>714.41399999999999</v>
      </c>
      <c r="O1835" s="6">
        <v>714.41399999999999</v>
      </c>
      <c r="P1835" s="6">
        <v>1862</v>
      </c>
      <c r="Q1835" s="4" t="s">
        <v>26</v>
      </c>
      <c r="R1835" s="4">
        <v>0</v>
      </c>
      <c r="S1835" s="4" t="s">
        <v>512</v>
      </c>
      <c r="T1835" s="4" t="s">
        <v>819</v>
      </c>
      <c r="U1835" s="4">
        <v>0</v>
      </c>
      <c r="V1835" s="4">
        <v>47</v>
      </c>
      <c r="W1835" s="4">
        <v>90</v>
      </c>
    </row>
    <row r="1836" spans="1:23" ht="11.25" customHeight="1" x14ac:dyDescent="0.25">
      <c r="A1836" s="4" t="s">
        <v>27</v>
      </c>
      <c r="B1836" s="4" t="s">
        <v>22</v>
      </c>
      <c r="C1836" s="4" t="s">
        <v>23</v>
      </c>
      <c r="D1836" s="4" t="s">
        <v>24</v>
      </c>
      <c r="E1836" s="4" t="s">
        <v>30</v>
      </c>
      <c r="F1836" s="4" t="s">
        <v>25</v>
      </c>
      <c r="G1836" s="4" t="s">
        <v>25</v>
      </c>
      <c r="H1836" s="4" t="s">
        <v>25</v>
      </c>
      <c r="I1836" s="5">
        <v>44013</v>
      </c>
      <c r="J1836" s="6">
        <v>0</v>
      </c>
      <c r="K1836" s="6">
        <v>0</v>
      </c>
      <c r="L1836" s="6">
        <v>0.28000000000000003</v>
      </c>
      <c r="M1836" s="6">
        <v>0.28000000000000003</v>
      </c>
      <c r="N1836" s="6">
        <v>0.28000000000000003</v>
      </c>
      <c r="O1836" s="6">
        <v>0.28000000000000003</v>
      </c>
      <c r="P1836" s="6">
        <v>0</v>
      </c>
      <c r="Q1836" s="4" t="s">
        <v>26</v>
      </c>
      <c r="R1836" s="4">
        <v>0</v>
      </c>
      <c r="S1836" s="4" t="s">
        <v>512</v>
      </c>
      <c r="T1836" s="4" t="s">
        <v>819</v>
      </c>
      <c r="U1836" s="4">
        <v>0</v>
      </c>
      <c r="V1836" s="4">
        <v>47</v>
      </c>
      <c r="W1836" s="4">
        <v>90</v>
      </c>
    </row>
    <row r="1837" spans="1:23" ht="11.25" customHeight="1" x14ac:dyDescent="0.25">
      <c r="A1837" s="4" t="s">
        <v>21</v>
      </c>
      <c r="B1837" s="4" t="s">
        <v>22</v>
      </c>
      <c r="C1837" s="4" t="s">
        <v>23</v>
      </c>
      <c r="D1837" s="4" t="s">
        <v>24</v>
      </c>
      <c r="E1837" s="4" t="s">
        <v>30</v>
      </c>
      <c r="F1837" s="4" t="s">
        <v>25</v>
      </c>
      <c r="G1837" s="4" t="s">
        <v>25</v>
      </c>
      <c r="H1837" s="4" t="s">
        <v>25</v>
      </c>
      <c r="I1837" s="5">
        <v>44044</v>
      </c>
      <c r="J1837" s="6">
        <v>0</v>
      </c>
      <c r="K1837" s="6">
        <v>0</v>
      </c>
      <c r="L1837" s="6">
        <v>736.76400000000001</v>
      </c>
      <c r="M1837" s="6">
        <v>736.76400000000001</v>
      </c>
      <c r="N1837" s="6">
        <v>736.76400000000001</v>
      </c>
      <c r="O1837" s="6">
        <v>736.76400000000001</v>
      </c>
      <c r="P1837" s="6">
        <v>1564</v>
      </c>
      <c r="Q1837" s="4" t="s">
        <v>26</v>
      </c>
      <c r="R1837" s="4">
        <v>0</v>
      </c>
      <c r="S1837" s="4" t="s">
        <v>513</v>
      </c>
      <c r="T1837" s="4" t="s">
        <v>820</v>
      </c>
      <c r="U1837" s="4">
        <v>0</v>
      </c>
      <c r="V1837" s="4">
        <v>47</v>
      </c>
      <c r="W1837" s="4">
        <v>90</v>
      </c>
    </row>
    <row r="1838" spans="1:23" ht="11.25" customHeight="1" x14ac:dyDescent="0.25">
      <c r="A1838" s="4" t="s">
        <v>27</v>
      </c>
      <c r="B1838" s="4" t="s">
        <v>22</v>
      </c>
      <c r="C1838" s="4" t="s">
        <v>23</v>
      </c>
      <c r="D1838" s="4" t="s">
        <v>24</v>
      </c>
      <c r="E1838" s="4" t="s">
        <v>30</v>
      </c>
      <c r="F1838" s="4" t="s">
        <v>25</v>
      </c>
      <c r="G1838" s="4" t="s">
        <v>25</v>
      </c>
      <c r="H1838" s="4" t="s">
        <v>25</v>
      </c>
      <c r="I1838" s="5">
        <v>44044</v>
      </c>
      <c r="J1838" s="6">
        <v>0</v>
      </c>
      <c r="K1838" s="6">
        <v>0</v>
      </c>
      <c r="L1838" s="6">
        <v>0.21</v>
      </c>
      <c r="M1838" s="6">
        <v>0.21</v>
      </c>
      <c r="N1838" s="6">
        <v>0.21</v>
      </c>
      <c r="O1838" s="6">
        <v>0.21</v>
      </c>
      <c r="P1838" s="6">
        <v>0</v>
      </c>
      <c r="Q1838" s="4" t="s">
        <v>26</v>
      </c>
      <c r="R1838" s="4">
        <v>0</v>
      </c>
      <c r="S1838" s="4" t="s">
        <v>513</v>
      </c>
      <c r="T1838" s="4" t="s">
        <v>820</v>
      </c>
      <c r="U1838" s="4">
        <v>0</v>
      </c>
      <c r="V1838" s="4">
        <v>47</v>
      </c>
      <c r="W1838" s="4">
        <v>90</v>
      </c>
    </row>
    <row r="1839" spans="1:23" ht="11.25" customHeight="1" x14ac:dyDescent="0.25">
      <c r="A1839" s="4" t="s">
        <v>59</v>
      </c>
      <c r="B1839" s="4" t="s">
        <v>22</v>
      </c>
      <c r="C1839" s="4" t="s">
        <v>23</v>
      </c>
      <c r="D1839" s="4" t="s">
        <v>24</v>
      </c>
      <c r="E1839" s="4" t="s">
        <v>30</v>
      </c>
      <c r="F1839" s="4" t="s">
        <v>25</v>
      </c>
      <c r="G1839" s="4" t="s">
        <v>25</v>
      </c>
      <c r="H1839" s="4" t="s">
        <v>25</v>
      </c>
      <c r="I1839" s="5">
        <v>44075</v>
      </c>
      <c r="J1839" s="6">
        <v>0</v>
      </c>
      <c r="K1839" s="6">
        <v>0</v>
      </c>
      <c r="L1839" s="6">
        <v>736.76400000000001</v>
      </c>
      <c r="M1839" s="6">
        <v>736.76400000000001</v>
      </c>
      <c r="N1839" s="6">
        <v>736.76400000000001</v>
      </c>
      <c r="O1839" s="6">
        <v>736.76400000000001</v>
      </c>
      <c r="P1839" s="6">
        <v>1564</v>
      </c>
      <c r="Q1839" s="4" t="s">
        <v>26</v>
      </c>
      <c r="R1839" s="4">
        <v>0</v>
      </c>
      <c r="S1839" s="4" t="s">
        <v>514</v>
      </c>
      <c r="T1839" s="4" t="s">
        <v>821</v>
      </c>
      <c r="U1839" s="4">
        <v>0</v>
      </c>
      <c r="V1839" s="4">
        <v>47</v>
      </c>
      <c r="W1839" s="4">
        <v>90</v>
      </c>
    </row>
    <row r="1840" spans="1:23" ht="11.25" customHeight="1" x14ac:dyDescent="0.25">
      <c r="A1840" s="4" t="s">
        <v>59</v>
      </c>
      <c r="B1840" s="4" t="s">
        <v>22</v>
      </c>
      <c r="C1840" s="4" t="s">
        <v>23</v>
      </c>
      <c r="D1840" s="4" t="s">
        <v>24</v>
      </c>
      <c r="E1840" s="4" t="s">
        <v>30</v>
      </c>
      <c r="F1840" s="4" t="s">
        <v>25</v>
      </c>
      <c r="G1840" s="4" t="s">
        <v>25</v>
      </c>
      <c r="H1840" s="4" t="s">
        <v>25</v>
      </c>
      <c r="I1840" s="5">
        <v>44075</v>
      </c>
      <c r="J1840" s="6">
        <v>0</v>
      </c>
      <c r="K1840" s="6">
        <v>0</v>
      </c>
      <c r="L1840" s="6">
        <v>0.21</v>
      </c>
      <c r="M1840" s="6">
        <v>0.21</v>
      </c>
      <c r="N1840" s="6">
        <v>0.21</v>
      </c>
      <c r="O1840" s="6">
        <v>0.21</v>
      </c>
      <c r="P1840" s="6">
        <v>0</v>
      </c>
      <c r="Q1840" s="4" t="s">
        <v>26</v>
      </c>
      <c r="R1840" s="4">
        <v>0</v>
      </c>
      <c r="S1840" s="4" t="s">
        <v>514</v>
      </c>
      <c r="T1840" s="4" t="s">
        <v>821</v>
      </c>
      <c r="U1840" s="4">
        <v>0</v>
      </c>
      <c r="V1840" s="4">
        <v>47</v>
      </c>
      <c r="W1840" s="4">
        <v>90</v>
      </c>
    </row>
    <row r="1841" spans="1:23" ht="11.25" customHeight="1" x14ac:dyDescent="0.25">
      <c r="A1841" s="4" t="s">
        <v>21</v>
      </c>
      <c r="B1841" s="4" t="s">
        <v>22</v>
      </c>
      <c r="C1841" s="4" t="s">
        <v>23</v>
      </c>
      <c r="D1841" s="4" t="s">
        <v>24</v>
      </c>
      <c r="E1841" s="4" t="s">
        <v>31</v>
      </c>
      <c r="F1841" s="4" t="s">
        <v>25</v>
      </c>
      <c r="G1841" s="4" t="s">
        <v>25</v>
      </c>
      <c r="H1841" s="4" t="s">
        <v>25</v>
      </c>
      <c r="I1841" s="5">
        <v>43739</v>
      </c>
      <c r="J1841" s="6">
        <v>0</v>
      </c>
      <c r="K1841" s="6">
        <v>0</v>
      </c>
      <c r="L1841" s="6">
        <v>522.31299999999999</v>
      </c>
      <c r="M1841" s="6">
        <v>522.31299999999999</v>
      </c>
      <c r="N1841" s="6">
        <v>522.31299999999999</v>
      </c>
      <c r="O1841" s="6">
        <v>522.31299999999999</v>
      </c>
      <c r="P1841" s="6">
        <v>4784</v>
      </c>
      <c r="Q1841" s="4" t="s">
        <v>26</v>
      </c>
      <c r="R1841" s="4">
        <v>0</v>
      </c>
      <c r="S1841" s="4" t="s">
        <v>515</v>
      </c>
      <c r="T1841" s="4" t="s">
        <v>822</v>
      </c>
      <c r="U1841" s="4">
        <v>0</v>
      </c>
      <c r="V1841" s="4">
        <v>48</v>
      </c>
      <c r="W1841" s="4">
        <v>91</v>
      </c>
    </row>
    <row r="1842" spans="1:23" ht="11.25" customHeight="1" x14ac:dyDescent="0.25">
      <c r="A1842" s="4" t="s">
        <v>27</v>
      </c>
      <c r="B1842" s="4" t="s">
        <v>22</v>
      </c>
      <c r="C1842" s="4" t="s">
        <v>23</v>
      </c>
      <c r="D1842" s="4" t="s">
        <v>24</v>
      </c>
      <c r="E1842" s="4" t="s">
        <v>31</v>
      </c>
      <c r="F1842" s="4" t="s">
        <v>25</v>
      </c>
      <c r="G1842" s="4" t="s">
        <v>25</v>
      </c>
      <c r="H1842" s="4" t="s">
        <v>25</v>
      </c>
      <c r="I1842" s="5">
        <v>43739</v>
      </c>
      <c r="J1842" s="6">
        <v>0</v>
      </c>
      <c r="K1842" s="6">
        <v>0</v>
      </c>
      <c r="L1842" s="6">
        <v>0.16200000000000001</v>
      </c>
      <c r="M1842" s="6">
        <v>0.16200000000000001</v>
      </c>
      <c r="N1842" s="6">
        <v>0.16200000000000001</v>
      </c>
      <c r="O1842" s="6">
        <v>0.16200000000000001</v>
      </c>
      <c r="P1842" s="6">
        <v>1</v>
      </c>
      <c r="Q1842" s="4" t="s">
        <v>26</v>
      </c>
      <c r="R1842" s="4">
        <v>0</v>
      </c>
      <c r="S1842" s="4" t="s">
        <v>515</v>
      </c>
      <c r="T1842" s="4" t="s">
        <v>822</v>
      </c>
      <c r="U1842" s="4">
        <v>0</v>
      </c>
      <c r="V1842" s="4">
        <v>48</v>
      </c>
      <c r="W1842" s="4">
        <v>91</v>
      </c>
    </row>
    <row r="1843" spans="1:23" ht="11.25" customHeight="1" x14ac:dyDescent="0.25">
      <c r="A1843" s="4" t="s">
        <v>21</v>
      </c>
      <c r="B1843" s="4" t="s">
        <v>22</v>
      </c>
      <c r="C1843" s="4" t="s">
        <v>23</v>
      </c>
      <c r="D1843" s="4" t="s">
        <v>24</v>
      </c>
      <c r="E1843" s="4" t="s">
        <v>31</v>
      </c>
      <c r="F1843" s="4" t="s">
        <v>25</v>
      </c>
      <c r="G1843" s="4" t="s">
        <v>25</v>
      </c>
      <c r="H1843" s="4" t="s">
        <v>25</v>
      </c>
      <c r="I1843" s="5">
        <v>43770</v>
      </c>
      <c r="J1843" s="6">
        <v>0</v>
      </c>
      <c r="K1843" s="6">
        <v>0</v>
      </c>
      <c r="L1843" s="6">
        <v>591.92100000000005</v>
      </c>
      <c r="M1843" s="6">
        <v>591.92100000000005</v>
      </c>
      <c r="N1843" s="6">
        <v>591.92100000000005</v>
      </c>
      <c r="O1843" s="6">
        <v>591.92100000000005</v>
      </c>
      <c r="P1843" s="6">
        <v>4780</v>
      </c>
      <c r="Q1843" s="4" t="s">
        <v>26</v>
      </c>
      <c r="R1843" s="4">
        <v>0</v>
      </c>
      <c r="S1843" s="4" t="s">
        <v>516</v>
      </c>
      <c r="T1843" s="4" t="s">
        <v>823</v>
      </c>
      <c r="U1843" s="4">
        <v>0</v>
      </c>
      <c r="V1843" s="4">
        <v>48</v>
      </c>
      <c r="W1843" s="4">
        <v>91</v>
      </c>
    </row>
    <row r="1844" spans="1:23" ht="11.25" customHeight="1" x14ac:dyDescent="0.25">
      <c r="A1844" s="4" t="s">
        <v>27</v>
      </c>
      <c r="B1844" s="4" t="s">
        <v>22</v>
      </c>
      <c r="C1844" s="4" t="s">
        <v>23</v>
      </c>
      <c r="D1844" s="4" t="s">
        <v>24</v>
      </c>
      <c r="E1844" s="4" t="s">
        <v>31</v>
      </c>
      <c r="F1844" s="4" t="s">
        <v>25</v>
      </c>
      <c r="G1844" s="4" t="s">
        <v>25</v>
      </c>
      <c r="H1844" s="4" t="s">
        <v>25</v>
      </c>
      <c r="I1844" s="5">
        <v>43770</v>
      </c>
      <c r="J1844" s="6">
        <v>0</v>
      </c>
      <c r="K1844" s="6">
        <v>0</v>
      </c>
      <c r="L1844" s="6">
        <v>0.36899999999999999</v>
      </c>
      <c r="M1844" s="6">
        <v>0.36899999999999999</v>
      </c>
      <c r="N1844" s="6">
        <v>0.36899999999999999</v>
      </c>
      <c r="O1844" s="6">
        <v>0.36899999999999999</v>
      </c>
      <c r="P1844" s="6">
        <v>0</v>
      </c>
      <c r="Q1844" s="4" t="s">
        <v>26</v>
      </c>
      <c r="R1844" s="4">
        <v>0</v>
      </c>
      <c r="S1844" s="4" t="s">
        <v>516</v>
      </c>
      <c r="T1844" s="4" t="s">
        <v>823</v>
      </c>
      <c r="U1844" s="4">
        <v>0</v>
      </c>
      <c r="V1844" s="4">
        <v>48</v>
      </c>
      <c r="W1844" s="4">
        <v>91</v>
      </c>
    </row>
    <row r="1845" spans="1:23" ht="11.25" customHeight="1" x14ac:dyDescent="0.25">
      <c r="A1845" s="4" t="s">
        <v>21</v>
      </c>
      <c r="B1845" s="4" t="s">
        <v>22</v>
      </c>
      <c r="C1845" s="4" t="s">
        <v>23</v>
      </c>
      <c r="D1845" s="4" t="s">
        <v>24</v>
      </c>
      <c r="E1845" s="4" t="s">
        <v>31</v>
      </c>
      <c r="F1845" s="4" t="s">
        <v>25</v>
      </c>
      <c r="G1845" s="4" t="s">
        <v>25</v>
      </c>
      <c r="H1845" s="4" t="s">
        <v>25</v>
      </c>
      <c r="I1845" s="5">
        <v>43800</v>
      </c>
      <c r="J1845" s="6">
        <v>0</v>
      </c>
      <c r="K1845" s="6">
        <v>0</v>
      </c>
      <c r="L1845" s="6">
        <v>497.43099999999998</v>
      </c>
      <c r="M1845" s="6">
        <v>497.43099999999998</v>
      </c>
      <c r="N1845" s="6">
        <v>497.43099999999998</v>
      </c>
      <c r="O1845" s="6">
        <v>497.43099999999998</v>
      </c>
      <c r="P1845" s="6">
        <v>5077</v>
      </c>
      <c r="Q1845" s="4" t="s">
        <v>26</v>
      </c>
      <c r="R1845" s="4">
        <v>0</v>
      </c>
      <c r="S1845" s="4" t="s">
        <v>517</v>
      </c>
      <c r="T1845" s="4" t="s">
        <v>824</v>
      </c>
      <c r="U1845" s="4">
        <v>0</v>
      </c>
      <c r="V1845" s="4">
        <v>48</v>
      </c>
      <c r="W1845" s="4">
        <v>91</v>
      </c>
    </row>
    <row r="1846" spans="1:23" ht="11.25" customHeight="1" x14ac:dyDescent="0.25">
      <c r="A1846" s="4" t="s">
        <v>27</v>
      </c>
      <c r="B1846" s="4" t="s">
        <v>22</v>
      </c>
      <c r="C1846" s="4" t="s">
        <v>23</v>
      </c>
      <c r="D1846" s="4" t="s">
        <v>24</v>
      </c>
      <c r="E1846" s="4" t="s">
        <v>31</v>
      </c>
      <c r="F1846" s="4" t="s">
        <v>25</v>
      </c>
      <c r="G1846" s="4" t="s">
        <v>25</v>
      </c>
      <c r="H1846" s="4" t="s">
        <v>25</v>
      </c>
      <c r="I1846" s="5">
        <v>43800</v>
      </c>
      <c r="J1846" s="6">
        <v>0</v>
      </c>
      <c r="K1846" s="6">
        <v>0</v>
      </c>
      <c r="L1846" s="6">
        <v>0.13</v>
      </c>
      <c r="M1846" s="6">
        <v>0.13</v>
      </c>
      <c r="N1846" s="6">
        <v>0.13</v>
      </c>
      <c r="O1846" s="6">
        <v>0.13</v>
      </c>
      <c r="P1846" s="6">
        <v>1</v>
      </c>
      <c r="Q1846" s="4" t="s">
        <v>26</v>
      </c>
      <c r="R1846" s="4">
        <v>0</v>
      </c>
      <c r="S1846" s="4" t="s">
        <v>517</v>
      </c>
      <c r="T1846" s="4" t="s">
        <v>824</v>
      </c>
      <c r="U1846" s="4">
        <v>0</v>
      </c>
      <c r="V1846" s="4">
        <v>48</v>
      </c>
      <c r="W1846" s="4">
        <v>91</v>
      </c>
    </row>
    <row r="1847" spans="1:23" ht="11.25" customHeight="1" x14ac:dyDescent="0.25">
      <c r="A1847" s="4" t="s">
        <v>21</v>
      </c>
      <c r="B1847" s="4" t="s">
        <v>22</v>
      </c>
      <c r="C1847" s="4" t="s">
        <v>23</v>
      </c>
      <c r="D1847" s="4" t="s">
        <v>24</v>
      </c>
      <c r="E1847" s="4" t="s">
        <v>31</v>
      </c>
      <c r="F1847" s="4" t="s">
        <v>25</v>
      </c>
      <c r="G1847" s="4" t="s">
        <v>25</v>
      </c>
      <c r="H1847" s="4" t="s">
        <v>25</v>
      </c>
      <c r="I1847" s="5">
        <v>43831</v>
      </c>
      <c r="J1847" s="6">
        <v>0</v>
      </c>
      <c r="K1847" s="6">
        <v>0</v>
      </c>
      <c r="L1847" s="6">
        <v>572.14</v>
      </c>
      <c r="M1847" s="6">
        <v>572.14</v>
      </c>
      <c r="N1847" s="6">
        <v>572.14</v>
      </c>
      <c r="O1847" s="6">
        <v>572.14</v>
      </c>
      <c r="P1847" s="6">
        <v>4787</v>
      </c>
      <c r="Q1847" s="4" t="s">
        <v>26</v>
      </c>
      <c r="R1847" s="4">
        <v>0</v>
      </c>
      <c r="S1847" s="4" t="s">
        <v>518</v>
      </c>
      <c r="T1847" s="4" t="s">
        <v>825</v>
      </c>
      <c r="U1847" s="4">
        <v>0</v>
      </c>
      <c r="V1847" s="4">
        <v>48</v>
      </c>
      <c r="W1847" s="4">
        <v>91</v>
      </c>
    </row>
    <row r="1848" spans="1:23" ht="11.25" customHeight="1" x14ac:dyDescent="0.25">
      <c r="A1848" s="4" t="s">
        <v>27</v>
      </c>
      <c r="B1848" s="4" t="s">
        <v>22</v>
      </c>
      <c r="C1848" s="4" t="s">
        <v>23</v>
      </c>
      <c r="D1848" s="4" t="s">
        <v>24</v>
      </c>
      <c r="E1848" s="4" t="s">
        <v>31</v>
      </c>
      <c r="F1848" s="4" t="s">
        <v>25</v>
      </c>
      <c r="G1848" s="4" t="s">
        <v>25</v>
      </c>
      <c r="H1848" s="4" t="s">
        <v>25</v>
      </c>
      <c r="I1848" s="5">
        <v>43831</v>
      </c>
      <c r="J1848" s="6">
        <v>0</v>
      </c>
      <c r="K1848" s="6">
        <v>0</v>
      </c>
      <c r="L1848" s="6">
        <v>0.47199999999999998</v>
      </c>
      <c r="M1848" s="6">
        <v>0.47199999999999998</v>
      </c>
      <c r="N1848" s="6">
        <v>0.47199999999999998</v>
      </c>
      <c r="O1848" s="6">
        <v>0.47199999999999998</v>
      </c>
      <c r="P1848" s="6">
        <v>1</v>
      </c>
      <c r="Q1848" s="4" t="s">
        <v>26</v>
      </c>
      <c r="R1848" s="4">
        <v>0</v>
      </c>
      <c r="S1848" s="4" t="s">
        <v>518</v>
      </c>
      <c r="T1848" s="4" t="s">
        <v>825</v>
      </c>
      <c r="U1848" s="4">
        <v>0</v>
      </c>
      <c r="V1848" s="4">
        <v>48</v>
      </c>
      <c r="W1848" s="4">
        <v>91</v>
      </c>
    </row>
    <row r="1849" spans="1:23" ht="11.25" customHeight="1" x14ac:dyDescent="0.25">
      <c r="A1849" s="4" t="s">
        <v>21</v>
      </c>
      <c r="B1849" s="4" t="s">
        <v>22</v>
      </c>
      <c r="C1849" s="4" t="s">
        <v>23</v>
      </c>
      <c r="D1849" s="4" t="s">
        <v>24</v>
      </c>
      <c r="E1849" s="4" t="s">
        <v>31</v>
      </c>
      <c r="F1849" s="4" t="s">
        <v>25</v>
      </c>
      <c r="G1849" s="4" t="s">
        <v>25</v>
      </c>
      <c r="H1849" s="4" t="s">
        <v>25</v>
      </c>
      <c r="I1849" s="5">
        <v>43862</v>
      </c>
      <c r="J1849" s="6">
        <v>0</v>
      </c>
      <c r="K1849" s="6">
        <v>0</v>
      </c>
      <c r="L1849" s="6">
        <v>504.05099999999999</v>
      </c>
      <c r="M1849" s="6">
        <v>504.05099999999999</v>
      </c>
      <c r="N1849" s="6">
        <v>504.05099999999999</v>
      </c>
      <c r="O1849" s="6">
        <v>504.05099999999999</v>
      </c>
      <c r="P1849" s="6">
        <v>5056</v>
      </c>
      <c r="Q1849" s="4" t="s">
        <v>26</v>
      </c>
      <c r="R1849" s="4">
        <v>0</v>
      </c>
      <c r="S1849" s="4" t="s">
        <v>519</v>
      </c>
      <c r="T1849" s="4" t="s">
        <v>826</v>
      </c>
      <c r="U1849" s="4">
        <v>0</v>
      </c>
      <c r="V1849" s="4">
        <v>48</v>
      </c>
      <c r="W1849" s="4">
        <v>91</v>
      </c>
    </row>
    <row r="1850" spans="1:23" ht="11.25" customHeight="1" x14ac:dyDescent="0.25">
      <c r="A1850" s="4" t="s">
        <v>21</v>
      </c>
      <c r="B1850" s="4" t="s">
        <v>22</v>
      </c>
      <c r="C1850" s="4" t="s">
        <v>23</v>
      </c>
      <c r="D1850" s="4" t="s">
        <v>24</v>
      </c>
      <c r="E1850" s="4" t="s">
        <v>31</v>
      </c>
      <c r="F1850" s="4" t="s">
        <v>25</v>
      </c>
      <c r="G1850" s="4" t="s">
        <v>25</v>
      </c>
      <c r="H1850" s="4" t="s">
        <v>25</v>
      </c>
      <c r="I1850" s="5">
        <v>43891</v>
      </c>
      <c r="J1850" s="6">
        <v>0</v>
      </c>
      <c r="K1850" s="6">
        <v>0</v>
      </c>
      <c r="L1850" s="6">
        <v>494.346</v>
      </c>
      <c r="M1850" s="6">
        <v>494.346</v>
      </c>
      <c r="N1850" s="6">
        <v>494.346</v>
      </c>
      <c r="O1850" s="6">
        <v>494.346</v>
      </c>
      <c r="P1850" s="6">
        <v>4739</v>
      </c>
      <c r="Q1850" s="4" t="s">
        <v>26</v>
      </c>
      <c r="R1850" s="4">
        <v>0</v>
      </c>
      <c r="S1850" s="4" t="s">
        <v>520</v>
      </c>
      <c r="T1850" s="4" t="s">
        <v>827</v>
      </c>
      <c r="U1850" s="4">
        <v>0</v>
      </c>
      <c r="V1850" s="4">
        <v>48</v>
      </c>
      <c r="W1850" s="4">
        <v>91</v>
      </c>
    </row>
    <row r="1851" spans="1:23" ht="11.25" customHeight="1" x14ac:dyDescent="0.25">
      <c r="A1851" s="4" t="s">
        <v>27</v>
      </c>
      <c r="B1851" s="4" t="s">
        <v>22</v>
      </c>
      <c r="C1851" s="4" t="s">
        <v>23</v>
      </c>
      <c r="D1851" s="4" t="s">
        <v>24</v>
      </c>
      <c r="E1851" s="4" t="s">
        <v>31</v>
      </c>
      <c r="F1851" s="4" t="s">
        <v>25</v>
      </c>
      <c r="G1851" s="4" t="s">
        <v>25</v>
      </c>
      <c r="H1851" s="4" t="s">
        <v>25</v>
      </c>
      <c r="I1851" s="5">
        <v>43891</v>
      </c>
      <c r="J1851" s="6">
        <v>0</v>
      </c>
      <c r="K1851" s="6">
        <v>0</v>
      </c>
      <c r="L1851" s="6">
        <v>0.503</v>
      </c>
      <c r="M1851" s="6">
        <v>0.503</v>
      </c>
      <c r="N1851" s="6">
        <v>0.503</v>
      </c>
      <c r="O1851" s="6">
        <v>0.503</v>
      </c>
      <c r="P1851" s="6">
        <v>1</v>
      </c>
      <c r="Q1851" s="4" t="s">
        <v>26</v>
      </c>
      <c r="R1851" s="4">
        <v>0</v>
      </c>
      <c r="S1851" s="4" t="s">
        <v>520</v>
      </c>
      <c r="T1851" s="4" t="s">
        <v>827</v>
      </c>
      <c r="U1851" s="4">
        <v>0</v>
      </c>
      <c r="V1851" s="4">
        <v>48</v>
      </c>
      <c r="W1851" s="4">
        <v>91</v>
      </c>
    </row>
    <row r="1852" spans="1:23" ht="11.25" customHeight="1" x14ac:dyDescent="0.25">
      <c r="A1852" s="4" t="s">
        <v>21</v>
      </c>
      <c r="B1852" s="4" t="s">
        <v>22</v>
      </c>
      <c r="C1852" s="4" t="s">
        <v>23</v>
      </c>
      <c r="D1852" s="4" t="s">
        <v>24</v>
      </c>
      <c r="E1852" s="4" t="s">
        <v>31</v>
      </c>
      <c r="F1852" s="4" t="s">
        <v>25</v>
      </c>
      <c r="G1852" s="4" t="s">
        <v>25</v>
      </c>
      <c r="H1852" s="4" t="s">
        <v>25</v>
      </c>
      <c r="I1852" s="5">
        <v>43922</v>
      </c>
      <c r="J1852" s="6">
        <v>0</v>
      </c>
      <c r="K1852" s="6">
        <v>0</v>
      </c>
      <c r="L1852" s="6">
        <v>559.23</v>
      </c>
      <c r="M1852" s="6">
        <v>559.23</v>
      </c>
      <c r="N1852" s="6">
        <v>559.23</v>
      </c>
      <c r="O1852" s="6">
        <v>559.23</v>
      </c>
      <c r="P1852" s="6">
        <v>4441</v>
      </c>
      <c r="Q1852" s="4" t="s">
        <v>26</v>
      </c>
      <c r="R1852" s="4">
        <v>0</v>
      </c>
      <c r="S1852" s="4" t="s">
        <v>521</v>
      </c>
      <c r="T1852" s="4" t="s">
        <v>828</v>
      </c>
      <c r="U1852" s="4">
        <v>0</v>
      </c>
      <c r="V1852" s="4">
        <v>48</v>
      </c>
      <c r="W1852" s="4">
        <v>91</v>
      </c>
    </row>
    <row r="1853" spans="1:23" ht="11.25" customHeight="1" x14ac:dyDescent="0.25">
      <c r="A1853" s="4" t="s">
        <v>27</v>
      </c>
      <c r="B1853" s="4" t="s">
        <v>22</v>
      </c>
      <c r="C1853" s="4" t="s">
        <v>23</v>
      </c>
      <c r="D1853" s="4" t="s">
        <v>24</v>
      </c>
      <c r="E1853" s="4" t="s">
        <v>31</v>
      </c>
      <c r="F1853" s="4" t="s">
        <v>25</v>
      </c>
      <c r="G1853" s="4" t="s">
        <v>25</v>
      </c>
      <c r="H1853" s="4" t="s">
        <v>25</v>
      </c>
      <c r="I1853" s="5">
        <v>43922</v>
      </c>
      <c r="J1853" s="6">
        <v>0</v>
      </c>
      <c r="K1853" s="6">
        <v>0</v>
      </c>
      <c r="L1853" s="6">
        <v>3.6040000000000001</v>
      </c>
      <c r="M1853" s="6">
        <v>3.6040000000000001</v>
      </c>
      <c r="N1853" s="6">
        <v>3.6040000000000001</v>
      </c>
      <c r="O1853" s="6">
        <v>3.6040000000000001</v>
      </c>
      <c r="P1853" s="6">
        <v>2</v>
      </c>
      <c r="Q1853" s="4" t="s">
        <v>26</v>
      </c>
      <c r="R1853" s="4">
        <v>0</v>
      </c>
      <c r="S1853" s="4" t="s">
        <v>521</v>
      </c>
      <c r="T1853" s="4" t="s">
        <v>828</v>
      </c>
      <c r="U1853" s="4">
        <v>0</v>
      </c>
      <c r="V1853" s="4">
        <v>48</v>
      </c>
      <c r="W1853" s="4">
        <v>91</v>
      </c>
    </row>
    <row r="1854" spans="1:23" ht="11.25" customHeight="1" x14ac:dyDescent="0.25">
      <c r="A1854" s="4" t="s">
        <v>21</v>
      </c>
      <c r="B1854" s="4" t="s">
        <v>22</v>
      </c>
      <c r="C1854" s="4" t="s">
        <v>23</v>
      </c>
      <c r="D1854" s="4" t="s">
        <v>24</v>
      </c>
      <c r="E1854" s="4" t="s">
        <v>31</v>
      </c>
      <c r="F1854" s="4" t="s">
        <v>25</v>
      </c>
      <c r="G1854" s="4" t="s">
        <v>25</v>
      </c>
      <c r="H1854" s="4" t="s">
        <v>25</v>
      </c>
      <c r="I1854" s="5">
        <v>43952</v>
      </c>
      <c r="J1854" s="6">
        <v>0</v>
      </c>
      <c r="K1854" s="6">
        <v>0</v>
      </c>
      <c r="L1854" s="6">
        <v>650.62800000000004</v>
      </c>
      <c r="M1854" s="6">
        <v>650.62800000000004</v>
      </c>
      <c r="N1854" s="6">
        <v>650.62800000000004</v>
      </c>
      <c r="O1854" s="6">
        <v>650.62800000000004</v>
      </c>
      <c r="P1854" s="6">
        <v>5488</v>
      </c>
      <c r="Q1854" s="4" t="s">
        <v>26</v>
      </c>
      <c r="R1854" s="4">
        <v>0</v>
      </c>
      <c r="S1854" s="4" t="s">
        <v>522</v>
      </c>
      <c r="T1854" s="4" t="s">
        <v>829</v>
      </c>
      <c r="U1854" s="4">
        <v>0</v>
      </c>
      <c r="V1854" s="4">
        <v>48</v>
      </c>
      <c r="W1854" s="4">
        <v>91</v>
      </c>
    </row>
    <row r="1855" spans="1:23" ht="11.25" customHeight="1" x14ac:dyDescent="0.25">
      <c r="A1855" s="4" t="s">
        <v>27</v>
      </c>
      <c r="B1855" s="4" t="s">
        <v>22</v>
      </c>
      <c r="C1855" s="4" t="s">
        <v>23</v>
      </c>
      <c r="D1855" s="4" t="s">
        <v>24</v>
      </c>
      <c r="E1855" s="4" t="s">
        <v>31</v>
      </c>
      <c r="F1855" s="4" t="s">
        <v>25</v>
      </c>
      <c r="G1855" s="4" t="s">
        <v>25</v>
      </c>
      <c r="H1855" s="4" t="s">
        <v>25</v>
      </c>
      <c r="I1855" s="5">
        <v>43952</v>
      </c>
      <c r="J1855" s="6">
        <v>0</v>
      </c>
      <c r="K1855" s="6">
        <v>0</v>
      </c>
      <c r="L1855" s="6">
        <v>9.8010000000000002</v>
      </c>
      <c r="M1855" s="6">
        <v>9.8010000000000002</v>
      </c>
      <c r="N1855" s="6">
        <v>9.8010000000000002</v>
      </c>
      <c r="O1855" s="6">
        <v>9.8010000000000002</v>
      </c>
      <c r="P1855" s="6">
        <v>0</v>
      </c>
      <c r="Q1855" s="4" t="s">
        <v>26</v>
      </c>
      <c r="R1855" s="4">
        <v>0</v>
      </c>
      <c r="S1855" s="4" t="s">
        <v>522</v>
      </c>
      <c r="T1855" s="4" t="s">
        <v>829</v>
      </c>
      <c r="U1855" s="4">
        <v>0</v>
      </c>
      <c r="V1855" s="4">
        <v>48</v>
      </c>
      <c r="W1855" s="4">
        <v>91</v>
      </c>
    </row>
    <row r="1856" spans="1:23" ht="11.25" customHeight="1" x14ac:dyDescent="0.25">
      <c r="A1856" s="4" t="s">
        <v>21</v>
      </c>
      <c r="B1856" s="4" t="s">
        <v>22</v>
      </c>
      <c r="C1856" s="4" t="s">
        <v>23</v>
      </c>
      <c r="D1856" s="4" t="s">
        <v>24</v>
      </c>
      <c r="E1856" s="4" t="s">
        <v>31</v>
      </c>
      <c r="F1856" s="4" t="s">
        <v>25</v>
      </c>
      <c r="G1856" s="4" t="s">
        <v>25</v>
      </c>
      <c r="H1856" s="4" t="s">
        <v>25</v>
      </c>
      <c r="I1856" s="5">
        <v>43983</v>
      </c>
      <c r="J1856" s="6">
        <v>0</v>
      </c>
      <c r="K1856" s="6">
        <v>0</v>
      </c>
      <c r="L1856" s="6">
        <v>631.74699999999996</v>
      </c>
      <c r="M1856" s="6">
        <v>631.74699999999996</v>
      </c>
      <c r="N1856" s="6">
        <v>631.74699999999996</v>
      </c>
      <c r="O1856" s="6">
        <v>631.74699999999996</v>
      </c>
      <c r="P1856" s="6">
        <v>6146</v>
      </c>
      <c r="Q1856" s="4" t="s">
        <v>26</v>
      </c>
      <c r="R1856" s="4">
        <v>0</v>
      </c>
      <c r="S1856" s="4" t="s">
        <v>523</v>
      </c>
      <c r="T1856" s="4" t="s">
        <v>830</v>
      </c>
      <c r="U1856" s="4">
        <v>0</v>
      </c>
      <c r="V1856" s="4">
        <v>48</v>
      </c>
      <c r="W1856" s="4">
        <v>91</v>
      </c>
    </row>
    <row r="1857" spans="1:23" ht="11.25" customHeight="1" x14ac:dyDescent="0.25">
      <c r="A1857" s="4" t="s">
        <v>27</v>
      </c>
      <c r="B1857" s="4" t="s">
        <v>22</v>
      </c>
      <c r="C1857" s="4" t="s">
        <v>23</v>
      </c>
      <c r="D1857" s="4" t="s">
        <v>24</v>
      </c>
      <c r="E1857" s="4" t="s">
        <v>31</v>
      </c>
      <c r="F1857" s="4" t="s">
        <v>25</v>
      </c>
      <c r="G1857" s="4" t="s">
        <v>25</v>
      </c>
      <c r="H1857" s="4" t="s">
        <v>25</v>
      </c>
      <c r="I1857" s="5">
        <v>43983</v>
      </c>
      <c r="J1857" s="6">
        <v>0</v>
      </c>
      <c r="K1857" s="6">
        <v>0</v>
      </c>
      <c r="L1857" s="6">
        <v>0.84</v>
      </c>
      <c r="M1857" s="6">
        <v>0.84</v>
      </c>
      <c r="N1857" s="6">
        <v>0.84</v>
      </c>
      <c r="O1857" s="6">
        <v>0.84</v>
      </c>
      <c r="P1857" s="6">
        <v>0</v>
      </c>
      <c r="Q1857" s="4" t="s">
        <v>26</v>
      </c>
      <c r="R1857" s="4">
        <v>0</v>
      </c>
      <c r="S1857" s="4" t="s">
        <v>523</v>
      </c>
      <c r="T1857" s="4" t="s">
        <v>830</v>
      </c>
      <c r="U1857" s="4">
        <v>0</v>
      </c>
      <c r="V1857" s="4">
        <v>48</v>
      </c>
      <c r="W1857" s="4">
        <v>91</v>
      </c>
    </row>
    <row r="1858" spans="1:23" ht="11.25" customHeight="1" x14ac:dyDescent="0.25">
      <c r="A1858" s="4" t="s">
        <v>21</v>
      </c>
      <c r="B1858" s="4" t="s">
        <v>22</v>
      </c>
      <c r="C1858" s="4" t="s">
        <v>23</v>
      </c>
      <c r="D1858" s="4" t="s">
        <v>24</v>
      </c>
      <c r="E1858" s="4" t="s">
        <v>31</v>
      </c>
      <c r="F1858" s="4" t="s">
        <v>25</v>
      </c>
      <c r="G1858" s="4" t="s">
        <v>25</v>
      </c>
      <c r="H1858" s="4" t="s">
        <v>25</v>
      </c>
      <c r="I1858" s="5">
        <v>44013</v>
      </c>
      <c r="J1858" s="6">
        <v>0</v>
      </c>
      <c r="K1858" s="6">
        <v>0</v>
      </c>
      <c r="L1858" s="6">
        <v>691.83699999999999</v>
      </c>
      <c r="M1858" s="6">
        <v>691.83699999999999</v>
      </c>
      <c r="N1858" s="6">
        <v>691.83699999999999</v>
      </c>
      <c r="O1858" s="6">
        <v>691.83699999999999</v>
      </c>
      <c r="P1858" s="6">
        <v>6209</v>
      </c>
      <c r="Q1858" s="4" t="s">
        <v>26</v>
      </c>
      <c r="R1858" s="4">
        <v>0</v>
      </c>
      <c r="S1858" s="4" t="s">
        <v>524</v>
      </c>
      <c r="T1858" s="4" t="s">
        <v>831</v>
      </c>
      <c r="U1858" s="4">
        <v>0</v>
      </c>
      <c r="V1858" s="4">
        <v>48</v>
      </c>
      <c r="W1858" s="4">
        <v>91</v>
      </c>
    </row>
    <row r="1859" spans="1:23" ht="11.25" customHeight="1" x14ac:dyDescent="0.25">
      <c r="A1859" s="4" t="s">
        <v>27</v>
      </c>
      <c r="B1859" s="4" t="s">
        <v>22</v>
      </c>
      <c r="C1859" s="4" t="s">
        <v>23</v>
      </c>
      <c r="D1859" s="4" t="s">
        <v>24</v>
      </c>
      <c r="E1859" s="4" t="s">
        <v>31</v>
      </c>
      <c r="F1859" s="4" t="s">
        <v>25</v>
      </c>
      <c r="G1859" s="4" t="s">
        <v>25</v>
      </c>
      <c r="H1859" s="4" t="s">
        <v>25</v>
      </c>
      <c r="I1859" s="5">
        <v>44013</v>
      </c>
      <c r="J1859" s="6">
        <v>0</v>
      </c>
      <c r="K1859" s="6">
        <v>0</v>
      </c>
      <c r="L1859" s="6">
        <v>0.48</v>
      </c>
      <c r="M1859" s="6">
        <v>0.48</v>
      </c>
      <c r="N1859" s="6">
        <v>0.48</v>
      </c>
      <c r="O1859" s="6">
        <v>0.48</v>
      </c>
      <c r="P1859" s="6">
        <v>0</v>
      </c>
      <c r="Q1859" s="4" t="s">
        <v>26</v>
      </c>
      <c r="R1859" s="4">
        <v>0</v>
      </c>
      <c r="S1859" s="4" t="s">
        <v>524</v>
      </c>
      <c r="T1859" s="4" t="s">
        <v>831</v>
      </c>
      <c r="U1859" s="4">
        <v>0</v>
      </c>
      <c r="V1859" s="4">
        <v>48</v>
      </c>
      <c r="W1859" s="4">
        <v>91</v>
      </c>
    </row>
    <row r="1860" spans="1:23" ht="11.25" customHeight="1" x14ac:dyDescent="0.25">
      <c r="A1860" s="4" t="s">
        <v>21</v>
      </c>
      <c r="B1860" s="4" t="s">
        <v>22</v>
      </c>
      <c r="C1860" s="4" t="s">
        <v>23</v>
      </c>
      <c r="D1860" s="4" t="s">
        <v>24</v>
      </c>
      <c r="E1860" s="4" t="s">
        <v>31</v>
      </c>
      <c r="F1860" s="4" t="s">
        <v>25</v>
      </c>
      <c r="G1860" s="4" t="s">
        <v>25</v>
      </c>
      <c r="H1860" s="4" t="s">
        <v>25</v>
      </c>
      <c r="I1860" s="5">
        <v>44044</v>
      </c>
      <c r="J1860" s="6">
        <v>0</v>
      </c>
      <c r="K1860" s="6">
        <v>0</v>
      </c>
      <c r="L1860" s="6">
        <v>781.39599999999996</v>
      </c>
      <c r="M1860" s="6">
        <v>781.39599999999996</v>
      </c>
      <c r="N1860" s="6">
        <v>781.39599999999996</v>
      </c>
      <c r="O1860" s="6">
        <v>781.39599999999996</v>
      </c>
      <c r="P1860" s="6">
        <v>6036</v>
      </c>
      <c r="Q1860" s="4" t="s">
        <v>26</v>
      </c>
      <c r="R1860" s="4">
        <v>0</v>
      </c>
      <c r="S1860" s="4" t="s">
        <v>525</v>
      </c>
      <c r="T1860" s="4" t="s">
        <v>832</v>
      </c>
      <c r="U1860" s="4">
        <v>0</v>
      </c>
      <c r="V1860" s="4">
        <v>48</v>
      </c>
      <c r="W1860" s="4">
        <v>91</v>
      </c>
    </row>
    <row r="1861" spans="1:23" ht="11.25" customHeight="1" x14ac:dyDescent="0.25">
      <c r="A1861" s="4" t="s">
        <v>27</v>
      </c>
      <c r="B1861" s="4" t="s">
        <v>22</v>
      </c>
      <c r="C1861" s="4" t="s">
        <v>23</v>
      </c>
      <c r="D1861" s="4" t="s">
        <v>24</v>
      </c>
      <c r="E1861" s="4" t="s">
        <v>31</v>
      </c>
      <c r="F1861" s="4" t="s">
        <v>25</v>
      </c>
      <c r="G1861" s="4" t="s">
        <v>25</v>
      </c>
      <c r="H1861" s="4" t="s">
        <v>25</v>
      </c>
      <c r="I1861" s="5">
        <v>44044</v>
      </c>
      <c r="J1861" s="6">
        <v>0</v>
      </c>
      <c r="K1861" s="6">
        <v>0</v>
      </c>
      <c r="L1861" s="6">
        <v>0.28199999999999997</v>
      </c>
      <c r="M1861" s="6">
        <v>0.28199999999999997</v>
      </c>
      <c r="N1861" s="6">
        <v>0.28199999999999997</v>
      </c>
      <c r="O1861" s="6">
        <v>0.28199999999999997</v>
      </c>
      <c r="P1861" s="6">
        <v>2</v>
      </c>
      <c r="Q1861" s="4" t="s">
        <v>26</v>
      </c>
      <c r="R1861" s="4">
        <v>0</v>
      </c>
      <c r="S1861" s="4" t="s">
        <v>525</v>
      </c>
      <c r="T1861" s="4" t="s">
        <v>832</v>
      </c>
      <c r="U1861" s="4">
        <v>0</v>
      </c>
      <c r="V1861" s="4">
        <v>48</v>
      </c>
      <c r="W1861" s="4">
        <v>91</v>
      </c>
    </row>
    <row r="1862" spans="1:23" ht="11.25" customHeight="1" x14ac:dyDescent="0.25">
      <c r="A1862" s="4" t="s">
        <v>59</v>
      </c>
      <c r="B1862" s="4" t="s">
        <v>22</v>
      </c>
      <c r="C1862" s="4" t="s">
        <v>23</v>
      </c>
      <c r="D1862" s="4" t="s">
        <v>24</v>
      </c>
      <c r="E1862" s="4" t="s">
        <v>31</v>
      </c>
      <c r="F1862" s="4" t="s">
        <v>25</v>
      </c>
      <c r="G1862" s="4" t="s">
        <v>25</v>
      </c>
      <c r="H1862" s="4" t="s">
        <v>25</v>
      </c>
      <c r="I1862" s="5">
        <v>44075</v>
      </c>
      <c r="J1862" s="6">
        <v>0</v>
      </c>
      <c r="K1862" s="6">
        <v>0</v>
      </c>
      <c r="L1862" s="6">
        <v>781.39599999999996</v>
      </c>
      <c r="M1862" s="6">
        <v>781.39599999999996</v>
      </c>
      <c r="N1862" s="6">
        <v>781.39599999999996</v>
      </c>
      <c r="O1862" s="6">
        <v>781.39599999999996</v>
      </c>
      <c r="P1862" s="6">
        <v>6036</v>
      </c>
      <c r="Q1862" s="4" t="s">
        <v>26</v>
      </c>
      <c r="R1862" s="4">
        <v>0</v>
      </c>
      <c r="S1862" s="4" t="s">
        <v>526</v>
      </c>
      <c r="T1862" s="4" t="s">
        <v>833</v>
      </c>
      <c r="U1862" s="4">
        <v>0</v>
      </c>
      <c r="V1862" s="4">
        <v>48</v>
      </c>
      <c r="W1862" s="4">
        <v>91</v>
      </c>
    </row>
    <row r="1863" spans="1:23" ht="11.25" customHeight="1" x14ac:dyDescent="0.25">
      <c r="A1863" s="4" t="s">
        <v>59</v>
      </c>
      <c r="B1863" s="4" t="s">
        <v>22</v>
      </c>
      <c r="C1863" s="4" t="s">
        <v>23</v>
      </c>
      <c r="D1863" s="4" t="s">
        <v>24</v>
      </c>
      <c r="E1863" s="4" t="s">
        <v>31</v>
      </c>
      <c r="F1863" s="4" t="s">
        <v>25</v>
      </c>
      <c r="G1863" s="4" t="s">
        <v>25</v>
      </c>
      <c r="H1863" s="4" t="s">
        <v>25</v>
      </c>
      <c r="I1863" s="5">
        <v>44075</v>
      </c>
      <c r="J1863" s="6">
        <v>0</v>
      </c>
      <c r="K1863" s="6">
        <v>0</v>
      </c>
      <c r="L1863" s="6">
        <v>0.28199999999999997</v>
      </c>
      <c r="M1863" s="6">
        <v>0.28199999999999997</v>
      </c>
      <c r="N1863" s="6">
        <v>0.28199999999999997</v>
      </c>
      <c r="O1863" s="6">
        <v>0.28199999999999997</v>
      </c>
      <c r="P1863" s="6">
        <v>2</v>
      </c>
      <c r="Q1863" s="4" t="s">
        <v>26</v>
      </c>
      <c r="R1863" s="4">
        <v>0</v>
      </c>
      <c r="S1863" s="4" t="s">
        <v>526</v>
      </c>
      <c r="T1863" s="4" t="s">
        <v>833</v>
      </c>
      <c r="U1863" s="4">
        <v>0</v>
      </c>
      <c r="V1863" s="4">
        <v>48</v>
      </c>
      <c r="W1863" s="4">
        <v>91</v>
      </c>
    </row>
    <row r="1864" spans="1:23" ht="11.25" customHeight="1" x14ac:dyDescent="0.25">
      <c r="A1864" s="4" t="s">
        <v>21</v>
      </c>
      <c r="B1864" s="4" t="s">
        <v>22</v>
      </c>
      <c r="C1864" s="4" t="s">
        <v>23</v>
      </c>
      <c r="D1864" s="4" t="s">
        <v>24</v>
      </c>
      <c r="E1864" s="4" t="s">
        <v>32</v>
      </c>
      <c r="F1864" s="4" t="s">
        <v>25</v>
      </c>
      <c r="G1864" s="4" t="s">
        <v>25</v>
      </c>
      <c r="H1864" s="4" t="s">
        <v>25</v>
      </c>
      <c r="I1864" s="5">
        <v>43739</v>
      </c>
      <c r="J1864" s="6">
        <v>0</v>
      </c>
      <c r="K1864" s="6">
        <v>0</v>
      </c>
      <c r="L1864" s="6">
        <v>187.739</v>
      </c>
      <c r="M1864" s="6">
        <v>187.739</v>
      </c>
      <c r="N1864" s="6">
        <v>187.739</v>
      </c>
      <c r="O1864" s="6">
        <v>187.739</v>
      </c>
      <c r="P1864" s="6">
        <v>2112</v>
      </c>
      <c r="Q1864" s="4" t="s">
        <v>26</v>
      </c>
      <c r="R1864" s="4">
        <v>0</v>
      </c>
      <c r="S1864" s="4" t="s">
        <v>527</v>
      </c>
      <c r="T1864" s="4" t="s">
        <v>834</v>
      </c>
      <c r="U1864" s="4">
        <v>0</v>
      </c>
      <c r="V1864" s="4">
        <v>49</v>
      </c>
      <c r="W1864" s="4">
        <v>92</v>
      </c>
    </row>
    <row r="1865" spans="1:23" ht="11.25" customHeight="1" x14ac:dyDescent="0.25">
      <c r="A1865" s="4" t="s">
        <v>27</v>
      </c>
      <c r="B1865" s="4" t="s">
        <v>22</v>
      </c>
      <c r="C1865" s="4" t="s">
        <v>23</v>
      </c>
      <c r="D1865" s="4" t="s">
        <v>24</v>
      </c>
      <c r="E1865" s="4" t="s">
        <v>32</v>
      </c>
      <c r="F1865" s="4" t="s">
        <v>25</v>
      </c>
      <c r="G1865" s="4" t="s">
        <v>25</v>
      </c>
      <c r="H1865" s="4" t="s">
        <v>25</v>
      </c>
      <c r="I1865" s="5">
        <v>43739</v>
      </c>
      <c r="J1865" s="6">
        <v>0</v>
      </c>
      <c r="K1865" s="6">
        <v>0</v>
      </c>
      <c r="L1865" s="6">
        <v>0.14699999999999999</v>
      </c>
      <c r="M1865" s="6">
        <v>0.14699999999999999</v>
      </c>
      <c r="N1865" s="6">
        <v>0.14699999999999999</v>
      </c>
      <c r="O1865" s="6">
        <v>0.14699999999999999</v>
      </c>
      <c r="P1865" s="6">
        <v>1</v>
      </c>
      <c r="Q1865" s="4" t="s">
        <v>26</v>
      </c>
      <c r="R1865" s="4">
        <v>0</v>
      </c>
      <c r="S1865" s="4" t="s">
        <v>527</v>
      </c>
      <c r="T1865" s="4" t="s">
        <v>834</v>
      </c>
      <c r="U1865" s="4">
        <v>0</v>
      </c>
      <c r="V1865" s="4">
        <v>49</v>
      </c>
      <c r="W1865" s="4">
        <v>92</v>
      </c>
    </row>
    <row r="1866" spans="1:23" ht="11.25" customHeight="1" x14ac:dyDescent="0.25">
      <c r="A1866" s="4" t="s">
        <v>21</v>
      </c>
      <c r="B1866" s="4" t="s">
        <v>22</v>
      </c>
      <c r="C1866" s="4" t="s">
        <v>23</v>
      </c>
      <c r="D1866" s="4" t="s">
        <v>24</v>
      </c>
      <c r="E1866" s="4" t="s">
        <v>32</v>
      </c>
      <c r="F1866" s="4" t="s">
        <v>25</v>
      </c>
      <c r="G1866" s="4" t="s">
        <v>25</v>
      </c>
      <c r="H1866" s="4" t="s">
        <v>25</v>
      </c>
      <c r="I1866" s="5">
        <v>43770</v>
      </c>
      <c r="J1866" s="6">
        <v>0</v>
      </c>
      <c r="K1866" s="6">
        <v>0</v>
      </c>
      <c r="L1866" s="6">
        <v>236.78100000000001</v>
      </c>
      <c r="M1866" s="6">
        <v>236.78100000000001</v>
      </c>
      <c r="N1866" s="6">
        <v>236.78100000000001</v>
      </c>
      <c r="O1866" s="6">
        <v>236.78100000000001</v>
      </c>
      <c r="P1866" s="6">
        <v>2599</v>
      </c>
      <c r="Q1866" s="4" t="s">
        <v>26</v>
      </c>
      <c r="R1866" s="4">
        <v>0</v>
      </c>
      <c r="S1866" s="4" t="s">
        <v>528</v>
      </c>
      <c r="T1866" s="4" t="s">
        <v>835</v>
      </c>
      <c r="U1866" s="4">
        <v>0</v>
      </c>
      <c r="V1866" s="4">
        <v>49</v>
      </c>
      <c r="W1866" s="4">
        <v>92</v>
      </c>
    </row>
    <row r="1867" spans="1:23" ht="11.25" customHeight="1" x14ac:dyDescent="0.25">
      <c r="A1867" s="4" t="s">
        <v>27</v>
      </c>
      <c r="B1867" s="4" t="s">
        <v>22</v>
      </c>
      <c r="C1867" s="4" t="s">
        <v>23</v>
      </c>
      <c r="D1867" s="4" t="s">
        <v>24</v>
      </c>
      <c r="E1867" s="4" t="s">
        <v>32</v>
      </c>
      <c r="F1867" s="4" t="s">
        <v>25</v>
      </c>
      <c r="G1867" s="4" t="s">
        <v>25</v>
      </c>
      <c r="H1867" s="4" t="s">
        <v>25</v>
      </c>
      <c r="I1867" s="5">
        <v>43770</v>
      </c>
      <c r="J1867" s="6">
        <v>0</v>
      </c>
      <c r="K1867" s="6">
        <v>0</v>
      </c>
      <c r="L1867" s="6">
        <v>0.13300000000000001</v>
      </c>
      <c r="M1867" s="6">
        <v>0.13300000000000001</v>
      </c>
      <c r="N1867" s="6">
        <v>0.13300000000000001</v>
      </c>
      <c r="O1867" s="6">
        <v>0.13300000000000001</v>
      </c>
      <c r="P1867" s="6">
        <v>1</v>
      </c>
      <c r="Q1867" s="4" t="s">
        <v>26</v>
      </c>
      <c r="R1867" s="4">
        <v>0</v>
      </c>
      <c r="S1867" s="4" t="s">
        <v>528</v>
      </c>
      <c r="T1867" s="4" t="s">
        <v>835</v>
      </c>
      <c r="U1867" s="4">
        <v>0</v>
      </c>
      <c r="V1867" s="4">
        <v>49</v>
      </c>
      <c r="W1867" s="4">
        <v>92</v>
      </c>
    </row>
    <row r="1868" spans="1:23" ht="11.25" customHeight="1" x14ac:dyDescent="0.25">
      <c r="A1868" s="4" t="s">
        <v>21</v>
      </c>
      <c r="B1868" s="4" t="s">
        <v>22</v>
      </c>
      <c r="C1868" s="4" t="s">
        <v>23</v>
      </c>
      <c r="D1868" s="4" t="s">
        <v>24</v>
      </c>
      <c r="E1868" s="4" t="s">
        <v>32</v>
      </c>
      <c r="F1868" s="4" t="s">
        <v>25</v>
      </c>
      <c r="G1868" s="4" t="s">
        <v>25</v>
      </c>
      <c r="H1868" s="4" t="s">
        <v>25</v>
      </c>
      <c r="I1868" s="5">
        <v>43800</v>
      </c>
      <c r="J1868" s="6">
        <v>0</v>
      </c>
      <c r="K1868" s="6">
        <v>0</v>
      </c>
      <c r="L1868" s="6">
        <v>149.327</v>
      </c>
      <c r="M1868" s="6">
        <v>149.327</v>
      </c>
      <c r="N1868" s="6">
        <v>149.327</v>
      </c>
      <c r="O1868" s="6">
        <v>149.327</v>
      </c>
      <c r="P1868" s="6">
        <v>1858</v>
      </c>
      <c r="Q1868" s="4" t="s">
        <v>26</v>
      </c>
      <c r="R1868" s="4">
        <v>0</v>
      </c>
      <c r="S1868" s="4" t="s">
        <v>529</v>
      </c>
      <c r="T1868" s="4" t="s">
        <v>836</v>
      </c>
      <c r="U1868" s="4">
        <v>0</v>
      </c>
      <c r="V1868" s="4">
        <v>49</v>
      </c>
      <c r="W1868" s="4">
        <v>92</v>
      </c>
    </row>
    <row r="1869" spans="1:23" ht="11.25" customHeight="1" x14ac:dyDescent="0.25">
      <c r="A1869" s="4" t="s">
        <v>21</v>
      </c>
      <c r="B1869" s="4" t="s">
        <v>22</v>
      </c>
      <c r="C1869" s="4" t="s">
        <v>23</v>
      </c>
      <c r="D1869" s="4" t="s">
        <v>24</v>
      </c>
      <c r="E1869" s="4" t="s">
        <v>32</v>
      </c>
      <c r="F1869" s="4" t="s">
        <v>25</v>
      </c>
      <c r="G1869" s="4" t="s">
        <v>25</v>
      </c>
      <c r="H1869" s="4" t="s">
        <v>25</v>
      </c>
      <c r="I1869" s="5">
        <v>43831</v>
      </c>
      <c r="J1869" s="6">
        <v>0</v>
      </c>
      <c r="K1869" s="6">
        <v>0</v>
      </c>
      <c r="L1869" s="6">
        <v>219.71600000000001</v>
      </c>
      <c r="M1869" s="6">
        <v>219.71600000000001</v>
      </c>
      <c r="N1869" s="6">
        <v>219.71600000000001</v>
      </c>
      <c r="O1869" s="6">
        <v>219.71600000000001</v>
      </c>
      <c r="P1869" s="6">
        <v>2483</v>
      </c>
      <c r="Q1869" s="4" t="s">
        <v>26</v>
      </c>
      <c r="R1869" s="4">
        <v>0</v>
      </c>
      <c r="S1869" s="4" t="s">
        <v>530</v>
      </c>
      <c r="T1869" s="4" t="s">
        <v>837</v>
      </c>
      <c r="U1869" s="4">
        <v>0</v>
      </c>
      <c r="V1869" s="4">
        <v>49</v>
      </c>
      <c r="W1869" s="4">
        <v>92</v>
      </c>
    </row>
    <row r="1870" spans="1:23" ht="11.25" customHeight="1" x14ac:dyDescent="0.25">
      <c r="A1870" s="4" t="s">
        <v>27</v>
      </c>
      <c r="B1870" s="4" t="s">
        <v>22</v>
      </c>
      <c r="C1870" s="4" t="s">
        <v>23</v>
      </c>
      <c r="D1870" s="4" t="s">
        <v>24</v>
      </c>
      <c r="E1870" s="4" t="s">
        <v>32</v>
      </c>
      <c r="F1870" s="4" t="s">
        <v>25</v>
      </c>
      <c r="G1870" s="4" t="s">
        <v>25</v>
      </c>
      <c r="H1870" s="4" t="s">
        <v>25</v>
      </c>
      <c r="I1870" s="5">
        <v>43831</v>
      </c>
      <c r="J1870" s="6">
        <v>0</v>
      </c>
      <c r="K1870" s="6">
        <v>0</v>
      </c>
      <c r="L1870" s="6">
        <v>0.161</v>
      </c>
      <c r="M1870" s="6">
        <v>0.161</v>
      </c>
      <c r="N1870" s="6">
        <v>0.161</v>
      </c>
      <c r="O1870" s="6">
        <v>0.161</v>
      </c>
      <c r="P1870" s="6">
        <v>2</v>
      </c>
      <c r="Q1870" s="4" t="s">
        <v>26</v>
      </c>
      <c r="R1870" s="4">
        <v>0</v>
      </c>
      <c r="S1870" s="4" t="s">
        <v>530</v>
      </c>
      <c r="T1870" s="4" t="s">
        <v>837</v>
      </c>
      <c r="U1870" s="4">
        <v>0</v>
      </c>
      <c r="V1870" s="4">
        <v>49</v>
      </c>
      <c r="W1870" s="4">
        <v>92</v>
      </c>
    </row>
    <row r="1871" spans="1:23" ht="11.25" customHeight="1" x14ac:dyDescent="0.25">
      <c r="A1871" s="4" t="s">
        <v>21</v>
      </c>
      <c r="B1871" s="4" t="s">
        <v>22</v>
      </c>
      <c r="C1871" s="4" t="s">
        <v>23</v>
      </c>
      <c r="D1871" s="4" t="s">
        <v>24</v>
      </c>
      <c r="E1871" s="4" t="s">
        <v>32</v>
      </c>
      <c r="F1871" s="4" t="s">
        <v>25</v>
      </c>
      <c r="G1871" s="4" t="s">
        <v>25</v>
      </c>
      <c r="H1871" s="4" t="s">
        <v>25</v>
      </c>
      <c r="I1871" s="5">
        <v>43862</v>
      </c>
      <c r="J1871" s="6">
        <v>0</v>
      </c>
      <c r="K1871" s="6">
        <v>0</v>
      </c>
      <c r="L1871" s="6">
        <v>154.23699999999999</v>
      </c>
      <c r="M1871" s="6">
        <v>154.23699999999999</v>
      </c>
      <c r="N1871" s="6">
        <v>154.23699999999999</v>
      </c>
      <c r="O1871" s="6">
        <v>154.23699999999999</v>
      </c>
      <c r="P1871" s="6">
        <v>1911</v>
      </c>
      <c r="Q1871" s="4" t="s">
        <v>26</v>
      </c>
      <c r="R1871" s="4">
        <v>0</v>
      </c>
      <c r="S1871" s="4" t="s">
        <v>531</v>
      </c>
      <c r="T1871" s="4" t="s">
        <v>838</v>
      </c>
      <c r="U1871" s="4">
        <v>0</v>
      </c>
      <c r="V1871" s="4">
        <v>49</v>
      </c>
      <c r="W1871" s="4">
        <v>92</v>
      </c>
    </row>
    <row r="1872" spans="1:23" ht="11.25" customHeight="1" x14ac:dyDescent="0.25">
      <c r="A1872" s="4" t="s">
        <v>21</v>
      </c>
      <c r="B1872" s="4" t="s">
        <v>22</v>
      </c>
      <c r="C1872" s="4" t="s">
        <v>23</v>
      </c>
      <c r="D1872" s="4" t="s">
        <v>24</v>
      </c>
      <c r="E1872" s="4" t="s">
        <v>32</v>
      </c>
      <c r="F1872" s="4" t="s">
        <v>25</v>
      </c>
      <c r="G1872" s="4" t="s">
        <v>25</v>
      </c>
      <c r="H1872" s="4" t="s">
        <v>25</v>
      </c>
      <c r="I1872" s="5">
        <v>43891</v>
      </c>
      <c r="J1872" s="6">
        <v>0</v>
      </c>
      <c r="K1872" s="6">
        <v>0</v>
      </c>
      <c r="L1872" s="6">
        <v>163.06700000000001</v>
      </c>
      <c r="M1872" s="6">
        <v>163.06700000000001</v>
      </c>
      <c r="N1872" s="6">
        <v>163.06700000000001</v>
      </c>
      <c r="O1872" s="6">
        <v>163.06700000000001</v>
      </c>
      <c r="P1872" s="6">
        <v>1921</v>
      </c>
      <c r="Q1872" s="4" t="s">
        <v>26</v>
      </c>
      <c r="R1872" s="4">
        <v>0</v>
      </c>
      <c r="S1872" s="4" t="s">
        <v>532</v>
      </c>
      <c r="T1872" s="4" t="s">
        <v>839</v>
      </c>
      <c r="U1872" s="4">
        <v>0</v>
      </c>
      <c r="V1872" s="4">
        <v>49</v>
      </c>
      <c r="W1872" s="4">
        <v>92</v>
      </c>
    </row>
    <row r="1873" spans="1:23" ht="11.25" customHeight="1" x14ac:dyDescent="0.25">
      <c r="A1873" s="4" t="s">
        <v>27</v>
      </c>
      <c r="B1873" s="4" t="s">
        <v>22</v>
      </c>
      <c r="C1873" s="4" t="s">
        <v>23</v>
      </c>
      <c r="D1873" s="4" t="s">
        <v>24</v>
      </c>
      <c r="E1873" s="4" t="s">
        <v>32</v>
      </c>
      <c r="F1873" s="4" t="s">
        <v>25</v>
      </c>
      <c r="G1873" s="4" t="s">
        <v>25</v>
      </c>
      <c r="H1873" s="4" t="s">
        <v>25</v>
      </c>
      <c r="I1873" s="5">
        <v>43891</v>
      </c>
      <c r="J1873" s="6">
        <v>0</v>
      </c>
      <c r="K1873" s="6">
        <v>0</v>
      </c>
      <c r="L1873" s="6">
        <v>0.218</v>
      </c>
      <c r="M1873" s="6">
        <v>0.218</v>
      </c>
      <c r="N1873" s="6">
        <v>0.218</v>
      </c>
      <c r="O1873" s="6">
        <v>0.218</v>
      </c>
      <c r="P1873" s="6">
        <v>2</v>
      </c>
      <c r="Q1873" s="4" t="s">
        <v>26</v>
      </c>
      <c r="R1873" s="4">
        <v>0</v>
      </c>
      <c r="S1873" s="4" t="s">
        <v>532</v>
      </c>
      <c r="T1873" s="4" t="s">
        <v>839</v>
      </c>
      <c r="U1873" s="4">
        <v>0</v>
      </c>
      <c r="V1873" s="4">
        <v>49</v>
      </c>
      <c r="W1873" s="4">
        <v>92</v>
      </c>
    </row>
    <row r="1874" spans="1:23" ht="11.25" customHeight="1" x14ac:dyDescent="0.25">
      <c r="A1874" s="4" t="s">
        <v>21</v>
      </c>
      <c r="B1874" s="4" t="s">
        <v>22</v>
      </c>
      <c r="C1874" s="4" t="s">
        <v>23</v>
      </c>
      <c r="D1874" s="4" t="s">
        <v>24</v>
      </c>
      <c r="E1874" s="4" t="s">
        <v>32</v>
      </c>
      <c r="F1874" s="4" t="s">
        <v>25</v>
      </c>
      <c r="G1874" s="4" t="s">
        <v>25</v>
      </c>
      <c r="H1874" s="4" t="s">
        <v>25</v>
      </c>
      <c r="I1874" s="5">
        <v>43922</v>
      </c>
      <c r="J1874" s="6">
        <v>0</v>
      </c>
      <c r="K1874" s="6">
        <v>0</v>
      </c>
      <c r="L1874" s="6">
        <v>226.65199999999999</v>
      </c>
      <c r="M1874" s="6">
        <v>226.65199999999999</v>
      </c>
      <c r="N1874" s="6">
        <v>226.65199999999999</v>
      </c>
      <c r="O1874" s="6">
        <v>226.65199999999999</v>
      </c>
      <c r="P1874" s="6">
        <v>2463</v>
      </c>
      <c r="Q1874" s="4" t="s">
        <v>26</v>
      </c>
      <c r="R1874" s="4">
        <v>0</v>
      </c>
      <c r="S1874" s="4" t="s">
        <v>533</v>
      </c>
      <c r="T1874" s="4" t="s">
        <v>840</v>
      </c>
      <c r="U1874" s="4">
        <v>0</v>
      </c>
      <c r="V1874" s="4">
        <v>49</v>
      </c>
      <c r="W1874" s="4">
        <v>92</v>
      </c>
    </row>
    <row r="1875" spans="1:23" ht="11.25" customHeight="1" x14ac:dyDescent="0.25">
      <c r="A1875" s="4" t="s">
        <v>27</v>
      </c>
      <c r="B1875" s="4" t="s">
        <v>22</v>
      </c>
      <c r="C1875" s="4" t="s">
        <v>23</v>
      </c>
      <c r="D1875" s="4" t="s">
        <v>24</v>
      </c>
      <c r="E1875" s="4" t="s">
        <v>32</v>
      </c>
      <c r="F1875" s="4" t="s">
        <v>25</v>
      </c>
      <c r="G1875" s="4" t="s">
        <v>25</v>
      </c>
      <c r="H1875" s="4" t="s">
        <v>25</v>
      </c>
      <c r="I1875" s="5">
        <v>43922</v>
      </c>
      <c r="J1875" s="6">
        <v>0</v>
      </c>
      <c r="K1875" s="6">
        <v>0</v>
      </c>
      <c r="L1875" s="6">
        <v>1.794</v>
      </c>
      <c r="M1875" s="6">
        <v>1.794</v>
      </c>
      <c r="N1875" s="6">
        <v>1.794</v>
      </c>
      <c r="O1875" s="6">
        <v>1.794</v>
      </c>
      <c r="P1875" s="6">
        <v>29</v>
      </c>
      <c r="Q1875" s="4" t="s">
        <v>26</v>
      </c>
      <c r="R1875" s="4">
        <v>0</v>
      </c>
      <c r="S1875" s="4" t="s">
        <v>533</v>
      </c>
      <c r="T1875" s="4" t="s">
        <v>840</v>
      </c>
      <c r="U1875" s="4">
        <v>0</v>
      </c>
      <c r="V1875" s="4">
        <v>49</v>
      </c>
      <c r="W1875" s="4">
        <v>92</v>
      </c>
    </row>
    <row r="1876" spans="1:23" ht="11.25" customHeight="1" x14ac:dyDescent="0.25">
      <c r="A1876" s="4" t="s">
        <v>21</v>
      </c>
      <c r="B1876" s="4" t="s">
        <v>22</v>
      </c>
      <c r="C1876" s="4" t="s">
        <v>23</v>
      </c>
      <c r="D1876" s="4" t="s">
        <v>24</v>
      </c>
      <c r="E1876" s="4" t="s">
        <v>32</v>
      </c>
      <c r="F1876" s="4" t="s">
        <v>25</v>
      </c>
      <c r="G1876" s="4" t="s">
        <v>25</v>
      </c>
      <c r="H1876" s="4" t="s">
        <v>25</v>
      </c>
      <c r="I1876" s="5">
        <v>43952</v>
      </c>
      <c r="J1876" s="6">
        <v>0</v>
      </c>
      <c r="K1876" s="6">
        <v>0</v>
      </c>
      <c r="L1876" s="6">
        <v>233.749</v>
      </c>
      <c r="M1876" s="6">
        <v>233.749</v>
      </c>
      <c r="N1876" s="6">
        <v>233.749</v>
      </c>
      <c r="O1876" s="6">
        <v>233.749</v>
      </c>
      <c r="P1876" s="6">
        <v>2857</v>
      </c>
      <c r="Q1876" s="4" t="s">
        <v>26</v>
      </c>
      <c r="R1876" s="4">
        <v>0</v>
      </c>
      <c r="S1876" s="4" t="s">
        <v>534</v>
      </c>
      <c r="T1876" s="4" t="s">
        <v>841</v>
      </c>
      <c r="U1876" s="4">
        <v>0</v>
      </c>
      <c r="V1876" s="4">
        <v>49</v>
      </c>
      <c r="W1876" s="4">
        <v>92</v>
      </c>
    </row>
    <row r="1877" spans="1:23" ht="11.25" customHeight="1" x14ac:dyDescent="0.25">
      <c r="A1877" s="4" t="s">
        <v>27</v>
      </c>
      <c r="B1877" s="4" t="s">
        <v>22</v>
      </c>
      <c r="C1877" s="4" t="s">
        <v>23</v>
      </c>
      <c r="D1877" s="4" t="s">
        <v>24</v>
      </c>
      <c r="E1877" s="4" t="s">
        <v>32</v>
      </c>
      <c r="F1877" s="4" t="s">
        <v>25</v>
      </c>
      <c r="G1877" s="4" t="s">
        <v>25</v>
      </c>
      <c r="H1877" s="4" t="s">
        <v>25</v>
      </c>
      <c r="I1877" s="5">
        <v>43952</v>
      </c>
      <c r="J1877" s="6">
        <v>0</v>
      </c>
      <c r="K1877" s="6">
        <v>0</v>
      </c>
      <c r="L1877" s="6">
        <v>6.8559999999999999</v>
      </c>
      <c r="M1877" s="6">
        <v>6.8559999999999999</v>
      </c>
      <c r="N1877" s="6">
        <v>6.8559999999999999</v>
      </c>
      <c r="O1877" s="6">
        <v>6.8559999999999999</v>
      </c>
      <c r="P1877" s="6">
        <v>4</v>
      </c>
      <c r="Q1877" s="4" t="s">
        <v>26</v>
      </c>
      <c r="R1877" s="4">
        <v>0</v>
      </c>
      <c r="S1877" s="4" t="s">
        <v>534</v>
      </c>
      <c r="T1877" s="4" t="s">
        <v>841</v>
      </c>
      <c r="U1877" s="4">
        <v>0</v>
      </c>
      <c r="V1877" s="4">
        <v>49</v>
      </c>
      <c r="W1877" s="4">
        <v>92</v>
      </c>
    </row>
    <row r="1878" spans="1:23" ht="11.25" customHeight="1" x14ac:dyDescent="0.25">
      <c r="A1878" s="4" t="s">
        <v>21</v>
      </c>
      <c r="B1878" s="4" t="s">
        <v>22</v>
      </c>
      <c r="C1878" s="4" t="s">
        <v>23</v>
      </c>
      <c r="D1878" s="4" t="s">
        <v>24</v>
      </c>
      <c r="E1878" s="4" t="s">
        <v>32</v>
      </c>
      <c r="F1878" s="4" t="s">
        <v>25</v>
      </c>
      <c r="G1878" s="4" t="s">
        <v>25</v>
      </c>
      <c r="H1878" s="4" t="s">
        <v>25</v>
      </c>
      <c r="I1878" s="5">
        <v>43983</v>
      </c>
      <c r="J1878" s="6">
        <v>0</v>
      </c>
      <c r="K1878" s="6">
        <v>0</v>
      </c>
      <c r="L1878" s="6">
        <v>181.435</v>
      </c>
      <c r="M1878" s="6">
        <v>181.435</v>
      </c>
      <c r="N1878" s="6">
        <v>181.435</v>
      </c>
      <c r="O1878" s="6">
        <v>181.435</v>
      </c>
      <c r="P1878" s="6">
        <v>2393</v>
      </c>
      <c r="Q1878" s="4" t="s">
        <v>26</v>
      </c>
      <c r="R1878" s="4">
        <v>0</v>
      </c>
      <c r="S1878" s="4" t="s">
        <v>535</v>
      </c>
      <c r="T1878" s="4" t="s">
        <v>842</v>
      </c>
      <c r="U1878" s="4">
        <v>0</v>
      </c>
      <c r="V1878" s="4">
        <v>49</v>
      </c>
      <c r="W1878" s="4">
        <v>92</v>
      </c>
    </row>
    <row r="1879" spans="1:23" ht="11.25" customHeight="1" x14ac:dyDescent="0.25">
      <c r="A1879" s="4" t="s">
        <v>27</v>
      </c>
      <c r="B1879" s="4" t="s">
        <v>22</v>
      </c>
      <c r="C1879" s="4" t="s">
        <v>23</v>
      </c>
      <c r="D1879" s="4" t="s">
        <v>24</v>
      </c>
      <c r="E1879" s="4" t="s">
        <v>32</v>
      </c>
      <c r="F1879" s="4" t="s">
        <v>25</v>
      </c>
      <c r="G1879" s="4" t="s">
        <v>25</v>
      </c>
      <c r="H1879" s="4" t="s">
        <v>25</v>
      </c>
      <c r="I1879" s="5">
        <v>43983</v>
      </c>
      <c r="J1879" s="6">
        <v>0</v>
      </c>
      <c r="K1879" s="6">
        <v>0</v>
      </c>
      <c r="L1879" s="6">
        <v>0.34</v>
      </c>
      <c r="M1879" s="6">
        <v>0.34</v>
      </c>
      <c r="N1879" s="6">
        <v>0.34</v>
      </c>
      <c r="O1879" s="6">
        <v>0.34</v>
      </c>
      <c r="P1879" s="6">
        <v>1</v>
      </c>
      <c r="Q1879" s="4" t="s">
        <v>26</v>
      </c>
      <c r="R1879" s="4">
        <v>0</v>
      </c>
      <c r="S1879" s="4" t="s">
        <v>535</v>
      </c>
      <c r="T1879" s="4" t="s">
        <v>842</v>
      </c>
      <c r="U1879" s="4">
        <v>0</v>
      </c>
      <c r="V1879" s="4">
        <v>49</v>
      </c>
      <c r="W1879" s="4">
        <v>92</v>
      </c>
    </row>
    <row r="1880" spans="1:23" ht="11.25" customHeight="1" x14ac:dyDescent="0.25">
      <c r="A1880" s="4" t="s">
        <v>21</v>
      </c>
      <c r="B1880" s="4" t="s">
        <v>22</v>
      </c>
      <c r="C1880" s="4" t="s">
        <v>23</v>
      </c>
      <c r="D1880" s="4" t="s">
        <v>24</v>
      </c>
      <c r="E1880" s="4" t="s">
        <v>32</v>
      </c>
      <c r="F1880" s="4" t="s">
        <v>25</v>
      </c>
      <c r="G1880" s="4" t="s">
        <v>25</v>
      </c>
      <c r="H1880" s="4" t="s">
        <v>25</v>
      </c>
      <c r="I1880" s="5">
        <v>44013</v>
      </c>
      <c r="J1880" s="6">
        <v>0</v>
      </c>
      <c r="K1880" s="6">
        <v>0</v>
      </c>
      <c r="L1880" s="6">
        <v>223.99600000000001</v>
      </c>
      <c r="M1880" s="6">
        <v>223.99600000000001</v>
      </c>
      <c r="N1880" s="6">
        <v>223.99600000000001</v>
      </c>
      <c r="O1880" s="6">
        <v>223.99600000000001</v>
      </c>
      <c r="P1880" s="6">
        <v>2785</v>
      </c>
      <c r="Q1880" s="4" t="s">
        <v>26</v>
      </c>
      <c r="R1880" s="4">
        <v>0</v>
      </c>
      <c r="S1880" s="4" t="s">
        <v>536</v>
      </c>
      <c r="T1880" s="4" t="s">
        <v>843</v>
      </c>
      <c r="U1880" s="4">
        <v>0</v>
      </c>
      <c r="V1880" s="4">
        <v>49</v>
      </c>
      <c r="W1880" s="4">
        <v>92</v>
      </c>
    </row>
    <row r="1881" spans="1:23" ht="11.25" customHeight="1" x14ac:dyDescent="0.25">
      <c r="A1881" s="4" t="s">
        <v>27</v>
      </c>
      <c r="B1881" s="4" t="s">
        <v>22</v>
      </c>
      <c r="C1881" s="4" t="s">
        <v>23</v>
      </c>
      <c r="D1881" s="4" t="s">
        <v>24</v>
      </c>
      <c r="E1881" s="4" t="s">
        <v>32</v>
      </c>
      <c r="F1881" s="4" t="s">
        <v>25</v>
      </c>
      <c r="G1881" s="4" t="s">
        <v>25</v>
      </c>
      <c r="H1881" s="4" t="s">
        <v>25</v>
      </c>
      <c r="I1881" s="5">
        <v>44013</v>
      </c>
      <c r="J1881" s="6">
        <v>0</v>
      </c>
      <c r="K1881" s="6">
        <v>0</v>
      </c>
      <c r="L1881" s="6">
        <v>0.56799999999999995</v>
      </c>
      <c r="M1881" s="6">
        <v>0.56799999999999995</v>
      </c>
      <c r="N1881" s="6">
        <v>0.56799999999999995</v>
      </c>
      <c r="O1881" s="6">
        <v>0.56799999999999995</v>
      </c>
      <c r="P1881" s="6">
        <v>2</v>
      </c>
      <c r="Q1881" s="4" t="s">
        <v>26</v>
      </c>
      <c r="R1881" s="4">
        <v>0</v>
      </c>
      <c r="S1881" s="4" t="s">
        <v>536</v>
      </c>
      <c r="T1881" s="4" t="s">
        <v>843</v>
      </c>
      <c r="U1881" s="4">
        <v>0</v>
      </c>
      <c r="V1881" s="4">
        <v>49</v>
      </c>
      <c r="W1881" s="4">
        <v>92</v>
      </c>
    </row>
    <row r="1882" spans="1:23" ht="11.25" customHeight="1" x14ac:dyDescent="0.25">
      <c r="A1882" s="4" t="s">
        <v>21</v>
      </c>
      <c r="B1882" s="4" t="s">
        <v>22</v>
      </c>
      <c r="C1882" s="4" t="s">
        <v>23</v>
      </c>
      <c r="D1882" s="4" t="s">
        <v>24</v>
      </c>
      <c r="E1882" s="4" t="s">
        <v>32</v>
      </c>
      <c r="F1882" s="4" t="s">
        <v>25</v>
      </c>
      <c r="G1882" s="4" t="s">
        <v>25</v>
      </c>
      <c r="H1882" s="4" t="s">
        <v>25</v>
      </c>
      <c r="I1882" s="5">
        <v>44044</v>
      </c>
      <c r="J1882" s="6">
        <v>0</v>
      </c>
      <c r="K1882" s="6">
        <v>0</v>
      </c>
      <c r="L1882" s="6">
        <v>307.68599999999998</v>
      </c>
      <c r="M1882" s="6">
        <v>307.68599999999998</v>
      </c>
      <c r="N1882" s="6">
        <v>307.68599999999998</v>
      </c>
      <c r="O1882" s="6">
        <v>307.68599999999998</v>
      </c>
      <c r="P1882" s="6">
        <v>3445</v>
      </c>
      <c r="Q1882" s="4" t="s">
        <v>26</v>
      </c>
      <c r="R1882" s="4">
        <v>0</v>
      </c>
      <c r="S1882" s="4" t="s">
        <v>537</v>
      </c>
      <c r="T1882" s="4" t="s">
        <v>844</v>
      </c>
      <c r="U1882" s="4">
        <v>0</v>
      </c>
      <c r="V1882" s="4">
        <v>49</v>
      </c>
      <c r="W1882" s="4">
        <v>92</v>
      </c>
    </row>
    <row r="1883" spans="1:23" ht="11.25" customHeight="1" x14ac:dyDescent="0.25">
      <c r="A1883" s="4" t="s">
        <v>27</v>
      </c>
      <c r="B1883" s="4" t="s">
        <v>22</v>
      </c>
      <c r="C1883" s="4" t="s">
        <v>23</v>
      </c>
      <c r="D1883" s="4" t="s">
        <v>24</v>
      </c>
      <c r="E1883" s="4" t="s">
        <v>32</v>
      </c>
      <c r="F1883" s="4" t="s">
        <v>25</v>
      </c>
      <c r="G1883" s="4" t="s">
        <v>25</v>
      </c>
      <c r="H1883" s="4" t="s">
        <v>25</v>
      </c>
      <c r="I1883" s="5">
        <v>44044</v>
      </c>
      <c r="J1883" s="6">
        <v>0</v>
      </c>
      <c r="K1883" s="6">
        <v>0</v>
      </c>
      <c r="L1883" s="6">
        <v>5.8999999999999997E-2</v>
      </c>
      <c r="M1883" s="6">
        <v>5.8999999999999997E-2</v>
      </c>
      <c r="N1883" s="6">
        <v>5.8999999999999997E-2</v>
      </c>
      <c r="O1883" s="6">
        <v>5.8999999999999997E-2</v>
      </c>
      <c r="P1883" s="6">
        <v>0</v>
      </c>
      <c r="Q1883" s="4" t="s">
        <v>26</v>
      </c>
      <c r="R1883" s="4">
        <v>0</v>
      </c>
      <c r="S1883" s="4" t="s">
        <v>537</v>
      </c>
      <c r="T1883" s="4" t="s">
        <v>844</v>
      </c>
      <c r="U1883" s="4">
        <v>0</v>
      </c>
      <c r="V1883" s="4">
        <v>49</v>
      </c>
      <c r="W1883" s="4">
        <v>92</v>
      </c>
    </row>
    <row r="1884" spans="1:23" ht="11.25" customHeight="1" x14ac:dyDescent="0.25">
      <c r="A1884" s="4" t="s">
        <v>59</v>
      </c>
      <c r="B1884" s="4" t="s">
        <v>22</v>
      </c>
      <c r="C1884" s="4" t="s">
        <v>23</v>
      </c>
      <c r="D1884" s="4" t="s">
        <v>24</v>
      </c>
      <c r="E1884" s="4" t="s">
        <v>32</v>
      </c>
      <c r="F1884" s="4" t="s">
        <v>25</v>
      </c>
      <c r="G1884" s="4" t="s">
        <v>25</v>
      </c>
      <c r="H1884" s="4" t="s">
        <v>25</v>
      </c>
      <c r="I1884" s="5">
        <v>44075</v>
      </c>
      <c r="J1884" s="6">
        <v>0</v>
      </c>
      <c r="K1884" s="6">
        <v>0</v>
      </c>
      <c r="L1884" s="6">
        <v>307.68599999999998</v>
      </c>
      <c r="M1884" s="6">
        <v>307.68599999999998</v>
      </c>
      <c r="N1884" s="6">
        <v>307.68599999999998</v>
      </c>
      <c r="O1884" s="6">
        <v>307.68599999999998</v>
      </c>
      <c r="P1884" s="6">
        <v>3445</v>
      </c>
      <c r="Q1884" s="4" t="s">
        <v>26</v>
      </c>
      <c r="R1884" s="4">
        <v>0</v>
      </c>
      <c r="S1884" s="4" t="s">
        <v>538</v>
      </c>
      <c r="T1884" s="4" t="s">
        <v>845</v>
      </c>
      <c r="U1884" s="4">
        <v>0</v>
      </c>
      <c r="V1884" s="4">
        <v>49</v>
      </c>
      <c r="W1884" s="4">
        <v>92</v>
      </c>
    </row>
    <row r="1885" spans="1:23" ht="11.25" customHeight="1" x14ac:dyDescent="0.25">
      <c r="A1885" s="4" t="s">
        <v>59</v>
      </c>
      <c r="B1885" s="4" t="s">
        <v>22</v>
      </c>
      <c r="C1885" s="4" t="s">
        <v>23</v>
      </c>
      <c r="D1885" s="4" t="s">
        <v>24</v>
      </c>
      <c r="E1885" s="4" t="s">
        <v>32</v>
      </c>
      <c r="F1885" s="4" t="s">
        <v>25</v>
      </c>
      <c r="G1885" s="4" t="s">
        <v>25</v>
      </c>
      <c r="H1885" s="4" t="s">
        <v>25</v>
      </c>
      <c r="I1885" s="5">
        <v>44075</v>
      </c>
      <c r="J1885" s="6">
        <v>0</v>
      </c>
      <c r="K1885" s="6">
        <v>0</v>
      </c>
      <c r="L1885" s="6">
        <v>5.8999999999999997E-2</v>
      </c>
      <c r="M1885" s="6">
        <v>5.8999999999999997E-2</v>
      </c>
      <c r="N1885" s="6">
        <v>5.8999999999999997E-2</v>
      </c>
      <c r="O1885" s="6">
        <v>5.8999999999999997E-2</v>
      </c>
      <c r="P1885" s="6">
        <v>0</v>
      </c>
      <c r="Q1885" s="4" t="s">
        <v>26</v>
      </c>
      <c r="R1885" s="4">
        <v>0</v>
      </c>
      <c r="S1885" s="4" t="s">
        <v>538</v>
      </c>
      <c r="T1885" s="4" t="s">
        <v>845</v>
      </c>
      <c r="U1885" s="4">
        <v>0</v>
      </c>
      <c r="V1885" s="4">
        <v>49</v>
      </c>
      <c r="W1885" s="4">
        <v>92</v>
      </c>
    </row>
    <row r="1886" spans="1:23" ht="11.25" customHeight="1" x14ac:dyDescent="0.25">
      <c r="A1886" s="4" t="s">
        <v>21</v>
      </c>
      <c r="B1886" s="4" t="s">
        <v>46</v>
      </c>
      <c r="C1886" s="4" t="s">
        <v>37</v>
      </c>
      <c r="D1886" s="4" t="s">
        <v>47</v>
      </c>
      <c r="E1886" s="4" t="s">
        <v>25</v>
      </c>
      <c r="F1886" s="4" t="s">
        <v>25</v>
      </c>
      <c r="G1886" s="4" t="s">
        <v>25</v>
      </c>
      <c r="H1886" s="4" t="s">
        <v>36</v>
      </c>
      <c r="I1886" s="5">
        <v>43739</v>
      </c>
      <c r="J1886" s="6">
        <v>0</v>
      </c>
      <c r="K1886" s="6">
        <v>0</v>
      </c>
      <c r="L1886" s="6">
        <v>0.443</v>
      </c>
      <c r="M1886" s="6">
        <v>0.443</v>
      </c>
      <c r="N1886" s="6">
        <v>0.443</v>
      </c>
      <c r="O1886" s="6">
        <v>0.443</v>
      </c>
      <c r="P1886" s="6">
        <v>0</v>
      </c>
      <c r="Q1886" s="4" t="s">
        <v>26</v>
      </c>
      <c r="R1886" s="4">
        <v>0</v>
      </c>
      <c r="S1886" s="4" t="s">
        <v>539</v>
      </c>
      <c r="T1886" s="4" t="s">
        <v>846</v>
      </c>
      <c r="U1886" s="4">
        <v>0</v>
      </c>
      <c r="V1886" s="4">
        <v>57</v>
      </c>
      <c r="W1886" s="4">
        <v>100</v>
      </c>
    </row>
    <row r="1887" spans="1:23" ht="11.25" customHeight="1" x14ac:dyDescent="0.25">
      <c r="A1887" s="4" t="s">
        <v>21</v>
      </c>
      <c r="B1887" s="4" t="s">
        <v>46</v>
      </c>
      <c r="C1887" s="4" t="s">
        <v>37</v>
      </c>
      <c r="D1887" s="4" t="s">
        <v>47</v>
      </c>
      <c r="E1887" s="4" t="s">
        <v>25</v>
      </c>
      <c r="F1887" s="4" t="s">
        <v>25</v>
      </c>
      <c r="G1887" s="4" t="s">
        <v>25</v>
      </c>
      <c r="H1887" s="4" t="s">
        <v>36</v>
      </c>
      <c r="I1887" s="5">
        <v>43770</v>
      </c>
      <c r="J1887" s="6">
        <v>0</v>
      </c>
      <c r="K1887" s="6">
        <v>0</v>
      </c>
      <c r="L1887" s="6">
        <v>0.44400000000000001</v>
      </c>
      <c r="M1887" s="6">
        <v>0.44400000000000001</v>
      </c>
      <c r="N1887" s="6">
        <v>0.44400000000000001</v>
      </c>
      <c r="O1887" s="6">
        <v>0.44400000000000001</v>
      </c>
      <c r="P1887" s="6">
        <v>0</v>
      </c>
      <c r="Q1887" s="4" t="s">
        <v>26</v>
      </c>
      <c r="R1887" s="4">
        <v>0</v>
      </c>
      <c r="S1887" s="4" t="s">
        <v>540</v>
      </c>
      <c r="T1887" s="4" t="s">
        <v>847</v>
      </c>
      <c r="U1887" s="4">
        <v>0</v>
      </c>
      <c r="V1887" s="4">
        <v>57</v>
      </c>
      <c r="W1887" s="4">
        <v>100</v>
      </c>
    </row>
    <row r="1888" spans="1:23" ht="11.25" customHeight="1" x14ac:dyDescent="0.25">
      <c r="A1888" s="4" t="s">
        <v>21</v>
      </c>
      <c r="B1888" s="4" t="s">
        <v>46</v>
      </c>
      <c r="C1888" s="4" t="s">
        <v>37</v>
      </c>
      <c r="D1888" s="4" t="s">
        <v>47</v>
      </c>
      <c r="E1888" s="4" t="s">
        <v>25</v>
      </c>
      <c r="F1888" s="4" t="s">
        <v>25</v>
      </c>
      <c r="G1888" s="4" t="s">
        <v>25</v>
      </c>
      <c r="H1888" s="4" t="s">
        <v>36</v>
      </c>
      <c r="I1888" s="5">
        <v>43800</v>
      </c>
      <c r="J1888" s="6">
        <v>0</v>
      </c>
      <c r="K1888" s="6">
        <v>0</v>
      </c>
      <c r="L1888" s="6">
        <v>0.36799999999999999</v>
      </c>
      <c r="M1888" s="6">
        <v>0.36799999999999999</v>
      </c>
      <c r="N1888" s="6">
        <v>0.36799999999999999</v>
      </c>
      <c r="O1888" s="6">
        <v>0.36799999999999999</v>
      </c>
      <c r="P1888" s="6">
        <v>0</v>
      </c>
      <c r="Q1888" s="4" t="s">
        <v>26</v>
      </c>
      <c r="R1888" s="4">
        <v>0</v>
      </c>
      <c r="S1888" s="4" t="s">
        <v>541</v>
      </c>
      <c r="T1888" s="4" t="s">
        <v>848</v>
      </c>
      <c r="U1888" s="4">
        <v>0</v>
      </c>
      <c r="V1888" s="4">
        <v>57</v>
      </c>
      <c r="W1888" s="4">
        <v>100</v>
      </c>
    </row>
    <row r="1889" spans="1:23" ht="11.25" customHeight="1" x14ac:dyDescent="0.25">
      <c r="A1889" s="4" t="s">
        <v>21</v>
      </c>
      <c r="B1889" s="4" t="s">
        <v>46</v>
      </c>
      <c r="C1889" s="4" t="s">
        <v>37</v>
      </c>
      <c r="D1889" s="4" t="s">
        <v>47</v>
      </c>
      <c r="E1889" s="4" t="s">
        <v>25</v>
      </c>
      <c r="F1889" s="4" t="s">
        <v>25</v>
      </c>
      <c r="G1889" s="4" t="s">
        <v>25</v>
      </c>
      <c r="H1889" s="4" t="s">
        <v>36</v>
      </c>
      <c r="I1889" s="5">
        <v>43831</v>
      </c>
      <c r="J1889" s="6">
        <v>0</v>
      </c>
      <c r="K1889" s="6">
        <v>0</v>
      </c>
      <c r="L1889" s="6">
        <v>0.437</v>
      </c>
      <c r="M1889" s="6">
        <v>0.437</v>
      </c>
      <c r="N1889" s="6">
        <v>0.437</v>
      </c>
      <c r="O1889" s="6">
        <v>0.437</v>
      </c>
      <c r="P1889" s="6">
        <v>0</v>
      </c>
      <c r="Q1889" s="4" t="s">
        <v>26</v>
      </c>
      <c r="R1889" s="4">
        <v>0</v>
      </c>
      <c r="S1889" s="4" t="s">
        <v>542</v>
      </c>
      <c r="T1889" s="4" t="s">
        <v>849</v>
      </c>
      <c r="U1889" s="4">
        <v>0</v>
      </c>
      <c r="V1889" s="4">
        <v>57</v>
      </c>
      <c r="W1889" s="4">
        <v>100</v>
      </c>
    </row>
    <row r="1890" spans="1:23" ht="11.25" customHeight="1" x14ac:dyDescent="0.25">
      <c r="A1890" s="4" t="s">
        <v>21</v>
      </c>
      <c r="B1890" s="4" t="s">
        <v>46</v>
      </c>
      <c r="C1890" s="4" t="s">
        <v>37</v>
      </c>
      <c r="D1890" s="4" t="s">
        <v>47</v>
      </c>
      <c r="E1890" s="4" t="s">
        <v>25</v>
      </c>
      <c r="F1890" s="4" t="s">
        <v>25</v>
      </c>
      <c r="G1890" s="4" t="s">
        <v>25</v>
      </c>
      <c r="H1890" s="4" t="s">
        <v>36</v>
      </c>
      <c r="I1890" s="5">
        <v>43862</v>
      </c>
      <c r="J1890" s="6">
        <v>0</v>
      </c>
      <c r="K1890" s="6">
        <v>0</v>
      </c>
      <c r="L1890" s="6">
        <v>0.35899999999999999</v>
      </c>
      <c r="M1890" s="6">
        <v>0.35899999999999999</v>
      </c>
      <c r="N1890" s="6">
        <v>0.35899999999999999</v>
      </c>
      <c r="O1890" s="6">
        <v>0.35899999999999999</v>
      </c>
      <c r="P1890" s="6">
        <v>0</v>
      </c>
      <c r="Q1890" s="4" t="s">
        <v>26</v>
      </c>
      <c r="R1890" s="4">
        <v>0</v>
      </c>
      <c r="S1890" s="4" t="s">
        <v>543</v>
      </c>
      <c r="T1890" s="4" t="s">
        <v>850</v>
      </c>
      <c r="U1890" s="4">
        <v>0</v>
      </c>
      <c r="V1890" s="4">
        <v>57</v>
      </c>
      <c r="W1890" s="4">
        <v>100</v>
      </c>
    </row>
    <row r="1891" spans="1:23" ht="11.25" customHeight="1" x14ac:dyDescent="0.25">
      <c r="A1891" s="4" t="s">
        <v>21</v>
      </c>
      <c r="B1891" s="4" t="s">
        <v>46</v>
      </c>
      <c r="C1891" s="4" t="s">
        <v>37</v>
      </c>
      <c r="D1891" s="4" t="s">
        <v>47</v>
      </c>
      <c r="E1891" s="4" t="s">
        <v>25</v>
      </c>
      <c r="F1891" s="4" t="s">
        <v>25</v>
      </c>
      <c r="G1891" s="4" t="s">
        <v>25</v>
      </c>
      <c r="H1891" s="4" t="s">
        <v>36</v>
      </c>
      <c r="I1891" s="5">
        <v>43891</v>
      </c>
      <c r="J1891" s="6">
        <v>0</v>
      </c>
      <c r="K1891" s="6">
        <v>0</v>
      </c>
      <c r="L1891" s="6">
        <v>0.435</v>
      </c>
      <c r="M1891" s="6">
        <v>0.435</v>
      </c>
      <c r="N1891" s="6">
        <v>0.435</v>
      </c>
      <c r="O1891" s="6">
        <v>0.435</v>
      </c>
      <c r="P1891" s="6">
        <v>0</v>
      </c>
      <c r="Q1891" s="4" t="s">
        <v>26</v>
      </c>
      <c r="R1891" s="4">
        <v>0</v>
      </c>
      <c r="S1891" s="4" t="s">
        <v>544</v>
      </c>
      <c r="T1891" s="4" t="s">
        <v>851</v>
      </c>
      <c r="U1891" s="4">
        <v>0</v>
      </c>
      <c r="V1891" s="4">
        <v>57</v>
      </c>
      <c r="W1891" s="4">
        <v>100</v>
      </c>
    </row>
    <row r="1892" spans="1:23" ht="11.25" customHeight="1" x14ac:dyDescent="0.25">
      <c r="A1892" s="4" t="s">
        <v>21</v>
      </c>
      <c r="B1892" s="4" t="s">
        <v>46</v>
      </c>
      <c r="C1892" s="4" t="s">
        <v>37</v>
      </c>
      <c r="D1892" s="4" t="s">
        <v>47</v>
      </c>
      <c r="E1892" s="4" t="s">
        <v>25</v>
      </c>
      <c r="F1892" s="4" t="s">
        <v>25</v>
      </c>
      <c r="G1892" s="4" t="s">
        <v>25</v>
      </c>
      <c r="H1892" s="4" t="s">
        <v>36</v>
      </c>
      <c r="I1892" s="5">
        <v>43922</v>
      </c>
      <c r="J1892" s="6">
        <v>0</v>
      </c>
      <c r="K1892" s="6">
        <v>0</v>
      </c>
      <c r="L1892" s="6">
        <v>0.434</v>
      </c>
      <c r="M1892" s="6">
        <v>0.434</v>
      </c>
      <c r="N1892" s="6">
        <v>0.434</v>
      </c>
      <c r="O1892" s="6">
        <v>0.434</v>
      </c>
      <c r="P1892" s="6">
        <v>0</v>
      </c>
      <c r="Q1892" s="4" t="s">
        <v>26</v>
      </c>
      <c r="R1892" s="4">
        <v>0</v>
      </c>
      <c r="S1892" s="4" t="s">
        <v>545</v>
      </c>
      <c r="T1892" s="4" t="s">
        <v>852</v>
      </c>
      <c r="U1892" s="4">
        <v>0</v>
      </c>
      <c r="V1892" s="4">
        <v>57</v>
      </c>
      <c r="W1892" s="4">
        <v>100</v>
      </c>
    </row>
    <row r="1893" spans="1:23" ht="11.25" customHeight="1" x14ac:dyDescent="0.25">
      <c r="A1893" s="4" t="s">
        <v>21</v>
      </c>
      <c r="B1893" s="4" t="s">
        <v>46</v>
      </c>
      <c r="C1893" s="4" t="s">
        <v>37</v>
      </c>
      <c r="D1893" s="4" t="s">
        <v>47</v>
      </c>
      <c r="E1893" s="4" t="s">
        <v>25</v>
      </c>
      <c r="F1893" s="4" t="s">
        <v>25</v>
      </c>
      <c r="G1893" s="4" t="s">
        <v>25</v>
      </c>
      <c r="H1893" s="4" t="s">
        <v>36</v>
      </c>
      <c r="I1893" s="5">
        <v>43952</v>
      </c>
      <c r="J1893" s="6">
        <v>0</v>
      </c>
      <c r="K1893" s="6">
        <v>0</v>
      </c>
      <c r="L1893" s="6">
        <v>0.40699999999999997</v>
      </c>
      <c r="M1893" s="6">
        <v>0.40699999999999997</v>
      </c>
      <c r="N1893" s="6">
        <v>0.40699999999999997</v>
      </c>
      <c r="O1893" s="6">
        <v>0.40699999999999997</v>
      </c>
      <c r="P1893" s="6">
        <v>0</v>
      </c>
      <c r="Q1893" s="4" t="s">
        <v>26</v>
      </c>
      <c r="R1893" s="4">
        <v>0</v>
      </c>
      <c r="S1893" s="4" t="s">
        <v>546</v>
      </c>
      <c r="T1893" s="4" t="s">
        <v>853</v>
      </c>
      <c r="U1893" s="4">
        <v>0</v>
      </c>
      <c r="V1893" s="4">
        <v>57</v>
      </c>
      <c r="W1893" s="4">
        <v>100</v>
      </c>
    </row>
    <row r="1894" spans="1:23" ht="11.25" customHeight="1" x14ac:dyDescent="0.25">
      <c r="A1894" s="4" t="s">
        <v>21</v>
      </c>
      <c r="B1894" s="4" t="s">
        <v>46</v>
      </c>
      <c r="C1894" s="4" t="s">
        <v>37</v>
      </c>
      <c r="D1894" s="4" t="s">
        <v>47</v>
      </c>
      <c r="E1894" s="4" t="s">
        <v>25</v>
      </c>
      <c r="F1894" s="4" t="s">
        <v>25</v>
      </c>
      <c r="G1894" s="4" t="s">
        <v>25</v>
      </c>
      <c r="H1894" s="4" t="s">
        <v>36</v>
      </c>
      <c r="I1894" s="5">
        <v>43983</v>
      </c>
      <c r="J1894" s="6">
        <v>0</v>
      </c>
      <c r="K1894" s="6">
        <v>0</v>
      </c>
      <c r="L1894" s="6">
        <v>0.38700000000000001</v>
      </c>
      <c r="M1894" s="6">
        <v>0.38700000000000001</v>
      </c>
      <c r="N1894" s="6">
        <v>0.38700000000000001</v>
      </c>
      <c r="O1894" s="6">
        <v>0.38700000000000001</v>
      </c>
      <c r="P1894" s="6">
        <v>0</v>
      </c>
      <c r="Q1894" s="4" t="s">
        <v>26</v>
      </c>
      <c r="R1894" s="4">
        <v>0</v>
      </c>
      <c r="S1894" s="4" t="s">
        <v>547</v>
      </c>
      <c r="T1894" s="4" t="s">
        <v>854</v>
      </c>
      <c r="U1894" s="4">
        <v>0</v>
      </c>
      <c r="V1894" s="4">
        <v>57</v>
      </c>
      <c r="W1894" s="4">
        <v>100</v>
      </c>
    </row>
    <row r="1895" spans="1:23" ht="11.25" customHeight="1" x14ac:dyDescent="0.25">
      <c r="A1895" s="4" t="s">
        <v>21</v>
      </c>
      <c r="B1895" s="4" t="s">
        <v>46</v>
      </c>
      <c r="C1895" s="4" t="s">
        <v>37</v>
      </c>
      <c r="D1895" s="4" t="s">
        <v>47</v>
      </c>
      <c r="E1895" s="4" t="s">
        <v>25</v>
      </c>
      <c r="F1895" s="4" t="s">
        <v>25</v>
      </c>
      <c r="G1895" s="4" t="s">
        <v>25</v>
      </c>
      <c r="H1895" s="4" t="s">
        <v>36</v>
      </c>
      <c r="I1895" s="5">
        <v>44013</v>
      </c>
      <c r="J1895" s="6">
        <v>0</v>
      </c>
      <c r="K1895" s="6">
        <v>0</v>
      </c>
      <c r="L1895" s="6">
        <v>0.38400000000000001</v>
      </c>
      <c r="M1895" s="6">
        <v>0.38400000000000001</v>
      </c>
      <c r="N1895" s="6">
        <v>0.38400000000000001</v>
      </c>
      <c r="O1895" s="6">
        <v>0.38400000000000001</v>
      </c>
      <c r="P1895" s="6">
        <v>0</v>
      </c>
      <c r="Q1895" s="4" t="s">
        <v>26</v>
      </c>
      <c r="R1895" s="4">
        <v>0</v>
      </c>
      <c r="S1895" s="4" t="s">
        <v>548</v>
      </c>
      <c r="T1895" s="4" t="s">
        <v>855</v>
      </c>
      <c r="U1895" s="4">
        <v>0</v>
      </c>
      <c r="V1895" s="4">
        <v>57</v>
      </c>
      <c r="W1895" s="4">
        <v>100</v>
      </c>
    </row>
    <row r="1896" spans="1:23" ht="11.25" customHeight="1" x14ac:dyDescent="0.25">
      <c r="A1896" s="4" t="s">
        <v>21</v>
      </c>
      <c r="B1896" s="4" t="s">
        <v>46</v>
      </c>
      <c r="C1896" s="4" t="s">
        <v>37</v>
      </c>
      <c r="D1896" s="4" t="s">
        <v>47</v>
      </c>
      <c r="E1896" s="4" t="s">
        <v>25</v>
      </c>
      <c r="F1896" s="4" t="s">
        <v>25</v>
      </c>
      <c r="G1896" s="4" t="s">
        <v>25</v>
      </c>
      <c r="H1896" s="4" t="s">
        <v>36</v>
      </c>
      <c r="I1896" s="5">
        <v>44044</v>
      </c>
      <c r="J1896" s="6">
        <v>0</v>
      </c>
      <c r="K1896" s="6">
        <v>0</v>
      </c>
      <c r="L1896" s="6">
        <v>0.45700000000000002</v>
      </c>
      <c r="M1896" s="6">
        <v>0.45700000000000002</v>
      </c>
      <c r="N1896" s="6">
        <v>0.45700000000000002</v>
      </c>
      <c r="O1896" s="6">
        <v>0.45700000000000002</v>
      </c>
      <c r="P1896" s="6">
        <v>0</v>
      </c>
      <c r="Q1896" s="4" t="s">
        <v>26</v>
      </c>
      <c r="R1896" s="4">
        <v>0</v>
      </c>
      <c r="S1896" s="4" t="s">
        <v>549</v>
      </c>
      <c r="T1896" s="4" t="s">
        <v>856</v>
      </c>
      <c r="U1896" s="4">
        <v>0</v>
      </c>
      <c r="V1896" s="4">
        <v>57</v>
      </c>
      <c r="W1896" s="4">
        <v>100</v>
      </c>
    </row>
    <row r="1897" spans="1:23" ht="11.25" customHeight="1" x14ac:dyDescent="0.25">
      <c r="A1897" s="4" t="s">
        <v>59</v>
      </c>
      <c r="B1897" s="4" t="s">
        <v>46</v>
      </c>
      <c r="C1897" s="4" t="s">
        <v>37</v>
      </c>
      <c r="D1897" s="4" t="s">
        <v>47</v>
      </c>
      <c r="E1897" s="4" t="s">
        <v>25</v>
      </c>
      <c r="F1897" s="4" t="s">
        <v>25</v>
      </c>
      <c r="G1897" s="4" t="s">
        <v>25</v>
      </c>
      <c r="H1897" s="4" t="s">
        <v>36</v>
      </c>
      <c r="I1897" s="5">
        <v>44075</v>
      </c>
      <c r="J1897" s="6">
        <v>0</v>
      </c>
      <c r="K1897" s="6">
        <v>0</v>
      </c>
      <c r="L1897" s="6">
        <v>0.45700000000000002</v>
      </c>
      <c r="M1897" s="6">
        <v>0.45700000000000002</v>
      </c>
      <c r="N1897" s="6">
        <v>0.45700000000000002</v>
      </c>
      <c r="O1897" s="6">
        <v>0.45700000000000002</v>
      </c>
      <c r="P1897" s="6">
        <v>0</v>
      </c>
      <c r="Q1897" s="4" t="s">
        <v>26</v>
      </c>
      <c r="R1897" s="4">
        <v>0</v>
      </c>
      <c r="S1897" s="4" t="s">
        <v>550</v>
      </c>
      <c r="T1897" s="4" t="s">
        <v>857</v>
      </c>
      <c r="U1897" s="4">
        <v>0</v>
      </c>
      <c r="V1897" s="4">
        <v>57</v>
      </c>
      <c r="W1897" s="4">
        <v>100</v>
      </c>
    </row>
    <row r="1898" spans="1:23" ht="11.25" customHeight="1" x14ac:dyDescent="0.25">
      <c r="A1898" s="4" t="s">
        <v>21</v>
      </c>
      <c r="B1898" s="4" t="s">
        <v>46</v>
      </c>
      <c r="C1898" s="4" t="s">
        <v>37</v>
      </c>
      <c r="D1898" s="4" t="s">
        <v>47</v>
      </c>
      <c r="E1898" s="4" t="s">
        <v>25</v>
      </c>
      <c r="F1898" s="4" t="s">
        <v>25</v>
      </c>
      <c r="G1898" s="4" t="s">
        <v>25</v>
      </c>
      <c r="H1898" s="4" t="s">
        <v>38</v>
      </c>
      <c r="I1898" s="5">
        <v>43739</v>
      </c>
      <c r="J1898" s="6">
        <v>0</v>
      </c>
      <c r="K1898" s="6">
        <v>0</v>
      </c>
      <c r="L1898" s="6">
        <v>4.5999999999999999E-2</v>
      </c>
      <c r="M1898" s="6">
        <v>4.5999999999999999E-2</v>
      </c>
      <c r="N1898" s="6">
        <v>4.5999999999999999E-2</v>
      </c>
      <c r="O1898" s="6">
        <v>4.5999999999999999E-2</v>
      </c>
      <c r="P1898" s="6">
        <v>0</v>
      </c>
      <c r="Q1898" s="4" t="s">
        <v>26</v>
      </c>
      <c r="R1898" s="4">
        <v>0</v>
      </c>
      <c r="S1898" s="4" t="s">
        <v>551</v>
      </c>
      <c r="T1898" s="4" t="s">
        <v>858</v>
      </c>
      <c r="U1898" s="4">
        <v>0</v>
      </c>
      <c r="V1898" s="4">
        <v>56</v>
      </c>
      <c r="W1898" s="4">
        <v>99</v>
      </c>
    </row>
    <row r="1899" spans="1:23" ht="11.25" customHeight="1" x14ac:dyDescent="0.25">
      <c r="A1899" s="4" t="s">
        <v>21</v>
      </c>
      <c r="B1899" s="4" t="s">
        <v>46</v>
      </c>
      <c r="C1899" s="4" t="s">
        <v>37</v>
      </c>
      <c r="D1899" s="4" t="s">
        <v>47</v>
      </c>
      <c r="E1899" s="4" t="s">
        <v>25</v>
      </c>
      <c r="F1899" s="4" t="s">
        <v>25</v>
      </c>
      <c r="G1899" s="4" t="s">
        <v>25</v>
      </c>
      <c r="H1899" s="4" t="s">
        <v>38</v>
      </c>
      <c r="I1899" s="5">
        <v>43770</v>
      </c>
      <c r="J1899" s="6">
        <v>0</v>
      </c>
      <c r="K1899" s="6">
        <v>0</v>
      </c>
      <c r="L1899" s="6">
        <v>4.2999999999999997E-2</v>
      </c>
      <c r="M1899" s="6">
        <v>4.2999999999999997E-2</v>
      </c>
      <c r="N1899" s="6">
        <v>4.2999999999999997E-2</v>
      </c>
      <c r="O1899" s="6">
        <v>4.2999999999999997E-2</v>
      </c>
      <c r="P1899" s="6">
        <v>0</v>
      </c>
      <c r="Q1899" s="4" t="s">
        <v>26</v>
      </c>
      <c r="R1899" s="4">
        <v>0</v>
      </c>
      <c r="S1899" s="4" t="s">
        <v>552</v>
      </c>
      <c r="T1899" s="4" t="s">
        <v>859</v>
      </c>
      <c r="U1899" s="4">
        <v>0</v>
      </c>
      <c r="V1899" s="4">
        <v>56</v>
      </c>
      <c r="W1899" s="4">
        <v>99</v>
      </c>
    </row>
    <row r="1900" spans="1:23" ht="11.25" customHeight="1" x14ac:dyDescent="0.25">
      <c r="A1900" s="4" t="s">
        <v>21</v>
      </c>
      <c r="B1900" s="4" t="s">
        <v>46</v>
      </c>
      <c r="C1900" s="4" t="s">
        <v>37</v>
      </c>
      <c r="D1900" s="4" t="s">
        <v>47</v>
      </c>
      <c r="E1900" s="4" t="s">
        <v>25</v>
      </c>
      <c r="F1900" s="4" t="s">
        <v>25</v>
      </c>
      <c r="G1900" s="4" t="s">
        <v>25</v>
      </c>
      <c r="H1900" s="4" t="s">
        <v>38</v>
      </c>
      <c r="I1900" s="5">
        <v>43800</v>
      </c>
      <c r="J1900" s="6">
        <v>0</v>
      </c>
      <c r="K1900" s="6">
        <v>0</v>
      </c>
      <c r="L1900" s="6">
        <v>3.4000000000000002E-2</v>
      </c>
      <c r="M1900" s="6">
        <v>3.4000000000000002E-2</v>
      </c>
      <c r="N1900" s="6">
        <v>3.4000000000000002E-2</v>
      </c>
      <c r="O1900" s="6">
        <v>3.4000000000000002E-2</v>
      </c>
      <c r="P1900" s="6">
        <v>0</v>
      </c>
      <c r="Q1900" s="4" t="s">
        <v>26</v>
      </c>
      <c r="R1900" s="4">
        <v>0</v>
      </c>
      <c r="S1900" s="4" t="s">
        <v>553</v>
      </c>
      <c r="T1900" s="4" t="s">
        <v>860</v>
      </c>
      <c r="U1900" s="4">
        <v>0</v>
      </c>
      <c r="V1900" s="4">
        <v>56</v>
      </c>
      <c r="W1900" s="4">
        <v>99</v>
      </c>
    </row>
    <row r="1901" spans="1:23" ht="11.25" customHeight="1" x14ac:dyDescent="0.25">
      <c r="A1901" s="4" t="s">
        <v>21</v>
      </c>
      <c r="B1901" s="4" t="s">
        <v>46</v>
      </c>
      <c r="C1901" s="4" t="s">
        <v>37</v>
      </c>
      <c r="D1901" s="4" t="s">
        <v>47</v>
      </c>
      <c r="E1901" s="4" t="s">
        <v>25</v>
      </c>
      <c r="F1901" s="4" t="s">
        <v>25</v>
      </c>
      <c r="G1901" s="4" t="s">
        <v>25</v>
      </c>
      <c r="H1901" s="4" t="s">
        <v>38</v>
      </c>
      <c r="I1901" s="5">
        <v>43831</v>
      </c>
      <c r="J1901" s="6">
        <v>0</v>
      </c>
      <c r="K1901" s="6">
        <v>0</v>
      </c>
      <c r="L1901" s="6">
        <v>4.4999999999999998E-2</v>
      </c>
      <c r="M1901" s="6">
        <v>4.4999999999999998E-2</v>
      </c>
      <c r="N1901" s="6">
        <v>4.4999999999999998E-2</v>
      </c>
      <c r="O1901" s="6">
        <v>4.4999999999999998E-2</v>
      </c>
      <c r="P1901" s="6">
        <v>0</v>
      </c>
      <c r="Q1901" s="4" t="s">
        <v>26</v>
      </c>
      <c r="R1901" s="4">
        <v>0</v>
      </c>
      <c r="S1901" s="4" t="s">
        <v>554</v>
      </c>
      <c r="T1901" s="4" t="s">
        <v>861</v>
      </c>
      <c r="U1901" s="4">
        <v>0</v>
      </c>
      <c r="V1901" s="4">
        <v>56</v>
      </c>
      <c r="W1901" s="4">
        <v>99</v>
      </c>
    </row>
    <row r="1902" spans="1:23" ht="11.25" customHeight="1" x14ac:dyDescent="0.25">
      <c r="A1902" s="4" t="s">
        <v>21</v>
      </c>
      <c r="B1902" s="4" t="s">
        <v>46</v>
      </c>
      <c r="C1902" s="4" t="s">
        <v>37</v>
      </c>
      <c r="D1902" s="4" t="s">
        <v>47</v>
      </c>
      <c r="E1902" s="4" t="s">
        <v>25</v>
      </c>
      <c r="F1902" s="4" t="s">
        <v>25</v>
      </c>
      <c r="G1902" s="4" t="s">
        <v>25</v>
      </c>
      <c r="H1902" s="4" t="s">
        <v>38</v>
      </c>
      <c r="I1902" s="5">
        <v>43862</v>
      </c>
      <c r="J1902" s="6">
        <v>0</v>
      </c>
      <c r="K1902" s="6">
        <v>0</v>
      </c>
      <c r="L1902" s="6">
        <v>3.9E-2</v>
      </c>
      <c r="M1902" s="6">
        <v>3.9E-2</v>
      </c>
      <c r="N1902" s="6">
        <v>3.9E-2</v>
      </c>
      <c r="O1902" s="6">
        <v>3.9E-2</v>
      </c>
      <c r="P1902" s="6">
        <v>0</v>
      </c>
      <c r="Q1902" s="4" t="s">
        <v>26</v>
      </c>
      <c r="R1902" s="4">
        <v>0</v>
      </c>
      <c r="S1902" s="4" t="s">
        <v>555</v>
      </c>
      <c r="T1902" s="4" t="s">
        <v>862</v>
      </c>
      <c r="U1902" s="4">
        <v>0</v>
      </c>
      <c r="V1902" s="4">
        <v>56</v>
      </c>
      <c r="W1902" s="4">
        <v>99</v>
      </c>
    </row>
    <row r="1903" spans="1:23" ht="11.25" customHeight="1" x14ac:dyDescent="0.25">
      <c r="A1903" s="4" t="s">
        <v>21</v>
      </c>
      <c r="B1903" s="4" t="s">
        <v>46</v>
      </c>
      <c r="C1903" s="4" t="s">
        <v>37</v>
      </c>
      <c r="D1903" s="4" t="s">
        <v>47</v>
      </c>
      <c r="E1903" s="4" t="s">
        <v>25</v>
      </c>
      <c r="F1903" s="4" t="s">
        <v>25</v>
      </c>
      <c r="G1903" s="4" t="s">
        <v>25</v>
      </c>
      <c r="H1903" s="4" t="s">
        <v>38</v>
      </c>
      <c r="I1903" s="5">
        <v>43891</v>
      </c>
      <c r="J1903" s="6">
        <v>0</v>
      </c>
      <c r="K1903" s="6">
        <v>0</v>
      </c>
      <c r="L1903" s="6">
        <v>5.1999999999999998E-2</v>
      </c>
      <c r="M1903" s="6">
        <v>5.1999999999999998E-2</v>
      </c>
      <c r="N1903" s="6">
        <v>5.1999999999999998E-2</v>
      </c>
      <c r="O1903" s="6">
        <v>5.1999999999999998E-2</v>
      </c>
      <c r="P1903" s="6">
        <v>0</v>
      </c>
      <c r="Q1903" s="4" t="s">
        <v>26</v>
      </c>
      <c r="R1903" s="4">
        <v>0</v>
      </c>
      <c r="S1903" s="4" t="s">
        <v>556</v>
      </c>
      <c r="T1903" s="4" t="s">
        <v>863</v>
      </c>
      <c r="U1903" s="4">
        <v>0</v>
      </c>
      <c r="V1903" s="4">
        <v>56</v>
      </c>
      <c r="W1903" s="4">
        <v>99</v>
      </c>
    </row>
    <row r="1904" spans="1:23" ht="11.25" customHeight="1" x14ac:dyDescent="0.25">
      <c r="A1904" s="4" t="s">
        <v>21</v>
      </c>
      <c r="B1904" s="4" t="s">
        <v>46</v>
      </c>
      <c r="C1904" s="4" t="s">
        <v>37</v>
      </c>
      <c r="D1904" s="4" t="s">
        <v>47</v>
      </c>
      <c r="E1904" s="4" t="s">
        <v>25</v>
      </c>
      <c r="F1904" s="4" t="s">
        <v>25</v>
      </c>
      <c r="G1904" s="4" t="s">
        <v>25</v>
      </c>
      <c r="H1904" s="4" t="s">
        <v>38</v>
      </c>
      <c r="I1904" s="5">
        <v>43922</v>
      </c>
      <c r="J1904" s="6">
        <v>0</v>
      </c>
      <c r="K1904" s="6">
        <v>0</v>
      </c>
      <c r="L1904" s="6">
        <v>5.1999999999999998E-2</v>
      </c>
      <c r="M1904" s="6">
        <v>5.1999999999999998E-2</v>
      </c>
      <c r="N1904" s="6">
        <v>5.1999999999999998E-2</v>
      </c>
      <c r="O1904" s="6">
        <v>5.1999999999999998E-2</v>
      </c>
      <c r="P1904" s="6">
        <v>0</v>
      </c>
      <c r="Q1904" s="4" t="s">
        <v>26</v>
      </c>
      <c r="R1904" s="4">
        <v>0</v>
      </c>
      <c r="S1904" s="4" t="s">
        <v>557</v>
      </c>
      <c r="T1904" s="4" t="s">
        <v>864</v>
      </c>
      <c r="U1904" s="4">
        <v>0</v>
      </c>
      <c r="V1904" s="4">
        <v>56</v>
      </c>
      <c r="W1904" s="4">
        <v>99</v>
      </c>
    </row>
    <row r="1905" spans="1:23" ht="11.25" customHeight="1" x14ac:dyDescent="0.25">
      <c r="A1905" s="4" t="s">
        <v>21</v>
      </c>
      <c r="B1905" s="4" t="s">
        <v>46</v>
      </c>
      <c r="C1905" s="4" t="s">
        <v>37</v>
      </c>
      <c r="D1905" s="4" t="s">
        <v>47</v>
      </c>
      <c r="E1905" s="4" t="s">
        <v>25</v>
      </c>
      <c r="F1905" s="4" t="s">
        <v>25</v>
      </c>
      <c r="G1905" s="4" t="s">
        <v>25</v>
      </c>
      <c r="H1905" s="4" t="s">
        <v>38</v>
      </c>
      <c r="I1905" s="5">
        <v>43952</v>
      </c>
      <c r="J1905" s="6">
        <v>0</v>
      </c>
      <c r="K1905" s="6">
        <v>0</v>
      </c>
      <c r="L1905" s="6">
        <v>5.2999999999999999E-2</v>
      </c>
      <c r="M1905" s="6">
        <v>5.2999999999999999E-2</v>
      </c>
      <c r="N1905" s="6">
        <v>5.2999999999999999E-2</v>
      </c>
      <c r="O1905" s="6">
        <v>5.2999999999999999E-2</v>
      </c>
      <c r="P1905" s="6">
        <v>0</v>
      </c>
      <c r="Q1905" s="4" t="s">
        <v>26</v>
      </c>
      <c r="R1905" s="4">
        <v>0</v>
      </c>
      <c r="S1905" s="4" t="s">
        <v>558</v>
      </c>
      <c r="T1905" s="4" t="s">
        <v>865</v>
      </c>
      <c r="U1905" s="4">
        <v>0</v>
      </c>
      <c r="V1905" s="4">
        <v>56</v>
      </c>
      <c r="W1905" s="4">
        <v>99</v>
      </c>
    </row>
    <row r="1906" spans="1:23" ht="11.25" customHeight="1" x14ac:dyDescent="0.25">
      <c r="A1906" s="4" t="s">
        <v>21</v>
      </c>
      <c r="B1906" s="4" t="s">
        <v>46</v>
      </c>
      <c r="C1906" s="4" t="s">
        <v>37</v>
      </c>
      <c r="D1906" s="4" t="s">
        <v>47</v>
      </c>
      <c r="E1906" s="4" t="s">
        <v>25</v>
      </c>
      <c r="F1906" s="4" t="s">
        <v>25</v>
      </c>
      <c r="G1906" s="4" t="s">
        <v>25</v>
      </c>
      <c r="H1906" s="4" t="s">
        <v>38</v>
      </c>
      <c r="I1906" s="5">
        <v>43983</v>
      </c>
      <c r="J1906" s="6">
        <v>0</v>
      </c>
      <c r="K1906" s="6">
        <v>0</v>
      </c>
      <c r="L1906" s="6">
        <v>4.9000000000000002E-2</v>
      </c>
      <c r="M1906" s="6">
        <v>4.9000000000000002E-2</v>
      </c>
      <c r="N1906" s="6">
        <v>4.9000000000000002E-2</v>
      </c>
      <c r="O1906" s="6">
        <v>4.9000000000000002E-2</v>
      </c>
      <c r="P1906" s="6">
        <v>0</v>
      </c>
      <c r="Q1906" s="4" t="s">
        <v>26</v>
      </c>
      <c r="R1906" s="4">
        <v>0</v>
      </c>
      <c r="S1906" s="4" t="s">
        <v>559</v>
      </c>
      <c r="T1906" s="4" t="s">
        <v>866</v>
      </c>
      <c r="U1906" s="4">
        <v>0</v>
      </c>
      <c r="V1906" s="4">
        <v>56</v>
      </c>
      <c r="W1906" s="4">
        <v>99</v>
      </c>
    </row>
    <row r="1907" spans="1:23" ht="11.25" customHeight="1" x14ac:dyDescent="0.25">
      <c r="A1907" s="4" t="s">
        <v>21</v>
      </c>
      <c r="B1907" s="4" t="s">
        <v>46</v>
      </c>
      <c r="C1907" s="4" t="s">
        <v>37</v>
      </c>
      <c r="D1907" s="4" t="s">
        <v>47</v>
      </c>
      <c r="E1907" s="4" t="s">
        <v>25</v>
      </c>
      <c r="F1907" s="4" t="s">
        <v>25</v>
      </c>
      <c r="G1907" s="4" t="s">
        <v>25</v>
      </c>
      <c r="H1907" s="4" t="s">
        <v>38</v>
      </c>
      <c r="I1907" s="5">
        <v>44013</v>
      </c>
      <c r="J1907" s="6">
        <v>0</v>
      </c>
      <c r="K1907" s="6">
        <v>0</v>
      </c>
      <c r="L1907" s="6">
        <v>0.05</v>
      </c>
      <c r="M1907" s="6">
        <v>0.05</v>
      </c>
      <c r="N1907" s="6">
        <v>0.05</v>
      </c>
      <c r="O1907" s="6">
        <v>0.05</v>
      </c>
      <c r="P1907" s="6">
        <v>0</v>
      </c>
      <c r="Q1907" s="4" t="s">
        <v>26</v>
      </c>
      <c r="R1907" s="4">
        <v>0</v>
      </c>
      <c r="S1907" s="4" t="s">
        <v>560</v>
      </c>
      <c r="T1907" s="4" t="s">
        <v>867</v>
      </c>
      <c r="U1907" s="4">
        <v>0</v>
      </c>
      <c r="V1907" s="4">
        <v>56</v>
      </c>
      <c r="W1907" s="4">
        <v>99</v>
      </c>
    </row>
    <row r="1908" spans="1:23" ht="11.25" customHeight="1" x14ac:dyDescent="0.25">
      <c r="A1908" s="4" t="s">
        <v>21</v>
      </c>
      <c r="B1908" s="4" t="s">
        <v>46</v>
      </c>
      <c r="C1908" s="4" t="s">
        <v>37</v>
      </c>
      <c r="D1908" s="4" t="s">
        <v>47</v>
      </c>
      <c r="E1908" s="4" t="s">
        <v>25</v>
      </c>
      <c r="F1908" s="4" t="s">
        <v>25</v>
      </c>
      <c r="G1908" s="4" t="s">
        <v>25</v>
      </c>
      <c r="H1908" s="4" t="s">
        <v>38</v>
      </c>
      <c r="I1908" s="5">
        <v>44044</v>
      </c>
      <c r="J1908" s="6">
        <v>0</v>
      </c>
      <c r="K1908" s="6">
        <v>0</v>
      </c>
      <c r="L1908" s="6">
        <v>5.7000000000000002E-2</v>
      </c>
      <c r="M1908" s="6">
        <v>5.7000000000000002E-2</v>
      </c>
      <c r="N1908" s="6">
        <v>5.7000000000000002E-2</v>
      </c>
      <c r="O1908" s="6">
        <v>5.7000000000000002E-2</v>
      </c>
      <c r="P1908" s="6">
        <v>0</v>
      </c>
      <c r="Q1908" s="4" t="s">
        <v>26</v>
      </c>
      <c r="R1908" s="4">
        <v>0</v>
      </c>
      <c r="S1908" s="4" t="s">
        <v>561</v>
      </c>
      <c r="T1908" s="4" t="s">
        <v>868</v>
      </c>
      <c r="U1908" s="4">
        <v>0</v>
      </c>
      <c r="V1908" s="4">
        <v>56</v>
      </c>
      <c r="W1908" s="4">
        <v>99</v>
      </c>
    </row>
    <row r="1909" spans="1:23" ht="11.25" customHeight="1" x14ac:dyDescent="0.25">
      <c r="A1909" s="4" t="s">
        <v>59</v>
      </c>
      <c r="B1909" s="4" t="s">
        <v>46</v>
      </c>
      <c r="C1909" s="4" t="s">
        <v>37</v>
      </c>
      <c r="D1909" s="4" t="s">
        <v>47</v>
      </c>
      <c r="E1909" s="4" t="s">
        <v>25</v>
      </c>
      <c r="F1909" s="4" t="s">
        <v>25</v>
      </c>
      <c r="G1909" s="4" t="s">
        <v>25</v>
      </c>
      <c r="H1909" s="4" t="s">
        <v>38</v>
      </c>
      <c r="I1909" s="5">
        <v>44075</v>
      </c>
      <c r="J1909" s="6">
        <v>0</v>
      </c>
      <c r="K1909" s="6">
        <v>0</v>
      </c>
      <c r="L1909" s="6">
        <v>5.7000000000000002E-2</v>
      </c>
      <c r="M1909" s="6">
        <v>5.7000000000000002E-2</v>
      </c>
      <c r="N1909" s="6">
        <v>5.7000000000000002E-2</v>
      </c>
      <c r="O1909" s="6">
        <v>5.7000000000000002E-2</v>
      </c>
      <c r="P1909" s="6">
        <v>0</v>
      </c>
      <c r="Q1909" s="4" t="s">
        <v>26</v>
      </c>
      <c r="R1909" s="4">
        <v>0</v>
      </c>
      <c r="S1909" s="4" t="s">
        <v>562</v>
      </c>
      <c r="T1909" s="4" t="s">
        <v>869</v>
      </c>
      <c r="U1909" s="4">
        <v>0</v>
      </c>
      <c r="V1909" s="4">
        <v>56</v>
      </c>
      <c r="W1909" s="4">
        <v>99</v>
      </c>
    </row>
    <row r="1910" spans="1:23" ht="11.25" customHeight="1" x14ac:dyDescent="0.25">
      <c r="A1910" s="4" t="s">
        <v>21</v>
      </c>
      <c r="B1910" s="4" t="s">
        <v>46</v>
      </c>
      <c r="C1910" s="4" t="s">
        <v>37</v>
      </c>
      <c r="D1910" s="4" t="s">
        <v>47</v>
      </c>
      <c r="E1910" s="4" t="s">
        <v>25</v>
      </c>
      <c r="F1910" s="4" t="s">
        <v>25</v>
      </c>
      <c r="G1910" s="4" t="s">
        <v>25</v>
      </c>
      <c r="H1910" s="4" t="s">
        <v>35</v>
      </c>
      <c r="I1910" s="5">
        <v>43739</v>
      </c>
      <c r="J1910" s="6">
        <v>0</v>
      </c>
      <c r="K1910" s="6">
        <v>0</v>
      </c>
      <c r="L1910" s="6">
        <v>8.1000000000000003E-2</v>
      </c>
      <c r="M1910" s="6">
        <v>8.1000000000000003E-2</v>
      </c>
      <c r="N1910" s="6">
        <v>8.1000000000000003E-2</v>
      </c>
      <c r="O1910" s="6">
        <v>8.1000000000000003E-2</v>
      </c>
      <c r="P1910" s="6">
        <v>0</v>
      </c>
      <c r="Q1910" s="4" t="s">
        <v>26</v>
      </c>
      <c r="R1910" s="4">
        <v>0</v>
      </c>
      <c r="S1910" s="4" t="s">
        <v>563</v>
      </c>
      <c r="T1910" s="4" t="s">
        <v>870</v>
      </c>
      <c r="U1910" s="4">
        <v>0</v>
      </c>
      <c r="V1910" s="4">
        <v>55</v>
      </c>
      <c r="W1910" s="4">
        <v>98</v>
      </c>
    </row>
    <row r="1911" spans="1:23" ht="11.25" customHeight="1" x14ac:dyDescent="0.25">
      <c r="A1911" s="4" t="s">
        <v>21</v>
      </c>
      <c r="B1911" s="4" t="s">
        <v>46</v>
      </c>
      <c r="C1911" s="4" t="s">
        <v>37</v>
      </c>
      <c r="D1911" s="4" t="s">
        <v>47</v>
      </c>
      <c r="E1911" s="4" t="s">
        <v>25</v>
      </c>
      <c r="F1911" s="4" t="s">
        <v>25</v>
      </c>
      <c r="G1911" s="4" t="s">
        <v>25</v>
      </c>
      <c r="H1911" s="4" t="s">
        <v>35</v>
      </c>
      <c r="I1911" s="5">
        <v>43770</v>
      </c>
      <c r="J1911" s="6">
        <v>0</v>
      </c>
      <c r="K1911" s="6">
        <v>0</v>
      </c>
      <c r="L1911" s="6">
        <v>7.6999999999999999E-2</v>
      </c>
      <c r="M1911" s="6">
        <v>7.6999999999999999E-2</v>
      </c>
      <c r="N1911" s="6">
        <v>7.6999999999999999E-2</v>
      </c>
      <c r="O1911" s="6">
        <v>7.6999999999999999E-2</v>
      </c>
      <c r="P1911" s="6">
        <v>0</v>
      </c>
      <c r="Q1911" s="4" t="s">
        <v>26</v>
      </c>
      <c r="R1911" s="4">
        <v>0</v>
      </c>
      <c r="S1911" s="4" t="s">
        <v>564</v>
      </c>
      <c r="T1911" s="4" t="s">
        <v>871</v>
      </c>
      <c r="U1911" s="4">
        <v>0</v>
      </c>
      <c r="V1911" s="4">
        <v>55</v>
      </c>
      <c r="W1911" s="4">
        <v>98</v>
      </c>
    </row>
    <row r="1912" spans="1:23" ht="11.25" customHeight="1" x14ac:dyDescent="0.25">
      <c r="A1912" s="4" t="s">
        <v>21</v>
      </c>
      <c r="B1912" s="4" t="s">
        <v>46</v>
      </c>
      <c r="C1912" s="4" t="s">
        <v>37</v>
      </c>
      <c r="D1912" s="4" t="s">
        <v>47</v>
      </c>
      <c r="E1912" s="4" t="s">
        <v>25</v>
      </c>
      <c r="F1912" s="4" t="s">
        <v>25</v>
      </c>
      <c r="G1912" s="4" t="s">
        <v>25</v>
      </c>
      <c r="H1912" s="4" t="s">
        <v>35</v>
      </c>
      <c r="I1912" s="5">
        <v>43800</v>
      </c>
      <c r="J1912" s="6">
        <v>0</v>
      </c>
      <c r="K1912" s="6">
        <v>0</v>
      </c>
      <c r="L1912" s="6">
        <v>7.0000000000000007E-2</v>
      </c>
      <c r="M1912" s="6">
        <v>7.0000000000000007E-2</v>
      </c>
      <c r="N1912" s="6">
        <v>7.0000000000000007E-2</v>
      </c>
      <c r="O1912" s="6">
        <v>7.0000000000000007E-2</v>
      </c>
      <c r="P1912" s="6">
        <v>0</v>
      </c>
      <c r="Q1912" s="4" t="s">
        <v>26</v>
      </c>
      <c r="R1912" s="4">
        <v>0</v>
      </c>
      <c r="S1912" s="4" t="s">
        <v>565</v>
      </c>
      <c r="T1912" s="4" t="s">
        <v>872</v>
      </c>
      <c r="U1912" s="4">
        <v>0</v>
      </c>
      <c r="V1912" s="4">
        <v>55</v>
      </c>
      <c r="W1912" s="4">
        <v>98</v>
      </c>
    </row>
    <row r="1913" spans="1:23" ht="11.25" customHeight="1" x14ac:dyDescent="0.25">
      <c r="A1913" s="4" t="s">
        <v>21</v>
      </c>
      <c r="B1913" s="4" t="s">
        <v>46</v>
      </c>
      <c r="C1913" s="4" t="s">
        <v>37</v>
      </c>
      <c r="D1913" s="4" t="s">
        <v>47</v>
      </c>
      <c r="E1913" s="4" t="s">
        <v>25</v>
      </c>
      <c r="F1913" s="4" t="s">
        <v>25</v>
      </c>
      <c r="G1913" s="4" t="s">
        <v>25</v>
      </c>
      <c r="H1913" s="4" t="s">
        <v>35</v>
      </c>
      <c r="I1913" s="5">
        <v>43831</v>
      </c>
      <c r="J1913" s="6">
        <v>0</v>
      </c>
      <c r="K1913" s="6">
        <v>0</v>
      </c>
      <c r="L1913" s="6">
        <v>8.5000000000000006E-2</v>
      </c>
      <c r="M1913" s="6">
        <v>8.5000000000000006E-2</v>
      </c>
      <c r="N1913" s="6">
        <v>8.5000000000000006E-2</v>
      </c>
      <c r="O1913" s="6">
        <v>8.5000000000000006E-2</v>
      </c>
      <c r="P1913" s="6">
        <v>0</v>
      </c>
      <c r="Q1913" s="4" t="s">
        <v>26</v>
      </c>
      <c r="R1913" s="4">
        <v>0</v>
      </c>
      <c r="S1913" s="4" t="s">
        <v>566</v>
      </c>
      <c r="T1913" s="4" t="s">
        <v>873</v>
      </c>
      <c r="U1913" s="4">
        <v>0</v>
      </c>
      <c r="V1913" s="4">
        <v>55</v>
      </c>
      <c r="W1913" s="4">
        <v>98</v>
      </c>
    </row>
    <row r="1914" spans="1:23" ht="11.25" customHeight="1" x14ac:dyDescent="0.25">
      <c r="A1914" s="4" t="s">
        <v>21</v>
      </c>
      <c r="B1914" s="4" t="s">
        <v>46</v>
      </c>
      <c r="C1914" s="4" t="s">
        <v>37</v>
      </c>
      <c r="D1914" s="4" t="s">
        <v>47</v>
      </c>
      <c r="E1914" s="4" t="s">
        <v>25</v>
      </c>
      <c r="F1914" s="4" t="s">
        <v>25</v>
      </c>
      <c r="G1914" s="4" t="s">
        <v>25</v>
      </c>
      <c r="H1914" s="4" t="s">
        <v>35</v>
      </c>
      <c r="I1914" s="5">
        <v>43862</v>
      </c>
      <c r="J1914" s="6">
        <v>0</v>
      </c>
      <c r="K1914" s="6">
        <v>0</v>
      </c>
      <c r="L1914" s="6">
        <v>7.5999999999999998E-2</v>
      </c>
      <c r="M1914" s="6">
        <v>7.5999999999999998E-2</v>
      </c>
      <c r="N1914" s="6">
        <v>7.5999999999999998E-2</v>
      </c>
      <c r="O1914" s="6">
        <v>7.5999999999999998E-2</v>
      </c>
      <c r="P1914" s="6">
        <v>0</v>
      </c>
      <c r="Q1914" s="4" t="s">
        <v>26</v>
      </c>
      <c r="R1914" s="4">
        <v>0</v>
      </c>
      <c r="S1914" s="4" t="s">
        <v>567</v>
      </c>
      <c r="T1914" s="4" t="s">
        <v>874</v>
      </c>
      <c r="U1914" s="4">
        <v>0</v>
      </c>
      <c r="V1914" s="4">
        <v>55</v>
      </c>
      <c r="W1914" s="4">
        <v>98</v>
      </c>
    </row>
    <row r="1915" spans="1:23" ht="11.25" customHeight="1" x14ac:dyDescent="0.25">
      <c r="A1915" s="4" t="s">
        <v>21</v>
      </c>
      <c r="B1915" s="4" t="s">
        <v>46</v>
      </c>
      <c r="C1915" s="4" t="s">
        <v>37</v>
      </c>
      <c r="D1915" s="4" t="s">
        <v>47</v>
      </c>
      <c r="E1915" s="4" t="s">
        <v>25</v>
      </c>
      <c r="F1915" s="4" t="s">
        <v>25</v>
      </c>
      <c r="G1915" s="4" t="s">
        <v>25</v>
      </c>
      <c r="H1915" s="4" t="s">
        <v>35</v>
      </c>
      <c r="I1915" s="5">
        <v>43891</v>
      </c>
      <c r="J1915" s="6">
        <v>0</v>
      </c>
      <c r="K1915" s="6">
        <v>0</v>
      </c>
      <c r="L1915" s="6">
        <v>8.4000000000000005E-2</v>
      </c>
      <c r="M1915" s="6">
        <v>8.4000000000000005E-2</v>
      </c>
      <c r="N1915" s="6">
        <v>8.4000000000000005E-2</v>
      </c>
      <c r="O1915" s="6">
        <v>8.4000000000000005E-2</v>
      </c>
      <c r="P1915" s="6">
        <v>0</v>
      </c>
      <c r="Q1915" s="4" t="s">
        <v>26</v>
      </c>
      <c r="R1915" s="4">
        <v>0</v>
      </c>
      <c r="S1915" s="4" t="s">
        <v>568</v>
      </c>
      <c r="T1915" s="4" t="s">
        <v>875</v>
      </c>
      <c r="U1915" s="4">
        <v>0</v>
      </c>
      <c r="V1915" s="4">
        <v>55</v>
      </c>
      <c r="W1915" s="4">
        <v>98</v>
      </c>
    </row>
    <row r="1916" spans="1:23" ht="11.25" customHeight="1" x14ac:dyDescent="0.25">
      <c r="A1916" s="4" t="s">
        <v>21</v>
      </c>
      <c r="B1916" s="4" t="s">
        <v>46</v>
      </c>
      <c r="C1916" s="4" t="s">
        <v>37</v>
      </c>
      <c r="D1916" s="4" t="s">
        <v>47</v>
      </c>
      <c r="E1916" s="4" t="s">
        <v>25</v>
      </c>
      <c r="F1916" s="4" t="s">
        <v>25</v>
      </c>
      <c r="G1916" s="4" t="s">
        <v>25</v>
      </c>
      <c r="H1916" s="4" t="s">
        <v>35</v>
      </c>
      <c r="I1916" s="5">
        <v>43922</v>
      </c>
      <c r="J1916" s="6">
        <v>0</v>
      </c>
      <c r="K1916" s="6">
        <v>0</v>
      </c>
      <c r="L1916" s="6">
        <v>0.108</v>
      </c>
      <c r="M1916" s="6">
        <v>0.108</v>
      </c>
      <c r="N1916" s="6">
        <v>0.108</v>
      </c>
      <c r="O1916" s="6">
        <v>0.108</v>
      </c>
      <c r="P1916" s="6">
        <v>0</v>
      </c>
      <c r="Q1916" s="4" t="s">
        <v>26</v>
      </c>
      <c r="R1916" s="4">
        <v>0</v>
      </c>
      <c r="S1916" s="4" t="s">
        <v>569</v>
      </c>
      <c r="T1916" s="4" t="s">
        <v>876</v>
      </c>
      <c r="U1916" s="4">
        <v>0</v>
      </c>
      <c r="V1916" s="4">
        <v>55</v>
      </c>
      <c r="W1916" s="4">
        <v>98</v>
      </c>
    </row>
    <row r="1917" spans="1:23" ht="11.25" customHeight="1" x14ac:dyDescent="0.25">
      <c r="A1917" s="4" t="s">
        <v>21</v>
      </c>
      <c r="B1917" s="4" t="s">
        <v>46</v>
      </c>
      <c r="C1917" s="4" t="s">
        <v>37</v>
      </c>
      <c r="D1917" s="4" t="s">
        <v>47</v>
      </c>
      <c r="E1917" s="4" t="s">
        <v>25</v>
      </c>
      <c r="F1917" s="4" t="s">
        <v>25</v>
      </c>
      <c r="G1917" s="4" t="s">
        <v>25</v>
      </c>
      <c r="H1917" s="4" t="s">
        <v>35</v>
      </c>
      <c r="I1917" s="5">
        <v>43952</v>
      </c>
      <c r="J1917" s="6">
        <v>0</v>
      </c>
      <c r="K1917" s="6">
        <v>0</v>
      </c>
      <c r="L1917" s="6">
        <v>8.8999999999999996E-2</v>
      </c>
      <c r="M1917" s="6">
        <v>8.8999999999999996E-2</v>
      </c>
      <c r="N1917" s="6">
        <v>8.8999999999999996E-2</v>
      </c>
      <c r="O1917" s="6">
        <v>8.8999999999999996E-2</v>
      </c>
      <c r="P1917" s="6">
        <v>0</v>
      </c>
      <c r="Q1917" s="4" t="s">
        <v>26</v>
      </c>
      <c r="R1917" s="4">
        <v>0</v>
      </c>
      <c r="S1917" s="4" t="s">
        <v>570</v>
      </c>
      <c r="T1917" s="4" t="s">
        <v>877</v>
      </c>
      <c r="U1917" s="4">
        <v>0</v>
      </c>
      <c r="V1917" s="4">
        <v>55</v>
      </c>
      <c r="W1917" s="4">
        <v>98</v>
      </c>
    </row>
    <row r="1918" spans="1:23" ht="11.25" customHeight="1" x14ac:dyDescent="0.25">
      <c r="A1918" s="4" t="s">
        <v>21</v>
      </c>
      <c r="B1918" s="4" t="s">
        <v>46</v>
      </c>
      <c r="C1918" s="4" t="s">
        <v>37</v>
      </c>
      <c r="D1918" s="4" t="s">
        <v>47</v>
      </c>
      <c r="E1918" s="4" t="s">
        <v>25</v>
      </c>
      <c r="F1918" s="4" t="s">
        <v>25</v>
      </c>
      <c r="G1918" s="4" t="s">
        <v>25</v>
      </c>
      <c r="H1918" s="4" t="s">
        <v>35</v>
      </c>
      <c r="I1918" s="5">
        <v>43983</v>
      </c>
      <c r="J1918" s="6">
        <v>0</v>
      </c>
      <c r="K1918" s="6">
        <v>0</v>
      </c>
      <c r="L1918" s="6">
        <v>9.2999999999999999E-2</v>
      </c>
      <c r="M1918" s="6">
        <v>9.2999999999999999E-2</v>
      </c>
      <c r="N1918" s="6">
        <v>9.2999999999999999E-2</v>
      </c>
      <c r="O1918" s="6">
        <v>9.2999999999999999E-2</v>
      </c>
      <c r="P1918" s="6">
        <v>0</v>
      </c>
      <c r="Q1918" s="4" t="s">
        <v>26</v>
      </c>
      <c r="R1918" s="4">
        <v>0</v>
      </c>
      <c r="S1918" s="4" t="s">
        <v>571</v>
      </c>
      <c r="T1918" s="4" t="s">
        <v>878</v>
      </c>
      <c r="U1918" s="4">
        <v>0</v>
      </c>
      <c r="V1918" s="4">
        <v>55</v>
      </c>
      <c r="W1918" s="4">
        <v>98</v>
      </c>
    </row>
    <row r="1919" spans="1:23" ht="11.25" customHeight="1" x14ac:dyDescent="0.25">
      <c r="A1919" s="4" t="s">
        <v>21</v>
      </c>
      <c r="B1919" s="4" t="s">
        <v>46</v>
      </c>
      <c r="C1919" s="4" t="s">
        <v>37</v>
      </c>
      <c r="D1919" s="4" t="s">
        <v>47</v>
      </c>
      <c r="E1919" s="4" t="s">
        <v>25</v>
      </c>
      <c r="F1919" s="4" t="s">
        <v>25</v>
      </c>
      <c r="G1919" s="4" t="s">
        <v>25</v>
      </c>
      <c r="H1919" s="4" t="s">
        <v>35</v>
      </c>
      <c r="I1919" s="5">
        <v>44013</v>
      </c>
      <c r="J1919" s="6">
        <v>0</v>
      </c>
      <c r="K1919" s="6">
        <v>0</v>
      </c>
      <c r="L1919" s="6">
        <v>0.09</v>
      </c>
      <c r="M1919" s="6">
        <v>0.09</v>
      </c>
      <c r="N1919" s="6">
        <v>0.09</v>
      </c>
      <c r="O1919" s="6">
        <v>0.09</v>
      </c>
      <c r="P1919" s="6">
        <v>0</v>
      </c>
      <c r="Q1919" s="4" t="s">
        <v>26</v>
      </c>
      <c r="R1919" s="4">
        <v>0</v>
      </c>
      <c r="S1919" s="4" t="s">
        <v>572</v>
      </c>
      <c r="T1919" s="4" t="s">
        <v>879</v>
      </c>
      <c r="U1919" s="4">
        <v>0</v>
      </c>
      <c r="V1919" s="4">
        <v>55</v>
      </c>
      <c r="W1919" s="4">
        <v>98</v>
      </c>
    </row>
    <row r="1920" spans="1:23" ht="11.25" customHeight="1" x14ac:dyDescent="0.25">
      <c r="A1920" s="4" t="s">
        <v>21</v>
      </c>
      <c r="B1920" s="4" t="s">
        <v>46</v>
      </c>
      <c r="C1920" s="4" t="s">
        <v>37</v>
      </c>
      <c r="D1920" s="4" t="s">
        <v>47</v>
      </c>
      <c r="E1920" s="4" t="s">
        <v>25</v>
      </c>
      <c r="F1920" s="4" t="s">
        <v>25</v>
      </c>
      <c r="G1920" s="4" t="s">
        <v>25</v>
      </c>
      <c r="H1920" s="4" t="s">
        <v>35</v>
      </c>
      <c r="I1920" s="5">
        <v>44044</v>
      </c>
      <c r="J1920" s="6">
        <v>0</v>
      </c>
      <c r="K1920" s="6">
        <v>0</v>
      </c>
      <c r="L1920" s="6">
        <v>0.10100000000000001</v>
      </c>
      <c r="M1920" s="6">
        <v>0.10100000000000001</v>
      </c>
      <c r="N1920" s="6">
        <v>0.10100000000000001</v>
      </c>
      <c r="O1920" s="6">
        <v>0.10100000000000001</v>
      </c>
      <c r="P1920" s="6">
        <v>0</v>
      </c>
      <c r="Q1920" s="4" t="s">
        <v>26</v>
      </c>
      <c r="R1920" s="4">
        <v>0</v>
      </c>
      <c r="S1920" s="4" t="s">
        <v>573</v>
      </c>
      <c r="T1920" s="4" t="s">
        <v>880</v>
      </c>
      <c r="U1920" s="4">
        <v>0</v>
      </c>
      <c r="V1920" s="4">
        <v>55</v>
      </c>
      <c r="W1920" s="4">
        <v>98</v>
      </c>
    </row>
    <row r="1921" spans="1:23" ht="11.25" customHeight="1" x14ac:dyDescent="0.25">
      <c r="A1921" s="4" t="s">
        <v>59</v>
      </c>
      <c r="B1921" s="4" t="s">
        <v>46</v>
      </c>
      <c r="C1921" s="4" t="s">
        <v>37</v>
      </c>
      <c r="D1921" s="4" t="s">
        <v>47</v>
      </c>
      <c r="E1921" s="4" t="s">
        <v>25</v>
      </c>
      <c r="F1921" s="4" t="s">
        <v>25</v>
      </c>
      <c r="G1921" s="4" t="s">
        <v>25</v>
      </c>
      <c r="H1921" s="4" t="s">
        <v>35</v>
      </c>
      <c r="I1921" s="5">
        <v>44075</v>
      </c>
      <c r="J1921" s="6">
        <v>0</v>
      </c>
      <c r="K1921" s="6">
        <v>0</v>
      </c>
      <c r="L1921" s="6">
        <v>0.10100000000000001</v>
      </c>
      <c r="M1921" s="6">
        <v>0.10100000000000001</v>
      </c>
      <c r="N1921" s="6">
        <v>0.10100000000000001</v>
      </c>
      <c r="O1921" s="6">
        <v>0.10100000000000001</v>
      </c>
      <c r="P1921" s="6">
        <v>0</v>
      </c>
      <c r="Q1921" s="4" t="s">
        <v>26</v>
      </c>
      <c r="R1921" s="4">
        <v>0</v>
      </c>
      <c r="S1921" s="4" t="s">
        <v>574</v>
      </c>
      <c r="T1921" s="4" t="s">
        <v>881</v>
      </c>
      <c r="U1921" s="4">
        <v>0</v>
      </c>
      <c r="V1921" s="4">
        <v>55</v>
      </c>
      <c r="W1921" s="4">
        <v>98</v>
      </c>
    </row>
    <row r="1922" spans="1:23" ht="11.25" customHeight="1" x14ac:dyDescent="0.25">
      <c r="A1922" s="4" t="s">
        <v>21</v>
      </c>
      <c r="B1922" s="4" t="s">
        <v>46</v>
      </c>
      <c r="C1922" s="4" t="s">
        <v>23</v>
      </c>
      <c r="D1922" s="4" t="s">
        <v>47</v>
      </c>
      <c r="E1922" s="4" t="s">
        <v>55</v>
      </c>
      <c r="F1922" s="4" t="s">
        <v>56</v>
      </c>
      <c r="G1922" s="4" t="s">
        <v>25</v>
      </c>
      <c r="H1922" s="4" t="s">
        <v>25</v>
      </c>
      <c r="I1922" s="5">
        <v>43739</v>
      </c>
      <c r="J1922" s="6">
        <v>0</v>
      </c>
      <c r="K1922" s="6">
        <v>0</v>
      </c>
      <c r="L1922" s="6">
        <v>14.704000000000001</v>
      </c>
      <c r="M1922" s="6">
        <v>14.704000000000001</v>
      </c>
      <c r="N1922" s="6">
        <v>14.704000000000001</v>
      </c>
      <c r="O1922" s="6">
        <v>14.704000000000001</v>
      </c>
      <c r="P1922" s="6">
        <v>0</v>
      </c>
      <c r="Q1922" s="4" t="s">
        <v>26</v>
      </c>
      <c r="R1922" s="4">
        <v>0</v>
      </c>
      <c r="S1922" s="4" t="s">
        <v>575</v>
      </c>
      <c r="T1922" s="4" t="s">
        <v>882</v>
      </c>
      <c r="U1922" s="4">
        <v>0</v>
      </c>
      <c r="V1922" s="4">
        <v>58</v>
      </c>
      <c r="W1922" s="4">
        <v>101</v>
      </c>
    </row>
    <row r="1923" spans="1:23" ht="11.25" customHeight="1" x14ac:dyDescent="0.25">
      <c r="A1923" s="4" t="s">
        <v>28</v>
      </c>
      <c r="B1923" s="4" t="s">
        <v>46</v>
      </c>
      <c r="C1923" s="4" t="s">
        <v>23</v>
      </c>
      <c r="D1923" s="4" t="s">
        <v>47</v>
      </c>
      <c r="E1923" s="4" t="s">
        <v>55</v>
      </c>
      <c r="F1923" s="4" t="s">
        <v>56</v>
      </c>
      <c r="G1923" s="4" t="s">
        <v>25</v>
      </c>
      <c r="H1923" s="4" t="s">
        <v>25</v>
      </c>
      <c r="I1923" s="5">
        <v>43739</v>
      </c>
      <c r="J1923" s="6">
        <v>0</v>
      </c>
      <c r="K1923" s="6">
        <v>0</v>
      </c>
      <c r="L1923" s="6">
        <v>4.7869999999999999</v>
      </c>
      <c r="M1923" s="6">
        <v>4.7869999999999999</v>
      </c>
      <c r="N1923" s="6">
        <v>4.7869999999999999</v>
      </c>
      <c r="O1923" s="6">
        <v>4.7869999999999999</v>
      </c>
      <c r="P1923" s="6">
        <v>0</v>
      </c>
      <c r="Q1923" s="4" t="s">
        <v>26</v>
      </c>
      <c r="R1923" s="4">
        <v>0</v>
      </c>
      <c r="S1923" s="4" t="s">
        <v>575</v>
      </c>
      <c r="T1923" s="4" t="s">
        <v>882</v>
      </c>
      <c r="U1923" s="4">
        <v>0</v>
      </c>
      <c r="V1923" s="4">
        <v>58</v>
      </c>
      <c r="W1923" s="4">
        <v>101</v>
      </c>
    </row>
    <row r="1924" spans="1:23" ht="11.25" customHeight="1" x14ac:dyDescent="0.25">
      <c r="A1924" s="4" t="s">
        <v>21</v>
      </c>
      <c r="B1924" s="4" t="s">
        <v>46</v>
      </c>
      <c r="C1924" s="4" t="s">
        <v>23</v>
      </c>
      <c r="D1924" s="4" t="s">
        <v>47</v>
      </c>
      <c r="E1924" s="4" t="s">
        <v>55</v>
      </c>
      <c r="F1924" s="4" t="s">
        <v>56</v>
      </c>
      <c r="G1924" s="4" t="s">
        <v>25</v>
      </c>
      <c r="H1924" s="4" t="s">
        <v>25</v>
      </c>
      <c r="I1924" s="5">
        <v>43770</v>
      </c>
      <c r="J1924" s="6">
        <v>0</v>
      </c>
      <c r="K1924" s="6">
        <v>0</v>
      </c>
      <c r="L1924" s="6">
        <v>42.212000000000003</v>
      </c>
      <c r="M1924" s="6">
        <v>42.212000000000003</v>
      </c>
      <c r="N1924" s="6">
        <v>42.212000000000003</v>
      </c>
      <c r="O1924" s="6">
        <v>42.212000000000003</v>
      </c>
      <c r="P1924" s="6">
        <v>0</v>
      </c>
      <c r="Q1924" s="4" t="s">
        <v>26</v>
      </c>
      <c r="R1924" s="4">
        <v>0</v>
      </c>
      <c r="S1924" s="4" t="s">
        <v>576</v>
      </c>
      <c r="T1924" s="4" t="s">
        <v>883</v>
      </c>
      <c r="U1924" s="4">
        <v>0</v>
      </c>
      <c r="V1924" s="4">
        <v>58</v>
      </c>
      <c r="W1924" s="4">
        <v>101</v>
      </c>
    </row>
    <row r="1925" spans="1:23" ht="11.25" customHeight="1" x14ac:dyDescent="0.25">
      <c r="A1925" s="4" t="s">
        <v>21</v>
      </c>
      <c r="B1925" s="4" t="s">
        <v>46</v>
      </c>
      <c r="C1925" s="4" t="s">
        <v>23</v>
      </c>
      <c r="D1925" s="4" t="s">
        <v>47</v>
      </c>
      <c r="E1925" s="4" t="s">
        <v>55</v>
      </c>
      <c r="F1925" s="4" t="s">
        <v>56</v>
      </c>
      <c r="G1925" s="4" t="s">
        <v>25</v>
      </c>
      <c r="H1925" s="4" t="s">
        <v>25</v>
      </c>
      <c r="I1925" s="5">
        <v>43800</v>
      </c>
      <c r="J1925" s="6">
        <v>0</v>
      </c>
      <c r="K1925" s="6">
        <v>0</v>
      </c>
      <c r="L1925" s="6">
        <v>6.9649999999999999</v>
      </c>
      <c r="M1925" s="6">
        <v>6.9649999999999999</v>
      </c>
      <c r="N1925" s="6">
        <v>6.9649999999999999</v>
      </c>
      <c r="O1925" s="6">
        <v>6.9649999999999999</v>
      </c>
      <c r="P1925" s="6">
        <v>0</v>
      </c>
      <c r="Q1925" s="4" t="s">
        <v>26</v>
      </c>
      <c r="R1925" s="4">
        <v>0</v>
      </c>
      <c r="S1925" s="4" t="s">
        <v>577</v>
      </c>
      <c r="T1925" s="4" t="s">
        <v>884</v>
      </c>
      <c r="U1925" s="4">
        <v>0</v>
      </c>
      <c r="V1925" s="4">
        <v>58</v>
      </c>
      <c r="W1925" s="4">
        <v>101</v>
      </c>
    </row>
    <row r="1926" spans="1:23" ht="11.25" customHeight="1" x14ac:dyDescent="0.25">
      <c r="A1926" s="4" t="s">
        <v>28</v>
      </c>
      <c r="B1926" s="4" t="s">
        <v>46</v>
      </c>
      <c r="C1926" s="4" t="s">
        <v>23</v>
      </c>
      <c r="D1926" s="4" t="s">
        <v>47</v>
      </c>
      <c r="E1926" s="4" t="s">
        <v>55</v>
      </c>
      <c r="F1926" s="4" t="s">
        <v>56</v>
      </c>
      <c r="G1926" s="4" t="s">
        <v>25</v>
      </c>
      <c r="H1926" s="4" t="s">
        <v>25</v>
      </c>
      <c r="I1926" s="5">
        <v>43800</v>
      </c>
      <c r="J1926" s="6">
        <v>0</v>
      </c>
      <c r="K1926" s="6">
        <v>0</v>
      </c>
      <c r="L1926" s="6">
        <v>0.20799999999999999</v>
      </c>
      <c r="M1926" s="6">
        <v>0.20799999999999999</v>
      </c>
      <c r="N1926" s="6">
        <v>0.20799999999999999</v>
      </c>
      <c r="O1926" s="6">
        <v>0.20799999999999999</v>
      </c>
      <c r="P1926" s="6">
        <v>0</v>
      </c>
      <c r="Q1926" s="4" t="s">
        <v>26</v>
      </c>
      <c r="R1926" s="4">
        <v>0</v>
      </c>
      <c r="S1926" s="4" t="s">
        <v>577</v>
      </c>
      <c r="T1926" s="4" t="s">
        <v>884</v>
      </c>
      <c r="U1926" s="4">
        <v>0</v>
      </c>
      <c r="V1926" s="4">
        <v>58</v>
      </c>
      <c r="W1926" s="4">
        <v>101</v>
      </c>
    </row>
    <row r="1927" spans="1:23" ht="11.25" customHeight="1" x14ac:dyDescent="0.25">
      <c r="A1927" s="4" t="s">
        <v>21</v>
      </c>
      <c r="B1927" s="4" t="s">
        <v>46</v>
      </c>
      <c r="C1927" s="4" t="s">
        <v>23</v>
      </c>
      <c r="D1927" s="4" t="s">
        <v>47</v>
      </c>
      <c r="E1927" s="4" t="s">
        <v>55</v>
      </c>
      <c r="F1927" s="4" t="s">
        <v>56</v>
      </c>
      <c r="G1927" s="4" t="s">
        <v>25</v>
      </c>
      <c r="H1927" s="4" t="s">
        <v>25</v>
      </c>
      <c r="I1927" s="5">
        <v>43831</v>
      </c>
      <c r="J1927" s="6">
        <v>0</v>
      </c>
      <c r="K1927" s="6">
        <v>0</v>
      </c>
      <c r="L1927" s="6">
        <v>11.85</v>
      </c>
      <c r="M1927" s="6">
        <v>11.85</v>
      </c>
      <c r="N1927" s="6">
        <v>11.85</v>
      </c>
      <c r="O1927" s="6">
        <v>11.85</v>
      </c>
      <c r="P1927" s="6">
        <v>0</v>
      </c>
      <c r="Q1927" s="4" t="s">
        <v>26</v>
      </c>
      <c r="R1927" s="4">
        <v>0</v>
      </c>
      <c r="S1927" s="4" t="s">
        <v>578</v>
      </c>
      <c r="T1927" s="4" t="s">
        <v>885</v>
      </c>
      <c r="U1927" s="4">
        <v>0</v>
      </c>
      <c r="V1927" s="4">
        <v>58</v>
      </c>
      <c r="W1927" s="4">
        <v>101</v>
      </c>
    </row>
    <row r="1928" spans="1:23" ht="11.25" customHeight="1" x14ac:dyDescent="0.25">
      <c r="A1928" s="4" t="s">
        <v>28</v>
      </c>
      <c r="B1928" s="4" t="s">
        <v>46</v>
      </c>
      <c r="C1928" s="4" t="s">
        <v>23</v>
      </c>
      <c r="D1928" s="4" t="s">
        <v>47</v>
      </c>
      <c r="E1928" s="4" t="s">
        <v>55</v>
      </c>
      <c r="F1928" s="4" t="s">
        <v>56</v>
      </c>
      <c r="G1928" s="4" t="s">
        <v>25</v>
      </c>
      <c r="H1928" s="4" t="s">
        <v>25</v>
      </c>
      <c r="I1928" s="5">
        <v>43831</v>
      </c>
      <c r="J1928" s="6">
        <v>0</v>
      </c>
      <c r="K1928" s="6">
        <v>0</v>
      </c>
      <c r="L1928" s="6">
        <v>0.1</v>
      </c>
      <c r="M1928" s="6">
        <v>0.1</v>
      </c>
      <c r="N1928" s="6">
        <v>0.1</v>
      </c>
      <c r="O1928" s="6">
        <v>0.1</v>
      </c>
      <c r="P1928" s="6">
        <v>0</v>
      </c>
      <c r="Q1928" s="4" t="s">
        <v>26</v>
      </c>
      <c r="R1928" s="4">
        <v>0</v>
      </c>
      <c r="S1928" s="4" t="s">
        <v>578</v>
      </c>
      <c r="T1928" s="4" t="s">
        <v>885</v>
      </c>
      <c r="U1928" s="4">
        <v>0</v>
      </c>
      <c r="V1928" s="4">
        <v>58</v>
      </c>
      <c r="W1928" s="4">
        <v>101</v>
      </c>
    </row>
    <row r="1929" spans="1:23" ht="11.25" customHeight="1" x14ac:dyDescent="0.25">
      <c r="A1929" s="4" t="s">
        <v>21</v>
      </c>
      <c r="B1929" s="4" t="s">
        <v>46</v>
      </c>
      <c r="C1929" s="4" t="s">
        <v>23</v>
      </c>
      <c r="D1929" s="4" t="s">
        <v>47</v>
      </c>
      <c r="E1929" s="4" t="s">
        <v>55</v>
      </c>
      <c r="F1929" s="4" t="s">
        <v>56</v>
      </c>
      <c r="G1929" s="4" t="s">
        <v>25</v>
      </c>
      <c r="H1929" s="4" t="s">
        <v>25</v>
      </c>
      <c r="I1929" s="5">
        <v>43862</v>
      </c>
      <c r="J1929" s="6">
        <v>0</v>
      </c>
      <c r="K1929" s="6">
        <v>0</v>
      </c>
      <c r="L1929" s="6">
        <v>6.2640000000000002</v>
      </c>
      <c r="M1929" s="6">
        <v>6.2640000000000002</v>
      </c>
      <c r="N1929" s="6">
        <v>6.2640000000000002</v>
      </c>
      <c r="O1929" s="6">
        <v>6.2640000000000002</v>
      </c>
      <c r="P1929" s="6">
        <v>0</v>
      </c>
      <c r="Q1929" s="4" t="s">
        <v>26</v>
      </c>
      <c r="R1929" s="4">
        <v>0</v>
      </c>
      <c r="S1929" s="4" t="s">
        <v>579</v>
      </c>
      <c r="T1929" s="4" t="s">
        <v>886</v>
      </c>
      <c r="U1929" s="4">
        <v>0</v>
      </c>
      <c r="V1929" s="4">
        <v>58</v>
      </c>
      <c r="W1929" s="4">
        <v>101</v>
      </c>
    </row>
    <row r="1930" spans="1:23" ht="11.25" customHeight="1" x14ac:dyDescent="0.25">
      <c r="A1930" s="4" t="s">
        <v>28</v>
      </c>
      <c r="B1930" s="4" t="s">
        <v>46</v>
      </c>
      <c r="C1930" s="4" t="s">
        <v>23</v>
      </c>
      <c r="D1930" s="4" t="s">
        <v>47</v>
      </c>
      <c r="E1930" s="4" t="s">
        <v>55</v>
      </c>
      <c r="F1930" s="4" t="s">
        <v>56</v>
      </c>
      <c r="G1930" s="4" t="s">
        <v>25</v>
      </c>
      <c r="H1930" s="4" t="s">
        <v>25</v>
      </c>
      <c r="I1930" s="5">
        <v>43862</v>
      </c>
      <c r="J1930" s="6">
        <v>0</v>
      </c>
      <c r="K1930" s="6">
        <v>0</v>
      </c>
      <c r="L1930" s="6">
        <v>0.1</v>
      </c>
      <c r="M1930" s="6">
        <v>0.1</v>
      </c>
      <c r="N1930" s="6">
        <v>0.1</v>
      </c>
      <c r="O1930" s="6">
        <v>0.1</v>
      </c>
      <c r="P1930" s="6">
        <v>0</v>
      </c>
      <c r="Q1930" s="4" t="s">
        <v>26</v>
      </c>
      <c r="R1930" s="4">
        <v>0</v>
      </c>
      <c r="S1930" s="4" t="s">
        <v>579</v>
      </c>
      <c r="T1930" s="4" t="s">
        <v>886</v>
      </c>
      <c r="U1930" s="4">
        <v>0</v>
      </c>
      <c r="V1930" s="4">
        <v>58</v>
      </c>
      <c r="W1930" s="4">
        <v>101</v>
      </c>
    </row>
    <row r="1931" spans="1:23" ht="11.25" customHeight="1" x14ac:dyDescent="0.25">
      <c r="A1931" s="4" t="s">
        <v>21</v>
      </c>
      <c r="B1931" s="4" t="s">
        <v>46</v>
      </c>
      <c r="C1931" s="4" t="s">
        <v>23</v>
      </c>
      <c r="D1931" s="4" t="s">
        <v>47</v>
      </c>
      <c r="E1931" s="4" t="s">
        <v>55</v>
      </c>
      <c r="F1931" s="4" t="s">
        <v>56</v>
      </c>
      <c r="G1931" s="4" t="s">
        <v>25</v>
      </c>
      <c r="H1931" s="4" t="s">
        <v>25</v>
      </c>
      <c r="I1931" s="5">
        <v>43891</v>
      </c>
      <c r="J1931" s="6">
        <v>0</v>
      </c>
      <c r="K1931" s="6">
        <v>0</v>
      </c>
      <c r="L1931" s="6">
        <v>5.016</v>
      </c>
      <c r="M1931" s="6">
        <v>5.016</v>
      </c>
      <c r="N1931" s="6">
        <v>5.016</v>
      </c>
      <c r="O1931" s="6">
        <v>5.016</v>
      </c>
      <c r="P1931" s="6">
        <v>0</v>
      </c>
      <c r="Q1931" s="4" t="s">
        <v>26</v>
      </c>
      <c r="R1931" s="4">
        <v>0</v>
      </c>
      <c r="S1931" s="4" t="s">
        <v>580</v>
      </c>
      <c r="T1931" s="4" t="s">
        <v>887</v>
      </c>
      <c r="U1931" s="4">
        <v>0</v>
      </c>
      <c r="V1931" s="4">
        <v>58</v>
      </c>
      <c r="W1931" s="4">
        <v>101</v>
      </c>
    </row>
    <row r="1932" spans="1:23" ht="11.25" customHeight="1" x14ac:dyDescent="0.25">
      <c r="A1932" s="4" t="s">
        <v>28</v>
      </c>
      <c r="B1932" s="4" t="s">
        <v>46</v>
      </c>
      <c r="C1932" s="4" t="s">
        <v>23</v>
      </c>
      <c r="D1932" s="4" t="s">
        <v>47</v>
      </c>
      <c r="E1932" s="4" t="s">
        <v>55</v>
      </c>
      <c r="F1932" s="4" t="s">
        <v>56</v>
      </c>
      <c r="G1932" s="4" t="s">
        <v>25</v>
      </c>
      <c r="H1932" s="4" t="s">
        <v>25</v>
      </c>
      <c r="I1932" s="5">
        <v>43891</v>
      </c>
      <c r="J1932" s="6">
        <v>0</v>
      </c>
      <c r="K1932" s="6">
        <v>0</v>
      </c>
      <c r="L1932" s="6">
        <v>0.1</v>
      </c>
      <c r="M1932" s="6">
        <v>0.1</v>
      </c>
      <c r="N1932" s="6">
        <v>0.1</v>
      </c>
      <c r="O1932" s="6">
        <v>0.1</v>
      </c>
      <c r="P1932" s="6">
        <v>0</v>
      </c>
      <c r="Q1932" s="4" t="s">
        <v>26</v>
      </c>
      <c r="R1932" s="4">
        <v>0</v>
      </c>
      <c r="S1932" s="4" t="s">
        <v>580</v>
      </c>
      <c r="T1932" s="4" t="s">
        <v>887</v>
      </c>
      <c r="U1932" s="4">
        <v>0</v>
      </c>
      <c r="V1932" s="4">
        <v>58</v>
      </c>
      <c r="W1932" s="4">
        <v>101</v>
      </c>
    </row>
    <row r="1933" spans="1:23" ht="11.25" customHeight="1" x14ac:dyDescent="0.25">
      <c r="A1933" s="4" t="s">
        <v>21</v>
      </c>
      <c r="B1933" s="4" t="s">
        <v>46</v>
      </c>
      <c r="C1933" s="4" t="s">
        <v>23</v>
      </c>
      <c r="D1933" s="4" t="s">
        <v>47</v>
      </c>
      <c r="E1933" s="4" t="s">
        <v>55</v>
      </c>
      <c r="F1933" s="4" t="s">
        <v>56</v>
      </c>
      <c r="G1933" s="4" t="s">
        <v>25</v>
      </c>
      <c r="H1933" s="4" t="s">
        <v>25</v>
      </c>
      <c r="I1933" s="5">
        <v>43922</v>
      </c>
      <c r="J1933" s="6">
        <v>0</v>
      </c>
      <c r="K1933" s="6">
        <v>0</v>
      </c>
      <c r="L1933" s="6">
        <v>5.5380000000000003</v>
      </c>
      <c r="M1933" s="6">
        <v>5.5380000000000003</v>
      </c>
      <c r="N1933" s="6">
        <v>5.5380000000000003</v>
      </c>
      <c r="O1933" s="6">
        <v>5.5380000000000003</v>
      </c>
      <c r="P1933" s="6">
        <v>0</v>
      </c>
      <c r="Q1933" s="4" t="s">
        <v>26</v>
      </c>
      <c r="R1933" s="4">
        <v>0</v>
      </c>
      <c r="S1933" s="4" t="s">
        <v>581</v>
      </c>
      <c r="T1933" s="4" t="s">
        <v>888</v>
      </c>
      <c r="U1933" s="4">
        <v>0</v>
      </c>
      <c r="V1933" s="4">
        <v>58</v>
      </c>
      <c r="W1933" s="4">
        <v>101</v>
      </c>
    </row>
    <row r="1934" spans="1:23" ht="11.25" customHeight="1" x14ac:dyDescent="0.25">
      <c r="A1934" s="4" t="s">
        <v>28</v>
      </c>
      <c r="B1934" s="4" t="s">
        <v>46</v>
      </c>
      <c r="C1934" s="4" t="s">
        <v>23</v>
      </c>
      <c r="D1934" s="4" t="s">
        <v>47</v>
      </c>
      <c r="E1934" s="4" t="s">
        <v>55</v>
      </c>
      <c r="F1934" s="4" t="s">
        <v>56</v>
      </c>
      <c r="G1934" s="4" t="s">
        <v>25</v>
      </c>
      <c r="H1934" s="4" t="s">
        <v>25</v>
      </c>
      <c r="I1934" s="5">
        <v>43922</v>
      </c>
      <c r="J1934" s="6">
        <v>0</v>
      </c>
      <c r="K1934" s="6">
        <v>0</v>
      </c>
      <c r="L1934" s="6">
        <v>0.1</v>
      </c>
      <c r="M1934" s="6">
        <v>0.1</v>
      </c>
      <c r="N1934" s="6">
        <v>0.1</v>
      </c>
      <c r="O1934" s="6">
        <v>0.1</v>
      </c>
      <c r="P1934" s="6">
        <v>0</v>
      </c>
      <c r="Q1934" s="4" t="s">
        <v>26</v>
      </c>
      <c r="R1934" s="4">
        <v>0</v>
      </c>
      <c r="S1934" s="4" t="s">
        <v>581</v>
      </c>
      <c r="T1934" s="4" t="s">
        <v>888</v>
      </c>
      <c r="U1934" s="4">
        <v>0</v>
      </c>
      <c r="V1934" s="4">
        <v>58</v>
      </c>
      <c r="W1934" s="4">
        <v>101</v>
      </c>
    </row>
    <row r="1935" spans="1:23" ht="11.25" customHeight="1" x14ac:dyDescent="0.25">
      <c r="A1935" s="4" t="s">
        <v>21</v>
      </c>
      <c r="B1935" s="4" t="s">
        <v>46</v>
      </c>
      <c r="C1935" s="4" t="s">
        <v>23</v>
      </c>
      <c r="D1935" s="4" t="s">
        <v>47</v>
      </c>
      <c r="E1935" s="4" t="s">
        <v>55</v>
      </c>
      <c r="F1935" s="4" t="s">
        <v>56</v>
      </c>
      <c r="G1935" s="4" t="s">
        <v>25</v>
      </c>
      <c r="H1935" s="4" t="s">
        <v>25</v>
      </c>
      <c r="I1935" s="5">
        <v>43952</v>
      </c>
      <c r="J1935" s="6">
        <v>0</v>
      </c>
      <c r="K1935" s="6">
        <v>0</v>
      </c>
      <c r="L1935" s="6">
        <v>6.0789999999999997</v>
      </c>
      <c r="M1935" s="6">
        <v>6.0789999999999997</v>
      </c>
      <c r="N1935" s="6">
        <v>6.0789999999999997</v>
      </c>
      <c r="O1935" s="6">
        <v>6.0789999999999997</v>
      </c>
      <c r="P1935" s="6">
        <v>0</v>
      </c>
      <c r="Q1935" s="4" t="s">
        <v>26</v>
      </c>
      <c r="R1935" s="4">
        <v>0</v>
      </c>
      <c r="S1935" s="4" t="s">
        <v>582</v>
      </c>
      <c r="T1935" s="4" t="s">
        <v>889</v>
      </c>
      <c r="U1935" s="4">
        <v>0</v>
      </c>
      <c r="V1935" s="4">
        <v>58</v>
      </c>
      <c r="W1935" s="4">
        <v>101</v>
      </c>
    </row>
    <row r="1936" spans="1:23" ht="11.25" customHeight="1" x14ac:dyDescent="0.25">
      <c r="A1936" s="4" t="s">
        <v>28</v>
      </c>
      <c r="B1936" s="4" t="s">
        <v>46</v>
      </c>
      <c r="C1936" s="4" t="s">
        <v>23</v>
      </c>
      <c r="D1936" s="4" t="s">
        <v>47</v>
      </c>
      <c r="E1936" s="4" t="s">
        <v>55</v>
      </c>
      <c r="F1936" s="4" t="s">
        <v>56</v>
      </c>
      <c r="G1936" s="4" t="s">
        <v>25</v>
      </c>
      <c r="H1936" s="4" t="s">
        <v>25</v>
      </c>
      <c r="I1936" s="5">
        <v>43952</v>
      </c>
      <c r="J1936" s="6">
        <v>0</v>
      </c>
      <c r="K1936" s="6">
        <v>0</v>
      </c>
      <c r="L1936" s="6">
        <v>0.1</v>
      </c>
      <c r="M1936" s="6">
        <v>0.1</v>
      </c>
      <c r="N1936" s="6">
        <v>0.1</v>
      </c>
      <c r="O1936" s="6">
        <v>0.1</v>
      </c>
      <c r="P1936" s="6">
        <v>0</v>
      </c>
      <c r="Q1936" s="4" t="s">
        <v>26</v>
      </c>
      <c r="R1936" s="4">
        <v>0</v>
      </c>
      <c r="S1936" s="4" t="s">
        <v>582</v>
      </c>
      <c r="T1936" s="4" t="s">
        <v>889</v>
      </c>
      <c r="U1936" s="4">
        <v>0</v>
      </c>
      <c r="V1936" s="4">
        <v>58</v>
      </c>
      <c r="W1936" s="4">
        <v>101</v>
      </c>
    </row>
    <row r="1937" spans="1:23" ht="11.25" customHeight="1" x14ac:dyDescent="0.25">
      <c r="A1937" s="4" t="s">
        <v>21</v>
      </c>
      <c r="B1937" s="4" t="s">
        <v>46</v>
      </c>
      <c r="C1937" s="4" t="s">
        <v>23</v>
      </c>
      <c r="D1937" s="4" t="s">
        <v>47</v>
      </c>
      <c r="E1937" s="4" t="s">
        <v>55</v>
      </c>
      <c r="F1937" s="4" t="s">
        <v>56</v>
      </c>
      <c r="G1937" s="4" t="s">
        <v>25</v>
      </c>
      <c r="H1937" s="4" t="s">
        <v>25</v>
      </c>
      <c r="I1937" s="5">
        <v>43983</v>
      </c>
      <c r="J1937" s="6">
        <v>0</v>
      </c>
      <c r="K1937" s="6">
        <v>0</v>
      </c>
      <c r="L1937" s="6">
        <v>9.0909999999999993</v>
      </c>
      <c r="M1937" s="6">
        <v>9.0909999999999993</v>
      </c>
      <c r="N1937" s="6">
        <v>9.0909999999999993</v>
      </c>
      <c r="O1937" s="6">
        <v>9.0909999999999993</v>
      </c>
      <c r="P1937" s="6">
        <v>0</v>
      </c>
      <c r="Q1937" s="4" t="s">
        <v>26</v>
      </c>
      <c r="R1937" s="4">
        <v>0</v>
      </c>
      <c r="S1937" s="4" t="s">
        <v>583</v>
      </c>
      <c r="T1937" s="4" t="s">
        <v>890</v>
      </c>
      <c r="U1937" s="4">
        <v>0</v>
      </c>
      <c r="V1937" s="4">
        <v>58</v>
      </c>
      <c r="W1937" s="4">
        <v>101</v>
      </c>
    </row>
    <row r="1938" spans="1:23" ht="11.25" customHeight="1" x14ac:dyDescent="0.25">
      <c r="A1938" s="4" t="s">
        <v>28</v>
      </c>
      <c r="B1938" s="4" t="s">
        <v>46</v>
      </c>
      <c r="C1938" s="4" t="s">
        <v>23</v>
      </c>
      <c r="D1938" s="4" t="s">
        <v>47</v>
      </c>
      <c r="E1938" s="4" t="s">
        <v>55</v>
      </c>
      <c r="F1938" s="4" t="s">
        <v>56</v>
      </c>
      <c r="G1938" s="4" t="s">
        <v>25</v>
      </c>
      <c r="H1938" s="4" t="s">
        <v>25</v>
      </c>
      <c r="I1938" s="5">
        <v>43983</v>
      </c>
      <c r="J1938" s="6">
        <v>0</v>
      </c>
      <c r="K1938" s="6">
        <v>0</v>
      </c>
      <c r="L1938" s="6">
        <v>1.075</v>
      </c>
      <c r="M1938" s="6">
        <v>1.075</v>
      </c>
      <c r="N1938" s="6">
        <v>1.075</v>
      </c>
      <c r="O1938" s="6">
        <v>1.075</v>
      </c>
      <c r="P1938" s="6">
        <v>0</v>
      </c>
      <c r="Q1938" s="4" t="s">
        <v>26</v>
      </c>
      <c r="R1938" s="4">
        <v>0</v>
      </c>
      <c r="S1938" s="4" t="s">
        <v>583</v>
      </c>
      <c r="T1938" s="4" t="s">
        <v>890</v>
      </c>
      <c r="U1938" s="4">
        <v>0</v>
      </c>
      <c r="V1938" s="4">
        <v>58</v>
      </c>
      <c r="W1938" s="4">
        <v>101</v>
      </c>
    </row>
    <row r="1939" spans="1:23" ht="11.25" customHeight="1" x14ac:dyDescent="0.25">
      <c r="A1939" s="4" t="s">
        <v>21</v>
      </c>
      <c r="B1939" s="4" t="s">
        <v>46</v>
      </c>
      <c r="C1939" s="4" t="s">
        <v>23</v>
      </c>
      <c r="D1939" s="4" t="s">
        <v>47</v>
      </c>
      <c r="E1939" s="4" t="s">
        <v>55</v>
      </c>
      <c r="F1939" s="4" t="s">
        <v>56</v>
      </c>
      <c r="G1939" s="4" t="s">
        <v>25</v>
      </c>
      <c r="H1939" s="4" t="s">
        <v>25</v>
      </c>
      <c r="I1939" s="5">
        <v>44013</v>
      </c>
      <c r="J1939" s="6">
        <v>0</v>
      </c>
      <c r="K1939" s="6">
        <v>0</v>
      </c>
      <c r="L1939" s="6">
        <v>10.349</v>
      </c>
      <c r="M1939" s="6">
        <v>10.349</v>
      </c>
      <c r="N1939" s="6">
        <v>10.349</v>
      </c>
      <c r="O1939" s="6">
        <v>10.349</v>
      </c>
      <c r="P1939" s="6">
        <v>0</v>
      </c>
      <c r="Q1939" s="4" t="s">
        <v>26</v>
      </c>
      <c r="R1939" s="4">
        <v>0</v>
      </c>
      <c r="S1939" s="4" t="s">
        <v>584</v>
      </c>
      <c r="T1939" s="4" t="s">
        <v>891</v>
      </c>
      <c r="U1939" s="4">
        <v>0</v>
      </c>
      <c r="V1939" s="4">
        <v>58</v>
      </c>
      <c r="W1939" s="4">
        <v>101</v>
      </c>
    </row>
    <row r="1940" spans="1:23" ht="11.25" customHeight="1" x14ac:dyDescent="0.25">
      <c r="A1940" s="4" t="s">
        <v>28</v>
      </c>
      <c r="B1940" s="4" t="s">
        <v>46</v>
      </c>
      <c r="C1940" s="4" t="s">
        <v>23</v>
      </c>
      <c r="D1940" s="4" t="s">
        <v>47</v>
      </c>
      <c r="E1940" s="4" t="s">
        <v>55</v>
      </c>
      <c r="F1940" s="4" t="s">
        <v>56</v>
      </c>
      <c r="G1940" s="4" t="s">
        <v>25</v>
      </c>
      <c r="H1940" s="4" t="s">
        <v>25</v>
      </c>
      <c r="I1940" s="5">
        <v>44013</v>
      </c>
      <c r="J1940" s="6">
        <v>0</v>
      </c>
      <c r="K1940" s="6">
        <v>0</v>
      </c>
      <c r="L1940" s="6">
        <v>0.1</v>
      </c>
      <c r="M1940" s="6">
        <v>0.1</v>
      </c>
      <c r="N1940" s="6">
        <v>0.1</v>
      </c>
      <c r="O1940" s="6">
        <v>0.1</v>
      </c>
      <c r="P1940" s="6">
        <v>0</v>
      </c>
      <c r="Q1940" s="4" t="s">
        <v>26</v>
      </c>
      <c r="R1940" s="4">
        <v>0</v>
      </c>
      <c r="S1940" s="4" t="s">
        <v>584</v>
      </c>
      <c r="T1940" s="4" t="s">
        <v>891</v>
      </c>
      <c r="U1940" s="4">
        <v>0</v>
      </c>
      <c r="V1940" s="4">
        <v>58</v>
      </c>
      <c r="W1940" s="4">
        <v>101</v>
      </c>
    </row>
    <row r="1941" spans="1:23" ht="11.25" customHeight="1" x14ac:dyDescent="0.25">
      <c r="A1941" s="4" t="s">
        <v>21</v>
      </c>
      <c r="B1941" s="4" t="s">
        <v>46</v>
      </c>
      <c r="C1941" s="4" t="s">
        <v>23</v>
      </c>
      <c r="D1941" s="4" t="s">
        <v>47</v>
      </c>
      <c r="E1941" s="4" t="s">
        <v>55</v>
      </c>
      <c r="F1941" s="4" t="s">
        <v>56</v>
      </c>
      <c r="G1941" s="4" t="s">
        <v>25</v>
      </c>
      <c r="H1941" s="4" t="s">
        <v>25</v>
      </c>
      <c r="I1941" s="5">
        <v>44044</v>
      </c>
      <c r="J1941" s="6">
        <v>0</v>
      </c>
      <c r="K1941" s="6">
        <v>0</v>
      </c>
      <c r="L1941" s="6">
        <v>19.2</v>
      </c>
      <c r="M1941" s="6">
        <v>19.2</v>
      </c>
      <c r="N1941" s="6">
        <v>19.2</v>
      </c>
      <c r="O1941" s="6">
        <v>19.2</v>
      </c>
      <c r="P1941" s="6">
        <v>0</v>
      </c>
      <c r="Q1941" s="4" t="s">
        <v>26</v>
      </c>
      <c r="R1941" s="4">
        <v>0</v>
      </c>
      <c r="S1941" s="4" t="s">
        <v>585</v>
      </c>
      <c r="T1941" s="4" t="s">
        <v>892</v>
      </c>
      <c r="U1941" s="4">
        <v>0</v>
      </c>
      <c r="V1941" s="4">
        <v>58</v>
      </c>
      <c r="W1941" s="4">
        <v>101</v>
      </c>
    </row>
    <row r="1942" spans="1:23" ht="11.25" customHeight="1" x14ac:dyDescent="0.25">
      <c r="A1942" s="4" t="s">
        <v>28</v>
      </c>
      <c r="B1942" s="4" t="s">
        <v>46</v>
      </c>
      <c r="C1942" s="4" t="s">
        <v>23</v>
      </c>
      <c r="D1942" s="4" t="s">
        <v>47</v>
      </c>
      <c r="E1942" s="4" t="s">
        <v>55</v>
      </c>
      <c r="F1942" s="4" t="s">
        <v>56</v>
      </c>
      <c r="G1942" s="4" t="s">
        <v>25</v>
      </c>
      <c r="H1942" s="4" t="s">
        <v>25</v>
      </c>
      <c r="I1942" s="5">
        <v>44044</v>
      </c>
      <c r="J1942" s="6">
        <v>0</v>
      </c>
      <c r="K1942" s="6">
        <v>0</v>
      </c>
      <c r="L1942" s="6">
        <v>0.1</v>
      </c>
      <c r="M1942" s="6">
        <v>0.1</v>
      </c>
      <c r="N1942" s="6">
        <v>0.1</v>
      </c>
      <c r="O1942" s="6">
        <v>0.1</v>
      </c>
      <c r="P1942" s="6">
        <v>0</v>
      </c>
      <c r="Q1942" s="4" t="s">
        <v>26</v>
      </c>
      <c r="R1942" s="4">
        <v>0</v>
      </c>
      <c r="S1942" s="4" t="s">
        <v>585</v>
      </c>
      <c r="T1942" s="4" t="s">
        <v>892</v>
      </c>
      <c r="U1942" s="4">
        <v>0</v>
      </c>
      <c r="V1942" s="4">
        <v>58</v>
      </c>
      <c r="W1942" s="4">
        <v>101</v>
      </c>
    </row>
    <row r="1943" spans="1:23" ht="11.25" customHeight="1" x14ac:dyDescent="0.25">
      <c r="A1943" s="4" t="s">
        <v>59</v>
      </c>
      <c r="B1943" s="4" t="s">
        <v>46</v>
      </c>
      <c r="C1943" s="4" t="s">
        <v>23</v>
      </c>
      <c r="D1943" s="4" t="s">
        <v>47</v>
      </c>
      <c r="E1943" s="4" t="s">
        <v>55</v>
      </c>
      <c r="F1943" s="4" t="s">
        <v>56</v>
      </c>
      <c r="G1943" s="4" t="s">
        <v>25</v>
      </c>
      <c r="H1943" s="4" t="s">
        <v>25</v>
      </c>
      <c r="I1943" s="5">
        <v>44075</v>
      </c>
      <c r="J1943" s="6">
        <v>0</v>
      </c>
      <c r="K1943" s="6">
        <v>0</v>
      </c>
      <c r="L1943" s="6">
        <v>19.2</v>
      </c>
      <c r="M1943" s="6">
        <v>19.2</v>
      </c>
      <c r="N1943" s="6">
        <v>19.2</v>
      </c>
      <c r="O1943" s="6">
        <v>19.2</v>
      </c>
      <c r="P1943" s="6">
        <v>0</v>
      </c>
      <c r="Q1943" s="4" t="s">
        <v>26</v>
      </c>
      <c r="R1943" s="4">
        <v>0</v>
      </c>
      <c r="S1943" s="4" t="s">
        <v>586</v>
      </c>
      <c r="T1943" s="4" t="s">
        <v>893</v>
      </c>
      <c r="U1943" s="4">
        <v>0</v>
      </c>
      <c r="V1943" s="4">
        <v>58</v>
      </c>
      <c r="W1943" s="4">
        <v>101</v>
      </c>
    </row>
    <row r="1944" spans="1:23" ht="11.25" customHeight="1" x14ac:dyDescent="0.25">
      <c r="A1944" s="4" t="s">
        <v>59</v>
      </c>
      <c r="B1944" s="4" t="s">
        <v>46</v>
      </c>
      <c r="C1944" s="4" t="s">
        <v>23</v>
      </c>
      <c r="D1944" s="4" t="s">
        <v>47</v>
      </c>
      <c r="E1944" s="4" t="s">
        <v>55</v>
      </c>
      <c r="F1944" s="4" t="s">
        <v>56</v>
      </c>
      <c r="G1944" s="4" t="s">
        <v>25</v>
      </c>
      <c r="H1944" s="4" t="s">
        <v>25</v>
      </c>
      <c r="I1944" s="5">
        <v>44075</v>
      </c>
      <c r="J1944" s="6">
        <v>0</v>
      </c>
      <c r="K1944" s="6">
        <v>0</v>
      </c>
      <c r="L1944" s="6">
        <v>0.1</v>
      </c>
      <c r="M1944" s="6">
        <v>0.1</v>
      </c>
      <c r="N1944" s="6">
        <v>0.1</v>
      </c>
      <c r="O1944" s="6">
        <v>0.1</v>
      </c>
      <c r="P1944" s="6">
        <v>0</v>
      </c>
      <c r="Q1944" s="4" t="s">
        <v>26</v>
      </c>
      <c r="R1944" s="4">
        <v>0</v>
      </c>
      <c r="S1944" s="4" t="s">
        <v>586</v>
      </c>
      <c r="T1944" s="4" t="s">
        <v>893</v>
      </c>
      <c r="U1944" s="4">
        <v>0</v>
      </c>
      <c r="V1944" s="4">
        <v>58</v>
      </c>
      <c r="W1944" s="4">
        <v>101</v>
      </c>
    </row>
    <row r="1945" spans="1:23" ht="11.25" customHeight="1" x14ac:dyDescent="0.25">
      <c r="A1945" s="4" t="s">
        <v>21</v>
      </c>
      <c r="B1945" s="4" t="s">
        <v>46</v>
      </c>
      <c r="C1945" s="4" t="s">
        <v>23</v>
      </c>
      <c r="D1945" s="4" t="s">
        <v>47</v>
      </c>
      <c r="E1945" s="4" t="s">
        <v>55</v>
      </c>
      <c r="F1945" s="4" t="s">
        <v>57</v>
      </c>
      <c r="G1945" s="4" t="s">
        <v>25</v>
      </c>
      <c r="H1945" s="4" t="s">
        <v>25</v>
      </c>
      <c r="I1945" s="5">
        <v>43739</v>
      </c>
      <c r="J1945" s="6">
        <v>0</v>
      </c>
      <c r="K1945" s="6">
        <v>0</v>
      </c>
      <c r="L1945" s="6">
        <v>13.048999999999999</v>
      </c>
      <c r="M1945" s="6">
        <v>4.3061699999999998</v>
      </c>
      <c r="N1945" s="6">
        <v>13.048999999999999</v>
      </c>
      <c r="O1945" s="6">
        <v>4.3061699999999998</v>
      </c>
      <c r="P1945" s="6">
        <v>0</v>
      </c>
      <c r="Q1945" s="4" t="s">
        <v>26</v>
      </c>
      <c r="R1945" s="4">
        <v>0</v>
      </c>
      <c r="S1945" s="4" t="s">
        <v>575</v>
      </c>
      <c r="T1945" s="4" t="s">
        <v>882</v>
      </c>
      <c r="U1945" s="4">
        <v>0</v>
      </c>
      <c r="V1945" s="4">
        <v>58</v>
      </c>
      <c r="W1945" s="4">
        <v>101</v>
      </c>
    </row>
    <row r="1946" spans="1:23" ht="11.25" customHeight="1" x14ac:dyDescent="0.25">
      <c r="A1946" s="4" t="s">
        <v>28</v>
      </c>
      <c r="B1946" s="4" t="s">
        <v>46</v>
      </c>
      <c r="C1946" s="4" t="s">
        <v>23</v>
      </c>
      <c r="D1946" s="4" t="s">
        <v>47</v>
      </c>
      <c r="E1946" s="4" t="s">
        <v>55</v>
      </c>
      <c r="F1946" s="4" t="s">
        <v>57</v>
      </c>
      <c r="G1946" s="4" t="s">
        <v>25</v>
      </c>
      <c r="H1946" s="4" t="s">
        <v>25</v>
      </c>
      <c r="I1946" s="5">
        <v>43739</v>
      </c>
      <c r="J1946" s="6">
        <v>0</v>
      </c>
      <c r="K1946" s="6">
        <v>0</v>
      </c>
      <c r="L1946" s="6">
        <v>2.379</v>
      </c>
      <c r="M1946" s="6">
        <v>0.78507000000000005</v>
      </c>
      <c r="N1946" s="6">
        <v>2.379</v>
      </c>
      <c r="O1946" s="6">
        <v>0.78507000000000005</v>
      </c>
      <c r="P1946" s="6">
        <v>0</v>
      </c>
      <c r="Q1946" s="4" t="s">
        <v>26</v>
      </c>
      <c r="R1946" s="4">
        <v>0</v>
      </c>
      <c r="S1946" s="4" t="s">
        <v>575</v>
      </c>
      <c r="T1946" s="4" t="s">
        <v>882</v>
      </c>
      <c r="U1946" s="4">
        <v>0</v>
      </c>
      <c r="V1946" s="4">
        <v>58</v>
      </c>
      <c r="W1946" s="4">
        <v>101</v>
      </c>
    </row>
    <row r="1947" spans="1:23" ht="11.25" customHeight="1" x14ac:dyDescent="0.25">
      <c r="A1947" s="4" t="s">
        <v>21</v>
      </c>
      <c r="B1947" s="4" t="s">
        <v>46</v>
      </c>
      <c r="C1947" s="4" t="s">
        <v>23</v>
      </c>
      <c r="D1947" s="4" t="s">
        <v>47</v>
      </c>
      <c r="E1947" s="4" t="s">
        <v>55</v>
      </c>
      <c r="F1947" s="4" t="s">
        <v>57</v>
      </c>
      <c r="G1947" s="4" t="s">
        <v>25</v>
      </c>
      <c r="H1947" s="4" t="s">
        <v>25</v>
      </c>
      <c r="I1947" s="5">
        <v>43770</v>
      </c>
      <c r="J1947" s="6">
        <v>0</v>
      </c>
      <c r="K1947" s="6">
        <v>0</v>
      </c>
      <c r="L1947" s="6">
        <v>17.673999999999999</v>
      </c>
      <c r="M1947" s="6">
        <v>5.8324199999999999</v>
      </c>
      <c r="N1947" s="6">
        <v>17.673999999999999</v>
      </c>
      <c r="O1947" s="6">
        <v>5.8324199999999999</v>
      </c>
      <c r="P1947" s="6">
        <v>0</v>
      </c>
      <c r="Q1947" s="4" t="s">
        <v>26</v>
      </c>
      <c r="R1947" s="4">
        <v>0</v>
      </c>
      <c r="S1947" s="4" t="s">
        <v>576</v>
      </c>
      <c r="T1947" s="4" t="s">
        <v>883</v>
      </c>
      <c r="U1947" s="4">
        <v>0</v>
      </c>
      <c r="V1947" s="4">
        <v>58</v>
      </c>
      <c r="W1947" s="4">
        <v>101</v>
      </c>
    </row>
    <row r="1948" spans="1:23" ht="11.25" customHeight="1" x14ac:dyDescent="0.25">
      <c r="A1948" s="4" t="s">
        <v>28</v>
      </c>
      <c r="B1948" s="4" t="s">
        <v>46</v>
      </c>
      <c r="C1948" s="4" t="s">
        <v>23</v>
      </c>
      <c r="D1948" s="4" t="s">
        <v>47</v>
      </c>
      <c r="E1948" s="4" t="s">
        <v>55</v>
      </c>
      <c r="F1948" s="4" t="s">
        <v>57</v>
      </c>
      <c r="G1948" s="4" t="s">
        <v>25</v>
      </c>
      <c r="H1948" s="4" t="s">
        <v>25</v>
      </c>
      <c r="I1948" s="5">
        <v>43770</v>
      </c>
      <c r="J1948" s="6">
        <v>0</v>
      </c>
      <c r="K1948" s="6">
        <v>0</v>
      </c>
      <c r="L1948" s="6">
        <v>1.8080000000000001</v>
      </c>
      <c r="M1948" s="6">
        <v>0.59663999999999995</v>
      </c>
      <c r="N1948" s="6">
        <v>1.8080000000000001</v>
      </c>
      <c r="O1948" s="6">
        <v>0.59663999999999995</v>
      </c>
      <c r="P1948" s="6">
        <v>0</v>
      </c>
      <c r="Q1948" s="4" t="s">
        <v>26</v>
      </c>
      <c r="R1948" s="4">
        <v>0</v>
      </c>
      <c r="S1948" s="4" t="s">
        <v>576</v>
      </c>
      <c r="T1948" s="4" t="s">
        <v>883</v>
      </c>
      <c r="U1948" s="4">
        <v>0</v>
      </c>
      <c r="V1948" s="4">
        <v>58</v>
      </c>
      <c r="W1948" s="4">
        <v>101</v>
      </c>
    </row>
    <row r="1949" spans="1:23" ht="11.25" customHeight="1" x14ac:dyDescent="0.25">
      <c r="A1949" s="4" t="s">
        <v>21</v>
      </c>
      <c r="B1949" s="4" t="s">
        <v>46</v>
      </c>
      <c r="C1949" s="4" t="s">
        <v>23</v>
      </c>
      <c r="D1949" s="4" t="s">
        <v>47</v>
      </c>
      <c r="E1949" s="4" t="s">
        <v>55</v>
      </c>
      <c r="F1949" s="4" t="s">
        <v>57</v>
      </c>
      <c r="G1949" s="4" t="s">
        <v>25</v>
      </c>
      <c r="H1949" s="4" t="s">
        <v>25</v>
      </c>
      <c r="I1949" s="5">
        <v>43800</v>
      </c>
      <c r="J1949" s="6">
        <v>0</v>
      </c>
      <c r="K1949" s="6">
        <v>0</v>
      </c>
      <c r="L1949" s="6">
        <v>3.8290000000000002</v>
      </c>
      <c r="M1949" s="6">
        <v>1.2635700000000001</v>
      </c>
      <c r="N1949" s="6">
        <v>3.8290000000000002</v>
      </c>
      <c r="O1949" s="6">
        <v>1.2635700000000001</v>
      </c>
      <c r="P1949" s="6">
        <v>0</v>
      </c>
      <c r="Q1949" s="4" t="s">
        <v>26</v>
      </c>
      <c r="R1949" s="4">
        <v>0</v>
      </c>
      <c r="S1949" s="4" t="s">
        <v>577</v>
      </c>
      <c r="T1949" s="4" t="s">
        <v>884</v>
      </c>
      <c r="U1949" s="4">
        <v>0</v>
      </c>
      <c r="V1949" s="4">
        <v>58</v>
      </c>
      <c r="W1949" s="4">
        <v>101</v>
      </c>
    </row>
    <row r="1950" spans="1:23" ht="11.25" customHeight="1" x14ac:dyDescent="0.25">
      <c r="A1950" s="4" t="s">
        <v>21</v>
      </c>
      <c r="B1950" s="4" t="s">
        <v>46</v>
      </c>
      <c r="C1950" s="4" t="s">
        <v>23</v>
      </c>
      <c r="D1950" s="4" t="s">
        <v>47</v>
      </c>
      <c r="E1950" s="4" t="s">
        <v>55</v>
      </c>
      <c r="F1950" s="4" t="s">
        <v>57</v>
      </c>
      <c r="G1950" s="4" t="s">
        <v>25</v>
      </c>
      <c r="H1950" s="4" t="s">
        <v>25</v>
      </c>
      <c r="I1950" s="5">
        <v>43831</v>
      </c>
      <c r="J1950" s="6">
        <v>0</v>
      </c>
      <c r="K1950" s="6">
        <v>0</v>
      </c>
      <c r="L1950" s="6">
        <v>4.1340000000000003</v>
      </c>
      <c r="M1950" s="6">
        <v>1.36422</v>
      </c>
      <c r="N1950" s="6">
        <v>4.1340000000000003</v>
      </c>
      <c r="O1950" s="6">
        <v>1.36422</v>
      </c>
      <c r="P1950" s="6">
        <v>0</v>
      </c>
      <c r="Q1950" s="4" t="s">
        <v>26</v>
      </c>
      <c r="R1950" s="4">
        <v>0</v>
      </c>
      <c r="S1950" s="4" t="s">
        <v>578</v>
      </c>
      <c r="T1950" s="4" t="s">
        <v>885</v>
      </c>
      <c r="U1950" s="4">
        <v>0</v>
      </c>
      <c r="V1950" s="4">
        <v>58</v>
      </c>
      <c r="W1950" s="4">
        <v>101</v>
      </c>
    </row>
    <row r="1951" spans="1:23" ht="11.25" customHeight="1" x14ac:dyDescent="0.25">
      <c r="A1951" s="4" t="s">
        <v>21</v>
      </c>
      <c r="B1951" s="4" t="s">
        <v>46</v>
      </c>
      <c r="C1951" s="4" t="s">
        <v>23</v>
      </c>
      <c r="D1951" s="4" t="s">
        <v>47</v>
      </c>
      <c r="E1951" s="4" t="s">
        <v>55</v>
      </c>
      <c r="F1951" s="4" t="s">
        <v>57</v>
      </c>
      <c r="G1951" s="4" t="s">
        <v>25</v>
      </c>
      <c r="H1951" s="4" t="s">
        <v>25</v>
      </c>
      <c r="I1951" s="5">
        <v>43862</v>
      </c>
      <c r="J1951" s="6">
        <v>0</v>
      </c>
      <c r="K1951" s="6">
        <v>0</v>
      </c>
      <c r="L1951" s="6">
        <v>3.5939999999999999</v>
      </c>
      <c r="M1951" s="6">
        <v>1.1860200000000001</v>
      </c>
      <c r="N1951" s="6">
        <v>3.5939999999999999</v>
      </c>
      <c r="O1951" s="6">
        <v>1.1860200000000001</v>
      </c>
      <c r="P1951" s="6">
        <v>0</v>
      </c>
      <c r="Q1951" s="4" t="s">
        <v>26</v>
      </c>
      <c r="R1951" s="4">
        <v>0</v>
      </c>
      <c r="S1951" s="4" t="s">
        <v>579</v>
      </c>
      <c r="T1951" s="4" t="s">
        <v>886</v>
      </c>
      <c r="U1951" s="4">
        <v>0</v>
      </c>
      <c r="V1951" s="4">
        <v>58</v>
      </c>
      <c r="W1951" s="4">
        <v>101</v>
      </c>
    </row>
    <row r="1952" spans="1:23" ht="11.25" customHeight="1" x14ac:dyDescent="0.25">
      <c r="A1952" s="4" t="s">
        <v>21</v>
      </c>
      <c r="B1952" s="4" t="s">
        <v>46</v>
      </c>
      <c r="C1952" s="4" t="s">
        <v>23</v>
      </c>
      <c r="D1952" s="4" t="s">
        <v>47</v>
      </c>
      <c r="E1952" s="4" t="s">
        <v>55</v>
      </c>
      <c r="F1952" s="4" t="s">
        <v>57</v>
      </c>
      <c r="G1952" s="4" t="s">
        <v>25</v>
      </c>
      <c r="H1952" s="4" t="s">
        <v>25</v>
      </c>
      <c r="I1952" s="5">
        <v>43891</v>
      </c>
      <c r="J1952" s="6">
        <v>0</v>
      </c>
      <c r="K1952" s="6">
        <v>0</v>
      </c>
      <c r="L1952" s="6">
        <v>2.4689999999999999</v>
      </c>
      <c r="M1952" s="6">
        <v>0.81476999999999999</v>
      </c>
      <c r="N1952" s="6">
        <v>2.4689999999999999</v>
      </c>
      <c r="O1952" s="6">
        <v>0.81476999999999999</v>
      </c>
      <c r="P1952" s="6">
        <v>0</v>
      </c>
      <c r="Q1952" s="4" t="s">
        <v>26</v>
      </c>
      <c r="R1952" s="4">
        <v>0</v>
      </c>
      <c r="S1952" s="4" t="s">
        <v>580</v>
      </c>
      <c r="T1952" s="4" t="s">
        <v>887</v>
      </c>
      <c r="U1952" s="4">
        <v>0</v>
      </c>
      <c r="V1952" s="4">
        <v>58</v>
      </c>
      <c r="W1952" s="4">
        <v>101</v>
      </c>
    </row>
    <row r="1953" spans="1:23" ht="11.25" customHeight="1" x14ac:dyDescent="0.25">
      <c r="A1953" s="4" t="s">
        <v>21</v>
      </c>
      <c r="B1953" s="4" t="s">
        <v>46</v>
      </c>
      <c r="C1953" s="4" t="s">
        <v>23</v>
      </c>
      <c r="D1953" s="4" t="s">
        <v>47</v>
      </c>
      <c r="E1953" s="4" t="s">
        <v>55</v>
      </c>
      <c r="F1953" s="4" t="s">
        <v>57</v>
      </c>
      <c r="G1953" s="4" t="s">
        <v>25</v>
      </c>
      <c r="H1953" s="4" t="s">
        <v>25</v>
      </c>
      <c r="I1953" s="5">
        <v>43922</v>
      </c>
      <c r="J1953" s="6">
        <v>0</v>
      </c>
      <c r="K1953" s="6">
        <v>0</v>
      </c>
      <c r="L1953" s="6">
        <v>1.161</v>
      </c>
      <c r="M1953" s="6">
        <v>0.38313000000000003</v>
      </c>
      <c r="N1953" s="6">
        <v>1.161</v>
      </c>
      <c r="O1953" s="6">
        <v>0.38313000000000003</v>
      </c>
      <c r="P1953" s="6">
        <v>0</v>
      </c>
      <c r="Q1953" s="4" t="s">
        <v>26</v>
      </c>
      <c r="R1953" s="4">
        <v>0</v>
      </c>
      <c r="S1953" s="4" t="s">
        <v>581</v>
      </c>
      <c r="T1953" s="4" t="s">
        <v>888</v>
      </c>
      <c r="U1953" s="4">
        <v>0</v>
      </c>
      <c r="V1953" s="4">
        <v>58</v>
      </c>
      <c r="W1953" s="4">
        <v>101</v>
      </c>
    </row>
    <row r="1954" spans="1:23" ht="11.25" customHeight="1" x14ac:dyDescent="0.25">
      <c r="A1954" s="4" t="s">
        <v>21</v>
      </c>
      <c r="B1954" s="4" t="s">
        <v>46</v>
      </c>
      <c r="C1954" s="4" t="s">
        <v>23</v>
      </c>
      <c r="D1954" s="4" t="s">
        <v>47</v>
      </c>
      <c r="E1954" s="4" t="s">
        <v>55</v>
      </c>
      <c r="F1954" s="4" t="s">
        <v>57</v>
      </c>
      <c r="G1954" s="4" t="s">
        <v>25</v>
      </c>
      <c r="H1954" s="4" t="s">
        <v>25</v>
      </c>
      <c r="I1954" s="5">
        <v>43952</v>
      </c>
      <c r="J1954" s="6">
        <v>0</v>
      </c>
      <c r="K1954" s="6">
        <v>0</v>
      </c>
      <c r="L1954" s="6">
        <v>1.4610000000000001</v>
      </c>
      <c r="M1954" s="6">
        <v>0.48213</v>
      </c>
      <c r="N1954" s="6">
        <v>1.4610000000000001</v>
      </c>
      <c r="O1954" s="6">
        <v>0.48213</v>
      </c>
      <c r="P1954" s="6">
        <v>0</v>
      </c>
      <c r="Q1954" s="4" t="s">
        <v>26</v>
      </c>
      <c r="R1954" s="4">
        <v>0</v>
      </c>
      <c r="S1954" s="4" t="s">
        <v>582</v>
      </c>
      <c r="T1954" s="4" t="s">
        <v>889</v>
      </c>
      <c r="U1954" s="4">
        <v>0</v>
      </c>
      <c r="V1954" s="4">
        <v>58</v>
      </c>
      <c r="W1954" s="4">
        <v>101</v>
      </c>
    </row>
    <row r="1955" spans="1:23" ht="11.25" customHeight="1" x14ac:dyDescent="0.25">
      <c r="A1955" s="4" t="s">
        <v>21</v>
      </c>
      <c r="B1955" s="4" t="s">
        <v>46</v>
      </c>
      <c r="C1955" s="4" t="s">
        <v>23</v>
      </c>
      <c r="D1955" s="4" t="s">
        <v>47</v>
      </c>
      <c r="E1955" s="4" t="s">
        <v>55</v>
      </c>
      <c r="F1955" s="4" t="s">
        <v>57</v>
      </c>
      <c r="G1955" s="4" t="s">
        <v>25</v>
      </c>
      <c r="H1955" s="4" t="s">
        <v>25</v>
      </c>
      <c r="I1955" s="5">
        <v>43983</v>
      </c>
      <c r="J1955" s="6">
        <v>0</v>
      </c>
      <c r="K1955" s="6">
        <v>0</v>
      </c>
      <c r="L1955" s="6">
        <v>3.0550000000000002</v>
      </c>
      <c r="M1955" s="6">
        <v>1.0081500000000001</v>
      </c>
      <c r="N1955" s="6">
        <v>3.0550000000000002</v>
      </c>
      <c r="O1955" s="6">
        <v>1.0081500000000001</v>
      </c>
      <c r="P1955" s="6">
        <v>0</v>
      </c>
      <c r="Q1955" s="4" t="s">
        <v>26</v>
      </c>
      <c r="R1955" s="4">
        <v>0</v>
      </c>
      <c r="S1955" s="4" t="s">
        <v>583</v>
      </c>
      <c r="T1955" s="4" t="s">
        <v>890</v>
      </c>
      <c r="U1955" s="4">
        <v>0</v>
      </c>
      <c r="V1955" s="4">
        <v>58</v>
      </c>
      <c r="W1955" s="4">
        <v>101</v>
      </c>
    </row>
    <row r="1956" spans="1:23" ht="11.25" customHeight="1" x14ac:dyDescent="0.25">
      <c r="A1956" s="4" t="s">
        <v>28</v>
      </c>
      <c r="B1956" s="4" t="s">
        <v>46</v>
      </c>
      <c r="C1956" s="4" t="s">
        <v>23</v>
      </c>
      <c r="D1956" s="4" t="s">
        <v>47</v>
      </c>
      <c r="E1956" s="4" t="s">
        <v>55</v>
      </c>
      <c r="F1956" s="4" t="s">
        <v>57</v>
      </c>
      <c r="G1956" s="4" t="s">
        <v>25</v>
      </c>
      <c r="H1956" s="4" t="s">
        <v>25</v>
      </c>
      <c r="I1956" s="5">
        <v>43983</v>
      </c>
      <c r="J1956" s="6">
        <v>0</v>
      </c>
      <c r="K1956" s="6">
        <v>0</v>
      </c>
      <c r="L1956" s="6">
        <v>1.7030000000000001</v>
      </c>
      <c r="M1956" s="6">
        <v>0.56198999999999999</v>
      </c>
      <c r="N1956" s="6">
        <v>1.7030000000000001</v>
      </c>
      <c r="O1956" s="6">
        <v>0.56198999999999999</v>
      </c>
      <c r="P1956" s="6">
        <v>0</v>
      </c>
      <c r="Q1956" s="4" t="s">
        <v>26</v>
      </c>
      <c r="R1956" s="4">
        <v>0</v>
      </c>
      <c r="S1956" s="4" t="s">
        <v>583</v>
      </c>
      <c r="T1956" s="4" t="s">
        <v>890</v>
      </c>
      <c r="U1956" s="4">
        <v>0</v>
      </c>
      <c r="V1956" s="4">
        <v>58</v>
      </c>
      <c r="W1956" s="4">
        <v>101</v>
      </c>
    </row>
    <row r="1957" spans="1:23" ht="11.25" customHeight="1" x14ac:dyDescent="0.25">
      <c r="A1957" s="4" t="s">
        <v>21</v>
      </c>
      <c r="B1957" s="4" t="s">
        <v>46</v>
      </c>
      <c r="C1957" s="4" t="s">
        <v>23</v>
      </c>
      <c r="D1957" s="4" t="s">
        <v>47</v>
      </c>
      <c r="E1957" s="4" t="s">
        <v>55</v>
      </c>
      <c r="F1957" s="4" t="s">
        <v>57</v>
      </c>
      <c r="G1957" s="4" t="s">
        <v>25</v>
      </c>
      <c r="H1957" s="4" t="s">
        <v>25</v>
      </c>
      <c r="I1957" s="5">
        <v>44013</v>
      </c>
      <c r="J1957" s="6">
        <v>0</v>
      </c>
      <c r="K1957" s="6">
        <v>0</v>
      </c>
      <c r="L1957" s="6">
        <v>3.7679999999999998</v>
      </c>
      <c r="M1957" s="6">
        <v>1.2434400000000001</v>
      </c>
      <c r="N1957" s="6">
        <v>3.7679999999999998</v>
      </c>
      <c r="O1957" s="6">
        <v>1.2434400000000001</v>
      </c>
      <c r="P1957" s="6">
        <v>0</v>
      </c>
      <c r="Q1957" s="4" t="s">
        <v>26</v>
      </c>
      <c r="R1957" s="4">
        <v>0</v>
      </c>
      <c r="S1957" s="4" t="s">
        <v>584</v>
      </c>
      <c r="T1957" s="4" t="s">
        <v>891</v>
      </c>
      <c r="U1957" s="4">
        <v>0</v>
      </c>
      <c r="V1957" s="4">
        <v>58</v>
      </c>
      <c r="W1957" s="4">
        <v>101</v>
      </c>
    </row>
    <row r="1958" spans="1:23" ht="11.25" customHeight="1" x14ac:dyDescent="0.25">
      <c r="A1958" s="4" t="s">
        <v>28</v>
      </c>
      <c r="B1958" s="4" t="s">
        <v>46</v>
      </c>
      <c r="C1958" s="4" t="s">
        <v>23</v>
      </c>
      <c r="D1958" s="4" t="s">
        <v>47</v>
      </c>
      <c r="E1958" s="4" t="s">
        <v>55</v>
      </c>
      <c r="F1958" s="4" t="s">
        <v>57</v>
      </c>
      <c r="G1958" s="4" t="s">
        <v>25</v>
      </c>
      <c r="H1958" s="4" t="s">
        <v>25</v>
      </c>
      <c r="I1958" s="5">
        <v>44013</v>
      </c>
      <c r="J1958" s="6">
        <v>0</v>
      </c>
      <c r="K1958" s="6">
        <v>0</v>
      </c>
      <c r="L1958" s="6">
        <v>0.31900000000000001</v>
      </c>
      <c r="M1958" s="6">
        <v>0.10527</v>
      </c>
      <c r="N1958" s="6">
        <v>0.31900000000000001</v>
      </c>
      <c r="O1958" s="6">
        <v>0.10527</v>
      </c>
      <c r="P1958" s="6">
        <v>0</v>
      </c>
      <c r="Q1958" s="4" t="s">
        <v>26</v>
      </c>
      <c r="R1958" s="4">
        <v>0</v>
      </c>
      <c r="S1958" s="4" t="s">
        <v>584</v>
      </c>
      <c r="T1958" s="4" t="s">
        <v>891</v>
      </c>
      <c r="U1958" s="4">
        <v>0</v>
      </c>
      <c r="V1958" s="4">
        <v>58</v>
      </c>
      <c r="W1958" s="4">
        <v>101</v>
      </c>
    </row>
    <row r="1959" spans="1:23" ht="11.25" customHeight="1" x14ac:dyDescent="0.25">
      <c r="A1959" s="4" t="s">
        <v>21</v>
      </c>
      <c r="B1959" s="4" t="s">
        <v>46</v>
      </c>
      <c r="C1959" s="4" t="s">
        <v>23</v>
      </c>
      <c r="D1959" s="4" t="s">
        <v>47</v>
      </c>
      <c r="E1959" s="4" t="s">
        <v>55</v>
      </c>
      <c r="F1959" s="4" t="s">
        <v>57</v>
      </c>
      <c r="G1959" s="4" t="s">
        <v>25</v>
      </c>
      <c r="H1959" s="4" t="s">
        <v>25</v>
      </c>
      <c r="I1959" s="5">
        <v>44044</v>
      </c>
      <c r="J1959" s="6">
        <v>0</v>
      </c>
      <c r="K1959" s="6">
        <v>0</v>
      </c>
      <c r="L1959" s="6">
        <v>11.41</v>
      </c>
      <c r="M1959" s="6">
        <v>3.7652999999999999</v>
      </c>
      <c r="N1959" s="6">
        <v>11.41</v>
      </c>
      <c r="O1959" s="6">
        <v>3.7652999999999999</v>
      </c>
      <c r="P1959" s="6">
        <v>0</v>
      </c>
      <c r="Q1959" s="4" t="s">
        <v>26</v>
      </c>
      <c r="R1959" s="4">
        <v>0</v>
      </c>
      <c r="S1959" s="4" t="s">
        <v>585</v>
      </c>
      <c r="T1959" s="4" t="s">
        <v>892</v>
      </c>
      <c r="U1959" s="4">
        <v>0</v>
      </c>
      <c r="V1959" s="4">
        <v>58</v>
      </c>
      <c r="W1959" s="4">
        <v>101</v>
      </c>
    </row>
    <row r="1960" spans="1:23" ht="11.25" customHeight="1" x14ac:dyDescent="0.25">
      <c r="A1960" s="4" t="s">
        <v>59</v>
      </c>
      <c r="B1960" s="4" t="s">
        <v>46</v>
      </c>
      <c r="C1960" s="4" t="s">
        <v>23</v>
      </c>
      <c r="D1960" s="4" t="s">
        <v>47</v>
      </c>
      <c r="E1960" s="4" t="s">
        <v>55</v>
      </c>
      <c r="F1960" s="4" t="s">
        <v>57</v>
      </c>
      <c r="G1960" s="4" t="s">
        <v>25</v>
      </c>
      <c r="H1960" s="4" t="s">
        <v>25</v>
      </c>
      <c r="I1960" s="5">
        <v>44075</v>
      </c>
      <c r="J1960" s="6">
        <v>0</v>
      </c>
      <c r="K1960" s="6">
        <v>0</v>
      </c>
      <c r="L1960" s="6">
        <v>11.41</v>
      </c>
      <c r="M1960" s="6">
        <v>3.7652999999999999</v>
      </c>
      <c r="N1960" s="6">
        <v>11.41</v>
      </c>
      <c r="O1960" s="6">
        <v>3.7652999999999999</v>
      </c>
      <c r="P1960" s="6">
        <v>0</v>
      </c>
      <c r="Q1960" s="4" t="s">
        <v>26</v>
      </c>
      <c r="R1960" s="4">
        <v>0</v>
      </c>
      <c r="S1960" s="4" t="s">
        <v>586</v>
      </c>
      <c r="T1960" s="4" t="s">
        <v>893</v>
      </c>
      <c r="U1960" s="4">
        <v>0</v>
      </c>
      <c r="V1960" s="4">
        <v>58</v>
      </c>
      <c r="W1960" s="4">
        <v>101</v>
      </c>
    </row>
    <row r="1961" spans="1:23" ht="11.25" customHeight="1" x14ac:dyDescent="0.25">
      <c r="A1961" s="4" t="s">
        <v>21</v>
      </c>
      <c r="B1961" s="4" t="s">
        <v>46</v>
      </c>
      <c r="C1961" s="4" t="s">
        <v>23</v>
      </c>
      <c r="D1961" s="4" t="s">
        <v>47</v>
      </c>
      <c r="E1961" s="4" t="s">
        <v>25</v>
      </c>
      <c r="F1961" s="4" t="s">
        <v>25</v>
      </c>
      <c r="G1961" s="4" t="s">
        <v>25</v>
      </c>
      <c r="H1961" s="4" t="s">
        <v>25</v>
      </c>
      <c r="I1961" s="5">
        <v>43739</v>
      </c>
      <c r="J1961" s="6">
        <v>0</v>
      </c>
      <c r="K1961" s="6">
        <v>0</v>
      </c>
      <c r="L1961" s="6">
        <v>7720.8940000000002</v>
      </c>
      <c r="M1961" s="6">
        <v>7720.8940000000002</v>
      </c>
      <c r="N1961" s="6">
        <v>7720.8940000000002</v>
      </c>
      <c r="O1961" s="6">
        <v>7720.8940000000002</v>
      </c>
      <c r="P1961" s="6">
        <v>10456</v>
      </c>
      <c r="Q1961" s="4" t="s">
        <v>26</v>
      </c>
      <c r="R1961" s="4">
        <v>0</v>
      </c>
      <c r="S1961" s="4" t="s">
        <v>575</v>
      </c>
      <c r="T1961" s="4" t="s">
        <v>882</v>
      </c>
      <c r="U1961" s="4">
        <v>0</v>
      </c>
      <c r="V1961" s="4">
        <v>58</v>
      </c>
      <c r="W1961" s="4">
        <v>101</v>
      </c>
    </row>
    <row r="1962" spans="1:23" ht="11.25" customHeight="1" x14ac:dyDescent="0.25">
      <c r="A1962" s="4" t="s">
        <v>27</v>
      </c>
      <c r="B1962" s="4" t="s">
        <v>46</v>
      </c>
      <c r="C1962" s="4" t="s">
        <v>23</v>
      </c>
      <c r="D1962" s="4" t="s">
        <v>47</v>
      </c>
      <c r="E1962" s="4" t="s">
        <v>25</v>
      </c>
      <c r="F1962" s="4" t="s">
        <v>25</v>
      </c>
      <c r="G1962" s="4" t="s">
        <v>25</v>
      </c>
      <c r="H1962" s="4" t="s">
        <v>25</v>
      </c>
      <c r="I1962" s="5">
        <v>43739</v>
      </c>
      <c r="J1962" s="6">
        <v>0</v>
      </c>
      <c r="K1962" s="6">
        <v>0</v>
      </c>
      <c r="L1962" s="6">
        <v>42.47</v>
      </c>
      <c r="M1962" s="6">
        <v>42.47</v>
      </c>
      <c r="N1962" s="6">
        <v>42.47</v>
      </c>
      <c r="O1962" s="6">
        <v>42.47</v>
      </c>
      <c r="P1962" s="6">
        <v>3</v>
      </c>
      <c r="Q1962" s="4" t="s">
        <v>26</v>
      </c>
      <c r="R1962" s="4">
        <v>0</v>
      </c>
      <c r="S1962" s="4" t="s">
        <v>575</v>
      </c>
      <c r="T1962" s="4" t="s">
        <v>882</v>
      </c>
      <c r="U1962" s="4">
        <v>0</v>
      </c>
      <c r="V1962" s="4">
        <v>58</v>
      </c>
      <c r="W1962" s="4">
        <v>101</v>
      </c>
    </row>
    <row r="1963" spans="1:23" ht="11.25" customHeight="1" x14ac:dyDescent="0.25">
      <c r="A1963" s="4" t="s">
        <v>28</v>
      </c>
      <c r="B1963" s="4" t="s">
        <v>46</v>
      </c>
      <c r="C1963" s="4" t="s">
        <v>23</v>
      </c>
      <c r="D1963" s="4" t="s">
        <v>47</v>
      </c>
      <c r="E1963" s="4" t="s">
        <v>25</v>
      </c>
      <c r="F1963" s="4" t="s">
        <v>25</v>
      </c>
      <c r="G1963" s="4" t="s">
        <v>25</v>
      </c>
      <c r="H1963" s="4" t="s">
        <v>25</v>
      </c>
      <c r="I1963" s="5">
        <v>43739</v>
      </c>
      <c r="J1963" s="6">
        <v>0</v>
      </c>
      <c r="K1963" s="6">
        <v>0</v>
      </c>
      <c r="L1963" s="6">
        <v>50.860999999999997</v>
      </c>
      <c r="M1963" s="6">
        <v>50.860999999999997</v>
      </c>
      <c r="N1963" s="6">
        <v>50.860999999999997</v>
      </c>
      <c r="O1963" s="6">
        <v>50.860999999999997</v>
      </c>
      <c r="P1963" s="6">
        <v>37</v>
      </c>
      <c r="Q1963" s="4" t="s">
        <v>26</v>
      </c>
      <c r="R1963" s="4">
        <v>0</v>
      </c>
      <c r="S1963" s="4" t="s">
        <v>575</v>
      </c>
      <c r="T1963" s="4" t="s">
        <v>882</v>
      </c>
      <c r="U1963" s="4">
        <v>0</v>
      </c>
      <c r="V1963" s="4">
        <v>58</v>
      </c>
      <c r="W1963" s="4">
        <v>101</v>
      </c>
    </row>
    <row r="1964" spans="1:23" ht="11.25" customHeight="1" x14ac:dyDescent="0.25">
      <c r="A1964" s="4" t="s">
        <v>21</v>
      </c>
      <c r="B1964" s="4" t="s">
        <v>46</v>
      </c>
      <c r="C1964" s="4" t="s">
        <v>23</v>
      </c>
      <c r="D1964" s="4" t="s">
        <v>47</v>
      </c>
      <c r="E1964" s="4" t="s">
        <v>25</v>
      </c>
      <c r="F1964" s="4" t="s">
        <v>25</v>
      </c>
      <c r="G1964" s="4" t="s">
        <v>25</v>
      </c>
      <c r="H1964" s="4" t="s">
        <v>25</v>
      </c>
      <c r="I1964" s="5">
        <v>43770</v>
      </c>
      <c r="J1964" s="6">
        <v>0</v>
      </c>
      <c r="K1964" s="6">
        <v>0</v>
      </c>
      <c r="L1964" s="6">
        <v>7581.4989999999998</v>
      </c>
      <c r="M1964" s="6">
        <v>7581.4989999999998</v>
      </c>
      <c r="N1964" s="6">
        <v>7581.4989999999998</v>
      </c>
      <c r="O1964" s="6">
        <v>7581.4989999999998</v>
      </c>
      <c r="P1964" s="6">
        <v>10432</v>
      </c>
      <c r="Q1964" s="4" t="s">
        <v>26</v>
      </c>
      <c r="R1964" s="4">
        <v>0</v>
      </c>
      <c r="S1964" s="4" t="s">
        <v>576</v>
      </c>
      <c r="T1964" s="4" t="s">
        <v>883</v>
      </c>
      <c r="U1964" s="4">
        <v>0</v>
      </c>
      <c r="V1964" s="4">
        <v>58</v>
      </c>
      <c r="W1964" s="4">
        <v>101</v>
      </c>
    </row>
    <row r="1965" spans="1:23" ht="11.25" customHeight="1" x14ac:dyDescent="0.25">
      <c r="A1965" s="4" t="s">
        <v>27</v>
      </c>
      <c r="B1965" s="4" t="s">
        <v>46</v>
      </c>
      <c r="C1965" s="4" t="s">
        <v>23</v>
      </c>
      <c r="D1965" s="4" t="s">
        <v>47</v>
      </c>
      <c r="E1965" s="4" t="s">
        <v>25</v>
      </c>
      <c r="F1965" s="4" t="s">
        <v>25</v>
      </c>
      <c r="G1965" s="4" t="s">
        <v>25</v>
      </c>
      <c r="H1965" s="4" t="s">
        <v>25</v>
      </c>
      <c r="I1965" s="5">
        <v>43770</v>
      </c>
      <c r="J1965" s="6">
        <v>0</v>
      </c>
      <c r="K1965" s="6">
        <v>0</v>
      </c>
      <c r="L1965" s="6">
        <v>4.6390000000000002</v>
      </c>
      <c r="M1965" s="6">
        <v>4.6390000000000002</v>
      </c>
      <c r="N1965" s="6">
        <v>4.6390000000000002</v>
      </c>
      <c r="O1965" s="6">
        <v>4.6390000000000002</v>
      </c>
      <c r="P1965" s="6">
        <v>2</v>
      </c>
      <c r="Q1965" s="4" t="s">
        <v>26</v>
      </c>
      <c r="R1965" s="4">
        <v>0</v>
      </c>
      <c r="S1965" s="4" t="s">
        <v>576</v>
      </c>
      <c r="T1965" s="4" t="s">
        <v>883</v>
      </c>
      <c r="U1965" s="4">
        <v>0</v>
      </c>
      <c r="V1965" s="4">
        <v>58</v>
      </c>
      <c r="W1965" s="4">
        <v>101</v>
      </c>
    </row>
    <row r="1966" spans="1:23" ht="11.25" customHeight="1" x14ac:dyDescent="0.25">
      <c r="A1966" s="4" t="s">
        <v>28</v>
      </c>
      <c r="B1966" s="4" t="s">
        <v>46</v>
      </c>
      <c r="C1966" s="4" t="s">
        <v>23</v>
      </c>
      <c r="D1966" s="4" t="s">
        <v>47</v>
      </c>
      <c r="E1966" s="4" t="s">
        <v>25</v>
      </c>
      <c r="F1966" s="4" t="s">
        <v>25</v>
      </c>
      <c r="G1966" s="4" t="s">
        <v>25</v>
      </c>
      <c r="H1966" s="4" t="s">
        <v>25</v>
      </c>
      <c r="I1966" s="5">
        <v>43770</v>
      </c>
      <c r="J1966" s="6">
        <v>0</v>
      </c>
      <c r="K1966" s="6">
        <v>0</v>
      </c>
      <c r="L1966" s="6">
        <v>58.378999999999998</v>
      </c>
      <c r="M1966" s="6">
        <v>58.378999999999998</v>
      </c>
      <c r="N1966" s="6">
        <v>58.378999999999998</v>
      </c>
      <c r="O1966" s="6">
        <v>58.378999999999998</v>
      </c>
      <c r="P1966" s="6">
        <v>37</v>
      </c>
      <c r="Q1966" s="4" t="s">
        <v>26</v>
      </c>
      <c r="R1966" s="4">
        <v>0</v>
      </c>
      <c r="S1966" s="4" t="s">
        <v>576</v>
      </c>
      <c r="T1966" s="4" t="s">
        <v>883</v>
      </c>
      <c r="U1966" s="4">
        <v>0</v>
      </c>
      <c r="V1966" s="4">
        <v>58</v>
      </c>
      <c r="W1966" s="4">
        <v>101</v>
      </c>
    </row>
    <row r="1967" spans="1:23" ht="11.25" customHeight="1" x14ac:dyDescent="0.25">
      <c r="A1967" s="4" t="s">
        <v>28</v>
      </c>
      <c r="B1967" s="4" t="s">
        <v>46</v>
      </c>
      <c r="C1967" s="4" t="s">
        <v>23</v>
      </c>
      <c r="D1967" s="4" t="s">
        <v>47</v>
      </c>
      <c r="E1967" s="4" t="s">
        <v>25</v>
      </c>
      <c r="F1967" s="4" t="s">
        <v>25</v>
      </c>
      <c r="G1967" s="4" t="s">
        <v>25</v>
      </c>
      <c r="H1967" s="4" t="s">
        <v>25</v>
      </c>
      <c r="I1967" s="5">
        <v>43770</v>
      </c>
      <c r="J1967" s="6">
        <v>0</v>
      </c>
      <c r="K1967" s="6">
        <v>0</v>
      </c>
      <c r="L1967" s="6">
        <v>18.405999999999999</v>
      </c>
      <c r="M1967" s="6">
        <v>18.405999999999999</v>
      </c>
      <c r="N1967" s="6">
        <v>18.405999999999999</v>
      </c>
      <c r="O1967" s="6">
        <v>18.405999999999999</v>
      </c>
      <c r="P1967" s="6">
        <v>1</v>
      </c>
      <c r="Q1967" s="4" t="s">
        <v>26</v>
      </c>
      <c r="R1967" s="4">
        <v>0</v>
      </c>
      <c r="S1967" s="4" t="s">
        <v>576</v>
      </c>
      <c r="T1967" s="4" t="s">
        <v>883</v>
      </c>
      <c r="U1967" s="4">
        <v>0</v>
      </c>
      <c r="V1967" s="4">
        <v>58</v>
      </c>
      <c r="W1967" s="4">
        <v>101</v>
      </c>
    </row>
    <row r="1968" spans="1:23" ht="11.25" customHeight="1" x14ac:dyDescent="0.25">
      <c r="A1968" s="4" t="s">
        <v>21</v>
      </c>
      <c r="B1968" s="4" t="s">
        <v>46</v>
      </c>
      <c r="C1968" s="4" t="s">
        <v>23</v>
      </c>
      <c r="D1968" s="4" t="s">
        <v>47</v>
      </c>
      <c r="E1968" s="4" t="s">
        <v>25</v>
      </c>
      <c r="F1968" s="4" t="s">
        <v>25</v>
      </c>
      <c r="G1968" s="4" t="s">
        <v>25</v>
      </c>
      <c r="H1968" s="4" t="s">
        <v>25</v>
      </c>
      <c r="I1968" s="5">
        <v>43800</v>
      </c>
      <c r="J1968" s="6">
        <v>0</v>
      </c>
      <c r="K1968" s="6">
        <v>0</v>
      </c>
      <c r="L1968" s="6">
        <v>6202.0659999999998</v>
      </c>
      <c r="M1968" s="6">
        <v>6202.0659999999998</v>
      </c>
      <c r="N1968" s="6">
        <v>6202.0659999999998</v>
      </c>
      <c r="O1968" s="6">
        <v>6202.0659999999998</v>
      </c>
      <c r="P1968" s="6">
        <v>10445</v>
      </c>
      <c r="Q1968" s="4" t="s">
        <v>26</v>
      </c>
      <c r="R1968" s="4">
        <v>0</v>
      </c>
      <c r="S1968" s="4" t="s">
        <v>577</v>
      </c>
      <c r="T1968" s="4" t="s">
        <v>884</v>
      </c>
      <c r="U1968" s="4">
        <v>0</v>
      </c>
      <c r="V1968" s="4">
        <v>58</v>
      </c>
      <c r="W1968" s="4">
        <v>101</v>
      </c>
    </row>
    <row r="1969" spans="1:23" ht="11.25" customHeight="1" x14ac:dyDescent="0.25">
      <c r="A1969" s="4" t="s">
        <v>27</v>
      </c>
      <c r="B1969" s="4" t="s">
        <v>46</v>
      </c>
      <c r="C1969" s="4" t="s">
        <v>23</v>
      </c>
      <c r="D1969" s="4" t="s">
        <v>47</v>
      </c>
      <c r="E1969" s="4" t="s">
        <v>25</v>
      </c>
      <c r="F1969" s="4" t="s">
        <v>25</v>
      </c>
      <c r="G1969" s="4" t="s">
        <v>25</v>
      </c>
      <c r="H1969" s="4" t="s">
        <v>25</v>
      </c>
      <c r="I1969" s="5">
        <v>43800</v>
      </c>
      <c r="J1969" s="6">
        <v>0</v>
      </c>
      <c r="K1969" s="6">
        <v>0</v>
      </c>
      <c r="L1969" s="6">
        <v>64.376000000000005</v>
      </c>
      <c r="M1969" s="6">
        <v>64.376000000000005</v>
      </c>
      <c r="N1969" s="6">
        <v>64.376000000000005</v>
      </c>
      <c r="O1969" s="6">
        <v>64.376000000000005</v>
      </c>
      <c r="P1969" s="6">
        <v>3</v>
      </c>
      <c r="Q1969" s="4" t="s">
        <v>26</v>
      </c>
      <c r="R1969" s="4">
        <v>0</v>
      </c>
      <c r="S1969" s="4" t="s">
        <v>577</v>
      </c>
      <c r="T1969" s="4" t="s">
        <v>884</v>
      </c>
      <c r="U1969" s="4">
        <v>0</v>
      </c>
      <c r="V1969" s="4">
        <v>58</v>
      </c>
      <c r="W1969" s="4">
        <v>101</v>
      </c>
    </row>
    <row r="1970" spans="1:23" ht="11.25" customHeight="1" x14ac:dyDescent="0.25">
      <c r="A1970" s="4" t="s">
        <v>28</v>
      </c>
      <c r="B1970" s="4" t="s">
        <v>46</v>
      </c>
      <c r="C1970" s="4" t="s">
        <v>23</v>
      </c>
      <c r="D1970" s="4" t="s">
        <v>47</v>
      </c>
      <c r="E1970" s="4" t="s">
        <v>25</v>
      </c>
      <c r="F1970" s="4" t="s">
        <v>25</v>
      </c>
      <c r="G1970" s="4" t="s">
        <v>25</v>
      </c>
      <c r="H1970" s="4" t="s">
        <v>25</v>
      </c>
      <c r="I1970" s="5">
        <v>43800</v>
      </c>
      <c r="J1970" s="6">
        <v>0</v>
      </c>
      <c r="K1970" s="6">
        <v>0</v>
      </c>
      <c r="L1970" s="6">
        <v>33.963000000000001</v>
      </c>
      <c r="M1970" s="6">
        <v>33.963000000000001</v>
      </c>
      <c r="N1970" s="6">
        <v>33.963000000000001</v>
      </c>
      <c r="O1970" s="6">
        <v>33.963000000000001</v>
      </c>
      <c r="P1970" s="6">
        <v>37</v>
      </c>
      <c r="Q1970" s="4" t="s">
        <v>26</v>
      </c>
      <c r="R1970" s="4">
        <v>0</v>
      </c>
      <c r="S1970" s="4" t="s">
        <v>577</v>
      </c>
      <c r="T1970" s="4" t="s">
        <v>884</v>
      </c>
      <c r="U1970" s="4">
        <v>0</v>
      </c>
      <c r="V1970" s="4">
        <v>58</v>
      </c>
      <c r="W1970" s="4">
        <v>101</v>
      </c>
    </row>
    <row r="1971" spans="1:23" ht="11.25" customHeight="1" x14ac:dyDescent="0.25">
      <c r="A1971" s="4" t="s">
        <v>21</v>
      </c>
      <c r="B1971" s="4" t="s">
        <v>46</v>
      </c>
      <c r="C1971" s="4" t="s">
        <v>23</v>
      </c>
      <c r="D1971" s="4" t="s">
        <v>47</v>
      </c>
      <c r="E1971" s="4" t="s">
        <v>25</v>
      </c>
      <c r="F1971" s="4" t="s">
        <v>25</v>
      </c>
      <c r="G1971" s="4" t="s">
        <v>25</v>
      </c>
      <c r="H1971" s="4" t="s">
        <v>25</v>
      </c>
      <c r="I1971" s="5">
        <v>43831</v>
      </c>
      <c r="J1971" s="6">
        <v>0</v>
      </c>
      <c r="K1971" s="6">
        <v>0</v>
      </c>
      <c r="L1971" s="6">
        <v>6740.6080000000002</v>
      </c>
      <c r="M1971" s="6">
        <v>6740.6080000000002</v>
      </c>
      <c r="N1971" s="6">
        <v>6740.6080000000002</v>
      </c>
      <c r="O1971" s="6">
        <v>6740.6080000000002</v>
      </c>
      <c r="P1971" s="6">
        <v>10125</v>
      </c>
      <c r="Q1971" s="4" t="s">
        <v>26</v>
      </c>
      <c r="R1971" s="4">
        <v>0</v>
      </c>
      <c r="S1971" s="4" t="s">
        <v>578</v>
      </c>
      <c r="T1971" s="4" t="s">
        <v>885</v>
      </c>
      <c r="U1971" s="4">
        <v>0</v>
      </c>
      <c r="V1971" s="4">
        <v>58</v>
      </c>
      <c r="W1971" s="4">
        <v>101</v>
      </c>
    </row>
    <row r="1972" spans="1:23" ht="11.25" customHeight="1" x14ac:dyDescent="0.25">
      <c r="A1972" s="4" t="s">
        <v>27</v>
      </c>
      <c r="B1972" s="4" t="s">
        <v>46</v>
      </c>
      <c r="C1972" s="4" t="s">
        <v>23</v>
      </c>
      <c r="D1972" s="4" t="s">
        <v>47</v>
      </c>
      <c r="E1972" s="4" t="s">
        <v>25</v>
      </c>
      <c r="F1972" s="4" t="s">
        <v>25</v>
      </c>
      <c r="G1972" s="4" t="s">
        <v>25</v>
      </c>
      <c r="H1972" s="4" t="s">
        <v>25</v>
      </c>
      <c r="I1972" s="5">
        <v>43831</v>
      </c>
      <c r="J1972" s="6">
        <v>0</v>
      </c>
      <c r="K1972" s="6">
        <v>0</v>
      </c>
      <c r="L1972" s="6">
        <v>20.719000000000001</v>
      </c>
      <c r="M1972" s="6">
        <v>20.719000000000001</v>
      </c>
      <c r="N1972" s="6">
        <v>20.719000000000001</v>
      </c>
      <c r="O1972" s="6">
        <v>20.719000000000001</v>
      </c>
      <c r="P1972" s="6">
        <v>9</v>
      </c>
      <c r="Q1972" s="4" t="s">
        <v>26</v>
      </c>
      <c r="R1972" s="4">
        <v>0</v>
      </c>
      <c r="S1972" s="4" t="s">
        <v>578</v>
      </c>
      <c r="T1972" s="4" t="s">
        <v>885</v>
      </c>
      <c r="U1972" s="4">
        <v>0</v>
      </c>
      <c r="V1972" s="4">
        <v>58</v>
      </c>
      <c r="W1972" s="4">
        <v>101</v>
      </c>
    </row>
    <row r="1973" spans="1:23" ht="11.25" customHeight="1" x14ac:dyDescent="0.25">
      <c r="A1973" s="4" t="s">
        <v>28</v>
      </c>
      <c r="B1973" s="4" t="s">
        <v>46</v>
      </c>
      <c r="C1973" s="4" t="s">
        <v>23</v>
      </c>
      <c r="D1973" s="4" t="s">
        <v>47</v>
      </c>
      <c r="E1973" s="4" t="s">
        <v>25</v>
      </c>
      <c r="F1973" s="4" t="s">
        <v>25</v>
      </c>
      <c r="G1973" s="4" t="s">
        <v>25</v>
      </c>
      <c r="H1973" s="4" t="s">
        <v>25</v>
      </c>
      <c r="I1973" s="5">
        <v>43831</v>
      </c>
      <c r="J1973" s="6">
        <v>0</v>
      </c>
      <c r="K1973" s="6">
        <v>0</v>
      </c>
      <c r="L1973" s="6">
        <v>29.292999999999999</v>
      </c>
      <c r="M1973" s="6">
        <v>29.292999999999999</v>
      </c>
      <c r="N1973" s="6">
        <v>29.292999999999999</v>
      </c>
      <c r="O1973" s="6">
        <v>29.292999999999999</v>
      </c>
      <c r="P1973" s="6">
        <v>39</v>
      </c>
      <c r="Q1973" s="4" t="s">
        <v>26</v>
      </c>
      <c r="R1973" s="4">
        <v>0</v>
      </c>
      <c r="S1973" s="4" t="s">
        <v>578</v>
      </c>
      <c r="T1973" s="4" t="s">
        <v>885</v>
      </c>
      <c r="U1973" s="4">
        <v>0</v>
      </c>
      <c r="V1973" s="4">
        <v>58</v>
      </c>
      <c r="W1973" s="4">
        <v>101</v>
      </c>
    </row>
    <row r="1974" spans="1:23" ht="11.25" customHeight="1" x14ac:dyDescent="0.25">
      <c r="A1974" s="4" t="s">
        <v>21</v>
      </c>
      <c r="B1974" s="4" t="s">
        <v>46</v>
      </c>
      <c r="C1974" s="4" t="s">
        <v>23</v>
      </c>
      <c r="D1974" s="4" t="s">
        <v>47</v>
      </c>
      <c r="E1974" s="4" t="s">
        <v>25</v>
      </c>
      <c r="F1974" s="4" t="s">
        <v>25</v>
      </c>
      <c r="G1974" s="4" t="s">
        <v>25</v>
      </c>
      <c r="H1974" s="4" t="s">
        <v>25</v>
      </c>
      <c r="I1974" s="5">
        <v>43862</v>
      </c>
      <c r="J1974" s="6">
        <v>0</v>
      </c>
      <c r="K1974" s="6">
        <v>0</v>
      </c>
      <c r="L1974" s="6">
        <v>3066.2669999999998</v>
      </c>
      <c r="M1974" s="6">
        <v>3066.2669999999998</v>
      </c>
      <c r="N1974" s="6">
        <v>3066.2669999999998</v>
      </c>
      <c r="O1974" s="6">
        <v>3066.2669999999998</v>
      </c>
      <c r="P1974" s="6">
        <v>4423</v>
      </c>
      <c r="Q1974" s="4" t="s">
        <v>26</v>
      </c>
      <c r="R1974" s="4">
        <v>0</v>
      </c>
      <c r="S1974" s="4" t="s">
        <v>579</v>
      </c>
      <c r="T1974" s="4" t="s">
        <v>886</v>
      </c>
      <c r="U1974" s="4">
        <v>0</v>
      </c>
      <c r="V1974" s="4">
        <v>58</v>
      </c>
      <c r="W1974" s="4">
        <v>101</v>
      </c>
    </row>
    <row r="1975" spans="1:23" ht="11.25" customHeight="1" x14ac:dyDescent="0.25">
      <c r="A1975" s="4" t="s">
        <v>27</v>
      </c>
      <c r="B1975" s="4" t="s">
        <v>46</v>
      </c>
      <c r="C1975" s="4" t="s">
        <v>23</v>
      </c>
      <c r="D1975" s="4" t="s">
        <v>47</v>
      </c>
      <c r="E1975" s="4" t="s">
        <v>25</v>
      </c>
      <c r="F1975" s="4" t="s">
        <v>25</v>
      </c>
      <c r="G1975" s="4" t="s">
        <v>25</v>
      </c>
      <c r="H1975" s="4" t="s">
        <v>25</v>
      </c>
      <c r="I1975" s="5">
        <v>43862</v>
      </c>
      <c r="J1975" s="6">
        <v>0</v>
      </c>
      <c r="K1975" s="6">
        <v>0</v>
      </c>
      <c r="L1975" s="6">
        <v>119.587</v>
      </c>
      <c r="M1975" s="6">
        <v>119.587</v>
      </c>
      <c r="N1975" s="6">
        <v>119.587</v>
      </c>
      <c r="O1975" s="6">
        <v>119.587</v>
      </c>
      <c r="P1975" s="6">
        <v>59</v>
      </c>
      <c r="Q1975" s="4" t="s">
        <v>26</v>
      </c>
      <c r="R1975" s="4">
        <v>0</v>
      </c>
      <c r="S1975" s="4" t="s">
        <v>579</v>
      </c>
      <c r="T1975" s="4" t="s">
        <v>886</v>
      </c>
      <c r="U1975" s="4">
        <v>0</v>
      </c>
      <c r="V1975" s="4">
        <v>58</v>
      </c>
      <c r="W1975" s="4">
        <v>101</v>
      </c>
    </row>
    <row r="1976" spans="1:23" ht="11.25" customHeight="1" x14ac:dyDescent="0.25">
      <c r="A1976" s="4" t="s">
        <v>28</v>
      </c>
      <c r="B1976" s="4" t="s">
        <v>46</v>
      </c>
      <c r="C1976" s="4" t="s">
        <v>23</v>
      </c>
      <c r="D1976" s="4" t="s">
        <v>47</v>
      </c>
      <c r="E1976" s="4" t="s">
        <v>25</v>
      </c>
      <c r="F1976" s="4" t="s">
        <v>25</v>
      </c>
      <c r="G1976" s="4" t="s">
        <v>25</v>
      </c>
      <c r="H1976" s="4" t="s">
        <v>25</v>
      </c>
      <c r="I1976" s="5">
        <v>43862</v>
      </c>
      <c r="J1976" s="6">
        <v>0</v>
      </c>
      <c r="K1976" s="6">
        <v>0</v>
      </c>
      <c r="L1976" s="6">
        <v>35.061999999999998</v>
      </c>
      <c r="M1976" s="6">
        <v>35.061999999999998</v>
      </c>
      <c r="N1976" s="6">
        <v>35.061999999999998</v>
      </c>
      <c r="O1976" s="6">
        <v>35.061999999999998</v>
      </c>
      <c r="P1976" s="6">
        <v>33</v>
      </c>
      <c r="Q1976" s="4" t="s">
        <v>26</v>
      </c>
      <c r="R1976" s="4">
        <v>0</v>
      </c>
      <c r="S1976" s="4" t="s">
        <v>579</v>
      </c>
      <c r="T1976" s="4" t="s">
        <v>886</v>
      </c>
      <c r="U1976" s="4">
        <v>0</v>
      </c>
      <c r="V1976" s="4">
        <v>58</v>
      </c>
      <c r="W1976" s="4">
        <v>101</v>
      </c>
    </row>
    <row r="1977" spans="1:23" ht="11.25" customHeight="1" x14ac:dyDescent="0.25">
      <c r="A1977" s="4" t="s">
        <v>21</v>
      </c>
      <c r="B1977" s="4" t="s">
        <v>46</v>
      </c>
      <c r="C1977" s="4" t="s">
        <v>23</v>
      </c>
      <c r="D1977" s="4" t="s">
        <v>47</v>
      </c>
      <c r="E1977" s="4" t="s">
        <v>25</v>
      </c>
      <c r="F1977" s="4" t="s">
        <v>25</v>
      </c>
      <c r="G1977" s="4" t="s">
        <v>25</v>
      </c>
      <c r="H1977" s="4" t="s">
        <v>25</v>
      </c>
      <c r="I1977" s="5">
        <v>43891</v>
      </c>
      <c r="J1977" s="6">
        <v>0</v>
      </c>
      <c r="K1977" s="6">
        <v>0</v>
      </c>
      <c r="L1977" s="6">
        <v>5807.4170000000004</v>
      </c>
      <c r="M1977" s="6">
        <v>5807.4170000000004</v>
      </c>
      <c r="N1977" s="6">
        <v>5807.4170000000004</v>
      </c>
      <c r="O1977" s="6">
        <v>5807.4170000000004</v>
      </c>
      <c r="P1977" s="6">
        <v>9583</v>
      </c>
      <c r="Q1977" s="4" t="s">
        <v>26</v>
      </c>
      <c r="R1977" s="4">
        <v>0</v>
      </c>
      <c r="S1977" s="4" t="s">
        <v>580</v>
      </c>
      <c r="T1977" s="4" t="s">
        <v>887</v>
      </c>
      <c r="U1977" s="4">
        <v>0</v>
      </c>
      <c r="V1977" s="4">
        <v>58</v>
      </c>
      <c r="W1977" s="4">
        <v>101</v>
      </c>
    </row>
    <row r="1978" spans="1:23" ht="11.25" customHeight="1" x14ac:dyDescent="0.25">
      <c r="A1978" s="4" t="s">
        <v>27</v>
      </c>
      <c r="B1978" s="4" t="s">
        <v>46</v>
      </c>
      <c r="C1978" s="4" t="s">
        <v>23</v>
      </c>
      <c r="D1978" s="4" t="s">
        <v>47</v>
      </c>
      <c r="E1978" s="4" t="s">
        <v>25</v>
      </c>
      <c r="F1978" s="4" t="s">
        <v>25</v>
      </c>
      <c r="G1978" s="4" t="s">
        <v>25</v>
      </c>
      <c r="H1978" s="4" t="s">
        <v>25</v>
      </c>
      <c r="I1978" s="5">
        <v>43891</v>
      </c>
      <c r="J1978" s="6">
        <v>0</v>
      </c>
      <c r="K1978" s="6">
        <v>0</v>
      </c>
      <c r="L1978" s="6">
        <v>179.71700000000001</v>
      </c>
      <c r="M1978" s="6">
        <v>179.71700000000001</v>
      </c>
      <c r="N1978" s="6">
        <v>179.71700000000001</v>
      </c>
      <c r="O1978" s="6">
        <v>179.71700000000001</v>
      </c>
      <c r="P1978" s="6">
        <v>34</v>
      </c>
      <c r="Q1978" s="4" t="s">
        <v>26</v>
      </c>
      <c r="R1978" s="4">
        <v>0</v>
      </c>
      <c r="S1978" s="4" t="s">
        <v>580</v>
      </c>
      <c r="T1978" s="4" t="s">
        <v>887</v>
      </c>
      <c r="U1978" s="4">
        <v>0</v>
      </c>
      <c r="V1978" s="4">
        <v>58</v>
      </c>
      <c r="W1978" s="4">
        <v>101</v>
      </c>
    </row>
    <row r="1979" spans="1:23" ht="11.25" customHeight="1" x14ac:dyDescent="0.25">
      <c r="A1979" s="4" t="s">
        <v>28</v>
      </c>
      <c r="B1979" s="4" t="s">
        <v>46</v>
      </c>
      <c r="C1979" s="4" t="s">
        <v>23</v>
      </c>
      <c r="D1979" s="4" t="s">
        <v>47</v>
      </c>
      <c r="E1979" s="4" t="s">
        <v>25</v>
      </c>
      <c r="F1979" s="4" t="s">
        <v>25</v>
      </c>
      <c r="G1979" s="4" t="s">
        <v>25</v>
      </c>
      <c r="H1979" s="4" t="s">
        <v>25</v>
      </c>
      <c r="I1979" s="5">
        <v>43891</v>
      </c>
      <c r="J1979" s="6">
        <v>0</v>
      </c>
      <c r="K1979" s="6">
        <v>0</v>
      </c>
      <c r="L1979" s="6">
        <v>33.993000000000002</v>
      </c>
      <c r="M1979" s="6">
        <v>33.993000000000002</v>
      </c>
      <c r="N1979" s="6">
        <v>33.993000000000002</v>
      </c>
      <c r="O1979" s="6">
        <v>33.993000000000002</v>
      </c>
      <c r="P1979" s="6">
        <v>35</v>
      </c>
      <c r="Q1979" s="4" t="s">
        <v>26</v>
      </c>
      <c r="R1979" s="4">
        <v>0</v>
      </c>
      <c r="S1979" s="4" t="s">
        <v>580</v>
      </c>
      <c r="T1979" s="4" t="s">
        <v>887</v>
      </c>
      <c r="U1979" s="4">
        <v>0</v>
      </c>
      <c r="V1979" s="4">
        <v>58</v>
      </c>
      <c r="W1979" s="4">
        <v>101</v>
      </c>
    </row>
    <row r="1980" spans="1:23" ht="11.25" customHeight="1" x14ac:dyDescent="0.25">
      <c r="A1980" s="4" t="s">
        <v>28</v>
      </c>
      <c r="B1980" s="4" t="s">
        <v>46</v>
      </c>
      <c r="C1980" s="4" t="s">
        <v>23</v>
      </c>
      <c r="D1980" s="4" t="s">
        <v>47</v>
      </c>
      <c r="E1980" s="4" t="s">
        <v>25</v>
      </c>
      <c r="F1980" s="4" t="s">
        <v>25</v>
      </c>
      <c r="G1980" s="4" t="s">
        <v>25</v>
      </c>
      <c r="H1980" s="4" t="s">
        <v>25</v>
      </c>
      <c r="I1980" s="5">
        <v>43891</v>
      </c>
      <c r="J1980" s="6">
        <v>0</v>
      </c>
      <c r="K1980" s="6">
        <v>0</v>
      </c>
      <c r="L1980" s="6">
        <v>6.673</v>
      </c>
      <c r="M1980" s="6">
        <v>6.673</v>
      </c>
      <c r="N1980" s="6">
        <v>6.673</v>
      </c>
      <c r="O1980" s="6">
        <v>6.673</v>
      </c>
      <c r="P1980" s="6">
        <v>0</v>
      </c>
      <c r="Q1980" s="4" t="s">
        <v>26</v>
      </c>
      <c r="R1980" s="4">
        <v>0</v>
      </c>
      <c r="S1980" s="4" t="s">
        <v>580</v>
      </c>
      <c r="T1980" s="4" t="s">
        <v>887</v>
      </c>
      <c r="U1980" s="4">
        <v>0</v>
      </c>
      <c r="V1980" s="4">
        <v>58</v>
      </c>
      <c r="W1980" s="4">
        <v>101</v>
      </c>
    </row>
    <row r="1981" spans="1:23" ht="11.25" customHeight="1" x14ac:dyDescent="0.25">
      <c r="A1981" s="4" t="s">
        <v>21</v>
      </c>
      <c r="B1981" s="4" t="s">
        <v>46</v>
      </c>
      <c r="C1981" s="4" t="s">
        <v>23</v>
      </c>
      <c r="D1981" s="4" t="s">
        <v>47</v>
      </c>
      <c r="E1981" s="4" t="s">
        <v>25</v>
      </c>
      <c r="F1981" s="4" t="s">
        <v>25</v>
      </c>
      <c r="G1981" s="4" t="s">
        <v>25</v>
      </c>
      <c r="H1981" s="4" t="s">
        <v>25</v>
      </c>
      <c r="I1981" s="5">
        <v>43922</v>
      </c>
      <c r="J1981" s="6">
        <v>0</v>
      </c>
      <c r="K1981" s="6">
        <v>0</v>
      </c>
      <c r="L1981" s="6">
        <v>6744.4669999999996</v>
      </c>
      <c r="M1981" s="6">
        <v>6744.4669999999996</v>
      </c>
      <c r="N1981" s="6">
        <v>6744.4669999999996</v>
      </c>
      <c r="O1981" s="6">
        <v>6744.4669999999996</v>
      </c>
      <c r="P1981" s="6">
        <v>10431</v>
      </c>
      <c r="Q1981" s="4" t="s">
        <v>26</v>
      </c>
      <c r="R1981" s="4">
        <v>0</v>
      </c>
      <c r="S1981" s="4" t="s">
        <v>581</v>
      </c>
      <c r="T1981" s="4" t="s">
        <v>888</v>
      </c>
      <c r="U1981" s="4">
        <v>0</v>
      </c>
      <c r="V1981" s="4">
        <v>58</v>
      </c>
      <c r="W1981" s="4">
        <v>101</v>
      </c>
    </row>
    <row r="1982" spans="1:23" ht="11.25" customHeight="1" x14ac:dyDescent="0.25">
      <c r="A1982" s="4" t="s">
        <v>27</v>
      </c>
      <c r="B1982" s="4" t="s">
        <v>46</v>
      </c>
      <c r="C1982" s="4" t="s">
        <v>23</v>
      </c>
      <c r="D1982" s="4" t="s">
        <v>47</v>
      </c>
      <c r="E1982" s="4" t="s">
        <v>25</v>
      </c>
      <c r="F1982" s="4" t="s">
        <v>25</v>
      </c>
      <c r="G1982" s="4" t="s">
        <v>25</v>
      </c>
      <c r="H1982" s="4" t="s">
        <v>25</v>
      </c>
      <c r="I1982" s="5">
        <v>43922</v>
      </c>
      <c r="J1982" s="6">
        <v>0</v>
      </c>
      <c r="K1982" s="6">
        <v>0</v>
      </c>
      <c r="L1982" s="6">
        <v>86.701999999999998</v>
      </c>
      <c r="M1982" s="6">
        <v>86.701999999999998</v>
      </c>
      <c r="N1982" s="6">
        <v>86.701999999999998</v>
      </c>
      <c r="O1982" s="6">
        <v>86.701999999999998</v>
      </c>
      <c r="P1982" s="6">
        <v>3</v>
      </c>
      <c r="Q1982" s="4" t="s">
        <v>26</v>
      </c>
      <c r="R1982" s="4">
        <v>0</v>
      </c>
      <c r="S1982" s="4" t="s">
        <v>581</v>
      </c>
      <c r="T1982" s="4" t="s">
        <v>888</v>
      </c>
      <c r="U1982" s="4">
        <v>0</v>
      </c>
      <c r="V1982" s="4">
        <v>58</v>
      </c>
      <c r="W1982" s="4">
        <v>101</v>
      </c>
    </row>
    <row r="1983" spans="1:23" ht="11.25" customHeight="1" x14ac:dyDescent="0.25">
      <c r="A1983" s="4" t="s">
        <v>28</v>
      </c>
      <c r="B1983" s="4" t="s">
        <v>46</v>
      </c>
      <c r="C1983" s="4" t="s">
        <v>23</v>
      </c>
      <c r="D1983" s="4" t="s">
        <v>47</v>
      </c>
      <c r="E1983" s="4" t="s">
        <v>25</v>
      </c>
      <c r="F1983" s="4" t="s">
        <v>25</v>
      </c>
      <c r="G1983" s="4" t="s">
        <v>25</v>
      </c>
      <c r="H1983" s="4" t="s">
        <v>25</v>
      </c>
      <c r="I1983" s="5">
        <v>43922</v>
      </c>
      <c r="J1983" s="6">
        <v>0</v>
      </c>
      <c r="K1983" s="6">
        <v>0</v>
      </c>
      <c r="L1983" s="6">
        <v>40.667999999999999</v>
      </c>
      <c r="M1983" s="6">
        <v>40.667999999999999</v>
      </c>
      <c r="N1983" s="6">
        <v>40.667999999999999</v>
      </c>
      <c r="O1983" s="6">
        <v>40.667999999999999</v>
      </c>
      <c r="P1983" s="6">
        <v>36</v>
      </c>
      <c r="Q1983" s="4" t="s">
        <v>26</v>
      </c>
      <c r="R1983" s="4">
        <v>0</v>
      </c>
      <c r="S1983" s="4" t="s">
        <v>581</v>
      </c>
      <c r="T1983" s="4" t="s">
        <v>888</v>
      </c>
      <c r="U1983" s="4">
        <v>0</v>
      </c>
      <c r="V1983" s="4">
        <v>58</v>
      </c>
      <c r="W1983" s="4">
        <v>101</v>
      </c>
    </row>
    <row r="1984" spans="1:23" ht="11.25" customHeight="1" x14ac:dyDescent="0.25">
      <c r="A1984" s="4" t="s">
        <v>21</v>
      </c>
      <c r="B1984" s="4" t="s">
        <v>46</v>
      </c>
      <c r="C1984" s="4" t="s">
        <v>23</v>
      </c>
      <c r="D1984" s="4" t="s">
        <v>47</v>
      </c>
      <c r="E1984" s="4" t="s">
        <v>25</v>
      </c>
      <c r="F1984" s="4" t="s">
        <v>25</v>
      </c>
      <c r="G1984" s="4" t="s">
        <v>25</v>
      </c>
      <c r="H1984" s="4" t="s">
        <v>25</v>
      </c>
      <c r="I1984" s="5">
        <v>43952</v>
      </c>
      <c r="J1984" s="6">
        <v>0</v>
      </c>
      <c r="K1984" s="6">
        <v>0</v>
      </c>
      <c r="L1984" s="6">
        <v>6967.4480000000003</v>
      </c>
      <c r="M1984" s="6">
        <v>6967.4480000000003</v>
      </c>
      <c r="N1984" s="6">
        <v>6967.4480000000003</v>
      </c>
      <c r="O1984" s="6">
        <v>6967.4480000000003</v>
      </c>
      <c r="P1984" s="6">
        <v>10429</v>
      </c>
      <c r="Q1984" s="4" t="s">
        <v>26</v>
      </c>
      <c r="R1984" s="4">
        <v>0</v>
      </c>
      <c r="S1984" s="4" t="s">
        <v>582</v>
      </c>
      <c r="T1984" s="4" t="s">
        <v>889</v>
      </c>
      <c r="U1984" s="4">
        <v>0</v>
      </c>
      <c r="V1984" s="4">
        <v>58</v>
      </c>
      <c r="W1984" s="4">
        <v>101</v>
      </c>
    </row>
    <row r="1985" spans="1:23" ht="11.25" customHeight="1" x14ac:dyDescent="0.25">
      <c r="A1985" s="4" t="s">
        <v>27</v>
      </c>
      <c r="B1985" s="4" t="s">
        <v>46</v>
      </c>
      <c r="C1985" s="4" t="s">
        <v>23</v>
      </c>
      <c r="D1985" s="4" t="s">
        <v>47</v>
      </c>
      <c r="E1985" s="4" t="s">
        <v>25</v>
      </c>
      <c r="F1985" s="4" t="s">
        <v>25</v>
      </c>
      <c r="G1985" s="4" t="s">
        <v>25</v>
      </c>
      <c r="H1985" s="4" t="s">
        <v>25</v>
      </c>
      <c r="I1985" s="5">
        <v>43952</v>
      </c>
      <c r="J1985" s="6">
        <v>0</v>
      </c>
      <c r="K1985" s="6">
        <v>0</v>
      </c>
      <c r="L1985" s="6">
        <v>5.4370000000000003</v>
      </c>
      <c r="M1985" s="6">
        <v>5.4370000000000003</v>
      </c>
      <c r="N1985" s="6">
        <v>5.4370000000000003</v>
      </c>
      <c r="O1985" s="6">
        <v>5.4370000000000003</v>
      </c>
      <c r="P1985" s="6">
        <v>2</v>
      </c>
      <c r="Q1985" s="4" t="s">
        <v>26</v>
      </c>
      <c r="R1985" s="4">
        <v>0</v>
      </c>
      <c r="S1985" s="4" t="s">
        <v>582</v>
      </c>
      <c r="T1985" s="4" t="s">
        <v>889</v>
      </c>
      <c r="U1985" s="4">
        <v>0</v>
      </c>
      <c r="V1985" s="4">
        <v>58</v>
      </c>
      <c r="W1985" s="4">
        <v>101</v>
      </c>
    </row>
    <row r="1986" spans="1:23" ht="11.25" customHeight="1" x14ac:dyDescent="0.25">
      <c r="A1986" s="4" t="s">
        <v>28</v>
      </c>
      <c r="B1986" s="4" t="s">
        <v>46</v>
      </c>
      <c r="C1986" s="4" t="s">
        <v>23</v>
      </c>
      <c r="D1986" s="4" t="s">
        <v>47</v>
      </c>
      <c r="E1986" s="4" t="s">
        <v>25</v>
      </c>
      <c r="F1986" s="4" t="s">
        <v>25</v>
      </c>
      <c r="G1986" s="4" t="s">
        <v>25</v>
      </c>
      <c r="H1986" s="4" t="s">
        <v>25</v>
      </c>
      <c r="I1986" s="5">
        <v>43952</v>
      </c>
      <c r="J1986" s="6">
        <v>0</v>
      </c>
      <c r="K1986" s="6">
        <v>0</v>
      </c>
      <c r="L1986" s="6">
        <v>45.226999999999997</v>
      </c>
      <c r="M1986" s="6">
        <v>45.226999999999997</v>
      </c>
      <c r="N1986" s="6">
        <v>45.226999999999997</v>
      </c>
      <c r="O1986" s="6">
        <v>45.226999999999997</v>
      </c>
      <c r="P1986" s="6">
        <v>37</v>
      </c>
      <c r="Q1986" s="4" t="s">
        <v>26</v>
      </c>
      <c r="R1986" s="4">
        <v>0</v>
      </c>
      <c r="S1986" s="4" t="s">
        <v>582</v>
      </c>
      <c r="T1986" s="4" t="s">
        <v>889</v>
      </c>
      <c r="U1986" s="4">
        <v>0</v>
      </c>
      <c r="V1986" s="4">
        <v>58</v>
      </c>
      <c r="W1986" s="4">
        <v>101</v>
      </c>
    </row>
    <row r="1987" spans="1:23" ht="11.25" customHeight="1" x14ac:dyDescent="0.25">
      <c r="A1987" s="4" t="s">
        <v>21</v>
      </c>
      <c r="B1987" s="4" t="s">
        <v>46</v>
      </c>
      <c r="C1987" s="4" t="s">
        <v>23</v>
      </c>
      <c r="D1987" s="4" t="s">
        <v>47</v>
      </c>
      <c r="E1987" s="4" t="s">
        <v>25</v>
      </c>
      <c r="F1987" s="4" t="s">
        <v>25</v>
      </c>
      <c r="G1987" s="4" t="s">
        <v>25</v>
      </c>
      <c r="H1987" s="4" t="s">
        <v>25</v>
      </c>
      <c r="I1987" s="5">
        <v>43983</v>
      </c>
      <c r="J1987" s="6">
        <v>0</v>
      </c>
      <c r="K1987" s="6">
        <v>0</v>
      </c>
      <c r="L1987" s="6">
        <v>6586.8239999999996</v>
      </c>
      <c r="M1987" s="6">
        <v>6586.8239999999996</v>
      </c>
      <c r="N1987" s="6">
        <v>6586.8239999999996</v>
      </c>
      <c r="O1987" s="6">
        <v>6586.8239999999996</v>
      </c>
      <c r="P1987" s="6">
        <v>10420</v>
      </c>
      <c r="Q1987" s="4" t="s">
        <v>26</v>
      </c>
      <c r="R1987" s="4">
        <v>0</v>
      </c>
      <c r="S1987" s="4" t="s">
        <v>583</v>
      </c>
      <c r="T1987" s="4" t="s">
        <v>890</v>
      </c>
      <c r="U1987" s="4">
        <v>0</v>
      </c>
      <c r="V1987" s="4">
        <v>58</v>
      </c>
      <c r="W1987" s="4">
        <v>101</v>
      </c>
    </row>
    <row r="1988" spans="1:23" ht="11.25" customHeight="1" x14ac:dyDescent="0.25">
      <c r="A1988" s="4" t="s">
        <v>27</v>
      </c>
      <c r="B1988" s="4" t="s">
        <v>46</v>
      </c>
      <c r="C1988" s="4" t="s">
        <v>23</v>
      </c>
      <c r="D1988" s="4" t="s">
        <v>47</v>
      </c>
      <c r="E1988" s="4" t="s">
        <v>25</v>
      </c>
      <c r="F1988" s="4" t="s">
        <v>25</v>
      </c>
      <c r="G1988" s="4" t="s">
        <v>25</v>
      </c>
      <c r="H1988" s="4" t="s">
        <v>25</v>
      </c>
      <c r="I1988" s="5">
        <v>43983</v>
      </c>
      <c r="J1988" s="6">
        <v>0</v>
      </c>
      <c r="K1988" s="6">
        <v>0</v>
      </c>
      <c r="L1988" s="6">
        <v>9.1639999999999997</v>
      </c>
      <c r="M1988" s="6">
        <v>9.1639999999999997</v>
      </c>
      <c r="N1988" s="6">
        <v>9.1639999999999997</v>
      </c>
      <c r="O1988" s="6">
        <v>9.1639999999999997</v>
      </c>
      <c r="P1988" s="6">
        <v>4</v>
      </c>
      <c r="Q1988" s="4" t="s">
        <v>26</v>
      </c>
      <c r="R1988" s="4">
        <v>0</v>
      </c>
      <c r="S1988" s="4" t="s">
        <v>583</v>
      </c>
      <c r="T1988" s="4" t="s">
        <v>890</v>
      </c>
      <c r="U1988" s="4">
        <v>0</v>
      </c>
      <c r="V1988" s="4">
        <v>58</v>
      </c>
      <c r="W1988" s="4">
        <v>101</v>
      </c>
    </row>
    <row r="1989" spans="1:23" ht="11.25" customHeight="1" x14ac:dyDescent="0.25">
      <c r="A1989" s="4" t="s">
        <v>28</v>
      </c>
      <c r="B1989" s="4" t="s">
        <v>46</v>
      </c>
      <c r="C1989" s="4" t="s">
        <v>23</v>
      </c>
      <c r="D1989" s="4" t="s">
        <v>47</v>
      </c>
      <c r="E1989" s="4" t="s">
        <v>25</v>
      </c>
      <c r="F1989" s="4" t="s">
        <v>25</v>
      </c>
      <c r="G1989" s="4" t="s">
        <v>25</v>
      </c>
      <c r="H1989" s="4" t="s">
        <v>25</v>
      </c>
      <c r="I1989" s="5">
        <v>43983</v>
      </c>
      <c r="J1989" s="6">
        <v>0</v>
      </c>
      <c r="K1989" s="6">
        <v>0</v>
      </c>
      <c r="L1989" s="6">
        <v>25.783000000000001</v>
      </c>
      <c r="M1989" s="6">
        <v>25.783000000000001</v>
      </c>
      <c r="N1989" s="6">
        <v>25.783000000000001</v>
      </c>
      <c r="O1989" s="6">
        <v>25.783000000000001</v>
      </c>
      <c r="P1989" s="6">
        <v>37</v>
      </c>
      <c r="Q1989" s="4" t="s">
        <v>26</v>
      </c>
      <c r="R1989" s="4">
        <v>0</v>
      </c>
      <c r="S1989" s="4" t="s">
        <v>583</v>
      </c>
      <c r="T1989" s="4" t="s">
        <v>890</v>
      </c>
      <c r="U1989" s="4">
        <v>0</v>
      </c>
      <c r="V1989" s="4">
        <v>58</v>
      </c>
      <c r="W1989" s="4">
        <v>101</v>
      </c>
    </row>
    <row r="1990" spans="1:23" ht="11.25" customHeight="1" x14ac:dyDescent="0.25">
      <c r="A1990" s="4" t="s">
        <v>21</v>
      </c>
      <c r="B1990" s="4" t="s">
        <v>46</v>
      </c>
      <c r="C1990" s="4" t="s">
        <v>23</v>
      </c>
      <c r="D1990" s="4" t="s">
        <v>47</v>
      </c>
      <c r="E1990" s="4" t="s">
        <v>25</v>
      </c>
      <c r="F1990" s="4" t="s">
        <v>25</v>
      </c>
      <c r="G1990" s="4" t="s">
        <v>25</v>
      </c>
      <c r="H1990" s="4" t="s">
        <v>25</v>
      </c>
      <c r="I1990" s="5">
        <v>44013</v>
      </c>
      <c r="J1990" s="6">
        <v>0</v>
      </c>
      <c r="K1990" s="6">
        <v>0</v>
      </c>
      <c r="L1990" s="6">
        <v>6982.9350000000004</v>
      </c>
      <c r="M1990" s="6">
        <v>6982.9350000000004</v>
      </c>
      <c r="N1990" s="6">
        <v>6982.9350000000004</v>
      </c>
      <c r="O1990" s="6">
        <v>6982.9350000000004</v>
      </c>
      <c r="P1990" s="6">
        <v>10416</v>
      </c>
      <c r="Q1990" s="4" t="s">
        <v>26</v>
      </c>
      <c r="R1990" s="4">
        <v>0</v>
      </c>
      <c r="S1990" s="4" t="s">
        <v>584</v>
      </c>
      <c r="T1990" s="4" t="s">
        <v>891</v>
      </c>
      <c r="U1990" s="4">
        <v>0</v>
      </c>
      <c r="V1990" s="4">
        <v>58</v>
      </c>
      <c r="W1990" s="4">
        <v>101</v>
      </c>
    </row>
    <row r="1991" spans="1:23" ht="11.25" customHeight="1" x14ac:dyDescent="0.25">
      <c r="A1991" s="4" t="s">
        <v>27</v>
      </c>
      <c r="B1991" s="4" t="s">
        <v>46</v>
      </c>
      <c r="C1991" s="4" t="s">
        <v>23</v>
      </c>
      <c r="D1991" s="4" t="s">
        <v>47</v>
      </c>
      <c r="E1991" s="4" t="s">
        <v>25</v>
      </c>
      <c r="F1991" s="4" t="s">
        <v>25</v>
      </c>
      <c r="G1991" s="4" t="s">
        <v>25</v>
      </c>
      <c r="H1991" s="4" t="s">
        <v>25</v>
      </c>
      <c r="I1991" s="5">
        <v>44013</v>
      </c>
      <c r="J1991" s="6">
        <v>0</v>
      </c>
      <c r="K1991" s="6">
        <v>0</v>
      </c>
      <c r="L1991" s="6">
        <v>19.53</v>
      </c>
      <c r="M1991" s="6">
        <v>19.53</v>
      </c>
      <c r="N1991" s="6">
        <v>19.53</v>
      </c>
      <c r="O1991" s="6">
        <v>19.53</v>
      </c>
      <c r="P1991" s="6">
        <v>8</v>
      </c>
      <c r="Q1991" s="4" t="s">
        <v>26</v>
      </c>
      <c r="R1991" s="4">
        <v>0</v>
      </c>
      <c r="S1991" s="4" t="s">
        <v>584</v>
      </c>
      <c r="T1991" s="4" t="s">
        <v>891</v>
      </c>
      <c r="U1991" s="4">
        <v>0</v>
      </c>
      <c r="V1991" s="4">
        <v>58</v>
      </c>
      <c r="W1991" s="4">
        <v>101</v>
      </c>
    </row>
    <row r="1992" spans="1:23" ht="11.25" customHeight="1" x14ac:dyDescent="0.25">
      <c r="A1992" s="4" t="s">
        <v>28</v>
      </c>
      <c r="B1992" s="4" t="s">
        <v>46</v>
      </c>
      <c r="C1992" s="4" t="s">
        <v>23</v>
      </c>
      <c r="D1992" s="4" t="s">
        <v>47</v>
      </c>
      <c r="E1992" s="4" t="s">
        <v>25</v>
      </c>
      <c r="F1992" s="4" t="s">
        <v>25</v>
      </c>
      <c r="G1992" s="4" t="s">
        <v>25</v>
      </c>
      <c r="H1992" s="4" t="s">
        <v>25</v>
      </c>
      <c r="I1992" s="5">
        <v>44013</v>
      </c>
      <c r="J1992" s="6">
        <v>0</v>
      </c>
      <c r="K1992" s="6">
        <v>0</v>
      </c>
      <c r="L1992" s="6">
        <v>23.128</v>
      </c>
      <c r="M1992" s="6">
        <v>23.128</v>
      </c>
      <c r="N1992" s="6">
        <v>23.128</v>
      </c>
      <c r="O1992" s="6">
        <v>23.128</v>
      </c>
      <c r="P1992" s="6">
        <v>36</v>
      </c>
      <c r="Q1992" s="4" t="s">
        <v>26</v>
      </c>
      <c r="R1992" s="4">
        <v>0</v>
      </c>
      <c r="S1992" s="4" t="s">
        <v>584</v>
      </c>
      <c r="T1992" s="4" t="s">
        <v>891</v>
      </c>
      <c r="U1992" s="4">
        <v>0</v>
      </c>
      <c r="V1992" s="4">
        <v>58</v>
      </c>
      <c r="W1992" s="4">
        <v>101</v>
      </c>
    </row>
    <row r="1993" spans="1:23" ht="11.25" customHeight="1" x14ac:dyDescent="0.25">
      <c r="A1993" s="4" t="s">
        <v>21</v>
      </c>
      <c r="B1993" s="4" t="s">
        <v>46</v>
      </c>
      <c r="C1993" s="4" t="s">
        <v>23</v>
      </c>
      <c r="D1993" s="4" t="s">
        <v>47</v>
      </c>
      <c r="E1993" s="4" t="s">
        <v>25</v>
      </c>
      <c r="F1993" s="4" t="s">
        <v>25</v>
      </c>
      <c r="G1993" s="4" t="s">
        <v>25</v>
      </c>
      <c r="H1993" s="4" t="s">
        <v>25</v>
      </c>
      <c r="I1993" s="5">
        <v>44044</v>
      </c>
      <c r="J1993" s="6">
        <v>0</v>
      </c>
      <c r="K1993" s="6">
        <v>0</v>
      </c>
      <c r="L1993" s="6">
        <v>7965.4070000000002</v>
      </c>
      <c r="M1993" s="6">
        <v>7965.4070000000002</v>
      </c>
      <c r="N1993" s="6">
        <v>7965.4070000000002</v>
      </c>
      <c r="O1993" s="6">
        <v>7965.4070000000002</v>
      </c>
      <c r="P1993" s="6">
        <v>10423</v>
      </c>
      <c r="Q1993" s="4" t="s">
        <v>26</v>
      </c>
      <c r="R1993" s="4">
        <v>0</v>
      </c>
      <c r="S1993" s="4" t="s">
        <v>585</v>
      </c>
      <c r="T1993" s="4" t="s">
        <v>892</v>
      </c>
      <c r="U1993" s="4">
        <v>0</v>
      </c>
      <c r="V1993" s="4">
        <v>58</v>
      </c>
      <c r="W1993" s="4">
        <v>101</v>
      </c>
    </row>
    <row r="1994" spans="1:23" ht="11.25" customHeight="1" x14ac:dyDescent="0.25">
      <c r="A1994" s="4" t="s">
        <v>27</v>
      </c>
      <c r="B1994" s="4" t="s">
        <v>46</v>
      </c>
      <c r="C1994" s="4" t="s">
        <v>23</v>
      </c>
      <c r="D1994" s="4" t="s">
        <v>47</v>
      </c>
      <c r="E1994" s="4" t="s">
        <v>25</v>
      </c>
      <c r="F1994" s="4" t="s">
        <v>25</v>
      </c>
      <c r="G1994" s="4" t="s">
        <v>25</v>
      </c>
      <c r="H1994" s="4" t="s">
        <v>25</v>
      </c>
      <c r="I1994" s="5">
        <v>44044</v>
      </c>
      <c r="J1994" s="6">
        <v>0</v>
      </c>
      <c r="K1994" s="6">
        <v>0</v>
      </c>
      <c r="L1994" s="6">
        <v>33.576999999999998</v>
      </c>
      <c r="M1994" s="6">
        <v>33.576999999999998</v>
      </c>
      <c r="N1994" s="6">
        <v>33.576999999999998</v>
      </c>
      <c r="O1994" s="6">
        <v>33.576999999999998</v>
      </c>
      <c r="P1994" s="6">
        <v>7</v>
      </c>
      <c r="Q1994" s="4" t="s">
        <v>26</v>
      </c>
      <c r="R1994" s="4">
        <v>0</v>
      </c>
      <c r="S1994" s="4" t="s">
        <v>585</v>
      </c>
      <c r="T1994" s="4" t="s">
        <v>892</v>
      </c>
      <c r="U1994" s="4">
        <v>0</v>
      </c>
      <c r="V1994" s="4">
        <v>58</v>
      </c>
      <c r="W1994" s="4">
        <v>101</v>
      </c>
    </row>
    <row r="1995" spans="1:23" ht="11.25" customHeight="1" x14ac:dyDescent="0.25">
      <c r="A1995" s="4" t="s">
        <v>28</v>
      </c>
      <c r="B1995" s="4" t="s">
        <v>46</v>
      </c>
      <c r="C1995" s="4" t="s">
        <v>23</v>
      </c>
      <c r="D1995" s="4" t="s">
        <v>47</v>
      </c>
      <c r="E1995" s="4" t="s">
        <v>25</v>
      </c>
      <c r="F1995" s="4" t="s">
        <v>25</v>
      </c>
      <c r="G1995" s="4" t="s">
        <v>25</v>
      </c>
      <c r="H1995" s="4" t="s">
        <v>25</v>
      </c>
      <c r="I1995" s="5">
        <v>44044</v>
      </c>
      <c r="J1995" s="6">
        <v>0</v>
      </c>
      <c r="K1995" s="6">
        <v>0</v>
      </c>
      <c r="L1995" s="6">
        <v>19.637</v>
      </c>
      <c r="M1995" s="6">
        <v>19.637</v>
      </c>
      <c r="N1995" s="6">
        <v>19.637</v>
      </c>
      <c r="O1995" s="6">
        <v>19.637</v>
      </c>
      <c r="P1995" s="6">
        <v>36</v>
      </c>
      <c r="Q1995" s="4" t="s">
        <v>26</v>
      </c>
      <c r="R1995" s="4">
        <v>0</v>
      </c>
      <c r="S1995" s="4" t="s">
        <v>585</v>
      </c>
      <c r="T1995" s="4" t="s">
        <v>892</v>
      </c>
      <c r="U1995" s="4">
        <v>0</v>
      </c>
      <c r="V1995" s="4">
        <v>58</v>
      </c>
      <c r="W1995" s="4">
        <v>101</v>
      </c>
    </row>
    <row r="1996" spans="1:23" ht="11.25" customHeight="1" x14ac:dyDescent="0.25">
      <c r="A1996" s="4" t="s">
        <v>59</v>
      </c>
      <c r="B1996" s="4" t="s">
        <v>46</v>
      </c>
      <c r="C1996" s="4" t="s">
        <v>23</v>
      </c>
      <c r="D1996" s="4" t="s">
        <v>47</v>
      </c>
      <c r="E1996" s="4" t="s">
        <v>25</v>
      </c>
      <c r="F1996" s="4" t="s">
        <v>25</v>
      </c>
      <c r="G1996" s="4" t="s">
        <v>25</v>
      </c>
      <c r="H1996" s="4" t="s">
        <v>25</v>
      </c>
      <c r="I1996" s="5">
        <v>44075</v>
      </c>
      <c r="J1996" s="6">
        <v>0</v>
      </c>
      <c r="K1996" s="6">
        <v>0</v>
      </c>
      <c r="L1996" s="6">
        <v>7965.4070000000002</v>
      </c>
      <c r="M1996" s="6">
        <v>7965.4070000000002</v>
      </c>
      <c r="N1996" s="6">
        <v>7965.4070000000002</v>
      </c>
      <c r="O1996" s="6">
        <v>7965.4070000000002</v>
      </c>
      <c r="P1996" s="6">
        <v>10423</v>
      </c>
      <c r="Q1996" s="4" t="s">
        <v>26</v>
      </c>
      <c r="R1996" s="4">
        <v>0</v>
      </c>
      <c r="S1996" s="4" t="s">
        <v>586</v>
      </c>
      <c r="T1996" s="4" t="s">
        <v>893</v>
      </c>
      <c r="U1996" s="4">
        <v>0</v>
      </c>
      <c r="V1996" s="4">
        <v>58</v>
      </c>
      <c r="W1996" s="4">
        <v>101</v>
      </c>
    </row>
    <row r="1997" spans="1:23" ht="11.25" customHeight="1" x14ac:dyDescent="0.25">
      <c r="A1997" s="4" t="s">
        <v>59</v>
      </c>
      <c r="B1997" s="4" t="s">
        <v>46</v>
      </c>
      <c r="C1997" s="4" t="s">
        <v>23</v>
      </c>
      <c r="D1997" s="4" t="s">
        <v>47</v>
      </c>
      <c r="E1997" s="4" t="s">
        <v>25</v>
      </c>
      <c r="F1997" s="4" t="s">
        <v>25</v>
      </c>
      <c r="G1997" s="4" t="s">
        <v>25</v>
      </c>
      <c r="H1997" s="4" t="s">
        <v>25</v>
      </c>
      <c r="I1997" s="5">
        <v>44075</v>
      </c>
      <c r="J1997" s="6">
        <v>0</v>
      </c>
      <c r="K1997" s="6">
        <v>0</v>
      </c>
      <c r="L1997" s="6">
        <v>33.576999999999998</v>
      </c>
      <c r="M1997" s="6">
        <v>33.576999999999998</v>
      </c>
      <c r="N1997" s="6">
        <v>33.576999999999998</v>
      </c>
      <c r="O1997" s="6">
        <v>33.576999999999998</v>
      </c>
      <c r="P1997" s="6">
        <v>7</v>
      </c>
      <c r="Q1997" s="4" t="s">
        <v>26</v>
      </c>
      <c r="R1997" s="4">
        <v>0</v>
      </c>
      <c r="S1997" s="4" t="s">
        <v>586</v>
      </c>
      <c r="T1997" s="4" t="s">
        <v>893</v>
      </c>
      <c r="U1997" s="4">
        <v>0</v>
      </c>
      <c r="V1997" s="4">
        <v>58</v>
      </c>
      <c r="W1997" s="4">
        <v>101</v>
      </c>
    </row>
    <row r="1998" spans="1:23" ht="11.25" customHeight="1" x14ac:dyDescent="0.25">
      <c r="A1998" s="4" t="s">
        <v>59</v>
      </c>
      <c r="B1998" s="4" t="s">
        <v>46</v>
      </c>
      <c r="C1998" s="4" t="s">
        <v>23</v>
      </c>
      <c r="D1998" s="4" t="s">
        <v>47</v>
      </c>
      <c r="E1998" s="4" t="s">
        <v>25</v>
      </c>
      <c r="F1998" s="4" t="s">
        <v>25</v>
      </c>
      <c r="G1998" s="4" t="s">
        <v>25</v>
      </c>
      <c r="H1998" s="4" t="s">
        <v>25</v>
      </c>
      <c r="I1998" s="5">
        <v>44075</v>
      </c>
      <c r="J1998" s="6">
        <v>0</v>
      </c>
      <c r="K1998" s="6">
        <v>0</v>
      </c>
      <c r="L1998" s="6">
        <v>19.637</v>
      </c>
      <c r="M1998" s="6">
        <v>19.637</v>
      </c>
      <c r="N1998" s="6">
        <v>19.637</v>
      </c>
      <c r="O1998" s="6">
        <v>19.637</v>
      </c>
      <c r="P1998" s="6">
        <v>36</v>
      </c>
      <c r="Q1998" s="4" t="s">
        <v>26</v>
      </c>
      <c r="R1998" s="4">
        <v>0</v>
      </c>
      <c r="S1998" s="4" t="s">
        <v>586</v>
      </c>
      <c r="T1998" s="4" t="s">
        <v>893</v>
      </c>
      <c r="U1998" s="4">
        <v>0</v>
      </c>
      <c r="V1998" s="4">
        <v>58</v>
      </c>
      <c r="W1998" s="4">
        <v>101</v>
      </c>
    </row>
    <row r="1999" spans="1:23" ht="11.25" customHeight="1" x14ac:dyDescent="0.25">
      <c r="A1999" s="4" t="s">
        <v>21</v>
      </c>
      <c r="B1999" s="4" t="s">
        <v>39</v>
      </c>
      <c r="C1999" s="4" t="s">
        <v>37</v>
      </c>
      <c r="D1999" s="4" t="s">
        <v>42</v>
      </c>
      <c r="E1999" s="4" t="s">
        <v>25</v>
      </c>
      <c r="F1999" s="4" t="s">
        <v>25</v>
      </c>
      <c r="G1999" s="4" t="s">
        <v>25</v>
      </c>
      <c r="H1999" s="4" t="s">
        <v>36</v>
      </c>
      <c r="I1999" s="5">
        <v>43739</v>
      </c>
      <c r="J1999" s="6">
        <v>0</v>
      </c>
      <c r="K1999" s="6">
        <v>0</v>
      </c>
      <c r="L1999" s="6">
        <v>356.14499999999998</v>
      </c>
      <c r="M1999" s="6">
        <v>356.14499999999998</v>
      </c>
      <c r="N1999" s="6">
        <v>356.14499999999998</v>
      </c>
      <c r="O1999" s="6">
        <v>356.14499999999998</v>
      </c>
      <c r="P1999" s="6">
        <v>0</v>
      </c>
      <c r="Q1999" s="4" t="s">
        <v>26</v>
      </c>
      <c r="R1999" s="4">
        <v>0</v>
      </c>
      <c r="S1999" s="4" t="s">
        <v>587</v>
      </c>
      <c r="T1999" s="4" t="s">
        <v>894</v>
      </c>
      <c r="U1999" s="4">
        <v>0</v>
      </c>
      <c r="V1999" s="4">
        <v>72</v>
      </c>
      <c r="W1999" s="4">
        <v>115</v>
      </c>
    </row>
    <row r="2000" spans="1:23" ht="11.25" customHeight="1" x14ac:dyDescent="0.25">
      <c r="A2000" s="4" t="s">
        <v>27</v>
      </c>
      <c r="B2000" s="4" t="s">
        <v>39</v>
      </c>
      <c r="C2000" s="4" t="s">
        <v>37</v>
      </c>
      <c r="D2000" s="4" t="s">
        <v>42</v>
      </c>
      <c r="E2000" s="4" t="s">
        <v>25</v>
      </c>
      <c r="F2000" s="4" t="s">
        <v>25</v>
      </c>
      <c r="G2000" s="4" t="s">
        <v>25</v>
      </c>
      <c r="H2000" s="4" t="s">
        <v>36</v>
      </c>
      <c r="I2000" s="5">
        <v>43739</v>
      </c>
      <c r="J2000" s="6">
        <v>0</v>
      </c>
      <c r="K2000" s="6">
        <v>0</v>
      </c>
      <c r="L2000" s="6">
        <v>4.3330000000000002</v>
      </c>
      <c r="M2000" s="6">
        <v>4.3330000000000002</v>
      </c>
      <c r="N2000" s="6">
        <v>4.3330000000000002</v>
      </c>
      <c r="O2000" s="6">
        <v>4.3330000000000002</v>
      </c>
      <c r="P2000" s="6">
        <v>0</v>
      </c>
      <c r="Q2000" s="4" t="s">
        <v>26</v>
      </c>
      <c r="R2000" s="4">
        <v>0</v>
      </c>
      <c r="S2000" s="4" t="s">
        <v>587</v>
      </c>
      <c r="T2000" s="4" t="s">
        <v>894</v>
      </c>
      <c r="U2000" s="4">
        <v>0</v>
      </c>
      <c r="V2000" s="4">
        <v>72</v>
      </c>
      <c r="W2000" s="4">
        <v>115</v>
      </c>
    </row>
    <row r="2001" spans="1:23" ht="11.25" customHeight="1" x14ac:dyDescent="0.25">
      <c r="A2001" s="4" t="s">
        <v>21</v>
      </c>
      <c r="B2001" s="4" t="s">
        <v>39</v>
      </c>
      <c r="C2001" s="4" t="s">
        <v>37</v>
      </c>
      <c r="D2001" s="4" t="s">
        <v>42</v>
      </c>
      <c r="E2001" s="4" t="s">
        <v>25</v>
      </c>
      <c r="F2001" s="4" t="s">
        <v>25</v>
      </c>
      <c r="G2001" s="4" t="s">
        <v>25</v>
      </c>
      <c r="H2001" s="4" t="s">
        <v>36</v>
      </c>
      <c r="I2001" s="5">
        <v>43770</v>
      </c>
      <c r="J2001" s="6">
        <v>0</v>
      </c>
      <c r="K2001" s="6">
        <v>0</v>
      </c>
      <c r="L2001" s="6">
        <v>1406.1969999999999</v>
      </c>
      <c r="M2001" s="6">
        <v>1406.1969999999999</v>
      </c>
      <c r="N2001" s="6">
        <v>1406.1969999999999</v>
      </c>
      <c r="O2001" s="6">
        <v>1406.1969999999999</v>
      </c>
      <c r="P2001" s="6">
        <v>0</v>
      </c>
      <c r="Q2001" s="4" t="s">
        <v>26</v>
      </c>
      <c r="R2001" s="4">
        <v>0</v>
      </c>
      <c r="S2001" s="4" t="s">
        <v>588</v>
      </c>
      <c r="T2001" s="4" t="s">
        <v>895</v>
      </c>
      <c r="U2001" s="4">
        <v>0</v>
      </c>
      <c r="V2001" s="4">
        <v>72</v>
      </c>
      <c r="W2001" s="4">
        <v>115</v>
      </c>
    </row>
    <row r="2002" spans="1:23" ht="11.25" customHeight="1" x14ac:dyDescent="0.25">
      <c r="A2002" s="4" t="s">
        <v>27</v>
      </c>
      <c r="B2002" s="4" t="s">
        <v>39</v>
      </c>
      <c r="C2002" s="4" t="s">
        <v>37</v>
      </c>
      <c r="D2002" s="4" t="s">
        <v>42</v>
      </c>
      <c r="E2002" s="4" t="s">
        <v>25</v>
      </c>
      <c r="F2002" s="4" t="s">
        <v>25</v>
      </c>
      <c r="G2002" s="4" t="s">
        <v>25</v>
      </c>
      <c r="H2002" s="4" t="s">
        <v>36</v>
      </c>
      <c r="I2002" s="5">
        <v>43770</v>
      </c>
      <c r="J2002" s="6">
        <v>0</v>
      </c>
      <c r="K2002" s="6">
        <v>0</v>
      </c>
      <c r="L2002" s="6">
        <v>6.7350000000000003</v>
      </c>
      <c r="M2002" s="6">
        <v>6.7350000000000003</v>
      </c>
      <c r="N2002" s="6">
        <v>6.7350000000000003</v>
      </c>
      <c r="O2002" s="6">
        <v>6.7350000000000003</v>
      </c>
      <c r="P2002" s="6">
        <v>0</v>
      </c>
      <c r="Q2002" s="4" t="s">
        <v>26</v>
      </c>
      <c r="R2002" s="4">
        <v>0</v>
      </c>
      <c r="S2002" s="4" t="s">
        <v>588</v>
      </c>
      <c r="T2002" s="4" t="s">
        <v>895</v>
      </c>
      <c r="U2002" s="4">
        <v>0</v>
      </c>
      <c r="V2002" s="4">
        <v>72</v>
      </c>
      <c r="W2002" s="4">
        <v>115</v>
      </c>
    </row>
    <row r="2003" spans="1:23" ht="11.25" customHeight="1" x14ac:dyDescent="0.25">
      <c r="A2003" s="4" t="s">
        <v>27</v>
      </c>
      <c r="B2003" s="4" t="s">
        <v>39</v>
      </c>
      <c r="C2003" s="4" t="s">
        <v>37</v>
      </c>
      <c r="D2003" s="4" t="s">
        <v>42</v>
      </c>
      <c r="E2003" s="4" t="s">
        <v>25</v>
      </c>
      <c r="F2003" s="4" t="s">
        <v>25</v>
      </c>
      <c r="G2003" s="4" t="s">
        <v>25</v>
      </c>
      <c r="H2003" s="4" t="s">
        <v>36</v>
      </c>
      <c r="I2003" s="5">
        <v>43800</v>
      </c>
      <c r="J2003" s="6">
        <v>0</v>
      </c>
      <c r="K2003" s="6">
        <v>0</v>
      </c>
      <c r="L2003" s="6">
        <v>-612.67399999999998</v>
      </c>
      <c r="M2003" s="6">
        <v>-612.67399999999998</v>
      </c>
      <c r="N2003" s="6">
        <v>-612.67399999999998</v>
      </c>
      <c r="O2003" s="6">
        <v>-612.67399999999998</v>
      </c>
      <c r="P2003" s="6">
        <v>0</v>
      </c>
      <c r="Q2003" s="4" t="s">
        <v>26</v>
      </c>
      <c r="R2003" s="4">
        <v>0</v>
      </c>
      <c r="S2003" s="4" t="s">
        <v>589</v>
      </c>
      <c r="T2003" s="4" t="s">
        <v>896</v>
      </c>
      <c r="U2003" s="4">
        <v>0</v>
      </c>
      <c r="V2003" s="4">
        <v>72</v>
      </c>
      <c r="W2003" s="4">
        <v>115</v>
      </c>
    </row>
    <row r="2004" spans="1:23" ht="11.25" customHeight="1" x14ac:dyDescent="0.25">
      <c r="A2004" s="4" t="s">
        <v>21</v>
      </c>
      <c r="B2004" s="4" t="s">
        <v>39</v>
      </c>
      <c r="C2004" s="4" t="s">
        <v>37</v>
      </c>
      <c r="D2004" s="4" t="s">
        <v>42</v>
      </c>
      <c r="E2004" s="4" t="s">
        <v>25</v>
      </c>
      <c r="F2004" s="4" t="s">
        <v>25</v>
      </c>
      <c r="G2004" s="4" t="s">
        <v>25</v>
      </c>
      <c r="H2004" s="4" t="s">
        <v>36</v>
      </c>
      <c r="I2004" s="5">
        <v>43831</v>
      </c>
      <c r="J2004" s="6">
        <v>0</v>
      </c>
      <c r="K2004" s="6">
        <v>0</v>
      </c>
      <c r="L2004" s="6">
        <v>371.50200000000001</v>
      </c>
      <c r="M2004" s="6">
        <v>371.50200000000001</v>
      </c>
      <c r="N2004" s="6">
        <v>371.50200000000001</v>
      </c>
      <c r="O2004" s="6">
        <v>371.50200000000001</v>
      </c>
      <c r="P2004" s="6">
        <v>0</v>
      </c>
      <c r="Q2004" s="4" t="s">
        <v>26</v>
      </c>
      <c r="R2004" s="4">
        <v>0</v>
      </c>
      <c r="S2004" s="4" t="s">
        <v>590</v>
      </c>
      <c r="T2004" s="4" t="s">
        <v>897</v>
      </c>
      <c r="U2004" s="4">
        <v>0</v>
      </c>
      <c r="V2004" s="4">
        <v>72</v>
      </c>
      <c r="W2004" s="4">
        <v>115</v>
      </c>
    </row>
    <row r="2005" spans="1:23" ht="11.25" customHeight="1" x14ac:dyDescent="0.25">
      <c r="A2005" s="4" t="s">
        <v>27</v>
      </c>
      <c r="B2005" s="4" t="s">
        <v>39</v>
      </c>
      <c r="C2005" s="4" t="s">
        <v>37</v>
      </c>
      <c r="D2005" s="4" t="s">
        <v>42</v>
      </c>
      <c r="E2005" s="4" t="s">
        <v>25</v>
      </c>
      <c r="F2005" s="4" t="s">
        <v>25</v>
      </c>
      <c r="G2005" s="4" t="s">
        <v>25</v>
      </c>
      <c r="H2005" s="4" t="s">
        <v>36</v>
      </c>
      <c r="I2005" s="5">
        <v>43831</v>
      </c>
      <c r="J2005" s="6">
        <v>0</v>
      </c>
      <c r="K2005" s="6">
        <v>0</v>
      </c>
      <c r="L2005" s="6">
        <v>2.9089999999999998</v>
      </c>
      <c r="M2005" s="6">
        <v>2.9089999999999998</v>
      </c>
      <c r="N2005" s="6">
        <v>2.9089999999999998</v>
      </c>
      <c r="O2005" s="6">
        <v>2.9089999999999998</v>
      </c>
      <c r="P2005" s="6">
        <v>0</v>
      </c>
      <c r="Q2005" s="4" t="s">
        <v>26</v>
      </c>
      <c r="R2005" s="4">
        <v>0</v>
      </c>
      <c r="S2005" s="4" t="s">
        <v>590</v>
      </c>
      <c r="T2005" s="4" t="s">
        <v>897</v>
      </c>
      <c r="U2005" s="4">
        <v>0</v>
      </c>
      <c r="V2005" s="4">
        <v>72</v>
      </c>
      <c r="W2005" s="4">
        <v>115</v>
      </c>
    </row>
    <row r="2006" spans="1:23" ht="11.25" customHeight="1" x14ac:dyDescent="0.25">
      <c r="A2006" s="4" t="s">
        <v>21</v>
      </c>
      <c r="B2006" s="4" t="s">
        <v>39</v>
      </c>
      <c r="C2006" s="4" t="s">
        <v>37</v>
      </c>
      <c r="D2006" s="4" t="s">
        <v>42</v>
      </c>
      <c r="E2006" s="4" t="s">
        <v>25</v>
      </c>
      <c r="F2006" s="4" t="s">
        <v>25</v>
      </c>
      <c r="G2006" s="4" t="s">
        <v>25</v>
      </c>
      <c r="H2006" s="4" t="s">
        <v>36</v>
      </c>
      <c r="I2006" s="5">
        <v>43862</v>
      </c>
      <c r="J2006" s="6">
        <v>0</v>
      </c>
      <c r="K2006" s="6">
        <v>0</v>
      </c>
      <c r="L2006" s="6">
        <v>340.529</v>
      </c>
      <c r="M2006" s="6">
        <v>340.529</v>
      </c>
      <c r="N2006" s="6">
        <v>340.529</v>
      </c>
      <c r="O2006" s="6">
        <v>340.529</v>
      </c>
      <c r="P2006" s="6">
        <v>0</v>
      </c>
      <c r="Q2006" s="4" t="s">
        <v>26</v>
      </c>
      <c r="R2006" s="4">
        <v>0</v>
      </c>
      <c r="S2006" s="4" t="s">
        <v>591</v>
      </c>
      <c r="T2006" s="4" t="s">
        <v>898</v>
      </c>
      <c r="U2006" s="4">
        <v>0</v>
      </c>
      <c r="V2006" s="4">
        <v>72</v>
      </c>
      <c r="W2006" s="4">
        <v>115</v>
      </c>
    </row>
    <row r="2007" spans="1:23" ht="11.25" customHeight="1" x14ac:dyDescent="0.25">
      <c r="A2007" s="4" t="s">
        <v>27</v>
      </c>
      <c r="B2007" s="4" t="s">
        <v>39</v>
      </c>
      <c r="C2007" s="4" t="s">
        <v>37</v>
      </c>
      <c r="D2007" s="4" t="s">
        <v>42</v>
      </c>
      <c r="E2007" s="4" t="s">
        <v>25</v>
      </c>
      <c r="F2007" s="4" t="s">
        <v>25</v>
      </c>
      <c r="G2007" s="4" t="s">
        <v>25</v>
      </c>
      <c r="H2007" s="4" t="s">
        <v>36</v>
      </c>
      <c r="I2007" s="5">
        <v>43862</v>
      </c>
      <c r="J2007" s="6">
        <v>0</v>
      </c>
      <c r="K2007" s="6">
        <v>0</v>
      </c>
      <c r="L2007" s="6">
        <v>10.749000000000001</v>
      </c>
      <c r="M2007" s="6">
        <v>10.749000000000001</v>
      </c>
      <c r="N2007" s="6">
        <v>10.749000000000001</v>
      </c>
      <c r="O2007" s="6">
        <v>10.749000000000001</v>
      </c>
      <c r="P2007" s="6">
        <v>0</v>
      </c>
      <c r="Q2007" s="4" t="s">
        <v>26</v>
      </c>
      <c r="R2007" s="4">
        <v>0</v>
      </c>
      <c r="S2007" s="4" t="s">
        <v>591</v>
      </c>
      <c r="T2007" s="4" t="s">
        <v>898</v>
      </c>
      <c r="U2007" s="4">
        <v>0</v>
      </c>
      <c r="V2007" s="4">
        <v>72</v>
      </c>
      <c r="W2007" s="4">
        <v>115</v>
      </c>
    </row>
    <row r="2008" spans="1:23" ht="11.25" customHeight="1" x14ac:dyDescent="0.25">
      <c r="A2008" s="4" t="s">
        <v>21</v>
      </c>
      <c r="B2008" s="4" t="s">
        <v>39</v>
      </c>
      <c r="C2008" s="4" t="s">
        <v>37</v>
      </c>
      <c r="D2008" s="4" t="s">
        <v>42</v>
      </c>
      <c r="E2008" s="4" t="s">
        <v>25</v>
      </c>
      <c r="F2008" s="4" t="s">
        <v>25</v>
      </c>
      <c r="G2008" s="4" t="s">
        <v>25</v>
      </c>
      <c r="H2008" s="4" t="s">
        <v>36</v>
      </c>
      <c r="I2008" s="5">
        <v>43891</v>
      </c>
      <c r="J2008" s="6">
        <v>0</v>
      </c>
      <c r="K2008" s="6">
        <v>0</v>
      </c>
      <c r="L2008" s="6">
        <v>329.55099999999999</v>
      </c>
      <c r="M2008" s="6">
        <v>329.55099999999999</v>
      </c>
      <c r="N2008" s="6">
        <v>329.55099999999999</v>
      </c>
      <c r="O2008" s="6">
        <v>329.55099999999999</v>
      </c>
      <c r="P2008" s="6">
        <v>0</v>
      </c>
      <c r="Q2008" s="4" t="s">
        <v>26</v>
      </c>
      <c r="R2008" s="4">
        <v>0</v>
      </c>
      <c r="S2008" s="4" t="s">
        <v>592</v>
      </c>
      <c r="T2008" s="4" t="s">
        <v>899</v>
      </c>
      <c r="U2008" s="4">
        <v>0</v>
      </c>
      <c r="V2008" s="4">
        <v>72</v>
      </c>
      <c r="W2008" s="4">
        <v>115</v>
      </c>
    </row>
    <row r="2009" spans="1:23" ht="11.25" customHeight="1" x14ac:dyDescent="0.25">
      <c r="A2009" s="4" t="s">
        <v>27</v>
      </c>
      <c r="B2009" s="4" t="s">
        <v>39</v>
      </c>
      <c r="C2009" s="4" t="s">
        <v>37</v>
      </c>
      <c r="D2009" s="4" t="s">
        <v>42</v>
      </c>
      <c r="E2009" s="4" t="s">
        <v>25</v>
      </c>
      <c r="F2009" s="4" t="s">
        <v>25</v>
      </c>
      <c r="G2009" s="4" t="s">
        <v>25</v>
      </c>
      <c r="H2009" s="4" t="s">
        <v>36</v>
      </c>
      <c r="I2009" s="5">
        <v>43891</v>
      </c>
      <c r="J2009" s="6">
        <v>0</v>
      </c>
      <c r="K2009" s="6">
        <v>0</v>
      </c>
      <c r="L2009" s="6">
        <v>9.5969999999999995</v>
      </c>
      <c r="M2009" s="6">
        <v>9.5969999999999995</v>
      </c>
      <c r="N2009" s="6">
        <v>9.5969999999999995</v>
      </c>
      <c r="O2009" s="6">
        <v>9.5969999999999995</v>
      </c>
      <c r="P2009" s="6">
        <v>0</v>
      </c>
      <c r="Q2009" s="4" t="s">
        <v>26</v>
      </c>
      <c r="R2009" s="4">
        <v>0</v>
      </c>
      <c r="S2009" s="4" t="s">
        <v>592</v>
      </c>
      <c r="T2009" s="4" t="s">
        <v>899</v>
      </c>
      <c r="U2009" s="4">
        <v>0</v>
      </c>
      <c r="V2009" s="4">
        <v>72</v>
      </c>
      <c r="W2009" s="4">
        <v>115</v>
      </c>
    </row>
    <row r="2010" spans="1:23" ht="11.25" customHeight="1" x14ac:dyDescent="0.25">
      <c r="A2010" s="4" t="s">
        <v>21</v>
      </c>
      <c r="B2010" s="4" t="s">
        <v>39</v>
      </c>
      <c r="C2010" s="4" t="s">
        <v>37</v>
      </c>
      <c r="D2010" s="4" t="s">
        <v>42</v>
      </c>
      <c r="E2010" s="4" t="s">
        <v>25</v>
      </c>
      <c r="F2010" s="4" t="s">
        <v>25</v>
      </c>
      <c r="G2010" s="4" t="s">
        <v>25</v>
      </c>
      <c r="H2010" s="4" t="s">
        <v>36</v>
      </c>
      <c r="I2010" s="5">
        <v>43922</v>
      </c>
      <c r="J2010" s="6">
        <v>0</v>
      </c>
      <c r="K2010" s="6">
        <v>0</v>
      </c>
      <c r="L2010" s="6">
        <v>286.34399999999999</v>
      </c>
      <c r="M2010" s="6">
        <v>286.34399999999999</v>
      </c>
      <c r="N2010" s="6">
        <v>286.34399999999999</v>
      </c>
      <c r="O2010" s="6">
        <v>286.34399999999999</v>
      </c>
      <c r="P2010" s="6">
        <v>0</v>
      </c>
      <c r="Q2010" s="4" t="s">
        <v>26</v>
      </c>
      <c r="R2010" s="4">
        <v>0</v>
      </c>
      <c r="S2010" s="4" t="s">
        <v>593</v>
      </c>
      <c r="T2010" s="4" t="s">
        <v>900</v>
      </c>
      <c r="U2010" s="4">
        <v>0</v>
      </c>
      <c r="V2010" s="4">
        <v>72</v>
      </c>
      <c r="W2010" s="4">
        <v>115</v>
      </c>
    </row>
    <row r="2011" spans="1:23" ht="11.25" customHeight="1" x14ac:dyDescent="0.25">
      <c r="A2011" s="4" t="s">
        <v>27</v>
      </c>
      <c r="B2011" s="4" t="s">
        <v>39</v>
      </c>
      <c r="C2011" s="4" t="s">
        <v>37</v>
      </c>
      <c r="D2011" s="4" t="s">
        <v>42</v>
      </c>
      <c r="E2011" s="4" t="s">
        <v>25</v>
      </c>
      <c r="F2011" s="4" t="s">
        <v>25</v>
      </c>
      <c r="G2011" s="4" t="s">
        <v>25</v>
      </c>
      <c r="H2011" s="4" t="s">
        <v>36</v>
      </c>
      <c r="I2011" s="5">
        <v>43922</v>
      </c>
      <c r="J2011" s="6">
        <v>0</v>
      </c>
      <c r="K2011" s="6">
        <v>0</v>
      </c>
      <c r="L2011" s="6">
        <v>3.1139999999999999</v>
      </c>
      <c r="M2011" s="6">
        <v>3.1139999999999999</v>
      </c>
      <c r="N2011" s="6">
        <v>3.1139999999999999</v>
      </c>
      <c r="O2011" s="6">
        <v>3.1139999999999999</v>
      </c>
      <c r="P2011" s="6">
        <v>0</v>
      </c>
      <c r="Q2011" s="4" t="s">
        <v>26</v>
      </c>
      <c r="R2011" s="4">
        <v>0</v>
      </c>
      <c r="S2011" s="4" t="s">
        <v>593</v>
      </c>
      <c r="T2011" s="4" t="s">
        <v>900</v>
      </c>
      <c r="U2011" s="4">
        <v>0</v>
      </c>
      <c r="V2011" s="4">
        <v>72</v>
      </c>
      <c r="W2011" s="4">
        <v>115</v>
      </c>
    </row>
    <row r="2012" spans="1:23" ht="11.25" customHeight="1" x14ac:dyDescent="0.25">
      <c r="A2012" s="4" t="s">
        <v>21</v>
      </c>
      <c r="B2012" s="4" t="s">
        <v>39</v>
      </c>
      <c r="C2012" s="4" t="s">
        <v>37</v>
      </c>
      <c r="D2012" s="4" t="s">
        <v>42</v>
      </c>
      <c r="E2012" s="4" t="s">
        <v>25</v>
      </c>
      <c r="F2012" s="4" t="s">
        <v>25</v>
      </c>
      <c r="G2012" s="4" t="s">
        <v>25</v>
      </c>
      <c r="H2012" s="4" t="s">
        <v>36</v>
      </c>
      <c r="I2012" s="5">
        <v>43952</v>
      </c>
      <c r="J2012" s="6">
        <v>0</v>
      </c>
      <c r="K2012" s="6">
        <v>0</v>
      </c>
      <c r="L2012" s="6">
        <v>231.03899999999999</v>
      </c>
      <c r="M2012" s="6">
        <v>231.03899999999999</v>
      </c>
      <c r="N2012" s="6">
        <v>231.03899999999999</v>
      </c>
      <c r="O2012" s="6">
        <v>231.03899999999999</v>
      </c>
      <c r="P2012" s="6">
        <v>0</v>
      </c>
      <c r="Q2012" s="4" t="s">
        <v>26</v>
      </c>
      <c r="R2012" s="4">
        <v>0</v>
      </c>
      <c r="S2012" s="4" t="s">
        <v>594</v>
      </c>
      <c r="T2012" s="4" t="s">
        <v>901</v>
      </c>
      <c r="U2012" s="4">
        <v>0</v>
      </c>
      <c r="V2012" s="4">
        <v>72</v>
      </c>
      <c r="W2012" s="4">
        <v>115</v>
      </c>
    </row>
    <row r="2013" spans="1:23" ht="11.25" customHeight="1" x14ac:dyDescent="0.25">
      <c r="A2013" s="4" t="s">
        <v>27</v>
      </c>
      <c r="B2013" s="4" t="s">
        <v>39</v>
      </c>
      <c r="C2013" s="4" t="s">
        <v>37</v>
      </c>
      <c r="D2013" s="4" t="s">
        <v>42</v>
      </c>
      <c r="E2013" s="4" t="s">
        <v>25</v>
      </c>
      <c r="F2013" s="4" t="s">
        <v>25</v>
      </c>
      <c r="G2013" s="4" t="s">
        <v>25</v>
      </c>
      <c r="H2013" s="4" t="s">
        <v>36</v>
      </c>
      <c r="I2013" s="5">
        <v>43952</v>
      </c>
      <c r="J2013" s="6">
        <v>0</v>
      </c>
      <c r="K2013" s="6">
        <v>0</v>
      </c>
      <c r="L2013" s="6">
        <v>15.269</v>
      </c>
      <c r="M2013" s="6">
        <v>15.269</v>
      </c>
      <c r="N2013" s="6">
        <v>15.269</v>
      </c>
      <c r="O2013" s="6">
        <v>15.269</v>
      </c>
      <c r="P2013" s="6">
        <v>0</v>
      </c>
      <c r="Q2013" s="4" t="s">
        <v>26</v>
      </c>
      <c r="R2013" s="4">
        <v>0</v>
      </c>
      <c r="S2013" s="4" t="s">
        <v>594</v>
      </c>
      <c r="T2013" s="4" t="s">
        <v>901</v>
      </c>
      <c r="U2013" s="4">
        <v>0</v>
      </c>
      <c r="V2013" s="4">
        <v>72</v>
      </c>
      <c r="W2013" s="4">
        <v>115</v>
      </c>
    </row>
    <row r="2014" spans="1:23" ht="11.25" customHeight="1" x14ac:dyDescent="0.25">
      <c r="A2014" s="4" t="s">
        <v>21</v>
      </c>
      <c r="B2014" s="4" t="s">
        <v>39</v>
      </c>
      <c r="C2014" s="4" t="s">
        <v>37</v>
      </c>
      <c r="D2014" s="4" t="s">
        <v>42</v>
      </c>
      <c r="E2014" s="4" t="s">
        <v>25</v>
      </c>
      <c r="F2014" s="4" t="s">
        <v>25</v>
      </c>
      <c r="G2014" s="4" t="s">
        <v>25</v>
      </c>
      <c r="H2014" s="4" t="s">
        <v>36</v>
      </c>
      <c r="I2014" s="5">
        <v>43983</v>
      </c>
      <c r="J2014" s="6">
        <v>0</v>
      </c>
      <c r="K2014" s="6">
        <v>0</v>
      </c>
      <c r="L2014" s="6">
        <v>219.911</v>
      </c>
      <c r="M2014" s="6">
        <v>219.911</v>
      </c>
      <c r="N2014" s="6">
        <v>219.911</v>
      </c>
      <c r="O2014" s="6">
        <v>219.911</v>
      </c>
      <c r="P2014" s="6">
        <v>0</v>
      </c>
      <c r="Q2014" s="4" t="s">
        <v>26</v>
      </c>
      <c r="R2014" s="4">
        <v>0</v>
      </c>
      <c r="S2014" s="4" t="s">
        <v>595</v>
      </c>
      <c r="T2014" s="4" t="s">
        <v>902</v>
      </c>
      <c r="U2014" s="4">
        <v>0</v>
      </c>
      <c r="V2014" s="4">
        <v>72</v>
      </c>
      <c r="W2014" s="4">
        <v>115</v>
      </c>
    </row>
    <row r="2015" spans="1:23" ht="11.25" customHeight="1" x14ac:dyDescent="0.25">
      <c r="A2015" s="4" t="s">
        <v>27</v>
      </c>
      <c r="B2015" s="4" t="s">
        <v>39</v>
      </c>
      <c r="C2015" s="4" t="s">
        <v>37</v>
      </c>
      <c r="D2015" s="4" t="s">
        <v>42</v>
      </c>
      <c r="E2015" s="4" t="s">
        <v>25</v>
      </c>
      <c r="F2015" s="4" t="s">
        <v>25</v>
      </c>
      <c r="G2015" s="4" t="s">
        <v>25</v>
      </c>
      <c r="H2015" s="4" t="s">
        <v>36</v>
      </c>
      <c r="I2015" s="5">
        <v>43983</v>
      </c>
      <c r="J2015" s="6">
        <v>0</v>
      </c>
      <c r="K2015" s="6">
        <v>0</v>
      </c>
      <c r="L2015" s="6">
        <v>8.19</v>
      </c>
      <c r="M2015" s="6">
        <v>8.19</v>
      </c>
      <c r="N2015" s="6">
        <v>8.19</v>
      </c>
      <c r="O2015" s="6">
        <v>8.19</v>
      </c>
      <c r="P2015" s="6">
        <v>0</v>
      </c>
      <c r="Q2015" s="4" t="s">
        <v>26</v>
      </c>
      <c r="R2015" s="4">
        <v>0</v>
      </c>
      <c r="S2015" s="4" t="s">
        <v>595</v>
      </c>
      <c r="T2015" s="4" t="s">
        <v>902</v>
      </c>
      <c r="U2015" s="4">
        <v>0</v>
      </c>
      <c r="V2015" s="4">
        <v>72</v>
      </c>
      <c r="W2015" s="4">
        <v>115</v>
      </c>
    </row>
    <row r="2016" spans="1:23" ht="11.25" customHeight="1" x14ac:dyDescent="0.25">
      <c r="A2016" s="4" t="s">
        <v>21</v>
      </c>
      <c r="B2016" s="4" t="s">
        <v>39</v>
      </c>
      <c r="C2016" s="4" t="s">
        <v>37</v>
      </c>
      <c r="D2016" s="4" t="s">
        <v>42</v>
      </c>
      <c r="E2016" s="4" t="s">
        <v>25</v>
      </c>
      <c r="F2016" s="4" t="s">
        <v>25</v>
      </c>
      <c r="G2016" s="4" t="s">
        <v>25</v>
      </c>
      <c r="H2016" s="4" t="s">
        <v>36</v>
      </c>
      <c r="I2016" s="5">
        <v>44013</v>
      </c>
      <c r="J2016" s="6">
        <v>0</v>
      </c>
      <c r="K2016" s="6">
        <v>0</v>
      </c>
      <c r="L2016" s="6">
        <v>244.19200000000001</v>
      </c>
      <c r="M2016" s="6">
        <v>244.19200000000001</v>
      </c>
      <c r="N2016" s="6">
        <v>244.19200000000001</v>
      </c>
      <c r="O2016" s="6">
        <v>244.19200000000001</v>
      </c>
      <c r="P2016" s="6">
        <v>0</v>
      </c>
      <c r="Q2016" s="4" t="s">
        <v>26</v>
      </c>
      <c r="R2016" s="4">
        <v>0</v>
      </c>
      <c r="S2016" s="4" t="s">
        <v>596</v>
      </c>
      <c r="T2016" s="4" t="s">
        <v>903</v>
      </c>
      <c r="U2016" s="4">
        <v>0</v>
      </c>
      <c r="V2016" s="4">
        <v>72</v>
      </c>
      <c r="W2016" s="4">
        <v>115</v>
      </c>
    </row>
    <row r="2017" spans="1:23" ht="11.25" customHeight="1" x14ac:dyDescent="0.25">
      <c r="A2017" s="4" t="s">
        <v>27</v>
      </c>
      <c r="B2017" s="4" t="s">
        <v>39</v>
      </c>
      <c r="C2017" s="4" t="s">
        <v>37</v>
      </c>
      <c r="D2017" s="4" t="s">
        <v>42</v>
      </c>
      <c r="E2017" s="4" t="s">
        <v>25</v>
      </c>
      <c r="F2017" s="4" t="s">
        <v>25</v>
      </c>
      <c r="G2017" s="4" t="s">
        <v>25</v>
      </c>
      <c r="H2017" s="4" t="s">
        <v>36</v>
      </c>
      <c r="I2017" s="5">
        <v>44013</v>
      </c>
      <c r="J2017" s="6">
        <v>0</v>
      </c>
      <c r="K2017" s="6">
        <v>0</v>
      </c>
      <c r="L2017" s="6">
        <v>0.77200000000000002</v>
      </c>
      <c r="M2017" s="6">
        <v>0.77200000000000002</v>
      </c>
      <c r="N2017" s="6">
        <v>0.77200000000000002</v>
      </c>
      <c r="O2017" s="6">
        <v>0.77200000000000002</v>
      </c>
      <c r="P2017" s="6">
        <v>0</v>
      </c>
      <c r="Q2017" s="4" t="s">
        <v>26</v>
      </c>
      <c r="R2017" s="4">
        <v>0</v>
      </c>
      <c r="S2017" s="4" t="s">
        <v>596</v>
      </c>
      <c r="T2017" s="4" t="s">
        <v>903</v>
      </c>
      <c r="U2017" s="4">
        <v>0</v>
      </c>
      <c r="V2017" s="4">
        <v>72</v>
      </c>
      <c r="W2017" s="4">
        <v>115</v>
      </c>
    </row>
    <row r="2018" spans="1:23" ht="11.25" customHeight="1" x14ac:dyDescent="0.25">
      <c r="A2018" s="4" t="s">
        <v>21</v>
      </c>
      <c r="B2018" s="4" t="s">
        <v>39</v>
      </c>
      <c r="C2018" s="4" t="s">
        <v>37</v>
      </c>
      <c r="D2018" s="4" t="s">
        <v>42</v>
      </c>
      <c r="E2018" s="4" t="s">
        <v>25</v>
      </c>
      <c r="F2018" s="4" t="s">
        <v>25</v>
      </c>
      <c r="G2018" s="4" t="s">
        <v>25</v>
      </c>
      <c r="H2018" s="4" t="s">
        <v>36</v>
      </c>
      <c r="I2018" s="5">
        <v>44044</v>
      </c>
      <c r="J2018" s="6">
        <v>0</v>
      </c>
      <c r="K2018" s="6">
        <v>0</v>
      </c>
      <c r="L2018" s="6">
        <v>252.02600000000001</v>
      </c>
      <c r="M2018" s="6">
        <v>252.02600000000001</v>
      </c>
      <c r="N2018" s="6">
        <v>252.02600000000001</v>
      </c>
      <c r="O2018" s="6">
        <v>252.02600000000001</v>
      </c>
      <c r="P2018" s="6">
        <v>0</v>
      </c>
      <c r="Q2018" s="4" t="s">
        <v>26</v>
      </c>
      <c r="R2018" s="4">
        <v>0</v>
      </c>
      <c r="S2018" s="4" t="s">
        <v>597</v>
      </c>
      <c r="T2018" s="4" t="s">
        <v>904</v>
      </c>
      <c r="U2018" s="4">
        <v>0</v>
      </c>
      <c r="V2018" s="4">
        <v>72</v>
      </c>
      <c r="W2018" s="4">
        <v>115</v>
      </c>
    </row>
    <row r="2019" spans="1:23" ht="11.25" customHeight="1" x14ac:dyDescent="0.25">
      <c r="A2019" s="4" t="s">
        <v>27</v>
      </c>
      <c r="B2019" s="4" t="s">
        <v>39</v>
      </c>
      <c r="C2019" s="4" t="s">
        <v>37</v>
      </c>
      <c r="D2019" s="4" t="s">
        <v>42</v>
      </c>
      <c r="E2019" s="4" t="s">
        <v>25</v>
      </c>
      <c r="F2019" s="4" t="s">
        <v>25</v>
      </c>
      <c r="G2019" s="4" t="s">
        <v>25</v>
      </c>
      <c r="H2019" s="4" t="s">
        <v>36</v>
      </c>
      <c r="I2019" s="5">
        <v>44044</v>
      </c>
      <c r="J2019" s="6">
        <v>0</v>
      </c>
      <c r="K2019" s="6">
        <v>0</v>
      </c>
      <c r="L2019" s="6">
        <v>17.361000000000001</v>
      </c>
      <c r="M2019" s="6">
        <v>17.361000000000001</v>
      </c>
      <c r="N2019" s="6">
        <v>17.361000000000001</v>
      </c>
      <c r="O2019" s="6">
        <v>17.361000000000001</v>
      </c>
      <c r="P2019" s="6">
        <v>0</v>
      </c>
      <c r="Q2019" s="4" t="s">
        <v>26</v>
      </c>
      <c r="R2019" s="4">
        <v>0</v>
      </c>
      <c r="S2019" s="4" t="s">
        <v>597</v>
      </c>
      <c r="T2019" s="4" t="s">
        <v>904</v>
      </c>
      <c r="U2019" s="4">
        <v>0</v>
      </c>
      <c r="V2019" s="4">
        <v>72</v>
      </c>
      <c r="W2019" s="4">
        <v>115</v>
      </c>
    </row>
    <row r="2020" spans="1:23" ht="11.25" customHeight="1" x14ac:dyDescent="0.25">
      <c r="A2020" s="4" t="s">
        <v>59</v>
      </c>
      <c r="B2020" s="4" t="s">
        <v>39</v>
      </c>
      <c r="C2020" s="4" t="s">
        <v>37</v>
      </c>
      <c r="D2020" s="4" t="s">
        <v>42</v>
      </c>
      <c r="E2020" s="4" t="s">
        <v>25</v>
      </c>
      <c r="F2020" s="4" t="s">
        <v>25</v>
      </c>
      <c r="G2020" s="4" t="s">
        <v>25</v>
      </c>
      <c r="H2020" s="4" t="s">
        <v>36</v>
      </c>
      <c r="I2020" s="5">
        <v>44075</v>
      </c>
      <c r="J2020" s="6">
        <v>0</v>
      </c>
      <c r="K2020" s="6">
        <v>0</v>
      </c>
      <c r="L2020" s="6">
        <v>252.02600000000001</v>
      </c>
      <c r="M2020" s="6">
        <v>252.02600000000001</v>
      </c>
      <c r="N2020" s="6">
        <v>252.02600000000001</v>
      </c>
      <c r="O2020" s="6">
        <v>252.02600000000001</v>
      </c>
      <c r="P2020" s="6">
        <v>0</v>
      </c>
      <c r="Q2020" s="4" t="s">
        <v>26</v>
      </c>
      <c r="R2020" s="4">
        <v>0</v>
      </c>
      <c r="S2020" s="4" t="s">
        <v>598</v>
      </c>
      <c r="T2020" s="4" t="s">
        <v>905</v>
      </c>
      <c r="U2020" s="4">
        <v>0</v>
      </c>
      <c r="V2020" s="4">
        <v>72</v>
      </c>
      <c r="W2020" s="4">
        <v>115</v>
      </c>
    </row>
    <row r="2021" spans="1:23" ht="11.25" customHeight="1" x14ac:dyDescent="0.25">
      <c r="A2021" s="4" t="s">
        <v>59</v>
      </c>
      <c r="B2021" s="4" t="s">
        <v>39</v>
      </c>
      <c r="C2021" s="4" t="s">
        <v>37</v>
      </c>
      <c r="D2021" s="4" t="s">
        <v>42</v>
      </c>
      <c r="E2021" s="4" t="s">
        <v>25</v>
      </c>
      <c r="F2021" s="4" t="s">
        <v>25</v>
      </c>
      <c r="G2021" s="4" t="s">
        <v>25</v>
      </c>
      <c r="H2021" s="4" t="s">
        <v>36</v>
      </c>
      <c r="I2021" s="5">
        <v>44075</v>
      </c>
      <c r="J2021" s="6">
        <v>0</v>
      </c>
      <c r="K2021" s="6">
        <v>0</v>
      </c>
      <c r="L2021" s="6">
        <v>17.361000000000001</v>
      </c>
      <c r="M2021" s="6">
        <v>17.361000000000001</v>
      </c>
      <c r="N2021" s="6">
        <v>17.361000000000001</v>
      </c>
      <c r="O2021" s="6">
        <v>17.361000000000001</v>
      </c>
      <c r="P2021" s="6">
        <v>0</v>
      </c>
      <c r="Q2021" s="4" t="s">
        <v>26</v>
      </c>
      <c r="R2021" s="4">
        <v>0</v>
      </c>
      <c r="S2021" s="4" t="s">
        <v>598</v>
      </c>
      <c r="T2021" s="4" t="s">
        <v>905</v>
      </c>
      <c r="U2021" s="4">
        <v>0</v>
      </c>
      <c r="V2021" s="4">
        <v>72</v>
      </c>
      <c r="W2021" s="4">
        <v>115</v>
      </c>
    </row>
    <row r="2022" spans="1:23" ht="11.25" customHeight="1" x14ac:dyDescent="0.25">
      <c r="A2022" s="4" t="s">
        <v>21</v>
      </c>
      <c r="B2022" s="4" t="s">
        <v>39</v>
      </c>
      <c r="C2022" s="4" t="s">
        <v>37</v>
      </c>
      <c r="D2022" s="4" t="s">
        <v>42</v>
      </c>
      <c r="E2022" s="4" t="s">
        <v>25</v>
      </c>
      <c r="F2022" s="4" t="s">
        <v>25</v>
      </c>
      <c r="G2022" s="4" t="s">
        <v>25</v>
      </c>
      <c r="H2022" s="4" t="s">
        <v>38</v>
      </c>
      <c r="I2022" s="5">
        <v>43739</v>
      </c>
      <c r="J2022" s="6">
        <v>0</v>
      </c>
      <c r="K2022" s="6">
        <v>0</v>
      </c>
      <c r="L2022" s="6">
        <v>23.257999999999999</v>
      </c>
      <c r="M2022" s="6">
        <v>23.257999999999999</v>
      </c>
      <c r="N2022" s="6">
        <v>23.257999999999999</v>
      </c>
      <c r="O2022" s="6">
        <v>23.257999999999999</v>
      </c>
      <c r="P2022" s="6">
        <v>0</v>
      </c>
      <c r="Q2022" s="4" t="s">
        <v>26</v>
      </c>
      <c r="R2022" s="4">
        <v>0</v>
      </c>
      <c r="S2022" s="4" t="s">
        <v>599</v>
      </c>
      <c r="T2022" s="4" t="s">
        <v>906</v>
      </c>
      <c r="U2022" s="4">
        <v>0</v>
      </c>
      <c r="V2022" s="4">
        <v>71</v>
      </c>
      <c r="W2022" s="4">
        <v>114</v>
      </c>
    </row>
    <row r="2023" spans="1:23" ht="11.25" customHeight="1" x14ac:dyDescent="0.25">
      <c r="A2023" s="4" t="s">
        <v>27</v>
      </c>
      <c r="B2023" s="4" t="s">
        <v>39</v>
      </c>
      <c r="C2023" s="4" t="s">
        <v>37</v>
      </c>
      <c r="D2023" s="4" t="s">
        <v>42</v>
      </c>
      <c r="E2023" s="4" t="s">
        <v>25</v>
      </c>
      <c r="F2023" s="4" t="s">
        <v>25</v>
      </c>
      <c r="G2023" s="4" t="s">
        <v>25</v>
      </c>
      <c r="H2023" s="4" t="s">
        <v>38</v>
      </c>
      <c r="I2023" s="5">
        <v>43739</v>
      </c>
      <c r="J2023" s="6">
        <v>0</v>
      </c>
      <c r="K2023" s="6">
        <v>0</v>
      </c>
      <c r="L2023" s="6">
        <v>0.223</v>
      </c>
      <c r="M2023" s="6">
        <v>0.223</v>
      </c>
      <c r="N2023" s="6">
        <v>0.223</v>
      </c>
      <c r="O2023" s="6">
        <v>0.223</v>
      </c>
      <c r="P2023" s="6">
        <v>0</v>
      </c>
      <c r="Q2023" s="4" t="s">
        <v>26</v>
      </c>
      <c r="R2023" s="4">
        <v>0</v>
      </c>
      <c r="S2023" s="4" t="s">
        <v>599</v>
      </c>
      <c r="T2023" s="4" t="s">
        <v>906</v>
      </c>
      <c r="U2023" s="4">
        <v>0</v>
      </c>
      <c r="V2023" s="4">
        <v>71</v>
      </c>
      <c r="W2023" s="4">
        <v>114</v>
      </c>
    </row>
    <row r="2024" spans="1:23" ht="11.25" customHeight="1" x14ac:dyDescent="0.25">
      <c r="A2024" s="4" t="s">
        <v>28</v>
      </c>
      <c r="B2024" s="4" t="s">
        <v>39</v>
      </c>
      <c r="C2024" s="4" t="s">
        <v>37</v>
      </c>
      <c r="D2024" s="4" t="s">
        <v>42</v>
      </c>
      <c r="E2024" s="4" t="s">
        <v>25</v>
      </c>
      <c r="F2024" s="4" t="s">
        <v>25</v>
      </c>
      <c r="G2024" s="4" t="s">
        <v>25</v>
      </c>
      <c r="H2024" s="4" t="s">
        <v>38</v>
      </c>
      <c r="I2024" s="5">
        <v>43739</v>
      </c>
      <c r="J2024" s="6">
        <v>0</v>
      </c>
      <c r="K2024" s="6">
        <v>0</v>
      </c>
      <c r="L2024" s="6">
        <v>1.6</v>
      </c>
      <c r="M2024" s="6">
        <v>1.6</v>
      </c>
      <c r="N2024" s="6">
        <v>1.6</v>
      </c>
      <c r="O2024" s="6">
        <v>1.6</v>
      </c>
      <c r="P2024" s="6">
        <v>0</v>
      </c>
      <c r="Q2024" s="4" t="s">
        <v>26</v>
      </c>
      <c r="R2024" s="4">
        <v>0</v>
      </c>
      <c r="S2024" s="4" t="s">
        <v>599</v>
      </c>
      <c r="T2024" s="4" t="s">
        <v>906</v>
      </c>
      <c r="U2024" s="4">
        <v>0</v>
      </c>
      <c r="V2024" s="4">
        <v>71</v>
      </c>
      <c r="W2024" s="4">
        <v>114</v>
      </c>
    </row>
    <row r="2025" spans="1:23" ht="11.25" customHeight="1" x14ac:dyDescent="0.25">
      <c r="A2025" s="4" t="s">
        <v>21</v>
      </c>
      <c r="B2025" s="4" t="s">
        <v>39</v>
      </c>
      <c r="C2025" s="4" t="s">
        <v>37</v>
      </c>
      <c r="D2025" s="4" t="s">
        <v>42</v>
      </c>
      <c r="E2025" s="4" t="s">
        <v>25</v>
      </c>
      <c r="F2025" s="4" t="s">
        <v>25</v>
      </c>
      <c r="G2025" s="4" t="s">
        <v>25</v>
      </c>
      <c r="H2025" s="4" t="s">
        <v>38</v>
      </c>
      <c r="I2025" s="5">
        <v>43770</v>
      </c>
      <c r="J2025" s="6">
        <v>0</v>
      </c>
      <c r="K2025" s="6">
        <v>0</v>
      </c>
      <c r="L2025" s="6">
        <v>1025.3979999999999</v>
      </c>
      <c r="M2025" s="6">
        <v>1025.3979999999999</v>
      </c>
      <c r="N2025" s="6">
        <v>1025.3979999999999</v>
      </c>
      <c r="O2025" s="6">
        <v>1025.3979999999999</v>
      </c>
      <c r="P2025" s="6">
        <v>0</v>
      </c>
      <c r="Q2025" s="4" t="s">
        <v>26</v>
      </c>
      <c r="R2025" s="4">
        <v>0</v>
      </c>
      <c r="S2025" s="4" t="s">
        <v>600</v>
      </c>
      <c r="T2025" s="4" t="s">
        <v>907</v>
      </c>
      <c r="U2025" s="4">
        <v>0</v>
      </c>
      <c r="V2025" s="4">
        <v>71</v>
      </c>
      <c r="W2025" s="4">
        <v>114</v>
      </c>
    </row>
    <row r="2026" spans="1:23" ht="11.25" customHeight="1" x14ac:dyDescent="0.25">
      <c r="A2026" s="4" t="s">
        <v>27</v>
      </c>
      <c r="B2026" s="4" t="s">
        <v>39</v>
      </c>
      <c r="C2026" s="4" t="s">
        <v>37</v>
      </c>
      <c r="D2026" s="4" t="s">
        <v>42</v>
      </c>
      <c r="E2026" s="4" t="s">
        <v>25</v>
      </c>
      <c r="F2026" s="4" t="s">
        <v>25</v>
      </c>
      <c r="G2026" s="4" t="s">
        <v>25</v>
      </c>
      <c r="H2026" s="4" t="s">
        <v>38</v>
      </c>
      <c r="I2026" s="5">
        <v>43770</v>
      </c>
      <c r="J2026" s="6">
        <v>0</v>
      </c>
      <c r="K2026" s="6">
        <v>0</v>
      </c>
      <c r="L2026" s="6">
        <v>0.27800000000000002</v>
      </c>
      <c r="M2026" s="6">
        <v>0.27800000000000002</v>
      </c>
      <c r="N2026" s="6">
        <v>0.27800000000000002</v>
      </c>
      <c r="O2026" s="6">
        <v>0.27800000000000002</v>
      </c>
      <c r="P2026" s="6">
        <v>0</v>
      </c>
      <c r="Q2026" s="4" t="s">
        <v>26</v>
      </c>
      <c r="R2026" s="4">
        <v>0</v>
      </c>
      <c r="S2026" s="4" t="s">
        <v>600</v>
      </c>
      <c r="T2026" s="4" t="s">
        <v>907</v>
      </c>
      <c r="U2026" s="4">
        <v>0</v>
      </c>
      <c r="V2026" s="4">
        <v>71</v>
      </c>
      <c r="W2026" s="4">
        <v>114</v>
      </c>
    </row>
    <row r="2027" spans="1:23" ht="11.25" customHeight="1" x14ac:dyDescent="0.25">
      <c r="A2027" s="4" t="s">
        <v>28</v>
      </c>
      <c r="B2027" s="4" t="s">
        <v>39</v>
      </c>
      <c r="C2027" s="4" t="s">
        <v>37</v>
      </c>
      <c r="D2027" s="4" t="s">
        <v>42</v>
      </c>
      <c r="E2027" s="4" t="s">
        <v>25</v>
      </c>
      <c r="F2027" s="4" t="s">
        <v>25</v>
      </c>
      <c r="G2027" s="4" t="s">
        <v>25</v>
      </c>
      <c r="H2027" s="4" t="s">
        <v>38</v>
      </c>
      <c r="I2027" s="5">
        <v>43770</v>
      </c>
      <c r="J2027" s="6">
        <v>0</v>
      </c>
      <c r="K2027" s="6">
        <v>0</v>
      </c>
      <c r="L2027" s="6">
        <v>3.52</v>
      </c>
      <c r="M2027" s="6">
        <v>3.52</v>
      </c>
      <c r="N2027" s="6">
        <v>3.52</v>
      </c>
      <c r="O2027" s="6">
        <v>3.52</v>
      </c>
      <c r="P2027" s="6">
        <v>0</v>
      </c>
      <c r="Q2027" s="4" t="s">
        <v>26</v>
      </c>
      <c r="R2027" s="4">
        <v>0</v>
      </c>
      <c r="S2027" s="4" t="s">
        <v>600</v>
      </c>
      <c r="T2027" s="4" t="s">
        <v>907</v>
      </c>
      <c r="U2027" s="4">
        <v>0</v>
      </c>
      <c r="V2027" s="4">
        <v>71</v>
      </c>
      <c r="W2027" s="4">
        <v>114</v>
      </c>
    </row>
    <row r="2028" spans="1:23" ht="11.25" customHeight="1" x14ac:dyDescent="0.25">
      <c r="A2028" s="4" t="s">
        <v>27</v>
      </c>
      <c r="B2028" s="4" t="s">
        <v>39</v>
      </c>
      <c r="C2028" s="4" t="s">
        <v>37</v>
      </c>
      <c r="D2028" s="4" t="s">
        <v>42</v>
      </c>
      <c r="E2028" s="4" t="s">
        <v>25</v>
      </c>
      <c r="F2028" s="4" t="s">
        <v>25</v>
      </c>
      <c r="G2028" s="4" t="s">
        <v>25</v>
      </c>
      <c r="H2028" s="4" t="s">
        <v>38</v>
      </c>
      <c r="I2028" s="5">
        <v>43800</v>
      </c>
      <c r="J2028" s="6">
        <v>0</v>
      </c>
      <c r="K2028" s="6">
        <v>0</v>
      </c>
      <c r="L2028" s="6">
        <v>-973.471</v>
      </c>
      <c r="M2028" s="6">
        <v>-973.471</v>
      </c>
      <c r="N2028" s="6">
        <v>-973.471</v>
      </c>
      <c r="O2028" s="6">
        <v>-973.471</v>
      </c>
      <c r="P2028" s="6">
        <v>0</v>
      </c>
      <c r="Q2028" s="4" t="s">
        <v>26</v>
      </c>
      <c r="R2028" s="4">
        <v>0</v>
      </c>
      <c r="S2028" s="4" t="s">
        <v>601</v>
      </c>
      <c r="T2028" s="4" t="s">
        <v>908</v>
      </c>
      <c r="U2028" s="4">
        <v>0</v>
      </c>
      <c r="V2028" s="4">
        <v>71</v>
      </c>
      <c r="W2028" s="4">
        <v>114</v>
      </c>
    </row>
    <row r="2029" spans="1:23" ht="11.25" customHeight="1" x14ac:dyDescent="0.25">
      <c r="A2029" s="4" t="s">
        <v>28</v>
      </c>
      <c r="B2029" s="4" t="s">
        <v>39</v>
      </c>
      <c r="C2029" s="4" t="s">
        <v>37</v>
      </c>
      <c r="D2029" s="4" t="s">
        <v>42</v>
      </c>
      <c r="E2029" s="4" t="s">
        <v>25</v>
      </c>
      <c r="F2029" s="4" t="s">
        <v>25</v>
      </c>
      <c r="G2029" s="4" t="s">
        <v>25</v>
      </c>
      <c r="H2029" s="4" t="s">
        <v>38</v>
      </c>
      <c r="I2029" s="5">
        <v>43800</v>
      </c>
      <c r="J2029" s="6">
        <v>0</v>
      </c>
      <c r="K2029" s="6">
        <v>0</v>
      </c>
      <c r="L2029" s="6">
        <v>1.28</v>
      </c>
      <c r="M2029" s="6">
        <v>1.28</v>
      </c>
      <c r="N2029" s="6">
        <v>1.28</v>
      </c>
      <c r="O2029" s="6">
        <v>1.28</v>
      </c>
      <c r="P2029" s="6">
        <v>0</v>
      </c>
      <c r="Q2029" s="4" t="s">
        <v>26</v>
      </c>
      <c r="R2029" s="4">
        <v>0</v>
      </c>
      <c r="S2029" s="4" t="s">
        <v>601</v>
      </c>
      <c r="T2029" s="4" t="s">
        <v>908</v>
      </c>
      <c r="U2029" s="4">
        <v>0</v>
      </c>
      <c r="V2029" s="4">
        <v>71</v>
      </c>
      <c r="W2029" s="4">
        <v>114</v>
      </c>
    </row>
    <row r="2030" spans="1:23" ht="11.25" customHeight="1" x14ac:dyDescent="0.25">
      <c r="A2030" s="4" t="s">
        <v>21</v>
      </c>
      <c r="B2030" s="4" t="s">
        <v>39</v>
      </c>
      <c r="C2030" s="4" t="s">
        <v>37</v>
      </c>
      <c r="D2030" s="4" t="s">
        <v>42</v>
      </c>
      <c r="E2030" s="4" t="s">
        <v>25</v>
      </c>
      <c r="F2030" s="4" t="s">
        <v>25</v>
      </c>
      <c r="G2030" s="4" t="s">
        <v>25</v>
      </c>
      <c r="H2030" s="4" t="s">
        <v>38</v>
      </c>
      <c r="I2030" s="5">
        <v>43831</v>
      </c>
      <c r="J2030" s="6">
        <v>0</v>
      </c>
      <c r="K2030" s="6">
        <v>0</v>
      </c>
      <c r="L2030" s="6">
        <v>16.927</v>
      </c>
      <c r="M2030" s="6">
        <v>16.927</v>
      </c>
      <c r="N2030" s="6">
        <v>16.927</v>
      </c>
      <c r="O2030" s="6">
        <v>16.927</v>
      </c>
      <c r="P2030" s="6">
        <v>0</v>
      </c>
      <c r="Q2030" s="4" t="s">
        <v>26</v>
      </c>
      <c r="R2030" s="4">
        <v>0</v>
      </c>
      <c r="S2030" s="4" t="s">
        <v>602</v>
      </c>
      <c r="T2030" s="4" t="s">
        <v>909</v>
      </c>
      <c r="U2030" s="4">
        <v>0</v>
      </c>
      <c r="V2030" s="4">
        <v>71</v>
      </c>
      <c r="W2030" s="4">
        <v>114</v>
      </c>
    </row>
    <row r="2031" spans="1:23" ht="11.25" customHeight="1" x14ac:dyDescent="0.25">
      <c r="A2031" s="4" t="s">
        <v>27</v>
      </c>
      <c r="B2031" s="4" t="s">
        <v>39</v>
      </c>
      <c r="C2031" s="4" t="s">
        <v>37</v>
      </c>
      <c r="D2031" s="4" t="s">
        <v>42</v>
      </c>
      <c r="E2031" s="4" t="s">
        <v>25</v>
      </c>
      <c r="F2031" s="4" t="s">
        <v>25</v>
      </c>
      <c r="G2031" s="4" t="s">
        <v>25</v>
      </c>
      <c r="H2031" s="4" t="s">
        <v>38</v>
      </c>
      <c r="I2031" s="5">
        <v>43831</v>
      </c>
      <c r="J2031" s="6">
        <v>0</v>
      </c>
      <c r="K2031" s="6">
        <v>0</v>
      </c>
      <c r="L2031" s="6">
        <v>0.30499999999999999</v>
      </c>
      <c r="M2031" s="6">
        <v>0.30499999999999999</v>
      </c>
      <c r="N2031" s="6">
        <v>0.30499999999999999</v>
      </c>
      <c r="O2031" s="6">
        <v>0.30499999999999999</v>
      </c>
      <c r="P2031" s="6">
        <v>0</v>
      </c>
      <c r="Q2031" s="4" t="s">
        <v>26</v>
      </c>
      <c r="R2031" s="4">
        <v>0</v>
      </c>
      <c r="S2031" s="4" t="s">
        <v>602</v>
      </c>
      <c r="T2031" s="4" t="s">
        <v>909</v>
      </c>
      <c r="U2031" s="4">
        <v>0</v>
      </c>
      <c r="V2031" s="4">
        <v>71</v>
      </c>
      <c r="W2031" s="4">
        <v>114</v>
      </c>
    </row>
    <row r="2032" spans="1:23" ht="11.25" customHeight="1" x14ac:dyDescent="0.25">
      <c r="A2032" s="4" t="s">
        <v>21</v>
      </c>
      <c r="B2032" s="4" t="s">
        <v>39</v>
      </c>
      <c r="C2032" s="4" t="s">
        <v>37</v>
      </c>
      <c r="D2032" s="4" t="s">
        <v>42</v>
      </c>
      <c r="E2032" s="4" t="s">
        <v>25</v>
      </c>
      <c r="F2032" s="4" t="s">
        <v>25</v>
      </c>
      <c r="G2032" s="4" t="s">
        <v>25</v>
      </c>
      <c r="H2032" s="4" t="s">
        <v>38</v>
      </c>
      <c r="I2032" s="5">
        <v>43862</v>
      </c>
      <c r="J2032" s="6">
        <v>0</v>
      </c>
      <c r="K2032" s="6">
        <v>0</v>
      </c>
      <c r="L2032" s="6">
        <v>22.152999999999999</v>
      </c>
      <c r="M2032" s="6">
        <v>22.152999999999999</v>
      </c>
      <c r="N2032" s="6">
        <v>22.152999999999999</v>
      </c>
      <c r="O2032" s="6">
        <v>22.152999999999999</v>
      </c>
      <c r="P2032" s="6">
        <v>0</v>
      </c>
      <c r="Q2032" s="4" t="s">
        <v>26</v>
      </c>
      <c r="R2032" s="4">
        <v>0</v>
      </c>
      <c r="S2032" s="4" t="s">
        <v>603</v>
      </c>
      <c r="T2032" s="4" t="s">
        <v>910</v>
      </c>
      <c r="U2032" s="4">
        <v>0</v>
      </c>
      <c r="V2032" s="4">
        <v>71</v>
      </c>
      <c r="W2032" s="4">
        <v>114</v>
      </c>
    </row>
    <row r="2033" spans="1:23" ht="11.25" customHeight="1" x14ac:dyDescent="0.25">
      <c r="A2033" s="4" t="s">
        <v>27</v>
      </c>
      <c r="B2033" s="4" t="s">
        <v>39</v>
      </c>
      <c r="C2033" s="4" t="s">
        <v>37</v>
      </c>
      <c r="D2033" s="4" t="s">
        <v>42</v>
      </c>
      <c r="E2033" s="4" t="s">
        <v>25</v>
      </c>
      <c r="F2033" s="4" t="s">
        <v>25</v>
      </c>
      <c r="G2033" s="4" t="s">
        <v>25</v>
      </c>
      <c r="H2033" s="4" t="s">
        <v>38</v>
      </c>
      <c r="I2033" s="5">
        <v>43862</v>
      </c>
      <c r="J2033" s="6">
        <v>0</v>
      </c>
      <c r="K2033" s="6">
        <v>0</v>
      </c>
      <c r="L2033" s="6">
        <v>0.94499999999999995</v>
      </c>
      <c r="M2033" s="6">
        <v>0.94499999999999995</v>
      </c>
      <c r="N2033" s="6">
        <v>0.94499999999999995</v>
      </c>
      <c r="O2033" s="6">
        <v>0.94499999999999995</v>
      </c>
      <c r="P2033" s="6">
        <v>0</v>
      </c>
      <c r="Q2033" s="4" t="s">
        <v>26</v>
      </c>
      <c r="R2033" s="4">
        <v>0</v>
      </c>
      <c r="S2033" s="4" t="s">
        <v>603</v>
      </c>
      <c r="T2033" s="4" t="s">
        <v>910</v>
      </c>
      <c r="U2033" s="4">
        <v>0</v>
      </c>
      <c r="V2033" s="4">
        <v>71</v>
      </c>
      <c r="W2033" s="4">
        <v>114</v>
      </c>
    </row>
    <row r="2034" spans="1:23" ht="11.25" customHeight="1" x14ac:dyDescent="0.25">
      <c r="A2034" s="4" t="s">
        <v>21</v>
      </c>
      <c r="B2034" s="4" t="s">
        <v>39</v>
      </c>
      <c r="C2034" s="4" t="s">
        <v>37</v>
      </c>
      <c r="D2034" s="4" t="s">
        <v>42</v>
      </c>
      <c r="E2034" s="4" t="s">
        <v>25</v>
      </c>
      <c r="F2034" s="4" t="s">
        <v>25</v>
      </c>
      <c r="G2034" s="4" t="s">
        <v>25</v>
      </c>
      <c r="H2034" s="4" t="s">
        <v>38</v>
      </c>
      <c r="I2034" s="5">
        <v>43891</v>
      </c>
      <c r="J2034" s="6">
        <v>0</v>
      </c>
      <c r="K2034" s="6">
        <v>0</v>
      </c>
      <c r="L2034" s="6">
        <v>19.853000000000002</v>
      </c>
      <c r="M2034" s="6">
        <v>19.853000000000002</v>
      </c>
      <c r="N2034" s="6">
        <v>19.853000000000002</v>
      </c>
      <c r="O2034" s="6">
        <v>19.853000000000002</v>
      </c>
      <c r="P2034" s="6">
        <v>0</v>
      </c>
      <c r="Q2034" s="4" t="s">
        <v>26</v>
      </c>
      <c r="R2034" s="4">
        <v>0</v>
      </c>
      <c r="S2034" s="4" t="s">
        <v>604</v>
      </c>
      <c r="T2034" s="4" t="s">
        <v>911</v>
      </c>
      <c r="U2034" s="4">
        <v>0</v>
      </c>
      <c r="V2034" s="4">
        <v>71</v>
      </c>
      <c r="W2034" s="4">
        <v>114</v>
      </c>
    </row>
    <row r="2035" spans="1:23" ht="11.25" customHeight="1" x14ac:dyDescent="0.25">
      <c r="A2035" s="4" t="s">
        <v>27</v>
      </c>
      <c r="B2035" s="4" t="s">
        <v>39</v>
      </c>
      <c r="C2035" s="4" t="s">
        <v>37</v>
      </c>
      <c r="D2035" s="4" t="s">
        <v>42</v>
      </c>
      <c r="E2035" s="4" t="s">
        <v>25</v>
      </c>
      <c r="F2035" s="4" t="s">
        <v>25</v>
      </c>
      <c r="G2035" s="4" t="s">
        <v>25</v>
      </c>
      <c r="H2035" s="4" t="s">
        <v>38</v>
      </c>
      <c r="I2035" s="5">
        <v>43891</v>
      </c>
      <c r="J2035" s="6">
        <v>0</v>
      </c>
      <c r="K2035" s="6">
        <v>0</v>
      </c>
      <c r="L2035" s="6">
        <v>0.66</v>
      </c>
      <c r="M2035" s="6">
        <v>0.66</v>
      </c>
      <c r="N2035" s="6">
        <v>0.66</v>
      </c>
      <c r="O2035" s="6">
        <v>0.66</v>
      </c>
      <c r="P2035" s="6">
        <v>0</v>
      </c>
      <c r="Q2035" s="4" t="s">
        <v>26</v>
      </c>
      <c r="R2035" s="4">
        <v>0</v>
      </c>
      <c r="S2035" s="4" t="s">
        <v>604</v>
      </c>
      <c r="T2035" s="4" t="s">
        <v>911</v>
      </c>
      <c r="U2035" s="4">
        <v>0</v>
      </c>
      <c r="V2035" s="4">
        <v>71</v>
      </c>
      <c r="W2035" s="4">
        <v>114</v>
      </c>
    </row>
    <row r="2036" spans="1:23" ht="11.25" customHeight="1" x14ac:dyDescent="0.25">
      <c r="A2036" s="4" t="s">
        <v>21</v>
      </c>
      <c r="B2036" s="4" t="s">
        <v>39</v>
      </c>
      <c r="C2036" s="4" t="s">
        <v>37</v>
      </c>
      <c r="D2036" s="4" t="s">
        <v>42</v>
      </c>
      <c r="E2036" s="4" t="s">
        <v>25</v>
      </c>
      <c r="F2036" s="4" t="s">
        <v>25</v>
      </c>
      <c r="G2036" s="4" t="s">
        <v>25</v>
      </c>
      <c r="H2036" s="4" t="s">
        <v>38</v>
      </c>
      <c r="I2036" s="5">
        <v>43922</v>
      </c>
      <c r="J2036" s="6">
        <v>0</v>
      </c>
      <c r="K2036" s="6">
        <v>0</v>
      </c>
      <c r="L2036" s="6">
        <v>17.064</v>
      </c>
      <c r="M2036" s="6">
        <v>17.064</v>
      </c>
      <c r="N2036" s="6">
        <v>17.064</v>
      </c>
      <c r="O2036" s="6">
        <v>17.064</v>
      </c>
      <c r="P2036" s="6">
        <v>0</v>
      </c>
      <c r="Q2036" s="4" t="s">
        <v>26</v>
      </c>
      <c r="R2036" s="4">
        <v>0</v>
      </c>
      <c r="S2036" s="4" t="s">
        <v>605</v>
      </c>
      <c r="T2036" s="4" t="s">
        <v>912</v>
      </c>
      <c r="U2036" s="4">
        <v>0</v>
      </c>
      <c r="V2036" s="4">
        <v>71</v>
      </c>
      <c r="W2036" s="4">
        <v>114</v>
      </c>
    </row>
    <row r="2037" spans="1:23" ht="11.25" customHeight="1" x14ac:dyDescent="0.25">
      <c r="A2037" s="4" t="s">
        <v>27</v>
      </c>
      <c r="B2037" s="4" t="s">
        <v>39</v>
      </c>
      <c r="C2037" s="4" t="s">
        <v>37</v>
      </c>
      <c r="D2037" s="4" t="s">
        <v>42</v>
      </c>
      <c r="E2037" s="4" t="s">
        <v>25</v>
      </c>
      <c r="F2037" s="4" t="s">
        <v>25</v>
      </c>
      <c r="G2037" s="4" t="s">
        <v>25</v>
      </c>
      <c r="H2037" s="4" t="s">
        <v>38</v>
      </c>
      <c r="I2037" s="5">
        <v>43922</v>
      </c>
      <c r="J2037" s="6">
        <v>0</v>
      </c>
      <c r="K2037" s="6">
        <v>0</v>
      </c>
      <c r="L2037" s="6">
        <v>0.42199999999999999</v>
      </c>
      <c r="M2037" s="6">
        <v>0.42199999999999999</v>
      </c>
      <c r="N2037" s="6">
        <v>0.42199999999999999</v>
      </c>
      <c r="O2037" s="6">
        <v>0.42199999999999999</v>
      </c>
      <c r="P2037" s="6">
        <v>0</v>
      </c>
      <c r="Q2037" s="4" t="s">
        <v>26</v>
      </c>
      <c r="R2037" s="4">
        <v>0</v>
      </c>
      <c r="S2037" s="4" t="s">
        <v>605</v>
      </c>
      <c r="T2037" s="4" t="s">
        <v>912</v>
      </c>
      <c r="U2037" s="4">
        <v>0</v>
      </c>
      <c r="V2037" s="4">
        <v>71</v>
      </c>
      <c r="W2037" s="4">
        <v>114</v>
      </c>
    </row>
    <row r="2038" spans="1:23" ht="11.25" customHeight="1" x14ac:dyDescent="0.25">
      <c r="A2038" s="4" t="s">
        <v>21</v>
      </c>
      <c r="B2038" s="4" t="s">
        <v>39</v>
      </c>
      <c r="C2038" s="4" t="s">
        <v>37</v>
      </c>
      <c r="D2038" s="4" t="s">
        <v>42</v>
      </c>
      <c r="E2038" s="4" t="s">
        <v>25</v>
      </c>
      <c r="F2038" s="4" t="s">
        <v>25</v>
      </c>
      <c r="G2038" s="4" t="s">
        <v>25</v>
      </c>
      <c r="H2038" s="4" t="s">
        <v>38</v>
      </c>
      <c r="I2038" s="5">
        <v>43952</v>
      </c>
      <c r="J2038" s="6">
        <v>0</v>
      </c>
      <c r="K2038" s="6">
        <v>0</v>
      </c>
      <c r="L2038" s="6">
        <v>13.89</v>
      </c>
      <c r="M2038" s="6">
        <v>13.89</v>
      </c>
      <c r="N2038" s="6">
        <v>13.89</v>
      </c>
      <c r="O2038" s="6">
        <v>13.89</v>
      </c>
      <c r="P2038" s="6">
        <v>0</v>
      </c>
      <c r="Q2038" s="4" t="s">
        <v>26</v>
      </c>
      <c r="R2038" s="4">
        <v>0</v>
      </c>
      <c r="S2038" s="4" t="s">
        <v>606</v>
      </c>
      <c r="T2038" s="4" t="s">
        <v>913</v>
      </c>
      <c r="U2038" s="4">
        <v>0</v>
      </c>
      <c r="V2038" s="4">
        <v>71</v>
      </c>
      <c r="W2038" s="4">
        <v>114</v>
      </c>
    </row>
    <row r="2039" spans="1:23" ht="11.25" customHeight="1" x14ac:dyDescent="0.25">
      <c r="A2039" s="4" t="s">
        <v>27</v>
      </c>
      <c r="B2039" s="4" t="s">
        <v>39</v>
      </c>
      <c r="C2039" s="4" t="s">
        <v>37</v>
      </c>
      <c r="D2039" s="4" t="s">
        <v>42</v>
      </c>
      <c r="E2039" s="4" t="s">
        <v>25</v>
      </c>
      <c r="F2039" s="4" t="s">
        <v>25</v>
      </c>
      <c r="G2039" s="4" t="s">
        <v>25</v>
      </c>
      <c r="H2039" s="4" t="s">
        <v>38</v>
      </c>
      <c r="I2039" s="5">
        <v>43952</v>
      </c>
      <c r="J2039" s="6">
        <v>0</v>
      </c>
      <c r="K2039" s="6">
        <v>0</v>
      </c>
      <c r="L2039" s="6">
        <v>0.70199999999999996</v>
      </c>
      <c r="M2039" s="6">
        <v>0.70199999999999996</v>
      </c>
      <c r="N2039" s="6">
        <v>0.70199999999999996</v>
      </c>
      <c r="O2039" s="6">
        <v>0.70199999999999996</v>
      </c>
      <c r="P2039" s="6">
        <v>0</v>
      </c>
      <c r="Q2039" s="4" t="s">
        <v>26</v>
      </c>
      <c r="R2039" s="4">
        <v>0</v>
      </c>
      <c r="S2039" s="4" t="s">
        <v>606</v>
      </c>
      <c r="T2039" s="4" t="s">
        <v>913</v>
      </c>
      <c r="U2039" s="4">
        <v>0</v>
      </c>
      <c r="V2039" s="4">
        <v>71</v>
      </c>
      <c r="W2039" s="4">
        <v>114</v>
      </c>
    </row>
    <row r="2040" spans="1:23" ht="11.25" customHeight="1" x14ac:dyDescent="0.25">
      <c r="A2040" s="4" t="s">
        <v>21</v>
      </c>
      <c r="B2040" s="4" t="s">
        <v>39</v>
      </c>
      <c r="C2040" s="4" t="s">
        <v>37</v>
      </c>
      <c r="D2040" s="4" t="s">
        <v>42</v>
      </c>
      <c r="E2040" s="4" t="s">
        <v>25</v>
      </c>
      <c r="F2040" s="4" t="s">
        <v>25</v>
      </c>
      <c r="G2040" s="4" t="s">
        <v>25</v>
      </c>
      <c r="H2040" s="4" t="s">
        <v>38</v>
      </c>
      <c r="I2040" s="5">
        <v>43983</v>
      </c>
      <c r="J2040" s="6">
        <v>0</v>
      </c>
      <c r="K2040" s="6">
        <v>0</v>
      </c>
      <c r="L2040" s="6">
        <v>109.244</v>
      </c>
      <c r="M2040" s="6">
        <v>109.244</v>
      </c>
      <c r="N2040" s="6">
        <v>109.244</v>
      </c>
      <c r="O2040" s="6">
        <v>109.244</v>
      </c>
      <c r="P2040" s="6">
        <v>0</v>
      </c>
      <c r="Q2040" s="4" t="s">
        <v>26</v>
      </c>
      <c r="R2040" s="4">
        <v>0</v>
      </c>
      <c r="S2040" s="4" t="s">
        <v>607</v>
      </c>
      <c r="T2040" s="4" t="s">
        <v>914</v>
      </c>
      <c r="U2040" s="4">
        <v>0</v>
      </c>
      <c r="V2040" s="4">
        <v>71</v>
      </c>
      <c r="W2040" s="4">
        <v>114</v>
      </c>
    </row>
    <row r="2041" spans="1:23" ht="11.25" customHeight="1" x14ac:dyDescent="0.25">
      <c r="A2041" s="4" t="s">
        <v>27</v>
      </c>
      <c r="B2041" s="4" t="s">
        <v>39</v>
      </c>
      <c r="C2041" s="4" t="s">
        <v>37</v>
      </c>
      <c r="D2041" s="4" t="s">
        <v>42</v>
      </c>
      <c r="E2041" s="4" t="s">
        <v>25</v>
      </c>
      <c r="F2041" s="4" t="s">
        <v>25</v>
      </c>
      <c r="G2041" s="4" t="s">
        <v>25</v>
      </c>
      <c r="H2041" s="4" t="s">
        <v>38</v>
      </c>
      <c r="I2041" s="5">
        <v>43983</v>
      </c>
      <c r="J2041" s="6">
        <v>0</v>
      </c>
      <c r="K2041" s="6">
        <v>0</v>
      </c>
      <c r="L2041" s="6">
        <v>0.15</v>
      </c>
      <c r="M2041" s="6">
        <v>0.15</v>
      </c>
      <c r="N2041" s="6">
        <v>0.15</v>
      </c>
      <c r="O2041" s="6">
        <v>0.15</v>
      </c>
      <c r="P2041" s="6">
        <v>0</v>
      </c>
      <c r="Q2041" s="4" t="s">
        <v>26</v>
      </c>
      <c r="R2041" s="4">
        <v>0</v>
      </c>
      <c r="S2041" s="4" t="s">
        <v>607</v>
      </c>
      <c r="T2041" s="4" t="s">
        <v>914</v>
      </c>
      <c r="U2041" s="4">
        <v>0</v>
      </c>
      <c r="V2041" s="4">
        <v>71</v>
      </c>
      <c r="W2041" s="4">
        <v>114</v>
      </c>
    </row>
    <row r="2042" spans="1:23" ht="11.25" customHeight="1" x14ac:dyDescent="0.25">
      <c r="A2042" s="4" t="s">
        <v>21</v>
      </c>
      <c r="B2042" s="4" t="s">
        <v>39</v>
      </c>
      <c r="C2042" s="4" t="s">
        <v>37</v>
      </c>
      <c r="D2042" s="4" t="s">
        <v>42</v>
      </c>
      <c r="E2042" s="4" t="s">
        <v>25</v>
      </c>
      <c r="F2042" s="4" t="s">
        <v>25</v>
      </c>
      <c r="G2042" s="4" t="s">
        <v>25</v>
      </c>
      <c r="H2042" s="4" t="s">
        <v>38</v>
      </c>
      <c r="I2042" s="5">
        <v>44013</v>
      </c>
      <c r="J2042" s="6">
        <v>0</v>
      </c>
      <c r="K2042" s="6">
        <v>0</v>
      </c>
      <c r="L2042" s="6">
        <v>118.586</v>
      </c>
      <c r="M2042" s="6">
        <v>118.586</v>
      </c>
      <c r="N2042" s="6">
        <v>118.586</v>
      </c>
      <c r="O2042" s="6">
        <v>118.586</v>
      </c>
      <c r="P2042" s="6">
        <v>0</v>
      </c>
      <c r="Q2042" s="4" t="s">
        <v>26</v>
      </c>
      <c r="R2042" s="4">
        <v>0</v>
      </c>
      <c r="S2042" s="4" t="s">
        <v>608</v>
      </c>
      <c r="T2042" s="4" t="s">
        <v>915</v>
      </c>
      <c r="U2042" s="4">
        <v>0</v>
      </c>
      <c r="V2042" s="4">
        <v>71</v>
      </c>
      <c r="W2042" s="4">
        <v>114</v>
      </c>
    </row>
    <row r="2043" spans="1:23" ht="11.25" customHeight="1" x14ac:dyDescent="0.25">
      <c r="A2043" s="4" t="s">
        <v>27</v>
      </c>
      <c r="B2043" s="4" t="s">
        <v>39</v>
      </c>
      <c r="C2043" s="4" t="s">
        <v>37</v>
      </c>
      <c r="D2043" s="4" t="s">
        <v>42</v>
      </c>
      <c r="E2043" s="4" t="s">
        <v>25</v>
      </c>
      <c r="F2043" s="4" t="s">
        <v>25</v>
      </c>
      <c r="G2043" s="4" t="s">
        <v>25</v>
      </c>
      <c r="H2043" s="4" t="s">
        <v>38</v>
      </c>
      <c r="I2043" s="5">
        <v>44013</v>
      </c>
      <c r="J2043" s="6">
        <v>0</v>
      </c>
      <c r="K2043" s="6">
        <v>0</v>
      </c>
      <c r="L2043" s="6">
        <v>0.27200000000000002</v>
      </c>
      <c r="M2043" s="6">
        <v>0.27200000000000002</v>
      </c>
      <c r="N2043" s="6">
        <v>0.27200000000000002</v>
      </c>
      <c r="O2043" s="6">
        <v>0.27200000000000002</v>
      </c>
      <c r="P2043" s="6">
        <v>0</v>
      </c>
      <c r="Q2043" s="4" t="s">
        <v>26</v>
      </c>
      <c r="R2043" s="4">
        <v>0</v>
      </c>
      <c r="S2043" s="4" t="s">
        <v>608</v>
      </c>
      <c r="T2043" s="4" t="s">
        <v>915</v>
      </c>
      <c r="U2043" s="4">
        <v>0</v>
      </c>
      <c r="V2043" s="4">
        <v>71</v>
      </c>
      <c r="W2043" s="4">
        <v>114</v>
      </c>
    </row>
    <row r="2044" spans="1:23" ht="11.25" customHeight="1" x14ac:dyDescent="0.25">
      <c r="A2044" s="4" t="s">
        <v>27</v>
      </c>
      <c r="B2044" s="4" t="s">
        <v>39</v>
      </c>
      <c r="C2044" s="4" t="s">
        <v>37</v>
      </c>
      <c r="D2044" s="4" t="s">
        <v>42</v>
      </c>
      <c r="E2044" s="4" t="s">
        <v>25</v>
      </c>
      <c r="F2044" s="4" t="s">
        <v>25</v>
      </c>
      <c r="G2044" s="4" t="s">
        <v>25</v>
      </c>
      <c r="H2044" s="4" t="s">
        <v>38</v>
      </c>
      <c r="I2044" s="5">
        <v>44044</v>
      </c>
      <c r="J2044" s="6">
        <v>0</v>
      </c>
      <c r="K2044" s="6">
        <v>0</v>
      </c>
      <c r="L2044" s="6">
        <v>-183.06</v>
      </c>
      <c r="M2044" s="6">
        <v>-183.06</v>
      </c>
      <c r="N2044" s="6">
        <v>-183.06</v>
      </c>
      <c r="O2044" s="6">
        <v>-183.06</v>
      </c>
      <c r="P2044" s="6">
        <v>0</v>
      </c>
      <c r="Q2044" s="4" t="s">
        <v>26</v>
      </c>
      <c r="R2044" s="4">
        <v>0</v>
      </c>
      <c r="S2044" s="4" t="s">
        <v>609</v>
      </c>
      <c r="T2044" s="4" t="s">
        <v>916</v>
      </c>
      <c r="U2044" s="4">
        <v>0</v>
      </c>
      <c r="V2044" s="4">
        <v>71</v>
      </c>
      <c r="W2044" s="4">
        <v>114</v>
      </c>
    </row>
    <row r="2045" spans="1:23" ht="11.25" customHeight="1" x14ac:dyDescent="0.25">
      <c r="A2045" s="4" t="s">
        <v>59</v>
      </c>
      <c r="B2045" s="4" t="s">
        <v>39</v>
      </c>
      <c r="C2045" s="4" t="s">
        <v>37</v>
      </c>
      <c r="D2045" s="4" t="s">
        <v>42</v>
      </c>
      <c r="E2045" s="4" t="s">
        <v>25</v>
      </c>
      <c r="F2045" s="4" t="s">
        <v>25</v>
      </c>
      <c r="G2045" s="4" t="s">
        <v>25</v>
      </c>
      <c r="H2045" s="4" t="s">
        <v>38</v>
      </c>
      <c r="I2045" s="5">
        <v>44075</v>
      </c>
      <c r="J2045" s="6">
        <v>0</v>
      </c>
      <c r="K2045" s="6">
        <v>0</v>
      </c>
      <c r="L2045" s="6">
        <v>-183.06</v>
      </c>
      <c r="M2045" s="6">
        <v>-183.06</v>
      </c>
      <c r="N2045" s="6">
        <v>-183.06</v>
      </c>
      <c r="O2045" s="6">
        <v>-183.06</v>
      </c>
      <c r="P2045" s="6">
        <v>0</v>
      </c>
      <c r="Q2045" s="4" t="s">
        <v>26</v>
      </c>
      <c r="R2045" s="4">
        <v>0</v>
      </c>
      <c r="S2045" s="4" t="s">
        <v>610</v>
      </c>
      <c r="T2045" s="4" t="s">
        <v>917</v>
      </c>
      <c r="U2045" s="4">
        <v>0</v>
      </c>
      <c r="V2045" s="4">
        <v>71</v>
      </c>
      <c r="W2045" s="4">
        <v>114</v>
      </c>
    </row>
    <row r="2046" spans="1:23" ht="11.25" customHeight="1" x14ac:dyDescent="0.25">
      <c r="A2046" s="4" t="s">
        <v>21</v>
      </c>
      <c r="B2046" s="4" t="s">
        <v>39</v>
      </c>
      <c r="C2046" s="4" t="s">
        <v>37</v>
      </c>
      <c r="D2046" s="4" t="s">
        <v>42</v>
      </c>
      <c r="E2046" s="4" t="s">
        <v>25</v>
      </c>
      <c r="F2046" s="4" t="s">
        <v>25</v>
      </c>
      <c r="G2046" s="4" t="s">
        <v>25</v>
      </c>
      <c r="H2046" s="4" t="s">
        <v>35</v>
      </c>
      <c r="I2046" s="5">
        <v>43739</v>
      </c>
      <c r="J2046" s="6">
        <v>0</v>
      </c>
      <c r="K2046" s="6">
        <v>0</v>
      </c>
      <c r="L2046" s="6">
        <v>27.413</v>
      </c>
      <c r="M2046" s="6">
        <v>27.413</v>
      </c>
      <c r="N2046" s="6">
        <v>27.413</v>
      </c>
      <c r="O2046" s="6">
        <v>27.413</v>
      </c>
      <c r="P2046" s="6">
        <v>0</v>
      </c>
      <c r="Q2046" s="4" t="s">
        <v>26</v>
      </c>
      <c r="R2046" s="4">
        <v>0</v>
      </c>
      <c r="S2046" s="4" t="s">
        <v>611</v>
      </c>
      <c r="T2046" s="4" t="s">
        <v>918</v>
      </c>
      <c r="U2046" s="4">
        <v>0</v>
      </c>
      <c r="V2046" s="4">
        <v>70</v>
      </c>
      <c r="W2046" s="4">
        <v>113</v>
      </c>
    </row>
    <row r="2047" spans="1:23" ht="11.25" customHeight="1" x14ac:dyDescent="0.25">
      <c r="A2047" s="4" t="s">
        <v>27</v>
      </c>
      <c r="B2047" s="4" t="s">
        <v>39</v>
      </c>
      <c r="C2047" s="4" t="s">
        <v>37</v>
      </c>
      <c r="D2047" s="4" t="s">
        <v>42</v>
      </c>
      <c r="E2047" s="4" t="s">
        <v>25</v>
      </c>
      <c r="F2047" s="4" t="s">
        <v>25</v>
      </c>
      <c r="G2047" s="4" t="s">
        <v>25</v>
      </c>
      <c r="H2047" s="4" t="s">
        <v>35</v>
      </c>
      <c r="I2047" s="5">
        <v>43739</v>
      </c>
      <c r="J2047" s="6">
        <v>0</v>
      </c>
      <c r="K2047" s="6">
        <v>0</v>
      </c>
      <c r="L2047" s="6">
        <v>0.26500000000000001</v>
      </c>
      <c r="M2047" s="6">
        <v>0.26500000000000001</v>
      </c>
      <c r="N2047" s="6">
        <v>0.26500000000000001</v>
      </c>
      <c r="O2047" s="6">
        <v>0.26500000000000001</v>
      </c>
      <c r="P2047" s="6">
        <v>0</v>
      </c>
      <c r="Q2047" s="4" t="s">
        <v>26</v>
      </c>
      <c r="R2047" s="4">
        <v>0</v>
      </c>
      <c r="S2047" s="4" t="s">
        <v>611</v>
      </c>
      <c r="T2047" s="4" t="s">
        <v>918</v>
      </c>
      <c r="U2047" s="4">
        <v>0</v>
      </c>
      <c r="V2047" s="4">
        <v>70</v>
      </c>
      <c r="W2047" s="4">
        <v>113</v>
      </c>
    </row>
    <row r="2048" spans="1:23" ht="11.25" customHeight="1" x14ac:dyDescent="0.25">
      <c r="A2048" s="4" t="s">
        <v>28</v>
      </c>
      <c r="B2048" s="4" t="s">
        <v>39</v>
      </c>
      <c r="C2048" s="4" t="s">
        <v>37</v>
      </c>
      <c r="D2048" s="4" t="s">
        <v>42</v>
      </c>
      <c r="E2048" s="4" t="s">
        <v>25</v>
      </c>
      <c r="F2048" s="4" t="s">
        <v>25</v>
      </c>
      <c r="G2048" s="4" t="s">
        <v>25</v>
      </c>
      <c r="H2048" s="4" t="s">
        <v>35</v>
      </c>
      <c r="I2048" s="5">
        <v>43739</v>
      </c>
      <c r="J2048" s="6">
        <v>0</v>
      </c>
      <c r="K2048" s="6">
        <v>0</v>
      </c>
      <c r="L2048" s="6">
        <v>2.3199999999999998</v>
      </c>
      <c r="M2048" s="6">
        <v>2.3199999999999998</v>
      </c>
      <c r="N2048" s="6">
        <v>2.3199999999999998</v>
      </c>
      <c r="O2048" s="6">
        <v>2.3199999999999998</v>
      </c>
      <c r="P2048" s="6">
        <v>0</v>
      </c>
      <c r="Q2048" s="4" t="s">
        <v>26</v>
      </c>
      <c r="R2048" s="4">
        <v>0</v>
      </c>
      <c r="S2048" s="4" t="s">
        <v>611</v>
      </c>
      <c r="T2048" s="4" t="s">
        <v>918</v>
      </c>
      <c r="U2048" s="4">
        <v>0</v>
      </c>
      <c r="V2048" s="4">
        <v>70</v>
      </c>
      <c r="W2048" s="4">
        <v>113</v>
      </c>
    </row>
    <row r="2049" spans="1:23" ht="11.25" customHeight="1" x14ac:dyDescent="0.25">
      <c r="A2049" s="4" t="s">
        <v>21</v>
      </c>
      <c r="B2049" s="4" t="s">
        <v>39</v>
      </c>
      <c r="C2049" s="4" t="s">
        <v>37</v>
      </c>
      <c r="D2049" s="4" t="s">
        <v>42</v>
      </c>
      <c r="E2049" s="4" t="s">
        <v>25</v>
      </c>
      <c r="F2049" s="4" t="s">
        <v>25</v>
      </c>
      <c r="G2049" s="4" t="s">
        <v>25</v>
      </c>
      <c r="H2049" s="4" t="s">
        <v>35</v>
      </c>
      <c r="I2049" s="5">
        <v>43770</v>
      </c>
      <c r="J2049" s="6">
        <v>0</v>
      </c>
      <c r="K2049" s="6">
        <v>0</v>
      </c>
      <c r="L2049" s="6">
        <v>1032.9100000000001</v>
      </c>
      <c r="M2049" s="6">
        <v>1032.9100000000001</v>
      </c>
      <c r="N2049" s="6">
        <v>1032.9100000000001</v>
      </c>
      <c r="O2049" s="6">
        <v>1032.9100000000001</v>
      </c>
      <c r="P2049" s="6">
        <v>0</v>
      </c>
      <c r="Q2049" s="4" t="s">
        <v>26</v>
      </c>
      <c r="R2049" s="4">
        <v>0</v>
      </c>
      <c r="S2049" s="4" t="s">
        <v>612</v>
      </c>
      <c r="T2049" s="4" t="s">
        <v>919</v>
      </c>
      <c r="U2049" s="4">
        <v>0</v>
      </c>
      <c r="V2049" s="4">
        <v>70</v>
      </c>
      <c r="W2049" s="4">
        <v>113</v>
      </c>
    </row>
    <row r="2050" spans="1:23" ht="11.25" customHeight="1" x14ac:dyDescent="0.25">
      <c r="A2050" s="4" t="s">
        <v>27</v>
      </c>
      <c r="B2050" s="4" t="s">
        <v>39</v>
      </c>
      <c r="C2050" s="4" t="s">
        <v>37</v>
      </c>
      <c r="D2050" s="4" t="s">
        <v>42</v>
      </c>
      <c r="E2050" s="4" t="s">
        <v>25</v>
      </c>
      <c r="F2050" s="4" t="s">
        <v>25</v>
      </c>
      <c r="G2050" s="4" t="s">
        <v>25</v>
      </c>
      <c r="H2050" s="4" t="s">
        <v>35</v>
      </c>
      <c r="I2050" s="5">
        <v>43770</v>
      </c>
      <c r="J2050" s="6">
        <v>0</v>
      </c>
      <c r="K2050" s="6">
        <v>0</v>
      </c>
      <c r="L2050" s="6">
        <v>0.317</v>
      </c>
      <c r="M2050" s="6">
        <v>0.317</v>
      </c>
      <c r="N2050" s="6">
        <v>0.317</v>
      </c>
      <c r="O2050" s="6">
        <v>0.317</v>
      </c>
      <c r="P2050" s="6">
        <v>0</v>
      </c>
      <c r="Q2050" s="4" t="s">
        <v>26</v>
      </c>
      <c r="R2050" s="4">
        <v>0</v>
      </c>
      <c r="S2050" s="4" t="s">
        <v>612</v>
      </c>
      <c r="T2050" s="4" t="s">
        <v>919</v>
      </c>
      <c r="U2050" s="4">
        <v>0</v>
      </c>
      <c r="V2050" s="4">
        <v>70</v>
      </c>
      <c r="W2050" s="4">
        <v>113</v>
      </c>
    </row>
    <row r="2051" spans="1:23" ht="11.25" customHeight="1" x14ac:dyDescent="0.25">
      <c r="A2051" s="4" t="s">
        <v>28</v>
      </c>
      <c r="B2051" s="4" t="s">
        <v>39</v>
      </c>
      <c r="C2051" s="4" t="s">
        <v>37</v>
      </c>
      <c r="D2051" s="4" t="s">
        <v>42</v>
      </c>
      <c r="E2051" s="4" t="s">
        <v>25</v>
      </c>
      <c r="F2051" s="4" t="s">
        <v>25</v>
      </c>
      <c r="G2051" s="4" t="s">
        <v>25</v>
      </c>
      <c r="H2051" s="4" t="s">
        <v>35</v>
      </c>
      <c r="I2051" s="5">
        <v>43770</v>
      </c>
      <c r="J2051" s="6">
        <v>0</v>
      </c>
      <c r="K2051" s="6">
        <v>0</v>
      </c>
      <c r="L2051" s="6">
        <v>4.72</v>
      </c>
      <c r="M2051" s="6">
        <v>4.72</v>
      </c>
      <c r="N2051" s="6">
        <v>4.72</v>
      </c>
      <c r="O2051" s="6">
        <v>4.72</v>
      </c>
      <c r="P2051" s="6">
        <v>0</v>
      </c>
      <c r="Q2051" s="4" t="s">
        <v>26</v>
      </c>
      <c r="R2051" s="4">
        <v>0</v>
      </c>
      <c r="S2051" s="4" t="s">
        <v>612</v>
      </c>
      <c r="T2051" s="4" t="s">
        <v>919</v>
      </c>
      <c r="U2051" s="4">
        <v>0</v>
      </c>
      <c r="V2051" s="4">
        <v>70</v>
      </c>
      <c r="W2051" s="4">
        <v>113</v>
      </c>
    </row>
    <row r="2052" spans="1:23" ht="11.25" customHeight="1" x14ac:dyDescent="0.25">
      <c r="A2052" s="4" t="s">
        <v>27</v>
      </c>
      <c r="B2052" s="4" t="s">
        <v>39</v>
      </c>
      <c r="C2052" s="4" t="s">
        <v>37</v>
      </c>
      <c r="D2052" s="4" t="s">
        <v>42</v>
      </c>
      <c r="E2052" s="4" t="s">
        <v>25</v>
      </c>
      <c r="F2052" s="4" t="s">
        <v>25</v>
      </c>
      <c r="G2052" s="4" t="s">
        <v>25</v>
      </c>
      <c r="H2052" s="4" t="s">
        <v>35</v>
      </c>
      <c r="I2052" s="5">
        <v>43800</v>
      </c>
      <c r="J2052" s="6">
        <v>0</v>
      </c>
      <c r="K2052" s="6">
        <v>0</v>
      </c>
      <c r="L2052" s="6">
        <v>-969.87400000000002</v>
      </c>
      <c r="M2052" s="6">
        <v>-969.87400000000002</v>
      </c>
      <c r="N2052" s="6">
        <v>-969.87400000000002</v>
      </c>
      <c r="O2052" s="6">
        <v>-969.87400000000002</v>
      </c>
      <c r="P2052" s="6">
        <v>0</v>
      </c>
      <c r="Q2052" s="4" t="s">
        <v>26</v>
      </c>
      <c r="R2052" s="4">
        <v>0</v>
      </c>
      <c r="S2052" s="4" t="s">
        <v>613</v>
      </c>
      <c r="T2052" s="4" t="s">
        <v>920</v>
      </c>
      <c r="U2052" s="4">
        <v>0</v>
      </c>
      <c r="V2052" s="4">
        <v>70</v>
      </c>
      <c r="W2052" s="4">
        <v>113</v>
      </c>
    </row>
    <row r="2053" spans="1:23" ht="11.25" customHeight="1" x14ac:dyDescent="0.25">
      <c r="A2053" s="4" t="s">
        <v>28</v>
      </c>
      <c r="B2053" s="4" t="s">
        <v>39</v>
      </c>
      <c r="C2053" s="4" t="s">
        <v>37</v>
      </c>
      <c r="D2053" s="4" t="s">
        <v>42</v>
      </c>
      <c r="E2053" s="4" t="s">
        <v>25</v>
      </c>
      <c r="F2053" s="4" t="s">
        <v>25</v>
      </c>
      <c r="G2053" s="4" t="s">
        <v>25</v>
      </c>
      <c r="H2053" s="4" t="s">
        <v>35</v>
      </c>
      <c r="I2053" s="5">
        <v>43800</v>
      </c>
      <c r="J2053" s="6">
        <v>0</v>
      </c>
      <c r="K2053" s="6">
        <v>0</v>
      </c>
      <c r="L2053" s="6">
        <v>1.92</v>
      </c>
      <c r="M2053" s="6">
        <v>1.92</v>
      </c>
      <c r="N2053" s="6">
        <v>1.92</v>
      </c>
      <c r="O2053" s="6">
        <v>1.92</v>
      </c>
      <c r="P2053" s="6">
        <v>0</v>
      </c>
      <c r="Q2053" s="4" t="s">
        <v>26</v>
      </c>
      <c r="R2053" s="4">
        <v>0</v>
      </c>
      <c r="S2053" s="4" t="s">
        <v>613</v>
      </c>
      <c r="T2053" s="4" t="s">
        <v>920</v>
      </c>
      <c r="U2053" s="4">
        <v>0</v>
      </c>
      <c r="V2053" s="4">
        <v>70</v>
      </c>
      <c r="W2053" s="4">
        <v>113</v>
      </c>
    </row>
    <row r="2054" spans="1:23" ht="11.25" customHeight="1" x14ac:dyDescent="0.25">
      <c r="A2054" s="4" t="s">
        <v>21</v>
      </c>
      <c r="B2054" s="4" t="s">
        <v>39</v>
      </c>
      <c r="C2054" s="4" t="s">
        <v>37</v>
      </c>
      <c r="D2054" s="4" t="s">
        <v>42</v>
      </c>
      <c r="E2054" s="4" t="s">
        <v>25</v>
      </c>
      <c r="F2054" s="4" t="s">
        <v>25</v>
      </c>
      <c r="G2054" s="4" t="s">
        <v>25</v>
      </c>
      <c r="H2054" s="4" t="s">
        <v>35</v>
      </c>
      <c r="I2054" s="5">
        <v>43831</v>
      </c>
      <c r="J2054" s="6">
        <v>0</v>
      </c>
      <c r="K2054" s="6">
        <v>0</v>
      </c>
      <c r="L2054" s="6">
        <v>28.818999999999999</v>
      </c>
      <c r="M2054" s="6">
        <v>28.818999999999999</v>
      </c>
      <c r="N2054" s="6">
        <v>28.818999999999999</v>
      </c>
      <c r="O2054" s="6">
        <v>28.818999999999999</v>
      </c>
      <c r="P2054" s="6">
        <v>0</v>
      </c>
      <c r="Q2054" s="4" t="s">
        <v>26</v>
      </c>
      <c r="R2054" s="4">
        <v>0</v>
      </c>
      <c r="S2054" s="4" t="s">
        <v>614</v>
      </c>
      <c r="T2054" s="4" t="s">
        <v>921</v>
      </c>
      <c r="U2054" s="4">
        <v>0</v>
      </c>
      <c r="V2054" s="4">
        <v>70</v>
      </c>
      <c r="W2054" s="4">
        <v>113</v>
      </c>
    </row>
    <row r="2055" spans="1:23" ht="11.25" customHeight="1" x14ac:dyDescent="0.25">
      <c r="A2055" s="4" t="s">
        <v>27</v>
      </c>
      <c r="B2055" s="4" t="s">
        <v>39</v>
      </c>
      <c r="C2055" s="4" t="s">
        <v>37</v>
      </c>
      <c r="D2055" s="4" t="s">
        <v>42</v>
      </c>
      <c r="E2055" s="4" t="s">
        <v>25</v>
      </c>
      <c r="F2055" s="4" t="s">
        <v>25</v>
      </c>
      <c r="G2055" s="4" t="s">
        <v>25</v>
      </c>
      <c r="H2055" s="4" t="s">
        <v>35</v>
      </c>
      <c r="I2055" s="5">
        <v>43831</v>
      </c>
      <c r="J2055" s="6">
        <v>0</v>
      </c>
      <c r="K2055" s="6">
        <v>0</v>
      </c>
      <c r="L2055" s="6">
        <v>0.315</v>
      </c>
      <c r="M2055" s="6">
        <v>0.315</v>
      </c>
      <c r="N2055" s="6">
        <v>0.315</v>
      </c>
      <c r="O2055" s="6">
        <v>0.315</v>
      </c>
      <c r="P2055" s="6">
        <v>0</v>
      </c>
      <c r="Q2055" s="4" t="s">
        <v>26</v>
      </c>
      <c r="R2055" s="4">
        <v>0</v>
      </c>
      <c r="S2055" s="4" t="s">
        <v>614</v>
      </c>
      <c r="T2055" s="4" t="s">
        <v>921</v>
      </c>
      <c r="U2055" s="4">
        <v>0</v>
      </c>
      <c r="V2055" s="4">
        <v>70</v>
      </c>
      <c r="W2055" s="4">
        <v>113</v>
      </c>
    </row>
    <row r="2056" spans="1:23" ht="11.25" customHeight="1" x14ac:dyDescent="0.25">
      <c r="A2056" s="4" t="s">
        <v>21</v>
      </c>
      <c r="B2056" s="4" t="s">
        <v>39</v>
      </c>
      <c r="C2056" s="4" t="s">
        <v>37</v>
      </c>
      <c r="D2056" s="4" t="s">
        <v>42</v>
      </c>
      <c r="E2056" s="4" t="s">
        <v>25</v>
      </c>
      <c r="F2056" s="4" t="s">
        <v>25</v>
      </c>
      <c r="G2056" s="4" t="s">
        <v>25</v>
      </c>
      <c r="H2056" s="4" t="s">
        <v>35</v>
      </c>
      <c r="I2056" s="5">
        <v>43862</v>
      </c>
      <c r="J2056" s="6">
        <v>0</v>
      </c>
      <c r="K2056" s="6">
        <v>0</v>
      </c>
      <c r="L2056" s="6">
        <v>28.786999999999999</v>
      </c>
      <c r="M2056" s="6">
        <v>28.786999999999999</v>
      </c>
      <c r="N2056" s="6">
        <v>28.786999999999999</v>
      </c>
      <c r="O2056" s="6">
        <v>28.786999999999999</v>
      </c>
      <c r="P2056" s="6">
        <v>0</v>
      </c>
      <c r="Q2056" s="4" t="s">
        <v>26</v>
      </c>
      <c r="R2056" s="4">
        <v>0</v>
      </c>
      <c r="S2056" s="4" t="s">
        <v>615</v>
      </c>
      <c r="T2056" s="4" t="s">
        <v>922</v>
      </c>
      <c r="U2056" s="4">
        <v>0</v>
      </c>
      <c r="V2056" s="4">
        <v>70</v>
      </c>
      <c r="W2056" s="4">
        <v>113</v>
      </c>
    </row>
    <row r="2057" spans="1:23" ht="11.25" customHeight="1" x14ac:dyDescent="0.25">
      <c r="A2057" s="4" t="s">
        <v>27</v>
      </c>
      <c r="B2057" s="4" t="s">
        <v>39</v>
      </c>
      <c r="C2057" s="4" t="s">
        <v>37</v>
      </c>
      <c r="D2057" s="4" t="s">
        <v>42</v>
      </c>
      <c r="E2057" s="4" t="s">
        <v>25</v>
      </c>
      <c r="F2057" s="4" t="s">
        <v>25</v>
      </c>
      <c r="G2057" s="4" t="s">
        <v>25</v>
      </c>
      <c r="H2057" s="4" t="s">
        <v>35</v>
      </c>
      <c r="I2057" s="5">
        <v>43862</v>
      </c>
      <c r="J2057" s="6">
        <v>0</v>
      </c>
      <c r="K2057" s="6">
        <v>0</v>
      </c>
      <c r="L2057" s="6">
        <v>1.502</v>
      </c>
      <c r="M2057" s="6">
        <v>1.502</v>
      </c>
      <c r="N2057" s="6">
        <v>1.502</v>
      </c>
      <c r="O2057" s="6">
        <v>1.502</v>
      </c>
      <c r="P2057" s="6">
        <v>0</v>
      </c>
      <c r="Q2057" s="4" t="s">
        <v>26</v>
      </c>
      <c r="R2057" s="4">
        <v>0</v>
      </c>
      <c r="S2057" s="4" t="s">
        <v>615</v>
      </c>
      <c r="T2057" s="4" t="s">
        <v>922</v>
      </c>
      <c r="U2057" s="4">
        <v>0</v>
      </c>
      <c r="V2057" s="4">
        <v>70</v>
      </c>
      <c r="W2057" s="4">
        <v>113</v>
      </c>
    </row>
    <row r="2058" spans="1:23" ht="11.25" customHeight="1" x14ac:dyDescent="0.25">
      <c r="A2058" s="4" t="s">
        <v>21</v>
      </c>
      <c r="B2058" s="4" t="s">
        <v>39</v>
      </c>
      <c r="C2058" s="4" t="s">
        <v>37</v>
      </c>
      <c r="D2058" s="4" t="s">
        <v>42</v>
      </c>
      <c r="E2058" s="4" t="s">
        <v>25</v>
      </c>
      <c r="F2058" s="4" t="s">
        <v>25</v>
      </c>
      <c r="G2058" s="4" t="s">
        <v>25</v>
      </c>
      <c r="H2058" s="4" t="s">
        <v>35</v>
      </c>
      <c r="I2058" s="5">
        <v>43891</v>
      </c>
      <c r="J2058" s="6">
        <v>0</v>
      </c>
      <c r="K2058" s="6">
        <v>0</v>
      </c>
      <c r="L2058" s="6">
        <v>25.922999999999998</v>
      </c>
      <c r="M2058" s="6">
        <v>25.922999999999998</v>
      </c>
      <c r="N2058" s="6">
        <v>25.922999999999998</v>
      </c>
      <c r="O2058" s="6">
        <v>25.922999999999998</v>
      </c>
      <c r="P2058" s="6">
        <v>0</v>
      </c>
      <c r="Q2058" s="4" t="s">
        <v>26</v>
      </c>
      <c r="R2058" s="4">
        <v>0</v>
      </c>
      <c r="S2058" s="4" t="s">
        <v>616</v>
      </c>
      <c r="T2058" s="4" t="s">
        <v>923</v>
      </c>
      <c r="U2058" s="4">
        <v>0</v>
      </c>
      <c r="V2058" s="4">
        <v>70</v>
      </c>
      <c r="W2058" s="4">
        <v>113</v>
      </c>
    </row>
    <row r="2059" spans="1:23" ht="11.25" customHeight="1" x14ac:dyDescent="0.25">
      <c r="A2059" s="4" t="s">
        <v>27</v>
      </c>
      <c r="B2059" s="4" t="s">
        <v>39</v>
      </c>
      <c r="C2059" s="4" t="s">
        <v>37</v>
      </c>
      <c r="D2059" s="4" t="s">
        <v>42</v>
      </c>
      <c r="E2059" s="4" t="s">
        <v>25</v>
      </c>
      <c r="F2059" s="4" t="s">
        <v>25</v>
      </c>
      <c r="G2059" s="4" t="s">
        <v>25</v>
      </c>
      <c r="H2059" s="4" t="s">
        <v>35</v>
      </c>
      <c r="I2059" s="5">
        <v>43891</v>
      </c>
      <c r="J2059" s="6">
        <v>0</v>
      </c>
      <c r="K2059" s="6">
        <v>0</v>
      </c>
      <c r="L2059" s="6">
        <v>1.159</v>
      </c>
      <c r="M2059" s="6">
        <v>1.159</v>
      </c>
      <c r="N2059" s="6">
        <v>1.159</v>
      </c>
      <c r="O2059" s="6">
        <v>1.159</v>
      </c>
      <c r="P2059" s="6">
        <v>0</v>
      </c>
      <c r="Q2059" s="4" t="s">
        <v>26</v>
      </c>
      <c r="R2059" s="4">
        <v>0</v>
      </c>
      <c r="S2059" s="4" t="s">
        <v>616</v>
      </c>
      <c r="T2059" s="4" t="s">
        <v>923</v>
      </c>
      <c r="U2059" s="4">
        <v>0</v>
      </c>
      <c r="V2059" s="4">
        <v>70</v>
      </c>
      <c r="W2059" s="4">
        <v>113</v>
      </c>
    </row>
    <row r="2060" spans="1:23" ht="11.25" customHeight="1" x14ac:dyDescent="0.25">
      <c r="A2060" s="4" t="s">
        <v>21</v>
      </c>
      <c r="B2060" s="4" t="s">
        <v>39</v>
      </c>
      <c r="C2060" s="4" t="s">
        <v>37</v>
      </c>
      <c r="D2060" s="4" t="s">
        <v>42</v>
      </c>
      <c r="E2060" s="4" t="s">
        <v>25</v>
      </c>
      <c r="F2060" s="4" t="s">
        <v>25</v>
      </c>
      <c r="G2060" s="4" t="s">
        <v>25</v>
      </c>
      <c r="H2060" s="4" t="s">
        <v>35</v>
      </c>
      <c r="I2060" s="5">
        <v>43922</v>
      </c>
      <c r="J2060" s="6">
        <v>0</v>
      </c>
      <c r="K2060" s="6">
        <v>0</v>
      </c>
      <c r="L2060" s="6">
        <v>25.893000000000001</v>
      </c>
      <c r="M2060" s="6">
        <v>25.893000000000001</v>
      </c>
      <c r="N2060" s="6">
        <v>25.893000000000001</v>
      </c>
      <c r="O2060" s="6">
        <v>25.893000000000001</v>
      </c>
      <c r="P2060" s="6">
        <v>0</v>
      </c>
      <c r="Q2060" s="4" t="s">
        <v>26</v>
      </c>
      <c r="R2060" s="4">
        <v>0</v>
      </c>
      <c r="S2060" s="4" t="s">
        <v>617</v>
      </c>
      <c r="T2060" s="4" t="s">
        <v>924</v>
      </c>
      <c r="U2060" s="4">
        <v>0</v>
      </c>
      <c r="V2060" s="4">
        <v>70</v>
      </c>
      <c r="W2060" s="4">
        <v>113</v>
      </c>
    </row>
    <row r="2061" spans="1:23" ht="11.25" customHeight="1" x14ac:dyDescent="0.25">
      <c r="A2061" s="4" t="s">
        <v>27</v>
      </c>
      <c r="B2061" s="4" t="s">
        <v>39</v>
      </c>
      <c r="C2061" s="4" t="s">
        <v>37</v>
      </c>
      <c r="D2061" s="4" t="s">
        <v>42</v>
      </c>
      <c r="E2061" s="4" t="s">
        <v>25</v>
      </c>
      <c r="F2061" s="4" t="s">
        <v>25</v>
      </c>
      <c r="G2061" s="4" t="s">
        <v>25</v>
      </c>
      <c r="H2061" s="4" t="s">
        <v>35</v>
      </c>
      <c r="I2061" s="5">
        <v>43922</v>
      </c>
      <c r="J2061" s="6">
        <v>0</v>
      </c>
      <c r="K2061" s="6">
        <v>0</v>
      </c>
      <c r="L2061" s="6">
        <v>0.26500000000000001</v>
      </c>
      <c r="M2061" s="6">
        <v>0.26500000000000001</v>
      </c>
      <c r="N2061" s="6">
        <v>0.26500000000000001</v>
      </c>
      <c r="O2061" s="6">
        <v>0.26500000000000001</v>
      </c>
      <c r="P2061" s="6">
        <v>0</v>
      </c>
      <c r="Q2061" s="4" t="s">
        <v>26</v>
      </c>
      <c r="R2061" s="4">
        <v>0</v>
      </c>
      <c r="S2061" s="4" t="s">
        <v>617</v>
      </c>
      <c r="T2061" s="4" t="s">
        <v>924</v>
      </c>
      <c r="U2061" s="4">
        <v>0</v>
      </c>
      <c r="V2061" s="4">
        <v>70</v>
      </c>
      <c r="W2061" s="4">
        <v>113</v>
      </c>
    </row>
    <row r="2062" spans="1:23" ht="11.25" customHeight="1" x14ac:dyDescent="0.25">
      <c r="A2062" s="4" t="s">
        <v>21</v>
      </c>
      <c r="B2062" s="4" t="s">
        <v>39</v>
      </c>
      <c r="C2062" s="4" t="s">
        <v>37</v>
      </c>
      <c r="D2062" s="4" t="s">
        <v>42</v>
      </c>
      <c r="E2062" s="4" t="s">
        <v>25</v>
      </c>
      <c r="F2062" s="4" t="s">
        <v>25</v>
      </c>
      <c r="G2062" s="4" t="s">
        <v>25</v>
      </c>
      <c r="H2062" s="4" t="s">
        <v>35</v>
      </c>
      <c r="I2062" s="5">
        <v>43952</v>
      </c>
      <c r="J2062" s="6">
        <v>0</v>
      </c>
      <c r="K2062" s="6">
        <v>0</v>
      </c>
      <c r="L2062" s="6">
        <v>18.023</v>
      </c>
      <c r="M2062" s="6">
        <v>18.023</v>
      </c>
      <c r="N2062" s="6">
        <v>18.023</v>
      </c>
      <c r="O2062" s="6">
        <v>18.023</v>
      </c>
      <c r="P2062" s="6">
        <v>0</v>
      </c>
      <c r="Q2062" s="4" t="s">
        <v>26</v>
      </c>
      <c r="R2062" s="4">
        <v>0</v>
      </c>
      <c r="S2062" s="4" t="s">
        <v>618</v>
      </c>
      <c r="T2062" s="4" t="s">
        <v>925</v>
      </c>
      <c r="U2062" s="4">
        <v>0</v>
      </c>
      <c r="V2062" s="4">
        <v>70</v>
      </c>
      <c r="W2062" s="4">
        <v>113</v>
      </c>
    </row>
    <row r="2063" spans="1:23" ht="11.25" customHeight="1" x14ac:dyDescent="0.25">
      <c r="A2063" s="4" t="s">
        <v>27</v>
      </c>
      <c r="B2063" s="4" t="s">
        <v>39</v>
      </c>
      <c r="C2063" s="4" t="s">
        <v>37</v>
      </c>
      <c r="D2063" s="4" t="s">
        <v>42</v>
      </c>
      <c r="E2063" s="4" t="s">
        <v>25</v>
      </c>
      <c r="F2063" s="4" t="s">
        <v>25</v>
      </c>
      <c r="G2063" s="4" t="s">
        <v>25</v>
      </c>
      <c r="H2063" s="4" t="s">
        <v>35</v>
      </c>
      <c r="I2063" s="5">
        <v>43952</v>
      </c>
      <c r="J2063" s="6">
        <v>0</v>
      </c>
      <c r="K2063" s="6">
        <v>0</v>
      </c>
      <c r="L2063" s="6">
        <v>0.81299999999999994</v>
      </c>
      <c r="M2063" s="6">
        <v>0.81299999999999994</v>
      </c>
      <c r="N2063" s="6">
        <v>0.81299999999999994</v>
      </c>
      <c r="O2063" s="6">
        <v>0.81299999999999994</v>
      </c>
      <c r="P2063" s="6">
        <v>0</v>
      </c>
      <c r="Q2063" s="4" t="s">
        <v>26</v>
      </c>
      <c r="R2063" s="4">
        <v>0</v>
      </c>
      <c r="S2063" s="4" t="s">
        <v>618</v>
      </c>
      <c r="T2063" s="4" t="s">
        <v>925</v>
      </c>
      <c r="U2063" s="4">
        <v>0</v>
      </c>
      <c r="V2063" s="4">
        <v>70</v>
      </c>
      <c r="W2063" s="4">
        <v>113</v>
      </c>
    </row>
    <row r="2064" spans="1:23" ht="11.25" customHeight="1" x14ac:dyDescent="0.25">
      <c r="A2064" s="4" t="s">
        <v>21</v>
      </c>
      <c r="B2064" s="4" t="s">
        <v>39</v>
      </c>
      <c r="C2064" s="4" t="s">
        <v>37</v>
      </c>
      <c r="D2064" s="4" t="s">
        <v>42</v>
      </c>
      <c r="E2064" s="4" t="s">
        <v>25</v>
      </c>
      <c r="F2064" s="4" t="s">
        <v>25</v>
      </c>
      <c r="G2064" s="4" t="s">
        <v>25</v>
      </c>
      <c r="H2064" s="4" t="s">
        <v>35</v>
      </c>
      <c r="I2064" s="5">
        <v>43983</v>
      </c>
      <c r="J2064" s="6">
        <v>0</v>
      </c>
      <c r="K2064" s="6">
        <v>0</v>
      </c>
      <c r="L2064" s="6">
        <v>114.015</v>
      </c>
      <c r="M2064" s="6">
        <v>114.015</v>
      </c>
      <c r="N2064" s="6">
        <v>114.015</v>
      </c>
      <c r="O2064" s="6">
        <v>114.015</v>
      </c>
      <c r="P2064" s="6">
        <v>0</v>
      </c>
      <c r="Q2064" s="4" t="s">
        <v>26</v>
      </c>
      <c r="R2064" s="4">
        <v>0</v>
      </c>
      <c r="S2064" s="4" t="s">
        <v>619</v>
      </c>
      <c r="T2064" s="4" t="s">
        <v>926</v>
      </c>
      <c r="U2064" s="4">
        <v>0</v>
      </c>
      <c r="V2064" s="4">
        <v>70</v>
      </c>
      <c r="W2064" s="4">
        <v>113</v>
      </c>
    </row>
    <row r="2065" spans="1:23" ht="11.25" customHeight="1" x14ac:dyDescent="0.25">
      <c r="A2065" s="4" t="s">
        <v>27</v>
      </c>
      <c r="B2065" s="4" t="s">
        <v>39</v>
      </c>
      <c r="C2065" s="4" t="s">
        <v>37</v>
      </c>
      <c r="D2065" s="4" t="s">
        <v>42</v>
      </c>
      <c r="E2065" s="4" t="s">
        <v>25</v>
      </c>
      <c r="F2065" s="4" t="s">
        <v>25</v>
      </c>
      <c r="G2065" s="4" t="s">
        <v>25</v>
      </c>
      <c r="H2065" s="4" t="s">
        <v>35</v>
      </c>
      <c r="I2065" s="5">
        <v>43983</v>
      </c>
      <c r="J2065" s="6">
        <v>0</v>
      </c>
      <c r="K2065" s="6">
        <v>0</v>
      </c>
      <c r="L2065" s="6">
        <v>0.215</v>
      </c>
      <c r="M2065" s="6">
        <v>0.215</v>
      </c>
      <c r="N2065" s="6">
        <v>0.215</v>
      </c>
      <c r="O2065" s="6">
        <v>0.215</v>
      </c>
      <c r="P2065" s="6">
        <v>0</v>
      </c>
      <c r="Q2065" s="4" t="s">
        <v>26</v>
      </c>
      <c r="R2065" s="4">
        <v>0</v>
      </c>
      <c r="S2065" s="4" t="s">
        <v>619</v>
      </c>
      <c r="T2065" s="4" t="s">
        <v>926</v>
      </c>
      <c r="U2065" s="4">
        <v>0</v>
      </c>
      <c r="V2065" s="4">
        <v>70</v>
      </c>
      <c r="W2065" s="4">
        <v>113</v>
      </c>
    </row>
    <row r="2066" spans="1:23" ht="11.25" customHeight="1" x14ac:dyDescent="0.25">
      <c r="A2066" s="4" t="s">
        <v>21</v>
      </c>
      <c r="B2066" s="4" t="s">
        <v>39</v>
      </c>
      <c r="C2066" s="4" t="s">
        <v>37</v>
      </c>
      <c r="D2066" s="4" t="s">
        <v>42</v>
      </c>
      <c r="E2066" s="4" t="s">
        <v>25</v>
      </c>
      <c r="F2066" s="4" t="s">
        <v>25</v>
      </c>
      <c r="G2066" s="4" t="s">
        <v>25</v>
      </c>
      <c r="H2066" s="4" t="s">
        <v>35</v>
      </c>
      <c r="I2066" s="5">
        <v>44013</v>
      </c>
      <c r="J2066" s="6">
        <v>0</v>
      </c>
      <c r="K2066" s="6">
        <v>0</v>
      </c>
      <c r="L2066" s="6">
        <v>123.503</v>
      </c>
      <c r="M2066" s="6">
        <v>123.503</v>
      </c>
      <c r="N2066" s="6">
        <v>123.503</v>
      </c>
      <c r="O2066" s="6">
        <v>123.503</v>
      </c>
      <c r="P2066" s="6">
        <v>0</v>
      </c>
      <c r="Q2066" s="4" t="s">
        <v>26</v>
      </c>
      <c r="R2066" s="4">
        <v>0</v>
      </c>
      <c r="S2066" s="4" t="s">
        <v>620</v>
      </c>
      <c r="T2066" s="4" t="s">
        <v>927</v>
      </c>
      <c r="U2066" s="4">
        <v>0</v>
      </c>
      <c r="V2066" s="4">
        <v>70</v>
      </c>
      <c r="W2066" s="4">
        <v>113</v>
      </c>
    </row>
    <row r="2067" spans="1:23" ht="11.25" customHeight="1" x14ac:dyDescent="0.25">
      <c r="A2067" s="4" t="s">
        <v>27</v>
      </c>
      <c r="B2067" s="4" t="s">
        <v>39</v>
      </c>
      <c r="C2067" s="4" t="s">
        <v>37</v>
      </c>
      <c r="D2067" s="4" t="s">
        <v>42</v>
      </c>
      <c r="E2067" s="4" t="s">
        <v>25</v>
      </c>
      <c r="F2067" s="4" t="s">
        <v>25</v>
      </c>
      <c r="G2067" s="4" t="s">
        <v>25</v>
      </c>
      <c r="H2067" s="4" t="s">
        <v>35</v>
      </c>
      <c r="I2067" s="5">
        <v>44013</v>
      </c>
      <c r="J2067" s="6">
        <v>0</v>
      </c>
      <c r="K2067" s="6">
        <v>0</v>
      </c>
      <c r="L2067" s="6">
        <v>6.4000000000000001E-2</v>
      </c>
      <c r="M2067" s="6">
        <v>6.4000000000000001E-2</v>
      </c>
      <c r="N2067" s="6">
        <v>6.4000000000000001E-2</v>
      </c>
      <c r="O2067" s="6">
        <v>6.4000000000000001E-2</v>
      </c>
      <c r="P2067" s="6">
        <v>0</v>
      </c>
      <c r="Q2067" s="4" t="s">
        <v>26</v>
      </c>
      <c r="R2067" s="4">
        <v>0</v>
      </c>
      <c r="S2067" s="4" t="s">
        <v>620</v>
      </c>
      <c r="T2067" s="4" t="s">
        <v>927</v>
      </c>
      <c r="U2067" s="4">
        <v>0</v>
      </c>
      <c r="V2067" s="4">
        <v>70</v>
      </c>
      <c r="W2067" s="4">
        <v>113</v>
      </c>
    </row>
    <row r="2068" spans="1:23" ht="11.25" customHeight="1" x14ac:dyDescent="0.25">
      <c r="A2068" s="4" t="s">
        <v>27</v>
      </c>
      <c r="B2068" s="4" t="s">
        <v>39</v>
      </c>
      <c r="C2068" s="4" t="s">
        <v>37</v>
      </c>
      <c r="D2068" s="4" t="s">
        <v>42</v>
      </c>
      <c r="E2068" s="4" t="s">
        <v>25</v>
      </c>
      <c r="F2068" s="4" t="s">
        <v>25</v>
      </c>
      <c r="G2068" s="4" t="s">
        <v>25</v>
      </c>
      <c r="H2068" s="4" t="s">
        <v>35</v>
      </c>
      <c r="I2068" s="5">
        <v>44044</v>
      </c>
      <c r="J2068" s="6">
        <v>0</v>
      </c>
      <c r="K2068" s="6">
        <v>0</v>
      </c>
      <c r="L2068" s="6">
        <v>-176.52600000000001</v>
      </c>
      <c r="M2068" s="6">
        <v>-176.52600000000001</v>
      </c>
      <c r="N2068" s="6">
        <v>-176.52600000000001</v>
      </c>
      <c r="O2068" s="6">
        <v>-176.52600000000001</v>
      </c>
      <c r="P2068" s="6">
        <v>0</v>
      </c>
      <c r="Q2068" s="4" t="s">
        <v>26</v>
      </c>
      <c r="R2068" s="4">
        <v>0</v>
      </c>
      <c r="S2068" s="4" t="s">
        <v>621</v>
      </c>
      <c r="T2068" s="4" t="s">
        <v>928</v>
      </c>
      <c r="U2068" s="4">
        <v>0</v>
      </c>
      <c r="V2068" s="4">
        <v>70</v>
      </c>
      <c r="W2068" s="4">
        <v>113</v>
      </c>
    </row>
    <row r="2069" spans="1:23" ht="11.25" customHeight="1" x14ac:dyDescent="0.25">
      <c r="A2069" s="4" t="s">
        <v>59</v>
      </c>
      <c r="B2069" s="4" t="s">
        <v>39</v>
      </c>
      <c r="C2069" s="4" t="s">
        <v>37</v>
      </c>
      <c r="D2069" s="4" t="s">
        <v>42</v>
      </c>
      <c r="E2069" s="4" t="s">
        <v>25</v>
      </c>
      <c r="F2069" s="4" t="s">
        <v>25</v>
      </c>
      <c r="G2069" s="4" t="s">
        <v>25</v>
      </c>
      <c r="H2069" s="4" t="s">
        <v>35</v>
      </c>
      <c r="I2069" s="5">
        <v>44075</v>
      </c>
      <c r="J2069" s="6">
        <v>0</v>
      </c>
      <c r="K2069" s="6">
        <v>0</v>
      </c>
      <c r="L2069" s="6">
        <v>-176.52600000000001</v>
      </c>
      <c r="M2069" s="6">
        <v>-176.52600000000001</v>
      </c>
      <c r="N2069" s="6">
        <v>-176.52600000000001</v>
      </c>
      <c r="O2069" s="6">
        <v>-176.52600000000001</v>
      </c>
      <c r="P2069" s="6">
        <v>0</v>
      </c>
      <c r="Q2069" s="4" t="s">
        <v>26</v>
      </c>
      <c r="R2069" s="4">
        <v>0</v>
      </c>
      <c r="S2069" s="4" t="s">
        <v>622</v>
      </c>
      <c r="T2069" s="4" t="s">
        <v>929</v>
      </c>
      <c r="U2069" s="4">
        <v>0</v>
      </c>
      <c r="V2069" s="4">
        <v>70</v>
      </c>
      <c r="W2069" s="4">
        <v>113</v>
      </c>
    </row>
    <row r="2070" spans="1:23" ht="11.25" customHeight="1" x14ac:dyDescent="0.25">
      <c r="A2070" s="4" t="s">
        <v>21</v>
      </c>
      <c r="B2070" s="4" t="s">
        <v>39</v>
      </c>
      <c r="C2070" s="4" t="s">
        <v>37</v>
      </c>
      <c r="D2070" s="4" t="s">
        <v>40</v>
      </c>
      <c r="E2070" s="4" t="s">
        <v>25</v>
      </c>
      <c r="F2070" s="4" t="s">
        <v>25</v>
      </c>
      <c r="G2070" s="4" t="s">
        <v>25</v>
      </c>
      <c r="H2070" s="4" t="s">
        <v>36</v>
      </c>
      <c r="I2070" s="5">
        <v>43739</v>
      </c>
      <c r="J2070" s="6">
        <v>0</v>
      </c>
      <c r="K2070" s="6">
        <v>0</v>
      </c>
      <c r="L2070" s="6">
        <v>33.978999999999999</v>
      </c>
      <c r="M2070" s="6">
        <v>33.978999999999999</v>
      </c>
      <c r="N2070" s="6">
        <v>33.978999999999999</v>
      </c>
      <c r="O2070" s="6">
        <v>33.978999999999999</v>
      </c>
      <c r="P2070" s="6">
        <v>0</v>
      </c>
      <c r="Q2070" s="4" t="s">
        <v>26</v>
      </c>
      <c r="R2070" s="4">
        <v>0</v>
      </c>
      <c r="S2070" s="4" t="s">
        <v>587</v>
      </c>
      <c r="T2070" s="4" t="s">
        <v>894</v>
      </c>
      <c r="U2070" s="4">
        <v>0</v>
      </c>
      <c r="V2070" s="4">
        <v>72</v>
      </c>
      <c r="W2070" s="4">
        <v>115</v>
      </c>
    </row>
    <row r="2071" spans="1:23" ht="11.25" customHeight="1" x14ac:dyDescent="0.25">
      <c r="A2071" s="4" t="s">
        <v>21</v>
      </c>
      <c r="B2071" s="4" t="s">
        <v>39</v>
      </c>
      <c r="C2071" s="4" t="s">
        <v>37</v>
      </c>
      <c r="D2071" s="4" t="s">
        <v>40</v>
      </c>
      <c r="E2071" s="4" t="s">
        <v>25</v>
      </c>
      <c r="F2071" s="4" t="s">
        <v>25</v>
      </c>
      <c r="G2071" s="4" t="s">
        <v>25</v>
      </c>
      <c r="H2071" s="4" t="s">
        <v>36</v>
      </c>
      <c r="I2071" s="5">
        <v>43770</v>
      </c>
      <c r="J2071" s="6">
        <v>0</v>
      </c>
      <c r="K2071" s="6">
        <v>0</v>
      </c>
      <c r="L2071" s="6">
        <v>35.18</v>
      </c>
      <c r="M2071" s="6">
        <v>35.18</v>
      </c>
      <c r="N2071" s="6">
        <v>35.18</v>
      </c>
      <c r="O2071" s="6">
        <v>35.18</v>
      </c>
      <c r="P2071" s="6">
        <v>0</v>
      </c>
      <c r="Q2071" s="4" t="s">
        <v>26</v>
      </c>
      <c r="R2071" s="4">
        <v>0</v>
      </c>
      <c r="S2071" s="4" t="s">
        <v>588</v>
      </c>
      <c r="T2071" s="4" t="s">
        <v>895</v>
      </c>
      <c r="U2071" s="4">
        <v>0</v>
      </c>
      <c r="V2071" s="4">
        <v>72</v>
      </c>
      <c r="W2071" s="4">
        <v>115</v>
      </c>
    </row>
    <row r="2072" spans="1:23" ht="11.25" customHeight="1" x14ac:dyDescent="0.25">
      <c r="A2072" s="4" t="s">
        <v>21</v>
      </c>
      <c r="B2072" s="4" t="s">
        <v>39</v>
      </c>
      <c r="C2072" s="4" t="s">
        <v>37</v>
      </c>
      <c r="D2072" s="4" t="s">
        <v>40</v>
      </c>
      <c r="E2072" s="4" t="s">
        <v>25</v>
      </c>
      <c r="F2072" s="4" t="s">
        <v>25</v>
      </c>
      <c r="G2072" s="4" t="s">
        <v>25</v>
      </c>
      <c r="H2072" s="4" t="s">
        <v>36</v>
      </c>
      <c r="I2072" s="5">
        <v>43800</v>
      </c>
      <c r="J2072" s="6">
        <v>0</v>
      </c>
      <c r="K2072" s="6">
        <v>0</v>
      </c>
      <c r="L2072" s="6">
        <v>32.433</v>
      </c>
      <c r="M2072" s="6">
        <v>32.433</v>
      </c>
      <c r="N2072" s="6">
        <v>32.433</v>
      </c>
      <c r="O2072" s="6">
        <v>32.433</v>
      </c>
      <c r="P2072" s="6">
        <v>0</v>
      </c>
      <c r="Q2072" s="4" t="s">
        <v>26</v>
      </c>
      <c r="R2072" s="4">
        <v>0</v>
      </c>
      <c r="S2072" s="4" t="s">
        <v>589</v>
      </c>
      <c r="T2072" s="4" t="s">
        <v>896</v>
      </c>
      <c r="U2072" s="4">
        <v>0</v>
      </c>
      <c r="V2072" s="4">
        <v>72</v>
      </c>
      <c r="W2072" s="4">
        <v>115</v>
      </c>
    </row>
    <row r="2073" spans="1:23" ht="11.25" customHeight="1" x14ac:dyDescent="0.25">
      <c r="A2073" s="4" t="s">
        <v>21</v>
      </c>
      <c r="B2073" s="4" t="s">
        <v>39</v>
      </c>
      <c r="C2073" s="4" t="s">
        <v>37</v>
      </c>
      <c r="D2073" s="4" t="s">
        <v>40</v>
      </c>
      <c r="E2073" s="4" t="s">
        <v>25</v>
      </c>
      <c r="F2073" s="4" t="s">
        <v>25</v>
      </c>
      <c r="G2073" s="4" t="s">
        <v>25</v>
      </c>
      <c r="H2073" s="4" t="s">
        <v>36</v>
      </c>
      <c r="I2073" s="5">
        <v>43831</v>
      </c>
      <c r="J2073" s="6">
        <v>0</v>
      </c>
      <c r="K2073" s="6">
        <v>0</v>
      </c>
      <c r="L2073" s="6">
        <v>31.699000000000002</v>
      </c>
      <c r="M2073" s="6">
        <v>31.699000000000002</v>
      </c>
      <c r="N2073" s="6">
        <v>31.699000000000002</v>
      </c>
      <c r="O2073" s="6">
        <v>31.699000000000002</v>
      </c>
      <c r="P2073" s="6">
        <v>0</v>
      </c>
      <c r="Q2073" s="4" t="s">
        <v>26</v>
      </c>
      <c r="R2073" s="4">
        <v>0</v>
      </c>
      <c r="S2073" s="4" t="s">
        <v>590</v>
      </c>
      <c r="T2073" s="4" t="s">
        <v>897</v>
      </c>
      <c r="U2073" s="4">
        <v>0</v>
      </c>
      <c r="V2073" s="4">
        <v>72</v>
      </c>
      <c r="W2073" s="4">
        <v>115</v>
      </c>
    </row>
    <row r="2074" spans="1:23" ht="11.25" customHeight="1" x14ac:dyDescent="0.25">
      <c r="A2074" s="4" t="s">
        <v>21</v>
      </c>
      <c r="B2074" s="4" t="s">
        <v>39</v>
      </c>
      <c r="C2074" s="4" t="s">
        <v>37</v>
      </c>
      <c r="D2074" s="4" t="s">
        <v>40</v>
      </c>
      <c r="E2074" s="4" t="s">
        <v>25</v>
      </c>
      <c r="F2074" s="4" t="s">
        <v>25</v>
      </c>
      <c r="G2074" s="4" t="s">
        <v>25</v>
      </c>
      <c r="H2074" s="4" t="s">
        <v>36</v>
      </c>
      <c r="I2074" s="5">
        <v>43862</v>
      </c>
      <c r="J2074" s="6">
        <v>0</v>
      </c>
      <c r="K2074" s="6">
        <v>0</v>
      </c>
      <c r="L2074" s="6">
        <v>35.018999999999998</v>
      </c>
      <c r="M2074" s="6">
        <v>35.018999999999998</v>
      </c>
      <c r="N2074" s="6">
        <v>35.018999999999998</v>
      </c>
      <c r="O2074" s="6">
        <v>35.018999999999998</v>
      </c>
      <c r="P2074" s="6">
        <v>0</v>
      </c>
      <c r="Q2074" s="4" t="s">
        <v>26</v>
      </c>
      <c r="R2074" s="4">
        <v>0</v>
      </c>
      <c r="S2074" s="4" t="s">
        <v>591</v>
      </c>
      <c r="T2074" s="4" t="s">
        <v>898</v>
      </c>
      <c r="U2074" s="4">
        <v>0</v>
      </c>
      <c r="V2074" s="4">
        <v>72</v>
      </c>
      <c r="W2074" s="4">
        <v>115</v>
      </c>
    </row>
    <row r="2075" spans="1:23" ht="11.25" customHeight="1" x14ac:dyDescent="0.25">
      <c r="A2075" s="4" t="s">
        <v>21</v>
      </c>
      <c r="B2075" s="4" t="s">
        <v>39</v>
      </c>
      <c r="C2075" s="4" t="s">
        <v>37</v>
      </c>
      <c r="D2075" s="4" t="s">
        <v>40</v>
      </c>
      <c r="E2075" s="4" t="s">
        <v>25</v>
      </c>
      <c r="F2075" s="4" t="s">
        <v>25</v>
      </c>
      <c r="G2075" s="4" t="s">
        <v>25</v>
      </c>
      <c r="H2075" s="4" t="s">
        <v>36</v>
      </c>
      <c r="I2075" s="5">
        <v>43891</v>
      </c>
      <c r="J2075" s="6">
        <v>0</v>
      </c>
      <c r="K2075" s="6">
        <v>0</v>
      </c>
      <c r="L2075" s="6">
        <v>22.169</v>
      </c>
      <c r="M2075" s="6">
        <v>22.169</v>
      </c>
      <c r="N2075" s="6">
        <v>22.169</v>
      </c>
      <c r="O2075" s="6">
        <v>22.169</v>
      </c>
      <c r="P2075" s="6">
        <v>0</v>
      </c>
      <c r="Q2075" s="4" t="s">
        <v>26</v>
      </c>
      <c r="R2075" s="4">
        <v>0</v>
      </c>
      <c r="S2075" s="4" t="s">
        <v>592</v>
      </c>
      <c r="T2075" s="4" t="s">
        <v>899</v>
      </c>
      <c r="U2075" s="4">
        <v>0</v>
      </c>
      <c r="V2075" s="4">
        <v>72</v>
      </c>
      <c r="W2075" s="4">
        <v>115</v>
      </c>
    </row>
    <row r="2076" spans="1:23" ht="11.25" customHeight="1" x14ac:dyDescent="0.25">
      <c r="A2076" s="4" t="s">
        <v>27</v>
      </c>
      <c r="B2076" s="4" t="s">
        <v>39</v>
      </c>
      <c r="C2076" s="4" t="s">
        <v>37</v>
      </c>
      <c r="D2076" s="4" t="s">
        <v>40</v>
      </c>
      <c r="E2076" s="4" t="s">
        <v>25</v>
      </c>
      <c r="F2076" s="4" t="s">
        <v>25</v>
      </c>
      <c r="G2076" s="4" t="s">
        <v>25</v>
      </c>
      <c r="H2076" s="4" t="s">
        <v>36</v>
      </c>
      <c r="I2076" s="5">
        <v>43891</v>
      </c>
      <c r="J2076" s="6">
        <v>0</v>
      </c>
      <c r="K2076" s="6">
        <v>0</v>
      </c>
      <c r="L2076" s="6">
        <v>9.4459999999999997</v>
      </c>
      <c r="M2076" s="6">
        <v>9.4459999999999997</v>
      </c>
      <c r="N2076" s="6">
        <v>9.4459999999999997</v>
      </c>
      <c r="O2076" s="6">
        <v>9.4459999999999997</v>
      </c>
      <c r="P2076" s="6">
        <v>0</v>
      </c>
      <c r="Q2076" s="4" t="s">
        <v>26</v>
      </c>
      <c r="R2076" s="4">
        <v>0</v>
      </c>
      <c r="S2076" s="4" t="s">
        <v>592</v>
      </c>
      <c r="T2076" s="4" t="s">
        <v>899</v>
      </c>
      <c r="U2076" s="4">
        <v>0</v>
      </c>
      <c r="V2076" s="4">
        <v>72</v>
      </c>
      <c r="W2076" s="4">
        <v>115</v>
      </c>
    </row>
    <row r="2077" spans="1:23" ht="11.25" customHeight="1" x14ac:dyDescent="0.25">
      <c r="A2077" s="4" t="s">
        <v>21</v>
      </c>
      <c r="B2077" s="4" t="s">
        <v>39</v>
      </c>
      <c r="C2077" s="4" t="s">
        <v>37</v>
      </c>
      <c r="D2077" s="4" t="s">
        <v>40</v>
      </c>
      <c r="E2077" s="4" t="s">
        <v>25</v>
      </c>
      <c r="F2077" s="4" t="s">
        <v>25</v>
      </c>
      <c r="G2077" s="4" t="s">
        <v>25</v>
      </c>
      <c r="H2077" s="4" t="s">
        <v>36</v>
      </c>
      <c r="I2077" s="5">
        <v>43922</v>
      </c>
      <c r="J2077" s="6">
        <v>0</v>
      </c>
      <c r="K2077" s="6">
        <v>0</v>
      </c>
      <c r="L2077" s="6">
        <v>32.130000000000003</v>
      </c>
      <c r="M2077" s="6">
        <v>32.130000000000003</v>
      </c>
      <c r="N2077" s="6">
        <v>32.130000000000003</v>
      </c>
      <c r="O2077" s="6">
        <v>32.130000000000003</v>
      </c>
      <c r="P2077" s="6">
        <v>0</v>
      </c>
      <c r="Q2077" s="4" t="s">
        <v>26</v>
      </c>
      <c r="R2077" s="4">
        <v>0</v>
      </c>
      <c r="S2077" s="4" t="s">
        <v>593</v>
      </c>
      <c r="T2077" s="4" t="s">
        <v>900</v>
      </c>
      <c r="U2077" s="4">
        <v>0</v>
      </c>
      <c r="V2077" s="4">
        <v>72</v>
      </c>
      <c r="W2077" s="4">
        <v>115</v>
      </c>
    </row>
    <row r="2078" spans="1:23" ht="11.25" customHeight="1" x14ac:dyDescent="0.25">
      <c r="A2078" s="4" t="s">
        <v>21</v>
      </c>
      <c r="B2078" s="4" t="s">
        <v>39</v>
      </c>
      <c r="C2078" s="4" t="s">
        <v>37</v>
      </c>
      <c r="D2078" s="4" t="s">
        <v>40</v>
      </c>
      <c r="E2078" s="4" t="s">
        <v>25</v>
      </c>
      <c r="F2078" s="4" t="s">
        <v>25</v>
      </c>
      <c r="G2078" s="4" t="s">
        <v>25</v>
      </c>
      <c r="H2078" s="4" t="s">
        <v>36</v>
      </c>
      <c r="I2078" s="5">
        <v>43952</v>
      </c>
      <c r="J2078" s="6">
        <v>0</v>
      </c>
      <c r="K2078" s="6">
        <v>0</v>
      </c>
      <c r="L2078" s="6">
        <v>30.245000000000001</v>
      </c>
      <c r="M2078" s="6">
        <v>30.245000000000001</v>
      </c>
      <c r="N2078" s="6">
        <v>30.245000000000001</v>
      </c>
      <c r="O2078" s="6">
        <v>30.245000000000001</v>
      </c>
      <c r="P2078" s="6">
        <v>0</v>
      </c>
      <c r="Q2078" s="4" t="s">
        <v>26</v>
      </c>
      <c r="R2078" s="4">
        <v>0</v>
      </c>
      <c r="S2078" s="4" t="s">
        <v>594</v>
      </c>
      <c r="T2078" s="4" t="s">
        <v>901</v>
      </c>
      <c r="U2078" s="4">
        <v>0</v>
      </c>
      <c r="V2078" s="4">
        <v>72</v>
      </c>
      <c r="W2078" s="4">
        <v>115</v>
      </c>
    </row>
    <row r="2079" spans="1:23" ht="11.25" customHeight="1" x14ac:dyDescent="0.25">
      <c r="A2079" s="4" t="s">
        <v>21</v>
      </c>
      <c r="B2079" s="4" t="s">
        <v>39</v>
      </c>
      <c r="C2079" s="4" t="s">
        <v>37</v>
      </c>
      <c r="D2079" s="4" t="s">
        <v>40</v>
      </c>
      <c r="E2079" s="4" t="s">
        <v>25</v>
      </c>
      <c r="F2079" s="4" t="s">
        <v>25</v>
      </c>
      <c r="G2079" s="4" t="s">
        <v>25</v>
      </c>
      <c r="H2079" s="4" t="s">
        <v>36</v>
      </c>
      <c r="I2079" s="5">
        <v>43983</v>
      </c>
      <c r="J2079" s="6">
        <v>0</v>
      </c>
      <c r="K2079" s="6">
        <v>0</v>
      </c>
      <c r="L2079" s="6">
        <v>29.972999999999999</v>
      </c>
      <c r="M2079" s="6">
        <v>29.972999999999999</v>
      </c>
      <c r="N2079" s="6">
        <v>29.972999999999999</v>
      </c>
      <c r="O2079" s="6">
        <v>29.972999999999999</v>
      </c>
      <c r="P2079" s="6">
        <v>0</v>
      </c>
      <c r="Q2079" s="4" t="s">
        <v>26</v>
      </c>
      <c r="R2079" s="4">
        <v>0</v>
      </c>
      <c r="S2079" s="4" t="s">
        <v>595</v>
      </c>
      <c r="T2079" s="4" t="s">
        <v>902</v>
      </c>
      <c r="U2079" s="4">
        <v>0</v>
      </c>
      <c r="V2079" s="4">
        <v>72</v>
      </c>
      <c r="W2079" s="4">
        <v>115</v>
      </c>
    </row>
    <row r="2080" spans="1:23" ht="11.25" customHeight="1" x14ac:dyDescent="0.25">
      <c r="A2080" s="4" t="s">
        <v>21</v>
      </c>
      <c r="B2080" s="4" t="s">
        <v>39</v>
      </c>
      <c r="C2080" s="4" t="s">
        <v>37</v>
      </c>
      <c r="D2080" s="4" t="s">
        <v>40</v>
      </c>
      <c r="E2080" s="4" t="s">
        <v>25</v>
      </c>
      <c r="F2080" s="4" t="s">
        <v>25</v>
      </c>
      <c r="G2080" s="4" t="s">
        <v>25</v>
      </c>
      <c r="H2080" s="4" t="s">
        <v>36</v>
      </c>
      <c r="I2080" s="5">
        <v>44013</v>
      </c>
      <c r="J2080" s="6">
        <v>0</v>
      </c>
      <c r="K2080" s="6">
        <v>0</v>
      </c>
      <c r="L2080" s="6">
        <v>31.661000000000001</v>
      </c>
      <c r="M2080" s="6">
        <v>31.661000000000001</v>
      </c>
      <c r="N2080" s="6">
        <v>31.661000000000001</v>
      </c>
      <c r="O2080" s="6">
        <v>31.661000000000001</v>
      </c>
      <c r="P2080" s="6">
        <v>0</v>
      </c>
      <c r="Q2080" s="4" t="s">
        <v>26</v>
      </c>
      <c r="R2080" s="4">
        <v>0</v>
      </c>
      <c r="S2080" s="4" t="s">
        <v>596</v>
      </c>
      <c r="T2080" s="4" t="s">
        <v>903</v>
      </c>
      <c r="U2080" s="4">
        <v>0</v>
      </c>
      <c r="V2080" s="4">
        <v>72</v>
      </c>
      <c r="W2080" s="4">
        <v>115</v>
      </c>
    </row>
    <row r="2081" spans="1:23" ht="11.25" customHeight="1" x14ac:dyDescent="0.25">
      <c r="A2081" s="4" t="s">
        <v>21</v>
      </c>
      <c r="B2081" s="4" t="s">
        <v>39</v>
      </c>
      <c r="C2081" s="4" t="s">
        <v>37</v>
      </c>
      <c r="D2081" s="4" t="s">
        <v>40</v>
      </c>
      <c r="E2081" s="4" t="s">
        <v>25</v>
      </c>
      <c r="F2081" s="4" t="s">
        <v>25</v>
      </c>
      <c r="G2081" s="4" t="s">
        <v>25</v>
      </c>
      <c r="H2081" s="4" t="s">
        <v>36</v>
      </c>
      <c r="I2081" s="5">
        <v>44044</v>
      </c>
      <c r="J2081" s="6">
        <v>0</v>
      </c>
      <c r="K2081" s="6">
        <v>0</v>
      </c>
      <c r="L2081" s="6">
        <v>33.029000000000003</v>
      </c>
      <c r="M2081" s="6">
        <v>33.029000000000003</v>
      </c>
      <c r="N2081" s="6">
        <v>33.029000000000003</v>
      </c>
      <c r="O2081" s="6">
        <v>33.029000000000003</v>
      </c>
      <c r="P2081" s="6">
        <v>0</v>
      </c>
      <c r="Q2081" s="4" t="s">
        <v>26</v>
      </c>
      <c r="R2081" s="4">
        <v>0</v>
      </c>
      <c r="S2081" s="4" t="s">
        <v>597</v>
      </c>
      <c r="T2081" s="4" t="s">
        <v>904</v>
      </c>
      <c r="U2081" s="4">
        <v>0</v>
      </c>
      <c r="V2081" s="4">
        <v>72</v>
      </c>
      <c r="W2081" s="4">
        <v>115</v>
      </c>
    </row>
    <row r="2082" spans="1:23" ht="11.25" customHeight="1" x14ac:dyDescent="0.25">
      <c r="A2082" s="4" t="s">
        <v>59</v>
      </c>
      <c r="B2082" s="4" t="s">
        <v>39</v>
      </c>
      <c r="C2082" s="4" t="s">
        <v>37</v>
      </c>
      <c r="D2082" s="4" t="s">
        <v>40</v>
      </c>
      <c r="E2082" s="4" t="s">
        <v>25</v>
      </c>
      <c r="F2082" s="4" t="s">
        <v>25</v>
      </c>
      <c r="G2082" s="4" t="s">
        <v>25</v>
      </c>
      <c r="H2082" s="4" t="s">
        <v>36</v>
      </c>
      <c r="I2082" s="5">
        <v>44075</v>
      </c>
      <c r="J2082" s="6">
        <v>0</v>
      </c>
      <c r="K2082" s="6">
        <v>0</v>
      </c>
      <c r="L2082" s="6">
        <v>33.029000000000003</v>
      </c>
      <c r="M2082" s="6">
        <v>33.029000000000003</v>
      </c>
      <c r="N2082" s="6">
        <v>33.029000000000003</v>
      </c>
      <c r="O2082" s="6">
        <v>33.029000000000003</v>
      </c>
      <c r="P2082" s="6">
        <v>0</v>
      </c>
      <c r="Q2082" s="4" t="s">
        <v>26</v>
      </c>
      <c r="R2082" s="4">
        <v>0</v>
      </c>
      <c r="S2082" s="4" t="s">
        <v>598</v>
      </c>
      <c r="T2082" s="4" t="s">
        <v>905</v>
      </c>
      <c r="U2082" s="4">
        <v>0</v>
      </c>
      <c r="V2082" s="4">
        <v>72</v>
      </c>
      <c r="W2082" s="4">
        <v>115</v>
      </c>
    </row>
    <row r="2083" spans="1:23" ht="11.25" customHeight="1" x14ac:dyDescent="0.25">
      <c r="A2083" s="4" t="s">
        <v>21</v>
      </c>
      <c r="B2083" s="4" t="s">
        <v>39</v>
      </c>
      <c r="C2083" s="4" t="s">
        <v>37</v>
      </c>
      <c r="D2083" s="4" t="s">
        <v>40</v>
      </c>
      <c r="E2083" s="4" t="s">
        <v>25</v>
      </c>
      <c r="F2083" s="4" t="s">
        <v>25</v>
      </c>
      <c r="G2083" s="4" t="s">
        <v>25</v>
      </c>
      <c r="H2083" s="4" t="s">
        <v>38</v>
      </c>
      <c r="I2083" s="5">
        <v>43739</v>
      </c>
      <c r="J2083" s="6">
        <v>0</v>
      </c>
      <c r="K2083" s="6">
        <v>0</v>
      </c>
      <c r="L2083" s="6">
        <v>1.4370000000000001</v>
      </c>
      <c r="M2083" s="6">
        <v>1.4370000000000001</v>
      </c>
      <c r="N2083" s="6">
        <v>1.4370000000000001</v>
      </c>
      <c r="O2083" s="6">
        <v>1.4370000000000001</v>
      </c>
      <c r="P2083" s="6">
        <v>0</v>
      </c>
      <c r="Q2083" s="4" t="s">
        <v>26</v>
      </c>
      <c r="R2083" s="4">
        <v>0</v>
      </c>
      <c r="S2083" s="4" t="s">
        <v>599</v>
      </c>
      <c r="T2083" s="4" t="s">
        <v>906</v>
      </c>
      <c r="U2083" s="4">
        <v>0</v>
      </c>
      <c r="V2083" s="4">
        <v>71</v>
      </c>
      <c r="W2083" s="4">
        <v>114</v>
      </c>
    </row>
    <row r="2084" spans="1:23" ht="11.25" customHeight="1" x14ac:dyDescent="0.25">
      <c r="A2084" s="4" t="s">
        <v>21</v>
      </c>
      <c r="B2084" s="4" t="s">
        <v>39</v>
      </c>
      <c r="C2084" s="4" t="s">
        <v>37</v>
      </c>
      <c r="D2084" s="4" t="s">
        <v>40</v>
      </c>
      <c r="E2084" s="4" t="s">
        <v>25</v>
      </c>
      <c r="F2084" s="4" t="s">
        <v>25</v>
      </c>
      <c r="G2084" s="4" t="s">
        <v>25</v>
      </c>
      <c r="H2084" s="4" t="s">
        <v>38</v>
      </c>
      <c r="I2084" s="5">
        <v>43770</v>
      </c>
      <c r="J2084" s="6">
        <v>0</v>
      </c>
      <c r="K2084" s="6">
        <v>0</v>
      </c>
      <c r="L2084" s="6">
        <v>1.6040000000000001</v>
      </c>
      <c r="M2084" s="6">
        <v>1.6040000000000001</v>
      </c>
      <c r="N2084" s="6">
        <v>1.6040000000000001</v>
      </c>
      <c r="O2084" s="6">
        <v>1.6040000000000001</v>
      </c>
      <c r="P2084" s="6">
        <v>0</v>
      </c>
      <c r="Q2084" s="4" t="s">
        <v>26</v>
      </c>
      <c r="R2084" s="4">
        <v>0</v>
      </c>
      <c r="S2084" s="4" t="s">
        <v>600</v>
      </c>
      <c r="T2084" s="4" t="s">
        <v>907</v>
      </c>
      <c r="U2084" s="4">
        <v>0</v>
      </c>
      <c r="V2084" s="4">
        <v>71</v>
      </c>
      <c r="W2084" s="4">
        <v>114</v>
      </c>
    </row>
    <row r="2085" spans="1:23" ht="11.25" customHeight="1" x14ac:dyDescent="0.25">
      <c r="A2085" s="4" t="s">
        <v>21</v>
      </c>
      <c r="B2085" s="4" t="s">
        <v>39</v>
      </c>
      <c r="C2085" s="4" t="s">
        <v>37</v>
      </c>
      <c r="D2085" s="4" t="s">
        <v>40</v>
      </c>
      <c r="E2085" s="4" t="s">
        <v>25</v>
      </c>
      <c r="F2085" s="4" t="s">
        <v>25</v>
      </c>
      <c r="G2085" s="4" t="s">
        <v>25</v>
      </c>
      <c r="H2085" s="4" t="s">
        <v>38</v>
      </c>
      <c r="I2085" s="5">
        <v>43800</v>
      </c>
      <c r="J2085" s="6">
        <v>0</v>
      </c>
      <c r="K2085" s="6">
        <v>0</v>
      </c>
      <c r="L2085" s="6">
        <v>1.3560000000000001</v>
      </c>
      <c r="M2085" s="6">
        <v>1.3560000000000001</v>
      </c>
      <c r="N2085" s="6">
        <v>1.3560000000000001</v>
      </c>
      <c r="O2085" s="6">
        <v>1.3560000000000001</v>
      </c>
      <c r="P2085" s="6">
        <v>0</v>
      </c>
      <c r="Q2085" s="4" t="s">
        <v>26</v>
      </c>
      <c r="R2085" s="4">
        <v>0</v>
      </c>
      <c r="S2085" s="4" t="s">
        <v>601</v>
      </c>
      <c r="T2085" s="4" t="s">
        <v>908</v>
      </c>
      <c r="U2085" s="4">
        <v>0</v>
      </c>
      <c r="V2085" s="4">
        <v>71</v>
      </c>
      <c r="W2085" s="4">
        <v>114</v>
      </c>
    </row>
    <row r="2086" spans="1:23" ht="11.25" customHeight="1" x14ac:dyDescent="0.25">
      <c r="A2086" s="4" t="s">
        <v>21</v>
      </c>
      <c r="B2086" s="4" t="s">
        <v>39</v>
      </c>
      <c r="C2086" s="4" t="s">
        <v>37</v>
      </c>
      <c r="D2086" s="4" t="s">
        <v>40</v>
      </c>
      <c r="E2086" s="4" t="s">
        <v>25</v>
      </c>
      <c r="F2086" s="4" t="s">
        <v>25</v>
      </c>
      <c r="G2086" s="4" t="s">
        <v>25</v>
      </c>
      <c r="H2086" s="4" t="s">
        <v>38</v>
      </c>
      <c r="I2086" s="5">
        <v>43831</v>
      </c>
      <c r="J2086" s="6">
        <v>0</v>
      </c>
      <c r="K2086" s="6">
        <v>0</v>
      </c>
      <c r="L2086" s="6">
        <v>1.2929999999999999</v>
      </c>
      <c r="M2086" s="6">
        <v>1.2929999999999999</v>
      </c>
      <c r="N2086" s="6">
        <v>1.2929999999999999</v>
      </c>
      <c r="O2086" s="6">
        <v>1.2929999999999999</v>
      </c>
      <c r="P2086" s="6">
        <v>0</v>
      </c>
      <c r="Q2086" s="4" t="s">
        <v>26</v>
      </c>
      <c r="R2086" s="4">
        <v>0</v>
      </c>
      <c r="S2086" s="4" t="s">
        <v>602</v>
      </c>
      <c r="T2086" s="4" t="s">
        <v>909</v>
      </c>
      <c r="U2086" s="4">
        <v>0</v>
      </c>
      <c r="V2086" s="4">
        <v>71</v>
      </c>
      <c r="W2086" s="4">
        <v>114</v>
      </c>
    </row>
    <row r="2087" spans="1:23" ht="11.25" customHeight="1" x14ac:dyDescent="0.25">
      <c r="A2087" s="4" t="s">
        <v>21</v>
      </c>
      <c r="B2087" s="4" t="s">
        <v>39</v>
      </c>
      <c r="C2087" s="4" t="s">
        <v>37</v>
      </c>
      <c r="D2087" s="4" t="s">
        <v>40</v>
      </c>
      <c r="E2087" s="4" t="s">
        <v>25</v>
      </c>
      <c r="F2087" s="4" t="s">
        <v>25</v>
      </c>
      <c r="G2087" s="4" t="s">
        <v>25</v>
      </c>
      <c r="H2087" s="4" t="s">
        <v>38</v>
      </c>
      <c r="I2087" s="5">
        <v>43862</v>
      </c>
      <c r="J2087" s="6">
        <v>0</v>
      </c>
      <c r="K2087" s="6">
        <v>0</v>
      </c>
      <c r="L2087" s="6">
        <v>1.3640000000000001</v>
      </c>
      <c r="M2087" s="6">
        <v>1.3640000000000001</v>
      </c>
      <c r="N2087" s="6">
        <v>1.3640000000000001</v>
      </c>
      <c r="O2087" s="6">
        <v>1.3640000000000001</v>
      </c>
      <c r="P2087" s="6">
        <v>0</v>
      </c>
      <c r="Q2087" s="4" t="s">
        <v>26</v>
      </c>
      <c r="R2087" s="4">
        <v>0</v>
      </c>
      <c r="S2087" s="4" t="s">
        <v>603</v>
      </c>
      <c r="T2087" s="4" t="s">
        <v>910</v>
      </c>
      <c r="U2087" s="4">
        <v>0</v>
      </c>
      <c r="V2087" s="4">
        <v>71</v>
      </c>
      <c r="W2087" s="4">
        <v>114</v>
      </c>
    </row>
    <row r="2088" spans="1:23" ht="11.25" customHeight="1" x14ac:dyDescent="0.25">
      <c r="A2088" s="4" t="s">
        <v>21</v>
      </c>
      <c r="B2088" s="4" t="s">
        <v>39</v>
      </c>
      <c r="C2088" s="4" t="s">
        <v>37</v>
      </c>
      <c r="D2088" s="4" t="s">
        <v>40</v>
      </c>
      <c r="E2088" s="4" t="s">
        <v>25</v>
      </c>
      <c r="F2088" s="4" t="s">
        <v>25</v>
      </c>
      <c r="G2088" s="4" t="s">
        <v>25</v>
      </c>
      <c r="H2088" s="4" t="s">
        <v>38</v>
      </c>
      <c r="I2088" s="5">
        <v>43891</v>
      </c>
      <c r="J2088" s="6">
        <v>0</v>
      </c>
      <c r="K2088" s="6">
        <v>0</v>
      </c>
      <c r="L2088" s="6">
        <v>0.67400000000000004</v>
      </c>
      <c r="M2088" s="6">
        <v>0.67400000000000004</v>
      </c>
      <c r="N2088" s="6">
        <v>0.67400000000000004</v>
      </c>
      <c r="O2088" s="6">
        <v>0.67400000000000004</v>
      </c>
      <c r="P2088" s="6">
        <v>0</v>
      </c>
      <c r="Q2088" s="4" t="s">
        <v>26</v>
      </c>
      <c r="R2088" s="4">
        <v>0</v>
      </c>
      <c r="S2088" s="4" t="s">
        <v>604</v>
      </c>
      <c r="T2088" s="4" t="s">
        <v>911</v>
      </c>
      <c r="U2088" s="4">
        <v>0</v>
      </c>
      <c r="V2088" s="4">
        <v>71</v>
      </c>
      <c r="W2088" s="4">
        <v>114</v>
      </c>
    </row>
    <row r="2089" spans="1:23" ht="11.25" customHeight="1" x14ac:dyDescent="0.25">
      <c r="A2089" s="4" t="s">
        <v>27</v>
      </c>
      <c r="B2089" s="4" t="s">
        <v>39</v>
      </c>
      <c r="C2089" s="4" t="s">
        <v>37</v>
      </c>
      <c r="D2089" s="4" t="s">
        <v>40</v>
      </c>
      <c r="E2089" s="4" t="s">
        <v>25</v>
      </c>
      <c r="F2089" s="4" t="s">
        <v>25</v>
      </c>
      <c r="G2089" s="4" t="s">
        <v>25</v>
      </c>
      <c r="H2089" s="4" t="s">
        <v>38</v>
      </c>
      <c r="I2089" s="5">
        <v>43891</v>
      </c>
      <c r="J2089" s="6">
        <v>0</v>
      </c>
      <c r="K2089" s="6">
        <v>0</v>
      </c>
      <c r="L2089" s="6">
        <v>0.47799999999999998</v>
      </c>
      <c r="M2089" s="6">
        <v>0.47799999999999998</v>
      </c>
      <c r="N2089" s="6">
        <v>0.47799999999999998</v>
      </c>
      <c r="O2089" s="6">
        <v>0.47799999999999998</v>
      </c>
      <c r="P2089" s="6">
        <v>0</v>
      </c>
      <c r="Q2089" s="4" t="s">
        <v>26</v>
      </c>
      <c r="R2089" s="4">
        <v>0</v>
      </c>
      <c r="S2089" s="4" t="s">
        <v>604</v>
      </c>
      <c r="T2089" s="4" t="s">
        <v>911</v>
      </c>
      <c r="U2089" s="4">
        <v>0</v>
      </c>
      <c r="V2089" s="4">
        <v>71</v>
      </c>
      <c r="W2089" s="4">
        <v>114</v>
      </c>
    </row>
    <row r="2090" spans="1:23" ht="11.25" customHeight="1" x14ac:dyDescent="0.25">
      <c r="A2090" s="4" t="s">
        <v>21</v>
      </c>
      <c r="B2090" s="4" t="s">
        <v>39</v>
      </c>
      <c r="C2090" s="4" t="s">
        <v>37</v>
      </c>
      <c r="D2090" s="4" t="s">
        <v>40</v>
      </c>
      <c r="E2090" s="4" t="s">
        <v>25</v>
      </c>
      <c r="F2090" s="4" t="s">
        <v>25</v>
      </c>
      <c r="G2090" s="4" t="s">
        <v>25</v>
      </c>
      <c r="H2090" s="4" t="s">
        <v>38</v>
      </c>
      <c r="I2090" s="5">
        <v>43922</v>
      </c>
      <c r="J2090" s="6">
        <v>0</v>
      </c>
      <c r="K2090" s="6">
        <v>0</v>
      </c>
      <c r="L2090" s="6">
        <v>1.0660000000000001</v>
      </c>
      <c r="M2090" s="6">
        <v>1.0660000000000001</v>
      </c>
      <c r="N2090" s="6">
        <v>1.0660000000000001</v>
      </c>
      <c r="O2090" s="6">
        <v>1.0660000000000001</v>
      </c>
      <c r="P2090" s="6">
        <v>0</v>
      </c>
      <c r="Q2090" s="4" t="s">
        <v>26</v>
      </c>
      <c r="R2090" s="4">
        <v>0</v>
      </c>
      <c r="S2090" s="4" t="s">
        <v>605</v>
      </c>
      <c r="T2090" s="4" t="s">
        <v>912</v>
      </c>
      <c r="U2090" s="4">
        <v>0</v>
      </c>
      <c r="V2090" s="4">
        <v>71</v>
      </c>
      <c r="W2090" s="4">
        <v>114</v>
      </c>
    </row>
    <row r="2091" spans="1:23" ht="11.25" customHeight="1" x14ac:dyDescent="0.25">
      <c r="A2091" s="4" t="s">
        <v>21</v>
      </c>
      <c r="B2091" s="4" t="s">
        <v>39</v>
      </c>
      <c r="C2091" s="4" t="s">
        <v>37</v>
      </c>
      <c r="D2091" s="4" t="s">
        <v>40</v>
      </c>
      <c r="E2091" s="4" t="s">
        <v>25</v>
      </c>
      <c r="F2091" s="4" t="s">
        <v>25</v>
      </c>
      <c r="G2091" s="4" t="s">
        <v>25</v>
      </c>
      <c r="H2091" s="4" t="s">
        <v>38</v>
      </c>
      <c r="I2091" s="5">
        <v>43952</v>
      </c>
      <c r="J2091" s="6">
        <v>0</v>
      </c>
      <c r="K2091" s="6">
        <v>0</v>
      </c>
      <c r="L2091" s="6">
        <v>0.95899999999999996</v>
      </c>
      <c r="M2091" s="6">
        <v>0.95899999999999996</v>
      </c>
      <c r="N2091" s="6">
        <v>0.95899999999999996</v>
      </c>
      <c r="O2091" s="6">
        <v>0.95899999999999996</v>
      </c>
      <c r="P2091" s="6">
        <v>0</v>
      </c>
      <c r="Q2091" s="4" t="s">
        <v>26</v>
      </c>
      <c r="R2091" s="4">
        <v>0</v>
      </c>
      <c r="S2091" s="4" t="s">
        <v>606</v>
      </c>
      <c r="T2091" s="4" t="s">
        <v>913</v>
      </c>
      <c r="U2091" s="4">
        <v>0</v>
      </c>
      <c r="V2091" s="4">
        <v>71</v>
      </c>
      <c r="W2091" s="4">
        <v>114</v>
      </c>
    </row>
    <row r="2092" spans="1:23" ht="11.25" customHeight="1" x14ac:dyDescent="0.25">
      <c r="A2092" s="4" t="s">
        <v>21</v>
      </c>
      <c r="B2092" s="4" t="s">
        <v>39</v>
      </c>
      <c r="C2092" s="4" t="s">
        <v>37</v>
      </c>
      <c r="D2092" s="4" t="s">
        <v>40</v>
      </c>
      <c r="E2092" s="4" t="s">
        <v>25</v>
      </c>
      <c r="F2092" s="4" t="s">
        <v>25</v>
      </c>
      <c r="G2092" s="4" t="s">
        <v>25</v>
      </c>
      <c r="H2092" s="4" t="s">
        <v>38</v>
      </c>
      <c r="I2092" s="5">
        <v>43983</v>
      </c>
      <c r="J2092" s="6">
        <v>0</v>
      </c>
      <c r="K2092" s="6">
        <v>0</v>
      </c>
      <c r="L2092" s="6">
        <v>0.96399999999999997</v>
      </c>
      <c r="M2092" s="6">
        <v>0.96399999999999997</v>
      </c>
      <c r="N2092" s="6">
        <v>0.96399999999999997</v>
      </c>
      <c r="O2092" s="6">
        <v>0.96399999999999997</v>
      </c>
      <c r="P2092" s="6">
        <v>0</v>
      </c>
      <c r="Q2092" s="4" t="s">
        <v>26</v>
      </c>
      <c r="R2092" s="4">
        <v>0</v>
      </c>
      <c r="S2092" s="4" t="s">
        <v>607</v>
      </c>
      <c r="T2092" s="4" t="s">
        <v>914</v>
      </c>
      <c r="U2092" s="4">
        <v>0</v>
      </c>
      <c r="V2092" s="4">
        <v>71</v>
      </c>
      <c r="W2092" s="4">
        <v>114</v>
      </c>
    </row>
    <row r="2093" spans="1:23" ht="11.25" customHeight="1" x14ac:dyDescent="0.25">
      <c r="A2093" s="4" t="s">
        <v>21</v>
      </c>
      <c r="B2093" s="4" t="s">
        <v>39</v>
      </c>
      <c r="C2093" s="4" t="s">
        <v>37</v>
      </c>
      <c r="D2093" s="4" t="s">
        <v>40</v>
      </c>
      <c r="E2093" s="4" t="s">
        <v>25</v>
      </c>
      <c r="F2093" s="4" t="s">
        <v>25</v>
      </c>
      <c r="G2093" s="4" t="s">
        <v>25</v>
      </c>
      <c r="H2093" s="4" t="s">
        <v>38</v>
      </c>
      <c r="I2093" s="5">
        <v>44013</v>
      </c>
      <c r="J2093" s="6">
        <v>0</v>
      </c>
      <c r="K2093" s="6">
        <v>0</v>
      </c>
      <c r="L2093" s="6">
        <v>1.002</v>
      </c>
      <c r="M2093" s="6">
        <v>1.002</v>
      </c>
      <c r="N2093" s="6">
        <v>1.002</v>
      </c>
      <c r="O2093" s="6">
        <v>1.002</v>
      </c>
      <c r="P2093" s="6">
        <v>0</v>
      </c>
      <c r="Q2093" s="4" t="s">
        <v>26</v>
      </c>
      <c r="R2093" s="4">
        <v>0</v>
      </c>
      <c r="S2093" s="4" t="s">
        <v>608</v>
      </c>
      <c r="T2093" s="4" t="s">
        <v>915</v>
      </c>
      <c r="U2093" s="4">
        <v>0</v>
      </c>
      <c r="V2093" s="4">
        <v>71</v>
      </c>
      <c r="W2093" s="4">
        <v>114</v>
      </c>
    </row>
    <row r="2094" spans="1:23" ht="11.25" customHeight="1" x14ac:dyDescent="0.25">
      <c r="A2094" s="4" t="s">
        <v>21</v>
      </c>
      <c r="B2094" s="4" t="s">
        <v>39</v>
      </c>
      <c r="C2094" s="4" t="s">
        <v>37</v>
      </c>
      <c r="D2094" s="4" t="s">
        <v>40</v>
      </c>
      <c r="E2094" s="4" t="s">
        <v>25</v>
      </c>
      <c r="F2094" s="4" t="s">
        <v>25</v>
      </c>
      <c r="G2094" s="4" t="s">
        <v>25</v>
      </c>
      <c r="H2094" s="4" t="s">
        <v>38</v>
      </c>
      <c r="I2094" s="5">
        <v>44044</v>
      </c>
      <c r="J2094" s="6">
        <v>0</v>
      </c>
      <c r="K2094" s="6">
        <v>0</v>
      </c>
      <c r="L2094" s="6">
        <v>1.1739999999999999</v>
      </c>
      <c r="M2094" s="6">
        <v>1.1739999999999999</v>
      </c>
      <c r="N2094" s="6">
        <v>1.1739999999999999</v>
      </c>
      <c r="O2094" s="6">
        <v>1.1739999999999999</v>
      </c>
      <c r="P2094" s="6">
        <v>0</v>
      </c>
      <c r="Q2094" s="4" t="s">
        <v>26</v>
      </c>
      <c r="R2094" s="4">
        <v>0</v>
      </c>
      <c r="S2094" s="4" t="s">
        <v>609</v>
      </c>
      <c r="T2094" s="4" t="s">
        <v>916</v>
      </c>
      <c r="U2094" s="4">
        <v>0</v>
      </c>
      <c r="V2094" s="4">
        <v>71</v>
      </c>
      <c r="W2094" s="4">
        <v>114</v>
      </c>
    </row>
    <row r="2095" spans="1:23" ht="11.25" customHeight="1" x14ac:dyDescent="0.25">
      <c r="A2095" s="4" t="s">
        <v>59</v>
      </c>
      <c r="B2095" s="4" t="s">
        <v>39</v>
      </c>
      <c r="C2095" s="4" t="s">
        <v>37</v>
      </c>
      <c r="D2095" s="4" t="s">
        <v>40</v>
      </c>
      <c r="E2095" s="4" t="s">
        <v>25</v>
      </c>
      <c r="F2095" s="4" t="s">
        <v>25</v>
      </c>
      <c r="G2095" s="4" t="s">
        <v>25</v>
      </c>
      <c r="H2095" s="4" t="s">
        <v>38</v>
      </c>
      <c r="I2095" s="5">
        <v>44075</v>
      </c>
      <c r="J2095" s="6">
        <v>0</v>
      </c>
      <c r="K2095" s="6">
        <v>0</v>
      </c>
      <c r="L2095" s="6">
        <v>1.1739999999999999</v>
      </c>
      <c r="M2095" s="6">
        <v>1.1739999999999999</v>
      </c>
      <c r="N2095" s="6">
        <v>1.1739999999999999</v>
      </c>
      <c r="O2095" s="6">
        <v>1.1739999999999999</v>
      </c>
      <c r="P2095" s="6">
        <v>0</v>
      </c>
      <c r="Q2095" s="4" t="s">
        <v>26</v>
      </c>
      <c r="R2095" s="4">
        <v>0</v>
      </c>
      <c r="S2095" s="4" t="s">
        <v>610</v>
      </c>
      <c r="T2095" s="4" t="s">
        <v>917</v>
      </c>
      <c r="U2095" s="4">
        <v>0</v>
      </c>
      <c r="V2095" s="4">
        <v>71</v>
      </c>
      <c r="W2095" s="4">
        <v>114</v>
      </c>
    </row>
    <row r="2096" spans="1:23" ht="11.25" customHeight="1" x14ac:dyDescent="0.25">
      <c r="A2096" s="4" t="s">
        <v>21</v>
      </c>
      <c r="B2096" s="4" t="s">
        <v>39</v>
      </c>
      <c r="C2096" s="4" t="s">
        <v>37</v>
      </c>
      <c r="D2096" s="4" t="s">
        <v>40</v>
      </c>
      <c r="E2096" s="4" t="s">
        <v>25</v>
      </c>
      <c r="F2096" s="4" t="s">
        <v>25</v>
      </c>
      <c r="G2096" s="4" t="s">
        <v>25</v>
      </c>
      <c r="H2096" s="4" t="s">
        <v>35</v>
      </c>
      <c r="I2096" s="5">
        <v>43739</v>
      </c>
      <c r="J2096" s="6">
        <v>0</v>
      </c>
      <c r="K2096" s="6">
        <v>0</v>
      </c>
      <c r="L2096" s="6">
        <v>1.5469999999999999</v>
      </c>
      <c r="M2096" s="6">
        <v>1.5469999999999999</v>
      </c>
      <c r="N2096" s="6">
        <v>1.5469999999999999</v>
      </c>
      <c r="O2096" s="6">
        <v>1.5469999999999999</v>
      </c>
      <c r="P2096" s="6">
        <v>0</v>
      </c>
      <c r="Q2096" s="4" t="s">
        <v>26</v>
      </c>
      <c r="R2096" s="4">
        <v>0</v>
      </c>
      <c r="S2096" s="4" t="s">
        <v>611</v>
      </c>
      <c r="T2096" s="4" t="s">
        <v>918</v>
      </c>
      <c r="U2096" s="4">
        <v>0</v>
      </c>
      <c r="V2096" s="4">
        <v>70</v>
      </c>
      <c r="W2096" s="4">
        <v>113</v>
      </c>
    </row>
    <row r="2097" spans="1:23" ht="11.25" customHeight="1" x14ac:dyDescent="0.25">
      <c r="A2097" s="4" t="s">
        <v>21</v>
      </c>
      <c r="B2097" s="4" t="s">
        <v>39</v>
      </c>
      <c r="C2097" s="4" t="s">
        <v>37</v>
      </c>
      <c r="D2097" s="4" t="s">
        <v>40</v>
      </c>
      <c r="E2097" s="4" t="s">
        <v>25</v>
      </c>
      <c r="F2097" s="4" t="s">
        <v>25</v>
      </c>
      <c r="G2097" s="4" t="s">
        <v>25</v>
      </c>
      <c r="H2097" s="4" t="s">
        <v>35</v>
      </c>
      <c r="I2097" s="5">
        <v>43770</v>
      </c>
      <c r="J2097" s="6">
        <v>0</v>
      </c>
      <c r="K2097" s="6">
        <v>0</v>
      </c>
      <c r="L2097" s="6">
        <v>1.65</v>
      </c>
      <c r="M2097" s="6">
        <v>1.65</v>
      </c>
      <c r="N2097" s="6">
        <v>1.65</v>
      </c>
      <c r="O2097" s="6">
        <v>1.65</v>
      </c>
      <c r="P2097" s="6">
        <v>0</v>
      </c>
      <c r="Q2097" s="4" t="s">
        <v>26</v>
      </c>
      <c r="R2097" s="4">
        <v>0</v>
      </c>
      <c r="S2097" s="4" t="s">
        <v>612</v>
      </c>
      <c r="T2097" s="4" t="s">
        <v>919</v>
      </c>
      <c r="U2097" s="4">
        <v>0</v>
      </c>
      <c r="V2097" s="4">
        <v>70</v>
      </c>
      <c r="W2097" s="4">
        <v>113</v>
      </c>
    </row>
    <row r="2098" spans="1:23" ht="11.25" customHeight="1" x14ac:dyDescent="0.25">
      <c r="A2098" s="4" t="s">
        <v>21</v>
      </c>
      <c r="B2098" s="4" t="s">
        <v>39</v>
      </c>
      <c r="C2098" s="4" t="s">
        <v>37</v>
      </c>
      <c r="D2098" s="4" t="s">
        <v>40</v>
      </c>
      <c r="E2098" s="4" t="s">
        <v>25</v>
      </c>
      <c r="F2098" s="4" t="s">
        <v>25</v>
      </c>
      <c r="G2098" s="4" t="s">
        <v>25</v>
      </c>
      <c r="H2098" s="4" t="s">
        <v>35</v>
      </c>
      <c r="I2098" s="5">
        <v>43800</v>
      </c>
      <c r="J2098" s="6">
        <v>0</v>
      </c>
      <c r="K2098" s="6">
        <v>0</v>
      </c>
      <c r="L2098" s="6">
        <v>1.403</v>
      </c>
      <c r="M2098" s="6">
        <v>1.403</v>
      </c>
      <c r="N2098" s="6">
        <v>1.403</v>
      </c>
      <c r="O2098" s="6">
        <v>1.403</v>
      </c>
      <c r="P2098" s="6">
        <v>0</v>
      </c>
      <c r="Q2098" s="4" t="s">
        <v>26</v>
      </c>
      <c r="R2098" s="4">
        <v>0</v>
      </c>
      <c r="S2098" s="4" t="s">
        <v>613</v>
      </c>
      <c r="T2098" s="4" t="s">
        <v>920</v>
      </c>
      <c r="U2098" s="4">
        <v>0</v>
      </c>
      <c r="V2098" s="4">
        <v>70</v>
      </c>
      <c r="W2098" s="4">
        <v>113</v>
      </c>
    </row>
    <row r="2099" spans="1:23" ht="11.25" customHeight="1" x14ac:dyDescent="0.25">
      <c r="A2099" s="4" t="s">
        <v>21</v>
      </c>
      <c r="B2099" s="4" t="s">
        <v>39</v>
      </c>
      <c r="C2099" s="4" t="s">
        <v>37</v>
      </c>
      <c r="D2099" s="4" t="s">
        <v>40</v>
      </c>
      <c r="E2099" s="4" t="s">
        <v>25</v>
      </c>
      <c r="F2099" s="4" t="s">
        <v>25</v>
      </c>
      <c r="G2099" s="4" t="s">
        <v>25</v>
      </c>
      <c r="H2099" s="4" t="s">
        <v>35</v>
      </c>
      <c r="I2099" s="5">
        <v>43831</v>
      </c>
      <c r="J2099" s="6">
        <v>0</v>
      </c>
      <c r="K2099" s="6">
        <v>0</v>
      </c>
      <c r="L2099" s="6">
        <v>1.4219999999999999</v>
      </c>
      <c r="M2099" s="6">
        <v>1.4219999999999999</v>
      </c>
      <c r="N2099" s="6">
        <v>1.4219999999999999</v>
      </c>
      <c r="O2099" s="6">
        <v>1.4219999999999999</v>
      </c>
      <c r="P2099" s="6">
        <v>0</v>
      </c>
      <c r="Q2099" s="4" t="s">
        <v>26</v>
      </c>
      <c r="R2099" s="4">
        <v>0</v>
      </c>
      <c r="S2099" s="4" t="s">
        <v>614</v>
      </c>
      <c r="T2099" s="4" t="s">
        <v>921</v>
      </c>
      <c r="U2099" s="4">
        <v>0</v>
      </c>
      <c r="V2099" s="4">
        <v>70</v>
      </c>
      <c r="W2099" s="4">
        <v>113</v>
      </c>
    </row>
    <row r="2100" spans="1:23" ht="11.25" customHeight="1" x14ac:dyDescent="0.25">
      <c r="A2100" s="4" t="s">
        <v>21</v>
      </c>
      <c r="B2100" s="4" t="s">
        <v>39</v>
      </c>
      <c r="C2100" s="4" t="s">
        <v>37</v>
      </c>
      <c r="D2100" s="4" t="s">
        <v>40</v>
      </c>
      <c r="E2100" s="4" t="s">
        <v>25</v>
      </c>
      <c r="F2100" s="4" t="s">
        <v>25</v>
      </c>
      <c r="G2100" s="4" t="s">
        <v>25</v>
      </c>
      <c r="H2100" s="4" t="s">
        <v>35</v>
      </c>
      <c r="I2100" s="5">
        <v>43862</v>
      </c>
      <c r="J2100" s="6">
        <v>0</v>
      </c>
      <c r="K2100" s="6">
        <v>0</v>
      </c>
      <c r="L2100" s="6">
        <v>1.391</v>
      </c>
      <c r="M2100" s="6">
        <v>1.391</v>
      </c>
      <c r="N2100" s="6">
        <v>1.391</v>
      </c>
      <c r="O2100" s="6">
        <v>1.391</v>
      </c>
      <c r="P2100" s="6">
        <v>0</v>
      </c>
      <c r="Q2100" s="4" t="s">
        <v>26</v>
      </c>
      <c r="R2100" s="4">
        <v>0</v>
      </c>
      <c r="S2100" s="4" t="s">
        <v>615</v>
      </c>
      <c r="T2100" s="4" t="s">
        <v>922</v>
      </c>
      <c r="U2100" s="4">
        <v>0</v>
      </c>
      <c r="V2100" s="4">
        <v>70</v>
      </c>
      <c r="W2100" s="4">
        <v>113</v>
      </c>
    </row>
    <row r="2101" spans="1:23" ht="11.25" customHeight="1" x14ac:dyDescent="0.25">
      <c r="A2101" s="4" t="s">
        <v>21</v>
      </c>
      <c r="B2101" s="4" t="s">
        <v>39</v>
      </c>
      <c r="C2101" s="4" t="s">
        <v>37</v>
      </c>
      <c r="D2101" s="4" t="s">
        <v>40</v>
      </c>
      <c r="E2101" s="4" t="s">
        <v>25</v>
      </c>
      <c r="F2101" s="4" t="s">
        <v>25</v>
      </c>
      <c r="G2101" s="4" t="s">
        <v>25</v>
      </c>
      <c r="H2101" s="4" t="s">
        <v>35</v>
      </c>
      <c r="I2101" s="5">
        <v>43891</v>
      </c>
      <c r="J2101" s="6">
        <v>0</v>
      </c>
      <c r="K2101" s="6">
        <v>0</v>
      </c>
      <c r="L2101" s="6">
        <v>0.76200000000000001</v>
      </c>
      <c r="M2101" s="6">
        <v>0.76200000000000001</v>
      </c>
      <c r="N2101" s="6">
        <v>0.76200000000000001</v>
      </c>
      <c r="O2101" s="6">
        <v>0.76200000000000001</v>
      </c>
      <c r="P2101" s="6">
        <v>0</v>
      </c>
      <c r="Q2101" s="4" t="s">
        <v>26</v>
      </c>
      <c r="R2101" s="4">
        <v>0</v>
      </c>
      <c r="S2101" s="4" t="s">
        <v>616</v>
      </c>
      <c r="T2101" s="4" t="s">
        <v>923</v>
      </c>
      <c r="U2101" s="4">
        <v>0</v>
      </c>
      <c r="V2101" s="4">
        <v>70</v>
      </c>
      <c r="W2101" s="4">
        <v>113</v>
      </c>
    </row>
    <row r="2102" spans="1:23" ht="11.25" customHeight="1" x14ac:dyDescent="0.25">
      <c r="A2102" s="4" t="s">
        <v>27</v>
      </c>
      <c r="B2102" s="4" t="s">
        <v>39</v>
      </c>
      <c r="C2102" s="4" t="s">
        <v>37</v>
      </c>
      <c r="D2102" s="4" t="s">
        <v>40</v>
      </c>
      <c r="E2102" s="4" t="s">
        <v>25</v>
      </c>
      <c r="F2102" s="4" t="s">
        <v>25</v>
      </c>
      <c r="G2102" s="4" t="s">
        <v>25</v>
      </c>
      <c r="H2102" s="4" t="s">
        <v>35</v>
      </c>
      <c r="I2102" s="5">
        <v>43891</v>
      </c>
      <c r="J2102" s="6">
        <v>0</v>
      </c>
      <c r="K2102" s="6">
        <v>0</v>
      </c>
      <c r="L2102" s="6">
        <v>0.48199999999999998</v>
      </c>
      <c r="M2102" s="6">
        <v>0.48199999999999998</v>
      </c>
      <c r="N2102" s="6">
        <v>0.48199999999999998</v>
      </c>
      <c r="O2102" s="6">
        <v>0.48199999999999998</v>
      </c>
      <c r="P2102" s="6">
        <v>0</v>
      </c>
      <c r="Q2102" s="4" t="s">
        <v>26</v>
      </c>
      <c r="R2102" s="4">
        <v>0</v>
      </c>
      <c r="S2102" s="4" t="s">
        <v>616</v>
      </c>
      <c r="T2102" s="4" t="s">
        <v>923</v>
      </c>
      <c r="U2102" s="4">
        <v>0</v>
      </c>
      <c r="V2102" s="4">
        <v>70</v>
      </c>
      <c r="W2102" s="4">
        <v>113</v>
      </c>
    </row>
    <row r="2103" spans="1:23" ht="11.25" customHeight="1" x14ac:dyDescent="0.25">
      <c r="A2103" s="4" t="s">
        <v>21</v>
      </c>
      <c r="B2103" s="4" t="s">
        <v>39</v>
      </c>
      <c r="C2103" s="4" t="s">
        <v>37</v>
      </c>
      <c r="D2103" s="4" t="s">
        <v>40</v>
      </c>
      <c r="E2103" s="4" t="s">
        <v>25</v>
      </c>
      <c r="F2103" s="4" t="s">
        <v>25</v>
      </c>
      <c r="G2103" s="4" t="s">
        <v>25</v>
      </c>
      <c r="H2103" s="4" t="s">
        <v>35</v>
      </c>
      <c r="I2103" s="5">
        <v>43922</v>
      </c>
      <c r="J2103" s="6">
        <v>0</v>
      </c>
      <c r="K2103" s="6">
        <v>0</v>
      </c>
      <c r="L2103" s="6">
        <v>1.2889999999999999</v>
      </c>
      <c r="M2103" s="6">
        <v>1.2889999999999999</v>
      </c>
      <c r="N2103" s="6">
        <v>1.2889999999999999</v>
      </c>
      <c r="O2103" s="6">
        <v>1.2889999999999999</v>
      </c>
      <c r="P2103" s="6">
        <v>0</v>
      </c>
      <c r="Q2103" s="4" t="s">
        <v>26</v>
      </c>
      <c r="R2103" s="4">
        <v>0</v>
      </c>
      <c r="S2103" s="4" t="s">
        <v>617</v>
      </c>
      <c r="T2103" s="4" t="s">
        <v>924</v>
      </c>
      <c r="U2103" s="4">
        <v>0</v>
      </c>
      <c r="V2103" s="4">
        <v>70</v>
      </c>
      <c r="W2103" s="4">
        <v>113</v>
      </c>
    </row>
    <row r="2104" spans="1:23" ht="11.25" customHeight="1" x14ac:dyDescent="0.25">
      <c r="A2104" s="4" t="s">
        <v>21</v>
      </c>
      <c r="B2104" s="4" t="s">
        <v>39</v>
      </c>
      <c r="C2104" s="4" t="s">
        <v>37</v>
      </c>
      <c r="D2104" s="4" t="s">
        <v>40</v>
      </c>
      <c r="E2104" s="4" t="s">
        <v>25</v>
      </c>
      <c r="F2104" s="4" t="s">
        <v>25</v>
      </c>
      <c r="G2104" s="4" t="s">
        <v>25</v>
      </c>
      <c r="H2104" s="4" t="s">
        <v>35</v>
      </c>
      <c r="I2104" s="5">
        <v>43952</v>
      </c>
      <c r="J2104" s="6">
        <v>0</v>
      </c>
      <c r="K2104" s="6">
        <v>0</v>
      </c>
      <c r="L2104" s="6">
        <v>1.0669999999999999</v>
      </c>
      <c r="M2104" s="6">
        <v>1.0669999999999999</v>
      </c>
      <c r="N2104" s="6">
        <v>1.0669999999999999</v>
      </c>
      <c r="O2104" s="6">
        <v>1.0669999999999999</v>
      </c>
      <c r="P2104" s="6">
        <v>0</v>
      </c>
      <c r="Q2104" s="4" t="s">
        <v>26</v>
      </c>
      <c r="R2104" s="4">
        <v>0</v>
      </c>
      <c r="S2104" s="4" t="s">
        <v>618</v>
      </c>
      <c r="T2104" s="4" t="s">
        <v>925</v>
      </c>
      <c r="U2104" s="4">
        <v>0</v>
      </c>
      <c r="V2104" s="4">
        <v>70</v>
      </c>
      <c r="W2104" s="4">
        <v>113</v>
      </c>
    </row>
    <row r="2105" spans="1:23" ht="11.25" customHeight="1" x14ac:dyDescent="0.25">
      <c r="A2105" s="4" t="s">
        <v>21</v>
      </c>
      <c r="B2105" s="4" t="s">
        <v>39</v>
      </c>
      <c r="C2105" s="4" t="s">
        <v>37</v>
      </c>
      <c r="D2105" s="4" t="s">
        <v>40</v>
      </c>
      <c r="E2105" s="4" t="s">
        <v>25</v>
      </c>
      <c r="F2105" s="4" t="s">
        <v>25</v>
      </c>
      <c r="G2105" s="4" t="s">
        <v>25</v>
      </c>
      <c r="H2105" s="4" t="s">
        <v>35</v>
      </c>
      <c r="I2105" s="5">
        <v>43983</v>
      </c>
      <c r="J2105" s="6">
        <v>0</v>
      </c>
      <c r="K2105" s="6">
        <v>0</v>
      </c>
      <c r="L2105" s="6">
        <v>1.054</v>
      </c>
      <c r="M2105" s="6">
        <v>1.054</v>
      </c>
      <c r="N2105" s="6">
        <v>1.054</v>
      </c>
      <c r="O2105" s="6">
        <v>1.054</v>
      </c>
      <c r="P2105" s="6">
        <v>0</v>
      </c>
      <c r="Q2105" s="4" t="s">
        <v>26</v>
      </c>
      <c r="R2105" s="4">
        <v>0</v>
      </c>
      <c r="S2105" s="4" t="s">
        <v>619</v>
      </c>
      <c r="T2105" s="4" t="s">
        <v>926</v>
      </c>
      <c r="U2105" s="4">
        <v>0</v>
      </c>
      <c r="V2105" s="4">
        <v>70</v>
      </c>
      <c r="W2105" s="4">
        <v>113</v>
      </c>
    </row>
    <row r="2106" spans="1:23" ht="11.25" customHeight="1" x14ac:dyDescent="0.25">
      <c r="A2106" s="4" t="s">
        <v>21</v>
      </c>
      <c r="B2106" s="4" t="s">
        <v>39</v>
      </c>
      <c r="C2106" s="4" t="s">
        <v>37</v>
      </c>
      <c r="D2106" s="4" t="s">
        <v>40</v>
      </c>
      <c r="E2106" s="4" t="s">
        <v>25</v>
      </c>
      <c r="F2106" s="4" t="s">
        <v>25</v>
      </c>
      <c r="G2106" s="4" t="s">
        <v>25</v>
      </c>
      <c r="H2106" s="4" t="s">
        <v>35</v>
      </c>
      <c r="I2106" s="5">
        <v>44013</v>
      </c>
      <c r="J2106" s="6">
        <v>0</v>
      </c>
      <c r="K2106" s="6">
        <v>0</v>
      </c>
      <c r="L2106" s="6">
        <v>1.135</v>
      </c>
      <c r="M2106" s="6">
        <v>1.135</v>
      </c>
      <c r="N2106" s="6">
        <v>1.135</v>
      </c>
      <c r="O2106" s="6">
        <v>1.135</v>
      </c>
      <c r="P2106" s="6">
        <v>0</v>
      </c>
      <c r="Q2106" s="4" t="s">
        <v>26</v>
      </c>
      <c r="R2106" s="4">
        <v>0</v>
      </c>
      <c r="S2106" s="4" t="s">
        <v>620</v>
      </c>
      <c r="T2106" s="4" t="s">
        <v>927</v>
      </c>
      <c r="U2106" s="4">
        <v>0</v>
      </c>
      <c r="V2106" s="4">
        <v>70</v>
      </c>
      <c r="W2106" s="4">
        <v>113</v>
      </c>
    </row>
    <row r="2107" spans="1:23" ht="11.25" customHeight="1" x14ac:dyDescent="0.25">
      <c r="A2107" s="4" t="s">
        <v>21</v>
      </c>
      <c r="B2107" s="4" t="s">
        <v>39</v>
      </c>
      <c r="C2107" s="4" t="s">
        <v>37</v>
      </c>
      <c r="D2107" s="4" t="s">
        <v>40</v>
      </c>
      <c r="E2107" s="4" t="s">
        <v>25</v>
      </c>
      <c r="F2107" s="4" t="s">
        <v>25</v>
      </c>
      <c r="G2107" s="4" t="s">
        <v>25</v>
      </c>
      <c r="H2107" s="4" t="s">
        <v>35</v>
      </c>
      <c r="I2107" s="5">
        <v>44044</v>
      </c>
      <c r="J2107" s="6">
        <v>0</v>
      </c>
      <c r="K2107" s="6">
        <v>0</v>
      </c>
      <c r="L2107" s="6">
        <v>1.29</v>
      </c>
      <c r="M2107" s="6">
        <v>1.29</v>
      </c>
      <c r="N2107" s="6">
        <v>1.29</v>
      </c>
      <c r="O2107" s="6">
        <v>1.29</v>
      </c>
      <c r="P2107" s="6">
        <v>0</v>
      </c>
      <c r="Q2107" s="4" t="s">
        <v>26</v>
      </c>
      <c r="R2107" s="4">
        <v>0</v>
      </c>
      <c r="S2107" s="4" t="s">
        <v>621</v>
      </c>
      <c r="T2107" s="4" t="s">
        <v>928</v>
      </c>
      <c r="U2107" s="4">
        <v>0</v>
      </c>
      <c r="V2107" s="4">
        <v>70</v>
      </c>
      <c r="W2107" s="4">
        <v>113</v>
      </c>
    </row>
    <row r="2108" spans="1:23" ht="11.25" customHeight="1" x14ac:dyDescent="0.25">
      <c r="A2108" s="4" t="s">
        <v>59</v>
      </c>
      <c r="B2108" s="4" t="s">
        <v>39</v>
      </c>
      <c r="C2108" s="4" t="s">
        <v>37</v>
      </c>
      <c r="D2108" s="4" t="s">
        <v>40</v>
      </c>
      <c r="E2108" s="4" t="s">
        <v>25</v>
      </c>
      <c r="F2108" s="4" t="s">
        <v>25</v>
      </c>
      <c r="G2108" s="4" t="s">
        <v>25</v>
      </c>
      <c r="H2108" s="4" t="s">
        <v>35</v>
      </c>
      <c r="I2108" s="5">
        <v>44075</v>
      </c>
      <c r="J2108" s="6">
        <v>0</v>
      </c>
      <c r="K2108" s="6">
        <v>0</v>
      </c>
      <c r="L2108" s="6">
        <v>1.29</v>
      </c>
      <c r="M2108" s="6">
        <v>1.29</v>
      </c>
      <c r="N2108" s="6">
        <v>1.29</v>
      </c>
      <c r="O2108" s="6">
        <v>1.29</v>
      </c>
      <c r="P2108" s="6">
        <v>0</v>
      </c>
      <c r="Q2108" s="4" t="s">
        <v>26</v>
      </c>
      <c r="R2108" s="4">
        <v>0</v>
      </c>
      <c r="S2108" s="4" t="s">
        <v>622</v>
      </c>
      <c r="T2108" s="4" t="s">
        <v>929</v>
      </c>
      <c r="U2108" s="4">
        <v>0</v>
      </c>
      <c r="V2108" s="4">
        <v>70</v>
      </c>
      <c r="W2108" s="4">
        <v>113</v>
      </c>
    </row>
    <row r="2109" spans="1:23" ht="11.25" customHeight="1" x14ac:dyDescent="0.25">
      <c r="A2109" s="4" t="s">
        <v>21</v>
      </c>
      <c r="B2109" s="4" t="s">
        <v>39</v>
      </c>
      <c r="C2109" s="4" t="s">
        <v>37</v>
      </c>
      <c r="D2109" s="4" t="s">
        <v>48</v>
      </c>
      <c r="E2109" s="4" t="s">
        <v>25</v>
      </c>
      <c r="F2109" s="4" t="s">
        <v>25</v>
      </c>
      <c r="G2109" s="4" t="s">
        <v>25</v>
      </c>
      <c r="H2109" s="4" t="s">
        <v>36</v>
      </c>
      <c r="I2109" s="5">
        <v>43922</v>
      </c>
      <c r="J2109" s="6">
        <v>0</v>
      </c>
      <c r="K2109" s="6">
        <v>0</v>
      </c>
      <c r="L2109" s="6">
        <v>1.7529999999999999</v>
      </c>
      <c r="M2109" s="6">
        <v>1.7529999999999999</v>
      </c>
      <c r="N2109" s="6">
        <v>1.7529999999999999</v>
      </c>
      <c r="O2109" s="6">
        <v>1.7529999999999999</v>
      </c>
      <c r="P2109" s="6">
        <v>0</v>
      </c>
      <c r="Q2109" s="4" t="s">
        <v>26</v>
      </c>
      <c r="R2109" s="4">
        <v>0</v>
      </c>
      <c r="S2109" s="4" t="s">
        <v>593</v>
      </c>
      <c r="T2109" s="4" t="s">
        <v>900</v>
      </c>
      <c r="U2109" s="4">
        <v>0</v>
      </c>
      <c r="V2109" s="4">
        <v>72</v>
      </c>
      <c r="W2109" s="4">
        <v>115</v>
      </c>
    </row>
    <row r="2110" spans="1:23" ht="11.25" customHeight="1" x14ac:dyDescent="0.25">
      <c r="A2110" s="4" t="s">
        <v>21</v>
      </c>
      <c r="B2110" s="4" t="s">
        <v>39</v>
      </c>
      <c r="C2110" s="4" t="s">
        <v>37</v>
      </c>
      <c r="D2110" s="4" t="s">
        <v>48</v>
      </c>
      <c r="E2110" s="4" t="s">
        <v>25</v>
      </c>
      <c r="F2110" s="4" t="s">
        <v>25</v>
      </c>
      <c r="G2110" s="4" t="s">
        <v>25</v>
      </c>
      <c r="H2110" s="4" t="s">
        <v>36</v>
      </c>
      <c r="I2110" s="5">
        <v>43952</v>
      </c>
      <c r="J2110" s="6">
        <v>0</v>
      </c>
      <c r="K2110" s="6">
        <v>0</v>
      </c>
      <c r="L2110" s="6">
        <v>1.1739999999999999</v>
      </c>
      <c r="M2110" s="6">
        <v>1.1739999999999999</v>
      </c>
      <c r="N2110" s="6">
        <v>1.1739999999999999</v>
      </c>
      <c r="O2110" s="6">
        <v>1.1739999999999999</v>
      </c>
      <c r="P2110" s="6">
        <v>0</v>
      </c>
      <c r="Q2110" s="4" t="s">
        <v>26</v>
      </c>
      <c r="R2110" s="4">
        <v>0</v>
      </c>
      <c r="S2110" s="4" t="s">
        <v>594</v>
      </c>
      <c r="T2110" s="4" t="s">
        <v>901</v>
      </c>
      <c r="U2110" s="4">
        <v>0</v>
      </c>
      <c r="V2110" s="4">
        <v>72</v>
      </c>
      <c r="W2110" s="4">
        <v>115</v>
      </c>
    </row>
    <row r="2111" spans="1:23" ht="11.25" customHeight="1" x14ac:dyDescent="0.25">
      <c r="A2111" s="4" t="s">
        <v>21</v>
      </c>
      <c r="B2111" s="4" t="s">
        <v>39</v>
      </c>
      <c r="C2111" s="4" t="s">
        <v>37</v>
      </c>
      <c r="D2111" s="4" t="s">
        <v>48</v>
      </c>
      <c r="E2111" s="4" t="s">
        <v>25</v>
      </c>
      <c r="F2111" s="4" t="s">
        <v>25</v>
      </c>
      <c r="G2111" s="4" t="s">
        <v>25</v>
      </c>
      <c r="H2111" s="4" t="s">
        <v>36</v>
      </c>
      <c r="I2111" s="5">
        <v>43983</v>
      </c>
      <c r="J2111" s="6">
        <v>0</v>
      </c>
      <c r="K2111" s="6">
        <v>0</v>
      </c>
      <c r="L2111" s="6">
        <v>1.2909999999999999</v>
      </c>
      <c r="M2111" s="6">
        <v>1.2909999999999999</v>
      </c>
      <c r="N2111" s="6">
        <v>1.2909999999999999</v>
      </c>
      <c r="O2111" s="6">
        <v>1.2909999999999999</v>
      </c>
      <c r="P2111" s="6">
        <v>0</v>
      </c>
      <c r="Q2111" s="4" t="s">
        <v>26</v>
      </c>
      <c r="R2111" s="4">
        <v>0</v>
      </c>
      <c r="S2111" s="4" t="s">
        <v>595</v>
      </c>
      <c r="T2111" s="4" t="s">
        <v>902</v>
      </c>
      <c r="U2111" s="4">
        <v>0</v>
      </c>
      <c r="V2111" s="4">
        <v>72</v>
      </c>
      <c r="W2111" s="4">
        <v>115</v>
      </c>
    </row>
    <row r="2112" spans="1:23" ht="11.25" customHeight="1" x14ac:dyDescent="0.25">
      <c r="A2112" s="4" t="s">
        <v>21</v>
      </c>
      <c r="B2112" s="4" t="s">
        <v>39</v>
      </c>
      <c r="C2112" s="4" t="s">
        <v>37</v>
      </c>
      <c r="D2112" s="4" t="s">
        <v>48</v>
      </c>
      <c r="E2112" s="4" t="s">
        <v>25</v>
      </c>
      <c r="F2112" s="4" t="s">
        <v>25</v>
      </c>
      <c r="G2112" s="4" t="s">
        <v>25</v>
      </c>
      <c r="H2112" s="4" t="s">
        <v>36</v>
      </c>
      <c r="I2112" s="5">
        <v>44013</v>
      </c>
      <c r="J2112" s="6">
        <v>0</v>
      </c>
      <c r="K2112" s="6">
        <v>0</v>
      </c>
      <c r="L2112" s="6">
        <v>1.4390000000000001</v>
      </c>
      <c r="M2112" s="6">
        <v>1.4390000000000001</v>
      </c>
      <c r="N2112" s="6">
        <v>1.4390000000000001</v>
      </c>
      <c r="O2112" s="6">
        <v>1.4390000000000001</v>
      </c>
      <c r="P2112" s="6">
        <v>0</v>
      </c>
      <c r="Q2112" s="4" t="s">
        <v>26</v>
      </c>
      <c r="R2112" s="4">
        <v>0</v>
      </c>
      <c r="S2112" s="4" t="s">
        <v>596</v>
      </c>
      <c r="T2112" s="4" t="s">
        <v>903</v>
      </c>
      <c r="U2112" s="4">
        <v>0</v>
      </c>
      <c r="V2112" s="4">
        <v>72</v>
      </c>
      <c r="W2112" s="4">
        <v>115</v>
      </c>
    </row>
    <row r="2113" spans="1:23" ht="11.25" customHeight="1" x14ac:dyDescent="0.25">
      <c r="A2113" s="4" t="s">
        <v>21</v>
      </c>
      <c r="B2113" s="4" t="s">
        <v>39</v>
      </c>
      <c r="C2113" s="4" t="s">
        <v>37</v>
      </c>
      <c r="D2113" s="4" t="s">
        <v>48</v>
      </c>
      <c r="E2113" s="4" t="s">
        <v>25</v>
      </c>
      <c r="F2113" s="4" t="s">
        <v>25</v>
      </c>
      <c r="G2113" s="4" t="s">
        <v>25</v>
      </c>
      <c r="H2113" s="4" t="s">
        <v>36</v>
      </c>
      <c r="I2113" s="5">
        <v>44044</v>
      </c>
      <c r="J2113" s="6">
        <v>0</v>
      </c>
      <c r="K2113" s="6">
        <v>0</v>
      </c>
      <c r="L2113" s="6">
        <v>1.6759999999999999</v>
      </c>
      <c r="M2113" s="6">
        <v>1.6759999999999999</v>
      </c>
      <c r="N2113" s="6">
        <v>1.6759999999999999</v>
      </c>
      <c r="O2113" s="6">
        <v>1.6759999999999999</v>
      </c>
      <c r="P2113" s="6">
        <v>0</v>
      </c>
      <c r="Q2113" s="4" t="s">
        <v>26</v>
      </c>
      <c r="R2113" s="4">
        <v>0</v>
      </c>
      <c r="S2113" s="4" t="s">
        <v>597</v>
      </c>
      <c r="T2113" s="4" t="s">
        <v>904</v>
      </c>
      <c r="U2113" s="4">
        <v>0</v>
      </c>
      <c r="V2113" s="4">
        <v>72</v>
      </c>
      <c r="W2113" s="4">
        <v>115</v>
      </c>
    </row>
    <row r="2114" spans="1:23" ht="11.25" customHeight="1" x14ac:dyDescent="0.25">
      <c r="A2114" s="4" t="s">
        <v>59</v>
      </c>
      <c r="B2114" s="4" t="s">
        <v>39</v>
      </c>
      <c r="C2114" s="4" t="s">
        <v>37</v>
      </c>
      <c r="D2114" s="4" t="s">
        <v>48</v>
      </c>
      <c r="E2114" s="4" t="s">
        <v>25</v>
      </c>
      <c r="F2114" s="4" t="s">
        <v>25</v>
      </c>
      <c r="G2114" s="4" t="s">
        <v>25</v>
      </c>
      <c r="H2114" s="4" t="s">
        <v>36</v>
      </c>
      <c r="I2114" s="5">
        <v>44075</v>
      </c>
      <c r="J2114" s="6">
        <v>0</v>
      </c>
      <c r="K2114" s="6">
        <v>0</v>
      </c>
      <c r="L2114" s="6">
        <v>1.6759999999999999</v>
      </c>
      <c r="M2114" s="6">
        <v>1.6759999999999999</v>
      </c>
      <c r="N2114" s="6">
        <v>1.6759999999999999</v>
      </c>
      <c r="O2114" s="6">
        <v>1.6759999999999999</v>
      </c>
      <c r="P2114" s="6">
        <v>0</v>
      </c>
      <c r="Q2114" s="4" t="s">
        <v>26</v>
      </c>
      <c r="R2114" s="4">
        <v>0</v>
      </c>
      <c r="S2114" s="4" t="s">
        <v>598</v>
      </c>
      <c r="T2114" s="4" t="s">
        <v>905</v>
      </c>
      <c r="U2114" s="4">
        <v>0</v>
      </c>
      <c r="V2114" s="4">
        <v>72</v>
      </c>
      <c r="W2114" s="4">
        <v>115</v>
      </c>
    </row>
    <row r="2115" spans="1:23" ht="11.25" customHeight="1" x14ac:dyDescent="0.25">
      <c r="A2115" s="4" t="s">
        <v>21</v>
      </c>
      <c r="B2115" s="4" t="s">
        <v>39</v>
      </c>
      <c r="C2115" s="4" t="s">
        <v>37</v>
      </c>
      <c r="D2115" s="4" t="s">
        <v>48</v>
      </c>
      <c r="E2115" s="4" t="s">
        <v>25</v>
      </c>
      <c r="F2115" s="4" t="s">
        <v>25</v>
      </c>
      <c r="G2115" s="4" t="s">
        <v>25</v>
      </c>
      <c r="H2115" s="4" t="s">
        <v>38</v>
      </c>
      <c r="I2115" s="5">
        <v>43922</v>
      </c>
      <c r="J2115" s="6">
        <v>0</v>
      </c>
      <c r="K2115" s="6">
        <v>0</v>
      </c>
      <c r="L2115" s="6">
        <v>8.1000000000000003E-2</v>
      </c>
      <c r="M2115" s="6">
        <v>8.1000000000000003E-2</v>
      </c>
      <c r="N2115" s="6">
        <v>8.1000000000000003E-2</v>
      </c>
      <c r="O2115" s="6">
        <v>8.1000000000000003E-2</v>
      </c>
      <c r="P2115" s="6">
        <v>0</v>
      </c>
      <c r="Q2115" s="4" t="s">
        <v>26</v>
      </c>
      <c r="R2115" s="4">
        <v>0</v>
      </c>
      <c r="S2115" s="4" t="s">
        <v>605</v>
      </c>
      <c r="T2115" s="4" t="s">
        <v>912</v>
      </c>
      <c r="U2115" s="4">
        <v>0</v>
      </c>
      <c r="V2115" s="4">
        <v>71</v>
      </c>
      <c r="W2115" s="4">
        <v>114</v>
      </c>
    </row>
    <row r="2116" spans="1:23" ht="11.25" customHeight="1" x14ac:dyDescent="0.25">
      <c r="A2116" s="4" t="s">
        <v>21</v>
      </c>
      <c r="B2116" s="4" t="s">
        <v>39</v>
      </c>
      <c r="C2116" s="4" t="s">
        <v>37</v>
      </c>
      <c r="D2116" s="4" t="s">
        <v>48</v>
      </c>
      <c r="E2116" s="4" t="s">
        <v>25</v>
      </c>
      <c r="F2116" s="4" t="s">
        <v>25</v>
      </c>
      <c r="G2116" s="4" t="s">
        <v>25</v>
      </c>
      <c r="H2116" s="4" t="s">
        <v>38</v>
      </c>
      <c r="I2116" s="5">
        <v>43952</v>
      </c>
      <c r="J2116" s="6">
        <v>0</v>
      </c>
      <c r="K2116" s="6">
        <v>0</v>
      </c>
      <c r="L2116" s="6">
        <v>8.6999999999999994E-2</v>
      </c>
      <c r="M2116" s="6">
        <v>8.6999999999999994E-2</v>
      </c>
      <c r="N2116" s="6">
        <v>8.6999999999999994E-2</v>
      </c>
      <c r="O2116" s="6">
        <v>8.6999999999999994E-2</v>
      </c>
      <c r="P2116" s="6">
        <v>0</v>
      </c>
      <c r="Q2116" s="4" t="s">
        <v>26</v>
      </c>
      <c r="R2116" s="4">
        <v>0</v>
      </c>
      <c r="S2116" s="4" t="s">
        <v>606</v>
      </c>
      <c r="T2116" s="4" t="s">
        <v>913</v>
      </c>
      <c r="U2116" s="4">
        <v>0</v>
      </c>
      <c r="V2116" s="4">
        <v>71</v>
      </c>
      <c r="W2116" s="4">
        <v>114</v>
      </c>
    </row>
    <row r="2117" spans="1:23" ht="11.25" customHeight="1" x14ac:dyDescent="0.25">
      <c r="A2117" s="4" t="s">
        <v>21</v>
      </c>
      <c r="B2117" s="4" t="s">
        <v>39</v>
      </c>
      <c r="C2117" s="4" t="s">
        <v>37</v>
      </c>
      <c r="D2117" s="4" t="s">
        <v>48</v>
      </c>
      <c r="E2117" s="4" t="s">
        <v>25</v>
      </c>
      <c r="F2117" s="4" t="s">
        <v>25</v>
      </c>
      <c r="G2117" s="4" t="s">
        <v>25</v>
      </c>
      <c r="H2117" s="4" t="s">
        <v>38</v>
      </c>
      <c r="I2117" s="5">
        <v>43983</v>
      </c>
      <c r="J2117" s="6">
        <v>0</v>
      </c>
      <c r="K2117" s="6">
        <v>0</v>
      </c>
      <c r="L2117" s="6">
        <v>0.12</v>
      </c>
      <c r="M2117" s="6">
        <v>0.12</v>
      </c>
      <c r="N2117" s="6">
        <v>0.12</v>
      </c>
      <c r="O2117" s="6">
        <v>0.12</v>
      </c>
      <c r="P2117" s="6">
        <v>0</v>
      </c>
      <c r="Q2117" s="4" t="s">
        <v>26</v>
      </c>
      <c r="R2117" s="4">
        <v>0</v>
      </c>
      <c r="S2117" s="4" t="s">
        <v>607</v>
      </c>
      <c r="T2117" s="4" t="s">
        <v>914</v>
      </c>
      <c r="U2117" s="4">
        <v>0</v>
      </c>
      <c r="V2117" s="4">
        <v>71</v>
      </c>
      <c r="W2117" s="4">
        <v>114</v>
      </c>
    </row>
    <row r="2118" spans="1:23" ht="11.25" customHeight="1" x14ac:dyDescent="0.25">
      <c r="A2118" s="4" t="s">
        <v>21</v>
      </c>
      <c r="B2118" s="4" t="s">
        <v>39</v>
      </c>
      <c r="C2118" s="4" t="s">
        <v>37</v>
      </c>
      <c r="D2118" s="4" t="s">
        <v>48</v>
      </c>
      <c r="E2118" s="4" t="s">
        <v>25</v>
      </c>
      <c r="F2118" s="4" t="s">
        <v>25</v>
      </c>
      <c r="G2118" s="4" t="s">
        <v>25</v>
      </c>
      <c r="H2118" s="4" t="s">
        <v>38</v>
      </c>
      <c r="I2118" s="5">
        <v>44013</v>
      </c>
      <c r="J2118" s="6">
        <v>0</v>
      </c>
      <c r="K2118" s="6">
        <v>0</v>
      </c>
      <c r="L2118" s="6">
        <v>0.124</v>
      </c>
      <c r="M2118" s="6">
        <v>0.124</v>
      </c>
      <c r="N2118" s="6">
        <v>0.124</v>
      </c>
      <c r="O2118" s="6">
        <v>0.124</v>
      </c>
      <c r="P2118" s="6">
        <v>0</v>
      </c>
      <c r="Q2118" s="4" t="s">
        <v>26</v>
      </c>
      <c r="R2118" s="4">
        <v>0</v>
      </c>
      <c r="S2118" s="4" t="s">
        <v>608</v>
      </c>
      <c r="T2118" s="4" t="s">
        <v>915</v>
      </c>
      <c r="U2118" s="4">
        <v>0</v>
      </c>
      <c r="V2118" s="4">
        <v>71</v>
      </c>
      <c r="W2118" s="4">
        <v>114</v>
      </c>
    </row>
    <row r="2119" spans="1:23" ht="11.25" customHeight="1" x14ac:dyDescent="0.25">
      <c r="A2119" s="4" t="s">
        <v>21</v>
      </c>
      <c r="B2119" s="4" t="s">
        <v>39</v>
      </c>
      <c r="C2119" s="4" t="s">
        <v>37</v>
      </c>
      <c r="D2119" s="4" t="s">
        <v>48</v>
      </c>
      <c r="E2119" s="4" t="s">
        <v>25</v>
      </c>
      <c r="F2119" s="4" t="s">
        <v>25</v>
      </c>
      <c r="G2119" s="4" t="s">
        <v>25</v>
      </c>
      <c r="H2119" s="4" t="s">
        <v>38</v>
      </c>
      <c r="I2119" s="5">
        <v>44044</v>
      </c>
      <c r="J2119" s="6">
        <v>0</v>
      </c>
      <c r="K2119" s="6">
        <v>0</v>
      </c>
      <c r="L2119" s="6">
        <v>0.129</v>
      </c>
      <c r="M2119" s="6">
        <v>0.129</v>
      </c>
      <c r="N2119" s="6">
        <v>0.129</v>
      </c>
      <c r="O2119" s="6">
        <v>0.129</v>
      </c>
      <c r="P2119" s="6">
        <v>0</v>
      </c>
      <c r="Q2119" s="4" t="s">
        <v>26</v>
      </c>
      <c r="R2119" s="4">
        <v>0</v>
      </c>
      <c r="S2119" s="4" t="s">
        <v>609</v>
      </c>
      <c r="T2119" s="4" t="s">
        <v>916</v>
      </c>
      <c r="U2119" s="4">
        <v>0</v>
      </c>
      <c r="V2119" s="4">
        <v>71</v>
      </c>
      <c r="W2119" s="4">
        <v>114</v>
      </c>
    </row>
    <row r="2120" spans="1:23" ht="11.25" customHeight="1" x14ac:dyDescent="0.25">
      <c r="A2120" s="4" t="s">
        <v>59</v>
      </c>
      <c r="B2120" s="4" t="s">
        <v>39</v>
      </c>
      <c r="C2120" s="4" t="s">
        <v>37</v>
      </c>
      <c r="D2120" s="4" t="s">
        <v>48</v>
      </c>
      <c r="E2120" s="4" t="s">
        <v>25</v>
      </c>
      <c r="F2120" s="4" t="s">
        <v>25</v>
      </c>
      <c r="G2120" s="4" t="s">
        <v>25</v>
      </c>
      <c r="H2120" s="4" t="s">
        <v>38</v>
      </c>
      <c r="I2120" s="5">
        <v>44075</v>
      </c>
      <c r="J2120" s="6">
        <v>0</v>
      </c>
      <c r="K2120" s="6">
        <v>0</v>
      </c>
      <c r="L2120" s="6">
        <v>0.129</v>
      </c>
      <c r="M2120" s="6">
        <v>0.129</v>
      </c>
      <c r="N2120" s="6">
        <v>0.129</v>
      </c>
      <c r="O2120" s="6">
        <v>0.129</v>
      </c>
      <c r="P2120" s="6">
        <v>0</v>
      </c>
      <c r="Q2120" s="4" t="s">
        <v>26</v>
      </c>
      <c r="R2120" s="4">
        <v>0</v>
      </c>
      <c r="S2120" s="4" t="s">
        <v>610</v>
      </c>
      <c r="T2120" s="4" t="s">
        <v>917</v>
      </c>
      <c r="U2120" s="4">
        <v>0</v>
      </c>
      <c r="V2120" s="4">
        <v>71</v>
      </c>
      <c r="W2120" s="4">
        <v>114</v>
      </c>
    </row>
    <row r="2121" spans="1:23" ht="11.25" customHeight="1" x14ac:dyDescent="0.25">
      <c r="A2121" s="4" t="s">
        <v>21</v>
      </c>
      <c r="B2121" s="4" t="s">
        <v>39</v>
      </c>
      <c r="C2121" s="4" t="s">
        <v>37</v>
      </c>
      <c r="D2121" s="4" t="s">
        <v>48</v>
      </c>
      <c r="E2121" s="4" t="s">
        <v>25</v>
      </c>
      <c r="F2121" s="4" t="s">
        <v>25</v>
      </c>
      <c r="G2121" s="4" t="s">
        <v>25</v>
      </c>
      <c r="H2121" s="4" t="s">
        <v>35</v>
      </c>
      <c r="I2121" s="5">
        <v>43922</v>
      </c>
      <c r="J2121" s="6">
        <v>0</v>
      </c>
      <c r="K2121" s="6">
        <v>0</v>
      </c>
      <c r="L2121" s="6">
        <v>0.20499999999999999</v>
      </c>
      <c r="M2121" s="6">
        <v>0.20499999999999999</v>
      </c>
      <c r="N2121" s="6">
        <v>0.20499999999999999</v>
      </c>
      <c r="O2121" s="6">
        <v>0.20499999999999999</v>
      </c>
      <c r="P2121" s="6">
        <v>0</v>
      </c>
      <c r="Q2121" s="4" t="s">
        <v>26</v>
      </c>
      <c r="R2121" s="4">
        <v>0</v>
      </c>
      <c r="S2121" s="4" t="s">
        <v>617</v>
      </c>
      <c r="T2121" s="4" t="s">
        <v>924</v>
      </c>
      <c r="U2121" s="4">
        <v>0</v>
      </c>
      <c r="V2121" s="4">
        <v>70</v>
      </c>
      <c r="W2121" s="4">
        <v>113</v>
      </c>
    </row>
    <row r="2122" spans="1:23" ht="11.25" customHeight="1" x14ac:dyDescent="0.25">
      <c r="A2122" s="4" t="s">
        <v>21</v>
      </c>
      <c r="B2122" s="4" t="s">
        <v>39</v>
      </c>
      <c r="C2122" s="4" t="s">
        <v>37</v>
      </c>
      <c r="D2122" s="4" t="s">
        <v>48</v>
      </c>
      <c r="E2122" s="4" t="s">
        <v>25</v>
      </c>
      <c r="F2122" s="4" t="s">
        <v>25</v>
      </c>
      <c r="G2122" s="4" t="s">
        <v>25</v>
      </c>
      <c r="H2122" s="4" t="s">
        <v>35</v>
      </c>
      <c r="I2122" s="5">
        <v>43952</v>
      </c>
      <c r="J2122" s="6">
        <v>0</v>
      </c>
      <c r="K2122" s="6">
        <v>0</v>
      </c>
      <c r="L2122" s="6">
        <v>0.19500000000000001</v>
      </c>
      <c r="M2122" s="6">
        <v>0.19500000000000001</v>
      </c>
      <c r="N2122" s="6">
        <v>0.19500000000000001</v>
      </c>
      <c r="O2122" s="6">
        <v>0.19500000000000001</v>
      </c>
      <c r="P2122" s="6">
        <v>0</v>
      </c>
      <c r="Q2122" s="4" t="s">
        <v>26</v>
      </c>
      <c r="R2122" s="4">
        <v>0</v>
      </c>
      <c r="S2122" s="4" t="s">
        <v>618</v>
      </c>
      <c r="T2122" s="4" t="s">
        <v>925</v>
      </c>
      <c r="U2122" s="4">
        <v>0</v>
      </c>
      <c r="V2122" s="4">
        <v>70</v>
      </c>
      <c r="W2122" s="4">
        <v>113</v>
      </c>
    </row>
    <row r="2123" spans="1:23" ht="11.25" customHeight="1" x14ac:dyDescent="0.25">
      <c r="A2123" s="4" t="s">
        <v>21</v>
      </c>
      <c r="B2123" s="4" t="s">
        <v>39</v>
      </c>
      <c r="C2123" s="4" t="s">
        <v>37</v>
      </c>
      <c r="D2123" s="4" t="s">
        <v>48</v>
      </c>
      <c r="E2123" s="4" t="s">
        <v>25</v>
      </c>
      <c r="F2123" s="4" t="s">
        <v>25</v>
      </c>
      <c r="G2123" s="4" t="s">
        <v>25</v>
      </c>
      <c r="H2123" s="4" t="s">
        <v>35</v>
      </c>
      <c r="I2123" s="5">
        <v>43983</v>
      </c>
      <c r="J2123" s="6">
        <v>0</v>
      </c>
      <c r="K2123" s="6">
        <v>0</v>
      </c>
      <c r="L2123" s="6">
        <v>0.26900000000000002</v>
      </c>
      <c r="M2123" s="6">
        <v>0.26900000000000002</v>
      </c>
      <c r="N2123" s="6">
        <v>0.26900000000000002</v>
      </c>
      <c r="O2123" s="6">
        <v>0.26900000000000002</v>
      </c>
      <c r="P2123" s="6">
        <v>0</v>
      </c>
      <c r="Q2123" s="4" t="s">
        <v>26</v>
      </c>
      <c r="R2123" s="4">
        <v>0</v>
      </c>
      <c r="S2123" s="4" t="s">
        <v>619</v>
      </c>
      <c r="T2123" s="4" t="s">
        <v>926</v>
      </c>
      <c r="U2123" s="4">
        <v>0</v>
      </c>
      <c r="V2123" s="4">
        <v>70</v>
      </c>
      <c r="W2123" s="4">
        <v>113</v>
      </c>
    </row>
    <row r="2124" spans="1:23" ht="11.25" customHeight="1" x14ac:dyDescent="0.25">
      <c r="A2124" s="4" t="s">
        <v>21</v>
      </c>
      <c r="B2124" s="4" t="s">
        <v>39</v>
      </c>
      <c r="C2124" s="4" t="s">
        <v>37</v>
      </c>
      <c r="D2124" s="4" t="s">
        <v>48</v>
      </c>
      <c r="E2124" s="4" t="s">
        <v>25</v>
      </c>
      <c r="F2124" s="4" t="s">
        <v>25</v>
      </c>
      <c r="G2124" s="4" t="s">
        <v>25</v>
      </c>
      <c r="H2124" s="4" t="s">
        <v>35</v>
      </c>
      <c r="I2124" s="5">
        <v>44013</v>
      </c>
      <c r="J2124" s="6">
        <v>0</v>
      </c>
      <c r="K2124" s="6">
        <v>0</v>
      </c>
      <c r="L2124" s="6">
        <v>0.29299999999999998</v>
      </c>
      <c r="M2124" s="6">
        <v>0.29299999999999998</v>
      </c>
      <c r="N2124" s="6">
        <v>0.29299999999999998</v>
      </c>
      <c r="O2124" s="6">
        <v>0.29299999999999998</v>
      </c>
      <c r="P2124" s="6">
        <v>0</v>
      </c>
      <c r="Q2124" s="4" t="s">
        <v>26</v>
      </c>
      <c r="R2124" s="4">
        <v>0</v>
      </c>
      <c r="S2124" s="4" t="s">
        <v>620</v>
      </c>
      <c r="T2124" s="4" t="s">
        <v>927</v>
      </c>
      <c r="U2124" s="4">
        <v>0</v>
      </c>
      <c r="V2124" s="4">
        <v>70</v>
      </c>
      <c r="W2124" s="4">
        <v>113</v>
      </c>
    </row>
    <row r="2125" spans="1:23" ht="11.25" customHeight="1" x14ac:dyDescent="0.25">
      <c r="A2125" s="4" t="s">
        <v>21</v>
      </c>
      <c r="B2125" s="4" t="s">
        <v>39</v>
      </c>
      <c r="C2125" s="4" t="s">
        <v>37</v>
      </c>
      <c r="D2125" s="4" t="s">
        <v>48</v>
      </c>
      <c r="E2125" s="4" t="s">
        <v>25</v>
      </c>
      <c r="F2125" s="4" t="s">
        <v>25</v>
      </c>
      <c r="G2125" s="4" t="s">
        <v>25</v>
      </c>
      <c r="H2125" s="4" t="s">
        <v>35</v>
      </c>
      <c r="I2125" s="5">
        <v>44044</v>
      </c>
      <c r="J2125" s="6">
        <v>0</v>
      </c>
      <c r="K2125" s="6">
        <v>0</v>
      </c>
      <c r="L2125" s="6">
        <v>0.34599999999999997</v>
      </c>
      <c r="M2125" s="6">
        <v>0.34599999999999997</v>
      </c>
      <c r="N2125" s="6">
        <v>0.34599999999999997</v>
      </c>
      <c r="O2125" s="6">
        <v>0.34599999999999997</v>
      </c>
      <c r="P2125" s="6">
        <v>0</v>
      </c>
      <c r="Q2125" s="4" t="s">
        <v>26</v>
      </c>
      <c r="R2125" s="4">
        <v>0</v>
      </c>
      <c r="S2125" s="4" t="s">
        <v>621</v>
      </c>
      <c r="T2125" s="4" t="s">
        <v>928</v>
      </c>
      <c r="U2125" s="4">
        <v>0</v>
      </c>
      <c r="V2125" s="4">
        <v>70</v>
      </c>
      <c r="W2125" s="4">
        <v>113</v>
      </c>
    </row>
    <row r="2126" spans="1:23" ht="11.25" customHeight="1" x14ac:dyDescent="0.25">
      <c r="A2126" s="4" t="s">
        <v>59</v>
      </c>
      <c r="B2126" s="4" t="s">
        <v>39</v>
      </c>
      <c r="C2126" s="4" t="s">
        <v>37</v>
      </c>
      <c r="D2126" s="4" t="s">
        <v>48</v>
      </c>
      <c r="E2126" s="4" t="s">
        <v>25</v>
      </c>
      <c r="F2126" s="4" t="s">
        <v>25</v>
      </c>
      <c r="G2126" s="4" t="s">
        <v>25</v>
      </c>
      <c r="H2126" s="4" t="s">
        <v>35</v>
      </c>
      <c r="I2126" s="5">
        <v>44075</v>
      </c>
      <c r="J2126" s="6">
        <v>0</v>
      </c>
      <c r="K2126" s="6">
        <v>0</v>
      </c>
      <c r="L2126" s="6">
        <v>0.34599999999999997</v>
      </c>
      <c r="M2126" s="6">
        <v>0.34599999999999997</v>
      </c>
      <c r="N2126" s="6">
        <v>0.34599999999999997</v>
      </c>
      <c r="O2126" s="6">
        <v>0.34599999999999997</v>
      </c>
      <c r="P2126" s="6">
        <v>0</v>
      </c>
      <c r="Q2126" s="4" t="s">
        <v>26</v>
      </c>
      <c r="R2126" s="4">
        <v>0</v>
      </c>
      <c r="S2126" s="4" t="s">
        <v>622</v>
      </c>
      <c r="T2126" s="4" t="s">
        <v>929</v>
      </c>
      <c r="U2126" s="4">
        <v>0</v>
      </c>
      <c r="V2126" s="4">
        <v>70</v>
      </c>
      <c r="W2126" s="4">
        <v>113</v>
      </c>
    </row>
    <row r="2127" spans="1:23" ht="11.25" customHeight="1" x14ac:dyDescent="0.25">
      <c r="A2127" s="4" t="s">
        <v>21</v>
      </c>
      <c r="B2127" s="4" t="s">
        <v>39</v>
      </c>
      <c r="C2127" s="4" t="s">
        <v>23</v>
      </c>
      <c r="D2127" s="4" t="s">
        <v>42</v>
      </c>
      <c r="E2127" s="4" t="s">
        <v>25</v>
      </c>
      <c r="F2127" s="4" t="s">
        <v>25</v>
      </c>
      <c r="G2127" s="4" t="s">
        <v>25</v>
      </c>
      <c r="H2127" s="4" t="s">
        <v>25</v>
      </c>
      <c r="I2127" s="5">
        <v>43739</v>
      </c>
      <c r="J2127" s="6">
        <v>0</v>
      </c>
      <c r="K2127" s="6">
        <v>0</v>
      </c>
      <c r="L2127" s="6">
        <v>87253.073999999993</v>
      </c>
      <c r="M2127" s="6">
        <v>87253.073999999993</v>
      </c>
      <c r="N2127" s="6">
        <v>87253.073999999993</v>
      </c>
      <c r="O2127" s="6">
        <v>87253.073999999993</v>
      </c>
      <c r="P2127" s="6">
        <v>114140</v>
      </c>
      <c r="Q2127" s="4" t="s">
        <v>26</v>
      </c>
      <c r="R2127" s="4">
        <v>0</v>
      </c>
      <c r="S2127" s="4" t="s">
        <v>623</v>
      </c>
      <c r="T2127" s="4" t="s">
        <v>930</v>
      </c>
      <c r="U2127" s="4">
        <v>0</v>
      </c>
      <c r="V2127" s="4">
        <v>73</v>
      </c>
      <c r="W2127" s="4">
        <v>116</v>
      </c>
    </row>
    <row r="2128" spans="1:23" ht="11.25" customHeight="1" x14ac:dyDescent="0.25">
      <c r="A2128" s="4" t="s">
        <v>27</v>
      </c>
      <c r="B2128" s="4" t="s">
        <v>39</v>
      </c>
      <c r="C2128" s="4" t="s">
        <v>23</v>
      </c>
      <c r="D2128" s="4" t="s">
        <v>42</v>
      </c>
      <c r="E2128" s="4" t="s">
        <v>25</v>
      </c>
      <c r="F2128" s="4" t="s">
        <v>25</v>
      </c>
      <c r="G2128" s="4" t="s">
        <v>25</v>
      </c>
      <c r="H2128" s="4" t="s">
        <v>25</v>
      </c>
      <c r="I2128" s="5">
        <v>43739</v>
      </c>
      <c r="J2128" s="6">
        <v>0</v>
      </c>
      <c r="K2128" s="6">
        <v>0</v>
      </c>
      <c r="L2128" s="6">
        <v>184.732</v>
      </c>
      <c r="M2128" s="6">
        <v>184.732</v>
      </c>
      <c r="N2128" s="6">
        <v>184.732</v>
      </c>
      <c r="O2128" s="6">
        <v>184.732</v>
      </c>
      <c r="P2128" s="6">
        <v>81</v>
      </c>
      <c r="Q2128" s="4" t="s">
        <v>26</v>
      </c>
      <c r="R2128" s="4">
        <v>0</v>
      </c>
      <c r="S2128" s="4" t="s">
        <v>623</v>
      </c>
      <c r="T2128" s="4" t="s">
        <v>930</v>
      </c>
      <c r="U2128" s="4">
        <v>0</v>
      </c>
      <c r="V2128" s="4">
        <v>73</v>
      </c>
      <c r="W2128" s="4">
        <v>116</v>
      </c>
    </row>
    <row r="2129" spans="1:23" ht="11.25" customHeight="1" x14ac:dyDescent="0.25">
      <c r="A2129" s="4" t="s">
        <v>28</v>
      </c>
      <c r="B2129" s="4" t="s">
        <v>39</v>
      </c>
      <c r="C2129" s="4" t="s">
        <v>23</v>
      </c>
      <c r="D2129" s="4" t="s">
        <v>42</v>
      </c>
      <c r="E2129" s="4" t="s">
        <v>25</v>
      </c>
      <c r="F2129" s="4" t="s">
        <v>25</v>
      </c>
      <c r="G2129" s="4" t="s">
        <v>25</v>
      </c>
      <c r="H2129" s="4" t="s">
        <v>25</v>
      </c>
      <c r="I2129" s="5">
        <v>43739</v>
      </c>
      <c r="J2129" s="6">
        <v>0</v>
      </c>
      <c r="K2129" s="6">
        <v>0</v>
      </c>
      <c r="L2129" s="6">
        <v>589.06399999999996</v>
      </c>
      <c r="M2129" s="6">
        <v>589.06399999999996</v>
      </c>
      <c r="N2129" s="6">
        <v>589.06399999999996</v>
      </c>
      <c r="O2129" s="6">
        <v>589.06399999999996</v>
      </c>
      <c r="P2129" s="6">
        <v>131</v>
      </c>
      <c r="Q2129" s="4" t="s">
        <v>26</v>
      </c>
      <c r="R2129" s="4">
        <v>0</v>
      </c>
      <c r="S2129" s="4" t="s">
        <v>623</v>
      </c>
      <c r="T2129" s="4" t="s">
        <v>930</v>
      </c>
      <c r="U2129" s="4">
        <v>0</v>
      </c>
      <c r="V2129" s="4">
        <v>73</v>
      </c>
      <c r="W2129" s="4">
        <v>116</v>
      </c>
    </row>
    <row r="2130" spans="1:23" ht="11.25" customHeight="1" x14ac:dyDescent="0.25">
      <c r="A2130" s="4" t="s">
        <v>28</v>
      </c>
      <c r="B2130" s="4" t="s">
        <v>39</v>
      </c>
      <c r="C2130" s="4" t="s">
        <v>23</v>
      </c>
      <c r="D2130" s="4" t="s">
        <v>42</v>
      </c>
      <c r="E2130" s="4" t="s">
        <v>25</v>
      </c>
      <c r="F2130" s="4" t="s">
        <v>25</v>
      </c>
      <c r="G2130" s="4" t="s">
        <v>25</v>
      </c>
      <c r="H2130" s="4" t="s">
        <v>25</v>
      </c>
      <c r="I2130" s="5">
        <v>43739</v>
      </c>
      <c r="J2130" s="6">
        <v>0</v>
      </c>
      <c r="K2130" s="6">
        <v>0</v>
      </c>
      <c r="L2130" s="6">
        <v>4.4370000000000003</v>
      </c>
      <c r="M2130" s="6">
        <v>4.4370000000000003</v>
      </c>
      <c r="N2130" s="6">
        <v>4.4370000000000003</v>
      </c>
      <c r="O2130" s="6">
        <v>4.4370000000000003</v>
      </c>
      <c r="P2130" s="6">
        <v>1</v>
      </c>
      <c r="Q2130" s="4" t="s">
        <v>26</v>
      </c>
      <c r="R2130" s="4">
        <v>0</v>
      </c>
      <c r="S2130" s="4" t="s">
        <v>623</v>
      </c>
      <c r="T2130" s="4" t="s">
        <v>930</v>
      </c>
      <c r="U2130" s="4">
        <v>0</v>
      </c>
      <c r="V2130" s="4">
        <v>73</v>
      </c>
      <c r="W2130" s="4">
        <v>116</v>
      </c>
    </row>
    <row r="2131" spans="1:23" ht="11.25" customHeight="1" x14ac:dyDescent="0.25">
      <c r="A2131" s="4" t="s">
        <v>21</v>
      </c>
      <c r="B2131" s="4" t="s">
        <v>39</v>
      </c>
      <c r="C2131" s="4" t="s">
        <v>23</v>
      </c>
      <c r="D2131" s="4" t="s">
        <v>42</v>
      </c>
      <c r="E2131" s="4" t="s">
        <v>25</v>
      </c>
      <c r="F2131" s="4" t="s">
        <v>25</v>
      </c>
      <c r="G2131" s="4" t="s">
        <v>25</v>
      </c>
      <c r="H2131" s="4" t="s">
        <v>25</v>
      </c>
      <c r="I2131" s="5">
        <v>43770</v>
      </c>
      <c r="J2131" s="6">
        <v>0</v>
      </c>
      <c r="K2131" s="6">
        <v>0</v>
      </c>
      <c r="L2131" s="6">
        <v>93633.592999999993</v>
      </c>
      <c r="M2131" s="6">
        <v>93633.592999999993</v>
      </c>
      <c r="N2131" s="6">
        <v>93633.592999999993</v>
      </c>
      <c r="O2131" s="6">
        <v>93633.592999999993</v>
      </c>
      <c r="P2131" s="6">
        <v>113136</v>
      </c>
      <c r="Q2131" s="4" t="s">
        <v>26</v>
      </c>
      <c r="R2131" s="4">
        <v>0</v>
      </c>
      <c r="S2131" s="4" t="s">
        <v>624</v>
      </c>
      <c r="T2131" s="4" t="s">
        <v>931</v>
      </c>
      <c r="U2131" s="4">
        <v>0</v>
      </c>
      <c r="V2131" s="4">
        <v>73</v>
      </c>
      <c r="W2131" s="4">
        <v>116</v>
      </c>
    </row>
    <row r="2132" spans="1:23" ht="11.25" customHeight="1" x14ac:dyDescent="0.25">
      <c r="A2132" s="4" t="s">
        <v>27</v>
      </c>
      <c r="B2132" s="4" t="s">
        <v>39</v>
      </c>
      <c r="C2132" s="4" t="s">
        <v>23</v>
      </c>
      <c r="D2132" s="4" t="s">
        <v>42</v>
      </c>
      <c r="E2132" s="4" t="s">
        <v>25</v>
      </c>
      <c r="F2132" s="4" t="s">
        <v>25</v>
      </c>
      <c r="G2132" s="4" t="s">
        <v>25</v>
      </c>
      <c r="H2132" s="4" t="s">
        <v>25</v>
      </c>
      <c r="I2132" s="5">
        <v>43770</v>
      </c>
      <c r="J2132" s="6">
        <v>0</v>
      </c>
      <c r="K2132" s="6">
        <v>0</v>
      </c>
      <c r="L2132" s="6">
        <v>321.28699999999998</v>
      </c>
      <c r="M2132" s="6">
        <v>321.28699999999998</v>
      </c>
      <c r="N2132" s="6">
        <v>321.28699999999998</v>
      </c>
      <c r="O2132" s="6">
        <v>321.28699999999998</v>
      </c>
      <c r="P2132" s="6">
        <v>63</v>
      </c>
      <c r="Q2132" s="4" t="s">
        <v>26</v>
      </c>
      <c r="R2132" s="4">
        <v>0</v>
      </c>
      <c r="S2132" s="4" t="s">
        <v>624</v>
      </c>
      <c r="T2132" s="4" t="s">
        <v>931</v>
      </c>
      <c r="U2132" s="4">
        <v>0</v>
      </c>
      <c r="V2132" s="4">
        <v>73</v>
      </c>
      <c r="W2132" s="4">
        <v>116</v>
      </c>
    </row>
    <row r="2133" spans="1:23" ht="11.25" customHeight="1" x14ac:dyDescent="0.25">
      <c r="A2133" s="4" t="s">
        <v>28</v>
      </c>
      <c r="B2133" s="4" t="s">
        <v>39</v>
      </c>
      <c r="C2133" s="4" t="s">
        <v>23</v>
      </c>
      <c r="D2133" s="4" t="s">
        <v>42</v>
      </c>
      <c r="E2133" s="4" t="s">
        <v>25</v>
      </c>
      <c r="F2133" s="4" t="s">
        <v>25</v>
      </c>
      <c r="G2133" s="4" t="s">
        <v>25</v>
      </c>
      <c r="H2133" s="4" t="s">
        <v>25</v>
      </c>
      <c r="I2133" s="5">
        <v>43770</v>
      </c>
      <c r="J2133" s="6">
        <v>0</v>
      </c>
      <c r="K2133" s="6">
        <v>0</v>
      </c>
      <c r="L2133" s="6">
        <v>592.30700000000002</v>
      </c>
      <c r="M2133" s="6">
        <v>592.30700000000002</v>
      </c>
      <c r="N2133" s="6">
        <v>592.30700000000002</v>
      </c>
      <c r="O2133" s="6">
        <v>592.30700000000002</v>
      </c>
      <c r="P2133" s="6">
        <v>131</v>
      </c>
      <c r="Q2133" s="4" t="s">
        <v>26</v>
      </c>
      <c r="R2133" s="4">
        <v>0</v>
      </c>
      <c r="S2133" s="4" t="s">
        <v>624</v>
      </c>
      <c r="T2133" s="4" t="s">
        <v>931</v>
      </c>
      <c r="U2133" s="4">
        <v>0</v>
      </c>
      <c r="V2133" s="4">
        <v>73</v>
      </c>
      <c r="W2133" s="4">
        <v>116</v>
      </c>
    </row>
    <row r="2134" spans="1:23" ht="11.25" customHeight="1" x14ac:dyDescent="0.25">
      <c r="A2134" s="4" t="s">
        <v>28</v>
      </c>
      <c r="B2134" s="4" t="s">
        <v>39</v>
      </c>
      <c r="C2134" s="4" t="s">
        <v>23</v>
      </c>
      <c r="D2134" s="4" t="s">
        <v>42</v>
      </c>
      <c r="E2134" s="4" t="s">
        <v>25</v>
      </c>
      <c r="F2134" s="4" t="s">
        <v>25</v>
      </c>
      <c r="G2134" s="4" t="s">
        <v>25</v>
      </c>
      <c r="H2134" s="4" t="s">
        <v>25</v>
      </c>
      <c r="I2134" s="5">
        <v>43770</v>
      </c>
      <c r="J2134" s="6">
        <v>0</v>
      </c>
      <c r="K2134" s="6">
        <v>0</v>
      </c>
      <c r="L2134" s="6">
        <v>9.3580000000000005</v>
      </c>
      <c r="M2134" s="6">
        <v>9.3580000000000005</v>
      </c>
      <c r="N2134" s="6">
        <v>9.3580000000000005</v>
      </c>
      <c r="O2134" s="6">
        <v>9.3580000000000005</v>
      </c>
      <c r="P2134" s="6">
        <v>0</v>
      </c>
      <c r="Q2134" s="4" t="s">
        <v>26</v>
      </c>
      <c r="R2134" s="4">
        <v>0</v>
      </c>
      <c r="S2134" s="4" t="s">
        <v>624</v>
      </c>
      <c r="T2134" s="4" t="s">
        <v>931</v>
      </c>
      <c r="U2134" s="4">
        <v>0</v>
      </c>
      <c r="V2134" s="4">
        <v>73</v>
      </c>
      <c r="W2134" s="4">
        <v>116</v>
      </c>
    </row>
    <row r="2135" spans="1:23" ht="11.25" customHeight="1" x14ac:dyDescent="0.25">
      <c r="A2135" s="4" t="s">
        <v>21</v>
      </c>
      <c r="B2135" s="4" t="s">
        <v>39</v>
      </c>
      <c r="C2135" s="4" t="s">
        <v>23</v>
      </c>
      <c r="D2135" s="4" t="s">
        <v>42</v>
      </c>
      <c r="E2135" s="4" t="s">
        <v>25</v>
      </c>
      <c r="F2135" s="4" t="s">
        <v>25</v>
      </c>
      <c r="G2135" s="4" t="s">
        <v>25</v>
      </c>
      <c r="H2135" s="4" t="s">
        <v>25</v>
      </c>
      <c r="I2135" s="5">
        <v>43800</v>
      </c>
      <c r="J2135" s="6">
        <v>0</v>
      </c>
      <c r="K2135" s="6">
        <v>0</v>
      </c>
      <c r="L2135" s="6">
        <v>82355.460999999996</v>
      </c>
      <c r="M2135" s="6">
        <v>82355.460999999996</v>
      </c>
      <c r="N2135" s="6">
        <v>82355.460999999996</v>
      </c>
      <c r="O2135" s="6">
        <v>82355.460999999996</v>
      </c>
      <c r="P2135" s="6">
        <v>113611</v>
      </c>
      <c r="Q2135" s="4" t="s">
        <v>26</v>
      </c>
      <c r="R2135" s="4">
        <v>0</v>
      </c>
      <c r="S2135" s="4" t="s">
        <v>625</v>
      </c>
      <c r="T2135" s="4" t="s">
        <v>932</v>
      </c>
      <c r="U2135" s="4">
        <v>0</v>
      </c>
      <c r="V2135" s="4">
        <v>73</v>
      </c>
      <c r="W2135" s="4">
        <v>116</v>
      </c>
    </row>
    <row r="2136" spans="1:23" ht="11.25" customHeight="1" x14ac:dyDescent="0.25">
      <c r="A2136" s="4" t="s">
        <v>27</v>
      </c>
      <c r="B2136" s="4" t="s">
        <v>39</v>
      </c>
      <c r="C2136" s="4" t="s">
        <v>23</v>
      </c>
      <c r="D2136" s="4" t="s">
        <v>42</v>
      </c>
      <c r="E2136" s="4" t="s">
        <v>25</v>
      </c>
      <c r="F2136" s="4" t="s">
        <v>25</v>
      </c>
      <c r="G2136" s="4" t="s">
        <v>25</v>
      </c>
      <c r="H2136" s="4" t="s">
        <v>25</v>
      </c>
      <c r="I2136" s="5">
        <v>43800</v>
      </c>
      <c r="J2136" s="6">
        <v>0</v>
      </c>
      <c r="K2136" s="6">
        <v>0</v>
      </c>
      <c r="L2136" s="6">
        <v>297.13499999999999</v>
      </c>
      <c r="M2136" s="6">
        <v>297.13499999999999</v>
      </c>
      <c r="N2136" s="6">
        <v>297.13499999999999</v>
      </c>
      <c r="O2136" s="6">
        <v>297.13499999999999</v>
      </c>
      <c r="P2136" s="6">
        <v>57</v>
      </c>
      <c r="Q2136" s="4" t="s">
        <v>26</v>
      </c>
      <c r="R2136" s="4">
        <v>0</v>
      </c>
      <c r="S2136" s="4" t="s">
        <v>625</v>
      </c>
      <c r="T2136" s="4" t="s">
        <v>932</v>
      </c>
      <c r="U2136" s="4">
        <v>0</v>
      </c>
      <c r="V2136" s="4">
        <v>73</v>
      </c>
      <c r="W2136" s="4">
        <v>116</v>
      </c>
    </row>
    <row r="2137" spans="1:23" ht="11.25" customHeight="1" x14ac:dyDescent="0.25">
      <c r="A2137" s="4" t="s">
        <v>28</v>
      </c>
      <c r="B2137" s="4" t="s">
        <v>39</v>
      </c>
      <c r="C2137" s="4" t="s">
        <v>23</v>
      </c>
      <c r="D2137" s="4" t="s">
        <v>42</v>
      </c>
      <c r="E2137" s="4" t="s">
        <v>25</v>
      </c>
      <c r="F2137" s="4" t="s">
        <v>25</v>
      </c>
      <c r="G2137" s="4" t="s">
        <v>25</v>
      </c>
      <c r="H2137" s="4" t="s">
        <v>25</v>
      </c>
      <c r="I2137" s="5">
        <v>43800</v>
      </c>
      <c r="J2137" s="6">
        <v>0</v>
      </c>
      <c r="K2137" s="6">
        <v>0</v>
      </c>
      <c r="L2137" s="6">
        <v>411.87299999999999</v>
      </c>
      <c r="M2137" s="6">
        <v>411.87299999999999</v>
      </c>
      <c r="N2137" s="6">
        <v>411.87299999999999</v>
      </c>
      <c r="O2137" s="6">
        <v>411.87299999999999</v>
      </c>
      <c r="P2137" s="6">
        <v>134</v>
      </c>
      <c r="Q2137" s="4" t="s">
        <v>26</v>
      </c>
      <c r="R2137" s="4">
        <v>0</v>
      </c>
      <c r="S2137" s="4" t="s">
        <v>625</v>
      </c>
      <c r="T2137" s="4" t="s">
        <v>932</v>
      </c>
      <c r="U2137" s="4">
        <v>0</v>
      </c>
      <c r="V2137" s="4">
        <v>73</v>
      </c>
      <c r="W2137" s="4">
        <v>116</v>
      </c>
    </row>
    <row r="2138" spans="1:23" ht="11.25" customHeight="1" x14ac:dyDescent="0.25">
      <c r="A2138" s="4" t="s">
        <v>21</v>
      </c>
      <c r="B2138" s="4" t="s">
        <v>39</v>
      </c>
      <c r="C2138" s="4" t="s">
        <v>23</v>
      </c>
      <c r="D2138" s="4" t="s">
        <v>42</v>
      </c>
      <c r="E2138" s="4" t="s">
        <v>25</v>
      </c>
      <c r="F2138" s="4" t="s">
        <v>25</v>
      </c>
      <c r="G2138" s="4" t="s">
        <v>25</v>
      </c>
      <c r="H2138" s="4" t="s">
        <v>25</v>
      </c>
      <c r="I2138" s="5">
        <v>43831</v>
      </c>
      <c r="J2138" s="6">
        <v>0</v>
      </c>
      <c r="K2138" s="6">
        <v>0</v>
      </c>
      <c r="L2138" s="6">
        <v>84487.290999999997</v>
      </c>
      <c r="M2138" s="6">
        <v>84487.290999999997</v>
      </c>
      <c r="N2138" s="6">
        <v>84487.290999999997</v>
      </c>
      <c r="O2138" s="6">
        <v>84487.290999999997</v>
      </c>
      <c r="P2138" s="6">
        <v>113432</v>
      </c>
      <c r="Q2138" s="4" t="s">
        <v>26</v>
      </c>
      <c r="R2138" s="4">
        <v>0</v>
      </c>
      <c r="S2138" s="4" t="s">
        <v>626</v>
      </c>
      <c r="T2138" s="4" t="s">
        <v>933</v>
      </c>
      <c r="U2138" s="4">
        <v>0</v>
      </c>
      <c r="V2138" s="4">
        <v>73</v>
      </c>
      <c r="W2138" s="4">
        <v>116</v>
      </c>
    </row>
    <row r="2139" spans="1:23" ht="11.25" customHeight="1" x14ac:dyDescent="0.25">
      <c r="A2139" s="4" t="s">
        <v>27</v>
      </c>
      <c r="B2139" s="4" t="s">
        <v>39</v>
      </c>
      <c r="C2139" s="4" t="s">
        <v>23</v>
      </c>
      <c r="D2139" s="4" t="s">
        <v>42</v>
      </c>
      <c r="E2139" s="4" t="s">
        <v>25</v>
      </c>
      <c r="F2139" s="4" t="s">
        <v>25</v>
      </c>
      <c r="G2139" s="4" t="s">
        <v>25</v>
      </c>
      <c r="H2139" s="4" t="s">
        <v>25</v>
      </c>
      <c r="I2139" s="5">
        <v>43831</v>
      </c>
      <c r="J2139" s="6">
        <v>0</v>
      </c>
      <c r="K2139" s="6">
        <v>0</v>
      </c>
      <c r="L2139" s="6">
        <v>223.54599999999999</v>
      </c>
      <c r="M2139" s="6">
        <v>223.54599999999999</v>
      </c>
      <c r="N2139" s="6">
        <v>223.54599999999999</v>
      </c>
      <c r="O2139" s="6">
        <v>223.54599999999999</v>
      </c>
      <c r="P2139" s="6">
        <v>79</v>
      </c>
      <c r="Q2139" s="4" t="s">
        <v>26</v>
      </c>
      <c r="R2139" s="4">
        <v>0</v>
      </c>
      <c r="S2139" s="4" t="s">
        <v>626</v>
      </c>
      <c r="T2139" s="4" t="s">
        <v>933</v>
      </c>
      <c r="U2139" s="4">
        <v>0</v>
      </c>
      <c r="V2139" s="4">
        <v>73</v>
      </c>
      <c r="W2139" s="4">
        <v>116</v>
      </c>
    </row>
    <row r="2140" spans="1:23" ht="11.25" customHeight="1" x14ac:dyDescent="0.25">
      <c r="A2140" s="4" t="s">
        <v>28</v>
      </c>
      <c r="B2140" s="4" t="s">
        <v>39</v>
      </c>
      <c r="C2140" s="4" t="s">
        <v>23</v>
      </c>
      <c r="D2140" s="4" t="s">
        <v>42</v>
      </c>
      <c r="E2140" s="4" t="s">
        <v>25</v>
      </c>
      <c r="F2140" s="4" t="s">
        <v>25</v>
      </c>
      <c r="G2140" s="4" t="s">
        <v>25</v>
      </c>
      <c r="H2140" s="4" t="s">
        <v>25</v>
      </c>
      <c r="I2140" s="5">
        <v>43831</v>
      </c>
      <c r="J2140" s="6">
        <v>0</v>
      </c>
      <c r="K2140" s="6">
        <v>0</v>
      </c>
      <c r="L2140" s="6">
        <v>540.65599999999995</v>
      </c>
      <c r="M2140" s="6">
        <v>540.65599999999995</v>
      </c>
      <c r="N2140" s="6">
        <v>540.65599999999995</v>
      </c>
      <c r="O2140" s="6">
        <v>540.65599999999995</v>
      </c>
      <c r="P2140" s="6">
        <v>137</v>
      </c>
      <c r="Q2140" s="4" t="s">
        <v>26</v>
      </c>
      <c r="R2140" s="4">
        <v>0</v>
      </c>
      <c r="S2140" s="4" t="s">
        <v>626</v>
      </c>
      <c r="T2140" s="4" t="s">
        <v>933</v>
      </c>
      <c r="U2140" s="4">
        <v>0</v>
      </c>
      <c r="V2140" s="4">
        <v>73</v>
      </c>
      <c r="W2140" s="4">
        <v>116</v>
      </c>
    </row>
    <row r="2141" spans="1:23" ht="11.25" customHeight="1" x14ac:dyDescent="0.25">
      <c r="A2141" s="4" t="s">
        <v>21</v>
      </c>
      <c r="B2141" s="4" t="s">
        <v>39</v>
      </c>
      <c r="C2141" s="4" t="s">
        <v>23</v>
      </c>
      <c r="D2141" s="4" t="s">
        <v>42</v>
      </c>
      <c r="E2141" s="4" t="s">
        <v>25</v>
      </c>
      <c r="F2141" s="4" t="s">
        <v>25</v>
      </c>
      <c r="G2141" s="4" t="s">
        <v>25</v>
      </c>
      <c r="H2141" s="4" t="s">
        <v>25</v>
      </c>
      <c r="I2141" s="5">
        <v>43862</v>
      </c>
      <c r="J2141" s="6">
        <v>0</v>
      </c>
      <c r="K2141" s="6">
        <v>0</v>
      </c>
      <c r="L2141" s="6">
        <v>81745.805999999997</v>
      </c>
      <c r="M2141" s="6">
        <v>81745.805999999997</v>
      </c>
      <c r="N2141" s="6">
        <v>81745.805999999997</v>
      </c>
      <c r="O2141" s="6">
        <v>81745.805999999997</v>
      </c>
      <c r="P2141" s="6">
        <v>113073</v>
      </c>
      <c r="Q2141" s="4" t="s">
        <v>26</v>
      </c>
      <c r="R2141" s="4">
        <v>0</v>
      </c>
      <c r="S2141" s="4" t="s">
        <v>627</v>
      </c>
      <c r="T2141" s="4" t="s">
        <v>934</v>
      </c>
      <c r="U2141" s="4">
        <v>0</v>
      </c>
      <c r="V2141" s="4">
        <v>73</v>
      </c>
      <c r="W2141" s="4">
        <v>116</v>
      </c>
    </row>
    <row r="2142" spans="1:23" ht="11.25" customHeight="1" x14ac:dyDescent="0.25">
      <c r="A2142" s="4" t="s">
        <v>27</v>
      </c>
      <c r="B2142" s="4" t="s">
        <v>39</v>
      </c>
      <c r="C2142" s="4" t="s">
        <v>23</v>
      </c>
      <c r="D2142" s="4" t="s">
        <v>42</v>
      </c>
      <c r="E2142" s="4" t="s">
        <v>25</v>
      </c>
      <c r="F2142" s="4" t="s">
        <v>25</v>
      </c>
      <c r="G2142" s="4" t="s">
        <v>25</v>
      </c>
      <c r="H2142" s="4" t="s">
        <v>25</v>
      </c>
      <c r="I2142" s="5">
        <v>43862</v>
      </c>
      <c r="J2142" s="6">
        <v>0</v>
      </c>
      <c r="K2142" s="6">
        <v>0</v>
      </c>
      <c r="L2142" s="6">
        <v>149.40299999999999</v>
      </c>
      <c r="M2142" s="6">
        <v>149.40299999999999</v>
      </c>
      <c r="N2142" s="6">
        <v>149.40299999999999</v>
      </c>
      <c r="O2142" s="6">
        <v>149.40299999999999</v>
      </c>
      <c r="P2142" s="6">
        <v>89</v>
      </c>
      <c r="Q2142" s="4" t="s">
        <v>26</v>
      </c>
      <c r="R2142" s="4">
        <v>0</v>
      </c>
      <c r="S2142" s="4" t="s">
        <v>627</v>
      </c>
      <c r="T2142" s="4" t="s">
        <v>934</v>
      </c>
      <c r="U2142" s="4">
        <v>0</v>
      </c>
      <c r="V2142" s="4">
        <v>73</v>
      </c>
      <c r="W2142" s="4">
        <v>116</v>
      </c>
    </row>
    <row r="2143" spans="1:23" ht="11.25" customHeight="1" x14ac:dyDescent="0.25">
      <c r="A2143" s="4" t="s">
        <v>28</v>
      </c>
      <c r="B2143" s="4" t="s">
        <v>39</v>
      </c>
      <c r="C2143" s="4" t="s">
        <v>23</v>
      </c>
      <c r="D2143" s="4" t="s">
        <v>42</v>
      </c>
      <c r="E2143" s="4" t="s">
        <v>25</v>
      </c>
      <c r="F2143" s="4" t="s">
        <v>25</v>
      </c>
      <c r="G2143" s="4" t="s">
        <v>25</v>
      </c>
      <c r="H2143" s="4" t="s">
        <v>25</v>
      </c>
      <c r="I2143" s="5">
        <v>43862</v>
      </c>
      <c r="J2143" s="6">
        <v>0</v>
      </c>
      <c r="K2143" s="6">
        <v>0</v>
      </c>
      <c r="L2143" s="6">
        <v>497.53699999999998</v>
      </c>
      <c r="M2143" s="6">
        <v>497.53699999999998</v>
      </c>
      <c r="N2143" s="6">
        <v>497.53699999999998</v>
      </c>
      <c r="O2143" s="6">
        <v>497.53699999999998</v>
      </c>
      <c r="P2143" s="6">
        <v>132</v>
      </c>
      <c r="Q2143" s="4" t="s">
        <v>26</v>
      </c>
      <c r="R2143" s="4">
        <v>0</v>
      </c>
      <c r="S2143" s="4" t="s">
        <v>627</v>
      </c>
      <c r="T2143" s="4" t="s">
        <v>934</v>
      </c>
      <c r="U2143" s="4">
        <v>0</v>
      </c>
      <c r="V2143" s="4">
        <v>73</v>
      </c>
      <c r="W2143" s="4">
        <v>116</v>
      </c>
    </row>
    <row r="2144" spans="1:23" ht="11.25" customHeight="1" x14ac:dyDescent="0.25">
      <c r="A2144" s="4" t="s">
        <v>28</v>
      </c>
      <c r="B2144" s="4" t="s">
        <v>39</v>
      </c>
      <c r="C2144" s="4" t="s">
        <v>23</v>
      </c>
      <c r="D2144" s="4" t="s">
        <v>42</v>
      </c>
      <c r="E2144" s="4" t="s">
        <v>25</v>
      </c>
      <c r="F2144" s="4" t="s">
        <v>25</v>
      </c>
      <c r="G2144" s="4" t="s">
        <v>25</v>
      </c>
      <c r="H2144" s="4" t="s">
        <v>25</v>
      </c>
      <c r="I2144" s="5">
        <v>43862</v>
      </c>
      <c r="J2144" s="6">
        <v>0</v>
      </c>
      <c r="K2144" s="6">
        <v>0</v>
      </c>
      <c r="L2144" s="6">
        <v>0.82099999999999995</v>
      </c>
      <c r="M2144" s="6">
        <v>0.82099999999999995</v>
      </c>
      <c r="N2144" s="6">
        <v>0.82099999999999995</v>
      </c>
      <c r="O2144" s="6">
        <v>0.82099999999999995</v>
      </c>
      <c r="P2144" s="6">
        <v>1</v>
      </c>
      <c r="Q2144" s="4" t="s">
        <v>26</v>
      </c>
      <c r="R2144" s="4">
        <v>0</v>
      </c>
      <c r="S2144" s="4" t="s">
        <v>627</v>
      </c>
      <c r="T2144" s="4" t="s">
        <v>934</v>
      </c>
      <c r="U2144" s="4">
        <v>0</v>
      </c>
      <c r="V2144" s="4">
        <v>73</v>
      </c>
      <c r="W2144" s="4">
        <v>116</v>
      </c>
    </row>
    <row r="2145" spans="1:23" ht="11.25" customHeight="1" x14ac:dyDescent="0.25">
      <c r="A2145" s="4" t="s">
        <v>21</v>
      </c>
      <c r="B2145" s="4" t="s">
        <v>39</v>
      </c>
      <c r="C2145" s="4" t="s">
        <v>23</v>
      </c>
      <c r="D2145" s="4" t="s">
        <v>42</v>
      </c>
      <c r="E2145" s="4" t="s">
        <v>25</v>
      </c>
      <c r="F2145" s="4" t="s">
        <v>25</v>
      </c>
      <c r="G2145" s="4" t="s">
        <v>25</v>
      </c>
      <c r="H2145" s="4" t="s">
        <v>25</v>
      </c>
      <c r="I2145" s="5">
        <v>43891</v>
      </c>
      <c r="J2145" s="6">
        <v>0</v>
      </c>
      <c r="K2145" s="6">
        <v>0</v>
      </c>
      <c r="L2145" s="6">
        <v>80471.176999999996</v>
      </c>
      <c r="M2145" s="6">
        <v>80471.176999999996</v>
      </c>
      <c r="N2145" s="6">
        <v>80471.176999999996</v>
      </c>
      <c r="O2145" s="6">
        <v>80471.176999999996</v>
      </c>
      <c r="P2145" s="6">
        <v>113115</v>
      </c>
      <c r="Q2145" s="4" t="s">
        <v>26</v>
      </c>
      <c r="R2145" s="4">
        <v>0</v>
      </c>
      <c r="S2145" s="4" t="s">
        <v>628</v>
      </c>
      <c r="T2145" s="4" t="s">
        <v>935</v>
      </c>
      <c r="U2145" s="4">
        <v>0</v>
      </c>
      <c r="V2145" s="4">
        <v>73</v>
      </c>
      <c r="W2145" s="4">
        <v>116</v>
      </c>
    </row>
    <row r="2146" spans="1:23" ht="11.25" customHeight="1" x14ac:dyDescent="0.25">
      <c r="A2146" s="4" t="s">
        <v>27</v>
      </c>
      <c r="B2146" s="4" t="s">
        <v>39</v>
      </c>
      <c r="C2146" s="4" t="s">
        <v>23</v>
      </c>
      <c r="D2146" s="4" t="s">
        <v>42</v>
      </c>
      <c r="E2146" s="4" t="s">
        <v>25</v>
      </c>
      <c r="F2146" s="4" t="s">
        <v>25</v>
      </c>
      <c r="G2146" s="4" t="s">
        <v>25</v>
      </c>
      <c r="H2146" s="4" t="s">
        <v>25</v>
      </c>
      <c r="I2146" s="5">
        <v>43891</v>
      </c>
      <c r="J2146" s="6">
        <v>0</v>
      </c>
      <c r="K2146" s="6">
        <v>0</v>
      </c>
      <c r="L2146" s="6">
        <v>206.47200000000001</v>
      </c>
      <c r="M2146" s="6">
        <v>206.47200000000001</v>
      </c>
      <c r="N2146" s="6">
        <v>206.47200000000001</v>
      </c>
      <c r="O2146" s="6">
        <v>206.47200000000001</v>
      </c>
      <c r="P2146" s="6">
        <v>95</v>
      </c>
      <c r="Q2146" s="4" t="s">
        <v>26</v>
      </c>
      <c r="R2146" s="4">
        <v>0</v>
      </c>
      <c r="S2146" s="4" t="s">
        <v>628</v>
      </c>
      <c r="T2146" s="4" t="s">
        <v>935</v>
      </c>
      <c r="U2146" s="4">
        <v>0</v>
      </c>
      <c r="V2146" s="4">
        <v>73</v>
      </c>
      <c r="W2146" s="4">
        <v>116</v>
      </c>
    </row>
    <row r="2147" spans="1:23" ht="11.25" customHeight="1" x14ac:dyDescent="0.25">
      <c r="A2147" s="4" t="s">
        <v>28</v>
      </c>
      <c r="B2147" s="4" t="s">
        <v>39</v>
      </c>
      <c r="C2147" s="4" t="s">
        <v>23</v>
      </c>
      <c r="D2147" s="4" t="s">
        <v>42</v>
      </c>
      <c r="E2147" s="4" t="s">
        <v>25</v>
      </c>
      <c r="F2147" s="4" t="s">
        <v>25</v>
      </c>
      <c r="G2147" s="4" t="s">
        <v>25</v>
      </c>
      <c r="H2147" s="4" t="s">
        <v>25</v>
      </c>
      <c r="I2147" s="5">
        <v>43891</v>
      </c>
      <c r="J2147" s="6">
        <v>0</v>
      </c>
      <c r="K2147" s="6">
        <v>0</v>
      </c>
      <c r="L2147" s="6">
        <v>517.66099999999994</v>
      </c>
      <c r="M2147" s="6">
        <v>517.66099999999994</v>
      </c>
      <c r="N2147" s="6">
        <v>517.66099999999994</v>
      </c>
      <c r="O2147" s="6">
        <v>517.66099999999994</v>
      </c>
      <c r="P2147" s="6">
        <v>131</v>
      </c>
      <c r="Q2147" s="4" t="s">
        <v>26</v>
      </c>
      <c r="R2147" s="4">
        <v>0</v>
      </c>
      <c r="S2147" s="4" t="s">
        <v>628</v>
      </c>
      <c r="T2147" s="4" t="s">
        <v>935</v>
      </c>
      <c r="U2147" s="4">
        <v>0</v>
      </c>
      <c r="V2147" s="4">
        <v>73</v>
      </c>
      <c r="W2147" s="4">
        <v>116</v>
      </c>
    </row>
    <row r="2148" spans="1:23" ht="11.25" customHeight="1" x14ac:dyDescent="0.25">
      <c r="A2148" s="4" t="s">
        <v>21</v>
      </c>
      <c r="B2148" s="4" t="s">
        <v>39</v>
      </c>
      <c r="C2148" s="4" t="s">
        <v>23</v>
      </c>
      <c r="D2148" s="4" t="s">
        <v>42</v>
      </c>
      <c r="E2148" s="4" t="s">
        <v>25</v>
      </c>
      <c r="F2148" s="4" t="s">
        <v>25</v>
      </c>
      <c r="G2148" s="4" t="s">
        <v>25</v>
      </c>
      <c r="H2148" s="4" t="s">
        <v>25</v>
      </c>
      <c r="I2148" s="5">
        <v>43922</v>
      </c>
      <c r="J2148" s="6">
        <v>0</v>
      </c>
      <c r="K2148" s="6">
        <v>0</v>
      </c>
      <c r="L2148" s="6">
        <v>67936.459000000003</v>
      </c>
      <c r="M2148" s="6">
        <v>67936.459000000003</v>
      </c>
      <c r="N2148" s="6">
        <v>67936.459000000003</v>
      </c>
      <c r="O2148" s="6">
        <v>67936.459000000003</v>
      </c>
      <c r="P2148" s="6">
        <v>112580</v>
      </c>
      <c r="Q2148" s="4" t="s">
        <v>26</v>
      </c>
      <c r="R2148" s="4">
        <v>0</v>
      </c>
      <c r="S2148" s="4" t="s">
        <v>629</v>
      </c>
      <c r="T2148" s="4" t="s">
        <v>936</v>
      </c>
      <c r="U2148" s="4">
        <v>0</v>
      </c>
      <c r="V2148" s="4">
        <v>73</v>
      </c>
      <c r="W2148" s="4">
        <v>116</v>
      </c>
    </row>
    <row r="2149" spans="1:23" ht="11.25" customHeight="1" x14ac:dyDescent="0.25">
      <c r="A2149" s="4" t="s">
        <v>27</v>
      </c>
      <c r="B2149" s="4" t="s">
        <v>39</v>
      </c>
      <c r="C2149" s="4" t="s">
        <v>23</v>
      </c>
      <c r="D2149" s="4" t="s">
        <v>42</v>
      </c>
      <c r="E2149" s="4" t="s">
        <v>25</v>
      </c>
      <c r="F2149" s="4" t="s">
        <v>25</v>
      </c>
      <c r="G2149" s="4" t="s">
        <v>25</v>
      </c>
      <c r="H2149" s="4" t="s">
        <v>25</v>
      </c>
      <c r="I2149" s="5">
        <v>43922</v>
      </c>
      <c r="J2149" s="6">
        <v>0</v>
      </c>
      <c r="K2149" s="6">
        <v>0</v>
      </c>
      <c r="L2149" s="6">
        <v>270.70299999999997</v>
      </c>
      <c r="M2149" s="6">
        <v>270.70299999999997</v>
      </c>
      <c r="N2149" s="6">
        <v>270.70299999999997</v>
      </c>
      <c r="O2149" s="6">
        <v>270.70299999999997</v>
      </c>
      <c r="P2149" s="6">
        <v>134</v>
      </c>
      <c r="Q2149" s="4" t="s">
        <v>26</v>
      </c>
      <c r="R2149" s="4">
        <v>0</v>
      </c>
      <c r="S2149" s="4" t="s">
        <v>629</v>
      </c>
      <c r="T2149" s="4" t="s">
        <v>936</v>
      </c>
      <c r="U2149" s="4">
        <v>0</v>
      </c>
      <c r="V2149" s="4">
        <v>73</v>
      </c>
      <c r="W2149" s="4">
        <v>116</v>
      </c>
    </row>
    <row r="2150" spans="1:23" ht="11.25" customHeight="1" x14ac:dyDescent="0.25">
      <c r="A2150" s="4" t="s">
        <v>28</v>
      </c>
      <c r="B2150" s="4" t="s">
        <v>39</v>
      </c>
      <c r="C2150" s="4" t="s">
        <v>23</v>
      </c>
      <c r="D2150" s="4" t="s">
        <v>42</v>
      </c>
      <c r="E2150" s="4" t="s">
        <v>25</v>
      </c>
      <c r="F2150" s="4" t="s">
        <v>25</v>
      </c>
      <c r="G2150" s="4" t="s">
        <v>25</v>
      </c>
      <c r="H2150" s="4" t="s">
        <v>25</v>
      </c>
      <c r="I2150" s="5">
        <v>43922</v>
      </c>
      <c r="J2150" s="6">
        <v>0</v>
      </c>
      <c r="K2150" s="6">
        <v>0</v>
      </c>
      <c r="L2150" s="6">
        <v>336.35399999999998</v>
      </c>
      <c r="M2150" s="6">
        <v>336.35399999999998</v>
      </c>
      <c r="N2150" s="6">
        <v>336.35399999999998</v>
      </c>
      <c r="O2150" s="6">
        <v>336.35399999999998</v>
      </c>
      <c r="P2150" s="6">
        <v>128</v>
      </c>
      <c r="Q2150" s="4" t="s">
        <v>26</v>
      </c>
      <c r="R2150" s="4">
        <v>0</v>
      </c>
      <c r="S2150" s="4" t="s">
        <v>629</v>
      </c>
      <c r="T2150" s="4" t="s">
        <v>936</v>
      </c>
      <c r="U2150" s="4">
        <v>0</v>
      </c>
      <c r="V2150" s="4">
        <v>73</v>
      </c>
      <c r="W2150" s="4">
        <v>116</v>
      </c>
    </row>
    <row r="2151" spans="1:23" ht="11.25" customHeight="1" x14ac:dyDescent="0.25">
      <c r="A2151" s="4" t="s">
        <v>28</v>
      </c>
      <c r="B2151" s="4" t="s">
        <v>39</v>
      </c>
      <c r="C2151" s="4" t="s">
        <v>23</v>
      </c>
      <c r="D2151" s="4" t="s">
        <v>42</v>
      </c>
      <c r="E2151" s="4" t="s">
        <v>25</v>
      </c>
      <c r="F2151" s="4" t="s">
        <v>25</v>
      </c>
      <c r="G2151" s="4" t="s">
        <v>25</v>
      </c>
      <c r="H2151" s="4" t="s">
        <v>25</v>
      </c>
      <c r="I2151" s="5">
        <v>43922</v>
      </c>
      <c r="J2151" s="6">
        <v>0</v>
      </c>
      <c r="K2151" s="6">
        <v>0</v>
      </c>
      <c r="L2151" s="6">
        <v>0.1</v>
      </c>
      <c r="M2151" s="6">
        <v>0.1</v>
      </c>
      <c r="N2151" s="6">
        <v>0.1</v>
      </c>
      <c r="O2151" s="6">
        <v>0.1</v>
      </c>
      <c r="P2151" s="6">
        <v>1</v>
      </c>
      <c r="Q2151" s="4" t="s">
        <v>26</v>
      </c>
      <c r="R2151" s="4">
        <v>0</v>
      </c>
      <c r="S2151" s="4" t="s">
        <v>629</v>
      </c>
      <c r="T2151" s="4" t="s">
        <v>936</v>
      </c>
      <c r="U2151" s="4">
        <v>0</v>
      </c>
      <c r="V2151" s="4">
        <v>73</v>
      </c>
      <c r="W2151" s="4">
        <v>116</v>
      </c>
    </row>
    <row r="2152" spans="1:23" ht="11.25" customHeight="1" x14ac:dyDescent="0.25">
      <c r="A2152" s="4" t="s">
        <v>21</v>
      </c>
      <c r="B2152" s="4" t="s">
        <v>39</v>
      </c>
      <c r="C2152" s="4" t="s">
        <v>23</v>
      </c>
      <c r="D2152" s="4" t="s">
        <v>42</v>
      </c>
      <c r="E2152" s="4" t="s">
        <v>25</v>
      </c>
      <c r="F2152" s="4" t="s">
        <v>25</v>
      </c>
      <c r="G2152" s="4" t="s">
        <v>25</v>
      </c>
      <c r="H2152" s="4" t="s">
        <v>25</v>
      </c>
      <c r="I2152" s="5">
        <v>43952</v>
      </c>
      <c r="J2152" s="6">
        <v>0</v>
      </c>
      <c r="K2152" s="6">
        <v>0</v>
      </c>
      <c r="L2152" s="6">
        <v>62217.589</v>
      </c>
      <c r="M2152" s="6">
        <v>62217.589</v>
      </c>
      <c r="N2152" s="6">
        <v>62217.589</v>
      </c>
      <c r="O2152" s="6">
        <v>62217.589</v>
      </c>
      <c r="P2152" s="6">
        <v>112148</v>
      </c>
      <c r="Q2152" s="4" t="s">
        <v>26</v>
      </c>
      <c r="R2152" s="4">
        <v>0</v>
      </c>
      <c r="S2152" s="4" t="s">
        <v>630</v>
      </c>
      <c r="T2152" s="4" t="s">
        <v>937</v>
      </c>
      <c r="U2152" s="4">
        <v>0</v>
      </c>
      <c r="V2152" s="4">
        <v>73</v>
      </c>
      <c r="W2152" s="4">
        <v>116</v>
      </c>
    </row>
    <row r="2153" spans="1:23" ht="11.25" customHeight="1" x14ac:dyDescent="0.25">
      <c r="A2153" s="4" t="s">
        <v>27</v>
      </c>
      <c r="B2153" s="4" t="s">
        <v>39</v>
      </c>
      <c r="C2153" s="4" t="s">
        <v>23</v>
      </c>
      <c r="D2153" s="4" t="s">
        <v>42</v>
      </c>
      <c r="E2153" s="4" t="s">
        <v>25</v>
      </c>
      <c r="F2153" s="4" t="s">
        <v>25</v>
      </c>
      <c r="G2153" s="4" t="s">
        <v>25</v>
      </c>
      <c r="H2153" s="4" t="s">
        <v>25</v>
      </c>
      <c r="I2153" s="5">
        <v>43952</v>
      </c>
      <c r="J2153" s="6">
        <v>0</v>
      </c>
      <c r="K2153" s="6">
        <v>0</v>
      </c>
      <c r="L2153" s="6">
        <v>212.08799999999999</v>
      </c>
      <c r="M2153" s="6">
        <v>212.08799999999999</v>
      </c>
      <c r="N2153" s="6">
        <v>212.08799999999999</v>
      </c>
      <c r="O2153" s="6">
        <v>212.08799999999999</v>
      </c>
      <c r="P2153" s="6">
        <v>94</v>
      </c>
      <c r="Q2153" s="4" t="s">
        <v>26</v>
      </c>
      <c r="R2153" s="4">
        <v>0</v>
      </c>
      <c r="S2153" s="4" t="s">
        <v>630</v>
      </c>
      <c r="T2153" s="4" t="s">
        <v>937</v>
      </c>
      <c r="U2153" s="4">
        <v>0</v>
      </c>
      <c r="V2153" s="4">
        <v>73</v>
      </c>
      <c r="W2153" s="4">
        <v>116</v>
      </c>
    </row>
    <row r="2154" spans="1:23" ht="11.25" customHeight="1" x14ac:dyDescent="0.25">
      <c r="A2154" s="4" t="s">
        <v>28</v>
      </c>
      <c r="B2154" s="4" t="s">
        <v>39</v>
      </c>
      <c r="C2154" s="4" t="s">
        <v>23</v>
      </c>
      <c r="D2154" s="4" t="s">
        <v>42</v>
      </c>
      <c r="E2154" s="4" t="s">
        <v>25</v>
      </c>
      <c r="F2154" s="4" t="s">
        <v>25</v>
      </c>
      <c r="G2154" s="4" t="s">
        <v>25</v>
      </c>
      <c r="H2154" s="4" t="s">
        <v>25</v>
      </c>
      <c r="I2154" s="5">
        <v>43952</v>
      </c>
      <c r="J2154" s="6">
        <v>0</v>
      </c>
      <c r="K2154" s="6">
        <v>0</v>
      </c>
      <c r="L2154" s="6">
        <v>262.22500000000002</v>
      </c>
      <c r="M2154" s="6">
        <v>262.22500000000002</v>
      </c>
      <c r="N2154" s="6">
        <v>262.22500000000002</v>
      </c>
      <c r="O2154" s="6">
        <v>262.22500000000002</v>
      </c>
      <c r="P2154" s="6">
        <v>128</v>
      </c>
      <c r="Q2154" s="4" t="s">
        <v>26</v>
      </c>
      <c r="R2154" s="4">
        <v>0</v>
      </c>
      <c r="S2154" s="4" t="s">
        <v>630</v>
      </c>
      <c r="T2154" s="4" t="s">
        <v>937</v>
      </c>
      <c r="U2154" s="4">
        <v>0</v>
      </c>
      <c r="V2154" s="4">
        <v>73</v>
      </c>
      <c r="W2154" s="4">
        <v>116</v>
      </c>
    </row>
    <row r="2155" spans="1:23" ht="11.25" customHeight="1" x14ac:dyDescent="0.25">
      <c r="A2155" s="4" t="s">
        <v>28</v>
      </c>
      <c r="B2155" s="4" t="s">
        <v>39</v>
      </c>
      <c r="C2155" s="4" t="s">
        <v>23</v>
      </c>
      <c r="D2155" s="4" t="s">
        <v>42</v>
      </c>
      <c r="E2155" s="4" t="s">
        <v>25</v>
      </c>
      <c r="F2155" s="4" t="s">
        <v>25</v>
      </c>
      <c r="G2155" s="4" t="s">
        <v>25</v>
      </c>
      <c r="H2155" s="4" t="s">
        <v>25</v>
      </c>
      <c r="I2155" s="5">
        <v>43952</v>
      </c>
      <c r="J2155" s="6">
        <v>0</v>
      </c>
      <c r="K2155" s="6">
        <v>0</v>
      </c>
      <c r="L2155" s="6">
        <v>0.1</v>
      </c>
      <c r="M2155" s="6">
        <v>0.1</v>
      </c>
      <c r="N2155" s="6">
        <v>0.1</v>
      </c>
      <c r="O2155" s="6">
        <v>0.1</v>
      </c>
      <c r="P2155" s="6">
        <v>1</v>
      </c>
      <c r="Q2155" s="4" t="s">
        <v>26</v>
      </c>
      <c r="R2155" s="4">
        <v>0</v>
      </c>
      <c r="S2155" s="4" t="s">
        <v>630</v>
      </c>
      <c r="T2155" s="4" t="s">
        <v>937</v>
      </c>
      <c r="U2155" s="4">
        <v>0</v>
      </c>
      <c r="V2155" s="4">
        <v>73</v>
      </c>
      <c r="W2155" s="4">
        <v>116</v>
      </c>
    </row>
    <row r="2156" spans="1:23" ht="11.25" customHeight="1" x14ac:dyDescent="0.25">
      <c r="A2156" s="4" t="s">
        <v>21</v>
      </c>
      <c r="B2156" s="4" t="s">
        <v>39</v>
      </c>
      <c r="C2156" s="4" t="s">
        <v>23</v>
      </c>
      <c r="D2156" s="4" t="s">
        <v>42</v>
      </c>
      <c r="E2156" s="4" t="s">
        <v>25</v>
      </c>
      <c r="F2156" s="4" t="s">
        <v>25</v>
      </c>
      <c r="G2156" s="4" t="s">
        <v>25</v>
      </c>
      <c r="H2156" s="4" t="s">
        <v>25</v>
      </c>
      <c r="I2156" s="5">
        <v>43983</v>
      </c>
      <c r="J2156" s="6">
        <v>0</v>
      </c>
      <c r="K2156" s="6">
        <v>0</v>
      </c>
      <c r="L2156" s="6">
        <v>57531.525999999998</v>
      </c>
      <c r="M2156" s="6">
        <v>57531.525999999998</v>
      </c>
      <c r="N2156" s="6">
        <v>57531.525999999998</v>
      </c>
      <c r="O2156" s="6">
        <v>57531.525999999998</v>
      </c>
      <c r="P2156" s="6">
        <v>111939</v>
      </c>
      <c r="Q2156" s="4" t="s">
        <v>26</v>
      </c>
      <c r="R2156" s="4">
        <v>0</v>
      </c>
      <c r="S2156" s="4" t="s">
        <v>631</v>
      </c>
      <c r="T2156" s="4" t="s">
        <v>938</v>
      </c>
      <c r="U2156" s="4">
        <v>0</v>
      </c>
      <c r="V2156" s="4">
        <v>73</v>
      </c>
      <c r="W2156" s="4">
        <v>116</v>
      </c>
    </row>
    <row r="2157" spans="1:23" ht="11.25" customHeight="1" x14ac:dyDescent="0.25">
      <c r="A2157" s="4" t="s">
        <v>27</v>
      </c>
      <c r="B2157" s="4" t="s">
        <v>39</v>
      </c>
      <c r="C2157" s="4" t="s">
        <v>23</v>
      </c>
      <c r="D2157" s="4" t="s">
        <v>42</v>
      </c>
      <c r="E2157" s="4" t="s">
        <v>25</v>
      </c>
      <c r="F2157" s="4" t="s">
        <v>25</v>
      </c>
      <c r="G2157" s="4" t="s">
        <v>25</v>
      </c>
      <c r="H2157" s="4" t="s">
        <v>25</v>
      </c>
      <c r="I2157" s="5">
        <v>43983</v>
      </c>
      <c r="J2157" s="6">
        <v>0</v>
      </c>
      <c r="K2157" s="6">
        <v>0</v>
      </c>
      <c r="L2157" s="6">
        <v>137.68299999999999</v>
      </c>
      <c r="M2157" s="6">
        <v>137.68299999999999</v>
      </c>
      <c r="N2157" s="6">
        <v>137.68299999999999</v>
      </c>
      <c r="O2157" s="6">
        <v>137.68299999999999</v>
      </c>
      <c r="P2157" s="6">
        <v>94</v>
      </c>
      <c r="Q2157" s="4" t="s">
        <v>26</v>
      </c>
      <c r="R2157" s="4">
        <v>0</v>
      </c>
      <c r="S2157" s="4" t="s">
        <v>631</v>
      </c>
      <c r="T2157" s="4" t="s">
        <v>938</v>
      </c>
      <c r="U2157" s="4">
        <v>0</v>
      </c>
      <c r="V2157" s="4">
        <v>73</v>
      </c>
      <c r="W2157" s="4">
        <v>116</v>
      </c>
    </row>
    <row r="2158" spans="1:23" ht="11.25" customHeight="1" x14ac:dyDescent="0.25">
      <c r="A2158" s="4" t="s">
        <v>28</v>
      </c>
      <c r="B2158" s="4" t="s">
        <v>39</v>
      </c>
      <c r="C2158" s="4" t="s">
        <v>23</v>
      </c>
      <c r="D2158" s="4" t="s">
        <v>42</v>
      </c>
      <c r="E2158" s="4" t="s">
        <v>25</v>
      </c>
      <c r="F2158" s="4" t="s">
        <v>25</v>
      </c>
      <c r="G2158" s="4" t="s">
        <v>25</v>
      </c>
      <c r="H2158" s="4" t="s">
        <v>25</v>
      </c>
      <c r="I2158" s="5">
        <v>43983</v>
      </c>
      <c r="J2158" s="6">
        <v>0</v>
      </c>
      <c r="K2158" s="6">
        <v>0</v>
      </c>
      <c r="L2158" s="6">
        <v>273.97199999999998</v>
      </c>
      <c r="M2158" s="6">
        <v>273.97199999999998</v>
      </c>
      <c r="N2158" s="6">
        <v>273.97199999999998</v>
      </c>
      <c r="O2158" s="6">
        <v>273.97199999999998</v>
      </c>
      <c r="P2158" s="6">
        <v>129</v>
      </c>
      <c r="Q2158" s="4" t="s">
        <v>26</v>
      </c>
      <c r="R2158" s="4">
        <v>0</v>
      </c>
      <c r="S2158" s="4" t="s">
        <v>631</v>
      </c>
      <c r="T2158" s="4" t="s">
        <v>938</v>
      </c>
      <c r="U2158" s="4">
        <v>0</v>
      </c>
      <c r="V2158" s="4">
        <v>73</v>
      </c>
      <c r="W2158" s="4">
        <v>116</v>
      </c>
    </row>
    <row r="2159" spans="1:23" ht="11.25" customHeight="1" x14ac:dyDescent="0.25">
      <c r="A2159" s="4" t="s">
        <v>28</v>
      </c>
      <c r="B2159" s="4" t="s">
        <v>39</v>
      </c>
      <c r="C2159" s="4" t="s">
        <v>23</v>
      </c>
      <c r="D2159" s="4" t="s">
        <v>42</v>
      </c>
      <c r="E2159" s="4" t="s">
        <v>25</v>
      </c>
      <c r="F2159" s="4" t="s">
        <v>25</v>
      </c>
      <c r="G2159" s="4" t="s">
        <v>25</v>
      </c>
      <c r="H2159" s="4" t="s">
        <v>25</v>
      </c>
      <c r="I2159" s="5">
        <v>43983</v>
      </c>
      <c r="J2159" s="6">
        <v>0</v>
      </c>
      <c r="K2159" s="6">
        <v>0</v>
      </c>
      <c r="L2159" s="6">
        <v>0.1</v>
      </c>
      <c r="M2159" s="6">
        <v>0.1</v>
      </c>
      <c r="N2159" s="6">
        <v>0.1</v>
      </c>
      <c r="O2159" s="6">
        <v>0.1</v>
      </c>
      <c r="P2159" s="6">
        <v>1</v>
      </c>
      <c r="Q2159" s="4" t="s">
        <v>26</v>
      </c>
      <c r="R2159" s="4">
        <v>0</v>
      </c>
      <c r="S2159" s="4" t="s">
        <v>631</v>
      </c>
      <c r="T2159" s="4" t="s">
        <v>938</v>
      </c>
      <c r="U2159" s="4">
        <v>0</v>
      </c>
      <c r="V2159" s="4">
        <v>73</v>
      </c>
      <c r="W2159" s="4">
        <v>116</v>
      </c>
    </row>
    <row r="2160" spans="1:23" ht="11.25" customHeight="1" x14ac:dyDescent="0.25">
      <c r="A2160" s="4" t="s">
        <v>21</v>
      </c>
      <c r="B2160" s="4" t="s">
        <v>39</v>
      </c>
      <c r="C2160" s="4" t="s">
        <v>23</v>
      </c>
      <c r="D2160" s="4" t="s">
        <v>42</v>
      </c>
      <c r="E2160" s="4" t="s">
        <v>25</v>
      </c>
      <c r="F2160" s="4" t="s">
        <v>25</v>
      </c>
      <c r="G2160" s="4" t="s">
        <v>25</v>
      </c>
      <c r="H2160" s="4" t="s">
        <v>25</v>
      </c>
      <c r="I2160" s="5">
        <v>44013</v>
      </c>
      <c r="J2160" s="6">
        <v>0</v>
      </c>
      <c r="K2160" s="6">
        <v>0</v>
      </c>
      <c r="L2160" s="6">
        <v>60155.277999999998</v>
      </c>
      <c r="M2160" s="6">
        <v>60155.277999999998</v>
      </c>
      <c r="N2160" s="6">
        <v>60155.277999999998</v>
      </c>
      <c r="O2160" s="6">
        <v>60155.277999999998</v>
      </c>
      <c r="P2160" s="6">
        <v>111610</v>
      </c>
      <c r="Q2160" s="4" t="s">
        <v>26</v>
      </c>
      <c r="R2160" s="4">
        <v>0</v>
      </c>
      <c r="S2160" s="4" t="s">
        <v>632</v>
      </c>
      <c r="T2160" s="4" t="s">
        <v>939</v>
      </c>
      <c r="U2160" s="4">
        <v>0</v>
      </c>
      <c r="V2160" s="4">
        <v>73</v>
      </c>
      <c r="W2160" s="4">
        <v>116</v>
      </c>
    </row>
    <row r="2161" spans="1:23" ht="11.25" customHeight="1" x14ac:dyDescent="0.25">
      <c r="A2161" s="4" t="s">
        <v>27</v>
      </c>
      <c r="B2161" s="4" t="s">
        <v>39</v>
      </c>
      <c r="C2161" s="4" t="s">
        <v>23</v>
      </c>
      <c r="D2161" s="4" t="s">
        <v>42</v>
      </c>
      <c r="E2161" s="4" t="s">
        <v>25</v>
      </c>
      <c r="F2161" s="4" t="s">
        <v>25</v>
      </c>
      <c r="G2161" s="4" t="s">
        <v>25</v>
      </c>
      <c r="H2161" s="4" t="s">
        <v>25</v>
      </c>
      <c r="I2161" s="5">
        <v>44013</v>
      </c>
      <c r="J2161" s="6">
        <v>0</v>
      </c>
      <c r="K2161" s="6">
        <v>0</v>
      </c>
      <c r="L2161" s="6">
        <v>162.63399999999999</v>
      </c>
      <c r="M2161" s="6">
        <v>162.63399999999999</v>
      </c>
      <c r="N2161" s="6">
        <v>162.63399999999999</v>
      </c>
      <c r="O2161" s="6">
        <v>162.63399999999999</v>
      </c>
      <c r="P2161" s="6">
        <v>123</v>
      </c>
      <c r="Q2161" s="4" t="s">
        <v>26</v>
      </c>
      <c r="R2161" s="4">
        <v>0</v>
      </c>
      <c r="S2161" s="4" t="s">
        <v>632</v>
      </c>
      <c r="T2161" s="4" t="s">
        <v>939</v>
      </c>
      <c r="U2161" s="4">
        <v>0</v>
      </c>
      <c r="V2161" s="4">
        <v>73</v>
      </c>
      <c r="W2161" s="4">
        <v>116</v>
      </c>
    </row>
    <row r="2162" spans="1:23" ht="11.25" customHeight="1" x14ac:dyDescent="0.25">
      <c r="A2162" s="4" t="s">
        <v>28</v>
      </c>
      <c r="B2162" s="4" t="s">
        <v>39</v>
      </c>
      <c r="C2162" s="4" t="s">
        <v>23</v>
      </c>
      <c r="D2162" s="4" t="s">
        <v>42</v>
      </c>
      <c r="E2162" s="4" t="s">
        <v>25</v>
      </c>
      <c r="F2162" s="4" t="s">
        <v>25</v>
      </c>
      <c r="G2162" s="4" t="s">
        <v>25</v>
      </c>
      <c r="H2162" s="4" t="s">
        <v>25</v>
      </c>
      <c r="I2162" s="5">
        <v>44013</v>
      </c>
      <c r="J2162" s="6">
        <v>0</v>
      </c>
      <c r="K2162" s="6">
        <v>0</v>
      </c>
      <c r="L2162" s="6">
        <v>283.10599999999999</v>
      </c>
      <c r="M2162" s="6">
        <v>283.10599999999999</v>
      </c>
      <c r="N2162" s="6">
        <v>283.10599999999999</v>
      </c>
      <c r="O2162" s="6">
        <v>283.10599999999999</v>
      </c>
      <c r="P2162" s="6">
        <v>130</v>
      </c>
      <c r="Q2162" s="4" t="s">
        <v>26</v>
      </c>
      <c r="R2162" s="4">
        <v>0</v>
      </c>
      <c r="S2162" s="4" t="s">
        <v>632</v>
      </c>
      <c r="T2162" s="4" t="s">
        <v>939</v>
      </c>
      <c r="U2162" s="4">
        <v>0</v>
      </c>
      <c r="V2162" s="4">
        <v>73</v>
      </c>
      <c r="W2162" s="4">
        <v>116</v>
      </c>
    </row>
    <row r="2163" spans="1:23" ht="11.25" customHeight="1" x14ac:dyDescent="0.25">
      <c r="A2163" s="4" t="s">
        <v>28</v>
      </c>
      <c r="B2163" s="4" t="s">
        <v>39</v>
      </c>
      <c r="C2163" s="4" t="s">
        <v>23</v>
      </c>
      <c r="D2163" s="4" t="s">
        <v>42</v>
      </c>
      <c r="E2163" s="4" t="s">
        <v>25</v>
      </c>
      <c r="F2163" s="4" t="s">
        <v>25</v>
      </c>
      <c r="G2163" s="4" t="s">
        <v>25</v>
      </c>
      <c r="H2163" s="4" t="s">
        <v>25</v>
      </c>
      <c r="I2163" s="5">
        <v>44013</v>
      </c>
      <c r="J2163" s="6">
        <v>0</v>
      </c>
      <c r="K2163" s="6">
        <v>0</v>
      </c>
      <c r="L2163" s="6">
        <v>0.1</v>
      </c>
      <c r="M2163" s="6">
        <v>0.1</v>
      </c>
      <c r="N2163" s="6">
        <v>0.1</v>
      </c>
      <c r="O2163" s="6">
        <v>0.1</v>
      </c>
      <c r="P2163" s="6">
        <v>0</v>
      </c>
      <c r="Q2163" s="4" t="s">
        <v>26</v>
      </c>
      <c r="R2163" s="4">
        <v>0</v>
      </c>
      <c r="S2163" s="4" t="s">
        <v>632</v>
      </c>
      <c r="T2163" s="4" t="s">
        <v>939</v>
      </c>
      <c r="U2163" s="4">
        <v>0</v>
      </c>
      <c r="V2163" s="4">
        <v>73</v>
      </c>
      <c r="W2163" s="4">
        <v>116</v>
      </c>
    </row>
    <row r="2164" spans="1:23" ht="11.25" customHeight="1" x14ac:dyDescent="0.25">
      <c r="A2164" s="4" t="s">
        <v>21</v>
      </c>
      <c r="B2164" s="4" t="s">
        <v>39</v>
      </c>
      <c r="C2164" s="4" t="s">
        <v>23</v>
      </c>
      <c r="D2164" s="4" t="s">
        <v>42</v>
      </c>
      <c r="E2164" s="4" t="s">
        <v>25</v>
      </c>
      <c r="F2164" s="4" t="s">
        <v>25</v>
      </c>
      <c r="G2164" s="4" t="s">
        <v>25</v>
      </c>
      <c r="H2164" s="4" t="s">
        <v>25</v>
      </c>
      <c r="I2164" s="5">
        <v>44044</v>
      </c>
      <c r="J2164" s="6">
        <v>0</v>
      </c>
      <c r="K2164" s="6">
        <v>0</v>
      </c>
      <c r="L2164" s="6">
        <v>66624.33</v>
      </c>
      <c r="M2164" s="6">
        <v>66624.33</v>
      </c>
      <c r="N2164" s="6">
        <v>66624.33</v>
      </c>
      <c r="O2164" s="6">
        <v>66624.33</v>
      </c>
      <c r="P2164" s="6">
        <v>111468</v>
      </c>
      <c r="Q2164" s="4" t="s">
        <v>26</v>
      </c>
      <c r="R2164" s="4">
        <v>0</v>
      </c>
      <c r="S2164" s="4" t="s">
        <v>633</v>
      </c>
      <c r="T2164" s="4" t="s">
        <v>940</v>
      </c>
      <c r="U2164" s="4">
        <v>0</v>
      </c>
      <c r="V2164" s="4">
        <v>73</v>
      </c>
      <c r="W2164" s="4">
        <v>116</v>
      </c>
    </row>
    <row r="2165" spans="1:23" ht="11.25" customHeight="1" x14ac:dyDescent="0.25">
      <c r="A2165" s="4" t="s">
        <v>27</v>
      </c>
      <c r="B2165" s="4" t="s">
        <v>39</v>
      </c>
      <c r="C2165" s="4" t="s">
        <v>23</v>
      </c>
      <c r="D2165" s="4" t="s">
        <v>42</v>
      </c>
      <c r="E2165" s="4" t="s">
        <v>25</v>
      </c>
      <c r="F2165" s="4" t="s">
        <v>25</v>
      </c>
      <c r="G2165" s="4" t="s">
        <v>25</v>
      </c>
      <c r="H2165" s="4" t="s">
        <v>25</v>
      </c>
      <c r="I2165" s="5">
        <v>44044</v>
      </c>
      <c r="J2165" s="6">
        <v>0</v>
      </c>
      <c r="K2165" s="6">
        <v>0</v>
      </c>
      <c r="L2165" s="6">
        <v>230.726</v>
      </c>
      <c r="M2165" s="6">
        <v>230.726</v>
      </c>
      <c r="N2165" s="6">
        <v>230.726</v>
      </c>
      <c r="O2165" s="6">
        <v>230.726</v>
      </c>
      <c r="P2165" s="6">
        <v>164</v>
      </c>
      <c r="Q2165" s="4" t="s">
        <v>26</v>
      </c>
      <c r="R2165" s="4">
        <v>0</v>
      </c>
      <c r="S2165" s="4" t="s">
        <v>633</v>
      </c>
      <c r="T2165" s="4" t="s">
        <v>940</v>
      </c>
      <c r="U2165" s="4">
        <v>0</v>
      </c>
      <c r="V2165" s="4">
        <v>73</v>
      </c>
      <c r="W2165" s="4">
        <v>116</v>
      </c>
    </row>
    <row r="2166" spans="1:23" ht="11.25" customHeight="1" x14ac:dyDescent="0.25">
      <c r="A2166" s="4" t="s">
        <v>28</v>
      </c>
      <c r="B2166" s="4" t="s">
        <v>39</v>
      </c>
      <c r="C2166" s="4" t="s">
        <v>23</v>
      </c>
      <c r="D2166" s="4" t="s">
        <v>42</v>
      </c>
      <c r="E2166" s="4" t="s">
        <v>25</v>
      </c>
      <c r="F2166" s="4" t="s">
        <v>25</v>
      </c>
      <c r="G2166" s="4" t="s">
        <v>25</v>
      </c>
      <c r="H2166" s="4" t="s">
        <v>25</v>
      </c>
      <c r="I2166" s="5">
        <v>44044</v>
      </c>
      <c r="J2166" s="6">
        <v>0</v>
      </c>
      <c r="K2166" s="6">
        <v>0</v>
      </c>
      <c r="L2166" s="6">
        <v>319.80399999999997</v>
      </c>
      <c r="M2166" s="6">
        <v>319.80399999999997</v>
      </c>
      <c r="N2166" s="6">
        <v>319.80399999999997</v>
      </c>
      <c r="O2166" s="6">
        <v>319.80399999999997</v>
      </c>
      <c r="P2166" s="6">
        <v>137</v>
      </c>
      <c r="Q2166" s="4" t="s">
        <v>26</v>
      </c>
      <c r="R2166" s="4">
        <v>0</v>
      </c>
      <c r="S2166" s="4" t="s">
        <v>633</v>
      </c>
      <c r="T2166" s="4" t="s">
        <v>940</v>
      </c>
      <c r="U2166" s="4">
        <v>0</v>
      </c>
      <c r="V2166" s="4">
        <v>73</v>
      </c>
      <c r="W2166" s="4">
        <v>116</v>
      </c>
    </row>
    <row r="2167" spans="1:23" ht="11.25" customHeight="1" x14ac:dyDescent="0.25">
      <c r="A2167" s="4" t="s">
        <v>59</v>
      </c>
      <c r="B2167" s="4" t="s">
        <v>39</v>
      </c>
      <c r="C2167" s="4" t="s">
        <v>23</v>
      </c>
      <c r="D2167" s="4" t="s">
        <v>42</v>
      </c>
      <c r="E2167" s="4" t="s">
        <v>25</v>
      </c>
      <c r="F2167" s="4" t="s">
        <v>25</v>
      </c>
      <c r="G2167" s="4" t="s">
        <v>25</v>
      </c>
      <c r="H2167" s="4" t="s">
        <v>25</v>
      </c>
      <c r="I2167" s="5">
        <v>44075</v>
      </c>
      <c r="J2167" s="6">
        <v>0</v>
      </c>
      <c r="K2167" s="6">
        <v>0</v>
      </c>
      <c r="L2167" s="6">
        <v>66624.33</v>
      </c>
      <c r="M2167" s="6">
        <v>66624.33</v>
      </c>
      <c r="N2167" s="6">
        <v>66624.33</v>
      </c>
      <c r="O2167" s="6">
        <v>66624.33</v>
      </c>
      <c r="P2167" s="6">
        <v>111468</v>
      </c>
      <c r="Q2167" s="4" t="s">
        <v>26</v>
      </c>
      <c r="R2167" s="4">
        <v>0</v>
      </c>
      <c r="S2167" s="4" t="s">
        <v>634</v>
      </c>
      <c r="T2167" s="4" t="s">
        <v>941</v>
      </c>
      <c r="U2167" s="4">
        <v>0</v>
      </c>
      <c r="V2167" s="4">
        <v>73</v>
      </c>
      <c r="W2167" s="4">
        <v>116</v>
      </c>
    </row>
    <row r="2168" spans="1:23" ht="11.25" customHeight="1" x14ac:dyDescent="0.25">
      <c r="A2168" s="4" t="s">
        <v>59</v>
      </c>
      <c r="B2168" s="4" t="s">
        <v>39</v>
      </c>
      <c r="C2168" s="4" t="s">
        <v>23</v>
      </c>
      <c r="D2168" s="4" t="s">
        <v>42</v>
      </c>
      <c r="E2168" s="4" t="s">
        <v>25</v>
      </c>
      <c r="F2168" s="4" t="s">
        <v>25</v>
      </c>
      <c r="G2168" s="4" t="s">
        <v>25</v>
      </c>
      <c r="H2168" s="4" t="s">
        <v>25</v>
      </c>
      <c r="I2168" s="5">
        <v>44075</v>
      </c>
      <c r="J2168" s="6">
        <v>0</v>
      </c>
      <c r="K2168" s="6">
        <v>0</v>
      </c>
      <c r="L2168" s="6">
        <v>230.726</v>
      </c>
      <c r="M2168" s="6">
        <v>230.726</v>
      </c>
      <c r="N2168" s="6">
        <v>230.726</v>
      </c>
      <c r="O2168" s="6">
        <v>230.726</v>
      </c>
      <c r="P2168" s="6">
        <v>164</v>
      </c>
      <c r="Q2168" s="4" t="s">
        <v>26</v>
      </c>
      <c r="R2168" s="4">
        <v>0</v>
      </c>
      <c r="S2168" s="4" t="s">
        <v>634</v>
      </c>
      <c r="T2168" s="4" t="s">
        <v>941</v>
      </c>
      <c r="U2168" s="4">
        <v>0</v>
      </c>
      <c r="V2168" s="4">
        <v>73</v>
      </c>
      <c r="W2168" s="4">
        <v>116</v>
      </c>
    </row>
    <row r="2169" spans="1:23" ht="11.25" customHeight="1" x14ac:dyDescent="0.25">
      <c r="A2169" s="4" t="s">
        <v>59</v>
      </c>
      <c r="B2169" s="4" t="s">
        <v>39</v>
      </c>
      <c r="C2169" s="4" t="s">
        <v>23</v>
      </c>
      <c r="D2169" s="4" t="s">
        <v>42</v>
      </c>
      <c r="E2169" s="4" t="s">
        <v>25</v>
      </c>
      <c r="F2169" s="4" t="s">
        <v>25</v>
      </c>
      <c r="G2169" s="4" t="s">
        <v>25</v>
      </c>
      <c r="H2169" s="4" t="s">
        <v>25</v>
      </c>
      <c r="I2169" s="5">
        <v>44075</v>
      </c>
      <c r="J2169" s="6">
        <v>0</v>
      </c>
      <c r="K2169" s="6">
        <v>0</v>
      </c>
      <c r="L2169" s="6">
        <v>319.80399999999997</v>
      </c>
      <c r="M2169" s="6">
        <v>319.80399999999997</v>
      </c>
      <c r="N2169" s="6">
        <v>319.80399999999997</v>
      </c>
      <c r="O2169" s="6">
        <v>319.80399999999997</v>
      </c>
      <c r="P2169" s="6">
        <v>137</v>
      </c>
      <c r="Q2169" s="4" t="s">
        <v>26</v>
      </c>
      <c r="R2169" s="4">
        <v>0</v>
      </c>
      <c r="S2169" s="4" t="s">
        <v>634</v>
      </c>
      <c r="T2169" s="4" t="s">
        <v>941</v>
      </c>
      <c r="U2169" s="4">
        <v>0</v>
      </c>
      <c r="V2169" s="4">
        <v>73</v>
      </c>
      <c r="W2169" s="4">
        <v>116</v>
      </c>
    </row>
    <row r="2170" spans="1:23" ht="11.25" customHeight="1" x14ac:dyDescent="0.25">
      <c r="A2170" s="4" t="s">
        <v>21</v>
      </c>
      <c r="B2170" s="4" t="s">
        <v>39</v>
      </c>
      <c r="C2170" s="4" t="s">
        <v>23</v>
      </c>
      <c r="D2170" s="4" t="s">
        <v>54</v>
      </c>
      <c r="E2170" s="4" t="s">
        <v>25</v>
      </c>
      <c r="F2170" s="4" t="s">
        <v>25</v>
      </c>
      <c r="G2170" s="4" t="s">
        <v>25</v>
      </c>
      <c r="H2170" s="4" t="s">
        <v>25</v>
      </c>
      <c r="I2170" s="5">
        <v>43739</v>
      </c>
      <c r="J2170" s="6">
        <v>0</v>
      </c>
      <c r="K2170" s="6">
        <v>0</v>
      </c>
      <c r="L2170" s="6">
        <v>107.396</v>
      </c>
      <c r="M2170" s="6">
        <v>107.396</v>
      </c>
      <c r="N2170" s="6">
        <v>107.396</v>
      </c>
      <c r="O2170" s="6">
        <v>107.396</v>
      </c>
      <c r="P2170" s="6">
        <v>41</v>
      </c>
      <c r="Q2170" s="4" t="s">
        <v>26</v>
      </c>
      <c r="R2170" s="4">
        <v>0</v>
      </c>
      <c r="S2170" s="4" t="s">
        <v>623</v>
      </c>
      <c r="T2170" s="4" t="s">
        <v>930</v>
      </c>
      <c r="U2170" s="4">
        <v>0</v>
      </c>
      <c r="V2170" s="4">
        <v>73</v>
      </c>
      <c r="W2170" s="4">
        <v>116</v>
      </c>
    </row>
    <row r="2171" spans="1:23" ht="11.25" customHeight="1" x14ac:dyDescent="0.25">
      <c r="A2171" s="4" t="s">
        <v>21</v>
      </c>
      <c r="B2171" s="4" t="s">
        <v>39</v>
      </c>
      <c r="C2171" s="4" t="s">
        <v>23</v>
      </c>
      <c r="D2171" s="4" t="s">
        <v>54</v>
      </c>
      <c r="E2171" s="4" t="s">
        <v>25</v>
      </c>
      <c r="F2171" s="4" t="s">
        <v>25</v>
      </c>
      <c r="G2171" s="4" t="s">
        <v>25</v>
      </c>
      <c r="H2171" s="4" t="s">
        <v>25</v>
      </c>
      <c r="I2171" s="5">
        <v>43770</v>
      </c>
      <c r="J2171" s="6">
        <v>0</v>
      </c>
      <c r="K2171" s="6">
        <v>0</v>
      </c>
      <c r="L2171" s="6">
        <v>108.178</v>
      </c>
      <c r="M2171" s="6">
        <v>108.178</v>
      </c>
      <c r="N2171" s="6">
        <v>108.178</v>
      </c>
      <c r="O2171" s="6">
        <v>108.178</v>
      </c>
      <c r="P2171" s="6">
        <v>41</v>
      </c>
      <c r="Q2171" s="4" t="s">
        <v>26</v>
      </c>
      <c r="R2171" s="4">
        <v>0</v>
      </c>
      <c r="S2171" s="4" t="s">
        <v>624</v>
      </c>
      <c r="T2171" s="4" t="s">
        <v>931</v>
      </c>
      <c r="U2171" s="4">
        <v>0</v>
      </c>
      <c r="V2171" s="4">
        <v>73</v>
      </c>
      <c r="W2171" s="4">
        <v>116</v>
      </c>
    </row>
    <row r="2172" spans="1:23" ht="11.25" customHeight="1" x14ac:dyDescent="0.25">
      <c r="A2172" s="4" t="s">
        <v>21</v>
      </c>
      <c r="B2172" s="4" t="s">
        <v>39</v>
      </c>
      <c r="C2172" s="4" t="s">
        <v>23</v>
      </c>
      <c r="D2172" s="4" t="s">
        <v>54</v>
      </c>
      <c r="E2172" s="4" t="s">
        <v>25</v>
      </c>
      <c r="F2172" s="4" t="s">
        <v>25</v>
      </c>
      <c r="G2172" s="4" t="s">
        <v>25</v>
      </c>
      <c r="H2172" s="4" t="s">
        <v>25</v>
      </c>
      <c r="I2172" s="5">
        <v>43800</v>
      </c>
      <c r="J2172" s="6">
        <v>0</v>
      </c>
      <c r="K2172" s="6">
        <v>0</v>
      </c>
      <c r="L2172" s="6">
        <v>104.063</v>
      </c>
      <c r="M2172" s="6">
        <v>104.063</v>
      </c>
      <c r="N2172" s="6">
        <v>104.063</v>
      </c>
      <c r="O2172" s="6">
        <v>104.063</v>
      </c>
      <c r="P2172" s="6">
        <v>41</v>
      </c>
      <c r="Q2172" s="4" t="s">
        <v>26</v>
      </c>
      <c r="R2172" s="4">
        <v>0</v>
      </c>
      <c r="S2172" s="4" t="s">
        <v>625</v>
      </c>
      <c r="T2172" s="4" t="s">
        <v>932</v>
      </c>
      <c r="U2172" s="4">
        <v>0</v>
      </c>
      <c r="V2172" s="4">
        <v>73</v>
      </c>
      <c r="W2172" s="4">
        <v>116</v>
      </c>
    </row>
    <row r="2173" spans="1:23" ht="11.25" customHeight="1" x14ac:dyDescent="0.25">
      <c r="A2173" s="4" t="s">
        <v>21</v>
      </c>
      <c r="B2173" s="4" t="s">
        <v>39</v>
      </c>
      <c r="C2173" s="4" t="s">
        <v>23</v>
      </c>
      <c r="D2173" s="4" t="s">
        <v>54</v>
      </c>
      <c r="E2173" s="4" t="s">
        <v>25</v>
      </c>
      <c r="F2173" s="4" t="s">
        <v>25</v>
      </c>
      <c r="G2173" s="4" t="s">
        <v>25</v>
      </c>
      <c r="H2173" s="4" t="s">
        <v>25</v>
      </c>
      <c r="I2173" s="5">
        <v>43831</v>
      </c>
      <c r="J2173" s="6">
        <v>0</v>
      </c>
      <c r="K2173" s="6">
        <v>0</v>
      </c>
      <c r="L2173" s="6">
        <v>104.967</v>
      </c>
      <c r="M2173" s="6">
        <v>104.967</v>
      </c>
      <c r="N2173" s="6">
        <v>104.967</v>
      </c>
      <c r="O2173" s="6">
        <v>104.967</v>
      </c>
      <c r="P2173" s="6">
        <v>41</v>
      </c>
      <c r="Q2173" s="4" t="s">
        <v>26</v>
      </c>
      <c r="R2173" s="4">
        <v>0</v>
      </c>
      <c r="S2173" s="4" t="s">
        <v>626</v>
      </c>
      <c r="T2173" s="4" t="s">
        <v>933</v>
      </c>
      <c r="U2173" s="4">
        <v>0</v>
      </c>
      <c r="V2173" s="4">
        <v>73</v>
      </c>
      <c r="W2173" s="4">
        <v>116</v>
      </c>
    </row>
    <row r="2174" spans="1:23" ht="11.25" customHeight="1" x14ac:dyDescent="0.25">
      <c r="A2174" s="4" t="s">
        <v>21</v>
      </c>
      <c r="B2174" s="4" t="s">
        <v>39</v>
      </c>
      <c r="C2174" s="4" t="s">
        <v>23</v>
      </c>
      <c r="D2174" s="4" t="s">
        <v>54</v>
      </c>
      <c r="E2174" s="4" t="s">
        <v>25</v>
      </c>
      <c r="F2174" s="4" t="s">
        <v>25</v>
      </c>
      <c r="G2174" s="4" t="s">
        <v>25</v>
      </c>
      <c r="H2174" s="4" t="s">
        <v>25</v>
      </c>
      <c r="I2174" s="5">
        <v>43862</v>
      </c>
      <c r="J2174" s="6">
        <v>0</v>
      </c>
      <c r="K2174" s="6">
        <v>0</v>
      </c>
      <c r="L2174" s="6">
        <v>105.133</v>
      </c>
      <c r="M2174" s="6">
        <v>105.133</v>
      </c>
      <c r="N2174" s="6">
        <v>105.133</v>
      </c>
      <c r="O2174" s="6">
        <v>105.133</v>
      </c>
      <c r="P2174" s="6">
        <v>41</v>
      </c>
      <c r="Q2174" s="4" t="s">
        <v>26</v>
      </c>
      <c r="R2174" s="4">
        <v>0</v>
      </c>
      <c r="S2174" s="4" t="s">
        <v>627</v>
      </c>
      <c r="T2174" s="4" t="s">
        <v>934</v>
      </c>
      <c r="U2174" s="4">
        <v>0</v>
      </c>
      <c r="V2174" s="4">
        <v>73</v>
      </c>
      <c r="W2174" s="4">
        <v>116</v>
      </c>
    </row>
    <row r="2175" spans="1:23" ht="11.25" customHeight="1" x14ac:dyDescent="0.25">
      <c r="A2175" s="4" t="s">
        <v>21</v>
      </c>
      <c r="B2175" s="4" t="s">
        <v>39</v>
      </c>
      <c r="C2175" s="4" t="s">
        <v>23</v>
      </c>
      <c r="D2175" s="4" t="s">
        <v>54</v>
      </c>
      <c r="E2175" s="4" t="s">
        <v>25</v>
      </c>
      <c r="F2175" s="4" t="s">
        <v>25</v>
      </c>
      <c r="G2175" s="4" t="s">
        <v>25</v>
      </c>
      <c r="H2175" s="4" t="s">
        <v>25</v>
      </c>
      <c r="I2175" s="5">
        <v>43891</v>
      </c>
      <c r="J2175" s="6">
        <v>0</v>
      </c>
      <c r="K2175" s="6">
        <v>0</v>
      </c>
      <c r="L2175" s="6">
        <v>102.923</v>
      </c>
      <c r="M2175" s="6">
        <v>102.923</v>
      </c>
      <c r="N2175" s="6">
        <v>102.923</v>
      </c>
      <c r="O2175" s="6">
        <v>102.923</v>
      </c>
      <c r="P2175" s="6">
        <v>41</v>
      </c>
      <c r="Q2175" s="4" t="s">
        <v>26</v>
      </c>
      <c r="R2175" s="4">
        <v>0</v>
      </c>
      <c r="S2175" s="4" t="s">
        <v>628</v>
      </c>
      <c r="T2175" s="4" t="s">
        <v>935</v>
      </c>
      <c r="U2175" s="4">
        <v>0</v>
      </c>
      <c r="V2175" s="4">
        <v>73</v>
      </c>
      <c r="W2175" s="4">
        <v>116</v>
      </c>
    </row>
    <row r="2176" spans="1:23" ht="11.25" customHeight="1" x14ac:dyDescent="0.25">
      <c r="A2176" s="4" t="s">
        <v>21</v>
      </c>
      <c r="B2176" s="4" t="s">
        <v>39</v>
      </c>
      <c r="C2176" s="4" t="s">
        <v>23</v>
      </c>
      <c r="D2176" s="4" t="s">
        <v>54</v>
      </c>
      <c r="E2176" s="4" t="s">
        <v>25</v>
      </c>
      <c r="F2176" s="4" t="s">
        <v>25</v>
      </c>
      <c r="G2176" s="4" t="s">
        <v>25</v>
      </c>
      <c r="H2176" s="4" t="s">
        <v>25</v>
      </c>
      <c r="I2176" s="5">
        <v>43922</v>
      </c>
      <c r="J2176" s="6">
        <v>0</v>
      </c>
      <c r="K2176" s="6">
        <v>0</v>
      </c>
      <c r="L2176" s="6">
        <v>101.43600000000001</v>
      </c>
      <c r="M2176" s="6">
        <v>101.43600000000001</v>
      </c>
      <c r="N2176" s="6">
        <v>101.43600000000001</v>
      </c>
      <c r="O2176" s="6">
        <v>101.43600000000001</v>
      </c>
      <c r="P2176" s="6">
        <v>41</v>
      </c>
      <c r="Q2176" s="4" t="s">
        <v>26</v>
      </c>
      <c r="R2176" s="4">
        <v>0</v>
      </c>
      <c r="S2176" s="4" t="s">
        <v>629</v>
      </c>
      <c r="T2176" s="4" t="s">
        <v>936</v>
      </c>
      <c r="U2176" s="4">
        <v>0</v>
      </c>
      <c r="V2176" s="4">
        <v>73</v>
      </c>
      <c r="W2176" s="4">
        <v>116</v>
      </c>
    </row>
    <row r="2177" spans="1:23" ht="11.25" customHeight="1" x14ac:dyDescent="0.25">
      <c r="A2177" s="4" t="s">
        <v>21</v>
      </c>
      <c r="B2177" s="4" t="s">
        <v>39</v>
      </c>
      <c r="C2177" s="4" t="s">
        <v>23</v>
      </c>
      <c r="D2177" s="4" t="s">
        <v>54</v>
      </c>
      <c r="E2177" s="4" t="s">
        <v>25</v>
      </c>
      <c r="F2177" s="4" t="s">
        <v>25</v>
      </c>
      <c r="G2177" s="4" t="s">
        <v>25</v>
      </c>
      <c r="H2177" s="4" t="s">
        <v>25</v>
      </c>
      <c r="I2177" s="5">
        <v>43952</v>
      </c>
      <c r="J2177" s="6">
        <v>0</v>
      </c>
      <c r="K2177" s="6">
        <v>0</v>
      </c>
      <c r="L2177" s="6">
        <v>98.555000000000007</v>
      </c>
      <c r="M2177" s="6">
        <v>98.555000000000007</v>
      </c>
      <c r="N2177" s="6">
        <v>98.555000000000007</v>
      </c>
      <c r="O2177" s="6">
        <v>98.555000000000007</v>
      </c>
      <c r="P2177" s="6">
        <v>41</v>
      </c>
      <c r="Q2177" s="4" t="s">
        <v>26</v>
      </c>
      <c r="R2177" s="4">
        <v>0</v>
      </c>
      <c r="S2177" s="4" t="s">
        <v>630</v>
      </c>
      <c r="T2177" s="4" t="s">
        <v>937</v>
      </c>
      <c r="U2177" s="4">
        <v>0</v>
      </c>
      <c r="V2177" s="4">
        <v>73</v>
      </c>
      <c r="W2177" s="4">
        <v>116</v>
      </c>
    </row>
    <row r="2178" spans="1:23" ht="11.25" customHeight="1" x14ac:dyDescent="0.25">
      <c r="A2178" s="4" t="s">
        <v>21</v>
      </c>
      <c r="B2178" s="4" t="s">
        <v>39</v>
      </c>
      <c r="C2178" s="4" t="s">
        <v>23</v>
      </c>
      <c r="D2178" s="4" t="s">
        <v>54</v>
      </c>
      <c r="E2178" s="4" t="s">
        <v>25</v>
      </c>
      <c r="F2178" s="4" t="s">
        <v>25</v>
      </c>
      <c r="G2178" s="4" t="s">
        <v>25</v>
      </c>
      <c r="H2178" s="4" t="s">
        <v>25</v>
      </c>
      <c r="I2178" s="5">
        <v>43983</v>
      </c>
      <c r="J2178" s="6">
        <v>0</v>
      </c>
      <c r="K2178" s="6">
        <v>0</v>
      </c>
      <c r="L2178" s="6">
        <v>97.262</v>
      </c>
      <c r="M2178" s="6">
        <v>97.262</v>
      </c>
      <c r="N2178" s="6">
        <v>97.262</v>
      </c>
      <c r="O2178" s="6">
        <v>97.262</v>
      </c>
      <c r="P2178" s="6">
        <v>41</v>
      </c>
      <c r="Q2178" s="4" t="s">
        <v>26</v>
      </c>
      <c r="R2178" s="4">
        <v>0</v>
      </c>
      <c r="S2178" s="4" t="s">
        <v>631</v>
      </c>
      <c r="T2178" s="4" t="s">
        <v>938</v>
      </c>
      <c r="U2178" s="4">
        <v>0</v>
      </c>
      <c r="V2178" s="4">
        <v>73</v>
      </c>
      <c r="W2178" s="4">
        <v>116</v>
      </c>
    </row>
    <row r="2179" spans="1:23" ht="11.25" customHeight="1" x14ac:dyDescent="0.25">
      <c r="A2179" s="4" t="s">
        <v>21</v>
      </c>
      <c r="B2179" s="4" t="s">
        <v>39</v>
      </c>
      <c r="C2179" s="4" t="s">
        <v>23</v>
      </c>
      <c r="D2179" s="4" t="s">
        <v>54</v>
      </c>
      <c r="E2179" s="4" t="s">
        <v>25</v>
      </c>
      <c r="F2179" s="4" t="s">
        <v>25</v>
      </c>
      <c r="G2179" s="4" t="s">
        <v>25</v>
      </c>
      <c r="H2179" s="4" t="s">
        <v>25</v>
      </c>
      <c r="I2179" s="5">
        <v>44013</v>
      </c>
      <c r="J2179" s="6">
        <v>0</v>
      </c>
      <c r="K2179" s="6">
        <v>0</v>
      </c>
      <c r="L2179" s="6">
        <v>95.206999999999994</v>
      </c>
      <c r="M2179" s="6">
        <v>95.206999999999994</v>
      </c>
      <c r="N2179" s="6">
        <v>95.206999999999994</v>
      </c>
      <c r="O2179" s="6">
        <v>95.206999999999994</v>
      </c>
      <c r="P2179" s="6">
        <v>41</v>
      </c>
      <c r="Q2179" s="4" t="s">
        <v>26</v>
      </c>
      <c r="R2179" s="4">
        <v>0</v>
      </c>
      <c r="S2179" s="4" t="s">
        <v>632</v>
      </c>
      <c r="T2179" s="4" t="s">
        <v>939</v>
      </c>
      <c r="U2179" s="4">
        <v>0</v>
      </c>
      <c r="V2179" s="4">
        <v>73</v>
      </c>
      <c r="W2179" s="4">
        <v>116</v>
      </c>
    </row>
    <row r="2180" spans="1:23" ht="11.25" customHeight="1" x14ac:dyDescent="0.25">
      <c r="A2180" s="4" t="s">
        <v>21</v>
      </c>
      <c r="B2180" s="4" t="s">
        <v>39</v>
      </c>
      <c r="C2180" s="4" t="s">
        <v>23</v>
      </c>
      <c r="D2180" s="4" t="s">
        <v>54</v>
      </c>
      <c r="E2180" s="4" t="s">
        <v>25</v>
      </c>
      <c r="F2180" s="4" t="s">
        <v>25</v>
      </c>
      <c r="G2180" s="4" t="s">
        <v>25</v>
      </c>
      <c r="H2180" s="4" t="s">
        <v>25</v>
      </c>
      <c r="I2180" s="5">
        <v>44044</v>
      </c>
      <c r="J2180" s="6">
        <v>0</v>
      </c>
      <c r="K2180" s="6">
        <v>0</v>
      </c>
      <c r="L2180" s="6">
        <v>95.861999999999995</v>
      </c>
      <c r="M2180" s="6">
        <v>95.861999999999995</v>
      </c>
      <c r="N2180" s="6">
        <v>95.861999999999995</v>
      </c>
      <c r="O2180" s="6">
        <v>95.861999999999995</v>
      </c>
      <c r="P2180" s="6">
        <v>40</v>
      </c>
      <c r="Q2180" s="4" t="s">
        <v>26</v>
      </c>
      <c r="R2180" s="4">
        <v>0</v>
      </c>
      <c r="S2180" s="4" t="s">
        <v>633</v>
      </c>
      <c r="T2180" s="4" t="s">
        <v>940</v>
      </c>
      <c r="U2180" s="4">
        <v>0</v>
      </c>
      <c r="V2180" s="4">
        <v>73</v>
      </c>
      <c r="W2180" s="4">
        <v>116</v>
      </c>
    </row>
    <row r="2181" spans="1:23" ht="11.25" customHeight="1" x14ac:dyDescent="0.25">
      <c r="A2181" s="4" t="s">
        <v>59</v>
      </c>
      <c r="B2181" s="4" t="s">
        <v>39</v>
      </c>
      <c r="C2181" s="4" t="s">
        <v>23</v>
      </c>
      <c r="D2181" s="4" t="s">
        <v>54</v>
      </c>
      <c r="E2181" s="4" t="s">
        <v>25</v>
      </c>
      <c r="F2181" s="4" t="s">
        <v>25</v>
      </c>
      <c r="G2181" s="4" t="s">
        <v>25</v>
      </c>
      <c r="H2181" s="4" t="s">
        <v>25</v>
      </c>
      <c r="I2181" s="5">
        <v>44075</v>
      </c>
      <c r="J2181" s="6">
        <v>0</v>
      </c>
      <c r="K2181" s="6">
        <v>0</v>
      </c>
      <c r="L2181" s="6">
        <v>95.861999999999995</v>
      </c>
      <c r="M2181" s="6">
        <v>95.861999999999995</v>
      </c>
      <c r="N2181" s="6">
        <v>95.861999999999995</v>
      </c>
      <c r="O2181" s="6">
        <v>95.861999999999995</v>
      </c>
      <c r="P2181" s="6">
        <v>40</v>
      </c>
      <c r="Q2181" s="4" t="s">
        <v>26</v>
      </c>
      <c r="R2181" s="4">
        <v>0</v>
      </c>
      <c r="S2181" s="4" t="s">
        <v>634</v>
      </c>
      <c r="T2181" s="4" t="s">
        <v>941</v>
      </c>
      <c r="U2181" s="4">
        <v>0</v>
      </c>
      <c r="V2181" s="4">
        <v>73</v>
      </c>
      <c r="W2181" s="4">
        <v>116</v>
      </c>
    </row>
    <row r="2182" spans="1:23" ht="11.25" customHeight="1" x14ac:dyDescent="0.25">
      <c r="A2182" s="4" t="s">
        <v>21</v>
      </c>
      <c r="B2182" s="4" t="s">
        <v>39</v>
      </c>
      <c r="C2182" s="4" t="s">
        <v>23</v>
      </c>
      <c r="D2182" s="4" t="s">
        <v>40</v>
      </c>
      <c r="E2182" s="4" t="s">
        <v>25</v>
      </c>
      <c r="F2182" s="4" t="s">
        <v>25</v>
      </c>
      <c r="G2182" s="4" t="s">
        <v>25</v>
      </c>
      <c r="H2182" s="4" t="s">
        <v>25</v>
      </c>
      <c r="I2182" s="5">
        <v>43739</v>
      </c>
      <c r="J2182" s="6">
        <v>0</v>
      </c>
      <c r="K2182" s="6">
        <v>0</v>
      </c>
      <c r="L2182" s="6">
        <v>2719.2139999999999</v>
      </c>
      <c r="M2182" s="6">
        <v>2719.2139999999999</v>
      </c>
      <c r="N2182" s="6">
        <v>2719.2139999999999</v>
      </c>
      <c r="O2182" s="6">
        <v>2719.2139999999999</v>
      </c>
      <c r="P2182" s="6">
        <v>1257</v>
      </c>
      <c r="Q2182" s="4" t="s">
        <v>26</v>
      </c>
      <c r="R2182" s="4">
        <v>0</v>
      </c>
      <c r="S2182" s="4" t="s">
        <v>623</v>
      </c>
      <c r="T2182" s="4" t="s">
        <v>930</v>
      </c>
      <c r="U2182" s="4">
        <v>0</v>
      </c>
      <c r="V2182" s="4">
        <v>73</v>
      </c>
      <c r="W2182" s="4">
        <v>116</v>
      </c>
    </row>
    <row r="2183" spans="1:23" ht="11.25" customHeight="1" x14ac:dyDescent="0.25">
      <c r="A2183" s="4" t="s">
        <v>27</v>
      </c>
      <c r="B2183" s="4" t="s">
        <v>39</v>
      </c>
      <c r="C2183" s="4" t="s">
        <v>23</v>
      </c>
      <c r="D2183" s="4" t="s">
        <v>40</v>
      </c>
      <c r="E2183" s="4" t="s">
        <v>25</v>
      </c>
      <c r="F2183" s="4" t="s">
        <v>25</v>
      </c>
      <c r="G2183" s="4" t="s">
        <v>25</v>
      </c>
      <c r="H2183" s="4" t="s">
        <v>25</v>
      </c>
      <c r="I2183" s="5">
        <v>43739</v>
      </c>
      <c r="J2183" s="6">
        <v>0</v>
      </c>
      <c r="K2183" s="6">
        <v>0</v>
      </c>
      <c r="L2183" s="6">
        <v>27.277000000000001</v>
      </c>
      <c r="M2183" s="6">
        <v>27.277000000000001</v>
      </c>
      <c r="N2183" s="6">
        <v>27.277000000000001</v>
      </c>
      <c r="O2183" s="6">
        <v>27.277000000000001</v>
      </c>
      <c r="P2183" s="6">
        <v>4</v>
      </c>
      <c r="Q2183" s="4" t="s">
        <v>26</v>
      </c>
      <c r="R2183" s="4">
        <v>0</v>
      </c>
      <c r="S2183" s="4" t="s">
        <v>623</v>
      </c>
      <c r="T2183" s="4" t="s">
        <v>930</v>
      </c>
      <c r="U2183" s="4">
        <v>0</v>
      </c>
      <c r="V2183" s="4">
        <v>73</v>
      </c>
      <c r="W2183" s="4">
        <v>116</v>
      </c>
    </row>
    <row r="2184" spans="1:23" ht="11.25" customHeight="1" x14ac:dyDescent="0.25">
      <c r="A2184" s="4" t="s">
        <v>28</v>
      </c>
      <c r="B2184" s="4" t="s">
        <v>39</v>
      </c>
      <c r="C2184" s="4" t="s">
        <v>23</v>
      </c>
      <c r="D2184" s="4" t="s">
        <v>40</v>
      </c>
      <c r="E2184" s="4" t="s">
        <v>25</v>
      </c>
      <c r="F2184" s="4" t="s">
        <v>25</v>
      </c>
      <c r="G2184" s="4" t="s">
        <v>25</v>
      </c>
      <c r="H2184" s="4" t="s">
        <v>25</v>
      </c>
      <c r="I2184" s="5">
        <v>43739</v>
      </c>
      <c r="J2184" s="6">
        <v>0</v>
      </c>
      <c r="K2184" s="6">
        <v>0</v>
      </c>
      <c r="L2184" s="6">
        <v>5.25</v>
      </c>
      <c r="M2184" s="6">
        <v>5.25</v>
      </c>
      <c r="N2184" s="6">
        <v>5.25</v>
      </c>
      <c r="O2184" s="6">
        <v>5.25</v>
      </c>
      <c r="P2184" s="6">
        <v>4</v>
      </c>
      <c r="Q2184" s="4" t="s">
        <v>26</v>
      </c>
      <c r="R2184" s="4">
        <v>0</v>
      </c>
      <c r="S2184" s="4" t="s">
        <v>623</v>
      </c>
      <c r="T2184" s="4" t="s">
        <v>930</v>
      </c>
      <c r="U2184" s="4">
        <v>0</v>
      </c>
      <c r="V2184" s="4">
        <v>73</v>
      </c>
      <c r="W2184" s="4">
        <v>116</v>
      </c>
    </row>
    <row r="2185" spans="1:23" ht="11.25" customHeight="1" x14ac:dyDescent="0.25">
      <c r="A2185" s="4" t="s">
        <v>21</v>
      </c>
      <c r="B2185" s="4" t="s">
        <v>39</v>
      </c>
      <c r="C2185" s="4" t="s">
        <v>23</v>
      </c>
      <c r="D2185" s="4" t="s">
        <v>40</v>
      </c>
      <c r="E2185" s="4" t="s">
        <v>25</v>
      </c>
      <c r="F2185" s="4" t="s">
        <v>25</v>
      </c>
      <c r="G2185" s="4" t="s">
        <v>25</v>
      </c>
      <c r="H2185" s="4" t="s">
        <v>25</v>
      </c>
      <c r="I2185" s="5">
        <v>43770</v>
      </c>
      <c r="J2185" s="6">
        <v>0</v>
      </c>
      <c r="K2185" s="6">
        <v>0</v>
      </c>
      <c r="L2185" s="6">
        <v>2952.7260000000001</v>
      </c>
      <c r="M2185" s="6">
        <v>2952.7260000000001</v>
      </c>
      <c r="N2185" s="6">
        <v>2952.7260000000001</v>
      </c>
      <c r="O2185" s="6">
        <v>2952.7260000000001</v>
      </c>
      <c r="P2185" s="6">
        <v>1250</v>
      </c>
      <c r="Q2185" s="4" t="s">
        <v>26</v>
      </c>
      <c r="R2185" s="4">
        <v>0</v>
      </c>
      <c r="S2185" s="4" t="s">
        <v>624</v>
      </c>
      <c r="T2185" s="4" t="s">
        <v>931</v>
      </c>
      <c r="U2185" s="4">
        <v>0</v>
      </c>
      <c r="V2185" s="4">
        <v>73</v>
      </c>
      <c r="W2185" s="4">
        <v>116</v>
      </c>
    </row>
    <row r="2186" spans="1:23" ht="11.25" customHeight="1" x14ac:dyDescent="0.25">
      <c r="A2186" s="4" t="s">
        <v>27</v>
      </c>
      <c r="B2186" s="4" t="s">
        <v>39</v>
      </c>
      <c r="C2186" s="4" t="s">
        <v>23</v>
      </c>
      <c r="D2186" s="4" t="s">
        <v>40</v>
      </c>
      <c r="E2186" s="4" t="s">
        <v>25</v>
      </c>
      <c r="F2186" s="4" t="s">
        <v>25</v>
      </c>
      <c r="G2186" s="4" t="s">
        <v>25</v>
      </c>
      <c r="H2186" s="4" t="s">
        <v>25</v>
      </c>
      <c r="I2186" s="5">
        <v>43770</v>
      </c>
      <c r="J2186" s="6">
        <v>0</v>
      </c>
      <c r="K2186" s="6">
        <v>0</v>
      </c>
      <c r="L2186" s="6">
        <v>4.6399999999999997</v>
      </c>
      <c r="M2186" s="6">
        <v>4.6399999999999997</v>
      </c>
      <c r="N2186" s="6">
        <v>4.6399999999999997</v>
      </c>
      <c r="O2186" s="6">
        <v>4.6399999999999997</v>
      </c>
      <c r="P2186" s="6">
        <v>2</v>
      </c>
      <c r="Q2186" s="4" t="s">
        <v>26</v>
      </c>
      <c r="R2186" s="4">
        <v>0</v>
      </c>
      <c r="S2186" s="4" t="s">
        <v>624</v>
      </c>
      <c r="T2186" s="4" t="s">
        <v>931</v>
      </c>
      <c r="U2186" s="4">
        <v>0</v>
      </c>
      <c r="V2186" s="4">
        <v>73</v>
      </c>
      <c r="W2186" s="4">
        <v>116</v>
      </c>
    </row>
    <row r="2187" spans="1:23" ht="11.25" customHeight="1" x14ac:dyDescent="0.25">
      <c r="A2187" s="4" t="s">
        <v>28</v>
      </c>
      <c r="B2187" s="4" t="s">
        <v>39</v>
      </c>
      <c r="C2187" s="4" t="s">
        <v>23</v>
      </c>
      <c r="D2187" s="4" t="s">
        <v>40</v>
      </c>
      <c r="E2187" s="4" t="s">
        <v>25</v>
      </c>
      <c r="F2187" s="4" t="s">
        <v>25</v>
      </c>
      <c r="G2187" s="4" t="s">
        <v>25</v>
      </c>
      <c r="H2187" s="4" t="s">
        <v>25</v>
      </c>
      <c r="I2187" s="5">
        <v>43770</v>
      </c>
      <c r="J2187" s="6">
        <v>0</v>
      </c>
      <c r="K2187" s="6">
        <v>0</v>
      </c>
      <c r="L2187" s="6">
        <v>5.843</v>
      </c>
      <c r="M2187" s="6">
        <v>5.843</v>
      </c>
      <c r="N2187" s="6">
        <v>5.843</v>
      </c>
      <c r="O2187" s="6">
        <v>5.843</v>
      </c>
      <c r="P2187" s="6">
        <v>4</v>
      </c>
      <c r="Q2187" s="4" t="s">
        <v>26</v>
      </c>
      <c r="R2187" s="4">
        <v>0</v>
      </c>
      <c r="S2187" s="4" t="s">
        <v>624</v>
      </c>
      <c r="T2187" s="4" t="s">
        <v>931</v>
      </c>
      <c r="U2187" s="4">
        <v>0</v>
      </c>
      <c r="V2187" s="4">
        <v>73</v>
      </c>
      <c r="W2187" s="4">
        <v>116</v>
      </c>
    </row>
    <row r="2188" spans="1:23" ht="11.25" customHeight="1" x14ac:dyDescent="0.25">
      <c r="A2188" s="4" t="s">
        <v>21</v>
      </c>
      <c r="B2188" s="4" t="s">
        <v>39</v>
      </c>
      <c r="C2188" s="4" t="s">
        <v>23</v>
      </c>
      <c r="D2188" s="4" t="s">
        <v>40</v>
      </c>
      <c r="E2188" s="4" t="s">
        <v>25</v>
      </c>
      <c r="F2188" s="4" t="s">
        <v>25</v>
      </c>
      <c r="G2188" s="4" t="s">
        <v>25</v>
      </c>
      <c r="H2188" s="4" t="s">
        <v>25</v>
      </c>
      <c r="I2188" s="5">
        <v>43800</v>
      </c>
      <c r="J2188" s="6">
        <v>0</v>
      </c>
      <c r="K2188" s="6">
        <v>0</v>
      </c>
      <c r="L2188" s="6">
        <v>2625.2190000000001</v>
      </c>
      <c r="M2188" s="6">
        <v>2625.2190000000001</v>
      </c>
      <c r="N2188" s="6">
        <v>2625.2190000000001</v>
      </c>
      <c r="O2188" s="6">
        <v>2625.2190000000001</v>
      </c>
      <c r="P2188" s="6">
        <v>1242</v>
      </c>
      <c r="Q2188" s="4" t="s">
        <v>26</v>
      </c>
      <c r="R2188" s="4">
        <v>0</v>
      </c>
      <c r="S2188" s="4" t="s">
        <v>625</v>
      </c>
      <c r="T2188" s="4" t="s">
        <v>932</v>
      </c>
      <c r="U2188" s="4">
        <v>0</v>
      </c>
      <c r="V2188" s="4">
        <v>73</v>
      </c>
      <c r="W2188" s="4">
        <v>116</v>
      </c>
    </row>
    <row r="2189" spans="1:23" ht="11.25" customHeight="1" x14ac:dyDescent="0.25">
      <c r="A2189" s="4" t="s">
        <v>27</v>
      </c>
      <c r="B2189" s="4" t="s">
        <v>39</v>
      </c>
      <c r="C2189" s="4" t="s">
        <v>23</v>
      </c>
      <c r="D2189" s="4" t="s">
        <v>40</v>
      </c>
      <c r="E2189" s="4" t="s">
        <v>25</v>
      </c>
      <c r="F2189" s="4" t="s">
        <v>25</v>
      </c>
      <c r="G2189" s="4" t="s">
        <v>25</v>
      </c>
      <c r="H2189" s="4" t="s">
        <v>25</v>
      </c>
      <c r="I2189" s="5">
        <v>43800</v>
      </c>
      <c r="J2189" s="6">
        <v>0</v>
      </c>
      <c r="K2189" s="6">
        <v>0</v>
      </c>
      <c r="L2189" s="6">
        <v>1.2609999999999999</v>
      </c>
      <c r="M2189" s="6">
        <v>1.2609999999999999</v>
      </c>
      <c r="N2189" s="6">
        <v>1.2609999999999999</v>
      </c>
      <c r="O2189" s="6">
        <v>1.2609999999999999</v>
      </c>
      <c r="P2189" s="6">
        <v>2</v>
      </c>
      <c r="Q2189" s="4" t="s">
        <v>26</v>
      </c>
      <c r="R2189" s="4">
        <v>0</v>
      </c>
      <c r="S2189" s="4" t="s">
        <v>625</v>
      </c>
      <c r="T2189" s="4" t="s">
        <v>932</v>
      </c>
      <c r="U2189" s="4">
        <v>0</v>
      </c>
      <c r="V2189" s="4">
        <v>73</v>
      </c>
      <c r="W2189" s="4">
        <v>116</v>
      </c>
    </row>
    <row r="2190" spans="1:23" ht="11.25" customHeight="1" x14ac:dyDescent="0.25">
      <c r="A2190" s="4" t="s">
        <v>28</v>
      </c>
      <c r="B2190" s="4" t="s">
        <v>39</v>
      </c>
      <c r="C2190" s="4" t="s">
        <v>23</v>
      </c>
      <c r="D2190" s="4" t="s">
        <v>40</v>
      </c>
      <c r="E2190" s="4" t="s">
        <v>25</v>
      </c>
      <c r="F2190" s="4" t="s">
        <v>25</v>
      </c>
      <c r="G2190" s="4" t="s">
        <v>25</v>
      </c>
      <c r="H2190" s="4" t="s">
        <v>25</v>
      </c>
      <c r="I2190" s="5">
        <v>43800</v>
      </c>
      <c r="J2190" s="6">
        <v>0</v>
      </c>
      <c r="K2190" s="6">
        <v>0</v>
      </c>
      <c r="L2190" s="6">
        <v>6.0739999999999998</v>
      </c>
      <c r="M2190" s="6">
        <v>6.0739999999999998</v>
      </c>
      <c r="N2190" s="6">
        <v>6.0739999999999998</v>
      </c>
      <c r="O2190" s="6">
        <v>6.0739999999999998</v>
      </c>
      <c r="P2190" s="6">
        <v>4</v>
      </c>
      <c r="Q2190" s="4" t="s">
        <v>26</v>
      </c>
      <c r="R2190" s="4">
        <v>0</v>
      </c>
      <c r="S2190" s="4" t="s">
        <v>625</v>
      </c>
      <c r="T2190" s="4" t="s">
        <v>932</v>
      </c>
      <c r="U2190" s="4">
        <v>0</v>
      </c>
      <c r="V2190" s="4">
        <v>73</v>
      </c>
      <c r="W2190" s="4">
        <v>116</v>
      </c>
    </row>
    <row r="2191" spans="1:23" ht="11.25" customHeight="1" x14ac:dyDescent="0.25">
      <c r="A2191" s="4" t="s">
        <v>21</v>
      </c>
      <c r="B2191" s="4" t="s">
        <v>39</v>
      </c>
      <c r="C2191" s="4" t="s">
        <v>23</v>
      </c>
      <c r="D2191" s="4" t="s">
        <v>40</v>
      </c>
      <c r="E2191" s="4" t="s">
        <v>25</v>
      </c>
      <c r="F2191" s="4" t="s">
        <v>25</v>
      </c>
      <c r="G2191" s="4" t="s">
        <v>25</v>
      </c>
      <c r="H2191" s="4" t="s">
        <v>25</v>
      </c>
      <c r="I2191" s="5">
        <v>43831</v>
      </c>
      <c r="J2191" s="6">
        <v>0</v>
      </c>
      <c r="K2191" s="6">
        <v>0</v>
      </c>
      <c r="L2191" s="6">
        <v>2724.377</v>
      </c>
      <c r="M2191" s="6">
        <v>2724.377</v>
      </c>
      <c r="N2191" s="6">
        <v>2724.377</v>
      </c>
      <c r="O2191" s="6">
        <v>2724.377</v>
      </c>
      <c r="P2191" s="6">
        <v>1247</v>
      </c>
      <c r="Q2191" s="4" t="s">
        <v>26</v>
      </c>
      <c r="R2191" s="4">
        <v>0</v>
      </c>
      <c r="S2191" s="4" t="s">
        <v>626</v>
      </c>
      <c r="T2191" s="4" t="s">
        <v>933</v>
      </c>
      <c r="U2191" s="4">
        <v>0</v>
      </c>
      <c r="V2191" s="4">
        <v>73</v>
      </c>
      <c r="W2191" s="4">
        <v>116</v>
      </c>
    </row>
    <row r="2192" spans="1:23" ht="11.25" customHeight="1" x14ac:dyDescent="0.25">
      <c r="A2192" s="4" t="s">
        <v>27</v>
      </c>
      <c r="B2192" s="4" t="s">
        <v>39</v>
      </c>
      <c r="C2192" s="4" t="s">
        <v>23</v>
      </c>
      <c r="D2192" s="4" t="s">
        <v>40</v>
      </c>
      <c r="E2192" s="4" t="s">
        <v>25</v>
      </c>
      <c r="F2192" s="4" t="s">
        <v>25</v>
      </c>
      <c r="G2192" s="4" t="s">
        <v>25</v>
      </c>
      <c r="H2192" s="4" t="s">
        <v>25</v>
      </c>
      <c r="I2192" s="5">
        <v>43831</v>
      </c>
      <c r="J2192" s="6">
        <v>0</v>
      </c>
      <c r="K2192" s="6">
        <v>0</v>
      </c>
      <c r="L2192" s="6">
        <v>6.3029999999999999</v>
      </c>
      <c r="M2192" s="6">
        <v>6.3029999999999999</v>
      </c>
      <c r="N2192" s="6">
        <v>6.3029999999999999</v>
      </c>
      <c r="O2192" s="6">
        <v>6.3029999999999999</v>
      </c>
      <c r="P2192" s="6">
        <v>2</v>
      </c>
      <c r="Q2192" s="4" t="s">
        <v>26</v>
      </c>
      <c r="R2192" s="4">
        <v>0</v>
      </c>
      <c r="S2192" s="4" t="s">
        <v>626</v>
      </c>
      <c r="T2192" s="4" t="s">
        <v>933</v>
      </c>
      <c r="U2192" s="4">
        <v>0</v>
      </c>
      <c r="V2192" s="4">
        <v>73</v>
      </c>
      <c r="W2192" s="4">
        <v>116</v>
      </c>
    </row>
    <row r="2193" spans="1:23" ht="11.25" customHeight="1" x14ac:dyDescent="0.25">
      <c r="A2193" s="4" t="s">
        <v>28</v>
      </c>
      <c r="B2193" s="4" t="s">
        <v>39</v>
      </c>
      <c r="C2193" s="4" t="s">
        <v>23</v>
      </c>
      <c r="D2193" s="4" t="s">
        <v>40</v>
      </c>
      <c r="E2193" s="4" t="s">
        <v>25</v>
      </c>
      <c r="F2193" s="4" t="s">
        <v>25</v>
      </c>
      <c r="G2193" s="4" t="s">
        <v>25</v>
      </c>
      <c r="H2193" s="4" t="s">
        <v>25</v>
      </c>
      <c r="I2193" s="5">
        <v>43831</v>
      </c>
      <c r="J2193" s="6">
        <v>0</v>
      </c>
      <c r="K2193" s="6">
        <v>0</v>
      </c>
      <c r="L2193" s="6">
        <v>1.39</v>
      </c>
      <c r="M2193" s="6">
        <v>1.39</v>
      </c>
      <c r="N2193" s="6">
        <v>1.39</v>
      </c>
      <c r="O2193" s="6">
        <v>1.39</v>
      </c>
      <c r="P2193" s="6">
        <v>3</v>
      </c>
      <c r="Q2193" s="4" t="s">
        <v>26</v>
      </c>
      <c r="R2193" s="4">
        <v>0</v>
      </c>
      <c r="S2193" s="4" t="s">
        <v>626</v>
      </c>
      <c r="T2193" s="4" t="s">
        <v>933</v>
      </c>
      <c r="U2193" s="4">
        <v>0</v>
      </c>
      <c r="V2193" s="4">
        <v>73</v>
      </c>
      <c r="W2193" s="4">
        <v>116</v>
      </c>
    </row>
    <row r="2194" spans="1:23" ht="11.25" customHeight="1" x14ac:dyDescent="0.25">
      <c r="A2194" s="4" t="s">
        <v>21</v>
      </c>
      <c r="B2194" s="4" t="s">
        <v>39</v>
      </c>
      <c r="C2194" s="4" t="s">
        <v>23</v>
      </c>
      <c r="D2194" s="4" t="s">
        <v>40</v>
      </c>
      <c r="E2194" s="4" t="s">
        <v>25</v>
      </c>
      <c r="F2194" s="4" t="s">
        <v>25</v>
      </c>
      <c r="G2194" s="4" t="s">
        <v>25</v>
      </c>
      <c r="H2194" s="4" t="s">
        <v>25</v>
      </c>
      <c r="I2194" s="5">
        <v>43862</v>
      </c>
      <c r="J2194" s="6">
        <v>0</v>
      </c>
      <c r="K2194" s="6">
        <v>0</v>
      </c>
      <c r="L2194" s="6">
        <v>2564.0349999999999</v>
      </c>
      <c r="M2194" s="6">
        <v>2564.0349999999999</v>
      </c>
      <c r="N2194" s="6">
        <v>2564.0349999999999</v>
      </c>
      <c r="O2194" s="6">
        <v>2564.0349999999999</v>
      </c>
      <c r="P2194" s="6">
        <v>1237</v>
      </c>
      <c r="Q2194" s="4" t="s">
        <v>26</v>
      </c>
      <c r="R2194" s="4">
        <v>0</v>
      </c>
      <c r="S2194" s="4" t="s">
        <v>627</v>
      </c>
      <c r="T2194" s="4" t="s">
        <v>934</v>
      </c>
      <c r="U2194" s="4">
        <v>0</v>
      </c>
      <c r="V2194" s="4">
        <v>73</v>
      </c>
      <c r="W2194" s="4">
        <v>116</v>
      </c>
    </row>
    <row r="2195" spans="1:23" ht="11.25" customHeight="1" x14ac:dyDescent="0.25">
      <c r="A2195" s="4" t="s">
        <v>27</v>
      </c>
      <c r="B2195" s="4" t="s">
        <v>39</v>
      </c>
      <c r="C2195" s="4" t="s">
        <v>23</v>
      </c>
      <c r="D2195" s="4" t="s">
        <v>40</v>
      </c>
      <c r="E2195" s="4" t="s">
        <v>25</v>
      </c>
      <c r="F2195" s="4" t="s">
        <v>25</v>
      </c>
      <c r="G2195" s="4" t="s">
        <v>25</v>
      </c>
      <c r="H2195" s="4" t="s">
        <v>25</v>
      </c>
      <c r="I2195" s="5">
        <v>43862</v>
      </c>
      <c r="J2195" s="6">
        <v>0</v>
      </c>
      <c r="K2195" s="6">
        <v>0</v>
      </c>
      <c r="L2195" s="6">
        <v>13.612</v>
      </c>
      <c r="M2195" s="6">
        <v>13.612</v>
      </c>
      <c r="N2195" s="6">
        <v>13.612</v>
      </c>
      <c r="O2195" s="6">
        <v>13.612</v>
      </c>
      <c r="P2195" s="6">
        <v>3</v>
      </c>
      <c r="Q2195" s="4" t="s">
        <v>26</v>
      </c>
      <c r="R2195" s="4">
        <v>0</v>
      </c>
      <c r="S2195" s="4" t="s">
        <v>627</v>
      </c>
      <c r="T2195" s="4" t="s">
        <v>934</v>
      </c>
      <c r="U2195" s="4">
        <v>0</v>
      </c>
      <c r="V2195" s="4">
        <v>73</v>
      </c>
      <c r="W2195" s="4">
        <v>116</v>
      </c>
    </row>
    <row r="2196" spans="1:23" ht="11.25" customHeight="1" x14ac:dyDescent="0.25">
      <c r="A2196" s="4" t="s">
        <v>28</v>
      </c>
      <c r="B2196" s="4" t="s">
        <v>39</v>
      </c>
      <c r="C2196" s="4" t="s">
        <v>23</v>
      </c>
      <c r="D2196" s="4" t="s">
        <v>40</v>
      </c>
      <c r="E2196" s="4" t="s">
        <v>25</v>
      </c>
      <c r="F2196" s="4" t="s">
        <v>25</v>
      </c>
      <c r="G2196" s="4" t="s">
        <v>25</v>
      </c>
      <c r="H2196" s="4" t="s">
        <v>25</v>
      </c>
      <c r="I2196" s="5">
        <v>43862</v>
      </c>
      <c r="J2196" s="6">
        <v>0</v>
      </c>
      <c r="K2196" s="6">
        <v>0</v>
      </c>
      <c r="L2196" s="6">
        <v>4.415</v>
      </c>
      <c r="M2196" s="6">
        <v>4.415</v>
      </c>
      <c r="N2196" s="6">
        <v>4.415</v>
      </c>
      <c r="O2196" s="6">
        <v>4.415</v>
      </c>
      <c r="P2196" s="6">
        <v>3</v>
      </c>
      <c r="Q2196" s="4" t="s">
        <v>26</v>
      </c>
      <c r="R2196" s="4">
        <v>0</v>
      </c>
      <c r="S2196" s="4" t="s">
        <v>627</v>
      </c>
      <c r="T2196" s="4" t="s">
        <v>934</v>
      </c>
      <c r="U2196" s="4">
        <v>0</v>
      </c>
      <c r="V2196" s="4">
        <v>73</v>
      </c>
      <c r="W2196" s="4">
        <v>116</v>
      </c>
    </row>
    <row r="2197" spans="1:23" ht="11.25" customHeight="1" x14ac:dyDescent="0.25">
      <c r="A2197" s="4" t="s">
        <v>21</v>
      </c>
      <c r="B2197" s="4" t="s">
        <v>39</v>
      </c>
      <c r="C2197" s="4" t="s">
        <v>23</v>
      </c>
      <c r="D2197" s="4" t="s">
        <v>40</v>
      </c>
      <c r="E2197" s="4" t="s">
        <v>25</v>
      </c>
      <c r="F2197" s="4" t="s">
        <v>25</v>
      </c>
      <c r="G2197" s="4" t="s">
        <v>25</v>
      </c>
      <c r="H2197" s="4" t="s">
        <v>25</v>
      </c>
      <c r="I2197" s="5">
        <v>43891</v>
      </c>
      <c r="J2197" s="6">
        <v>0</v>
      </c>
      <c r="K2197" s="6">
        <v>0</v>
      </c>
      <c r="L2197" s="6">
        <v>2587.1819999999998</v>
      </c>
      <c r="M2197" s="6">
        <v>2587.1819999999998</v>
      </c>
      <c r="N2197" s="6">
        <v>2587.1819999999998</v>
      </c>
      <c r="O2197" s="6">
        <v>2587.1819999999998</v>
      </c>
      <c r="P2197" s="6">
        <v>1235</v>
      </c>
      <c r="Q2197" s="4" t="s">
        <v>26</v>
      </c>
      <c r="R2197" s="4">
        <v>0</v>
      </c>
      <c r="S2197" s="4" t="s">
        <v>628</v>
      </c>
      <c r="T2197" s="4" t="s">
        <v>935</v>
      </c>
      <c r="U2197" s="4">
        <v>0</v>
      </c>
      <c r="V2197" s="4">
        <v>73</v>
      </c>
      <c r="W2197" s="4">
        <v>116</v>
      </c>
    </row>
    <row r="2198" spans="1:23" ht="11.25" customHeight="1" x14ac:dyDescent="0.25">
      <c r="A2198" s="4" t="s">
        <v>27</v>
      </c>
      <c r="B2198" s="4" t="s">
        <v>39</v>
      </c>
      <c r="C2198" s="4" t="s">
        <v>23</v>
      </c>
      <c r="D2198" s="4" t="s">
        <v>40</v>
      </c>
      <c r="E2198" s="4" t="s">
        <v>25</v>
      </c>
      <c r="F2198" s="4" t="s">
        <v>25</v>
      </c>
      <c r="G2198" s="4" t="s">
        <v>25</v>
      </c>
      <c r="H2198" s="4" t="s">
        <v>25</v>
      </c>
      <c r="I2198" s="5">
        <v>43891</v>
      </c>
      <c r="J2198" s="6">
        <v>0</v>
      </c>
      <c r="K2198" s="6">
        <v>0</v>
      </c>
      <c r="L2198" s="6">
        <v>3.206</v>
      </c>
      <c r="M2198" s="6">
        <v>3.206</v>
      </c>
      <c r="N2198" s="6">
        <v>3.206</v>
      </c>
      <c r="O2198" s="6">
        <v>3.206</v>
      </c>
      <c r="P2198" s="6">
        <v>2</v>
      </c>
      <c r="Q2198" s="4" t="s">
        <v>26</v>
      </c>
      <c r="R2198" s="4">
        <v>0</v>
      </c>
      <c r="S2198" s="4" t="s">
        <v>628</v>
      </c>
      <c r="T2198" s="4" t="s">
        <v>935</v>
      </c>
      <c r="U2198" s="4">
        <v>0</v>
      </c>
      <c r="V2198" s="4">
        <v>73</v>
      </c>
      <c r="W2198" s="4">
        <v>116</v>
      </c>
    </row>
    <row r="2199" spans="1:23" ht="11.25" customHeight="1" x14ac:dyDescent="0.25">
      <c r="A2199" s="4" t="s">
        <v>28</v>
      </c>
      <c r="B2199" s="4" t="s">
        <v>39</v>
      </c>
      <c r="C2199" s="4" t="s">
        <v>23</v>
      </c>
      <c r="D2199" s="4" t="s">
        <v>40</v>
      </c>
      <c r="E2199" s="4" t="s">
        <v>25</v>
      </c>
      <c r="F2199" s="4" t="s">
        <v>25</v>
      </c>
      <c r="G2199" s="4" t="s">
        <v>25</v>
      </c>
      <c r="H2199" s="4" t="s">
        <v>25</v>
      </c>
      <c r="I2199" s="5">
        <v>43891</v>
      </c>
      <c r="J2199" s="6">
        <v>0</v>
      </c>
      <c r="K2199" s="6">
        <v>0</v>
      </c>
      <c r="L2199" s="6">
        <v>3.2120000000000002</v>
      </c>
      <c r="M2199" s="6">
        <v>3.2120000000000002</v>
      </c>
      <c r="N2199" s="6">
        <v>3.2120000000000002</v>
      </c>
      <c r="O2199" s="6">
        <v>3.2120000000000002</v>
      </c>
      <c r="P2199" s="6">
        <v>3</v>
      </c>
      <c r="Q2199" s="4" t="s">
        <v>26</v>
      </c>
      <c r="R2199" s="4">
        <v>0</v>
      </c>
      <c r="S2199" s="4" t="s">
        <v>628</v>
      </c>
      <c r="T2199" s="4" t="s">
        <v>935</v>
      </c>
      <c r="U2199" s="4">
        <v>0</v>
      </c>
      <c r="V2199" s="4">
        <v>73</v>
      </c>
      <c r="W2199" s="4">
        <v>116</v>
      </c>
    </row>
    <row r="2200" spans="1:23" ht="11.25" customHeight="1" x14ac:dyDescent="0.25">
      <c r="A2200" s="4" t="s">
        <v>21</v>
      </c>
      <c r="B2200" s="4" t="s">
        <v>39</v>
      </c>
      <c r="C2200" s="4" t="s">
        <v>23</v>
      </c>
      <c r="D2200" s="4" t="s">
        <v>40</v>
      </c>
      <c r="E2200" s="4" t="s">
        <v>25</v>
      </c>
      <c r="F2200" s="4" t="s">
        <v>25</v>
      </c>
      <c r="G2200" s="4" t="s">
        <v>25</v>
      </c>
      <c r="H2200" s="4" t="s">
        <v>25</v>
      </c>
      <c r="I2200" s="5">
        <v>43922</v>
      </c>
      <c r="J2200" s="6">
        <v>0</v>
      </c>
      <c r="K2200" s="6">
        <v>0</v>
      </c>
      <c r="L2200" s="6">
        <v>2430.393</v>
      </c>
      <c r="M2200" s="6">
        <v>2430.393</v>
      </c>
      <c r="N2200" s="6">
        <v>2430.393</v>
      </c>
      <c r="O2200" s="6">
        <v>2430.393</v>
      </c>
      <c r="P2200" s="6">
        <v>1226</v>
      </c>
      <c r="Q2200" s="4" t="s">
        <v>26</v>
      </c>
      <c r="R2200" s="4">
        <v>0</v>
      </c>
      <c r="S2200" s="4" t="s">
        <v>629</v>
      </c>
      <c r="T2200" s="4" t="s">
        <v>936</v>
      </c>
      <c r="U2200" s="4">
        <v>0</v>
      </c>
      <c r="V2200" s="4">
        <v>73</v>
      </c>
      <c r="W2200" s="4">
        <v>116</v>
      </c>
    </row>
    <row r="2201" spans="1:23" ht="11.25" customHeight="1" x14ac:dyDescent="0.25">
      <c r="A2201" s="4" t="s">
        <v>27</v>
      </c>
      <c r="B2201" s="4" t="s">
        <v>39</v>
      </c>
      <c r="C2201" s="4" t="s">
        <v>23</v>
      </c>
      <c r="D2201" s="4" t="s">
        <v>40</v>
      </c>
      <c r="E2201" s="4" t="s">
        <v>25</v>
      </c>
      <c r="F2201" s="4" t="s">
        <v>25</v>
      </c>
      <c r="G2201" s="4" t="s">
        <v>25</v>
      </c>
      <c r="H2201" s="4" t="s">
        <v>25</v>
      </c>
      <c r="I2201" s="5">
        <v>43922</v>
      </c>
      <c r="J2201" s="6">
        <v>0</v>
      </c>
      <c r="K2201" s="6">
        <v>0</v>
      </c>
      <c r="L2201" s="6">
        <v>1.212</v>
      </c>
      <c r="M2201" s="6">
        <v>1.212</v>
      </c>
      <c r="N2201" s="6">
        <v>1.212</v>
      </c>
      <c r="O2201" s="6">
        <v>1.212</v>
      </c>
      <c r="P2201" s="6">
        <v>2</v>
      </c>
      <c r="Q2201" s="4" t="s">
        <v>26</v>
      </c>
      <c r="R2201" s="4">
        <v>0</v>
      </c>
      <c r="S2201" s="4" t="s">
        <v>629</v>
      </c>
      <c r="T2201" s="4" t="s">
        <v>936</v>
      </c>
      <c r="U2201" s="4">
        <v>0</v>
      </c>
      <c r="V2201" s="4">
        <v>73</v>
      </c>
      <c r="W2201" s="4">
        <v>116</v>
      </c>
    </row>
    <row r="2202" spans="1:23" ht="11.25" customHeight="1" x14ac:dyDescent="0.25">
      <c r="A2202" s="4" t="s">
        <v>28</v>
      </c>
      <c r="B2202" s="4" t="s">
        <v>39</v>
      </c>
      <c r="C2202" s="4" t="s">
        <v>23</v>
      </c>
      <c r="D2202" s="4" t="s">
        <v>40</v>
      </c>
      <c r="E2202" s="4" t="s">
        <v>25</v>
      </c>
      <c r="F2202" s="4" t="s">
        <v>25</v>
      </c>
      <c r="G2202" s="4" t="s">
        <v>25</v>
      </c>
      <c r="H2202" s="4" t="s">
        <v>25</v>
      </c>
      <c r="I2202" s="5">
        <v>43922</v>
      </c>
      <c r="J2202" s="6">
        <v>0</v>
      </c>
      <c r="K2202" s="6">
        <v>0</v>
      </c>
      <c r="L2202" s="6">
        <v>3.1930000000000001</v>
      </c>
      <c r="M2202" s="6">
        <v>3.1930000000000001</v>
      </c>
      <c r="N2202" s="6">
        <v>3.1930000000000001</v>
      </c>
      <c r="O2202" s="6">
        <v>3.1930000000000001</v>
      </c>
      <c r="P2202" s="6">
        <v>3</v>
      </c>
      <c r="Q2202" s="4" t="s">
        <v>26</v>
      </c>
      <c r="R2202" s="4">
        <v>0</v>
      </c>
      <c r="S2202" s="4" t="s">
        <v>629</v>
      </c>
      <c r="T2202" s="4" t="s">
        <v>936</v>
      </c>
      <c r="U2202" s="4">
        <v>0</v>
      </c>
      <c r="V2202" s="4">
        <v>73</v>
      </c>
      <c r="W2202" s="4">
        <v>116</v>
      </c>
    </row>
    <row r="2203" spans="1:23" ht="11.25" customHeight="1" x14ac:dyDescent="0.25">
      <c r="A2203" s="4" t="s">
        <v>21</v>
      </c>
      <c r="B2203" s="4" t="s">
        <v>39</v>
      </c>
      <c r="C2203" s="4" t="s">
        <v>23</v>
      </c>
      <c r="D2203" s="4" t="s">
        <v>40</v>
      </c>
      <c r="E2203" s="4" t="s">
        <v>25</v>
      </c>
      <c r="F2203" s="4" t="s">
        <v>25</v>
      </c>
      <c r="G2203" s="4" t="s">
        <v>25</v>
      </c>
      <c r="H2203" s="4" t="s">
        <v>25</v>
      </c>
      <c r="I2203" s="5">
        <v>43952</v>
      </c>
      <c r="J2203" s="6">
        <v>0</v>
      </c>
      <c r="K2203" s="6">
        <v>0</v>
      </c>
      <c r="L2203" s="6">
        <v>2270.6390000000001</v>
      </c>
      <c r="M2203" s="6">
        <v>2270.6390000000001</v>
      </c>
      <c r="N2203" s="6">
        <v>2270.6390000000001</v>
      </c>
      <c r="O2203" s="6">
        <v>2270.6390000000001</v>
      </c>
      <c r="P2203" s="6">
        <v>1222</v>
      </c>
      <c r="Q2203" s="4" t="s">
        <v>26</v>
      </c>
      <c r="R2203" s="4">
        <v>0</v>
      </c>
      <c r="S2203" s="4" t="s">
        <v>630</v>
      </c>
      <c r="T2203" s="4" t="s">
        <v>937</v>
      </c>
      <c r="U2203" s="4">
        <v>0</v>
      </c>
      <c r="V2203" s="4">
        <v>73</v>
      </c>
      <c r="W2203" s="4">
        <v>116</v>
      </c>
    </row>
    <row r="2204" spans="1:23" ht="11.25" customHeight="1" x14ac:dyDescent="0.25">
      <c r="A2204" s="4" t="s">
        <v>27</v>
      </c>
      <c r="B2204" s="4" t="s">
        <v>39</v>
      </c>
      <c r="C2204" s="4" t="s">
        <v>23</v>
      </c>
      <c r="D2204" s="4" t="s">
        <v>40</v>
      </c>
      <c r="E2204" s="4" t="s">
        <v>25</v>
      </c>
      <c r="F2204" s="4" t="s">
        <v>25</v>
      </c>
      <c r="G2204" s="4" t="s">
        <v>25</v>
      </c>
      <c r="H2204" s="4" t="s">
        <v>25</v>
      </c>
      <c r="I2204" s="5">
        <v>43952</v>
      </c>
      <c r="J2204" s="6">
        <v>0</v>
      </c>
      <c r="K2204" s="6">
        <v>0</v>
      </c>
      <c r="L2204" s="6">
        <v>0.2</v>
      </c>
      <c r="M2204" s="6">
        <v>0.2</v>
      </c>
      <c r="N2204" s="6">
        <v>0.2</v>
      </c>
      <c r="O2204" s="6">
        <v>0.2</v>
      </c>
      <c r="P2204" s="6">
        <v>1</v>
      </c>
      <c r="Q2204" s="4" t="s">
        <v>26</v>
      </c>
      <c r="R2204" s="4">
        <v>0</v>
      </c>
      <c r="S2204" s="4" t="s">
        <v>630</v>
      </c>
      <c r="T2204" s="4" t="s">
        <v>937</v>
      </c>
      <c r="U2204" s="4">
        <v>0</v>
      </c>
      <c r="V2204" s="4">
        <v>73</v>
      </c>
      <c r="W2204" s="4">
        <v>116</v>
      </c>
    </row>
    <row r="2205" spans="1:23" ht="11.25" customHeight="1" x14ac:dyDescent="0.25">
      <c r="A2205" s="4" t="s">
        <v>28</v>
      </c>
      <c r="B2205" s="4" t="s">
        <v>39</v>
      </c>
      <c r="C2205" s="4" t="s">
        <v>23</v>
      </c>
      <c r="D2205" s="4" t="s">
        <v>40</v>
      </c>
      <c r="E2205" s="4" t="s">
        <v>25</v>
      </c>
      <c r="F2205" s="4" t="s">
        <v>25</v>
      </c>
      <c r="G2205" s="4" t="s">
        <v>25</v>
      </c>
      <c r="H2205" s="4" t="s">
        <v>25</v>
      </c>
      <c r="I2205" s="5">
        <v>43952</v>
      </c>
      <c r="J2205" s="6">
        <v>0</v>
      </c>
      <c r="K2205" s="6">
        <v>0</v>
      </c>
      <c r="L2205" s="6">
        <v>3.47</v>
      </c>
      <c r="M2205" s="6">
        <v>3.47</v>
      </c>
      <c r="N2205" s="6">
        <v>3.47</v>
      </c>
      <c r="O2205" s="6">
        <v>3.47</v>
      </c>
      <c r="P2205" s="6">
        <v>4</v>
      </c>
      <c r="Q2205" s="4" t="s">
        <v>26</v>
      </c>
      <c r="R2205" s="4">
        <v>0</v>
      </c>
      <c r="S2205" s="4" t="s">
        <v>630</v>
      </c>
      <c r="T2205" s="4" t="s">
        <v>937</v>
      </c>
      <c r="U2205" s="4">
        <v>0</v>
      </c>
      <c r="V2205" s="4">
        <v>73</v>
      </c>
      <c r="W2205" s="4">
        <v>116</v>
      </c>
    </row>
    <row r="2206" spans="1:23" ht="11.25" customHeight="1" x14ac:dyDescent="0.25">
      <c r="A2206" s="4" t="s">
        <v>21</v>
      </c>
      <c r="B2206" s="4" t="s">
        <v>39</v>
      </c>
      <c r="C2206" s="4" t="s">
        <v>23</v>
      </c>
      <c r="D2206" s="4" t="s">
        <v>40</v>
      </c>
      <c r="E2206" s="4" t="s">
        <v>25</v>
      </c>
      <c r="F2206" s="4" t="s">
        <v>25</v>
      </c>
      <c r="G2206" s="4" t="s">
        <v>25</v>
      </c>
      <c r="H2206" s="4" t="s">
        <v>25</v>
      </c>
      <c r="I2206" s="5">
        <v>43983</v>
      </c>
      <c r="J2206" s="6">
        <v>0</v>
      </c>
      <c r="K2206" s="6">
        <v>0</v>
      </c>
      <c r="L2206" s="6">
        <v>2013.816</v>
      </c>
      <c r="M2206" s="6">
        <v>2013.816</v>
      </c>
      <c r="N2206" s="6">
        <v>2013.816</v>
      </c>
      <c r="O2206" s="6">
        <v>2013.816</v>
      </c>
      <c r="P2206" s="6">
        <v>1226</v>
      </c>
      <c r="Q2206" s="4" t="s">
        <v>26</v>
      </c>
      <c r="R2206" s="4">
        <v>0</v>
      </c>
      <c r="S2206" s="4" t="s">
        <v>631</v>
      </c>
      <c r="T2206" s="4" t="s">
        <v>938</v>
      </c>
      <c r="U2206" s="4">
        <v>0</v>
      </c>
      <c r="V2206" s="4">
        <v>73</v>
      </c>
      <c r="W2206" s="4">
        <v>116</v>
      </c>
    </row>
    <row r="2207" spans="1:23" ht="11.25" customHeight="1" x14ac:dyDescent="0.25">
      <c r="A2207" s="4" t="s">
        <v>27</v>
      </c>
      <c r="B2207" s="4" t="s">
        <v>39</v>
      </c>
      <c r="C2207" s="4" t="s">
        <v>23</v>
      </c>
      <c r="D2207" s="4" t="s">
        <v>40</v>
      </c>
      <c r="E2207" s="4" t="s">
        <v>25</v>
      </c>
      <c r="F2207" s="4" t="s">
        <v>25</v>
      </c>
      <c r="G2207" s="4" t="s">
        <v>25</v>
      </c>
      <c r="H2207" s="4" t="s">
        <v>25</v>
      </c>
      <c r="I2207" s="5">
        <v>43983</v>
      </c>
      <c r="J2207" s="6">
        <v>0</v>
      </c>
      <c r="K2207" s="6">
        <v>0</v>
      </c>
      <c r="L2207" s="6">
        <v>1.1719999999999999</v>
      </c>
      <c r="M2207" s="6">
        <v>1.1719999999999999</v>
      </c>
      <c r="N2207" s="6">
        <v>1.1719999999999999</v>
      </c>
      <c r="O2207" s="6">
        <v>1.1719999999999999</v>
      </c>
      <c r="P2207" s="6">
        <v>2</v>
      </c>
      <c r="Q2207" s="4" t="s">
        <v>26</v>
      </c>
      <c r="R2207" s="4">
        <v>0</v>
      </c>
      <c r="S2207" s="4" t="s">
        <v>631</v>
      </c>
      <c r="T2207" s="4" t="s">
        <v>938</v>
      </c>
      <c r="U2207" s="4">
        <v>0</v>
      </c>
      <c r="V2207" s="4">
        <v>73</v>
      </c>
      <c r="W2207" s="4">
        <v>116</v>
      </c>
    </row>
    <row r="2208" spans="1:23" ht="11.25" customHeight="1" x14ac:dyDescent="0.25">
      <c r="A2208" s="4" t="s">
        <v>28</v>
      </c>
      <c r="B2208" s="4" t="s">
        <v>39</v>
      </c>
      <c r="C2208" s="4" t="s">
        <v>23</v>
      </c>
      <c r="D2208" s="4" t="s">
        <v>40</v>
      </c>
      <c r="E2208" s="4" t="s">
        <v>25</v>
      </c>
      <c r="F2208" s="4" t="s">
        <v>25</v>
      </c>
      <c r="G2208" s="4" t="s">
        <v>25</v>
      </c>
      <c r="H2208" s="4" t="s">
        <v>25</v>
      </c>
      <c r="I2208" s="5">
        <v>43983</v>
      </c>
      <c r="J2208" s="6">
        <v>0</v>
      </c>
      <c r="K2208" s="6">
        <v>0</v>
      </c>
      <c r="L2208" s="6">
        <v>2.65</v>
      </c>
      <c r="M2208" s="6">
        <v>2.65</v>
      </c>
      <c r="N2208" s="6">
        <v>2.65</v>
      </c>
      <c r="O2208" s="6">
        <v>2.65</v>
      </c>
      <c r="P2208" s="6">
        <v>3</v>
      </c>
      <c r="Q2208" s="4" t="s">
        <v>26</v>
      </c>
      <c r="R2208" s="4">
        <v>0</v>
      </c>
      <c r="S2208" s="4" t="s">
        <v>631</v>
      </c>
      <c r="T2208" s="4" t="s">
        <v>938</v>
      </c>
      <c r="U2208" s="4">
        <v>0</v>
      </c>
      <c r="V2208" s="4">
        <v>73</v>
      </c>
      <c r="W2208" s="4">
        <v>116</v>
      </c>
    </row>
    <row r="2209" spans="1:23" ht="11.25" customHeight="1" x14ac:dyDescent="0.25">
      <c r="A2209" s="4" t="s">
        <v>21</v>
      </c>
      <c r="B2209" s="4" t="s">
        <v>39</v>
      </c>
      <c r="C2209" s="4" t="s">
        <v>23</v>
      </c>
      <c r="D2209" s="4" t="s">
        <v>40</v>
      </c>
      <c r="E2209" s="4" t="s">
        <v>25</v>
      </c>
      <c r="F2209" s="4" t="s">
        <v>25</v>
      </c>
      <c r="G2209" s="4" t="s">
        <v>25</v>
      </c>
      <c r="H2209" s="4" t="s">
        <v>25</v>
      </c>
      <c r="I2209" s="5">
        <v>44013</v>
      </c>
      <c r="J2209" s="6">
        <v>0</v>
      </c>
      <c r="K2209" s="6">
        <v>0</v>
      </c>
      <c r="L2209" s="6">
        <v>2065.0059999999999</v>
      </c>
      <c r="M2209" s="6">
        <v>2065.0059999999999</v>
      </c>
      <c r="N2209" s="6">
        <v>2065.0059999999999</v>
      </c>
      <c r="O2209" s="6">
        <v>2065.0059999999999</v>
      </c>
      <c r="P2209" s="6">
        <v>1223</v>
      </c>
      <c r="Q2209" s="4" t="s">
        <v>26</v>
      </c>
      <c r="R2209" s="4">
        <v>0</v>
      </c>
      <c r="S2209" s="4" t="s">
        <v>632</v>
      </c>
      <c r="T2209" s="4" t="s">
        <v>939</v>
      </c>
      <c r="U2209" s="4">
        <v>0</v>
      </c>
      <c r="V2209" s="4">
        <v>73</v>
      </c>
      <c r="W2209" s="4">
        <v>116</v>
      </c>
    </row>
    <row r="2210" spans="1:23" ht="11.25" customHeight="1" x14ac:dyDescent="0.25">
      <c r="A2210" s="4" t="s">
        <v>27</v>
      </c>
      <c r="B2210" s="4" t="s">
        <v>39</v>
      </c>
      <c r="C2210" s="4" t="s">
        <v>23</v>
      </c>
      <c r="D2210" s="4" t="s">
        <v>40</v>
      </c>
      <c r="E2210" s="4" t="s">
        <v>25</v>
      </c>
      <c r="F2210" s="4" t="s">
        <v>25</v>
      </c>
      <c r="G2210" s="4" t="s">
        <v>25</v>
      </c>
      <c r="H2210" s="4" t="s">
        <v>25</v>
      </c>
      <c r="I2210" s="5">
        <v>44013</v>
      </c>
      <c r="J2210" s="6">
        <v>0</v>
      </c>
      <c r="K2210" s="6">
        <v>0</v>
      </c>
      <c r="L2210" s="6">
        <v>1.8939999999999999</v>
      </c>
      <c r="M2210" s="6">
        <v>1.8939999999999999</v>
      </c>
      <c r="N2210" s="6">
        <v>1.8939999999999999</v>
      </c>
      <c r="O2210" s="6">
        <v>1.8939999999999999</v>
      </c>
      <c r="P2210" s="6">
        <v>4</v>
      </c>
      <c r="Q2210" s="4" t="s">
        <v>26</v>
      </c>
      <c r="R2210" s="4">
        <v>0</v>
      </c>
      <c r="S2210" s="4" t="s">
        <v>632</v>
      </c>
      <c r="T2210" s="4" t="s">
        <v>939</v>
      </c>
      <c r="U2210" s="4">
        <v>0</v>
      </c>
      <c r="V2210" s="4">
        <v>73</v>
      </c>
      <c r="W2210" s="4">
        <v>116</v>
      </c>
    </row>
    <row r="2211" spans="1:23" ht="11.25" customHeight="1" x14ac:dyDescent="0.25">
      <c r="A2211" s="4" t="s">
        <v>28</v>
      </c>
      <c r="B2211" s="4" t="s">
        <v>39</v>
      </c>
      <c r="C2211" s="4" t="s">
        <v>23</v>
      </c>
      <c r="D2211" s="4" t="s">
        <v>40</v>
      </c>
      <c r="E2211" s="4" t="s">
        <v>25</v>
      </c>
      <c r="F2211" s="4" t="s">
        <v>25</v>
      </c>
      <c r="G2211" s="4" t="s">
        <v>25</v>
      </c>
      <c r="H2211" s="4" t="s">
        <v>25</v>
      </c>
      <c r="I2211" s="5">
        <v>44013</v>
      </c>
      <c r="J2211" s="6">
        <v>0</v>
      </c>
      <c r="K2211" s="6">
        <v>0</v>
      </c>
      <c r="L2211" s="6">
        <v>3.194</v>
      </c>
      <c r="M2211" s="6">
        <v>3.194</v>
      </c>
      <c r="N2211" s="6">
        <v>3.194</v>
      </c>
      <c r="O2211" s="6">
        <v>3.194</v>
      </c>
      <c r="P2211" s="6">
        <v>3</v>
      </c>
      <c r="Q2211" s="4" t="s">
        <v>26</v>
      </c>
      <c r="R2211" s="4">
        <v>0</v>
      </c>
      <c r="S2211" s="4" t="s">
        <v>632</v>
      </c>
      <c r="T2211" s="4" t="s">
        <v>939</v>
      </c>
      <c r="U2211" s="4">
        <v>0</v>
      </c>
      <c r="V2211" s="4">
        <v>73</v>
      </c>
      <c r="W2211" s="4">
        <v>116</v>
      </c>
    </row>
    <row r="2212" spans="1:23" ht="11.25" customHeight="1" x14ac:dyDescent="0.25">
      <c r="A2212" s="4" t="s">
        <v>21</v>
      </c>
      <c r="B2212" s="4" t="s">
        <v>39</v>
      </c>
      <c r="C2212" s="4" t="s">
        <v>23</v>
      </c>
      <c r="D2212" s="4" t="s">
        <v>40</v>
      </c>
      <c r="E2212" s="4" t="s">
        <v>25</v>
      </c>
      <c r="F2212" s="4" t="s">
        <v>25</v>
      </c>
      <c r="G2212" s="4" t="s">
        <v>25</v>
      </c>
      <c r="H2212" s="4" t="s">
        <v>25</v>
      </c>
      <c r="I2212" s="5">
        <v>44044</v>
      </c>
      <c r="J2212" s="6">
        <v>0</v>
      </c>
      <c r="K2212" s="6">
        <v>0</v>
      </c>
      <c r="L2212" s="6">
        <v>2274.1030000000001</v>
      </c>
      <c r="M2212" s="6">
        <v>2274.1030000000001</v>
      </c>
      <c r="N2212" s="6">
        <v>2274.1030000000001</v>
      </c>
      <c r="O2212" s="6">
        <v>2274.1030000000001</v>
      </c>
      <c r="P2212" s="6">
        <v>1219</v>
      </c>
      <c r="Q2212" s="4" t="s">
        <v>26</v>
      </c>
      <c r="R2212" s="4">
        <v>0</v>
      </c>
      <c r="S2212" s="4" t="s">
        <v>633</v>
      </c>
      <c r="T2212" s="4" t="s">
        <v>940</v>
      </c>
      <c r="U2212" s="4">
        <v>0</v>
      </c>
      <c r="V2212" s="4">
        <v>73</v>
      </c>
      <c r="W2212" s="4">
        <v>116</v>
      </c>
    </row>
    <row r="2213" spans="1:23" ht="11.25" customHeight="1" x14ac:dyDescent="0.25">
      <c r="A2213" s="4" t="s">
        <v>27</v>
      </c>
      <c r="B2213" s="4" t="s">
        <v>39</v>
      </c>
      <c r="C2213" s="4" t="s">
        <v>23</v>
      </c>
      <c r="D2213" s="4" t="s">
        <v>40</v>
      </c>
      <c r="E2213" s="4" t="s">
        <v>25</v>
      </c>
      <c r="F2213" s="4" t="s">
        <v>25</v>
      </c>
      <c r="G2213" s="4" t="s">
        <v>25</v>
      </c>
      <c r="H2213" s="4" t="s">
        <v>25</v>
      </c>
      <c r="I2213" s="5">
        <v>44044</v>
      </c>
      <c r="J2213" s="6">
        <v>0</v>
      </c>
      <c r="K2213" s="6">
        <v>0</v>
      </c>
      <c r="L2213" s="6">
        <v>1.1659999999999999</v>
      </c>
      <c r="M2213" s="6">
        <v>1.1659999999999999</v>
      </c>
      <c r="N2213" s="6">
        <v>1.1659999999999999</v>
      </c>
      <c r="O2213" s="6">
        <v>1.1659999999999999</v>
      </c>
      <c r="P2213" s="6">
        <v>3</v>
      </c>
      <c r="Q2213" s="4" t="s">
        <v>26</v>
      </c>
      <c r="R2213" s="4">
        <v>0</v>
      </c>
      <c r="S2213" s="4" t="s">
        <v>633</v>
      </c>
      <c r="T2213" s="4" t="s">
        <v>940</v>
      </c>
      <c r="U2213" s="4">
        <v>0</v>
      </c>
      <c r="V2213" s="4">
        <v>73</v>
      </c>
      <c r="W2213" s="4">
        <v>116</v>
      </c>
    </row>
    <row r="2214" spans="1:23" ht="11.25" customHeight="1" x14ac:dyDescent="0.25">
      <c r="A2214" s="4" t="s">
        <v>28</v>
      </c>
      <c r="B2214" s="4" t="s">
        <v>39</v>
      </c>
      <c r="C2214" s="4" t="s">
        <v>23</v>
      </c>
      <c r="D2214" s="4" t="s">
        <v>40</v>
      </c>
      <c r="E2214" s="4" t="s">
        <v>25</v>
      </c>
      <c r="F2214" s="4" t="s">
        <v>25</v>
      </c>
      <c r="G2214" s="4" t="s">
        <v>25</v>
      </c>
      <c r="H2214" s="4" t="s">
        <v>25</v>
      </c>
      <c r="I2214" s="5">
        <v>44044</v>
      </c>
      <c r="J2214" s="6">
        <v>0</v>
      </c>
      <c r="K2214" s="6">
        <v>0</v>
      </c>
      <c r="L2214" s="6">
        <v>2.6190000000000002</v>
      </c>
      <c r="M2214" s="6">
        <v>2.6190000000000002</v>
      </c>
      <c r="N2214" s="6">
        <v>2.6190000000000002</v>
      </c>
      <c r="O2214" s="6">
        <v>2.6190000000000002</v>
      </c>
      <c r="P2214" s="6">
        <v>3</v>
      </c>
      <c r="Q2214" s="4" t="s">
        <v>26</v>
      </c>
      <c r="R2214" s="4">
        <v>0</v>
      </c>
      <c r="S2214" s="4" t="s">
        <v>633</v>
      </c>
      <c r="T2214" s="4" t="s">
        <v>940</v>
      </c>
      <c r="U2214" s="4">
        <v>0</v>
      </c>
      <c r="V2214" s="4">
        <v>73</v>
      </c>
      <c r="W2214" s="4">
        <v>116</v>
      </c>
    </row>
    <row r="2215" spans="1:23" ht="11.25" customHeight="1" x14ac:dyDescent="0.25">
      <c r="A2215" s="4" t="s">
        <v>59</v>
      </c>
      <c r="B2215" s="4" t="s">
        <v>39</v>
      </c>
      <c r="C2215" s="4" t="s">
        <v>23</v>
      </c>
      <c r="D2215" s="4" t="s">
        <v>40</v>
      </c>
      <c r="E2215" s="4" t="s">
        <v>25</v>
      </c>
      <c r="F2215" s="4" t="s">
        <v>25</v>
      </c>
      <c r="G2215" s="4" t="s">
        <v>25</v>
      </c>
      <c r="H2215" s="4" t="s">
        <v>25</v>
      </c>
      <c r="I2215" s="5">
        <v>44075</v>
      </c>
      <c r="J2215" s="6">
        <v>0</v>
      </c>
      <c r="K2215" s="6">
        <v>0</v>
      </c>
      <c r="L2215" s="6">
        <v>2274.1030000000001</v>
      </c>
      <c r="M2215" s="6">
        <v>2274.1030000000001</v>
      </c>
      <c r="N2215" s="6">
        <v>2274.1030000000001</v>
      </c>
      <c r="O2215" s="6">
        <v>2274.1030000000001</v>
      </c>
      <c r="P2215" s="6">
        <v>1219</v>
      </c>
      <c r="Q2215" s="4" t="s">
        <v>26</v>
      </c>
      <c r="R2215" s="4">
        <v>0</v>
      </c>
      <c r="S2215" s="4" t="s">
        <v>634</v>
      </c>
      <c r="T2215" s="4" t="s">
        <v>941</v>
      </c>
      <c r="U2215" s="4">
        <v>0</v>
      </c>
      <c r="V2215" s="4">
        <v>73</v>
      </c>
      <c r="W2215" s="4">
        <v>116</v>
      </c>
    </row>
    <row r="2216" spans="1:23" ht="11.25" customHeight="1" x14ac:dyDescent="0.25">
      <c r="A2216" s="4" t="s">
        <v>59</v>
      </c>
      <c r="B2216" s="4" t="s">
        <v>39</v>
      </c>
      <c r="C2216" s="4" t="s">
        <v>23</v>
      </c>
      <c r="D2216" s="4" t="s">
        <v>40</v>
      </c>
      <c r="E2216" s="4" t="s">
        <v>25</v>
      </c>
      <c r="F2216" s="4" t="s">
        <v>25</v>
      </c>
      <c r="G2216" s="4" t="s">
        <v>25</v>
      </c>
      <c r="H2216" s="4" t="s">
        <v>25</v>
      </c>
      <c r="I2216" s="5">
        <v>44075</v>
      </c>
      <c r="J2216" s="6">
        <v>0</v>
      </c>
      <c r="K2216" s="6">
        <v>0</v>
      </c>
      <c r="L2216" s="6">
        <v>1.1659999999999999</v>
      </c>
      <c r="M2216" s="6">
        <v>1.1659999999999999</v>
      </c>
      <c r="N2216" s="6">
        <v>1.1659999999999999</v>
      </c>
      <c r="O2216" s="6">
        <v>1.1659999999999999</v>
      </c>
      <c r="P2216" s="6">
        <v>3</v>
      </c>
      <c r="Q2216" s="4" t="s">
        <v>26</v>
      </c>
      <c r="R2216" s="4">
        <v>0</v>
      </c>
      <c r="S2216" s="4" t="s">
        <v>634</v>
      </c>
      <c r="T2216" s="4" t="s">
        <v>941</v>
      </c>
      <c r="U2216" s="4">
        <v>0</v>
      </c>
      <c r="V2216" s="4">
        <v>73</v>
      </c>
      <c r="W2216" s="4">
        <v>116</v>
      </c>
    </row>
    <row r="2217" spans="1:23" ht="11.25" customHeight="1" x14ac:dyDescent="0.25">
      <c r="A2217" s="4" t="s">
        <v>59</v>
      </c>
      <c r="B2217" s="4" t="s">
        <v>39</v>
      </c>
      <c r="C2217" s="4" t="s">
        <v>23</v>
      </c>
      <c r="D2217" s="4" t="s">
        <v>40</v>
      </c>
      <c r="E2217" s="4" t="s">
        <v>25</v>
      </c>
      <c r="F2217" s="4" t="s">
        <v>25</v>
      </c>
      <c r="G2217" s="4" t="s">
        <v>25</v>
      </c>
      <c r="H2217" s="4" t="s">
        <v>25</v>
      </c>
      <c r="I2217" s="5">
        <v>44075</v>
      </c>
      <c r="J2217" s="6">
        <v>0</v>
      </c>
      <c r="K2217" s="6">
        <v>0</v>
      </c>
      <c r="L2217" s="6">
        <v>2.6190000000000002</v>
      </c>
      <c r="M2217" s="6">
        <v>2.6190000000000002</v>
      </c>
      <c r="N2217" s="6">
        <v>2.6190000000000002</v>
      </c>
      <c r="O2217" s="6">
        <v>2.6190000000000002</v>
      </c>
      <c r="P2217" s="6">
        <v>3</v>
      </c>
      <c r="Q2217" s="4" t="s">
        <v>26</v>
      </c>
      <c r="R2217" s="4">
        <v>0</v>
      </c>
      <c r="S2217" s="4" t="s">
        <v>634</v>
      </c>
      <c r="T2217" s="4" t="s">
        <v>941</v>
      </c>
      <c r="U2217" s="4">
        <v>0</v>
      </c>
      <c r="V2217" s="4">
        <v>73</v>
      </c>
      <c r="W2217" s="4">
        <v>116</v>
      </c>
    </row>
    <row r="2218" spans="1:23" ht="11.25" customHeight="1" x14ac:dyDescent="0.25">
      <c r="A2218" s="4" t="s">
        <v>21</v>
      </c>
      <c r="B2218" s="4" t="s">
        <v>39</v>
      </c>
      <c r="C2218" s="4" t="s">
        <v>23</v>
      </c>
      <c r="D2218" s="4" t="s">
        <v>48</v>
      </c>
      <c r="E2218" s="4" t="s">
        <v>25</v>
      </c>
      <c r="F2218" s="4" t="s">
        <v>25</v>
      </c>
      <c r="G2218" s="4" t="s">
        <v>25</v>
      </c>
      <c r="H2218" s="4" t="s">
        <v>25</v>
      </c>
      <c r="I2218" s="5">
        <v>43739</v>
      </c>
      <c r="J2218" s="6">
        <v>0</v>
      </c>
      <c r="K2218" s="6">
        <v>0</v>
      </c>
      <c r="L2218" s="6">
        <v>10189.201999999999</v>
      </c>
      <c r="M2218" s="6">
        <v>10189.201999999999</v>
      </c>
      <c r="N2218" s="6">
        <v>10189.201999999999</v>
      </c>
      <c r="O2218" s="6">
        <v>10189.201999999999</v>
      </c>
      <c r="P2218" s="6">
        <v>5605</v>
      </c>
      <c r="Q2218" s="4" t="s">
        <v>26</v>
      </c>
      <c r="R2218" s="4">
        <v>0</v>
      </c>
      <c r="S2218" s="4" t="s">
        <v>623</v>
      </c>
      <c r="T2218" s="4" t="s">
        <v>930</v>
      </c>
      <c r="U2218" s="4">
        <v>0</v>
      </c>
      <c r="V2218" s="4">
        <v>73</v>
      </c>
      <c r="W2218" s="4">
        <v>116</v>
      </c>
    </row>
    <row r="2219" spans="1:23" ht="11.25" customHeight="1" x14ac:dyDescent="0.25">
      <c r="A2219" s="4" t="s">
        <v>27</v>
      </c>
      <c r="B2219" s="4" t="s">
        <v>39</v>
      </c>
      <c r="C2219" s="4" t="s">
        <v>23</v>
      </c>
      <c r="D2219" s="4" t="s">
        <v>48</v>
      </c>
      <c r="E2219" s="4" t="s">
        <v>25</v>
      </c>
      <c r="F2219" s="4" t="s">
        <v>25</v>
      </c>
      <c r="G2219" s="4" t="s">
        <v>25</v>
      </c>
      <c r="H2219" s="4" t="s">
        <v>25</v>
      </c>
      <c r="I2219" s="5">
        <v>43739</v>
      </c>
      <c r="J2219" s="6">
        <v>0</v>
      </c>
      <c r="K2219" s="6">
        <v>0</v>
      </c>
      <c r="L2219" s="6">
        <v>2.5710000000000002</v>
      </c>
      <c r="M2219" s="6">
        <v>2.5710000000000002</v>
      </c>
      <c r="N2219" s="6">
        <v>2.5710000000000002</v>
      </c>
      <c r="O2219" s="6">
        <v>2.5710000000000002</v>
      </c>
      <c r="P2219" s="6">
        <v>5</v>
      </c>
      <c r="Q2219" s="4" t="s">
        <v>26</v>
      </c>
      <c r="R2219" s="4">
        <v>0</v>
      </c>
      <c r="S2219" s="4" t="s">
        <v>623</v>
      </c>
      <c r="T2219" s="4" t="s">
        <v>930</v>
      </c>
      <c r="U2219" s="4">
        <v>0</v>
      </c>
      <c r="V2219" s="4">
        <v>73</v>
      </c>
      <c r="W2219" s="4">
        <v>116</v>
      </c>
    </row>
    <row r="2220" spans="1:23" ht="11.25" customHeight="1" x14ac:dyDescent="0.25">
      <c r="A2220" s="4" t="s">
        <v>28</v>
      </c>
      <c r="B2220" s="4" t="s">
        <v>39</v>
      </c>
      <c r="C2220" s="4" t="s">
        <v>23</v>
      </c>
      <c r="D2220" s="4" t="s">
        <v>48</v>
      </c>
      <c r="E2220" s="4" t="s">
        <v>25</v>
      </c>
      <c r="F2220" s="4" t="s">
        <v>25</v>
      </c>
      <c r="G2220" s="4" t="s">
        <v>25</v>
      </c>
      <c r="H2220" s="4" t="s">
        <v>25</v>
      </c>
      <c r="I2220" s="5">
        <v>43739</v>
      </c>
      <c r="J2220" s="6">
        <v>0</v>
      </c>
      <c r="K2220" s="6">
        <v>0</v>
      </c>
      <c r="L2220" s="6">
        <v>137.881</v>
      </c>
      <c r="M2220" s="6">
        <v>137.881</v>
      </c>
      <c r="N2220" s="6">
        <v>137.881</v>
      </c>
      <c r="O2220" s="6">
        <v>137.881</v>
      </c>
      <c r="P2220" s="6">
        <v>6</v>
      </c>
      <c r="Q2220" s="4" t="s">
        <v>26</v>
      </c>
      <c r="R2220" s="4">
        <v>0</v>
      </c>
      <c r="S2220" s="4" t="s">
        <v>623</v>
      </c>
      <c r="T2220" s="4" t="s">
        <v>930</v>
      </c>
      <c r="U2220" s="4">
        <v>0</v>
      </c>
      <c r="V2220" s="4">
        <v>73</v>
      </c>
      <c r="W2220" s="4">
        <v>116</v>
      </c>
    </row>
    <row r="2221" spans="1:23" ht="11.25" customHeight="1" x14ac:dyDescent="0.25">
      <c r="A2221" s="4" t="s">
        <v>21</v>
      </c>
      <c r="B2221" s="4" t="s">
        <v>39</v>
      </c>
      <c r="C2221" s="4" t="s">
        <v>23</v>
      </c>
      <c r="D2221" s="4" t="s">
        <v>48</v>
      </c>
      <c r="E2221" s="4" t="s">
        <v>25</v>
      </c>
      <c r="F2221" s="4" t="s">
        <v>25</v>
      </c>
      <c r="G2221" s="4" t="s">
        <v>25</v>
      </c>
      <c r="H2221" s="4" t="s">
        <v>25</v>
      </c>
      <c r="I2221" s="5">
        <v>43770</v>
      </c>
      <c r="J2221" s="6">
        <v>0</v>
      </c>
      <c r="K2221" s="6">
        <v>0</v>
      </c>
      <c r="L2221" s="6">
        <v>10438.009</v>
      </c>
      <c r="M2221" s="6">
        <v>10438.009</v>
      </c>
      <c r="N2221" s="6">
        <v>10438.009</v>
      </c>
      <c r="O2221" s="6">
        <v>10438.009</v>
      </c>
      <c r="P2221" s="6">
        <v>5609</v>
      </c>
      <c r="Q2221" s="4" t="s">
        <v>26</v>
      </c>
      <c r="R2221" s="4">
        <v>0</v>
      </c>
      <c r="S2221" s="4" t="s">
        <v>624</v>
      </c>
      <c r="T2221" s="4" t="s">
        <v>931</v>
      </c>
      <c r="U2221" s="4">
        <v>0</v>
      </c>
      <c r="V2221" s="4">
        <v>73</v>
      </c>
      <c r="W2221" s="4">
        <v>116</v>
      </c>
    </row>
    <row r="2222" spans="1:23" ht="11.25" customHeight="1" x14ac:dyDescent="0.25">
      <c r="A2222" s="4" t="s">
        <v>27</v>
      </c>
      <c r="B2222" s="4" t="s">
        <v>39</v>
      </c>
      <c r="C2222" s="4" t="s">
        <v>23</v>
      </c>
      <c r="D2222" s="4" t="s">
        <v>48</v>
      </c>
      <c r="E2222" s="4" t="s">
        <v>25</v>
      </c>
      <c r="F2222" s="4" t="s">
        <v>25</v>
      </c>
      <c r="G2222" s="4" t="s">
        <v>25</v>
      </c>
      <c r="H2222" s="4" t="s">
        <v>25</v>
      </c>
      <c r="I2222" s="5">
        <v>43770</v>
      </c>
      <c r="J2222" s="6">
        <v>0</v>
      </c>
      <c r="K2222" s="6">
        <v>0</v>
      </c>
      <c r="L2222" s="6">
        <v>272.51</v>
      </c>
      <c r="M2222" s="6">
        <v>272.51</v>
      </c>
      <c r="N2222" s="6">
        <v>272.51</v>
      </c>
      <c r="O2222" s="6">
        <v>272.51</v>
      </c>
      <c r="P2222" s="6">
        <v>5</v>
      </c>
      <c r="Q2222" s="4" t="s">
        <v>26</v>
      </c>
      <c r="R2222" s="4">
        <v>0</v>
      </c>
      <c r="S2222" s="4" t="s">
        <v>624</v>
      </c>
      <c r="T2222" s="4" t="s">
        <v>931</v>
      </c>
      <c r="U2222" s="4">
        <v>0</v>
      </c>
      <c r="V2222" s="4">
        <v>73</v>
      </c>
      <c r="W2222" s="4">
        <v>116</v>
      </c>
    </row>
    <row r="2223" spans="1:23" ht="11.25" customHeight="1" x14ac:dyDescent="0.25">
      <c r="A2223" s="4" t="s">
        <v>28</v>
      </c>
      <c r="B2223" s="4" t="s">
        <v>39</v>
      </c>
      <c r="C2223" s="4" t="s">
        <v>23</v>
      </c>
      <c r="D2223" s="4" t="s">
        <v>48</v>
      </c>
      <c r="E2223" s="4" t="s">
        <v>25</v>
      </c>
      <c r="F2223" s="4" t="s">
        <v>25</v>
      </c>
      <c r="G2223" s="4" t="s">
        <v>25</v>
      </c>
      <c r="H2223" s="4" t="s">
        <v>25</v>
      </c>
      <c r="I2223" s="5">
        <v>43770</v>
      </c>
      <c r="J2223" s="6">
        <v>0</v>
      </c>
      <c r="K2223" s="6">
        <v>0</v>
      </c>
      <c r="L2223" s="6">
        <v>157.625</v>
      </c>
      <c r="M2223" s="6">
        <v>157.625</v>
      </c>
      <c r="N2223" s="6">
        <v>157.625</v>
      </c>
      <c r="O2223" s="6">
        <v>157.625</v>
      </c>
      <c r="P2223" s="6">
        <v>6</v>
      </c>
      <c r="Q2223" s="4" t="s">
        <v>26</v>
      </c>
      <c r="R2223" s="4">
        <v>0</v>
      </c>
      <c r="S2223" s="4" t="s">
        <v>624</v>
      </c>
      <c r="T2223" s="4" t="s">
        <v>931</v>
      </c>
      <c r="U2223" s="4">
        <v>0</v>
      </c>
      <c r="V2223" s="4">
        <v>73</v>
      </c>
      <c r="W2223" s="4">
        <v>116</v>
      </c>
    </row>
    <row r="2224" spans="1:23" ht="11.25" customHeight="1" x14ac:dyDescent="0.25">
      <c r="A2224" s="4" t="s">
        <v>21</v>
      </c>
      <c r="B2224" s="4" t="s">
        <v>39</v>
      </c>
      <c r="C2224" s="4" t="s">
        <v>23</v>
      </c>
      <c r="D2224" s="4" t="s">
        <v>48</v>
      </c>
      <c r="E2224" s="4" t="s">
        <v>25</v>
      </c>
      <c r="F2224" s="4" t="s">
        <v>25</v>
      </c>
      <c r="G2224" s="4" t="s">
        <v>25</v>
      </c>
      <c r="H2224" s="4" t="s">
        <v>25</v>
      </c>
      <c r="I2224" s="5">
        <v>43800</v>
      </c>
      <c r="J2224" s="6">
        <v>0</v>
      </c>
      <c r="K2224" s="6">
        <v>0</v>
      </c>
      <c r="L2224" s="6">
        <v>9032.0490000000009</v>
      </c>
      <c r="M2224" s="6">
        <v>9032.0490000000009</v>
      </c>
      <c r="N2224" s="6">
        <v>9032.0490000000009</v>
      </c>
      <c r="O2224" s="6">
        <v>9032.0490000000009</v>
      </c>
      <c r="P2224" s="6">
        <v>5615</v>
      </c>
      <c r="Q2224" s="4" t="s">
        <v>26</v>
      </c>
      <c r="R2224" s="4">
        <v>0</v>
      </c>
      <c r="S2224" s="4" t="s">
        <v>625</v>
      </c>
      <c r="T2224" s="4" t="s">
        <v>932</v>
      </c>
      <c r="U2224" s="4">
        <v>0</v>
      </c>
      <c r="V2224" s="4">
        <v>73</v>
      </c>
      <c r="W2224" s="4">
        <v>116</v>
      </c>
    </row>
    <row r="2225" spans="1:23" ht="11.25" customHeight="1" x14ac:dyDescent="0.25">
      <c r="A2225" s="4" t="s">
        <v>27</v>
      </c>
      <c r="B2225" s="4" t="s">
        <v>39</v>
      </c>
      <c r="C2225" s="4" t="s">
        <v>23</v>
      </c>
      <c r="D2225" s="4" t="s">
        <v>48</v>
      </c>
      <c r="E2225" s="4" t="s">
        <v>25</v>
      </c>
      <c r="F2225" s="4" t="s">
        <v>25</v>
      </c>
      <c r="G2225" s="4" t="s">
        <v>25</v>
      </c>
      <c r="H2225" s="4" t="s">
        <v>25</v>
      </c>
      <c r="I2225" s="5">
        <v>43800</v>
      </c>
      <c r="J2225" s="6">
        <v>0</v>
      </c>
      <c r="K2225" s="6">
        <v>0</v>
      </c>
      <c r="L2225" s="6">
        <v>2.1789999999999998</v>
      </c>
      <c r="M2225" s="6">
        <v>2.1789999999999998</v>
      </c>
      <c r="N2225" s="6">
        <v>2.1789999999999998</v>
      </c>
      <c r="O2225" s="6">
        <v>2.1789999999999998</v>
      </c>
      <c r="P2225" s="6">
        <v>1</v>
      </c>
      <c r="Q2225" s="4" t="s">
        <v>26</v>
      </c>
      <c r="R2225" s="4">
        <v>0</v>
      </c>
      <c r="S2225" s="4" t="s">
        <v>625</v>
      </c>
      <c r="T2225" s="4" t="s">
        <v>932</v>
      </c>
      <c r="U2225" s="4">
        <v>0</v>
      </c>
      <c r="V2225" s="4">
        <v>73</v>
      </c>
      <c r="W2225" s="4">
        <v>116</v>
      </c>
    </row>
    <row r="2226" spans="1:23" ht="11.25" customHeight="1" x14ac:dyDescent="0.25">
      <c r="A2226" s="4" t="s">
        <v>28</v>
      </c>
      <c r="B2226" s="4" t="s">
        <v>39</v>
      </c>
      <c r="C2226" s="4" t="s">
        <v>23</v>
      </c>
      <c r="D2226" s="4" t="s">
        <v>48</v>
      </c>
      <c r="E2226" s="4" t="s">
        <v>25</v>
      </c>
      <c r="F2226" s="4" t="s">
        <v>25</v>
      </c>
      <c r="G2226" s="4" t="s">
        <v>25</v>
      </c>
      <c r="H2226" s="4" t="s">
        <v>25</v>
      </c>
      <c r="I2226" s="5">
        <v>43800</v>
      </c>
      <c r="J2226" s="6">
        <v>0</v>
      </c>
      <c r="K2226" s="6">
        <v>0</v>
      </c>
      <c r="L2226" s="6">
        <v>139.828</v>
      </c>
      <c r="M2226" s="6">
        <v>139.828</v>
      </c>
      <c r="N2226" s="6">
        <v>139.828</v>
      </c>
      <c r="O2226" s="6">
        <v>139.828</v>
      </c>
      <c r="P2226" s="6">
        <v>6</v>
      </c>
      <c r="Q2226" s="4" t="s">
        <v>26</v>
      </c>
      <c r="R2226" s="4">
        <v>0</v>
      </c>
      <c r="S2226" s="4" t="s">
        <v>625</v>
      </c>
      <c r="T2226" s="4" t="s">
        <v>932</v>
      </c>
      <c r="U2226" s="4">
        <v>0</v>
      </c>
      <c r="V2226" s="4">
        <v>73</v>
      </c>
      <c r="W2226" s="4">
        <v>116</v>
      </c>
    </row>
    <row r="2227" spans="1:23" ht="11.25" customHeight="1" x14ac:dyDescent="0.25">
      <c r="A2227" s="4" t="s">
        <v>21</v>
      </c>
      <c r="B2227" s="4" t="s">
        <v>39</v>
      </c>
      <c r="C2227" s="4" t="s">
        <v>23</v>
      </c>
      <c r="D2227" s="4" t="s">
        <v>48</v>
      </c>
      <c r="E2227" s="4" t="s">
        <v>25</v>
      </c>
      <c r="F2227" s="4" t="s">
        <v>25</v>
      </c>
      <c r="G2227" s="4" t="s">
        <v>25</v>
      </c>
      <c r="H2227" s="4" t="s">
        <v>25</v>
      </c>
      <c r="I2227" s="5">
        <v>43831</v>
      </c>
      <c r="J2227" s="6">
        <v>0</v>
      </c>
      <c r="K2227" s="6">
        <v>0</v>
      </c>
      <c r="L2227" s="6">
        <v>8249.8799999999992</v>
      </c>
      <c r="M2227" s="6">
        <v>8249.8799999999992</v>
      </c>
      <c r="N2227" s="6">
        <v>8249.8799999999992</v>
      </c>
      <c r="O2227" s="6">
        <v>8249.8799999999992</v>
      </c>
      <c r="P2227" s="6">
        <v>5612</v>
      </c>
      <c r="Q2227" s="4" t="s">
        <v>26</v>
      </c>
      <c r="R2227" s="4">
        <v>0</v>
      </c>
      <c r="S2227" s="4" t="s">
        <v>626</v>
      </c>
      <c r="T2227" s="4" t="s">
        <v>933</v>
      </c>
      <c r="U2227" s="4">
        <v>0</v>
      </c>
      <c r="V2227" s="4">
        <v>73</v>
      </c>
      <c r="W2227" s="4">
        <v>116</v>
      </c>
    </row>
    <row r="2228" spans="1:23" ht="11.25" customHeight="1" x14ac:dyDescent="0.25">
      <c r="A2228" s="4" t="s">
        <v>27</v>
      </c>
      <c r="B2228" s="4" t="s">
        <v>39</v>
      </c>
      <c r="C2228" s="4" t="s">
        <v>23</v>
      </c>
      <c r="D2228" s="4" t="s">
        <v>48</v>
      </c>
      <c r="E2228" s="4" t="s">
        <v>25</v>
      </c>
      <c r="F2228" s="4" t="s">
        <v>25</v>
      </c>
      <c r="G2228" s="4" t="s">
        <v>25</v>
      </c>
      <c r="H2228" s="4" t="s">
        <v>25</v>
      </c>
      <c r="I2228" s="5">
        <v>43831</v>
      </c>
      <c r="J2228" s="6">
        <v>0</v>
      </c>
      <c r="K2228" s="6">
        <v>0</v>
      </c>
      <c r="L2228" s="6">
        <v>3.2570000000000001</v>
      </c>
      <c r="M2228" s="6">
        <v>3.2570000000000001</v>
      </c>
      <c r="N2228" s="6">
        <v>3.2570000000000001</v>
      </c>
      <c r="O2228" s="6">
        <v>3.2570000000000001</v>
      </c>
      <c r="P2228" s="6">
        <v>5</v>
      </c>
      <c r="Q2228" s="4" t="s">
        <v>26</v>
      </c>
      <c r="R2228" s="4">
        <v>0</v>
      </c>
      <c r="S2228" s="4" t="s">
        <v>626</v>
      </c>
      <c r="T2228" s="4" t="s">
        <v>933</v>
      </c>
      <c r="U2228" s="4">
        <v>0</v>
      </c>
      <c r="V2228" s="4">
        <v>73</v>
      </c>
      <c r="W2228" s="4">
        <v>116</v>
      </c>
    </row>
    <row r="2229" spans="1:23" ht="11.25" customHeight="1" x14ac:dyDescent="0.25">
      <c r="A2229" s="4" t="s">
        <v>28</v>
      </c>
      <c r="B2229" s="4" t="s">
        <v>39</v>
      </c>
      <c r="C2229" s="4" t="s">
        <v>23</v>
      </c>
      <c r="D2229" s="4" t="s">
        <v>48</v>
      </c>
      <c r="E2229" s="4" t="s">
        <v>25</v>
      </c>
      <c r="F2229" s="4" t="s">
        <v>25</v>
      </c>
      <c r="G2229" s="4" t="s">
        <v>25</v>
      </c>
      <c r="H2229" s="4" t="s">
        <v>25</v>
      </c>
      <c r="I2229" s="5">
        <v>43831</v>
      </c>
      <c r="J2229" s="6">
        <v>0</v>
      </c>
      <c r="K2229" s="6">
        <v>0</v>
      </c>
      <c r="L2229" s="6">
        <v>109.256</v>
      </c>
      <c r="M2229" s="6">
        <v>109.256</v>
      </c>
      <c r="N2229" s="6">
        <v>109.256</v>
      </c>
      <c r="O2229" s="6">
        <v>109.256</v>
      </c>
      <c r="P2229" s="6">
        <v>6</v>
      </c>
      <c r="Q2229" s="4" t="s">
        <v>26</v>
      </c>
      <c r="R2229" s="4">
        <v>0</v>
      </c>
      <c r="S2229" s="4" t="s">
        <v>626</v>
      </c>
      <c r="T2229" s="4" t="s">
        <v>933</v>
      </c>
      <c r="U2229" s="4">
        <v>0</v>
      </c>
      <c r="V2229" s="4">
        <v>73</v>
      </c>
      <c r="W2229" s="4">
        <v>116</v>
      </c>
    </row>
    <row r="2230" spans="1:23" ht="11.25" customHeight="1" x14ac:dyDescent="0.25">
      <c r="A2230" s="4" t="s">
        <v>21</v>
      </c>
      <c r="B2230" s="4" t="s">
        <v>39</v>
      </c>
      <c r="C2230" s="4" t="s">
        <v>23</v>
      </c>
      <c r="D2230" s="4" t="s">
        <v>48</v>
      </c>
      <c r="E2230" s="4" t="s">
        <v>25</v>
      </c>
      <c r="F2230" s="4" t="s">
        <v>25</v>
      </c>
      <c r="G2230" s="4" t="s">
        <v>25</v>
      </c>
      <c r="H2230" s="4" t="s">
        <v>25</v>
      </c>
      <c r="I2230" s="5">
        <v>43862</v>
      </c>
      <c r="J2230" s="6">
        <v>0</v>
      </c>
      <c r="K2230" s="6">
        <v>0</v>
      </c>
      <c r="L2230" s="6">
        <v>8213.0110000000004</v>
      </c>
      <c r="M2230" s="6">
        <v>8213.0110000000004</v>
      </c>
      <c r="N2230" s="6">
        <v>8213.0110000000004</v>
      </c>
      <c r="O2230" s="6">
        <v>8213.0110000000004</v>
      </c>
      <c r="P2230" s="6">
        <v>5529</v>
      </c>
      <c r="Q2230" s="4" t="s">
        <v>26</v>
      </c>
      <c r="R2230" s="4">
        <v>0</v>
      </c>
      <c r="S2230" s="4" t="s">
        <v>627</v>
      </c>
      <c r="T2230" s="4" t="s">
        <v>934</v>
      </c>
      <c r="U2230" s="4">
        <v>0</v>
      </c>
      <c r="V2230" s="4">
        <v>73</v>
      </c>
      <c r="W2230" s="4">
        <v>116</v>
      </c>
    </row>
    <row r="2231" spans="1:23" ht="11.25" customHeight="1" x14ac:dyDescent="0.25">
      <c r="A2231" s="4" t="s">
        <v>27</v>
      </c>
      <c r="B2231" s="4" t="s">
        <v>39</v>
      </c>
      <c r="C2231" s="4" t="s">
        <v>23</v>
      </c>
      <c r="D2231" s="4" t="s">
        <v>48</v>
      </c>
      <c r="E2231" s="4" t="s">
        <v>25</v>
      </c>
      <c r="F2231" s="4" t="s">
        <v>25</v>
      </c>
      <c r="G2231" s="4" t="s">
        <v>25</v>
      </c>
      <c r="H2231" s="4" t="s">
        <v>25</v>
      </c>
      <c r="I2231" s="5">
        <v>43862</v>
      </c>
      <c r="J2231" s="6">
        <v>0</v>
      </c>
      <c r="K2231" s="6">
        <v>0</v>
      </c>
      <c r="L2231" s="6">
        <v>19.582000000000001</v>
      </c>
      <c r="M2231" s="6">
        <v>19.582000000000001</v>
      </c>
      <c r="N2231" s="6">
        <v>19.582000000000001</v>
      </c>
      <c r="O2231" s="6">
        <v>19.582000000000001</v>
      </c>
      <c r="P2231" s="6">
        <v>2</v>
      </c>
      <c r="Q2231" s="4" t="s">
        <v>26</v>
      </c>
      <c r="R2231" s="4">
        <v>0</v>
      </c>
      <c r="S2231" s="4" t="s">
        <v>627</v>
      </c>
      <c r="T2231" s="4" t="s">
        <v>934</v>
      </c>
      <c r="U2231" s="4">
        <v>0</v>
      </c>
      <c r="V2231" s="4">
        <v>73</v>
      </c>
      <c r="W2231" s="4">
        <v>116</v>
      </c>
    </row>
    <row r="2232" spans="1:23" ht="11.25" customHeight="1" x14ac:dyDescent="0.25">
      <c r="A2232" s="4" t="s">
        <v>28</v>
      </c>
      <c r="B2232" s="4" t="s">
        <v>39</v>
      </c>
      <c r="C2232" s="4" t="s">
        <v>23</v>
      </c>
      <c r="D2232" s="4" t="s">
        <v>48</v>
      </c>
      <c r="E2232" s="4" t="s">
        <v>25</v>
      </c>
      <c r="F2232" s="4" t="s">
        <v>25</v>
      </c>
      <c r="G2232" s="4" t="s">
        <v>25</v>
      </c>
      <c r="H2232" s="4" t="s">
        <v>25</v>
      </c>
      <c r="I2232" s="5">
        <v>43862</v>
      </c>
      <c r="J2232" s="6">
        <v>0</v>
      </c>
      <c r="K2232" s="6">
        <v>0</v>
      </c>
      <c r="L2232" s="6">
        <v>137.01900000000001</v>
      </c>
      <c r="M2232" s="6">
        <v>137.01900000000001</v>
      </c>
      <c r="N2232" s="6">
        <v>137.01900000000001</v>
      </c>
      <c r="O2232" s="6">
        <v>137.01900000000001</v>
      </c>
      <c r="P2232" s="6">
        <v>5</v>
      </c>
      <c r="Q2232" s="4" t="s">
        <v>26</v>
      </c>
      <c r="R2232" s="4">
        <v>0</v>
      </c>
      <c r="S2232" s="4" t="s">
        <v>627</v>
      </c>
      <c r="T2232" s="4" t="s">
        <v>934</v>
      </c>
      <c r="U2232" s="4">
        <v>0</v>
      </c>
      <c r="V2232" s="4">
        <v>73</v>
      </c>
      <c r="W2232" s="4">
        <v>116</v>
      </c>
    </row>
    <row r="2233" spans="1:23" ht="11.25" customHeight="1" x14ac:dyDescent="0.25">
      <c r="A2233" s="4" t="s">
        <v>21</v>
      </c>
      <c r="B2233" s="4" t="s">
        <v>39</v>
      </c>
      <c r="C2233" s="4" t="s">
        <v>23</v>
      </c>
      <c r="D2233" s="4" t="s">
        <v>48</v>
      </c>
      <c r="E2233" s="4" t="s">
        <v>25</v>
      </c>
      <c r="F2233" s="4" t="s">
        <v>25</v>
      </c>
      <c r="G2233" s="4" t="s">
        <v>25</v>
      </c>
      <c r="H2233" s="4" t="s">
        <v>25</v>
      </c>
      <c r="I2233" s="5">
        <v>43891</v>
      </c>
      <c r="J2233" s="6">
        <v>0</v>
      </c>
      <c r="K2233" s="6">
        <v>0</v>
      </c>
      <c r="L2233" s="6">
        <v>8489.2900000000009</v>
      </c>
      <c r="M2233" s="6">
        <v>8489.2900000000009</v>
      </c>
      <c r="N2233" s="6">
        <v>8489.2900000000009</v>
      </c>
      <c r="O2233" s="6">
        <v>8489.2900000000009</v>
      </c>
      <c r="P2233" s="6">
        <v>5587</v>
      </c>
      <c r="Q2233" s="4" t="s">
        <v>26</v>
      </c>
      <c r="R2233" s="4">
        <v>0</v>
      </c>
      <c r="S2233" s="4" t="s">
        <v>628</v>
      </c>
      <c r="T2233" s="4" t="s">
        <v>935</v>
      </c>
      <c r="U2233" s="4">
        <v>0</v>
      </c>
      <c r="V2233" s="4">
        <v>73</v>
      </c>
      <c r="W2233" s="4">
        <v>116</v>
      </c>
    </row>
    <row r="2234" spans="1:23" ht="11.25" customHeight="1" x14ac:dyDescent="0.25">
      <c r="A2234" s="4" t="s">
        <v>27</v>
      </c>
      <c r="B2234" s="4" t="s">
        <v>39</v>
      </c>
      <c r="C2234" s="4" t="s">
        <v>23</v>
      </c>
      <c r="D2234" s="4" t="s">
        <v>48</v>
      </c>
      <c r="E2234" s="4" t="s">
        <v>25</v>
      </c>
      <c r="F2234" s="4" t="s">
        <v>25</v>
      </c>
      <c r="G2234" s="4" t="s">
        <v>25</v>
      </c>
      <c r="H2234" s="4" t="s">
        <v>25</v>
      </c>
      <c r="I2234" s="5">
        <v>43891</v>
      </c>
      <c r="J2234" s="6">
        <v>0</v>
      </c>
      <c r="K2234" s="6">
        <v>0</v>
      </c>
      <c r="L2234" s="6">
        <v>87.82</v>
      </c>
      <c r="M2234" s="6">
        <v>87.82</v>
      </c>
      <c r="N2234" s="6">
        <v>87.82</v>
      </c>
      <c r="O2234" s="6">
        <v>87.82</v>
      </c>
      <c r="P2234" s="6">
        <v>2</v>
      </c>
      <c r="Q2234" s="4" t="s">
        <v>26</v>
      </c>
      <c r="R2234" s="4">
        <v>0</v>
      </c>
      <c r="S2234" s="4" t="s">
        <v>628</v>
      </c>
      <c r="T2234" s="4" t="s">
        <v>935</v>
      </c>
      <c r="U2234" s="4">
        <v>0</v>
      </c>
      <c r="V2234" s="4">
        <v>73</v>
      </c>
      <c r="W2234" s="4">
        <v>116</v>
      </c>
    </row>
    <row r="2235" spans="1:23" ht="11.25" customHeight="1" x14ac:dyDescent="0.25">
      <c r="A2235" s="4" t="s">
        <v>28</v>
      </c>
      <c r="B2235" s="4" t="s">
        <v>39</v>
      </c>
      <c r="C2235" s="4" t="s">
        <v>23</v>
      </c>
      <c r="D2235" s="4" t="s">
        <v>48</v>
      </c>
      <c r="E2235" s="4" t="s">
        <v>25</v>
      </c>
      <c r="F2235" s="4" t="s">
        <v>25</v>
      </c>
      <c r="G2235" s="4" t="s">
        <v>25</v>
      </c>
      <c r="H2235" s="4" t="s">
        <v>25</v>
      </c>
      <c r="I2235" s="5">
        <v>43891</v>
      </c>
      <c r="J2235" s="6">
        <v>0</v>
      </c>
      <c r="K2235" s="6">
        <v>0</v>
      </c>
      <c r="L2235" s="6">
        <v>122.855</v>
      </c>
      <c r="M2235" s="6">
        <v>122.855</v>
      </c>
      <c r="N2235" s="6">
        <v>122.855</v>
      </c>
      <c r="O2235" s="6">
        <v>122.855</v>
      </c>
      <c r="P2235" s="6">
        <v>5</v>
      </c>
      <c r="Q2235" s="4" t="s">
        <v>26</v>
      </c>
      <c r="R2235" s="4">
        <v>0</v>
      </c>
      <c r="S2235" s="4" t="s">
        <v>628</v>
      </c>
      <c r="T2235" s="4" t="s">
        <v>935</v>
      </c>
      <c r="U2235" s="4">
        <v>0</v>
      </c>
      <c r="V2235" s="4">
        <v>73</v>
      </c>
      <c r="W2235" s="4">
        <v>116</v>
      </c>
    </row>
    <row r="2236" spans="1:23" ht="11.25" customHeight="1" x14ac:dyDescent="0.25">
      <c r="A2236" s="4" t="s">
        <v>21</v>
      </c>
      <c r="B2236" s="4" t="s">
        <v>39</v>
      </c>
      <c r="C2236" s="4" t="s">
        <v>23</v>
      </c>
      <c r="D2236" s="4" t="s">
        <v>48</v>
      </c>
      <c r="E2236" s="4" t="s">
        <v>25</v>
      </c>
      <c r="F2236" s="4" t="s">
        <v>25</v>
      </c>
      <c r="G2236" s="4" t="s">
        <v>25</v>
      </c>
      <c r="H2236" s="4" t="s">
        <v>25</v>
      </c>
      <c r="I2236" s="5">
        <v>43922</v>
      </c>
      <c r="J2236" s="6">
        <v>0</v>
      </c>
      <c r="K2236" s="6">
        <v>0</v>
      </c>
      <c r="L2236" s="6">
        <v>7367.6350000000002</v>
      </c>
      <c r="M2236" s="6">
        <v>7367.6350000000002</v>
      </c>
      <c r="N2236" s="6">
        <v>7367.6350000000002</v>
      </c>
      <c r="O2236" s="6">
        <v>7367.6350000000002</v>
      </c>
      <c r="P2236" s="6">
        <v>5567</v>
      </c>
      <c r="Q2236" s="4" t="s">
        <v>26</v>
      </c>
      <c r="R2236" s="4">
        <v>0</v>
      </c>
      <c r="S2236" s="4" t="s">
        <v>629</v>
      </c>
      <c r="T2236" s="4" t="s">
        <v>936</v>
      </c>
      <c r="U2236" s="4">
        <v>0</v>
      </c>
      <c r="V2236" s="4">
        <v>73</v>
      </c>
      <c r="W2236" s="4">
        <v>116</v>
      </c>
    </row>
    <row r="2237" spans="1:23" ht="11.25" customHeight="1" x14ac:dyDescent="0.25">
      <c r="A2237" s="4" t="s">
        <v>27</v>
      </c>
      <c r="B2237" s="4" t="s">
        <v>39</v>
      </c>
      <c r="C2237" s="4" t="s">
        <v>23</v>
      </c>
      <c r="D2237" s="4" t="s">
        <v>48</v>
      </c>
      <c r="E2237" s="4" t="s">
        <v>25</v>
      </c>
      <c r="F2237" s="4" t="s">
        <v>25</v>
      </c>
      <c r="G2237" s="4" t="s">
        <v>25</v>
      </c>
      <c r="H2237" s="4" t="s">
        <v>25</v>
      </c>
      <c r="I2237" s="5">
        <v>43922</v>
      </c>
      <c r="J2237" s="6">
        <v>0</v>
      </c>
      <c r="K2237" s="6">
        <v>0</v>
      </c>
      <c r="L2237" s="6">
        <v>38.052999999999997</v>
      </c>
      <c r="M2237" s="6">
        <v>38.052999999999997</v>
      </c>
      <c r="N2237" s="6">
        <v>38.052999999999997</v>
      </c>
      <c r="O2237" s="6">
        <v>38.052999999999997</v>
      </c>
      <c r="P2237" s="6">
        <v>15</v>
      </c>
      <c r="Q2237" s="4" t="s">
        <v>26</v>
      </c>
      <c r="R2237" s="4">
        <v>0</v>
      </c>
      <c r="S2237" s="4" t="s">
        <v>629</v>
      </c>
      <c r="T2237" s="4" t="s">
        <v>936</v>
      </c>
      <c r="U2237" s="4">
        <v>0</v>
      </c>
      <c r="V2237" s="4">
        <v>73</v>
      </c>
      <c r="W2237" s="4">
        <v>116</v>
      </c>
    </row>
    <row r="2238" spans="1:23" ht="11.25" customHeight="1" x14ac:dyDescent="0.25">
      <c r="A2238" s="4" t="s">
        <v>28</v>
      </c>
      <c r="B2238" s="4" t="s">
        <v>39</v>
      </c>
      <c r="C2238" s="4" t="s">
        <v>23</v>
      </c>
      <c r="D2238" s="4" t="s">
        <v>48</v>
      </c>
      <c r="E2238" s="4" t="s">
        <v>25</v>
      </c>
      <c r="F2238" s="4" t="s">
        <v>25</v>
      </c>
      <c r="G2238" s="4" t="s">
        <v>25</v>
      </c>
      <c r="H2238" s="4" t="s">
        <v>25</v>
      </c>
      <c r="I2238" s="5">
        <v>43922</v>
      </c>
      <c r="J2238" s="6">
        <v>0</v>
      </c>
      <c r="K2238" s="6">
        <v>0</v>
      </c>
      <c r="L2238" s="6">
        <v>29.655999999999999</v>
      </c>
      <c r="M2238" s="6">
        <v>29.655999999999999</v>
      </c>
      <c r="N2238" s="6">
        <v>29.655999999999999</v>
      </c>
      <c r="O2238" s="6">
        <v>29.655999999999999</v>
      </c>
      <c r="P2238" s="6">
        <v>3</v>
      </c>
      <c r="Q2238" s="4" t="s">
        <v>26</v>
      </c>
      <c r="R2238" s="4">
        <v>0</v>
      </c>
      <c r="S2238" s="4" t="s">
        <v>629</v>
      </c>
      <c r="T2238" s="4" t="s">
        <v>936</v>
      </c>
      <c r="U2238" s="4">
        <v>0</v>
      </c>
      <c r="V2238" s="4">
        <v>73</v>
      </c>
      <c r="W2238" s="4">
        <v>116</v>
      </c>
    </row>
    <row r="2239" spans="1:23" ht="11.25" customHeight="1" x14ac:dyDescent="0.25">
      <c r="A2239" s="4" t="s">
        <v>28</v>
      </c>
      <c r="B2239" s="4" t="s">
        <v>39</v>
      </c>
      <c r="C2239" s="4" t="s">
        <v>23</v>
      </c>
      <c r="D2239" s="4" t="s">
        <v>48</v>
      </c>
      <c r="E2239" s="4" t="s">
        <v>25</v>
      </c>
      <c r="F2239" s="4" t="s">
        <v>25</v>
      </c>
      <c r="G2239" s="4" t="s">
        <v>25</v>
      </c>
      <c r="H2239" s="4" t="s">
        <v>25</v>
      </c>
      <c r="I2239" s="5">
        <v>43922</v>
      </c>
      <c r="J2239" s="6">
        <v>0</v>
      </c>
      <c r="K2239" s="6">
        <v>0</v>
      </c>
      <c r="L2239" s="6">
        <v>148</v>
      </c>
      <c r="M2239" s="6">
        <v>148</v>
      </c>
      <c r="N2239" s="6">
        <v>148</v>
      </c>
      <c r="O2239" s="6">
        <v>148</v>
      </c>
      <c r="P2239" s="6">
        <v>1</v>
      </c>
      <c r="Q2239" s="4" t="s">
        <v>26</v>
      </c>
      <c r="R2239" s="4">
        <v>0</v>
      </c>
      <c r="S2239" s="4" t="s">
        <v>629</v>
      </c>
      <c r="T2239" s="4" t="s">
        <v>936</v>
      </c>
      <c r="U2239" s="4">
        <v>0</v>
      </c>
      <c r="V2239" s="4">
        <v>73</v>
      </c>
      <c r="W2239" s="4">
        <v>116</v>
      </c>
    </row>
    <row r="2240" spans="1:23" ht="11.25" customHeight="1" x14ac:dyDescent="0.25">
      <c r="A2240" s="4" t="s">
        <v>21</v>
      </c>
      <c r="B2240" s="4" t="s">
        <v>39</v>
      </c>
      <c r="C2240" s="4" t="s">
        <v>23</v>
      </c>
      <c r="D2240" s="4" t="s">
        <v>48</v>
      </c>
      <c r="E2240" s="4" t="s">
        <v>25</v>
      </c>
      <c r="F2240" s="4" t="s">
        <v>25</v>
      </c>
      <c r="G2240" s="4" t="s">
        <v>25</v>
      </c>
      <c r="H2240" s="4" t="s">
        <v>25</v>
      </c>
      <c r="I2240" s="5">
        <v>43952</v>
      </c>
      <c r="J2240" s="6">
        <v>0</v>
      </c>
      <c r="K2240" s="6">
        <v>0</v>
      </c>
      <c r="L2240" s="6">
        <v>6245.4560000000001</v>
      </c>
      <c r="M2240" s="6">
        <v>6245.4560000000001</v>
      </c>
      <c r="N2240" s="6">
        <v>6245.4560000000001</v>
      </c>
      <c r="O2240" s="6">
        <v>6245.4560000000001</v>
      </c>
      <c r="P2240" s="6">
        <v>5573</v>
      </c>
      <c r="Q2240" s="4" t="s">
        <v>26</v>
      </c>
      <c r="R2240" s="4">
        <v>0</v>
      </c>
      <c r="S2240" s="4" t="s">
        <v>630</v>
      </c>
      <c r="T2240" s="4" t="s">
        <v>937</v>
      </c>
      <c r="U2240" s="4">
        <v>0</v>
      </c>
      <c r="V2240" s="4">
        <v>73</v>
      </c>
      <c r="W2240" s="4">
        <v>116</v>
      </c>
    </row>
    <row r="2241" spans="1:23" ht="11.25" customHeight="1" x14ac:dyDescent="0.25">
      <c r="A2241" s="4" t="s">
        <v>27</v>
      </c>
      <c r="B2241" s="4" t="s">
        <v>39</v>
      </c>
      <c r="C2241" s="4" t="s">
        <v>23</v>
      </c>
      <c r="D2241" s="4" t="s">
        <v>48</v>
      </c>
      <c r="E2241" s="4" t="s">
        <v>25</v>
      </c>
      <c r="F2241" s="4" t="s">
        <v>25</v>
      </c>
      <c r="G2241" s="4" t="s">
        <v>25</v>
      </c>
      <c r="H2241" s="4" t="s">
        <v>25</v>
      </c>
      <c r="I2241" s="5">
        <v>43952</v>
      </c>
      <c r="J2241" s="6">
        <v>0</v>
      </c>
      <c r="K2241" s="6">
        <v>0</v>
      </c>
      <c r="L2241" s="6">
        <v>10.532</v>
      </c>
      <c r="M2241" s="6">
        <v>10.532</v>
      </c>
      <c r="N2241" s="6">
        <v>10.532</v>
      </c>
      <c r="O2241" s="6">
        <v>10.532</v>
      </c>
      <c r="P2241" s="6">
        <v>3</v>
      </c>
      <c r="Q2241" s="4" t="s">
        <v>26</v>
      </c>
      <c r="R2241" s="4">
        <v>0</v>
      </c>
      <c r="S2241" s="4" t="s">
        <v>630</v>
      </c>
      <c r="T2241" s="4" t="s">
        <v>937</v>
      </c>
      <c r="U2241" s="4">
        <v>0</v>
      </c>
      <c r="V2241" s="4">
        <v>73</v>
      </c>
      <c r="W2241" s="4">
        <v>116</v>
      </c>
    </row>
    <row r="2242" spans="1:23" ht="11.25" customHeight="1" x14ac:dyDescent="0.25">
      <c r="A2242" s="4" t="s">
        <v>28</v>
      </c>
      <c r="B2242" s="4" t="s">
        <v>39</v>
      </c>
      <c r="C2242" s="4" t="s">
        <v>23</v>
      </c>
      <c r="D2242" s="4" t="s">
        <v>48</v>
      </c>
      <c r="E2242" s="4" t="s">
        <v>25</v>
      </c>
      <c r="F2242" s="4" t="s">
        <v>25</v>
      </c>
      <c r="G2242" s="4" t="s">
        <v>25</v>
      </c>
      <c r="H2242" s="4" t="s">
        <v>25</v>
      </c>
      <c r="I2242" s="5">
        <v>43952</v>
      </c>
      <c r="J2242" s="6">
        <v>0</v>
      </c>
      <c r="K2242" s="6">
        <v>0</v>
      </c>
      <c r="L2242" s="6">
        <v>74.325999999999993</v>
      </c>
      <c r="M2242" s="6">
        <v>74.325999999999993</v>
      </c>
      <c r="N2242" s="6">
        <v>74.325999999999993</v>
      </c>
      <c r="O2242" s="6">
        <v>74.325999999999993</v>
      </c>
      <c r="P2242" s="6">
        <v>4</v>
      </c>
      <c r="Q2242" s="4" t="s">
        <v>26</v>
      </c>
      <c r="R2242" s="4">
        <v>0</v>
      </c>
      <c r="S2242" s="4" t="s">
        <v>630</v>
      </c>
      <c r="T2242" s="4" t="s">
        <v>937</v>
      </c>
      <c r="U2242" s="4">
        <v>0</v>
      </c>
      <c r="V2242" s="4">
        <v>73</v>
      </c>
      <c r="W2242" s="4">
        <v>116</v>
      </c>
    </row>
    <row r="2243" spans="1:23" ht="11.25" customHeight="1" x14ac:dyDescent="0.25">
      <c r="A2243" s="4" t="s">
        <v>21</v>
      </c>
      <c r="B2243" s="4" t="s">
        <v>39</v>
      </c>
      <c r="C2243" s="4" t="s">
        <v>23</v>
      </c>
      <c r="D2243" s="4" t="s">
        <v>48</v>
      </c>
      <c r="E2243" s="4" t="s">
        <v>25</v>
      </c>
      <c r="F2243" s="4" t="s">
        <v>25</v>
      </c>
      <c r="G2243" s="4" t="s">
        <v>25</v>
      </c>
      <c r="H2243" s="4" t="s">
        <v>25</v>
      </c>
      <c r="I2243" s="5">
        <v>43983</v>
      </c>
      <c r="J2243" s="6">
        <v>0</v>
      </c>
      <c r="K2243" s="6">
        <v>0</v>
      </c>
      <c r="L2243" s="6">
        <v>5249.43</v>
      </c>
      <c r="M2243" s="6">
        <v>5249.43</v>
      </c>
      <c r="N2243" s="6">
        <v>5249.43</v>
      </c>
      <c r="O2243" s="6">
        <v>5249.43</v>
      </c>
      <c r="P2243" s="6">
        <v>5554</v>
      </c>
      <c r="Q2243" s="4" t="s">
        <v>26</v>
      </c>
      <c r="R2243" s="4">
        <v>0</v>
      </c>
      <c r="S2243" s="4" t="s">
        <v>631</v>
      </c>
      <c r="T2243" s="4" t="s">
        <v>938</v>
      </c>
      <c r="U2243" s="4">
        <v>0</v>
      </c>
      <c r="V2243" s="4">
        <v>73</v>
      </c>
      <c r="W2243" s="4">
        <v>116</v>
      </c>
    </row>
    <row r="2244" spans="1:23" ht="11.25" customHeight="1" x14ac:dyDescent="0.25">
      <c r="A2244" s="4" t="s">
        <v>27</v>
      </c>
      <c r="B2244" s="4" t="s">
        <v>39</v>
      </c>
      <c r="C2244" s="4" t="s">
        <v>23</v>
      </c>
      <c r="D2244" s="4" t="s">
        <v>48</v>
      </c>
      <c r="E2244" s="4" t="s">
        <v>25</v>
      </c>
      <c r="F2244" s="4" t="s">
        <v>25</v>
      </c>
      <c r="G2244" s="4" t="s">
        <v>25</v>
      </c>
      <c r="H2244" s="4" t="s">
        <v>25</v>
      </c>
      <c r="I2244" s="5">
        <v>43983</v>
      </c>
      <c r="J2244" s="6">
        <v>0</v>
      </c>
      <c r="K2244" s="6">
        <v>0</v>
      </c>
      <c r="L2244" s="6">
        <v>16.440000000000001</v>
      </c>
      <c r="M2244" s="6">
        <v>16.440000000000001</v>
      </c>
      <c r="N2244" s="6">
        <v>16.440000000000001</v>
      </c>
      <c r="O2244" s="6">
        <v>16.440000000000001</v>
      </c>
      <c r="P2244" s="6">
        <v>10</v>
      </c>
      <c r="Q2244" s="4" t="s">
        <v>26</v>
      </c>
      <c r="R2244" s="4">
        <v>0</v>
      </c>
      <c r="S2244" s="4" t="s">
        <v>631</v>
      </c>
      <c r="T2244" s="4" t="s">
        <v>938</v>
      </c>
      <c r="U2244" s="4">
        <v>0</v>
      </c>
      <c r="V2244" s="4">
        <v>73</v>
      </c>
      <c r="W2244" s="4">
        <v>116</v>
      </c>
    </row>
    <row r="2245" spans="1:23" ht="11.25" customHeight="1" x14ac:dyDescent="0.25">
      <c r="A2245" s="4" t="s">
        <v>28</v>
      </c>
      <c r="B2245" s="4" t="s">
        <v>39</v>
      </c>
      <c r="C2245" s="4" t="s">
        <v>23</v>
      </c>
      <c r="D2245" s="4" t="s">
        <v>48</v>
      </c>
      <c r="E2245" s="4" t="s">
        <v>25</v>
      </c>
      <c r="F2245" s="4" t="s">
        <v>25</v>
      </c>
      <c r="G2245" s="4" t="s">
        <v>25</v>
      </c>
      <c r="H2245" s="4" t="s">
        <v>25</v>
      </c>
      <c r="I2245" s="5">
        <v>43983</v>
      </c>
      <c r="J2245" s="6">
        <v>0</v>
      </c>
      <c r="K2245" s="6">
        <v>0</v>
      </c>
      <c r="L2245" s="6">
        <v>70.025000000000006</v>
      </c>
      <c r="M2245" s="6">
        <v>70.025000000000006</v>
      </c>
      <c r="N2245" s="6">
        <v>70.025000000000006</v>
      </c>
      <c r="O2245" s="6">
        <v>70.025000000000006</v>
      </c>
      <c r="P2245" s="6">
        <v>4</v>
      </c>
      <c r="Q2245" s="4" t="s">
        <v>26</v>
      </c>
      <c r="R2245" s="4">
        <v>0</v>
      </c>
      <c r="S2245" s="4" t="s">
        <v>631</v>
      </c>
      <c r="T2245" s="4" t="s">
        <v>938</v>
      </c>
      <c r="U2245" s="4">
        <v>0</v>
      </c>
      <c r="V2245" s="4">
        <v>73</v>
      </c>
      <c r="W2245" s="4">
        <v>116</v>
      </c>
    </row>
    <row r="2246" spans="1:23" ht="11.25" customHeight="1" x14ac:dyDescent="0.25">
      <c r="A2246" s="4" t="s">
        <v>21</v>
      </c>
      <c r="B2246" s="4" t="s">
        <v>39</v>
      </c>
      <c r="C2246" s="4" t="s">
        <v>23</v>
      </c>
      <c r="D2246" s="4" t="s">
        <v>48</v>
      </c>
      <c r="E2246" s="4" t="s">
        <v>25</v>
      </c>
      <c r="F2246" s="4" t="s">
        <v>25</v>
      </c>
      <c r="G2246" s="4" t="s">
        <v>25</v>
      </c>
      <c r="H2246" s="4" t="s">
        <v>25</v>
      </c>
      <c r="I2246" s="5">
        <v>44013</v>
      </c>
      <c r="J2246" s="6">
        <v>0</v>
      </c>
      <c r="K2246" s="6">
        <v>0</v>
      </c>
      <c r="L2246" s="6">
        <v>5720.201</v>
      </c>
      <c r="M2246" s="6">
        <v>5720.201</v>
      </c>
      <c r="N2246" s="6">
        <v>5720.201</v>
      </c>
      <c r="O2246" s="6">
        <v>5720.201</v>
      </c>
      <c r="P2246" s="6">
        <v>5536</v>
      </c>
      <c r="Q2246" s="4" t="s">
        <v>26</v>
      </c>
      <c r="R2246" s="4">
        <v>0</v>
      </c>
      <c r="S2246" s="4" t="s">
        <v>632</v>
      </c>
      <c r="T2246" s="4" t="s">
        <v>939</v>
      </c>
      <c r="U2246" s="4">
        <v>0</v>
      </c>
      <c r="V2246" s="4">
        <v>73</v>
      </c>
      <c r="W2246" s="4">
        <v>116</v>
      </c>
    </row>
    <row r="2247" spans="1:23" ht="11.25" customHeight="1" x14ac:dyDescent="0.25">
      <c r="A2247" s="4" t="s">
        <v>27</v>
      </c>
      <c r="B2247" s="4" t="s">
        <v>39</v>
      </c>
      <c r="C2247" s="4" t="s">
        <v>23</v>
      </c>
      <c r="D2247" s="4" t="s">
        <v>48</v>
      </c>
      <c r="E2247" s="4" t="s">
        <v>25</v>
      </c>
      <c r="F2247" s="4" t="s">
        <v>25</v>
      </c>
      <c r="G2247" s="4" t="s">
        <v>25</v>
      </c>
      <c r="H2247" s="4" t="s">
        <v>25</v>
      </c>
      <c r="I2247" s="5">
        <v>44013</v>
      </c>
      <c r="J2247" s="6">
        <v>0</v>
      </c>
      <c r="K2247" s="6">
        <v>0</v>
      </c>
      <c r="L2247" s="6">
        <v>1.9</v>
      </c>
      <c r="M2247" s="6">
        <v>1.9</v>
      </c>
      <c r="N2247" s="6">
        <v>1.9</v>
      </c>
      <c r="O2247" s="6">
        <v>1.9</v>
      </c>
      <c r="P2247" s="6">
        <v>1</v>
      </c>
      <c r="Q2247" s="4" t="s">
        <v>26</v>
      </c>
      <c r="R2247" s="4">
        <v>0</v>
      </c>
      <c r="S2247" s="4" t="s">
        <v>632</v>
      </c>
      <c r="T2247" s="4" t="s">
        <v>939</v>
      </c>
      <c r="U2247" s="4">
        <v>0</v>
      </c>
      <c r="V2247" s="4">
        <v>73</v>
      </c>
      <c r="W2247" s="4">
        <v>116</v>
      </c>
    </row>
    <row r="2248" spans="1:23" ht="11.25" customHeight="1" x14ac:dyDescent="0.25">
      <c r="A2248" s="4" t="s">
        <v>28</v>
      </c>
      <c r="B2248" s="4" t="s">
        <v>39</v>
      </c>
      <c r="C2248" s="4" t="s">
        <v>23</v>
      </c>
      <c r="D2248" s="4" t="s">
        <v>48</v>
      </c>
      <c r="E2248" s="4" t="s">
        <v>25</v>
      </c>
      <c r="F2248" s="4" t="s">
        <v>25</v>
      </c>
      <c r="G2248" s="4" t="s">
        <v>25</v>
      </c>
      <c r="H2248" s="4" t="s">
        <v>25</v>
      </c>
      <c r="I2248" s="5">
        <v>44013</v>
      </c>
      <c r="J2248" s="6">
        <v>0</v>
      </c>
      <c r="K2248" s="6">
        <v>0</v>
      </c>
      <c r="L2248" s="6">
        <v>61.860999999999997</v>
      </c>
      <c r="M2248" s="6">
        <v>61.860999999999997</v>
      </c>
      <c r="N2248" s="6">
        <v>61.860999999999997</v>
      </c>
      <c r="O2248" s="6">
        <v>61.860999999999997</v>
      </c>
      <c r="P2248" s="6">
        <v>5</v>
      </c>
      <c r="Q2248" s="4" t="s">
        <v>26</v>
      </c>
      <c r="R2248" s="4">
        <v>0</v>
      </c>
      <c r="S2248" s="4" t="s">
        <v>632</v>
      </c>
      <c r="T2248" s="4" t="s">
        <v>939</v>
      </c>
      <c r="U2248" s="4">
        <v>0</v>
      </c>
      <c r="V2248" s="4">
        <v>73</v>
      </c>
      <c r="W2248" s="4">
        <v>116</v>
      </c>
    </row>
    <row r="2249" spans="1:23" ht="11.25" customHeight="1" x14ac:dyDescent="0.25">
      <c r="A2249" s="4" t="s">
        <v>21</v>
      </c>
      <c r="B2249" s="4" t="s">
        <v>39</v>
      </c>
      <c r="C2249" s="4" t="s">
        <v>23</v>
      </c>
      <c r="D2249" s="4" t="s">
        <v>48</v>
      </c>
      <c r="E2249" s="4" t="s">
        <v>25</v>
      </c>
      <c r="F2249" s="4" t="s">
        <v>25</v>
      </c>
      <c r="G2249" s="4" t="s">
        <v>25</v>
      </c>
      <c r="H2249" s="4" t="s">
        <v>25</v>
      </c>
      <c r="I2249" s="5">
        <v>44044</v>
      </c>
      <c r="J2249" s="6">
        <v>0</v>
      </c>
      <c r="K2249" s="6">
        <v>0</v>
      </c>
      <c r="L2249" s="6">
        <v>5865.5519999999997</v>
      </c>
      <c r="M2249" s="6">
        <v>5865.5519999999997</v>
      </c>
      <c r="N2249" s="6">
        <v>5865.5519999999997</v>
      </c>
      <c r="O2249" s="6">
        <v>5865.5519999999997</v>
      </c>
      <c r="P2249" s="6">
        <v>5565</v>
      </c>
      <c r="Q2249" s="4" t="s">
        <v>26</v>
      </c>
      <c r="R2249" s="4">
        <v>0</v>
      </c>
      <c r="S2249" s="4" t="s">
        <v>633</v>
      </c>
      <c r="T2249" s="4" t="s">
        <v>940</v>
      </c>
      <c r="U2249" s="4">
        <v>0</v>
      </c>
      <c r="V2249" s="4">
        <v>73</v>
      </c>
      <c r="W2249" s="4">
        <v>116</v>
      </c>
    </row>
    <row r="2250" spans="1:23" ht="11.25" customHeight="1" x14ac:dyDescent="0.25">
      <c r="A2250" s="4" t="s">
        <v>27</v>
      </c>
      <c r="B2250" s="4" t="s">
        <v>39</v>
      </c>
      <c r="C2250" s="4" t="s">
        <v>23</v>
      </c>
      <c r="D2250" s="4" t="s">
        <v>48</v>
      </c>
      <c r="E2250" s="4" t="s">
        <v>25</v>
      </c>
      <c r="F2250" s="4" t="s">
        <v>25</v>
      </c>
      <c r="G2250" s="4" t="s">
        <v>25</v>
      </c>
      <c r="H2250" s="4" t="s">
        <v>25</v>
      </c>
      <c r="I2250" s="5">
        <v>44044</v>
      </c>
      <c r="J2250" s="6">
        <v>0</v>
      </c>
      <c r="K2250" s="6">
        <v>0</v>
      </c>
      <c r="L2250" s="6">
        <v>15.702</v>
      </c>
      <c r="M2250" s="6">
        <v>15.702</v>
      </c>
      <c r="N2250" s="6">
        <v>15.702</v>
      </c>
      <c r="O2250" s="6">
        <v>15.702</v>
      </c>
      <c r="P2250" s="6">
        <v>3</v>
      </c>
      <c r="Q2250" s="4" t="s">
        <v>26</v>
      </c>
      <c r="R2250" s="4">
        <v>0</v>
      </c>
      <c r="S2250" s="4" t="s">
        <v>633</v>
      </c>
      <c r="T2250" s="4" t="s">
        <v>940</v>
      </c>
      <c r="U2250" s="4">
        <v>0</v>
      </c>
      <c r="V2250" s="4">
        <v>73</v>
      </c>
      <c r="W2250" s="4">
        <v>116</v>
      </c>
    </row>
    <row r="2251" spans="1:23" ht="11.25" customHeight="1" x14ac:dyDescent="0.25">
      <c r="A2251" s="4" t="s">
        <v>28</v>
      </c>
      <c r="B2251" s="4" t="s">
        <v>39</v>
      </c>
      <c r="C2251" s="4" t="s">
        <v>23</v>
      </c>
      <c r="D2251" s="4" t="s">
        <v>48</v>
      </c>
      <c r="E2251" s="4" t="s">
        <v>25</v>
      </c>
      <c r="F2251" s="4" t="s">
        <v>25</v>
      </c>
      <c r="G2251" s="4" t="s">
        <v>25</v>
      </c>
      <c r="H2251" s="4" t="s">
        <v>25</v>
      </c>
      <c r="I2251" s="5">
        <v>44044</v>
      </c>
      <c r="J2251" s="6">
        <v>0</v>
      </c>
      <c r="K2251" s="6">
        <v>0</v>
      </c>
      <c r="L2251" s="6">
        <v>69.778000000000006</v>
      </c>
      <c r="M2251" s="6">
        <v>69.778000000000006</v>
      </c>
      <c r="N2251" s="6">
        <v>69.778000000000006</v>
      </c>
      <c r="O2251" s="6">
        <v>69.778000000000006</v>
      </c>
      <c r="P2251" s="6">
        <v>4</v>
      </c>
      <c r="Q2251" s="4" t="s">
        <v>26</v>
      </c>
      <c r="R2251" s="4">
        <v>0</v>
      </c>
      <c r="S2251" s="4" t="s">
        <v>633</v>
      </c>
      <c r="T2251" s="4" t="s">
        <v>940</v>
      </c>
      <c r="U2251" s="4">
        <v>0</v>
      </c>
      <c r="V2251" s="4">
        <v>73</v>
      </c>
      <c r="W2251" s="4">
        <v>116</v>
      </c>
    </row>
    <row r="2252" spans="1:23" ht="11.25" customHeight="1" x14ac:dyDescent="0.25">
      <c r="A2252" s="4" t="s">
        <v>59</v>
      </c>
      <c r="B2252" s="4" t="s">
        <v>39</v>
      </c>
      <c r="C2252" s="4" t="s">
        <v>23</v>
      </c>
      <c r="D2252" s="4" t="s">
        <v>48</v>
      </c>
      <c r="E2252" s="4" t="s">
        <v>25</v>
      </c>
      <c r="F2252" s="4" t="s">
        <v>25</v>
      </c>
      <c r="G2252" s="4" t="s">
        <v>25</v>
      </c>
      <c r="H2252" s="4" t="s">
        <v>25</v>
      </c>
      <c r="I2252" s="5">
        <v>44075</v>
      </c>
      <c r="J2252" s="6">
        <v>0</v>
      </c>
      <c r="K2252" s="6">
        <v>0</v>
      </c>
      <c r="L2252" s="6">
        <v>5865.5519999999997</v>
      </c>
      <c r="M2252" s="6">
        <v>5865.5519999999997</v>
      </c>
      <c r="N2252" s="6">
        <v>5865.5519999999997</v>
      </c>
      <c r="O2252" s="6">
        <v>5865.5519999999997</v>
      </c>
      <c r="P2252" s="6">
        <v>5565</v>
      </c>
      <c r="Q2252" s="4" t="s">
        <v>26</v>
      </c>
      <c r="R2252" s="4">
        <v>0</v>
      </c>
      <c r="S2252" s="4" t="s">
        <v>634</v>
      </c>
      <c r="T2252" s="4" t="s">
        <v>941</v>
      </c>
      <c r="U2252" s="4">
        <v>0</v>
      </c>
      <c r="V2252" s="4">
        <v>73</v>
      </c>
      <c r="W2252" s="4">
        <v>116</v>
      </c>
    </row>
    <row r="2253" spans="1:23" ht="11.25" customHeight="1" x14ac:dyDescent="0.25">
      <c r="A2253" s="4" t="s">
        <v>59</v>
      </c>
      <c r="B2253" s="4" t="s">
        <v>39</v>
      </c>
      <c r="C2253" s="4" t="s">
        <v>23</v>
      </c>
      <c r="D2253" s="4" t="s">
        <v>48</v>
      </c>
      <c r="E2253" s="4" t="s">
        <v>25</v>
      </c>
      <c r="F2253" s="4" t="s">
        <v>25</v>
      </c>
      <c r="G2253" s="4" t="s">
        <v>25</v>
      </c>
      <c r="H2253" s="4" t="s">
        <v>25</v>
      </c>
      <c r="I2253" s="5">
        <v>44075</v>
      </c>
      <c r="J2253" s="6">
        <v>0</v>
      </c>
      <c r="K2253" s="6">
        <v>0</v>
      </c>
      <c r="L2253" s="6">
        <v>15.702</v>
      </c>
      <c r="M2253" s="6">
        <v>15.702</v>
      </c>
      <c r="N2253" s="6">
        <v>15.702</v>
      </c>
      <c r="O2253" s="6">
        <v>15.702</v>
      </c>
      <c r="P2253" s="6">
        <v>3</v>
      </c>
      <c r="Q2253" s="4" t="s">
        <v>26</v>
      </c>
      <c r="R2253" s="4">
        <v>0</v>
      </c>
      <c r="S2253" s="4" t="s">
        <v>634</v>
      </c>
      <c r="T2253" s="4" t="s">
        <v>941</v>
      </c>
      <c r="U2253" s="4">
        <v>0</v>
      </c>
      <c r="V2253" s="4">
        <v>73</v>
      </c>
      <c r="W2253" s="4">
        <v>116</v>
      </c>
    </row>
    <row r="2254" spans="1:23" ht="11.25" customHeight="1" x14ac:dyDescent="0.25">
      <c r="A2254" s="4" t="s">
        <v>59</v>
      </c>
      <c r="B2254" s="4" t="s">
        <v>39</v>
      </c>
      <c r="C2254" s="4" t="s">
        <v>23</v>
      </c>
      <c r="D2254" s="4" t="s">
        <v>48</v>
      </c>
      <c r="E2254" s="4" t="s">
        <v>25</v>
      </c>
      <c r="F2254" s="4" t="s">
        <v>25</v>
      </c>
      <c r="G2254" s="4" t="s">
        <v>25</v>
      </c>
      <c r="H2254" s="4" t="s">
        <v>25</v>
      </c>
      <c r="I2254" s="5">
        <v>44075</v>
      </c>
      <c r="J2254" s="6">
        <v>0</v>
      </c>
      <c r="K2254" s="6">
        <v>0</v>
      </c>
      <c r="L2254" s="6">
        <v>69.778000000000006</v>
      </c>
      <c r="M2254" s="6">
        <v>69.778000000000006</v>
      </c>
      <c r="N2254" s="6">
        <v>69.778000000000006</v>
      </c>
      <c r="O2254" s="6">
        <v>69.778000000000006</v>
      </c>
      <c r="P2254" s="6">
        <v>4</v>
      </c>
      <c r="Q2254" s="4" t="s">
        <v>26</v>
      </c>
      <c r="R2254" s="4">
        <v>0</v>
      </c>
      <c r="S2254" s="4" t="s">
        <v>634</v>
      </c>
      <c r="T2254" s="4" t="s">
        <v>941</v>
      </c>
      <c r="U2254" s="4">
        <v>0</v>
      </c>
      <c r="V2254" s="4">
        <v>73</v>
      </c>
      <c r="W2254" s="4">
        <v>116</v>
      </c>
    </row>
    <row r="2255" spans="1:23" ht="11.25" customHeight="1" x14ac:dyDescent="0.25">
      <c r="A2255" s="4" t="s">
        <v>21</v>
      </c>
      <c r="B2255" s="4" t="s">
        <v>39</v>
      </c>
      <c r="C2255" s="4" t="s">
        <v>23</v>
      </c>
      <c r="D2255" s="4" t="s">
        <v>52</v>
      </c>
      <c r="E2255" s="4" t="s">
        <v>53</v>
      </c>
      <c r="F2255" s="4" t="s">
        <v>25</v>
      </c>
      <c r="G2255" s="4" t="s">
        <v>25</v>
      </c>
      <c r="H2255" s="4" t="s">
        <v>25</v>
      </c>
      <c r="I2255" s="5">
        <v>43739</v>
      </c>
      <c r="J2255" s="6">
        <v>0</v>
      </c>
      <c r="K2255" s="6">
        <v>0</v>
      </c>
      <c r="L2255" s="6">
        <v>912.68499999999995</v>
      </c>
      <c r="M2255" s="6">
        <v>803.16279999999995</v>
      </c>
      <c r="N2255" s="6">
        <v>912.68499999999995</v>
      </c>
      <c r="O2255" s="6">
        <v>803.16279999999995</v>
      </c>
      <c r="P2255" s="6">
        <v>251</v>
      </c>
      <c r="Q2255" s="4" t="s">
        <v>26</v>
      </c>
      <c r="R2255" s="4">
        <v>0</v>
      </c>
      <c r="S2255" s="4" t="s">
        <v>623</v>
      </c>
      <c r="T2255" s="4" t="s">
        <v>930</v>
      </c>
      <c r="U2255" s="4">
        <v>0</v>
      </c>
      <c r="V2255" s="4">
        <v>73</v>
      </c>
      <c r="W2255" s="4">
        <v>116</v>
      </c>
    </row>
    <row r="2256" spans="1:23" ht="11.25" customHeight="1" x14ac:dyDescent="0.25">
      <c r="A2256" s="4" t="s">
        <v>27</v>
      </c>
      <c r="B2256" s="4" t="s">
        <v>39</v>
      </c>
      <c r="C2256" s="4" t="s">
        <v>23</v>
      </c>
      <c r="D2256" s="4" t="s">
        <v>52</v>
      </c>
      <c r="E2256" s="4" t="s">
        <v>53</v>
      </c>
      <c r="F2256" s="4" t="s">
        <v>25</v>
      </c>
      <c r="G2256" s="4" t="s">
        <v>25</v>
      </c>
      <c r="H2256" s="4" t="s">
        <v>25</v>
      </c>
      <c r="I2256" s="5">
        <v>43739</v>
      </c>
      <c r="J2256" s="6">
        <v>0</v>
      </c>
      <c r="K2256" s="6">
        <v>0</v>
      </c>
      <c r="L2256" s="6">
        <v>6.5819999999999999</v>
      </c>
      <c r="M2256" s="6">
        <v>5.79216</v>
      </c>
      <c r="N2256" s="6">
        <v>6.5819999999999999</v>
      </c>
      <c r="O2256" s="6">
        <v>5.79216</v>
      </c>
      <c r="P2256" s="6">
        <v>0</v>
      </c>
      <c r="Q2256" s="4" t="s">
        <v>26</v>
      </c>
      <c r="R2256" s="4">
        <v>0</v>
      </c>
      <c r="S2256" s="4" t="s">
        <v>623</v>
      </c>
      <c r="T2256" s="4" t="s">
        <v>930</v>
      </c>
      <c r="U2256" s="4">
        <v>0</v>
      </c>
      <c r="V2256" s="4">
        <v>73</v>
      </c>
      <c r="W2256" s="4">
        <v>116</v>
      </c>
    </row>
    <row r="2257" spans="1:23" ht="11.25" customHeight="1" x14ac:dyDescent="0.25">
      <c r="A2257" s="4" t="s">
        <v>21</v>
      </c>
      <c r="B2257" s="4" t="s">
        <v>39</v>
      </c>
      <c r="C2257" s="4" t="s">
        <v>23</v>
      </c>
      <c r="D2257" s="4" t="s">
        <v>52</v>
      </c>
      <c r="E2257" s="4" t="s">
        <v>53</v>
      </c>
      <c r="F2257" s="4" t="s">
        <v>25</v>
      </c>
      <c r="G2257" s="4" t="s">
        <v>25</v>
      </c>
      <c r="H2257" s="4" t="s">
        <v>25</v>
      </c>
      <c r="I2257" s="5">
        <v>43770</v>
      </c>
      <c r="J2257" s="6">
        <v>0</v>
      </c>
      <c r="K2257" s="6">
        <v>0</v>
      </c>
      <c r="L2257" s="6">
        <v>988.85699999999997</v>
      </c>
      <c r="M2257" s="6">
        <v>870.19416000000001</v>
      </c>
      <c r="N2257" s="6">
        <v>988.85699999999997</v>
      </c>
      <c r="O2257" s="6">
        <v>870.19416000000001</v>
      </c>
      <c r="P2257" s="6">
        <v>251</v>
      </c>
      <c r="Q2257" s="4" t="s">
        <v>26</v>
      </c>
      <c r="R2257" s="4">
        <v>0</v>
      </c>
      <c r="S2257" s="4" t="s">
        <v>624</v>
      </c>
      <c r="T2257" s="4" t="s">
        <v>931</v>
      </c>
      <c r="U2257" s="4">
        <v>0</v>
      </c>
      <c r="V2257" s="4">
        <v>73</v>
      </c>
      <c r="W2257" s="4">
        <v>116</v>
      </c>
    </row>
    <row r="2258" spans="1:23" ht="11.25" customHeight="1" x14ac:dyDescent="0.25">
      <c r="A2258" s="4" t="s">
        <v>21</v>
      </c>
      <c r="B2258" s="4" t="s">
        <v>39</v>
      </c>
      <c r="C2258" s="4" t="s">
        <v>23</v>
      </c>
      <c r="D2258" s="4" t="s">
        <v>52</v>
      </c>
      <c r="E2258" s="4" t="s">
        <v>53</v>
      </c>
      <c r="F2258" s="4" t="s">
        <v>25</v>
      </c>
      <c r="G2258" s="4" t="s">
        <v>25</v>
      </c>
      <c r="H2258" s="4" t="s">
        <v>25</v>
      </c>
      <c r="I2258" s="5">
        <v>43800</v>
      </c>
      <c r="J2258" s="6">
        <v>0</v>
      </c>
      <c r="K2258" s="6">
        <v>0</v>
      </c>
      <c r="L2258" s="6">
        <v>862.71799999999996</v>
      </c>
      <c r="M2258" s="6">
        <v>759.19183999999996</v>
      </c>
      <c r="N2258" s="6">
        <v>862.71799999999996</v>
      </c>
      <c r="O2258" s="6">
        <v>759.19183999999996</v>
      </c>
      <c r="P2258" s="6">
        <v>251</v>
      </c>
      <c r="Q2258" s="4" t="s">
        <v>26</v>
      </c>
      <c r="R2258" s="4">
        <v>0</v>
      </c>
      <c r="S2258" s="4" t="s">
        <v>625</v>
      </c>
      <c r="T2258" s="4" t="s">
        <v>932</v>
      </c>
      <c r="U2258" s="4">
        <v>0</v>
      </c>
      <c r="V2258" s="4">
        <v>73</v>
      </c>
      <c r="W2258" s="4">
        <v>116</v>
      </c>
    </row>
    <row r="2259" spans="1:23" ht="11.25" customHeight="1" x14ac:dyDescent="0.25">
      <c r="A2259" s="4" t="s">
        <v>21</v>
      </c>
      <c r="B2259" s="4" t="s">
        <v>39</v>
      </c>
      <c r="C2259" s="4" t="s">
        <v>23</v>
      </c>
      <c r="D2259" s="4" t="s">
        <v>52</v>
      </c>
      <c r="E2259" s="4" t="s">
        <v>53</v>
      </c>
      <c r="F2259" s="4" t="s">
        <v>25</v>
      </c>
      <c r="G2259" s="4" t="s">
        <v>25</v>
      </c>
      <c r="H2259" s="4" t="s">
        <v>25</v>
      </c>
      <c r="I2259" s="5">
        <v>43831</v>
      </c>
      <c r="J2259" s="6">
        <v>0</v>
      </c>
      <c r="K2259" s="6">
        <v>0</v>
      </c>
      <c r="L2259" s="6">
        <v>899.73299999999995</v>
      </c>
      <c r="M2259" s="6">
        <v>791.76504</v>
      </c>
      <c r="N2259" s="6">
        <v>899.73299999999995</v>
      </c>
      <c r="O2259" s="6">
        <v>791.76504</v>
      </c>
      <c r="P2259" s="6">
        <v>251</v>
      </c>
      <c r="Q2259" s="4" t="s">
        <v>26</v>
      </c>
      <c r="R2259" s="4">
        <v>0</v>
      </c>
      <c r="S2259" s="4" t="s">
        <v>626</v>
      </c>
      <c r="T2259" s="4" t="s">
        <v>933</v>
      </c>
      <c r="U2259" s="4">
        <v>0</v>
      </c>
      <c r="V2259" s="4">
        <v>73</v>
      </c>
      <c r="W2259" s="4">
        <v>116</v>
      </c>
    </row>
    <row r="2260" spans="1:23" ht="11.25" customHeight="1" x14ac:dyDescent="0.25">
      <c r="A2260" s="4" t="s">
        <v>21</v>
      </c>
      <c r="B2260" s="4" t="s">
        <v>39</v>
      </c>
      <c r="C2260" s="4" t="s">
        <v>23</v>
      </c>
      <c r="D2260" s="4" t="s">
        <v>52</v>
      </c>
      <c r="E2260" s="4" t="s">
        <v>53</v>
      </c>
      <c r="F2260" s="4" t="s">
        <v>25</v>
      </c>
      <c r="G2260" s="4" t="s">
        <v>25</v>
      </c>
      <c r="H2260" s="4" t="s">
        <v>25</v>
      </c>
      <c r="I2260" s="5">
        <v>43862</v>
      </c>
      <c r="J2260" s="6">
        <v>0</v>
      </c>
      <c r="K2260" s="6">
        <v>0</v>
      </c>
      <c r="L2260" s="6">
        <v>837.53399999999999</v>
      </c>
      <c r="M2260" s="6">
        <v>737.02991999999995</v>
      </c>
      <c r="N2260" s="6">
        <v>837.53399999999999</v>
      </c>
      <c r="O2260" s="6">
        <v>737.02991999999995</v>
      </c>
      <c r="P2260" s="6">
        <v>251</v>
      </c>
      <c r="Q2260" s="4" t="s">
        <v>26</v>
      </c>
      <c r="R2260" s="4">
        <v>0</v>
      </c>
      <c r="S2260" s="4" t="s">
        <v>627</v>
      </c>
      <c r="T2260" s="4" t="s">
        <v>934</v>
      </c>
      <c r="U2260" s="4">
        <v>0</v>
      </c>
      <c r="V2260" s="4">
        <v>73</v>
      </c>
      <c r="W2260" s="4">
        <v>116</v>
      </c>
    </row>
    <row r="2261" spans="1:23" ht="11.25" customHeight="1" x14ac:dyDescent="0.25">
      <c r="A2261" s="4" t="s">
        <v>27</v>
      </c>
      <c r="B2261" s="4" t="s">
        <v>39</v>
      </c>
      <c r="C2261" s="4" t="s">
        <v>23</v>
      </c>
      <c r="D2261" s="4" t="s">
        <v>52</v>
      </c>
      <c r="E2261" s="4" t="s">
        <v>53</v>
      </c>
      <c r="F2261" s="4" t="s">
        <v>25</v>
      </c>
      <c r="G2261" s="4" t="s">
        <v>25</v>
      </c>
      <c r="H2261" s="4" t="s">
        <v>25</v>
      </c>
      <c r="I2261" s="5">
        <v>43862</v>
      </c>
      <c r="J2261" s="6">
        <v>0</v>
      </c>
      <c r="K2261" s="6">
        <v>0</v>
      </c>
      <c r="L2261" s="6">
        <v>0.1</v>
      </c>
      <c r="M2261" s="6">
        <v>8.8000000000000009E-2</v>
      </c>
      <c r="N2261" s="6">
        <v>0.1</v>
      </c>
      <c r="O2261" s="6">
        <v>8.8000000000000009E-2</v>
      </c>
      <c r="P2261" s="6">
        <v>0</v>
      </c>
      <c r="Q2261" s="4" t="s">
        <v>26</v>
      </c>
      <c r="R2261" s="4">
        <v>0</v>
      </c>
      <c r="S2261" s="4" t="s">
        <v>627</v>
      </c>
      <c r="T2261" s="4" t="s">
        <v>934</v>
      </c>
      <c r="U2261" s="4">
        <v>0</v>
      </c>
      <c r="V2261" s="4">
        <v>73</v>
      </c>
      <c r="W2261" s="4">
        <v>116</v>
      </c>
    </row>
    <row r="2262" spans="1:23" ht="11.25" customHeight="1" x14ac:dyDescent="0.25">
      <c r="A2262" s="4" t="s">
        <v>21</v>
      </c>
      <c r="B2262" s="4" t="s">
        <v>39</v>
      </c>
      <c r="C2262" s="4" t="s">
        <v>23</v>
      </c>
      <c r="D2262" s="4" t="s">
        <v>52</v>
      </c>
      <c r="E2262" s="4" t="s">
        <v>53</v>
      </c>
      <c r="F2262" s="4" t="s">
        <v>25</v>
      </c>
      <c r="G2262" s="4" t="s">
        <v>25</v>
      </c>
      <c r="H2262" s="4" t="s">
        <v>25</v>
      </c>
      <c r="I2262" s="5">
        <v>43891</v>
      </c>
      <c r="J2262" s="6">
        <v>0</v>
      </c>
      <c r="K2262" s="6">
        <v>0</v>
      </c>
      <c r="L2262" s="6">
        <v>948.73400000000004</v>
      </c>
      <c r="M2262" s="6">
        <v>834.88592000000006</v>
      </c>
      <c r="N2262" s="6">
        <v>948.73400000000004</v>
      </c>
      <c r="O2262" s="6">
        <v>834.88592000000006</v>
      </c>
      <c r="P2262" s="6">
        <v>252</v>
      </c>
      <c r="Q2262" s="4" t="s">
        <v>26</v>
      </c>
      <c r="R2262" s="4">
        <v>0</v>
      </c>
      <c r="S2262" s="4" t="s">
        <v>628</v>
      </c>
      <c r="T2262" s="4" t="s">
        <v>935</v>
      </c>
      <c r="U2262" s="4">
        <v>0</v>
      </c>
      <c r="V2262" s="4">
        <v>73</v>
      </c>
      <c r="W2262" s="4">
        <v>116</v>
      </c>
    </row>
    <row r="2263" spans="1:23" ht="11.25" customHeight="1" x14ac:dyDescent="0.25">
      <c r="A2263" s="4" t="s">
        <v>21</v>
      </c>
      <c r="B2263" s="4" t="s">
        <v>39</v>
      </c>
      <c r="C2263" s="4" t="s">
        <v>23</v>
      </c>
      <c r="D2263" s="4" t="s">
        <v>52</v>
      </c>
      <c r="E2263" s="4" t="s">
        <v>53</v>
      </c>
      <c r="F2263" s="4" t="s">
        <v>25</v>
      </c>
      <c r="G2263" s="4" t="s">
        <v>25</v>
      </c>
      <c r="H2263" s="4" t="s">
        <v>25</v>
      </c>
      <c r="I2263" s="5">
        <v>43922</v>
      </c>
      <c r="J2263" s="6">
        <v>0</v>
      </c>
      <c r="K2263" s="6">
        <v>0</v>
      </c>
      <c r="L2263" s="6">
        <v>931.42600000000004</v>
      </c>
      <c r="M2263" s="6">
        <v>819.65488000000005</v>
      </c>
      <c r="N2263" s="6">
        <v>931.42600000000004</v>
      </c>
      <c r="O2263" s="6">
        <v>819.65488000000005</v>
      </c>
      <c r="P2263" s="6">
        <v>251</v>
      </c>
      <c r="Q2263" s="4" t="s">
        <v>26</v>
      </c>
      <c r="R2263" s="4">
        <v>0</v>
      </c>
      <c r="S2263" s="4" t="s">
        <v>629</v>
      </c>
      <c r="T2263" s="4" t="s">
        <v>936</v>
      </c>
      <c r="U2263" s="4">
        <v>0</v>
      </c>
      <c r="V2263" s="4">
        <v>73</v>
      </c>
      <c r="W2263" s="4">
        <v>116</v>
      </c>
    </row>
    <row r="2264" spans="1:23" ht="11.25" customHeight="1" x14ac:dyDescent="0.25">
      <c r="A2264" s="4" t="s">
        <v>21</v>
      </c>
      <c r="B2264" s="4" t="s">
        <v>39</v>
      </c>
      <c r="C2264" s="4" t="s">
        <v>23</v>
      </c>
      <c r="D2264" s="4" t="s">
        <v>52</v>
      </c>
      <c r="E2264" s="4" t="s">
        <v>53</v>
      </c>
      <c r="F2264" s="4" t="s">
        <v>25</v>
      </c>
      <c r="G2264" s="4" t="s">
        <v>25</v>
      </c>
      <c r="H2264" s="4" t="s">
        <v>25</v>
      </c>
      <c r="I2264" s="5">
        <v>43952</v>
      </c>
      <c r="J2264" s="6">
        <v>0</v>
      </c>
      <c r="K2264" s="6">
        <v>0</v>
      </c>
      <c r="L2264" s="6">
        <v>893.15499999999997</v>
      </c>
      <c r="M2264" s="6">
        <v>785.97640000000001</v>
      </c>
      <c r="N2264" s="6">
        <v>893.15499999999997</v>
      </c>
      <c r="O2264" s="6">
        <v>785.97640000000001</v>
      </c>
      <c r="P2264" s="6">
        <v>251</v>
      </c>
      <c r="Q2264" s="4" t="s">
        <v>26</v>
      </c>
      <c r="R2264" s="4">
        <v>0</v>
      </c>
      <c r="S2264" s="4" t="s">
        <v>630</v>
      </c>
      <c r="T2264" s="4" t="s">
        <v>937</v>
      </c>
      <c r="U2264" s="4">
        <v>0</v>
      </c>
      <c r="V2264" s="4">
        <v>73</v>
      </c>
      <c r="W2264" s="4">
        <v>116</v>
      </c>
    </row>
    <row r="2265" spans="1:23" ht="11.25" customHeight="1" x14ac:dyDescent="0.25">
      <c r="A2265" s="4" t="s">
        <v>21</v>
      </c>
      <c r="B2265" s="4" t="s">
        <v>39</v>
      </c>
      <c r="C2265" s="4" t="s">
        <v>23</v>
      </c>
      <c r="D2265" s="4" t="s">
        <v>52</v>
      </c>
      <c r="E2265" s="4" t="s">
        <v>53</v>
      </c>
      <c r="F2265" s="4" t="s">
        <v>25</v>
      </c>
      <c r="G2265" s="4" t="s">
        <v>25</v>
      </c>
      <c r="H2265" s="4" t="s">
        <v>25</v>
      </c>
      <c r="I2265" s="5">
        <v>43983</v>
      </c>
      <c r="J2265" s="6">
        <v>0</v>
      </c>
      <c r="K2265" s="6">
        <v>0</v>
      </c>
      <c r="L2265" s="6">
        <v>834.61699999999996</v>
      </c>
      <c r="M2265" s="6">
        <v>734.46295999999995</v>
      </c>
      <c r="N2265" s="6">
        <v>834.61699999999996</v>
      </c>
      <c r="O2265" s="6">
        <v>734.46295999999995</v>
      </c>
      <c r="P2265" s="6">
        <v>257</v>
      </c>
      <c r="Q2265" s="4" t="s">
        <v>26</v>
      </c>
      <c r="R2265" s="4">
        <v>0</v>
      </c>
      <c r="S2265" s="4" t="s">
        <v>631</v>
      </c>
      <c r="T2265" s="4" t="s">
        <v>938</v>
      </c>
      <c r="U2265" s="4">
        <v>0</v>
      </c>
      <c r="V2265" s="4">
        <v>73</v>
      </c>
      <c r="W2265" s="4">
        <v>116</v>
      </c>
    </row>
    <row r="2266" spans="1:23" ht="11.25" customHeight="1" x14ac:dyDescent="0.25">
      <c r="A2266" s="4" t="s">
        <v>21</v>
      </c>
      <c r="B2266" s="4" t="s">
        <v>39</v>
      </c>
      <c r="C2266" s="4" t="s">
        <v>23</v>
      </c>
      <c r="D2266" s="4" t="s">
        <v>52</v>
      </c>
      <c r="E2266" s="4" t="s">
        <v>53</v>
      </c>
      <c r="F2266" s="4" t="s">
        <v>25</v>
      </c>
      <c r="G2266" s="4" t="s">
        <v>25</v>
      </c>
      <c r="H2266" s="4" t="s">
        <v>25</v>
      </c>
      <c r="I2266" s="5">
        <v>44013</v>
      </c>
      <c r="J2266" s="6">
        <v>0</v>
      </c>
      <c r="K2266" s="6">
        <v>0</v>
      </c>
      <c r="L2266" s="6">
        <v>938.76499999999999</v>
      </c>
      <c r="M2266" s="6">
        <v>826.11320000000001</v>
      </c>
      <c r="N2266" s="6">
        <v>938.76499999999999</v>
      </c>
      <c r="O2266" s="6">
        <v>826.11320000000001</v>
      </c>
      <c r="P2266" s="6">
        <v>258</v>
      </c>
      <c r="Q2266" s="4" t="s">
        <v>26</v>
      </c>
      <c r="R2266" s="4">
        <v>0</v>
      </c>
      <c r="S2266" s="4" t="s">
        <v>632</v>
      </c>
      <c r="T2266" s="4" t="s">
        <v>939</v>
      </c>
      <c r="U2266" s="4">
        <v>0</v>
      </c>
      <c r="V2266" s="4">
        <v>73</v>
      </c>
      <c r="W2266" s="4">
        <v>116</v>
      </c>
    </row>
    <row r="2267" spans="1:23" ht="11.25" customHeight="1" x14ac:dyDescent="0.25">
      <c r="A2267" s="4" t="s">
        <v>21</v>
      </c>
      <c r="B2267" s="4" t="s">
        <v>39</v>
      </c>
      <c r="C2267" s="4" t="s">
        <v>23</v>
      </c>
      <c r="D2267" s="4" t="s">
        <v>52</v>
      </c>
      <c r="E2267" s="4" t="s">
        <v>53</v>
      </c>
      <c r="F2267" s="4" t="s">
        <v>25</v>
      </c>
      <c r="G2267" s="4" t="s">
        <v>25</v>
      </c>
      <c r="H2267" s="4" t="s">
        <v>25</v>
      </c>
      <c r="I2267" s="5">
        <v>44044</v>
      </c>
      <c r="J2267" s="6">
        <v>0</v>
      </c>
      <c r="K2267" s="6">
        <v>0</v>
      </c>
      <c r="L2267" s="6">
        <v>874.375</v>
      </c>
      <c r="M2267" s="6">
        <v>769.45</v>
      </c>
      <c r="N2267" s="6">
        <v>874.375</v>
      </c>
      <c r="O2267" s="6">
        <v>769.45</v>
      </c>
      <c r="P2267" s="6">
        <v>259</v>
      </c>
      <c r="Q2267" s="4" t="s">
        <v>26</v>
      </c>
      <c r="R2267" s="4">
        <v>0</v>
      </c>
      <c r="S2267" s="4" t="s">
        <v>633</v>
      </c>
      <c r="T2267" s="4" t="s">
        <v>940</v>
      </c>
      <c r="U2267" s="4">
        <v>0</v>
      </c>
      <c r="V2267" s="4">
        <v>73</v>
      </c>
      <c r="W2267" s="4">
        <v>116</v>
      </c>
    </row>
    <row r="2268" spans="1:23" ht="11.25" customHeight="1" x14ac:dyDescent="0.25">
      <c r="A2268" s="4" t="s">
        <v>27</v>
      </c>
      <c r="B2268" s="4" t="s">
        <v>39</v>
      </c>
      <c r="C2268" s="4" t="s">
        <v>23</v>
      </c>
      <c r="D2268" s="4" t="s">
        <v>52</v>
      </c>
      <c r="E2268" s="4" t="s">
        <v>53</v>
      </c>
      <c r="F2268" s="4" t="s">
        <v>25</v>
      </c>
      <c r="G2268" s="4" t="s">
        <v>25</v>
      </c>
      <c r="H2268" s="4" t="s">
        <v>25</v>
      </c>
      <c r="I2268" s="5">
        <v>44044</v>
      </c>
      <c r="J2268" s="6">
        <v>0</v>
      </c>
      <c r="K2268" s="6">
        <v>0</v>
      </c>
      <c r="L2268" s="6">
        <v>12.766</v>
      </c>
      <c r="M2268" s="6">
        <v>11.234080000000001</v>
      </c>
      <c r="N2268" s="6">
        <v>12.766</v>
      </c>
      <c r="O2268" s="6">
        <v>11.234080000000001</v>
      </c>
      <c r="P2268" s="6">
        <v>0</v>
      </c>
      <c r="Q2268" s="4" t="s">
        <v>26</v>
      </c>
      <c r="R2268" s="4">
        <v>0</v>
      </c>
      <c r="S2268" s="4" t="s">
        <v>633</v>
      </c>
      <c r="T2268" s="4" t="s">
        <v>940</v>
      </c>
      <c r="U2268" s="4">
        <v>0</v>
      </c>
      <c r="V2268" s="4">
        <v>73</v>
      </c>
      <c r="W2268" s="4">
        <v>116</v>
      </c>
    </row>
    <row r="2269" spans="1:23" ht="11.25" customHeight="1" x14ac:dyDescent="0.25">
      <c r="A2269" s="4" t="s">
        <v>59</v>
      </c>
      <c r="B2269" s="4" t="s">
        <v>39</v>
      </c>
      <c r="C2269" s="4" t="s">
        <v>23</v>
      </c>
      <c r="D2269" s="4" t="s">
        <v>52</v>
      </c>
      <c r="E2269" s="4" t="s">
        <v>53</v>
      </c>
      <c r="F2269" s="4" t="s">
        <v>25</v>
      </c>
      <c r="G2269" s="4" t="s">
        <v>25</v>
      </c>
      <c r="H2269" s="4" t="s">
        <v>25</v>
      </c>
      <c r="I2269" s="5">
        <v>44075</v>
      </c>
      <c r="J2269" s="6">
        <v>0</v>
      </c>
      <c r="K2269" s="6">
        <v>0</v>
      </c>
      <c r="L2269" s="6">
        <v>874.375</v>
      </c>
      <c r="M2269" s="6">
        <v>769.45</v>
      </c>
      <c r="N2269" s="6">
        <v>874.375</v>
      </c>
      <c r="O2269" s="6">
        <v>769.45</v>
      </c>
      <c r="P2269" s="6">
        <v>259</v>
      </c>
      <c r="Q2269" s="4" t="s">
        <v>26</v>
      </c>
      <c r="R2269" s="4">
        <v>0</v>
      </c>
      <c r="S2269" s="4" t="s">
        <v>634</v>
      </c>
      <c r="T2269" s="4" t="s">
        <v>941</v>
      </c>
      <c r="U2269" s="4">
        <v>0</v>
      </c>
      <c r="V2269" s="4">
        <v>73</v>
      </c>
      <c r="W2269" s="4">
        <v>116</v>
      </c>
    </row>
    <row r="2270" spans="1:23" ht="11.25" customHeight="1" x14ac:dyDescent="0.25">
      <c r="A2270" s="4" t="s">
        <v>59</v>
      </c>
      <c r="B2270" s="4" t="s">
        <v>39</v>
      </c>
      <c r="C2270" s="4" t="s">
        <v>23</v>
      </c>
      <c r="D2270" s="4" t="s">
        <v>52</v>
      </c>
      <c r="E2270" s="4" t="s">
        <v>53</v>
      </c>
      <c r="F2270" s="4" t="s">
        <v>25</v>
      </c>
      <c r="G2270" s="4" t="s">
        <v>25</v>
      </c>
      <c r="H2270" s="4" t="s">
        <v>25</v>
      </c>
      <c r="I2270" s="5">
        <v>44075</v>
      </c>
      <c r="J2270" s="6">
        <v>0</v>
      </c>
      <c r="K2270" s="6">
        <v>0</v>
      </c>
      <c r="L2270" s="6">
        <v>12.766</v>
      </c>
      <c r="M2270" s="6">
        <v>11.234080000000001</v>
      </c>
      <c r="N2270" s="6">
        <v>12.766</v>
      </c>
      <c r="O2270" s="6">
        <v>11.234080000000001</v>
      </c>
      <c r="P2270" s="6">
        <v>0</v>
      </c>
      <c r="Q2270" s="4" t="s">
        <v>26</v>
      </c>
      <c r="R2270" s="4">
        <v>0</v>
      </c>
      <c r="S2270" s="4" t="s">
        <v>634</v>
      </c>
      <c r="T2270" s="4" t="s">
        <v>941</v>
      </c>
      <c r="U2270" s="4">
        <v>0</v>
      </c>
      <c r="V2270" s="4">
        <v>73</v>
      </c>
      <c r="W2270" s="4">
        <v>116</v>
      </c>
    </row>
    <row r="2271" spans="1:23" ht="11.25" customHeight="1" x14ac:dyDescent="0.25">
      <c r="A2271" s="4" t="s">
        <v>21</v>
      </c>
      <c r="B2271" s="4" t="s">
        <v>49</v>
      </c>
      <c r="C2271" s="4" t="s">
        <v>23</v>
      </c>
      <c r="D2271" s="4" t="s">
        <v>50</v>
      </c>
      <c r="E2271" s="4" t="s">
        <v>51</v>
      </c>
      <c r="F2271" s="4" t="s">
        <v>25</v>
      </c>
      <c r="G2271" s="4" t="s">
        <v>25</v>
      </c>
      <c r="H2271" s="4" t="s">
        <v>25</v>
      </c>
      <c r="I2271" s="5">
        <v>43739</v>
      </c>
      <c r="J2271" s="6">
        <v>0</v>
      </c>
      <c r="K2271" s="6">
        <v>0</v>
      </c>
      <c r="L2271" s="6">
        <v>0.2</v>
      </c>
      <c r="M2271" s="6">
        <v>0.2</v>
      </c>
      <c r="N2271" s="6">
        <v>0.2</v>
      </c>
      <c r="O2271" s="6">
        <v>0.2</v>
      </c>
      <c r="P2271" s="6">
        <v>23</v>
      </c>
      <c r="Q2271" s="4" t="s">
        <v>26</v>
      </c>
      <c r="R2271" s="4">
        <v>0</v>
      </c>
      <c r="S2271" s="4" t="s">
        <v>635</v>
      </c>
      <c r="T2271" s="4" t="s">
        <v>942</v>
      </c>
      <c r="U2271" s="4">
        <v>0</v>
      </c>
      <c r="V2271" s="4">
        <v>75</v>
      </c>
      <c r="W2271" s="4">
        <v>118</v>
      </c>
    </row>
    <row r="2272" spans="1:23" ht="11.25" customHeight="1" x14ac:dyDescent="0.25">
      <c r="A2272" s="4" t="s">
        <v>27</v>
      </c>
      <c r="B2272" s="4" t="s">
        <v>49</v>
      </c>
      <c r="C2272" s="4" t="s">
        <v>23</v>
      </c>
      <c r="D2272" s="4" t="s">
        <v>50</v>
      </c>
      <c r="E2272" s="4" t="s">
        <v>51</v>
      </c>
      <c r="F2272" s="4" t="s">
        <v>25</v>
      </c>
      <c r="G2272" s="4" t="s">
        <v>25</v>
      </c>
      <c r="H2272" s="4" t="s">
        <v>25</v>
      </c>
      <c r="I2272" s="5">
        <v>43739</v>
      </c>
      <c r="J2272" s="6">
        <v>0</v>
      </c>
      <c r="K2272" s="6">
        <v>0</v>
      </c>
      <c r="L2272" s="6">
        <v>35479.078999999998</v>
      </c>
      <c r="M2272" s="6">
        <v>35479.078999999998</v>
      </c>
      <c r="N2272" s="6">
        <v>35479.078999999998</v>
      </c>
      <c r="O2272" s="6">
        <v>35479.078999999998</v>
      </c>
      <c r="P2272" s="6">
        <v>0</v>
      </c>
      <c r="Q2272" s="4" t="s">
        <v>26</v>
      </c>
      <c r="R2272" s="4">
        <v>0</v>
      </c>
      <c r="S2272" s="4" t="s">
        <v>635</v>
      </c>
      <c r="T2272" s="4" t="s">
        <v>942</v>
      </c>
      <c r="U2272" s="4">
        <v>0</v>
      </c>
      <c r="V2272" s="4">
        <v>75</v>
      </c>
      <c r="W2272" s="4">
        <v>118</v>
      </c>
    </row>
    <row r="2273" spans="1:23" ht="11.25" customHeight="1" x14ac:dyDescent="0.25">
      <c r="A2273" s="4" t="s">
        <v>27</v>
      </c>
      <c r="B2273" s="4" t="s">
        <v>49</v>
      </c>
      <c r="C2273" s="4" t="s">
        <v>23</v>
      </c>
      <c r="D2273" s="4" t="s">
        <v>50</v>
      </c>
      <c r="E2273" s="4" t="s">
        <v>51</v>
      </c>
      <c r="F2273" s="4" t="s">
        <v>25</v>
      </c>
      <c r="G2273" s="4" t="s">
        <v>25</v>
      </c>
      <c r="H2273" s="4" t="s">
        <v>25</v>
      </c>
      <c r="I2273" s="5">
        <v>43770</v>
      </c>
      <c r="J2273" s="6">
        <v>0</v>
      </c>
      <c r="K2273" s="6">
        <v>0</v>
      </c>
      <c r="L2273" s="6">
        <v>32795.887000000002</v>
      </c>
      <c r="M2273" s="6">
        <v>32795.887000000002</v>
      </c>
      <c r="N2273" s="6">
        <v>32795.887000000002</v>
      </c>
      <c r="O2273" s="6">
        <v>32795.887000000002</v>
      </c>
      <c r="P2273" s="6">
        <v>0</v>
      </c>
      <c r="Q2273" s="4" t="s">
        <v>26</v>
      </c>
      <c r="R2273" s="4">
        <v>0</v>
      </c>
      <c r="S2273" s="4" t="s">
        <v>636</v>
      </c>
      <c r="T2273" s="4" t="s">
        <v>943</v>
      </c>
      <c r="U2273" s="4">
        <v>0</v>
      </c>
      <c r="V2273" s="4">
        <v>75</v>
      </c>
      <c r="W2273" s="4">
        <v>118</v>
      </c>
    </row>
    <row r="2274" spans="1:23" ht="11.25" customHeight="1" x14ac:dyDescent="0.25">
      <c r="A2274" s="4" t="s">
        <v>21</v>
      </c>
      <c r="B2274" s="4" t="s">
        <v>49</v>
      </c>
      <c r="C2274" s="4" t="s">
        <v>23</v>
      </c>
      <c r="D2274" s="4" t="s">
        <v>50</v>
      </c>
      <c r="E2274" s="4" t="s">
        <v>51</v>
      </c>
      <c r="F2274" s="4" t="s">
        <v>25</v>
      </c>
      <c r="G2274" s="4" t="s">
        <v>25</v>
      </c>
      <c r="H2274" s="4" t="s">
        <v>25</v>
      </c>
      <c r="I2274" s="5">
        <v>43800</v>
      </c>
      <c r="J2274" s="6">
        <v>0</v>
      </c>
      <c r="K2274" s="6">
        <v>0</v>
      </c>
      <c r="L2274" s="6">
        <v>35662.417000000001</v>
      </c>
      <c r="M2274" s="6">
        <v>35662.417000000001</v>
      </c>
      <c r="N2274" s="6">
        <v>35662.417000000001</v>
      </c>
      <c r="O2274" s="6">
        <v>35662.417000000001</v>
      </c>
      <c r="P2274" s="6">
        <v>23</v>
      </c>
      <c r="Q2274" s="4" t="s">
        <v>26</v>
      </c>
      <c r="R2274" s="4">
        <v>0</v>
      </c>
      <c r="S2274" s="4" t="s">
        <v>637</v>
      </c>
      <c r="T2274" s="4" t="s">
        <v>944</v>
      </c>
      <c r="U2274" s="4">
        <v>0</v>
      </c>
      <c r="V2274" s="4">
        <v>75</v>
      </c>
      <c r="W2274" s="4">
        <v>118</v>
      </c>
    </row>
    <row r="2275" spans="1:23" ht="11.25" customHeight="1" x14ac:dyDescent="0.25">
      <c r="A2275" s="4" t="s">
        <v>21</v>
      </c>
      <c r="B2275" s="4" t="s">
        <v>49</v>
      </c>
      <c r="C2275" s="4" t="s">
        <v>23</v>
      </c>
      <c r="D2275" s="4" t="s">
        <v>50</v>
      </c>
      <c r="E2275" s="4" t="s">
        <v>51</v>
      </c>
      <c r="F2275" s="4" t="s">
        <v>25</v>
      </c>
      <c r="G2275" s="4" t="s">
        <v>25</v>
      </c>
      <c r="H2275" s="4" t="s">
        <v>25</v>
      </c>
      <c r="I2275" s="5">
        <v>43831</v>
      </c>
      <c r="J2275" s="6">
        <v>0</v>
      </c>
      <c r="K2275" s="6">
        <v>0</v>
      </c>
      <c r="L2275" s="6">
        <v>35556.023000000001</v>
      </c>
      <c r="M2275" s="6">
        <v>35556.023000000001</v>
      </c>
      <c r="N2275" s="6">
        <v>35556.023000000001</v>
      </c>
      <c r="O2275" s="6">
        <v>35556.023000000001</v>
      </c>
      <c r="P2275" s="6">
        <v>23</v>
      </c>
      <c r="Q2275" s="4" t="s">
        <v>26</v>
      </c>
      <c r="R2275" s="4">
        <v>0</v>
      </c>
      <c r="S2275" s="4" t="s">
        <v>638</v>
      </c>
      <c r="T2275" s="4" t="s">
        <v>945</v>
      </c>
      <c r="U2275" s="4">
        <v>0</v>
      </c>
      <c r="V2275" s="4">
        <v>75</v>
      </c>
      <c r="W2275" s="4">
        <v>118</v>
      </c>
    </row>
    <row r="2276" spans="1:23" ht="11.25" customHeight="1" x14ac:dyDescent="0.25">
      <c r="A2276" s="4" t="s">
        <v>21</v>
      </c>
      <c r="B2276" s="4" t="s">
        <v>49</v>
      </c>
      <c r="C2276" s="4" t="s">
        <v>23</v>
      </c>
      <c r="D2276" s="4" t="s">
        <v>50</v>
      </c>
      <c r="E2276" s="4" t="s">
        <v>51</v>
      </c>
      <c r="F2276" s="4" t="s">
        <v>25</v>
      </c>
      <c r="G2276" s="4" t="s">
        <v>25</v>
      </c>
      <c r="H2276" s="4" t="s">
        <v>25</v>
      </c>
      <c r="I2276" s="5">
        <v>43862</v>
      </c>
      <c r="J2276" s="6">
        <v>0</v>
      </c>
      <c r="K2276" s="6">
        <v>0</v>
      </c>
      <c r="L2276" s="6">
        <v>33382.014999999999</v>
      </c>
      <c r="M2276" s="6">
        <v>33382.014999999999</v>
      </c>
      <c r="N2276" s="6">
        <v>33382.014999999999</v>
      </c>
      <c r="O2276" s="6">
        <v>33382.014999999999</v>
      </c>
      <c r="P2276" s="6">
        <v>23</v>
      </c>
      <c r="Q2276" s="4" t="s">
        <v>26</v>
      </c>
      <c r="R2276" s="4">
        <v>0</v>
      </c>
      <c r="S2276" s="4" t="s">
        <v>639</v>
      </c>
      <c r="T2276" s="4" t="s">
        <v>946</v>
      </c>
      <c r="U2276" s="4">
        <v>0</v>
      </c>
      <c r="V2276" s="4">
        <v>75</v>
      </c>
      <c r="W2276" s="4">
        <v>118</v>
      </c>
    </row>
    <row r="2277" spans="1:23" ht="11.25" customHeight="1" x14ac:dyDescent="0.25">
      <c r="A2277" s="4" t="s">
        <v>21</v>
      </c>
      <c r="B2277" s="4" t="s">
        <v>49</v>
      </c>
      <c r="C2277" s="4" t="s">
        <v>23</v>
      </c>
      <c r="D2277" s="4" t="s">
        <v>50</v>
      </c>
      <c r="E2277" s="4" t="s">
        <v>51</v>
      </c>
      <c r="F2277" s="4" t="s">
        <v>25</v>
      </c>
      <c r="G2277" s="4" t="s">
        <v>25</v>
      </c>
      <c r="H2277" s="4" t="s">
        <v>25</v>
      </c>
      <c r="I2277" s="5">
        <v>43891</v>
      </c>
      <c r="J2277" s="6">
        <v>0</v>
      </c>
      <c r="K2277" s="6">
        <v>0</v>
      </c>
      <c r="L2277" s="6">
        <v>35682.139000000003</v>
      </c>
      <c r="M2277" s="6">
        <v>35682.139000000003</v>
      </c>
      <c r="N2277" s="6">
        <v>35682.139000000003</v>
      </c>
      <c r="O2277" s="6">
        <v>35682.139000000003</v>
      </c>
      <c r="P2277" s="6">
        <v>23</v>
      </c>
      <c r="Q2277" s="4" t="s">
        <v>26</v>
      </c>
      <c r="R2277" s="4">
        <v>0</v>
      </c>
      <c r="S2277" s="4" t="s">
        <v>640</v>
      </c>
      <c r="T2277" s="4" t="s">
        <v>947</v>
      </c>
      <c r="U2277" s="4">
        <v>0</v>
      </c>
      <c r="V2277" s="4">
        <v>75</v>
      </c>
      <c r="W2277" s="4">
        <v>118</v>
      </c>
    </row>
    <row r="2278" spans="1:23" ht="11.25" customHeight="1" x14ac:dyDescent="0.25">
      <c r="A2278" s="4" t="s">
        <v>21</v>
      </c>
      <c r="B2278" s="4" t="s">
        <v>49</v>
      </c>
      <c r="C2278" s="4" t="s">
        <v>23</v>
      </c>
      <c r="D2278" s="4" t="s">
        <v>50</v>
      </c>
      <c r="E2278" s="4" t="s">
        <v>51</v>
      </c>
      <c r="F2278" s="4" t="s">
        <v>25</v>
      </c>
      <c r="G2278" s="4" t="s">
        <v>25</v>
      </c>
      <c r="H2278" s="4" t="s">
        <v>25</v>
      </c>
      <c r="I2278" s="5">
        <v>43922</v>
      </c>
      <c r="J2278" s="6">
        <v>0</v>
      </c>
      <c r="K2278" s="6">
        <v>0</v>
      </c>
      <c r="L2278" s="6">
        <v>34507.243000000002</v>
      </c>
      <c r="M2278" s="6">
        <v>34507.243000000002</v>
      </c>
      <c r="N2278" s="6">
        <v>34507.243000000002</v>
      </c>
      <c r="O2278" s="6">
        <v>34507.243000000002</v>
      </c>
      <c r="P2278" s="6">
        <v>23</v>
      </c>
      <c r="Q2278" s="4" t="s">
        <v>26</v>
      </c>
      <c r="R2278" s="4">
        <v>0</v>
      </c>
      <c r="S2278" s="4" t="s">
        <v>641</v>
      </c>
      <c r="T2278" s="4" t="s">
        <v>948</v>
      </c>
      <c r="U2278" s="4">
        <v>0</v>
      </c>
      <c r="V2278" s="4">
        <v>75</v>
      </c>
      <c r="W2278" s="4">
        <v>118</v>
      </c>
    </row>
    <row r="2279" spans="1:23" ht="11.25" customHeight="1" x14ac:dyDescent="0.25">
      <c r="A2279" s="4" t="s">
        <v>21</v>
      </c>
      <c r="B2279" s="4" t="s">
        <v>49</v>
      </c>
      <c r="C2279" s="4" t="s">
        <v>23</v>
      </c>
      <c r="D2279" s="4" t="s">
        <v>50</v>
      </c>
      <c r="E2279" s="4" t="s">
        <v>51</v>
      </c>
      <c r="F2279" s="4" t="s">
        <v>25</v>
      </c>
      <c r="G2279" s="4" t="s">
        <v>25</v>
      </c>
      <c r="H2279" s="4" t="s">
        <v>25</v>
      </c>
      <c r="I2279" s="5">
        <v>43952</v>
      </c>
      <c r="J2279" s="6">
        <v>0</v>
      </c>
      <c r="K2279" s="6">
        <v>0</v>
      </c>
      <c r="L2279" s="6">
        <v>35057.739000000001</v>
      </c>
      <c r="M2279" s="6">
        <v>35057.739000000001</v>
      </c>
      <c r="N2279" s="6">
        <v>35057.739000000001</v>
      </c>
      <c r="O2279" s="6">
        <v>35057.739000000001</v>
      </c>
      <c r="P2279" s="6">
        <v>23</v>
      </c>
      <c r="Q2279" s="4" t="s">
        <v>26</v>
      </c>
      <c r="R2279" s="4">
        <v>0</v>
      </c>
      <c r="S2279" s="4" t="s">
        <v>642</v>
      </c>
      <c r="T2279" s="4" t="s">
        <v>949</v>
      </c>
      <c r="U2279" s="4">
        <v>0</v>
      </c>
      <c r="V2279" s="4">
        <v>75</v>
      </c>
      <c r="W2279" s="4">
        <v>118</v>
      </c>
    </row>
    <row r="2280" spans="1:23" ht="11.25" customHeight="1" x14ac:dyDescent="0.25">
      <c r="A2280" s="4" t="s">
        <v>21</v>
      </c>
      <c r="B2280" s="4" t="s">
        <v>49</v>
      </c>
      <c r="C2280" s="4" t="s">
        <v>23</v>
      </c>
      <c r="D2280" s="4" t="s">
        <v>50</v>
      </c>
      <c r="E2280" s="4" t="s">
        <v>51</v>
      </c>
      <c r="F2280" s="4" t="s">
        <v>25</v>
      </c>
      <c r="G2280" s="4" t="s">
        <v>25</v>
      </c>
      <c r="H2280" s="4" t="s">
        <v>25</v>
      </c>
      <c r="I2280" s="5">
        <v>43983</v>
      </c>
      <c r="J2280" s="6">
        <v>0</v>
      </c>
      <c r="K2280" s="6">
        <v>0</v>
      </c>
      <c r="L2280" s="6">
        <v>33965.091</v>
      </c>
      <c r="M2280" s="6">
        <v>33965.091</v>
      </c>
      <c r="N2280" s="6">
        <v>33965.091</v>
      </c>
      <c r="O2280" s="6">
        <v>33965.091</v>
      </c>
      <c r="P2280" s="6">
        <v>23</v>
      </c>
      <c r="Q2280" s="4" t="s">
        <v>26</v>
      </c>
      <c r="R2280" s="4">
        <v>0</v>
      </c>
      <c r="S2280" s="4" t="s">
        <v>643</v>
      </c>
      <c r="T2280" s="4" t="s">
        <v>950</v>
      </c>
      <c r="U2280" s="4">
        <v>0</v>
      </c>
      <c r="V2280" s="4">
        <v>75</v>
      </c>
      <c r="W2280" s="4">
        <v>118</v>
      </c>
    </row>
    <row r="2281" spans="1:23" ht="11.25" customHeight="1" x14ac:dyDescent="0.25">
      <c r="A2281" s="4" t="s">
        <v>21</v>
      </c>
      <c r="B2281" s="4" t="s">
        <v>49</v>
      </c>
      <c r="C2281" s="4" t="s">
        <v>23</v>
      </c>
      <c r="D2281" s="4" t="s">
        <v>50</v>
      </c>
      <c r="E2281" s="4" t="s">
        <v>51</v>
      </c>
      <c r="F2281" s="4" t="s">
        <v>25</v>
      </c>
      <c r="G2281" s="4" t="s">
        <v>25</v>
      </c>
      <c r="H2281" s="4" t="s">
        <v>25</v>
      </c>
      <c r="I2281" s="5">
        <v>44013</v>
      </c>
      <c r="J2281" s="6">
        <v>0</v>
      </c>
      <c r="K2281" s="6">
        <v>0</v>
      </c>
      <c r="L2281" s="6">
        <v>33847.563000000002</v>
      </c>
      <c r="M2281" s="6">
        <v>33847.563000000002</v>
      </c>
      <c r="N2281" s="6">
        <v>33847.563000000002</v>
      </c>
      <c r="O2281" s="6">
        <v>33847.563000000002</v>
      </c>
      <c r="P2281" s="6">
        <v>23</v>
      </c>
      <c r="Q2281" s="4" t="s">
        <v>26</v>
      </c>
      <c r="R2281" s="4">
        <v>0</v>
      </c>
      <c r="S2281" s="4" t="s">
        <v>644</v>
      </c>
      <c r="T2281" s="4" t="s">
        <v>951</v>
      </c>
      <c r="U2281" s="4">
        <v>0</v>
      </c>
      <c r="V2281" s="4">
        <v>75</v>
      </c>
      <c r="W2281" s="4">
        <v>118</v>
      </c>
    </row>
    <row r="2282" spans="1:23" ht="11.25" customHeight="1" x14ac:dyDescent="0.25">
      <c r="A2282" s="4" t="s">
        <v>21</v>
      </c>
      <c r="B2282" s="4" t="s">
        <v>49</v>
      </c>
      <c r="C2282" s="4" t="s">
        <v>23</v>
      </c>
      <c r="D2282" s="4" t="s">
        <v>50</v>
      </c>
      <c r="E2282" s="4" t="s">
        <v>51</v>
      </c>
      <c r="F2282" s="4" t="s">
        <v>25</v>
      </c>
      <c r="G2282" s="4" t="s">
        <v>25</v>
      </c>
      <c r="H2282" s="4" t="s">
        <v>25</v>
      </c>
      <c r="I2282" s="5">
        <v>44044</v>
      </c>
      <c r="J2282" s="6">
        <v>0</v>
      </c>
      <c r="K2282" s="6">
        <v>0</v>
      </c>
      <c r="L2282" s="6">
        <v>1116.1610000000001</v>
      </c>
      <c r="M2282" s="6">
        <v>1116.1610000000001</v>
      </c>
      <c r="N2282" s="6">
        <v>1116.1610000000001</v>
      </c>
      <c r="O2282" s="6">
        <v>1116.1610000000001</v>
      </c>
      <c r="P2282" s="6">
        <v>23</v>
      </c>
      <c r="Q2282" s="4" t="s">
        <v>26</v>
      </c>
      <c r="R2282" s="4">
        <v>0</v>
      </c>
      <c r="S2282" s="4" t="s">
        <v>645</v>
      </c>
      <c r="T2282" s="4" t="s">
        <v>952</v>
      </c>
      <c r="U2282" s="4">
        <v>0</v>
      </c>
      <c r="V2282" s="4">
        <v>75</v>
      </c>
      <c r="W2282" s="4">
        <v>118</v>
      </c>
    </row>
    <row r="2283" spans="1:23" ht="11.25" customHeight="1" x14ac:dyDescent="0.25">
      <c r="A2283" s="4" t="s">
        <v>27</v>
      </c>
      <c r="B2283" s="4" t="s">
        <v>49</v>
      </c>
      <c r="C2283" s="4" t="s">
        <v>23</v>
      </c>
      <c r="D2283" s="4" t="s">
        <v>50</v>
      </c>
      <c r="E2283" s="4" t="s">
        <v>51</v>
      </c>
      <c r="F2283" s="4" t="s">
        <v>25</v>
      </c>
      <c r="G2283" s="4" t="s">
        <v>25</v>
      </c>
      <c r="H2283" s="4" t="s">
        <v>25</v>
      </c>
      <c r="I2283" s="5">
        <v>44044</v>
      </c>
      <c r="J2283" s="6">
        <v>0</v>
      </c>
      <c r="K2283" s="6">
        <v>0</v>
      </c>
      <c r="L2283" s="6">
        <v>34975.610999999997</v>
      </c>
      <c r="M2283" s="6">
        <v>34975.610999999997</v>
      </c>
      <c r="N2283" s="6">
        <v>34975.610999999997</v>
      </c>
      <c r="O2283" s="6">
        <v>34975.610999999997</v>
      </c>
      <c r="P2283" s="6">
        <v>0</v>
      </c>
      <c r="Q2283" s="4" t="s">
        <v>26</v>
      </c>
      <c r="R2283" s="4">
        <v>0</v>
      </c>
      <c r="S2283" s="4" t="s">
        <v>645</v>
      </c>
      <c r="T2283" s="4" t="s">
        <v>952</v>
      </c>
      <c r="U2283" s="4">
        <v>0</v>
      </c>
      <c r="V2283" s="4">
        <v>75</v>
      </c>
      <c r="W2283" s="4">
        <v>118</v>
      </c>
    </row>
    <row r="2284" spans="1:23" ht="11.25" customHeight="1" x14ac:dyDescent="0.25">
      <c r="A2284" s="4" t="s">
        <v>59</v>
      </c>
      <c r="B2284" s="4" t="s">
        <v>49</v>
      </c>
      <c r="C2284" s="4" t="s">
        <v>23</v>
      </c>
      <c r="D2284" s="4" t="s">
        <v>50</v>
      </c>
      <c r="E2284" s="4" t="s">
        <v>51</v>
      </c>
      <c r="F2284" s="4" t="s">
        <v>25</v>
      </c>
      <c r="G2284" s="4" t="s">
        <v>25</v>
      </c>
      <c r="H2284" s="4" t="s">
        <v>25</v>
      </c>
      <c r="I2284" s="5">
        <v>44075</v>
      </c>
      <c r="J2284" s="6">
        <v>0</v>
      </c>
      <c r="K2284" s="6">
        <v>0</v>
      </c>
      <c r="L2284" s="6">
        <v>1116.1610000000001</v>
      </c>
      <c r="M2284" s="6">
        <v>1116.1610000000001</v>
      </c>
      <c r="N2284" s="6">
        <v>1116.1610000000001</v>
      </c>
      <c r="O2284" s="6">
        <v>1116.1610000000001</v>
      </c>
      <c r="P2284" s="6">
        <v>23</v>
      </c>
      <c r="Q2284" s="4" t="s">
        <v>26</v>
      </c>
      <c r="R2284" s="4">
        <v>0</v>
      </c>
      <c r="S2284" s="4" t="s">
        <v>646</v>
      </c>
      <c r="T2284" s="4" t="s">
        <v>953</v>
      </c>
      <c r="U2284" s="4">
        <v>0</v>
      </c>
      <c r="V2284" s="4">
        <v>75</v>
      </c>
      <c r="W2284" s="4">
        <v>118</v>
      </c>
    </row>
    <row r="2285" spans="1:23" ht="11.25" customHeight="1" x14ac:dyDescent="0.25">
      <c r="A2285" s="4" t="s">
        <v>59</v>
      </c>
      <c r="B2285" s="4" t="s">
        <v>49</v>
      </c>
      <c r="C2285" s="4" t="s">
        <v>23</v>
      </c>
      <c r="D2285" s="4" t="s">
        <v>50</v>
      </c>
      <c r="E2285" s="4" t="s">
        <v>51</v>
      </c>
      <c r="F2285" s="4" t="s">
        <v>25</v>
      </c>
      <c r="G2285" s="4" t="s">
        <v>25</v>
      </c>
      <c r="H2285" s="4" t="s">
        <v>25</v>
      </c>
      <c r="I2285" s="5">
        <v>44075</v>
      </c>
      <c r="J2285" s="6">
        <v>0</v>
      </c>
      <c r="K2285" s="6">
        <v>0</v>
      </c>
      <c r="L2285" s="6">
        <v>34975.610999999997</v>
      </c>
      <c r="M2285" s="6">
        <v>34975.610999999997</v>
      </c>
      <c r="N2285" s="6">
        <v>34975.610999999997</v>
      </c>
      <c r="O2285" s="6">
        <v>34975.610999999997</v>
      </c>
      <c r="P2285" s="6">
        <v>0</v>
      </c>
      <c r="Q2285" s="4" t="s">
        <v>26</v>
      </c>
      <c r="R2285" s="4">
        <v>0</v>
      </c>
      <c r="S2285" s="4" t="s">
        <v>646</v>
      </c>
      <c r="T2285" s="4" t="s">
        <v>953</v>
      </c>
      <c r="U2285" s="4">
        <v>0</v>
      </c>
      <c r="V2285" s="4">
        <v>75</v>
      </c>
      <c r="W2285" s="4">
        <v>118</v>
      </c>
    </row>
  </sheetData>
  <sortState xmlns:xlrd2="http://schemas.microsoft.com/office/spreadsheetml/2017/richdata2" ref="A2:W2285">
    <sortCondition ref="B2:B2285"/>
    <sortCondition ref="C2:C2285"/>
    <sortCondition ref="D2:D2285"/>
    <sortCondition ref="E2:E2285"/>
    <sortCondition ref="F2:F2285"/>
    <sortCondition ref="H2:H2285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82369-2EE6-4494-8251-DE63A6F2E662}">
  <dimension ref="A1:H305"/>
  <sheetViews>
    <sheetView showGridLines="0" workbookViewId="0">
      <selection activeCell="H1" sqref="H1"/>
    </sheetView>
  </sheetViews>
  <sheetFormatPr defaultColWidth="8.85546875" defaultRowHeight="11.25" customHeight="1" x14ac:dyDescent="0.25"/>
  <cols>
    <col min="1" max="1" width="11.5703125" style="8" bestFit="1" customWidth="1"/>
    <col min="2" max="2" width="15.28515625" style="8" bestFit="1" customWidth="1"/>
    <col min="3" max="3" width="4.28515625" style="8" bestFit="1" customWidth="1"/>
    <col min="4" max="4" width="6.140625" style="8" bestFit="1" customWidth="1"/>
    <col min="5" max="5" width="8.140625" style="8" bestFit="1" customWidth="1"/>
    <col min="6" max="6" width="8.85546875" style="8"/>
    <col min="7" max="7" width="17.28515625" style="8" bestFit="1" customWidth="1"/>
    <col min="8" max="8" width="2" style="8" bestFit="1" customWidth="1"/>
    <col min="9" max="16384" width="8.85546875" style="8"/>
  </cols>
  <sheetData>
    <row r="1" spans="1:8" s="7" customFormat="1" ht="11.25" customHeight="1" x14ac:dyDescent="0.25">
      <c r="A1" s="7" t="s">
        <v>72</v>
      </c>
      <c r="B1" s="7" t="s">
        <v>73</v>
      </c>
      <c r="C1" s="7" t="s">
        <v>74</v>
      </c>
      <c r="D1" s="7" t="s">
        <v>75</v>
      </c>
      <c r="E1" s="7" t="s">
        <v>76</v>
      </c>
      <c r="G1" s="7" t="s">
        <v>77</v>
      </c>
      <c r="H1" s="7">
        <f>COUNTA(A:A)</f>
        <v>305</v>
      </c>
    </row>
    <row r="2" spans="1:8" ht="11.25" customHeight="1" x14ac:dyDescent="0.25">
      <c r="A2" s="8" t="s">
        <v>696</v>
      </c>
      <c r="B2" s="8" t="s">
        <v>697</v>
      </c>
      <c r="C2" s="8" t="s">
        <v>698</v>
      </c>
      <c r="D2" s="8">
        <v>267</v>
      </c>
      <c r="E2" s="8" t="s">
        <v>699</v>
      </c>
    </row>
    <row r="3" spans="1:8" ht="11.25" customHeight="1" x14ac:dyDescent="0.25">
      <c r="A3" s="8" t="s">
        <v>696</v>
      </c>
      <c r="B3" s="8" t="s">
        <v>697</v>
      </c>
      <c r="C3" s="8" t="s">
        <v>698</v>
      </c>
      <c r="D3" s="8">
        <v>268</v>
      </c>
      <c r="E3" s="8" t="s">
        <v>699</v>
      </c>
    </row>
    <row r="4" spans="1:8" ht="11.25" customHeight="1" x14ac:dyDescent="0.25">
      <c r="A4" s="8" t="s">
        <v>696</v>
      </c>
      <c r="B4" s="8" t="s">
        <v>697</v>
      </c>
      <c r="C4" s="8" t="s">
        <v>698</v>
      </c>
      <c r="D4" s="8">
        <v>269</v>
      </c>
      <c r="E4" s="8" t="s">
        <v>699</v>
      </c>
    </row>
    <row r="5" spans="1:8" ht="11.25" customHeight="1" x14ac:dyDescent="0.25">
      <c r="A5" s="8" t="s">
        <v>696</v>
      </c>
      <c r="B5" s="8" t="s">
        <v>697</v>
      </c>
      <c r="C5" s="8" t="s">
        <v>698</v>
      </c>
      <c r="D5" s="8">
        <v>270</v>
      </c>
      <c r="E5" s="8" t="s">
        <v>699</v>
      </c>
    </row>
    <row r="6" spans="1:8" ht="11.25" customHeight="1" x14ac:dyDescent="0.25">
      <c r="A6" s="8" t="s">
        <v>696</v>
      </c>
      <c r="B6" s="8" t="s">
        <v>697</v>
      </c>
      <c r="C6" s="8" t="s">
        <v>698</v>
      </c>
      <c r="D6" s="8">
        <v>271</v>
      </c>
      <c r="E6" s="8" t="s">
        <v>699</v>
      </c>
    </row>
    <row r="7" spans="1:8" ht="11.25" customHeight="1" x14ac:dyDescent="0.25">
      <c r="A7" s="8" t="s">
        <v>696</v>
      </c>
      <c r="B7" s="8" t="s">
        <v>697</v>
      </c>
      <c r="C7" s="8" t="s">
        <v>698</v>
      </c>
      <c r="D7" s="8">
        <v>272</v>
      </c>
      <c r="E7" s="8" t="s">
        <v>699</v>
      </c>
    </row>
    <row r="8" spans="1:8" ht="11.25" customHeight="1" x14ac:dyDescent="0.25">
      <c r="A8" s="8" t="s">
        <v>696</v>
      </c>
      <c r="B8" s="8" t="s">
        <v>697</v>
      </c>
      <c r="C8" s="8" t="s">
        <v>698</v>
      </c>
      <c r="D8" s="8">
        <v>273</v>
      </c>
      <c r="E8" s="8" t="s">
        <v>699</v>
      </c>
    </row>
    <row r="9" spans="1:8" ht="11.25" customHeight="1" x14ac:dyDescent="0.25">
      <c r="A9" s="8" t="s">
        <v>696</v>
      </c>
      <c r="B9" s="8" t="s">
        <v>697</v>
      </c>
      <c r="C9" s="8" t="s">
        <v>698</v>
      </c>
      <c r="D9" s="8">
        <v>274</v>
      </c>
      <c r="E9" s="8" t="s">
        <v>699</v>
      </c>
    </row>
    <row r="10" spans="1:8" ht="11.25" customHeight="1" x14ac:dyDescent="0.25">
      <c r="A10" s="8" t="s">
        <v>696</v>
      </c>
      <c r="B10" s="8" t="s">
        <v>697</v>
      </c>
      <c r="C10" s="8" t="s">
        <v>698</v>
      </c>
      <c r="D10" s="8">
        <v>275</v>
      </c>
      <c r="E10" s="8" t="s">
        <v>699</v>
      </c>
    </row>
    <row r="11" spans="1:8" ht="11.25" customHeight="1" x14ac:dyDescent="0.25">
      <c r="A11" s="8" t="s">
        <v>696</v>
      </c>
      <c r="B11" s="8" t="s">
        <v>697</v>
      </c>
      <c r="C11" s="8" t="s">
        <v>698</v>
      </c>
      <c r="D11" s="8">
        <v>276</v>
      </c>
      <c r="E11" s="8" t="s">
        <v>699</v>
      </c>
    </row>
    <row r="12" spans="1:8" ht="11.25" customHeight="1" x14ac:dyDescent="0.25">
      <c r="A12" s="8" t="s">
        <v>696</v>
      </c>
      <c r="B12" s="8" t="s">
        <v>697</v>
      </c>
      <c r="C12" s="8" t="s">
        <v>698</v>
      </c>
      <c r="D12" s="8">
        <v>277</v>
      </c>
      <c r="E12" s="8" t="s">
        <v>699</v>
      </c>
    </row>
    <row r="13" spans="1:8" ht="11.25" customHeight="1" x14ac:dyDescent="0.25">
      <c r="A13" s="8" t="s">
        <v>696</v>
      </c>
      <c r="B13" s="8" t="s">
        <v>697</v>
      </c>
      <c r="C13" s="8" t="s">
        <v>698</v>
      </c>
      <c r="D13" s="8">
        <v>278</v>
      </c>
      <c r="E13" s="8" t="s">
        <v>699</v>
      </c>
    </row>
    <row r="14" spans="1:8" ht="11.25" customHeight="1" x14ac:dyDescent="0.25">
      <c r="A14" s="8" t="s">
        <v>696</v>
      </c>
      <c r="B14" s="8" t="s">
        <v>697</v>
      </c>
      <c r="C14" s="8" t="s">
        <v>698</v>
      </c>
      <c r="D14" s="8">
        <v>279</v>
      </c>
      <c r="E14" s="8" t="s">
        <v>699</v>
      </c>
    </row>
    <row r="15" spans="1:8" ht="11.25" customHeight="1" x14ac:dyDescent="0.25">
      <c r="A15" s="8" t="s">
        <v>696</v>
      </c>
      <c r="B15" s="8" t="s">
        <v>697</v>
      </c>
      <c r="C15" s="8" t="s">
        <v>698</v>
      </c>
      <c r="D15" s="8">
        <v>341</v>
      </c>
      <c r="E15" s="8" t="s">
        <v>699</v>
      </c>
    </row>
    <row r="16" spans="1:8" ht="11.25" customHeight="1" x14ac:dyDescent="0.25">
      <c r="A16" s="8" t="s">
        <v>696</v>
      </c>
      <c r="B16" s="8" t="s">
        <v>697</v>
      </c>
      <c r="C16" s="8" t="s">
        <v>698</v>
      </c>
      <c r="D16" s="8">
        <v>342</v>
      </c>
      <c r="E16" s="8" t="s">
        <v>699</v>
      </c>
    </row>
    <row r="17" spans="1:5" ht="11.25" customHeight="1" x14ac:dyDescent="0.25">
      <c r="A17" s="8" t="s">
        <v>696</v>
      </c>
      <c r="B17" s="8" t="s">
        <v>697</v>
      </c>
      <c r="C17" s="8" t="s">
        <v>698</v>
      </c>
      <c r="D17" s="8">
        <v>343</v>
      </c>
      <c r="E17" s="8" t="s">
        <v>699</v>
      </c>
    </row>
    <row r="18" spans="1:5" ht="11.25" customHeight="1" x14ac:dyDescent="0.25">
      <c r="A18" s="8" t="s">
        <v>696</v>
      </c>
      <c r="B18" s="8" t="s">
        <v>697</v>
      </c>
      <c r="C18" s="8" t="s">
        <v>698</v>
      </c>
      <c r="D18" s="8">
        <v>344</v>
      </c>
      <c r="E18" s="8" t="s">
        <v>699</v>
      </c>
    </row>
    <row r="19" spans="1:5" ht="11.25" customHeight="1" x14ac:dyDescent="0.25">
      <c r="A19" s="8" t="s">
        <v>696</v>
      </c>
      <c r="B19" s="8" t="s">
        <v>697</v>
      </c>
      <c r="C19" s="8" t="s">
        <v>698</v>
      </c>
      <c r="D19" s="8">
        <v>345</v>
      </c>
      <c r="E19" s="8" t="s">
        <v>699</v>
      </c>
    </row>
    <row r="20" spans="1:5" ht="11.25" customHeight="1" x14ac:dyDescent="0.25">
      <c r="A20" s="8" t="s">
        <v>696</v>
      </c>
      <c r="B20" s="8" t="s">
        <v>697</v>
      </c>
      <c r="C20" s="8" t="s">
        <v>698</v>
      </c>
      <c r="D20" s="8">
        <v>346</v>
      </c>
      <c r="E20" s="8" t="s">
        <v>699</v>
      </c>
    </row>
    <row r="21" spans="1:5" ht="11.25" customHeight="1" x14ac:dyDescent="0.25">
      <c r="A21" s="8" t="s">
        <v>696</v>
      </c>
      <c r="B21" s="8" t="s">
        <v>697</v>
      </c>
      <c r="C21" s="8" t="s">
        <v>698</v>
      </c>
      <c r="D21" s="8">
        <v>347</v>
      </c>
      <c r="E21" s="8" t="s">
        <v>699</v>
      </c>
    </row>
    <row r="22" spans="1:5" ht="11.25" customHeight="1" x14ac:dyDescent="0.25">
      <c r="A22" s="8" t="s">
        <v>696</v>
      </c>
      <c r="B22" s="8" t="s">
        <v>697</v>
      </c>
      <c r="C22" s="8" t="s">
        <v>698</v>
      </c>
      <c r="D22" s="8">
        <v>348</v>
      </c>
      <c r="E22" s="8" t="s">
        <v>699</v>
      </c>
    </row>
    <row r="23" spans="1:5" ht="11.25" customHeight="1" x14ac:dyDescent="0.25">
      <c r="A23" s="8" t="s">
        <v>696</v>
      </c>
      <c r="B23" s="8" t="s">
        <v>697</v>
      </c>
      <c r="C23" s="8" t="s">
        <v>698</v>
      </c>
      <c r="D23" s="8">
        <v>349</v>
      </c>
      <c r="E23" s="8" t="s">
        <v>699</v>
      </c>
    </row>
    <row r="24" spans="1:5" ht="11.25" customHeight="1" x14ac:dyDescent="0.25">
      <c r="A24" s="8" t="s">
        <v>696</v>
      </c>
      <c r="B24" s="8" t="s">
        <v>697</v>
      </c>
      <c r="C24" s="8" t="s">
        <v>698</v>
      </c>
      <c r="D24" s="8">
        <v>350</v>
      </c>
      <c r="E24" s="8" t="s">
        <v>699</v>
      </c>
    </row>
    <row r="25" spans="1:5" ht="11.25" customHeight="1" x14ac:dyDescent="0.25">
      <c r="A25" s="8" t="s">
        <v>696</v>
      </c>
      <c r="B25" s="8" t="s">
        <v>697</v>
      </c>
      <c r="C25" s="8" t="s">
        <v>698</v>
      </c>
      <c r="D25" s="8">
        <v>351</v>
      </c>
      <c r="E25" s="8" t="s">
        <v>699</v>
      </c>
    </row>
    <row r="26" spans="1:5" ht="11.25" customHeight="1" x14ac:dyDescent="0.25">
      <c r="A26" s="8" t="s">
        <v>696</v>
      </c>
      <c r="B26" s="8" t="s">
        <v>697</v>
      </c>
      <c r="C26" s="8" t="s">
        <v>698</v>
      </c>
      <c r="D26" s="8">
        <v>352</v>
      </c>
      <c r="E26" s="8" t="s">
        <v>699</v>
      </c>
    </row>
    <row r="27" spans="1:5" ht="11.25" customHeight="1" x14ac:dyDescent="0.25">
      <c r="A27" s="8" t="s">
        <v>696</v>
      </c>
      <c r="B27" s="8" t="s">
        <v>724</v>
      </c>
      <c r="C27" s="8" t="s">
        <v>698</v>
      </c>
      <c r="D27" s="8">
        <v>647</v>
      </c>
      <c r="E27" s="8" t="s">
        <v>699</v>
      </c>
    </row>
    <row r="28" spans="1:5" ht="11.25" customHeight="1" x14ac:dyDescent="0.25">
      <c r="A28" s="8" t="s">
        <v>696</v>
      </c>
      <c r="B28" s="8" t="s">
        <v>724</v>
      </c>
      <c r="C28" s="8" t="s">
        <v>698</v>
      </c>
      <c r="D28" s="8">
        <v>648</v>
      </c>
      <c r="E28" s="8" t="s">
        <v>699</v>
      </c>
    </row>
    <row r="29" spans="1:5" ht="11.25" customHeight="1" x14ac:dyDescent="0.25">
      <c r="A29" s="8" t="s">
        <v>696</v>
      </c>
      <c r="B29" s="8" t="s">
        <v>724</v>
      </c>
      <c r="C29" s="8" t="s">
        <v>698</v>
      </c>
      <c r="D29" s="8">
        <v>649</v>
      </c>
      <c r="E29" s="8" t="s">
        <v>699</v>
      </c>
    </row>
    <row r="30" spans="1:5" ht="11.25" customHeight="1" x14ac:dyDescent="0.25">
      <c r="A30" s="8" t="s">
        <v>696</v>
      </c>
      <c r="B30" s="8" t="s">
        <v>724</v>
      </c>
      <c r="C30" s="8" t="s">
        <v>698</v>
      </c>
      <c r="D30" s="8">
        <v>650</v>
      </c>
      <c r="E30" s="8" t="s">
        <v>699</v>
      </c>
    </row>
    <row r="31" spans="1:5" ht="11.25" customHeight="1" x14ac:dyDescent="0.25">
      <c r="A31" s="8" t="s">
        <v>696</v>
      </c>
      <c r="B31" s="8" t="s">
        <v>724</v>
      </c>
      <c r="C31" s="8" t="s">
        <v>698</v>
      </c>
      <c r="D31" s="8">
        <v>651</v>
      </c>
      <c r="E31" s="8" t="s">
        <v>699</v>
      </c>
    </row>
    <row r="32" spans="1:5" ht="11.25" customHeight="1" x14ac:dyDescent="0.25">
      <c r="A32" s="8" t="s">
        <v>696</v>
      </c>
      <c r="B32" s="8" t="s">
        <v>724</v>
      </c>
      <c r="C32" s="8" t="s">
        <v>698</v>
      </c>
      <c r="D32" s="8">
        <v>652</v>
      </c>
      <c r="E32" s="8" t="s">
        <v>699</v>
      </c>
    </row>
    <row r="33" spans="1:5" ht="11.25" customHeight="1" x14ac:dyDescent="0.25">
      <c r="A33" s="8" t="s">
        <v>696</v>
      </c>
      <c r="B33" s="8" t="s">
        <v>724</v>
      </c>
      <c r="C33" s="8" t="s">
        <v>698</v>
      </c>
      <c r="D33" s="8">
        <v>653</v>
      </c>
      <c r="E33" s="8" t="s">
        <v>699</v>
      </c>
    </row>
    <row r="34" spans="1:5" ht="11.25" customHeight="1" x14ac:dyDescent="0.25">
      <c r="A34" s="8" t="s">
        <v>696</v>
      </c>
      <c r="B34" s="8" t="s">
        <v>724</v>
      </c>
      <c r="C34" s="8" t="s">
        <v>698</v>
      </c>
      <c r="D34" s="8">
        <v>654</v>
      </c>
      <c r="E34" s="8" t="s">
        <v>699</v>
      </c>
    </row>
    <row r="35" spans="1:5" ht="11.25" customHeight="1" x14ac:dyDescent="0.25">
      <c r="A35" s="8" t="s">
        <v>696</v>
      </c>
      <c r="B35" s="8" t="s">
        <v>724</v>
      </c>
      <c r="C35" s="8" t="s">
        <v>698</v>
      </c>
      <c r="D35" s="8">
        <v>655</v>
      </c>
      <c r="E35" s="8" t="s">
        <v>699</v>
      </c>
    </row>
    <row r="36" spans="1:5" ht="11.25" customHeight="1" x14ac:dyDescent="0.25">
      <c r="A36" s="8" t="s">
        <v>696</v>
      </c>
      <c r="B36" s="8" t="s">
        <v>724</v>
      </c>
      <c r="C36" s="8" t="s">
        <v>698</v>
      </c>
      <c r="D36" s="8">
        <v>656</v>
      </c>
      <c r="E36" s="8" t="s">
        <v>699</v>
      </c>
    </row>
    <row r="37" spans="1:5" ht="11.25" customHeight="1" x14ac:dyDescent="0.25">
      <c r="A37" s="8" t="s">
        <v>696</v>
      </c>
      <c r="B37" s="8" t="s">
        <v>724</v>
      </c>
      <c r="C37" s="8" t="s">
        <v>698</v>
      </c>
      <c r="D37" s="8">
        <v>657</v>
      </c>
      <c r="E37" s="8" t="s">
        <v>699</v>
      </c>
    </row>
    <row r="38" spans="1:5" ht="11.25" customHeight="1" x14ac:dyDescent="0.25">
      <c r="A38" s="8" t="s">
        <v>696</v>
      </c>
      <c r="B38" s="8" t="s">
        <v>724</v>
      </c>
      <c r="C38" s="8" t="s">
        <v>698</v>
      </c>
      <c r="D38" s="8">
        <v>658</v>
      </c>
      <c r="E38" s="8" t="s">
        <v>699</v>
      </c>
    </row>
    <row r="39" spans="1:5" ht="11.25" customHeight="1" x14ac:dyDescent="0.25">
      <c r="A39" s="8" t="s">
        <v>696</v>
      </c>
      <c r="B39" s="8" t="s">
        <v>724</v>
      </c>
      <c r="C39" s="8" t="s">
        <v>698</v>
      </c>
      <c r="D39" s="8">
        <v>659</v>
      </c>
      <c r="E39" s="8" t="s">
        <v>699</v>
      </c>
    </row>
    <row r="40" spans="1:5" ht="11.25" customHeight="1" x14ac:dyDescent="0.25">
      <c r="A40" s="8" t="s">
        <v>696</v>
      </c>
      <c r="B40" s="8" t="s">
        <v>724</v>
      </c>
      <c r="C40" s="8" t="s">
        <v>698</v>
      </c>
      <c r="D40" s="8">
        <v>660</v>
      </c>
      <c r="E40" s="8" t="s">
        <v>699</v>
      </c>
    </row>
    <row r="41" spans="1:5" ht="11.25" customHeight="1" x14ac:dyDescent="0.25">
      <c r="A41" s="8" t="s">
        <v>696</v>
      </c>
      <c r="B41" s="8" t="s">
        <v>724</v>
      </c>
      <c r="C41" s="8" t="s">
        <v>698</v>
      </c>
      <c r="D41" s="8">
        <v>661</v>
      </c>
      <c r="E41" s="8" t="s">
        <v>699</v>
      </c>
    </row>
    <row r="42" spans="1:5" ht="11.25" customHeight="1" x14ac:dyDescent="0.25">
      <c r="A42" s="8" t="s">
        <v>696</v>
      </c>
      <c r="B42" s="8" t="s">
        <v>724</v>
      </c>
      <c r="C42" s="8" t="s">
        <v>698</v>
      </c>
      <c r="D42" s="8">
        <v>662</v>
      </c>
      <c r="E42" s="8" t="s">
        <v>699</v>
      </c>
    </row>
    <row r="43" spans="1:5" ht="11.25" customHeight="1" x14ac:dyDescent="0.25">
      <c r="A43" s="8" t="s">
        <v>696</v>
      </c>
      <c r="B43" s="8" t="s">
        <v>724</v>
      </c>
      <c r="C43" s="8" t="s">
        <v>698</v>
      </c>
      <c r="D43" s="8">
        <v>663</v>
      </c>
      <c r="E43" s="8" t="s">
        <v>699</v>
      </c>
    </row>
    <row r="44" spans="1:5" ht="11.25" customHeight="1" x14ac:dyDescent="0.25">
      <c r="A44" s="8" t="s">
        <v>696</v>
      </c>
      <c r="B44" s="8" t="s">
        <v>724</v>
      </c>
      <c r="C44" s="8" t="s">
        <v>698</v>
      </c>
      <c r="D44" s="8">
        <v>664</v>
      </c>
      <c r="E44" s="8" t="s">
        <v>699</v>
      </c>
    </row>
    <row r="45" spans="1:5" ht="11.25" customHeight="1" x14ac:dyDescent="0.25">
      <c r="A45" s="8" t="s">
        <v>696</v>
      </c>
      <c r="B45" s="8" t="s">
        <v>724</v>
      </c>
      <c r="C45" s="8" t="s">
        <v>698</v>
      </c>
      <c r="D45" s="8">
        <v>665</v>
      </c>
      <c r="E45" s="8" t="s">
        <v>699</v>
      </c>
    </row>
    <row r="46" spans="1:5" ht="11.25" customHeight="1" x14ac:dyDescent="0.25">
      <c r="A46" s="8" t="s">
        <v>696</v>
      </c>
      <c r="B46" s="8" t="s">
        <v>724</v>
      </c>
      <c r="C46" s="8" t="s">
        <v>698</v>
      </c>
      <c r="D46" s="8">
        <v>666</v>
      </c>
      <c r="E46" s="8" t="s">
        <v>699</v>
      </c>
    </row>
    <row r="47" spans="1:5" ht="11.25" customHeight="1" x14ac:dyDescent="0.25">
      <c r="A47" s="8" t="s">
        <v>696</v>
      </c>
      <c r="B47" s="8" t="s">
        <v>724</v>
      </c>
      <c r="C47" s="8" t="s">
        <v>698</v>
      </c>
      <c r="D47" s="8">
        <v>667</v>
      </c>
      <c r="E47" s="8" t="s">
        <v>699</v>
      </c>
    </row>
    <row r="48" spans="1:5" ht="11.25" customHeight="1" x14ac:dyDescent="0.25">
      <c r="A48" s="8" t="s">
        <v>696</v>
      </c>
      <c r="B48" s="8" t="s">
        <v>724</v>
      </c>
      <c r="C48" s="8" t="s">
        <v>698</v>
      </c>
      <c r="D48" s="8">
        <v>668</v>
      </c>
      <c r="E48" s="8" t="s">
        <v>699</v>
      </c>
    </row>
    <row r="49" spans="1:5" ht="11.25" customHeight="1" x14ac:dyDescent="0.25">
      <c r="A49" s="8" t="s">
        <v>696</v>
      </c>
      <c r="B49" s="8" t="s">
        <v>724</v>
      </c>
      <c r="C49" s="8" t="s">
        <v>698</v>
      </c>
      <c r="D49" s="8">
        <v>669</v>
      </c>
      <c r="E49" s="8" t="s">
        <v>699</v>
      </c>
    </row>
    <row r="50" spans="1:5" ht="11.25" customHeight="1" x14ac:dyDescent="0.25">
      <c r="A50" s="8" t="s">
        <v>696</v>
      </c>
      <c r="B50" s="8" t="s">
        <v>724</v>
      </c>
      <c r="C50" s="8" t="s">
        <v>698</v>
      </c>
      <c r="D50" s="8">
        <v>670</v>
      </c>
      <c r="E50" s="8" t="s">
        <v>699</v>
      </c>
    </row>
    <row r="51" spans="1:5" ht="11.25" customHeight="1" x14ac:dyDescent="0.25">
      <c r="A51" s="8" t="s">
        <v>696</v>
      </c>
      <c r="B51" s="8" t="s">
        <v>724</v>
      </c>
      <c r="C51" s="8" t="s">
        <v>698</v>
      </c>
      <c r="D51" s="8">
        <v>671</v>
      </c>
      <c r="E51" s="8" t="s">
        <v>699</v>
      </c>
    </row>
    <row r="52" spans="1:5" ht="11.25" customHeight="1" x14ac:dyDescent="0.25">
      <c r="A52" s="8" t="s">
        <v>696</v>
      </c>
      <c r="B52" s="8" t="s">
        <v>724</v>
      </c>
      <c r="C52" s="8" t="s">
        <v>698</v>
      </c>
      <c r="D52" s="8">
        <v>672</v>
      </c>
      <c r="E52" s="8" t="s">
        <v>699</v>
      </c>
    </row>
    <row r="53" spans="1:5" ht="11.25" customHeight="1" x14ac:dyDescent="0.25">
      <c r="A53" s="8" t="s">
        <v>696</v>
      </c>
      <c r="B53" s="8" t="s">
        <v>724</v>
      </c>
      <c r="C53" s="8" t="s">
        <v>698</v>
      </c>
      <c r="D53" s="8">
        <v>673</v>
      </c>
      <c r="E53" s="8" t="s">
        <v>699</v>
      </c>
    </row>
    <row r="54" spans="1:5" ht="11.25" customHeight="1" x14ac:dyDescent="0.25">
      <c r="A54" s="8" t="s">
        <v>696</v>
      </c>
      <c r="B54" s="8" t="s">
        <v>724</v>
      </c>
      <c r="C54" s="8" t="s">
        <v>698</v>
      </c>
      <c r="D54" s="8">
        <v>674</v>
      </c>
      <c r="E54" s="8" t="s">
        <v>699</v>
      </c>
    </row>
    <row r="55" spans="1:5" ht="11.25" customHeight="1" x14ac:dyDescent="0.25">
      <c r="A55" s="8" t="s">
        <v>696</v>
      </c>
      <c r="B55" s="8" t="s">
        <v>724</v>
      </c>
      <c r="C55" s="8" t="s">
        <v>698</v>
      </c>
      <c r="D55" s="8">
        <v>675</v>
      </c>
      <c r="E55" s="8" t="s">
        <v>699</v>
      </c>
    </row>
    <row r="56" spans="1:5" ht="11.25" customHeight="1" x14ac:dyDescent="0.25">
      <c r="A56" s="8" t="s">
        <v>696</v>
      </c>
      <c r="B56" s="8" t="s">
        <v>724</v>
      </c>
      <c r="C56" s="8" t="s">
        <v>698</v>
      </c>
      <c r="D56" s="8">
        <v>676</v>
      </c>
      <c r="E56" s="8" t="s">
        <v>699</v>
      </c>
    </row>
    <row r="57" spans="1:5" ht="11.25" customHeight="1" x14ac:dyDescent="0.25">
      <c r="A57" s="8" t="s">
        <v>696</v>
      </c>
      <c r="B57" s="8" t="s">
        <v>724</v>
      </c>
      <c r="C57" s="8" t="s">
        <v>698</v>
      </c>
      <c r="D57" s="8">
        <v>677</v>
      </c>
      <c r="E57" s="8" t="s">
        <v>699</v>
      </c>
    </row>
    <row r="58" spans="1:5" ht="11.25" customHeight="1" x14ac:dyDescent="0.25">
      <c r="A58" s="8" t="s">
        <v>696</v>
      </c>
      <c r="B58" s="8" t="s">
        <v>724</v>
      </c>
      <c r="C58" s="8" t="s">
        <v>698</v>
      </c>
      <c r="D58" s="8">
        <v>678</v>
      </c>
      <c r="E58" s="8" t="s">
        <v>699</v>
      </c>
    </row>
    <row r="59" spans="1:5" ht="11.25" customHeight="1" x14ac:dyDescent="0.25">
      <c r="A59" s="8" t="s">
        <v>696</v>
      </c>
      <c r="B59" s="8" t="s">
        <v>724</v>
      </c>
      <c r="C59" s="8" t="s">
        <v>698</v>
      </c>
      <c r="D59" s="8">
        <v>679</v>
      </c>
      <c r="E59" s="8" t="s">
        <v>699</v>
      </c>
    </row>
    <row r="60" spans="1:5" ht="11.25" customHeight="1" x14ac:dyDescent="0.25">
      <c r="A60" s="8" t="s">
        <v>696</v>
      </c>
      <c r="B60" s="8" t="s">
        <v>724</v>
      </c>
      <c r="C60" s="8" t="s">
        <v>698</v>
      </c>
      <c r="D60" s="8">
        <v>680</v>
      </c>
      <c r="E60" s="8" t="s">
        <v>699</v>
      </c>
    </row>
    <row r="61" spans="1:5" ht="11.25" customHeight="1" x14ac:dyDescent="0.25">
      <c r="A61" s="8" t="s">
        <v>696</v>
      </c>
      <c r="B61" s="8" t="s">
        <v>724</v>
      </c>
      <c r="C61" s="8" t="s">
        <v>698</v>
      </c>
      <c r="D61" s="8">
        <v>681</v>
      </c>
      <c r="E61" s="8" t="s">
        <v>699</v>
      </c>
    </row>
    <row r="62" spans="1:5" ht="11.25" customHeight="1" x14ac:dyDescent="0.25">
      <c r="A62" s="8" t="s">
        <v>696</v>
      </c>
      <c r="B62" s="8" t="s">
        <v>724</v>
      </c>
      <c r="C62" s="8" t="s">
        <v>698</v>
      </c>
      <c r="D62" s="8">
        <v>682</v>
      </c>
      <c r="E62" s="8" t="s">
        <v>699</v>
      </c>
    </row>
    <row r="63" spans="1:5" ht="11.25" customHeight="1" x14ac:dyDescent="0.25">
      <c r="A63" s="8" t="s">
        <v>696</v>
      </c>
      <c r="B63" s="8" t="s">
        <v>724</v>
      </c>
      <c r="C63" s="8" t="s">
        <v>698</v>
      </c>
      <c r="D63" s="8">
        <v>788</v>
      </c>
      <c r="E63" s="8" t="s">
        <v>699</v>
      </c>
    </row>
    <row r="64" spans="1:5" ht="11.25" customHeight="1" x14ac:dyDescent="0.25">
      <c r="A64" s="8" t="s">
        <v>696</v>
      </c>
      <c r="B64" s="8" t="s">
        <v>724</v>
      </c>
      <c r="C64" s="8" t="s">
        <v>698</v>
      </c>
      <c r="D64" s="8">
        <v>789</v>
      </c>
      <c r="E64" s="8" t="s">
        <v>699</v>
      </c>
    </row>
    <row r="65" spans="1:5" ht="11.25" customHeight="1" x14ac:dyDescent="0.25">
      <c r="A65" s="8" t="s">
        <v>696</v>
      </c>
      <c r="B65" s="8" t="s">
        <v>724</v>
      </c>
      <c r="C65" s="8" t="s">
        <v>698</v>
      </c>
      <c r="D65" s="8">
        <v>790</v>
      </c>
      <c r="E65" s="8" t="s">
        <v>699</v>
      </c>
    </row>
    <row r="66" spans="1:5" ht="11.25" customHeight="1" x14ac:dyDescent="0.25">
      <c r="A66" s="8" t="s">
        <v>696</v>
      </c>
      <c r="B66" s="8" t="s">
        <v>724</v>
      </c>
      <c r="C66" s="8" t="s">
        <v>698</v>
      </c>
      <c r="D66" s="8">
        <v>791</v>
      </c>
      <c r="E66" s="8" t="s">
        <v>699</v>
      </c>
    </row>
    <row r="67" spans="1:5" ht="11.25" customHeight="1" x14ac:dyDescent="0.25">
      <c r="A67" s="8" t="s">
        <v>696</v>
      </c>
      <c r="B67" s="8" t="s">
        <v>724</v>
      </c>
      <c r="C67" s="8" t="s">
        <v>698</v>
      </c>
      <c r="D67" s="8">
        <v>792</v>
      </c>
      <c r="E67" s="8" t="s">
        <v>699</v>
      </c>
    </row>
    <row r="68" spans="1:5" ht="11.25" customHeight="1" x14ac:dyDescent="0.25">
      <c r="A68" s="8" t="s">
        <v>696</v>
      </c>
      <c r="B68" s="8" t="s">
        <v>724</v>
      </c>
      <c r="C68" s="8" t="s">
        <v>698</v>
      </c>
      <c r="D68" s="8">
        <v>793</v>
      </c>
      <c r="E68" s="8" t="s">
        <v>699</v>
      </c>
    </row>
    <row r="69" spans="1:5" ht="11.25" customHeight="1" x14ac:dyDescent="0.25">
      <c r="A69" s="8" t="s">
        <v>696</v>
      </c>
      <c r="B69" s="8" t="s">
        <v>724</v>
      </c>
      <c r="C69" s="8" t="s">
        <v>698</v>
      </c>
      <c r="D69" s="8">
        <v>794</v>
      </c>
      <c r="E69" s="8" t="s">
        <v>699</v>
      </c>
    </row>
    <row r="70" spans="1:5" ht="11.25" customHeight="1" x14ac:dyDescent="0.25">
      <c r="A70" s="8" t="s">
        <v>696</v>
      </c>
      <c r="B70" s="8" t="s">
        <v>724</v>
      </c>
      <c r="C70" s="8" t="s">
        <v>698</v>
      </c>
      <c r="D70" s="8">
        <v>795</v>
      </c>
      <c r="E70" s="8" t="s">
        <v>699</v>
      </c>
    </row>
    <row r="71" spans="1:5" ht="11.25" customHeight="1" x14ac:dyDescent="0.25">
      <c r="A71" s="8" t="s">
        <v>696</v>
      </c>
      <c r="B71" s="8" t="s">
        <v>724</v>
      </c>
      <c r="C71" s="8" t="s">
        <v>698</v>
      </c>
      <c r="D71" s="8">
        <v>796</v>
      </c>
      <c r="E71" s="8" t="s">
        <v>699</v>
      </c>
    </row>
    <row r="72" spans="1:5" ht="11.25" customHeight="1" x14ac:dyDescent="0.25">
      <c r="A72" s="8" t="s">
        <v>696</v>
      </c>
      <c r="B72" s="8" t="s">
        <v>724</v>
      </c>
      <c r="C72" s="8" t="s">
        <v>698</v>
      </c>
      <c r="D72" s="8">
        <v>797</v>
      </c>
      <c r="E72" s="8" t="s">
        <v>699</v>
      </c>
    </row>
    <row r="73" spans="1:5" ht="11.25" customHeight="1" x14ac:dyDescent="0.25">
      <c r="A73" s="8" t="s">
        <v>696</v>
      </c>
      <c r="B73" s="8" t="s">
        <v>724</v>
      </c>
      <c r="C73" s="8" t="s">
        <v>698</v>
      </c>
      <c r="D73" s="8">
        <v>798</v>
      </c>
      <c r="E73" s="8" t="s">
        <v>699</v>
      </c>
    </row>
    <row r="74" spans="1:5" ht="11.25" customHeight="1" x14ac:dyDescent="0.25">
      <c r="A74" s="8" t="s">
        <v>696</v>
      </c>
      <c r="B74" s="8" t="s">
        <v>724</v>
      </c>
      <c r="C74" s="8" t="s">
        <v>698</v>
      </c>
      <c r="D74" s="8">
        <v>799</v>
      </c>
      <c r="E74" s="8" t="s">
        <v>699</v>
      </c>
    </row>
    <row r="75" spans="1:5" ht="11.25" customHeight="1" x14ac:dyDescent="0.25">
      <c r="A75" s="8" t="s">
        <v>696</v>
      </c>
      <c r="B75" s="8" t="s">
        <v>724</v>
      </c>
      <c r="C75" s="8" t="s">
        <v>698</v>
      </c>
      <c r="D75" s="8">
        <v>800</v>
      </c>
      <c r="E75" s="8" t="s">
        <v>699</v>
      </c>
    </row>
    <row r="76" spans="1:5" ht="11.25" customHeight="1" x14ac:dyDescent="0.25">
      <c r="A76" s="8" t="s">
        <v>696</v>
      </c>
      <c r="B76" s="8" t="s">
        <v>724</v>
      </c>
      <c r="C76" s="8" t="s">
        <v>698</v>
      </c>
      <c r="D76" s="8">
        <v>801</v>
      </c>
      <c r="E76" s="8" t="s">
        <v>699</v>
      </c>
    </row>
    <row r="77" spans="1:5" ht="11.25" customHeight="1" x14ac:dyDescent="0.25">
      <c r="A77" s="8" t="s">
        <v>696</v>
      </c>
      <c r="B77" s="8" t="s">
        <v>724</v>
      </c>
      <c r="C77" s="8" t="s">
        <v>698</v>
      </c>
      <c r="D77" s="8">
        <v>802</v>
      </c>
      <c r="E77" s="8" t="s">
        <v>699</v>
      </c>
    </row>
    <row r="78" spans="1:5" ht="11.25" customHeight="1" x14ac:dyDescent="0.25">
      <c r="A78" s="8" t="s">
        <v>696</v>
      </c>
      <c r="B78" s="8" t="s">
        <v>724</v>
      </c>
      <c r="C78" s="8" t="s">
        <v>698</v>
      </c>
      <c r="D78" s="8">
        <v>803</v>
      </c>
      <c r="E78" s="8" t="s">
        <v>699</v>
      </c>
    </row>
    <row r="79" spans="1:5" ht="11.25" customHeight="1" x14ac:dyDescent="0.25">
      <c r="A79" s="8" t="s">
        <v>696</v>
      </c>
      <c r="B79" s="8" t="s">
        <v>724</v>
      </c>
      <c r="C79" s="8" t="s">
        <v>698</v>
      </c>
      <c r="D79" s="8">
        <v>804</v>
      </c>
      <c r="E79" s="8" t="s">
        <v>699</v>
      </c>
    </row>
    <row r="80" spans="1:5" ht="11.25" customHeight="1" x14ac:dyDescent="0.25">
      <c r="A80" s="8" t="s">
        <v>696</v>
      </c>
      <c r="B80" s="8" t="s">
        <v>724</v>
      </c>
      <c r="C80" s="8" t="s">
        <v>698</v>
      </c>
      <c r="D80" s="8">
        <v>805</v>
      </c>
      <c r="E80" s="8" t="s">
        <v>699</v>
      </c>
    </row>
    <row r="81" spans="1:5" ht="11.25" customHeight="1" x14ac:dyDescent="0.25">
      <c r="A81" s="8" t="s">
        <v>696</v>
      </c>
      <c r="B81" s="8" t="s">
        <v>724</v>
      </c>
      <c r="C81" s="8" t="s">
        <v>698</v>
      </c>
      <c r="D81" s="8">
        <v>806</v>
      </c>
      <c r="E81" s="8" t="s">
        <v>699</v>
      </c>
    </row>
    <row r="82" spans="1:5" ht="11.25" customHeight="1" x14ac:dyDescent="0.25">
      <c r="A82" s="8" t="s">
        <v>696</v>
      </c>
      <c r="B82" s="8" t="s">
        <v>724</v>
      </c>
      <c r="C82" s="8" t="s">
        <v>698</v>
      </c>
      <c r="D82" s="8">
        <v>807</v>
      </c>
      <c r="E82" s="8" t="s">
        <v>699</v>
      </c>
    </row>
    <row r="83" spans="1:5" ht="11.25" customHeight="1" x14ac:dyDescent="0.25">
      <c r="A83" s="8" t="s">
        <v>696</v>
      </c>
      <c r="B83" s="8" t="s">
        <v>724</v>
      </c>
      <c r="C83" s="8" t="s">
        <v>698</v>
      </c>
      <c r="D83" s="8">
        <v>808</v>
      </c>
      <c r="E83" s="8" t="s">
        <v>699</v>
      </c>
    </row>
    <row r="84" spans="1:5" ht="11.25" customHeight="1" x14ac:dyDescent="0.25">
      <c r="A84" s="8" t="s">
        <v>696</v>
      </c>
      <c r="B84" s="8" t="s">
        <v>724</v>
      </c>
      <c r="C84" s="8" t="s">
        <v>698</v>
      </c>
      <c r="D84" s="8">
        <v>809</v>
      </c>
      <c r="E84" s="8" t="s">
        <v>699</v>
      </c>
    </row>
    <row r="85" spans="1:5" ht="11.25" customHeight="1" x14ac:dyDescent="0.25">
      <c r="A85" s="8" t="s">
        <v>696</v>
      </c>
      <c r="B85" s="8" t="s">
        <v>724</v>
      </c>
      <c r="C85" s="8" t="s">
        <v>698</v>
      </c>
      <c r="D85" s="8">
        <v>810</v>
      </c>
      <c r="E85" s="8" t="s">
        <v>699</v>
      </c>
    </row>
    <row r="86" spans="1:5" ht="11.25" customHeight="1" x14ac:dyDescent="0.25">
      <c r="A86" s="8" t="s">
        <v>696</v>
      </c>
      <c r="B86" s="8" t="s">
        <v>724</v>
      </c>
      <c r="C86" s="8" t="s">
        <v>698</v>
      </c>
      <c r="D86" s="8">
        <v>811</v>
      </c>
      <c r="E86" s="8" t="s">
        <v>699</v>
      </c>
    </row>
    <row r="87" spans="1:5" ht="11.25" customHeight="1" x14ac:dyDescent="0.25">
      <c r="A87" s="8" t="s">
        <v>696</v>
      </c>
      <c r="B87" s="8" t="s">
        <v>724</v>
      </c>
      <c r="C87" s="8" t="s">
        <v>698</v>
      </c>
      <c r="D87" s="8">
        <v>812</v>
      </c>
      <c r="E87" s="8" t="s">
        <v>699</v>
      </c>
    </row>
    <row r="88" spans="1:5" ht="11.25" customHeight="1" x14ac:dyDescent="0.25">
      <c r="A88" s="8" t="s">
        <v>696</v>
      </c>
      <c r="B88" s="8" t="s">
        <v>724</v>
      </c>
      <c r="C88" s="8" t="s">
        <v>698</v>
      </c>
      <c r="D88" s="8">
        <v>813</v>
      </c>
      <c r="E88" s="8" t="s">
        <v>699</v>
      </c>
    </row>
    <row r="89" spans="1:5" ht="11.25" customHeight="1" x14ac:dyDescent="0.25">
      <c r="A89" s="8" t="s">
        <v>696</v>
      </c>
      <c r="B89" s="8" t="s">
        <v>724</v>
      </c>
      <c r="C89" s="8" t="s">
        <v>698</v>
      </c>
      <c r="D89" s="8">
        <v>814</v>
      </c>
      <c r="E89" s="8" t="s">
        <v>699</v>
      </c>
    </row>
    <row r="90" spans="1:5" ht="11.25" customHeight="1" x14ac:dyDescent="0.25">
      <c r="A90" s="8" t="s">
        <v>696</v>
      </c>
      <c r="B90" s="8" t="s">
        <v>724</v>
      </c>
      <c r="C90" s="8" t="s">
        <v>698</v>
      </c>
      <c r="D90" s="8">
        <v>815</v>
      </c>
      <c r="E90" s="8" t="s">
        <v>699</v>
      </c>
    </row>
    <row r="91" spans="1:5" ht="11.25" customHeight="1" x14ac:dyDescent="0.25">
      <c r="A91" s="8" t="s">
        <v>696</v>
      </c>
      <c r="B91" s="8" t="s">
        <v>724</v>
      </c>
      <c r="C91" s="8" t="s">
        <v>698</v>
      </c>
      <c r="D91" s="8">
        <v>816</v>
      </c>
      <c r="E91" s="8" t="s">
        <v>699</v>
      </c>
    </row>
    <row r="92" spans="1:5" ht="11.25" customHeight="1" x14ac:dyDescent="0.25">
      <c r="A92" s="8" t="s">
        <v>696</v>
      </c>
      <c r="B92" s="8" t="s">
        <v>724</v>
      </c>
      <c r="C92" s="8" t="s">
        <v>698</v>
      </c>
      <c r="D92" s="8">
        <v>817</v>
      </c>
      <c r="E92" s="8" t="s">
        <v>699</v>
      </c>
    </row>
    <row r="93" spans="1:5" ht="11.25" customHeight="1" x14ac:dyDescent="0.25">
      <c r="A93" s="8" t="s">
        <v>696</v>
      </c>
      <c r="B93" s="8" t="s">
        <v>724</v>
      </c>
      <c r="C93" s="8" t="s">
        <v>698</v>
      </c>
      <c r="D93" s="8">
        <v>818</v>
      </c>
      <c r="E93" s="8" t="s">
        <v>699</v>
      </c>
    </row>
    <row r="94" spans="1:5" ht="11.25" customHeight="1" x14ac:dyDescent="0.25">
      <c r="A94" s="8" t="s">
        <v>696</v>
      </c>
      <c r="B94" s="8" t="s">
        <v>724</v>
      </c>
      <c r="C94" s="8" t="s">
        <v>698</v>
      </c>
      <c r="D94" s="8">
        <v>819</v>
      </c>
      <c r="E94" s="8" t="s">
        <v>699</v>
      </c>
    </row>
    <row r="95" spans="1:5" ht="11.25" customHeight="1" x14ac:dyDescent="0.25">
      <c r="A95" s="8" t="s">
        <v>696</v>
      </c>
      <c r="B95" s="8" t="s">
        <v>724</v>
      </c>
      <c r="C95" s="8" t="s">
        <v>698</v>
      </c>
      <c r="D95" s="8">
        <v>820</v>
      </c>
      <c r="E95" s="8" t="s">
        <v>699</v>
      </c>
    </row>
    <row r="96" spans="1:5" ht="11.25" customHeight="1" x14ac:dyDescent="0.25">
      <c r="A96" s="8" t="s">
        <v>696</v>
      </c>
      <c r="B96" s="8" t="s">
        <v>724</v>
      </c>
      <c r="C96" s="8" t="s">
        <v>698</v>
      </c>
      <c r="D96" s="8">
        <v>821</v>
      </c>
      <c r="E96" s="8" t="s">
        <v>699</v>
      </c>
    </row>
    <row r="97" spans="1:5" ht="11.25" customHeight="1" x14ac:dyDescent="0.25">
      <c r="A97" s="8" t="s">
        <v>696</v>
      </c>
      <c r="B97" s="8" t="s">
        <v>724</v>
      </c>
      <c r="C97" s="8" t="s">
        <v>698</v>
      </c>
      <c r="D97" s="8">
        <v>822</v>
      </c>
      <c r="E97" s="8" t="s">
        <v>699</v>
      </c>
    </row>
    <row r="98" spans="1:5" ht="11.25" customHeight="1" x14ac:dyDescent="0.25">
      <c r="A98" s="8" t="s">
        <v>696</v>
      </c>
      <c r="B98" s="8" t="s">
        <v>724</v>
      </c>
      <c r="C98" s="8" t="s">
        <v>698</v>
      </c>
      <c r="D98" s="8">
        <v>823</v>
      </c>
      <c r="E98" s="8" t="s">
        <v>699</v>
      </c>
    </row>
    <row r="99" spans="1:5" ht="11.25" customHeight="1" x14ac:dyDescent="0.25">
      <c r="A99" s="8" t="s">
        <v>696</v>
      </c>
      <c r="B99" s="8" t="s">
        <v>724</v>
      </c>
      <c r="C99" s="8" t="s">
        <v>698</v>
      </c>
      <c r="D99" s="8">
        <v>882</v>
      </c>
      <c r="E99" s="8" t="s">
        <v>699</v>
      </c>
    </row>
    <row r="100" spans="1:5" ht="11.25" customHeight="1" x14ac:dyDescent="0.25">
      <c r="A100" s="8" t="s">
        <v>696</v>
      </c>
      <c r="B100" s="8" t="s">
        <v>724</v>
      </c>
      <c r="C100" s="8" t="s">
        <v>698</v>
      </c>
      <c r="D100" s="8">
        <v>883</v>
      </c>
      <c r="E100" s="8" t="s">
        <v>699</v>
      </c>
    </row>
    <row r="101" spans="1:5" ht="11.25" customHeight="1" x14ac:dyDescent="0.25">
      <c r="A101" s="8" t="s">
        <v>696</v>
      </c>
      <c r="B101" s="8" t="s">
        <v>724</v>
      </c>
      <c r="C101" s="8" t="s">
        <v>698</v>
      </c>
      <c r="D101" s="8">
        <v>884</v>
      </c>
      <c r="E101" s="8" t="s">
        <v>699</v>
      </c>
    </row>
    <row r="102" spans="1:5" ht="11.25" customHeight="1" x14ac:dyDescent="0.25">
      <c r="A102" s="8" t="s">
        <v>696</v>
      </c>
      <c r="B102" s="8" t="s">
        <v>724</v>
      </c>
      <c r="C102" s="8" t="s">
        <v>698</v>
      </c>
      <c r="D102" s="8">
        <v>885</v>
      </c>
      <c r="E102" s="8" t="s">
        <v>699</v>
      </c>
    </row>
    <row r="103" spans="1:5" ht="11.25" customHeight="1" x14ac:dyDescent="0.25">
      <c r="A103" s="8" t="s">
        <v>696</v>
      </c>
      <c r="B103" s="8" t="s">
        <v>724</v>
      </c>
      <c r="C103" s="8" t="s">
        <v>698</v>
      </c>
      <c r="D103" s="8">
        <v>886</v>
      </c>
      <c r="E103" s="8" t="s">
        <v>699</v>
      </c>
    </row>
    <row r="104" spans="1:5" ht="11.25" customHeight="1" x14ac:dyDescent="0.25">
      <c r="A104" s="8" t="s">
        <v>696</v>
      </c>
      <c r="B104" s="8" t="s">
        <v>724</v>
      </c>
      <c r="C104" s="8" t="s">
        <v>698</v>
      </c>
      <c r="D104" s="8">
        <v>887</v>
      </c>
      <c r="E104" s="8" t="s">
        <v>699</v>
      </c>
    </row>
    <row r="105" spans="1:5" ht="11.25" customHeight="1" x14ac:dyDescent="0.25">
      <c r="A105" s="8" t="s">
        <v>696</v>
      </c>
      <c r="B105" s="8" t="s">
        <v>724</v>
      </c>
      <c r="C105" s="8" t="s">
        <v>698</v>
      </c>
      <c r="D105" s="8">
        <v>888</v>
      </c>
      <c r="E105" s="8" t="s">
        <v>699</v>
      </c>
    </row>
    <row r="106" spans="1:5" ht="11.25" customHeight="1" x14ac:dyDescent="0.25">
      <c r="A106" s="8" t="s">
        <v>696</v>
      </c>
      <c r="B106" s="8" t="s">
        <v>724</v>
      </c>
      <c r="C106" s="8" t="s">
        <v>698</v>
      </c>
      <c r="D106" s="8">
        <v>889</v>
      </c>
      <c r="E106" s="8" t="s">
        <v>699</v>
      </c>
    </row>
    <row r="107" spans="1:5" ht="11.25" customHeight="1" x14ac:dyDescent="0.25">
      <c r="A107" s="8" t="s">
        <v>696</v>
      </c>
      <c r="B107" s="8" t="s">
        <v>724</v>
      </c>
      <c r="C107" s="8" t="s">
        <v>698</v>
      </c>
      <c r="D107" s="8">
        <v>890</v>
      </c>
      <c r="E107" s="8" t="s">
        <v>699</v>
      </c>
    </row>
    <row r="108" spans="1:5" ht="11.25" customHeight="1" x14ac:dyDescent="0.25">
      <c r="A108" s="8" t="s">
        <v>696</v>
      </c>
      <c r="B108" s="8" t="s">
        <v>724</v>
      </c>
      <c r="C108" s="8" t="s">
        <v>698</v>
      </c>
      <c r="D108" s="8">
        <v>891</v>
      </c>
      <c r="E108" s="8" t="s">
        <v>699</v>
      </c>
    </row>
    <row r="109" spans="1:5" ht="11.25" customHeight="1" x14ac:dyDescent="0.25">
      <c r="A109" s="8" t="s">
        <v>696</v>
      </c>
      <c r="B109" s="8" t="s">
        <v>724</v>
      </c>
      <c r="C109" s="8" t="s">
        <v>698</v>
      </c>
      <c r="D109" s="8">
        <v>892</v>
      </c>
      <c r="E109" s="8" t="s">
        <v>699</v>
      </c>
    </row>
    <row r="110" spans="1:5" ht="11.25" customHeight="1" x14ac:dyDescent="0.25">
      <c r="A110" s="8" t="s">
        <v>696</v>
      </c>
      <c r="B110" s="8" t="s">
        <v>724</v>
      </c>
      <c r="C110" s="8" t="s">
        <v>698</v>
      </c>
      <c r="D110" s="8">
        <v>893</v>
      </c>
      <c r="E110" s="8" t="s">
        <v>699</v>
      </c>
    </row>
    <row r="111" spans="1:5" ht="11.25" customHeight="1" x14ac:dyDescent="0.25">
      <c r="A111" s="8" t="s">
        <v>696</v>
      </c>
      <c r="B111" s="8" t="s">
        <v>724</v>
      </c>
      <c r="C111" s="8" t="s">
        <v>698</v>
      </c>
      <c r="D111" s="8">
        <v>894</v>
      </c>
      <c r="E111" s="8" t="s">
        <v>699</v>
      </c>
    </row>
    <row r="112" spans="1:5" ht="11.25" customHeight="1" x14ac:dyDescent="0.25">
      <c r="A112" s="8" t="s">
        <v>696</v>
      </c>
      <c r="B112" s="8" t="s">
        <v>724</v>
      </c>
      <c r="C112" s="8" t="s">
        <v>698</v>
      </c>
      <c r="D112" s="8">
        <v>895</v>
      </c>
      <c r="E112" s="8" t="s">
        <v>699</v>
      </c>
    </row>
    <row r="113" spans="1:5" ht="11.25" customHeight="1" x14ac:dyDescent="0.25">
      <c r="A113" s="8" t="s">
        <v>696</v>
      </c>
      <c r="B113" s="8" t="s">
        <v>724</v>
      </c>
      <c r="C113" s="8" t="s">
        <v>698</v>
      </c>
      <c r="D113" s="8">
        <v>896</v>
      </c>
      <c r="E113" s="8" t="s">
        <v>699</v>
      </c>
    </row>
    <row r="114" spans="1:5" ht="11.25" customHeight="1" x14ac:dyDescent="0.25">
      <c r="A114" s="8" t="s">
        <v>696</v>
      </c>
      <c r="B114" s="8" t="s">
        <v>724</v>
      </c>
      <c r="C114" s="8" t="s">
        <v>698</v>
      </c>
      <c r="D114" s="8">
        <v>897</v>
      </c>
      <c r="E114" s="8" t="s">
        <v>699</v>
      </c>
    </row>
    <row r="115" spans="1:5" ht="11.25" customHeight="1" x14ac:dyDescent="0.25">
      <c r="A115" s="8" t="s">
        <v>696</v>
      </c>
      <c r="B115" s="8" t="s">
        <v>724</v>
      </c>
      <c r="C115" s="8" t="s">
        <v>698</v>
      </c>
      <c r="D115" s="8">
        <v>898</v>
      </c>
      <c r="E115" s="8" t="s">
        <v>699</v>
      </c>
    </row>
    <row r="116" spans="1:5" ht="11.25" customHeight="1" x14ac:dyDescent="0.25">
      <c r="A116" s="8" t="s">
        <v>696</v>
      </c>
      <c r="B116" s="8" t="s">
        <v>724</v>
      </c>
      <c r="C116" s="8" t="s">
        <v>698</v>
      </c>
      <c r="D116" s="8">
        <v>899</v>
      </c>
      <c r="E116" s="8" t="s">
        <v>699</v>
      </c>
    </row>
    <row r="117" spans="1:5" ht="11.25" customHeight="1" x14ac:dyDescent="0.25">
      <c r="A117" s="8" t="s">
        <v>696</v>
      </c>
      <c r="B117" s="8" t="s">
        <v>724</v>
      </c>
      <c r="C117" s="8" t="s">
        <v>698</v>
      </c>
      <c r="D117" s="8">
        <v>900</v>
      </c>
      <c r="E117" s="8" t="s">
        <v>699</v>
      </c>
    </row>
    <row r="118" spans="1:5" ht="11.25" customHeight="1" x14ac:dyDescent="0.25">
      <c r="A118" s="8" t="s">
        <v>696</v>
      </c>
      <c r="B118" s="8" t="s">
        <v>724</v>
      </c>
      <c r="C118" s="8" t="s">
        <v>698</v>
      </c>
      <c r="D118" s="8">
        <v>901</v>
      </c>
      <c r="E118" s="8" t="s">
        <v>699</v>
      </c>
    </row>
    <row r="119" spans="1:5" ht="11.25" customHeight="1" x14ac:dyDescent="0.25">
      <c r="A119" s="8" t="s">
        <v>696</v>
      </c>
      <c r="B119" s="8" t="s">
        <v>724</v>
      </c>
      <c r="C119" s="8" t="s">
        <v>698</v>
      </c>
      <c r="D119" s="8">
        <v>902</v>
      </c>
      <c r="E119" s="8" t="s">
        <v>699</v>
      </c>
    </row>
    <row r="120" spans="1:5" ht="11.25" customHeight="1" x14ac:dyDescent="0.25">
      <c r="A120" s="8" t="s">
        <v>696</v>
      </c>
      <c r="B120" s="8" t="s">
        <v>724</v>
      </c>
      <c r="C120" s="8" t="s">
        <v>698</v>
      </c>
      <c r="D120" s="8">
        <v>903</v>
      </c>
      <c r="E120" s="8" t="s">
        <v>699</v>
      </c>
    </row>
    <row r="121" spans="1:5" ht="11.25" customHeight="1" x14ac:dyDescent="0.25">
      <c r="A121" s="8" t="s">
        <v>696</v>
      </c>
      <c r="B121" s="8" t="s">
        <v>724</v>
      </c>
      <c r="C121" s="8" t="s">
        <v>698</v>
      </c>
      <c r="D121" s="8">
        <v>904</v>
      </c>
      <c r="E121" s="8" t="s">
        <v>699</v>
      </c>
    </row>
    <row r="122" spans="1:5" ht="11.25" customHeight="1" x14ac:dyDescent="0.25">
      <c r="A122" s="8" t="s">
        <v>696</v>
      </c>
      <c r="B122" s="8" t="s">
        <v>724</v>
      </c>
      <c r="C122" s="8" t="s">
        <v>698</v>
      </c>
      <c r="D122" s="8">
        <v>905</v>
      </c>
      <c r="E122" s="8" t="s">
        <v>699</v>
      </c>
    </row>
    <row r="123" spans="1:5" ht="11.25" customHeight="1" x14ac:dyDescent="0.25">
      <c r="A123" s="8" t="s">
        <v>696</v>
      </c>
      <c r="B123" s="8" t="s">
        <v>724</v>
      </c>
      <c r="C123" s="8" t="s">
        <v>698</v>
      </c>
      <c r="D123" s="8">
        <v>906</v>
      </c>
      <c r="E123" s="8" t="s">
        <v>699</v>
      </c>
    </row>
    <row r="124" spans="1:5" ht="11.25" customHeight="1" x14ac:dyDescent="0.25">
      <c r="A124" s="8" t="s">
        <v>696</v>
      </c>
      <c r="B124" s="8" t="s">
        <v>724</v>
      </c>
      <c r="C124" s="8" t="s">
        <v>698</v>
      </c>
      <c r="D124" s="8">
        <v>907</v>
      </c>
      <c r="E124" s="8" t="s">
        <v>699</v>
      </c>
    </row>
    <row r="125" spans="1:5" ht="11.25" customHeight="1" x14ac:dyDescent="0.25">
      <c r="A125" s="8" t="s">
        <v>696</v>
      </c>
      <c r="B125" s="8" t="s">
        <v>724</v>
      </c>
      <c r="C125" s="8" t="s">
        <v>698</v>
      </c>
      <c r="D125" s="8">
        <v>967</v>
      </c>
      <c r="E125" s="8" t="s">
        <v>699</v>
      </c>
    </row>
    <row r="126" spans="1:5" ht="11.25" customHeight="1" x14ac:dyDescent="0.25">
      <c r="A126" s="8" t="s">
        <v>696</v>
      </c>
      <c r="B126" s="8" t="s">
        <v>724</v>
      </c>
      <c r="C126" s="8" t="s">
        <v>698</v>
      </c>
      <c r="D126" s="8">
        <v>968</v>
      </c>
      <c r="E126" s="8" t="s">
        <v>699</v>
      </c>
    </row>
    <row r="127" spans="1:5" ht="11.25" customHeight="1" x14ac:dyDescent="0.25">
      <c r="A127" s="8" t="s">
        <v>696</v>
      </c>
      <c r="B127" s="8" t="s">
        <v>724</v>
      </c>
      <c r="C127" s="8" t="s">
        <v>698</v>
      </c>
      <c r="D127" s="8">
        <v>969</v>
      </c>
      <c r="E127" s="8" t="s">
        <v>699</v>
      </c>
    </row>
    <row r="128" spans="1:5" ht="11.25" customHeight="1" x14ac:dyDescent="0.25">
      <c r="A128" s="8" t="s">
        <v>696</v>
      </c>
      <c r="B128" s="8" t="s">
        <v>724</v>
      </c>
      <c r="C128" s="8" t="s">
        <v>698</v>
      </c>
      <c r="D128" s="8">
        <v>970</v>
      </c>
      <c r="E128" s="8" t="s">
        <v>699</v>
      </c>
    </row>
    <row r="129" spans="1:5" ht="11.25" customHeight="1" x14ac:dyDescent="0.25">
      <c r="A129" s="8" t="s">
        <v>696</v>
      </c>
      <c r="B129" s="8" t="s">
        <v>724</v>
      </c>
      <c r="C129" s="8" t="s">
        <v>698</v>
      </c>
      <c r="D129" s="8">
        <v>971</v>
      </c>
      <c r="E129" s="8" t="s">
        <v>699</v>
      </c>
    </row>
    <row r="130" spans="1:5" ht="11.25" customHeight="1" x14ac:dyDescent="0.25">
      <c r="A130" s="8" t="s">
        <v>696</v>
      </c>
      <c r="B130" s="8" t="s">
        <v>724</v>
      </c>
      <c r="C130" s="8" t="s">
        <v>698</v>
      </c>
      <c r="D130" s="8">
        <v>972</v>
      </c>
      <c r="E130" s="8" t="s">
        <v>699</v>
      </c>
    </row>
    <row r="131" spans="1:5" ht="11.25" customHeight="1" x14ac:dyDescent="0.25">
      <c r="A131" s="8" t="s">
        <v>696</v>
      </c>
      <c r="B131" s="8" t="s">
        <v>724</v>
      </c>
      <c r="C131" s="8" t="s">
        <v>698</v>
      </c>
      <c r="D131" s="8">
        <v>973</v>
      </c>
      <c r="E131" s="8" t="s">
        <v>699</v>
      </c>
    </row>
    <row r="132" spans="1:5" ht="11.25" customHeight="1" x14ac:dyDescent="0.25">
      <c r="A132" s="8" t="s">
        <v>696</v>
      </c>
      <c r="B132" s="8" t="s">
        <v>724</v>
      </c>
      <c r="C132" s="8" t="s">
        <v>698</v>
      </c>
      <c r="D132" s="8">
        <v>974</v>
      </c>
      <c r="E132" s="8" t="s">
        <v>699</v>
      </c>
    </row>
    <row r="133" spans="1:5" ht="11.25" customHeight="1" x14ac:dyDescent="0.25">
      <c r="A133" s="8" t="s">
        <v>696</v>
      </c>
      <c r="B133" s="8" t="s">
        <v>724</v>
      </c>
      <c r="C133" s="8" t="s">
        <v>698</v>
      </c>
      <c r="D133" s="8">
        <v>975</v>
      </c>
      <c r="E133" s="8" t="s">
        <v>699</v>
      </c>
    </row>
    <row r="134" spans="1:5" ht="11.25" customHeight="1" x14ac:dyDescent="0.25">
      <c r="A134" s="8" t="s">
        <v>696</v>
      </c>
      <c r="B134" s="8" t="s">
        <v>724</v>
      </c>
      <c r="C134" s="8" t="s">
        <v>698</v>
      </c>
      <c r="D134" s="8">
        <v>976</v>
      </c>
      <c r="E134" s="8" t="s">
        <v>699</v>
      </c>
    </row>
    <row r="135" spans="1:5" ht="11.25" customHeight="1" x14ac:dyDescent="0.25">
      <c r="A135" s="8" t="s">
        <v>696</v>
      </c>
      <c r="B135" s="8" t="s">
        <v>724</v>
      </c>
      <c r="C135" s="8" t="s">
        <v>698</v>
      </c>
      <c r="D135" s="8">
        <v>977</v>
      </c>
      <c r="E135" s="8" t="s">
        <v>699</v>
      </c>
    </row>
    <row r="136" spans="1:5" ht="11.25" customHeight="1" x14ac:dyDescent="0.25">
      <c r="A136" s="8" t="s">
        <v>696</v>
      </c>
      <c r="B136" s="8" t="s">
        <v>724</v>
      </c>
      <c r="C136" s="8" t="s">
        <v>698</v>
      </c>
      <c r="D136" s="8">
        <v>978</v>
      </c>
      <c r="E136" s="8" t="s">
        <v>699</v>
      </c>
    </row>
    <row r="137" spans="1:5" ht="11.25" customHeight="1" x14ac:dyDescent="0.25">
      <c r="A137" s="8" t="s">
        <v>696</v>
      </c>
      <c r="B137" s="8" t="s">
        <v>724</v>
      </c>
      <c r="C137" s="8" t="s">
        <v>698</v>
      </c>
      <c r="D137" s="8">
        <v>979</v>
      </c>
      <c r="E137" s="8" t="s">
        <v>699</v>
      </c>
    </row>
    <row r="138" spans="1:5" ht="11.25" customHeight="1" x14ac:dyDescent="0.25">
      <c r="A138" s="8" t="s">
        <v>696</v>
      </c>
      <c r="B138" s="8" t="s">
        <v>724</v>
      </c>
      <c r="C138" s="8" t="s">
        <v>698</v>
      </c>
      <c r="D138" s="8">
        <v>980</v>
      </c>
      <c r="E138" s="8" t="s">
        <v>699</v>
      </c>
    </row>
    <row r="139" spans="1:5" ht="11.25" customHeight="1" x14ac:dyDescent="0.25">
      <c r="A139" s="8" t="s">
        <v>696</v>
      </c>
      <c r="B139" s="8" t="s">
        <v>724</v>
      </c>
      <c r="C139" s="8" t="s">
        <v>698</v>
      </c>
      <c r="D139" s="8">
        <v>981</v>
      </c>
      <c r="E139" s="8" t="s">
        <v>699</v>
      </c>
    </row>
    <row r="140" spans="1:5" ht="11.25" customHeight="1" x14ac:dyDescent="0.25">
      <c r="A140" s="8" t="s">
        <v>696</v>
      </c>
      <c r="B140" s="8" t="s">
        <v>724</v>
      </c>
      <c r="C140" s="8" t="s">
        <v>698</v>
      </c>
      <c r="D140" s="8">
        <v>982</v>
      </c>
      <c r="E140" s="8" t="s">
        <v>699</v>
      </c>
    </row>
    <row r="141" spans="1:5" ht="11.25" customHeight="1" x14ac:dyDescent="0.25">
      <c r="A141" s="8" t="s">
        <v>696</v>
      </c>
      <c r="B141" s="8" t="s">
        <v>724</v>
      </c>
      <c r="C141" s="8" t="s">
        <v>698</v>
      </c>
      <c r="D141" s="8">
        <v>983</v>
      </c>
      <c r="E141" s="8" t="s">
        <v>699</v>
      </c>
    </row>
    <row r="142" spans="1:5" ht="11.25" customHeight="1" x14ac:dyDescent="0.25">
      <c r="A142" s="8" t="s">
        <v>696</v>
      </c>
      <c r="B142" s="8" t="s">
        <v>724</v>
      </c>
      <c r="C142" s="8" t="s">
        <v>698</v>
      </c>
      <c r="D142" s="8">
        <v>984</v>
      </c>
      <c r="E142" s="8" t="s">
        <v>699</v>
      </c>
    </row>
    <row r="143" spans="1:5" ht="11.25" customHeight="1" x14ac:dyDescent="0.25">
      <c r="A143" s="8" t="s">
        <v>696</v>
      </c>
      <c r="B143" s="8" t="s">
        <v>724</v>
      </c>
      <c r="C143" s="8" t="s">
        <v>698</v>
      </c>
      <c r="D143" s="8">
        <v>985</v>
      </c>
      <c r="E143" s="8" t="s">
        <v>699</v>
      </c>
    </row>
    <row r="144" spans="1:5" ht="11.25" customHeight="1" x14ac:dyDescent="0.25">
      <c r="A144" s="8" t="s">
        <v>696</v>
      </c>
      <c r="B144" s="8" t="s">
        <v>724</v>
      </c>
      <c r="C144" s="8" t="s">
        <v>698</v>
      </c>
      <c r="D144" s="8">
        <v>986</v>
      </c>
      <c r="E144" s="8" t="s">
        <v>699</v>
      </c>
    </row>
    <row r="145" spans="1:5" ht="11.25" customHeight="1" x14ac:dyDescent="0.25">
      <c r="A145" s="8" t="s">
        <v>696</v>
      </c>
      <c r="B145" s="8" t="s">
        <v>724</v>
      </c>
      <c r="C145" s="8" t="s">
        <v>698</v>
      </c>
      <c r="D145" s="8">
        <v>987</v>
      </c>
      <c r="E145" s="8" t="s">
        <v>699</v>
      </c>
    </row>
    <row r="146" spans="1:5" ht="11.25" customHeight="1" x14ac:dyDescent="0.25">
      <c r="A146" s="8" t="s">
        <v>696</v>
      </c>
      <c r="B146" s="8" t="s">
        <v>724</v>
      </c>
      <c r="C146" s="8" t="s">
        <v>698</v>
      </c>
      <c r="D146" s="8">
        <v>988</v>
      </c>
      <c r="E146" s="8" t="s">
        <v>699</v>
      </c>
    </row>
    <row r="147" spans="1:5" ht="11.25" customHeight="1" x14ac:dyDescent="0.25">
      <c r="A147" s="8" t="s">
        <v>696</v>
      </c>
      <c r="B147" s="8" t="s">
        <v>724</v>
      </c>
      <c r="C147" s="8" t="s">
        <v>698</v>
      </c>
      <c r="D147" s="8">
        <v>989</v>
      </c>
      <c r="E147" s="8" t="s">
        <v>699</v>
      </c>
    </row>
    <row r="148" spans="1:5" ht="11.25" customHeight="1" x14ac:dyDescent="0.25">
      <c r="A148" s="8" t="s">
        <v>696</v>
      </c>
      <c r="B148" s="8" t="s">
        <v>724</v>
      </c>
      <c r="C148" s="8" t="s">
        <v>698</v>
      </c>
      <c r="D148" s="8">
        <v>990</v>
      </c>
      <c r="E148" s="8" t="s">
        <v>699</v>
      </c>
    </row>
    <row r="149" spans="1:5" ht="11.25" customHeight="1" x14ac:dyDescent="0.25">
      <c r="A149" s="8" t="s">
        <v>696</v>
      </c>
      <c r="B149" s="8" t="s">
        <v>724</v>
      </c>
      <c r="C149" s="8" t="s">
        <v>698</v>
      </c>
      <c r="D149" s="8">
        <v>991</v>
      </c>
      <c r="E149" s="8" t="s">
        <v>699</v>
      </c>
    </row>
    <row r="150" spans="1:5" ht="11.25" customHeight="1" x14ac:dyDescent="0.25">
      <c r="A150" s="8" t="s">
        <v>696</v>
      </c>
      <c r="B150" s="8" t="s">
        <v>724</v>
      </c>
      <c r="C150" s="8" t="s">
        <v>698</v>
      </c>
      <c r="D150" s="8">
        <v>992</v>
      </c>
      <c r="E150" s="8" t="s">
        <v>699</v>
      </c>
    </row>
    <row r="151" spans="1:5" ht="11.25" customHeight="1" x14ac:dyDescent="0.25">
      <c r="A151" s="8" t="s">
        <v>696</v>
      </c>
      <c r="B151" s="8" t="s">
        <v>724</v>
      </c>
      <c r="C151" s="8" t="s">
        <v>698</v>
      </c>
      <c r="D151" s="8">
        <v>993</v>
      </c>
      <c r="E151" s="8" t="s">
        <v>699</v>
      </c>
    </row>
    <row r="152" spans="1:5" ht="11.25" customHeight="1" x14ac:dyDescent="0.25">
      <c r="A152" s="8" t="s">
        <v>696</v>
      </c>
      <c r="B152" s="8" t="s">
        <v>724</v>
      </c>
      <c r="C152" s="8" t="s">
        <v>698</v>
      </c>
      <c r="D152" s="8">
        <v>994</v>
      </c>
      <c r="E152" s="8" t="s">
        <v>699</v>
      </c>
    </row>
    <row r="153" spans="1:5" ht="11.25" customHeight="1" x14ac:dyDescent="0.25">
      <c r="A153" s="8" t="s">
        <v>696</v>
      </c>
      <c r="B153" s="8" t="s">
        <v>724</v>
      </c>
      <c r="C153" s="8" t="s">
        <v>698</v>
      </c>
      <c r="D153" s="8">
        <v>995</v>
      </c>
      <c r="E153" s="8" t="s">
        <v>699</v>
      </c>
    </row>
    <row r="154" spans="1:5" ht="11.25" customHeight="1" x14ac:dyDescent="0.25">
      <c r="A154" s="8" t="s">
        <v>696</v>
      </c>
      <c r="B154" s="8" t="s">
        <v>724</v>
      </c>
      <c r="C154" s="8" t="s">
        <v>698</v>
      </c>
      <c r="D154" s="8">
        <v>996</v>
      </c>
      <c r="E154" s="8" t="s">
        <v>699</v>
      </c>
    </row>
    <row r="155" spans="1:5" ht="11.25" customHeight="1" x14ac:dyDescent="0.25">
      <c r="A155" s="8" t="s">
        <v>696</v>
      </c>
      <c r="B155" s="8" t="s">
        <v>724</v>
      </c>
      <c r="C155" s="8" t="s">
        <v>698</v>
      </c>
      <c r="D155" s="8">
        <v>997</v>
      </c>
      <c r="E155" s="8" t="s">
        <v>699</v>
      </c>
    </row>
    <row r="156" spans="1:5" ht="11.25" customHeight="1" x14ac:dyDescent="0.25">
      <c r="A156" s="8" t="s">
        <v>696</v>
      </c>
      <c r="B156" s="8" t="s">
        <v>724</v>
      </c>
      <c r="C156" s="8" t="s">
        <v>698</v>
      </c>
      <c r="D156" s="8">
        <v>998</v>
      </c>
      <c r="E156" s="8" t="s">
        <v>699</v>
      </c>
    </row>
    <row r="157" spans="1:5" ht="11.25" customHeight="1" x14ac:dyDescent="0.25">
      <c r="A157" s="8" t="s">
        <v>696</v>
      </c>
      <c r="B157" s="8" t="s">
        <v>724</v>
      </c>
      <c r="C157" s="8" t="s">
        <v>698</v>
      </c>
      <c r="D157" s="8">
        <v>999</v>
      </c>
      <c r="E157" s="8" t="s">
        <v>699</v>
      </c>
    </row>
    <row r="158" spans="1:5" ht="11.25" customHeight="1" x14ac:dyDescent="0.25">
      <c r="A158" s="8" t="s">
        <v>696</v>
      </c>
      <c r="B158" s="8" t="s">
        <v>724</v>
      </c>
      <c r="C158" s="8" t="s">
        <v>698</v>
      </c>
      <c r="D158" s="8">
        <v>1000</v>
      </c>
      <c r="E158" s="8" t="s">
        <v>699</v>
      </c>
    </row>
    <row r="159" spans="1:5" ht="11.25" customHeight="1" x14ac:dyDescent="0.25">
      <c r="A159" s="8" t="s">
        <v>696</v>
      </c>
      <c r="B159" s="8" t="s">
        <v>724</v>
      </c>
      <c r="C159" s="8" t="s">
        <v>698</v>
      </c>
      <c r="D159" s="8">
        <v>1079</v>
      </c>
      <c r="E159" s="8" t="s">
        <v>699</v>
      </c>
    </row>
    <row r="160" spans="1:5" ht="11.25" customHeight="1" x14ac:dyDescent="0.25">
      <c r="A160" s="8" t="s">
        <v>696</v>
      </c>
      <c r="B160" s="8" t="s">
        <v>724</v>
      </c>
      <c r="C160" s="8" t="s">
        <v>698</v>
      </c>
      <c r="D160" s="8">
        <v>1080</v>
      </c>
      <c r="E160" s="8" t="s">
        <v>699</v>
      </c>
    </row>
    <row r="161" spans="1:5" ht="11.25" customHeight="1" x14ac:dyDescent="0.25">
      <c r="A161" s="8" t="s">
        <v>696</v>
      </c>
      <c r="B161" s="8" t="s">
        <v>724</v>
      </c>
      <c r="C161" s="8" t="s">
        <v>698</v>
      </c>
      <c r="D161" s="8">
        <v>1081</v>
      </c>
      <c r="E161" s="8" t="s">
        <v>699</v>
      </c>
    </row>
    <row r="162" spans="1:5" ht="11.25" customHeight="1" x14ac:dyDescent="0.25">
      <c r="A162" s="8" t="s">
        <v>696</v>
      </c>
      <c r="B162" s="8" t="s">
        <v>724</v>
      </c>
      <c r="C162" s="8" t="s">
        <v>698</v>
      </c>
      <c r="D162" s="8">
        <v>1082</v>
      </c>
      <c r="E162" s="8" t="s">
        <v>699</v>
      </c>
    </row>
    <row r="163" spans="1:5" ht="11.25" customHeight="1" x14ac:dyDescent="0.25">
      <c r="A163" s="8" t="s">
        <v>696</v>
      </c>
      <c r="B163" s="8" t="s">
        <v>724</v>
      </c>
      <c r="C163" s="8" t="s">
        <v>698</v>
      </c>
      <c r="D163" s="8">
        <v>1083</v>
      </c>
      <c r="E163" s="8" t="s">
        <v>699</v>
      </c>
    </row>
    <row r="164" spans="1:5" ht="11.25" customHeight="1" x14ac:dyDescent="0.25">
      <c r="A164" s="8" t="s">
        <v>696</v>
      </c>
      <c r="B164" s="8" t="s">
        <v>724</v>
      </c>
      <c r="C164" s="8" t="s">
        <v>698</v>
      </c>
      <c r="D164" s="8">
        <v>1084</v>
      </c>
      <c r="E164" s="8" t="s">
        <v>699</v>
      </c>
    </row>
    <row r="165" spans="1:5" ht="11.25" customHeight="1" x14ac:dyDescent="0.25">
      <c r="A165" s="8" t="s">
        <v>696</v>
      </c>
      <c r="B165" s="8" t="s">
        <v>724</v>
      </c>
      <c r="C165" s="8" t="s">
        <v>698</v>
      </c>
      <c r="D165" s="8">
        <v>1085</v>
      </c>
      <c r="E165" s="8" t="s">
        <v>699</v>
      </c>
    </row>
    <row r="166" spans="1:5" ht="11.25" customHeight="1" x14ac:dyDescent="0.25">
      <c r="A166" s="8" t="s">
        <v>696</v>
      </c>
      <c r="B166" s="8" t="s">
        <v>724</v>
      </c>
      <c r="C166" s="8" t="s">
        <v>698</v>
      </c>
      <c r="D166" s="8">
        <v>1086</v>
      </c>
      <c r="E166" s="8" t="s">
        <v>699</v>
      </c>
    </row>
    <row r="167" spans="1:5" ht="11.25" customHeight="1" x14ac:dyDescent="0.25">
      <c r="A167" s="8" t="s">
        <v>696</v>
      </c>
      <c r="B167" s="8" t="s">
        <v>724</v>
      </c>
      <c r="C167" s="8" t="s">
        <v>698</v>
      </c>
      <c r="D167" s="8">
        <v>1087</v>
      </c>
      <c r="E167" s="8" t="s">
        <v>699</v>
      </c>
    </row>
    <row r="168" spans="1:5" ht="11.25" customHeight="1" x14ac:dyDescent="0.25">
      <c r="A168" s="8" t="s">
        <v>696</v>
      </c>
      <c r="B168" s="8" t="s">
        <v>724</v>
      </c>
      <c r="C168" s="8" t="s">
        <v>698</v>
      </c>
      <c r="D168" s="8">
        <v>1088</v>
      </c>
      <c r="E168" s="8" t="s">
        <v>699</v>
      </c>
    </row>
    <row r="169" spans="1:5" ht="11.25" customHeight="1" x14ac:dyDescent="0.25">
      <c r="A169" s="8" t="s">
        <v>696</v>
      </c>
      <c r="B169" s="8" t="s">
        <v>724</v>
      </c>
      <c r="C169" s="8" t="s">
        <v>698</v>
      </c>
      <c r="D169" s="8">
        <v>1089</v>
      </c>
      <c r="E169" s="8" t="s">
        <v>699</v>
      </c>
    </row>
    <row r="170" spans="1:5" ht="11.25" customHeight="1" x14ac:dyDescent="0.25">
      <c r="A170" s="8" t="s">
        <v>696</v>
      </c>
      <c r="B170" s="8" t="s">
        <v>724</v>
      </c>
      <c r="C170" s="8" t="s">
        <v>698</v>
      </c>
      <c r="D170" s="8">
        <v>1090</v>
      </c>
      <c r="E170" s="8" t="s">
        <v>699</v>
      </c>
    </row>
    <row r="171" spans="1:5" ht="11.25" customHeight="1" x14ac:dyDescent="0.25">
      <c r="A171" s="8" t="s">
        <v>696</v>
      </c>
      <c r="B171" s="8" t="s">
        <v>724</v>
      </c>
      <c r="C171" s="8" t="s">
        <v>698</v>
      </c>
      <c r="D171" s="8">
        <v>1091</v>
      </c>
      <c r="E171" s="8" t="s">
        <v>699</v>
      </c>
    </row>
    <row r="172" spans="1:5" ht="11.25" customHeight="1" x14ac:dyDescent="0.25">
      <c r="A172" s="8" t="s">
        <v>696</v>
      </c>
      <c r="B172" s="8" t="s">
        <v>724</v>
      </c>
      <c r="C172" s="8" t="s">
        <v>698</v>
      </c>
      <c r="D172" s="8">
        <v>1092</v>
      </c>
      <c r="E172" s="8" t="s">
        <v>699</v>
      </c>
    </row>
    <row r="173" spans="1:5" ht="11.25" customHeight="1" x14ac:dyDescent="0.25">
      <c r="A173" s="8" t="s">
        <v>696</v>
      </c>
      <c r="B173" s="8" t="s">
        <v>724</v>
      </c>
      <c r="C173" s="8" t="s">
        <v>698</v>
      </c>
      <c r="D173" s="8">
        <v>1093</v>
      </c>
      <c r="E173" s="8" t="s">
        <v>699</v>
      </c>
    </row>
    <row r="174" spans="1:5" ht="11.25" customHeight="1" x14ac:dyDescent="0.25">
      <c r="A174" s="8" t="s">
        <v>696</v>
      </c>
      <c r="B174" s="8" t="s">
        <v>724</v>
      </c>
      <c r="C174" s="8" t="s">
        <v>698</v>
      </c>
      <c r="D174" s="8">
        <v>1094</v>
      </c>
      <c r="E174" s="8" t="s">
        <v>699</v>
      </c>
    </row>
    <row r="175" spans="1:5" ht="11.25" customHeight="1" x14ac:dyDescent="0.25">
      <c r="A175" s="8" t="s">
        <v>696</v>
      </c>
      <c r="B175" s="8" t="s">
        <v>724</v>
      </c>
      <c r="C175" s="8" t="s">
        <v>698</v>
      </c>
      <c r="D175" s="8">
        <v>1095</v>
      </c>
      <c r="E175" s="8" t="s">
        <v>699</v>
      </c>
    </row>
    <row r="176" spans="1:5" ht="11.25" customHeight="1" x14ac:dyDescent="0.25">
      <c r="A176" s="8" t="s">
        <v>696</v>
      </c>
      <c r="B176" s="8" t="s">
        <v>724</v>
      </c>
      <c r="C176" s="8" t="s">
        <v>698</v>
      </c>
      <c r="D176" s="8">
        <v>1096</v>
      </c>
      <c r="E176" s="8" t="s">
        <v>699</v>
      </c>
    </row>
    <row r="177" spans="1:5" ht="11.25" customHeight="1" x14ac:dyDescent="0.25">
      <c r="A177" s="8" t="s">
        <v>696</v>
      </c>
      <c r="B177" s="8" t="s">
        <v>724</v>
      </c>
      <c r="C177" s="8" t="s">
        <v>698</v>
      </c>
      <c r="D177" s="8">
        <v>1097</v>
      </c>
      <c r="E177" s="8" t="s">
        <v>699</v>
      </c>
    </row>
    <row r="178" spans="1:5" ht="11.25" customHeight="1" x14ac:dyDescent="0.25">
      <c r="A178" s="8" t="s">
        <v>696</v>
      </c>
      <c r="B178" s="8" t="s">
        <v>724</v>
      </c>
      <c r="C178" s="8" t="s">
        <v>698</v>
      </c>
      <c r="D178" s="8">
        <v>1098</v>
      </c>
      <c r="E178" s="8" t="s">
        <v>699</v>
      </c>
    </row>
    <row r="179" spans="1:5" ht="11.25" customHeight="1" x14ac:dyDescent="0.25">
      <c r="A179" s="8" t="s">
        <v>696</v>
      </c>
      <c r="B179" s="8" t="s">
        <v>724</v>
      </c>
      <c r="C179" s="8" t="s">
        <v>698</v>
      </c>
      <c r="D179" s="8">
        <v>1099</v>
      </c>
      <c r="E179" s="8" t="s">
        <v>699</v>
      </c>
    </row>
    <row r="180" spans="1:5" ht="11.25" customHeight="1" x14ac:dyDescent="0.25">
      <c r="A180" s="8" t="s">
        <v>696</v>
      </c>
      <c r="B180" s="8" t="s">
        <v>724</v>
      </c>
      <c r="C180" s="8" t="s">
        <v>698</v>
      </c>
      <c r="D180" s="8">
        <v>1100</v>
      </c>
      <c r="E180" s="8" t="s">
        <v>699</v>
      </c>
    </row>
    <row r="181" spans="1:5" ht="11.25" customHeight="1" x14ac:dyDescent="0.25">
      <c r="A181" s="8" t="s">
        <v>696</v>
      </c>
      <c r="B181" s="8" t="s">
        <v>724</v>
      </c>
      <c r="C181" s="8" t="s">
        <v>698</v>
      </c>
      <c r="D181" s="8">
        <v>1101</v>
      </c>
      <c r="E181" s="8" t="s">
        <v>699</v>
      </c>
    </row>
    <row r="182" spans="1:5" ht="11.25" customHeight="1" x14ac:dyDescent="0.25">
      <c r="A182" s="8" t="s">
        <v>696</v>
      </c>
      <c r="B182" s="8" t="s">
        <v>724</v>
      </c>
      <c r="C182" s="8" t="s">
        <v>698</v>
      </c>
      <c r="D182" s="8">
        <v>1102</v>
      </c>
      <c r="E182" s="8" t="s">
        <v>699</v>
      </c>
    </row>
    <row r="183" spans="1:5" ht="11.25" customHeight="1" x14ac:dyDescent="0.25">
      <c r="A183" s="8" t="s">
        <v>696</v>
      </c>
      <c r="B183" s="8" t="s">
        <v>724</v>
      </c>
      <c r="C183" s="8" t="s">
        <v>698</v>
      </c>
      <c r="D183" s="8">
        <v>1158</v>
      </c>
      <c r="E183" s="8" t="s">
        <v>699</v>
      </c>
    </row>
    <row r="184" spans="1:5" ht="11.25" customHeight="1" x14ac:dyDescent="0.25">
      <c r="A184" s="8" t="s">
        <v>696</v>
      </c>
      <c r="B184" s="8" t="s">
        <v>724</v>
      </c>
      <c r="C184" s="8" t="s">
        <v>698</v>
      </c>
      <c r="D184" s="8">
        <v>1159</v>
      </c>
      <c r="E184" s="8" t="s">
        <v>699</v>
      </c>
    </row>
    <row r="185" spans="1:5" ht="11.25" customHeight="1" x14ac:dyDescent="0.25">
      <c r="A185" s="8" t="s">
        <v>696</v>
      </c>
      <c r="B185" s="8" t="s">
        <v>724</v>
      </c>
      <c r="C185" s="8" t="s">
        <v>698</v>
      </c>
      <c r="D185" s="8">
        <v>1160</v>
      </c>
      <c r="E185" s="8" t="s">
        <v>699</v>
      </c>
    </row>
    <row r="186" spans="1:5" ht="11.25" customHeight="1" x14ac:dyDescent="0.25">
      <c r="A186" s="8" t="s">
        <v>696</v>
      </c>
      <c r="B186" s="8" t="s">
        <v>724</v>
      </c>
      <c r="C186" s="8" t="s">
        <v>698</v>
      </c>
      <c r="D186" s="8">
        <v>1161</v>
      </c>
      <c r="E186" s="8" t="s">
        <v>699</v>
      </c>
    </row>
    <row r="187" spans="1:5" ht="11.25" customHeight="1" x14ac:dyDescent="0.25">
      <c r="A187" s="8" t="s">
        <v>696</v>
      </c>
      <c r="B187" s="8" t="s">
        <v>724</v>
      </c>
      <c r="C187" s="8" t="s">
        <v>698</v>
      </c>
      <c r="D187" s="8">
        <v>1162</v>
      </c>
      <c r="E187" s="8" t="s">
        <v>699</v>
      </c>
    </row>
    <row r="188" spans="1:5" ht="11.25" customHeight="1" x14ac:dyDescent="0.25">
      <c r="A188" s="8" t="s">
        <v>696</v>
      </c>
      <c r="B188" s="8" t="s">
        <v>724</v>
      </c>
      <c r="C188" s="8" t="s">
        <v>698</v>
      </c>
      <c r="D188" s="8">
        <v>1163</v>
      </c>
      <c r="E188" s="8" t="s">
        <v>699</v>
      </c>
    </row>
    <row r="189" spans="1:5" ht="11.25" customHeight="1" x14ac:dyDescent="0.25">
      <c r="A189" s="8" t="s">
        <v>696</v>
      </c>
      <c r="B189" s="8" t="s">
        <v>724</v>
      </c>
      <c r="C189" s="8" t="s">
        <v>698</v>
      </c>
      <c r="D189" s="8">
        <v>1164</v>
      </c>
      <c r="E189" s="8" t="s">
        <v>699</v>
      </c>
    </row>
    <row r="190" spans="1:5" ht="11.25" customHeight="1" x14ac:dyDescent="0.25">
      <c r="A190" s="8" t="s">
        <v>696</v>
      </c>
      <c r="B190" s="8" t="s">
        <v>724</v>
      </c>
      <c r="C190" s="8" t="s">
        <v>698</v>
      </c>
      <c r="D190" s="8">
        <v>1165</v>
      </c>
      <c r="E190" s="8" t="s">
        <v>699</v>
      </c>
    </row>
    <row r="191" spans="1:5" ht="11.25" customHeight="1" x14ac:dyDescent="0.25">
      <c r="A191" s="8" t="s">
        <v>696</v>
      </c>
      <c r="B191" s="8" t="s">
        <v>724</v>
      </c>
      <c r="C191" s="8" t="s">
        <v>698</v>
      </c>
      <c r="D191" s="8">
        <v>1166</v>
      </c>
      <c r="E191" s="8" t="s">
        <v>699</v>
      </c>
    </row>
    <row r="192" spans="1:5" ht="11.25" customHeight="1" x14ac:dyDescent="0.25">
      <c r="A192" s="8" t="s">
        <v>696</v>
      </c>
      <c r="B192" s="8" t="s">
        <v>724</v>
      </c>
      <c r="C192" s="8" t="s">
        <v>698</v>
      </c>
      <c r="D192" s="8">
        <v>1167</v>
      </c>
      <c r="E192" s="8" t="s">
        <v>699</v>
      </c>
    </row>
    <row r="193" spans="1:5" ht="11.25" customHeight="1" x14ac:dyDescent="0.25">
      <c r="A193" s="8" t="s">
        <v>696</v>
      </c>
      <c r="B193" s="8" t="s">
        <v>724</v>
      </c>
      <c r="C193" s="8" t="s">
        <v>698</v>
      </c>
      <c r="D193" s="8">
        <v>1168</v>
      </c>
      <c r="E193" s="8" t="s">
        <v>699</v>
      </c>
    </row>
    <row r="194" spans="1:5" ht="11.25" customHeight="1" x14ac:dyDescent="0.25">
      <c r="A194" s="8" t="s">
        <v>696</v>
      </c>
      <c r="B194" s="8" t="s">
        <v>724</v>
      </c>
      <c r="C194" s="8" t="s">
        <v>698</v>
      </c>
      <c r="D194" s="8">
        <v>1169</v>
      </c>
      <c r="E194" s="8" t="s">
        <v>699</v>
      </c>
    </row>
    <row r="195" spans="1:5" ht="11.25" customHeight="1" x14ac:dyDescent="0.25">
      <c r="A195" s="8" t="s">
        <v>696</v>
      </c>
      <c r="B195" s="8" t="s">
        <v>724</v>
      </c>
      <c r="C195" s="8" t="s">
        <v>698</v>
      </c>
      <c r="D195" s="8">
        <v>1170</v>
      </c>
      <c r="E195" s="8" t="s">
        <v>699</v>
      </c>
    </row>
    <row r="196" spans="1:5" ht="11.25" customHeight="1" x14ac:dyDescent="0.25">
      <c r="A196" s="8" t="s">
        <v>696</v>
      </c>
      <c r="B196" s="8" t="s">
        <v>724</v>
      </c>
      <c r="C196" s="8" t="s">
        <v>698</v>
      </c>
      <c r="D196" s="8">
        <v>1171</v>
      </c>
      <c r="E196" s="8" t="s">
        <v>699</v>
      </c>
    </row>
    <row r="197" spans="1:5" ht="11.25" customHeight="1" x14ac:dyDescent="0.25">
      <c r="A197" s="8" t="s">
        <v>696</v>
      </c>
      <c r="B197" s="8" t="s">
        <v>724</v>
      </c>
      <c r="C197" s="8" t="s">
        <v>698</v>
      </c>
      <c r="D197" s="8">
        <v>1172</v>
      </c>
      <c r="E197" s="8" t="s">
        <v>699</v>
      </c>
    </row>
    <row r="198" spans="1:5" ht="11.25" customHeight="1" x14ac:dyDescent="0.25">
      <c r="A198" s="8" t="s">
        <v>696</v>
      </c>
      <c r="B198" s="8" t="s">
        <v>724</v>
      </c>
      <c r="C198" s="8" t="s">
        <v>698</v>
      </c>
      <c r="D198" s="8">
        <v>1173</v>
      </c>
      <c r="E198" s="8" t="s">
        <v>699</v>
      </c>
    </row>
    <row r="199" spans="1:5" ht="11.25" customHeight="1" x14ac:dyDescent="0.25">
      <c r="A199" s="8" t="s">
        <v>696</v>
      </c>
      <c r="B199" s="8" t="s">
        <v>724</v>
      </c>
      <c r="C199" s="8" t="s">
        <v>698</v>
      </c>
      <c r="D199" s="8">
        <v>1174</v>
      </c>
      <c r="E199" s="8" t="s">
        <v>699</v>
      </c>
    </row>
    <row r="200" spans="1:5" ht="11.25" customHeight="1" x14ac:dyDescent="0.25">
      <c r="A200" s="8" t="s">
        <v>696</v>
      </c>
      <c r="B200" s="8" t="s">
        <v>724</v>
      </c>
      <c r="C200" s="8" t="s">
        <v>698</v>
      </c>
      <c r="D200" s="8">
        <v>1175</v>
      </c>
      <c r="E200" s="8" t="s">
        <v>699</v>
      </c>
    </row>
    <row r="201" spans="1:5" ht="11.25" customHeight="1" x14ac:dyDescent="0.25">
      <c r="A201" s="8" t="s">
        <v>696</v>
      </c>
      <c r="B201" s="8" t="s">
        <v>724</v>
      </c>
      <c r="C201" s="8" t="s">
        <v>698</v>
      </c>
      <c r="D201" s="8">
        <v>1176</v>
      </c>
      <c r="E201" s="8" t="s">
        <v>699</v>
      </c>
    </row>
    <row r="202" spans="1:5" ht="11.25" customHeight="1" x14ac:dyDescent="0.25">
      <c r="A202" s="8" t="s">
        <v>696</v>
      </c>
      <c r="B202" s="8" t="s">
        <v>724</v>
      </c>
      <c r="C202" s="8" t="s">
        <v>698</v>
      </c>
      <c r="D202" s="8">
        <v>1177</v>
      </c>
      <c r="E202" s="8" t="s">
        <v>699</v>
      </c>
    </row>
    <row r="203" spans="1:5" ht="11.25" customHeight="1" x14ac:dyDescent="0.25">
      <c r="A203" s="8" t="s">
        <v>696</v>
      </c>
      <c r="B203" s="8" t="s">
        <v>724</v>
      </c>
      <c r="C203" s="8" t="s">
        <v>698</v>
      </c>
      <c r="D203" s="8">
        <v>1178</v>
      </c>
      <c r="E203" s="8" t="s">
        <v>699</v>
      </c>
    </row>
    <row r="204" spans="1:5" ht="11.25" customHeight="1" x14ac:dyDescent="0.25">
      <c r="A204" s="8" t="s">
        <v>696</v>
      </c>
      <c r="B204" s="8" t="s">
        <v>724</v>
      </c>
      <c r="C204" s="8" t="s">
        <v>698</v>
      </c>
      <c r="D204" s="8">
        <v>1179</v>
      </c>
      <c r="E204" s="8" t="s">
        <v>699</v>
      </c>
    </row>
    <row r="205" spans="1:5" ht="11.25" customHeight="1" x14ac:dyDescent="0.25">
      <c r="A205" s="8" t="s">
        <v>696</v>
      </c>
      <c r="B205" s="8" t="s">
        <v>724</v>
      </c>
      <c r="C205" s="8" t="s">
        <v>698</v>
      </c>
      <c r="D205" s="8">
        <v>1180</v>
      </c>
      <c r="E205" s="8" t="s">
        <v>699</v>
      </c>
    </row>
    <row r="206" spans="1:5" ht="11.25" customHeight="1" x14ac:dyDescent="0.25">
      <c r="A206" s="8" t="s">
        <v>696</v>
      </c>
      <c r="B206" s="8" t="s">
        <v>724</v>
      </c>
      <c r="C206" s="8" t="s">
        <v>698</v>
      </c>
      <c r="D206" s="8">
        <v>1181</v>
      </c>
      <c r="E206" s="8" t="s">
        <v>699</v>
      </c>
    </row>
    <row r="207" spans="1:5" ht="11.25" customHeight="1" x14ac:dyDescent="0.25">
      <c r="A207" s="8" t="s">
        <v>696</v>
      </c>
      <c r="B207" s="8" t="s">
        <v>724</v>
      </c>
      <c r="C207" s="8" t="s">
        <v>698</v>
      </c>
      <c r="D207" s="8">
        <v>1182</v>
      </c>
      <c r="E207" s="8" t="s">
        <v>699</v>
      </c>
    </row>
    <row r="208" spans="1:5" ht="11.25" customHeight="1" x14ac:dyDescent="0.25">
      <c r="A208" s="8" t="s">
        <v>696</v>
      </c>
      <c r="B208" s="8" t="s">
        <v>724</v>
      </c>
      <c r="C208" s="8" t="s">
        <v>698</v>
      </c>
      <c r="D208" s="8">
        <v>1183</v>
      </c>
      <c r="E208" s="8" t="s">
        <v>699</v>
      </c>
    </row>
    <row r="209" spans="1:5" ht="11.25" customHeight="1" x14ac:dyDescent="0.25">
      <c r="A209" s="8" t="s">
        <v>696</v>
      </c>
      <c r="B209" s="8" t="s">
        <v>724</v>
      </c>
      <c r="C209" s="8" t="s">
        <v>698</v>
      </c>
      <c r="D209" s="8">
        <v>1184</v>
      </c>
      <c r="E209" s="8" t="s">
        <v>699</v>
      </c>
    </row>
    <row r="210" spans="1:5" ht="11.25" customHeight="1" x14ac:dyDescent="0.25">
      <c r="A210" s="8" t="s">
        <v>696</v>
      </c>
      <c r="B210" s="8" t="s">
        <v>724</v>
      </c>
      <c r="C210" s="8" t="s">
        <v>698</v>
      </c>
      <c r="D210" s="8">
        <v>1185</v>
      </c>
      <c r="E210" s="8" t="s">
        <v>699</v>
      </c>
    </row>
    <row r="211" spans="1:5" ht="11.25" customHeight="1" x14ac:dyDescent="0.25">
      <c r="A211" s="8" t="s">
        <v>696</v>
      </c>
      <c r="B211" s="8" t="s">
        <v>724</v>
      </c>
      <c r="C211" s="8" t="s">
        <v>698</v>
      </c>
      <c r="D211" s="8">
        <v>1186</v>
      </c>
      <c r="E211" s="8" t="s">
        <v>699</v>
      </c>
    </row>
    <row r="212" spans="1:5" ht="11.25" customHeight="1" x14ac:dyDescent="0.25">
      <c r="A212" s="8" t="s">
        <v>696</v>
      </c>
      <c r="B212" s="8" t="s">
        <v>724</v>
      </c>
      <c r="C212" s="8" t="s">
        <v>698</v>
      </c>
      <c r="D212" s="8">
        <v>1187</v>
      </c>
      <c r="E212" s="8" t="s">
        <v>699</v>
      </c>
    </row>
    <row r="213" spans="1:5" ht="11.25" customHeight="1" x14ac:dyDescent="0.25">
      <c r="A213" s="8" t="s">
        <v>696</v>
      </c>
      <c r="B213" s="8" t="s">
        <v>724</v>
      </c>
      <c r="C213" s="8" t="s">
        <v>698</v>
      </c>
      <c r="D213" s="8">
        <v>1188</v>
      </c>
      <c r="E213" s="8" t="s">
        <v>699</v>
      </c>
    </row>
    <row r="214" spans="1:5" ht="11.25" customHeight="1" x14ac:dyDescent="0.25">
      <c r="A214" s="8" t="s">
        <v>696</v>
      </c>
      <c r="B214" s="8" t="s">
        <v>724</v>
      </c>
      <c r="C214" s="8" t="s">
        <v>698</v>
      </c>
      <c r="D214" s="8">
        <v>1189</v>
      </c>
      <c r="E214" s="8" t="s">
        <v>699</v>
      </c>
    </row>
    <row r="215" spans="1:5" ht="11.25" customHeight="1" x14ac:dyDescent="0.25">
      <c r="A215" s="8" t="s">
        <v>696</v>
      </c>
      <c r="B215" s="8" t="s">
        <v>724</v>
      </c>
      <c r="C215" s="8" t="s">
        <v>698</v>
      </c>
      <c r="D215" s="8">
        <v>1190</v>
      </c>
      <c r="E215" s="8" t="s">
        <v>699</v>
      </c>
    </row>
    <row r="216" spans="1:5" ht="11.25" customHeight="1" x14ac:dyDescent="0.25">
      <c r="A216" s="8" t="s">
        <v>696</v>
      </c>
      <c r="B216" s="8" t="s">
        <v>724</v>
      </c>
      <c r="C216" s="8" t="s">
        <v>698</v>
      </c>
      <c r="D216" s="8">
        <v>1191</v>
      </c>
      <c r="E216" s="8" t="s">
        <v>699</v>
      </c>
    </row>
    <row r="217" spans="1:5" ht="11.25" customHeight="1" x14ac:dyDescent="0.25">
      <c r="A217" s="8" t="s">
        <v>696</v>
      </c>
      <c r="B217" s="8" t="s">
        <v>724</v>
      </c>
      <c r="C217" s="8" t="s">
        <v>698</v>
      </c>
      <c r="D217" s="8">
        <v>1235</v>
      </c>
      <c r="E217" s="8" t="s">
        <v>699</v>
      </c>
    </row>
    <row r="218" spans="1:5" ht="11.25" customHeight="1" x14ac:dyDescent="0.25">
      <c r="A218" s="8" t="s">
        <v>696</v>
      </c>
      <c r="B218" s="8" t="s">
        <v>724</v>
      </c>
      <c r="C218" s="8" t="s">
        <v>698</v>
      </c>
      <c r="D218" s="8">
        <v>1236</v>
      </c>
      <c r="E218" s="8" t="s">
        <v>699</v>
      </c>
    </row>
    <row r="219" spans="1:5" ht="11.25" customHeight="1" x14ac:dyDescent="0.25">
      <c r="A219" s="8" t="s">
        <v>696</v>
      </c>
      <c r="B219" s="8" t="s">
        <v>724</v>
      </c>
      <c r="C219" s="8" t="s">
        <v>698</v>
      </c>
      <c r="D219" s="8">
        <v>1237</v>
      </c>
      <c r="E219" s="8" t="s">
        <v>699</v>
      </c>
    </row>
    <row r="220" spans="1:5" ht="11.25" customHeight="1" x14ac:dyDescent="0.25">
      <c r="A220" s="8" t="s">
        <v>696</v>
      </c>
      <c r="B220" s="8" t="s">
        <v>724</v>
      </c>
      <c r="C220" s="8" t="s">
        <v>698</v>
      </c>
      <c r="D220" s="8">
        <v>1238</v>
      </c>
      <c r="E220" s="8" t="s">
        <v>699</v>
      </c>
    </row>
    <row r="221" spans="1:5" ht="11.25" customHeight="1" x14ac:dyDescent="0.25">
      <c r="A221" s="8" t="s">
        <v>696</v>
      </c>
      <c r="B221" s="8" t="s">
        <v>724</v>
      </c>
      <c r="C221" s="8" t="s">
        <v>698</v>
      </c>
      <c r="D221" s="8">
        <v>1239</v>
      </c>
      <c r="E221" s="8" t="s">
        <v>699</v>
      </c>
    </row>
    <row r="222" spans="1:5" ht="11.25" customHeight="1" x14ac:dyDescent="0.25">
      <c r="A222" s="8" t="s">
        <v>696</v>
      </c>
      <c r="B222" s="8" t="s">
        <v>724</v>
      </c>
      <c r="C222" s="8" t="s">
        <v>698</v>
      </c>
      <c r="D222" s="8">
        <v>1240</v>
      </c>
      <c r="E222" s="8" t="s">
        <v>699</v>
      </c>
    </row>
    <row r="223" spans="1:5" ht="11.25" customHeight="1" x14ac:dyDescent="0.25">
      <c r="A223" s="8" t="s">
        <v>696</v>
      </c>
      <c r="B223" s="8" t="s">
        <v>724</v>
      </c>
      <c r="C223" s="8" t="s">
        <v>698</v>
      </c>
      <c r="D223" s="8">
        <v>1241</v>
      </c>
      <c r="E223" s="8" t="s">
        <v>699</v>
      </c>
    </row>
    <row r="224" spans="1:5" ht="11.25" customHeight="1" x14ac:dyDescent="0.25">
      <c r="A224" s="8" t="s">
        <v>696</v>
      </c>
      <c r="B224" s="8" t="s">
        <v>724</v>
      </c>
      <c r="C224" s="8" t="s">
        <v>698</v>
      </c>
      <c r="D224" s="8">
        <v>1242</v>
      </c>
      <c r="E224" s="8" t="s">
        <v>699</v>
      </c>
    </row>
    <row r="225" spans="1:5" ht="11.25" customHeight="1" x14ac:dyDescent="0.25">
      <c r="A225" s="8" t="s">
        <v>696</v>
      </c>
      <c r="B225" s="8" t="s">
        <v>724</v>
      </c>
      <c r="C225" s="8" t="s">
        <v>698</v>
      </c>
      <c r="D225" s="8">
        <v>1243</v>
      </c>
      <c r="E225" s="8" t="s">
        <v>699</v>
      </c>
    </row>
    <row r="226" spans="1:5" ht="11.25" customHeight="1" x14ac:dyDescent="0.25">
      <c r="A226" s="8" t="s">
        <v>696</v>
      </c>
      <c r="B226" s="8" t="s">
        <v>724</v>
      </c>
      <c r="C226" s="8" t="s">
        <v>698</v>
      </c>
      <c r="D226" s="8">
        <v>1244</v>
      </c>
      <c r="E226" s="8" t="s">
        <v>699</v>
      </c>
    </row>
    <row r="227" spans="1:5" ht="11.25" customHeight="1" x14ac:dyDescent="0.25">
      <c r="A227" s="8" t="s">
        <v>696</v>
      </c>
      <c r="B227" s="8" t="s">
        <v>724</v>
      </c>
      <c r="C227" s="8" t="s">
        <v>698</v>
      </c>
      <c r="D227" s="8">
        <v>1245</v>
      </c>
      <c r="E227" s="8" t="s">
        <v>699</v>
      </c>
    </row>
    <row r="228" spans="1:5" ht="11.25" customHeight="1" x14ac:dyDescent="0.25">
      <c r="A228" s="8" t="s">
        <v>696</v>
      </c>
      <c r="B228" s="8" t="s">
        <v>724</v>
      </c>
      <c r="C228" s="8" t="s">
        <v>698</v>
      </c>
      <c r="D228" s="8">
        <v>1246</v>
      </c>
      <c r="E228" s="8" t="s">
        <v>699</v>
      </c>
    </row>
    <row r="229" spans="1:5" ht="11.25" customHeight="1" x14ac:dyDescent="0.25">
      <c r="A229" s="8" t="s">
        <v>696</v>
      </c>
      <c r="B229" s="8" t="s">
        <v>724</v>
      </c>
      <c r="C229" s="8" t="s">
        <v>698</v>
      </c>
      <c r="D229" s="8">
        <v>1270</v>
      </c>
      <c r="E229" s="8" t="s">
        <v>699</v>
      </c>
    </row>
    <row r="230" spans="1:5" ht="11.25" customHeight="1" x14ac:dyDescent="0.25">
      <c r="A230" s="8" t="s">
        <v>696</v>
      </c>
      <c r="B230" s="8" t="s">
        <v>724</v>
      </c>
      <c r="C230" s="8" t="s">
        <v>698</v>
      </c>
      <c r="D230" s="8">
        <v>1271</v>
      </c>
      <c r="E230" s="8" t="s">
        <v>699</v>
      </c>
    </row>
    <row r="231" spans="1:5" ht="11.25" customHeight="1" x14ac:dyDescent="0.25">
      <c r="A231" s="8" t="s">
        <v>696</v>
      </c>
      <c r="B231" s="8" t="s">
        <v>724</v>
      </c>
      <c r="C231" s="8" t="s">
        <v>698</v>
      </c>
      <c r="D231" s="8">
        <v>1272</v>
      </c>
      <c r="E231" s="8" t="s">
        <v>699</v>
      </c>
    </row>
    <row r="232" spans="1:5" ht="11.25" customHeight="1" x14ac:dyDescent="0.25">
      <c r="A232" s="8" t="s">
        <v>696</v>
      </c>
      <c r="B232" s="8" t="s">
        <v>724</v>
      </c>
      <c r="C232" s="8" t="s">
        <v>698</v>
      </c>
      <c r="D232" s="8">
        <v>1273</v>
      </c>
      <c r="E232" s="8" t="s">
        <v>699</v>
      </c>
    </row>
    <row r="233" spans="1:5" ht="11.25" customHeight="1" x14ac:dyDescent="0.25">
      <c r="A233" s="8" t="s">
        <v>696</v>
      </c>
      <c r="B233" s="8" t="s">
        <v>724</v>
      </c>
      <c r="C233" s="8" t="s">
        <v>698</v>
      </c>
      <c r="D233" s="8">
        <v>1274</v>
      </c>
      <c r="E233" s="8" t="s">
        <v>699</v>
      </c>
    </row>
    <row r="234" spans="1:5" ht="11.25" customHeight="1" x14ac:dyDescent="0.25">
      <c r="A234" s="8" t="s">
        <v>696</v>
      </c>
      <c r="B234" s="8" t="s">
        <v>724</v>
      </c>
      <c r="C234" s="8" t="s">
        <v>698</v>
      </c>
      <c r="D234" s="8">
        <v>1275</v>
      </c>
      <c r="E234" s="8" t="s">
        <v>699</v>
      </c>
    </row>
    <row r="235" spans="1:5" ht="11.25" customHeight="1" x14ac:dyDescent="0.25">
      <c r="A235" s="8" t="s">
        <v>696</v>
      </c>
      <c r="B235" s="8" t="s">
        <v>724</v>
      </c>
      <c r="C235" s="8" t="s">
        <v>698</v>
      </c>
      <c r="D235" s="8">
        <v>1276</v>
      </c>
      <c r="E235" s="8" t="s">
        <v>699</v>
      </c>
    </row>
    <row r="236" spans="1:5" ht="11.25" customHeight="1" x14ac:dyDescent="0.25">
      <c r="A236" s="8" t="s">
        <v>696</v>
      </c>
      <c r="B236" s="8" t="s">
        <v>724</v>
      </c>
      <c r="C236" s="8" t="s">
        <v>698</v>
      </c>
      <c r="D236" s="8">
        <v>1277</v>
      </c>
      <c r="E236" s="8" t="s">
        <v>699</v>
      </c>
    </row>
    <row r="237" spans="1:5" ht="11.25" customHeight="1" x14ac:dyDescent="0.25">
      <c r="A237" s="8" t="s">
        <v>696</v>
      </c>
      <c r="B237" s="8" t="s">
        <v>724</v>
      </c>
      <c r="C237" s="8" t="s">
        <v>698</v>
      </c>
      <c r="D237" s="8">
        <v>1278</v>
      </c>
      <c r="E237" s="8" t="s">
        <v>699</v>
      </c>
    </row>
    <row r="238" spans="1:5" ht="11.25" customHeight="1" x14ac:dyDescent="0.25">
      <c r="A238" s="8" t="s">
        <v>696</v>
      </c>
      <c r="B238" s="8" t="s">
        <v>724</v>
      </c>
      <c r="C238" s="8" t="s">
        <v>698</v>
      </c>
      <c r="D238" s="8">
        <v>1279</v>
      </c>
      <c r="E238" s="8" t="s">
        <v>699</v>
      </c>
    </row>
    <row r="239" spans="1:5" ht="11.25" customHeight="1" x14ac:dyDescent="0.25">
      <c r="A239" s="8" t="s">
        <v>696</v>
      </c>
      <c r="B239" s="8" t="s">
        <v>724</v>
      </c>
      <c r="C239" s="8" t="s">
        <v>698</v>
      </c>
      <c r="D239" s="8">
        <v>1280</v>
      </c>
      <c r="E239" s="8" t="s">
        <v>699</v>
      </c>
    </row>
    <row r="240" spans="1:5" ht="11.25" customHeight="1" x14ac:dyDescent="0.25">
      <c r="A240" s="8" t="s">
        <v>696</v>
      </c>
      <c r="B240" s="8" t="s">
        <v>749</v>
      </c>
      <c r="C240" s="8" t="s">
        <v>698</v>
      </c>
      <c r="D240" s="8">
        <v>1477</v>
      </c>
      <c r="E240" s="8" t="s">
        <v>699</v>
      </c>
    </row>
    <row r="241" spans="1:5" ht="11.25" customHeight="1" x14ac:dyDescent="0.25">
      <c r="A241" s="8" t="s">
        <v>696</v>
      </c>
      <c r="B241" s="8" t="s">
        <v>749</v>
      </c>
      <c r="C241" s="8" t="s">
        <v>698</v>
      </c>
      <c r="D241" s="8">
        <v>1478</v>
      </c>
      <c r="E241" s="8" t="s">
        <v>699</v>
      </c>
    </row>
    <row r="242" spans="1:5" ht="11.25" customHeight="1" x14ac:dyDescent="0.25">
      <c r="A242" s="8" t="s">
        <v>696</v>
      </c>
      <c r="B242" s="8" t="s">
        <v>749</v>
      </c>
      <c r="C242" s="8" t="s">
        <v>698</v>
      </c>
      <c r="D242" s="8">
        <v>1479</v>
      </c>
      <c r="E242" s="8" t="s">
        <v>699</v>
      </c>
    </row>
    <row r="243" spans="1:5" ht="11.25" customHeight="1" x14ac:dyDescent="0.25">
      <c r="A243" s="8" t="s">
        <v>696</v>
      </c>
      <c r="B243" s="8" t="s">
        <v>749</v>
      </c>
      <c r="C243" s="8" t="s">
        <v>698</v>
      </c>
      <c r="D243" s="8">
        <v>1480</v>
      </c>
      <c r="E243" s="8" t="s">
        <v>699</v>
      </c>
    </row>
    <row r="244" spans="1:5" ht="11.25" customHeight="1" x14ac:dyDescent="0.25">
      <c r="A244" s="8" t="s">
        <v>696</v>
      </c>
      <c r="B244" s="8" t="s">
        <v>749</v>
      </c>
      <c r="C244" s="8" t="s">
        <v>698</v>
      </c>
      <c r="D244" s="8">
        <v>1481</v>
      </c>
      <c r="E244" s="8" t="s">
        <v>699</v>
      </c>
    </row>
    <row r="245" spans="1:5" ht="11.25" customHeight="1" x14ac:dyDescent="0.25">
      <c r="A245" s="8" t="s">
        <v>696</v>
      </c>
      <c r="B245" s="8" t="s">
        <v>749</v>
      </c>
      <c r="C245" s="8" t="s">
        <v>698</v>
      </c>
      <c r="D245" s="8">
        <v>1482</v>
      </c>
      <c r="E245" s="8" t="s">
        <v>699</v>
      </c>
    </row>
    <row r="246" spans="1:5" ht="11.25" customHeight="1" x14ac:dyDescent="0.25">
      <c r="A246" s="8" t="s">
        <v>696</v>
      </c>
      <c r="B246" s="8" t="s">
        <v>749</v>
      </c>
      <c r="C246" s="8" t="s">
        <v>698</v>
      </c>
      <c r="D246" s="8">
        <v>1483</v>
      </c>
      <c r="E246" s="8" t="s">
        <v>699</v>
      </c>
    </row>
    <row r="247" spans="1:5" ht="11.25" customHeight="1" x14ac:dyDescent="0.25">
      <c r="A247" s="8" t="s">
        <v>696</v>
      </c>
      <c r="B247" s="8" t="s">
        <v>749</v>
      </c>
      <c r="C247" s="8" t="s">
        <v>698</v>
      </c>
      <c r="D247" s="8">
        <v>1484</v>
      </c>
      <c r="E247" s="8" t="s">
        <v>699</v>
      </c>
    </row>
    <row r="248" spans="1:5" ht="11.25" customHeight="1" x14ac:dyDescent="0.25">
      <c r="A248" s="8" t="s">
        <v>696</v>
      </c>
      <c r="B248" s="8" t="s">
        <v>749</v>
      </c>
      <c r="C248" s="8" t="s">
        <v>698</v>
      </c>
      <c r="D248" s="8">
        <v>1485</v>
      </c>
      <c r="E248" s="8" t="s">
        <v>699</v>
      </c>
    </row>
    <row r="249" spans="1:5" ht="11.25" customHeight="1" x14ac:dyDescent="0.25">
      <c r="A249" s="8" t="s">
        <v>696</v>
      </c>
      <c r="B249" s="8" t="s">
        <v>749</v>
      </c>
      <c r="C249" s="8" t="s">
        <v>698</v>
      </c>
      <c r="D249" s="8">
        <v>1486</v>
      </c>
      <c r="E249" s="8" t="s">
        <v>699</v>
      </c>
    </row>
    <row r="250" spans="1:5" ht="11.25" customHeight="1" x14ac:dyDescent="0.25">
      <c r="A250" s="8" t="s">
        <v>696</v>
      </c>
      <c r="B250" s="8" t="s">
        <v>749</v>
      </c>
      <c r="C250" s="8" t="s">
        <v>698</v>
      </c>
      <c r="D250" s="8">
        <v>1487</v>
      </c>
      <c r="E250" s="8" t="s">
        <v>699</v>
      </c>
    </row>
    <row r="251" spans="1:5" ht="11.25" customHeight="1" x14ac:dyDescent="0.25">
      <c r="A251" s="8" t="s">
        <v>696</v>
      </c>
      <c r="B251" s="8" t="s">
        <v>749</v>
      </c>
      <c r="C251" s="8" t="s">
        <v>698</v>
      </c>
      <c r="D251" s="8">
        <v>1488</v>
      </c>
      <c r="E251" s="8" t="s">
        <v>699</v>
      </c>
    </row>
    <row r="252" spans="1:5" ht="11.25" customHeight="1" x14ac:dyDescent="0.25">
      <c r="A252" s="8" t="s">
        <v>696</v>
      </c>
      <c r="B252" s="8" t="s">
        <v>749</v>
      </c>
      <c r="C252" s="8" t="s">
        <v>698</v>
      </c>
      <c r="D252" s="8">
        <v>1489</v>
      </c>
      <c r="E252" s="8" t="s">
        <v>699</v>
      </c>
    </row>
    <row r="253" spans="1:5" ht="11.25" customHeight="1" x14ac:dyDescent="0.25">
      <c r="A253" s="8" t="s">
        <v>696</v>
      </c>
      <c r="B253" s="8" t="s">
        <v>749</v>
      </c>
      <c r="C253" s="8" t="s">
        <v>698</v>
      </c>
      <c r="D253" s="8">
        <v>1490</v>
      </c>
      <c r="E253" s="8" t="s">
        <v>699</v>
      </c>
    </row>
    <row r="254" spans="1:5" ht="11.25" customHeight="1" x14ac:dyDescent="0.25">
      <c r="A254" s="8" t="s">
        <v>696</v>
      </c>
      <c r="B254" s="8" t="s">
        <v>749</v>
      </c>
      <c r="C254" s="8" t="s">
        <v>698</v>
      </c>
      <c r="D254" s="8">
        <v>1491</v>
      </c>
      <c r="E254" s="8" t="s">
        <v>699</v>
      </c>
    </row>
    <row r="255" spans="1:5" ht="11.25" customHeight="1" x14ac:dyDescent="0.25">
      <c r="A255" s="8" t="s">
        <v>696</v>
      </c>
      <c r="B255" s="8" t="s">
        <v>749</v>
      </c>
      <c r="C255" s="8" t="s">
        <v>698</v>
      </c>
      <c r="D255" s="8">
        <v>1492</v>
      </c>
      <c r="E255" s="8" t="s">
        <v>699</v>
      </c>
    </row>
    <row r="256" spans="1:5" ht="11.25" customHeight="1" x14ac:dyDescent="0.25">
      <c r="A256" s="8" t="s">
        <v>696</v>
      </c>
      <c r="B256" s="8" t="s">
        <v>749</v>
      </c>
      <c r="C256" s="8" t="s">
        <v>698</v>
      </c>
      <c r="D256" s="8">
        <v>1493</v>
      </c>
      <c r="E256" s="8" t="s">
        <v>699</v>
      </c>
    </row>
    <row r="257" spans="1:5" ht="11.25" customHeight="1" x14ac:dyDescent="0.25">
      <c r="A257" s="8" t="s">
        <v>696</v>
      </c>
      <c r="B257" s="8" t="s">
        <v>749</v>
      </c>
      <c r="C257" s="8" t="s">
        <v>698</v>
      </c>
      <c r="D257" s="8">
        <v>1494</v>
      </c>
      <c r="E257" s="8" t="s">
        <v>699</v>
      </c>
    </row>
    <row r="258" spans="1:5" ht="11.25" customHeight="1" x14ac:dyDescent="0.25">
      <c r="A258" s="8" t="s">
        <v>696</v>
      </c>
      <c r="B258" s="8" t="s">
        <v>749</v>
      </c>
      <c r="C258" s="8" t="s">
        <v>698</v>
      </c>
      <c r="D258" s="8">
        <v>1495</v>
      </c>
      <c r="E258" s="8" t="s">
        <v>699</v>
      </c>
    </row>
    <row r="259" spans="1:5" ht="11.25" customHeight="1" x14ac:dyDescent="0.25">
      <c r="A259" s="8" t="s">
        <v>696</v>
      </c>
      <c r="B259" s="8" t="s">
        <v>749</v>
      </c>
      <c r="C259" s="8" t="s">
        <v>698</v>
      </c>
      <c r="D259" s="8">
        <v>1496</v>
      </c>
      <c r="E259" s="8" t="s">
        <v>699</v>
      </c>
    </row>
    <row r="260" spans="1:5" ht="11.25" customHeight="1" x14ac:dyDescent="0.25">
      <c r="A260" s="8" t="s">
        <v>696</v>
      </c>
      <c r="B260" s="8" t="s">
        <v>749</v>
      </c>
      <c r="C260" s="8" t="s">
        <v>698</v>
      </c>
      <c r="D260" s="8">
        <v>1497</v>
      </c>
      <c r="E260" s="8" t="s">
        <v>699</v>
      </c>
    </row>
    <row r="261" spans="1:5" ht="11.25" customHeight="1" x14ac:dyDescent="0.25">
      <c r="A261" s="8" t="s">
        <v>696</v>
      </c>
      <c r="B261" s="8" t="s">
        <v>749</v>
      </c>
      <c r="C261" s="8" t="s">
        <v>698</v>
      </c>
      <c r="D261" s="8">
        <v>1498</v>
      </c>
      <c r="E261" s="8" t="s">
        <v>699</v>
      </c>
    </row>
    <row r="262" spans="1:5" ht="11.25" customHeight="1" x14ac:dyDescent="0.25">
      <c r="A262" s="8" t="s">
        <v>696</v>
      </c>
      <c r="B262" s="8" t="s">
        <v>749</v>
      </c>
      <c r="C262" s="8" t="s">
        <v>698</v>
      </c>
      <c r="D262" s="8">
        <v>1499</v>
      </c>
      <c r="E262" s="8" t="s">
        <v>699</v>
      </c>
    </row>
    <row r="263" spans="1:5" ht="11.25" customHeight="1" x14ac:dyDescent="0.25">
      <c r="A263" s="8" t="s">
        <v>696</v>
      </c>
      <c r="B263" s="8" t="s">
        <v>749</v>
      </c>
      <c r="C263" s="8" t="s">
        <v>698</v>
      </c>
      <c r="D263" s="8">
        <v>1500</v>
      </c>
      <c r="E263" s="8" t="s">
        <v>699</v>
      </c>
    </row>
    <row r="264" spans="1:5" ht="11.25" customHeight="1" x14ac:dyDescent="0.25">
      <c r="A264" s="8" t="s">
        <v>696</v>
      </c>
      <c r="B264" s="8" t="s">
        <v>749</v>
      </c>
      <c r="C264" s="8" t="s">
        <v>698</v>
      </c>
      <c r="D264" s="8">
        <v>1501</v>
      </c>
      <c r="E264" s="8" t="s">
        <v>699</v>
      </c>
    </row>
    <row r="265" spans="1:5" ht="11.25" customHeight="1" x14ac:dyDescent="0.25">
      <c r="A265" s="8" t="s">
        <v>696</v>
      </c>
      <c r="B265" s="8" t="s">
        <v>749</v>
      </c>
      <c r="C265" s="8" t="s">
        <v>698</v>
      </c>
      <c r="D265" s="8">
        <v>1502</v>
      </c>
      <c r="E265" s="8" t="s">
        <v>699</v>
      </c>
    </row>
    <row r="266" spans="1:5" ht="11.25" customHeight="1" x14ac:dyDescent="0.25">
      <c r="A266" s="8" t="s">
        <v>696</v>
      </c>
      <c r="B266" s="8" t="s">
        <v>749</v>
      </c>
      <c r="C266" s="8" t="s">
        <v>698</v>
      </c>
      <c r="D266" s="8">
        <v>1503</v>
      </c>
      <c r="E266" s="8" t="s">
        <v>699</v>
      </c>
    </row>
    <row r="267" spans="1:5" ht="11.25" customHeight="1" x14ac:dyDescent="0.25">
      <c r="A267" s="8" t="s">
        <v>696</v>
      </c>
      <c r="B267" s="8" t="s">
        <v>749</v>
      </c>
      <c r="C267" s="8" t="s">
        <v>698</v>
      </c>
      <c r="D267" s="8">
        <v>1504</v>
      </c>
      <c r="E267" s="8" t="s">
        <v>699</v>
      </c>
    </row>
    <row r="268" spans="1:5" ht="11.25" customHeight="1" x14ac:dyDescent="0.25">
      <c r="A268" s="8" t="s">
        <v>696</v>
      </c>
      <c r="B268" s="8" t="s">
        <v>749</v>
      </c>
      <c r="C268" s="8" t="s">
        <v>698</v>
      </c>
      <c r="D268" s="8">
        <v>1505</v>
      </c>
      <c r="E268" s="8" t="s">
        <v>699</v>
      </c>
    </row>
    <row r="269" spans="1:5" ht="11.25" customHeight="1" x14ac:dyDescent="0.25">
      <c r="A269" s="8" t="s">
        <v>696</v>
      </c>
      <c r="B269" s="8" t="s">
        <v>749</v>
      </c>
      <c r="C269" s="8" t="s">
        <v>698</v>
      </c>
      <c r="D269" s="8">
        <v>1506</v>
      </c>
      <c r="E269" s="8" t="s">
        <v>699</v>
      </c>
    </row>
    <row r="270" spans="1:5" ht="11.25" customHeight="1" x14ac:dyDescent="0.25">
      <c r="A270" s="8" t="s">
        <v>696</v>
      </c>
      <c r="B270" s="8" t="s">
        <v>749</v>
      </c>
      <c r="C270" s="8" t="s">
        <v>698</v>
      </c>
      <c r="D270" s="8">
        <v>1507</v>
      </c>
      <c r="E270" s="8" t="s">
        <v>699</v>
      </c>
    </row>
    <row r="271" spans="1:5" ht="11.25" customHeight="1" x14ac:dyDescent="0.25">
      <c r="A271" s="8" t="s">
        <v>696</v>
      </c>
      <c r="B271" s="8" t="s">
        <v>749</v>
      </c>
      <c r="C271" s="8" t="s">
        <v>698</v>
      </c>
      <c r="D271" s="8">
        <v>1508</v>
      </c>
      <c r="E271" s="8" t="s">
        <v>699</v>
      </c>
    </row>
    <row r="272" spans="1:5" ht="11.25" customHeight="1" x14ac:dyDescent="0.25">
      <c r="A272" s="8" t="s">
        <v>696</v>
      </c>
      <c r="B272" s="8" t="s">
        <v>749</v>
      </c>
      <c r="C272" s="8" t="s">
        <v>698</v>
      </c>
      <c r="D272" s="8">
        <v>1509</v>
      </c>
      <c r="E272" s="8" t="s">
        <v>699</v>
      </c>
    </row>
    <row r="273" spans="1:5" ht="11.25" customHeight="1" x14ac:dyDescent="0.25">
      <c r="A273" s="8" t="s">
        <v>696</v>
      </c>
      <c r="B273" s="8" t="s">
        <v>749</v>
      </c>
      <c r="C273" s="8" t="s">
        <v>698</v>
      </c>
      <c r="D273" s="8">
        <v>1510</v>
      </c>
      <c r="E273" s="8" t="s">
        <v>699</v>
      </c>
    </row>
    <row r="274" spans="1:5" ht="11.25" customHeight="1" x14ac:dyDescent="0.25">
      <c r="A274" s="8" t="s">
        <v>696</v>
      </c>
      <c r="B274" s="8" t="s">
        <v>749</v>
      </c>
      <c r="C274" s="8" t="s">
        <v>698</v>
      </c>
      <c r="D274" s="8">
        <v>1511</v>
      </c>
      <c r="E274" s="8" t="s">
        <v>699</v>
      </c>
    </row>
    <row r="275" spans="1:5" ht="11.25" customHeight="1" x14ac:dyDescent="0.25">
      <c r="A275" s="8" t="s">
        <v>696</v>
      </c>
      <c r="B275" s="8" t="s">
        <v>749</v>
      </c>
      <c r="C275" s="8" t="s">
        <v>698</v>
      </c>
      <c r="D275" s="8">
        <v>1512</v>
      </c>
      <c r="E275" s="8" t="s">
        <v>699</v>
      </c>
    </row>
    <row r="276" spans="1:5" ht="11.25" customHeight="1" x14ac:dyDescent="0.25">
      <c r="A276" s="8" t="s">
        <v>696</v>
      </c>
      <c r="B276" s="8" t="s">
        <v>749</v>
      </c>
      <c r="C276" s="8" t="s">
        <v>698</v>
      </c>
      <c r="D276" s="8">
        <v>1607</v>
      </c>
      <c r="E276" s="8" t="s">
        <v>699</v>
      </c>
    </row>
    <row r="277" spans="1:5" ht="11.25" customHeight="1" x14ac:dyDescent="0.25">
      <c r="A277" s="8" t="s">
        <v>696</v>
      </c>
      <c r="B277" s="8" t="s">
        <v>749</v>
      </c>
      <c r="C277" s="8" t="s">
        <v>698</v>
      </c>
      <c r="D277" s="8">
        <v>1608</v>
      </c>
      <c r="E277" s="8" t="s">
        <v>699</v>
      </c>
    </row>
    <row r="278" spans="1:5" ht="11.25" customHeight="1" x14ac:dyDescent="0.25">
      <c r="A278" s="8" t="s">
        <v>696</v>
      </c>
      <c r="B278" s="8" t="s">
        <v>749</v>
      </c>
      <c r="C278" s="8" t="s">
        <v>698</v>
      </c>
      <c r="D278" s="8">
        <v>1609</v>
      </c>
      <c r="E278" s="8" t="s">
        <v>699</v>
      </c>
    </row>
    <row r="279" spans="1:5" ht="11.25" customHeight="1" x14ac:dyDescent="0.25">
      <c r="A279" s="8" t="s">
        <v>696</v>
      </c>
      <c r="B279" s="8" t="s">
        <v>749</v>
      </c>
      <c r="C279" s="8" t="s">
        <v>698</v>
      </c>
      <c r="D279" s="8">
        <v>1610</v>
      </c>
      <c r="E279" s="8" t="s">
        <v>699</v>
      </c>
    </row>
    <row r="280" spans="1:5" ht="11.25" customHeight="1" x14ac:dyDescent="0.25">
      <c r="A280" s="8" t="s">
        <v>696</v>
      </c>
      <c r="B280" s="8" t="s">
        <v>749</v>
      </c>
      <c r="C280" s="8" t="s">
        <v>698</v>
      </c>
      <c r="D280" s="8">
        <v>1611</v>
      </c>
      <c r="E280" s="8" t="s">
        <v>699</v>
      </c>
    </row>
    <row r="281" spans="1:5" ht="11.25" customHeight="1" x14ac:dyDescent="0.25">
      <c r="A281" s="8" t="s">
        <v>696</v>
      </c>
      <c r="B281" s="8" t="s">
        <v>749</v>
      </c>
      <c r="C281" s="8" t="s">
        <v>698</v>
      </c>
      <c r="D281" s="8">
        <v>1612</v>
      </c>
      <c r="E281" s="8" t="s">
        <v>699</v>
      </c>
    </row>
    <row r="282" spans="1:5" ht="11.25" customHeight="1" x14ac:dyDescent="0.25">
      <c r="A282" s="8" t="s">
        <v>696</v>
      </c>
      <c r="B282" s="8" t="s">
        <v>749</v>
      </c>
      <c r="C282" s="8" t="s">
        <v>698</v>
      </c>
      <c r="D282" s="8">
        <v>1613</v>
      </c>
      <c r="E282" s="8" t="s">
        <v>699</v>
      </c>
    </row>
    <row r="283" spans="1:5" ht="11.25" customHeight="1" x14ac:dyDescent="0.25">
      <c r="A283" s="8" t="s">
        <v>696</v>
      </c>
      <c r="B283" s="8" t="s">
        <v>749</v>
      </c>
      <c r="C283" s="8" t="s">
        <v>698</v>
      </c>
      <c r="D283" s="8">
        <v>1614</v>
      </c>
      <c r="E283" s="8" t="s">
        <v>699</v>
      </c>
    </row>
    <row r="284" spans="1:5" ht="11.25" customHeight="1" x14ac:dyDescent="0.25">
      <c r="A284" s="8" t="s">
        <v>696</v>
      </c>
      <c r="B284" s="8" t="s">
        <v>749</v>
      </c>
      <c r="C284" s="8" t="s">
        <v>698</v>
      </c>
      <c r="D284" s="8">
        <v>1615</v>
      </c>
      <c r="E284" s="8" t="s">
        <v>699</v>
      </c>
    </row>
    <row r="285" spans="1:5" ht="11.25" customHeight="1" x14ac:dyDescent="0.25">
      <c r="A285" s="8" t="s">
        <v>696</v>
      </c>
      <c r="B285" s="8" t="s">
        <v>749</v>
      </c>
      <c r="C285" s="8" t="s">
        <v>698</v>
      </c>
      <c r="D285" s="8">
        <v>1616</v>
      </c>
      <c r="E285" s="8" t="s">
        <v>699</v>
      </c>
    </row>
    <row r="286" spans="1:5" ht="11.25" customHeight="1" x14ac:dyDescent="0.25">
      <c r="A286" s="8" t="s">
        <v>696</v>
      </c>
      <c r="B286" s="8" t="s">
        <v>749</v>
      </c>
      <c r="C286" s="8" t="s">
        <v>698</v>
      </c>
      <c r="D286" s="8">
        <v>1617</v>
      </c>
      <c r="E286" s="8" t="s">
        <v>699</v>
      </c>
    </row>
    <row r="287" spans="1:5" ht="11.25" customHeight="1" x14ac:dyDescent="0.25">
      <c r="A287" s="8" t="s">
        <v>696</v>
      </c>
      <c r="B287" s="8" t="s">
        <v>749</v>
      </c>
      <c r="C287" s="8" t="s">
        <v>698</v>
      </c>
      <c r="D287" s="8">
        <v>1618</v>
      </c>
      <c r="E287" s="8" t="s">
        <v>699</v>
      </c>
    </row>
    <row r="288" spans="1:5" ht="11.25" customHeight="1" x14ac:dyDescent="0.25">
      <c r="A288" s="8" t="s">
        <v>696</v>
      </c>
      <c r="B288" s="8" t="s">
        <v>749</v>
      </c>
      <c r="C288" s="8" t="s">
        <v>698</v>
      </c>
      <c r="D288" s="8">
        <v>1619</v>
      </c>
      <c r="E288" s="8" t="s">
        <v>699</v>
      </c>
    </row>
    <row r="289" spans="1:5" ht="11.25" customHeight="1" x14ac:dyDescent="0.25">
      <c r="A289" s="8" t="s">
        <v>696</v>
      </c>
      <c r="B289" s="8" t="s">
        <v>749</v>
      </c>
      <c r="C289" s="8" t="s">
        <v>698</v>
      </c>
      <c r="D289" s="8">
        <v>1620</v>
      </c>
      <c r="E289" s="8" t="s">
        <v>699</v>
      </c>
    </row>
    <row r="290" spans="1:5" ht="11.25" customHeight="1" x14ac:dyDescent="0.25">
      <c r="A290" s="8" t="s">
        <v>696</v>
      </c>
      <c r="B290" s="8" t="s">
        <v>749</v>
      </c>
      <c r="C290" s="8" t="s">
        <v>698</v>
      </c>
      <c r="D290" s="8">
        <v>1621</v>
      </c>
      <c r="E290" s="8" t="s">
        <v>699</v>
      </c>
    </row>
    <row r="291" spans="1:5" ht="11.25" customHeight="1" x14ac:dyDescent="0.25">
      <c r="A291" s="8" t="s">
        <v>696</v>
      </c>
      <c r="B291" s="8" t="s">
        <v>749</v>
      </c>
      <c r="C291" s="8" t="s">
        <v>698</v>
      </c>
      <c r="D291" s="8">
        <v>1622</v>
      </c>
      <c r="E291" s="8" t="s">
        <v>699</v>
      </c>
    </row>
    <row r="292" spans="1:5" ht="11.25" customHeight="1" x14ac:dyDescent="0.25">
      <c r="A292" s="8" t="s">
        <v>696</v>
      </c>
      <c r="B292" s="8" t="s">
        <v>749</v>
      </c>
      <c r="C292" s="8" t="s">
        <v>698</v>
      </c>
      <c r="D292" s="8">
        <v>1623</v>
      </c>
      <c r="E292" s="8" t="s">
        <v>699</v>
      </c>
    </row>
    <row r="293" spans="1:5" ht="11.25" customHeight="1" x14ac:dyDescent="0.25">
      <c r="A293" s="8" t="s">
        <v>696</v>
      </c>
      <c r="B293" s="8" t="s">
        <v>749</v>
      </c>
      <c r="C293" s="8" t="s">
        <v>698</v>
      </c>
      <c r="D293" s="8">
        <v>1624</v>
      </c>
      <c r="E293" s="8" t="s">
        <v>699</v>
      </c>
    </row>
    <row r="294" spans="1:5" ht="11.25" customHeight="1" x14ac:dyDescent="0.25">
      <c r="A294" s="8" t="s">
        <v>696</v>
      </c>
      <c r="B294" s="8" t="s">
        <v>749</v>
      </c>
      <c r="C294" s="8" t="s">
        <v>698</v>
      </c>
      <c r="D294" s="8">
        <v>1625</v>
      </c>
      <c r="E294" s="8" t="s">
        <v>699</v>
      </c>
    </row>
    <row r="295" spans="1:5" ht="11.25" customHeight="1" x14ac:dyDescent="0.25">
      <c r="A295" s="8" t="s">
        <v>696</v>
      </c>
      <c r="B295" s="8" t="s">
        <v>749</v>
      </c>
      <c r="C295" s="8" t="s">
        <v>698</v>
      </c>
      <c r="D295" s="8">
        <v>1626</v>
      </c>
      <c r="E295" s="8" t="s">
        <v>699</v>
      </c>
    </row>
    <row r="296" spans="1:5" ht="11.25" customHeight="1" x14ac:dyDescent="0.25">
      <c r="A296" s="8" t="s">
        <v>696</v>
      </c>
      <c r="B296" s="8" t="s">
        <v>749</v>
      </c>
      <c r="C296" s="8" t="s">
        <v>698</v>
      </c>
      <c r="D296" s="8">
        <v>1627</v>
      </c>
      <c r="E296" s="8" t="s">
        <v>699</v>
      </c>
    </row>
    <row r="297" spans="1:5" ht="11.25" customHeight="1" x14ac:dyDescent="0.25">
      <c r="A297" s="8" t="s">
        <v>696</v>
      </c>
      <c r="B297" s="8" t="s">
        <v>749</v>
      </c>
      <c r="C297" s="8" t="s">
        <v>698</v>
      </c>
      <c r="D297" s="8">
        <v>1628</v>
      </c>
      <c r="E297" s="8" t="s">
        <v>699</v>
      </c>
    </row>
    <row r="298" spans="1:5" ht="11.25" customHeight="1" x14ac:dyDescent="0.25">
      <c r="A298" s="8" t="s">
        <v>696</v>
      </c>
      <c r="B298" s="8" t="s">
        <v>749</v>
      </c>
      <c r="C298" s="8" t="s">
        <v>698</v>
      </c>
      <c r="D298" s="8">
        <v>1629</v>
      </c>
      <c r="E298" s="8" t="s">
        <v>699</v>
      </c>
    </row>
    <row r="299" spans="1:5" ht="11.25" customHeight="1" x14ac:dyDescent="0.25">
      <c r="A299" s="8" t="s">
        <v>696</v>
      </c>
      <c r="B299" s="8" t="s">
        <v>749</v>
      </c>
      <c r="C299" s="8" t="s">
        <v>698</v>
      </c>
      <c r="D299" s="8">
        <v>1630</v>
      </c>
      <c r="E299" s="8" t="s">
        <v>699</v>
      </c>
    </row>
    <row r="300" spans="1:5" ht="11.25" customHeight="1" x14ac:dyDescent="0.25">
      <c r="A300" s="8" t="s">
        <v>696</v>
      </c>
      <c r="B300" s="8" t="s">
        <v>749</v>
      </c>
      <c r="C300" s="8" t="s">
        <v>698</v>
      </c>
      <c r="D300" s="8">
        <v>1631</v>
      </c>
      <c r="E300" s="8" t="s">
        <v>699</v>
      </c>
    </row>
    <row r="301" spans="1:5" ht="11.25" customHeight="1" x14ac:dyDescent="0.25">
      <c r="A301" s="8" t="s">
        <v>696</v>
      </c>
      <c r="B301" s="8" t="s">
        <v>749</v>
      </c>
      <c r="C301" s="8" t="s">
        <v>698</v>
      </c>
      <c r="D301" s="8">
        <v>1632</v>
      </c>
      <c r="E301" s="8" t="s">
        <v>699</v>
      </c>
    </row>
    <row r="302" spans="1:5" ht="11.25" customHeight="1" x14ac:dyDescent="0.25">
      <c r="A302" s="8" t="s">
        <v>696</v>
      </c>
      <c r="B302" s="8" t="s">
        <v>749</v>
      </c>
      <c r="C302" s="8" t="s">
        <v>698</v>
      </c>
      <c r="D302" s="8">
        <v>1633</v>
      </c>
      <c r="E302" s="8" t="s">
        <v>699</v>
      </c>
    </row>
    <row r="303" spans="1:5" ht="11.25" customHeight="1" x14ac:dyDescent="0.25">
      <c r="A303" s="8" t="s">
        <v>696</v>
      </c>
      <c r="B303" s="8" t="s">
        <v>749</v>
      </c>
      <c r="C303" s="8" t="s">
        <v>698</v>
      </c>
      <c r="D303" s="8">
        <v>1634</v>
      </c>
      <c r="E303" s="8" t="s">
        <v>699</v>
      </c>
    </row>
    <row r="304" spans="1:5" ht="11.25" customHeight="1" x14ac:dyDescent="0.25">
      <c r="A304" s="8" t="s">
        <v>696</v>
      </c>
      <c r="C304" s="8" t="s">
        <v>1043</v>
      </c>
      <c r="D304" s="8">
        <v>39</v>
      </c>
      <c r="E304" s="8" t="s">
        <v>9</v>
      </c>
    </row>
    <row r="305" spans="1:5" ht="11.25" customHeight="1" x14ac:dyDescent="0.25">
      <c r="A305" s="8" t="s">
        <v>696</v>
      </c>
      <c r="C305" s="8" t="s">
        <v>1043</v>
      </c>
      <c r="D305" s="8">
        <v>39</v>
      </c>
      <c r="E305" s="8" t="s">
        <v>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B7224-B834-42B5-8883-A0B19C74B21A}">
  <dimension ref="A1:AV120"/>
  <sheetViews>
    <sheetView showGridLines="0" workbookViewId="0"/>
  </sheetViews>
  <sheetFormatPr defaultColWidth="8.85546875" defaultRowHeight="11.25" x14ac:dyDescent="0.25"/>
  <cols>
    <col min="1" max="1" width="4.28515625" style="47" bestFit="1" customWidth="1"/>
    <col min="2" max="2" width="8" style="47" bestFit="1" customWidth="1"/>
    <col min="3" max="3" width="7.7109375" style="47" bestFit="1" customWidth="1"/>
    <col min="4" max="4" width="24.7109375" style="47" bestFit="1" customWidth="1"/>
    <col min="5" max="5" width="12.7109375" style="47" bestFit="1" customWidth="1"/>
    <col min="6" max="6" width="23.140625" style="47" bestFit="1" customWidth="1"/>
    <col min="7" max="7" width="9.5703125" style="47" bestFit="1" customWidth="1"/>
    <col min="8" max="8" width="13.42578125" style="47" bestFit="1" customWidth="1"/>
    <col min="9" max="9" width="9.5703125" style="47" bestFit="1" customWidth="1"/>
    <col min="10" max="10" width="6.42578125" style="47" bestFit="1" customWidth="1"/>
    <col min="11" max="11" width="3.85546875" style="47" bestFit="1" customWidth="1"/>
    <col min="12" max="12" width="4.28515625" style="47" bestFit="1" customWidth="1"/>
    <col min="13" max="13" width="5.85546875" style="47" bestFit="1" customWidth="1"/>
    <col min="14" max="14" width="5.5703125" style="47" bestFit="1" customWidth="1"/>
    <col min="15" max="15" width="10.28515625" style="47" bestFit="1" customWidth="1"/>
    <col min="16" max="16" width="9.28515625" style="47" bestFit="1" customWidth="1"/>
    <col min="17" max="16384" width="8.85546875" style="47"/>
  </cols>
  <sheetData>
    <row r="1" spans="1:48" ht="11.25" customHeight="1" x14ac:dyDescent="0.25">
      <c r="A1" s="48" t="s">
        <v>1099</v>
      </c>
      <c r="B1" s="48" t="s">
        <v>1090</v>
      </c>
      <c r="C1" s="48" t="s">
        <v>1</v>
      </c>
      <c r="D1" s="48" t="s">
        <v>2</v>
      </c>
      <c r="E1" s="48" t="s">
        <v>3</v>
      </c>
      <c r="F1" s="48" t="s">
        <v>4</v>
      </c>
      <c r="G1" s="48" t="s">
        <v>5</v>
      </c>
      <c r="H1" s="48" t="s">
        <v>6</v>
      </c>
      <c r="I1" s="48" t="s">
        <v>7</v>
      </c>
      <c r="J1" s="48" t="s">
        <v>1091</v>
      </c>
      <c r="K1" s="48" t="s">
        <v>1092</v>
      </c>
      <c r="L1" s="48" t="s">
        <v>1093</v>
      </c>
      <c r="M1" s="48" t="s">
        <v>1094</v>
      </c>
      <c r="N1" s="48" t="s">
        <v>1095</v>
      </c>
      <c r="O1" s="48" t="s">
        <v>976</v>
      </c>
      <c r="P1" s="48" t="s">
        <v>962</v>
      </c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6"/>
      <c r="AJ1" s="46"/>
      <c r="AK1" s="46"/>
      <c r="AL1" s="46"/>
      <c r="AM1" s="46"/>
      <c r="AN1" s="46"/>
      <c r="AO1" s="46"/>
      <c r="AP1" s="46"/>
      <c r="AQ1" s="46"/>
      <c r="AR1" s="46"/>
      <c r="AS1" s="46"/>
      <c r="AT1" s="46"/>
      <c r="AU1" s="46"/>
      <c r="AV1" s="46"/>
    </row>
    <row r="2" spans="1:48" ht="11.25" customHeight="1" x14ac:dyDescent="0.25">
      <c r="A2" s="49">
        <v>1</v>
      </c>
      <c r="B2" s="49" t="s">
        <v>955</v>
      </c>
      <c r="C2" s="49" t="s">
        <v>43</v>
      </c>
      <c r="D2" s="49" t="s">
        <v>41</v>
      </c>
      <c r="E2" s="49" t="s">
        <v>25</v>
      </c>
      <c r="F2" s="49" t="s">
        <v>25</v>
      </c>
      <c r="G2" s="49" t="s">
        <v>25</v>
      </c>
      <c r="H2" s="49" t="s">
        <v>25</v>
      </c>
      <c r="I2" s="49" t="s">
        <v>35</v>
      </c>
      <c r="J2" s="49" t="s">
        <v>1096</v>
      </c>
      <c r="K2" s="49" t="s">
        <v>1097</v>
      </c>
      <c r="L2" s="49" t="s">
        <v>91</v>
      </c>
      <c r="M2" s="49">
        <v>2019</v>
      </c>
      <c r="N2" s="49">
        <v>0</v>
      </c>
      <c r="O2" s="49">
        <v>9.4700000000000006</v>
      </c>
      <c r="P2" s="49">
        <v>0</v>
      </c>
    </row>
    <row r="3" spans="1:48" ht="11.25" customHeight="1" x14ac:dyDescent="0.25">
      <c r="A3" s="49">
        <v>2</v>
      </c>
      <c r="B3" s="49" t="s">
        <v>955</v>
      </c>
      <c r="C3" s="49" t="s">
        <v>43</v>
      </c>
      <c r="D3" s="49" t="s">
        <v>41</v>
      </c>
      <c r="E3" s="49" t="s">
        <v>25</v>
      </c>
      <c r="F3" s="49" t="s">
        <v>25</v>
      </c>
      <c r="G3" s="49" t="s">
        <v>25</v>
      </c>
      <c r="H3" s="49" t="s">
        <v>25</v>
      </c>
      <c r="I3" s="49" t="s">
        <v>36</v>
      </c>
      <c r="J3" s="49" t="s">
        <v>1096</v>
      </c>
      <c r="K3" s="49" t="s">
        <v>1097</v>
      </c>
      <c r="L3" s="49" t="s">
        <v>91</v>
      </c>
      <c r="M3" s="49">
        <v>2019</v>
      </c>
      <c r="N3" s="49">
        <v>0</v>
      </c>
      <c r="O3" s="49">
        <v>5.4</v>
      </c>
      <c r="P3" s="49">
        <v>0</v>
      </c>
    </row>
    <row r="4" spans="1:48" ht="11.25" customHeight="1" x14ac:dyDescent="0.25">
      <c r="A4" s="49">
        <v>3</v>
      </c>
      <c r="B4" s="49" t="s">
        <v>955</v>
      </c>
      <c r="C4" s="49" t="s">
        <v>43</v>
      </c>
      <c r="D4" s="49" t="s">
        <v>41</v>
      </c>
      <c r="E4" s="49" t="s">
        <v>25</v>
      </c>
      <c r="F4" s="49" t="s">
        <v>25</v>
      </c>
      <c r="G4" s="49" t="s">
        <v>25</v>
      </c>
      <c r="H4" s="49" t="s">
        <v>25</v>
      </c>
      <c r="I4" s="49" t="s">
        <v>25</v>
      </c>
      <c r="J4" s="49" t="s">
        <v>1098</v>
      </c>
      <c r="K4" s="49" t="s">
        <v>1097</v>
      </c>
      <c r="L4" s="49" t="s">
        <v>88</v>
      </c>
      <c r="M4" s="49">
        <v>2019</v>
      </c>
      <c r="N4" s="49">
        <v>0</v>
      </c>
      <c r="O4" s="49">
        <v>62.65</v>
      </c>
      <c r="P4" s="49">
        <v>42.463937613164298</v>
      </c>
    </row>
    <row r="5" spans="1:48" ht="11.25" customHeight="1" x14ac:dyDescent="0.25">
      <c r="A5" s="49">
        <v>4</v>
      </c>
      <c r="B5" s="49" t="s">
        <v>955</v>
      </c>
      <c r="C5" s="49" t="s">
        <v>43</v>
      </c>
      <c r="D5" s="49" t="s">
        <v>41</v>
      </c>
      <c r="E5" s="49" t="s">
        <v>25</v>
      </c>
      <c r="F5" s="49" t="s">
        <v>25</v>
      </c>
      <c r="G5" s="49" t="s">
        <v>61</v>
      </c>
      <c r="H5" s="49" t="s">
        <v>25</v>
      </c>
      <c r="I5" s="49" t="s">
        <v>25</v>
      </c>
      <c r="J5" s="49" t="s">
        <v>1098</v>
      </c>
      <c r="K5" s="49" t="s">
        <v>1097</v>
      </c>
      <c r="L5" s="49" t="s">
        <v>88</v>
      </c>
      <c r="M5" s="49">
        <v>2019</v>
      </c>
      <c r="N5" s="49">
        <v>0</v>
      </c>
      <c r="O5" s="49">
        <v>9.98</v>
      </c>
      <c r="P5" s="49">
        <v>0</v>
      </c>
    </row>
    <row r="6" spans="1:48" ht="11.25" customHeight="1" x14ac:dyDescent="0.25">
      <c r="A6" s="49">
        <v>5</v>
      </c>
      <c r="B6" s="49" t="s">
        <v>955</v>
      </c>
      <c r="C6" s="49" t="s">
        <v>43</v>
      </c>
      <c r="D6" s="49" t="s">
        <v>67</v>
      </c>
      <c r="E6" s="49" t="s">
        <v>25</v>
      </c>
      <c r="F6" s="49" t="s">
        <v>25</v>
      </c>
      <c r="G6" s="49" t="s">
        <v>25</v>
      </c>
      <c r="H6" s="49" t="s">
        <v>68</v>
      </c>
      <c r="I6" s="49" t="s">
        <v>35</v>
      </c>
      <c r="J6" s="49" t="s">
        <v>1096</v>
      </c>
      <c r="K6" s="49" t="s">
        <v>1097</v>
      </c>
      <c r="L6" s="49" t="s">
        <v>91</v>
      </c>
      <c r="M6" s="49">
        <v>2019</v>
      </c>
      <c r="N6" s="49">
        <v>0</v>
      </c>
      <c r="O6" s="49">
        <v>9.4700000000000006</v>
      </c>
      <c r="P6" s="49">
        <v>0</v>
      </c>
    </row>
    <row r="7" spans="1:48" ht="11.25" customHeight="1" x14ac:dyDescent="0.25">
      <c r="A7" s="49">
        <v>6</v>
      </c>
      <c r="B7" s="49" t="s">
        <v>955</v>
      </c>
      <c r="C7" s="49" t="s">
        <v>43</v>
      </c>
      <c r="D7" s="49" t="s">
        <v>67</v>
      </c>
      <c r="E7" s="49" t="s">
        <v>25</v>
      </c>
      <c r="F7" s="49" t="s">
        <v>25</v>
      </c>
      <c r="G7" s="49" t="s">
        <v>25</v>
      </c>
      <c r="H7" s="49" t="s">
        <v>68</v>
      </c>
      <c r="I7" s="49" t="s">
        <v>36</v>
      </c>
      <c r="J7" s="49" t="s">
        <v>1096</v>
      </c>
      <c r="K7" s="49" t="s">
        <v>1097</v>
      </c>
      <c r="L7" s="49" t="s">
        <v>91</v>
      </c>
      <c r="M7" s="49">
        <v>2019</v>
      </c>
      <c r="N7" s="49">
        <v>0</v>
      </c>
      <c r="O7" s="49">
        <v>5.4</v>
      </c>
      <c r="P7" s="49">
        <v>0</v>
      </c>
    </row>
    <row r="8" spans="1:48" ht="11.25" customHeight="1" x14ac:dyDescent="0.25">
      <c r="A8" s="49">
        <v>7</v>
      </c>
      <c r="B8" s="49" t="s">
        <v>955</v>
      </c>
      <c r="C8" s="49" t="s">
        <v>43</v>
      </c>
      <c r="D8" s="49" t="s">
        <v>67</v>
      </c>
      <c r="E8" s="49" t="s">
        <v>25</v>
      </c>
      <c r="F8" s="49" t="s">
        <v>25</v>
      </c>
      <c r="G8" s="49" t="s">
        <v>25</v>
      </c>
      <c r="H8" s="49" t="s">
        <v>68</v>
      </c>
      <c r="I8" s="49" t="s">
        <v>25</v>
      </c>
      <c r="J8" s="49" t="s">
        <v>1098</v>
      </c>
      <c r="K8" s="49" t="s">
        <v>1097</v>
      </c>
      <c r="L8" s="49" t="s">
        <v>88</v>
      </c>
      <c r="M8" s="49">
        <v>2019</v>
      </c>
      <c r="N8" s="49">
        <v>0</v>
      </c>
      <c r="O8" s="49">
        <v>5.14</v>
      </c>
      <c r="P8" s="49">
        <v>0</v>
      </c>
    </row>
    <row r="9" spans="1:48" ht="11.25" customHeight="1" x14ac:dyDescent="0.25">
      <c r="A9" s="49">
        <v>8</v>
      </c>
      <c r="B9" s="49" t="s">
        <v>955</v>
      </c>
      <c r="C9" s="49" t="s">
        <v>43</v>
      </c>
      <c r="D9" s="49" t="s">
        <v>64</v>
      </c>
      <c r="E9" s="49" t="s">
        <v>25</v>
      </c>
      <c r="F9" s="49" t="s">
        <v>25</v>
      </c>
      <c r="G9" s="49" t="s">
        <v>25</v>
      </c>
      <c r="H9" s="49" t="s">
        <v>70</v>
      </c>
      <c r="I9" s="49" t="s">
        <v>25</v>
      </c>
      <c r="J9" s="49" t="s">
        <v>1096</v>
      </c>
      <c r="K9" s="49" t="s">
        <v>1097</v>
      </c>
      <c r="L9" s="49" t="s">
        <v>91</v>
      </c>
      <c r="M9" s="49">
        <v>2019</v>
      </c>
      <c r="N9" s="49">
        <v>0</v>
      </c>
      <c r="O9" s="49">
        <v>3.09</v>
      </c>
      <c r="P9" s="49">
        <v>0</v>
      </c>
    </row>
    <row r="10" spans="1:48" ht="11.25" customHeight="1" x14ac:dyDescent="0.25">
      <c r="A10" s="49">
        <v>9</v>
      </c>
      <c r="B10" s="49" t="s">
        <v>955</v>
      </c>
      <c r="C10" s="49" t="s">
        <v>43</v>
      </c>
      <c r="D10" s="49" t="s">
        <v>64</v>
      </c>
      <c r="E10" s="49" t="s">
        <v>25</v>
      </c>
      <c r="F10" s="49" t="s">
        <v>25</v>
      </c>
      <c r="G10" s="49" t="s">
        <v>25</v>
      </c>
      <c r="H10" s="49" t="s">
        <v>71</v>
      </c>
      <c r="I10" s="49" t="s">
        <v>25</v>
      </c>
      <c r="J10" s="49" t="s">
        <v>1096</v>
      </c>
      <c r="K10" s="49" t="s">
        <v>1097</v>
      </c>
      <c r="L10" s="49" t="s">
        <v>91</v>
      </c>
      <c r="M10" s="49">
        <v>2019</v>
      </c>
      <c r="N10" s="49">
        <v>0</v>
      </c>
      <c r="O10" s="49">
        <v>2.71</v>
      </c>
      <c r="P10" s="49">
        <v>0</v>
      </c>
    </row>
    <row r="11" spans="1:48" ht="11.25" customHeight="1" x14ac:dyDescent="0.25">
      <c r="A11" s="49">
        <v>10</v>
      </c>
      <c r="B11" s="49" t="s">
        <v>955</v>
      </c>
      <c r="C11" s="49" t="s">
        <v>43</v>
      </c>
      <c r="D11" s="49" t="s">
        <v>64</v>
      </c>
      <c r="E11" s="49" t="s">
        <v>25</v>
      </c>
      <c r="F11" s="49" t="s">
        <v>25</v>
      </c>
      <c r="G11" s="49" t="s">
        <v>25</v>
      </c>
      <c r="H11" s="49" t="s">
        <v>95</v>
      </c>
      <c r="I11" s="49" t="s">
        <v>25</v>
      </c>
      <c r="J11" s="49" t="s">
        <v>1096</v>
      </c>
      <c r="K11" s="49" t="s">
        <v>1097</v>
      </c>
      <c r="L11" s="49" t="s">
        <v>91</v>
      </c>
      <c r="M11" s="49">
        <v>2019</v>
      </c>
      <c r="N11" s="49">
        <v>0</v>
      </c>
      <c r="O11" s="49">
        <v>2.2999999999999998</v>
      </c>
      <c r="P11" s="49">
        <v>0</v>
      </c>
    </row>
    <row r="12" spans="1:48" ht="11.25" customHeight="1" x14ac:dyDescent="0.25">
      <c r="A12" s="49">
        <v>11</v>
      </c>
      <c r="B12" s="49" t="s">
        <v>955</v>
      </c>
      <c r="C12" s="49" t="s">
        <v>45</v>
      </c>
      <c r="D12" s="49" t="s">
        <v>41</v>
      </c>
      <c r="E12" s="49" t="s">
        <v>25</v>
      </c>
      <c r="F12" s="49" t="s">
        <v>25</v>
      </c>
      <c r="G12" s="49" t="s">
        <v>25</v>
      </c>
      <c r="H12" s="49" t="s">
        <v>25</v>
      </c>
      <c r="I12" s="49" t="s">
        <v>35</v>
      </c>
      <c r="J12" s="49" t="s">
        <v>1096</v>
      </c>
      <c r="K12" s="49" t="s">
        <v>1097</v>
      </c>
      <c r="L12" s="49" t="s">
        <v>91</v>
      </c>
      <c r="M12" s="49">
        <v>2019</v>
      </c>
      <c r="N12" s="49">
        <v>0</v>
      </c>
      <c r="O12" s="49">
        <v>22.94</v>
      </c>
      <c r="P12" s="49">
        <v>0</v>
      </c>
    </row>
    <row r="13" spans="1:48" ht="11.25" customHeight="1" x14ac:dyDescent="0.25">
      <c r="A13" s="49">
        <v>12</v>
      </c>
      <c r="B13" s="49" t="s">
        <v>955</v>
      </c>
      <c r="C13" s="49" t="s">
        <v>45</v>
      </c>
      <c r="D13" s="49" t="s">
        <v>41</v>
      </c>
      <c r="E13" s="49" t="s">
        <v>25</v>
      </c>
      <c r="F13" s="49" t="s">
        <v>25</v>
      </c>
      <c r="G13" s="49" t="s">
        <v>25</v>
      </c>
      <c r="H13" s="49" t="s">
        <v>25</v>
      </c>
      <c r="I13" s="49" t="s">
        <v>36</v>
      </c>
      <c r="J13" s="49" t="s">
        <v>1096</v>
      </c>
      <c r="K13" s="49" t="s">
        <v>1097</v>
      </c>
      <c r="L13" s="49" t="s">
        <v>91</v>
      </c>
      <c r="M13" s="49">
        <v>2019</v>
      </c>
      <c r="N13" s="49">
        <v>0</v>
      </c>
      <c r="O13" s="49">
        <v>8.81</v>
      </c>
      <c r="P13" s="49">
        <v>0</v>
      </c>
    </row>
    <row r="14" spans="1:48" ht="11.25" customHeight="1" x14ac:dyDescent="0.25">
      <c r="A14" s="49">
        <v>13</v>
      </c>
      <c r="B14" s="49" t="s">
        <v>955</v>
      </c>
      <c r="C14" s="49" t="s">
        <v>45</v>
      </c>
      <c r="D14" s="49" t="s">
        <v>41</v>
      </c>
      <c r="E14" s="49" t="s">
        <v>25</v>
      </c>
      <c r="F14" s="49" t="s">
        <v>25</v>
      </c>
      <c r="G14" s="49" t="s">
        <v>25</v>
      </c>
      <c r="H14" s="49" t="s">
        <v>25</v>
      </c>
      <c r="I14" s="49" t="s">
        <v>25</v>
      </c>
      <c r="J14" s="49" t="s">
        <v>1098</v>
      </c>
      <c r="K14" s="49" t="s">
        <v>1097</v>
      </c>
      <c r="L14" s="49" t="s">
        <v>88</v>
      </c>
      <c r="M14" s="49">
        <v>2019</v>
      </c>
      <c r="N14" s="49">
        <v>0</v>
      </c>
      <c r="O14" s="49">
        <v>84.45</v>
      </c>
      <c r="P14" s="49">
        <v>49.451674182419197</v>
      </c>
    </row>
    <row r="15" spans="1:48" ht="11.25" customHeight="1" x14ac:dyDescent="0.25">
      <c r="A15" s="49">
        <v>14</v>
      </c>
      <c r="B15" s="49" t="s">
        <v>955</v>
      </c>
      <c r="C15" s="49" t="s">
        <v>45</v>
      </c>
      <c r="D15" s="49" t="s">
        <v>41</v>
      </c>
      <c r="E15" s="49" t="s">
        <v>25</v>
      </c>
      <c r="F15" s="49" t="s">
        <v>25</v>
      </c>
      <c r="G15" s="49" t="s">
        <v>61</v>
      </c>
      <c r="H15" s="49" t="s">
        <v>25</v>
      </c>
      <c r="I15" s="49" t="s">
        <v>25</v>
      </c>
      <c r="J15" s="49" t="s">
        <v>1098</v>
      </c>
      <c r="K15" s="49" t="s">
        <v>1097</v>
      </c>
      <c r="L15" s="49" t="s">
        <v>88</v>
      </c>
      <c r="M15" s="49">
        <v>2019</v>
      </c>
      <c r="N15" s="49">
        <v>0</v>
      </c>
      <c r="O15" s="49">
        <v>24.79</v>
      </c>
      <c r="P15" s="49">
        <v>0</v>
      </c>
    </row>
    <row r="16" spans="1:48" ht="11.25" customHeight="1" x14ac:dyDescent="0.25">
      <c r="A16" s="49">
        <v>15</v>
      </c>
      <c r="B16" s="49" t="s">
        <v>955</v>
      </c>
      <c r="C16" s="49" t="s">
        <v>45</v>
      </c>
      <c r="D16" s="49" t="s">
        <v>64</v>
      </c>
      <c r="E16" s="49" t="s">
        <v>25</v>
      </c>
      <c r="F16" s="49" t="s">
        <v>25</v>
      </c>
      <c r="G16" s="49" t="s">
        <v>25</v>
      </c>
      <c r="H16" s="49" t="s">
        <v>25</v>
      </c>
      <c r="I16" s="49" t="s">
        <v>25</v>
      </c>
      <c r="J16" s="49" t="s">
        <v>1096</v>
      </c>
      <c r="K16" s="49" t="s">
        <v>1097</v>
      </c>
      <c r="L16" s="49" t="s">
        <v>91</v>
      </c>
      <c r="M16" s="49">
        <v>2019</v>
      </c>
      <c r="N16" s="49">
        <v>0</v>
      </c>
      <c r="O16" s="49">
        <v>3.6</v>
      </c>
      <c r="P16" s="49">
        <v>0</v>
      </c>
    </row>
    <row r="17" spans="1:16" ht="11.25" customHeight="1" x14ac:dyDescent="0.25">
      <c r="A17" s="49">
        <v>16</v>
      </c>
      <c r="B17" s="49" t="s">
        <v>955</v>
      </c>
      <c r="C17" s="49" t="s">
        <v>45</v>
      </c>
      <c r="D17" s="49" t="s">
        <v>34</v>
      </c>
      <c r="E17" s="49" t="s">
        <v>25</v>
      </c>
      <c r="F17" s="49" t="s">
        <v>25</v>
      </c>
      <c r="G17" s="49" t="s">
        <v>25</v>
      </c>
      <c r="H17" s="49" t="s">
        <v>25</v>
      </c>
      <c r="I17" s="49" t="s">
        <v>25</v>
      </c>
      <c r="J17" s="49" t="s">
        <v>1096</v>
      </c>
      <c r="K17" s="49" t="s">
        <v>1097</v>
      </c>
      <c r="L17" s="49" t="s">
        <v>91</v>
      </c>
      <c r="M17" s="49">
        <v>2019</v>
      </c>
      <c r="N17" s="49">
        <v>0</v>
      </c>
      <c r="O17" s="49">
        <v>8.81</v>
      </c>
      <c r="P17" s="49">
        <v>0</v>
      </c>
    </row>
    <row r="18" spans="1:16" ht="11.25" customHeight="1" x14ac:dyDescent="0.25">
      <c r="A18" s="49">
        <v>17</v>
      </c>
      <c r="B18" s="49" t="s">
        <v>955</v>
      </c>
      <c r="C18" s="49" t="s">
        <v>45</v>
      </c>
      <c r="D18" s="49" t="s">
        <v>34</v>
      </c>
      <c r="E18" s="49" t="s">
        <v>25</v>
      </c>
      <c r="F18" s="49" t="s">
        <v>25</v>
      </c>
      <c r="G18" s="49" t="s">
        <v>25</v>
      </c>
      <c r="H18" s="49" t="s">
        <v>25</v>
      </c>
      <c r="I18" s="49" t="s">
        <v>35</v>
      </c>
      <c r="J18" s="49" t="s">
        <v>1098</v>
      </c>
      <c r="K18" s="49" t="s">
        <v>1097</v>
      </c>
      <c r="L18" s="49" t="s">
        <v>88</v>
      </c>
      <c r="M18" s="49">
        <v>2019</v>
      </c>
      <c r="N18" s="49">
        <v>0</v>
      </c>
      <c r="O18" s="49">
        <v>641.99</v>
      </c>
      <c r="P18" s="49">
        <v>49.451674182419197</v>
      </c>
    </row>
    <row r="19" spans="1:16" ht="11.25" customHeight="1" x14ac:dyDescent="0.25">
      <c r="A19" s="49">
        <v>18</v>
      </c>
      <c r="B19" s="49" t="s">
        <v>955</v>
      </c>
      <c r="C19" s="49" t="s">
        <v>45</v>
      </c>
      <c r="D19" s="49" t="s">
        <v>34</v>
      </c>
      <c r="E19" s="49" t="s">
        <v>25</v>
      </c>
      <c r="F19" s="49" t="s">
        <v>25</v>
      </c>
      <c r="G19" s="49" t="s">
        <v>25</v>
      </c>
      <c r="H19" s="49" t="s">
        <v>25</v>
      </c>
      <c r="I19" s="49" t="s">
        <v>36</v>
      </c>
      <c r="J19" s="49" t="s">
        <v>1098</v>
      </c>
      <c r="K19" s="49" t="s">
        <v>1097</v>
      </c>
      <c r="L19" s="49" t="s">
        <v>88</v>
      </c>
      <c r="M19" s="49">
        <v>2019</v>
      </c>
      <c r="N19" s="49">
        <v>0</v>
      </c>
      <c r="O19" s="49">
        <v>84.45</v>
      </c>
      <c r="P19" s="49">
        <v>49.451674182419197</v>
      </c>
    </row>
    <row r="20" spans="1:16" ht="11.25" customHeight="1" x14ac:dyDescent="0.25">
      <c r="A20" s="49">
        <v>19</v>
      </c>
      <c r="B20" s="49" t="s">
        <v>955</v>
      </c>
      <c r="C20" s="49" t="s">
        <v>45</v>
      </c>
      <c r="D20" s="49" t="s">
        <v>34</v>
      </c>
      <c r="E20" s="49" t="s">
        <v>25</v>
      </c>
      <c r="F20" s="49" t="s">
        <v>25</v>
      </c>
      <c r="G20" s="49" t="s">
        <v>61</v>
      </c>
      <c r="H20" s="49" t="s">
        <v>25</v>
      </c>
      <c r="I20" s="49" t="s">
        <v>35</v>
      </c>
      <c r="J20" s="49" t="s">
        <v>1098</v>
      </c>
      <c r="K20" s="49" t="s">
        <v>1097</v>
      </c>
      <c r="L20" s="49" t="s">
        <v>88</v>
      </c>
      <c r="M20" s="49">
        <v>2019</v>
      </c>
      <c r="N20" s="49">
        <v>0</v>
      </c>
      <c r="O20" s="49">
        <v>582.33000000000004</v>
      </c>
      <c r="P20" s="49">
        <v>0</v>
      </c>
    </row>
    <row r="21" spans="1:16" ht="11.25" customHeight="1" x14ac:dyDescent="0.25">
      <c r="A21" s="49">
        <v>20</v>
      </c>
      <c r="B21" s="49" t="s">
        <v>955</v>
      </c>
      <c r="C21" s="49" t="s">
        <v>45</v>
      </c>
      <c r="D21" s="49" t="s">
        <v>34</v>
      </c>
      <c r="E21" s="49" t="s">
        <v>25</v>
      </c>
      <c r="F21" s="49" t="s">
        <v>25</v>
      </c>
      <c r="G21" s="49" t="s">
        <v>61</v>
      </c>
      <c r="H21" s="49" t="s">
        <v>25</v>
      </c>
      <c r="I21" s="49" t="s">
        <v>36</v>
      </c>
      <c r="J21" s="49" t="s">
        <v>1098</v>
      </c>
      <c r="K21" s="49" t="s">
        <v>1097</v>
      </c>
      <c r="L21" s="49" t="s">
        <v>88</v>
      </c>
      <c r="M21" s="49">
        <v>2019</v>
      </c>
      <c r="N21" s="49">
        <v>0</v>
      </c>
      <c r="O21" s="49">
        <v>24.79</v>
      </c>
      <c r="P21" s="49">
        <v>0</v>
      </c>
    </row>
    <row r="22" spans="1:16" ht="11.25" customHeight="1" x14ac:dyDescent="0.25">
      <c r="A22" s="49">
        <v>21</v>
      </c>
      <c r="B22" s="49" t="s">
        <v>955</v>
      </c>
      <c r="C22" s="49" t="s">
        <v>33</v>
      </c>
      <c r="D22" s="49" t="s">
        <v>41</v>
      </c>
      <c r="E22" s="49" t="s">
        <v>25</v>
      </c>
      <c r="F22" s="49" t="s">
        <v>25</v>
      </c>
      <c r="G22" s="49" t="s">
        <v>25</v>
      </c>
      <c r="H22" s="49" t="s">
        <v>25</v>
      </c>
      <c r="I22" s="49" t="s">
        <v>35</v>
      </c>
      <c r="J22" s="49" t="s">
        <v>1096</v>
      </c>
      <c r="K22" s="49" t="s">
        <v>1097</v>
      </c>
      <c r="L22" s="49" t="s">
        <v>91</v>
      </c>
      <c r="M22" s="49">
        <v>2019</v>
      </c>
      <c r="N22" s="49">
        <v>0</v>
      </c>
      <c r="O22" s="49">
        <v>22.94</v>
      </c>
      <c r="P22" s="49">
        <v>0</v>
      </c>
    </row>
    <row r="23" spans="1:16" ht="11.25" customHeight="1" x14ac:dyDescent="0.25">
      <c r="A23" s="49">
        <v>22</v>
      </c>
      <c r="B23" s="49" t="s">
        <v>955</v>
      </c>
      <c r="C23" s="49" t="s">
        <v>33</v>
      </c>
      <c r="D23" s="49" t="s">
        <v>41</v>
      </c>
      <c r="E23" s="49" t="s">
        <v>25</v>
      </c>
      <c r="F23" s="49" t="s">
        <v>25</v>
      </c>
      <c r="G23" s="49" t="s">
        <v>25</v>
      </c>
      <c r="H23" s="49" t="s">
        <v>25</v>
      </c>
      <c r="I23" s="49" t="s">
        <v>36</v>
      </c>
      <c r="J23" s="49" t="s">
        <v>1096</v>
      </c>
      <c r="K23" s="49" t="s">
        <v>1097</v>
      </c>
      <c r="L23" s="49" t="s">
        <v>91</v>
      </c>
      <c r="M23" s="49">
        <v>2019</v>
      </c>
      <c r="N23" s="49">
        <v>0</v>
      </c>
      <c r="O23" s="49">
        <v>8.81</v>
      </c>
      <c r="P23" s="49">
        <v>0</v>
      </c>
    </row>
    <row r="24" spans="1:16" ht="11.25" customHeight="1" x14ac:dyDescent="0.25">
      <c r="A24" s="49">
        <v>23</v>
      </c>
      <c r="B24" s="49" t="s">
        <v>955</v>
      </c>
      <c r="C24" s="49" t="s">
        <v>33</v>
      </c>
      <c r="D24" s="49" t="s">
        <v>41</v>
      </c>
      <c r="E24" s="49" t="s">
        <v>25</v>
      </c>
      <c r="F24" s="49" t="s">
        <v>25</v>
      </c>
      <c r="G24" s="49" t="s">
        <v>25</v>
      </c>
      <c r="H24" s="49" t="s">
        <v>25</v>
      </c>
      <c r="I24" s="49" t="s">
        <v>25</v>
      </c>
      <c r="J24" s="49" t="s">
        <v>1098</v>
      </c>
      <c r="K24" s="49" t="s">
        <v>1097</v>
      </c>
      <c r="L24" s="49" t="s">
        <v>88</v>
      </c>
      <c r="M24" s="49">
        <v>2019</v>
      </c>
      <c r="N24" s="49">
        <v>0</v>
      </c>
      <c r="O24" s="49">
        <v>84.45</v>
      </c>
      <c r="P24" s="49">
        <v>49.451674182419197</v>
      </c>
    </row>
    <row r="25" spans="1:16" ht="11.25" customHeight="1" x14ac:dyDescent="0.25">
      <c r="A25" s="49">
        <v>24</v>
      </c>
      <c r="B25" s="49" t="s">
        <v>955</v>
      </c>
      <c r="C25" s="49" t="s">
        <v>33</v>
      </c>
      <c r="D25" s="49" t="s">
        <v>41</v>
      </c>
      <c r="E25" s="49" t="s">
        <v>25</v>
      </c>
      <c r="F25" s="49" t="s">
        <v>25</v>
      </c>
      <c r="G25" s="49" t="s">
        <v>61</v>
      </c>
      <c r="H25" s="49" t="s">
        <v>25</v>
      </c>
      <c r="I25" s="49" t="s">
        <v>25</v>
      </c>
      <c r="J25" s="49" t="s">
        <v>1098</v>
      </c>
      <c r="K25" s="49" t="s">
        <v>1097</v>
      </c>
      <c r="L25" s="49" t="s">
        <v>88</v>
      </c>
      <c r="M25" s="49">
        <v>2019</v>
      </c>
      <c r="N25" s="49">
        <v>0</v>
      </c>
      <c r="O25" s="49">
        <v>24.79</v>
      </c>
      <c r="P25" s="49">
        <v>0</v>
      </c>
    </row>
    <row r="26" spans="1:16" ht="11.25" customHeight="1" x14ac:dyDescent="0.25">
      <c r="A26" s="49">
        <v>25</v>
      </c>
      <c r="B26" s="49" t="s">
        <v>955</v>
      </c>
      <c r="C26" s="49" t="s">
        <v>33</v>
      </c>
      <c r="D26" s="49" t="s">
        <v>64</v>
      </c>
      <c r="E26" s="49" t="s">
        <v>25</v>
      </c>
      <c r="F26" s="49" t="s">
        <v>25</v>
      </c>
      <c r="G26" s="49" t="s">
        <v>25</v>
      </c>
      <c r="H26" s="49" t="s">
        <v>25</v>
      </c>
      <c r="I26" s="49" t="s">
        <v>25</v>
      </c>
      <c r="J26" s="49" t="s">
        <v>1096</v>
      </c>
      <c r="K26" s="49" t="s">
        <v>1097</v>
      </c>
      <c r="L26" s="49" t="s">
        <v>91</v>
      </c>
      <c r="M26" s="49">
        <v>2019</v>
      </c>
      <c r="N26" s="49">
        <v>0</v>
      </c>
      <c r="O26" s="49">
        <v>3.6</v>
      </c>
      <c r="P26" s="49">
        <v>0</v>
      </c>
    </row>
    <row r="27" spans="1:16" ht="11.25" customHeight="1" x14ac:dyDescent="0.25">
      <c r="A27" s="49">
        <v>26</v>
      </c>
      <c r="B27" s="49" t="s">
        <v>955</v>
      </c>
      <c r="C27" s="49" t="s">
        <v>33</v>
      </c>
      <c r="D27" s="49" t="s">
        <v>34</v>
      </c>
      <c r="E27" s="49" t="s">
        <v>25</v>
      </c>
      <c r="F27" s="49" t="s">
        <v>25</v>
      </c>
      <c r="G27" s="49" t="s">
        <v>25</v>
      </c>
      <c r="H27" s="49" t="s">
        <v>25</v>
      </c>
      <c r="I27" s="49" t="s">
        <v>25</v>
      </c>
      <c r="J27" s="49" t="s">
        <v>1096</v>
      </c>
      <c r="K27" s="49" t="s">
        <v>1097</v>
      </c>
      <c r="L27" s="49" t="s">
        <v>91</v>
      </c>
      <c r="M27" s="49">
        <v>2019</v>
      </c>
      <c r="N27" s="49">
        <v>0</v>
      </c>
      <c r="O27" s="49">
        <v>8.81</v>
      </c>
      <c r="P27" s="49">
        <v>0</v>
      </c>
    </row>
    <row r="28" spans="1:16" ht="11.25" customHeight="1" x14ac:dyDescent="0.25">
      <c r="A28" s="49">
        <v>27</v>
      </c>
      <c r="B28" s="49" t="s">
        <v>955</v>
      </c>
      <c r="C28" s="49" t="s">
        <v>33</v>
      </c>
      <c r="D28" s="49" t="s">
        <v>34</v>
      </c>
      <c r="E28" s="49" t="s">
        <v>25</v>
      </c>
      <c r="F28" s="49" t="s">
        <v>25</v>
      </c>
      <c r="G28" s="49" t="s">
        <v>25</v>
      </c>
      <c r="H28" s="49" t="s">
        <v>25</v>
      </c>
      <c r="I28" s="49" t="s">
        <v>35</v>
      </c>
      <c r="J28" s="49" t="s">
        <v>1098</v>
      </c>
      <c r="K28" s="49" t="s">
        <v>1097</v>
      </c>
      <c r="L28" s="49" t="s">
        <v>88</v>
      </c>
      <c r="M28" s="49">
        <v>2019</v>
      </c>
      <c r="N28" s="49">
        <v>0</v>
      </c>
      <c r="O28" s="49">
        <v>641.99</v>
      </c>
      <c r="P28" s="49">
        <v>49.451674182419197</v>
      </c>
    </row>
    <row r="29" spans="1:16" ht="11.25" customHeight="1" x14ac:dyDescent="0.25">
      <c r="A29" s="49">
        <v>28</v>
      </c>
      <c r="B29" s="49" t="s">
        <v>955</v>
      </c>
      <c r="C29" s="49" t="s">
        <v>33</v>
      </c>
      <c r="D29" s="49" t="s">
        <v>34</v>
      </c>
      <c r="E29" s="49" t="s">
        <v>25</v>
      </c>
      <c r="F29" s="49" t="s">
        <v>25</v>
      </c>
      <c r="G29" s="49" t="s">
        <v>25</v>
      </c>
      <c r="H29" s="49" t="s">
        <v>25</v>
      </c>
      <c r="I29" s="49" t="s">
        <v>36</v>
      </c>
      <c r="J29" s="49" t="s">
        <v>1098</v>
      </c>
      <c r="K29" s="49" t="s">
        <v>1097</v>
      </c>
      <c r="L29" s="49" t="s">
        <v>88</v>
      </c>
      <c r="M29" s="49">
        <v>2019</v>
      </c>
      <c r="N29" s="49">
        <v>0</v>
      </c>
      <c r="O29" s="49">
        <v>84.45</v>
      </c>
      <c r="P29" s="49">
        <v>49.451674182419197</v>
      </c>
    </row>
    <row r="30" spans="1:16" ht="11.25" customHeight="1" x14ac:dyDescent="0.25">
      <c r="A30" s="49">
        <v>29</v>
      </c>
      <c r="B30" s="49" t="s">
        <v>955</v>
      </c>
      <c r="C30" s="49" t="s">
        <v>33</v>
      </c>
      <c r="D30" s="49" t="s">
        <v>34</v>
      </c>
      <c r="E30" s="49" t="s">
        <v>25</v>
      </c>
      <c r="F30" s="49" t="s">
        <v>25</v>
      </c>
      <c r="G30" s="49" t="s">
        <v>61</v>
      </c>
      <c r="H30" s="49" t="s">
        <v>25</v>
      </c>
      <c r="I30" s="49" t="s">
        <v>35</v>
      </c>
      <c r="J30" s="49" t="s">
        <v>1098</v>
      </c>
      <c r="K30" s="49" t="s">
        <v>1097</v>
      </c>
      <c r="L30" s="49" t="s">
        <v>88</v>
      </c>
      <c r="M30" s="49">
        <v>2019</v>
      </c>
      <c r="N30" s="49">
        <v>0</v>
      </c>
      <c r="O30" s="49">
        <v>582.33000000000004</v>
      </c>
      <c r="P30" s="49">
        <v>0</v>
      </c>
    </row>
    <row r="31" spans="1:16" ht="11.25" customHeight="1" x14ac:dyDescent="0.25">
      <c r="A31" s="49">
        <v>30</v>
      </c>
      <c r="B31" s="49" t="s">
        <v>955</v>
      </c>
      <c r="C31" s="49" t="s">
        <v>33</v>
      </c>
      <c r="D31" s="49" t="s">
        <v>34</v>
      </c>
      <c r="E31" s="49" t="s">
        <v>25</v>
      </c>
      <c r="F31" s="49" t="s">
        <v>25</v>
      </c>
      <c r="G31" s="49" t="s">
        <v>61</v>
      </c>
      <c r="H31" s="49" t="s">
        <v>25</v>
      </c>
      <c r="I31" s="49" t="s">
        <v>36</v>
      </c>
      <c r="J31" s="49" t="s">
        <v>1098</v>
      </c>
      <c r="K31" s="49" t="s">
        <v>1097</v>
      </c>
      <c r="L31" s="49" t="s">
        <v>88</v>
      </c>
      <c r="M31" s="49">
        <v>2019</v>
      </c>
      <c r="N31" s="49">
        <v>0</v>
      </c>
      <c r="O31" s="49">
        <v>24.79</v>
      </c>
      <c r="P31" s="49">
        <v>0</v>
      </c>
    </row>
    <row r="32" spans="1:16" ht="11.25" customHeight="1" x14ac:dyDescent="0.25">
      <c r="A32" s="49">
        <v>31</v>
      </c>
      <c r="B32" s="49" t="s">
        <v>955</v>
      </c>
      <c r="C32" s="49" t="s">
        <v>44</v>
      </c>
      <c r="D32" s="49" t="s">
        <v>41</v>
      </c>
      <c r="E32" s="49" t="s">
        <v>25</v>
      </c>
      <c r="F32" s="49" t="s">
        <v>25</v>
      </c>
      <c r="G32" s="49" t="s">
        <v>25</v>
      </c>
      <c r="H32" s="49" t="s">
        <v>25</v>
      </c>
      <c r="I32" s="49" t="s">
        <v>35</v>
      </c>
      <c r="J32" s="49" t="s">
        <v>1096</v>
      </c>
      <c r="K32" s="49" t="s">
        <v>1097</v>
      </c>
      <c r="L32" s="49" t="s">
        <v>91</v>
      </c>
      <c r="M32" s="49">
        <v>2019</v>
      </c>
      <c r="N32" s="49">
        <v>0</v>
      </c>
      <c r="O32" s="49">
        <v>43.76</v>
      </c>
      <c r="P32" s="49">
        <v>0</v>
      </c>
    </row>
    <row r="33" spans="1:16" ht="11.25" customHeight="1" x14ac:dyDescent="0.25">
      <c r="A33" s="49">
        <v>32</v>
      </c>
      <c r="B33" s="49" t="s">
        <v>955</v>
      </c>
      <c r="C33" s="49" t="s">
        <v>44</v>
      </c>
      <c r="D33" s="49" t="s">
        <v>41</v>
      </c>
      <c r="E33" s="49" t="s">
        <v>25</v>
      </c>
      <c r="F33" s="49" t="s">
        <v>25</v>
      </c>
      <c r="G33" s="49" t="s">
        <v>25</v>
      </c>
      <c r="H33" s="49" t="s">
        <v>25</v>
      </c>
      <c r="I33" s="49" t="s">
        <v>36</v>
      </c>
      <c r="J33" s="49" t="s">
        <v>1096</v>
      </c>
      <c r="K33" s="49" t="s">
        <v>1097</v>
      </c>
      <c r="L33" s="49" t="s">
        <v>91</v>
      </c>
      <c r="M33" s="49">
        <v>2019</v>
      </c>
      <c r="N33" s="49">
        <v>0</v>
      </c>
      <c r="O33" s="49">
        <v>12.24</v>
      </c>
      <c r="P33" s="49">
        <v>0</v>
      </c>
    </row>
    <row r="34" spans="1:16" ht="11.25" customHeight="1" x14ac:dyDescent="0.25">
      <c r="A34" s="49">
        <v>33</v>
      </c>
      <c r="B34" s="49" t="s">
        <v>955</v>
      </c>
      <c r="C34" s="49" t="s">
        <v>44</v>
      </c>
      <c r="D34" s="49" t="s">
        <v>41</v>
      </c>
      <c r="E34" s="49" t="s">
        <v>25</v>
      </c>
      <c r="F34" s="49" t="s">
        <v>25</v>
      </c>
      <c r="G34" s="49" t="s">
        <v>25</v>
      </c>
      <c r="H34" s="49" t="s">
        <v>25</v>
      </c>
      <c r="I34" s="49" t="s">
        <v>25</v>
      </c>
      <c r="J34" s="49" t="s">
        <v>1098</v>
      </c>
      <c r="K34" s="49" t="s">
        <v>1097</v>
      </c>
      <c r="L34" s="49" t="s">
        <v>88</v>
      </c>
      <c r="M34" s="49">
        <v>2019</v>
      </c>
      <c r="N34" s="49">
        <v>0</v>
      </c>
      <c r="O34" s="49">
        <v>109.75</v>
      </c>
      <c r="P34" s="49">
        <v>53.7518197634991</v>
      </c>
    </row>
    <row r="35" spans="1:16" ht="11.25" customHeight="1" x14ac:dyDescent="0.25">
      <c r="A35" s="49">
        <v>34</v>
      </c>
      <c r="B35" s="49" t="s">
        <v>955</v>
      </c>
      <c r="C35" s="49" t="s">
        <v>44</v>
      </c>
      <c r="D35" s="49" t="s">
        <v>41</v>
      </c>
      <c r="E35" s="49" t="s">
        <v>25</v>
      </c>
      <c r="F35" s="49" t="s">
        <v>25</v>
      </c>
      <c r="G35" s="49" t="s">
        <v>61</v>
      </c>
      <c r="H35" s="49" t="s">
        <v>25</v>
      </c>
      <c r="I35" s="49" t="s">
        <v>25</v>
      </c>
      <c r="J35" s="49" t="s">
        <v>1098</v>
      </c>
      <c r="K35" s="49" t="s">
        <v>1097</v>
      </c>
      <c r="L35" s="49" t="s">
        <v>88</v>
      </c>
      <c r="M35" s="49">
        <v>2019</v>
      </c>
      <c r="N35" s="49">
        <v>0</v>
      </c>
      <c r="O35" s="49">
        <v>45.78</v>
      </c>
      <c r="P35" s="49">
        <v>0</v>
      </c>
    </row>
    <row r="36" spans="1:16" ht="11.25" customHeight="1" x14ac:dyDescent="0.25">
      <c r="A36" s="49">
        <v>35</v>
      </c>
      <c r="B36" s="49" t="s">
        <v>955</v>
      </c>
      <c r="C36" s="49" t="s">
        <v>44</v>
      </c>
      <c r="D36" s="49" t="s">
        <v>34</v>
      </c>
      <c r="E36" s="49" t="s">
        <v>25</v>
      </c>
      <c r="F36" s="49" t="s">
        <v>25</v>
      </c>
      <c r="G36" s="49" t="s">
        <v>25</v>
      </c>
      <c r="H36" s="49" t="s">
        <v>25</v>
      </c>
      <c r="I36" s="49" t="s">
        <v>25</v>
      </c>
      <c r="J36" s="49" t="s">
        <v>1096</v>
      </c>
      <c r="K36" s="49" t="s">
        <v>1097</v>
      </c>
      <c r="L36" s="49" t="s">
        <v>91</v>
      </c>
      <c r="M36" s="49">
        <v>2019</v>
      </c>
      <c r="N36" s="49">
        <v>0</v>
      </c>
      <c r="O36" s="49">
        <v>12.24</v>
      </c>
      <c r="P36" s="49">
        <v>0</v>
      </c>
    </row>
    <row r="37" spans="1:16" ht="11.25" customHeight="1" x14ac:dyDescent="0.25">
      <c r="A37" s="49">
        <v>36</v>
      </c>
      <c r="B37" s="49" t="s">
        <v>955</v>
      </c>
      <c r="C37" s="49" t="s">
        <v>44</v>
      </c>
      <c r="D37" s="49" t="s">
        <v>34</v>
      </c>
      <c r="E37" s="49" t="s">
        <v>25</v>
      </c>
      <c r="F37" s="49" t="s">
        <v>25</v>
      </c>
      <c r="G37" s="49" t="s">
        <v>25</v>
      </c>
      <c r="H37" s="49" t="s">
        <v>25</v>
      </c>
      <c r="I37" s="49" t="s">
        <v>35</v>
      </c>
      <c r="J37" s="49" t="s">
        <v>1098</v>
      </c>
      <c r="K37" s="49" t="s">
        <v>1097</v>
      </c>
      <c r="L37" s="49" t="s">
        <v>88</v>
      </c>
      <c r="M37" s="49">
        <v>2019</v>
      </c>
      <c r="N37" s="49">
        <v>0</v>
      </c>
      <c r="O37" s="49">
        <v>1174.6600000000001</v>
      </c>
      <c r="P37" s="49">
        <v>53.7518197634991</v>
      </c>
    </row>
    <row r="38" spans="1:16" ht="11.25" customHeight="1" x14ac:dyDescent="0.25">
      <c r="A38" s="49">
        <v>37</v>
      </c>
      <c r="B38" s="49" t="s">
        <v>955</v>
      </c>
      <c r="C38" s="49" t="s">
        <v>44</v>
      </c>
      <c r="D38" s="49" t="s">
        <v>34</v>
      </c>
      <c r="E38" s="49" t="s">
        <v>25</v>
      </c>
      <c r="F38" s="49" t="s">
        <v>25</v>
      </c>
      <c r="G38" s="49" t="s">
        <v>25</v>
      </c>
      <c r="H38" s="49" t="s">
        <v>25</v>
      </c>
      <c r="I38" s="49" t="s">
        <v>36</v>
      </c>
      <c r="J38" s="49" t="s">
        <v>1098</v>
      </c>
      <c r="K38" s="49" t="s">
        <v>1097</v>
      </c>
      <c r="L38" s="49" t="s">
        <v>88</v>
      </c>
      <c r="M38" s="49">
        <v>2019</v>
      </c>
      <c r="N38" s="49">
        <v>0</v>
      </c>
      <c r="O38" s="49">
        <v>109.75</v>
      </c>
      <c r="P38" s="49">
        <v>53.7518197634991</v>
      </c>
    </row>
    <row r="39" spans="1:16" ht="11.25" customHeight="1" x14ac:dyDescent="0.25">
      <c r="A39" s="49">
        <v>38</v>
      </c>
      <c r="B39" s="49" t="s">
        <v>955</v>
      </c>
      <c r="C39" s="49" t="s">
        <v>44</v>
      </c>
      <c r="D39" s="49" t="s">
        <v>34</v>
      </c>
      <c r="E39" s="49" t="s">
        <v>25</v>
      </c>
      <c r="F39" s="49" t="s">
        <v>25</v>
      </c>
      <c r="G39" s="49" t="s">
        <v>61</v>
      </c>
      <c r="H39" s="49" t="s">
        <v>25</v>
      </c>
      <c r="I39" s="49" t="s">
        <v>35</v>
      </c>
      <c r="J39" s="49" t="s">
        <v>1098</v>
      </c>
      <c r="K39" s="49" t="s">
        <v>1097</v>
      </c>
      <c r="L39" s="49" t="s">
        <v>88</v>
      </c>
      <c r="M39" s="49">
        <v>2019</v>
      </c>
      <c r="N39" s="49">
        <v>0</v>
      </c>
      <c r="O39" s="49">
        <v>1110.7</v>
      </c>
      <c r="P39" s="49">
        <v>0</v>
      </c>
    </row>
    <row r="40" spans="1:16" ht="11.25" customHeight="1" x14ac:dyDescent="0.25">
      <c r="A40" s="49">
        <v>39</v>
      </c>
      <c r="B40" s="49" t="s">
        <v>955</v>
      </c>
      <c r="C40" s="49" t="s">
        <v>44</v>
      </c>
      <c r="D40" s="49" t="s">
        <v>34</v>
      </c>
      <c r="E40" s="49" t="s">
        <v>25</v>
      </c>
      <c r="F40" s="49" t="s">
        <v>25</v>
      </c>
      <c r="G40" s="49" t="s">
        <v>61</v>
      </c>
      <c r="H40" s="49" t="s">
        <v>25</v>
      </c>
      <c r="I40" s="49" t="s">
        <v>36</v>
      </c>
      <c r="J40" s="49" t="s">
        <v>1098</v>
      </c>
      <c r="K40" s="49" t="s">
        <v>1097</v>
      </c>
      <c r="L40" s="49" t="s">
        <v>88</v>
      </c>
      <c r="M40" s="49">
        <v>2019</v>
      </c>
      <c r="N40" s="49">
        <v>0</v>
      </c>
      <c r="O40" s="49">
        <v>45.78</v>
      </c>
      <c r="P40" s="49">
        <v>0</v>
      </c>
    </row>
    <row r="41" spans="1:16" ht="11.25" customHeight="1" x14ac:dyDescent="0.25">
      <c r="A41" s="49">
        <v>40</v>
      </c>
      <c r="B41" s="49" t="s">
        <v>955</v>
      </c>
      <c r="C41" s="49" t="s">
        <v>97</v>
      </c>
      <c r="D41" s="49" t="s">
        <v>64</v>
      </c>
      <c r="E41" s="49" t="s">
        <v>25</v>
      </c>
      <c r="F41" s="49" t="s">
        <v>25</v>
      </c>
      <c r="G41" s="49" t="s">
        <v>98</v>
      </c>
      <c r="H41" s="49" t="s">
        <v>25</v>
      </c>
      <c r="I41" s="49" t="s">
        <v>25</v>
      </c>
      <c r="J41" s="49" t="s">
        <v>1096</v>
      </c>
      <c r="K41" s="49" t="s">
        <v>1097</v>
      </c>
      <c r="L41" s="49" t="s">
        <v>91</v>
      </c>
      <c r="M41" s="49">
        <v>2019</v>
      </c>
      <c r="N41" s="49">
        <v>0</v>
      </c>
      <c r="O41" s="49">
        <v>2.02</v>
      </c>
      <c r="P41" s="49">
        <v>0</v>
      </c>
    </row>
    <row r="42" spans="1:16" ht="11.25" customHeight="1" x14ac:dyDescent="0.25">
      <c r="A42" s="49">
        <v>41</v>
      </c>
      <c r="B42" s="49" t="s">
        <v>955</v>
      </c>
      <c r="C42" s="49" t="s">
        <v>97</v>
      </c>
      <c r="D42" s="49" t="s">
        <v>64</v>
      </c>
      <c r="E42" s="49" t="s">
        <v>25</v>
      </c>
      <c r="F42" s="49" t="s">
        <v>25</v>
      </c>
      <c r="G42" s="49" t="s">
        <v>99</v>
      </c>
      <c r="H42" s="49" t="s">
        <v>25</v>
      </c>
      <c r="I42" s="49" t="s">
        <v>25</v>
      </c>
      <c r="J42" s="49" t="s">
        <v>1096</v>
      </c>
      <c r="K42" s="49" t="s">
        <v>1097</v>
      </c>
      <c r="L42" s="49" t="s">
        <v>91</v>
      </c>
      <c r="M42" s="49">
        <v>2019</v>
      </c>
      <c r="N42" s="49">
        <v>0</v>
      </c>
      <c r="O42" s="49">
        <v>7.44</v>
      </c>
      <c r="P42" s="49">
        <v>0</v>
      </c>
    </row>
    <row r="43" spans="1:16" ht="11.25" customHeight="1" x14ac:dyDescent="0.25">
      <c r="A43" s="49">
        <v>42</v>
      </c>
      <c r="B43" s="49" t="s">
        <v>955</v>
      </c>
      <c r="C43" s="49" t="s">
        <v>22</v>
      </c>
      <c r="D43" s="49" t="s">
        <v>37</v>
      </c>
      <c r="E43" s="49" t="s">
        <v>24</v>
      </c>
      <c r="F43" s="49" t="s">
        <v>24</v>
      </c>
      <c r="G43" s="49" t="s">
        <v>25</v>
      </c>
      <c r="H43" s="49" t="s">
        <v>25</v>
      </c>
      <c r="I43" s="49" t="s">
        <v>35</v>
      </c>
      <c r="J43" s="49" t="s">
        <v>1098</v>
      </c>
      <c r="K43" s="49" t="s">
        <v>1097</v>
      </c>
      <c r="L43" s="49" t="s">
        <v>88</v>
      </c>
      <c r="M43" s="49">
        <v>2019</v>
      </c>
      <c r="N43" s="49">
        <v>0</v>
      </c>
      <c r="O43" s="49">
        <v>503.5</v>
      </c>
      <c r="P43" s="49">
        <v>53.7518197634991</v>
      </c>
    </row>
    <row r="44" spans="1:16" ht="11.25" customHeight="1" x14ac:dyDescent="0.25">
      <c r="A44" s="49">
        <v>43</v>
      </c>
      <c r="B44" s="49" t="s">
        <v>955</v>
      </c>
      <c r="C44" s="49" t="s">
        <v>22</v>
      </c>
      <c r="D44" s="49" t="s">
        <v>37</v>
      </c>
      <c r="E44" s="49" t="s">
        <v>24</v>
      </c>
      <c r="F44" s="49" t="s">
        <v>24</v>
      </c>
      <c r="G44" s="49" t="s">
        <v>25</v>
      </c>
      <c r="H44" s="49" t="s">
        <v>25</v>
      </c>
      <c r="I44" s="49" t="s">
        <v>38</v>
      </c>
      <c r="J44" s="49" t="s">
        <v>1098</v>
      </c>
      <c r="K44" s="49" t="s">
        <v>1097</v>
      </c>
      <c r="L44" s="49" t="s">
        <v>88</v>
      </c>
      <c r="M44" s="49">
        <v>2019</v>
      </c>
      <c r="N44" s="49">
        <v>0</v>
      </c>
      <c r="O44" s="49">
        <v>345.5</v>
      </c>
      <c r="P44" s="49">
        <v>53.7518197634991</v>
      </c>
    </row>
    <row r="45" spans="1:16" ht="11.25" customHeight="1" x14ac:dyDescent="0.25">
      <c r="A45" s="49">
        <v>44</v>
      </c>
      <c r="B45" s="49" t="s">
        <v>955</v>
      </c>
      <c r="C45" s="49" t="s">
        <v>22</v>
      </c>
      <c r="D45" s="49" t="s">
        <v>37</v>
      </c>
      <c r="E45" s="49" t="s">
        <v>24</v>
      </c>
      <c r="F45" s="49" t="s">
        <v>24</v>
      </c>
      <c r="G45" s="49" t="s">
        <v>25</v>
      </c>
      <c r="H45" s="49" t="s">
        <v>25</v>
      </c>
      <c r="I45" s="49" t="s">
        <v>36</v>
      </c>
      <c r="J45" s="49" t="s">
        <v>1098</v>
      </c>
      <c r="K45" s="49" t="s">
        <v>1097</v>
      </c>
      <c r="L45" s="49" t="s">
        <v>88</v>
      </c>
      <c r="M45" s="49">
        <v>2019</v>
      </c>
      <c r="N45" s="49">
        <v>0</v>
      </c>
      <c r="O45" s="49">
        <v>187.49</v>
      </c>
      <c r="P45" s="49">
        <v>53.7518197634991</v>
      </c>
    </row>
    <row r="46" spans="1:16" ht="11.25" customHeight="1" x14ac:dyDescent="0.25">
      <c r="A46" s="49">
        <v>45</v>
      </c>
      <c r="B46" s="49" t="s">
        <v>955</v>
      </c>
      <c r="C46" s="49" t="s">
        <v>22</v>
      </c>
      <c r="D46" s="49" t="s">
        <v>23</v>
      </c>
      <c r="E46" s="49" t="s">
        <v>24</v>
      </c>
      <c r="F46" s="49" t="s">
        <v>24</v>
      </c>
      <c r="G46" s="49" t="s">
        <v>25</v>
      </c>
      <c r="H46" s="49" t="s">
        <v>25</v>
      </c>
      <c r="I46" s="49" t="s">
        <v>25</v>
      </c>
      <c r="J46" s="49" t="s">
        <v>1098</v>
      </c>
      <c r="K46" s="49" t="s">
        <v>1097</v>
      </c>
      <c r="L46" s="49" t="s">
        <v>88</v>
      </c>
      <c r="M46" s="49">
        <v>2019</v>
      </c>
      <c r="N46" s="49">
        <v>0</v>
      </c>
      <c r="O46" s="49">
        <v>247.09</v>
      </c>
      <c r="P46" s="49">
        <v>53.7518197634991</v>
      </c>
    </row>
    <row r="47" spans="1:16" ht="11.25" customHeight="1" x14ac:dyDescent="0.25">
      <c r="A47" s="49">
        <v>46</v>
      </c>
      <c r="B47" s="49" t="s">
        <v>955</v>
      </c>
      <c r="C47" s="49" t="s">
        <v>22</v>
      </c>
      <c r="D47" s="49" t="s">
        <v>23</v>
      </c>
      <c r="E47" s="49" t="s">
        <v>24</v>
      </c>
      <c r="F47" s="49" t="s">
        <v>29</v>
      </c>
      <c r="G47" s="49" t="s">
        <v>25</v>
      </c>
      <c r="H47" s="49" t="s">
        <v>25</v>
      </c>
      <c r="I47" s="49" t="s">
        <v>25</v>
      </c>
      <c r="J47" s="49" t="s">
        <v>1098</v>
      </c>
      <c r="K47" s="49" t="s">
        <v>1097</v>
      </c>
      <c r="L47" s="49" t="s">
        <v>88</v>
      </c>
      <c r="M47" s="49">
        <v>2019</v>
      </c>
      <c r="N47" s="49">
        <v>0</v>
      </c>
      <c r="O47" s="49">
        <v>64.09</v>
      </c>
      <c r="P47" s="49">
        <v>0</v>
      </c>
    </row>
    <row r="48" spans="1:16" ht="11.25" customHeight="1" x14ac:dyDescent="0.25">
      <c r="A48" s="49">
        <v>47</v>
      </c>
      <c r="B48" s="49" t="s">
        <v>955</v>
      </c>
      <c r="C48" s="49" t="s">
        <v>22</v>
      </c>
      <c r="D48" s="49" t="s">
        <v>23</v>
      </c>
      <c r="E48" s="49" t="s">
        <v>24</v>
      </c>
      <c r="F48" s="49" t="s">
        <v>30</v>
      </c>
      <c r="G48" s="49" t="s">
        <v>25</v>
      </c>
      <c r="H48" s="49" t="s">
        <v>25</v>
      </c>
      <c r="I48" s="49" t="s">
        <v>25</v>
      </c>
      <c r="J48" s="49" t="s">
        <v>1098</v>
      </c>
      <c r="K48" s="49" t="s">
        <v>1097</v>
      </c>
      <c r="L48" s="49" t="s">
        <v>88</v>
      </c>
      <c r="M48" s="49">
        <v>2019</v>
      </c>
      <c r="N48" s="49">
        <v>0</v>
      </c>
      <c r="O48" s="49">
        <v>109.87</v>
      </c>
      <c r="P48" s="49">
        <v>0</v>
      </c>
    </row>
    <row r="49" spans="1:16" ht="11.25" customHeight="1" x14ac:dyDescent="0.25">
      <c r="A49" s="49">
        <v>48</v>
      </c>
      <c r="B49" s="49" t="s">
        <v>955</v>
      </c>
      <c r="C49" s="49" t="s">
        <v>22</v>
      </c>
      <c r="D49" s="49" t="s">
        <v>23</v>
      </c>
      <c r="E49" s="49" t="s">
        <v>24</v>
      </c>
      <c r="F49" s="49" t="s">
        <v>31</v>
      </c>
      <c r="G49" s="49" t="s">
        <v>25</v>
      </c>
      <c r="H49" s="49" t="s">
        <v>25</v>
      </c>
      <c r="I49" s="49" t="s">
        <v>25</v>
      </c>
      <c r="J49" s="49" t="s">
        <v>1098</v>
      </c>
      <c r="K49" s="49" t="s">
        <v>1097</v>
      </c>
      <c r="L49" s="49" t="s">
        <v>88</v>
      </c>
      <c r="M49" s="49">
        <v>2019</v>
      </c>
      <c r="N49" s="49">
        <v>0</v>
      </c>
      <c r="O49" s="49">
        <v>164.81</v>
      </c>
      <c r="P49" s="49">
        <v>0</v>
      </c>
    </row>
    <row r="50" spans="1:16" ht="11.25" customHeight="1" x14ac:dyDescent="0.25">
      <c r="A50" s="49">
        <v>49</v>
      </c>
      <c r="B50" s="49" t="s">
        <v>955</v>
      </c>
      <c r="C50" s="49" t="s">
        <v>22</v>
      </c>
      <c r="D50" s="49" t="s">
        <v>23</v>
      </c>
      <c r="E50" s="49" t="s">
        <v>24</v>
      </c>
      <c r="F50" s="49" t="s">
        <v>32</v>
      </c>
      <c r="G50" s="49" t="s">
        <v>25</v>
      </c>
      <c r="H50" s="49" t="s">
        <v>25</v>
      </c>
      <c r="I50" s="49" t="s">
        <v>25</v>
      </c>
      <c r="J50" s="49" t="s">
        <v>1098</v>
      </c>
      <c r="K50" s="49" t="s">
        <v>1097</v>
      </c>
      <c r="L50" s="49" t="s">
        <v>88</v>
      </c>
      <c r="M50" s="49">
        <v>2019</v>
      </c>
      <c r="N50" s="49">
        <v>0</v>
      </c>
      <c r="O50" s="49">
        <v>183.12</v>
      </c>
      <c r="P50" s="49">
        <v>0</v>
      </c>
    </row>
    <row r="51" spans="1:16" ht="11.25" customHeight="1" x14ac:dyDescent="0.25">
      <c r="A51" s="49">
        <v>50</v>
      </c>
      <c r="B51" s="49" t="s">
        <v>955</v>
      </c>
      <c r="C51" s="49" t="s">
        <v>22</v>
      </c>
      <c r="D51" s="49" t="s">
        <v>102</v>
      </c>
      <c r="E51" s="49" t="s">
        <v>24</v>
      </c>
      <c r="F51" s="49" t="s">
        <v>24</v>
      </c>
      <c r="G51" s="49" t="s">
        <v>25</v>
      </c>
      <c r="H51" s="49" t="s">
        <v>25</v>
      </c>
      <c r="I51" s="49" t="s">
        <v>25</v>
      </c>
      <c r="J51" s="49" t="s">
        <v>1098</v>
      </c>
      <c r="K51" s="49" t="s">
        <v>1097</v>
      </c>
      <c r="L51" s="49" t="s">
        <v>88</v>
      </c>
      <c r="M51" s="49">
        <v>2019</v>
      </c>
      <c r="N51" s="49">
        <v>0</v>
      </c>
      <c r="O51" s="49">
        <v>247.09</v>
      </c>
      <c r="P51" s="49">
        <v>53.7518197634991</v>
      </c>
    </row>
    <row r="52" spans="1:16" ht="11.25" customHeight="1" x14ac:dyDescent="0.25">
      <c r="A52" s="49">
        <v>51</v>
      </c>
      <c r="B52" s="49" t="s">
        <v>955</v>
      </c>
      <c r="C52" s="49" t="s">
        <v>22</v>
      </c>
      <c r="D52" s="49" t="s">
        <v>102</v>
      </c>
      <c r="E52" s="49" t="s">
        <v>24</v>
      </c>
      <c r="F52" s="49" t="s">
        <v>29</v>
      </c>
      <c r="G52" s="49" t="s">
        <v>25</v>
      </c>
      <c r="H52" s="49" t="s">
        <v>25</v>
      </c>
      <c r="I52" s="49" t="s">
        <v>25</v>
      </c>
      <c r="J52" s="49" t="s">
        <v>1098</v>
      </c>
      <c r="K52" s="49" t="s">
        <v>1097</v>
      </c>
      <c r="L52" s="49" t="s">
        <v>88</v>
      </c>
      <c r="M52" s="49">
        <v>2019</v>
      </c>
      <c r="N52" s="49">
        <v>0</v>
      </c>
      <c r="O52" s="49">
        <v>64.09</v>
      </c>
      <c r="P52" s="49">
        <v>0</v>
      </c>
    </row>
    <row r="53" spans="1:16" ht="11.25" customHeight="1" x14ac:dyDescent="0.25">
      <c r="A53" s="49">
        <v>52</v>
      </c>
      <c r="B53" s="49" t="s">
        <v>955</v>
      </c>
      <c r="C53" s="49" t="s">
        <v>22</v>
      </c>
      <c r="D53" s="49" t="s">
        <v>102</v>
      </c>
      <c r="E53" s="49" t="s">
        <v>24</v>
      </c>
      <c r="F53" s="49" t="s">
        <v>30</v>
      </c>
      <c r="G53" s="49" t="s">
        <v>25</v>
      </c>
      <c r="H53" s="49" t="s">
        <v>25</v>
      </c>
      <c r="I53" s="49" t="s">
        <v>25</v>
      </c>
      <c r="J53" s="49" t="s">
        <v>1098</v>
      </c>
      <c r="K53" s="49" t="s">
        <v>1097</v>
      </c>
      <c r="L53" s="49" t="s">
        <v>88</v>
      </c>
      <c r="M53" s="49">
        <v>2019</v>
      </c>
      <c r="N53" s="49">
        <v>0</v>
      </c>
      <c r="O53" s="49">
        <v>109.87</v>
      </c>
      <c r="P53" s="49">
        <v>0</v>
      </c>
    </row>
    <row r="54" spans="1:16" ht="11.25" customHeight="1" x14ac:dyDescent="0.25">
      <c r="A54" s="49">
        <v>53</v>
      </c>
      <c r="B54" s="49" t="s">
        <v>955</v>
      </c>
      <c r="C54" s="49" t="s">
        <v>22</v>
      </c>
      <c r="D54" s="49" t="s">
        <v>102</v>
      </c>
      <c r="E54" s="49" t="s">
        <v>24</v>
      </c>
      <c r="F54" s="49" t="s">
        <v>31</v>
      </c>
      <c r="G54" s="49" t="s">
        <v>25</v>
      </c>
      <c r="H54" s="49" t="s">
        <v>25</v>
      </c>
      <c r="I54" s="49" t="s">
        <v>25</v>
      </c>
      <c r="J54" s="49" t="s">
        <v>1098</v>
      </c>
      <c r="K54" s="49" t="s">
        <v>1097</v>
      </c>
      <c r="L54" s="49" t="s">
        <v>88</v>
      </c>
      <c r="M54" s="49">
        <v>2019</v>
      </c>
      <c r="N54" s="49">
        <v>0</v>
      </c>
      <c r="O54" s="49">
        <v>164.81</v>
      </c>
      <c r="P54" s="49">
        <v>0</v>
      </c>
    </row>
    <row r="55" spans="1:16" ht="11.25" customHeight="1" x14ac:dyDescent="0.25">
      <c r="A55" s="49">
        <v>54</v>
      </c>
      <c r="B55" s="49" t="s">
        <v>955</v>
      </c>
      <c r="C55" s="49" t="s">
        <v>22</v>
      </c>
      <c r="D55" s="49" t="s">
        <v>102</v>
      </c>
      <c r="E55" s="49" t="s">
        <v>24</v>
      </c>
      <c r="F55" s="49" t="s">
        <v>32</v>
      </c>
      <c r="G55" s="49" t="s">
        <v>25</v>
      </c>
      <c r="H55" s="49" t="s">
        <v>25</v>
      </c>
      <c r="I55" s="49" t="s">
        <v>25</v>
      </c>
      <c r="J55" s="49" t="s">
        <v>1098</v>
      </c>
      <c r="K55" s="49" t="s">
        <v>1097</v>
      </c>
      <c r="L55" s="49" t="s">
        <v>88</v>
      </c>
      <c r="M55" s="49">
        <v>2019</v>
      </c>
      <c r="N55" s="49">
        <v>0</v>
      </c>
      <c r="O55" s="49">
        <v>183.12</v>
      </c>
      <c r="P55" s="49">
        <v>0</v>
      </c>
    </row>
    <row r="56" spans="1:16" ht="11.25" customHeight="1" x14ac:dyDescent="0.25">
      <c r="A56" s="49">
        <v>55</v>
      </c>
      <c r="B56" s="49" t="s">
        <v>955</v>
      </c>
      <c r="C56" s="49" t="s">
        <v>46</v>
      </c>
      <c r="D56" s="49" t="s">
        <v>37</v>
      </c>
      <c r="E56" s="49" t="s">
        <v>47</v>
      </c>
      <c r="F56" s="49" t="s">
        <v>25</v>
      </c>
      <c r="G56" s="49" t="s">
        <v>25</v>
      </c>
      <c r="H56" s="49" t="s">
        <v>25</v>
      </c>
      <c r="I56" s="49" t="s">
        <v>35</v>
      </c>
      <c r="J56" s="49" t="s">
        <v>1098</v>
      </c>
      <c r="K56" s="49" t="s">
        <v>1097</v>
      </c>
      <c r="L56" s="49" t="s">
        <v>88</v>
      </c>
      <c r="M56" s="49">
        <v>2019</v>
      </c>
      <c r="N56" s="49">
        <v>0</v>
      </c>
      <c r="O56" s="49">
        <v>419.53</v>
      </c>
      <c r="P56" s="49">
        <v>40.851383020259298</v>
      </c>
    </row>
    <row r="57" spans="1:16" ht="11.25" customHeight="1" x14ac:dyDescent="0.25">
      <c r="A57" s="49">
        <v>56</v>
      </c>
      <c r="B57" s="49" t="s">
        <v>955</v>
      </c>
      <c r="C57" s="49" t="s">
        <v>46</v>
      </c>
      <c r="D57" s="49" t="s">
        <v>37</v>
      </c>
      <c r="E57" s="49" t="s">
        <v>47</v>
      </c>
      <c r="F57" s="49" t="s">
        <v>25</v>
      </c>
      <c r="G57" s="49" t="s">
        <v>25</v>
      </c>
      <c r="H57" s="49" t="s">
        <v>25</v>
      </c>
      <c r="I57" s="49" t="s">
        <v>38</v>
      </c>
      <c r="J57" s="49" t="s">
        <v>1098</v>
      </c>
      <c r="K57" s="49" t="s">
        <v>1097</v>
      </c>
      <c r="L57" s="49" t="s">
        <v>88</v>
      </c>
      <c r="M57" s="49">
        <v>2019</v>
      </c>
      <c r="N57" s="49">
        <v>0</v>
      </c>
      <c r="O57" s="49">
        <v>284.7</v>
      </c>
      <c r="P57" s="49">
        <v>40.851383020259298</v>
      </c>
    </row>
    <row r="58" spans="1:16" ht="11.25" customHeight="1" x14ac:dyDescent="0.25">
      <c r="A58" s="49">
        <v>57</v>
      </c>
      <c r="B58" s="49" t="s">
        <v>955</v>
      </c>
      <c r="C58" s="49" t="s">
        <v>46</v>
      </c>
      <c r="D58" s="49" t="s">
        <v>37</v>
      </c>
      <c r="E58" s="49" t="s">
        <v>47</v>
      </c>
      <c r="F58" s="49" t="s">
        <v>25</v>
      </c>
      <c r="G58" s="49" t="s">
        <v>25</v>
      </c>
      <c r="H58" s="49" t="s">
        <v>25</v>
      </c>
      <c r="I58" s="49" t="s">
        <v>36</v>
      </c>
      <c r="J58" s="49" t="s">
        <v>1098</v>
      </c>
      <c r="K58" s="49" t="s">
        <v>1097</v>
      </c>
      <c r="L58" s="49" t="s">
        <v>88</v>
      </c>
      <c r="M58" s="49">
        <v>2019</v>
      </c>
      <c r="N58" s="49">
        <v>0</v>
      </c>
      <c r="O58" s="49">
        <v>149.87</v>
      </c>
      <c r="P58" s="49">
        <v>40.851383020259298</v>
      </c>
    </row>
    <row r="59" spans="1:16" ht="11.25" customHeight="1" x14ac:dyDescent="0.25">
      <c r="A59" s="49">
        <v>58</v>
      </c>
      <c r="B59" s="49" t="s">
        <v>955</v>
      </c>
      <c r="C59" s="49" t="s">
        <v>46</v>
      </c>
      <c r="D59" s="49" t="s">
        <v>23</v>
      </c>
      <c r="E59" s="49" t="s">
        <v>47</v>
      </c>
      <c r="F59" s="49" t="s">
        <v>25</v>
      </c>
      <c r="G59" s="49" t="s">
        <v>25</v>
      </c>
      <c r="H59" s="49" t="s">
        <v>25</v>
      </c>
      <c r="I59" s="49" t="s">
        <v>25</v>
      </c>
      <c r="J59" s="49" t="s">
        <v>1098</v>
      </c>
      <c r="K59" s="49" t="s">
        <v>1097</v>
      </c>
      <c r="L59" s="49" t="s">
        <v>88</v>
      </c>
      <c r="M59" s="49">
        <v>2019</v>
      </c>
      <c r="N59" s="49">
        <v>0</v>
      </c>
      <c r="O59" s="49">
        <v>187.79</v>
      </c>
      <c r="P59" s="49">
        <v>40.851383020259298</v>
      </c>
    </row>
    <row r="60" spans="1:16" ht="11.25" customHeight="1" x14ac:dyDescent="0.25">
      <c r="A60" s="49">
        <v>59</v>
      </c>
      <c r="B60" s="49" t="s">
        <v>955</v>
      </c>
      <c r="C60" s="49" t="s">
        <v>46</v>
      </c>
      <c r="D60" s="49" t="s">
        <v>37</v>
      </c>
      <c r="E60" s="49" t="s">
        <v>47</v>
      </c>
      <c r="F60" s="49" t="s">
        <v>103</v>
      </c>
      <c r="G60" s="49" t="s">
        <v>25</v>
      </c>
      <c r="H60" s="49" t="s">
        <v>25</v>
      </c>
      <c r="I60" s="49" t="s">
        <v>35</v>
      </c>
      <c r="J60" s="49" t="s">
        <v>1098</v>
      </c>
      <c r="K60" s="49" t="s">
        <v>1097</v>
      </c>
      <c r="L60" s="49" t="s">
        <v>88</v>
      </c>
      <c r="M60" s="49">
        <v>2019</v>
      </c>
      <c r="N60" s="49">
        <v>0</v>
      </c>
      <c r="O60" s="49">
        <v>419.53</v>
      </c>
      <c r="P60" s="49">
        <v>40.851383020259298</v>
      </c>
    </row>
    <row r="61" spans="1:16" ht="11.25" customHeight="1" x14ac:dyDescent="0.25">
      <c r="A61" s="49">
        <v>60</v>
      </c>
      <c r="B61" s="49" t="s">
        <v>955</v>
      </c>
      <c r="C61" s="49" t="s">
        <v>46</v>
      </c>
      <c r="D61" s="49" t="s">
        <v>37</v>
      </c>
      <c r="E61" s="49" t="s">
        <v>47</v>
      </c>
      <c r="F61" s="49" t="s">
        <v>103</v>
      </c>
      <c r="G61" s="49" t="s">
        <v>25</v>
      </c>
      <c r="H61" s="49" t="s">
        <v>25</v>
      </c>
      <c r="I61" s="49" t="s">
        <v>38</v>
      </c>
      <c r="J61" s="49" t="s">
        <v>1098</v>
      </c>
      <c r="K61" s="49" t="s">
        <v>1097</v>
      </c>
      <c r="L61" s="49" t="s">
        <v>88</v>
      </c>
      <c r="M61" s="49">
        <v>2019</v>
      </c>
      <c r="N61" s="49">
        <v>0</v>
      </c>
      <c r="O61" s="49">
        <v>284.7</v>
      </c>
      <c r="P61" s="49">
        <v>40.851383020259298</v>
      </c>
    </row>
    <row r="62" spans="1:16" ht="11.25" customHeight="1" x14ac:dyDescent="0.25">
      <c r="A62" s="49">
        <v>61</v>
      </c>
      <c r="B62" s="49" t="s">
        <v>955</v>
      </c>
      <c r="C62" s="49" t="s">
        <v>46</v>
      </c>
      <c r="D62" s="49" t="s">
        <v>37</v>
      </c>
      <c r="E62" s="49" t="s">
        <v>47</v>
      </c>
      <c r="F62" s="49" t="s">
        <v>103</v>
      </c>
      <c r="G62" s="49" t="s">
        <v>25</v>
      </c>
      <c r="H62" s="49" t="s">
        <v>25</v>
      </c>
      <c r="I62" s="49" t="s">
        <v>36</v>
      </c>
      <c r="J62" s="49" t="s">
        <v>1098</v>
      </c>
      <c r="K62" s="49" t="s">
        <v>1097</v>
      </c>
      <c r="L62" s="49" t="s">
        <v>88</v>
      </c>
      <c r="M62" s="49">
        <v>2019</v>
      </c>
      <c r="N62" s="49">
        <v>0</v>
      </c>
      <c r="O62" s="49">
        <v>149.87</v>
      </c>
      <c r="P62" s="49">
        <v>40.851383020259298</v>
      </c>
    </row>
    <row r="63" spans="1:16" ht="11.25" customHeight="1" x14ac:dyDescent="0.25">
      <c r="A63" s="49">
        <v>62</v>
      </c>
      <c r="B63" s="49" t="s">
        <v>955</v>
      </c>
      <c r="C63" s="49" t="s">
        <v>46</v>
      </c>
      <c r="D63" s="49" t="s">
        <v>23</v>
      </c>
      <c r="E63" s="49" t="s">
        <v>47</v>
      </c>
      <c r="F63" s="49" t="s">
        <v>103</v>
      </c>
      <c r="G63" s="49" t="s">
        <v>25</v>
      </c>
      <c r="H63" s="49" t="s">
        <v>25</v>
      </c>
      <c r="I63" s="49" t="s">
        <v>25</v>
      </c>
      <c r="J63" s="49" t="s">
        <v>1098</v>
      </c>
      <c r="K63" s="49" t="s">
        <v>1097</v>
      </c>
      <c r="L63" s="49" t="s">
        <v>88</v>
      </c>
      <c r="M63" s="49">
        <v>2019</v>
      </c>
      <c r="N63" s="49">
        <v>0</v>
      </c>
      <c r="O63" s="49">
        <v>187.79</v>
      </c>
      <c r="P63" s="49">
        <v>40.851383020259298</v>
      </c>
    </row>
    <row r="64" spans="1:16" ht="11.25" customHeight="1" x14ac:dyDescent="0.25">
      <c r="A64" s="49">
        <v>63</v>
      </c>
      <c r="B64" s="49" t="s">
        <v>955</v>
      </c>
      <c r="C64" s="49" t="s">
        <v>46</v>
      </c>
      <c r="D64" s="49" t="s">
        <v>37</v>
      </c>
      <c r="E64" s="49" t="s">
        <v>47</v>
      </c>
      <c r="F64" s="49" t="s">
        <v>104</v>
      </c>
      <c r="G64" s="49" t="s">
        <v>25</v>
      </c>
      <c r="H64" s="49" t="s">
        <v>25</v>
      </c>
      <c r="I64" s="49" t="s">
        <v>35</v>
      </c>
      <c r="J64" s="49" t="s">
        <v>1098</v>
      </c>
      <c r="K64" s="49" t="s">
        <v>1097</v>
      </c>
      <c r="L64" s="49" t="s">
        <v>88</v>
      </c>
      <c r="M64" s="49">
        <v>2019</v>
      </c>
      <c r="N64" s="49">
        <v>0</v>
      </c>
      <c r="O64" s="49">
        <v>375.37</v>
      </c>
      <c r="P64" s="49">
        <v>36.551237439179403</v>
      </c>
    </row>
    <row r="65" spans="1:16" ht="11.25" customHeight="1" x14ac:dyDescent="0.25">
      <c r="A65" s="49">
        <v>64</v>
      </c>
      <c r="B65" s="49" t="s">
        <v>955</v>
      </c>
      <c r="C65" s="49" t="s">
        <v>46</v>
      </c>
      <c r="D65" s="49" t="s">
        <v>37</v>
      </c>
      <c r="E65" s="49" t="s">
        <v>47</v>
      </c>
      <c r="F65" s="49" t="s">
        <v>104</v>
      </c>
      <c r="G65" s="49" t="s">
        <v>25</v>
      </c>
      <c r="H65" s="49" t="s">
        <v>25</v>
      </c>
      <c r="I65" s="49" t="s">
        <v>38</v>
      </c>
      <c r="J65" s="49" t="s">
        <v>1098</v>
      </c>
      <c r="K65" s="49" t="s">
        <v>1097</v>
      </c>
      <c r="L65" s="49" t="s">
        <v>88</v>
      </c>
      <c r="M65" s="49">
        <v>2019</v>
      </c>
      <c r="N65" s="49">
        <v>0</v>
      </c>
      <c r="O65" s="49">
        <v>254.73</v>
      </c>
      <c r="P65" s="49">
        <v>36.551237439179403</v>
      </c>
    </row>
    <row r="66" spans="1:16" ht="11.25" customHeight="1" x14ac:dyDescent="0.25">
      <c r="A66" s="49">
        <v>65</v>
      </c>
      <c r="B66" s="49" t="s">
        <v>955</v>
      </c>
      <c r="C66" s="49" t="s">
        <v>46</v>
      </c>
      <c r="D66" s="49" t="s">
        <v>37</v>
      </c>
      <c r="E66" s="49" t="s">
        <v>47</v>
      </c>
      <c r="F66" s="49" t="s">
        <v>104</v>
      </c>
      <c r="G66" s="49" t="s">
        <v>25</v>
      </c>
      <c r="H66" s="49" t="s">
        <v>25</v>
      </c>
      <c r="I66" s="49" t="s">
        <v>36</v>
      </c>
      <c r="J66" s="49" t="s">
        <v>1098</v>
      </c>
      <c r="K66" s="49" t="s">
        <v>1097</v>
      </c>
      <c r="L66" s="49" t="s">
        <v>88</v>
      </c>
      <c r="M66" s="49">
        <v>2019</v>
      </c>
      <c r="N66" s="49">
        <v>0</v>
      </c>
      <c r="O66" s="49">
        <v>134.09</v>
      </c>
      <c r="P66" s="49">
        <v>36.551237439179403</v>
      </c>
    </row>
    <row r="67" spans="1:16" ht="11.25" customHeight="1" x14ac:dyDescent="0.25">
      <c r="A67" s="49">
        <v>66</v>
      </c>
      <c r="B67" s="49" t="s">
        <v>955</v>
      </c>
      <c r="C67" s="49" t="s">
        <v>46</v>
      </c>
      <c r="D67" s="49" t="s">
        <v>23</v>
      </c>
      <c r="E67" s="49" t="s">
        <v>47</v>
      </c>
      <c r="F67" s="49" t="s">
        <v>104</v>
      </c>
      <c r="G67" s="49" t="s">
        <v>25</v>
      </c>
      <c r="H67" s="49" t="s">
        <v>25</v>
      </c>
      <c r="I67" s="49" t="s">
        <v>25</v>
      </c>
      <c r="J67" s="49" t="s">
        <v>1098</v>
      </c>
      <c r="K67" s="49" t="s">
        <v>1097</v>
      </c>
      <c r="L67" s="49" t="s">
        <v>88</v>
      </c>
      <c r="M67" s="49">
        <v>2019</v>
      </c>
      <c r="N67" s="49">
        <v>0</v>
      </c>
      <c r="O67" s="49">
        <v>168.02</v>
      </c>
      <c r="P67" s="49">
        <v>36.551237439179403</v>
      </c>
    </row>
    <row r="68" spans="1:16" ht="11.25" customHeight="1" x14ac:dyDescent="0.25">
      <c r="A68" s="49">
        <v>67</v>
      </c>
      <c r="B68" s="49" t="s">
        <v>955</v>
      </c>
      <c r="C68" s="49" t="s">
        <v>46</v>
      </c>
      <c r="D68" s="49" t="s">
        <v>102</v>
      </c>
      <c r="E68" s="49" t="s">
        <v>47</v>
      </c>
      <c r="F68" s="49" t="s">
        <v>25</v>
      </c>
      <c r="G68" s="49" t="s">
        <v>25</v>
      </c>
      <c r="H68" s="49" t="s">
        <v>25</v>
      </c>
      <c r="I68" s="49" t="s">
        <v>25</v>
      </c>
      <c r="J68" s="49" t="s">
        <v>1098</v>
      </c>
      <c r="K68" s="49" t="s">
        <v>1097</v>
      </c>
      <c r="L68" s="49" t="s">
        <v>88</v>
      </c>
      <c r="M68" s="49">
        <v>2019</v>
      </c>
      <c r="N68" s="49">
        <v>0</v>
      </c>
      <c r="O68" s="49">
        <v>187.79</v>
      </c>
      <c r="P68" s="49">
        <v>40.851383020259298</v>
      </c>
    </row>
    <row r="69" spans="1:16" ht="11.25" customHeight="1" x14ac:dyDescent="0.25">
      <c r="A69" s="49">
        <v>68</v>
      </c>
      <c r="B69" s="49" t="s">
        <v>955</v>
      </c>
      <c r="C69" s="49" t="s">
        <v>46</v>
      </c>
      <c r="D69" s="49" t="s">
        <v>102</v>
      </c>
      <c r="E69" s="49" t="s">
        <v>47</v>
      </c>
      <c r="F69" s="49" t="s">
        <v>103</v>
      </c>
      <c r="G69" s="49" t="s">
        <v>25</v>
      </c>
      <c r="H69" s="49" t="s">
        <v>25</v>
      </c>
      <c r="I69" s="49" t="s">
        <v>25</v>
      </c>
      <c r="J69" s="49" t="s">
        <v>1098</v>
      </c>
      <c r="K69" s="49" t="s">
        <v>1097</v>
      </c>
      <c r="L69" s="49" t="s">
        <v>88</v>
      </c>
      <c r="M69" s="49">
        <v>2019</v>
      </c>
      <c r="N69" s="49">
        <v>0</v>
      </c>
      <c r="O69" s="49">
        <v>187.79</v>
      </c>
      <c r="P69" s="49">
        <v>40.851383020259298</v>
      </c>
    </row>
    <row r="70" spans="1:16" ht="11.25" customHeight="1" x14ac:dyDescent="0.25">
      <c r="A70" s="49">
        <v>69</v>
      </c>
      <c r="B70" s="49" t="s">
        <v>955</v>
      </c>
      <c r="C70" s="49" t="s">
        <v>46</v>
      </c>
      <c r="D70" s="49" t="s">
        <v>102</v>
      </c>
      <c r="E70" s="49" t="s">
        <v>47</v>
      </c>
      <c r="F70" s="49" t="s">
        <v>104</v>
      </c>
      <c r="G70" s="49" t="s">
        <v>25</v>
      </c>
      <c r="H70" s="49" t="s">
        <v>25</v>
      </c>
      <c r="I70" s="49" t="s">
        <v>25</v>
      </c>
      <c r="J70" s="49" t="s">
        <v>1098</v>
      </c>
      <c r="K70" s="49" t="s">
        <v>1097</v>
      </c>
      <c r="L70" s="49" t="s">
        <v>88</v>
      </c>
      <c r="M70" s="49">
        <v>2019</v>
      </c>
      <c r="N70" s="49">
        <v>0</v>
      </c>
      <c r="O70" s="49">
        <v>168.02</v>
      </c>
      <c r="P70" s="49">
        <v>36.551237439179403</v>
      </c>
    </row>
    <row r="71" spans="1:16" ht="11.25" customHeight="1" x14ac:dyDescent="0.25">
      <c r="A71" s="49">
        <v>70</v>
      </c>
      <c r="B71" s="49" t="s">
        <v>955</v>
      </c>
      <c r="C71" s="49" t="s">
        <v>39</v>
      </c>
      <c r="D71" s="49" t="s">
        <v>37</v>
      </c>
      <c r="E71" s="49" t="s">
        <v>25</v>
      </c>
      <c r="F71" s="49" t="s">
        <v>25</v>
      </c>
      <c r="G71" s="49" t="s">
        <v>25</v>
      </c>
      <c r="H71" s="49" t="s">
        <v>25</v>
      </c>
      <c r="I71" s="49" t="s">
        <v>35</v>
      </c>
      <c r="J71" s="49" t="s">
        <v>1098</v>
      </c>
      <c r="K71" s="49" t="s">
        <v>1097</v>
      </c>
      <c r="L71" s="49" t="s">
        <v>88</v>
      </c>
      <c r="M71" s="49">
        <v>2019</v>
      </c>
      <c r="N71" s="49">
        <v>0</v>
      </c>
      <c r="O71" s="49">
        <v>552.01</v>
      </c>
      <c r="P71" s="49">
        <v>53.7518197634991</v>
      </c>
    </row>
    <row r="72" spans="1:16" ht="11.25" customHeight="1" x14ac:dyDescent="0.25">
      <c r="A72" s="49">
        <v>71</v>
      </c>
      <c r="B72" s="49" t="s">
        <v>955</v>
      </c>
      <c r="C72" s="49" t="s">
        <v>39</v>
      </c>
      <c r="D72" s="49" t="s">
        <v>37</v>
      </c>
      <c r="E72" s="49" t="s">
        <v>25</v>
      </c>
      <c r="F72" s="49" t="s">
        <v>25</v>
      </c>
      <c r="G72" s="49" t="s">
        <v>25</v>
      </c>
      <c r="H72" s="49" t="s">
        <v>25</v>
      </c>
      <c r="I72" s="49" t="s">
        <v>38</v>
      </c>
      <c r="J72" s="49" t="s">
        <v>1098</v>
      </c>
      <c r="K72" s="49" t="s">
        <v>1097</v>
      </c>
      <c r="L72" s="49" t="s">
        <v>88</v>
      </c>
      <c r="M72" s="49">
        <v>2019</v>
      </c>
      <c r="N72" s="49">
        <v>0</v>
      </c>
      <c r="O72" s="49">
        <v>374.6</v>
      </c>
      <c r="P72" s="49">
        <v>53.7518197634991</v>
      </c>
    </row>
    <row r="73" spans="1:16" ht="11.25" customHeight="1" x14ac:dyDescent="0.25">
      <c r="A73" s="49">
        <v>72</v>
      </c>
      <c r="B73" s="49" t="s">
        <v>955</v>
      </c>
      <c r="C73" s="49" t="s">
        <v>39</v>
      </c>
      <c r="D73" s="49" t="s">
        <v>37</v>
      </c>
      <c r="E73" s="49" t="s">
        <v>25</v>
      </c>
      <c r="F73" s="49" t="s">
        <v>25</v>
      </c>
      <c r="G73" s="49" t="s">
        <v>25</v>
      </c>
      <c r="H73" s="49" t="s">
        <v>25</v>
      </c>
      <c r="I73" s="49" t="s">
        <v>36</v>
      </c>
      <c r="J73" s="49" t="s">
        <v>1098</v>
      </c>
      <c r="K73" s="49" t="s">
        <v>1097</v>
      </c>
      <c r="L73" s="49" t="s">
        <v>88</v>
      </c>
      <c r="M73" s="49">
        <v>2019</v>
      </c>
      <c r="N73" s="49">
        <v>0</v>
      </c>
      <c r="O73" s="49">
        <v>197.19</v>
      </c>
      <c r="P73" s="49">
        <v>53.7518197634991</v>
      </c>
    </row>
    <row r="74" spans="1:16" ht="11.25" customHeight="1" x14ac:dyDescent="0.25">
      <c r="A74" s="49">
        <v>73</v>
      </c>
      <c r="B74" s="49" t="s">
        <v>955</v>
      </c>
      <c r="C74" s="49" t="s">
        <v>39</v>
      </c>
      <c r="D74" s="49" t="s">
        <v>23</v>
      </c>
      <c r="E74" s="49" t="s">
        <v>25</v>
      </c>
      <c r="F74" s="49" t="s">
        <v>25</v>
      </c>
      <c r="G74" s="49" t="s">
        <v>25</v>
      </c>
      <c r="H74" s="49" t="s">
        <v>25</v>
      </c>
      <c r="I74" s="49" t="s">
        <v>25</v>
      </c>
      <c r="J74" s="49" t="s">
        <v>1098</v>
      </c>
      <c r="K74" s="49" t="s">
        <v>1097</v>
      </c>
      <c r="L74" s="49" t="s">
        <v>88</v>
      </c>
      <c r="M74" s="49">
        <v>2019</v>
      </c>
      <c r="N74" s="49">
        <v>0</v>
      </c>
      <c r="O74" s="49">
        <v>247.09</v>
      </c>
      <c r="P74" s="49">
        <v>53.7518197634991</v>
      </c>
    </row>
    <row r="75" spans="1:16" ht="11.25" customHeight="1" x14ac:dyDescent="0.25">
      <c r="A75" s="49">
        <v>74</v>
      </c>
      <c r="B75" s="49" t="s">
        <v>955</v>
      </c>
      <c r="C75" s="49" t="s">
        <v>39</v>
      </c>
      <c r="D75" s="49" t="s">
        <v>102</v>
      </c>
      <c r="E75" s="49" t="s">
        <v>25</v>
      </c>
      <c r="F75" s="49" t="s">
        <v>25</v>
      </c>
      <c r="G75" s="49" t="s">
        <v>25</v>
      </c>
      <c r="H75" s="49" t="s">
        <v>25</v>
      </c>
      <c r="I75" s="49" t="s">
        <v>25</v>
      </c>
      <c r="J75" s="49" t="s">
        <v>1098</v>
      </c>
      <c r="K75" s="49" t="s">
        <v>1097</v>
      </c>
      <c r="L75" s="49" t="s">
        <v>88</v>
      </c>
      <c r="M75" s="49">
        <v>2019</v>
      </c>
      <c r="N75" s="49">
        <v>0</v>
      </c>
      <c r="O75" s="49">
        <v>247.09</v>
      </c>
      <c r="P75" s="49">
        <v>53.7518197634991</v>
      </c>
    </row>
    <row r="76" spans="1:16" ht="11.25" customHeight="1" x14ac:dyDescent="0.25">
      <c r="A76" s="49">
        <v>75</v>
      </c>
      <c r="B76" s="49" t="s">
        <v>955</v>
      </c>
      <c r="C76" s="49" t="s">
        <v>49</v>
      </c>
      <c r="D76" s="49" t="s">
        <v>23</v>
      </c>
      <c r="E76" s="49" t="s">
        <v>50</v>
      </c>
      <c r="F76" s="49" t="s">
        <v>51</v>
      </c>
      <c r="G76" s="49" t="s">
        <v>25</v>
      </c>
      <c r="H76" s="49" t="s">
        <v>25</v>
      </c>
      <c r="I76" s="49" t="s">
        <v>25</v>
      </c>
      <c r="J76" s="49" t="s">
        <v>1098</v>
      </c>
      <c r="K76" s="49" t="s">
        <v>1097</v>
      </c>
      <c r="L76" s="49" t="s">
        <v>88</v>
      </c>
      <c r="M76" s="49">
        <v>2019</v>
      </c>
      <c r="N76" s="49">
        <v>0</v>
      </c>
      <c r="O76" s="49">
        <v>135.9</v>
      </c>
      <c r="P76" s="49">
        <v>29.5635008699245</v>
      </c>
    </row>
    <row r="77" spans="1:16" ht="11.25" customHeight="1" x14ac:dyDescent="0.25">
      <c r="A77" s="49">
        <v>76</v>
      </c>
      <c r="B77" s="49" t="s">
        <v>955</v>
      </c>
      <c r="C77" s="49" t="s">
        <v>49</v>
      </c>
      <c r="D77" s="49" t="s">
        <v>23</v>
      </c>
      <c r="E77" s="49" t="s">
        <v>50</v>
      </c>
      <c r="F77" s="49" t="s">
        <v>105</v>
      </c>
      <c r="G77" s="49" t="s">
        <v>25</v>
      </c>
      <c r="H77" s="49" t="s">
        <v>25</v>
      </c>
      <c r="I77" s="49" t="s">
        <v>25</v>
      </c>
      <c r="J77" s="49" t="s">
        <v>1098</v>
      </c>
      <c r="K77" s="49" t="s">
        <v>1097</v>
      </c>
      <c r="L77" s="49" t="s">
        <v>88</v>
      </c>
      <c r="M77" s="49">
        <v>2019</v>
      </c>
      <c r="N77" s="49">
        <v>0</v>
      </c>
      <c r="O77" s="49">
        <v>148.25</v>
      </c>
      <c r="P77" s="49">
        <v>32.2510918580995</v>
      </c>
    </row>
    <row r="78" spans="1:16" ht="11.25" customHeight="1" x14ac:dyDescent="0.25">
      <c r="A78" s="49">
        <v>77</v>
      </c>
      <c r="B78" s="49" t="s">
        <v>984</v>
      </c>
      <c r="C78" s="49" t="s">
        <v>43</v>
      </c>
      <c r="D78" s="49" t="s">
        <v>87</v>
      </c>
      <c r="E78" s="49" t="s">
        <v>25</v>
      </c>
      <c r="F78" s="49" t="s">
        <v>25</v>
      </c>
      <c r="G78" s="49" t="s">
        <v>25</v>
      </c>
      <c r="H78" s="49" t="s">
        <v>25</v>
      </c>
      <c r="I78" s="49" t="s">
        <v>35</v>
      </c>
      <c r="J78" s="49" t="s">
        <v>1098</v>
      </c>
      <c r="K78" s="49" t="s">
        <v>1097</v>
      </c>
      <c r="L78" s="49" t="s">
        <v>88</v>
      </c>
      <c r="M78" s="49">
        <v>2019</v>
      </c>
      <c r="N78" s="49">
        <v>0</v>
      </c>
      <c r="O78" s="49">
        <v>430.87</v>
      </c>
      <c r="P78" s="49"/>
    </row>
    <row r="79" spans="1:16" ht="11.25" customHeight="1" x14ac:dyDescent="0.25">
      <c r="A79" s="49">
        <v>78</v>
      </c>
      <c r="B79" s="49" t="s">
        <v>984</v>
      </c>
      <c r="C79" s="49" t="s">
        <v>43</v>
      </c>
      <c r="D79" s="49" t="s">
        <v>87</v>
      </c>
      <c r="E79" s="49" t="s">
        <v>25</v>
      </c>
      <c r="F79" s="49" t="s">
        <v>25</v>
      </c>
      <c r="G79" s="49" t="s">
        <v>25</v>
      </c>
      <c r="H79" s="49" t="s">
        <v>25</v>
      </c>
      <c r="I79" s="49" t="s">
        <v>36</v>
      </c>
      <c r="J79" s="49" t="s">
        <v>1098</v>
      </c>
      <c r="K79" s="49" t="s">
        <v>1097</v>
      </c>
      <c r="L79" s="49" t="s">
        <v>88</v>
      </c>
      <c r="M79" s="49">
        <v>2019</v>
      </c>
      <c r="N79" s="49">
        <v>0</v>
      </c>
      <c r="O79" s="49">
        <v>256.38</v>
      </c>
      <c r="P79" s="49"/>
    </row>
    <row r="80" spans="1:16" ht="11.25" customHeight="1" x14ac:dyDescent="0.25">
      <c r="A80" s="49">
        <v>79</v>
      </c>
      <c r="B80" s="49" t="s">
        <v>984</v>
      </c>
      <c r="C80" s="49" t="s">
        <v>45</v>
      </c>
      <c r="D80" s="49" t="s">
        <v>87</v>
      </c>
      <c r="E80" s="49" t="s">
        <v>25</v>
      </c>
      <c r="F80" s="49" t="s">
        <v>25</v>
      </c>
      <c r="G80" s="49" t="s">
        <v>25</v>
      </c>
      <c r="H80" s="49" t="s">
        <v>25</v>
      </c>
      <c r="I80" s="49" t="s">
        <v>35</v>
      </c>
      <c r="J80" s="49" t="s">
        <v>1098</v>
      </c>
      <c r="K80" s="49" t="s">
        <v>1097</v>
      </c>
      <c r="L80" s="49" t="s">
        <v>88</v>
      </c>
      <c r="M80" s="49">
        <v>2019</v>
      </c>
      <c r="N80" s="49">
        <v>0</v>
      </c>
      <c r="O80" s="49">
        <v>430.87</v>
      </c>
      <c r="P80" s="49"/>
    </row>
    <row r="81" spans="1:16" ht="11.25" customHeight="1" x14ac:dyDescent="0.25">
      <c r="A81" s="49">
        <v>80</v>
      </c>
      <c r="B81" s="49" t="s">
        <v>984</v>
      </c>
      <c r="C81" s="49" t="s">
        <v>45</v>
      </c>
      <c r="D81" s="49" t="s">
        <v>87</v>
      </c>
      <c r="E81" s="49" t="s">
        <v>25</v>
      </c>
      <c r="F81" s="49" t="s">
        <v>25</v>
      </c>
      <c r="G81" s="49" t="s">
        <v>25</v>
      </c>
      <c r="H81" s="49" t="s">
        <v>25</v>
      </c>
      <c r="I81" s="49" t="s">
        <v>36</v>
      </c>
      <c r="J81" s="49" t="s">
        <v>1098</v>
      </c>
      <c r="K81" s="49" t="s">
        <v>1097</v>
      </c>
      <c r="L81" s="49" t="s">
        <v>88</v>
      </c>
      <c r="M81" s="49">
        <v>2019</v>
      </c>
      <c r="N81" s="49">
        <v>0</v>
      </c>
      <c r="O81" s="49">
        <v>256.38</v>
      </c>
      <c r="P81" s="49"/>
    </row>
    <row r="82" spans="1:16" ht="11.25" customHeight="1" x14ac:dyDescent="0.25">
      <c r="A82" s="49">
        <v>81</v>
      </c>
      <c r="B82" s="49" t="s">
        <v>984</v>
      </c>
      <c r="C82" s="49" t="s">
        <v>33</v>
      </c>
      <c r="D82" s="49" t="s">
        <v>87</v>
      </c>
      <c r="E82" s="49" t="s">
        <v>25</v>
      </c>
      <c r="F82" s="49" t="s">
        <v>25</v>
      </c>
      <c r="G82" s="49" t="s">
        <v>25</v>
      </c>
      <c r="H82" s="49" t="s">
        <v>25</v>
      </c>
      <c r="I82" s="49" t="s">
        <v>35</v>
      </c>
      <c r="J82" s="49" t="s">
        <v>1098</v>
      </c>
      <c r="K82" s="49" t="s">
        <v>1097</v>
      </c>
      <c r="L82" s="49" t="s">
        <v>88</v>
      </c>
      <c r="M82" s="49">
        <v>2019</v>
      </c>
      <c r="N82" s="49">
        <v>0</v>
      </c>
      <c r="O82" s="49">
        <v>430.87</v>
      </c>
      <c r="P82" s="49"/>
    </row>
    <row r="83" spans="1:16" ht="11.25" customHeight="1" x14ac:dyDescent="0.25">
      <c r="A83" s="49">
        <v>82</v>
      </c>
      <c r="B83" s="49" t="s">
        <v>984</v>
      </c>
      <c r="C83" s="49" t="s">
        <v>33</v>
      </c>
      <c r="D83" s="49" t="s">
        <v>87</v>
      </c>
      <c r="E83" s="49" t="s">
        <v>25</v>
      </c>
      <c r="F83" s="49" t="s">
        <v>25</v>
      </c>
      <c r="G83" s="49" t="s">
        <v>25</v>
      </c>
      <c r="H83" s="49" t="s">
        <v>25</v>
      </c>
      <c r="I83" s="49" t="s">
        <v>36</v>
      </c>
      <c r="J83" s="49" t="s">
        <v>1098</v>
      </c>
      <c r="K83" s="49" t="s">
        <v>1097</v>
      </c>
      <c r="L83" s="49" t="s">
        <v>88</v>
      </c>
      <c r="M83" s="49">
        <v>2019</v>
      </c>
      <c r="N83" s="49">
        <v>0</v>
      </c>
      <c r="O83" s="49">
        <v>256.38</v>
      </c>
      <c r="P83" s="49"/>
    </row>
    <row r="84" spans="1:16" ht="11.25" customHeight="1" x14ac:dyDescent="0.25">
      <c r="A84" s="49">
        <v>83</v>
      </c>
      <c r="B84" s="49" t="s">
        <v>984</v>
      </c>
      <c r="C84" s="49" t="s">
        <v>44</v>
      </c>
      <c r="D84" s="49" t="s">
        <v>87</v>
      </c>
      <c r="E84" s="49" t="s">
        <v>25</v>
      </c>
      <c r="F84" s="49" t="s">
        <v>25</v>
      </c>
      <c r="G84" s="49" t="s">
        <v>25</v>
      </c>
      <c r="H84" s="49" t="s">
        <v>25</v>
      </c>
      <c r="I84" s="49" t="s">
        <v>35</v>
      </c>
      <c r="J84" s="49" t="s">
        <v>1098</v>
      </c>
      <c r="K84" s="49" t="s">
        <v>1097</v>
      </c>
      <c r="L84" s="49" t="s">
        <v>88</v>
      </c>
      <c r="M84" s="49">
        <v>2019</v>
      </c>
      <c r="N84" s="49">
        <v>0</v>
      </c>
      <c r="O84" s="49">
        <v>430.87</v>
      </c>
      <c r="P84" s="49"/>
    </row>
    <row r="85" spans="1:16" ht="11.25" customHeight="1" x14ac:dyDescent="0.25">
      <c r="A85" s="49">
        <v>84</v>
      </c>
      <c r="B85" s="49" t="s">
        <v>984</v>
      </c>
      <c r="C85" s="49" t="s">
        <v>44</v>
      </c>
      <c r="D85" s="49" t="s">
        <v>87</v>
      </c>
      <c r="E85" s="49" t="s">
        <v>25</v>
      </c>
      <c r="F85" s="49" t="s">
        <v>25</v>
      </c>
      <c r="G85" s="49" t="s">
        <v>25</v>
      </c>
      <c r="H85" s="49" t="s">
        <v>25</v>
      </c>
      <c r="I85" s="49" t="s">
        <v>36</v>
      </c>
      <c r="J85" s="49" t="s">
        <v>1098</v>
      </c>
      <c r="K85" s="49" t="s">
        <v>1097</v>
      </c>
      <c r="L85" s="49" t="s">
        <v>88</v>
      </c>
      <c r="M85" s="49">
        <v>2019</v>
      </c>
      <c r="N85" s="49">
        <v>0</v>
      </c>
      <c r="O85" s="49">
        <v>256.38</v>
      </c>
      <c r="P85" s="49"/>
    </row>
    <row r="86" spans="1:16" ht="11.25" customHeight="1" x14ac:dyDescent="0.25">
      <c r="A86" s="49">
        <v>85</v>
      </c>
      <c r="B86" s="49" t="s">
        <v>984</v>
      </c>
      <c r="C86" s="49" t="s">
        <v>22</v>
      </c>
      <c r="D86" s="49" t="s">
        <v>87</v>
      </c>
      <c r="E86" s="49" t="s">
        <v>24</v>
      </c>
      <c r="F86" s="49" t="s">
        <v>24</v>
      </c>
      <c r="G86" s="49" t="s">
        <v>25</v>
      </c>
      <c r="H86" s="49" t="s">
        <v>25</v>
      </c>
      <c r="I86" s="49" t="s">
        <v>35</v>
      </c>
      <c r="J86" s="49" t="s">
        <v>1098</v>
      </c>
      <c r="K86" s="49" t="s">
        <v>1097</v>
      </c>
      <c r="L86" s="49" t="s">
        <v>88</v>
      </c>
      <c r="M86" s="49">
        <v>2019</v>
      </c>
      <c r="N86" s="49">
        <v>0</v>
      </c>
      <c r="O86" s="49">
        <v>430.87</v>
      </c>
      <c r="P86" s="49"/>
    </row>
    <row r="87" spans="1:16" ht="11.25" customHeight="1" x14ac:dyDescent="0.25">
      <c r="A87" s="49">
        <v>86</v>
      </c>
      <c r="B87" s="49" t="s">
        <v>984</v>
      </c>
      <c r="C87" s="49" t="s">
        <v>22</v>
      </c>
      <c r="D87" s="49" t="s">
        <v>87</v>
      </c>
      <c r="E87" s="49" t="s">
        <v>24</v>
      </c>
      <c r="F87" s="49" t="s">
        <v>24</v>
      </c>
      <c r="G87" s="49" t="s">
        <v>25</v>
      </c>
      <c r="H87" s="49" t="s">
        <v>25</v>
      </c>
      <c r="I87" s="49" t="s">
        <v>38</v>
      </c>
      <c r="J87" s="49" t="s">
        <v>1098</v>
      </c>
      <c r="K87" s="49" t="s">
        <v>1097</v>
      </c>
      <c r="L87" s="49" t="s">
        <v>88</v>
      </c>
      <c r="M87" s="49">
        <v>2019</v>
      </c>
      <c r="N87" s="49">
        <v>0</v>
      </c>
      <c r="O87" s="49">
        <v>256.38</v>
      </c>
      <c r="P87" s="49"/>
    </row>
    <row r="88" spans="1:16" ht="11.25" customHeight="1" x14ac:dyDescent="0.25">
      <c r="A88" s="49">
        <v>87</v>
      </c>
      <c r="B88" s="49" t="s">
        <v>984</v>
      </c>
      <c r="C88" s="49" t="s">
        <v>22</v>
      </c>
      <c r="D88" s="49" t="s">
        <v>87</v>
      </c>
      <c r="E88" s="49" t="s">
        <v>24</v>
      </c>
      <c r="F88" s="49" t="s">
        <v>24</v>
      </c>
      <c r="G88" s="49" t="s">
        <v>25</v>
      </c>
      <c r="H88" s="49" t="s">
        <v>25</v>
      </c>
      <c r="I88" s="49" t="s">
        <v>36</v>
      </c>
      <c r="J88" s="49" t="s">
        <v>1098</v>
      </c>
      <c r="K88" s="49" t="s">
        <v>1097</v>
      </c>
      <c r="L88" s="49" t="s">
        <v>88</v>
      </c>
      <c r="M88" s="49">
        <v>2019</v>
      </c>
      <c r="N88" s="49">
        <v>0</v>
      </c>
      <c r="O88" s="49">
        <v>256.38</v>
      </c>
      <c r="P88" s="49"/>
    </row>
    <row r="89" spans="1:16" ht="11.25" customHeight="1" x14ac:dyDescent="0.25">
      <c r="A89" s="49">
        <v>88</v>
      </c>
      <c r="B89" s="49" t="s">
        <v>984</v>
      </c>
      <c r="C89" s="49" t="s">
        <v>22</v>
      </c>
      <c r="D89" s="49" t="s">
        <v>96</v>
      </c>
      <c r="E89" s="49" t="s">
        <v>24</v>
      </c>
      <c r="F89" s="49" t="s">
        <v>24</v>
      </c>
      <c r="G89" s="49" t="s">
        <v>25</v>
      </c>
      <c r="H89" s="49" t="s">
        <v>25</v>
      </c>
      <c r="I89" s="49" t="s">
        <v>25</v>
      </c>
      <c r="J89" s="49" t="s">
        <v>1098</v>
      </c>
      <c r="K89" s="49" t="s">
        <v>1097</v>
      </c>
      <c r="L89" s="49" t="s">
        <v>88</v>
      </c>
      <c r="M89" s="49">
        <v>2019</v>
      </c>
      <c r="N89" s="49">
        <v>0</v>
      </c>
      <c r="O89" s="49">
        <v>270.92</v>
      </c>
      <c r="P89" s="49"/>
    </row>
    <row r="90" spans="1:16" ht="11.25" customHeight="1" x14ac:dyDescent="0.25">
      <c r="A90" s="49">
        <v>89</v>
      </c>
      <c r="B90" s="49" t="s">
        <v>984</v>
      </c>
      <c r="C90" s="49" t="s">
        <v>22</v>
      </c>
      <c r="D90" s="49" t="s">
        <v>96</v>
      </c>
      <c r="E90" s="49" t="s">
        <v>24</v>
      </c>
      <c r="F90" s="49" t="s">
        <v>29</v>
      </c>
      <c r="G90" s="49" t="s">
        <v>25</v>
      </c>
      <c r="H90" s="49" t="s">
        <v>25</v>
      </c>
      <c r="I90" s="49" t="s">
        <v>25</v>
      </c>
      <c r="J90" s="49" t="s">
        <v>1098</v>
      </c>
      <c r="K90" s="49" t="s">
        <v>1097</v>
      </c>
      <c r="L90" s="49" t="s">
        <v>88</v>
      </c>
      <c r="M90" s="49">
        <v>2019</v>
      </c>
      <c r="N90" s="49">
        <v>0</v>
      </c>
      <c r="O90" s="49">
        <v>94.82</v>
      </c>
      <c r="P90" s="49"/>
    </row>
    <row r="91" spans="1:16" ht="11.25" customHeight="1" x14ac:dyDescent="0.25">
      <c r="A91" s="49">
        <v>90</v>
      </c>
      <c r="B91" s="49" t="s">
        <v>984</v>
      </c>
      <c r="C91" s="49" t="s">
        <v>22</v>
      </c>
      <c r="D91" s="49" t="s">
        <v>96</v>
      </c>
      <c r="E91" s="49" t="s">
        <v>24</v>
      </c>
      <c r="F91" s="49" t="s">
        <v>30</v>
      </c>
      <c r="G91" s="49" t="s">
        <v>25</v>
      </c>
      <c r="H91" s="49" t="s">
        <v>25</v>
      </c>
      <c r="I91" s="49" t="s">
        <v>25</v>
      </c>
      <c r="J91" s="49" t="s">
        <v>1098</v>
      </c>
      <c r="K91" s="49" t="s">
        <v>1097</v>
      </c>
      <c r="L91" s="49" t="s">
        <v>88</v>
      </c>
      <c r="M91" s="49">
        <v>2019</v>
      </c>
      <c r="N91" s="49">
        <v>0</v>
      </c>
      <c r="O91" s="49">
        <v>162.55000000000001</v>
      </c>
      <c r="P91" s="49"/>
    </row>
    <row r="92" spans="1:16" ht="11.25" customHeight="1" x14ac:dyDescent="0.25">
      <c r="A92" s="49">
        <v>91</v>
      </c>
      <c r="B92" s="49" t="s">
        <v>984</v>
      </c>
      <c r="C92" s="49" t="s">
        <v>22</v>
      </c>
      <c r="D92" s="49" t="s">
        <v>96</v>
      </c>
      <c r="E92" s="49" t="s">
        <v>24</v>
      </c>
      <c r="F92" s="49" t="s">
        <v>31</v>
      </c>
      <c r="G92" s="49" t="s">
        <v>25</v>
      </c>
      <c r="H92" s="49" t="s">
        <v>25</v>
      </c>
      <c r="I92" s="49" t="s">
        <v>25</v>
      </c>
      <c r="J92" s="49" t="s">
        <v>1098</v>
      </c>
      <c r="K92" s="49" t="s">
        <v>1097</v>
      </c>
      <c r="L92" s="49" t="s">
        <v>88</v>
      </c>
      <c r="M92" s="49">
        <v>2019</v>
      </c>
      <c r="N92" s="49">
        <v>0</v>
      </c>
      <c r="O92" s="49">
        <v>243.83</v>
      </c>
      <c r="P92" s="49"/>
    </row>
    <row r="93" spans="1:16" ht="11.25" customHeight="1" x14ac:dyDescent="0.25">
      <c r="A93" s="49">
        <v>92</v>
      </c>
      <c r="B93" s="49" t="s">
        <v>984</v>
      </c>
      <c r="C93" s="49" t="s">
        <v>22</v>
      </c>
      <c r="D93" s="49" t="s">
        <v>96</v>
      </c>
      <c r="E93" s="49" t="s">
        <v>24</v>
      </c>
      <c r="F93" s="49" t="s">
        <v>32</v>
      </c>
      <c r="G93" s="49" t="s">
        <v>25</v>
      </c>
      <c r="H93" s="49" t="s">
        <v>25</v>
      </c>
      <c r="I93" s="49" t="s">
        <v>25</v>
      </c>
      <c r="J93" s="49" t="s">
        <v>1098</v>
      </c>
      <c r="K93" s="49" t="s">
        <v>1097</v>
      </c>
      <c r="L93" s="49" t="s">
        <v>88</v>
      </c>
      <c r="M93" s="49">
        <v>2019</v>
      </c>
      <c r="N93" s="49">
        <v>0</v>
      </c>
      <c r="O93" s="49">
        <v>270.92</v>
      </c>
      <c r="P93" s="49"/>
    </row>
    <row r="94" spans="1:16" ht="11.25" customHeight="1" x14ac:dyDescent="0.25">
      <c r="A94" s="49">
        <v>93</v>
      </c>
      <c r="B94" s="49" t="s">
        <v>984</v>
      </c>
      <c r="C94" s="49" t="s">
        <v>22</v>
      </c>
      <c r="D94" s="49" t="s">
        <v>101</v>
      </c>
      <c r="E94" s="49" t="s">
        <v>24</v>
      </c>
      <c r="F94" s="49" t="s">
        <v>24</v>
      </c>
      <c r="G94" s="49" t="s">
        <v>25</v>
      </c>
      <c r="H94" s="49" t="s">
        <v>25</v>
      </c>
      <c r="I94" s="49" t="s">
        <v>25</v>
      </c>
      <c r="J94" s="49" t="s">
        <v>1098</v>
      </c>
      <c r="K94" s="49" t="s">
        <v>1097</v>
      </c>
      <c r="L94" s="49" t="s">
        <v>88</v>
      </c>
      <c r="M94" s="49">
        <v>2019</v>
      </c>
      <c r="N94" s="49">
        <v>0</v>
      </c>
      <c r="O94" s="49">
        <v>270.92</v>
      </c>
      <c r="P94" s="49"/>
    </row>
    <row r="95" spans="1:16" ht="11.25" customHeight="1" x14ac:dyDescent="0.25">
      <c r="A95" s="49">
        <v>94</v>
      </c>
      <c r="B95" s="49" t="s">
        <v>984</v>
      </c>
      <c r="C95" s="49" t="s">
        <v>22</v>
      </c>
      <c r="D95" s="49" t="s">
        <v>101</v>
      </c>
      <c r="E95" s="49" t="s">
        <v>24</v>
      </c>
      <c r="F95" s="49" t="s">
        <v>29</v>
      </c>
      <c r="G95" s="49" t="s">
        <v>25</v>
      </c>
      <c r="H95" s="49" t="s">
        <v>25</v>
      </c>
      <c r="I95" s="49" t="s">
        <v>25</v>
      </c>
      <c r="J95" s="49" t="s">
        <v>1098</v>
      </c>
      <c r="K95" s="49" t="s">
        <v>1097</v>
      </c>
      <c r="L95" s="49" t="s">
        <v>88</v>
      </c>
      <c r="M95" s="49">
        <v>2019</v>
      </c>
      <c r="N95" s="49">
        <v>0</v>
      </c>
      <c r="O95" s="49">
        <v>94.82</v>
      </c>
      <c r="P95" s="49"/>
    </row>
    <row r="96" spans="1:16" ht="11.25" customHeight="1" x14ac:dyDescent="0.25">
      <c r="A96" s="49">
        <v>95</v>
      </c>
      <c r="B96" s="49" t="s">
        <v>984</v>
      </c>
      <c r="C96" s="49" t="s">
        <v>22</v>
      </c>
      <c r="D96" s="49" t="s">
        <v>101</v>
      </c>
      <c r="E96" s="49" t="s">
        <v>24</v>
      </c>
      <c r="F96" s="49" t="s">
        <v>30</v>
      </c>
      <c r="G96" s="49" t="s">
        <v>25</v>
      </c>
      <c r="H96" s="49" t="s">
        <v>25</v>
      </c>
      <c r="I96" s="49" t="s">
        <v>25</v>
      </c>
      <c r="J96" s="49" t="s">
        <v>1098</v>
      </c>
      <c r="K96" s="49" t="s">
        <v>1097</v>
      </c>
      <c r="L96" s="49" t="s">
        <v>88</v>
      </c>
      <c r="M96" s="49">
        <v>2019</v>
      </c>
      <c r="N96" s="49">
        <v>0</v>
      </c>
      <c r="O96" s="49">
        <v>162.55000000000001</v>
      </c>
      <c r="P96" s="49"/>
    </row>
    <row r="97" spans="1:16" ht="11.25" customHeight="1" x14ac:dyDescent="0.25">
      <c r="A97" s="49">
        <v>96</v>
      </c>
      <c r="B97" s="49" t="s">
        <v>984</v>
      </c>
      <c r="C97" s="49" t="s">
        <v>22</v>
      </c>
      <c r="D97" s="49" t="s">
        <v>101</v>
      </c>
      <c r="E97" s="49" t="s">
        <v>24</v>
      </c>
      <c r="F97" s="49" t="s">
        <v>31</v>
      </c>
      <c r="G97" s="49" t="s">
        <v>25</v>
      </c>
      <c r="H97" s="49" t="s">
        <v>25</v>
      </c>
      <c r="I97" s="49" t="s">
        <v>25</v>
      </c>
      <c r="J97" s="49" t="s">
        <v>1098</v>
      </c>
      <c r="K97" s="49" t="s">
        <v>1097</v>
      </c>
      <c r="L97" s="49" t="s">
        <v>88</v>
      </c>
      <c r="M97" s="49">
        <v>2019</v>
      </c>
      <c r="N97" s="49">
        <v>0</v>
      </c>
      <c r="O97" s="49">
        <v>243.83</v>
      </c>
      <c r="P97" s="49"/>
    </row>
    <row r="98" spans="1:16" ht="11.25" customHeight="1" x14ac:dyDescent="0.25">
      <c r="A98" s="49">
        <v>97</v>
      </c>
      <c r="B98" s="49" t="s">
        <v>984</v>
      </c>
      <c r="C98" s="49" t="s">
        <v>22</v>
      </c>
      <c r="D98" s="49" t="s">
        <v>101</v>
      </c>
      <c r="E98" s="49" t="s">
        <v>24</v>
      </c>
      <c r="F98" s="49" t="s">
        <v>32</v>
      </c>
      <c r="G98" s="49" t="s">
        <v>25</v>
      </c>
      <c r="H98" s="49" t="s">
        <v>25</v>
      </c>
      <c r="I98" s="49" t="s">
        <v>25</v>
      </c>
      <c r="J98" s="49" t="s">
        <v>1098</v>
      </c>
      <c r="K98" s="49" t="s">
        <v>1097</v>
      </c>
      <c r="L98" s="49" t="s">
        <v>88</v>
      </c>
      <c r="M98" s="49">
        <v>2019</v>
      </c>
      <c r="N98" s="49">
        <v>0</v>
      </c>
      <c r="O98" s="49">
        <v>270.92</v>
      </c>
      <c r="P98" s="49"/>
    </row>
    <row r="99" spans="1:16" ht="11.25" customHeight="1" x14ac:dyDescent="0.25">
      <c r="A99" s="49">
        <v>98</v>
      </c>
      <c r="B99" s="49" t="s">
        <v>984</v>
      </c>
      <c r="C99" s="49" t="s">
        <v>46</v>
      </c>
      <c r="D99" s="49" t="s">
        <v>87</v>
      </c>
      <c r="E99" s="49" t="s">
        <v>47</v>
      </c>
      <c r="F99" s="49" t="s">
        <v>25</v>
      </c>
      <c r="G99" s="49" t="s">
        <v>25</v>
      </c>
      <c r="H99" s="49" t="s">
        <v>25</v>
      </c>
      <c r="I99" s="49" t="s">
        <v>35</v>
      </c>
      <c r="J99" s="49" t="s">
        <v>1098</v>
      </c>
      <c r="K99" s="49" t="s">
        <v>1097</v>
      </c>
      <c r="L99" s="49" t="s">
        <v>88</v>
      </c>
      <c r="M99" s="49">
        <v>2019</v>
      </c>
      <c r="N99" s="49">
        <v>0</v>
      </c>
      <c r="O99" s="49">
        <v>327.45999999999998</v>
      </c>
      <c r="P99" s="49"/>
    </row>
    <row r="100" spans="1:16" ht="11.25" customHeight="1" x14ac:dyDescent="0.25">
      <c r="A100" s="49">
        <v>99</v>
      </c>
      <c r="B100" s="49" t="s">
        <v>984</v>
      </c>
      <c r="C100" s="49" t="s">
        <v>46</v>
      </c>
      <c r="D100" s="49" t="s">
        <v>87</v>
      </c>
      <c r="E100" s="49" t="s">
        <v>47</v>
      </c>
      <c r="F100" s="49" t="s">
        <v>25</v>
      </c>
      <c r="G100" s="49" t="s">
        <v>25</v>
      </c>
      <c r="H100" s="49" t="s">
        <v>25</v>
      </c>
      <c r="I100" s="49" t="s">
        <v>38</v>
      </c>
      <c r="J100" s="49" t="s">
        <v>1098</v>
      </c>
      <c r="K100" s="49" t="s">
        <v>1097</v>
      </c>
      <c r="L100" s="49" t="s">
        <v>88</v>
      </c>
      <c r="M100" s="49">
        <v>2019</v>
      </c>
      <c r="N100" s="49">
        <v>0</v>
      </c>
      <c r="O100" s="49">
        <v>194.85</v>
      </c>
      <c r="P100" s="49"/>
    </row>
    <row r="101" spans="1:16" ht="11.25" customHeight="1" x14ac:dyDescent="0.25">
      <c r="A101" s="49">
        <v>100</v>
      </c>
      <c r="B101" s="49" t="s">
        <v>984</v>
      </c>
      <c r="C101" s="49" t="s">
        <v>46</v>
      </c>
      <c r="D101" s="49" t="s">
        <v>87</v>
      </c>
      <c r="E101" s="49" t="s">
        <v>47</v>
      </c>
      <c r="F101" s="49" t="s">
        <v>25</v>
      </c>
      <c r="G101" s="49" t="s">
        <v>25</v>
      </c>
      <c r="H101" s="49" t="s">
        <v>25</v>
      </c>
      <c r="I101" s="49" t="s">
        <v>36</v>
      </c>
      <c r="J101" s="49" t="s">
        <v>1098</v>
      </c>
      <c r="K101" s="49" t="s">
        <v>1097</v>
      </c>
      <c r="L101" s="49" t="s">
        <v>88</v>
      </c>
      <c r="M101" s="49">
        <v>2019</v>
      </c>
      <c r="N101" s="49">
        <v>0</v>
      </c>
      <c r="O101" s="49">
        <v>194.85</v>
      </c>
      <c r="P101" s="49"/>
    </row>
    <row r="102" spans="1:16" ht="11.25" customHeight="1" x14ac:dyDescent="0.25">
      <c r="A102" s="49">
        <v>101</v>
      </c>
      <c r="B102" s="49" t="s">
        <v>984</v>
      </c>
      <c r="C102" s="49" t="s">
        <v>46</v>
      </c>
      <c r="D102" s="49" t="s">
        <v>96</v>
      </c>
      <c r="E102" s="49" t="s">
        <v>47</v>
      </c>
      <c r="F102" s="49" t="s">
        <v>25</v>
      </c>
      <c r="G102" s="49" t="s">
        <v>25</v>
      </c>
      <c r="H102" s="49" t="s">
        <v>25</v>
      </c>
      <c r="I102" s="49" t="s">
        <v>25</v>
      </c>
      <c r="J102" s="49" t="s">
        <v>1098</v>
      </c>
      <c r="K102" s="49" t="s">
        <v>1097</v>
      </c>
      <c r="L102" s="49" t="s">
        <v>88</v>
      </c>
      <c r="M102" s="49">
        <v>2019</v>
      </c>
      <c r="N102" s="49">
        <v>0</v>
      </c>
      <c r="O102" s="49">
        <v>205.9</v>
      </c>
      <c r="P102" s="49"/>
    </row>
    <row r="103" spans="1:16" ht="11.25" customHeight="1" x14ac:dyDescent="0.25">
      <c r="A103" s="49">
        <v>102</v>
      </c>
      <c r="B103" s="49" t="s">
        <v>984</v>
      </c>
      <c r="C103" s="49" t="s">
        <v>46</v>
      </c>
      <c r="D103" s="49" t="s">
        <v>87</v>
      </c>
      <c r="E103" s="49" t="s">
        <v>47</v>
      </c>
      <c r="F103" s="49" t="s">
        <v>103</v>
      </c>
      <c r="G103" s="49" t="s">
        <v>25</v>
      </c>
      <c r="H103" s="49" t="s">
        <v>25</v>
      </c>
      <c r="I103" s="49" t="s">
        <v>35</v>
      </c>
      <c r="J103" s="49" t="s">
        <v>1098</v>
      </c>
      <c r="K103" s="49" t="s">
        <v>1097</v>
      </c>
      <c r="L103" s="49" t="s">
        <v>88</v>
      </c>
      <c r="M103" s="49">
        <v>2019</v>
      </c>
      <c r="N103" s="49">
        <v>0</v>
      </c>
      <c r="O103" s="49">
        <v>327.45999999999998</v>
      </c>
      <c r="P103" s="49"/>
    </row>
    <row r="104" spans="1:16" ht="11.25" customHeight="1" x14ac:dyDescent="0.25">
      <c r="A104" s="49">
        <v>103</v>
      </c>
      <c r="B104" s="49" t="s">
        <v>984</v>
      </c>
      <c r="C104" s="49" t="s">
        <v>46</v>
      </c>
      <c r="D104" s="49" t="s">
        <v>87</v>
      </c>
      <c r="E104" s="49" t="s">
        <v>47</v>
      </c>
      <c r="F104" s="49" t="s">
        <v>103</v>
      </c>
      <c r="G104" s="49" t="s">
        <v>25</v>
      </c>
      <c r="H104" s="49" t="s">
        <v>25</v>
      </c>
      <c r="I104" s="49" t="s">
        <v>38</v>
      </c>
      <c r="J104" s="49" t="s">
        <v>1098</v>
      </c>
      <c r="K104" s="49" t="s">
        <v>1097</v>
      </c>
      <c r="L104" s="49" t="s">
        <v>88</v>
      </c>
      <c r="M104" s="49">
        <v>2019</v>
      </c>
      <c r="N104" s="49">
        <v>0</v>
      </c>
      <c r="O104" s="49">
        <v>194.85</v>
      </c>
      <c r="P104" s="49"/>
    </row>
    <row r="105" spans="1:16" ht="11.25" customHeight="1" x14ac:dyDescent="0.25">
      <c r="A105" s="49">
        <v>104</v>
      </c>
      <c r="B105" s="49" t="s">
        <v>984</v>
      </c>
      <c r="C105" s="49" t="s">
        <v>46</v>
      </c>
      <c r="D105" s="49" t="s">
        <v>87</v>
      </c>
      <c r="E105" s="49" t="s">
        <v>47</v>
      </c>
      <c r="F105" s="49" t="s">
        <v>103</v>
      </c>
      <c r="G105" s="49" t="s">
        <v>25</v>
      </c>
      <c r="H105" s="49" t="s">
        <v>25</v>
      </c>
      <c r="I105" s="49" t="s">
        <v>36</v>
      </c>
      <c r="J105" s="49" t="s">
        <v>1098</v>
      </c>
      <c r="K105" s="49" t="s">
        <v>1097</v>
      </c>
      <c r="L105" s="49" t="s">
        <v>88</v>
      </c>
      <c r="M105" s="49">
        <v>2019</v>
      </c>
      <c r="N105" s="49">
        <v>0</v>
      </c>
      <c r="O105" s="49">
        <v>194.85</v>
      </c>
      <c r="P105" s="49"/>
    </row>
    <row r="106" spans="1:16" ht="11.25" customHeight="1" x14ac:dyDescent="0.25">
      <c r="A106" s="49">
        <v>105</v>
      </c>
      <c r="B106" s="49" t="s">
        <v>984</v>
      </c>
      <c r="C106" s="49" t="s">
        <v>46</v>
      </c>
      <c r="D106" s="49" t="s">
        <v>96</v>
      </c>
      <c r="E106" s="49" t="s">
        <v>47</v>
      </c>
      <c r="F106" s="49" t="s">
        <v>103</v>
      </c>
      <c r="G106" s="49" t="s">
        <v>25</v>
      </c>
      <c r="H106" s="49" t="s">
        <v>25</v>
      </c>
      <c r="I106" s="49" t="s">
        <v>25</v>
      </c>
      <c r="J106" s="49" t="s">
        <v>1098</v>
      </c>
      <c r="K106" s="49" t="s">
        <v>1097</v>
      </c>
      <c r="L106" s="49" t="s">
        <v>88</v>
      </c>
      <c r="M106" s="49">
        <v>2019</v>
      </c>
      <c r="N106" s="49">
        <v>0</v>
      </c>
      <c r="O106" s="49">
        <v>205.9</v>
      </c>
      <c r="P106" s="49"/>
    </row>
    <row r="107" spans="1:16" ht="11.25" customHeight="1" x14ac:dyDescent="0.25">
      <c r="A107" s="49">
        <v>106</v>
      </c>
      <c r="B107" s="49" t="s">
        <v>984</v>
      </c>
      <c r="C107" s="49" t="s">
        <v>46</v>
      </c>
      <c r="D107" s="49" t="s">
        <v>87</v>
      </c>
      <c r="E107" s="49" t="s">
        <v>47</v>
      </c>
      <c r="F107" s="49" t="s">
        <v>104</v>
      </c>
      <c r="G107" s="49" t="s">
        <v>25</v>
      </c>
      <c r="H107" s="49" t="s">
        <v>25</v>
      </c>
      <c r="I107" s="49" t="s">
        <v>35</v>
      </c>
      <c r="J107" s="49" t="s">
        <v>1098</v>
      </c>
      <c r="K107" s="49" t="s">
        <v>1097</v>
      </c>
      <c r="L107" s="49" t="s">
        <v>88</v>
      </c>
      <c r="M107" s="49">
        <v>2019</v>
      </c>
      <c r="N107" s="49">
        <v>0</v>
      </c>
      <c r="O107" s="49">
        <v>292.99</v>
      </c>
      <c r="P107" s="49"/>
    </row>
    <row r="108" spans="1:16" ht="11.25" customHeight="1" x14ac:dyDescent="0.25">
      <c r="A108" s="49">
        <v>107</v>
      </c>
      <c r="B108" s="49" t="s">
        <v>984</v>
      </c>
      <c r="C108" s="49" t="s">
        <v>46</v>
      </c>
      <c r="D108" s="49" t="s">
        <v>87</v>
      </c>
      <c r="E108" s="49" t="s">
        <v>47</v>
      </c>
      <c r="F108" s="49" t="s">
        <v>104</v>
      </c>
      <c r="G108" s="49" t="s">
        <v>25</v>
      </c>
      <c r="H108" s="49" t="s">
        <v>25</v>
      </c>
      <c r="I108" s="49" t="s">
        <v>38</v>
      </c>
      <c r="J108" s="49" t="s">
        <v>1098</v>
      </c>
      <c r="K108" s="49" t="s">
        <v>1097</v>
      </c>
      <c r="L108" s="49" t="s">
        <v>88</v>
      </c>
      <c r="M108" s="49">
        <v>2019</v>
      </c>
      <c r="N108" s="49">
        <v>0</v>
      </c>
      <c r="O108" s="49">
        <v>174.34</v>
      </c>
      <c r="P108" s="49"/>
    </row>
    <row r="109" spans="1:16" ht="11.25" customHeight="1" x14ac:dyDescent="0.25">
      <c r="A109" s="49">
        <v>108</v>
      </c>
      <c r="B109" s="49" t="s">
        <v>984</v>
      </c>
      <c r="C109" s="49" t="s">
        <v>46</v>
      </c>
      <c r="D109" s="49" t="s">
        <v>87</v>
      </c>
      <c r="E109" s="49" t="s">
        <v>47</v>
      </c>
      <c r="F109" s="49" t="s">
        <v>104</v>
      </c>
      <c r="G109" s="49" t="s">
        <v>25</v>
      </c>
      <c r="H109" s="49" t="s">
        <v>25</v>
      </c>
      <c r="I109" s="49" t="s">
        <v>36</v>
      </c>
      <c r="J109" s="49" t="s">
        <v>1098</v>
      </c>
      <c r="K109" s="49" t="s">
        <v>1097</v>
      </c>
      <c r="L109" s="49" t="s">
        <v>88</v>
      </c>
      <c r="M109" s="49">
        <v>2019</v>
      </c>
      <c r="N109" s="49">
        <v>0</v>
      </c>
      <c r="O109" s="49">
        <v>174.34</v>
      </c>
      <c r="P109" s="49"/>
    </row>
    <row r="110" spans="1:16" ht="11.25" customHeight="1" x14ac:dyDescent="0.25">
      <c r="A110" s="49">
        <v>109</v>
      </c>
      <c r="B110" s="49" t="s">
        <v>984</v>
      </c>
      <c r="C110" s="49" t="s">
        <v>46</v>
      </c>
      <c r="D110" s="49" t="s">
        <v>96</v>
      </c>
      <c r="E110" s="49" t="s">
        <v>47</v>
      </c>
      <c r="F110" s="49" t="s">
        <v>104</v>
      </c>
      <c r="G110" s="49" t="s">
        <v>25</v>
      </c>
      <c r="H110" s="49" t="s">
        <v>25</v>
      </c>
      <c r="I110" s="49" t="s">
        <v>25</v>
      </c>
      <c r="J110" s="49" t="s">
        <v>1098</v>
      </c>
      <c r="K110" s="49" t="s">
        <v>1097</v>
      </c>
      <c r="L110" s="49" t="s">
        <v>88</v>
      </c>
      <c r="M110" s="49">
        <v>2019</v>
      </c>
      <c r="N110" s="49">
        <v>0</v>
      </c>
      <c r="O110" s="49">
        <v>184.23</v>
      </c>
      <c r="P110" s="49"/>
    </row>
    <row r="111" spans="1:16" ht="11.25" customHeight="1" x14ac:dyDescent="0.25">
      <c r="A111" s="49">
        <v>110</v>
      </c>
      <c r="B111" s="49" t="s">
        <v>984</v>
      </c>
      <c r="C111" s="49" t="s">
        <v>46</v>
      </c>
      <c r="D111" s="49" t="s">
        <v>101</v>
      </c>
      <c r="E111" s="49" t="s">
        <v>47</v>
      </c>
      <c r="F111" s="49" t="s">
        <v>25</v>
      </c>
      <c r="G111" s="49" t="s">
        <v>25</v>
      </c>
      <c r="H111" s="49" t="s">
        <v>25</v>
      </c>
      <c r="I111" s="49" t="s">
        <v>25</v>
      </c>
      <c r="J111" s="49" t="s">
        <v>1098</v>
      </c>
      <c r="K111" s="49" t="s">
        <v>1097</v>
      </c>
      <c r="L111" s="49" t="s">
        <v>88</v>
      </c>
      <c r="M111" s="49">
        <v>2019</v>
      </c>
      <c r="N111" s="49">
        <v>0</v>
      </c>
      <c r="O111" s="49">
        <v>205.9</v>
      </c>
      <c r="P111" s="49"/>
    </row>
    <row r="112" spans="1:16" ht="11.25" customHeight="1" x14ac:dyDescent="0.25">
      <c r="A112" s="49">
        <v>111</v>
      </c>
      <c r="B112" s="49" t="s">
        <v>984</v>
      </c>
      <c r="C112" s="49" t="s">
        <v>46</v>
      </c>
      <c r="D112" s="49" t="s">
        <v>101</v>
      </c>
      <c r="E112" s="49" t="s">
        <v>47</v>
      </c>
      <c r="F112" s="49" t="s">
        <v>103</v>
      </c>
      <c r="G112" s="49" t="s">
        <v>25</v>
      </c>
      <c r="H112" s="49" t="s">
        <v>25</v>
      </c>
      <c r="I112" s="49" t="s">
        <v>25</v>
      </c>
      <c r="J112" s="49" t="s">
        <v>1098</v>
      </c>
      <c r="K112" s="49" t="s">
        <v>1097</v>
      </c>
      <c r="L112" s="49" t="s">
        <v>88</v>
      </c>
      <c r="M112" s="49">
        <v>2019</v>
      </c>
      <c r="N112" s="49">
        <v>0</v>
      </c>
      <c r="O112" s="49">
        <v>205.9</v>
      </c>
      <c r="P112" s="49"/>
    </row>
    <row r="113" spans="1:16" ht="11.25" customHeight="1" x14ac:dyDescent="0.25">
      <c r="A113" s="49">
        <v>112</v>
      </c>
      <c r="B113" s="49" t="s">
        <v>984</v>
      </c>
      <c r="C113" s="49" t="s">
        <v>46</v>
      </c>
      <c r="D113" s="49" t="s">
        <v>101</v>
      </c>
      <c r="E113" s="49" t="s">
        <v>47</v>
      </c>
      <c r="F113" s="49" t="s">
        <v>104</v>
      </c>
      <c r="G113" s="49" t="s">
        <v>25</v>
      </c>
      <c r="H113" s="49" t="s">
        <v>25</v>
      </c>
      <c r="I113" s="49" t="s">
        <v>25</v>
      </c>
      <c r="J113" s="49" t="s">
        <v>1098</v>
      </c>
      <c r="K113" s="49" t="s">
        <v>1097</v>
      </c>
      <c r="L113" s="49" t="s">
        <v>88</v>
      </c>
      <c r="M113" s="49">
        <v>2019</v>
      </c>
      <c r="N113" s="49">
        <v>0</v>
      </c>
      <c r="O113" s="49">
        <v>184.23</v>
      </c>
      <c r="P113" s="49"/>
    </row>
    <row r="114" spans="1:16" ht="11.25" customHeight="1" x14ac:dyDescent="0.25">
      <c r="A114" s="49">
        <v>113</v>
      </c>
      <c r="B114" s="49" t="s">
        <v>984</v>
      </c>
      <c r="C114" s="49" t="s">
        <v>39</v>
      </c>
      <c r="D114" s="49" t="s">
        <v>87</v>
      </c>
      <c r="E114" s="49" t="s">
        <v>25</v>
      </c>
      <c r="F114" s="49" t="s">
        <v>25</v>
      </c>
      <c r="G114" s="49" t="s">
        <v>25</v>
      </c>
      <c r="H114" s="49" t="s">
        <v>25</v>
      </c>
      <c r="I114" s="49" t="s">
        <v>35</v>
      </c>
      <c r="J114" s="49" t="s">
        <v>1098</v>
      </c>
      <c r="K114" s="49" t="s">
        <v>1097</v>
      </c>
      <c r="L114" s="49" t="s">
        <v>88</v>
      </c>
      <c r="M114" s="49">
        <v>2019</v>
      </c>
      <c r="N114" s="49">
        <v>0</v>
      </c>
      <c r="O114" s="49">
        <v>430.87</v>
      </c>
      <c r="P114" s="49"/>
    </row>
    <row r="115" spans="1:16" ht="11.25" customHeight="1" x14ac:dyDescent="0.25">
      <c r="A115" s="49">
        <v>114</v>
      </c>
      <c r="B115" s="49" t="s">
        <v>984</v>
      </c>
      <c r="C115" s="49" t="s">
        <v>39</v>
      </c>
      <c r="D115" s="49" t="s">
        <v>87</v>
      </c>
      <c r="E115" s="49" t="s">
        <v>25</v>
      </c>
      <c r="F115" s="49" t="s">
        <v>25</v>
      </c>
      <c r="G115" s="49" t="s">
        <v>25</v>
      </c>
      <c r="H115" s="49" t="s">
        <v>25</v>
      </c>
      <c r="I115" s="49" t="s">
        <v>38</v>
      </c>
      <c r="J115" s="49" t="s">
        <v>1098</v>
      </c>
      <c r="K115" s="49" t="s">
        <v>1097</v>
      </c>
      <c r="L115" s="49" t="s">
        <v>88</v>
      </c>
      <c r="M115" s="49">
        <v>2019</v>
      </c>
      <c r="N115" s="49">
        <v>0</v>
      </c>
      <c r="O115" s="49">
        <v>256.38</v>
      </c>
      <c r="P115" s="49"/>
    </row>
    <row r="116" spans="1:16" ht="11.25" customHeight="1" x14ac:dyDescent="0.25">
      <c r="A116" s="49">
        <v>115</v>
      </c>
      <c r="B116" s="49" t="s">
        <v>984</v>
      </c>
      <c r="C116" s="49" t="s">
        <v>39</v>
      </c>
      <c r="D116" s="49" t="s">
        <v>87</v>
      </c>
      <c r="E116" s="49" t="s">
        <v>25</v>
      </c>
      <c r="F116" s="49" t="s">
        <v>25</v>
      </c>
      <c r="G116" s="49" t="s">
        <v>25</v>
      </c>
      <c r="H116" s="49" t="s">
        <v>25</v>
      </c>
      <c r="I116" s="49" t="s">
        <v>36</v>
      </c>
      <c r="J116" s="49" t="s">
        <v>1098</v>
      </c>
      <c r="K116" s="49" t="s">
        <v>1097</v>
      </c>
      <c r="L116" s="49" t="s">
        <v>88</v>
      </c>
      <c r="M116" s="49">
        <v>2019</v>
      </c>
      <c r="N116" s="49">
        <v>0</v>
      </c>
      <c r="O116" s="49">
        <v>256.38</v>
      </c>
      <c r="P116" s="49"/>
    </row>
    <row r="117" spans="1:16" ht="11.25" customHeight="1" x14ac:dyDescent="0.25">
      <c r="A117" s="49">
        <v>116</v>
      </c>
      <c r="B117" s="49" t="s">
        <v>984</v>
      </c>
      <c r="C117" s="49" t="s">
        <v>39</v>
      </c>
      <c r="D117" s="49" t="s">
        <v>96</v>
      </c>
      <c r="E117" s="49" t="s">
        <v>25</v>
      </c>
      <c r="F117" s="49" t="s">
        <v>25</v>
      </c>
      <c r="G117" s="49" t="s">
        <v>25</v>
      </c>
      <c r="H117" s="49" t="s">
        <v>25</v>
      </c>
      <c r="I117" s="49" t="s">
        <v>25</v>
      </c>
      <c r="J117" s="49" t="s">
        <v>1098</v>
      </c>
      <c r="K117" s="49" t="s">
        <v>1097</v>
      </c>
      <c r="L117" s="49" t="s">
        <v>88</v>
      </c>
      <c r="M117" s="49">
        <v>2019</v>
      </c>
      <c r="N117" s="49">
        <v>0</v>
      </c>
      <c r="O117" s="49">
        <v>270.92</v>
      </c>
      <c r="P117" s="49"/>
    </row>
    <row r="118" spans="1:16" ht="11.25" customHeight="1" x14ac:dyDescent="0.25">
      <c r="A118" s="49">
        <v>117</v>
      </c>
      <c r="B118" s="49" t="s">
        <v>984</v>
      </c>
      <c r="C118" s="49" t="s">
        <v>39</v>
      </c>
      <c r="D118" s="49" t="s">
        <v>101</v>
      </c>
      <c r="E118" s="49" t="s">
        <v>25</v>
      </c>
      <c r="F118" s="49" t="s">
        <v>25</v>
      </c>
      <c r="G118" s="49" t="s">
        <v>25</v>
      </c>
      <c r="H118" s="49" t="s">
        <v>25</v>
      </c>
      <c r="I118" s="49" t="s">
        <v>25</v>
      </c>
      <c r="J118" s="49" t="s">
        <v>1098</v>
      </c>
      <c r="K118" s="49" t="s">
        <v>1097</v>
      </c>
      <c r="L118" s="49" t="s">
        <v>88</v>
      </c>
      <c r="M118" s="49">
        <v>2019</v>
      </c>
      <c r="N118" s="49">
        <v>0</v>
      </c>
      <c r="O118" s="49">
        <v>270.92</v>
      </c>
      <c r="P118" s="49"/>
    </row>
    <row r="119" spans="1:16" ht="11.25" customHeight="1" x14ac:dyDescent="0.25">
      <c r="A119" s="49">
        <v>118</v>
      </c>
      <c r="B119" s="49" t="s">
        <v>984</v>
      </c>
      <c r="C119" s="49" t="s">
        <v>49</v>
      </c>
      <c r="D119" s="49" t="s">
        <v>96</v>
      </c>
      <c r="E119" s="49" t="s">
        <v>50</v>
      </c>
      <c r="F119" s="49" t="s">
        <v>51</v>
      </c>
      <c r="G119" s="49" t="s">
        <v>25</v>
      </c>
      <c r="H119" s="49" t="s">
        <v>25</v>
      </c>
      <c r="I119" s="49" t="s">
        <v>25</v>
      </c>
      <c r="J119" s="49" t="s">
        <v>1098</v>
      </c>
      <c r="K119" s="49" t="s">
        <v>1097</v>
      </c>
      <c r="L119" s="49" t="s">
        <v>88</v>
      </c>
      <c r="M119" s="49">
        <v>2019</v>
      </c>
      <c r="N119" s="49">
        <v>0</v>
      </c>
      <c r="O119" s="49">
        <v>149.01</v>
      </c>
      <c r="P119" s="49"/>
    </row>
    <row r="120" spans="1:16" ht="11.25" customHeight="1" x14ac:dyDescent="0.25">
      <c r="A120" s="49">
        <v>119</v>
      </c>
      <c r="B120" s="49" t="s">
        <v>984</v>
      </c>
      <c r="C120" s="49" t="s">
        <v>49</v>
      </c>
      <c r="D120" s="49" t="s">
        <v>96</v>
      </c>
      <c r="E120" s="49" t="s">
        <v>50</v>
      </c>
      <c r="F120" s="49" t="s">
        <v>105</v>
      </c>
      <c r="G120" s="49" t="s">
        <v>25</v>
      </c>
      <c r="H120" s="49" t="s">
        <v>25</v>
      </c>
      <c r="I120" s="49" t="s">
        <v>25</v>
      </c>
      <c r="J120" s="49" t="s">
        <v>1098</v>
      </c>
      <c r="K120" s="49" t="s">
        <v>1097</v>
      </c>
      <c r="L120" s="49" t="s">
        <v>88</v>
      </c>
      <c r="M120" s="49">
        <v>2019</v>
      </c>
      <c r="N120" s="49">
        <v>0</v>
      </c>
      <c r="O120" s="49">
        <v>162.55000000000001</v>
      </c>
      <c r="P120" s="49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3BD0F-FAC6-4B90-A885-8C170EE4EC5D}">
  <dimension ref="A1:AD84"/>
  <sheetViews>
    <sheetView showGridLines="0" workbookViewId="0">
      <selection sqref="A1:W84"/>
    </sheetView>
  </sheetViews>
  <sheetFormatPr defaultColWidth="8.85546875" defaultRowHeight="11.25" customHeight="1" x14ac:dyDescent="0.25"/>
  <cols>
    <col min="1" max="1" width="9" style="9" bestFit="1" customWidth="1"/>
    <col min="2" max="2" width="19.42578125" style="9" bestFit="1" customWidth="1"/>
    <col min="3" max="3" width="12.7109375" style="9" bestFit="1" customWidth="1"/>
    <col min="4" max="4" width="23.140625" style="9" bestFit="1" customWidth="1"/>
    <col min="5" max="5" width="9.5703125" style="9" bestFit="1" customWidth="1"/>
    <col min="6" max="6" width="13.42578125" style="9" bestFit="1" customWidth="1"/>
    <col min="7" max="7" width="5.85546875" style="9" bestFit="1" customWidth="1"/>
    <col min="8" max="8" width="7.140625" style="9" bestFit="1" customWidth="1"/>
    <col min="9" max="20" width="7.85546875" style="9" bestFit="1" customWidth="1"/>
    <col min="21" max="21" width="13" style="9" bestFit="1" customWidth="1"/>
    <col min="22" max="16384" width="8.85546875" style="9"/>
  </cols>
  <sheetData>
    <row r="1" spans="1:30" ht="11.25" customHeight="1" x14ac:dyDescent="0.25">
      <c r="A1" s="10" t="s">
        <v>78</v>
      </c>
      <c r="B1" s="10" t="s">
        <v>79</v>
      </c>
      <c r="C1" s="10" t="s">
        <v>80</v>
      </c>
      <c r="D1" s="10" t="s">
        <v>81</v>
      </c>
      <c r="E1" s="10" t="s">
        <v>82</v>
      </c>
      <c r="F1" s="10" t="s">
        <v>83</v>
      </c>
      <c r="G1" s="10" t="s">
        <v>84</v>
      </c>
      <c r="H1" s="10" t="s">
        <v>85</v>
      </c>
      <c r="I1" s="11">
        <v>43739</v>
      </c>
      <c r="J1" s="11">
        <v>43770</v>
      </c>
      <c r="K1" s="11">
        <v>43800</v>
      </c>
      <c r="L1" s="11">
        <v>43831</v>
      </c>
      <c r="M1" s="11">
        <v>43862</v>
      </c>
      <c r="N1" s="11">
        <v>43891</v>
      </c>
      <c r="O1" s="11">
        <v>43922</v>
      </c>
      <c r="P1" s="11">
        <v>43952</v>
      </c>
      <c r="Q1" s="11">
        <v>43983</v>
      </c>
      <c r="R1" s="11">
        <v>44013</v>
      </c>
      <c r="S1" s="11">
        <v>44044</v>
      </c>
      <c r="T1" s="11">
        <v>44075</v>
      </c>
      <c r="U1" s="10" t="s">
        <v>86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25">
      <c r="A2" s="104" t="s">
        <v>43</v>
      </c>
      <c r="B2" s="104" t="s">
        <v>41</v>
      </c>
      <c r="C2" s="104" t="s">
        <v>25</v>
      </c>
      <c r="D2" s="104" t="s">
        <v>25</v>
      </c>
      <c r="E2" s="104" t="s">
        <v>25</v>
      </c>
      <c r="F2" s="104" t="s">
        <v>25</v>
      </c>
      <c r="G2" s="12" t="s">
        <v>92</v>
      </c>
      <c r="H2" s="12" t="s">
        <v>91</v>
      </c>
      <c r="I2" s="12">
        <f>SUMIF(Mercado_Receita!$S$2:$S$2285,"43739A2AzulNão se aplicaNão se aplicaNão se aplicaNão se aplicaPonta",Mercado_Receita!$J$2:$J$2285)+SUMIF(Mercado_Receita!$S$2:$S$2285,"43739A2AzulNão se aplicaNão se aplicaAPENão se aplicaPonta",Mercado_Receita!$J$2:$J$2285)+SUMIF(Mercado_Receita!$S$2:$S$2285,"43739A2ConvencionalNão se aplicaNão se aplicaNão se aplicaNão se aplicaNão se aplica",Mercado_Receita!$J$2:$J$2285)*0.72</f>
        <v>35440</v>
      </c>
      <c r="J2" s="12">
        <f>SUMIF(Mercado_Receita!$S$2:$S$2285,"43770A2AzulNão se aplicaNão se aplicaNão se aplicaNão se aplicaPonta",Mercado_Receita!$J$2:$J$2285)+SUMIF(Mercado_Receita!$S$2:$S$2285,"43770A2AzulNão se aplicaNão se aplicaAPENão se aplicaPonta",Mercado_Receita!$J$2:$J$2285)+SUMIF(Mercado_Receita!$S$2:$S$2285,"43770A2ConvencionalNão se aplicaNão se aplicaNão se aplicaNão se aplicaNão se aplica",Mercado_Receita!$J$2:$J$2285)*0.72</f>
        <v>35411</v>
      </c>
      <c r="K2" s="12">
        <f>SUMIF(Mercado_Receita!$S$2:$S$2285,"43800A2AzulNão se aplicaNão se aplicaNão se aplicaNão se aplicaPonta",Mercado_Receita!$J$2:$J$2285)+SUMIF(Mercado_Receita!$S$2:$S$2285,"43800A2AzulNão se aplicaNão se aplicaAPENão se aplicaPonta",Mercado_Receita!$J$2:$J$2285)+SUMIF(Mercado_Receita!$S$2:$S$2285,"43800A2ConvencionalNão se aplicaNão se aplicaNão se aplicaNão se aplicaNão se aplica",Mercado_Receita!$J$2:$J$2285)*0.72</f>
        <v>35440</v>
      </c>
      <c r="L2" s="12">
        <f>SUMIF(Mercado_Receita!$S$2:$S$2285,"43831A2AzulNão se aplicaNão se aplicaNão se aplicaNão se aplicaPonta",Mercado_Receita!$J$2:$J$2285)+SUMIF(Mercado_Receita!$S$2:$S$2285,"43831A2AzulNão se aplicaNão se aplicaAPENão se aplicaPonta",Mercado_Receita!$J$2:$J$2285)+SUMIF(Mercado_Receita!$S$2:$S$2285,"43831A2ConvencionalNão se aplicaNão se aplicaNão se aplicaNão se aplicaNão se aplica",Mercado_Receita!$J$2:$J$2285)*0.72</f>
        <v>35440</v>
      </c>
      <c r="M2" s="12">
        <f>SUMIF(Mercado_Receita!$S$2:$S$2285,"43862A2AzulNão se aplicaNão se aplicaNão se aplicaNão se aplicaPonta",Mercado_Receita!$J$2:$J$2285)+SUMIF(Mercado_Receita!$S$2:$S$2285,"43862A2AzulNão se aplicaNão se aplicaAPENão se aplicaPonta",Mercado_Receita!$J$2:$J$2285)+SUMIF(Mercado_Receita!$S$2:$S$2285,"43862A2ConvencionalNão se aplicaNão se aplicaNão se aplicaNão se aplicaNão se aplica",Mercado_Receita!$J$2:$J$2285)*0.72</f>
        <v>35411</v>
      </c>
      <c r="N2" s="12">
        <f>SUMIF(Mercado_Receita!$S$2:$S$2285,"43891A2AzulNão se aplicaNão se aplicaNão se aplicaNão se aplicaPonta",Mercado_Receita!$J$2:$J$2285)+SUMIF(Mercado_Receita!$S$2:$S$2285,"43891A2AzulNão se aplicaNão se aplicaAPENão se aplicaPonta",Mercado_Receita!$J$2:$J$2285)+SUMIF(Mercado_Receita!$S$2:$S$2285,"43891A2ConvencionalNão se aplicaNão se aplicaNão se aplicaNão se aplicaNão se aplica",Mercado_Receita!$J$2:$J$2285)*0.72</f>
        <v>35411</v>
      </c>
      <c r="O2" s="12">
        <f>SUMIF(Mercado_Receita!$S$2:$S$2285,"43922A2AzulNão se aplicaNão se aplicaNão se aplicaNão se aplicaPonta",Mercado_Receita!$J$2:$J$2285)+SUMIF(Mercado_Receita!$S$2:$S$2285,"43922A2AzulNão se aplicaNão se aplicaAPENão se aplicaPonta",Mercado_Receita!$J$2:$J$2285)+SUMIF(Mercado_Receita!$S$2:$S$2285,"43922A2ConvencionalNão se aplicaNão se aplicaNão se aplicaNão se aplicaNão se aplica",Mercado_Receita!$J$2:$J$2285)*0.72</f>
        <v>35411</v>
      </c>
      <c r="P2" s="12">
        <f>SUMIF(Mercado_Receita!$S$2:$S$2285,"43952A2AzulNão se aplicaNão se aplicaNão se aplicaNão se aplicaPonta",Mercado_Receita!$J$2:$J$2285)+SUMIF(Mercado_Receita!$S$2:$S$2285,"43952A2AzulNão se aplicaNão se aplicaAPENão se aplicaPonta",Mercado_Receita!$J$2:$J$2285)+SUMIF(Mercado_Receita!$S$2:$S$2285,"43952A2ConvencionalNão se aplicaNão se aplicaNão se aplicaNão se aplicaNão se aplica",Mercado_Receita!$J$2:$J$2285)*0.72</f>
        <v>35411</v>
      </c>
      <c r="Q2" s="12">
        <f>SUMIF(Mercado_Receita!$S$2:$S$2285,"43983A2AzulNão se aplicaNão se aplicaNão se aplicaNão se aplicaPonta",Mercado_Receita!$J$2:$J$2285)+SUMIF(Mercado_Receita!$S$2:$S$2285,"43983A2AzulNão se aplicaNão se aplicaAPENão se aplicaPonta",Mercado_Receita!$J$2:$J$2285)+SUMIF(Mercado_Receita!$S$2:$S$2285,"43983A2ConvencionalNão se aplicaNão se aplicaNão se aplicaNão se aplicaNão se aplica",Mercado_Receita!$J$2:$J$2285)*0.72</f>
        <v>35405</v>
      </c>
      <c r="R2" s="12">
        <f>SUMIF(Mercado_Receita!$S$2:$S$2285,"44013A2AzulNão se aplicaNão se aplicaNão se aplicaNão se aplicaPonta",Mercado_Receita!$J$2:$J$2285)+SUMIF(Mercado_Receita!$S$2:$S$2285,"44013A2AzulNão se aplicaNão se aplicaAPENão se aplicaPonta",Mercado_Receita!$J$2:$J$2285)+SUMIF(Mercado_Receita!$S$2:$S$2285,"44013A2ConvencionalNão se aplicaNão se aplicaNão se aplicaNão se aplicaNão se aplica",Mercado_Receita!$J$2:$J$2285)*0.72</f>
        <v>35411</v>
      </c>
      <c r="S2" s="12">
        <f>SUMIF(Mercado_Receita!$S$2:$S$2285,"44044A2AzulNão se aplicaNão se aplicaNão se aplicaNão se aplicaPonta",Mercado_Receita!$J$2:$J$2285)+SUMIF(Mercado_Receita!$S$2:$S$2285,"44044A2AzulNão se aplicaNão se aplicaAPENão se aplicaPonta",Mercado_Receita!$J$2:$J$2285)+SUMIF(Mercado_Receita!$S$2:$S$2285,"44044A2ConvencionalNão se aplicaNão se aplicaNão se aplicaNão se aplicaNão se aplica",Mercado_Receita!$J$2:$J$2285)*0.72</f>
        <v>35411</v>
      </c>
      <c r="T2" s="12">
        <f>SUMIF(Mercado_Receita!$S$2:$S$2285,"44075A2AzulNão se aplicaNão se aplicaNão se aplicaNão se aplicaPonta",Mercado_Receita!$J$2:$J$2285)+SUMIF(Mercado_Receita!$S$2:$S$2285,"44075A2AzulNão se aplicaNão se aplicaAPENão se aplicaPonta",Mercado_Receita!$J$2:$J$2285)+SUMIF(Mercado_Receita!$S$2:$S$2285,"44075A2ConvencionalNão se aplicaNão se aplicaNão se aplicaNão se aplicaNão se aplica",Mercado_Receita!$J$2:$J$2285)*0.72</f>
        <v>35411</v>
      </c>
      <c r="U2" s="12">
        <f t="shared" ref="U2:U33" si="0">SUM(I2:T2)</f>
        <v>425013</v>
      </c>
      <c r="V2" s="12"/>
      <c r="W2" s="12"/>
    </row>
    <row r="3" spans="1:30" ht="11.25" customHeight="1" x14ac:dyDescent="0.25">
      <c r="A3" s="105"/>
      <c r="B3" s="105"/>
      <c r="C3" s="105"/>
      <c r="D3" s="105"/>
      <c r="E3" s="105"/>
      <c r="F3" s="105"/>
      <c r="G3" s="12" t="s">
        <v>93</v>
      </c>
      <c r="H3" s="12" t="s">
        <v>91</v>
      </c>
      <c r="I3" s="12">
        <f>SUMIF(Mercado_Receita!$S$2:$S$2285,"43739A2AzulNão se aplicaNão se aplicaNão se aplicaNão se aplicaFora ponta",Mercado_Receita!$J$2:$J$2285)+SUMIF(Mercado_Receita!$S$2:$S$2285,"43739A2AzulNão se aplicaNão se aplicaAPENão se aplicaFora ponta",Mercado_Receita!$J$2:$J$2285)+SUMIF(Mercado_Receita!$S$2:$S$2285,"43739A2ConvencionalNão se aplicaNão se aplicaNão se aplicaNão se aplicaNão se aplica",Mercado_Receita!$J$2:$J$2285)*1</f>
        <v>92200</v>
      </c>
      <c r="J3" s="12">
        <f>SUMIF(Mercado_Receita!$S$2:$S$2285,"43770A2AzulNão se aplicaNão se aplicaNão se aplicaNão se aplicaFora ponta",Mercado_Receita!$J$2:$J$2285)+SUMIF(Mercado_Receita!$S$2:$S$2285,"43770A2AzulNão se aplicaNão se aplicaAPENão se aplicaFora ponta",Mercado_Receita!$J$2:$J$2285)+SUMIF(Mercado_Receita!$S$2:$S$2285,"43770A2ConvencionalNão se aplicaNão se aplicaNão se aplicaNão se aplicaNão se aplica",Mercado_Receita!$J$2:$J$2285)*1</f>
        <v>92200</v>
      </c>
      <c r="K3" s="12">
        <f>SUMIF(Mercado_Receita!$S$2:$S$2285,"43800A2AzulNão se aplicaNão se aplicaNão se aplicaNão se aplicaFora ponta",Mercado_Receita!$J$2:$J$2285)+SUMIF(Mercado_Receita!$S$2:$S$2285,"43800A2AzulNão se aplicaNão se aplicaAPENão se aplicaFora ponta",Mercado_Receita!$J$2:$J$2285)+SUMIF(Mercado_Receita!$S$2:$S$2285,"43800A2ConvencionalNão se aplicaNão se aplicaNão se aplicaNão se aplicaNão se aplica",Mercado_Receita!$J$2:$J$2285)*1</f>
        <v>92200</v>
      </c>
      <c r="L3" s="12">
        <f>SUMIF(Mercado_Receita!$S$2:$S$2285,"43831A2AzulNão se aplicaNão se aplicaNão se aplicaNão se aplicaFora ponta",Mercado_Receita!$J$2:$J$2285)+SUMIF(Mercado_Receita!$S$2:$S$2285,"43831A2AzulNão se aplicaNão se aplicaAPENão se aplicaFora ponta",Mercado_Receita!$J$2:$J$2285)+SUMIF(Mercado_Receita!$S$2:$S$2285,"43831A2ConvencionalNão se aplicaNão se aplicaNão se aplicaNão se aplicaNão se aplica",Mercado_Receita!$J$2:$J$2285)*1</f>
        <v>92200</v>
      </c>
      <c r="M3" s="12">
        <f>SUMIF(Mercado_Receita!$S$2:$S$2285,"43862A2AzulNão se aplicaNão se aplicaNão se aplicaNão se aplicaFora ponta",Mercado_Receita!$J$2:$J$2285)+SUMIF(Mercado_Receita!$S$2:$S$2285,"43862A2AzulNão se aplicaNão se aplicaAPENão se aplicaFora ponta",Mercado_Receita!$J$2:$J$2285)+SUMIF(Mercado_Receita!$S$2:$S$2285,"43862A2ConvencionalNão se aplicaNão se aplicaNão se aplicaNão se aplicaNão se aplica",Mercado_Receita!$J$2:$J$2285)*1</f>
        <v>92200</v>
      </c>
      <c r="N3" s="12">
        <f>SUMIF(Mercado_Receita!$S$2:$S$2285,"43891A2AzulNão se aplicaNão se aplicaNão se aplicaNão se aplicaFora ponta",Mercado_Receita!$J$2:$J$2285)+SUMIF(Mercado_Receita!$S$2:$S$2285,"43891A2AzulNão se aplicaNão se aplicaAPENão se aplicaFora ponta",Mercado_Receita!$J$2:$J$2285)+SUMIF(Mercado_Receita!$S$2:$S$2285,"43891A2ConvencionalNão se aplicaNão se aplicaNão se aplicaNão se aplicaNão se aplica",Mercado_Receita!$J$2:$J$2285)*1</f>
        <v>92200</v>
      </c>
      <c r="O3" s="12">
        <f>SUMIF(Mercado_Receita!$S$2:$S$2285,"43922A2AzulNão se aplicaNão se aplicaNão se aplicaNão se aplicaFora ponta",Mercado_Receita!$J$2:$J$2285)+SUMIF(Mercado_Receita!$S$2:$S$2285,"43922A2AzulNão se aplicaNão se aplicaAPENão se aplicaFora ponta",Mercado_Receita!$J$2:$J$2285)+SUMIF(Mercado_Receita!$S$2:$S$2285,"43922A2ConvencionalNão se aplicaNão se aplicaNão se aplicaNão se aplicaNão se aplica",Mercado_Receita!$J$2:$J$2285)*1</f>
        <v>92200</v>
      </c>
      <c r="P3" s="12">
        <f>SUMIF(Mercado_Receita!$S$2:$S$2285,"43952A2AzulNão se aplicaNão se aplicaNão se aplicaNão se aplicaFora ponta",Mercado_Receita!$J$2:$J$2285)+SUMIF(Mercado_Receita!$S$2:$S$2285,"43952A2AzulNão se aplicaNão se aplicaAPENão se aplicaFora ponta",Mercado_Receita!$J$2:$J$2285)+SUMIF(Mercado_Receita!$S$2:$S$2285,"43952A2ConvencionalNão se aplicaNão se aplicaNão se aplicaNão se aplicaNão se aplica",Mercado_Receita!$J$2:$J$2285)*1</f>
        <v>92200</v>
      </c>
      <c r="Q3" s="12">
        <f>SUMIF(Mercado_Receita!$S$2:$S$2285,"43983A2AzulNão se aplicaNão se aplicaNão se aplicaNão se aplicaFora ponta",Mercado_Receita!$J$2:$J$2285)+SUMIF(Mercado_Receita!$S$2:$S$2285,"43983A2AzulNão se aplicaNão se aplicaAPENão se aplicaFora ponta",Mercado_Receita!$J$2:$J$2285)+SUMIF(Mercado_Receita!$S$2:$S$2285,"43983A2ConvencionalNão se aplicaNão se aplicaNão se aplicaNão se aplicaNão se aplica",Mercado_Receita!$J$2:$J$2285)*1</f>
        <v>92200</v>
      </c>
      <c r="R3" s="12">
        <f>SUMIF(Mercado_Receita!$S$2:$S$2285,"44013A2AzulNão se aplicaNão se aplicaNão se aplicaNão se aplicaFora ponta",Mercado_Receita!$J$2:$J$2285)+SUMIF(Mercado_Receita!$S$2:$S$2285,"44013A2AzulNão se aplicaNão se aplicaAPENão se aplicaFora ponta",Mercado_Receita!$J$2:$J$2285)+SUMIF(Mercado_Receita!$S$2:$S$2285,"44013A2ConvencionalNão se aplicaNão se aplicaNão se aplicaNão se aplicaNão se aplica",Mercado_Receita!$J$2:$J$2285)*1</f>
        <v>92200</v>
      </c>
      <c r="S3" s="12">
        <f>SUMIF(Mercado_Receita!$S$2:$S$2285,"44044A2AzulNão se aplicaNão se aplicaNão se aplicaNão se aplicaFora ponta",Mercado_Receita!$J$2:$J$2285)+SUMIF(Mercado_Receita!$S$2:$S$2285,"44044A2AzulNão se aplicaNão se aplicaAPENão se aplicaFora ponta",Mercado_Receita!$J$2:$J$2285)+SUMIF(Mercado_Receita!$S$2:$S$2285,"44044A2ConvencionalNão se aplicaNão se aplicaNão se aplicaNão se aplicaNão se aplica",Mercado_Receita!$J$2:$J$2285)*1</f>
        <v>92200</v>
      </c>
      <c r="T3" s="12">
        <f>SUMIF(Mercado_Receita!$S$2:$S$2285,"44075A2AzulNão se aplicaNão se aplicaNão se aplicaNão se aplicaFora ponta",Mercado_Receita!$J$2:$J$2285)+SUMIF(Mercado_Receita!$S$2:$S$2285,"44075A2AzulNão se aplicaNão se aplicaAPENão se aplicaFora ponta",Mercado_Receita!$J$2:$J$2285)+SUMIF(Mercado_Receita!$S$2:$S$2285,"44075A2ConvencionalNão se aplicaNão se aplicaNão se aplicaNão se aplicaNão se aplica",Mercado_Receita!$J$2:$J$2285)*1</f>
        <v>92200</v>
      </c>
      <c r="U3" s="12">
        <f t="shared" si="0"/>
        <v>1106400</v>
      </c>
      <c r="V3" s="12"/>
      <c r="W3" s="12"/>
    </row>
    <row r="4" spans="1:30" ht="11.25" customHeight="1" x14ac:dyDescent="0.25">
      <c r="A4" s="105"/>
      <c r="B4" s="105"/>
      <c r="C4" s="105"/>
      <c r="D4" s="105"/>
      <c r="E4" s="105"/>
      <c r="F4" s="105"/>
      <c r="G4" s="12" t="s">
        <v>94</v>
      </c>
      <c r="H4" s="12" t="s">
        <v>88</v>
      </c>
      <c r="I4" s="12">
        <f>SUMIF(Mercado_Receita!$S$2:$S$2285,"43739A2AzulNão se aplicaNão se aplicaNão se aplicaNão se aplicaPonta",Mercado_Receita!$L$2:$L$2285)+SUMIF(Mercado_Receita!$S$2:$S$2285,"43739A2AzulNão se aplicaNão se aplicaNão se aplicaNão se aplicaFora ponta",Mercado_Receita!$L$2:$L$2285)+SUMIF(Mercado_Receita!$S$2:$S$2285,"43739A2AzulNão se aplicaNão se aplicaNão se aplicaNão se aplicaIntermediário",Mercado_Receita!$L$2:$L$2285)+SUMIF(Mercado_Receita!$S$2:$S$2285,"43739A2AzulNão se aplicaNão se aplicaNão se aplicaNão se aplicaNão se aplica",Mercado_Receita!$L$2:$L$2285)+SUMIF(Mercado_Receita!$S$2:$S$2285,"43739A2ConvencionalNão se aplicaNão se aplicaNão se aplicaNão se aplicaNão se aplica",Mercado_Receita!$L$2:$L$2285)</f>
        <v>29554.595000000001</v>
      </c>
      <c r="J4" s="12">
        <f>SUMIF(Mercado_Receita!$S$2:$S$2285,"43770A2AzulNão se aplicaNão se aplicaNão se aplicaNão se aplicaPonta",Mercado_Receita!$L$2:$L$2285)+SUMIF(Mercado_Receita!$S$2:$S$2285,"43770A2AzulNão se aplicaNão se aplicaNão se aplicaNão se aplicaFora ponta",Mercado_Receita!$L$2:$L$2285)+SUMIF(Mercado_Receita!$S$2:$S$2285,"43770A2AzulNão se aplicaNão se aplicaNão se aplicaNão se aplicaIntermediário",Mercado_Receita!$L$2:$L$2285)+SUMIF(Mercado_Receita!$S$2:$S$2285,"43770A2AzulNão se aplicaNão se aplicaNão se aplicaNão se aplicaNão se aplica",Mercado_Receita!$L$2:$L$2285)+SUMIF(Mercado_Receita!$S$2:$S$2285,"43770A2ConvencionalNão se aplicaNão se aplicaNão se aplicaNão se aplicaNão se aplica",Mercado_Receita!$L$2:$L$2285)</f>
        <v>29498.553999999996</v>
      </c>
      <c r="K4" s="12">
        <f>SUMIF(Mercado_Receita!$S$2:$S$2285,"43800A2AzulNão se aplicaNão se aplicaNão se aplicaNão se aplicaPonta",Mercado_Receita!$L$2:$L$2285)+SUMIF(Mercado_Receita!$S$2:$S$2285,"43800A2AzulNão se aplicaNão se aplicaNão se aplicaNão se aplicaFora ponta",Mercado_Receita!$L$2:$L$2285)+SUMIF(Mercado_Receita!$S$2:$S$2285,"43800A2AzulNão se aplicaNão se aplicaNão se aplicaNão se aplicaIntermediário",Mercado_Receita!$L$2:$L$2285)+SUMIF(Mercado_Receita!$S$2:$S$2285,"43800A2AzulNão se aplicaNão se aplicaNão se aplicaNão se aplicaNão se aplica",Mercado_Receita!$L$2:$L$2285)+SUMIF(Mercado_Receita!$S$2:$S$2285,"43800A2ConvencionalNão se aplicaNão se aplicaNão se aplicaNão se aplicaNão se aplica",Mercado_Receita!$L$2:$L$2285)</f>
        <v>28196.637999999999</v>
      </c>
      <c r="L4" s="12">
        <f>SUMIF(Mercado_Receita!$S$2:$S$2285,"43831A2AzulNão se aplicaNão se aplicaNão se aplicaNão se aplicaPonta",Mercado_Receita!$L$2:$L$2285)+SUMIF(Mercado_Receita!$S$2:$S$2285,"43831A2AzulNão se aplicaNão se aplicaNão se aplicaNão se aplicaFora ponta",Mercado_Receita!$L$2:$L$2285)+SUMIF(Mercado_Receita!$S$2:$S$2285,"43831A2AzulNão se aplicaNão se aplicaNão se aplicaNão se aplicaIntermediário",Mercado_Receita!$L$2:$L$2285)+SUMIF(Mercado_Receita!$S$2:$S$2285,"43831A2AzulNão se aplicaNão se aplicaNão se aplicaNão se aplicaNão se aplica",Mercado_Receita!$L$2:$L$2285)+SUMIF(Mercado_Receita!$S$2:$S$2285,"43831A2ConvencionalNão se aplicaNão se aplicaNão se aplicaNão se aplicaNão se aplica",Mercado_Receita!$L$2:$L$2285)</f>
        <v>28957.082999999999</v>
      </c>
      <c r="M4" s="12">
        <f>SUMIF(Mercado_Receita!$S$2:$S$2285,"43862A2AzulNão se aplicaNão se aplicaNão se aplicaNão se aplicaPonta",Mercado_Receita!$L$2:$L$2285)+SUMIF(Mercado_Receita!$S$2:$S$2285,"43862A2AzulNão se aplicaNão se aplicaNão se aplicaNão se aplicaFora ponta",Mercado_Receita!$L$2:$L$2285)+SUMIF(Mercado_Receita!$S$2:$S$2285,"43862A2AzulNão se aplicaNão se aplicaNão se aplicaNão se aplicaIntermediário",Mercado_Receita!$L$2:$L$2285)+SUMIF(Mercado_Receita!$S$2:$S$2285,"43862A2AzulNão se aplicaNão se aplicaNão se aplicaNão se aplicaNão se aplica",Mercado_Receita!$L$2:$L$2285)+SUMIF(Mercado_Receita!$S$2:$S$2285,"43862A2ConvencionalNão se aplicaNão se aplicaNão se aplicaNão se aplicaNão se aplica",Mercado_Receita!$L$2:$L$2285)</f>
        <v>28825.981</v>
      </c>
      <c r="N4" s="12">
        <f>SUMIF(Mercado_Receita!$S$2:$S$2285,"43891A2AzulNão se aplicaNão se aplicaNão se aplicaNão se aplicaPonta",Mercado_Receita!$L$2:$L$2285)+SUMIF(Mercado_Receita!$S$2:$S$2285,"43891A2AzulNão se aplicaNão se aplicaNão se aplicaNão se aplicaFora ponta",Mercado_Receita!$L$2:$L$2285)+SUMIF(Mercado_Receita!$S$2:$S$2285,"43891A2AzulNão se aplicaNão se aplicaNão se aplicaNão se aplicaIntermediário",Mercado_Receita!$L$2:$L$2285)+SUMIF(Mercado_Receita!$S$2:$S$2285,"43891A2AzulNão se aplicaNão se aplicaNão se aplicaNão se aplicaNão se aplica",Mercado_Receita!$L$2:$L$2285)+SUMIF(Mercado_Receita!$S$2:$S$2285,"43891A2ConvencionalNão se aplicaNão se aplicaNão se aplicaNão se aplicaNão se aplica",Mercado_Receita!$L$2:$L$2285)</f>
        <v>29525.357</v>
      </c>
      <c r="O4" s="12">
        <f>SUMIF(Mercado_Receita!$S$2:$S$2285,"43922A2AzulNão se aplicaNão se aplicaNão se aplicaNão se aplicaPonta",Mercado_Receita!$L$2:$L$2285)+SUMIF(Mercado_Receita!$S$2:$S$2285,"43922A2AzulNão se aplicaNão se aplicaNão se aplicaNão se aplicaFora ponta",Mercado_Receita!$L$2:$L$2285)+SUMIF(Mercado_Receita!$S$2:$S$2285,"43922A2AzulNão se aplicaNão se aplicaNão se aplicaNão se aplicaIntermediário",Mercado_Receita!$L$2:$L$2285)+SUMIF(Mercado_Receita!$S$2:$S$2285,"43922A2AzulNão se aplicaNão se aplicaNão se aplicaNão se aplicaNão se aplica",Mercado_Receita!$L$2:$L$2285)+SUMIF(Mercado_Receita!$S$2:$S$2285,"43922A2ConvencionalNão se aplicaNão se aplicaNão se aplicaNão se aplicaNão se aplica",Mercado_Receita!$L$2:$L$2285)</f>
        <v>25242.485000000001</v>
      </c>
      <c r="P4" s="12">
        <f>SUMIF(Mercado_Receita!$S$2:$S$2285,"43952A2AzulNão se aplicaNão se aplicaNão se aplicaNão se aplicaPonta",Mercado_Receita!$L$2:$L$2285)+SUMIF(Mercado_Receita!$S$2:$S$2285,"43952A2AzulNão se aplicaNão se aplicaNão se aplicaNão se aplicaFora ponta",Mercado_Receita!$L$2:$L$2285)+SUMIF(Mercado_Receita!$S$2:$S$2285,"43952A2AzulNão se aplicaNão se aplicaNão se aplicaNão se aplicaIntermediário",Mercado_Receita!$L$2:$L$2285)+SUMIF(Mercado_Receita!$S$2:$S$2285,"43952A2AzulNão se aplicaNão se aplicaNão se aplicaNão se aplicaNão se aplica",Mercado_Receita!$L$2:$L$2285)+SUMIF(Mercado_Receita!$S$2:$S$2285,"43952A2ConvencionalNão se aplicaNão se aplicaNão se aplicaNão se aplicaNão se aplica",Mercado_Receita!$L$2:$L$2285)</f>
        <v>33964.095000000001</v>
      </c>
      <c r="Q4" s="12">
        <f>SUMIF(Mercado_Receita!$S$2:$S$2285,"43983A2AzulNão se aplicaNão se aplicaNão se aplicaNão se aplicaPonta",Mercado_Receita!$L$2:$L$2285)+SUMIF(Mercado_Receita!$S$2:$S$2285,"43983A2AzulNão se aplicaNão se aplicaNão se aplicaNão se aplicaFora ponta",Mercado_Receita!$L$2:$L$2285)+SUMIF(Mercado_Receita!$S$2:$S$2285,"43983A2AzulNão se aplicaNão se aplicaNão se aplicaNão se aplicaIntermediário",Mercado_Receita!$L$2:$L$2285)+SUMIF(Mercado_Receita!$S$2:$S$2285,"43983A2AzulNão se aplicaNão se aplicaNão se aplicaNão se aplicaNão se aplica",Mercado_Receita!$L$2:$L$2285)+SUMIF(Mercado_Receita!$S$2:$S$2285,"43983A2ConvencionalNão se aplicaNão se aplicaNão se aplicaNão se aplicaNão se aplica",Mercado_Receita!$L$2:$L$2285)</f>
        <v>34454.504000000001</v>
      </c>
      <c r="R4" s="12">
        <f>SUMIF(Mercado_Receita!$S$2:$S$2285,"44013A2AzulNão se aplicaNão se aplicaNão se aplicaNão se aplicaPonta",Mercado_Receita!$L$2:$L$2285)+SUMIF(Mercado_Receita!$S$2:$S$2285,"44013A2AzulNão se aplicaNão se aplicaNão se aplicaNão se aplicaFora ponta",Mercado_Receita!$L$2:$L$2285)+SUMIF(Mercado_Receita!$S$2:$S$2285,"44013A2AzulNão se aplicaNão se aplicaNão se aplicaNão se aplicaIntermediário",Mercado_Receita!$L$2:$L$2285)+SUMIF(Mercado_Receita!$S$2:$S$2285,"44013A2AzulNão se aplicaNão se aplicaNão se aplicaNão se aplicaNão se aplica",Mercado_Receita!$L$2:$L$2285)+SUMIF(Mercado_Receita!$S$2:$S$2285,"44013A2ConvencionalNão se aplicaNão se aplicaNão se aplicaNão se aplicaNão se aplica",Mercado_Receita!$L$2:$L$2285)</f>
        <v>31042.885999999999</v>
      </c>
      <c r="S4" s="12">
        <f>SUMIF(Mercado_Receita!$S$2:$S$2285,"44044A2AzulNão se aplicaNão se aplicaNão se aplicaNão se aplicaPonta",Mercado_Receita!$L$2:$L$2285)+SUMIF(Mercado_Receita!$S$2:$S$2285,"44044A2AzulNão se aplicaNão se aplicaNão se aplicaNão se aplicaFora ponta",Mercado_Receita!$L$2:$L$2285)+SUMIF(Mercado_Receita!$S$2:$S$2285,"44044A2AzulNão se aplicaNão se aplicaNão se aplicaNão se aplicaIntermediário",Mercado_Receita!$L$2:$L$2285)+SUMIF(Mercado_Receita!$S$2:$S$2285,"44044A2AzulNão se aplicaNão se aplicaNão se aplicaNão se aplicaNão se aplica",Mercado_Receita!$L$2:$L$2285)+SUMIF(Mercado_Receita!$S$2:$S$2285,"44044A2ConvencionalNão se aplicaNão se aplicaNão se aplicaNão se aplicaNão se aplica",Mercado_Receita!$L$2:$L$2285)</f>
        <v>41164.758000000002</v>
      </c>
      <c r="T4" s="12">
        <f>SUMIF(Mercado_Receita!$S$2:$S$2285,"44075A2AzulNão se aplicaNão se aplicaNão se aplicaNão se aplicaPonta",Mercado_Receita!$L$2:$L$2285)+SUMIF(Mercado_Receita!$S$2:$S$2285,"44075A2AzulNão se aplicaNão se aplicaNão se aplicaNão se aplicaFora ponta",Mercado_Receita!$L$2:$L$2285)+SUMIF(Mercado_Receita!$S$2:$S$2285,"44075A2AzulNão se aplicaNão se aplicaNão se aplicaNão se aplicaIntermediário",Mercado_Receita!$L$2:$L$2285)+SUMIF(Mercado_Receita!$S$2:$S$2285,"44075A2AzulNão se aplicaNão se aplicaNão se aplicaNão se aplicaNão se aplica",Mercado_Receita!$L$2:$L$2285)+SUMIF(Mercado_Receita!$S$2:$S$2285,"44075A2ConvencionalNão se aplicaNão se aplicaNão se aplicaNão se aplicaNão se aplica",Mercado_Receita!$L$2:$L$2285)</f>
        <v>41164.758000000002</v>
      </c>
      <c r="U4" s="12">
        <f t="shared" si="0"/>
        <v>381591.69400000002</v>
      </c>
      <c r="V4" s="12"/>
      <c r="W4" s="12"/>
    </row>
    <row r="5" spans="1:30" ht="11.25" customHeight="1" x14ac:dyDescent="0.25">
      <c r="A5" s="105"/>
      <c r="B5" s="105"/>
      <c r="C5" s="105"/>
      <c r="D5" s="105"/>
      <c r="E5" s="13" t="s">
        <v>61</v>
      </c>
      <c r="F5" s="13" t="s">
        <v>25</v>
      </c>
      <c r="G5" s="12" t="s">
        <v>94</v>
      </c>
      <c r="H5" s="12" t="s">
        <v>88</v>
      </c>
      <c r="I5" s="12">
        <f>SUMIF(Mercado_Receita!$S$2:$S$2285,"43739A2AzulNão se aplicaNão se aplicaAPENão se aplicaPonta",Mercado_Receita!$L$2:$L$2285)+SUMIF(Mercado_Receita!$S$2:$S$2285,"43739A2AzulNão se aplicaNão se aplicaAPENão se aplicaFora ponta",Mercado_Receita!$L$2:$L$2285)+SUMIF(Mercado_Receita!$S$2:$S$2285,"43739A2AzulNão se aplicaNão se aplicaAPENão se aplicaIntermediário",Mercado_Receita!$L$2:$L$2285)+SUMIF(Mercado_Receita!$S$2:$S$2285,"43739A2AzulNão se aplicaNão se aplicaAPENão se aplicaNão se aplica",Mercado_Receita!$L$2:$L$2285)+SUMIF(Mercado_Receita!$S$2:$S$2285,"43739A2ConvencionalNão se aplicaNão se aplicaAPENão se aplicaNão se aplica",Mercado_Receita!$L$2:$L$2285)</f>
        <v>9800.9699999999993</v>
      </c>
      <c r="J5" s="12">
        <f>SUMIF(Mercado_Receita!$S$2:$S$2285,"43770A2AzulNão se aplicaNão se aplicaAPENão se aplicaPonta",Mercado_Receita!$L$2:$L$2285)+SUMIF(Mercado_Receita!$S$2:$S$2285,"43770A2AzulNão se aplicaNão se aplicaAPENão se aplicaFora ponta",Mercado_Receita!$L$2:$L$2285)+SUMIF(Mercado_Receita!$S$2:$S$2285,"43770A2AzulNão se aplicaNão se aplicaAPENão se aplicaIntermediário",Mercado_Receita!$L$2:$L$2285)+SUMIF(Mercado_Receita!$S$2:$S$2285,"43770A2AzulNão se aplicaNão se aplicaAPENão se aplicaNão se aplica",Mercado_Receita!$L$2:$L$2285)+SUMIF(Mercado_Receita!$S$2:$S$2285,"43770A2ConvencionalNão se aplicaNão se aplicaAPENão se aplicaNão se aplica",Mercado_Receita!$L$2:$L$2285)</f>
        <v>8939.2029999999995</v>
      </c>
      <c r="K5" s="12">
        <f>SUMIF(Mercado_Receita!$S$2:$S$2285,"43800A2AzulNão se aplicaNão se aplicaAPENão se aplicaPonta",Mercado_Receita!$L$2:$L$2285)+SUMIF(Mercado_Receita!$S$2:$S$2285,"43800A2AzulNão se aplicaNão se aplicaAPENão se aplicaFora ponta",Mercado_Receita!$L$2:$L$2285)+SUMIF(Mercado_Receita!$S$2:$S$2285,"43800A2AzulNão se aplicaNão se aplicaAPENão se aplicaIntermediário",Mercado_Receita!$L$2:$L$2285)+SUMIF(Mercado_Receita!$S$2:$S$2285,"43800A2AzulNão se aplicaNão se aplicaAPENão se aplicaNão se aplica",Mercado_Receita!$L$2:$L$2285)+SUMIF(Mercado_Receita!$S$2:$S$2285,"43800A2ConvencionalNão se aplicaNão se aplicaAPENão se aplicaNão se aplica",Mercado_Receita!$L$2:$L$2285)</f>
        <v>9065.1810000000005</v>
      </c>
      <c r="L5" s="12">
        <f>SUMIF(Mercado_Receita!$S$2:$S$2285,"43831A2AzulNão se aplicaNão se aplicaAPENão se aplicaPonta",Mercado_Receita!$L$2:$L$2285)+SUMIF(Mercado_Receita!$S$2:$S$2285,"43831A2AzulNão se aplicaNão se aplicaAPENão se aplicaFora ponta",Mercado_Receita!$L$2:$L$2285)+SUMIF(Mercado_Receita!$S$2:$S$2285,"43831A2AzulNão se aplicaNão se aplicaAPENão se aplicaIntermediário",Mercado_Receita!$L$2:$L$2285)+SUMIF(Mercado_Receita!$S$2:$S$2285,"43831A2AzulNão se aplicaNão se aplicaAPENão se aplicaNão se aplica",Mercado_Receita!$L$2:$L$2285)+SUMIF(Mercado_Receita!$S$2:$S$2285,"43831A2ConvencionalNão se aplicaNão se aplicaAPENão se aplicaNão se aplica",Mercado_Receita!$L$2:$L$2285)</f>
        <v>7829.5680000000002</v>
      </c>
      <c r="M5" s="12">
        <f>SUMIF(Mercado_Receita!$S$2:$S$2285,"43862A2AzulNão se aplicaNão se aplicaAPENão se aplicaPonta",Mercado_Receita!$L$2:$L$2285)+SUMIF(Mercado_Receita!$S$2:$S$2285,"43862A2AzulNão se aplicaNão se aplicaAPENão se aplicaFora ponta",Mercado_Receita!$L$2:$L$2285)+SUMIF(Mercado_Receita!$S$2:$S$2285,"43862A2AzulNão se aplicaNão se aplicaAPENão se aplicaIntermediário",Mercado_Receita!$L$2:$L$2285)+SUMIF(Mercado_Receita!$S$2:$S$2285,"43862A2AzulNão se aplicaNão se aplicaAPENão se aplicaNão se aplica",Mercado_Receita!$L$2:$L$2285)+SUMIF(Mercado_Receita!$S$2:$S$2285,"43862A2ConvencionalNão se aplicaNão se aplicaAPENão se aplicaNão se aplica",Mercado_Receita!$L$2:$L$2285)</f>
        <v>6984.1360000000004</v>
      </c>
      <c r="N5" s="12">
        <f>SUMIF(Mercado_Receita!$S$2:$S$2285,"43891A2AzulNão se aplicaNão se aplicaAPENão se aplicaPonta",Mercado_Receita!$L$2:$L$2285)+SUMIF(Mercado_Receita!$S$2:$S$2285,"43891A2AzulNão se aplicaNão se aplicaAPENão se aplicaFora ponta",Mercado_Receita!$L$2:$L$2285)+SUMIF(Mercado_Receita!$S$2:$S$2285,"43891A2AzulNão se aplicaNão se aplicaAPENão se aplicaIntermediário",Mercado_Receita!$L$2:$L$2285)+SUMIF(Mercado_Receita!$S$2:$S$2285,"43891A2AzulNão se aplicaNão se aplicaAPENão se aplicaNão se aplica",Mercado_Receita!$L$2:$L$2285)+SUMIF(Mercado_Receita!$S$2:$S$2285,"43891A2ConvencionalNão se aplicaNão se aplicaAPENão se aplicaNão se aplica",Mercado_Receita!$L$2:$L$2285)</f>
        <v>6610.5140000000001</v>
      </c>
      <c r="O5" s="12">
        <f>SUMIF(Mercado_Receita!$S$2:$S$2285,"43922A2AzulNão se aplicaNão se aplicaAPENão se aplicaPonta",Mercado_Receita!$L$2:$L$2285)+SUMIF(Mercado_Receita!$S$2:$S$2285,"43922A2AzulNão se aplicaNão se aplicaAPENão se aplicaFora ponta",Mercado_Receita!$L$2:$L$2285)+SUMIF(Mercado_Receita!$S$2:$S$2285,"43922A2AzulNão se aplicaNão se aplicaAPENão se aplicaIntermediário",Mercado_Receita!$L$2:$L$2285)+SUMIF(Mercado_Receita!$S$2:$S$2285,"43922A2AzulNão se aplicaNão se aplicaAPENão se aplicaNão se aplica",Mercado_Receita!$L$2:$L$2285)+SUMIF(Mercado_Receita!$S$2:$S$2285,"43922A2ConvencionalNão se aplicaNão se aplicaAPENão se aplicaNão se aplica",Mercado_Receita!$L$2:$L$2285)</f>
        <v>8922.3040000000001</v>
      </c>
      <c r="P5" s="12">
        <f>SUMIF(Mercado_Receita!$S$2:$S$2285,"43952A2AzulNão se aplicaNão se aplicaAPENão se aplicaPonta",Mercado_Receita!$L$2:$L$2285)+SUMIF(Mercado_Receita!$S$2:$S$2285,"43952A2AzulNão se aplicaNão se aplicaAPENão se aplicaFora ponta",Mercado_Receita!$L$2:$L$2285)+SUMIF(Mercado_Receita!$S$2:$S$2285,"43952A2AzulNão se aplicaNão se aplicaAPENão se aplicaIntermediário",Mercado_Receita!$L$2:$L$2285)+SUMIF(Mercado_Receita!$S$2:$S$2285,"43952A2AzulNão se aplicaNão se aplicaAPENão se aplicaNão se aplica",Mercado_Receita!$L$2:$L$2285)+SUMIF(Mercado_Receita!$S$2:$S$2285,"43952A2ConvencionalNão se aplicaNão se aplicaAPENão se aplicaNão se aplica",Mercado_Receita!$L$2:$L$2285)</f>
        <v>10643.983</v>
      </c>
      <c r="Q5" s="12">
        <f>SUMIF(Mercado_Receita!$S$2:$S$2285,"43983A2AzulNão se aplicaNão se aplicaAPENão se aplicaPonta",Mercado_Receita!$L$2:$L$2285)+SUMIF(Mercado_Receita!$S$2:$S$2285,"43983A2AzulNão se aplicaNão se aplicaAPENão se aplicaFora ponta",Mercado_Receita!$L$2:$L$2285)+SUMIF(Mercado_Receita!$S$2:$S$2285,"43983A2AzulNão se aplicaNão se aplicaAPENão se aplicaIntermediário",Mercado_Receita!$L$2:$L$2285)+SUMIF(Mercado_Receita!$S$2:$S$2285,"43983A2AzulNão se aplicaNão se aplicaAPENão se aplicaNão se aplica",Mercado_Receita!$L$2:$L$2285)+SUMIF(Mercado_Receita!$S$2:$S$2285,"43983A2ConvencionalNão se aplicaNão se aplicaAPENão se aplicaNão se aplica",Mercado_Receita!$L$2:$L$2285)</f>
        <v>10643.983</v>
      </c>
      <c r="R5" s="12">
        <f>SUMIF(Mercado_Receita!$S$2:$S$2285,"44013A2AzulNão se aplicaNão se aplicaAPENão se aplicaPonta",Mercado_Receita!$L$2:$L$2285)+SUMIF(Mercado_Receita!$S$2:$S$2285,"44013A2AzulNão se aplicaNão se aplicaAPENão se aplicaFora ponta",Mercado_Receita!$L$2:$L$2285)+SUMIF(Mercado_Receita!$S$2:$S$2285,"44013A2AzulNão se aplicaNão se aplicaAPENão se aplicaIntermediário",Mercado_Receita!$L$2:$L$2285)+SUMIF(Mercado_Receita!$S$2:$S$2285,"44013A2AzulNão se aplicaNão se aplicaAPENão se aplicaNão se aplica",Mercado_Receita!$L$2:$L$2285)+SUMIF(Mercado_Receita!$S$2:$S$2285,"44013A2ConvencionalNão se aplicaNão se aplicaAPENão se aplicaNão se aplica",Mercado_Receita!$L$2:$L$2285)</f>
        <v>9905.6080000000002</v>
      </c>
      <c r="S5" s="12">
        <f>SUMIF(Mercado_Receita!$S$2:$S$2285,"44044A2AzulNão se aplicaNão se aplicaAPENão se aplicaPonta",Mercado_Receita!$L$2:$L$2285)+SUMIF(Mercado_Receita!$S$2:$S$2285,"44044A2AzulNão se aplicaNão se aplicaAPENão se aplicaFora ponta",Mercado_Receita!$L$2:$L$2285)+SUMIF(Mercado_Receita!$S$2:$S$2285,"44044A2AzulNão se aplicaNão se aplicaAPENão se aplicaIntermediário",Mercado_Receita!$L$2:$L$2285)+SUMIF(Mercado_Receita!$S$2:$S$2285,"44044A2AzulNão se aplicaNão se aplicaAPENão se aplicaNão se aplica",Mercado_Receita!$L$2:$L$2285)+SUMIF(Mercado_Receita!$S$2:$S$2285,"44044A2ConvencionalNão se aplicaNão se aplicaAPENão se aplicaNão se aplica",Mercado_Receita!$L$2:$L$2285)</f>
        <v>10621.59</v>
      </c>
      <c r="T5" s="12">
        <f>SUMIF(Mercado_Receita!$S$2:$S$2285,"44075A2AzulNão se aplicaNão se aplicaAPENão se aplicaPonta",Mercado_Receita!$L$2:$L$2285)+SUMIF(Mercado_Receita!$S$2:$S$2285,"44075A2AzulNão se aplicaNão se aplicaAPENão se aplicaFora ponta",Mercado_Receita!$L$2:$L$2285)+SUMIF(Mercado_Receita!$S$2:$S$2285,"44075A2AzulNão se aplicaNão se aplicaAPENão se aplicaIntermediário",Mercado_Receita!$L$2:$L$2285)+SUMIF(Mercado_Receita!$S$2:$S$2285,"44075A2AzulNão se aplicaNão se aplicaAPENão se aplicaNão se aplica",Mercado_Receita!$L$2:$L$2285)+SUMIF(Mercado_Receita!$S$2:$S$2285,"44075A2ConvencionalNão se aplicaNão se aplicaAPENão se aplicaNão se aplica",Mercado_Receita!$L$2:$L$2285)</f>
        <v>10621.59</v>
      </c>
      <c r="U5" s="12">
        <f t="shared" si="0"/>
        <v>110588.63</v>
      </c>
      <c r="V5" s="12"/>
      <c r="W5" s="12"/>
    </row>
    <row r="6" spans="1:30" ht="11.25" customHeight="1" x14ac:dyDescent="0.25">
      <c r="A6" s="105"/>
      <c r="B6" s="104" t="s">
        <v>67</v>
      </c>
      <c r="C6" s="104" t="s">
        <v>25</v>
      </c>
      <c r="D6" s="104" t="s">
        <v>25</v>
      </c>
      <c r="E6" s="104" t="s">
        <v>25</v>
      </c>
      <c r="F6" s="104" t="s">
        <v>68</v>
      </c>
      <c r="G6" s="12" t="s">
        <v>92</v>
      </c>
      <c r="H6" s="12" t="s">
        <v>91</v>
      </c>
      <c r="I6" s="12">
        <f>SUMIF(Mercado_Receita!$S$2:$S$2285,"43739A2DistribuiçãoNão se aplicaNão se aplicaNão se aplicaEnel GOPonta",Mercado_Receita!$J$2:$J$2285)+SUMIF(Mercado_Receita!$S$2:$S$2285,"43739A2DistribuiçãoNão se aplicaNão se aplicaNão se aplicaEnel GONão se aplica",Mercado_Receita!$J$2:$J$2285)*0.72</f>
        <v>54000</v>
      </c>
      <c r="J6" s="12">
        <f>SUMIF(Mercado_Receita!$S$2:$S$2285,"43770A2DistribuiçãoNão se aplicaNão se aplicaNão se aplicaEnel GOPonta",Mercado_Receita!$J$2:$J$2285)+SUMIF(Mercado_Receita!$S$2:$S$2285,"43770A2DistribuiçãoNão se aplicaNão se aplicaNão se aplicaEnel GONão se aplica",Mercado_Receita!$J$2:$J$2285)*0.72</f>
        <v>54000</v>
      </c>
      <c r="K6" s="12">
        <f>SUMIF(Mercado_Receita!$S$2:$S$2285,"43800A2DistribuiçãoNão se aplicaNão se aplicaNão se aplicaEnel GOPonta",Mercado_Receita!$J$2:$J$2285)+SUMIF(Mercado_Receita!$S$2:$S$2285,"43800A2DistribuiçãoNão se aplicaNão se aplicaNão se aplicaEnel GONão se aplica",Mercado_Receita!$J$2:$J$2285)*0.72</f>
        <v>54000</v>
      </c>
      <c r="L6" s="12">
        <f>SUMIF(Mercado_Receita!$S$2:$S$2285,"43831A2DistribuiçãoNão se aplicaNão se aplicaNão se aplicaEnel GOPonta",Mercado_Receita!$J$2:$J$2285)+SUMIF(Mercado_Receita!$S$2:$S$2285,"43831A2DistribuiçãoNão se aplicaNão se aplicaNão se aplicaEnel GONão se aplica",Mercado_Receita!$J$2:$J$2285)*0.72</f>
        <v>54000</v>
      </c>
      <c r="M6" s="12">
        <f>SUMIF(Mercado_Receita!$S$2:$S$2285,"43862A2DistribuiçãoNão se aplicaNão se aplicaNão se aplicaEnel GOPonta",Mercado_Receita!$J$2:$J$2285)+SUMIF(Mercado_Receita!$S$2:$S$2285,"43862A2DistribuiçãoNão se aplicaNão se aplicaNão se aplicaEnel GONão se aplica",Mercado_Receita!$J$2:$J$2285)*0.72</f>
        <v>54000</v>
      </c>
      <c r="N6" s="12">
        <f>SUMIF(Mercado_Receita!$S$2:$S$2285,"43891A2DistribuiçãoNão se aplicaNão se aplicaNão se aplicaEnel GOPonta",Mercado_Receita!$J$2:$J$2285)+SUMIF(Mercado_Receita!$S$2:$S$2285,"43891A2DistribuiçãoNão se aplicaNão se aplicaNão se aplicaEnel GONão se aplica",Mercado_Receita!$J$2:$J$2285)*0.72</f>
        <v>54000</v>
      </c>
      <c r="O6" s="12">
        <f>SUMIF(Mercado_Receita!$S$2:$S$2285,"43922A2DistribuiçãoNão se aplicaNão se aplicaNão se aplicaEnel GOPonta",Mercado_Receita!$J$2:$J$2285)+SUMIF(Mercado_Receita!$S$2:$S$2285,"43922A2DistribuiçãoNão se aplicaNão se aplicaNão se aplicaEnel GONão se aplica",Mercado_Receita!$J$2:$J$2285)*0.72</f>
        <v>54000</v>
      </c>
      <c r="P6" s="12">
        <f>SUMIF(Mercado_Receita!$S$2:$S$2285,"43952A2DistribuiçãoNão se aplicaNão se aplicaNão se aplicaEnel GOPonta",Mercado_Receita!$J$2:$J$2285)+SUMIF(Mercado_Receita!$S$2:$S$2285,"43952A2DistribuiçãoNão se aplicaNão se aplicaNão se aplicaEnel GONão se aplica",Mercado_Receita!$J$2:$J$2285)*0.72</f>
        <v>54000</v>
      </c>
      <c r="Q6" s="12">
        <f>SUMIF(Mercado_Receita!$S$2:$S$2285,"43983A2DistribuiçãoNão se aplicaNão se aplicaNão se aplicaEnel GOPonta",Mercado_Receita!$J$2:$J$2285)+SUMIF(Mercado_Receita!$S$2:$S$2285,"43983A2DistribuiçãoNão se aplicaNão se aplicaNão se aplicaEnel GONão se aplica",Mercado_Receita!$J$2:$J$2285)*0.72</f>
        <v>54000</v>
      </c>
      <c r="R6" s="12">
        <f>SUMIF(Mercado_Receita!$S$2:$S$2285,"44013A2DistribuiçãoNão se aplicaNão se aplicaNão se aplicaEnel GOPonta",Mercado_Receita!$J$2:$J$2285)+SUMIF(Mercado_Receita!$S$2:$S$2285,"44013A2DistribuiçãoNão se aplicaNão se aplicaNão se aplicaEnel GONão se aplica",Mercado_Receita!$J$2:$J$2285)*0.72</f>
        <v>54000</v>
      </c>
      <c r="S6" s="12">
        <f>SUMIF(Mercado_Receita!$S$2:$S$2285,"44044A2DistribuiçãoNão se aplicaNão se aplicaNão se aplicaEnel GOPonta",Mercado_Receita!$J$2:$J$2285)+SUMIF(Mercado_Receita!$S$2:$S$2285,"44044A2DistribuiçãoNão se aplicaNão se aplicaNão se aplicaEnel GONão se aplica",Mercado_Receita!$J$2:$J$2285)*0.72</f>
        <v>54000</v>
      </c>
      <c r="T6" s="12">
        <f>SUMIF(Mercado_Receita!$S$2:$S$2285,"44075A2DistribuiçãoNão se aplicaNão se aplicaNão se aplicaEnel GOPonta",Mercado_Receita!$J$2:$J$2285)+SUMIF(Mercado_Receita!$S$2:$S$2285,"44075A2DistribuiçãoNão se aplicaNão se aplicaNão se aplicaEnel GONão se aplica",Mercado_Receita!$J$2:$J$2285)*0.72</f>
        <v>54000</v>
      </c>
      <c r="U6" s="12">
        <f t="shared" si="0"/>
        <v>648000</v>
      </c>
      <c r="V6" s="12"/>
      <c r="W6" s="12"/>
    </row>
    <row r="7" spans="1:30" ht="11.25" customHeight="1" x14ac:dyDescent="0.25">
      <c r="A7" s="105"/>
      <c r="B7" s="105"/>
      <c r="C7" s="105"/>
      <c r="D7" s="105"/>
      <c r="E7" s="105"/>
      <c r="F7" s="105"/>
      <c r="G7" s="12" t="s">
        <v>93</v>
      </c>
      <c r="H7" s="12" t="s">
        <v>91</v>
      </c>
      <c r="I7" s="12">
        <f>SUMIF(Mercado_Receita!$S$2:$S$2285,"43739A2DistribuiçãoNão se aplicaNão se aplicaNão se aplicaEnel GOFora ponta",Mercado_Receita!$J$2:$J$2285)+SUMIF(Mercado_Receita!$S$2:$S$2285,"43739A2DistribuiçãoNão se aplicaNão se aplicaNão se aplicaEnel GONão se aplica",Mercado_Receita!$J$2:$J$2285)*1</f>
        <v>62639</v>
      </c>
      <c r="J7" s="12">
        <f>SUMIF(Mercado_Receita!$S$2:$S$2285,"43770A2DistribuiçãoNão se aplicaNão se aplicaNão se aplicaEnel GOFora ponta",Mercado_Receita!$J$2:$J$2285)+SUMIF(Mercado_Receita!$S$2:$S$2285,"43770A2DistribuiçãoNão se aplicaNão se aplicaNão se aplicaEnel GONão se aplica",Mercado_Receita!$J$2:$J$2285)*1</f>
        <v>62639</v>
      </c>
      <c r="K7" s="12">
        <f>SUMIF(Mercado_Receita!$S$2:$S$2285,"43800A2DistribuiçãoNão se aplicaNão se aplicaNão se aplicaEnel GOFora ponta",Mercado_Receita!$J$2:$J$2285)+SUMIF(Mercado_Receita!$S$2:$S$2285,"43800A2DistribuiçãoNão se aplicaNão se aplicaNão se aplicaEnel GONão se aplica",Mercado_Receita!$J$2:$J$2285)*1</f>
        <v>62639</v>
      </c>
      <c r="L7" s="12">
        <f>SUMIF(Mercado_Receita!$S$2:$S$2285,"43831A2DistribuiçãoNão se aplicaNão se aplicaNão se aplicaEnel GOFora ponta",Mercado_Receita!$J$2:$J$2285)+SUMIF(Mercado_Receita!$S$2:$S$2285,"43831A2DistribuiçãoNão se aplicaNão se aplicaNão se aplicaEnel GONão se aplica",Mercado_Receita!$J$2:$J$2285)*1</f>
        <v>62639</v>
      </c>
      <c r="M7" s="12">
        <f>SUMIF(Mercado_Receita!$S$2:$S$2285,"43862A2DistribuiçãoNão se aplicaNão se aplicaNão se aplicaEnel GOFora ponta",Mercado_Receita!$J$2:$J$2285)+SUMIF(Mercado_Receita!$S$2:$S$2285,"43862A2DistribuiçãoNão se aplicaNão se aplicaNão se aplicaEnel GONão se aplica",Mercado_Receita!$J$2:$J$2285)*1</f>
        <v>62639</v>
      </c>
      <c r="N7" s="12">
        <f>SUMIF(Mercado_Receita!$S$2:$S$2285,"43891A2DistribuiçãoNão se aplicaNão se aplicaNão se aplicaEnel GOFora ponta",Mercado_Receita!$J$2:$J$2285)+SUMIF(Mercado_Receita!$S$2:$S$2285,"43891A2DistribuiçãoNão se aplicaNão se aplicaNão se aplicaEnel GONão se aplica",Mercado_Receita!$J$2:$J$2285)*1</f>
        <v>62639</v>
      </c>
      <c r="O7" s="12">
        <f>SUMIF(Mercado_Receita!$S$2:$S$2285,"43922A2DistribuiçãoNão se aplicaNão se aplicaNão se aplicaEnel GOFora ponta",Mercado_Receita!$J$2:$J$2285)+SUMIF(Mercado_Receita!$S$2:$S$2285,"43922A2DistribuiçãoNão se aplicaNão se aplicaNão se aplicaEnel GONão se aplica",Mercado_Receita!$J$2:$J$2285)*1</f>
        <v>62639</v>
      </c>
      <c r="P7" s="12">
        <f>SUMIF(Mercado_Receita!$S$2:$S$2285,"43952A2DistribuiçãoNão se aplicaNão se aplicaNão se aplicaEnel GOFora ponta",Mercado_Receita!$J$2:$J$2285)+SUMIF(Mercado_Receita!$S$2:$S$2285,"43952A2DistribuiçãoNão se aplicaNão se aplicaNão se aplicaEnel GONão se aplica",Mercado_Receita!$J$2:$J$2285)*1</f>
        <v>62639</v>
      </c>
      <c r="Q7" s="12">
        <f>SUMIF(Mercado_Receita!$S$2:$S$2285,"43983A2DistribuiçãoNão se aplicaNão se aplicaNão se aplicaEnel GOFora ponta",Mercado_Receita!$J$2:$J$2285)+SUMIF(Mercado_Receita!$S$2:$S$2285,"43983A2DistribuiçãoNão se aplicaNão se aplicaNão se aplicaEnel GONão se aplica",Mercado_Receita!$J$2:$J$2285)*1</f>
        <v>62639</v>
      </c>
      <c r="R7" s="12">
        <f>SUMIF(Mercado_Receita!$S$2:$S$2285,"44013A2DistribuiçãoNão se aplicaNão se aplicaNão se aplicaEnel GOFora ponta",Mercado_Receita!$J$2:$J$2285)+SUMIF(Mercado_Receita!$S$2:$S$2285,"44013A2DistribuiçãoNão se aplicaNão se aplicaNão se aplicaEnel GONão se aplica",Mercado_Receita!$J$2:$J$2285)*1</f>
        <v>62639</v>
      </c>
      <c r="S7" s="12">
        <f>SUMIF(Mercado_Receita!$S$2:$S$2285,"44044A2DistribuiçãoNão se aplicaNão se aplicaNão se aplicaEnel GOFora ponta",Mercado_Receita!$J$2:$J$2285)+SUMIF(Mercado_Receita!$S$2:$S$2285,"44044A2DistribuiçãoNão se aplicaNão se aplicaNão se aplicaEnel GONão se aplica",Mercado_Receita!$J$2:$J$2285)*1</f>
        <v>62639</v>
      </c>
      <c r="T7" s="12">
        <f>SUMIF(Mercado_Receita!$S$2:$S$2285,"44075A2DistribuiçãoNão se aplicaNão se aplicaNão se aplicaEnel GOFora ponta",Mercado_Receita!$J$2:$J$2285)+SUMIF(Mercado_Receita!$S$2:$S$2285,"44075A2DistribuiçãoNão se aplicaNão se aplicaNão se aplicaEnel GONão se aplica",Mercado_Receita!$J$2:$J$2285)*1</f>
        <v>62639</v>
      </c>
      <c r="U7" s="12">
        <f t="shared" si="0"/>
        <v>751668</v>
      </c>
      <c r="V7" s="12"/>
      <c r="W7" s="12"/>
    </row>
    <row r="8" spans="1:30" ht="11.25" customHeight="1" x14ac:dyDescent="0.25">
      <c r="A8" s="105"/>
      <c r="B8" s="105"/>
      <c r="C8" s="105"/>
      <c r="D8" s="105"/>
      <c r="E8" s="105"/>
      <c r="F8" s="105"/>
      <c r="G8" s="12" t="s">
        <v>94</v>
      </c>
      <c r="H8" s="12" t="s">
        <v>88</v>
      </c>
      <c r="I8" s="12">
        <f>IF((I6+I7)&lt;&gt;0,SUMIF(Mercado_Receita!$S$2:$S$2285,"43739A2DistribuiçãoNão se aplicaNão se aplicaNão se aplicaEnel GOPonta",Mercado_Receita!$L$2:$L$2285)+SUMIF(Mercado_Receita!$S$2:$S$2285,"43739A2DistribuiçãoNão se aplicaNão se aplicaNão se aplicaEnel GOFora ponta",Mercado_Receita!$L$2:$L$2285)+SUMIF(Mercado_Receita!$S$2:$S$2285,"43739A2DistribuiçãoNão se aplicaNão se aplicaNão se aplicaEnel GOIntermediário",Mercado_Receita!$L$2:$L$2285)+SUMIF(Mercado_Receita!$S$2:$S$2285,"43739A2DistribuiçãoNão se aplicaNão se aplicaNão se aplicaEnel GONão se aplica",Mercado_Receita!$L$2:$L$2285),0)</f>
        <v>32074.902999999998</v>
      </c>
      <c r="J8" s="12">
        <f>IF((J6+J7)&lt;&gt;0,SUMIF(Mercado_Receita!$S$2:$S$2285,"43770A2DistribuiçãoNão se aplicaNão se aplicaNão se aplicaEnel GOPonta",Mercado_Receita!$L$2:$L$2285)+SUMIF(Mercado_Receita!$S$2:$S$2285,"43770A2DistribuiçãoNão se aplicaNão se aplicaNão se aplicaEnel GOFora ponta",Mercado_Receita!$L$2:$L$2285)+SUMIF(Mercado_Receita!$S$2:$S$2285,"43770A2DistribuiçãoNão se aplicaNão se aplicaNão se aplicaEnel GOIntermediário",Mercado_Receita!$L$2:$L$2285)+SUMIF(Mercado_Receita!$S$2:$S$2285,"43770A2DistribuiçãoNão se aplicaNão se aplicaNão se aplicaEnel GONão se aplica",Mercado_Receita!$L$2:$L$2285),0)</f>
        <v>32074.902999999998</v>
      </c>
      <c r="K8" s="12">
        <f>IF((K6+K7)&lt;&gt;0,SUMIF(Mercado_Receita!$S$2:$S$2285,"43800A2DistribuiçãoNão se aplicaNão se aplicaNão se aplicaEnel GOPonta",Mercado_Receita!$L$2:$L$2285)+SUMIF(Mercado_Receita!$S$2:$S$2285,"43800A2DistribuiçãoNão se aplicaNão se aplicaNão se aplicaEnel GOFora ponta",Mercado_Receita!$L$2:$L$2285)+SUMIF(Mercado_Receita!$S$2:$S$2285,"43800A2DistribuiçãoNão se aplicaNão se aplicaNão se aplicaEnel GOIntermediário",Mercado_Receita!$L$2:$L$2285)+SUMIF(Mercado_Receita!$S$2:$S$2285,"43800A2DistribuiçãoNão se aplicaNão se aplicaNão se aplicaEnel GONão se aplica",Mercado_Receita!$L$2:$L$2285),0)</f>
        <v>20864.804</v>
      </c>
      <c r="L8" s="12">
        <f>IF((L6+L7)&lt;&gt;0,SUMIF(Mercado_Receita!$S$2:$S$2285,"43831A2DistribuiçãoNão se aplicaNão se aplicaNão se aplicaEnel GOPonta",Mercado_Receita!$L$2:$L$2285)+SUMIF(Mercado_Receita!$S$2:$S$2285,"43831A2DistribuiçãoNão se aplicaNão se aplicaNão se aplicaEnel GOFora ponta",Mercado_Receita!$L$2:$L$2285)+SUMIF(Mercado_Receita!$S$2:$S$2285,"43831A2DistribuiçãoNão se aplicaNão se aplicaNão se aplicaEnel GOIntermediário",Mercado_Receita!$L$2:$L$2285)+SUMIF(Mercado_Receita!$S$2:$S$2285,"43831A2DistribuiçãoNão se aplicaNão se aplicaNão se aplicaEnel GONão se aplica",Mercado_Receita!$L$2:$L$2285),0)</f>
        <v>14886.808000000001</v>
      </c>
      <c r="M8" s="12">
        <f>IF((M6+M7)&lt;&gt;0,SUMIF(Mercado_Receita!$S$2:$S$2285,"43862A2DistribuiçãoNão se aplicaNão se aplicaNão se aplicaEnel GOPonta",Mercado_Receita!$L$2:$L$2285)+SUMIF(Mercado_Receita!$S$2:$S$2285,"43862A2DistribuiçãoNão se aplicaNão se aplicaNão se aplicaEnel GOFora ponta",Mercado_Receita!$L$2:$L$2285)+SUMIF(Mercado_Receita!$S$2:$S$2285,"43862A2DistribuiçãoNão se aplicaNão se aplicaNão se aplicaEnel GOIntermediário",Mercado_Receita!$L$2:$L$2285)+SUMIF(Mercado_Receita!$S$2:$S$2285,"43862A2DistribuiçãoNão se aplicaNão se aplicaNão se aplicaEnel GONão se aplica",Mercado_Receita!$L$2:$L$2285),0)</f>
        <v>8386.4240000000009</v>
      </c>
      <c r="N8" s="12">
        <f>IF((N6+N7)&lt;&gt;0,SUMIF(Mercado_Receita!$S$2:$S$2285,"43891A2DistribuiçãoNão se aplicaNão se aplicaNão se aplicaEnel GOPonta",Mercado_Receita!$L$2:$L$2285)+SUMIF(Mercado_Receita!$S$2:$S$2285,"43891A2DistribuiçãoNão se aplicaNão se aplicaNão se aplicaEnel GOFora ponta",Mercado_Receita!$L$2:$L$2285)+SUMIF(Mercado_Receita!$S$2:$S$2285,"43891A2DistribuiçãoNão se aplicaNão se aplicaNão se aplicaEnel GOIntermediário",Mercado_Receita!$L$2:$L$2285)+SUMIF(Mercado_Receita!$S$2:$S$2285,"43891A2DistribuiçãoNão se aplicaNão se aplicaNão se aplicaEnel GONão se aplica",Mercado_Receita!$L$2:$L$2285),0)</f>
        <v>3540.107</v>
      </c>
      <c r="O8" s="12">
        <f>IF((O6+O7)&lt;&gt;0,SUMIF(Mercado_Receita!$S$2:$S$2285,"43922A2DistribuiçãoNão se aplicaNão se aplicaNão se aplicaEnel GOPonta",Mercado_Receita!$L$2:$L$2285)+SUMIF(Mercado_Receita!$S$2:$S$2285,"43922A2DistribuiçãoNão se aplicaNão se aplicaNão se aplicaEnel GOFora ponta",Mercado_Receita!$L$2:$L$2285)+SUMIF(Mercado_Receita!$S$2:$S$2285,"43922A2DistribuiçãoNão se aplicaNão se aplicaNão se aplicaEnel GOIntermediário",Mercado_Receita!$L$2:$L$2285)+SUMIF(Mercado_Receita!$S$2:$S$2285,"43922A2DistribuiçãoNão se aplicaNão se aplicaNão se aplicaEnel GONão se aplica",Mercado_Receita!$L$2:$L$2285),0)</f>
        <v>6109.6610000000001</v>
      </c>
      <c r="P8" s="12">
        <f>IF((P6+P7)&lt;&gt;0,SUMIF(Mercado_Receita!$S$2:$S$2285,"43952A2DistribuiçãoNão se aplicaNão se aplicaNão se aplicaEnel GOPonta",Mercado_Receita!$L$2:$L$2285)+SUMIF(Mercado_Receita!$S$2:$S$2285,"43952A2DistribuiçãoNão se aplicaNão se aplicaNão se aplicaEnel GOFora ponta",Mercado_Receita!$L$2:$L$2285)+SUMIF(Mercado_Receita!$S$2:$S$2285,"43952A2DistribuiçãoNão se aplicaNão se aplicaNão se aplicaEnel GOIntermediário",Mercado_Receita!$L$2:$L$2285)+SUMIF(Mercado_Receita!$S$2:$S$2285,"43952A2DistribuiçãoNão se aplicaNão se aplicaNão se aplicaEnel GONão se aplica",Mercado_Receita!$L$2:$L$2285),0)</f>
        <v>6109.6610000000001</v>
      </c>
      <c r="Q8" s="12">
        <f>IF((Q6+Q7)&lt;&gt;0,SUMIF(Mercado_Receita!$S$2:$S$2285,"43983A2DistribuiçãoNão se aplicaNão se aplicaNão se aplicaEnel GOPonta",Mercado_Receita!$L$2:$L$2285)+SUMIF(Mercado_Receita!$S$2:$S$2285,"43983A2DistribuiçãoNão se aplicaNão se aplicaNão se aplicaEnel GOFora ponta",Mercado_Receita!$L$2:$L$2285)+SUMIF(Mercado_Receita!$S$2:$S$2285,"43983A2DistribuiçãoNão se aplicaNão se aplicaNão se aplicaEnel GOIntermediário",Mercado_Receita!$L$2:$L$2285)+SUMIF(Mercado_Receita!$S$2:$S$2285,"43983A2DistribuiçãoNão se aplicaNão se aplicaNão se aplicaEnel GONão se aplica",Mercado_Receita!$L$2:$L$2285),0)</f>
        <v>6109.6610000000001</v>
      </c>
      <c r="R8" s="12">
        <f>IF((R6+R7)&lt;&gt;0,SUMIF(Mercado_Receita!$S$2:$S$2285,"44013A2DistribuiçãoNão se aplicaNão se aplicaNão se aplicaEnel GOPonta",Mercado_Receita!$L$2:$L$2285)+SUMIF(Mercado_Receita!$S$2:$S$2285,"44013A2DistribuiçãoNão se aplicaNão se aplicaNão se aplicaEnel GOFora ponta",Mercado_Receita!$L$2:$L$2285)+SUMIF(Mercado_Receita!$S$2:$S$2285,"44013A2DistribuiçãoNão se aplicaNão se aplicaNão se aplicaEnel GOIntermediário",Mercado_Receita!$L$2:$L$2285)+SUMIF(Mercado_Receita!$S$2:$S$2285,"44013A2DistribuiçãoNão se aplicaNão se aplicaNão se aplicaEnel GONão se aplica",Mercado_Receita!$L$2:$L$2285),0)</f>
        <v>30352.023000000001</v>
      </c>
      <c r="S8" s="12">
        <f>IF((S6+S7)&lt;&gt;0,SUMIF(Mercado_Receita!$S$2:$S$2285,"44044A2DistribuiçãoNão se aplicaNão se aplicaNão se aplicaEnel GOPonta",Mercado_Receita!$L$2:$L$2285)+SUMIF(Mercado_Receita!$S$2:$S$2285,"44044A2DistribuiçãoNão se aplicaNão se aplicaNão se aplicaEnel GOFora ponta",Mercado_Receita!$L$2:$L$2285)+SUMIF(Mercado_Receita!$S$2:$S$2285,"44044A2DistribuiçãoNão se aplicaNão se aplicaNão se aplicaEnel GOIntermediário",Mercado_Receita!$L$2:$L$2285)+SUMIF(Mercado_Receita!$S$2:$S$2285,"44044A2DistribuiçãoNão se aplicaNão se aplicaNão se aplicaEnel GONão se aplica",Mercado_Receita!$L$2:$L$2285),0)</f>
        <v>6109.6610000000001</v>
      </c>
      <c r="T8" s="12">
        <f>IF((T6+T7)&lt;&gt;0,SUMIF(Mercado_Receita!$S$2:$S$2285,"44075A2DistribuiçãoNão se aplicaNão se aplicaNão se aplicaEnel GOPonta",Mercado_Receita!$L$2:$L$2285)+SUMIF(Mercado_Receita!$S$2:$S$2285,"44075A2DistribuiçãoNão se aplicaNão se aplicaNão se aplicaEnel GOFora ponta",Mercado_Receita!$L$2:$L$2285)+SUMIF(Mercado_Receita!$S$2:$S$2285,"44075A2DistribuiçãoNão se aplicaNão se aplicaNão se aplicaEnel GOIntermediário",Mercado_Receita!$L$2:$L$2285)+SUMIF(Mercado_Receita!$S$2:$S$2285,"44075A2DistribuiçãoNão se aplicaNão se aplicaNão se aplicaEnel GONão se aplica",Mercado_Receita!$L$2:$L$2285),0)</f>
        <v>6109.6610000000001</v>
      </c>
      <c r="U8" s="12">
        <f t="shared" si="0"/>
        <v>172728.277</v>
      </c>
      <c r="V8" s="12"/>
      <c r="W8" s="12"/>
    </row>
    <row r="9" spans="1:30" ht="11.25" customHeight="1" x14ac:dyDescent="0.25">
      <c r="A9" s="105"/>
      <c r="B9" s="104" t="s">
        <v>64</v>
      </c>
      <c r="C9" s="104" t="s">
        <v>25</v>
      </c>
      <c r="D9" s="104" t="s">
        <v>25</v>
      </c>
      <c r="E9" s="104" t="s">
        <v>25</v>
      </c>
      <c r="F9" s="13" t="s">
        <v>70</v>
      </c>
      <c r="G9" s="12" t="s">
        <v>9</v>
      </c>
      <c r="H9" s="12" t="s">
        <v>91</v>
      </c>
      <c r="I9" s="12">
        <f>SUMIF(Mercado_Receita!$S$2:$S$2285,"43739A2GeraçãoNão se aplicaNão se aplicaNão se aplicaUHE CORUMBA IVNão se aplica",Mercado_Receita!$J$2:$J$2285)+SUMIF(Mercado_Receita!$S$2:$S$2285,"43739A2GeraçãoNão se aplicaNão se aplicaAPEUHE CORUMBA IVNão se aplica",Mercado_Receita!$J$2:$J$2285)</f>
        <v>124500</v>
      </c>
      <c r="J9" s="12">
        <f>SUMIF(Mercado_Receita!$S$2:$S$2285,"43770A2GeraçãoNão se aplicaNão se aplicaNão se aplicaUHE CORUMBA IVNão se aplica",Mercado_Receita!$J$2:$J$2285)+SUMIF(Mercado_Receita!$S$2:$S$2285,"43770A2GeraçãoNão se aplicaNão se aplicaAPEUHE CORUMBA IVNão se aplica",Mercado_Receita!$J$2:$J$2285)</f>
        <v>124500</v>
      </c>
      <c r="K9" s="12">
        <f>SUMIF(Mercado_Receita!$S$2:$S$2285,"43800A2GeraçãoNão se aplicaNão se aplicaNão se aplicaUHE CORUMBA IVNão se aplica",Mercado_Receita!$J$2:$J$2285)+SUMIF(Mercado_Receita!$S$2:$S$2285,"43800A2GeraçãoNão se aplicaNão se aplicaAPEUHE CORUMBA IVNão se aplica",Mercado_Receita!$J$2:$J$2285)</f>
        <v>124500</v>
      </c>
      <c r="L9" s="12">
        <f>SUMIF(Mercado_Receita!$S$2:$S$2285,"43831A2GeraçãoNão se aplicaNão se aplicaNão se aplicaUHE CORUMBA IVNão se aplica",Mercado_Receita!$J$2:$J$2285)+SUMIF(Mercado_Receita!$S$2:$S$2285,"43831A2GeraçãoNão se aplicaNão se aplicaAPEUHE CORUMBA IVNão se aplica",Mercado_Receita!$J$2:$J$2285)</f>
        <v>124500</v>
      </c>
      <c r="M9" s="12">
        <f>SUMIF(Mercado_Receita!$S$2:$S$2285,"43862A2GeraçãoNão se aplicaNão se aplicaNão se aplicaUHE CORUMBA IVNão se aplica",Mercado_Receita!$J$2:$J$2285)+SUMIF(Mercado_Receita!$S$2:$S$2285,"43862A2GeraçãoNão se aplicaNão se aplicaAPEUHE CORUMBA IVNão se aplica",Mercado_Receita!$J$2:$J$2285)</f>
        <v>124500</v>
      </c>
      <c r="N9" s="12">
        <f>SUMIF(Mercado_Receita!$S$2:$S$2285,"43891A2GeraçãoNão se aplicaNão se aplicaNão se aplicaUHE CORUMBA IVNão se aplica",Mercado_Receita!$J$2:$J$2285)+SUMIF(Mercado_Receita!$S$2:$S$2285,"43891A2GeraçãoNão se aplicaNão se aplicaAPEUHE CORUMBA IVNão se aplica",Mercado_Receita!$J$2:$J$2285)</f>
        <v>124500</v>
      </c>
      <c r="O9" s="12">
        <f>SUMIF(Mercado_Receita!$S$2:$S$2285,"43922A2GeraçãoNão se aplicaNão se aplicaNão se aplicaUHE CORUMBA IVNão se aplica",Mercado_Receita!$J$2:$J$2285)+SUMIF(Mercado_Receita!$S$2:$S$2285,"43922A2GeraçãoNão se aplicaNão se aplicaAPEUHE CORUMBA IVNão se aplica",Mercado_Receita!$J$2:$J$2285)</f>
        <v>124500</v>
      </c>
      <c r="P9" s="12">
        <f>SUMIF(Mercado_Receita!$S$2:$S$2285,"43952A2GeraçãoNão se aplicaNão se aplicaNão se aplicaUHE CORUMBA IVNão se aplica",Mercado_Receita!$J$2:$J$2285)+SUMIF(Mercado_Receita!$S$2:$S$2285,"43952A2GeraçãoNão se aplicaNão se aplicaAPEUHE CORUMBA IVNão se aplica",Mercado_Receita!$J$2:$J$2285)</f>
        <v>124500</v>
      </c>
      <c r="Q9" s="12">
        <f>SUMIF(Mercado_Receita!$S$2:$S$2285,"43983A2GeraçãoNão se aplicaNão se aplicaNão se aplicaUHE CORUMBA IVNão se aplica",Mercado_Receita!$J$2:$J$2285)+SUMIF(Mercado_Receita!$S$2:$S$2285,"43983A2GeraçãoNão se aplicaNão se aplicaAPEUHE CORUMBA IVNão se aplica",Mercado_Receita!$J$2:$J$2285)</f>
        <v>124500</v>
      </c>
      <c r="R9" s="12">
        <f>SUMIF(Mercado_Receita!$S$2:$S$2285,"44013A2GeraçãoNão se aplicaNão se aplicaNão se aplicaUHE CORUMBA IVNão se aplica",Mercado_Receita!$J$2:$J$2285)+SUMIF(Mercado_Receita!$S$2:$S$2285,"44013A2GeraçãoNão se aplicaNão se aplicaAPEUHE CORUMBA IVNão se aplica",Mercado_Receita!$J$2:$J$2285)</f>
        <v>124500</v>
      </c>
      <c r="S9" s="12">
        <f>SUMIF(Mercado_Receita!$S$2:$S$2285,"44044A2GeraçãoNão se aplicaNão se aplicaNão se aplicaUHE CORUMBA IVNão se aplica",Mercado_Receita!$J$2:$J$2285)+SUMIF(Mercado_Receita!$S$2:$S$2285,"44044A2GeraçãoNão se aplicaNão se aplicaAPEUHE CORUMBA IVNão se aplica",Mercado_Receita!$J$2:$J$2285)</f>
        <v>124500</v>
      </c>
      <c r="T9" s="12">
        <f>SUMIF(Mercado_Receita!$S$2:$S$2285,"44075A2GeraçãoNão se aplicaNão se aplicaNão se aplicaUHE CORUMBA IVNão se aplica",Mercado_Receita!$J$2:$J$2285)+SUMIF(Mercado_Receita!$S$2:$S$2285,"44075A2GeraçãoNão se aplicaNão se aplicaAPEUHE CORUMBA IVNão se aplica",Mercado_Receita!$J$2:$J$2285)</f>
        <v>124500</v>
      </c>
      <c r="U9" s="12">
        <f t="shared" si="0"/>
        <v>1494000</v>
      </c>
      <c r="V9" s="12"/>
      <c r="W9" s="12"/>
    </row>
    <row r="10" spans="1:30" ht="11.25" customHeight="1" x14ac:dyDescent="0.25">
      <c r="A10" s="105"/>
      <c r="B10" s="105"/>
      <c r="C10" s="105"/>
      <c r="D10" s="105"/>
      <c r="E10" s="105"/>
      <c r="F10" s="13" t="s">
        <v>71</v>
      </c>
      <c r="G10" s="12" t="s">
        <v>9</v>
      </c>
      <c r="H10" s="12" t="s">
        <v>91</v>
      </c>
      <c r="I10" s="12">
        <f>SUMIF(Mercado_Receita!$S$2:$S$2285,"43739A2GeraçãoNão se aplicaNão se aplicaNão se aplicaUHE CORUMBA IIINão se aplica",Mercado_Receita!$J$2:$J$2285)+SUMIF(Mercado_Receita!$S$2:$S$2285,"43739A2GeraçãoNão se aplicaNão se aplicaAPEUHE CORUMBA IIINão se aplica",Mercado_Receita!$J$2:$J$2285)</f>
        <v>86500</v>
      </c>
      <c r="J10" s="12">
        <f>SUMIF(Mercado_Receita!$S$2:$S$2285,"43770A2GeraçãoNão se aplicaNão se aplicaNão se aplicaUHE CORUMBA IIINão se aplica",Mercado_Receita!$J$2:$J$2285)+SUMIF(Mercado_Receita!$S$2:$S$2285,"43770A2GeraçãoNão se aplicaNão se aplicaAPEUHE CORUMBA IIINão se aplica",Mercado_Receita!$J$2:$J$2285)</f>
        <v>86500</v>
      </c>
      <c r="K10" s="12">
        <f>SUMIF(Mercado_Receita!$S$2:$S$2285,"43800A2GeraçãoNão se aplicaNão se aplicaNão se aplicaUHE CORUMBA IIINão se aplica",Mercado_Receita!$J$2:$J$2285)+SUMIF(Mercado_Receita!$S$2:$S$2285,"43800A2GeraçãoNão se aplicaNão se aplicaAPEUHE CORUMBA IIINão se aplica",Mercado_Receita!$J$2:$J$2285)</f>
        <v>86500</v>
      </c>
      <c r="L10" s="12">
        <f>SUMIF(Mercado_Receita!$S$2:$S$2285,"43831A2GeraçãoNão se aplicaNão se aplicaNão se aplicaUHE CORUMBA IIINão se aplica",Mercado_Receita!$J$2:$J$2285)+SUMIF(Mercado_Receita!$S$2:$S$2285,"43831A2GeraçãoNão se aplicaNão se aplicaAPEUHE CORUMBA IIINão se aplica",Mercado_Receita!$J$2:$J$2285)</f>
        <v>86500</v>
      </c>
      <c r="M10" s="12">
        <f>SUMIF(Mercado_Receita!$S$2:$S$2285,"43862A2GeraçãoNão se aplicaNão se aplicaNão se aplicaUHE CORUMBA IIINão se aplica",Mercado_Receita!$J$2:$J$2285)+SUMIF(Mercado_Receita!$S$2:$S$2285,"43862A2GeraçãoNão se aplicaNão se aplicaAPEUHE CORUMBA IIINão se aplica",Mercado_Receita!$J$2:$J$2285)</f>
        <v>86500</v>
      </c>
      <c r="N10" s="12">
        <f>SUMIF(Mercado_Receita!$S$2:$S$2285,"43891A2GeraçãoNão se aplicaNão se aplicaNão se aplicaUHE CORUMBA IIINão se aplica",Mercado_Receita!$J$2:$J$2285)+SUMIF(Mercado_Receita!$S$2:$S$2285,"43891A2GeraçãoNão se aplicaNão se aplicaAPEUHE CORUMBA IIINão se aplica",Mercado_Receita!$J$2:$J$2285)</f>
        <v>86500</v>
      </c>
      <c r="O10" s="12">
        <f>SUMIF(Mercado_Receita!$S$2:$S$2285,"43922A2GeraçãoNão se aplicaNão se aplicaNão se aplicaUHE CORUMBA IIINão se aplica",Mercado_Receita!$J$2:$J$2285)+SUMIF(Mercado_Receita!$S$2:$S$2285,"43922A2GeraçãoNão se aplicaNão se aplicaAPEUHE CORUMBA IIINão se aplica",Mercado_Receita!$J$2:$J$2285)</f>
        <v>86500</v>
      </c>
      <c r="P10" s="12">
        <f>SUMIF(Mercado_Receita!$S$2:$S$2285,"43952A2GeraçãoNão se aplicaNão se aplicaNão se aplicaUHE CORUMBA IIINão se aplica",Mercado_Receita!$J$2:$J$2285)+SUMIF(Mercado_Receita!$S$2:$S$2285,"43952A2GeraçãoNão se aplicaNão se aplicaAPEUHE CORUMBA IIINão se aplica",Mercado_Receita!$J$2:$J$2285)</f>
        <v>86500</v>
      </c>
      <c r="Q10" s="12">
        <f>SUMIF(Mercado_Receita!$S$2:$S$2285,"43983A2GeraçãoNão se aplicaNão se aplicaNão se aplicaUHE CORUMBA IIINão se aplica",Mercado_Receita!$J$2:$J$2285)+SUMIF(Mercado_Receita!$S$2:$S$2285,"43983A2GeraçãoNão se aplicaNão se aplicaAPEUHE CORUMBA IIINão se aplica",Mercado_Receita!$J$2:$J$2285)</f>
        <v>86500</v>
      </c>
      <c r="R10" s="12">
        <f>SUMIF(Mercado_Receita!$S$2:$S$2285,"44013A2GeraçãoNão se aplicaNão se aplicaNão se aplicaUHE CORUMBA IIINão se aplica",Mercado_Receita!$J$2:$J$2285)+SUMIF(Mercado_Receita!$S$2:$S$2285,"44013A2GeraçãoNão se aplicaNão se aplicaAPEUHE CORUMBA IIINão se aplica",Mercado_Receita!$J$2:$J$2285)</f>
        <v>86500</v>
      </c>
      <c r="S10" s="12">
        <f>SUMIF(Mercado_Receita!$S$2:$S$2285,"44044A2GeraçãoNão se aplicaNão se aplicaNão se aplicaUHE CORUMBA IIINão se aplica",Mercado_Receita!$J$2:$J$2285)+SUMIF(Mercado_Receita!$S$2:$S$2285,"44044A2GeraçãoNão se aplicaNão se aplicaAPEUHE CORUMBA IIINão se aplica",Mercado_Receita!$J$2:$J$2285)</f>
        <v>86500</v>
      </c>
      <c r="T10" s="12">
        <f>SUMIF(Mercado_Receita!$S$2:$S$2285,"44075A2GeraçãoNão se aplicaNão se aplicaNão se aplicaUHE CORUMBA IIINão se aplica",Mercado_Receita!$J$2:$J$2285)+SUMIF(Mercado_Receita!$S$2:$S$2285,"44075A2GeraçãoNão se aplicaNão se aplicaAPEUHE CORUMBA IIINão se aplica",Mercado_Receita!$J$2:$J$2285)</f>
        <v>86500</v>
      </c>
      <c r="U10" s="12">
        <f t="shared" si="0"/>
        <v>1038000</v>
      </c>
      <c r="V10" s="12"/>
      <c r="W10" s="12"/>
    </row>
    <row r="11" spans="1:30" ht="11.25" customHeight="1" x14ac:dyDescent="0.25">
      <c r="A11" s="105"/>
      <c r="B11" s="105"/>
      <c r="C11" s="105"/>
      <c r="D11" s="105"/>
      <c r="E11" s="105"/>
      <c r="F11" s="13" t="s">
        <v>95</v>
      </c>
      <c r="G11" s="12" t="s">
        <v>9</v>
      </c>
      <c r="H11" s="12" t="s">
        <v>91</v>
      </c>
      <c r="I11" s="12">
        <f>SUMIF(Mercado_Receita!$S$2:$S$2285,"43739A2GeraçãoNão se aplicaNão se aplicaNão se aplicaNOVO GERADORNão se aplica",Mercado_Receita!$J$2:$J$2285)+SUMIF(Mercado_Receita!$S$2:$S$2285,"43739A2GeraçãoNão se aplicaNão se aplicaAPENOVO GERADORNão se aplica",Mercado_Receita!$J$2:$J$2285)</f>
        <v>0</v>
      </c>
      <c r="J11" s="12">
        <f>SUMIF(Mercado_Receita!$S$2:$S$2285,"43770A2GeraçãoNão se aplicaNão se aplicaNão se aplicaNOVO GERADORNão se aplica",Mercado_Receita!$J$2:$J$2285)+SUMIF(Mercado_Receita!$S$2:$S$2285,"43770A2GeraçãoNão se aplicaNão se aplicaAPENOVO GERADORNão se aplica",Mercado_Receita!$J$2:$J$2285)</f>
        <v>0</v>
      </c>
      <c r="K11" s="12">
        <f>SUMIF(Mercado_Receita!$S$2:$S$2285,"43800A2GeraçãoNão se aplicaNão se aplicaNão se aplicaNOVO GERADORNão se aplica",Mercado_Receita!$J$2:$J$2285)+SUMIF(Mercado_Receita!$S$2:$S$2285,"43800A2GeraçãoNão se aplicaNão se aplicaAPENOVO GERADORNão se aplica",Mercado_Receita!$J$2:$J$2285)</f>
        <v>0</v>
      </c>
      <c r="L11" s="12">
        <f>SUMIF(Mercado_Receita!$S$2:$S$2285,"43831A2GeraçãoNão se aplicaNão se aplicaNão se aplicaNOVO GERADORNão se aplica",Mercado_Receita!$J$2:$J$2285)+SUMIF(Mercado_Receita!$S$2:$S$2285,"43831A2GeraçãoNão se aplicaNão se aplicaAPENOVO GERADORNão se aplica",Mercado_Receita!$J$2:$J$2285)</f>
        <v>0</v>
      </c>
      <c r="M11" s="12">
        <f>SUMIF(Mercado_Receita!$S$2:$S$2285,"43862A2GeraçãoNão se aplicaNão se aplicaNão se aplicaNOVO GERADORNão se aplica",Mercado_Receita!$J$2:$J$2285)+SUMIF(Mercado_Receita!$S$2:$S$2285,"43862A2GeraçãoNão se aplicaNão se aplicaAPENOVO GERADORNão se aplica",Mercado_Receita!$J$2:$J$2285)</f>
        <v>0</v>
      </c>
      <c r="N11" s="12">
        <f>SUMIF(Mercado_Receita!$S$2:$S$2285,"43891A2GeraçãoNão se aplicaNão se aplicaNão se aplicaNOVO GERADORNão se aplica",Mercado_Receita!$J$2:$J$2285)+SUMIF(Mercado_Receita!$S$2:$S$2285,"43891A2GeraçãoNão se aplicaNão se aplicaAPENOVO GERADORNão se aplica",Mercado_Receita!$J$2:$J$2285)</f>
        <v>0</v>
      </c>
      <c r="O11" s="12">
        <f>SUMIF(Mercado_Receita!$S$2:$S$2285,"43922A2GeraçãoNão se aplicaNão se aplicaNão se aplicaNOVO GERADORNão se aplica",Mercado_Receita!$J$2:$J$2285)+SUMIF(Mercado_Receita!$S$2:$S$2285,"43922A2GeraçãoNão se aplicaNão se aplicaAPENOVO GERADORNão se aplica",Mercado_Receita!$J$2:$J$2285)</f>
        <v>0</v>
      </c>
      <c r="P11" s="12">
        <f>SUMIF(Mercado_Receita!$S$2:$S$2285,"43952A2GeraçãoNão se aplicaNão se aplicaNão se aplicaNOVO GERADORNão se aplica",Mercado_Receita!$J$2:$J$2285)+SUMIF(Mercado_Receita!$S$2:$S$2285,"43952A2GeraçãoNão se aplicaNão se aplicaAPENOVO GERADORNão se aplica",Mercado_Receita!$J$2:$J$2285)</f>
        <v>0</v>
      </c>
      <c r="Q11" s="12">
        <f>SUMIF(Mercado_Receita!$S$2:$S$2285,"43983A2GeraçãoNão se aplicaNão se aplicaNão se aplicaNOVO GERADORNão se aplica",Mercado_Receita!$J$2:$J$2285)+SUMIF(Mercado_Receita!$S$2:$S$2285,"43983A2GeraçãoNão se aplicaNão se aplicaAPENOVO GERADORNão se aplica",Mercado_Receita!$J$2:$J$2285)</f>
        <v>0</v>
      </c>
      <c r="R11" s="12">
        <f>SUMIF(Mercado_Receita!$S$2:$S$2285,"44013A2GeraçãoNão se aplicaNão se aplicaNão se aplicaNOVO GERADORNão se aplica",Mercado_Receita!$J$2:$J$2285)+SUMIF(Mercado_Receita!$S$2:$S$2285,"44013A2GeraçãoNão se aplicaNão se aplicaAPENOVO GERADORNão se aplica",Mercado_Receita!$J$2:$J$2285)</f>
        <v>0</v>
      </c>
      <c r="S11" s="12">
        <f>SUMIF(Mercado_Receita!$S$2:$S$2285,"44044A2GeraçãoNão se aplicaNão se aplicaNão se aplicaNOVO GERADORNão se aplica",Mercado_Receita!$J$2:$J$2285)+SUMIF(Mercado_Receita!$S$2:$S$2285,"44044A2GeraçãoNão se aplicaNão se aplicaAPENOVO GERADORNão se aplica",Mercado_Receita!$J$2:$J$2285)</f>
        <v>0</v>
      </c>
      <c r="T11" s="12">
        <f>SUMIF(Mercado_Receita!$S$2:$S$2285,"44075A2GeraçãoNão se aplicaNão se aplicaNão se aplicaNOVO GERADORNão se aplica",Mercado_Receita!$J$2:$J$2285)+SUMIF(Mercado_Receita!$S$2:$S$2285,"44075A2GeraçãoNão se aplicaNão se aplicaAPENOVO GERADORNão se aplica",Mercado_Receita!$J$2:$J$2285)</f>
        <v>0</v>
      </c>
      <c r="U11" s="12">
        <f t="shared" si="0"/>
        <v>0</v>
      </c>
      <c r="V11" s="12"/>
      <c r="W11" s="12"/>
    </row>
    <row r="12" spans="1:30" ht="11.25" customHeight="1" x14ac:dyDescent="0.25">
      <c r="A12" s="104" t="s">
        <v>45</v>
      </c>
      <c r="B12" s="104" t="s">
        <v>41</v>
      </c>
      <c r="C12" s="104" t="s">
        <v>25</v>
      </c>
      <c r="D12" s="104" t="s">
        <v>25</v>
      </c>
      <c r="E12" s="104" t="s">
        <v>25</v>
      </c>
      <c r="F12" s="104" t="s">
        <v>25</v>
      </c>
      <c r="G12" s="12" t="s">
        <v>92</v>
      </c>
      <c r="H12" s="12" t="s">
        <v>91</v>
      </c>
      <c r="I12" s="12">
        <f>SUMIF(Mercado_Receita!$S$2:$S$2285,"43739A3aAzulNão se aplicaNão se aplicaNão se aplicaNão se aplicaPonta",Mercado_Receita!$J$2:$J$2285)+SUMIF(Mercado_Receita!$S$2:$S$2285,"43739A3aAzulNão se aplicaNão se aplicaAPENão se aplicaPonta",Mercado_Receita!$J$2:$J$2285)</f>
        <v>7100</v>
      </c>
      <c r="J12" s="12">
        <f>SUMIF(Mercado_Receita!$S$2:$S$2285,"43770A3aAzulNão se aplicaNão se aplicaNão se aplicaNão se aplicaPonta",Mercado_Receita!$J$2:$J$2285)+SUMIF(Mercado_Receita!$S$2:$S$2285,"43770A3aAzulNão se aplicaNão se aplicaAPENão se aplicaPonta",Mercado_Receita!$J$2:$J$2285)</f>
        <v>7100</v>
      </c>
      <c r="K12" s="12">
        <f>SUMIF(Mercado_Receita!$S$2:$S$2285,"43800A3aAzulNão se aplicaNão se aplicaNão se aplicaNão se aplicaPonta",Mercado_Receita!$J$2:$J$2285)+SUMIF(Mercado_Receita!$S$2:$S$2285,"43800A3aAzulNão se aplicaNão se aplicaAPENão se aplicaPonta",Mercado_Receita!$J$2:$J$2285)</f>
        <v>7236</v>
      </c>
      <c r="L12" s="12">
        <f>SUMIF(Mercado_Receita!$S$2:$S$2285,"43831A3aAzulNão se aplicaNão se aplicaNão se aplicaNão se aplicaPonta",Mercado_Receita!$J$2:$J$2285)+SUMIF(Mercado_Receita!$S$2:$S$2285,"43831A3aAzulNão se aplicaNão se aplicaAPENão se aplicaPonta",Mercado_Receita!$J$2:$J$2285)</f>
        <v>7100</v>
      </c>
      <c r="M12" s="12">
        <f>SUMIF(Mercado_Receita!$S$2:$S$2285,"43862A3aAzulNão se aplicaNão se aplicaNão se aplicaNão se aplicaPonta",Mercado_Receita!$J$2:$J$2285)+SUMIF(Mercado_Receita!$S$2:$S$2285,"43862A3aAzulNão se aplicaNão se aplicaAPENão se aplicaPonta",Mercado_Receita!$J$2:$J$2285)</f>
        <v>7188</v>
      </c>
      <c r="N12" s="12">
        <f>SUMIF(Mercado_Receita!$S$2:$S$2285,"43891A3aAzulNão se aplicaNão se aplicaNão se aplicaNão se aplicaPonta",Mercado_Receita!$J$2:$J$2285)+SUMIF(Mercado_Receita!$S$2:$S$2285,"43891A3aAzulNão se aplicaNão se aplicaAPENão se aplicaPonta",Mercado_Receita!$J$2:$J$2285)</f>
        <v>7188</v>
      </c>
      <c r="O12" s="12">
        <f>SUMIF(Mercado_Receita!$S$2:$S$2285,"43922A3aAzulNão se aplicaNão se aplicaNão se aplicaNão se aplicaPonta",Mercado_Receita!$J$2:$J$2285)+SUMIF(Mercado_Receita!$S$2:$S$2285,"43922A3aAzulNão se aplicaNão se aplicaAPENão se aplicaPonta",Mercado_Receita!$J$2:$J$2285)</f>
        <v>7178</v>
      </c>
      <c r="P12" s="12">
        <f>SUMIF(Mercado_Receita!$S$2:$S$2285,"43952A3aAzulNão se aplicaNão se aplicaNão se aplicaNão se aplicaPonta",Mercado_Receita!$J$2:$J$2285)+SUMIF(Mercado_Receita!$S$2:$S$2285,"43952A3aAzulNão se aplicaNão se aplicaAPENão se aplicaPonta",Mercado_Receita!$J$2:$J$2285)</f>
        <v>7159</v>
      </c>
      <c r="Q12" s="12">
        <f>SUMIF(Mercado_Receita!$S$2:$S$2285,"43983A3aAzulNão se aplicaNão se aplicaNão se aplicaNão se aplicaPonta",Mercado_Receita!$J$2:$J$2285)+SUMIF(Mercado_Receita!$S$2:$S$2285,"43983A3aAzulNão se aplicaNão se aplicaAPENão se aplicaPonta",Mercado_Receita!$J$2:$J$2285)</f>
        <v>7169</v>
      </c>
      <c r="R12" s="12">
        <f>SUMIF(Mercado_Receita!$S$2:$S$2285,"44013A3aAzulNão se aplicaNão se aplicaNão se aplicaNão se aplicaPonta",Mercado_Receita!$J$2:$J$2285)+SUMIF(Mercado_Receita!$S$2:$S$2285,"44013A3aAzulNão se aplicaNão se aplicaAPENão se aplicaPonta",Mercado_Receita!$J$2:$J$2285)</f>
        <v>7169</v>
      </c>
      <c r="S12" s="12">
        <f>SUMIF(Mercado_Receita!$S$2:$S$2285,"44044A3aAzulNão se aplicaNão se aplicaNão se aplicaNão se aplicaPonta",Mercado_Receita!$J$2:$J$2285)+SUMIF(Mercado_Receita!$S$2:$S$2285,"44044A3aAzulNão se aplicaNão se aplicaAPENão se aplicaPonta",Mercado_Receita!$J$2:$J$2285)</f>
        <v>7178</v>
      </c>
      <c r="T12" s="12">
        <f>SUMIF(Mercado_Receita!$S$2:$S$2285,"44075A3aAzulNão se aplicaNão se aplicaNão se aplicaNão se aplicaPonta",Mercado_Receita!$J$2:$J$2285)+SUMIF(Mercado_Receita!$S$2:$S$2285,"44075A3aAzulNão se aplicaNão se aplicaAPENão se aplicaPonta",Mercado_Receita!$J$2:$J$2285)</f>
        <v>7178</v>
      </c>
      <c r="U12" s="12">
        <f t="shared" si="0"/>
        <v>85943</v>
      </c>
      <c r="V12" s="12"/>
      <c r="W12" s="12"/>
    </row>
    <row r="13" spans="1:30" ht="11.25" customHeight="1" x14ac:dyDescent="0.25">
      <c r="A13" s="105"/>
      <c r="B13" s="105"/>
      <c r="C13" s="105"/>
      <c r="D13" s="105"/>
      <c r="E13" s="105"/>
      <c r="F13" s="105"/>
      <c r="G13" s="12" t="s">
        <v>93</v>
      </c>
      <c r="H13" s="12" t="s">
        <v>91</v>
      </c>
      <c r="I13" s="12">
        <f>SUMIF(Mercado_Receita!$S$2:$S$2285,"43739A3aAzulNão se aplicaNão se aplicaNão se aplicaNão se aplicaFora ponta",Mercado_Receita!$J$2:$J$2285)+SUMIF(Mercado_Receita!$S$2:$S$2285,"43739A3aAzulNão se aplicaNão se aplicaAPENão se aplicaFora ponta",Mercado_Receita!$J$2:$J$2285)</f>
        <v>8267</v>
      </c>
      <c r="J13" s="12">
        <f>SUMIF(Mercado_Receita!$S$2:$S$2285,"43770A3aAzulNão se aplicaNão se aplicaNão se aplicaNão se aplicaFora ponta",Mercado_Receita!$J$2:$J$2285)+SUMIF(Mercado_Receita!$S$2:$S$2285,"43770A3aAzulNão se aplicaNão se aplicaAPENão se aplicaFora ponta",Mercado_Receita!$J$2:$J$2285)</f>
        <v>8296</v>
      </c>
      <c r="K13" s="12">
        <f>SUMIF(Mercado_Receita!$S$2:$S$2285,"43800A3aAzulNão se aplicaNão se aplicaNão se aplicaNão se aplicaFora ponta",Mercado_Receita!$J$2:$J$2285)+SUMIF(Mercado_Receita!$S$2:$S$2285,"43800A3aAzulNão se aplicaNão se aplicaAPENão se aplicaFora ponta",Mercado_Receita!$J$2:$J$2285)</f>
        <v>8219</v>
      </c>
      <c r="L13" s="12">
        <f>SUMIF(Mercado_Receita!$S$2:$S$2285,"43831A3aAzulNão se aplicaNão se aplicaNão se aplicaNão se aplicaFora ponta",Mercado_Receita!$J$2:$J$2285)+SUMIF(Mercado_Receita!$S$2:$S$2285,"43831A3aAzulNão se aplicaNão se aplicaAPENão se aplicaFora ponta",Mercado_Receita!$J$2:$J$2285)</f>
        <v>8267</v>
      </c>
      <c r="M13" s="12">
        <f>SUMIF(Mercado_Receita!$S$2:$S$2285,"43862A3aAzulNão se aplicaNão se aplicaNão se aplicaNão se aplicaFora ponta",Mercado_Receita!$J$2:$J$2285)+SUMIF(Mercado_Receita!$S$2:$S$2285,"43862A3aAzulNão se aplicaNão se aplicaAPENão se aplicaFora ponta",Mercado_Receita!$J$2:$J$2285)</f>
        <v>8277</v>
      </c>
      <c r="N13" s="12">
        <f>SUMIF(Mercado_Receita!$S$2:$S$2285,"43891A3aAzulNão se aplicaNão se aplicaNão se aplicaNão se aplicaFora ponta",Mercado_Receita!$J$2:$J$2285)+SUMIF(Mercado_Receita!$S$2:$S$2285,"43891A3aAzulNão se aplicaNão se aplicaAPENão se aplicaFora ponta",Mercado_Receita!$J$2:$J$2285)</f>
        <v>8306</v>
      </c>
      <c r="O13" s="12">
        <f>SUMIF(Mercado_Receita!$S$2:$S$2285,"43922A3aAzulNão se aplicaNão se aplicaNão se aplicaNão se aplicaFora ponta",Mercado_Receita!$J$2:$J$2285)+SUMIF(Mercado_Receita!$S$2:$S$2285,"43922A3aAzulNão se aplicaNão se aplicaAPENão se aplicaFora ponta",Mercado_Receita!$J$2:$J$2285)</f>
        <v>8306</v>
      </c>
      <c r="P13" s="12">
        <f>SUMIF(Mercado_Receita!$S$2:$S$2285,"43952A3aAzulNão se aplicaNão se aplicaNão se aplicaNão se aplicaFora ponta",Mercado_Receita!$J$2:$J$2285)+SUMIF(Mercado_Receita!$S$2:$S$2285,"43952A3aAzulNão se aplicaNão se aplicaAPENão se aplicaFora ponta",Mercado_Receita!$J$2:$J$2285)</f>
        <v>8210</v>
      </c>
      <c r="Q13" s="12">
        <f>SUMIF(Mercado_Receita!$S$2:$S$2285,"43983A3aAzulNão se aplicaNão se aplicaNão se aplicaNão se aplicaFora ponta",Mercado_Receita!$J$2:$J$2285)+SUMIF(Mercado_Receita!$S$2:$S$2285,"43983A3aAzulNão se aplicaNão se aplicaAPENão se aplicaFora ponta",Mercado_Receita!$J$2:$J$2285)</f>
        <v>8248</v>
      </c>
      <c r="R13" s="12">
        <f>SUMIF(Mercado_Receita!$S$2:$S$2285,"44013A3aAzulNão se aplicaNão se aplicaNão se aplicaNão se aplicaFora ponta",Mercado_Receita!$J$2:$J$2285)+SUMIF(Mercado_Receita!$S$2:$S$2285,"44013A3aAzulNão se aplicaNão se aplicaAPENão se aplicaFora ponta",Mercado_Receita!$J$2:$J$2285)</f>
        <v>8267</v>
      </c>
      <c r="S13" s="12">
        <f>SUMIF(Mercado_Receita!$S$2:$S$2285,"44044A3aAzulNão se aplicaNão se aplicaNão se aplicaNão se aplicaFora ponta",Mercado_Receita!$J$2:$J$2285)+SUMIF(Mercado_Receita!$S$2:$S$2285,"44044A3aAzulNão se aplicaNão se aplicaAPENão se aplicaFora ponta",Mercado_Receita!$J$2:$J$2285)</f>
        <v>8258</v>
      </c>
      <c r="T13" s="12">
        <f>SUMIF(Mercado_Receita!$S$2:$S$2285,"44075A3aAzulNão se aplicaNão se aplicaNão se aplicaNão se aplicaFora ponta",Mercado_Receita!$J$2:$J$2285)+SUMIF(Mercado_Receita!$S$2:$S$2285,"44075A3aAzulNão se aplicaNão se aplicaAPENão se aplicaFora ponta",Mercado_Receita!$J$2:$J$2285)</f>
        <v>8258</v>
      </c>
      <c r="U13" s="12">
        <f t="shared" si="0"/>
        <v>99179</v>
      </c>
      <c r="V13" s="12"/>
      <c r="W13" s="12"/>
    </row>
    <row r="14" spans="1:30" ht="11.25" customHeight="1" x14ac:dyDescent="0.25">
      <c r="A14" s="105"/>
      <c r="B14" s="105"/>
      <c r="C14" s="105"/>
      <c r="D14" s="105"/>
      <c r="E14" s="105"/>
      <c r="F14" s="105"/>
      <c r="G14" s="12" t="s">
        <v>94</v>
      </c>
      <c r="H14" s="12" t="s">
        <v>88</v>
      </c>
      <c r="I14" s="12">
        <f>SUMIF(Mercado_Receita!$S$2:$S$2285,"43739A3aAzulNão se aplicaNão se aplicaNão se aplicaNão se aplicaPonta",Mercado_Receita!$L$2:$L$2285)+SUMIF(Mercado_Receita!$S$2:$S$2285,"43739A3aAzulNão se aplicaNão se aplicaNão se aplicaNão se aplicaFora ponta",Mercado_Receita!$L$2:$L$2285)+SUMIF(Mercado_Receita!$S$2:$S$2285,"43739A3aAzulNão se aplicaNão se aplicaNão se aplicaNão se aplicaIntermediário",Mercado_Receita!$L$2:$L$2285)+SUMIF(Mercado_Receita!$S$2:$S$2285,"43739A3aAzulNão se aplicaNão se aplicaNão se aplicaNão se aplicaNão se aplica",Mercado_Receita!$L$2:$L$2285)</f>
        <v>3323.1500000000005</v>
      </c>
      <c r="J14" s="12">
        <f>SUMIF(Mercado_Receita!$S$2:$S$2285,"43770A3aAzulNão se aplicaNão se aplicaNão se aplicaNão se aplicaPonta",Mercado_Receita!$L$2:$L$2285)+SUMIF(Mercado_Receita!$S$2:$S$2285,"43770A3aAzulNão se aplicaNão se aplicaNão se aplicaNão se aplicaFora ponta",Mercado_Receita!$L$2:$L$2285)+SUMIF(Mercado_Receita!$S$2:$S$2285,"43770A3aAzulNão se aplicaNão se aplicaNão se aplicaNão se aplicaIntermediário",Mercado_Receita!$L$2:$L$2285)+SUMIF(Mercado_Receita!$S$2:$S$2285,"43770A3aAzulNão se aplicaNão se aplicaNão se aplicaNão se aplicaNão se aplica",Mercado_Receita!$L$2:$L$2285)</f>
        <v>3634.6870000000004</v>
      </c>
      <c r="K14" s="12">
        <f>SUMIF(Mercado_Receita!$S$2:$S$2285,"43800A3aAzulNão se aplicaNão se aplicaNão se aplicaNão se aplicaPonta",Mercado_Receita!$L$2:$L$2285)+SUMIF(Mercado_Receita!$S$2:$S$2285,"43800A3aAzulNão se aplicaNão se aplicaNão se aplicaNão se aplicaFora ponta",Mercado_Receita!$L$2:$L$2285)+SUMIF(Mercado_Receita!$S$2:$S$2285,"43800A3aAzulNão se aplicaNão se aplicaNão se aplicaNão se aplicaIntermediário",Mercado_Receita!$L$2:$L$2285)+SUMIF(Mercado_Receita!$S$2:$S$2285,"43800A3aAzulNão se aplicaNão se aplicaNão se aplicaNão se aplicaNão se aplica",Mercado_Receita!$L$2:$L$2285)</f>
        <v>3500.2309999999998</v>
      </c>
      <c r="L14" s="12">
        <f>SUMIF(Mercado_Receita!$S$2:$S$2285,"43831A3aAzulNão se aplicaNão se aplicaNão se aplicaNão se aplicaPonta",Mercado_Receita!$L$2:$L$2285)+SUMIF(Mercado_Receita!$S$2:$S$2285,"43831A3aAzulNão se aplicaNão se aplicaNão se aplicaNão se aplicaFora ponta",Mercado_Receita!$L$2:$L$2285)+SUMIF(Mercado_Receita!$S$2:$S$2285,"43831A3aAzulNão se aplicaNão se aplicaNão se aplicaNão se aplicaIntermediário",Mercado_Receita!$L$2:$L$2285)+SUMIF(Mercado_Receita!$S$2:$S$2285,"43831A3aAzulNão se aplicaNão se aplicaNão se aplicaNão se aplicaNão se aplica",Mercado_Receita!$L$2:$L$2285)</f>
        <v>3232.549</v>
      </c>
      <c r="M14" s="12">
        <f>SUMIF(Mercado_Receita!$S$2:$S$2285,"43862A3aAzulNão se aplicaNão se aplicaNão se aplicaNão se aplicaPonta",Mercado_Receita!$L$2:$L$2285)+SUMIF(Mercado_Receita!$S$2:$S$2285,"43862A3aAzulNão se aplicaNão se aplicaNão se aplicaNão se aplicaFora ponta",Mercado_Receita!$L$2:$L$2285)+SUMIF(Mercado_Receita!$S$2:$S$2285,"43862A3aAzulNão se aplicaNão se aplicaNão se aplicaNão se aplicaIntermediário",Mercado_Receita!$L$2:$L$2285)+SUMIF(Mercado_Receita!$S$2:$S$2285,"43862A3aAzulNão se aplicaNão se aplicaNão se aplicaNão se aplicaNão se aplica",Mercado_Receita!$L$2:$L$2285)</f>
        <v>3330.7290000000003</v>
      </c>
      <c r="N14" s="12">
        <f>SUMIF(Mercado_Receita!$S$2:$S$2285,"43891A3aAzulNão se aplicaNão se aplicaNão se aplicaNão se aplicaPonta",Mercado_Receita!$L$2:$L$2285)+SUMIF(Mercado_Receita!$S$2:$S$2285,"43891A3aAzulNão se aplicaNão se aplicaNão se aplicaNão se aplicaFora ponta",Mercado_Receita!$L$2:$L$2285)+SUMIF(Mercado_Receita!$S$2:$S$2285,"43891A3aAzulNão se aplicaNão se aplicaNão se aplicaNão se aplicaIntermediário",Mercado_Receita!$L$2:$L$2285)+SUMIF(Mercado_Receita!$S$2:$S$2285,"43891A3aAzulNão se aplicaNão se aplicaNão se aplicaNão se aplicaNão se aplica",Mercado_Receita!$L$2:$L$2285)</f>
        <v>2920.46</v>
      </c>
      <c r="O14" s="12">
        <f>SUMIF(Mercado_Receita!$S$2:$S$2285,"43922A3aAzulNão se aplicaNão se aplicaNão se aplicaNão se aplicaPonta",Mercado_Receita!$L$2:$L$2285)+SUMIF(Mercado_Receita!$S$2:$S$2285,"43922A3aAzulNão se aplicaNão se aplicaNão se aplicaNão se aplicaFora ponta",Mercado_Receita!$L$2:$L$2285)+SUMIF(Mercado_Receita!$S$2:$S$2285,"43922A3aAzulNão se aplicaNão se aplicaNão se aplicaNão se aplicaIntermediário",Mercado_Receita!$L$2:$L$2285)+SUMIF(Mercado_Receita!$S$2:$S$2285,"43922A3aAzulNão se aplicaNão se aplicaNão se aplicaNão se aplicaNão se aplica",Mercado_Receita!$L$2:$L$2285)</f>
        <v>2812.1870000000004</v>
      </c>
      <c r="P14" s="12">
        <f>SUMIF(Mercado_Receita!$S$2:$S$2285,"43952A3aAzulNão se aplicaNão se aplicaNão se aplicaNão se aplicaPonta",Mercado_Receita!$L$2:$L$2285)+SUMIF(Mercado_Receita!$S$2:$S$2285,"43952A3aAzulNão se aplicaNão se aplicaNão se aplicaNão se aplicaFora ponta",Mercado_Receita!$L$2:$L$2285)+SUMIF(Mercado_Receita!$S$2:$S$2285,"43952A3aAzulNão se aplicaNão se aplicaNão se aplicaNão se aplicaIntermediário",Mercado_Receita!$L$2:$L$2285)+SUMIF(Mercado_Receita!$S$2:$S$2285,"43952A3aAzulNão se aplicaNão se aplicaNão se aplicaNão se aplicaNão se aplica",Mercado_Receita!$L$2:$L$2285)</f>
        <v>2910.1480000000001</v>
      </c>
      <c r="Q14" s="12">
        <f>SUMIF(Mercado_Receita!$S$2:$S$2285,"43983A3aAzulNão se aplicaNão se aplicaNão se aplicaNão se aplicaPonta",Mercado_Receita!$L$2:$L$2285)+SUMIF(Mercado_Receita!$S$2:$S$2285,"43983A3aAzulNão se aplicaNão se aplicaNão se aplicaNão se aplicaFora ponta",Mercado_Receita!$L$2:$L$2285)+SUMIF(Mercado_Receita!$S$2:$S$2285,"43983A3aAzulNão se aplicaNão se aplicaNão se aplicaNão se aplicaIntermediário",Mercado_Receita!$L$2:$L$2285)+SUMIF(Mercado_Receita!$S$2:$S$2285,"43983A3aAzulNão se aplicaNão se aplicaNão se aplicaNão se aplicaNão se aplica",Mercado_Receita!$L$2:$L$2285)</f>
        <v>3156.9610000000002</v>
      </c>
      <c r="R14" s="12">
        <f>SUMIF(Mercado_Receita!$S$2:$S$2285,"44013A3aAzulNão se aplicaNão se aplicaNão se aplicaNão se aplicaPonta",Mercado_Receita!$L$2:$L$2285)+SUMIF(Mercado_Receita!$S$2:$S$2285,"44013A3aAzulNão se aplicaNão se aplicaNão se aplicaNão se aplicaFora ponta",Mercado_Receita!$L$2:$L$2285)+SUMIF(Mercado_Receita!$S$2:$S$2285,"44013A3aAzulNão se aplicaNão se aplicaNão se aplicaNão se aplicaIntermediário",Mercado_Receita!$L$2:$L$2285)+SUMIF(Mercado_Receita!$S$2:$S$2285,"44013A3aAzulNão se aplicaNão se aplicaNão se aplicaNão se aplicaNão se aplica",Mercado_Receita!$L$2:$L$2285)</f>
        <v>3576.9570000000003</v>
      </c>
      <c r="S14" s="12">
        <f>SUMIF(Mercado_Receita!$S$2:$S$2285,"44044A3aAzulNão se aplicaNão se aplicaNão se aplicaNão se aplicaPonta",Mercado_Receita!$L$2:$L$2285)+SUMIF(Mercado_Receita!$S$2:$S$2285,"44044A3aAzulNão se aplicaNão se aplicaNão se aplicaNão se aplicaFora ponta",Mercado_Receita!$L$2:$L$2285)+SUMIF(Mercado_Receita!$S$2:$S$2285,"44044A3aAzulNão se aplicaNão se aplicaNão se aplicaNão se aplicaIntermediário",Mercado_Receita!$L$2:$L$2285)+SUMIF(Mercado_Receita!$S$2:$S$2285,"44044A3aAzulNão se aplicaNão se aplicaNão se aplicaNão se aplicaNão se aplica",Mercado_Receita!$L$2:$L$2285)</f>
        <v>3402.6729999999998</v>
      </c>
      <c r="T14" s="12">
        <f>SUMIF(Mercado_Receita!$S$2:$S$2285,"44075A3aAzulNão se aplicaNão se aplicaNão se aplicaNão se aplicaPonta",Mercado_Receita!$L$2:$L$2285)+SUMIF(Mercado_Receita!$S$2:$S$2285,"44075A3aAzulNão se aplicaNão se aplicaNão se aplicaNão se aplicaFora ponta",Mercado_Receita!$L$2:$L$2285)+SUMIF(Mercado_Receita!$S$2:$S$2285,"44075A3aAzulNão se aplicaNão se aplicaNão se aplicaNão se aplicaIntermediário",Mercado_Receita!$L$2:$L$2285)+SUMIF(Mercado_Receita!$S$2:$S$2285,"44075A3aAzulNão se aplicaNão se aplicaNão se aplicaNão se aplicaNão se aplica",Mercado_Receita!$L$2:$L$2285)</f>
        <v>3402.6729999999998</v>
      </c>
      <c r="U14" s="12">
        <f t="shared" si="0"/>
        <v>39203.405000000006</v>
      </c>
      <c r="V14" s="12"/>
      <c r="W14" s="12"/>
    </row>
    <row r="15" spans="1:30" ht="11.25" customHeight="1" x14ac:dyDescent="0.25">
      <c r="A15" s="105"/>
      <c r="B15" s="105"/>
      <c r="C15" s="105"/>
      <c r="D15" s="105"/>
      <c r="E15" s="13" t="s">
        <v>61</v>
      </c>
      <c r="F15" s="13" t="s">
        <v>25</v>
      </c>
      <c r="G15" s="12" t="s">
        <v>94</v>
      </c>
      <c r="H15" s="12" t="s">
        <v>88</v>
      </c>
      <c r="I15" s="12">
        <f>SUMIF(Mercado_Receita!$S$2:$S$2285,"43739A3aAzulNão se aplicaNão se aplicaAPENão se aplicaPonta",Mercado_Receita!$L$2:$L$2285)+SUMIF(Mercado_Receita!$S$2:$S$2285,"43739A3aAzulNão se aplicaNão se aplicaAPENão se aplicaFora ponta",Mercado_Receita!$L$2:$L$2285)+SUMIF(Mercado_Receita!$S$2:$S$2285,"43739A3aAzulNão se aplicaNão se aplicaAPENão se aplicaIntermediário",Mercado_Receita!$L$2:$L$2285)+SUMIF(Mercado_Receita!$S$2:$S$2285,"43739A3aAzulNão se aplicaNão se aplicaAPENão se aplicaNão se aplica",Mercado_Receita!$L$2:$L$2285)</f>
        <v>0</v>
      </c>
      <c r="J15" s="12">
        <f>SUMIF(Mercado_Receita!$S$2:$S$2285,"43770A3aAzulNão se aplicaNão se aplicaAPENão se aplicaPonta",Mercado_Receita!$L$2:$L$2285)+SUMIF(Mercado_Receita!$S$2:$S$2285,"43770A3aAzulNão se aplicaNão se aplicaAPENão se aplicaFora ponta",Mercado_Receita!$L$2:$L$2285)+SUMIF(Mercado_Receita!$S$2:$S$2285,"43770A3aAzulNão se aplicaNão se aplicaAPENão se aplicaIntermediário",Mercado_Receita!$L$2:$L$2285)+SUMIF(Mercado_Receita!$S$2:$S$2285,"43770A3aAzulNão se aplicaNão se aplicaAPENão se aplicaNão se aplica",Mercado_Receita!$L$2:$L$2285)</f>
        <v>0</v>
      </c>
      <c r="K15" s="12">
        <f>SUMIF(Mercado_Receita!$S$2:$S$2285,"43800A3aAzulNão se aplicaNão se aplicaAPENão se aplicaPonta",Mercado_Receita!$L$2:$L$2285)+SUMIF(Mercado_Receita!$S$2:$S$2285,"43800A3aAzulNão se aplicaNão se aplicaAPENão se aplicaFora ponta",Mercado_Receita!$L$2:$L$2285)+SUMIF(Mercado_Receita!$S$2:$S$2285,"43800A3aAzulNão se aplicaNão se aplicaAPENão se aplicaIntermediário",Mercado_Receita!$L$2:$L$2285)+SUMIF(Mercado_Receita!$S$2:$S$2285,"43800A3aAzulNão se aplicaNão se aplicaAPENão se aplicaNão se aplica",Mercado_Receita!$L$2:$L$2285)</f>
        <v>0</v>
      </c>
      <c r="L15" s="12">
        <f>SUMIF(Mercado_Receita!$S$2:$S$2285,"43831A3aAzulNão se aplicaNão se aplicaAPENão se aplicaPonta",Mercado_Receita!$L$2:$L$2285)+SUMIF(Mercado_Receita!$S$2:$S$2285,"43831A3aAzulNão se aplicaNão se aplicaAPENão se aplicaFora ponta",Mercado_Receita!$L$2:$L$2285)+SUMIF(Mercado_Receita!$S$2:$S$2285,"43831A3aAzulNão se aplicaNão se aplicaAPENão se aplicaIntermediário",Mercado_Receita!$L$2:$L$2285)+SUMIF(Mercado_Receita!$S$2:$S$2285,"43831A3aAzulNão se aplicaNão se aplicaAPENão se aplicaNão se aplica",Mercado_Receita!$L$2:$L$2285)</f>
        <v>0</v>
      </c>
      <c r="M15" s="12">
        <f>SUMIF(Mercado_Receita!$S$2:$S$2285,"43862A3aAzulNão se aplicaNão se aplicaAPENão se aplicaPonta",Mercado_Receita!$L$2:$L$2285)+SUMIF(Mercado_Receita!$S$2:$S$2285,"43862A3aAzulNão se aplicaNão se aplicaAPENão se aplicaFora ponta",Mercado_Receita!$L$2:$L$2285)+SUMIF(Mercado_Receita!$S$2:$S$2285,"43862A3aAzulNão se aplicaNão se aplicaAPENão se aplicaIntermediário",Mercado_Receita!$L$2:$L$2285)+SUMIF(Mercado_Receita!$S$2:$S$2285,"43862A3aAzulNão se aplicaNão se aplicaAPENão se aplicaNão se aplica",Mercado_Receita!$L$2:$L$2285)</f>
        <v>0</v>
      </c>
      <c r="N15" s="12">
        <f>SUMIF(Mercado_Receita!$S$2:$S$2285,"43891A3aAzulNão se aplicaNão se aplicaAPENão se aplicaPonta",Mercado_Receita!$L$2:$L$2285)+SUMIF(Mercado_Receita!$S$2:$S$2285,"43891A3aAzulNão se aplicaNão se aplicaAPENão se aplicaFora ponta",Mercado_Receita!$L$2:$L$2285)+SUMIF(Mercado_Receita!$S$2:$S$2285,"43891A3aAzulNão se aplicaNão se aplicaAPENão se aplicaIntermediário",Mercado_Receita!$L$2:$L$2285)+SUMIF(Mercado_Receita!$S$2:$S$2285,"43891A3aAzulNão se aplicaNão se aplicaAPENão se aplicaNão se aplica",Mercado_Receita!$L$2:$L$2285)</f>
        <v>0</v>
      </c>
      <c r="O15" s="12">
        <f>SUMIF(Mercado_Receita!$S$2:$S$2285,"43922A3aAzulNão se aplicaNão se aplicaAPENão se aplicaPonta",Mercado_Receita!$L$2:$L$2285)+SUMIF(Mercado_Receita!$S$2:$S$2285,"43922A3aAzulNão se aplicaNão se aplicaAPENão se aplicaFora ponta",Mercado_Receita!$L$2:$L$2285)+SUMIF(Mercado_Receita!$S$2:$S$2285,"43922A3aAzulNão se aplicaNão se aplicaAPENão se aplicaIntermediário",Mercado_Receita!$L$2:$L$2285)+SUMIF(Mercado_Receita!$S$2:$S$2285,"43922A3aAzulNão se aplicaNão se aplicaAPENão se aplicaNão se aplica",Mercado_Receita!$L$2:$L$2285)</f>
        <v>0</v>
      </c>
      <c r="P15" s="12">
        <f>SUMIF(Mercado_Receita!$S$2:$S$2285,"43952A3aAzulNão se aplicaNão se aplicaAPENão se aplicaPonta",Mercado_Receita!$L$2:$L$2285)+SUMIF(Mercado_Receita!$S$2:$S$2285,"43952A3aAzulNão se aplicaNão se aplicaAPENão se aplicaFora ponta",Mercado_Receita!$L$2:$L$2285)+SUMIF(Mercado_Receita!$S$2:$S$2285,"43952A3aAzulNão se aplicaNão se aplicaAPENão se aplicaIntermediário",Mercado_Receita!$L$2:$L$2285)+SUMIF(Mercado_Receita!$S$2:$S$2285,"43952A3aAzulNão se aplicaNão se aplicaAPENão se aplicaNão se aplica",Mercado_Receita!$L$2:$L$2285)</f>
        <v>0</v>
      </c>
      <c r="Q15" s="12">
        <f>SUMIF(Mercado_Receita!$S$2:$S$2285,"43983A3aAzulNão se aplicaNão se aplicaAPENão se aplicaPonta",Mercado_Receita!$L$2:$L$2285)+SUMIF(Mercado_Receita!$S$2:$S$2285,"43983A3aAzulNão se aplicaNão se aplicaAPENão se aplicaFora ponta",Mercado_Receita!$L$2:$L$2285)+SUMIF(Mercado_Receita!$S$2:$S$2285,"43983A3aAzulNão se aplicaNão se aplicaAPENão se aplicaIntermediário",Mercado_Receita!$L$2:$L$2285)+SUMIF(Mercado_Receita!$S$2:$S$2285,"43983A3aAzulNão se aplicaNão se aplicaAPENão se aplicaNão se aplica",Mercado_Receita!$L$2:$L$2285)</f>
        <v>0</v>
      </c>
      <c r="R15" s="12">
        <f>SUMIF(Mercado_Receita!$S$2:$S$2285,"44013A3aAzulNão se aplicaNão se aplicaAPENão se aplicaPonta",Mercado_Receita!$L$2:$L$2285)+SUMIF(Mercado_Receita!$S$2:$S$2285,"44013A3aAzulNão se aplicaNão se aplicaAPENão se aplicaFora ponta",Mercado_Receita!$L$2:$L$2285)+SUMIF(Mercado_Receita!$S$2:$S$2285,"44013A3aAzulNão se aplicaNão se aplicaAPENão se aplicaIntermediário",Mercado_Receita!$L$2:$L$2285)+SUMIF(Mercado_Receita!$S$2:$S$2285,"44013A3aAzulNão se aplicaNão se aplicaAPENão se aplicaNão se aplica",Mercado_Receita!$L$2:$L$2285)</f>
        <v>0</v>
      </c>
      <c r="S15" s="12">
        <f>SUMIF(Mercado_Receita!$S$2:$S$2285,"44044A3aAzulNão se aplicaNão se aplicaAPENão se aplicaPonta",Mercado_Receita!$L$2:$L$2285)+SUMIF(Mercado_Receita!$S$2:$S$2285,"44044A3aAzulNão se aplicaNão se aplicaAPENão se aplicaFora ponta",Mercado_Receita!$L$2:$L$2285)+SUMIF(Mercado_Receita!$S$2:$S$2285,"44044A3aAzulNão se aplicaNão se aplicaAPENão se aplicaIntermediário",Mercado_Receita!$L$2:$L$2285)+SUMIF(Mercado_Receita!$S$2:$S$2285,"44044A3aAzulNão se aplicaNão se aplicaAPENão se aplicaNão se aplica",Mercado_Receita!$L$2:$L$2285)</f>
        <v>0</v>
      </c>
      <c r="T15" s="12">
        <f>SUMIF(Mercado_Receita!$S$2:$S$2285,"44075A3aAzulNão se aplicaNão se aplicaAPENão se aplicaPonta",Mercado_Receita!$L$2:$L$2285)+SUMIF(Mercado_Receita!$S$2:$S$2285,"44075A3aAzulNão se aplicaNão se aplicaAPENão se aplicaFora ponta",Mercado_Receita!$L$2:$L$2285)+SUMIF(Mercado_Receita!$S$2:$S$2285,"44075A3aAzulNão se aplicaNão se aplicaAPENão se aplicaIntermediário",Mercado_Receita!$L$2:$L$2285)+SUMIF(Mercado_Receita!$S$2:$S$2285,"44075A3aAzulNão se aplicaNão se aplicaAPENão se aplicaNão se aplica",Mercado_Receita!$L$2:$L$2285)</f>
        <v>0</v>
      </c>
      <c r="U15" s="12">
        <f t="shared" si="0"/>
        <v>0</v>
      </c>
      <c r="V15" s="12"/>
      <c r="W15" s="12"/>
    </row>
    <row r="16" spans="1:30" ht="11.25" customHeight="1" x14ac:dyDescent="0.25">
      <c r="A16" s="105"/>
      <c r="B16" s="13" t="s">
        <v>64</v>
      </c>
      <c r="C16" s="13" t="s">
        <v>25</v>
      </c>
      <c r="D16" s="13" t="s">
        <v>25</v>
      </c>
      <c r="E16" s="13" t="s">
        <v>25</v>
      </c>
      <c r="F16" s="13" t="s">
        <v>25</v>
      </c>
      <c r="G16" s="12" t="s">
        <v>9</v>
      </c>
      <c r="H16" s="12" t="s">
        <v>91</v>
      </c>
      <c r="I16" s="12">
        <f>SUMIF(Mercado_Receita!$S$2:$S$2285,"43739A3aGeraçãoNão se aplicaNão se aplicaNão se aplicaNão se aplicaNão se aplica",Mercado_Receita!$J$2:$J$2285)+SUMIF(Mercado_Receita!$S$2:$S$2285,"43739A3aGeraçãoNão se aplicaNão se aplicaAPENão se aplicaNão se aplica",Mercado_Receita!$J$2:$J$2285)</f>
        <v>24000</v>
      </c>
      <c r="J16" s="12">
        <f>SUMIF(Mercado_Receita!$S$2:$S$2285,"43770A3aGeraçãoNão se aplicaNão se aplicaNão se aplicaNão se aplicaNão se aplica",Mercado_Receita!$J$2:$J$2285)+SUMIF(Mercado_Receita!$S$2:$S$2285,"43770A3aGeraçãoNão se aplicaNão se aplicaAPENão se aplicaNão se aplica",Mercado_Receita!$J$2:$J$2285)</f>
        <v>24000</v>
      </c>
      <c r="K16" s="12">
        <f>SUMIF(Mercado_Receita!$S$2:$S$2285,"43800A3aGeraçãoNão se aplicaNão se aplicaNão se aplicaNão se aplicaNão se aplica",Mercado_Receita!$J$2:$J$2285)+SUMIF(Mercado_Receita!$S$2:$S$2285,"43800A3aGeraçãoNão se aplicaNão se aplicaAPENão se aplicaNão se aplica",Mercado_Receita!$J$2:$J$2285)</f>
        <v>24000</v>
      </c>
      <c r="L16" s="12">
        <f>SUMIF(Mercado_Receita!$S$2:$S$2285,"43831A3aGeraçãoNão se aplicaNão se aplicaNão se aplicaNão se aplicaNão se aplica",Mercado_Receita!$J$2:$J$2285)+SUMIF(Mercado_Receita!$S$2:$S$2285,"43831A3aGeraçãoNão se aplicaNão se aplicaAPENão se aplicaNão se aplica",Mercado_Receita!$J$2:$J$2285)</f>
        <v>24000</v>
      </c>
      <c r="M16" s="12">
        <f>SUMIF(Mercado_Receita!$S$2:$S$2285,"43862A3aGeraçãoNão se aplicaNão se aplicaNão se aplicaNão se aplicaNão se aplica",Mercado_Receita!$J$2:$J$2285)+SUMIF(Mercado_Receita!$S$2:$S$2285,"43862A3aGeraçãoNão se aplicaNão se aplicaAPENão se aplicaNão se aplica",Mercado_Receita!$J$2:$J$2285)</f>
        <v>24000</v>
      </c>
      <c r="N16" s="12">
        <f>SUMIF(Mercado_Receita!$S$2:$S$2285,"43891A3aGeraçãoNão se aplicaNão se aplicaNão se aplicaNão se aplicaNão se aplica",Mercado_Receita!$J$2:$J$2285)+SUMIF(Mercado_Receita!$S$2:$S$2285,"43891A3aGeraçãoNão se aplicaNão se aplicaAPENão se aplicaNão se aplica",Mercado_Receita!$J$2:$J$2285)</f>
        <v>24000</v>
      </c>
      <c r="O16" s="12">
        <f>SUMIF(Mercado_Receita!$S$2:$S$2285,"43922A3aGeraçãoNão se aplicaNão se aplicaNão se aplicaNão se aplicaNão se aplica",Mercado_Receita!$J$2:$J$2285)+SUMIF(Mercado_Receita!$S$2:$S$2285,"43922A3aGeraçãoNão se aplicaNão se aplicaAPENão se aplicaNão se aplica",Mercado_Receita!$J$2:$J$2285)</f>
        <v>24000</v>
      </c>
      <c r="P16" s="12">
        <f>SUMIF(Mercado_Receita!$S$2:$S$2285,"43952A3aGeraçãoNão se aplicaNão se aplicaNão se aplicaNão se aplicaNão se aplica",Mercado_Receita!$J$2:$J$2285)+SUMIF(Mercado_Receita!$S$2:$S$2285,"43952A3aGeraçãoNão se aplicaNão se aplicaAPENão se aplicaNão se aplica",Mercado_Receita!$J$2:$J$2285)</f>
        <v>24000</v>
      </c>
      <c r="Q16" s="12">
        <f>SUMIF(Mercado_Receita!$S$2:$S$2285,"43983A3aGeraçãoNão se aplicaNão se aplicaNão se aplicaNão se aplicaNão se aplica",Mercado_Receita!$J$2:$J$2285)+SUMIF(Mercado_Receita!$S$2:$S$2285,"43983A3aGeraçãoNão se aplicaNão se aplicaAPENão se aplicaNão se aplica",Mercado_Receita!$J$2:$J$2285)</f>
        <v>24000</v>
      </c>
      <c r="R16" s="12">
        <f>SUMIF(Mercado_Receita!$S$2:$S$2285,"44013A3aGeraçãoNão se aplicaNão se aplicaNão se aplicaNão se aplicaNão se aplica",Mercado_Receita!$J$2:$J$2285)+SUMIF(Mercado_Receita!$S$2:$S$2285,"44013A3aGeraçãoNão se aplicaNão se aplicaAPENão se aplicaNão se aplica",Mercado_Receita!$J$2:$J$2285)</f>
        <v>24000</v>
      </c>
      <c r="S16" s="12">
        <f>SUMIF(Mercado_Receita!$S$2:$S$2285,"44044A3aGeraçãoNão se aplicaNão se aplicaNão se aplicaNão se aplicaNão se aplica",Mercado_Receita!$J$2:$J$2285)+SUMIF(Mercado_Receita!$S$2:$S$2285,"44044A3aGeraçãoNão se aplicaNão se aplicaAPENão se aplicaNão se aplica",Mercado_Receita!$J$2:$J$2285)</f>
        <v>24000</v>
      </c>
      <c r="T16" s="12">
        <f>SUMIF(Mercado_Receita!$S$2:$S$2285,"44075A3aGeraçãoNão se aplicaNão se aplicaNão se aplicaNão se aplicaNão se aplica",Mercado_Receita!$J$2:$J$2285)+SUMIF(Mercado_Receita!$S$2:$S$2285,"44075A3aGeraçãoNão se aplicaNão se aplicaAPENão se aplicaNão se aplica",Mercado_Receita!$J$2:$J$2285)</f>
        <v>24000</v>
      </c>
      <c r="U16" s="12">
        <f t="shared" si="0"/>
        <v>288000</v>
      </c>
      <c r="V16" s="12"/>
      <c r="W16" s="12"/>
    </row>
    <row r="17" spans="1:23" ht="11.25" customHeight="1" x14ac:dyDescent="0.25">
      <c r="A17" s="105"/>
      <c r="B17" s="104" t="s">
        <v>34</v>
      </c>
      <c r="C17" s="104" t="s">
        <v>25</v>
      </c>
      <c r="D17" s="104" t="s">
        <v>25</v>
      </c>
      <c r="E17" s="104" t="s">
        <v>25</v>
      </c>
      <c r="F17" s="104" t="s">
        <v>25</v>
      </c>
      <c r="G17" s="12" t="s">
        <v>9</v>
      </c>
      <c r="H17" s="12" t="s">
        <v>91</v>
      </c>
      <c r="I17" s="12">
        <f>SUMIF(Mercado_Receita!$S$2:$S$2285,"43739A3aVerdeNão se aplicaNão se aplicaNão se aplicaNão se aplicaNão se aplica",Mercado_Receita!$J$2:$J$2285)+SUMIF(Mercado_Receita!$S$2:$S$2285,"43739A3aVerdeNão se aplicaNão se aplicaAPENão se aplicaNão se aplica",Mercado_Receita!$J$2:$J$2285)</f>
        <v>2222</v>
      </c>
      <c r="J17" s="12">
        <f>SUMIF(Mercado_Receita!$S$2:$S$2285,"43770A3aVerdeNão se aplicaNão se aplicaNão se aplicaNão se aplicaNão se aplica",Mercado_Receita!$J$2:$J$2285)+SUMIF(Mercado_Receita!$S$2:$S$2285,"43770A3aVerdeNão se aplicaNão se aplicaAPENão se aplicaNão se aplica",Mercado_Receita!$J$2:$J$2285)</f>
        <v>2260</v>
      </c>
      <c r="K17" s="12">
        <f>SUMIF(Mercado_Receita!$S$2:$S$2285,"43800A3aVerdeNão se aplicaNão se aplicaNão se aplicaNão se aplicaNão se aplica",Mercado_Receita!$J$2:$J$2285)+SUMIF(Mercado_Receita!$S$2:$S$2285,"43800A3aVerdeNão se aplicaNão se aplicaAPENão se aplicaNão se aplica",Mercado_Receita!$J$2:$J$2285)</f>
        <v>2176</v>
      </c>
      <c r="L17" s="12">
        <f>SUMIF(Mercado_Receita!$S$2:$S$2285,"43831A3aVerdeNão se aplicaNão se aplicaNão se aplicaNão se aplicaNão se aplica",Mercado_Receita!$J$2:$J$2285)+SUMIF(Mercado_Receita!$S$2:$S$2285,"43831A3aVerdeNão se aplicaNão se aplicaAPENão se aplicaNão se aplica",Mercado_Receita!$J$2:$J$2285)</f>
        <v>2168</v>
      </c>
      <c r="M17" s="12">
        <f>SUMIF(Mercado_Receita!$S$2:$S$2285,"43862A3aVerdeNão se aplicaNão se aplicaNão se aplicaNão se aplicaNão se aplica",Mercado_Receita!$J$2:$J$2285)+SUMIF(Mercado_Receita!$S$2:$S$2285,"43862A3aVerdeNão se aplicaNão se aplicaAPENão se aplicaNão se aplica",Mercado_Receita!$J$2:$J$2285)</f>
        <v>2156</v>
      </c>
      <c r="N17" s="12">
        <f>SUMIF(Mercado_Receita!$S$2:$S$2285,"43891A3aVerdeNão se aplicaNão se aplicaNão se aplicaNão se aplicaNão se aplica",Mercado_Receita!$J$2:$J$2285)+SUMIF(Mercado_Receita!$S$2:$S$2285,"43891A3aVerdeNão se aplicaNão se aplicaAPENão se aplicaNão se aplica",Mercado_Receita!$J$2:$J$2285)</f>
        <v>1995</v>
      </c>
      <c r="O17" s="12">
        <f>SUMIF(Mercado_Receita!$S$2:$S$2285,"43922A3aVerdeNão se aplicaNão se aplicaNão se aplicaNão se aplicaNão se aplica",Mercado_Receita!$J$2:$J$2285)+SUMIF(Mercado_Receita!$S$2:$S$2285,"43922A3aVerdeNão se aplicaNão se aplicaAPENão se aplicaNão se aplica",Mercado_Receita!$J$2:$J$2285)</f>
        <v>2096</v>
      </c>
      <c r="P17" s="12">
        <f>SUMIF(Mercado_Receita!$S$2:$S$2285,"43952A3aVerdeNão se aplicaNão se aplicaNão se aplicaNão se aplicaNão se aplica",Mercado_Receita!$J$2:$J$2285)+SUMIF(Mercado_Receita!$S$2:$S$2285,"43952A3aVerdeNão se aplicaNão se aplicaAPENão se aplicaNão se aplica",Mercado_Receita!$J$2:$J$2285)</f>
        <v>1877</v>
      </c>
      <c r="Q17" s="12">
        <f>SUMIF(Mercado_Receita!$S$2:$S$2285,"43983A3aVerdeNão se aplicaNão se aplicaNão se aplicaNão se aplicaNão se aplica",Mercado_Receita!$J$2:$J$2285)+SUMIF(Mercado_Receita!$S$2:$S$2285,"43983A3aVerdeNão se aplicaNão se aplicaAPENão se aplicaNão se aplica",Mercado_Receita!$J$2:$J$2285)</f>
        <v>2242</v>
      </c>
      <c r="R17" s="12">
        <f>SUMIF(Mercado_Receita!$S$2:$S$2285,"44013A3aVerdeNão se aplicaNão se aplicaNão se aplicaNão se aplicaNão se aplica",Mercado_Receita!$J$2:$J$2285)+SUMIF(Mercado_Receita!$S$2:$S$2285,"44013A3aVerdeNão se aplicaNão se aplicaAPENão se aplicaNão se aplica",Mercado_Receita!$J$2:$J$2285)</f>
        <v>1992</v>
      </c>
      <c r="S17" s="12">
        <f>SUMIF(Mercado_Receita!$S$2:$S$2285,"44044A3aVerdeNão se aplicaNão se aplicaNão se aplicaNão se aplicaNão se aplica",Mercado_Receita!$J$2:$J$2285)+SUMIF(Mercado_Receita!$S$2:$S$2285,"44044A3aVerdeNão se aplicaNão se aplicaAPENão se aplicaNão se aplica",Mercado_Receita!$J$2:$J$2285)</f>
        <v>2242</v>
      </c>
      <c r="T17" s="12">
        <f>SUMIF(Mercado_Receita!$S$2:$S$2285,"44075A3aVerdeNão se aplicaNão se aplicaNão se aplicaNão se aplicaNão se aplica",Mercado_Receita!$J$2:$J$2285)+SUMIF(Mercado_Receita!$S$2:$S$2285,"44075A3aVerdeNão se aplicaNão se aplicaAPENão se aplicaNão se aplica",Mercado_Receita!$J$2:$J$2285)</f>
        <v>2242</v>
      </c>
      <c r="U17" s="12">
        <f t="shared" si="0"/>
        <v>25668</v>
      </c>
      <c r="V17" s="12"/>
      <c r="W17" s="12"/>
    </row>
    <row r="18" spans="1:23" ht="11.25" customHeight="1" x14ac:dyDescent="0.25">
      <c r="A18" s="105"/>
      <c r="B18" s="105"/>
      <c r="C18" s="105"/>
      <c r="D18" s="105"/>
      <c r="E18" s="105"/>
      <c r="F18" s="105"/>
      <c r="G18" s="12" t="s">
        <v>89</v>
      </c>
      <c r="H18" s="12" t="s">
        <v>88</v>
      </c>
      <c r="I18" s="12">
        <f>SUMIF(Mercado_Receita!$S$2:$S$2285,"43739A3aVerdeNão se aplicaNão se aplicaNão se aplicaNão se aplicaPonta",Mercado_Receita!$L$2:$L$2285)</f>
        <v>78.74799999999999</v>
      </c>
      <c r="J18" s="12">
        <f>SUMIF(Mercado_Receita!$S$2:$S$2285,"43770A3aVerdeNão se aplicaNão se aplicaNão se aplicaNão se aplicaPonta",Mercado_Receita!$L$2:$L$2285)</f>
        <v>80.783999999999992</v>
      </c>
      <c r="K18" s="12">
        <f>SUMIF(Mercado_Receita!$S$2:$S$2285,"43800A3aVerdeNão se aplicaNão se aplicaNão se aplicaNão se aplicaPonta",Mercado_Receita!$L$2:$L$2285)</f>
        <v>73.846000000000004</v>
      </c>
      <c r="L18" s="12">
        <f>SUMIF(Mercado_Receita!$S$2:$S$2285,"43831A3aVerdeNão se aplicaNão se aplicaNão se aplicaNão se aplicaPonta",Mercado_Receita!$L$2:$L$2285)</f>
        <v>77.457999999999998</v>
      </c>
      <c r="M18" s="12">
        <f>SUMIF(Mercado_Receita!$S$2:$S$2285,"43862A3aVerdeNão se aplicaNão se aplicaNão se aplicaNão se aplicaPonta",Mercado_Receita!$L$2:$L$2285)</f>
        <v>81.337000000000003</v>
      </c>
      <c r="N18" s="12">
        <f>SUMIF(Mercado_Receita!$S$2:$S$2285,"43891A3aVerdeNão se aplicaNão se aplicaNão se aplicaNão se aplicaPonta",Mercado_Receita!$L$2:$L$2285)</f>
        <v>60.186999999999998</v>
      </c>
      <c r="O18" s="12">
        <f>SUMIF(Mercado_Receita!$S$2:$S$2285,"43922A3aVerdeNão se aplicaNão se aplicaNão se aplicaNão se aplicaPonta",Mercado_Receita!$L$2:$L$2285)</f>
        <v>42.778999999999996</v>
      </c>
      <c r="P18" s="12">
        <f>SUMIF(Mercado_Receita!$S$2:$S$2285,"43952A3aVerdeNão se aplicaNão se aplicaNão se aplicaNão se aplicaPonta",Mercado_Receita!$L$2:$L$2285)</f>
        <v>47.852000000000004</v>
      </c>
      <c r="Q18" s="12">
        <f>SUMIF(Mercado_Receita!$S$2:$S$2285,"43983A3aVerdeNão se aplicaNão se aplicaNão se aplicaNão se aplicaPonta",Mercado_Receita!$L$2:$L$2285)</f>
        <v>49.606999999999999</v>
      </c>
      <c r="R18" s="12">
        <f>SUMIF(Mercado_Receita!$S$2:$S$2285,"44013A3aVerdeNão se aplicaNão se aplicaNão se aplicaNão se aplicaPonta",Mercado_Receita!$L$2:$L$2285)</f>
        <v>63.001999999999995</v>
      </c>
      <c r="S18" s="12">
        <f>SUMIF(Mercado_Receita!$S$2:$S$2285,"44044A3aVerdeNão se aplicaNão se aplicaNão se aplicaNão se aplicaPonta",Mercado_Receita!$L$2:$L$2285)</f>
        <v>68.111000000000004</v>
      </c>
      <c r="T18" s="12">
        <f>SUMIF(Mercado_Receita!$S$2:$S$2285,"44075A3aVerdeNão se aplicaNão se aplicaNão se aplicaNão se aplicaPonta",Mercado_Receita!$L$2:$L$2285)</f>
        <v>68.111000000000004</v>
      </c>
      <c r="U18" s="12">
        <f t="shared" si="0"/>
        <v>791.82199999999989</v>
      </c>
      <c r="V18" s="12"/>
      <c r="W18" s="12"/>
    </row>
    <row r="19" spans="1:23" ht="11.25" customHeight="1" x14ac:dyDescent="0.25">
      <c r="A19" s="105"/>
      <c r="B19" s="105"/>
      <c r="C19" s="105"/>
      <c r="D19" s="105"/>
      <c r="E19" s="105"/>
      <c r="F19" s="105"/>
      <c r="G19" s="12" t="s">
        <v>90</v>
      </c>
      <c r="H19" s="12" t="s">
        <v>88</v>
      </c>
      <c r="I19" s="12">
        <f>SUMIF(Mercado_Receita!$S$2:$S$2285,"43739A3aVerdeNão se aplicaNão se aplicaNão se aplicaNão se aplicaFora ponta",Mercado_Receita!$L$2:$L$2285)</f>
        <v>651.15800000000002</v>
      </c>
      <c r="J19" s="12">
        <f>SUMIF(Mercado_Receita!$S$2:$S$2285,"43770A3aVerdeNão se aplicaNão se aplicaNão se aplicaNão se aplicaFora ponta",Mercado_Receita!$L$2:$L$2285)</f>
        <v>658.76499999999999</v>
      </c>
      <c r="K19" s="12">
        <f>SUMIF(Mercado_Receita!$S$2:$S$2285,"43800A3aVerdeNão se aplicaNão se aplicaNão se aplicaNão se aplicaFora ponta",Mercado_Receita!$L$2:$L$2285)</f>
        <v>643.20699999999999</v>
      </c>
      <c r="L19" s="12">
        <f>SUMIF(Mercado_Receita!$S$2:$S$2285,"43831A3aVerdeNão se aplicaNão se aplicaNão se aplicaNão se aplicaFora ponta",Mercado_Receita!$L$2:$L$2285)</f>
        <v>668.19499999999994</v>
      </c>
      <c r="M19" s="12">
        <f>SUMIF(Mercado_Receita!$S$2:$S$2285,"43862A3aVerdeNão se aplicaNão se aplicaNão se aplicaNão se aplicaFora ponta",Mercado_Receita!$L$2:$L$2285)</f>
        <v>652.78899999999999</v>
      </c>
      <c r="N19" s="12">
        <f>SUMIF(Mercado_Receita!$S$2:$S$2285,"43891A3aVerdeNão se aplicaNão se aplicaNão se aplicaNão se aplicaFora ponta",Mercado_Receita!$L$2:$L$2285)</f>
        <v>525.125</v>
      </c>
      <c r="O19" s="12">
        <f>SUMIF(Mercado_Receita!$S$2:$S$2285,"43922A3aVerdeNão se aplicaNão se aplicaNão se aplicaNão se aplicaFora ponta",Mercado_Receita!$L$2:$L$2285)</f>
        <v>460.42199999999997</v>
      </c>
      <c r="P19" s="12">
        <f>SUMIF(Mercado_Receita!$S$2:$S$2285,"43952A3aVerdeNão se aplicaNão se aplicaNão se aplicaNão se aplicaFora ponta",Mercado_Receita!$L$2:$L$2285)</f>
        <v>438.69200000000001</v>
      </c>
      <c r="Q19" s="12">
        <f>SUMIF(Mercado_Receita!$S$2:$S$2285,"43983A3aVerdeNão se aplicaNão se aplicaNão se aplicaNão se aplicaFora ponta",Mercado_Receita!$L$2:$L$2285)</f>
        <v>487.90499999999997</v>
      </c>
      <c r="R19" s="12">
        <f>SUMIF(Mercado_Receita!$S$2:$S$2285,"44013A3aVerdeNão se aplicaNão se aplicaNão se aplicaNão se aplicaFora ponta",Mercado_Receita!$L$2:$L$2285)</f>
        <v>529.048</v>
      </c>
      <c r="S19" s="12">
        <f>SUMIF(Mercado_Receita!$S$2:$S$2285,"44044A3aVerdeNão se aplicaNão se aplicaNão se aplicaNão se aplicaFora ponta",Mercado_Receita!$L$2:$L$2285)</f>
        <v>537.70699999999999</v>
      </c>
      <c r="T19" s="12">
        <f>SUMIF(Mercado_Receita!$S$2:$S$2285,"44075A3aVerdeNão se aplicaNão se aplicaNão se aplicaNão se aplicaFora ponta",Mercado_Receita!$L$2:$L$2285)</f>
        <v>537.70699999999999</v>
      </c>
      <c r="U19" s="12">
        <f t="shared" si="0"/>
        <v>6790.7199999999993</v>
      </c>
      <c r="V19" s="12"/>
      <c r="W19" s="12"/>
    </row>
    <row r="20" spans="1:23" ht="11.25" customHeight="1" x14ac:dyDescent="0.25">
      <c r="A20" s="105"/>
      <c r="B20" s="105"/>
      <c r="C20" s="105"/>
      <c r="D20" s="105"/>
      <c r="E20" s="104" t="s">
        <v>61</v>
      </c>
      <c r="F20" s="104" t="s">
        <v>25</v>
      </c>
      <c r="G20" s="12" t="s">
        <v>89</v>
      </c>
      <c r="H20" s="12" t="s">
        <v>88</v>
      </c>
      <c r="I20" s="12">
        <f>SUMIF(Mercado_Receita!$S$2:$S$2285,"43739A3aVerdeNão se aplicaNão se aplicaAPENão se aplicaPonta",Mercado_Receita!$L$2:$L$2285)</f>
        <v>0</v>
      </c>
      <c r="J20" s="12">
        <f>SUMIF(Mercado_Receita!$S$2:$S$2285,"43770A3aVerdeNão se aplicaNão se aplicaAPENão se aplicaPonta",Mercado_Receita!$L$2:$L$2285)</f>
        <v>0</v>
      </c>
      <c r="K20" s="12">
        <f>SUMIF(Mercado_Receita!$S$2:$S$2285,"43800A3aVerdeNão se aplicaNão se aplicaAPENão se aplicaPonta",Mercado_Receita!$L$2:$L$2285)</f>
        <v>0</v>
      </c>
      <c r="L20" s="12">
        <f>SUMIF(Mercado_Receita!$S$2:$S$2285,"43831A3aVerdeNão se aplicaNão se aplicaAPENão se aplicaPonta",Mercado_Receita!$L$2:$L$2285)</f>
        <v>0</v>
      </c>
      <c r="M20" s="12">
        <f>SUMIF(Mercado_Receita!$S$2:$S$2285,"43862A3aVerdeNão se aplicaNão se aplicaAPENão se aplicaPonta",Mercado_Receita!$L$2:$L$2285)</f>
        <v>0</v>
      </c>
      <c r="N20" s="12">
        <f>SUMIF(Mercado_Receita!$S$2:$S$2285,"43891A3aVerdeNão se aplicaNão se aplicaAPENão se aplicaPonta",Mercado_Receita!$L$2:$L$2285)</f>
        <v>0</v>
      </c>
      <c r="O20" s="12">
        <f>SUMIF(Mercado_Receita!$S$2:$S$2285,"43922A3aVerdeNão se aplicaNão se aplicaAPENão se aplicaPonta",Mercado_Receita!$L$2:$L$2285)</f>
        <v>0</v>
      </c>
      <c r="P20" s="12">
        <f>SUMIF(Mercado_Receita!$S$2:$S$2285,"43952A3aVerdeNão se aplicaNão se aplicaAPENão se aplicaPonta",Mercado_Receita!$L$2:$L$2285)</f>
        <v>0</v>
      </c>
      <c r="Q20" s="12">
        <f>SUMIF(Mercado_Receita!$S$2:$S$2285,"43983A3aVerdeNão se aplicaNão se aplicaAPENão se aplicaPonta",Mercado_Receita!$L$2:$L$2285)</f>
        <v>0</v>
      </c>
      <c r="R20" s="12">
        <f>SUMIF(Mercado_Receita!$S$2:$S$2285,"44013A3aVerdeNão se aplicaNão se aplicaAPENão se aplicaPonta",Mercado_Receita!$L$2:$L$2285)</f>
        <v>0</v>
      </c>
      <c r="S20" s="12">
        <f>SUMIF(Mercado_Receita!$S$2:$S$2285,"44044A3aVerdeNão se aplicaNão se aplicaAPENão se aplicaPonta",Mercado_Receita!$L$2:$L$2285)</f>
        <v>0</v>
      </c>
      <c r="T20" s="12">
        <f>SUMIF(Mercado_Receita!$S$2:$S$2285,"44075A3aVerdeNão se aplicaNão se aplicaAPENão se aplicaPonta",Mercado_Receita!$L$2:$L$2285)</f>
        <v>0</v>
      </c>
      <c r="U20" s="12">
        <f t="shared" si="0"/>
        <v>0</v>
      </c>
      <c r="V20" s="12"/>
      <c r="W20" s="12"/>
    </row>
    <row r="21" spans="1:23" ht="11.25" customHeight="1" x14ac:dyDescent="0.25">
      <c r="A21" s="105"/>
      <c r="B21" s="105"/>
      <c r="C21" s="105"/>
      <c r="D21" s="105"/>
      <c r="E21" s="105"/>
      <c r="F21" s="105"/>
      <c r="G21" s="12" t="s">
        <v>90</v>
      </c>
      <c r="H21" s="12" t="s">
        <v>88</v>
      </c>
      <c r="I21" s="12">
        <f>SUMIF(Mercado_Receita!$S$2:$S$2285,"43739A3aVerdeNão se aplicaNão se aplicaAPENão se aplicaFora ponta",Mercado_Receita!$L$2:$L$2285)</f>
        <v>0</v>
      </c>
      <c r="J21" s="12">
        <f>SUMIF(Mercado_Receita!$S$2:$S$2285,"43770A3aVerdeNão se aplicaNão se aplicaAPENão se aplicaFora ponta",Mercado_Receita!$L$2:$L$2285)</f>
        <v>0</v>
      </c>
      <c r="K21" s="12">
        <f>SUMIF(Mercado_Receita!$S$2:$S$2285,"43800A3aVerdeNão se aplicaNão se aplicaAPENão se aplicaFora ponta",Mercado_Receita!$L$2:$L$2285)</f>
        <v>0</v>
      </c>
      <c r="L21" s="12">
        <f>SUMIF(Mercado_Receita!$S$2:$S$2285,"43831A3aVerdeNão se aplicaNão se aplicaAPENão se aplicaFora ponta",Mercado_Receita!$L$2:$L$2285)</f>
        <v>0</v>
      </c>
      <c r="M21" s="12">
        <f>SUMIF(Mercado_Receita!$S$2:$S$2285,"43862A3aVerdeNão se aplicaNão se aplicaAPENão se aplicaFora ponta",Mercado_Receita!$L$2:$L$2285)</f>
        <v>0</v>
      </c>
      <c r="N21" s="12">
        <f>SUMIF(Mercado_Receita!$S$2:$S$2285,"43891A3aVerdeNão se aplicaNão se aplicaAPENão se aplicaFora ponta",Mercado_Receita!$L$2:$L$2285)</f>
        <v>0</v>
      </c>
      <c r="O21" s="12">
        <f>SUMIF(Mercado_Receita!$S$2:$S$2285,"43922A3aVerdeNão se aplicaNão se aplicaAPENão se aplicaFora ponta",Mercado_Receita!$L$2:$L$2285)</f>
        <v>0</v>
      </c>
      <c r="P21" s="12">
        <f>SUMIF(Mercado_Receita!$S$2:$S$2285,"43952A3aVerdeNão se aplicaNão se aplicaAPENão se aplicaFora ponta",Mercado_Receita!$L$2:$L$2285)</f>
        <v>0</v>
      </c>
      <c r="Q21" s="12">
        <f>SUMIF(Mercado_Receita!$S$2:$S$2285,"43983A3aVerdeNão se aplicaNão se aplicaAPENão se aplicaFora ponta",Mercado_Receita!$L$2:$L$2285)</f>
        <v>0</v>
      </c>
      <c r="R21" s="12">
        <f>SUMIF(Mercado_Receita!$S$2:$S$2285,"44013A3aVerdeNão se aplicaNão se aplicaAPENão se aplicaFora ponta",Mercado_Receita!$L$2:$L$2285)</f>
        <v>0</v>
      </c>
      <c r="S21" s="12">
        <f>SUMIF(Mercado_Receita!$S$2:$S$2285,"44044A3aVerdeNão se aplicaNão se aplicaAPENão se aplicaFora ponta",Mercado_Receita!$L$2:$L$2285)</f>
        <v>0</v>
      </c>
      <c r="T21" s="12">
        <f>SUMIF(Mercado_Receita!$S$2:$S$2285,"44075A3aVerdeNão se aplicaNão se aplicaAPENão se aplicaFora ponta",Mercado_Receita!$L$2:$L$2285)</f>
        <v>0</v>
      </c>
      <c r="U21" s="12">
        <f t="shared" si="0"/>
        <v>0</v>
      </c>
      <c r="V21" s="12"/>
      <c r="W21" s="12"/>
    </row>
    <row r="22" spans="1:23" ht="11.25" customHeight="1" x14ac:dyDescent="0.25">
      <c r="A22" s="105"/>
      <c r="B22" s="104" t="s">
        <v>23</v>
      </c>
      <c r="C22" s="104" t="s">
        <v>25</v>
      </c>
      <c r="D22" s="104" t="s">
        <v>25</v>
      </c>
      <c r="E22" s="104" t="s">
        <v>25</v>
      </c>
      <c r="F22" s="104" t="s">
        <v>25</v>
      </c>
      <c r="G22" s="12" t="s">
        <v>9</v>
      </c>
      <c r="H22" s="12" t="s">
        <v>91</v>
      </c>
      <c r="I22" s="12">
        <f>SUMIF(Mercado_Receita!$S$2:$S$2285,"43739A3aConvencionalNão se aplicaNão se aplicaNão se aplicaNão se aplicaNão se aplica",Mercado_Receita!$J$2:$J$2285)+SUMIF(Mercado_Receita!$S$2:$S$2285,"43739A3aConvencionalNão se aplicaNão se aplicaAPENão se aplicaNão se aplica",Mercado_Receita!$J$2:$J$2285)</f>
        <v>0</v>
      </c>
      <c r="J22" s="12">
        <f>SUMIF(Mercado_Receita!$S$2:$S$2285,"43770A3aConvencionalNão se aplicaNão se aplicaNão se aplicaNão se aplicaNão se aplica",Mercado_Receita!$J$2:$J$2285)+SUMIF(Mercado_Receita!$S$2:$S$2285,"43770A3aConvencionalNão se aplicaNão se aplicaAPENão se aplicaNão se aplica",Mercado_Receita!$J$2:$J$2285)</f>
        <v>0</v>
      </c>
      <c r="K22" s="12">
        <f>SUMIF(Mercado_Receita!$S$2:$S$2285,"43800A3aConvencionalNão se aplicaNão se aplicaNão se aplicaNão se aplicaNão se aplica",Mercado_Receita!$J$2:$J$2285)+SUMIF(Mercado_Receita!$S$2:$S$2285,"43800A3aConvencionalNão se aplicaNão se aplicaAPENão se aplicaNão se aplica",Mercado_Receita!$J$2:$J$2285)</f>
        <v>0</v>
      </c>
      <c r="L22" s="12">
        <f>SUMIF(Mercado_Receita!$S$2:$S$2285,"43831A3aConvencionalNão se aplicaNão se aplicaNão se aplicaNão se aplicaNão se aplica",Mercado_Receita!$J$2:$J$2285)+SUMIF(Mercado_Receita!$S$2:$S$2285,"43831A3aConvencionalNão se aplicaNão se aplicaAPENão se aplicaNão se aplica",Mercado_Receita!$J$2:$J$2285)</f>
        <v>0</v>
      </c>
      <c r="M22" s="12">
        <f>SUMIF(Mercado_Receita!$S$2:$S$2285,"43862A3aConvencionalNão se aplicaNão se aplicaNão se aplicaNão se aplicaNão se aplica",Mercado_Receita!$J$2:$J$2285)+SUMIF(Mercado_Receita!$S$2:$S$2285,"43862A3aConvencionalNão se aplicaNão se aplicaAPENão se aplicaNão se aplica",Mercado_Receita!$J$2:$J$2285)</f>
        <v>0</v>
      </c>
      <c r="N22" s="12">
        <f>SUMIF(Mercado_Receita!$S$2:$S$2285,"43891A3aConvencionalNão se aplicaNão se aplicaNão se aplicaNão se aplicaNão se aplica",Mercado_Receita!$J$2:$J$2285)+SUMIF(Mercado_Receita!$S$2:$S$2285,"43891A3aConvencionalNão se aplicaNão se aplicaAPENão se aplicaNão se aplica",Mercado_Receita!$J$2:$J$2285)</f>
        <v>0</v>
      </c>
      <c r="O22" s="12">
        <f>SUMIF(Mercado_Receita!$S$2:$S$2285,"43922A3aConvencionalNão se aplicaNão se aplicaNão se aplicaNão se aplicaNão se aplica",Mercado_Receita!$J$2:$J$2285)+SUMIF(Mercado_Receita!$S$2:$S$2285,"43922A3aConvencionalNão se aplicaNão se aplicaAPENão se aplicaNão se aplica",Mercado_Receita!$J$2:$J$2285)</f>
        <v>0</v>
      </c>
      <c r="P22" s="12">
        <f>SUMIF(Mercado_Receita!$S$2:$S$2285,"43952A3aConvencionalNão se aplicaNão se aplicaNão se aplicaNão se aplicaNão se aplica",Mercado_Receita!$J$2:$J$2285)+SUMIF(Mercado_Receita!$S$2:$S$2285,"43952A3aConvencionalNão se aplicaNão se aplicaAPENão se aplicaNão se aplica",Mercado_Receita!$J$2:$J$2285)</f>
        <v>0</v>
      </c>
      <c r="Q22" s="12">
        <f>SUMIF(Mercado_Receita!$S$2:$S$2285,"43983A3aConvencionalNão se aplicaNão se aplicaNão se aplicaNão se aplicaNão se aplica",Mercado_Receita!$J$2:$J$2285)+SUMIF(Mercado_Receita!$S$2:$S$2285,"43983A3aConvencionalNão se aplicaNão se aplicaAPENão se aplicaNão se aplica",Mercado_Receita!$J$2:$J$2285)</f>
        <v>0</v>
      </c>
      <c r="R22" s="12">
        <f>SUMIF(Mercado_Receita!$S$2:$S$2285,"44013A3aConvencionalNão se aplicaNão se aplicaNão se aplicaNão se aplicaNão se aplica",Mercado_Receita!$J$2:$J$2285)+SUMIF(Mercado_Receita!$S$2:$S$2285,"44013A3aConvencionalNão se aplicaNão se aplicaAPENão se aplicaNão se aplica",Mercado_Receita!$J$2:$J$2285)</f>
        <v>0</v>
      </c>
      <c r="S22" s="12">
        <f>SUMIF(Mercado_Receita!$S$2:$S$2285,"44044A3aConvencionalNão se aplicaNão se aplicaNão se aplicaNão se aplicaNão se aplica",Mercado_Receita!$J$2:$J$2285)+SUMIF(Mercado_Receita!$S$2:$S$2285,"44044A3aConvencionalNão se aplicaNão se aplicaAPENão se aplicaNão se aplica",Mercado_Receita!$J$2:$J$2285)</f>
        <v>0</v>
      </c>
      <c r="T22" s="12">
        <f>SUMIF(Mercado_Receita!$S$2:$S$2285,"44075A3aConvencionalNão se aplicaNão se aplicaNão se aplicaNão se aplicaNão se aplica",Mercado_Receita!$J$2:$J$2285)+SUMIF(Mercado_Receita!$S$2:$S$2285,"44075A3aConvencionalNão se aplicaNão se aplicaAPENão se aplicaNão se aplica",Mercado_Receita!$J$2:$J$2285)</f>
        <v>0</v>
      </c>
      <c r="U22" s="12">
        <f t="shared" si="0"/>
        <v>0</v>
      </c>
      <c r="V22" s="12"/>
      <c r="W22" s="12"/>
    </row>
    <row r="23" spans="1:23" ht="11.25" customHeight="1" x14ac:dyDescent="0.25">
      <c r="A23" s="105"/>
      <c r="B23" s="105"/>
      <c r="C23" s="105"/>
      <c r="D23" s="105"/>
      <c r="E23" s="105"/>
      <c r="F23" s="105"/>
      <c r="G23" s="12" t="s">
        <v>94</v>
      </c>
      <c r="H23" s="12" t="s">
        <v>88</v>
      </c>
      <c r="I23" s="12">
        <f>SUMIF(Mercado_Receita!$S$2:$S$2285,"43739A3aConvencionalNão se aplicaNão se aplicaNão se aplicaNão se aplicaPonta",Mercado_Receita!$L$2:$L$2285)+SUMIF(Mercado_Receita!$S$2:$S$2285,"43739A3aConvencionalNão se aplicaNão se aplicaNão se aplicaNão se aplicaFora ponta",Mercado_Receita!$L$2:$L$2285)+SUMIF(Mercado_Receita!$S$2:$S$2285,"43739A3aConvencionalNão se aplicaNão se aplicaNão se aplicaNão se aplicaIntermediário",Mercado_Receita!$L$2:$L$2285)+SUMIF(Mercado_Receita!$S$2:$S$2285,"43739A3aConvencionalNão se aplicaNão se aplicaNão se aplicaNão se aplicaNão se aplica",Mercado_Receita!$L$2:$L$2285)</f>
        <v>0</v>
      </c>
      <c r="J23" s="12">
        <f>SUMIF(Mercado_Receita!$S$2:$S$2285,"43770A3aConvencionalNão se aplicaNão se aplicaNão se aplicaNão se aplicaPonta",Mercado_Receita!$L$2:$L$2285)+SUMIF(Mercado_Receita!$S$2:$S$2285,"43770A3aConvencionalNão se aplicaNão se aplicaNão se aplicaNão se aplicaFora ponta",Mercado_Receita!$L$2:$L$2285)+SUMIF(Mercado_Receita!$S$2:$S$2285,"43770A3aConvencionalNão se aplicaNão se aplicaNão se aplicaNão se aplicaIntermediário",Mercado_Receita!$L$2:$L$2285)+SUMIF(Mercado_Receita!$S$2:$S$2285,"43770A3aConvencionalNão se aplicaNão se aplicaNão se aplicaNão se aplicaNão se aplica",Mercado_Receita!$L$2:$L$2285)</f>
        <v>0</v>
      </c>
      <c r="K23" s="12">
        <f>SUMIF(Mercado_Receita!$S$2:$S$2285,"43800A3aConvencionalNão se aplicaNão se aplicaNão se aplicaNão se aplicaPonta",Mercado_Receita!$L$2:$L$2285)+SUMIF(Mercado_Receita!$S$2:$S$2285,"43800A3aConvencionalNão se aplicaNão se aplicaNão se aplicaNão se aplicaFora ponta",Mercado_Receita!$L$2:$L$2285)+SUMIF(Mercado_Receita!$S$2:$S$2285,"43800A3aConvencionalNão se aplicaNão se aplicaNão se aplicaNão se aplicaIntermediário",Mercado_Receita!$L$2:$L$2285)+SUMIF(Mercado_Receita!$S$2:$S$2285,"43800A3aConvencionalNão se aplicaNão se aplicaNão se aplicaNão se aplicaNão se aplica",Mercado_Receita!$L$2:$L$2285)</f>
        <v>0</v>
      </c>
      <c r="L23" s="12">
        <f>SUMIF(Mercado_Receita!$S$2:$S$2285,"43831A3aConvencionalNão se aplicaNão se aplicaNão se aplicaNão se aplicaPonta",Mercado_Receita!$L$2:$L$2285)+SUMIF(Mercado_Receita!$S$2:$S$2285,"43831A3aConvencionalNão se aplicaNão se aplicaNão se aplicaNão se aplicaFora ponta",Mercado_Receita!$L$2:$L$2285)+SUMIF(Mercado_Receita!$S$2:$S$2285,"43831A3aConvencionalNão se aplicaNão se aplicaNão se aplicaNão se aplicaIntermediário",Mercado_Receita!$L$2:$L$2285)+SUMIF(Mercado_Receita!$S$2:$S$2285,"43831A3aConvencionalNão se aplicaNão se aplicaNão se aplicaNão se aplicaNão se aplica",Mercado_Receita!$L$2:$L$2285)</f>
        <v>0</v>
      </c>
      <c r="M23" s="12">
        <f>SUMIF(Mercado_Receita!$S$2:$S$2285,"43862A3aConvencionalNão se aplicaNão se aplicaNão se aplicaNão se aplicaPonta",Mercado_Receita!$L$2:$L$2285)+SUMIF(Mercado_Receita!$S$2:$S$2285,"43862A3aConvencionalNão se aplicaNão se aplicaNão se aplicaNão se aplicaFora ponta",Mercado_Receita!$L$2:$L$2285)+SUMIF(Mercado_Receita!$S$2:$S$2285,"43862A3aConvencionalNão se aplicaNão se aplicaNão se aplicaNão se aplicaIntermediário",Mercado_Receita!$L$2:$L$2285)+SUMIF(Mercado_Receita!$S$2:$S$2285,"43862A3aConvencionalNão se aplicaNão se aplicaNão se aplicaNão se aplicaNão se aplica",Mercado_Receita!$L$2:$L$2285)</f>
        <v>0</v>
      </c>
      <c r="N23" s="12">
        <f>SUMIF(Mercado_Receita!$S$2:$S$2285,"43891A3aConvencionalNão se aplicaNão se aplicaNão se aplicaNão se aplicaPonta",Mercado_Receita!$L$2:$L$2285)+SUMIF(Mercado_Receita!$S$2:$S$2285,"43891A3aConvencionalNão se aplicaNão se aplicaNão se aplicaNão se aplicaFora ponta",Mercado_Receita!$L$2:$L$2285)+SUMIF(Mercado_Receita!$S$2:$S$2285,"43891A3aConvencionalNão se aplicaNão se aplicaNão se aplicaNão se aplicaIntermediário",Mercado_Receita!$L$2:$L$2285)+SUMIF(Mercado_Receita!$S$2:$S$2285,"43891A3aConvencionalNão se aplicaNão se aplicaNão se aplicaNão se aplicaNão se aplica",Mercado_Receita!$L$2:$L$2285)</f>
        <v>0</v>
      </c>
      <c r="O23" s="12">
        <f>SUMIF(Mercado_Receita!$S$2:$S$2285,"43922A3aConvencionalNão se aplicaNão se aplicaNão se aplicaNão se aplicaPonta",Mercado_Receita!$L$2:$L$2285)+SUMIF(Mercado_Receita!$S$2:$S$2285,"43922A3aConvencionalNão se aplicaNão se aplicaNão se aplicaNão se aplicaFora ponta",Mercado_Receita!$L$2:$L$2285)+SUMIF(Mercado_Receita!$S$2:$S$2285,"43922A3aConvencionalNão se aplicaNão se aplicaNão se aplicaNão se aplicaIntermediário",Mercado_Receita!$L$2:$L$2285)+SUMIF(Mercado_Receita!$S$2:$S$2285,"43922A3aConvencionalNão se aplicaNão se aplicaNão se aplicaNão se aplicaNão se aplica",Mercado_Receita!$L$2:$L$2285)</f>
        <v>0</v>
      </c>
      <c r="P23" s="12">
        <f>SUMIF(Mercado_Receita!$S$2:$S$2285,"43952A3aConvencionalNão se aplicaNão se aplicaNão se aplicaNão se aplicaPonta",Mercado_Receita!$L$2:$L$2285)+SUMIF(Mercado_Receita!$S$2:$S$2285,"43952A3aConvencionalNão se aplicaNão se aplicaNão se aplicaNão se aplicaFora ponta",Mercado_Receita!$L$2:$L$2285)+SUMIF(Mercado_Receita!$S$2:$S$2285,"43952A3aConvencionalNão se aplicaNão se aplicaNão se aplicaNão se aplicaIntermediário",Mercado_Receita!$L$2:$L$2285)+SUMIF(Mercado_Receita!$S$2:$S$2285,"43952A3aConvencionalNão se aplicaNão se aplicaNão se aplicaNão se aplicaNão se aplica",Mercado_Receita!$L$2:$L$2285)</f>
        <v>0</v>
      </c>
      <c r="Q23" s="12">
        <f>SUMIF(Mercado_Receita!$S$2:$S$2285,"43983A3aConvencionalNão se aplicaNão se aplicaNão se aplicaNão se aplicaPonta",Mercado_Receita!$L$2:$L$2285)+SUMIF(Mercado_Receita!$S$2:$S$2285,"43983A3aConvencionalNão se aplicaNão se aplicaNão se aplicaNão se aplicaFora ponta",Mercado_Receita!$L$2:$L$2285)+SUMIF(Mercado_Receita!$S$2:$S$2285,"43983A3aConvencionalNão se aplicaNão se aplicaNão se aplicaNão se aplicaIntermediário",Mercado_Receita!$L$2:$L$2285)+SUMIF(Mercado_Receita!$S$2:$S$2285,"43983A3aConvencionalNão se aplicaNão se aplicaNão se aplicaNão se aplicaNão se aplica",Mercado_Receita!$L$2:$L$2285)</f>
        <v>0</v>
      </c>
      <c r="R23" s="12">
        <f>SUMIF(Mercado_Receita!$S$2:$S$2285,"44013A3aConvencionalNão se aplicaNão se aplicaNão se aplicaNão se aplicaPonta",Mercado_Receita!$L$2:$L$2285)+SUMIF(Mercado_Receita!$S$2:$S$2285,"44013A3aConvencionalNão se aplicaNão se aplicaNão se aplicaNão se aplicaFora ponta",Mercado_Receita!$L$2:$L$2285)+SUMIF(Mercado_Receita!$S$2:$S$2285,"44013A3aConvencionalNão se aplicaNão se aplicaNão se aplicaNão se aplicaIntermediário",Mercado_Receita!$L$2:$L$2285)+SUMIF(Mercado_Receita!$S$2:$S$2285,"44013A3aConvencionalNão se aplicaNão se aplicaNão se aplicaNão se aplicaNão se aplica",Mercado_Receita!$L$2:$L$2285)</f>
        <v>0</v>
      </c>
      <c r="S23" s="12">
        <f>SUMIF(Mercado_Receita!$S$2:$S$2285,"44044A3aConvencionalNão se aplicaNão se aplicaNão se aplicaNão se aplicaPonta",Mercado_Receita!$L$2:$L$2285)+SUMIF(Mercado_Receita!$S$2:$S$2285,"44044A3aConvencionalNão se aplicaNão se aplicaNão se aplicaNão se aplicaFora ponta",Mercado_Receita!$L$2:$L$2285)+SUMIF(Mercado_Receita!$S$2:$S$2285,"44044A3aConvencionalNão se aplicaNão se aplicaNão se aplicaNão se aplicaIntermediário",Mercado_Receita!$L$2:$L$2285)+SUMIF(Mercado_Receita!$S$2:$S$2285,"44044A3aConvencionalNão se aplicaNão se aplicaNão se aplicaNão se aplicaNão se aplica",Mercado_Receita!$L$2:$L$2285)</f>
        <v>0</v>
      </c>
      <c r="T23" s="12">
        <f>SUMIF(Mercado_Receita!$S$2:$S$2285,"44075A3aConvencionalNão se aplicaNão se aplicaNão se aplicaNão se aplicaPonta",Mercado_Receita!$L$2:$L$2285)+SUMIF(Mercado_Receita!$S$2:$S$2285,"44075A3aConvencionalNão se aplicaNão se aplicaNão se aplicaNão se aplicaFora ponta",Mercado_Receita!$L$2:$L$2285)+SUMIF(Mercado_Receita!$S$2:$S$2285,"44075A3aConvencionalNão se aplicaNão se aplicaNão se aplicaNão se aplicaIntermediário",Mercado_Receita!$L$2:$L$2285)+SUMIF(Mercado_Receita!$S$2:$S$2285,"44075A3aConvencionalNão se aplicaNão se aplicaNão se aplicaNão se aplicaNão se aplica",Mercado_Receita!$L$2:$L$2285)</f>
        <v>0</v>
      </c>
      <c r="U23" s="12">
        <f t="shared" si="0"/>
        <v>0</v>
      </c>
      <c r="V23" s="12"/>
      <c r="W23" s="12"/>
    </row>
    <row r="24" spans="1:23" ht="11.25" customHeight="1" x14ac:dyDescent="0.25">
      <c r="A24" s="104" t="s">
        <v>33</v>
      </c>
      <c r="B24" s="104" t="s">
        <v>41</v>
      </c>
      <c r="C24" s="104" t="s">
        <v>25</v>
      </c>
      <c r="D24" s="104" t="s">
        <v>25</v>
      </c>
      <c r="E24" s="104" t="s">
        <v>25</v>
      </c>
      <c r="F24" s="104" t="s">
        <v>25</v>
      </c>
      <c r="G24" s="12" t="s">
        <v>92</v>
      </c>
      <c r="H24" s="12" t="s">
        <v>91</v>
      </c>
      <c r="I24" s="12">
        <f>SUMIF(Mercado_Receita!$S$2:$S$2285,"43739A4AzulNão se aplicaNão se aplicaNão se aplicaNão se aplicaPonta",Mercado_Receita!$J$2:$J$2285)+SUMIF(Mercado_Receita!$S$2:$S$2285,"43739A4AzulNão se aplicaNão se aplicaAPENão se aplicaPonta",Mercado_Receita!$J$2:$J$2285)</f>
        <v>111679</v>
      </c>
      <c r="J24" s="12">
        <f>SUMIF(Mercado_Receita!$S$2:$S$2285,"43770A4AzulNão se aplicaNão se aplicaNão se aplicaNão se aplicaPonta",Mercado_Receita!$J$2:$J$2285)+SUMIF(Mercado_Receita!$S$2:$S$2285,"43770A4AzulNão se aplicaNão se aplicaAPENão se aplicaPonta",Mercado_Receita!$J$2:$J$2285)</f>
        <v>144537</v>
      </c>
      <c r="K24" s="12">
        <f>SUMIF(Mercado_Receita!$S$2:$S$2285,"43800A4AzulNão se aplicaNão se aplicaNão se aplicaNão se aplicaPonta",Mercado_Receita!$J$2:$J$2285)+SUMIF(Mercado_Receita!$S$2:$S$2285,"43800A4AzulNão se aplicaNão se aplicaAPENão se aplicaPonta",Mercado_Receita!$J$2:$J$2285)</f>
        <v>128406</v>
      </c>
      <c r="L24" s="12">
        <f>SUMIF(Mercado_Receita!$S$2:$S$2285,"43831A4AzulNão se aplicaNão se aplicaNão se aplicaNão se aplicaPonta",Mercado_Receita!$J$2:$J$2285)+SUMIF(Mercado_Receita!$S$2:$S$2285,"43831A4AzulNão se aplicaNão se aplicaAPENão se aplicaPonta",Mercado_Receita!$J$2:$J$2285)</f>
        <v>128349</v>
      </c>
      <c r="M24" s="12">
        <f>SUMIF(Mercado_Receita!$S$2:$S$2285,"43862A4AzulNão se aplicaNão se aplicaNão se aplicaNão se aplicaPonta",Mercado_Receita!$J$2:$J$2285)+SUMIF(Mercado_Receita!$S$2:$S$2285,"43862A4AzulNão se aplicaNão se aplicaAPENão se aplicaPonta",Mercado_Receita!$J$2:$J$2285)</f>
        <v>127937</v>
      </c>
      <c r="N24" s="12">
        <f>SUMIF(Mercado_Receita!$S$2:$S$2285,"43891A4AzulNão se aplicaNão se aplicaNão se aplicaNão se aplicaPonta",Mercado_Receita!$J$2:$J$2285)+SUMIF(Mercado_Receita!$S$2:$S$2285,"43891A4AzulNão se aplicaNão se aplicaAPENão se aplicaPonta",Mercado_Receita!$J$2:$J$2285)</f>
        <v>127391</v>
      </c>
      <c r="O24" s="12">
        <f>SUMIF(Mercado_Receita!$S$2:$S$2285,"43922A4AzulNão se aplicaNão se aplicaNão se aplicaNão se aplicaPonta",Mercado_Receita!$J$2:$J$2285)+SUMIF(Mercado_Receita!$S$2:$S$2285,"43922A4AzulNão se aplicaNão se aplicaAPENão se aplicaPonta",Mercado_Receita!$J$2:$J$2285)</f>
        <v>126145</v>
      </c>
      <c r="P24" s="12">
        <f>SUMIF(Mercado_Receita!$S$2:$S$2285,"43952A4AzulNão se aplicaNão se aplicaNão se aplicaNão se aplicaPonta",Mercado_Receita!$J$2:$J$2285)+SUMIF(Mercado_Receita!$S$2:$S$2285,"43952A4AzulNão se aplicaNão se aplicaAPENão se aplicaPonta",Mercado_Receita!$J$2:$J$2285)</f>
        <v>121247</v>
      </c>
      <c r="Q24" s="12">
        <f>SUMIF(Mercado_Receita!$S$2:$S$2285,"43983A4AzulNão se aplicaNão se aplicaNão se aplicaNão se aplicaPonta",Mercado_Receita!$J$2:$J$2285)+SUMIF(Mercado_Receita!$S$2:$S$2285,"43983A4AzulNão se aplicaNão se aplicaAPENão se aplicaPonta",Mercado_Receita!$J$2:$J$2285)</f>
        <v>120802</v>
      </c>
      <c r="R24" s="12">
        <f>SUMIF(Mercado_Receita!$S$2:$S$2285,"44013A4AzulNão se aplicaNão se aplicaNão se aplicaNão se aplicaPonta",Mercado_Receita!$J$2:$J$2285)+SUMIF(Mercado_Receita!$S$2:$S$2285,"44013A4AzulNão se aplicaNão se aplicaAPENão se aplicaPonta",Mercado_Receita!$J$2:$J$2285)</f>
        <v>127230</v>
      </c>
      <c r="S24" s="12">
        <f>SUMIF(Mercado_Receita!$S$2:$S$2285,"44044A4AzulNão se aplicaNão se aplicaNão se aplicaNão se aplicaPonta",Mercado_Receita!$J$2:$J$2285)+SUMIF(Mercado_Receita!$S$2:$S$2285,"44044A4AzulNão se aplicaNão se aplicaAPENão se aplicaPonta",Mercado_Receita!$J$2:$J$2285)</f>
        <v>126398</v>
      </c>
      <c r="T24" s="12">
        <f>SUMIF(Mercado_Receita!$S$2:$S$2285,"44075A4AzulNão se aplicaNão se aplicaNão se aplicaNão se aplicaPonta",Mercado_Receita!$J$2:$J$2285)+SUMIF(Mercado_Receita!$S$2:$S$2285,"44075A4AzulNão se aplicaNão se aplicaAPENão se aplicaPonta",Mercado_Receita!$J$2:$J$2285)</f>
        <v>126398</v>
      </c>
      <c r="U24" s="12">
        <f t="shared" si="0"/>
        <v>1516519</v>
      </c>
      <c r="V24" s="12"/>
      <c r="W24" s="12"/>
    </row>
    <row r="25" spans="1:23" ht="11.25" customHeight="1" x14ac:dyDescent="0.25">
      <c r="A25" s="105"/>
      <c r="B25" s="105"/>
      <c r="C25" s="105"/>
      <c r="D25" s="105"/>
      <c r="E25" s="105"/>
      <c r="F25" s="105"/>
      <c r="G25" s="12" t="s">
        <v>93</v>
      </c>
      <c r="H25" s="12" t="s">
        <v>91</v>
      </c>
      <c r="I25" s="12">
        <f>SUMIF(Mercado_Receita!$S$2:$S$2285,"43739A4AzulNão se aplicaNão se aplicaNão se aplicaNão se aplicaFora ponta",Mercado_Receita!$J$2:$J$2285)+SUMIF(Mercado_Receita!$S$2:$S$2285,"43739A4AzulNão se aplicaNão se aplicaAPENão se aplicaFora ponta",Mercado_Receita!$J$2:$J$2285)</f>
        <v>131887</v>
      </c>
      <c r="J25" s="12">
        <f>SUMIF(Mercado_Receita!$S$2:$S$2285,"43770A4AzulNão se aplicaNão se aplicaNão se aplicaNão se aplicaFora ponta",Mercado_Receita!$J$2:$J$2285)+SUMIF(Mercado_Receita!$S$2:$S$2285,"43770A4AzulNão se aplicaNão se aplicaAPENão se aplicaFora ponta",Mercado_Receita!$J$2:$J$2285)</f>
        <v>168344</v>
      </c>
      <c r="K25" s="12">
        <f>SUMIF(Mercado_Receita!$S$2:$S$2285,"43800A4AzulNão se aplicaNão se aplicaNão se aplicaNão se aplicaFora ponta",Mercado_Receita!$J$2:$J$2285)+SUMIF(Mercado_Receita!$S$2:$S$2285,"43800A4AzulNão se aplicaNão se aplicaAPENão se aplicaFora ponta",Mercado_Receita!$J$2:$J$2285)</f>
        <v>148126</v>
      </c>
      <c r="L25" s="12">
        <f>SUMIF(Mercado_Receita!$S$2:$S$2285,"43831A4AzulNão se aplicaNão se aplicaNão se aplicaNão se aplicaFora ponta",Mercado_Receita!$J$2:$J$2285)+SUMIF(Mercado_Receita!$S$2:$S$2285,"43831A4AzulNão se aplicaNão se aplicaAPENão se aplicaFora ponta",Mercado_Receita!$J$2:$J$2285)</f>
        <v>147409</v>
      </c>
      <c r="M25" s="12">
        <f>SUMIF(Mercado_Receita!$S$2:$S$2285,"43862A4AzulNão se aplicaNão se aplicaNão se aplicaNão se aplicaFora ponta",Mercado_Receita!$J$2:$J$2285)+SUMIF(Mercado_Receita!$S$2:$S$2285,"43862A4AzulNão se aplicaNão se aplicaAPENão se aplicaFora ponta",Mercado_Receita!$J$2:$J$2285)</f>
        <v>148720</v>
      </c>
      <c r="N25" s="12">
        <f>SUMIF(Mercado_Receita!$S$2:$S$2285,"43891A4AzulNão se aplicaNão se aplicaNão se aplicaNão se aplicaFora ponta",Mercado_Receita!$J$2:$J$2285)+SUMIF(Mercado_Receita!$S$2:$S$2285,"43891A4AzulNão se aplicaNão se aplicaAPENão se aplicaFora ponta",Mercado_Receita!$J$2:$J$2285)</f>
        <v>147021</v>
      </c>
      <c r="O25" s="12">
        <f>SUMIF(Mercado_Receita!$S$2:$S$2285,"43922A4AzulNão se aplicaNão se aplicaNão se aplicaNão se aplicaFora ponta",Mercado_Receita!$J$2:$J$2285)+SUMIF(Mercado_Receita!$S$2:$S$2285,"43922A4AzulNão se aplicaNão se aplicaAPENão se aplicaFora ponta",Mercado_Receita!$J$2:$J$2285)</f>
        <v>145766</v>
      </c>
      <c r="P25" s="12">
        <f>SUMIF(Mercado_Receita!$S$2:$S$2285,"43952A4AzulNão se aplicaNão se aplicaNão se aplicaNão se aplicaFora ponta",Mercado_Receita!$J$2:$J$2285)+SUMIF(Mercado_Receita!$S$2:$S$2285,"43952A4AzulNão se aplicaNão se aplicaAPENão se aplicaFora ponta",Mercado_Receita!$J$2:$J$2285)</f>
        <v>140368</v>
      </c>
      <c r="Q25" s="12">
        <f>SUMIF(Mercado_Receita!$S$2:$S$2285,"43983A4AzulNão se aplicaNão se aplicaNão se aplicaNão se aplicaFora ponta",Mercado_Receita!$J$2:$J$2285)+SUMIF(Mercado_Receita!$S$2:$S$2285,"43983A4AzulNão se aplicaNão se aplicaAPENão se aplicaFora ponta",Mercado_Receita!$J$2:$J$2285)</f>
        <v>138399</v>
      </c>
      <c r="R25" s="12">
        <f>SUMIF(Mercado_Receita!$S$2:$S$2285,"44013A4AzulNão se aplicaNão se aplicaNão se aplicaNão se aplicaFora ponta",Mercado_Receita!$J$2:$J$2285)+SUMIF(Mercado_Receita!$S$2:$S$2285,"44013A4AzulNão se aplicaNão se aplicaAPENão se aplicaFora ponta",Mercado_Receita!$J$2:$J$2285)</f>
        <v>142904</v>
      </c>
      <c r="S25" s="12">
        <f>SUMIF(Mercado_Receita!$S$2:$S$2285,"44044A4AzulNão se aplicaNão se aplicaNão se aplicaNão se aplicaFora ponta",Mercado_Receita!$J$2:$J$2285)+SUMIF(Mercado_Receita!$S$2:$S$2285,"44044A4AzulNão se aplicaNão se aplicaAPENão se aplicaFora ponta",Mercado_Receita!$J$2:$J$2285)</f>
        <v>143390</v>
      </c>
      <c r="T25" s="12">
        <f>SUMIF(Mercado_Receita!$S$2:$S$2285,"44075A4AzulNão se aplicaNão se aplicaNão se aplicaNão se aplicaFora ponta",Mercado_Receita!$J$2:$J$2285)+SUMIF(Mercado_Receita!$S$2:$S$2285,"44075A4AzulNão se aplicaNão se aplicaAPENão se aplicaFora ponta",Mercado_Receita!$J$2:$J$2285)</f>
        <v>143390</v>
      </c>
      <c r="U25" s="12">
        <f t="shared" si="0"/>
        <v>1745724</v>
      </c>
      <c r="V25" s="12"/>
      <c r="W25" s="12"/>
    </row>
    <row r="26" spans="1:23" ht="11.25" customHeight="1" x14ac:dyDescent="0.25">
      <c r="A26" s="105"/>
      <c r="B26" s="105"/>
      <c r="C26" s="105"/>
      <c r="D26" s="105"/>
      <c r="E26" s="105"/>
      <c r="F26" s="105"/>
      <c r="G26" s="12" t="s">
        <v>94</v>
      </c>
      <c r="H26" s="12" t="s">
        <v>88</v>
      </c>
      <c r="I26" s="12">
        <f>SUMIF(Mercado_Receita!$S$2:$S$2285,"43739A4AzulNão se aplicaNão se aplicaNão se aplicaNão se aplicaPonta",Mercado_Receita!$L$2:$L$2285)+SUMIF(Mercado_Receita!$S$2:$S$2285,"43739A4AzulNão se aplicaNão se aplicaNão se aplicaNão se aplicaFora ponta",Mercado_Receita!$L$2:$L$2285)+SUMIF(Mercado_Receita!$S$2:$S$2285,"43739A4AzulNão se aplicaNão se aplicaNão se aplicaNão se aplicaIntermediário",Mercado_Receita!$L$2:$L$2285)+SUMIF(Mercado_Receita!$S$2:$S$2285,"43739A4AzulNão se aplicaNão se aplicaNão se aplicaNão se aplicaNão se aplica",Mercado_Receita!$L$2:$L$2285)</f>
        <v>52494.641000000003</v>
      </c>
      <c r="J26" s="12">
        <f>SUMIF(Mercado_Receita!$S$2:$S$2285,"43770A4AzulNão se aplicaNão se aplicaNão se aplicaNão se aplicaPonta",Mercado_Receita!$L$2:$L$2285)+SUMIF(Mercado_Receita!$S$2:$S$2285,"43770A4AzulNão se aplicaNão se aplicaNão se aplicaNão se aplicaFora ponta",Mercado_Receita!$L$2:$L$2285)+SUMIF(Mercado_Receita!$S$2:$S$2285,"43770A4AzulNão se aplicaNão se aplicaNão se aplicaNão se aplicaIntermediário",Mercado_Receita!$L$2:$L$2285)+SUMIF(Mercado_Receita!$S$2:$S$2285,"43770A4AzulNão se aplicaNão se aplicaNão se aplicaNão se aplicaNão se aplica",Mercado_Receita!$L$2:$L$2285)</f>
        <v>64543.427000000011</v>
      </c>
      <c r="K26" s="12">
        <f>SUMIF(Mercado_Receita!$S$2:$S$2285,"43800A4AzulNão se aplicaNão se aplicaNão se aplicaNão se aplicaPonta",Mercado_Receita!$L$2:$L$2285)+SUMIF(Mercado_Receita!$S$2:$S$2285,"43800A4AzulNão se aplicaNão se aplicaNão se aplicaNão se aplicaFora ponta",Mercado_Receita!$L$2:$L$2285)+SUMIF(Mercado_Receita!$S$2:$S$2285,"43800A4AzulNão se aplicaNão se aplicaNão se aplicaNão se aplicaIntermediário",Mercado_Receita!$L$2:$L$2285)+SUMIF(Mercado_Receita!$S$2:$S$2285,"43800A4AzulNão se aplicaNão se aplicaNão se aplicaNão se aplicaNão se aplica",Mercado_Receita!$L$2:$L$2285)</f>
        <v>57042.068999999996</v>
      </c>
      <c r="L26" s="12">
        <f>SUMIF(Mercado_Receita!$S$2:$S$2285,"43831A4AzulNão se aplicaNão se aplicaNão se aplicaNão se aplicaPonta",Mercado_Receita!$L$2:$L$2285)+SUMIF(Mercado_Receita!$S$2:$S$2285,"43831A4AzulNão se aplicaNão se aplicaNão se aplicaNão se aplicaFora ponta",Mercado_Receita!$L$2:$L$2285)+SUMIF(Mercado_Receita!$S$2:$S$2285,"43831A4AzulNão se aplicaNão se aplicaNão se aplicaNão se aplicaIntermediário",Mercado_Receita!$L$2:$L$2285)+SUMIF(Mercado_Receita!$S$2:$S$2285,"43831A4AzulNão se aplicaNão se aplicaNão se aplicaNão se aplicaNão se aplica",Mercado_Receita!$L$2:$L$2285)</f>
        <v>57657.811000000002</v>
      </c>
      <c r="M26" s="12">
        <f>SUMIF(Mercado_Receita!$S$2:$S$2285,"43862A4AzulNão se aplicaNão se aplicaNão se aplicaNão se aplicaPonta",Mercado_Receita!$L$2:$L$2285)+SUMIF(Mercado_Receita!$S$2:$S$2285,"43862A4AzulNão se aplicaNão se aplicaNão se aplicaNão se aplicaFora ponta",Mercado_Receita!$L$2:$L$2285)+SUMIF(Mercado_Receita!$S$2:$S$2285,"43862A4AzulNão se aplicaNão se aplicaNão se aplicaNão se aplicaIntermediário",Mercado_Receita!$L$2:$L$2285)+SUMIF(Mercado_Receita!$S$2:$S$2285,"43862A4AzulNão se aplicaNão se aplicaNão se aplicaNão se aplicaNão se aplica",Mercado_Receita!$L$2:$L$2285)</f>
        <v>56909.248</v>
      </c>
      <c r="N26" s="12">
        <f>SUMIF(Mercado_Receita!$S$2:$S$2285,"43891A4AzulNão se aplicaNão se aplicaNão se aplicaNão se aplicaPonta",Mercado_Receita!$L$2:$L$2285)+SUMIF(Mercado_Receita!$S$2:$S$2285,"43891A4AzulNão se aplicaNão se aplicaNão se aplicaNão se aplicaFora ponta",Mercado_Receita!$L$2:$L$2285)+SUMIF(Mercado_Receita!$S$2:$S$2285,"43891A4AzulNão se aplicaNão se aplicaNão se aplicaNão se aplicaIntermediário",Mercado_Receita!$L$2:$L$2285)+SUMIF(Mercado_Receita!$S$2:$S$2285,"43891A4AzulNão se aplicaNão se aplicaNão se aplicaNão se aplicaNão se aplica",Mercado_Receita!$L$2:$L$2285)</f>
        <v>54291.310999999994</v>
      </c>
      <c r="O26" s="12">
        <f>SUMIF(Mercado_Receita!$S$2:$S$2285,"43922A4AzulNão se aplicaNão se aplicaNão se aplicaNão se aplicaPonta",Mercado_Receita!$L$2:$L$2285)+SUMIF(Mercado_Receita!$S$2:$S$2285,"43922A4AzulNão se aplicaNão se aplicaNão se aplicaNão se aplicaFora ponta",Mercado_Receita!$L$2:$L$2285)+SUMIF(Mercado_Receita!$S$2:$S$2285,"43922A4AzulNão se aplicaNão se aplicaNão se aplicaNão se aplicaIntermediário",Mercado_Receita!$L$2:$L$2285)+SUMIF(Mercado_Receita!$S$2:$S$2285,"43922A4AzulNão se aplicaNão se aplicaNão se aplicaNão se aplicaNão se aplica",Mercado_Receita!$L$2:$L$2285)</f>
        <v>50445.398000000001</v>
      </c>
      <c r="P26" s="12">
        <f>SUMIF(Mercado_Receita!$S$2:$S$2285,"43952A4AzulNão se aplicaNão se aplicaNão se aplicaNão se aplicaPonta",Mercado_Receita!$L$2:$L$2285)+SUMIF(Mercado_Receita!$S$2:$S$2285,"43952A4AzulNão se aplicaNão se aplicaNão se aplicaNão se aplicaFora ponta",Mercado_Receita!$L$2:$L$2285)+SUMIF(Mercado_Receita!$S$2:$S$2285,"43952A4AzulNão se aplicaNão se aplicaNão se aplicaNão se aplicaIntermediário",Mercado_Receita!$L$2:$L$2285)+SUMIF(Mercado_Receita!$S$2:$S$2285,"43952A4AzulNão se aplicaNão se aplicaNão se aplicaNão se aplicaNão se aplica",Mercado_Receita!$L$2:$L$2285)</f>
        <v>48356.913999999997</v>
      </c>
      <c r="Q26" s="12">
        <f>SUMIF(Mercado_Receita!$S$2:$S$2285,"43983A4AzulNão se aplicaNão se aplicaNão se aplicaNão se aplicaPonta",Mercado_Receita!$L$2:$L$2285)+SUMIF(Mercado_Receita!$S$2:$S$2285,"43983A4AzulNão se aplicaNão se aplicaNão se aplicaNão se aplicaFora ponta",Mercado_Receita!$L$2:$L$2285)+SUMIF(Mercado_Receita!$S$2:$S$2285,"43983A4AzulNão se aplicaNão se aplicaNão se aplicaNão se aplicaIntermediário",Mercado_Receita!$L$2:$L$2285)+SUMIF(Mercado_Receita!$S$2:$S$2285,"43983A4AzulNão se aplicaNão se aplicaNão se aplicaNão se aplicaNão se aplica",Mercado_Receita!$L$2:$L$2285)</f>
        <v>47708.334999999999</v>
      </c>
      <c r="R26" s="12">
        <f>SUMIF(Mercado_Receita!$S$2:$S$2285,"44013A4AzulNão se aplicaNão se aplicaNão se aplicaNão se aplicaPonta",Mercado_Receita!$L$2:$L$2285)+SUMIF(Mercado_Receita!$S$2:$S$2285,"44013A4AzulNão se aplicaNão se aplicaNão se aplicaNão se aplicaFora ponta",Mercado_Receita!$L$2:$L$2285)+SUMIF(Mercado_Receita!$S$2:$S$2285,"44013A4AzulNão se aplicaNão se aplicaNão se aplicaNão se aplicaIntermediário",Mercado_Receita!$L$2:$L$2285)+SUMIF(Mercado_Receita!$S$2:$S$2285,"44013A4AzulNão se aplicaNão se aplicaNão se aplicaNão se aplicaNão se aplica",Mercado_Receita!$L$2:$L$2285)</f>
        <v>47619.960000000006</v>
      </c>
      <c r="S26" s="12">
        <f>SUMIF(Mercado_Receita!$S$2:$S$2285,"44044A4AzulNão se aplicaNão se aplicaNão se aplicaNão se aplicaPonta",Mercado_Receita!$L$2:$L$2285)+SUMIF(Mercado_Receita!$S$2:$S$2285,"44044A4AzulNão se aplicaNão se aplicaNão se aplicaNão se aplicaFora ponta",Mercado_Receita!$L$2:$L$2285)+SUMIF(Mercado_Receita!$S$2:$S$2285,"44044A4AzulNão se aplicaNão se aplicaNão se aplicaNão se aplicaIntermediário",Mercado_Receita!$L$2:$L$2285)+SUMIF(Mercado_Receita!$S$2:$S$2285,"44044A4AzulNão se aplicaNão se aplicaNão se aplicaNão se aplicaNão se aplica",Mercado_Receita!$L$2:$L$2285)</f>
        <v>51426.898000000001</v>
      </c>
      <c r="T26" s="12">
        <f>SUMIF(Mercado_Receita!$S$2:$S$2285,"44075A4AzulNão se aplicaNão se aplicaNão se aplicaNão se aplicaPonta",Mercado_Receita!$L$2:$L$2285)+SUMIF(Mercado_Receita!$S$2:$S$2285,"44075A4AzulNão se aplicaNão se aplicaNão se aplicaNão se aplicaFora ponta",Mercado_Receita!$L$2:$L$2285)+SUMIF(Mercado_Receita!$S$2:$S$2285,"44075A4AzulNão se aplicaNão se aplicaNão se aplicaNão se aplicaIntermediário",Mercado_Receita!$L$2:$L$2285)+SUMIF(Mercado_Receita!$S$2:$S$2285,"44075A4AzulNão se aplicaNão se aplicaNão se aplicaNão se aplicaNão se aplica",Mercado_Receita!$L$2:$L$2285)</f>
        <v>51426.898000000001</v>
      </c>
      <c r="U26" s="12">
        <f t="shared" si="0"/>
        <v>639922.91000000015</v>
      </c>
      <c r="V26" s="12"/>
      <c r="W26" s="12"/>
    </row>
    <row r="27" spans="1:23" ht="11.25" customHeight="1" x14ac:dyDescent="0.25">
      <c r="A27" s="105"/>
      <c r="B27" s="105"/>
      <c r="C27" s="105"/>
      <c r="D27" s="105"/>
      <c r="E27" s="13" t="s">
        <v>61</v>
      </c>
      <c r="F27" s="13" t="s">
        <v>25</v>
      </c>
      <c r="G27" s="12" t="s">
        <v>94</v>
      </c>
      <c r="H27" s="12" t="s">
        <v>88</v>
      </c>
      <c r="I27" s="12">
        <f>SUMIF(Mercado_Receita!$S$2:$S$2285,"43739A4AzulNão se aplicaNão se aplicaAPENão se aplicaPonta",Mercado_Receita!$L$2:$L$2285)+SUMIF(Mercado_Receita!$S$2:$S$2285,"43739A4AzulNão se aplicaNão se aplicaAPENão se aplicaFora ponta",Mercado_Receita!$L$2:$L$2285)+SUMIF(Mercado_Receita!$S$2:$S$2285,"43739A4AzulNão se aplicaNão se aplicaAPENão se aplicaIntermediário",Mercado_Receita!$L$2:$L$2285)+SUMIF(Mercado_Receita!$S$2:$S$2285,"43739A4AzulNão se aplicaNão se aplicaAPENão se aplicaNão se aplica",Mercado_Receita!$L$2:$L$2285)</f>
        <v>0</v>
      </c>
      <c r="J27" s="12">
        <f>SUMIF(Mercado_Receita!$S$2:$S$2285,"43770A4AzulNão se aplicaNão se aplicaAPENão se aplicaPonta",Mercado_Receita!$L$2:$L$2285)+SUMIF(Mercado_Receita!$S$2:$S$2285,"43770A4AzulNão se aplicaNão se aplicaAPENão se aplicaFora ponta",Mercado_Receita!$L$2:$L$2285)+SUMIF(Mercado_Receita!$S$2:$S$2285,"43770A4AzulNão se aplicaNão se aplicaAPENão se aplicaIntermediário",Mercado_Receita!$L$2:$L$2285)+SUMIF(Mercado_Receita!$S$2:$S$2285,"43770A4AzulNão se aplicaNão se aplicaAPENão se aplicaNão se aplica",Mercado_Receita!$L$2:$L$2285)</f>
        <v>0</v>
      </c>
      <c r="K27" s="12">
        <f>SUMIF(Mercado_Receita!$S$2:$S$2285,"43800A4AzulNão se aplicaNão se aplicaAPENão se aplicaPonta",Mercado_Receita!$L$2:$L$2285)+SUMIF(Mercado_Receita!$S$2:$S$2285,"43800A4AzulNão se aplicaNão se aplicaAPENão se aplicaFora ponta",Mercado_Receita!$L$2:$L$2285)+SUMIF(Mercado_Receita!$S$2:$S$2285,"43800A4AzulNão se aplicaNão se aplicaAPENão se aplicaIntermediário",Mercado_Receita!$L$2:$L$2285)+SUMIF(Mercado_Receita!$S$2:$S$2285,"43800A4AzulNão se aplicaNão se aplicaAPENão se aplicaNão se aplica",Mercado_Receita!$L$2:$L$2285)</f>
        <v>0</v>
      </c>
      <c r="L27" s="12">
        <f>SUMIF(Mercado_Receita!$S$2:$S$2285,"43831A4AzulNão se aplicaNão se aplicaAPENão se aplicaPonta",Mercado_Receita!$L$2:$L$2285)+SUMIF(Mercado_Receita!$S$2:$S$2285,"43831A4AzulNão se aplicaNão se aplicaAPENão se aplicaFora ponta",Mercado_Receita!$L$2:$L$2285)+SUMIF(Mercado_Receita!$S$2:$S$2285,"43831A4AzulNão se aplicaNão se aplicaAPENão se aplicaIntermediário",Mercado_Receita!$L$2:$L$2285)+SUMIF(Mercado_Receita!$S$2:$S$2285,"43831A4AzulNão se aplicaNão se aplicaAPENão se aplicaNão se aplica",Mercado_Receita!$L$2:$L$2285)</f>
        <v>0</v>
      </c>
      <c r="M27" s="12">
        <f>SUMIF(Mercado_Receita!$S$2:$S$2285,"43862A4AzulNão se aplicaNão se aplicaAPENão se aplicaPonta",Mercado_Receita!$L$2:$L$2285)+SUMIF(Mercado_Receita!$S$2:$S$2285,"43862A4AzulNão se aplicaNão se aplicaAPENão se aplicaFora ponta",Mercado_Receita!$L$2:$L$2285)+SUMIF(Mercado_Receita!$S$2:$S$2285,"43862A4AzulNão se aplicaNão se aplicaAPENão se aplicaIntermediário",Mercado_Receita!$L$2:$L$2285)+SUMIF(Mercado_Receita!$S$2:$S$2285,"43862A4AzulNão se aplicaNão se aplicaAPENão se aplicaNão se aplica",Mercado_Receita!$L$2:$L$2285)</f>
        <v>0</v>
      </c>
      <c r="N27" s="12">
        <f>SUMIF(Mercado_Receita!$S$2:$S$2285,"43891A4AzulNão se aplicaNão se aplicaAPENão se aplicaPonta",Mercado_Receita!$L$2:$L$2285)+SUMIF(Mercado_Receita!$S$2:$S$2285,"43891A4AzulNão se aplicaNão se aplicaAPENão se aplicaFora ponta",Mercado_Receita!$L$2:$L$2285)+SUMIF(Mercado_Receita!$S$2:$S$2285,"43891A4AzulNão se aplicaNão se aplicaAPENão se aplicaIntermediário",Mercado_Receita!$L$2:$L$2285)+SUMIF(Mercado_Receita!$S$2:$S$2285,"43891A4AzulNão se aplicaNão se aplicaAPENão se aplicaNão se aplica",Mercado_Receita!$L$2:$L$2285)</f>
        <v>0</v>
      </c>
      <c r="O27" s="12">
        <f>SUMIF(Mercado_Receita!$S$2:$S$2285,"43922A4AzulNão se aplicaNão se aplicaAPENão se aplicaPonta",Mercado_Receita!$L$2:$L$2285)+SUMIF(Mercado_Receita!$S$2:$S$2285,"43922A4AzulNão se aplicaNão se aplicaAPENão se aplicaFora ponta",Mercado_Receita!$L$2:$L$2285)+SUMIF(Mercado_Receita!$S$2:$S$2285,"43922A4AzulNão se aplicaNão se aplicaAPENão se aplicaIntermediário",Mercado_Receita!$L$2:$L$2285)+SUMIF(Mercado_Receita!$S$2:$S$2285,"43922A4AzulNão se aplicaNão se aplicaAPENão se aplicaNão se aplica",Mercado_Receita!$L$2:$L$2285)</f>
        <v>0</v>
      </c>
      <c r="P27" s="12">
        <f>SUMIF(Mercado_Receita!$S$2:$S$2285,"43952A4AzulNão se aplicaNão se aplicaAPENão se aplicaPonta",Mercado_Receita!$L$2:$L$2285)+SUMIF(Mercado_Receita!$S$2:$S$2285,"43952A4AzulNão se aplicaNão se aplicaAPENão se aplicaFora ponta",Mercado_Receita!$L$2:$L$2285)+SUMIF(Mercado_Receita!$S$2:$S$2285,"43952A4AzulNão se aplicaNão se aplicaAPENão se aplicaIntermediário",Mercado_Receita!$L$2:$L$2285)+SUMIF(Mercado_Receita!$S$2:$S$2285,"43952A4AzulNão se aplicaNão se aplicaAPENão se aplicaNão se aplica",Mercado_Receita!$L$2:$L$2285)</f>
        <v>0</v>
      </c>
      <c r="Q27" s="12">
        <f>SUMIF(Mercado_Receita!$S$2:$S$2285,"43983A4AzulNão se aplicaNão se aplicaAPENão se aplicaPonta",Mercado_Receita!$L$2:$L$2285)+SUMIF(Mercado_Receita!$S$2:$S$2285,"43983A4AzulNão se aplicaNão se aplicaAPENão se aplicaFora ponta",Mercado_Receita!$L$2:$L$2285)+SUMIF(Mercado_Receita!$S$2:$S$2285,"43983A4AzulNão se aplicaNão se aplicaAPENão se aplicaIntermediário",Mercado_Receita!$L$2:$L$2285)+SUMIF(Mercado_Receita!$S$2:$S$2285,"43983A4AzulNão se aplicaNão se aplicaAPENão se aplicaNão se aplica",Mercado_Receita!$L$2:$L$2285)</f>
        <v>0</v>
      </c>
      <c r="R27" s="12">
        <f>SUMIF(Mercado_Receita!$S$2:$S$2285,"44013A4AzulNão se aplicaNão se aplicaAPENão se aplicaPonta",Mercado_Receita!$L$2:$L$2285)+SUMIF(Mercado_Receita!$S$2:$S$2285,"44013A4AzulNão se aplicaNão se aplicaAPENão se aplicaFora ponta",Mercado_Receita!$L$2:$L$2285)+SUMIF(Mercado_Receita!$S$2:$S$2285,"44013A4AzulNão se aplicaNão se aplicaAPENão se aplicaIntermediário",Mercado_Receita!$L$2:$L$2285)+SUMIF(Mercado_Receita!$S$2:$S$2285,"44013A4AzulNão se aplicaNão se aplicaAPENão se aplicaNão se aplica",Mercado_Receita!$L$2:$L$2285)</f>
        <v>0</v>
      </c>
      <c r="S27" s="12">
        <f>SUMIF(Mercado_Receita!$S$2:$S$2285,"44044A4AzulNão se aplicaNão se aplicaAPENão se aplicaPonta",Mercado_Receita!$L$2:$L$2285)+SUMIF(Mercado_Receita!$S$2:$S$2285,"44044A4AzulNão se aplicaNão se aplicaAPENão se aplicaFora ponta",Mercado_Receita!$L$2:$L$2285)+SUMIF(Mercado_Receita!$S$2:$S$2285,"44044A4AzulNão se aplicaNão se aplicaAPENão se aplicaIntermediário",Mercado_Receita!$L$2:$L$2285)+SUMIF(Mercado_Receita!$S$2:$S$2285,"44044A4AzulNão se aplicaNão se aplicaAPENão se aplicaNão se aplica",Mercado_Receita!$L$2:$L$2285)</f>
        <v>0</v>
      </c>
      <c r="T27" s="12">
        <f>SUMIF(Mercado_Receita!$S$2:$S$2285,"44075A4AzulNão se aplicaNão se aplicaAPENão se aplicaPonta",Mercado_Receita!$L$2:$L$2285)+SUMIF(Mercado_Receita!$S$2:$S$2285,"44075A4AzulNão se aplicaNão se aplicaAPENão se aplicaFora ponta",Mercado_Receita!$L$2:$L$2285)+SUMIF(Mercado_Receita!$S$2:$S$2285,"44075A4AzulNão se aplicaNão se aplicaAPENão se aplicaIntermediário",Mercado_Receita!$L$2:$L$2285)+SUMIF(Mercado_Receita!$S$2:$S$2285,"44075A4AzulNão se aplicaNão se aplicaAPENão se aplicaNão se aplica",Mercado_Receita!$L$2:$L$2285)</f>
        <v>0</v>
      </c>
      <c r="U27" s="12">
        <f t="shared" si="0"/>
        <v>0</v>
      </c>
      <c r="V27" s="12"/>
      <c r="W27" s="12"/>
    </row>
    <row r="28" spans="1:23" ht="11.25" customHeight="1" x14ac:dyDescent="0.25">
      <c r="A28" s="105"/>
      <c r="B28" s="13" t="s">
        <v>64</v>
      </c>
      <c r="C28" s="13" t="s">
        <v>25</v>
      </c>
      <c r="D28" s="13" t="s">
        <v>25</v>
      </c>
      <c r="E28" s="13" t="s">
        <v>25</v>
      </c>
      <c r="F28" s="13" t="s">
        <v>25</v>
      </c>
      <c r="G28" s="12" t="s">
        <v>9</v>
      </c>
      <c r="H28" s="12" t="s">
        <v>91</v>
      </c>
      <c r="I28" s="12">
        <f>SUMIF(Mercado_Receita!$S$2:$S$2285,"43739A4GeraçãoNão se aplicaNão se aplicaNão se aplicaNão se aplicaNão se aplica",Mercado_Receita!$J$2:$J$2285)+SUMIF(Mercado_Receita!$S$2:$S$2285,"43739A4GeraçãoNão se aplicaNão se aplicaAPENão se aplicaNão se aplica",Mercado_Receita!$J$2:$J$2285)</f>
        <v>0</v>
      </c>
      <c r="J28" s="12">
        <f>SUMIF(Mercado_Receita!$S$2:$S$2285,"43770A4GeraçãoNão se aplicaNão se aplicaNão se aplicaNão se aplicaNão se aplica",Mercado_Receita!$J$2:$J$2285)+SUMIF(Mercado_Receita!$S$2:$S$2285,"43770A4GeraçãoNão se aplicaNão se aplicaAPENão se aplicaNão se aplica",Mercado_Receita!$J$2:$J$2285)</f>
        <v>0</v>
      </c>
      <c r="K28" s="12">
        <f>SUMIF(Mercado_Receita!$S$2:$S$2285,"43800A4GeraçãoNão se aplicaNão se aplicaNão se aplicaNão se aplicaNão se aplica",Mercado_Receita!$J$2:$J$2285)+SUMIF(Mercado_Receita!$S$2:$S$2285,"43800A4GeraçãoNão se aplicaNão se aplicaAPENão se aplicaNão se aplica",Mercado_Receita!$J$2:$J$2285)</f>
        <v>0</v>
      </c>
      <c r="L28" s="12">
        <f>SUMIF(Mercado_Receita!$S$2:$S$2285,"43831A4GeraçãoNão se aplicaNão se aplicaNão se aplicaNão se aplicaNão se aplica",Mercado_Receita!$J$2:$J$2285)+SUMIF(Mercado_Receita!$S$2:$S$2285,"43831A4GeraçãoNão se aplicaNão se aplicaAPENão se aplicaNão se aplica",Mercado_Receita!$J$2:$J$2285)</f>
        <v>0</v>
      </c>
      <c r="M28" s="12">
        <f>SUMIF(Mercado_Receita!$S$2:$S$2285,"43862A4GeraçãoNão se aplicaNão se aplicaNão se aplicaNão se aplicaNão se aplica",Mercado_Receita!$J$2:$J$2285)+SUMIF(Mercado_Receita!$S$2:$S$2285,"43862A4GeraçãoNão se aplicaNão se aplicaAPENão se aplicaNão se aplica",Mercado_Receita!$J$2:$J$2285)</f>
        <v>0</v>
      </c>
      <c r="N28" s="12">
        <f>SUMIF(Mercado_Receita!$S$2:$S$2285,"43891A4GeraçãoNão se aplicaNão se aplicaNão se aplicaNão se aplicaNão se aplica",Mercado_Receita!$J$2:$J$2285)+SUMIF(Mercado_Receita!$S$2:$S$2285,"43891A4GeraçãoNão se aplicaNão se aplicaAPENão se aplicaNão se aplica",Mercado_Receita!$J$2:$J$2285)</f>
        <v>0</v>
      </c>
      <c r="O28" s="12">
        <f>SUMIF(Mercado_Receita!$S$2:$S$2285,"43922A4GeraçãoNão se aplicaNão se aplicaNão se aplicaNão se aplicaNão se aplica",Mercado_Receita!$J$2:$J$2285)+SUMIF(Mercado_Receita!$S$2:$S$2285,"43922A4GeraçãoNão se aplicaNão se aplicaAPENão se aplicaNão se aplica",Mercado_Receita!$J$2:$J$2285)</f>
        <v>0</v>
      </c>
      <c r="P28" s="12">
        <f>SUMIF(Mercado_Receita!$S$2:$S$2285,"43952A4GeraçãoNão se aplicaNão se aplicaNão se aplicaNão se aplicaNão se aplica",Mercado_Receita!$J$2:$J$2285)+SUMIF(Mercado_Receita!$S$2:$S$2285,"43952A4GeraçãoNão se aplicaNão se aplicaAPENão se aplicaNão se aplica",Mercado_Receita!$J$2:$J$2285)</f>
        <v>0</v>
      </c>
      <c r="Q28" s="12">
        <f>SUMIF(Mercado_Receita!$S$2:$S$2285,"43983A4GeraçãoNão se aplicaNão se aplicaNão se aplicaNão se aplicaNão se aplica",Mercado_Receita!$J$2:$J$2285)+SUMIF(Mercado_Receita!$S$2:$S$2285,"43983A4GeraçãoNão se aplicaNão se aplicaAPENão se aplicaNão se aplica",Mercado_Receita!$J$2:$J$2285)</f>
        <v>0</v>
      </c>
      <c r="R28" s="12">
        <f>SUMIF(Mercado_Receita!$S$2:$S$2285,"44013A4GeraçãoNão se aplicaNão se aplicaNão se aplicaNão se aplicaNão se aplica",Mercado_Receita!$J$2:$J$2285)+SUMIF(Mercado_Receita!$S$2:$S$2285,"44013A4GeraçãoNão se aplicaNão se aplicaAPENão se aplicaNão se aplica",Mercado_Receita!$J$2:$J$2285)</f>
        <v>0</v>
      </c>
      <c r="S28" s="12">
        <f>SUMIF(Mercado_Receita!$S$2:$S$2285,"44044A4GeraçãoNão se aplicaNão se aplicaNão se aplicaNão se aplicaNão se aplica",Mercado_Receita!$J$2:$J$2285)+SUMIF(Mercado_Receita!$S$2:$S$2285,"44044A4GeraçãoNão se aplicaNão se aplicaAPENão se aplicaNão se aplica",Mercado_Receita!$J$2:$J$2285)</f>
        <v>0</v>
      </c>
      <c r="T28" s="12">
        <f>SUMIF(Mercado_Receita!$S$2:$S$2285,"44075A4GeraçãoNão se aplicaNão se aplicaNão se aplicaNão se aplicaNão se aplica",Mercado_Receita!$J$2:$J$2285)+SUMIF(Mercado_Receita!$S$2:$S$2285,"44075A4GeraçãoNão se aplicaNão se aplicaAPENão se aplicaNão se aplica",Mercado_Receita!$J$2:$J$2285)</f>
        <v>0</v>
      </c>
      <c r="U28" s="12">
        <f t="shared" si="0"/>
        <v>0</v>
      </c>
      <c r="V28" s="12"/>
      <c r="W28" s="12"/>
    </row>
    <row r="29" spans="1:23" ht="11.25" customHeight="1" x14ac:dyDescent="0.25">
      <c r="A29" s="105"/>
      <c r="B29" s="104" t="s">
        <v>34</v>
      </c>
      <c r="C29" s="104" t="s">
        <v>25</v>
      </c>
      <c r="D29" s="104" t="s">
        <v>25</v>
      </c>
      <c r="E29" s="104" t="s">
        <v>25</v>
      </c>
      <c r="F29" s="104" t="s">
        <v>25</v>
      </c>
      <c r="G29" s="12" t="s">
        <v>9</v>
      </c>
      <c r="H29" s="12" t="s">
        <v>91</v>
      </c>
      <c r="I29" s="12">
        <f>SUMIF(Mercado_Receita!$S$2:$S$2285,"43739A4VerdeNão se aplicaNão se aplicaNão se aplicaNão se aplicaNão se aplica",Mercado_Receita!$J$2:$J$2285)+SUMIF(Mercado_Receita!$S$2:$S$2285,"43739A4VerdeNão se aplicaNão se aplicaAPENão se aplicaNão se aplica",Mercado_Receita!$J$2:$J$2285)</f>
        <v>278112</v>
      </c>
      <c r="J29" s="12">
        <f>SUMIF(Mercado_Receita!$S$2:$S$2285,"43770A4VerdeNão se aplicaNão se aplicaNão se aplicaNão se aplicaNão se aplica",Mercado_Receita!$J$2:$J$2285)+SUMIF(Mercado_Receita!$S$2:$S$2285,"43770A4VerdeNão se aplicaNão se aplicaAPENão se aplicaNão se aplica",Mercado_Receita!$J$2:$J$2285)</f>
        <v>289349</v>
      </c>
      <c r="K29" s="12">
        <f>SUMIF(Mercado_Receita!$S$2:$S$2285,"43800A4VerdeNão se aplicaNão se aplicaNão se aplicaNão se aplicaNão se aplica",Mercado_Receita!$J$2:$J$2285)+SUMIF(Mercado_Receita!$S$2:$S$2285,"43800A4VerdeNão se aplicaNão se aplicaAPENão se aplicaNão se aplica",Mercado_Receita!$J$2:$J$2285)</f>
        <v>278393</v>
      </c>
      <c r="L29" s="12">
        <f>SUMIF(Mercado_Receita!$S$2:$S$2285,"43831A4VerdeNão se aplicaNão se aplicaNão se aplicaNão se aplicaNão se aplica",Mercado_Receita!$J$2:$J$2285)+SUMIF(Mercado_Receita!$S$2:$S$2285,"43831A4VerdeNão se aplicaNão se aplicaAPENão se aplicaNão se aplica",Mercado_Receita!$J$2:$J$2285)</f>
        <v>277944</v>
      </c>
      <c r="M29" s="12">
        <f>SUMIF(Mercado_Receita!$S$2:$S$2285,"43862A4VerdeNão se aplicaNão se aplicaNão se aplicaNão se aplicaNão se aplica",Mercado_Receita!$J$2:$J$2285)+SUMIF(Mercado_Receita!$S$2:$S$2285,"43862A4VerdeNão se aplicaNão se aplicaAPENão se aplicaNão se aplica",Mercado_Receita!$J$2:$J$2285)</f>
        <v>280144</v>
      </c>
      <c r="N29" s="12">
        <f>SUMIF(Mercado_Receita!$S$2:$S$2285,"43891A4VerdeNão se aplicaNão se aplicaNão se aplicaNão se aplicaNão se aplica",Mercado_Receita!$J$2:$J$2285)+SUMIF(Mercado_Receita!$S$2:$S$2285,"43891A4VerdeNão se aplicaNão se aplicaAPENão se aplicaNão se aplica",Mercado_Receita!$J$2:$J$2285)</f>
        <v>276773</v>
      </c>
      <c r="O29" s="12">
        <f>SUMIF(Mercado_Receita!$S$2:$S$2285,"43922A4VerdeNão se aplicaNão se aplicaNão se aplicaNão se aplicaNão se aplica",Mercado_Receita!$J$2:$J$2285)+SUMIF(Mercado_Receita!$S$2:$S$2285,"43922A4VerdeNão se aplicaNão se aplicaAPENão se aplicaNão se aplica",Mercado_Receita!$J$2:$J$2285)</f>
        <v>280591</v>
      </c>
      <c r="P29" s="12">
        <f>SUMIF(Mercado_Receita!$S$2:$S$2285,"43952A4VerdeNão se aplicaNão se aplicaNão se aplicaNão se aplicaNão se aplica",Mercado_Receita!$J$2:$J$2285)+SUMIF(Mercado_Receita!$S$2:$S$2285,"43952A4VerdeNão se aplicaNão se aplicaAPENão se aplicaNão se aplica",Mercado_Receita!$J$2:$J$2285)</f>
        <v>280148</v>
      </c>
      <c r="Q29" s="12">
        <f>SUMIF(Mercado_Receita!$S$2:$S$2285,"43983A4VerdeNão se aplicaNão se aplicaNão se aplicaNão se aplicaNão se aplica",Mercado_Receita!$J$2:$J$2285)+SUMIF(Mercado_Receita!$S$2:$S$2285,"43983A4VerdeNão se aplicaNão se aplicaAPENão se aplicaNão se aplica",Mercado_Receita!$J$2:$J$2285)</f>
        <v>273898</v>
      </c>
      <c r="R29" s="12">
        <f>SUMIF(Mercado_Receita!$S$2:$S$2285,"44013A4VerdeNão se aplicaNão se aplicaNão se aplicaNão se aplicaNão se aplica",Mercado_Receita!$J$2:$J$2285)+SUMIF(Mercado_Receita!$S$2:$S$2285,"44013A4VerdeNão se aplicaNão se aplicaAPENão se aplicaNão se aplica",Mercado_Receita!$J$2:$J$2285)</f>
        <v>272751</v>
      </c>
      <c r="S29" s="12">
        <f>SUMIF(Mercado_Receita!$S$2:$S$2285,"44044A4VerdeNão se aplicaNão se aplicaNão se aplicaNão se aplicaNão se aplica",Mercado_Receita!$J$2:$J$2285)+SUMIF(Mercado_Receita!$S$2:$S$2285,"44044A4VerdeNão se aplicaNão se aplicaAPENão se aplicaNão se aplica",Mercado_Receita!$J$2:$J$2285)</f>
        <v>287212</v>
      </c>
      <c r="T29" s="12">
        <f>SUMIF(Mercado_Receita!$S$2:$S$2285,"44075A4VerdeNão se aplicaNão se aplicaNão se aplicaNão se aplicaNão se aplica",Mercado_Receita!$J$2:$J$2285)+SUMIF(Mercado_Receita!$S$2:$S$2285,"44075A4VerdeNão se aplicaNão se aplicaAPENão se aplicaNão se aplica",Mercado_Receita!$J$2:$J$2285)</f>
        <v>287212</v>
      </c>
      <c r="U29" s="12">
        <f t="shared" si="0"/>
        <v>3362527</v>
      </c>
      <c r="V29" s="12"/>
      <c r="W29" s="12"/>
    </row>
    <row r="30" spans="1:23" ht="11.25" customHeight="1" x14ac:dyDescent="0.25">
      <c r="A30" s="105"/>
      <c r="B30" s="105"/>
      <c r="C30" s="105"/>
      <c r="D30" s="105"/>
      <c r="E30" s="105"/>
      <c r="F30" s="105"/>
      <c r="G30" s="12" t="s">
        <v>89</v>
      </c>
      <c r="H30" s="12" t="s">
        <v>88</v>
      </c>
      <c r="I30" s="12">
        <f>SUMIF(Mercado_Receita!$S$2:$S$2285,"43739A4VerdeNão se aplicaNão se aplicaNão se aplicaNão se aplicaPonta",Mercado_Receita!$L$2:$L$2285)</f>
        <v>5297.7809999999999</v>
      </c>
      <c r="J30" s="12">
        <f>SUMIF(Mercado_Receita!$S$2:$S$2285,"43770A4VerdeNão se aplicaNão se aplicaNão se aplicaNão se aplicaPonta",Mercado_Receita!$L$2:$L$2285)</f>
        <v>5584.93</v>
      </c>
      <c r="K30" s="12">
        <f>SUMIF(Mercado_Receita!$S$2:$S$2285,"43800A4VerdeNão se aplicaNão se aplicaNão se aplicaNão se aplicaPonta",Mercado_Receita!$L$2:$L$2285)</f>
        <v>5009.0209999999988</v>
      </c>
      <c r="L30" s="12">
        <f>SUMIF(Mercado_Receita!$S$2:$S$2285,"43831A4VerdeNão se aplicaNão se aplicaNão se aplicaNão se aplicaPonta",Mercado_Receita!$L$2:$L$2285)</f>
        <v>4785.7240000000002</v>
      </c>
      <c r="M30" s="12">
        <f>SUMIF(Mercado_Receita!$S$2:$S$2285,"43862A4VerdeNão se aplicaNão se aplicaNão se aplicaNão se aplicaPonta",Mercado_Receita!$L$2:$L$2285)</f>
        <v>5010.7620000000024</v>
      </c>
      <c r="N30" s="12">
        <f>SUMIF(Mercado_Receita!$S$2:$S$2285,"43891A4VerdeNão se aplicaNão se aplicaNão se aplicaNão se aplicaPonta",Mercado_Receita!$L$2:$L$2285)</f>
        <v>4765.1859999999997</v>
      </c>
      <c r="O30" s="12">
        <f>SUMIF(Mercado_Receita!$S$2:$S$2285,"43922A4VerdeNão se aplicaNão se aplicaNão se aplicaNão se aplicaPonta",Mercado_Receita!$L$2:$L$2285)</f>
        <v>4533.84</v>
      </c>
      <c r="P30" s="12">
        <f>SUMIF(Mercado_Receita!$S$2:$S$2285,"43952A4VerdeNão se aplicaNão se aplicaNão se aplicaNão se aplicaPonta",Mercado_Receita!$L$2:$L$2285)</f>
        <v>3664.8810000000003</v>
      </c>
      <c r="Q30" s="12">
        <f>SUMIF(Mercado_Receita!$S$2:$S$2285,"43983A4VerdeNão se aplicaNão se aplicaNão se aplicaNão se aplicaPonta",Mercado_Receita!$L$2:$L$2285)</f>
        <v>4054.665</v>
      </c>
      <c r="R30" s="12">
        <f>SUMIF(Mercado_Receita!$S$2:$S$2285,"44013A4VerdeNão se aplicaNão se aplicaNão se aplicaNão se aplicaPonta",Mercado_Receita!$L$2:$L$2285)</f>
        <v>3658.3329999999996</v>
      </c>
      <c r="S30" s="12">
        <f>SUMIF(Mercado_Receita!$S$2:$S$2285,"44044A4VerdeNão se aplicaNão se aplicaNão se aplicaNão se aplicaPonta",Mercado_Receita!$L$2:$L$2285)</f>
        <v>4133.6540000000005</v>
      </c>
      <c r="T30" s="12">
        <f>SUMIF(Mercado_Receita!$S$2:$S$2285,"44075A4VerdeNão se aplicaNão se aplicaNão se aplicaNão se aplicaPonta",Mercado_Receita!$L$2:$L$2285)</f>
        <v>4133.6540000000005</v>
      </c>
      <c r="U30" s="12">
        <f t="shared" si="0"/>
        <v>54632.431000000011</v>
      </c>
      <c r="V30" s="12"/>
      <c r="W30" s="12"/>
    </row>
    <row r="31" spans="1:23" ht="11.25" customHeight="1" x14ac:dyDescent="0.25">
      <c r="A31" s="105"/>
      <c r="B31" s="105"/>
      <c r="C31" s="105"/>
      <c r="D31" s="105"/>
      <c r="E31" s="105"/>
      <c r="F31" s="105"/>
      <c r="G31" s="12" t="s">
        <v>90</v>
      </c>
      <c r="H31" s="12" t="s">
        <v>88</v>
      </c>
      <c r="I31" s="12">
        <f>SUMIF(Mercado_Receita!$S$2:$S$2285,"43739A4VerdeNão se aplicaNão se aplicaNão se aplicaNão se aplicaFora ponta",Mercado_Receita!$L$2:$L$2285)</f>
        <v>56135.080999999998</v>
      </c>
      <c r="J31" s="12">
        <f>SUMIF(Mercado_Receita!$S$2:$S$2285,"43770A4VerdeNão se aplicaNão se aplicaNão se aplicaNão se aplicaFora ponta",Mercado_Receita!$L$2:$L$2285)</f>
        <v>58231.188000000002</v>
      </c>
      <c r="K31" s="12">
        <f>SUMIF(Mercado_Receita!$S$2:$S$2285,"43800A4VerdeNão se aplicaNão se aplicaNão se aplicaNão se aplicaFora ponta",Mercado_Receita!$L$2:$L$2285)</f>
        <v>52497.437000000005</v>
      </c>
      <c r="L31" s="12">
        <f>SUMIF(Mercado_Receita!$S$2:$S$2285,"43831A4VerdeNão se aplicaNão se aplicaNão se aplicaNão se aplicaFora ponta",Mercado_Receita!$L$2:$L$2285)</f>
        <v>50380.553</v>
      </c>
      <c r="M31" s="12">
        <f>SUMIF(Mercado_Receita!$S$2:$S$2285,"43862A4VerdeNão se aplicaNão se aplicaNão se aplicaNão se aplicaFora ponta",Mercado_Receita!$L$2:$L$2285)</f>
        <v>52345.911999999975</v>
      </c>
      <c r="N31" s="12">
        <f>SUMIF(Mercado_Receita!$S$2:$S$2285,"43891A4VerdeNão se aplicaNão se aplicaNão se aplicaNão se aplicaFora ponta",Mercado_Receita!$L$2:$L$2285)</f>
        <v>49445.391000000003</v>
      </c>
      <c r="O31" s="12">
        <f>SUMIF(Mercado_Receita!$S$2:$S$2285,"43922A4VerdeNão se aplicaNão se aplicaNão se aplicaNão se aplicaFora ponta",Mercado_Receita!$L$2:$L$2285)</f>
        <v>47721.865000000005</v>
      </c>
      <c r="P31" s="12">
        <f>SUMIF(Mercado_Receita!$S$2:$S$2285,"43952A4VerdeNão se aplicaNão se aplicaNão se aplicaNão se aplicaFora ponta",Mercado_Receita!$L$2:$L$2285)</f>
        <v>41769.411999999997</v>
      </c>
      <c r="Q31" s="12">
        <f>SUMIF(Mercado_Receita!$S$2:$S$2285,"43983A4VerdeNão se aplicaNão se aplicaNão se aplicaNão se aplicaFora ponta",Mercado_Receita!$L$2:$L$2285)</f>
        <v>43624.059000000001</v>
      </c>
      <c r="R31" s="12">
        <f>SUMIF(Mercado_Receita!$S$2:$S$2285,"44013A4VerdeNão se aplicaNão se aplicaNão se aplicaNão se aplicaFora ponta",Mercado_Receita!$L$2:$L$2285)</f>
        <v>42078.264999999992</v>
      </c>
      <c r="S31" s="12">
        <f>SUMIF(Mercado_Receita!$S$2:$S$2285,"44044A4VerdeNão se aplicaNão se aplicaNão se aplicaNão se aplicaFora ponta",Mercado_Receita!$L$2:$L$2285)</f>
        <v>45491.729000000007</v>
      </c>
      <c r="T31" s="12">
        <f>SUMIF(Mercado_Receita!$S$2:$S$2285,"44075A4VerdeNão se aplicaNão se aplicaNão se aplicaNão se aplicaFora ponta",Mercado_Receita!$L$2:$L$2285)</f>
        <v>45491.729000000007</v>
      </c>
      <c r="U31" s="12">
        <f t="shared" si="0"/>
        <v>585212.62100000004</v>
      </c>
      <c r="V31" s="12"/>
      <c r="W31" s="12"/>
    </row>
    <row r="32" spans="1:23" ht="11.25" customHeight="1" x14ac:dyDescent="0.25">
      <c r="A32" s="105"/>
      <c r="B32" s="105"/>
      <c r="C32" s="105"/>
      <c r="D32" s="105"/>
      <c r="E32" s="104" t="s">
        <v>61</v>
      </c>
      <c r="F32" s="104" t="s">
        <v>25</v>
      </c>
      <c r="G32" s="12" t="s">
        <v>89</v>
      </c>
      <c r="H32" s="12" t="s">
        <v>88</v>
      </c>
      <c r="I32" s="12">
        <f>SUMIF(Mercado_Receita!$S$2:$S$2285,"43739A4VerdeNão se aplicaNão se aplicaAPENão se aplicaPonta",Mercado_Receita!$L$2:$L$2285)</f>
        <v>0</v>
      </c>
      <c r="J32" s="12">
        <f>SUMIF(Mercado_Receita!$S$2:$S$2285,"43770A4VerdeNão se aplicaNão se aplicaAPENão se aplicaPonta",Mercado_Receita!$L$2:$L$2285)</f>
        <v>0</v>
      </c>
      <c r="K32" s="12">
        <f>SUMIF(Mercado_Receita!$S$2:$S$2285,"43800A4VerdeNão se aplicaNão se aplicaAPENão se aplicaPonta",Mercado_Receita!$L$2:$L$2285)</f>
        <v>0</v>
      </c>
      <c r="L32" s="12">
        <f>SUMIF(Mercado_Receita!$S$2:$S$2285,"43831A4VerdeNão se aplicaNão se aplicaAPENão se aplicaPonta",Mercado_Receita!$L$2:$L$2285)</f>
        <v>0</v>
      </c>
      <c r="M32" s="12">
        <f>SUMIF(Mercado_Receita!$S$2:$S$2285,"43862A4VerdeNão se aplicaNão se aplicaAPENão se aplicaPonta",Mercado_Receita!$L$2:$L$2285)</f>
        <v>0</v>
      </c>
      <c r="N32" s="12">
        <f>SUMIF(Mercado_Receita!$S$2:$S$2285,"43891A4VerdeNão se aplicaNão se aplicaAPENão se aplicaPonta",Mercado_Receita!$L$2:$L$2285)</f>
        <v>0</v>
      </c>
      <c r="O32" s="12">
        <f>SUMIF(Mercado_Receita!$S$2:$S$2285,"43922A4VerdeNão se aplicaNão se aplicaAPENão se aplicaPonta",Mercado_Receita!$L$2:$L$2285)</f>
        <v>0</v>
      </c>
      <c r="P32" s="12">
        <f>SUMIF(Mercado_Receita!$S$2:$S$2285,"43952A4VerdeNão se aplicaNão se aplicaAPENão se aplicaPonta",Mercado_Receita!$L$2:$L$2285)</f>
        <v>0</v>
      </c>
      <c r="Q32" s="12">
        <f>SUMIF(Mercado_Receita!$S$2:$S$2285,"43983A4VerdeNão se aplicaNão se aplicaAPENão se aplicaPonta",Mercado_Receita!$L$2:$L$2285)</f>
        <v>0</v>
      </c>
      <c r="R32" s="12">
        <f>SUMIF(Mercado_Receita!$S$2:$S$2285,"44013A4VerdeNão se aplicaNão se aplicaAPENão se aplicaPonta",Mercado_Receita!$L$2:$L$2285)</f>
        <v>0</v>
      </c>
      <c r="S32" s="12">
        <f>SUMIF(Mercado_Receita!$S$2:$S$2285,"44044A4VerdeNão se aplicaNão se aplicaAPENão se aplicaPonta",Mercado_Receita!$L$2:$L$2285)</f>
        <v>0</v>
      </c>
      <c r="T32" s="12">
        <f>SUMIF(Mercado_Receita!$S$2:$S$2285,"44075A4VerdeNão se aplicaNão se aplicaAPENão se aplicaPonta",Mercado_Receita!$L$2:$L$2285)</f>
        <v>0</v>
      </c>
      <c r="U32" s="12">
        <f t="shared" si="0"/>
        <v>0</v>
      </c>
      <c r="V32" s="12"/>
      <c r="W32" s="12"/>
    </row>
    <row r="33" spans="1:23" ht="11.25" customHeight="1" x14ac:dyDescent="0.25">
      <c r="A33" s="105"/>
      <c r="B33" s="105"/>
      <c r="C33" s="105"/>
      <c r="D33" s="105"/>
      <c r="E33" s="105"/>
      <c r="F33" s="105"/>
      <c r="G33" s="12" t="s">
        <v>90</v>
      </c>
      <c r="H33" s="12" t="s">
        <v>88</v>
      </c>
      <c r="I33" s="12">
        <f>SUMIF(Mercado_Receita!$S$2:$S$2285,"43739A4VerdeNão se aplicaNão se aplicaAPENão se aplicaFora ponta",Mercado_Receita!$L$2:$L$2285)</f>
        <v>0</v>
      </c>
      <c r="J33" s="12">
        <f>SUMIF(Mercado_Receita!$S$2:$S$2285,"43770A4VerdeNão se aplicaNão se aplicaAPENão se aplicaFora ponta",Mercado_Receita!$L$2:$L$2285)</f>
        <v>0</v>
      </c>
      <c r="K33" s="12">
        <f>SUMIF(Mercado_Receita!$S$2:$S$2285,"43800A4VerdeNão se aplicaNão se aplicaAPENão se aplicaFora ponta",Mercado_Receita!$L$2:$L$2285)</f>
        <v>0</v>
      </c>
      <c r="L33" s="12">
        <f>SUMIF(Mercado_Receita!$S$2:$S$2285,"43831A4VerdeNão se aplicaNão se aplicaAPENão se aplicaFora ponta",Mercado_Receita!$L$2:$L$2285)</f>
        <v>0</v>
      </c>
      <c r="M33" s="12">
        <f>SUMIF(Mercado_Receita!$S$2:$S$2285,"43862A4VerdeNão se aplicaNão se aplicaAPENão se aplicaFora ponta",Mercado_Receita!$L$2:$L$2285)</f>
        <v>0</v>
      </c>
      <c r="N33" s="12">
        <f>SUMIF(Mercado_Receita!$S$2:$S$2285,"43891A4VerdeNão se aplicaNão se aplicaAPENão se aplicaFora ponta",Mercado_Receita!$L$2:$L$2285)</f>
        <v>0</v>
      </c>
      <c r="O33" s="12">
        <f>SUMIF(Mercado_Receita!$S$2:$S$2285,"43922A4VerdeNão se aplicaNão se aplicaAPENão se aplicaFora ponta",Mercado_Receita!$L$2:$L$2285)</f>
        <v>0</v>
      </c>
      <c r="P33" s="12">
        <f>SUMIF(Mercado_Receita!$S$2:$S$2285,"43952A4VerdeNão se aplicaNão se aplicaAPENão se aplicaFora ponta",Mercado_Receita!$L$2:$L$2285)</f>
        <v>0</v>
      </c>
      <c r="Q33" s="12">
        <f>SUMIF(Mercado_Receita!$S$2:$S$2285,"43983A4VerdeNão se aplicaNão se aplicaAPENão se aplicaFora ponta",Mercado_Receita!$L$2:$L$2285)</f>
        <v>0</v>
      </c>
      <c r="R33" s="12">
        <f>SUMIF(Mercado_Receita!$S$2:$S$2285,"44013A4VerdeNão se aplicaNão se aplicaAPENão se aplicaFora ponta",Mercado_Receita!$L$2:$L$2285)</f>
        <v>0</v>
      </c>
      <c r="S33" s="12">
        <f>SUMIF(Mercado_Receita!$S$2:$S$2285,"44044A4VerdeNão se aplicaNão se aplicaAPENão se aplicaFora ponta",Mercado_Receita!$L$2:$L$2285)</f>
        <v>0</v>
      </c>
      <c r="T33" s="12">
        <f>SUMIF(Mercado_Receita!$S$2:$S$2285,"44075A4VerdeNão se aplicaNão se aplicaAPENão se aplicaFora ponta",Mercado_Receita!$L$2:$L$2285)</f>
        <v>0</v>
      </c>
      <c r="U33" s="12">
        <f t="shared" si="0"/>
        <v>0</v>
      </c>
      <c r="V33" s="12"/>
      <c r="W33" s="12"/>
    </row>
    <row r="34" spans="1:23" ht="11.25" customHeight="1" x14ac:dyDescent="0.25">
      <c r="A34" s="105"/>
      <c r="B34" s="104" t="s">
        <v>23</v>
      </c>
      <c r="C34" s="104" t="s">
        <v>25</v>
      </c>
      <c r="D34" s="104" t="s">
        <v>25</v>
      </c>
      <c r="E34" s="104" t="s">
        <v>25</v>
      </c>
      <c r="F34" s="104" t="s">
        <v>25</v>
      </c>
      <c r="G34" s="12" t="s">
        <v>9</v>
      </c>
      <c r="H34" s="12" t="s">
        <v>91</v>
      </c>
      <c r="I34" s="12">
        <f>SUMIF(Mercado_Receita!$S$2:$S$2285,"43739A4ConvencionalNão se aplicaNão se aplicaNão se aplicaNão se aplicaNão se aplica",Mercado_Receita!$J$2:$J$2285)+SUMIF(Mercado_Receita!$S$2:$S$2285,"43739A4ConvencionalNão se aplicaNão se aplicaAPENão se aplicaNão se aplica",Mercado_Receita!$J$2:$J$2285)</f>
        <v>0</v>
      </c>
      <c r="J34" s="12">
        <f>SUMIF(Mercado_Receita!$S$2:$S$2285,"43770A4ConvencionalNão se aplicaNão se aplicaNão se aplicaNão se aplicaNão se aplica",Mercado_Receita!$J$2:$J$2285)+SUMIF(Mercado_Receita!$S$2:$S$2285,"43770A4ConvencionalNão se aplicaNão se aplicaAPENão se aplicaNão se aplica",Mercado_Receita!$J$2:$J$2285)</f>
        <v>0</v>
      </c>
      <c r="K34" s="12">
        <f>SUMIF(Mercado_Receita!$S$2:$S$2285,"43800A4ConvencionalNão se aplicaNão se aplicaNão se aplicaNão se aplicaNão se aplica",Mercado_Receita!$J$2:$J$2285)+SUMIF(Mercado_Receita!$S$2:$S$2285,"43800A4ConvencionalNão se aplicaNão se aplicaAPENão se aplicaNão se aplica",Mercado_Receita!$J$2:$J$2285)</f>
        <v>0</v>
      </c>
      <c r="L34" s="12">
        <f>SUMIF(Mercado_Receita!$S$2:$S$2285,"43831A4ConvencionalNão se aplicaNão se aplicaNão se aplicaNão se aplicaNão se aplica",Mercado_Receita!$J$2:$J$2285)+SUMIF(Mercado_Receita!$S$2:$S$2285,"43831A4ConvencionalNão se aplicaNão se aplicaAPENão se aplicaNão se aplica",Mercado_Receita!$J$2:$J$2285)</f>
        <v>0</v>
      </c>
      <c r="M34" s="12">
        <f>SUMIF(Mercado_Receita!$S$2:$S$2285,"43862A4ConvencionalNão se aplicaNão se aplicaNão se aplicaNão se aplicaNão se aplica",Mercado_Receita!$J$2:$J$2285)+SUMIF(Mercado_Receita!$S$2:$S$2285,"43862A4ConvencionalNão se aplicaNão se aplicaAPENão se aplicaNão se aplica",Mercado_Receita!$J$2:$J$2285)</f>
        <v>0</v>
      </c>
      <c r="N34" s="12">
        <f>SUMIF(Mercado_Receita!$S$2:$S$2285,"43891A4ConvencionalNão se aplicaNão se aplicaNão se aplicaNão se aplicaNão se aplica",Mercado_Receita!$J$2:$J$2285)+SUMIF(Mercado_Receita!$S$2:$S$2285,"43891A4ConvencionalNão se aplicaNão se aplicaAPENão se aplicaNão se aplica",Mercado_Receita!$J$2:$J$2285)</f>
        <v>0</v>
      </c>
      <c r="O34" s="12">
        <f>SUMIF(Mercado_Receita!$S$2:$S$2285,"43922A4ConvencionalNão se aplicaNão se aplicaNão se aplicaNão se aplicaNão se aplica",Mercado_Receita!$J$2:$J$2285)+SUMIF(Mercado_Receita!$S$2:$S$2285,"43922A4ConvencionalNão se aplicaNão se aplicaAPENão se aplicaNão se aplica",Mercado_Receita!$J$2:$J$2285)</f>
        <v>0</v>
      </c>
      <c r="P34" s="12">
        <f>SUMIF(Mercado_Receita!$S$2:$S$2285,"43952A4ConvencionalNão se aplicaNão se aplicaNão se aplicaNão se aplicaNão se aplica",Mercado_Receita!$J$2:$J$2285)+SUMIF(Mercado_Receita!$S$2:$S$2285,"43952A4ConvencionalNão se aplicaNão se aplicaAPENão se aplicaNão se aplica",Mercado_Receita!$J$2:$J$2285)</f>
        <v>0</v>
      </c>
      <c r="Q34" s="12">
        <f>SUMIF(Mercado_Receita!$S$2:$S$2285,"43983A4ConvencionalNão se aplicaNão se aplicaNão se aplicaNão se aplicaNão se aplica",Mercado_Receita!$J$2:$J$2285)+SUMIF(Mercado_Receita!$S$2:$S$2285,"43983A4ConvencionalNão se aplicaNão se aplicaAPENão se aplicaNão se aplica",Mercado_Receita!$J$2:$J$2285)</f>
        <v>0</v>
      </c>
      <c r="R34" s="12">
        <f>SUMIF(Mercado_Receita!$S$2:$S$2285,"44013A4ConvencionalNão se aplicaNão se aplicaNão se aplicaNão se aplicaNão se aplica",Mercado_Receita!$J$2:$J$2285)+SUMIF(Mercado_Receita!$S$2:$S$2285,"44013A4ConvencionalNão se aplicaNão se aplicaAPENão se aplicaNão se aplica",Mercado_Receita!$J$2:$J$2285)</f>
        <v>0</v>
      </c>
      <c r="S34" s="12">
        <f>SUMIF(Mercado_Receita!$S$2:$S$2285,"44044A4ConvencionalNão se aplicaNão se aplicaNão se aplicaNão se aplicaNão se aplica",Mercado_Receita!$J$2:$J$2285)+SUMIF(Mercado_Receita!$S$2:$S$2285,"44044A4ConvencionalNão se aplicaNão se aplicaAPENão se aplicaNão se aplica",Mercado_Receita!$J$2:$J$2285)</f>
        <v>0</v>
      </c>
      <c r="T34" s="12">
        <f>SUMIF(Mercado_Receita!$S$2:$S$2285,"44075A4ConvencionalNão se aplicaNão se aplicaNão se aplicaNão se aplicaNão se aplica",Mercado_Receita!$J$2:$J$2285)+SUMIF(Mercado_Receita!$S$2:$S$2285,"44075A4ConvencionalNão se aplicaNão se aplicaAPENão se aplicaNão se aplica",Mercado_Receita!$J$2:$J$2285)</f>
        <v>0</v>
      </c>
      <c r="U34" s="12">
        <f t="shared" ref="U34:U65" si="1">SUM(I34:T34)</f>
        <v>0</v>
      </c>
      <c r="V34" s="12"/>
      <c r="W34" s="12"/>
    </row>
    <row r="35" spans="1:23" ht="11.25" customHeight="1" x14ac:dyDescent="0.25">
      <c r="A35" s="105"/>
      <c r="B35" s="105"/>
      <c r="C35" s="105"/>
      <c r="D35" s="105"/>
      <c r="E35" s="105"/>
      <c r="F35" s="105"/>
      <c r="G35" s="12" t="s">
        <v>94</v>
      </c>
      <c r="H35" s="12" t="s">
        <v>88</v>
      </c>
      <c r="I35" s="12">
        <f>SUMIF(Mercado_Receita!$S$2:$S$2285,"43739A4ConvencionalNão se aplicaNão se aplicaNão se aplicaNão se aplicaPonta",Mercado_Receita!$L$2:$L$2285)+SUMIF(Mercado_Receita!$S$2:$S$2285,"43739A4ConvencionalNão se aplicaNão se aplicaNão se aplicaNão se aplicaFora ponta",Mercado_Receita!$L$2:$L$2285)+SUMIF(Mercado_Receita!$S$2:$S$2285,"43739A4ConvencionalNão se aplicaNão se aplicaNão se aplicaNão se aplicaIntermediário",Mercado_Receita!$L$2:$L$2285)+SUMIF(Mercado_Receita!$S$2:$S$2285,"43739A4ConvencionalNão se aplicaNão se aplicaNão se aplicaNão se aplicaNão se aplica",Mercado_Receita!$L$2:$L$2285)</f>
        <v>0</v>
      </c>
      <c r="J35" s="12">
        <f>SUMIF(Mercado_Receita!$S$2:$S$2285,"43770A4ConvencionalNão se aplicaNão se aplicaNão se aplicaNão se aplicaPonta",Mercado_Receita!$L$2:$L$2285)+SUMIF(Mercado_Receita!$S$2:$S$2285,"43770A4ConvencionalNão se aplicaNão se aplicaNão se aplicaNão se aplicaFora ponta",Mercado_Receita!$L$2:$L$2285)+SUMIF(Mercado_Receita!$S$2:$S$2285,"43770A4ConvencionalNão se aplicaNão se aplicaNão se aplicaNão se aplicaIntermediário",Mercado_Receita!$L$2:$L$2285)+SUMIF(Mercado_Receita!$S$2:$S$2285,"43770A4ConvencionalNão se aplicaNão se aplicaNão se aplicaNão se aplicaNão se aplica",Mercado_Receita!$L$2:$L$2285)</f>
        <v>0</v>
      </c>
      <c r="K35" s="12">
        <f>SUMIF(Mercado_Receita!$S$2:$S$2285,"43800A4ConvencionalNão se aplicaNão se aplicaNão se aplicaNão se aplicaPonta",Mercado_Receita!$L$2:$L$2285)+SUMIF(Mercado_Receita!$S$2:$S$2285,"43800A4ConvencionalNão se aplicaNão se aplicaNão se aplicaNão se aplicaFora ponta",Mercado_Receita!$L$2:$L$2285)+SUMIF(Mercado_Receita!$S$2:$S$2285,"43800A4ConvencionalNão se aplicaNão se aplicaNão se aplicaNão se aplicaIntermediário",Mercado_Receita!$L$2:$L$2285)+SUMIF(Mercado_Receita!$S$2:$S$2285,"43800A4ConvencionalNão se aplicaNão se aplicaNão se aplicaNão se aplicaNão se aplica",Mercado_Receita!$L$2:$L$2285)</f>
        <v>0</v>
      </c>
      <c r="L35" s="12">
        <f>SUMIF(Mercado_Receita!$S$2:$S$2285,"43831A4ConvencionalNão se aplicaNão se aplicaNão se aplicaNão se aplicaPonta",Mercado_Receita!$L$2:$L$2285)+SUMIF(Mercado_Receita!$S$2:$S$2285,"43831A4ConvencionalNão se aplicaNão se aplicaNão se aplicaNão se aplicaFora ponta",Mercado_Receita!$L$2:$L$2285)+SUMIF(Mercado_Receita!$S$2:$S$2285,"43831A4ConvencionalNão se aplicaNão se aplicaNão se aplicaNão se aplicaIntermediário",Mercado_Receita!$L$2:$L$2285)+SUMIF(Mercado_Receita!$S$2:$S$2285,"43831A4ConvencionalNão se aplicaNão se aplicaNão se aplicaNão se aplicaNão se aplica",Mercado_Receita!$L$2:$L$2285)</f>
        <v>0</v>
      </c>
      <c r="M35" s="12">
        <f>SUMIF(Mercado_Receita!$S$2:$S$2285,"43862A4ConvencionalNão se aplicaNão se aplicaNão se aplicaNão se aplicaPonta",Mercado_Receita!$L$2:$L$2285)+SUMIF(Mercado_Receita!$S$2:$S$2285,"43862A4ConvencionalNão se aplicaNão se aplicaNão se aplicaNão se aplicaFora ponta",Mercado_Receita!$L$2:$L$2285)+SUMIF(Mercado_Receita!$S$2:$S$2285,"43862A4ConvencionalNão se aplicaNão se aplicaNão se aplicaNão se aplicaIntermediário",Mercado_Receita!$L$2:$L$2285)+SUMIF(Mercado_Receita!$S$2:$S$2285,"43862A4ConvencionalNão se aplicaNão se aplicaNão se aplicaNão se aplicaNão se aplica",Mercado_Receita!$L$2:$L$2285)</f>
        <v>0</v>
      </c>
      <c r="N35" s="12">
        <f>SUMIF(Mercado_Receita!$S$2:$S$2285,"43891A4ConvencionalNão se aplicaNão se aplicaNão se aplicaNão se aplicaPonta",Mercado_Receita!$L$2:$L$2285)+SUMIF(Mercado_Receita!$S$2:$S$2285,"43891A4ConvencionalNão se aplicaNão se aplicaNão se aplicaNão se aplicaFora ponta",Mercado_Receita!$L$2:$L$2285)+SUMIF(Mercado_Receita!$S$2:$S$2285,"43891A4ConvencionalNão se aplicaNão se aplicaNão se aplicaNão se aplicaIntermediário",Mercado_Receita!$L$2:$L$2285)+SUMIF(Mercado_Receita!$S$2:$S$2285,"43891A4ConvencionalNão se aplicaNão se aplicaNão se aplicaNão se aplicaNão se aplica",Mercado_Receita!$L$2:$L$2285)</f>
        <v>0</v>
      </c>
      <c r="O35" s="12">
        <f>SUMIF(Mercado_Receita!$S$2:$S$2285,"43922A4ConvencionalNão se aplicaNão se aplicaNão se aplicaNão se aplicaPonta",Mercado_Receita!$L$2:$L$2285)+SUMIF(Mercado_Receita!$S$2:$S$2285,"43922A4ConvencionalNão se aplicaNão se aplicaNão se aplicaNão se aplicaFora ponta",Mercado_Receita!$L$2:$L$2285)+SUMIF(Mercado_Receita!$S$2:$S$2285,"43922A4ConvencionalNão se aplicaNão se aplicaNão se aplicaNão se aplicaIntermediário",Mercado_Receita!$L$2:$L$2285)+SUMIF(Mercado_Receita!$S$2:$S$2285,"43922A4ConvencionalNão se aplicaNão se aplicaNão se aplicaNão se aplicaNão se aplica",Mercado_Receita!$L$2:$L$2285)</f>
        <v>0</v>
      </c>
      <c r="P35" s="12">
        <f>SUMIF(Mercado_Receita!$S$2:$S$2285,"43952A4ConvencionalNão se aplicaNão se aplicaNão se aplicaNão se aplicaPonta",Mercado_Receita!$L$2:$L$2285)+SUMIF(Mercado_Receita!$S$2:$S$2285,"43952A4ConvencionalNão se aplicaNão se aplicaNão se aplicaNão se aplicaFora ponta",Mercado_Receita!$L$2:$L$2285)+SUMIF(Mercado_Receita!$S$2:$S$2285,"43952A4ConvencionalNão se aplicaNão se aplicaNão se aplicaNão se aplicaIntermediário",Mercado_Receita!$L$2:$L$2285)+SUMIF(Mercado_Receita!$S$2:$S$2285,"43952A4ConvencionalNão se aplicaNão se aplicaNão se aplicaNão se aplicaNão se aplica",Mercado_Receita!$L$2:$L$2285)</f>
        <v>0</v>
      </c>
      <c r="Q35" s="12">
        <f>SUMIF(Mercado_Receita!$S$2:$S$2285,"43983A4ConvencionalNão se aplicaNão se aplicaNão se aplicaNão se aplicaPonta",Mercado_Receita!$L$2:$L$2285)+SUMIF(Mercado_Receita!$S$2:$S$2285,"43983A4ConvencionalNão se aplicaNão se aplicaNão se aplicaNão se aplicaFora ponta",Mercado_Receita!$L$2:$L$2285)+SUMIF(Mercado_Receita!$S$2:$S$2285,"43983A4ConvencionalNão se aplicaNão se aplicaNão se aplicaNão se aplicaIntermediário",Mercado_Receita!$L$2:$L$2285)+SUMIF(Mercado_Receita!$S$2:$S$2285,"43983A4ConvencionalNão se aplicaNão se aplicaNão se aplicaNão se aplicaNão se aplica",Mercado_Receita!$L$2:$L$2285)</f>
        <v>0</v>
      </c>
      <c r="R35" s="12">
        <f>SUMIF(Mercado_Receita!$S$2:$S$2285,"44013A4ConvencionalNão se aplicaNão se aplicaNão se aplicaNão se aplicaPonta",Mercado_Receita!$L$2:$L$2285)+SUMIF(Mercado_Receita!$S$2:$S$2285,"44013A4ConvencionalNão se aplicaNão se aplicaNão se aplicaNão se aplicaFora ponta",Mercado_Receita!$L$2:$L$2285)+SUMIF(Mercado_Receita!$S$2:$S$2285,"44013A4ConvencionalNão se aplicaNão se aplicaNão se aplicaNão se aplicaIntermediário",Mercado_Receita!$L$2:$L$2285)+SUMIF(Mercado_Receita!$S$2:$S$2285,"44013A4ConvencionalNão se aplicaNão se aplicaNão se aplicaNão se aplicaNão se aplica",Mercado_Receita!$L$2:$L$2285)</f>
        <v>0</v>
      </c>
      <c r="S35" s="12">
        <f>SUMIF(Mercado_Receita!$S$2:$S$2285,"44044A4ConvencionalNão se aplicaNão se aplicaNão se aplicaNão se aplicaPonta",Mercado_Receita!$L$2:$L$2285)+SUMIF(Mercado_Receita!$S$2:$S$2285,"44044A4ConvencionalNão se aplicaNão se aplicaNão se aplicaNão se aplicaFora ponta",Mercado_Receita!$L$2:$L$2285)+SUMIF(Mercado_Receita!$S$2:$S$2285,"44044A4ConvencionalNão se aplicaNão se aplicaNão se aplicaNão se aplicaIntermediário",Mercado_Receita!$L$2:$L$2285)+SUMIF(Mercado_Receita!$S$2:$S$2285,"44044A4ConvencionalNão se aplicaNão se aplicaNão se aplicaNão se aplicaNão se aplica",Mercado_Receita!$L$2:$L$2285)</f>
        <v>0</v>
      </c>
      <c r="T35" s="12">
        <f>SUMIF(Mercado_Receita!$S$2:$S$2285,"44075A4ConvencionalNão se aplicaNão se aplicaNão se aplicaNão se aplicaPonta",Mercado_Receita!$L$2:$L$2285)+SUMIF(Mercado_Receita!$S$2:$S$2285,"44075A4ConvencionalNão se aplicaNão se aplicaNão se aplicaNão se aplicaFora ponta",Mercado_Receita!$L$2:$L$2285)+SUMIF(Mercado_Receita!$S$2:$S$2285,"44075A4ConvencionalNão se aplicaNão se aplicaNão se aplicaNão se aplicaIntermediário",Mercado_Receita!$L$2:$L$2285)+SUMIF(Mercado_Receita!$S$2:$S$2285,"44075A4ConvencionalNão se aplicaNão se aplicaNão se aplicaNão se aplicaNão se aplica",Mercado_Receita!$L$2:$L$2285)</f>
        <v>0</v>
      </c>
      <c r="U35" s="12">
        <f t="shared" si="1"/>
        <v>0</v>
      </c>
      <c r="V35" s="12"/>
      <c r="W35" s="12"/>
    </row>
    <row r="36" spans="1:23" ht="11.25" customHeight="1" x14ac:dyDescent="0.25">
      <c r="A36" s="104" t="s">
        <v>44</v>
      </c>
      <c r="B36" s="104" t="s">
        <v>41</v>
      </c>
      <c r="C36" s="104" t="s">
        <v>25</v>
      </c>
      <c r="D36" s="104" t="s">
        <v>25</v>
      </c>
      <c r="E36" s="104" t="s">
        <v>25</v>
      </c>
      <c r="F36" s="104" t="s">
        <v>25</v>
      </c>
      <c r="G36" s="12" t="s">
        <v>92</v>
      </c>
      <c r="H36" s="12" t="s">
        <v>91</v>
      </c>
      <c r="I36" s="12">
        <f>SUMIF(Mercado_Receita!$S$2:$S$2285,"43739ASAzulNão se aplicaNão se aplicaNão se aplicaNão se aplicaPonta",Mercado_Receita!$J$2:$J$2285)+SUMIF(Mercado_Receita!$S$2:$S$2285,"43739ASAzulNão se aplicaNão se aplicaAPENão se aplicaPonta",Mercado_Receita!$J$2:$J$2285)</f>
        <v>43960</v>
      </c>
      <c r="J36" s="12">
        <f>SUMIF(Mercado_Receita!$S$2:$S$2285,"43770ASAzulNão se aplicaNão se aplicaNão se aplicaNão se aplicaPonta",Mercado_Receita!$J$2:$J$2285)+SUMIF(Mercado_Receita!$S$2:$S$2285,"43770ASAzulNão se aplicaNão se aplicaAPENão se aplicaPonta",Mercado_Receita!$J$2:$J$2285)</f>
        <v>44507</v>
      </c>
      <c r="K36" s="12">
        <f>SUMIF(Mercado_Receita!$S$2:$S$2285,"43800ASAzulNão se aplicaNão se aplicaNão se aplicaNão se aplicaPonta",Mercado_Receita!$J$2:$J$2285)+SUMIF(Mercado_Receita!$S$2:$S$2285,"43800ASAzulNão se aplicaNão se aplicaAPENão se aplicaPonta",Mercado_Receita!$J$2:$J$2285)</f>
        <v>43480</v>
      </c>
      <c r="L36" s="12">
        <f>SUMIF(Mercado_Receita!$S$2:$S$2285,"43831ASAzulNão se aplicaNão se aplicaNão se aplicaNão se aplicaPonta",Mercado_Receita!$J$2:$J$2285)+SUMIF(Mercado_Receita!$S$2:$S$2285,"43831ASAzulNão se aplicaNão se aplicaAPENão se aplicaPonta",Mercado_Receita!$J$2:$J$2285)</f>
        <v>44571</v>
      </c>
      <c r="M36" s="12">
        <f>SUMIF(Mercado_Receita!$S$2:$S$2285,"43862ASAzulNão se aplicaNão se aplicaNão se aplicaNão se aplicaPonta",Mercado_Receita!$J$2:$J$2285)+SUMIF(Mercado_Receita!$S$2:$S$2285,"43862ASAzulNão se aplicaNão se aplicaAPENão se aplicaPonta",Mercado_Receita!$J$2:$J$2285)</f>
        <v>47031</v>
      </c>
      <c r="N36" s="12">
        <f>SUMIF(Mercado_Receita!$S$2:$S$2285,"43891ASAzulNão se aplicaNão se aplicaNão se aplicaNão se aplicaPonta",Mercado_Receita!$J$2:$J$2285)+SUMIF(Mercado_Receita!$S$2:$S$2285,"43891ASAzulNão se aplicaNão se aplicaAPENão se aplicaPonta",Mercado_Receita!$J$2:$J$2285)</f>
        <v>43963</v>
      </c>
      <c r="O36" s="12">
        <f>SUMIF(Mercado_Receita!$S$2:$S$2285,"43922ASAzulNão se aplicaNão se aplicaNão se aplicaNão se aplicaPonta",Mercado_Receita!$J$2:$J$2285)+SUMIF(Mercado_Receita!$S$2:$S$2285,"43922ASAzulNão se aplicaNão se aplicaAPENão se aplicaPonta",Mercado_Receita!$J$2:$J$2285)</f>
        <v>43814</v>
      </c>
      <c r="P36" s="12">
        <f>SUMIF(Mercado_Receita!$S$2:$S$2285,"43952ASAzulNão se aplicaNão se aplicaNão se aplicaNão se aplicaPonta",Mercado_Receita!$J$2:$J$2285)+SUMIF(Mercado_Receita!$S$2:$S$2285,"43952ASAzulNão se aplicaNão se aplicaAPENão se aplicaPonta",Mercado_Receita!$J$2:$J$2285)</f>
        <v>45079</v>
      </c>
      <c r="Q36" s="12">
        <f>SUMIF(Mercado_Receita!$S$2:$S$2285,"43983ASAzulNão se aplicaNão se aplicaNão se aplicaNão se aplicaPonta",Mercado_Receita!$J$2:$J$2285)+SUMIF(Mercado_Receita!$S$2:$S$2285,"43983ASAzulNão se aplicaNão se aplicaAPENão se aplicaPonta",Mercado_Receita!$J$2:$J$2285)</f>
        <v>44006</v>
      </c>
      <c r="R36" s="12">
        <f>SUMIF(Mercado_Receita!$S$2:$S$2285,"44013ASAzulNão se aplicaNão se aplicaNão se aplicaNão se aplicaPonta",Mercado_Receita!$J$2:$J$2285)+SUMIF(Mercado_Receita!$S$2:$S$2285,"44013ASAzulNão se aplicaNão se aplicaAPENão se aplicaPonta",Mercado_Receita!$J$2:$J$2285)</f>
        <v>42264</v>
      </c>
      <c r="S36" s="12">
        <f>SUMIF(Mercado_Receita!$S$2:$S$2285,"44044ASAzulNão se aplicaNão se aplicaNão se aplicaNão se aplicaPonta",Mercado_Receita!$J$2:$J$2285)+SUMIF(Mercado_Receita!$S$2:$S$2285,"44044ASAzulNão se aplicaNão se aplicaAPENão se aplicaPonta",Mercado_Receita!$J$2:$J$2285)</f>
        <v>43918</v>
      </c>
      <c r="T36" s="12">
        <f>SUMIF(Mercado_Receita!$S$2:$S$2285,"44075ASAzulNão se aplicaNão se aplicaNão se aplicaNão se aplicaPonta",Mercado_Receita!$J$2:$J$2285)+SUMIF(Mercado_Receita!$S$2:$S$2285,"44075ASAzulNão se aplicaNão se aplicaAPENão se aplicaPonta",Mercado_Receita!$J$2:$J$2285)</f>
        <v>43918</v>
      </c>
      <c r="U36" s="12">
        <f t="shared" si="1"/>
        <v>530511</v>
      </c>
      <c r="V36" s="12"/>
      <c r="W36" s="12"/>
    </row>
    <row r="37" spans="1:23" ht="11.25" customHeight="1" x14ac:dyDescent="0.25">
      <c r="A37" s="105"/>
      <c r="B37" s="105"/>
      <c r="C37" s="105"/>
      <c r="D37" s="105"/>
      <c r="E37" s="105"/>
      <c r="F37" s="105"/>
      <c r="G37" s="12" t="s">
        <v>93</v>
      </c>
      <c r="H37" s="12" t="s">
        <v>91</v>
      </c>
      <c r="I37" s="12">
        <f>SUMIF(Mercado_Receita!$S$2:$S$2285,"43739ASAzulNão se aplicaNão se aplicaNão se aplicaNão se aplicaFora ponta",Mercado_Receita!$J$2:$J$2285)+SUMIF(Mercado_Receita!$S$2:$S$2285,"43739ASAzulNão se aplicaNão se aplicaAPENão se aplicaFora ponta",Mercado_Receita!$J$2:$J$2285)</f>
        <v>49671</v>
      </c>
      <c r="J37" s="12">
        <f>SUMIF(Mercado_Receita!$S$2:$S$2285,"43770ASAzulNão se aplicaNão se aplicaNão se aplicaNão se aplicaFora ponta",Mercado_Receita!$J$2:$J$2285)+SUMIF(Mercado_Receita!$S$2:$S$2285,"43770ASAzulNão se aplicaNão se aplicaAPENão se aplicaFora ponta",Mercado_Receita!$J$2:$J$2285)</f>
        <v>50534</v>
      </c>
      <c r="K37" s="12">
        <f>SUMIF(Mercado_Receita!$S$2:$S$2285,"43800ASAzulNão se aplicaNão se aplicaNão se aplicaNão se aplicaFora ponta",Mercado_Receita!$J$2:$J$2285)+SUMIF(Mercado_Receita!$S$2:$S$2285,"43800ASAzulNão se aplicaNão se aplicaAPENão se aplicaFora ponta",Mercado_Receita!$J$2:$J$2285)</f>
        <v>48490</v>
      </c>
      <c r="L37" s="12">
        <f>SUMIF(Mercado_Receita!$S$2:$S$2285,"43831ASAzulNão se aplicaNão se aplicaNão se aplicaNão se aplicaFora ponta",Mercado_Receita!$J$2:$J$2285)+SUMIF(Mercado_Receita!$S$2:$S$2285,"43831ASAzulNão se aplicaNão se aplicaAPENão se aplicaFora ponta",Mercado_Receita!$J$2:$J$2285)</f>
        <v>49620</v>
      </c>
      <c r="M37" s="12">
        <f>SUMIF(Mercado_Receita!$S$2:$S$2285,"43862ASAzulNão se aplicaNão se aplicaNão se aplicaNão se aplicaFora ponta",Mercado_Receita!$J$2:$J$2285)+SUMIF(Mercado_Receita!$S$2:$S$2285,"43862ASAzulNão se aplicaNão se aplicaAPENão se aplicaFora ponta",Mercado_Receita!$J$2:$J$2285)</f>
        <v>52552</v>
      </c>
      <c r="N37" s="12">
        <f>SUMIF(Mercado_Receita!$S$2:$S$2285,"43891ASAzulNão se aplicaNão se aplicaNão se aplicaNão se aplicaFora ponta",Mercado_Receita!$J$2:$J$2285)+SUMIF(Mercado_Receita!$S$2:$S$2285,"43891ASAzulNão se aplicaNão se aplicaAPENão se aplicaFora ponta",Mercado_Receita!$J$2:$J$2285)</f>
        <v>49011</v>
      </c>
      <c r="O37" s="12">
        <f>SUMIF(Mercado_Receita!$S$2:$S$2285,"43922ASAzulNão se aplicaNão se aplicaNão se aplicaNão se aplicaFora ponta",Mercado_Receita!$J$2:$J$2285)+SUMIF(Mercado_Receita!$S$2:$S$2285,"43922ASAzulNão se aplicaNão se aplicaAPENão se aplicaFora ponta",Mercado_Receita!$J$2:$J$2285)</f>
        <v>48829</v>
      </c>
      <c r="P37" s="12">
        <f>SUMIF(Mercado_Receita!$S$2:$S$2285,"43952ASAzulNão se aplicaNão se aplicaNão se aplicaNão se aplicaFora ponta",Mercado_Receita!$J$2:$J$2285)+SUMIF(Mercado_Receita!$S$2:$S$2285,"43952ASAzulNão se aplicaNão se aplicaAPENão se aplicaFora ponta",Mercado_Receita!$J$2:$J$2285)</f>
        <v>50394</v>
      </c>
      <c r="Q37" s="12">
        <f>SUMIF(Mercado_Receita!$S$2:$S$2285,"43983ASAzulNão se aplicaNão se aplicaNão se aplicaNão se aplicaFora ponta",Mercado_Receita!$J$2:$J$2285)+SUMIF(Mercado_Receita!$S$2:$S$2285,"43983ASAzulNão se aplicaNão se aplicaAPENão se aplicaFora ponta",Mercado_Receita!$J$2:$J$2285)</f>
        <v>48948</v>
      </c>
      <c r="R37" s="12">
        <f>SUMIF(Mercado_Receita!$S$2:$S$2285,"44013ASAzulNão se aplicaNão se aplicaNão se aplicaNão se aplicaFora ponta",Mercado_Receita!$J$2:$J$2285)+SUMIF(Mercado_Receita!$S$2:$S$2285,"44013ASAzulNão se aplicaNão se aplicaAPENão se aplicaFora ponta",Mercado_Receita!$J$2:$J$2285)</f>
        <v>47114</v>
      </c>
      <c r="S37" s="12">
        <f>SUMIF(Mercado_Receita!$S$2:$S$2285,"44044ASAzulNão se aplicaNão se aplicaNão se aplicaNão se aplicaFora ponta",Mercado_Receita!$J$2:$J$2285)+SUMIF(Mercado_Receita!$S$2:$S$2285,"44044ASAzulNão se aplicaNão se aplicaAPENão se aplicaFora ponta",Mercado_Receita!$J$2:$J$2285)</f>
        <v>48872</v>
      </c>
      <c r="T37" s="12">
        <f>SUMIF(Mercado_Receita!$S$2:$S$2285,"44075ASAzulNão se aplicaNão se aplicaNão se aplicaNão se aplicaFora ponta",Mercado_Receita!$J$2:$J$2285)+SUMIF(Mercado_Receita!$S$2:$S$2285,"44075ASAzulNão se aplicaNão se aplicaAPENão se aplicaFora ponta",Mercado_Receita!$J$2:$J$2285)</f>
        <v>48872</v>
      </c>
      <c r="U37" s="12">
        <f t="shared" si="1"/>
        <v>592907</v>
      </c>
      <c r="V37" s="12"/>
      <c r="W37" s="12"/>
    </row>
    <row r="38" spans="1:23" ht="11.25" customHeight="1" x14ac:dyDescent="0.25">
      <c r="A38" s="105"/>
      <c r="B38" s="105"/>
      <c r="C38" s="105"/>
      <c r="D38" s="105"/>
      <c r="E38" s="105"/>
      <c r="F38" s="105"/>
      <c r="G38" s="12" t="s">
        <v>94</v>
      </c>
      <c r="H38" s="12" t="s">
        <v>88</v>
      </c>
      <c r="I38" s="12">
        <f>SUMIF(Mercado_Receita!$S$2:$S$2285,"43739ASAzulNão se aplicaNão se aplicaNão se aplicaNão se aplicaPonta",Mercado_Receita!$L$2:$L$2285)+SUMIF(Mercado_Receita!$S$2:$S$2285,"43739ASAzulNão se aplicaNão se aplicaNão se aplicaNão se aplicaFora ponta",Mercado_Receita!$L$2:$L$2285)+SUMIF(Mercado_Receita!$S$2:$S$2285,"43739ASAzulNão se aplicaNão se aplicaNão se aplicaNão se aplicaIntermediário",Mercado_Receita!$L$2:$L$2285)+SUMIF(Mercado_Receita!$S$2:$S$2285,"43739ASAzulNão se aplicaNão se aplicaNão se aplicaNão se aplicaNão se aplica",Mercado_Receita!$L$2:$L$2285)</f>
        <v>19017.842000000001</v>
      </c>
      <c r="J38" s="12">
        <f>SUMIF(Mercado_Receita!$S$2:$S$2285,"43770ASAzulNão se aplicaNão se aplicaNão se aplicaNão se aplicaPonta",Mercado_Receita!$L$2:$L$2285)+SUMIF(Mercado_Receita!$S$2:$S$2285,"43770ASAzulNão se aplicaNão se aplicaNão se aplicaNão se aplicaFora ponta",Mercado_Receita!$L$2:$L$2285)+SUMIF(Mercado_Receita!$S$2:$S$2285,"43770ASAzulNão se aplicaNão se aplicaNão se aplicaNão se aplicaIntermediário",Mercado_Receita!$L$2:$L$2285)+SUMIF(Mercado_Receita!$S$2:$S$2285,"43770ASAzulNão se aplicaNão se aplicaNão se aplicaNão se aplicaNão se aplica",Mercado_Receita!$L$2:$L$2285)</f>
        <v>19562.868000000002</v>
      </c>
      <c r="K38" s="12">
        <f>SUMIF(Mercado_Receita!$S$2:$S$2285,"43800ASAzulNão se aplicaNão se aplicaNão se aplicaNão se aplicaPonta",Mercado_Receita!$L$2:$L$2285)+SUMIF(Mercado_Receita!$S$2:$S$2285,"43800ASAzulNão se aplicaNão se aplicaNão se aplicaNão se aplicaFora ponta",Mercado_Receita!$L$2:$L$2285)+SUMIF(Mercado_Receita!$S$2:$S$2285,"43800ASAzulNão se aplicaNão se aplicaNão se aplicaNão se aplicaIntermediário",Mercado_Receita!$L$2:$L$2285)+SUMIF(Mercado_Receita!$S$2:$S$2285,"43800ASAzulNão se aplicaNão se aplicaNão se aplicaNão se aplicaNão se aplica",Mercado_Receita!$L$2:$L$2285)</f>
        <v>18489.413</v>
      </c>
      <c r="L38" s="12">
        <f>SUMIF(Mercado_Receita!$S$2:$S$2285,"43831ASAzulNão se aplicaNão se aplicaNão se aplicaNão se aplicaPonta",Mercado_Receita!$L$2:$L$2285)+SUMIF(Mercado_Receita!$S$2:$S$2285,"43831ASAzulNão se aplicaNão se aplicaNão se aplicaNão se aplicaFora ponta",Mercado_Receita!$L$2:$L$2285)+SUMIF(Mercado_Receita!$S$2:$S$2285,"43831ASAzulNão se aplicaNão se aplicaNão se aplicaNão se aplicaIntermediário",Mercado_Receita!$L$2:$L$2285)+SUMIF(Mercado_Receita!$S$2:$S$2285,"43831ASAzulNão se aplicaNão se aplicaNão se aplicaNão se aplicaNão se aplica",Mercado_Receita!$L$2:$L$2285)</f>
        <v>18386.137999999999</v>
      </c>
      <c r="M38" s="12">
        <f>SUMIF(Mercado_Receita!$S$2:$S$2285,"43862ASAzulNão se aplicaNão se aplicaNão se aplicaNão se aplicaPonta",Mercado_Receita!$L$2:$L$2285)+SUMIF(Mercado_Receita!$S$2:$S$2285,"43862ASAzulNão se aplicaNão se aplicaNão se aplicaNão se aplicaFora ponta",Mercado_Receita!$L$2:$L$2285)+SUMIF(Mercado_Receita!$S$2:$S$2285,"43862ASAzulNão se aplicaNão se aplicaNão se aplicaNão se aplicaIntermediário",Mercado_Receita!$L$2:$L$2285)+SUMIF(Mercado_Receita!$S$2:$S$2285,"43862ASAzulNão se aplicaNão se aplicaNão se aplicaNão se aplicaNão se aplica",Mercado_Receita!$L$2:$L$2285)</f>
        <v>19278.307000000001</v>
      </c>
      <c r="N38" s="12">
        <f>SUMIF(Mercado_Receita!$S$2:$S$2285,"43891ASAzulNão se aplicaNão se aplicaNão se aplicaNão se aplicaPonta",Mercado_Receita!$L$2:$L$2285)+SUMIF(Mercado_Receita!$S$2:$S$2285,"43891ASAzulNão se aplicaNão se aplicaNão se aplicaNão se aplicaFora ponta",Mercado_Receita!$L$2:$L$2285)+SUMIF(Mercado_Receita!$S$2:$S$2285,"43891ASAzulNão se aplicaNão se aplicaNão se aplicaNão se aplicaIntermediário",Mercado_Receita!$L$2:$L$2285)+SUMIF(Mercado_Receita!$S$2:$S$2285,"43891ASAzulNão se aplicaNão se aplicaNão se aplicaNão se aplicaNão se aplica",Mercado_Receita!$L$2:$L$2285)</f>
        <v>17113.912</v>
      </c>
      <c r="O38" s="12">
        <f>SUMIF(Mercado_Receita!$S$2:$S$2285,"43922ASAzulNão se aplicaNão se aplicaNão se aplicaNão se aplicaPonta",Mercado_Receita!$L$2:$L$2285)+SUMIF(Mercado_Receita!$S$2:$S$2285,"43922ASAzulNão se aplicaNão se aplicaNão se aplicaNão se aplicaFora ponta",Mercado_Receita!$L$2:$L$2285)+SUMIF(Mercado_Receita!$S$2:$S$2285,"43922ASAzulNão se aplicaNão se aplicaNão se aplicaNão se aplicaIntermediário",Mercado_Receita!$L$2:$L$2285)+SUMIF(Mercado_Receita!$S$2:$S$2285,"43922ASAzulNão se aplicaNão se aplicaNão se aplicaNão se aplicaNão se aplica",Mercado_Receita!$L$2:$L$2285)</f>
        <v>16056.185000000001</v>
      </c>
      <c r="P38" s="12">
        <f>SUMIF(Mercado_Receita!$S$2:$S$2285,"43952ASAzulNão se aplicaNão se aplicaNão se aplicaNão se aplicaPonta",Mercado_Receita!$L$2:$L$2285)+SUMIF(Mercado_Receita!$S$2:$S$2285,"43952ASAzulNão se aplicaNão se aplicaNão se aplicaNão se aplicaFora ponta",Mercado_Receita!$L$2:$L$2285)+SUMIF(Mercado_Receita!$S$2:$S$2285,"43952ASAzulNão se aplicaNão se aplicaNão se aplicaNão se aplicaIntermediário",Mercado_Receita!$L$2:$L$2285)+SUMIF(Mercado_Receita!$S$2:$S$2285,"43952ASAzulNão se aplicaNão se aplicaNão se aplicaNão se aplicaNão se aplica",Mercado_Receita!$L$2:$L$2285)</f>
        <v>15438.244000000001</v>
      </c>
      <c r="Q38" s="12">
        <f>SUMIF(Mercado_Receita!$S$2:$S$2285,"43983ASAzulNão se aplicaNão se aplicaNão se aplicaNão se aplicaPonta",Mercado_Receita!$L$2:$L$2285)+SUMIF(Mercado_Receita!$S$2:$S$2285,"43983ASAzulNão se aplicaNão se aplicaNão se aplicaNão se aplicaFora ponta",Mercado_Receita!$L$2:$L$2285)+SUMIF(Mercado_Receita!$S$2:$S$2285,"43983ASAzulNão se aplicaNão se aplicaNão se aplicaNão se aplicaIntermediário",Mercado_Receita!$L$2:$L$2285)+SUMIF(Mercado_Receita!$S$2:$S$2285,"43983ASAzulNão se aplicaNão se aplicaNão se aplicaNão se aplicaNão se aplica",Mercado_Receita!$L$2:$L$2285)</f>
        <v>14958.101000000001</v>
      </c>
      <c r="R38" s="12">
        <f>SUMIF(Mercado_Receita!$S$2:$S$2285,"44013ASAzulNão se aplicaNão se aplicaNão se aplicaNão se aplicaPonta",Mercado_Receita!$L$2:$L$2285)+SUMIF(Mercado_Receita!$S$2:$S$2285,"44013ASAzulNão se aplicaNão se aplicaNão se aplicaNão se aplicaFora ponta",Mercado_Receita!$L$2:$L$2285)+SUMIF(Mercado_Receita!$S$2:$S$2285,"44013ASAzulNão se aplicaNão se aplicaNão se aplicaNão se aplicaIntermediário",Mercado_Receita!$L$2:$L$2285)+SUMIF(Mercado_Receita!$S$2:$S$2285,"44013ASAzulNão se aplicaNão se aplicaNão se aplicaNão se aplicaNão se aplica",Mercado_Receita!$L$2:$L$2285)</f>
        <v>15139.864000000001</v>
      </c>
      <c r="S38" s="12">
        <f>SUMIF(Mercado_Receita!$S$2:$S$2285,"44044ASAzulNão se aplicaNão se aplicaNão se aplicaNão se aplicaPonta",Mercado_Receita!$L$2:$L$2285)+SUMIF(Mercado_Receita!$S$2:$S$2285,"44044ASAzulNão se aplicaNão se aplicaNão se aplicaNão se aplicaFora ponta",Mercado_Receita!$L$2:$L$2285)+SUMIF(Mercado_Receita!$S$2:$S$2285,"44044ASAzulNão se aplicaNão se aplicaNão se aplicaNão se aplicaIntermediário",Mercado_Receita!$L$2:$L$2285)+SUMIF(Mercado_Receita!$S$2:$S$2285,"44044ASAzulNão se aplicaNão se aplicaNão se aplicaNão se aplicaNão se aplica",Mercado_Receita!$L$2:$L$2285)</f>
        <v>15222.792999999998</v>
      </c>
      <c r="T38" s="12">
        <f>SUMIF(Mercado_Receita!$S$2:$S$2285,"44075ASAzulNão se aplicaNão se aplicaNão se aplicaNão se aplicaPonta",Mercado_Receita!$L$2:$L$2285)+SUMIF(Mercado_Receita!$S$2:$S$2285,"44075ASAzulNão se aplicaNão se aplicaNão se aplicaNão se aplicaFora ponta",Mercado_Receita!$L$2:$L$2285)+SUMIF(Mercado_Receita!$S$2:$S$2285,"44075ASAzulNão se aplicaNão se aplicaNão se aplicaNão se aplicaIntermediário",Mercado_Receita!$L$2:$L$2285)+SUMIF(Mercado_Receita!$S$2:$S$2285,"44075ASAzulNão se aplicaNão se aplicaNão se aplicaNão se aplicaNão se aplica",Mercado_Receita!$L$2:$L$2285)</f>
        <v>15222.792999999998</v>
      </c>
      <c r="U38" s="12">
        <f t="shared" si="1"/>
        <v>203886.46</v>
      </c>
      <c r="V38" s="12"/>
      <c r="W38" s="12"/>
    </row>
    <row r="39" spans="1:23" ht="11.25" customHeight="1" x14ac:dyDescent="0.25">
      <c r="A39" s="105"/>
      <c r="B39" s="105"/>
      <c r="C39" s="105"/>
      <c r="D39" s="105"/>
      <c r="E39" s="13" t="s">
        <v>61</v>
      </c>
      <c r="F39" s="13" t="s">
        <v>25</v>
      </c>
      <c r="G39" s="12" t="s">
        <v>94</v>
      </c>
      <c r="H39" s="12" t="s">
        <v>88</v>
      </c>
      <c r="I39" s="12">
        <f>SUMIF(Mercado_Receita!$S$2:$S$2285,"43739ASAzulNão se aplicaNão se aplicaAPENão se aplicaPonta",Mercado_Receita!$L$2:$L$2285)+SUMIF(Mercado_Receita!$S$2:$S$2285,"43739ASAzulNão se aplicaNão se aplicaAPENão se aplicaFora ponta",Mercado_Receita!$L$2:$L$2285)+SUMIF(Mercado_Receita!$S$2:$S$2285,"43739ASAzulNão se aplicaNão se aplicaAPENão se aplicaIntermediário",Mercado_Receita!$L$2:$L$2285)+SUMIF(Mercado_Receita!$S$2:$S$2285,"43739ASAzulNão se aplicaNão se aplicaAPENão se aplicaNão se aplica",Mercado_Receita!$L$2:$L$2285)</f>
        <v>0</v>
      </c>
      <c r="J39" s="12">
        <f>SUMIF(Mercado_Receita!$S$2:$S$2285,"43770ASAzulNão se aplicaNão se aplicaAPENão se aplicaPonta",Mercado_Receita!$L$2:$L$2285)+SUMIF(Mercado_Receita!$S$2:$S$2285,"43770ASAzulNão se aplicaNão se aplicaAPENão se aplicaFora ponta",Mercado_Receita!$L$2:$L$2285)+SUMIF(Mercado_Receita!$S$2:$S$2285,"43770ASAzulNão se aplicaNão se aplicaAPENão se aplicaIntermediário",Mercado_Receita!$L$2:$L$2285)+SUMIF(Mercado_Receita!$S$2:$S$2285,"43770ASAzulNão se aplicaNão se aplicaAPENão se aplicaNão se aplica",Mercado_Receita!$L$2:$L$2285)</f>
        <v>0</v>
      </c>
      <c r="K39" s="12">
        <f>SUMIF(Mercado_Receita!$S$2:$S$2285,"43800ASAzulNão se aplicaNão se aplicaAPENão se aplicaPonta",Mercado_Receita!$L$2:$L$2285)+SUMIF(Mercado_Receita!$S$2:$S$2285,"43800ASAzulNão se aplicaNão se aplicaAPENão se aplicaFora ponta",Mercado_Receita!$L$2:$L$2285)+SUMIF(Mercado_Receita!$S$2:$S$2285,"43800ASAzulNão se aplicaNão se aplicaAPENão se aplicaIntermediário",Mercado_Receita!$L$2:$L$2285)+SUMIF(Mercado_Receita!$S$2:$S$2285,"43800ASAzulNão se aplicaNão se aplicaAPENão se aplicaNão se aplica",Mercado_Receita!$L$2:$L$2285)</f>
        <v>0</v>
      </c>
      <c r="L39" s="12">
        <f>SUMIF(Mercado_Receita!$S$2:$S$2285,"43831ASAzulNão se aplicaNão se aplicaAPENão se aplicaPonta",Mercado_Receita!$L$2:$L$2285)+SUMIF(Mercado_Receita!$S$2:$S$2285,"43831ASAzulNão se aplicaNão se aplicaAPENão se aplicaFora ponta",Mercado_Receita!$L$2:$L$2285)+SUMIF(Mercado_Receita!$S$2:$S$2285,"43831ASAzulNão se aplicaNão se aplicaAPENão se aplicaIntermediário",Mercado_Receita!$L$2:$L$2285)+SUMIF(Mercado_Receita!$S$2:$S$2285,"43831ASAzulNão se aplicaNão se aplicaAPENão se aplicaNão se aplica",Mercado_Receita!$L$2:$L$2285)</f>
        <v>0</v>
      </c>
      <c r="M39" s="12">
        <f>SUMIF(Mercado_Receita!$S$2:$S$2285,"43862ASAzulNão se aplicaNão se aplicaAPENão se aplicaPonta",Mercado_Receita!$L$2:$L$2285)+SUMIF(Mercado_Receita!$S$2:$S$2285,"43862ASAzulNão se aplicaNão se aplicaAPENão se aplicaFora ponta",Mercado_Receita!$L$2:$L$2285)+SUMIF(Mercado_Receita!$S$2:$S$2285,"43862ASAzulNão se aplicaNão se aplicaAPENão se aplicaIntermediário",Mercado_Receita!$L$2:$L$2285)+SUMIF(Mercado_Receita!$S$2:$S$2285,"43862ASAzulNão se aplicaNão se aplicaAPENão se aplicaNão se aplica",Mercado_Receita!$L$2:$L$2285)</f>
        <v>0</v>
      </c>
      <c r="N39" s="12">
        <f>SUMIF(Mercado_Receita!$S$2:$S$2285,"43891ASAzulNão se aplicaNão se aplicaAPENão se aplicaPonta",Mercado_Receita!$L$2:$L$2285)+SUMIF(Mercado_Receita!$S$2:$S$2285,"43891ASAzulNão se aplicaNão se aplicaAPENão se aplicaFora ponta",Mercado_Receita!$L$2:$L$2285)+SUMIF(Mercado_Receita!$S$2:$S$2285,"43891ASAzulNão se aplicaNão se aplicaAPENão se aplicaIntermediário",Mercado_Receita!$L$2:$L$2285)+SUMIF(Mercado_Receita!$S$2:$S$2285,"43891ASAzulNão se aplicaNão se aplicaAPENão se aplicaNão se aplica",Mercado_Receita!$L$2:$L$2285)</f>
        <v>0</v>
      </c>
      <c r="O39" s="12">
        <f>SUMIF(Mercado_Receita!$S$2:$S$2285,"43922ASAzulNão se aplicaNão se aplicaAPENão se aplicaPonta",Mercado_Receita!$L$2:$L$2285)+SUMIF(Mercado_Receita!$S$2:$S$2285,"43922ASAzulNão se aplicaNão se aplicaAPENão se aplicaFora ponta",Mercado_Receita!$L$2:$L$2285)+SUMIF(Mercado_Receita!$S$2:$S$2285,"43922ASAzulNão se aplicaNão se aplicaAPENão se aplicaIntermediário",Mercado_Receita!$L$2:$L$2285)+SUMIF(Mercado_Receita!$S$2:$S$2285,"43922ASAzulNão se aplicaNão se aplicaAPENão se aplicaNão se aplica",Mercado_Receita!$L$2:$L$2285)</f>
        <v>0</v>
      </c>
      <c r="P39" s="12">
        <f>SUMIF(Mercado_Receita!$S$2:$S$2285,"43952ASAzulNão se aplicaNão se aplicaAPENão se aplicaPonta",Mercado_Receita!$L$2:$L$2285)+SUMIF(Mercado_Receita!$S$2:$S$2285,"43952ASAzulNão se aplicaNão se aplicaAPENão se aplicaFora ponta",Mercado_Receita!$L$2:$L$2285)+SUMIF(Mercado_Receita!$S$2:$S$2285,"43952ASAzulNão se aplicaNão se aplicaAPENão se aplicaIntermediário",Mercado_Receita!$L$2:$L$2285)+SUMIF(Mercado_Receita!$S$2:$S$2285,"43952ASAzulNão se aplicaNão se aplicaAPENão se aplicaNão se aplica",Mercado_Receita!$L$2:$L$2285)</f>
        <v>0</v>
      </c>
      <c r="Q39" s="12">
        <f>SUMIF(Mercado_Receita!$S$2:$S$2285,"43983ASAzulNão se aplicaNão se aplicaAPENão se aplicaPonta",Mercado_Receita!$L$2:$L$2285)+SUMIF(Mercado_Receita!$S$2:$S$2285,"43983ASAzulNão se aplicaNão se aplicaAPENão se aplicaFora ponta",Mercado_Receita!$L$2:$L$2285)+SUMIF(Mercado_Receita!$S$2:$S$2285,"43983ASAzulNão se aplicaNão se aplicaAPENão se aplicaIntermediário",Mercado_Receita!$L$2:$L$2285)+SUMIF(Mercado_Receita!$S$2:$S$2285,"43983ASAzulNão se aplicaNão se aplicaAPENão se aplicaNão se aplica",Mercado_Receita!$L$2:$L$2285)</f>
        <v>0</v>
      </c>
      <c r="R39" s="12">
        <f>SUMIF(Mercado_Receita!$S$2:$S$2285,"44013ASAzulNão se aplicaNão se aplicaAPENão se aplicaPonta",Mercado_Receita!$L$2:$L$2285)+SUMIF(Mercado_Receita!$S$2:$S$2285,"44013ASAzulNão se aplicaNão se aplicaAPENão se aplicaFora ponta",Mercado_Receita!$L$2:$L$2285)+SUMIF(Mercado_Receita!$S$2:$S$2285,"44013ASAzulNão se aplicaNão se aplicaAPENão se aplicaIntermediário",Mercado_Receita!$L$2:$L$2285)+SUMIF(Mercado_Receita!$S$2:$S$2285,"44013ASAzulNão se aplicaNão se aplicaAPENão se aplicaNão se aplica",Mercado_Receita!$L$2:$L$2285)</f>
        <v>0</v>
      </c>
      <c r="S39" s="12">
        <f>SUMIF(Mercado_Receita!$S$2:$S$2285,"44044ASAzulNão se aplicaNão se aplicaAPENão se aplicaPonta",Mercado_Receita!$L$2:$L$2285)+SUMIF(Mercado_Receita!$S$2:$S$2285,"44044ASAzulNão se aplicaNão se aplicaAPENão se aplicaFora ponta",Mercado_Receita!$L$2:$L$2285)+SUMIF(Mercado_Receita!$S$2:$S$2285,"44044ASAzulNão se aplicaNão se aplicaAPENão se aplicaIntermediário",Mercado_Receita!$L$2:$L$2285)+SUMIF(Mercado_Receita!$S$2:$S$2285,"44044ASAzulNão se aplicaNão se aplicaAPENão se aplicaNão se aplica",Mercado_Receita!$L$2:$L$2285)</f>
        <v>0</v>
      </c>
      <c r="T39" s="12">
        <f>SUMIF(Mercado_Receita!$S$2:$S$2285,"44075ASAzulNão se aplicaNão se aplicaAPENão se aplicaPonta",Mercado_Receita!$L$2:$L$2285)+SUMIF(Mercado_Receita!$S$2:$S$2285,"44075ASAzulNão se aplicaNão se aplicaAPENão se aplicaFora ponta",Mercado_Receita!$L$2:$L$2285)+SUMIF(Mercado_Receita!$S$2:$S$2285,"44075ASAzulNão se aplicaNão se aplicaAPENão se aplicaIntermediário",Mercado_Receita!$L$2:$L$2285)+SUMIF(Mercado_Receita!$S$2:$S$2285,"44075ASAzulNão se aplicaNão se aplicaAPENão se aplicaNão se aplica",Mercado_Receita!$L$2:$L$2285)</f>
        <v>0</v>
      </c>
      <c r="U39" s="12">
        <f t="shared" si="1"/>
        <v>0</v>
      </c>
      <c r="V39" s="12"/>
      <c r="W39" s="12"/>
    </row>
    <row r="40" spans="1:23" ht="11.25" customHeight="1" x14ac:dyDescent="0.25">
      <c r="A40" s="105"/>
      <c r="B40" s="104" t="s">
        <v>34</v>
      </c>
      <c r="C40" s="104" t="s">
        <v>25</v>
      </c>
      <c r="D40" s="104" t="s">
        <v>25</v>
      </c>
      <c r="E40" s="104" t="s">
        <v>25</v>
      </c>
      <c r="F40" s="104" t="s">
        <v>25</v>
      </c>
      <c r="G40" s="12" t="s">
        <v>9</v>
      </c>
      <c r="H40" s="12" t="s">
        <v>91</v>
      </c>
      <c r="I40" s="12">
        <f>SUMIF(Mercado_Receita!$S$2:$S$2285,"43739ASVerdeNão se aplicaNão se aplicaNão se aplicaNão se aplicaNão se aplica",Mercado_Receita!$J$2:$J$2285)+SUMIF(Mercado_Receita!$S$2:$S$2285,"43739ASVerdeNão se aplicaNão se aplicaAPENão se aplicaNão se aplica",Mercado_Receita!$J$2:$J$2285)</f>
        <v>108071</v>
      </c>
      <c r="J40" s="12">
        <f>SUMIF(Mercado_Receita!$S$2:$S$2285,"43770ASVerdeNão se aplicaNão se aplicaNão se aplicaNão se aplicaNão se aplica",Mercado_Receita!$J$2:$J$2285)+SUMIF(Mercado_Receita!$S$2:$S$2285,"43770ASVerdeNão se aplicaNão se aplicaAPENão se aplicaNão se aplica",Mercado_Receita!$J$2:$J$2285)</f>
        <v>107362</v>
      </c>
      <c r="K40" s="12">
        <f>SUMIF(Mercado_Receita!$S$2:$S$2285,"43800ASVerdeNão se aplicaNão se aplicaNão se aplicaNão se aplicaNão se aplica",Mercado_Receita!$J$2:$J$2285)+SUMIF(Mercado_Receita!$S$2:$S$2285,"43800ASVerdeNão se aplicaNão se aplicaAPENão se aplicaNão se aplica",Mercado_Receita!$J$2:$J$2285)</f>
        <v>110290</v>
      </c>
      <c r="L40" s="12">
        <f>SUMIF(Mercado_Receita!$S$2:$S$2285,"43831ASVerdeNão se aplicaNão se aplicaNão se aplicaNão se aplicaNão se aplica",Mercado_Receita!$J$2:$J$2285)+SUMIF(Mercado_Receita!$S$2:$S$2285,"43831ASVerdeNão se aplicaNão se aplicaAPENão se aplicaNão se aplica",Mercado_Receita!$J$2:$J$2285)</f>
        <v>107694</v>
      </c>
      <c r="M40" s="12">
        <f>SUMIF(Mercado_Receita!$S$2:$S$2285,"43862ASVerdeNão se aplicaNão se aplicaNão se aplicaNão se aplicaNão se aplica",Mercado_Receita!$J$2:$J$2285)+SUMIF(Mercado_Receita!$S$2:$S$2285,"43862ASVerdeNão se aplicaNão se aplicaAPENão se aplicaNão se aplica",Mercado_Receita!$J$2:$J$2285)</f>
        <v>108820</v>
      </c>
      <c r="N40" s="12">
        <f>SUMIF(Mercado_Receita!$S$2:$S$2285,"43891ASVerdeNão se aplicaNão se aplicaNão se aplicaNão se aplicaNão se aplica",Mercado_Receita!$J$2:$J$2285)+SUMIF(Mercado_Receita!$S$2:$S$2285,"43891ASVerdeNão se aplicaNão se aplicaAPENão se aplicaNão se aplica",Mercado_Receita!$J$2:$J$2285)</f>
        <v>108821</v>
      </c>
      <c r="O40" s="12">
        <f>SUMIF(Mercado_Receita!$S$2:$S$2285,"43922ASVerdeNão se aplicaNão se aplicaNão se aplicaNão se aplicaNão se aplica",Mercado_Receita!$J$2:$J$2285)+SUMIF(Mercado_Receita!$S$2:$S$2285,"43922ASVerdeNão se aplicaNão se aplicaAPENão se aplicaNão se aplica",Mercado_Receita!$J$2:$J$2285)</f>
        <v>110670</v>
      </c>
      <c r="P40" s="12">
        <f>SUMIF(Mercado_Receita!$S$2:$S$2285,"43952ASVerdeNão se aplicaNão se aplicaNão se aplicaNão se aplicaNão se aplica",Mercado_Receita!$J$2:$J$2285)+SUMIF(Mercado_Receita!$S$2:$S$2285,"43952ASVerdeNão se aplicaNão se aplicaAPENão se aplicaNão se aplica",Mercado_Receita!$J$2:$J$2285)</f>
        <v>108693</v>
      </c>
      <c r="Q40" s="12">
        <f>SUMIF(Mercado_Receita!$S$2:$S$2285,"43983ASVerdeNão se aplicaNão se aplicaNão se aplicaNão se aplicaNão se aplica",Mercado_Receita!$J$2:$J$2285)+SUMIF(Mercado_Receita!$S$2:$S$2285,"43983ASVerdeNão se aplicaNão se aplicaAPENão se aplicaNão se aplica",Mercado_Receita!$J$2:$J$2285)</f>
        <v>110063</v>
      </c>
      <c r="R40" s="12">
        <f>SUMIF(Mercado_Receita!$S$2:$S$2285,"44013ASVerdeNão se aplicaNão se aplicaNão se aplicaNão se aplicaNão se aplica",Mercado_Receita!$J$2:$J$2285)+SUMIF(Mercado_Receita!$S$2:$S$2285,"44013ASVerdeNão se aplicaNão se aplicaAPENão se aplicaNão se aplica",Mercado_Receita!$J$2:$J$2285)</f>
        <v>104241</v>
      </c>
      <c r="S40" s="12">
        <f>SUMIF(Mercado_Receita!$S$2:$S$2285,"44044ASVerdeNão se aplicaNão se aplicaNão se aplicaNão se aplicaNão se aplica",Mercado_Receita!$J$2:$J$2285)+SUMIF(Mercado_Receita!$S$2:$S$2285,"44044ASVerdeNão se aplicaNão se aplicaAPENão se aplicaNão se aplica",Mercado_Receita!$J$2:$J$2285)</f>
        <v>107506</v>
      </c>
      <c r="T40" s="12">
        <f>SUMIF(Mercado_Receita!$S$2:$S$2285,"44075ASVerdeNão se aplicaNão se aplicaNão se aplicaNão se aplicaNão se aplica",Mercado_Receita!$J$2:$J$2285)+SUMIF(Mercado_Receita!$S$2:$S$2285,"44075ASVerdeNão se aplicaNão se aplicaAPENão se aplicaNão se aplica",Mercado_Receita!$J$2:$J$2285)</f>
        <v>107506</v>
      </c>
      <c r="U40" s="12">
        <f t="shared" si="1"/>
        <v>1299737</v>
      </c>
      <c r="V40" s="12"/>
      <c r="W40" s="12"/>
    </row>
    <row r="41" spans="1:23" ht="11.25" customHeight="1" x14ac:dyDescent="0.25">
      <c r="A41" s="105"/>
      <c r="B41" s="105"/>
      <c r="C41" s="105"/>
      <c r="D41" s="105"/>
      <c r="E41" s="105"/>
      <c r="F41" s="105"/>
      <c r="G41" s="12" t="s">
        <v>89</v>
      </c>
      <c r="H41" s="12" t="s">
        <v>88</v>
      </c>
      <c r="I41" s="12">
        <f>SUMIF(Mercado_Receita!$S$2:$S$2285,"43739ASVerdeNão se aplicaNão se aplicaNão se aplicaNão se aplicaPonta",Mercado_Receita!$L$2:$L$2285)</f>
        <v>2346.6530000000002</v>
      </c>
      <c r="J41" s="12">
        <f>SUMIF(Mercado_Receita!$S$2:$S$2285,"43770ASVerdeNão se aplicaNão se aplicaNão se aplicaNão se aplicaPonta",Mercado_Receita!$L$2:$L$2285)</f>
        <v>2398.6109999999999</v>
      </c>
      <c r="K41" s="12">
        <f>SUMIF(Mercado_Receita!$S$2:$S$2285,"43800ASVerdeNão se aplicaNão se aplicaNão se aplicaNão se aplicaPonta",Mercado_Receita!$L$2:$L$2285)</f>
        <v>2359.9009999999998</v>
      </c>
      <c r="L41" s="12">
        <f>SUMIF(Mercado_Receita!$S$2:$S$2285,"43831ASVerdeNão se aplicaNão se aplicaNão se aplicaNão se aplicaPonta",Mercado_Receita!$L$2:$L$2285)</f>
        <v>2155.645</v>
      </c>
      <c r="M41" s="12">
        <f>SUMIF(Mercado_Receita!$S$2:$S$2285,"43862ASVerdeNão se aplicaNão se aplicaNão se aplicaNão se aplicaPonta",Mercado_Receita!$L$2:$L$2285)</f>
        <v>2305.9079999999999</v>
      </c>
      <c r="N41" s="12">
        <f>SUMIF(Mercado_Receita!$S$2:$S$2285,"43891ASVerdeNão se aplicaNão se aplicaNão se aplicaNão se aplicaPonta",Mercado_Receita!$L$2:$L$2285)</f>
        <v>2148.4899999999998</v>
      </c>
      <c r="O41" s="12">
        <f>SUMIF(Mercado_Receita!$S$2:$S$2285,"43922ASVerdeNão se aplicaNão se aplicaNão se aplicaNão se aplicaPonta",Mercado_Receita!$L$2:$L$2285)</f>
        <v>2148.2669999999998</v>
      </c>
      <c r="P41" s="12">
        <f>SUMIF(Mercado_Receita!$S$2:$S$2285,"43952ASVerdeNão se aplicaNão se aplicaNão se aplicaNão se aplicaPonta",Mercado_Receita!$L$2:$L$2285)</f>
        <v>1475.297</v>
      </c>
      <c r="Q41" s="12">
        <f>SUMIF(Mercado_Receita!$S$2:$S$2285,"43983ASVerdeNão se aplicaNão se aplicaNão se aplicaNão se aplicaPonta",Mercado_Receita!$L$2:$L$2285)</f>
        <v>1612.0120000000002</v>
      </c>
      <c r="R41" s="12">
        <f>SUMIF(Mercado_Receita!$S$2:$S$2285,"44013ASVerdeNão se aplicaNão se aplicaNão se aplicaNão se aplicaPonta",Mercado_Receita!$L$2:$L$2285)</f>
        <v>1495.885</v>
      </c>
      <c r="S41" s="12">
        <f>SUMIF(Mercado_Receita!$S$2:$S$2285,"44044ASVerdeNão se aplicaNão se aplicaNão se aplicaNão se aplicaPonta",Mercado_Receita!$L$2:$L$2285)</f>
        <v>1564.4419999999998</v>
      </c>
      <c r="T41" s="12">
        <f>SUMIF(Mercado_Receita!$S$2:$S$2285,"44075ASVerdeNão se aplicaNão se aplicaNão se aplicaNão se aplicaPonta",Mercado_Receita!$L$2:$L$2285)</f>
        <v>1564.4419999999998</v>
      </c>
      <c r="U41" s="12">
        <f t="shared" si="1"/>
        <v>23575.552999999993</v>
      </c>
      <c r="V41" s="12"/>
      <c r="W41" s="12"/>
    </row>
    <row r="42" spans="1:23" ht="11.25" customHeight="1" x14ac:dyDescent="0.25">
      <c r="A42" s="105"/>
      <c r="B42" s="105"/>
      <c r="C42" s="105"/>
      <c r="D42" s="105"/>
      <c r="E42" s="105"/>
      <c r="F42" s="105"/>
      <c r="G42" s="12" t="s">
        <v>90</v>
      </c>
      <c r="H42" s="12" t="s">
        <v>88</v>
      </c>
      <c r="I42" s="12">
        <f>SUMIF(Mercado_Receita!$S$2:$S$2285,"43739ASVerdeNão se aplicaNão se aplicaNão se aplicaNão se aplicaFora ponta",Mercado_Receita!$L$2:$L$2285)</f>
        <v>24255.276000000002</v>
      </c>
      <c r="J42" s="12">
        <f>SUMIF(Mercado_Receita!$S$2:$S$2285,"43770ASVerdeNão se aplicaNão se aplicaNão se aplicaNão se aplicaFora ponta",Mercado_Receita!$L$2:$L$2285)</f>
        <v>23886.302</v>
      </c>
      <c r="K42" s="12">
        <f>SUMIF(Mercado_Receita!$S$2:$S$2285,"43800ASVerdeNão se aplicaNão se aplicaNão se aplicaNão se aplicaFora ponta",Mercado_Receita!$L$2:$L$2285)</f>
        <v>23346.138000000003</v>
      </c>
      <c r="L42" s="12">
        <f>SUMIF(Mercado_Receita!$S$2:$S$2285,"43831ASVerdeNão se aplicaNão se aplicaNão se aplicaNão se aplicaFora ponta",Mercado_Receita!$L$2:$L$2285)</f>
        <v>21819.052</v>
      </c>
      <c r="M42" s="12">
        <f>SUMIF(Mercado_Receita!$S$2:$S$2285,"43862ASVerdeNão se aplicaNão se aplicaNão se aplicaNão se aplicaFora ponta",Mercado_Receita!$L$2:$L$2285)</f>
        <v>23174.192999999999</v>
      </c>
      <c r="N42" s="12">
        <f>SUMIF(Mercado_Receita!$S$2:$S$2285,"43891ASVerdeNão se aplicaNão se aplicaNão se aplicaNão se aplicaFora ponta",Mercado_Receita!$L$2:$L$2285)</f>
        <v>20946.775000000001</v>
      </c>
      <c r="O42" s="12">
        <f>SUMIF(Mercado_Receita!$S$2:$S$2285,"43922ASVerdeNão se aplicaNão se aplicaNão se aplicaNão se aplicaFora ponta",Mercado_Receita!$L$2:$L$2285)</f>
        <v>19712.673999999999</v>
      </c>
      <c r="P42" s="12">
        <f>SUMIF(Mercado_Receita!$S$2:$S$2285,"43952ASVerdeNão se aplicaNão se aplicaNão se aplicaNão se aplicaFora ponta",Mercado_Receita!$L$2:$L$2285)</f>
        <v>15376.562</v>
      </c>
      <c r="Q42" s="12">
        <f>SUMIF(Mercado_Receita!$S$2:$S$2285,"43983ASVerdeNão se aplicaNão se aplicaNão se aplicaNão se aplicaFora ponta",Mercado_Receita!$L$2:$L$2285)</f>
        <v>15561.466999999999</v>
      </c>
      <c r="R42" s="12">
        <f>SUMIF(Mercado_Receita!$S$2:$S$2285,"44013ASVerdeNão se aplicaNão se aplicaNão se aplicaNão se aplicaFora ponta",Mercado_Receita!$L$2:$L$2285)</f>
        <v>14133.2</v>
      </c>
      <c r="S42" s="12">
        <f>SUMIF(Mercado_Receita!$S$2:$S$2285,"44044ASVerdeNão se aplicaNão se aplicaNão se aplicaNão se aplicaFora ponta",Mercado_Receita!$L$2:$L$2285)</f>
        <v>14616.674999999999</v>
      </c>
      <c r="T42" s="12">
        <f>SUMIF(Mercado_Receita!$S$2:$S$2285,"44075ASVerdeNão se aplicaNão se aplicaNão se aplicaNão se aplicaFora ponta",Mercado_Receita!$L$2:$L$2285)</f>
        <v>14616.674999999999</v>
      </c>
      <c r="U42" s="12">
        <f t="shared" si="1"/>
        <v>231444.989</v>
      </c>
      <c r="V42" s="12"/>
      <c r="W42" s="12"/>
    </row>
    <row r="43" spans="1:23" ht="11.25" customHeight="1" x14ac:dyDescent="0.25">
      <c r="A43" s="105"/>
      <c r="B43" s="105"/>
      <c r="C43" s="105"/>
      <c r="D43" s="105"/>
      <c r="E43" s="104" t="s">
        <v>61</v>
      </c>
      <c r="F43" s="104" t="s">
        <v>25</v>
      </c>
      <c r="G43" s="12" t="s">
        <v>89</v>
      </c>
      <c r="H43" s="12" t="s">
        <v>88</v>
      </c>
      <c r="I43" s="12">
        <f>SUMIF(Mercado_Receita!$S$2:$S$2285,"43739ASVerdeNão se aplicaNão se aplicaAPENão se aplicaPonta",Mercado_Receita!$L$2:$L$2285)</f>
        <v>0</v>
      </c>
      <c r="J43" s="12">
        <f>SUMIF(Mercado_Receita!$S$2:$S$2285,"43770ASVerdeNão se aplicaNão se aplicaAPENão se aplicaPonta",Mercado_Receita!$L$2:$L$2285)</f>
        <v>0</v>
      </c>
      <c r="K43" s="12">
        <f>SUMIF(Mercado_Receita!$S$2:$S$2285,"43800ASVerdeNão se aplicaNão se aplicaAPENão se aplicaPonta",Mercado_Receita!$L$2:$L$2285)</f>
        <v>0</v>
      </c>
      <c r="L43" s="12">
        <f>SUMIF(Mercado_Receita!$S$2:$S$2285,"43831ASVerdeNão se aplicaNão se aplicaAPENão se aplicaPonta",Mercado_Receita!$L$2:$L$2285)</f>
        <v>0</v>
      </c>
      <c r="M43" s="12">
        <f>SUMIF(Mercado_Receita!$S$2:$S$2285,"43862ASVerdeNão se aplicaNão se aplicaAPENão se aplicaPonta",Mercado_Receita!$L$2:$L$2285)</f>
        <v>0</v>
      </c>
      <c r="N43" s="12">
        <f>SUMIF(Mercado_Receita!$S$2:$S$2285,"43891ASVerdeNão se aplicaNão se aplicaAPENão se aplicaPonta",Mercado_Receita!$L$2:$L$2285)</f>
        <v>0</v>
      </c>
      <c r="O43" s="12">
        <f>SUMIF(Mercado_Receita!$S$2:$S$2285,"43922ASVerdeNão se aplicaNão se aplicaAPENão se aplicaPonta",Mercado_Receita!$L$2:$L$2285)</f>
        <v>0</v>
      </c>
      <c r="P43" s="12">
        <f>SUMIF(Mercado_Receita!$S$2:$S$2285,"43952ASVerdeNão se aplicaNão se aplicaAPENão se aplicaPonta",Mercado_Receita!$L$2:$L$2285)</f>
        <v>0</v>
      </c>
      <c r="Q43" s="12">
        <f>SUMIF(Mercado_Receita!$S$2:$S$2285,"43983ASVerdeNão se aplicaNão se aplicaAPENão se aplicaPonta",Mercado_Receita!$L$2:$L$2285)</f>
        <v>0</v>
      </c>
      <c r="R43" s="12">
        <f>SUMIF(Mercado_Receita!$S$2:$S$2285,"44013ASVerdeNão se aplicaNão se aplicaAPENão se aplicaPonta",Mercado_Receita!$L$2:$L$2285)</f>
        <v>0</v>
      </c>
      <c r="S43" s="12">
        <f>SUMIF(Mercado_Receita!$S$2:$S$2285,"44044ASVerdeNão se aplicaNão se aplicaAPENão se aplicaPonta",Mercado_Receita!$L$2:$L$2285)</f>
        <v>0</v>
      </c>
      <c r="T43" s="12">
        <f>SUMIF(Mercado_Receita!$S$2:$S$2285,"44075ASVerdeNão se aplicaNão se aplicaAPENão se aplicaPonta",Mercado_Receita!$L$2:$L$2285)</f>
        <v>0</v>
      </c>
      <c r="U43" s="12">
        <f t="shared" si="1"/>
        <v>0</v>
      </c>
      <c r="V43" s="12"/>
      <c r="W43" s="12"/>
    </row>
    <row r="44" spans="1:23" ht="11.25" customHeight="1" x14ac:dyDescent="0.25">
      <c r="A44" s="105"/>
      <c r="B44" s="105"/>
      <c r="C44" s="105"/>
      <c r="D44" s="105"/>
      <c r="E44" s="105"/>
      <c r="F44" s="105"/>
      <c r="G44" s="12" t="s">
        <v>90</v>
      </c>
      <c r="H44" s="12" t="s">
        <v>88</v>
      </c>
      <c r="I44" s="12">
        <f>SUMIF(Mercado_Receita!$S$2:$S$2285,"43739ASVerdeNão se aplicaNão se aplicaAPENão se aplicaFora ponta",Mercado_Receita!$L$2:$L$2285)</f>
        <v>0</v>
      </c>
      <c r="J44" s="12">
        <f>SUMIF(Mercado_Receita!$S$2:$S$2285,"43770ASVerdeNão se aplicaNão se aplicaAPENão se aplicaFora ponta",Mercado_Receita!$L$2:$L$2285)</f>
        <v>0</v>
      </c>
      <c r="K44" s="12">
        <f>SUMIF(Mercado_Receita!$S$2:$S$2285,"43800ASVerdeNão se aplicaNão se aplicaAPENão se aplicaFora ponta",Mercado_Receita!$L$2:$L$2285)</f>
        <v>0</v>
      </c>
      <c r="L44" s="12">
        <f>SUMIF(Mercado_Receita!$S$2:$S$2285,"43831ASVerdeNão se aplicaNão se aplicaAPENão se aplicaFora ponta",Mercado_Receita!$L$2:$L$2285)</f>
        <v>0</v>
      </c>
      <c r="M44" s="12">
        <f>SUMIF(Mercado_Receita!$S$2:$S$2285,"43862ASVerdeNão se aplicaNão se aplicaAPENão se aplicaFora ponta",Mercado_Receita!$L$2:$L$2285)</f>
        <v>0</v>
      </c>
      <c r="N44" s="12">
        <f>SUMIF(Mercado_Receita!$S$2:$S$2285,"43891ASVerdeNão se aplicaNão se aplicaAPENão se aplicaFora ponta",Mercado_Receita!$L$2:$L$2285)</f>
        <v>0</v>
      </c>
      <c r="O44" s="12">
        <f>SUMIF(Mercado_Receita!$S$2:$S$2285,"43922ASVerdeNão se aplicaNão se aplicaAPENão se aplicaFora ponta",Mercado_Receita!$L$2:$L$2285)</f>
        <v>0</v>
      </c>
      <c r="P44" s="12">
        <f>SUMIF(Mercado_Receita!$S$2:$S$2285,"43952ASVerdeNão se aplicaNão se aplicaAPENão se aplicaFora ponta",Mercado_Receita!$L$2:$L$2285)</f>
        <v>0</v>
      </c>
      <c r="Q44" s="12">
        <f>SUMIF(Mercado_Receita!$S$2:$S$2285,"43983ASVerdeNão se aplicaNão se aplicaAPENão se aplicaFora ponta",Mercado_Receita!$L$2:$L$2285)</f>
        <v>0</v>
      </c>
      <c r="R44" s="12">
        <f>SUMIF(Mercado_Receita!$S$2:$S$2285,"44013ASVerdeNão se aplicaNão se aplicaAPENão se aplicaFora ponta",Mercado_Receita!$L$2:$L$2285)</f>
        <v>0</v>
      </c>
      <c r="S44" s="12">
        <f>SUMIF(Mercado_Receita!$S$2:$S$2285,"44044ASVerdeNão se aplicaNão se aplicaAPENão se aplicaFora ponta",Mercado_Receita!$L$2:$L$2285)</f>
        <v>0</v>
      </c>
      <c r="T44" s="12">
        <f>SUMIF(Mercado_Receita!$S$2:$S$2285,"44075ASVerdeNão se aplicaNão se aplicaAPENão se aplicaFora ponta",Mercado_Receita!$L$2:$L$2285)</f>
        <v>0</v>
      </c>
      <c r="U44" s="12">
        <f t="shared" si="1"/>
        <v>0</v>
      </c>
      <c r="V44" s="12"/>
      <c r="W44" s="12"/>
    </row>
    <row r="45" spans="1:23" ht="11.25" customHeight="1" x14ac:dyDescent="0.25">
      <c r="A45" s="105"/>
      <c r="B45" s="104" t="s">
        <v>23</v>
      </c>
      <c r="C45" s="104" t="s">
        <v>25</v>
      </c>
      <c r="D45" s="104" t="s">
        <v>25</v>
      </c>
      <c r="E45" s="104" t="s">
        <v>25</v>
      </c>
      <c r="F45" s="104" t="s">
        <v>25</v>
      </c>
      <c r="G45" s="12" t="s">
        <v>9</v>
      </c>
      <c r="H45" s="12" t="s">
        <v>91</v>
      </c>
      <c r="I45" s="12">
        <f>SUMIF(Mercado_Receita!$S$2:$S$2285,"43739ASConvencionalNão se aplicaNão se aplicaNão se aplicaNão se aplicaNão se aplica",Mercado_Receita!$J$2:$J$2285)+SUMIF(Mercado_Receita!$S$2:$S$2285,"43739ASConvencionalNão se aplicaNão se aplicaAPENão se aplicaNão se aplica",Mercado_Receita!$J$2:$J$2285)</f>
        <v>0</v>
      </c>
      <c r="J45" s="12">
        <f>SUMIF(Mercado_Receita!$S$2:$S$2285,"43770ASConvencionalNão se aplicaNão se aplicaNão se aplicaNão se aplicaNão se aplica",Mercado_Receita!$J$2:$J$2285)+SUMIF(Mercado_Receita!$S$2:$S$2285,"43770ASConvencionalNão se aplicaNão se aplicaAPENão se aplicaNão se aplica",Mercado_Receita!$J$2:$J$2285)</f>
        <v>0</v>
      </c>
      <c r="K45" s="12">
        <f>SUMIF(Mercado_Receita!$S$2:$S$2285,"43800ASConvencionalNão se aplicaNão se aplicaNão se aplicaNão se aplicaNão se aplica",Mercado_Receita!$J$2:$J$2285)+SUMIF(Mercado_Receita!$S$2:$S$2285,"43800ASConvencionalNão se aplicaNão se aplicaAPENão se aplicaNão se aplica",Mercado_Receita!$J$2:$J$2285)</f>
        <v>0</v>
      </c>
      <c r="L45" s="12">
        <f>SUMIF(Mercado_Receita!$S$2:$S$2285,"43831ASConvencionalNão se aplicaNão se aplicaNão se aplicaNão se aplicaNão se aplica",Mercado_Receita!$J$2:$J$2285)+SUMIF(Mercado_Receita!$S$2:$S$2285,"43831ASConvencionalNão se aplicaNão se aplicaAPENão se aplicaNão se aplica",Mercado_Receita!$J$2:$J$2285)</f>
        <v>0</v>
      </c>
      <c r="M45" s="12">
        <f>SUMIF(Mercado_Receita!$S$2:$S$2285,"43862ASConvencionalNão se aplicaNão se aplicaNão se aplicaNão se aplicaNão se aplica",Mercado_Receita!$J$2:$J$2285)+SUMIF(Mercado_Receita!$S$2:$S$2285,"43862ASConvencionalNão se aplicaNão se aplicaAPENão se aplicaNão se aplica",Mercado_Receita!$J$2:$J$2285)</f>
        <v>0</v>
      </c>
      <c r="N45" s="12">
        <f>SUMIF(Mercado_Receita!$S$2:$S$2285,"43891ASConvencionalNão se aplicaNão se aplicaNão se aplicaNão se aplicaNão se aplica",Mercado_Receita!$J$2:$J$2285)+SUMIF(Mercado_Receita!$S$2:$S$2285,"43891ASConvencionalNão se aplicaNão se aplicaAPENão se aplicaNão se aplica",Mercado_Receita!$J$2:$J$2285)</f>
        <v>0</v>
      </c>
      <c r="O45" s="12">
        <f>SUMIF(Mercado_Receita!$S$2:$S$2285,"43922ASConvencionalNão se aplicaNão se aplicaNão se aplicaNão se aplicaNão se aplica",Mercado_Receita!$J$2:$J$2285)+SUMIF(Mercado_Receita!$S$2:$S$2285,"43922ASConvencionalNão se aplicaNão se aplicaAPENão se aplicaNão se aplica",Mercado_Receita!$J$2:$J$2285)</f>
        <v>0</v>
      </c>
      <c r="P45" s="12">
        <f>SUMIF(Mercado_Receita!$S$2:$S$2285,"43952ASConvencionalNão se aplicaNão se aplicaNão se aplicaNão se aplicaNão se aplica",Mercado_Receita!$J$2:$J$2285)+SUMIF(Mercado_Receita!$S$2:$S$2285,"43952ASConvencionalNão se aplicaNão se aplicaAPENão se aplicaNão se aplica",Mercado_Receita!$J$2:$J$2285)</f>
        <v>0</v>
      </c>
      <c r="Q45" s="12">
        <f>SUMIF(Mercado_Receita!$S$2:$S$2285,"43983ASConvencionalNão se aplicaNão se aplicaNão se aplicaNão se aplicaNão se aplica",Mercado_Receita!$J$2:$J$2285)+SUMIF(Mercado_Receita!$S$2:$S$2285,"43983ASConvencionalNão se aplicaNão se aplicaAPENão se aplicaNão se aplica",Mercado_Receita!$J$2:$J$2285)</f>
        <v>0</v>
      </c>
      <c r="R45" s="12">
        <f>SUMIF(Mercado_Receita!$S$2:$S$2285,"44013ASConvencionalNão se aplicaNão se aplicaNão se aplicaNão se aplicaNão se aplica",Mercado_Receita!$J$2:$J$2285)+SUMIF(Mercado_Receita!$S$2:$S$2285,"44013ASConvencionalNão se aplicaNão se aplicaAPENão se aplicaNão se aplica",Mercado_Receita!$J$2:$J$2285)</f>
        <v>0</v>
      </c>
      <c r="S45" s="12">
        <f>SUMIF(Mercado_Receita!$S$2:$S$2285,"44044ASConvencionalNão se aplicaNão se aplicaNão se aplicaNão se aplicaNão se aplica",Mercado_Receita!$J$2:$J$2285)+SUMIF(Mercado_Receita!$S$2:$S$2285,"44044ASConvencionalNão se aplicaNão se aplicaAPENão se aplicaNão se aplica",Mercado_Receita!$J$2:$J$2285)</f>
        <v>0</v>
      </c>
      <c r="T45" s="12">
        <f>SUMIF(Mercado_Receita!$S$2:$S$2285,"44075ASConvencionalNão se aplicaNão se aplicaNão se aplicaNão se aplicaNão se aplica",Mercado_Receita!$J$2:$J$2285)+SUMIF(Mercado_Receita!$S$2:$S$2285,"44075ASConvencionalNão se aplicaNão se aplicaAPENão se aplicaNão se aplica",Mercado_Receita!$J$2:$J$2285)</f>
        <v>0</v>
      </c>
      <c r="U45" s="12">
        <f t="shared" si="1"/>
        <v>0</v>
      </c>
      <c r="V45" s="12"/>
      <c r="W45" s="12"/>
    </row>
    <row r="46" spans="1:23" ht="11.25" customHeight="1" x14ac:dyDescent="0.25">
      <c r="A46" s="105"/>
      <c r="B46" s="105"/>
      <c r="C46" s="105"/>
      <c r="D46" s="105"/>
      <c r="E46" s="105"/>
      <c r="F46" s="105"/>
      <c r="G46" s="12" t="s">
        <v>94</v>
      </c>
      <c r="H46" s="12" t="s">
        <v>88</v>
      </c>
      <c r="I46" s="12">
        <f>SUMIF(Mercado_Receita!$S$2:$S$2285,"43739ASConvencionalNão se aplicaNão se aplicaNão se aplicaNão se aplicaPonta",Mercado_Receita!$L$2:$L$2285)+SUMIF(Mercado_Receita!$S$2:$S$2285,"43739ASConvencionalNão se aplicaNão se aplicaNão se aplicaNão se aplicaFora ponta",Mercado_Receita!$L$2:$L$2285)+SUMIF(Mercado_Receita!$S$2:$S$2285,"43739ASConvencionalNão se aplicaNão se aplicaNão se aplicaNão se aplicaIntermediário",Mercado_Receita!$L$2:$L$2285)+SUMIF(Mercado_Receita!$S$2:$S$2285,"43739ASConvencionalNão se aplicaNão se aplicaNão se aplicaNão se aplicaNão se aplica",Mercado_Receita!$L$2:$L$2285)</f>
        <v>0</v>
      </c>
      <c r="J46" s="12">
        <f>SUMIF(Mercado_Receita!$S$2:$S$2285,"43770ASConvencionalNão se aplicaNão se aplicaNão se aplicaNão se aplicaPonta",Mercado_Receita!$L$2:$L$2285)+SUMIF(Mercado_Receita!$S$2:$S$2285,"43770ASConvencionalNão se aplicaNão se aplicaNão se aplicaNão se aplicaFora ponta",Mercado_Receita!$L$2:$L$2285)+SUMIF(Mercado_Receita!$S$2:$S$2285,"43770ASConvencionalNão se aplicaNão se aplicaNão se aplicaNão se aplicaIntermediário",Mercado_Receita!$L$2:$L$2285)+SUMIF(Mercado_Receita!$S$2:$S$2285,"43770ASConvencionalNão se aplicaNão se aplicaNão se aplicaNão se aplicaNão se aplica",Mercado_Receita!$L$2:$L$2285)</f>
        <v>0</v>
      </c>
      <c r="K46" s="12">
        <f>SUMIF(Mercado_Receita!$S$2:$S$2285,"43800ASConvencionalNão se aplicaNão se aplicaNão se aplicaNão se aplicaPonta",Mercado_Receita!$L$2:$L$2285)+SUMIF(Mercado_Receita!$S$2:$S$2285,"43800ASConvencionalNão se aplicaNão se aplicaNão se aplicaNão se aplicaFora ponta",Mercado_Receita!$L$2:$L$2285)+SUMIF(Mercado_Receita!$S$2:$S$2285,"43800ASConvencionalNão se aplicaNão se aplicaNão se aplicaNão se aplicaIntermediário",Mercado_Receita!$L$2:$L$2285)+SUMIF(Mercado_Receita!$S$2:$S$2285,"43800ASConvencionalNão se aplicaNão se aplicaNão se aplicaNão se aplicaNão se aplica",Mercado_Receita!$L$2:$L$2285)</f>
        <v>0</v>
      </c>
      <c r="L46" s="12">
        <f>SUMIF(Mercado_Receita!$S$2:$S$2285,"43831ASConvencionalNão se aplicaNão se aplicaNão se aplicaNão se aplicaPonta",Mercado_Receita!$L$2:$L$2285)+SUMIF(Mercado_Receita!$S$2:$S$2285,"43831ASConvencionalNão se aplicaNão se aplicaNão se aplicaNão se aplicaFora ponta",Mercado_Receita!$L$2:$L$2285)+SUMIF(Mercado_Receita!$S$2:$S$2285,"43831ASConvencionalNão se aplicaNão se aplicaNão se aplicaNão se aplicaIntermediário",Mercado_Receita!$L$2:$L$2285)+SUMIF(Mercado_Receita!$S$2:$S$2285,"43831ASConvencionalNão se aplicaNão se aplicaNão se aplicaNão se aplicaNão se aplica",Mercado_Receita!$L$2:$L$2285)</f>
        <v>0</v>
      </c>
      <c r="M46" s="12">
        <f>SUMIF(Mercado_Receita!$S$2:$S$2285,"43862ASConvencionalNão se aplicaNão se aplicaNão se aplicaNão se aplicaPonta",Mercado_Receita!$L$2:$L$2285)+SUMIF(Mercado_Receita!$S$2:$S$2285,"43862ASConvencionalNão se aplicaNão se aplicaNão se aplicaNão se aplicaFora ponta",Mercado_Receita!$L$2:$L$2285)+SUMIF(Mercado_Receita!$S$2:$S$2285,"43862ASConvencionalNão se aplicaNão se aplicaNão se aplicaNão se aplicaIntermediário",Mercado_Receita!$L$2:$L$2285)+SUMIF(Mercado_Receita!$S$2:$S$2285,"43862ASConvencionalNão se aplicaNão se aplicaNão se aplicaNão se aplicaNão se aplica",Mercado_Receita!$L$2:$L$2285)</f>
        <v>0</v>
      </c>
      <c r="N46" s="12">
        <f>SUMIF(Mercado_Receita!$S$2:$S$2285,"43891ASConvencionalNão se aplicaNão se aplicaNão se aplicaNão se aplicaPonta",Mercado_Receita!$L$2:$L$2285)+SUMIF(Mercado_Receita!$S$2:$S$2285,"43891ASConvencionalNão se aplicaNão se aplicaNão se aplicaNão se aplicaFora ponta",Mercado_Receita!$L$2:$L$2285)+SUMIF(Mercado_Receita!$S$2:$S$2285,"43891ASConvencionalNão se aplicaNão se aplicaNão se aplicaNão se aplicaIntermediário",Mercado_Receita!$L$2:$L$2285)+SUMIF(Mercado_Receita!$S$2:$S$2285,"43891ASConvencionalNão se aplicaNão se aplicaNão se aplicaNão se aplicaNão se aplica",Mercado_Receita!$L$2:$L$2285)</f>
        <v>0</v>
      </c>
      <c r="O46" s="12">
        <f>SUMIF(Mercado_Receita!$S$2:$S$2285,"43922ASConvencionalNão se aplicaNão se aplicaNão se aplicaNão se aplicaPonta",Mercado_Receita!$L$2:$L$2285)+SUMIF(Mercado_Receita!$S$2:$S$2285,"43922ASConvencionalNão se aplicaNão se aplicaNão se aplicaNão se aplicaFora ponta",Mercado_Receita!$L$2:$L$2285)+SUMIF(Mercado_Receita!$S$2:$S$2285,"43922ASConvencionalNão se aplicaNão se aplicaNão se aplicaNão se aplicaIntermediário",Mercado_Receita!$L$2:$L$2285)+SUMIF(Mercado_Receita!$S$2:$S$2285,"43922ASConvencionalNão se aplicaNão se aplicaNão se aplicaNão se aplicaNão se aplica",Mercado_Receita!$L$2:$L$2285)</f>
        <v>0</v>
      </c>
      <c r="P46" s="12">
        <f>SUMIF(Mercado_Receita!$S$2:$S$2285,"43952ASConvencionalNão se aplicaNão se aplicaNão se aplicaNão se aplicaPonta",Mercado_Receita!$L$2:$L$2285)+SUMIF(Mercado_Receita!$S$2:$S$2285,"43952ASConvencionalNão se aplicaNão se aplicaNão se aplicaNão se aplicaFora ponta",Mercado_Receita!$L$2:$L$2285)+SUMIF(Mercado_Receita!$S$2:$S$2285,"43952ASConvencionalNão se aplicaNão se aplicaNão se aplicaNão se aplicaIntermediário",Mercado_Receita!$L$2:$L$2285)+SUMIF(Mercado_Receita!$S$2:$S$2285,"43952ASConvencionalNão se aplicaNão se aplicaNão se aplicaNão se aplicaNão se aplica",Mercado_Receita!$L$2:$L$2285)</f>
        <v>0</v>
      </c>
      <c r="Q46" s="12">
        <f>SUMIF(Mercado_Receita!$S$2:$S$2285,"43983ASConvencionalNão se aplicaNão se aplicaNão se aplicaNão se aplicaPonta",Mercado_Receita!$L$2:$L$2285)+SUMIF(Mercado_Receita!$S$2:$S$2285,"43983ASConvencionalNão se aplicaNão se aplicaNão se aplicaNão se aplicaFora ponta",Mercado_Receita!$L$2:$L$2285)+SUMIF(Mercado_Receita!$S$2:$S$2285,"43983ASConvencionalNão se aplicaNão se aplicaNão se aplicaNão se aplicaIntermediário",Mercado_Receita!$L$2:$L$2285)+SUMIF(Mercado_Receita!$S$2:$S$2285,"43983ASConvencionalNão se aplicaNão se aplicaNão se aplicaNão se aplicaNão se aplica",Mercado_Receita!$L$2:$L$2285)</f>
        <v>0</v>
      </c>
      <c r="R46" s="12">
        <f>SUMIF(Mercado_Receita!$S$2:$S$2285,"44013ASConvencionalNão se aplicaNão se aplicaNão se aplicaNão se aplicaPonta",Mercado_Receita!$L$2:$L$2285)+SUMIF(Mercado_Receita!$S$2:$S$2285,"44013ASConvencionalNão se aplicaNão se aplicaNão se aplicaNão se aplicaFora ponta",Mercado_Receita!$L$2:$L$2285)+SUMIF(Mercado_Receita!$S$2:$S$2285,"44013ASConvencionalNão se aplicaNão se aplicaNão se aplicaNão se aplicaIntermediário",Mercado_Receita!$L$2:$L$2285)+SUMIF(Mercado_Receita!$S$2:$S$2285,"44013ASConvencionalNão se aplicaNão se aplicaNão se aplicaNão se aplicaNão se aplica",Mercado_Receita!$L$2:$L$2285)</f>
        <v>0</v>
      </c>
      <c r="S46" s="12">
        <f>SUMIF(Mercado_Receita!$S$2:$S$2285,"44044ASConvencionalNão se aplicaNão se aplicaNão se aplicaNão se aplicaPonta",Mercado_Receita!$L$2:$L$2285)+SUMIF(Mercado_Receita!$S$2:$S$2285,"44044ASConvencionalNão se aplicaNão se aplicaNão se aplicaNão se aplicaFora ponta",Mercado_Receita!$L$2:$L$2285)+SUMIF(Mercado_Receita!$S$2:$S$2285,"44044ASConvencionalNão se aplicaNão se aplicaNão se aplicaNão se aplicaIntermediário",Mercado_Receita!$L$2:$L$2285)+SUMIF(Mercado_Receita!$S$2:$S$2285,"44044ASConvencionalNão se aplicaNão se aplicaNão se aplicaNão se aplicaNão se aplica",Mercado_Receita!$L$2:$L$2285)</f>
        <v>0</v>
      </c>
      <c r="T46" s="12">
        <f>SUMIF(Mercado_Receita!$S$2:$S$2285,"44075ASConvencionalNão se aplicaNão se aplicaNão se aplicaNão se aplicaPonta",Mercado_Receita!$L$2:$L$2285)+SUMIF(Mercado_Receita!$S$2:$S$2285,"44075ASConvencionalNão se aplicaNão se aplicaNão se aplicaNão se aplicaFora ponta",Mercado_Receita!$L$2:$L$2285)+SUMIF(Mercado_Receita!$S$2:$S$2285,"44075ASConvencionalNão se aplicaNão se aplicaNão se aplicaNão se aplicaIntermediário",Mercado_Receita!$L$2:$L$2285)+SUMIF(Mercado_Receita!$S$2:$S$2285,"44075ASConvencionalNão se aplicaNão se aplicaNão se aplicaNão se aplicaNão se aplica",Mercado_Receita!$L$2:$L$2285)</f>
        <v>0</v>
      </c>
      <c r="U46" s="12">
        <f t="shared" si="1"/>
        <v>0</v>
      </c>
      <c r="V46" s="12"/>
      <c r="W46" s="12"/>
    </row>
    <row r="47" spans="1:23" ht="11.25" customHeight="1" x14ac:dyDescent="0.25">
      <c r="A47" s="104" t="s">
        <v>97</v>
      </c>
      <c r="B47" s="104" t="s">
        <v>64</v>
      </c>
      <c r="C47" s="104" t="s">
        <v>25</v>
      </c>
      <c r="D47" s="104" t="s">
        <v>25</v>
      </c>
      <c r="E47" s="13" t="s">
        <v>98</v>
      </c>
      <c r="F47" s="13" t="s">
        <v>25</v>
      </c>
      <c r="G47" s="12" t="s">
        <v>9</v>
      </c>
      <c r="H47" s="12" t="s">
        <v>91</v>
      </c>
      <c r="I47" s="12">
        <f>SUMIF(Mercado_Receita!$S$2:$S$2285,"43739BGeraçãoNão se aplicaNão se aplicaTIPO 01Não se aplicaNão se aplica",Mercado_Receita!$J$2:$J$2285)+SUMIF(Mercado_Receita!$S$2:$S$2285,"43739BGeraçãoNão se aplicaNão se aplicaAPENão se aplicaNão se aplica",Mercado_Receita!$J$2:$J$2285)</f>
        <v>0</v>
      </c>
      <c r="J47" s="12">
        <f>SUMIF(Mercado_Receita!$S$2:$S$2285,"43770BGeraçãoNão se aplicaNão se aplicaTIPO 01Não se aplicaNão se aplica",Mercado_Receita!$J$2:$J$2285)+SUMIF(Mercado_Receita!$S$2:$S$2285,"43770BGeraçãoNão se aplicaNão se aplicaAPENão se aplicaNão se aplica",Mercado_Receita!$J$2:$J$2285)</f>
        <v>0</v>
      </c>
      <c r="K47" s="12">
        <f>SUMIF(Mercado_Receita!$S$2:$S$2285,"43800BGeraçãoNão se aplicaNão se aplicaTIPO 01Não se aplicaNão se aplica",Mercado_Receita!$J$2:$J$2285)+SUMIF(Mercado_Receita!$S$2:$S$2285,"43800BGeraçãoNão se aplicaNão se aplicaAPENão se aplicaNão se aplica",Mercado_Receita!$J$2:$J$2285)</f>
        <v>0</v>
      </c>
      <c r="L47" s="12">
        <f>SUMIF(Mercado_Receita!$S$2:$S$2285,"43831BGeraçãoNão se aplicaNão se aplicaTIPO 01Não se aplicaNão se aplica",Mercado_Receita!$J$2:$J$2285)+SUMIF(Mercado_Receita!$S$2:$S$2285,"43831BGeraçãoNão se aplicaNão se aplicaAPENão se aplicaNão se aplica",Mercado_Receita!$J$2:$J$2285)</f>
        <v>0</v>
      </c>
      <c r="M47" s="12">
        <f>SUMIF(Mercado_Receita!$S$2:$S$2285,"43862BGeraçãoNão se aplicaNão se aplicaTIPO 01Não se aplicaNão se aplica",Mercado_Receita!$J$2:$J$2285)+SUMIF(Mercado_Receita!$S$2:$S$2285,"43862BGeraçãoNão se aplicaNão se aplicaAPENão se aplicaNão se aplica",Mercado_Receita!$J$2:$J$2285)</f>
        <v>0</v>
      </c>
      <c r="N47" s="12">
        <f>SUMIF(Mercado_Receita!$S$2:$S$2285,"43891BGeraçãoNão se aplicaNão se aplicaTIPO 01Não se aplicaNão se aplica",Mercado_Receita!$J$2:$J$2285)+SUMIF(Mercado_Receita!$S$2:$S$2285,"43891BGeraçãoNão se aplicaNão se aplicaAPENão se aplicaNão se aplica",Mercado_Receita!$J$2:$J$2285)</f>
        <v>0</v>
      </c>
      <c r="O47" s="12">
        <f>SUMIF(Mercado_Receita!$S$2:$S$2285,"43922BGeraçãoNão se aplicaNão se aplicaTIPO 01Não se aplicaNão se aplica",Mercado_Receita!$J$2:$J$2285)+SUMIF(Mercado_Receita!$S$2:$S$2285,"43922BGeraçãoNão se aplicaNão se aplicaAPENão se aplicaNão se aplica",Mercado_Receita!$J$2:$J$2285)</f>
        <v>0</v>
      </c>
      <c r="P47" s="12">
        <f>SUMIF(Mercado_Receita!$S$2:$S$2285,"43952BGeraçãoNão se aplicaNão se aplicaTIPO 01Não se aplicaNão se aplica",Mercado_Receita!$J$2:$J$2285)+SUMIF(Mercado_Receita!$S$2:$S$2285,"43952BGeraçãoNão se aplicaNão se aplicaAPENão se aplicaNão se aplica",Mercado_Receita!$J$2:$J$2285)</f>
        <v>0</v>
      </c>
      <c r="Q47" s="12">
        <f>SUMIF(Mercado_Receita!$S$2:$S$2285,"43983BGeraçãoNão se aplicaNão se aplicaTIPO 01Não se aplicaNão se aplica",Mercado_Receita!$J$2:$J$2285)+SUMIF(Mercado_Receita!$S$2:$S$2285,"43983BGeraçãoNão se aplicaNão se aplicaAPENão se aplicaNão se aplica",Mercado_Receita!$J$2:$J$2285)</f>
        <v>0</v>
      </c>
      <c r="R47" s="12">
        <f>SUMIF(Mercado_Receita!$S$2:$S$2285,"44013BGeraçãoNão se aplicaNão se aplicaTIPO 01Não se aplicaNão se aplica",Mercado_Receita!$J$2:$J$2285)+SUMIF(Mercado_Receita!$S$2:$S$2285,"44013BGeraçãoNão se aplicaNão se aplicaAPENão se aplicaNão se aplica",Mercado_Receita!$J$2:$J$2285)</f>
        <v>0</v>
      </c>
      <c r="S47" s="12">
        <f>SUMIF(Mercado_Receita!$S$2:$S$2285,"44044BGeraçãoNão se aplicaNão se aplicaTIPO 01Não se aplicaNão se aplica",Mercado_Receita!$J$2:$J$2285)+SUMIF(Mercado_Receita!$S$2:$S$2285,"44044BGeraçãoNão se aplicaNão se aplicaAPENão se aplicaNão se aplica",Mercado_Receita!$J$2:$J$2285)</f>
        <v>0</v>
      </c>
      <c r="T47" s="12">
        <f>SUMIF(Mercado_Receita!$S$2:$S$2285,"44075BGeraçãoNão se aplicaNão se aplicaTIPO 01Não se aplicaNão se aplica",Mercado_Receita!$J$2:$J$2285)+SUMIF(Mercado_Receita!$S$2:$S$2285,"44075BGeraçãoNão se aplicaNão se aplicaAPENão se aplicaNão se aplica",Mercado_Receita!$J$2:$J$2285)</f>
        <v>0</v>
      </c>
      <c r="U47" s="12">
        <f t="shared" si="1"/>
        <v>0</v>
      </c>
      <c r="V47" s="12"/>
      <c r="W47" s="12"/>
    </row>
    <row r="48" spans="1:23" ht="11.25" customHeight="1" x14ac:dyDescent="0.25">
      <c r="A48" s="105"/>
      <c r="B48" s="105"/>
      <c r="C48" s="105"/>
      <c r="D48" s="105"/>
      <c r="E48" s="13" t="s">
        <v>99</v>
      </c>
      <c r="F48" s="13" t="s">
        <v>25</v>
      </c>
      <c r="G48" s="12" t="s">
        <v>9</v>
      </c>
      <c r="H48" s="12" t="s">
        <v>91</v>
      </c>
      <c r="I48" s="12">
        <f>SUMIF(Mercado_Receita!$S$2:$S$2285,"43739BGeraçãoNão se aplicaNão se aplicaTIPO 02Não se aplicaNão se aplica",Mercado_Receita!$J$2:$J$2285)+SUMIF(Mercado_Receita!$S$2:$S$2285,"43739BGeraçãoNão se aplicaNão se aplicaAPENão se aplicaNão se aplica",Mercado_Receita!$J$2:$J$2285)</f>
        <v>0</v>
      </c>
      <c r="J48" s="12">
        <f>SUMIF(Mercado_Receita!$S$2:$S$2285,"43770BGeraçãoNão se aplicaNão se aplicaTIPO 02Não se aplicaNão se aplica",Mercado_Receita!$J$2:$J$2285)+SUMIF(Mercado_Receita!$S$2:$S$2285,"43770BGeraçãoNão se aplicaNão se aplicaAPENão se aplicaNão se aplica",Mercado_Receita!$J$2:$J$2285)</f>
        <v>0</v>
      </c>
      <c r="K48" s="12">
        <f>SUMIF(Mercado_Receita!$S$2:$S$2285,"43800BGeraçãoNão se aplicaNão se aplicaTIPO 02Não se aplicaNão se aplica",Mercado_Receita!$J$2:$J$2285)+SUMIF(Mercado_Receita!$S$2:$S$2285,"43800BGeraçãoNão se aplicaNão se aplicaAPENão se aplicaNão se aplica",Mercado_Receita!$J$2:$J$2285)</f>
        <v>0</v>
      </c>
      <c r="L48" s="12">
        <f>SUMIF(Mercado_Receita!$S$2:$S$2285,"43831BGeraçãoNão se aplicaNão se aplicaTIPO 02Não se aplicaNão se aplica",Mercado_Receita!$J$2:$J$2285)+SUMIF(Mercado_Receita!$S$2:$S$2285,"43831BGeraçãoNão se aplicaNão se aplicaAPENão se aplicaNão se aplica",Mercado_Receita!$J$2:$J$2285)</f>
        <v>0</v>
      </c>
      <c r="M48" s="12">
        <f>SUMIF(Mercado_Receita!$S$2:$S$2285,"43862BGeraçãoNão se aplicaNão se aplicaTIPO 02Não se aplicaNão se aplica",Mercado_Receita!$J$2:$J$2285)+SUMIF(Mercado_Receita!$S$2:$S$2285,"43862BGeraçãoNão se aplicaNão se aplicaAPENão se aplicaNão se aplica",Mercado_Receita!$J$2:$J$2285)</f>
        <v>0</v>
      </c>
      <c r="N48" s="12">
        <f>SUMIF(Mercado_Receita!$S$2:$S$2285,"43891BGeraçãoNão se aplicaNão se aplicaTIPO 02Não se aplicaNão se aplica",Mercado_Receita!$J$2:$J$2285)+SUMIF(Mercado_Receita!$S$2:$S$2285,"43891BGeraçãoNão se aplicaNão se aplicaAPENão se aplicaNão se aplica",Mercado_Receita!$J$2:$J$2285)</f>
        <v>0</v>
      </c>
      <c r="O48" s="12">
        <f>SUMIF(Mercado_Receita!$S$2:$S$2285,"43922BGeraçãoNão se aplicaNão se aplicaTIPO 02Não se aplicaNão se aplica",Mercado_Receita!$J$2:$J$2285)+SUMIF(Mercado_Receita!$S$2:$S$2285,"43922BGeraçãoNão se aplicaNão se aplicaAPENão se aplicaNão se aplica",Mercado_Receita!$J$2:$J$2285)</f>
        <v>0</v>
      </c>
      <c r="P48" s="12">
        <f>SUMIF(Mercado_Receita!$S$2:$S$2285,"43952BGeraçãoNão se aplicaNão se aplicaTIPO 02Não se aplicaNão se aplica",Mercado_Receita!$J$2:$J$2285)+SUMIF(Mercado_Receita!$S$2:$S$2285,"43952BGeraçãoNão se aplicaNão se aplicaAPENão se aplicaNão se aplica",Mercado_Receita!$J$2:$J$2285)</f>
        <v>0</v>
      </c>
      <c r="Q48" s="12">
        <f>SUMIF(Mercado_Receita!$S$2:$S$2285,"43983BGeraçãoNão se aplicaNão se aplicaTIPO 02Não se aplicaNão se aplica",Mercado_Receita!$J$2:$J$2285)+SUMIF(Mercado_Receita!$S$2:$S$2285,"43983BGeraçãoNão se aplicaNão se aplicaAPENão se aplicaNão se aplica",Mercado_Receita!$J$2:$J$2285)</f>
        <v>0</v>
      </c>
      <c r="R48" s="12">
        <f>SUMIF(Mercado_Receita!$S$2:$S$2285,"44013BGeraçãoNão se aplicaNão se aplicaTIPO 02Não se aplicaNão se aplica",Mercado_Receita!$J$2:$J$2285)+SUMIF(Mercado_Receita!$S$2:$S$2285,"44013BGeraçãoNão se aplicaNão se aplicaAPENão se aplicaNão se aplica",Mercado_Receita!$J$2:$J$2285)</f>
        <v>0</v>
      </c>
      <c r="S48" s="12">
        <f>SUMIF(Mercado_Receita!$S$2:$S$2285,"44044BGeraçãoNão se aplicaNão se aplicaTIPO 02Não se aplicaNão se aplica",Mercado_Receita!$J$2:$J$2285)+SUMIF(Mercado_Receita!$S$2:$S$2285,"44044BGeraçãoNão se aplicaNão se aplicaAPENão se aplicaNão se aplica",Mercado_Receita!$J$2:$J$2285)</f>
        <v>0</v>
      </c>
      <c r="T48" s="12">
        <f>SUMIF(Mercado_Receita!$S$2:$S$2285,"44075BGeraçãoNão se aplicaNão se aplicaTIPO 02Não se aplicaNão se aplica",Mercado_Receita!$J$2:$J$2285)+SUMIF(Mercado_Receita!$S$2:$S$2285,"44075BGeraçãoNão se aplicaNão se aplicaAPENão se aplicaNão se aplica",Mercado_Receita!$J$2:$J$2285)</f>
        <v>0</v>
      </c>
      <c r="U48" s="12">
        <f t="shared" si="1"/>
        <v>0</v>
      </c>
      <c r="V48" s="12"/>
      <c r="W48" s="12"/>
    </row>
    <row r="49" spans="1:23" ht="11.25" customHeight="1" x14ac:dyDescent="0.25">
      <c r="A49" s="104" t="s">
        <v>22</v>
      </c>
      <c r="B49" s="104" t="s">
        <v>37</v>
      </c>
      <c r="C49" s="104" t="s">
        <v>24</v>
      </c>
      <c r="D49" s="104" t="s">
        <v>24</v>
      </c>
      <c r="E49" s="104" t="s">
        <v>25</v>
      </c>
      <c r="F49" s="104" t="s">
        <v>25</v>
      </c>
      <c r="G49" s="12" t="s">
        <v>89</v>
      </c>
      <c r="H49" s="12" t="s">
        <v>88</v>
      </c>
      <c r="I49" s="12">
        <f>SUMIF(Mercado_Receita!$S$2:$S$2285,"43739B1BrancaResidencialResidencialNão se aplicaNão se aplicaPonta",Mercado_Receita!$L$2:$L$2285)</f>
        <v>22.540000000000003</v>
      </c>
      <c r="J49" s="12">
        <f>SUMIF(Mercado_Receita!$S$2:$S$2285,"43770B1BrancaResidencialResidencialNão se aplicaNão se aplicaPonta",Mercado_Receita!$L$2:$L$2285)</f>
        <v>22.07</v>
      </c>
      <c r="K49" s="12">
        <f>SUMIF(Mercado_Receita!$S$2:$S$2285,"43800B1BrancaResidencialResidencialNão se aplicaNão se aplicaPonta",Mercado_Receita!$L$2:$L$2285)</f>
        <v>18.899000000000001</v>
      </c>
      <c r="L49" s="12">
        <f>SUMIF(Mercado_Receita!$S$2:$S$2285,"43831B1BrancaResidencialResidencialNão se aplicaNão se aplicaPonta",Mercado_Receita!$L$2:$L$2285)</f>
        <v>20.365000000000002</v>
      </c>
      <c r="M49" s="12">
        <f>SUMIF(Mercado_Receita!$S$2:$S$2285,"43862B1BrancaResidencialResidencialNão se aplicaNão se aplicaPonta",Mercado_Receita!$L$2:$L$2285)</f>
        <v>19.944000000000003</v>
      </c>
      <c r="N49" s="12">
        <f>SUMIF(Mercado_Receita!$S$2:$S$2285,"43891B1BrancaResidencialResidencialNão se aplicaNão se aplicaPonta",Mercado_Receita!$L$2:$L$2285)</f>
        <v>19.386999999999997</v>
      </c>
      <c r="O49" s="12">
        <f>SUMIF(Mercado_Receita!$S$2:$S$2285,"43922B1BrancaResidencialResidencialNão se aplicaNão se aplicaPonta",Mercado_Receita!$L$2:$L$2285)</f>
        <v>21.777000000000001</v>
      </c>
      <c r="P49" s="12">
        <f>SUMIF(Mercado_Receita!$S$2:$S$2285,"43952B1BrancaResidencialResidencialNão se aplicaNão se aplicaPonta",Mercado_Receita!$L$2:$L$2285)</f>
        <v>20.224</v>
      </c>
      <c r="Q49" s="12">
        <f>SUMIF(Mercado_Receita!$S$2:$S$2285,"43983B1BrancaResidencialResidencialNão se aplicaNão se aplicaPonta",Mercado_Receita!$L$2:$L$2285)</f>
        <v>20.204000000000001</v>
      </c>
      <c r="R49" s="12">
        <f>SUMIF(Mercado_Receita!$S$2:$S$2285,"44013B1BrancaResidencialResidencialNão se aplicaNão se aplicaPonta",Mercado_Receita!$L$2:$L$2285)</f>
        <v>21.164999999999999</v>
      </c>
      <c r="S49" s="12">
        <f>SUMIF(Mercado_Receita!$S$2:$S$2285,"44044B1BrancaResidencialResidencialNão se aplicaNão se aplicaPonta",Mercado_Receita!$L$2:$L$2285)</f>
        <v>23.525000000000002</v>
      </c>
      <c r="T49" s="12">
        <f>SUMIF(Mercado_Receita!$S$2:$S$2285,"44075B1BrancaResidencialResidencialNão se aplicaNão se aplicaPonta",Mercado_Receita!$L$2:$L$2285)</f>
        <v>23.525000000000002</v>
      </c>
      <c r="U49" s="12">
        <f t="shared" si="1"/>
        <v>253.625</v>
      </c>
      <c r="V49" s="12"/>
      <c r="W49" s="12"/>
    </row>
    <row r="50" spans="1:23" ht="11.25" customHeight="1" x14ac:dyDescent="0.25">
      <c r="A50" s="105"/>
      <c r="B50" s="105"/>
      <c r="C50" s="105"/>
      <c r="D50" s="105"/>
      <c r="E50" s="105"/>
      <c r="F50" s="105"/>
      <c r="G50" s="12" t="s">
        <v>100</v>
      </c>
      <c r="H50" s="12" t="s">
        <v>88</v>
      </c>
      <c r="I50" s="12">
        <f>SUMIF(Mercado_Receita!$S$2:$S$2285,"43739B1BrancaResidencialResidencialNão se aplicaNão se aplicaIntermediário",Mercado_Receita!$L$2:$L$2285)</f>
        <v>14.954000000000001</v>
      </c>
      <c r="J50" s="12">
        <f>SUMIF(Mercado_Receita!$S$2:$S$2285,"43770B1BrancaResidencialResidencialNão se aplicaNão se aplicaIntermediário",Mercado_Receita!$L$2:$L$2285)</f>
        <v>14.975000000000001</v>
      </c>
      <c r="K50" s="12">
        <f>SUMIF(Mercado_Receita!$S$2:$S$2285,"43800B1BrancaResidencialResidencialNão se aplicaNão se aplicaIntermediário",Mercado_Receita!$L$2:$L$2285)</f>
        <v>12.496</v>
      </c>
      <c r="L50" s="12">
        <f>SUMIF(Mercado_Receita!$S$2:$S$2285,"43831B1BrancaResidencialResidencialNão se aplicaNão se aplicaIntermediário",Mercado_Receita!$L$2:$L$2285)</f>
        <v>14.045</v>
      </c>
      <c r="M50" s="12">
        <f>SUMIF(Mercado_Receita!$S$2:$S$2285,"43862B1BrancaResidencialResidencialNão se aplicaNão se aplicaIntermediário",Mercado_Receita!$L$2:$L$2285)</f>
        <v>13.638000000000002</v>
      </c>
      <c r="N50" s="12">
        <f>SUMIF(Mercado_Receita!$S$2:$S$2285,"43891B1BrancaResidencialResidencialNão se aplicaNão se aplicaIntermediário",Mercado_Receita!$L$2:$L$2285)</f>
        <v>12.829000000000001</v>
      </c>
      <c r="O50" s="12">
        <f>SUMIF(Mercado_Receita!$S$2:$S$2285,"43922B1BrancaResidencialResidencialNão se aplicaNão se aplicaIntermediário",Mercado_Receita!$L$2:$L$2285)</f>
        <v>13.863999999999999</v>
      </c>
      <c r="P50" s="12">
        <f>SUMIF(Mercado_Receita!$S$2:$S$2285,"43952B1BrancaResidencialResidencialNão se aplicaNão se aplicaIntermediário",Mercado_Receita!$L$2:$L$2285)</f>
        <v>12.917</v>
      </c>
      <c r="Q50" s="12">
        <f>SUMIF(Mercado_Receita!$S$2:$S$2285,"43983B1BrancaResidencialResidencialNão se aplicaNão se aplicaIntermediário",Mercado_Receita!$L$2:$L$2285)</f>
        <v>11.74</v>
      </c>
      <c r="R50" s="12">
        <f>SUMIF(Mercado_Receita!$S$2:$S$2285,"44013B1BrancaResidencialResidencialNão se aplicaNão se aplicaIntermediário",Mercado_Receita!$L$2:$L$2285)</f>
        <v>13.6</v>
      </c>
      <c r="S50" s="12">
        <f>SUMIF(Mercado_Receita!$S$2:$S$2285,"44044B1BrancaResidencialResidencialNão se aplicaNão se aplicaIntermediário",Mercado_Receita!$L$2:$L$2285)</f>
        <v>15.318</v>
      </c>
      <c r="T50" s="12">
        <f>SUMIF(Mercado_Receita!$S$2:$S$2285,"44075B1BrancaResidencialResidencialNão se aplicaNão se aplicaIntermediário",Mercado_Receita!$L$2:$L$2285)</f>
        <v>15.318</v>
      </c>
      <c r="U50" s="12">
        <f t="shared" si="1"/>
        <v>165.69400000000005</v>
      </c>
      <c r="V50" s="12"/>
      <c r="W50" s="12"/>
    </row>
    <row r="51" spans="1:23" ht="11.25" customHeight="1" x14ac:dyDescent="0.25">
      <c r="A51" s="105"/>
      <c r="B51" s="105"/>
      <c r="C51" s="105"/>
      <c r="D51" s="105"/>
      <c r="E51" s="105"/>
      <c r="F51" s="105"/>
      <c r="G51" s="12" t="s">
        <v>90</v>
      </c>
      <c r="H51" s="12" t="s">
        <v>88</v>
      </c>
      <c r="I51" s="12">
        <f>SUMIF(Mercado_Receita!$S$2:$S$2285,"43739B1BrancaResidencialResidencialNão se aplicaNão se aplicaFora ponta",Mercado_Receita!$L$2:$L$2285)</f>
        <v>192.49299999999999</v>
      </c>
      <c r="J51" s="12">
        <f>SUMIF(Mercado_Receita!$S$2:$S$2285,"43770B1BrancaResidencialResidencialNão se aplicaNão se aplicaFora ponta",Mercado_Receita!$L$2:$L$2285)</f>
        <v>203.273</v>
      </c>
      <c r="K51" s="12">
        <f>SUMIF(Mercado_Receita!$S$2:$S$2285,"43800B1BrancaResidencialResidencialNão se aplicaNão se aplicaFora ponta",Mercado_Receita!$L$2:$L$2285)</f>
        <v>173.22299999999998</v>
      </c>
      <c r="L51" s="12">
        <f>SUMIF(Mercado_Receita!$S$2:$S$2285,"43831B1BrancaResidencialResidencialNão se aplicaNão se aplicaFora ponta",Mercado_Receita!$L$2:$L$2285)</f>
        <v>189.58699999999999</v>
      </c>
      <c r="M51" s="12">
        <f>SUMIF(Mercado_Receita!$S$2:$S$2285,"43862B1BrancaResidencialResidencialNão se aplicaNão se aplicaFora ponta",Mercado_Receita!$L$2:$L$2285)</f>
        <v>172.72499999999999</v>
      </c>
      <c r="N51" s="12">
        <f>SUMIF(Mercado_Receita!$S$2:$S$2285,"43891B1BrancaResidencialResidencialNão se aplicaNão se aplicaFora ponta",Mercado_Receita!$L$2:$L$2285)</f>
        <v>170.60499999999999</v>
      </c>
      <c r="O51" s="12">
        <f>SUMIF(Mercado_Receita!$S$2:$S$2285,"43922B1BrancaResidencialResidencialNão se aplicaNão se aplicaFora ponta",Mercado_Receita!$L$2:$L$2285)</f>
        <v>179.93299999999999</v>
      </c>
      <c r="P51" s="12">
        <f>SUMIF(Mercado_Receita!$S$2:$S$2285,"43952B1BrancaResidencialResidencialNão se aplicaNão se aplicaFora ponta",Mercado_Receita!$L$2:$L$2285)</f>
        <v>158.28700000000001</v>
      </c>
      <c r="Q51" s="12">
        <f>SUMIF(Mercado_Receita!$S$2:$S$2285,"43983B1BrancaResidencialResidencialNão se aplicaNão se aplicaFora ponta",Mercado_Receita!$L$2:$L$2285)</f>
        <v>150.79399999999998</v>
      </c>
      <c r="R51" s="12">
        <f>SUMIF(Mercado_Receita!$S$2:$S$2285,"44013B1BrancaResidencialResidencialNão se aplicaNão se aplicaFora ponta",Mercado_Receita!$L$2:$L$2285)</f>
        <v>155.863</v>
      </c>
      <c r="S51" s="12">
        <f>SUMIF(Mercado_Receita!$S$2:$S$2285,"44044B1BrancaResidencialResidencialNão se aplicaNão se aplicaFora ponta",Mercado_Receita!$L$2:$L$2285)</f>
        <v>184.89399999999998</v>
      </c>
      <c r="T51" s="12">
        <f>SUMIF(Mercado_Receita!$S$2:$S$2285,"44075B1BrancaResidencialResidencialNão se aplicaNão se aplicaFora ponta",Mercado_Receita!$L$2:$L$2285)</f>
        <v>184.89399999999998</v>
      </c>
      <c r="U51" s="12">
        <f t="shared" si="1"/>
        <v>2116.5709999999999</v>
      </c>
      <c r="V51" s="12"/>
      <c r="W51" s="12"/>
    </row>
    <row r="52" spans="1:23" ht="11.25" customHeight="1" x14ac:dyDescent="0.25">
      <c r="A52" s="105"/>
      <c r="B52" s="104" t="s">
        <v>23</v>
      </c>
      <c r="C52" s="104" t="s">
        <v>24</v>
      </c>
      <c r="D52" s="13" t="s">
        <v>24</v>
      </c>
      <c r="E52" s="13" t="s">
        <v>25</v>
      </c>
      <c r="F52" s="13" t="s">
        <v>25</v>
      </c>
      <c r="G52" s="12" t="s">
        <v>94</v>
      </c>
      <c r="H52" s="12" t="s">
        <v>88</v>
      </c>
      <c r="I52" s="12">
        <f>SUMIF(Mercado_Receita!$S$2:$S$2285,"43739B1ConvencionalResidencialResidencialNão se aplicaNão se aplicaPonta",Mercado_Receita!$L$2:$L$2285)+SUMIF(Mercado_Receita!$S$2:$S$2285,"43739B1ConvencionalResidencialResidencialNão se aplicaNão se aplicaFora ponta",Mercado_Receita!$L$2:$L$2285)+SUMIF(Mercado_Receita!$S$2:$S$2285,"43739B1ConvencionalResidencialResidencialNão se aplicaNão se aplicaIntermediário",Mercado_Receita!$L$2:$L$2285)+SUMIF(Mercado_Receita!$S$2:$S$2285,"43739B1ConvencionalResidencialResidencialNão se aplicaNão se aplicaNão se aplica",Mercado_Receita!$L$2:$L$2285)</f>
        <v>195952.38</v>
      </c>
      <c r="J52" s="12">
        <f>SUMIF(Mercado_Receita!$S$2:$S$2285,"43770B1ConvencionalResidencialResidencialNão se aplicaNão se aplicaPonta",Mercado_Receita!$L$2:$L$2285)+SUMIF(Mercado_Receita!$S$2:$S$2285,"43770B1ConvencionalResidencialResidencialNão se aplicaNão se aplicaFora ponta",Mercado_Receita!$L$2:$L$2285)+SUMIF(Mercado_Receita!$S$2:$S$2285,"43770B1ConvencionalResidencialResidencialNão se aplicaNão se aplicaIntermediário",Mercado_Receita!$L$2:$L$2285)+SUMIF(Mercado_Receita!$S$2:$S$2285,"43770B1ConvencionalResidencialResidencialNão se aplicaNão se aplicaNão se aplica",Mercado_Receita!$L$2:$L$2285)</f>
        <v>207826.74000000002</v>
      </c>
      <c r="K52" s="12">
        <f>SUMIF(Mercado_Receita!$S$2:$S$2285,"43800B1ConvencionalResidencialResidencialNão se aplicaNão se aplicaPonta",Mercado_Receita!$L$2:$L$2285)+SUMIF(Mercado_Receita!$S$2:$S$2285,"43800B1ConvencionalResidencialResidencialNão se aplicaNão se aplicaFora ponta",Mercado_Receita!$L$2:$L$2285)+SUMIF(Mercado_Receita!$S$2:$S$2285,"43800B1ConvencionalResidencialResidencialNão se aplicaNão se aplicaIntermediário",Mercado_Receita!$L$2:$L$2285)+SUMIF(Mercado_Receita!$S$2:$S$2285,"43800B1ConvencionalResidencialResidencialNão se aplicaNão se aplicaNão se aplica",Mercado_Receita!$L$2:$L$2285)</f>
        <v>179505.60100000002</v>
      </c>
      <c r="L52" s="12">
        <f>SUMIF(Mercado_Receita!$S$2:$S$2285,"43831B1ConvencionalResidencialResidencialNão se aplicaNão se aplicaPonta",Mercado_Receita!$L$2:$L$2285)+SUMIF(Mercado_Receita!$S$2:$S$2285,"43831B1ConvencionalResidencialResidencialNão se aplicaNão se aplicaFora ponta",Mercado_Receita!$L$2:$L$2285)+SUMIF(Mercado_Receita!$S$2:$S$2285,"43831B1ConvencionalResidencialResidencialNão se aplicaNão se aplicaIntermediário",Mercado_Receita!$L$2:$L$2285)+SUMIF(Mercado_Receita!$S$2:$S$2285,"43831B1ConvencionalResidencialResidencialNão se aplicaNão se aplicaNão se aplica",Mercado_Receita!$L$2:$L$2285)</f>
        <v>195319.25400000002</v>
      </c>
      <c r="M52" s="12">
        <f>SUMIF(Mercado_Receita!$S$2:$S$2285,"43862B1ConvencionalResidencialResidencialNão se aplicaNão se aplicaPonta",Mercado_Receita!$L$2:$L$2285)+SUMIF(Mercado_Receita!$S$2:$S$2285,"43862B1ConvencionalResidencialResidencialNão se aplicaNão se aplicaFora ponta",Mercado_Receita!$L$2:$L$2285)+SUMIF(Mercado_Receita!$S$2:$S$2285,"43862B1ConvencionalResidencialResidencialNão se aplicaNão se aplicaIntermediário",Mercado_Receita!$L$2:$L$2285)+SUMIF(Mercado_Receita!$S$2:$S$2285,"43862B1ConvencionalResidencialResidencialNão se aplicaNão se aplicaNão se aplica",Mercado_Receita!$L$2:$L$2285)</f>
        <v>182988.72099999999</v>
      </c>
      <c r="N52" s="12">
        <f>SUMIF(Mercado_Receita!$S$2:$S$2285,"43891B1ConvencionalResidencialResidencialNão se aplicaNão se aplicaPonta",Mercado_Receita!$L$2:$L$2285)+SUMIF(Mercado_Receita!$S$2:$S$2285,"43891B1ConvencionalResidencialResidencialNão se aplicaNão se aplicaFora ponta",Mercado_Receita!$L$2:$L$2285)+SUMIF(Mercado_Receita!$S$2:$S$2285,"43891B1ConvencionalResidencialResidencialNão se aplicaNão se aplicaIntermediário",Mercado_Receita!$L$2:$L$2285)+SUMIF(Mercado_Receita!$S$2:$S$2285,"43891B1ConvencionalResidencialResidencialNão se aplicaNão se aplicaNão se aplica",Mercado_Receita!$L$2:$L$2285)</f>
        <v>187564.685</v>
      </c>
      <c r="O52" s="12">
        <f>SUMIF(Mercado_Receita!$S$2:$S$2285,"43922B1ConvencionalResidencialResidencialNão se aplicaNão se aplicaPonta",Mercado_Receita!$L$2:$L$2285)+SUMIF(Mercado_Receita!$S$2:$S$2285,"43922B1ConvencionalResidencialResidencialNão se aplicaNão se aplicaFora ponta",Mercado_Receita!$L$2:$L$2285)+SUMIF(Mercado_Receita!$S$2:$S$2285,"43922B1ConvencionalResidencialResidencialNão se aplicaNão se aplicaIntermediário",Mercado_Receita!$L$2:$L$2285)+SUMIF(Mercado_Receita!$S$2:$S$2285,"43922B1ConvencionalResidencialResidencialNão se aplicaNão se aplicaNão se aplica",Mercado_Receita!$L$2:$L$2285)</f>
        <v>203821.96699999998</v>
      </c>
      <c r="P52" s="12">
        <f>SUMIF(Mercado_Receita!$S$2:$S$2285,"43952B1ConvencionalResidencialResidencialNão se aplicaNão se aplicaPonta",Mercado_Receita!$L$2:$L$2285)+SUMIF(Mercado_Receita!$S$2:$S$2285,"43952B1ConvencionalResidencialResidencialNão se aplicaNão se aplicaFora ponta",Mercado_Receita!$L$2:$L$2285)+SUMIF(Mercado_Receita!$S$2:$S$2285,"43952B1ConvencionalResidencialResidencialNão se aplicaNão se aplicaIntermediário",Mercado_Receita!$L$2:$L$2285)+SUMIF(Mercado_Receita!$S$2:$S$2285,"43952B1ConvencionalResidencialResidencialNão se aplicaNão se aplicaNão se aplica",Mercado_Receita!$L$2:$L$2285)</f>
        <v>199748.29200000002</v>
      </c>
      <c r="Q52" s="12">
        <f>SUMIF(Mercado_Receita!$S$2:$S$2285,"43983B1ConvencionalResidencialResidencialNão se aplicaNão se aplicaPonta",Mercado_Receita!$L$2:$L$2285)+SUMIF(Mercado_Receita!$S$2:$S$2285,"43983B1ConvencionalResidencialResidencialNão se aplicaNão se aplicaFora ponta",Mercado_Receita!$L$2:$L$2285)+SUMIF(Mercado_Receita!$S$2:$S$2285,"43983B1ConvencionalResidencialResidencialNão se aplicaNão se aplicaIntermediário",Mercado_Receita!$L$2:$L$2285)+SUMIF(Mercado_Receita!$S$2:$S$2285,"43983B1ConvencionalResidencialResidencialNão se aplicaNão se aplicaNão se aplica",Mercado_Receita!$L$2:$L$2285)</f>
        <v>181565.65300000002</v>
      </c>
      <c r="R52" s="12">
        <f>SUMIF(Mercado_Receita!$S$2:$S$2285,"44013B1ConvencionalResidencialResidencialNão se aplicaNão se aplicaPonta",Mercado_Receita!$L$2:$L$2285)+SUMIF(Mercado_Receita!$S$2:$S$2285,"44013B1ConvencionalResidencialResidencialNão se aplicaNão se aplicaFora ponta",Mercado_Receita!$L$2:$L$2285)+SUMIF(Mercado_Receita!$S$2:$S$2285,"44013B1ConvencionalResidencialResidencialNão se aplicaNão se aplicaIntermediário",Mercado_Receita!$L$2:$L$2285)+SUMIF(Mercado_Receita!$S$2:$S$2285,"44013B1ConvencionalResidencialResidencialNão se aplicaNão se aplicaNão se aplica",Mercado_Receita!$L$2:$L$2285)</f>
        <v>185295.77299999999</v>
      </c>
      <c r="S52" s="12">
        <f>SUMIF(Mercado_Receita!$S$2:$S$2285,"44044B1ConvencionalResidencialResidencialNão se aplicaNão se aplicaPonta",Mercado_Receita!$L$2:$L$2285)+SUMIF(Mercado_Receita!$S$2:$S$2285,"44044B1ConvencionalResidencialResidencialNão se aplicaNão se aplicaFora ponta",Mercado_Receita!$L$2:$L$2285)+SUMIF(Mercado_Receita!$S$2:$S$2285,"44044B1ConvencionalResidencialResidencialNão se aplicaNão se aplicaIntermediário",Mercado_Receita!$L$2:$L$2285)+SUMIF(Mercado_Receita!$S$2:$S$2285,"44044B1ConvencionalResidencialResidencialNão se aplicaNão se aplicaNão se aplica",Mercado_Receita!$L$2:$L$2285)</f>
        <v>201443.86300000004</v>
      </c>
      <c r="T52" s="12">
        <f>SUMIF(Mercado_Receita!$S$2:$S$2285,"44075B1ConvencionalResidencialResidencialNão se aplicaNão se aplicaPonta",Mercado_Receita!$L$2:$L$2285)+SUMIF(Mercado_Receita!$S$2:$S$2285,"44075B1ConvencionalResidencialResidencialNão se aplicaNão se aplicaFora ponta",Mercado_Receita!$L$2:$L$2285)+SUMIF(Mercado_Receita!$S$2:$S$2285,"44075B1ConvencionalResidencialResidencialNão se aplicaNão se aplicaIntermediário",Mercado_Receita!$L$2:$L$2285)+SUMIF(Mercado_Receita!$S$2:$S$2285,"44075B1ConvencionalResidencialResidencialNão se aplicaNão se aplicaNão se aplica",Mercado_Receita!$L$2:$L$2285)</f>
        <v>201443.86300000004</v>
      </c>
      <c r="U52" s="12">
        <f t="shared" si="1"/>
        <v>2322476.7919999999</v>
      </c>
      <c r="V52" s="12"/>
      <c r="W52" s="12"/>
    </row>
    <row r="53" spans="1:23" ht="11.25" customHeight="1" x14ac:dyDescent="0.25">
      <c r="A53" s="105"/>
      <c r="B53" s="105"/>
      <c r="C53" s="105"/>
      <c r="D53" s="13" t="s">
        <v>29</v>
      </c>
      <c r="E53" s="13" t="s">
        <v>25</v>
      </c>
      <c r="F53" s="13" t="s">
        <v>25</v>
      </c>
      <c r="G53" s="12" t="s">
        <v>94</v>
      </c>
      <c r="H53" s="12" t="s">
        <v>88</v>
      </c>
      <c r="I53" s="12">
        <f>SUMIF(Mercado_Receita!$S$2:$S$2285,"43739B1ConvencionalResidencialResidencial baixa renda – faixa 01Não se aplicaNão se aplicaPonta",Mercado_Receita!$L$2:$L$2285)+SUMIF(Mercado_Receita!$S$2:$S$2285,"43739B1ConvencionalResidencialResidencial baixa renda – faixa 01Não se aplicaNão se aplicaFora ponta",Mercado_Receita!$L$2:$L$2285)+SUMIF(Mercado_Receita!$S$2:$S$2285,"43739B1ConvencionalResidencialResidencial baixa renda – faixa 01Não se aplicaNão se aplicaIntermediário",Mercado_Receita!$L$2:$L$2285)+SUMIF(Mercado_Receita!$S$2:$S$2285,"43739B1ConvencionalResidencialResidencial baixa renda – faixa 01Não se aplicaNão se aplicaNão se aplica",Mercado_Receita!$L$2:$L$2285)</f>
        <v>260.07</v>
      </c>
      <c r="J53" s="12">
        <f>SUMIF(Mercado_Receita!$S$2:$S$2285,"43770B1ConvencionalResidencialResidencial baixa renda – faixa 01Não se aplicaNão se aplicaPonta",Mercado_Receita!$L$2:$L$2285)+SUMIF(Mercado_Receita!$S$2:$S$2285,"43770B1ConvencionalResidencialResidencial baixa renda – faixa 01Não se aplicaNão se aplicaFora ponta",Mercado_Receita!$L$2:$L$2285)+SUMIF(Mercado_Receita!$S$2:$S$2285,"43770B1ConvencionalResidencialResidencial baixa renda – faixa 01Não se aplicaNão se aplicaIntermediário",Mercado_Receita!$L$2:$L$2285)+SUMIF(Mercado_Receita!$S$2:$S$2285,"43770B1ConvencionalResidencialResidencial baixa renda – faixa 01Não se aplicaNão se aplicaNão se aplica",Mercado_Receita!$L$2:$L$2285)</f>
        <v>266.25</v>
      </c>
      <c r="K53" s="12">
        <f>SUMIF(Mercado_Receita!$S$2:$S$2285,"43800B1ConvencionalResidencialResidencial baixa renda – faixa 01Não se aplicaNão se aplicaPonta",Mercado_Receita!$L$2:$L$2285)+SUMIF(Mercado_Receita!$S$2:$S$2285,"43800B1ConvencionalResidencialResidencial baixa renda – faixa 01Não se aplicaNão se aplicaFora ponta",Mercado_Receita!$L$2:$L$2285)+SUMIF(Mercado_Receita!$S$2:$S$2285,"43800B1ConvencionalResidencialResidencial baixa renda – faixa 01Não se aplicaNão se aplicaIntermediário",Mercado_Receita!$L$2:$L$2285)+SUMIF(Mercado_Receita!$S$2:$S$2285,"43800B1ConvencionalResidencialResidencial baixa renda – faixa 01Não se aplicaNão se aplicaNão se aplica",Mercado_Receita!$L$2:$L$2285)</f>
        <v>272.67</v>
      </c>
      <c r="L53" s="12">
        <f>SUMIF(Mercado_Receita!$S$2:$S$2285,"43831B1ConvencionalResidencialResidencial baixa renda – faixa 01Não se aplicaNão se aplicaPonta",Mercado_Receita!$L$2:$L$2285)+SUMIF(Mercado_Receita!$S$2:$S$2285,"43831B1ConvencionalResidencialResidencial baixa renda – faixa 01Não se aplicaNão se aplicaFora ponta",Mercado_Receita!$L$2:$L$2285)+SUMIF(Mercado_Receita!$S$2:$S$2285,"43831B1ConvencionalResidencialResidencial baixa renda – faixa 01Não se aplicaNão se aplicaIntermediário",Mercado_Receita!$L$2:$L$2285)+SUMIF(Mercado_Receita!$S$2:$S$2285,"43831B1ConvencionalResidencialResidencial baixa renda – faixa 01Não se aplicaNão se aplicaNão se aplica",Mercado_Receita!$L$2:$L$2285)</f>
        <v>275.82</v>
      </c>
      <c r="M53" s="12">
        <f>SUMIF(Mercado_Receita!$S$2:$S$2285,"43862B1ConvencionalResidencialResidencial baixa renda – faixa 01Não se aplicaNão se aplicaPonta",Mercado_Receita!$L$2:$L$2285)+SUMIF(Mercado_Receita!$S$2:$S$2285,"43862B1ConvencionalResidencialResidencial baixa renda – faixa 01Não se aplicaNão se aplicaFora ponta",Mercado_Receita!$L$2:$L$2285)+SUMIF(Mercado_Receita!$S$2:$S$2285,"43862B1ConvencionalResidencialResidencial baixa renda – faixa 01Não se aplicaNão se aplicaIntermediário",Mercado_Receita!$L$2:$L$2285)+SUMIF(Mercado_Receita!$S$2:$S$2285,"43862B1ConvencionalResidencialResidencial baixa renda – faixa 01Não se aplicaNão se aplicaNão se aplica",Mercado_Receita!$L$2:$L$2285)</f>
        <v>276.45</v>
      </c>
      <c r="N53" s="12">
        <f>SUMIF(Mercado_Receita!$S$2:$S$2285,"43891B1ConvencionalResidencialResidencial baixa renda – faixa 01Não se aplicaNão se aplicaPonta",Mercado_Receita!$L$2:$L$2285)+SUMIF(Mercado_Receita!$S$2:$S$2285,"43891B1ConvencionalResidencialResidencial baixa renda – faixa 01Não se aplicaNão se aplicaFora ponta",Mercado_Receita!$L$2:$L$2285)+SUMIF(Mercado_Receita!$S$2:$S$2285,"43891B1ConvencionalResidencialResidencial baixa renda – faixa 01Não se aplicaNão se aplicaIntermediário",Mercado_Receita!$L$2:$L$2285)+SUMIF(Mercado_Receita!$S$2:$S$2285,"43891B1ConvencionalResidencialResidencial baixa renda – faixa 01Não se aplicaNão se aplicaNão se aplica",Mercado_Receita!$L$2:$L$2285)</f>
        <v>256.59000000000003</v>
      </c>
      <c r="O53" s="12">
        <f>SUMIF(Mercado_Receita!$S$2:$S$2285,"43922B1ConvencionalResidencialResidencial baixa renda – faixa 01Não se aplicaNão se aplicaPonta",Mercado_Receita!$L$2:$L$2285)+SUMIF(Mercado_Receita!$S$2:$S$2285,"43922B1ConvencionalResidencialResidencial baixa renda – faixa 01Não se aplicaNão se aplicaFora ponta",Mercado_Receita!$L$2:$L$2285)+SUMIF(Mercado_Receita!$S$2:$S$2285,"43922B1ConvencionalResidencialResidencial baixa renda – faixa 01Não se aplicaNão se aplicaIntermediário",Mercado_Receita!$L$2:$L$2285)+SUMIF(Mercado_Receita!$S$2:$S$2285,"43922B1ConvencionalResidencialResidencial baixa renda – faixa 01Não se aplicaNão se aplicaNão se aplica",Mercado_Receita!$L$2:$L$2285)</f>
        <v>252.9</v>
      </c>
      <c r="P53" s="12">
        <f>SUMIF(Mercado_Receita!$S$2:$S$2285,"43952B1ConvencionalResidencialResidencial baixa renda – faixa 01Não se aplicaNão se aplicaPonta",Mercado_Receita!$L$2:$L$2285)+SUMIF(Mercado_Receita!$S$2:$S$2285,"43952B1ConvencionalResidencialResidencial baixa renda – faixa 01Não se aplicaNão se aplicaFora ponta",Mercado_Receita!$L$2:$L$2285)+SUMIF(Mercado_Receita!$S$2:$S$2285,"43952B1ConvencionalResidencialResidencial baixa renda – faixa 01Não se aplicaNão se aplicaIntermediário",Mercado_Receita!$L$2:$L$2285)+SUMIF(Mercado_Receita!$S$2:$S$2285,"43952B1ConvencionalResidencialResidencial baixa renda – faixa 01Não se aplicaNão se aplicaNão se aplica",Mercado_Receita!$L$2:$L$2285)</f>
        <v>300.69</v>
      </c>
      <c r="Q53" s="12">
        <f>SUMIF(Mercado_Receita!$S$2:$S$2285,"43983B1ConvencionalResidencialResidencial baixa renda – faixa 01Não se aplicaNão se aplicaPonta",Mercado_Receita!$L$2:$L$2285)+SUMIF(Mercado_Receita!$S$2:$S$2285,"43983B1ConvencionalResidencialResidencial baixa renda – faixa 01Não se aplicaNão se aplicaFora ponta",Mercado_Receita!$L$2:$L$2285)+SUMIF(Mercado_Receita!$S$2:$S$2285,"43983B1ConvencionalResidencialResidencial baixa renda – faixa 01Não se aplicaNão se aplicaIntermediário",Mercado_Receita!$L$2:$L$2285)+SUMIF(Mercado_Receita!$S$2:$S$2285,"43983B1ConvencionalResidencialResidencial baixa renda – faixa 01Não se aplicaNão se aplicaNão se aplica",Mercado_Receita!$L$2:$L$2285)</f>
        <v>324.33</v>
      </c>
      <c r="R53" s="12">
        <f>SUMIF(Mercado_Receita!$S$2:$S$2285,"44013B1ConvencionalResidencialResidencial baixa renda – faixa 01Não se aplicaNão se aplicaPonta",Mercado_Receita!$L$2:$L$2285)+SUMIF(Mercado_Receita!$S$2:$S$2285,"44013B1ConvencionalResidencialResidencial baixa renda – faixa 01Não se aplicaNão se aplicaFora ponta",Mercado_Receita!$L$2:$L$2285)+SUMIF(Mercado_Receita!$S$2:$S$2285,"44013B1ConvencionalResidencialResidencial baixa renda – faixa 01Não se aplicaNão se aplicaIntermediário",Mercado_Receita!$L$2:$L$2285)+SUMIF(Mercado_Receita!$S$2:$S$2285,"44013B1ConvencionalResidencialResidencial baixa renda – faixa 01Não se aplicaNão se aplicaNão se aplica",Mercado_Receita!$L$2:$L$2285)</f>
        <v>336.6</v>
      </c>
      <c r="S53" s="12">
        <f>SUMIF(Mercado_Receita!$S$2:$S$2285,"44044B1ConvencionalResidencialResidencial baixa renda – faixa 01Não se aplicaNão se aplicaPonta",Mercado_Receita!$L$2:$L$2285)+SUMIF(Mercado_Receita!$S$2:$S$2285,"44044B1ConvencionalResidencialResidencial baixa renda – faixa 01Não se aplicaNão se aplicaFora ponta",Mercado_Receita!$L$2:$L$2285)+SUMIF(Mercado_Receita!$S$2:$S$2285,"44044B1ConvencionalResidencialResidencial baixa renda – faixa 01Não se aplicaNão se aplicaIntermediário",Mercado_Receita!$L$2:$L$2285)+SUMIF(Mercado_Receita!$S$2:$S$2285,"44044B1ConvencionalResidencialResidencial baixa renda – faixa 01Não se aplicaNão se aplicaNão se aplica",Mercado_Receita!$L$2:$L$2285)</f>
        <v>342.3</v>
      </c>
      <c r="T53" s="12">
        <f>SUMIF(Mercado_Receita!$S$2:$S$2285,"44075B1ConvencionalResidencialResidencial baixa renda – faixa 01Não se aplicaNão se aplicaPonta",Mercado_Receita!$L$2:$L$2285)+SUMIF(Mercado_Receita!$S$2:$S$2285,"44075B1ConvencionalResidencialResidencial baixa renda – faixa 01Não se aplicaNão se aplicaFora ponta",Mercado_Receita!$L$2:$L$2285)+SUMIF(Mercado_Receita!$S$2:$S$2285,"44075B1ConvencionalResidencialResidencial baixa renda – faixa 01Não se aplicaNão se aplicaIntermediário",Mercado_Receita!$L$2:$L$2285)+SUMIF(Mercado_Receita!$S$2:$S$2285,"44075B1ConvencionalResidencialResidencial baixa renda – faixa 01Não se aplicaNão se aplicaNão se aplica",Mercado_Receita!$L$2:$L$2285)</f>
        <v>342.3</v>
      </c>
      <c r="U53" s="12">
        <f t="shared" si="1"/>
        <v>3506.9700000000003</v>
      </c>
      <c r="V53" s="12"/>
      <c r="W53" s="12"/>
    </row>
    <row r="54" spans="1:23" ht="11.25" customHeight="1" x14ac:dyDescent="0.25">
      <c r="A54" s="105"/>
      <c r="B54" s="105"/>
      <c r="C54" s="105"/>
      <c r="D54" s="13" t="s">
        <v>30</v>
      </c>
      <c r="E54" s="13" t="s">
        <v>25</v>
      </c>
      <c r="F54" s="13" t="s">
        <v>25</v>
      </c>
      <c r="G54" s="12" t="s">
        <v>94</v>
      </c>
      <c r="H54" s="12" t="s">
        <v>88</v>
      </c>
      <c r="I54" s="12">
        <f>SUMIF(Mercado_Receita!$S$2:$S$2285,"43739B1ConvencionalResidencialResidencial baixa renda – faixa 02Não se aplicaNão se aplicaPonta",Mercado_Receita!$L$2:$L$2285)+SUMIF(Mercado_Receita!$S$2:$S$2285,"43739B1ConvencionalResidencialResidencial baixa renda – faixa 02Não se aplicaNão se aplicaFora ponta",Mercado_Receita!$L$2:$L$2285)+SUMIF(Mercado_Receita!$S$2:$S$2285,"43739B1ConvencionalResidencialResidencial baixa renda – faixa 02Não se aplicaNão se aplicaIntermediário",Mercado_Receita!$L$2:$L$2285)+SUMIF(Mercado_Receita!$S$2:$S$2285,"43739B1ConvencionalResidencialResidencial baixa renda – faixa 02Não se aplicaNão se aplicaNão se aplica",Mercado_Receita!$L$2:$L$2285)</f>
        <v>544.12899999999991</v>
      </c>
      <c r="J54" s="12">
        <f>SUMIF(Mercado_Receita!$S$2:$S$2285,"43770B1ConvencionalResidencialResidencial baixa renda – faixa 02Não se aplicaNão se aplicaPonta",Mercado_Receita!$L$2:$L$2285)+SUMIF(Mercado_Receita!$S$2:$S$2285,"43770B1ConvencionalResidencialResidencial baixa renda – faixa 02Não se aplicaNão se aplicaFora ponta",Mercado_Receita!$L$2:$L$2285)+SUMIF(Mercado_Receita!$S$2:$S$2285,"43770B1ConvencionalResidencialResidencial baixa renda – faixa 02Não se aplicaNão se aplicaIntermediário",Mercado_Receita!$L$2:$L$2285)+SUMIF(Mercado_Receita!$S$2:$S$2285,"43770B1ConvencionalResidencialResidencial baixa renda – faixa 02Não se aplicaNão se aplicaNão se aplica",Mercado_Receita!$L$2:$L$2285)</f>
        <v>566.94899999999996</v>
      </c>
      <c r="K54" s="12">
        <f>SUMIF(Mercado_Receita!$S$2:$S$2285,"43800B1ConvencionalResidencialResidencial baixa renda – faixa 02Não se aplicaNão se aplicaPonta",Mercado_Receita!$L$2:$L$2285)+SUMIF(Mercado_Receita!$S$2:$S$2285,"43800B1ConvencionalResidencialResidencial baixa renda – faixa 02Não se aplicaNão se aplicaFora ponta",Mercado_Receita!$L$2:$L$2285)+SUMIF(Mercado_Receita!$S$2:$S$2285,"43800B1ConvencionalResidencialResidencial baixa renda – faixa 02Não se aplicaNão se aplicaIntermediário",Mercado_Receita!$L$2:$L$2285)+SUMIF(Mercado_Receita!$S$2:$S$2285,"43800B1ConvencionalResidencialResidencial baixa renda – faixa 02Não se aplicaNão se aplicaNão se aplica",Mercado_Receita!$L$2:$L$2285)</f>
        <v>561.93999999999994</v>
      </c>
      <c r="L54" s="12">
        <f>SUMIF(Mercado_Receita!$S$2:$S$2285,"43831B1ConvencionalResidencialResidencial baixa renda – faixa 02Não se aplicaNão se aplicaPonta",Mercado_Receita!$L$2:$L$2285)+SUMIF(Mercado_Receita!$S$2:$S$2285,"43831B1ConvencionalResidencialResidencial baixa renda – faixa 02Não se aplicaNão se aplicaFora ponta",Mercado_Receita!$L$2:$L$2285)+SUMIF(Mercado_Receita!$S$2:$S$2285,"43831B1ConvencionalResidencialResidencial baixa renda – faixa 02Não se aplicaNão se aplicaIntermediário",Mercado_Receita!$L$2:$L$2285)+SUMIF(Mercado_Receita!$S$2:$S$2285,"43831B1ConvencionalResidencialResidencial baixa renda – faixa 02Não se aplicaNão se aplicaNão se aplica",Mercado_Receita!$L$2:$L$2285)</f>
        <v>572.33699999999999</v>
      </c>
      <c r="M54" s="12">
        <f>SUMIF(Mercado_Receita!$S$2:$S$2285,"43862B1ConvencionalResidencialResidencial baixa renda – faixa 02Não se aplicaNão se aplicaPonta",Mercado_Receita!$L$2:$L$2285)+SUMIF(Mercado_Receita!$S$2:$S$2285,"43862B1ConvencionalResidencialResidencial baixa renda – faixa 02Não se aplicaNão se aplicaFora ponta",Mercado_Receita!$L$2:$L$2285)+SUMIF(Mercado_Receita!$S$2:$S$2285,"43862B1ConvencionalResidencialResidencial baixa renda – faixa 02Não se aplicaNão se aplicaIntermediário",Mercado_Receita!$L$2:$L$2285)+SUMIF(Mercado_Receita!$S$2:$S$2285,"43862B1ConvencionalResidencialResidencial baixa renda – faixa 02Não se aplicaNão se aplicaNão se aplica",Mercado_Receita!$L$2:$L$2285)</f>
        <v>564.67499999999995</v>
      </c>
      <c r="N54" s="12">
        <f>SUMIF(Mercado_Receita!$S$2:$S$2285,"43891B1ConvencionalResidencialResidencial baixa renda – faixa 02Não se aplicaNão se aplicaPonta",Mercado_Receita!$L$2:$L$2285)+SUMIF(Mercado_Receita!$S$2:$S$2285,"43891B1ConvencionalResidencialResidencial baixa renda – faixa 02Não se aplicaNão se aplicaFora ponta",Mercado_Receita!$L$2:$L$2285)+SUMIF(Mercado_Receita!$S$2:$S$2285,"43891B1ConvencionalResidencialResidencial baixa renda – faixa 02Não se aplicaNão se aplicaIntermediário",Mercado_Receita!$L$2:$L$2285)+SUMIF(Mercado_Receita!$S$2:$S$2285,"43891B1ConvencionalResidencialResidencial baixa renda – faixa 02Não se aplicaNão se aplicaNão se aplica",Mercado_Receita!$L$2:$L$2285)</f>
        <v>533.08199999999999</v>
      </c>
      <c r="O54" s="12">
        <f>SUMIF(Mercado_Receita!$S$2:$S$2285,"43922B1ConvencionalResidencialResidencial baixa renda – faixa 02Não se aplicaNão se aplicaPonta",Mercado_Receita!$L$2:$L$2285)+SUMIF(Mercado_Receita!$S$2:$S$2285,"43922B1ConvencionalResidencialResidencial baixa renda – faixa 02Não se aplicaNão se aplicaFora ponta",Mercado_Receita!$L$2:$L$2285)+SUMIF(Mercado_Receita!$S$2:$S$2285,"43922B1ConvencionalResidencialResidencial baixa renda – faixa 02Não se aplicaNão se aplicaIntermediário",Mercado_Receita!$L$2:$L$2285)+SUMIF(Mercado_Receita!$S$2:$S$2285,"43922B1ConvencionalResidencialResidencial baixa renda – faixa 02Não se aplicaNão se aplicaNão se aplica",Mercado_Receita!$L$2:$L$2285)</f>
        <v>538.43799999999999</v>
      </c>
      <c r="P54" s="12">
        <f>SUMIF(Mercado_Receita!$S$2:$S$2285,"43952B1ConvencionalResidencialResidencial baixa renda – faixa 02Não se aplicaNão se aplicaPonta",Mercado_Receita!$L$2:$L$2285)+SUMIF(Mercado_Receita!$S$2:$S$2285,"43952B1ConvencionalResidencialResidencial baixa renda – faixa 02Não se aplicaNão se aplicaFora ponta",Mercado_Receita!$L$2:$L$2285)+SUMIF(Mercado_Receita!$S$2:$S$2285,"43952B1ConvencionalResidencialResidencial baixa renda – faixa 02Não se aplicaNão se aplicaIntermediário",Mercado_Receita!$L$2:$L$2285)+SUMIF(Mercado_Receita!$S$2:$S$2285,"43952B1ConvencionalResidencialResidencial baixa renda – faixa 02Não se aplicaNão se aplicaNão se aplica",Mercado_Receita!$L$2:$L$2285)</f>
        <v>641.60900000000004</v>
      </c>
      <c r="Q54" s="12">
        <f>SUMIF(Mercado_Receita!$S$2:$S$2285,"43983B1ConvencionalResidencialResidencial baixa renda – faixa 02Não se aplicaNão se aplicaPonta",Mercado_Receita!$L$2:$L$2285)+SUMIF(Mercado_Receita!$S$2:$S$2285,"43983B1ConvencionalResidencialResidencial baixa renda – faixa 02Não se aplicaNão se aplicaFora ponta",Mercado_Receita!$L$2:$L$2285)+SUMIF(Mercado_Receita!$S$2:$S$2285,"43983B1ConvencionalResidencialResidencial baixa renda – faixa 02Não se aplicaNão se aplicaIntermediário",Mercado_Receita!$L$2:$L$2285)+SUMIF(Mercado_Receita!$S$2:$S$2285,"43983B1ConvencionalResidencialResidencial baixa renda – faixa 02Não se aplicaNão se aplicaNão se aplica",Mercado_Receita!$L$2:$L$2285)</f>
        <v>683.85500000000002</v>
      </c>
      <c r="R54" s="12">
        <f>SUMIF(Mercado_Receita!$S$2:$S$2285,"44013B1ConvencionalResidencialResidencial baixa renda – faixa 02Não se aplicaNão se aplicaPonta",Mercado_Receita!$L$2:$L$2285)+SUMIF(Mercado_Receita!$S$2:$S$2285,"44013B1ConvencionalResidencialResidencial baixa renda – faixa 02Não se aplicaNão se aplicaFora ponta",Mercado_Receita!$L$2:$L$2285)+SUMIF(Mercado_Receita!$S$2:$S$2285,"44013B1ConvencionalResidencialResidencial baixa renda – faixa 02Não se aplicaNão se aplicaIntermediário",Mercado_Receita!$L$2:$L$2285)+SUMIF(Mercado_Receita!$S$2:$S$2285,"44013B1ConvencionalResidencialResidencial baixa renda – faixa 02Não se aplicaNão se aplicaNão se aplica",Mercado_Receita!$L$2:$L$2285)</f>
        <v>714.69399999999996</v>
      </c>
      <c r="S54" s="12">
        <f>SUMIF(Mercado_Receita!$S$2:$S$2285,"44044B1ConvencionalResidencialResidencial baixa renda – faixa 02Não se aplicaNão se aplicaPonta",Mercado_Receita!$L$2:$L$2285)+SUMIF(Mercado_Receita!$S$2:$S$2285,"44044B1ConvencionalResidencialResidencial baixa renda – faixa 02Não se aplicaNão se aplicaFora ponta",Mercado_Receita!$L$2:$L$2285)+SUMIF(Mercado_Receita!$S$2:$S$2285,"44044B1ConvencionalResidencialResidencial baixa renda – faixa 02Não se aplicaNão se aplicaIntermediário",Mercado_Receita!$L$2:$L$2285)+SUMIF(Mercado_Receita!$S$2:$S$2285,"44044B1ConvencionalResidencialResidencial baixa renda – faixa 02Não se aplicaNão se aplicaNão se aplica",Mercado_Receita!$L$2:$L$2285)</f>
        <v>736.97400000000005</v>
      </c>
      <c r="T54" s="12">
        <f>SUMIF(Mercado_Receita!$S$2:$S$2285,"44075B1ConvencionalResidencialResidencial baixa renda – faixa 02Não se aplicaNão se aplicaPonta",Mercado_Receita!$L$2:$L$2285)+SUMIF(Mercado_Receita!$S$2:$S$2285,"44075B1ConvencionalResidencialResidencial baixa renda – faixa 02Não se aplicaNão se aplicaFora ponta",Mercado_Receita!$L$2:$L$2285)+SUMIF(Mercado_Receita!$S$2:$S$2285,"44075B1ConvencionalResidencialResidencial baixa renda – faixa 02Não se aplicaNão se aplicaIntermediário",Mercado_Receita!$L$2:$L$2285)+SUMIF(Mercado_Receita!$S$2:$S$2285,"44075B1ConvencionalResidencialResidencial baixa renda – faixa 02Não se aplicaNão se aplicaNão se aplica",Mercado_Receita!$L$2:$L$2285)</f>
        <v>736.97400000000005</v>
      </c>
      <c r="U54" s="12">
        <f t="shared" si="1"/>
        <v>7395.655999999999</v>
      </c>
      <c r="V54" s="12"/>
      <c r="W54" s="12"/>
    </row>
    <row r="55" spans="1:23" ht="11.25" customHeight="1" x14ac:dyDescent="0.25">
      <c r="A55" s="105"/>
      <c r="B55" s="105"/>
      <c r="C55" s="105"/>
      <c r="D55" s="13" t="s">
        <v>31</v>
      </c>
      <c r="E55" s="13" t="s">
        <v>25</v>
      </c>
      <c r="F55" s="13" t="s">
        <v>25</v>
      </c>
      <c r="G55" s="12" t="s">
        <v>94</v>
      </c>
      <c r="H55" s="12" t="s">
        <v>88</v>
      </c>
      <c r="I55" s="12">
        <f>SUMIF(Mercado_Receita!$S$2:$S$2285,"43739B1ConvencionalResidencialResidencial baixa renda – faixa 03Não se aplicaNão se aplicaPonta",Mercado_Receita!$L$2:$L$2285)+SUMIF(Mercado_Receita!$S$2:$S$2285,"43739B1ConvencionalResidencialResidencial baixa renda – faixa 03Não se aplicaNão se aplicaFora ponta",Mercado_Receita!$L$2:$L$2285)+SUMIF(Mercado_Receita!$S$2:$S$2285,"43739B1ConvencionalResidencialResidencial baixa renda – faixa 03Não se aplicaNão se aplicaIntermediário",Mercado_Receita!$L$2:$L$2285)+SUMIF(Mercado_Receita!$S$2:$S$2285,"43739B1ConvencionalResidencialResidencial baixa renda – faixa 03Não se aplicaNão se aplicaNão se aplica",Mercado_Receita!$L$2:$L$2285)</f>
        <v>522.47500000000002</v>
      </c>
      <c r="J55" s="12">
        <f>SUMIF(Mercado_Receita!$S$2:$S$2285,"43770B1ConvencionalResidencialResidencial baixa renda – faixa 03Não se aplicaNão se aplicaPonta",Mercado_Receita!$L$2:$L$2285)+SUMIF(Mercado_Receita!$S$2:$S$2285,"43770B1ConvencionalResidencialResidencial baixa renda – faixa 03Não se aplicaNão se aplicaFora ponta",Mercado_Receita!$L$2:$L$2285)+SUMIF(Mercado_Receita!$S$2:$S$2285,"43770B1ConvencionalResidencialResidencial baixa renda – faixa 03Não se aplicaNão se aplicaIntermediário",Mercado_Receita!$L$2:$L$2285)+SUMIF(Mercado_Receita!$S$2:$S$2285,"43770B1ConvencionalResidencialResidencial baixa renda – faixa 03Não se aplicaNão se aplicaNão se aplica",Mercado_Receita!$L$2:$L$2285)</f>
        <v>592.29000000000008</v>
      </c>
      <c r="K55" s="12">
        <f>SUMIF(Mercado_Receita!$S$2:$S$2285,"43800B1ConvencionalResidencialResidencial baixa renda – faixa 03Não se aplicaNão se aplicaPonta",Mercado_Receita!$L$2:$L$2285)+SUMIF(Mercado_Receita!$S$2:$S$2285,"43800B1ConvencionalResidencialResidencial baixa renda – faixa 03Não se aplicaNão se aplicaFora ponta",Mercado_Receita!$L$2:$L$2285)+SUMIF(Mercado_Receita!$S$2:$S$2285,"43800B1ConvencionalResidencialResidencial baixa renda – faixa 03Não se aplicaNão se aplicaIntermediário",Mercado_Receita!$L$2:$L$2285)+SUMIF(Mercado_Receita!$S$2:$S$2285,"43800B1ConvencionalResidencialResidencial baixa renda – faixa 03Não se aplicaNão se aplicaNão se aplica",Mercado_Receita!$L$2:$L$2285)</f>
        <v>497.56099999999998</v>
      </c>
      <c r="L55" s="12">
        <f>SUMIF(Mercado_Receita!$S$2:$S$2285,"43831B1ConvencionalResidencialResidencial baixa renda – faixa 03Não se aplicaNão se aplicaPonta",Mercado_Receita!$L$2:$L$2285)+SUMIF(Mercado_Receita!$S$2:$S$2285,"43831B1ConvencionalResidencialResidencial baixa renda – faixa 03Não se aplicaNão se aplicaFora ponta",Mercado_Receita!$L$2:$L$2285)+SUMIF(Mercado_Receita!$S$2:$S$2285,"43831B1ConvencionalResidencialResidencial baixa renda – faixa 03Não se aplicaNão se aplicaIntermediário",Mercado_Receita!$L$2:$L$2285)+SUMIF(Mercado_Receita!$S$2:$S$2285,"43831B1ConvencionalResidencialResidencial baixa renda – faixa 03Não se aplicaNão se aplicaNão se aplica",Mercado_Receita!$L$2:$L$2285)</f>
        <v>572.61199999999997</v>
      </c>
      <c r="M55" s="12">
        <f>SUMIF(Mercado_Receita!$S$2:$S$2285,"43862B1ConvencionalResidencialResidencial baixa renda – faixa 03Não se aplicaNão se aplicaPonta",Mercado_Receita!$L$2:$L$2285)+SUMIF(Mercado_Receita!$S$2:$S$2285,"43862B1ConvencionalResidencialResidencial baixa renda – faixa 03Não se aplicaNão se aplicaFora ponta",Mercado_Receita!$L$2:$L$2285)+SUMIF(Mercado_Receita!$S$2:$S$2285,"43862B1ConvencionalResidencialResidencial baixa renda – faixa 03Não se aplicaNão se aplicaIntermediário",Mercado_Receita!$L$2:$L$2285)+SUMIF(Mercado_Receita!$S$2:$S$2285,"43862B1ConvencionalResidencialResidencial baixa renda – faixa 03Não se aplicaNão se aplicaNão se aplica",Mercado_Receita!$L$2:$L$2285)</f>
        <v>504.05099999999999</v>
      </c>
      <c r="N55" s="12">
        <f>SUMIF(Mercado_Receita!$S$2:$S$2285,"43891B1ConvencionalResidencialResidencial baixa renda – faixa 03Não se aplicaNão se aplicaPonta",Mercado_Receita!$L$2:$L$2285)+SUMIF(Mercado_Receita!$S$2:$S$2285,"43891B1ConvencionalResidencialResidencial baixa renda – faixa 03Não se aplicaNão se aplicaFora ponta",Mercado_Receita!$L$2:$L$2285)+SUMIF(Mercado_Receita!$S$2:$S$2285,"43891B1ConvencionalResidencialResidencial baixa renda – faixa 03Não se aplicaNão se aplicaIntermediário",Mercado_Receita!$L$2:$L$2285)+SUMIF(Mercado_Receita!$S$2:$S$2285,"43891B1ConvencionalResidencialResidencial baixa renda – faixa 03Não se aplicaNão se aplicaNão se aplica",Mercado_Receita!$L$2:$L$2285)</f>
        <v>494.84899999999999</v>
      </c>
      <c r="O55" s="12">
        <f>SUMIF(Mercado_Receita!$S$2:$S$2285,"43922B1ConvencionalResidencialResidencial baixa renda – faixa 03Não se aplicaNão se aplicaPonta",Mercado_Receita!$L$2:$L$2285)+SUMIF(Mercado_Receita!$S$2:$S$2285,"43922B1ConvencionalResidencialResidencial baixa renda – faixa 03Não se aplicaNão se aplicaFora ponta",Mercado_Receita!$L$2:$L$2285)+SUMIF(Mercado_Receita!$S$2:$S$2285,"43922B1ConvencionalResidencialResidencial baixa renda – faixa 03Não se aplicaNão se aplicaIntermediário",Mercado_Receita!$L$2:$L$2285)+SUMIF(Mercado_Receita!$S$2:$S$2285,"43922B1ConvencionalResidencialResidencial baixa renda – faixa 03Não se aplicaNão se aplicaNão se aplica",Mercado_Receita!$L$2:$L$2285)</f>
        <v>562.83400000000006</v>
      </c>
      <c r="P55" s="12">
        <f>SUMIF(Mercado_Receita!$S$2:$S$2285,"43952B1ConvencionalResidencialResidencial baixa renda – faixa 03Não se aplicaNão se aplicaPonta",Mercado_Receita!$L$2:$L$2285)+SUMIF(Mercado_Receita!$S$2:$S$2285,"43952B1ConvencionalResidencialResidencial baixa renda – faixa 03Não se aplicaNão se aplicaFora ponta",Mercado_Receita!$L$2:$L$2285)+SUMIF(Mercado_Receita!$S$2:$S$2285,"43952B1ConvencionalResidencialResidencial baixa renda – faixa 03Não se aplicaNão se aplicaIntermediário",Mercado_Receita!$L$2:$L$2285)+SUMIF(Mercado_Receita!$S$2:$S$2285,"43952B1ConvencionalResidencialResidencial baixa renda – faixa 03Não se aplicaNão se aplicaNão se aplica",Mercado_Receita!$L$2:$L$2285)</f>
        <v>660.42900000000009</v>
      </c>
      <c r="Q55" s="12">
        <f>SUMIF(Mercado_Receita!$S$2:$S$2285,"43983B1ConvencionalResidencialResidencial baixa renda – faixa 03Não se aplicaNão se aplicaPonta",Mercado_Receita!$L$2:$L$2285)+SUMIF(Mercado_Receita!$S$2:$S$2285,"43983B1ConvencionalResidencialResidencial baixa renda – faixa 03Não se aplicaNão se aplicaFora ponta",Mercado_Receita!$L$2:$L$2285)+SUMIF(Mercado_Receita!$S$2:$S$2285,"43983B1ConvencionalResidencialResidencial baixa renda – faixa 03Não se aplicaNão se aplicaIntermediário",Mercado_Receita!$L$2:$L$2285)+SUMIF(Mercado_Receita!$S$2:$S$2285,"43983B1ConvencionalResidencialResidencial baixa renda – faixa 03Não se aplicaNão se aplicaNão se aplica",Mercado_Receita!$L$2:$L$2285)</f>
        <v>632.58699999999999</v>
      </c>
      <c r="R55" s="12">
        <f>SUMIF(Mercado_Receita!$S$2:$S$2285,"44013B1ConvencionalResidencialResidencial baixa renda – faixa 03Não se aplicaNão se aplicaPonta",Mercado_Receita!$L$2:$L$2285)+SUMIF(Mercado_Receita!$S$2:$S$2285,"44013B1ConvencionalResidencialResidencial baixa renda – faixa 03Não se aplicaNão se aplicaFora ponta",Mercado_Receita!$L$2:$L$2285)+SUMIF(Mercado_Receita!$S$2:$S$2285,"44013B1ConvencionalResidencialResidencial baixa renda – faixa 03Não se aplicaNão se aplicaIntermediário",Mercado_Receita!$L$2:$L$2285)+SUMIF(Mercado_Receita!$S$2:$S$2285,"44013B1ConvencionalResidencialResidencial baixa renda – faixa 03Não se aplicaNão se aplicaNão se aplica",Mercado_Receita!$L$2:$L$2285)</f>
        <v>692.31700000000001</v>
      </c>
      <c r="S55" s="12">
        <f>SUMIF(Mercado_Receita!$S$2:$S$2285,"44044B1ConvencionalResidencialResidencial baixa renda – faixa 03Não se aplicaNão se aplicaPonta",Mercado_Receita!$L$2:$L$2285)+SUMIF(Mercado_Receita!$S$2:$S$2285,"44044B1ConvencionalResidencialResidencial baixa renda – faixa 03Não se aplicaNão se aplicaFora ponta",Mercado_Receita!$L$2:$L$2285)+SUMIF(Mercado_Receita!$S$2:$S$2285,"44044B1ConvencionalResidencialResidencial baixa renda – faixa 03Não se aplicaNão se aplicaIntermediário",Mercado_Receita!$L$2:$L$2285)+SUMIF(Mercado_Receita!$S$2:$S$2285,"44044B1ConvencionalResidencialResidencial baixa renda – faixa 03Não se aplicaNão se aplicaNão se aplica",Mercado_Receita!$L$2:$L$2285)</f>
        <v>781.678</v>
      </c>
      <c r="T55" s="12">
        <f>SUMIF(Mercado_Receita!$S$2:$S$2285,"44075B1ConvencionalResidencialResidencial baixa renda – faixa 03Não se aplicaNão se aplicaPonta",Mercado_Receita!$L$2:$L$2285)+SUMIF(Mercado_Receita!$S$2:$S$2285,"44075B1ConvencionalResidencialResidencial baixa renda – faixa 03Não se aplicaNão se aplicaFora ponta",Mercado_Receita!$L$2:$L$2285)+SUMIF(Mercado_Receita!$S$2:$S$2285,"44075B1ConvencionalResidencialResidencial baixa renda – faixa 03Não se aplicaNão se aplicaIntermediário",Mercado_Receita!$L$2:$L$2285)+SUMIF(Mercado_Receita!$S$2:$S$2285,"44075B1ConvencionalResidencialResidencial baixa renda – faixa 03Não se aplicaNão se aplicaNão se aplica",Mercado_Receita!$L$2:$L$2285)</f>
        <v>781.678</v>
      </c>
      <c r="U55" s="12">
        <f t="shared" si="1"/>
        <v>7295.3609999999999</v>
      </c>
      <c r="V55" s="12"/>
      <c r="W55" s="12"/>
    </row>
    <row r="56" spans="1:23" ht="11.25" customHeight="1" x14ac:dyDescent="0.25">
      <c r="A56" s="105"/>
      <c r="B56" s="105"/>
      <c r="C56" s="105"/>
      <c r="D56" s="13" t="s">
        <v>32</v>
      </c>
      <c r="E56" s="13" t="s">
        <v>25</v>
      </c>
      <c r="F56" s="13" t="s">
        <v>25</v>
      </c>
      <c r="G56" s="12" t="s">
        <v>94</v>
      </c>
      <c r="H56" s="12" t="s">
        <v>88</v>
      </c>
      <c r="I56" s="12">
        <f>SUMIF(Mercado_Receita!$S$2:$S$2285,"43739B1ConvencionalResidencialResidencial baixa renda – faixa 04Não se aplicaNão se aplicaPonta",Mercado_Receita!$L$2:$L$2285)+SUMIF(Mercado_Receita!$S$2:$S$2285,"43739B1ConvencionalResidencialResidencial baixa renda – faixa 04Não se aplicaNão se aplicaFora ponta",Mercado_Receita!$L$2:$L$2285)+SUMIF(Mercado_Receita!$S$2:$S$2285,"43739B1ConvencionalResidencialResidencial baixa renda – faixa 04Não se aplicaNão se aplicaIntermediário",Mercado_Receita!$L$2:$L$2285)+SUMIF(Mercado_Receita!$S$2:$S$2285,"43739B1ConvencionalResidencialResidencial baixa renda – faixa 04Não se aplicaNão se aplicaNão se aplica",Mercado_Receita!$L$2:$L$2285)</f>
        <v>187.886</v>
      </c>
      <c r="J56" s="12">
        <f>SUMIF(Mercado_Receita!$S$2:$S$2285,"43770B1ConvencionalResidencialResidencial baixa renda – faixa 04Não se aplicaNão se aplicaPonta",Mercado_Receita!$L$2:$L$2285)+SUMIF(Mercado_Receita!$S$2:$S$2285,"43770B1ConvencionalResidencialResidencial baixa renda – faixa 04Não se aplicaNão se aplicaFora ponta",Mercado_Receita!$L$2:$L$2285)+SUMIF(Mercado_Receita!$S$2:$S$2285,"43770B1ConvencionalResidencialResidencial baixa renda – faixa 04Não se aplicaNão se aplicaIntermediário",Mercado_Receita!$L$2:$L$2285)+SUMIF(Mercado_Receita!$S$2:$S$2285,"43770B1ConvencionalResidencialResidencial baixa renda – faixa 04Não se aplicaNão se aplicaNão se aplica",Mercado_Receita!$L$2:$L$2285)</f>
        <v>236.91400000000002</v>
      </c>
      <c r="K56" s="12">
        <f>SUMIF(Mercado_Receita!$S$2:$S$2285,"43800B1ConvencionalResidencialResidencial baixa renda – faixa 04Não se aplicaNão se aplicaPonta",Mercado_Receita!$L$2:$L$2285)+SUMIF(Mercado_Receita!$S$2:$S$2285,"43800B1ConvencionalResidencialResidencial baixa renda – faixa 04Não se aplicaNão se aplicaFora ponta",Mercado_Receita!$L$2:$L$2285)+SUMIF(Mercado_Receita!$S$2:$S$2285,"43800B1ConvencionalResidencialResidencial baixa renda – faixa 04Não se aplicaNão se aplicaIntermediário",Mercado_Receita!$L$2:$L$2285)+SUMIF(Mercado_Receita!$S$2:$S$2285,"43800B1ConvencionalResidencialResidencial baixa renda – faixa 04Não se aplicaNão se aplicaNão se aplica",Mercado_Receita!$L$2:$L$2285)</f>
        <v>149.327</v>
      </c>
      <c r="L56" s="12">
        <f>SUMIF(Mercado_Receita!$S$2:$S$2285,"43831B1ConvencionalResidencialResidencial baixa renda – faixa 04Não se aplicaNão se aplicaPonta",Mercado_Receita!$L$2:$L$2285)+SUMIF(Mercado_Receita!$S$2:$S$2285,"43831B1ConvencionalResidencialResidencial baixa renda – faixa 04Não se aplicaNão se aplicaFora ponta",Mercado_Receita!$L$2:$L$2285)+SUMIF(Mercado_Receita!$S$2:$S$2285,"43831B1ConvencionalResidencialResidencial baixa renda – faixa 04Não se aplicaNão se aplicaIntermediário",Mercado_Receita!$L$2:$L$2285)+SUMIF(Mercado_Receita!$S$2:$S$2285,"43831B1ConvencionalResidencialResidencial baixa renda – faixa 04Não se aplicaNão se aplicaNão se aplica",Mercado_Receita!$L$2:$L$2285)</f>
        <v>219.87700000000001</v>
      </c>
      <c r="M56" s="12">
        <f>SUMIF(Mercado_Receita!$S$2:$S$2285,"43862B1ConvencionalResidencialResidencial baixa renda – faixa 04Não se aplicaNão se aplicaPonta",Mercado_Receita!$L$2:$L$2285)+SUMIF(Mercado_Receita!$S$2:$S$2285,"43862B1ConvencionalResidencialResidencial baixa renda – faixa 04Não se aplicaNão se aplicaFora ponta",Mercado_Receita!$L$2:$L$2285)+SUMIF(Mercado_Receita!$S$2:$S$2285,"43862B1ConvencionalResidencialResidencial baixa renda – faixa 04Não se aplicaNão se aplicaIntermediário",Mercado_Receita!$L$2:$L$2285)+SUMIF(Mercado_Receita!$S$2:$S$2285,"43862B1ConvencionalResidencialResidencial baixa renda – faixa 04Não se aplicaNão se aplicaNão se aplica",Mercado_Receita!$L$2:$L$2285)</f>
        <v>154.23699999999999</v>
      </c>
      <c r="N56" s="12">
        <f>SUMIF(Mercado_Receita!$S$2:$S$2285,"43891B1ConvencionalResidencialResidencial baixa renda – faixa 04Não se aplicaNão se aplicaPonta",Mercado_Receita!$L$2:$L$2285)+SUMIF(Mercado_Receita!$S$2:$S$2285,"43891B1ConvencionalResidencialResidencial baixa renda – faixa 04Não se aplicaNão se aplicaFora ponta",Mercado_Receita!$L$2:$L$2285)+SUMIF(Mercado_Receita!$S$2:$S$2285,"43891B1ConvencionalResidencialResidencial baixa renda – faixa 04Não se aplicaNão se aplicaIntermediário",Mercado_Receita!$L$2:$L$2285)+SUMIF(Mercado_Receita!$S$2:$S$2285,"43891B1ConvencionalResidencialResidencial baixa renda – faixa 04Não se aplicaNão se aplicaNão se aplica",Mercado_Receita!$L$2:$L$2285)</f>
        <v>163.285</v>
      </c>
      <c r="O56" s="12">
        <f>SUMIF(Mercado_Receita!$S$2:$S$2285,"43922B1ConvencionalResidencialResidencial baixa renda – faixa 04Não se aplicaNão se aplicaPonta",Mercado_Receita!$L$2:$L$2285)+SUMIF(Mercado_Receita!$S$2:$S$2285,"43922B1ConvencionalResidencialResidencial baixa renda – faixa 04Não se aplicaNão se aplicaFora ponta",Mercado_Receita!$L$2:$L$2285)+SUMIF(Mercado_Receita!$S$2:$S$2285,"43922B1ConvencionalResidencialResidencial baixa renda – faixa 04Não se aplicaNão se aplicaIntermediário",Mercado_Receita!$L$2:$L$2285)+SUMIF(Mercado_Receita!$S$2:$S$2285,"43922B1ConvencionalResidencialResidencial baixa renda – faixa 04Não se aplicaNão se aplicaNão se aplica",Mercado_Receita!$L$2:$L$2285)</f>
        <v>228.446</v>
      </c>
      <c r="P56" s="12">
        <f>SUMIF(Mercado_Receita!$S$2:$S$2285,"43952B1ConvencionalResidencialResidencial baixa renda – faixa 04Não se aplicaNão se aplicaPonta",Mercado_Receita!$L$2:$L$2285)+SUMIF(Mercado_Receita!$S$2:$S$2285,"43952B1ConvencionalResidencialResidencial baixa renda – faixa 04Não se aplicaNão se aplicaFora ponta",Mercado_Receita!$L$2:$L$2285)+SUMIF(Mercado_Receita!$S$2:$S$2285,"43952B1ConvencionalResidencialResidencial baixa renda – faixa 04Não se aplicaNão se aplicaIntermediário",Mercado_Receita!$L$2:$L$2285)+SUMIF(Mercado_Receita!$S$2:$S$2285,"43952B1ConvencionalResidencialResidencial baixa renda – faixa 04Não se aplicaNão se aplicaNão se aplica",Mercado_Receita!$L$2:$L$2285)</f>
        <v>240.60499999999999</v>
      </c>
      <c r="Q56" s="12">
        <f>SUMIF(Mercado_Receita!$S$2:$S$2285,"43983B1ConvencionalResidencialResidencial baixa renda – faixa 04Não se aplicaNão se aplicaPonta",Mercado_Receita!$L$2:$L$2285)+SUMIF(Mercado_Receita!$S$2:$S$2285,"43983B1ConvencionalResidencialResidencial baixa renda – faixa 04Não se aplicaNão se aplicaFora ponta",Mercado_Receita!$L$2:$L$2285)+SUMIF(Mercado_Receita!$S$2:$S$2285,"43983B1ConvencionalResidencialResidencial baixa renda – faixa 04Não se aplicaNão se aplicaIntermediário",Mercado_Receita!$L$2:$L$2285)+SUMIF(Mercado_Receita!$S$2:$S$2285,"43983B1ConvencionalResidencialResidencial baixa renda – faixa 04Não se aplicaNão se aplicaNão se aplica",Mercado_Receita!$L$2:$L$2285)</f>
        <v>181.77500000000001</v>
      </c>
      <c r="R56" s="12">
        <f>SUMIF(Mercado_Receita!$S$2:$S$2285,"44013B1ConvencionalResidencialResidencial baixa renda – faixa 04Não se aplicaNão se aplicaPonta",Mercado_Receita!$L$2:$L$2285)+SUMIF(Mercado_Receita!$S$2:$S$2285,"44013B1ConvencionalResidencialResidencial baixa renda – faixa 04Não se aplicaNão se aplicaFora ponta",Mercado_Receita!$L$2:$L$2285)+SUMIF(Mercado_Receita!$S$2:$S$2285,"44013B1ConvencionalResidencialResidencial baixa renda – faixa 04Não se aplicaNão se aplicaIntermediário",Mercado_Receita!$L$2:$L$2285)+SUMIF(Mercado_Receita!$S$2:$S$2285,"44013B1ConvencionalResidencialResidencial baixa renda – faixa 04Não se aplicaNão se aplicaNão se aplica",Mercado_Receita!$L$2:$L$2285)</f>
        <v>224.56400000000002</v>
      </c>
      <c r="S56" s="12">
        <f>SUMIF(Mercado_Receita!$S$2:$S$2285,"44044B1ConvencionalResidencialResidencial baixa renda – faixa 04Não se aplicaNão se aplicaPonta",Mercado_Receita!$L$2:$L$2285)+SUMIF(Mercado_Receita!$S$2:$S$2285,"44044B1ConvencionalResidencialResidencial baixa renda – faixa 04Não se aplicaNão se aplicaFora ponta",Mercado_Receita!$L$2:$L$2285)+SUMIF(Mercado_Receita!$S$2:$S$2285,"44044B1ConvencionalResidencialResidencial baixa renda – faixa 04Não se aplicaNão se aplicaIntermediário",Mercado_Receita!$L$2:$L$2285)+SUMIF(Mercado_Receita!$S$2:$S$2285,"44044B1ConvencionalResidencialResidencial baixa renda – faixa 04Não se aplicaNão se aplicaNão se aplica",Mercado_Receita!$L$2:$L$2285)</f>
        <v>307.745</v>
      </c>
      <c r="T56" s="12">
        <f>SUMIF(Mercado_Receita!$S$2:$S$2285,"44075B1ConvencionalResidencialResidencial baixa renda – faixa 04Não se aplicaNão se aplicaPonta",Mercado_Receita!$L$2:$L$2285)+SUMIF(Mercado_Receita!$S$2:$S$2285,"44075B1ConvencionalResidencialResidencial baixa renda – faixa 04Não se aplicaNão se aplicaFora ponta",Mercado_Receita!$L$2:$L$2285)+SUMIF(Mercado_Receita!$S$2:$S$2285,"44075B1ConvencionalResidencialResidencial baixa renda – faixa 04Não se aplicaNão se aplicaIntermediário",Mercado_Receita!$L$2:$L$2285)+SUMIF(Mercado_Receita!$S$2:$S$2285,"44075B1ConvencionalResidencialResidencial baixa renda – faixa 04Não se aplicaNão se aplicaNão se aplica",Mercado_Receita!$L$2:$L$2285)</f>
        <v>307.745</v>
      </c>
      <c r="U56" s="12">
        <f t="shared" si="1"/>
        <v>2602.4059999999999</v>
      </c>
      <c r="V56" s="12"/>
      <c r="W56" s="12"/>
    </row>
    <row r="57" spans="1:23" ht="11.25" customHeight="1" x14ac:dyDescent="0.25">
      <c r="A57" s="105"/>
      <c r="B57" s="104" t="s">
        <v>102</v>
      </c>
      <c r="C57" s="104" t="s">
        <v>24</v>
      </c>
      <c r="D57" s="13" t="s">
        <v>24</v>
      </c>
      <c r="E57" s="13" t="s">
        <v>25</v>
      </c>
      <c r="F57" s="13" t="s">
        <v>25</v>
      </c>
      <c r="G57" s="12" t="s">
        <v>94</v>
      </c>
      <c r="H57" s="12" t="s">
        <v>88</v>
      </c>
      <c r="I57" s="12">
        <f>SUMIF(Mercado_Receita!$S$2:$S$2285,"43739B1Convencional pré-pagamentoResidencialResidencialNão se aplicaNão se aplicaPonta",Mercado_Receita!$L$2:$L$2285)+SUMIF(Mercado_Receita!$S$2:$S$2285,"43739B1Convencional pré-pagamentoResidencialResidencialNão se aplicaNão se aplicaFora ponta",Mercado_Receita!$L$2:$L$2285)+SUMIF(Mercado_Receita!$S$2:$S$2285,"43739B1Convencional pré-pagamentoResidencialResidencialNão se aplicaNão se aplicaIntermediário",Mercado_Receita!$L$2:$L$2285)+SUMIF(Mercado_Receita!$S$2:$S$2285,"43739B1Convencional pré-pagamentoResidencialResidencialNão se aplicaNão se aplicaNão se aplica",Mercado_Receita!$L$2:$L$2285)</f>
        <v>0</v>
      </c>
      <c r="J57" s="12">
        <f>SUMIF(Mercado_Receita!$S$2:$S$2285,"43770B1Convencional pré-pagamentoResidencialResidencialNão se aplicaNão se aplicaPonta",Mercado_Receita!$L$2:$L$2285)+SUMIF(Mercado_Receita!$S$2:$S$2285,"43770B1Convencional pré-pagamentoResidencialResidencialNão se aplicaNão se aplicaFora ponta",Mercado_Receita!$L$2:$L$2285)+SUMIF(Mercado_Receita!$S$2:$S$2285,"43770B1Convencional pré-pagamentoResidencialResidencialNão se aplicaNão se aplicaIntermediário",Mercado_Receita!$L$2:$L$2285)+SUMIF(Mercado_Receita!$S$2:$S$2285,"43770B1Convencional pré-pagamentoResidencialResidencialNão se aplicaNão se aplicaNão se aplica",Mercado_Receita!$L$2:$L$2285)</f>
        <v>0</v>
      </c>
      <c r="K57" s="12">
        <f>SUMIF(Mercado_Receita!$S$2:$S$2285,"43800B1Convencional pré-pagamentoResidencialResidencialNão se aplicaNão se aplicaPonta",Mercado_Receita!$L$2:$L$2285)+SUMIF(Mercado_Receita!$S$2:$S$2285,"43800B1Convencional pré-pagamentoResidencialResidencialNão se aplicaNão se aplicaFora ponta",Mercado_Receita!$L$2:$L$2285)+SUMIF(Mercado_Receita!$S$2:$S$2285,"43800B1Convencional pré-pagamentoResidencialResidencialNão se aplicaNão se aplicaIntermediário",Mercado_Receita!$L$2:$L$2285)+SUMIF(Mercado_Receita!$S$2:$S$2285,"43800B1Convencional pré-pagamentoResidencialResidencialNão se aplicaNão se aplicaNão se aplica",Mercado_Receita!$L$2:$L$2285)</f>
        <v>0</v>
      </c>
      <c r="L57" s="12">
        <f>SUMIF(Mercado_Receita!$S$2:$S$2285,"43831B1Convencional pré-pagamentoResidencialResidencialNão se aplicaNão se aplicaPonta",Mercado_Receita!$L$2:$L$2285)+SUMIF(Mercado_Receita!$S$2:$S$2285,"43831B1Convencional pré-pagamentoResidencialResidencialNão se aplicaNão se aplicaFora ponta",Mercado_Receita!$L$2:$L$2285)+SUMIF(Mercado_Receita!$S$2:$S$2285,"43831B1Convencional pré-pagamentoResidencialResidencialNão se aplicaNão se aplicaIntermediário",Mercado_Receita!$L$2:$L$2285)+SUMIF(Mercado_Receita!$S$2:$S$2285,"43831B1Convencional pré-pagamentoResidencialResidencialNão se aplicaNão se aplicaNão se aplica",Mercado_Receita!$L$2:$L$2285)</f>
        <v>0</v>
      </c>
      <c r="M57" s="12">
        <f>SUMIF(Mercado_Receita!$S$2:$S$2285,"43862B1Convencional pré-pagamentoResidencialResidencialNão se aplicaNão se aplicaPonta",Mercado_Receita!$L$2:$L$2285)+SUMIF(Mercado_Receita!$S$2:$S$2285,"43862B1Convencional pré-pagamentoResidencialResidencialNão se aplicaNão se aplicaFora ponta",Mercado_Receita!$L$2:$L$2285)+SUMIF(Mercado_Receita!$S$2:$S$2285,"43862B1Convencional pré-pagamentoResidencialResidencialNão se aplicaNão se aplicaIntermediário",Mercado_Receita!$L$2:$L$2285)+SUMIF(Mercado_Receita!$S$2:$S$2285,"43862B1Convencional pré-pagamentoResidencialResidencialNão se aplicaNão se aplicaNão se aplica",Mercado_Receita!$L$2:$L$2285)</f>
        <v>0</v>
      </c>
      <c r="N57" s="12">
        <f>SUMIF(Mercado_Receita!$S$2:$S$2285,"43891B1Convencional pré-pagamentoResidencialResidencialNão se aplicaNão se aplicaPonta",Mercado_Receita!$L$2:$L$2285)+SUMIF(Mercado_Receita!$S$2:$S$2285,"43891B1Convencional pré-pagamentoResidencialResidencialNão se aplicaNão se aplicaFora ponta",Mercado_Receita!$L$2:$L$2285)+SUMIF(Mercado_Receita!$S$2:$S$2285,"43891B1Convencional pré-pagamentoResidencialResidencialNão se aplicaNão se aplicaIntermediário",Mercado_Receita!$L$2:$L$2285)+SUMIF(Mercado_Receita!$S$2:$S$2285,"43891B1Convencional pré-pagamentoResidencialResidencialNão se aplicaNão se aplicaNão se aplica",Mercado_Receita!$L$2:$L$2285)</f>
        <v>0</v>
      </c>
      <c r="O57" s="12">
        <f>SUMIF(Mercado_Receita!$S$2:$S$2285,"43922B1Convencional pré-pagamentoResidencialResidencialNão se aplicaNão se aplicaPonta",Mercado_Receita!$L$2:$L$2285)+SUMIF(Mercado_Receita!$S$2:$S$2285,"43922B1Convencional pré-pagamentoResidencialResidencialNão se aplicaNão se aplicaFora ponta",Mercado_Receita!$L$2:$L$2285)+SUMIF(Mercado_Receita!$S$2:$S$2285,"43922B1Convencional pré-pagamentoResidencialResidencialNão se aplicaNão se aplicaIntermediário",Mercado_Receita!$L$2:$L$2285)+SUMIF(Mercado_Receita!$S$2:$S$2285,"43922B1Convencional pré-pagamentoResidencialResidencialNão se aplicaNão se aplicaNão se aplica",Mercado_Receita!$L$2:$L$2285)</f>
        <v>0</v>
      </c>
      <c r="P57" s="12">
        <f>SUMIF(Mercado_Receita!$S$2:$S$2285,"43952B1Convencional pré-pagamentoResidencialResidencialNão se aplicaNão se aplicaPonta",Mercado_Receita!$L$2:$L$2285)+SUMIF(Mercado_Receita!$S$2:$S$2285,"43952B1Convencional pré-pagamentoResidencialResidencialNão se aplicaNão se aplicaFora ponta",Mercado_Receita!$L$2:$L$2285)+SUMIF(Mercado_Receita!$S$2:$S$2285,"43952B1Convencional pré-pagamentoResidencialResidencialNão se aplicaNão se aplicaIntermediário",Mercado_Receita!$L$2:$L$2285)+SUMIF(Mercado_Receita!$S$2:$S$2285,"43952B1Convencional pré-pagamentoResidencialResidencialNão se aplicaNão se aplicaNão se aplica",Mercado_Receita!$L$2:$L$2285)</f>
        <v>0</v>
      </c>
      <c r="Q57" s="12">
        <f>SUMIF(Mercado_Receita!$S$2:$S$2285,"43983B1Convencional pré-pagamentoResidencialResidencialNão se aplicaNão se aplicaPonta",Mercado_Receita!$L$2:$L$2285)+SUMIF(Mercado_Receita!$S$2:$S$2285,"43983B1Convencional pré-pagamentoResidencialResidencialNão se aplicaNão se aplicaFora ponta",Mercado_Receita!$L$2:$L$2285)+SUMIF(Mercado_Receita!$S$2:$S$2285,"43983B1Convencional pré-pagamentoResidencialResidencialNão se aplicaNão se aplicaIntermediário",Mercado_Receita!$L$2:$L$2285)+SUMIF(Mercado_Receita!$S$2:$S$2285,"43983B1Convencional pré-pagamentoResidencialResidencialNão se aplicaNão se aplicaNão se aplica",Mercado_Receita!$L$2:$L$2285)</f>
        <v>0</v>
      </c>
      <c r="R57" s="12">
        <f>SUMIF(Mercado_Receita!$S$2:$S$2285,"44013B1Convencional pré-pagamentoResidencialResidencialNão se aplicaNão se aplicaPonta",Mercado_Receita!$L$2:$L$2285)+SUMIF(Mercado_Receita!$S$2:$S$2285,"44013B1Convencional pré-pagamentoResidencialResidencialNão se aplicaNão se aplicaFora ponta",Mercado_Receita!$L$2:$L$2285)+SUMIF(Mercado_Receita!$S$2:$S$2285,"44013B1Convencional pré-pagamentoResidencialResidencialNão se aplicaNão se aplicaIntermediário",Mercado_Receita!$L$2:$L$2285)+SUMIF(Mercado_Receita!$S$2:$S$2285,"44013B1Convencional pré-pagamentoResidencialResidencialNão se aplicaNão se aplicaNão se aplica",Mercado_Receita!$L$2:$L$2285)</f>
        <v>0</v>
      </c>
      <c r="S57" s="12">
        <f>SUMIF(Mercado_Receita!$S$2:$S$2285,"44044B1Convencional pré-pagamentoResidencialResidencialNão se aplicaNão se aplicaPonta",Mercado_Receita!$L$2:$L$2285)+SUMIF(Mercado_Receita!$S$2:$S$2285,"44044B1Convencional pré-pagamentoResidencialResidencialNão se aplicaNão se aplicaFora ponta",Mercado_Receita!$L$2:$L$2285)+SUMIF(Mercado_Receita!$S$2:$S$2285,"44044B1Convencional pré-pagamentoResidencialResidencialNão se aplicaNão se aplicaIntermediário",Mercado_Receita!$L$2:$L$2285)+SUMIF(Mercado_Receita!$S$2:$S$2285,"44044B1Convencional pré-pagamentoResidencialResidencialNão se aplicaNão se aplicaNão se aplica",Mercado_Receita!$L$2:$L$2285)</f>
        <v>0</v>
      </c>
      <c r="T57" s="12">
        <f>SUMIF(Mercado_Receita!$S$2:$S$2285,"44075B1Convencional pré-pagamentoResidencialResidencialNão se aplicaNão se aplicaPonta",Mercado_Receita!$L$2:$L$2285)+SUMIF(Mercado_Receita!$S$2:$S$2285,"44075B1Convencional pré-pagamentoResidencialResidencialNão se aplicaNão se aplicaFora ponta",Mercado_Receita!$L$2:$L$2285)+SUMIF(Mercado_Receita!$S$2:$S$2285,"44075B1Convencional pré-pagamentoResidencialResidencialNão se aplicaNão se aplicaIntermediário",Mercado_Receita!$L$2:$L$2285)+SUMIF(Mercado_Receita!$S$2:$S$2285,"44075B1Convencional pré-pagamentoResidencialResidencialNão se aplicaNão se aplicaNão se aplica",Mercado_Receita!$L$2:$L$2285)</f>
        <v>0</v>
      </c>
      <c r="U57" s="12">
        <f t="shared" si="1"/>
        <v>0</v>
      </c>
      <c r="V57" s="12"/>
      <c r="W57" s="12"/>
    </row>
    <row r="58" spans="1:23" ht="11.25" customHeight="1" x14ac:dyDescent="0.25">
      <c r="A58" s="105"/>
      <c r="B58" s="105"/>
      <c r="C58" s="105"/>
      <c r="D58" s="13" t="s">
        <v>29</v>
      </c>
      <c r="E58" s="13" t="s">
        <v>25</v>
      </c>
      <c r="F58" s="13" t="s">
        <v>25</v>
      </c>
      <c r="G58" s="12" t="s">
        <v>94</v>
      </c>
      <c r="H58" s="12" t="s">
        <v>88</v>
      </c>
      <c r="I58" s="12">
        <f>SUMIF(Mercado_Receita!$S$2:$S$2285,"43739B1Convencional pré-pagamentoResidencialResidencial baixa renda – faixa 01Não se aplicaNão se aplicaPonta",Mercado_Receita!$L$2:$L$2285)+SUMIF(Mercado_Receita!$S$2:$S$2285,"43739B1Convencional pré-pagamentoResidencialResidencial baixa renda – faixa 01Não se aplicaNão se aplicaFora ponta",Mercado_Receita!$L$2:$L$2285)+SUMIF(Mercado_Receita!$S$2:$S$2285,"43739B1Convencional pré-pagamentoResidencialResidencial baixa renda – faixa 01Não se aplicaNão se aplicaIntermediário",Mercado_Receita!$L$2:$L$2285)+SUMIF(Mercado_Receita!$S$2:$S$2285,"43739B1Convencional pré-pagamentoResidencialResidencial baixa renda – faixa 01Não se aplicaNão se aplicaNão se aplica",Mercado_Receita!$L$2:$L$2285)</f>
        <v>0</v>
      </c>
      <c r="J58" s="12">
        <f>SUMIF(Mercado_Receita!$S$2:$S$2285,"43770B1Convencional pré-pagamentoResidencialResidencial baixa renda – faixa 01Não se aplicaNão se aplicaPonta",Mercado_Receita!$L$2:$L$2285)+SUMIF(Mercado_Receita!$S$2:$S$2285,"43770B1Convencional pré-pagamentoResidencialResidencial baixa renda – faixa 01Não se aplicaNão se aplicaFora ponta",Mercado_Receita!$L$2:$L$2285)+SUMIF(Mercado_Receita!$S$2:$S$2285,"43770B1Convencional pré-pagamentoResidencialResidencial baixa renda – faixa 01Não se aplicaNão se aplicaIntermediário",Mercado_Receita!$L$2:$L$2285)+SUMIF(Mercado_Receita!$S$2:$S$2285,"43770B1Convencional pré-pagamentoResidencialResidencial baixa renda – faixa 01Não se aplicaNão se aplicaNão se aplica",Mercado_Receita!$L$2:$L$2285)</f>
        <v>0</v>
      </c>
      <c r="K58" s="12">
        <f>SUMIF(Mercado_Receita!$S$2:$S$2285,"43800B1Convencional pré-pagamentoResidencialResidencial baixa renda – faixa 01Não se aplicaNão se aplicaPonta",Mercado_Receita!$L$2:$L$2285)+SUMIF(Mercado_Receita!$S$2:$S$2285,"43800B1Convencional pré-pagamentoResidencialResidencial baixa renda – faixa 01Não se aplicaNão se aplicaFora ponta",Mercado_Receita!$L$2:$L$2285)+SUMIF(Mercado_Receita!$S$2:$S$2285,"43800B1Convencional pré-pagamentoResidencialResidencial baixa renda – faixa 01Não se aplicaNão se aplicaIntermediário",Mercado_Receita!$L$2:$L$2285)+SUMIF(Mercado_Receita!$S$2:$S$2285,"43800B1Convencional pré-pagamentoResidencialResidencial baixa renda – faixa 01Não se aplicaNão se aplicaNão se aplica",Mercado_Receita!$L$2:$L$2285)</f>
        <v>0</v>
      </c>
      <c r="L58" s="12">
        <f>SUMIF(Mercado_Receita!$S$2:$S$2285,"43831B1Convencional pré-pagamentoResidencialResidencial baixa renda – faixa 01Não se aplicaNão se aplicaPonta",Mercado_Receita!$L$2:$L$2285)+SUMIF(Mercado_Receita!$S$2:$S$2285,"43831B1Convencional pré-pagamentoResidencialResidencial baixa renda – faixa 01Não se aplicaNão se aplicaFora ponta",Mercado_Receita!$L$2:$L$2285)+SUMIF(Mercado_Receita!$S$2:$S$2285,"43831B1Convencional pré-pagamentoResidencialResidencial baixa renda – faixa 01Não se aplicaNão se aplicaIntermediário",Mercado_Receita!$L$2:$L$2285)+SUMIF(Mercado_Receita!$S$2:$S$2285,"43831B1Convencional pré-pagamentoResidencialResidencial baixa renda – faixa 01Não se aplicaNão se aplicaNão se aplica",Mercado_Receita!$L$2:$L$2285)</f>
        <v>0</v>
      </c>
      <c r="M58" s="12">
        <f>SUMIF(Mercado_Receita!$S$2:$S$2285,"43862B1Convencional pré-pagamentoResidencialResidencial baixa renda – faixa 01Não se aplicaNão se aplicaPonta",Mercado_Receita!$L$2:$L$2285)+SUMIF(Mercado_Receita!$S$2:$S$2285,"43862B1Convencional pré-pagamentoResidencialResidencial baixa renda – faixa 01Não se aplicaNão se aplicaFora ponta",Mercado_Receita!$L$2:$L$2285)+SUMIF(Mercado_Receita!$S$2:$S$2285,"43862B1Convencional pré-pagamentoResidencialResidencial baixa renda – faixa 01Não se aplicaNão se aplicaIntermediário",Mercado_Receita!$L$2:$L$2285)+SUMIF(Mercado_Receita!$S$2:$S$2285,"43862B1Convencional pré-pagamentoResidencialResidencial baixa renda – faixa 01Não se aplicaNão se aplicaNão se aplica",Mercado_Receita!$L$2:$L$2285)</f>
        <v>0</v>
      </c>
      <c r="N58" s="12">
        <f>SUMIF(Mercado_Receita!$S$2:$S$2285,"43891B1Convencional pré-pagamentoResidencialResidencial baixa renda – faixa 01Não se aplicaNão se aplicaPonta",Mercado_Receita!$L$2:$L$2285)+SUMIF(Mercado_Receita!$S$2:$S$2285,"43891B1Convencional pré-pagamentoResidencialResidencial baixa renda – faixa 01Não se aplicaNão se aplicaFora ponta",Mercado_Receita!$L$2:$L$2285)+SUMIF(Mercado_Receita!$S$2:$S$2285,"43891B1Convencional pré-pagamentoResidencialResidencial baixa renda – faixa 01Não se aplicaNão se aplicaIntermediário",Mercado_Receita!$L$2:$L$2285)+SUMIF(Mercado_Receita!$S$2:$S$2285,"43891B1Convencional pré-pagamentoResidencialResidencial baixa renda – faixa 01Não se aplicaNão se aplicaNão se aplica",Mercado_Receita!$L$2:$L$2285)</f>
        <v>0</v>
      </c>
      <c r="O58" s="12">
        <f>SUMIF(Mercado_Receita!$S$2:$S$2285,"43922B1Convencional pré-pagamentoResidencialResidencial baixa renda – faixa 01Não se aplicaNão se aplicaPonta",Mercado_Receita!$L$2:$L$2285)+SUMIF(Mercado_Receita!$S$2:$S$2285,"43922B1Convencional pré-pagamentoResidencialResidencial baixa renda – faixa 01Não se aplicaNão se aplicaFora ponta",Mercado_Receita!$L$2:$L$2285)+SUMIF(Mercado_Receita!$S$2:$S$2285,"43922B1Convencional pré-pagamentoResidencialResidencial baixa renda – faixa 01Não se aplicaNão se aplicaIntermediário",Mercado_Receita!$L$2:$L$2285)+SUMIF(Mercado_Receita!$S$2:$S$2285,"43922B1Convencional pré-pagamentoResidencialResidencial baixa renda – faixa 01Não se aplicaNão se aplicaNão se aplica",Mercado_Receita!$L$2:$L$2285)</f>
        <v>0</v>
      </c>
      <c r="P58" s="12">
        <f>SUMIF(Mercado_Receita!$S$2:$S$2285,"43952B1Convencional pré-pagamentoResidencialResidencial baixa renda – faixa 01Não se aplicaNão se aplicaPonta",Mercado_Receita!$L$2:$L$2285)+SUMIF(Mercado_Receita!$S$2:$S$2285,"43952B1Convencional pré-pagamentoResidencialResidencial baixa renda – faixa 01Não se aplicaNão se aplicaFora ponta",Mercado_Receita!$L$2:$L$2285)+SUMIF(Mercado_Receita!$S$2:$S$2285,"43952B1Convencional pré-pagamentoResidencialResidencial baixa renda – faixa 01Não se aplicaNão se aplicaIntermediário",Mercado_Receita!$L$2:$L$2285)+SUMIF(Mercado_Receita!$S$2:$S$2285,"43952B1Convencional pré-pagamentoResidencialResidencial baixa renda – faixa 01Não se aplicaNão se aplicaNão se aplica",Mercado_Receita!$L$2:$L$2285)</f>
        <v>0</v>
      </c>
      <c r="Q58" s="12">
        <f>SUMIF(Mercado_Receita!$S$2:$S$2285,"43983B1Convencional pré-pagamentoResidencialResidencial baixa renda – faixa 01Não se aplicaNão se aplicaPonta",Mercado_Receita!$L$2:$L$2285)+SUMIF(Mercado_Receita!$S$2:$S$2285,"43983B1Convencional pré-pagamentoResidencialResidencial baixa renda – faixa 01Não se aplicaNão se aplicaFora ponta",Mercado_Receita!$L$2:$L$2285)+SUMIF(Mercado_Receita!$S$2:$S$2285,"43983B1Convencional pré-pagamentoResidencialResidencial baixa renda – faixa 01Não se aplicaNão se aplicaIntermediário",Mercado_Receita!$L$2:$L$2285)+SUMIF(Mercado_Receita!$S$2:$S$2285,"43983B1Convencional pré-pagamentoResidencialResidencial baixa renda – faixa 01Não se aplicaNão se aplicaNão se aplica",Mercado_Receita!$L$2:$L$2285)</f>
        <v>0</v>
      </c>
      <c r="R58" s="12">
        <f>SUMIF(Mercado_Receita!$S$2:$S$2285,"44013B1Convencional pré-pagamentoResidencialResidencial baixa renda – faixa 01Não se aplicaNão se aplicaPonta",Mercado_Receita!$L$2:$L$2285)+SUMIF(Mercado_Receita!$S$2:$S$2285,"44013B1Convencional pré-pagamentoResidencialResidencial baixa renda – faixa 01Não se aplicaNão se aplicaFora ponta",Mercado_Receita!$L$2:$L$2285)+SUMIF(Mercado_Receita!$S$2:$S$2285,"44013B1Convencional pré-pagamentoResidencialResidencial baixa renda – faixa 01Não se aplicaNão se aplicaIntermediário",Mercado_Receita!$L$2:$L$2285)+SUMIF(Mercado_Receita!$S$2:$S$2285,"44013B1Convencional pré-pagamentoResidencialResidencial baixa renda – faixa 01Não se aplicaNão se aplicaNão se aplica",Mercado_Receita!$L$2:$L$2285)</f>
        <v>0</v>
      </c>
      <c r="S58" s="12">
        <f>SUMIF(Mercado_Receita!$S$2:$S$2285,"44044B1Convencional pré-pagamentoResidencialResidencial baixa renda – faixa 01Não se aplicaNão se aplicaPonta",Mercado_Receita!$L$2:$L$2285)+SUMIF(Mercado_Receita!$S$2:$S$2285,"44044B1Convencional pré-pagamentoResidencialResidencial baixa renda – faixa 01Não se aplicaNão se aplicaFora ponta",Mercado_Receita!$L$2:$L$2285)+SUMIF(Mercado_Receita!$S$2:$S$2285,"44044B1Convencional pré-pagamentoResidencialResidencial baixa renda – faixa 01Não se aplicaNão se aplicaIntermediário",Mercado_Receita!$L$2:$L$2285)+SUMIF(Mercado_Receita!$S$2:$S$2285,"44044B1Convencional pré-pagamentoResidencialResidencial baixa renda – faixa 01Não se aplicaNão se aplicaNão se aplica",Mercado_Receita!$L$2:$L$2285)</f>
        <v>0</v>
      </c>
      <c r="T58" s="12">
        <f>SUMIF(Mercado_Receita!$S$2:$S$2285,"44075B1Convencional pré-pagamentoResidencialResidencial baixa renda – faixa 01Não se aplicaNão se aplicaPonta",Mercado_Receita!$L$2:$L$2285)+SUMIF(Mercado_Receita!$S$2:$S$2285,"44075B1Convencional pré-pagamentoResidencialResidencial baixa renda – faixa 01Não se aplicaNão se aplicaFora ponta",Mercado_Receita!$L$2:$L$2285)+SUMIF(Mercado_Receita!$S$2:$S$2285,"44075B1Convencional pré-pagamentoResidencialResidencial baixa renda – faixa 01Não se aplicaNão se aplicaIntermediário",Mercado_Receita!$L$2:$L$2285)+SUMIF(Mercado_Receita!$S$2:$S$2285,"44075B1Convencional pré-pagamentoResidencialResidencial baixa renda – faixa 01Não se aplicaNão se aplicaNão se aplica",Mercado_Receita!$L$2:$L$2285)</f>
        <v>0</v>
      </c>
      <c r="U58" s="12">
        <f t="shared" si="1"/>
        <v>0</v>
      </c>
      <c r="V58" s="12"/>
      <c r="W58" s="12"/>
    </row>
    <row r="59" spans="1:23" ht="11.25" customHeight="1" x14ac:dyDescent="0.25">
      <c r="A59" s="105"/>
      <c r="B59" s="105"/>
      <c r="C59" s="105"/>
      <c r="D59" s="13" t="s">
        <v>30</v>
      </c>
      <c r="E59" s="13" t="s">
        <v>25</v>
      </c>
      <c r="F59" s="13" t="s">
        <v>25</v>
      </c>
      <c r="G59" s="12" t="s">
        <v>94</v>
      </c>
      <c r="H59" s="12" t="s">
        <v>88</v>
      </c>
      <c r="I59" s="12">
        <f>SUMIF(Mercado_Receita!$S$2:$S$2285,"43739B1Convencional pré-pagamentoResidencialResidencial baixa renda – faixa 02Não se aplicaNão se aplicaPonta",Mercado_Receita!$L$2:$L$2285)+SUMIF(Mercado_Receita!$S$2:$S$2285,"43739B1Convencional pré-pagamentoResidencialResidencial baixa renda – faixa 02Não se aplicaNão se aplicaFora ponta",Mercado_Receita!$L$2:$L$2285)+SUMIF(Mercado_Receita!$S$2:$S$2285,"43739B1Convencional pré-pagamentoResidencialResidencial baixa renda – faixa 02Não se aplicaNão se aplicaIntermediário",Mercado_Receita!$L$2:$L$2285)+SUMIF(Mercado_Receita!$S$2:$S$2285,"43739B1Convencional pré-pagamentoResidencialResidencial baixa renda – faixa 02Não se aplicaNão se aplicaNão se aplica",Mercado_Receita!$L$2:$L$2285)</f>
        <v>0</v>
      </c>
      <c r="J59" s="12">
        <f>SUMIF(Mercado_Receita!$S$2:$S$2285,"43770B1Convencional pré-pagamentoResidencialResidencial baixa renda – faixa 02Não se aplicaNão se aplicaPonta",Mercado_Receita!$L$2:$L$2285)+SUMIF(Mercado_Receita!$S$2:$S$2285,"43770B1Convencional pré-pagamentoResidencialResidencial baixa renda – faixa 02Não se aplicaNão se aplicaFora ponta",Mercado_Receita!$L$2:$L$2285)+SUMIF(Mercado_Receita!$S$2:$S$2285,"43770B1Convencional pré-pagamentoResidencialResidencial baixa renda – faixa 02Não se aplicaNão se aplicaIntermediário",Mercado_Receita!$L$2:$L$2285)+SUMIF(Mercado_Receita!$S$2:$S$2285,"43770B1Convencional pré-pagamentoResidencialResidencial baixa renda – faixa 02Não se aplicaNão se aplicaNão se aplica",Mercado_Receita!$L$2:$L$2285)</f>
        <v>0</v>
      </c>
      <c r="K59" s="12">
        <f>SUMIF(Mercado_Receita!$S$2:$S$2285,"43800B1Convencional pré-pagamentoResidencialResidencial baixa renda – faixa 02Não se aplicaNão se aplicaPonta",Mercado_Receita!$L$2:$L$2285)+SUMIF(Mercado_Receita!$S$2:$S$2285,"43800B1Convencional pré-pagamentoResidencialResidencial baixa renda – faixa 02Não se aplicaNão se aplicaFora ponta",Mercado_Receita!$L$2:$L$2285)+SUMIF(Mercado_Receita!$S$2:$S$2285,"43800B1Convencional pré-pagamentoResidencialResidencial baixa renda – faixa 02Não se aplicaNão se aplicaIntermediário",Mercado_Receita!$L$2:$L$2285)+SUMIF(Mercado_Receita!$S$2:$S$2285,"43800B1Convencional pré-pagamentoResidencialResidencial baixa renda – faixa 02Não se aplicaNão se aplicaNão se aplica",Mercado_Receita!$L$2:$L$2285)</f>
        <v>0</v>
      </c>
      <c r="L59" s="12">
        <f>SUMIF(Mercado_Receita!$S$2:$S$2285,"43831B1Convencional pré-pagamentoResidencialResidencial baixa renda – faixa 02Não se aplicaNão se aplicaPonta",Mercado_Receita!$L$2:$L$2285)+SUMIF(Mercado_Receita!$S$2:$S$2285,"43831B1Convencional pré-pagamentoResidencialResidencial baixa renda – faixa 02Não se aplicaNão se aplicaFora ponta",Mercado_Receita!$L$2:$L$2285)+SUMIF(Mercado_Receita!$S$2:$S$2285,"43831B1Convencional pré-pagamentoResidencialResidencial baixa renda – faixa 02Não se aplicaNão se aplicaIntermediário",Mercado_Receita!$L$2:$L$2285)+SUMIF(Mercado_Receita!$S$2:$S$2285,"43831B1Convencional pré-pagamentoResidencialResidencial baixa renda – faixa 02Não se aplicaNão se aplicaNão se aplica",Mercado_Receita!$L$2:$L$2285)</f>
        <v>0</v>
      </c>
      <c r="M59" s="12">
        <f>SUMIF(Mercado_Receita!$S$2:$S$2285,"43862B1Convencional pré-pagamentoResidencialResidencial baixa renda – faixa 02Não se aplicaNão se aplicaPonta",Mercado_Receita!$L$2:$L$2285)+SUMIF(Mercado_Receita!$S$2:$S$2285,"43862B1Convencional pré-pagamentoResidencialResidencial baixa renda – faixa 02Não se aplicaNão se aplicaFora ponta",Mercado_Receita!$L$2:$L$2285)+SUMIF(Mercado_Receita!$S$2:$S$2285,"43862B1Convencional pré-pagamentoResidencialResidencial baixa renda – faixa 02Não se aplicaNão se aplicaIntermediário",Mercado_Receita!$L$2:$L$2285)+SUMIF(Mercado_Receita!$S$2:$S$2285,"43862B1Convencional pré-pagamentoResidencialResidencial baixa renda – faixa 02Não se aplicaNão se aplicaNão se aplica",Mercado_Receita!$L$2:$L$2285)</f>
        <v>0</v>
      </c>
      <c r="N59" s="12">
        <f>SUMIF(Mercado_Receita!$S$2:$S$2285,"43891B1Convencional pré-pagamentoResidencialResidencial baixa renda – faixa 02Não se aplicaNão se aplicaPonta",Mercado_Receita!$L$2:$L$2285)+SUMIF(Mercado_Receita!$S$2:$S$2285,"43891B1Convencional pré-pagamentoResidencialResidencial baixa renda – faixa 02Não se aplicaNão se aplicaFora ponta",Mercado_Receita!$L$2:$L$2285)+SUMIF(Mercado_Receita!$S$2:$S$2285,"43891B1Convencional pré-pagamentoResidencialResidencial baixa renda – faixa 02Não se aplicaNão se aplicaIntermediário",Mercado_Receita!$L$2:$L$2285)+SUMIF(Mercado_Receita!$S$2:$S$2285,"43891B1Convencional pré-pagamentoResidencialResidencial baixa renda – faixa 02Não se aplicaNão se aplicaNão se aplica",Mercado_Receita!$L$2:$L$2285)</f>
        <v>0</v>
      </c>
      <c r="O59" s="12">
        <f>SUMIF(Mercado_Receita!$S$2:$S$2285,"43922B1Convencional pré-pagamentoResidencialResidencial baixa renda – faixa 02Não se aplicaNão se aplicaPonta",Mercado_Receita!$L$2:$L$2285)+SUMIF(Mercado_Receita!$S$2:$S$2285,"43922B1Convencional pré-pagamentoResidencialResidencial baixa renda – faixa 02Não se aplicaNão se aplicaFora ponta",Mercado_Receita!$L$2:$L$2285)+SUMIF(Mercado_Receita!$S$2:$S$2285,"43922B1Convencional pré-pagamentoResidencialResidencial baixa renda – faixa 02Não se aplicaNão se aplicaIntermediário",Mercado_Receita!$L$2:$L$2285)+SUMIF(Mercado_Receita!$S$2:$S$2285,"43922B1Convencional pré-pagamentoResidencialResidencial baixa renda – faixa 02Não se aplicaNão se aplicaNão se aplica",Mercado_Receita!$L$2:$L$2285)</f>
        <v>0</v>
      </c>
      <c r="P59" s="12">
        <f>SUMIF(Mercado_Receita!$S$2:$S$2285,"43952B1Convencional pré-pagamentoResidencialResidencial baixa renda – faixa 02Não se aplicaNão se aplicaPonta",Mercado_Receita!$L$2:$L$2285)+SUMIF(Mercado_Receita!$S$2:$S$2285,"43952B1Convencional pré-pagamentoResidencialResidencial baixa renda – faixa 02Não se aplicaNão se aplicaFora ponta",Mercado_Receita!$L$2:$L$2285)+SUMIF(Mercado_Receita!$S$2:$S$2285,"43952B1Convencional pré-pagamentoResidencialResidencial baixa renda – faixa 02Não se aplicaNão se aplicaIntermediário",Mercado_Receita!$L$2:$L$2285)+SUMIF(Mercado_Receita!$S$2:$S$2285,"43952B1Convencional pré-pagamentoResidencialResidencial baixa renda – faixa 02Não se aplicaNão se aplicaNão se aplica",Mercado_Receita!$L$2:$L$2285)</f>
        <v>0</v>
      </c>
      <c r="Q59" s="12">
        <f>SUMIF(Mercado_Receita!$S$2:$S$2285,"43983B1Convencional pré-pagamentoResidencialResidencial baixa renda – faixa 02Não se aplicaNão se aplicaPonta",Mercado_Receita!$L$2:$L$2285)+SUMIF(Mercado_Receita!$S$2:$S$2285,"43983B1Convencional pré-pagamentoResidencialResidencial baixa renda – faixa 02Não se aplicaNão se aplicaFora ponta",Mercado_Receita!$L$2:$L$2285)+SUMIF(Mercado_Receita!$S$2:$S$2285,"43983B1Convencional pré-pagamentoResidencialResidencial baixa renda – faixa 02Não se aplicaNão se aplicaIntermediário",Mercado_Receita!$L$2:$L$2285)+SUMIF(Mercado_Receita!$S$2:$S$2285,"43983B1Convencional pré-pagamentoResidencialResidencial baixa renda – faixa 02Não se aplicaNão se aplicaNão se aplica",Mercado_Receita!$L$2:$L$2285)</f>
        <v>0</v>
      </c>
      <c r="R59" s="12">
        <f>SUMIF(Mercado_Receita!$S$2:$S$2285,"44013B1Convencional pré-pagamentoResidencialResidencial baixa renda – faixa 02Não se aplicaNão se aplicaPonta",Mercado_Receita!$L$2:$L$2285)+SUMIF(Mercado_Receita!$S$2:$S$2285,"44013B1Convencional pré-pagamentoResidencialResidencial baixa renda – faixa 02Não se aplicaNão se aplicaFora ponta",Mercado_Receita!$L$2:$L$2285)+SUMIF(Mercado_Receita!$S$2:$S$2285,"44013B1Convencional pré-pagamentoResidencialResidencial baixa renda – faixa 02Não se aplicaNão se aplicaIntermediário",Mercado_Receita!$L$2:$L$2285)+SUMIF(Mercado_Receita!$S$2:$S$2285,"44013B1Convencional pré-pagamentoResidencialResidencial baixa renda – faixa 02Não se aplicaNão se aplicaNão se aplica",Mercado_Receita!$L$2:$L$2285)</f>
        <v>0</v>
      </c>
      <c r="S59" s="12">
        <f>SUMIF(Mercado_Receita!$S$2:$S$2285,"44044B1Convencional pré-pagamentoResidencialResidencial baixa renda – faixa 02Não se aplicaNão se aplicaPonta",Mercado_Receita!$L$2:$L$2285)+SUMIF(Mercado_Receita!$S$2:$S$2285,"44044B1Convencional pré-pagamentoResidencialResidencial baixa renda – faixa 02Não se aplicaNão se aplicaFora ponta",Mercado_Receita!$L$2:$L$2285)+SUMIF(Mercado_Receita!$S$2:$S$2285,"44044B1Convencional pré-pagamentoResidencialResidencial baixa renda – faixa 02Não se aplicaNão se aplicaIntermediário",Mercado_Receita!$L$2:$L$2285)+SUMIF(Mercado_Receita!$S$2:$S$2285,"44044B1Convencional pré-pagamentoResidencialResidencial baixa renda – faixa 02Não se aplicaNão se aplicaNão se aplica",Mercado_Receita!$L$2:$L$2285)</f>
        <v>0</v>
      </c>
      <c r="T59" s="12">
        <f>SUMIF(Mercado_Receita!$S$2:$S$2285,"44075B1Convencional pré-pagamentoResidencialResidencial baixa renda – faixa 02Não se aplicaNão se aplicaPonta",Mercado_Receita!$L$2:$L$2285)+SUMIF(Mercado_Receita!$S$2:$S$2285,"44075B1Convencional pré-pagamentoResidencialResidencial baixa renda – faixa 02Não se aplicaNão se aplicaFora ponta",Mercado_Receita!$L$2:$L$2285)+SUMIF(Mercado_Receita!$S$2:$S$2285,"44075B1Convencional pré-pagamentoResidencialResidencial baixa renda – faixa 02Não se aplicaNão se aplicaIntermediário",Mercado_Receita!$L$2:$L$2285)+SUMIF(Mercado_Receita!$S$2:$S$2285,"44075B1Convencional pré-pagamentoResidencialResidencial baixa renda – faixa 02Não se aplicaNão se aplicaNão se aplica",Mercado_Receita!$L$2:$L$2285)</f>
        <v>0</v>
      </c>
      <c r="U59" s="12">
        <f t="shared" si="1"/>
        <v>0</v>
      </c>
      <c r="V59" s="12"/>
      <c r="W59" s="12"/>
    </row>
    <row r="60" spans="1:23" ht="11.25" customHeight="1" x14ac:dyDescent="0.25">
      <c r="A60" s="105"/>
      <c r="B60" s="105"/>
      <c r="C60" s="105"/>
      <c r="D60" s="13" t="s">
        <v>31</v>
      </c>
      <c r="E60" s="13" t="s">
        <v>25</v>
      </c>
      <c r="F60" s="13" t="s">
        <v>25</v>
      </c>
      <c r="G60" s="12" t="s">
        <v>94</v>
      </c>
      <c r="H60" s="12" t="s">
        <v>88</v>
      </c>
      <c r="I60" s="12">
        <f>SUMIF(Mercado_Receita!$S$2:$S$2285,"43739B1Convencional pré-pagamentoResidencialResidencial baixa renda – faixa 03Não se aplicaNão se aplicaPonta",Mercado_Receita!$L$2:$L$2285)+SUMIF(Mercado_Receita!$S$2:$S$2285,"43739B1Convencional pré-pagamentoResidencialResidencial baixa renda – faixa 03Não se aplicaNão se aplicaFora ponta",Mercado_Receita!$L$2:$L$2285)+SUMIF(Mercado_Receita!$S$2:$S$2285,"43739B1Convencional pré-pagamentoResidencialResidencial baixa renda – faixa 03Não se aplicaNão se aplicaIntermediário",Mercado_Receita!$L$2:$L$2285)+SUMIF(Mercado_Receita!$S$2:$S$2285,"43739B1Convencional pré-pagamentoResidencialResidencial baixa renda – faixa 03Não se aplicaNão se aplicaNão se aplica",Mercado_Receita!$L$2:$L$2285)</f>
        <v>0</v>
      </c>
      <c r="J60" s="12">
        <f>SUMIF(Mercado_Receita!$S$2:$S$2285,"43770B1Convencional pré-pagamentoResidencialResidencial baixa renda – faixa 03Não se aplicaNão se aplicaPonta",Mercado_Receita!$L$2:$L$2285)+SUMIF(Mercado_Receita!$S$2:$S$2285,"43770B1Convencional pré-pagamentoResidencialResidencial baixa renda – faixa 03Não se aplicaNão se aplicaFora ponta",Mercado_Receita!$L$2:$L$2285)+SUMIF(Mercado_Receita!$S$2:$S$2285,"43770B1Convencional pré-pagamentoResidencialResidencial baixa renda – faixa 03Não se aplicaNão se aplicaIntermediário",Mercado_Receita!$L$2:$L$2285)+SUMIF(Mercado_Receita!$S$2:$S$2285,"43770B1Convencional pré-pagamentoResidencialResidencial baixa renda – faixa 03Não se aplicaNão se aplicaNão se aplica",Mercado_Receita!$L$2:$L$2285)</f>
        <v>0</v>
      </c>
      <c r="K60" s="12">
        <f>SUMIF(Mercado_Receita!$S$2:$S$2285,"43800B1Convencional pré-pagamentoResidencialResidencial baixa renda – faixa 03Não se aplicaNão se aplicaPonta",Mercado_Receita!$L$2:$L$2285)+SUMIF(Mercado_Receita!$S$2:$S$2285,"43800B1Convencional pré-pagamentoResidencialResidencial baixa renda – faixa 03Não se aplicaNão se aplicaFora ponta",Mercado_Receita!$L$2:$L$2285)+SUMIF(Mercado_Receita!$S$2:$S$2285,"43800B1Convencional pré-pagamentoResidencialResidencial baixa renda – faixa 03Não se aplicaNão se aplicaIntermediário",Mercado_Receita!$L$2:$L$2285)+SUMIF(Mercado_Receita!$S$2:$S$2285,"43800B1Convencional pré-pagamentoResidencialResidencial baixa renda – faixa 03Não se aplicaNão se aplicaNão se aplica",Mercado_Receita!$L$2:$L$2285)</f>
        <v>0</v>
      </c>
      <c r="L60" s="12">
        <f>SUMIF(Mercado_Receita!$S$2:$S$2285,"43831B1Convencional pré-pagamentoResidencialResidencial baixa renda – faixa 03Não se aplicaNão se aplicaPonta",Mercado_Receita!$L$2:$L$2285)+SUMIF(Mercado_Receita!$S$2:$S$2285,"43831B1Convencional pré-pagamentoResidencialResidencial baixa renda – faixa 03Não se aplicaNão se aplicaFora ponta",Mercado_Receita!$L$2:$L$2285)+SUMIF(Mercado_Receita!$S$2:$S$2285,"43831B1Convencional pré-pagamentoResidencialResidencial baixa renda – faixa 03Não se aplicaNão se aplicaIntermediário",Mercado_Receita!$L$2:$L$2285)+SUMIF(Mercado_Receita!$S$2:$S$2285,"43831B1Convencional pré-pagamentoResidencialResidencial baixa renda – faixa 03Não se aplicaNão se aplicaNão se aplica",Mercado_Receita!$L$2:$L$2285)</f>
        <v>0</v>
      </c>
      <c r="M60" s="12">
        <f>SUMIF(Mercado_Receita!$S$2:$S$2285,"43862B1Convencional pré-pagamentoResidencialResidencial baixa renda – faixa 03Não se aplicaNão se aplicaPonta",Mercado_Receita!$L$2:$L$2285)+SUMIF(Mercado_Receita!$S$2:$S$2285,"43862B1Convencional pré-pagamentoResidencialResidencial baixa renda – faixa 03Não se aplicaNão se aplicaFora ponta",Mercado_Receita!$L$2:$L$2285)+SUMIF(Mercado_Receita!$S$2:$S$2285,"43862B1Convencional pré-pagamentoResidencialResidencial baixa renda – faixa 03Não se aplicaNão se aplicaIntermediário",Mercado_Receita!$L$2:$L$2285)+SUMIF(Mercado_Receita!$S$2:$S$2285,"43862B1Convencional pré-pagamentoResidencialResidencial baixa renda – faixa 03Não se aplicaNão se aplicaNão se aplica",Mercado_Receita!$L$2:$L$2285)</f>
        <v>0</v>
      </c>
      <c r="N60" s="12">
        <f>SUMIF(Mercado_Receita!$S$2:$S$2285,"43891B1Convencional pré-pagamentoResidencialResidencial baixa renda – faixa 03Não se aplicaNão se aplicaPonta",Mercado_Receita!$L$2:$L$2285)+SUMIF(Mercado_Receita!$S$2:$S$2285,"43891B1Convencional pré-pagamentoResidencialResidencial baixa renda – faixa 03Não se aplicaNão se aplicaFora ponta",Mercado_Receita!$L$2:$L$2285)+SUMIF(Mercado_Receita!$S$2:$S$2285,"43891B1Convencional pré-pagamentoResidencialResidencial baixa renda – faixa 03Não se aplicaNão se aplicaIntermediário",Mercado_Receita!$L$2:$L$2285)+SUMIF(Mercado_Receita!$S$2:$S$2285,"43891B1Convencional pré-pagamentoResidencialResidencial baixa renda – faixa 03Não se aplicaNão se aplicaNão se aplica",Mercado_Receita!$L$2:$L$2285)</f>
        <v>0</v>
      </c>
      <c r="O60" s="12">
        <f>SUMIF(Mercado_Receita!$S$2:$S$2285,"43922B1Convencional pré-pagamentoResidencialResidencial baixa renda – faixa 03Não se aplicaNão se aplicaPonta",Mercado_Receita!$L$2:$L$2285)+SUMIF(Mercado_Receita!$S$2:$S$2285,"43922B1Convencional pré-pagamentoResidencialResidencial baixa renda – faixa 03Não se aplicaNão se aplicaFora ponta",Mercado_Receita!$L$2:$L$2285)+SUMIF(Mercado_Receita!$S$2:$S$2285,"43922B1Convencional pré-pagamentoResidencialResidencial baixa renda – faixa 03Não se aplicaNão se aplicaIntermediário",Mercado_Receita!$L$2:$L$2285)+SUMIF(Mercado_Receita!$S$2:$S$2285,"43922B1Convencional pré-pagamentoResidencialResidencial baixa renda – faixa 03Não se aplicaNão se aplicaNão se aplica",Mercado_Receita!$L$2:$L$2285)</f>
        <v>0</v>
      </c>
      <c r="P60" s="12">
        <f>SUMIF(Mercado_Receita!$S$2:$S$2285,"43952B1Convencional pré-pagamentoResidencialResidencial baixa renda – faixa 03Não se aplicaNão se aplicaPonta",Mercado_Receita!$L$2:$L$2285)+SUMIF(Mercado_Receita!$S$2:$S$2285,"43952B1Convencional pré-pagamentoResidencialResidencial baixa renda – faixa 03Não se aplicaNão se aplicaFora ponta",Mercado_Receita!$L$2:$L$2285)+SUMIF(Mercado_Receita!$S$2:$S$2285,"43952B1Convencional pré-pagamentoResidencialResidencial baixa renda – faixa 03Não se aplicaNão se aplicaIntermediário",Mercado_Receita!$L$2:$L$2285)+SUMIF(Mercado_Receita!$S$2:$S$2285,"43952B1Convencional pré-pagamentoResidencialResidencial baixa renda – faixa 03Não se aplicaNão se aplicaNão se aplica",Mercado_Receita!$L$2:$L$2285)</f>
        <v>0</v>
      </c>
      <c r="Q60" s="12">
        <f>SUMIF(Mercado_Receita!$S$2:$S$2285,"43983B1Convencional pré-pagamentoResidencialResidencial baixa renda – faixa 03Não se aplicaNão se aplicaPonta",Mercado_Receita!$L$2:$L$2285)+SUMIF(Mercado_Receita!$S$2:$S$2285,"43983B1Convencional pré-pagamentoResidencialResidencial baixa renda – faixa 03Não se aplicaNão se aplicaFora ponta",Mercado_Receita!$L$2:$L$2285)+SUMIF(Mercado_Receita!$S$2:$S$2285,"43983B1Convencional pré-pagamentoResidencialResidencial baixa renda – faixa 03Não se aplicaNão se aplicaIntermediário",Mercado_Receita!$L$2:$L$2285)+SUMIF(Mercado_Receita!$S$2:$S$2285,"43983B1Convencional pré-pagamentoResidencialResidencial baixa renda – faixa 03Não se aplicaNão se aplicaNão se aplica",Mercado_Receita!$L$2:$L$2285)</f>
        <v>0</v>
      </c>
      <c r="R60" s="12">
        <f>SUMIF(Mercado_Receita!$S$2:$S$2285,"44013B1Convencional pré-pagamentoResidencialResidencial baixa renda – faixa 03Não se aplicaNão se aplicaPonta",Mercado_Receita!$L$2:$L$2285)+SUMIF(Mercado_Receita!$S$2:$S$2285,"44013B1Convencional pré-pagamentoResidencialResidencial baixa renda – faixa 03Não se aplicaNão se aplicaFora ponta",Mercado_Receita!$L$2:$L$2285)+SUMIF(Mercado_Receita!$S$2:$S$2285,"44013B1Convencional pré-pagamentoResidencialResidencial baixa renda – faixa 03Não se aplicaNão se aplicaIntermediário",Mercado_Receita!$L$2:$L$2285)+SUMIF(Mercado_Receita!$S$2:$S$2285,"44013B1Convencional pré-pagamentoResidencialResidencial baixa renda – faixa 03Não se aplicaNão se aplicaNão se aplica",Mercado_Receita!$L$2:$L$2285)</f>
        <v>0</v>
      </c>
      <c r="S60" s="12">
        <f>SUMIF(Mercado_Receita!$S$2:$S$2285,"44044B1Convencional pré-pagamentoResidencialResidencial baixa renda – faixa 03Não se aplicaNão se aplicaPonta",Mercado_Receita!$L$2:$L$2285)+SUMIF(Mercado_Receita!$S$2:$S$2285,"44044B1Convencional pré-pagamentoResidencialResidencial baixa renda – faixa 03Não se aplicaNão se aplicaFora ponta",Mercado_Receita!$L$2:$L$2285)+SUMIF(Mercado_Receita!$S$2:$S$2285,"44044B1Convencional pré-pagamentoResidencialResidencial baixa renda – faixa 03Não se aplicaNão se aplicaIntermediário",Mercado_Receita!$L$2:$L$2285)+SUMIF(Mercado_Receita!$S$2:$S$2285,"44044B1Convencional pré-pagamentoResidencialResidencial baixa renda – faixa 03Não se aplicaNão se aplicaNão se aplica",Mercado_Receita!$L$2:$L$2285)</f>
        <v>0</v>
      </c>
      <c r="T60" s="12">
        <f>SUMIF(Mercado_Receita!$S$2:$S$2285,"44075B1Convencional pré-pagamentoResidencialResidencial baixa renda – faixa 03Não se aplicaNão se aplicaPonta",Mercado_Receita!$L$2:$L$2285)+SUMIF(Mercado_Receita!$S$2:$S$2285,"44075B1Convencional pré-pagamentoResidencialResidencial baixa renda – faixa 03Não se aplicaNão se aplicaFora ponta",Mercado_Receita!$L$2:$L$2285)+SUMIF(Mercado_Receita!$S$2:$S$2285,"44075B1Convencional pré-pagamentoResidencialResidencial baixa renda – faixa 03Não se aplicaNão se aplicaIntermediário",Mercado_Receita!$L$2:$L$2285)+SUMIF(Mercado_Receita!$S$2:$S$2285,"44075B1Convencional pré-pagamentoResidencialResidencial baixa renda – faixa 03Não se aplicaNão se aplicaNão se aplica",Mercado_Receita!$L$2:$L$2285)</f>
        <v>0</v>
      </c>
      <c r="U60" s="12">
        <f t="shared" si="1"/>
        <v>0</v>
      </c>
      <c r="V60" s="12"/>
      <c r="W60" s="12"/>
    </row>
    <row r="61" spans="1:23" ht="11.25" customHeight="1" x14ac:dyDescent="0.25">
      <c r="A61" s="105"/>
      <c r="B61" s="105"/>
      <c r="C61" s="105"/>
      <c r="D61" s="13" t="s">
        <v>32</v>
      </c>
      <c r="E61" s="13" t="s">
        <v>25</v>
      </c>
      <c r="F61" s="13" t="s">
        <v>25</v>
      </c>
      <c r="G61" s="12" t="s">
        <v>94</v>
      </c>
      <c r="H61" s="12" t="s">
        <v>88</v>
      </c>
      <c r="I61" s="12">
        <f>SUMIF(Mercado_Receita!$S$2:$S$2285,"43739B1Convencional pré-pagamentoResidencialResidencial baixa renda – faixa 04Não se aplicaNão se aplicaPonta",Mercado_Receita!$L$2:$L$2285)+SUMIF(Mercado_Receita!$S$2:$S$2285,"43739B1Convencional pré-pagamentoResidencialResidencial baixa renda – faixa 04Não se aplicaNão se aplicaFora ponta",Mercado_Receita!$L$2:$L$2285)+SUMIF(Mercado_Receita!$S$2:$S$2285,"43739B1Convencional pré-pagamentoResidencialResidencial baixa renda – faixa 04Não se aplicaNão se aplicaIntermediário",Mercado_Receita!$L$2:$L$2285)+SUMIF(Mercado_Receita!$S$2:$S$2285,"43739B1Convencional pré-pagamentoResidencialResidencial baixa renda – faixa 04Não se aplicaNão se aplicaNão se aplica",Mercado_Receita!$L$2:$L$2285)</f>
        <v>0</v>
      </c>
      <c r="J61" s="12">
        <f>SUMIF(Mercado_Receita!$S$2:$S$2285,"43770B1Convencional pré-pagamentoResidencialResidencial baixa renda – faixa 04Não se aplicaNão se aplicaPonta",Mercado_Receita!$L$2:$L$2285)+SUMIF(Mercado_Receita!$S$2:$S$2285,"43770B1Convencional pré-pagamentoResidencialResidencial baixa renda – faixa 04Não se aplicaNão se aplicaFora ponta",Mercado_Receita!$L$2:$L$2285)+SUMIF(Mercado_Receita!$S$2:$S$2285,"43770B1Convencional pré-pagamentoResidencialResidencial baixa renda – faixa 04Não se aplicaNão se aplicaIntermediário",Mercado_Receita!$L$2:$L$2285)+SUMIF(Mercado_Receita!$S$2:$S$2285,"43770B1Convencional pré-pagamentoResidencialResidencial baixa renda – faixa 04Não se aplicaNão se aplicaNão se aplica",Mercado_Receita!$L$2:$L$2285)</f>
        <v>0</v>
      </c>
      <c r="K61" s="12">
        <f>SUMIF(Mercado_Receita!$S$2:$S$2285,"43800B1Convencional pré-pagamentoResidencialResidencial baixa renda – faixa 04Não se aplicaNão se aplicaPonta",Mercado_Receita!$L$2:$L$2285)+SUMIF(Mercado_Receita!$S$2:$S$2285,"43800B1Convencional pré-pagamentoResidencialResidencial baixa renda – faixa 04Não se aplicaNão se aplicaFora ponta",Mercado_Receita!$L$2:$L$2285)+SUMIF(Mercado_Receita!$S$2:$S$2285,"43800B1Convencional pré-pagamentoResidencialResidencial baixa renda – faixa 04Não se aplicaNão se aplicaIntermediário",Mercado_Receita!$L$2:$L$2285)+SUMIF(Mercado_Receita!$S$2:$S$2285,"43800B1Convencional pré-pagamentoResidencialResidencial baixa renda – faixa 04Não se aplicaNão se aplicaNão se aplica",Mercado_Receita!$L$2:$L$2285)</f>
        <v>0</v>
      </c>
      <c r="L61" s="12">
        <f>SUMIF(Mercado_Receita!$S$2:$S$2285,"43831B1Convencional pré-pagamentoResidencialResidencial baixa renda – faixa 04Não se aplicaNão se aplicaPonta",Mercado_Receita!$L$2:$L$2285)+SUMIF(Mercado_Receita!$S$2:$S$2285,"43831B1Convencional pré-pagamentoResidencialResidencial baixa renda – faixa 04Não se aplicaNão se aplicaFora ponta",Mercado_Receita!$L$2:$L$2285)+SUMIF(Mercado_Receita!$S$2:$S$2285,"43831B1Convencional pré-pagamentoResidencialResidencial baixa renda – faixa 04Não se aplicaNão se aplicaIntermediário",Mercado_Receita!$L$2:$L$2285)+SUMIF(Mercado_Receita!$S$2:$S$2285,"43831B1Convencional pré-pagamentoResidencialResidencial baixa renda – faixa 04Não se aplicaNão se aplicaNão se aplica",Mercado_Receita!$L$2:$L$2285)</f>
        <v>0</v>
      </c>
      <c r="M61" s="12">
        <f>SUMIF(Mercado_Receita!$S$2:$S$2285,"43862B1Convencional pré-pagamentoResidencialResidencial baixa renda – faixa 04Não se aplicaNão se aplicaPonta",Mercado_Receita!$L$2:$L$2285)+SUMIF(Mercado_Receita!$S$2:$S$2285,"43862B1Convencional pré-pagamentoResidencialResidencial baixa renda – faixa 04Não se aplicaNão se aplicaFora ponta",Mercado_Receita!$L$2:$L$2285)+SUMIF(Mercado_Receita!$S$2:$S$2285,"43862B1Convencional pré-pagamentoResidencialResidencial baixa renda – faixa 04Não se aplicaNão se aplicaIntermediário",Mercado_Receita!$L$2:$L$2285)+SUMIF(Mercado_Receita!$S$2:$S$2285,"43862B1Convencional pré-pagamentoResidencialResidencial baixa renda – faixa 04Não se aplicaNão se aplicaNão se aplica",Mercado_Receita!$L$2:$L$2285)</f>
        <v>0</v>
      </c>
      <c r="N61" s="12">
        <f>SUMIF(Mercado_Receita!$S$2:$S$2285,"43891B1Convencional pré-pagamentoResidencialResidencial baixa renda – faixa 04Não se aplicaNão se aplicaPonta",Mercado_Receita!$L$2:$L$2285)+SUMIF(Mercado_Receita!$S$2:$S$2285,"43891B1Convencional pré-pagamentoResidencialResidencial baixa renda – faixa 04Não se aplicaNão se aplicaFora ponta",Mercado_Receita!$L$2:$L$2285)+SUMIF(Mercado_Receita!$S$2:$S$2285,"43891B1Convencional pré-pagamentoResidencialResidencial baixa renda – faixa 04Não se aplicaNão se aplicaIntermediário",Mercado_Receita!$L$2:$L$2285)+SUMIF(Mercado_Receita!$S$2:$S$2285,"43891B1Convencional pré-pagamentoResidencialResidencial baixa renda – faixa 04Não se aplicaNão se aplicaNão se aplica",Mercado_Receita!$L$2:$L$2285)</f>
        <v>0</v>
      </c>
      <c r="O61" s="12">
        <f>SUMIF(Mercado_Receita!$S$2:$S$2285,"43922B1Convencional pré-pagamentoResidencialResidencial baixa renda – faixa 04Não se aplicaNão se aplicaPonta",Mercado_Receita!$L$2:$L$2285)+SUMIF(Mercado_Receita!$S$2:$S$2285,"43922B1Convencional pré-pagamentoResidencialResidencial baixa renda – faixa 04Não se aplicaNão se aplicaFora ponta",Mercado_Receita!$L$2:$L$2285)+SUMIF(Mercado_Receita!$S$2:$S$2285,"43922B1Convencional pré-pagamentoResidencialResidencial baixa renda – faixa 04Não se aplicaNão se aplicaIntermediário",Mercado_Receita!$L$2:$L$2285)+SUMIF(Mercado_Receita!$S$2:$S$2285,"43922B1Convencional pré-pagamentoResidencialResidencial baixa renda – faixa 04Não se aplicaNão se aplicaNão se aplica",Mercado_Receita!$L$2:$L$2285)</f>
        <v>0</v>
      </c>
      <c r="P61" s="12">
        <f>SUMIF(Mercado_Receita!$S$2:$S$2285,"43952B1Convencional pré-pagamentoResidencialResidencial baixa renda – faixa 04Não se aplicaNão se aplicaPonta",Mercado_Receita!$L$2:$L$2285)+SUMIF(Mercado_Receita!$S$2:$S$2285,"43952B1Convencional pré-pagamentoResidencialResidencial baixa renda – faixa 04Não se aplicaNão se aplicaFora ponta",Mercado_Receita!$L$2:$L$2285)+SUMIF(Mercado_Receita!$S$2:$S$2285,"43952B1Convencional pré-pagamentoResidencialResidencial baixa renda – faixa 04Não se aplicaNão se aplicaIntermediário",Mercado_Receita!$L$2:$L$2285)+SUMIF(Mercado_Receita!$S$2:$S$2285,"43952B1Convencional pré-pagamentoResidencialResidencial baixa renda – faixa 04Não se aplicaNão se aplicaNão se aplica",Mercado_Receita!$L$2:$L$2285)</f>
        <v>0</v>
      </c>
      <c r="Q61" s="12">
        <f>SUMIF(Mercado_Receita!$S$2:$S$2285,"43983B1Convencional pré-pagamentoResidencialResidencial baixa renda – faixa 04Não se aplicaNão se aplicaPonta",Mercado_Receita!$L$2:$L$2285)+SUMIF(Mercado_Receita!$S$2:$S$2285,"43983B1Convencional pré-pagamentoResidencialResidencial baixa renda – faixa 04Não se aplicaNão se aplicaFora ponta",Mercado_Receita!$L$2:$L$2285)+SUMIF(Mercado_Receita!$S$2:$S$2285,"43983B1Convencional pré-pagamentoResidencialResidencial baixa renda – faixa 04Não se aplicaNão se aplicaIntermediário",Mercado_Receita!$L$2:$L$2285)+SUMIF(Mercado_Receita!$S$2:$S$2285,"43983B1Convencional pré-pagamentoResidencialResidencial baixa renda – faixa 04Não se aplicaNão se aplicaNão se aplica",Mercado_Receita!$L$2:$L$2285)</f>
        <v>0</v>
      </c>
      <c r="R61" s="12">
        <f>SUMIF(Mercado_Receita!$S$2:$S$2285,"44013B1Convencional pré-pagamentoResidencialResidencial baixa renda – faixa 04Não se aplicaNão se aplicaPonta",Mercado_Receita!$L$2:$L$2285)+SUMIF(Mercado_Receita!$S$2:$S$2285,"44013B1Convencional pré-pagamentoResidencialResidencial baixa renda – faixa 04Não se aplicaNão se aplicaFora ponta",Mercado_Receita!$L$2:$L$2285)+SUMIF(Mercado_Receita!$S$2:$S$2285,"44013B1Convencional pré-pagamentoResidencialResidencial baixa renda – faixa 04Não se aplicaNão se aplicaIntermediário",Mercado_Receita!$L$2:$L$2285)+SUMIF(Mercado_Receita!$S$2:$S$2285,"44013B1Convencional pré-pagamentoResidencialResidencial baixa renda – faixa 04Não se aplicaNão se aplicaNão se aplica",Mercado_Receita!$L$2:$L$2285)</f>
        <v>0</v>
      </c>
      <c r="S61" s="12">
        <f>SUMIF(Mercado_Receita!$S$2:$S$2285,"44044B1Convencional pré-pagamentoResidencialResidencial baixa renda – faixa 04Não se aplicaNão se aplicaPonta",Mercado_Receita!$L$2:$L$2285)+SUMIF(Mercado_Receita!$S$2:$S$2285,"44044B1Convencional pré-pagamentoResidencialResidencial baixa renda – faixa 04Não se aplicaNão se aplicaFora ponta",Mercado_Receita!$L$2:$L$2285)+SUMIF(Mercado_Receita!$S$2:$S$2285,"44044B1Convencional pré-pagamentoResidencialResidencial baixa renda – faixa 04Não se aplicaNão se aplicaIntermediário",Mercado_Receita!$L$2:$L$2285)+SUMIF(Mercado_Receita!$S$2:$S$2285,"44044B1Convencional pré-pagamentoResidencialResidencial baixa renda – faixa 04Não se aplicaNão se aplicaNão se aplica",Mercado_Receita!$L$2:$L$2285)</f>
        <v>0</v>
      </c>
      <c r="T61" s="12">
        <f>SUMIF(Mercado_Receita!$S$2:$S$2285,"44075B1Convencional pré-pagamentoResidencialResidencial baixa renda – faixa 04Não se aplicaNão se aplicaPonta",Mercado_Receita!$L$2:$L$2285)+SUMIF(Mercado_Receita!$S$2:$S$2285,"44075B1Convencional pré-pagamentoResidencialResidencial baixa renda – faixa 04Não se aplicaNão se aplicaFora ponta",Mercado_Receita!$L$2:$L$2285)+SUMIF(Mercado_Receita!$S$2:$S$2285,"44075B1Convencional pré-pagamentoResidencialResidencial baixa renda – faixa 04Não se aplicaNão se aplicaIntermediário",Mercado_Receita!$L$2:$L$2285)+SUMIF(Mercado_Receita!$S$2:$S$2285,"44075B1Convencional pré-pagamentoResidencialResidencial baixa renda – faixa 04Não se aplicaNão se aplicaNão se aplica",Mercado_Receita!$L$2:$L$2285)</f>
        <v>0</v>
      </c>
      <c r="U61" s="12">
        <f t="shared" si="1"/>
        <v>0</v>
      </c>
      <c r="V61" s="12"/>
      <c r="W61" s="12"/>
    </row>
    <row r="62" spans="1:23" ht="11.25" customHeight="1" x14ac:dyDescent="0.25">
      <c r="A62" s="104" t="s">
        <v>46</v>
      </c>
      <c r="B62" s="104" t="s">
        <v>37</v>
      </c>
      <c r="C62" s="104" t="s">
        <v>47</v>
      </c>
      <c r="D62" s="104" t="s">
        <v>25</v>
      </c>
      <c r="E62" s="104" t="s">
        <v>25</v>
      </c>
      <c r="F62" s="104" t="s">
        <v>25</v>
      </c>
      <c r="G62" s="12" t="s">
        <v>89</v>
      </c>
      <c r="H62" s="12" t="s">
        <v>88</v>
      </c>
      <c r="I62" s="12">
        <f>SUMIF(Mercado_Receita!$S$2:$S$2285,"43739B2BrancaRuralNão se aplicaNão se aplicaNão se aplicaPonta",Mercado_Receita!$L$2:$L$2285)</f>
        <v>8.1000000000000003E-2</v>
      </c>
      <c r="J62" s="12">
        <f>SUMIF(Mercado_Receita!$S$2:$S$2285,"43770B2BrancaRuralNão se aplicaNão se aplicaNão se aplicaPonta",Mercado_Receita!$L$2:$L$2285)</f>
        <v>7.6999999999999999E-2</v>
      </c>
      <c r="K62" s="12">
        <f>SUMIF(Mercado_Receita!$S$2:$S$2285,"43800B2BrancaRuralNão se aplicaNão se aplicaNão se aplicaPonta",Mercado_Receita!$L$2:$L$2285)</f>
        <v>7.0000000000000007E-2</v>
      </c>
      <c r="L62" s="12">
        <f>SUMIF(Mercado_Receita!$S$2:$S$2285,"43831B2BrancaRuralNão se aplicaNão se aplicaNão se aplicaPonta",Mercado_Receita!$L$2:$L$2285)</f>
        <v>8.5000000000000006E-2</v>
      </c>
      <c r="M62" s="12">
        <f>SUMIF(Mercado_Receita!$S$2:$S$2285,"43862B2BrancaRuralNão se aplicaNão se aplicaNão se aplicaPonta",Mercado_Receita!$L$2:$L$2285)</f>
        <v>7.5999999999999998E-2</v>
      </c>
      <c r="N62" s="12">
        <f>SUMIF(Mercado_Receita!$S$2:$S$2285,"43891B2BrancaRuralNão se aplicaNão se aplicaNão se aplicaPonta",Mercado_Receita!$L$2:$L$2285)</f>
        <v>8.4000000000000005E-2</v>
      </c>
      <c r="O62" s="12">
        <f>SUMIF(Mercado_Receita!$S$2:$S$2285,"43922B2BrancaRuralNão se aplicaNão se aplicaNão se aplicaPonta",Mercado_Receita!$L$2:$L$2285)</f>
        <v>0.108</v>
      </c>
      <c r="P62" s="12">
        <f>SUMIF(Mercado_Receita!$S$2:$S$2285,"43952B2BrancaRuralNão se aplicaNão se aplicaNão se aplicaPonta",Mercado_Receita!$L$2:$L$2285)</f>
        <v>8.8999999999999996E-2</v>
      </c>
      <c r="Q62" s="12">
        <f>SUMIF(Mercado_Receita!$S$2:$S$2285,"43983B2BrancaRuralNão se aplicaNão se aplicaNão se aplicaPonta",Mercado_Receita!$L$2:$L$2285)</f>
        <v>9.2999999999999999E-2</v>
      </c>
      <c r="R62" s="12">
        <f>SUMIF(Mercado_Receita!$S$2:$S$2285,"44013B2BrancaRuralNão se aplicaNão se aplicaNão se aplicaPonta",Mercado_Receita!$L$2:$L$2285)</f>
        <v>0.09</v>
      </c>
      <c r="S62" s="12">
        <f>SUMIF(Mercado_Receita!$S$2:$S$2285,"44044B2BrancaRuralNão se aplicaNão se aplicaNão se aplicaPonta",Mercado_Receita!$L$2:$L$2285)</f>
        <v>0.10100000000000001</v>
      </c>
      <c r="T62" s="12">
        <f>SUMIF(Mercado_Receita!$S$2:$S$2285,"44075B2BrancaRuralNão se aplicaNão se aplicaNão se aplicaPonta",Mercado_Receita!$L$2:$L$2285)</f>
        <v>0.10100000000000001</v>
      </c>
      <c r="U62" s="12">
        <f t="shared" si="1"/>
        <v>1.0549999999999999</v>
      </c>
      <c r="V62" s="12"/>
      <c r="W62" s="12"/>
    </row>
    <row r="63" spans="1:23" ht="11.25" customHeight="1" x14ac:dyDescent="0.25">
      <c r="A63" s="105"/>
      <c r="B63" s="105"/>
      <c r="C63" s="105"/>
      <c r="D63" s="105"/>
      <c r="E63" s="105"/>
      <c r="F63" s="105"/>
      <c r="G63" s="12" t="s">
        <v>100</v>
      </c>
      <c r="H63" s="12" t="s">
        <v>88</v>
      </c>
      <c r="I63" s="12">
        <f>SUMIF(Mercado_Receita!$S$2:$S$2285,"43739B2BrancaRuralNão se aplicaNão se aplicaNão se aplicaIntermediário",Mercado_Receita!$L$2:$L$2285)</f>
        <v>4.5999999999999999E-2</v>
      </c>
      <c r="J63" s="12">
        <f>SUMIF(Mercado_Receita!$S$2:$S$2285,"43770B2BrancaRuralNão se aplicaNão se aplicaNão se aplicaIntermediário",Mercado_Receita!$L$2:$L$2285)</f>
        <v>4.2999999999999997E-2</v>
      </c>
      <c r="K63" s="12">
        <f>SUMIF(Mercado_Receita!$S$2:$S$2285,"43800B2BrancaRuralNão se aplicaNão se aplicaNão se aplicaIntermediário",Mercado_Receita!$L$2:$L$2285)</f>
        <v>3.4000000000000002E-2</v>
      </c>
      <c r="L63" s="12">
        <f>SUMIF(Mercado_Receita!$S$2:$S$2285,"43831B2BrancaRuralNão se aplicaNão se aplicaNão se aplicaIntermediário",Mercado_Receita!$L$2:$L$2285)</f>
        <v>4.4999999999999998E-2</v>
      </c>
      <c r="M63" s="12">
        <f>SUMIF(Mercado_Receita!$S$2:$S$2285,"43862B2BrancaRuralNão se aplicaNão se aplicaNão se aplicaIntermediário",Mercado_Receita!$L$2:$L$2285)</f>
        <v>3.9E-2</v>
      </c>
      <c r="N63" s="12">
        <f>SUMIF(Mercado_Receita!$S$2:$S$2285,"43891B2BrancaRuralNão se aplicaNão se aplicaNão se aplicaIntermediário",Mercado_Receita!$L$2:$L$2285)</f>
        <v>5.1999999999999998E-2</v>
      </c>
      <c r="O63" s="12">
        <f>SUMIF(Mercado_Receita!$S$2:$S$2285,"43922B2BrancaRuralNão se aplicaNão se aplicaNão se aplicaIntermediário",Mercado_Receita!$L$2:$L$2285)</f>
        <v>5.1999999999999998E-2</v>
      </c>
      <c r="P63" s="12">
        <f>SUMIF(Mercado_Receita!$S$2:$S$2285,"43952B2BrancaRuralNão se aplicaNão se aplicaNão se aplicaIntermediário",Mercado_Receita!$L$2:$L$2285)</f>
        <v>5.2999999999999999E-2</v>
      </c>
      <c r="Q63" s="12">
        <f>SUMIF(Mercado_Receita!$S$2:$S$2285,"43983B2BrancaRuralNão se aplicaNão se aplicaNão se aplicaIntermediário",Mercado_Receita!$L$2:$L$2285)</f>
        <v>4.9000000000000002E-2</v>
      </c>
      <c r="R63" s="12">
        <f>SUMIF(Mercado_Receita!$S$2:$S$2285,"44013B2BrancaRuralNão se aplicaNão se aplicaNão se aplicaIntermediário",Mercado_Receita!$L$2:$L$2285)</f>
        <v>0.05</v>
      </c>
      <c r="S63" s="12">
        <f>SUMIF(Mercado_Receita!$S$2:$S$2285,"44044B2BrancaRuralNão se aplicaNão se aplicaNão se aplicaIntermediário",Mercado_Receita!$L$2:$L$2285)</f>
        <v>5.7000000000000002E-2</v>
      </c>
      <c r="T63" s="12">
        <f>SUMIF(Mercado_Receita!$S$2:$S$2285,"44075B2BrancaRuralNão se aplicaNão se aplicaNão se aplicaIntermediário",Mercado_Receita!$L$2:$L$2285)</f>
        <v>5.7000000000000002E-2</v>
      </c>
      <c r="U63" s="12">
        <f t="shared" si="1"/>
        <v>0.57700000000000007</v>
      </c>
      <c r="V63" s="12"/>
      <c r="W63" s="12"/>
    </row>
    <row r="64" spans="1:23" ht="11.25" customHeight="1" x14ac:dyDescent="0.25">
      <c r="A64" s="105"/>
      <c r="B64" s="105"/>
      <c r="C64" s="105"/>
      <c r="D64" s="105"/>
      <c r="E64" s="105"/>
      <c r="F64" s="105"/>
      <c r="G64" s="12" t="s">
        <v>90</v>
      </c>
      <c r="H64" s="12" t="s">
        <v>88</v>
      </c>
      <c r="I64" s="12">
        <f>SUMIF(Mercado_Receita!$S$2:$S$2285,"43739B2BrancaRuralNão se aplicaNão se aplicaNão se aplicaFora ponta",Mercado_Receita!$L$2:$L$2285)</f>
        <v>0.443</v>
      </c>
      <c r="J64" s="12">
        <f>SUMIF(Mercado_Receita!$S$2:$S$2285,"43770B2BrancaRuralNão se aplicaNão se aplicaNão se aplicaFora ponta",Mercado_Receita!$L$2:$L$2285)</f>
        <v>0.44400000000000001</v>
      </c>
      <c r="K64" s="12">
        <f>SUMIF(Mercado_Receita!$S$2:$S$2285,"43800B2BrancaRuralNão se aplicaNão se aplicaNão se aplicaFora ponta",Mercado_Receita!$L$2:$L$2285)</f>
        <v>0.36799999999999999</v>
      </c>
      <c r="L64" s="12">
        <f>SUMIF(Mercado_Receita!$S$2:$S$2285,"43831B2BrancaRuralNão se aplicaNão se aplicaNão se aplicaFora ponta",Mercado_Receita!$L$2:$L$2285)</f>
        <v>0.437</v>
      </c>
      <c r="M64" s="12">
        <f>SUMIF(Mercado_Receita!$S$2:$S$2285,"43862B2BrancaRuralNão se aplicaNão se aplicaNão se aplicaFora ponta",Mercado_Receita!$L$2:$L$2285)</f>
        <v>0.35899999999999999</v>
      </c>
      <c r="N64" s="12">
        <f>SUMIF(Mercado_Receita!$S$2:$S$2285,"43891B2BrancaRuralNão se aplicaNão se aplicaNão se aplicaFora ponta",Mercado_Receita!$L$2:$L$2285)</f>
        <v>0.435</v>
      </c>
      <c r="O64" s="12">
        <f>SUMIF(Mercado_Receita!$S$2:$S$2285,"43922B2BrancaRuralNão se aplicaNão se aplicaNão se aplicaFora ponta",Mercado_Receita!$L$2:$L$2285)</f>
        <v>0.434</v>
      </c>
      <c r="P64" s="12">
        <f>SUMIF(Mercado_Receita!$S$2:$S$2285,"43952B2BrancaRuralNão se aplicaNão se aplicaNão se aplicaFora ponta",Mercado_Receita!$L$2:$L$2285)</f>
        <v>0.40699999999999997</v>
      </c>
      <c r="Q64" s="12">
        <f>SUMIF(Mercado_Receita!$S$2:$S$2285,"43983B2BrancaRuralNão se aplicaNão se aplicaNão se aplicaFora ponta",Mercado_Receita!$L$2:$L$2285)</f>
        <v>0.38700000000000001</v>
      </c>
      <c r="R64" s="12">
        <f>SUMIF(Mercado_Receita!$S$2:$S$2285,"44013B2BrancaRuralNão se aplicaNão se aplicaNão se aplicaFora ponta",Mercado_Receita!$L$2:$L$2285)</f>
        <v>0.38400000000000001</v>
      </c>
      <c r="S64" s="12">
        <f>SUMIF(Mercado_Receita!$S$2:$S$2285,"44044B2BrancaRuralNão se aplicaNão se aplicaNão se aplicaFora ponta",Mercado_Receita!$L$2:$L$2285)</f>
        <v>0.45700000000000002</v>
      </c>
      <c r="T64" s="12">
        <f>SUMIF(Mercado_Receita!$S$2:$S$2285,"44075B2BrancaRuralNão se aplicaNão se aplicaNão se aplicaFora ponta",Mercado_Receita!$L$2:$L$2285)</f>
        <v>0.45700000000000002</v>
      </c>
      <c r="U64" s="12">
        <f t="shared" si="1"/>
        <v>5.0120000000000005</v>
      </c>
      <c r="V64" s="12"/>
      <c r="W64" s="12"/>
    </row>
    <row r="65" spans="1:23" ht="11.25" customHeight="1" x14ac:dyDescent="0.25">
      <c r="A65" s="105"/>
      <c r="B65" s="13" t="s">
        <v>23</v>
      </c>
      <c r="C65" s="13" t="s">
        <v>47</v>
      </c>
      <c r="D65" s="13" t="s">
        <v>25</v>
      </c>
      <c r="E65" s="13" t="s">
        <v>25</v>
      </c>
      <c r="F65" s="13" t="s">
        <v>25</v>
      </c>
      <c r="G65" s="12" t="s">
        <v>94</v>
      </c>
      <c r="H65" s="12" t="s">
        <v>88</v>
      </c>
      <c r="I65" s="12">
        <f>SUMIF(Mercado_Receita!$S$2:$S$2285,"43739B2ConvencionalRuralNão se aplicaNão se aplicaNão se aplicaPonta",Mercado_Receita!$L$2:$L$2285)+SUMIF(Mercado_Receita!$S$2:$S$2285,"43739B2ConvencionalRuralNão se aplicaNão se aplicaNão se aplicaFora ponta",Mercado_Receita!$L$2:$L$2285)+SUMIF(Mercado_Receita!$S$2:$S$2285,"43739B2ConvencionalRuralNão se aplicaNão se aplicaNão se aplicaIntermediário",Mercado_Receita!$L$2:$L$2285)+SUMIF(Mercado_Receita!$S$2:$S$2285,"43739B2ConvencionalRuralNão se aplicaNão se aplicaNão se aplicaNão se aplica",Mercado_Receita!$L$2:$L$2285)</f>
        <v>7849.1440000000002</v>
      </c>
      <c r="J65" s="12">
        <f>SUMIF(Mercado_Receita!$S$2:$S$2285,"43770B2ConvencionalRuralNão se aplicaNão se aplicaNão se aplicaPonta",Mercado_Receita!$L$2:$L$2285)+SUMIF(Mercado_Receita!$S$2:$S$2285,"43770B2ConvencionalRuralNão se aplicaNão se aplicaNão se aplicaFora ponta",Mercado_Receita!$L$2:$L$2285)+SUMIF(Mercado_Receita!$S$2:$S$2285,"43770B2ConvencionalRuralNão se aplicaNão se aplicaNão se aplicaIntermediário",Mercado_Receita!$L$2:$L$2285)+SUMIF(Mercado_Receita!$S$2:$S$2285,"43770B2ConvencionalRuralNão se aplicaNão se aplicaNão se aplicaNão se aplica",Mercado_Receita!$L$2:$L$2285)</f>
        <v>7724.6170000000002</v>
      </c>
      <c r="K65" s="12">
        <f>SUMIF(Mercado_Receita!$S$2:$S$2285,"43800B2ConvencionalRuralNão se aplicaNão se aplicaNão se aplicaPonta",Mercado_Receita!$L$2:$L$2285)+SUMIF(Mercado_Receita!$S$2:$S$2285,"43800B2ConvencionalRuralNão se aplicaNão se aplicaNão se aplicaFora ponta",Mercado_Receita!$L$2:$L$2285)+SUMIF(Mercado_Receita!$S$2:$S$2285,"43800B2ConvencionalRuralNão se aplicaNão se aplicaNão se aplicaIntermediário",Mercado_Receita!$L$2:$L$2285)+SUMIF(Mercado_Receita!$S$2:$S$2285,"43800B2ConvencionalRuralNão se aplicaNão se aplicaNão se aplicaNão se aplica",Mercado_Receita!$L$2:$L$2285)</f>
        <v>6311.4070000000002</v>
      </c>
      <c r="L65" s="12">
        <f>SUMIF(Mercado_Receita!$S$2:$S$2285,"43831B2ConvencionalRuralNão se aplicaNão se aplicaNão se aplicaPonta",Mercado_Receita!$L$2:$L$2285)+SUMIF(Mercado_Receita!$S$2:$S$2285,"43831B2ConvencionalRuralNão se aplicaNão se aplicaNão se aplicaFora ponta",Mercado_Receita!$L$2:$L$2285)+SUMIF(Mercado_Receita!$S$2:$S$2285,"43831B2ConvencionalRuralNão se aplicaNão se aplicaNão se aplicaIntermediário",Mercado_Receita!$L$2:$L$2285)+SUMIF(Mercado_Receita!$S$2:$S$2285,"43831B2ConvencionalRuralNão se aplicaNão se aplicaNão se aplicaNão se aplica",Mercado_Receita!$L$2:$L$2285)</f>
        <v>6806.7039999999997</v>
      </c>
      <c r="M65" s="12">
        <f>SUMIF(Mercado_Receita!$S$2:$S$2285,"43862B2ConvencionalRuralNão se aplicaNão se aplicaNão se aplicaPonta",Mercado_Receita!$L$2:$L$2285)+SUMIF(Mercado_Receita!$S$2:$S$2285,"43862B2ConvencionalRuralNão se aplicaNão se aplicaNão se aplicaFora ponta",Mercado_Receita!$L$2:$L$2285)+SUMIF(Mercado_Receita!$S$2:$S$2285,"43862B2ConvencionalRuralNão se aplicaNão se aplicaNão se aplicaIntermediário",Mercado_Receita!$L$2:$L$2285)+SUMIF(Mercado_Receita!$S$2:$S$2285,"43862B2ConvencionalRuralNão se aplicaNão se aplicaNão se aplicaNão se aplica",Mercado_Receita!$L$2:$L$2285)</f>
        <v>3230.8739999999998</v>
      </c>
      <c r="N65" s="12">
        <f>SUMIF(Mercado_Receita!$S$2:$S$2285,"43891B2ConvencionalRuralNão se aplicaNão se aplicaNão se aplicaPonta",Mercado_Receita!$L$2:$L$2285)+SUMIF(Mercado_Receita!$S$2:$S$2285,"43891B2ConvencionalRuralNão se aplicaNão se aplicaNão se aplicaFora ponta",Mercado_Receita!$L$2:$L$2285)+SUMIF(Mercado_Receita!$S$2:$S$2285,"43891B2ConvencionalRuralNão se aplicaNão se aplicaNão se aplicaIntermediário",Mercado_Receita!$L$2:$L$2285)+SUMIF(Mercado_Receita!$S$2:$S$2285,"43891B2ConvencionalRuralNão se aplicaNão se aplicaNão se aplicaNão se aplica",Mercado_Receita!$L$2:$L$2285)</f>
        <v>6035.3850000000002</v>
      </c>
      <c r="O65" s="12">
        <f>SUMIF(Mercado_Receita!$S$2:$S$2285,"43922B2ConvencionalRuralNão se aplicaNão se aplicaNão se aplicaPonta",Mercado_Receita!$L$2:$L$2285)+SUMIF(Mercado_Receita!$S$2:$S$2285,"43922B2ConvencionalRuralNão se aplicaNão se aplicaNão se aplicaFora ponta",Mercado_Receita!$L$2:$L$2285)+SUMIF(Mercado_Receita!$S$2:$S$2285,"43922B2ConvencionalRuralNão se aplicaNão se aplicaNão se aplicaIntermediário",Mercado_Receita!$L$2:$L$2285)+SUMIF(Mercado_Receita!$S$2:$S$2285,"43922B2ConvencionalRuralNão se aplicaNão se aplicaNão se aplicaNão se aplica",Mercado_Receita!$L$2:$L$2285)</f>
        <v>6878.6359999999995</v>
      </c>
      <c r="P65" s="12">
        <f>SUMIF(Mercado_Receita!$S$2:$S$2285,"43952B2ConvencionalRuralNão se aplicaNão se aplicaNão se aplicaPonta",Mercado_Receita!$L$2:$L$2285)+SUMIF(Mercado_Receita!$S$2:$S$2285,"43952B2ConvencionalRuralNão se aplicaNão se aplicaNão se aplicaFora ponta",Mercado_Receita!$L$2:$L$2285)+SUMIF(Mercado_Receita!$S$2:$S$2285,"43952B2ConvencionalRuralNão se aplicaNão se aplicaNão se aplicaIntermediário",Mercado_Receita!$L$2:$L$2285)+SUMIF(Mercado_Receita!$S$2:$S$2285,"43952B2ConvencionalRuralNão se aplicaNão se aplicaNão se aplicaNão se aplica",Mercado_Receita!$L$2:$L$2285)</f>
        <v>7025.7520000000004</v>
      </c>
      <c r="Q65" s="12">
        <f>SUMIF(Mercado_Receita!$S$2:$S$2285,"43983B2ConvencionalRuralNão se aplicaNão se aplicaNão se aplicaPonta",Mercado_Receita!$L$2:$L$2285)+SUMIF(Mercado_Receita!$S$2:$S$2285,"43983B2ConvencionalRuralNão se aplicaNão se aplicaNão se aplicaFora ponta",Mercado_Receita!$L$2:$L$2285)+SUMIF(Mercado_Receita!$S$2:$S$2285,"43983B2ConvencionalRuralNão se aplicaNão se aplicaNão se aplicaIntermediário",Mercado_Receita!$L$2:$L$2285)+SUMIF(Mercado_Receita!$S$2:$S$2285,"43983B2ConvencionalRuralNão se aplicaNão se aplicaNão se aplicaNão se aplica",Mercado_Receita!$L$2:$L$2285)</f>
        <v>6636.6949999999997</v>
      </c>
      <c r="R65" s="12">
        <f>SUMIF(Mercado_Receita!$S$2:$S$2285,"44013B2ConvencionalRuralNão se aplicaNão se aplicaNão se aplicaPonta",Mercado_Receita!$L$2:$L$2285)+SUMIF(Mercado_Receita!$S$2:$S$2285,"44013B2ConvencionalRuralNão se aplicaNão se aplicaNão se aplicaFora ponta",Mercado_Receita!$L$2:$L$2285)+SUMIF(Mercado_Receita!$S$2:$S$2285,"44013B2ConvencionalRuralNão se aplicaNão se aplicaNão se aplicaIntermediário",Mercado_Receita!$L$2:$L$2285)+SUMIF(Mercado_Receita!$S$2:$S$2285,"44013B2ConvencionalRuralNão se aplicaNão se aplicaNão se aplicaNão se aplica",Mercado_Receita!$L$2:$L$2285)</f>
        <v>7040.1289999999999</v>
      </c>
      <c r="S65" s="12">
        <f>SUMIF(Mercado_Receita!$S$2:$S$2285,"44044B2ConvencionalRuralNão se aplicaNão se aplicaNão se aplicaPonta",Mercado_Receita!$L$2:$L$2285)+SUMIF(Mercado_Receita!$S$2:$S$2285,"44044B2ConvencionalRuralNão se aplicaNão se aplicaNão se aplicaFora ponta",Mercado_Receita!$L$2:$L$2285)+SUMIF(Mercado_Receita!$S$2:$S$2285,"44044B2ConvencionalRuralNão se aplicaNão se aplicaNão se aplicaIntermediário",Mercado_Receita!$L$2:$L$2285)+SUMIF(Mercado_Receita!$S$2:$S$2285,"44044B2ConvencionalRuralNão se aplicaNão se aplicaNão se aplicaNão se aplica",Mercado_Receita!$L$2:$L$2285)</f>
        <v>8049.3310000000001</v>
      </c>
      <c r="T65" s="12">
        <f>SUMIF(Mercado_Receita!$S$2:$S$2285,"44075B2ConvencionalRuralNão se aplicaNão se aplicaNão se aplicaPonta",Mercado_Receita!$L$2:$L$2285)+SUMIF(Mercado_Receita!$S$2:$S$2285,"44075B2ConvencionalRuralNão se aplicaNão se aplicaNão se aplicaFora ponta",Mercado_Receita!$L$2:$L$2285)+SUMIF(Mercado_Receita!$S$2:$S$2285,"44075B2ConvencionalRuralNão se aplicaNão se aplicaNão se aplicaIntermediário",Mercado_Receita!$L$2:$L$2285)+SUMIF(Mercado_Receita!$S$2:$S$2285,"44075B2ConvencionalRuralNão se aplicaNão se aplicaNão se aplicaNão se aplica",Mercado_Receita!$L$2:$L$2285)</f>
        <v>8049.3310000000001</v>
      </c>
      <c r="U65" s="12">
        <f t="shared" si="1"/>
        <v>81638.005000000005</v>
      </c>
      <c r="V65" s="12"/>
      <c r="W65" s="12"/>
    </row>
    <row r="66" spans="1:23" ht="11.25" customHeight="1" x14ac:dyDescent="0.25">
      <c r="A66" s="105"/>
      <c r="B66" s="104" t="s">
        <v>37</v>
      </c>
      <c r="C66" s="104" t="s">
        <v>47</v>
      </c>
      <c r="D66" s="104" t="s">
        <v>103</v>
      </c>
      <c r="E66" s="104" t="s">
        <v>25</v>
      </c>
      <c r="F66" s="104" t="s">
        <v>25</v>
      </c>
      <c r="G66" s="12" t="s">
        <v>89</v>
      </c>
      <c r="H66" s="12" t="s">
        <v>88</v>
      </c>
      <c r="I66" s="12">
        <f>SUMIF(Mercado_Receita!$S$2:$S$2285,"43739B2BrancaRuralCooperativa de eletrificação ruralNão se aplicaNão se aplicaPonta",Mercado_Receita!$L$2:$L$2285)</f>
        <v>0</v>
      </c>
      <c r="J66" s="12">
        <f>SUMIF(Mercado_Receita!$S$2:$S$2285,"43770B2BrancaRuralCooperativa de eletrificação ruralNão se aplicaNão se aplicaPonta",Mercado_Receita!$L$2:$L$2285)</f>
        <v>0</v>
      </c>
      <c r="K66" s="12">
        <f>SUMIF(Mercado_Receita!$S$2:$S$2285,"43800B2BrancaRuralCooperativa de eletrificação ruralNão se aplicaNão se aplicaPonta",Mercado_Receita!$L$2:$L$2285)</f>
        <v>0</v>
      </c>
      <c r="L66" s="12">
        <f>SUMIF(Mercado_Receita!$S$2:$S$2285,"43831B2BrancaRuralCooperativa de eletrificação ruralNão se aplicaNão se aplicaPonta",Mercado_Receita!$L$2:$L$2285)</f>
        <v>0</v>
      </c>
      <c r="M66" s="12">
        <f>SUMIF(Mercado_Receita!$S$2:$S$2285,"43862B2BrancaRuralCooperativa de eletrificação ruralNão se aplicaNão se aplicaPonta",Mercado_Receita!$L$2:$L$2285)</f>
        <v>0</v>
      </c>
      <c r="N66" s="12">
        <f>SUMIF(Mercado_Receita!$S$2:$S$2285,"43891B2BrancaRuralCooperativa de eletrificação ruralNão se aplicaNão se aplicaPonta",Mercado_Receita!$L$2:$L$2285)</f>
        <v>0</v>
      </c>
      <c r="O66" s="12">
        <f>SUMIF(Mercado_Receita!$S$2:$S$2285,"43922B2BrancaRuralCooperativa de eletrificação ruralNão se aplicaNão se aplicaPonta",Mercado_Receita!$L$2:$L$2285)</f>
        <v>0</v>
      </c>
      <c r="P66" s="12">
        <f>SUMIF(Mercado_Receita!$S$2:$S$2285,"43952B2BrancaRuralCooperativa de eletrificação ruralNão se aplicaNão se aplicaPonta",Mercado_Receita!$L$2:$L$2285)</f>
        <v>0</v>
      </c>
      <c r="Q66" s="12">
        <f>SUMIF(Mercado_Receita!$S$2:$S$2285,"43983B2BrancaRuralCooperativa de eletrificação ruralNão se aplicaNão se aplicaPonta",Mercado_Receita!$L$2:$L$2285)</f>
        <v>0</v>
      </c>
      <c r="R66" s="12">
        <f>SUMIF(Mercado_Receita!$S$2:$S$2285,"44013B2BrancaRuralCooperativa de eletrificação ruralNão se aplicaNão se aplicaPonta",Mercado_Receita!$L$2:$L$2285)</f>
        <v>0</v>
      </c>
      <c r="S66" s="12">
        <f>SUMIF(Mercado_Receita!$S$2:$S$2285,"44044B2BrancaRuralCooperativa de eletrificação ruralNão se aplicaNão se aplicaPonta",Mercado_Receita!$L$2:$L$2285)</f>
        <v>0</v>
      </c>
      <c r="T66" s="12">
        <f>SUMIF(Mercado_Receita!$S$2:$S$2285,"44075B2BrancaRuralCooperativa de eletrificação ruralNão se aplicaNão se aplicaPonta",Mercado_Receita!$L$2:$L$2285)</f>
        <v>0</v>
      </c>
      <c r="U66" s="12">
        <f t="shared" ref="U66:U83" si="2">SUM(I66:T66)</f>
        <v>0</v>
      </c>
      <c r="V66" s="12"/>
      <c r="W66" s="12"/>
    </row>
    <row r="67" spans="1:23" ht="11.25" customHeight="1" x14ac:dyDescent="0.25">
      <c r="A67" s="105"/>
      <c r="B67" s="105"/>
      <c r="C67" s="105"/>
      <c r="D67" s="105"/>
      <c r="E67" s="105"/>
      <c r="F67" s="105"/>
      <c r="G67" s="12" t="s">
        <v>100</v>
      </c>
      <c r="H67" s="12" t="s">
        <v>88</v>
      </c>
      <c r="I67" s="12">
        <f>SUMIF(Mercado_Receita!$S$2:$S$2285,"43739B2BrancaRuralCooperativa de eletrificação ruralNão se aplicaNão se aplicaIntermediário",Mercado_Receita!$L$2:$L$2285)</f>
        <v>0</v>
      </c>
      <c r="J67" s="12">
        <f>SUMIF(Mercado_Receita!$S$2:$S$2285,"43770B2BrancaRuralCooperativa de eletrificação ruralNão se aplicaNão se aplicaIntermediário",Mercado_Receita!$L$2:$L$2285)</f>
        <v>0</v>
      </c>
      <c r="K67" s="12">
        <f>SUMIF(Mercado_Receita!$S$2:$S$2285,"43800B2BrancaRuralCooperativa de eletrificação ruralNão se aplicaNão se aplicaIntermediário",Mercado_Receita!$L$2:$L$2285)</f>
        <v>0</v>
      </c>
      <c r="L67" s="12">
        <f>SUMIF(Mercado_Receita!$S$2:$S$2285,"43831B2BrancaRuralCooperativa de eletrificação ruralNão se aplicaNão se aplicaIntermediário",Mercado_Receita!$L$2:$L$2285)</f>
        <v>0</v>
      </c>
      <c r="M67" s="12">
        <f>SUMIF(Mercado_Receita!$S$2:$S$2285,"43862B2BrancaRuralCooperativa de eletrificação ruralNão se aplicaNão se aplicaIntermediário",Mercado_Receita!$L$2:$L$2285)</f>
        <v>0</v>
      </c>
      <c r="N67" s="12">
        <f>SUMIF(Mercado_Receita!$S$2:$S$2285,"43891B2BrancaRuralCooperativa de eletrificação ruralNão se aplicaNão se aplicaIntermediário",Mercado_Receita!$L$2:$L$2285)</f>
        <v>0</v>
      </c>
      <c r="O67" s="12">
        <f>SUMIF(Mercado_Receita!$S$2:$S$2285,"43922B2BrancaRuralCooperativa de eletrificação ruralNão se aplicaNão se aplicaIntermediário",Mercado_Receita!$L$2:$L$2285)</f>
        <v>0</v>
      </c>
      <c r="P67" s="12">
        <f>SUMIF(Mercado_Receita!$S$2:$S$2285,"43952B2BrancaRuralCooperativa de eletrificação ruralNão se aplicaNão se aplicaIntermediário",Mercado_Receita!$L$2:$L$2285)</f>
        <v>0</v>
      </c>
      <c r="Q67" s="12">
        <f>SUMIF(Mercado_Receita!$S$2:$S$2285,"43983B2BrancaRuralCooperativa de eletrificação ruralNão se aplicaNão se aplicaIntermediário",Mercado_Receita!$L$2:$L$2285)</f>
        <v>0</v>
      </c>
      <c r="R67" s="12">
        <f>SUMIF(Mercado_Receita!$S$2:$S$2285,"44013B2BrancaRuralCooperativa de eletrificação ruralNão se aplicaNão se aplicaIntermediário",Mercado_Receita!$L$2:$L$2285)</f>
        <v>0</v>
      </c>
      <c r="S67" s="12">
        <f>SUMIF(Mercado_Receita!$S$2:$S$2285,"44044B2BrancaRuralCooperativa de eletrificação ruralNão se aplicaNão se aplicaIntermediário",Mercado_Receita!$L$2:$L$2285)</f>
        <v>0</v>
      </c>
      <c r="T67" s="12">
        <f>SUMIF(Mercado_Receita!$S$2:$S$2285,"44075B2BrancaRuralCooperativa de eletrificação ruralNão se aplicaNão se aplicaIntermediário",Mercado_Receita!$L$2:$L$2285)</f>
        <v>0</v>
      </c>
      <c r="U67" s="12">
        <f t="shared" si="2"/>
        <v>0</v>
      </c>
      <c r="V67" s="12"/>
      <c r="W67" s="12"/>
    </row>
    <row r="68" spans="1:23" ht="11.25" customHeight="1" x14ac:dyDescent="0.25">
      <c r="A68" s="105"/>
      <c r="B68" s="105"/>
      <c r="C68" s="105"/>
      <c r="D68" s="105"/>
      <c r="E68" s="105"/>
      <c r="F68" s="105"/>
      <c r="G68" s="12" t="s">
        <v>90</v>
      </c>
      <c r="H68" s="12" t="s">
        <v>88</v>
      </c>
      <c r="I68" s="12">
        <f>SUMIF(Mercado_Receita!$S$2:$S$2285,"43739B2BrancaRuralCooperativa de eletrificação ruralNão se aplicaNão se aplicaFora ponta",Mercado_Receita!$L$2:$L$2285)</f>
        <v>0</v>
      </c>
      <c r="J68" s="12">
        <f>SUMIF(Mercado_Receita!$S$2:$S$2285,"43770B2BrancaRuralCooperativa de eletrificação ruralNão se aplicaNão se aplicaFora ponta",Mercado_Receita!$L$2:$L$2285)</f>
        <v>0</v>
      </c>
      <c r="K68" s="12">
        <f>SUMIF(Mercado_Receita!$S$2:$S$2285,"43800B2BrancaRuralCooperativa de eletrificação ruralNão se aplicaNão se aplicaFora ponta",Mercado_Receita!$L$2:$L$2285)</f>
        <v>0</v>
      </c>
      <c r="L68" s="12">
        <f>SUMIF(Mercado_Receita!$S$2:$S$2285,"43831B2BrancaRuralCooperativa de eletrificação ruralNão se aplicaNão se aplicaFora ponta",Mercado_Receita!$L$2:$L$2285)</f>
        <v>0</v>
      </c>
      <c r="M68" s="12">
        <f>SUMIF(Mercado_Receita!$S$2:$S$2285,"43862B2BrancaRuralCooperativa de eletrificação ruralNão se aplicaNão se aplicaFora ponta",Mercado_Receita!$L$2:$L$2285)</f>
        <v>0</v>
      </c>
      <c r="N68" s="12">
        <f>SUMIF(Mercado_Receita!$S$2:$S$2285,"43891B2BrancaRuralCooperativa de eletrificação ruralNão se aplicaNão se aplicaFora ponta",Mercado_Receita!$L$2:$L$2285)</f>
        <v>0</v>
      </c>
      <c r="O68" s="12">
        <f>SUMIF(Mercado_Receita!$S$2:$S$2285,"43922B2BrancaRuralCooperativa de eletrificação ruralNão se aplicaNão se aplicaFora ponta",Mercado_Receita!$L$2:$L$2285)</f>
        <v>0</v>
      </c>
      <c r="P68" s="12">
        <f>SUMIF(Mercado_Receita!$S$2:$S$2285,"43952B2BrancaRuralCooperativa de eletrificação ruralNão se aplicaNão se aplicaFora ponta",Mercado_Receita!$L$2:$L$2285)</f>
        <v>0</v>
      </c>
      <c r="Q68" s="12">
        <f>SUMIF(Mercado_Receita!$S$2:$S$2285,"43983B2BrancaRuralCooperativa de eletrificação ruralNão se aplicaNão se aplicaFora ponta",Mercado_Receita!$L$2:$L$2285)</f>
        <v>0</v>
      </c>
      <c r="R68" s="12">
        <f>SUMIF(Mercado_Receita!$S$2:$S$2285,"44013B2BrancaRuralCooperativa de eletrificação ruralNão se aplicaNão se aplicaFora ponta",Mercado_Receita!$L$2:$L$2285)</f>
        <v>0</v>
      </c>
      <c r="S68" s="12">
        <f>SUMIF(Mercado_Receita!$S$2:$S$2285,"44044B2BrancaRuralCooperativa de eletrificação ruralNão se aplicaNão se aplicaFora ponta",Mercado_Receita!$L$2:$L$2285)</f>
        <v>0</v>
      </c>
      <c r="T68" s="12">
        <f>SUMIF(Mercado_Receita!$S$2:$S$2285,"44075B2BrancaRuralCooperativa de eletrificação ruralNão se aplicaNão se aplicaFora ponta",Mercado_Receita!$L$2:$L$2285)</f>
        <v>0</v>
      </c>
      <c r="U68" s="12">
        <f t="shared" si="2"/>
        <v>0</v>
      </c>
      <c r="V68" s="12"/>
      <c r="W68" s="12"/>
    </row>
    <row r="69" spans="1:23" ht="11.25" customHeight="1" x14ac:dyDescent="0.25">
      <c r="A69" s="105"/>
      <c r="B69" s="13" t="s">
        <v>23</v>
      </c>
      <c r="C69" s="13" t="s">
        <v>47</v>
      </c>
      <c r="D69" s="13" t="s">
        <v>103</v>
      </c>
      <c r="E69" s="13" t="s">
        <v>25</v>
      </c>
      <c r="F69" s="13" t="s">
        <v>25</v>
      </c>
      <c r="G69" s="12" t="s">
        <v>94</v>
      </c>
      <c r="H69" s="12" t="s">
        <v>88</v>
      </c>
      <c r="I69" s="12">
        <f>SUMIF(Mercado_Receita!$S$2:$S$2285,"43739B2ConvencionalRuralCooperativa de eletrificação ruralNão se aplicaNão se aplicaPonta",Mercado_Receita!$L$2:$L$2285)+SUMIF(Mercado_Receita!$S$2:$S$2285,"43739B2ConvencionalRuralCooperativa de eletrificação ruralNão se aplicaNão se aplicaFora ponta",Mercado_Receita!$L$2:$L$2285)+SUMIF(Mercado_Receita!$S$2:$S$2285,"43739B2ConvencionalRuralCooperativa de eletrificação ruralNão se aplicaNão se aplicaIntermediário",Mercado_Receita!$L$2:$L$2285)+SUMIF(Mercado_Receita!$S$2:$S$2285,"43739B2ConvencionalRuralCooperativa de eletrificação ruralNão se aplicaNão se aplicaNão se aplica",Mercado_Receita!$L$2:$L$2285)</f>
        <v>0</v>
      </c>
      <c r="J69" s="12">
        <f>SUMIF(Mercado_Receita!$S$2:$S$2285,"43770B2ConvencionalRuralCooperativa de eletrificação ruralNão se aplicaNão se aplicaPonta",Mercado_Receita!$L$2:$L$2285)+SUMIF(Mercado_Receita!$S$2:$S$2285,"43770B2ConvencionalRuralCooperativa de eletrificação ruralNão se aplicaNão se aplicaFora ponta",Mercado_Receita!$L$2:$L$2285)+SUMIF(Mercado_Receita!$S$2:$S$2285,"43770B2ConvencionalRuralCooperativa de eletrificação ruralNão se aplicaNão se aplicaIntermediário",Mercado_Receita!$L$2:$L$2285)+SUMIF(Mercado_Receita!$S$2:$S$2285,"43770B2ConvencionalRuralCooperativa de eletrificação ruralNão se aplicaNão se aplicaNão se aplica",Mercado_Receita!$L$2:$L$2285)</f>
        <v>0</v>
      </c>
      <c r="K69" s="12">
        <f>SUMIF(Mercado_Receita!$S$2:$S$2285,"43800B2ConvencionalRuralCooperativa de eletrificação ruralNão se aplicaNão se aplicaPonta",Mercado_Receita!$L$2:$L$2285)+SUMIF(Mercado_Receita!$S$2:$S$2285,"43800B2ConvencionalRuralCooperativa de eletrificação ruralNão se aplicaNão se aplicaFora ponta",Mercado_Receita!$L$2:$L$2285)+SUMIF(Mercado_Receita!$S$2:$S$2285,"43800B2ConvencionalRuralCooperativa de eletrificação ruralNão se aplicaNão se aplicaIntermediário",Mercado_Receita!$L$2:$L$2285)+SUMIF(Mercado_Receita!$S$2:$S$2285,"43800B2ConvencionalRuralCooperativa de eletrificação ruralNão se aplicaNão se aplicaNão se aplica",Mercado_Receita!$L$2:$L$2285)</f>
        <v>0</v>
      </c>
      <c r="L69" s="12">
        <f>SUMIF(Mercado_Receita!$S$2:$S$2285,"43831B2ConvencionalRuralCooperativa de eletrificação ruralNão se aplicaNão se aplicaPonta",Mercado_Receita!$L$2:$L$2285)+SUMIF(Mercado_Receita!$S$2:$S$2285,"43831B2ConvencionalRuralCooperativa de eletrificação ruralNão se aplicaNão se aplicaFora ponta",Mercado_Receita!$L$2:$L$2285)+SUMIF(Mercado_Receita!$S$2:$S$2285,"43831B2ConvencionalRuralCooperativa de eletrificação ruralNão se aplicaNão se aplicaIntermediário",Mercado_Receita!$L$2:$L$2285)+SUMIF(Mercado_Receita!$S$2:$S$2285,"43831B2ConvencionalRuralCooperativa de eletrificação ruralNão se aplicaNão se aplicaNão se aplica",Mercado_Receita!$L$2:$L$2285)</f>
        <v>0</v>
      </c>
      <c r="M69" s="12">
        <f>SUMIF(Mercado_Receita!$S$2:$S$2285,"43862B2ConvencionalRuralCooperativa de eletrificação ruralNão se aplicaNão se aplicaPonta",Mercado_Receita!$L$2:$L$2285)+SUMIF(Mercado_Receita!$S$2:$S$2285,"43862B2ConvencionalRuralCooperativa de eletrificação ruralNão se aplicaNão se aplicaFora ponta",Mercado_Receita!$L$2:$L$2285)+SUMIF(Mercado_Receita!$S$2:$S$2285,"43862B2ConvencionalRuralCooperativa de eletrificação ruralNão se aplicaNão se aplicaIntermediário",Mercado_Receita!$L$2:$L$2285)+SUMIF(Mercado_Receita!$S$2:$S$2285,"43862B2ConvencionalRuralCooperativa de eletrificação ruralNão se aplicaNão se aplicaNão se aplica",Mercado_Receita!$L$2:$L$2285)</f>
        <v>0</v>
      </c>
      <c r="N69" s="12">
        <f>SUMIF(Mercado_Receita!$S$2:$S$2285,"43891B2ConvencionalRuralCooperativa de eletrificação ruralNão se aplicaNão se aplicaPonta",Mercado_Receita!$L$2:$L$2285)+SUMIF(Mercado_Receita!$S$2:$S$2285,"43891B2ConvencionalRuralCooperativa de eletrificação ruralNão se aplicaNão se aplicaFora ponta",Mercado_Receita!$L$2:$L$2285)+SUMIF(Mercado_Receita!$S$2:$S$2285,"43891B2ConvencionalRuralCooperativa de eletrificação ruralNão se aplicaNão se aplicaIntermediário",Mercado_Receita!$L$2:$L$2285)+SUMIF(Mercado_Receita!$S$2:$S$2285,"43891B2ConvencionalRuralCooperativa de eletrificação ruralNão se aplicaNão se aplicaNão se aplica",Mercado_Receita!$L$2:$L$2285)</f>
        <v>0</v>
      </c>
      <c r="O69" s="12">
        <f>SUMIF(Mercado_Receita!$S$2:$S$2285,"43922B2ConvencionalRuralCooperativa de eletrificação ruralNão se aplicaNão se aplicaPonta",Mercado_Receita!$L$2:$L$2285)+SUMIF(Mercado_Receita!$S$2:$S$2285,"43922B2ConvencionalRuralCooperativa de eletrificação ruralNão se aplicaNão se aplicaFora ponta",Mercado_Receita!$L$2:$L$2285)+SUMIF(Mercado_Receita!$S$2:$S$2285,"43922B2ConvencionalRuralCooperativa de eletrificação ruralNão se aplicaNão se aplicaIntermediário",Mercado_Receita!$L$2:$L$2285)+SUMIF(Mercado_Receita!$S$2:$S$2285,"43922B2ConvencionalRuralCooperativa de eletrificação ruralNão se aplicaNão se aplicaNão se aplica",Mercado_Receita!$L$2:$L$2285)</f>
        <v>0</v>
      </c>
      <c r="P69" s="12">
        <f>SUMIF(Mercado_Receita!$S$2:$S$2285,"43952B2ConvencionalRuralCooperativa de eletrificação ruralNão se aplicaNão se aplicaPonta",Mercado_Receita!$L$2:$L$2285)+SUMIF(Mercado_Receita!$S$2:$S$2285,"43952B2ConvencionalRuralCooperativa de eletrificação ruralNão se aplicaNão se aplicaFora ponta",Mercado_Receita!$L$2:$L$2285)+SUMIF(Mercado_Receita!$S$2:$S$2285,"43952B2ConvencionalRuralCooperativa de eletrificação ruralNão se aplicaNão se aplicaIntermediário",Mercado_Receita!$L$2:$L$2285)+SUMIF(Mercado_Receita!$S$2:$S$2285,"43952B2ConvencionalRuralCooperativa de eletrificação ruralNão se aplicaNão se aplicaNão se aplica",Mercado_Receita!$L$2:$L$2285)</f>
        <v>0</v>
      </c>
      <c r="Q69" s="12">
        <f>SUMIF(Mercado_Receita!$S$2:$S$2285,"43983B2ConvencionalRuralCooperativa de eletrificação ruralNão se aplicaNão se aplicaPonta",Mercado_Receita!$L$2:$L$2285)+SUMIF(Mercado_Receita!$S$2:$S$2285,"43983B2ConvencionalRuralCooperativa de eletrificação ruralNão se aplicaNão se aplicaFora ponta",Mercado_Receita!$L$2:$L$2285)+SUMIF(Mercado_Receita!$S$2:$S$2285,"43983B2ConvencionalRuralCooperativa de eletrificação ruralNão se aplicaNão se aplicaIntermediário",Mercado_Receita!$L$2:$L$2285)+SUMIF(Mercado_Receita!$S$2:$S$2285,"43983B2ConvencionalRuralCooperativa de eletrificação ruralNão se aplicaNão se aplicaNão se aplica",Mercado_Receita!$L$2:$L$2285)</f>
        <v>0</v>
      </c>
      <c r="R69" s="12">
        <f>SUMIF(Mercado_Receita!$S$2:$S$2285,"44013B2ConvencionalRuralCooperativa de eletrificação ruralNão se aplicaNão se aplicaPonta",Mercado_Receita!$L$2:$L$2285)+SUMIF(Mercado_Receita!$S$2:$S$2285,"44013B2ConvencionalRuralCooperativa de eletrificação ruralNão se aplicaNão se aplicaFora ponta",Mercado_Receita!$L$2:$L$2285)+SUMIF(Mercado_Receita!$S$2:$S$2285,"44013B2ConvencionalRuralCooperativa de eletrificação ruralNão se aplicaNão se aplicaIntermediário",Mercado_Receita!$L$2:$L$2285)+SUMIF(Mercado_Receita!$S$2:$S$2285,"44013B2ConvencionalRuralCooperativa de eletrificação ruralNão se aplicaNão se aplicaNão se aplica",Mercado_Receita!$L$2:$L$2285)</f>
        <v>0</v>
      </c>
      <c r="S69" s="12">
        <f>SUMIF(Mercado_Receita!$S$2:$S$2285,"44044B2ConvencionalRuralCooperativa de eletrificação ruralNão se aplicaNão se aplicaPonta",Mercado_Receita!$L$2:$L$2285)+SUMIF(Mercado_Receita!$S$2:$S$2285,"44044B2ConvencionalRuralCooperativa de eletrificação ruralNão se aplicaNão se aplicaFora ponta",Mercado_Receita!$L$2:$L$2285)+SUMIF(Mercado_Receita!$S$2:$S$2285,"44044B2ConvencionalRuralCooperativa de eletrificação ruralNão se aplicaNão se aplicaIntermediário",Mercado_Receita!$L$2:$L$2285)+SUMIF(Mercado_Receita!$S$2:$S$2285,"44044B2ConvencionalRuralCooperativa de eletrificação ruralNão se aplicaNão se aplicaNão se aplica",Mercado_Receita!$L$2:$L$2285)</f>
        <v>0</v>
      </c>
      <c r="T69" s="12">
        <f>SUMIF(Mercado_Receita!$S$2:$S$2285,"44075B2ConvencionalRuralCooperativa de eletrificação ruralNão se aplicaNão se aplicaPonta",Mercado_Receita!$L$2:$L$2285)+SUMIF(Mercado_Receita!$S$2:$S$2285,"44075B2ConvencionalRuralCooperativa de eletrificação ruralNão se aplicaNão se aplicaFora ponta",Mercado_Receita!$L$2:$L$2285)+SUMIF(Mercado_Receita!$S$2:$S$2285,"44075B2ConvencionalRuralCooperativa de eletrificação ruralNão se aplicaNão se aplicaIntermediário",Mercado_Receita!$L$2:$L$2285)+SUMIF(Mercado_Receita!$S$2:$S$2285,"44075B2ConvencionalRuralCooperativa de eletrificação ruralNão se aplicaNão se aplicaNão se aplica",Mercado_Receita!$L$2:$L$2285)</f>
        <v>0</v>
      </c>
      <c r="U69" s="12">
        <f t="shared" si="2"/>
        <v>0</v>
      </c>
      <c r="V69" s="12"/>
      <c r="W69" s="12"/>
    </row>
    <row r="70" spans="1:23" ht="11.25" customHeight="1" x14ac:dyDescent="0.25">
      <c r="A70" s="105"/>
      <c r="B70" s="104" t="s">
        <v>37</v>
      </c>
      <c r="C70" s="104" t="s">
        <v>47</v>
      </c>
      <c r="D70" s="104" t="s">
        <v>104</v>
      </c>
      <c r="E70" s="104" t="s">
        <v>25</v>
      </c>
      <c r="F70" s="104" t="s">
        <v>25</v>
      </c>
      <c r="G70" s="12" t="s">
        <v>89</v>
      </c>
      <c r="H70" s="12" t="s">
        <v>88</v>
      </c>
      <c r="I70" s="12">
        <f>SUMIF(Mercado_Receita!$S$2:$S$2285,"43739B2BrancaRuralServiço público de irrigação ruralNão se aplicaNão se aplicaPonta",Mercado_Receita!$L$2:$L$2285)</f>
        <v>0</v>
      </c>
      <c r="J70" s="12">
        <f>SUMIF(Mercado_Receita!$S$2:$S$2285,"43770B2BrancaRuralServiço público de irrigação ruralNão se aplicaNão se aplicaPonta",Mercado_Receita!$L$2:$L$2285)</f>
        <v>0</v>
      </c>
      <c r="K70" s="12">
        <f>SUMIF(Mercado_Receita!$S$2:$S$2285,"43800B2BrancaRuralServiço público de irrigação ruralNão se aplicaNão se aplicaPonta",Mercado_Receita!$L$2:$L$2285)</f>
        <v>0</v>
      </c>
      <c r="L70" s="12">
        <f>SUMIF(Mercado_Receita!$S$2:$S$2285,"43831B2BrancaRuralServiço público de irrigação ruralNão se aplicaNão se aplicaPonta",Mercado_Receita!$L$2:$L$2285)</f>
        <v>0</v>
      </c>
      <c r="M70" s="12">
        <f>SUMIF(Mercado_Receita!$S$2:$S$2285,"43862B2BrancaRuralServiço público de irrigação ruralNão se aplicaNão se aplicaPonta",Mercado_Receita!$L$2:$L$2285)</f>
        <v>0</v>
      </c>
      <c r="N70" s="12">
        <f>SUMIF(Mercado_Receita!$S$2:$S$2285,"43891B2BrancaRuralServiço público de irrigação ruralNão se aplicaNão se aplicaPonta",Mercado_Receita!$L$2:$L$2285)</f>
        <v>0</v>
      </c>
      <c r="O70" s="12">
        <f>SUMIF(Mercado_Receita!$S$2:$S$2285,"43922B2BrancaRuralServiço público de irrigação ruralNão se aplicaNão se aplicaPonta",Mercado_Receita!$L$2:$L$2285)</f>
        <v>0</v>
      </c>
      <c r="P70" s="12">
        <f>SUMIF(Mercado_Receita!$S$2:$S$2285,"43952B2BrancaRuralServiço público de irrigação ruralNão se aplicaNão se aplicaPonta",Mercado_Receita!$L$2:$L$2285)</f>
        <v>0</v>
      </c>
      <c r="Q70" s="12">
        <f>SUMIF(Mercado_Receita!$S$2:$S$2285,"43983B2BrancaRuralServiço público de irrigação ruralNão se aplicaNão se aplicaPonta",Mercado_Receita!$L$2:$L$2285)</f>
        <v>0</v>
      </c>
      <c r="R70" s="12">
        <f>SUMIF(Mercado_Receita!$S$2:$S$2285,"44013B2BrancaRuralServiço público de irrigação ruralNão se aplicaNão se aplicaPonta",Mercado_Receita!$L$2:$L$2285)</f>
        <v>0</v>
      </c>
      <c r="S70" s="12">
        <f>SUMIF(Mercado_Receita!$S$2:$S$2285,"44044B2BrancaRuralServiço público de irrigação ruralNão se aplicaNão se aplicaPonta",Mercado_Receita!$L$2:$L$2285)</f>
        <v>0</v>
      </c>
      <c r="T70" s="12">
        <f>SUMIF(Mercado_Receita!$S$2:$S$2285,"44075B2BrancaRuralServiço público de irrigação ruralNão se aplicaNão se aplicaPonta",Mercado_Receita!$L$2:$L$2285)</f>
        <v>0</v>
      </c>
      <c r="U70" s="12">
        <f t="shared" si="2"/>
        <v>0</v>
      </c>
      <c r="V70" s="12"/>
      <c r="W70" s="12"/>
    </row>
    <row r="71" spans="1:23" ht="11.25" customHeight="1" x14ac:dyDescent="0.25">
      <c r="A71" s="105"/>
      <c r="B71" s="105"/>
      <c r="C71" s="105"/>
      <c r="D71" s="105"/>
      <c r="E71" s="105"/>
      <c r="F71" s="105"/>
      <c r="G71" s="12" t="s">
        <v>100</v>
      </c>
      <c r="H71" s="12" t="s">
        <v>88</v>
      </c>
      <c r="I71" s="12">
        <f>SUMIF(Mercado_Receita!$S$2:$S$2285,"43739B2BrancaRuralServiço público de irrigação ruralNão se aplicaNão se aplicaIntermediário",Mercado_Receita!$L$2:$L$2285)</f>
        <v>0</v>
      </c>
      <c r="J71" s="12">
        <f>SUMIF(Mercado_Receita!$S$2:$S$2285,"43770B2BrancaRuralServiço público de irrigação ruralNão se aplicaNão se aplicaIntermediário",Mercado_Receita!$L$2:$L$2285)</f>
        <v>0</v>
      </c>
      <c r="K71" s="12">
        <f>SUMIF(Mercado_Receita!$S$2:$S$2285,"43800B2BrancaRuralServiço público de irrigação ruralNão se aplicaNão se aplicaIntermediário",Mercado_Receita!$L$2:$L$2285)</f>
        <v>0</v>
      </c>
      <c r="L71" s="12">
        <f>SUMIF(Mercado_Receita!$S$2:$S$2285,"43831B2BrancaRuralServiço público de irrigação ruralNão se aplicaNão se aplicaIntermediário",Mercado_Receita!$L$2:$L$2285)</f>
        <v>0</v>
      </c>
      <c r="M71" s="12">
        <f>SUMIF(Mercado_Receita!$S$2:$S$2285,"43862B2BrancaRuralServiço público de irrigação ruralNão se aplicaNão se aplicaIntermediário",Mercado_Receita!$L$2:$L$2285)</f>
        <v>0</v>
      </c>
      <c r="N71" s="12">
        <f>SUMIF(Mercado_Receita!$S$2:$S$2285,"43891B2BrancaRuralServiço público de irrigação ruralNão se aplicaNão se aplicaIntermediário",Mercado_Receita!$L$2:$L$2285)</f>
        <v>0</v>
      </c>
      <c r="O71" s="12">
        <f>SUMIF(Mercado_Receita!$S$2:$S$2285,"43922B2BrancaRuralServiço público de irrigação ruralNão se aplicaNão se aplicaIntermediário",Mercado_Receita!$L$2:$L$2285)</f>
        <v>0</v>
      </c>
      <c r="P71" s="12">
        <f>SUMIF(Mercado_Receita!$S$2:$S$2285,"43952B2BrancaRuralServiço público de irrigação ruralNão se aplicaNão se aplicaIntermediário",Mercado_Receita!$L$2:$L$2285)</f>
        <v>0</v>
      </c>
      <c r="Q71" s="12">
        <f>SUMIF(Mercado_Receita!$S$2:$S$2285,"43983B2BrancaRuralServiço público de irrigação ruralNão se aplicaNão se aplicaIntermediário",Mercado_Receita!$L$2:$L$2285)</f>
        <v>0</v>
      </c>
      <c r="R71" s="12">
        <f>SUMIF(Mercado_Receita!$S$2:$S$2285,"44013B2BrancaRuralServiço público de irrigação ruralNão se aplicaNão se aplicaIntermediário",Mercado_Receita!$L$2:$L$2285)</f>
        <v>0</v>
      </c>
      <c r="S71" s="12">
        <f>SUMIF(Mercado_Receita!$S$2:$S$2285,"44044B2BrancaRuralServiço público de irrigação ruralNão se aplicaNão se aplicaIntermediário",Mercado_Receita!$L$2:$L$2285)</f>
        <v>0</v>
      </c>
      <c r="T71" s="12">
        <f>SUMIF(Mercado_Receita!$S$2:$S$2285,"44075B2BrancaRuralServiço público de irrigação ruralNão se aplicaNão se aplicaIntermediário",Mercado_Receita!$L$2:$L$2285)</f>
        <v>0</v>
      </c>
      <c r="U71" s="12">
        <f t="shared" si="2"/>
        <v>0</v>
      </c>
      <c r="V71" s="12"/>
      <c r="W71" s="12"/>
    </row>
    <row r="72" spans="1:23" ht="11.25" customHeight="1" x14ac:dyDescent="0.25">
      <c r="A72" s="105"/>
      <c r="B72" s="105"/>
      <c r="C72" s="105"/>
      <c r="D72" s="105"/>
      <c r="E72" s="105"/>
      <c r="F72" s="105"/>
      <c r="G72" s="12" t="s">
        <v>90</v>
      </c>
      <c r="H72" s="12" t="s">
        <v>88</v>
      </c>
      <c r="I72" s="12">
        <f>SUMIF(Mercado_Receita!$S$2:$S$2285,"43739B2BrancaRuralServiço público de irrigação ruralNão se aplicaNão se aplicaFora ponta",Mercado_Receita!$L$2:$L$2285)</f>
        <v>0</v>
      </c>
      <c r="J72" s="12">
        <f>SUMIF(Mercado_Receita!$S$2:$S$2285,"43770B2BrancaRuralServiço público de irrigação ruralNão se aplicaNão se aplicaFora ponta",Mercado_Receita!$L$2:$L$2285)</f>
        <v>0</v>
      </c>
      <c r="K72" s="12">
        <f>SUMIF(Mercado_Receita!$S$2:$S$2285,"43800B2BrancaRuralServiço público de irrigação ruralNão se aplicaNão se aplicaFora ponta",Mercado_Receita!$L$2:$L$2285)</f>
        <v>0</v>
      </c>
      <c r="L72" s="12">
        <f>SUMIF(Mercado_Receita!$S$2:$S$2285,"43831B2BrancaRuralServiço público de irrigação ruralNão se aplicaNão se aplicaFora ponta",Mercado_Receita!$L$2:$L$2285)</f>
        <v>0</v>
      </c>
      <c r="M72" s="12">
        <f>SUMIF(Mercado_Receita!$S$2:$S$2285,"43862B2BrancaRuralServiço público de irrigação ruralNão se aplicaNão se aplicaFora ponta",Mercado_Receita!$L$2:$L$2285)</f>
        <v>0</v>
      </c>
      <c r="N72" s="12">
        <f>SUMIF(Mercado_Receita!$S$2:$S$2285,"43891B2BrancaRuralServiço público de irrigação ruralNão se aplicaNão se aplicaFora ponta",Mercado_Receita!$L$2:$L$2285)</f>
        <v>0</v>
      </c>
      <c r="O72" s="12">
        <f>SUMIF(Mercado_Receita!$S$2:$S$2285,"43922B2BrancaRuralServiço público de irrigação ruralNão se aplicaNão se aplicaFora ponta",Mercado_Receita!$L$2:$L$2285)</f>
        <v>0</v>
      </c>
      <c r="P72" s="12">
        <f>SUMIF(Mercado_Receita!$S$2:$S$2285,"43952B2BrancaRuralServiço público de irrigação ruralNão se aplicaNão se aplicaFora ponta",Mercado_Receita!$L$2:$L$2285)</f>
        <v>0</v>
      </c>
      <c r="Q72" s="12">
        <f>SUMIF(Mercado_Receita!$S$2:$S$2285,"43983B2BrancaRuralServiço público de irrigação ruralNão se aplicaNão se aplicaFora ponta",Mercado_Receita!$L$2:$L$2285)</f>
        <v>0</v>
      </c>
      <c r="R72" s="12">
        <f>SUMIF(Mercado_Receita!$S$2:$S$2285,"44013B2BrancaRuralServiço público de irrigação ruralNão se aplicaNão se aplicaFora ponta",Mercado_Receita!$L$2:$L$2285)</f>
        <v>0</v>
      </c>
      <c r="S72" s="12">
        <f>SUMIF(Mercado_Receita!$S$2:$S$2285,"44044B2BrancaRuralServiço público de irrigação ruralNão se aplicaNão se aplicaFora ponta",Mercado_Receita!$L$2:$L$2285)</f>
        <v>0</v>
      </c>
      <c r="T72" s="12">
        <f>SUMIF(Mercado_Receita!$S$2:$S$2285,"44075B2BrancaRuralServiço público de irrigação ruralNão se aplicaNão se aplicaFora ponta",Mercado_Receita!$L$2:$L$2285)</f>
        <v>0</v>
      </c>
      <c r="U72" s="12">
        <f t="shared" si="2"/>
        <v>0</v>
      </c>
      <c r="V72" s="12"/>
      <c r="W72" s="12"/>
    </row>
    <row r="73" spans="1:23" ht="11.25" customHeight="1" x14ac:dyDescent="0.25">
      <c r="A73" s="105"/>
      <c r="B73" s="13" t="s">
        <v>23</v>
      </c>
      <c r="C73" s="13" t="s">
        <v>47</v>
      </c>
      <c r="D73" s="13" t="s">
        <v>104</v>
      </c>
      <c r="E73" s="13" t="s">
        <v>25</v>
      </c>
      <c r="F73" s="13" t="s">
        <v>25</v>
      </c>
      <c r="G73" s="12" t="s">
        <v>94</v>
      </c>
      <c r="H73" s="12" t="s">
        <v>88</v>
      </c>
      <c r="I73" s="12">
        <f>SUMIF(Mercado_Receita!$S$2:$S$2285,"43739B2ConvencionalRuralServiço público de irrigação ruralNão se aplicaNão se aplicaPonta",Mercado_Receita!$L$2:$L$2285)+SUMIF(Mercado_Receita!$S$2:$S$2285,"43739B2ConvencionalRuralServiço público de irrigação ruralNão se aplicaNão se aplicaFora ponta",Mercado_Receita!$L$2:$L$2285)+SUMIF(Mercado_Receita!$S$2:$S$2285,"43739B2ConvencionalRuralServiço público de irrigação ruralNão se aplicaNão se aplicaIntermediário",Mercado_Receita!$L$2:$L$2285)+SUMIF(Mercado_Receita!$S$2:$S$2285,"43739B2ConvencionalRuralServiço público de irrigação ruralNão se aplicaNão se aplicaNão se aplica",Mercado_Receita!$L$2:$L$2285)</f>
        <v>0</v>
      </c>
      <c r="J73" s="12">
        <f>SUMIF(Mercado_Receita!$S$2:$S$2285,"43770B2ConvencionalRuralServiço público de irrigação ruralNão se aplicaNão se aplicaPonta",Mercado_Receita!$L$2:$L$2285)+SUMIF(Mercado_Receita!$S$2:$S$2285,"43770B2ConvencionalRuralServiço público de irrigação ruralNão se aplicaNão se aplicaFora ponta",Mercado_Receita!$L$2:$L$2285)+SUMIF(Mercado_Receita!$S$2:$S$2285,"43770B2ConvencionalRuralServiço público de irrigação ruralNão se aplicaNão se aplicaIntermediário",Mercado_Receita!$L$2:$L$2285)+SUMIF(Mercado_Receita!$S$2:$S$2285,"43770B2ConvencionalRuralServiço público de irrigação ruralNão se aplicaNão se aplicaNão se aplica",Mercado_Receita!$L$2:$L$2285)</f>
        <v>0</v>
      </c>
      <c r="K73" s="12">
        <f>SUMIF(Mercado_Receita!$S$2:$S$2285,"43800B2ConvencionalRuralServiço público de irrigação ruralNão se aplicaNão se aplicaPonta",Mercado_Receita!$L$2:$L$2285)+SUMIF(Mercado_Receita!$S$2:$S$2285,"43800B2ConvencionalRuralServiço público de irrigação ruralNão se aplicaNão se aplicaFora ponta",Mercado_Receita!$L$2:$L$2285)+SUMIF(Mercado_Receita!$S$2:$S$2285,"43800B2ConvencionalRuralServiço público de irrigação ruralNão se aplicaNão se aplicaIntermediário",Mercado_Receita!$L$2:$L$2285)+SUMIF(Mercado_Receita!$S$2:$S$2285,"43800B2ConvencionalRuralServiço público de irrigação ruralNão se aplicaNão se aplicaNão se aplica",Mercado_Receita!$L$2:$L$2285)</f>
        <v>0</v>
      </c>
      <c r="L73" s="12">
        <f>SUMIF(Mercado_Receita!$S$2:$S$2285,"43831B2ConvencionalRuralServiço público de irrigação ruralNão se aplicaNão se aplicaPonta",Mercado_Receita!$L$2:$L$2285)+SUMIF(Mercado_Receita!$S$2:$S$2285,"43831B2ConvencionalRuralServiço público de irrigação ruralNão se aplicaNão se aplicaFora ponta",Mercado_Receita!$L$2:$L$2285)+SUMIF(Mercado_Receita!$S$2:$S$2285,"43831B2ConvencionalRuralServiço público de irrigação ruralNão se aplicaNão se aplicaIntermediário",Mercado_Receita!$L$2:$L$2285)+SUMIF(Mercado_Receita!$S$2:$S$2285,"43831B2ConvencionalRuralServiço público de irrigação ruralNão se aplicaNão se aplicaNão se aplica",Mercado_Receita!$L$2:$L$2285)</f>
        <v>0</v>
      </c>
      <c r="M73" s="12">
        <f>SUMIF(Mercado_Receita!$S$2:$S$2285,"43862B2ConvencionalRuralServiço público de irrigação ruralNão se aplicaNão se aplicaPonta",Mercado_Receita!$L$2:$L$2285)+SUMIF(Mercado_Receita!$S$2:$S$2285,"43862B2ConvencionalRuralServiço público de irrigação ruralNão se aplicaNão se aplicaFora ponta",Mercado_Receita!$L$2:$L$2285)+SUMIF(Mercado_Receita!$S$2:$S$2285,"43862B2ConvencionalRuralServiço público de irrigação ruralNão se aplicaNão se aplicaIntermediário",Mercado_Receita!$L$2:$L$2285)+SUMIF(Mercado_Receita!$S$2:$S$2285,"43862B2ConvencionalRuralServiço público de irrigação ruralNão se aplicaNão se aplicaNão se aplica",Mercado_Receita!$L$2:$L$2285)</f>
        <v>0</v>
      </c>
      <c r="N73" s="12">
        <f>SUMIF(Mercado_Receita!$S$2:$S$2285,"43891B2ConvencionalRuralServiço público de irrigação ruralNão se aplicaNão se aplicaPonta",Mercado_Receita!$L$2:$L$2285)+SUMIF(Mercado_Receita!$S$2:$S$2285,"43891B2ConvencionalRuralServiço público de irrigação ruralNão se aplicaNão se aplicaFora ponta",Mercado_Receita!$L$2:$L$2285)+SUMIF(Mercado_Receita!$S$2:$S$2285,"43891B2ConvencionalRuralServiço público de irrigação ruralNão se aplicaNão se aplicaIntermediário",Mercado_Receita!$L$2:$L$2285)+SUMIF(Mercado_Receita!$S$2:$S$2285,"43891B2ConvencionalRuralServiço público de irrigação ruralNão se aplicaNão se aplicaNão se aplica",Mercado_Receita!$L$2:$L$2285)</f>
        <v>0</v>
      </c>
      <c r="O73" s="12">
        <f>SUMIF(Mercado_Receita!$S$2:$S$2285,"43922B2ConvencionalRuralServiço público de irrigação ruralNão se aplicaNão se aplicaPonta",Mercado_Receita!$L$2:$L$2285)+SUMIF(Mercado_Receita!$S$2:$S$2285,"43922B2ConvencionalRuralServiço público de irrigação ruralNão se aplicaNão se aplicaFora ponta",Mercado_Receita!$L$2:$L$2285)+SUMIF(Mercado_Receita!$S$2:$S$2285,"43922B2ConvencionalRuralServiço público de irrigação ruralNão se aplicaNão se aplicaIntermediário",Mercado_Receita!$L$2:$L$2285)+SUMIF(Mercado_Receita!$S$2:$S$2285,"43922B2ConvencionalRuralServiço público de irrigação ruralNão se aplicaNão se aplicaNão se aplica",Mercado_Receita!$L$2:$L$2285)</f>
        <v>0</v>
      </c>
      <c r="P73" s="12">
        <f>SUMIF(Mercado_Receita!$S$2:$S$2285,"43952B2ConvencionalRuralServiço público de irrigação ruralNão se aplicaNão se aplicaPonta",Mercado_Receita!$L$2:$L$2285)+SUMIF(Mercado_Receita!$S$2:$S$2285,"43952B2ConvencionalRuralServiço público de irrigação ruralNão se aplicaNão se aplicaFora ponta",Mercado_Receita!$L$2:$L$2285)+SUMIF(Mercado_Receita!$S$2:$S$2285,"43952B2ConvencionalRuralServiço público de irrigação ruralNão se aplicaNão se aplicaIntermediário",Mercado_Receita!$L$2:$L$2285)+SUMIF(Mercado_Receita!$S$2:$S$2285,"43952B2ConvencionalRuralServiço público de irrigação ruralNão se aplicaNão se aplicaNão se aplica",Mercado_Receita!$L$2:$L$2285)</f>
        <v>0</v>
      </c>
      <c r="Q73" s="12">
        <f>SUMIF(Mercado_Receita!$S$2:$S$2285,"43983B2ConvencionalRuralServiço público de irrigação ruralNão se aplicaNão se aplicaPonta",Mercado_Receita!$L$2:$L$2285)+SUMIF(Mercado_Receita!$S$2:$S$2285,"43983B2ConvencionalRuralServiço público de irrigação ruralNão se aplicaNão se aplicaFora ponta",Mercado_Receita!$L$2:$L$2285)+SUMIF(Mercado_Receita!$S$2:$S$2285,"43983B2ConvencionalRuralServiço público de irrigação ruralNão se aplicaNão se aplicaIntermediário",Mercado_Receita!$L$2:$L$2285)+SUMIF(Mercado_Receita!$S$2:$S$2285,"43983B2ConvencionalRuralServiço público de irrigação ruralNão se aplicaNão se aplicaNão se aplica",Mercado_Receita!$L$2:$L$2285)</f>
        <v>0</v>
      </c>
      <c r="R73" s="12">
        <f>SUMIF(Mercado_Receita!$S$2:$S$2285,"44013B2ConvencionalRuralServiço público de irrigação ruralNão se aplicaNão se aplicaPonta",Mercado_Receita!$L$2:$L$2285)+SUMIF(Mercado_Receita!$S$2:$S$2285,"44013B2ConvencionalRuralServiço público de irrigação ruralNão se aplicaNão se aplicaFora ponta",Mercado_Receita!$L$2:$L$2285)+SUMIF(Mercado_Receita!$S$2:$S$2285,"44013B2ConvencionalRuralServiço público de irrigação ruralNão se aplicaNão se aplicaIntermediário",Mercado_Receita!$L$2:$L$2285)+SUMIF(Mercado_Receita!$S$2:$S$2285,"44013B2ConvencionalRuralServiço público de irrigação ruralNão se aplicaNão se aplicaNão se aplica",Mercado_Receita!$L$2:$L$2285)</f>
        <v>0</v>
      </c>
      <c r="S73" s="12">
        <f>SUMIF(Mercado_Receita!$S$2:$S$2285,"44044B2ConvencionalRuralServiço público de irrigação ruralNão se aplicaNão se aplicaPonta",Mercado_Receita!$L$2:$L$2285)+SUMIF(Mercado_Receita!$S$2:$S$2285,"44044B2ConvencionalRuralServiço público de irrigação ruralNão se aplicaNão se aplicaFora ponta",Mercado_Receita!$L$2:$L$2285)+SUMIF(Mercado_Receita!$S$2:$S$2285,"44044B2ConvencionalRuralServiço público de irrigação ruralNão se aplicaNão se aplicaIntermediário",Mercado_Receita!$L$2:$L$2285)+SUMIF(Mercado_Receita!$S$2:$S$2285,"44044B2ConvencionalRuralServiço público de irrigação ruralNão se aplicaNão se aplicaNão se aplica",Mercado_Receita!$L$2:$L$2285)</f>
        <v>0</v>
      </c>
      <c r="T73" s="12">
        <f>SUMIF(Mercado_Receita!$S$2:$S$2285,"44075B2ConvencionalRuralServiço público de irrigação ruralNão se aplicaNão se aplicaPonta",Mercado_Receita!$L$2:$L$2285)+SUMIF(Mercado_Receita!$S$2:$S$2285,"44075B2ConvencionalRuralServiço público de irrigação ruralNão se aplicaNão se aplicaFora ponta",Mercado_Receita!$L$2:$L$2285)+SUMIF(Mercado_Receita!$S$2:$S$2285,"44075B2ConvencionalRuralServiço público de irrigação ruralNão se aplicaNão se aplicaIntermediário",Mercado_Receita!$L$2:$L$2285)+SUMIF(Mercado_Receita!$S$2:$S$2285,"44075B2ConvencionalRuralServiço público de irrigação ruralNão se aplicaNão se aplicaNão se aplica",Mercado_Receita!$L$2:$L$2285)</f>
        <v>0</v>
      </c>
      <c r="U73" s="12">
        <f t="shared" si="2"/>
        <v>0</v>
      </c>
      <c r="V73" s="12"/>
      <c r="W73" s="12"/>
    </row>
    <row r="74" spans="1:23" ht="11.25" customHeight="1" x14ac:dyDescent="0.25">
      <c r="A74" s="105"/>
      <c r="B74" s="104" t="s">
        <v>102</v>
      </c>
      <c r="C74" s="104" t="s">
        <v>47</v>
      </c>
      <c r="D74" s="13" t="s">
        <v>25</v>
      </c>
      <c r="E74" s="13" t="s">
        <v>25</v>
      </c>
      <c r="F74" s="13" t="s">
        <v>25</v>
      </c>
      <c r="G74" s="12" t="s">
        <v>94</v>
      </c>
      <c r="H74" s="12" t="s">
        <v>88</v>
      </c>
      <c r="I74" s="12">
        <f>SUMIF(Mercado_Receita!$S$2:$S$2285,"43739B2Convencional pré-pagamentoRuralNão se aplicaNão se aplicaNão se aplicaPonta",Mercado_Receita!$L$2:$L$2285)+SUMIF(Mercado_Receita!$S$2:$S$2285,"43739B2Convencional pré-pagamentoRuralNão se aplicaNão se aplicaNão se aplicaFora ponta",Mercado_Receita!$L$2:$L$2285)+SUMIF(Mercado_Receita!$S$2:$S$2285,"43739B2Convencional pré-pagamentoRuralNão se aplicaNão se aplicaNão se aplicaIntermediário",Mercado_Receita!$L$2:$L$2285)+SUMIF(Mercado_Receita!$S$2:$S$2285,"43739B2Convencional pré-pagamentoRuralNão se aplicaNão se aplicaNão se aplicaNão se aplica",Mercado_Receita!$L$2:$L$2285)</f>
        <v>0</v>
      </c>
      <c r="J74" s="12">
        <f>SUMIF(Mercado_Receita!$S$2:$S$2285,"43770B2Convencional pré-pagamentoRuralNão se aplicaNão se aplicaNão se aplicaPonta",Mercado_Receita!$L$2:$L$2285)+SUMIF(Mercado_Receita!$S$2:$S$2285,"43770B2Convencional pré-pagamentoRuralNão se aplicaNão se aplicaNão se aplicaFora ponta",Mercado_Receita!$L$2:$L$2285)+SUMIF(Mercado_Receita!$S$2:$S$2285,"43770B2Convencional pré-pagamentoRuralNão se aplicaNão se aplicaNão se aplicaIntermediário",Mercado_Receita!$L$2:$L$2285)+SUMIF(Mercado_Receita!$S$2:$S$2285,"43770B2Convencional pré-pagamentoRuralNão se aplicaNão se aplicaNão se aplicaNão se aplica",Mercado_Receita!$L$2:$L$2285)</f>
        <v>0</v>
      </c>
      <c r="K74" s="12">
        <f>SUMIF(Mercado_Receita!$S$2:$S$2285,"43800B2Convencional pré-pagamentoRuralNão se aplicaNão se aplicaNão se aplicaPonta",Mercado_Receita!$L$2:$L$2285)+SUMIF(Mercado_Receita!$S$2:$S$2285,"43800B2Convencional pré-pagamentoRuralNão se aplicaNão se aplicaNão se aplicaFora ponta",Mercado_Receita!$L$2:$L$2285)+SUMIF(Mercado_Receita!$S$2:$S$2285,"43800B2Convencional pré-pagamentoRuralNão se aplicaNão se aplicaNão se aplicaIntermediário",Mercado_Receita!$L$2:$L$2285)+SUMIF(Mercado_Receita!$S$2:$S$2285,"43800B2Convencional pré-pagamentoRuralNão se aplicaNão se aplicaNão se aplicaNão se aplica",Mercado_Receita!$L$2:$L$2285)</f>
        <v>0</v>
      </c>
      <c r="L74" s="12">
        <f>SUMIF(Mercado_Receita!$S$2:$S$2285,"43831B2Convencional pré-pagamentoRuralNão se aplicaNão se aplicaNão se aplicaPonta",Mercado_Receita!$L$2:$L$2285)+SUMIF(Mercado_Receita!$S$2:$S$2285,"43831B2Convencional pré-pagamentoRuralNão se aplicaNão se aplicaNão se aplicaFora ponta",Mercado_Receita!$L$2:$L$2285)+SUMIF(Mercado_Receita!$S$2:$S$2285,"43831B2Convencional pré-pagamentoRuralNão se aplicaNão se aplicaNão se aplicaIntermediário",Mercado_Receita!$L$2:$L$2285)+SUMIF(Mercado_Receita!$S$2:$S$2285,"43831B2Convencional pré-pagamentoRuralNão se aplicaNão se aplicaNão se aplicaNão se aplica",Mercado_Receita!$L$2:$L$2285)</f>
        <v>0</v>
      </c>
      <c r="M74" s="12">
        <f>SUMIF(Mercado_Receita!$S$2:$S$2285,"43862B2Convencional pré-pagamentoRuralNão se aplicaNão se aplicaNão se aplicaPonta",Mercado_Receita!$L$2:$L$2285)+SUMIF(Mercado_Receita!$S$2:$S$2285,"43862B2Convencional pré-pagamentoRuralNão se aplicaNão se aplicaNão se aplicaFora ponta",Mercado_Receita!$L$2:$L$2285)+SUMIF(Mercado_Receita!$S$2:$S$2285,"43862B2Convencional pré-pagamentoRuralNão se aplicaNão se aplicaNão se aplicaIntermediário",Mercado_Receita!$L$2:$L$2285)+SUMIF(Mercado_Receita!$S$2:$S$2285,"43862B2Convencional pré-pagamentoRuralNão se aplicaNão se aplicaNão se aplicaNão se aplica",Mercado_Receita!$L$2:$L$2285)</f>
        <v>0</v>
      </c>
      <c r="N74" s="12">
        <f>SUMIF(Mercado_Receita!$S$2:$S$2285,"43891B2Convencional pré-pagamentoRuralNão se aplicaNão se aplicaNão se aplicaPonta",Mercado_Receita!$L$2:$L$2285)+SUMIF(Mercado_Receita!$S$2:$S$2285,"43891B2Convencional pré-pagamentoRuralNão se aplicaNão se aplicaNão se aplicaFora ponta",Mercado_Receita!$L$2:$L$2285)+SUMIF(Mercado_Receita!$S$2:$S$2285,"43891B2Convencional pré-pagamentoRuralNão se aplicaNão se aplicaNão se aplicaIntermediário",Mercado_Receita!$L$2:$L$2285)+SUMIF(Mercado_Receita!$S$2:$S$2285,"43891B2Convencional pré-pagamentoRuralNão se aplicaNão se aplicaNão se aplicaNão se aplica",Mercado_Receita!$L$2:$L$2285)</f>
        <v>0</v>
      </c>
      <c r="O74" s="12">
        <f>SUMIF(Mercado_Receita!$S$2:$S$2285,"43922B2Convencional pré-pagamentoRuralNão se aplicaNão se aplicaNão se aplicaPonta",Mercado_Receita!$L$2:$L$2285)+SUMIF(Mercado_Receita!$S$2:$S$2285,"43922B2Convencional pré-pagamentoRuralNão se aplicaNão se aplicaNão se aplicaFora ponta",Mercado_Receita!$L$2:$L$2285)+SUMIF(Mercado_Receita!$S$2:$S$2285,"43922B2Convencional pré-pagamentoRuralNão se aplicaNão se aplicaNão se aplicaIntermediário",Mercado_Receita!$L$2:$L$2285)+SUMIF(Mercado_Receita!$S$2:$S$2285,"43922B2Convencional pré-pagamentoRuralNão se aplicaNão se aplicaNão se aplicaNão se aplica",Mercado_Receita!$L$2:$L$2285)</f>
        <v>0</v>
      </c>
      <c r="P74" s="12">
        <f>SUMIF(Mercado_Receita!$S$2:$S$2285,"43952B2Convencional pré-pagamentoRuralNão se aplicaNão se aplicaNão se aplicaPonta",Mercado_Receita!$L$2:$L$2285)+SUMIF(Mercado_Receita!$S$2:$S$2285,"43952B2Convencional pré-pagamentoRuralNão se aplicaNão se aplicaNão se aplicaFora ponta",Mercado_Receita!$L$2:$L$2285)+SUMIF(Mercado_Receita!$S$2:$S$2285,"43952B2Convencional pré-pagamentoRuralNão se aplicaNão se aplicaNão se aplicaIntermediário",Mercado_Receita!$L$2:$L$2285)+SUMIF(Mercado_Receita!$S$2:$S$2285,"43952B2Convencional pré-pagamentoRuralNão se aplicaNão se aplicaNão se aplicaNão se aplica",Mercado_Receita!$L$2:$L$2285)</f>
        <v>0</v>
      </c>
      <c r="Q74" s="12">
        <f>SUMIF(Mercado_Receita!$S$2:$S$2285,"43983B2Convencional pré-pagamentoRuralNão se aplicaNão se aplicaNão se aplicaPonta",Mercado_Receita!$L$2:$L$2285)+SUMIF(Mercado_Receita!$S$2:$S$2285,"43983B2Convencional pré-pagamentoRuralNão se aplicaNão se aplicaNão se aplicaFora ponta",Mercado_Receita!$L$2:$L$2285)+SUMIF(Mercado_Receita!$S$2:$S$2285,"43983B2Convencional pré-pagamentoRuralNão se aplicaNão se aplicaNão se aplicaIntermediário",Mercado_Receita!$L$2:$L$2285)+SUMIF(Mercado_Receita!$S$2:$S$2285,"43983B2Convencional pré-pagamentoRuralNão se aplicaNão se aplicaNão se aplicaNão se aplica",Mercado_Receita!$L$2:$L$2285)</f>
        <v>0</v>
      </c>
      <c r="R74" s="12">
        <f>SUMIF(Mercado_Receita!$S$2:$S$2285,"44013B2Convencional pré-pagamentoRuralNão se aplicaNão se aplicaNão se aplicaPonta",Mercado_Receita!$L$2:$L$2285)+SUMIF(Mercado_Receita!$S$2:$S$2285,"44013B2Convencional pré-pagamentoRuralNão se aplicaNão se aplicaNão se aplicaFora ponta",Mercado_Receita!$L$2:$L$2285)+SUMIF(Mercado_Receita!$S$2:$S$2285,"44013B2Convencional pré-pagamentoRuralNão se aplicaNão se aplicaNão se aplicaIntermediário",Mercado_Receita!$L$2:$L$2285)+SUMIF(Mercado_Receita!$S$2:$S$2285,"44013B2Convencional pré-pagamentoRuralNão se aplicaNão se aplicaNão se aplicaNão se aplica",Mercado_Receita!$L$2:$L$2285)</f>
        <v>0</v>
      </c>
      <c r="S74" s="12">
        <f>SUMIF(Mercado_Receita!$S$2:$S$2285,"44044B2Convencional pré-pagamentoRuralNão se aplicaNão se aplicaNão se aplicaPonta",Mercado_Receita!$L$2:$L$2285)+SUMIF(Mercado_Receita!$S$2:$S$2285,"44044B2Convencional pré-pagamentoRuralNão se aplicaNão se aplicaNão se aplicaFora ponta",Mercado_Receita!$L$2:$L$2285)+SUMIF(Mercado_Receita!$S$2:$S$2285,"44044B2Convencional pré-pagamentoRuralNão se aplicaNão se aplicaNão se aplicaIntermediário",Mercado_Receita!$L$2:$L$2285)+SUMIF(Mercado_Receita!$S$2:$S$2285,"44044B2Convencional pré-pagamentoRuralNão se aplicaNão se aplicaNão se aplicaNão se aplica",Mercado_Receita!$L$2:$L$2285)</f>
        <v>0</v>
      </c>
      <c r="T74" s="12">
        <f>SUMIF(Mercado_Receita!$S$2:$S$2285,"44075B2Convencional pré-pagamentoRuralNão se aplicaNão se aplicaNão se aplicaPonta",Mercado_Receita!$L$2:$L$2285)+SUMIF(Mercado_Receita!$S$2:$S$2285,"44075B2Convencional pré-pagamentoRuralNão se aplicaNão se aplicaNão se aplicaFora ponta",Mercado_Receita!$L$2:$L$2285)+SUMIF(Mercado_Receita!$S$2:$S$2285,"44075B2Convencional pré-pagamentoRuralNão se aplicaNão se aplicaNão se aplicaIntermediário",Mercado_Receita!$L$2:$L$2285)+SUMIF(Mercado_Receita!$S$2:$S$2285,"44075B2Convencional pré-pagamentoRuralNão se aplicaNão se aplicaNão se aplicaNão se aplica",Mercado_Receita!$L$2:$L$2285)</f>
        <v>0</v>
      </c>
      <c r="U74" s="12">
        <f t="shared" si="2"/>
        <v>0</v>
      </c>
      <c r="V74" s="12"/>
      <c r="W74" s="12"/>
    </row>
    <row r="75" spans="1:23" ht="11.25" customHeight="1" x14ac:dyDescent="0.25">
      <c r="A75" s="105"/>
      <c r="B75" s="105"/>
      <c r="C75" s="105"/>
      <c r="D75" s="13" t="s">
        <v>103</v>
      </c>
      <c r="E75" s="13" t="s">
        <v>25</v>
      </c>
      <c r="F75" s="13" t="s">
        <v>25</v>
      </c>
      <c r="G75" s="12" t="s">
        <v>94</v>
      </c>
      <c r="H75" s="12" t="s">
        <v>88</v>
      </c>
      <c r="I75" s="12">
        <f>SUMIF(Mercado_Receita!$S$2:$S$2285,"43739B2Convencional pré-pagamentoRuralCooperativa de eletrificação ruralNão se aplicaNão se aplicaPonta",Mercado_Receita!$L$2:$L$2285)+SUMIF(Mercado_Receita!$S$2:$S$2285,"43739B2Convencional pré-pagamentoRuralCooperativa de eletrificação ruralNão se aplicaNão se aplicaFora ponta",Mercado_Receita!$L$2:$L$2285)+SUMIF(Mercado_Receita!$S$2:$S$2285,"43739B2Convencional pré-pagamentoRuralCooperativa de eletrificação ruralNão se aplicaNão se aplicaIntermediário",Mercado_Receita!$L$2:$L$2285)+SUMIF(Mercado_Receita!$S$2:$S$2285,"43739B2Convencional pré-pagamentoRuralCooperativa de eletrificação ruralNão se aplicaNão se aplicaNão se aplica",Mercado_Receita!$L$2:$L$2285)</f>
        <v>0</v>
      </c>
      <c r="J75" s="12">
        <f>SUMIF(Mercado_Receita!$S$2:$S$2285,"43770B2Convencional pré-pagamentoRuralCooperativa de eletrificação ruralNão se aplicaNão se aplicaPonta",Mercado_Receita!$L$2:$L$2285)+SUMIF(Mercado_Receita!$S$2:$S$2285,"43770B2Convencional pré-pagamentoRuralCooperativa de eletrificação ruralNão se aplicaNão se aplicaFora ponta",Mercado_Receita!$L$2:$L$2285)+SUMIF(Mercado_Receita!$S$2:$S$2285,"43770B2Convencional pré-pagamentoRuralCooperativa de eletrificação ruralNão se aplicaNão se aplicaIntermediário",Mercado_Receita!$L$2:$L$2285)+SUMIF(Mercado_Receita!$S$2:$S$2285,"43770B2Convencional pré-pagamentoRuralCooperativa de eletrificação ruralNão se aplicaNão se aplicaNão se aplica",Mercado_Receita!$L$2:$L$2285)</f>
        <v>0</v>
      </c>
      <c r="K75" s="12">
        <f>SUMIF(Mercado_Receita!$S$2:$S$2285,"43800B2Convencional pré-pagamentoRuralCooperativa de eletrificação ruralNão se aplicaNão se aplicaPonta",Mercado_Receita!$L$2:$L$2285)+SUMIF(Mercado_Receita!$S$2:$S$2285,"43800B2Convencional pré-pagamentoRuralCooperativa de eletrificação ruralNão se aplicaNão se aplicaFora ponta",Mercado_Receita!$L$2:$L$2285)+SUMIF(Mercado_Receita!$S$2:$S$2285,"43800B2Convencional pré-pagamentoRuralCooperativa de eletrificação ruralNão se aplicaNão se aplicaIntermediário",Mercado_Receita!$L$2:$L$2285)+SUMIF(Mercado_Receita!$S$2:$S$2285,"43800B2Convencional pré-pagamentoRuralCooperativa de eletrificação ruralNão se aplicaNão se aplicaNão se aplica",Mercado_Receita!$L$2:$L$2285)</f>
        <v>0</v>
      </c>
      <c r="L75" s="12">
        <f>SUMIF(Mercado_Receita!$S$2:$S$2285,"43831B2Convencional pré-pagamentoRuralCooperativa de eletrificação ruralNão se aplicaNão se aplicaPonta",Mercado_Receita!$L$2:$L$2285)+SUMIF(Mercado_Receita!$S$2:$S$2285,"43831B2Convencional pré-pagamentoRuralCooperativa de eletrificação ruralNão se aplicaNão se aplicaFora ponta",Mercado_Receita!$L$2:$L$2285)+SUMIF(Mercado_Receita!$S$2:$S$2285,"43831B2Convencional pré-pagamentoRuralCooperativa de eletrificação ruralNão se aplicaNão se aplicaIntermediário",Mercado_Receita!$L$2:$L$2285)+SUMIF(Mercado_Receita!$S$2:$S$2285,"43831B2Convencional pré-pagamentoRuralCooperativa de eletrificação ruralNão se aplicaNão se aplicaNão se aplica",Mercado_Receita!$L$2:$L$2285)</f>
        <v>0</v>
      </c>
      <c r="M75" s="12">
        <f>SUMIF(Mercado_Receita!$S$2:$S$2285,"43862B2Convencional pré-pagamentoRuralCooperativa de eletrificação ruralNão se aplicaNão se aplicaPonta",Mercado_Receita!$L$2:$L$2285)+SUMIF(Mercado_Receita!$S$2:$S$2285,"43862B2Convencional pré-pagamentoRuralCooperativa de eletrificação ruralNão se aplicaNão se aplicaFora ponta",Mercado_Receita!$L$2:$L$2285)+SUMIF(Mercado_Receita!$S$2:$S$2285,"43862B2Convencional pré-pagamentoRuralCooperativa de eletrificação ruralNão se aplicaNão se aplicaIntermediário",Mercado_Receita!$L$2:$L$2285)+SUMIF(Mercado_Receita!$S$2:$S$2285,"43862B2Convencional pré-pagamentoRuralCooperativa de eletrificação ruralNão se aplicaNão se aplicaNão se aplica",Mercado_Receita!$L$2:$L$2285)</f>
        <v>0</v>
      </c>
      <c r="N75" s="12">
        <f>SUMIF(Mercado_Receita!$S$2:$S$2285,"43891B2Convencional pré-pagamentoRuralCooperativa de eletrificação ruralNão se aplicaNão se aplicaPonta",Mercado_Receita!$L$2:$L$2285)+SUMIF(Mercado_Receita!$S$2:$S$2285,"43891B2Convencional pré-pagamentoRuralCooperativa de eletrificação ruralNão se aplicaNão se aplicaFora ponta",Mercado_Receita!$L$2:$L$2285)+SUMIF(Mercado_Receita!$S$2:$S$2285,"43891B2Convencional pré-pagamentoRuralCooperativa de eletrificação ruralNão se aplicaNão se aplicaIntermediário",Mercado_Receita!$L$2:$L$2285)+SUMIF(Mercado_Receita!$S$2:$S$2285,"43891B2Convencional pré-pagamentoRuralCooperativa de eletrificação ruralNão se aplicaNão se aplicaNão se aplica",Mercado_Receita!$L$2:$L$2285)</f>
        <v>0</v>
      </c>
      <c r="O75" s="12">
        <f>SUMIF(Mercado_Receita!$S$2:$S$2285,"43922B2Convencional pré-pagamentoRuralCooperativa de eletrificação ruralNão se aplicaNão se aplicaPonta",Mercado_Receita!$L$2:$L$2285)+SUMIF(Mercado_Receita!$S$2:$S$2285,"43922B2Convencional pré-pagamentoRuralCooperativa de eletrificação ruralNão se aplicaNão se aplicaFora ponta",Mercado_Receita!$L$2:$L$2285)+SUMIF(Mercado_Receita!$S$2:$S$2285,"43922B2Convencional pré-pagamentoRuralCooperativa de eletrificação ruralNão se aplicaNão se aplicaIntermediário",Mercado_Receita!$L$2:$L$2285)+SUMIF(Mercado_Receita!$S$2:$S$2285,"43922B2Convencional pré-pagamentoRuralCooperativa de eletrificação ruralNão se aplicaNão se aplicaNão se aplica",Mercado_Receita!$L$2:$L$2285)</f>
        <v>0</v>
      </c>
      <c r="P75" s="12">
        <f>SUMIF(Mercado_Receita!$S$2:$S$2285,"43952B2Convencional pré-pagamentoRuralCooperativa de eletrificação ruralNão se aplicaNão se aplicaPonta",Mercado_Receita!$L$2:$L$2285)+SUMIF(Mercado_Receita!$S$2:$S$2285,"43952B2Convencional pré-pagamentoRuralCooperativa de eletrificação ruralNão se aplicaNão se aplicaFora ponta",Mercado_Receita!$L$2:$L$2285)+SUMIF(Mercado_Receita!$S$2:$S$2285,"43952B2Convencional pré-pagamentoRuralCooperativa de eletrificação ruralNão se aplicaNão se aplicaIntermediário",Mercado_Receita!$L$2:$L$2285)+SUMIF(Mercado_Receita!$S$2:$S$2285,"43952B2Convencional pré-pagamentoRuralCooperativa de eletrificação ruralNão se aplicaNão se aplicaNão se aplica",Mercado_Receita!$L$2:$L$2285)</f>
        <v>0</v>
      </c>
      <c r="Q75" s="12">
        <f>SUMIF(Mercado_Receita!$S$2:$S$2285,"43983B2Convencional pré-pagamentoRuralCooperativa de eletrificação ruralNão se aplicaNão se aplicaPonta",Mercado_Receita!$L$2:$L$2285)+SUMIF(Mercado_Receita!$S$2:$S$2285,"43983B2Convencional pré-pagamentoRuralCooperativa de eletrificação ruralNão se aplicaNão se aplicaFora ponta",Mercado_Receita!$L$2:$L$2285)+SUMIF(Mercado_Receita!$S$2:$S$2285,"43983B2Convencional pré-pagamentoRuralCooperativa de eletrificação ruralNão se aplicaNão se aplicaIntermediário",Mercado_Receita!$L$2:$L$2285)+SUMIF(Mercado_Receita!$S$2:$S$2285,"43983B2Convencional pré-pagamentoRuralCooperativa de eletrificação ruralNão se aplicaNão se aplicaNão se aplica",Mercado_Receita!$L$2:$L$2285)</f>
        <v>0</v>
      </c>
      <c r="R75" s="12">
        <f>SUMIF(Mercado_Receita!$S$2:$S$2285,"44013B2Convencional pré-pagamentoRuralCooperativa de eletrificação ruralNão se aplicaNão se aplicaPonta",Mercado_Receita!$L$2:$L$2285)+SUMIF(Mercado_Receita!$S$2:$S$2285,"44013B2Convencional pré-pagamentoRuralCooperativa de eletrificação ruralNão se aplicaNão se aplicaFora ponta",Mercado_Receita!$L$2:$L$2285)+SUMIF(Mercado_Receita!$S$2:$S$2285,"44013B2Convencional pré-pagamentoRuralCooperativa de eletrificação ruralNão se aplicaNão se aplicaIntermediário",Mercado_Receita!$L$2:$L$2285)+SUMIF(Mercado_Receita!$S$2:$S$2285,"44013B2Convencional pré-pagamentoRuralCooperativa de eletrificação ruralNão se aplicaNão se aplicaNão se aplica",Mercado_Receita!$L$2:$L$2285)</f>
        <v>0</v>
      </c>
      <c r="S75" s="12">
        <f>SUMIF(Mercado_Receita!$S$2:$S$2285,"44044B2Convencional pré-pagamentoRuralCooperativa de eletrificação ruralNão se aplicaNão se aplicaPonta",Mercado_Receita!$L$2:$L$2285)+SUMIF(Mercado_Receita!$S$2:$S$2285,"44044B2Convencional pré-pagamentoRuralCooperativa de eletrificação ruralNão se aplicaNão se aplicaFora ponta",Mercado_Receita!$L$2:$L$2285)+SUMIF(Mercado_Receita!$S$2:$S$2285,"44044B2Convencional pré-pagamentoRuralCooperativa de eletrificação ruralNão se aplicaNão se aplicaIntermediário",Mercado_Receita!$L$2:$L$2285)+SUMIF(Mercado_Receita!$S$2:$S$2285,"44044B2Convencional pré-pagamentoRuralCooperativa de eletrificação ruralNão se aplicaNão se aplicaNão se aplica",Mercado_Receita!$L$2:$L$2285)</f>
        <v>0</v>
      </c>
      <c r="T75" s="12">
        <f>SUMIF(Mercado_Receita!$S$2:$S$2285,"44075B2Convencional pré-pagamentoRuralCooperativa de eletrificação ruralNão se aplicaNão se aplicaPonta",Mercado_Receita!$L$2:$L$2285)+SUMIF(Mercado_Receita!$S$2:$S$2285,"44075B2Convencional pré-pagamentoRuralCooperativa de eletrificação ruralNão se aplicaNão se aplicaFora ponta",Mercado_Receita!$L$2:$L$2285)+SUMIF(Mercado_Receita!$S$2:$S$2285,"44075B2Convencional pré-pagamentoRuralCooperativa de eletrificação ruralNão se aplicaNão se aplicaIntermediário",Mercado_Receita!$L$2:$L$2285)+SUMIF(Mercado_Receita!$S$2:$S$2285,"44075B2Convencional pré-pagamentoRuralCooperativa de eletrificação ruralNão se aplicaNão se aplicaNão se aplica",Mercado_Receita!$L$2:$L$2285)</f>
        <v>0</v>
      </c>
      <c r="U75" s="12">
        <f t="shared" si="2"/>
        <v>0</v>
      </c>
      <c r="V75" s="12"/>
      <c r="W75" s="12"/>
    </row>
    <row r="76" spans="1:23" ht="11.25" customHeight="1" x14ac:dyDescent="0.25">
      <c r="A76" s="105"/>
      <c r="B76" s="105"/>
      <c r="C76" s="105"/>
      <c r="D76" s="13" t="s">
        <v>104</v>
      </c>
      <c r="E76" s="13" t="s">
        <v>25</v>
      </c>
      <c r="F76" s="13" t="s">
        <v>25</v>
      </c>
      <c r="G76" s="12" t="s">
        <v>94</v>
      </c>
      <c r="H76" s="12" t="s">
        <v>88</v>
      </c>
      <c r="I76" s="12">
        <f>SUMIF(Mercado_Receita!$S$2:$S$2285,"43739B2Convencional pré-pagamentoRuralServiço público de irrigação ruralNão se aplicaNão se aplicaPonta",Mercado_Receita!$L$2:$L$2285)+SUMIF(Mercado_Receita!$S$2:$S$2285,"43739B2Convencional pré-pagamentoRuralServiço público de irrigação ruralNão se aplicaNão se aplicaFora ponta",Mercado_Receita!$L$2:$L$2285)+SUMIF(Mercado_Receita!$S$2:$S$2285,"43739B2Convencional pré-pagamentoRuralServiço público de irrigação ruralNão se aplicaNão se aplicaIntermediário",Mercado_Receita!$L$2:$L$2285)+SUMIF(Mercado_Receita!$S$2:$S$2285,"43739B2Convencional pré-pagamentoRuralServiço público de irrigação ruralNão se aplicaNão se aplicaNão se aplica",Mercado_Receita!$L$2:$L$2285)</f>
        <v>0</v>
      </c>
      <c r="J76" s="12">
        <f>SUMIF(Mercado_Receita!$S$2:$S$2285,"43770B2Convencional pré-pagamentoRuralServiço público de irrigação ruralNão se aplicaNão se aplicaPonta",Mercado_Receita!$L$2:$L$2285)+SUMIF(Mercado_Receita!$S$2:$S$2285,"43770B2Convencional pré-pagamentoRuralServiço público de irrigação ruralNão se aplicaNão se aplicaFora ponta",Mercado_Receita!$L$2:$L$2285)+SUMIF(Mercado_Receita!$S$2:$S$2285,"43770B2Convencional pré-pagamentoRuralServiço público de irrigação ruralNão se aplicaNão se aplicaIntermediário",Mercado_Receita!$L$2:$L$2285)+SUMIF(Mercado_Receita!$S$2:$S$2285,"43770B2Convencional pré-pagamentoRuralServiço público de irrigação ruralNão se aplicaNão se aplicaNão se aplica",Mercado_Receita!$L$2:$L$2285)</f>
        <v>0</v>
      </c>
      <c r="K76" s="12">
        <f>SUMIF(Mercado_Receita!$S$2:$S$2285,"43800B2Convencional pré-pagamentoRuralServiço público de irrigação ruralNão se aplicaNão se aplicaPonta",Mercado_Receita!$L$2:$L$2285)+SUMIF(Mercado_Receita!$S$2:$S$2285,"43800B2Convencional pré-pagamentoRuralServiço público de irrigação ruralNão se aplicaNão se aplicaFora ponta",Mercado_Receita!$L$2:$L$2285)+SUMIF(Mercado_Receita!$S$2:$S$2285,"43800B2Convencional pré-pagamentoRuralServiço público de irrigação ruralNão se aplicaNão se aplicaIntermediário",Mercado_Receita!$L$2:$L$2285)+SUMIF(Mercado_Receita!$S$2:$S$2285,"43800B2Convencional pré-pagamentoRuralServiço público de irrigação ruralNão se aplicaNão se aplicaNão se aplica",Mercado_Receita!$L$2:$L$2285)</f>
        <v>0</v>
      </c>
      <c r="L76" s="12">
        <f>SUMIF(Mercado_Receita!$S$2:$S$2285,"43831B2Convencional pré-pagamentoRuralServiço público de irrigação ruralNão se aplicaNão se aplicaPonta",Mercado_Receita!$L$2:$L$2285)+SUMIF(Mercado_Receita!$S$2:$S$2285,"43831B2Convencional pré-pagamentoRuralServiço público de irrigação ruralNão se aplicaNão se aplicaFora ponta",Mercado_Receita!$L$2:$L$2285)+SUMIF(Mercado_Receita!$S$2:$S$2285,"43831B2Convencional pré-pagamentoRuralServiço público de irrigação ruralNão se aplicaNão se aplicaIntermediário",Mercado_Receita!$L$2:$L$2285)+SUMIF(Mercado_Receita!$S$2:$S$2285,"43831B2Convencional pré-pagamentoRuralServiço público de irrigação ruralNão se aplicaNão se aplicaNão se aplica",Mercado_Receita!$L$2:$L$2285)</f>
        <v>0</v>
      </c>
      <c r="M76" s="12">
        <f>SUMIF(Mercado_Receita!$S$2:$S$2285,"43862B2Convencional pré-pagamentoRuralServiço público de irrigação ruralNão se aplicaNão se aplicaPonta",Mercado_Receita!$L$2:$L$2285)+SUMIF(Mercado_Receita!$S$2:$S$2285,"43862B2Convencional pré-pagamentoRuralServiço público de irrigação ruralNão se aplicaNão se aplicaFora ponta",Mercado_Receita!$L$2:$L$2285)+SUMIF(Mercado_Receita!$S$2:$S$2285,"43862B2Convencional pré-pagamentoRuralServiço público de irrigação ruralNão se aplicaNão se aplicaIntermediário",Mercado_Receita!$L$2:$L$2285)+SUMIF(Mercado_Receita!$S$2:$S$2285,"43862B2Convencional pré-pagamentoRuralServiço público de irrigação ruralNão se aplicaNão se aplicaNão se aplica",Mercado_Receita!$L$2:$L$2285)</f>
        <v>0</v>
      </c>
      <c r="N76" s="12">
        <f>SUMIF(Mercado_Receita!$S$2:$S$2285,"43891B2Convencional pré-pagamentoRuralServiço público de irrigação ruralNão se aplicaNão se aplicaPonta",Mercado_Receita!$L$2:$L$2285)+SUMIF(Mercado_Receita!$S$2:$S$2285,"43891B2Convencional pré-pagamentoRuralServiço público de irrigação ruralNão se aplicaNão se aplicaFora ponta",Mercado_Receita!$L$2:$L$2285)+SUMIF(Mercado_Receita!$S$2:$S$2285,"43891B2Convencional pré-pagamentoRuralServiço público de irrigação ruralNão se aplicaNão se aplicaIntermediário",Mercado_Receita!$L$2:$L$2285)+SUMIF(Mercado_Receita!$S$2:$S$2285,"43891B2Convencional pré-pagamentoRuralServiço público de irrigação ruralNão se aplicaNão se aplicaNão se aplica",Mercado_Receita!$L$2:$L$2285)</f>
        <v>0</v>
      </c>
      <c r="O76" s="12">
        <f>SUMIF(Mercado_Receita!$S$2:$S$2285,"43922B2Convencional pré-pagamentoRuralServiço público de irrigação ruralNão se aplicaNão se aplicaPonta",Mercado_Receita!$L$2:$L$2285)+SUMIF(Mercado_Receita!$S$2:$S$2285,"43922B2Convencional pré-pagamentoRuralServiço público de irrigação ruralNão se aplicaNão se aplicaFora ponta",Mercado_Receita!$L$2:$L$2285)+SUMIF(Mercado_Receita!$S$2:$S$2285,"43922B2Convencional pré-pagamentoRuralServiço público de irrigação ruralNão se aplicaNão se aplicaIntermediário",Mercado_Receita!$L$2:$L$2285)+SUMIF(Mercado_Receita!$S$2:$S$2285,"43922B2Convencional pré-pagamentoRuralServiço público de irrigação ruralNão se aplicaNão se aplicaNão se aplica",Mercado_Receita!$L$2:$L$2285)</f>
        <v>0</v>
      </c>
      <c r="P76" s="12">
        <f>SUMIF(Mercado_Receita!$S$2:$S$2285,"43952B2Convencional pré-pagamentoRuralServiço público de irrigação ruralNão se aplicaNão se aplicaPonta",Mercado_Receita!$L$2:$L$2285)+SUMIF(Mercado_Receita!$S$2:$S$2285,"43952B2Convencional pré-pagamentoRuralServiço público de irrigação ruralNão se aplicaNão se aplicaFora ponta",Mercado_Receita!$L$2:$L$2285)+SUMIF(Mercado_Receita!$S$2:$S$2285,"43952B2Convencional pré-pagamentoRuralServiço público de irrigação ruralNão se aplicaNão se aplicaIntermediário",Mercado_Receita!$L$2:$L$2285)+SUMIF(Mercado_Receita!$S$2:$S$2285,"43952B2Convencional pré-pagamentoRuralServiço público de irrigação ruralNão se aplicaNão se aplicaNão se aplica",Mercado_Receita!$L$2:$L$2285)</f>
        <v>0</v>
      </c>
      <c r="Q76" s="12">
        <f>SUMIF(Mercado_Receita!$S$2:$S$2285,"43983B2Convencional pré-pagamentoRuralServiço público de irrigação ruralNão se aplicaNão se aplicaPonta",Mercado_Receita!$L$2:$L$2285)+SUMIF(Mercado_Receita!$S$2:$S$2285,"43983B2Convencional pré-pagamentoRuralServiço público de irrigação ruralNão se aplicaNão se aplicaFora ponta",Mercado_Receita!$L$2:$L$2285)+SUMIF(Mercado_Receita!$S$2:$S$2285,"43983B2Convencional pré-pagamentoRuralServiço público de irrigação ruralNão se aplicaNão se aplicaIntermediário",Mercado_Receita!$L$2:$L$2285)+SUMIF(Mercado_Receita!$S$2:$S$2285,"43983B2Convencional pré-pagamentoRuralServiço público de irrigação ruralNão se aplicaNão se aplicaNão se aplica",Mercado_Receita!$L$2:$L$2285)</f>
        <v>0</v>
      </c>
      <c r="R76" s="12">
        <f>SUMIF(Mercado_Receita!$S$2:$S$2285,"44013B2Convencional pré-pagamentoRuralServiço público de irrigação ruralNão se aplicaNão se aplicaPonta",Mercado_Receita!$L$2:$L$2285)+SUMIF(Mercado_Receita!$S$2:$S$2285,"44013B2Convencional pré-pagamentoRuralServiço público de irrigação ruralNão se aplicaNão se aplicaFora ponta",Mercado_Receita!$L$2:$L$2285)+SUMIF(Mercado_Receita!$S$2:$S$2285,"44013B2Convencional pré-pagamentoRuralServiço público de irrigação ruralNão se aplicaNão se aplicaIntermediário",Mercado_Receita!$L$2:$L$2285)+SUMIF(Mercado_Receita!$S$2:$S$2285,"44013B2Convencional pré-pagamentoRuralServiço público de irrigação ruralNão se aplicaNão se aplicaNão se aplica",Mercado_Receita!$L$2:$L$2285)</f>
        <v>0</v>
      </c>
      <c r="S76" s="12">
        <f>SUMIF(Mercado_Receita!$S$2:$S$2285,"44044B2Convencional pré-pagamentoRuralServiço público de irrigação ruralNão se aplicaNão se aplicaPonta",Mercado_Receita!$L$2:$L$2285)+SUMIF(Mercado_Receita!$S$2:$S$2285,"44044B2Convencional pré-pagamentoRuralServiço público de irrigação ruralNão se aplicaNão se aplicaFora ponta",Mercado_Receita!$L$2:$L$2285)+SUMIF(Mercado_Receita!$S$2:$S$2285,"44044B2Convencional pré-pagamentoRuralServiço público de irrigação ruralNão se aplicaNão se aplicaIntermediário",Mercado_Receita!$L$2:$L$2285)+SUMIF(Mercado_Receita!$S$2:$S$2285,"44044B2Convencional pré-pagamentoRuralServiço público de irrigação ruralNão se aplicaNão se aplicaNão se aplica",Mercado_Receita!$L$2:$L$2285)</f>
        <v>0</v>
      </c>
      <c r="T76" s="12">
        <f>SUMIF(Mercado_Receita!$S$2:$S$2285,"44075B2Convencional pré-pagamentoRuralServiço público de irrigação ruralNão se aplicaNão se aplicaPonta",Mercado_Receita!$L$2:$L$2285)+SUMIF(Mercado_Receita!$S$2:$S$2285,"44075B2Convencional pré-pagamentoRuralServiço público de irrigação ruralNão se aplicaNão se aplicaFora ponta",Mercado_Receita!$L$2:$L$2285)+SUMIF(Mercado_Receita!$S$2:$S$2285,"44075B2Convencional pré-pagamentoRuralServiço público de irrigação ruralNão se aplicaNão se aplicaIntermediário",Mercado_Receita!$L$2:$L$2285)+SUMIF(Mercado_Receita!$S$2:$S$2285,"44075B2Convencional pré-pagamentoRuralServiço público de irrigação ruralNão se aplicaNão se aplicaNão se aplica",Mercado_Receita!$L$2:$L$2285)</f>
        <v>0</v>
      </c>
      <c r="U76" s="12">
        <f t="shared" si="2"/>
        <v>0</v>
      </c>
      <c r="V76" s="12"/>
      <c r="W76" s="12"/>
    </row>
    <row r="77" spans="1:23" ht="11.25" customHeight="1" x14ac:dyDescent="0.25">
      <c r="A77" s="104" t="s">
        <v>39</v>
      </c>
      <c r="B77" s="104" t="s">
        <v>37</v>
      </c>
      <c r="C77" s="104" t="s">
        <v>25</v>
      </c>
      <c r="D77" s="104" t="s">
        <v>25</v>
      </c>
      <c r="E77" s="104" t="s">
        <v>25</v>
      </c>
      <c r="F77" s="104" t="s">
        <v>25</v>
      </c>
      <c r="G77" s="12" t="s">
        <v>89</v>
      </c>
      <c r="H77" s="12" t="s">
        <v>88</v>
      </c>
      <c r="I77" s="12">
        <f>SUMIF(Mercado_Receita!$S$2:$S$2285,"43739B3BrancaNão se aplicaNão se aplicaNão se aplicaNão se aplicaPonta",Mercado_Receita!$L$2:$L$2285)</f>
        <v>31.545000000000002</v>
      </c>
      <c r="J77" s="12">
        <f>SUMIF(Mercado_Receita!$S$2:$S$2285,"43770B3BrancaNão se aplicaNão se aplicaNão se aplicaNão se aplicaPonta",Mercado_Receita!$L$2:$L$2285)</f>
        <v>1039.5970000000002</v>
      </c>
      <c r="K77" s="12">
        <f>SUMIF(Mercado_Receita!$S$2:$S$2285,"43800B3BrancaNão se aplicaNão se aplicaNão se aplicaNão se aplicaPonta",Mercado_Receita!$L$2:$L$2285)</f>
        <v>-966.55100000000004</v>
      </c>
      <c r="L77" s="12">
        <f>SUMIF(Mercado_Receita!$S$2:$S$2285,"43831B3BrancaNão se aplicaNão se aplicaNão se aplicaNão se aplicaPonta",Mercado_Receita!$L$2:$L$2285)</f>
        <v>30.556000000000001</v>
      </c>
      <c r="M77" s="12">
        <f>SUMIF(Mercado_Receita!$S$2:$S$2285,"43862B3BrancaNão se aplicaNão se aplicaNão se aplicaNão se aplicaPonta",Mercado_Receita!$L$2:$L$2285)</f>
        <v>31.68</v>
      </c>
      <c r="N77" s="12">
        <f>SUMIF(Mercado_Receita!$S$2:$S$2285,"43891B3BrancaNão se aplicaNão se aplicaNão se aplicaNão se aplicaPonta",Mercado_Receita!$L$2:$L$2285)</f>
        <v>28.325999999999997</v>
      </c>
      <c r="O77" s="12">
        <f>SUMIF(Mercado_Receita!$S$2:$S$2285,"43922B3BrancaNão se aplicaNão se aplicaNão se aplicaNão se aplicaPonta",Mercado_Receita!$L$2:$L$2285)</f>
        <v>27.652000000000001</v>
      </c>
      <c r="P77" s="12">
        <f>SUMIF(Mercado_Receita!$S$2:$S$2285,"43952B3BrancaNão se aplicaNão se aplicaNão se aplicaNão se aplicaPonta",Mercado_Receita!$L$2:$L$2285)</f>
        <v>20.097999999999999</v>
      </c>
      <c r="Q77" s="12">
        <f>SUMIF(Mercado_Receita!$S$2:$S$2285,"43983B3BrancaNão se aplicaNão se aplicaNão se aplicaNão se aplicaPonta",Mercado_Receita!$L$2:$L$2285)</f>
        <v>115.55300000000001</v>
      </c>
      <c r="R77" s="12">
        <f>SUMIF(Mercado_Receita!$S$2:$S$2285,"44013B3BrancaNão se aplicaNão se aplicaNão se aplicaNão se aplicaPonta",Mercado_Receita!$L$2:$L$2285)</f>
        <v>124.995</v>
      </c>
      <c r="S77" s="12">
        <f>SUMIF(Mercado_Receita!$S$2:$S$2285,"44044B3BrancaNão se aplicaNão se aplicaNão se aplicaNão se aplicaPonta",Mercado_Receita!$L$2:$L$2285)</f>
        <v>-174.89000000000001</v>
      </c>
      <c r="T77" s="12">
        <f>SUMIF(Mercado_Receita!$S$2:$S$2285,"44075B3BrancaNão se aplicaNão se aplicaNão se aplicaNão se aplicaPonta",Mercado_Receita!$L$2:$L$2285)</f>
        <v>-174.89000000000001</v>
      </c>
      <c r="U77" s="12">
        <f t="shared" si="2"/>
        <v>133.67100000000025</v>
      </c>
      <c r="V77" s="12"/>
      <c r="W77" s="12"/>
    </row>
    <row r="78" spans="1:23" ht="11.25" customHeight="1" x14ac:dyDescent="0.25">
      <c r="A78" s="105"/>
      <c r="B78" s="105"/>
      <c r="C78" s="105"/>
      <c r="D78" s="105"/>
      <c r="E78" s="105"/>
      <c r="F78" s="105"/>
      <c r="G78" s="12" t="s">
        <v>100</v>
      </c>
      <c r="H78" s="12" t="s">
        <v>88</v>
      </c>
      <c r="I78" s="12">
        <f>SUMIF(Mercado_Receita!$S$2:$S$2285,"43739B3BrancaNão se aplicaNão se aplicaNão se aplicaNão se aplicaIntermediário",Mercado_Receita!$L$2:$L$2285)</f>
        <v>26.518000000000001</v>
      </c>
      <c r="J78" s="12">
        <f>SUMIF(Mercado_Receita!$S$2:$S$2285,"43770B3BrancaNão se aplicaNão se aplicaNão se aplicaNão se aplicaIntermediário",Mercado_Receita!$L$2:$L$2285)</f>
        <v>1030.8</v>
      </c>
      <c r="K78" s="12">
        <f>SUMIF(Mercado_Receita!$S$2:$S$2285,"43800B3BrancaNão se aplicaNão se aplicaNão se aplicaNão se aplicaIntermediário",Mercado_Receita!$L$2:$L$2285)</f>
        <v>-970.83500000000004</v>
      </c>
      <c r="L78" s="12">
        <f>SUMIF(Mercado_Receita!$S$2:$S$2285,"43831B3BrancaNão se aplicaNão se aplicaNão se aplicaNão se aplicaIntermediário",Mercado_Receita!$L$2:$L$2285)</f>
        <v>18.524999999999999</v>
      </c>
      <c r="M78" s="12">
        <f>SUMIF(Mercado_Receita!$S$2:$S$2285,"43862B3BrancaNão se aplicaNão se aplicaNão se aplicaNão se aplicaIntermediário",Mercado_Receita!$L$2:$L$2285)</f>
        <v>24.462</v>
      </c>
      <c r="N78" s="12">
        <f>SUMIF(Mercado_Receita!$S$2:$S$2285,"43891B3BrancaNão se aplicaNão se aplicaNão se aplicaNão se aplicaIntermediário",Mercado_Receita!$L$2:$L$2285)</f>
        <v>21.665000000000003</v>
      </c>
      <c r="O78" s="12">
        <f>SUMIF(Mercado_Receita!$S$2:$S$2285,"43922B3BrancaNão se aplicaNão se aplicaNão se aplicaNão se aplicaIntermediário",Mercado_Receita!$L$2:$L$2285)</f>
        <v>18.632999999999999</v>
      </c>
      <c r="P78" s="12">
        <f>SUMIF(Mercado_Receita!$S$2:$S$2285,"43952B3BrancaNão se aplicaNão se aplicaNão se aplicaNão se aplicaIntermediário",Mercado_Receita!$L$2:$L$2285)</f>
        <v>15.638</v>
      </c>
      <c r="Q78" s="12">
        <f>SUMIF(Mercado_Receita!$S$2:$S$2285,"43983B3BrancaNão se aplicaNão se aplicaNão se aplicaNão se aplicaIntermediário",Mercado_Receita!$L$2:$L$2285)</f>
        <v>110.47800000000001</v>
      </c>
      <c r="R78" s="12">
        <f>SUMIF(Mercado_Receita!$S$2:$S$2285,"44013B3BrancaNão se aplicaNão se aplicaNão se aplicaNão se aplicaIntermediário",Mercado_Receita!$L$2:$L$2285)</f>
        <v>119.98399999999999</v>
      </c>
      <c r="S78" s="12">
        <f>SUMIF(Mercado_Receita!$S$2:$S$2285,"44044B3BrancaNão se aplicaNão se aplicaNão se aplicaNão se aplicaIntermediário",Mercado_Receita!$L$2:$L$2285)</f>
        <v>-181.75700000000001</v>
      </c>
      <c r="T78" s="12">
        <f>SUMIF(Mercado_Receita!$S$2:$S$2285,"44075B3BrancaNão se aplicaNão se aplicaNão se aplicaNão se aplicaIntermediário",Mercado_Receita!$L$2:$L$2285)</f>
        <v>-181.75700000000001</v>
      </c>
      <c r="U78" s="12">
        <f t="shared" si="2"/>
        <v>52.353999999999928</v>
      </c>
      <c r="V78" s="12"/>
      <c r="W78" s="12"/>
    </row>
    <row r="79" spans="1:23" ht="11.25" customHeight="1" x14ac:dyDescent="0.25">
      <c r="A79" s="105"/>
      <c r="B79" s="105"/>
      <c r="C79" s="105"/>
      <c r="D79" s="105"/>
      <c r="E79" s="105"/>
      <c r="F79" s="105"/>
      <c r="G79" s="12" t="s">
        <v>90</v>
      </c>
      <c r="H79" s="12" t="s">
        <v>88</v>
      </c>
      <c r="I79" s="12">
        <f>SUMIF(Mercado_Receita!$S$2:$S$2285,"43739B3BrancaNão se aplicaNão se aplicaNão se aplicaNão se aplicaFora ponta",Mercado_Receita!$L$2:$L$2285)</f>
        <v>394.45699999999999</v>
      </c>
      <c r="J79" s="12">
        <f>SUMIF(Mercado_Receita!$S$2:$S$2285,"43770B3BrancaNão se aplicaNão se aplicaNão se aplicaNão se aplicaFora ponta",Mercado_Receita!$L$2:$L$2285)</f>
        <v>1448.1119999999999</v>
      </c>
      <c r="K79" s="12">
        <f>SUMIF(Mercado_Receita!$S$2:$S$2285,"43800B3BrancaNão se aplicaNão se aplicaNão se aplicaNão se aplicaFora ponta",Mercado_Receita!$L$2:$L$2285)</f>
        <v>-580.24099999999999</v>
      </c>
      <c r="L79" s="12">
        <f>SUMIF(Mercado_Receita!$S$2:$S$2285,"43831B3BrancaNão se aplicaNão se aplicaNão se aplicaNão se aplicaFora ponta",Mercado_Receita!$L$2:$L$2285)</f>
        <v>406.11</v>
      </c>
      <c r="M79" s="12">
        <f>SUMIF(Mercado_Receita!$S$2:$S$2285,"43862B3BrancaNão se aplicaNão se aplicaNão se aplicaNão se aplicaFora ponta",Mercado_Receita!$L$2:$L$2285)</f>
        <v>386.29700000000003</v>
      </c>
      <c r="N79" s="12">
        <f>SUMIF(Mercado_Receita!$S$2:$S$2285,"43891B3BrancaNão se aplicaNão se aplicaNão se aplicaNão se aplicaFora ponta",Mercado_Receita!$L$2:$L$2285)</f>
        <v>370.76299999999998</v>
      </c>
      <c r="O79" s="12">
        <f>SUMIF(Mercado_Receita!$S$2:$S$2285,"43922B3BrancaNão se aplicaNão se aplicaNão se aplicaNão se aplicaFora ponta",Mercado_Receita!$L$2:$L$2285)</f>
        <v>323.34099999999995</v>
      </c>
      <c r="P79" s="12">
        <f>SUMIF(Mercado_Receita!$S$2:$S$2285,"43952B3BrancaNão se aplicaNão se aplicaNão se aplicaNão se aplicaFora ponta",Mercado_Receita!$L$2:$L$2285)</f>
        <v>277.72699999999998</v>
      </c>
      <c r="Q79" s="12">
        <f>SUMIF(Mercado_Receita!$S$2:$S$2285,"43983B3BrancaNão se aplicaNão se aplicaNão se aplicaNão se aplicaFora ponta",Mercado_Receita!$L$2:$L$2285)</f>
        <v>259.36500000000001</v>
      </c>
      <c r="R79" s="12">
        <f>SUMIF(Mercado_Receita!$S$2:$S$2285,"44013B3BrancaNão se aplicaNão se aplicaNão se aplicaNão se aplicaFora ponta",Mercado_Receita!$L$2:$L$2285)</f>
        <v>278.06400000000002</v>
      </c>
      <c r="S79" s="12">
        <f>SUMIF(Mercado_Receita!$S$2:$S$2285,"44044B3BrancaNão se aplicaNão se aplicaNão se aplicaNão se aplicaFora ponta",Mercado_Receita!$L$2:$L$2285)</f>
        <v>304.09199999999998</v>
      </c>
      <c r="T79" s="12">
        <f>SUMIF(Mercado_Receita!$S$2:$S$2285,"44075B3BrancaNão se aplicaNão se aplicaNão se aplicaNão se aplicaFora ponta",Mercado_Receita!$L$2:$L$2285)</f>
        <v>304.09199999999998</v>
      </c>
      <c r="U79" s="12">
        <f t="shared" si="2"/>
        <v>4172.1789999999992</v>
      </c>
      <c r="V79" s="12"/>
      <c r="W79" s="12"/>
    </row>
    <row r="80" spans="1:23" ht="11.25" customHeight="1" x14ac:dyDescent="0.25">
      <c r="A80" s="105"/>
      <c r="B80" s="13" t="s">
        <v>23</v>
      </c>
      <c r="C80" s="13" t="s">
        <v>25</v>
      </c>
      <c r="D80" s="13" t="s">
        <v>25</v>
      </c>
      <c r="E80" s="13" t="s">
        <v>25</v>
      </c>
      <c r="F80" s="13" t="s">
        <v>25</v>
      </c>
      <c r="G80" s="12" t="s">
        <v>94</v>
      </c>
      <c r="H80" s="12" t="s">
        <v>88</v>
      </c>
      <c r="I80" s="12">
        <f>SUMIF(Mercado_Receita!$S$2:$S$2285,"43739B3ConvencionalNão se aplicaNão se aplicaNão se aplicaNão se aplicaPonta",Mercado_Receita!$L$2:$L$2285)+SUMIF(Mercado_Receita!$S$2:$S$2285,"43739B3ConvencionalNão se aplicaNão se aplicaNão se aplicaNão se aplicaFora ponta",Mercado_Receita!$L$2:$L$2285)+SUMIF(Mercado_Receita!$S$2:$S$2285,"43739B3ConvencionalNão se aplicaNão se aplicaNão se aplicaNão se aplicaIntermediário",Mercado_Receita!$L$2:$L$2285)+SUMIF(Mercado_Receita!$S$2:$S$2285,"43739B3ConvencionalNão se aplicaNão se aplicaNão se aplicaNão se aplicaNão se aplica",Mercado_Receita!$L$2:$L$2285)</f>
        <v>102139.36499999998</v>
      </c>
      <c r="J80" s="12">
        <f>SUMIF(Mercado_Receita!$S$2:$S$2285,"43770B3ConvencionalNão se aplicaNão se aplicaNão se aplicaNão se aplicaPonta",Mercado_Receita!$L$2:$L$2285)+SUMIF(Mercado_Receita!$S$2:$S$2285,"43770B3ConvencionalNão se aplicaNão se aplicaNão se aplicaNão se aplicaFora ponta",Mercado_Receita!$L$2:$L$2285)+SUMIF(Mercado_Receita!$S$2:$S$2285,"43770B3ConvencionalNão se aplicaNão se aplicaNão se aplicaNão se aplicaIntermediário",Mercado_Receita!$L$2:$L$2285)+SUMIF(Mercado_Receita!$S$2:$S$2285,"43770B3ConvencionalNão se aplicaNão se aplicaNão se aplicaNão se aplicaNão se aplica",Mercado_Receita!$L$2:$L$2285)</f>
        <v>109484.93299999998</v>
      </c>
      <c r="K80" s="12">
        <f>SUMIF(Mercado_Receita!$S$2:$S$2285,"43800B3ConvencionalNão se aplicaNão se aplicaNão se aplicaNão se aplicaPonta",Mercado_Receita!$L$2:$L$2285)+SUMIF(Mercado_Receita!$S$2:$S$2285,"43800B3ConvencionalNão se aplicaNão se aplicaNão se aplicaNão se aplicaFora ponta",Mercado_Receita!$L$2:$L$2285)+SUMIF(Mercado_Receita!$S$2:$S$2285,"43800B3ConvencionalNão se aplicaNão se aplicaNão se aplicaNão se aplicaIntermediário",Mercado_Receita!$L$2:$L$2285)+SUMIF(Mercado_Receita!$S$2:$S$2285,"43800B3ConvencionalNão se aplicaNão se aplicaNão se aplicaNão se aplicaNão se aplica",Mercado_Receita!$L$2:$L$2285)</f>
        <v>95837.859999999971</v>
      </c>
      <c r="L80" s="12">
        <f>SUMIF(Mercado_Receita!$S$2:$S$2285,"43831B3ConvencionalNão se aplicaNão se aplicaNão se aplicaNão se aplicaPonta",Mercado_Receita!$L$2:$L$2285)+SUMIF(Mercado_Receita!$S$2:$S$2285,"43831B3ConvencionalNão se aplicaNão se aplicaNão se aplicaNão se aplicaFora ponta",Mercado_Receita!$L$2:$L$2285)+SUMIF(Mercado_Receita!$S$2:$S$2285,"43831B3ConvencionalNão se aplicaNão se aplicaNão se aplicaNão se aplicaIntermediário",Mercado_Receita!$L$2:$L$2285)+SUMIF(Mercado_Receita!$S$2:$S$2285,"43831B3ConvencionalNão se aplicaNão se aplicaNão se aplicaNão se aplicaNão se aplica",Mercado_Receita!$L$2:$L$2285)</f>
        <v>97350.655999999988</v>
      </c>
      <c r="M80" s="12">
        <f>SUMIF(Mercado_Receita!$S$2:$S$2285,"43862B3ConvencionalNão se aplicaNão se aplicaNão se aplicaNão se aplicaPonta",Mercado_Receita!$L$2:$L$2285)+SUMIF(Mercado_Receita!$S$2:$S$2285,"43862B3ConvencionalNão se aplicaNão se aplicaNão se aplicaNão se aplicaFora ponta",Mercado_Receita!$L$2:$L$2285)+SUMIF(Mercado_Receita!$S$2:$S$2285,"43862B3ConvencionalNão se aplicaNão se aplicaNão se aplicaNão se aplicaIntermediário",Mercado_Receita!$L$2:$L$2285)+SUMIF(Mercado_Receita!$S$2:$S$2285,"43862B3ConvencionalNão se aplicaNão se aplicaNão se aplicaNão se aplicaNão se aplica",Mercado_Receita!$L$2:$L$2285)</f>
        <v>94288.007999999987</v>
      </c>
      <c r="N80" s="12">
        <f>SUMIF(Mercado_Receita!$S$2:$S$2285,"43891B3ConvencionalNão se aplicaNão se aplicaNão se aplicaNão se aplicaPonta",Mercado_Receita!$L$2:$L$2285)+SUMIF(Mercado_Receita!$S$2:$S$2285,"43891B3ConvencionalNão se aplicaNão se aplicaNão se aplicaNão se aplicaFora ponta",Mercado_Receita!$L$2:$L$2285)+SUMIF(Mercado_Receita!$S$2:$S$2285,"43891B3ConvencionalNão se aplicaNão se aplicaNão se aplicaNão se aplicaIntermediário",Mercado_Receita!$L$2:$L$2285)+SUMIF(Mercado_Receita!$S$2:$S$2285,"43891B3ConvencionalNão se aplicaNão se aplicaNão se aplicaNão se aplicaNão se aplica",Mercado_Receita!$L$2:$L$2285)</f>
        <v>93540.531999999992</v>
      </c>
      <c r="O80" s="12">
        <f>SUMIF(Mercado_Receita!$S$2:$S$2285,"43922B3ConvencionalNão se aplicaNão se aplicaNão se aplicaNão se aplicaPonta",Mercado_Receita!$L$2:$L$2285)+SUMIF(Mercado_Receita!$S$2:$S$2285,"43922B3ConvencionalNão se aplicaNão se aplicaNão se aplicaNão se aplicaFora ponta",Mercado_Receita!$L$2:$L$2285)+SUMIF(Mercado_Receita!$S$2:$S$2285,"43922B3ConvencionalNão se aplicaNão se aplicaNão se aplicaNão se aplicaIntermediário",Mercado_Receita!$L$2:$L$2285)+SUMIF(Mercado_Receita!$S$2:$S$2285,"43922B3ConvencionalNão se aplicaNão se aplicaNão se aplicaNão se aplicaNão se aplica",Mercado_Receita!$L$2:$L$2285)</f>
        <v>79594.62000000001</v>
      </c>
      <c r="P80" s="12">
        <f>SUMIF(Mercado_Receita!$S$2:$S$2285,"43952B3ConvencionalNão se aplicaNão se aplicaNão se aplicaNão se aplicaPonta",Mercado_Receita!$L$2:$L$2285)+SUMIF(Mercado_Receita!$S$2:$S$2285,"43952B3ConvencionalNão se aplicaNão se aplicaNão se aplicaNão se aplicaFora ponta",Mercado_Receita!$L$2:$L$2285)+SUMIF(Mercado_Receita!$S$2:$S$2285,"43952B3ConvencionalNão se aplicaNão se aplicaNão se aplicaNão se aplicaIntermediário",Mercado_Receita!$L$2:$L$2285)+SUMIF(Mercado_Receita!$S$2:$S$2285,"43952B3ConvencionalNão se aplicaNão se aplicaNão se aplicaNão se aplicaNão se aplica",Mercado_Receita!$L$2:$L$2285)</f>
        <v>72288.335000000006</v>
      </c>
      <c r="Q80" s="12">
        <f>SUMIF(Mercado_Receita!$S$2:$S$2285,"43983B3ConvencionalNão se aplicaNão se aplicaNão se aplicaNão se aplicaPonta",Mercado_Receita!$L$2:$L$2285)+SUMIF(Mercado_Receita!$S$2:$S$2285,"43983B3ConvencionalNão se aplicaNão se aplicaNão se aplicaNão se aplicaFora ponta",Mercado_Receita!$L$2:$L$2285)+SUMIF(Mercado_Receita!$S$2:$S$2285,"43983B3ConvencionalNão se aplicaNão se aplicaNão se aplicaNão se aplicaIntermediário",Mercado_Receita!$L$2:$L$2285)+SUMIF(Mercado_Receita!$S$2:$S$2285,"43983B3ConvencionalNão se aplicaNão se aplicaNão se aplicaNão se aplicaNão se aplica",Mercado_Receita!$L$2:$L$2285)</f>
        <v>66228.692999999999</v>
      </c>
      <c r="R80" s="12">
        <f>SUMIF(Mercado_Receita!$S$2:$S$2285,"44013B3ConvencionalNão se aplicaNão se aplicaNão se aplicaNão se aplicaPonta",Mercado_Receita!$L$2:$L$2285)+SUMIF(Mercado_Receita!$S$2:$S$2285,"44013B3ConvencionalNão se aplicaNão se aplicaNão se aplicaNão se aplicaFora ponta",Mercado_Receita!$L$2:$L$2285)+SUMIF(Mercado_Receita!$S$2:$S$2285,"44013B3ConvencionalNão se aplicaNão se aplicaNão se aplicaNão se aplicaIntermediário",Mercado_Receita!$L$2:$L$2285)+SUMIF(Mercado_Receita!$S$2:$S$2285,"44013B3ConvencionalNão se aplicaNão se aplicaNão se aplicaNão se aplicaNão se aplica",Mercado_Receita!$L$2:$L$2285)</f>
        <v>69489.145999999993</v>
      </c>
      <c r="S80" s="12">
        <f>SUMIF(Mercado_Receita!$S$2:$S$2285,"44044B3ConvencionalNão se aplicaNão se aplicaNão se aplicaNão se aplicaPonta",Mercado_Receita!$L$2:$L$2285)+SUMIF(Mercado_Receita!$S$2:$S$2285,"44044B3ConvencionalNão se aplicaNão se aplicaNão se aplicaNão se aplicaFora ponta",Mercado_Receita!$L$2:$L$2285)+SUMIF(Mercado_Receita!$S$2:$S$2285,"44044B3ConvencionalNão se aplicaNão se aplicaNão se aplicaNão se aplicaIntermediário",Mercado_Receita!$L$2:$L$2285)+SUMIF(Mercado_Receita!$S$2:$S$2285,"44044B3ConvencionalNão se aplicaNão se aplicaNão se aplicaNão se aplicaNão se aplica",Mercado_Receita!$L$2:$L$2285)</f>
        <v>76386.78300000001</v>
      </c>
      <c r="T80" s="12">
        <f>SUMIF(Mercado_Receita!$S$2:$S$2285,"44075B3ConvencionalNão se aplicaNão se aplicaNão se aplicaNão se aplicaPonta",Mercado_Receita!$L$2:$L$2285)+SUMIF(Mercado_Receita!$S$2:$S$2285,"44075B3ConvencionalNão se aplicaNão se aplicaNão se aplicaNão se aplicaFora ponta",Mercado_Receita!$L$2:$L$2285)+SUMIF(Mercado_Receita!$S$2:$S$2285,"44075B3ConvencionalNão se aplicaNão se aplicaNão se aplicaNão se aplicaIntermediário",Mercado_Receita!$L$2:$L$2285)+SUMIF(Mercado_Receita!$S$2:$S$2285,"44075B3ConvencionalNão se aplicaNão se aplicaNão se aplicaNão se aplicaNão se aplica",Mercado_Receita!$L$2:$L$2285)</f>
        <v>76386.78300000001</v>
      </c>
      <c r="U80" s="12">
        <f t="shared" si="2"/>
        <v>1033015.7139999998</v>
      </c>
      <c r="V80" s="12"/>
      <c r="W80" s="12"/>
    </row>
    <row r="81" spans="1:23" ht="11.25" customHeight="1" x14ac:dyDescent="0.25">
      <c r="A81" s="105"/>
      <c r="B81" s="13" t="s">
        <v>102</v>
      </c>
      <c r="C81" s="13" t="s">
        <v>25</v>
      </c>
      <c r="D81" s="13" t="s">
        <v>25</v>
      </c>
      <c r="E81" s="13" t="s">
        <v>25</v>
      </c>
      <c r="F81" s="13" t="s">
        <v>25</v>
      </c>
      <c r="G81" s="12" t="s">
        <v>94</v>
      </c>
      <c r="H81" s="12" t="s">
        <v>88</v>
      </c>
      <c r="I81" s="12">
        <f>SUMIF(Mercado_Receita!$S$2:$S$2285,"43739B3Convencional pré-pagamentoNão se aplicaNão se aplicaNão se aplicaNão se aplicaPonta",Mercado_Receita!$L$2:$L$2285)+SUMIF(Mercado_Receita!$S$2:$S$2285,"43739B3Convencional pré-pagamentoNão se aplicaNão se aplicaNão se aplicaNão se aplicaFora ponta",Mercado_Receita!$L$2:$L$2285)+SUMIF(Mercado_Receita!$S$2:$S$2285,"43739B3Convencional pré-pagamentoNão se aplicaNão se aplicaNão se aplicaNão se aplicaIntermediário",Mercado_Receita!$L$2:$L$2285)+SUMIF(Mercado_Receita!$S$2:$S$2285,"43739B3Convencional pré-pagamentoNão se aplicaNão se aplicaNão se aplicaNão se aplicaNão se aplica",Mercado_Receita!$L$2:$L$2285)</f>
        <v>0</v>
      </c>
      <c r="J81" s="12">
        <f>SUMIF(Mercado_Receita!$S$2:$S$2285,"43770B3Convencional pré-pagamentoNão se aplicaNão se aplicaNão se aplicaNão se aplicaPonta",Mercado_Receita!$L$2:$L$2285)+SUMIF(Mercado_Receita!$S$2:$S$2285,"43770B3Convencional pré-pagamentoNão se aplicaNão se aplicaNão se aplicaNão se aplicaFora ponta",Mercado_Receita!$L$2:$L$2285)+SUMIF(Mercado_Receita!$S$2:$S$2285,"43770B3Convencional pré-pagamentoNão se aplicaNão se aplicaNão se aplicaNão se aplicaIntermediário",Mercado_Receita!$L$2:$L$2285)+SUMIF(Mercado_Receita!$S$2:$S$2285,"43770B3Convencional pré-pagamentoNão se aplicaNão se aplicaNão se aplicaNão se aplicaNão se aplica",Mercado_Receita!$L$2:$L$2285)</f>
        <v>0</v>
      </c>
      <c r="K81" s="12">
        <f>SUMIF(Mercado_Receita!$S$2:$S$2285,"43800B3Convencional pré-pagamentoNão se aplicaNão se aplicaNão se aplicaNão se aplicaPonta",Mercado_Receita!$L$2:$L$2285)+SUMIF(Mercado_Receita!$S$2:$S$2285,"43800B3Convencional pré-pagamentoNão se aplicaNão se aplicaNão se aplicaNão se aplicaFora ponta",Mercado_Receita!$L$2:$L$2285)+SUMIF(Mercado_Receita!$S$2:$S$2285,"43800B3Convencional pré-pagamentoNão se aplicaNão se aplicaNão se aplicaNão se aplicaIntermediário",Mercado_Receita!$L$2:$L$2285)+SUMIF(Mercado_Receita!$S$2:$S$2285,"43800B3Convencional pré-pagamentoNão se aplicaNão se aplicaNão se aplicaNão se aplicaNão se aplica",Mercado_Receita!$L$2:$L$2285)</f>
        <v>0</v>
      </c>
      <c r="L81" s="12">
        <f>SUMIF(Mercado_Receita!$S$2:$S$2285,"43831B3Convencional pré-pagamentoNão se aplicaNão se aplicaNão se aplicaNão se aplicaPonta",Mercado_Receita!$L$2:$L$2285)+SUMIF(Mercado_Receita!$S$2:$S$2285,"43831B3Convencional pré-pagamentoNão se aplicaNão se aplicaNão se aplicaNão se aplicaFora ponta",Mercado_Receita!$L$2:$L$2285)+SUMIF(Mercado_Receita!$S$2:$S$2285,"43831B3Convencional pré-pagamentoNão se aplicaNão se aplicaNão se aplicaNão se aplicaIntermediário",Mercado_Receita!$L$2:$L$2285)+SUMIF(Mercado_Receita!$S$2:$S$2285,"43831B3Convencional pré-pagamentoNão se aplicaNão se aplicaNão se aplicaNão se aplicaNão se aplica",Mercado_Receita!$L$2:$L$2285)</f>
        <v>0</v>
      </c>
      <c r="M81" s="12">
        <f>SUMIF(Mercado_Receita!$S$2:$S$2285,"43862B3Convencional pré-pagamentoNão se aplicaNão se aplicaNão se aplicaNão se aplicaPonta",Mercado_Receita!$L$2:$L$2285)+SUMIF(Mercado_Receita!$S$2:$S$2285,"43862B3Convencional pré-pagamentoNão se aplicaNão se aplicaNão se aplicaNão se aplicaFora ponta",Mercado_Receita!$L$2:$L$2285)+SUMIF(Mercado_Receita!$S$2:$S$2285,"43862B3Convencional pré-pagamentoNão se aplicaNão se aplicaNão se aplicaNão se aplicaIntermediário",Mercado_Receita!$L$2:$L$2285)+SUMIF(Mercado_Receita!$S$2:$S$2285,"43862B3Convencional pré-pagamentoNão se aplicaNão se aplicaNão se aplicaNão se aplicaNão se aplica",Mercado_Receita!$L$2:$L$2285)</f>
        <v>0</v>
      </c>
      <c r="N81" s="12">
        <f>SUMIF(Mercado_Receita!$S$2:$S$2285,"43891B3Convencional pré-pagamentoNão se aplicaNão se aplicaNão se aplicaNão se aplicaPonta",Mercado_Receita!$L$2:$L$2285)+SUMIF(Mercado_Receita!$S$2:$S$2285,"43891B3Convencional pré-pagamentoNão se aplicaNão se aplicaNão se aplicaNão se aplicaFora ponta",Mercado_Receita!$L$2:$L$2285)+SUMIF(Mercado_Receita!$S$2:$S$2285,"43891B3Convencional pré-pagamentoNão se aplicaNão se aplicaNão se aplicaNão se aplicaIntermediário",Mercado_Receita!$L$2:$L$2285)+SUMIF(Mercado_Receita!$S$2:$S$2285,"43891B3Convencional pré-pagamentoNão se aplicaNão se aplicaNão se aplicaNão se aplicaNão se aplica",Mercado_Receita!$L$2:$L$2285)</f>
        <v>0</v>
      </c>
      <c r="O81" s="12">
        <f>SUMIF(Mercado_Receita!$S$2:$S$2285,"43922B3Convencional pré-pagamentoNão se aplicaNão se aplicaNão se aplicaNão se aplicaPonta",Mercado_Receita!$L$2:$L$2285)+SUMIF(Mercado_Receita!$S$2:$S$2285,"43922B3Convencional pré-pagamentoNão se aplicaNão se aplicaNão se aplicaNão se aplicaFora ponta",Mercado_Receita!$L$2:$L$2285)+SUMIF(Mercado_Receita!$S$2:$S$2285,"43922B3Convencional pré-pagamentoNão se aplicaNão se aplicaNão se aplicaNão se aplicaIntermediário",Mercado_Receita!$L$2:$L$2285)+SUMIF(Mercado_Receita!$S$2:$S$2285,"43922B3Convencional pré-pagamentoNão se aplicaNão se aplicaNão se aplicaNão se aplicaNão se aplica",Mercado_Receita!$L$2:$L$2285)</f>
        <v>0</v>
      </c>
      <c r="P81" s="12">
        <f>SUMIF(Mercado_Receita!$S$2:$S$2285,"43952B3Convencional pré-pagamentoNão se aplicaNão se aplicaNão se aplicaNão se aplicaPonta",Mercado_Receita!$L$2:$L$2285)+SUMIF(Mercado_Receita!$S$2:$S$2285,"43952B3Convencional pré-pagamentoNão se aplicaNão se aplicaNão se aplicaNão se aplicaFora ponta",Mercado_Receita!$L$2:$L$2285)+SUMIF(Mercado_Receita!$S$2:$S$2285,"43952B3Convencional pré-pagamentoNão se aplicaNão se aplicaNão se aplicaNão se aplicaIntermediário",Mercado_Receita!$L$2:$L$2285)+SUMIF(Mercado_Receita!$S$2:$S$2285,"43952B3Convencional pré-pagamentoNão se aplicaNão se aplicaNão se aplicaNão se aplicaNão se aplica",Mercado_Receita!$L$2:$L$2285)</f>
        <v>0</v>
      </c>
      <c r="Q81" s="12">
        <f>SUMIF(Mercado_Receita!$S$2:$S$2285,"43983B3Convencional pré-pagamentoNão se aplicaNão se aplicaNão se aplicaNão se aplicaPonta",Mercado_Receita!$L$2:$L$2285)+SUMIF(Mercado_Receita!$S$2:$S$2285,"43983B3Convencional pré-pagamentoNão se aplicaNão se aplicaNão se aplicaNão se aplicaFora ponta",Mercado_Receita!$L$2:$L$2285)+SUMIF(Mercado_Receita!$S$2:$S$2285,"43983B3Convencional pré-pagamentoNão se aplicaNão se aplicaNão se aplicaNão se aplicaIntermediário",Mercado_Receita!$L$2:$L$2285)+SUMIF(Mercado_Receita!$S$2:$S$2285,"43983B3Convencional pré-pagamentoNão se aplicaNão se aplicaNão se aplicaNão se aplicaNão se aplica",Mercado_Receita!$L$2:$L$2285)</f>
        <v>0</v>
      </c>
      <c r="R81" s="12">
        <f>SUMIF(Mercado_Receita!$S$2:$S$2285,"44013B3Convencional pré-pagamentoNão se aplicaNão se aplicaNão se aplicaNão se aplicaPonta",Mercado_Receita!$L$2:$L$2285)+SUMIF(Mercado_Receita!$S$2:$S$2285,"44013B3Convencional pré-pagamentoNão se aplicaNão se aplicaNão se aplicaNão se aplicaFora ponta",Mercado_Receita!$L$2:$L$2285)+SUMIF(Mercado_Receita!$S$2:$S$2285,"44013B3Convencional pré-pagamentoNão se aplicaNão se aplicaNão se aplicaNão se aplicaIntermediário",Mercado_Receita!$L$2:$L$2285)+SUMIF(Mercado_Receita!$S$2:$S$2285,"44013B3Convencional pré-pagamentoNão se aplicaNão se aplicaNão se aplicaNão se aplicaNão se aplica",Mercado_Receita!$L$2:$L$2285)</f>
        <v>0</v>
      </c>
      <c r="S81" s="12">
        <f>SUMIF(Mercado_Receita!$S$2:$S$2285,"44044B3Convencional pré-pagamentoNão se aplicaNão se aplicaNão se aplicaNão se aplicaPonta",Mercado_Receita!$L$2:$L$2285)+SUMIF(Mercado_Receita!$S$2:$S$2285,"44044B3Convencional pré-pagamentoNão se aplicaNão se aplicaNão se aplicaNão se aplicaFora ponta",Mercado_Receita!$L$2:$L$2285)+SUMIF(Mercado_Receita!$S$2:$S$2285,"44044B3Convencional pré-pagamentoNão se aplicaNão se aplicaNão se aplicaNão se aplicaIntermediário",Mercado_Receita!$L$2:$L$2285)+SUMIF(Mercado_Receita!$S$2:$S$2285,"44044B3Convencional pré-pagamentoNão se aplicaNão se aplicaNão se aplicaNão se aplicaNão se aplica",Mercado_Receita!$L$2:$L$2285)</f>
        <v>0</v>
      </c>
      <c r="T81" s="12">
        <f>SUMIF(Mercado_Receita!$S$2:$S$2285,"44075B3Convencional pré-pagamentoNão se aplicaNão se aplicaNão se aplicaNão se aplicaPonta",Mercado_Receita!$L$2:$L$2285)+SUMIF(Mercado_Receita!$S$2:$S$2285,"44075B3Convencional pré-pagamentoNão se aplicaNão se aplicaNão se aplicaNão se aplicaFora ponta",Mercado_Receita!$L$2:$L$2285)+SUMIF(Mercado_Receita!$S$2:$S$2285,"44075B3Convencional pré-pagamentoNão se aplicaNão se aplicaNão se aplicaNão se aplicaIntermediário",Mercado_Receita!$L$2:$L$2285)+SUMIF(Mercado_Receita!$S$2:$S$2285,"44075B3Convencional pré-pagamentoNão se aplicaNão se aplicaNão se aplicaNão se aplicaNão se aplica",Mercado_Receita!$L$2:$L$2285)</f>
        <v>0</v>
      </c>
      <c r="U81" s="12">
        <f t="shared" si="2"/>
        <v>0</v>
      </c>
      <c r="V81" s="12"/>
      <c r="W81" s="12"/>
    </row>
    <row r="82" spans="1:23" ht="11.25" customHeight="1" x14ac:dyDescent="0.25">
      <c r="A82" s="104" t="s">
        <v>49</v>
      </c>
      <c r="B82" s="104" t="s">
        <v>23</v>
      </c>
      <c r="C82" s="104" t="s">
        <v>50</v>
      </c>
      <c r="D82" s="13" t="s">
        <v>51</v>
      </c>
      <c r="E82" s="13" t="s">
        <v>25</v>
      </c>
      <c r="F82" s="13" t="s">
        <v>25</v>
      </c>
      <c r="G82" s="12" t="s">
        <v>94</v>
      </c>
      <c r="H82" s="12" t="s">
        <v>88</v>
      </c>
      <c r="I82" s="12">
        <f>SUMIF(Mercado_Receita!$S$2:$S$2285,"43739B4ConvencionalIluminação públicaIluminação pública – B4aNão se aplicaNão se aplicaPonta",Mercado_Receita!$L$2:$L$2285)+SUMIF(Mercado_Receita!$S$2:$S$2285,"43739B4ConvencionalIluminação públicaIluminação pública – B4aNão se aplicaNão se aplicaFora ponta",Mercado_Receita!$L$2:$L$2285)+SUMIF(Mercado_Receita!$S$2:$S$2285,"43739B4ConvencionalIluminação públicaIluminação pública – B4aNão se aplicaNão se aplicaIntermediário",Mercado_Receita!$L$2:$L$2285)+SUMIF(Mercado_Receita!$S$2:$S$2285,"43739B4ConvencionalIluminação públicaIluminação pública – B4aNão se aplicaNão se aplicaNão se aplica",Mercado_Receita!$L$2:$L$2285)</f>
        <v>35479.278999999995</v>
      </c>
      <c r="J82" s="12">
        <f>SUMIF(Mercado_Receita!$S$2:$S$2285,"43770B4ConvencionalIluminação públicaIluminação pública – B4aNão se aplicaNão se aplicaPonta",Mercado_Receita!$L$2:$L$2285)+SUMIF(Mercado_Receita!$S$2:$S$2285,"43770B4ConvencionalIluminação públicaIluminação pública – B4aNão se aplicaNão se aplicaFora ponta",Mercado_Receita!$L$2:$L$2285)+SUMIF(Mercado_Receita!$S$2:$S$2285,"43770B4ConvencionalIluminação públicaIluminação pública – B4aNão se aplicaNão se aplicaIntermediário",Mercado_Receita!$L$2:$L$2285)+SUMIF(Mercado_Receita!$S$2:$S$2285,"43770B4ConvencionalIluminação públicaIluminação pública – B4aNão se aplicaNão se aplicaNão se aplica",Mercado_Receita!$L$2:$L$2285)</f>
        <v>32795.887000000002</v>
      </c>
      <c r="K82" s="12">
        <f>SUMIF(Mercado_Receita!$S$2:$S$2285,"43800B4ConvencionalIluminação públicaIluminação pública – B4aNão se aplicaNão se aplicaPonta",Mercado_Receita!$L$2:$L$2285)+SUMIF(Mercado_Receita!$S$2:$S$2285,"43800B4ConvencionalIluminação públicaIluminação pública – B4aNão se aplicaNão se aplicaFora ponta",Mercado_Receita!$L$2:$L$2285)+SUMIF(Mercado_Receita!$S$2:$S$2285,"43800B4ConvencionalIluminação públicaIluminação pública – B4aNão se aplicaNão se aplicaIntermediário",Mercado_Receita!$L$2:$L$2285)+SUMIF(Mercado_Receita!$S$2:$S$2285,"43800B4ConvencionalIluminação públicaIluminação pública – B4aNão se aplicaNão se aplicaNão se aplica",Mercado_Receita!$L$2:$L$2285)</f>
        <v>35662.417000000001</v>
      </c>
      <c r="L82" s="12">
        <f>SUMIF(Mercado_Receita!$S$2:$S$2285,"43831B4ConvencionalIluminação públicaIluminação pública – B4aNão se aplicaNão se aplicaPonta",Mercado_Receita!$L$2:$L$2285)+SUMIF(Mercado_Receita!$S$2:$S$2285,"43831B4ConvencionalIluminação públicaIluminação pública – B4aNão se aplicaNão se aplicaFora ponta",Mercado_Receita!$L$2:$L$2285)+SUMIF(Mercado_Receita!$S$2:$S$2285,"43831B4ConvencionalIluminação públicaIluminação pública – B4aNão se aplicaNão se aplicaIntermediário",Mercado_Receita!$L$2:$L$2285)+SUMIF(Mercado_Receita!$S$2:$S$2285,"43831B4ConvencionalIluminação públicaIluminação pública – B4aNão se aplicaNão se aplicaNão se aplica",Mercado_Receita!$L$2:$L$2285)</f>
        <v>35556.023000000001</v>
      </c>
      <c r="M82" s="12">
        <f>SUMIF(Mercado_Receita!$S$2:$S$2285,"43862B4ConvencionalIluminação públicaIluminação pública – B4aNão se aplicaNão se aplicaPonta",Mercado_Receita!$L$2:$L$2285)+SUMIF(Mercado_Receita!$S$2:$S$2285,"43862B4ConvencionalIluminação públicaIluminação pública – B4aNão se aplicaNão se aplicaFora ponta",Mercado_Receita!$L$2:$L$2285)+SUMIF(Mercado_Receita!$S$2:$S$2285,"43862B4ConvencionalIluminação públicaIluminação pública – B4aNão se aplicaNão se aplicaIntermediário",Mercado_Receita!$L$2:$L$2285)+SUMIF(Mercado_Receita!$S$2:$S$2285,"43862B4ConvencionalIluminação públicaIluminação pública – B4aNão se aplicaNão se aplicaNão se aplica",Mercado_Receita!$L$2:$L$2285)</f>
        <v>33382.014999999999</v>
      </c>
      <c r="N82" s="12">
        <f>SUMIF(Mercado_Receita!$S$2:$S$2285,"43891B4ConvencionalIluminação públicaIluminação pública – B4aNão se aplicaNão se aplicaPonta",Mercado_Receita!$L$2:$L$2285)+SUMIF(Mercado_Receita!$S$2:$S$2285,"43891B4ConvencionalIluminação públicaIluminação pública – B4aNão se aplicaNão se aplicaFora ponta",Mercado_Receita!$L$2:$L$2285)+SUMIF(Mercado_Receita!$S$2:$S$2285,"43891B4ConvencionalIluminação públicaIluminação pública – B4aNão se aplicaNão se aplicaIntermediário",Mercado_Receita!$L$2:$L$2285)+SUMIF(Mercado_Receita!$S$2:$S$2285,"43891B4ConvencionalIluminação públicaIluminação pública – B4aNão se aplicaNão se aplicaNão se aplica",Mercado_Receita!$L$2:$L$2285)</f>
        <v>35682.139000000003</v>
      </c>
      <c r="O82" s="12">
        <f>SUMIF(Mercado_Receita!$S$2:$S$2285,"43922B4ConvencionalIluminação públicaIluminação pública – B4aNão se aplicaNão se aplicaPonta",Mercado_Receita!$L$2:$L$2285)+SUMIF(Mercado_Receita!$S$2:$S$2285,"43922B4ConvencionalIluminação públicaIluminação pública – B4aNão se aplicaNão se aplicaFora ponta",Mercado_Receita!$L$2:$L$2285)+SUMIF(Mercado_Receita!$S$2:$S$2285,"43922B4ConvencionalIluminação públicaIluminação pública – B4aNão se aplicaNão se aplicaIntermediário",Mercado_Receita!$L$2:$L$2285)+SUMIF(Mercado_Receita!$S$2:$S$2285,"43922B4ConvencionalIluminação públicaIluminação pública – B4aNão se aplicaNão se aplicaNão se aplica",Mercado_Receita!$L$2:$L$2285)</f>
        <v>34507.243000000002</v>
      </c>
      <c r="P82" s="12">
        <f>SUMIF(Mercado_Receita!$S$2:$S$2285,"43952B4ConvencionalIluminação públicaIluminação pública – B4aNão se aplicaNão se aplicaPonta",Mercado_Receita!$L$2:$L$2285)+SUMIF(Mercado_Receita!$S$2:$S$2285,"43952B4ConvencionalIluminação públicaIluminação pública – B4aNão se aplicaNão se aplicaFora ponta",Mercado_Receita!$L$2:$L$2285)+SUMIF(Mercado_Receita!$S$2:$S$2285,"43952B4ConvencionalIluminação públicaIluminação pública – B4aNão se aplicaNão se aplicaIntermediário",Mercado_Receita!$L$2:$L$2285)+SUMIF(Mercado_Receita!$S$2:$S$2285,"43952B4ConvencionalIluminação públicaIluminação pública – B4aNão se aplicaNão se aplicaNão se aplica",Mercado_Receita!$L$2:$L$2285)</f>
        <v>35057.739000000001</v>
      </c>
      <c r="Q82" s="12">
        <f>SUMIF(Mercado_Receita!$S$2:$S$2285,"43983B4ConvencionalIluminação públicaIluminação pública – B4aNão se aplicaNão se aplicaPonta",Mercado_Receita!$L$2:$L$2285)+SUMIF(Mercado_Receita!$S$2:$S$2285,"43983B4ConvencionalIluminação públicaIluminação pública – B4aNão se aplicaNão se aplicaFora ponta",Mercado_Receita!$L$2:$L$2285)+SUMIF(Mercado_Receita!$S$2:$S$2285,"43983B4ConvencionalIluminação públicaIluminação pública – B4aNão se aplicaNão se aplicaIntermediário",Mercado_Receita!$L$2:$L$2285)+SUMIF(Mercado_Receita!$S$2:$S$2285,"43983B4ConvencionalIluminação públicaIluminação pública – B4aNão se aplicaNão se aplicaNão se aplica",Mercado_Receita!$L$2:$L$2285)</f>
        <v>33965.091</v>
      </c>
      <c r="R82" s="12">
        <f>SUMIF(Mercado_Receita!$S$2:$S$2285,"44013B4ConvencionalIluminação públicaIluminação pública – B4aNão se aplicaNão se aplicaPonta",Mercado_Receita!$L$2:$L$2285)+SUMIF(Mercado_Receita!$S$2:$S$2285,"44013B4ConvencionalIluminação públicaIluminação pública – B4aNão se aplicaNão se aplicaFora ponta",Mercado_Receita!$L$2:$L$2285)+SUMIF(Mercado_Receita!$S$2:$S$2285,"44013B4ConvencionalIluminação públicaIluminação pública – B4aNão se aplicaNão se aplicaIntermediário",Mercado_Receita!$L$2:$L$2285)+SUMIF(Mercado_Receita!$S$2:$S$2285,"44013B4ConvencionalIluminação públicaIluminação pública – B4aNão se aplicaNão se aplicaNão se aplica",Mercado_Receita!$L$2:$L$2285)</f>
        <v>33847.563000000002</v>
      </c>
      <c r="S82" s="12">
        <f>SUMIF(Mercado_Receita!$S$2:$S$2285,"44044B4ConvencionalIluminação públicaIluminação pública – B4aNão se aplicaNão se aplicaPonta",Mercado_Receita!$L$2:$L$2285)+SUMIF(Mercado_Receita!$S$2:$S$2285,"44044B4ConvencionalIluminação públicaIluminação pública – B4aNão se aplicaNão se aplicaFora ponta",Mercado_Receita!$L$2:$L$2285)+SUMIF(Mercado_Receita!$S$2:$S$2285,"44044B4ConvencionalIluminação públicaIluminação pública – B4aNão se aplicaNão se aplicaIntermediário",Mercado_Receita!$L$2:$L$2285)+SUMIF(Mercado_Receita!$S$2:$S$2285,"44044B4ConvencionalIluminação públicaIluminação pública – B4aNão se aplicaNão se aplicaNão se aplica",Mercado_Receita!$L$2:$L$2285)</f>
        <v>36091.771999999997</v>
      </c>
      <c r="T82" s="12">
        <f>SUMIF(Mercado_Receita!$S$2:$S$2285,"44075B4ConvencionalIluminação públicaIluminação pública – B4aNão se aplicaNão se aplicaPonta",Mercado_Receita!$L$2:$L$2285)+SUMIF(Mercado_Receita!$S$2:$S$2285,"44075B4ConvencionalIluminação públicaIluminação pública – B4aNão se aplicaNão se aplicaFora ponta",Mercado_Receita!$L$2:$L$2285)+SUMIF(Mercado_Receita!$S$2:$S$2285,"44075B4ConvencionalIluminação públicaIluminação pública – B4aNão se aplicaNão se aplicaIntermediário",Mercado_Receita!$L$2:$L$2285)+SUMIF(Mercado_Receita!$S$2:$S$2285,"44075B4ConvencionalIluminação públicaIluminação pública – B4aNão se aplicaNão se aplicaNão se aplica",Mercado_Receita!$L$2:$L$2285)</f>
        <v>36091.771999999997</v>
      </c>
      <c r="U82" s="12">
        <f t="shared" si="2"/>
        <v>418118.94</v>
      </c>
      <c r="V82" s="12"/>
      <c r="W82" s="12"/>
    </row>
    <row r="83" spans="1:23" ht="11.25" customHeight="1" x14ac:dyDescent="0.25">
      <c r="A83" s="105"/>
      <c r="B83" s="105"/>
      <c r="C83" s="105"/>
      <c r="D83" s="12" t="s">
        <v>105</v>
      </c>
      <c r="E83" s="12" t="s">
        <v>25</v>
      </c>
      <c r="F83" s="12" t="s">
        <v>25</v>
      </c>
      <c r="G83" s="12" t="s">
        <v>94</v>
      </c>
      <c r="H83" s="12" t="s">
        <v>88</v>
      </c>
      <c r="I83" s="12">
        <f>SUMIF(Mercado_Receita!$S$2:$S$2285,"43739B4ConvencionalIluminação públicaIluminação pública – B4bNão se aplicaNão se aplicaPonta",Mercado_Receita!$L$2:$L$2285)+SUMIF(Mercado_Receita!$S$2:$S$2285,"43739B4ConvencionalIluminação públicaIluminação pública – B4bNão se aplicaNão se aplicaFora ponta",Mercado_Receita!$L$2:$L$2285)+SUMIF(Mercado_Receita!$S$2:$S$2285,"43739B4ConvencionalIluminação públicaIluminação pública – B4bNão se aplicaNão se aplicaIntermediário",Mercado_Receita!$L$2:$L$2285)+SUMIF(Mercado_Receita!$S$2:$S$2285,"43739B4ConvencionalIluminação públicaIluminação pública – B4bNão se aplicaNão se aplicaNão se aplica",Mercado_Receita!$L$2:$L$2285)</f>
        <v>0</v>
      </c>
      <c r="J83" s="12">
        <f>SUMIF(Mercado_Receita!$S$2:$S$2285,"43770B4ConvencionalIluminação públicaIluminação pública – B4bNão se aplicaNão se aplicaPonta",Mercado_Receita!$L$2:$L$2285)+SUMIF(Mercado_Receita!$S$2:$S$2285,"43770B4ConvencionalIluminação públicaIluminação pública – B4bNão se aplicaNão se aplicaFora ponta",Mercado_Receita!$L$2:$L$2285)+SUMIF(Mercado_Receita!$S$2:$S$2285,"43770B4ConvencionalIluminação públicaIluminação pública – B4bNão se aplicaNão se aplicaIntermediário",Mercado_Receita!$L$2:$L$2285)+SUMIF(Mercado_Receita!$S$2:$S$2285,"43770B4ConvencionalIluminação públicaIluminação pública – B4bNão se aplicaNão se aplicaNão se aplica",Mercado_Receita!$L$2:$L$2285)</f>
        <v>0</v>
      </c>
      <c r="K83" s="12">
        <f>SUMIF(Mercado_Receita!$S$2:$S$2285,"43800B4ConvencionalIluminação públicaIluminação pública – B4bNão se aplicaNão se aplicaPonta",Mercado_Receita!$L$2:$L$2285)+SUMIF(Mercado_Receita!$S$2:$S$2285,"43800B4ConvencionalIluminação públicaIluminação pública – B4bNão se aplicaNão se aplicaFora ponta",Mercado_Receita!$L$2:$L$2285)+SUMIF(Mercado_Receita!$S$2:$S$2285,"43800B4ConvencionalIluminação públicaIluminação pública – B4bNão se aplicaNão se aplicaIntermediário",Mercado_Receita!$L$2:$L$2285)+SUMIF(Mercado_Receita!$S$2:$S$2285,"43800B4ConvencionalIluminação públicaIluminação pública – B4bNão se aplicaNão se aplicaNão se aplica",Mercado_Receita!$L$2:$L$2285)</f>
        <v>0</v>
      </c>
      <c r="L83" s="12">
        <f>SUMIF(Mercado_Receita!$S$2:$S$2285,"43831B4ConvencionalIluminação públicaIluminação pública – B4bNão se aplicaNão se aplicaPonta",Mercado_Receita!$L$2:$L$2285)+SUMIF(Mercado_Receita!$S$2:$S$2285,"43831B4ConvencionalIluminação públicaIluminação pública – B4bNão se aplicaNão se aplicaFora ponta",Mercado_Receita!$L$2:$L$2285)+SUMIF(Mercado_Receita!$S$2:$S$2285,"43831B4ConvencionalIluminação públicaIluminação pública – B4bNão se aplicaNão se aplicaIntermediário",Mercado_Receita!$L$2:$L$2285)+SUMIF(Mercado_Receita!$S$2:$S$2285,"43831B4ConvencionalIluminação públicaIluminação pública – B4bNão se aplicaNão se aplicaNão se aplica",Mercado_Receita!$L$2:$L$2285)</f>
        <v>0</v>
      </c>
      <c r="M83" s="12">
        <f>SUMIF(Mercado_Receita!$S$2:$S$2285,"43862B4ConvencionalIluminação públicaIluminação pública – B4bNão se aplicaNão se aplicaPonta",Mercado_Receita!$L$2:$L$2285)+SUMIF(Mercado_Receita!$S$2:$S$2285,"43862B4ConvencionalIluminação públicaIluminação pública – B4bNão se aplicaNão se aplicaFora ponta",Mercado_Receita!$L$2:$L$2285)+SUMIF(Mercado_Receita!$S$2:$S$2285,"43862B4ConvencionalIluminação públicaIluminação pública – B4bNão se aplicaNão se aplicaIntermediário",Mercado_Receita!$L$2:$L$2285)+SUMIF(Mercado_Receita!$S$2:$S$2285,"43862B4ConvencionalIluminação públicaIluminação pública – B4bNão se aplicaNão se aplicaNão se aplica",Mercado_Receita!$L$2:$L$2285)</f>
        <v>0</v>
      </c>
      <c r="N83" s="12">
        <f>SUMIF(Mercado_Receita!$S$2:$S$2285,"43891B4ConvencionalIluminação públicaIluminação pública – B4bNão se aplicaNão se aplicaPonta",Mercado_Receita!$L$2:$L$2285)+SUMIF(Mercado_Receita!$S$2:$S$2285,"43891B4ConvencionalIluminação públicaIluminação pública – B4bNão se aplicaNão se aplicaFora ponta",Mercado_Receita!$L$2:$L$2285)+SUMIF(Mercado_Receita!$S$2:$S$2285,"43891B4ConvencionalIluminação públicaIluminação pública – B4bNão se aplicaNão se aplicaIntermediário",Mercado_Receita!$L$2:$L$2285)+SUMIF(Mercado_Receita!$S$2:$S$2285,"43891B4ConvencionalIluminação públicaIluminação pública – B4bNão se aplicaNão se aplicaNão se aplica",Mercado_Receita!$L$2:$L$2285)</f>
        <v>0</v>
      </c>
      <c r="O83" s="12">
        <f>SUMIF(Mercado_Receita!$S$2:$S$2285,"43922B4ConvencionalIluminação públicaIluminação pública – B4bNão se aplicaNão se aplicaPonta",Mercado_Receita!$L$2:$L$2285)+SUMIF(Mercado_Receita!$S$2:$S$2285,"43922B4ConvencionalIluminação públicaIluminação pública – B4bNão se aplicaNão se aplicaFora ponta",Mercado_Receita!$L$2:$L$2285)+SUMIF(Mercado_Receita!$S$2:$S$2285,"43922B4ConvencionalIluminação públicaIluminação pública – B4bNão se aplicaNão se aplicaIntermediário",Mercado_Receita!$L$2:$L$2285)+SUMIF(Mercado_Receita!$S$2:$S$2285,"43922B4ConvencionalIluminação públicaIluminação pública – B4bNão se aplicaNão se aplicaNão se aplica",Mercado_Receita!$L$2:$L$2285)</f>
        <v>0</v>
      </c>
      <c r="P83" s="12">
        <f>SUMIF(Mercado_Receita!$S$2:$S$2285,"43952B4ConvencionalIluminação públicaIluminação pública – B4bNão se aplicaNão se aplicaPonta",Mercado_Receita!$L$2:$L$2285)+SUMIF(Mercado_Receita!$S$2:$S$2285,"43952B4ConvencionalIluminação públicaIluminação pública – B4bNão se aplicaNão se aplicaFora ponta",Mercado_Receita!$L$2:$L$2285)+SUMIF(Mercado_Receita!$S$2:$S$2285,"43952B4ConvencionalIluminação públicaIluminação pública – B4bNão se aplicaNão se aplicaIntermediário",Mercado_Receita!$L$2:$L$2285)+SUMIF(Mercado_Receita!$S$2:$S$2285,"43952B4ConvencionalIluminação públicaIluminação pública – B4bNão se aplicaNão se aplicaNão se aplica",Mercado_Receita!$L$2:$L$2285)</f>
        <v>0</v>
      </c>
      <c r="Q83" s="12">
        <f>SUMIF(Mercado_Receita!$S$2:$S$2285,"43983B4ConvencionalIluminação públicaIluminação pública – B4bNão se aplicaNão se aplicaPonta",Mercado_Receita!$L$2:$L$2285)+SUMIF(Mercado_Receita!$S$2:$S$2285,"43983B4ConvencionalIluminação públicaIluminação pública – B4bNão se aplicaNão se aplicaFora ponta",Mercado_Receita!$L$2:$L$2285)+SUMIF(Mercado_Receita!$S$2:$S$2285,"43983B4ConvencionalIluminação públicaIluminação pública – B4bNão se aplicaNão se aplicaIntermediário",Mercado_Receita!$L$2:$L$2285)+SUMIF(Mercado_Receita!$S$2:$S$2285,"43983B4ConvencionalIluminação públicaIluminação pública – B4bNão se aplicaNão se aplicaNão se aplica",Mercado_Receita!$L$2:$L$2285)</f>
        <v>0</v>
      </c>
      <c r="R83" s="12">
        <f>SUMIF(Mercado_Receita!$S$2:$S$2285,"44013B4ConvencionalIluminação públicaIluminação pública – B4bNão se aplicaNão se aplicaPonta",Mercado_Receita!$L$2:$L$2285)+SUMIF(Mercado_Receita!$S$2:$S$2285,"44013B4ConvencionalIluminação públicaIluminação pública – B4bNão se aplicaNão se aplicaFora ponta",Mercado_Receita!$L$2:$L$2285)+SUMIF(Mercado_Receita!$S$2:$S$2285,"44013B4ConvencionalIluminação públicaIluminação pública – B4bNão se aplicaNão se aplicaIntermediário",Mercado_Receita!$L$2:$L$2285)+SUMIF(Mercado_Receita!$S$2:$S$2285,"44013B4ConvencionalIluminação públicaIluminação pública – B4bNão se aplicaNão se aplicaNão se aplica",Mercado_Receita!$L$2:$L$2285)</f>
        <v>0</v>
      </c>
      <c r="S83" s="12">
        <f>SUMIF(Mercado_Receita!$S$2:$S$2285,"44044B4ConvencionalIluminação públicaIluminação pública – B4bNão se aplicaNão se aplicaPonta",Mercado_Receita!$L$2:$L$2285)+SUMIF(Mercado_Receita!$S$2:$S$2285,"44044B4ConvencionalIluminação públicaIluminação pública – B4bNão se aplicaNão se aplicaFora ponta",Mercado_Receita!$L$2:$L$2285)+SUMIF(Mercado_Receita!$S$2:$S$2285,"44044B4ConvencionalIluminação públicaIluminação pública – B4bNão se aplicaNão se aplicaIntermediário",Mercado_Receita!$L$2:$L$2285)+SUMIF(Mercado_Receita!$S$2:$S$2285,"44044B4ConvencionalIluminação públicaIluminação pública – B4bNão se aplicaNão se aplicaNão se aplica",Mercado_Receita!$L$2:$L$2285)</f>
        <v>0</v>
      </c>
      <c r="T83" s="12">
        <f>SUMIF(Mercado_Receita!$S$2:$S$2285,"44075B4ConvencionalIluminação públicaIluminação pública – B4bNão se aplicaNão se aplicaPonta",Mercado_Receita!$L$2:$L$2285)+SUMIF(Mercado_Receita!$S$2:$S$2285,"44075B4ConvencionalIluminação públicaIluminação pública – B4bNão se aplicaNão se aplicaFora ponta",Mercado_Receita!$L$2:$L$2285)+SUMIF(Mercado_Receita!$S$2:$S$2285,"44075B4ConvencionalIluminação públicaIluminação pública – B4bNão se aplicaNão se aplicaIntermediário",Mercado_Receita!$L$2:$L$2285)+SUMIF(Mercado_Receita!$S$2:$S$2285,"44075B4ConvencionalIluminação públicaIluminação pública – B4bNão se aplicaNão se aplicaNão se aplica",Mercado_Receita!$L$2:$L$2285)</f>
        <v>0</v>
      </c>
      <c r="U83" s="12">
        <f t="shared" si="2"/>
        <v>0</v>
      </c>
      <c r="V83" s="12"/>
      <c r="W83" s="12"/>
    </row>
    <row r="84" spans="1:23" ht="11.25" customHeight="1" x14ac:dyDescent="0.25">
      <c r="A84" s="106" t="s">
        <v>954</v>
      </c>
      <c r="B84" s="107"/>
      <c r="C84" s="107"/>
      <c r="D84" s="107"/>
      <c r="E84" s="107"/>
      <c r="F84" s="107"/>
      <c r="G84" s="107"/>
      <c r="H84" s="107"/>
      <c r="I84" s="107"/>
      <c r="J84" s="107"/>
      <c r="K84" s="107"/>
      <c r="L84" s="107"/>
      <c r="M84" s="107"/>
      <c r="N84" s="107"/>
      <c r="O84" s="107"/>
      <c r="P84" s="107"/>
      <c r="Q84" s="107"/>
      <c r="R84" s="107"/>
      <c r="S84" s="107"/>
      <c r="T84" s="107"/>
      <c r="U84" s="107"/>
      <c r="V84" s="12"/>
      <c r="W84" s="12"/>
    </row>
  </sheetData>
  <mergeCells count="111">
    <mergeCell ref="A82:A83"/>
    <mergeCell ref="B82:B83"/>
    <mergeCell ref="C82:C83"/>
    <mergeCell ref="A84:U84"/>
    <mergeCell ref="C74:C76"/>
    <mergeCell ref="B74:B76"/>
    <mergeCell ref="A62:A76"/>
    <mergeCell ref="F77:F79"/>
    <mergeCell ref="E77:E79"/>
    <mergeCell ref="D77:D79"/>
    <mergeCell ref="C77:C79"/>
    <mergeCell ref="B77:B79"/>
    <mergeCell ref="A77:A81"/>
    <mergeCell ref="F66:F68"/>
    <mergeCell ref="E66:E68"/>
    <mergeCell ref="D66:D68"/>
    <mergeCell ref="C66:C68"/>
    <mergeCell ref="B66:B68"/>
    <mergeCell ref="F70:F72"/>
    <mergeCell ref="E70:E72"/>
    <mergeCell ref="D70:D72"/>
    <mergeCell ref="C70:C72"/>
    <mergeCell ref="B70:B72"/>
    <mergeCell ref="C52:C56"/>
    <mergeCell ref="B52:B56"/>
    <mergeCell ref="C57:C61"/>
    <mergeCell ref="B57:B61"/>
    <mergeCell ref="A49:A61"/>
    <mergeCell ref="F62:F64"/>
    <mergeCell ref="E62:E64"/>
    <mergeCell ref="D62:D64"/>
    <mergeCell ref="C62:C64"/>
    <mergeCell ref="B62:B64"/>
    <mergeCell ref="A36:A46"/>
    <mergeCell ref="D47:D48"/>
    <mergeCell ref="C47:C48"/>
    <mergeCell ref="B47:B48"/>
    <mergeCell ref="A47:A48"/>
    <mergeCell ref="F49:F51"/>
    <mergeCell ref="E49:E51"/>
    <mergeCell ref="D49:D51"/>
    <mergeCell ref="C49:C51"/>
    <mergeCell ref="B49:B51"/>
    <mergeCell ref="F43:F44"/>
    <mergeCell ref="E43:E44"/>
    <mergeCell ref="D40:D44"/>
    <mergeCell ref="C40:C44"/>
    <mergeCell ref="B40:B44"/>
    <mergeCell ref="F45:F46"/>
    <mergeCell ref="E45:E46"/>
    <mergeCell ref="D45:D46"/>
    <mergeCell ref="C45:C46"/>
    <mergeCell ref="B45:B46"/>
    <mergeCell ref="F36:F38"/>
    <mergeCell ref="E36:E38"/>
    <mergeCell ref="D36:D39"/>
    <mergeCell ref="C36:C39"/>
    <mergeCell ref="B36:B39"/>
    <mergeCell ref="F40:F42"/>
    <mergeCell ref="E40:E42"/>
    <mergeCell ref="B29:B33"/>
    <mergeCell ref="F34:F35"/>
    <mergeCell ref="E34:E35"/>
    <mergeCell ref="D34:D35"/>
    <mergeCell ref="C34:C35"/>
    <mergeCell ref="B34:B35"/>
    <mergeCell ref="F29:F31"/>
    <mergeCell ref="E29:E31"/>
    <mergeCell ref="F32:F33"/>
    <mergeCell ref="E32:E33"/>
    <mergeCell ref="D29:D33"/>
    <mergeCell ref="C29:C33"/>
    <mergeCell ref="F24:F26"/>
    <mergeCell ref="E24:E26"/>
    <mergeCell ref="D24:D27"/>
    <mergeCell ref="C24:C27"/>
    <mergeCell ref="B24:B27"/>
    <mergeCell ref="A24:A35"/>
    <mergeCell ref="B17:B21"/>
    <mergeCell ref="F22:F23"/>
    <mergeCell ref="E22:E23"/>
    <mergeCell ref="D22:D23"/>
    <mergeCell ref="C22:C23"/>
    <mergeCell ref="B22:B23"/>
    <mergeCell ref="F17:F19"/>
    <mergeCell ref="E17:E19"/>
    <mergeCell ref="F20:F21"/>
    <mergeCell ref="E20:E21"/>
    <mergeCell ref="D17:D21"/>
    <mergeCell ref="C17:C21"/>
    <mergeCell ref="E9:E11"/>
    <mergeCell ref="D9:D11"/>
    <mergeCell ref="C9:C11"/>
    <mergeCell ref="B9:B11"/>
    <mergeCell ref="A2:A11"/>
    <mergeCell ref="F12:F14"/>
    <mergeCell ref="E12:E14"/>
    <mergeCell ref="D12:D15"/>
    <mergeCell ref="C12:C15"/>
    <mergeCell ref="B12:B15"/>
    <mergeCell ref="F2:F4"/>
    <mergeCell ref="E2:E4"/>
    <mergeCell ref="D2:D5"/>
    <mergeCell ref="C2:C5"/>
    <mergeCell ref="B2:B5"/>
    <mergeCell ref="F6:F8"/>
    <mergeCell ref="E6:E8"/>
    <mergeCell ref="D6:D8"/>
    <mergeCell ref="C6:C8"/>
    <mergeCell ref="B6:B8"/>
    <mergeCell ref="A12:A23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1D46F-4CAF-45C1-B890-C22E4572168B}">
  <dimension ref="A1:AD48"/>
  <sheetViews>
    <sheetView showGridLines="0" workbookViewId="0">
      <selection sqref="A1:W48"/>
    </sheetView>
  </sheetViews>
  <sheetFormatPr defaultColWidth="8.85546875" defaultRowHeight="11.25" customHeight="1" x14ac:dyDescent="0.25"/>
  <cols>
    <col min="1" max="1" width="9" style="9" bestFit="1" customWidth="1"/>
    <col min="2" max="2" width="24.7109375" style="9" bestFit="1" customWidth="1"/>
    <col min="3" max="3" width="12.7109375" style="9" bestFit="1" customWidth="1"/>
    <col min="4" max="4" width="23.140625" style="9" bestFit="1" customWidth="1"/>
    <col min="5" max="6" width="9.5703125" style="9" bestFit="1" customWidth="1"/>
    <col min="7" max="7" width="5.85546875" style="9" bestFit="1" customWidth="1"/>
    <col min="8" max="8" width="7.140625" style="9" bestFit="1" customWidth="1"/>
    <col min="9" max="20" width="7.85546875" style="9" bestFit="1" customWidth="1"/>
    <col min="21" max="21" width="13" style="9" bestFit="1" customWidth="1"/>
    <col min="22" max="16384" width="8.85546875" style="9"/>
  </cols>
  <sheetData>
    <row r="1" spans="1:30" ht="11.25" customHeight="1" x14ac:dyDescent="0.25">
      <c r="A1" s="10" t="s">
        <v>78</v>
      </c>
      <c r="B1" s="10" t="s">
        <v>79</v>
      </c>
      <c r="C1" s="10" t="s">
        <v>80</v>
      </c>
      <c r="D1" s="10" t="s">
        <v>81</v>
      </c>
      <c r="E1" s="10" t="s">
        <v>82</v>
      </c>
      <c r="F1" s="10" t="s">
        <v>83</v>
      </c>
      <c r="G1" s="10" t="s">
        <v>84</v>
      </c>
      <c r="H1" s="10" t="s">
        <v>85</v>
      </c>
      <c r="I1" s="11">
        <v>43739</v>
      </c>
      <c r="J1" s="11">
        <v>43770</v>
      </c>
      <c r="K1" s="11">
        <v>43800</v>
      </c>
      <c r="L1" s="11">
        <v>43831</v>
      </c>
      <c r="M1" s="11">
        <v>43862</v>
      </c>
      <c r="N1" s="11">
        <v>43891</v>
      </c>
      <c r="O1" s="11">
        <v>43922</v>
      </c>
      <c r="P1" s="11">
        <v>43952</v>
      </c>
      <c r="Q1" s="11">
        <v>43983</v>
      </c>
      <c r="R1" s="11">
        <v>44013</v>
      </c>
      <c r="S1" s="11">
        <v>44044</v>
      </c>
      <c r="T1" s="11">
        <v>44075</v>
      </c>
      <c r="U1" s="10" t="s">
        <v>86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25">
      <c r="A2" s="104" t="s">
        <v>43</v>
      </c>
      <c r="B2" s="104" t="s">
        <v>87</v>
      </c>
      <c r="C2" s="104" t="s">
        <v>25</v>
      </c>
      <c r="D2" s="104" t="s">
        <v>25</v>
      </c>
      <c r="E2" s="104" t="s">
        <v>25</v>
      </c>
      <c r="F2" s="104" t="s">
        <v>25</v>
      </c>
      <c r="G2" s="14" t="s">
        <v>89</v>
      </c>
      <c r="H2" s="14" t="s">
        <v>88</v>
      </c>
      <c r="I2" s="14">
        <f>SUMIF(Mercado_Receita!$T$2:$T$2285,"43739A2Energia horáriaNão se aplicaNão se aplicaNão se aplicaNão se aplicaPonta",Mercado_Receita!$N$2:$N$2285)</f>
        <v>522.92200000000003</v>
      </c>
      <c r="J2" s="14">
        <f>SUMIF(Mercado_Receita!$T$2:$T$2285,"43770A2Energia horáriaNão se aplicaNão se aplicaNão se aplicaNão se aplicaPonta",Mercado_Receita!$N$2:$N$2285)</f>
        <v>501.50900000000001</v>
      </c>
      <c r="K2" s="14">
        <f>SUMIF(Mercado_Receita!$T$2:$T$2285,"43800A2Energia horáriaNão se aplicaNão se aplicaNão se aplicaNão se aplicaPonta",Mercado_Receita!$N$2:$N$2285)</f>
        <v>498.79700000000003</v>
      </c>
      <c r="L2" s="14">
        <f>SUMIF(Mercado_Receita!$T$2:$T$2285,"43831A2Energia horáriaNão se aplicaNão se aplicaNão se aplicaNão se aplicaPonta",Mercado_Receita!$N$2:$N$2285)</f>
        <v>479.553</v>
      </c>
      <c r="M2" s="14">
        <f>SUMIF(Mercado_Receita!$T$2:$T$2285,"43862A2Energia horáriaNão se aplicaNão se aplicaNão se aplicaNão se aplicaPonta",Mercado_Receita!$N$2:$N$2285)</f>
        <v>545.61900000000003</v>
      </c>
      <c r="N2" s="14">
        <f>SUMIF(Mercado_Receita!$T$2:$T$2285,"43891A2Energia horáriaNão se aplicaNão se aplicaNão se aplicaNão se aplicaPonta",Mercado_Receita!$N$2:$N$2285)</f>
        <v>499.5</v>
      </c>
      <c r="O2" s="14">
        <f>SUMIF(Mercado_Receita!$T$2:$T$2285,"43922A2Energia horáriaNão se aplicaNão se aplicaNão se aplicaNão se aplicaPonta",Mercado_Receita!$N$2:$N$2285)</f>
        <v>523.12900000000002</v>
      </c>
      <c r="P2" s="14">
        <f>SUMIF(Mercado_Receita!$T$2:$T$2285,"43952A2Energia horáriaNão se aplicaNão se aplicaNão se aplicaNão se aplicaPonta",Mercado_Receita!$N$2:$N$2285)</f>
        <v>473.87200000000001</v>
      </c>
      <c r="Q2" s="14">
        <f>SUMIF(Mercado_Receita!$T$2:$T$2285,"43983A2Energia horáriaNão se aplicaNão se aplicaNão se aplicaNão se aplicaPonta",Mercado_Receita!$N$2:$N$2285)</f>
        <v>545.12700000000007</v>
      </c>
      <c r="R2" s="14">
        <f>SUMIF(Mercado_Receita!$T$2:$T$2285,"44013A2Energia horáriaNão se aplicaNão se aplicaNão se aplicaNão se aplicaPonta",Mercado_Receita!$N$2:$N$2285)</f>
        <v>521.447</v>
      </c>
      <c r="S2" s="14">
        <f>SUMIF(Mercado_Receita!$T$2:$T$2285,"44044A2Energia horáriaNão se aplicaNão se aplicaNão se aplicaNão se aplicaPonta",Mercado_Receita!$N$2:$N$2285)</f>
        <v>532.09800000000007</v>
      </c>
      <c r="T2" s="14">
        <f>SUMIF(Mercado_Receita!$T$2:$T$2285,"44075A2Energia horáriaNão se aplicaNão se aplicaNão se aplicaNão se aplicaPonta",Mercado_Receita!$N$2:$N$2285)</f>
        <v>532.09800000000007</v>
      </c>
      <c r="U2" s="14">
        <f t="shared" ref="U2:U47" si="0">SUM(I2:T2)</f>
        <v>6175.6710000000003</v>
      </c>
      <c r="V2" s="14"/>
      <c r="W2" s="14"/>
    </row>
    <row r="3" spans="1:30" ht="11.25" customHeight="1" x14ac:dyDescent="0.25">
      <c r="A3" s="105"/>
      <c r="B3" s="105"/>
      <c r="C3" s="105"/>
      <c r="D3" s="105"/>
      <c r="E3" s="105"/>
      <c r="F3" s="105"/>
      <c r="G3" s="14" t="s">
        <v>90</v>
      </c>
      <c r="H3" s="14" t="s">
        <v>88</v>
      </c>
      <c r="I3" s="14">
        <f>SUMIF(Mercado_Receita!$T$2:$T$2285,"43739A2Energia horáriaNão se aplicaNão se aplicaNão se aplicaNão se aplicaFora ponta",Mercado_Receita!$N$2:$N$2285)</f>
        <v>8505.9789999999994</v>
      </c>
      <c r="J3" s="14">
        <f>SUMIF(Mercado_Receita!$T$2:$T$2285,"43770A2Energia horáriaNão se aplicaNão se aplicaNão se aplicaNão se aplicaFora ponta",Mercado_Receita!$N$2:$N$2285)</f>
        <v>8596.7639999999992</v>
      </c>
      <c r="K3" s="14">
        <f>SUMIF(Mercado_Receita!$T$2:$T$2285,"43800A2Energia horáriaNão se aplicaNão se aplicaNão se aplicaNão se aplicaFora ponta",Mercado_Receita!$N$2:$N$2285)</f>
        <v>8016.567</v>
      </c>
      <c r="L3" s="14">
        <f>SUMIF(Mercado_Receita!$T$2:$T$2285,"43831A2Energia horáriaNão se aplicaNão se aplicaNão se aplicaNão se aplicaFora ponta",Mercado_Receita!$N$2:$N$2285)</f>
        <v>8257.8230000000003</v>
      </c>
      <c r="M3" s="14">
        <f>SUMIF(Mercado_Receita!$T$2:$T$2285,"43862A2Energia horáriaNão se aplicaNão se aplicaNão se aplicaNão se aplicaFora ponta",Mercado_Receita!$N$2:$N$2285)</f>
        <v>8506.0229999999992</v>
      </c>
      <c r="N3" s="14">
        <f>SUMIF(Mercado_Receita!$T$2:$T$2285,"43891A2Energia horáriaNão se aplicaNão se aplicaNão se aplicaNão se aplicaFora ponta",Mercado_Receita!$N$2:$N$2285)</f>
        <v>7960.3630000000003</v>
      </c>
      <c r="O3" s="14">
        <f>SUMIF(Mercado_Receita!$T$2:$T$2285,"43922A2Energia horáriaNão se aplicaNão se aplicaNão se aplicaNão se aplicaFora ponta",Mercado_Receita!$N$2:$N$2285)</f>
        <v>8776.9539999999997</v>
      </c>
      <c r="P3" s="14">
        <f>SUMIF(Mercado_Receita!$T$2:$T$2285,"43952A2Energia horáriaNão se aplicaNão se aplicaNão se aplicaNão se aplicaFora ponta",Mercado_Receita!$N$2:$N$2285)</f>
        <v>8197.9750000000004</v>
      </c>
      <c r="Q3" s="14">
        <f>SUMIF(Mercado_Receita!$T$2:$T$2285,"43983A2Energia horáriaNão se aplicaNão se aplicaNão se aplicaNão se aplicaFora ponta",Mercado_Receita!$N$2:$N$2285)</f>
        <v>8617.128999999999</v>
      </c>
      <c r="R3" s="14">
        <f>SUMIF(Mercado_Receita!$T$2:$T$2285,"44013A2Energia horáriaNão se aplicaNão se aplicaNão se aplicaNão se aplicaFora ponta",Mercado_Receita!$N$2:$N$2285)</f>
        <v>8560.3369999999995</v>
      </c>
      <c r="S3" s="14">
        <f>SUMIF(Mercado_Receita!$T$2:$T$2285,"44044A2Energia horáriaNão se aplicaNão se aplicaNão se aplicaNão se aplicaFora ponta",Mercado_Receita!$N$2:$N$2285)</f>
        <v>9076.2139999999999</v>
      </c>
      <c r="T3" s="14">
        <f>SUMIF(Mercado_Receita!$T$2:$T$2285,"44075A2Energia horáriaNão se aplicaNão se aplicaNão se aplicaNão se aplicaFora ponta",Mercado_Receita!$N$2:$N$2285)</f>
        <v>9076.2139999999999</v>
      </c>
      <c r="U3" s="14">
        <f t="shared" si="0"/>
        <v>102148.342</v>
      </c>
      <c r="V3" s="14"/>
      <c r="W3" s="14"/>
    </row>
    <row r="4" spans="1:30" ht="11.25" customHeight="1" x14ac:dyDescent="0.25">
      <c r="A4" s="104" t="s">
        <v>45</v>
      </c>
      <c r="B4" s="104" t="s">
        <v>87</v>
      </c>
      <c r="C4" s="104" t="s">
        <v>25</v>
      </c>
      <c r="D4" s="104" t="s">
        <v>25</v>
      </c>
      <c r="E4" s="104" t="s">
        <v>25</v>
      </c>
      <c r="F4" s="104" t="s">
        <v>25</v>
      </c>
      <c r="G4" s="14" t="s">
        <v>89</v>
      </c>
      <c r="H4" s="14" t="s">
        <v>88</v>
      </c>
      <c r="I4" s="14">
        <f>SUMIF(Mercado_Receita!$T$2:$T$2285,"43739A3aEnergia horáriaNão se aplicaNão se aplicaNão se aplicaNão se aplicaPonta",Mercado_Receita!$N$2:$N$2285)</f>
        <v>269.13900000000001</v>
      </c>
      <c r="J4" s="14">
        <f>SUMIF(Mercado_Receita!$T$2:$T$2285,"43770A3aEnergia horáriaNão se aplicaNão se aplicaNão se aplicaNão se aplicaPonta",Mercado_Receita!$N$2:$N$2285)</f>
        <v>312.00299999999999</v>
      </c>
      <c r="K4" s="14">
        <f>SUMIF(Mercado_Receita!$T$2:$T$2285,"43800A3aEnergia horáriaNão se aplicaNão se aplicaNão se aplicaNão se aplicaPonta",Mercado_Receita!$N$2:$N$2285)</f>
        <v>273.82099999999997</v>
      </c>
      <c r="L4" s="14">
        <f>SUMIF(Mercado_Receita!$T$2:$T$2285,"43831A3aEnergia horáriaNão se aplicaNão se aplicaNão se aplicaNão se aplicaPonta",Mercado_Receita!$N$2:$N$2285)</f>
        <v>240.46699999999998</v>
      </c>
      <c r="M4" s="14">
        <f>SUMIF(Mercado_Receita!$T$2:$T$2285,"43862A3aEnergia horáriaNão se aplicaNão se aplicaNão se aplicaNão se aplicaPonta",Mercado_Receita!$N$2:$N$2285)</f>
        <v>298.09399999999999</v>
      </c>
      <c r="N4" s="14">
        <f>SUMIF(Mercado_Receita!$T$2:$T$2285,"43891A3aEnergia horáriaNão se aplicaNão se aplicaNão se aplicaNão se aplicaPonta",Mercado_Receita!$N$2:$N$2285)</f>
        <v>245.417</v>
      </c>
      <c r="O4" s="14">
        <f>SUMIF(Mercado_Receita!$T$2:$T$2285,"43922A3aEnergia horáriaNão se aplicaNão se aplicaNão se aplicaNão se aplicaPonta",Mercado_Receita!$N$2:$N$2285)</f>
        <v>240.52699999999999</v>
      </c>
      <c r="P4" s="14">
        <f>SUMIF(Mercado_Receita!$T$2:$T$2285,"43952A3aEnergia horáriaNão se aplicaNão se aplicaNão se aplicaNão se aplicaPonta",Mercado_Receita!$N$2:$N$2285)</f>
        <v>258.64200000000005</v>
      </c>
      <c r="Q4" s="14">
        <f>SUMIF(Mercado_Receita!$T$2:$T$2285,"43983A3aEnergia horáriaNão se aplicaNão se aplicaNão se aplicaNão se aplicaPonta",Mercado_Receita!$N$2:$N$2285)</f>
        <v>283.05799999999999</v>
      </c>
      <c r="R4" s="14">
        <f>SUMIF(Mercado_Receita!$T$2:$T$2285,"44013A3aEnergia horáriaNão se aplicaNão se aplicaNão se aplicaNão se aplicaPonta",Mercado_Receita!$N$2:$N$2285)</f>
        <v>286.89400000000001</v>
      </c>
      <c r="S4" s="14">
        <f>SUMIF(Mercado_Receita!$T$2:$T$2285,"44044A3aEnergia horáriaNão se aplicaNão se aplicaNão se aplicaNão se aplicaPonta",Mercado_Receita!$N$2:$N$2285)</f>
        <v>316.69199999999995</v>
      </c>
      <c r="T4" s="14">
        <f>SUMIF(Mercado_Receita!$T$2:$T$2285,"44075A3aEnergia horáriaNão se aplicaNão se aplicaNão se aplicaNão se aplicaPonta",Mercado_Receita!$N$2:$N$2285)</f>
        <v>316.69199999999995</v>
      </c>
      <c r="U4" s="14">
        <f t="shared" si="0"/>
        <v>3341.4459999999999</v>
      </c>
      <c r="V4" s="14"/>
      <c r="W4" s="14"/>
    </row>
    <row r="5" spans="1:30" ht="11.25" customHeight="1" x14ac:dyDescent="0.25">
      <c r="A5" s="105"/>
      <c r="B5" s="105"/>
      <c r="C5" s="105"/>
      <c r="D5" s="105"/>
      <c r="E5" s="105"/>
      <c r="F5" s="105"/>
      <c r="G5" s="14" t="s">
        <v>90</v>
      </c>
      <c r="H5" s="14" t="s">
        <v>88</v>
      </c>
      <c r="I5" s="14">
        <f>SUMIF(Mercado_Receita!$T$2:$T$2285,"43739A3aEnergia horáriaNão se aplicaNão se aplicaNão se aplicaNão se aplicaFora ponta",Mercado_Receita!$N$2:$N$2285)</f>
        <v>2569.2740000000003</v>
      </c>
      <c r="J5" s="14">
        <f>SUMIF(Mercado_Receita!$T$2:$T$2285,"43770A3aEnergia horáriaNão se aplicaNão se aplicaNão se aplicaNão se aplicaFora ponta",Mercado_Receita!$N$2:$N$2285)</f>
        <v>2863.9630000000002</v>
      </c>
      <c r="K5" s="14">
        <f>SUMIF(Mercado_Receita!$T$2:$T$2285,"43800A3aEnergia horáriaNão se aplicaNão se aplicaNão se aplicaNão se aplicaFora ponta",Mercado_Receita!$N$2:$N$2285)</f>
        <v>2706.6390000000001</v>
      </c>
      <c r="L5" s="14">
        <f>SUMIF(Mercado_Receita!$T$2:$T$2285,"43831A3aEnergia horáriaNão se aplicaNão se aplicaNão se aplicaNão se aplicaFora ponta",Mercado_Receita!$N$2:$N$2285)</f>
        <v>2545.049</v>
      </c>
      <c r="M5" s="14">
        <f>SUMIF(Mercado_Receita!$T$2:$T$2285,"43862A3aEnergia horáriaNão se aplicaNão se aplicaNão se aplicaNão se aplicaFora ponta",Mercado_Receita!$N$2:$N$2285)</f>
        <v>2674.3409999999999</v>
      </c>
      <c r="N5" s="14">
        <f>SUMIF(Mercado_Receita!$T$2:$T$2285,"43891A3aEnergia horáriaNão se aplicaNão se aplicaNão se aplicaNão se aplicaFora ponta",Mercado_Receita!$N$2:$N$2285)</f>
        <v>2472.2799999999997</v>
      </c>
      <c r="O5" s="14">
        <f>SUMIF(Mercado_Receita!$T$2:$T$2285,"43922A3aEnergia horáriaNão se aplicaNão se aplicaNão se aplicaNão se aplicaFora ponta",Mercado_Receita!$N$2:$N$2285)</f>
        <v>2772.5110000000004</v>
      </c>
      <c r="P5" s="14">
        <f>SUMIF(Mercado_Receita!$T$2:$T$2285,"43952A3aEnergia horáriaNão se aplicaNão se aplicaNão se aplicaNão se aplicaFora ponta",Mercado_Receita!$N$2:$N$2285)</f>
        <v>2728.0699999999997</v>
      </c>
      <c r="Q5" s="14">
        <f>SUMIF(Mercado_Receita!$T$2:$T$2285,"43983A3aEnergia horáriaNão se aplicaNão se aplicaNão se aplicaNão se aplicaFora ponta",Mercado_Receita!$N$2:$N$2285)</f>
        <v>3001.4349999999999</v>
      </c>
      <c r="R5" s="14">
        <f>SUMIF(Mercado_Receita!$T$2:$T$2285,"44013A3aEnergia horáriaNão se aplicaNão se aplicaNão se aplicaNão se aplicaFora ponta",Mercado_Receita!$N$2:$N$2285)</f>
        <v>2927.3980000000001</v>
      </c>
      <c r="S5" s="14">
        <f>SUMIF(Mercado_Receita!$T$2:$T$2285,"44044A3aEnergia horáriaNão se aplicaNão se aplicaNão se aplicaNão se aplicaFora ponta",Mercado_Receita!$N$2:$N$2285)</f>
        <v>2890.491</v>
      </c>
      <c r="T5" s="14">
        <f>SUMIF(Mercado_Receita!$T$2:$T$2285,"44075A3aEnergia horáriaNão se aplicaNão se aplicaNão se aplicaNão se aplicaFora ponta",Mercado_Receita!$N$2:$N$2285)</f>
        <v>2890.491</v>
      </c>
      <c r="U5" s="14">
        <f t="shared" si="0"/>
        <v>33041.942000000003</v>
      </c>
      <c r="V5" s="14"/>
      <c r="W5" s="14"/>
    </row>
    <row r="6" spans="1:30" ht="11.25" customHeight="1" x14ac:dyDescent="0.25">
      <c r="A6" s="105"/>
      <c r="B6" s="13" t="s">
        <v>96</v>
      </c>
      <c r="C6" s="13" t="s">
        <v>25</v>
      </c>
      <c r="D6" s="13" t="s">
        <v>25</v>
      </c>
      <c r="E6" s="13" t="s">
        <v>25</v>
      </c>
      <c r="F6" s="13" t="s">
        <v>25</v>
      </c>
      <c r="G6" s="14" t="s">
        <v>94</v>
      </c>
      <c r="H6" s="14" t="s">
        <v>88</v>
      </c>
      <c r="I6" s="14">
        <f>SUMIF(Mercado_Receita!$T$2:$T$2285,"43739A3aEnergia convencionalNão se aplicaNão se aplicaNão se aplicaNão se aplicaNão se aplica",Mercado_Receita!$N$2:$N$2285)</f>
        <v>0</v>
      </c>
      <c r="J6" s="14">
        <f>SUMIF(Mercado_Receita!$T$2:$T$2285,"43770A3aEnergia convencionalNão se aplicaNão se aplicaNão se aplicaNão se aplicaNão se aplica",Mercado_Receita!$N$2:$N$2285)</f>
        <v>0</v>
      </c>
      <c r="K6" s="14">
        <f>SUMIF(Mercado_Receita!$T$2:$T$2285,"43800A3aEnergia convencionalNão se aplicaNão se aplicaNão se aplicaNão se aplicaNão se aplica",Mercado_Receita!$N$2:$N$2285)</f>
        <v>0</v>
      </c>
      <c r="L6" s="14">
        <f>SUMIF(Mercado_Receita!$T$2:$T$2285,"43831A3aEnergia convencionalNão se aplicaNão se aplicaNão se aplicaNão se aplicaNão se aplica",Mercado_Receita!$N$2:$N$2285)</f>
        <v>0</v>
      </c>
      <c r="M6" s="14">
        <f>SUMIF(Mercado_Receita!$T$2:$T$2285,"43862A3aEnergia convencionalNão se aplicaNão se aplicaNão se aplicaNão se aplicaNão se aplica",Mercado_Receita!$N$2:$N$2285)</f>
        <v>0</v>
      </c>
      <c r="N6" s="14">
        <f>SUMIF(Mercado_Receita!$T$2:$T$2285,"43891A3aEnergia convencionalNão se aplicaNão se aplicaNão se aplicaNão se aplicaNão se aplica",Mercado_Receita!$N$2:$N$2285)</f>
        <v>0</v>
      </c>
      <c r="O6" s="14">
        <f>SUMIF(Mercado_Receita!$T$2:$T$2285,"43922A3aEnergia convencionalNão se aplicaNão se aplicaNão se aplicaNão se aplicaNão se aplica",Mercado_Receita!$N$2:$N$2285)</f>
        <v>0</v>
      </c>
      <c r="P6" s="14">
        <f>SUMIF(Mercado_Receita!$T$2:$T$2285,"43952A3aEnergia convencionalNão se aplicaNão se aplicaNão se aplicaNão se aplicaNão se aplica",Mercado_Receita!$N$2:$N$2285)</f>
        <v>0</v>
      </c>
      <c r="Q6" s="14">
        <f>SUMIF(Mercado_Receita!$T$2:$T$2285,"43983A3aEnergia convencionalNão se aplicaNão se aplicaNão se aplicaNão se aplicaNão se aplica",Mercado_Receita!$N$2:$N$2285)</f>
        <v>0</v>
      </c>
      <c r="R6" s="14">
        <f>SUMIF(Mercado_Receita!$T$2:$T$2285,"44013A3aEnergia convencionalNão se aplicaNão se aplicaNão se aplicaNão se aplicaNão se aplica",Mercado_Receita!$N$2:$N$2285)</f>
        <v>0</v>
      </c>
      <c r="S6" s="14">
        <f>SUMIF(Mercado_Receita!$T$2:$T$2285,"44044A3aEnergia convencionalNão se aplicaNão se aplicaNão se aplicaNão se aplicaNão se aplica",Mercado_Receita!$N$2:$N$2285)</f>
        <v>0</v>
      </c>
      <c r="T6" s="14">
        <f>SUMIF(Mercado_Receita!$T$2:$T$2285,"44075A3aEnergia convencionalNão se aplicaNão se aplicaNão se aplicaNão se aplicaNão se aplica",Mercado_Receita!$N$2:$N$2285)</f>
        <v>0</v>
      </c>
      <c r="U6" s="14">
        <f t="shared" si="0"/>
        <v>0</v>
      </c>
      <c r="V6" s="14"/>
      <c r="W6" s="14"/>
    </row>
    <row r="7" spans="1:30" ht="11.25" customHeight="1" x14ac:dyDescent="0.25">
      <c r="A7" s="104" t="s">
        <v>33</v>
      </c>
      <c r="B7" s="104" t="s">
        <v>87</v>
      </c>
      <c r="C7" s="104" t="s">
        <v>25</v>
      </c>
      <c r="D7" s="104" t="s">
        <v>25</v>
      </c>
      <c r="E7" s="104" t="s">
        <v>25</v>
      </c>
      <c r="F7" s="104" t="s">
        <v>25</v>
      </c>
      <c r="G7" s="14" t="s">
        <v>89</v>
      </c>
      <c r="H7" s="14" t="s">
        <v>88</v>
      </c>
      <c r="I7" s="14">
        <f>SUMIF(Mercado_Receita!$T$2:$T$2285,"43739A4Energia horáriaNão se aplicaNão se aplicaNão se aplicaNão se aplicaPonta",Mercado_Receita!$N$2:$N$2285)</f>
        <v>7036.6189999999997</v>
      </c>
      <c r="J7" s="14">
        <f>SUMIF(Mercado_Receita!$T$2:$T$2285,"43770A4Energia horáriaNão se aplicaNão se aplicaNão se aplicaNão se aplicaPonta",Mercado_Receita!$N$2:$N$2285)</f>
        <v>9390.2880000000005</v>
      </c>
      <c r="K7" s="14">
        <f>SUMIF(Mercado_Receita!$T$2:$T$2285,"43800A4Energia horáriaNão se aplicaNão se aplicaNão se aplicaNão se aplicaPonta",Mercado_Receita!$N$2:$N$2285)</f>
        <v>7687.902</v>
      </c>
      <c r="L7" s="14">
        <f>SUMIF(Mercado_Receita!$T$2:$T$2285,"43831A4Energia horáriaNão se aplicaNão se aplicaNão se aplicaNão se aplicaPonta",Mercado_Receita!$N$2:$N$2285)</f>
        <v>7135.1509999999998</v>
      </c>
      <c r="M7" s="14">
        <f>SUMIF(Mercado_Receita!$T$2:$T$2285,"43862A4Energia horáriaNão se aplicaNão se aplicaNão se aplicaNão se aplicaPonta",Mercado_Receita!$N$2:$N$2285)</f>
        <v>7798.3210000000026</v>
      </c>
      <c r="N7" s="14">
        <f>SUMIF(Mercado_Receita!$T$2:$T$2285,"43891A4Energia horáriaNão se aplicaNão se aplicaNão se aplicaNão se aplicaPonta",Mercado_Receita!$N$2:$N$2285)</f>
        <v>7105.3470000000007</v>
      </c>
      <c r="O7" s="14">
        <f>SUMIF(Mercado_Receita!$T$2:$T$2285,"43922A4Energia horáriaNão se aplicaNão se aplicaNão se aplicaNão se aplicaPonta",Mercado_Receita!$N$2:$N$2285)</f>
        <v>7161.1349999999984</v>
      </c>
      <c r="P7" s="14">
        <f>SUMIF(Mercado_Receita!$T$2:$T$2285,"43952A4Energia horáriaNão se aplicaNão se aplicaNão se aplicaNão se aplicaPonta",Mercado_Receita!$N$2:$N$2285)</f>
        <v>5865.1860000000006</v>
      </c>
      <c r="Q7" s="14">
        <f>SUMIF(Mercado_Receita!$T$2:$T$2285,"43983A4Energia horáriaNão se aplicaNão se aplicaNão se aplicaNão se aplicaPonta",Mercado_Receita!$N$2:$N$2285)</f>
        <v>6323.7129999999997</v>
      </c>
      <c r="R7" s="14">
        <f>SUMIF(Mercado_Receita!$T$2:$T$2285,"44013A4Energia horáriaNão se aplicaNão se aplicaNão se aplicaNão se aplicaPonta",Mercado_Receita!$N$2:$N$2285)</f>
        <v>5832.7470000000003</v>
      </c>
      <c r="S7" s="14">
        <f>SUMIF(Mercado_Receita!$T$2:$T$2285,"44044A4Energia horáriaNão se aplicaNão se aplicaNão se aplicaNão se aplicaPonta",Mercado_Receita!$N$2:$N$2285)</f>
        <v>6490.1829999999982</v>
      </c>
      <c r="T7" s="14">
        <f>SUMIF(Mercado_Receita!$T$2:$T$2285,"44075A4Energia horáriaNão se aplicaNão se aplicaNão se aplicaNão se aplicaPonta",Mercado_Receita!$N$2:$N$2285)</f>
        <v>6490.1829999999982</v>
      </c>
      <c r="U7" s="14">
        <f t="shared" si="0"/>
        <v>84316.775000000023</v>
      </c>
      <c r="V7" s="14"/>
      <c r="W7" s="14"/>
    </row>
    <row r="8" spans="1:30" ht="11.25" customHeight="1" x14ac:dyDescent="0.25">
      <c r="A8" s="105"/>
      <c r="B8" s="105"/>
      <c r="C8" s="105"/>
      <c r="D8" s="105"/>
      <c r="E8" s="105"/>
      <c r="F8" s="105"/>
      <c r="G8" s="14" t="s">
        <v>90</v>
      </c>
      <c r="H8" s="14" t="s">
        <v>88</v>
      </c>
      <c r="I8" s="14">
        <f>SUMIF(Mercado_Receita!$T$2:$T$2285,"43739A4Energia horáriaNão se aplicaNão se aplicaNão se aplicaNão se aplicaFora ponta",Mercado_Receita!$N$2:$N$2285)</f>
        <v>76033.718000000008</v>
      </c>
      <c r="J8" s="14">
        <f>SUMIF(Mercado_Receita!$T$2:$T$2285,"43770A4Energia horáriaNão se aplicaNão se aplicaNão se aplicaNão se aplicaFora ponta",Mercado_Receita!$N$2:$N$2285)</f>
        <v>89243.821999999986</v>
      </c>
      <c r="K8" s="14">
        <f>SUMIF(Mercado_Receita!$T$2:$T$2285,"43800A4Energia horáriaNão se aplicaNão se aplicaNão se aplicaNão se aplicaFora ponta",Mercado_Receita!$N$2:$N$2285)</f>
        <v>76800.632999999973</v>
      </c>
      <c r="L8" s="14">
        <f>SUMIF(Mercado_Receita!$T$2:$T$2285,"43831A4Energia horáriaNão se aplicaNão se aplicaNão se aplicaNão se aplicaFora ponta",Mercado_Receita!$N$2:$N$2285)</f>
        <v>74650.893000000025</v>
      </c>
      <c r="M8" s="14">
        <f>SUMIF(Mercado_Receita!$T$2:$T$2285,"43862A4Energia horáriaNão se aplicaNão se aplicaNão se aplicaNão se aplicaFora ponta",Mercado_Receita!$N$2:$N$2285)</f>
        <v>77393.373000000021</v>
      </c>
      <c r="N8" s="14">
        <f>SUMIF(Mercado_Receita!$T$2:$T$2285,"43891A4Energia horáriaNão se aplicaNão se aplicaNão se aplicaNão se aplicaFora ponta",Mercado_Receita!$N$2:$N$2285)</f>
        <v>71947.411000000007</v>
      </c>
      <c r="O8" s="14">
        <f>SUMIF(Mercado_Receita!$T$2:$T$2285,"43922A4Energia horáriaNão se aplicaNão se aplicaNão se aplicaNão se aplicaFora ponta",Mercado_Receita!$N$2:$N$2285)</f>
        <v>71932.822000000015</v>
      </c>
      <c r="P8" s="14">
        <f>SUMIF(Mercado_Receita!$T$2:$T$2285,"43952A4Energia horáriaNão se aplicaNão se aplicaNão se aplicaNão se aplicaFora ponta",Mercado_Receita!$N$2:$N$2285)</f>
        <v>62904.34</v>
      </c>
      <c r="Q8" s="14">
        <f>SUMIF(Mercado_Receita!$T$2:$T$2285,"43983A4Energia horáriaNão se aplicaNão se aplicaNão se aplicaNão se aplicaFora ponta",Mercado_Receita!$N$2:$N$2285)</f>
        <v>64041.665000000001</v>
      </c>
      <c r="R8" s="14">
        <f>SUMIF(Mercado_Receita!$T$2:$T$2285,"44013A4Energia horáriaNão se aplicaNão se aplicaNão se aplicaNão se aplicaFora ponta",Mercado_Receita!$N$2:$N$2285)</f>
        <v>62089.621999999996</v>
      </c>
      <c r="S8" s="14">
        <f>SUMIF(Mercado_Receita!$T$2:$T$2285,"44044A4Energia horáriaNão se aplicaNão se aplicaNão se aplicaNão se aplicaFora ponta",Mercado_Receita!$N$2:$N$2285)</f>
        <v>65156.950999999994</v>
      </c>
      <c r="T8" s="14">
        <f>SUMIF(Mercado_Receita!$T$2:$T$2285,"44075A4Energia horáriaNão se aplicaNão se aplicaNão se aplicaNão se aplicaFora ponta",Mercado_Receita!$N$2:$N$2285)</f>
        <v>65156.950999999994</v>
      </c>
      <c r="U8" s="14">
        <f t="shared" si="0"/>
        <v>857352.201</v>
      </c>
      <c r="V8" s="14"/>
      <c r="W8" s="14"/>
    </row>
    <row r="9" spans="1:30" ht="11.25" customHeight="1" x14ac:dyDescent="0.25">
      <c r="A9" s="105"/>
      <c r="B9" s="13" t="s">
        <v>96</v>
      </c>
      <c r="C9" s="13" t="s">
        <v>25</v>
      </c>
      <c r="D9" s="13" t="s">
        <v>25</v>
      </c>
      <c r="E9" s="13" t="s">
        <v>25</v>
      </c>
      <c r="F9" s="13" t="s">
        <v>25</v>
      </c>
      <c r="G9" s="14" t="s">
        <v>94</v>
      </c>
      <c r="H9" s="14" t="s">
        <v>88</v>
      </c>
      <c r="I9" s="14">
        <f>SUMIF(Mercado_Receita!$T$2:$T$2285,"43739A4Energia convencionalNão se aplicaNão se aplicaNão se aplicaNão se aplicaNão se aplica",Mercado_Receita!$N$2:$N$2285)</f>
        <v>0</v>
      </c>
      <c r="J9" s="14">
        <f>SUMIF(Mercado_Receita!$T$2:$T$2285,"43770A4Energia convencionalNão se aplicaNão se aplicaNão se aplicaNão se aplicaNão se aplica",Mercado_Receita!$N$2:$N$2285)</f>
        <v>0</v>
      </c>
      <c r="K9" s="14">
        <f>SUMIF(Mercado_Receita!$T$2:$T$2285,"43800A4Energia convencionalNão se aplicaNão se aplicaNão se aplicaNão se aplicaNão se aplica",Mercado_Receita!$N$2:$N$2285)</f>
        <v>0</v>
      </c>
      <c r="L9" s="14">
        <f>SUMIF(Mercado_Receita!$T$2:$T$2285,"43831A4Energia convencionalNão se aplicaNão se aplicaNão se aplicaNão se aplicaNão se aplica",Mercado_Receita!$N$2:$N$2285)</f>
        <v>0</v>
      </c>
      <c r="M9" s="14">
        <f>SUMIF(Mercado_Receita!$T$2:$T$2285,"43862A4Energia convencionalNão se aplicaNão se aplicaNão se aplicaNão se aplicaNão se aplica",Mercado_Receita!$N$2:$N$2285)</f>
        <v>0</v>
      </c>
      <c r="N9" s="14">
        <f>SUMIF(Mercado_Receita!$T$2:$T$2285,"43891A4Energia convencionalNão se aplicaNão se aplicaNão se aplicaNão se aplicaNão se aplica",Mercado_Receita!$N$2:$N$2285)</f>
        <v>0</v>
      </c>
      <c r="O9" s="14">
        <f>SUMIF(Mercado_Receita!$T$2:$T$2285,"43922A4Energia convencionalNão se aplicaNão se aplicaNão se aplicaNão se aplicaNão se aplica",Mercado_Receita!$N$2:$N$2285)</f>
        <v>0</v>
      </c>
      <c r="P9" s="14">
        <f>SUMIF(Mercado_Receita!$T$2:$T$2285,"43952A4Energia convencionalNão se aplicaNão se aplicaNão se aplicaNão se aplicaNão se aplica",Mercado_Receita!$N$2:$N$2285)</f>
        <v>0</v>
      </c>
      <c r="Q9" s="14">
        <f>SUMIF(Mercado_Receita!$T$2:$T$2285,"43983A4Energia convencionalNão se aplicaNão se aplicaNão se aplicaNão se aplicaNão se aplica",Mercado_Receita!$N$2:$N$2285)</f>
        <v>0</v>
      </c>
      <c r="R9" s="14">
        <f>SUMIF(Mercado_Receita!$T$2:$T$2285,"44013A4Energia convencionalNão se aplicaNão se aplicaNão se aplicaNão se aplicaNão se aplica",Mercado_Receita!$N$2:$N$2285)</f>
        <v>0</v>
      </c>
      <c r="S9" s="14">
        <f>SUMIF(Mercado_Receita!$T$2:$T$2285,"44044A4Energia convencionalNão se aplicaNão se aplicaNão se aplicaNão se aplicaNão se aplica",Mercado_Receita!$N$2:$N$2285)</f>
        <v>0</v>
      </c>
      <c r="T9" s="14">
        <f>SUMIF(Mercado_Receita!$T$2:$T$2285,"44075A4Energia convencionalNão se aplicaNão se aplicaNão se aplicaNão se aplicaNão se aplica",Mercado_Receita!$N$2:$N$2285)</f>
        <v>0</v>
      </c>
      <c r="U9" s="14">
        <f t="shared" si="0"/>
        <v>0</v>
      </c>
      <c r="V9" s="14"/>
      <c r="W9" s="14"/>
    </row>
    <row r="10" spans="1:30" ht="11.25" customHeight="1" x14ac:dyDescent="0.25">
      <c r="A10" s="104" t="s">
        <v>44</v>
      </c>
      <c r="B10" s="104" t="s">
        <v>87</v>
      </c>
      <c r="C10" s="104" t="s">
        <v>25</v>
      </c>
      <c r="D10" s="104" t="s">
        <v>25</v>
      </c>
      <c r="E10" s="104" t="s">
        <v>25</v>
      </c>
      <c r="F10" s="104" t="s">
        <v>25</v>
      </c>
      <c r="G10" s="14" t="s">
        <v>89</v>
      </c>
      <c r="H10" s="14" t="s">
        <v>88</v>
      </c>
      <c r="I10" s="14">
        <f>SUMIF(Mercado_Receita!$T$2:$T$2285,"43739ASEnergia horáriaNão se aplicaNão se aplicaNão se aplicaNão se aplicaPonta",Mercado_Receita!$N$2:$N$2285)</f>
        <v>3278.0240000000003</v>
      </c>
      <c r="J10" s="14">
        <f>SUMIF(Mercado_Receita!$T$2:$T$2285,"43770ASEnergia horáriaNão se aplicaNão se aplicaNão se aplicaNão se aplicaPonta",Mercado_Receita!$N$2:$N$2285)</f>
        <v>3492.0070000000001</v>
      </c>
      <c r="K10" s="14">
        <f>SUMIF(Mercado_Receita!$T$2:$T$2285,"43800ASEnergia horáriaNão se aplicaNão se aplicaNão se aplicaNão se aplicaPonta",Mercado_Receita!$N$2:$N$2285)</f>
        <v>3311.8010000000004</v>
      </c>
      <c r="L10" s="14">
        <f>SUMIF(Mercado_Receita!$T$2:$T$2285,"43831ASEnergia horáriaNão se aplicaNão se aplicaNão se aplicaNão se aplicaPonta",Mercado_Receita!$N$2:$N$2285)</f>
        <v>3020.116</v>
      </c>
      <c r="M10" s="14">
        <f>SUMIF(Mercado_Receita!$T$2:$T$2285,"43862ASEnergia horáriaNão se aplicaNão se aplicaNão se aplicaNão se aplicaPonta",Mercado_Receita!$N$2:$N$2285)</f>
        <v>3406.8020000000001</v>
      </c>
      <c r="N10" s="14">
        <f>SUMIF(Mercado_Receita!$T$2:$T$2285,"43891ASEnergia horáriaNão se aplicaNão se aplicaNão se aplicaNão se aplicaPonta",Mercado_Receita!$N$2:$N$2285)</f>
        <v>3018.0770000000002</v>
      </c>
      <c r="O10" s="14">
        <f>SUMIF(Mercado_Receita!$T$2:$T$2285,"43922ASEnergia horáriaNão se aplicaNão se aplicaNão se aplicaNão se aplicaPonta",Mercado_Receita!$N$2:$N$2285)</f>
        <v>3040.2100000000005</v>
      </c>
      <c r="P10" s="14">
        <f>SUMIF(Mercado_Receita!$T$2:$T$2285,"43952ASEnergia horáriaNão se aplicaNão se aplicaNão se aplicaNão se aplicaPonta",Mercado_Receita!$N$2:$N$2285)</f>
        <v>2226.556</v>
      </c>
      <c r="Q10" s="14">
        <f>SUMIF(Mercado_Receita!$T$2:$T$2285,"43983ASEnergia horáriaNão se aplicaNão se aplicaNão se aplicaNão se aplicaPonta",Mercado_Receita!$N$2:$N$2285)</f>
        <v>2416.8780000000002</v>
      </c>
      <c r="R10" s="14">
        <f>SUMIF(Mercado_Receita!$T$2:$T$2285,"44013ASEnergia horáriaNão se aplicaNão se aplicaNão se aplicaNão se aplicaPonta",Mercado_Receita!$N$2:$N$2285)</f>
        <v>2229.1109999999999</v>
      </c>
      <c r="S10" s="14">
        <f>SUMIF(Mercado_Receita!$T$2:$T$2285,"44044ASEnergia horáriaNão se aplicaNão se aplicaNão se aplicaNão se aplicaPonta",Mercado_Receita!$N$2:$N$2285)</f>
        <v>2291.3049999999998</v>
      </c>
      <c r="T10" s="14">
        <f>SUMIF(Mercado_Receita!$T$2:$T$2285,"44075ASEnergia horáriaNão se aplicaNão se aplicaNão se aplicaNão se aplicaPonta",Mercado_Receita!$N$2:$N$2285)</f>
        <v>2291.3049999999998</v>
      </c>
      <c r="U10" s="14">
        <f t="shared" si="0"/>
        <v>34022.192000000003</v>
      </c>
      <c r="V10" s="14"/>
      <c r="W10" s="14"/>
    </row>
    <row r="11" spans="1:30" ht="11.25" customHeight="1" x14ac:dyDescent="0.25">
      <c r="A11" s="105"/>
      <c r="B11" s="105"/>
      <c r="C11" s="105"/>
      <c r="D11" s="105"/>
      <c r="E11" s="105"/>
      <c r="F11" s="105"/>
      <c r="G11" s="14" t="s">
        <v>90</v>
      </c>
      <c r="H11" s="14" t="s">
        <v>88</v>
      </c>
      <c r="I11" s="14">
        <f>SUMIF(Mercado_Receita!$T$2:$T$2285,"43739ASEnergia horáriaNão se aplicaNão se aplicaNão se aplicaNão se aplicaFora ponta",Mercado_Receita!$N$2:$N$2285)</f>
        <v>34210.184000000001</v>
      </c>
      <c r="J11" s="14">
        <f>SUMIF(Mercado_Receita!$T$2:$T$2285,"43770ASEnergia horáriaNão se aplicaNão se aplicaNão se aplicaNão se aplicaFora ponta",Mercado_Receita!$N$2:$N$2285)</f>
        <v>34611.633000000002</v>
      </c>
      <c r="K11" s="14">
        <f>SUMIF(Mercado_Receita!$T$2:$T$2285,"43800ASEnergia horáriaNão se aplicaNão se aplicaNão se aplicaNão se aplicaFora ponta",Mercado_Receita!$N$2:$N$2285)</f>
        <v>32929.394999999997</v>
      </c>
      <c r="L11" s="14">
        <f>SUMIF(Mercado_Receita!$T$2:$T$2285,"43831ASEnergia horáriaNão se aplicaNão se aplicaNão se aplicaNão se aplicaFora ponta",Mercado_Receita!$N$2:$N$2285)</f>
        <v>31272.874000000003</v>
      </c>
      <c r="M11" s="14">
        <f>SUMIF(Mercado_Receita!$T$2:$T$2285,"43862ASEnergia horáriaNão se aplicaNão se aplicaNão se aplicaNão se aplicaFora ponta",Mercado_Receita!$N$2:$N$2285)</f>
        <v>33963.401000000005</v>
      </c>
      <c r="N11" s="14">
        <f>SUMIF(Mercado_Receita!$T$2:$T$2285,"43891ASEnergia horáriaNão se aplicaNão se aplicaNão se aplicaNão se aplicaFora ponta",Mercado_Receita!$N$2:$N$2285)</f>
        <v>29875.561000000002</v>
      </c>
      <c r="O11" s="14">
        <f>SUMIF(Mercado_Receita!$T$2:$T$2285,"43922ASEnergia horáriaNão se aplicaNão se aplicaNão se aplicaNão se aplicaFora ponta",Mercado_Receita!$N$2:$N$2285)</f>
        <v>28735.227000000003</v>
      </c>
      <c r="P11" s="14">
        <f>SUMIF(Mercado_Receita!$T$2:$T$2285,"43952ASEnergia horáriaNão se aplicaNão se aplicaNão se aplicaNão se aplicaFora ponta",Mercado_Receita!$N$2:$N$2285)</f>
        <v>23828.535</v>
      </c>
      <c r="Q11" s="14">
        <f>SUMIF(Mercado_Receita!$T$2:$T$2285,"43983ASEnergia horáriaNão se aplicaNão se aplicaNão se aplicaNão se aplicaFora ponta",Mercado_Receita!$N$2:$N$2285)</f>
        <v>23479.69</v>
      </c>
      <c r="R11" s="14">
        <f>SUMIF(Mercado_Receita!$T$2:$T$2285,"44013ASEnergia horáriaNão se aplicaNão se aplicaNão se aplicaNão se aplicaFora ponta",Mercado_Receita!$N$2:$N$2285)</f>
        <v>21896.506000000001</v>
      </c>
      <c r="S11" s="14">
        <f>SUMIF(Mercado_Receita!$T$2:$T$2285,"44044ASEnergia horáriaNão se aplicaNão se aplicaNão se aplicaNão se aplicaFora ponta",Mercado_Receita!$N$2:$N$2285)</f>
        <v>21814.996999999999</v>
      </c>
      <c r="T11" s="14">
        <f>SUMIF(Mercado_Receita!$T$2:$T$2285,"44075ASEnergia horáriaNão se aplicaNão se aplicaNão se aplicaNão se aplicaFora ponta",Mercado_Receita!$N$2:$N$2285)</f>
        <v>21814.996999999999</v>
      </c>
      <c r="U11" s="14">
        <f t="shared" si="0"/>
        <v>338432.99999999994</v>
      </c>
      <c r="V11" s="14"/>
      <c r="W11" s="14"/>
    </row>
    <row r="12" spans="1:30" ht="11.25" customHeight="1" x14ac:dyDescent="0.25">
      <c r="A12" s="105"/>
      <c r="B12" s="13" t="s">
        <v>96</v>
      </c>
      <c r="C12" s="13" t="s">
        <v>25</v>
      </c>
      <c r="D12" s="13" t="s">
        <v>25</v>
      </c>
      <c r="E12" s="13" t="s">
        <v>25</v>
      </c>
      <c r="F12" s="13" t="s">
        <v>25</v>
      </c>
      <c r="G12" s="14" t="s">
        <v>94</v>
      </c>
      <c r="H12" s="14" t="s">
        <v>88</v>
      </c>
      <c r="I12" s="14">
        <f>SUMIF(Mercado_Receita!$T$2:$T$2285,"43739ASEnergia convencionalNão se aplicaNão se aplicaNão se aplicaNão se aplicaNão se aplica",Mercado_Receita!$N$2:$N$2285)</f>
        <v>0</v>
      </c>
      <c r="J12" s="14">
        <f>SUMIF(Mercado_Receita!$T$2:$T$2285,"43770ASEnergia convencionalNão se aplicaNão se aplicaNão se aplicaNão se aplicaNão se aplica",Mercado_Receita!$N$2:$N$2285)</f>
        <v>0</v>
      </c>
      <c r="K12" s="14">
        <f>SUMIF(Mercado_Receita!$T$2:$T$2285,"43800ASEnergia convencionalNão se aplicaNão se aplicaNão se aplicaNão se aplicaNão se aplica",Mercado_Receita!$N$2:$N$2285)</f>
        <v>0</v>
      </c>
      <c r="L12" s="14">
        <f>SUMIF(Mercado_Receita!$T$2:$T$2285,"43831ASEnergia convencionalNão se aplicaNão se aplicaNão se aplicaNão se aplicaNão se aplica",Mercado_Receita!$N$2:$N$2285)</f>
        <v>0</v>
      </c>
      <c r="M12" s="14">
        <f>SUMIF(Mercado_Receita!$T$2:$T$2285,"43862ASEnergia convencionalNão se aplicaNão se aplicaNão se aplicaNão se aplicaNão se aplica",Mercado_Receita!$N$2:$N$2285)</f>
        <v>0</v>
      </c>
      <c r="N12" s="14">
        <f>SUMIF(Mercado_Receita!$T$2:$T$2285,"43891ASEnergia convencionalNão se aplicaNão se aplicaNão se aplicaNão se aplicaNão se aplica",Mercado_Receita!$N$2:$N$2285)</f>
        <v>0</v>
      </c>
      <c r="O12" s="14">
        <f>SUMIF(Mercado_Receita!$T$2:$T$2285,"43922ASEnergia convencionalNão se aplicaNão se aplicaNão se aplicaNão se aplicaNão se aplica",Mercado_Receita!$N$2:$N$2285)</f>
        <v>0</v>
      </c>
      <c r="P12" s="14">
        <f>SUMIF(Mercado_Receita!$T$2:$T$2285,"43952ASEnergia convencionalNão se aplicaNão se aplicaNão se aplicaNão se aplicaNão se aplica",Mercado_Receita!$N$2:$N$2285)</f>
        <v>0</v>
      </c>
      <c r="Q12" s="14">
        <f>SUMIF(Mercado_Receita!$T$2:$T$2285,"43983ASEnergia convencionalNão se aplicaNão se aplicaNão se aplicaNão se aplicaNão se aplica",Mercado_Receita!$N$2:$N$2285)</f>
        <v>0</v>
      </c>
      <c r="R12" s="14">
        <f>SUMIF(Mercado_Receita!$T$2:$T$2285,"44013ASEnergia convencionalNão se aplicaNão se aplicaNão se aplicaNão se aplicaNão se aplica",Mercado_Receita!$N$2:$N$2285)</f>
        <v>0</v>
      </c>
      <c r="S12" s="14">
        <f>SUMIF(Mercado_Receita!$T$2:$T$2285,"44044ASEnergia convencionalNão se aplicaNão se aplicaNão se aplicaNão se aplicaNão se aplica",Mercado_Receita!$N$2:$N$2285)</f>
        <v>0</v>
      </c>
      <c r="T12" s="14">
        <f>SUMIF(Mercado_Receita!$T$2:$T$2285,"44075ASEnergia convencionalNão se aplicaNão se aplicaNão se aplicaNão se aplicaNão se aplica",Mercado_Receita!$N$2:$N$2285)</f>
        <v>0</v>
      </c>
      <c r="U12" s="14">
        <f t="shared" si="0"/>
        <v>0</v>
      </c>
      <c r="V12" s="14"/>
      <c r="W12" s="14"/>
    </row>
    <row r="13" spans="1:30" ht="11.25" customHeight="1" x14ac:dyDescent="0.25">
      <c r="A13" s="104" t="s">
        <v>22</v>
      </c>
      <c r="B13" s="104" t="s">
        <v>87</v>
      </c>
      <c r="C13" s="104" t="s">
        <v>24</v>
      </c>
      <c r="D13" s="104" t="s">
        <v>24</v>
      </c>
      <c r="E13" s="104" t="s">
        <v>25</v>
      </c>
      <c r="F13" s="104" t="s">
        <v>25</v>
      </c>
      <c r="G13" s="14" t="s">
        <v>89</v>
      </c>
      <c r="H13" s="14" t="s">
        <v>88</v>
      </c>
      <c r="I13" s="14">
        <f>SUMIF(Mercado_Receita!$T$2:$T$2285,"43739B1Energia horáriaResidencialResidencialNão se aplicaNão se aplicaPonta",Mercado_Receita!$N$2:$N$2285)</f>
        <v>22.540000000000003</v>
      </c>
      <c r="J13" s="14">
        <f>SUMIF(Mercado_Receita!$T$2:$T$2285,"43770B1Energia horáriaResidencialResidencialNão se aplicaNão se aplicaPonta",Mercado_Receita!$N$2:$N$2285)</f>
        <v>22.07</v>
      </c>
      <c r="K13" s="14">
        <f>SUMIF(Mercado_Receita!$T$2:$T$2285,"43800B1Energia horáriaResidencialResidencialNão se aplicaNão se aplicaPonta",Mercado_Receita!$N$2:$N$2285)</f>
        <v>18.899000000000001</v>
      </c>
      <c r="L13" s="14">
        <f>SUMIF(Mercado_Receita!$T$2:$T$2285,"43831B1Energia horáriaResidencialResidencialNão se aplicaNão se aplicaPonta",Mercado_Receita!$N$2:$N$2285)</f>
        <v>20.365000000000002</v>
      </c>
      <c r="M13" s="14">
        <f>SUMIF(Mercado_Receita!$T$2:$T$2285,"43862B1Energia horáriaResidencialResidencialNão se aplicaNão se aplicaPonta",Mercado_Receita!$N$2:$N$2285)</f>
        <v>19.944000000000003</v>
      </c>
      <c r="N13" s="14">
        <f>SUMIF(Mercado_Receita!$T$2:$T$2285,"43891B1Energia horáriaResidencialResidencialNão se aplicaNão se aplicaPonta",Mercado_Receita!$N$2:$N$2285)</f>
        <v>19.386999999999997</v>
      </c>
      <c r="O13" s="14">
        <f>SUMIF(Mercado_Receita!$T$2:$T$2285,"43922B1Energia horáriaResidencialResidencialNão se aplicaNão se aplicaPonta",Mercado_Receita!$N$2:$N$2285)</f>
        <v>21.777000000000001</v>
      </c>
      <c r="P13" s="14">
        <f>SUMIF(Mercado_Receita!$T$2:$T$2285,"43952B1Energia horáriaResidencialResidencialNão se aplicaNão se aplicaPonta",Mercado_Receita!$N$2:$N$2285)</f>
        <v>20.224</v>
      </c>
      <c r="Q13" s="14">
        <f>SUMIF(Mercado_Receita!$T$2:$T$2285,"43983B1Energia horáriaResidencialResidencialNão se aplicaNão se aplicaPonta",Mercado_Receita!$N$2:$N$2285)</f>
        <v>20.204000000000001</v>
      </c>
      <c r="R13" s="14">
        <f>SUMIF(Mercado_Receita!$T$2:$T$2285,"44013B1Energia horáriaResidencialResidencialNão se aplicaNão se aplicaPonta",Mercado_Receita!$N$2:$N$2285)</f>
        <v>21.164999999999999</v>
      </c>
      <c r="S13" s="14">
        <f>SUMIF(Mercado_Receita!$T$2:$T$2285,"44044B1Energia horáriaResidencialResidencialNão se aplicaNão se aplicaPonta",Mercado_Receita!$N$2:$N$2285)</f>
        <v>23.525000000000002</v>
      </c>
      <c r="T13" s="14">
        <f>SUMIF(Mercado_Receita!$T$2:$T$2285,"44075B1Energia horáriaResidencialResidencialNão se aplicaNão se aplicaPonta",Mercado_Receita!$N$2:$N$2285)</f>
        <v>23.525000000000002</v>
      </c>
      <c r="U13" s="14">
        <f t="shared" si="0"/>
        <v>253.625</v>
      </c>
      <c r="V13" s="14"/>
      <c r="W13" s="14"/>
    </row>
    <row r="14" spans="1:30" ht="11.25" customHeight="1" x14ac:dyDescent="0.25">
      <c r="A14" s="105"/>
      <c r="B14" s="105"/>
      <c r="C14" s="105"/>
      <c r="D14" s="105"/>
      <c r="E14" s="105"/>
      <c r="F14" s="105"/>
      <c r="G14" s="14" t="s">
        <v>100</v>
      </c>
      <c r="H14" s="14" t="s">
        <v>88</v>
      </c>
      <c r="I14" s="14">
        <f>SUMIF(Mercado_Receita!$T$2:$T$2285,"43739B1Energia horáriaResidencialResidencialNão se aplicaNão se aplicaIntermediário",Mercado_Receita!$N$2:$N$2285)</f>
        <v>14.954000000000001</v>
      </c>
      <c r="J14" s="14">
        <f>SUMIF(Mercado_Receita!$T$2:$T$2285,"43770B1Energia horáriaResidencialResidencialNão se aplicaNão se aplicaIntermediário",Mercado_Receita!$N$2:$N$2285)</f>
        <v>14.975000000000001</v>
      </c>
      <c r="K14" s="14">
        <f>SUMIF(Mercado_Receita!$T$2:$T$2285,"43800B1Energia horáriaResidencialResidencialNão se aplicaNão se aplicaIntermediário",Mercado_Receita!$N$2:$N$2285)</f>
        <v>12.496</v>
      </c>
      <c r="L14" s="14">
        <f>SUMIF(Mercado_Receita!$T$2:$T$2285,"43831B1Energia horáriaResidencialResidencialNão se aplicaNão se aplicaIntermediário",Mercado_Receita!$N$2:$N$2285)</f>
        <v>14.045</v>
      </c>
      <c r="M14" s="14">
        <f>SUMIF(Mercado_Receita!$T$2:$T$2285,"43862B1Energia horáriaResidencialResidencialNão se aplicaNão se aplicaIntermediário",Mercado_Receita!$N$2:$N$2285)</f>
        <v>13.638000000000002</v>
      </c>
      <c r="N14" s="14">
        <f>SUMIF(Mercado_Receita!$T$2:$T$2285,"43891B1Energia horáriaResidencialResidencialNão se aplicaNão se aplicaIntermediário",Mercado_Receita!$N$2:$N$2285)</f>
        <v>12.829000000000001</v>
      </c>
      <c r="O14" s="14">
        <f>SUMIF(Mercado_Receita!$T$2:$T$2285,"43922B1Energia horáriaResidencialResidencialNão se aplicaNão se aplicaIntermediário",Mercado_Receita!$N$2:$N$2285)</f>
        <v>13.863999999999999</v>
      </c>
      <c r="P14" s="14">
        <f>SUMIF(Mercado_Receita!$T$2:$T$2285,"43952B1Energia horáriaResidencialResidencialNão se aplicaNão se aplicaIntermediário",Mercado_Receita!$N$2:$N$2285)</f>
        <v>12.917</v>
      </c>
      <c r="Q14" s="14">
        <f>SUMIF(Mercado_Receita!$T$2:$T$2285,"43983B1Energia horáriaResidencialResidencialNão se aplicaNão se aplicaIntermediário",Mercado_Receita!$N$2:$N$2285)</f>
        <v>11.74</v>
      </c>
      <c r="R14" s="14">
        <f>SUMIF(Mercado_Receita!$T$2:$T$2285,"44013B1Energia horáriaResidencialResidencialNão se aplicaNão se aplicaIntermediário",Mercado_Receita!$N$2:$N$2285)</f>
        <v>13.6</v>
      </c>
      <c r="S14" s="14">
        <f>SUMIF(Mercado_Receita!$T$2:$T$2285,"44044B1Energia horáriaResidencialResidencialNão se aplicaNão se aplicaIntermediário",Mercado_Receita!$N$2:$N$2285)</f>
        <v>15.318</v>
      </c>
      <c r="T14" s="14">
        <f>SUMIF(Mercado_Receita!$T$2:$T$2285,"44075B1Energia horáriaResidencialResidencialNão se aplicaNão se aplicaIntermediário",Mercado_Receita!$N$2:$N$2285)</f>
        <v>15.318</v>
      </c>
      <c r="U14" s="14">
        <f t="shared" si="0"/>
        <v>165.69400000000005</v>
      </c>
      <c r="V14" s="14"/>
      <c r="W14" s="14"/>
    </row>
    <row r="15" spans="1:30" ht="11.25" customHeight="1" x14ac:dyDescent="0.25">
      <c r="A15" s="105"/>
      <c r="B15" s="105"/>
      <c r="C15" s="105"/>
      <c r="D15" s="105"/>
      <c r="E15" s="105"/>
      <c r="F15" s="105"/>
      <c r="G15" s="14" t="s">
        <v>90</v>
      </c>
      <c r="H15" s="14" t="s">
        <v>88</v>
      </c>
      <c r="I15" s="14">
        <f>SUMIF(Mercado_Receita!$T$2:$T$2285,"43739B1Energia horáriaResidencialResidencialNão se aplicaNão se aplicaFora ponta",Mercado_Receita!$N$2:$N$2285)</f>
        <v>192.49299999999999</v>
      </c>
      <c r="J15" s="14">
        <f>SUMIF(Mercado_Receita!$T$2:$T$2285,"43770B1Energia horáriaResidencialResidencialNão se aplicaNão se aplicaFora ponta",Mercado_Receita!$N$2:$N$2285)</f>
        <v>203.273</v>
      </c>
      <c r="K15" s="14">
        <f>SUMIF(Mercado_Receita!$T$2:$T$2285,"43800B1Energia horáriaResidencialResidencialNão se aplicaNão se aplicaFora ponta",Mercado_Receita!$N$2:$N$2285)</f>
        <v>173.22299999999998</v>
      </c>
      <c r="L15" s="14">
        <f>SUMIF(Mercado_Receita!$T$2:$T$2285,"43831B1Energia horáriaResidencialResidencialNão se aplicaNão se aplicaFora ponta",Mercado_Receita!$N$2:$N$2285)</f>
        <v>189.58699999999999</v>
      </c>
      <c r="M15" s="14">
        <f>SUMIF(Mercado_Receita!$T$2:$T$2285,"43862B1Energia horáriaResidencialResidencialNão se aplicaNão se aplicaFora ponta",Mercado_Receita!$N$2:$N$2285)</f>
        <v>172.72499999999999</v>
      </c>
      <c r="N15" s="14">
        <f>SUMIF(Mercado_Receita!$T$2:$T$2285,"43891B1Energia horáriaResidencialResidencialNão se aplicaNão se aplicaFora ponta",Mercado_Receita!$N$2:$N$2285)</f>
        <v>170.60499999999999</v>
      </c>
      <c r="O15" s="14">
        <f>SUMIF(Mercado_Receita!$T$2:$T$2285,"43922B1Energia horáriaResidencialResidencialNão se aplicaNão se aplicaFora ponta",Mercado_Receita!$N$2:$N$2285)</f>
        <v>179.93299999999999</v>
      </c>
      <c r="P15" s="14">
        <f>SUMIF(Mercado_Receita!$T$2:$T$2285,"43952B1Energia horáriaResidencialResidencialNão se aplicaNão se aplicaFora ponta",Mercado_Receita!$N$2:$N$2285)</f>
        <v>158.28700000000001</v>
      </c>
      <c r="Q15" s="14">
        <f>SUMIF(Mercado_Receita!$T$2:$T$2285,"43983B1Energia horáriaResidencialResidencialNão se aplicaNão se aplicaFora ponta",Mercado_Receita!$N$2:$N$2285)</f>
        <v>150.79399999999998</v>
      </c>
      <c r="R15" s="14">
        <f>SUMIF(Mercado_Receita!$T$2:$T$2285,"44013B1Energia horáriaResidencialResidencialNão se aplicaNão se aplicaFora ponta",Mercado_Receita!$N$2:$N$2285)</f>
        <v>155.863</v>
      </c>
      <c r="S15" s="14">
        <f>SUMIF(Mercado_Receita!$T$2:$T$2285,"44044B1Energia horáriaResidencialResidencialNão se aplicaNão se aplicaFora ponta",Mercado_Receita!$N$2:$N$2285)</f>
        <v>184.89399999999998</v>
      </c>
      <c r="T15" s="14">
        <f>SUMIF(Mercado_Receita!$T$2:$T$2285,"44075B1Energia horáriaResidencialResidencialNão se aplicaNão se aplicaFora ponta",Mercado_Receita!$N$2:$N$2285)</f>
        <v>184.89399999999998</v>
      </c>
      <c r="U15" s="14">
        <f t="shared" si="0"/>
        <v>2116.5709999999999</v>
      </c>
      <c r="V15" s="14"/>
      <c r="W15" s="14"/>
    </row>
    <row r="16" spans="1:30" ht="11.25" customHeight="1" x14ac:dyDescent="0.25">
      <c r="A16" s="105"/>
      <c r="B16" s="104" t="s">
        <v>96</v>
      </c>
      <c r="C16" s="104" t="s">
        <v>24</v>
      </c>
      <c r="D16" s="13" t="s">
        <v>24</v>
      </c>
      <c r="E16" s="13" t="s">
        <v>25</v>
      </c>
      <c r="F16" s="13" t="s">
        <v>25</v>
      </c>
      <c r="G16" s="14" t="s">
        <v>94</v>
      </c>
      <c r="H16" s="14" t="s">
        <v>88</v>
      </c>
      <c r="I16" s="14">
        <f>SUMIF(Mercado_Receita!$T$2:$T$2285,"43739B1Energia convencionalResidencialResidencialNão se aplicaNão se aplicaNão se aplica",Mercado_Receita!$N$2:$N$2285)</f>
        <v>195952.38</v>
      </c>
      <c r="J16" s="14">
        <f>SUMIF(Mercado_Receita!$T$2:$T$2285,"43770B1Energia convencionalResidencialResidencialNão se aplicaNão se aplicaNão se aplica",Mercado_Receita!$N$2:$N$2285)</f>
        <v>207826.74000000002</v>
      </c>
      <c r="K16" s="14">
        <f>SUMIF(Mercado_Receita!$T$2:$T$2285,"43800B1Energia convencionalResidencialResidencialNão se aplicaNão se aplicaNão se aplica",Mercado_Receita!$N$2:$N$2285)</f>
        <v>179505.60100000002</v>
      </c>
      <c r="L16" s="14">
        <f>SUMIF(Mercado_Receita!$T$2:$T$2285,"43831B1Energia convencionalResidencialResidencialNão se aplicaNão se aplicaNão se aplica",Mercado_Receita!$N$2:$N$2285)</f>
        <v>195319.25400000002</v>
      </c>
      <c r="M16" s="14">
        <f>SUMIF(Mercado_Receita!$T$2:$T$2285,"43862B1Energia convencionalResidencialResidencialNão se aplicaNão se aplicaNão se aplica",Mercado_Receita!$N$2:$N$2285)</f>
        <v>182988.72099999999</v>
      </c>
      <c r="N16" s="14">
        <f>SUMIF(Mercado_Receita!$T$2:$T$2285,"43891B1Energia convencionalResidencialResidencialNão se aplicaNão se aplicaNão se aplica",Mercado_Receita!$N$2:$N$2285)</f>
        <v>187564.685</v>
      </c>
      <c r="O16" s="14">
        <f>SUMIF(Mercado_Receita!$T$2:$T$2285,"43922B1Energia convencionalResidencialResidencialNão se aplicaNão se aplicaNão se aplica",Mercado_Receita!$N$2:$N$2285)</f>
        <v>203821.96699999998</v>
      </c>
      <c r="P16" s="14">
        <f>SUMIF(Mercado_Receita!$T$2:$T$2285,"43952B1Energia convencionalResidencialResidencialNão se aplicaNão se aplicaNão se aplica",Mercado_Receita!$N$2:$N$2285)</f>
        <v>199748.29200000002</v>
      </c>
      <c r="Q16" s="14">
        <f>SUMIF(Mercado_Receita!$T$2:$T$2285,"43983B1Energia convencionalResidencialResidencialNão se aplicaNão se aplicaNão se aplica",Mercado_Receita!$N$2:$N$2285)</f>
        <v>181565.65300000002</v>
      </c>
      <c r="R16" s="14">
        <f>SUMIF(Mercado_Receita!$T$2:$T$2285,"44013B1Energia convencionalResidencialResidencialNão se aplicaNão se aplicaNão se aplica",Mercado_Receita!$N$2:$N$2285)</f>
        <v>185295.77299999999</v>
      </c>
      <c r="S16" s="14">
        <f>SUMIF(Mercado_Receita!$T$2:$T$2285,"44044B1Energia convencionalResidencialResidencialNão se aplicaNão se aplicaNão se aplica",Mercado_Receita!$N$2:$N$2285)</f>
        <v>201443.86300000004</v>
      </c>
      <c r="T16" s="14">
        <f>SUMIF(Mercado_Receita!$T$2:$T$2285,"44075B1Energia convencionalResidencialResidencialNão se aplicaNão se aplicaNão se aplica",Mercado_Receita!$N$2:$N$2285)</f>
        <v>201443.86300000004</v>
      </c>
      <c r="U16" s="14">
        <f t="shared" si="0"/>
        <v>2322476.7919999999</v>
      </c>
      <c r="V16" s="14"/>
      <c r="W16" s="14"/>
    </row>
    <row r="17" spans="1:23" ht="11.25" customHeight="1" x14ac:dyDescent="0.25">
      <c r="A17" s="105"/>
      <c r="B17" s="105"/>
      <c r="C17" s="105"/>
      <c r="D17" s="13" t="s">
        <v>29</v>
      </c>
      <c r="E17" s="13" t="s">
        <v>25</v>
      </c>
      <c r="F17" s="13" t="s">
        <v>25</v>
      </c>
      <c r="G17" s="14" t="s">
        <v>94</v>
      </c>
      <c r="H17" s="14" t="s">
        <v>88</v>
      </c>
      <c r="I17" s="14">
        <f>SUMIF(Mercado_Receita!$T$2:$T$2285,"43739B1Energia convencionalResidencialResidencial baixa renda – faixa 01Não se aplicaNão se aplicaNão se aplica",Mercado_Receita!$N$2:$N$2285)</f>
        <v>260.07</v>
      </c>
      <c r="J17" s="14">
        <f>SUMIF(Mercado_Receita!$T$2:$T$2285,"43770B1Energia convencionalResidencialResidencial baixa renda – faixa 01Não se aplicaNão se aplicaNão se aplica",Mercado_Receita!$N$2:$N$2285)</f>
        <v>266.25</v>
      </c>
      <c r="K17" s="14">
        <f>SUMIF(Mercado_Receita!$T$2:$T$2285,"43800B1Energia convencionalResidencialResidencial baixa renda – faixa 01Não se aplicaNão se aplicaNão se aplica",Mercado_Receita!$N$2:$N$2285)</f>
        <v>272.67</v>
      </c>
      <c r="L17" s="14">
        <f>SUMIF(Mercado_Receita!$T$2:$T$2285,"43831B1Energia convencionalResidencialResidencial baixa renda – faixa 01Não se aplicaNão se aplicaNão se aplica",Mercado_Receita!$N$2:$N$2285)</f>
        <v>275.82</v>
      </c>
      <c r="M17" s="14">
        <f>SUMIF(Mercado_Receita!$T$2:$T$2285,"43862B1Energia convencionalResidencialResidencial baixa renda – faixa 01Não se aplicaNão se aplicaNão se aplica",Mercado_Receita!$N$2:$N$2285)</f>
        <v>276.45</v>
      </c>
      <c r="N17" s="14">
        <f>SUMIF(Mercado_Receita!$T$2:$T$2285,"43891B1Energia convencionalResidencialResidencial baixa renda – faixa 01Não se aplicaNão se aplicaNão se aplica",Mercado_Receita!$N$2:$N$2285)</f>
        <v>256.59000000000003</v>
      </c>
      <c r="O17" s="14">
        <f>SUMIF(Mercado_Receita!$T$2:$T$2285,"43922B1Energia convencionalResidencialResidencial baixa renda – faixa 01Não se aplicaNão se aplicaNão se aplica",Mercado_Receita!$N$2:$N$2285)</f>
        <v>252.9</v>
      </c>
      <c r="P17" s="14">
        <f>SUMIF(Mercado_Receita!$T$2:$T$2285,"43952B1Energia convencionalResidencialResidencial baixa renda – faixa 01Não se aplicaNão se aplicaNão se aplica",Mercado_Receita!$N$2:$N$2285)</f>
        <v>300.69</v>
      </c>
      <c r="Q17" s="14">
        <f>SUMIF(Mercado_Receita!$T$2:$T$2285,"43983B1Energia convencionalResidencialResidencial baixa renda – faixa 01Não se aplicaNão se aplicaNão se aplica",Mercado_Receita!$N$2:$N$2285)</f>
        <v>324.33</v>
      </c>
      <c r="R17" s="14">
        <f>SUMIF(Mercado_Receita!$T$2:$T$2285,"44013B1Energia convencionalResidencialResidencial baixa renda – faixa 01Não se aplicaNão se aplicaNão se aplica",Mercado_Receita!$N$2:$N$2285)</f>
        <v>336.6</v>
      </c>
      <c r="S17" s="14">
        <f>SUMIF(Mercado_Receita!$T$2:$T$2285,"44044B1Energia convencionalResidencialResidencial baixa renda – faixa 01Não se aplicaNão se aplicaNão se aplica",Mercado_Receita!$N$2:$N$2285)</f>
        <v>342.3</v>
      </c>
      <c r="T17" s="14">
        <f>SUMIF(Mercado_Receita!$T$2:$T$2285,"44075B1Energia convencionalResidencialResidencial baixa renda – faixa 01Não se aplicaNão se aplicaNão se aplica",Mercado_Receita!$N$2:$N$2285)</f>
        <v>342.3</v>
      </c>
      <c r="U17" s="14">
        <f t="shared" si="0"/>
        <v>3506.9700000000003</v>
      </c>
      <c r="V17" s="14"/>
      <c r="W17" s="14"/>
    </row>
    <row r="18" spans="1:23" ht="11.25" customHeight="1" x14ac:dyDescent="0.25">
      <c r="A18" s="105"/>
      <c r="B18" s="105"/>
      <c r="C18" s="105"/>
      <c r="D18" s="13" t="s">
        <v>30</v>
      </c>
      <c r="E18" s="13" t="s">
        <v>25</v>
      </c>
      <c r="F18" s="13" t="s">
        <v>25</v>
      </c>
      <c r="G18" s="14" t="s">
        <v>94</v>
      </c>
      <c r="H18" s="14" t="s">
        <v>88</v>
      </c>
      <c r="I18" s="14">
        <f>SUMIF(Mercado_Receita!$T$2:$T$2285,"43739B1Energia convencionalResidencialResidencial baixa renda – faixa 02Não se aplicaNão se aplicaNão se aplica",Mercado_Receita!$N$2:$N$2285)</f>
        <v>544.12899999999991</v>
      </c>
      <c r="J18" s="14">
        <f>SUMIF(Mercado_Receita!$T$2:$T$2285,"43770B1Energia convencionalResidencialResidencial baixa renda – faixa 02Não se aplicaNão se aplicaNão se aplica",Mercado_Receita!$N$2:$N$2285)</f>
        <v>566.94899999999996</v>
      </c>
      <c r="K18" s="14">
        <f>SUMIF(Mercado_Receita!$T$2:$T$2285,"43800B1Energia convencionalResidencialResidencial baixa renda – faixa 02Não se aplicaNão se aplicaNão se aplica",Mercado_Receita!$N$2:$N$2285)</f>
        <v>561.93999999999994</v>
      </c>
      <c r="L18" s="14">
        <f>SUMIF(Mercado_Receita!$T$2:$T$2285,"43831B1Energia convencionalResidencialResidencial baixa renda – faixa 02Não se aplicaNão se aplicaNão se aplica",Mercado_Receita!$N$2:$N$2285)</f>
        <v>572.33699999999999</v>
      </c>
      <c r="M18" s="14">
        <f>SUMIF(Mercado_Receita!$T$2:$T$2285,"43862B1Energia convencionalResidencialResidencial baixa renda – faixa 02Não se aplicaNão se aplicaNão se aplica",Mercado_Receita!$N$2:$N$2285)</f>
        <v>564.67499999999995</v>
      </c>
      <c r="N18" s="14">
        <f>SUMIF(Mercado_Receita!$T$2:$T$2285,"43891B1Energia convencionalResidencialResidencial baixa renda – faixa 02Não se aplicaNão se aplicaNão se aplica",Mercado_Receita!$N$2:$N$2285)</f>
        <v>533.08199999999999</v>
      </c>
      <c r="O18" s="14">
        <f>SUMIF(Mercado_Receita!$T$2:$T$2285,"43922B1Energia convencionalResidencialResidencial baixa renda – faixa 02Não se aplicaNão se aplicaNão se aplica",Mercado_Receita!$N$2:$N$2285)</f>
        <v>538.43799999999999</v>
      </c>
      <c r="P18" s="14">
        <f>SUMIF(Mercado_Receita!$T$2:$T$2285,"43952B1Energia convencionalResidencialResidencial baixa renda – faixa 02Não se aplicaNão se aplicaNão se aplica",Mercado_Receita!$N$2:$N$2285)</f>
        <v>641.60900000000004</v>
      </c>
      <c r="Q18" s="14">
        <f>SUMIF(Mercado_Receita!$T$2:$T$2285,"43983B1Energia convencionalResidencialResidencial baixa renda – faixa 02Não se aplicaNão se aplicaNão se aplica",Mercado_Receita!$N$2:$N$2285)</f>
        <v>683.85500000000002</v>
      </c>
      <c r="R18" s="14">
        <f>SUMIF(Mercado_Receita!$T$2:$T$2285,"44013B1Energia convencionalResidencialResidencial baixa renda – faixa 02Não se aplicaNão se aplicaNão se aplica",Mercado_Receita!$N$2:$N$2285)</f>
        <v>714.69399999999996</v>
      </c>
      <c r="S18" s="14">
        <f>SUMIF(Mercado_Receita!$T$2:$T$2285,"44044B1Energia convencionalResidencialResidencial baixa renda – faixa 02Não se aplicaNão se aplicaNão se aplica",Mercado_Receita!$N$2:$N$2285)</f>
        <v>736.97400000000005</v>
      </c>
      <c r="T18" s="14">
        <f>SUMIF(Mercado_Receita!$T$2:$T$2285,"44075B1Energia convencionalResidencialResidencial baixa renda – faixa 02Não se aplicaNão se aplicaNão se aplica",Mercado_Receita!$N$2:$N$2285)</f>
        <v>736.97400000000005</v>
      </c>
      <c r="U18" s="14">
        <f t="shared" si="0"/>
        <v>7395.655999999999</v>
      </c>
      <c r="V18" s="14"/>
      <c r="W18" s="14"/>
    </row>
    <row r="19" spans="1:23" ht="11.25" customHeight="1" x14ac:dyDescent="0.25">
      <c r="A19" s="105"/>
      <c r="B19" s="105"/>
      <c r="C19" s="105"/>
      <c r="D19" s="13" t="s">
        <v>31</v>
      </c>
      <c r="E19" s="13" t="s">
        <v>25</v>
      </c>
      <c r="F19" s="13" t="s">
        <v>25</v>
      </c>
      <c r="G19" s="14" t="s">
        <v>94</v>
      </c>
      <c r="H19" s="14" t="s">
        <v>88</v>
      </c>
      <c r="I19" s="14">
        <f>SUMIF(Mercado_Receita!$T$2:$T$2285,"43739B1Energia convencionalResidencialResidencial baixa renda – faixa 03Não se aplicaNão se aplicaNão se aplica",Mercado_Receita!$N$2:$N$2285)</f>
        <v>522.47500000000002</v>
      </c>
      <c r="J19" s="14">
        <f>SUMIF(Mercado_Receita!$T$2:$T$2285,"43770B1Energia convencionalResidencialResidencial baixa renda – faixa 03Não se aplicaNão se aplicaNão se aplica",Mercado_Receita!$N$2:$N$2285)</f>
        <v>592.29000000000008</v>
      </c>
      <c r="K19" s="14">
        <f>SUMIF(Mercado_Receita!$T$2:$T$2285,"43800B1Energia convencionalResidencialResidencial baixa renda – faixa 03Não se aplicaNão se aplicaNão se aplica",Mercado_Receita!$N$2:$N$2285)</f>
        <v>497.56099999999998</v>
      </c>
      <c r="L19" s="14">
        <f>SUMIF(Mercado_Receita!$T$2:$T$2285,"43831B1Energia convencionalResidencialResidencial baixa renda – faixa 03Não se aplicaNão se aplicaNão se aplica",Mercado_Receita!$N$2:$N$2285)</f>
        <v>572.61199999999997</v>
      </c>
      <c r="M19" s="14">
        <f>SUMIF(Mercado_Receita!$T$2:$T$2285,"43862B1Energia convencionalResidencialResidencial baixa renda – faixa 03Não se aplicaNão se aplicaNão se aplica",Mercado_Receita!$N$2:$N$2285)</f>
        <v>504.05099999999999</v>
      </c>
      <c r="N19" s="14">
        <f>SUMIF(Mercado_Receita!$T$2:$T$2285,"43891B1Energia convencionalResidencialResidencial baixa renda – faixa 03Não se aplicaNão se aplicaNão se aplica",Mercado_Receita!$N$2:$N$2285)</f>
        <v>494.84899999999999</v>
      </c>
      <c r="O19" s="14">
        <f>SUMIF(Mercado_Receita!$T$2:$T$2285,"43922B1Energia convencionalResidencialResidencial baixa renda – faixa 03Não se aplicaNão se aplicaNão se aplica",Mercado_Receita!$N$2:$N$2285)</f>
        <v>562.83400000000006</v>
      </c>
      <c r="P19" s="14">
        <f>SUMIF(Mercado_Receita!$T$2:$T$2285,"43952B1Energia convencionalResidencialResidencial baixa renda – faixa 03Não se aplicaNão se aplicaNão se aplica",Mercado_Receita!$N$2:$N$2285)</f>
        <v>660.42900000000009</v>
      </c>
      <c r="Q19" s="14">
        <f>SUMIF(Mercado_Receita!$T$2:$T$2285,"43983B1Energia convencionalResidencialResidencial baixa renda – faixa 03Não se aplicaNão se aplicaNão se aplica",Mercado_Receita!$N$2:$N$2285)</f>
        <v>632.58699999999999</v>
      </c>
      <c r="R19" s="14">
        <f>SUMIF(Mercado_Receita!$T$2:$T$2285,"44013B1Energia convencionalResidencialResidencial baixa renda – faixa 03Não se aplicaNão se aplicaNão se aplica",Mercado_Receita!$N$2:$N$2285)</f>
        <v>692.31700000000001</v>
      </c>
      <c r="S19" s="14">
        <f>SUMIF(Mercado_Receita!$T$2:$T$2285,"44044B1Energia convencionalResidencialResidencial baixa renda – faixa 03Não se aplicaNão se aplicaNão se aplica",Mercado_Receita!$N$2:$N$2285)</f>
        <v>781.678</v>
      </c>
      <c r="T19" s="14">
        <f>SUMIF(Mercado_Receita!$T$2:$T$2285,"44075B1Energia convencionalResidencialResidencial baixa renda – faixa 03Não se aplicaNão se aplicaNão se aplica",Mercado_Receita!$N$2:$N$2285)</f>
        <v>781.678</v>
      </c>
      <c r="U19" s="14">
        <f t="shared" si="0"/>
        <v>7295.3609999999999</v>
      </c>
      <c r="V19" s="14"/>
      <c r="W19" s="14"/>
    </row>
    <row r="20" spans="1:23" ht="11.25" customHeight="1" x14ac:dyDescent="0.25">
      <c r="A20" s="105"/>
      <c r="B20" s="105"/>
      <c r="C20" s="105"/>
      <c r="D20" s="13" t="s">
        <v>32</v>
      </c>
      <c r="E20" s="13" t="s">
        <v>25</v>
      </c>
      <c r="F20" s="13" t="s">
        <v>25</v>
      </c>
      <c r="G20" s="14" t="s">
        <v>94</v>
      </c>
      <c r="H20" s="14" t="s">
        <v>88</v>
      </c>
      <c r="I20" s="14">
        <f>SUMIF(Mercado_Receita!$T$2:$T$2285,"43739B1Energia convencionalResidencialResidencial baixa renda – faixa 04Não se aplicaNão se aplicaNão se aplica",Mercado_Receita!$N$2:$N$2285)</f>
        <v>187.886</v>
      </c>
      <c r="J20" s="14">
        <f>SUMIF(Mercado_Receita!$T$2:$T$2285,"43770B1Energia convencionalResidencialResidencial baixa renda – faixa 04Não se aplicaNão se aplicaNão se aplica",Mercado_Receita!$N$2:$N$2285)</f>
        <v>236.91400000000002</v>
      </c>
      <c r="K20" s="14">
        <f>SUMIF(Mercado_Receita!$T$2:$T$2285,"43800B1Energia convencionalResidencialResidencial baixa renda – faixa 04Não se aplicaNão se aplicaNão se aplica",Mercado_Receita!$N$2:$N$2285)</f>
        <v>149.327</v>
      </c>
      <c r="L20" s="14">
        <f>SUMIF(Mercado_Receita!$T$2:$T$2285,"43831B1Energia convencionalResidencialResidencial baixa renda – faixa 04Não se aplicaNão se aplicaNão se aplica",Mercado_Receita!$N$2:$N$2285)</f>
        <v>219.87700000000001</v>
      </c>
      <c r="M20" s="14">
        <f>SUMIF(Mercado_Receita!$T$2:$T$2285,"43862B1Energia convencionalResidencialResidencial baixa renda – faixa 04Não se aplicaNão se aplicaNão se aplica",Mercado_Receita!$N$2:$N$2285)</f>
        <v>154.23699999999999</v>
      </c>
      <c r="N20" s="14">
        <f>SUMIF(Mercado_Receita!$T$2:$T$2285,"43891B1Energia convencionalResidencialResidencial baixa renda – faixa 04Não se aplicaNão se aplicaNão se aplica",Mercado_Receita!$N$2:$N$2285)</f>
        <v>163.285</v>
      </c>
      <c r="O20" s="14">
        <f>SUMIF(Mercado_Receita!$T$2:$T$2285,"43922B1Energia convencionalResidencialResidencial baixa renda – faixa 04Não se aplicaNão se aplicaNão se aplica",Mercado_Receita!$N$2:$N$2285)</f>
        <v>228.446</v>
      </c>
      <c r="P20" s="14">
        <f>SUMIF(Mercado_Receita!$T$2:$T$2285,"43952B1Energia convencionalResidencialResidencial baixa renda – faixa 04Não se aplicaNão se aplicaNão se aplica",Mercado_Receita!$N$2:$N$2285)</f>
        <v>240.60499999999999</v>
      </c>
      <c r="Q20" s="14">
        <f>SUMIF(Mercado_Receita!$T$2:$T$2285,"43983B1Energia convencionalResidencialResidencial baixa renda – faixa 04Não se aplicaNão se aplicaNão se aplica",Mercado_Receita!$N$2:$N$2285)</f>
        <v>181.77500000000001</v>
      </c>
      <c r="R20" s="14">
        <f>SUMIF(Mercado_Receita!$T$2:$T$2285,"44013B1Energia convencionalResidencialResidencial baixa renda – faixa 04Não se aplicaNão se aplicaNão se aplica",Mercado_Receita!$N$2:$N$2285)</f>
        <v>224.56400000000002</v>
      </c>
      <c r="S20" s="14">
        <f>SUMIF(Mercado_Receita!$T$2:$T$2285,"44044B1Energia convencionalResidencialResidencial baixa renda – faixa 04Não se aplicaNão se aplicaNão se aplica",Mercado_Receita!$N$2:$N$2285)</f>
        <v>307.745</v>
      </c>
      <c r="T20" s="14">
        <f>SUMIF(Mercado_Receita!$T$2:$T$2285,"44075B1Energia convencionalResidencialResidencial baixa renda – faixa 04Não se aplicaNão se aplicaNão se aplica",Mercado_Receita!$N$2:$N$2285)</f>
        <v>307.745</v>
      </c>
      <c r="U20" s="14">
        <f t="shared" si="0"/>
        <v>2602.4059999999999</v>
      </c>
      <c r="V20" s="14"/>
      <c r="W20" s="14"/>
    </row>
    <row r="21" spans="1:23" ht="11.25" customHeight="1" x14ac:dyDescent="0.25">
      <c r="A21" s="105"/>
      <c r="B21" s="104" t="s">
        <v>101</v>
      </c>
      <c r="C21" s="104" t="s">
        <v>24</v>
      </c>
      <c r="D21" s="13" t="s">
        <v>24</v>
      </c>
      <c r="E21" s="13" t="s">
        <v>25</v>
      </c>
      <c r="F21" s="13" t="s">
        <v>25</v>
      </c>
      <c r="G21" s="14" t="s">
        <v>94</v>
      </c>
      <c r="H21" s="14" t="s">
        <v>88</v>
      </c>
      <c r="I21" s="14">
        <f>SUMIF(Mercado_Receita!$T$2:$T$2285,"43739B1Energia convencional pré-pagamentoResidencialResidencialNão se aplicaNão se aplicaNão se aplica",Mercado_Receita!$N$2:$N$2285)</f>
        <v>0</v>
      </c>
      <c r="J21" s="14">
        <f>SUMIF(Mercado_Receita!$T$2:$T$2285,"43770B1Energia convencional pré-pagamentoResidencialResidencialNão se aplicaNão se aplicaNão se aplica",Mercado_Receita!$N$2:$N$2285)</f>
        <v>0</v>
      </c>
      <c r="K21" s="14">
        <f>SUMIF(Mercado_Receita!$T$2:$T$2285,"43800B1Energia convencional pré-pagamentoResidencialResidencialNão se aplicaNão se aplicaNão se aplica",Mercado_Receita!$N$2:$N$2285)</f>
        <v>0</v>
      </c>
      <c r="L21" s="14">
        <f>SUMIF(Mercado_Receita!$T$2:$T$2285,"43831B1Energia convencional pré-pagamentoResidencialResidencialNão se aplicaNão se aplicaNão se aplica",Mercado_Receita!$N$2:$N$2285)</f>
        <v>0</v>
      </c>
      <c r="M21" s="14">
        <f>SUMIF(Mercado_Receita!$T$2:$T$2285,"43862B1Energia convencional pré-pagamentoResidencialResidencialNão se aplicaNão se aplicaNão se aplica",Mercado_Receita!$N$2:$N$2285)</f>
        <v>0</v>
      </c>
      <c r="N21" s="14">
        <f>SUMIF(Mercado_Receita!$T$2:$T$2285,"43891B1Energia convencional pré-pagamentoResidencialResidencialNão se aplicaNão se aplicaNão se aplica",Mercado_Receita!$N$2:$N$2285)</f>
        <v>0</v>
      </c>
      <c r="O21" s="14">
        <f>SUMIF(Mercado_Receita!$T$2:$T$2285,"43922B1Energia convencional pré-pagamentoResidencialResidencialNão se aplicaNão se aplicaNão se aplica",Mercado_Receita!$N$2:$N$2285)</f>
        <v>0</v>
      </c>
      <c r="P21" s="14">
        <f>SUMIF(Mercado_Receita!$T$2:$T$2285,"43952B1Energia convencional pré-pagamentoResidencialResidencialNão se aplicaNão se aplicaNão se aplica",Mercado_Receita!$N$2:$N$2285)</f>
        <v>0</v>
      </c>
      <c r="Q21" s="14">
        <f>SUMIF(Mercado_Receita!$T$2:$T$2285,"43983B1Energia convencional pré-pagamentoResidencialResidencialNão se aplicaNão se aplicaNão se aplica",Mercado_Receita!$N$2:$N$2285)</f>
        <v>0</v>
      </c>
      <c r="R21" s="14">
        <f>SUMIF(Mercado_Receita!$T$2:$T$2285,"44013B1Energia convencional pré-pagamentoResidencialResidencialNão se aplicaNão se aplicaNão se aplica",Mercado_Receita!$N$2:$N$2285)</f>
        <v>0</v>
      </c>
      <c r="S21" s="14">
        <f>SUMIF(Mercado_Receita!$T$2:$T$2285,"44044B1Energia convencional pré-pagamentoResidencialResidencialNão se aplicaNão se aplicaNão se aplica",Mercado_Receita!$N$2:$N$2285)</f>
        <v>0</v>
      </c>
      <c r="T21" s="14">
        <f>SUMIF(Mercado_Receita!$T$2:$T$2285,"44075B1Energia convencional pré-pagamentoResidencialResidencialNão se aplicaNão se aplicaNão se aplica",Mercado_Receita!$N$2:$N$2285)</f>
        <v>0</v>
      </c>
      <c r="U21" s="14">
        <f t="shared" si="0"/>
        <v>0</v>
      </c>
      <c r="V21" s="14"/>
      <c r="W21" s="14"/>
    </row>
    <row r="22" spans="1:23" ht="11.25" customHeight="1" x14ac:dyDescent="0.25">
      <c r="A22" s="105"/>
      <c r="B22" s="105"/>
      <c r="C22" s="105"/>
      <c r="D22" s="13" t="s">
        <v>29</v>
      </c>
      <c r="E22" s="13" t="s">
        <v>25</v>
      </c>
      <c r="F22" s="13" t="s">
        <v>25</v>
      </c>
      <c r="G22" s="14" t="s">
        <v>94</v>
      </c>
      <c r="H22" s="14" t="s">
        <v>88</v>
      </c>
      <c r="I22" s="14">
        <f>SUMIF(Mercado_Receita!$T$2:$T$2285,"43739B1Energia convencional pré-pagamentoResidencialResidencial baixa renda – faixa 01Não se aplicaNão se aplicaNão se aplica",Mercado_Receita!$N$2:$N$2285)</f>
        <v>0</v>
      </c>
      <c r="J22" s="14">
        <f>SUMIF(Mercado_Receita!$T$2:$T$2285,"43770B1Energia convencional pré-pagamentoResidencialResidencial baixa renda – faixa 01Não se aplicaNão se aplicaNão se aplica",Mercado_Receita!$N$2:$N$2285)</f>
        <v>0</v>
      </c>
      <c r="K22" s="14">
        <f>SUMIF(Mercado_Receita!$T$2:$T$2285,"43800B1Energia convencional pré-pagamentoResidencialResidencial baixa renda – faixa 01Não se aplicaNão se aplicaNão se aplica",Mercado_Receita!$N$2:$N$2285)</f>
        <v>0</v>
      </c>
      <c r="L22" s="14">
        <f>SUMIF(Mercado_Receita!$T$2:$T$2285,"43831B1Energia convencional pré-pagamentoResidencialResidencial baixa renda – faixa 01Não se aplicaNão se aplicaNão se aplica",Mercado_Receita!$N$2:$N$2285)</f>
        <v>0</v>
      </c>
      <c r="M22" s="14">
        <f>SUMIF(Mercado_Receita!$T$2:$T$2285,"43862B1Energia convencional pré-pagamentoResidencialResidencial baixa renda – faixa 01Não se aplicaNão se aplicaNão se aplica",Mercado_Receita!$N$2:$N$2285)</f>
        <v>0</v>
      </c>
      <c r="N22" s="14">
        <f>SUMIF(Mercado_Receita!$T$2:$T$2285,"43891B1Energia convencional pré-pagamentoResidencialResidencial baixa renda – faixa 01Não se aplicaNão se aplicaNão se aplica",Mercado_Receita!$N$2:$N$2285)</f>
        <v>0</v>
      </c>
      <c r="O22" s="14">
        <f>SUMIF(Mercado_Receita!$T$2:$T$2285,"43922B1Energia convencional pré-pagamentoResidencialResidencial baixa renda – faixa 01Não se aplicaNão se aplicaNão se aplica",Mercado_Receita!$N$2:$N$2285)</f>
        <v>0</v>
      </c>
      <c r="P22" s="14">
        <f>SUMIF(Mercado_Receita!$T$2:$T$2285,"43952B1Energia convencional pré-pagamentoResidencialResidencial baixa renda – faixa 01Não se aplicaNão se aplicaNão se aplica",Mercado_Receita!$N$2:$N$2285)</f>
        <v>0</v>
      </c>
      <c r="Q22" s="14">
        <f>SUMIF(Mercado_Receita!$T$2:$T$2285,"43983B1Energia convencional pré-pagamentoResidencialResidencial baixa renda – faixa 01Não se aplicaNão se aplicaNão se aplica",Mercado_Receita!$N$2:$N$2285)</f>
        <v>0</v>
      </c>
      <c r="R22" s="14">
        <f>SUMIF(Mercado_Receita!$T$2:$T$2285,"44013B1Energia convencional pré-pagamentoResidencialResidencial baixa renda – faixa 01Não se aplicaNão se aplicaNão se aplica",Mercado_Receita!$N$2:$N$2285)</f>
        <v>0</v>
      </c>
      <c r="S22" s="14">
        <f>SUMIF(Mercado_Receita!$T$2:$T$2285,"44044B1Energia convencional pré-pagamentoResidencialResidencial baixa renda – faixa 01Não se aplicaNão se aplicaNão se aplica",Mercado_Receita!$N$2:$N$2285)</f>
        <v>0</v>
      </c>
      <c r="T22" s="14">
        <f>SUMIF(Mercado_Receita!$T$2:$T$2285,"44075B1Energia convencional pré-pagamentoResidencialResidencial baixa renda – faixa 01Não se aplicaNão se aplicaNão se aplica",Mercado_Receita!$N$2:$N$2285)</f>
        <v>0</v>
      </c>
      <c r="U22" s="14">
        <f t="shared" si="0"/>
        <v>0</v>
      </c>
      <c r="V22" s="14"/>
      <c r="W22" s="14"/>
    </row>
    <row r="23" spans="1:23" ht="11.25" customHeight="1" x14ac:dyDescent="0.25">
      <c r="A23" s="105"/>
      <c r="B23" s="105"/>
      <c r="C23" s="105"/>
      <c r="D23" s="13" t="s">
        <v>30</v>
      </c>
      <c r="E23" s="13" t="s">
        <v>25</v>
      </c>
      <c r="F23" s="13" t="s">
        <v>25</v>
      </c>
      <c r="G23" s="14" t="s">
        <v>94</v>
      </c>
      <c r="H23" s="14" t="s">
        <v>88</v>
      </c>
      <c r="I23" s="14">
        <f>SUMIF(Mercado_Receita!$T$2:$T$2285,"43739B1Energia convencional pré-pagamentoResidencialResidencial baixa renda – faixa 02Não se aplicaNão se aplicaNão se aplica",Mercado_Receita!$N$2:$N$2285)</f>
        <v>0</v>
      </c>
      <c r="J23" s="14">
        <f>SUMIF(Mercado_Receita!$T$2:$T$2285,"43770B1Energia convencional pré-pagamentoResidencialResidencial baixa renda – faixa 02Não se aplicaNão se aplicaNão se aplica",Mercado_Receita!$N$2:$N$2285)</f>
        <v>0</v>
      </c>
      <c r="K23" s="14">
        <f>SUMIF(Mercado_Receita!$T$2:$T$2285,"43800B1Energia convencional pré-pagamentoResidencialResidencial baixa renda – faixa 02Não se aplicaNão se aplicaNão se aplica",Mercado_Receita!$N$2:$N$2285)</f>
        <v>0</v>
      </c>
      <c r="L23" s="14">
        <f>SUMIF(Mercado_Receita!$T$2:$T$2285,"43831B1Energia convencional pré-pagamentoResidencialResidencial baixa renda – faixa 02Não se aplicaNão se aplicaNão se aplica",Mercado_Receita!$N$2:$N$2285)</f>
        <v>0</v>
      </c>
      <c r="M23" s="14">
        <f>SUMIF(Mercado_Receita!$T$2:$T$2285,"43862B1Energia convencional pré-pagamentoResidencialResidencial baixa renda – faixa 02Não se aplicaNão se aplicaNão se aplica",Mercado_Receita!$N$2:$N$2285)</f>
        <v>0</v>
      </c>
      <c r="N23" s="14">
        <f>SUMIF(Mercado_Receita!$T$2:$T$2285,"43891B1Energia convencional pré-pagamentoResidencialResidencial baixa renda – faixa 02Não se aplicaNão se aplicaNão se aplica",Mercado_Receita!$N$2:$N$2285)</f>
        <v>0</v>
      </c>
      <c r="O23" s="14">
        <f>SUMIF(Mercado_Receita!$T$2:$T$2285,"43922B1Energia convencional pré-pagamentoResidencialResidencial baixa renda – faixa 02Não se aplicaNão se aplicaNão se aplica",Mercado_Receita!$N$2:$N$2285)</f>
        <v>0</v>
      </c>
      <c r="P23" s="14">
        <f>SUMIF(Mercado_Receita!$T$2:$T$2285,"43952B1Energia convencional pré-pagamentoResidencialResidencial baixa renda – faixa 02Não se aplicaNão se aplicaNão se aplica",Mercado_Receita!$N$2:$N$2285)</f>
        <v>0</v>
      </c>
      <c r="Q23" s="14">
        <f>SUMIF(Mercado_Receita!$T$2:$T$2285,"43983B1Energia convencional pré-pagamentoResidencialResidencial baixa renda – faixa 02Não se aplicaNão se aplicaNão se aplica",Mercado_Receita!$N$2:$N$2285)</f>
        <v>0</v>
      </c>
      <c r="R23" s="14">
        <f>SUMIF(Mercado_Receita!$T$2:$T$2285,"44013B1Energia convencional pré-pagamentoResidencialResidencial baixa renda – faixa 02Não se aplicaNão se aplicaNão se aplica",Mercado_Receita!$N$2:$N$2285)</f>
        <v>0</v>
      </c>
      <c r="S23" s="14">
        <f>SUMIF(Mercado_Receita!$T$2:$T$2285,"44044B1Energia convencional pré-pagamentoResidencialResidencial baixa renda – faixa 02Não se aplicaNão se aplicaNão se aplica",Mercado_Receita!$N$2:$N$2285)</f>
        <v>0</v>
      </c>
      <c r="T23" s="14">
        <f>SUMIF(Mercado_Receita!$T$2:$T$2285,"44075B1Energia convencional pré-pagamentoResidencialResidencial baixa renda – faixa 02Não se aplicaNão se aplicaNão se aplica",Mercado_Receita!$N$2:$N$2285)</f>
        <v>0</v>
      </c>
      <c r="U23" s="14">
        <f t="shared" si="0"/>
        <v>0</v>
      </c>
      <c r="V23" s="14"/>
      <c r="W23" s="14"/>
    </row>
    <row r="24" spans="1:23" ht="11.25" customHeight="1" x14ac:dyDescent="0.25">
      <c r="A24" s="105"/>
      <c r="B24" s="105"/>
      <c r="C24" s="105"/>
      <c r="D24" s="13" t="s">
        <v>31</v>
      </c>
      <c r="E24" s="13" t="s">
        <v>25</v>
      </c>
      <c r="F24" s="13" t="s">
        <v>25</v>
      </c>
      <c r="G24" s="14" t="s">
        <v>94</v>
      </c>
      <c r="H24" s="14" t="s">
        <v>88</v>
      </c>
      <c r="I24" s="14">
        <f>SUMIF(Mercado_Receita!$T$2:$T$2285,"43739B1Energia convencional pré-pagamentoResidencialResidencial baixa renda – faixa 03Não se aplicaNão se aplicaNão se aplica",Mercado_Receita!$N$2:$N$2285)</f>
        <v>0</v>
      </c>
      <c r="J24" s="14">
        <f>SUMIF(Mercado_Receita!$T$2:$T$2285,"43770B1Energia convencional pré-pagamentoResidencialResidencial baixa renda – faixa 03Não se aplicaNão se aplicaNão se aplica",Mercado_Receita!$N$2:$N$2285)</f>
        <v>0</v>
      </c>
      <c r="K24" s="14">
        <f>SUMIF(Mercado_Receita!$T$2:$T$2285,"43800B1Energia convencional pré-pagamentoResidencialResidencial baixa renda – faixa 03Não se aplicaNão se aplicaNão se aplica",Mercado_Receita!$N$2:$N$2285)</f>
        <v>0</v>
      </c>
      <c r="L24" s="14">
        <f>SUMIF(Mercado_Receita!$T$2:$T$2285,"43831B1Energia convencional pré-pagamentoResidencialResidencial baixa renda – faixa 03Não se aplicaNão se aplicaNão se aplica",Mercado_Receita!$N$2:$N$2285)</f>
        <v>0</v>
      </c>
      <c r="M24" s="14">
        <f>SUMIF(Mercado_Receita!$T$2:$T$2285,"43862B1Energia convencional pré-pagamentoResidencialResidencial baixa renda – faixa 03Não se aplicaNão se aplicaNão se aplica",Mercado_Receita!$N$2:$N$2285)</f>
        <v>0</v>
      </c>
      <c r="N24" s="14">
        <f>SUMIF(Mercado_Receita!$T$2:$T$2285,"43891B1Energia convencional pré-pagamentoResidencialResidencial baixa renda – faixa 03Não se aplicaNão se aplicaNão se aplica",Mercado_Receita!$N$2:$N$2285)</f>
        <v>0</v>
      </c>
      <c r="O24" s="14">
        <f>SUMIF(Mercado_Receita!$T$2:$T$2285,"43922B1Energia convencional pré-pagamentoResidencialResidencial baixa renda – faixa 03Não se aplicaNão se aplicaNão se aplica",Mercado_Receita!$N$2:$N$2285)</f>
        <v>0</v>
      </c>
      <c r="P24" s="14">
        <f>SUMIF(Mercado_Receita!$T$2:$T$2285,"43952B1Energia convencional pré-pagamentoResidencialResidencial baixa renda – faixa 03Não se aplicaNão se aplicaNão se aplica",Mercado_Receita!$N$2:$N$2285)</f>
        <v>0</v>
      </c>
      <c r="Q24" s="14">
        <f>SUMIF(Mercado_Receita!$T$2:$T$2285,"43983B1Energia convencional pré-pagamentoResidencialResidencial baixa renda – faixa 03Não se aplicaNão se aplicaNão se aplica",Mercado_Receita!$N$2:$N$2285)</f>
        <v>0</v>
      </c>
      <c r="R24" s="14">
        <f>SUMIF(Mercado_Receita!$T$2:$T$2285,"44013B1Energia convencional pré-pagamentoResidencialResidencial baixa renda – faixa 03Não se aplicaNão se aplicaNão se aplica",Mercado_Receita!$N$2:$N$2285)</f>
        <v>0</v>
      </c>
      <c r="S24" s="14">
        <f>SUMIF(Mercado_Receita!$T$2:$T$2285,"44044B1Energia convencional pré-pagamentoResidencialResidencial baixa renda – faixa 03Não se aplicaNão se aplicaNão se aplica",Mercado_Receita!$N$2:$N$2285)</f>
        <v>0</v>
      </c>
      <c r="T24" s="14">
        <f>SUMIF(Mercado_Receita!$T$2:$T$2285,"44075B1Energia convencional pré-pagamentoResidencialResidencial baixa renda – faixa 03Não se aplicaNão se aplicaNão se aplica",Mercado_Receita!$N$2:$N$2285)</f>
        <v>0</v>
      </c>
      <c r="U24" s="14">
        <f t="shared" si="0"/>
        <v>0</v>
      </c>
      <c r="V24" s="14"/>
      <c r="W24" s="14"/>
    </row>
    <row r="25" spans="1:23" ht="11.25" customHeight="1" x14ac:dyDescent="0.25">
      <c r="A25" s="105"/>
      <c r="B25" s="105"/>
      <c r="C25" s="105"/>
      <c r="D25" s="13" t="s">
        <v>32</v>
      </c>
      <c r="E25" s="13" t="s">
        <v>25</v>
      </c>
      <c r="F25" s="13" t="s">
        <v>25</v>
      </c>
      <c r="G25" s="14" t="s">
        <v>94</v>
      </c>
      <c r="H25" s="14" t="s">
        <v>88</v>
      </c>
      <c r="I25" s="14">
        <f>SUMIF(Mercado_Receita!$T$2:$T$2285,"43739B1Energia convencional pré-pagamentoResidencialResidencial baixa renda – faixa 04Não se aplicaNão se aplicaNão se aplica",Mercado_Receita!$N$2:$N$2285)</f>
        <v>0</v>
      </c>
      <c r="J25" s="14">
        <f>SUMIF(Mercado_Receita!$T$2:$T$2285,"43770B1Energia convencional pré-pagamentoResidencialResidencial baixa renda – faixa 04Não se aplicaNão se aplicaNão se aplica",Mercado_Receita!$N$2:$N$2285)</f>
        <v>0</v>
      </c>
      <c r="K25" s="14">
        <f>SUMIF(Mercado_Receita!$T$2:$T$2285,"43800B1Energia convencional pré-pagamentoResidencialResidencial baixa renda – faixa 04Não se aplicaNão se aplicaNão se aplica",Mercado_Receita!$N$2:$N$2285)</f>
        <v>0</v>
      </c>
      <c r="L25" s="14">
        <f>SUMIF(Mercado_Receita!$T$2:$T$2285,"43831B1Energia convencional pré-pagamentoResidencialResidencial baixa renda – faixa 04Não se aplicaNão se aplicaNão se aplica",Mercado_Receita!$N$2:$N$2285)</f>
        <v>0</v>
      </c>
      <c r="M25" s="14">
        <f>SUMIF(Mercado_Receita!$T$2:$T$2285,"43862B1Energia convencional pré-pagamentoResidencialResidencial baixa renda – faixa 04Não se aplicaNão se aplicaNão se aplica",Mercado_Receita!$N$2:$N$2285)</f>
        <v>0</v>
      </c>
      <c r="N25" s="14">
        <f>SUMIF(Mercado_Receita!$T$2:$T$2285,"43891B1Energia convencional pré-pagamentoResidencialResidencial baixa renda – faixa 04Não se aplicaNão se aplicaNão se aplica",Mercado_Receita!$N$2:$N$2285)</f>
        <v>0</v>
      </c>
      <c r="O25" s="14">
        <f>SUMIF(Mercado_Receita!$T$2:$T$2285,"43922B1Energia convencional pré-pagamentoResidencialResidencial baixa renda – faixa 04Não se aplicaNão se aplicaNão se aplica",Mercado_Receita!$N$2:$N$2285)</f>
        <v>0</v>
      </c>
      <c r="P25" s="14">
        <f>SUMIF(Mercado_Receita!$T$2:$T$2285,"43952B1Energia convencional pré-pagamentoResidencialResidencial baixa renda – faixa 04Não se aplicaNão se aplicaNão se aplica",Mercado_Receita!$N$2:$N$2285)</f>
        <v>0</v>
      </c>
      <c r="Q25" s="14">
        <f>SUMIF(Mercado_Receita!$T$2:$T$2285,"43983B1Energia convencional pré-pagamentoResidencialResidencial baixa renda – faixa 04Não se aplicaNão se aplicaNão se aplica",Mercado_Receita!$N$2:$N$2285)</f>
        <v>0</v>
      </c>
      <c r="R25" s="14">
        <f>SUMIF(Mercado_Receita!$T$2:$T$2285,"44013B1Energia convencional pré-pagamentoResidencialResidencial baixa renda – faixa 04Não se aplicaNão se aplicaNão se aplica",Mercado_Receita!$N$2:$N$2285)</f>
        <v>0</v>
      </c>
      <c r="S25" s="14">
        <f>SUMIF(Mercado_Receita!$T$2:$T$2285,"44044B1Energia convencional pré-pagamentoResidencialResidencial baixa renda – faixa 04Não se aplicaNão se aplicaNão se aplica",Mercado_Receita!$N$2:$N$2285)</f>
        <v>0</v>
      </c>
      <c r="T25" s="14">
        <f>SUMIF(Mercado_Receita!$T$2:$T$2285,"44075B1Energia convencional pré-pagamentoResidencialResidencial baixa renda – faixa 04Não se aplicaNão se aplicaNão se aplica",Mercado_Receita!$N$2:$N$2285)</f>
        <v>0</v>
      </c>
      <c r="U25" s="14">
        <f t="shared" si="0"/>
        <v>0</v>
      </c>
      <c r="V25" s="14"/>
      <c r="W25" s="14"/>
    </row>
    <row r="26" spans="1:23" ht="11.25" customHeight="1" x14ac:dyDescent="0.25">
      <c r="A26" s="104" t="s">
        <v>46</v>
      </c>
      <c r="B26" s="104" t="s">
        <v>87</v>
      </c>
      <c r="C26" s="104" t="s">
        <v>47</v>
      </c>
      <c r="D26" s="104" t="s">
        <v>25</v>
      </c>
      <c r="E26" s="104" t="s">
        <v>25</v>
      </c>
      <c r="F26" s="104" t="s">
        <v>25</v>
      </c>
      <c r="G26" s="14" t="s">
        <v>89</v>
      </c>
      <c r="H26" s="14" t="s">
        <v>88</v>
      </c>
      <c r="I26" s="14">
        <f>SUMIF(Mercado_Receita!$T$2:$T$2285,"43739B2Energia horáriaRuralNão se aplicaNão se aplicaNão se aplicaPonta",Mercado_Receita!$N$2:$N$2285)</f>
        <v>8.1000000000000003E-2</v>
      </c>
      <c r="J26" s="14">
        <f>SUMIF(Mercado_Receita!$T$2:$T$2285,"43770B2Energia horáriaRuralNão se aplicaNão se aplicaNão se aplicaPonta",Mercado_Receita!$N$2:$N$2285)</f>
        <v>7.6999999999999999E-2</v>
      </c>
      <c r="K26" s="14">
        <f>SUMIF(Mercado_Receita!$T$2:$T$2285,"43800B2Energia horáriaRuralNão se aplicaNão se aplicaNão se aplicaPonta",Mercado_Receita!$N$2:$N$2285)</f>
        <v>7.0000000000000007E-2</v>
      </c>
      <c r="L26" s="14">
        <f>SUMIF(Mercado_Receita!$T$2:$T$2285,"43831B2Energia horáriaRuralNão se aplicaNão se aplicaNão se aplicaPonta",Mercado_Receita!$N$2:$N$2285)</f>
        <v>8.5000000000000006E-2</v>
      </c>
      <c r="M26" s="14">
        <f>SUMIF(Mercado_Receita!$T$2:$T$2285,"43862B2Energia horáriaRuralNão se aplicaNão se aplicaNão se aplicaPonta",Mercado_Receita!$N$2:$N$2285)</f>
        <v>7.5999999999999998E-2</v>
      </c>
      <c r="N26" s="14">
        <f>SUMIF(Mercado_Receita!$T$2:$T$2285,"43891B2Energia horáriaRuralNão se aplicaNão se aplicaNão se aplicaPonta",Mercado_Receita!$N$2:$N$2285)</f>
        <v>8.4000000000000005E-2</v>
      </c>
      <c r="O26" s="14">
        <f>SUMIF(Mercado_Receita!$T$2:$T$2285,"43922B2Energia horáriaRuralNão se aplicaNão se aplicaNão se aplicaPonta",Mercado_Receita!$N$2:$N$2285)</f>
        <v>0.108</v>
      </c>
      <c r="P26" s="14">
        <f>SUMIF(Mercado_Receita!$T$2:$T$2285,"43952B2Energia horáriaRuralNão se aplicaNão se aplicaNão se aplicaPonta",Mercado_Receita!$N$2:$N$2285)</f>
        <v>8.8999999999999996E-2</v>
      </c>
      <c r="Q26" s="14">
        <f>SUMIF(Mercado_Receita!$T$2:$T$2285,"43983B2Energia horáriaRuralNão se aplicaNão se aplicaNão se aplicaPonta",Mercado_Receita!$N$2:$N$2285)</f>
        <v>9.2999999999999999E-2</v>
      </c>
      <c r="R26" s="14">
        <f>SUMIF(Mercado_Receita!$T$2:$T$2285,"44013B2Energia horáriaRuralNão se aplicaNão se aplicaNão se aplicaPonta",Mercado_Receita!$N$2:$N$2285)</f>
        <v>0.09</v>
      </c>
      <c r="S26" s="14">
        <f>SUMIF(Mercado_Receita!$T$2:$T$2285,"44044B2Energia horáriaRuralNão se aplicaNão se aplicaNão se aplicaPonta",Mercado_Receita!$N$2:$N$2285)</f>
        <v>0.10100000000000001</v>
      </c>
      <c r="T26" s="14">
        <f>SUMIF(Mercado_Receita!$T$2:$T$2285,"44075B2Energia horáriaRuralNão se aplicaNão se aplicaNão se aplicaPonta",Mercado_Receita!$N$2:$N$2285)</f>
        <v>0.10100000000000001</v>
      </c>
      <c r="U26" s="14">
        <f t="shared" si="0"/>
        <v>1.0549999999999999</v>
      </c>
      <c r="V26" s="14"/>
      <c r="W26" s="14"/>
    </row>
    <row r="27" spans="1:23" ht="11.25" customHeight="1" x14ac:dyDescent="0.25">
      <c r="A27" s="105"/>
      <c r="B27" s="105"/>
      <c r="C27" s="105"/>
      <c r="D27" s="105"/>
      <c r="E27" s="105"/>
      <c r="F27" s="105"/>
      <c r="G27" s="14" t="s">
        <v>100</v>
      </c>
      <c r="H27" s="14" t="s">
        <v>88</v>
      </c>
      <c r="I27" s="14">
        <f>SUMIF(Mercado_Receita!$T$2:$T$2285,"43739B2Energia horáriaRuralNão se aplicaNão se aplicaNão se aplicaIntermediário",Mercado_Receita!$N$2:$N$2285)</f>
        <v>4.5999999999999999E-2</v>
      </c>
      <c r="J27" s="14">
        <f>SUMIF(Mercado_Receita!$T$2:$T$2285,"43770B2Energia horáriaRuralNão se aplicaNão se aplicaNão se aplicaIntermediário",Mercado_Receita!$N$2:$N$2285)</f>
        <v>4.2999999999999997E-2</v>
      </c>
      <c r="K27" s="14">
        <f>SUMIF(Mercado_Receita!$T$2:$T$2285,"43800B2Energia horáriaRuralNão se aplicaNão se aplicaNão se aplicaIntermediário",Mercado_Receita!$N$2:$N$2285)</f>
        <v>3.4000000000000002E-2</v>
      </c>
      <c r="L27" s="14">
        <f>SUMIF(Mercado_Receita!$T$2:$T$2285,"43831B2Energia horáriaRuralNão se aplicaNão se aplicaNão se aplicaIntermediário",Mercado_Receita!$N$2:$N$2285)</f>
        <v>4.4999999999999998E-2</v>
      </c>
      <c r="M27" s="14">
        <f>SUMIF(Mercado_Receita!$T$2:$T$2285,"43862B2Energia horáriaRuralNão se aplicaNão se aplicaNão se aplicaIntermediário",Mercado_Receita!$N$2:$N$2285)</f>
        <v>3.9E-2</v>
      </c>
      <c r="N27" s="14">
        <f>SUMIF(Mercado_Receita!$T$2:$T$2285,"43891B2Energia horáriaRuralNão se aplicaNão se aplicaNão se aplicaIntermediário",Mercado_Receita!$N$2:$N$2285)</f>
        <v>5.1999999999999998E-2</v>
      </c>
      <c r="O27" s="14">
        <f>SUMIF(Mercado_Receita!$T$2:$T$2285,"43922B2Energia horáriaRuralNão se aplicaNão se aplicaNão se aplicaIntermediário",Mercado_Receita!$N$2:$N$2285)</f>
        <v>5.1999999999999998E-2</v>
      </c>
      <c r="P27" s="14">
        <f>SUMIF(Mercado_Receita!$T$2:$T$2285,"43952B2Energia horáriaRuralNão se aplicaNão se aplicaNão se aplicaIntermediário",Mercado_Receita!$N$2:$N$2285)</f>
        <v>5.2999999999999999E-2</v>
      </c>
      <c r="Q27" s="14">
        <f>SUMIF(Mercado_Receita!$T$2:$T$2285,"43983B2Energia horáriaRuralNão se aplicaNão se aplicaNão se aplicaIntermediário",Mercado_Receita!$N$2:$N$2285)</f>
        <v>4.9000000000000002E-2</v>
      </c>
      <c r="R27" s="14">
        <f>SUMIF(Mercado_Receita!$T$2:$T$2285,"44013B2Energia horáriaRuralNão se aplicaNão se aplicaNão se aplicaIntermediário",Mercado_Receita!$N$2:$N$2285)</f>
        <v>0.05</v>
      </c>
      <c r="S27" s="14">
        <f>SUMIF(Mercado_Receita!$T$2:$T$2285,"44044B2Energia horáriaRuralNão se aplicaNão se aplicaNão se aplicaIntermediário",Mercado_Receita!$N$2:$N$2285)</f>
        <v>5.7000000000000002E-2</v>
      </c>
      <c r="T27" s="14">
        <f>SUMIF(Mercado_Receita!$T$2:$T$2285,"44075B2Energia horáriaRuralNão se aplicaNão se aplicaNão se aplicaIntermediário",Mercado_Receita!$N$2:$N$2285)</f>
        <v>5.7000000000000002E-2</v>
      </c>
      <c r="U27" s="14">
        <f t="shared" si="0"/>
        <v>0.57700000000000007</v>
      </c>
      <c r="V27" s="14"/>
      <c r="W27" s="14"/>
    </row>
    <row r="28" spans="1:23" ht="11.25" customHeight="1" x14ac:dyDescent="0.25">
      <c r="A28" s="105"/>
      <c r="B28" s="105"/>
      <c r="C28" s="105"/>
      <c r="D28" s="105"/>
      <c r="E28" s="105"/>
      <c r="F28" s="105"/>
      <c r="G28" s="14" t="s">
        <v>90</v>
      </c>
      <c r="H28" s="14" t="s">
        <v>88</v>
      </c>
      <c r="I28" s="14">
        <f>SUMIF(Mercado_Receita!$T$2:$T$2285,"43739B2Energia horáriaRuralNão se aplicaNão se aplicaNão se aplicaFora ponta",Mercado_Receita!$N$2:$N$2285)</f>
        <v>0.443</v>
      </c>
      <c r="J28" s="14">
        <f>SUMIF(Mercado_Receita!$T$2:$T$2285,"43770B2Energia horáriaRuralNão se aplicaNão se aplicaNão se aplicaFora ponta",Mercado_Receita!$N$2:$N$2285)</f>
        <v>0.44400000000000001</v>
      </c>
      <c r="K28" s="14">
        <f>SUMIF(Mercado_Receita!$T$2:$T$2285,"43800B2Energia horáriaRuralNão se aplicaNão se aplicaNão se aplicaFora ponta",Mercado_Receita!$N$2:$N$2285)</f>
        <v>0.36799999999999999</v>
      </c>
      <c r="L28" s="14">
        <f>SUMIF(Mercado_Receita!$T$2:$T$2285,"43831B2Energia horáriaRuralNão se aplicaNão se aplicaNão se aplicaFora ponta",Mercado_Receita!$N$2:$N$2285)</f>
        <v>0.437</v>
      </c>
      <c r="M28" s="14">
        <f>SUMIF(Mercado_Receita!$T$2:$T$2285,"43862B2Energia horáriaRuralNão se aplicaNão se aplicaNão se aplicaFora ponta",Mercado_Receita!$N$2:$N$2285)</f>
        <v>0.35899999999999999</v>
      </c>
      <c r="N28" s="14">
        <f>SUMIF(Mercado_Receita!$T$2:$T$2285,"43891B2Energia horáriaRuralNão se aplicaNão se aplicaNão se aplicaFora ponta",Mercado_Receita!$N$2:$N$2285)</f>
        <v>0.435</v>
      </c>
      <c r="O28" s="14">
        <f>SUMIF(Mercado_Receita!$T$2:$T$2285,"43922B2Energia horáriaRuralNão se aplicaNão se aplicaNão se aplicaFora ponta",Mercado_Receita!$N$2:$N$2285)</f>
        <v>0.434</v>
      </c>
      <c r="P28" s="14">
        <f>SUMIF(Mercado_Receita!$T$2:$T$2285,"43952B2Energia horáriaRuralNão se aplicaNão se aplicaNão se aplicaFora ponta",Mercado_Receita!$N$2:$N$2285)</f>
        <v>0.40699999999999997</v>
      </c>
      <c r="Q28" s="14">
        <f>SUMIF(Mercado_Receita!$T$2:$T$2285,"43983B2Energia horáriaRuralNão se aplicaNão se aplicaNão se aplicaFora ponta",Mercado_Receita!$N$2:$N$2285)</f>
        <v>0.38700000000000001</v>
      </c>
      <c r="R28" s="14">
        <f>SUMIF(Mercado_Receita!$T$2:$T$2285,"44013B2Energia horáriaRuralNão se aplicaNão se aplicaNão se aplicaFora ponta",Mercado_Receita!$N$2:$N$2285)</f>
        <v>0.38400000000000001</v>
      </c>
      <c r="S28" s="14">
        <f>SUMIF(Mercado_Receita!$T$2:$T$2285,"44044B2Energia horáriaRuralNão se aplicaNão se aplicaNão se aplicaFora ponta",Mercado_Receita!$N$2:$N$2285)</f>
        <v>0.45700000000000002</v>
      </c>
      <c r="T28" s="14">
        <f>SUMIF(Mercado_Receita!$T$2:$T$2285,"44075B2Energia horáriaRuralNão se aplicaNão se aplicaNão se aplicaFora ponta",Mercado_Receita!$N$2:$N$2285)</f>
        <v>0.45700000000000002</v>
      </c>
      <c r="U28" s="14">
        <f t="shared" si="0"/>
        <v>5.0120000000000005</v>
      </c>
      <c r="V28" s="14"/>
      <c r="W28" s="14"/>
    </row>
    <row r="29" spans="1:23" ht="11.25" customHeight="1" x14ac:dyDescent="0.25">
      <c r="A29" s="105"/>
      <c r="B29" s="13" t="s">
        <v>96</v>
      </c>
      <c r="C29" s="13" t="s">
        <v>47</v>
      </c>
      <c r="D29" s="13" t="s">
        <v>25</v>
      </c>
      <c r="E29" s="13" t="s">
        <v>25</v>
      </c>
      <c r="F29" s="13" t="s">
        <v>25</v>
      </c>
      <c r="G29" s="14" t="s">
        <v>94</v>
      </c>
      <c r="H29" s="14" t="s">
        <v>88</v>
      </c>
      <c r="I29" s="14">
        <f>SUMIF(Mercado_Receita!$T$2:$T$2285,"43739B2Energia convencionalRuralNão se aplicaNão se aplicaNão se aplicaNão se aplica",Mercado_Receita!$N$2:$N$2285)</f>
        <v>7849.1440000000002</v>
      </c>
      <c r="J29" s="14">
        <f>SUMIF(Mercado_Receita!$T$2:$T$2285,"43770B2Energia convencionalRuralNão se aplicaNão se aplicaNão se aplicaNão se aplica",Mercado_Receita!$N$2:$N$2285)</f>
        <v>7724.6170000000002</v>
      </c>
      <c r="K29" s="14">
        <f>SUMIF(Mercado_Receita!$T$2:$T$2285,"43800B2Energia convencionalRuralNão se aplicaNão se aplicaNão se aplicaNão se aplica",Mercado_Receita!$N$2:$N$2285)</f>
        <v>6311.4070000000002</v>
      </c>
      <c r="L29" s="14">
        <f>SUMIF(Mercado_Receita!$T$2:$T$2285,"43831B2Energia convencionalRuralNão se aplicaNão se aplicaNão se aplicaNão se aplica",Mercado_Receita!$N$2:$N$2285)</f>
        <v>6806.7039999999997</v>
      </c>
      <c r="M29" s="14">
        <f>SUMIF(Mercado_Receita!$T$2:$T$2285,"43862B2Energia convencionalRuralNão se aplicaNão se aplicaNão se aplicaNão se aplica",Mercado_Receita!$N$2:$N$2285)</f>
        <v>3230.8739999999998</v>
      </c>
      <c r="N29" s="14">
        <f>SUMIF(Mercado_Receita!$T$2:$T$2285,"43891B2Energia convencionalRuralNão se aplicaNão se aplicaNão se aplicaNão se aplica",Mercado_Receita!$N$2:$N$2285)</f>
        <v>6035.3850000000002</v>
      </c>
      <c r="O29" s="14">
        <f>SUMIF(Mercado_Receita!$T$2:$T$2285,"43922B2Energia convencionalRuralNão se aplicaNão se aplicaNão se aplicaNão se aplica",Mercado_Receita!$N$2:$N$2285)</f>
        <v>6878.6359999999995</v>
      </c>
      <c r="P29" s="14">
        <f>SUMIF(Mercado_Receita!$T$2:$T$2285,"43952B2Energia convencionalRuralNão se aplicaNão se aplicaNão se aplicaNão se aplica",Mercado_Receita!$N$2:$N$2285)</f>
        <v>7025.7520000000004</v>
      </c>
      <c r="Q29" s="14">
        <f>SUMIF(Mercado_Receita!$T$2:$T$2285,"43983B2Energia convencionalRuralNão se aplicaNão se aplicaNão se aplicaNão se aplica",Mercado_Receita!$N$2:$N$2285)</f>
        <v>6636.6949999999997</v>
      </c>
      <c r="R29" s="14">
        <f>SUMIF(Mercado_Receita!$T$2:$T$2285,"44013B2Energia convencionalRuralNão se aplicaNão se aplicaNão se aplicaNão se aplica",Mercado_Receita!$N$2:$N$2285)</f>
        <v>7040.1289999999999</v>
      </c>
      <c r="S29" s="14">
        <f>SUMIF(Mercado_Receita!$T$2:$T$2285,"44044B2Energia convencionalRuralNão se aplicaNão se aplicaNão se aplicaNão se aplica",Mercado_Receita!$N$2:$N$2285)</f>
        <v>8049.3310000000001</v>
      </c>
      <c r="T29" s="14">
        <f>SUMIF(Mercado_Receita!$T$2:$T$2285,"44075B2Energia convencionalRuralNão se aplicaNão se aplicaNão se aplicaNão se aplica",Mercado_Receita!$N$2:$N$2285)</f>
        <v>8049.3310000000001</v>
      </c>
      <c r="U29" s="14">
        <f t="shared" si="0"/>
        <v>81638.005000000005</v>
      </c>
      <c r="V29" s="14"/>
      <c r="W29" s="14"/>
    </row>
    <row r="30" spans="1:23" ht="11.25" customHeight="1" x14ac:dyDescent="0.25">
      <c r="A30" s="105"/>
      <c r="B30" s="104" t="s">
        <v>87</v>
      </c>
      <c r="C30" s="104" t="s">
        <v>47</v>
      </c>
      <c r="D30" s="104" t="s">
        <v>103</v>
      </c>
      <c r="E30" s="104" t="s">
        <v>25</v>
      </c>
      <c r="F30" s="104" t="s">
        <v>25</v>
      </c>
      <c r="G30" s="14" t="s">
        <v>89</v>
      </c>
      <c r="H30" s="14" t="s">
        <v>88</v>
      </c>
      <c r="I30" s="14">
        <f>SUMIF(Mercado_Receita!$T$2:$T$2285,"43739B2Energia horáriaRuralCooperativa de eletrificação ruralNão se aplicaNão se aplicaPonta",Mercado_Receita!$N$2:$N$2285)</f>
        <v>0</v>
      </c>
      <c r="J30" s="14">
        <f>SUMIF(Mercado_Receita!$T$2:$T$2285,"43770B2Energia horáriaRuralCooperativa de eletrificação ruralNão se aplicaNão se aplicaPonta",Mercado_Receita!$N$2:$N$2285)</f>
        <v>0</v>
      </c>
      <c r="K30" s="14">
        <f>SUMIF(Mercado_Receita!$T$2:$T$2285,"43800B2Energia horáriaRuralCooperativa de eletrificação ruralNão se aplicaNão se aplicaPonta",Mercado_Receita!$N$2:$N$2285)</f>
        <v>0</v>
      </c>
      <c r="L30" s="14">
        <f>SUMIF(Mercado_Receita!$T$2:$T$2285,"43831B2Energia horáriaRuralCooperativa de eletrificação ruralNão se aplicaNão se aplicaPonta",Mercado_Receita!$N$2:$N$2285)</f>
        <v>0</v>
      </c>
      <c r="M30" s="14">
        <f>SUMIF(Mercado_Receita!$T$2:$T$2285,"43862B2Energia horáriaRuralCooperativa de eletrificação ruralNão se aplicaNão se aplicaPonta",Mercado_Receita!$N$2:$N$2285)</f>
        <v>0</v>
      </c>
      <c r="N30" s="14">
        <f>SUMIF(Mercado_Receita!$T$2:$T$2285,"43891B2Energia horáriaRuralCooperativa de eletrificação ruralNão se aplicaNão se aplicaPonta",Mercado_Receita!$N$2:$N$2285)</f>
        <v>0</v>
      </c>
      <c r="O30" s="14">
        <f>SUMIF(Mercado_Receita!$T$2:$T$2285,"43922B2Energia horáriaRuralCooperativa de eletrificação ruralNão se aplicaNão se aplicaPonta",Mercado_Receita!$N$2:$N$2285)</f>
        <v>0</v>
      </c>
      <c r="P30" s="14">
        <f>SUMIF(Mercado_Receita!$T$2:$T$2285,"43952B2Energia horáriaRuralCooperativa de eletrificação ruralNão se aplicaNão se aplicaPonta",Mercado_Receita!$N$2:$N$2285)</f>
        <v>0</v>
      </c>
      <c r="Q30" s="14">
        <f>SUMIF(Mercado_Receita!$T$2:$T$2285,"43983B2Energia horáriaRuralCooperativa de eletrificação ruralNão se aplicaNão se aplicaPonta",Mercado_Receita!$N$2:$N$2285)</f>
        <v>0</v>
      </c>
      <c r="R30" s="14">
        <f>SUMIF(Mercado_Receita!$T$2:$T$2285,"44013B2Energia horáriaRuralCooperativa de eletrificação ruralNão se aplicaNão se aplicaPonta",Mercado_Receita!$N$2:$N$2285)</f>
        <v>0</v>
      </c>
      <c r="S30" s="14">
        <f>SUMIF(Mercado_Receita!$T$2:$T$2285,"44044B2Energia horáriaRuralCooperativa de eletrificação ruralNão se aplicaNão se aplicaPonta",Mercado_Receita!$N$2:$N$2285)</f>
        <v>0</v>
      </c>
      <c r="T30" s="14">
        <f>SUMIF(Mercado_Receita!$T$2:$T$2285,"44075B2Energia horáriaRuralCooperativa de eletrificação ruralNão se aplicaNão se aplicaPonta",Mercado_Receita!$N$2:$N$2285)</f>
        <v>0</v>
      </c>
      <c r="U30" s="14">
        <f t="shared" si="0"/>
        <v>0</v>
      </c>
      <c r="V30" s="14"/>
      <c r="W30" s="14"/>
    </row>
    <row r="31" spans="1:23" ht="11.25" customHeight="1" x14ac:dyDescent="0.25">
      <c r="A31" s="105"/>
      <c r="B31" s="105"/>
      <c r="C31" s="105"/>
      <c r="D31" s="105"/>
      <c r="E31" s="105"/>
      <c r="F31" s="105"/>
      <c r="G31" s="14" t="s">
        <v>100</v>
      </c>
      <c r="H31" s="14" t="s">
        <v>88</v>
      </c>
      <c r="I31" s="14">
        <f>SUMIF(Mercado_Receita!$T$2:$T$2285,"43739B2Energia horáriaRuralCooperativa de eletrificação ruralNão se aplicaNão se aplicaIntermediário",Mercado_Receita!$N$2:$N$2285)</f>
        <v>0</v>
      </c>
      <c r="J31" s="14">
        <f>SUMIF(Mercado_Receita!$T$2:$T$2285,"43770B2Energia horáriaRuralCooperativa de eletrificação ruralNão se aplicaNão se aplicaIntermediário",Mercado_Receita!$N$2:$N$2285)</f>
        <v>0</v>
      </c>
      <c r="K31" s="14">
        <f>SUMIF(Mercado_Receita!$T$2:$T$2285,"43800B2Energia horáriaRuralCooperativa de eletrificação ruralNão se aplicaNão se aplicaIntermediário",Mercado_Receita!$N$2:$N$2285)</f>
        <v>0</v>
      </c>
      <c r="L31" s="14">
        <f>SUMIF(Mercado_Receita!$T$2:$T$2285,"43831B2Energia horáriaRuralCooperativa de eletrificação ruralNão se aplicaNão se aplicaIntermediário",Mercado_Receita!$N$2:$N$2285)</f>
        <v>0</v>
      </c>
      <c r="M31" s="14">
        <f>SUMIF(Mercado_Receita!$T$2:$T$2285,"43862B2Energia horáriaRuralCooperativa de eletrificação ruralNão se aplicaNão se aplicaIntermediário",Mercado_Receita!$N$2:$N$2285)</f>
        <v>0</v>
      </c>
      <c r="N31" s="14">
        <f>SUMIF(Mercado_Receita!$T$2:$T$2285,"43891B2Energia horáriaRuralCooperativa de eletrificação ruralNão se aplicaNão se aplicaIntermediário",Mercado_Receita!$N$2:$N$2285)</f>
        <v>0</v>
      </c>
      <c r="O31" s="14">
        <f>SUMIF(Mercado_Receita!$T$2:$T$2285,"43922B2Energia horáriaRuralCooperativa de eletrificação ruralNão se aplicaNão se aplicaIntermediário",Mercado_Receita!$N$2:$N$2285)</f>
        <v>0</v>
      </c>
      <c r="P31" s="14">
        <f>SUMIF(Mercado_Receita!$T$2:$T$2285,"43952B2Energia horáriaRuralCooperativa de eletrificação ruralNão se aplicaNão se aplicaIntermediário",Mercado_Receita!$N$2:$N$2285)</f>
        <v>0</v>
      </c>
      <c r="Q31" s="14">
        <f>SUMIF(Mercado_Receita!$T$2:$T$2285,"43983B2Energia horáriaRuralCooperativa de eletrificação ruralNão se aplicaNão se aplicaIntermediário",Mercado_Receita!$N$2:$N$2285)</f>
        <v>0</v>
      </c>
      <c r="R31" s="14">
        <f>SUMIF(Mercado_Receita!$T$2:$T$2285,"44013B2Energia horáriaRuralCooperativa de eletrificação ruralNão se aplicaNão se aplicaIntermediário",Mercado_Receita!$N$2:$N$2285)</f>
        <v>0</v>
      </c>
      <c r="S31" s="14">
        <f>SUMIF(Mercado_Receita!$T$2:$T$2285,"44044B2Energia horáriaRuralCooperativa de eletrificação ruralNão se aplicaNão se aplicaIntermediário",Mercado_Receita!$N$2:$N$2285)</f>
        <v>0</v>
      </c>
      <c r="T31" s="14">
        <f>SUMIF(Mercado_Receita!$T$2:$T$2285,"44075B2Energia horáriaRuralCooperativa de eletrificação ruralNão se aplicaNão se aplicaIntermediário",Mercado_Receita!$N$2:$N$2285)</f>
        <v>0</v>
      </c>
      <c r="U31" s="14">
        <f t="shared" si="0"/>
        <v>0</v>
      </c>
      <c r="V31" s="14"/>
      <c r="W31" s="14"/>
    </row>
    <row r="32" spans="1:23" ht="11.25" customHeight="1" x14ac:dyDescent="0.25">
      <c r="A32" s="105"/>
      <c r="B32" s="105"/>
      <c r="C32" s="105"/>
      <c r="D32" s="105"/>
      <c r="E32" s="105"/>
      <c r="F32" s="105"/>
      <c r="G32" s="14" t="s">
        <v>90</v>
      </c>
      <c r="H32" s="14" t="s">
        <v>88</v>
      </c>
      <c r="I32" s="14">
        <f>SUMIF(Mercado_Receita!$T$2:$T$2285,"43739B2Energia horáriaRuralCooperativa de eletrificação ruralNão se aplicaNão se aplicaFora ponta",Mercado_Receita!$N$2:$N$2285)</f>
        <v>0</v>
      </c>
      <c r="J32" s="14">
        <f>SUMIF(Mercado_Receita!$T$2:$T$2285,"43770B2Energia horáriaRuralCooperativa de eletrificação ruralNão se aplicaNão se aplicaFora ponta",Mercado_Receita!$N$2:$N$2285)</f>
        <v>0</v>
      </c>
      <c r="K32" s="14">
        <f>SUMIF(Mercado_Receita!$T$2:$T$2285,"43800B2Energia horáriaRuralCooperativa de eletrificação ruralNão se aplicaNão se aplicaFora ponta",Mercado_Receita!$N$2:$N$2285)</f>
        <v>0</v>
      </c>
      <c r="L32" s="14">
        <f>SUMIF(Mercado_Receita!$T$2:$T$2285,"43831B2Energia horáriaRuralCooperativa de eletrificação ruralNão se aplicaNão se aplicaFora ponta",Mercado_Receita!$N$2:$N$2285)</f>
        <v>0</v>
      </c>
      <c r="M32" s="14">
        <f>SUMIF(Mercado_Receita!$T$2:$T$2285,"43862B2Energia horáriaRuralCooperativa de eletrificação ruralNão se aplicaNão se aplicaFora ponta",Mercado_Receita!$N$2:$N$2285)</f>
        <v>0</v>
      </c>
      <c r="N32" s="14">
        <f>SUMIF(Mercado_Receita!$T$2:$T$2285,"43891B2Energia horáriaRuralCooperativa de eletrificação ruralNão se aplicaNão se aplicaFora ponta",Mercado_Receita!$N$2:$N$2285)</f>
        <v>0</v>
      </c>
      <c r="O32" s="14">
        <f>SUMIF(Mercado_Receita!$T$2:$T$2285,"43922B2Energia horáriaRuralCooperativa de eletrificação ruralNão se aplicaNão se aplicaFora ponta",Mercado_Receita!$N$2:$N$2285)</f>
        <v>0</v>
      </c>
      <c r="P32" s="14">
        <f>SUMIF(Mercado_Receita!$T$2:$T$2285,"43952B2Energia horáriaRuralCooperativa de eletrificação ruralNão se aplicaNão se aplicaFora ponta",Mercado_Receita!$N$2:$N$2285)</f>
        <v>0</v>
      </c>
      <c r="Q32" s="14">
        <f>SUMIF(Mercado_Receita!$T$2:$T$2285,"43983B2Energia horáriaRuralCooperativa de eletrificação ruralNão se aplicaNão se aplicaFora ponta",Mercado_Receita!$N$2:$N$2285)</f>
        <v>0</v>
      </c>
      <c r="R32" s="14">
        <f>SUMIF(Mercado_Receita!$T$2:$T$2285,"44013B2Energia horáriaRuralCooperativa de eletrificação ruralNão se aplicaNão se aplicaFora ponta",Mercado_Receita!$N$2:$N$2285)</f>
        <v>0</v>
      </c>
      <c r="S32" s="14">
        <f>SUMIF(Mercado_Receita!$T$2:$T$2285,"44044B2Energia horáriaRuralCooperativa de eletrificação ruralNão se aplicaNão se aplicaFora ponta",Mercado_Receita!$N$2:$N$2285)</f>
        <v>0</v>
      </c>
      <c r="T32" s="14">
        <f>SUMIF(Mercado_Receita!$T$2:$T$2285,"44075B2Energia horáriaRuralCooperativa de eletrificação ruralNão se aplicaNão se aplicaFora ponta",Mercado_Receita!$N$2:$N$2285)</f>
        <v>0</v>
      </c>
      <c r="U32" s="14">
        <f t="shared" si="0"/>
        <v>0</v>
      </c>
      <c r="V32" s="14"/>
      <c r="W32" s="14"/>
    </row>
    <row r="33" spans="1:23" ht="11.25" customHeight="1" x14ac:dyDescent="0.25">
      <c r="A33" s="105"/>
      <c r="B33" s="13" t="s">
        <v>96</v>
      </c>
      <c r="C33" s="13" t="s">
        <v>47</v>
      </c>
      <c r="D33" s="13" t="s">
        <v>103</v>
      </c>
      <c r="E33" s="13" t="s">
        <v>25</v>
      </c>
      <c r="F33" s="13" t="s">
        <v>25</v>
      </c>
      <c r="G33" s="14" t="s">
        <v>94</v>
      </c>
      <c r="H33" s="14" t="s">
        <v>88</v>
      </c>
      <c r="I33" s="14">
        <f>SUMIF(Mercado_Receita!$T$2:$T$2285,"43739B2Energia convencionalRuralCooperativa de eletrificação ruralNão se aplicaNão se aplicaNão se aplica",Mercado_Receita!$N$2:$N$2285)</f>
        <v>0</v>
      </c>
      <c r="J33" s="14">
        <f>SUMIF(Mercado_Receita!$T$2:$T$2285,"43770B2Energia convencionalRuralCooperativa de eletrificação ruralNão se aplicaNão se aplicaNão se aplica",Mercado_Receita!$N$2:$N$2285)</f>
        <v>0</v>
      </c>
      <c r="K33" s="14">
        <f>SUMIF(Mercado_Receita!$T$2:$T$2285,"43800B2Energia convencionalRuralCooperativa de eletrificação ruralNão se aplicaNão se aplicaNão se aplica",Mercado_Receita!$N$2:$N$2285)</f>
        <v>0</v>
      </c>
      <c r="L33" s="14">
        <f>SUMIF(Mercado_Receita!$T$2:$T$2285,"43831B2Energia convencionalRuralCooperativa de eletrificação ruralNão se aplicaNão se aplicaNão se aplica",Mercado_Receita!$N$2:$N$2285)</f>
        <v>0</v>
      </c>
      <c r="M33" s="14">
        <f>SUMIF(Mercado_Receita!$T$2:$T$2285,"43862B2Energia convencionalRuralCooperativa de eletrificação ruralNão se aplicaNão se aplicaNão se aplica",Mercado_Receita!$N$2:$N$2285)</f>
        <v>0</v>
      </c>
      <c r="N33" s="14">
        <f>SUMIF(Mercado_Receita!$T$2:$T$2285,"43891B2Energia convencionalRuralCooperativa de eletrificação ruralNão se aplicaNão se aplicaNão se aplica",Mercado_Receita!$N$2:$N$2285)</f>
        <v>0</v>
      </c>
      <c r="O33" s="14">
        <f>SUMIF(Mercado_Receita!$T$2:$T$2285,"43922B2Energia convencionalRuralCooperativa de eletrificação ruralNão se aplicaNão se aplicaNão se aplica",Mercado_Receita!$N$2:$N$2285)</f>
        <v>0</v>
      </c>
      <c r="P33" s="14">
        <f>SUMIF(Mercado_Receita!$T$2:$T$2285,"43952B2Energia convencionalRuralCooperativa de eletrificação ruralNão se aplicaNão se aplicaNão se aplica",Mercado_Receita!$N$2:$N$2285)</f>
        <v>0</v>
      </c>
      <c r="Q33" s="14">
        <f>SUMIF(Mercado_Receita!$T$2:$T$2285,"43983B2Energia convencionalRuralCooperativa de eletrificação ruralNão se aplicaNão se aplicaNão se aplica",Mercado_Receita!$N$2:$N$2285)</f>
        <v>0</v>
      </c>
      <c r="R33" s="14">
        <f>SUMIF(Mercado_Receita!$T$2:$T$2285,"44013B2Energia convencionalRuralCooperativa de eletrificação ruralNão se aplicaNão se aplicaNão se aplica",Mercado_Receita!$N$2:$N$2285)</f>
        <v>0</v>
      </c>
      <c r="S33" s="14">
        <f>SUMIF(Mercado_Receita!$T$2:$T$2285,"44044B2Energia convencionalRuralCooperativa de eletrificação ruralNão se aplicaNão se aplicaNão se aplica",Mercado_Receita!$N$2:$N$2285)</f>
        <v>0</v>
      </c>
      <c r="T33" s="14">
        <f>SUMIF(Mercado_Receita!$T$2:$T$2285,"44075B2Energia convencionalRuralCooperativa de eletrificação ruralNão se aplicaNão se aplicaNão se aplica",Mercado_Receita!$N$2:$N$2285)</f>
        <v>0</v>
      </c>
      <c r="U33" s="14">
        <f t="shared" si="0"/>
        <v>0</v>
      </c>
      <c r="V33" s="14"/>
      <c r="W33" s="14"/>
    </row>
    <row r="34" spans="1:23" ht="11.25" customHeight="1" x14ac:dyDescent="0.25">
      <c r="A34" s="105"/>
      <c r="B34" s="104" t="s">
        <v>87</v>
      </c>
      <c r="C34" s="104" t="s">
        <v>47</v>
      </c>
      <c r="D34" s="104" t="s">
        <v>104</v>
      </c>
      <c r="E34" s="104" t="s">
        <v>25</v>
      </c>
      <c r="F34" s="104" t="s">
        <v>25</v>
      </c>
      <c r="G34" s="14" t="s">
        <v>89</v>
      </c>
      <c r="H34" s="14" t="s">
        <v>88</v>
      </c>
      <c r="I34" s="14">
        <f>SUMIF(Mercado_Receita!$T$2:$T$2285,"43739B2Energia horáriaRuralServiço público de irrigação ruralNão se aplicaNão se aplicaPonta",Mercado_Receita!$N$2:$N$2285)</f>
        <v>0</v>
      </c>
      <c r="J34" s="14">
        <f>SUMIF(Mercado_Receita!$T$2:$T$2285,"43770B2Energia horáriaRuralServiço público de irrigação ruralNão se aplicaNão se aplicaPonta",Mercado_Receita!$N$2:$N$2285)</f>
        <v>0</v>
      </c>
      <c r="K34" s="14">
        <f>SUMIF(Mercado_Receita!$T$2:$T$2285,"43800B2Energia horáriaRuralServiço público de irrigação ruralNão se aplicaNão se aplicaPonta",Mercado_Receita!$N$2:$N$2285)</f>
        <v>0</v>
      </c>
      <c r="L34" s="14">
        <f>SUMIF(Mercado_Receita!$T$2:$T$2285,"43831B2Energia horáriaRuralServiço público de irrigação ruralNão se aplicaNão se aplicaPonta",Mercado_Receita!$N$2:$N$2285)</f>
        <v>0</v>
      </c>
      <c r="M34" s="14">
        <f>SUMIF(Mercado_Receita!$T$2:$T$2285,"43862B2Energia horáriaRuralServiço público de irrigação ruralNão se aplicaNão se aplicaPonta",Mercado_Receita!$N$2:$N$2285)</f>
        <v>0</v>
      </c>
      <c r="N34" s="14">
        <f>SUMIF(Mercado_Receita!$T$2:$T$2285,"43891B2Energia horáriaRuralServiço público de irrigação ruralNão se aplicaNão se aplicaPonta",Mercado_Receita!$N$2:$N$2285)</f>
        <v>0</v>
      </c>
      <c r="O34" s="14">
        <f>SUMIF(Mercado_Receita!$T$2:$T$2285,"43922B2Energia horáriaRuralServiço público de irrigação ruralNão se aplicaNão se aplicaPonta",Mercado_Receita!$N$2:$N$2285)</f>
        <v>0</v>
      </c>
      <c r="P34" s="14">
        <f>SUMIF(Mercado_Receita!$T$2:$T$2285,"43952B2Energia horáriaRuralServiço público de irrigação ruralNão se aplicaNão se aplicaPonta",Mercado_Receita!$N$2:$N$2285)</f>
        <v>0</v>
      </c>
      <c r="Q34" s="14">
        <f>SUMIF(Mercado_Receita!$T$2:$T$2285,"43983B2Energia horáriaRuralServiço público de irrigação ruralNão se aplicaNão se aplicaPonta",Mercado_Receita!$N$2:$N$2285)</f>
        <v>0</v>
      </c>
      <c r="R34" s="14">
        <f>SUMIF(Mercado_Receita!$T$2:$T$2285,"44013B2Energia horáriaRuralServiço público de irrigação ruralNão se aplicaNão se aplicaPonta",Mercado_Receita!$N$2:$N$2285)</f>
        <v>0</v>
      </c>
      <c r="S34" s="14">
        <f>SUMIF(Mercado_Receita!$T$2:$T$2285,"44044B2Energia horáriaRuralServiço público de irrigação ruralNão se aplicaNão se aplicaPonta",Mercado_Receita!$N$2:$N$2285)</f>
        <v>0</v>
      </c>
      <c r="T34" s="14">
        <f>SUMIF(Mercado_Receita!$T$2:$T$2285,"44075B2Energia horáriaRuralServiço público de irrigação ruralNão se aplicaNão se aplicaPonta",Mercado_Receita!$N$2:$N$2285)</f>
        <v>0</v>
      </c>
      <c r="U34" s="14">
        <f t="shared" si="0"/>
        <v>0</v>
      </c>
      <c r="V34" s="14"/>
      <c r="W34" s="14"/>
    </row>
    <row r="35" spans="1:23" ht="11.25" customHeight="1" x14ac:dyDescent="0.25">
      <c r="A35" s="105"/>
      <c r="B35" s="105"/>
      <c r="C35" s="105"/>
      <c r="D35" s="105"/>
      <c r="E35" s="105"/>
      <c r="F35" s="105"/>
      <c r="G35" s="14" t="s">
        <v>100</v>
      </c>
      <c r="H35" s="14" t="s">
        <v>88</v>
      </c>
      <c r="I35" s="14">
        <f>SUMIF(Mercado_Receita!$T$2:$T$2285,"43739B2Energia horáriaRuralServiço público de irrigação ruralNão se aplicaNão se aplicaIntermediário",Mercado_Receita!$N$2:$N$2285)</f>
        <v>0</v>
      </c>
      <c r="J35" s="14">
        <f>SUMIF(Mercado_Receita!$T$2:$T$2285,"43770B2Energia horáriaRuralServiço público de irrigação ruralNão se aplicaNão se aplicaIntermediário",Mercado_Receita!$N$2:$N$2285)</f>
        <v>0</v>
      </c>
      <c r="K35" s="14">
        <f>SUMIF(Mercado_Receita!$T$2:$T$2285,"43800B2Energia horáriaRuralServiço público de irrigação ruralNão se aplicaNão se aplicaIntermediário",Mercado_Receita!$N$2:$N$2285)</f>
        <v>0</v>
      </c>
      <c r="L35" s="14">
        <f>SUMIF(Mercado_Receita!$T$2:$T$2285,"43831B2Energia horáriaRuralServiço público de irrigação ruralNão se aplicaNão se aplicaIntermediário",Mercado_Receita!$N$2:$N$2285)</f>
        <v>0</v>
      </c>
      <c r="M35" s="14">
        <f>SUMIF(Mercado_Receita!$T$2:$T$2285,"43862B2Energia horáriaRuralServiço público de irrigação ruralNão se aplicaNão se aplicaIntermediário",Mercado_Receita!$N$2:$N$2285)</f>
        <v>0</v>
      </c>
      <c r="N35" s="14">
        <f>SUMIF(Mercado_Receita!$T$2:$T$2285,"43891B2Energia horáriaRuralServiço público de irrigação ruralNão se aplicaNão se aplicaIntermediário",Mercado_Receita!$N$2:$N$2285)</f>
        <v>0</v>
      </c>
      <c r="O35" s="14">
        <f>SUMIF(Mercado_Receita!$T$2:$T$2285,"43922B2Energia horáriaRuralServiço público de irrigação ruralNão se aplicaNão se aplicaIntermediário",Mercado_Receita!$N$2:$N$2285)</f>
        <v>0</v>
      </c>
      <c r="P35" s="14">
        <f>SUMIF(Mercado_Receita!$T$2:$T$2285,"43952B2Energia horáriaRuralServiço público de irrigação ruralNão se aplicaNão se aplicaIntermediário",Mercado_Receita!$N$2:$N$2285)</f>
        <v>0</v>
      </c>
      <c r="Q35" s="14">
        <f>SUMIF(Mercado_Receita!$T$2:$T$2285,"43983B2Energia horáriaRuralServiço público de irrigação ruralNão se aplicaNão se aplicaIntermediário",Mercado_Receita!$N$2:$N$2285)</f>
        <v>0</v>
      </c>
      <c r="R35" s="14">
        <f>SUMIF(Mercado_Receita!$T$2:$T$2285,"44013B2Energia horáriaRuralServiço público de irrigação ruralNão se aplicaNão se aplicaIntermediário",Mercado_Receita!$N$2:$N$2285)</f>
        <v>0</v>
      </c>
      <c r="S35" s="14">
        <f>SUMIF(Mercado_Receita!$T$2:$T$2285,"44044B2Energia horáriaRuralServiço público de irrigação ruralNão se aplicaNão se aplicaIntermediário",Mercado_Receita!$N$2:$N$2285)</f>
        <v>0</v>
      </c>
      <c r="T35" s="14">
        <f>SUMIF(Mercado_Receita!$T$2:$T$2285,"44075B2Energia horáriaRuralServiço público de irrigação ruralNão se aplicaNão se aplicaIntermediário",Mercado_Receita!$N$2:$N$2285)</f>
        <v>0</v>
      </c>
      <c r="U35" s="14">
        <f t="shared" si="0"/>
        <v>0</v>
      </c>
      <c r="V35" s="14"/>
      <c r="W35" s="14"/>
    </row>
    <row r="36" spans="1:23" ht="11.25" customHeight="1" x14ac:dyDescent="0.25">
      <c r="A36" s="105"/>
      <c r="B36" s="105"/>
      <c r="C36" s="105"/>
      <c r="D36" s="105"/>
      <c r="E36" s="105"/>
      <c r="F36" s="105"/>
      <c r="G36" s="14" t="s">
        <v>90</v>
      </c>
      <c r="H36" s="14" t="s">
        <v>88</v>
      </c>
      <c r="I36" s="14">
        <f>SUMIF(Mercado_Receita!$T$2:$T$2285,"43739B2Energia horáriaRuralServiço público de irrigação ruralNão se aplicaNão se aplicaFora ponta",Mercado_Receita!$N$2:$N$2285)</f>
        <v>0</v>
      </c>
      <c r="J36" s="14">
        <f>SUMIF(Mercado_Receita!$T$2:$T$2285,"43770B2Energia horáriaRuralServiço público de irrigação ruralNão se aplicaNão se aplicaFora ponta",Mercado_Receita!$N$2:$N$2285)</f>
        <v>0</v>
      </c>
      <c r="K36" s="14">
        <f>SUMIF(Mercado_Receita!$T$2:$T$2285,"43800B2Energia horáriaRuralServiço público de irrigação ruralNão se aplicaNão se aplicaFora ponta",Mercado_Receita!$N$2:$N$2285)</f>
        <v>0</v>
      </c>
      <c r="L36" s="14">
        <f>SUMIF(Mercado_Receita!$T$2:$T$2285,"43831B2Energia horáriaRuralServiço público de irrigação ruralNão se aplicaNão se aplicaFora ponta",Mercado_Receita!$N$2:$N$2285)</f>
        <v>0</v>
      </c>
      <c r="M36" s="14">
        <f>SUMIF(Mercado_Receita!$T$2:$T$2285,"43862B2Energia horáriaRuralServiço público de irrigação ruralNão se aplicaNão se aplicaFora ponta",Mercado_Receita!$N$2:$N$2285)</f>
        <v>0</v>
      </c>
      <c r="N36" s="14">
        <f>SUMIF(Mercado_Receita!$T$2:$T$2285,"43891B2Energia horáriaRuralServiço público de irrigação ruralNão se aplicaNão se aplicaFora ponta",Mercado_Receita!$N$2:$N$2285)</f>
        <v>0</v>
      </c>
      <c r="O36" s="14">
        <f>SUMIF(Mercado_Receita!$T$2:$T$2285,"43922B2Energia horáriaRuralServiço público de irrigação ruralNão se aplicaNão se aplicaFora ponta",Mercado_Receita!$N$2:$N$2285)</f>
        <v>0</v>
      </c>
      <c r="P36" s="14">
        <f>SUMIF(Mercado_Receita!$T$2:$T$2285,"43952B2Energia horáriaRuralServiço público de irrigação ruralNão se aplicaNão se aplicaFora ponta",Mercado_Receita!$N$2:$N$2285)</f>
        <v>0</v>
      </c>
      <c r="Q36" s="14">
        <f>SUMIF(Mercado_Receita!$T$2:$T$2285,"43983B2Energia horáriaRuralServiço público de irrigação ruralNão se aplicaNão se aplicaFora ponta",Mercado_Receita!$N$2:$N$2285)</f>
        <v>0</v>
      </c>
      <c r="R36" s="14">
        <f>SUMIF(Mercado_Receita!$T$2:$T$2285,"44013B2Energia horáriaRuralServiço público de irrigação ruralNão se aplicaNão se aplicaFora ponta",Mercado_Receita!$N$2:$N$2285)</f>
        <v>0</v>
      </c>
      <c r="S36" s="14">
        <f>SUMIF(Mercado_Receita!$T$2:$T$2285,"44044B2Energia horáriaRuralServiço público de irrigação ruralNão se aplicaNão se aplicaFora ponta",Mercado_Receita!$N$2:$N$2285)</f>
        <v>0</v>
      </c>
      <c r="T36" s="14">
        <f>SUMIF(Mercado_Receita!$T$2:$T$2285,"44075B2Energia horáriaRuralServiço público de irrigação ruralNão se aplicaNão se aplicaFora ponta",Mercado_Receita!$N$2:$N$2285)</f>
        <v>0</v>
      </c>
      <c r="U36" s="14">
        <f t="shared" si="0"/>
        <v>0</v>
      </c>
      <c r="V36" s="14"/>
      <c r="W36" s="14"/>
    </row>
    <row r="37" spans="1:23" ht="11.25" customHeight="1" x14ac:dyDescent="0.25">
      <c r="A37" s="105"/>
      <c r="B37" s="13" t="s">
        <v>96</v>
      </c>
      <c r="C37" s="13" t="s">
        <v>47</v>
      </c>
      <c r="D37" s="13" t="s">
        <v>104</v>
      </c>
      <c r="E37" s="13" t="s">
        <v>25</v>
      </c>
      <c r="F37" s="13" t="s">
        <v>25</v>
      </c>
      <c r="G37" s="14" t="s">
        <v>94</v>
      </c>
      <c r="H37" s="14" t="s">
        <v>88</v>
      </c>
      <c r="I37" s="14">
        <f>SUMIF(Mercado_Receita!$T$2:$T$2285,"43739B2Energia convencionalRuralServiço público de irrigação ruralNão se aplicaNão se aplicaNão se aplica",Mercado_Receita!$N$2:$N$2285)</f>
        <v>0</v>
      </c>
      <c r="J37" s="14">
        <f>SUMIF(Mercado_Receita!$T$2:$T$2285,"43770B2Energia convencionalRuralServiço público de irrigação ruralNão se aplicaNão se aplicaNão se aplica",Mercado_Receita!$N$2:$N$2285)</f>
        <v>0</v>
      </c>
      <c r="K37" s="14">
        <f>SUMIF(Mercado_Receita!$T$2:$T$2285,"43800B2Energia convencionalRuralServiço público de irrigação ruralNão se aplicaNão se aplicaNão se aplica",Mercado_Receita!$N$2:$N$2285)</f>
        <v>0</v>
      </c>
      <c r="L37" s="14">
        <f>SUMIF(Mercado_Receita!$T$2:$T$2285,"43831B2Energia convencionalRuralServiço público de irrigação ruralNão se aplicaNão se aplicaNão se aplica",Mercado_Receita!$N$2:$N$2285)</f>
        <v>0</v>
      </c>
      <c r="M37" s="14">
        <f>SUMIF(Mercado_Receita!$T$2:$T$2285,"43862B2Energia convencionalRuralServiço público de irrigação ruralNão se aplicaNão se aplicaNão se aplica",Mercado_Receita!$N$2:$N$2285)</f>
        <v>0</v>
      </c>
      <c r="N37" s="14">
        <f>SUMIF(Mercado_Receita!$T$2:$T$2285,"43891B2Energia convencionalRuralServiço público de irrigação ruralNão se aplicaNão se aplicaNão se aplica",Mercado_Receita!$N$2:$N$2285)</f>
        <v>0</v>
      </c>
      <c r="O37" s="14">
        <f>SUMIF(Mercado_Receita!$T$2:$T$2285,"43922B2Energia convencionalRuralServiço público de irrigação ruralNão se aplicaNão se aplicaNão se aplica",Mercado_Receita!$N$2:$N$2285)</f>
        <v>0</v>
      </c>
      <c r="P37" s="14">
        <f>SUMIF(Mercado_Receita!$T$2:$T$2285,"43952B2Energia convencionalRuralServiço público de irrigação ruralNão se aplicaNão se aplicaNão se aplica",Mercado_Receita!$N$2:$N$2285)</f>
        <v>0</v>
      </c>
      <c r="Q37" s="14">
        <f>SUMIF(Mercado_Receita!$T$2:$T$2285,"43983B2Energia convencionalRuralServiço público de irrigação ruralNão se aplicaNão se aplicaNão se aplica",Mercado_Receita!$N$2:$N$2285)</f>
        <v>0</v>
      </c>
      <c r="R37" s="14">
        <f>SUMIF(Mercado_Receita!$T$2:$T$2285,"44013B2Energia convencionalRuralServiço público de irrigação ruralNão se aplicaNão se aplicaNão se aplica",Mercado_Receita!$N$2:$N$2285)</f>
        <v>0</v>
      </c>
      <c r="S37" s="14">
        <f>SUMIF(Mercado_Receita!$T$2:$T$2285,"44044B2Energia convencionalRuralServiço público de irrigação ruralNão se aplicaNão se aplicaNão se aplica",Mercado_Receita!$N$2:$N$2285)</f>
        <v>0</v>
      </c>
      <c r="T37" s="14">
        <f>SUMIF(Mercado_Receita!$T$2:$T$2285,"44075B2Energia convencionalRuralServiço público de irrigação ruralNão se aplicaNão se aplicaNão se aplica",Mercado_Receita!$N$2:$N$2285)</f>
        <v>0</v>
      </c>
      <c r="U37" s="14">
        <f t="shared" si="0"/>
        <v>0</v>
      </c>
      <c r="V37" s="14"/>
      <c r="W37" s="14"/>
    </row>
    <row r="38" spans="1:23" ht="11.25" customHeight="1" x14ac:dyDescent="0.25">
      <c r="A38" s="105"/>
      <c r="B38" s="104" t="s">
        <v>101</v>
      </c>
      <c r="C38" s="104" t="s">
        <v>47</v>
      </c>
      <c r="D38" s="13" t="s">
        <v>25</v>
      </c>
      <c r="E38" s="13" t="s">
        <v>25</v>
      </c>
      <c r="F38" s="13" t="s">
        <v>25</v>
      </c>
      <c r="G38" s="14" t="s">
        <v>94</v>
      </c>
      <c r="H38" s="14" t="s">
        <v>88</v>
      </c>
      <c r="I38" s="14">
        <f>SUMIF(Mercado_Receita!$T$2:$T$2285,"43739B2Energia convencional pré-pagamentoRuralNão se aplicaNão se aplicaNão se aplicaNão se aplica",Mercado_Receita!$N$2:$N$2285)</f>
        <v>0</v>
      </c>
      <c r="J38" s="14">
        <f>SUMIF(Mercado_Receita!$T$2:$T$2285,"43770B2Energia convencional pré-pagamentoRuralNão se aplicaNão se aplicaNão se aplicaNão se aplica",Mercado_Receita!$N$2:$N$2285)</f>
        <v>0</v>
      </c>
      <c r="K38" s="14">
        <f>SUMIF(Mercado_Receita!$T$2:$T$2285,"43800B2Energia convencional pré-pagamentoRuralNão se aplicaNão se aplicaNão se aplicaNão se aplica",Mercado_Receita!$N$2:$N$2285)</f>
        <v>0</v>
      </c>
      <c r="L38" s="14">
        <f>SUMIF(Mercado_Receita!$T$2:$T$2285,"43831B2Energia convencional pré-pagamentoRuralNão se aplicaNão se aplicaNão se aplicaNão se aplica",Mercado_Receita!$N$2:$N$2285)</f>
        <v>0</v>
      </c>
      <c r="M38" s="14">
        <f>SUMIF(Mercado_Receita!$T$2:$T$2285,"43862B2Energia convencional pré-pagamentoRuralNão se aplicaNão se aplicaNão se aplicaNão se aplica",Mercado_Receita!$N$2:$N$2285)</f>
        <v>0</v>
      </c>
      <c r="N38" s="14">
        <f>SUMIF(Mercado_Receita!$T$2:$T$2285,"43891B2Energia convencional pré-pagamentoRuralNão se aplicaNão se aplicaNão se aplicaNão se aplica",Mercado_Receita!$N$2:$N$2285)</f>
        <v>0</v>
      </c>
      <c r="O38" s="14">
        <f>SUMIF(Mercado_Receita!$T$2:$T$2285,"43922B2Energia convencional pré-pagamentoRuralNão se aplicaNão se aplicaNão se aplicaNão se aplica",Mercado_Receita!$N$2:$N$2285)</f>
        <v>0</v>
      </c>
      <c r="P38" s="14">
        <f>SUMIF(Mercado_Receita!$T$2:$T$2285,"43952B2Energia convencional pré-pagamentoRuralNão se aplicaNão se aplicaNão se aplicaNão se aplica",Mercado_Receita!$N$2:$N$2285)</f>
        <v>0</v>
      </c>
      <c r="Q38" s="14">
        <f>SUMIF(Mercado_Receita!$T$2:$T$2285,"43983B2Energia convencional pré-pagamentoRuralNão se aplicaNão se aplicaNão se aplicaNão se aplica",Mercado_Receita!$N$2:$N$2285)</f>
        <v>0</v>
      </c>
      <c r="R38" s="14">
        <f>SUMIF(Mercado_Receita!$T$2:$T$2285,"44013B2Energia convencional pré-pagamentoRuralNão se aplicaNão se aplicaNão se aplicaNão se aplica",Mercado_Receita!$N$2:$N$2285)</f>
        <v>0</v>
      </c>
      <c r="S38" s="14">
        <f>SUMIF(Mercado_Receita!$T$2:$T$2285,"44044B2Energia convencional pré-pagamentoRuralNão se aplicaNão se aplicaNão se aplicaNão se aplica",Mercado_Receita!$N$2:$N$2285)</f>
        <v>0</v>
      </c>
      <c r="T38" s="14">
        <f>SUMIF(Mercado_Receita!$T$2:$T$2285,"44075B2Energia convencional pré-pagamentoRuralNão se aplicaNão se aplicaNão se aplicaNão se aplica",Mercado_Receita!$N$2:$N$2285)</f>
        <v>0</v>
      </c>
      <c r="U38" s="14">
        <f t="shared" si="0"/>
        <v>0</v>
      </c>
      <c r="V38" s="14"/>
      <c r="W38" s="14"/>
    </row>
    <row r="39" spans="1:23" ht="11.25" customHeight="1" x14ac:dyDescent="0.25">
      <c r="A39" s="105"/>
      <c r="B39" s="105"/>
      <c r="C39" s="105"/>
      <c r="D39" s="13" t="s">
        <v>103</v>
      </c>
      <c r="E39" s="13" t="s">
        <v>25</v>
      </c>
      <c r="F39" s="13" t="s">
        <v>25</v>
      </c>
      <c r="G39" s="14" t="s">
        <v>94</v>
      </c>
      <c r="H39" s="14" t="s">
        <v>88</v>
      </c>
      <c r="I39" s="14">
        <f>SUMIF(Mercado_Receita!$T$2:$T$2285,"43739B2Energia convencional pré-pagamentoRuralCooperativa de eletrificação ruralNão se aplicaNão se aplicaNão se aplica",Mercado_Receita!$N$2:$N$2285)</f>
        <v>0</v>
      </c>
      <c r="J39" s="14">
        <f>SUMIF(Mercado_Receita!$T$2:$T$2285,"43770B2Energia convencional pré-pagamentoRuralCooperativa de eletrificação ruralNão se aplicaNão se aplicaNão se aplica",Mercado_Receita!$N$2:$N$2285)</f>
        <v>0</v>
      </c>
      <c r="K39" s="14">
        <f>SUMIF(Mercado_Receita!$T$2:$T$2285,"43800B2Energia convencional pré-pagamentoRuralCooperativa de eletrificação ruralNão se aplicaNão se aplicaNão se aplica",Mercado_Receita!$N$2:$N$2285)</f>
        <v>0</v>
      </c>
      <c r="L39" s="14">
        <f>SUMIF(Mercado_Receita!$T$2:$T$2285,"43831B2Energia convencional pré-pagamentoRuralCooperativa de eletrificação ruralNão se aplicaNão se aplicaNão se aplica",Mercado_Receita!$N$2:$N$2285)</f>
        <v>0</v>
      </c>
      <c r="M39" s="14">
        <f>SUMIF(Mercado_Receita!$T$2:$T$2285,"43862B2Energia convencional pré-pagamentoRuralCooperativa de eletrificação ruralNão se aplicaNão se aplicaNão se aplica",Mercado_Receita!$N$2:$N$2285)</f>
        <v>0</v>
      </c>
      <c r="N39" s="14">
        <f>SUMIF(Mercado_Receita!$T$2:$T$2285,"43891B2Energia convencional pré-pagamentoRuralCooperativa de eletrificação ruralNão se aplicaNão se aplicaNão se aplica",Mercado_Receita!$N$2:$N$2285)</f>
        <v>0</v>
      </c>
      <c r="O39" s="14">
        <f>SUMIF(Mercado_Receita!$T$2:$T$2285,"43922B2Energia convencional pré-pagamentoRuralCooperativa de eletrificação ruralNão se aplicaNão se aplicaNão se aplica",Mercado_Receita!$N$2:$N$2285)</f>
        <v>0</v>
      </c>
      <c r="P39" s="14">
        <f>SUMIF(Mercado_Receita!$T$2:$T$2285,"43952B2Energia convencional pré-pagamentoRuralCooperativa de eletrificação ruralNão se aplicaNão se aplicaNão se aplica",Mercado_Receita!$N$2:$N$2285)</f>
        <v>0</v>
      </c>
      <c r="Q39" s="14">
        <f>SUMIF(Mercado_Receita!$T$2:$T$2285,"43983B2Energia convencional pré-pagamentoRuralCooperativa de eletrificação ruralNão se aplicaNão se aplicaNão se aplica",Mercado_Receita!$N$2:$N$2285)</f>
        <v>0</v>
      </c>
      <c r="R39" s="14">
        <f>SUMIF(Mercado_Receita!$T$2:$T$2285,"44013B2Energia convencional pré-pagamentoRuralCooperativa de eletrificação ruralNão se aplicaNão se aplicaNão se aplica",Mercado_Receita!$N$2:$N$2285)</f>
        <v>0</v>
      </c>
      <c r="S39" s="14">
        <f>SUMIF(Mercado_Receita!$T$2:$T$2285,"44044B2Energia convencional pré-pagamentoRuralCooperativa de eletrificação ruralNão se aplicaNão se aplicaNão se aplica",Mercado_Receita!$N$2:$N$2285)</f>
        <v>0</v>
      </c>
      <c r="T39" s="14">
        <f>SUMIF(Mercado_Receita!$T$2:$T$2285,"44075B2Energia convencional pré-pagamentoRuralCooperativa de eletrificação ruralNão se aplicaNão se aplicaNão se aplica",Mercado_Receita!$N$2:$N$2285)</f>
        <v>0</v>
      </c>
      <c r="U39" s="14">
        <f t="shared" si="0"/>
        <v>0</v>
      </c>
      <c r="V39" s="14"/>
      <c r="W39" s="14"/>
    </row>
    <row r="40" spans="1:23" ht="11.25" customHeight="1" x14ac:dyDescent="0.25">
      <c r="A40" s="105"/>
      <c r="B40" s="105"/>
      <c r="C40" s="105"/>
      <c r="D40" s="13" t="s">
        <v>104</v>
      </c>
      <c r="E40" s="13" t="s">
        <v>25</v>
      </c>
      <c r="F40" s="13" t="s">
        <v>25</v>
      </c>
      <c r="G40" s="14" t="s">
        <v>94</v>
      </c>
      <c r="H40" s="14" t="s">
        <v>88</v>
      </c>
      <c r="I40" s="14">
        <f>SUMIF(Mercado_Receita!$T$2:$T$2285,"43739B2Energia convencional pré-pagamentoRuralServiço público de irrigação ruralNão se aplicaNão se aplicaNão se aplica",Mercado_Receita!$N$2:$N$2285)</f>
        <v>0</v>
      </c>
      <c r="J40" s="14">
        <f>SUMIF(Mercado_Receita!$T$2:$T$2285,"43770B2Energia convencional pré-pagamentoRuralServiço público de irrigação ruralNão se aplicaNão se aplicaNão se aplica",Mercado_Receita!$N$2:$N$2285)</f>
        <v>0</v>
      </c>
      <c r="K40" s="14">
        <f>SUMIF(Mercado_Receita!$T$2:$T$2285,"43800B2Energia convencional pré-pagamentoRuralServiço público de irrigação ruralNão se aplicaNão se aplicaNão se aplica",Mercado_Receita!$N$2:$N$2285)</f>
        <v>0</v>
      </c>
      <c r="L40" s="14">
        <f>SUMIF(Mercado_Receita!$T$2:$T$2285,"43831B2Energia convencional pré-pagamentoRuralServiço público de irrigação ruralNão se aplicaNão se aplicaNão se aplica",Mercado_Receita!$N$2:$N$2285)</f>
        <v>0</v>
      </c>
      <c r="M40" s="14">
        <f>SUMIF(Mercado_Receita!$T$2:$T$2285,"43862B2Energia convencional pré-pagamentoRuralServiço público de irrigação ruralNão se aplicaNão se aplicaNão se aplica",Mercado_Receita!$N$2:$N$2285)</f>
        <v>0</v>
      </c>
      <c r="N40" s="14">
        <f>SUMIF(Mercado_Receita!$T$2:$T$2285,"43891B2Energia convencional pré-pagamentoRuralServiço público de irrigação ruralNão se aplicaNão se aplicaNão se aplica",Mercado_Receita!$N$2:$N$2285)</f>
        <v>0</v>
      </c>
      <c r="O40" s="14">
        <f>SUMIF(Mercado_Receita!$T$2:$T$2285,"43922B2Energia convencional pré-pagamentoRuralServiço público de irrigação ruralNão se aplicaNão se aplicaNão se aplica",Mercado_Receita!$N$2:$N$2285)</f>
        <v>0</v>
      </c>
      <c r="P40" s="14">
        <f>SUMIF(Mercado_Receita!$T$2:$T$2285,"43952B2Energia convencional pré-pagamentoRuralServiço público de irrigação ruralNão se aplicaNão se aplicaNão se aplica",Mercado_Receita!$N$2:$N$2285)</f>
        <v>0</v>
      </c>
      <c r="Q40" s="14">
        <f>SUMIF(Mercado_Receita!$T$2:$T$2285,"43983B2Energia convencional pré-pagamentoRuralServiço público de irrigação ruralNão se aplicaNão se aplicaNão se aplica",Mercado_Receita!$N$2:$N$2285)</f>
        <v>0</v>
      </c>
      <c r="R40" s="14">
        <f>SUMIF(Mercado_Receita!$T$2:$T$2285,"44013B2Energia convencional pré-pagamentoRuralServiço público de irrigação ruralNão se aplicaNão se aplicaNão se aplica",Mercado_Receita!$N$2:$N$2285)</f>
        <v>0</v>
      </c>
      <c r="S40" s="14">
        <f>SUMIF(Mercado_Receita!$T$2:$T$2285,"44044B2Energia convencional pré-pagamentoRuralServiço público de irrigação ruralNão se aplicaNão se aplicaNão se aplica",Mercado_Receita!$N$2:$N$2285)</f>
        <v>0</v>
      </c>
      <c r="T40" s="14">
        <f>SUMIF(Mercado_Receita!$T$2:$T$2285,"44075B2Energia convencional pré-pagamentoRuralServiço público de irrigação ruralNão se aplicaNão se aplicaNão se aplica",Mercado_Receita!$N$2:$N$2285)</f>
        <v>0</v>
      </c>
      <c r="U40" s="14">
        <f t="shared" si="0"/>
        <v>0</v>
      </c>
      <c r="V40" s="14"/>
      <c r="W40" s="14"/>
    </row>
    <row r="41" spans="1:23" ht="11.25" customHeight="1" x14ac:dyDescent="0.25">
      <c r="A41" s="104" t="s">
        <v>39</v>
      </c>
      <c r="B41" s="104" t="s">
        <v>87</v>
      </c>
      <c r="C41" s="104" t="s">
        <v>25</v>
      </c>
      <c r="D41" s="104" t="s">
        <v>25</v>
      </c>
      <c r="E41" s="104" t="s">
        <v>25</v>
      </c>
      <c r="F41" s="104" t="s">
        <v>25</v>
      </c>
      <c r="G41" s="14" t="s">
        <v>89</v>
      </c>
      <c r="H41" s="14" t="s">
        <v>88</v>
      </c>
      <c r="I41" s="14">
        <f>SUMIF(Mercado_Receita!$T$2:$T$2285,"43739B3Energia horáriaNão se aplicaNão se aplicaNão se aplicaNão se aplicaPonta",Mercado_Receita!$N$2:$N$2285)</f>
        <v>31.545000000000002</v>
      </c>
      <c r="J41" s="14">
        <f>SUMIF(Mercado_Receita!$T$2:$T$2285,"43770B3Energia horáriaNão se aplicaNão se aplicaNão se aplicaNão se aplicaPonta",Mercado_Receita!$N$2:$N$2285)</f>
        <v>1039.5970000000002</v>
      </c>
      <c r="K41" s="14">
        <f>SUMIF(Mercado_Receita!$T$2:$T$2285,"43800B3Energia horáriaNão se aplicaNão se aplicaNão se aplicaNão se aplicaPonta",Mercado_Receita!$N$2:$N$2285)</f>
        <v>-966.55100000000004</v>
      </c>
      <c r="L41" s="14">
        <f>SUMIF(Mercado_Receita!$T$2:$T$2285,"43831B3Energia horáriaNão se aplicaNão se aplicaNão se aplicaNão se aplicaPonta",Mercado_Receita!$N$2:$N$2285)</f>
        <v>30.556000000000001</v>
      </c>
      <c r="M41" s="14">
        <f>SUMIF(Mercado_Receita!$T$2:$T$2285,"43862B3Energia horáriaNão se aplicaNão se aplicaNão se aplicaNão se aplicaPonta",Mercado_Receita!$N$2:$N$2285)</f>
        <v>31.68</v>
      </c>
      <c r="N41" s="14">
        <f>SUMIF(Mercado_Receita!$T$2:$T$2285,"43891B3Energia horáriaNão se aplicaNão se aplicaNão se aplicaNão se aplicaPonta",Mercado_Receita!$N$2:$N$2285)</f>
        <v>28.325999999999997</v>
      </c>
      <c r="O41" s="14">
        <f>SUMIF(Mercado_Receita!$T$2:$T$2285,"43922B3Energia horáriaNão se aplicaNão se aplicaNão se aplicaNão se aplicaPonta",Mercado_Receita!$N$2:$N$2285)</f>
        <v>27.652000000000001</v>
      </c>
      <c r="P41" s="14">
        <f>SUMIF(Mercado_Receita!$T$2:$T$2285,"43952B3Energia horáriaNão se aplicaNão se aplicaNão se aplicaNão se aplicaPonta",Mercado_Receita!$N$2:$N$2285)</f>
        <v>20.097999999999999</v>
      </c>
      <c r="Q41" s="14">
        <f>SUMIF(Mercado_Receita!$T$2:$T$2285,"43983B3Energia horáriaNão se aplicaNão se aplicaNão se aplicaNão se aplicaPonta",Mercado_Receita!$N$2:$N$2285)</f>
        <v>115.55300000000001</v>
      </c>
      <c r="R41" s="14">
        <f>SUMIF(Mercado_Receita!$T$2:$T$2285,"44013B3Energia horáriaNão se aplicaNão se aplicaNão se aplicaNão se aplicaPonta",Mercado_Receita!$N$2:$N$2285)</f>
        <v>124.995</v>
      </c>
      <c r="S41" s="14">
        <f>SUMIF(Mercado_Receita!$T$2:$T$2285,"44044B3Energia horáriaNão se aplicaNão se aplicaNão se aplicaNão se aplicaPonta",Mercado_Receita!$N$2:$N$2285)</f>
        <v>-174.89000000000001</v>
      </c>
      <c r="T41" s="14">
        <f>SUMIF(Mercado_Receita!$T$2:$T$2285,"44075B3Energia horáriaNão se aplicaNão se aplicaNão se aplicaNão se aplicaPonta",Mercado_Receita!$N$2:$N$2285)</f>
        <v>-174.89000000000001</v>
      </c>
      <c r="U41" s="14">
        <f t="shared" si="0"/>
        <v>133.67100000000025</v>
      </c>
      <c r="V41" s="14"/>
      <c r="W41" s="14"/>
    </row>
    <row r="42" spans="1:23" ht="11.25" customHeight="1" x14ac:dyDescent="0.25">
      <c r="A42" s="105"/>
      <c r="B42" s="105"/>
      <c r="C42" s="105"/>
      <c r="D42" s="105"/>
      <c r="E42" s="105"/>
      <c r="F42" s="105"/>
      <c r="G42" s="14" t="s">
        <v>100</v>
      </c>
      <c r="H42" s="14" t="s">
        <v>88</v>
      </c>
      <c r="I42" s="14">
        <f>SUMIF(Mercado_Receita!$T$2:$T$2285,"43739B3Energia horáriaNão se aplicaNão se aplicaNão se aplicaNão se aplicaIntermediário",Mercado_Receita!$N$2:$N$2285)</f>
        <v>26.518000000000001</v>
      </c>
      <c r="J42" s="14">
        <f>SUMIF(Mercado_Receita!$T$2:$T$2285,"43770B3Energia horáriaNão se aplicaNão se aplicaNão se aplicaNão se aplicaIntermediário",Mercado_Receita!$N$2:$N$2285)</f>
        <v>1030.8</v>
      </c>
      <c r="K42" s="14">
        <f>SUMIF(Mercado_Receita!$T$2:$T$2285,"43800B3Energia horáriaNão se aplicaNão se aplicaNão se aplicaNão se aplicaIntermediário",Mercado_Receita!$N$2:$N$2285)</f>
        <v>-970.83500000000004</v>
      </c>
      <c r="L42" s="14">
        <f>SUMIF(Mercado_Receita!$T$2:$T$2285,"43831B3Energia horáriaNão se aplicaNão se aplicaNão se aplicaNão se aplicaIntermediário",Mercado_Receita!$N$2:$N$2285)</f>
        <v>18.524999999999999</v>
      </c>
      <c r="M42" s="14">
        <f>SUMIF(Mercado_Receita!$T$2:$T$2285,"43862B3Energia horáriaNão se aplicaNão se aplicaNão se aplicaNão se aplicaIntermediário",Mercado_Receita!$N$2:$N$2285)</f>
        <v>24.462</v>
      </c>
      <c r="N42" s="14">
        <f>SUMIF(Mercado_Receita!$T$2:$T$2285,"43891B3Energia horáriaNão se aplicaNão se aplicaNão se aplicaNão se aplicaIntermediário",Mercado_Receita!$N$2:$N$2285)</f>
        <v>21.665000000000003</v>
      </c>
      <c r="O42" s="14">
        <f>SUMIF(Mercado_Receita!$T$2:$T$2285,"43922B3Energia horáriaNão se aplicaNão se aplicaNão se aplicaNão se aplicaIntermediário",Mercado_Receita!$N$2:$N$2285)</f>
        <v>18.632999999999999</v>
      </c>
      <c r="P42" s="14">
        <f>SUMIF(Mercado_Receita!$T$2:$T$2285,"43952B3Energia horáriaNão se aplicaNão se aplicaNão se aplicaNão se aplicaIntermediário",Mercado_Receita!$N$2:$N$2285)</f>
        <v>15.638</v>
      </c>
      <c r="Q42" s="14">
        <f>SUMIF(Mercado_Receita!$T$2:$T$2285,"43983B3Energia horáriaNão se aplicaNão se aplicaNão se aplicaNão se aplicaIntermediário",Mercado_Receita!$N$2:$N$2285)</f>
        <v>110.47800000000001</v>
      </c>
      <c r="R42" s="14">
        <f>SUMIF(Mercado_Receita!$T$2:$T$2285,"44013B3Energia horáriaNão se aplicaNão se aplicaNão se aplicaNão se aplicaIntermediário",Mercado_Receita!$N$2:$N$2285)</f>
        <v>119.98399999999999</v>
      </c>
      <c r="S42" s="14">
        <f>SUMIF(Mercado_Receita!$T$2:$T$2285,"44044B3Energia horáriaNão se aplicaNão se aplicaNão se aplicaNão se aplicaIntermediário",Mercado_Receita!$N$2:$N$2285)</f>
        <v>-181.75700000000001</v>
      </c>
      <c r="T42" s="14">
        <f>SUMIF(Mercado_Receita!$T$2:$T$2285,"44075B3Energia horáriaNão se aplicaNão se aplicaNão se aplicaNão se aplicaIntermediário",Mercado_Receita!$N$2:$N$2285)</f>
        <v>-181.75700000000001</v>
      </c>
      <c r="U42" s="14">
        <f t="shared" si="0"/>
        <v>52.353999999999928</v>
      </c>
      <c r="V42" s="14"/>
      <c r="W42" s="14"/>
    </row>
    <row r="43" spans="1:23" ht="11.25" customHeight="1" x14ac:dyDescent="0.25">
      <c r="A43" s="105"/>
      <c r="B43" s="105"/>
      <c r="C43" s="105"/>
      <c r="D43" s="105"/>
      <c r="E43" s="105"/>
      <c r="F43" s="105"/>
      <c r="G43" s="14" t="s">
        <v>90</v>
      </c>
      <c r="H43" s="14" t="s">
        <v>88</v>
      </c>
      <c r="I43" s="14">
        <f>SUMIF(Mercado_Receita!$T$2:$T$2285,"43739B3Energia horáriaNão se aplicaNão se aplicaNão se aplicaNão se aplicaFora ponta",Mercado_Receita!$N$2:$N$2285)</f>
        <v>394.45699999999999</v>
      </c>
      <c r="J43" s="14">
        <f>SUMIF(Mercado_Receita!$T$2:$T$2285,"43770B3Energia horáriaNão se aplicaNão se aplicaNão se aplicaNão se aplicaFora ponta",Mercado_Receita!$N$2:$N$2285)</f>
        <v>1448.1119999999999</v>
      </c>
      <c r="K43" s="14">
        <f>SUMIF(Mercado_Receita!$T$2:$T$2285,"43800B3Energia horáriaNão se aplicaNão se aplicaNão se aplicaNão se aplicaFora ponta",Mercado_Receita!$N$2:$N$2285)</f>
        <v>-580.24099999999999</v>
      </c>
      <c r="L43" s="14">
        <f>SUMIF(Mercado_Receita!$T$2:$T$2285,"43831B3Energia horáriaNão se aplicaNão se aplicaNão se aplicaNão se aplicaFora ponta",Mercado_Receita!$N$2:$N$2285)</f>
        <v>406.11</v>
      </c>
      <c r="M43" s="14">
        <f>SUMIF(Mercado_Receita!$T$2:$T$2285,"43862B3Energia horáriaNão se aplicaNão se aplicaNão se aplicaNão se aplicaFora ponta",Mercado_Receita!$N$2:$N$2285)</f>
        <v>386.29700000000003</v>
      </c>
      <c r="N43" s="14">
        <f>SUMIF(Mercado_Receita!$T$2:$T$2285,"43891B3Energia horáriaNão se aplicaNão se aplicaNão se aplicaNão se aplicaFora ponta",Mercado_Receita!$N$2:$N$2285)</f>
        <v>370.76299999999998</v>
      </c>
      <c r="O43" s="14">
        <f>SUMIF(Mercado_Receita!$T$2:$T$2285,"43922B3Energia horáriaNão se aplicaNão se aplicaNão se aplicaNão se aplicaFora ponta",Mercado_Receita!$N$2:$N$2285)</f>
        <v>323.34099999999995</v>
      </c>
      <c r="P43" s="14">
        <f>SUMIF(Mercado_Receita!$T$2:$T$2285,"43952B3Energia horáriaNão se aplicaNão se aplicaNão se aplicaNão se aplicaFora ponta",Mercado_Receita!$N$2:$N$2285)</f>
        <v>277.72699999999998</v>
      </c>
      <c r="Q43" s="14">
        <f>SUMIF(Mercado_Receita!$T$2:$T$2285,"43983B3Energia horáriaNão se aplicaNão se aplicaNão se aplicaNão se aplicaFora ponta",Mercado_Receita!$N$2:$N$2285)</f>
        <v>259.36500000000001</v>
      </c>
      <c r="R43" s="14">
        <f>SUMIF(Mercado_Receita!$T$2:$T$2285,"44013B3Energia horáriaNão se aplicaNão se aplicaNão se aplicaNão se aplicaFora ponta",Mercado_Receita!$N$2:$N$2285)</f>
        <v>278.06400000000002</v>
      </c>
      <c r="S43" s="14">
        <f>SUMIF(Mercado_Receita!$T$2:$T$2285,"44044B3Energia horáriaNão se aplicaNão se aplicaNão se aplicaNão se aplicaFora ponta",Mercado_Receita!$N$2:$N$2285)</f>
        <v>304.09199999999998</v>
      </c>
      <c r="T43" s="14">
        <f>SUMIF(Mercado_Receita!$T$2:$T$2285,"44075B3Energia horáriaNão se aplicaNão se aplicaNão se aplicaNão se aplicaFora ponta",Mercado_Receita!$N$2:$N$2285)</f>
        <v>304.09199999999998</v>
      </c>
      <c r="U43" s="14">
        <f t="shared" si="0"/>
        <v>4172.1789999999992</v>
      </c>
      <c r="V43" s="14"/>
      <c r="W43" s="14"/>
    </row>
    <row r="44" spans="1:23" ht="11.25" customHeight="1" x14ac:dyDescent="0.25">
      <c r="A44" s="105"/>
      <c r="B44" s="13" t="s">
        <v>96</v>
      </c>
      <c r="C44" s="13" t="s">
        <v>25</v>
      </c>
      <c r="D44" s="13" t="s">
        <v>25</v>
      </c>
      <c r="E44" s="13" t="s">
        <v>25</v>
      </c>
      <c r="F44" s="13" t="s">
        <v>25</v>
      </c>
      <c r="G44" s="14" t="s">
        <v>94</v>
      </c>
      <c r="H44" s="14" t="s">
        <v>88</v>
      </c>
      <c r="I44" s="14">
        <f>SUMIF(Mercado_Receita!$T$2:$T$2285,"43739B3Energia convencionalNão se aplicaNão se aplicaNão se aplicaNão se aplicaNão se aplica",Mercado_Receita!$N$2:$N$2285)</f>
        <v>102139.36499999998</v>
      </c>
      <c r="J44" s="14">
        <f>SUMIF(Mercado_Receita!$T$2:$T$2285,"43770B3Energia convencionalNão se aplicaNão se aplicaNão se aplicaNão se aplicaNão se aplica",Mercado_Receita!$N$2:$N$2285)</f>
        <v>109484.93299999998</v>
      </c>
      <c r="K44" s="14">
        <f>SUMIF(Mercado_Receita!$T$2:$T$2285,"43800B3Energia convencionalNão se aplicaNão se aplicaNão se aplicaNão se aplicaNão se aplica",Mercado_Receita!$N$2:$N$2285)</f>
        <v>95837.859999999971</v>
      </c>
      <c r="L44" s="14">
        <f>SUMIF(Mercado_Receita!$T$2:$T$2285,"43831B3Energia convencionalNão se aplicaNão se aplicaNão se aplicaNão se aplicaNão se aplica",Mercado_Receita!$N$2:$N$2285)</f>
        <v>97350.655999999988</v>
      </c>
      <c r="M44" s="14">
        <f>SUMIF(Mercado_Receita!$T$2:$T$2285,"43862B3Energia convencionalNão se aplicaNão se aplicaNão se aplicaNão se aplicaNão se aplica",Mercado_Receita!$N$2:$N$2285)</f>
        <v>94288.007999999987</v>
      </c>
      <c r="N44" s="14">
        <f>SUMIF(Mercado_Receita!$T$2:$T$2285,"43891B3Energia convencionalNão se aplicaNão se aplicaNão se aplicaNão se aplicaNão se aplica",Mercado_Receita!$N$2:$N$2285)</f>
        <v>93540.531999999992</v>
      </c>
      <c r="O44" s="14">
        <f>SUMIF(Mercado_Receita!$T$2:$T$2285,"43922B3Energia convencionalNão se aplicaNão se aplicaNão se aplicaNão se aplicaNão se aplica",Mercado_Receita!$N$2:$N$2285)</f>
        <v>79594.62000000001</v>
      </c>
      <c r="P44" s="14">
        <f>SUMIF(Mercado_Receita!$T$2:$T$2285,"43952B3Energia convencionalNão se aplicaNão se aplicaNão se aplicaNão se aplicaNão se aplica",Mercado_Receita!$N$2:$N$2285)</f>
        <v>72288.335000000006</v>
      </c>
      <c r="Q44" s="14">
        <f>SUMIF(Mercado_Receita!$T$2:$T$2285,"43983B3Energia convencionalNão se aplicaNão se aplicaNão se aplicaNão se aplicaNão se aplica",Mercado_Receita!$N$2:$N$2285)</f>
        <v>66228.692999999999</v>
      </c>
      <c r="R44" s="14">
        <f>SUMIF(Mercado_Receita!$T$2:$T$2285,"44013B3Energia convencionalNão se aplicaNão se aplicaNão se aplicaNão se aplicaNão se aplica",Mercado_Receita!$N$2:$N$2285)</f>
        <v>69489.145999999993</v>
      </c>
      <c r="S44" s="14">
        <f>SUMIF(Mercado_Receita!$T$2:$T$2285,"44044B3Energia convencionalNão se aplicaNão se aplicaNão se aplicaNão se aplicaNão se aplica",Mercado_Receita!$N$2:$N$2285)</f>
        <v>76386.78300000001</v>
      </c>
      <c r="T44" s="14">
        <f>SUMIF(Mercado_Receita!$T$2:$T$2285,"44075B3Energia convencionalNão se aplicaNão se aplicaNão se aplicaNão se aplicaNão se aplica",Mercado_Receita!$N$2:$N$2285)</f>
        <v>76386.78300000001</v>
      </c>
      <c r="U44" s="14">
        <f t="shared" si="0"/>
        <v>1033015.7139999998</v>
      </c>
      <c r="V44" s="14"/>
      <c r="W44" s="14"/>
    </row>
    <row r="45" spans="1:23" ht="11.25" customHeight="1" x14ac:dyDescent="0.25">
      <c r="A45" s="105"/>
      <c r="B45" s="13" t="s">
        <v>101</v>
      </c>
      <c r="C45" s="13" t="s">
        <v>25</v>
      </c>
      <c r="D45" s="13" t="s">
        <v>25</v>
      </c>
      <c r="E45" s="13" t="s">
        <v>25</v>
      </c>
      <c r="F45" s="13" t="s">
        <v>25</v>
      </c>
      <c r="G45" s="14" t="s">
        <v>94</v>
      </c>
      <c r="H45" s="14" t="s">
        <v>88</v>
      </c>
      <c r="I45" s="14">
        <f>SUMIF(Mercado_Receita!$T$2:$T$2285,"43739B3Energia convencional pré-pagamentoNão se aplicaNão se aplicaNão se aplicaNão se aplicaNão se aplica",Mercado_Receita!$N$2:$N$2285)</f>
        <v>0</v>
      </c>
      <c r="J45" s="14">
        <f>SUMIF(Mercado_Receita!$T$2:$T$2285,"43770B3Energia convencional pré-pagamentoNão se aplicaNão se aplicaNão se aplicaNão se aplicaNão se aplica",Mercado_Receita!$N$2:$N$2285)</f>
        <v>0</v>
      </c>
      <c r="K45" s="14">
        <f>SUMIF(Mercado_Receita!$T$2:$T$2285,"43800B3Energia convencional pré-pagamentoNão se aplicaNão se aplicaNão se aplicaNão se aplicaNão se aplica",Mercado_Receita!$N$2:$N$2285)</f>
        <v>0</v>
      </c>
      <c r="L45" s="14">
        <f>SUMIF(Mercado_Receita!$T$2:$T$2285,"43831B3Energia convencional pré-pagamentoNão se aplicaNão se aplicaNão se aplicaNão se aplicaNão se aplica",Mercado_Receita!$N$2:$N$2285)</f>
        <v>0</v>
      </c>
      <c r="M45" s="14">
        <f>SUMIF(Mercado_Receita!$T$2:$T$2285,"43862B3Energia convencional pré-pagamentoNão se aplicaNão se aplicaNão se aplicaNão se aplicaNão se aplica",Mercado_Receita!$N$2:$N$2285)</f>
        <v>0</v>
      </c>
      <c r="N45" s="14">
        <f>SUMIF(Mercado_Receita!$T$2:$T$2285,"43891B3Energia convencional pré-pagamentoNão se aplicaNão se aplicaNão se aplicaNão se aplicaNão se aplica",Mercado_Receita!$N$2:$N$2285)</f>
        <v>0</v>
      </c>
      <c r="O45" s="14">
        <f>SUMIF(Mercado_Receita!$T$2:$T$2285,"43922B3Energia convencional pré-pagamentoNão se aplicaNão se aplicaNão se aplicaNão se aplicaNão se aplica",Mercado_Receita!$N$2:$N$2285)</f>
        <v>0</v>
      </c>
      <c r="P45" s="14">
        <f>SUMIF(Mercado_Receita!$T$2:$T$2285,"43952B3Energia convencional pré-pagamentoNão se aplicaNão se aplicaNão se aplicaNão se aplicaNão se aplica",Mercado_Receita!$N$2:$N$2285)</f>
        <v>0</v>
      </c>
      <c r="Q45" s="14">
        <f>SUMIF(Mercado_Receita!$T$2:$T$2285,"43983B3Energia convencional pré-pagamentoNão se aplicaNão se aplicaNão se aplicaNão se aplicaNão se aplica",Mercado_Receita!$N$2:$N$2285)</f>
        <v>0</v>
      </c>
      <c r="R45" s="14">
        <f>SUMIF(Mercado_Receita!$T$2:$T$2285,"44013B3Energia convencional pré-pagamentoNão se aplicaNão se aplicaNão se aplicaNão se aplicaNão se aplica",Mercado_Receita!$N$2:$N$2285)</f>
        <v>0</v>
      </c>
      <c r="S45" s="14">
        <f>SUMIF(Mercado_Receita!$T$2:$T$2285,"44044B3Energia convencional pré-pagamentoNão se aplicaNão se aplicaNão se aplicaNão se aplicaNão se aplica",Mercado_Receita!$N$2:$N$2285)</f>
        <v>0</v>
      </c>
      <c r="T45" s="14">
        <f>SUMIF(Mercado_Receita!$T$2:$T$2285,"44075B3Energia convencional pré-pagamentoNão se aplicaNão se aplicaNão se aplicaNão se aplicaNão se aplica",Mercado_Receita!$N$2:$N$2285)</f>
        <v>0</v>
      </c>
      <c r="U45" s="14">
        <f t="shared" si="0"/>
        <v>0</v>
      </c>
      <c r="V45" s="14"/>
      <c r="W45" s="14"/>
    </row>
    <row r="46" spans="1:23" ht="11.25" customHeight="1" x14ac:dyDescent="0.25">
      <c r="A46" s="104" t="s">
        <v>49</v>
      </c>
      <c r="B46" s="104" t="s">
        <v>96</v>
      </c>
      <c r="C46" s="104" t="s">
        <v>50</v>
      </c>
      <c r="D46" s="13" t="s">
        <v>51</v>
      </c>
      <c r="E46" s="13" t="s">
        <v>25</v>
      </c>
      <c r="F46" s="13" t="s">
        <v>25</v>
      </c>
      <c r="G46" s="14" t="s">
        <v>94</v>
      </c>
      <c r="H46" s="14" t="s">
        <v>88</v>
      </c>
      <c r="I46" s="14">
        <f>SUMIF(Mercado_Receita!$T$2:$T$2285,"43739B4Energia convencionalIluminação públicaIluminação pública – B4aNão se aplicaNão se aplicaNão se aplica",Mercado_Receita!$N$2:$N$2285)</f>
        <v>35479.278999999995</v>
      </c>
      <c r="J46" s="14">
        <f>SUMIF(Mercado_Receita!$T$2:$T$2285,"43770B4Energia convencionalIluminação públicaIluminação pública – B4aNão se aplicaNão se aplicaNão se aplica",Mercado_Receita!$N$2:$N$2285)</f>
        <v>32795.887000000002</v>
      </c>
      <c r="K46" s="14">
        <f>SUMIF(Mercado_Receita!$T$2:$T$2285,"43800B4Energia convencionalIluminação públicaIluminação pública – B4aNão se aplicaNão se aplicaNão se aplica",Mercado_Receita!$N$2:$N$2285)</f>
        <v>35662.417000000001</v>
      </c>
      <c r="L46" s="14">
        <f>SUMIF(Mercado_Receita!$T$2:$T$2285,"43831B4Energia convencionalIluminação públicaIluminação pública – B4aNão se aplicaNão se aplicaNão se aplica",Mercado_Receita!$N$2:$N$2285)</f>
        <v>35556.023000000001</v>
      </c>
      <c r="M46" s="14">
        <f>SUMIF(Mercado_Receita!$T$2:$T$2285,"43862B4Energia convencionalIluminação públicaIluminação pública – B4aNão se aplicaNão se aplicaNão se aplica",Mercado_Receita!$N$2:$N$2285)</f>
        <v>33382.014999999999</v>
      </c>
      <c r="N46" s="14">
        <f>SUMIF(Mercado_Receita!$T$2:$T$2285,"43891B4Energia convencionalIluminação públicaIluminação pública – B4aNão se aplicaNão se aplicaNão se aplica",Mercado_Receita!$N$2:$N$2285)</f>
        <v>35682.139000000003</v>
      </c>
      <c r="O46" s="14">
        <f>SUMIF(Mercado_Receita!$T$2:$T$2285,"43922B4Energia convencionalIluminação públicaIluminação pública – B4aNão se aplicaNão se aplicaNão se aplica",Mercado_Receita!$N$2:$N$2285)</f>
        <v>34507.243000000002</v>
      </c>
      <c r="P46" s="14">
        <f>SUMIF(Mercado_Receita!$T$2:$T$2285,"43952B4Energia convencionalIluminação públicaIluminação pública – B4aNão se aplicaNão se aplicaNão se aplica",Mercado_Receita!$N$2:$N$2285)</f>
        <v>35057.739000000001</v>
      </c>
      <c r="Q46" s="14">
        <f>SUMIF(Mercado_Receita!$T$2:$T$2285,"43983B4Energia convencionalIluminação públicaIluminação pública – B4aNão se aplicaNão se aplicaNão se aplica",Mercado_Receita!$N$2:$N$2285)</f>
        <v>33965.091</v>
      </c>
      <c r="R46" s="14">
        <f>SUMIF(Mercado_Receita!$T$2:$T$2285,"44013B4Energia convencionalIluminação públicaIluminação pública – B4aNão se aplicaNão se aplicaNão se aplica",Mercado_Receita!$N$2:$N$2285)</f>
        <v>33847.563000000002</v>
      </c>
      <c r="S46" s="14">
        <f>SUMIF(Mercado_Receita!$T$2:$T$2285,"44044B4Energia convencionalIluminação públicaIluminação pública – B4aNão se aplicaNão se aplicaNão se aplica",Mercado_Receita!$N$2:$N$2285)</f>
        <v>36091.771999999997</v>
      </c>
      <c r="T46" s="14">
        <f>SUMIF(Mercado_Receita!$T$2:$T$2285,"44075B4Energia convencionalIluminação públicaIluminação pública – B4aNão se aplicaNão se aplicaNão se aplica",Mercado_Receita!$N$2:$N$2285)</f>
        <v>36091.771999999997</v>
      </c>
      <c r="U46" s="14">
        <f t="shared" si="0"/>
        <v>418118.94</v>
      </c>
      <c r="V46" s="14"/>
      <c r="W46" s="14"/>
    </row>
    <row r="47" spans="1:23" ht="11.25" customHeight="1" x14ac:dyDescent="0.25">
      <c r="A47" s="105"/>
      <c r="B47" s="105"/>
      <c r="C47" s="105"/>
      <c r="D47" s="14" t="s">
        <v>105</v>
      </c>
      <c r="E47" s="14" t="s">
        <v>25</v>
      </c>
      <c r="F47" s="14" t="s">
        <v>25</v>
      </c>
      <c r="G47" s="14" t="s">
        <v>94</v>
      </c>
      <c r="H47" s="14" t="s">
        <v>88</v>
      </c>
      <c r="I47" s="14">
        <f>SUMIF(Mercado_Receita!$T$2:$T$2285,"43739B4Energia convencionalIluminação públicaIluminação pública – B4bNão se aplicaNão se aplicaNão se aplica",Mercado_Receita!$N$2:$N$2285)</f>
        <v>0</v>
      </c>
      <c r="J47" s="14">
        <f>SUMIF(Mercado_Receita!$T$2:$T$2285,"43770B4Energia convencionalIluminação públicaIluminação pública – B4bNão se aplicaNão se aplicaNão se aplica",Mercado_Receita!$N$2:$N$2285)</f>
        <v>0</v>
      </c>
      <c r="K47" s="14">
        <f>SUMIF(Mercado_Receita!$T$2:$T$2285,"43800B4Energia convencionalIluminação públicaIluminação pública – B4bNão se aplicaNão se aplicaNão se aplica",Mercado_Receita!$N$2:$N$2285)</f>
        <v>0</v>
      </c>
      <c r="L47" s="14">
        <f>SUMIF(Mercado_Receita!$T$2:$T$2285,"43831B4Energia convencionalIluminação públicaIluminação pública – B4bNão se aplicaNão se aplicaNão se aplica",Mercado_Receita!$N$2:$N$2285)</f>
        <v>0</v>
      </c>
      <c r="M47" s="14">
        <f>SUMIF(Mercado_Receita!$T$2:$T$2285,"43862B4Energia convencionalIluminação públicaIluminação pública – B4bNão se aplicaNão se aplicaNão se aplica",Mercado_Receita!$N$2:$N$2285)</f>
        <v>0</v>
      </c>
      <c r="N47" s="14">
        <f>SUMIF(Mercado_Receita!$T$2:$T$2285,"43891B4Energia convencionalIluminação públicaIluminação pública – B4bNão se aplicaNão se aplicaNão se aplica",Mercado_Receita!$N$2:$N$2285)</f>
        <v>0</v>
      </c>
      <c r="O47" s="14">
        <f>SUMIF(Mercado_Receita!$T$2:$T$2285,"43922B4Energia convencionalIluminação públicaIluminação pública – B4bNão se aplicaNão se aplicaNão se aplica",Mercado_Receita!$N$2:$N$2285)</f>
        <v>0</v>
      </c>
      <c r="P47" s="14">
        <f>SUMIF(Mercado_Receita!$T$2:$T$2285,"43952B4Energia convencionalIluminação públicaIluminação pública – B4bNão se aplicaNão se aplicaNão se aplica",Mercado_Receita!$N$2:$N$2285)</f>
        <v>0</v>
      </c>
      <c r="Q47" s="14">
        <f>SUMIF(Mercado_Receita!$T$2:$T$2285,"43983B4Energia convencionalIluminação públicaIluminação pública – B4bNão se aplicaNão se aplicaNão se aplica",Mercado_Receita!$N$2:$N$2285)</f>
        <v>0</v>
      </c>
      <c r="R47" s="14">
        <f>SUMIF(Mercado_Receita!$T$2:$T$2285,"44013B4Energia convencionalIluminação públicaIluminação pública – B4bNão se aplicaNão se aplicaNão se aplica",Mercado_Receita!$N$2:$N$2285)</f>
        <v>0</v>
      </c>
      <c r="S47" s="14">
        <f>SUMIF(Mercado_Receita!$T$2:$T$2285,"44044B4Energia convencionalIluminação públicaIluminação pública – B4bNão se aplicaNão se aplicaNão se aplica",Mercado_Receita!$N$2:$N$2285)</f>
        <v>0</v>
      </c>
      <c r="T47" s="14">
        <f>SUMIF(Mercado_Receita!$T$2:$T$2285,"44075B4Energia convencionalIluminação públicaIluminação pública – B4bNão se aplicaNão se aplicaNão se aplica",Mercado_Receita!$N$2:$N$2285)</f>
        <v>0</v>
      </c>
      <c r="U47" s="14">
        <f t="shared" si="0"/>
        <v>0</v>
      </c>
      <c r="V47" s="14"/>
      <c r="W47" s="14"/>
    </row>
    <row r="48" spans="1:23" ht="11.25" customHeight="1" x14ac:dyDescent="0.25">
      <c r="A48" s="106" t="s">
        <v>954</v>
      </c>
      <c r="B48" s="107"/>
      <c r="C48" s="107"/>
      <c r="D48" s="107"/>
      <c r="E48" s="107"/>
      <c r="F48" s="107"/>
      <c r="G48" s="107"/>
      <c r="H48" s="107"/>
      <c r="I48" s="107"/>
      <c r="J48" s="107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4"/>
      <c r="W48" s="14"/>
    </row>
  </sheetData>
  <mergeCells count="62">
    <mergeCell ref="A4:A6"/>
    <mergeCell ref="F2:F3"/>
    <mergeCell ref="E2:E3"/>
    <mergeCell ref="D2:D3"/>
    <mergeCell ref="C2:C3"/>
    <mergeCell ref="B2:B3"/>
    <mergeCell ref="A2:A3"/>
    <mergeCell ref="F4:F5"/>
    <mergeCell ref="E4:E5"/>
    <mergeCell ref="D4:D5"/>
    <mergeCell ref="C4:C5"/>
    <mergeCell ref="B4:B5"/>
    <mergeCell ref="A10:A12"/>
    <mergeCell ref="F7:F8"/>
    <mergeCell ref="E7:E8"/>
    <mergeCell ref="D7:D8"/>
    <mergeCell ref="C7:C8"/>
    <mergeCell ref="B7:B8"/>
    <mergeCell ref="A7:A9"/>
    <mergeCell ref="F10:F11"/>
    <mergeCell ref="E10:E11"/>
    <mergeCell ref="D10:D11"/>
    <mergeCell ref="C10:C11"/>
    <mergeCell ref="B10:B11"/>
    <mergeCell ref="C21:C25"/>
    <mergeCell ref="B21:B25"/>
    <mergeCell ref="A13:A25"/>
    <mergeCell ref="F26:F28"/>
    <mergeCell ref="E26:E28"/>
    <mergeCell ref="D26:D28"/>
    <mergeCell ref="C26:C28"/>
    <mergeCell ref="B26:B28"/>
    <mergeCell ref="F13:F15"/>
    <mergeCell ref="E13:E15"/>
    <mergeCell ref="D13:D15"/>
    <mergeCell ref="C13:C15"/>
    <mergeCell ref="B13:B15"/>
    <mergeCell ref="C16:C20"/>
    <mergeCell ref="B16:B20"/>
    <mergeCell ref="C30:C32"/>
    <mergeCell ref="B30:B32"/>
    <mergeCell ref="F34:F36"/>
    <mergeCell ref="E34:E36"/>
    <mergeCell ref="D34:D36"/>
    <mergeCell ref="C34:C36"/>
    <mergeCell ref="B34:B36"/>
    <mergeCell ref="A46:A47"/>
    <mergeCell ref="B46:B47"/>
    <mergeCell ref="C46:C47"/>
    <mergeCell ref="A48:U48"/>
    <mergeCell ref="C38:C40"/>
    <mergeCell ref="B38:B40"/>
    <mergeCell ref="A26:A40"/>
    <mergeCell ref="F41:F43"/>
    <mergeCell ref="E41:E43"/>
    <mergeCell ref="D41:D43"/>
    <mergeCell ref="C41:C43"/>
    <mergeCell ref="B41:B43"/>
    <mergeCell ref="A41:A45"/>
    <mergeCell ref="F30:F32"/>
    <mergeCell ref="E30:E32"/>
    <mergeCell ref="D30:D32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A0B78-448B-40A7-8F7A-8ED8FE97D01E}">
  <dimension ref="A1:AD200"/>
  <sheetViews>
    <sheetView showGridLines="0" topLeftCell="A34" workbookViewId="0">
      <selection activeCell="L48" sqref="L48:M51"/>
    </sheetView>
  </sheetViews>
  <sheetFormatPr defaultColWidth="8.85546875" defaultRowHeight="12" customHeight="1" x14ac:dyDescent="0.2"/>
  <cols>
    <col min="1" max="1" width="10.5703125" style="16" bestFit="1" customWidth="1"/>
    <col min="2" max="2" width="14.42578125" style="16" bestFit="1" customWidth="1"/>
    <col min="3" max="3" width="18.42578125" style="16" bestFit="1" customWidth="1"/>
    <col min="4" max="4" width="15" style="16" bestFit="1" customWidth="1"/>
    <col min="5" max="5" width="14.5703125" style="16" bestFit="1" customWidth="1"/>
    <col min="6" max="6" width="13.5703125" style="16" bestFit="1" customWidth="1"/>
    <col min="7" max="11" width="8.85546875" style="16"/>
    <col min="12" max="12" width="34.140625" style="16" bestFit="1" customWidth="1"/>
    <col min="13" max="13" width="13.140625" style="16" bestFit="1" customWidth="1"/>
    <col min="14" max="14" width="36.140625" style="16" bestFit="1" customWidth="1"/>
    <col min="15" max="15" width="30.7109375" style="16" customWidth="1"/>
    <col min="16" max="16" width="13.140625" style="16" bestFit="1" customWidth="1"/>
    <col min="17" max="17" width="9.28515625" style="16" bestFit="1" customWidth="1"/>
    <col min="18" max="18" width="6.5703125" style="16" bestFit="1" customWidth="1"/>
    <col min="19" max="19" width="12.5703125" style="16" bestFit="1" customWidth="1"/>
    <col min="20" max="20" width="15.42578125" style="16" bestFit="1" customWidth="1"/>
    <col min="21" max="21" width="10.85546875" style="16" bestFit="1" customWidth="1"/>
    <col min="22" max="22" width="13.28515625" style="16" bestFit="1" customWidth="1"/>
    <col min="23" max="23" width="5" style="16" bestFit="1" customWidth="1"/>
    <col min="24" max="24" width="52.42578125" style="16" bestFit="1" customWidth="1"/>
    <col min="25" max="26" width="5" style="16" bestFit="1" customWidth="1"/>
    <col min="27" max="27" width="2" style="16" bestFit="1" customWidth="1"/>
    <col min="28" max="16384" width="8.85546875" style="16"/>
  </cols>
  <sheetData>
    <row r="1" spans="1:30" ht="12" customHeight="1" x14ac:dyDescent="0.2">
      <c r="A1" s="10" t="s">
        <v>995</v>
      </c>
      <c r="B1" s="10" t="s">
        <v>996</v>
      </c>
      <c r="C1" s="10" t="s">
        <v>997</v>
      </c>
      <c r="D1" s="10" t="s">
        <v>998</v>
      </c>
      <c r="E1" s="10" t="s">
        <v>999</v>
      </c>
      <c r="F1" s="10" t="s">
        <v>1000</v>
      </c>
      <c r="G1" s="7"/>
      <c r="H1" s="7"/>
      <c r="I1" s="7"/>
      <c r="J1" s="7"/>
      <c r="K1" s="7"/>
      <c r="L1" s="117" t="s">
        <v>1001</v>
      </c>
      <c r="M1" s="117"/>
      <c r="N1" s="7"/>
      <c r="O1" s="112" t="s">
        <v>1086</v>
      </c>
      <c r="P1" s="113"/>
      <c r="Q1" s="113"/>
      <c r="R1" s="113"/>
      <c r="S1" s="113"/>
      <c r="T1" s="113"/>
      <c r="U1" s="113"/>
      <c r="V1" s="7"/>
      <c r="W1" s="7"/>
      <c r="X1" s="7"/>
      <c r="Y1" s="7"/>
      <c r="Z1" s="7"/>
      <c r="AA1" s="7"/>
      <c r="AB1" s="7"/>
      <c r="AC1" s="7"/>
      <c r="AD1" s="7"/>
    </row>
    <row r="2" spans="1:30" ht="12" customHeight="1" x14ac:dyDescent="0.2">
      <c r="A2" s="108" t="s">
        <v>955</v>
      </c>
      <c r="B2" s="108" t="s">
        <v>956</v>
      </c>
      <c r="C2" s="18" t="s">
        <v>957</v>
      </c>
      <c r="D2" s="15">
        <v>0</v>
      </c>
      <c r="E2" s="15">
        <v>0</v>
      </c>
      <c r="F2" s="15">
        <v>0</v>
      </c>
      <c r="G2" s="17"/>
      <c r="H2" s="17"/>
      <c r="I2" s="17"/>
      <c r="J2" s="17"/>
      <c r="K2" s="17"/>
      <c r="L2" s="32" t="s">
        <v>1002</v>
      </c>
      <c r="M2" s="80">
        <v>0.14089478367170916</v>
      </c>
      <c r="N2" s="17"/>
      <c r="O2" s="44" t="s">
        <v>43</v>
      </c>
      <c r="P2" s="44" t="s">
        <v>1087</v>
      </c>
      <c r="Q2" s="44" t="s">
        <v>45</v>
      </c>
      <c r="R2" s="44" t="s">
        <v>33</v>
      </c>
      <c r="S2" s="44" t="s">
        <v>44</v>
      </c>
      <c r="T2" s="44" t="s">
        <v>97</v>
      </c>
      <c r="U2" s="44"/>
      <c r="V2" s="17"/>
      <c r="W2" s="17"/>
      <c r="X2" s="32" t="s">
        <v>1053</v>
      </c>
      <c r="Y2" s="17"/>
      <c r="Z2" s="17"/>
      <c r="AA2" s="17" t="s">
        <v>1095</v>
      </c>
      <c r="AB2" s="17"/>
      <c r="AC2" s="17"/>
      <c r="AD2" s="17"/>
    </row>
    <row r="3" spans="1:30" ht="12" customHeight="1" x14ac:dyDescent="0.2">
      <c r="A3" s="118"/>
      <c r="B3" s="118"/>
      <c r="C3" s="18" t="s">
        <v>958</v>
      </c>
      <c r="D3" s="15">
        <v>2275228.0759017272</v>
      </c>
      <c r="E3" s="15">
        <v>-149041.49306630532</v>
      </c>
      <c r="F3" s="15">
        <v>0</v>
      </c>
      <c r="G3" s="17"/>
      <c r="H3" s="17"/>
      <c r="I3" s="17"/>
      <c r="J3" s="17"/>
      <c r="K3" s="17"/>
      <c r="L3" s="32" t="s">
        <v>1003</v>
      </c>
      <c r="M3" s="80"/>
      <c r="N3" s="17"/>
      <c r="O3" s="45">
        <v>1</v>
      </c>
      <c r="P3" s="45">
        <v>1</v>
      </c>
      <c r="Q3" s="45">
        <v>1</v>
      </c>
      <c r="R3" s="45">
        <v>1</v>
      </c>
      <c r="S3" s="45">
        <v>1</v>
      </c>
      <c r="T3" s="45">
        <v>1</v>
      </c>
      <c r="U3" s="45" t="s">
        <v>1088</v>
      </c>
      <c r="V3" s="17"/>
      <c r="W3" s="17"/>
      <c r="X3" s="32" t="s">
        <v>1054</v>
      </c>
      <c r="Y3" s="17"/>
      <c r="Z3" s="17"/>
      <c r="AA3" s="17">
        <v>0</v>
      </c>
      <c r="AB3" s="17"/>
      <c r="AC3" s="17"/>
      <c r="AD3" s="17"/>
    </row>
    <row r="4" spans="1:30" ht="12" customHeight="1" x14ac:dyDescent="0.2">
      <c r="A4" s="118"/>
      <c r="B4" s="118"/>
      <c r="C4" s="18" t="s">
        <v>959</v>
      </c>
      <c r="D4" s="15">
        <f>$M$22-D$30</f>
        <v>10614130.124088451</v>
      </c>
      <c r="E4" s="15">
        <f>IF((D4+D$30)&lt;&gt;0,$M$20*D4/(D4+D$30),0)</f>
        <v>1428.0658642872843</v>
      </c>
      <c r="F4" s="15">
        <f>IF((D4+D$30)&lt;&gt;0,$M$21*D4/(D4+D$30),0)</f>
        <v>0</v>
      </c>
      <c r="G4" s="17"/>
      <c r="H4" s="17"/>
      <c r="I4" s="17"/>
      <c r="J4" s="17"/>
      <c r="K4" s="17"/>
      <c r="L4" s="32" t="s">
        <v>1004</v>
      </c>
      <c r="M4" s="80">
        <v>0.17936829983078972</v>
      </c>
      <c r="N4" s="17"/>
      <c r="O4" s="45">
        <v>1</v>
      </c>
      <c r="P4" s="45">
        <v>1</v>
      </c>
      <c r="Q4" s="45">
        <v>1</v>
      </c>
      <c r="R4" s="45">
        <v>1</v>
      </c>
      <c r="S4" s="45">
        <v>1</v>
      </c>
      <c r="T4" s="45">
        <v>1</v>
      </c>
      <c r="U4" s="45" t="s">
        <v>64</v>
      </c>
      <c r="V4" s="17"/>
      <c r="W4" s="17"/>
      <c r="X4" s="17"/>
      <c r="Y4" s="17"/>
      <c r="Z4" s="17"/>
      <c r="AA4" s="17"/>
      <c r="AB4" s="17"/>
      <c r="AC4" s="17"/>
      <c r="AD4" s="17"/>
    </row>
    <row r="5" spans="1:30" ht="12" customHeight="1" x14ac:dyDescent="0.2">
      <c r="A5" s="118"/>
      <c r="B5" s="118"/>
      <c r="C5" s="18" t="s">
        <v>960</v>
      </c>
      <c r="D5" s="15">
        <v>0</v>
      </c>
      <c r="E5" s="15">
        <v>0</v>
      </c>
      <c r="F5" s="15">
        <v>0</v>
      </c>
      <c r="G5" s="17"/>
      <c r="H5" s="17"/>
      <c r="I5" s="17"/>
      <c r="J5" s="17"/>
      <c r="K5" s="17"/>
      <c r="L5" s="32" t="s">
        <v>1005</v>
      </c>
      <c r="M5" s="80">
        <v>0.01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</row>
    <row r="6" spans="1:30" ht="12" customHeight="1" x14ac:dyDescent="0.2">
      <c r="A6" s="118"/>
      <c r="B6" s="118"/>
      <c r="C6" s="18" t="s">
        <v>961</v>
      </c>
      <c r="D6" s="15">
        <v>0</v>
      </c>
      <c r="E6" s="15">
        <v>0</v>
      </c>
      <c r="F6" s="15">
        <v>0</v>
      </c>
      <c r="G6" s="17"/>
      <c r="H6" s="17"/>
      <c r="I6" s="17"/>
      <c r="J6" s="17"/>
      <c r="K6" s="17"/>
      <c r="L6" s="32" t="s">
        <v>1006</v>
      </c>
      <c r="M6" s="80">
        <v>0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</row>
    <row r="7" spans="1:30" ht="12" customHeight="1" x14ac:dyDescent="0.2">
      <c r="A7" s="118"/>
      <c r="B7" s="118"/>
      <c r="C7" s="18" t="s">
        <v>962</v>
      </c>
      <c r="D7" s="15">
        <v>343888375.74232566</v>
      </c>
      <c r="E7" s="15">
        <v>-11196254.455512114</v>
      </c>
      <c r="F7" s="15">
        <v>38454708.07395687</v>
      </c>
      <c r="G7" s="17"/>
      <c r="H7" s="17"/>
      <c r="I7" s="17"/>
      <c r="J7" s="17"/>
      <c r="K7" s="17"/>
      <c r="L7" s="32" t="s">
        <v>1007</v>
      </c>
      <c r="M7" s="32">
        <f>M8+M9+M10+M11</f>
        <v>959013.07532989013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</row>
    <row r="8" spans="1:30" ht="12" customHeight="1" x14ac:dyDescent="0.2">
      <c r="A8" s="118"/>
      <c r="B8" s="118"/>
      <c r="C8" s="18" t="s">
        <v>963</v>
      </c>
      <c r="D8" s="15">
        <v>46565614.407255195</v>
      </c>
      <c r="E8" s="15">
        <v>-17765.676831671968</v>
      </c>
      <c r="F8" s="15">
        <v>-5795217.5811314899</v>
      </c>
      <c r="G8" s="17"/>
      <c r="H8" s="17"/>
      <c r="I8" s="17"/>
      <c r="J8" s="17"/>
      <c r="K8" s="17"/>
      <c r="L8" s="81" t="s">
        <v>1008</v>
      </c>
      <c r="M8" s="32">
        <v>532620.79209888994</v>
      </c>
      <c r="N8" s="17"/>
      <c r="O8" s="32" t="s">
        <v>1041</v>
      </c>
      <c r="P8" s="45">
        <v>9.9999999999999995E-7</v>
      </c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</row>
    <row r="9" spans="1:30" ht="12" customHeight="1" x14ac:dyDescent="0.2">
      <c r="A9" s="118"/>
      <c r="B9" s="118"/>
      <c r="C9" s="18" t="s">
        <v>964</v>
      </c>
      <c r="D9" s="15"/>
      <c r="E9" s="15">
        <v>0</v>
      </c>
      <c r="F9" s="15">
        <v>0</v>
      </c>
      <c r="G9" s="17"/>
      <c r="H9" s="17"/>
      <c r="I9" s="17"/>
      <c r="J9" s="17"/>
      <c r="K9" s="17"/>
      <c r="L9" s="82" t="s">
        <v>1009</v>
      </c>
      <c r="M9" s="32">
        <v>273748.01603100018</v>
      </c>
      <c r="N9" s="17"/>
      <c r="O9" s="32" t="s">
        <v>1044</v>
      </c>
      <c r="P9" s="45">
        <f>SUM(Mercado_Receita!$J$2:$J$2285)</f>
        <v>15009796</v>
      </c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</row>
    <row r="10" spans="1:30" ht="12" customHeight="1" x14ac:dyDescent="0.2">
      <c r="A10" s="118"/>
      <c r="B10" s="109"/>
      <c r="C10" s="18" t="s">
        <v>965</v>
      </c>
      <c r="D10" s="15">
        <f>SUM(D$2:D9)</f>
        <v>403343348.34957099</v>
      </c>
      <c r="E10" s="15">
        <f>SUM(E$2:E9)</f>
        <v>-11361633.559545804</v>
      </c>
      <c r="F10" s="15">
        <f>SUM(F$2:F9)</f>
        <v>32659490.492825381</v>
      </c>
      <c r="G10" s="17"/>
      <c r="H10" s="17"/>
      <c r="I10" s="17"/>
      <c r="J10" s="17"/>
      <c r="K10" s="17"/>
      <c r="L10" s="81" t="s">
        <v>1010</v>
      </c>
      <c r="M10" s="32">
        <v>20020.259201206125</v>
      </c>
      <c r="N10" s="17"/>
      <c r="O10" s="32" t="s">
        <v>1045</v>
      </c>
      <c r="P10" s="45">
        <f>SUM(Mercado_Receita!$L$2:$L$2285)</f>
        <v>6333320.0939999921</v>
      </c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</row>
    <row r="11" spans="1:30" ht="12" customHeight="1" x14ac:dyDescent="0.2">
      <c r="A11" s="118"/>
      <c r="B11" s="108" t="s">
        <v>966</v>
      </c>
      <c r="C11" s="18" t="s">
        <v>967</v>
      </c>
      <c r="D11" s="15">
        <v>238331541</v>
      </c>
      <c r="E11" s="15">
        <v>-1743121.3283396903</v>
      </c>
      <c r="F11" s="15">
        <f>IF((+$D$11+$D$12+$D$16+$D$17+$D$38)&lt;&gt;0,$M$19*$D$11/(+$D$11+$D$12+$D$16+$D$17+$D$38),0)</f>
        <v>11084387.28354905</v>
      </c>
      <c r="G11" s="17"/>
      <c r="H11" s="17"/>
      <c r="I11" s="17"/>
      <c r="J11" s="17"/>
      <c r="K11" s="17"/>
      <c r="L11" s="81" t="s">
        <v>1011</v>
      </c>
      <c r="M11" s="32">
        <v>132624.00799879388</v>
      </c>
      <c r="N11" s="17"/>
      <c r="O11" s="32" t="s">
        <v>1046</v>
      </c>
      <c r="P11" s="45">
        <f>SUM(Mercado_Receita!$N$2:$N$2285)</f>
        <v>5341782.1509999996</v>
      </c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</row>
    <row r="12" spans="1:30" ht="12" customHeight="1" x14ac:dyDescent="0.2">
      <c r="A12" s="118"/>
      <c r="B12" s="118"/>
      <c r="C12" s="18" t="s">
        <v>968</v>
      </c>
      <c r="D12" s="15">
        <v>61991097</v>
      </c>
      <c r="E12" s="15">
        <v>3258066.3460147842</v>
      </c>
      <c r="F12" s="15">
        <f>IF((+$D$11+$D$12+$D$16+$D$17+$D$38)&lt;&gt;0,$M$19*$D$12/(+$D$11+$D$12+$D$16+$D$17+$D$38),0)</f>
        <v>2883098.5793863335</v>
      </c>
      <c r="G12" s="17"/>
      <c r="H12" s="17"/>
      <c r="I12" s="17"/>
      <c r="J12" s="17"/>
      <c r="K12" s="17"/>
      <c r="L12" s="32" t="s">
        <v>1012</v>
      </c>
      <c r="M12" s="32">
        <v>6300795.2263298929</v>
      </c>
      <c r="N12" s="17"/>
      <c r="O12" s="32" t="s">
        <v>1047</v>
      </c>
      <c r="P12" s="45">
        <f>SUMIF('MERCADO TUSD'!$H$2:$H$83,"kW",'MERCADO TUSD'!$U$2:$U$83)</f>
        <v>15009796</v>
      </c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</row>
    <row r="13" spans="1:30" ht="12" customHeight="1" x14ac:dyDescent="0.2">
      <c r="A13" s="118"/>
      <c r="B13" s="118"/>
      <c r="C13" s="18" t="s">
        <v>969</v>
      </c>
      <c r="D13" s="15">
        <f>-$M$51+8074316.27027259</f>
        <v>8074316.2702725902</v>
      </c>
      <c r="E13" s="15">
        <v>34341.478047883065</v>
      </c>
      <c r="F13" s="15">
        <v>0</v>
      </c>
      <c r="G13" s="17"/>
      <c r="H13" s="17"/>
      <c r="I13" s="17"/>
      <c r="J13" s="17"/>
      <c r="K13" s="17"/>
      <c r="L13" s="32" t="s">
        <v>1013</v>
      </c>
      <c r="M13" s="32">
        <v>135895.71135577216</v>
      </c>
      <c r="N13" s="17"/>
      <c r="O13" s="32" t="s">
        <v>1048</v>
      </c>
      <c r="P13" s="45">
        <f>SUMIF('MERCADO TUSD'!$H$2:$H$83,"MWh",'MERCADO TUSD'!$U$2:$U$83)</f>
        <v>6333320.0939999996</v>
      </c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</row>
    <row r="14" spans="1:30" ht="12" customHeight="1" x14ac:dyDescent="0.2">
      <c r="A14" s="118"/>
      <c r="B14" s="118"/>
      <c r="C14" s="18" t="s">
        <v>970</v>
      </c>
      <c r="D14" s="15">
        <v>0</v>
      </c>
      <c r="E14" s="15">
        <v>0</v>
      </c>
      <c r="F14" s="15">
        <v>0</v>
      </c>
      <c r="G14" s="17"/>
      <c r="H14" s="17"/>
      <c r="I14" s="17"/>
      <c r="J14" s="17"/>
      <c r="K14" s="17"/>
      <c r="L14" s="32" t="s">
        <v>1014</v>
      </c>
      <c r="M14" s="32">
        <v>225.59438854709137</v>
      </c>
      <c r="N14" s="17"/>
      <c r="O14" s="32" t="s">
        <v>1049</v>
      </c>
      <c r="P14" s="45">
        <f>SUMIF('MERCADO TE'!$H$2:$H$47,"MWh",'MERCADO TE'!$U$2:$U$47)</f>
        <v>5341782.1510000005</v>
      </c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</row>
    <row r="15" spans="1:30" ht="12" customHeight="1" x14ac:dyDescent="0.2">
      <c r="A15" s="118"/>
      <c r="B15" s="118"/>
      <c r="C15" s="18" t="s">
        <v>971</v>
      </c>
      <c r="D15" s="15">
        <v>0</v>
      </c>
      <c r="E15" s="15">
        <v>0</v>
      </c>
      <c r="F15" s="15">
        <v>0</v>
      </c>
      <c r="G15" s="17"/>
      <c r="H15" s="17"/>
      <c r="I15" s="17"/>
      <c r="J15" s="17"/>
      <c r="K15" s="17"/>
      <c r="L15" s="32" t="s">
        <v>1015</v>
      </c>
      <c r="M15" s="32">
        <f>M14*M12</f>
        <v>1421424046.4443243</v>
      </c>
      <c r="N15" s="17"/>
      <c r="O15" s="32" t="s">
        <v>1050</v>
      </c>
      <c r="P15" s="45" t="str">
        <f>IF(ABS(P9-P12)&gt;1,"ERRO","OK")</f>
        <v>OK</v>
      </c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</row>
    <row r="16" spans="1:30" ht="12" customHeight="1" x14ac:dyDescent="0.2">
      <c r="A16" s="118"/>
      <c r="B16" s="118"/>
      <c r="C16" s="18" t="s">
        <v>972</v>
      </c>
      <c r="D16" s="15">
        <v>0</v>
      </c>
      <c r="E16" s="15">
        <v>0</v>
      </c>
      <c r="F16" s="15">
        <f>IF((+$D$11+$D$12+$D$16+$D$17+$D$38)&lt;&gt;0,$M$19*$D$16/(+$D$11+$D$12+$D$16+$D$17+$D$38),0)</f>
        <v>0</v>
      </c>
      <c r="G16" s="17"/>
      <c r="H16" s="17"/>
      <c r="I16" s="17"/>
      <c r="J16" s="17"/>
      <c r="K16" s="17"/>
      <c r="L16" s="32" t="s">
        <v>1016</v>
      </c>
      <c r="M16" s="32">
        <v>-252354931.1000272</v>
      </c>
      <c r="N16" s="17"/>
      <c r="O16" s="32" t="s">
        <v>1051</v>
      </c>
      <c r="P16" s="45" t="str">
        <f>IF(ABS(P10-P13)&gt;1,"ERRO","OK")</f>
        <v>OK</v>
      </c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</row>
    <row r="17" spans="1:30" ht="12" customHeight="1" x14ac:dyDescent="0.2">
      <c r="A17" s="118"/>
      <c r="B17" s="118"/>
      <c r="C17" s="18" t="s">
        <v>973</v>
      </c>
      <c r="D17" s="15">
        <v>757068</v>
      </c>
      <c r="E17" s="15">
        <v>105899.66550827415</v>
      </c>
      <c r="F17" s="15">
        <f>IF((+$D$11+$D$12+$D$16+$D$17+$D$38)&lt;&gt;0,$M$19*$D$17/(+$D$11+$D$12+$D$16+$D$17+$D$38),0)</f>
        <v>35209.92176181126</v>
      </c>
      <c r="G17" s="17"/>
      <c r="H17" s="17"/>
      <c r="I17" s="17"/>
      <c r="J17" s="17"/>
      <c r="K17" s="17"/>
      <c r="L17" s="32" t="s">
        <v>1017</v>
      </c>
      <c r="M17" s="32">
        <v>128366972.64428692</v>
      </c>
      <c r="N17" s="17"/>
      <c r="O17" s="32" t="s">
        <v>1052</v>
      </c>
      <c r="P17" s="45" t="str">
        <f>IF(ABS(P11-P14)&gt;1,"ERRO","OK")</f>
        <v>OK</v>
      </c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</row>
    <row r="18" spans="1:30" ht="12" customHeight="1" x14ac:dyDescent="0.2">
      <c r="A18" s="118"/>
      <c r="B18" s="109"/>
      <c r="C18" s="18" t="s">
        <v>965</v>
      </c>
      <c r="D18" s="15">
        <f>SUM(D$11:D17)</f>
        <v>309154022.27027261</v>
      </c>
      <c r="E18" s="15">
        <f>SUM(E$11:E17)</f>
        <v>1655186.1612312512</v>
      </c>
      <c r="F18" s="15">
        <f>SUM(F$11:F17)</f>
        <v>14002695.784697194</v>
      </c>
      <c r="G18" s="17"/>
      <c r="H18" s="17"/>
      <c r="I18" s="17"/>
      <c r="J18" s="17"/>
      <c r="K18" s="17"/>
      <c r="L18" s="32" t="s">
        <v>1018</v>
      </c>
      <c r="M18" s="32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</row>
    <row r="19" spans="1:30" ht="12" customHeight="1" x14ac:dyDescent="0.2">
      <c r="A19" s="118"/>
      <c r="B19" s="108" t="s">
        <v>974</v>
      </c>
      <c r="C19" s="18" t="s">
        <v>975</v>
      </c>
      <c r="D19" s="15">
        <v>526859621.2744624</v>
      </c>
      <c r="E19" s="15">
        <v>0</v>
      </c>
      <c r="F19" s="15">
        <v>0</v>
      </c>
      <c r="G19" s="17"/>
      <c r="H19" s="17"/>
      <c r="I19" s="17"/>
      <c r="J19" s="17"/>
      <c r="K19" s="17"/>
      <c r="L19" s="32" t="s">
        <v>1019</v>
      </c>
      <c r="M19" s="32">
        <v>15335764.229410361</v>
      </c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</row>
    <row r="20" spans="1:30" ht="12" customHeight="1" x14ac:dyDescent="0.2">
      <c r="A20" s="118"/>
      <c r="B20" s="109"/>
      <c r="C20" s="18" t="s">
        <v>965</v>
      </c>
      <c r="D20" s="15">
        <f>SUM(D$19:D19)</f>
        <v>526859621.2744624</v>
      </c>
      <c r="E20" s="15">
        <f>SUM(E$19:E19)</f>
        <v>0</v>
      </c>
      <c r="F20" s="15">
        <f>SUM(F$19:F19)</f>
        <v>0</v>
      </c>
      <c r="G20" s="17"/>
      <c r="H20" s="17"/>
      <c r="I20" s="17"/>
      <c r="J20" s="17"/>
      <c r="K20" s="17"/>
      <c r="L20" s="32" t="s">
        <v>1020</v>
      </c>
      <c r="M20" s="32">
        <v>3161.6709543141042</v>
      </c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</row>
    <row r="21" spans="1:30" ht="12" customHeight="1" x14ac:dyDescent="0.2">
      <c r="A21" s="118"/>
      <c r="B21" s="108" t="s">
        <v>976</v>
      </c>
      <c r="C21" s="18" t="s">
        <v>977</v>
      </c>
      <c r="D21" s="15"/>
      <c r="E21" s="15">
        <f>IF($D$46&lt;&gt;0,(1-$D$45/$D$46)*0,0)+0</f>
        <v>0</v>
      </c>
      <c r="F21" s="15"/>
      <c r="G21" s="17"/>
      <c r="H21" s="17"/>
      <c r="I21" s="17"/>
      <c r="J21" s="17"/>
      <c r="K21" s="17"/>
      <c r="L21" s="32" t="s">
        <v>1021</v>
      </c>
      <c r="M21" s="32">
        <v>0</v>
      </c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</row>
    <row r="22" spans="1:30" ht="12" customHeight="1" x14ac:dyDescent="0.2">
      <c r="A22" s="118"/>
      <c r="B22" s="118"/>
      <c r="C22" s="18" t="s">
        <v>978</v>
      </c>
      <c r="D22" s="15"/>
      <c r="E22" s="15"/>
      <c r="F22" s="15"/>
      <c r="G22" s="17"/>
      <c r="H22" s="17"/>
      <c r="I22" s="17"/>
      <c r="J22" s="17"/>
      <c r="K22" s="17"/>
      <c r="L22" s="32" t="s">
        <v>1042</v>
      </c>
      <c r="M22" s="32">
        <v>23499187.087837197</v>
      </c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</row>
    <row r="23" spans="1:30" ht="12" customHeight="1" x14ac:dyDescent="0.2">
      <c r="A23" s="118"/>
      <c r="B23" s="109"/>
      <c r="C23" s="18" t="s">
        <v>965</v>
      </c>
      <c r="D23" s="15">
        <f>SUM(D$21:D22)</f>
        <v>0</v>
      </c>
      <c r="E23" s="15">
        <f>SUM(E$21:E22)</f>
        <v>0</v>
      </c>
      <c r="F23" s="15">
        <f>SUM(F$21:F22)</f>
        <v>0</v>
      </c>
      <c r="G23" s="17"/>
      <c r="H23" s="17"/>
      <c r="I23" s="17"/>
      <c r="J23" s="17"/>
      <c r="K23" s="17"/>
      <c r="L23" s="32" t="s">
        <v>1022</v>
      </c>
      <c r="M23" s="32">
        <v>17</v>
      </c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</row>
    <row r="24" spans="1:30" ht="12" customHeight="1" x14ac:dyDescent="0.2">
      <c r="A24" s="118"/>
      <c r="B24" s="108" t="s">
        <v>979</v>
      </c>
      <c r="C24" s="18" t="s">
        <v>980</v>
      </c>
      <c r="D24" s="15">
        <f>$M$14*$M$8</f>
        <v>120156261.92101654</v>
      </c>
      <c r="E24" s="15">
        <f>$M$16*$M$8/$M$12</f>
        <v>-21332145.937846728</v>
      </c>
      <c r="F24" s="15">
        <f>$M$17*$M$8/$M$12</f>
        <v>10851157.067194762</v>
      </c>
      <c r="G24" s="17"/>
      <c r="H24" s="17"/>
      <c r="I24" s="17"/>
      <c r="J24" s="17"/>
      <c r="K24" s="17"/>
      <c r="L24" s="32" t="s">
        <v>1023</v>
      </c>
      <c r="M24" s="32">
        <v>0</v>
      </c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</row>
    <row r="25" spans="1:30" ht="12" customHeight="1" x14ac:dyDescent="0.2">
      <c r="A25" s="118"/>
      <c r="B25" s="118"/>
      <c r="C25" s="18" t="s">
        <v>981</v>
      </c>
      <c r="D25" s="15">
        <f>$M$14*$M$10</f>
        <v>4516458.1330503756</v>
      </c>
      <c r="E25" s="15">
        <f>$M$16*$M$10/$M$12</f>
        <v>-801837.06180654361</v>
      </c>
      <c r="F25" s="15">
        <f>$M$17*$M$10/$M$12</f>
        <v>407875.50982032262</v>
      </c>
      <c r="G25" s="17"/>
      <c r="H25" s="17"/>
      <c r="I25" s="17"/>
      <c r="J25" s="17"/>
      <c r="K25" s="17"/>
      <c r="L25" s="32" t="s">
        <v>1024</v>
      </c>
      <c r="M25" s="32">
        <v>0</v>
      </c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</row>
    <row r="26" spans="1:30" ht="12" customHeight="1" x14ac:dyDescent="0.2">
      <c r="A26" s="118"/>
      <c r="B26" s="118"/>
      <c r="C26" s="18" t="s">
        <v>982</v>
      </c>
      <c r="D26" s="15">
        <f>$M$14*$M$9</f>
        <v>61756016.292492852</v>
      </c>
      <c r="E26" s="15">
        <f>$M$16*$M$9/$M$12</f>
        <v>-10963959.189721374</v>
      </c>
      <c r="F26" s="15">
        <f>$M$17*$M$9/$M$12</f>
        <v>5577106.1942204703</v>
      </c>
      <c r="G26" s="17"/>
      <c r="H26" s="17"/>
      <c r="I26" s="17"/>
      <c r="J26" s="17"/>
      <c r="K26" s="17"/>
      <c r="L26" s="32" t="s">
        <v>1025</v>
      </c>
      <c r="M26" s="32">
        <v>0</v>
      </c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</row>
    <row r="27" spans="1:30" ht="12" customHeight="1" x14ac:dyDescent="0.2">
      <c r="A27" s="118"/>
      <c r="B27" s="118"/>
      <c r="C27" s="18" t="s">
        <v>983</v>
      </c>
      <c r="D27" s="15">
        <v>14252067.115893451</v>
      </c>
      <c r="E27" s="15">
        <v>236692.82580248686</v>
      </c>
      <c r="F27" s="15">
        <v>0</v>
      </c>
      <c r="G27" s="17"/>
      <c r="H27" s="17"/>
      <c r="I27" s="17"/>
      <c r="J27" s="17"/>
      <c r="K27" s="17"/>
      <c r="L27" s="32" t="s">
        <v>1026</v>
      </c>
      <c r="M27" s="32">
        <v>0</v>
      </c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</row>
    <row r="28" spans="1:30" ht="12" customHeight="1" x14ac:dyDescent="0.2">
      <c r="A28" s="118"/>
      <c r="B28" s="109"/>
      <c r="C28" s="18" t="s">
        <v>965</v>
      </c>
      <c r="D28" s="15">
        <f>SUM(D$24:D27)</f>
        <v>200680803.46245322</v>
      </c>
      <c r="E28" s="15">
        <f>SUM(E$24:E27)</f>
        <v>-32861249.363572162</v>
      </c>
      <c r="F28" s="15">
        <f>SUM(F$24:F27)</f>
        <v>16836138.771235555</v>
      </c>
      <c r="G28" s="17"/>
      <c r="H28" s="17"/>
      <c r="I28" s="17"/>
      <c r="J28" s="17"/>
      <c r="K28" s="17"/>
      <c r="L28" s="32" t="s">
        <v>1027</v>
      </c>
      <c r="M28" s="32">
        <v>0</v>
      </c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</row>
    <row r="29" spans="1:30" ht="12" customHeight="1" x14ac:dyDescent="0.2">
      <c r="A29" s="109"/>
      <c r="B29" s="110" t="s">
        <v>965</v>
      </c>
      <c r="C29" s="111"/>
      <c r="D29" s="15">
        <f>SUMIF(C$2:C28,"SUBTOTAL",D$2:D28)</f>
        <v>1440037795.3567591</v>
      </c>
      <c r="E29" s="15">
        <f>SUMIF(C$2:C28,"SUBTOTAL",E$2:E28)</f>
        <v>-42567696.761886716</v>
      </c>
      <c r="F29" s="15">
        <f>SUMIF(C$2:C28,"SUBTOTAL",F$2:F28)</f>
        <v>63498325.048758134</v>
      </c>
      <c r="G29" s="17"/>
      <c r="H29" s="17"/>
      <c r="I29" s="17"/>
      <c r="J29" s="17"/>
      <c r="K29" s="17"/>
      <c r="L29" s="32" t="s">
        <v>1028</v>
      </c>
      <c r="M29" s="32">
        <v>0</v>
      </c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</row>
    <row r="30" spans="1:30" ht="12" customHeight="1" x14ac:dyDescent="0.2">
      <c r="A30" s="108" t="s">
        <v>984</v>
      </c>
      <c r="B30" s="108" t="s">
        <v>956</v>
      </c>
      <c r="C30" s="18" t="s">
        <v>959</v>
      </c>
      <c r="D30" s="15">
        <f>IFERROR($M$5*(+D$31+D$32+D$33+D$35+D$37+D$38+D$39+D$43)+($M$5^2)*(+D$31+D$32+D$33+D$35+D$37+D$38+D$39+D$43)/$M$22*(+$E$3+$F$3+$E$8+$F$8+$E$9+$F$9+$E$11+$F$11+$E$12+$F$12+$E$13+$F$13+$E$14+$F$14+$E$15+$F$15+$E$16+$F$16+$E$17+$F$17+$E$19+$F$19+$E$22+$F$22+$E$24+$F$24+$E$25+$F$25+$E$26+$F$26+$E$27+$F$27+$E$31+$F$31+$E$32+$F$32+$E$33+$F$33+$E$35+$F$35+$E$37+$F$37+$E$38+$F$38+$E$39+$F$39+$E$43+$F$43),0)</f>
        <v>12885056.963748746</v>
      </c>
      <c r="E30" s="15">
        <f>IF((D30+D$4)&lt;&gt;0,$M$20*D30/(D30+D$4),0)</f>
        <v>1733.6050900268199</v>
      </c>
      <c r="F30" s="15">
        <f>IF((D30+D$4)&lt;&gt;0,$M$21*D30/(D30+D$4),0)</f>
        <v>0</v>
      </c>
      <c r="G30" s="17"/>
      <c r="H30" s="17"/>
      <c r="I30" s="17"/>
      <c r="J30" s="17"/>
      <c r="K30" s="17"/>
      <c r="L30" s="32" t="s">
        <v>1029</v>
      </c>
      <c r="M30" s="32">
        <v>0</v>
      </c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</row>
    <row r="31" spans="1:30" ht="12" customHeight="1" x14ac:dyDescent="0.2">
      <c r="A31" s="118"/>
      <c r="B31" s="118"/>
      <c r="C31" s="18" t="s">
        <v>985</v>
      </c>
      <c r="D31" s="15">
        <v>62055958.389039129</v>
      </c>
      <c r="E31" s="15">
        <v>76043107.666173726</v>
      </c>
      <c r="F31" s="15">
        <v>-66636027.845815107</v>
      </c>
      <c r="G31" s="17"/>
      <c r="H31" s="17"/>
      <c r="I31" s="17"/>
      <c r="J31" s="17"/>
      <c r="K31" s="17"/>
      <c r="L31" s="32" t="s">
        <v>1030</v>
      </c>
      <c r="M31" s="32">
        <v>0</v>
      </c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</row>
    <row r="32" spans="1:30" ht="12" customHeight="1" x14ac:dyDescent="0.2">
      <c r="A32" s="118"/>
      <c r="B32" s="118"/>
      <c r="C32" s="18" t="s">
        <v>986</v>
      </c>
      <c r="D32" s="15">
        <v>0</v>
      </c>
      <c r="E32" s="15">
        <v>0</v>
      </c>
      <c r="F32" s="15">
        <v>0</v>
      </c>
      <c r="G32" s="17"/>
      <c r="H32" s="17"/>
      <c r="I32" s="17"/>
      <c r="J32" s="17"/>
      <c r="K32" s="17"/>
      <c r="L32" s="32" t="s">
        <v>1031</v>
      </c>
      <c r="M32" s="32">
        <v>0.45</v>
      </c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</row>
    <row r="33" spans="1:30" ht="12" customHeight="1" x14ac:dyDescent="0.2">
      <c r="A33" s="118"/>
      <c r="B33" s="118"/>
      <c r="C33" s="18" t="s">
        <v>987</v>
      </c>
      <c r="D33" s="15">
        <v>9.9999999999999995E-7</v>
      </c>
      <c r="E33" s="15">
        <v>-754995.89864914492</v>
      </c>
      <c r="F33" s="15">
        <v>-30115181.7788</v>
      </c>
      <c r="G33" s="17"/>
      <c r="H33" s="17"/>
      <c r="I33" s="17"/>
      <c r="J33" s="17"/>
      <c r="K33" s="17"/>
      <c r="L33" s="32" t="s">
        <v>1032</v>
      </c>
      <c r="M33" s="32">
        <v>0.4</v>
      </c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</row>
    <row r="34" spans="1:30" ht="12" customHeight="1" x14ac:dyDescent="0.2">
      <c r="A34" s="118"/>
      <c r="B34" s="109"/>
      <c r="C34" s="18" t="s">
        <v>965</v>
      </c>
      <c r="D34" s="15">
        <f>SUM(D$30:D33)</f>
        <v>74941015.35278888</v>
      </c>
      <c r="E34" s="15">
        <f>SUM(E$30:E33)</f>
        <v>75289845.372614607</v>
      </c>
      <c r="F34" s="15">
        <f>SUM(F$30:F33)</f>
        <v>-96751209.624615103</v>
      </c>
      <c r="G34" s="17"/>
      <c r="H34" s="17"/>
      <c r="I34" s="17"/>
      <c r="J34" s="17"/>
      <c r="K34" s="17"/>
      <c r="L34" s="32" t="s">
        <v>1033</v>
      </c>
      <c r="M34" s="32">
        <v>0.65</v>
      </c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</row>
    <row r="35" spans="1:30" ht="12" customHeight="1" x14ac:dyDescent="0.2">
      <c r="A35" s="118"/>
      <c r="B35" s="108" t="s">
        <v>988</v>
      </c>
      <c r="C35" s="18" t="s">
        <v>989</v>
      </c>
      <c r="D35" s="15">
        <f>$M$14*($M$12-$M$7)</f>
        <v>1205076078.106612</v>
      </c>
      <c r="E35" s="15">
        <f>$M$16*($M$12-$M$7)/$M$12</f>
        <v>-213945227.26810828</v>
      </c>
      <c r="F35" s="15">
        <f>$M$17*($M$12-$M$7)/$M$12</f>
        <v>108828866.61412276</v>
      </c>
      <c r="G35" s="17"/>
      <c r="H35" s="17"/>
      <c r="I35" s="17"/>
      <c r="J35" s="17"/>
      <c r="K35" s="17"/>
      <c r="L35" s="32" t="s">
        <v>1034</v>
      </c>
      <c r="M35" s="32">
        <v>0.4</v>
      </c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</row>
    <row r="36" spans="1:30" ht="12" customHeight="1" x14ac:dyDescent="0.2">
      <c r="A36" s="118"/>
      <c r="B36" s="109"/>
      <c r="C36" s="18" t="s">
        <v>965</v>
      </c>
      <c r="D36" s="15">
        <f>SUM(D$35:D35)</f>
        <v>1205076078.106612</v>
      </c>
      <c r="E36" s="15">
        <f>SUM(E$35:E35)</f>
        <v>-213945227.26810828</v>
      </c>
      <c r="F36" s="15">
        <f>SUM(F$35:F35)</f>
        <v>108828866.61412276</v>
      </c>
      <c r="G36" s="17"/>
      <c r="H36" s="17"/>
      <c r="I36" s="17"/>
      <c r="J36" s="17"/>
      <c r="K36" s="17"/>
      <c r="L36" s="32" t="s">
        <v>1035</v>
      </c>
      <c r="M36" s="32">
        <v>0.1</v>
      </c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</row>
    <row r="37" spans="1:30" ht="12" customHeight="1" x14ac:dyDescent="0.2">
      <c r="A37" s="118"/>
      <c r="B37" s="108" t="s">
        <v>966</v>
      </c>
      <c r="C37" s="18" t="s">
        <v>990</v>
      </c>
      <c r="D37" s="15">
        <v>38962447.099574491</v>
      </c>
      <c r="E37" s="15">
        <v>-2409439.5850232132</v>
      </c>
      <c r="F37" s="15">
        <v>3273819.5200053854</v>
      </c>
      <c r="G37" s="17"/>
      <c r="H37" s="17"/>
      <c r="I37" s="17"/>
      <c r="J37" s="17"/>
      <c r="K37" s="17"/>
      <c r="L37" s="32" t="s">
        <v>1036</v>
      </c>
      <c r="M37" s="32">
        <v>0</v>
      </c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</row>
    <row r="38" spans="1:30" ht="12" customHeight="1" x14ac:dyDescent="0.2">
      <c r="A38" s="118"/>
      <c r="B38" s="118"/>
      <c r="C38" s="18" t="s">
        <v>991</v>
      </c>
      <c r="D38" s="15">
        <v>28663041.858749997</v>
      </c>
      <c r="E38" s="15">
        <v>2157542.0832314007</v>
      </c>
      <c r="F38" s="15">
        <f>IF((+$D$11+$D$12+$D$16+$D$17+$D$38)&lt;&gt;0,$M$19*$D$38/(+$D$11+$D$12+$D$16+$D$17+$D$38),0)</f>
        <v>1333068.4447131678</v>
      </c>
      <c r="G38" s="17"/>
      <c r="H38" s="17"/>
      <c r="I38" s="17"/>
      <c r="J38" s="17"/>
      <c r="K38" s="17"/>
      <c r="L38" s="32" t="s">
        <v>1037</v>
      </c>
      <c r="M38" s="32">
        <f>IFERROR(VLOOKUP("Convencional1RuralNão se aplicaRURALB2",Descontos!B1:U88,VLOOKUP("Convencional1RuralNão se aplicaRURALB2",Descontos!B1:U88,20,FALSE)+12,FALSE),100)</f>
        <v>0.18</v>
      </c>
      <c r="N38" s="17" t="s">
        <v>1089</v>
      </c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</row>
    <row r="39" spans="1:30" ht="12" customHeight="1" x14ac:dyDescent="0.2">
      <c r="A39" s="118"/>
      <c r="B39" s="118"/>
      <c r="C39" s="18" t="s">
        <v>992</v>
      </c>
      <c r="D39" s="15"/>
      <c r="E39" s="15">
        <v>0</v>
      </c>
      <c r="F39" s="15">
        <v>0</v>
      </c>
      <c r="G39" s="17"/>
      <c r="H39" s="17"/>
      <c r="I39" s="17"/>
      <c r="J39" s="17"/>
      <c r="K39" s="17"/>
      <c r="L39" s="32" t="s">
        <v>1038</v>
      </c>
      <c r="M39" s="32">
        <f>IFERROR(VLOOKUP("Convencional1RuralCooperativa de eletrificação ruralPlanilha CUSTOB2",Descontos!B1:U88,VLOOKUP("Convencional1RuralCooperativa de eletrificação ruralPlanilha CUSTOB2",Descontos!B1:U88,20,FALSE)+12,FALSE),100)</f>
        <v>0.18</v>
      </c>
      <c r="N39" s="17">
        <v>0.3</v>
      </c>
      <c r="O39" s="17" t="s">
        <v>1106</v>
      </c>
      <c r="P39" s="17" t="s">
        <v>1107</v>
      </c>
      <c r="Q39" s="17" t="s">
        <v>1108</v>
      </c>
      <c r="R39" s="17" t="s">
        <v>1109</v>
      </c>
      <c r="S39" s="17" t="s">
        <v>1</v>
      </c>
      <c r="T39" s="17" t="s">
        <v>1110</v>
      </c>
      <c r="U39" s="17"/>
      <c r="V39" s="17"/>
      <c r="W39" s="17"/>
      <c r="X39" s="17"/>
      <c r="Y39" s="17"/>
      <c r="Z39" s="17"/>
      <c r="AA39" s="17"/>
      <c r="AB39" s="17"/>
      <c r="AC39" s="17"/>
      <c r="AD39" s="17"/>
    </row>
    <row r="40" spans="1:30" ht="12" customHeight="1" x14ac:dyDescent="0.25">
      <c r="A40" s="118"/>
      <c r="B40" s="109"/>
      <c r="C40" s="18" t="s">
        <v>965</v>
      </c>
      <c r="D40" s="15">
        <f>SUM(D$37:D39)</f>
        <v>67625488.958324492</v>
      </c>
      <c r="E40" s="15">
        <f>SUM(E$37:E39)</f>
        <v>-251897.50179181248</v>
      </c>
      <c r="F40" s="15">
        <f>SUM(F$37:F39)</f>
        <v>4606887.9647185532</v>
      </c>
      <c r="G40" s="17"/>
      <c r="H40" s="17"/>
      <c r="I40" s="17"/>
      <c r="J40" s="17"/>
      <c r="K40" s="17"/>
      <c r="L40" s="32" t="s">
        <v>1039</v>
      </c>
      <c r="M40" s="32">
        <f>IFERROR(VLOOKUP("Convencional1RuralServiço público de irrigação ruralPlanilha CUSTOB2",Descontos!B1:U88,VLOOKUP("Convencional1RuralServiço público de irrigação ruralPlanilha CUSTOB2",Descontos!B1:U88,20,FALSE)+12,FALSE),100)</f>
        <v>0.24</v>
      </c>
      <c r="N40" s="17">
        <v>0.4</v>
      </c>
      <c r="O40" s="51"/>
      <c r="P40" s="51"/>
      <c r="Q40" s="51"/>
      <c r="R40" s="51"/>
      <c r="S40" s="51"/>
      <c r="T40" s="51"/>
      <c r="U40" s="17"/>
      <c r="V40" s="17"/>
      <c r="W40" s="17"/>
      <c r="X40" s="17"/>
      <c r="Y40" s="17"/>
      <c r="Z40" s="17"/>
      <c r="AA40" s="17"/>
      <c r="AB40" s="17"/>
      <c r="AC40" s="17"/>
      <c r="AD40" s="17"/>
    </row>
    <row r="41" spans="1:30" ht="12" customHeight="1" x14ac:dyDescent="0.25">
      <c r="A41" s="118"/>
      <c r="B41" s="108" t="s">
        <v>976</v>
      </c>
      <c r="C41" s="18" t="s">
        <v>977</v>
      </c>
      <c r="D41" s="15"/>
      <c r="E41" s="15">
        <f>IF($D$46&lt;&gt;0,($D$45/$D$46)* 0,0)+0</f>
        <v>0</v>
      </c>
      <c r="F41" s="15"/>
      <c r="G41" s="17"/>
      <c r="H41" s="17"/>
      <c r="I41" s="17"/>
      <c r="J41" s="17"/>
      <c r="K41" s="17"/>
      <c r="L41" s="17"/>
      <c r="M41" s="17"/>
      <c r="N41" s="17"/>
      <c r="O41" s="51"/>
      <c r="P41" s="51"/>
      <c r="Q41" s="51"/>
      <c r="R41" s="51"/>
      <c r="S41" s="51"/>
      <c r="T41" s="51"/>
      <c r="U41" s="17"/>
      <c r="V41" s="17"/>
      <c r="W41" s="17"/>
      <c r="X41" s="17"/>
      <c r="Y41" s="17"/>
      <c r="Z41" s="17"/>
      <c r="AA41" s="17"/>
      <c r="AB41" s="17"/>
      <c r="AC41" s="17"/>
      <c r="AD41" s="17"/>
    </row>
    <row r="42" spans="1:30" ht="12" customHeight="1" x14ac:dyDescent="0.25">
      <c r="A42" s="118"/>
      <c r="B42" s="109"/>
      <c r="C42" s="18" t="s">
        <v>965</v>
      </c>
      <c r="D42" s="15">
        <f>SUM(D$41:D41)</f>
        <v>0</v>
      </c>
      <c r="E42" s="15">
        <f>SUM(E$41:E41)</f>
        <v>0</v>
      </c>
      <c r="F42" s="15">
        <f>SUM(F$41:F41)</f>
        <v>0</v>
      </c>
      <c r="G42" s="17"/>
      <c r="H42" s="17"/>
      <c r="I42" s="17"/>
      <c r="J42" s="17"/>
      <c r="K42" s="17"/>
      <c r="L42" s="17"/>
      <c r="M42" s="17"/>
      <c r="N42" s="17"/>
      <c r="O42" s="51"/>
      <c r="P42" s="51"/>
      <c r="Q42" s="51"/>
      <c r="R42" s="51"/>
      <c r="S42" s="51"/>
      <c r="T42" s="51"/>
      <c r="U42" s="17"/>
      <c r="V42" s="17"/>
      <c r="W42" s="17"/>
      <c r="X42" s="17"/>
      <c r="Y42" s="17"/>
      <c r="Z42" s="17"/>
      <c r="AA42" s="17"/>
      <c r="AB42" s="17"/>
      <c r="AC42" s="17"/>
      <c r="AD42" s="17"/>
    </row>
    <row r="43" spans="1:30" ht="12" customHeight="1" x14ac:dyDescent="0.25">
      <c r="A43" s="118"/>
      <c r="B43" s="108" t="s">
        <v>979</v>
      </c>
      <c r="C43" s="18" t="s">
        <v>993</v>
      </c>
      <c r="D43" s="15">
        <f>$M$14*$M$11</f>
        <v>29919231.991152462</v>
      </c>
      <c r="E43" s="15">
        <f>$M$16*$M$11/$M$12</f>
        <v>-5311761.6425442575</v>
      </c>
      <c r="F43" s="15">
        <f>$M$17*$M$11/$M$12</f>
        <v>2701967.2589285802</v>
      </c>
      <c r="G43" s="17"/>
      <c r="H43" s="17"/>
      <c r="I43" s="17"/>
      <c r="J43" s="17"/>
      <c r="K43" s="17"/>
      <c r="L43" s="17"/>
      <c r="M43" s="17"/>
      <c r="N43" s="17"/>
      <c r="O43" s="51"/>
      <c r="P43" s="51"/>
      <c r="Q43" s="51"/>
      <c r="R43" s="51"/>
      <c r="S43" s="51"/>
      <c r="T43" s="51"/>
      <c r="U43" s="17"/>
      <c r="V43" s="17"/>
      <c r="W43" s="17"/>
      <c r="X43" s="17"/>
      <c r="Y43" s="17"/>
      <c r="Z43" s="17"/>
      <c r="AA43" s="17"/>
      <c r="AB43" s="17"/>
      <c r="AC43" s="17"/>
      <c r="AD43" s="17"/>
    </row>
    <row r="44" spans="1:30" ht="12" customHeight="1" x14ac:dyDescent="0.25">
      <c r="A44" s="118"/>
      <c r="B44" s="109"/>
      <c r="C44" s="18" t="s">
        <v>965</v>
      </c>
      <c r="D44" s="15">
        <f>SUM(D$43:D43)</f>
        <v>29919231.991152462</v>
      </c>
      <c r="E44" s="15">
        <f>SUM(E$43:E43)</f>
        <v>-5311761.6425442575</v>
      </c>
      <c r="F44" s="15">
        <f>SUM(F$43:F43)</f>
        <v>2701967.2589285802</v>
      </c>
      <c r="G44" s="17"/>
      <c r="H44" s="17"/>
      <c r="I44" s="17"/>
      <c r="J44" s="17"/>
      <c r="K44" s="17"/>
      <c r="L44" s="17"/>
      <c r="M44" s="17"/>
      <c r="N44" s="17"/>
      <c r="O44" s="51"/>
      <c r="P44" s="51"/>
      <c r="Q44" s="51"/>
      <c r="R44" s="51"/>
      <c r="S44" s="51"/>
      <c r="T44" s="51"/>
      <c r="U44" s="17"/>
      <c r="V44" s="17"/>
      <c r="W44" s="17"/>
      <c r="X44" s="17"/>
      <c r="Y44" s="17"/>
      <c r="Z44" s="17"/>
      <c r="AA44" s="17"/>
      <c r="AB44" s="17"/>
      <c r="AC44" s="17"/>
      <c r="AD44" s="17"/>
    </row>
    <row r="45" spans="1:30" ht="12" customHeight="1" x14ac:dyDescent="0.25">
      <c r="A45" s="109"/>
      <c r="B45" s="110" t="s">
        <v>965</v>
      </c>
      <c r="C45" s="111"/>
      <c r="D45" s="15">
        <f>SUMIF(C$30:C44,"SUBTOTAL",D$30:D44)</f>
        <v>1377561814.4088778</v>
      </c>
      <c r="E45" s="15">
        <f>SUMIF(C$30:C44,"SUBTOTAL",E$30:E44)</f>
        <v>-144219041.03982976</v>
      </c>
      <c r="F45" s="15">
        <f>SUMIF(C$30:C44,"SUBTOTAL",F$30:F44)</f>
        <v>19386512.213154793</v>
      </c>
      <c r="G45" s="17"/>
      <c r="H45" s="17"/>
      <c r="I45" s="17"/>
      <c r="J45" s="17"/>
      <c r="K45" s="17"/>
      <c r="L45" s="17"/>
      <c r="M45" s="17"/>
      <c r="N45" s="17"/>
      <c r="O45" s="51"/>
      <c r="P45" s="51"/>
      <c r="Q45" s="51"/>
      <c r="R45" s="51"/>
      <c r="S45" s="51"/>
      <c r="T45" s="51"/>
      <c r="U45" s="17"/>
      <c r="V45" s="17"/>
      <c r="W45" s="17"/>
      <c r="X45" s="17"/>
      <c r="Y45" s="17"/>
      <c r="Z45" s="17"/>
      <c r="AA45" s="17"/>
      <c r="AB45" s="17"/>
      <c r="AC45" s="17"/>
      <c r="AD45" s="17"/>
    </row>
    <row r="46" spans="1:30" ht="12" customHeight="1" x14ac:dyDescent="0.25">
      <c r="A46" s="110" t="s">
        <v>994</v>
      </c>
      <c r="B46" s="116"/>
      <c r="C46" s="111"/>
      <c r="D46" s="15">
        <f>SUMIF(C$2:C45,"SUBTOTAL",D$2:D45)</f>
        <v>2817599609.7656369</v>
      </c>
      <c r="E46" s="15">
        <f>SUMIF(C$2:C45,"SUBTOTAL",E$2:E45)</f>
        <v>-186786737.80171648</v>
      </c>
      <c r="F46" s="15">
        <f>SUMIF(C$2:C45,"SUBTOTAL",F$2:F45)</f>
        <v>82884837.261912927</v>
      </c>
      <c r="G46" s="17"/>
      <c r="H46" s="17"/>
      <c r="I46" s="17"/>
      <c r="J46" s="17"/>
      <c r="K46" s="17"/>
      <c r="L46" s="17"/>
      <c r="M46" s="17"/>
      <c r="N46" s="17"/>
      <c r="O46" s="51"/>
      <c r="P46" s="51"/>
      <c r="Q46" s="51"/>
      <c r="R46" s="51"/>
      <c r="S46" s="51"/>
      <c r="T46" s="51"/>
      <c r="U46" s="17"/>
      <c r="V46" s="17"/>
      <c r="W46" s="17"/>
      <c r="X46" s="17"/>
      <c r="Y46" s="17"/>
      <c r="Z46" s="17"/>
      <c r="AA46" s="17"/>
      <c r="AB46" s="17"/>
      <c r="AC46" s="17"/>
      <c r="AD46" s="17"/>
    </row>
    <row r="47" spans="1:30" ht="12" customHeight="1" x14ac:dyDescent="0.25">
      <c r="A47" s="114" t="s">
        <v>1084</v>
      </c>
      <c r="B47" s="115"/>
      <c r="C47" s="115"/>
      <c r="D47" s="42">
        <f ca="1">'TUSD BE'!$AM$88+'TUSD BE'!$AM$92+'TE BE'!$AA$52</f>
        <v>2817599609.7656364</v>
      </c>
      <c r="E47" s="42">
        <f ca="1">'TUSD BF'!$AM$88+'TE BF'!$AA$52</f>
        <v>-186786737.80171645</v>
      </c>
      <c r="F47" s="42">
        <f ca="1">'TUSD CVA'!$AM$88+'TE CVA'!$AA$52</f>
        <v>82884837.261912912</v>
      </c>
      <c r="L47" s="9"/>
      <c r="M47" s="17"/>
      <c r="O47" s="51"/>
      <c r="P47" s="51"/>
      <c r="Q47" s="51"/>
      <c r="R47" s="51"/>
      <c r="S47" s="51"/>
      <c r="T47" s="51"/>
    </row>
    <row r="48" spans="1:30" ht="12" customHeight="1" x14ac:dyDescent="0.25">
      <c r="A48" s="114" t="s">
        <v>1085</v>
      </c>
      <c r="B48" s="115"/>
      <c r="C48" s="115"/>
      <c r="D48" s="43" t="str">
        <f ca="1">IF(ABS(D47-D46)&gt;1,"ERRO","OK")</f>
        <v>OK</v>
      </c>
      <c r="E48" s="43" t="str">
        <f ca="1">IF(ABS(E47-E46)&gt;1,"ERRO","OK")</f>
        <v>OK</v>
      </c>
      <c r="F48" s="43" t="str">
        <f ca="1">IF(ABS(F47-F46)&gt;1,"ERRO","OK")</f>
        <v>OK</v>
      </c>
      <c r="L48" s="78"/>
      <c r="M48" s="32"/>
      <c r="O48" s="51"/>
      <c r="P48" s="51"/>
      <c r="Q48" s="51"/>
      <c r="R48" s="51"/>
      <c r="S48" s="51"/>
      <c r="T48" s="51"/>
    </row>
    <row r="49" spans="6:20" ht="12" customHeight="1" x14ac:dyDescent="0.25">
      <c r="L49" s="78"/>
      <c r="M49" s="32"/>
      <c r="O49" s="51"/>
      <c r="P49" s="51"/>
      <c r="Q49" s="51"/>
      <c r="R49" s="51"/>
      <c r="S49" s="51"/>
      <c r="T49" s="51"/>
    </row>
    <row r="50" spans="6:20" ht="12" customHeight="1" x14ac:dyDescent="0.25">
      <c r="L50" s="78"/>
      <c r="M50" s="32"/>
      <c r="O50" s="51"/>
      <c r="P50" s="51"/>
      <c r="Q50" s="51"/>
      <c r="R50" s="51"/>
      <c r="S50" s="51"/>
      <c r="T50" s="51"/>
    </row>
    <row r="51" spans="6:20" ht="12" customHeight="1" x14ac:dyDescent="0.25">
      <c r="F51" s="79">
        <f>D46+E46+F46</f>
        <v>2713697709.2258334</v>
      </c>
      <c r="L51" s="68" t="s">
        <v>1040</v>
      </c>
      <c r="M51" s="74">
        <v>0</v>
      </c>
      <c r="O51" s="51"/>
      <c r="P51" s="51"/>
      <c r="Q51" s="51"/>
      <c r="R51" s="51"/>
      <c r="S51" s="51"/>
      <c r="T51" s="51"/>
    </row>
    <row r="52" spans="6:20" ht="12" customHeight="1" x14ac:dyDescent="0.25">
      <c r="F52" s="79">
        <f ca="1">EFEITO!AU12+SUBSIDIO!AJ2+SUBSIDIO!AJ3+SUBSIDIO!AJ5+SUBSIDIO!AJ6+SUBSIDIO!AJ7+SUBSIDIO!AJ8</f>
        <v>2713697709.2258329</v>
      </c>
      <c r="O52" s="51"/>
      <c r="P52" s="51"/>
      <c r="Q52" s="51"/>
      <c r="R52" s="51"/>
      <c r="S52" s="51"/>
      <c r="T52" s="51"/>
    </row>
    <row r="53" spans="6:20" ht="12" customHeight="1" x14ac:dyDescent="0.25">
      <c r="O53" s="51"/>
      <c r="P53" s="51"/>
      <c r="Q53" s="51"/>
      <c r="R53" s="51"/>
      <c r="S53" s="51"/>
      <c r="T53" s="51"/>
    </row>
    <row r="54" spans="6:20" ht="12" customHeight="1" x14ac:dyDescent="0.25">
      <c r="O54" s="51"/>
      <c r="P54" s="51"/>
      <c r="Q54" s="51"/>
      <c r="R54" s="51"/>
      <c r="S54" s="51"/>
      <c r="T54" s="51"/>
    </row>
    <row r="55" spans="6:20" ht="12" customHeight="1" x14ac:dyDescent="0.25">
      <c r="O55" s="51"/>
      <c r="P55" s="51"/>
      <c r="Q55" s="51"/>
      <c r="R55" s="51"/>
      <c r="S55" s="51"/>
      <c r="T55" s="51"/>
    </row>
    <row r="56" spans="6:20" ht="12" customHeight="1" x14ac:dyDescent="0.25">
      <c r="O56" s="51"/>
      <c r="P56" s="51"/>
      <c r="Q56" s="51"/>
      <c r="R56" s="51"/>
      <c r="S56" s="51"/>
      <c r="T56" s="51"/>
    </row>
    <row r="57" spans="6:20" ht="12" customHeight="1" x14ac:dyDescent="0.25">
      <c r="O57" s="51"/>
      <c r="P57" s="51"/>
      <c r="Q57" s="51"/>
      <c r="R57" s="51"/>
      <c r="S57" s="51"/>
      <c r="T57" s="51"/>
    </row>
    <row r="58" spans="6:20" ht="12" customHeight="1" x14ac:dyDescent="0.25">
      <c r="O58" s="51"/>
      <c r="P58" s="51"/>
      <c r="Q58" s="51"/>
      <c r="R58" s="51"/>
      <c r="S58" s="51"/>
      <c r="T58" s="51"/>
    </row>
    <row r="59" spans="6:20" ht="12" customHeight="1" x14ac:dyDescent="0.25">
      <c r="O59" s="51"/>
      <c r="P59" s="51"/>
      <c r="Q59" s="51"/>
      <c r="R59" s="51"/>
      <c r="S59" s="51"/>
      <c r="T59" s="51"/>
    </row>
    <row r="60" spans="6:20" ht="12" customHeight="1" x14ac:dyDescent="0.25">
      <c r="O60" s="51"/>
      <c r="P60" s="51"/>
      <c r="Q60" s="51"/>
      <c r="R60" s="51"/>
      <c r="S60" s="51"/>
      <c r="T60" s="51"/>
    </row>
    <row r="61" spans="6:20" ht="12" customHeight="1" x14ac:dyDescent="0.25">
      <c r="O61" s="51"/>
      <c r="P61" s="51"/>
      <c r="Q61" s="51"/>
      <c r="R61" s="51"/>
      <c r="S61" s="51"/>
      <c r="T61" s="51"/>
    </row>
    <row r="62" spans="6:20" ht="12" customHeight="1" x14ac:dyDescent="0.25">
      <c r="O62" s="51"/>
      <c r="P62" s="51"/>
      <c r="Q62" s="51"/>
      <c r="R62" s="51"/>
      <c r="S62" s="51"/>
      <c r="T62" s="51"/>
    </row>
    <row r="63" spans="6:20" ht="12" customHeight="1" x14ac:dyDescent="0.25">
      <c r="O63" s="51"/>
      <c r="P63" s="51"/>
      <c r="Q63" s="51"/>
      <c r="R63" s="51"/>
      <c r="S63" s="51"/>
      <c r="T63" s="51"/>
    </row>
    <row r="64" spans="6:20" ht="12" customHeight="1" x14ac:dyDescent="0.25">
      <c r="O64" s="51"/>
      <c r="P64" s="51"/>
      <c r="Q64" s="51"/>
      <c r="R64" s="51"/>
      <c r="S64" s="51"/>
      <c r="T64" s="51"/>
    </row>
    <row r="65" spans="15:20" ht="12" customHeight="1" x14ac:dyDescent="0.25">
      <c r="O65" s="51"/>
      <c r="P65" s="51"/>
      <c r="Q65" s="51"/>
      <c r="R65" s="51"/>
      <c r="S65" s="51"/>
      <c r="T65" s="51"/>
    </row>
    <row r="66" spans="15:20" ht="12" customHeight="1" x14ac:dyDescent="0.25">
      <c r="O66" s="51"/>
      <c r="P66" s="51"/>
      <c r="Q66" s="51"/>
      <c r="R66" s="51"/>
      <c r="S66" s="51"/>
      <c r="T66" s="51"/>
    </row>
    <row r="67" spans="15:20" ht="12" customHeight="1" x14ac:dyDescent="0.25">
      <c r="O67" s="51"/>
      <c r="P67" s="51"/>
      <c r="Q67" s="51"/>
      <c r="R67" s="51"/>
      <c r="S67" s="51"/>
      <c r="T67" s="51"/>
    </row>
    <row r="68" spans="15:20" ht="12" customHeight="1" x14ac:dyDescent="0.25">
      <c r="O68" s="51"/>
      <c r="P68" s="51"/>
      <c r="Q68" s="51"/>
      <c r="R68" s="51"/>
      <c r="S68" s="51"/>
      <c r="T68" s="51"/>
    </row>
    <row r="69" spans="15:20" ht="12" customHeight="1" x14ac:dyDescent="0.25">
      <c r="O69" s="51"/>
      <c r="P69" s="51"/>
      <c r="Q69" s="51"/>
      <c r="R69" s="51"/>
      <c r="S69" s="51"/>
      <c r="T69" s="51"/>
    </row>
    <row r="70" spans="15:20" ht="12" customHeight="1" x14ac:dyDescent="0.25">
      <c r="O70" s="51"/>
      <c r="P70" s="51"/>
      <c r="Q70" s="51"/>
      <c r="R70" s="51"/>
      <c r="S70" s="51"/>
      <c r="T70" s="51"/>
    </row>
    <row r="71" spans="15:20" ht="12" customHeight="1" x14ac:dyDescent="0.25">
      <c r="O71" s="51"/>
      <c r="P71" s="51"/>
      <c r="Q71" s="51"/>
      <c r="R71" s="51"/>
      <c r="S71" s="51"/>
      <c r="T71" s="51"/>
    </row>
    <row r="72" spans="15:20" ht="12" customHeight="1" x14ac:dyDescent="0.25">
      <c r="O72" s="51"/>
      <c r="P72" s="51"/>
      <c r="Q72" s="51"/>
      <c r="R72" s="51"/>
      <c r="S72" s="51"/>
      <c r="T72" s="51"/>
    </row>
    <row r="73" spans="15:20" ht="12" customHeight="1" x14ac:dyDescent="0.25">
      <c r="O73" s="51"/>
      <c r="P73" s="51"/>
      <c r="Q73" s="51"/>
      <c r="R73" s="51"/>
      <c r="S73" s="51"/>
      <c r="T73" s="51"/>
    </row>
    <row r="74" spans="15:20" ht="12" customHeight="1" x14ac:dyDescent="0.25">
      <c r="O74" s="51"/>
      <c r="P74" s="51"/>
      <c r="Q74" s="51"/>
      <c r="R74" s="51"/>
      <c r="S74" s="51"/>
      <c r="T74" s="51"/>
    </row>
    <row r="75" spans="15:20" ht="12" customHeight="1" x14ac:dyDescent="0.25">
      <c r="O75" s="51"/>
      <c r="P75" s="51"/>
      <c r="Q75" s="51"/>
      <c r="R75" s="51"/>
      <c r="S75" s="51"/>
      <c r="T75" s="51"/>
    </row>
    <row r="76" spans="15:20" ht="12" customHeight="1" x14ac:dyDescent="0.25">
      <c r="O76" s="51"/>
      <c r="P76" s="51"/>
      <c r="Q76" s="51"/>
      <c r="R76" s="51"/>
      <c r="S76" s="51"/>
      <c r="T76" s="51"/>
    </row>
    <row r="77" spans="15:20" ht="12" customHeight="1" x14ac:dyDescent="0.25">
      <c r="O77" s="51"/>
      <c r="P77" s="51"/>
      <c r="Q77" s="51"/>
      <c r="R77" s="51"/>
      <c r="S77" s="51"/>
      <c r="T77" s="51"/>
    </row>
    <row r="78" spans="15:20" ht="12" customHeight="1" x14ac:dyDescent="0.25">
      <c r="O78" s="51"/>
      <c r="P78" s="51"/>
      <c r="Q78" s="51"/>
      <c r="R78" s="51"/>
      <c r="S78" s="51"/>
      <c r="T78" s="51"/>
    </row>
    <row r="79" spans="15:20" ht="12" customHeight="1" x14ac:dyDescent="0.25">
      <c r="O79" s="51"/>
      <c r="P79" s="51"/>
      <c r="Q79" s="51"/>
      <c r="R79" s="51"/>
      <c r="S79" s="51"/>
      <c r="T79" s="51"/>
    </row>
    <row r="80" spans="15:20" ht="12" customHeight="1" x14ac:dyDescent="0.25">
      <c r="O80" s="51"/>
      <c r="P80" s="51"/>
      <c r="Q80" s="51"/>
      <c r="R80" s="51"/>
      <c r="S80" s="51"/>
      <c r="T80" s="51"/>
    </row>
    <row r="81" spans="15:20" ht="12" customHeight="1" x14ac:dyDescent="0.25">
      <c r="O81" s="51"/>
      <c r="P81" s="51"/>
      <c r="Q81" s="51"/>
      <c r="R81" s="51"/>
      <c r="S81" s="51"/>
      <c r="T81" s="51"/>
    </row>
    <row r="82" spans="15:20" ht="12" customHeight="1" x14ac:dyDescent="0.25">
      <c r="O82" s="51"/>
      <c r="P82" s="51"/>
      <c r="Q82" s="51"/>
      <c r="R82" s="51"/>
      <c r="S82" s="51"/>
      <c r="T82" s="51"/>
    </row>
    <row r="83" spans="15:20" ht="12" customHeight="1" x14ac:dyDescent="0.25">
      <c r="O83" s="51"/>
      <c r="P83" s="51"/>
      <c r="Q83" s="51"/>
      <c r="R83" s="51"/>
      <c r="S83" s="51"/>
      <c r="T83" s="51"/>
    </row>
    <row r="84" spans="15:20" ht="12" customHeight="1" x14ac:dyDescent="0.25">
      <c r="O84" s="51"/>
      <c r="P84" s="51"/>
      <c r="Q84" s="51"/>
      <c r="R84" s="51"/>
      <c r="S84" s="51"/>
      <c r="T84" s="51"/>
    </row>
    <row r="85" spans="15:20" ht="12" customHeight="1" x14ac:dyDescent="0.25">
      <c r="O85" s="51"/>
      <c r="P85" s="51"/>
      <c r="Q85" s="51"/>
      <c r="R85" s="51"/>
      <c r="S85" s="51"/>
      <c r="T85" s="51"/>
    </row>
    <row r="86" spans="15:20" ht="12" customHeight="1" x14ac:dyDescent="0.25">
      <c r="O86" s="51"/>
      <c r="P86" s="51"/>
      <c r="Q86" s="51"/>
      <c r="R86" s="51"/>
      <c r="S86" s="51"/>
      <c r="T86" s="51"/>
    </row>
    <row r="87" spans="15:20" ht="12" customHeight="1" x14ac:dyDescent="0.25">
      <c r="O87" s="51"/>
      <c r="P87" s="51"/>
      <c r="Q87" s="51"/>
      <c r="R87" s="51"/>
      <c r="S87" s="51"/>
      <c r="T87" s="51"/>
    </row>
    <row r="88" spans="15:20" ht="12" customHeight="1" x14ac:dyDescent="0.25">
      <c r="O88" s="51"/>
      <c r="P88" s="51"/>
      <c r="Q88" s="51"/>
      <c r="R88" s="51"/>
      <c r="S88" s="51"/>
      <c r="T88" s="51"/>
    </row>
    <row r="89" spans="15:20" ht="12" customHeight="1" x14ac:dyDescent="0.25">
      <c r="O89" s="51"/>
      <c r="P89" s="51"/>
      <c r="Q89" s="51"/>
      <c r="R89" s="51"/>
      <c r="S89" s="51"/>
      <c r="T89" s="51"/>
    </row>
    <row r="90" spans="15:20" ht="12" customHeight="1" x14ac:dyDescent="0.25">
      <c r="O90" s="51"/>
      <c r="P90" s="51"/>
      <c r="Q90" s="51"/>
      <c r="R90" s="51"/>
      <c r="S90" s="51"/>
      <c r="T90" s="51"/>
    </row>
    <row r="91" spans="15:20" ht="12" customHeight="1" x14ac:dyDescent="0.25">
      <c r="O91" s="51"/>
      <c r="P91" s="51"/>
      <c r="Q91" s="51"/>
      <c r="R91" s="51"/>
      <c r="S91" s="51"/>
      <c r="T91" s="51"/>
    </row>
    <row r="92" spans="15:20" ht="12" customHeight="1" x14ac:dyDescent="0.25">
      <c r="O92" s="51"/>
      <c r="P92" s="51"/>
      <c r="Q92" s="51"/>
      <c r="R92" s="51"/>
      <c r="S92" s="51"/>
      <c r="T92" s="51"/>
    </row>
    <row r="93" spans="15:20" ht="12" customHeight="1" x14ac:dyDescent="0.25">
      <c r="O93" s="51"/>
      <c r="P93" s="51"/>
      <c r="Q93" s="51"/>
      <c r="R93" s="51"/>
      <c r="S93" s="51"/>
      <c r="T93" s="51"/>
    </row>
    <row r="94" spans="15:20" ht="12" customHeight="1" x14ac:dyDescent="0.25">
      <c r="O94" s="51"/>
      <c r="P94" s="51"/>
      <c r="Q94" s="51"/>
      <c r="R94" s="51"/>
      <c r="S94" s="51"/>
      <c r="T94" s="51"/>
    </row>
    <row r="95" spans="15:20" ht="12" customHeight="1" x14ac:dyDescent="0.25">
      <c r="O95" s="51"/>
      <c r="P95" s="51"/>
      <c r="Q95" s="51"/>
      <c r="R95" s="51"/>
      <c r="S95" s="51"/>
      <c r="T95" s="51"/>
    </row>
    <row r="96" spans="15:20" ht="12" customHeight="1" x14ac:dyDescent="0.25">
      <c r="O96" s="51"/>
      <c r="P96" s="51"/>
      <c r="Q96" s="51"/>
      <c r="R96" s="51"/>
      <c r="S96" s="51"/>
      <c r="T96" s="51"/>
    </row>
    <row r="97" spans="15:30" ht="12" customHeight="1" x14ac:dyDescent="0.25">
      <c r="O97" s="51"/>
      <c r="P97" s="51"/>
      <c r="Q97" s="51"/>
      <c r="R97" s="51"/>
      <c r="S97" s="51"/>
      <c r="T97" s="51"/>
    </row>
    <row r="98" spans="15:30" ht="12" customHeight="1" x14ac:dyDescent="0.25">
      <c r="O98" s="51"/>
      <c r="P98" s="51"/>
      <c r="Q98" s="51"/>
      <c r="R98" s="51"/>
      <c r="S98" s="51"/>
      <c r="T98" s="51"/>
    </row>
    <row r="99" spans="15:30" ht="12" customHeight="1" x14ac:dyDescent="0.25">
      <c r="O99" s="50"/>
      <c r="P99" s="50"/>
      <c r="Q99" s="50"/>
      <c r="R99" s="50"/>
      <c r="S99" s="50"/>
      <c r="T99" s="50"/>
    </row>
    <row r="100" spans="15:30" ht="12" customHeight="1" x14ac:dyDescent="0.25"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</row>
    <row r="101" spans="15:30" ht="12" customHeight="1" x14ac:dyDescent="0.25">
      <c r="O101" s="51" t="s">
        <v>1106</v>
      </c>
      <c r="P101" s="51" t="s">
        <v>1111</v>
      </c>
      <c r="Q101" s="51" t="s">
        <v>1112</v>
      </c>
      <c r="R101" s="51" t="s">
        <v>1113</v>
      </c>
      <c r="S101" s="51" t="s">
        <v>1114</v>
      </c>
      <c r="T101" s="51" t="s">
        <v>1115</v>
      </c>
      <c r="U101" s="51" t="s">
        <v>1116</v>
      </c>
      <c r="V101" s="51" t="s">
        <v>1117</v>
      </c>
      <c r="W101" s="51"/>
      <c r="X101" s="51"/>
      <c r="Y101" s="51"/>
      <c r="Z101" s="51"/>
      <c r="AA101" s="51"/>
      <c r="AB101" s="51"/>
      <c r="AC101" s="51"/>
      <c r="AD101" s="51"/>
    </row>
    <row r="102" spans="15:30" ht="12" customHeight="1" x14ac:dyDescent="0.25">
      <c r="O102" s="51" t="s">
        <v>40</v>
      </c>
      <c r="P102" s="51" t="s">
        <v>23</v>
      </c>
      <c r="Q102" s="51" t="s">
        <v>46</v>
      </c>
      <c r="R102" s="51" t="s">
        <v>47</v>
      </c>
      <c r="S102" s="51" t="s">
        <v>25</v>
      </c>
      <c r="T102" s="51" t="s">
        <v>47</v>
      </c>
      <c r="U102" s="51">
        <v>2</v>
      </c>
      <c r="V102" s="51">
        <v>0.3</v>
      </c>
      <c r="W102" s="51">
        <v>0.24</v>
      </c>
      <c r="X102" s="51">
        <v>0.18</v>
      </c>
      <c r="Y102" s="51">
        <v>0.12</v>
      </c>
      <c r="Z102" s="51">
        <v>0.06</v>
      </c>
      <c r="AA102" s="51">
        <v>0</v>
      </c>
      <c r="AB102" s="51"/>
      <c r="AC102" s="51"/>
      <c r="AD102" s="51"/>
    </row>
    <row r="103" spans="15:30" ht="12" customHeight="1" x14ac:dyDescent="0.25"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</row>
    <row r="104" spans="15:30" ht="12" customHeight="1" x14ac:dyDescent="0.25"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</row>
    <row r="105" spans="15:30" ht="12" customHeight="1" x14ac:dyDescent="0.25"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</row>
    <row r="106" spans="15:30" ht="12" customHeight="1" x14ac:dyDescent="0.25"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</row>
    <row r="107" spans="15:30" ht="12" customHeight="1" x14ac:dyDescent="0.25"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</row>
    <row r="108" spans="15:30" ht="12" customHeight="1" x14ac:dyDescent="0.25"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</row>
    <row r="109" spans="15:30" ht="12" customHeight="1" x14ac:dyDescent="0.25"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</row>
    <row r="110" spans="15:30" ht="12" customHeight="1" x14ac:dyDescent="0.25"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</row>
    <row r="111" spans="15:30" ht="12" customHeight="1" x14ac:dyDescent="0.25"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</row>
    <row r="112" spans="15:30" ht="12" customHeight="1" x14ac:dyDescent="0.25"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</row>
    <row r="113" spans="15:30" ht="12" customHeight="1" x14ac:dyDescent="0.25"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</row>
    <row r="114" spans="15:30" ht="12" customHeight="1" x14ac:dyDescent="0.25"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</row>
    <row r="115" spans="15:30" ht="12" customHeight="1" x14ac:dyDescent="0.25"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</row>
    <row r="116" spans="15:30" ht="12" customHeight="1" x14ac:dyDescent="0.25"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</row>
    <row r="117" spans="15:30" ht="12" customHeight="1" x14ac:dyDescent="0.25"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</row>
    <row r="118" spans="15:30" ht="12" customHeight="1" x14ac:dyDescent="0.25"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</row>
    <row r="119" spans="15:30" ht="12" customHeight="1" x14ac:dyDescent="0.25"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</row>
    <row r="120" spans="15:30" ht="12" customHeight="1" x14ac:dyDescent="0.25"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</row>
    <row r="121" spans="15:30" ht="12" customHeight="1" x14ac:dyDescent="0.25"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</row>
    <row r="122" spans="15:30" ht="12" customHeight="1" x14ac:dyDescent="0.25"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</row>
    <row r="123" spans="15:30" ht="12" customHeight="1" x14ac:dyDescent="0.25"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</row>
    <row r="124" spans="15:30" ht="12" customHeight="1" x14ac:dyDescent="0.25"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</row>
    <row r="125" spans="15:30" ht="12" customHeight="1" x14ac:dyDescent="0.25"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</row>
    <row r="126" spans="15:30" ht="12" customHeight="1" x14ac:dyDescent="0.25"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</row>
    <row r="127" spans="15:30" ht="12" customHeight="1" x14ac:dyDescent="0.25"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</row>
    <row r="128" spans="15:30" ht="12" customHeight="1" x14ac:dyDescent="0.25"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</row>
    <row r="129" spans="15:30" ht="12" customHeight="1" x14ac:dyDescent="0.25"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</row>
    <row r="130" spans="15:30" ht="12" customHeight="1" x14ac:dyDescent="0.25"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</row>
    <row r="131" spans="15:30" ht="12" customHeight="1" x14ac:dyDescent="0.25"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</row>
    <row r="132" spans="15:30" ht="12" customHeight="1" x14ac:dyDescent="0.25"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</row>
    <row r="133" spans="15:30" ht="12" customHeight="1" x14ac:dyDescent="0.25"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</row>
    <row r="134" spans="15:30" ht="12" customHeight="1" x14ac:dyDescent="0.25"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</row>
    <row r="135" spans="15:30" ht="12" customHeight="1" x14ac:dyDescent="0.25"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</row>
    <row r="136" spans="15:30" ht="12" customHeight="1" x14ac:dyDescent="0.25"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</row>
    <row r="137" spans="15:30" ht="12" customHeight="1" x14ac:dyDescent="0.25"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</row>
    <row r="138" spans="15:30" ht="12" customHeight="1" x14ac:dyDescent="0.25"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</row>
    <row r="139" spans="15:30" ht="12" customHeight="1" x14ac:dyDescent="0.25"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</row>
    <row r="140" spans="15:30" ht="12" customHeight="1" x14ac:dyDescent="0.25"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</row>
    <row r="141" spans="15:30" ht="12" customHeight="1" x14ac:dyDescent="0.25"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</row>
    <row r="142" spans="15:30" ht="12" customHeight="1" x14ac:dyDescent="0.25"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</row>
    <row r="143" spans="15:30" ht="12" customHeight="1" x14ac:dyDescent="0.25"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</row>
    <row r="144" spans="15:30" ht="12" customHeight="1" x14ac:dyDescent="0.25"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</row>
    <row r="145" spans="15:30" ht="12" customHeight="1" x14ac:dyDescent="0.25"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</row>
    <row r="146" spans="15:30" ht="12" customHeight="1" x14ac:dyDescent="0.25"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</row>
    <row r="147" spans="15:30" ht="12" customHeight="1" x14ac:dyDescent="0.25"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</row>
    <row r="148" spans="15:30" ht="12" customHeight="1" x14ac:dyDescent="0.25"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</row>
    <row r="149" spans="15:30" ht="12" customHeight="1" x14ac:dyDescent="0.25"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</row>
    <row r="150" spans="15:30" ht="12" customHeight="1" x14ac:dyDescent="0.25"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</row>
    <row r="151" spans="15:30" ht="12" customHeight="1" x14ac:dyDescent="0.25"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</row>
    <row r="152" spans="15:30" ht="12" customHeight="1" x14ac:dyDescent="0.25"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</row>
    <row r="153" spans="15:30" ht="12" customHeight="1" x14ac:dyDescent="0.25"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</row>
    <row r="154" spans="15:30" ht="12" customHeight="1" x14ac:dyDescent="0.25"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</row>
    <row r="155" spans="15:30" ht="12" customHeight="1" x14ac:dyDescent="0.25"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</row>
    <row r="156" spans="15:30" ht="12" customHeight="1" x14ac:dyDescent="0.25"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</row>
    <row r="157" spans="15:30" ht="12" customHeight="1" x14ac:dyDescent="0.25"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</row>
    <row r="158" spans="15:30" ht="12" customHeight="1" x14ac:dyDescent="0.25"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</row>
    <row r="159" spans="15:30" ht="12" customHeight="1" x14ac:dyDescent="0.25"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</row>
    <row r="160" spans="15:30" ht="12" customHeight="1" x14ac:dyDescent="0.25"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</row>
    <row r="161" spans="15:30" ht="12" customHeight="1" x14ac:dyDescent="0.25"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</row>
    <row r="162" spans="15:30" ht="12" customHeight="1" x14ac:dyDescent="0.25"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</row>
    <row r="163" spans="15:30" ht="12" customHeight="1" x14ac:dyDescent="0.25"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</row>
    <row r="164" spans="15:30" ht="12" customHeight="1" x14ac:dyDescent="0.25"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</row>
    <row r="165" spans="15:30" ht="12" customHeight="1" x14ac:dyDescent="0.25"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</row>
    <row r="166" spans="15:30" ht="12" customHeight="1" x14ac:dyDescent="0.25"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</row>
    <row r="167" spans="15:30" ht="12" customHeight="1" x14ac:dyDescent="0.25"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</row>
    <row r="168" spans="15:30" ht="12" customHeight="1" x14ac:dyDescent="0.25"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</row>
    <row r="169" spans="15:30" ht="12" customHeight="1" x14ac:dyDescent="0.25"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</row>
    <row r="170" spans="15:30" ht="12" customHeight="1" x14ac:dyDescent="0.25"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</row>
    <row r="171" spans="15:30" ht="12" customHeight="1" x14ac:dyDescent="0.25"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</row>
    <row r="172" spans="15:30" ht="12" customHeight="1" x14ac:dyDescent="0.25"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</row>
    <row r="173" spans="15:30" ht="12" customHeight="1" x14ac:dyDescent="0.25"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</row>
    <row r="174" spans="15:30" ht="12" customHeight="1" x14ac:dyDescent="0.25"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</row>
    <row r="175" spans="15:30" ht="12" customHeight="1" x14ac:dyDescent="0.25"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</row>
    <row r="176" spans="15:30" ht="12" customHeight="1" x14ac:dyDescent="0.25"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</row>
    <row r="177" spans="15:30" ht="12" customHeight="1" x14ac:dyDescent="0.25"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</row>
    <row r="178" spans="15:30" ht="12" customHeight="1" x14ac:dyDescent="0.25"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</row>
    <row r="179" spans="15:30" ht="12" customHeight="1" x14ac:dyDescent="0.25"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</row>
    <row r="180" spans="15:30" ht="12" customHeight="1" x14ac:dyDescent="0.25"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</row>
    <row r="181" spans="15:30" ht="12" customHeight="1" x14ac:dyDescent="0.25"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</row>
    <row r="182" spans="15:30" ht="12" customHeight="1" x14ac:dyDescent="0.25"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</row>
    <row r="183" spans="15:30" ht="12" customHeight="1" x14ac:dyDescent="0.25"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</row>
    <row r="184" spans="15:30" ht="12" customHeight="1" x14ac:dyDescent="0.25"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</row>
    <row r="185" spans="15:30" ht="12" customHeight="1" x14ac:dyDescent="0.25"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</row>
    <row r="186" spans="15:30" ht="12" customHeight="1" x14ac:dyDescent="0.25"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</row>
    <row r="187" spans="15:30" ht="12" customHeight="1" x14ac:dyDescent="0.25"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</row>
    <row r="188" spans="15:30" ht="12" customHeight="1" x14ac:dyDescent="0.25"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</row>
    <row r="189" spans="15:30" ht="12" customHeight="1" x14ac:dyDescent="0.25"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</row>
    <row r="190" spans="15:30" ht="12" customHeight="1" x14ac:dyDescent="0.25"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</row>
    <row r="191" spans="15:30" ht="12" customHeight="1" x14ac:dyDescent="0.25"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</row>
    <row r="192" spans="15:30" ht="12" customHeight="1" x14ac:dyDescent="0.25"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</row>
    <row r="193" spans="15:30" ht="12" customHeight="1" x14ac:dyDescent="0.25"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</row>
    <row r="194" spans="15:30" ht="12" customHeight="1" x14ac:dyDescent="0.25"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</row>
    <row r="195" spans="15:30" ht="12" customHeight="1" x14ac:dyDescent="0.25"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</row>
    <row r="196" spans="15:30" ht="12" customHeight="1" x14ac:dyDescent="0.25"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</row>
    <row r="197" spans="15:30" ht="12" customHeight="1" x14ac:dyDescent="0.25"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</row>
    <row r="198" spans="15:30" ht="12" customHeight="1" x14ac:dyDescent="0.25"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</row>
    <row r="199" spans="15:30" ht="12" customHeight="1" x14ac:dyDescent="0.25"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</row>
    <row r="200" spans="15:30" ht="12" customHeight="1" x14ac:dyDescent="0.25"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</row>
  </sheetData>
  <mergeCells count="19">
    <mergeCell ref="B35:B36"/>
    <mergeCell ref="B37:B40"/>
    <mergeCell ref="B41:B42"/>
    <mergeCell ref="B43:B44"/>
    <mergeCell ref="B45:C45"/>
    <mergeCell ref="O1:U1"/>
    <mergeCell ref="A47:C47"/>
    <mergeCell ref="A48:C48"/>
    <mergeCell ref="A46:C46"/>
    <mergeCell ref="L1:M1"/>
    <mergeCell ref="A2:A29"/>
    <mergeCell ref="A30:A45"/>
    <mergeCell ref="B2:B10"/>
    <mergeCell ref="B11:B18"/>
    <mergeCell ref="B19:B20"/>
    <mergeCell ref="B21:B23"/>
    <mergeCell ref="B24:B28"/>
    <mergeCell ref="B29:C29"/>
    <mergeCell ref="B30:B34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149B5-2E51-48D2-9181-FD50C3C261D2}">
  <dimension ref="A1:AP86"/>
  <sheetViews>
    <sheetView showGridLines="0" topLeftCell="C70" workbookViewId="0">
      <selection activeCell="K97" sqref="K97:P97"/>
    </sheetView>
  </sheetViews>
  <sheetFormatPr defaultColWidth="8.85546875" defaultRowHeight="11.25" customHeight="1" x14ac:dyDescent="0.25"/>
  <cols>
    <col min="1" max="1" width="9" style="9" bestFit="1" customWidth="1"/>
    <col min="2" max="2" width="19.42578125" style="9" bestFit="1" customWidth="1"/>
    <col min="3" max="3" width="12.7109375" style="9" bestFit="1" customWidth="1"/>
    <col min="4" max="4" width="23.140625" style="9" bestFit="1" customWidth="1"/>
    <col min="5" max="5" width="9.5703125" style="9" bestFit="1" customWidth="1"/>
    <col min="6" max="6" width="13.42578125" style="9" bestFit="1" customWidth="1"/>
    <col min="7" max="7" width="5.85546875" style="9" bestFit="1" customWidth="1"/>
    <col min="8" max="8" width="7.140625" style="9" bestFit="1" customWidth="1"/>
    <col min="9" max="9" width="9.140625" style="9" bestFit="1" customWidth="1"/>
    <col min="10" max="10" width="8.85546875" style="9"/>
    <col min="11" max="11" width="14.140625" style="9" bestFit="1" customWidth="1"/>
    <col min="12" max="12" width="11.85546875" style="9" bestFit="1" customWidth="1"/>
    <col min="13" max="13" width="9.5703125" style="9" bestFit="1" customWidth="1"/>
    <col min="14" max="15" width="10.7109375" style="9" bestFit="1" customWidth="1"/>
    <col min="16" max="16" width="9.140625" style="9" bestFit="1" customWidth="1"/>
    <col min="17" max="17" width="10.7109375" style="9" bestFit="1" customWidth="1"/>
    <col min="18" max="18" width="9.85546875" style="9" bestFit="1" customWidth="1"/>
    <col min="19" max="19" width="9.140625" style="9" bestFit="1" customWidth="1"/>
    <col min="20" max="21" width="10.7109375" style="9" bestFit="1" customWidth="1"/>
    <col min="22" max="22" width="9.85546875" style="9" bestFit="1" customWidth="1"/>
    <col min="23" max="24" width="9.28515625" style="9" bestFit="1" customWidth="1"/>
    <col min="25" max="25" width="4.7109375" style="9" bestFit="1" customWidth="1"/>
    <col min="26" max="26" width="7.140625" style="9" bestFit="1" customWidth="1"/>
    <col min="27" max="27" width="9.28515625" style="9" bestFit="1" customWidth="1"/>
    <col min="28" max="28" width="10.7109375" style="9" bestFit="1" customWidth="1"/>
    <col min="29" max="29" width="11.140625" style="9" bestFit="1" customWidth="1"/>
    <col min="30" max="30" width="10.7109375" style="9" bestFit="1" customWidth="1"/>
    <col min="31" max="31" width="7.7109375" style="9" bestFit="1" customWidth="1"/>
    <col min="32" max="32" width="6.85546875" style="9" bestFit="1" customWidth="1"/>
    <col min="33" max="33" width="8.5703125" style="9" bestFit="1" customWidth="1"/>
    <col min="34" max="34" width="14.42578125" style="9" bestFit="1" customWidth="1"/>
    <col min="35" max="35" width="17.5703125" style="9" bestFit="1" customWidth="1"/>
    <col min="36" max="36" width="18.140625" style="9" bestFit="1" customWidth="1"/>
    <col min="37" max="37" width="9.85546875" style="9" bestFit="1" customWidth="1"/>
    <col min="38" max="38" width="10.7109375" style="9" bestFit="1" customWidth="1"/>
    <col min="39" max="39" width="11.85546875" style="9" bestFit="1" customWidth="1"/>
    <col min="40" max="41" width="8.85546875" style="9"/>
    <col min="42" max="42" width="7.28515625" style="9" bestFit="1" customWidth="1"/>
    <col min="43" max="16384" width="8.85546875" style="9"/>
  </cols>
  <sheetData>
    <row r="1" spans="1:42" ht="11.25" customHeight="1" x14ac:dyDescent="0.25">
      <c r="A1" s="120" t="s">
        <v>78</v>
      </c>
      <c r="B1" s="120" t="s">
        <v>79</v>
      </c>
      <c r="C1" s="120" t="s">
        <v>80</v>
      </c>
      <c r="D1" s="120" t="s">
        <v>81</v>
      </c>
      <c r="E1" s="120" t="s">
        <v>82</v>
      </c>
      <c r="F1" s="120" t="s">
        <v>15</v>
      </c>
      <c r="G1" s="120" t="s">
        <v>84</v>
      </c>
      <c r="H1" s="120" t="s">
        <v>85</v>
      </c>
      <c r="I1" s="120" t="s">
        <v>1055</v>
      </c>
      <c r="J1" s="112"/>
      <c r="L1" s="121" t="s">
        <v>1056</v>
      </c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  <c r="X1" s="121"/>
      <c r="Y1" s="121"/>
      <c r="Z1" s="121"/>
      <c r="AA1" s="121"/>
      <c r="AB1" s="121"/>
      <c r="AC1" s="121"/>
      <c r="AD1" s="121"/>
      <c r="AE1" s="121"/>
      <c r="AF1" s="121"/>
      <c r="AG1" s="121"/>
      <c r="AH1" s="121"/>
      <c r="AI1" s="121"/>
      <c r="AJ1" s="121"/>
      <c r="AK1" s="121"/>
      <c r="AL1" s="121"/>
      <c r="AM1" s="121"/>
      <c r="AP1" s="121" t="s">
        <v>1057</v>
      </c>
    </row>
    <row r="2" spans="1:42" ht="11.25" customHeight="1" x14ac:dyDescent="0.25">
      <c r="A2" s="120"/>
      <c r="B2" s="120"/>
      <c r="C2" s="120"/>
      <c r="D2" s="120"/>
      <c r="E2" s="120"/>
      <c r="F2" s="120"/>
      <c r="G2" s="120"/>
      <c r="H2" s="120"/>
      <c r="I2" s="120"/>
      <c r="J2" s="112"/>
      <c r="L2" s="121" t="s">
        <v>955</v>
      </c>
      <c r="M2" s="121"/>
      <c r="N2" s="121"/>
      <c r="O2" s="121"/>
      <c r="P2" s="121"/>
      <c r="Q2" s="121"/>
      <c r="R2" s="121"/>
      <c r="S2" s="121"/>
      <c r="T2" s="121"/>
      <c r="U2" s="121"/>
      <c r="V2" s="121"/>
      <c r="W2" s="121"/>
      <c r="X2" s="121"/>
      <c r="Y2" s="121"/>
      <c r="Z2" s="121"/>
      <c r="AA2" s="121"/>
      <c r="AB2" s="121"/>
      <c r="AC2" s="121"/>
      <c r="AD2" s="121"/>
      <c r="AE2" s="121"/>
      <c r="AF2" s="121"/>
      <c r="AG2" s="121"/>
      <c r="AH2" s="121"/>
      <c r="AI2" s="121"/>
      <c r="AJ2" s="121"/>
      <c r="AK2" s="121"/>
      <c r="AL2" s="121"/>
      <c r="AM2" s="121"/>
      <c r="AP2" s="122"/>
    </row>
    <row r="3" spans="1:42" ht="11.25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12"/>
      <c r="L3" s="121" t="s">
        <v>956</v>
      </c>
      <c r="M3" s="121"/>
      <c r="N3" s="121"/>
      <c r="O3" s="121"/>
      <c r="P3" s="121"/>
      <c r="Q3" s="121"/>
      <c r="R3" s="121"/>
      <c r="S3" s="121"/>
      <c r="T3" s="121"/>
      <c r="U3" s="121" t="s">
        <v>966</v>
      </c>
      <c r="V3" s="121"/>
      <c r="W3" s="121"/>
      <c r="X3" s="121"/>
      <c r="Y3" s="121"/>
      <c r="Z3" s="121"/>
      <c r="AA3" s="121"/>
      <c r="AB3" s="121"/>
      <c r="AC3" s="121" t="s">
        <v>974</v>
      </c>
      <c r="AD3" s="121"/>
      <c r="AE3" s="121" t="s">
        <v>976</v>
      </c>
      <c r="AF3" s="121"/>
      <c r="AG3" s="121"/>
      <c r="AH3" s="121" t="s">
        <v>979</v>
      </c>
      <c r="AI3" s="121"/>
      <c r="AJ3" s="121"/>
      <c r="AK3" s="121"/>
      <c r="AL3" s="121"/>
      <c r="AM3" s="121" t="s">
        <v>965</v>
      </c>
      <c r="AP3" s="122"/>
    </row>
    <row r="4" spans="1:42" ht="11.25" customHeight="1" x14ac:dyDescent="0.25">
      <c r="A4" s="120"/>
      <c r="B4" s="120"/>
      <c r="C4" s="120"/>
      <c r="D4" s="120"/>
      <c r="E4" s="120"/>
      <c r="F4" s="120"/>
      <c r="G4" s="120"/>
      <c r="H4" s="120"/>
      <c r="I4" s="120"/>
      <c r="J4" s="112"/>
      <c r="L4" s="41" t="s">
        <v>957</v>
      </c>
      <c r="M4" s="41" t="s">
        <v>958</v>
      </c>
      <c r="N4" s="41" t="s">
        <v>959</v>
      </c>
      <c r="O4" s="41" t="s">
        <v>960</v>
      </c>
      <c r="P4" s="41" t="s">
        <v>961</v>
      </c>
      <c r="Q4" s="41" t="s">
        <v>962</v>
      </c>
      <c r="R4" s="41" t="s">
        <v>963</v>
      </c>
      <c r="S4" s="41" t="s">
        <v>964</v>
      </c>
      <c r="T4" s="41" t="s">
        <v>965</v>
      </c>
      <c r="U4" s="41" t="s">
        <v>967</v>
      </c>
      <c r="V4" s="41" t="s">
        <v>968</v>
      </c>
      <c r="W4" s="41" t="s">
        <v>969</v>
      </c>
      <c r="X4" s="41" t="s">
        <v>970</v>
      </c>
      <c r="Y4" s="41" t="s">
        <v>971</v>
      </c>
      <c r="Z4" s="41" t="s">
        <v>972</v>
      </c>
      <c r="AA4" s="41" t="s">
        <v>973</v>
      </c>
      <c r="AB4" s="41" t="s">
        <v>965</v>
      </c>
      <c r="AC4" s="41" t="s">
        <v>975</v>
      </c>
      <c r="AD4" s="41" t="s">
        <v>965</v>
      </c>
      <c r="AE4" s="41" t="s">
        <v>977</v>
      </c>
      <c r="AF4" s="41" t="s">
        <v>978</v>
      </c>
      <c r="AG4" s="41" t="s">
        <v>965</v>
      </c>
      <c r="AH4" s="41" t="s">
        <v>980</v>
      </c>
      <c r="AI4" s="41" t="s">
        <v>981</v>
      </c>
      <c r="AJ4" s="41" t="s">
        <v>982</v>
      </c>
      <c r="AK4" s="41" t="s">
        <v>983</v>
      </c>
      <c r="AL4" s="41" t="s">
        <v>965</v>
      </c>
      <c r="AM4" s="123"/>
      <c r="AP4" s="122"/>
    </row>
    <row r="5" spans="1:42" ht="11.25" customHeight="1" x14ac:dyDescent="0.25">
      <c r="A5" s="119" t="s">
        <v>43</v>
      </c>
      <c r="B5" s="119" t="s">
        <v>41</v>
      </c>
      <c r="C5" s="119" t="s">
        <v>25</v>
      </c>
      <c r="D5" s="119" t="s">
        <v>25</v>
      </c>
      <c r="E5" s="119" t="s">
        <v>25</v>
      </c>
      <c r="F5" s="119" t="s">
        <v>25</v>
      </c>
      <c r="G5" s="21" t="s">
        <v>92</v>
      </c>
      <c r="H5" s="21" t="s">
        <v>91</v>
      </c>
      <c r="I5" s="21">
        <f>'MERCADO TUSD'!$U$2</f>
        <v>425013</v>
      </c>
      <c r="J5" s="17"/>
      <c r="L5" s="39"/>
      <c r="M5" s="39"/>
      <c r="N5" s="39"/>
      <c r="O5" s="39"/>
      <c r="P5" s="39"/>
      <c r="Q5" s="39"/>
      <c r="R5" s="39"/>
      <c r="S5" s="39"/>
      <c r="T5" s="39"/>
      <c r="U5" s="39">
        <v>1.2504</v>
      </c>
      <c r="V5" s="39">
        <v>0.39439999999999997</v>
      </c>
      <c r="W5" s="39">
        <v>3.9199999999999999E-2</v>
      </c>
      <c r="X5" s="39">
        <v>0</v>
      </c>
      <c r="Y5" s="39">
        <v>0</v>
      </c>
      <c r="Z5" s="39">
        <v>0</v>
      </c>
      <c r="AA5" s="39">
        <v>0</v>
      </c>
      <c r="AB5" s="39"/>
      <c r="AC5" s="39">
        <v>2.5710000000000002</v>
      </c>
      <c r="AD5" s="39"/>
      <c r="AE5" s="39"/>
      <c r="AF5" s="39"/>
      <c r="AG5" s="39"/>
      <c r="AH5" s="39"/>
      <c r="AI5" s="39"/>
      <c r="AJ5" s="39"/>
      <c r="AK5" s="39"/>
      <c r="AL5" s="39"/>
      <c r="AM5" s="39"/>
      <c r="AP5" s="39">
        <v>1</v>
      </c>
    </row>
    <row r="6" spans="1:42" ht="11.25" customHeight="1" x14ac:dyDescent="0.25">
      <c r="A6" s="119"/>
      <c r="B6" s="119"/>
      <c r="C6" s="119"/>
      <c r="D6" s="119"/>
      <c r="E6" s="119"/>
      <c r="F6" s="119"/>
      <c r="G6" s="21" t="s">
        <v>93</v>
      </c>
      <c r="H6" s="21" t="s">
        <v>91</v>
      </c>
      <c r="I6" s="21">
        <f>'MERCADO TUSD'!$U$3</f>
        <v>1106400</v>
      </c>
      <c r="J6" s="17"/>
      <c r="L6" s="39"/>
      <c r="M6" s="39"/>
      <c r="N6" s="39"/>
      <c r="O6" s="39"/>
      <c r="P6" s="39"/>
      <c r="Q6" s="39"/>
      <c r="R6" s="39"/>
      <c r="S6" s="39"/>
      <c r="T6" s="39"/>
      <c r="U6" s="39">
        <v>0.96409999999999996</v>
      </c>
      <c r="V6" s="39">
        <v>0.31259999999999999</v>
      </c>
      <c r="W6" s="39">
        <v>2.7900000000000001E-2</v>
      </c>
      <c r="X6" s="39">
        <v>0</v>
      </c>
      <c r="Y6" s="39">
        <v>0</v>
      </c>
      <c r="Z6" s="39">
        <v>0</v>
      </c>
      <c r="AA6" s="39">
        <v>0</v>
      </c>
      <c r="AB6" s="39"/>
      <c r="AC6" s="39">
        <v>0.2571</v>
      </c>
      <c r="AD6" s="39"/>
      <c r="AE6" s="39"/>
      <c r="AF6" s="39"/>
      <c r="AG6" s="39"/>
      <c r="AH6" s="39"/>
      <c r="AI6" s="39"/>
      <c r="AJ6" s="39"/>
      <c r="AK6" s="39"/>
      <c r="AL6" s="39"/>
      <c r="AM6" s="39"/>
      <c r="AP6" s="39">
        <v>1</v>
      </c>
    </row>
    <row r="7" spans="1:42" ht="11.25" customHeight="1" x14ac:dyDescent="0.25">
      <c r="A7" s="119"/>
      <c r="B7" s="119"/>
      <c r="C7" s="119"/>
      <c r="D7" s="119"/>
      <c r="E7" s="119"/>
      <c r="F7" s="119"/>
      <c r="G7" s="21" t="s">
        <v>94</v>
      </c>
      <c r="H7" s="21" t="s">
        <v>88</v>
      </c>
      <c r="I7" s="21">
        <f>'MERCADO TUSD'!$U$4</f>
        <v>381591.69400000002</v>
      </c>
      <c r="J7" s="17"/>
      <c r="L7" s="39"/>
      <c r="M7" s="39"/>
      <c r="N7" s="39"/>
      <c r="O7" s="39"/>
      <c r="P7" s="39"/>
      <c r="Q7" s="39"/>
      <c r="R7" s="39"/>
      <c r="S7" s="39"/>
      <c r="T7" s="39"/>
      <c r="U7" s="39">
        <v>0</v>
      </c>
      <c r="V7" s="39">
        <v>0</v>
      </c>
      <c r="W7" s="39">
        <v>0</v>
      </c>
      <c r="X7" s="39">
        <v>0</v>
      </c>
      <c r="Y7" s="39">
        <v>0</v>
      </c>
      <c r="Z7" s="39">
        <v>0</v>
      </c>
      <c r="AA7" s="39">
        <v>0</v>
      </c>
      <c r="AB7" s="39"/>
      <c r="AC7" s="39">
        <v>0</v>
      </c>
      <c r="AD7" s="39"/>
      <c r="AE7" s="39"/>
      <c r="AF7" s="39"/>
      <c r="AG7" s="39"/>
      <c r="AH7" s="39"/>
      <c r="AI7" s="39"/>
      <c r="AJ7" s="39"/>
      <c r="AK7" s="39"/>
      <c r="AL7" s="39"/>
      <c r="AM7" s="39"/>
      <c r="AP7" s="39">
        <v>1</v>
      </c>
    </row>
    <row r="8" spans="1:42" ht="11.25" customHeight="1" x14ac:dyDescent="0.25">
      <c r="A8" s="119"/>
      <c r="B8" s="119"/>
      <c r="C8" s="119"/>
      <c r="D8" s="119"/>
      <c r="E8" s="40" t="s">
        <v>61</v>
      </c>
      <c r="F8" s="40" t="s">
        <v>25</v>
      </c>
      <c r="G8" s="21" t="s">
        <v>94</v>
      </c>
      <c r="H8" s="21" t="s">
        <v>88</v>
      </c>
      <c r="I8" s="21">
        <f>'MERCADO TUSD'!$U$5</f>
        <v>110588.63</v>
      </c>
      <c r="J8" s="17"/>
      <c r="L8" s="39"/>
      <c r="M8" s="39"/>
      <c r="N8" s="39"/>
      <c r="O8" s="39"/>
      <c r="P8" s="39"/>
      <c r="Q8" s="39"/>
      <c r="R8" s="39"/>
      <c r="S8" s="39"/>
      <c r="T8" s="39"/>
      <c r="U8" s="39">
        <v>0</v>
      </c>
      <c r="V8" s="39">
        <v>0</v>
      </c>
      <c r="W8" s="39">
        <v>0</v>
      </c>
      <c r="X8" s="39">
        <v>0</v>
      </c>
      <c r="Y8" s="39">
        <v>0</v>
      </c>
      <c r="Z8" s="39">
        <v>0</v>
      </c>
      <c r="AA8" s="39">
        <v>0</v>
      </c>
      <c r="AB8" s="39"/>
      <c r="AC8" s="39">
        <v>0</v>
      </c>
      <c r="AD8" s="39"/>
      <c r="AE8" s="39"/>
      <c r="AF8" s="39"/>
      <c r="AG8" s="39"/>
      <c r="AH8" s="39"/>
      <c r="AI8" s="39"/>
      <c r="AJ8" s="39"/>
      <c r="AK8" s="39"/>
      <c r="AL8" s="39"/>
      <c r="AM8" s="39"/>
      <c r="AP8" s="39">
        <v>1</v>
      </c>
    </row>
    <row r="9" spans="1:42" ht="11.25" customHeight="1" x14ac:dyDescent="0.25">
      <c r="A9" s="119"/>
      <c r="B9" s="119" t="s">
        <v>67</v>
      </c>
      <c r="C9" s="119" t="s">
        <v>25</v>
      </c>
      <c r="D9" s="119" t="s">
        <v>25</v>
      </c>
      <c r="E9" s="119" t="s">
        <v>25</v>
      </c>
      <c r="F9" s="119" t="s">
        <v>68</v>
      </c>
      <c r="G9" s="21" t="s">
        <v>92</v>
      </c>
      <c r="H9" s="21" t="s">
        <v>91</v>
      </c>
      <c r="I9" s="21">
        <f>'MERCADO TUSD'!$U$6</f>
        <v>648000</v>
      </c>
      <c r="J9" s="17"/>
      <c r="L9" s="39"/>
      <c r="M9" s="39"/>
      <c r="N9" s="39"/>
      <c r="O9" s="39"/>
      <c r="P9" s="39"/>
      <c r="Q9" s="39"/>
      <c r="R9" s="39"/>
      <c r="S9" s="39"/>
      <c r="T9" s="39"/>
      <c r="U9" s="39">
        <v>1.2504</v>
      </c>
      <c r="V9" s="39">
        <v>0.39439999999999997</v>
      </c>
      <c r="W9" s="39">
        <v>3.9199999999999999E-2</v>
      </c>
      <c r="X9" s="39">
        <v>0</v>
      </c>
      <c r="Y9" s="39">
        <v>0</v>
      </c>
      <c r="Z9" s="39">
        <v>0</v>
      </c>
      <c r="AA9" s="39">
        <v>0</v>
      </c>
      <c r="AB9" s="39"/>
      <c r="AC9" s="39">
        <v>2.5710000000000002</v>
      </c>
      <c r="AD9" s="39"/>
      <c r="AE9" s="39"/>
      <c r="AF9" s="39"/>
      <c r="AG9" s="39"/>
      <c r="AH9" s="39"/>
      <c r="AI9" s="39"/>
      <c r="AJ9" s="39"/>
      <c r="AK9" s="39"/>
      <c r="AL9" s="39"/>
      <c r="AM9" s="39"/>
      <c r="AP9" s="39">
        <v>1</v>
      </c>
    </row>
    <row r="10" spans="1:42" ht="11.25" customHeight="1" x14ac:dyDescent="0.25">
      <c r="A10" s="119"/>
      <c r="B10" s="119"/>
      <c r="C10" s="119"/>
      <c r="D10" s="119"/>
      <c r="E10" s="119"/>
      <c r="F10" s="119"/>
      <c r="G10" s="21" t="s">
        <v>93</v>
      </c>
      <c r="H10" s="21" t="s">
        <v>91</v>
      </c>
      <c r="I10" s="21">
        <f>'MERCADO TUSD'!$U$7</f>
        <v>751668</v>
      </c>
      <c r="J10" s="17"/>
      <c r="L10" s="39"/>
      <c r="M10" s="39"/>
      <c r="N10" s="39"/>
      <c r="O10" s="39"/>
      <c r="P10" s="39"/>
      <c r="Q10" s="39"/>
      <c r="R10" s="39"/>
      <c r="S10" s="39"/>
      <c r="T10" s="39"/>
      <c r="U10" s="39">
        <v>0.96409999999999996</v>
      </c>
      <c r="V10" s="39">
        <v>0.31259999999999999</v>
      </c>
      <c r="W10" s="39">
        <v>2.7900000000000001E-2</v>
      </c>
      <c r="X10" s="39">
        <v>0</v>
      </c>
      <c r="Y10" s="39">
        <v>0</v>
      </c>
      <c r="Z10" s="39">
        <v>0</v>
      </c>
      <c r="AA10" s="39">
        <v>0</v>
      </c>
      <c r="AB10" s="39"/>
      <c r="AC10" s="39">
        <v>0.2571</v>
      </c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P10" s="39">
        <v>1</v>
      </c>
    </row>
    <row r="11" spans="1:42" ht="11.25" customHeight="1" x14ac:dyDescent="0.25">
      <c r="A11" s="119"/>
      <c r="B11" s="119"/>
      <c r="C11" s="119"/>
      <c r="D11" s="119"/>
      <c r="E11" s="119"/>
      <c r="F11" s="119"/>
      <c r="G11" s="21" t="s">
        <v>94</v>
      </c>
      <c r="H11" s="21" t="s">
        <v>88</v>
      </c>
      <c r="I11" s="21">
        <f>'MERCADO TUSD'!$U$8</f>
        <v>172728.277</v>
      </c>
      <c r="J11" s="17"/>
      <c r="L11" s="39"/>
      <c r="M11" s="39"/>
      <c r="N11" s="39"/>
      <c r="O11" s="39"/>
      <c r="P11" s="39"/>
      <c r="Q11" s="39"/>
      <c r="R11" s="39"/>
      <c r="S11" s="39"/>
      <c r="T11" s="39"/>
      <c r="U11" s="39">
        <v>0</v>
      </c>
      <c r="V11" s="39">
        <v>0</v>
      </c>
      <c r="W11" s="39">
        <v>0</v>
      </c>
      <c r="X11" s="39">
        <v>0</v>
      </c>
      <c r="Y11" s="39">
        <v>0</v>
      </c>
      <c r="Z11" s="39">
        <v>0</v>
      </c>
      <c r="AA11" s="39">
        <v>0</v>
      </c>
      <c r="AB11" s="39"/>
      <c r="AC11" s="39">
        <v>0</v>
      </c>
      <c r="AD11" s="39"/>
      <c r="AE11" s="39"/>
      <c r="AF11" s="39"/>
      <c r="AG11" s="39"/>
      <c r="AH11" s="39"/>
      <c r="AI11" s="39"/>
      <c r="AJ11" s="39"/>
      <c r="AK11" s="39"/>
      <c r="AL11" s="39"/>
      <c r="AM11" s="39"/>
      <c r="AP11" s="39">
        <v>1</v>
      </c>
    </row>
    <row r="12" spans="1:42" ht="11.25" customHeight="1" x14ac:dyDescent="0.25">
      <c r="A12" s="119"/>
      <c r="B12" s="119" t="s">
        <v>64</v>
      </c>
      <c r="C12" s="119" t="s">
        <v>25</v>
      </c>
      <c r="D12" s="119" t="s">
        <v>25</v>
      </c>
      <c r="E12" s="119" t="s">
        <v>25</v>
      </c>
      <c r="F12" s="40" t="s">
        <v>70</v>
      </c>
      <c r="G12" s="21" t="s">
        <v>9</v>
      </c>
      <c r="H12" s="21" t="s">
        <v>91</v>
      </c>
      <c r="I12" s="21">
        <f>'MERCADO TUSD'!$U$9</f>
        <v>1494000</v>
      </c>
      <c r="J12" s="17"/>
      <c r="L12" s="39"/>
      <c r="M12" s="39"/>
      <c r="N12" s="39"/>
      <c r="O12" s="39"/>
      <c r="P12" s="39"/>
      <c r="Q12" s="39"/>
      <c r="R12" s="39"/>
      <c r="S12" s="39"/>
      <c r="T12" s="39"/>
      <c r="U12" s="39">
        <v>0</v>
      </c>
      <c r="V12" s="39">
        <v>0.63390000000000002</v>
      </c>
      <c r="W12" s="39">
        <v>5.04E-2</v>
      </c>
      <c r="X12" s="39">
        <v>0</v>
      </c>
      <c r="Y12" s="39">
        <v>0</v>
      </c>
      <c r="Z12" s="39">
        <v>0</v>
      </c>
      <c r="AA12" s="39">
        <v>0.30480000000000002</v>
      </c>
      <c r="AB12" s="39"/>
      <c r="AC12" s="39">
        <v>2.2879</v>
      </c>
      <c r="AD12" s="39"/>
      <c r="AE12" s="39"/>
      <c r="AF12" s="39"/>
      <c r="AG12" s="39"/>
      <c r="AH12" s="39"/>
      <c r="AI12" s="39"/>
      <c r="AJ12" s="39"/>
      <c r="AK12" s="39"/>
      <c r="AL12" s="39"/>
      <c r="AM12" s="39"/>
      <c r="AP12" s="39"/>
    </row>
    <row r="13" spans="1:42" ht="11.25" customHeight="1" x14ac:dyDescent="0.25">
      <c r="A13" s="119"/>
      <c r="B13" s="119"/>
      <c r="C13" s="119"/>
      <c r="D13" s="119"/>
      <c r="E13" s="119"/>
      <c r="F13" s="40" t="s">
        <v>71</v>
      </c>
      <c r="G13" s="21" t="s">
        <v>9</v>
      </c>
      <c r="H13" s="21" t="s">
        <v>91</v>
      </c>
      <c r="I13" s="21">
        <f>'MERCADO TUSD'!$U$10</f>
        <v>1038000</v>
      </c>
      <c r="J13" s="17"/>
      <c r="L13" s="39"/>
      <c r="M13" s="39"/>
      <c r="N13" s="39"/>
      <c r="O13" s="39"/>
      <c r="P13" s="39"/>
      <c r="Q13" s="39"/>
      <c r="R13" s="39"/>
      <c r="S13" s="39"/>
      <c r="T13" s="39"/>
      <c r="U13" s="39">
        <v>0</v>
      </c>
      <c r="V13" s="39">
        <v>0.54900000000000004</v>
      </c>
      <c r="W13" s="39">
        <v>4.3700000000000003E-2</v>
      </c>
      <c r="X13" s="39">
        <v>0</v>
      </c>
      <c r="Y13" s="39">
        <v>0</v>
      </c>
      <c r="Z13" s="39">
        <v>0</v>
      </c>
      <c r="AA13" s="39">
        <v>0.30480000000000002</v>
      </c>
      <c r="AB13" s="39"/>
      <c r="AC13" s="39">
        <v>1.9815</v>
      </c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P13" s="39"/>
    </row>
    <row r="14" spans="1:42" ht="11.25" customHeight="1" x14ac:dyDescent="0.25">
      <c r="A14" s="119"/>
      <c r="B14" s="119"/>
      <c r="C14" s="119"/>
      <c r="D14" s="119"/>
      <c r="E14" s="119"/>
      <c r="F14" s="40" t="s">
        <v>95</v>
      </c>
      <c r="G14" s="21" t="s">
        <v>9</v>
      </c>
      <c r="H14" s="21" t="s">
        <v>91</v>
      </c>
      <c r="I14" s="21">
        <f>'MERCADO TUSD'!$U$11</f>
        <v>0</v>
      </c>
      <c r="J14" s="17"/>
      <c r="L14" s="39"/>
      <c r="M14" s="39"/>
      <c r="N14" s="39"/>
      <c r="O14" s="39"/>
      <c r="P14" s="39"/>
      <c r="Q14" s="39"/>
      <c r="R14" s="39"/>
      <c r="S14" s="39"/>
      <c r="T14" s="39"/>
      <c r="U14" s="39">
        <v>0</v>
      </c>
      <c r="V14" s="39">
        <v>0.18029999999999999</v>
      </c>
      <c r="W14" s="39">
        <v>0</v>
      </c>
      <c r="X14" s="39">
        <v>0</v>
      </c>
      <c r="Y14" s="39">
        <v>0</v>
      </c>
      <c r="Z14" s="39">
        <v>0</v>
      </c>
      <c r="AA14" s="39">
        <v>0</v>
      </c>
      <c r="AB14" s="39"/>
      <c r="AC14" s="39">
        <v>2.8157999999999999</v>
      </c>
      <c r="AD14" s="39"/>
      <c r="AE14" s="39"/>
      <c r="AF14" s="39"/>
      <c r="AG14" s="39"/>
      <c r="AH14" s="39"/>
      <c r="AI14" s="39"/>
      <c r="AJ14" s="39"/>
      <c r="AK14" s="39"/>
      <c r="AL14" s="39"/>
      <c r="AM14" s="39"/>
      <c r="AP14" s="39"/>
    </row>
    <row r="15" spans="1:42" ht="11.25" customHeight="1" x14ac:dyDescent="0.25">
      <c r="A15" s="119" t="s">
        <v>45</v>
      </c>
      <c r="B15" s="119" t="s">
        <v>41</v>
      </c>
      <c r="C15" s="119" t="s">
        <v>25</v>
      </c>
      <c r="D15" s="119" t="s">
        <v>25</v>
      </c>
      <c r="E15" s="119" t="s">
        <v>25</v>
      </c>
      <c r="F15" s="119" t="s">
        <v>25</v>
      </c>
      <c r="G15" s="21" t="s">
        <v>92</v>
      </c>
      <c r="H15" s="21" t="s">
        <v>91</v>
      </c>
      <c r="I15" s="21">
        <f>'MERCADO TUSD'!$U$12</f>
        <v>85943</v>
      </c>
      <c r="J15" s="17"/>
      <c r="L15" s="39"/>
      <c r="M15" s="39"/>
      <c r="N15" s="39"/>
      <c r="O15" s="39"/>
      <c r="P15" s="39"/>
      <c r="Q15" s="39"/>
      <c r="R15" s="39"/>
      <c r="S15" s="39"/>
      <c r="T15" s="39"/>
      <c r="U15" s="39">
        <v>1.2377</v>
      </c>
      <c r="V15" s="39">
        <v>0.442</v>
      </c>
      <c r="W15" s="39">
        <v>4.58E-2</v>
      </c>
      <c r="X15" s="39">
        <v>0</v>
      </c>
      <c r="Y15" s="39">
        <v>0</v>
      </c>
      <c r="Z15" s="39">
        <v>0</v>
      </c>
      <c r="AA15" s="39">
        <v>0</v>
      </c>
      <c r="AB15" s="39"/>
      <c r="AC15" s="39">
        <v>14.5433</v>
      </c>
      <c r="AD15" s="39"/>
      <c r="AE15" s="39"/>
      <c r="AF15" s="39"/>
      <c r="AG15" s="39"/>
      <c r="AH15" s="39"/>
      <c r="AI15" s="39"/>
      <c r="AJ15" s="39"/>
      <c r="AK15" s="39"/>
      <c r="AL15" s="39"/>
      <c r="AM15" s="39"/>
      <c r="AP15" s="39">
        <v>1</v>
      </c>
    </row>
    <row r="16" spans="1:42" ht="11.25" customHeight="1" x14ac:dyDescent="0.25">
      <c r="A16" s="119"/>
      <c r="B16" s="119"/>
      <c r="C16" s="119"/>
      <c r="D16" s="119"/>
      <c r="E16" s="119"/>
      <c r="F16" s="119"/>
      <c r="G16" s="21" t="s">
        <v>93</v>
      </c>
      <c r="H16" s="21" t="s">
        <v>91</v>
      </c>
      <c r="I16" s="21">
        <f>'MERCADO TUSD'!$U$13</f>
        <v>99179</v>
      </c>
      <c r="J16" s="17"/>
      <c r="L16" s="39"/>
      <c r="M16" s="39"/>
      <c r="N16" s="39"/>
      <c r="O16" s="39"/>
      <c r="P16" s="39"/>
      <c r="Q16" s="39"/>
      <c r="R16" s="39"/>
      <c r="S16" s="39"/>
      <c r="T16" s="39"/>
      <c r="U16" s="39">
        <v>0.80900000000000005</v>
      </c>
      <c r="V16" s="39">
        <v>0.31440000000000001</v>
      </c>
      <c r="W16" s="39">
        <v>2.93E-2</v>
      </c>
      <c r="X16" s="39">
        <v>0</v>
      </c>
      <c r="Y16" s="39">
        <v>0</v>
      </c>
      <c r="Z16" s="39">
        <v>0</v>
      </c>
      <c r="AA16" s="39">
        <v>0</v>
      </c>
      <c r="AB16" s="39"/>
      <c r="AC16" s="39">
        <v>3.8843999999999999</v>
      </c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P16" s="39">
        <v>1</v>
      </c>
    </row>
    <row r="17" spans="1:42" ht="11.25" customHeight="1" x14ac:dyDescent="0.25">
      <c r="A17" s="119"/>
      <c r="B17" s="119"/>
      <c r="C17" s="119"/>
      <c r="D17" s="119"/>
      <c r="E17" s="119"/>
      <c r="F17" s="119"/>
      <c r="G17" s="21" t="s">
        <v>94</v>
      </c>
      <c r="H17" s="21" t="s">
        <v>88</v>
      </c>
      <c r="I17" s="21">
        <f>'MERCADO TUSD'!$U$14</f>
        <v>39203.405000000006</v>
      </c>
      <c r="J17" s="17"/>
      <c r="L17" s="39"/>
      <c r="M17" s="39"/>
      <c r="N17" s="39"/>
      <c r="O17" s="39"/>
      <c r="P17" s="39"/>
      <c r="Q17" s="39"/>
      <c r="R17" s="39"/>
      <c r="S17" s="39"/>
      <c r="T17" s="39"/>
      <c r="U17" s="39">
        <v>0</v>
      </c>
      <c r="V17" s="39">
        <v>0</v>
      </c>
      <c r="W17" s="39">
        <v>0</v>
      </c>
      <c r="X17" s="39">
        <v>0</v>
      </c>
      <c r="Y17" s="39">
        <v>0</v>
      </c>
      <c r="Z17" s="39">
        <v>0</v>
      </c>
      <c r="AA17" s="39">
        <v>0</v>
      </c>
      <c r="AB17" s="39"/>
      <c r="AC17" s="39">
        <v>0</v>
      </c>
      <c r="AD17" s="39"/>
      <c r="AE17" s="39"/>
      <c r="AF17" s="39"/>
      <c r="AG17" s="39"/>
      <c r="AH17" s="39"/>
      <c r="AI17" s="39"/>
      <c r="AJ17" s="39"/>
      <c r="AK17" s="39"/>
      <c r="AL17" s="39"/>
      <c r="AM17" s="39"/>
      <c r="AP17" s="39">
        <v>1</v>
      </c>
    </row>
    <row r="18" spans="1:42" ht="11.25" customHeight="1" x14ac:dyDescent="0.25">
      <c r="A18" s="119"/>
      <c r="B18" s="119"/>
      <c r="C18" s="119"/>
      <c r="D18" s="119"/>
      <c r="E18" s="40" t="s">
        <v>61</v>
      </c>
      <c r="F18" s="40" t="s">
        <v>25</v>
      </c>
      <c r="G18" s="21" t="s">
        <v>94</v>
      </c>
      <c r="H18" s="21" t="s">
        <v>88</v>
      </c>
      <c r="I18" s="21">
        <f>'MERCADO TUSD'!$U$15</f>
        <v>0</v>
      </c>
      <c r="J18" s="17"/>
      <c r="L18" s="39"/>
      <c r="M18" s="39"/>
      <c r="N18" s="39"/>
      <c r="O18" s="39"/>
      <c r="P18" s="39"/>
      <c r="Q18" s="39"/>
      <c r="R18" s="39"/>
      <c r="S18" s="39"/>
      <c r="T18" s="39"/>
      <c r="U18" s="39">
        <v>0</v>
      </c>
      <c r="V18" s="39">
        <v>0</v>
      </c>
      <c r="W18" s="39">
        <v>0</v>
      </c>
      <c r="X18" s="39">
        <v>0</v>
      </c>
      <c r="Y18" s="39">
        <v>0</v>
      </c>
      <c r="Z18" s="39">
        <v>0</v>
      </c>
      <c r="AA18" s="39">
        <v>0</v>
      </c>
      <c r="AB18" s="39"/>
      <c r="AC18" s="39">
        <v>0</v>
      </c>
      <c r="AD18" s="39"/>
      <c r="AE18" s="39"/>
      <c r="AF18" s="39"/>
      <c r="AG18" s="39"/>
      <c r="AH18" s="39"/>
      <c r="AI18" s="39"/>
      <c r="AJ18" s="39"/>
      <c r="AK18" s="39"/>
      <c r="AL18" s="39"/>
      <c r="AM18" s="39"/>
      <c r="AP18" s="39">
        <v>1</v>
      </c>
    </row>
    <row r="19" spans="1:42" ht="11.25" customHeight="1" x14ac:dyDescent="0.25">
      <c r="A19" s="119"/>
      <c r="B19" s="40" t="s">
        <v>64</v>
      </c>
      <c r="C19" s="40" t="s">
        <v>25</v>
      </c>
      <c r="D19" s="40" t="s">
        <v>25</v>
      </c>
      <c r="E19" s="40" t="s">
        <v>25</v>
      </c>
      <c r="F19" s="40" t="s">
        <v>25</v>
      </c>
      <c r="G19" s="21" t="s">
        <v>9</v>
      </c>
      <c r="H19" s="21" t="s">
        <v>91</v>
      </c>
      <c r="I19" s="21">
        <f>'MERCADO TUSD'!$U$16</f>
        <v>288000</v>
      </c>
      <c r="J19" s="17"/>
      <c r="L19" s="39"/>
      <c r="M19" s="39"/>
      <c r="N19" s="39"/>
      <c r="O19" s="39"/>
      <c r="P19" s="39"/>
      <c r="Q19" s="39"/>
      <c r="R19" s="39"/>
      <c r="S19" s="39"/>
      <c r="T19" s="39"/>
      <c r="U19" s="39">
        <v>0</v>
      </c>
      <c r="V19" s="39">
        <v>0</v>
      </c>
      <c r="W19" s="39">
        <v>0</v>
      </c>
      <c r="X19" s="39">
        <v>0</v>
      </c>
      <c r="Y19" s="39">
        <v>0</v>
      </c>
      <c r="Z19" s="39">
        <v>0</v>
      </c>
      <c r="AA19" s="39">
        <v>0</v>
      </c>
      <c r="AB19" s="39"/>
      <c r="AC19" s="39">
        <v>3.1753</v>
      </c>
      <c r="AD19" s="39"/>
      <c r="AE19" s="39"/>
      <c r="AF19" s="39"/>
      <c r="AG19" s="39"/>
      <c r="AH19" s="39"/>
      <c r="AI19" s="39"/>
      <c r="AJ19" s="39"/>
      <c r="AK19" s="39"/>
      <c r="AL19" s="39"/>
      <c r="AM19" s="39"/>
      <c r="AP19" s="39"/>
    </row>
    <row r="20" spans="1:42" ht="11.25" customHeight="1" x14ac:dyDescent="0.25">
      <c r="A20" s="119"/>
      <c r="B20" s="119" t="s">
        <v>34</v>
      </c>
      <c r="C20" s="119" t="s">
        <v>25</v>
      </c>
      <c r="D20" s="119" t="s">
        <v>25</v>
      </c>
      <c r="E20" s="119" t="s">
        <v>25</v>
      </c>
      <c r="F20" s="119" t="s">
        <v>25</v>
      </c>
      <c r="G20" s="21" t="s">
        <v>9</v>
      </c>
      <c r="H20" s="21" t="s">
        <v>91</v>
      </c>
      <c r="I20" s="21">
        <f>'MERCADO TUSD'!$U$17</f>
        <v>25668</v>
      </c>
      <c r="J20" s="17"/>
      <c r="L20" s="39"/>
      <c r="M20" s="39"/>
      <c r="N20" s="39"/>
      <c r="O20" s="39"/>
      <c r="P20" s="39"/>
      <c r="Q20" s="39"/>
      <c r="R20" s="39"/>
      <c r="S20" s="39"/>
      <c r="T20" s="39"/>
      <c r="U20" s="39">
        <v>0.80900000000000005</v>
      </c>
      <c r="V20" s="39">
        <v>0.31440000000000001</v>
      </c>
      <c r="W20" s="39">
        <v>2.93E-2</v>
      </c>
      <c r="X20" s="39">
        <v>0</v>
      </c>
      <c r="Y20" s="39">
        <v>0</v>
      </c>
      <c r="Z20" s="39">
        <v>0</v>
      </c>
      <c r="AA20" s="39">
        <v>0</v>
      </c>
      <c r="AB20" s="39"/>
      <c r="AC20" s="39">
        <v>3.8843999999999999</v>
      </c>
      <c r="AD20" s="39"/>
      <c r="AE20" s="39"/>
      <c r="AF20" s="39"/>
      <c r="AG20" s="39"/>
      <c r="AH20" s="39"/>
      <c r="AI20" s="39"/>
      <c r="AJ20" s="39"/>
      <c r="AK20" s="39"/>
      <c r="AL20" s="39"/>
      <c r="AM20" s="39"/>
      <c r="AP20" s="39">
        <v>1</v>
      </c>
    </row>
    <row r="21" spans="1:42" ht="11.25" customHeight="1" x14ac:dyDescent="0.25">
      <c r="A21" s="119"/>
      <c r="B21" s="119"/>
      <c r="C21" s="119"/>
      <c r="D21" s="119"/>
      <c r="E21" s="119"/>
      <c r="F21" s="119"/>
      <c r="G21" s="21" t="s">
        <v>89</v>
      </c>
      <c r="H21" s="21" t="s">
        <v>88</v>
      </c>
      <c r="I21" s="21">
        <f>'MERCADO TUSD'!$U$18</f>
        <v>791.82199999999989</v>
      </c>
      <c r="J21" s="17"/>
      <c r="L21" s="39"/>
      <c r="M21" s="39"/>
      <c r="N21" s="39"/>
      <c r="O21" s="39"/>
      <c r="P21" s="39"/>
      <c r="Q21" s="39"/>
      <c r="R21" s="39"/>
      <c r="S21" s="39"/>
      <c r="T21" s="39"/>
      <c r="U21" s="39">
        <v>29.767099999999999</v>
      </c>
      <c r="V21" s="39">
        <v>10.6302</v>
      </c>
      <c r="W21" s="39">
        <v>1.1009</v>
      </c>
      <c r="X21" s="39">
        <v>0</v>
      </c>
      <c r="Y21" s="39">
        <v>0</v>
      </c>
      <c r="Z21" s="39">
        <v>0</v>
      </c>
      <c r="AA21" s="39">
        <v>0</v>
      </c>
      <c r="AB21" s="39"/>
      <c r="AC21" s="39">
        <v>349.76740000000001</v>
      </c>
      <c r="AD21" s="39"/>
      <c r="AE21" s="39"/>
      <c r="AF21" s="39"/>
      <c r="AG21" s="39"/>
      <c r="AH21" s="39"/>
      <c r="AI21" s="39"/>
      <c r="AJ21" s="39"/>
      <c r="AK21" s="39"/>
      <c r="AL21" s="39"/>
      <c r="AM21" s="39"/>
      <c r="AP21" s="39">
        <v>1</v>
      </c>
    </row>
    <row r="22" spans="1:42" ht="11.25" customHeight="1" x14ac:dyDescent="0.25">
      <c r="A22" s="119"/>
      <c r="B22" s="119"/>
      <c r="C22" s="119"/>
      <c r="D22" s="119"/>
      <c r="E22" s="119"/>
      <c r="F22" s="119"/>
      <c r="G22" s="21" t="s">
        <v>90</v>
      </c>
      <c r="H22" s="21" t="s">
        <v>88</v>
      </c>
      <c r="I22" s="21">
        <f>'MERCADO TUSD'!$U$19</f>
        <v>6790.7199999999993</v>
      </c>
      <c r="J22" s="17"/>
      <c r="L22" s="39"/>
      <c r="M22" s="39"/>
      <c r="N22" s="39"/>
      <c r="O22" s="39"/>
      <c r="P22" s="39"/>
      <c r="Q22" s="39"/>
      <c r="R22" s="39"/>
      <c r="S22" s="39"/>
      <c r="T22" s="39"/>
      <c r="U22" s="39">
        <v>0</v>
      </c>
      <c r="V22" s="39">
        <v>0</v>
      </c>
      <c r="W22" s="39">
        <v>0</v>
      </c>
      <c r="X22" s="39">
        <v>0</v>
      </c>
      <c r="Y22" s="39">
        <v>0</v>
      </c>
      <c r="Z22" s="39">
        <v>0</v>
      </c>
      <c r="AA22" s="39">
        <v>0</v>
      </c>
      <c r="AB22" s="39"/>
      <c r="AC22" s="39">
        <v>0</v>
      </c>
      <c r="AD22" s="39"/>
      <c r="AE22" s="39"/>
      <c r="AF22" s="39"/>
      <c r="AG22" s="39"/>
      <c r="AH22" s="39"/>
      <c r="AI22" s="39"/>
      <c r="AJ22" s="39"/>
      <c r="AK22" s="39"/>
      <c r="AL22" s="39"/>
      <c r="AM22" s="39"/>
      <c r="AP22" s="39">
        <v>1</v>
      </c>
    </row>
    <row r="23" spans="1:42" ht="11.25" customHeight="1" x14ac:dyDescent="0.25">
      <c r="A23" s="119"/>
      <c r="B23" s="119"/>
      <c r="C23" s="119"/>
      <c r="D23" s="119"/>
      <c r="E23" s="119" t="s">
        <v>61</v>
      </c>
      <c r="F23" s="119" t="s">
        <v>25</v>
      </c>
      <c r="G23" s="21" t="s">
        <v>89</v>
      </c>
      <c r="H23" s="21" t="s">
        <v>88</v>
      </c>
      <c r="I23" s="21">
        <f>'MERCADO TUSD'!$U$20</f>
        <v>0</v>
      </c>
      <c r="J23" s="17"/>
      <c r="L23" s="39"/>
      <c r="M23" s="39"/>
      <c r="N23" s="39"/>
      <c r="O23" s="39"/>
      <c r="P23" s="39"/>
      <c r="Q23" s="39"/>
      <c r="R23" s="39"/>
      <c r="S23" s="39"/>
      <c r="T23" s="39"/>
      <c r="U23" s="39">
        <v>29.767099999999999</v>
      </c>
      <c r="V23" s="39">
        <v>10.6302</v>
      </c>
      <c r="W23" s="39">
        <v>1.1009</v>
      </c>
      <c r="X23" s="39">
        <v>0</v>
      </c>
      <c r="Y23" s="39">
        <v>0</v>
      </c>
      <c r="Z23" s="39">
        <v>0</v>
      </c>
      <c r="AA23" s="39">
        <v>0</v>
      </c>
      <c r="AB23" s="39"/>
      <c r="AC23" s="39">
        <v>349.76740000000001</v>
      </c>
      <c r="AD23" s="39"/>
      <c r="AE23" s="39"/>
      <c r="AF23" s="39"/>
      <c r="AG23" s="39"/>
      <c r="AH23" s="39"/>
      <c r="AI23" s="39"/>
      <c r="AJ23" s="39"/>
      <c r="AK23" s="39"/>
      <c r="AL23" s="39"/>
      <c r="AM23" s="39"/>
      <c r="AP23" s="39">
        <v>1</v>
      </c>
    </row>
    <row r="24" spans="1:42" ht="11.25" customHeight="1" x14ac:dyDescent="0.25">
      <c r="A24" s="119"/>
      <c r="B24" s="119"/>
      <c r="C24" s="119"/>
      <c r="D24" s="119"/>
      <c r="E24" s="119"/>
      <c r="F24" s="119"/>
      <c r="G24" s="21" t="s">
        <v>90</v>
      </c>
      <c r="H24" s="21" t="s">
        <v>88</v>
      </c>
      <c r="I24" s="21">
        <f>'MERCADO TUSD'!$U$21</f>
        <v>0</v>
      </c>
      <c r="J24" s="17"/>
      <c r="L24" s="39"/>
      <c r="M24" s="39"/>
      <c r="N24" s="39"/>
      <c r="O24" s="39"/>
      <c r="P24" s="39"/>
      <c r="Q24" s="39"/>
      <c r="R24" s="39"/>
      <c r="S24" s="39"/>
      <c r="T24" s="39"/>
      <c r="U24" s="39">
        <v>0</v>
      </c>
      <c r="V24" s="39">
        <v>0</v>
      </c>
      <c r="W24" s="39">
        <v>0</v>
      </c>
      <c r="X24" s="39">
        <v>0</v>
      </c>
      <c r="Y24" s="39">
        <v>0</v>
      </c>
      <c r="Z24" s="39">
        <v>0</v>
      </c>
      <c r="AA24" s="39">
        <v>0</v>
      </c>
      <c r="AB24" s="39"/>
      <c r="AC24" s="39">
        <v>0</v>
      </c>
      <c r="AD24" s="39"/>
      <c r="AE24" s="39"/>
      <c r="AF24" s="39"/>
      <c r="AG24" s="39"/>
      <c r="AH24" s="39"/>
      <c r="AI24" s="39"/>
      <c r="AJ24" s="39"/>
      <c r="AK24" s="39"/>
      <c r="AL24" s="39"/>
      <c r="AM24" s="39"/>
      <c r="AP24" s="39">
        <v>1</v>
      </c>
    </row>
    <row r="25" spans="1:42" ht="11.25" customHeight="1" x14ac:dyDescent="0.25">
      <c r="A25" s="119"/>
      <c r="B25" s="119" t="s">
        <v>23</v>
      </c>
      <c r="C25" s="119" t="s">
        <v>25</v>
      </c>
      <c r="D25" s="119" t="s">
        <v>25</v>
      </c>
      <c r="E25" s="119" t="s">
        <v>25</v>
      </c>
      <c r="F25" s="119" t="s">
        <v>25</v>
      </c>
      <c r="G25" s="21" t="s">
        <v>9</v>
      </c>
      <c r="H25" s="21" t="s">
        <v>91</v>
      </c>
      <c r="I25" s="21">
        <f>'MERCADO TUSD'!$U$22</f>
        <v>0</v>
      </c>
      <c r="J25" s="17"/>
      <c r="L25" s="39"/>
      <c r="M25" s="39"/>
      <c r="N25" s="39"/>
      <c r="O25" s="39"/>
      <c r="P25" s="39"/>
      <c r="Q25" s="39"/>
      <c r="R25" s="39"/>
      <c r="S25" s="39"/>
      <c r="T25" s="39"/>
      <c r="U25" s="39">
        <v>1.7001999999999999</v>
      </c>
      <c r="V25" s="39">
        <v>0.63270000000000004</v>
      </c>
      <c r="W25" s="39">
        <v>6.2199999999999998E-2</v>
      </c>
      <c r="X25" s="39">
        <v>0</v>
      </c>
      <c r="Y25" s="39">
        <v>0</v>
      </c>
      <c r="Z25" s="39">
        <v>0</v>
      </c>
      <c r="AA25" s="39">
        <v>0</v>
      </c>
      <c r="AB25" s="39"/>
      <c r="AC25" s="39">
        <v>14.355600000000001</v>
      </c>
      <c r="AD25" s="39"/>
      <c r="AE25" s="39"/>
      <c r="AF25" s="39"/>
      <c r="AG25" s="39"/>
      <c r="AH25" s="39"/>
      <c r="AI25" s="39"/>
      <c r="AJ25" s="39"/>
      <c r="AK25" s="39"/>
      <c r="AL25" s="39"/>
      <c r="AM25" s="39"/>
      <c r="AP25" s="39">
        <v>1</v>
      </c>
    </row>
    <row r="26" spans="1:42" ht="11.25" customHeight="1" x14ac:dyDescent="0.25">
      <c r="A26" s="119"/>
      <c r="B26" s="119"/>
      <c r="C26" s="119"/>
      <c r="D26" s="119"/>
      <c r="E26" s="119"/>
      <c r="F26" s="119"/>
      <c r="G26" s="21" t="s">
        <v>94</v>
      </c>
      <c r="H26" s="21" t="s">
        <v>88</v>
      </c>
      <c r="I26" s="21">
        <f>'MERCADO TUSD'!$U$23</f>
        <v>0</v>
      </c>
      <c r="J26" s="17"/>
      <c r="L26" s="39"/>
      <c r="M26" s="39"/>
      <c r="N26" s="39"/>
      <c r="O26" s="39"/>
      <c r="P26" s="39"/>
      <c r="Q26" s="39"/>
      <c r="R26" s="39"/>
      <c r="S26" s="39"/>
      <c r="T26" s="39"/>
      <c r="U26" s="39">
        <v>0</v>
      </c>
      <c r="V26" s="39">
        <v>0</v>
      </c>
      <c r="W26" s="39">
        <v>0</v>
      </c>
      <c r="X26" s="39">
        <v>0</v>
      </c>
      <c r="Y26" s="39">
        <v>0</v>
      </c>
      <c r="Z26" s="39">
        <v>0</v>
      </c>
      <c r="AA26" s="39">
        <v>0</v>
      </c>
      <c r="AB26" s="39"/>
      <c r="AC26" s="39">
        <v>0</v>
      </c>
      <c r="AD26" s="39"/>
      <c r="AE26" s="39"/>
      <c r="AF26" s="39"/>
      <c r="AG26" s="39"/>
      <c r="AH26" s="39"/>
      <c r="AI26" s="39"/>
      <c r="AJ26" s="39"/>
      <c r="AK26" s="39"/>
      <c r="AL26" s="39"/>
      <c r="AM26" s="39"/>
      <c r="AP26" s="39">
        <v>1</v>
      </c>
    </row>
    <row r="27" spans="1:42" ht="11.25" customHeight="1" x14ac:dyDescent="0.25">
      <c r="A27" s="119" t="s">
        <v>33</v>
      </c>
      <c r="B27" s="119" t="s">
        <v>41</v>
      </c>
      <c r="C27" s="119" t="s">
        <v>25</v>
      </c>
      <c r="D27" s="119" t="s">
        <v>25</v>
      </c>
      <c r="E27" s="119" t="s">
        <v>25</v>
      </c>
      <c r="F27" s="119" t="s">
        <v>25</v>
      </c>
      <c r="G27" s="21" t="s">
        <v>92</v>
      </c>
      <c r="H27" s="21" t="s">
        <v>91</v>
      </c>
      <c r="I27" s="21">
        <f>'MERCADO TUSD'!$U$24</f>
        <v>1516519</v>
      </c>
      <c r="J27" s="17"/>
      <c r="L27" s="39"/>
      <c r="M27" s="39"/>
      <c r="N27" s="39"/>
      <c r="O27" s="39"/>
      <c r="P27" s="39"/>
      <c r="Q27" s="39"/>
      <c r="R27" s="39"/>
      <c r="S27" s="39"/>
      <c r="T27" s="39"/>
      <c r="U27" s="39">
        <v>1.2377</v>
      </c>
      <c r="V27" s="39">
        <v>0.442</v>
      </c>
      <c r="W27" s="39">
        <v>4.58E-2</v>
      </c>
      <c r="X27" s="39">
        <v>0</v>
      </c>
      <c r="Y27" s="39">
        <v>0</v>
      </c>
      <c r="Z27" s="39">
        <v>0</v>
      </c>
      <c r="AA27" s="39">
        <v>0</v>
      </c>
      <c r="AB27" s="39"/>
      <c r="AC27" s="39">
        <v>14.5433</v>
      </c>
      <c r="AD27" s="39"/>
      <c r="AE27" s="39"/>
      <c r="AF27" s="39"/>
      <c r="AG27" s="39"/>
      <c r="AH27" s="39"/>
      <c r="AI27" s="39"/>
      <c r="AJ27" s="39"/>
      <c r="AK27" s="39"/>
      <c r="AL27" s="39"/>
      <c r="AM27" s="39"/>
      <c r="AP27" s="39">
        <v>1</v>
      </c>
    </row>
    <row r="28" spans="1:42" ht="11.25" customHeight="1" x14ac:dyDescent="0.25">
      <c r="A28" s="119"/>
      <c r="B28" s="119"/>
      <c r="C28" s="119"/>
      <c r="D28" s="119"/>
      <c r="E28" s="119"/>
      <c r="F28" s="119"/>
      <c r="G28" s="21" t="s">
        <v>93</v>
      </c>
      <c r="H28" s="21" t="s">
        <v>91</v>
      </c>
      <c r="I28" s="21">
        <f>'MERCADO TUSD'!$U$25</f>
        <v>1745724</v>
      </c>
      <c r="J28" s="17"/>
      <c r="L28" s="39"/>
      <c r="M28" s="39"/>
      <c r="N28" s="39"/>
      <c r="O28" s="39"/>
      <c r="P28" s="39"/>
      <c r="Q28" s="39"/>
      <c r="R28" s="39"/>
      <c r="S28" s="39"/>
      <c r="T28" s="39"/>
      <c r="U28" s="39">
        <v>0.80900000000000005</v>
      </c>
      <c r="V28" s="39">
        <v>0.31440000000000001</v>
      </c>
      <c r="W28" s="39">
        <v>2.93E-2</v>
      </c>
      <c r="X28" s="39">
        <v>0</v>
      </c>
      <c r="Y28" s="39">
        <v>0</v>
      </c>
      <c r="Z28" s="39">
        <v>0</v>
      </c>
      <c r="AA28" s="39">
        <v>0</v>
      </c>
      <c r="AB28" s="39"/>
      <c r="AC28" s="39">
        <v>3.8843999999999999</v>
      </c>
      <c r="AD28" s="39"/>
      <c r="AE28" s="39"/>
      <c r="AF28" s="39"/>
      <c r="AG28" s="39"/>
      <c r="AH28" s="39"/>
      <c r="AI28" s="39"/>
      <c r="AJ28" s="39"/>
      <c r="AK28" s="39"/>
      <c r="AL28" s="39"/>
      <c r="AM28" s="39"/>
      <c r="AP28" s="39">
        <v>1</v>
      </c>
    </row>
    <row r="29" spans="1:42" ht="11.25" customHeight="1" x14ac:dyDescent="0.25">
      <c r="A29" s="119"/>
      <c r="B29" s="119"/>
      <c r="C29" s="119"/>
      <c r="D29" s="119"/>
      <c r="E29" s="119"/>
      <c r="F29" s="119"/>
      <c r="G29" s="21" t="s">
        <v>94</v>
      </c>
      <c r="H29" s="21" t="s">
        <v>88</v>
      </c>
      <c r="I29" s="21">
        <f>'MERCADO TUSD'!$U$26</f>
        <v>639922.91000000015</v>
      </c>
      <c r="J29" s="17"/>
      <c r="L29" s="39"/>
      <c r="M29" s="39"/>
      <c r="N29" s="39"/>
      <c r="O29" s="39"/>
      <c r="P29" s="39"/>
      <c r="Q29" s="39"/>
      <c r="R29" s="39"/>
      <c r="S29" s="39"/>
      <c r="T29" s="39"/>
      <c r="U29" s="39">
        <v>0</v>
      </c>
      <c r="V29" s="39">
        <v>0</v>
      </c>
      <c r="W29" s="39">
        <v>0</v>
      </c>
      <c r="X29" s="39">
        <v>0</v>
      </c>
      <c r="Y29" s="39">
        <v>0</v>
      </c>
      <c r="Z29" s="39">
        <v>0</v>
      </c>
      <c r="AA29" s="39">
        <v>0</v>
      </c>
      <c r="AB29" s="39"/>
      <c r="AC29" s="39">
        <v>0</v>
      </c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P29" s="39">
        <v>1</v>
      </c>
    </row>
    <row r="30" spans="1:42" ht="11.25" customHeight="1" x14ac:dyDescent="0.25">
      <c r="A30" s="119"/>
      <c r="B30" s="119"/>
      <c r="C30" s="119"/>
      <c r="D30" s="119"/>
      <c r="E30" s="40" t="s">
        <v>61</v>
      </c>
      <c r="F30" s="40" t="s">
        <v>25</v>
      </c>
      <c r="G30" s="21" t="s">
        <v>94</v>
      </c>
      <c r="H30" s="21" t="s">
        <v>88</v>
      </c>
      <c r="I30" s="21">
        <f>'MERCADO TUSD'!$U$27</f>
        <v>0</v>
      </c>
      <c r="J30" s="17"/>
      <c r="L30" s="39"/>
      <c r="M30" s="39"/>
      <c r="N30" s="39"/>
      <c r="O30" s="39"/>
      <c r="P30" s="39"/>
      <c r="Q30" s="39"/>
      <c r="R30" s="39"/>
      <c r="S30" s="39"/>
      <c r="T30" s="39"/>
      <c r="U30" s="39">
        <v>0</v>
      </c>
      <c r="V30" s="39">
        <v>0</v>
      </c>
      <c r="W30" s="39">
        <v>0</v>
      </c>
      <c r="X30" s="39">
        <v>0</v>
      </c>
      <c r="Y30" s="39">
        <v>0</v>
      </c>
      <c r="Z30" s="39">
        <v>0</v>
      </c>
      <c r="AA30" s="39">
        <v>0</v>
      </c>
      <c r="AB30" s="39"/>
      <c r="AC30" s="39">
        <v>0</v>
      </c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P30" s="39">
        <v>1</v>
      </c>
    </row>
    <row r="31" spans="1:42" ht="11.25" customHeight="1" x14ac:dyDescent="0.25">
      <c r="A31" s="119"/>
      <c r="B31" s="40" t="s">
        <v>64</v>
      </c>
      <c r="C31" s="40" t="s">
        <v>25</v>
      </c>
      <c r="D31" s="40" t="s">
        <v>25</v>
      </c>
      <c r="E31" s="40" t="s">
        <v>25</v>
      </c>
      <c r="F31" s="40" t="s">
        <v>25</v>
      </c>
      <c r="G31" s="21" t="s">
        <v>9</v>
      </c>
      <c r="H31" s="21" t="s">
        <v>91</v>
      </c>
      <c r="I31" s="21">
        <f>'MERCADO TUSD'!$U$28</f>
        <v>0</v>
      </c>
      <c r="J31" s="17"/>
      <c r="L31" s="39"/>
      <c r="M31" s="39"/>
      <c r="N31" s="39"/>
      <c r="O31" s="39"/>
      <c r="P31" s="39"/>
      <c r="Q31" s="39"/>
      <c r="R31" s="39"/>
      <c r="S31" s="39"/>
      <c r="T31" s="39"/>
      <c r="U31" s="39">
        <v>0</v>
      </c>
      <c r="V31" s="39">
        <v>0</v>
      </c>
      <c r="W31" s="39">
        <v>0</v>
      </c>
      <c r="X31" s="39">
        <v>0</v>
      </c>
      <c r="Y31" s="39">
        <v>0</v>
      </c>
      <c r="Z31" s="39">
        <v>0</v>
      </c>
      <c r="AA31" s="39">
        <v>0</v>
      </c>
      <c r="AB31" s="39"/>
      <c r="AC31" s="39">
        <v>3.1753</v>
      </c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P31" s="39"/>
    </row>
    <row r="32" spans="1:42" ht="11.25" customHeight="1" x14ac:dyDescent="0.25">
      <c r="A32" s="119"/>
      <c r="B32" s="119" t="s">
        <v>34</v>
      </c>
      <c r="C32" s="119" t="s">
        <v>25</v>
      </c>
      <c r="D32" s="119" t="s">
        <v>25</v>
      </c>
      <c r="E32" s="119" t="s">
        <v>25</v>
      </c>
      <c r="F32" s="119" t="s">
        <v>25</v>
      </c>
      <c r="G32" s="21" t="s">
        <v>9</v>
      </c>
      <c r="H32" s="21" t="s">
        <v>91</v>
      </c>
      <c r="I32" s="21">
        <f>'MERCADO TUSD'!$U$29</f>
        <v>3362527</v>
      </c>
      <c r="J32" s="17"/>
      <c r="L32" s="39"/>
      <c r="M32" s="39"/>
      <c r="N32" s="39"/>
      <c r="O32" s="39"/>
      <c r="P32" s="39"/>
      <c r="Q32" s="39"/>
      <c r="R32" s="39"/>
      <c r="S32" s="39"/>
      <c r="T32" s="39"/>
      <c r="U32" s="39">
        <v>0.80900000000000005</v>
      </c>
      <c r="V32" s="39">
        <v>0.31440000000000001</v>
      </c>
      <c r="W32" s="39">
        <v>2.93E-2</v>
      </c>
      <c r="X32" s="39">
        <v>0</v>
      </c>
      <c r="Y32" s="39">
        <v>0</v>
      </c>
      <c r="Z32" s="39">
        <v>0</v>
      </c>
      <c r="AA32" s="39">
        <v>0</v>
      </c>
      <c r="AB32" s="39"/>
      <c r="AC32" s="39">
        <v>3.8843999999999999</v>
      </c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P32" s="39">
        <v>1</v>
      </c>
    </row>
    <row r="33" spans="1:42" ht="11.25" customHeight="1" x14ac:dyDescent="0.25">
      <c r="A33" s="119"/>
      <c r="B33" s="119"/>
      <c r="C33" s="119"/>
      <c r="D33" s="119"/>
      <c r="E33" s="119"/>
      <c r="F33" s="119"/>
      <c r="G33" s="21" t="s">
        <v>89</v>
      </c>
      <c r="H33" s="21" t="s">
        <v>88</v>
      </c>
      <c r="I33" s="21">
        <f>'MERCADO TUSD'!$U$30</f>
        <v>54632.431000000011</v>
      </c>
      <c r="J33" s="17"/>
      <c r="L33" s="39"/>
      <c r="M33" s="39"/>
      <c r="N33" s="39"/>
      <c r="O33" s="39"/>
      <c r="P33" s="39"/>
      <c r="Q33" s="39"/>
      <c r="R33" s="39"/>
      <c r="S33" s="39"/>
      <c r="T33" s="39"/>
      <c r="U33" s="39">
        <v>29.767099999999999</v>
      </c>
      <c r="V33" s="39">
        <v>10.6302</v>
      </c>
      <c r="W33" s="39">
        <v>1.1009</v>
      </c>
      <c r="X33" s="39">
        <v>0</v>
      </c>
      <c r="Y33" s="39">
        <v>0</v>
      </c>
      <c r="Z33" s="39">
        <v>0</v>
      </c>
      <c r="AA33" s="39">
        <v>0</v>
      </c>
      <c r="AB33" s="39"/>
      <c r="AC33" s="39">
        <v>349.76740000000001</v>
      </c>
      <c r="AD33" s="39"/>
      <c r="AE33" s="39"/>
      <c r="AF33" s="39"/>
      <c r="AG33" s="39"/>
      <c r="AH33" s="39"/>
      <c r="AI33" s="39"/>
      <c r="AJ33" s="39"/>
      <c r="AK33" s="39"/>
      <c r="AL33" s="39"/>
      <c r="AM33" s="39"/>
      <c r="AP33" s="39">
        <v>1</v>
      </c>
    </row>
    <row r="34" spans="1:42" ht="11.25" customHeight="1" x14ac:dyDescent="0.25">
      <c r="A34" s="119"/>
      <c r="B34" s="119"/>
      <c r="C34" s="119"/>
      <c r="D34" s="119"/>
      <c r="E34" s="119"/>
      <c r="F34" s="119"/>
      <c r="G34" s="21" t="s">
        <v>90</v>
      </c>
      <c r="H34" s="21" t="s">
        <v>88</v>
      </c>
      <c r="I34" s="21">
        <f>'MERCADO TUSD'!$U$31</f>
        <v>585212.62100000004</v>
      </c>
      <c r="J34" s="17"/>
      <c r="L34" s="39"/>
      <c r="M34" s="39"/>
      <c r="N34" s="39"/>
      <c r="O34" s="39"/>
      <c r="P34" s="39"/>
      <c r="Q34" s="39"/>
      <c r="R34" s="39"/>
      <c r="S34" s="39"/>
      <c r="T34" s="39"/>
      <c r="U34" s="39">
        <v>0</v>
      </c>
      <c r="V34" s="39">
        <v>0</v>
      </c>
      <c r="W34" s="39">
        <v>0</v>
      </c>
      <c r="X34" s="39">
        <v>0</v>
      </c>
      <c r="Y34" s="39">
        <v>0</v>
      </c>
      <c r="Z34" s="39">
        <v>0</v>
      </c>
      <c r="AA34" s="39">
        <v>0</v>
      </c>
      <c r="AB34" s="39"/>
      <c r="AC34" s="39">
        <v>0</v>
      </c>
      <c r="AD34" s="39"/>
      <c r="AE34" s="39"/>
      <c r="AF34" s="39"/>
      <c r="AG34" s="39"/>
      <c r="AH34" s="39"/>
      <c r="AI34" s="39"/>
      <c r="AJ34" s="39"/>
      <c r="AK34" s="39"/>
      <c r="AL34" s="39"/>
      <c r="AM34" s="39"/>
      <c r="AP34" s="39">
        <v>1</v>
      </c>
    </row>
    <row r="35" spans="1:42" ht="11.25" customHeight="1" x14ac:dyDescent="0.25">
      <c r="A35" s="119"/>
      <c r="B35" s="119"/>
      <c r="C35" s="119"/>
      <c r="D35" s="119"/>
      <c r="E35" s="119" t="s">
        <v>61</v>
      </c>
      <c r="F35" s="119" t="s">
        <v>25</v>
      </c>
      <c r="G35" s="21" t="s">
        <v>89</v>
      </c>
      <c r="H35" s="21" t="s">
        <v>88</v>
      </c>
      <c r="I35" s="21">
        <f>'MERCADO TUSD'!$U$32</f>
        <v>0</v>
      </c>
      <c r="J35" s="17"/>
      <c r="L35" s="39"/>
      <c r="M35" s="39"/>
      <c r="N35" s="39"/>
      <c r="O35" s="39"/>
      <c r="P35" s="39"/>
      <c r="Q35" s="39"/>
      <c r="R35" s="39"/>
      <c r="S35" s="39"/>
      <c r="T35" s="39"/>
      <c r="U35" s="39">
        <v>29.767099999999999</v>
      </c>
      <c r="V35" s="39">
        <v>10.6302</v>
      </c>
      <c r="W35" s="39">
        <v>1.1009</v>
      </c>
      <c r="X35" s="39">
        <v>0</v>
      </c>
      <c r="Y35" s="39">
        <v>0</v>
      </c>
      <c r="Z35" s="39">
        <v>0</v>
      </c>
      <c r="AA35" s="39">
        <v>0</v>
      </c>
      <c r="AB35" s="39"/>
      <c r="AC35" s="39">
        <v>349.76740000000001</v>
      </c>
      <c r="AD35" s="39"/>
      <c r="AE35" s="39"/>
      <c r="AF35" s="39"/>
      <c r="AG35" s="39"/>
      <c r="AH35" s="39"/>
      <c r="AI35" s="39"/>
      <c r="AJ35" s="39"/>
      <c r="AK35" s="39"/>
      <c r="AL35" s="39"/>
      <c r="AM35" s="39"/>
      <c r="AP35" s="39">
        <v>1</v>
      </c>
    </row>
    <row r="36" spans="1:42" ht="11.25" customHeight="1" x14ac:dyDescent="0.25">
      <c r="A36" s="119"/>
      <c r="B36" s="119"/>
      <c r="C36" s="119"/>
      <c r="D36" s="119"/>
      <c r="E36" s="119"/>
      <c r="F36" s="119"/>
      <c r="G36" s="21" t="s">
        <v>90</v>
      </c>
      <c r="H36" s="21" t="s">
        <v>88</v>
      </c>
      <c r="I36" s="21">
        <f>'MERCADO TUSD'!$U$33</f>
        <v>0</v>
      </c>
      <c r="J36" s="17"/>
      <c r="L36" s="39"/>
      <c r="M36" s="39"/>
      <c r="N36" s="39"/>
      <c r="O36" s="39"/>
      <c r="P36" s="39"/>
      <c r="Q36" s="39"/>
      <c r="R36" s="39"/>
      <c r="S36" s="39"/>
      <c r="T36" s="39"/>
      <c r="U36" s="39">
        <v>0</v>
      </c>
      <c r="V36" s="39">
        <v>0</v>
      </c>
      <c r="W36" s="39">
        <v>0</v>
      </c>
      <c r="X36" s="39">
        <v>0</v>
      </c>
      <c r="Y36" s="39">
        <v>0</v>
      </c>
      <c r="Z36" s="39">
        <v>0</v>
      </c>
      <c r="AA36" s="39">
        <v>0</v>
      </c>
      <c r="AB36" s="39"/>
      <c r="AC36" s="39">
        <v>0</v>
      </c>
      <c r="AD36" s="39"/>
      <c r="AE36" s="39"/>
      <c r="AF36" s="39"/>
      <c r="AG36" s="39"/>
      <c r="AH36" s="39"/>
      <c r="AI36" s="39"/>
      <c r="AJ36" s="39"/>
      <c r="AK36" s="39"/>
      <c r="AL36" s="39"/>
      <c r="AM36" s="39"/>
      <c r="AP36" s="39">
        <v>1</v>
      </c>
    </row>
    <row r="37" spans="1:42" ht="11.25" customHeight="1" x14ac:dyDescent="0.25">
      <c r="A37" s="119"/>
      <c r="B37" s="119" t="s">
        <v>23</v>
      </c>
      <c r="C37" s="119" t="s">
        <v>25</v>
      </c>
      <c r="D37" s="119" t="s">
        <v>25</v>
      </c>
      <c r="E37" s="119" t="s">
        <v>25</v>
      </c>
      <c r="F37" s="119" t="s">
        <v>25</v>
      </c>
      <c r="G37" s="21" t="s">
        <v>9</v>
      </c>
      <c r="H37" s="21" t="s">
        <v>91</v>
      </c>
      <c r="I37" s="21">
        <f>'MERCADO TUSD'!$U$34</f>
        <v>0</v>
      </c>
      <c r="J37" s="17"/>
      <c r="L37" s="39"/>
      <c r="M37" s="39"/>
      <c r="N37" s="39"/>
      <c r="O37" s="39"/>
      <c r="P37" s="39"/>
      <c r="Q37" s="39"/>
      <c r="R37" s="39"/>
      <c r="S37" s="39"/>
      <c r="T37" s="39"/>
      <c r="U37" s="39">
        <v>1.7001999999999999</v>
      </c>
      <c r="V37" s="39">
        <v>0.63270000000000004</v>
      </c>
      <c r="W37" s="39">
        <v>6.2199999999999998E-2</v>
      </c>
      <c r="X37" s="39">
        <v>0</v>
      </c>
      <c r="Y37" s="39">
        <v>0</v>
      </c>
      <c r="Z37" s="39">
        <v>0</v>
      </c>
      <c r="AA37" s="39">
        <v>0</v>
      </c>
      <c r="AB37" s="39"/>
      <c r="AC37" s="39">
        <v>14.355600000000001</v>
      </c>
      <c r="AD37" s="39"/>
      <c r="AE37" s="39"/>
      <c r="AF37" s="39"/>
      <c r="AG37" s="39"/>
      <c r="AH37" s="39"/>
      <c r="AI37" s="39"/>
      <c r="AJ37" s="39"/>
      <c r="AK37" s="39"/>
      <c r="AL37" s="39"/>
      <c r="AM37" s="39"/>
      <c r="AP37" s="39">
        <v>1</v>
      </c>
    </row>
    <row r="38" spans="1:42" ht="11.25" customHeight="1" x14ac:dyDescent="0.25">
      <c r="A38" s="119"/>
      <c r="B38" s="119"/>
      <c r="C38" s="119"/>
      <c r="D38" s="119"/>
      <c r="E38" s="119"/>
      <c r="F38" s="119"/>
      <c r="G38" s="21" t="s">
        <v>94</v>
      </c>
      <c r="H38" s="21" t="s">
        <v>88</v>
      </c>
      <c r="I38" s="21">
        <f>'MERCADO TUSD'!$U$35</f>
        <v>0</v>
      </c>
      <c r="J38" s="17"/>
      <c r="L38" s="39"/>
      <c r="M38" s="39"/>
      <c r="N38" s="39"/>
      <c r="O38" s="39"/>
      <c r="P38" s="39"/>
      <c r="Q38" s="39"/>
      <c r="R38" s="39"/>
      <c r="S38" s="39"/>
      <c r="T38" s="39"/>
      <c r="U38" s="39">
        <v>0</v>
      </c>
      <c r="V38" s="39">
        <v>0</v>
      </c>
      <c r="W38" s="39">
        <v>0</v>
      </c>
      <c r="X38" s="39">
        <v>0</v>
      </c>
      <c r="Y38" s="39">
        <v>0</v>
      </c>
      <c r="Z38" s="39">
        <v>0</v>
      </c>
      <c r="AA38" s="39">
        <v>0</v>
      </c>
      <c r="AB38" s="39"/>
      <c r="AC38" s="39">
        <v>0</v>
      </c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P38" s="39">
        <v>1</v>
      </c>
    </row>
    <row r="39" spans="1:42" ht="11.25" customHeight="1" x14ac:dyDescent="0.25">
      <c r="A39" s="119" t="s">
        <v>44</v>
      </c>
      <c r="B39" s="119" t="s">
        <v>41</v>
      </c>
      <c r="C39" s="119" t="s">
        <v>25</v>
      </c>
      <c r="D39" s="119" t="s">
        <v>25</v>
      </c>
      <c r="E39" s="119" t="s">
        <v>25</v>
      </c>
      <c r="F39" s="119" t="s">
        <v>25</v>
      </c>
      <c r="G39" s="21" t="s">
        <v>92</v>
      </c>
      <c r="H39" s="21" t="s">
        <v>91</v>
      </c>
      <c r="I39" s="21">
        <f>'MERCADO TUSD'!$U$36</f>
        <v>530511</v>
      </c>
      <c r="J39" s="17"/>
      <c r="L39" s="39"/>
      <c r="M39" s="39"/>
      <c r="N39" s="39"/>
      <c r="O39" s="39"/>
      <c r="P39" s="39"/>
      <c r="Q39" s="39"/>
      <c r="R39" s="39"/>
      <c r="S39" s="39"/>
      <c r="T39" s="39"/>
      <c r="U39" s="39">
        <v>1.3787</v>
      </c>
      <c r="V39" s="39">
        <v>0.4924</v>
      </c>
      <c r="W39" s="39">
        <v>5.0999999999999997E-2</v>
      </c>
      <c r="X39" s="39">
        <v>0</v>
      </c>
      <c r="Y39" s="39">
        <v>0</v>
      </c>
      <c r="Z39" s="39">
        <v>0</v>
      </c>
      <c r="AA39" s="39">
        <v>0</v>
      </c>
      <c r="AB39" s="39"/>
      <c r="AC39" s="39">
        <v>32.542499999999997</v>
      </c>
      <c r="AD39" s="39"/>
      <c r="AE39" s="39"/>
      <c r="AF39" s="39"/>
      <c r="AG39" s="39"/>
      <c r="AH39" s="39"/>
      <c r="AI39" s="39"/>
      <c r="AJ39" s="39"/>
      <c r="AK39" s="39"/>
      <c r="AL39" s="39"/>
      <c r="AM39" s="39"/>
      <c r="AP39" s="39">
        <v>1</v>
      </c>
    </row>
    <row r="40" spans="1:42" ht="11.25" customHeight="1" x14ac:dyDescent="0.25">
      <c r="A40" s="119"/>
      <c r="B40" s="119"/>
      <c r="C40" s="119"/>
      <c r="D40" s="119"/>
      <c r="E40" s="119"/>
      <c r="F40" s="119"/>
      <c r="G40" s="21" t="s">
        <v>93</v>
      </c>
      <c r="H40" s="21" t="s">
        <v>91</v>
      </c>
      <c r="I40" s="21">
        <f>'MERCADO TUSD'!$U$37</f>
        <v>592907</v>
      </c>
      <c r="J40" s="17"/>
      <c r="L40" s="39"/>
      <c r="M40" s="39"/>
      <c r="N40" s="39"/>
      <c r="O40" s="39"/>
      <c r="P40" s="39"/>
      <c r="Q40" s="39"/>
      <c r="R40" s="39"/>
      <c r="S40" s="39"/>
      <c r="T40" s="39"/>
      <c r="U40" s="39">
        <v>1.1698999999999999</v>
      </c>
      <c r="V40" s="39">
        <v>0.42849999999999999</v>
      </c>
      <c r="W40" s="39">
        <v>3.9399999999999998E-2</v>
      </c>
      <c r="X40" s="39">
        <v>0</v>
      </c>
      <c r="Y40" s="39">
        <v>0</v>
      </c>
      <c r="Z40" s="39">
        <v>0</v>
      </c>
      <c r="AA40" s="39">
        <v>0</v>
      </c>
      <c r="AB40" s="39"/>
      <c r="AC40" s="39">
        <v>5.2552000000000003</v>
      </c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P40" s="39">
        <v>1</v>
      </c>
    </row>
    <row r="41" spans="1:42" ht="11.25" customHeight="1" x14ac:dyDescent="0.25">
      <c r="A41" s="119"/>
      <c r="B41" s="119"/>
      <c r="C41" s="119"/>
      <c r="D41" s="119"/>
      <c r="E41" s="119"/>
      <c r="F41" s="119"/>
      <c r="G41" s="21" t="s">
        <v>94</v>
      </c>
      <c r="H41" s="21" t="s">
        <v>88</v>
      </c>
      <c r="I41" s="21">
        <f>'MERCADO TUSD'!$U$38</f>
        <v>203886.46</v>
      </c>
      <c r="J41" s="17"/>
      <c r="L41" s="39"/>
      <c r="M41" s="39"/>
      <c r="N41" s="39"/>
      <c r="O41" s="39"/>
      <c r="P41" s="39"/>
      <c r="Q41" s="39"/>
      <c r="R41" s="39"/>
      <c r="S41" s="39"/>
      <c r="T41" s="39"/>
      <c r="U41" s="39">
        <v>0</v>
      </c>
      <c r="V41" s="39">
        <v>0</v>
      </c>
      <c r="W41" s="39">
        <v>0</v>
      </c>
      <c r="X41" s="39">
        <v>0</v>
      </c>
      <c r="Y41" s="39">
        <v>0</v>
      </c>
      <c r="Z41" s="39">
        <v>0</v>
      </c>
      <c r="AA41" s="39">
        <v>0</v>
      </c>
      <c r="AB41" s="39"/>
      <c r="AC41" s="39">
        <v>0</v>
      </c>
      <c r="AD41" s="39"/>
      <c r="AE41" s="39"/>
      <c r="AF41" s="39"/>
      <c r="AG41" s="39"/>
      <c r="AH41" s="39"/>
      <c r="AI41" s="39"/>
      <c r="AJ41" s="39"/>
      <c r="AK41" s="39"/>
      <c r="AL41" s="39"/>
      <c r="AM41" s="39"/>
      <c r="AP41" s="39">
        <v>1</v>
      </c>
    </row>
    <row r="42" spans="1:42" ht="11.25" customHeight="1" x14ac:dyDescent="0.25">
      <c r="A42" s="119"/>
      <c r="B42" s="119"/>
      <c r="C42" s="119"/>
      <c r="D42" s="119"/>
      <c r="E42" s="40" t="s">
        <v>61</v>
      </c>
      <c r="F42" s="40" t="s">
        <v>25</v>
      </c>
      <c r="G42" s="21" t="s">
        <v>94</v>
      </c>
      <c r="H42" s="21" t="s">
        <v>88</v>
      </c>
      <c r="I42" s="21">
        <f>'MERCADO TUSD'!$U$39</f>
        <v>0</v>
      </c>
      <c r="J42" s="17"/>
      <c r="L42" s="39"/>
      <c r="M42" s="39"/>
      <c r="N42" s="39"/>
      <c r="O42" s="39"/>
      <c r="P42" s="39"/>
      <c r="Q42" s="39"/>
      <c r="R42" s="39"/>
      <c r="S42" s="39"/>
      <c r="T42" s="39"/>
      <c r="U42" s="39">
        <v>0</v>
      </c>
      <c r="V42" s="39">
        <v>0</v>
      </c>
      <c r="W42" s="39">
        <v>0</v>
      </c>
      <c r="X42" s="39">
        <v>0</v>
      </c>
      <c r="Y42" s="39">
        <v>0</v>
      </c>
      <c r="Z42" s="39">
        <v>0</v>
      </c>
      <c r="AA42" s="39">
        <v>0</v>
      </c>
      <c r="AB42" s="39"/>
      <c r="AC42" s="39">
        <v>0</v>
      </c>
      <c r="AD42" s="39"/>
      <c r="AE42" s="39"/>
      <c r="AF42" s="39"/>
      <c r="AG42" s="39"/>
      <c r="AH42" s="39"/>
      <c r="AI42" s="39"/>
      <c r="AJ42" s="39"/>
      <c r="AK42" s="39"/>
      <c r="AL42" s="39"/>
      <c r="AM42" s="39"/>
      <c r="AP42" s="39">
        <v>1</v>
      </c>
    </row>
    <row r="43" spans="1:42" ht="11.25" customHeight="1" x14ac:dyDescent="0.25">
      <c r="A43" s="119"/>
      <c r="B43" s="119" t="s">
        <v>34</v>
      </c>
      <c r="C43" s="119" t="s">
        <v>25</v>
      </c>
      <c r="D43" s="119" t="s">
        <v>25</v>
      </c>
      <c r="E43" s="119" t="s">
        <v>25</v>
      </c>
      <c r="F43" s="119" t="s">
        <v>25</v>
      </c>
      <c r="G43" s="21" t="s">
        <v>9</v>
      </c>
      <c r="H43" s="21" t="s">
        <v>91</v>
      </c>
      <c r="I43" s="21">
        <f>'MERCADO TUSD'!$U$40</f>
        <v>1299737</v>
      </c>
      <c r="J43" s="17"/>
      <c r="L43" s="39"/>
      <c r="M43" s="39"/>
      <c r="N43" s="39"/>
      <c r="O43" s="39"/>
      <c r="P43" s="39"/>
      <c r="Q43" s="39"/>
      <c r="R43" s="39"/>
      <c r="S43" s="39"/>
      <c r="T43" s="39"/>
      <c r="U43" s="39">
        <v>1.1698999999999999</v>
      </c>
      <c r="V43" s="39">
        <v>0.42849999999999999</v>
      </c>
      <c r="W43" s="39">
        <v>3.9399999999999998E-2</v>
      </c>
      <c r="X43" s="39">
        <v>0</v>
      </c>
      <c r="Y43" s="39">
        <v>0</v>
      </c>
      <c r="Z43" s="39">
        <v>0</v>
      </c>
      <c r="AA43" s="39">
        <v>0</v>
      </c>
      <c r="AB43" s="39"/>
      <c r="AC43" s="39">
        <v>5.2552000000000003</v>
      </c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P43" s="39">
        <v>1</v>
      </c>
    </row>
    <row r="44" spans="1:42" ht="11.25" customHeight="1" x14ac:dyDescent="0.25">
      <c r="A44" s="119"/>
      <c r="B44" s="119"/>
      <c r="C44" s="119"/>
      <c r="D44" s="119"/>
      <c r="E44" s="119"/>
      <c r="F44" s="119"/>
      <c r="G44" s="21" t="s">
        <v>89</v>
      </c>
      <c r="H44" s="21" t="s">
        <v>88</v>
      </c>
      <c r="I44" s="21">
        <f>'MERCADO TUSD'!$U$41</f>
        <v>23575.552999999993</v>
      </c>
      <c r="J44" s="17"/>
      <c r="L44" s="39"/>
      <c r="M44" s="39"/>
      <c r="N44" s="39"/>
      <c r="O44" s="39"/>
      <c r="P44" s="39"/>
      <c r="Q44" s="39"/>
      <c r="R44" s="39"/>
      <c r="S44" s="39"/>
      <c r="T44" s="39"/>
      <c r="U44" s="39">
        <v>33.156599999999997</v>
      </c>
      <c r="V44" s="39">
        <v>11.8429</v>
      </c>
      <c r="W44" s="39">
        <v>1.2265999999999999</v>
      </c>
      <c r="X44" s="39">
        <v>0</v>
      </c>
      <c r="Y44" s="39">
        <v>0</v>
      </c>
      <c r="Z44" s="39">
        <v>0</v>
      </c>
      <c r="AA44" s="39">
        <v>0</v>
      </c>
      <c r="AB44" s="39"/>
      <c r="AC44" s="39">
        <v>782.64890000000003</v>
      </c>
      <c r="AD44" s="39"/>
      <c r="AE44" s="39"/>
      <c r="AF44" s="39"/>
      <c r="AG44" s="39"/>
      <c r="AH44" s="39"/>
      <c r="AI44" s="39"/>
      <c r="AJ44" s="39"/>
      <c r="AK44" s="39"/>
      <c r="AL44" s="39"/>
      <c r="AM44" s="39"/>
      <c r="AP44" s="39">
        <v>1</v>
      </c>
    </row>
    <row r="45" spans="1:42" ht="11.25" customHeight="1" x14ac:dyDescent="0.25">
      <c r="A45" s="119"/>
      <c r="B45" s="119"/>
      <c r="C45" s="119"/>
      <c r="D45" s="119"/>
      <c r="E45" s="119"/>
      <c r="F45" s="119"/>
      <c r="G45" s="21" t="s">
        <v>90</v>
      </c>
      <c r="H45" s="21" t="s">
        <v>88</v>
      </c>
      <c r="I45" s="21">
        <f>'MERCADO TUSD'!$U$42</f>
        <v>231444.989</v>
      </c>
      <c r="J45" s="17"/>
      <c r="L45" s="39"/>
      <c r="M45" s="39"/>
      <c r="N45" s="39"/>
      <c r="O45" s="39"/>
      <c r="P45" s="39"/>
      <c r="Q45" s="39"/>
      <c r="R45" s="39"/>
      <c r="S45" s="39"/>
      <c r="T45" s="39"/>
      <c r="U45" s="39">
        <v>0</v>
      </c>
      <c r="V45" s="39">
        <v>0</v>
      </c>
      <c r="W45" s="39">
        <v>0</v>
      </c>
      <c r="X45" s="39">
        <v>0</v>
      </c>
      <c r="Y45" s="39">
        <v>0</v>
      </c>
      <c r="Z45" s="39">
        <v>0</v>
      </c>
      <c r="AA45" s="39">
        <v>0</v>
      </c>
      <c r="AB45" s="39"/>
      <c r="AC45" s="39">
        <v>0</v>
      </c>
      <c r="AD45" s="39"/>
      <c r="AE45" s="39"/>
      <c r="AF45" s="39"/>
      <c r="AG45" s="39"/>
      <c r="AH45" s="39"/>
      <c r="AI45" s="39"/>
      <c r="AJ45" s="39"/>
      <c r="AK45" s="39"/>
      <c r="AL45" s="39"/>
      <c r="AM45" s="39"/>
      <c r="AP45" s="39">
        <v>1</v>
      </c>
    </row>
    <row r="46" spans="1:42" ht="11.25" customHeight="1" x14ac:dyDescent="0.25">
      <c r="A46" s="119"/>
      <c r="B46" s="119"/>
      <c r="C46" s="119"/>
      <c r="D46" s="119"/>
      <c r="E46" s="119" t="s">
        <v>61</v>
      </c>
      <c r="F46" s="119" t="s">
        <v>25</v>
      </c>
      <c r="G46" s="21" t="s">
        <v>89</v>
      </c>
      <c r="H46" s="21" t="s">
        <v>88</v>
      </c>
      <c r="I46" s="21">
        <f>'MERCADO TUSD'!$U$43</f>
        <v>0</v>
      </c>
      <c r="J46" s="17"/>
      <c r="L46" s="39"/>
      <c r="M46" s="39"/>
      <c r="N46" s="39"/>
      <c r="O46" s="39"/>
      <c r="P46" s="39"/>
      <c r="Q46" s="39"/>
      <c r="R46" s="39"/>
      <c r="S46" s="39"/>
      <c r="T46" s="39"/>
      <c r="U46" s="39">
        <v>33.156599999999997</v>
      </c>
      <c r="V46" s="39">
        <v>11.8429</v>
      </c>
      <c r="W46" s="39">
        <v>1.2265999999999999</v>
      </c>
      <c r="X46" s="39">
        <v>0</v>
      </c>
      <c r="Y46" s="39">
        <v>0</v>
      </c>
      <c r="Z46" s="39">
        <v>0</v>
      </c>
      <c r="AA46" s="39">
        <v>0</v>
      </c>
      <c r="AB46" s="39"/>
      <c r="AC46" s="39">
        <v>782.64890000000003</v>
      </c>
      <c r="AD46" s="39"/>
      <c r="AE46" s="39"/>
      <c r="AF46" s="39"/>
      <c r="AG46" s="39"/>
      <c r="AH46" s="39"/>
      <c r="AI46" s="39"/>
      <c r="AJ46" s="39"/>
      <c r="AK46" s="39"/>
      <c r="AL46" s="39"/>
      <c r="AM46" s="39"/>
      <c r="AP46" s="39">
        <v>1</v>
      </c>
    </row>
    <row r="47" spans="1:42" ht="11.25" customHeight="1" x14ac:dyDescent="0.25">
      <c r="A47" s="119"/>
      <c r="B47" s="119"/>
      <c r="C47" s="119"/>
      <c r="D47" s="119"/>
      <c r="E47" s="119"/>
      <c r="F47" s="119"/>
      <c r="G47" s="21" t="s">
        <v>90</v>
      </c>
      <c r="H47" s="21" t="s">
        <v>88</v>
      </c>
      <c r="I47" s="21">
        <f>'MERCADO TUSD'!$U$44</f>
        <v>0</v>
      </c>
      <c r="J47" s="17"/>
      <c r="L47" s="39"/>
      <c r="M47" s="39"/>
      <c r="N47" s="39"/>
      <c r="O47" s="39"/>
      <c r="P47" s="39"/>
      <c r="Q47" s="39"/>
      <c r="R47" s="39"/>
      <c r="S47" s="39"/>
      <c r="T47" s="39"/>
      <c r="U47" s="39">
        <v>0</v>
      </c>
      <c r="V47" s="39">
        <v>0</v>
      </c>
      <c r="W47" s="39">
        <v>0</v>
      </c>
      <c r="X47" s="39">
        <v>0</v>
      </c>
      <c r="Y47" s="39">
        <v>0</v>
      </c>
      <c r="Z47" s="39">
        <v>0</v>
      </c>
      <c r="AA47" s="39">
        <v>0</v>
      </c>
      <c r="AB47" s="39"/>
      <c r="AC47" s="39">
        <v>0</v>
      </c>
      <c r="AD47" s="39"/>
      <c r="AE47" s="39"/>
      <c r="AF47" s="39"/>
      <c r="AG47" s="39"/>
      <c r="AH47" s="39"/>
      <c r="AI47" s="39"/>
      <c r="AJ47" s="39"/>
      <c r="AK47" s="39"/>
      <c r="AL47" s="39"/>
      <c r="AM47" s="39"/>
      <c r="AP47" s="39">
        <v>1</v>
      </c>
    </row>
    <row r="48" spans="1:42" ht="11.25" customHeight="1" x14ac:dyDescent="0.25">
      <c r="A48" s="119"/>
      <c r="B48" s="119" t="s">
        <v>23</v>
      </c>
      <c r="C48" s="119" t="s">
        <v>25</v>
      </c>
      <c r="D48" s="119" t="s">
        <v>25</v>
      </c>
      <c r="E48" s="119" t="s">
        <v>25</v>
      </c>
      <c r="F48" s="119" t="s">
        <v>25</v>
      </c>
      <c r="G48" s="21" t="s">
        <v>9</v>
      </c>
      <c r="H48" s="21" t="s">
        <v>91</v>
      </c>
      <c r="I48" s="21">
        <f>'MERCADO TUSD'!$U$45</f>
        <v>0</v>
      </c>
      <c r="J48" s="17"/>
      <c r="L48" s="39"/>
      <c r="M48" s="39"/>
      <c r="N48" s="39"/>
      <c r="O48" s="39"/>
      <c r="P48" s="39"/>
      <c r="Q48" s="39"/>
      <c r="R48" s="39"/>
      <c r="S48" s="39"/>
      <c r="T48" s="39"/>
      <c r="U48" s="39">
        <v>2.1625000000000001</v>
      </c>
      <c r="V48" s="39">
        <v>0.78310000000000002</v>
      </c>
      <c r="W48" s="39">
        <v>7.6100000000000001E-2</v>
      </c>
      <c r="X48" s="39">
        <v>0</v>
      </c>
      <c r="Y48" s="39">
        <v>0</v>
      </c>
      <c r="Z48" s="39">
        <v>0</v>
      </c>
      <c r="AA48" s="39">
        <v>0</v>
      </c>
      <c r="AB48" s="39"/>
      <c r="AC48" s="39">
        <v>28.6858</v>
      </c>
      <c r="AD48" s="39"/>
      <c r="AE48" s="39"/>
      <c r="AF48" s="39"/>
      <c r="AG48" s="39"/>
      <c r="AH48" s="39"/>
      <c r="AI48" s="39"/>
      <c r="AJ48" s="39"/>
      <c r="AK48" s="39"/>
      <c r="AL48" s="39"/>
      <c r="AM48" s="39"/>
      <c r="AP48" s="39">
        <v>1</v>
      </c>
    </row>
    <row r="49" spans="1:42" ht="11.25" customHeight="1" x14ac:dyDescent="0.25">
      <c r="A49" s="119"/>
      <c r="B49" s="119"/>
      <c r="C49" s="119"/>
      <c r="D49" s="119"/>
      <c r="E49" s="119"/>
      <c r="F49" s="119"/>
      <c r="G49" s="21" t="s">
        <v>94</v>
      </c>
      <c r="H49" s="21" t="s">
        <v>88</v>
      </c>
      <c r="I49" s="21">
        <f>'MERCADO TUSD'!$U$46</f>
        <v>0</v>
      </c>
      <c r="J49" s="17"/>
      <c r="L49" s="39"/>
      <c r="M49" s="39"/>
      <c r="N49" s="39"/>
      <c r="O49" s="39"/>
      <c r="P49" s="39"/>
      <c r="Q49" s="39"/>
      <c r="R49" s="39"/>
      <c r="S49" s="39"/>
      <c r="T49" s="39"/>
      <c r="U49" s="39">
        <v>0</v>
      </c>
      <c r="V49" s="39">
        <v>0</v>
      </c>
      <c r="W49" s="39">
        <v>0</v>
      </c>
      <c r="X49" s="39">
        <v>0</v>
      </c>
      <c r="Y49" s="39">
        <v>0</v>
      </c>
      <c r="Z49" s="39">
        <v>0</v>
      </c>
      <c r="AA49" s="39">
        <v>0</v>
      </c>
      <c r="AB49" s="39"/>
      <c r="AC49" s="39">
        <v>0</v>
      </c>
      <c r="AD49" s="39"/>
      <c r="AE49" s="39"/>
      <c r="AF49" s="39"/>
      <c r="AG49" s="39"/>
      <c r="AH49" s="39"/>
      <c r="AI49" s="39"/>
      <c r="AJ49" s="39"/>
      <c r="AK49" s="39"/>
      <c r="AL49" s="39"/>
      <c r="AM49" s="39"/>
      <c r="AP49" s="39">
        <v>1</v>
      </c>
    </row>
    <row r="50" spans="1:42" ht="11.25" customHeight="1" x14ac:dyDescent="0.25">
      <c r="A50" s="119" t="s">
        <v>97</v>
      </c>
      <c r="B50" s="119" t="s">
        <v>64</v>
      </c>
      <c r="C50" s="119" t="s">
        <v>25</v>
      </c>
      <c r="D50" s="119" t="s">
        <v>25</v>
      </c>
      <c r="E50" s="40" t="s">
        <v>98</v>
      </c>
      <c r="F50" s="40" t="s">
        <v>25</v>
      </c>
      <c r="G50" s="21" t="s">
        <v>9</v>
      </c>
      <c r="H50" s="21" t="s">
        <v>91</v>
      </c>
      <c r="I50" s="21">
        <f>'MERCADO TUSD'!$U$47+0.00000001</f>
        <v>1E-8</v>
      </c>
      <c r="J50" s="17"/>
      <c r="L50" s="39"/>
      <c r="M50" s="39"/>
      <c r="N50" s="39"/>
      <c r="O50" s="39"/>
      <c r="P50" s="39"/>
      <c r="Q50" s="39"/>
      <c r="R50" s="39"/>
      <c r="S50" s="39"/>
      <c r="T50" s="39"/>
      <c r="U50" s="39">
        <v>0</v>
      </c>
      <c r="V50" s="39">
        <v>0</v>
      </c>
      <c r="W50" s="39">
        <v>0</v>
      </c>
      <c r="X50" s="39">
        <v>0</v>
      </c>
      <c r="Y50" s="39">
        <v>0</v>
      </c>
      <c r="Z50" s="39">
        <v>0</v>
      </c>
      <c r="AA50" s="39">
        <v>0</v>
      </c>
      <c r="AB50" s="39"/>
      <c r="AC50" s="39">
        <v>1.7828999999999999</v>
      </c>
      <c r="AD50" s="39"/>
      <c r="AE50" s="39"/>
      <c r="AF50" s="39"/>
      <c r="AG50" s="39"/>
      <c r="AH50" s="39"/>
      <c r="AI50" s="39"/>
      <c r="AJ50" s="39"/>
      <c r="AK50" s="39"/>
      <c r="AL50" s="39"/>
      <c r="AM50" s="39"/>
      <c r="AP50" s="39"/>
    </row>
    <row r="51" spans="1:42" ht="11.25" customHeight="1" x14ac:dyDescent="0.25">
      <c r="A51" s="119"/>
      <c r="B51" s="119"/>
      <c r="C51" s="119"/>
      <c r="D51" s="119"/>
      <c r="E51" s="40" t="s">
        <v>99</v>
      </c>
      <c r="F51" s="40" t="s">
        <v>25</v>
      </c>
      <c r="G51" s="21" t="s">
        <v>9</v>
      </c>
      <c r="H51" s="21" t="s">
        <v>91</v>
      </c>
      <c r="I51" s="21">
        <f>'MERCADO TUSD'!$U$48+0.00000001</f>
        <v>1E-8</v>
      </c>
      <c r="J51" s="17"/>
      <c r="L51" s="39"/>
      <c r="M51" s="39"/>
      <c r="N51" s="39"/>
      <c r="O51" s="39"/>
      <c r="P51" s="39"/>
      <c r="Q51" s="39"/>
      <c r="R51" s="39"/>
      <c r="S51" s="39"/>
      <c r="T51" s="39"/>
      <c r="U51" s="39">
        <v>0</v>
      </c>
      <c r="V51" s="39">
        <v>0</v>
      </c>
      <c r="W51" s="39">
        <v>0</v>
      </c>
      <c r="X51" s="39">
        <v>0</v>
      </c>
      <c r="Y51" s="39">
        <v>0</v>
      </c>
      <c r="Z51" s="39">
        <v>0</v>
      </c>
      <c r="AA51" s="39">
        <v>0</v>
      </c>
      <c r="AB51" s="39"/>
      <c r="AC51" s="39">
        <v>6.6444000000000001</v>
      </c>
      <c r="AD51" s="39"/>
      <c r="AE51" s="39"/>
      <c r="AF51" s="39"/>
      <c r="AG51" s="39"/>
      <c r="AH51" s="39"/>
      <c r="AI51" s="39"/>
      <c r="AJ51" s="39"/>
      <c r="AK51" s="39"/>
      <c r="AL51" s="39"/>
      <c r="AM51" s="39"/>
      <c r="AP51" s="39"/>
    </row>
    <row r="52" spans="1:42" ht="11.25" customHeight="1" x14ac:dyDescent="0.25">
      <c r="A52" s="119" t="s">
        <v>22</v>
      </c>
      <c r="B52" s="119" t="s">
        <v>37</v>
      </c>
      <c r="C52" s="119" t="s">
        <v>24</v>
      </c>
      <c r="D52" s="119" t="s">
        <v>24</v>
      </c>
      <c r="E52" s="119" t="s">
        <v>25</v>
      </c>
      <c r="F52" s="119" t="s">
        <v>25</v>
      </c>
      <c r="G52" s="21" t="s">
        <v>89</v>
      </c>
      <c r="H52" s="21" t="s">
        <v>88</v>
      </c>
      <c r="I52" s="21">
        <f>'MERCADO TUSD'!$U$49</f>
        <v>253.625</v>
      </c>
      <c r="J52" s="17"/>
      <c r="L52" s="39"/>
      <c r="M52" s="39"/>
      <c r="N52" s="39"/>
      <c r="O52" s="39"/>
      <c r="P52" s="39"/>
      <c r="Q52" s="39"/>
      <c r="R52" s="39"/>
      <c r="S52" s="39"/>
      <c r="T52" s="39"/>
      <c r="U52" s="39">
        <v>17.880099999999999</v>
      </c>
      <c r="V52" s="39">
        <v>6.4622999999999999</v>
      </c>
      <c r="W52" s="39">
        <v>0.63370000000000004</v>
      </c>
      <c r="X52" s="39">
        <v>0</v>
      </c>
      <c r="Y52" s="39">
        <v>0</v>
      </c>
      <c r="Z52" s="39">
        <v>0</v>
      </c>
      <c r="AA52" s="39">
        <v>0</v>
      </c>
      <c r="AB52" s="39"/>
      <c r="AC52" s="39">
        <v>263.20170000000002</v>
      </c>
      <c r="AD52" s="39"/>
      <c r="AE52" s="39"/>
      <c r="AF52" s="39"/>
      <c r="AG52" s="39"/>
      <c r="AH52" s="39"/>
      <c r="AI52" s="39"/>
      <c r="AJ52" s="39"/>
      <c r="AK52" s="39"/>
      <c r="AL52" s="39"/>
      <c r="AM52" s="39"/>
      <c r="AP52" s="39">
        <v>1</v>
      </c>
    </row>
    <row r="53" spans="1:42" ht="11.25" customHeight="1" x14ac:dyDescent="0.25">
      <c r="A53" s="119"/>
      <c r="B53" s="119"/>
      <c r="C53" s="119"/>
      <c r="D53" s="119"/>
      <c r="E53" s="119"/>
      <c r="F53" s="119"/>
      <c r="G53" s="21" t="s">
        <v>100</v>
      </c>
      <c r="H53" s="21" t="s">
        <v>88</v>
      </c>
      <c r="I53" s="21">
        <f>'MERCADO TUSD'!$U$50</f>
        <v>165.69400000000005</v>
      </c>
      <c r="J53" s="17"/>
      <c r="L53" s="39"/>
      <c r="M53" s="39"/>
      <c r="N53" s="39"/>
      <c r="O53" s="39"/>
      <c r="P53" s="39"/>
      <c r="Q53" s="39"/>
      <c r="R53" s="39"/>
      <c r="S53" s="39"/>
      <c r="T53" s="39"/>
      <c r="U53" s="39">
        <v>10.728</v>
      </c>
      <c r="V53" s="39">
        <v>3.8774000000000002</v>
      </c>
      <c r="W53" s="39">
        <v>0.38019999999999998</v>
      </c>
      <c r="X53" s="39">
        <v>0</v>
      </c>
      <c r="Y53" s="39">
        <v>0</v>
      </c>
      <c r="Z53" s="39">
        <v>0</v>
      </c>
      <c r="AA53" s="39">
        <v>0</v>
      </c>
      <c r="AB53" s="39"/>
      <c r="AC53" s="39">
        <v>157.92099999999999</v>
      </c>
      <c r="AD53" s="39"/>
      <c r="AE53" s="39"/>
      <c r="AF53" s="39"/>
      <c r="AG53" s="39"/>
      <c r="AH53" s="39"/>
      <c r="AI53" s="39"/>
      <c r="AJ53" s="39"/>
      <c r="AK53" s="39"/>
      <c r="AL53" s="39"/>
      <c r="AM53" s="39"/>
      <c r="AP53" s="39">
        <v>1</v>
      </c>
    </row>
    <row r="54" spans="1:42" ht="11.25" customHeight="1" x14ac:dyDescent="0.25">
      <c r="A54" s="119"/>
      <c r="B54" s="119"/>
      <c r="C54" s="119"/>
      <c r="D54" s="119"/>
      <c r="E54" s="119"/>
      <c r="F54" s="119"/>
      <c r="G54" s="21" t="s">
        <v>90</v>
      </c>
      <c r="H54" s="21" t="s">
        <v>88</v>
      </c>
      <c r="I54" s="21">
        <f>'MERCADO TUSD'!$U$51</f>
        <v>2116.5709999999999</v>
      </c>
      <c r="J54" s="17"/>
      <c r="L54" s="39"/>
      <c r="M54" s="39"/>
      <c r="N54" s="39"/>
      <c r="O54" s="39"/>
      <c r="P54" s="39"/>
      <c r="Q54" s="39"/>
      <c r="R54" s="39"/>
      <c r="S54" s="39"/>
      <c r="T54" s="39"/>
      <c r="U54" s="39">
        <v>3.5760000000000001</v>
      </c>
      <c r="V54" s="39">
        <v>1.2925</v>
      </c>
      <c r="W54" s="39">
        <v>0.12670000000000001</v>
      </c>
      <c r="X54" s="39">
        <v>0</v>
      </c>
      <c r="Y54" s="39">
        <v>0</v>
      </c>
      <c r="Z54" s="39">
        <v>0</v>
      </c>
      <c r="AA54" s="39">
        <v>0</v>
      </c>
      <c r="AB54" s="39"/>
      <c r="AC54" s="39">
        <v>52.640300000000003</v>
      </c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P54" s="39">
        <v>1</v>
      </c>
    </row>
    <row r="55" spans="1:42" ht="11.25" customHeight="1" x14ac:dyDescent="0.25">
      <c r="A55" s="119"/>
      <c r="B55" s="119" t="s">
        <v>23</v>
      </c>
      <c r="C55" s="119" t="s">
        <v>24</v>
      </c>
      <c r="D55" s="40" t="s">
        <v>24</v>
      </c>
      <c r="E55" s="40" t="s">
        <v>25</v>
      </c>
      <c r="F55" s="40" t="s">
        <v>25</v>
      </c>
      <c r="G55" s="21" t="s">
        <v>94</v>
      </c>
      <c r="H55" s="21" t="s">
        <v>88</v>
      </c>
      <c r="I55" s="21">
        <f>'MERCADO TUSD'!$U$52</f>
        <v>2322476.7919999999</v>
      </c>
      <c r="J55" s="17"/>
      <c r="L55" s="39"/>
      <c r="M55" s="39"/>
      <c r="N55" s="39"/>
      <c r="O55" s="39"/>
      <c r="P55" s="39"/>
      <c r="Q55" s="39"/>
      <c r="R55" s="39"/>
      <c r="S55" s="39"/>
      <c r="T55" s="39"/>
      <c r="U55" s="39">
        <v>6.2736999999999998</v>
      </c>
      <c r="V55" s="39">
        <v>2.2675000000000001</v>
      </c>
      <c r="W55" s="39">
        <v>0.2223</v>
      </c>
      <c r="X55" s="39">
        <v>0</v>
      </c>
      <c r="Y55" s="39">
        <v>0</v>
      </c>
      <c r="Z55" s="39">
        <v>0</v>
      </c>
      <c r="AA55" s="39">
        <v>0</v>
      </c>
      <c r="AB55" s="39"/>
      <c r="AC55" s="39">
        <v>92.351500000000001</v>
      </c>
      <c r="AD55" s="39"/>
      <c r="AE55" s="39"/>
      <c r="AF55" s="39"/>
      <c r="AG55" s="39"/>
      <c r="AH55" s="39"/>
      <c r="AI55" s="39"/>
      <c r="AJ55" s="39"/>
      <c r="AK55" s="39"/>
      <c r="AL55" s="39"/>
      <c r="AM55" s="39"/>
      <c r="AP55" s="39">
        <v>1</v>
      </c>
    </row>
    <row r="56" spans="1:42" ht="11.25" customHeight="1" x14ac:dyDescent="0.25">
      <c r="A56" s="119"/>
      <c r="B56" s="119"/>
      <c r="C56" s="119"/>
      <c r="D56" s="40" t="s">
        <v>29</v>
      </c>
      <c r="E56" s="40" t="s">
        <v>25</v>
      </c>
      <c r="F56" s="40" t="s">
        <v>25</v>
      </c>
      <c r="G56" s="21" t="s">
        <v>94</v>
      </c>
      <c r="H56" s="21" t="s">
        <v>88</v>
      </c>
      <c r="I56" s="21">
        <f>'MERCADO TUSD'!$U$53</f>
        <v>3506.9700000000003</v>
      </c>
      <c r="J56" s="17"/>
      <c r="L56" s="39"/>
      <c r="M56" s="39"/>
      <c r="N56" s="39"/>
      <c r="O56" s="39"/>
      <c r="P56" s="39"/>
      <c r="Q56" s="39"/>
      <c r="R56" s="39"/>
      <c r="S56" s="39"/>
      <c r="T56" s="39"/>
      <c r="U56" s="39">
        <f>(1 - CUSTOS!$M$24)*6.2737</f>
        <v>6.2736999999999998</v>
      </c>
      <c r="V56" s="39">
        <f>(1 - CUSTOS!$M$24)*2.2675</f>
        <v>2.2675000000000001</v>
      </c>
      <c r="W56" s="39">
        <f>(1 - CUSTOS!$M$24)*0.2223</f>
        <v>0.2223</v>
      </c>
      <c r="X56" s="39">
        <v>0</v>
      </c>
      <c r="Y56" s="39">
        <v>0</v>
      </c>
      <c r="Z56" s="39">
        <v>0</v>
      </c>
      <c r="AA56" s="39">
        <v>0</v>
      </c>
      <c r="AB56" s="39"/>
      <c r="AC56" s="39">
        <f>(1 - CUSTOS!$M$24)*92.3515</f>
        <v>92.351500000000001</v>
      </c>
      <c r="AD56" s="39"/>
      <c r="AE56" s="39"/>
      <c r="AF56" s="39"/>
      <c r="AG56" s="39"/>
      <c r="AH56" s="39"/>
      <c r="AI56" s="39"/>
      <c r="AJ56" s="39"/>
      <c r="AK56" s="39"/>
      <c r="AL56" s="39"/>
      <c r="AM56" s="39"/>
      <c r="AP56" s="39">
        <f>IF((1 - CUSTOS!$M$24)&lt;&gt;0,1/(1 - CUSTOS!$M$24),1)</f>
        <v>1</v>
      </c>
    </row>
    <row r="57" spans="1:42" ht="11.25" customHeight="1" x14ac:dyDescent="0.25">
      <c r="A57" s="119"/>
      <c r="B57" s="119"/>
      <c r="C57" s="119"/>
      <c r="D57" s="40" t="s">
        <v>30</v>
      </c>
      <c r="E57" s="40" t="s">
        <v>25</v>
      </c>
      <c r="F57" s="40" t="s">
        <v>25</v>
      </c>
      <c r="G57" s="21" t="s">
        <v>94</v>
      </c>
      <c r="H57" s="21" t="s">
        <v>88</v>
      </c>
      <c r="I57" s="21">
        <f>'MERCADO TUSD'!$U$54</f>
        <v>7395.655999999999</v>
      </c>
      <c r="J57" s="17"/>
      <c r="L57" s="39"/>
      <c r="M57" s="39"/>
      <c r="N57" s="39"/>
      <c r="O57" s="39"/>
      <c r="P57" s="39"/>
      <c r="Q57" s="39"/>
      <c r="R57" s="39"/>
      <c r="S57" s="39"/>
      <c r="T57" s="39"/>
      <c r="U57" s="39">
        <f>(1 - CUSTOS!$M$25)*6.2737</f>
        <v>6.2736999999999998</v>
      </c>
      <c r="V57" s="39">
        <f>(1 - CUSTOS!$M$25)*2.2675</f>
        <v>2.2675000000000001</v>
      </c>
      <c r="W57" s="39">
        <f>(1 - CUSTOS!$M$25)*0.2223</f>
        <v>0.2223</v>
      </c>
      <c r="X57" s="39">
        <v>0</v>
      </c>
      <c r="Y57" s="39">
        <v>0</v>
      </c>
      <c r="Z57" s="39">
        <v>0</v>
      </c>
      <c r="AA57" s="39">
        <v>0</v>
      </c>
      <c r="AB57" s="39"/>
      <c r="AC57" s="39">
        <f>(1 - CUSTOS!$M$25)*92.3515</f>
        <v>92.351500000000001</v>
      </c>
      <c r="AD57" s="39"/>
      <c r="AE57" s="39"/>
      <c r="AF57" s="39"/>
      <c r="AG57" s="39"/>
      <c r="AH57" s="39"/>
      <c r="AI57" s="39"/>
      <c r="AJ57" s="39"/>
      <c r="AK57" s="39"/>
      <c r="AL57" s="39"/>
      <c r="AM57" s="39"/>
      <c r="AP57" s="39">
        <f>IF((1 - CUSTOS!$M$25)&lt;&gt;0,1/(1 - CUSTOS!$M$25),1)</f>
        <v>1</v>
      </c>
    </row>
    <row r="58" spans="1:42" ht="11.25" customHeight="1" x14ac:dyDescent="0.25">
      <c r="A58" s="119"/>
      <c r="B58" s="119"/>
      <c r="C58" s="119"/>
      <c r="D58" s="40" t="s">
        <v>31</v>
      </c>
      <c r="E58" s="40" t="s">
        <v>25</v>
      </c>
      <c r="F58" s="40" t="s">
        <v>25</v>
      </c>
      <c r="G58" s="21" t="s">
        <v>94</v>
      </c>
      <c r="H58" s="21" t="s">
        <v>88</v>
      </c>
      <c r="I58" s="21">
        <f>'MERCADO TUSD'!$U$55</f>
        <v>7295.3609999999999</v>
      </c>
      <c r="J58" s="17"/>
      <c r="L58" s="39"/>
      <c r="M58" s="39"/>
      <c r="N58" s="39"/>
      <c r="O58" s="39"/>
      <c r="P58" s="39"/>
      <c r="Q58" s="39"/>
      <c r="R58" s="39"/>
      <c r="S58" s="39"/>
      <c r="T58" s="39"/>
      <c r="U58" s="39">
        <f>(1 - CUSTOS!$M$26)*6.2737</f>
        <v>6.2736999999999998</v>
      </c>
      <c r="V58" s="39">
        <f>(1 - CUSTOS!$M$26)*2.2675</f>
        <v>2.2675000000000001</v>
      </c>
      <c r="W58" s="39">
        <f>(1 - CUSTOS!$M$26)*0.2223</f>
        <v>0.2223</v>
      </c>
      <c r="X58" s="39">
        <v>0</v>
      </c>
      <c r="Y58" s="39">
        <v>0</v>
      </c>
      <c r="Z58" s="39">
        <v>0</v>
      </c>
      <c r="AA58" s="39">
        <v>0</v>
      </c>
      <c r="AB58" s="39"/>
      <c r="AC58" s="39">
        <f>(1 - CUSTOS!$M$26)*92.3515</f>
        <v>92.351500000000001</v>
      </c>
      <c r="AD58" s="39"/>
      <c r="AE58" s="39"/>
      <c r="AF58" s="39"/>
      <c r="AG58" s="39"/>
      <c r="AH58" s="39"/>
      <c r="AI58" s="39"/>
      <c r="AJ58" s="39"/>
      <c r="AK58" s="39"/>
      <c r="AL58" s="39"/>
      <c r="AM58" s="39"/>
      <c r="AP58" s="39">
        <f>IF((1 - CUSTOS!$M$26)&lt;&gt;0,1/(1 - CUSTOS!$M$26),1)</f>
        <v>1</v>
      </c>
    </row>
    <row r="59" spans="1:42" ht="11.25" customHeight="1" x14ac:dyDescent="0.25">
      <c r="A59" s="119"/>
      <c r="B59" s="119"/>
      <c r="C59" s="119"/>
      <c r="D59" s="40" t="s">
        <v>32</v>
      </c>
      <c r="E59" s="40" t="s">
        <v>25</v>
      </c>
      <c r="F59" s="40" t="s">
        <v>25</v>
      </c>
      <c r="G59" s="21" t="s">
        <v>94</v>
      </c>
      <c r="H59" s="21" t="s">
        <v>88</v>
      </c>
      <c r="I59" s="21">
        <f>'MERCADO TUSD'!$U$56</f>
        <v>2602.4059999999999</v>
      </c>
      <c r="J59" s="17"/>
      <c r="L59" s="39"/>
      <c r="M59" s="39"/>
      <c r="N59" s="39"/>
      <c r="O59" s="39"/>
      <c r="P59" s="39"/>
      <c r="Q59" s="39"/>
      <c r="R59" s="39"/>
      <c r="S59" s="39"/>
      <c r="T59" s="39"/>
      <c r="U59" s="39">
        <f>(1 - CUSTOS!$M$27)*6.2737</f>
        <v>6.2736999999999998</v>
      </c>
      <c r="V59" s="39">
        <f>(1 - CUSTOS!$M$27)*2.2675</f>
        <v>2.2675000000000001</v>
      </c>
      <c r="W59" s="39">
        <f>(1 - CUSTOS!$M$27)*0.2223</f>
        <v>0.2223</v>
      </c>
      <c r="X59" s="39">
        <v>0</v>
      </c>
      <c r="Y59" s="39">
        <v>0</v>
      </c>
      <c r="Z59" s="39">
        <v>0</v>
      </c>
      <c r="AA59" s="39">
        <v>0</v>
      </c>
      <c r="AB59" s="39"/>
      <c r="AC59" s="39">
        <f>(1 - CUSTOS!$M$27)*92.3515</f>
        <v>92.351500000000001</v>
      </c>
      <c r="AD59" s="39"/>
      <c r="AE59" s="39"/>
      <c r="AF59" s="39"/>
      <c r="AG59" s="39"/>
      <c r="AH59" s="39"/>
      <c r="AI59" s="39"/>
      <c r="AJ59" s="39"/>
      <c r="AK59" s="39"/>
      <c r="AL59" s="39"/>
      <c r="AM59" s="39"/>
      <c r="AP59" s="39">
        <f>IF((1 - CUSTOS!$M$27)&lt;&gt;0,1/(1 - CUSTOS!$M$27),1)</f>
        <v>1</v>
      </c>
    </row>
    <row r="60" spans="1:42" ht="11.25" customHeight="1" x14ac:dyDescent="0.25">
      <c r="A60" s="119"/>
      <c r="B60" s="119" t="s">
        <v>102</v>
      </c>
      <c r="C60" s="119" t="s">
        <v>24</v>
      </c>
      <c r="D60" s="40" t="s">
        <v>24</v>
      </c>
      <c r="E60" s="40" t="s">
        <v>25</v>
      </c>
      <c r="F60" s="40" t="s">
        <v>25</v>
      </c>
      <c r="G60" s="21" t="s">
        <v>94</v>
      </c>
      <c r="H60" s="21" t="s">
        <v>88</v>
      </c>
      <c r="I60" s="21">
        <f>'MERCADO TUSD'!$U$57</f>
        <v>0</v>
      </c>
      <c r="J60" s="17"/>
      <c r="L60" s="39"/>
      <c r="M60" s="39"/>
      <c r="N60" s="39"/>
      <c r="O60" s="39"/>
      <c r="P60" s="39"/>
      <c r="Q60" s="39"/>
      <c r="R60" s="39"/>
      <c r="S60" s="39"/>
      <c r="T60" s="39"/>
      <c r="U60" s="39">
        <v>6.2736999999999998</v>
      </c>
      <c r="V60" s="39">
        <v>2.2675000000000001</v>
      </c>
      <c r="W60" s="39">
        <v>0.2223</v>
      </c>
      <c r="X60" s="39">
        <v>0</v>
      </c>
      <c r="Y60" s="39">
        <v>0</v>
      </c>
      <c r="Z60" s="39">
        <v>0</v>
      </c>
      <c r="AA60" s="39">
        <v>0</v>
      </c>
      <c r="AB60" s="39"/>
      <c r="AC60" s="39">
        <v>92.351500000000001</v>
      </c>
      <c r="AD60" s="39"/>
      <c r="AE60" s="39"/>
      <c r="AF60" s="39"/>
      <c r="AG60" s="39"/>
      <c r="AH60" s="39"/>
      <c r="AI60" s="39"/>
      <c r="AJ60" s="39"/>
      <c r="AK60" s="39"/>
      <c r="AL60" s="39"/>
      <c r="AM60" s="39"/>
      <c r="AP60" s="39">
        <v>1</v>
      </c>
    </row>
    <row r="61" spans="1:42" ht="11.25" customHeight="1" x14ac:dyDescent="0.25">
      <c r="A61" s="119"/>
      <c r="B61" s="119"/>
      <c r="C61" s="119"/>
      <c r="D61" s="40" t="s">
        <v>29</v>
      </c>
      <c r="E61" s="40" t="s">
        <v>25</v>
      </c>
      <c r="F61" s="40" t="s">
        <v>25</v>
      </c>
      <c r="G61" s="21" t="s">
        <v>94</v>
      </c>
      <c r="H61" s="21" t="s">
        <v>88</v>
      </c>
      <c r="I61" s="21">
        <f>'MERCADO TUSD'!$U$58</f>
        <v>0</v>
      </c>
      <c r="J61" s="17"/>
      <c r="L61" s="39"/>
      <c r="M61" s="39"/>
      <c r="N61" s="39"/>
      <c r="O61" s="39"/>
      <c r="P61" s="39"/>
      <c r="Q61" s="39"/>
      <c r="R61" s="39"/>
      <c r="S61" s="39"/>
      <c r="T61" s="39"/>
      <c r="U61" s="39">
        <f>(1 - CUSTOS!$M$24)*6.2737</f>
        <v>6.2736999999999998</v>
      </c>
      <c r="V61" s="39">
        <f>(1 - CUSTOS!$M$24)*2.2675</f>
        <v>2.2675000000000001</v>
      </c>
      <c r="W61" s="39">
        <f>(1 - CUSTOS!$M$24)*0.2223</f>
        <v>0.2223</v>
      </c>
      <c r="X61" s="39">
        <v>0</v>
      </c>
      <c r="Y61" s="39">
        <v>0</v>
      </c>
      <c r="Z61" s="39">
        <v>0</v>
      </c>
      <c r="AA61" s="39">
        <v>0</v>
      </c>
      <c r="AB61" s="39"/>
      <c r="AC61" s="39">
        <f>(1 - CUSTOS!$M$24)*92.3515</f>
        <v>92.351500000000001</v>
      </c>
      <c r="AD61" s="39"/>
      <c r="AE61" s="39"/>
      <c r="AF61" s="39"/>
      <c r="AG61" s="39"/>
      <c r="AH61" s="39"/>
      <c r="AI61" s="39"/>
      <c r="AJ61" s="39"/>
      <c r="AK61" s="39"/>
      <c r="AL61" s="39"/>
      <c r="AM61" s="39"/>
      <c r="AP61" s="39">
        <f>IF((1 - CUSTOS!$M$24)&lt;&gt;0,1/(1 - CUSTOS!$M$24),1)</f>
        <v>1</v>
      </c>
    </row>
    <row r="62" spans="1:42" ht="11.25" customHeight="1" x14ac:dyDescent="0.25">
      <c r="A62" s="119"/>
      <c r="B62" s="119"/>
      <c r="C62" s="119"/>
      <c r="D62" s="40" t="s">
        <v>30</v>
      </c>
      <c r="E62" s="40" t="s">
        <v>25</v>
      </c>
      <c r="F62" s="40" t="s">
        <v>25</v>
      </c>
      <c r="G62" s="21" t="s">
        <v>94</v>
      </c>
      <c r="H62" s="21" t="s">
        <v>88</v>
      </c>
      <c r="I62" s="21">
        <f>'MERCADO TUSD'!$U$59</f>
        <v>0</v>
      </c>
      <c r="J62" s="17"/>
      <c r="L62" s="39"/>
      <c r="M62" s="39"/>
      <c r="N62" s="39"/>
      <c r="O62" s="39"/>
      <c r="P62" s="39"/>
      <c r="Q62" s="39"/>
      <c r="R62" s="39"/>
      <c r="S62" s="39"/>
      <c r="T62" s="39"/>
      <c r="U62" s="39">
        <f>(1 - CUSTOS!$M$25)*6.2737</f>
        <v>6.2736999999999998</v>
      </c>
      <c r="V62" s="39">
        <f>(1 - CUSTOS!$M$25)*2.2675</f>
        <v>2.2675000000000001</v>
      </c>
      <c r="W62" s="39">
        <f>(1 - CUSTOS!$M$25)*0.2223</f>
        <v>0.2223</v>
      </c>
      <c r="X62" s="39">
        <v>0</v>
      </c>
      <c r="Y62" s="39">
        <v>0</v>
      </c>
      <c r="Z62" s="39">
        <v>0</v>
      </c>
      <c r="AA62" s="39">
        <v>0</v>
      </c>
      <c r="AB62" s="39"/>
      <c r="AC62" s="39">
        <f>(1 - CUSTOS!$M$25)*92.3515</f>
        <v>92.351500000000001</v>
      </c>
      <c r="AD62" s="39"/>
      <c r="AE62" s="39"/>
      <c r="AF62" s="39"/>
      <c r="AG62" s="39"/>
      <c r="AH62" s="39"/>
      <c r="AI62" s="39"/>
      <c r="AJ62" s="39"/>
      <c r="AK62" s="39"/>
      <c r="AL62" s="39"/>
      <c r="AM62" s="39"/>
      <c r="AP62" s="39">
        <f>IF((1 - CUSTOS!$M$25)&lt;&gt;0,1/(1 - CUSTOS!$M$25),1)</f>
        <v>1</v>
      </c>
    </row>
    <row r="63" spans="1:42" ht="11.25" customHeight="1" x14ac:dyDescent="0.25">
      <c r="A63" s="119"/>
      <c r="B63" s="119"/>
      <c r="C63" s="119"/>
      <c r="D63" s="40" t="s">
        <v>31</v>
      </c>
      <c r="E63" s="40" t="s">
        <v>25</v>
      </c>
      <c r="F63" s="40" t="s">
        <v>25</v>
      </c>
      <c r="G63" s="21" t="s">
        <v>94</v>
      </c>
      <c r="H63" s="21" t="s">
        <v>88</v>
      </c>
      <c r="I63" s="21">
        <f>'MERCADO TUSD'!$U$60</f>
        <v>0</v>
      </c>
      <c r="J63" s="17"/>
      <c r="L63" s="39"/>
      <c r="M63" s="39"/>
      <c r="N63" s="39"/>
      <c r="O63" s="39"/>
      <c r="P63" s="39"/>
      <c r="Q63" s="39"/>
      <c r="R63" s="39"/>
      <c r="S63" s="39"/>
      <c r="T63" s="39"/>
      <c r="U63" s="39">
        <f>(1 - CUSTOS!$M$26)*6.2737</f>
        <v>6.2736999999999998</v>
      </c>
      <c r="V63" s="39">
        <f>(1 - CUSTOS!$M$26)*2.2675</f>
        <v>2.2675000000000001</v>
      </c>
      <c r="W63" s="39">
        <f>(1 - CUSTOS!$M$26)*0.2223</f>
        <v>0.2223</v>
      </c>
      <c r="X63" s="39">
        <v>0</v>
      </c>
      <c r="Y63" s="39">
        <v>0</v>
      </c>
      <c r="Z63" s="39">
        <v>0</v>
      </c>
      <c r="AA63" s="39">
        <v>0</v>
      </c>
      <c r="AB63" s="39"/>
      <c r="AC63" s="39">
        <f>(1 - CUSTOS!$M$26)*92.3515</f>
        <v>92.351500000000001</v>
      </c>
      <c r="AD63" s="39"/>
      <c r="AE63" s="39"/>
      <c r="AF63" s="39"/>
      <c r="AG63" s="39"/>
      <c r="AH63" s="39"/>
      <c r="AI63" s="39"/>
      <c r="AJ63" s="39"/>
      <c r="AK63" s="39"/>
      <c r="AL63" s="39"/>
      <c r="AM63" s="39"/>
      <c r="AP63" s="39">
        <f>IF((1 - CUSTOS!$M$26)&lt;&gt;0,1/(1 - CUSTOS!$M$26),1)</f>
        <v>1</v>
      </c>
    </row>
    <row r="64" spans="1:42" ht="11.25" customHeight="1" x14ac:dyDescent="0.25">
      <c r="A64" s="119"/>
      <c r="B64" s="119"/>
      <c r="C64" s="119"/>
      <c r="D64" s="40" t="s">
        <v>32</v>
      </c>
      <c r="E64" s="40" t="s">
        <v>25</v>
      </c>
      <c r="F64" s="40" t="s">
        <v>25</v>
      </c>
      <c r="G64" s="21" t="s">
        <v>94</v>
      </c>
      <c r="H64" s="21" t="s">
        <v>88</v>
      </c>
      <c r="I64" s="21">
        <f>'MERCADO TUSD'!$U$61</f>
        <v>0</v>
      </c>
      <c r="J64" s="17"/>
      <c r="L64" s="39"/>
      <c r="M64" s="39"/>
      <c r="N64" s="39"/>
      <c r="O64" s="39"/>
      <c r="P64" s="39"/>
      <c r="Q64" s="39"/>
      <c r="R64" s="39"/>
      <c r="S64" s="39"/>
      <c r="T64" s="39"/>
      <c r="U64" s="39">
        <f>(1 - CUSTOS!$M$27)*6.2737</f>
        <v>6.2736999999999998</v>
      </c>
      <c r="V64" s="39">
        <f>(1 - CUSTOS!$M$27)*2.2675</f>
        <v>2.2675000000000001</v>
      </c>
      <c r="W64" s="39">
        <f>(1 - CUSTOS!$M$27)*0.2223</f>
        <v>0.2223</v>
      </c>
      <c r="X64" s="39">
        <v>0</v>
      </c>
      <c r="Y64" s="39">
        <v>0</v>
      </c>
      <c r="Z64" s="39">
        <v>0</v>
      </c>
      <c r="AA64" s="39">
        <v>0</v>
      </c>
      <c r="AB64" s="39"/>
      <c r="AC64" s="39">
        <f>(1 - CUSTOS!$M$27)*92.3515</f>
        <v>92.351500000000001</v>
      </c>
      <c r="AD64" s="39"/>
      <c r="AE64" s="39"/>
      <c r="AF64" s="39"/>
      <c r="AG64" s="39"/>
      <c r="AH64" s="39"/>
      <c r="AI64" s="39"/>
      <c r="AJ64" s="39"/>
      <c r="AK64" s="39"/>
      <c r="AL64" s="39"/>
      <c r="AM64" s="39"/>
      <c r="AP64" s="39">
        <f>IF((1 - CUSTOS!$M$27)&lt;&gt;0,1/(1 - CUSTOS!$M$27),1)</f>
        <v>1</v>
      </c>
    </row>
    <row r="65" spans="1:42" ht="11.25" customHeight="1" x14ac:dyDescent="0.25">
      <c r="A65" s="119" t="s">
        <v>46</v>
      </c>
      <c r="B65" s="119" t="s">
        <v>37</v>
      </c>
      <c r="C65" s="119" t="s">
        <v>47</v>
      </c>
      <c r="D65" s="119" t="s">
        <v>25</v>
      </c>
      <c r="E65" s="119" t="s">
        <v>25</v>
      </c>
      <c r="F65" s="119" t="s">
        <v>25</v>
      </c>
      <c r="G65" s="21" t="s">
        <v>89</v>
      </c>
      <c r="H65" s="21" t="s">
        <v>88</v>
      </c>
      <c r="I65" s="21">
        <f>'MERCADO TUSD'!$U$62</f>
        <v>1.0549999999999999</v>
      </c>
      <c r="J65" s="17"/>
      <c r="L65" s="39"/>
      <c r="M65" s="39"/>
      <c r="N65" s="39"/>
      <c r="O65" s="39"/>
      <c r="P65" s="39"/>
      <c r="Q65" s="39"/>
      <c r="R65" s="39"/>
      <c r="S65" s="39"/>
      <c r="T65" s="39"/>
      <c r="U65" s="39">
        <f>(1 - CUSTOS!$M$28)*20.0759</f>
        <v>20.075900000000001</v>
      </c>
      <c r="V65" s="39">
        <f>(1 - CUSTOS!$M$28)*7.2559</f>
        <v>7.2558999999999996</v>
      </c>
      <c r="W65" s="39">
        <f>(1 - CUSTOS!$M$28)*0.7115</f>
        <v>0.71150000000000002</v>
      </c>
      <c r="X65" s="39">
        <v>0</v>
      </c>
      <c r="Y65" s="39">
        <v>0</v>
      </c>
      <c r="Z65" s="39">
        <v>0</v>
      </c>
      <c r="AA65" s="39">
        <v>0</v>
      </c>
      <c r="AB65" s="39"/>
      <c r="AC65" s="39">
        <f>(1 - CUSTOS!$M$28)*295.5247</f>
        <v>295.5247</v>
      </c>
      <c r="AD65" s="39"/>
      <c r="AE65" s="39"/>
      <c r="AF65" s="39"/>
      <c r="AG65" s="39"/>
      <c r="AH65" s="39"/>
      <c r="AI65" s="39"/>
      <c r="AJ65" s="39"/>
      <c r="AK65" s="39"/>
      <c r="AL65" s="39"/>
      <c r="AM65" s="39"/>
      <c r="AP65" s="39">
        <f>IF((1 - CUSTOS!$M$28)&lt;&gt;0,1/(1 - CUSTOS!$M$28),1)</f>
        <v>1</v>
      </c>
    </row>
    <row r="66" spans="1:42" ht="11.25" customHeight="1" x14ac:dyDescent="0.25">
      <c r="A66" s="119"/>
      <c r="B66" s="119"/>
      <c r="C66" s="119"/>
      <c r="D66" s="119"/>
      <c r="E66" s="119"/>
      <c r="F66" s="119"/>
      <c r="G66" s="21" t="s">
        <v>100</v>
      </c>
      <c r="H66" s="21" t="s">
        <v>88</v>
      </c>
      <c r="I66" s="21">
        <f>'MERCADO TUSD'!$U$63</f>
        <v>0.57700000000000007</v>
      </c>
      <c r="J66" s="17"/>
      <c r="L66" s="39"/>
      <c r="M66" s="39"/>
      <c r="N66" s="39"/>
      <c r="O66" s="39"/>
      <c r="P66" s="39"/>
      <c r="Q66" s="39"/>
      <c r="R66" s="39"/>
      <c r="S66" s="39"/>
      <c r="T66" s="39"/>
      <c r="U66" s="39">
        <f>(1 - CUSTOS!$M$28)*12.0455</f>
        <v>12.045500000000001</v>
      </c>
      <c r="V66" s="39">
        <f>(1 - CUSTOS!$M$28)*4.3535</f>
        <v>4.3535000000000004</v>
      </c>
      <c r="W66" s="39">
        <f>(1 - CUSTOS!$M$28)*0.4269</f>
        <v>0.4269</v>
      </c>
      <c r="X66" s="39">
        <v>0</v>
      </c>
      <c r="Y66" s="39">
        <v>0</v>
      </c>
      <c r="Z66" s="39">
        <v>0</v>
      </c>
      <c r="AA66" s="39">
        <v>0</v>
      </c>
      <c r="AB66" s="39"/>
      <c r="AC66" s="39">
        <f>(1 - CUSTOS!$M$28)*177.3148</f>
        <v>177.31479999999999</v>
      </c>
      <c r="AD66" s="39"/>
      <c r="AE66" s="39"/>
      <c r="AF66" s="39"/>
      <c r="AG66" s="39"/>
      <c r="AH66" s="39"/>
      <c r="AI66" s="39"/>
      <c r="AJ66" s="39"/>
      <c r="AK66" s="39"/>
      <c r="AL66" s="39"/>
      <c r="AM66" s="39"/>
      <c r="AP66" s="39">
        <f>IF((1 - CUSTOS!$M$28)&lt;&gt;0,1/(1 - CUSTOS!$M$28),1)</f>
        <v>1</v>
      </c>
    </row>
    <row r="67" spans="1:42" ht="11.25" customHeight="1" x14ac:dyDescent="0.25">
      <c r="A67" s="119"/>
      <c r="B67" s="119"/>
      <c r="C67" s="119"/>
      <c r="D67" s="119"/>
      <c r="E67" s="119"/>
      <c r="F67" s="119"/>
      <c r="G67" s="21" t="s">
        <v>90</v>
      </c>
      <c r="H67" s="21" t="s">
        <v>88</v>
      </c>
      <c r="I67" s="21">
        <f>'MERCADO TUSD'!$U$64</f>
        <v>5.0120000000000005</v>
      </c>
      <c r="J67" s="17"/>
      <c r="L67" s="39"/>
      <c r="M67" s="39"/>
      <c r="N67" s="39"/>
      <c r="O67" s="39"/>
      <c r="P67" s="39"/>
      <c r="Q67" s="39"/>
      <c r="R67" s="39"/>
      <c r="S67" s="39"/>
      <c r="T67" s="39"/>
      <c r="U67" s="39">
        <f>(1 - CUSTOS!$M$28)*4.0152</f>
        <v>4.0152000000000001</v>
      </c>
      <c r="V67" s="39">
        <f>(1 - CUSTOS!$M$28)*1.4512</f>
        <v>1.4512</v>
      </c>
      <c r="W67" s="39">
        <f>(1 - CUSTOS!$M$28)*0.1423</f>
        <v>0.14230000000000001</v>
      </c>
      <c r="X67" s="39">
        <v>0</v>
      </c>
      <c r="Y67" s="39">
        <v>0</v>
      </c>
      <c r="Z67" s="39">
        <v>0</v>
      </c>
      <c r="AA67" s="39">
        <v>0</v>
      </c>
      <c r="AB67" s="39"/>
      <c r="AC67" s="39">
        <f>(1 - CUSTOS!$M$28)*59.1049</f>
        <v>59.104900000000001</v>
      </c>
      <c r="AD67" s="39"/>
      <c r="AE67" s="39"/>
      <c r="AF67" s="39"/>
      <c r="AG67" s="39"/>
      <c r="AH67" s="39"/>
      <c r="AI67" s="39"/>
      <c r="AJ67" s="39"/>
      <c r="AK67" s="39"/>
      <c r="AL67" s="39"/>
      <c r="AM67" s="39"/>
      <c r="AP67" s="39">
        <f>IF((1 - CUSTOS!$M$28)&lt;&gt;0,1/(1 - CUSTOS!$M$28),1)</f>
        <v>1</v>
      </c>
    </row>
    <row r="68" spans="1:42" ht="11.25" customHeight="1" x14ac:dyDescent="0.25">
      <c r="A68" s="119"/>
      <c r="B68" s="40" t="s">
        <v>23</v>
      </c>
      <c r="C68" s="40" t="s">
        <v>47</v>
      </c>
      <c r="D68" s="40" t="s">
        <v>25</v>
      </c>
      <c r="E68" s="40" t="s">
        <v>25</v>
      </c>
      <c r="F68" s="40" t="s">
        <v>25</v>
      </c>
      <c r="G68" s="21" t="s">
        <v>94</v>
      </c>
      <c r="H68" s="21" t="s">
        <v>88</v>
      </c>
      <c r="I68" s="21">
        <f>'MERCADO TUSD'!$U$65</f>
        <v>81638.005000000005</v>
      </c>
      <c r="J68" s="17"/>
      <c r="L68" s="39"/>
      <c r="M68" s="39"/>
      <c r="N68" s="39"/>
      <c r="O68" s="39"/>
      <c r="P68" s="39"/>
      <c r="Q68" s="39"/>
      <c r="R68" s="39"/>
      <c r="S68" s="39"/>
      <c r="T68" s="39"/>
      <c r="U68" s="39">
        <f>(1 - CUSTOS!$M$28)*6.2737</f>
        <v>6.2736999999999998</v>
      </c>
      <c r="V68" s="39">
        <f>(1 - CUSTOS!$M$28)*2.2675</f>
        <v>2.2675000000000001</v>
      </c>
      <c r="W68" s="39">
        <f>(1 - CUSTOS!$M$28)*0.2223</f>
        <v>0.2223</v>
      </c>
      <c r="X68" s="39">
        <v>0</v>
      </c>
      <c r="Y68" s="39">
        <v>0</v>
      </c>
      <c r="Z68" s="39">
        <v>0</v>
      </c>
      <c r="AA68" s="39">
        <v>0</v>
      </c>
      <c r="AB68" s="39"/>
      <c r="AC68" s="39">
        <f>(1 - CUSTOS!$M$28)*92.3515</f>
        <v>92.351500000000001</v>
      </c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P68" s="39">
        <f>IF((1 - CUSTOS!$M$28)&lt;&gt;0,1/(1 - CUSTOS!$M$28),1)</f>
        <v>1</v>
      </c>
    </row>
    <row r="69" spans="1:42" ht="11.25" customHeight="1" x14ac:dyDescent="0.25">
      <c r="A69" s="119"/>
      <c r="B69" s="119" t="s">
        <v>37</v>
      </c>
      <c r="C69" s="119" t="s">
        <v>47</v>
      </c>
      <c r="D69" s="119" t="s">
        <v>103</v>
      </c>
      <c r="E69" s="119" t="s">
        <v>25</v>
      </c>
      <c r="F69" s="119" t="s">
        <v>25</v>
      </c>
      <c r="G69" s="21" t="s">
        <v>89</v>
      </c>
      <c r="H69" s="21" t="s">
        <v>88</v>
      </c>
      <c r="I69" s="21">
        <f>'MERCADO TUSD'!$U$66</f>
        <v>0</v>
      </c>
      <c r="J69" s="17"/>
      <c r="L69" s="39"/>
      <c r="M69" s="39"/>
      <c r="N69" s="39"/>
      <c r="O69" s="39"/>
      <c r="P69" s="39"/>
      <c r="Q69" s="39"/>
      <c r="R69" s="39"/>
      <c r="S69" s="39"/>
      <c r="T69" s="39"/>
      <c r="U69" s="39">
        <f>(1 - CUSTOS!$M$29)*20.0759</f>
        <v>20.075900000000001</v>
      </c>
      <c r="V69" s="39">
        <f>(1 - CUSTOS!$M$29)*7.2559</f>
        <v>7.2558999999999996</v>
      </c>
      <c r="W69" s="39">
        <f>(1 - CUSTOS!$M$29)*0.7115</f>
        <v>0.71150000000000002</v>
      </c>
      <c r="X69" s="39">
        <v>0</v>
      </c>
      <c r="Y69" s="39">
        <v>0</v>
      </c>
      <c r="Z69" s="39">
        <v>0</v>
      </c>
      <c r="AA69" s="39">
        <v>0</v>
      </c>
      <c r="AB69" s="39"/>
      <c r="AC69" s="39">
        <f>(1 - CUSTOS!$M$29)*295.5247</f>
        <v>295.5247</v>
      </c>
      <c r="AD69" s="39"/>
      <c r="AE69" s="39"/>
      <c r="AF69" s="39"/>
      <c r="AG69" s="39"/>
      <c r="AH69" s="39"/>
      <c r="AI69" s="39"/>
      <c r="AJ69" s="39"/>
      <c r="AK69" s="39"/>
      <c r="AL69" s="39"/>
      <c r="AM69" s="39"/>
      <c r="AP69" s="39">
        <f>IF((1 - CUSTOS!$M$29)&lt;&gt;0,1/(1 - CUSTOS!$M$29),1)</f>
        <v>1</v>
      </c>
    </row>
    <row r="70" spans="1:42" ht="11.25" customHeight="1" x14ac:dyDescent="0.25">
      <c r="A70" s="119"/>
      <c r="B70" s="119"/>
      <c r="C70" s="119"/>
      <c r="D70" s="119"/>
      <c r="E70" s="119"/>
      <c r="F70" s="119"/>
      <c r="G70" s="21" t="s">
        <v>100</v>
      </c>
      <c r="H70" s="21" t="s">
        <v>88</v>
      </c>
      <c r="I70" s="21">
        <f>'MERCADO TUSD'!$U$67</f>
        <v>0</v>
      </c>
      <c r="J70" s="17"/>
      <c r="L70" s="39"/>
      <c r="M70" s="39"/>
      <c r="N70" s="39"/>
      <c r="O70" s="39"/>
      <c r="P70" s="39"/>
      <c r="Q70" s="39"/>
      <c r="R70" s="39"/>
      <c r="S70" s="39"/>
      <c r="T70" s="39"/>
      <c r="U70" s="39">
        <f>(1 - CUSTOS!$M$29)*12.0455</f>
        <v>12.045500000000001</v>
      </c>
      <c r="V70" s="39">
        <f>(1 - CUSTOS!$M$29)*4.3535</f>
        <v>4.3535000000000004</v>
      </c>
      <c r="W70" s="39">
        <f>(1 - CUSTOS!$M$29)*0.4269</f>
        <v>0.4269</v>
      </c>
      <c r="X70" s="39">
        <v>0</v>
      </c>
      <c r="Y70" s="39">
        <v>0</v>
      </c>
      <c r="Z70" s="39">
        <v>0</v>
      </c>
      <c r="AA70" s="39">
        <v>0</v>
      </c>
      <c r="AB70" s="39"/>
      <c r="AC70" s="39">
        <f>(1 - CUSTOS!$M$29)*177.3148</f>
        <v>177.31479999999999</v>
      </c>
      <c r="AD70" s="39"/>
      <c r="AE70" s="39"/>
      <c r="AF70" s="39"/>
      <c r="AG70" s="39"/>
      <c r="AH70" s="39"/>
      <c r="AI70" s="39"/>
      <c r="AJ70" s="39"/>
      <c r="AK70" s="39"/>
      <c r="AL70" s="39"/>
      <c r="AM70" s="39"/>
      <c r="AP70" s="39">
        <f>IF((1 - CUSTOS!$M$29)&lt;&gt;0,1/(1 - CUSTOS!$M$29),1)</f>
        <v>1</v>
      </c>
    </row>
    <row r="71" spans="1:42" ht="11.25" customHeight="1" x14ac:dyDescent="0.25">
      <c r="A71" s="119"/>
      <c r="B71" s="119"/>
      <c r="C71" s="119"/>
      <c r="D71" s="119"/>
      <c r="E71" s="119"/>
      <c r="F71" s="119"/>
      <c r="G71" s="21" t="s">
        <v>90</v>
      </c>
      <c r="H71" s="21" t="s">
        <v>88</v>
      </c>
      <c r="I71" s="21">
        <f>'MERCADO TUSD'!$U$68</f>
        <v>0</v>
      </c>
      <c r="J71" s="17"/>
      <c r="L71" s="39"/>
      <c r="M71" s="39"/>
      <c r="N71" s="39"/>
      <c r="O71" s="39"/>
      <c r="P71" s="39"/>
      <c r="Q71" s="39"/>
      <c r="R71" s="39"/>
      <c r="S71" s="39"/>
      <c r="T71" s="39"/>
      <c r="U71" s="39">
        <f>(1 - CUSTOS!$M$29)*4.0152</f>
        <v>4.0152000000000001</v>
      </c>
      <c r="V71" s="39">
        <f>(1 - CUSTOS!$M$29)*1.4512</f>
        <v>1.4512</v>
      </c>
      <c r="W71" s="39">
        <f>(1 - CUSTOS!$M$29)*0.1423</f>
        <v>0.14230000000000001</v>
      </c>
      <c r="X71" s="39">
        <v>0</v>
      </c>
      <c r="Y71" s="39">
        <v>0</v>
      </c>
      <c r="Z71" s="39">
        <v>0</v>
      </c>
      <c r="AA71" s="39">
        <v>0</v>
      </c>
      <c r="AB71" s="39"/>
      <c r="AC71" s="39">
        <f>(1 - CUSTOS!$M$29)*59.1049</f>
        <v>59.104900000000001</v>
      </c>
      <c r="AD71" s="39"/>
      <c r="AE71" s="39"/>
      <c r="AF71" s="39"/>
      <c r="AG71" s="39"/>
      <c r="AH71" s="39"/>
      <c r="AI71" s="39"/>
      <c r="AJ71" s="39"/>
      <c r="AK71" s="39"/>
      <c r="AL71" s="39"/>
      <c r="AM71" s="39"/>
      <c r="AP71" s="39">
        <f>IF((1 - CUSTOS!$M$29)&lt;&gt;0,1/(1 - CUSTOS!$M$29),1)</f>
        <v>1</v>
      </c>
    </row>
    <row r="72" spans="1:42" ht="11.25" customHeight="1" x14ac:dyDescent="0.25">
      <c r="A72" s="119"/>
      <c r="B72" s="40" t="s">
        <v>23</v>
      </c>
      <c r="C72" s="40" t="s">
        <v>47</v>
      </c>
      <c r="D72" s="40" t="s">
        <v>103</v>
      </c>
      <c r="E72" s="40" t="s">
        <v>25</v>
      </c>
      <c r="F72" s="40" t="s">
        <v>25</v>
      </c>
      <c r="G72" s="21" t="s">
        <v>94</v>
      </c>
      <c r="H72" s="21" t="s">
        <v>88</v>
      </c>
      <c r="I72" s="21">
        <f>'MERCADO TUSD'!$U$69</f>
        <v>0</v>
      </c>
      <c r="J72" s="17"/>
      <c r="L72" s="39"/>
      <c r="M72" s="39"/>
      <c r="N72" s="39"/>
      <c r="O72" s="39"/>
      <c r="P72" s="39"/>
      <c r="Q72" s="39"/>
      <c r="R72" s="39"/>
      <c r="S72" s="39"/>
      <c r="T72" s="39"/>
      <c r="U72" s="39">
        <f>(1 - CUSTOS!$M$29)*6.2737</f>
        <v>6.2736999999999998</v>
      </c>
      <c r="V72" s="39">
        <f>(1 - CUSTOS!$M$29)*2.2675</f>
        <v>2.2675000000000001</v>
      </c>
      <c r="W72" s="39">
        <f>(1 - CUSTOS!$M$29)*0.2223</f>
        <v>0.2223</v>
      </c>
      <c r="X72" s="39">
        <v>0</v>
      </c>
      <c r="Y72" s="39">
        <v>0</v>
      </c>
      <c r="Z72" s="39">
        <v>0</v>
      </c>
      <c r="AA72" s="39">
        <v>0</v>
      </c>
      <c r="AB72" s="39"/>
      <c r="AC72" s="39">
        <f>(1 - CUSTOS!$M$29)*92.3515</f>
        <v>92.351500000000001</v>
      </c>
      <c r="AD72" s="39"/>
      <c r="AE72" s="39"/>
      <c r="AF72" s="39"/>
      <c r="AG72" s="39"/>
      <c r="AH72" s="39"/>
      <c r="AI72" s="39"/>
      <c r="AJ72" s="39"/>
      <c r="AK72" s="39"/>
      <c r="AL72" s="39"/>
      <c r="AM72" s="39"/>
      <c r="AP72" s="39">
        <f>IF((1 - CUSTOS!$M$29)&lt;&gt;0,1/(1 - CUSTOS!$M$29),1)</f>
        <v>1</v>
      </c>
    </row>
    <row r="73" spans="1:42" ht="11.25" customHeight="1" x14ac:dyDescent="0.25">
      <c r="A73" s="119"/>
      <c r="B73" s="119" t="s">
        <v>37</v>
      </c>
      <c r="C73" s="119" t="s">
        <v>47</v>
      </c>
      <c r="D73" s="119" t="s">
        <v>104</v>
      </c>
      <c r="E73" s="119" t="s">
        <v>25</v>
      </c>
      <c r="F73" s="119" t="s">
        <v>25</v>
      </c>
      <c r="G73" s="21" t="s">
        <v>89</v>
      </c>
      <c r="H73" s="21" t="s">
        <v>88</v>
      </c>
      <c r="I73" s="21">
        <f>'MERCADO TUSD'!$U$70</f>
        <v>0</v>
      </c>
      <c r="J73" s="17"/>
      <c r="L73" s="39"/>
      <c r="M73" s="39"/>
      <c r="N73" s="39"/>
      <c r="O73" s="39"/>
      <c r="P73" s="39"/>
      <c r="Q73" s="39"/>
      <c r="R73" s="39"/>
      <c r="S73" s="39"/>
      <c r="T73" s="39"/>
      <c r="U73" s="39">
        <f>(1 - CUSTOS!$M$30)*20.0759</f>
        <v>20.075900000000001</v>
      </c>
      <c r="V73" s="39">
        <f>(1 - CUSTOS!$M$30)*7.2559</f>
        <v>7.2558999999999996</v>
      </c>
      <c r="W73" s="39">
        <f>(1 - CUSTOS!$M$30)*0.7115</f>
        <v>0.71150000000000002</v>
      </c>
      <c r="X73" s="39">
        <v>0</v>
      </c>
      <c r="Y73" s="39">
        <v>0</v>
      </c>
      <c r="Z73" s="39">
        <v>0</v>
      </c>
      <c r="AA73" s="39">
        <v>0</v>
      </c>
      <c r="AB73" s="39"/>
      <c r="AC73" s="39">
        <f>(1 - CUSTOS!$M$30)*295.5247</f>
        <v>295.5247</v>
      </c>
      <c r="AD73" s="39"/>
      <c r="AE73" s="39"/>
      <c r="AF73" s="39"/>
      <c r="AG73" s="39"/>
      <c r="AH73" s="39"/>
      <c r="AI73" s="39"/>
      <c r="AJ73" s="39"/>
      <c r="AK73" s="39"/>
      <c r="AL73" s="39"/>
      <c r="AM73" s="39"/>
      <c r="AP73" s="39">
        <f>IF((1 - CUSTOS!$M$30)&lt;&gt;0,1/(1 - CUSTOS!$M$30),1)</f>
        <v>1</v>
      </c>
    </row>
    <row r="74" spans="1:42" ht="11.25" customHeight="1" x14ac:dyDescent="0.25">
      <c r="A74" s="119"/>
      <c r="B74" s="119"/>
      <c r="C74" s="119"/>
      <c r="D74" s="119"/>
      <c r="E74" s="119"/>
      <c r="F74" s="119"/>
      <c r="G74" s="21" t="s">
        <v>100</v>
      </c>
      <c r="H74" s="21" t="s">
        <v>88</v>
      </c>
      <c r="I74" s="21">
        <f>'MERCADO TUSD'!$U$71</f>
        <v>0</v>
      </c>
      <c r="J74" s="17"/>
      <c r="L74" s="39"/>
      <c r="M74" s="39"/>
      <c r="N74" s="39"/>
      <c r="O74" s="39"/>
      <c r="P74" s="39"/>
      <c r="Q74" s="39"/>
      <c r="R74" s="39"/>
      <c r="S74" s="39"/>
      <c r="T74" s="39"/>
      <c r="U74" s="39">
        <f>(1 - CUSTOS!$M$30)*12.0455</f>
        <v>12.045500000000001</v>
      </c>
      <c r="V74" s="39">
        <f>(1 - CUSTOS!$M$30)*4.3535</f>
        <v>4.3535000000000004</v>
      </c>
      <c r="W74" s="39">
        <f>(1 - CUSTOS!$M$30)*0.4269</f>
        <v>0.4269</v>
      </c>
      <c r="X74" s="39">
        <v>0</v>
      </c>
      <c r="Y74" s="39">
        <v>0</v>
      </c>
      <c r="Z74" s="39">
        <v>0</v>
      </c>
      <c r="AA74" s="39">
        <v>0</v>
      </c>
      <c r="AB74" s="39"/>
      <c r="AC74" s="39">
        <f>(1 - CUSTOS!$M$30)*177.3148</f>
        <v>177.31479999999999</v>
      </c>
      <c r="AD74" s="39"/>
      <c r="AE74" s="39"/>
      <c r="AF74" s="39"/>
      <c r="AG74" s="39"/>
      <c r="AH74" s="39"/>
      <c r="AI74" s="39"/>
      <c r="AJ74" s="39"/>
      <c r="AK74" s="39"/>
      <c r="AL74" s="39"/>
      <c r="AM74" s="39"/>
      <c r="AP74" s="39">
        <f>IF((1 - CUSTOS!$M$30)&lt;&gt;0,1/(1 - CUSTOS!$M$30),1)</f>
        <v>1</v>
      </c>
    </row>
    <row r="75" spans="1:42" ht="11.25" customHeight="1" x14ac:dyDescent="0.25">
      <c r="A75" s="119"/>
      <c r="B75" s="119"/>
      <c r="C75" s="119"/>
      <c r="D75" s="119"/>
      <c r="E75" s="119"/>
      <c r="F75" s="119"/>
      <c r="G75" s="21" t="s">
        <v>90</v>
      </c>
      <c r="H75" s="21" t="s">
        <v>88</v>
      </c>
      <c r="I75" s="21">
        <f>'MERCADO TUSD'!$U$72</f>
        <v>0</v>
      </c>
      <c r="J75" s="17"/>
      <c r="L75" s="39"/>
      <c r="M75" s="39"/>
      <c r="N75" s="39"/>
      <c r="O75" s="39"/>
      <c r="P75" s="39"/>
      <c r="Q75" s="39"/>
      <c r="R75" s="39"/>
      <c r="S75" s="39"/>
      <c r="T75" s="39"/>
      <c r="U75" s="39">
        <f>(1 - CUSTOS!$M$30)*4.0152</f>
        <v>4.0152000000000001</v>
      </c>
      <c r="V75" s="39">
        <f>(1 - CUSTOS!$M$30)*1.4512</f>
        <v>1.4512</v>
      </c>
      <c r="W75" s="39">
        <f>(1 - CUSTOS!$M$30)*0.1423</f>
        <v>0.14230000000000001</v>
      </c>
      <c r="X75" s="39">
        <v>0</v>
      </c>
      <c r="Y75" s="39">
        <v>0</v>
      </c>
      <c r="Z75" s="39">
        <v>0</v>
      </c>
      <c r="AA75" s="39">
        <v>0</v>
      </c>
      <c r="AB75" s="39"/>
      <c r="AC75" s="39">
        <f>(1 - CUSTOS!$M$30)*59.1049</f>
        <v>59.104900000000001</v>
      </c>
      <c r="AD75" s="39"/>
      <c r="AE75" s="39"/>
      <c r="AF75" s="39"/>
      <c r="AG75" s="39"/>
      <c r="AH75" s="39"/>
      <c r="AI75" s="39"/>
      <c r="AJ75" s="39"/>
      <c r="AK75" s="39"/>
      <c r="AL75" s="39"/>
      <c r="AM75" s="39"/>
      <c r="AP75" s="39">
        <f>IF((1 - CUSTOS!$M$30)&lt;&gt;0,1/(1 - CUSTOS!$M$30),1)</f>
        <v>1</v>
      </c>
    </row>
    <row r="76" spans="1:42" ht="11.25" customHeight="1" x14ac:dyDescent="0.25">
      <c r="A76" s="119"/>
      <c r="B76" s="40" t="s">
        <v>23</v>
      </c>
      <c r="C76" s="40" t="s">
        <v>47</v>
      </c>
      <c r="D76" s="40" t="s">
        <v>104</v>
      </c>
      <c r="E76" s="40" t="s">
        <v>25</v>
      </c>
      <c r="F76" s="40" t="s">
        <v>25</v>
      </c>
      <c r="G76" s="21" t="s">
        <v>94</v>
      </c>
      <c r="H76" s="21" t="s">
        <v>88</v>
      </c>
      <c r="I76" s="21">
        <f>'MERCADO TUSD'!$U$73</f>
        <v>0</v>
      </c>
      <c r="J76" s="17"/>
      <c r="L76" s="39"/>
      <c r="M76" s="39"/>
      <c r="N76" s="39"/>
      <c r="O76" s="39"/>
      <c r="P76" s="39"/>
      <c r="Q76" s="39"/>
      <c r="R76" s="39"/>
      <c r="S76" s="39"/>
      <c r="T76" s="39"/>
      <c r="U76" s="39">
        <f>(1 - CUSTOS!$M$30)*6.2737</f>
        <v>6.2736999999999998</v>
      </c>
      <c r="V76" s="39">
        <f>(1 - CUSTOS!$M$30)*2.2675</f>
        <v>2.2675000000000001</v>
      </c>
      <c r="W76" s="39">
        <f>(1 - CUSTOS!$M$30)*0.2223</f>
        <v>0.2223</v>
      </c>
      <c r="X76" s="39">
        <v>0</v>
      </c>
      <c r="Y76" s="39">
        <v>0</v>
      </c>
      <c r="Z76" s="39">
        <v>0</v>
      </c>
      <c r="AA76" s="39">
        <v>0</v>
      </c>
      <c r="AB76" s="39"/>
      <c r="AC76" s="39">
        <f>(1 - CUSTOS!$M$30)*92.3515</f>
        <v>92.351500000000001</v>
      </c>
      <c r="AD76" s="39"/>
      <c r="AE76" s="39"/>
      <c r="AF76" s="39"/>
      <c r="AG76" s="39"/>
      <c r="AH76" s="39"/>
      <c r="AI76" s="39"/>
      <c r="AJ76" s="39"/>
      <c r="AK76" s="39"/>
      <c r="AL76" s="39"/>
      <c r="AM76" s="39"/>
      <c r="AP76" s="39">
        <f>IF((1 - CUSTOS!$M$30)&lt;&gt;0,1/(1 - CUSTOS!$M$30),1)</f>
        <v>1</v>
      </c>
    </row>
    <row r="77" spans="1:42" ht="11.25" customHeight="1" x14ac:dyDescent="0.25">
      <c r="A77" s="119"/>
      <c r="B77" s="119" t="s">
        <v>102</v>
      </c>
      <c r="C77" s="119" t="s">
        <v>47</v>
      </c>
      <c r="D77" s="40" t="s">
        <v>25</v>
      </c>
      <c r="E77" s="40" t="s">
        <v>25</v>
      </c>
      <c r="F77" s="40" t="s">
        <v>25</v>
      </c>
      <c r="G77" s="21" t="s">
        <v>94</v>
      </c>
      <c r="H77" s="21" t="s">
        <v>88</v>
      </c>
      <c r="I77" s="21">
        <f>'MERCADO TUSD'!$U$74</f>
        <v>0</v>
      </c>
      <c r="J77" s="17"/>
      <c r="L77" s="39"/>
      <c r="M77" s="39"/>
      <c r="N77" s="39"/>
      <c r="O77" s="39"/>
      <c r="P77" s="39"/>
      <c r="Q77" s="39"/>
      <c r="R77" s="39"/>
      <c r="S77" s="39"/>
      <c r="T77" s="39"/>
      <c r="U77" s="39">
        <f>(1 - CUSTOS!$M$28)*6.2737</f>
        <v>6.2736999999999998</v>
      </c>
      <c r="V77" s="39">
        <f>(1 - CUSTOS!$M$28)*2.2675</f>
        <v>2.2675000000000001</v>
      </c>
      <c r="W77" s="39">
        <f>(1 - CUSTOS!$M$28)*0.2223</f>
        <v>0.2223</v>
      </c>
      <c r="X77" s="39">
        <v>0</v>
      </c>
      <c r="Y77" s="39">
        <v>0</v>
      </c>
      <c r="Z77" s="39">
        <v>0</v>
      </c>
      <c r="AA77" s="39">
        <v>0</v>
      </c>
      <c r="AB77" s="39"/>
      <c r="AC77" s="39">
        <f>(1 - CUSTOS!$M$28)*92.3515</f>
        <v>92.351500000000001</v>
      </c>
      <c r="AD77" s="39"/>
      <c r="AE77" s="39"/>
      <c r="AF77" s="39"/>
      <c r="AG77" s="39"/>
      <c r="AH77" s="39"/>
      <c r="AI77" s="39"/>
      <c r="AJ77" s="39"/>
      <c r="AK77" s="39"/>
      <c r="AL77" s="39"/>
      <c r="AM77" s="39"/>
      <c r="AP77" s="39">
        <f>IF((1 - CUSTOS!$M$28)&lt;&gt;0,1/(1 - CUSTOS!$M$28),1)</f>
        <v>1</v>
      </c>
    </row>
    <row r="78" spans="1:42" ht="11.25" customHeight="1" x14ac:dyDescent="0.25">
      <c r="A78" s="119"/>
      <c r="B78" s="119"/>
      <c r="C78" s="119"/>
      <c r="D78" s="40" t="s">
        <v>103</v>
      </c>
      <c r="E78" s="40" t="s">
        <v>25</v>
      </c>
      <c r="F78" s="40" t="s">
        <v>25</v>
      </c>
      <c r="G78" s="21" t="s">
        <v>94</v>
      </c>
      <c r="H78" s="21" t="s">
        <v>88</v>
      </c>
      <c r="I78" s="21">
        <f>'MERCADO TUSD'!$U$75</f>
        <v>0</v>
      </c>
      <c r="J78" s="17"/>
      <c r="L78" s="39"/>
      <c r="M78" s="39"/>
      <c r="N78" s="39"/>
      <c r="O78" s="39"/>
      <c r="P78" s="39"/>
      <c r="Q78" s="39"/>
      <c r="R78" s="39"/>
      <c r="S78" s="39"/>
      <c r="T78" s="39"/>
      <c r="U78" s="39">
        <f>(1 - CUSTOS!$M$29)*6.2737</f>
        <v>6.2736999999999998</v>
      </c>
      <c r="V78" s="39">
        <f>(1 - CUSTOS!$M$29)*2.2675</f>
        <v>2.2675000000000001</v>
      </c>
      <c r="W78" s="39">
        <f>(1 - CUSTOS!$M$29)*0.2223</f>
        <v>0.2223</v>
      </c>
      <c r="X78" s="39">
        <v>0</v>
      </c>
      <c r="Y78" s="39">
        <v>0</v>
      </c>
      <c r="Z78" s="39">
        <v>0</v>
      </c>
      <c r="AA78" s="39">
        <v>0</v>
      </c>
      <c r="AB78" s="39"/>
      <c r="AC78" s="39">
        <f>(1 - CUSTOS!$M$29)*92.3515</f>
        <v>92.351500000000001</v>
      </c>
      <c r="AD78" s="39"/>
      <c r="AE78" s="39"/>
      <c r="AF78" s="39"/>
      <c r="AG78" s="39"/>
      <c r="AH78" s="39"/>
      <c r="AI78" s="39"/>
      <c r="AJ78" s="39"/>
      <c r="AK78" s="39"/>
      <c r="AL78" s="39"/>
      <c r="AM78" s="39"/>
      <c r="AP78" s="39">
        <f>IF((1 - CUSTOS!$M$29)&lt;&gt;0,1/(1 - CUSTOS!$M$29),1)</f>
        <v>1</v>
      </c>
    </row>
    <row r="79" spans="1:42" ht="11.25" customHeight="1" x14ac:dyDescent="0.25">
      <c r="A79" s="119"/>
      <c r="B79" s="119"/>
      <c r="C79" s="119"/>
      <c r="D79" s="40" t="s">
        <v>104</v>
      </c>
      <c r="E79" s="40" t="s">
        <v>25</v>
      </c>
      <c r="F79" s="40" t="s">
        <v>25</v>
      </c>
      <c r="G79" s="21" t="s">
        <v>94</v>
      </c>
      <c r="H79" s="21" t="s">
        <v>88</v>
      </c>
      <c r="I79" s="21">
        <f>'MERCADO TUSD'!$U$76</f>
        <v>0</v>
      </c>
      <c r="J79" s="17"/>
      <c r="L79" s="39"/>
      <c r="M79" s="39"/>
      <c r="N79" s="39"/>
      <c r="O79" s="39"/>
      <c r="P79" s="39"/>
      <c r="Q79" s="39"/>
      <c r="R79" s="39"/>
      <c r="S79" s="39"/>
      <c r="T79" s="39"/>
      <c r="U79" s="39">
        <f>(1 - CUSTOS!$M$30)*6.2737</f>
        <v>6.2736999999999998</v>
      </c>
      <c r="V79" s="39">
        <f>(1 - CUSTOS!$M$30)*2.2675</f>
        <v>2.2675000000000001</v>
      </c>
      <c r="W79" s="39">
        <f>(1 - CUSTOS!$M$30)*0.2223</f>
        <v>0.2223</v>
      </c>
      <c r="X79" s="39">
        <v>0</v>
      </c>
      <c r="Y79" s="39">
        <v>0</v>
      </c>
      <c r="Z79" s="39">
        <v>0</v>
      </c>
      <c r="AA79" s="39">
        <v>0</v>
      </c>
      <c r="AB79" s="39"/>
      <c r="AC79" s="39">
        <f>(1 - CUSTOS!$M$30)*92.3515</f>
        <v>92.351500000000001</v>
      </c>
      <c r="AD79" s="39"/>
      <c r="AE79" s="39"/>
      <c r="AF79" s="39"/>
      <c r="AG79" s="39"/>
      <c r="AH79" s="39"/>
      <c r="AI79" s="39"/>
      <c r="AJ79" s="39"/>
      <c r="AK79" s="39"/>
      <c r="AL79" s="39"/>
      <c r="AM79" s="39"/>
      <c r="AP79" s="39">
        <f>IF((1 - CUSTOS!$M$30)&lt;&gt;0,1/(1 - CUSTOS!$M$30),1)</f>
        <v>1</v>
      </c>
    </row>
    <row r="80" spans="1:42" ht="11.25" customHeight="1" x14ac:dyDescent="0.25">
      <c r="A80" s="119" t="s">
        <v>39</v>
      </c>
      <c r="B80" s="119" t="s">
        <v>37</v>
      </c>
      <c r="C80" s="119" t="s">
        <v>25</v>
      </c>
      <c r="D80" s="119" t="s">
        <v>25</v>
      </c>
      <c r="E80" s="119" t="s">
        <v>25</v>
      </c>
      <c r="F80" s="119" t="s">
        <v>25</v>
      </c>
      <c r="G80" s="21" t="s">
        <v>89</v>
      </c>
      <c r="H80" s="21" t="s">
        <v>88</v>
      </c>
      <c r="I80" s="21">
        <f>'MERCADO TUSD'!$U$77</f>
        <v>133.67100000000025</v>
      </c>
      <c r="J80" s="17"/>
      <c r="L80" s="39"/>
      <c r="M80" s="39"/>
      <c r="N80" s="39"/>
      <c r="O80" s="39"/>
      <c r="P80" s="39"/>
      <c r="Q80" s="39"/>
      <c r="R80" s="39"/>
      <c r="S80" s="39"/>
      <c r="T80" s="39"/>
      <c r="U80" s="39">
        <f>(1 - CUSTOS!$M$31)*20.0759</f>
        <v>20.075900000000001</v>
      </c>
      <c r="V80" s="39">
        <f>(1 - CUSTOS!$M$31)*7.2559</f>
        <v>7.2558999999999996</v>
      </c>
      <c r="W80" s="39">
        <f>(1 - CUSTOS!$M$31)*0.7115</f>
        <v>0.71150000000000002</v>
      </c>
      <c r="X80" s="39">
        <v>0</v>
      </c>
      <c r="Y80" s="39">
        <v>0</v>
      </c>
      <c r="Z80" s="39">
        <v>0</v>
      </c>
      <c r="AA80" s="39">
        <v>0</v>
      </c>
      <c r="AB80" s="39"/>
      <c r="AC80" s="39">
        <f>(1 - CUSTOS!$M$31)*295.5247</f>
        <v>295.5247</v>
      </c>
      <c r="AD80" s="39"/>
      <c r="AE80" s="39"/>
      <c r="AF80" s="39"/>
      <c r="AG80" s="39"/>
      <c r="AH80" s="39"/>
      <c r="AI80" s="39"/>
      <c r="AJ80" s="39"/>
      <c r="AK80" s="39"/>
      <c r="AL80" s="39"/>
      <c r="AM80" s="39"/>
      <c r="AP80" s="39">
        <f>IF((1 - CUSTOS!$M$31)&lt;&gt;0,1/(1 - CUSTOS!$M$31),1)</f>
        <v>1</v>
      </c>
    </row>
    <row r="81" spans="1:42" ht="11.25" customHeight="1" x14ac:dyDescent="0.25">
      <c r="A81" s="119"/>
      <c r="B81" s="119"/>
      <c r="C81" s="119"/>
      <c r="D81" s="119"/>
      <c r="E81" s="119"/>
      <c r="F81" s="119"/>
      <c r="G81" s="21" t="s">
        <v>100</v>
      </c>
      <c r="H81" s="21" t="s">
        <v>88</v>
      </c>
      <c r="I81" s="21">
        <f>'MERCADO TUSD'!$U$78</f>
        <v>52.353999999999928</v>
      </c>
      <c r="J81" s="17"/>
      <c r="L81" s="39"/>
      <c r="M81" s="39"/>
      <c r="N81" s="39"/>
      <c r="O81" s="39"/>
      <c r="P81" s="39"/>
      <c r="Q81" s="39"/>
      <c r="R81" s="39"/>
      <c r="S81" s="39"/>
      <c r="T81" s="39"/>
      <c r="U81" s="39">
        <f>(1 - CUSTOS!$M$31)*12.0455</f>
        <v>12.045500000000001</v>
      </c>
      <c r="V81" s="39">
        <f>(1 - CUSTOS!$M$31)*4.3535</f>
        <v>4.3535000000000004</v>
      </c>
      <c r="W81" s="39">
        <f>(1 - CUSTOS!$M$31)*0.4269</f>
        <v>0.4269</v>
      </c>
      <c r="X81" s="39">
        <v>0</v>
      </c>
      <c r="Y81" s="39">
        <v>0</v>
      </c>
      <c r="Z81" s="39">
        <v>0</v>
      </c>
      <c r="AA81" s="39">
        <v>0</v>
      </c>
      <c r="AB81" s="39"/>
      <c r="AC81" s="39">
        <f>(1 - CUSTOS!$M$31)*177.3148</f>
        <v>177.31479999999999</v>
      </c>
      <c r="AD81" s="39"/>
      <c r="AE81" s="39"/>
      <c r="AF81" s="39"/>
      <c r="AG81" s="39"/>
      <c r="AH81" s="39"/>
      <c r="AI81" s="39"/>
      <c r="AJ81" s="39"/>
      <c r="AK81" s="39"/>
      <c r="AL81" s="39"/>
      <c r="AM81" s="39"/>
      <c r="AP81" s="39">
        <f>IF((1 - CUSTOS!$M$31)&lt;&gt;0,1/(1 - CUSTOS!$M$31),1)</f>
        <v>1</v>
      </c>
    </row>
    <row r="82" spans="1:42" ht="11.25" customHeight="1" x14ac:dyDescent="0.25">
      <c r="A82" s="119"/>
      <c r="B82" s="119"/>
      <c r="C82" s="119"/>
      <c r="D82" s="119"/>
      <c r="E82" s="119"/>
      <c r="F82" s="119"/>
      <c r="G82" s="21" t="s">
        <v>90</v>
      </c>
      <c r="H82" s="21" t="s">
        <v>88</v>
      </c>
      <c r="I82" s="21">
        <f>'MERCADO TUSD'!$U$79</f>
        <v>4172.1789999999992</v>
      </c>
      <c r="J82" s="17"/>
      <c r="L82" s="39"/>
      <c r="M82" s="39"/>
      <c r="N82" s="39"/>
      <c r="O82" s="39"/>
      <c r="P82" s="39"/>
      <c r="Q82" s="39"/>
      <c r="R82" s="39"/>
      <c r="S82" s="39"/>
      <c r="T82" s="39"/>
      <c r="U82" s="39">
        <f>(1 - CUSTOS!$M$31)*4.0152</f>
        <v>4.0152000000000001</v>
      </c>
      <c r="V82" s="39">
        <f>(1 - CUSTOS!$M$31)*1.4512</f>
        <v>1.4512</v>
      </c>
      <c r="W82" s="39">
        <f>(1 - CUSTOS!$M$31)*0.1423</f>
        <v>0.14230000000000001</v>
      </c>
      <c r="X82" s="39">
        <v>0</v>
      </c>
      <c r="Y82" s="39">
        <v>0</v>
      </c>
      <c r="Z82" s="39">
        <v>0</v>
      </c>
      <c r="AA82" s="39">
        <v>0</v>
      </c>
      <c r="AB82" s="39"/>
      <c r="AC82" s="39">
        <f>(1 - CUSTOS!$M$31)*59.1049</f>
        <v>59.104900000000001</v>
      </c>
      <c r="AD82" s="39"/>
      <c r="AE82" s="39"/>
      <c r="AF82" s="39"/>
      <c r="AG82" s="39"/>
      <c r="AH82" s="39"/>
      <c r="AI82" s="39"/>
      <c r="AJ82" s="39"/>
      <c r="AK82" s="39"/>
      <c r="AL82" s="39"/>
      <c r="AM82" s="39"/>
      <c r="AP82" s="39">
        <f>IF((1 - CUSTOS!$M$31)&lt;&gt;0,1/(1 - CUSTOS!$M$31),1)</f>
        <v>1</v>
      </c>
    </row>
    <row r="83" spans="1:42" ht="11.25" customHeight="1" x14ac:dyDescent="0.25">
      <c r="A83" s="119"/>
      <c r="B83" s="40" t="s">
        <v>23</v>
      </c>
      <c r="C83" s="40" t="s">
        <v>25</v>
      </c>
      <c r="D83" s="40" t="s">
        <v>25</v>
      </c>
      <c r="E83" s="40" t="s">
        <v>25</v>
      </c>
      <c r="F83" s="40" t="s">
        <v>25</v>
      </c>
      <c r="G83" s="21" t="s">
        <v>94</v>
      </c>
      <c r="H83" s="21" t="s">
        <v>88</v>
      </c>
      <c r="I83" s="21">
        <f>'MERCADO TUSD'!$U$80</f>
        <v>1033015.7139999998</v>
      </c>
      <c r="J83" s="17"/>
      <c r="L83" s="39"/>
      <c r="M83" s="39"/>
      <c r="N83" s="39"/>
      <c r="O83" s="39"/>
      <c r="P83" s="39"/>
      <c r="Q83" s="39"/>
      <c r="R83" s="39"/>
      <c r="S83" s="39"/>
      <c r="T83" s="39"/>
      <c r="U83" s="39">
        <f>(1 - CUSTOS!$M$31)*6.2737</f>
        <v>6.2736999999999998</v>
      </c>
      <c r="V83" s="39">
        <f>(1 - CUSTOS!$M$31)*2.2675</f>
        <v>2.2675000000000001</v>
      </c>
      <c r="W83" s="39">
        <f>(1 - CUSTOS!$M$31)*0.2223</f>
        <v>0.2223</v>
      </c>
      <c r="X83" s="39">
        <v>0</v>
      </c>
      <c r="Y83" s="39">
        <v>0</v>
      </c>
      <c r="Z83" s="39">
        <v>0</v>
      </c>
      <c r="AA83" s="39">
        <v>0</v>
      </c>
      <c r="AB83" s="39"/>
      <c r="AC83" s="39">
        <f>(1 - CUSTOS!$M$31)*92.3515</f>
        <v>92.351500000000001</v>
      </c>
      <c r="AD83" s="39"/>
      <c r="AE83" s="39"/>
      <c r="AF83" s="39"/>
      <c r="AG83" s="39"/>
      <c r="AH83" s="39"/>
      <c r="AI83" s="39"/>
      <c r="AJ83" s="39"/>
      <c r="AK83" s="39"/>
      <c r="AL83" s="39"/>
      <c r="AM83" s="39"/>
      <c r="AP83" s="39">
        <f>IF((1 - CUSTOS!$M$31)&lt;&gt;0,1/(1 - CUSTOS!$M$31),1)</f>
        <v>1</v>
      </c>
    </row>
    <row r="84" spans="1:42" ht="11.25" customHeight="1" x14ac:dyDescent="0.25">
      <c r="A84" s="119"/>
      <c r="B84" s="40" t="s">
        <v>102</v>
      </c>
      <c r="C84" s="40" t="s">
        <v>25</v>
      </c>
      <c r="D84" s="40" t="s">
        <v>25</v>
      </c>
      <c r="E84" s="40" t="s">
        <v>25</v>
      </c>
      <c r="F84" s="40" t="s">
        <v>25</v>
      </c>
      <c r="G84" s="21" t="s">
        <v>94</v>
      </c>
      <c r="H84" s="21" t="s">
        <v>88</v>
      </c>
      <c r="I84" s="21">
        <f>'MERCADO TUSD'!$U$81</f>
        <v>0</v>
      </c>
      <c r="J84" s="17"/>
      <c r="L84" s="39"/>
      <c r="M84" s="39"/>
      <c r="N84" s="39"/>
      <c r="O84" s="39"/>
      <c r="P84" s="39"/>
      <c r="Q84" s="39"/>
      <c r="R84" s="39"/>
      <c r="S84" s="39"/>
      <c r="T84" s="39"/>
      <c r="U84" s="39">
        <f>(1 - CUSTOS!$M$31)*6.2737</f>
        <v>6.2736999999999998</v>
      </c>
      <c r="V84" s="39">
        <f>(1 - CUSTOS!$M$31)*2.2675</f>
        <v>2.2675000000000001</v>
      </c>
      <c r="W84" s="39">
        <f>(1 - CUSTOS!$M$31)*0.2223</f>
        <v>0.2223</v>
      </c>
      <c r="X84" s="39">
        <v>0</v>
      </c>
      <c r="Y84" s="39">
        <v>0</v>
      </c>
      <c r="Z84" s="39">
        <v>0</v>
      </c>
      <c r="AA84" s="39">
        <v>0</v>
      </c>
      <c r="AB84" s="39"/>
      <c r="AC84" s="39">
        <f>(1 - CUSTOS!$M$31)*92.3515</f>
        <v>92.351500000000001</v>
      </c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P84" s="39">
        <f>IF((1 - CUSTOS!$M$31)&lt;&gt;0,1/(1 - CUSTOS!$M$31),1)</f>
        <v>1</v>
      </c>
    </row>
    <row r="85" spans="1:42" ht="11.25" customHeight="1" x14ac:dyDescent="0.25">
      <c r="A85" s="119" t="s">
        <v>49</v>
      </c>
      <c r="B85" s="119" t="s">
        <v>23</v>
      </c>
      <c r="C85" s="119" t="s">
        <v>50</v>
      </c>
      <c r="D85" s="40" t="s">
        <v>51</v>
      </c>
      <c r="E85" s="40" t="s">
        <v>25</v>
      </c>
      <c r="F85" s="40" t="s">
        <v>25</v>
      </c>
      <c r="G85" s="21" t="s">
        <v>94</v>
      </c>
      <c r="H85" s="21" t="s">
        <v>88</v>
      </c>
      <c r="I85" s="21">
        <f>'MERCADO TUSD'!$U$82</f>
        <v>418118.94</v>
      </c>
      <c r="J85" s="17"/>
      <c r="L85" s="39"/>
      <c r="M85" s="39"/>
      <c r="N85" s="39"/>
      <c r="O85" s="39"/>
      <c r="P85" s="39"/>
      <c r="Q85" s="39"/>
      <c r="R85" s="39"/>
      <c r="S85" s="39"/>
      <c r="T85" s="39"/>
      <c r="U85" s="39">
        <f>(1 - CUSTOS!$M$32)*6.2737</f>
        <v>3.4505350000000004</v>
      </c>
      <c r="V85" s="39">
        <f>(1 - CUSTOS!$M$32)*2.2675</f>
        <v>1.247125</v>
      </c>
      <c r="W85" s="39">
        <f>(1 - CUSTOS!$M$32)*0.2223</f>
        <v>0.12226500000000001</v>
      </c>
      <c r="X85" s="39">
        <v>0</v>
      </c>
      <c r="Y85" s="39">
        <v>0</v>
      </c>
      <c r="Z85" s="39">
        <v>0</v>
      </c>
      <c r="AA85" s="39">
        <v>0</v>
      </c>
      <c r="AB85" s="39"/>
      <c r="AC85" s="39">
        <f>(1 - CUSTOS!$M$32)*92.3515</f>
        <v>50.793325000000003</v>
      </c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P85" s="39">
        <f>IF((1 - CUSTOS!$M$32)&lt;&gt;0,1/(1 - CUSTOS!$M$32),1)</f>
        <v>1.8181818181818181</v>
      </c>
    </row>
    <row r="86" spans="1:42" ht="11.25" customHeight="1" x14ac:dyDescent="0.25">
      <c r="A86" s="119"/>
      <c r="B86" s="119"/>
      <c r="C86" s="119"/>
      <c r="D86" s="21" t="s">
        <v>105</v>
      </c>
      <c r="E86" s="21" t="s">
        <v>25</v>
      </c>
      <c r="F86" s="21" t="s">
        <v>25</v>
      </c>
      <c r="G86" s="21" t="s">
        <v>94</v>
      </c>
      <c r="H86" s="21" t="s">
        <v>88</v>
      </c>
      <c r="I86" s="21">
        <f>'MERCADO TUSD'!$U$83</f>
        <v>0</v>
      </c>
      <c r="J86" s="17"/>
      <c r="L86" s="39"/>
      <c r="M86" s="39"/>
      <c r="N86" s="39"/>
      <c r="O86" s="39"/>
      <c r="P86" s="39"/>
      <c r="Q86" s="39"/>
      <c r="R86" s="39"/>
      <c r="S86" s="39"/>
      <c r="T86" s="39"/>
      <c r="U86" s="39">
        <f>(1 - CUSTOS!$M$33)*6.2737</f>
        <v>3.7642199999999999</v>
      </c>
      <c r="V86" s="39">
        <f>(1 - CUSTOS!$M$33)*2.2675</f>
        <v>1.3605</v>
      </c>
      <c r="W86" s="39">
        <f>(1 - CUSTOS!$M$33)*0.2223</f>
        <v>0.13338</v>
      </c>
      <c r="X86" s="39">
        <v>0</v>
      </c>
      <c r="Y86" s="39">
        <v>0</v>
      </c>
      <c r="Z86" s="39">
        <v>0</v>
      </c>
      <c r="AA86" s="39">
        <v>0</v>
      </c>
      <c r="AB86" s="39"/>
      <c r="AC86" s="39">
        <f>(1 - CUSTOS!$M$33)*92.3515</f>
        <v>55.410899999999998</v>
      </c>
      <c r="AD86" s="39"/>
      <c r="AE86" s="39"/>
      <c r="AF86" s="39"/>
      <c r="AG86" s="39"/>
      <c r="AH86" s="39"/>
      <c r="AI86" s="39"/>
      <c r="AJ86" s="39"/>
      <c r="AK86" s="39"/>
      <c r="AL86" s="39"/>
      <c r="AM86" s="39"/>
      <c r="AP86" s="39">
        <f>IF((1 - CUSTOS!$M$33)&lt;&gt;0,1/(1 - CUSTOS!$M$33),1)</f>
        <v>1.6666666666666667</v>
      </c>
    </row>
  </sheetData>
  <mergeCells count="129">
    <mergeCell ref="AP1:AP4"/>
    <mergeCell ref="L2:AM2"/>
    <mergeCell ref="L3:T3"/>
    <mergeCell ref="U3:AB3"/>
    <mergeCell ref="AC3:AD3"/>
    <mergeCell ref="A1:A4"/>
    <mergeCell ref="B1:B4"/>
    <mergeCell ref="C1:C4"/>
    <mergeCell ref="D1:D4"/>
    <mergeCell ref="E1:E4"/>
    <mergeCell ref="F1:F4"/>
    <mergeCell ref="AH3:AL3"/>
    <mergeCell ref="AM3:AM4"/>
    <mergeCell ref="I1:I4"/>
    <mergeCell ref="J1:J4"/>
    <mergeCell ref="L1:AM1"/>
    <mergeCell ref="AE3:AG3"/>
    <mergeCell ref="A5:A14"/>
    <mergeCell ref="B5:B8"/>
    <mergeCell ref="C5:C8"/>
    <mergeCell ref="D5:D8"/>
    <mergeCell ref="E5:E7"/>
    <mergeCell ref="F5:F7"/>
    <mergeCell ref="B9:B11"/>
    <mergeCell ref="G1:G4"/>
    <mergeCell ref="H1:H4"/>
    <mergeCell ref="C9:C11"/>
    <mergeCell ref="D9:D11"/>
    <mergeCell ref="E9:E11"/>
    <mergeCell ref="F9:F11"/>
    <mergeCell ref="B12:B14"/>
    <mergeCell ref="C12:C14"/>
    <mergeCell ref="D12:D14"/>
    <mergeCell ref="E12:E14"/>
    <mergeCell ref="F20:F22"/>
    <mergeCell ref="E23:E24"/>
    <mergeCell ref="F23:F24"/>
    <mergeCell ref="B25:B26"/>
    <mergeCell ref="C25:C26"/>
    <mergeCell ref="D25:D26"/>
    <mergeCell ref="E25:E26"/>
    <mergeCell ref="F25:F26"/>
    <mergeCell ref="A15:A26"/>
    <mergeCell ref="B15:B18"/>
    <mergeCell ref="C15:C18"/>
    <mergeCell ref="D15:D18"/>
    <mergeCell ref="E15:E17"/>
    <mergeCell ref="F15:F17"/>
    <mergeCell ref="B20:B24"/>
    <mergeCell ref="C20:C24"/>
    <mergeCell ref="D20:D24"/>
    <mergeCell ref="E20:E22"/>
    <mergeCell ref="F32:F34"/>
    <mergeCell ref="E35:E36"/>
    <mergeCell ref="F35:F36"/>
    <mergeCell ref="B37:B38"/>
    <mergeCell ref="C37:C38"/>
    <mergeCell ref="D37:D38"/>
    <mergeCell ref="E37:E38"/>
    <mergeCell ref="F37:F38"/>
    <mergeCell ref="A27:A38"/>
    <mergeCell ref="B27:B30"/>
    <mergeCell ref="C27:C30"/>
    <mergeCell ref="D27:D30"/>
    <mergeCell ref="E27:E29"/>
    <mergeCell ref="F27:F29"/>
    <mergeCell ref="B32:B36"/>
    <mergeCell ref="C32:C36"/>
    <mergeCell ref="D32:D36"/>
    <mergeCell ref="E32:E34"/>
    <mergeCell ref="F43:F45"/>
    <mergeCell ref="E46:E47"/>
    <mergeCell ref="F46:F47"/>
    <mergeCell ref="B48:B49"/>
    <mergeCell ref="C48:C49"/>
    <mergeCell ref="D48:D49"/>
    <mergeCell ref="E48:E49"/>
    <mergeCell ref="F48:F49"/>
    <mergeCell ref="A39:A49"/>
    <mergeCell ref="B39:B42"/>
    <mergeCell ref="C39:C42"/>
    <mergeCell ref="D39:D42"/>
    <mergeCell ref="E39:E41"/>
    <mergeCell ref="F39:F41"/>
    <mergeCell ref="B43:B47"/>
    <mergeCell ref="C43:C47"/>
    <mergeCell ref="D43:D47"/>
    <mergeCell ref="E43:E45"/>
    <mergeCell ref="E52:E54"/>
    <mergeCell ref="F52:F54"/>
    <mergeCell ref="B55:B59"/>
    <mergeCell ref="C55:C59"/>
    <mergeCell ref="B60:B64"/>
    <mergeCell ref="C60:C64"/>
    <mergeCell ref="A50:A51"/>
    <mergeCell ref="B50:B51"/>
    <mergeCell ref="C50:C51"/>
    <mergeCell ref="D50:D51"/>
    <mergeCell ref="A52:A64"/>
    <mergeCell ref="B52:B54"/>
    <mergeCell ref="C52:C54"/>
    <mergeCell ref="D52:D54"/>
    <mergeCell ref="F69:F71"/>
    <mergeCell ref="B73:B75"/>
    <mergeCell ref="C73:C75"/>
    <mergeCell ref="D73:D75"/>
    <mergeCell ref="E73:E75"/>
    <mergeCell ref="F73:F75"/>
    <mergeCell ref="A65:A79"/>
    <mergeCell ref="B65:B67"/>
    <mergeCell ref="C65:C67"/>
    <mergeCell ref="D65:D67"/>
    <mergeCell ref="E65:E67"/>
    <mergeCell ref="F65:F67"/>
    <mergeCell ref="B69:B71"/>
    <mergeCell ref="C69:C71"/>
    <mergeCell ref="D69:D71"/>
    <mergeCell ref="E69:E71"/>
    <mergeCell ref="E80:E82"/>
    <mergeCell ref="F80:F82"/>
    <mergeCell ref="A85:A86"/>
    <mergeCell ref="B85:B86"/>
    <mergeCell ref="C85:C86"/>
    <mergeCell ref="B77:B79"/>
    <mergeCell ref="C77:C79"/>
    <mergeCell ref="A80:A84"/>
    <mergeCell ref="B80:B82"/>
    <mergeCell ref="C80:C82"/>
    <mergeCell ref="D80:D82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2B8B6-00DF-4BB4-9798-503261749566}">
  <dimension ref="A1:AP108"/>
  <sheetViews>
    <sheetView showGridLines="0" topLeftCell="C70" workbookViewId="0">
      <selection activeCell="K97" sqref="K97:P97"/>
    </sheetView>
  </sheetViews>
  <sheetFormatPr defaultColWidth="8.85546875" defaultRowHeight="11.25" customHeight="1" x14ac:dyDescent="0.25"/>
  <cols>
    <col min="1" max="1" width="9" style="9" bestFit="1" customWidth="1"/>
    <col min="2" max="2" width="19.42578125" style="9" bestFit="1" customWidth="1"/>
    <col min="3" max="3" width="12.7109375" style="9" bestFit="1" customWidth="1"/>
    <col min="4" max="4" width="23.140625" style="9" bestFit="1" customWidth="1"/>
    <col min="5" max="5" width="9.5703125" style="9" bestFit="1" customWidth="1"/>
    <col min="6" max="6" width="13.42578125" style="9" bestFit="1" customWidth="1"/>
    <col min="7" max="7" width="5.85546875" style="9" bestFit="1" customWidth="1"/>
    <col min="8" max="8" width="7.140625" style="9" bestFit="1" customWidth="1"/>
    <col min="9" max="9" width="9.140625" style="9" bestFit="1" customWidth="1"/>
    <col min="10" max="10" width="8.85546875" style="9"/>
    <col min="11" max="11" width="14.140625" style="9" bestFit="1" customWidth="1"/>
    <col min="12" max="12" width="11.85546875" style="9" bestFit="1" customWidth="1"/>
    <col min="13" max="13" width="9.5703125" style="9" bestFit="1" customWidth="1"/>
    <col min="14" max="15" width="10.7109375" style="9" bestFit="1" customWidth="1"/>
    <col min="16" max="16" width="9.140625" style="9" bestFit="1" customWidth="1"/>
    <col min="17" max="17" width="10.7109375" style="9" bestFit="1" customWidth="1"/>
    <col min="18" max="18" width="9.85546875" style="9" bestFit="1" customWidth="1"/>
    <col min="19" max="19" width="9.140625" style="9" bestFit="1" customWidth="1"/>
    <col min="20" max="21" width="10.7109375" style="9" bestFit="1" customWidth="1"/>
    <col min="22" max="22" width="9.85546875" style="9" bestFit="1" customWidth="1"/>
    <col min="23" max="24" width="9.28515625" style="9" bestFit="1" customWidth="1"/>
    <col min="25" max="25" width="4.7109375" style="9" bestFit="1" customWidth="1"/>
    <col min="26" max="26" width="7.140625" style="9" bestFit="1" customWidth="1"/>
    <col min="27" max="27" width="9.28515625" style="9" bestFit="1" customWidth="1"/>
    <col min="28" max="28" width="10.7109375" style="9" bestFit="1" customWidth="1"/>
    <col min="29" max="29" width="11.140625" style="9" bestFit="1" customWidth="1"/>
    <col min="30" max="30" width="10.7109375" style="9" bestFit="1" customWidth="1"/>
    <col min="31" max="31" width="7.7109375" style="9" bestFit="1" customWidth="1"/>
    <col min="32" max="32" width="6.85546875" style="9" bestFit="1" customWidth="1"/>
    <col min="33" max="33" width="8.5703125" style="9" bestFit="1" customWidth="1"/>
    <col min="34" max="34" width="14.42578125" style="9" bestFit="1" customWidth="1"/>
    <col min="35" max="35" width="17.5703125" style="9" bestFit="1" customWidth="1"/>
    <col min="36" max="36" width="18.140625" style="9" bestFit="1" customWidth="1"/>
    <col min="37" max="37" width="9.85546875" style="9" bestFit="1" customWidth="1"/>
    <col min="38" max="38" width="10.7109375" style="9" bestFit="1" customWidth="1"/>
    <col min="39" max="39" width="11.85546875" style="9" bestFit="1" customWidth="1"/>
    <col min="40" max="41" width="8.85546875" style="9"/>
    <col min="42" max="42" width="7.28515625" style="9" bestFit="1" customWidth="1"/>
    <col min="43" max="16384" width="8.85546875" style="9"/>
  </cols>
  <sheetData>
    <row r="1" spans="1:42" ht="11.25" customHeight="1" x14ac:dyDescent="0.25">
      <c r="A1" s="120" t="s">
        <v>78</v>
      </c>
      <c r="B1" s="120" t="s">
        <v>79</v>
      </c>
      <c r="C1" s="120" t="s">
        <v>80</v>
      </c>
      <c r="D1" s="120" t="s">
        <v>81</v>
      </c>
      <c r="E1" s="120" t="s">
        <v>82</v>
      </c>
      <c r="F1" s="120" t="s">
        <v>15</v>
      </c>
      <c r="G1" s="120" t="s">
        <v>84</v>
      </c>
      <c r="H1" s="120" t="s">
        <v>85</v>
      </c>
      <c r="I1" s="120" t="s">
        <v>1055</v>
      </c>
      <c r="J1" s="112"/>
      <c r="L1" s="121" t="s">
        <v>1056</v>
      </c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  <c r="X1" s="121"/>
      <c r="Y1" s="121"/>
      <c r="Z1" s="121"/>
      <c r="AA1" s="121"/>
      <c r="AB1" s="121"/>
      <c r="AC1" s="121"/>
      <c r="AD1" s="121"/>
      <c r="AE1" s="121"/>
      <c r="AF1" s="121"/>
      <c r="AG1" s="121"/>
      <c r="AH1" s="121"/>
      <c r="AI1" s="121"/>
      <c r="AJ1" s="121"/>
      <c r="AK1" s="121"/>
      <c r="AL1" s="121"/>
      <c r="AM1" s="121"/>
      <c r="AP1" s="121" t="s">
        <v>1057</v>
      </c>
    </row>
    <row r="2" spans="1:42" ht="11.25" customHeight="1" x14ac:dyDescent="0.25">
      <c r="A2" s="120"/>
      <c r="B2" s="120"/>
      <c r="C2" s="120"/>
      <c r="D2" s="120"/>
      <c r="E2" s="120"/>
      <c r="F2" s="120"/>
      <c r="G2" s="120"/>
      <c r="H2" s="120"/>
      <c r="I2" s="120"/>
      <c r="J2" s="112"/>
      <c r="L2" s="121" t="s">
        <v>955</v>
      </c>
      <c r="M2" s="121"/>
      <c r="N2" s="121"/>
      <c r="O2" s="121"/>
      <c r="P2" s="121"/>
      <c r="Q2" s="121"/>
      <c r="R2" s="121"/>
      <c r="S2" s="121"/>
      <c r="T2" s="121"/>
      <c r="U2" s="121"/>
      <c r="V2" s="121"/>
      <c r="W2" s="121"/>
      <c r="X2" s="121"/>
      <c r="Y2" s="121"/>
      <c r="Z2" s="121"/>
      <c r="AA2" s="121"/>
      <c r="AB2" s="121"/>
      <c r="AC2" s="121"/>
      <c r="AD2" s="121"/>
      <c r="AE2" s="121"/>
      <c r="AF2" s="121"/>
      <c r="AG2" s="121"/>
      <c r="AH2" s="121"/>
      <c r="AI2" s="121"/>
      <c r="AJ2" s="121"/>
      <c r="AK2" s="121"/>
      <c r="AL2" s="121"/>
      <c r="AM2" s="121"/>
      <c r="AP2" s="122"/>
    </row>
    <row r="3" spans="1:42" ht="11.25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12"/>
      <c r="L3" s="121" t="s">
        <v>956</v>
      </c>
      <c r="M3" s="121"/>
      <c r="N3" s="121"/>
      <c r="O3" s="121"/>
      <c r="P3" s="121"/>
      <c r="Q3" s="121"/>
      <c r="R3" s="121"/>
      <c r="S3" s="121"/>
      <c r="T3" s="121"/>
      <c r="U3" s="121" t="s">
        <v>966</v>
      </c>
      <c r="V3" s="121"/>
      <c r="W3" s="121"/>
      <c r="X3" s="121"/>
      <c r="Y3" s="121"/>
      <c r="Z3" s="121"/>
      <c r="AA3" s="121"/>
      <c r="AB3" s="121"/>
      <c r="AC3" s="121" t="s">
        <v>974</v>
      </c>
      <c r="AD3" s="121"/>
      <c r="AE3" s="121" t="s">
        <v>976</v>
      </c>
      <c r="AF3" s="121"/>
      <c r="AG3" s="121"/>
      <c r="AH3" s="121" t="s">
        <v>979</v>
      </c>
      <c r="AI3" s="121"/>
      <c r="AJ3" s="121"/>
      <c r="AK3" s="121"/>
      <c r="AL3" s="121"/>
      <c r="AM3" s="121" t="s">
        <v>965</v>
      </c>
      <c r="AP3" s="122"/>
    </row>
    <row r="4" spans="1:42" ht="11.25" customHeight="1" x14ac:dyDescent="0.25">
      <c r="A4" s="120"/>
      <c r="B4" s="120"/>
      <c r="C4" s="120"/>
      <c r="D4" s="120"/>
      <c r="E4" s="120"/>
      <c r="F4" s="120"/>
      <c r="G4" s="120"/>
      <c r="H4" s="120"/>
      <c r="I4" s="120"/>
      <c r="J4" s="112"/>
      <c r="L4" s="10" t="s">
        <v>957</v>
      </c>
      <c r="M4" s="10" t="s">
        <v>958</v>
      </c>
      <c r="N4" s="10" t="s">
        <v>959</v>
      </c>
      <c r="O4" s="10" t="s">
        <v>960</v>
      </c>
      <c r="P4" s="10" t="s">
        <v>961</v>
      </c>
      <c r="Q4" s="10" t="s">
        <v>962</v>
      </c>
      <c r="R4" s="10" t="s">
        <v>963</v>
      </c>
      <c r="S4" s="10" t="s">
        <v>964</v>
      </c>
      <c r="T4" s="10" t="s">
        <v>965</v>
      </c>
      <c r="U4" s="10" t="s">
        <v>967</v>
      </c>
      <c r="V4" s="10" t="s">
        <v>968</v>
      </c>
      <c r="W4" s="10" t="s">
        <v>969</v>
      </c>
      <c r="X4" s="10" t="s">
        <v>970</v>
      </c>
      <c r="Y4" s="10" t="s">
        <v>971</v>
      </c>
      <c r="Z4" s="10" t="s">
        <v>972</v>
      </c>
      <c r="AA4" s="10" t="s">
        <v>973</v>
      </c>
      <c r="AB4" s="10" t="s">
        <v>965</v>
      </c>
      <c r="AC4" s="10" t="s">
        <v>975</v>
      </c>
      <c r="AD4" s="10" t="s">
        <v>965</v>
      </c>
      <c r="AE4" s="10" t="s">
        <v>977</v>
      </c>
      <c r="AF4" s="10" t="s">
        <v>978</v>
      </c>
      <c r="AG4" s="10" t="s">
        <v>965</v>
      </c>
      <c r="AH4" s="10" t="s">
        <v>980</v>
      </c>
      <c r="AI4" s="10" t="s">
        <v>981</v>
      </c>
      <c r="AJ4" s="10" t="s">
        <v>982</v>
      </c>
      <c r="AK4" s="10" t="s">
        <v>983</v>
      </c>
      <c r="AL4" s="10" t="s">
        <v>965</v>
      </c>
      <c r="AM4" s="123"/>
      <c r="AP4" s="122"/>
    </row>
    <row r="5" spans="1:42" ht="11.25" customHeight="1" x14ac:dyDescent="0.25">
      <c r="A5" s="119" t="s">
        <v>43</v>
      </c>
      <c r="B5" s="119" t="s">
        <v>41</v>
      </c>
      <c r="C5" s="119" t="s">
        <v>25</v>
      </c>
      <c r="D5" s="119" t="s">
        <v>25</v>
      </c>
      <c r="E5" s="119" t="s">
        <v>25</v>
      </c>
      <c r="F5" s="119" t="s">
        <v>25</v>
      </c>
      <c r="G5" s="21" t="s">
        <v>92</v>
      </c>
      <c r="H5" s="21" t="s">
        <v>91</v>
      </c>
      <c r="I5" s="21">
        <f>'MERCADO TUSD'!$U$2</f>
        <v>425013</v>
      </c>
      <c r="J5" s="17"/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/>
      <c r="U5" s="19">
        <f>TRANSICAO!$U$5*CUSTOS!$O$3</f>
        <v>1.2504</v>
      </c>
      <c r="V5" s="19">
        <f>TRANSICAO!$V$5*CUSTOS!$O$3</f>
        <v>0.39439999999999997</v>
      </c>
      <c r="W5" s="19">
        <f>TRANSICAO!$W$5*CUSTOS!$O$3</f>
        <v>3.9199999999999999E-2</v>
      </c>
      <c r="X5" s="19">
        <f>TRANSICAO!$X$5*CUSTOS!$O$3</f>
        <v>0</v>
      </c>
      <c r="Y5" s="19">
        <f>TRANSICAO!$Y$5*CUSTOS!$O$3</f>
        <v>0</v>
      </c>
      <c r="Z5" s="19">
        <f>TRANSICAO!$Z$5*CUSTOS!$O$3</f>
        <v>0</v>
      </c>
      <c r="AA5" s="19">
        <f>TRANSICAO!$AA$5*CUSTOS!$O$3</f>
        <v>0</v>
      </c>
      <c r="AB5" s="19">
        <f>TRANSICAO!$AB$5*CUSTOS!$O$3</f>
        <v>0</v>
      </c>
      <c r="AC5" s="19">
        <f>TRANSICAO!$AC$5*CUSTOS!$O$3</f>
        <v>2.5710000000000002</v>
      </c>
      <c r="AD5" s="19">
        <f>TRANSICAO!$AD$5*CUSTOS!$O$3</f>
        <v>0</v>
      </c>
      <c r="AE5" s="19">
        <v>0</v>
      </c>
      <c r="AF5" s="19">
        <v>0</v>
      </c>
      <c r="AG5" s="19"/>
      <c r="AH5" s="19">
        <v>0</v>
      </c>
      <c r="AI5" s="19">
        <v>0</v>
      </c>
      <c r="AJ5" s="19">
        <v>0</v>
      </c>
      <c r="AK5" s="19">
        <f t="shared" ref="AK5:AK36" si="0">AJ5</f>
        <v>0</v>
      </c>
      <c r="AL5" s="19"/>
      <c r="AM5" s="19"/>
      <c r="AP5" s="19">
        <v>1</v>
      </c>
    </row>
    <row r="6" spans="1:42" ht="11.25" customHeight="1" x14ac:dyDescent="0.25">
      <c r="A6" s="119"/>
      <c r="B6" s="119"/>
      <c r="C6" s="119"/>
      <c r="D6" s="119"/>
      <c r="E6" s="119"/>
      <c r="F6" s="119"/>
      <c r="G6" s="21" t="s">
        <v>93</v>
      </c>
      <c r="H6" s="21" t="s">
        <v>91</v>
      </c>
      <c r="I6" s="21">
        <f>'MERCADO TUSD'!$U$3</f>
        <v>1106400</v>
      </c>
      <c r="J6" s="17"/>
      <c r="L6" s="19">
        <v>0</v>
      </c>
      <c r="M6" s="19">
        <v>0</v>
      </c>
      <c r="N6" s="19">
        <v>0</v>
      </c>
      <c r="O6" s="19">
        <v>0</v>
      </c>
      <c r="P6" s="19">
        <v>0</v>
      </c>
      <c r="Q6" s="19">
        <v>0</v>
      </c>
      <c r="R6" s="19">
        <v>0</v>
      </c>
      <c r="S6" s="19">
        <v>0</v>
      </c>
      <c r="T6" s="19"/>
      <c r="U6" s="19">
        <f>TRANSICAO!$U$6*CUSTOS!$O$3</f>
        <v>0.96409999999999996</v>
      </c>
      <c r="V6" s="19">
        <f>TRANSICAO!$V$6*CUSTOS!$O$3</f>
        <v>0.31259999999999999</v>
      </c>
      <c r="W6" s="19">
        <f>TRANSICAO!$W$6*CUSTOS!$O$3</f>
        <v>2.7900000000000001E-2</v>
      </c>
      <c r="X6" s="19">
        <f>TRANSICAO!$X$6*CUSTOS!$O$3</f>
        <v>0</v>
      </c>
      <c r="Y6" s="19">
        <f>TRANSICAO!$Y$6*CUSTOS!$O$3</f>
        <v>0</v>
      </c>
      <c r="Z6" s="19">
        <f>TRANSICAO!$Z$6*CUSTOS!$O$3</f>
        <v>0</v>
      </c>
      <c r="AA6" s="19">
        <f>TRANSICAO!$AA$6*CUSTOS!$O$3</f>
        <v>0</v>
      </c>
      <c r="AB6" s="19">
        <f>TRANSICAO!$AB$6*CUSTOS!$O$3</f>
        <v>0</v>
      </c>
      <c r="AC6" s="19">
        <f>TRANSICAO!$AC$6*CUSTOS!$O$3</f>
        <v>0.2571</v>
      </c>
      <c r="AD6" s="19">
        <f>TRANSICAO!$AD$6*CUSTOS!$O$3</f>
        <v>0</v>
      </c>
      <c r="AE6" s="19">
        <v>0</v>
      </c>
      <c r="AF6" s="19">
        <v>0</v>
      </c>
      <c r="AG6" s="19"/>
      <c r="AH6" s="19">
        <v>0</v>
      </c>
      <c r="AI6" s="19">
        <v>0</v>
      </c>
      <c r="AJ6" s="19">
        <v>0</v>
      </c>
      <c r="AK6" s="19">
        <f t="shared" si="0"/>
        <v>0</v>
      </c>
      <c r="AL6" s="19"/>
      <c r="AM6" s="19"/>
      <c r="AP6" s="19">
        <v>1</v>
      </c>
    </row>
    <row r="7" spans="1:42" ht="11.25" customHeight="1" x14ac:dyDescent="0.25">
      <c r="A7" s="119"/>
      <c r="B7" s="119"/>
      <c r="C7" s="119"/>
      <c r="D7" s="119"/>
      <c r="E7" s="119"/>
      <c r="F7" s="119"/>
      <c r="G7" s="21" t="s">
        <v>94</v>
      </c>
      <c r="H7" s="21" t="s">
        <v>88</v>
      </c>
      <c r="I7" s="21">
        <f>'MERCADO TUSD'!$U$4</f>
        <v>381591.69400000002</v>
      </c>
      <c r="J7" s="17"/>
      <c r="L7" s="19">
        <f>IF(AND((+$I$7+$I$8)&lt;&gt;0,SUMPRODUCT($I$5:$I$86,$AC$5:$AC$86,$AP$5:$AP$86)&lt;&gt;0),$L$91*SUMPRODUCT($I$5:$I$14,$AC$5:$AC$14,$AP$5:$AP$14)/SUMPRODUCT($I$5:$I$86,$AC$5:$AC$86,$AP$5:$AP$86)/(+$I$7+$I$8),0)</f>
        <v>0</v>
      </c>
      <c r="M7" s="19">
        <f>IF(AND((+$I$7+$I$8)&lt;&gt;0,SUMPRODUCT($I$5:$I$86,$AC$5:$AC$86,$AP$5:$AP$86)&lt;&gt;0),$M$91*SUMPRODUCT($I$5:$I$14,$AC$5:$AC$14,$AP$5:$AP$14)/SUMPRODUCT($I$5:$I$86,$AC$5:$AC$86,$AP$5:$AP$86)/(+$I$7+$I$8),0)</f>
        <v>3.1806904116041194E-2</v>
      </c>
      <c r="N7" s="19">
        <f ca="1">(+M7+O7+R7+U7+V7+W7+X7+Y7+Z7+AA7+AC7+AH7+AI7+AJ7+AK7)*CUSTOS!$M$5</f>
        <v>0.14219735174303547</v>
      </c>
      <c r="O7" s="19">
        <v>1</v>
      </c>
      <c r="P7" s="19">
        <v>1</v>
      </c>
      <c r="Q7" s="19">
        <f>0.73</f>
        <v>0.73</v>
      </c>
      <c r="R7" s="19">
        <v>1</v>
      </c>
      <c r="S7" s="19">
        <v>1</v>
      </c>
      <c r="T7" s="19"/>
      <c r="U7" s="19">
        <f>TRANSICAO!$U$7*CUSTOS!$O$3</f>
        <v>0</v>
      </c>
      <c r="V7" s="19">
        <f>TRANSICAO!$V$7*CUSTOS!$O$3</f>
        <v>0</v>
      </c>
      <c r="W7" s="19">
        <f>TRANSICAO!$W$7*CUSTOS!$O$3</f>
        <v>0</v>
      </c>
      <c r="X7" s="19">
        <f>TRANSICAO!$X$7*CUSTOS!$O$3</f>
        <v>0</v>
      </c>
      <c r="Y7" s="19">
        <f>TRANSICAO!$Y$7*CUSTOS!$O$3</f>
        <v>0</v>
      </c>
      <c r="Z7" s="19">
        <f>TRANSICAO!$Z$7*CUSTOS!$O$3</f>
        <v>0</v>
      </c>
      <c r="AA7" s="19">
        <f>TRANSICAO!$AA$7*CUSTOS!$O$3</f>
        <v>0</v>
      </c>
      <c r="AB7" s="19">
        <f>TRANSICAO!$AB$7*CUSTOS!$O$3</f>
        <v>0</v>
      </c>
      <c r="AC7" s="19">
        <f>TRANSICAO!$AC$7*CUSTOS!$O$3</f>
        <v>0</v>
      </c>
      <c r="AD7" s="19">
        <f>TRANSICAO!$AD$7*CUSTOS!$O$3</f>
        <v>0</v>
      </c>
      <c r="AE7" s="19">
        <v>0</v>
      </c>
      <c r="AF7" s="19">
        <v>0</v>
      </c>
      <c r="AG7" s="19"/>
      <c r="AH7" s="19">
        <v>3.1667000000000001</v>
      </c>
      <c r="AI7" s="19">
        <v>3.1667000000000001</v>
      </c>
      <c r="AJ7" s="19">
        <f ca="1">$N$98</f>
        <v>2.9272641350937527</v>
      </c>
      <c r="AK7" s="19">
        <f t="shared" ca="1" si="0"/>
        <v>2.9272641350937527</v>
      </c>
      <c r="AL7" s="19"/>
      <c r="AM7" s="19"/>
      <c r="AP7" s="19">
        <v>1</v>
      </c>
    </row>
    <row r="8" spans="1:42" ht="11.25" customHeight="1" x14ac:dyDescent="0.25">
      <c r="A8" s="119"/>
      <c r="B8" s="119"/>
      <c r="C8" s="119"/>
      <c r="D8" s="119"/>
      <c r="E8" s="22" t="s">
        <v>61</v>
      </c>
      <c r="F8" s="22" t="s">
        <v>25</v>
      </c>
      <c r="G8" s="21" t="s">
        <v>94</v>
      </c>
      <c r="H8" s="21" t="s">
        <v>88</v>
      </c>
      <c r="I8" s="21">
        <f>'MERCADO TUSD'!$U$5</f>
        <v>110588.63</v>
      </c>
      <c r="J8" s="17"/>
      <c r="L8" s="19">
        <f>IF(AND((+$I$7+$I$8)&lt;&gt;0,SUMPRODUCT($I$5:$I$86,$AC$5:$AC$86,$AP$5:$AP$86)&lt;&gt;0),$L$91*SUMPRODUCT($I$5:$I$14,$AC$5:$AC$14,$AP$5:$AP$14)/SUMPRODUCT($I$5:$I$86,$AC$5:$AC$86,$AP$5:$AP$86)/(+$I$7+$I$8),0)</f>
        <v>0</v>
      </c>
      <c r="M8" s="19">
        <f>IF(AND((+$I$7+$I$8)&lt;&gt;0,SUMPRODUCT($I$5:$I$86,$AC$5:$AC$86,$AP$5:$AP$86)&lt;&gt;0),$M$91*SUMPRODUCT($I$5:$I$14,$AC$5:$AC$14,$AP$5:$AP$14)/SUMPRODUCT($I$5:$I$86,$AC$5:$AC$86,$AP$5:$AP$86)/(+$I$7+$I$8),0)</f>
        <v>3.1806904116041194E-2</v>
      </c>
      <c r="N8" s="19">
        <f ca="1">(+M8+O8+R8+U8+V8+W8+X8+Y8+Z8+AA8+AC8+AH8+AI8+AJ8+AK8)*CUSTOS!$M$5</f>
        <v>0.13219735174303546</v>
      </c>
      <c r="O8" s="19">
        <v>1</v>
      </c>
      <c r="P8" s="19">
        <v>0</v>
      </c>
      <c r="Q8" s="19">
        <v>0</v>
      </c>
      <c r="R8" s="19">
        <v>0</v>
      </c>
      <c r="S8" s="19">
        <v>0</v>
      </c>
      <c r="T8" s="19"/>
      <c r="U8" s="19">
        <f>TRANSICAO!$U$8*CUSTOS!$O$3</f>
        <v>0</v>
      </c>
      <c r="V8" s="19">
        <f>TRANSICAO!$V$8*CUSTOS!$O$3</f>
        <v>0</v>
      </c>
      <c r="W8" s="19">
        <f>TRANSICAO!$W$8*CUSTOS!$O$3</f>
        <v>0</v>
      </c>
      <c r="X8" s="19">
        <f>TRANSICAO!$X$8*CUSTOS!$O$3</f>
        <v>0</v>
      </c>
      <c r="Y8" s="19">
        <f>TRANSICAO!$Y$8*CUSTOS!$O$3</f>
        <v>0</v>
      </c>
      <c r="Z8" s="19">
        <f>TRANSICAO!$Z$8*CUSTOS!$O$3</f>
        <v>0</v>
      </c>
      <c r="AA8" s="19">
        <f>TRANSICAO!$AA$8*CUSTOS!$O$3</f>
        <v>0</v>
      </c>
      <c r="AB8" s="19">
        <f>TRANSICAO!$AB$8*CUSTOS!$O$3</f>
        <v>0</v>
      </c>
      <c r="AC8" s="19">
        <f>TRANSICAO!$AC$8*CUSTOS!$O$3</f>
        <v>0</v>
      </c>
      <c r="AD8" s="19">
        <f>TRANSICAO!$AD$8*CUSTOS!$O$3</f>
        <v>0</v>
      </c>
      <c r="AE8" s="19">
        <v>0</v>
      </c>
      <c r="AF8" s="19">
        <v>0</v>
      </c>
      <c r="AG8" s="19"/>
      <c r="AH8" s="19">
        <v>3.1667000000000001</v>
      </c>
      <c r="AI8" s="19">
        <v>3.1667000000000001</v>
      </c>
      <c r="AJ8" s="19">
        <f ca="1">$N$98</f>
        <v>2.9272641350937527</v>
      </c>
      <c r="AK8" s="19">
        <f t="shared" ca="1" si="0"/>
        <v>2.9272641350937527</v>
      </c>
      <c r="AL8" s="19"/>
      <c r="AM8" s="19"/>
      <c r="AP8" s="19">
        <v>1</v>
      </c>
    </row>
    <row r="9" spans="1:42" ht="11.25" customHeight="1" x14ac:dyDescent="0.25">
      <c r="A9" s="119"/>
      <c r="B9" s="119" t="s">
        <v>67</v>
      </c>
      <c r="C9" s="119" t="s">
        <v>25</v>
      </c>
      <c r="D9" s="119" t="s">
        <v>25</v>
      </c>
      <c r="E9" s="119" t="s">
        <v>25</v>
      </c>
      <c r="F9" s="119" t="s">
        <v>68</v>
      </c>
      <c r="G9" s="21" t="s">
        <v>92</v>
      </c>
      <c r="H9" s="21" t="s">
        <v>91</v>
      </c>
      <c r="I9" s="21">
        <f>'MERCADO TUSD'!$U$6</f>
        <v>648000</v>
      </c>
      <c r="J9" s="17"/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/>
      <c r="U9" s="19">
        <f>TRANSICAO!$U$9*CUSTOS!$O$3</f>
        <v>1.2504</v>
      </c>
      <c r="V9" s="19">
        <f>TRANSICAO!$V$9*CUSTOS!$O$3</f>
        <v>0.39439999999999997</v>
      </c>
      <c r="W9" s="19">
        <f>TRANSICAO!$W$9*CUSTOS!$O$3</f>
        <v>3.9199999999999999E-2</v>
      </c>
      <c r="X9" s="19">
        <f>TRANSICAO!$X$9*CUSTOS!$O$3</f>
        <v>0</v>
      </c>
      <c r="Y9" s="19">
        <f>TRANSICAO!$Y$9*CUSTOS!$O$3</f>
        <v>0</v>
      </c>
      <c r="Z9" s="19">
        <f>TRANSICAO!$Z$9*CUSTOS!$O$3</f>
        <v>0</v>
      </c>
      <c r="AA9" s="19">
        <f>TRANSICAO!$AA$9*CUSTOS!$O$3</f>
        <v>0</v>
      </c>
      <c r="AB9" s="19">
        <f>TRANSICAO!$AB$9*CUSTOS!$O$3</f>
        <v>0</v>
      </c>
      <c r="AC9" s="19">
        <f>TRANSICAO!$AC$9*CUSTOS!$O$3</f>
        <v>2.5710000000000002</v>
      </c>
      <c r="AD9" s="19">
        <f>TRANSICAO!$AD$9*CUSTOS!$O$3</f>
        <v>0</v>
      </c>
      <c r="AE9" s="19">
        <v>0</v>
      </c>
      <c r="AF9" s="19">
        <v>0</v>
      </c>
      <c r="AG9" s="19"/>
      <c r="AH9" s="19">
        <v>0</v>
      </c>
      <c r="AI9" s="19">
        <v>0</v>
      </c>
      <c r="AJ9" s="19">
        <v>0</v>
      </c>
      <c r="AK9" s="19">
        <f t="shared" si="0"/>
        <v>0</v>
      </c>
      <c r="AL9" s="19"/>
      <c r="AM9" s="19"/>
      <c r="AP9" s="19">
        <v>1</v>
      </c>
    </row>
    <row r="10" spans="1:42" ht="11.25" customHeight="1" x14ac:dyDescent="0.25">
      <c r="A10" s="119"/>
      <c r="B10" s="119"/>
      <c r="C10" s="119"/>
      <c r="D10" s="119"/>
      <c r="E10" s="119"/>
      <c r="F10" s="119"/>
      <c r="G10" s="21" t="s">
        <v>93</v>
      </c>
      <c r="H10" s="21" t="s">
        <v>91</v>
      </c>
      <c r="I10" s="21">
        <f>'MERCADO TUSD'!$U$7</f>
        <v>751668</v>
      </c>
      <c r="J10" s="17"/>
      <c r="L10" s="19">
        <v>0</v>
      </c>
      <c r="M10" s="19">
        <v>0</v>
      </c>
      <c r="N10" s="19">
        <v>0</v>
      </c>
      <c r="O10" s="19">
        <v>0</v>
      </c>
      <c r="P10" s="19">
        <v>0</v>
      </c>
      <c r="Q10" s="19">
        <v>0</v>
      </c>
      <c r="R10" s="19">
        <v>0</v>
      </c>
      <c r="S10" s="19">
        <v>0</v>
      </c>
      <c r="T10" s="19"/>
      <c r="U10" s="19">
        <f>TRANSICAO!$U$10*CUSTOS!$O$3</f>
        <v>0.96409999999999996</v>
      </c>
      <c r="V10" s="19">
        <f>TRANSICAO!$V$10*CUSTOS!$O$3</f>
        <v>0.31259999999999999</v>
      </c>
      <c r="W10" s="19">
        <f>TRANSICAO!$W$10*CUSTOS!$O$3</f>
        <v>2.7900000000000001E-2</v>
      </c>
      <c r="X10" s="19">
        <f>TRANSICAO!$X$10*CUSTOS!$O$3</f>
        <v>0</v>
      </c>
      <c r="Y10" s="19">
        <f>TRANSICAO!$Y$10*CUSTOS!$O$3</f>
        <v>0</v>
      </c>
      <c r="Z10" s="19">
        <f>TRANSICAO!$Z$10*CUSTOS!$O$3</f>
        <v>0</v>
      </c>
      <c r="AA10" s="19">
        <f>TRANSICAO!$AA$10*CUSTOS!$O$3</f>
        <v>0</v>
      </c>
      <c r="AB10" s="19">
        <f>TRANSICAO!$AB$10*CUSTOS!$O$3</f>
        <v>0</v>
      </c>
      <c r="AC10" s="19">
        <f>TRANSICAO!$AC$10*CUSTOS!$O$3</f>
        <v>0.2571</v>
      </c>
      <c r="AD10" s="19">
        <f>TRANSICAO!$AD$10*CUSTOS!$O$3</f>
        <v>0</v>
      </c>
      <c r="AE10" s="19">
        <v>0</v>
      </c>
      <c r="AF10" s="19">
        <v>0</v>
      </c>
      <c r="AG10" s="19"/>
      <c r="AH10" s="19">
        <v>0</v>
      </c>
      <c r="AI10" s="19">
        <v>0</v>
      </c>
      <c r="AJ10" s="19">
        <v>0</v>
      </c>
      <c r="AK10" s="19">
        <f t="shared" si="0"/>
        <v>0</v>
      </c>
      <c r="AL10" s="19"/>
      <c r="AM10" s="19"/>
      <c r="AP10" s="19">
        <v>1</v>
      </c>
    </row>
    <row r="11" spans="1:42" ht="11.25" customHeight="1" x14ac:dyDescent="0.25">
      <c r="A11" s="119"/>
      <c r="B11" s="119"/>
      <c r="C11" s="119"/>
      <c r="D11" s="119"/>
      <c r="E11" s="119"/>
      <c r="F11" s="119"/>
      <c r="G11" s="21" t="s">
        <v>94</v>
      </c>
      <c r="H11" s="21" t="s">
        <v>88</v>
      </c>
      <c r="I11" s="21">
        <f>'MERCADO TUSD'!$U$8</f>
        <v>172728.277</v>
      </c>
      <c r="J11" s="17"/>
      <c r="L11" s="19">
        <v>0</v>
      </c>
      <c r="M11" s="19">
        <v>0</v>
      </c>
      <c r="N11" s="19">
        <v>0</v>
      </c>
      <c r="O11" s="19">
        <v>0</v>
      </c>
      <c r="P11" s="19">
        <v>0</v>
      </c>
      <c r="Q11" s="19">
        <v>0</v>
      </c>
      <c r="R11" s="19">
        <v>0</v>
      </c>
      <c r="S11" s="19">
        <v>0</v>
      </c>
      <c r="T11" s="19"/>
      <c r="U11" s="19">
        <f>TRANSICAO!$U$11*CUSTOS!$O$3</f>
        <v>0</v>
      </c>
      <c r="V11" s="19">
        <f>TRANSICAO!$V$11*CUSTOS!$O$3</f>
        <v>0</v>
      </c>
      <c r="W11" s="19">
        <f>TRANSICAO!$W$11*CUSTOS!$O$3</f>
        <v>0</v>
      </c>
      <c r="X11" s="19">
        <f>TRANSICAO!$X$11*CUSTOS!$O$3</f>
        <v>0</v>
      </c>
      <c r="Y11" s="19">
        <f>TRANSICAO!$Y$11*CUSTOS!$O$3</f>
        <v>0</v>
      </c>
      <c r="Z11" s="19">
        <f>TRANSICAO!$Z$11*CUSTOS!$O$3</f>
        <v>0</v>
      </c>
      <c r="AA11" s="19">
        <f>TRANSICAO!$AA$11*CUSTOS!$O$3</f>
        <v>0</v>
      </c>
      <c r="AB11" s="19">
        <f>TRANSICAO!$AB$11*CUSTOS!$O$3</f>
        <v>0</v>
      </c>
      <c r="AC11" s="19">
        <f>TRANSICAO!$AC$11*CUSTOS!$O$3</f>
        <v>0</v>
      </c>
      <c r="AD11" s="19">
        <f>TRANSICAO!$AD$11*CUSTOS!$O$3</f>
        <v>0</v>
      </c>
      <c r="AE11" s="19">
        <v>0</v>
      </c>
      <c r="AF11" s="19">
        <v>0</v>
      </c>
      <c r="AG11" s="19"/>
      <c r="AH11" s="19">
        <v>3.1667000000000001</v>
      </c>
      <c r="AI11" s="19">
        <v>3.1667000000000001</v>
      </c>
      <c r="AJ11" s="19">
        <v>0</v>
      </c>
      <c r="AK11" s="19">
        <f t="shared" si="0"/>
        <v>0</v>
      </c>
      <c r="AL11" s="19"/>
      <c r="AM11" s="19"/>
      <c r="AP11" s="19">
        <v>1</v>
      </c>
    </row>
    <row r="12" spans="1:42" ht="11.25" customHeight="1" x14ac:dyDescent="0.25">
      <c r="A12" s="119"/>
      <c r="B12" s="119" t="s">
        <v>64</v>
      </c>
      <c r="C12" s="119" t="s">
        <v>25</v>
      </c>
      <c r="D12" s="119" t="s">
        <v>25</v>
      </c>
      <c r="E12" s="119" t="s">
        <v>25</v>
      </c>
      <c r="F12" s="22" t="s">
        <v>70</v>
      </c>
      <c r="G12" s="21" t="s">
        <v>9</v>
      </c>
      <c r="H12" s="21" t="s">
        <v>91</v>
      </c>
      <c r="I12" s="21">
        <f>'MERCADO TUSD'!$U$9</f>
        <v>1494000</v>
      </c>
      <c r="J12" s="17"/>
      <c r="L12" s="19">
        <v>0</v>
      </c>
      <c r="M12" s="19">
        <v>8.3599999999999994E-2</v>
      </c>
      <c r="N12" s="19">
        <f>0.211</f>
        <v>0.21099999999999999</v>
      </c>
      <c r="O12" s="19">
        <v>0</v>
      </c>
      <c r="P12" s="19">
        <v>0</v>
      </c>
      <c r="Q12" s="19">
        <v>0</v>
      </c>
      <c r="R12" s="19">
        <v>0</v>
      </c>
      <c r="S12" s="19">
        <v>0</v>
      </c>
      <c r="T12" s="19"/>
      <c r="U12" s="19">
        <f>TRANSICAO!$U$12*CUSTOS!$O$4</f>
        <v>0</v>
      </c>
      <c r="V12" s="19">
        <f>TRANSICAO!$V$12*CUSTOS!$O$4</f>
        <v>0.63390000000000002</v>
      </c>
      <c r="W12" s="19">
        <f>TRANSICAO!$W$12*CUSTOS!$O$4</f>
        <v>5.04E-2</v>
      </c>
      <c r="X12" s="19">
        <f>TRANSICAO!$X$12*CUSTOS!$O$4</f>
        <v>0</v>
      </c>
      <c r="Y12" s="19">
        <f>TRANSICAO!$Y$12*CUSTOS!$O$4</f>
        <v>0</v>
      </c>
      <c r="Z12" s="19">
        <f>TRANSICAO!$Z$12*CUSTOS!$O$4</f>
        <v>0</v>
      </c>
      <c r="AA12" s="19">
        <f>TRANSICAO!$AA$12*CUSTOS!$O$4</f>
        <v>0.30480000000000002</v>
      </c>
      <c r="AB12" s="19">
        <f>TRANSICAO!$AB$12*CUSTOS!$O$4</f>
        <v>0</v>
      </c>
      <c r="AC12" s="19">
        <f>TRANSICAO!$AC$12*CUSTOS!$O$4</f>
        <v>2.2879</v>
      </c>
      <c r="AD12" s="19">
        <f>TRANSICAO!$AD$12*CUSTOS!$O$4</f>
        <v>0</v>
      </c>
      <c r="AE12" s="19">
        <v>0</v>
      </c>
      <c r="AF12" s="19">
        <v>0</v>
      </c>
      <c r="AG12" s="19"/>
      <c r="AH12" s="19">
        <v>0</v>
      </c>
      <c r="AI12" s="19">
        <v>0</v>
      </c>
      <c r="AJ12" s="19">
        <v>0</v>
      </c>
      <c r="AK12" s="19">
        <f t="shared" si="0"/>
        <v>0</v>
      </c>
      <c r="AL12" s="19"/>
      <c r="AM12" s="19"/>
      <c r="AP12" s="19"/>
    </row>
    <row r="13" spans="1:42" ht="11.25" customHeight="1" x14ac:dyDescent="0.25">
      <c r="A13" s="119"/>
      <c r="B13" s="119"/>
      <c r="C13" s="119"/>
      <c r="D13" s="119"/>
      <c r="E13" s="119"/>
      <c r="F13" s="22" t="s">
        <v>71</v>
      </c>
      <c r="G13" s="21" t="s">
        <v>9</v>
      </c>
      <c r="H13" s="21" t="s">
        <v>91</v>
      </c>
      <c r="I13" s="21">
        <f>'MERCADO TUSD'!$U$10</f>
        <v>1038000</v>
      </c>
      <c r="J13" s="17"/>
      <c r="L13" s="19">
        <v>0</v>
      </c>
      <c r="M13" s="19">
        <v>7.2400000000000006E-2</v>
      </c>
      <c r="N13" s="19">
        <f>0.1828</f>
        <v>0.18279999999999999</v>
      </c>
      <c r="O13" s="19">
        <v>0</v>
      </c>
      <c r="P13" s="19">
        <v>0</v>
      </c>
      <c r="Q13" s="19">
        <v>0</v>
      </c>
      <c r="R13" s="19">
        <v>0</v>
      </c>
      <c r="S13" s="19">
        <v>0</v>
      </c>
      <c r="T13" s="19"/>
      <c r="U13" s="19">
        <f>TRANSICAO!$U$13*CUSTOS!$O$4</f>
        <v>0</v>
      </c>
      <c r="V13" s="19">
        <f>TRANSICAO!$V$13*CUSTOS!$O$4</f>
        <v>0.54900000000000004</v>
      </c>
      <c r="W13" s="19">
        <f>TRANSICAO!$W$13*CUSTOS!$O$4</f>
        <v>4.3700000000000003E-2</v>
      </c>
      <c r="X13" s="19">
        <f>TRANSICAO!$X$13*CUSTOS!$O$4</f>
        <v>0</v>
      </c>
      <c r="Y13" s="19">
        <f>TRANSICAO!$Y$13*CUSTOS!$O$4</f>
        <v>0</v>
      </c>
      <c r="Z13" s="19">
        <f>TRANSICAO!$Z$13*CUSTOS!$O$4</f>
        <v>0</v>
      </c>
      <c r="AA13" s="19">
        <f>TRANSICAO!$AA$13*CUSTOS!$O$4</f>
        <v>0.30480000000000002</v>
      </c>
      <c r="AB13" s="19">
        <f>TRANSICAO!$AB$13*CUSTOS!$O$4</f>
        <v>0</v>
      </c>
      <c r="AC13" s="19">
        <f>TRANSICAO!$AC$13*CUSTOS!$O$4</f>
        <v>1.9815</v>
      </c>
      <c r="AD13" s="19">
        <f>TRANSICAO!$AD$13*CUSTOS!$O$4</f>
        <v>0</v>
      </c>
      <c r="AE13" s="19">
        <v>0</v>
      </c>
      <c r="AF13" s="19">
        <v>0</v>
      </c>
      <c r="AG13" s="19"/>
      <c r="AH13" s="19">
        <v>0</v>
      </c>
      <c r="AI13" s="19">
        <v>0</v>
      </c>
      <c r="AJ13" s="19">
        <v>0</v>
      </c>
      <c r="AK13" s="19">
        <f t="shared" si="0"/>
        <v>0</v>
      </c>
      <c r="AL13" s="19"/>
      <c r="AM13" s="19"/>
      <c r="AP13" s="19"/>
    </row>
    <row r="14" spans="1:42" ht="11.25" customHeight="1" x14ac:dyDescent="0.25">
      <c r="A14" s="119"/>
      <c r="B14" s="119"/>
      <c r="C14" s="119"/>
      <c r="D14" s="119"/>
      <c r="E14" s="119"/>
      <c r="F14" s="22" t="s">
        <v>95</v>
      </c>
      <c r="G14" s="21" t="s">
        <v>9</v>
      </c>
      <c r="H14" s="21" t="s">
        <v>91</v>
      </c>
      <c r="I14" s="21">
        <f>'MERCADO TUSD'!$U$11</f>
        <v>0</v>
      </c>
      <c r="J14" s="17"/>
      <c r="L14" s="19">
        <v>0</v>
      </c>
      <c r="M14" s="19">
        <v>0.1046</v>
      </c>
      <c r="N14" s="19">
        <f>0.2642</f>
        <v>0.26419999999999999</v>
      </c>
      <c r="O14" s="19">
        <v>0</v>
      </c>
      <c r="P14" s="19">
        <v>0</v>
      </c>
      <c r="Q14" s="19">
        <v>0</v>
      </c>
      <c r="R14" s="19">
        <v>0</v>
      </c>
      <c r="S14" s="19">
        <v>0</v>
      </c>
      <c r="T14" s="19"/>
      <c r="U14" s="19">
        <f>TRANSICAO!$U$14*CUSTOS!$O$4</f>
        <v>0</v>
      </c>
      <c r="V14" s="19">
        <f>TRANSICAO!$V$14*CUSTOS!$O$4</f>
        <v>0.18029999999999999</v>
      </c>
      <c r="W14" s="19">
        <f>TRANSICAO!$W$14*CUSTOS!$O$4</f>
        <v>0</v>
      </c>
      <c r="X14" s="19">
        <f>TRANSICAO!$X$14*CUSTOS!$O$4</f>
        <v>0</v>
      </c>
      <c r="Y14" s="19">
        <f>TRANSICAO!$Y$14*CUSTOS!$O$4</f>
        <v>0</v>
      </c>
      <c r="Z14" s="19">
        <f>TRANSICAO!$Z$14*CUSTOS!$O$4</f>
        <v>0</v>
      </c>
      <c r="AA14" s="19">
        <f>TRANSICAO!$AA$14*CUSTOS!$O$4</f>
        <v>0</v>
      </c>
      <c r="AB14" s="19">
        <f>TRANSICAO!$AB$14*CUSTOS!$O$4</f>
        <v>0</v>
      </c>
      <c r="AC14" s="19">
        <f>TRANSICAO!$AC$14*CUSTOS!$O$4</f>
        <v>2.8157999999999999</v>
      </c>
      <c r="AD14" s="19">
        <f>TRANSICAO!$AD$14*CUSTOS!$O$4</f>
        <v>0</v>
      </c>
      <c r="AE14" s="19">
        <v>0</v>
      </c>
      <c r="AF14" s="19">
        <v>0</v>
      </c>
      <c r="AG14" s="19"/>
      <c r="AH14" s="19">
        <v>0</v>
      </c>
      <c r="AI14" s="19">
        <v>0</v>
      </c>
      <c r="AJ14" s="19">
        <v>0</v>
      </c>
      <c r="AK14" s="19">
        <f t="shared" si="0"/>
        <v>0</v>
      </c>
      <c r="AL14" s="19"/>
      <c r="AM14" s="19"/>
      <c r="AP14" s="19"/>
    </row>
    <row r="15" spans="1:42" ht="11.25" customHeight="1" x14ac:dyDescent="0.25">
      <c r="A15" s="119" t="s">
        <v>45</v>
      </c>
      <c r="B15" s="119" t="s">
        <v>41</v>
      </c>
      <c r="C15" s="119" t="s">
        <v>25</v>
      </c>
      <c r="D15" s="119" t="s">
        <v>25</v>
      </c>
      <c r="E15" s="119" t="s">
        <v>25</v>
      </c>
      <c r="F15" s="119" t="s">
        <v>25</v>
      </c>
      <c r="G15" s="21" t="s">
        <v>92</v>
      </c>
      <c r="H15" s="21" t="s">
        <v>91</v>
      </c>
      <c r="I15" s="21">
        <f>'MERCADO TUSD'!$U$12</f>
        <v>85943</v>
      </c>
      <c r="J15" s="17"/>
      <c r="L15" s="19">
        <v>0</v>
      </c>
      <c r="M15" s="19">
        <v>0</v>
      </c>
      <c r="N15" s="19">
        <v>0</v>
      </c>
      <c r="O15" s="19">
        <v>0</v>
      </c>
      <c r="P15" s="19">
        <v>0</v>
      </c>
      <c r="Q15" s="19">
        <v>0</v>
      </c>
      <c r="R15" s="19">
        <v>0</v>
      </c>
      <c r="S15" s="19">
        <v>0</v>
      </c>
      <c r="T15" s="19"/>
      <c r="U15" s="19">
        <f>TRANSICAO!$U$15*CUSTOS!$Q$3</f>
        <v>1.2377</v>
      </c>
      <c r="V15" s="19">
        <f>TRANSICAO!$V$15*CUSTOS!$Q$3</f>
        <v>0.442</v>
      </c>
      <c r="W15" s="19">
        <f>TRANSICAO!$W$15*CUSTOS!$Q$3</f>
        <v>4.58E-2</v>
      </c>
      <c r="X15" s="19">
        <f>TRANSICAO!$X$15*CUSTOS!$Q$3</f>
        <v>0</v>
      </c>
      <c r="Y15" s="19">
        <f>TRANSICAO!$Y$15*CUSTOS!$Q$3</f>
        <v>0</v>
      </c>
      <c r="Z15" s="19">
        <f>TRANSICAO!$Z$15*CUSTOS!$Q$3</f>
        <v>0</v>
      </c>
      <c r="AA15" s="19">
        <f>TRANSICAO!$AA$15*CUSTOS!$Q$3</f>
        <v>0</v>
      </c>
      <c r="AB15" s="19">
        <f>TRANSICAO!$AB$15*CUSTOS!$Q$3</f>
        <v>0</v>
      </c>
      <c r="AC15" s="19">
        <f>TRANSICAO!$AC$15*CUSTOS!$Q$3</f>
        <v>14.5433</v>
      </c>
      <c r="AD15" s="19">
        <f>TRANSICAO!$AD$15*CUSTOS!$Q$3</f>
        <v>0</v>
      </c>
      <c r="AE15" s="19">
        <v>0</v>
      </c>
      <c r="AF15" s="19">
        <v>0</v>
      </c>
      <c r="AG15" s="19"/>
      <c r="AH15" s="19">
        <v>0</v>
      </c>
      <c r="AI15" s="19">
        <v>0</v>
      </c>
      <c r="AJ15" s="19">
        <v>0</v>
      </c>
      <c r="AK15" s="19">
        <f t="shared" si="0"/>
        <v>0</v>
      </c>
      <c r="AL15" s="19"/>
      <c r="AM15" s="19"/>
      <c r="AP15" s="19">
        <v>1</v>
      </c>
    </row>
    <row r="16" spans="1:42" ht="11.25" customHeight="1" x14ac:dyDescent="0.25">
      <c r="A16" s="119"/>
      <c r="B16" s="119"/>
      <c r="C16" s="119"/>
      <c r="D16" s="119"/>
      <c r="E16" s="119"/>
      <c r="F16" s="119"/>
      <c r="G16" s="21" t="s">
        <v>93</v>
      </c>
      <c r="H16" s="21" t="s">
        <v>91</v>
      </c>
      <c r="I16" s="21">
        <f>'MERCADO TUSD'!$U$13</f>
        <v>99179</v>
      </c>
      <c r="J16" s="17"/>
      <c r="L16" s="19">
        <v>0</v>
      </c>
      <c r="M16" s="19">
        <v>0</v>
      </c>
      <c r="N16" s="19">
        <v>0</v>
      </c>
      <c r="O16" s="19">
        <v>0</v>
      </c>
      <c r="P16" s="19">
        <v>0</v>
      </c>
      <c r="Q16" s="19">
        <v>0</v>
      </c>
      <c r="R16" s="19">
        <v>0</v>
      </c>
      <c r="S16" s="19">
        <v>0</v>
      </c>
      <c r="T16" s="19"/>
      <c r="U16" s="19">
        <f>TRANSICAO!$U$16*CUSTOS!$Q$3</f>
        <v>0.80900000000000005</v>
      </c>
      <c r="V16" s="19">
        <f>TRANSICAO!$V$16*CUSTOS!$Q$3</f>
        <v>0.31440000000000001</v>
      </c>
      <c r="W16" s="19">
        <f>TRANSICAO!$W$16*CUSTOS!$Q$3</f>
        <v>2.93E-2</v>
      </c>
      <c r="X16" s="19">
        <f>TRANSICAO!$X$16*CUSTOS!$Q$3</f>
        <v>0</v>
      </c>
      <c r="Y16" s="19">
        <f>TRANSICAO!$Y$16*CUSTOS!$Q$3</f>
        <v>0</v>
      </c>
      <c r="Z16" s="19">
        <f>TRANSICAO!$Z$16*CUSTOS!$Q$3</f>
        <v>0</v>
      </c>
      <c r="AA16" s="19">
        <f>TRANSICAO!$AA$16*CUSTOS!$Q$3</f>
        <v>0</v>
      </c>
      <c r="AB16" s="19">
        <f>TRANSICAO!$AB$16*CUSTOS!$Q$3</f>
        <v>0</v>
      </c>
      <c r="AC16" s="19">
        <f>TRANSICAO!$AC$16*CUSTOS!$Q$3</f>
        <v>3.8843999999999999</v>
      </c>
      <c r="AD16" s="19">
        <f>TRANSICAO!$AD$16*CUSTOS!$Q$3</f>
        <v>0</v>
      </c>
      <c r="AE16" s="19">
        <v>0</v>
      </c>
      <c r="AF16" s="19">
        <v>0</v>
      </c>
      <c r="AG16" s="19"/>
      <c r="AH16" s="19">
        <v>0</v>
      </c>
      <c r="AI16" s="19">
        <v>0</v>
      </c>
      <c r="AJ16" s="19">
        <v>0</v>
      </c>
      <c r="AK16" s="19">
        <f t="shared" si="0"/>
        <v>0</v>
      </c>
      <c r="AL16" s="19"/>
      <c r="AM16" s="19"/>
      <c r="AP16" s="19">
        <v>1</v>
      </c>
    </row>
    <row r="17" spans="1:42" ht="11.25" customHeight="1" x14ac:dyDescent="0.25">
      <c r="A17" s="119"/>
      <c r="B17" s="119"/>
      <c r="C17" s="119"/>
      <c r="D17" s="119"/>
      <c r="E17" s="119"/>
      <c r="F17" s="119"/>
      <c r="G17" s="21" t="s">
        <v>94</v>
      </c>
      <c r="H17" s="21" t="s">
        <v>88</v>
      </c>
      <c r="I17" s="21">
        <f>'MERCADO TUSD'!$U$14</f>
        <v>39203.405000000006</v>
      </c>
      <c r="J17" s="17"/>
      <c r="L17" s="19">
        <f>IF(AND((+$I$17+$I$18+$I$21+$I$22+$I$23+$I$24+$I$26+$I$29+$I$30+$I$33+$I$34+$I$35+$I$36+$I$38)&lt;&gt;0,SUMPRODUCT($I$5:$I$86,$AC$5:$AC$86,$AP$5:$AP$86)&lt;&gt;0),$L$91*SUMPRODUCT($I$15:$I$38,$AC$15:$AC$38,$AP$15:$AP$38)/SUMPRODUCT($I$5:$I$86,$AC$5:$AC$86,$AP$5:$AP$86)/(+$I$17+$I$18+$I$21+$I$22+$I$23+$I$24+$I$26+$I$29+$I$30+$I$33+$I$34+$I$35+$I$36+$I$38),0)</f>
        <v>0</v>
      </c>
      <c r="M17" s="19">
        <f>IF(AND((+$I$17+$I$18+$I$21+$I$22+$I$23+$I$24+$I$26+$I$29+$I$30+$I$33+$I$34+$I$35+$I$36+$I$38)&lt;&gt;0,SUMPRODUCT($I$5:$I$86,$AC$5:$AC$86,$AP$5:$AP$86)&lt;&gt;0),$M$91*SUMPRODUCT($I$15:$I$38,$AC$15:$AC$38,$AP$15:$AP$38)/SUMPRODUCT($I$5:$I$86,$AC$5:$AC$86,$AP$5:$AP$86)/(+$I$17+$I$18+$I$21+$I$22+$I$23+$I$24+$I$26+$I$29+$I$30+$I$33+$I$34+$I$35+$I$36+$I$38),0)</f>
        <v>0.22978443226570669</v>
      </c>
      <c r="N17" s="19">
        <f ca="1">(+M17+O17+R17+U17+V17+W17+X17+Y17+Z17+AA17+AC17+AH17+AI17+AJ17+AK17)*CUSTOS!$M$5</f>
        <v>0.3256824333601413</v>
      </c>
      <c r="O17" s="19">
        <v>1</v>
      </c>
      <c r="P17" s="19">
        <v>1</v>
      </c>
      <c r="Q17" s="19">
        <f>0.89</f>
        <v>0.89</v>
      </c>
      <c r="R17" s="19">
        <v>1</v>
      </c>
      <c r="S17" s="19">
        <v>1</v>
      </c>
      <c r="T17" s="19"/>
      <c r="U17" s="19">
        <f>TRANSICAO!$U$17*CUSTOS!$Q$3</f>
        <v>0</v>
      </c>
      <c r="V17" s="19">
        <f>TRANSICAO!$V$17*CUSTOS!$Q$3</f>
        <v>0</v>
      </c>
      <c r="W17" s="19">
        <f>TRANSICAO!$W$17*CUSTOS!$Q$3</f>
        <v>0</v>
      </c>
      <c r="X17" s="19">
        <f>TRANSICAO!$X$17*CUSTOS!$Q$3</f>
        <v>0</v>
      </c>
      <c r="Y17" s="19">
        <f>TRANSICAO!$Y$17*CUSTOS!$Q$3</f>
        <v>0</v>
      </c>
      <c r="Z17" s="19">
        <f>TRANSICAO!$Z$17*CUSTOS!$Q$3</f>
        <v>0</v>
      </c>
      <c r="AA17" s="19">
        <f>TRANSICAO!$AA$17*CUSTOS!$Q$3</f>
        <v>0</v>
      </c>
      <c r="AB17" s="19">
        <f>TRANSICAO!$AB$17*CUSTOS!$Q$3</f>
        <v>0</v>
      </c>
      <c r="AC17" s="19">
        <f>TRANSICAO!$AC$17*CUSTOS!$Q$3</f>
        <v>0</v>
      </c>
      <c r="AD17" s="19">
        <f>TRANSICAO!$AD$17*CUSTOS!$Q$3</f>
        <v>0</v>
      </c>
      <c r="AE17" s="19">
        <v>0</v>
      </c>
      <c r="AF17" s="19">
        <v>0</v>
      </c>
      <c r="AG17" s="19"/>
      <c r="AH17" s="19">
        <v>8.1699000000000002</v>
      </c>
      <c r="AI17" s="19">
        <v>8.1699000000000002</v>
      </c>
      <c r="AJ17" s="19">
        <f ca="1">$N$99</f>
        <v>6.9993294518742095</v>
      </c>
      <c r="AK17" s="19">
        <f t="shared" ca="1" si="0"/>
        <v>6.9993294518742095</v>
      </c>
      <c r="AL17" s="19"/>
      <c r="AM17" s="19"/>
      <c r="AP17" s="19">
        <v>1</v>
      </c>
    </row>
    <row r="18" spans="1:42" ht="11.25" customHeight="1" x14ac:dyDescent="0.25">
      <c r="A18" s="119"/>
      <c r="B18" s="119"/>
      <c r="C18" s="119"/>
      <c r="D18" s="119"/>
      <c r="E18" s="22" t="s">
        <v>61</v>
      </c>
      <c r="F18" s="22" t="s">
        <v>25</v>
      </c>
      <c r="G18" s="21" t="s">
        <v>94</v>
      </c>
      <c r="H18" s="21" t="s">
        <v>88</v>
      </c>
      <c r="I18" s="21">
        <f>'MERCADO TUSD'!$U$15</f>
        <v>0</v>
      </c>
      <c r="J18" s="17"/>
      <c r="L18" s="19">
        <f>IF(AND((+$I$17+$I$18+$I$21+$I$22+$I$23+$I$24+$I$26+$I$29+$I$30+$I$33+$I$34+$I$35+$I$36+$I$38)&lt;&gt;0,SUMPRODUCT($I$5:$I$86,$AC$5:$AC$86,$AP$5:$AP$86)&lt;&gt;0),$L$91*SUMPRODUCT($I$15:$I$38,$AC$15:$AC$38,$AP$15:$AP$38)/SUMPRODUCT($I$5:$I$86,$AC$5:$AC$86,$AP$5:$AP$86)/(+$I$17+$I$18+$I$21+$I$22+$I$23+$I$24+$I$26+$I$29+$I$30+$I$33+$I$34+$I$35+$I$36+$I$38),0)</f>
        <v>0</v>
      </c>
      <c r="M18" s="19">
        <f>IF(AND((+$I$17+$I$18+$I$21+$I$22+$I$23+$I$24+$I$26+$I$29+$I$30+$I$33+$I$34+$I$35+$I$36+$I$38)&lt;&gt;0,SUMPRODUCT($I$5:$I$86,$AC$5:$AC$86,$AP$5:$AP$86)&lt;&gt;0),$M$91*SUMPRODUCT($I$15:$I$38,$AC$15:$AC$38,$AP$15:$AP$38)/SUMPRODUCT($I$5:$I$86,$AC$5:$AC$86,$AP$5:$AP$86)/(+$I$17+$I$18+$I$21+$I$22+$I$23+$I$24+$I$26+$I$29+$I$30+$I$33+$I$34+$I$35+$I$36+$I$38),0)</f>
        <v>0.22978443226570669</v>
      </c>
      <c r="N18" s="19">
        <f ca="1">(+M18+O18+R18+U18+V18+W18+X18+Y18+Z18+AA18+AC18+AH18+AI18+AJ18+AK18)*CUSTOS!$M$5</f>
        <v>0.31568243336014129</v>
      </c>
      <c r="O18" s="19">
        <v>1</v>
      </c>
      <c r="P18" s="19">
        <v>0</v>
      </c>
      <c r="Q18" s="19">
        <v>0</v>
      </c>
      <c r="R18" s="19">
        <v>0</v>
      </c>
      <c r="S18" s="19">
        <v>0</v>
      </c>
      <c r="T18" s="19"/>
      <c r="U18" s="19">
        <f>TRANSICAO!$U$18*CUSTOS!$Q$3</f>
        <v>0</v>
      </c>
      <c r="V18" s="19">
        <f>TRANSICAO!$V$18*CUSTOS!$Q$3</f>
        <v>0</v>
      </c>
      <c r="W18" s="19">
        <f>TRANSICAO!$W$18*CUSTOS!$Q$3</f>
        <v>0</v>
      </c>
      <c r="X18" s="19">
        <f>TRANSICAO!$X$18*CUSTOS!$Q$3</f>
        <v>0</v>
      </c>
      <c r="Y18" s="19">
        <f>TRANSICAO!$Y$18*CUSTOS!$Q$3</f>
        <v>0</v>
      </c>
      <c r="Z18" s="19">
        <f>TRANSICAO!$Z$18*CUSTOS!$Q$3</f>
        <v>0</v>
      </c>
      <c r="AA18" s="19">
        <f>TRANSICAO!$AA$18*CUSTOS!$Q$3</f>
        <v>0</v>
      </c>
      <c r="AB18" s="19">
        <f>TRANSICAO!$AB$18*CUSTOS!$Q$3</f>
        <v>0</v>
      </c>
      <c r="AC18" s="19">
        <f>TRANSICAO!$AC$18*CUSTOS!$Q$3</f>
        <v>0</v>
      </c>
      <c r="AD18" s="19">
        <f>TRANSICAO!$AD$18*CUSTOS!$Q$3</f>
        <v>0</v>
      </c>
      <c r="AE18" s="19">
        <v>0</v>
      </c>
      <c r="AF18" s="19">
        <v>0</v>
      </c>
      <c r="AG18" s="19"/>
      <c r="AH18" s="19">
        <v>8.1699000000000002</v>
      </c>
      <c r="AI18" s="19">
        <v>8.1699000000000002</v>
      </c>
      <c r="AJ18" s="19">
        <f ca="1">$N$99</f>
        <v>6.9993294518742095</v>
      </c>
      <c r="AK18" s="19">
        <f t="shared" ca="1" si="0"/>
        <v>6.9993294518742095</v>
      </c>
      <c r="AL18" s="19"/>
      <c r="AM18" s="19"/>
      <c r="AP18" s="19">
        <v>1</v>
      </c>
    </row>
    <row r="19" spans="1:42" ht="11.25" customHeight="1" x14ac:dyDescent="0.25">
      <c r="A19" s="119"/>
      <c r="B19" s="22" t="s">
        <v>64</v>
      </c>
      <c r="C19" s="22" t="s">
        <v>25</v>
      </c>
      <c r="D19" s="22" t="s">
        <v>25</v>
      </c>
      <c r="E19" s="22" t="s">
        <v>25</v>
      </c>
      <c r="F19" s="22" t="s">
        <v>25</v>
      </c>
      <c r="G19" s="21" t="s">
        <v>9</v>
      </c>
      <c r="H19" s="21" t="s">
        <v>91</v>
      </c>
      <c r="I19" s="21">
        <f>'MERCADO TUSD'!$U$16</f>
        <v>288000</v>
      </c>
      <c r="J19" s="17"/>
      <c r="L19" s="19">
        <v>0</v>
      </c>
      <c r="M19" s="19">
        <v>1.2699999999999999E-2</v>
      </c>
      <c r="N19" s="19">
        <f>0.0319</f>
        <v>3.1899999999999998E-2</v>
      </c>
      <c r="O19" s="19">
        <v>0</v>
      </c>
      <c r="P19" s="19">
        <v>0</v>
      </c>
      <c r="Q19" s="19">
        <v>0</v>
      </c>
      <c r="R19" s="19">
        <v>0</v>
      </c>
      <c r="S19" s="19">
        <v>0</v>
      </c>
      <c r="T19" s="19"/>
      <c r="U19" s="19">
        <f>TRANSICAO!$U$19*CUSTOS!$Q$4</f>
        <v>0</v>
      </c>
      <c r="V19" s="19">
        <f>TRANSICAO!$V$19*CUSTOS!$Q$4</f>
        <v>0</v>
      </c>
      <c r="W19" s="19">
        <f>TRANSICAO!$W$19*CUSTOS!$Q$4</f>
        <v>0</v>
      </c>
      <c r="X19" s="19">
        <f>TRANSICAO!$X$19*CUSTOS!$Q$4</f>
        <v>0</v>
      </c>
      <c r="Y19" s="19">
        <f>TRANSICAO!$Y$19*CUSTOS!$Q$4</f>
        <v>0</v>
      </c>
      <c r="Z19" s="19">
        <f>TRANSICAO!$Z$19*CUSTOS!$Q$4</f>
        <v>0</v>
      </c>
      <c r="AA19" s="19">
        <f>TRANSICAO!$AA$19*CUSTOS!$Q$4</f>
        <v>0</v>
      </c>
      <c r="AB19" s="19">
        <f>TRANSICAO!$AB$19*CUSTOS!$Q$4</f>
        <v>0</v>
      </c>
      <c r="AC19" s="19">
        <f>TRANSICAO!$AC$19*CUSTOS!$Q$4</f>
        <v>3.1753</v>
      </c>
      <c r="AD19" s="19">
        <f>TRANSICAO!$AD$19*CUSTOS!$Q$4</f>
        <v>0</v>
      </c>
      <c r="AE19" s="19">
        <v>0</v>
      </c>
      <c r="AF19" s="19">
        <v>0</v>
      </c>
      <c r="AG19" s="19"/>
      <c r="AH19" s="19">
        <v>1.1000000000000001E-3</v>
      </c>
      <c r="AI19" s="19">
        <v>0</v>
      </c>
      <c r="AJ19" s="19">
        <v>0</v>
      </c>
      <c r="AK19" s="19">
        <f t="shared" si="0"/>
        <v>0</v>
      </c>
      <c r="AL19" s="19"/>
      <c r="AM19" s="19"/>
      <c r="AP19" s="19"/>
    </row>
    <row r="20" spans="1:42" ht="11.25" customHeight="1" x14ac:dyDescent="0.25">
      <c r="A20" s="119"/>
      <c r="B20" s="119" t="s">
        <v>34</v>
      </c>
      <c r="C20" s="119" t="s">
        <v>25</v>
      </c>
      <c r="D20" s="119" t="s">
        <v>25</v>
      </c>
      <c r="E20" s="119" t="s">
        <v>25</v>
      </c>
      <c r="F20" s="119" t="s">
        <v>25</v>
      </c>
      <c r="G20" s="21" t="s">
        <v>9</v>
      </c>
      <c r="H20" s="21" t="s">
        <v>91</v>
      </c>
      <c r="I20" s="21">
        <f>'MERCADO TUSD'!$U$17</f>
        <v>25668</v>
      </c>
      <c r="J20" s="17"/>
      <c r="L20" s="19">
        <v>0</v>
      </c>
      <c r="M20" s="19">
        <v>0</v>
      </c>
      <c r="N20" s="19">
        <v>0</v>
      </c>
      <c r="O20" s="19">
        <v>0</v>
      </c>
      <c r="P20" s="19">
        <v>0</v>
      </c>
      <c r="Q20" s="19">
        <v>0</v>
      </c>
      <c r="R20" s="19">
        <v>0</v>
      </c>
      <c r="S20" s="19">
        <v>0</v>
      </c>
      <c r="T20" s="19"/>
      <c r="U20" s="19">
        <f>TRANSICAO!$U$20*CUSTOS!$Q$3</f>
        <v>0.80900000000000005</v>
      </c>
      <c r="V20" s="19">
        <f>TRANSICAO!$V$20*CUSTOS!$Q$3</f>
        <v>0.31440000000000001</v>
      </c>
      <c r="W20" s="19">
        <f>TRANSICAO!$W$20*CUSTOS!$Q$3</f>
        <v>2.93E-2</v>
      </c>
      <c r="X20" s="19">
        <f>TRANSICAO!$X$20*CUSTOS!$Q$3</f>
        <v>0</v>
      </c>
      <c r="Y20" s="19">
        <f>TRANSICAO!$Y$20*CUSTOS!$Q$3</f>
        <v>0</v>
      </c>
      <c r="Z20" s="19">
        <f>TRANSICAO!$Z$20*CUSTOS!$Q$3</f>
        <v>0</v>
      </c>
      <c r="AA20" s="19">
        <f>TRANSICAO!$AA$20*CUSTOS!$Q$3</f>
        <v>0</v>
      </c>
      <c r="AB20" s="19">
        <f>TRANSICAO!$AB$20*CUSTOS!$Q$3</f>
        <v>0</v>
      </c>
      <c r="AC20" s="19">
        <f>TRANSICAO!$AC$20*CUSTOS!$Q$3</f>
        <v>3.8843999999999999</v>
      </c>
      <c r="AD20" s="19">
        <f>TRANSICAO!$AD$20*CUSTOS!$Q$3</f>
        <v>0</v>
      </c>
      <c r="AE20" s="19">
        <v>0</v>
      </c>
      <c r="AF20" s="19">
        <v>0</v>
      </c>
      <c r="AG20" s="19"/>
      <c r="AH20" s="19">
        <v>0</v>
      </c>
      <c r="AI20" s="19">
        <v>0</v>
      </c>
      <c r="AJ20" s="19">
        <v>0</v>
      </c>
      <c r="AK20" s="19">
        <f t="shared" si="0"/>
        <v>0</v>
      </c>
      <c r="AL20" s="19"/>
      <c r="AM20" s="19"/>
      <c r="AP20" s="19">
        <v>1</v>
      </c>
    </row>
    <row r="21" spans="1:42" ht="11.25" customHeight="1" x14ac:dyDescent="0.25">
      <c r="A21" s="119"/>
      <c r="B21" s="119"/>
      <c r="C21" s="119"/>
      <c r="D21" s="119"/>
      <c r="E21" s="119"/>
      <c r="F21" s="119"/>
      <c r="G21" s="21" t="s">
        <v>89</v>
      </c>
      <c r="H21" s="21" t="s">
        <v>88</v>
      </c>
      <c r="I21" s="21">
        <f>'MERCADO TUSD'!$U$18</f>
        <v>791.82199999999989</v>
      </c>
      <c r="J21" s="17"/>
      <c r="L21" s="19">
        <f>IF(AND((+$I$17+$I$18+$I$21+$I$22+$I$23+$I$24+$I$26+$I$29+$I$30+$I$33+$I$34+$I$35+$I$36+$I$38)&lt;&gt;0,SUMPRODUCT($I$5:$I$86,$AC$5:$AC$86,$AP$5:$AP$86)&lt;&gt;0),$L$91*SUMPRODUCT($I$15:$I$38,$AC$15:$AC$38,$AP$15:$AP$38)/SUMPRODUCT($I$5:$I$86,$AC$5:$AC$86,$AP$5:$AP$86)/(+$I$17+$I$18+$I$21+$I$22+$I$23+$I$24+$I$26+$I$29+$I$30+$I$33+$I$34+$I$35+$I$36+$I$38),0)</f>
        <v>0</v>
      </c>
      <c r="M21" s="19">
        <f>IF(AND((+$I$17+$I$18+$I$21+$I$22+$I$23+$I$24+$I$26+$I$29+$I$30+$I$33+$I$34+$I$35+$I$36+$I$38)&lt;&gt;0,SUMPRODUCT($I$5:$I$86,$AC$5:$AC$86,$AP$5:$AP$86)&lt;&gt;0),$M$91*SUMPRODUCT($I$15:$I$38,$AC$15:$AC$38,$AP$15:$AP$38)/SUMPRODUCT($I$5:$I$86,$AC$5:$AC$86,$AP$5:$AP$86)/(+$I$17+$I$18+$I$21+$I$22+$I$23+$I$24+$I$26+$I$29+$I$30+$I$33+$I$34+$I$35+$I$36+$I$38),0)</f>
        <v>0.22978443226570669</v>
      </c>
      <c r="N21" s="19">
        <f ca="1">(+M21+O21+R21+U21+V21+W21+X21+Y21+Z21+AA21+AC21+AH21+AI21+AJ21+AK21)*CUSTOS!$M$5</f>
        <v>4.2383384333601404</v>
      </c>
      <c r="O21" s="19">
        <v>1</v>
      </c>
      <c r="P21" s="19">
        <v>1</v>
      </c>
      <c r="Q21" s="19">
        <f>0.89</f>
        <v>0.89</v>
      </c>
      <c r="R21" s="19">
        <v>1</v>
      </c>
      <c r="S21" s="19">
        <v>1</v>
      </c>
      <c r="T21" s="19"/>
      <c r="U21" s="19">
        <f>TRANSICAO!$U$21*CUSTOS!$Q$3</f>
        <v>29.767099999999999</v>
      </c>
      <c r="V21" s="19">
        <f>TRANSICAO!$V$21*CUSTOS!$Q$3</f>
        <v>10.6302</v>
      </c>
      <c r="W21" s="19">
        <f>TRANSICAO!$W$21*CUSTOS!$Q$3</f>
        <v>1.1009</v>
      </c>
      <c r="X21" s="19">
        <f>TRANSICAO!$X$21*CUSTOS!$Q$3</f>
        <v>0</v>
      </c>
      <c r="Y21" s="19">
        <f>TRANSICAO!$Y$21*CUSTOS!$Q$3</f>
        <v>0</v>
      </c>
      <c r="Z21" s="19">
        <f>TRANSICAO!$Z$21*CUSTOS!$Q$3</f>
        <v>0</v>
      </c>
      <c r="AA21" s="19">
        <f>TRANSICAO!$AA$21*CUSTOS!$Q$3</f>
        <v>0</v>
      </c>
      <c r="AB21" s="19">
        <f>TRANSICAO!$AB$21*CUSTOS!$Q$3</f>
        <v>0</v>
      </c>
      <c r="AC21" s="19">
        <f>TRANSICAO!$AC$21*CUSTOS!$Q$3</f>
        <v>349.76740000000001</v>
      </c>
      <c r="AD21" s="19">
        <f>TRANSICAO!$AD$21*CUSTOS!$Q$3</f>
        <v>0</v>
      </c>
      <c r="AE21" s="19">
        <v>0</v>
      </c>
      <c r="AF21" s="19">
        <v>0</v>
      </c>
      <c r="AG21" s="19"/>
      <c r="AH21" s="19">
        <v>8.1699000000000002</v>
      </c>
      <c r="AI21" s="19">
        <v>8.1699000000000002</v>
      </c>
      <c r="AJ21" s="19">
        <f ca="1">$N$99</f>
        <v>6.9993294518742095</v>
      </c>
      <c r="AK21" s="19">
        <f t="shared" ca="1" si="0"/>
        <v>6.9993294518742095</v>
      </c>
      <c r="AL21" s="19"/>
      <c r="AM21" s="19"/>
      <c r="AP21" s="19">
        <v>1</v>
      </c>
    </row>
    <row r="22" spans="1:42" ht="11.25" customHeight="1" x14ac:dyDescent="0.25">
      <c r="A22" s="119"/>
      <c r="B22" s="119"/>
      <c r="C22" s="119"/>
      <c r="D22" s="119"/>
      <c r="E22" s="119"/>
      <c r="F22" s="119"/>
      <c r="G22" s="21" t="s">
        <v>90</v>
      </c>
      <c r="H22" s="21" t="s">
        <v>88</v>
      </c>
      <c r="I22" s="21">
        <f>'MERCADO TUSD'!$U$19</f>
        <v>6790.7199999999993</v>
      </c>
      <c r="J22" s="17"/>
      <c r="L22" s="19">
        <f>IF(AND((+$I$17+$I$18+$I$21+$I$22+$I$23+$I$24+$I$26+$I$29+$I$30+$I$33+$I$34+$I$35+$I$36+$I$38)&lt;&gt;0,SUMPRODUCT($I$5:$I$86,$AC$5:$AC$86,$AP$5:$AP$86)&lt;&gt;0),$L$91*SUMPRODUCT($I$15:$I$38,$AC$15:$AC$38,$AP$15:$AP$38)/SUMPRODUCT($I$5:$I$86,$AC$5:$AC$86,$AP$5:$AP$86)/(+$I$17+$I$18+$I$21+$I$22+$I$23+$I$24+$I$26+$I$29+$I$30+$I$33+$I$34+$I$35+$I$36+$I$38),0)</f>
        <v>0</v>
      </c>
      <c r="M22" s="19">
        <f>IF(AND((+$I$17+$I$18+$I$21+$I$22+$I$23+$I$24+$I$26+$I$29+$I$30+$I$33+$I$34+$I$35+$I$36+$I$38)&lt;&gt;0,SUMPRODUCT($I$5:$I$86,$AC$5:$AC$86,$AP$5:$AP$86)&lt;&gt;0),$M$91*SUMPRODUCT($I$15:$I$38,$AC$15:$AC$38,$AP$15:$AP$38)/SUMPRODUCT($I$5:$I$86,$AC$5:$AC$86,$AP$5:$AP$86)/(+$I$17+$I$18+$I$21+$I$22+$I$23+$I$24+$I$26+$I$29+$I$30+$I$33+$I$34+$I$35+$I$36+$I$38),0)</f>
        <v>0.22978443226570669</v>
      </c>
      <c r="N22" s="19">
        <f ca="1">(+M22+O22+R22+U22+V22+W22+X22+Y22+Z22+AA22+AC22+AH22+AI22+AJ22+AK22)*CUSTOS!$M$5</f>
        <v>0.3256824333601413</v>
      </c>
      <c r="O22" s="19">
        <v>1</v>
      </c>
      <c r="P22" s="19">
        <v>1</v>
      </c>
      <c r="Q22" s="19">
        <f>0.89</f>
        <v>0.89</v>
      </c>
      <c r="R22" s="19">
        <v>1</v>
      </c>
      <c r="S22" s="19">
        <v>1</v>
      </c>
      <c r="T22" s="19"/>
      <c r="U22" s="19">
        <f>TRANSICAO!$U$22*CUSTOS!$Q$3</f>
        <v>0</v>
      </c>
      <c r="V22" s="19">
        <f>TRANSICAO!$V$22*CUSTOS!$Q$3</f>
        <v>0</v>
      </c>
      <c r="W22" s="19">
        <f>TRANSICAO!$W$22*CUSTOS!$Q$3</f>
        <v>0</v>
      </c>
      <c r="X22" s="19">
        <f>TRANSICAO!$X$22*CUSTOS!$Q$3</f>
        <v>0</v>
      </c>
      <c r="Y22" s="19">
        <f>TRANSICAO!$Y$22*CUSTOS!$Q$3</f>
        <v>0</v>
      </c>
      <c r="Z22" s="19">
        <f>TRANSICAO!$Z$22*CUSTOS!$Q$3</f>
        <v>0</v>
      </c>
      <c r="AA22" s="19">
        <f>TRANSICAO!$AA$22*CUSTOS!$Q$3</f>
        <v>0</v>
      </c>
      <c r="AB22" s="19">
        <f>TRANSICAO!$AB$22*CUSTOS!$Q$3</f>
        <v>0</v>
      </c>
      <c r="AC22" s="19">
        <f>TRANSICAO!$AC$22*CUSTOS!$Q$3</f>
        <v>0</v>
      </c>
      <c r="AD22" s="19">
        <f>TRANSICAO!$AD$22*CUSTOS!$Q$3</f>
        <v>0</v>
      </c>
      <c r="AE22" s="19">
        <v>0</v>
      </c>
      <c r="AF22" s="19">
        <v>0</v>
      </c>
      <c r="AG22" s="19"/>
      <c r="AH22" s="19">
        <v>8.1699000000000002</v>
      </c>
      <c r="AI22" s="19">
        <v>8.1699000000000002</v>
      </c>
      <c r="AJ22" s="19">
        <f ca="1">$N$99</f>
        <v>6.9993294518742095</v>
      </c>
      <c r="AK22" s="19">
        <f t="shared" ca="1" si="0"/>
        <v>6.9993294518742095</v>
      </c>
      <c r="AL22" s="19"/>
      <c r="AM22" s="19"/>
      <c r="AP22" s="19">
        <v>1</v>
      </c>
    </row>
    <row r="23" spans="1:42" ht="11.25" customHeight="1" x14ac:dyDescent="0.25">
      <c r="A23" s="119"/>
      <c r="B23" s="119"/>
      <c r="C23" s="119"/>
      <c r="D23" s="119"/>
      <c r="E23" s="119" t="s">
        <v>61</v>
      </c>
      <c r="F23" s="119" t="s">
        <v>25</v>
      </c>
      <c r="G23" s="21" t="s">
        <v>89</v>
      </c>
      <c r="H23" s="21" t="s">
        <v>88</v>
      </c>
      <c r="I23" s="21">
        <f>'MERCADO TUSD'!$U$20</f>
        <v>0</v>
      </c>
      <c r="J23" s="17"/>
      <c r="L23" s="19">
        <f>IF(AND((+$I$17+$I$18+$I$21+$I$22+$I$23+$I$24+$I$26+$I$29+$I$30+$I$33+$I$34+$I$35+$I$36+$I$38)&lt;&gt;0,SUMPRODUCT($I$5:$I$86,$AC$5:$AC$86,$AP$5:$AP$86)&lt;&gt;0),$L$91*SUMPRODUCT($I$15:$I$38,$AC$15:$AC$38,$AP$15:$AP$38)/SUMPRODUCT($I$5:$I$86,$AC$5:$AC$86,$AP$5:$AP$86)/(+$I$17+$I$18+$I$21+$I$22+$I$23+$I$24+$I$26+$I$29+$I$30+$I$33+$I$34+$I$35+$I$36+$I$38),0)</f>
        <v>0</v>
      </c>
      <c r="M23" s="19">
        <f>IF(AND((+$I$17+$I$18+$I$21+$I$22+$I$23+$I$24+$I$26+$I$29+$I$30+$I$33+$I$34+$I$35+$I$36+$I$38)&lt;&gt;0,SUMPRODUCT($I$5:$I$86,$AC$5:$AC$86,$AP$5:$AP$86)&lt;&gt;0),$M$91*SUMPRODUCT($I$15:$I$38,$AC$15:$AC$38,$AP$15:$AP$38)/SUMPRODUCT($I$5:$I$86,$AC$5:$AC$86,$AP$5:$AP$86)/(+$I$17+$I$18+$I$21+$I$22+$I$23+$I$24+$I$26+$I$29+$I$30+$I$33+$I$34+$I$35+$I$36+$I$38),0)</f>
        <v>0.22978443226570669</v>
      </c>
      <c r="N23" s="19">
        <f ca="1">(+M23+O23+R23+U23+V23+W23+X23+Y23+Z23+AA23+AC23+AH23+AI23+AJ23+AK23)*CUSTOS!$M$5</f>
        <v>4.2283384333601406</v>
      </c>
      <c r="O23" s="19">
        <v>1</v>
      </c>
      <c r="P23" s="19">
        <v>0</v>
      </c>
      <c r="Q23" s="19">
        <v>0</v>
      </c>
      <c r="R23" s="19">
        <v>0</v>
      </c>
      <c r="S23" s="19">
        <v>0</v>
      </c>
      <c r="T23" s="19"/>
      <c r="U23" s="19">
        <f>TRANSICAO!$U$23*CUSTOS!$Q$3</f>
        <v>29.767099999999999</v>
      </c>
      <c r="V23" s="19">
        <f>TRANSICAO!$V$23*CUSTOS!$Q$3</f>
        <v>10.6302</v>
      </c>
      <c r="W23" s="19">
        <f>TRANSICAO!$W$23*CUSTOS!$Q$3</f>
        <v>1.1009</v>
      </c>
      <c r="X23" s="19">
        <f>TRANSICAO!$X$23*CUSTOS!$Q$3</f>
        <v>0</v>
      </c>
      <c r="Y23" s="19">
        <f>TRANSICAO!$Y$23*CUSTOS!$Q$3</f>
        <v>0</v>
      </c>
      <c r="Z23" s="19">
        <f>TRANSICAO!$Z$23*CUSTOS!$Q$3</f>
        <v>0</v>
      </c>
      <c r="AA23" s="19">
        <f>TRANSICAO!$AA$23*CUSTOS!$Q$3</f>
        <v>0</v>
      </c>
      <c r="AB23" s="19">
        <f>TRANSICAO!$AB$23*CUSTOS!$Q$3</f>
        <v>0</v>
      </c>
      <c r="AC23" s="19">
        <f>TRANSICAO!$AC$23*CUSTOS!$Q$3</f>
        <v>349.76740000000001</v>
      </c>
      <c r="AD23" s="19">
        <f>TRANSICAO!$AD$23*CUSTOS!$Q$3</f>
        <v>0</v>
      </c>
      <c r="AE23" s="19">
        <v>0</v>
      </c>
      <c r="AF23" s="19">
        <v>0</v>
      </c>
      <c r="AG23" s="19"/>
      <c r="AH23" s="19">
        <v>8.1699000000000002</v>
      </c>
      <c r="AI23" s="19">
        <v>8.1699000000000002</v>
      </c>
      <c r="AJ23" s="19">
        <f ca="1">$N$99</f>
        <v>6.9993294518742095</v>
      </c>
      <c r="AK23" s="19">
        <f t="shared" ca="1" si="0"/>
        <v>6.9993294518742095</v>
      </c>
      <c r="AL23" s="19"/>
      <c r="AM23" s="19"/>
      <c r="AP23" s="19">
        <v>1</v>
      </c>
    </row>
    <row r="24" spans="1:42" ht="11.25" customHeight="1" x14ac:dyDescent="0.25">
      <c r="A24" s="119"/>
      <c r="B24" s="119"/>
      <c r="C24" s="119"/>
      <c r="D24" s="119"/>
      <c r="E24" s="119"/>
      <c r="F24" s="119"/>
      <c r="G24" s="21" t="s">
        <v>90</v>
      </c>
      <c r="H24" s="21" t="s">
        <v>88</v>
      </c>
      <c r="I24" s="21">
        <f>'MERCADO TUSD'!$U$21</f>
        <v>0</v>
      </c>
      <c r="J24" s="17"/>
      <c r="L24" s="19">
        <f>IF(AND((+$I$17+$I$18+$I$21+$I$22+$I$23+$I$24+$I$26+$I$29+$I$30+$I$33+$I$34+$I$35+$I$36+$I$38)&lt;&gt;0,SUMPRODUCT($I$5:$I$86,$AC$5:$AC$86,$AP$5:$AP$86)&lt;&gt;0),$L$91*SUMPRODUCT($I$15:$I$38,$AC$15:$AC$38,$AP$15:$AP$38)/SUMPRODUCT($I$5:$I$86,$AC$5:$AC$86,$AP$5:$AP$86)/(+$I$17+$I$18+$I$21+$I$22+$I$23+$I$24+$I$26+$I$29+$I$30+$I$33+$I$34+$I$35+$I$36+$I$38),0)</f>
        <v>0</v>
      </c>
      <c r="M24" s="19">
        <f>IF(AND((+$I$17+$I$18+$I$21+$I$22+$I$23+$I$24+$I$26+$I$29+$I$30+$I$33+$I$34+$I$35+$I$36+$I$38)&lt;&gt;0,SUMPRODUCT($I$5:$I$86,$AC$5:$AC$86,$AP$5:$AP$86)&lt;&gt;0),$M$91*SUMPRODUCT($I$15:$I$38,$AC$15:$AC$38,$AP$15:$AP$38)/SUMPRODUCT($I$5:$I$86,$AC$5:$AC$86,$AP$5:$AP$86)/(+$I$17+$I$18+$I$21+$I$22+$I$23+$I$24+$I$26+$I$29+$I$30+$I$33+$I$34+$I$35+$I$36+$I$38),0)</f>
        <v>0.22978443226570669</v>
      </c>
      <c r="N24" s="19">
        <f ca="1">(+M24+O24+R24+U24+V24+W24+X24+Y24+Z24+AA24+AC24+AH24+AI24+AJ24+AK24)*CUSTOS!$M$5</f>
        <v>0.31568243336014129</v>
      </c>
      <c r="O24" s="19">
        <v>1</v>
      </c>
      <c r="P24" s="19">
        <v>0</v>
      </c>
      <c r="Q24" s="19">
        <v>0</v>
      </c>
      <c r="R24" s="19">
        <v>0</v>
      </c>
      <c r="S24" s="19">
        <v>0</v>
      </c>
      <c r="T24" s="19"/>
      <c r="U24" s="19">
        <f>TRANSICAO!$U$24*CUSTOS!$Q$3</f>
        <v>0</v>
      </c>
      <c r="V24" s="19">
        <f>TRANSICAO!$V$24*CUSTOS!$Q$3</f>
        <v>0</v>
      </c>
      <c r="W24" s="19">
        <f>TRANSICAO!$W$24*CUSTOS!$Q$3</f>
        <v>0</v>
      </c>
      <c r="X24" s="19">
        <f>TRANSICAO!$X$24*CUSTOS!$Q$3</f>
        <v>0</v>
      </c>
      <c r="Y24" s="19">
        <f>TRANSICAO!$Y$24*CUSTOS!$Q$3</f>
        <v>0</v>
      </c>
      <c r="Z24" s="19">
        <f>TRANSICAO!$Z$24*CUSTOS!$Q$3</f>
        <v>0</v>
      </c>
      <c r="AA24" s="19">
        <f>TRANSICAO!$AA$24*CUSTOS!$Q$3</f>
        <v>0</v>
      </c>
      <c r="AB24" s="19">
        <f>TRANSICAO!$AB$24*CUSTOS!$Q$3</f>
        <v>0</v>
      </c>
      <c r="AC24" s="19">
        <f>TRANSICAO!$AC$24*CUSTOS!$Q$3</f>
        <v>0</v>
      </c>
      <c r="AD24" s="19">
        <f>TRANSICAO!$AD$24*CUSTOS!$Q$3</f>
        <v>0</v>
      </c>
      <c r="AE24" s="19">
        <v>0</v>
      </c>
      <c r="AF24" s="19">
        <v>0</v>
      </c>
      <c r="AG24" s="19"/>
      <c r="AH24" s="19">
        <v>8.1699000000000002</v>
      </c>
      <c r="AI24" s="19">
        <v>8.1699000000000002</v>
      </c>
      <c r="AJ24" s="19">
        <f ca="1">$N$99</f>
        <v>6.9993294518742095</v>
      </c>
      <c r="AK24" s="19">
        <f t="shared" ca="1" si="0"/>
        <v>6.9993294518742095</v>
      </c>
      <c r="AL24" s="19"/>
      <c r="AM24" s="19"/>
      <c r="AP24" s="19">
        <v>1</v>
      </c>
    </row>
    <row r="25" spans="1:42" ht="11.25" customHeight="1" x14ac:dyDescent="0.25">
      <c r="A25" s="119"/>
      <c r="B25" s="119" t="s">
        <v>23</v>
      </c>
      <c r="C25" s="119" t="s">
        <v>25</v>
      </c>
      <c r="D25" s="119" t="s">
        <v>25</v>
      </c>
      <c r="E25" s="119" t="s">
        <v>25</v>
      </c>
      <c r="F25" s="119" t="s">
        <v>25</v>
      </c>
      <c r="G25" s="21" t="s">
        <v>9</v>
      </c>
      <c r="H25" s="21" t="s">
        <v>91</v>
      </c>
      <c r="I25" s="21">
        <f>'MERCADO TUSD'!$U$22</f>
        <v>0</v>
      </c>
      <c r="J25" s="17"/>
      <c r="L25" s="19">
        <v>0</v>
      </c>
      <c r="M25" s="19">
        <v>0</v>
      </c>
      <c r="N25" s="19">
        <v>0</v>
      </c>
      <c r="O25" s="19">
        <v>0</v>
      </c>
      <c r="P25" s="19">
        <v>0</v>
      </c>
      <c r="Q25" s="19">
        <v>0</v>
      </c>
      <c r="R25" s="19">
        <v>0</v>
      </c>
      <c r="S25" s="19">
        <v>0</v>
      </c>
      <c r="T25" s="19"/>
      <c r="U25" s="19">
        <f>TRANSICAO!$U$25*CUSTOS!$Q$3</f>
        <v>1.7001999999999999</v>
      </c>
      <c r="V25" s="19">
        <f>TRANSICAO!$V$25*CUSTOS!$Q$3</f>
        <v>0.63270000000000004</v>
      </c>
      <c r="W25" s="19">
        <f>TRANSICAO!$W$25*CUSTOS!$Q$3</f>
        <v>6.2199999999999998E-2</v>
      </c>
      <c r="X25" s="19">
        <f>TRANSICAO!$X$25*CUSTOS!$Q$3</f>
        <v>0</v>
      </c>
      <c r="Y25" s="19">
        <f>TRANSICAO!$Y$25*CUSTOS!$Q$3</f>
        <v>0</v>
      </c>
      <c r="Z25" s="19">
        <f>TRANSICAO!$Z$25*CUSTOS!$Q$3</f>
        <v>0</v>
      </c>
      <c r="AA25" s="19">
        <f>TRANSICAO!$AA$25*CUSTOS!$Q$3</f>
        <v>0</v>
      </c>
      <c r="AB25" s="19">
        <f>TRANSICAO!$AB$25*CUSTOS!$Q$3</f>
        <v>0</v>
      </c>
      <c r="AC25" s="19">
        <f>TRANSICAO!$AC$25*CUSTOS!$Q$3</f>
        <v>14.355600000000001</v>
      </c>
      <c r="AD25" s="19">
        <f>TRANSICAO!$AD$25*CUSTOS!$Q$3</f>
        <v>0</v>
      </c>
      <c r="AE25" s="19">
        <v>0</v>
      </c>
      <c r="AF25" s="19">
        <v>0</v>
      </c>
      <c r="AG25" s="19"/>
      <c r="AH25" s="19">
        <v>0</v>
      </c>
      <c r="AI25" s="19">
        <v>0</v>
      </c>
      <c r="AJ25" s="19">
        <v>0</v>
      </c>
      <c r="AK25" s="19">
        <f t="shared" si="0"/>
        <v>0</v>
      </c>
      <c r="AL25" s="19"/>
      <c r="AM25" s="19"/>
      <c r="AP25" s="19">
        <v>1</v>
      </c>
    </row>
    <row r="26" spans="1:42" ht="11.25" customHeight="1" x14ac:dyDescent="0.25">
      <c r="A26" s="119"/>
      <c r="B26" s="119"/>
      <c r="C26" s="119"/>
      <c r="D26" s="119"/>
      <c r="E26" s="119"/>
      <c r="F26" s="119"/>
      <c r="G26" s="21" t="s">
        <v>94</v>
      </c>
      <c r="H26" s="21" t="s">
        <v>88</v>
      </c>
      <c r="I26" s="21">
        <f>'MERCADO TUSD'!$U$23</f>
        <v>0</v>
      </c>
      <c r="J26" s="17"/>
      <c r="L26" s="19">
        <f>IF(AND((+$I$17+$I$18+$I$21+$I$22+$I$23+$I$24+$I$26+$I$29+$I$30+$I$33+$I$34+$I$35+$I$36+$I$38)&lt;&gt;0,SUMPRODUCT($I$5:$I$86,$AC$5:$AC$86,$AP$5:$AP$86)&lt;&gt;0),$L$91*SUMPRODUCT($I$15:$I$38,$AC$15:$AC$38,$AP$15:$AP$38)/SUMPRODUCT($I$5:$I$86,$AC$5:$AC$86,$AP$5:$AP$86)/(+$I$17+$I$18+$I$21+$I$22+$I$23+$I$24+$I$26+$I$29+$I$30+$I$33+$I$34+$I$35+$I$36+$I$38),0)</f>
        <v>0</v>
      </c>
      <c r="M26" s="19">
        <f>IF(AND((+$I$17+$I$18+$I$21+$I$22+$I$23+$I$24+$I$26+$I$29+$I$30+$I$33+$I$34+$I$35+$I$36+$I$38)&lt;&gt;0,SUMPRODUCT($I$5:$I$86,$AC$5:$AC$86,$AP$5:$AP$86)&lt;&gt;0),$M$91*SUMPRODUCT($I$15:$I$38,$AC$15:$AC$38,$AP$15:$AP$38)/SUMPRODUCT($I$5:$I$86,$AC$5:$AC$86,$AP$5:$AP$86)/(+$I$17+$I$18+$I$21+$I$22+$I$23+$I$24+$I$26+$I$29+$I$30+$I$33+$I$34+$I$35+$I$36+$I$38),0)</f>
        <v>0.22978443226570669</v>
      </c>
      <c r="N26" s="19">
        <f ca="1">(+M26+O26+R26+U26+V26+W26+X26+Y26+Z26+AA26+AC26+AH26+AI26+AJ26+AK26)*CUSTOS!$M$5</f>
        <v>0.3256824333601413</v>
      </c>
      <c r="O26" s="19">
        <v>1</v>
      </c>
      <c r="P26" s="19">
        <v>1</v>
      </c>
      <c r="Q26" s="19">
        <f>0.89</f>
        <v>0.89</v>
      </c>
      <c r="R26" s="19">
        <v>1</v>
      </c>
      <c r="S26" s="19">
        <v>1</v>
      </c>
      <c r="T26" s="19"/>
      <c r="U26" s="19">
        <f>TRANSICAO!$U$26*CUSTOS!$Q$3</f>
        <v>0</v>
      </c>
      <c r="V26" s="19">
        <f>TRANSICAO!$V$26*CUSTOS!$Q$3</f>
        <v>0</v>
      </c>
      <c r="W26" s="19">
        <f>TRANSICAO!$W$26*CUSTOS!$Q$3</f>
        <v>0</v>
      </c>
      <c r="X26" s="19">
        <f>TRANSICAO!$X$26*CUSTOS!$Q$3</f>
        <v>0</v>
      </c>
      <c r="Y26" s="19">
        <f>TRANSICAO!$Y$26*CUSTOS!$Q$3</f>
        <v>0</v>
      </c>
      <c r="Z26" s="19">
        <f>TRANSICAO!$Z$26*CUSTOS!$Q$3</f>
        <v>0</v>
      </c>
      <c r="AA26" s="19">
        <f>TRANSICAO!$AA$26*CUSTOS!$Q$3</f>
        <v>0</v>
      </c>
      <c r="AB26" s="19">
        <f>TRANSICAO!$AB$26*CUSTOS!$Q$3</f>
        <v>0</v>
      </c>
      <c r="AC26" s="19">
        <f>TRANSICAO!$AC$26*CUSTOS!$Q$3</f>
        <v>0</v>
      </c>
      <c r="AD26" s="19">
        <f>TRANSICAO!$AD$26*CUSTOS!$Q$3</f>
        <v>0</v>
      </c>
      <c r="AE26" s="19">
        <v>0</v>
      </c>
      <c r="AF26" s="19">
        <v>0</v>
      </c>
      <c r="AG26" s="19"/>
      <c r="AH26" s="19">
        <v>8.1699000000000002</v>
      </c>
      <c r="AI26" s="19">
        <v>8.1699000000000002</v>
      </c>
      <c r="AJ26" s="19">
        <f ca="1">$N$99</f>
        <v>6.9993294518742095</v>
      </c>
      <c r="AK26" s="19">
        <f t="shared" ca="1" si="0"/>
        <v>6.9993294518742095</v>
      </c>
      <c r="AL26" s="19"/>
      <c r="AM26" s="19"/>
      <c r="AP26" s="19">
        <v>1</v>
      </c>
    </row>
    <row r="27" spans="1:42" ht="11.25" customHeight="1" x14ac:dyDescent="0.25">
      <c r="A27" s="119" t="s">
        <v>33</v>
      </c>
      <c r="B27" s="119" t="s">
        <v>41</v>
      </c>
      <c r="C27" s="119" t="s">
        <v>25</v>
      </c>
      <c r="D27" s="119" t="s">
        <v>25</v>
      </c>
      <c r="E27" s="119" t="s">
        <v>25</v>
      </c>
      <c r="F27" s="119" t="s">
        <v>25</v>
      </c>
      <c r="G27" s="21" t="s">
        <v>92</v>
      </c>
      <c r="H27" s="21" t="s">
        <v>91</v>
      </c>
      <c r="I27" s="21">
        <f>'MERCADO TUSD'!$U$24</f>
        <v>1516519</v>
      </c>
      <c r="J27" s="17"/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/>
      <c r="U27" s="19">
        <f>TRANSICAO!$U$27*CUSTOS!$R$3</f>
        <v>1.2377</v>
      </c>
      <c r="V27" s="19">
        <f>TRANSICAO!$V$27*CUSTOS!$R$3</f>
        <v>0.442</v>
      </c>
      <c r="W27" s="19">
        <f>TRANSICAO!$W$27*CUSTOS!$R$3</f>
        <v>4.58E-2</v>
      </c>
      <c r="X27" s="19">
        <f>TRANSICAO!$X$27*CUSTOS!$R$3</f>
        <v>0</v>
      </c>
      <c r="Y27" s="19">
        <f>TRANSICAO!$Y$27*CUSTOS!$R$3</f>
        <v>0</v>
      </c>
      <c r="Z27" s="19">
        <f>TRANSICAO!$Z$27*CUSTOS!$R$3</f>
        <v>0</v>
      </c>
      <c r="AA27" s="19">
        <f>TRANSICAO!$AA$27*CUSTOS!$R$3</f>
        <v>0</v>
      </c>
      <c r="AB27" s="19">
        <f>TRANSICAO!$AB$27*CUSTOS!$R$3</f>
        <v>0</v>
      </c>
      <c r="AC27" s="19">
        <f>TRANSICAO!$AC$27*CUSTOS!$R$3</f>
        <v>14.5433</v>
      </c>
      <c r="AD27" s="19">
        <f>TRANSICAO!$AD$27*CUSTOS!$R$3</f>
        <v>0</v>
      </c>
      <c r="AE27" s="19">
        <v>0</v>
      </c>
      <c r="AF27" s="19">
        <v>0</v>
      </c>
      <c r="AG27" s="19"/>
      <c r="AH27" s="19">
        <v>0</v>
      </c>
      <c r="AI27" s="19">
        <v>0</v>
      </c>
      <c r="AJ27" s="19">
        <v>0</v>
      </c>
      <c r="AK27" s="19">
        <f t="shared" si="0"/>
        <v>0</v>
      </c>
      <c r="AL27" s="19"/>
      <c r="AM27" s="19"/>
      <c r="AP27" s="19">
        <v>1</v>
      </c>
    </row>
    <row r="28" spans="1:42" ht="11.25" customHeight="1" x14ac:dyDescent="0.25">
      <c r="A28" s="119"/>
      <c r="B28" s="119"/>
      <c r="C28" s="119"/>
      <c r="D28" s="119"/>
      <c r="E28" s="119"/>
      <c r="F28" s="119"/>
      <c r="G28" s="21" t="s">
        <v>93</v>
      </c>
      <c r="H28" s="21" t="s">
        <v>91</v>
      </c>
      <c r="I28" s="21">
        <f>'MERCADO TUSD'!$U$25</f>
        <v>1745724</v>
      </c>
      <c r="J28" s="17"/>
      <c r="L28" s="19">
        <v>0</v>
      </c>
      <c r="M28" s="19">
        <v>0</v>
      </c>
      <c r="N28" s="19">
        <v>0</v>
      </c>
      <c r="O28" s="19">
        <v>0</v>
      </c>
      <c r="P28" s="19">
        <v>0</v>
      </c>
      <c r="Q28" s="19">
        <v>0</v>
      </c>
      <c r="R28" s="19">
        <v>0</v>
      </c>
      <c r="S28" s="19">
        <v>0</v>
      </c>
      <c r="T28" s="19"/>
      <c r="U28" s="19">
        <f>TRANSICAO!$U$28*CUSTOS!$R$3</f>
        <v>0.80900000000000005</v>
      </c>
      <c r="V28" s="19">
        <f>TRANSICAO!$V$28*CUSTOS!$R$3</f>
        <v>0.31440000000000001</v>
      </c>
      <c r="W28" s="19">
        <f>TRANSICAO!$W$28*CUSTOS!$R$3</f>
        <v>2.93E-2</v>
      </c>
      <c r="X28" s="19">
        <f>TRANSICAO!$X$28*CUSTOS!$R$3</f>
        <v>0</v>
      </c>
      <c r="Y28" s="19">
        <f>TRANSICAO!$Y$28*CUSTOS!$R$3</f>
        <v>0</v>
      </c>
      <c r="Z28" s="19">
        <f>TRANSICAO!$Z$28*CUSTOS!$R$3</f>
        <v>0</v>
      </c>
      <c r="AA28" s="19">
        <f>TRANSICAO!$AA$28*CUSTOS!$R$3</f>
        <v>0</v>
      </c>
      <c r="AB28" s="19">
        <f>TRANSICAO!$AB$28*CUSTOS!$R$3</f>
        <v>0</v>
      </c>
      <c r="AC28" s="19">
        <f>TRANSICAO!$AC$28*CUSTOS!$R$3</f>
        <v>3.8843999999999999</v>
      </c>
      <c r="AD28" s="19">
        <f>TRANSICAO!$AD$28*CUSTOS!$R$3</f>
        <v>0</v>
      </c>
      <c r="AE28" s="19">
        <v>0</v>
      </c>
      <c r="AF28" s="19">
        <v>0</v>
      </c>
      <c r="AG28" s="19"/>
      <c r="AH28" s="19">
        <v>0</v>
      </c>
      <c r="AI28" s="19">
        <v>0</v>
      </c>
      <c r="AJ28" s="19">
        <v>0</v>
      </c>
      <c r="AK28" s="19">
        <f t="shared" si="0"/>
        <v>0</v>
      </c>
      <c r="AL28" s="19"/>
      <c r="AM28" s="19"/>
      <c r="AP28" s="19">
        <v>1</v>
      </c>
    </row>
    <row r="29" spans="1:42" ht="11.25" customHeight="1" x14ac:dyDescent="0.25">
      <c r="A29" s="119"/>
      <c r="B29" s="119"/>
      <c r="C29" s="119"/>
      <c r="D29" s="119"/>
      <c r="E29" s="119"/>
      <c r="F29" s="119"/>
      <c r="G29" s="21" t="s">
        <v>94</v>
      </c>
      <c r="H29" s="21" t="s">
        <v>88</v>
      </c>
      <c r="I29" s="21">
        <f>'MERCADO TUSD'!$U$26</f>
        <v>639922.91000000015</v>
      </c>
      <c r="J29" s="17"/>
      <c r="L29" s="19">
        <f>IF(AND((+$I$17+$I$18+$I$21+$I$22+$I$23+$I$24+$I$26+$I$29+$I$30+$I$33+$I$34+$I$35+$I$36+$I$38)&lt;&gt;0,SUMPRODUCT($I$5:$I$86,$AC$5:$AC$86,$AP$5:$AP$86)&lt;&gt;0),$L$91*SUMPRODUCT($I$15:$I$38,$AC$15:$AC$38,$AP$15:$AP$38)/SUMPRODUCT($I$5:$I$86,$AC$5:$AC$86,$AP$5:$AP$86)/(+$I$17+$I$18+$I$21+$I$22+$I$23+$I$24+$I$26+$I$29+$I$30+$I$33+$I$34+$I$35+$I$36+$I$38),0)</f>
        <v>0</v>
      </c>
      <c r="M29" s="19">
        <f>IF(AND((+$I$17+$I$18+$I$21+$I$22+$I$23+$I$24+$I$26+$I$29+$I$30+$I$33+$I$34+$I$35+$I$36+$I$38)&lt;&gt;0,SUMPRODUCT($I$5:$I$86,$AC$5:$AC$86,$AP$5:$AP$86)&lt;&gt;0),$M$91*SUMPRODUCT($I$15:$I$38,$AC$15:$AC$38,$AP$15:$AP$38)/SUMPRODUCT($I$5:$I$86,$AC$5:$AC$86,$AP$5:$AP$86)/(+$I$17+$I$18+$I$21+$I$22+$I$23+$I$24+$I$26+$I$29+$I$30+$I$33+$I$34+$I$35+$I$36+$I$38),0)</f>
        <v>0.22978443226570669</v>
      </c>
      <c r="N29" s="19">
        <f ca="1">(+M29+O29+R29+U29+V29+W29+X29+Y29+Z29+AA29+AC29+AH29+AI29+AJ29+AK29)*CUSTOS!$M$5</f>
        <v>0.3256824333601413</v>
      </c>
      <c r="O29" s="19">
        <v>1</v>
      </c>
      <c r="P29" s="19">
        <v>1</v>
      </c>
      <c r="Q29" s="19">
        <f>0.89</f>
        <v>0.89</v>
      </c>
      <c r="R29" s="19">
        <v>1</v>
      </c>
      <c r="S29" s="19">
        <v>1</v>
      </c>
      <c r="T29" s="19"/>
      <c r="U29" s="19">
        <f>TRANSICAO!$U$29*CUSTOS!$R$3</f>
        <v>0</v>
      </c>
      <c r="V29" s="19">
        <f>TRANSICAO!$V$29*CUSTOS!$R$3</f>
        <v>0</v>
      </c>
      <c r="W29" s="19">
        <f>TRANSICAO!$W$29*CUSTOS!$R$3</f>
        <v>0</v>
      </c>
      <c r="X29" s="19">
        <f>TRANSICAO!$X$29*CUSTOS!$R$3</f>
        <v>0</v>
      </c>
      <c r="Y29" s="19">
        <f>TRANSICAO!$Y$29*CUSTOS!$R$3</f>
        <v>0</v>
      </c>
      <c r="Z29" s="19">
        <f>TRANSICAO!$Z$29*CUSTOS!$R$3</f>
        <v>0</v>
      </c>
      <c r="AA29" s="19">
        <f>TRANSICAO!$AA$29*CUSTOS!$R$3</f>
        <v>0</v>
      </c>
      <c r="AB29" s="19">
        <f>TRANSICAO!$AB$29*CUSTOS!$R$3</f>
        <v>0</v>
      </c>
      <c r="AC29" s="19">
        <f>TRANSICAO!$AC$29*CUSTOS!$R$3</f>
        <v>0</v>
      </c>
      <c r="AD29" s="19">
        <f>TRANSICAO!$AD$29*CUSTOS!$R$3</f>
        <v>0</v>
      </c>
      <c r="AE29" s="19">
        <v>0</v>
      </c>
      <c r="AF29" s="19">
        <v>0</v>
      </c>
      <c r="AG29" s="19"/>
      <c r="AH29" s="19">
        <v>8.1699000000000002</v>
      </c>
      <c r="AI29" s="19">
        <v>8.1699000000000002</v>
      </c>
      <c r="AJ29" s="19">
        <f ca="1">$N$100</f>
        <v>6.9993294518742095</v>
      </c>
      <c r="AK29" s="19">
        <f t="shared" ca="1" si="0"/>
        <v>6.9993294518742095</v>
      </c>
      <c r="AL29" s="19"/>
      <c r="AM29" s="19"/>
      <c r="AP29" s="19">
        <v>1</v>
      </c>
    </row>
    <row r="30" spans="1:42" ht="11.25" customHeight="1" x14ac:dyDescent="0.25">
      <c r="A30" s="119"/>
      <c r="B30" s="119"/>
      <c r="C30" s="119"/>
      <c r="D30" s="119"/>
      <c r="E30" s="22" t="s">
        <v>61</v>
      </c>
      <c r="F30" s="22" t="s">
        <v>25</v>
      </c>
      <c r="G30" s="21" t="s">
        <v>94</v>
      </c>
      <c r="H30" s="21" t="s">
        <v>88</v>
      </c>
      <c r="I30" s="21">
        <f>'MERCADO TUSD'!$U$27</f>
        <v>0</v>
      </c>
      <c r="J30" s="17"/>
      <c r="L30" s="19">
        <f>IF(AND((+$I$17+$I$18+$I$21+$I$22+$I$23+$I$24+$I$26+$I$29+$I$30+$I$33+$I$34+$I$35+$I$36+$I$38)&lt;&gt;0,SUMPRODUCT($I$5:$I$86,$AC$5:$AC$86,$AP$5:$AP$86)&lt;&gt;0),$L$91*SUMPRODUCT($I$15:$I$38,$AC$15:$AC$38,$AP$15:$AP$38)/SUMPRODUCT($I$5:$I$86,$AC$5:$AC$86,$AP$5:$AP$86)/(+$I$17+$I$18+$I$21+$I$22+$I$23+$I$24+$I$26+$I$29+$I$30+$I$33+$I$34+$I$35+$I$36+$I$38),0)</f>
        <v>0</v>
      </c>
      <c r="M30" s="19">
        <f>IF(AND((+$I$17+$I$18+$I$21+$I$22+$I$23+$I$24+$I$26+$I$29+$I$30+$I$33+$I$34+$I$35+$I$36+$I$38)&lt;&gt;0,SUMPRODUCT($I$5:$I$86,$AC$5:$AC$86,$AP$5:$AP$86)&lt;&gt;0),$M$91*SUMPRODUCT($I$15:$I$38,$AC$15:$AC$38,$AP$15:$AP$38)/SUMPRODUCT($I$5:$I$86,$AC$5:$AC$86,$AP$5:$AP$86)/(+$I$17+$I$18+$I$21+$I$22+$I$23+$I$24+$I$26+$I$29+$I$30+$I$33+$I$34+$I$35+$I$36+$I$38),0)</f>
        <v>0.22978443226570669</v>
      </c>
      <c r="N30" s="19">
        <f ca="1">(+M30+O30+R30+U30+V30+W30+X30+Y30+Z30+AA30+AC30+AH30+AI30+AJ30+AK30)*CUSTOS!$M$5</f>
        <v>0.31568243336014129</v>
      </c>
      <c r="O30" s="19">
        <v>1</v>
      </c>
      <c r="P30" s="19">
        <v>0</v>
      </c>
      <c r="Q30" s="19">
        <v>0</v>
      </c>
      <c r="R30" s="19">
        <v>0</v>
      </c>
      <c r="S30" s="19">
        <v>0</v>
      </c>
      <c r="T30" s="19"/>
      <c r="U30" s="19">
        <f>TRANSICAO!$U$30*CUSTOS!$R$3</f>
        <v>0</v>
      </c>
      <c r="V30" s="19">
        <f>TRANSICAO!$V$30*CUSTOS!$R$3</f>
        <v>0</v>
      </c>
      <c r="W30" s="19">
        <f>TRANSICAO!$W$30*CUSTOS!$R$3</f>
        <v>0</v>
      </c>
      <c r="X30" s="19">
        <f>TRANSICAO!$X$30*CUSTOS!$R$3</f>
        <v>0</v>
      </c>
      <c r="Y30" s="19">
        <f>TRANSICAO!$Y$30*CUSTOS!$R$3</f>
        <v>0</v>
      </c>
      <c r="Z30" s="19">
        <f>TRANSICAO!$Z$30*CUSTOS!$R$3</f>
        <v>0</v>
      </c>
      <c r="AA30" s="19">
        <f>TRANSICAO!$AA$30*CUSTOS!$R$3</f>
        <v>0</v>
      </c>
      <c r="AB30" s="19">
        <f>TRANSICAO!$AB$30*CUSTOS!$R$3</f>
        <v>0</v>
      </c>
      <c r="AC30" s="19">
        <f>TRANSICAO!$AC$30*CUSTOS!$R$3</f>
        <v>0</v>
      </c>
      <c r="AD30" s="19">
        <f>TRANSICAO!$AD$30*CUSTOS!$R$3</f>
        <v>0</v>
      </c>
      <c r="AE30" s="19">
        <v>0</v>
      </c>
      <c r="AF30" s="19">
        <v>0</v>
      </c>
      <c r="AG30" s="19"/>
      <c r="AH30" s="19">
        <v>8.1699000000000002</v>
      </c>
      <c r="AI30" s="19">
        <v>8.1699000000000002</v>
      </c>
      <c r="AJ30" s="19">
        <f ca="1">$N$100</f>
        <v>6.9993294518742095</v>
      </c>
      <c r="AK30" s="19">
        <f t="shared" ca="1" si="0"/>
        <v>6.9993294518742095</v>
      </c>
      <c r="AL30" s="19"/>
      <c r="AM30" s="19"/>
      <c r="AP30" s="19">
        <v>1</v>
      </c>
    </row>
    <row r="31" spans="1:42" ht="11.25" customHeight="1" x14ac:dyDescent="0.25">
      <c r="A31" s="119"/>
      <c r="B31" s="22" t="s">
        <v>64</v>
      </c>
      <c r="C31" s="22" t="s">
        <v>25</v>
      </c>
      <c r="D31" s="22" t="s">
        <v>25</v>
      </c>
      <c r="E31" s="22" t="s">
        <v>25</v>
      </c>
      <c r="F31" s="22" t="s">
        <v>25</v>
      </c>
      <c r="G31" s="21" t="s">
        <v>9</v>
      </c>
      <c r="H31" s="21" t="s">
        <v>91</v>
      </c>
      <c r="I31" s="21">
        <f>'MERCADO TUSD'!$U$28</f>
        <v>0</v>
      </c>
      <c r="J31" s="17"/>
      <c r="L31" s="19">
        <v>0</v>
      </c>
      <c r="M31" s="19">
        <v>1.2699999999999999E-2</v>
      </c>
      <c r="N31" s="19">
        <f>0.0319</f>
        <v>3.1899999999999998E-2</v>
      </c>
      <c r="O31" s="19">
        <v>0</v>
      </c>
      <c r="P31" s="19">
        <v>0</v>
      </c>
      <c r="Q31" s="19">
        <v>0</v>
      </c>
      <c r="R31" s="19">
        <v>0</v>
      </c>
      <c r="S31" s="19">
        <v>0</v>
      </c>
      <c r="T31" s="19"/>
      <c r="U31" s="19">
        <f>TRANSICAO!$U$31*CUSTOS!$R$4</f>
        <v>0</v>
      </c>
      <c r="V31" s="19">
        <f>TRANSICAO!$V$31*CUSTOS!$R$4</f>
        <v>0</v>
      </c>
      <c r="W31" s="19">
        <f>TRANSICAO!$W$31*CUSTOS!$R$4</f>
        <v>0</v>
      </c>
      <c r="X31" s="19">
        <f>TRANSICAO!$X$31*CUSTOS!$R$4</f>
        <v>0</v>
      </c>
      <c r="Y31" s="19">
        <f>TRANSICAO!$Y$31*CUSTOS!$R$4</f>
        <v>0</v>
      </c>
      <c r="Z31" s="19">
        <f>TRANSICAO!$Z$31*CUSTOS!$R$4</f>
        <v>0</v>
      </c>
      <c r="AA31" s="19">
        <f>TRANSICAO!$AA$31*CUSTOS!$R$4</f>
        <v>0</v>
      </c>
      <c r="AB31" s="19">
        <f>TRANSICAO!$AB$31*CUSTOS!$R$4</f>
        <v>0</v>
      </c>
      <c r="AC31" s="19">
        <f>TRANSICAO!$AC$31*CUSTOS!$R$4</f>
        <v>3.1753</v>
      </c>
      <c r="AD31" s="19">
        <f>TRANSICAO!$AD$31*CUSTOS!$R$4</f>
        <v>0</v>
      </c>
      <c r="AE31" s="19">
        <v>0</v>
      </c>
      <c r="AF31" s="19">
        <v>0</v>
      </c>
      <c r="AG31" s="19"/>
      <c r="AH31" s="19">
        <v>1.1000000000000001E-3</v>
      </c>
      <c r="AI31" s="19">
        <v>0</v>
      </c>
      <c r="AJ31" s="19">
        <v>0</v>
      </c>
      <c r="AK31" s="19">
        <f t="shared" si="0"/>
        <v>0</v>
      </c>
      <c r="AL31" s="19"/>
      <c r="AM31" s="19"/>
      <c r="AP31" s="19"/>
    </row>
    <row r="32" spans="1:42" ht="11.25" customHeight="1" x14ac:dyDescent="0.25">
      <c r="A32" s="119"/>
      <c r="B32" s="119" t="s">
        <v>34</v>
      </c>
      <c r="C32" s="119" t="s">
        <v>25</v>
      </c>
      <c r="D32" s="119" t="s">
        <v>25</v>
      </c>
      <c r="E32" s="119" t="s">
        <v>25</v>
      </c>
      <c r="F32" s="119" t="s">
        <v>25</v>
      </c>
      <c r="G32" s="21" t="s">
        <v>9</v>
      </c>
      <c r="H32" s="21" t="s">
        <v>91</v>
      </c>
      <c r="I32" s="21">
        <f>'MERCADO TUSD'!$U$29</f>
        <v>3362527</v>
      </c>
      <c r="J32" s="17"/>
      <c r="L32" s="19">
        <v>0</v>
      </c>
      <c r="M32" s="19">
        <v>0</v>
      </c>
      <c r="N32" s="19">
        <v>0</v>
      </c>
      <c r="O32" s="19">
        <v>0</v>
      </c>
      <c r="P32" s="19">
        <v>0</v>
      </c>
      <c r="Q32" s="19">
        <v>0</v>
      </c>
      <c r="R32" s="19">
        <v>0</v>
      </c>
      <c r="S32" s="19">
        <v>0</v>
      </c>
      <c r="T32" s="19"/>
      <c r="U32" s="19">
        <f>TRANSICAO!$U$32*CUSTOS!$R$3</f>
        <v>0.80900000000000005</v>
      </c>
      <c r="V32" s="19">
        <f>TRANSICAO!$V$32*CUSTOS!$R$3</f>
        <v>0.31440000000000001</v>
      </c>
      <c r="W32" s="19">
        <f>TRANSICAO!$W$32*CUSTOS!$R$3</f>
        <v>2.93E-2</v>
      </c>
      <c r="X32" s="19">
        <f>TRANSICAO!$X$32*CUSTOS!$R$3</f>
        <v>0</v>
      </c>
      <c r="Y32" s="19">
        <f>TRANSICAO!$Y$32*CUSTOS!$R$3</f>
        <v>0</v>
      </c>
      <c r="Z32" s="19">
        <f>TRANSICAO!$Z$32*CUSTOS!$R$3</f>
        <v>0</v>
      </c>
      <c r="AA32" s="19">
        <f>TRANSICAO!$AA$32*CUSTOS!$R$3</f>
        <v>0</v>
      </c>
      <c r="AB32" s="19">
        <f>TRANSICAO!$AB$32*CUSTOS!$R$3</f>
        <v>0</v>
      </c>
      <c r="AC32" s="19">
        <f>TRANSICAO!$AC$32*CUSTOS!$R$3</f>
        <v>3.8843999999999999</v>
      </c>
      <c r="AD32" s="19">
        <f>TRANSICAO!$AD$32*CUSTOS!$R$3</f>
        <v>0</v>
      </c>
      <c r="AE32" s="19">
        <v>0</v>
      </c>
      <c r="AF32" s="19">
        <v>0</v>
      </c>
      <c r="AG32" s="19"/>
      <c r="AH32" s="19">
        <v>0</v>
      </c>
      <c r="AI32" s="19">
        <v>0</v>
      </c>
      <c r="AJ32" s="19">
        <v>0</v>
      </c>
      <c r="AK32" s="19">
        <f t="shared" si="0"/>
        <v>0</v>
      </c>
      <c r="AL32" s="19"/>
      <c r="AM32" s="19"/>
      <c r="AP32" s="19">
        <v>1</v>
      </c>
    </row>
    <row r="33" spans="1:42" ht="11.25" customHeight="1" x14ac:dyDescent="0.25">
      <c r="A33" s="119"/>
      <c r="B33" s="119"/>
      <c r="C33" s="119"/>
      <c r="D33" s="119"/>
      <c r="E33" s="119"/>
      <c r="F33" s="119"/>
      <c r="G33" s="21" t="s">
        <v>89</v>
      </c>
      <c r="H33" s="21" t="s">
        <v>88</v>
      </c>
      <c r="I33" s="21">
        <f>'MERCADO TUSD'!$U$30</f>
        <v>54632.431000000011</v>
      </c>
      <c r="J33" s="17"/>
      <c r="L33" s="19">
        <f>IF(AND((+$I$17+$I$18+$I$21+$I$22+$I$23+$I$24+$I$26+$I$29+$I$30+$I$33+$I$34+$I$35+$I$36+$I$38)&lt;&gt;0,SUMPRODUCT($I$5:$I$86,$AC$5:$AC$86,$AP$5:$AP$86)&lt;&gt;0),$L$91*SUMPRODUCT($I$15:$I$38,$AC$15:$AC$38,$AP$15:$AP$38)/SUMPRODUCT($I$5:$I$86,$AC$5:$AC$86,$AP$5:$AP$86)/(+$I$17+$I$18+$I$21+$I$22+$I$23+$I$24+$I$26+$I$29+$I$30+$I$33+$I$34+$I$35+$I$36+$I$38),0)</f>
        <v>0</v>
      </c>
      <c r="M33" s="19">
        <f>IF(AND((+$I$17+$I$18+$I$21+$I$22+$I$23+$I$24+$I$26+$I$29+$I$30+$I$33+$I$34+$I$35+$I$36+$I$38)&lt;&gt;0,SUMPRODUCT($I$5:$I$86,$AC$5:$AC$86,$AP$5:$AP$86)&lt;&gt;0),$M$91*SUMPRODUCT($I$15:$I$38,$AC$15:$AC$38,$AP$15:$AP$38)/SUMPRODUCT($I$5:$I$86,$AC$5:$AC$86,$AP$5:$AP$86)/(+$I$17+$I$18+$I$21+$I$22+$I$23+$I$24+$I$26+$I$29+$I$30+$I$33+$I$34+$I$35+$I$36+$I$38),0)</f>
        <v>0.22978443226570669</v>
      </c>
      <c r="N33" s="19">
        <f ca="1">(+M33+O33+R33+U33+V33+W33+X33+Y33+Z33+AA33+AC33+AH33+AI33+AJ33+AK33)*CUSTOS!$M$5</f>
        <v>4.2383384333601404</v>
      </c>
      <c r="O33" s="19">
        <v>1</v>
      </c>
      <c r="P33" s="19">
        <v>1</v>
      </c>
      <c r="Q33" s="19">
        <f>0.89</f>
        <v>0.89</v>
      </c>
      <c r="R33" s="19">
        <v>1</v>
      </c>
      <c r="S33" s="19">
        <v>1</v>
      </c>
      <c r="T33" s="19"/>
      <c r="U33" s="19">
        <f>TRANSICAO!$U$33*CUSTOS!$R$3</f>
        <v>29.767099999999999</v>
      </c>
      <c r="V33" s="19">
        <f>TRANSICAO!$V$33*CUSTOS!$R$3</f>
        <v>10.6302</v>
      </c>
      <c r="W33" s="19">
        <f>TRANSICAO!$W$33*CUSTOS!$R$3</f>
        <v>1.1009</v>
      </c>
      <c r="X33" s="19">
        <f>TRANSICAO!$X$33*CUSTOS!$R$3</f>
        <v>0</v>
      </c>
      <c r="Y33" s="19">
        <f>TRANSICAO!$Y$33*CUSTOS!$R$3</f>
        <v>0</v>
      </c>
      <c r="Z33" s="19">
        <f>TRANSICAO!$Z$33*CUSTOS!$R$3</f>
        <v>0</v>
      </c>
      <c r="AA33" s="19">
        <f>TRANSICAO!$AA$33*CUSTOS!$R$3</f>
        <v>0</v>
      </c>
      <c r="AB33" s="19">
        <f>TRANSICAO!$AB$33*CUSTOS!$R$3</f>
        <v>0</v>
      </c>
      <c r="AC33" s="19">
        <f>TRANSICAO!$AC$33*CUSTOS!$R$3</f>
        <v>349.76740000000001</v>
      </c>
      <c r="AD33" s="19">
        <f>TRANSICAO!$AD$33*CUSTOS!$R$3</f>
        <v>0</v>
      </c>
      <c r="AE33" s="19">
        <v>0</v>
      </c>
      <c r="AF33" s="19">
        <v>0</v>
      </c>
      <c r="AG33" s="19"/>
      <c r="AH33" s="19">
        <v>8.1699000000000002</v>
      </c>
      <c r="AI33" s="19">
        <v>8.1699000000000002</v>
      </c>
      <c r="AJ33" s="19">
        <f ca="1">$N$100</f>
        <v>6.9993294518742095</v>
      </c>
      <c r="AK33" s="19">
        <f t="shared" ca="1" si="0"/>
        <v>6.9993294518742095</v>
      </c>
      <c r="AL33" s="19"/>
      <c r="AM33" s="19"/>
      <c r="AP33" s="19">
        <v>1</v>
      </c>
    </row>
    <row r="34" spans="1:42" ht="11.25" customHeight="1" x14ac:dyDescent="0.25">
      <c r="A34" s="119"/>
      <c r="B34" s="119"/>
      <c r="C34" s="119"/>
      <c r="D34" s="119"/>
      <c r="E34" s="119"/>
      <c r="F34" s="119"/>
      <c r="G34" s="21" t="s">
        <v>90</v>
      </c>
      <c r="H34" s="21" t="s">
        <v>88</v>
      </c>
      <c r="I34" s="21">
        <f>'MERCADO TUSD'!$U$31</f>
        <v>585212.62100000004</v>
      </c>
      <c r="J34" s="17"/>
      <c r="L34" s="19">
        <f>IF(AND((+$I$17+$I$18+$I$21+$I$22+$I$23+$I$24+$I$26+$I$29+$I$30+$I$33+$I$34+$I$35+$I$36+$I$38)&lt;&gt;0,SUMPRODUCT($I$5:$I$86,$AC$5:$AC$86,$AP$5:$AP$86)&lt;&gt;0),$L$91*SUMPRODUCT($I$15:$I$38,$AC$15:$AC$38,$AP$15:$AP$38)/SUMPRODUCT($I$5:$I$86,$AC$5:$AC$86,$AP$5:$AP$86)/(+$I$17+$I$18+$I$21+$I$22+$I$23+$I$24+$I$26+$I$29+$I$30+$I$33+$I$34+$I$35+$I$36+$I$38),0)</f>
        <v>0</v>
      </c>
      <c r="M34" s="19">
        <f>IF(AND((+$I$17+$I$18+$I$21+$I$22+$I$23+$I$24+$I$26+$I$29+$I$30+$I$33+$I$34+$I$35+$I$36+$I$38)&lt;&gt;0,SUMPRODUCT($I$5:$I$86,$AC$5:$AC$86,$AP$5:$AP$86)&lt;&gt;0),$M$91*SUMPRODUCT($I$15:$I$38,$AC$15:$AC$38,$AP$15:$AP$38)/SUMPRODUCT($I$5:$I$86,$AC$5:$AC$86,$AP$5:$AP$86)/(+$I$17+$I$18+$I$21+$I$22+$I$23+$I$24+$I$26+$I$29+$I$30+$I$33+$I$34+$I$35+$I$36+$I$38),0)</f>
        <v>0.22978443226570669</v>
      </c>
      <c r="N34" s="19">
        <f ca="1">(+M34+O34+R34+U34+V34+W34+X34+Y34+Z34+AA34+AC34+AH34+AI34+AJ34+AK34)*CUSTOS!$M$5</f>
        <v>0.3256824333601413</v>
      </c>
      <c r="O34" s="19">
        <v>1</v>
      </c>
      <c r="P34" s="19">
        <v>1</v>
      </c>
      <c r="Q34" s="19">
        <f>0.89</f>
        <v>0.89</v>
      </c>
      <c r="R34" s="19">
        <v>1</v>
      </c>
      <c r="S34" s="19">
        <v>1</v>
      </c>
      <c r="T34" s="19"/>
      <c r="U34" s="19">
        <f>TRANSICAO!$U$34*CUSTOS!$R$3</f>
        <v>0</v>
      </c>
      <c r="V34" s="19">
        <f>TRANSICAO!$V$34*CUSTOS!$R$3</f>
        <v>0</v>
      </c>
      <c r="W34" s="19">
        <f>TRANSICAO!$W$34*CUSTOS!$R$3</f>
        <v>0</v>
      </c>
      <c r="X34" s="19">
        <f>TRANSICAO!$X$34*CUSTOS!$R$3</f>
        <v>0</v>
      </c>
      <c r="Y34" s="19">
        <f>TRANSICAO!$Y$34*CUSTOS!$R$3</f>
        <v>0</v>
      </c>
      <c r="Z34" s="19">
        <f>TRANSICAO!$Z$34*CUSTOS!$R$3</f>
        <v>0</v>
      </c>
      <c r="AA34" s="19">
        <f>TRANSICAO!$AA$34*CUSTOS!$R$3</f>
        <v>0</v>
      </c>
      <c r="AB34" s="19">
        <f>TRANSICAO!$AB$34*CUSTOS!$R$3</f>
        <v>0</v>
      </c>
      <c r="AC34" s="19">
        <f>TRANSICAO!$AC$34*CUSTOS!$R$3</f>
        <v>0</v>
      </c>
      <c r="AD34" s="19">
        <f>TRANSICAO!$AD$34*CUSTOS!$R$3</f>
        <v>0</v>
      </c>
      <c r="AE34" s="19">
        <v>0</v>
      </c>
      <c r="AF34" s="19">
        <v>0</v>
      </c>
      <c r="AG34" s="19"/>
      <c r="AH34" s="19">
        <v>8.1699000000000002</v>
      </c>
      <c r="AI34" s="19">
        <v>8.1699000000000002</v>
      </c>
      <c r="AJ34" s="19">
        <f ca="1">$N$100</f>
        <v>6.9993294518742095</v>
      </c>
      <c r="AK34" s="19">
        <f t="shared" ca="1" si="0"/>
        <v>6.9993294518742095</v>
      </c>
      <c r="AL34" s="19"/>
      <c r="AM34" s="19"/>
      <c r="AP34" s="19">
        <v>1</v>
      </c>
    </row>
    <row r="35" spans="1:42" ht="11.25" customHeight="1" x14ac:dyDescent="0.25">
      <c r="A35" s="119"/>
      <c r="B35" s="119"/>
      <c r="C35" s="119"/>
      <c r="D35" s="119"/>
      <c r="E35" s="119" t="s">
        <v>61</v>
      </c>
      <c r="F35" s="119" t="s">
        <v>25</v>
      </c>
      <c r="G35" s="21" t="s">
        <v>89</v>
      </c>
      <c r="H35" s="21" t="s">
        <v>88</v>
      </c>
      <c r="I35" s="21">
        <f>'MERCADO TUSD'!$U$32</f>
        <v>0</v>
      </c>
      <c r="J35" s="17"/>
      <c r="L35" s="19">
        <f>IF(AND((+$I$17+$I$18+$I$21+$I$22+$I$23+$I$24+$I$26+$I$29+$I$30+$I$33+$I$34+$I$35+$I$36+$I$38)&lt;&gt;0,SUMPRODUCT($I$5:$I$86,$AC$5:$AC$86,$AP$5:$AP$86)&lt;&gt;0),$L$91*SUMPRODUCT($I$15:$I$38,$AC$15:$AC$38,$AP$15:$AP$38)/SUMPRODUCT($I$5:$I$86,$AC$5:$AC$86,$AP$5:$AP$86)/(+$I$17+$I$18+$I$21+$I$22+$I$23+$I$24+$I$26+$I$29+$I$30+$I$33+$I$34+$I$35+$I$36+$I$38),0)</f>
        <v>0</v>
      </c>
      <c r="M35" s="19">
        <f>IF(AND((+$I$17+$I$18+$I$21+$I$22+$I$23+$I$24+$I$26+$I$29+$I$30+$I$33+$I$34+$I$35+$I$36+$I$38)&lt;&gt;0,SUMPRODUCT($I$5:$I$86,$AC$5:$AC$86,$AP$5:$AP$86)&lt;&gt;0),$M$91*SUMPRODUCT($I$15:$I$38,$AC$15:$AC$38,$AP$15:$AP$38)/SUMPRODUCT($I$5:$I$86,$AC$5:$AC$86,$AP$5:$AP$86)/(+$I$17+$I$18+$I$21+$I$22+$I$23+$I$24+$I$26+$I$29+$I$30+$I$33+$I$34+$I$35+$I$36+$I$38),0)</f>
        <v>0.22978443226570669</v>
      </c>
      <c r="N35" s="19">
        <f ca="1">(+M35+O35+R35+U35+V35+W35+X35+Y35+Z35+AA35+AC35+AH35+AI35+AJ35+AK35)*CUSTOS!$M$5</f>
        <v>4.2283384333601406</v>
      </c>
      <c r="O35" s="19">
        <v>1</v>
      </c>
      <c r="P35" s="19">
        <v>0</v>
      </c>
      <c r="Q35" s="19">
        <v>0</v>
      </c>
      <c r="R35" s="19">
        <v>0</v>
      </c>
      <c r="S35" s="19">
        <v>0</v>
      </c>
      <c r="T35" s="19"/>
      <c r="U35" s="19">
        <f>TRANSICAO!$U$35*CUSTOS!$R$3</f>
        <v>29.767099999999999</v>
      </c>
      <c r="V35" s="19">
        <f>TRANSICAO!$V$35*CUSTOS!$R$3</f>
        <v>10.6302</v>
      </c>
      <c r="W35" s="19">
        <f>TRANSICAO!$W$35*CUSTOS!$R$3</f>
        <v>1.1009</v>
      </c>
      <c r="X35" s="19">
        <f>TRANSICAO!$X$35*CUSTOS!$R$3</f>
        <v>0</v>
      </c>
      <c r="Y35" s="19">
        <f>TRANSICAO!$Y$35*CUSTOS!$R$3</f>
        <v>0</v>
      </c>
      <c r="Z35" s="19">
        <f>TRANSICAO!$Z$35*CUSTOS!$R$3</f>
        <v>0</v>
      </c>
      <c r="AA35" s="19">
        <f>TRANSICAO!$AA$35*CUSTOS!$R$3</f>
        <v>0</v>
      </c>
      <c r="AB35" s="19">
        <f>TRANSICAO!$AB$35*CUSTOS!$R$3</f>
        <v>0</v>
      </c>
      <c r="AC35" s="19">
        <f>TRANSICAO!$AC$35*CUSTOS!$R$3</f>
        <v>349.76740000000001</v>
      </c>
      <c r="AD35" s="19">
        <f>TRANSICAO!$AD$35*CUSTOS!$R$3</f>
        <v>0</v>
      </c>
      <c r="AE35" s="19">
        <v>0</v>
      </c>
      <c r="AF35" s="19">
        <v>0</v>
      </c>
      <c r="AG35" s="19"/>
      <c r="AH35" s="19">
        <v>8.1699000000000002</v>
      </c>
      <c r="AI35" s="19">
        <v>8.1699000000000002</v>
      </c>
      <c r="AJ35" s="19">
        <f ca="1">$N$100</f>
        <v>6.9993294518742095</v>
      </c>
      <c r="AK35" s="19">
        <f t="shared" ca="1" si="0"/>
        <v>6.9993294518742095</v>
      </c>
      <c r="AL35" s="19"/>
      <c r="AM35" s="19"/>
      <c r="AP35" s="19">
        <v>1</v>
      </c>
    </row>
    <row r="36" spans="1:42" ht="11.25" customHeight="1" x14ac:dyDescent="0.25">
      <c r="A36" s="119"/>
      <c r="B36" s="119"/>
      <c r="C36" s="119"/>
      <c r="D36" s="119"/>
      <c r="E36" s="119"/>
      <c r="F36" s="119"/>
      <c r="G36" s="21" t="s">
        <v>90</v>
      </c>
      <c r="H36" s="21" t="s">
        <v>88</v>
      </c>
      <c r="I36" s="21">
        <f>'MERCADO TUSD'!$U$33</f>
        <v>0</v>
      </c>
      <c r="J36" s="17"/>
      <c r="L36" s="19">
        <f>IF(AND((+$I$17+$I$18+$I$21+$I$22+$I$23+$I$24+$I$26+$I$29+$I$30+$I$33+$I$34+$I$35+$I$36+$I$38)&lt;&gt;0,SUMPRODUCT($I$5:$I$86,$AC$5:$AC$86,$AP$5:$AP$86)&lt;&gt;0),$L$91*SUMPRODUCT($I$15:$I$38,$AC$15:$AC$38,$AP$15:$AP$38)/SUMPRODUCT($I$5:$I$86,$AC$5:$AC$86,$AP$5:$AP$86)/(+$I$17+$I$18+$I$21+$I$22+$I$23+$I$24+$I$26+$I$29+$I$30+$I$33+$I$34+$I$35+$I$36+$I$38),0)</f>
        <v>0</v>
      </c>
      <c r="M36" s="19">
        <f>IF(AND((+$I$17+$I$18+$I$21+$I$22+$I$23+$I$24+$I$26+$I$29+$I$30+$I$33+$I$34+$I$35+$I$36+$I$38)&lt;&gt;0,SUMPRODUCT($I$5:$I$86,$AC$5:$AC$86,$AP$5:$AP$86)&lt;&gt;0),$M$91*SUMPRODUCT($I$15:$I$38,$AC$15:$AC$38,$AP$15:$AP$38)/SUMPRODUCT($I$5:$I$86,$AC$5:$AC$86,$AP$5:$AP$86)/(+$I$17+$I$18+$I$21+$I$22+$I$23+$I$24+$I$26+$I$29+$I$30+$I$33+$I$34+$I$35+$I$36+$I$38),0)</f>
        <v>0.22978443226570669</v>
      </c>
      <c r="N36" s="19">
        <f ca="1">(+M36+O36+R36+U36+V36+W36+X36+Y36+Z36+AA36+AC36+AH36+AI36+AJ36+AK36)*CUSTOS!$M$5</f>
        <v>0.31568243336014129</v>
      </c>
      <c r="O36" s="19">
        <v>1</v>
      </c>
      <c r="P36" s="19">
        <v>0</v>
      </c>
      <c r="Q36" s="19">
        <v>0</v>
      </c>
      <c r="R36" s="19">
        <v>0</v>
      </c>
      <c r="S36" s="19">
        <v>0</v>
      </c>
      <c r="T36" s="19"/>
      <c r="U36" s="19">
        <f>TRANSICAO!$U$36*CUSTOS!$R$3</f>
        <v>0</v>
      </c>
      <c r="V36" s="19">
        <f>TRANSICAO!$V$36*CUSTOS!$R$3</f>
        <v>0</v>
      </c>
      <c r="W36" s="19">
        <f>TRANSICAO!$W$36*CUSTOS!$R$3</f>
        <v>0</v>
      </c>
      <c r="X36" s="19">
        <f>TRANSICAO!$X$36*CUSTOS!$R$3</f>
        <v>0</v>
      </c>
      <c r="Y36" s="19">
        <f>TRANSICAO!$Y$36*CUSTOS!$R$3</f>
        <v>0</v>
      </c>
      <c r="Z36" s="19">
        <f>TRANSICAO!$Z$36*CUSTOS!$R$3</f>
        <v>0</v>
      </c>
      <c r="AA36" s="19">
        <f>TRANSICAO!$AA$36*CUSTOS!$R$3</f>
        <v>0</v>
      </c>
      <c r="AB36" s="19">
        <f>TRANSICAO!$AB$36*CUSTOS!$R$3</f>
        <v>0</v>
      </c>
      <c r="AC36" s="19">
        <f>TRANSICAO!$AC$36*CUSTOS!$R$3</f>
        <v>0</v>
      </c>
      <c r="AD36" s="19">
        <f>TRANSICAO!$AD$36*CUSTOS!$R$3</f>
        <v>0</v>
      </c>
      <c r="AE36" s="19">
        <v>0</v>
      </c>
      <c r="AF36" s="19">
        <v>0</v>
      </c>
      <c r="AG36" s="19"/>
      <c r="AH36" s="19">
        <v>8.1699000000000002</v>
      </c>
      <c r="AI36" s="19">
        <v>8.1699000000000002</v>
      </c>
      <c r="AJ36" s="19">
        <f ca="1">$N$100</f>
        <v>6.9993294518742095</v>
      </c>
      <c r="AK36" s="19">
        <f t="shared" ca="1" si="0"/>
        <v>6.9993294518742095</v>
      </c>
      <c r="AL36" s="19"/>
      <c r="AM36" s="19"/>
      <c r="AP36" s="19">
        <v>1</v>
      </c>
    </row>
    <row r="37" spans="1:42" ht="11.25" customHeight="1" x14ac:dyDescent="0.25">
      <c r="A37" s="119"/>
      <c r="B37" s="119" t="s">
        <v>23</v>
      </c>
      <c r="C37" s="119" t="s">
        <v>25</v>
      </c>
      <c r="D37" s="119" t="s">
        <v>25</v>
      </c>
      <c r="E37" s="119" t="s">
        <v>25</v>
      </c>
      <c r="F37" s="119" t="s">
        <v>25</v>
      </c>
      <c r="G37" s="21" t="s">
        <v>9</v>
      </c>
      <c r="H37" s="21" t="s">
        <v>91</v>
      </c>
      <c r="I37" s="21">
        <f>'MERCADO TUSD'!$U$34</f>
        <v>0</v>
      </c>
      <c r="J37" s="17"/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0</v>
      </c>
      <c r="S37" s="19">
        <v>0</v>
      </c>
      <c r="T37" s="19"/>
      <c r="U37" s="19">
        <f>TRANSICAO!$U$37*CUSTOS!$R$3</f>
        <v>1.7001999999999999</v>
      </c>
      <c r="V37" s="19">
        <f>TRANSICAO!$V$37*CUSTOS!$R$3</f>
        <v>0.63270000000000004</v>
      </c>
      <c r="W37" s="19">
        <f>TRANSICAO!$W$37*CUSTOS!$R$3</f>
        <v>6.2199999999999998E-2</v>
      </c>
      <c r="X37" s="19">
        <f>TRANSICAO!$X$37*CUSTOS!$R$3</f>
        <v>0</v>
      </c>
      <c r="Y37" s="19">
        <f>TRANSICAO!$Y$37*CUSTOS!$R$3</f>
        <v>0</v>
      </c>
      <c r="Z37" s="19">
        <f>TRANSICAO!$Z$37*CUSTOS!$R$3</f>
        <v>0</v>
      </c>
      <c r="AA37" s="19">
        <f>TRANSICAO!$AA$37*CUSTOS!$R$3</f>
        <v>0</v>
      </c>
      <c r="AB37" s="19">
        <f>TRANSICAO!$AB$37*CUSTOS!$R$3</f>
        <v>0</v>
      </c>
      <c r="AC37" s="19">
        <f>TRANSICAO!$AC$37*CUSTOS!$R$3</f>
        <v>14.355600000000001</v>
      </c>
      <c r="AD37" s="19">
        <f>TRANSICAO!$AD$37*CUSTOS!$R$3</f>
        <v>0</v>
      </c>
      <c r="AE37" s="19">
        <v>0</v>
      </c>
      <c r="AF37" s="19">
        <v>0</v>
      </c>
      <c r="AG37" s="19"/>
      <c r="AH37" s="19">
        <v>0</v>
      </c>
      <c r="AI37" s="19">
        <v>0</v>
      </c>
      <c r="AJ37" s="19">
        <v>0</v>
      </c>
      <c r="AK37" s="19">
        <f t="shared" ref="AK37:AK68" si="1">AJ37</f>
        <v>0</v>
      </c>
      <c r="AL37" s="19"/>
      <c r="AM37" s="19"/>
      <c r="AP37" s="19">
        <v>1</v>
      </c>
    </row>
    <row r="38" spans="1:42" ht="11.25" customHeight="1" x14ac:dyDescent="0.25">
      <c r="A38" s="119"/>
      <c r="B38" s="119"/>
      <c r="C38" s="119"/>
      <c r="D38" s="119"/>
      <c r="E38" s="119"/>
      <c r="F38" s="119"/>
      <c r="G38" s="21" t="s">
        <v>94</v>
      </c>
      <c r="H38" s="21" t="s">
        <v>88</v>
      </c>
      <c r="I38" s="21">
        <f>'MERCADO TUSD'!$U$35</f>
        <v>0</v>
      </c>
      <c r="J38" s="17"/>
      <c r="L38" s="19">
        <f>IF(AND((+$I$17+$I$18+$I$21+$I$22+$I$23+$I$24+$I$26+$I$29+$I$30+$I$33+$I$34+$I$35+$I$36+$I$38)&lt;&gt;0,SUMPRODUCT($I$5:$I$86,$AC$5:$AC$86,$AP$5:$AP$86)&lt;&gt;0),$L$91*SUMPRODUCT($I$15:$I$38,$AC$15:$AC$38,$AP$15:$AP$38)/SUMPRODUCT($I$5:$I$86,$AC$5:$AC$86,$AP$5:$AP$86)/(+$I$17+$I$18+$I$21+$I$22+$I$23+$I$24+$I$26+$I$29+$I$30+$I$33+$I$34+$I$35+$I$36+$I$38),0)</f>
        <v>0</v>
      </c>
      <c r="M38" s="19">
        <f>IF(AND((+$I$17+$I$18+$I$21+$I$22+$I$23+$I$24+$I$26+$I$29+$I$30+$I$33+$I$34+$I$35+$I$36+$I$38)&lt;&gt;0,SUMPRODUCT($I$5:$I$86,$AC$5:$AC$86,$AP$5:$AP$86)&lt;&gt;0),$M$91*SUMPRODUCT($I$15:$I$38,$AC$15:$AC$38,$AP$15:$AP$38)/SUMPRODUCT($I$5:$I$86,$AC$5:$AC$86,$AP$5:$AP$86)/(+$I$17+$I$18+$I$21+$I$22+$I$23+$I$24+$I$26+$I$29+$I$30+$I$33+$I$34+$I$35+$I$36+$I$38),0)</f>
        <v>0.22978443226570669</v>
      </c>
      <c r="N38" s="19">
        <f ca="1">(+M38+O38+R38+U38+V38+W38+X38+Y38+Z38+AA38+AC38+AH38+AI38+AJ38+AK38)*CUSTOS!$M$5</f>
        <v>0.3256824333601413</v>
      </c>
      <c r="O38" s="19">
        <v>1</v>
      </c>
      <c r="P38" s="19">
        <v>1</v>
      </c>
      <c r="Q38" s="19">
        <f>0.89</f>
        <v>0.89</v>
      </c>
      <c r="R38" s="19">
        <v>1</v>
      </c>
      <c r="S38" s="19">
        <v>1</v>
      </c>
      <c r="T38" s="19"/>
      <c r="U38" s="19">
        <f>TRANSICAO!$U$38*CUSTOS!$R$3</f>
        <v>0</v>
      </c>
      <c r="V38" s="19">
        <f>TRANSICAO!$V$38*CUSTOS!$R$3</f>
        <v>0</v>
      </c>
      <c r="W38" s="19">
        <f>TRANSICAO!$W$38*CUSTOS!$R$3</f>
        <v>0</v>
      </c>
      <c r="X38" s="19">
        <f>TRANSICAO!$X$38*CUSTOS!$R$3</f>
        <v>0</v>
      </c>
      <c r="Y38" s="19">
        <f>TRANSICAO!$Y$38*CUSTOS!$R$3</f>
        <v>0</v>
      </c>
      <c r="Z38" s="19">
        <f>TRANSICAO!$Z$38*CUSTOS!$R$3</f>
        <v>0</v>
      </c>
      <c r="AA38" s="19">
        <f>TRANSICAO!$AA$38*CUSTOS!$R$3</f>
        <v>0</v>
      </c>
      <c r="AB38" s="19">
        <f>TRANSICAO!$AB$38*CUSTOS!$R$3</f>
        <v>0</v>
      </c>
      <c r="AC38" s="19">
        <f>TRANSICAO!$AC$38*CUSTOS!$R$3</f>
        <v>0</v>
      </c>
      <c r="AD38" s="19">
        <f>TRANSICAO!$AD$38*CUSTOS!$R$3</f>
        <v>0</v>
      </c>
      <c r="AE38" s="19">
        <v>0</v>
      </c>
      <c r="AF38" s="19">
        <v>0</v>
      </c>
      <c r="AG38" s="19"/>
      <c r="AH38" s="19">
        <v>8.1699000000000002</v>
      </c>
      <c r="AI38" s="19">
        <v>8.1699000000000002</v>
      </c>
      <c r="AJ38" s="19">
        <f ca="1">$N$100</f>
        <v>6.9993294518742095</v>
      </c>
      <c r="AK38" s="19">
        <f t="shared" ca="1" si="1"/>
        <v>6.9993294518742095</v>
      </c>
      <c r="AL38" s="19"/>
      <c r="AM38" s="19"/>
      <c r="AP38" s="19">
        <v>1</v>
      </c>
    </row>
    <row r="39" spans="1:42" ht="11.25" customHeight="1" x14ac:dyDescent="0.25">
      <c r="A39" s="119" t="s">
        <v>44</v>
      </c>
      <c r="B39" s="119" t="s">
        <v>41</v>
      </c>
      <c r="C39" s="119" t="s">
        <v>25</v>
      </c>
      <c r="D39" s="119" t="s">
        <v>25</v>
      </c>
      <c r="E39" s="119" t="s">
        <v>25</v>
      </c>
      <c r="F39" s="119" t="s">
        <v>25</v>
      </c>
      <c r="G39" s="21" t="s">
        <v>92</v>
      </c>
      <c r="H39" s="21" t="s">
        <v>91</v>
      </c>
      <c r="I39" s="21">
        <f>'MERCADO TUSD'!$U$36</f>
        <v>530511</v>
      </c>
      <c r="J39" s="17"/>
      <c r="L39" s="19">
        <v>0</v>
      </c>
      <c r="M39" s="19">
        <v>0</v>
      </c>
      <c r="N39" s="19">
        <v>0</v>
      </c>
      <c r="O39" s="19">
        <v>0</v>
      </c>
      <c r="P39" s="19">
        <v>0</v>
      </c>
      <c r="Q39" s="19">
        <v>0</v>
      </c>
      <c r="R39" s="19">
        <v>0</v>
      </c>
      <c r="S39" s="19">
        <v>0</v>
      </c>
      <c r="T39" s="19"/>
      <c r="U39" s="19">
        <f>TRANSICAO!$U$39*CUSTOS!$S$3</f>
        <v>1.3787</v>
      </c>
      <c r="V39" s="19">
        <f>TRANSICAO!$V$39*CUSTOS!$S$3</f>
        <v>0.4924</v>
      </c>
      <c r="W39" s="19">
        <f>TRANSICAO!$W$39*CUSTOS!$S$3</f>
        <v>5.0999999999999997E-2</v>
      </c>
      <c r="X39" s="19">
        <f>TRANSICAO!$X$39*CUSTOS!$S$3</f>
        <v>0</v>
      </c>
      <c r="Y39" s="19">
        <f>TRANSICAO!$Y$39*CUSTOS!$S$3</f>
        <v>0</v>
      </c>
      <c r="Z39" s="19">
        <f>TRANSICAO!$Z$39*CUSTOS!$S$3</f>
        <v>0</v>
      </c>
      <c r="AA39" s="19">
        <f>TRANSICAO!$AA$39*CUSTOS!$S$3</f>
        <v>0</v>
      </c>
      <c r="AB39" s="19">
        <f>TRANSICAO!$AB$39*CUSTOS!$S$3</f>
        <v>0</v>
      </c>
      <c r="AC39" s="19">
        <f>TRANSICAO!$AC$39*CUSTOS!$S$3</f>
        <v>32.542499999999997</v>
      </c>
      <c r="AD39" s="19">
        <f>TRANSICAO!$AD$39*CUSTOS!$S$3</f>
        <v>0</v>
      </c>
      <c r="AE39" s="19">
        <v>0</v>
      </c>
      <c r="AF39" s="19">
        <v>0</v>
      </c>
      <c r="AG39" s="19"/>
      <c r="AH39" s="19">
        <v>0</v>
      </c>
      <c r="AI39" s="19">
        <v>0</v>
      </c>
      <c r="AJ39" s="19">
        <v>0</v>
      </c>
      <c r="AK39" s="19">
        <f t="shared" si="1"/>
        <v>0</v>
      </c>
      <c r="AL39" s="19"/>
      <c r="AM39" s="19"/>
      <c r="AP39" s="19">
        <v>1</v>
      </c>
    </row>
    <row r="40" spans="1:42" ht="11.25" customHeight="1" x14ac:dyDescent="0.25">
      <c r="A40" s="119"/>
      <c r="B40" s="119"/>
      <c r="C40" s="119"/>
      <c r="D40" s="119"/>
      <c r="E40" s="119"/>
      <c r="F40" s="119"/>
      <c r="G40" s="21" t="s">
        <v>93</v>
      </c>
      <c r="H40" s="21" t="s">
        <v>91</v>
      </c>
      <c r="I40" s="21">
        <f>'MERCADO TUSD'!$U$37</f>
        <v>592907</v>
      </c>
      <c r="J40" s="17"/>
      <c r="L40" s="19">
        <v>0</v>
      </c>
      <c r="M40" s="19">
        <v>0</v>
      </c>
      <c r="N40" s="19">
        <v>0</v>
      </c>
      <c r="O40" s="19">
        <v>0</v>
      </c>
      <c r="P40" s="19">
        <v>0</v>
      </c>
      <c r="Q40" s="19">
        <v>0</v>
      </c>
      <c r="R40" s="19">
        <v>0</v>
      </c>
      <c r="S40" s="19">
        <v>0</v>
      </c>
      <c r="T40" s="19"/>
      <c r="U40" s="19">
        <f>TRANSICAO!$U$40*CUSTOS!$S$3</f>
        <v>1.1698999999999999</v>
      </c>
      <c r="V40" s="19">
        <f>TRANSICAO!$V$40*CUSTOS!$S$3</f>
        <v>0.42849999999999999</v>
      </c>
      <c r="W40" s="19">
        <f>TRANSICAO!$W$40*CUSTOS!$S$3</f>
        <v>3.9399999999999998E-2</v>
      </c>
      <c r="X40" s="19">
        <f>TRANSICAO!$X$40*CUSTOS!$S$3</f>
        <v>0</v>
      </c>
      <c r="Y40" s="19">
        <f>TRANSICAO!$Y$40*CUSTOS!$S$3</f>
        <v>0</v>
      </c>
      <c r="Z40" s="19">
        <f>TRANSICAO!$Z$40*CUSTOS!$S$3</f>
        <v>0</v>
      </c>
      <c r="AA40" s="19">
        <f>TRANSICAO!$AA$40*CUSTOS!$S$3</f>
        <v>0</v>
      </c>
      <c r="AB40" s="19">
        <f>TRANSICAO!$AB$40*CUSTOS!$S$3</f>
        <v>0</v>
      </c>
      <c r="AC40" s="19">
        <f>TRANSICAO!$AC$40*CUSTOS!$S$3</f>
        <v>5.2552000000000003</v>
      </c>
      <c r="AD40" s="19">
        <f>TRANSICAO!$AD$40*CUSTOS!$S$3</f>
        <v>0</v>
      </c>
      <c r="AE40" s="19">
        <v>0</v>
      </c>
      <c r="AF40" s="19">
        <v>0</v>
      </c>
      <c r="AG40" s="19"/>
      <c r="AH40" s="19">
        <v>0</v>
      </c>
      <c r="AI40" s="19">
        <v>0</v>
      </c>
      <c r="AJ40" s="19">
        <v>0</v>
      </c>
      <c r="AK40" s="19">
        <f t="shared" si="1"/>
        <v>0</v>
      </c>
      <c r="AL40" s="19"/>
      <c r="AM40" s="19"/>
      <c r="AP40" s="19">
        <v>1</v>
      </c>
    </row>
    <row r="41" spans="1:42" ht="11.25" customHeight="1" x14ac:dyDescent="0.25">
      <c r="A41" s="119"/>
      <c r="B41" s="119"/>
      <c r="C41" s="119"/>
      <c r="D41" s="119"/>
      <c r="E41" s="119"/>
      <c r="F41" s="119"/>
      <c r="G41" s="21" t="s">
        <v>94</v>
      </c>
      <c r="H41" s="21" t="s">
        <v>88</v>
      </c>
      <c r="I41" s="21">
        <f>'MERCADO TUSD'!$U$38</f>
        <v>203886.46</v>
      </c>
      <c r="J41" s="17"/>
      <c r="L41" s="19">
        <f>IF(AND((+$I$41+$I$42+$I$44+$I$45+$I$46+$I$47+$I$49)&lt;&gt;0,SUMPRODUCT($I$5:$I$86,$AC$5:$AC$86,$AP$5:$AP$86)&lt;&gt;0),$L$91*SUMPRODUCT($I$39:$I$49,$AC$39:$AC$49,$AP$39:$AP$49)/SUMPRODUCT($I$5:$I$86,$AC$5:$AC$86,$AP$5:$AP$86)/(+$I$41+$I$42+$I$44+$I$45+$I$46+$I$47+$I$49),0)</f>
        <v>0</v>
      </c>
      <c r="M41" s="19">
        <f>IF(AND((+$I$41+$I$42+$I$44+$I$45+$I$46+$I$47+$I$49)&lt;&gt;0,SUMPRODUCT($I$5:$I$86,$AC$5:$AC$86,$AP$5:$AP$86)&lt;&gt;0),$M$91*SUMPRODUCT($I$39:$I$49,$AC$39:$AC$49,$AP$39:$AP$49)/SUMPRODUCT($I$5:$I$86,$AC$5:$AC$86,$AP$5:$AP$86)/(+$I$41+$I$42+$I$44+$I$45+$I$46+$I$47+$I$49),0)</f>
        <v>0.48129122703769456</v>
      </c>
      <c r="N41" s="19">
        <f ca="1">(+M41+O41+R41+U41+V41+W41+X41+Y41+Z41+AA41+AC41+AH41+AI41+AJ41+AK41)*CUSTOS!$M$5</f>
        <v>0.5858592036003395</v>
      </c>
      <c r="O41" s="19">
        <v>1</v>
      </c>
      <c r="P41" s="19">
        <v>1</v>
      </c>
      <c r="Q41" s="19">
        <f>1</f>
        <v>1</v>
      </c>
      <c r="R41" s="19">
        <v>1</v>
      </c>
      <c r="S41" s="19">
        <v>1</v>
      </c>
      <c r="T41" s="19"/>
      <c r="U41" s="19">
        <f>TRANSICAO!$U$41*CUSTOS!$S$3</f>
        <v>0</v>
      </c>
      <c r="V41" s="19">
        <f>TRANSICAO!$V$41*CUSTOS!$S$3</f>
        <v>0</v>
      </c>
      <c r="W41" s="19">
        <f>TRANSICAO!$W$41*CUSTOS!$S$3</f>
        <v>0</v>
      </c>
      <c r="X41" s="19">
        <f>TRANSICAO!$X$41*CUSTOS!$S$3</f>
        <v>0</v>
      </c>
      <c r="Y41" s="19">
        <f>TRANSICAO!$Y$41*CUSTOS!$S$3</f>
        <v>0</v>
      </c>
      <c r="Z41" s="19">
        <f>TRANSICAO!$Z$41*CUSTOS!$S$3</f>
        <v>0</v>
      </c>
      <c r="AA41" s="19">
        <f>TRANSICAO!$AA$41*CUSTOS!$S$3</f>
        <v>0</v>
      </c>
      <c r="AB41" s="19">
        <f>TRANSICAO!$AB$41*CUSTOS!$S$3</f>
        <v>0</v>
      </c>
      <c r="AC41" s="19">
        <f>TRANSICAO!$AC$41*CUSTOS!$S$3</f>
        <v>0</v>
      </c>
      <c r="AD41" s="19">
        <f>TRANSICAO!$AD$41*CUSTOS!$S$3</f>
        <v>0</v>
      </c>
      <c r="AE41" s="19">
        <v>0</v>
      </c>
      <c r="AF41" s="19">
        <v>0</v>
      </c>
      <c r="AG41" s="19"/>
      <c r="AH41" s="19">
        <v>17.204699999999999</v>
      </c>
      <c r="AI41" s="19">
        <v>17.204699999999999</v>
      </c>
      <c r="AJ41" s="19">
        <f ca="1">$N$101</f>
        <v>10.84761456649813</v>
      </c>
      <c r="AK41" s="19">
        <f t="shared" ca="1" si="1"/>
        <v>10.84761456649813</v>
      </c>
      <c r="AL41" s="19"/>
      <c r="AM41" s="19"/>
      <c r="AP41" s="19">
        <v>1</v>
      </c>
    </row>
    <row r="42" spans="1:42" ht="11.25" customHeight="1" x14ac:dyDescent="0.25">
      <c r="A42" s="119"/>
      <c r="B42" s="119"/>
      <c r="C42" s="119"/>
      <c r="D42" s="119"/>
      <c r="E42" s="22" t="s">
        <v>61</v>
      </c>
      <c r="F42" s="22" t="s">
        <v>25</v>
      </c>
      <c r="G42" s="21" t="s">
        <v>94</v>
      </c>
      <c r="H42" s="21" t="s">
        <v>88</v>
      </c>
      <c r="I42" s="21">
        <f>'MERCADO TUSD'!$U$39</f>
        <v>0</v>
      </c>
      <c r="J42" s="17"/>
      <c r="L42" s="19">
        <f>IF(AND((+$I$41+$I$42+$I$44+$I$45+$I$46+$I$47+$I$49)&lt;&gt;0,SUMPRODUCT($I$5:$I$86,$AC$5:$AC$86,$AP$5:$AP$86)&lt;&gt;0),$L$91*SUMPRODUCT($I$39:$I$49,$AC$39:$AC$49,$AP$39:$AP$49)/SUMPRODUCT($I$5:$I$86,$AC$5:$AC$86,$AP$5:$AP$86)/(+$I$41+$I$42+$I$44+$I$45+$I$46+$I$47+$I$49),0)</f>
        <v>0</v>
      </c>
      <c r="M42" s="19">
        <f>IF(AND((+$I$41+$I$42+$I$44+$I$45+$I$46+$I$47+$I$49)&lt;&gt;0,SUMPRODUCT($I$5:$I$86,$AC$5:$AC$86,$AP$5:$AP$86)&lt;&gt;0),$M$91*SUMPRODUCT($I$39:$I$49,$AC$39:$AC$49,$AP$39:$AP$49)/SUMPRODUCT($I$5:$I$86,$AC$5:$AC$86,$AP$5:$AP$86)/(+$I$41+$I$42+$I$44+$I$45+$I$46+$I$47+$I$49),0)</f>
        <v>0.48129122703769456</v>
      </c>
      <c r="N42" s="19">
        <f ca="1">(+M42+O42+R42+U42+V42+W42+X42+Y42+Z42+AA42+AC42+AH42+AI42+AJ42+AK42)*CUSTOS!$M$5</f>
        <v>0.57585920360033949</v>
      </c>
      <c r="O42" s="19">
        <v>1</v>
      </c>
      <c r="P42" s="19">
        <v>0</v>
      </c>
      <c r="Q42" s="19">
        <v>0</v>
      </c>
      <c r="R42" s="19">
        <v>0</v>
      </c>
      <c r="S42" s="19">
        <v>0</v>
      </c>
      <c r="T42" s="19"/>
      <c r="U42" s="19">
        <f>TRANSICAO!$U$42*CUSTOS!$S$3</f>
        <v>0</v>
      </c>
      <c r="V42" s="19">
        <f>TRANSICAO!$V$42*CUSTOS!$S$3</f>
        <v>0</v>
      </c>
      <c r="W42" s="19">
        <f>TRANSICAO!$W$42*CUSTOS!$S$3</f>
        <v>0</v>
      </c>
      <c r="X42" s="19">
        <f>TRANSICAO!$X$42*CUSTOS!$S$3</f>
        <v>0</v>
      </c>
      <c r="Y42" s="19">
        <f>TRANSICAO!$Y$42*CUSTOS!$S$3</f>
        <v>0</v>
      </c>
      <c r="Z42" s="19">
        <f>TRANSICAO!$Z$42*CUSTOS!$S$3</f>
        <v>0</v>
      </c>
      <c r="AA42" s="19">
        <f>TRANSICAO!$AA$42*CUSTOS!$S$3</f>
        <v>0</v>
      </c>
      <c r="AB42" s="19">
        <f>TRANSICAO!$AB$42*CUSTOS!$S$3</f>
        <v>0</v>
      </c>
      <c r="AC42" s="19">
        <f>TRANSICAO!$AC$42*CUSTOS!$S$3</f>
        <v>0</v>
      </c>
      <c r="AD42" s="19">
        <f>TRANSICAO!$AD$42*CUSTOS!$S$3</f>
        <v>0</v>
      </c>
      <c r="AE42" s="19">
        <v>0</v>
      </c>
      <c r="AF42" s="19">
        <v>0</v>
      </c>
      <c r="AG42" s="19"/>
      <c r="AH42" s="19">
        <v>17.204699999999999</v>
      </c>
      <c r="AI42" s="19">
        <v>17.204699999999999</v>
      </c>
      <c r="AJ42" s="19">
        <f ca="1">$N$101</f>
        <v>10.84761456649813</v>
      </c>
      <c r="AK42" s="19">
        <f t="shared" ca="1" si="1"/>
        <v>10.84761456649813</v>
      </c>
      <c r="AL42" s="19"/>
      <c r="AM42" s="19"/>
      <c r="AP42" s="19">
        <v>1</v>
      </c>
    </row>
    <row r="43" spans="1:42" ht="11.25" customHeight="1" x14ac:dyDescent="0.25">
      <c r="A43" s="119"/>
      <c r="B43" s="119" t="s">
        <v>34</v>
      </c>
      <c r="C43" s="119" t="s">
        <v>25</v>
      </c>
      <c r="D43" s="119" t="s">
        <v>25</v>
      </c>
      <c r="E43" s="119" t="s">
        <v>25</v>
      </c>
      <c r="F43" s="119" t="s">
        <v>25</v>
      </c>
      <c r="G43" s="21" t="s">
        <v>9</v>
      </c>
      <c r="H43" s="21" t="s">
        <v>91</v>
      </c>
      <c r="I43" s="21">
        <f>'MERCADO TUSD'!$U$40</f>
        <v>1299737</v>
      </c>
      <c r="J43" s="17"/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/>
      <c r="U43" s="19">
        <f>TRANSICAO!$U$43*CUSTOS!$S$3</f>
        <v>1.1698999999999999</v>
      </c>
      <c r="V43" s="19">
        <f>TRANSICAO!$V$43*CUSTOS!$S$3</f>
        <v>0.42849999999999999</v>
      </c>
      <c r="W43" s="19">
        <f>TRANSICAO!$W$43*CUSTOS!$S$3</f>
        <v>3.9399999999999998E-2</v>
      </c>
      <c r="X43" s="19">
        <f>TRANSICAO!$X$43*CUSTOS!$S$3</f>
        <v>0</v>
      </c>
      <c r="Y43" s="19">
        <f>TRANSICAO!$Y$43*CUSTOS!$S$3</f>
        <v>0</v>
      </c>
      <c r="Z43" s="19">
        <f>TRANSICAO!$Z$43*CUSTOS!$S$3</f>
        <v>0</v>
      </c>
      <c r="AA43" s="19">
        <f>TRANSICAO!$AA$43*CUSTOS!$S$3</f>
        <v>0</v>
      </c>
      <c r="AB43" s="19">
        <f>TRANSICAO!$AB$43*CUSTOS!$S$3</f>
        <v>0</v>
      </c>
      <c r="AC43" s="19">
        <f>TRANSICAO!$AC$43*CUSTOS!$S$3</f>
        <v>5.2552000000000003</v>
      </c>
      <c r="AD43" s="19">
        <f>TRANSICAO!$AD$43*CUSTOS!$S$3</f>
        <v>0</v>
      </c>
      <c r="AE43" s="19">
        <v>0</v>
      </c>
      <c r="AF43" s="19">
        <v>0</v>
      </c>
      <c r="AG43" s="19"/>
      <c r="AH43" s="19">
        <v>0</v>
      </c>
      <c r="AI43" s="19">
        <v>0</v>
      </c>
      <c r="AJ43" s="19">
        <v>0</v>
      </c>
      <c r="AK43" s="19">
        <f t="shared" si="1"/>
        <v>0</v>
      </c>
      <c r="AL43" s="19"/>
      <c r="AM43" s="19"/>
      <c r="AP43" s="19">
        <v>1</v>
      </c>
    </row>
    <row r="44" spans="1:42" ht="11.25" customHeight="1" x14ac:dyDescent="0.25">
      <c r="A44" s="119"/>
      <c r="B44" s="119"/>
      <c r="C44" s="119"/>
      <c r="D44" s="119"/>
      <c r="E44" s="119"/>
      <c r="F44" s="119"/>
      <c r="G44" s="21" t="s">
        <v>89</v>
      </c>
      <c r="H44" s="21" t="s">
        <v>88</v>
      </c>
      <c r="I44" s="21">
        <f>'MERCADO TUSD'!$U$41</f>
        <v>23575.552999999993</v>
      </c>
      <c r="J44" s="17"/>
      <c r="L44" s="19">
        <f>IF(AND((+$I$41+$I$42+$I$44+$I$45+$I$46+$I$47+$I$49)&lt;&gt;0,SUMPRODUCT($I$5:$I$86,$AC$5:$AC$86,$AP$5:$AP$86)&lt;&gt;0),$L$91*SUMPRODUCT($I$39:$I$49,$AC$39:$AC$49,$AP$39:$AP$49)/SUMPRODUCT($I$5:$I$86,$AC$5:$AC$86,$AP$5:$AP$86)/(+$I$41+$I$42+$I$44+$I$45+$I$46+$I$47+$I$49),0)</f>
        <v>0</v>
      </c>
      <c r="M44" s="19">
        <f>IF(AND((+$I$41+$I$42+$I$44+$I$45+$I$46+$I$47+$I$49)&lt;&gt;0,SUMPRODUCT($I$5:$I$86,$AC$5:$AC$86,$AP$5:$AP$86)&lt;&gt;0),$M$91*SUMPRODUCT($I$39:$I$49,$AC$39:$AC$49,$AP$39:$AP$49)/SUMPRODUCT($I$5:$I$86,$AC$5:$AC$86,$AP$5:$AP$86)/(+$I$41+$I$42+$I$44+$I$45+$I$46+$I$47+$I$49),0)</f>
        <v>0.48129122703769456</v>
      </c>
      <c r="N44" s="19">
        <f ca="1">(+M44+O44+R44+U44+V44+W44+X44+Y44+Z44+AA44+AC44+AH44+AI44+AJ44+AK44)*CUSTOS!$M$5</f>
        <v>8.8746092036003397</v>
      </c>
      <c r="O44" s="19">
        <v>1</v>
      </c>
      <c r="P44" s="19">
        <v>1</v>
      </c>
      <c r="Q44" s="19">
        <f>1</f>
        <v>1</v>
      </c>
      <c r="R44" s="19">
        <v>1</v>
      </c>
      <c r="S44" s="19">
        <v>1</v>
      </c>
      <c r="T44" s="19"/>
      <c r="U44" s="19">
        <f>TRANSICAO!$U$44*CUSTOS!$S$3</f>
        <v>33.156599999999997</v>
      </c>
      <c r="V44" s="19">
        <f>TRANSICAO!$V$44*CUSTOS!$S$3</f>
        <v>11.8429</v>
      </c>
      <c r="W44" s="19">
        <f>TRANSICAO!$W$44*CUSTOS!$S$3</f>
        <v>1.2265999999999999</v>
      </c>
      <c r="X44" s="19">
        <f>TRANSICAO!$X$44*CUSTOS!$S$3</f>
        <v>0</v>
      </c>
      <c r="Y44" s="19">
        <f>TRANSICAO!$Y$44*CUSTOS!$S$3</f>
        <v>0</v>
      </c>
      <c r="Z44" s="19">
        <f>TRANSICAO!$Z$44*CUSTOS!$S$3</f>
        <v>0</v>
      </c>
      <c r="AA44" s="19">
        <f>TRANSICAO!$AA$44*CUSTOS!$S$3</f>
        <v>0</v>
      </c>
      <c r="AB44" s="19">
        <f>TRANSICAO!$AB$44*CUSTOS!$S$3</f>
        <v>0</v>
      </c>
      <c r="AC44" s="19">
        <f>TRANSICAO!$AC$44*CUSTOS!$S$3</f>
        <v>782.64890000000003</v>
      </c>
      <c r="AD44" s="19">
        <f>TRANSICAO!$AD$44*CUSTOS!$S$3</f>
        <v>0</v>
      </c>
      <c r="AE44" s="19">
        <v>0</v>
      </c>
      <c r="AF44" s="19">
        <v>0</v>
      </c>
      <c r="AG44" s="19"/>
      <c r="AH44" s="19">
        <v>17.204699999999999</v>
      </c>
      <c r="AI44" s="19">
        <v>17.204699999999999</v>
      </c>
      <c r="AJ44" s="19">
        <f ca="1">$N$101</f>
        <v>10.84761456649813</v>
      </c>
      <c r="AK44" s="19">
        <f t="shared" ca="1" si="1"/>
        <v>10.84761456649813</v>
      </c>
      <c r="AL44" s="19"/>
      <c r="AM44" s="19"/>
      <c r="AP44" s="19">
        <v>1</v>
      </c>
    </row>
    <row r="45" spans="1:42" ht="11.25" customHeight="1" x14ac:dyDescent="0.25">
      <c r="A45" s="119"/>
      <c r="B45" s="119"/>
      <c r="C45" s="119"/>
      <c r="D45" s="119"/>
      <c r="E45" s="119"/>
      <c r="F45" s="119"/>
      <c r="G45" s="21" t="s">
        <v>90</v>
      </c>
      <c r="H45" s="21" t="s">
        <v>88</v>
      </c>
      <c r="I45" s="21">
        <f>'MERCADO TUSD'!$U$42</f>
        <v>231444.989</v>
      </c>
      <c r="J45" s="17"/>
      <c r="L45" s="19">
        <f>IF(AND((+$I$41+$I$42+$I$44+$I$45+$I$46+$I$47+$I$49)&lt;&gt;0,SUMPRODUCT($I$5:$I$86,$AC$5:$AC$86,$AP$5:$AP$86)&lt;&gt;0),$L$91*SUMPRODUCT($I$39:$I$49,$AC$39:$AC$49,$AP$39:$AP$49)/SUMPRODUCT($I$5:$I$86,$AC$5:$AC$86,$AP$5:$AP$86)/(+$I$41+$I$42+$I$44+$I$45+$I$46+$I$47+$I$49),0)</f>
        <v>0</v>
      </c>
      <c r="M45" s="19">
        <f>IF(AND((+$I$41+$I$42+$I$44+$I$45+$I$46+$I$47+$I$49)&lt;&gt;0,SUMPRODUCT($I$5:$I$86,$AC$5:$AC$86,$AP$5:$AP$86)&lt;&gt;0),$M$91*SUMPRODUCT($I$39:$I$49,$AC$39:$AC$49,$AP$39:$AP$49)/SUMPRODUCT($I$5:$I$86,$AC$5:$AC$86,$AP$5:$AP$86)/(+$I$41+$I$42+$I$44+$I$45+$I$46+$I$47+$I$49),0)</f>
        <v>0.48129122703769456</v>
      </c>
      <c r="N45" s="19">
        <f ca="1">(+M45+O45+R45+U45+V45+W45+X45+Y45+Z45+AA45+AC45+AH45+AI45+AJ45+AK45)*CUSTOS!$M$5</f>
        <v>0.5858592036003395</v>
      </c>
      <c r="O45" s="19">
        <v>1</v>
      </c>
      <c r="P45" s="19">
        <v>1</v>
      </c>
      <c r="Q45" s="19">
        <f>1</f>
        <v>1</v>
      </c>
      <c r="R45" s="19">
        <v>1</v>
      </c>
      <c r="S45" s="19">
        <v>1</v>
      </c>
      <c r="T45" s="19"/>
      <c r="U45" s="19">
        <f>TRANSICAO!$U$45*CUSTOS!$S$3</f>
        <v>0</v>
      </c>
      <c r="V45" s="19">
        <f>TRANSICAO!$V$45*CUSTOS!$S$3</f>
        <v>0</v>
      </c>
      <c r="W45" s="19">
        <f>TRANSICAO!$W$45*CUSTOS!$S$3</f>
        <v>0</v>
      </c>
      <c r="X45" s="19">
        <f>TRANSICAO!$X$45*CUSTOS!$S$3</f>
        <v>0</v>
      </c>
      <c r="Y45" s="19">
        <f>TRANSICAO!$Y$45*CUSTOS!$S$3</f>
        <v>0</v>
      </c>
      <c r="Z45" s="19">
        <f>TRANSICAO!$Z$45*CUSTOS!$S$3</f>
        <v>0</v>
      </c>
      <c r="AA45" s="19">
        <f>TRANSICAO!$AA$45*CUSTOS!$S$3</f>
        <v>0</v>
      </c>
      <c r="AB45" s="19">
        <f>TRANSICAO!$AB$45*CUSTOS!$S$3</f>
        <v>0</v>
      </c>
      <c r="AC45" s="19">
        <f>TRANSICAO!$AC$45*CUSTOS!$S$3</f>
        <v>0</v>
      </c>
      <c r="AD45" s="19">
        <f>TRANSICAO!$AD$45*CUSTOS!$S$3</f>
        <v>0</v>
      </c>
      <c r="AE45" s="19">
        <v>0</v>
      </c>
      <c r="AF45" s="19">
        <v>0</v>
      </c>
      <c r="AG45" s="19"/>
      <c r="AH45" s="19">
        <v>17.204699999999999</v>
      </c>
      <c r="AI45" s="19">
        <v>17.204699999999999</v>
      </c>
      <c r="AJ45" s="19">
        <f ca="1">$N$101</f>
        <v>10.84761456649813</v>
      </c>
      <c r="AK45" s="19">
        <f t="shared" ca="1" si="1"/>
        <v>10.84761456649813</v>
      </c>
      <c r="AL45" s="19"/>
      <c r="AM45" s="19"/>
      <c r="AP45" s="19">
        <v>1</v>
      </c>
    </row>
    <row r="46" spans="1:42" ht="11.25" customHeight="1" x14ac:dyDescent="0.25">
      <c r="A46" s="119"/>
      <c r="B46" s="119"/>
      <c r="C46" s="119"/>
      <c r="D46" s="119"/>
      <c r="E46" s="119" t="s">
        <v>61</v>
      </c>
      <c r="F46" s="119" t="s">
        <v>25</v>
      </c>
      <c r="G46" s="21" t="s">
        <v>89</v>
      </c>
      <c r="H46" s="21" t="s">
        <v>88</v>
      </c>
      <c r="I46" s="21">
        <f>'MERCADO TUSD'!$U$43</f>
        <v>0</v>
      </c>
      <c r="J46" s="17"/>
      <c r="L46" s="19">
        <f>IF(AND((+$I$41+$I$42+$I$44+$I$45+$I$46+$I$47+$I$49)&lt;&gt;0,SUMPRODUCT($I$5:$I$86,$AC$5:$AC$86,$AP$5:$AP$86)&lt;&gt;0),$L$91*SUMPRODUCT($I$39:$I$49,$AC$39:$AC$49,$AP$39:$AP$49)/SUMPRODUCT($I$5:$I$86,$AC$5:$AC$86,$AP$5:$AP$86)/(+$I$41+$I$42+$I$44+$I$45+$I$46+$I$47+$I$49),0)</f>
        <v>0</v>
      </c>
      <c r="M46" s="19">
        <f>IF(AND((+$I$41+$I$42+$I$44+$I$45+$I$46+$I$47+$I$49)&lt;&gt;0,SUMPRODUCT($I$5:$I$86,$AC$5:$AC$86,$AP$5:$AP$86)&lt;&gt;0),$M$91*SUMPRODUCT($I$39:$I$49,$AC$39:$AC$49,$AP$39:$AP$49)/SUMPRODUCT($I$5:$I$86,$AC$5:$AC$86,$AP$5:$AP$86)/(+$I$41+$I$42+$I$44+$I$45+$I$46+$I$47+$I$49),0)</f>
        <v>0.48129122703769456</v>
      </c>
      <c r="N46" s="19">
        <f ca="1">(+M46+O46+R46+U46+V46+W46+X46+Y46+Z46+AA46+AC46+AH46+AI46+AJ46+AK46)*CUSTOS!$M$5</f>
        <v>8.8646092036003399</v>
      </c>
      <c r="O46" s="19">
        <v>1</v>
      </c>
      <c r="P46" s="19">
        <v>0</v>
      </c>
      <c r="Q46" s="19">
        <v>0</v>
      </c>
      <c r="R46" s="19">
        <v>0</v>
      </c>
      <c r="S46" s="19">
        <v>0</v>
      </c>
      <c r="T46" s="19"/>
      <c r="U46" s="19">
        <f>TRANSICAO!$U$46*CUSTOS!$S$3</f>
        <v>33.156599999999997</v>
      </c>
      <c r="V46" s="19">
        <f>TRANSICAO!$V$46*CUSTOS!$S$3</f>
        <v>11.8429</v>
      </c>
      <c r="W46" s="19">
        <f>TRANSICAO!$W$46*CUSTOS!$S$3</f>
        <v>1.2265999999999999</v>
      </c>
      <c r="X46" s="19">
        <f>TRANSICAO!$X$46*CUSTOS!$S$3</f>
        <v>0</v>
      </c>
      <c r="Y46" s="19">
        <f>TRANSICAO!$Y$46*CUSTOS!$S$3</f>
        <v>0</v>
      </c>
      <c r="Z46" s="19">
        <f>TRANSICAO!$Z$46*CUSTOS!$S$3</f>
        <v>0</v>
      </c>
      <c r="AA46" s="19">
        <f>TRANSICAO!$AA$46*CUSTOS!$S$3</f>
        <v>0</v>
      </c>
      <c r="AB46" s="19">
        <f>TRANSICAO!$AB$46*CUSTOS!$S$3</f>
        <v>0</v>
      </c>
      <c r="AC46" s="19">
        <f>TRANSICAO!$AC$46*CUSTOS!$S$3</f>
        <v>782.64890000000003</v>
      </c>
      <c r="AD46" s="19">
        <f>TRANSICAO!$AD$46*CUSTOS!$S$3</f>
        <v>0</v>
      </c>
      <c r="AE46" s="19">
        <v>0</v>
      </c>
      <c r="AF46" s="19">
        <v>0</v>
      </c>
      <c r="AG46" s="19"/>
      <c r="AH46" s="19">
        <v>17.204699999999999</v>
      </c>
      <c r="AI46" s="19">
        <v>17.204699999999999</v>
      </c>
      <c r="AJ46" s="19">
        <f ca="1">$N$101</f>
        <v>10.84761456649813</v>
      </c>
      <c r="AK46" s="19">
        <f t="shared" ca="1" si="1"/>
        <v>10.84761456649813</v>
      </c>
      <c r="AL46" s="19"/>
      <c r="AM46" s="19"/>
      <c r="AP46" s="19">
        <v>1</v>
      </c>
    </row>
    <row r="47" spans="1:42" ht="11.25" customHeight="1" x14ac:dyDescent="0.25">
      <c r="A47" s="119"/>
      <c r="B47" s="119"/>
      <c r="C47" s="119"/>
      <c r="D47" s="119"/>
      <c r="E47" s="119"/>
      <c r="F47" s="119"/>
      <c r="G47" s="21" t="s">
        <v>90</v>
      </c>
      <c r="H47" s="21" t="s">
        <v>88</v>
      </c>
      <c r="I47" s="21">
        <f>'MERCADO TUSD'!$U$44</f>
        <v>0</v>
      </c>
      <c r="J47" s="17"/>
      <c r="L47" s="19">
        <f>IF(AND((+$I$41+$I$42+$I$44+$I$45+$I$46+$I$47+$I$49)&lt;&gt;0,SUMPRODUCT($I$5:$I$86,$AC$5:$AC$86,$AP$5:$AP$86)&lt;&gt;0),$L$91*SUMPRODUCT($I$39:$I$49,$AC$39:$AC$49,$AP$39:$AP$49)/SUMPRODUCT($I$5:$I$86,$AC$5:$AC$86,$AP$5:$AP$86)/(+$I$41+$I$42+$I$44+$I$45+$I$46+$I$47+$I$49),0)</f>
        <v>0</v>
      </c>
      <c r="M47" s="19">
        <f>IF(AND((+$I$41+$I$42+$I$44+$I$45+$I$46+$I$47+$I$49)&lt;&gt;0,SUMPRODUCT($I$5:$I$86,$AC$5:$AC$86,$AP$5:$AP$86)&lt;&gt;0),$M$91*SUMPRODUCT($I$39:$I$49,$AC$39:$AC$49,$AP$39:$AP$49)/SUMPRODUCT($I$5:$I$86,$AC$5:$AC$86,$AP$5:$AP$86)/(+$I$41+$I$42+$I$44+$I$45+$I$46+$I$47+$I$49),0)</f>
        <v>0.48129122703769456</v>
      </c>
      <c r="N47" s="19">
        <f ca="1">(+M47+O47+R47+U47+V47+W47+X47+Y47+Z47+AA47+AC47+AH47+AI47+AJ47+AK47)*CUSTOS!$M$5</f>
        <v>0.57585920360033949</v>
      </c>
      <c r="O47" s="19">
        <v>1</v>
      </c>
      <c r="P47" s="19">
        <v>0</v>
      </c>
      <c r="Q47" s="19">
        <v>0</v>
      </c>
      <c r="R47" s="19">
        <v>0</v>
      </c>
      <c r="S47" s="19">
        <v>0</v>
      </c>
      <c r="T47" s="19"/>
      <c r="U47" s="19">
        <f>TRANSICAO!$U$47*CUSTOS!$S$3</f>
        <v>0</v>
      </c>
      <c r="V47" s="19">
        <f>TRANSICAO!$V$47*CUSTOS!$S$3</f>
        <v>0</v>
      </c>
      <c r="W47" s="19">
        <f>TRANSICAO!$W$47*CUSTOS!$S$3</f>
        <v>0</v>
      </c>
      <c r="X47" s="19">
        <f>TRANSICAO!$X$47*CUSTOS!$S$3</f>
        <v>0</v>
      </c>
      <c r="Y47" s="19">
        <f>TRANSICAO!$Y$47*CUSTOS!$S$3</f>
        <v>0</v>
      </c>
      <c r="Z47" s="19">
        <f>TRANSICAO!$Z$47*CUSTOS!$S$3</f>
        <v>0</v>
      </c>
      <c r="AA47" s="19">
        <f>TRANSICAO!$AA$47*CUSTOS!$S$3</f>
        <v>0</v>
      </c>
      <c r="AB47" s="19">
        <f>TRANSICAO!$AB$47*CUSTOS!$S$3</f>
        <v>0</v>
      </c>
      <c r="AC47" s="19">
        <f>TRANSICAO!$AC$47*CUSTOS!$S$3</f>
        <v>0</v>
      </c>
      <c r="AD47" s="19">
        <f>TRANSICAO!$AD$47*CUSTOS!$S$3</f>
        <v>0</v>
      </c>
      <c r="AE47" s="19">
        <v>0</v>
      </c>
      <c r="AF47" s="19">
        <v>0</v>
      </c>
      <c r="AG47" s="19"/>
      <c r="AH47" s="19">
        <v>17.204699999999999</v>
      </c>
      <c r="AI47" s="19">
        <v>17.204699999999999</v>
      </c>
      <c r="AJ47" s="19">
        <f ca="1">$N$101</f>
        <v>10.84761456649813</v>
      </c>
      <c r="AK47" s="19">
        <f t="shared" ca="1" si="1"/>
        <v>10.84761456649813</v>
      </c>
      <c r="AL47" s="19"/>
      <c r="AM47" s="19"/>
      <c r="AP47" s="19">
        <v>1</v>
      </c>
    </row>
    <row r="48" spans="1:42" ht="11.25" customHeight="1" x14ac:dyDescent="0.25">
      <c r="A48" s="119"/>
      <c r="B48" s="119" t="s">
        <v>23</v>
      </c>
      <c r="C48" s="119" t="s">
        <v>25</v>
      </c>
      <c r="D48" s="119" t="s">
        <v>25</v>
      </c>
      <c r="E48" s="119" t="s">
        <v>25</v>
      </c>
      <c r="F48" s="119" t="s">
        <v>25</v>
      </c>
      <c r="G48" s="21" t="s">
        <v>9</v>
      </c>
      <c r="H48" s="21" t="s">
        <v>91</v>
      </c>
      <c r="I48" s="21">
        <f>'MERCADO TUSD'!$U$45</f>
        <v>0</v>
      </c>
      <c r="J48" s="17"/>
      <c r="L48" s="19">
        <v>0</v>
      </c>
      <c r="M48" s="19">
        <v>0</v>
      </c>
      <c r="N48" s="19">
        <v>0</v>
      </c>
      <c r="O48" s="19">
        <v>0</v>
      </c>
      <c r="P48" s="19">
        <v>0</v>
      </c>
      <c r="Q48" s="19">
        <v>0</v>
      </c>
      <c r="R48" s="19">
        <v>0</v>
      </c>
      <c r="S48" s="19">
        <v>0</v>
      </c>
      <c r="T48" s="19"/>
      <c r="U48" s="19">
        <f>TRANSICAO!$U$48*CUSTOS!$S$3</f>
        <v>2.1625000000000001</v>
      </c>
      <c r="V48" s="19">
        <f>TRANSICAO!$V$48*CUSTOS!$S$3</f>
        <v>0.78310000000000002</v>
      </c>
      <c r="W48" s="19">
        <f>TRANSICAO!$W$48*CUSTOS!$S$3</f>
        <v>7.6100000000000001E-2</v>
      </c>
      <c r="X48" s="19">
        <f>TRANSICAO!$X$48*CUSTOS!$S$3</f>
        <v>0</v>
      </c>
      <c r="Y48" s="19">
        <f>TRANSICAO!$Y$48*CUSTOS!$S$3</f>
        <v>0</v>
      </c>
      <c r="Z48" s="19">
        <f>TRANSICAO!$Z$48*CUSTOS!$S$3</f>
        <v>0</v>
      </c>
      <c r="AA48" s="19">
        <f>TRANSICAO!$AA$48*CUSTOS!$S$3</f>
        <v>0</v>
      </c>
      <c r="AB48" s="19">
        <f>TRANSICAO!$AB$48*CUSTOS!$S$3</f>
        <v>0</v>
      </c>
      <c r="AC48" s="19">
        <f>TRANSICAO!$AC$48*CUSTOS!$S$3</f>
        <v>28.6858</v>
      </c>
      <c r="AD48" s="19">
        <f>TRANSICAO!$AD$48*CUSTOS!$S$3</f>
        <v>0</v>
      </c>
      <c r="AE48" s="19">
        <v>0</v>
      </c>
      <c r="AF48" s="19">
        <v>0</v>
      </c>
      <c r="AG48" s="19"/>
      <c r="AH48" s="19">
        <v>0</v>
      </c>
      <c r="AI48" s="19">
        <v>0</v>
      </c>
      <c r="AJ48" s="19">
        <v>0</v>
      </c>
      <c r="AK48" s="19">
        <f t="shared" si="1"/>
        <v>0</v>
      </c>
      <c r="AL48" s="19"/>
      <c r="AM48" s="19"/>
      <c r="AP48" s="19">
        <v>1</v>
      </c>
    </row>
    <row r="49" spans="1:42" ht="11.25" customHeight="1" x14ac:dyDescent="0.25">
      <c r="A49" s="119"/>
      <c r="B49" s="119"/>
      <c r="C49" s="119"/>
      <c r="D49" s="119"/>
      <c r="E49" s="119"/>
      <c r="F49" s="119"/>
      <c r="G49" s="21" t="s">
        <v>94</v>
      </c>
      <c r="H49" s="21" t="s">
        <v>88</v>
      </c>
      <c r="I49" s="21">
        <f>'MERCADO TUSD'!$U$46</f>
        <v>0</v>
      </c>
      <c r="J49" s="17"/>
      <c r="L49" s="19">
        <f>IF(AND((+$I$41+$I$42+$I$44+$I$45+$I$46+$I$47+$I$49)&lt;&gt;0,SUMPRODUCT($I$5:$I$86,$AC$5:$AC$86,$AP$5:$AP$86)&lt;&gt;0),$L$91*SUMPRODUCT($I$39:$I$49,$AC$39:$AC$49,$AP$39:$AP$49)/SUMPRODUCT($I$5:$I$86,$AC$5:$AC$86,$AP$5:$AP$86)/(+$I$41+$I$42+$I$44+$I$45+$I$46+$I$47+$I$49),0)</f>
        <v>0</v>
      </c>
      <c r="M49" s="19">
        <f>IF(AND((+$I$41+$I$42+$I$44+$I$45+$I$46+$I$47+$I$49)&lt;&gt;0,SUMPRODUCT($I$5:$I$86,$AC$5:$AC$86,$AP$5:$AP$86)&lt;&gt;0),$M$91*SUMPRODUCT($I$39:$I$49,$AC$39:$AC$49,$AP$39:$AP$49)/SUMPRODUCT($I$5:$I$86,$AC$5:$AC$86,$AP$5:$AP$86)/(+$I$41+$I$42+$I$44+$I$45+$I$46+$I$47+$I$49),0)</f>
        <v>0.48129122703769456</v>
      </c>
      <c r="N49" s="19">
        <f ca="1">(+M49+O49+R49+U49+V49+W49+X49+Y49+Z49+AA49+AC49+AH49+AI49+AJ49+AK49)*CUSTOS!$M$5</f>
        <v>0.5858592036003395</v>
      </c>
      <c r="O49" s="19">
        <v>1</v>
      </c>
      <c r="P49" s="19">
        <v>1</v>
      </c>
      <c r="Q49" s="19">
        <f>1</f>
        <v>1</v>
      </c>
      <c r="R49" s="19">
        <v>1</v>
      </c>
      <c r="S49" s="19">
        <v>1</v>
      </c>
      <c r="T49" s="19"/>
      <c r="U49" s="19">
        <f>TRANSICAO!$U$49*CUSTOS!$S$3</f>
        <v>0</v>
      </c>
      <c r="V49" s="19">
        <f>TRANSICAO!$V$49*CUSTOS!$S$3</f>
        <v>0</v>
      </c>
      <c r="W49" s="19">
        <f>TRANSICAO!$W$49*CUSTOS!$S$3</f>
        <v>0</v>
      </c>
      <c r="X49" s="19">
        <f>TRANSICAO!$X$49*CUSTOS!$S$3</f>
        <v>0</v>
      </c>
      <c r="Y49" s="19">
        <f>TRANSICAO!$Y$49*CUSTOS!$S$3</f>
        <v>0</v>
      </c>
      <c r="Z49" s="19">
        <f>TRANSICAO!$Z$49*CUSTOS!$S$3</f>
        <v>0</v>
      </c>
      <c r="AA49" s="19">
        <f>TRANSICAO!$AA$49*CUSTOS!$S$3</f>
        <v>0</v>
      </c>
      <c r="AB49" s="19">
        <f>TRANSICAO!$AB$49*CUSTOS!$S$3</f>
        <v>0</v>
      </c>
      <c r="AC49" s="19">
        <f>TRANSICAO!$AC$49*CUSTOS!$S$3</f>
        <v>0</v>
      </c>
      <c r="AD49" s="19">
        <f>TRANSICAO!$AD$49*CUSTOS!$S$3</f>
        <v>0</v>
      </c>
      <c r="AE49" s="19">
        <v>0</v>
      </c>
      <c r="AF49" s="19">
        <v>0</v>
      </c>
      <c r="AG49" s="19"/>
      <c r="AH49" s="19">
        <v>17.204699999999999</v>
      </c>
      <c r="AI49" s="19">
        <v>17.204699999999999</v>
      </c>
      <c r="AJ49" s="19">
        <f ca="1">$N$101</f>
        <v>10.84761456649813</v>
      </c>
      <c r="AK49" s="19">
        <f t="shared" ca="1" si="1"/>
        <v>10.84761456649813</v>
      </c>
      <c r="AL49" s="19"/>
      <c r="AM49" s="19"/>
      <c r="AP49" s="19">
        <v>1</v>
      </c>
    </row>
    <row r="50" spans="1:42" ht="11.25" customHeight="1" x14ac:dyDescent="0.25">
      <c r="A50" s="119" t="s">
        <v>97</v>
      </c>
      <c r="B50" s="119" t="s">
        <v>64</v>
      </c>
      <c r="C50" s="119" t="s">
        <v>25</v>
      </c>
      <c r="D50" s="119" t="s">
        <v>25</v>
      </c>
      <c r="E50" s="22" t="s">
        <v>98</v>
      </c>
      <c r="F50" s="22" t="s">
        <v>25</v>
      </c>
      <c r="G50" s="21" t="s">
        <v>9</v>
      </c>
      <c r="H50" s="21" t="s">
        <v>91</v>
      </c>
      <c r="I50" s="21">
        <f>'MERCADO TUSD'!$U$47+0.00000001</f>
        <v>1E-8</v>
      </c>
      <c r="J50" s="17"/>
      <c r="L50" s="19">
        <v>0</v>
      </c>
      <c r="M50" s="19">
        <v>7.1000000000000004E-3</v>
      </c>
      <c r="N50" s="19">
        <f>0.0179</f>
        <v>1.7899999999999999E-2</v>
      </c>
      <c r="O50" s="19">
        <v>0</v>
      </c>
      <c r="P50" s="19">
        <v>0</v>
      </c>
      <c r="Q50" s="19">
        <v>0</v>
      </c>
      <c r="R50" s="19">
        <v>0</v>
      </c>
      <c r="S50" s="19">
        <v>0</v>
      </c>
      <c r="T50" s="19"/>
      <c r="U50" s="19">
        <f>TRANSICAO!$U$50*CUSTOS!$T$4</f>
        <v>0</v>
      </c>
      <c r="V50" s="19">
        <f>TRANSICAO!$V$50*CUSTOS!$T$4</f>
        <v>0</v>
      </c>
      <c r="W50" s="19">
        <f>TRANSICAO!$W$50*CUSTOS!$T$4</f>
        <v>0</v>
      </c>
      <c r="X50" s="19">
        <f>TRANSICAO!$X$50*CUSTOS!$T$4</f>
        <v>0</v>
      </c>
      <c r="Y50" s="19">
        <f>TRANSICAO!$Y$50*CUSTOS!$T$4</f>
        <v>0</v>
      </c>
      <c r="Z50" s="19">
        <f>TRANSICAO!$Z$50*CUSTOS!$T$4</f>
        <v>0</v>
      </c>
      <c r="AA50" s="19">
        <f>TRANSICAO!$AA$50*CUSTOS!$T$4</f>
        <v>0</v>
      </c>
      <c r="AB50" s="19">
        <f>TRANSICAO!$AB$50*CUSTOS!$T$4</f>
        <v>0</v>
      </c>
      <c r="AC50" s="19">
        <f>TRANSICAO!$AC$50*CUSTOS!$T$4</f>
        <v>1.7828999999999999</v>
      </c>
      <c r="AD50" s="19">
        <f>TRANSICAO!$AD$50*CUSTOS!$T$4</f>
        <v>0</v>
      </c>
      <c r="AE50" s="19">
        <v>0</v>
      </c>
      <c r="AF50" s="19">
        <v>0</v>
      </c>
      <c r="AG50" s="19"/>
      <c r="AH50" s="19">
        <v>0</v>
      </c>
      <c r="AI50" s="19">
        <v>0</v>
      </c>
      <c r="AJ50" s="19">
        <v>0</v>
      </c>
      <c r="AK50" s="19">
        <f t="shared" si="1"/>
        <v>0</v>
      </c>
      <c r="AL50" s="19"/>
      <c r="AM50" s="19"/>
      <c r="AP50" s="19"/>
    </row>
    <row r="51" spans="1:42" ht="11.25" customHeight="1" x14ac:dyDescent="0.25">
      <c r="A51" s="119"/>
      <c r="B51" s="119"/>
      <c r="C51" s="119"/>
      <c r="D51" s="119"/>
      <c r="E51" s="22" t="s">
        <v>99</v>
      </c>
      <c r="F51" s="22" t="s">
        <v>25</v>
      </c>
      <c r="G51" s="21" t="s">
        <v>9</v>
      </c>
      <c r="H51" s="21" t="s">
        <v>91</v>
      </c>
      <c r="I51" s="21">
        <f>'MERCADO TUSD'!$U$48+0.00000001</f>
        <v>1E-8</v>
      </c>
      <c r="J51" s="17"/>
      <c r="L51" s="19">
        <v>0</v>
      </c>
      <c r="M51" s="19">
        <v>7.1000000000000004E-3</v>
      </c>
      <c r="N51" s="19">
        <f>0.0179</f>
        <v>1.7899999999999999E-2</v>
      </c>
      <c r="O51" s="19">
        <v>0</v>
      </c>
      <c r="P51" s="19">
        <v>0</v>
      </c>
      <c r="Q51" s="19">
        <v>0</v>
      </c>
      <c r="R51" s="19">
        <v>0</v>
      </c>
      <c r="S51" s="19">
        <v>0</v>
      </c>
      <c r="T51" s="19"/>
      <c r="U51" s="19">
        <f>TRANSICAO!$U$51*CUSTOS!$T$4</f>
        <v>0</v>
      </c>
      <c r="V51" s="19">
        <f>TRANSICAO!$V$51*CUSTOS!$T$4</f>
        <v>0</v>
      </c>
      <c r="W51" s="19">
        <f>TRANSICAO!$W$51*CUSTOS!$T$4</f>
        <v>0</v>
      </c>
      <c r="X51" s="19">
        <f>TRANSICAO!$X$51*CUSTOS!$T$4</f>
        <v>0</v>
      </c>
      <c r="Y51" s="19">
        <f>TRANSICAO!$Y$51*CUSTOS!$T$4</f>
        <v>0</v>
      </c>
      <c r="Z51" s="19">
        <f>TRANSICAO!$Z$51*CUSTOS!$T$4</f>
        <v>0</v>
      </c>
      <c r="AA51" s="19">
        <f>TRANSICAO!$AA$51*CUSTOS!$T$4</f>
        <v>0</v>
      </c>
      <c r="AB51" s="19">
        <f>TRANSICAO!$AB$51*CUSTOS!$T$4</f>
        <v>0</v>
      </c>
      <c r="AC51" s="19">
        <f>TRANSICAO!$AC$51*CUSTOS!$T$4</f>
        <v>6.6444000000000001</v>
      </c>
      <c r="AD51" s="19">
        <f>TRANSICAO!$AD$51*CUSTOS!$T$4</f>
        <v>0</v>
      </c>
      <c r="AE51" s="19">
        <v>0</v>
      </c>
      <c r="AF51" s="19">
        <v>0</v>
      </c>
      <c r="AG51" s="19"/>
      <c r="AH51" s="19">
        <v>0</v>
      </c>
      <c r="AI51" s="19">
        <v>0</v>
      </c>
      <c r="AJ51" s="19">
        <v>0</v>
      </c>
      <c r="AK51" s="19">
        <f t="shared" si="1"/>
        <v>0</v>
      </c>
      <c r="AL51" s="19"/>
      <c r="AM51" s="19"/>
      <c r="AP51" s="19"/>
    </row>
    <row r="52" spans="1:42" ht="11.25" customHeight="1" x14ac:dyDescent="0.25">
      <c r="A52" s="119" t="s">
        <v>22</v>
      </c>
      <c r="B52" s="119" t="s">
        <v>37</v>
      </c>
      <c r="C52" s="119" t="s">
        <v>24</v>
      </c>
      <c r="D52" s="119" t="s">
        <v>24</v>
      </c>
      <c r="E52" s="119" t="s">
        <v>25</v>
      </c>
      <c r="F52" s="119" t="s">
        <v>25</v>
      </c>
      <c r="G52" s="21" t="s">
        <v>89</v>
      </c>
      <c r="H52" s="21" t="s">
        <v>88</v>
      </c>
      <c r="I52" s="21">
        <f>'MERCADO TUSD'!$U$49</f>
        <v>253.625</v>
      </c>
      <c r="J52" s="17"/>
      <c r="L52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L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</f>
        <v>0</v>
      </c>
      <c r="M52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M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</f>
        <v>0.44653774390741613</v>
      </c>
      <c r="N52" s="19">
        <f ca="1">(+M52+O52+R52+U52+V52+W52+X52+Y52+Z52+AA52+AC52+AH52+AI52+AJ52+AK52)*CUSTOS!$M$5</f>
        <v>3.4397152834232534</v>
      </c>
      <c r="O52" s="19">
        <v>1</v>
      </c>
      <c r="P52" s="19">
        <v>1</v>
      </c>
      <c r="Q52" s="19">
        <f>1</f>
        <v>1</v>
      </c>
      <c r="R52" s="19">
        <v>1</v>
      </c>
      <c r="S52" s="19">
        <v>1</v>
      </c>
      <c r="T52" s="19"/>
      <c r="U52" s="19">
        <f>TRANSICAO!$U$52*CUSTOS!$T$3</f>
        <v>17.880099999999999</v>
      </c>
      <c r="V52" s="19">
        <f>TRANSICAO!$V$52*CUSTOS!$T$3</f>
        <v>6.4622999999999999</v>
      </c>
      <c r="W52" s="19">
        <f>TRANSICAO!$W$52*CUSTOS!$T$3</f>
        <v>0.63370000000000004</v>
      </c>
      <c r="X52" s="19">
        <f>TRANSICAO!$X$52*CUSTOS!$T$3</f>
        <v>0</v>
      </c>
      <c r="Y52" s="19">
        <f>TRANSICAO!$Y$52*CUSTOS!$T$3</f>
        <v>0</v>
      </c>
      <c r="Z52" s="19">
        <f>TRANSICAO!$Z$52*CUSTOS!$T$3</f>
        <v>0</v>
      </c>
      <c r="AA52" s="19">
        <f>TRANSICAO!$AA$52*CUSTOS!$T$3</f>
        <v>0</v>
      </c>
      <c r="AB52" s="19">
        <f>TRANSICAO!$AB$52*CUSTOS!$T$3</f>
        <v>0</v>
      </c>
      <c r="AC52" s="19">
        <f>TRANSICAO!$AC$52*CUSTOS!$T$3</f>
        <v>263.20170000000002</v>
      </c>
      <c r="AD52" s="19">
        <f>TRANSICAO!$AD$52*CUSTOS!$T$3</f>
        <v>0</v>
      </c>
      <c r="AE52" s="19">
        <v>0</v>
      </c>
      <c r="AF52" s="19">
        <v>0</v>
      </c>
      <c r="AG52" s="19"/>
      <c r="AH52" s="19">
        <v>17.204699999999999</v>
      </c>
      <c r="AI52" s="19">
        <v>17.204699999999999</v>
      </c>
      <c r="AJ52" s="19">
        <f ca="1">$N$102</f>
        <v>9.4688952992089614</v>
      </c>
      <c r="AK52" s="19">
        <f t="shared" ca="1" si="1"/>
        <v>9.4688952992089614</v>
      </c>
      <c r="AL52" s="19"/>
      <c r="AM52" s="19"/>
      <c r="AP52" s="19">
        <v>1</v>
      </c>
    </row>
    <row r="53" spans="1:42" ht="11.25" customHeight="1" x14ac:dyDescent="0.25">
      <c r="A53" s="119"/>
      <c r="B53" s="119"/>
      <c r="C53" s="119"/>
      <c r="D53" s="119"/>
      <c r="E53" s="119"/>
      <c r="F53" s="119"/>
      <c r="G53" s="21" t="s">
        <v>100</v>
      </c>
      <c r="H53" s="21" t="s">
        <v>88</v>
      </c>
      <c r="I53" s="21">
        <f>'MERCADO TUSD'!$U$50</f>
        <v>165.69400000000005</v>
      </c>
      <c r="J53" s="17"/>
      <c r="L53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L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</f>
        <v>0</v>
      </c>
      <c r="M53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M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</f>
        <v>0.44653774390741613</v>
      </c>
      <c r="N53" s="19">
        <f ca="1">(+M53+O53+R53+U53+V53+W53+X53+Y53+Z53+AA53+AC53+AH53+AI53+AJ53+AK53)*CUSTOS!$M$5</f>
        <v>2.2870032834232532</v>
      </c>
      <c r="O53" s="19">
        <v>1</v>
      </c>
      <c r="P53" s="19">
        <v>1</v>
      </c>
      <c r="Q53" s="19">
        <f>1</f>
        <v>1</v>
      </c>
      <c r="R53" s="19">
        <v>1</v>
      </c>
      <c r="S53" s="19">
        <v>1</v>
      </c>
      <c r="T53" s="19"/>
      <c r="U53" s="19">
        <f>TRANSICAO!$U$53*CUSTOS!$T$3</f>
        <v>10.728</v>
      </c>
      <c r="V53" s="19">
        <f>TRANSICAO!$V$53*CUSTOS!$T$3</f>
        <v>3.8774000000000002</v>
      </c>
      <c r="W53" s="19">
        <f>TRANSICAO!$W$53*CUSTOS!$T$3</f>
        <v>0.38019999999999998</v>
      </c>
      <c r="X53" s="19">
        <f>TRANSICAO!$X$53*CUSTOS!$T$3</f>
        <v>0</v>
      </c>
      <c r="Y53" s="19">
        <f>TRANSICAO!$Y$53*CUSTOS!$T$3</f>
        <v>0</v>
      </c>
      <c r="Z53" s="19">
        <f>TRANSICAO!$Z$53*CUSTOS!$T$3</f>
        <v>0</v>
      </c>
      <c r="AA53" s="19">
        <f>TRANSICAO!$AA$53*CUSTOS!$T$3</f>
        <v>0</v>
      </c>
      <c r="AB53" s="19">
        <f>TRANSICAO!$AB$53*CUSTOS!$T$3</f>
        <v>0</v>
      </c>
      <c r="AC53" s="19">
        <f>TRANSICAO!$AC$53*CUSTOS!$T$3</f>
        <v>157.92099999999999</v>
      </c>
      <c r="AD53" s="19">
        <f>TRANSICAO!$AD$53*CUSTOS!$T$3</f>
        <v>0</v>
      </c>
      <c r="AE53" s="19">
        <v>0</v>
      </c>
      <c r="AF53" s="19">
        <v>0</v>
      </c>
      <c r="AG53" s="19"/>
      <c r="AH53" s="19">
        <v>17.204699999999999</v>
      </c>
      <c r="AI53" s="19">
        <v>17.204699999999999</v>
      </c>
      <c r="AJ53" s="19">
        <f ca="1">$N$102</f>
        <v>9.4688952992089614</v>
      </c>
      <c r="AK53" s="19">
        <f t="shared" ca="1" si="1"/>
        <v>9.4688952992089614</v>
      </c>
      <c r="AL53" s="19"/>
      <c r="AM53" s="19"/>
      <c r="AP53" s="19">
        <v>1</v>
      </c>
    </row>
    <row r="54" spans="1:42" ht="11.25" customHeight="1" x14ac:dyDescent="0.25">
      <c r="A54" s="119"/>
      <c r="B54" s="119"/>
      <c r="C54" s="119"/>
      <c r="D54" s="119"/>
      <c r="E54" s="119"/>
      <c r="F54" s="119"/>
      <c r="G54" s="21" t="s">
        <v>90</v>
      </c>
      <c r="H54" s="21" t="s">
        <v>88</v>
      </c>
      <c r="I54" s="21">
        <f>'MERCADO TUSD'!$U$51</f>
        <v>2116.5709999999999</v>
      </c>
      <c r="J54" s="17"/>
      <c r="L54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L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</f>
        <v>0</v>
      </c>
      <c r="M54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M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</f>
        <v>0.44653774390741613</v>
      </c>
      <c r="N54" s="19">
        <f ca="1">(+M54+O54+R54+U54+V54+W54+X54+Y54+Z54+AA54+AC54+AH54+AI54+AJ54+AK54)*CUSTOS!$M$5</f>
        <v>1.1342922834232536</v>
      </c>
      <c r="O54" s="19">
        <v>1</v>
      </c>
      <c r="P54" s="19">
        <v>1</v>
      </c>
      <c r="Q54" s="19">
        <f>1</f>
        <v>1</v>
      </c>
      <c r="R54" s="19">
        <v>1</v>
      </c>
      <c r="S54" s="19">
        <v>1</v>
      </c>
      <c r="T54" s="19"/>
      <c r="U54" s="19">
        <f>TRANSICAO!$U$54*CUSTOS!$T$3</f>
        <v>3.5760000000000001</v>
      </c>
      <c r="V54" s="19">
        <f>TRANSICAO!$V$54*CUSTOS!$T$3</f>
        <v>1.2925</v>
      </c>
      <c r="W54" s="19">
        <f>TRANSICAO!$W$54*CUSTOS!$T$3</f>
        <v>0.12670000000000001</v>
      </c>
      <c r="X54" s="19">
        <f>TRANSICAO!$X$54*CUSTOS!$T$3</f>
        <v>0</v>
      </c>
      <c r="Y54" s="19">
        <f>TRANSICAO!$Y$54*CUSTOS!$T$3</f>
        <v>0</v>
      </c>
      <c r="Z54" s="19">
        <f>TRANSICAO!$Z$54*CUSTOS!$T$3</f>
        <v>0</v>
      </c>
      <c r="AA54" s="19">
        <f>TRANSICAO!$AA$54*CUSTOS!$T$3</f>
        <v>0</v>
      </c>
      <c r="AB54" s="19">
        <f>TRANSICAO!$AB$54*CUSTOS!$T$3</f>
        <v>0</v>
      </c>
      <c r="AC54" s="19">
        <f>TRANSICAO!$AC$54*CUSTOS!$T$3</f>
        <v>52.640300000000003</v>
      </c>
      <c r="AD54" s="19">
        <f>TRANSICAO!$AD$54*CUSTOS!$T$3</f>
        <v>0</v>
      </c>
      <c r="AE54" s="19">
        <v>0</v>
      </c>
      <c r="AF54" s="19">
        <v>0</v>
      </c>
      <c r="AG54" s="19"/>
      <c r="AH54" s="19">
        <v>17.204699999999999</v>
      </c>
      <c r="AI54" s="19">
        <v>17.204699999999999</v>
      </c>
      <c r="AJ54" s="19">
        <f ca="1">$N$102</f>
        <v>9.4688952992089614</v>
      </c>
      <c r="AK54" s="19">
        <f t="shared" ca="1" si="1"/>
        <v>9.4688952992089614</v>
      </c>
      <c r="AL54" s="19"/>
      <c r="AM54" s="19"/>
      <c r="AP54" s="19">
        <v>1</v>
      </c>
    </row>
    <row r="55" spans="1:42" ht="11.25" customHeight="1" x14ac:dyDescent="0.25">
      <c r="A55" s="119"/>
      <c r="B55" s="119" t="s">
        <v>23</v>
      </c>
      <c r="C55" s="119" t="s">
        <v>24</v>
      </c>
      <c r="D55" s="22" t="s">
        <v>24</v>
      </c>
      <c r="E55" s="22" t="s">
        <v>25</v>
      </c>
      <c r="F55" s="22" t="s">
        <v>25</v>
      </c>
      <c r="G55" s="21" t="s">
        <v>94</v>
      </c>
      <c r="H55" s="21" t="s">
        <v>88</v>
      </c>
      <c r="I55" s="21">
        <f>'MERCADO TUSD'!$U$52</f>
        <v>2322476.7919999999</v>
      </c>
      <c r="J55" s="17"/>
      <c r="L55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L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</f>
        <v>0</v>
      </c>
      <c r="M55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M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</f>
        <v>0.44653774390741613</v>
      </c>
      <c r="N55" s="19">
        <f ca="1">(+M55+O55+R55+U55+V55+W55+X55+Y55+Z55+AA55+AC55+AH55+AI55+AJ55+AK55)*CUSTOS!$M$5</f>
        <v>1.5690872834232534</v>
      </c>
      <c r="O55" s="19">
        <v>1</v>
      </c>
      <c r="P55" s="19">
        <v>1</v>
      </c>
      <c r="Q55" s="19">
        <f>1</f>
        <v>1</v>
      </c>
      <c r="R55" s="19">
        <v>1</v>
      </c>
      <c r="S55" s="19">
        <v>1</v>
      </c>
      <c r="T55" s="19"/>
      <c r="U55" s="19">
        <f>TRANSICAO!$U$55*CUSTOS!$T$3</f>
        <v>6.2736999999999998</v>
      </c>
      <c r="V55" s="19">
        <f>TRANSICAO!$V$55*CUSTOS!$T$3</f>
        <v>2.2675000000000001</v>
      </c>
      <c r="W55" s="19">
        <f>TRANSICAO!$W$55*CUSTOS!$T$3</f>
        <v>0.2223</v>
      </c>
      <c r="X55" s="19">
        <f>TRANSICAO!$X$55*CUSTOS!$T$3</f>
        <v>0</v>
      </c>
      <c r="Y55" s="19">
        <f>TRANSICAO!$Y$55*CUSTOS!$T$3</f>
        <v>0</v>
      </c>
      <c r="Z55" s="19">
        <f>TRANSICAO!$Z$55*CUSTOS!$T$3</f>
        <v>0</v>
      </c>
      <c r="AA55" s="19">
        <f>TRANSICAO!$AA$55*CUSTOS!$T$3</f>
        <v>0</v>
      </c>
      <c r="AB55" s="19">
        <f>TRANSICAO!$AB$55*CUSTOS!$T$3</f>
        <v>0</v>
      </c>
      <c r="AC55" s="19">
        <f>TRANSICAO!$AC$55*CUSTOS!$T$3</f>
        <v>92.351500000000001</v>
      </c>
      <c r="AD55" s="19">
        <f>TRANSICAO!$AD$55*CUSTOS!$T$3</f>
        <v>0</v>
      </c>
      <c r="AE55" s="19">
        <v>0</v>
      </c>
      <c r="AF55" s="19">
        <v>0</v>
      </c>
      <c r="AG55" s="19"/>
      <c r="AH55" s="19">
        <v>17.204699999999999</v>
      </c>
      <c r="AI55" s="19">
        <v>17.204699999999999</v>
      </c>
      <c r="AJ55" s="19">
        <f ca="1">$N$102</f>
        <v>9.4688952992089614</v>
      </c>
      <c r="AK55" s="19">
        <f t="shared" ca="1" si="1"/>
        <v>9.4688952992089614</v>
      </c>
      <c r="AL55" s="19"/>
      <c r="AM55" s="19"/>
      <c r="AP55" s="19">
        <v>1</v>
      </c>
    </row>
    <row r="56" spans="1:42" ht="11.25" customHeight="1" x14ac:dyDescent="0.25">
      <c r="A56" s="119"/>
      <c r="B56" s="119"/>
      <c r="C56" s="119"/>
      <c r="D56" s="22" t="s">
        <v>29</v>
      </c>
      <c r="E56" s="22" t="s">
        <v>25</v>
      </c>
      <c r="F56" s="22" t="s">
        <v>25</v>
      </c>
      <c r="G56" s="21" t="s">
        <v>94</v>
      </c>
      <c r="H56" s="21" t="s">
        <v>88</v>
      </c>
      <c r="I56" s="21">
        <f>'MERCADO TUSD'!$U$53</f>
        <v>3506.9700000000003</v>
      </c>
      <c r="J56" s="17"/>
      <c r="L56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L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CUSTOS!$M$24)</f>
        <v>0</v>
      </c>
      <c r="M56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M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CUSTOS!$M$24)</f>
        <v>0.44653774390741613</v>
      </c>
      <c r="N56" s="19">
        <f ca="1">(+M56+O56+R56+U56+V56+W56+X56+Y56+Z56+AA56+AC56+AH56+AI56+AJ56+AK56)*CUSTOS!$M$5</f>
        <v>1.5590872834232534</v>
      </c>
      <c r="O56" s="19">
        <f>1 - CUSTOS!$M$24</f>
        <v>1</v>
      </c>
      <c r="P56" s="19">
        <v>0</v>
      </c>
      <c r="Q56" s="19">
        <v>0</v>
      </c>
      <c r="R56" s="19">
        <v>0</v>
      </c>
      <c r="S56" s="19">
        <f>1 - CUSTOS!$M$24</f>
        <v>1</v>
      </c>
      <c r="T56" s="19"/>
      <c r="U56" s="19">
        <f>TRANSICAO!$U$56*CUSTOS!$T$3</f>
        <v>6.2736999999999998</v>
      </c>
      <c r="V56" s="19">
        <f>TRANSICAO!$V$56*CUSTOS!$T$3</f>
        <v>2.2675000000000001</v>
      </c>
      <c r="W56" s="19">
        <f>TRANSICAO!$W$56*CUSTOS!$T$3</f>
        <v>0.2223</v>
      </c>
      <c r="X56" s="19">
        <f>TRANSICAO!$X$56*CUSTOS!$T$3</f>
        <v>0</v>
      </c>
      <c r="Y56" s="19">
        <f>TRANSICAO!$Y$56*CUSTOS!$T$3</f>
        <v>0</v>
      </c>
      <c r="Z56" s="19">
        <f>TRANSICAO!$Z$56*CUSTOS!$T$3</f>
        <v>0</v>
      </c>
      <c r="AA56" s="19">
        <f>TRANSICAO!$AA$56*CUSTOS!$T$3</f>
        <v>0</v>
      </c>
      <c r="AB56" s="19">
        <f>TRANSICAO!$AB$56*CUSTOS!$T$3</f>
        <v>0</v>
      </c>
      <c r="AC56" s="19">
        <f>TRANSICAO!$AC$56*CUSTOS!$T$3</f>
        <v>92.351500000000001</v>
      </c>
      <c r="AD56" s="19">
        <f>TRANSICAO!$AD$56*CUSTOS!$T$3</f>
        <v>0</v>
      </c>
      <c r="AE56" s="19">
        <v>0</v>
      </c>
      <c r="AF56" s="19">
        <v>0</v>
      </c>
      <c r="AG56" s="19"/>
      <c r="AH56" s="19">
        <f>(1 - CUSTOS!$M$24)*17.2047</f>
        <v>17.204699999999999</v>
      </c>
      <c r="AI56" s="19">
        <f>(1 - CUSTOS!$M$24)*17.2047</f>
        <v>17.204699999999999</v>
      </c>
      <c r="AJ56" s="19">
        <f ca="1">$N$102*(1-CUSTOS!$M$24)</f>
        <v>9.4688952992089614</v>
      </c>
      <c r="AK56" s="19">
        <f t="shared" ca="1" si="1"/>
        <v>9.4688952992089614</v>
      </c>
      <c r="AL56" s="19"/>
      <c r="AM56" s="19"/>
      <c r="AP56" s="19">
        <f>IF((1 - CUSTOS!$M$24)&lt;&gt;0,1/(1 - CUSTOS!$M$24),1)</f>
        <v>1</v>
      </c>
    </row>
    <row r="57" spans="1:42" ht="11.25" customHeight="1" x14ac:dyDescent="0.25">
      <c r="A57" s="119"/>
      <c r="B57" s="119"/>
      <c r="C57" s="119"/>
      <c r="D57" s="22" t="s">
        <v>30</v>
      </c>
      <c r="E57" s="22" t="s">
        <v>25</v>
      </c>
      <c r="F57" s="22" t="s">
        <v>25</v>
      </c>
      <c r="G57" s="21" t="s">
        <v>94</v>
      </c>
      <c r="H57" s="21" t="s">
        <v>88</v>
      </c>
      <c r="I57" s="21">
        <f>'MERCADO TUSD'!$U$54</f>
        <v>7395.655999999999</v>
      </c>
      <c r="J57" s="17"/>
      <c r="L57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L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CUSTOS!$M$25)</f>
        <v>0</v>
      </c>
      <c r="M57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M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CUSTOS!$M$25)</f>
        <v>0.44653774390741613</v>
      </c>
      <c r="N57" s="19">
        <f ca="1">(+M57+O57+R57+U57+V57+W57+X57+Y57+Z57+AA57+AC57+AH57+AI57+AJ57+AK57)*CUSTOS!$M$5</f>
        <v>1.5590872834232534</v>
      </c>
      <c r="O57" s="19">
        <f>1 - CUSTOS!$M$25</f>
        <v>1</v>
      </c>
      <c r="P57" s="19">
        <v>0</v>
      </c>
      <c r="Q57" s="19">
        <v>0</v>
      </c>
      <c r="R57" s="19">
        <v>0</v>
      </c>
      <c r="S57" s="19">
        <f>1 - CUSTOS!$M$25</f>
        <v>1</v>
      </c>
      <c r="T57" s="19"/>
      <c r="U57" s="19">
        <f>TRANSICAO!$U$57*CUSTOS!$T$3</f>
        <v>6.2736999999999998</v>
      </c>
      <c r="V57" s="19">
        <f>TRANSICAO!$V$57*CUSTOS!$T$3</f>
        <v>2.2675000000000001</v>
      </c>
      <c r="W57" s="19">
        <f>TRANSICAO!$W$57*CUSTOS!$T$3</f>
        <v>0.2223</v>
      </c>
      <c r="X57" s="19">
        <f>TRANSICAO!$X$57*CUSTOS!$T$3</f>
        <v>0</v>
      </c>
      <c r="Y57" s="19">
        <f>TRANSICAO!$Y$57*CUSTOS!$T$3</f>
        <v>0</v>
      </c>
      <c r="Z57" s="19">
        <f>TRANSICAO!$Z$57*CUSTOS!$T$3</f>
        <v>0</v>
      </c>
      <c r="AA57" s="19">
        <f>TRANSICAO!$AA$57*CUSTOS!$T$3</f>
        <v>0</v>
      </c>
      <c r="AB57" s="19">
        <f>TRANSICAO!$AB$57*CUSTOS!$T$3</f>
        <v>0</v>
      </c>
      <c r="AC57" s="19">
        <f>TRANSICAO!$AC$57*CUSTOS!$T$3</f>
        <v>92.351500000000001</v>
      </c>
      <c r="AD57" s="19">
        <f>TRANSICAO!$AD$57*CUSTOS!$T$3</f>
        <v>0</v>
      </c>
      <c r="AE57" s="19">
        <v>0</v>
      </c>
      <c r="AF57" s="19">
        <v>0</v>
      </c>
      <c r="AG57" s="19"/>
      <c r="AH57" s="19">
        <f>(1 - CUSTOS!$M$25)*17.2047</f>
        <v>17.204699999999999</v>
      </c>
      <c r="AI57" s="19">
        <f>(1 - CUSTOS!$M$25)*17.2047</f>
        <v>17.204699999999999</v>
      </c>
      <c r="AJ57" s="19">
        <f ca="1">$N$102*(1-CUSTOS!$M$25)</f>
        <v>9.4688952992089614</v>
      </c>
      <c r="AK57" s="19">
        <f t="shared" ca="1" si="1"/>
        <v>9.4688952992089614</v>
      </c>
      <c r="AL57" s="19"/>
      <c r="AM57" s="19"/>
      <c r="AP57" s="19">
        <f>IF((1 - CUSTOS!$M$25)&lt;&gt;0,1/(1 - CUSTOS!$M$25),1)</f>
        <v>1</v>
      </c>
    </row>
    <row r="58" spans="1:42" ht="11.25" customHeight="1" x14ac:dyDescent="0.25">
      <c r="A58" s="119"/>
      <c r="B58" s="119"/>
      <c r="C58" s="119"/>
      <c r="D58" s="22" t="s">
        <v>31</v>
      </c>
      <c r="E58" s="22" t="s">
        <v>25</v>
      </c>
      <c r="F58" s="22" t="s">
        <v>25</v>
      </c>
      <c r="G58" s="21" t="s">
        <v>94</v>
      </c>
      <c r="H58" s="21" t="s">
        <v>88</v>
      </c>
      <c r="I58" s="21">
        <f>'MERCADO TUSD'!$U$55</f>
        <v>7295.3609999999999</v>
      </c>
      <c r="J58" s="17"/>
      <c r="L58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L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CUSTOS!$M$26)</f>
        <v>0</v>
      </c>
      <c r="M58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M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CUSTOS!$M$26)</f>
        <v>0.44653774390741613</v>
      </c>
      <c r="N58" s="19">
        <f ca="1">(+M58+O58+R58+U58+V58+W58+X58+Y58+Z58+AA58+AC58+AH58+AI58+AJ58+AK58)*CUSTOS!$M$5</f>
        <v>1.5590872834232534</v>
      </c>
      <c r="O58" s="19">
        <f>1 - CUSTOS!$M$26</f>
        <v>1</v>
      </c>
      <c r="P58" s="19">
        <v>0</v>
      </c>
      <c r="Q58" s="19">
        <v>0</v>
      </c>
      <c r="R58" s="19">
        <v>0</v>
      </c>
      <c r="S58" s="19">
        <f>1 - CUSTOS!$M$26</f>
        <v>1</v>
      </c>
      <c r="T58" s="19"/>
      <c r="U58" s="19">
        <f>TRANSICAO!$U$58*CUSTOS!$T$3</f>
        <v>6.2736999999999998</v>
      </c>
      <c r="V58" s="19">
        <f>TRANSICAO!$V$58*CUSTOS!$T$3</f>
        <v>2.2675000000000001</v>
      </c>
      <c r="W58" s="19">
        <f>TRANSICAO!$W$58*CUSTOS!$T$3</f>
        <v>0.2223</v>
      </c>
      <c r="X58" s="19">
        <f>TRANSICAO!$X$58*CUSTOS!$T$3</f>
        <v>0</v>
      </c>
      <c r="Y58" s="19">
        <f>TRANSICAO!$Y$58*CUSTOS!$T$3</f>
        <v>0</v>
      </c>
      <c r="Z58" s="19">
        <f>TRANSICAO!$Z$58*CUSTOS!$T$3</f>
        <v>0</v>
      </c>
      <c r="AA58" s="19">
        <f>TRANSICAO!$AA$58*CUSTOS!$T$3</f>
        <v>0</v>
      </c>
      <c r="AB58" s="19">
        <f>TRANSICAO!$AB$58*CUSTOS!$T$3</f>
        <v>0</v>
      </c>
      <c r="AC58" s="19">
        <f>TRANSICAO!$AC$58*CUSTOS!$T$3</f>
        <v>92.351500000000001</v>
      </c>
      <c r="AD58" s="19">
        <f>TRANSICAO!$AD$58*CUSTOS!$T$3</f>
        <v>0</v>
      </c>
      <c r="AE58" s="19">
        <v>0</v>
      </c>
      <c r="AF58" s="19">
        <v>0</v>
      </c>
      <c r="AG58" s="19"/>
      <c r="AH58" s="19">
        <f>(1 - CUSTOS!$M$26)*17.2047</f>
        <v>17.204699999999999</v>
      </c>
      <c r="AI58" s="19">
        <f>(1 - CUSTOS!$M$26)*17.2047</f>
        <v>17.204699999999999</v>
      </c>
      <c r="AJ58" s="19">
        <f ca="1">$N$102*(1-CUSTOS!$M$26)</f>
        <v>9.4688952992089614</v>
      </c>
      <c r="AK58" s="19">
        <f t="shared" ca="1" si="1"/>
        <v>9.4688952992089614</v>
      </c>
      <c r="AL58" s="19"/>
      <c r="AM58" s="19"/>
      <c r="AP58" s="19">
        <f>IF((1 - CUSTOS!$M$26)&lt;&gt;0,1/(1 - CUSTOS!$M$26),1)</f>
        <v>1</v>
      </c>
    </row>
    <row r="59" spans="1:42" ht="11.25" customHeight="1" x14ac:dyDescent="0.25">
      <c r="A59" s="119"/>
      <c r="B59" s="119"/>
      <c r="C59" s="119"/>
      <c r="D59" s="22" t="s">
        <v>32</v>
      </c>
      <c r="E59" s="22" t="s">
        <v>25</v>
      </c>
      <c r="F59" s="22" t="s">
        <v>25</v>
      </c>
      <c r="G59" s="21" t="s">
        <v>94</v>
      </c>
      <c r="H59" s="21" t="s">
        <v>88</v>
      </c>
      <c r="I59" s="21">
        <f>'MERCADO TUSD'!$U$56</f>
        <v>2602.4059999999999</v>
      </c>
      <c r="J59" s="17"/>
      <c r="L59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L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CUSTOS!$M$27)</f>
        <v>0</v>
      </c>
      <c r="M59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M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CUSTOS!$M$27)</f>
        <v>0.44653774390741613</v>
      </c>
      <c r="N59" s="19">
        <f ca="1">(+M59+O59+R59+U59+V59+W59+X59+Y59+Z59+AA59+AC59+AH59+AI59+AJ59+AK59)*CUSTOS!$M$5</f>
        <v>1.5590872834232534</v>
      </c>
      <c r="O59" s="19">
        <f>1 - CUSTOS!$M$27</f>
        <v>1</v>
      </c>
      <c r="P59" s="19">
        <v>0</v>
      </c>
      <c r="Q59" s="19">
        <v>0</v>
      </c>
      <c r="R59" s="19">
        <v>0</v>
      </c>
      <c r="S59" s="19">
        <f>1 - CUSTOS!$M$27</f>
        <v>1</v>
      </c>
      <c r="T59" s="19"/>
      <c r="U59" s="19">
        <f>TRANSICAO!$U$59*CUSTOS!$T$3</f>
        <v>6.2736999999999998</v>
      </c>
      <c r="V59" s="19">
        <f>TRANSICAO!$V$59*CUSTOS!$T$3</f>
        <v>2.2675000000000001</v>
      </c>
      <c r="W59" s="19">
        <f>TRANSICAO!$W$59*CUSTOS!$T$3</f>
        <v>0.2223</v>
      </c>
      <c r="X59" s="19">
        <f>TRANSICAO!$X$59*CUSTOS!$T$3</f>
        <v>0</v>
      </c>
      <c r="Y59" s="19">
        <f>TRANSICAO!$Y$59*CUSTOS!$T$3</f>
        <v>0</v>
      </c>
      <c r="Z59" s="19">
        <f>TRANSICAO!$Z$59*CUSTOS!$T$3</f>
        <v>0</v>
      </c>
      <c r="AA59" s="19">
        <f>TRANSICAO!$AA$59*CUSTOS!$T$3</f>
        <v>0</v>
      </c>
      <c r="AB59" s="19">
        <f>TRANSICAO!$AB$59*CUSTOS!$T$3</f>
        <v>0</v>
      </c>
      <c r="AC59" s="19">
        <f>TRANSICAO!$AC$59*CUSTOS!$T$3</f>
        <v>92.351500000000001</v>
      </c>
      <c r="AD59" s="19">
        <f>TRANSICAO!$AD$59*CUSTOS!$T$3</f>
        <v>0</v>
      </c>
      <c r="AE59" s="19">
        <v>0</v>
      </c>
      <c r="AF59" s="19">
        <v>0</v>
      </c>
      <c r="AG59" s="19"/>
      <c r="AH59" s="19">
        <f>(1 - CUSTOS!$M$27)*17.2047</f>
        <v>17.204699999999999</v>
      </c>
      <c r="AI59" s="19">
        <f>(1 - CUSTOS!$M$27)*17.2047</f>
        <v>17.204699999999999</v>
      </c>
      <c r="AJ59" s="19">
        <f ca="1">$N$102*(1-CUSTOS!$M$27)</f>
        <v>9.4688952992089614</v>
      </c>
      <c r="AK59" s="19">
        <f t="shared" ca="1" si="1"/>
        <v>9.4688952992089614</v>
      </c>
      <c r="AL59" s="19"/>
      <c r="AM59" s="19"/>
      <c r="AP59" s="19">
        <f>IF((1 - CUSTOS!$M$27)&lt;&gt;0,1/(1 - CUSTOS!$M$27),1)</f>
        <v>1</v>
      </c>
    </row>
    <row r="60" spans="1:42" ht="11.25" customHeight="1" x14ac:dyDescent="0.25">
      <c r="A60" s="119"/>
      <c r="B60" s="119" t="s">
        <v>102</v>
      </c>
      <c r="C60" s="119" t="s">
        <v>24</v>
      </c>
      <c r="D60" s="22" t="s">
        <v>24</v>
      </c>
      <c r="E60" s="22" t="s">
        <v>25</v>
      </c>
      <c r="F60" s="22" t="s">
        <v>25</v>
      </c>
      <c r="G60" s="21" t="s">
        <v>94</v>
      </c>
      <c r="H60" s="21" t="s">
        <v>88</v>
      </c>
      <c r="I60" s="21">
        <f>'MERCADO TUSD'!$U$57</f>
        <v>0</v>
      </c>
      <c r="J60" s="17"/>
      <c r="L60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L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</f>
        <v>0</v>
      </c>
      <c r="M60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M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</f>
        <v>0.44653774390741613</v>
      </c>
      <c r="N60" s="19">
        <f ca="1">(+M60+O60+R60+U60+V60+W60+X60+Y60+Z60+AA60+AC60+AH60+AI60+AJ60+AK60)*CUSTOS!$M$5</f>
        <v>1.5690872834232534</v>
      </c>
      <c r="O60" s="19">
        <v>1</v>
      </c>
      <c r="P60" s="19">
        <v>1</v>
      </c>
      <c r="Q60" s="19">
        <f>1</f>
        <v>1</v>
      </c>
      <c r="R60" s="19">
        <v>1</v>
      </c>
      <c r="S60" s="19">
        <v>1</v>
      </c>
      <c r="T60" s="19"/>
      <c r="U60" s="19">
        <f>TRANSICAO!$U$60*CUSTOS!$T$3</f>
        <v>6.2736999999999998</v>
      </c>
      <c r="V60" s="19">
        <f>TRANSICAO!$V$60*CUSTOS!$T$3</f>
        <v>2.2675000000000001</v>
      </c>
      <c r="W60" s="19">
        <f>TRANSICAO!$W$60*CUSTOS!$T$3</f>
        <v>0.2223</v>
      </c>
      <c r="X60" s="19">
        <f>TRANSICAO!$X$60*CUSTOS!$T$3</f>
        <v>0</v>
      </c>
      <c r="Y60" s="19">
        <f>TRANSICAO!$Y$60*CUSTOS!$T$3</f>
        <v>0</v>
      </c>
      <c r="Z60" s="19">
        <f>TRANSICAO!$Z$60*CUSTOS!$T$3</f>
        <v>0</v>
      </c>
      <c r="AA60" s="19">
        <f>TRANSICAO!$AA$60*CUSTOS!$T$3</f>
        <v>0</v>
      </c>
      <c r="AB60" s="19">
        <f>TRANSICAO!$AB$60*CUSTOS!$T$3</f>
        <v>0</v>
      </c>
      <c r="AC60" s="19">
        <f>TRANSICAO!$AC$60*CUSTOS!$T$3</f>
        <v>92.351500000000001</v>
      </c>
      <c r="AD60" s="19">
        <f>TRANSICAO!$AD$60*CUSTOS!$T$3</f>
        <v>0</v>
      </c>
      <c r="AE60" s="19">
        <v>0</v>
      </c>
      <c r="AF60" s="19">
        <v>0</v>
      </c>
      <c r="AG60" s="19"/>
      <c r="AH60" s="19">
        <v>17.204699999999999</v>
      </c>
      <c r="AI60" s="19">
        <v>17.204699999999999</v>
      </c>
      <c r="AJ60" s="19">
        <f ca="1">$N$102</f>
        <v>9.4688952992089614</v>
      </c>
      <c r="AK60" s="19">
        <f t="shared" ca="1" si="1"/>
        <v>9.4688952992089614</v>
      </c>
      <c r="AL60" s="19"/>
      <c r="AM60" s="19"/>
      <c r="AP60" s="19">
        <v>1</v>
      </c>
    </row>
    <row r="61" spans="1:42" ht="11.25" customHeight="1" x14ac:dyDescent="0.25">
      <c r="A61" s="119"/>
      <c r="B61" s="119"/>
      <c r="C61" s="119"/>
      <c r="D61" s="22" t="s">
        <v>29</v>
      </c>
      <c r="E61" s="22" t="s">
        <v>25</v>
      </c>
      <c r="F61" s="22" t="s">
        <v>25</v>
      </c>
      <c r="G61" s="21" t="s">
        <v>94</v>
      </c>
      <c r="H61" s="21" t="s">
        <v>88</v>
      </c>
      <c r="I61" s="21">
        <f>'MERCADO TUSD'!$U$58</f>
        <v>0</v>
      </c>
      <c r="J61" s="17"/>
      <c r="L61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L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CUSTOS!$M$24)</f>
        <v>0</v>
      </c>
      <c r="M61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M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CUSTOS!$M$24)</f>
        <v>0.44653774390741613</v>
      </c>
      <c r="N61" s="19">
        <f ca="1">(+M61+O61+R61+U61+V61+W61+X61+Y61+Z61+AA61+AC61+AH61+AI61+AJ61+AK61)*CUSTOS!$M$5</f>
        <v>1.5590872834232534</v>
      </c>
      <c r="O61" s="19">
        <f>1 - CUSTOS!$M$24</f>
        <v>1</v>
      </c>
      <c r="P61" s="19">
        <v>0</v>
      </c>
      <c r="Q61" s="19">
        <v>0</v>
      </c>
      <c r="R61" s="19">
        <v>0</v>
      </c>
      <c r="S61" s="19">
        <f>1 - CUSTOS!$M$24</f>
        <v>1</v>
      </c>
      <c r="T61" s="19"/>
      <c r="U61" s="19">
        <f>TRANSICAO!$U$61*CUSTOS!$T$3</f>
        <v>6.2736999999999998</v>
      </c>
      <c r="V61" s="19">
        <f>TRANSICAO!$V$61*CUSTOS!$T$3</f>
        <v>2.2675000000000001</v>
      </c>
      <c r="W61" s="19">
        <f>TRANSICAO!$W$61*CUSTOS!$T$3</f>
        <v>0.2223</v>
      </c>
      <c r="X61" s="19">
        <f>TRANSICAO!$X$61*CUSTOS!$T$3</f>
        <v>0</v>
      </c>
      <c r="Y61" s="19">
        <f>TRANSICAO!$Y$61*CUSTOS!$T$3</f>
        <v>0</v>
      </c>
      <c r="Z61" s="19">
        <f>TRANSICAO!$Z$61*CUSTOS!$T$3</f>
        <v>0</v>
      </c>
      <c r="AA61" s="19">
        <f>TRANSICAO!$AA$61*CUSTOS!$T$3</f>
        <v>0</v>
      </c>
      <c r="AB61" s="19">
        <f>TRANSICAO!$AB$61*CUSTOS!$T$3</f>
        <v>0</v>
      </c>
      <c r="AC61" s="19">
        <f>TRANSICAO!$AC$61*CUSTOS!$T$3</f>
        <v>92.351500000000001</v>
      </c>
      <c r="AD61" s="19">
        <f>TRANSICAO!$AD$61*CUSTOS!$T$3</f>
        <v>0</v>
      </c>
      <c r="AE61" s="19">
        <v>0</v>
      </c>
      <c r="AF61" s="19">
        <v>0</v>
      </c>
      <c r="AG61" s="19"/>
      <c r="AH61" s="19">
        <f>(1 - CUSTOS!$M$24)*17.2047</f>
        <v>17.204699999999999</v>
      </c>
      <c r="AI61" s="19">
        <f>(1 - CUSTOS!$M$24)*17.2047</f>
        <v>17.204699999999999</v>
      </c>
      <c r="AJ61" s="19">
        <f ca="1">$N$102*(1-CUSTOS!$M$24)</f>
        <v>9.4688952992089614</v>
      </c>
      <c r="AK61" s="19">
        <f t="shared" ca="1" si="1"/>
        <v>9.4688952992089614</v>
      </c>
      <c r="AL61" s="19"/>
      <c r="AM61" s="19"/>
      <c r="AP61" s="19">
        <f>IF((1 - CUSTOS!$M$24)&lt;&gt;0,1/(1 - CUSTOS!$M$24),1)</f>
        <v>1</v>
      </c>
    </row>
    <row r="62" spans="1:42" ht="11.25" customHeight="1" x14ac:dyDescent="0.25">
      <c r="A62" s="119"/>
      <c r="B62" s="119"/>
      <c r="C62" s="119"/>
      <c r="D62" s="22" t="s">
        <v>30</v>
      </c>
      <c r="E62" s="22" t="s">
        <v>25</v>
      </c>
      <c r="F62" s="22" t="s">
        <v>25</v>
      </c>
      <c r="G62" s="21" t="s">
        <v>94</v>
      </c>
      <c r="H62" s="21" t="s">
        <v>88</v>
      </c>
      <c r="I62" s="21">
        <f>'MERCADO TUSD'!$U$59</f>
        <v>0</v>
      </c>
      <c r="J62" s="17"/>
      <c r="L62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L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CUSTOS!$M$25)</f>
        <v>0</v>
      </c>
      <c r="M62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M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CUSTOS!$M$25)</f>
        <v>0.44653774390741613</v>
      </c>
      <c r="N62" s="19">
        <f ca="1">(+M62+O62+R62+U62+V62+W62+X62+Y62+Z62+AA62+AC62+AH62+AI62+AJ62+AK62)*CUSTOS!$M$5</f>
        <v>1.5590872834232534</v>
      </c>
      <c r="O62" s="19">
        <f>1 - CUSTOS!$M$25</f>
        <v>1</v>
      </c>
      <c r="P62" s="19">
        <v>0</v>
      </c>
      <c r="Q62" s="19">
        <v>0</v>
      </c>
      <c r="R62" s="19">
        <v>0</v>
      </c>
      <c r="S62" s="19">
        <f>1 - CUSTOS!$M$25</f>
        <v>1</v>
      </c>
      <c r="T62" s="19"/>
      <c r="U62" s="19">
        <f>TRANSICAO!$U$62*CUSTOS!$T$3</f>
        <v>6.2736999999999998</v>
      </c>
      <c r="V62" s="19">
        <f>TRANSICAO!$V$62*CUSTOS!$T$3</f>
        <v>2.2675000000000001</v>
      </c>
      <c r="W62" s="19">
        <f>TRANSICAO!$W$62*CUSTOS!$T$3</f>
        <v>0.2223</v>
      </c>
      <c r="X62" s="19">
        <f>TRANSICAO!$X$62*CUSTOS!$T$3</f>
        <v>0</v>
      </c>
      <c r="Y62" s="19">
        <f>TRANSICAO!$Y$62*CUSTOS!$T$3</f>
        <v>0</v>
      </c>
      <c r="Z62" s="19">
        <f>TRANSICAO!$Z$62*CUSTOS!$T$3</f>
        <v>0</v>
      </c>
      <c r="AA62" s="19">
        <f>TRANSICAO!$AA$62*CUSTOS!$T$3</f>
        <v>0</v>
      </c>
      <c r="AB62" s="19">
        <f>TRANSICAO!$AB$62*CUSTOS!$T$3</f>
        <v>0</v>
      </c>
      <c r="AC62" s="19">
        <f>TRANSICAO!$AC$62*CUSTOS!$T$3</f>
        <v>92.351500000000001</v>
      </c>
      <c r="AD62" s="19">
        <f>TRANSICAO!$AD$62*CUSTOS!$T$3</f>
        <v>0</v>
      </c>
      <c r="AE62" s="19">
        <v>0</v>
      </c>
      <c r="AF62" s="19">
        <v>0</v>
      </c>
      <c r="AG62" s="19"/>
      <c r="AH62" s="19">
        <f>(1 - CUSTOS!$M$25)*17.2047</f>
        <v>17.204699999999999</v>
      </c>
      <c r="AI62" s="19">
        <f>(1 - CUSTOS!$M$25)*17.2047</f>
        <v>17.204699999999999</v>
      </c>
      <c r="AJ62" s="19">
        <f ca="1">$N$102*(1-CUSTOS!$M$25)</f>
        <v>9.4688952992089614</v>
      </c>
      <c r="AK62" s="19">
        <f t="shared" ca="1" si="1"/>
        <v>9.4688952992089614</v>
      </c>
      <c r="AL62" s="19"/>
      <c r="AM62" s="19"/>
      <c r="AP62" s="19">
        <f>IF((1 - CUSTOS!$M$25)&lt;&gt;0,1/(1 - CUSTOS!$M$25),1)</f>
        <v>1</v>
      </c>
    </row>
    <row r="63" spans="1:42" ht="11.25" customHeight="1" x14ac:dyDescent="0.25">
      <c r="A63" s="119"/>
      <c r="B63" s="119"/>
      <c r="C63" s="119"/>
      <c r="D63" s="22" t="s">
        <v>31</v>
      </c>
      <c r="E63" s="22" t="s">
        <v>25</v>
      </c>
      <c r="F63" s="22" t="s">
        <v>25</v>
      </c>
      <c r="G63" s="21" t="s">
        <v>94</v>
      </c>
      <c r="H63" s="21" t="s">
        <v>88</v>
      </c>
      <c r="I63" s="21">
        <f>'MERCADO TUSD'!$U$60</f>
        <v>0</v>
      </c>
      <c r="J63" s="17"/>
      <c r="L63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L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CUSTOS!$M$26)</f>
        <v>0</v>
      </c>
      <c r="M63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M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CUSTOS!$M$26)</f>
        <v>0.44653774390741613</v>
      </c>
      <c r="N63" s="19">
        <f ca="1">(+M63+O63+R63+U63+V63+W63+X63+Y63+Z63+AA63+AC63+AH63+AI63+AJ63+AK63)*CUSTOS!$M$5</f>
        <v>1.5590872834232534</v>
      </c>
      <c r="O63" s="19">
        <f>1 - CUSTOS!$M$26</f>
        <v>1</v>
      </c>
      <c r="P63" s="19">
        <v>0</v>
      </c>
      <c r="Q63" s="19">
        <v>0</v>
      </c>
      <c r="R63" s="19">
        <v>0</v>
      </c>
      <c r="S63" s="19">
        <f>1 - CUSTOS!$M$26</f>
        <v>1</v>
      </c>
      <c r="T63" s="19"/>
      <c r="U63" s="19">
        <f>TRANSICAO!$U$63*CUSTOS!$T$3</f>
        <v>6.2736999999999998</v>
      </c>
      <c r="V63" s="19">
        <f>TRANSICAO!$V$63*CUSTOS!$T$3</f>
        <v>2.2675000000000001</v>
      </c>
      <c r="W63" s="19">
        <f>TRANSICAO!$W$63*CUSTOS!$T$3</f>
        <v>0.2223</v>
      </c>
      <c r="X63" s="19">
        <f>TRANSICAO!$X$63*CUSTOS!$T$3</f>
        <v>0</v>
      </c>
      <c r="Y63" s="19">
        <f>TRANSICAO!$Y$63*CUSTOS!$T$3</f>
        <v>0</v>
      </c>
      <c r="Z63" s="19">
        <f>TRANSICAO!$Z$63*CUSTOS!$T$3</f>
        <v>0</v>
      </c>
      <c r="AA63" s="19">
        <f>TRANSICAO!$AA$63*CUSTOS!$T$3</f>
        <v>0</v>
      </c>
      <c r="AB63" s="19">
        <f>TRANSICAO!$AB$63*CUSTOS!$T$3</f>
        <v>0</v>
      </c>
      <c r="AC63" s="19">
        <f>TRANSICAO!$AC$63*CUSTOS!$T$3</f>
        <v>92.351500000000001</v>
      </c>
      <c r="AD63" s="19">
        <f>TRANSICAO!$AD$63*CUSTOS!$T$3</f>
        <v>0</v>
      </c>
      <c r="AE63" s="19">
        <v>0</v>
      </c>
      <c r="AF63" s="19">
        <v>0</v>
      </c>
      <c r="AG63" s="19"/>
      <c r="AH63" s="19">
        <f>(1 - CUSTOS!$M$26)*17.2047</f>
        <v>17.204699999999999</v>
      </c>
      <c r="AI63" s="19">
        <f>(1 - CUSTOS!$M$26)*17.2047</f>
        <v>17.204699999999999</v>
      </c>
      <c r="AJ63" s="19">
        <f ca="1">$N$102*(1-CUSTOS!$M$26)</f>
        <v>9.4688952992089614</v>
      </c>
      <c r="AK63" s="19">
        <f t="shared" ca="1" si="1"/>
        <v>9.4688952992089614</v>
      </c>
      <c r="AL63" s="19"/>
      <c r="AM63" s="19"/>
      <c r="AP63" s="19">
        <f>IF((1 - CUSTOS!$M$26)&lt;&gt;0,1/(1 - CUSTOS!$M$26),1)</f>
        <v>1</v>
      </c>
    </row>
    <row r="64" spans="1:42" ht="11.25" customHeight="1" x14ac:dyDescent="0.25">
      <c r="A64" s="119"/>
      <c r="B64" s="119"/>
      <c r="C64" s="119"/>
      <c r="D64" s="22" t="s">
        <v>32</v>
      </c>
      <c r="E64" s="22" t="s">
        <v>25</v>
      </c>
      <c r="F64" s="22" t="s">
        <v>25</v>
      </c>
      <c r="G64" s="21" t="s">
        <v>94</v>
      </c>
      <c r="H64" s="21" t="s">
        <v>88</v>
      </c>
      <c r="I64" s="21">
        <f>'MERCADO TUSD'!$U$61</f>
        <v>0</v>
      </c>
      <c r="J64" s="17"/>
      <c r="L64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L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CUSTOS!$M$27)</f>
        <v>0</v>
      </c>
      <c r="M64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M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CUSTOS!$M$27)</f>
        <v>0.44653774390741613</v>
      </c>
      <c r="N64" s="19">
        <f ca="1">(+M64+O64+R64+U64+V64+W64+X64+Y64+Z64+AA64+AC64+AH64+AI64+AJ64+AK64)*CUSTOS!$M$5</f>
        <v>1.5590872834232534</v>
      </c>
      <c r="O64" s="19">
        <f>1 - CUSTOS!$M$27</f>
        <v>1</v>
      </c>
      <c r="P64" s="19">
        <v>0</v>
      </c>
      <c r="Q64" s="19">
        <v>0</v>
      </c>
      <c r="R64" s="19">
        <v>0</v>
      </c>
      <c r="S64" s="19">
        <f>1 - CUSTOS!$M$27</f>
        <v>1</v>
      </c>
      <c r="T64" s="19"/>
      <c r="U64" s="19">
        <f>TRANSICAO!$U$64*CUSTOS!$T$3</f>
        <v>6.2736999999999998</v>
      </c>
      <c r="V64" s="19">
        <f>TRANSICAO!$V$64*CUSTOS!$T$3</f>
        <v>2.2675000000000001</v>
      </c>
      <c r="W64" s="19">
        <f>TRANSICAO!$W$64*CUSTOS!$T$3</f>
        <v>0.2223</v>
      </c>
      <c r="X64" s="19">
        <f>TRANSICAO!$X$64*CUSTOS!$T$3</f>
        <v>0</v>
      </c>
      <c r="Y64" s="19">
        <f>TRANSICAO!$Y$64*CUSTOS!$T$3</f>
        <v>0</v>
      </c>
      <c r="Z64" s="19">
        <f>TRANSICAO!$Z$64*CUSTOS!$T$3</f>
        <v>0</v>
      </c>
      <c r="AA64" s="19">
        <f>TRANSICAO!$AA$64*CUSTOS!$T$3</f>
        <v>0</v>
      </c>
      <c r="AB64" s="19">
        <f>TRANSICAO!$AB$64*CUSTOS!$T$3</f>
        <v>0</v>
      </c>
      <c r="AC64" s="19">
        <f>TRANSICAO!$AC$64*CUSTOS!$T$3</f>
        <v>92.351500000000001</v>
      </c>
      <c r="AD64" s="19">
        <f>TRANSICAO!$AD$64*CUSTOS!$T$3</f>
        <v>0</v>
      </c>
      <c r="AE64" s="19">
        <v>0</v>
      </c>
      <c r="AF64" s="19">
        <v>0</v>
      </c>
      <c r="AG64" s="19"/>
      <c r="AH64" s="19">
        <f>(1 - CUSTOS!$M$27)*17.2047</f>
        <v>17.204699999999999</v>
      </c>
      <c r="AI64" s="19">
        <f>(1 - CUSTOS!$M$27)*17.2047</f>
        <v>17.204699999999999</v>
      </c>
      <c r="AJ64" s="19">
        <f ca="1">$N$102*(1-CUSTOS!$M$27)</f>
        <v>9.4688952992089614</v>
      </c>
      <c r="AK64" s="19">
        <f t="shared" ca="1" si="1"/>
        <v>9.4688952992089614</v>
      </c>
      <c r="AL64" s="19"/>
      <c r="AM64" s="19"/>
      <c r="AP64" s="19">
        <f>IF((1 - CUSTOS!$M$27)&lt;&gt;0,1/(1 - CUSTOS!$M$27),1)</f>
        <v>1</v>
      </c>
    </row>
    <row r="65" spans="1:42" ht="11.25" customHeight="1" x14ac:dyDescent="0.25">
      <c r="A65" s="119" t="s">
        <v>46</v>
      </c>
      <c r="B65" s="119" t="s">
        <v>37</v>
      </c>
      <c r="C65" s="119" t="s">
        <v>47</v>
      </c>
      <c r="D65" s="119" t="s">
        <v>25</v>
      </c>
      <c r="E65" s="119" t="s">
        <v>25</v>
      </c>
      <c r="F65" s="119" t="s">
        <v>25</v>
      </c>
      <c r="G65" s="21" t="s">
        <v>89</v>
      </c>
      <c r="H65" s="21" t="s">
        <v>88</v>
      </c>
      <c r="I65" s="21">
        <f>'MERCADO TUSD'!$U$62</f>
        <v>1.0549999999999999</v>
      </c>
      <c r="J65" s="17"/>
      <c r="L65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L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CUSTOS!$M$28)</f>
        <v>0</v>
      </c>
      <c r="M65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M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CUSTOS!$M$28)</f>
        <v>0.44653774390741613</v>
      </c>
      <c r="N65" s="19">
        <f ca="1">(+M65+O65+R65+U65+V65+W65+X65+Y65+Z65+AA65+AC65+AH65+AI65+AJ65+AK65)*CUSTOS!$M$5</f>
        <v>3.7936172834232531</v>
      </c>
      <c r="O65" s="19">
        <f>1 - CUSTOS!$M$28</f>
        <v>1</v>
      </c>
      <c r="P65" s="19">
        <f>1 - CUSTOS!$M$28</f>
        <v>1</v>
      </c>
      <c r="Q65" s="19">
        <f>1*(1 - CUSTOS!$M$28)</f>
        <v>1</v>
      </c>
      <c r="R65" s="19">
        <f>1 - CUSTOS!$M$28</f>
        <v>1</v>
      </c>
      <c r="S65" s="19">
        <f>1 - CUSTOS!$M$28</f>
        <v>1</v>
      </c>
      <c r="T65" s="19"/>
      <c r="U65" s="19">
        <f>TRANSICAO!$U$65*CUSTOS!$T$3</f>
        <v>20.075900000000001</v>
      </c>
      <c r="V65" s="19">
        <f>TRANSICAO!$V$65*CUSTOS!$T$3</f>
        <v>7.2558999999999996</v>
      </c>
      <c r="W65" s="19">
        <f>TRANSICAO!$W$65*CUSTOS!$T$3</f>
        <v>0.71150000000000002</v>
      </c>
      <c r="X65" s="19">
        <f>TRANSICAO!$X$65*CUSTOS!$T$3</f>
        <v>0</v>
      </c>
      <c r="Y65" s="19">
        <f>TRANSICAO!$Y$65*CUSTOS!$T$3</f>
        <v>0</v>
      </c>
      <c r="Z65" s="19">
        <f>TRANSICAO!$Z$65*CUSTOS!$T$3</f>
        <v>0</v>
      </c>
      <c r="AA65" s="19">
        <f>TRANSICAO!$AA$65*CUSTOS!$T$3</f>
        <v>0</v>
      </c>
      <c r="AB65" s="19">
        <f>TRANSICAO!$AB$65*CUSTOS!$T$3</f>
        <v>0</v>
      </c>
      <c r="AC65" s="19">
        <f>TRANSICAO!$AC$65*CUSTOS!$T$3</f>
        <v>295.5247</v>
      </c>
      <c r="AD65" s="19">
        <f>TRANSICAO!$AD$65*CUSTOS!$T$3</f>
        <v>0</v>
      </c>
      <c r="AE65" s="19">
        <v>0</v>
      </c>
      <c r="AF65" s="19">
        <v>0</v>
      </c>
      <c r="AG65" s="19"/>
      <c r="AH65" s="19">
        <f>(1 - CUSTOS!$M$28)*17.2047</f>
        <v>17.204699999999999</v>
      </c>
      <c r="AI65" s="19">
        <f>(1 - CUSTOS!$M$28)*17.2047</f>
        <v>17.204699999999999</v>
      </c>
      <c r="AJ65" s="19">
        <f ca="1">$N$102*(1-CUSTOS!$M$28)</f>
        <v>9.4688952992089614</v>
      </c>
      <c r="AK65" s="19">
        <f t="shared" ca="1" si="1"/>
        <v>9.4688952992089614</v>
      </c>
      <c r="AL65" s="19"/>
      <c r="AM65" s="19"/>
      <c r="AP65" s="19">
        <f>IF((1 - CUSTOS!$M$28)&lt;&gt;0,1/(1 - CUSTOS!$M$28),1)</f>
        <v>1</v>
      </c>
    </row>
    <row r="66" spans="1:42" ht="11.25" customHeight="1" x14ac:dyDescent="0.25">
      <c r="A66" s="119"/>
      <c r="B66" s="119"/>
      <c r="C66" s="119"/>
      <c r="D66" s="119"/>
      <c r="E66" s="119"/>
      <c r="F66" s="119"/>
      <c r="G66" s="21" t="s">
        <v>100</v>
      </c>
      <c r="H66" s="21" t="s">
        <v>88</v>
      </c>
      <c r="I66" s="21">
        <f>'MERCADO TUSD'!$U$63</f>
        <v>0.57700000000000007</v>
      </c>
      <c r="J66" s="17"/>
      <c r="L66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L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CUSTOS!$M$28)</f>
        <v>0</v>
      </c>
      <c r="M66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M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CUSTOS!$M$28)</f>
        <v>0.44653774390741613</v>
      </c>
      <c r="N66" s="19">
        <f ca="1">(+M66+O66+R66+U66+V66+W66+X66+Y66+Z66+AA66+AC66+AH66+AI66+AJ66+AK66)*CUSTOS!$M$5</f>
        <v>2.4993442834232531</v>
      </c>
      <c r="O66" s="19">
        <f>1 - CUSTOS!$M$28</f>
        <v>1</v>
      </c>
      <c r="P66" s="19">
        <f>1 - CUSTOS!$M$28</f>
        <v>1</v>
      </c>
      <c r="Q66" s="19">
        <f>1*(1 - CUSTOS!$M$28)</f>
        <v>1</v>
      </c>
      <c r="R66" s="19">
        <f>1 - CUSTOS!$M$28</f>
        <v>1</v>
      </c>
      <c r="S66" s="19">
        <f>1 - CUSTOS!$M$28</f>
        <v>1</v>
      </c>
      <c r="T66" s="19"/>
      <c r="U66" s="19">
        <f>TRANSICAO!$U$66*CUSTOS!$T$3</f>
        <v>12.045500000000001</v>
      </c>
      <c r="V66" s="19">
        <f>TRANSICAO!$V$66*CUSTOS!$T$3</f>
        <v>4.3535000000000004</v>
      </c>
      <c r="W66" s="19">
        <f>TRANSICAO!$W$66*CUSTOS!$T$3</f>
        <v>0.4269</v>
      </c>
      <c r="X66" s="19">
        <f>TRANSICAO!$X$66*CUSTOS!$T$3</f>
        <v>0</v>
      </c>
      <c r="Y66" s="19">
        <f>TRANSICAO!$Y$66*CUSTOS!$T$3</f>
        <v>0</v>
      </c>
      <c r="Z66" s="19">
        <f>TRANSICAO!$Z$66*CUSTOS!$T$3</f>
        <v>0</v>
      </c>
      <c r="AA66" s="19">
        <f>TRANSICAO!$AA$66*CUSTOS!$T$3</f>
        <v>0</v>
      </c>
      <c r="AB66" s="19">
        <f>TRANSICAO!$AB$66*CUSTOS!$T$3</f>
        <v>0</v>
      </c>
      <c r="AC66" s="19">
        <f>TRANSICAO!$AC$66*CUSTOS!$T$3</f>
        <v>177.31479999999999</v>
      </c>
      <c r="AD66" s="19">
        <f>TRANSICAO!$AD$66*CUSTOS!$T$3</f>
        <v>0</v>
      </c>
      <c r="AE66" s="19">
        <v>0</v>
      </c>
      <c r="AF66" s="19">
        <v>0</v>
      </c>
      <c r="AG66" s="19"/>
      <c r="AH66" s="19">
        <f>(1 - CUSTOS!$M$28)*17.2047</f>
        <v>17.204699999999999</v>
      </c>
      <c r="AI66" s="19">
        <f>(1 - CUSTOS!$M$28)*17.2047</f>
        <v>17.204699999999999</v>
      </c>
      <c r="AJ66" s="19">
        <f ca="1">$N$102*(1-CUSTOS!$M$28)</f>
        <v>9.4688952992089614</v>
      </c>
      <c r="AK66" s="19">
        <f t="shared" ca="1" si="1"/>
        <v>9.4688952992089614</v>
      </c>
      <c r="AL66" s="19"/>
      <c r="AM66" s="19"/>
      <c r="AP66" s="19">
        <f>IF((1 - CUSTOS!$M$28)&lt;&gt;0,1/(1 - CUSTOS!$M$28),1)</f>
        <v>1</v>
      </c>
    </row>
    <row r="67" spans="1:42" ht="11.25" customHeight="1" x14ac:dyDescent="0.25">
      <c r="A67" s="119"/>
      <c r="B67" s="119"/>
      <c r="C67" s="119"/>
      <c r="D67" s="119"/>
      <c r="E67" s="119"/>
      <c r="F67" s="119"/>
      <c r="G67" s="21" t="s">
        <v>90</v>
      </c>
      <c r="H67" s="21" t="s">
        <v>88</v>
      </c>
      <c r="I67" s="21">
        <f>'MERCADO TUSD'!$U$64</f>
        <v>5.0120000000000005</v>
      </c>
      <c r="J67" s="17"/>
      <c r="L67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L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CUSTOS!$M$28)</f>
        <v>0</v>
      </c>
      <c r="M67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M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CUSTOS!$M$28)</f>
        <v>0.44653774390741613</v>
      </c>
      <c r="N67" s="19">
        <f ca="1">(+M67+O67+R67+U67+V67+W67+X67+Y67+Z67+AA67+AC67+AH67+AI67+AJ67+AK67)*CUSTOS!$M$5</f>
        <v>1.2050732834232536</v>
      </c>
      <c r="O67" s="19">
        <f>1 - CUSTOS!$M$28</f>
        <v>1</v>
      </c>
      <c r="P67" s="19">
        <f>1 - CUSTOS!$M$28</f>
        <v>1</v>
      </c>
      <c r="Q67" s="19">
        <f>1*(1 - CUSTOS!$M$28)</f>
        <v>1</v>
      </c>
      <c r="R67" s="19">
        <f>1 - CUSTOS!$M$28</f>
        <v>1</v>
      </c>
      <c r="S67" s="19">
        <f>1 - CUSTOS!$M$28</f>
        <v>1</v>
      </c>
      <c r="T67" s="19"/>
      <c r="U67" s="19">
        <f>TRANSICAO!$U$67*CUSTOS!$T$3</f>
        <v>4.0152000000000001</v>
      </c>
      <c r="V67" s="19">
        <f>TRANSICAO!$V$67*CUSTOS!$T$3</f>
        <v>1.4512</v>
      </c>
      <c r="W67" s="19">
        <f>TRANSICAO!$W$67*CUSTOS!$T$3</f>
        <v>0.14230000000000001</v>
      </c>
      <c r="X67" s="19">
        <f>TRANSICAO!$X$67*CUSTOS!$T$3</f>
        <v>0</v>
      </c>
      <c r="Y67" s="19">
        <f>TRANSICAO!$Y$67*CUSTOS!$T$3</f>
        <v>0</v>
      </c>
      <c r="Z67" s="19">
        <f>TRANSICAO!$Z$67*CUSTOS!$T$3</f>
        <v>0</v>
      </c>
      <c r="AA67" s="19">
        <f>TRANSICAO!$AA$67*CUSTOS!$T$3</f>
        <v>0</v>
      </c>
      <c r="AB67" s="19">
        <f>TRANSICAO!$AB$67*CUSTOS!$T$3</f>
        <v>0</v>
      </c>
      <c r="AC67" s="19">
        <f>TRANSICAO!$AC$67*CUSTOS!$T$3</f>
        <v>59.104900000000001</v>
      </c>
      <c r="AD67" s="19">
        <f>TRANSICAO!$AD$67*CUSTOS!$T$3</f>
        <v>0</v>
      </c>
      <c r="AE67" s="19">
        <v>0</v>
      </c>
      <c r="AF67" s="19">
        <v>0</v>
      </c>
      <c r="AG67" s="19"/>
      <c r="AH67" s="19">
        <f>(1 - CUSTOS!$M$28)*17.2047</f>
        <v>17.204699999999999</v>
      </c>
      <c r="AI67" s="19">
        <f>(1 - CUSTOS!$M$28)*17.2047</f>
        <v>17.204699999999999</v>
      </c>
      <c r="AJ67" s="19">
        <f ca="1">$N$102*(1-CUSTOS!$M$28)</f>
        <v>9.4688952992089614</v>
      </c>
      <c r="AK67" s="19">
        <f t="shared" ca="1" si="1"/>
        <v>9.4688952992089614</v>
      </c>
      <c r="AL67" s="19"/>
      <c r="AM67" s="19"/>
      <c r="AP67" s="19">
        <f>IF((1 - CUSTOS!$M$28)&lt;&gt;0,1/(1 - CUSTOS!$M$28),1)</f>
        <v>1</v>
      </c>
    </row>
    <row r="68" spans="1:42" ht="11.25" customHeight="1" x14ac:dyDescent="0.25">
      <c r="A68" s="119"/>
      <c r="B68" s="22" t="s">
        <v>23</v>
      </c>
      <c r="C68" s="22" t="s">
        <v>47</v>
      </c>
      <c r="D68" s="22" t="s">
        <v>25</v>
      </c>
      <c r="E68" s="22" t="s">
        <v>25</v>
      </c>
      <c r="F68" s="22" t="s">
        <v>25</v>
      </c>
      <c r="G68" s="21" t="s">
        <v>94</v>
      </c>
      <c r="H68" s="21" t="s">
        <v>88</v>
      </c>
      <c r="I68" s="21">
        <f>'MERCADO TUSD'!$U$65</f>
        <v>81638.005000000005</v>
      </c>
      <c r="J68" s="17"/>
      <c r="L68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L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CUSTOS!$M$28)</f>
        <v>0</v>
      </c>
      <c r="M68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M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CUSTOS!$M$28)</f>
        <v>0.44653774390741613</v>
      </c>
      <c r="N68" s="19">
        <f ca="1">(+M68+O68+R68+U68+V68+W68+X68+Y68+Z68+AA68+AC68+AH68+AI68+AJ68+AK68)*CUSTOS!$M$5</f>
        <v>1.5690872834232534</v>
      </c>
      <c r="O68" s="19">
        <f>1 - CUSTOS!$M$28</f>
        <v>1</v>
      </c>
      <c r="P68" s="19">
        <f>1 - CUSTOS!$M$28</f>
        <v>1</v>
      </c>
      <c r="Q68" s="19">
        <f>1*(1 - CUSTOS!$M$28)</f>
        <v>1</v>
      </c>
      <c r="R68" s="19">
        <f>1 - CUSTOS!$M$28</f>
        <v>1</v>
      </c>
      <c r="S68" s="19">
        <f>1 - CUSTOS!$M$28</f>
        <v>1</v>
      </c>
      <c r="T68" s="19"/>
      <c r="U68" s="19">
        <f>TRANSICAO!$U$68*CUSTOS!$T$3</f>
        <v>6.2736999999999998</v>
      </c>
      <c r="V68" s="19">
        <f>TRANSICAO!$V$68*CUSTOS!$T$3</f>
        <v>2.2675000000000001</v>
      </c>
      <c r="W68" s="19">
        <f>TRANSICAO!$W$68*CUSTOS!$T$3</f>
        <v>0.2223</v>
      </c>
      <c r="X68" s="19">
        <f>TRANSICAO!$X$68*CUSTOS!$T$3</f>
        <v>0</v>
      </c>
      <c r="Y68" s="19">
        <f>TRANSICAO!$Y$68*CUSTOS!$T$3</f>
        <v>0</v>
      </c>
      <c r="Z68" s="19">
        <f>TRANSICAO!$Z$68*CUSTOS!$T$3</f>
        <v>0</v>
      </c>
      <c r="AA68" s="19">
        <f>TRANSICAO!$AA$68*CUSTOS!$T$3</f>
        <v>0</v>
      </c>
      <c r="AB68" s="19">
        <f>TRANSICAO!$AB$68*CUSTOS!$T$3</f>
        <v>0</v>
      </c>
      <c r="AC68" s="19">
        <f>TRANSICAO!$AC$68*CUSTOS!$T$3</f>
        <v>92.351500000000001</v>
      </c>
      <c r="AD68" s="19">
        <f>TRANSICAO!$AD$68*CUSTOS!$T$3</f>
        <v>0</v>
      </c>
      <c r="AE68" s="19">
        <v>0</v>
      </c>
      <c r="AF68" s="19">
        <v>0</v>
      </c>
      <c r="AG68" s="19"/>
      <c r="AH68" s="19">
        <f>(1 - CUSTOS!$M$28)*17.2047</f>
        <v>17.204699999999999</v>
      </c>
      <c r="AI68" s="19">
        <f>(1 - CUSTOS!$M$28)*17.2047</f>
        <v>17.204699999999999</v>
      </c>
      <c r="AJ68" s="19">
        <f ca="1">$N$102*(1-CUSTOS!$M$28)</f>
        <v>9.4688952992089614</v>
      </c>
      <c r="AK68" s="19">
        <f t="shared" ca="1" si="1"/>
        <v>9.4688952992089614</v>
      </c>
      <c r="AL68" s="19"/>
      <c r="AM68" s="19"/>
      <c r="AP68" s="19">
        <f>IF((1 - CUSTOS!$M$28)&lt;&gt;0,1/(1 - CUSTOS!$M$28),1)</f>
        <v>1</v>
      </c>
    </row>
    <row r="69" spans="1:42" ht="11.25" customHeight="1" x14ac:dyDescent="0.25">
      <c r="A69" s="119"/>
      <c r="B69" s="119" t="s">
        <v>37</v>
      </c>
      <c r="C69" s="119" t="s">
        <v>47</v>
      </c>
      <c r="D69" s="119" t="s">
        <v>103</v>
      </c>
      <c r="E69" s="119" t="s">
        <v>25</v>
      </c>
      <c r="F69" s="119" t="s">
        <v>25</v>
      </c>
      <c r="G69" s="21" t="s">
        <v>89</v>
      </c>
      <c r="H69" s="21" t="s">
        <v>88</v>
      </c>
      <c r="I69" s="21">
        <f>'MERCADO TUSD'!$U$66</f>
        <v>0</v>
      </c>
      <c r="J69" s="17"/>
      <c r="L69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L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CUSTOS!$M$29)</f>
        <v>0</v>
      </c>
      <c r="M69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M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CUSTOS!$M$29)</f>
        <v>0.44653774390741613</v>
      </c>
      <c r="N69" s="19">
        <f ca="1">(+M69+O69+R69+U69+V69+W69+X69+Y69+Z69+AA69+AC69+AH69+AI69+AJ69+AK69)*CUSTOS!$M$5</f>
        <v>3.7936172834232531</v>
      </c>
      <c r="O69" s="19">
        <f>1 - CUSTOS!$M$29</f>
        <v>1</v>
      </c>
      <c r="P69" s="19">
        <f>1 - CUSTOS!$M$29</f>
        <v>1</v>
      </c>
      <c r="Q69" s="19">
        <f>1*(1 - CUSTOS!$M$29)</f>
        <v>1</v>
      </c>
      <c r="R69" s="19">
        <f>1 - CUSTOS!$M$29</f>
        <v>1</v>
      </c>
      <c r="S69" s="19">
        <f>1 - CUSTOS!$M$29</f>
        <v>1</v>
      </c>
      <c r="T69" s="19"/>
      <c r="U69" s="19">
        <f>TRANSICAO!$U$69*CUSTOS!$T$3</f>
        <v>20.075900000000001</v>
      </c>
      <c r="V69" s="19">
        <f>TRANSICAO!$V$69*CUSTOS!$T$3</f>
        <v>7.2558999999999996</v>
      </c>
      <c r="W69" s="19">
        <f>TRANSICAO!$W$69*CUSTOS!$T$3</f>
        <v>0.71150000000000002</v>
      </c>
      <c r="X69" s="19">
        <f>TRANSICAO!$X$69*CUSTOS!$T$3</f>
        <v>0</v>
      </c>
      <c r="Y69" s="19">
        <f>TRANSICAO!$Y$69*CUSTOS!$T$3</f>
        <v>0</v>
      </c>
      <c r="Z69" s="19">
        <f>TRANSICAO!$Z$69*CUSTOS!$T$3</f>
        <v>0</v>
      </c>
      <c r="AA69" s="19">
        <f>TRANSICAO!$AA$69*CUSTOS!$T$3</f>
        <v>0</v>
      </c>
      <c r="AB69" s="19">
        <f>TRANSICAO!$AB$69*CUSTOS!$T$3</f>
        <v>0</v>
      </c>
      <c r="AC69" s="19">
        <f>TRANSICAO!$AC$69*CUSTOS!$T$3</f>
        <v>295.5247</v>
      </c>
      <c r="AD69" s="19">
        <f>TRANSICAO!$AD$69*CUSTOS!$T$3</f>
        <v>0</v>
      </c>
      <c r="AE69" s="19">
        <v>0</v>
      </c>
      <c r="AF69" s="19">
        <v>0</v>
      </c>
      <c r="AG69" s="19"/>
      <c r="AH69" s="19">
        <f>(1 - CUSTOS!$M$29)*17.2047</f>
        <v>17.204699999999999</v>
      </c>
      <c r="AI69" s="19">
        <f>(1 - CUSTOS!$M$29)*17.2047</f>
        <v>17.204699999999999</v>
      </c>
      <c r="AJ69" s="19">
        <f ca="1">$N$102*(1-CUSTOS!$M$29)</f>
        <v>9.4688952992089614</v>
      </c>
      <c r="AK69" s="19">
        <f t="shared" ref="AK69:AK86" ca="1" si="2">AJ69</f>
        <v>9.4688952992089614</v>
      </c>
      <c r="AL69" s="19"/>
      <c r="AM69" s="19"/>
      <c r="AP69" s="19">
        <f>IF((1 - CUSTOS!$M$29)&lt;&gt;0,1/(1 - CUSTOS!$M$29),1)</f>
        <v>1</v>
      </c>
    </row>
    <row r="70" spans="1:42" ht="11.25" customHeight="1" x14ac:dyDescent="0.25">
      <c r="A70" s="119"/>
      <c r="B70" s="119"/>
      <c r="C70" s="119"/>
      <c r="D70" s="119"/>
      <c r="E70" s="119"/>
      <c r="F70" s="119"/>
      <c r="G70" s="21" t="s">
        <v>100</v>
      </c>
      <c r="H70" s="21" t="s">
        <v>88</v>
      </c>
      <c r="I70" s="21">
        <f>'MERCADO TUSD'!$U$67</f>
        <v>0</v>
      </c>
      <c r="J70" s="17"/>
      <c r="L70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L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CUSTOS!$M$29)</f>
        <v>0</v>
      </c>
      <c r="M70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M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CUSTOS!$M$29)</f>
        <v>0.44653774390741613</v>
      </c>
      <c r="N70" s="19">
        <f ca="1">(+M70+O70+R70+U70+V70+W70+X70+Y70+Z70+AA70+AC70+AH70+AI70+AJ70+AK70)*CUSTOS!$M$5</f>
        <v>2.4993442834232531</v>
      </c>
      <c r="O70" s="19">
        <f>1 - CUSTOS!$M$29</f>
        <v>1</v>
      </c>
      <c r="P70" s="19">
        <f>1 - CUSTOS!$M$29</f>
        <v>1</v>
      </c>
      <c r="Q70" s="19">
        <f>1*(1 - CUSTOS!$M$29)</f>
        <v>1</v>
      </c>
      <c r="R70" s="19">
        <f>1 - CUSTOS!$M$29</f>
        <v>1</v>
      </c>
      <c r="S70" s="19">
        <f>1 - CUSTOS!$M$29</f>
        <v>1</v>
      </c>
      <c r="T70" s="19"/>
      <c r="U70" s="19">
        <f>TRANSICAO!$U$70*CUSTOS!$T$3</f>
        <v>12.045500000000001</v>
      </c>
      <c r="V70" s="19">
        <f>TRANSICAO!$V$70*CUSTOS!$T$3</f>
        <v>4.3535000000000004</v>
      </c>
      <c r="W70" s="19">
        <f>TRANSICAO!$W$70*CUSTOS!$T$3</f>
        <v>0.4269</v>
      </c>
      <c r="X70" s="19">
        <f>TRANSICAO!$X$70*CUSTOS!$T$3</f>
        <v>0</v>
      </c>
      <c r="Y70" s="19">
        <f>TRANSICAO!$Y$70*CUSTOS!$T$3</f>
        <v>0</v>
      </c>
      <c r="Z70" s="19">
        <f>TRANSICAO!$Z$70*CUSTOS!$T$3</f>
        <v>0</v>
      </c>
      <c r="AA70" s="19">
        <f>TRANSICAO!$AA$70*CUSTOS!$T$3</f>
        <v>0</v>
      </c>
      <c r="AB70" s="19">
        <f>TRANSICAO!$AB$70*CUSTOS!$T$3</f>
        <v>0</v>
      </c>
      <c r="AC70" s="19">
        <f>TRANSICAO!$AC$70*CUSTOS!$T$3</f>
        <v>177.31479999999999</v>
      </c>
      <c r="AD70" s="19">
        <f>TRANSICAO!$AD$70*CUSTOS!$T$3</f>
        <v>0</v>
      </c>
      <c r="AE70" s="19">
        <v>0</v>
      </c>
      <c r="AF70" s="19">
        <v>0</v>
      </c>
      <c r="AG70" s="19"/>
      <c r="AH70" s="19">
        <f>(1 - CUSTOS!$M$29)*17.2047</f>
        <v>17.204699999999999</v>
      </c>
      <c r="AI70" s="19">
        <f>(1 - CUSTOS!$M$29)*17.2047</f>
        <v>17.204699999999999</v>
      </c>
      <c r="AJ70" s="19">
        <f ca="1">$N$102*(1-CUSTOS!$M$29)</f>
        <v>9.4688952992089614</v>
      </c>
      <c r="AK70" s="19">
        <f t="shared" ca="1" si="2"/>
        <v>9.4688952992089614</v>
      </c>
      <c r="AL70" s="19"/>
      <c r="AM70" s="19"/>
      <c r="AP70" s="19">
        <f>IF((1 - CUSTOS!$M$29)&lt;&gt;0,1/(1 - CUSTOS!$M$29),1)</f>
        <v>1</v>
      </c>
    </row>
    <row r="71" spans="1:42" ht="11.25" customHeight="1" x14ac:dyDescent="0.25">
      <c r="A71" s="119"/>
      <c r="B71" s="119"/>
      <c r="C71" s="119"/>
      <c r="D71" s="119"/>
      <c r="E71" s="119"/>
      <c r="F71" s="119"/>
      <c r="G71" s="21" t="s">
        <v>90</v>
      </c>
      <c r="H71" s="21" t="s">
        <v>88</v>
      </c>
      <c r="I71" s="21">
        <f>'MERCADO TUSD'!$U$68</f>
        <v>0</v>
      </c>
      <c r="J71" s="17"/>
      <c r="L71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L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CUSTOS!$M$29)</f>
        <v>0</v>
      </c>
      <c r="M71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M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CUSTOS!$M$29)</f>
        <v>0.44653774390741613</v>
      </c>
      <c r="N71" s="19">
        <f ca="1">(+M71+O71+R71+U71+V71+W71+X71+Y71+Z71+AA71+AC71+AH71+AI71+AJ71+AK71)*CUSTOS!$M$5</f>
        <v>1.2050732834232536</v>
      </c>
      <c r="O71" s="19">
        <f>1 - CUSTOS!$M$29</f>
        <v>1</v>
      </c>
      <c r="P71" s="19">
        <f>1 - CUSTOS!$M$29</f>
        <v>1</v>
      </c>
      <c r="Q71" s="19">
        <f>1*(1 - CUSTOS!$M$29)</f>
        <v>1</v>
      </c>
      <c r="R71" s="19">
        <f>1 - CUSTOS!$M$29</f>
        <v>1</v>
      </c>
      <c r="S71" s="19">
        <f>1 - CUSTOS!$M$29</f>
        <v>1</v>
      </c>
      <c r="T71" s="19"/>
      <c r="U71" s="19">
        <f>TRANSICAO!$U$71*CUSTOS!$T$3</f>
        <v>4.0152000000000001</v>
      </c>
      <c r="V71" s="19">
        <f>TRANSICAO!$V$71*CUSTOS!$T$3</f>
        <v>1.4512</v>
      </c>
      <c r="W71" s="19">
        <f>TRANSICAO!$W$71*CUSTOS!$T$3</f>
        <v>0.14230000000000001</v>
      </c>
      <c r="X71" s="19">
        <f>TRANSICAO!$X$71*CUSTOS!$T$3</f>
        <v>0</v>
      </c>
      <c r="Y71" s="19">
        <f>TRANSICAO!$Y$71*CUSTOS!$T$3</f>
        <v>0</v>
      </c>
      <c r="Z71" s="19">
        <f>TRANSICAO!$Z$71*CUSTOS!$T$3</f>
        <v>0</v>
      </c>
      <c r="AA71" s="19">
        <f>TRANSICAO!$AA$71*CUSTOS!$T$3</f>
        <v>0</v>
      </c>
      <c r="AB71" s="19">
        <f>TRANSICAO!$AB$71*CUSTOS!$T$3</f>
        <v>0</v>
      </c>
      <c r="AC71" s="19">
        <f>TRANSICAO!$AC$71*CUSTOS!$T$3</f>
        <v>59.104900000000001</v>
      </c>
      <c r="AD71" s="19">
        <f>TRANSICAO!$AD$71*CUSTOS!$T$3</f>
        <v>0</v>
      </c>
      <c r="AE71" s="19">
        <v>0</v>
      </c>
      <c r="AF71" s="19">
        <v>0</v>
      </c>
      <c r="AG71" s="19"/>
      <c r="AH71" s="19">
        <f>(1 - CUSTOS!$M$29)*17.2047</f>
        <v>17.204699999999999</v>
      </c>
      <c r="AI71" s="19">
        <f>(1 - CUSTOS!$M$29)*17.2047</f>
        <v>17.204699999999999</v>
      </c>
      <c r="AJ71" s="19">
        <f ca="1">$N$102*(1-CUSTOS!$M$29)</f>
        <v>9.4688952992089614</v>
      </c>
      <c r="AK71" s="19">
        <f t="shared" ca="1" si="2"/>
        <v>9.4688952992089614</v>
      </c>
      <c r="AL71" s="19"/>
      <c r="AM71" s="19"/>
      <c r="AP71" s="19">
        <f>IF((1 - CUSTOS!$M$29)&lt;&gt;0,1/(1 - CUSTOS!$M$29),1)</f>
        <v>1</v>
      </c>
    </row>
    <row r="72" spans="1:42" ht="11.25" customHeight="1" x14ac:dyDescent="0.25">
      <c r="A72" s="119"/>
      <c r="B72" s="22" t="s">
        <v>23</v>
      </c>
      <c r="C72" s="22" t="s">
        <v>47</v>
      </c>
      <c r="D72" s="22" t="s">
        <v>103</v>
      </c>
      <c r="E72" s="22" t="s">
        <v>25</v>
      </c>
      <c r="F72" s="22" t="s">
        <v>25</v>
      </c>
      <c r="G72" s="21" t="s">
        <v>94</v>
      </c>
      <c r="H72" s="21" t="s">
        <v>88</v>
      </c>
      <c r="I72" s="21">
        <f>'MERCADO TUSD'!$U$69</f>
        <v>0</v>
      </c>
      <c r="J72" s="17"/>
      <c r="L72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L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CUSTOS!$M$29)</f>
        <v>0</v>
      </c>
      <c r="M72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M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CUSTOS!$M$29)</f>
        <v>0.44653774390741613</v>
      </c>
      <c r="N72" s="19">
        <f ca="1">(+M72+O72+R72+U72+V72+W72+X72+Y72+Z72+AA72+AC72+AH72+AI72+AJ72+AK72)*CUSTOS!$M$5</f>
        <v>1.5690872834232534</v>
      </c>
      <c r="O72" s="19">
        <f>1 - CUSTOS!$M$29</f>
        <v>1</v>
      </c>
      <c r="P72" s="19">
        <f>1 - CUSTOS!$M$29</f>
        <v>1</v>
      </c>
      <c r="Q72" s="19">
        <f>1*(1 - CUSTOS!$M$29)</f>
        <v>1</v>
      </c>
      <c r="R72" s="19">
        <f>1 - CUSTOS!$M$29</f>
        <v>1</v>
      </c>
      <c r="S72" s="19">
        <f>1 - CUSTOS!$M$29</f>
        <v>1</v>
      </c>
      <c r="T72" s="19"/>
      <c r="U72" s="19">
        <f>TRANSICAO!$U$72*CUSTOS!$T$3</f>
        <v>6.2736999999999998</v>
      </c>
      <c r="V72" s="19">
        <f>TRANSICAO!$V$72*CUSTOS!$T$3</f>
        <v>2.2675000000000001</v>
      </c>
      <c r="W72" s="19">
        <f>TRANSICAO!$W$72*CUSTOS!$T$3</f>
        <v>0.2223</v>
      </c>
      <c r="X72" s="19">
        <f>TRANSICAO!$X$72*CUSTOS!$T$3</f>
        <v>0</v>
      </c>
      <c r="Y72" s="19">
        <f>TRANSICAO!$Y$72*CUSTOS!$T$3</f>
        <v>0</v>
      </c>
      <c r="Z72" s="19">
        <f>TRANSICAO!$Z$72*CUSTOS!$T$3</f>
        <v>0</v>
      </c>
      <c r="AA72" s="19">
        <f>TRANSICAO!$AA$72*CUSTOS!$T$3</f>
        <v>0</v>
      </c>
      <c r="AB72" s="19">
        <f>TRANSICAO!$AB$72*CUSTOS!$T$3</f>
        <v>0</v>
      </c>
      <c r="AC72" s="19">
        <f>TRANSICAO!$AC$72*CUSTOS!$T$3</f>
        <v>92.351500000000001</v>
      </c>
      <c r="AD72" s="19">
        <f>TRANSICAO!$AD$72*CUSTOS!$T$3</f>
        <v>0</v>
      </c>
      <c r="AE72" s="19">
        <v>0</v>
      </c>
      <c r="AF72" s="19">
        <v>0</v>
      </c>
      <c r="AG72" s="19"/>
      <c r="AH72" s="19">
        <f>(1 - CUSTOS!$M$29)*17.2047</f>
        <v>17.204699999999999</v>
      </c>
      <c r="AI72" s="19">
        <f>(1 - CUSTOS!$M$29)*17.2047</f>
        <v>17.204699999999999</v>
      </c>
      <c r="AJ72" s="19">
        <f ca="1">$N$102*(1-CUSTOS!$M$29)</f>
        <v>9.4688952992089614</v>
      </c>
      <c r="AK72" s="19">
        <f t="shared" ca="1" si="2"/>
        <v>9.4688952992089614</v>
      </c>
      <c r="AL72" s="19"/>
      <c r="AM72" s="19"/>
      <c r="AP72" s="19">
        <f>IF((1 - CUSTOS!$M$29)&lt;&gt;0,1/(1 - CUSTOS!$M$29),1)</f>
        <v>1</v>
      </c>
    </row>
    <row r="73" spans="1:42" ht="11.25" customHeight="1" x14ac:dyDescent="0.25">
      <c r="A73" s="119"/>
      <c r="B73" s="119" t="s">
        <v>37</v>
      </c>
      <c r="C73" s="119" t="s">
        <v>47</v>
      </c>
      <c r="D73" s="119" t="s">
        <v>104</v>
      </c>
      <c r="E73" s="119" t="s">
        <v>25</v>
      </c>
      <c r="F73" s="119" t="s">
        <v>25</v>
      </c>
      <c r="G73" s="21" t="s">
        <v>89</v>
      </c>
      <c r="H73" s="21" t="s">
        <v>88</v>
      </c>
      <c r="I73" s="21">
        <f>'MERCADO TUSD'!$U$70</f>
        <v>0</v>
      </c>
      <c r="J73" s="17"/>
      <c r="L73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L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CUSTOS!$M$30)</f>
        <v>0</v>
      </c>
      <c r="M73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M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CUSTOS!$M$30)</f>
        <v>0.44653774390741613</v>
      </c>
      <c r="N73" s="19">
        <f ca="1">(+M73+O73+R73+U73+V73+W73+X73+Y73+Z73+AA73+AC73+AH73+AI73+AJ73+AK73)*CUSTOS!$M$5</f>
        <v>3.7936172834232531</v>
      </c>
      <c r="O73" s="19">
        <f>1 - CUSTOS!$M$30</f>
        <v>1</v>
      </c>
      <c r="P73" s="19">
        <f>1 - CUSTOS!$M$30</f>
        <v>1</v>
      </c>
      <c r="Q73" s="19">
        <f>1*(1 - CUSTOS!$M$30)</f>
        <v>1</v>
      </c>
      <c r="R73" s="19">
        <f>1 - CUSTOS!$M$30</f>
        <v>1</v>
      </c>
      <c r="S73" s="19">
        <f>1 - CUSTOS!$M$30</f>
        <v>1</v>
      </c>
      <c r="T73" s="19"/>
      <c r="U73" s="19">
        <f>TRANSICAO!$U$73*CUSTOS!$T$3</f>
        <v>20.075900000000001</v>
      </c>
      <c r="V73" s="19">
        <f>TRANSICAO!$V$73*CUSTOS!$T$3</f>
        <v>7.2558999999999996</v>
      </c>
      <c r="W73" s="19">
        <f>TRANSICAO!$W$73*CUSTOS!$T$3</f>
        <v>0.71150000000000002</v>
      </c>
      <c r="X73" s="19">
        <f>TRANSICAO!$X$73*CUSTOS!$T$3</f>
        <v>0</v>
      </c>
      <c r="Y73" s="19">
        <f>TRANSICAO!$Y$73*CUSTOS!$T$3</f>
        <v>0</v>
      </c>
      <c r="Z73" s="19">
        <f>TRANSICAO!$Z$73*CUSTOS!$T$3</f>
        <v>0</v>
      </c>
      <c r="AA73" s="19">
        <f>TRANSICAO!$AA$73*CUSTOS!$T$3</f>
        <v>0</v>
      </c>
      <c r="AB73" s="19">
        <f>TRANSICAO!$AB$73*CUSTOS!$T$3</f>
        <v>0</v>
      </c>
      <c r="AC73" s="19">
        <f>TRANSICAO!$AC$73*CUSTOS!$T$3</f>
        <v>295.5247</v>
      </c>
      <c r="AD73" s="19">
        <f>TRANSICAO!$AD$73*CUSTOS!$T$3</f>
        <v>0</v>
      </c>
      <c r="AE73" s="19">
        <v>0</v>
      </c>
      <c r="AF73" s="19">
        <v>0</v>
      </c>
      <c r="AG73" s="19"/>
      <c r="AH73" s="19">
        <f>(1 - CUSTOS!$M$30)*17.2047</f>
        <v>17.204699999999999</v>
      </c>
      <c r="AI73" s="19">
        <f>(1 - CUSTOS!$M$30)*17.2047</f>
        <v>17.204699999999999</v>
      </c>
      <c r="AJ73" s="19">
        <f ca="1">$N$102*(1-CUSTOS!$M$30)</f>
        <v>9.4688952992089614</v>
      </c>
      <c r="AK73" s="19">
        <f t="shared" ca="1" si="2"/>
        <v>9.4688952992089614</v>
      </c>
      <c r="AL73" s="19"/>
      <c r="AM73" s="19"/>
      <c r="AP73" s="19">
        <f>IF((1 - CUSTOS!$M$30)&lt;&gt;0,1/(1 - CUSTOS!$M$30),1)</f>
        <v>1</v>
      </c>
    </row>
    <row r="74" spans="1:42" ht="11.25" customHeight="1" x14ac:dyDescent="0.25">
      <c r="A74" s="119"/>
      <c r="B74" s="119"/>
      <c r="C74" s="119"/>
      <c r="D74" s="119"/>
      <c r="E74" s="119"/>
      <c r="F74" s="119"/>
      <c r="G74" s="21" t="s">
        <v>100</v>
      </c>
      <c r="H74" s="21" t="s">
        <v>88</v>
      </c>
      <c r="I74" s="21">
        <f>'MERCADO TUSD'!$U$71</f>
        <v>0</v>
      </c>
      <c r="J74" s="17"/>
      <c r="L74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L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CUSTOS!$M$30)</f>
        <v>0</v>
      </c>
      <c r="M74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M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CUSTOS!$M$30)</f>
        <v>0.44653774390741613</v>
      </c>
      <c r="N74" s="19">
        <f ca="1">(+M74+O74+R74+U74+V74+W74+X74+Y74+Z74+AA74+AC74+AH74+AI74+AJ74+AK74)*CUSTOS!$M$5</f>
        <v>2.4993442834232531</v>
      </c>
      <c r="O74" s="19">
        <f>1 - CUSTOS!$M$30</f>
        <v>1</v>
      </c>
      <c r="P74" s="19">
        <f>1 - CUSTOS!$M$30</f>
        <v>1</v>
      </c>
      <c r="Q74" s="19">
        <f>1*(1 - CUSTOS!$M$30)</f>
        <v>1</v>
      </c>
      <c r="R74" s="19">
        <f>1 - CUSTOS!$M$30</f>
        <v>1</v>
      </c>
      <c r="S74" s="19">
        <f>1 - CUSTOS!$M$30</f>
        <v>1</v>
      </c>
      <c r="T74" s="19"/>
      <c r="U74" s="19">
        <f>TRANSICAO!$U$74*CUSTOS!$T$3</f>
        <v>12.045500000000001</v>
      </c>
      <c r="V74" s="19">
        <f>TRANSICAO!$V$74*CUSTOS!$T$3</f>
        <v>4.3535000000000004</v>
      </c>
      <c r="W74" s="19">
        <f>TRANSICAO!$W$74*CUSTOS!$T$3</f>
        <v>0.4269</v>
      </c>
      <c r="X74" s="19">
        <f>TRANSICAO!$X$74*CUSTOS!$T$3</f>
        <v>0</v>
      </c>
      <c r="Y74" s="19">
        <f>TRANSICAO!$Y$74*CUSTOS!$T$3</f>
        <v>0</v>
      </c>
      <c r="Z74" s="19">
        <f>TRANSICAO!$Z$74*CUSTOS!$T$3</f>
        <v>0</v>
      </c>
      <c r="AA74" s="19">
        <f>TRANSICAO!$AA$74*CUSTOS!$T$3</f>
        <v>0</v>
      </c>
      <c r="AB74" s="19">
        <f>TRANSICAO!$AB$74*CUSTOS!$T$3</f>
        <v>0</v>
      </c>
      <c r="AC74" s="19">
        <f>TRANSICAO!$AC$74*CUSTOS!$T$3</f>
        <v>177.31479999999999</v>
      </c>
      <c r="AD74" s="19">
        <f>TRANSICAO!$AD$74*CUSTOS!$T$3</f>
        <v>0</v>
      </c>
      <c r="AE74" s="19">
        <v>0</v>
      </c>
      <c r="AF74" s="19">
        <v>0</v>
      </c>
      <c r="AG74" s="19"/>
      <c r="AH74" s="19">
        <f>(1 - CUSTOS!$M$30)*17.2047</f>
        <v>17.204699999999999</v>
      </c>
      <c r="AI74" s="19">
        <f>(1 - CUSTOS!$M$30)*17.2047</f>
        <v>17.204699999999999</v>
      </c>
      <c r="AJ74" s="19">
        <f ca="1">$N$102*(1-CUSTOS!$M$30)</f>
        <v>9.4688952992089614</v>
      </c>
      <c r="AK74" s="19">
        <f t="shared" ca="1" si="2"/>
        <v>9.4688952992089614</v>
      </c>
      <c r="AL74" s="19"/>
      <c r="AM74" s="19"/>
      <c r="AP74" s="19">
        <f>IF((1 - CUSTOS!$M$30)&lt;&gt;0,1/(1 - CUSTOS!$M$30),1)</f>
        <v>1</v>
      </c>
    </row>
    <row r="75" spans="1:42" ht="11.25" customHeight="1" x14ac:dyDescent="0.25">
      <c r="A75" s="119"/>
      <c r="B75" s="119"/>
      <c r="C75" s="119"/>
      <c r="D75" s="119"/>
      <c r="E75" s="119"/>
      <c r="F75" s="119"/>
      <c r="G75" s="21" t="s">
        <v>90</v>
      </c>
      <c r="H75" s="21" t="s">
        <v>88</v>
      </c>
      <c r="I75" s="21">
        <f>'MERCADO TUSD'!$U$72</f>
        <v>0</v>
      </c>
      <c r="J75" s="17"/>
      <c r="L75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L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CUSTOS!$M$30)</f>
        <v>0</v>
      </c>
      <c r="M75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M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CUSTOS!$M$30)</f>
        <v>0.44653774390741613</v>
      </c>
      <c r="N75" s="19">
        <f ca="1">(+M75+O75+R75+U75+V75+W75+X75+Y75+Z75+AA75+AC75+AH75+AI75+AJ75+AK75)*CUSTOS!$M$5</f>
        <v>1.2050732834232536</v>
      </c>
      <c r="O75" s="19">
        <f>1 - CUSTOS!$M$30</f>
        <v>1</v>
      </c>
      <c r="P75" s="19">
        <f>1 - CUSTOS!$M$30</f>
        <v>1</v>
      </c>
      <c r="Q75" s="19">
        <f>1*(1 - CUSTOS!$M$30)</f>
        <v>1</v>
      </c>
      <c r="R75" s="19">
        <f>1 - CUSTOS!$M$30</f>
        <v>1</v>
      </c>
      <c r="S75" s="19">
        <f>1 - CUSTOS!$M$30</f>
        <v>1</v>
      </c>
      <c r="T75" s="19"/>
      <c r="U75" s="19">
        <f>TRANSICAO!$U$75*CUSTOS!$T$3</f>
        <v>4.0152000000000001</v>
      </c>
      <c r="V75" s="19">
        <f>TRANSICAO!$V$75*CUSTOS!$T$3</f>
        <v>1.4512</v>
      </c>
      <c r="W75" s="19">
        <f>TRANSICAO!$W$75*CUSTOS!$T$3</f>
        <v>0.14230000000000001</v>
      </c>
      <c r="X75" s="19">
        <f>TRANSICAO!$X$75*CUSTOS!$T$3</f>
        <v>0</v>
      </c>
      <c r="Y75" s="19">
        <f>TRANSICAO!$Y$75*CUSTOS!$T$3</f>
        <v>0</v>
      </c>
      <c r="Z75" s="19">
        <f>TRANSICAO!$Z$75*CUSTOS!$T$3</f>
        <v>0</v>
      </c>
      <c r="AA75" s="19">
        <f>TRANSICAO!$AA$75*CUSTOS!$T$3</f>
        <v>0</v>
      </c>
      <c r="AB75" s="19">
        <f>TRANSICAO!$AB$75*CUSTOS!$T$3</f>
        <v>0</v>
      </c>
      <c r="AC75" s="19">
        <f>TRANSICAO!$AC$75*CUSTOS!$T$3</f>
        <v>59.104900000000001</v>
      </c>
      <c r="AD75" s="19">
        <f>TRANSICAO!$AD$75*CUSTOS!$T$3</f>
        <v>0</v>
      </c>
      <c r="AE75" s="19">
        <v>0</v>
      </c>
      <c r="AF75" s="19">
        <v>0</v>
      </c>
      <c r="AG75" s="19"/>
      <c r="AH75" s="19">
        <f>(1 - CUSTOS!$M$30)*17.2047</f>
        <v>17.204699999999999</v>
      </c>
      <c r="AI75" s="19">
        <f>(1 - CUSTOS!$M$30)*17.2047</f>
        <v>17.204699999999999</v>
      </c>
      <c r="AJ75" s="19">
        <f ca="1">$N$102*(1-CUSTOS!$M$30)</f>
        <v>9.4688952992089614</v>
      </c>
      <c r="AK75" s="19">
        <f t="shared" ca="1" si="2"/>
        <v>9.4688952992089614</v>
      </c>
      <c r="AL75" s="19"/>
      <c r="AM75" s="19"/>
      <c r="AP75" s="19">
        <f>IF((1 - CUSTOS!$M$30)&lt;&gt;0,1/(1 - CUSTOS!$M$30),1)</f>
        <v>1</v>
      </c>
    </row>
    <row r="76" spans="1:42" ht="11.25" customHeight="1" x14ac:dyDescent="0.25">
      <c r="A76" s="119"/>
      <c r="B76" s="22" t="s">
        <v>23</v>
      </c>
      <c r="C76" s="22" t="s">
        <v>47</v>
      </c>
      <c r="D76" s="22" t="s">
        <v>104</v>
      </c>
      <c r="E76" s="22" t="s">
        <v>25</v>
      </c>
      <c r="F76" s="22" t="s">
        <v>25</v>
      </c>
      <c r="G76" s="21" t="s">
        <v>94</v>
      </c>
      <c r="H76" s="21" t="s">
        <v>88</v>
      </c>
      <c r="I76" s="21">
        <f>'MERCADO TUSD'!$U$73</f>
        <v>0</v>
      </c>
      <c r="J76" s="17"/>
      <c r="L76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L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CUSTOS!$M$30)</f>
        <v>0</v>
      </c>
      <c r="M76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M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CUSTOS!$M$30)</f>
        <v>0.44653774390741613</v>
      </c>
      <c r="N76" s="19">
        <f ca="1">(+M76+O76+R76+U76+V76+W76+X76+Y76+Z76+AA76+AC76+AH76+AI76+AJ76+AK76)*CUSTOS!$M$5</f>
        <v>1.5690872834232534</v>
      </c>
      <c r="O76" s="19">
        <f>1 - CUSTOS!$M$30</f>
        <v>1</v>
      </c>
      <c r="P76" s="19">
        <f>1 - CUSTOS!$M$30</f>
        <v>1</v>
      </c>
      <c r="Q76" s="19">
        <f>1*(1 - CUSTOS!$M$30)</f>
        <v>1</v>
      </c>
      <c r="R76" s="19">
        <f>1 - CUSTOS!$M$30</f>
        <v>1</v>
      </c>
      <c r="S76" s="19">
        <f>1 - CUSTOS!$M$30</f>
        <v>1</v>
      </c>
      <c r="T76" s="19"/>
      <c r="U76" s="19">
        <f>TRANSICAO!$U$76*CUSTOS!$T$3</f>
        <v>6.2736999999999998</v>
      </c>
      <c r="V76" s="19">
        <f>TRANSICAO!$V$76*CUSTOS!$T$3</f>
        <v>2.2675000000000001</v>
      </c>
      <c r="W76" s="19">
        <f>TRANSICAO!$W$76*CUSTOS!$T$3</f>
        <v>0.2223</v>
      </c>
      <c r="X76" s="19">
        <f>TRANSICAO!$X$76*CUSTOS!$T$3</f>
        <v>0</v>
      </c>
      <c r="Y76" s="19">
        <f>TRANSICAO!$Y$76*CUSTOS!$T$3</f>
        <v>0</v>
      </c>
      <c r="Z76" s="19">
        <f>TRANSICAO!$Z$76*CUSTOS!$T$3</f>
        <v>0</v>
      </c>
      <c r="AA76" s="19">
        <f>TRANSICAO!$AA$76*CUSTOS!$T$3</f>
        <v>0</v>
      </c>
      <c r="AB76" s="19">
        <f>TRANSICAO!$AB$76*CUSTOS!$T$3</f>
        <v>0</v>
      </c>
      <c r="AC76" s="19">
        <f>TRANSICAO!$AC$76*CUSTOS!$T$3</f>
        <v>92.351500000000001</v>
      </c>
      <c r="AD76" s="19">
        <f>TRANSICAO!$AD$76*CUSTOS!$T$3</f>
        <v>0</v>
      </c>
      <c r="AE76" s="19">
        <v>0</v>
      </c>
      <c r="AF76" s="19">
        <v>0</v>
      </c>
      <c r="AG76" s="19"/>
      <c r="AH76" s="19">
        <f>(1 - CUSTOS!$M$30)*17.2047</f>
        <v>17.204699999999999</v>
      </c>
      <c r="AI76" s="19">
        <f>(1 - CUSTOS!$M$30)*17.2047</f>
        <v>17.204699999999999</v>
      </c>
      <c r="AJ76" s="19">
        <f ca="1">$N$102*(1-CUSTOS!$M$30)</f>
        <v>9.4688952992089614</v>
      </c>
      <c r="AK76" s="19">
        <f t="shared" ca="1" si="2"/>
        <v>9.4688952992089614</v>
      </c>
      <c r="AL76" s="19"/>
      <c r="AM76" s="19"/>
      <c r="AP76" s="19">
        <f>IF((1 - CUSTOS!$M$30)&lt;&gt;0,1/(1 - CUSTOS!$M$30),1)</f>
        <v>1</v>
      </c>
    </row>
    <row r="77" spans="1:42" ht="11.25" customHeight="1" x14ac:dyDescent="0.25">
      <c r="A77" s="119"/>
      <c r="B77" s="119" t="s">
        <v>102</v>
      </c>
      <c r="C77" s="119" t="s">
        <v>47</v>
      </c>
      <c r="D77" s="22" t="s">
        <v>25</v>
      </c>
      <c r="E77" s="22" t="s">
        <v>25</v>
      </c>
      <c r="F77" s="22" t="s">
        <v>25</v>
      </c>
      <c r="G77" s="21" t="s">
        <v>94</v>
      </c>
      <c r="H77" s="21" t="s">
        <v>88</v>
      </c>
      <c r="I77" s="21">
        <f>'MERCADO TUSD'!$U$74</f>
        <v>0</v>
      </c>
      <c r="J77" s="17"/>
      <c r="L77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L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CUSTOS!$M$28)</f>
        <v>0</v>
      </c>
      <c r="M77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M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CUSTOS!$M$28)</f>
        <v>0.44653774390741613</v>
      </c>
      <c r="N77" s="19">
        <f ca="1">(+M77+O77+R77+U77+V77+W77+X77+Y77+Z77+AA77+AC77+AH77+AI77+AJ77+AK77)*CUSTOS!$M$5</f>
        <v>1.5690872834232534</v>
      </c>
      <c r="O77" s="19">
        <f>1 - CUSTOS!$M$28</f>
        <v>1</v>
      </c>
      <c r="P77" s="19">
        <f>1 - CUSTOS!$M$28</f>
        <v>1</v>
      </c>
      <c r="Q77" s="19">
        <f>1*(1 - CUSTOS!$M$28)</f>
        <v>1</v>
      </c>
      <c r="R77" s="19">
        <f>1 - CUSTOS!$M$28</f>
        <v>1</v>
      </c>
      <c r="S77" s="19">
        <f>1 - CUSTOS!$M$28</f>
        <v>1</v>
      </c>
      <c r="T77" s="19"/>
      <c r="U77" s="19">
        <f>TRANSICAO!$U$77*CUSTOS!$T$3</f>
        <v>6.2736999999999998</v>
      </c>
      <c r="V77" s="19">
        <f>TRANSICAO!$V$77*CUSTOS!$T$3</f>
        <v>2.2675000000000001</v>
      </c>
      <c r="W77" s="19">
        <f>TRANSICAO!$W$77*CUSTOS!$T$3</f>
        <v>0.2223</v>
      </c>
      <c r="X77" s="19">
        <f>TRANSICAO!$X$77*CUSTOS!$T$3</f>
        <v>0</v>
      </c>
      <c r="Y77" s="19">
        <f>TRANSICAO!$Y$77*CUSTOS!$T$3</f>
        <v>0</v>
      </c>
      <c r="Z77" s="19">
        <f>TRANSICAO!$Z$77*CUSTOS!$T$3</f>
        <v>0</v>
      </c>
      <c r="AA77" s="19">
        <f>TRANSICAO!$AA$77*CUSTOS!$T$3</f>
        <v>0</v>
      </c>
      <c r="AB77" s="19">
        <f>TRANSICAO!$AB$77*CUSTOS!$T$3</f>
        <v>0</v>
      </c>
      <c r="AC77" s="19">
        <f>TRANSICAO!$AC$77*CUSTOS!$T$3</f>
        <v>92.351500000000001</v>
      </c>
      <c r="AD77" s="19">
        <f>TRANSICAO!$AD$77*CUSTOS!$T$3</f>
        <v>0</v>
      </c>
      <c r="AE77" s="19">
        <v>0</v>
      </c>
      <c r="AF77" s="19">
        <v>0</v>
      </c>
      <c r="AG77" s="19"/>
      <c r="AH77" s="19">
        <f>(1 - CUSTOS!$M$28)*17.2047</f>
        <v>17.204699999999999</v>
      </c>
      <c r="AI77" s="19">
        <f>(1 - CUSTOS!$M$28)*17.2047</f>
        <v>17.204699999999999</v>
      </c>
      <c r="AJ77" s="19">
        <f ca="1">$N$102*(1-CUSTOS!$M$28)</f>
        <v>9.4688952992089614</v>
      </c>
      <c r="AK77" s="19">
        <f t="shared" ca="1" si="2"/>
        <v>9.4688952992089614</v>
      </c>
      <c r="AL77" s="19"/>
      <c r="AM77" s="19"/>
      <c r="AP77" s="19">
        <f>IF((1 - CUSTOS!$M$28)&lt;&gt;0,1/(1 - CUSTOS!$M$28),1)</f>
        <v>1</v>
      </c>
    </row>
    <row r="78" spans="1:42" ht="11.25" customHeight="1" x14ac:dyDescent="0.25">
      <c r="A78" s="119"/>
      <c r="B78" s="119"/>
      <c r="C78" s="119"/>
      <c r="D78" s="22" t="s">
        <v>103</v>
      </c>
      <c r="E78" s="22" t="s">
        <v>25</v>
      </c>
      <c r="F78" s="22" t="s">
        <v>25</v>
      </c>
      <c r="G78" s="21" t="s">
        <v>94</v>
      </c>
      <c r="H78" s="21" t="s">
        <v>88</v>
      </c>
      <c r="I78" s="21">
        <f>'MERCADO TUSD'!$U$75</f>
        <v>0</v>
      </c>
      <c r="J78" s="17"/>
      <c r="L78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L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CUSTOS!$M$29)</f>
        <v>0</v>
      </c>
      <c r="M78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M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CUSTOS!$M$29)</f>
        <v>0.44653774390741613</v>
      </c>
      <c r="N78" s="19">
        <f ca="1">(+M78+O78+R78+U78+V78+W78+X78+Y78+Z78+AA78+AC78+AH78+AI78+AJ78+AK78)*CUSTOS!$M$5</f>
        <v>1.5690872834232534</v>
      </c>
      <c r="O78" s="19">
        <f>1 - CUSTOS!$M$29</f>
        <v>1</v>
      </c>
      <c r="P78" s="19">
        <f>1 - CUSTOS!$M$29</f>
        <v>1</v>
      </c>
      <c r="Q78" s="19">
        <f>1*(1 - CUSTOS!$M$29)</f>
        <v>1</v>
      </c>
      <c r="R78" s="19">
        <f>1 - CUSTOS!$M$29</f>
        <v>1</v>
      </c>
      <c r="S78" s="19">
        <f>1 - CUSTOS!$M$29</f>
        <v>1</v>
      </c>
      <c r="T78" s="19"/>
      <c r="U78" s="19">
        <f>TRANSICAO!$U$78*CUSTOS!$T$3</f>
        <v>6.2736999999999998</v>
      </c>
      <c r="V78" s="19">
        <f>TRANSICAO!$V$78*CUSTOS!$T$3</f>
        <v>2.2675000000000001</v>
      </c>
      <c r="W78" s="19">
        <f>TRANSICAO!$W$78*CUSTOS!$T$3</f>
        <v>0.2223</v>
      </c>
      <c r="X78" s="19">
        <f>TRANSICAO!$X$78*CUSTOS!$T$3</f>
        <v>0</v>
      </c>
      <c r="Y78" s="19">
        <f>TRANSICAO!$Y$78*CUSTOS!$T$3</f>
        <v>0</v>
      </c>
      <c r="Z78" s="19">
        <f>TRANSICAO!$Z$78*CUSTOS!$T$3</f>
        <v>0</v>
      </c>
      <c r="AA78" s="19">
        <f>TRANSICAO!$AA$78*CUSTOS!$T$3</f>
        <v>0</v>
      </c>
      <c r="AB78" s="19">
        <f>TRANSICAO!$AB$78*CUSTOS!$T$3</f>
        <v>0</v>
      </c>
      <c r="AC78" s="19">
        <f>TRANSICAO!$AC$78*CUSTOS!$T$3</f>
        <v>92.351500000000001</v>
      </c>
      <c r="AD78" s="19">
        <f>TRANSICAO!$AD$78*CUSTOS!$T$3</f>
        <v>0</v>
      </c>
      <c r="AE78" s="19">
        <v>0</v>
      </c>
      <c r="AF78" s="19">
        <v>0</v>
      </c>
      <c r="AG78" s="19"/>
      <c r="AH78" s="19">
        <f>(1 - CUSTOS!$M$29)*17.2047</f>
        <v>17.204699999999999</v>
      </c>
      <c r="AI78" s="19">
        <f>(1 - CUSTOS!$M$29)*17.2047</f>
        <v>17.204699999999999</v>
      </c>
      <c r="AJ78" s="19">
        <f ca="1">$N$102*(1-CUSTOS!$M$29)</f>
        <v>9.4688952992089614</v>
      </c>
      <c r="AK78" s="19">
        <f t="shared" ca="1" si="2"/>
        <v>9.4688952992089614</v>
      </c>
      <c r="AL78" s="19"/>
      <c r="AM78" s="19"/>
      <c r="AP78" s="19">
        <f>IF((1 - CUSTOS!$M$29)&lt;&gt;0,1/(1 - CUSTOS!$M$29),1)</f>
        <v>1</v>
      </c>
    </row>
    <row r="79" spans="1:42" ht="11.25" customHeight="1" x14ac:dyDescent="0.25">
      <c r="A79" s="119"/>
      <c r="B79" s="119"/>
      <c r="C79" s="119"/>
      <c r="D79" s="22" t="s">
        <v>104</v>
      </c>
      <c r="E79" s="22" t="s">
        <v>25</v>
      </c>
      <c r="F79" s="22" t="s">
        <v>25</v>
      </c>
      <c r="G79" s="21" t="s">
        <v>94</v>
      </c>
      <c r="H79" s="21" t="s">
        <v>88</v>
      </c>
      <c r="I79" s="21">
        <f>'MERCADO TUSD'!$U$76</f>
        <v>0</v>
      </c>
      <c r="J79" s="17"/>
      <c r="L79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L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CUSTOS!$M$30)</f>
        <v>0</v>
      </c>
      <c r="M79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M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CUSTOS!$M$30)</f>
        <v>0.44653774390741613</v>
      </c>
      <c r="N79" s="19">
        <f ca="1">(+M79+O79+R79+U79+V79+W79+X79+Y79+Z79+AA79+AC79+AH79+AI79+AJ79+AK79)*CUSTOS!$M$5</f>
        <v>1.5690872834232534</v>
      </c>
      <c r="O79" s="19">
        <f>1 - CUSTOS!$M$30</f>
        <v>1</v>
      </c>
      <c r="P79" s="19">
        <f>1 - CUSTOS!$M$30</f>
        <v>1</v>
      </c>
      <c r="Q79" s="19">
        <f>1*(1 - CUSTOS!$M$30)</f>
        <v>1</v>
      </c>
      <c r="R79" s="19">
        <f>1 - CUSTOS!$M$30</f>
        <v>1</v>
      </c>
      <c r="S79" s="19">
        <f>1 - CUSTOS!$M$30</f>
        <v>1</v>
      </c>
      <c r="T79" s="19"/>
      <c r="U79" s="19">
        <f>TRANSICAO!$U$79*CUSTOS!$T$3</f>
        <v>6.2736999999999998</v>
      </c>
      <c r="V79" s="19">
        <f>TRANSICAO!$V$79*CUSTOS!$T$3</f>
        <v>2.2675000000000001</v>
      </c>
      <c r="W79" s="19">
        <f>TRANSICAO!$W$79*CUSTOS!$T$3</f>
        <v>0.2223</v>
      </c>
      <c r="X79" s="19">
        <f>TRANSICAO!$X$79*CUSTOS!$T$3</f>
        <v>0</v>
      </c>
      <c r="Y79" s="19">
        <f>TRANSICAO!$Y$79*CUSTOS!$T$3</f>
        <v>0</v>
      </c>
      <c r="Z79" s="19">
        <f>TRANSICAO!$Z$79*CUSTOS!$T$3</f>
        <v>0</v>
      </c>
      <c r="AA79" s="19">
        <f>TRANSICAO!$AA$79*CUSTOS!$T$3</f>
        <v>0</v>
      </c>
      <c r="AB79" s="19">
        <f>TRANSICAO!$AB$79*CUSTOS!$T$3</f>
        <v>0</v>
      </c>
      <c r="AC79" s="19">
        <f>TRANSICAO!$AC$79*CUSTOS!$T$3</f>
        <v>92.351500000000001</v>
      </c>
      <c r="AD79" s="19">
        <f>TRANSICAO!$AD$79*CUSTOS!$T$3</f>
        <v>0</v>
      </c>
      <c r="AE79" s="19">
        <v>0</v>
      </c>
      <c r="AF79" s="19">
        <v>0</v>
      </c>
      <c r="AG79" s="19"/>
      <c r="AH79" s="19">
        <f>(1 - CUSTOS!$M$30)*17.2047</f>
        <v>17.204699999999999</v>
      </c>
      <c r="AI79" s="19">
        <f>(1 - CUSTOS!$M$30)*17.2047</f>
        <v>17.204699999999999</v>
      </c>
      <c r="AJ79" s="19">
        <f ca="1">$N$102*(1-CUSTOS!$M$30)</f>
        <v>9.4688952992089614</v>
      </c>
      <c r="AK79" s="19">
        <f t="shared" ca="1" si="2"/>
        <v>9.4688952992089614</v>
      </c>
      <c r="AL79" s="19"/>
      <c r="AM79" s="19"/>
      <c r="AP79" s="19">
        <f>IF((1 - CUSTOS!$M$30)&lt;&gt;0,1/(1 - CUSTOS!$M$30),1)</f>
        <v>1</v>
      </c>
    </row>
    <row r="80" spans="1:42" ht="11.25" customHeight="1" x14ac:dyDescent="0.25">
      <c r="A80" s="119" t="s">
        <v>39</v>
      </c>
      <c r="B80" s="119" t="s">
        <v>37</v>
      </c>
      <c r="C80" s="119" t="s">
        <v>25</v>
      </c>
      <c r="D80" s="119" t="s">
        <v>25</v>
      </c>
      <c r="E80" s="119" t="s">
        <v>25</v>
      </c>
      <c r="F80" s="119" t="s">
        <v>25</v>
      </c>
      <c r="G80" s="21" t="s">
        <v>89</v>
      </c>
      <c r="H80" s="21" t="s">
        <v>88</v>
      </c>
      <c r="I80" s="21">
        <f>'MERCADO TUSD'!$U$77</f>
        <v>133.67100000000025</v>
      </c>
      <c r="J80" s="17"/>
      <c r="L80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L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CUSTOS!$M$31)</f>
        <v>0</v>
      </c>
      <c r="M80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M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CUSTOS!$M$31)</f>
        <v>0.44653774390741613</v>
      </c>
      <c r="N80" s="19">
        <f ca="1">(+M80+O80+R80+U80+V80+W80+X80+Y80+Z80+AA80+AC80+AH80+AI80+AJ80+AK80)*CUSTOS!$M$5</f>
        <v>3.7936172834232531</v>
      </c>
      <c r="O80" s="19">
        <f>1 - CUSTOS!$M$31</f>
        <v>1</v>
      </c>
      <c r="P80" s="19">
        <f>1 - CUSTOS!$M$31</f>
        <v>1</v>
      </c>
      <c r="Q80" s="19">
        <f>1*(1 - CUSTOS!$M$31)</f>
        <v>1</v>
      </c>
      <c r="R80" s="19">
        <f>1 - CUSTOS!$M$31</f>
        <v>1</v>
      </c>
      <c r="S80" s="19">
        <f>1 - CUSTOS!$M$31</f>
        <v>1</v>
      </c>
      <c r="T80" s="19"/>
      <c r="U80" s="19">
        <f>TRANSICAO!$U$80*CUSTOS!$T$3</f>
        <v>20.075900000000001</v>
      </c>
      <c r="V80" s="19">
        <f>TRANSICAO!$V$80*CUSTOS!$T$3</f>
        <v>7.2558999999999996</v>
      </c>
      <c r="W80" s="19">
        <f>TRANSICAO!$W$80*CUSTOS!$T$3</f>
        <v>0.71150000000000002</v>
      </c>
      <c r="X80" s="19">
        <f>TRANSICAO!$X$80*CUSTOS!$T$3</f>
        <v>0</v>
      </c>
      <c r="Y80" s="19">
        <f>TRANSICAO!$Y$80*CUSTOS!$T$3</f>
        <v>0</v>
      </c>
      <c r="Z80" s="19">
        <f>TRANSICAO!$Z$80*CUSTOS!$T$3</f>
        <v>0</v>
      </c>
      <c r="AA80" s="19">
        <f>TRANSICAO!$AA$80*CUSTOS!$T$3</f>
        <v>0</v>
      </c>
      <c r="AB80" s="19">
        <f>TRANSICAO!$AB$80*CUSTOS!$T$3</f>
        <v>0</v>
      </c>
      <c r="AC80" s="19">
        <f>TRANSICAO!$AC$80*CUSTOS!$T$3</f>
        <v>295.5247</v>
      </c>
      <c r="AD80" s="19">
        <f>TRANSICAO!$AD$80*CUSTOS!$T$3</f>
        <v>0</v>
      </c>
      <c r="AE80" s="19">
        <v>0</v>
      </c>
      <c r="AF80" s="19">
        <v>0</v>
      </c>
      <c r="AG80" s="19"/>
      <c r="AH80" s="19">
        <f>(1 - CUSTOS!$M$31)*17.2047</f>
        <v>17.204699999999999</v>
      </c>
      <c r="AI80" s="19">
        <f>(1 - CUSTOS!$M$31)*17.2047</f>
        <v>17.204699999999999</v>
      </c>
      <c r="AJ80" s="19">
        <f ca="1">$N$102*(1-CUSTOS!$M$31)</f>
        <v>9.4688952992089614</v>
      </c>
      <c r="AK80" s="19">
        <f t="shared" ca="1" si="2"/>
        <v>9.4688952992089614</v>
      </c>
      <c r="AL80" s="19"/>
      <c r="AM80" s="19"/>
      <c r="AP80" s="19">
        <f>IF((1 - CUSTOS!$M$31)&lt;&gt;0,1/(1 - CUSTOS!$M$31),1)</f>
        <v>1</v>
      </c>
    </row>
    <row r="81" spans="1:42" ht="11.25" customHeight="1" x14ac:dyDescent="0.25">
      <c r="A81" s="119"/>
      <c r="B81" s="119"/>
      <c r="C81" s="119"/>
      <c r="D81" s="119"/>
      <c r="E81" s="119"/>
      <c r="F81" s="119"/>
      <c r="G81" s="21" t="s">
        <v>100</v>
      </c>
      <c r="H81" s="21" t="s">
        <v>88</v>
      </c>
      <c r="I81" s="21">
        <f>'MERCADO TUSD'!$U$78</f>
        <v>52.353999999999928</v>
      </c>
      <c r="J81" s="17"/>
      <c r="L81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L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CUSTOS!$M$31)</f>
        <v>0</v>
      </c>
      <c r="M81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M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CUSTOS!$M$31)</f>
        <v>0.44653774390741613</v>
      </c>
      <c r="N81" s="19">
        <f ca="1">(+M81+O81+R81+U81+V81+W81+X81+Y81+Z81+AA81+AC81+AH81+AI81+AJ81+AK81)*CUSTOS!$M$5</f>
        <v>2.4993442834232531</v>
      </c>
      <c r="O81" s="19">
        <f>1 - CUSTOS!$M$31</f>
        <v>1</v>
      </c>
      <c r="P81" s="19">
        <f>1 - CUSTOS!$M$31</f>
        <v>1</v>
      </c>
      <c r="Q81" s="19">
        <f>1*(1 - CUSTOS!$M$31)</f>
        <v>1</v>
      </c>
      <c r="R81" s="19">
        <f>1 - CUSTOS!$M$31</f>
        <v>1</v>
      </c>
      <c r="S81" s="19">
        <f>1 - CUSTOS!$M$31</f>
        <v>1</v>
      </c>
      <c r="T81" s="19"/>
      <c r="U81" s="19">
        <f>TRANSICAO!$U$81*CUSTOS!$T$3</f>
        <v>12.045500000000001</v>
      </c>
      <c r="V81" s="19">
        <f>TRANSICAO!$V$81*CUSTOS!$T$3</f>
        <v>4.3535000000000004</v>
      </c>
      <c r="W81" s="19">
        <f>TRANSICAO!$W$81*CUSTOS!$T$3</f>
        <v>0.4269</v>
      </c>
      <c r="X81" s="19">
        <f>TRANSICAO!$X$81*CUSTOS!$T$3</f>
        <v>0</v>
      </c>
      <c r="Y81" s="19">
        <f>TRANSICAO!$Y$81*CUSTOS!$T$3</f>
        <v>0</v>
      </c>
      <c r="Z81" s="19">
        <f>TRANSICAO!$Z$81*CUSTOS!$T$3</f>
        <v>0</v>
      </c>
      <c r="AA81" s="19">
        <f>TRANSICAO!$AA$81*CUSTOS!$T$3</f>
        <v>0</v>
      </c>
      <c r="AB81" s="19">
        <f>TRANSICAO!$AB$81*CUSTOS!$T$3</f>
        <v>0</v>
      </c>
      <c r="AC81" s="19">
        <f>TRANSICAO!$AC$81*CUSTOS!$T$3</f>
        <v>177.31479999999999</v>
      </c>
      <c r="AD81" s="19">
        <f>TRANSICAO!$AD$81*CUSTOS!$T$3</f>
        <v>0</v>
      </c>
      <c r="AE81" s="19">
        <v>0</v>
      </c>
      <c r="AF81" s="19">
        <v>0</v>
      </c>
      <c r="AG81" s="19"/>
      <c r="AH81" s="19">
        <f>(1 - CUSTOS!$M$31)*17.2047</f>
        <v>17.204699999999999</v>
      </c>
      <c r="AI81" s="19">
        <f>(1 - CUSTOS!$M$31)*17.2047</f>
        <v>17.204699999999999</v>
      </c>
      <c r="AJ81" s="19">
        <f ca="1">$N$102*(1-CUSTOS!$M$31)</f>
        <v>9.4688952992089614</v>
      </c>
      <c r="AK81" s="19">
        <f t="shared" ca="1" si="2"/>
        <v>9.4688952992089614</v>
      </c>
      <c r="AL81" s="19"/>
      <c r="AM81" s="19"/>
      <c r="AP81" s="19">
        <f>IF((1 - CUSTOS!$M$31)&lt;&gt;0,1/(1 - CUSTOS!$M$31),1)</f>
        <v>1</v>
      </c>
    </row>
    <row r="82" spans="1:42" ht="11.25" customHeight="1" x14ac:dyDescent="0.25">
      <c r="A82" s="119"/>
      <c r="B82" s="119"/>
      <c r="C82" s="119"/>
      <c r="D82" s="119"/>
      <c r="E82" s="119"/>
      <c r="F82" s="119"/>
      <c r="G82" s="21" t="s">
        <v>90</v>
      </c>
      <c r="H82" s="21" t="s">
        <v>88</v>
      </c>
      <c r="I82" s="21">
        <f>'MERCADO TUSD'!$U$79</f>
        <v>4172.1789999999992</v>
      </c>
      <c r="J82" s="17"/>
      <c r="L82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L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CUSTOS!$M$31)</f>
        <v>0</v>
      </c>
      <c r="M82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M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CUSTOS!$M$31)</f>
        <v>0.44653774390741613</v>
      </c>
      <c r="N82" s="19">
        <f ca="1">(+M82+O82+R82+U82+V82+W82+X82+Y82+Z82+AA82+AC82+AH82+AI82+AJ82+AK82)*CUSTOS!$M$5</f>
        <v>1.2050732834232536</v>
      </c>
      <c r="O82" s="19">
        <f>1 - CUSTOS!$M$31</f>
        <v>1</v>
      </c>
      <c r="P82" s="19">
        <f>1 - CUSTOS!$M$31</f>
        <v>1</v>
      </c>
      <c r="Q82" s="19">
        <f>1*(1 - CUSTOS!$M$31)</f>
        <v>1</v>
      </c>
      <c r="R82" s="19">
        <f>1 - CUSTOS!$M$31</f>
        <v>1</v>
      </c>
      <c r="S82" s="19">
        <f>1 - CUSTOS!$M$31</f>
        <v>1</v>
      </c>
      <c r="T82" s="19"/>
      <c r="U82" s="19">
        <f>TRANSICAO!$U$82*CUSTOS!$T$3</f>
        <v>4.0152000000000001</v>
      </c>
      <c r="V82" s="19">
        <f>TRANSICAO!$V$82*CUSTOS!$T$3</f>
        <v>1.4512</v>
      </c>
      <c r="W82" s="19">
        <f>TRANSICAO!$W$82*CUSTOS!$T$3</f>
        <v>0.14230000000000001</v>
      </c>
      <c r="X82" s="19">
        <f>TRANSICAO!$X$82*CUSTOS!$T$3</f>
        <v>0</v>
      </c>
      <c r="Y82" s="19">
        <f>TRANSICAO!$Y$82*CUSTOS!$T$3</f>
        <v>0</v>
      </c>
      <c r="Z82" s="19">
        <f>TRANSICAO!$Z$82*CUSTOS!$T$3</f>
        <v>0</v>
      </c>
      <c r="AA82" s="19">
        <f>TRANSICAO!$AA$82*CUSTOS!$T$3</f>
        <v>0</v>
      </c>
      <c r="AB82" s="19">
        <f>TRANSICAO!$AB$82*CUSTOS!$T$3</f>
        <v>0</v>
      </c>
      <c r="AC82" s="19">
        <f>TRANSICAO!$AC$82*CUSTOS!$T$3</f>
        <v>59.104900000000001</v>
      </c>
      <c r="AD82" s="19">
        <f>TRANSICAO!$AD$82*CUSTOS!$T$3</f>
        <v>0</v>
      </c>
      <c r="AE82" s="19">
        <v>0</v>
      </c>
      <c r="AF82" s="19">
        <v>0</v>
      </c>
      <c r="AG82" s="19"/>
      <c r="AH82" s="19">
        <f>(1 - CUSTOS!$M$31)*17.2047</f>
        <v>17.204699999999999</v>
      </c>
      <c r="AI82" s="19">
        <f>(1 - CUSTOS!$M$31)*17.2047</f>
        <v>17.204699999999999</v>
      </c>
      <c r="AJ82" s="19">
        <f ca="1">$N$102*(1-CUSTOS!$M$31)</f>
        <v>9.4688952992089614</v>
      </c>
      <c r="AK82" s="19">
        <f t="shared" ca="1" si="2"/>
        <v>9.4688952992089614</v>
      </c>
      <c r="AL82" s="19"/>
      <c r="AM82" s="19"/>
      <c r="AP82" s="19">
        <f>IF((1 - CUSTOS!$M$31)&lt;&gt;0,1/(1 - CUSTOS!$M$31),1)</f>
        <v>1</v>
      </c>
    </row>
    <row r="83" spans="1:42" ht="11.25" customHeight="1" x14ac:dyDescent="0.25">
      <c r="A83" s="119"/>
      <c r="B83" s="22" t="s">
        <v>23</v>
      </c>
      <c r="C83" s="22" t="s">
        <v>25</v>
      </c>
      <c r="D83" s="22" t="s">
        <v>25</v>
      </c>
      <c r="E83" s="22" t="s">
        <v>25</v>
      </c>
      <c r="F83" s="22" t="s">
        <v>25</v>
      </c>
      <c r="G83" s="21" t="s">
        <v>94</v>
      </c>
      <c r="H83" s="21" t="s">
        <v>88</v>
      </c>
      <c r="I83" s="21">
        <f>'MERCADO TUSD'!$U$80</f>
        <v>1033015.7139999998</v>
      </c>
      <c r="J83" s="17"/>
      <c r="L83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L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CUSTOS!$M$31)</f>
        <v>0</v>
      </c>
      <c r="M83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M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CUSTOS!$M$31)</f>
        <v>0.44653774390741613</v>
      </c>
      <c r="N83" s="19">
        <f ca="1">(+M83+O83+R83+U83+V83+W83+X83+Y83+Z83+AA83+AC83+AH83+AI83+AJ83+AK83)*CUSTOS!$M$5</f>
        <v>1.5690872834232534</v>
      </c>
      <c r="O83" s="19">
        <f>1 - CUSTOS!$M$31</f>
        <v>1</v>
      </c>
      <c r="P83" s="19">
        <f>1 - CUSTOS!$M$31</f>
        <v>1</v>
      </c>
      <c r="Q83" s="19">
        <f>1*(1 - CUSTOS!$M$31)</f>
        <v>1</v>
      </c>
      <c r="R83" s="19">
        <f>1 - CUSTOS!$M$31</f>
        <v>1</v>
      </c>
      <c r="S83" s="19">
        <f>1 - CUSTOS!$M$31</f>
        <v>1</v>
      </c>
      <c r="T83" s="19"/>
      <c r="U83" s="19">
        <f>TRANSICAO!$U$83*CUSTOS!$T$3</f>
        <v>6.2736999999999998</v>
      </c>
      <c r="V83" s="19">
        <f>TRANSICAO!$V$83*CUSTOS!$T$3</f>
        <v>2.2675000000000001</v>
      </c>
      <c r="W83" s="19">
        <f>TRANSICAO!$W$83*CUSTOS!$T$3</f>
        <v>0.2223</v>
      </c>
      <c r="X83" s="19">
        <f>TRANSICAO!$X$83*CUSTOS!$T$3</f>
        <v>0</v>
      </c>
      <c r="Y83" s="19">
        <f>TRANSICAO!$Y$83*CUSTOS!$T$3</f>
        <v>0</v>
      </c>
      <c r="Z83" s="19">
        <f>TRANSICAO!$Z$83*CUSTOS!$T$3</f>
        <v>0</v>
      </c>
      <c r="AA83" s="19">
        <f>TRANSICAO!$AA$83*CUSTOS!$T$3</f>
        <v>0</v>
      </c>
      <c r="AB83" s="19">
        <f>TRANSICAO!$AB$83*CUSTOS!$T$3</f>
        <v>0</v>
      </c>
      <c r="AC83" s="19">
        <f>TRANSICAO!$AC$83*CUSTOS!$T$3</f>
        <v>92.351500000000001</v>
      </c>
      <c r="AD83" s="19">
        <f>TRANSICAO!$AD$83*CUSTOS!$T$3</f>
        <v>0</v>
      </c>
      <c r="AE83" s="19">
        <v>0</v>
      </c>
      <c r="AF83" s="19">
        <v>0</v>
      </c>
      <c r="AG83" s="19"/>
      <c r="AH83" s="19">
        <f>(1 - CUSTOS!$M$31)*17.2047</f>
        <v>17.204699999999999</v>
      </c>
      <c r="AI83" s="19">
        <f>(1 - CUSTOS!$M$31)*17.2047</f>
        <v>17.204699999999999</v>
      </c>
      <c r="AJ83" s="19">
        <f ca="1">$N$102*(1-CUSTOS!$M$31)</f>
        <v>9.4688952992089614</v>
      </c>
      <c r="AK83" s="19">
        <f t="shared" ca="1" si="2"/>
        <v>9.4688952992089614</v>
      </c>
      <c r="AL83" s="19"/>
      <c r="AM83" s="19"/>
      <c r="AP83" s="19">
        <f>IF((1 - CUSTOS!$M$31)&lt;&gt;0,1/(1 - CUSTOS!$M$31),1)</f>
        <v>1</v>
      </c>
    </row>
    <row r="84" spans="1:42" ht="11.25" customHeight="1" x14ac:dyDescent="0.25">
      <c r="A84" s="119"/>
      <c r="B84" s="22" t="s">
        <v>102</v>
      </c>
      <c r="C84" s="22" t="s">
        <v>25</v>
      </c>
      <c r="D84" s="22" t="s">
        <v>25</v>
      </c>
      <c r="E84" s="22" t="s">
        <v>25</v>
      </c>
      <c r="F84" s="22" t="s">
        <v>25</v>
      </c>
      <c r="G84" s="21" t="s">
        <v>94</v>
      </c>
      <c r="H84" s="21" t="s">
        <v>88</v>
      </c>
      <c r="I84" s="21">
        <f>'MERCADO TUSD'!$U$81</f>
        <v>0</v>
      </c>
      <c r="J84" s="17"/>
      <c r="L84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L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CUSTOS!$M$31)</f>
        <v>0</v>
      </c>
      <c r="M84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M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CUSTOS!$M$31)</f>
        <v>0.44653774390741613</v>
      </c>
      <c r="N84" s="19">
        <f ca="1">(+M84+O84+R84+U84+V84+W84+X84+Y84+Z84+AA84+AC84+AH84+AI84+AJ84+AK84)*CUSTOS!$M$5</f>
        <v>1.5690872834232534</v>
      </c>
      <c r="O84" s="19">
        <f>1 - CUSTOS!$M$31</f>
        <v>1</v>
      </c>
      <c r="P84" s="19">
        <f>1 - CUSTOS!$M$31</f>
        <v>1</v>
      </c>
      <c r="Q84" s="19">
        <f>1*(1 - CUSTOS!$M$31)</f>
        <v>1</v>
      </c>
      <c r="R84" s="19">
        <f>1 - CUSTOS!$M$31</f>
        <v>1</v>
      </c>
      <c r="S84" s="19">
        <f>1 - CUSTOS!$M$31</f>
        <v>1</v>
      </c>
      <c r="T84" s="19"/>
      <c r="U84" s="19">
        <f>TRANSICAO!$U$84*CUSTOS!$T$3</f>
        <v>6.2736999999999998</v>
      </c>
      <c r="V84" s="19">
        <f>TRANSICAO!$V$84*CUSTOS!$T$3</f>
        <v>2.2675000000000001</v>
      </c>
      <c r="W84" s="19">
        <f>TRANSICAO!$W$84*CUSTOS!$T$3</f>
        <v>0.2223</v>
      </c>
      <c r="X84" s="19">
        <f>TRANSICAO!$X$84*CUSTOS!$T$3</f>
        <v>0</v>
      </c>
      <c r="Y84" s="19">
        <f>TRANSICAO!$Y$84*CUSTOS!$T$3</f>
        <v>0</v>
      </c>
      <c r="Z84" s="19">
        <f>TRANSICAO!$Z$84*CUSTOS!$T$3</f>
        <v>0</v>
      </c>
      <c r="AA84" s="19">
        <f>TRANSICAO!$AA$84*CUSTOS!$T$3</f>
        <v>0</v>
      </c>
      <c r="AB84" s="19">
        <f>TRANSICAO!$AB$84*CUSTOS!$T$3</f>
        <v>0</v>
      </c>
      <c r="AC84" s="19">
        <f>TRANSICAO!$AC$84*CUSTOS!$T$3</f>
        <v>92.351500000000001</v>
      </c>
      <c r="AD84" s="19">
        <f>TRANSICAO!$AD$84*CUSTOS!$T$3</f>
        <v>0</v>
      </c>
      <c r="AE84" s="19">
        <v>0</v>
      </c>
      <c r="AF84" s="19">
        <v>0</v>
      </c>
      <c r="AG84" s="19"/>
      <c r="AH84" s="19">
        <f>(1 - CUSTOS!$M$31)*17.2047</f>
        <v>17.204699999999999</v>
      </c>
      <c r="AI84" s="19">
        <f>(1 - CUSTOS!$M$31)*17.2047</f>
        <v>17.204699999999999</v>
      </c>
      <c r="AJ84" s="19">
        <f ca="1">$N$102*(1-CUSTOS!$M$31)</f>
        <v>9.4688952992089614</v>
      </c>
      <c r="AK84" s="19">
        <f t="shared" ca="1" si="2"/>
        <v>9.4688952992089614</v>
      </c>
      <c r="AL84" s="19"/>
      <c r="AM84" s="19"/>
      <c r="AP84" s="19">
        <f>IF((1 - CUSTOS!$M$31)&lt;&gt;0,1/(1 - CUSTOS!$M$31),1)</f>
        <v>1</v>
      </c>
    </row>
    <row r="85" spans="1:42" ht="11.25" customHeight="1" x14ac:dyDescent="0.25">
      <c r="A85" s="119" t="s">
        <v>49</v>
      </c>
      <c r="B85" s="119" t="s">
        <v>23</v>
      </c>
      <c r="C85" s="119" t="s">
        <v>50</v>
      </c>
      <c r="D85" s="22" t="s">
        <v>51</v>
      </c>
      <c r="E85" s="22" t="s">
        <v>25</v>
      </c>
      <c r="F85" s="22" t="s">
        <v>25</v>
      </c>
      <c r="G85" s="21" t="s">
        <v>94</v>
      </c>
      <c r="H85" s="21" t="s">
        <v>88</v>
      </c>
      <c r="I85" s="21">
        <f>'MERCADO TUSD'!$U$82</f>
        <v>418118.94</v>
      </c>
      <c r="J85" s="17"/>
      <c r="L85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L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CUSTOS!$M$32)</f>
        <v>0</v>
      </c>
      <c r="M85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M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CUSTOS!$M$32)</f>
        <v>0.24559575914907888</v>
      </c>
      <c r="N85" s="19">
        <f ca="1">(+M85+O85+R85+U85+V85+W85+X85+Y85+Z85+AA85+AC85+AH85+AI85+AJ85+AK85)*CUSTOS!$M$5</f>
        <v>0.86299800588278941</v>
      </c>
      <c r="O85" s="19">
        <f>1 - CUSTOS!$M$32</f>
        <v>0.55000000000000004</v>
      </c>
      <c r="P85" s="19">
        <f>1 - CUSTOS!$M$32</f>
        <v>0.55000000000000004</v>
      </c>
      <c r="Q85" s="19">
        <f>1*(1 - CUSTOS!$M$32)</f>
        <v>0.55000000000000004</v>
      </c>
      <c r="R85" s="19">
        <f>1 - CUSTOS!$M$32</f>
        <v>0.55000000000000004</v>
      </c>
      <c r="S85" s="19">
        <f>1 - CUSTOS!$M$32</f>
        <v>0.55000000000000004</v>
      </c>
      <c r="T85" s="19"/>
      <c r="U85" s="19">
        <f>TRANSICAO!$U$85*CUSTOS!$T$3</f>
        <v>3.4505350000000004</v>
      </c>
      <c r="V85" s="19">
        <f>TRANSICAO!$V$85*CUSTOS!$T$3</f>
        <v>1.247125</v>
      </c>
      <c r="W85" s="19">
        <f>TRANSICAO!$W$85*CUSTOS!$T$3</f>
        <v>0.12226500000000001</v>
      </c>
      <c r="X85" s="19">
        <f>TRANSICAO!$X$85*CUSTOS!$T$3</f>
        <v>0</v>
      </c>
      <c r="Y85" s="19">
        <f>TRANSICAO!$Y$85*CUSTOS!$T$3</f>
        <v>0</v>
      </c>
      <c r="Z85" s="19">
        <f>TRANSICAO!$Z$85*CUSTOS!$T$3</f>
        <v>0</v>
      </c>
      <c r="AA85" s="19">
        <f>TRANSICAO!$AA$85*CUSTOS!$T$3</f>
        <v>0</v>
      </c>
      <c r="AB85" s="19">
        <f>TRANSICAO!$AB$85*CUSTOS!$T$3</f>
        <v>0</v>
      </c>
      <c r="AC85" s="19">
        <f>TRANSICAO!$AC$85*CUSTOS!$T$3</f>
        <v>50.793325000000003</v>
      </c>
      <c r="AD85" s="19">
        <f>TRANSICAO!$AD$85*CUSTOS!$T$3</f>
        <v>0</v>
      </c>
      <c r="AE85" s="19">
        <v>0</v>
      </c>
      <c r="AF85" s="19">
        <v>0</v>
      </c>
      <c r="AG85" s="19"/>
      <c r="AH85" s="19">
        <f>(1 - CUSTOS!$M$32)*17.2047</f>
        <v>9.4625850000000007</v>
      </c>
      <c r="AI85" s="19">
        <f>(1 - CUSTOS!$M$32)*17.2047</f>
        <v>9.4625850000000007</v>
      </c>
      <c r="AJ85" s="19">
        <f ca="1">$N$102*(1-CUSTOS!$M$32)</f>
        <v>5.2078924145649292</v>
      </c>
      <c r="AK85" s="19">
        <f t="shared" ca="1" si="2"/>
        <v>5.2078924145649292</v>
      </c>
      <c r="AL85" s="19"/>
      <c r="AM85" s="19"/>
      <c r="AP85" s="19">
        <f>IF((1 - CUSTOS!$M$32)&lt;&gt;0,1/(1 - CUSTOS!$M$32),1)</f>
        <v>1.8181818181818181</v>
      </c>
    </row>
    <row r="86" spans="1:42" ht="11.25" customHeight="1" x14ac:dyDescent="0.25">
      <c r="A86" s="119"/>
      <c r="B86" s="119"/>
      <c r="C86" s="119"/>
      <c r="D86" s="21" t="s">
        <v>105</v>
      </c>
      <c r="E86" s="21" t="s">
        <v>25</v>
      </c>
      <c r="F86" s="21" t="s">
        <v>25</v>
      </c>
      <c r="G86" s="21" t="s">
        <v>94</v>
      </c>
      <c r="H86" s="21" t="s">
        <v>88</v>
      </c>
      <c r="I86" s="21">
        <f>'MERCADO TUSD'!$U$83</f>
        <v>0</v>
      </c>
      <c r="J86" s="17"/>
      <c r="L86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L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CUSTOS!$M$33)</f>
        <v>0</v>
      </c>
      <c r="M86" s="19">
        <f>IF(AND((+$I$52+$I$53+$I$54+$I$55+$I$56+$I$57+$I$58+$I$59+$I$60+$I$61+$I$62+$I$63+$I$64+$I$65+$I$66+$I$67+$I$68+$I$69+$I$70+$I$71+$I$72+$I$73+$I$74+$I$75+$I$76+$I$77+$I$78+$I$79+$I$80+$I$81+$I$82+$I$83+$I$84+$I$85+$I$86)&lt;&gt;0,SUMPRODUCT($I$5:$I$86,$AC$5:$AC$86,$AP$5:$AP$86)&lt;&gt;0),$M$91*SUMPRODUCT($I$52:$I$86,$AC$52:$AC$86,$AP$52:$AP$86)/SUMPRODUCT($I$5:$I$86,$AC$5:$AC$86,$AP$5:$AP$86)/(+$I$52+$I$53+$I$54+$I$55+$I$56+$I$57+$I$58+$I$59+$I$60+$I$61+$I$62+$I$63+$I$64+$I$65+$I$66+$I$67+$I$68+$I$69+$I$70+$I$71+$I$72+$I$73+$I$74+$I$75+$I$76+$I$77+$I$78+$I$79+$I$80+$I$81+$I$82+$I$83+$I$84+$I$85+$I$86),0)*(1 - CUSTOS!$M$33)</f>
        <v>0.26792264634444968</v>
      </c>
      <c r="N86" s="19">
        <f ca="1">(+M86+O86+R86+U86+V86+W86+X86+Y86+Z86+AA86+AC86+AH86+AI86+AJ86+AK86)*CUSTOS!$M$5</f>
        <v>0.94145237005395177</v>
      </c>
      <c r="O86" s="19">
        <f>1 - CUSTOS!$M$33</f>
        <v>0.6</v>
      </c>
      <c r="P86" s="19">
        <f>1 - CUSTOS!$M$33</f>
        <v>0.6</v>
      </c>
      <c r="Q86" s="19">
        <f>1*(1 - CUSTOS!$M$33)</f>
        <v>0.6</v>
      </c>
      <c r="R86" s="19">
        <f>1 - CUSTOS!$M$33</f>
        <v>0.6</v>
      </c>
      <c r="S86" s="19">
        <f>1 - CUSTOS!$M$33</f>
        <v>0.6</v>
      </c>
      <c r="T86" s="19"/>
      <c r="U86" s="19">
        <f>TRANSICAO!$U$86*CUSTOS!$T$3</f>
        <v>3.7642199999999999</v>
      </c>
      <c r="V86" s="19">
        <f>TRANSICAO!$V$86*CUSTOS!$T$3</f>
        <v>1.3605</v>
      </c>
      <c r="W86" s="19">
        <f>TRANSICAO!$W$86*CUSTOS!$T$3</f>
        <v>0.13338</v>
      </c>
      <c r="X86" s="19">
        <f>TRANSICAO!$X$86*CUSTOS!$T$3</f>
        <v>0</v>
      </c>
      <c r="Y86" s="19">
        <f>TRANSICAO!$Y$86*CUSTOS!$T$3</f>
        <v>0</v>
      </c>
      <c r="Z86" s="19">
        <f>TRANSICAO!$Z$86*CUSTOS!$T$3</f>
        <v>0</v>
      </c>
      <c r="AA86" s="19">
        <f>TRANSICAO!$AA$86*CUSTOS!$T$3</f>
        <v>0</v>
      </c>
      <c r="AB86" s="19">
        <f>TRANSICAO!$AB$86*CUSTOS!$T$3</f>
        <v>0</v>
      </c>
      <c r="AC86" s="19">
        <f>TRANSICAO!$AC$86*CUSTOS!$T$3</f>
        <v>55.410899999999998</v>
      </c>
      <c r="AD86" s="19">
        <f>TRANSICAO!$AD$86*CUSTOS!$T$3</f>
        <v>0</v>
      </c>
      <c r="AE86" s="19">
        <v>0</v>
      </c>
      <c r="AF86" s="19">
        <v>0</v>
      </c>
      <c r="AG86" s="19"/>
      <c r="AH86" s="19">
        <f>(1 - CUSTOS!$M$33)*17.2047</f>
        <v>10.322819999999998</v>
      </c>
      <c r="AI86" s="19">
        <f>(1 - CUSTOS!$M$33)*17.2047</f>
        <v>10.322819999999998</v>
      </c>
      <c r="AJ86" s="19">
        <f ca="1">$N$102*(1-CUSTOS!$M$33)</f>
        <v>5.6813371795253769</v>
      </c>
      <c r="AK86" s="19">
        <f t="shared" ca="1" si="2"/>
        <v>5.6813371795253769</v>
      </c>
      <c r="AL86" s="19"/>
      <c r="AM86" s="19"/>
      <c r="AP86" s="19">
        <f>IF((1 - CUSTOS!$M$33)&lt;&gt;0,1/(1 - CUSTOS!$M$33),1)</f>
        <v>1.6666666666666667</v>
      </c>
    </row>
    <row r="88" spans="1:42" ht="11.25" customHeight="1" x14ac:dyDescent="0.25">
      <c r="K88" s="18" t="s">
        <v>1058</v>
      </c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</row>
    <row r="89" spans="1:42" ht="11.25" customHeight="1" x14ac:dyDescent="0.25">
      <c r="K89" s="18" t="s">
        <v>1059</v>
      </c>
      <c r="L89" s="19">
        <f>IF(ISERROR(+SUMPRODUCT($L$12:$L$14,$I$12:$I$14)),0,+SUMPRODUCT($L$12:$L$14,$I$12:$I$14))</f>
        <v>0</v>
      </c>
      <c r="M89" s="19">
        <f>IF(ISERROR(+SUMPRODUCT($M$12:$M$14,$I$12:$I$14)),0,+SUMPRODUCT($M$12:$M$14,$I$12:$I$14))</f>
        <v>200049.6</v>
      </c>
      <c r="N89" s="19">
        <f>IF(ISERROR(+SUMPRODUCT($N$12:$N$14,$I$12:$I$14)),0,+SUMPRODUCT($N$12:$N$14,$I$12:$I$14))</f>
        <v>504980.4</v>
      </c>
      <c r="O89" s="19">
        <f>IF(ISERROR(+SUMPRODUCT($O$12:$O$14,$I$12:$I$14)),0,+SUMPRODUCT($O$12:$O$14,$I$12:$I$14))</f>
        <v>0</v>
      </c>
      <c r="P89" s="19">
        <f>IF(ISERROR(+SUMPRODUCT($P$12:$P$14,$I$12:$I$14)),0,+SUMPRODUCT($P$12:$P$14,$I$12:$I$14))</f>
        <v>0</v>
      </c>
      <c r="Q89" s="19">
        <f>IF(ISERROR(+SUMPRODUCT($Q$12:$Q$14,$I$12:$I$14)),0,+SUMPRODUCT($Q$12:$Q$14,$I$12:$I$14))</f>
        <v>0</v>
      </c>
      <c r="R89" s="19">
        <f>IF(ISERROR(+SUMPRODUCT($R$12:$R$14,$I$12:$I$14)),0,+SUMPRODUCT($R$12:$R$14,$I$12:$I$14))</f>
        <v>0</v>
      </c>
      <c r="S89" s="19">
        <f>IF(ISERROR(+SUMPRODUCT($S$12:$S$14,$I$12:$I$14)),0,+SUMPRODUCT($S$12:$S$14,$I$12:$I$14))</f>
        <v>0</v>
      </c>
      <c r="T89" s="19"/>
      <c r="U89" s="19">
        <f>IF(ISERROR(+SUMPRODUCT($U$12:$U$14,$I$12:$I$14)),0,+SUMPRODUCT($U$12:$U$14,$I$12:$I$14))</f>
        <v>0</v>
      </c>
      <c r="V89" s="19">
        <f>IF(ISERROR(+SUMPRODUCT($V$12:$V$14,$I$12:$I$14)),0,+SUMPRODUCT($V$12:$V$14,$I$12:$I$14))</f>
        <v>1516908.6</v>
      </c>
      <c r="W89" s="19">
        <f>IF(ISERROR(+SUMPRODUCT($W$12:$W$14,$I$12:$I$14)),0,+SUMPRODUCT($W$12:$W$14,$I$12:$I$14))</f>
        <v>120658.20000000001</v>
      </c>
      <c r="X89" s="19">
        <f>IF(ISERROR(+SUMPRODUCT($X$12:$X$14,$I$12:$I$14)),0,+SUMPRODUCT($X$12:$X$14,$I$12:$I$14))</f>
        <v>0</v>
      </c>
      <c r="Y89" s="19">
        <f>IF(ISERROR(+SUMPRODUCT($Y$12:$Y$14,$I$12:$I$14)),0,+SUMPRODUCT($Y$12:$Y$14,$I$12:$I$14))</f>
        <v>0</v>
      </c>
      <c r="Z89" s="19">
        <f>IF(ISERROR(+SUMPRODUCT($Z$12:$Z$14,$I$12:$I$14)),0,+SUMPRODUCT($Z$12:$Z$14,$I$12:$I$14))</f>
        <v>0</v>
      </c>
      <c r="AA89" s="19">
        <f>IF(ISERROR(+SUMPRODUCT($AA$12:$AA$14,$I$12:$I$14)),0,+SUMPRODUCT($AA$12:$AA$14,$I$12:$I$14))</f>
        <v>771753.60000000009</v>
      </c>
      <c r="AB89" s="19"/>
      <c r="AC89" s="19">
        <f>IF(ISERROR(+SUMPRODUCT($AC$12:$AC$14,$I$12:$I$14)),0,+SUMPRODUCT($AC$12:$AC$14,$I$12:$I$14))</f>
        <v>5474919.5999999996</v>
      </c>
      <c r="AD89" s="19"/>
      <c r="AE89" s="19">
        <f>IF(ISERROR(+SUMPRODUCT($AE$12:$AE$14,$I$12:$I$14)),0,+SUMPRODUCT($AE$12:$AE$14,$I$12:$I$14))</f>
        <v>0</v>
      </c>
      <c r="AF89" s="19">
        <f>IF(ISERROR(+SUMPRODUCT($AF$12:$AF$14,$I$12:$I$14)),0,+SUMPRODUCT($AF$12:$AF$14,$I$12:$I$14))</f>
        <v>0</v>
      </c>
      <c r="AG89" s="19"/>
      <c r="AH89" s="19">
        <f>IF(ISERROR(+SUMPRODUCT($AH$12:$AH$14,$I$12:$I$14)),0,+SUMPRODUCT($AH$12:$AH$14,$I$12:$I$14))</f>
        <v>0</v>
      </c>
      <c r="AI89" s="19">
        <f>IF(ISERROR(+SUMPRODUCT($AI$12:$AI$14,$I$12:$I$14)),0,+SUMPRODUCT($AI$12:$AI$14,$I$12:$I$14))</f>
        <v>0</v>
      </c>
      <c r="AJ89" s="19">
        <f>IF(ISERROR(+SUMPRODUCT($AJ$12:$AJ$14,$I$12:$I$14)),0,+SUMPRODUCT($AJ$12:$AJ$14,$I$12:$I$14))</f>
        <v>0</v>
      </c>
      <c r="AK89" s="19">
        <f>IF(ISERROR(+SUMPRODUCT($AK$12:$AK$14,$I$12:$I$14)),0,+SUMPRODUCT($AK$12:$AK$14,$I$12:$I$14))</f>
        <v>0</v>
      </c>
      <c r="AL89" s="19"/>
      <c r="AM89" s="19"/>
    </row>
    <row r="90" spans="1:42" ht="11.25" customHeight="1" x14ac:dyDescent="0.25">
      <c r="K90" s="18" t="s">
        <v>1060</v>
      </c>
      <c r="L90" s="19">
        <f>IF(ISERROR(+SUMPRODUCT($L$5:$L$8,$I$5:$I$8)+SUMPRODUCT($L$9:$L$11,$I$9:$I$11)+SUMPRODUCT($L$15:$L$18,$I$15:$I$18)+SUMPRODUCT($L$19:$L$19,$I$19:$I$19)+SUMPRODUCT($L$20:$L$24,$I$20:$I$24)+SUMPRODUCT($L$25:$L$26,$I$25:$I$26)+SUMPRODUCT($L$27:$L$30,$I$27:$I$30)+SUMPRODUCT($L$31:$L$31,$I$31:$I$31)+SUMPRODUCT($L$32:$L$36,$I$32:$I$36)+SUMPRODUCT($L$37:$L$38,$I$37:$I$38)+SUMPRODUCT($L$39:$L$42,$I$39:$I$42)+SUMPRODUCT($L$43:$L$47,$I$43:$I$47)+SUMPRODUCT($L$48:$L$49,$I$48:$I$49)+SUMPRODUCT($L$50:$L$51,$I$50:$I$51)+SUMPRODUCT($L$52:$L$54,$I$52:$I$54)+SUMPRODUCT($L$55:$L$59,$I$55:$I$59)+SUMPRODUCT($L$60:$L$64,$I$60:$I$64)+SUMPRODUCT($L$65:$L$67,$I$65:$I$67)+SUMPRODUCT($L$68:$L$68,$I$68:$I$68)+SUMPRODUCT($L$69:$L$71,$I$69:$I$71)+SUMPRODUCT($L$72:$L$72,$I$72:$I$72)+SUMPRODUCT($L$73:$L$75,$I$73:$I$75)+SUMPRODUCT($L$76:$L$76,$I$76:$I$76)+SUMPRODUCT($L$77:$L$79,$I$77:$I$79)+SUMPRODUCT($L$80:$L$82,$I$80:$I$82)+SUMPRODUCT($L$83:$L$83,$I$83:$I$83)+SUMPRODUCT($L$84:$L$84,$I$84:$I$84)+SUMPRODUCT($L$85:$L$86,$I$85:$I$86)),0,+SUMPRODUCT($L$5:$L$8,$I$5:$I$8)+SUMPRODUCT($L$9:$L$11,$I$9:$I$11)+SUMPRODUCT($L$15:$L$18,$I$15:$I$18)+SUMPRODUCT($L$19:$L$19,$I$19:$I$19)+SUMPRODUCT($L$20:$L$24,$I$20:$I$24)+SUMPRODUCT($L$25:$L$26,$I$25:$I$26)+SUMPRODUCT($L$27:$L$30,$I$27:$I$30)+SUMPRODUCT($L$31:$L$31,$I$31:$I$31)+SUMPRODUCT($L$32:$L$36,$I$32:$I$36)+SUMPRODUCT($L$37:$L$38,$I$37:$I$38)+SUMPRODUCT($L$39:$L$42,$I$39:$I$42)+SUMPRODUCT($L$43:$L$47,$I$43:$I$47)+SUMPRODUCT($L$48:$L$49,$I$48:$I$49)+SUMPRODUCT($L$50:$L$51,$I$50:$I$51)+SUMPRODUCT($L$52:$L$54,$I$52:$I$54)+SUMPRODUCT($L$55:$L$59,$I$55:$I$59)+SUMPRODUCT($L$60:$L$64,$I$60:$I$64)+SUMPRODUCT($L$65:$L$67,$I$65:$I$67)+SUMPRODUCT($L$68:$L$68,$I$68:$I$68)+SUMPRODUCT($L$69:$L$71,$I$69:$I$71)+SUMPRODUCT($L$72:$L$72,$I$72:$I$72)+SUMPRODUCT($L$73:$L$75,$I$73:$I$75)+SUMPRODUCT($L$76:$L$76,$I$76:$I$76)+SUMPRODUCT($L$77:$L$79,$I$77:$I$79)+SUMPRODUCT($L$80:$L$82,$I$80:$I$82)+SUMPRODUCT($L$83:$L$83,$I$83:$I$83)+SUMPRODUCT($L$84:$L$84,$I$84:$I$84)+SUMPRODUCT($L$85:$L$86,$I$85:$I$86))</f>
        <v>0</v>
      </c>
      <c r="M90" s="19">
        <f>IF(ISERROR(+SUMPRODUCT($M$5:$M$8,$I$5:$I$8)+SUMPRODUCT($M$9:$M$11,$I$9:$I$11)+SUMPRODUCT($M$15:$M$18,$I$15:$I$18)+SUMPRODUCT($M$19:$M$19,$I$19:$I$19)+SUMPRODUCT($M$20:$M$24,$I$20:$I$24)+SUMPRODUCT($M$25:$M$26,$I$25:$I$26)+SUMPRODUCT($M$27:$M$30,$I$27:$I$30)+SUMPRODUCT($M$31:$M$31,$I$31:$I$31)+SUMPRODUCT($M$32:$M$36,$I$32:$I$36)+SUMPRODUCT($M$37:$M$38,$I$37:$I$38)+SUMPRODUCT($M$39:$M$42,$I$39:$I$42)+SUMPRODUCT($M$43:$M$47,$I$43:$I$47)+SUMPRODUCT($M$48:$M$49,$I$48:$I$49)+SUMPRODUCT($M$50:$M$51,$I$50:$I$51)+SUMPRODUCT($M$52:$M$54,$I$52:$I$54)+SUMPRODUCT($M$55:$M$59,$I$55:$I$59)+SUMPRODUCT($M$60:$M$64,$I$60:$I$64)+SUMPRODUCT($M$65:$M$67,$I$65:$I$67)+SUMPRODUCT($M$68:$M$68,$I$68:$I$68)+SUMPRODUCT($M$69:$M$71,$I$69:$I$71)+SUMPRODUCT($M$72:$M$72,$I$72:$I$72)+SUMPRODUCT($M$73:$M$75,$I$73:$I$75)+SUMPRODUCT($M$76:$M$76,$I$76:$I$76)+SUMPRODUCT($M$77:$M$79,$I$77:$I$79)+SUMPRODUCT($M$80:$M$82,$I$80:$I$82)+SUMPRODUCT($M$83:$M$83,$I$83:$I$83)+SUMPRODUCT($M$84:$M$84,$I$84:$I$84)+SUMPRODUCT($M$85:$M$86,$I$85:$I$86)),0,+SUMPRODUCT($M$5:$M$8,$I$5:$I$8)+SUMPRODUCT($M$9:$M$11,$I$9:$I$11)+SUMPRODUCT($M$15:$M$18,$I$15:$I$18)+SUMPRODUCT($M$19:$M$19,$I$19:$I$19)+SUMPRODUCT($M$20:$M$24,$I$20:$I$24)+SUMPRODUCT($M$25:$M$26,$I$25:$I$26)+SUMPRODUCT($M$27:$M$30,$I$27:$I$30)+SUMPRODUCT($M$31:$M$31,$I$31:$I$31)+SUMPRODUCT($M$32:$M$36,$I$32:$I$36)+SUMPRODUCT($M$37:$M$38,$I$37:$I$38)+SUMPRODUCT($M$39:$M$42,$I$39:$I$42)+SUMPRODUCT($M$43:$M$47,$I$43:$I$47)+SUMPRODUCT($M$48:$M$49,$I$48:$I$49)+SUMPRODUCT($M$50:$M$51,$I$50:$I$51)+SUMPRODUCT($M$52:$M$54,$I$52:$I$54)+SUMPRODUCT($M$55:$M$59,$I$55:$I$59)+SUMPRODUCT($M$60:$M$64,$I$60:$I$64)+SUMPRODUCT($M$65:$M$67,$I$65:$I$67)+SUMPRODUCT($M$68:$M$68,$I$68:$I$68)+SUMPRODUCT($M$69:$M$71,$I$69:$I$71)+SUMPRODUCT($M$72:$M$72,$I$72:$I$72)+SUMPRODUCT($M$73:$M$75,$I$73:$I$75)+SUMPRODUCT($M$76:$M$76,$I$76:$I$76)+SUMPRODUCT($M$77:$M$79,$I$77:$I$79)+SUMPRODUCT($M$80:$M$82,$I$80:$I$82)+SUMPRODUCT($M$83:$M$83,$I$83:$I$83)+SUMPRODUCT($M$84:$M$84,$I$84:$I$84)+SUMPRODUCT($M$85:$M$86,$I$85:$I$86))</f>
        <v>2194868.0262330757</v>
      </c>
      <c r="N90" s="19">
        <f ca="1">IF(ISERROR(+SUMPRODUCT($N$5:$N$8,$I$5:$I$8)+SUMPRODUCT($N$9:$N$11,$I$9:$I$11)+SUMPRODUCT($N$15:$N$18,$I$15:$I$18)+SUMPRODUCT($N$19:$N$19,$I$19:$I$19)+SUMPRODUCT($N$20:$N$24,$I$20:$I$24)+SUMPRODUCT($N$25:$N$26,$I$25:$I$26)+SUMPRODUCT($N$27:$N$30,$I$27:$I$30)+SUMPRODUCT($N$31:$N$31,$I$31:$I$31)+SUMPRODUCT($N$32:$N$36,$I$32:$I$36)+SUMPRODUCT($N$37:$N$38,$I$37:$I$38)+SUMPRODUCT($N$39:$N$42,$I$39:$I$42)+SUMPRODUCT($N$43:$N$47,$I$43:$I$47)+SUMPRODUCT($N$48:$N$49,$I$48:$I$49)+SUMPRODUCT($N$50:$N$51,$I$50:$I$51)+SUMPRODUCT($N$52:$N$54,$I$52:$I$54)+SUMPRODUCT($N$55:$N$59,$I$55:$I$59)+SUMPRODUCT($N$60:$N$64,$I$60:$I$64)+SUMPRODUCT($N$65:$N$67,$I$65:$I$67)+SUMPRODUCT($N$68:$N$68,$I$68:$I$68)+SUMPRODUCT($N$69:$N$71,$I$69:$I$71)+SUMPRODUCT($N$72:$N$72,$I$72:$I$72)+SUMPRODUCT($N$73:$N$75,$I$73:$I$75)+SUMPRODUCT($N$76:$N$76,$I$76:$I$76)+SUMPRODUCT($N$77:$N$79,$I$77:$I$79)+SUMPRODUCT($N$80:$N$82,$I$80:$I$82)+SUMPRODUCT($N$83:$N$83,$I$83:$I$83)+SUMPRODUCT($N$84:$N$84,$I$84:$I$84)+SUMPRODUCT($N$85:$N$86,$I$85:$I$86)),0,+SUMPRODUCT($N$5:$N$8,$I$5:$I$8)+SUMPRODUCT($N$9:$N$11,$I$9:$I$11)+SUMPRODUCT($N$15:$N$18,$I$15:$I$18)+SUMPRODUCT($N$19:$N$19,$I$19:$I$19)+SUMPRODUCT($N$20:$N$24,$I$20:$I$24)+SUMPRODUCT($N$25:$N$26,$I$25:$I$26)+SUMPRODUCT($N$27:$N$30,$I$27:$I$30)+SUMPRODUCT($N$31:$N$31,$I$31:$I$31)+SUMPRODUCT($N$32:$N$36,$I$32:$I$36)+SUMPRODUCT($N$37:$N$38,$I$37:$I$38)+SUMPRODUCT($N$39:$N$42,$I$39:$I$42)+SUMPRODUCT($N$43:$N$47,$I$43:$I$47)+SUMPRODUCT($N$48:$N$49,$I$48:$I$49)+SUMPRODUCT($N$50:$N$51,$I$50:$I$51)+SUMPRODUCT($N$52:$N$54,$I$52:$I$54)+SUMPRODUCT($N$55:$N$59,$I$55:$I$59)+SUMPRODUCT($N$60:$N$64,$I$60:$I$64)+SUMPRODUCT($N$65:$N$67,$I$65:$I$67)+SUMPRODUCT($N$68:$N$68,$I$68:$I$68)+SUMPRODUCT($N$69:$N$71,$I$69:$I$71)+SUMPRODUCT($N$72:$N$72,$I$72:$I$72)+SUMPRODUCT($N$73:$N$75,$I$73:$I$75)+SUMPRODUCT($N$76:$N$76,$I$76:$I$76)+SUMPRODUCT($N$77:$N$79,$I$77:$I$79)+SUMPRODUCT($N$80:$N$82,$I$80:$I$82)+SUMPRODUCT($N$83:$N$83,$I$83:$I$83)+SUMPRODUCT($N$84:$N$84,$I$84:$I$84)+SUMPRODUCT($N$85:$N$86,$I$85:$I$86))</f>
        <v>6986978.728658583</v>
      </c>
      <c r="O90" s="19">
        <f>IF(ISERROR(+SUMPRODUCT($O$5:$O$8,$I$5:$I$8)+SUMPRODUCT($O$9:$O$11,$I$9:$I$11)+SUMPRODUCT($O$15:$O$18,$I$15:$I$18)+SUMPRODUCT($O$19:$O$19,$I$19:$I$19)+SUMPRODUCT($O$20:$O$24,$I$20:$I$24)+SUMPRODUCT($O$25:$O$26,$I$25:$I$26)+SUMPRODUCT($O$27:$O$30,$I$27:$I$30)+SUMPRODUCT($O$31:$O$31,$I$31:$I$31)+SUMPRODUCT($O$32:$O$36,$I$32:$I$36)+SUMPRODUCT($O$37:$O$38,$I$37:$I$38)+SUMPRODUCT($O$39:$O$42,$I$39:$I$42)+SUMPRODUCT($O$43:$O$47,$I$43:$I$47)+SUMPRODUCT($O$48:$O$49,$I$48:$I$49)+SUMPRODUCT($O$50:$O$51,$I$50:$I$51)+SUMPRODUCT($O$52:$O$54,$I$52:$I$54)+SUMPRODUCT($O$55:$O$59,$I$55:$I$59)+SUMPRODUCT($O$60:$O$64,$I$60:$I$64)+SUMPRODUCT($O$65:$O$67,$I$65:$I$67)+SUMPRODUCT($O$68:$O$68,$I$68:$I$68)+SUMPRODUCT($O$69:$O$71,$I$69:$I$71)+SUMPRODUCT($O$72:$O$72,$I$72:$I$72)+SUMPRODUCT($O$73:$O$75,$I$73:$I$75)+SUMPRODUCT($O$76:$O$76,$I$76:$I$76)+SUMPRODUCT($O$77:$O$79,$I$77:$I$79)+SUMPRODUCT($O$80:$O$82,$I$80:$I$82)+SUMPRODUCT($O$83:$O$83,$I$83:$I$83)+SUMPRODUCT($O$84:$O$84,$I$84:$I$84)+SUMPRODUCT($O$85:$O$86,$I$85:$I$86)),0,+SUMPRODUCT($O$5:$O$8,$I$5:$I$8)+SUMPRODUCT($O$9:$O$11,$I$9:$I$11)+SUMPRODUCT($O$15:$O$18,$I$15:$I$18)+SUMPRODUCT($O$19:$O$19,$I$19:$I$19)+SUMPRODUCT($O$20:$O$24,$I$20:$I$24)+SUMPRODUCT($O$25:$O$26,$I$25:$I$26)+SUMPRODUCT($O$27:$O$30,$I$27:$I$30)+SUMPRODUCT($O$31:$O$31,$I$31:$I$31)+SUMPRODUCT($O$32:$O$36,$I$32:$I$36)+SUMPRODUCT($O$37:$O$38,$I$37:$I$38)+SUMPRODUCT($O$39:$O$42,$I$39:$I$42)+SUMPRODUCT($O$43:$O$47,$I$43:$I$47)+SUMPRODUCT($O$48:$O$49,$I$48:$I$49)+SUMPRODUCT($O$50:$O$51,$I$50:$I$51)+SUMPRODUCT($O$52:$O$54,$I$52:$I$54)+SUMPRODUCT($O$55:$O$59,$I$55:$I$59)+SUMPRODUCT($O$60:$O$64,$I$60:$I$64)+SUMPRODUCT($O$65:$O$67,$I$65:$I$67)+SUMPRODUCT($O$68:$O$68,$I$68:$I$68)+SUMPRODUCT($O$69:$O$71,$I$69:$I$71)+SUMPRODUCT($O$72:$O$72,$I$72:$I$72)+SUMPRODUCT($O$73:$O$75,$I$73:$I$75)+SUMPRODUCT($O$76:$O$76,$I$76:$I$76)+SUMPRODUCT($O$77:$O$79,$I$77:$I$79)+SUMPRODUCT($O$80:$O$82,$I$80:$I$82)+SUMPRODUCT($O$83:$O$83,$I$83:$I$83)+SUMPRODUCT($O$84:$O$84,$I$84:$I$84)+SUMPRODUCT($O$85:$O$86,$I$85:$I$86))</f>
        <v>5972438.2940000007</v>
      </c>
      <c r="P90" s="19">
        <f>IF(ISERROR(+SUMPRODUCT($P$5:$P$8,$I$5:$I$8)+SUMPRODUCT($P$9:$P$11,$I$9:$I$11)+SUMPRODUCT($P$15:$P$18,$I$15:$I$18)+SUMPRODUCT($P$19:$P$19,$I$19:$I$19)+SUMPRODUCT($P$20:$P$24,$I$20:$I$24)+SUMPRODUCT($P$25:$P$26,$I$25:$I$26)+SUMPRODUCT($P$27:$P$30,$I$27:$I$30)+SUMPRODUCT($P$31:$P$31,$I$31:$I$31)+SUMPRODUCT($P$32:$P$36,$I$32:$I$36)+SUMPRODUCT($P$37:$P$38,$I$37:$I$38)+SUMPRODUCT($P$39:$P$42,$I$39:$I$42)+SUMPRODUCT($P$43:$P$47,$I$43:$I$47)+SUMPRODUCT($P$48:$P$49,$I$48:$I$49)+SUMPRODUCT($P$50:$P$51,$I$50:$I$51)+SUMPRODUCT($P$52:$P$54,$I$52:$I$54)+SUMPRODUCT($P$55:$P$59,$I$55:$I$59)+SUMPRODUCT($P$60:$P$64,$I$60:$I$64)+SUMPRODUCT($P$65:$P$67,$I$65:$I$67)+SUMPRODUCT($P$68:$P$68,$I$68:$I$68)+SUMPRODUCT($P$69:$P$71,$I$69:$I$71)+SUMPRODUCT($P$72:$P$72,$I$72:$I$72)+SUMPRODUCT($P$73:$P$75,$I$73:$I$75)+SUMPRODUCT($P$76:$P$76,$I$76:$I$76)+SUMPRODUCT($P$77:$P$79,$I$77:$I$79)+SUMPRODUCT($P$80:$P$82,$I$80:$I$82)+SUMPRODUCT($P$83:$P$83,$I$83:$I$83)+SUMPRODUCT($P$84:$P$84,$I$84:$I$84)+SUMPRODUCT($P$85:$P$86,$I$85:$I$86)),0,+SUMPRODUCT($P$5:$P$8,$I$5:$I$8)+SUMPRODUCT($P$9:$P$11,$I$9:$I$11)+SUMPRODUCT($P$15:$P$18,$I$15:$I$18)+SUMPRODUCT($P$19:$P$19,$I$19:$I$19)+SUMPRODUCT($P$20:$P$24,$I$20:$I$24)+SUMPRODUCT($P$25:$P$26,$I$25:$I$26)+SUMPRODUCT($P$27:$P$30,$I$27:$I$30)+SUMPRODUCT($P$31:$P$31,$I$31:$I$31)+SUMPRODUCT($P$32:$P$36,$I$32:$I$36)+SUMPRODUCT($P$37:$P$38,$I$37:$I$38)+SUMPRODUCT($P$39:$P$42,$I$39:$I$42)+SUMPRODUCT($P$43:$P$47,$I$43:$I$47)+SUMPRODUCT($P$48:$P$49,$I$48:$I$49)+SUMPRODUCT($P$50:$P$51,$I$50:$I$51)+SUMPRODUCT($P$52:$P$54,$I$52:$I$54)+SUMPRODUCT($P$55:$P$59,$I$55:$I$59)+SUMPRODUCT($P$60:$P$64,$I$60:$I$64)+SUMPRODUCT($P$65:$P$67,$I$65:$I$67)+SUMPRODUCT($P$68:$P$68,$I$68:$I$68)+SUMPRODUCT($P$69:$P$71,$I$69:$I$71)+SUMPRODUCT($P$72:$P$72,$I$72:$I$72)+SUMPRODUCT($P$73:$P$75,$I$73:$I$75)+SUMPRODUCT($P$76:$P$76,$I$76:$I$76)+SUMPRODUCT($P$77:$P$79,$I$77:$I$79)+SUMPRODUCT($P$80:$P$82,$I$80:$I$82)+SUMPRODUCT($P$83:$P$83,$I$83:$I$83)+SUMPRODUCT($P$84:$P$84,$I$84:$I$84)+SUMPRODUCT($P$85:$P$86,$I$85:$I$86))</f>
        <v>5841049.2710000006</v>
      </c>
      <c r="Q90" s="19">
        <f>IF(ISERROR(+SUMPRODUCT($Q$5:$Q$8,$I$5:$I$8)+SUMPRODUCT($Q$9:$Q$11,$I$9:$I$11)+SUMPRODUCT($Q$15:$Q$18,$I$15:$I$18)+SUMPRODUCT($Q$19:$Q$19,$I$19:$I$19)+SUMPRODUCT($Q$20:$Q$24,$I$20:$I$24)+SUMPRODUCT($Q$25:$Q$26,$I$25:$I$26)+SUMPRODUCT($Q$27:$Q$30,$I$27:$I$30)+SUMPRODUCT($Q$31:$Q$31,$I$31:$I$31)+SUMPRODUCT($Q$32:$Q$36,$I$32:$I$36)+SUMPRODUCT($Q$37:$Q$38,$I$37:$I$38)+SUMPRODUCT($Q$39:$Q$42,$I$39:$I$42)+SUMPRODUCT($Q$43:$Q$47,$I$43:$I$47)+SUMPRODUCT($Q$48:$Q$49,$I$48:$I$49)+SUMPRODUCT($Q$50:$Q$51,$I$50:$I$51)+SUMPRODUCT($Q$52:$Q$54,$I$52:$I$54)+SUMPRODUCT($Q$55:$Q$59,$I$55:$I$59)+SUMPRODUCT($Q$60:$Q$64,$I$60:$I$64)+SUMPRODUCT($Q$65:$Q$67,$I$65:$I$67)+SUMPRODUCT($Q$68:$Q$68,$I$68:$I$68)+SUMPRODUCT($Q$69:$Q$71,$I$69:$I$71)+SUMPRODUCT($Q$72:$Q$72,$I$72:$I$72)+SUMPRODUCT($Q$73:$Q$75,$I$73:$I$75)+SUMPRODUCT($Q$76:$Q$76,$I$76:$I$76)+SUMPRODUCT($Q$77:$Q$79,$I$77:$I$79)+SUMPRODUCT($Q$80:$Q$82,$I$80:$I$82)+SUMPRODUCT($Q$83:$Q$83,$I$83:$I$83)+SUMPRODUCT($Q$84:$Q$84,$I$84:$I$84)+SUMPRODUCT($Q$85:$Q$86,$I$85:$I$86)),0,+SUMPRODUCT($Q$5:$Q$8,$I$5:$I$8)+SUMPRODUCT($Q$9:$Q$11,$I$9:$I$11)+SUMPRODUCT($Q$15:$Q$18,$I$15:$I$18)+SUMPRODUCT($Q$19:$Q$19,$I$19:$I$19)+SUMPRODUCT($Q$20:$Q$24,$I$20:$I$24)+SUMPRODUCT($Q$25:$Q$26,$I$25:$I$26)+SUMPRODUCT($Q$27:$Q$30,$I$27:$I$30)+SUMPRODUCT($Q$31:$Q$31,$I$31:$I$31)+SUMPRODUCT($Q$32:$Q$36,$I$32:$I$36)+SUMPRODUCT($Q$37:$Q$38,$I$37:$I$38)+SUMPRODUCT($Q$39:$Q$42,$I$39:$I$42)+SUMPRODUCT($Q$43:$Q$47,$I$43:$I$47)+SUMPRODUCT($Q$48:$Q$49,$I$48:$I$49)+SUMPRODUCT($Q$50:$Q$51,$I$50:$I$51)+SUMPRODUCT($Q$52:$Q$54,$I$52:$I$54)+SUMPRODUCT($Q$55:$Q$59,$I$55:$I$59)+SUMPRODUCT($Q$60:$Q$64,$I$60:$I$64)+SUMPRODUCT($Q$65:$Q$67,$I$65:$I$67)+SUMPRODUCT($Q$68:$Q$68,$I$68:$I$68)+SUMPRODUCT($Q$69:$Q$71,$I$69:$I$71)+SUMPRODUCT($Q$72:$Q$72,$I$72:$I$72)+SUMPRODUCT($Q$73:$Q$75,$I$73:$I$75)+SUMPRODUCT($Q$76:$Q$76,$I$76:$I$76)+SUMPRODUCT($Q$77:$Q$79,$I$77:$I$79)+SUMPRODUCT($Q$80:$Q$82,$I$80:$I$82)+SUMPRODUCT($Q$83:$Q$83,$I$83:$I$83)+SUMPRODUCT($Q$84:$Q$84,$I$84:$I$84)+SUMPRODUCT($Q$85:$Q$86,$I$85:$I$86))</f>
        <v>5592098.5836300002</v>
      </c>
      <c r="R90" s="19">
        <f>IF(ISERROR(+SUMPRODUCT($R$5:$R$8,$I$5:$I$8)+SUMPRODUCT($R$9:$R$11,$I$9:$I$11)+SUMPRODUCT($R$15:$R$18,$I$15:$I$18)+SUMPRODUCT($R$19:$R$19,$I$19:$I$19)+SUMPRODUCT($R$20:$R$24,$I$20:$I$24)+SUMPRODUCT($R$25:$R$26,$I$25:$I$26)+SUMPRODUCT($R$27:$R$30,$I$27:$I$30)+SUMPRODUCT($R$31:$R$31,$I$31:$I$31)+SUMPRODUCT($R$32:$R$36,$I$32:$I$36)+SUMPRODUCT($R$37:$R$38,$I$37:$I$38)+SUMPRODUCT($R$39:$R$42,$I$39:$I$42)+SUMPRODUCT($R$43:$R$47,$I$43:$I$47)+SUMPRODUCT($R$48:$R$49,$I$48:$I$49)+SUMPRODUCT($R$50:$R$51,$I$50:$I$51)+SUMPRODUCT($R$52:$R$54,$I$52:$I$54)+SUMPRODUCT($R$55:$R$59,$I$55:$I$59)+SUMPRODUCT($R$60:$R$64,$I$60:$I$64)+SUMPRODUCT($R$65:$R$67,$I$65:$I$67)+SUMPRODUCT($R$68:$R$68,$I$68:$I$68)+SUMPRODUCT($R$69:$R$71,$I$69:$I$71)+SUMPRODUCT($R$72:$R$72,$I$72:$I$72)+SUMPRODUCT($R$73:$R$75,$I$73:$I$75)+SUMPRODUCT($R$76:$R$76,$I$76:$I$76)+SUMPRODUCT($R$77:$R$79,$I$77:$I$79)+SUMPRODUCT($R$80:$R$82,$I$80:$I$82)+SUMPRODUCT($R$83:$R$83,$I$83:$I$83)+SUMPRODUCT($R$84:$R$84,$I$84:$I$84)+SUMPRODUCT($R$85:$R$86,$I$85:$I$86)),0,+SUMPRODUCT($R$5:$R$8,$I$5:$I$8)+SUMPRODUCT($R$9:$R$11,$I$9:$I$11)+SUMPRODUCT($R$15:$R$18,$I$15:$I$18)+SUMPRODUCT($R$19:$R$19,$I$19:$I$19)+SUMPRODUCT($R$20:$R$24,$I$20:$I$24)+SUMPRODUCT($R$25:$R$26,$I$25:$I$26)+SUMPRODUCT($R$27:$R$30,$I$27:$I$30)+SUMPRODUCT($R$31:$R$31,$I$31:$I$31)+SUMPRODUCT($R$32:$R$36,$I$32:$I$36)+SUMPRODUCT($R$37:$R$38,$I$37:$I$38)+SUMPRODUCT($R$39:$R$42,$I$39:$I$42)+SUMPRODUCT($R$43:$R$47,$I$43:$I$47)+SUMPRODUCT($R$48:$R$49,$I$48:$I$49)+SUMPRODUCT($R$50:$R$51,$I$50:$I$51)+SUMPRODUCT($R$52:$R$54,$I$52:$I$54)+SUMPRODUCT($R$55:$R$59,$I$55:$I$59)+SUMPRODUCT($R$60:$R$64,$I$60:$I$64)+SUMPRODUCT($R$65:$R$67,$I$65:$I$67)+SUMPRODUCT($R$68:$R$68,$I$68:$I$68)+SUMPRODUCT($R$69:$R$71,$I$69:$I$71)+SUMPRODUCT($R$72:$R$72,$I$72:$I$72)+SUMPRODUCT($R$73:$R$75,$I$73:$I$75)+SUMPRODUCT($R$76:$R$76,$I$76:$I$76)+SUMPRODUCT($R$77:$R$79,$I$77:$I$79)+SUMPRODUCT($R$80:$R$82,$I$80:$I$82)+SUMPRODUCT($R$83:$R$83,$I$83:$I$83)+SUMPRODUCT($R$84:$R$84,$I$84:$I$84)+SUMPRODUCT($R$85:$R$86,$I$85:$I$86))</f>
        <v>5841049.2710000006</v>
      </c>
      <c r="S90" s="19">
        <f>IF(ISERROR(+SUMPRODUCT($S$5:$S$8,$I$5:$I$8)+SUMPRODUCT($S$9:$S$11,$I$9:$I$11)+SUMPRODUCT($S$15:$S$18,$I$15:$I$18)+SUMPRODUCT($S$19:$S$19,$I$19:$I$19)+SUMPRODUCT($S$20:$S$24,$I$20:$I$24)+SUMPRODUCT($S$25:$S$26,$I$25:$I$26)+SUMPRODUCT($S$27:$S$30,$I$27:$I$30)+SUMPRODUCT($S$31:$S$31,$I$31:$I$31)+SUMPRODUCT($S$32:$S$36,$I$32:$I$36)+SUMPRODUCT($S$37:$S$38,$I$37:$I$38)+SUMPRODUCT($S$39:$S$42,$I$39:$I$42)+SUMPRODUCT($S$43:$S$47,$I$43:$I$47)+SUMPRODUCT($S$48:$S$49,$I$48:$I$49)+SUMPRODUCT($S$50:$S$51,$I$50:$I$51)+SUMPRODUCT($S$52:$S$54,$I$52:$I$54)+SUMPRODUCT($S$55:$S$59,$I$55:$I$59)+SUMPRODUCT($S$60:$S$64,$I$60:$I$64)+SUMPRODUCT($S$65:$S$67,$I$65:$I$67)+SUMPRODUCT($S$68:$S$68,$I$68:$I$68)+SUMPRODUCT($S$69:$S$71,$I$69:$I$71)+SUMPRODUCT($S$72:$S$72,$I$72:$I$72)+SUMPRODUCT($S$73:$S$75,$I$73:$I$75)+SUMPRODUCT($S$76:$S$76,$I$76:$I$76)+SUMPRODUCT($S$77:$S$79,$I$77:$I$79)+SUMPRODUCT($S$80:$S$82,$I$80:$I$82)+SUMPRODUCT($S$83:$S$83,$I$83:$I$83)+SUMPRODUCT($S$84:$S$84,$I$84:$I$84)+SUMPRODUCT($S$85:$S$86,$I$85:$I$86)),0,+SUMPRODUCT($S$5:$S$8,$I$5:$I$8)+SUMPRODUCT($S$9:$S$11,$I$9:$I$11)+SUMPRODUCT($S$15:$S$18,$I$15:$I$18)+SUMPRODUCT($S$19:$S$19,$I$19:$I$19)+SUMPRODUCT($S$20:$S$24,$I$20:$I$24)+SUMPRODUCT($S$25:$S$26,$I$25:$I$26)+SUMPRODUCT($S$27:$S$30,$I$27:$I$30)+SUMPRODUCT($S$31:$S$31,$I$31:$I$31)+SUMPRODUCT($S$32:$S$36,$I$32:$I$36)+SUMPRODUCT($S$37:$S$38,$I$37:$I$38)+SUMPRODUCT($S$39:$S$42,$I$39:$I$42)+SUMPRODUCT($S$43:$S$47,$I$43:$I$47)+SUMPRODUCT($S$48:$S$49,$I$48:$I$49)+SUMPRODUCT($S$50:$S$51,$I$50:$I$51)+SUMPRODUCT($S$52:$S$54,$I$52:$I$54)+SUMPRODUCT($S$55:$S$59,$I$55:$I$59)+SUMPRODUCT($S$60:$S$64,$I$60:$I$64)+SUMPRODUCT($S$65:$S$67,$I$65:$I$67)+SUMPRODUCT($S$68:$S$68,$I$68:$I$68)+SUMPRODUCT($S$69:$S$71,$I$69:$I$71)+SUMPRODUCT($S$72:$S$72,$I$72:$I$72)+SUMPRODUCT($S$73:$S$75,$I$73:$I$75)+SUMPRODUCT($S$76:$S$76,$I$76:$I$76)+SUMPRODUCT($S$77:$S$79,$I$77:$I$79)+SUMPRODUCT($S$80:$S$82,$I$80:$I$82)+SUMPRODUCT($S$83:$S$83,$I$83:$I$83)+SUMPRODUCT($S$84:$S$84,$I$84:$I$84)+SUMPRODUCT($S$85:$S$86,$I$85:$I$86))</f>
        <v>5861849.6639999999</v>
      </c>
      <c r="T90" s="19"/>
      <c r="U90" s="19">
        <f>IF(ISERROR(+SUMPRODUCT($U$5:$U$8,$I$5:$I$8)+SUMPRODUCT($U$9:$U$11,$I$9:$I$11)+SUMPRODUCT($U$15:$U$18,$I$15:$I$18)+SUMPRODUCT($U$19:$U$19,$I$19:$I$19)+SUMPRODUCT($U$20:$U$24,$I$20:$I$24)+SUMPRODUCT($U$25:$U$26,$I$25:$I$26)+SUMPRODUCT($U$27:$U$30,$I$27:$I$30)+SUMPRODUCT($U$31:$U$31,$I$31:$I$31)+SUMPRODUCT($U$32:$U$36,$I$32:$I$36)+SUMPRODUCT($U$37:$U$38,$I$37:$I$38)+SUMPRODUCT($U$39:$U$42,$I$39:$I$42)+SUMPRODUCT($U$43:$U$47,$I$43:$I$47)+SUMPRODUCT($U$48:$U$49,$I$48:$I$49)+SUMPRODUCT($U$50:$U$51,$I$50:$I$51)+SUMPRODUCT($U$52:$U$54,$I$52:$I$54)+SUMPRODUCT($U$55:$U$59,$I$55:$I$59)+SUMPRODUCT($U$60:$U$64,$I$60:$I$64)+SUMPRODUCT($U$65:$U$67,$I$65:$I$67)+SUMPRODUCT($U$68:$U$68,$I$68:$I$68)+SUMPRODUCT($U$69:$U$71,$I$69:$I$71)+SUMPRODUCT($U$72:$U$72,$I$72:$I$72)+SUMPRODUCT($U$73:$U$75,$I$73:$I$75)+SUMPRODUCT($U$76:$U$76,$I$76:$I$76)+SUMPRODUCT($U$77:$U$79,$I$77:$I$79)+SUMPRODUCT($U$80:$U$82,$I$80:$I$82)+SUMPRODUCT($U$83:$U$83,$I$83:$I$83)+SUMPRODUCT($U$84:$U$84,$I$84:$I$84)+SUMPRODUCT($U$85:$U$86,$I$85:$I$86)),0,+SUMPRODUCT($U$5:$U$8,$I$5:$I$8)+SUMPRODUCT($U$9:$U$11,$I$9:$I$11)+SUMPRODUCT($U$15:$U$18,$I$15:$I$18)+SUMPRODUCT($U$19:$U$19,$I$19:$I$19)+SUMPRODUCT($U$20:$U$24,$I$20:$I$24)+SUMPRODUCT($U$25:$U$26,$I$25:$I$26)+SUMPRODUCT($U$27:$U$30,$I$27:$I$30)+SUMPRODUCT($U$31:$U$31,$I$31:$I$31)+SUMPRODUCT($U$32:$U$36,$I$32:$I$36)+SUMPRODUCT($U$37:$U$38,$I$37:$I$38)+SUMPRODUCT($U$39:$U$42,$I$39:$I$42)+SUMPRODUCT($U$43:$U$47,$I$43:$I$47)+SUMPRODUCT($U$48:$U$49,$I$48:$I$49)+SUMPRODUCT($U$50:$U$51,$I$50:$I$51)+SUMPRODUCT($U$52:$U$54,$I$52:$I$54)+SUMPRODUCT($U$55:$U$59,$I$55:$I$59)+SUMPRODUCT($U$60:$U$64,$I$60:$I$64)+SUMPRODUCT($U$65:$U$67,$I$65:$I$67)+SUMPRODUCT($U$68:$U$68,$I$68:$I$68)+SUMPRODUCT($U$69:$U$71,$I$69:$I$71)+SUMPRODUCT($U$72:$U$72,$I$72:$I$72)+SUMPRODUCT($U$73:$U$75,$I$73:$I$75)+SUMPRODUCT($U$76:$U$76,$I$76:$I$76)+SUMPRODUCT($U$77:$U$79,$I$77:$I$79)+SUMPRODUCT($U$80:$U$82,$I$80:$I$82)+SUMPRODUCT($U$83:$U$83,$I$83:$I$83)+SUMPRODUCT($U$84:$U$84,$I$84:$I$84)+SUMPRODUCT($U$85:$U$86,$I$85:$I$86))</f>
        <v>37897877.502691396</v>
      </c>
      <c r="V90" s="19">
        <f>IF(ISERROR(+SUMPRODUCT($V$5:$V$8,$I$5:$I$8)+SUMPRODUCT($V$9:$V$11,$I$9:$I$11)+SUMPRODUCT($V$15:$V$18,$I$15:$I$18)+SUMPRODUCT($V$19:$V$19,$I$19:$I$19)+SUMPRODUCT($V$20:$V$24,$I$20:$I$24)+SUMPRODUCT($V$25:$V$26,$I$25:$I$26)+SUMPRODUCT($V$27:$V$30,$I$27:$I$30)+SUMPRODUCT($V$31:$V$31,$I$31:$I$31)+SUMPRODUCT($V$32:$V$36,$I$32:$I$36)+SUMPRODUCT($V$37:$V$38,$I$37:$I$38)+SUMPRODUCT($V$39:$V$42,$I$39:$I$42)+SUMPRODUCT($V$43:$V$47,$I$43:$I$47)+SUMPRODUCT($V$48:$V$49,$I$48:$I$49)+SUMPRODUCT($V$50:$V$51,$I$50:$I$51)+SUMPRODUCT($V$52:$V$54,$I$52:$I$54)+SUMPRODUCT($V$55:$V$59,$I$55:$I$59)+SUMPRODUCT($V$60:$V$64,$I$60:$I$64)+SUMPRODUCT($V$65:$V$67,$I$65:$I$67)+SUMPRODUCT($V$68:$V$68,$I$68:$I$68)+SUMPRODUCT($V$69:$V$71,$I$69:$I$71)+SUMPRODUCT($V$72:$V$72,$I$72:$I$72)+SUMPRODUCT($V$73:$V$75,$I$73:$I$75)+SUMPRODUCT($V$76:$V$76,$I$76:$I$76)+SUMPRODUCT($V$77:$V$79,$I$77:$I$79)+SUMPRODUCT($V$80:$V$82,$I$80:$I$82)+SUMPRODUCT($V$83:$V$83,$I$83:$I$83)+SUMPRODUCT($V$84:$V$84,$I$84:$I$84)+SUMPRODUCT($V$85:$V$86,$I$85:$I$86)),0,+SUMPRODUCT($V$5:$V$8,$I$5:$I$8)+SUMPRODUCT($V$9:$V$11,$I$9:$I$11)+SUMPRODUCT($V$15:$V$18,$I$15:$I$18)+SUMPRODUCT($V$19:$V$19,$I$19:$I$19)+SUMPRODUCT($V$20:$V$24,$I$20:$I$24)+SUMPRODUCT($V$25:$V$26,$I$25:$I$26)+SUMPRODUCT($V$27:$V$30,$I$27:$I$30)+SUMPRODUCT($V$31:$V$31,$I$31:$I$31)+SUMPRODUCT($V$32:$V$36,$I$32:$I$36)+SUMPRODUCT($V$37:$V$38,$I$37:$I$38)+SUMPRODUCT($V$39:$V$42,$I$39:$I$42)+SUMPRODUCT($V$43:$V$47,$I$43:$I$47)+SUMPRODUCT($V$48:$V$49,$I$48:$I$49)+SUMPRODUCT($V$50:$V$51,$I$50:$I$51)+SUMPRODUCT($V$52:$V$54,$I$52:$I$54)+SUMPRODUCT($V$55:$V$59,$I$55:$I$59)+SUMPRODUCT($V$60:$V$64,$I$60:$I$64)+SUMPRODUCT($V$65:$V$67,$I$65:$I$67)+SUMPRODUCT($V$68:$V$68,$I$68:$I$68)+SUMPRODUCT($V$69:$V$71,$I$69:$I$71)+SUMPRODUCT($V$72:$V$72,$I$72:$I$72)+SUMPRODUCT($V$73:$V$75,$I$73:$I$75)+SUMPRODUCT($V$76:$V$76,$I$76:$I$76)+SUMPRODUCT($V$77:$V$79,$I$77:$I$79)+SUMPRODUCT($V$80:$V$82,$I$80:$I$82)+SUMPRODUCT($V$83:$V$83,$I$83:$I$83)+SUMPRODUCT($V$84:$V$84,$I$84:$I$84)+SUMPRODUCT($V$85:$V$86,$I$85:$I$86))</f>
        <v>13672789.952173501</v>
      </c>
      <c r="W90" s="19">
        <f>IF(ISERROR(+SUMPRODUCT($W$5:$W$8,$I$5:$I$8)+SUMPRODUCT($W$9:$W$11,$I$9:$I$11)+SUMPRODUCT($W$15:$W$18,$I$15:$I$18)+SUMPRODUCT($W$19:$W$19,$I$19:$I$19)+SUMPRODUCT($W$20:$W$24,$I$20:$I$24)+SUMPRODUCT($W$25:$W$26,$I$25:$I$26)+SUMPRODUCT($W$27:$W$30,$I$27:$I$30)+SUMPRODUCT($W$31:$W$31,$I$31:$I$31)+SUMPRODUCT($W$32:$W$36,$I$32:$I$36)+SUMPRODUCT($W$37:$W$38,$I$37:$I$38)+SUMPRODUCT($W$39:$W$42,$I$39:$I$42)+SUMPRODUCT($W$43:$W$47,$I$43:$I$47)+SUMPRODUCT($W$48:$W$49,$I$48:$I$49)+SUMPRODUCT($W$50:$W$51,$I$50:$I$51)+SUMPRODUCT($W$52:$W$54,$I$52:$I$54)+SUMPRODUCT($W$55:$W$59,$I$55:$I$59)+SUMPRODUCT($W$60:$W$64,$I$60:$I$64)+SUMPRODUCT($W$65:$W$67,$I$65:$I$67)+SUMPRODUCT($W$68:$W$68,$I$68:$I$68)+SUMPRODUCT($W$69:$W$71,$I$69:$I$71)+SUMPRODUCT($W$72:$W$72,$I$72:$I$72)+SUMPRODUCT($W$73:$W$75,$I$73:$I$75)+SUMPRODUCT($W$76:$W$76,$I$76:$I$76)+SUMPRODUCT($W$77:$W$79,$I$77:$I$79)+SUMPRODUCT($W$80:$W$82,$I$80:$I$82)+SUMPRODUCT($W$83:$W$83,$I$83:$I$83)+SUMPRODUCT($W$84:$W$84,$I$84:$I$84)+SUMPRODUCT($W$85:$W$86,$I$85:$I$86)),0,+SUMPRODUCT($W$5:$W$8,$I$5:$I$8)+SUMPRODUCT($W$9:$W$11,$I$9:$I$11)+SUMPRODUCT($W$15:$W$18,$I$15:$I$18)+SUMPRODUCT($W$19:$W$19,$I$19:$I$19)+SUMPRODUCT($W$20:$W$24,$I$20:$I$24)+SUMPRODUCT($W$25:$W$26,$I$25:$I$26)+SUMPRODUCT($W$27:$W$30,$I$27:$I$30)+SUMPRODUCT($W$31:$W$31,$I$31:$I$31)+SUMPRODUCT($W$32:$W$36,$I$32:$I$36)+SUMPRODUCT($W$37:$W$38,$I$37:$I$38)+SUMPRODUCT($W$39:$W$42,$I$39:$I$42)+SUMPRODUCT($W$43:$W$47,$I$43:$I$47)+SUMPRODUCT($W$48:$W$49,$I$48:$I$49)+SUMPRODUCT($W$50:$W$51,$I$50:$I$51)+SUMPRODUCT($W$52:$W$54,$I$52:$I$54)+SUMPRODUCT($W$55:$W$59,$I$55:$I$59)+SUMPRODUCT($W$60:$W$64,$I$60:$I$64)+SUMPRODUCT($W$65:$W$67,$I$65:$I$67)+SUMPRODUCT($W$68:$W$68,$I$68:$I$68)+SUMPRODUCT($W$69:$W$71,$I$69:$I$71)+SUMPRODUCT($W$72:$W$72,$I$72:$I$72)+SUMPRODUCT($W$73:$W$75,$I$73:$I$75)+SUMPRODUCT($W$76:$W$76,$I$76:$I$76)+SUMPRODUCT($W$77:$W$79,$I$77:$I$79)+SUMPRODUCT($W$80:$W$82,$I$80:$I$82)+SUMPRODUCT($W$83:$W$83,$I$83:$I$83)+SUMPRODUCT($W$84:$W$84,$I$84:$I$84)+SUMPRODUCT($W$85:$W$86,$I$85:$I$86))</f>
        <v>1333209.4146350001</v>
      </c>
      <c r="X90" s="19">
        <f>IF(ISERROR(+SUMPRODUCT($X$5:$X$8,$I$5:$I$8)+SUMPRODUCT($X$9:$X$11,$I$9:$I$11)+SUMPRODUCT($X$15:$X$18,$I$15:$I$18)+SUMPRODUCT($X$19:$X$19,$I$19:$I$19)+SUMPRODUCT($X$20:$X$24,$I$20:$I$24)+SUMPRODUCT($X$25:$X$26,$I$25:$I$26)+SUMPRODUCT($X$27:$X$30,$I$27:$I$30)+SUMPRODUCT($X$31:$X$31,$I$31:$I$31)+SUMPRODUCT($X$32:$X$36,$I$32:$I$36)+SUMPRODUCT($X$37:$X$38,$I$37:$I$38)+SUMPRODUCT($X$39:$X$42,$I$39:$I$42)+SUMPRODUCT($X$43:$X$47,$I$43:$I$47)+SUMPRODUCT($X$48:$X$49,$I$48:$I$49)+SUMPRODUCT($X$50:$X$51,$I$50:$I$51)+SUMPRODUCT($X$52:$X$54,$I$52:$I$54)+SUMPRODUCT($X$55:$X$59,$I$55:$I$59)+SUMPRODUCT($X$60:$X$64,$I$60:$I$64)+SUMPRODUCT($X$65:$X$67,$I$65:$I$67)+SUMPRODUCT($X$68:$X$68,$I$68:$I$68)+SUMPRODUCT($X$69:$X$71,$I$69:$I$71)+SUMPRODUCT($X$72:$X$72,$I$72:$I$72)+SUMPRODUCT($X$73:$X$75,$I$73:$I$75)+SUMPRODUCT($X$76:$X$76,$I$76:$I$76)+SUMPRODUCT($X$77:$X$79,$I$77:$I$79)+SUMPRODUCT($X$80:$X$82,$I$80:$I$82)+SUMPRODUCT($X$83:$X$83,$I$83:$I$83)+SUMPRODUCT($X$84:$X$84,$I$84:$I$84)+SUMPRODUCT($X$85:$X$86,$I$85:$I$86)),0,+SUMPRODUCT($X$5:$X$8,$I$5:$I$8)+SUMPRODUCT($X$9:$X$11,$I$9:$I$11)+SUMPRODUCT($X$15:$X$18,$I$15:$I$18)+SUMPRODUCT($X$19:$X$19,$I$19:$I$19)+SUMPRODUCT($X$20:$X$24,$I$20:$I$24)+SUMPRODUCT($X$25:$X$26,$I$25:$I$26)+SUMPRODUCT($X$27:$X$30,$I$27:$I$30)+SUMPRODUCT($X$31:$X$31,$I$31:$I$31)+SUMPRODUCT($X$32:$X$36,$I$32:$I$36)+SUMPRODUCT($X$37:$X$38,$I$37:$I$38)+SUMPRODUCT($X$39:$X$42,$I$39:$I$42)+SUMPRODUCT($X$43:$X$47,$I$43:$I$47)+SUMPRODUCT($X$48:$X$49,$I$48:$I$49)+SUMPRODUCT($X$50:$X$51,$I$50:$I$51)+SUMPRODUCT($X$52:$X$54,$I$52:$I$54)+SUMPRODUCT($X$55:$X$59,$I$55:$I$59)+SUMPRODUCT($X$60:$X$64,$I$60:$I$64)+SUMPRODUCT($X$65:$X$67,$I$65:$I$67)+SUMPRODUCT($X$68:$X$68,$I$68:$I$68)+SUMPRODUCT($X$69:$X$71,$I$69:$I$71)+SUMPRODUCT($X$72:$X$72,$I$72:$I$72)+SUMPRODUCT($X$73:$X$75,$I$73:$I$75)+SUMPRODUCT($X$76:$X$76,$I$76:$I$76)+SUMPRODUCT($X$77:$X$79,$I$77:$I$79)+SUMPRODUCT($X$80:$X$82,$I$80:$I$82)+SUMPRODUCT($X$83:$X$83,$I$83:$I$83)+SUMPRODUCT($X$84:$X$84,$I$84:$I$84)+SUMPRODUCT($X$85:$X$86,$I$85:$I$86))</f>
        <v>0</v>
      </c>
      <c r="Y90" s="19">
        <f>IF(ISERROR(+SUMPRODUCT($Y$5:$Y$8,$I$5:$I$8)+SUMPRODUCT($Y$9:$Y$11,$I$9:$I$11)+SUMPRODUCT($Y$15:$Y$18,$I$15:$I$18)+SUMPRODUCT($Y$19:$Y$19,$I$19:$I$19)+SUMPRODUCT($Y$20:$Y$24,$I$20:$I$24)+SUMPRODUCT($Y$25:$Y$26,$I$25:$I$26)+SUMPRODUCT($Y$27:$Y$30,$I$27:$I$30)+SUMPRODUCT($Y$31:$Y$31,$I$31:$I$31)+SUMPRODUCT($Y$32:$Y$36,$I$32:$I$36)+SUMPRODUCT($Y$37:$Y$38,$I$37:$I$38)+SUMPRODUCT($Y$39:$Y$42,$I$39:$I$42)+SUMPRODUCT($Y$43:$Y$47,$I$43:$I$47)+SUMPRODUCT($Y$48:$Y$49,$I$48:$I$49)+SUMPRODUCT($Y$50:$Y$51,$I$50:$I$51)+SUMPRODUCT($Y$52:$Y$54,$I$52:$I$54)+SUMPRODUCT($Y$55:$Y$59,$I$55:$I$59)+SUMPRODUCT($Y$60:$Y$64,$I$60:$I$64)+SUMPRODUCT($Y$65:$Y$67,$I$65:$I$67)+SUMPRODUCT($Y$68:$Y$68,$I$68:$I$68)+SUMPRODUCT($Y$69:$Y$71,$I$69:$I$71)+SUMPRODUCT($Y$72:$Y$72,$I$72:$I$72)+SUMPRODUCT($Y$73:$Y$75,$I$73:$I$75)+SUMPRODUCT($Y$76:$Y$76,$I$76:$I$76)+SUMPRODUCT($Y$77:$Y$79,$I$77:$I$79)+SUMPRODUCT($Y$80:$Y$82,$I$80:$I$82)+SUMPRODUCT($Y$83:$Y$83,$I$83:$I$83)+SUMPRODUCT($Y$84:$Y$84,$I$84:$I$84)+SUMPRODUCT($Y$85:$Y$86,$I$85:$I$86)),0,+SUMPRODUCT($Y$5:$Y$8,$I$5:$I$8)+SUMPRODUCT($Y$9:$Y$11,$I$9:$I$11)+SUMPRODUCT($Y$15:$Y$18,$I$15:$I$18)+SUMPRODUCT($Y$19:$Y$19,$I$19:$I$19)+SUMPRODUCT($Y$20:$Y$24,$I$20:$I$24)+SUMPRODUCT($Y$25:$Y$26,$I$25:$I$26)+SUMPRODUCT($Y$27:$Y$30,$I$27:$I$30)+SUMPRODUCT($Y$31:$Y$31,$I$31:$I$31)+SUMPRODUCT($Y$32:$Y$36,$I$32:$I$36)+SUMPRODUCT($Y$37:$Y$38,$I$37:$I$38)+SUMPRODUCT($Y$39:$Y$42,$I$39:$I$42)+SUMPRODUCT($Y$43:$Y$47,$I$43:$I$47)+SUMPRODUCT($Y$48:$Y$49,$I$48:$I$49)+SUMPRODUCT($Y$50:$Y$51,$I$50:$I$51)+SUMPRODUCT($Y$52:$Y$54,$I$52:$I$54)+SUMPRODUCT($Y$55:$Y$59,$I$55:$I$59)+SUMPRODUCT($Y$60:$Y$64,$I$60:$I$64)+SUMPRODUCT($Y$65:$Y$67,$I$65:$I$67)+SUMPRODUCT($Y$68:$Y$68,$I$68:$I$68)+SUMPRODUCT($Y$69:$Y$71,$I$69:$I$71)+SUMPRODUCT($Y$72:$Y$72,$I$72:$I$72)+SUMPRODUCT($Y$73:$Y$75,$I$73:$I$75)+SUMPRODUCT($Y$76:$Y$76,$I$76:$I$76)+SUMPRODUCT($Y$77:$Y$79,$I$77:$I$79)+SUMPRODUCT($Y$80:$Y$82,$I$80:$I$82)+SUMPRODUCT($Y$83:$Y$83,$I$83:$I$83)+SUMPRODUCT($Y$84:$Y$84,$I$84:$I$84)+SUMPRODUCT($Y$85:$Y$86,$I$85:$I$86))</f>
        <v>0</v>
      </c>
      <c r="Z90" s="19">
        <f>IF(ISERROR(+SUMPRODUCT($Z$5:$Z$8,$I$5:$I$8)+SUMPRODUCT($Z$9:$Z$11,$I$9:$I$11)+SUMPRODUCT($Z$15:$Z$18,$I$15:$I$18)+SUMPRODUCT($Z$19:$Z$19,$I$19:$I$19)+SUMPRODUCT($Z$20:$Z$24,$I$20:$I$24)+SUMPRODUCT($Z$25:$Z$26,$I$25:$I$26)+SUMPRODUCT($Z$27:$Z$30,$I$27:$I$30)+SUMPRODUCT($Z$31:$Z$31,$I$31:$I$31)+SUMPRODUCT($Z$32:$Z$36,$I$32:$I$36)+SUMPRODUCT($Z$37:$Z$38,$I$37:$I$38)+SUMPRODUCT($Z$39:$Z$42,$I$39:$I$42)+SUMPRODUCT($Z$43:$Z$47,$I$43:$I$47)+SUMPRODUCT($Z$48:$Z$49,$I$48:$I$49)+SUMPRODUCT($Z$50:$Z$51,$I$50:$I$51)+SUMPRODUCT($Z$52:$Z$54,$I$52:$I$54)+SUMPRODUCT($Z$55:$Z$59,$I$55:$I$59)+SUMPRODUCT($Z$60:$Z$64,$I$60:$I$64)+SUMPRODUCT($Z$65:$Z$67,$I$65:$I$67)+SUMPRODUCT($Z$68:$Z$68,$I$68:$I$68)+SUMPRODUCT($Z$69:$Z$71,$I$69:$I$71)+SUMPRODUCT($Z$72:$Z$72,$I$72:$I$72)+SUMPRODUCT($Z$73:$Z$75,$I$73:$I$75)+SUMPRODUCT($Z$76:$Z$76,$I$76:$I$76)+SUMPRODUCT($Z$77:$Z$79,$I$77:$I$79)+SUMPRODUCT($Z$80:$Z$82,$I$80:$I$82)+SUMPRODUCT($Z$83:$Z$83,$I$83:$I$83)+SUMPRODUCT($Z$84:$Z$84,$I$84:$I$84)+SUMPRODUCT($Z$85:$Z$86,$I$85:$I$86)),0,+SUMPRODUCT($Z$5:$Z$8,$I$5:$I$8)+SUMPRODUCT($Z$9:$Z$11,$I$9:$I$11)+SUMPRODUCT($Z$15:$Z$18,$I$15:$I$18)+SUMPRODUCT($Z$19:$Z$19,$I$19:$I$19)+SUMPRODUCT($Z$20:$Z$24,$I$20:$I$24)+SUMPRODUCT($Z$25:$Z$26,$I$25:$I$26)+SUMPRODUCT($Z$27:$Z$30,$I$27:$I$30)+SUMPRODUCT($Z$31:$Z$31,$I$31:$I$31)+SUMPRODUCT($Z$32:$Z$36,$I$32:$I$36)+SUMPRODUCT($Z$37:$Z$38,$I$37:$I$38)+SUMPRODUCT($Z$39:$Z$42,$I$39:$I$42)+SUMPRODUCT($Z$43:$Z$47,$I$43:$I$47)+SUMPRODUCT($Z$48:$Z$49,$I$48:$I$49)+SUMPRODUCT($Z$50:$Z$51,$I$50:$I$51)+SUMPRODUCT($Z$52:$Z$54,$I$52:$I$54)+SUMPRODUCT($Z$55:$Z$59,$I$55:$I$59)+SUMPRODUCT($Z$60:$Z$64,$I$60:$I$64)+SUMPRODUCT($Z$65:$Z$67,$I$65:$I$67)+SUMPRODUCT($Z$68:$Z$68,$I$68:$I$68)+SUMPRODUCT($Z$69:$Z$71,$I$69:$I$71)+SUMPRODUCT($Z$72:$Z$72,$I$72:$I$72)+SUMPRODUCT($Z$73:$Z$75,$I$73:$I$75)+SUMPRODUCT($Z$76:$Z$76,$I$76:$I$76)+SUMPRODUCT($Z$77:$Z$79,$I$77:$I$79)+SUMPRODUCT($Z$80:$Z$82,$I$80:$I$82)+SUMPRODUCT($Z$83:$Z$83,$I$83:$I$83)+SUMPRODUCT($Z$84:$Z$84,$I$84:$I$84)+SUMPRODUCT($Z$85:$Z$86,$I$85:$I$86))</f>
        <v>0</v>
      </c>
      <c r="AA90" s="19">
        <f>IF(ISERROR(+SUMPRODUCT($AA$5:$AA$8,$I$5:$I$8)+SUMPRODUCT($AA$9:$AA$11,$I$9:$I$11)+SUMPRODUCT($AA$15:$AA$18,$I$15:$I$18)+SUMPRODUCT($AA$19:$AA$19,$I$19:$I$19)+SUMPRODUCT($AA$20:$AA$24,$I$20:$I$24)+SUMPRODUCT($AA$25:$AA$26,$I$25:$I$26)+SUMPRODUCT($AA$27:$AA$30,$I$27:$I$30)+SUMPRODUCT($AA$31:$AA$31,$I$31:$I$31)+SUMPRODUCT($AA$32:$AA$36,$I$32:$I$36)+SUMPRODUCT($AA$37:$AA$38,$I$37:$I$38)+SUMPRODUCT($AA$39:$AA$42,$I$39:$I$42)+SUMPRODUCT($AA$43:$AA$47,$I$43:$I$47)+SUMPRODUCT($AA$48:$AA$49,$I$48:$I$49)+SUMPRODUCT($AA$50:$AA$51,$I$50:$I$51)+SUMPRODUCT($AA$52:$AA$54,$I$52:$I$54)+SUMPRODUCT($AA$55:$AA$59,$I$55:$I$59)+SUMPRODUCT($AA$60:$AA$64,$I$60:$I$64)+SUMPRODUCT($AA$65:$AA$67,$I$65:$I$67)+SUMPRODUCT($AA$68:$AA$68,$I$68:$I$68)+SUMPRODUCT($AA$69:$AA$71,$I$69:$I$71)+SUMPRODUCT($AA$72:$AA$72,$I$72:$I$72)+SUMPRODUCT($AA$73:$AA$75,$I$73:$I$75)+SUMPRODUCT($AA$76:$AA$76,$I$76:$I$76)+SUMPRODUCT($AA$77:$AA$79,$I$77:$I$79)+SUMPRODUCT($AA$80:$AA$82,$I$80:$I$82)+SUMPRODUCT($AA$83:$AA$83,$I$83:$I$83)+SUMPRODUCT($AA$84:$AA$84,$I$84:$I$84)+SUMPRODUCT($AA$85:$AA$86,$I$85:$I$86)),0,+SUMPRODUCT($AA$5:$AA$8,$I$5:$I$8)+SUMPRODUCT($AA$9:$AA$11,$I$9:$I$11)+SUMPRODUCT($AA$15:$AA$18,$I$15:$I$18)+SUMPRODUCT($AA$19:$AA$19,$I$19:$I$19)+SUMPRODUCT($AA$20:$AA$24,$I$20:$I$24)+SUMPRODUCT($AA$25:$AA$26,$I$25:$I$26)+SUMPRODUCT($AA$27:$AA$30,$I$27:$I$30)+SUMPRODUCT($AA$31:$AA$31,$I$31:$I$31)+SUMPRODUCT($AA$32:$AA$36,$I$32:$I$36)+SUMPRODUCT($AA$37:$AA$38,$I$37:$I$38)+SUMPRODUCT($AA$39:$AA$42,$I$39:$I$42)+SUMPRODUCT($AA$43:$AA$47,$I$43:$I$47)+SUMPRODUCT($AA$48:$AA$49,$I$48:$I$49)+SUMPRODUCT($AA$50:$AA$51,$I$50:$I$51)+SUMPRODUCT($AA$52:$AA$54,$I$52:$I$54)+SUMPRODUCT($AA$55:$AA$59,$I$55:$I$59)+SUMPRODUCT($AA$60:$AA$64,$I$60:$I$64)+SUMPRODUCT($AA$65:$AA$67,$I$65:$I$67)+SUMPRODUCT($AA$68:$AA$68,$I$68:$I$68)+SUMPRODUCT($AA$69:$AA$71,$I$69:$I$71)+SUMPRODUCT($AA$72:$AA$72,$I$72:$I$72)+SUMPRODUCT($AA$73:$AA$75,$I$73:$I$75)+SUMPRODUCT($AA$76:$AA$76,$I$76:$I$76)+SUMPRODUCT($AA$77:$AA$79,$I$77:$I$79)+SUMPRODUCT($AA$80:$AA$82,$I$80:$I$82)+SUMPRODUCT($AA$83:$AA$83,$I$83:$I$83)+SUMPRODUCT($AA$84:$AA$84,$I$84:$I$84)+SUMPRODUCT($AA$85:$AA$86,$I$85:$I$86))</f>
        <v>0</v>
      </c>
      <c r="AB90" s="19"/>
      <c r="AC90" s="19">
        <f>IF(ISERROR(+SUMPRODUCT($AC$5:$AC$8,$I$5:$I$8)+SUMPRODUCT($AC$9:$AC$11,$I$9:$I$11)+SUMPRODUCT($AC$15:$AC$18,$I$15:$I$18)+SUMPRODUCT($AC$19:$AC$19,$I$19:$I$19)+SUMPRODUCT($AC$20:$AC$24,$I$20:$I$24)+SUMPRODUCT($AC$25:$AC$26,$I$25:$I$26)+SUMPRODUCT($AC$27:$AC$30,$I$27:$I$30)+SUMPRODUCT($AC$31:$AC$31,$I$31:$I$31)+SUMPRODUCT($AC$32:$AC$36,$I$32:$I$36)+SUMPRODUCT($AC$37:$AC$38,$I$37:$I$38)+SUMPRODUCT($AC$39:$AC$42,$I$39:$I$42)+SUMPRODUCT($AC$43:$AC$47,$I$43:$I$47)+SUMPRODUCT($AC$48:$AC$49,$I$48:$I$49)+SUMPRODUCT($AC$50:$AC$51,$I$50:$I$51)+SUMPRODUCT($AC$52:$AC$54,$I$52:$I$54)+SUMPRODUCT($AC$55:$AC$59,$I$55:$I$59)+SUMPRODUCT($AC$60:$AC$64,$I$60:$I$64)+SUMPRODUCT($AC$65:$AC$67,$I$65:$I$67)+SUMPRODUCT($AC$68:$AC$68,$I$68:$I$68)+SUMPRODUCT($AC$69:$AC$71,$I$69:$I$71)+SUMPRODUCT($AC$72:$AC$72,$I$72:$I$72)+SUMPRODUCT($AC$73:$AC$75,$I$73:$I$75)+SUMPRODUCT($AC$76:$AC$76,$I$76:$I$76)+SUMPRODUCT($AC$77:$AC$79,$I$77:$I$79)+SUMPRODUCT($AC$80:$AC$82,$I$80:$I$82)+SUMPRODUCT($AC$83:$AC$83,$I$83:$I$83)+SUMPRODUCT($AC$84:$AC$84,$I$84:$I$84)+SUMPRODUCT($AC$85:$AC$86,$I$85:$I$86)),0,+SUMPRODUCT($AC$5:$AC$8,$I$5:$I$8)+SUMPRODUCT($AC$9:$AC$11,$I$9:$I$11)+SUMPRODUCT($AC$15:$AC$18,$I$15:$I$18)+SUMPRODUCT($AC$19:$AC$19,$I$19:$I$19)+SUMPRODUCT($AC$20:$AC$24,$I$20:$I$24)+SUMPRODUCT($AC$25:$AC$26,$I$25:$I$26)+SUMPRODUCT($AC$27:$AC$30,$I$27:$I$30)+SUMPRODUCT($AC$31:$AC$31,$I$31:$I$31)+SUMPRODUCT($AC$32:$AC$36,$I$32:$I$36)+SUMPRODUCT($AC$37:$AC$38,$I$37:$I$38)+SUMPRODUCT($AC$39:$AC$42,$I$39:$I$42)+SUMPRODUCT($AC$43:$AC$47,$I$43:$I$47)+SUMPRODUCT($AC$48:$AC$49,$I$48:$I$49)+SUMPRODUCT($AC$50:$AC$51,$I$50:$I$51)+SUMPRODUCT($AC$52:$AC$54,$I$52:$I$54)+SUMPRODUCT($AC$55:$AC$59,$I$55:$I$59)+SUMPRODUCT($AC$60:$AC$64,$I$60:$I$64)+SUMPRODUCT($AC$65:$AC$67,$I$65:$I$67)+SUMPRODUCT($AC$68:$AC$68,$I$68:$I$68)+SUMPRODUCT($AC$69:$AC$71,$I$69:$I$71)+SUMPRODUCT($AC$72:$AC$72,$I$72:$I$72)+SUMPRODUCT($AC$73:$AC$75,$I$73:$I$75)+SUMPRODUCT($AC$76:$AC$76,$I$76:$I$76)+SUMPRODUCT($AC$77:$AC$79,$I$77:$I$79)+SUMPRODUCT($AC$80:$AC$82,$I$80:$I$82)+SUMPRODUCT($AC$83:$AC$83,$I$83:$I$83)+SUMPRODUCT($AC$84:$AC$84,$I$84:$I$84)+SUMPRODUCT($AC$85:$AC$86,$I$85:$I$86))</f>
        <v>453913985.92032021</v>
      </c>
      <c r="AD90" s="19"/>
      <c r="AE90" s="19">
        <f>IF(ISERROR(+SUMPRODUCT($AE$5:$AE$8,$I$5:$I$8)+SUMPRODUCT($AE$9:$AE$11,$I$9:$I$11)+SUMPRODUCT($AE$15:$AE$18,$I$15:$I$18)+SUMPRODUCT($AE$19:$AE$19,$I$19:$I$19)+SUMPRODUCT($AE$20:$AE$24,$I$20:$I$24)+SUMPRODUCT($AE$25:$AE$26,$I$25:$I$26)+SUMPRODUCT($AE$27:$AE$30,$I$27:$I$30)+SUMPRODUCT($AE$31:$AE$31,$I$31:$I$31)+SUMPRODUCT($AE$32:$AE$36,$I$32:$I$36)+SUMPRODUCT($AE$37:$AE$38,$I$37:$I$38)+SUMPRODUCT($AE$39:$AE$42,$I$39:$I$42)+SUMPRODUCT($AE$43:$AE$47,$I$43:$I$47)+SUMPRODUCT($AE$48:$AE$49,$I$48:$I$49)+SUMPRODUCT($AE$50:$AE$51,$I$50:$I$51)+SUMPRODUCT($AE$52:$AE$54,$I$52:$I$54)+SUMPRODUCT($AE$55:$AE$59,$I$55:$I$59)+SUMPRODUCT($AE$60:$AE$64,$I$60:$I$64)+SUMPRODUCT($AE$65:$AE$67,$I$65:$I$67)+SUMPRODUCT($AE$68:$AE$68,$I$68:$I$68)+SUMPRODUCT($AE$69:$AE$71,$I$69:$I$71)+SUMPRODUCT($AE$72:$AE$72,$I$72:$I$72)+SUMPRODUCT($AE$73:$AE$75,$I$73:$I$75)+SUMPRODUCT($AE$76:$AE$76,$I$76:$I$76)+SUMPRODUCT($AE$77:$AE$79,$I$77:$I$79)+SUMPRODUCT($AE$80:$AE$82,$I$80:$I$82)+SUMPRODUCT($AE$83:$AE$83,$I$83:$I$83)+SUMPRODUCT($AE$84:$AE$84,$I$84:$I$84)+SUMPRODUCT($AE$85:$AE$86,$I$85:$I$86)),0,+SUMPRODUCT($AE$5:$AE$8,$I$5:$I$8)+SUMPRODUCT($AE$9:$AE$11,$I$9:$I$11)+SUMPRODUCT($AE$15:$AE$18,$I$15:$I$18)+SUMPRODUCT($AE$19:$AE$19,$I$19:$I$19)+SUMPRODUCT($AE$20:$AE$24,$I$20:$I$24)+SUMPRODUCT($AE$25:$AE$26,$I$25:$I$26)+SUMPRODUCT($AE$27:$AE$30,$I$27:$I$30)+SUMPRODUCT($AE$31:$AE$31,$I$31:$I$31)+SUMPRODUCT($AE$32:$AE$36,$I$32:$I$36)+SUMPRODUCT($AE$37:$AE$38,$I$37:$I$38)+SUMPRODUCT($AE$39:$AE$42,$I$39:$I$42)+SUMPRODUCT($AE$43:$AE$47,$I$43:$I$47)+SUMPRODUCT($AE$48:$AE$49,$I$48:$I$49)+SUMPRODUCT($AE$50:$AE$51,$I$50:$I$51)+SUMPRODUCT($AE$52:$AE$54,$I$52:$I$54)+SUMPRODUCT($AE$55:$AE$59,$I$55:$I$59)+SUMPRODUCT($AE$60:$AE$64,$I$60:$I$64)+SUMPRODUCT($AE$65:$AE$67,$I$65:$I$67)+SUMPRODUCT($AE$68:$AE$68,$I$68:$I$68)+SUMPRODUCT($AE$69:$AE$71,$I$69:$I$71)+SUMPRODUCT($AE$72:$AE$72,$I$72:$I$72)+SUMPRODUCT($AE$73:$AE$75,$I$73:$I$75)+SUMPRODUCT($AE$76:$AE$76,$I$76:$I$76)+SUMPRODUCT($AE$77:$AE$79,$I$77:$I$79)+SUMPRODUCT($AE$80:$AE$82,$I$80:$I$82)+SUMPRODUCT($AE$83:$AE$83,$I$83:$I$83)+SUMPRODUCT($AE$84:$AE$84,$I$84:$I$84)+SUMPRODUCT($AE$85:$AE$86,$I$85:$I$86))</f>
        <v>0</v>
      </c>
      <c r="AF90" s="19">
        <f>IF(ISERROR(+SUMPRODUCT($AF$5:$AF$8,$I$5:$I$8)+SUMPRODUCT($AF$9:$AF$11,$I$9:$I$11)+SUMPRODUCT($AF$15:$AF$18,$I$15:$I$18)+SUMPRODUCT($AF$19:$AF$19,$I$19:$I$19)+SUMPRODUCT($AF$20:$AF$24,$I$20:$I$24)+SUMPRODUCT($AF$25:$AF$26,$I$25:$I$26)+SUMPRODUCT($AF$27:$AF$30,$I$27:$I$30)+SUMPRODUCT($AF$31:$AF$31,$I$31:$I$31)+SUMPRODUCT($AF$32:$AF$36,$I$32:$I$36)+SUMPRODUCT($AF$37:$AF$38,$I$37:$I$38)+SUMPRODUCT($AF$39:$AF$42,$I$39:$I$42)+SUMPRODUCT($AF$43:$AF$47,$I$43:$I$47)+SUMPRODUCT($AF$48:$AF$49,$I$48:$I$49)+SUMPRODUCT($AF$50:$AF$51,$I$50:$I$51)+SUMPRODUCT($AF$52:$AF$54,$I$52:$I$54)+SUMPRODUCT($AF$55:$AF$59,$I$55:$I$59)+SUMPRODUCT($AF$60:$AF$64,$I$60:$I$64)+SUMPRODUCT($AF$65:$AF$67,$I$65:$I$67)+SUMPRODUCT($AF$68:$AF$68,$I$68:$I$68)+SUMPRODUCT($AF$69:$AF$71,$I$69:$I$71)+SUMPRODUCT($AF$72:$AF$72,$I$72:$I$72)+SUMPRODUCT($AF$73:$AF$75,$I$73:$I$75)+SUMPRODUCT($AF$76:$AF$76,$I$76:$I$76)+SUMPRODUCT($AF$77:$AF$79,$I$77:$I$79)+SUMPRODUCT($AF$80:$AF$82,$I$80:$I$82)+SUMPRODUCT($AF$83:$AF$83,$I$83:$I$83)+SUMPRODUCT($AF$84:$AF$84,$I$84:$I$84)+SUMPRODUCT($AF$85:$AF$86,$I$85:$I$86)),0,+SUMPRODUCT($AF$5:$AF$8,$I$5:$I$8)+SUMPRODUCT($AF$9:$AF$11,$I$9:$I$11)+SUMPRODUCT($AF$15:$AF$18,$I$15:$I$18)+SUMPRODUCT($AF$19:$AF$19,$I$19:$I$19)+SUMPRODUCT($AF$20:$AF$24,$I$20:$I$24)+SUMPRODUCT($AF$25:$AF$26,$I$25:$I$26)+SUMPRODUCT($AF$27:$AF$30,$I$27:$I$30)+SUMPRODUCT($AF$31:$AF$31,$I$31:$I$31)+SUMPRODUCT($AF$32:$AF$36,$I$32:$I$36)+SUMPRODUCT($AF$37:$AF$38,$I$37:$I$38)+SUMPRODUCT($AF$39:$AF$42,$I$39:$I$42)+SUMPRODUCT($AF$43:$AF$47,$I$43:$I$47)+SUMPRODUCT($AF$48:$AF$49,$I$48:$I$49)+SUMPRODUCT($AF$50:$AF$51,$I$50:$I$51)+SUMPRODUCT($AF$52:$AF$54,$I$52:$I$54)+SUMPRODUCT($AF$55:$AF$59,$I$55:$I$59)+SUMPRODUCT($AF$60:$AF$64,$I$60:$I$64)+SUMPRODUCT($AF$65:$AF$67,$I$65:$I$67)+SUMPRODUCT($AF$68:$AF$68,$I$68:$I$68)+SUMPRODUCT($AF$69:$AF$71,$I$69:$I$71)+SUMPRODUCT($AF$72:$AF$72,$I$72:$I$72)+SUMPRODUCT($AF$73:$AF$75,$I$73:$I$75)+SUMPRODUCT($AF$76:$AF$76,$I$76:$I$76)+SUMPRODUCT($AF$77:$AF$79,$I$77:$I$79)+SUMPRODUCT($AF$80:$AF$82,$I$80:$I$82)+SUMPRODUCT($AF$83:$AF$83,$I$83:$I$83)+SUMPRODUCT($AF$84:$AF$84,$I$84:$I$84)+SUMPRODUCT($AF$85:$AF$86,$I$85:$I$86))</f>
        <v>0</v>
      </c>
      <c r="AG90" s="19"/>
      <c r="AH90" s="19">
        <f>IF(ISERROR(+SUMPRODUCT($AH$5:$AH$8,$I$5:$I$8)+SUMPRODUCT($AH$9:$AH$11,$I$9:$I$11)+SUMPRODUCT($AH$15:$AH$18,$I$15:$I$18)+SUMPRODUCT($AH$19:$AH$19,$I$19:$I$19)+SUMPRODUCT($AH$20:$AH$24,$I$20:$I$24)+SUMPRODUCT($AH$25:$AH$26,$I$25:$I$26)+SUMPRODUCT($AH$27:$AH$30,$I$27:$I$30)+SUMPRODUCT($AH$31:$AH$31,$I$31:$I$31)+SUMPRODUCT($AH$32:$AH$36,$I$32:$I$36)+SUMPRODUCT($AH$37:$AH$38,$I$37:$I$38)+SUMPRODUCT($AH$39:$AH$42,$I$39:$I$42)+SUMPRODUCT($AH$43:$AH$47,$I$43:$I$47)+SUMPRODUCT($AH$48:$AH$49,$I$48:$I$49)+SUMPRODUCT($AH$50:$AH$51,$I$50:$I$51)+SUMPRODUCT($AH$52:$AH$54,$I$52:$I$54)+SUMPRODUCT($AH$55:$AH$59,$I$55:$I$59)+SUMPRODUCT($AH$60:$AH$64,$I$60:$I$64)+SUMPRODUCT($AH$65:$AH$67,$I$65:$I$67)+SUMPRODUCT($AH$68:$AH$68,$I$68:$I$68)+SUMPRODUCT($AH$69:$AH$71,$I$69:$I$71)+SUMPRODUCT($AH$72:$AH$72,$I$72:$I$72)+SUMPRODUCT($AH$73:$AH$75,$I$73:$I$75)+SUMPRODUCT($AH$76:$AH$76,$I$76:$I$76)+SUMPRODUCT($AH$77:$AH$79,$I$77:$I$79)+SUMPRODUCT($AH$80:$AH$82,$I$80:$I$82)+SUMPRODUCT($AH$83:$AH$83,$I$83:$I$83)+SUMPRODUCT($AH$84:$AH$84,$I$84:$I$84)+SUMPRODUCT($AH$85:$AH$86,$I$85:$I$86)),0,+SUMPRODUCT($AH$5:$AH$8,$I$5:$I$8)+SUMPRODUCT($AH$9:$AH$11,$I$9:$I$11)+SUMPRODUCT($AH$15:$AH$18,$I$15:$I$18)+SUMPRODUCT($AH$19:$AH$19,$I$19:$I$19)+SUMPRODUCT($AH$20:$AH$24,$I$20:$I$24)+SUMPRODUCT($AH$25:$AH$26,$I$25:$I$26)+SUMPRODUCT($AH$27:$AH$30,$I$27:$I$30)+SUMPRODUCT($AH$31:$AH$31,$I$31:$I$31)+SUMPRODUCT($AH$32:$AH$36,$I$32:$I$36)+SUMPRODUCT($AH$37:$AH$38,$I$37:$I$38)+SUMPRODUCT($AH$39:$AH$42,$I$39:$I$42)+SUMPRODUCT($AH$43:$AH$47,$I$43:$I$47)+SUMPRODUCT($AH$48:$AH$49,$I$48:$I$49)+SUMPRODUCT($AH$50:$AH$51,$I$50:$I$51)+SUMPRODUCT($AH$52:$AH$54,$I$52:$I$54)+SUMPRODUCT($AH$55:$AH$59,$I$55:$I$59)+SUMPRODUCT($AH$60:$AH$64,$I$60:$I$64)+SUMPRODUCT($AH$65:$AH$67,$I$65:$I$67)+SUMPRODUCT($AH$68:$AH$68,$I$68:$I$68)+SUMPRODUCT($AH$69:$AH$71,$I$69:$I$71)+SUMPRODUCT($AH$72:$AH$72,$I$72:$I$72)+SUMPRODUCT($AH$73:$AH$75,$I$73:$I$75)+SUMPRODUCT($AH$76:$AH$76,$I$76:$I$76)+SUMPRODUCT($AH$77:$AH$79,$I$77:$I$79)+SUMPRODUCT($AH$80:$AH$82,$I$80:$I$82)+SUMPRODUCT($AH$83:$AH$83,$I$83:$I$83)+SUMPRODUCT($AH$84:$AH$84,$I$84:$I$84)+SUMPRODUCT($AH$85:$AH$86,$I$85:$I$86))</f>
        <v>84406927.906212494</v>
      </c>
      <c r="AI90" s="19">
        <f>IF(ISERROR(+SUMPRODUCT($AI$5:$AI$8,$I$5:$I$8)+SUMPRODUCT($AI$9:$AI$11,$I$9:$I$11)+SUMPRODUCT($AI$15:$AI$18,$I$15:$I$18)+SUMPRODUCT($AI$19:$AI$19,$I$19:$I$19)+SUMPRODUCT($AI$20:$AI$24,$I$20:$I$24)+SUMPRODUCT($AI$25:$AI$26,$I$25:$I$26)+SUMPRODUCT($AI$27:$AI$30,$I$27:$I$30)+SUMPRODUCT($AI$31:$AI$31,$I$31:$I$31)+SUMPRODUCT($AI$32:$AI$36,$I$32:$I$36)+SUMPRODUCT($AI$37:$AI$38,$I$37:$I$38)+SUMPRODUCT($AI$39:$AI$42,$I$39:$I$42)+SUMPRODUCT($AI$43:$AI$47,$I$43:$I$47)+SUMPRODUCT($AI$48:$AI$49,$I$48:$I$49)+SUMPRODUCT($AI$50:$AI$51,$I$50:$I$51)+SUMPRODUCT($AI$52:$AI$54,$I$52:$I$54)+SUMPRODUCT($AI$55:$AI$59,$I$55:$I$59)+SUMPRODUCT($AI$60:$AI$64,$I$60:$I$64)+SUMPRODUCT($AI$65:$AI$67,$I$65:$I$67)+SUMPRODUCT($AI$68:$AI$68,$I$68:$I$68)+SUMPRODUCT($AI$69:$AI$71,$I$69:$I$71)+SUMPRODUCT($AI$72:$AI$72,$I$72:$I$72)+SUMPRODUCT($AI$73:$AI$75,$I$73:$I$75)+SUMPRODUCT($AI$76:$AI$76,$I$76:$I$76)+SUMPRODUCT($AI$77:$AI$79,$I$77:$I$79)+SUMPRODUCT($AI$80:$AI$82,$I$80:$I$82)+SUMPRODUCT($AI$83:$AI$83,$I$83:$I$83)+SUMPRODUCT($AI$84:$AI$84,$I$84:$I$84)+SUMPRODUCT($AI$85:$AI$86,$I$85:$I$86)),0,+SUMPRODUCT($AI$5:$AI$8,$I$5:$I$8)+SUMPRODUCT($AI$9:$AI$11,$I$9:$I$11)+SUMPRODUCT($AI$15:$AI$18,$I$15:$I$18)+SUMPRODUCT($AI$19:$AI$19,$I$19:$I$19)+SUMPRODUCT($AI$20:$AI$24,$I$20:$I$24)+SUMPRODUCT($AI$25:$AI$26,$I$25:$I$26)+SUMPRODUCT($AI$27:$AI$30,$I$27:$I$30)+SUMPRODUCT($AI$31:$AI$31,$I$31:$I$31)+SUMPRODUCT($AI$32:$AI$36,$I$32:$I$36)+SUMPRODUCT($AI$37:$AI$38,$I$37:$I$38)+SUMPRODUCT($AI$39:$AI$42,$I$39:$I$42)+SUMPRODUCT($AI$43:$AI$47,$I$43:$I$47)+SUMPRODUCT($AI$48:$AI$49,$I$48:$I$49)+SUMPRODUCT($AI$50:$AI$51,$I$50:$I$51)+SUMPRODUCT($AI$52:$AI$54,$I$52:$I$54)+SUMPRODUCT($AI$55:$AI$59,$I$55:$I$59)+SUMPRODUCT($AI$60:$AI$64,$I$60:$I$64)+SUMPRODUCT($AI$65:$AI$67,$I$65:$I$67)+SUMPRODUCT($AI$68:$AI$68,$I$68:$I$68)+SUMPRODUCT($AI$69:$AI$71,$I$69:$I$71)+SUMPRODUCT($AI$72:$AI$72,$I$72:$I$72)+SUMPRODUCT($AI$73:$AI$75,$I$73:$I$75)+SUMPRODUCT($AI$76:$AI$76,$I$76:$I$76)+SUMPRODUCT($AI$77:$AI$79,$I$77:$I$79)+SUMPRODUCT($AI$80:$AI$82,$I$80:$I$82)+SUMPRODUCT($AI$83:$AI$83,$I$83:$I$83)+SUMPRODUCT($AI$84:$AI$84,$I$84:$I$84)+SUMPRODUCT($AI$85:$AI$86,$I$85:$I$86))</f>
        <v>84406611.106212482</v>
      </c>
      <c r="AJ90" s="19">
        <f ca="1">IF(ISERROR(+SUMPRODUCT($AJ$5:$AJ$8,$I$5:$I$8)+SUMPRODUCT($AJ$9:$AJ$11,$I$9:$I$11)+SUMPRODUCT($AJ$15:$AJ$18,$I$15:$I$18)+SUMPRODUCT($AJ$19:$AJ$19,$I$19:$I$19)+SUMPRODUCT($AJ$20:$AJ$24,$I$20:$I$24)+SUMPRODUCT($AJ$25:$AJ$26,$I$25:$I$26)+SUMPRODUCT($AJ$27:$AJ$30,$I$27:$I$30)+SUMPRODUCT($AJ$31:$AJ$31,$I$31:$I$31)+SUMPRODUCT($AJ$32:$AJ$36,$I$32:$I$36)+SUMPRODUCT($AJ$37:$AJ$38,$I$37:$I$38)+SUMPRODUCT($AJ$39:$AJ$42,$I$39:$I$42)+SUMPRODUCT($AJ$43:$AJ$47,$I$43:$I$47)+SUMPRODUCT($AJ$48:$AJ$49,$I$48:$I$49)+SUMPRODUCT($AJ$50:$AJ$51,$I$50:$I$51)+SUMPRODUCT($AJ$52:$AJ$54,$I$52:$I$54)+SUMPRODUCT($AJ$55:$AJ$59,$I$55:$I$59)+SUMPRODUCT($AJ$60:$AJ$64,$I$60:$I$64)+SUMPRODUCT($AJ$65:$AJ$67,$I$65:$I$67)+SUMPRODUCT($AJ$68:$AJ$68,$I$68:$I$68)+SUMPRODUCT($AJ$69:$AJ$71,$I$69:$I$71)+SUMPRODUCT($AJ$72:$AJ$72,$I$72:$I$72)+SUMPRODUCT($AJ$73:$AJ$75,$I$73:$I$75)+SUMPRODUCT($AJ$76:$AJ$76,$I$76:$I$76)+SUMPRODUCT($AJ$77:$AJ$79,$I$77:$I$79)+SUMPRODUCT($AJ$80:$AJ$82,$I$80:$I$82)+SUMPRODUCT($AJ$83:$AJ$83,$I$83:$I$83)+SUMPRODUCT($AJ$84:$AJ$84,$I$84:$I$84)+SUMPRODUCT($AJ$85:$AJ$86,$I$85:$I$86)),0,+SUMPRODUCT($AJ$5:$AJ$8,$I$5:$I$8)+SUMPRODUCT($AJ$9:$AJ$11,$I$9:$I$11)+SUMPRODUCT($AJ$15:$AJ$18,$I$15:$I$18)+SUMPRODUCT($AJ$19:$AJ$19,$I$19:$I$19)+SUMPRODUCT($AJ$20:$AJ$24,$I$20:$I$24)+SUMPRODUCT($AJ$25:$AJ$26,$I$25:$I$26)+SUMPRODUCT($AJ$27:$AJ$30,$I$27:$I$30)+SUMPRODUCT($AJ$31:$AJ$31,$I$31:$I$31)+SUMPRODUCT($AJ$32:$AJ$36,$I$32:$I$36)+SUMPRODUCT($AJ$37:$AJ$38,$I$37:$I$38)+SUMPRODUCT($AJ$39:$AJ$42,$I$39:$I$42)+SUMPRODUCT($AJ$43:$AJ$47,$I$43:$I$47)+SUMPRODUCT($AJ$48:$AJ$49,$I$48:$I$49)+SUMPRODUCT($AJ$50:$AJ$51,$I$50:$I$51)+SUMPRODUCT($AJ$52:$AJ$54,$I$52:$I$54)+SUMPRODUCT($AJ$55:$AJ$59,$I$55:$I$59)+SUMPRODUCT($AJ$60:$AJ$64,$I$60:$I$64)+SUMPRODUCT($AJ$65:$AJ$67,$I$65:$I$67)+SUMPRODUCT($AJ$68:$AJ$68,$I$68:$I$68)+SUMPRODUCT($AJ$69:$AJ$71,$I$69:$I$71)+SUMPRODUCT($AJ$72:$AJ$72,$I$72:$I$72)+SUMPRODUCT($AJ$73:$AJ$75,$I$73:$I$75)+SUMPRODUCT($AJ$76:$AJ$76,$I$76:$I$76)+SUMPRODUCT($AJ$77:$AJ$79,$I$77:$I$79)+SUMPRODUCT($AJ$80:$AJ$82,$I$80:$I$82)+SUMPRODUCT($AJ$83:$AJ$83,$I$83:$I$83)+SUMPRODUCT($AJ$84:$AJ$84,$I$84:$I$84)+SUMPRODUCT($AJ$85:$AJ$86,$I$85:$I$86))</f>
        <v>50689422.438265964</v>
      </c>
      <c r="AK90" s="19">
        <f ca="1">IF(ISERROR(+SUMPRODUCT($AK$5:$AK$8,$I$5:$I$8)+SUMPRODUCT($AK$9:$AK$11,$I$9:$I$11)+SUMPRODUCT($AK$15:$AK$18,$I$15:$I$18)+SUMPRODUCT($AK$19:$AK$19,$I$19:$I$19)+SUMPRODUCT($AK$20:$AK$24,$I$20:$I$24)+SUMPRODUCT($AK$25:$AK$26,$I$25:$I$26)+SUMPRODUCT($AK$27:$AK$30,$I$27:$I$30)+SUMPRODUCT($AK$31:$AK$31,$I$31:$I$31)+SUMPRODUCT($AK$32:$AK$36,$I$32:$I$36)+SUMPRODUCT($AK$37:$AK$38,$I$37:$I$38)+SUMPRODUCT($AK$39:$AK$42,$I$39:$I$42)+SUMPRODUCT($AK$43:$AK$47,$I$43:$I$47)+SUMPRODUCT($AK$48:$AK$49,$I$48:$I$49)+SUMPRODUCT($AK$50:$AK$51,$I$50:$I$51)+SUMPRODUCT($AK$52:$AK$54,$I$52:$I$54)+SUMPRODUCT($AK$55:$AK$59,$I$55:$I$59)+SUMPRODUCT($AK$60:$AK$64,$I$60:$I$64)+SUMPRODUCT($AK$65:$AK$67,$I$65:$I$67)+SUMPRODUCT($AK$68:$AK$68,$I$68:$I$68)+SUMPRODUCT($AK$69:$AK$71,$I$69:$I$71)+SUMPRODUCT($AK$72:$AK$72,$I$72:$I$72)+SUMPRODUCT($AK$73:$AK$75,$I$73:$I$75)+SUMPRODUCT($AK$76:$AK$76,$I$76:$I$76)+SUMPRODUCT($AK$77:$AK$79,$I$77:$I$79)+SUMPRODUCT($AK$80:$AK$82,$I$80:$I$82)+SUMPRODUCT($AK$83:$AK$83,$I$83:$I$83)+SUMPRODUCT($AK$84:$AK$84,$I$84:$I$84)+SUMPRODUCT($AK$85:$AK$86,$I$85:$I$86)),0,+SUMPRODUCT($AK$5:$AK$8,$I$5:$I$8)+SUMPRODUCT($AK$9:$AK$11,$I$9:$I$11)+SUMPRODUCT($AK$15:$AK$18,$I$15:$I$18)+SUMPRODUCT($AK$19:$AK$19,$I$19:$I$19)+SUMPRODUCT($AK$20:$AK$24,$I$20:$I$24)+SUMPRODUCT($AK$25:$AK$26,$I$25:$I$26)+SUMPRODUCT($AK$27:$AK$30,$I$27:$I$30)+SUMPRODUCT($AK$31:$AK$31,$I$31:$I$31)+SUMPRODUCT($AK$32:$AK$36,$I$32:$I$36)+SUMPRODUCT($AK$37:$AK$38,$I$37:$I$38)+SUMPRODUCT($AK$39:$AK$42,$I$39:$I$42)+SUMPRODUCT($AK$43:$AK$47,$I$43:$I$47)+SUMPRODUCT($AK$48:$AK$49,$I$48:$I$49)+SUMPRODUCT($AK$50:$AK$51,$I$50:$I$51)+SUMPRODUCT($AK$52:$AK$54,$I$52:$I$54)+SUMPRODUCT($AK$55:$AK$59,$I$55:$I$59)+SUMPRODUCT($AK$60:$AK$64,$I$60:$I$64)+SUMPRODUCT($AK$65:$AK$67,$I$65:$I$67)+SUMPRODUCT($AK$68:$AK$68,$I$68:$I$68)+SUMPRODUCT($AK$69:$AK$71,$I$69:$I$71)+SUMPRODUCT($AK$72:$AK$72,$I$72:$I$72)+SUMPRODUCT($AK$73:$AK$75,$I$73:$I$75)+SUMPRODUCT($AK$76:$AK$76,$I$76:$I$76)+SUMPRODUCT($AK$77:$AK$79,$I$77:$I$79)+SUMPRODUCT($AK$80:$AK$82,$I$80:$I$82)+SUMPRODUCT($AK$83:$AK$83,$I$83:$I$83)+SUMPRODUCT($AK$84:$AK$84,$I$84:$I$84)+SUMPRODUCT($AK$85:$AK$86,$I$85:$I$86))</f>
        <v>50689422.438265964</v>
      </c>
      <c r="AL90" s="19"/>
      <c r="AM90" s="19"/>
    </row>
    <row r="91" spans="1:42" ht="11.25" customHeight="1" x14ac:dyDescent="0.25">
      <c r="K91" s="18" t="s">
        <v>998</v>
      </c>
      <c r="L91" s="19">
        <f>CUSTOS!$D$2</f>
        <v>0</v>
      </c>
      <c r="M91" s="19">
        <f>CUSTOS!$D$3</f>
        <v>2275228.0759017272</v>
      </c>
      <c r="N91" s="19">
        <f>CUSTOS!$D$4</f>
        <v>10614130.124088451</v>
      </c>
      <c r="O91" s="19">
        <f>CUSTOS!$D$5</f>
        <v>0</v>
      </c>
      <c r="P91" s="19">
        <f>CUSTOS!$D$6</f>
        <v>0</v>
      </c>
      <c r="Q91" s="19">
        <f>CUSTOS!$D$7</f>
        <v>343888375.74232566</v>
      </c>
      <c r="R91" s="19">
        <f>CUSTOS!$D$8</f>
        <v>46565614.407255195</v>
      </c>
      <c r="S91" s="19">
        <f>CUSTOS!$D$9</f>
        <v>0</v>
      </c>
      <c r="T91" s="19">
        <f>CUSTOS!$D$10</f>
        <v>403343348.34957099</v>
      </c>
      <c r="U91" s="19">
        <f>CUSTOS!$D$11</f>
        <v>238331541</v>
      </c>
      <c r="V91" s="19">
        <f>IF(SUM(V88:V90)&lt;&gt;0,CUSTOS!$D$12+CUSTOS!$D$16+CUSTOS!$D$17-'TR TUSD'!$Z$89-'TR TUSD'!$AA$89,0)</f>
        <v>61976411.399999999</v>
      </c>
      <c r="W91" s="19">
        <f>CUSTOS!$D$13</f>
        <v>8074316.2702725902</v>
      </c>
      <c r="X91" s="19">
        <f>CUSTOS!$D$14</f>
        <v>0</v>
      </c>
      <c r="Y91" s="19">
        <f>IF(SUM(V88:V90)=0,CUSTOS!$D$15+CUSTOS!$D$16+CUSTOS!$D$17-'TR TUSD'!$Z$89-'TR TUSD'!$AA$89,CUSTOS!$D$15)</f>
        <v>0</v>
      </c>
      <c r="Z91" s="19">
        <f>Z89</f>
        <v>0</v>
      </c>
      <c r="AA91" s="19">
        <f>AA89</f>
        <v>771753.60000000009</v>
      </c>
      <c r="AB91" s="19">
        <f>CUSTOS!$D$18</f>
        <v>309154022.27027261</v>
      </c>
      <c r="AC91" s="19">
        <f>CUSTOS!$D$19</f>
        <v>526859621.2744624</v>
      </c>
      <c r="AD91" s="19">
        <f>CUSTOS!$D$20</f>
        <v>526859621.2744624</v>
      </c>
      <c r="AE91" s="19">
        <f>CUSTOS!$D$21</f>
        <v>0</v>
      </c>
      <c r="AF91" s="19">
        <f>CUSTOS!$D$22</f>
        <v>0</v>
      </c>
      <c r="AG91" s="19">
        <f>CUSTOS!$D$23</f>
        <v>0</v>
      </c>
      <c r="AH91" s="19">
        <f>CUSTOS!$D$24</f>
        <v>120156261.92101654</v>
      </c>
      <c r="AI91" s="19">
        <f>CUSTOS!$D$25</f>
        <v>4516458.1330503756</v>
      </c>
      <c r="AJ91" s="19">
        <f>CUSTOS!$D$26</f>
        <v>61756016.292492852</v>
      </c>
      <c r="AK91" s="19">
        <f>CUSTOS!$D$27</f>
        <v>14252067.115893451</v>
      </c>
      <c r="AL91" s="19">
        <f>CUSTOS!$D$28</f>
        <v>200680803.46245322</v>
      </c>
      <c r="AM91" s="19">
        <f>CUSTOS!$D$29</f>
        <v>1440037795.3567591</v>
      </c>
    </row>
    <row r="92" spans="1:42" ht="11.25" customHeight="1" x14ac:dyDescent="0.25">
      <c r="K92" s="18" t="s">
        <v>999</v>
      </c>
      <c r="L92" s="19">
        <f>CUSTOS!$E$2</f>
        <v>0</v>
      </c>
      <c r="M92" s="19">
        <f>CUSTOS!$E$3</f>
        <v>-149041.49306630532</v>
      </c>
      <c r="N92" s="19">
        <f>CUSTOS!$E$4</f>
        <v>1428.0658642872843</v>
      </c>
      <c r="O92" s="19">
        <f>CUSTOS!$E$5</f>
        <v>0</v>
      </c>
      <c r="P92" s="19">
        <f>CUSTOS!$E$6</f>
        <v>0</v>
      </c>
      <c r="Q92" s="19">
        <f>CUSTOS!$E$7</f>
        <v>-11196254.455512114</v>
      </c>
      <c r="R92" s="19">
        <f>CUSTOS!$E$8</f>
        <v>-17765.676831671968</v>
      </c>
      <c r="S92" s="19">
        <f>CUSTOS!$E$9</f>
        <v>0</v>
      </c>
      <c r="T92" s="19">
        <f>CUSTOS!$E$10</f>
        <v>-11361633.559545804</v>
      </c>
      <c r="U92" s="19">
        <f>CUSTOS!$E$11</f>
        <v>-1743121.3283396903</v>
      </c>
      <c r="V92" s="19">
        <f>CUSTOS!$E$12</f>
        <v>3258066.3460147842</v>
      </c>
      <c r="W92" s="19">
        <f>CUSTOS!$E$13</f>
        <v>34341.478047883065</v>
      </c>
      <c r="X92" s="19">
        <f>CUSTOS!$E$14</f>
        <v>0</v>
      </c>
      <c r="Y92" s="19">
        <f>CUSTOS!$E$15</f>
        <v>0</v>
      </c>
      <c r="Z92" s="19">
        <f>CUSTOS!$E$16</f>
        <v>0</v>
      </c>
      <c r="AA92" s="19">
        <f>CUSTOS!$E$17</f>
        <v>105899.66550827415</v>
      </c>
      <c r="AB92" s="19">
        <f>CUSTOS!$E$18</f>
        <v>1655186.1612312512</v>
      </c>
      <c r="AC92" s="19">
        <f>CUSTOS!$E$19</f>
        <v>0</v>
      </c>
      <c r="AD92" s="19">
        <f>CUSTOS!$E$20</f>
        <v>0</v>
      </c>
      <c r="AE92" s="19">
        <f>CUSTOS!$E$21</f>
        <v>0</v>
      </c>
      <c r="AF92" s="19">
        <f>CUSTOS!$E$22</f>
        <v>0</v>
      </c>
      <c r="AG92" s="19">
        <f>CUSTOS!$E$23</f>
        <v>0</v>
      </c>
      <c r="AH92" s="19">
        <f>CUSTOS!$E$24</f>
        <v>-21332145.937846728</v>
      </c>
      <c r="AI92" s="19">
        <f>CUSTOS!$E$25</f>
        <v>-801837.06180654361</v>
      </c>
      <c r="AJ92" s="19">
        <f>CUSTOS!$E$26</f>
        <v>-10963959.189721374</v>
      </c>
      <c r="AK92" s="19">
        <f>CUSTOS!$E$27</f>
        <v>236692.82580248686</v>
      </c>
      <c r="AL92" s="19">
        <f>CUSTOS!$E$28</f>
        <v>-32861249.363572162</v>
      </c>
      <c r="AM92" s="19">
        <f>CUSTOS!$E$29</f>
        <v>-42567696.761886716</v>
      </c>
    </row>
    <row r="93" spans="1:42" ht="11.25" customHeight="1" x14ac:dyDescent="0.25">
      <c r="K93" s="18" t="s">
        <v>1000</v>
      </c>
      <c r="L93" s="19">
        <f>CUSTOS!$F$2</f>
        <v>0</v>
      </c>
      <c r="M93" s="19">
        <f>CUSTOS!$F$3</f>
        <v>0</v>
      </c>
      <c r="N93" s="19">
        <f>CUSTOS!$F$4</f>
        <v>0</v>
      </c>
      <c r="O93" s="19">
        <f>CUSTOS!$F$5</f>
        <v>0</v>
      </c>
      <c r="P93" s="19">
        <f>CUSTOS!$F$6</f>
        <v>0</v>
      </c>
      <c r="Q93" s="19">
        <f>CUSTOS!$F$7</f>
        <v>38454708.07395687</v>
      </c>
      <c r="R93" s="19">
        <f>CUSTOS!$F$8</f>
        <v>-5795217.5811314899</v>
      </c>
      <c r="S93" s="19">
        <f>CUSTOS!$F$9</f>
        <v>0</v>
      </c>
      <c r="T93" s="19">
        <f>CUSTOS!$F$10</f>
        <v>32659490.492825381</v>
      </c>
      <c r="U93" s="19">
        <f>CUSTOS!$F$11</f>
        <v>11084387.28354905</v>
      </c>
      <c r="V93" s="19">
        <f>CUSTOS!$F$12</f>
        <v>2883098.5793863335</v>
      </c>
      <c r="W93" s="19">
        <f>CUSTOS!$F$13</f>
        <v>0</v>
      </c>
      <c r="X93" s="19">
        <f>CUSTOS!$F$14</f>
        <v>0</v>
      </c>
      <c r="Y93" s="19">
        <f>CUSTOS!$F$15</f>
        <v>0</v>
      </c>
      <c r="Z93" s="19">
        <f>CUSTOS!$F$16</f>
        <v>0</v>
      </c>
      <c r="AA93" s="19">
        <f>CUSTOS!$F$17</f>
        <v>35209.92176181126</v>
      </c>
      <c r="AB93" s="19">
        <f>CUSTOS!$F$18</f>
        <v>14002695.784697194</v>
      </c>
      <c r="AC93" s="19">
        <f>CUSTOS!$F$19</f>
        <v>0</v>
      </c>
      <c r="AD93" s="19">
        <f>CUSTOS!$F$20</f>
        <v>0</v>
      </c>
      <c r="AE93" s="19">
        <f>CUSTOS!$F$21</f>
        <v>0</v>
      </c>
      <c r="AF93" s="19">
        <f>CUSTOS!$F$22</f>
        <v>0</v>
      </c>
      <c r="AG93" s="19">
        <f>CUSTOS!$F$23</f>
        <v>0</v>
      </c>
      <c r="AH93" s="19">
        <f>CUSTOS!$F$24</f>
        <v>10851157.067194762</v>
      </c>
      <c r="AI93" s="19">
        <f>CUSTOS!$F$25</f>
        <v>407875.50982032262</v>
      </c>
      <c r="AJ93" s="19">
        <f>CUSTOS!$F$26</f>
        <v>5577106.1942204703</v>
      </c>
      <c r="AK93" s="19">
        <f>CUSTOS!$F$27</f>
        <v>0</v>
      </c>
      <c r="AL93" s="19">
        <f>CUSTOS!$F$28</f>
        <v>16836138.771235555</v>
      </c>
      <c r="AM93" s="19">
        <f>CUSTOS!$F$29</f>
        <v>63498325.048758134</v>
      </c>
    </row>
    <row r="94" spans="1:42" ht="11.25" customHeight="1" x14ac:dyDescent="0.25">
      <c r="K94" s="18" t="s">
        <v>1061</v>
      </c>
      <c r="L94" s="19">
        <v>0</v>
      </c>
      <c r="M94" s="19">
        <v>0</v>
      </c>
      <c r="N94" s="19">
        <v>0</v>
      </c>
      <c r="O94" s="19">
        <v>0</v>
      </c>
      <c r="P94" s="19">
        <v>0</v>
      </c>
      <c r="Q94" s="19">
        <v>0</v>
      </c>
      <c r="R94" s="19">
        <v>0</v>
      </c>
      <c r="S94" s="19">
        <v>0</v>
      </c>
      <c r="T94" s="19"/>
      <c r="U94" s="19">
        <v>0</v>
      </c>
      <c r="V94" s="19">
        <v>0</v>
      </c>
      <c r="W94" s="19">
        <v>0</v>
      </c>
      <c r="X94" s="19">
        <v>0</v>
      </c>
      <c r="Y94" s="19">
        <v>0</v>
      </c>
      <c r="Z94" s="19">
        <v>0</v>
      </c>
      <c r="AA94" s="19">
        <v>0</v>
      </c>
      <c r="AB94" s="19"/>
      <c r="AC94" s="19">
        <v>0</v>
      </c>
      <c r="AD94" s="19"/>
      <c r="AE94" s="19">
        <v>0</v>
      </c>
      <c r="AF94" s="19">
        <v>0</v>
      </c>
      <c r="AG94" s="19"/>
      <c r="AH94" s="19">
        <v>0</v>
      </c>
      <c r="AI94" s="19">
        <v>0</v>
      </c>
      <c r="AJ94" s="19">
        <v>0</v>
      </c>
      <c r="AK94" s="19">
        <v>0</v>
      </c>
      <c r="AL94" s="19"/>
      <c r="AM94" s="19"/>
    </row>
    <row r="95" spans="1:42" ht="11.25" customHeight="1" x14ac:dyDescent="0.25">
      <c r="K95" s="18" t="s">
        <v>1062</v>
      </c>
      <c r="L95" s="19">
        <f t="shared" ref="L95:S95" si="3">IF((L90+L88)&lt;&gt;0,(L91-L89-L94)/(L90+L88),0)</f>
        <v>0</v>
      </c>
      <c r="M95" s="19">
        <f t="shared" si="3"/>
        <v>0.94546845236213828</v>
      </c>
      <c r="N95" s="19">
        <f t="shared" ca="1" si="3"/>
        <v>1.446855660605294</v>
      </c>
      <c r="O95" s="19">
        <f t="shared" si="3"/>
        <v>0</v>
      </c>
      <c r="P95" s="19">
        <f t="shared" si="3"/>
        <v>0</v>
      </c>
      <c r="Q95" s="19">
        <f t="shared" si="3"/>
        <v>61.495406527525361</v>
      </c>
      <c r="R95" s="19">
        <f t="shared" si="3"/>
        <v>7.9721317603751451</v>
      </c>
      <c r="S95" s="19">
        <f t="shared" si="3"/>
        <v>0</v>
      </c>
      <c r="T95" s="19"/>
      <c r="U95" s="19">
        <f>IF(U90&lt;&gt;0,(U91-U89-U88-U94)/U90,0)</f>
        <v>6.2887833489639204</v>
      </c>
      <c r="V95" s="19">
        <f>IF(V90&lt;&gt;0,(V91-V89-V88-V94)/V90,0)</f>
        <v>4.421884853894726</v>
      </c>
      <c r="W95" s="19">
        <f>IF(W90&lt;&gt;0,(W91-W89-W88-W94)/W90,0)</f>
        <v>5.9657980081472095</v>
      </c>
      <c r="X95" s="19">
        <f>IF(X90&lt;&gt;0,(X91-X89-X88-X94)/X90,0)</f>
        <v>0</v>
      </c>
      <c r="Y95" s="19">
        <f>IF(Y90&lt;&gt;0,(Y91-Y89-Y88-Y94)/Y90,0)</f>
        <v>0</v>
      </c>
      <c r="Z95" s="19"/>
      <c r="AA95" s="19"/>
      <c r="AB95" s="19"/>
      <c r="AC95" s="19">
        <f>IF(AC90&lt;&gt;0,(AC91-AC89-AC88-AC94)/AC90,0)</f>
        <v>1.1486420728309217</v>
      </c>
      <c r="AD95" s="19"/>
      <c r="AE95" s="19">
        <f>IF((AE90+AE88)&lt;&gt;0,(AE91-AE89-AE94)/(AE90+AE88),0)</f>
        <v>0</v>
      </c>
      <c r="AF95" s="19">
        <f>IF((AF90+AF88)&lt;&gt;0,(AF91-AF89-AF94)/(AF90+AF88),0)</f>
        <v>0</v>
      </c>
      <c r="AG95" s="19"/>
      <c r="AH95" s="19">
        <f>IF(AH90&lt;&gt;0,(AH91-AH89-AH88-AH94)/AH90,0)</f>
        <v>1.4235355426574272</v>
      </c>
      <c r="AI95" s="19">
        <f>IF(AI90&lt;&gt;0,(AI91-AI89-AI88-AI94)/AI90,0)</f>
        <v>5.3508345778355219E-2</v>
      </c>
      <c r="AJ95" s="19">
        <f ca="1">IF((AJ90+AJ88)&lt;&gt;0,(AJ91-AJ89-AJ94)/(AJ90+AJ88),0)</f>
        <v>1.2183215614205263</v>
      </c>
      <c r="AK95" s="19">
        <f ca="1">IF((AK90+AK88)&lt;&gt;0,(AK91-AK89-AK94)/(AK90+AK88),0)</f>
        <v>0.28116451974277024</v>
      </c>
      <c r="AL95" s="19"/>
      <c r="AM95" s="19"/>
    </row>
    <row r="97" spans="11:16" ht="11.25" customHeight="1" x14ac:dyDescent="0.25">
      <c r="K97" s="29" t="s">
        <v>1066</v>
      </c>
      <c r="L97" s="29" t="s">
        <v>1067</v>
      </c>
      <c r="M97" s="29" t="s">
        <v>1068</v>
      </c>
      <c r="N97" s="29" t="s">
        <v>1069</v>
      </c>
      <c r="O97" s="29" t="s">
        <v>1070</v>
      </c>
      <c r="P97" s="29" t="s">
        <v>1071</v>
      </c>
    </row>
    <row r="98" spans="11:16" ht="11.25" customHeight="1" x14ac:dyDescent="0.25">
      <c r="K98" s="21" t="s">
        <v>43</v>
      </c>
      <c r="L98" s="21">
        <f ca="1">+(+'TUSD BE'!$L$5+'TUSD BE'!$M$5+'TUSD BE'!$N$5+'TUSD BE'!$O$5+'TUSD BE'!$P$5+'TUSD BE'!$Q$5+'TUSD BE'!$R$5+'TUSD BE'!$S$5+'TUSD BE'!$U$5+'TUSD BE'!$V$5+'TUSD BE'!$W$5+'TUSD BE'!$X$5+'TUSD BE'!$Y$5+'TUSD BE'!$Z$5+'TUSD BE'!$AA$5+'TUSD BE'!$AC$5+'TUSD BE'!$AH$5+'TUSD BE'!$AI$5)*'TUSD BE'!$I$5+(+'TUSD BE'!$L$6+'TUSD BE'!$M$6+'TUSD BE'!$N$6+'TUSD BE'!$O$6+'TUSD BE'!$P$6+'TUSD BE'!$Q$6+'TUSD BE'!$R$6+'TUSD BE'!$S$6+'TUSD BE'!$U$6+'TUSD BE'!$V$6+'TUSD BE'!$W$6+'TUSD BE'!$X$6+'TUSD BE'!$Y$6+'TUSD BE'!$Z$6+'TUSD BE'!$AA$6+'TUSD BE'!$AC$6+'TUSD BE'!$AH$6+'TUSD BE'!$AI$6)*'TUSD BE'!$I$6+(+'TUSD BE'!$L$7+'TUSD BE'!$M$7+'TUSD BE'!$N$7+'TUSD BE'!$O$7+'TUSD BE'!$P$7+'TUSD BE'!$Q$7+'TUSD BE'!$R$7+'TUSD BE'!$S$7+'TUSD BE'!$U$7+'TUSD BE'!$V$7+'TUSD BE'!$W$7+'TUSD BE'!$X$7+'TUSD BE'!$Y$7+'TUSD BE'!$Z$7+'TUSD BE'!$AA$7+'TUSD BE'!$AC$7+'TUSD BE'!$AH$7+'TUSD BE'!$AI$7)*'TUSD BE'!$I$7+(+'TUSD BE'!$L$8+'TUSD BE'!$M$8+'TUSD BE'!$N$8+'TUSD BE'!$O$8+'TUSD BE'!$P$8+'TUSD BE'!$Q$8+'TUSD BE'!$R$8+'TUSD BE'!$S$8+'TUSD BE'!$U$8+'TUSD BE'!$V$8+'TUSD BE'!$W$8+'TUSD BE'!$X$8+'TUSD BE'!$Y$8+'TUSD BE'!$Z$8+'TUSD BE'!$AA$8+'TUSD BE'!$AC$8+'TUSD BE'!$AH$8+'TUSD BE'!$AI$8)*'TUSD BE'!$I$8</f>
        <v>36775143.070905343</v>
      </c>
      <c r="M98" s="21">
        <f>+'TUSD BE'!$I$7+'TUSD BE'!$I$8</f>
        <v>492180.32400000002</v>
      </c>
      <c r="N98" s="21">
        <f t="shared" ref="N98:N103" ca="1" si="4">IF(AND($L$108&lt;&gt;0,M98&lt;&gt;0),(L98/$L$108*$AJ$91)/M98,0)</f>
        <v>2.9272641350937527</v>
      </c>
      <c r="O98" s="21"/>
      <c r="P98" s="21"/>
    </row>
    <row r="99" spans="11:16" ht="11.25" customHeight="1" x14ac:dyDescent="0.25">
      <c r="K99" s="21" t="s">
        <v>45</v>
      </c>
      <c r="L99" s="21">
        <f ca="1">$O$100+$O$99</f>
        <v>237000657.52761525</v>
      </c>
      <c r="M99" s="21">
        <f>$P$100+$P$99</f>
        <v>1326553.9090000002</v>
      </c>
      <c r="N99" s="21">
        <f t="shared" ca="1" si="4"/>
        <v>6.9993294518742095</v>
      </c>
      <c r="O99" s="21">
        <f ca="1">+(+'TUSD BE'!$L$15+'TUSD BE'!$M$15+'TUSD BE'!$N$15+'TUSD BE'!$O$15+'TUSD BE'!$P$15+'TUSD BE'!$Q$15+'TUSD BE'!$R$15+'TUSD BE'!$S$15+'TUSD BE'!$U$15+'TUSD BE'!$V$15+'TUSD BE'!$W$15+'TUSD BE'!$X$15+'TUSD BE'!$Y$15+'TUSD BE'!$Z$15+'TUSD BE'!$AA$15+'TUSD BE'!$AC$15+'TUSD BE'!$AH$15+'TUSD BE'!$AI$15)*'TUSD BE'!$I$15+(+'TUSD BE'!$L$16+'TUSD BE'!$M$16+'TUSD BE'!$N$16+'TUSD BE'!$O$16+'TUSD BE'!$P$16+'TUSD BE'!$Q$16+'TUSD BE'!$R$16+'TUSD BE'!$S$16+'TUSD BE'!$U$16+'TUSD BE'!$V$16+'TUSD BE'!$W$16+'TUSD BE'!$X$16+'TUSD BE'!$Y$16+'TUSD BE'!$Z$16+'TUSD BE'!$AA$16+'TUSD BE'!$AC$16+'TUSD BE'!$AH$16+'TUSD BE'!$AI$16)*'TUSD BE'!$I$16+(+'TUSD BE'!$L$17+'TUSD BE'!$M$17+'TUSD BE'!$N$17+'TUSD BE'!$O$17+'TUSD BE'!$P$17+'TUSD BE'!$Q$17+'TUSD BE'!$R$17+'TUSD BE'!$S$17+'TUSD BE'!$U$17+'TUSD BE'!$V$17+'TUSD BE'!$W$17+'TUSD BE'!$X$17+'TUSD BE'!$Y$17+'TUSD BE'!$Z$17+'TUSD BE'!$AA$17+'TUSD BE'!$AC$17+'TUSD BE'!$AH$17+'TUSD BE'!$AI$17)*'TUSD BE'!$I$17+(+'TUSD BE'!$L$18+'TUSD BE'!$M$18+'TUSD BE'!$N$18+'TUSD BE'!$O$18+'TUSD BE'!$P$18+'TUSD BE'!$Q$18+'TUSD BE'!$R$18+'TUSD BE'!$S$18+'TUSD BE'!$U$18+'TUSD BE'!$V$18+'TUSD BE'!$W$18+'TUSD BE'!$X$18+'TUSD BE'!$Y$18+'TUSD BE'!$Z$18+'TUSD BE'!$AA$18+'TUSD BE'!$AC$18+'TUSD BE'!$AH$18+'TUSD BE'!$AI$18)*'TUSD BE'!$I$18+(+'TUSD BE'!$L$20+'TUSD BE'!$M$20+'TUSD BE'!$N$20+'TUSD BE'!$O$20+'TUSD BE'!$P$20+'TUSD BE'!$Q$20+'TUSD BE'!$R$20+'TUSD BE'!$S$20+'TUSD BE'!$U$20+'TUSD BE'!$V$20+'TUSD BE'!$W$20+'TUSD BE'!$X$20+'TUSD BE'!$Y$20+'TUSD BE'!$Z$20+'TUSD BE'!$AA$20+'TUSD BE'!$AC$20+'TUSD BE'!$AH$20+'TUSD BE'!$AI$20)*'TUSD BE'!$I$20+(+'TUSD BE'!$L$21+'TUSD BE'!$M$21+'TUSD BE'!$N$21+'TUSD BE'!$O$21+'TUSD BE'!$P$21+'TUSD BE'!$Q$21+'TUSD BE'!$R$21+'TUSD BE'!$S$21+'TUSD BE'!$U$21+'TUSD BE'!$V$21+'TUSD BE'!$W$21+'TUSD BE'!$X$21+'TUSD BE'!$Y$21+'TUSD BE'!$Z$21+'TUSD BE'!$AA$21+'TUSD BE'!$AC$21+'TUSD BE'!$AH$21+'TUSD BE'!$AI$21)*'TUSD BE'!$I$21+(+'TUSD BE'!$L$22+'TUSD BE'!$M$22+'TUSD BE'!$N$22+'TUSD BE'!$O$22+'TUSD BE'!$P$22+'TUSD BE'!$Q$22+'TUSD BE'!$R$22+'TUSD BE'!$S$22+'TUSD BE'!$U$22+'TUSD BE'!$V$22+'TUSD BE'!$W$22+'TUSD BE'!$X$22+'TUSD BE'!$Y$22+'TUSD BE'!$Z$22+'TUSD BE'!$AA$22+'TUSD BE'!$AC$22+'TUSD BE'!$AH$22+'TUSD BE'!$AI$22)*'TUSD BE'!$I$22+(+'TUSD BE'!$L$23+'TUSD BE'!$M$23+'TUSD BE'!$N$23+'TUSD BE'!$O$23+'TUSD BE'!$P$23+'TUSD BE'!$Q$23+'TUSD BE'!$R$23+'TUSD BE'!$S$23+'TUSD BE'!$U$23+'TUSD BE'!$V$23+'TUSD BE'!$W$23+'TUSD BE'!$X$23+'TUSD BE'!$Y$23+'TUSD BE'!$Z$23+'TUSD BE'!$AA$23+'TUSD BE'!$AC$23+'TUSD BE'!$AH$23+'TUSD BE'!$AI$23)*'TUSD BE'!$I$23+(+'TUSD BE'!$L$24+'TUSD BE'!$M$24+'TUSD BE'!$N$24+'TUSD BE'!$O$24+'TUSD BE'!$P$24+'TUSD BE'!$Q$24+'TUSD BE'!$R$24+'TUSD BE'!$S$24+'TUSD BE'!$U$24+'TUSD BE'!$V$24+'TUSD BE'!$W$24+'TUSD BE'!$X$24+'TUSD BE'!$Y$24+'TUSD BE'!$Z$24+'TUSD BE'!$AA$24+'TUSD BE'!$AC$24+'TUSD BE'!$AH$24+'TUSD BE'!$AI$24)*'TUSD BE'!$I$24+(+'TUSD BE'!$L$25+'TUSD BE'!$M$25+'TUSD BE'!$N$25+'TUSD BE'!$O$25+'TUSD BE'!$P$25+'TUSD BE'!$Q$25+'TUSD BE'!$R$25+'TUSD BE'!$S$25+'TUSD BE'!$U$25+'TUSD BE'!$V$25+'TUSD BE'!$W$25+'TUSD BE'!$X$25+'TUSD BE'!$Y$25+'TUSD BE'!$Z$25+'TUSD BE'!$AA$25+'TUSD BE'!$AC$25+'TUSD BE'!$AH$25+'TUSD BE'!$AI$25)*'TUSD BE'!$I$25+(+'TUSD BE'!$L$26+'TUSD BE'!$M$26+'TUSD BE'!$N$26+'TUSD BE'!$O$26+'TUSD BE'!$P$26+'TUSD BE'!$Q$26+'TUSD BE'!$R$26+'TUSD BE'!$S$26+'TUSD BE'!$U$26+'TUSD BE'!$V$26+'TUSD BE'!$W$26+'TUSD BE'!$X$26+'TUSD BE'!$Y$26+'TUSD BE'!$Z$26+'TUSD BE'!$AA$26+'TUSD BE'!$AC$26+'TUSD BE'!$AH$26+'TUSD BE'!$AI$26)*'TUSD BE'!$I$26</f>
        <v>7727355.2548910007</v>
      </c>
      <c r="P99" s="21">
        <f>+'TUSD BE'!$I$17+'TUSD BE'!$I$18+'TUSD BE'!$I$21+'TUSD BE'!$I$22+'TUSD BE'!$I$23+'TUSD BE'!$I$24+'TUSD BE'!$I$26</f>
        <v>46785.947000000007</v>
      </c>
    </row>
    <row r="100" spans="11:16" ht="11.25" customHeight="1" x14ac:dyDescent="0.25">
      <c r="K100" s="21" t="s">
        <v>33</v>
      </c>
      <c r="L100" s="21">
        <f ca="1">$O$100+$O$99</f>
        <v>237000657.52761525</v>
      </c>
      <c r="M100" s="21">
        <f>$P$100+$P$99</f>
        <v>1326553.9090000002</v>
      </c>
      <c r="N100" s="21">
        <f t="shared" ca="1" si="4"/>
        <v>6.9993294518742095</v>
      </c>
      <c r="O100" s="21">
        <f ca="1">+(+'TUSD BE'!$L$27+'TUSD BE'!$M$27+'TUSD BE'!$N$27+'TUSD BE'!$O$27+'TUSD BE'!$P$27+'TUSD BE'!$Q$27+'TUSD BE'!$R$27+'TUSD BE'!$S$27+'TUSD BE'!$U$27+'TUSD BE'!$V$27+'TUSD BE'!$W$27+'TUSD BE'!$X$27+'TUSD BE'!$Y$27+'TUSD BE'!$Z$27+'TUSD BE'!$AA$27+'TUSD BE'!$AC$27+'TUSD BE'!$AH$27+'TUSD BE'!$AI$27)*'TUSD BE'!$I$27+(+'TUSD BE'!$L$28+'TUSD BE'!$M$28+'TUSD BE'!$N$28+'TUSD BE'!$O$28+'TUSD BE'!$P$28+'TUSD BE'!$Q$28+'TUSD BE'!$R$28+'TUSD BE'!$S$28+'TUSD BE'!$U$28+'TUSD BE'!$V$28+'TUSD BE'!$W$28+'TUSD BE'!$X$28+'TUSD BE'!$Y$28+'TUSD BE'!$Z$28+'TUSD BE'!$AA$28+'TUSD BE'!$AC$28+'TUSD BE'!$AH$28+'TUSD BE'!$AI$28)*'TUSD BE'!$I$28+(+'TUSD BE'!$L$29+'TUSD BE'!$M$29+'TUSD BE'!$N$29+'TUSD BE'!$O$29+'TUSD BE'!$P$29+'TUSD BE'!$Q$29+'TUSD BE'!$R$29+'TUSD BE'!$S$29+'TUSD BE'!$U$29+'TUSD BE'!$V$29+'TUSD BE'!$W$29+'TUSD BE'!$X$29+'TUSD BE'!$Y$29+'TUSD BE'!$Z$29+'TUSD BE'!$AA$29+'TUSD BE'!$AC$29+'TUSD BE'!$AH$29+'TUSD BE'!$AI$29)*'TUSD BE'!$I$29+(+'TUSD BE'!$L$30+'TUSD BE'!$M$30+'TUSD BE'!$N$30+'TUSD BE'!$O$30+'TUSD BE'!$P$30+'TUSD BE'!$Q$30+'TUSD BE'!$R$30+'TUSD BE'!$S$30+'TUSD BE'!$U$30+'TUSD BE'!$V$30+'TUSD BE'!$W$30+'TUSD BE'!$X$30+'TUSD BE'!$Y$30+'TUSD BE'!$Z$30+'TUSD BE'!$AA$30+'TUSD BE'!$AC$30+'TUSD BE'!$AH$30+'TUSD BE'!$AI$30)*'TUSD BE'!$I$30+(+'TUSD BE'!$L$32+'TUSD BE'!$M$32+'TUSD BE'!$N$32+'TUSD BE'!$O$32+'TUSD BE'!$P$32+'TUSD BE'!$Q$32+'TUSD BE'!$R$32+'TUSD BE'!$S$32+'TUSD BE'!$U$32+'TUSD BE'!$V$32+'TUSD BE'!$W$32+'TUSD BE'!$X$32+'TUSD BE'!$Y$32+'TUSD BE'!$Z$32+'TUSD BE'!$AA$32+'TUSD BE'!$AC$32+'TUSD BE'!$AH$32+'TUSD BE'!$AI$32)*'TUSD BE'!$I$32+(+'TUSD BE'!$L$33+'TUSD BE'!$M$33+'TUSD BE'!$N$33+'TUSD BE'!$O$33+'TUSD BE'!$P$33+'TUSD BE'!$Q$33+'TUSD BE'!$R$33+'TUSD BE'!$S$33+'TUSD BE'!$U$33+'TUSD BE'!$V$33+'TUSD BE'!$W$33+'TUSD BE'!$X$33+'TUSD BE'!$Y$33+'TUSD BE'!$Z$33+'TUSD BE'!$AA$33+'TUSD BE'!$AC$33+'TUSD BE'!$AH$33+'TUSD BE'!$AI$33)*'TUSD BE'!$I$33+(+'TUSD BE'!$L$34+'TUSD BE'!$M$34+'TUSD BE'!$N$34+'TUSD BE'!$O$34+'TUSD BE'!$P$34+'TUSD BE'!$Q$34+'TUSD BE'!$R$34+'TUSD BE'!$S$34+'TUSD BE'!$U$34+'TUSD BE'!$V$34+'TUSD BE'!$W$34+'TUSD BE'!$X$34+'TUSD BE'!$Y$34+'TUSD BE'!$Z$34+'TUSD BE'!$AA$34+'TUSD BE'!$AC$34+'TUSD BE'!$AH$34+'TUSD BE'!$AI$34)*'TUSD BE'!$I$34+(+'TUSD BE'!$L$35+'TUSD BE'!$M$35+'TUSD BE'!$N$35+'TUSD BE'!$O$35+'TUSD BE'!$P$35+'TUSD BE'!$Q$35+'TUSD BE'!$R$35+'TUSD BE'!$S$35+'TUSD BE'!$U$35+'TUSD BE'!$V$35+'TUSD BE'!$W$35+'TUSD BE'!$X$35+'TUSD BE'!$Y$35+'TUSD BE'!$Z$35+'TUSD BE'!$AA$35+'TUSD BE'!$AC$35+'TUSD BE'!$AH$35+'TUSD BE'!$AI$35)*'TUSD BE'!$I$35+(+'TUSD BE'!$L$36+'TUSD BE'!$M$36+'TUSD BE'!$N$36+'TUSD BE'!$O$36+'TUSD BE'!$P$36+'TUSD BE'!$Q$36+'TUSD BE'!$R$36+'TUSD BE'!$S$36+'TUSD BE'!$U$36+'TUSD BE'!$V$36+'TUSD BE'!$W$36+'TUSD BE'!$X$36+'TUSD BE'!$Y$36+'TUSD BE'!$Z$36+'TUSD BE'!$AA$36+'TUSD BE'!$AC$36+'TUSD BE'!$AH$36+'TUSD BE'!$AI$36)*'TUSD BE'!$I$36+(+'TUSD BE'!$L$37+'TUSD BE'!$M$37+'TUSD BE'!$N$37+'TUSD BE'!$O$37+'TUSD BE'!$P$37+'TUSD BE'!$Q$37+'TUSD BE'!$R$37+'TUSD BE'!$S$37+'TUSD BE'!$U$37+'TUSD BE'!$V$37+'TUSD BE'!$W$37+'TUSD BE'!$X$37+'TUSD BE'!$Y$37+'TUSD BE'!$Z$37+'TUSD BE'!$AA$37+'TUSD BE'!$AC$37+'TUSD BE'!$AH$37+'TUSD BE'!$AI$37)*'TUSD BE'!$I$37+(+'TUSD BE'!$L$38+'TUSD BE'!$M$38+'TUSD BE'!$N$38+'TUSD BE'!$O$38+'TUSD BE'!$P$38+'TUSD BE'!$Q$38+'TUSD BE'!$R$38+'TUSD BE'!$S$38+'TUSD BE'!$U$38+'TUSD BE'!$V$38+'TUSD BE'!$W$38+'TUSD BE'!$X$38+'TUSD BE'!$Y$38+'TUSD BE'!$Z$38+'TUSD BE'!$AA$38+'TUSD BE'!$AC$38+'TUSD BE'!$AH$38+'TUSD BE'!$AI$38)*'TUSD BE'!$I$38</f>
        <v>229273302.27272424</v>
      </c>
      <c r="P100" s="21">
        <f>+'TUSD BE'!$I$29+'TUSD BE'!$I$30+'TUSD BE'!$I$33+'TUSD BE'!$I$34+'TUSD BE'!$I$35+'TUSD BE'!$I$36+'TUSD BE'!$I$38</f>
        <v>1279767.9620000003</v>
      </c>
    </row>
    <row r="101" spans="11:16" ht="11.25" customHeight="1" x14ac:dyDescent="0.25">
      <c r="K101" s="21" t="s">
        <v>44</v>
      </c>
      <c r="L101" s="21">
        <f ca="1">+(+'TUSD BE'!$L$39+'TUSD BE'!$M$39+'TUSD BE'!$N$39+'TUSD BE'!$O$39+'TUSD BE'!$P$39+'TUSD BE'!$Q$39+'TUSD BE'!$R$39+'TUSD BE'!$S$39+'TUSD BE'!$U$39+'TUSD BE'!$V$39+'TUSD BE'!$W$39+'TUSD BE'!$X$39+'TUSD BE'!$Y$39+'TUSD BE'!$Z$39+'TUSD BE'!$AA$39+'TUSD BE'!$AC$39+'TUSD BE'!$AH$39+'TUSD BE'!$AI$39)*'TUSD BE'!$I$39+(+'TUSD BE'!$L$40+'TUSD BE'!$M$40+'TUSD BE'!$N$40+'TUSD BE'!$O$40+'TUSD BE'!$P$40+'TUSD BE'!$Q$40+'TUSD BE'!$R$40+'TUSD BE'!$S$40+'TUSD BE'!$U$40+'TUSD BE'!$V$40+'TUSD BE'!$W$40+'TUSD BE'!$X$40+'TUSD BE'!$Y$40+'TUSD BE'!$Z$40+'TUSD BE'!$AA$40+'TUSD BE'!$AC$40+'TUSD BE'!$AH$40+'TUSD BE'!$AI$40)*'TUSD BE'!$I$40+(+'TUSD BE'!$L$41+'TUSD BE'!$M$41+'TUSD BE'!$N$41+'TUSD BE'!$O$41+'TUSD BE'!$P$41+'TUSD BE'!$Q$41+'TUSD BE'!$R$41+'TUSD BE'!$S$41+'TUSD BE'!$U$41+'TUSD BE'!$V$41+'TUSD BE'!$W$41+'TUSD BE'!$X$41+'TUSD BE'!$Y$41+'TUSD BE'!$Z$41+'TUSD BE'!$AA$41+'TUSD BE'!$AC$41+'TUSD BE'!$AH$41+'TUSD BE'!$AI$41)*'TUSD BE'!$I$41+(+'TUSD BE'!$L$42+'TUSD BE'!$M$42+'TUSD BE'!$N$42+'TUSD BE'!$O$42+'TUSD BE'!$P$42+'TUSD BE'!$Q$42+'TUSD BE'!$R$42+'TUSD BE'!$S$42+'TUSD BE'!$U$42+'TUSD BE'!$V$42+'TUSD BE'!$W$42+'TUSD BE'!$X$42+'TUSD BE'!$Y$42+'TUSD BE'!$Z$42+'TUSD BE'!$AA$42+'TUSD BE'!$AC$42+'TUSD BE'!$AH$42+'TUSD BE'!$AI$42)*'TUSD BE'!$I$42+(+'TUSD BE'!$L$43+'TUSD BE'!$M$43+'TUSD BE'!$N$43+'TUSD BE'!$O$43+'TUSD BE'!$P$43+'TUSD BE'!$Q$43+'TUSD BE'!$R$43+'TUSD BE'!$S$43+'TUSD BE'!$U$43+'TUSD BE'!$V$43+'TUSD BE'!$W$43+'TUSD BE'!$X$43+'TUSD BE'!$Y$43+'TUSD BE'!$Z$43+'TUSD BE'!$AA$43+'TUSD BE'!$AC$43+'TUSD BE'!$AH$43+'TUSD BE'!$AI$43)*'TUSD BE'!$I$43+(+'TUSD BE'!$L$44+'TUSD BE'!$M$44+'TUSD BE'!$N$44+'TUSD BE'!$O$44+'TUSD BE'!$P$44+'TUSD BE'!$Q$44+'TUSD BE'!$R$44+'TUSD BE'!$S$44+'TUSD BE'!$U$44+'TUSD BE'!$V$44+'TUSD BE'!$W$44+'TUSD BE'!$X$44+'TUSD BE'!$Y$44+'TUSD BE'!$Z$44+'TUSD BE'!$AA$44+'TUSD BE'!$AC$44+'TUSD BE'!$AH$44+'TUSD BE'!$AI$44)*'TUSD BE'!$I$44+(+'TUSD BE'!$L$45+'TUSD BE'!$M$45+'TUSD BE'!$N$45+'TUSD BE'!$O$45+'TUSD BE'!$P$45+'TUSD BE'!$Q$45+'TUSD BE'!$R$45+'TUSD BE'!$S$45+'TUSD BE'!$U$45+'TUSD BE'!$V$45+'TUSD BE'!$W$45+'TUSD BE'!$X$45+'TUSD BE'!$Y$45+'TUSD BE'!$Z$45+'TUSD BE'!$AA$45+'TUSD BE'!$AC$45+'TUSD BE'!$AH$45+'TUSD BE'!$AI$45)*'TUSD BE'!$I$45+(+'TUSD BE'!$L$46+'TUSD BE'!$M$46+'TUSD BE'!$N$46+'TUSD BE'!$O$46+'TUSD BE'!$P$46+'TUSD BE'!$Q$46+'TUSD BE'!$R$46+'TUSD BE'!$S$46+'TUSD BE'!$U$46+'TUSD BE'!$V$46+'TUSD BE'!$W$46+'TUSD BE'!$X$46+'TUSD BE'!$Y$46+'TUSD BE'!$Z$46+'TUSD BE'!$AA$46+'TUSD BE'!$AC$46+'TUSD BE'!$AH$46+'TUSD BE'!$AI$46)*'TUSD BE'!$I$46+(+'TUSD BE'!$L$47+'TUSD BE'!$M$47+'TUSD BE'!$N$47+'TUSD BE'!$O$47+'TUSD BE'!$P$47+'TUSD BE'!$Q$47+'TUSD BE'!$R$47+'TUSD BE'!$S$47+'TUSD BE'!$U$47+'TUSD BE'!$V$47+'TUSD BE'!$W$47+'TUSD BE'!$X$47+'TUSD BE'!$Y$47+'TUSD BE'!$Z$47+'TUSD BE'!$AA$47+'TUSD BE'!$AC$47+'TUSD BE'!$AH$47+'TUSD BE'!$AI$47)*'TUSD BE'!$I$47+(+'TUSD BE'!$L$48+'TUSD BE'!$M$48+'TUSD BE'!$N$48+'TUSD BE'!$O$48+'TUSD BE'!$P$48+'TUSD BE'!$Q$48+'TUSD BE'!$R$48+'TUSD BE'!$S$48+'TUSD BE'!$U$48+'TUSD BE'!$V$48+'TUSD BE'!$W$48+'TUSD BE'!$X$48+'TUSD BE'!$Y$48+'TUSD BE'!$Z$48+'TUSD BE'!$AA$48+'TUSD BE'!$AC$48+'TUSD BE'!$AH$48+'TUSD BE'!$AI$48)*'TUSD BE'!$I$48+(+'TUSD BE'!$L$49+'TUSD BE'!$M$49+'TUSD BE'!$N$49+'TUSD BE'!$O$49+'TUSD BE'!$P$49+'TUSD BE'!$Q$49+'TUSD BE'!$R$49+'TUSD BE'!$S$49+'TUSD BE'!$U$49+'TUSD BE'!$V$49+'TUSD BE'!$W$49+'TUSD BE'!$X$49+'TUSD BE'!$Y$49+'TUSD BE'!$Z$49+'TUSD BE'!$AA$49+'TUSD BE'!$AC$49+'TUSD BE'!$AH$49+'TUSD BE'!$AI$49)*'TUSD BE'!$I$49</f>
        <v>127065351.20828091</v>
      </c>
      <c r="M101" s="21">
        <f>+'TUSD BE'!$I$41+'TUSD BE'!$I$42+'TUSD BE'!$I$44+'TUSD BE'!$I$45+'TUSD BE'!$I$46+'TUSD BE'!$I$47+'TUSD BE'!$I$49</f>
        <v>458907.00199999998</v>
      </c>
      <c r="N101" s="21">
        <f t="shared" ca="1" si="4"/>
        <v>10.84761456649813</v>
      </c>
      <c r="O101" s="21"/>
      <c r="P101" s="21"/>
    </row>
    <row r="102" spans="11:16" ht="11.25" customHeight="1" x14ac:dyDescent="0.25">
      <c r="K102" s="21" t="s">
        <v>97</v>
      </c>
      <c r="L102" s="21">
        <f ca="1">+$L$103+$L$104+$L$105+$L$106+$L$107</f>
        <v>938489437.6540066</v>
      </c>
      <c r="M102" s="21">
        <f>+$M$103+$M$104+$M$105+$M$106+$M$107</f>
        <v>3882950.5819999999</v>
      </c>
      <c r="N102" s="21">
        <f t="shared" ca="1" si="4"/>
        <v>9.4688952992089614</v>
      </c>
      <c r="O102" s="21"/>
      <c r="P102" s="21"/>
    </row>
    <row r="103" spans="11:16" ht="11.25" customHeight="1" x14ac:dyDescent="0.25">
      <c r="K103" s="21" t="s">
        <v>97</v>
      </c>
      <c r="L103" s="21"/>
      <c r="M103" s="21"/>
      <c r="N103" s="21">
        <f t="shared" ca="1" si="4"/>
        <v>0</v>
      </c>
      <c r="O103" s="21"/>
      <c r="P103" s="21"/>
    </row>
    <row r="104" spans="11:16" ht="11.25" customHeight="1" x14ac:dyDescent="0.25">
      <c r="K104" s="21" t="s">
        <v>22</v>
      </c>
      <c r="L104" s="21">
        <f ca="1">+(+'TUSD BE'!$L$52+'TUSD BE'!$M$52+'TUSD BE'!$N$52+'TUSD BE'!$O$52+'TUSD BE'!$P$52+'TUSD BE'!$Q$52+'TUSD BE'!$R$52+'TUSD BE'!$S$52+'TUSD BE'!$U$52+'TUSD BE'!$V$52+'TUSD BE'!$W$52+'TUSD BE'!$X$52+'TUSD BE'!$Y$52+'TUSD BE'!$Z$52+'TUSD BE'!$AA$52+'TUSD BE'!$AC$52+'TUSD BE'!$AH$52+'TUSD BE'!$AI$52)*'TUSD BE'!$I$52+(+'TUSD BE'!$L$53+'TUSD BE'!$M$53+'TUSD BE'!$N$53+'TUSD BE'!$O$53+'TUSD BE'!$P$53+'TUSD BE'!$Q$53+'TUSD BE'!$R$53+'TUSD BE'!$S$53+'TUSD BE'!$U$53+'TUSD BE'!$V$53+'TUSD BE'!$W$53+'TUSD BE'!$X$53+'TUSD BE'!$Y$53+'TUSD BE'!$Z$53+'TUSD BE'!$AA$53+'TUSD BE'!$AC$53+'TUSD BE'!$AH$53+'TUSD BE'!$AI$53)*'TUSD BE'!$I$53+(+'TUSD BE'!$L$54+'TUSD BE'!$M$54+'TUSD BE'!$N$54+'TUSD BE'!$O$54+'TUSD BE'!$P$54+'TUSD BE'!$Q$54+'TUSD BE'!$R$54+'TUSD BE'!$S$54+'TUSD BE'!$U$54+'TUSD BE'!$V$54+'TUSD BE'!$W$54+'TUSD BE'!$X$54+'TUSD BE'!$Y$54+'TUSD BE'!$Z$54+'TUSD BE'!$AA$54+'TUSD BE'!$AC$54+'TUSD BE'!$AH$54+'TUSD BE'!$AI$54)*'TUSD BE'!$I$54+(+'TUSD BE'!$L$55+'TUSD BE'!$M$55+'TUSD BE'!$N$55+'TUSD BE'!$O$55+'TUSD BE'!$P$55+'TUSD BE'!$Q$55+'TUSD BE'!$R$55+'TUSD BE'!$S$55+'TUSD BE'!$U$55+'TUSD BE'!$V$55+'TUSD BE'!$W$55+'TUSD BE'!$X$55+'TUSD BE'!$Y$55+'TUSD BE'!$Z$55+'TUSD BE'!$AA$55+'TUSD BE'!$AC$55+'TUSD BE'!$AH$55+'TUSD BE'!$AI$55)*'TUSD BE'!$I$55+(+'TUSD BE'!$L$56+'TUSD BE'!$M$56+'TUSD BE'!$N$56+'TUSD BE'!$O$56+'TUSD BE'!$P$56+'TUSD BE'!$Q$56+'TUSD BE'!$R$56+'TUSD BE'!$S$56+'TUSD BE'!$U$56+'TUSD BE'!$V$56+'TUSD BE'!$W$56+'TUSD BE'!$X$56+'TUSD BE'!$Y$56+'TUSD BE'!$Z$56+'TUSD BE'!$AA$56+'TUSD BE'!$AC$56+'TUSD BE'!$AH$56+'TUSD BE'!$AI$56)*'TUSD BE'!$I$56+(+'TUSD BE'!$L$57+'TUSD BE'!$M$57+'TUSD BE'!$N$57+'TUSD BE'!$O$57+'TUSD BE'!$P$57+'TUSD BE'!$Q$57+'TUSD BE'!$R$57+'TUSD BE'!$S$57+'TUSD BE'!$U$57+'TUSD BE'!$V$57+'TUSD BE'!$W$57+'TUSD BE'!$X$57+'TUSD BE'!$Y$57+'TUSD BE'!$Z$57+'TUSD BE'!$AA$57+'TUSD BE'!$AC$57+'TUSD BE'!$AH$57+'TUSD BE'!$AI$57)*'TUSD BE'!$I$57+(+'TUSD BE'!$L$58+'TUSD BE'!$M$58+'TUSD BE'!$N$58+'TUSD BE'!$O$58+'TUSD BE'!$P$58+'TUSD BE'!$Q$58+'TUSD BE'!$R$58+'TUSD BE'!$S$58+'TUSD BE'!$U$58+'TUSD BE'!$V$58+'TUSD BE'!$W$58+'TUSD BE'!$X$58+'TUSD BE'!$Y$58+'TUSD BE'!$Z$58+'TUSD BE'!$AA$58+'TUSD BE'!$AC$58+'TUSD BE'!$AH$58+'TUSD BE'!$AI$58)*'TUSD BE'!$I$58+(+'TUSD BE'!$L$59+'TUSD BE'!$M$59+'TUSD BE'!$N$59+'TUSD BE'!$O$59+'TUSD BE'!$P$59+'TUSD BE'!$Q$59+'TUSD BE'!$R$59+'TUSD BE'!$S$59+'TUSD BE'!$U$59+'TUSD BE'!$V$59+'TUSD BE'!$W$59+'TUSD BE'!$X$59+'TUSD BE'!$Y$59+'TUSD BE'!$Z$59+'TUSD BE'!$AA$59+'TUSD BE'!$AC$59+'TUSD BE'!$AH$59+'TUSD BE'!$AI$59)*'TUSD BE'!$I$59+(+'TUSD BE'!$L$60+'TUSD BE'!$M$60+'TUSD BE'!$N$60+'TUSD BE'!$O$60+'TUSD BE'!$P$60+'TUSD BE'!$Q$60+'TUSD BE'!$R$60+'TUSD BE'!$S$60+'TUSD BE'!$U$60+'TUSD BE'!$V$60+'TUSD BE'!$W$60+'TUSD BE'!$X$60+'TUSD BE'!$Y$60+'TUSD BE'!$Z$60+'TUSD BE'!$AA$60+'TUSD BE'!$AC$60+'TUSD BE'!$AH$60+'TUSD BE'!$AI$60)*'TUSD BE'!$I$60+(+'TUSD BE'!$L$61+'TUSD BE'!$M$61+'TUSD BE'!$N$61+'TUSD BE'!$O$61+'TUSD BE'!$P$61+'TUSD BE'!$Q$61+'TUSD BE'!$R$61+'TUSD BE'!$S$61+'TUSD BE'!$U$61+'TUSD BE'!$V$61+'TUSD BE'!$W$61+'TUSD BE'!$X$61+'TUSD BE'!$Y$61+'TUSD BE'!$Z$61+'TUSD BE'!$AA$61+'TUSD BE'!$AC$61+'TUSD BE'!$AH$61+'TUSD BE'!$AI$61)*'TUSD BE'!$I$61+(+'TUSD BE'!$L$62+'TUSD BE'!$M$62+'TUSD BE'!$N$62+'TUSD BE'!$O$62+'TUSD BE'!$P$62+'TUSD BE'!$Q$62+'TUSD BE'!$R$62+'TUSD BE'!$S$62+'TUSD BE'!$U$62+'TUSD BE'!$V$62+'TUSD BE'!$W$62+'TUSD BE'!$X$62+'TUSD BE'!$Y$62+'TUSD BE'!$Z$62+'TUSD BE'!$AA$62+'TUSD BE'!$AC$62+'TUSD BE'!$AH$62+'TUSD BE'!$AI$62)*'TUSD BE'!$I$62+(+'TUSD BE'!$L$63+'TUSD BE'!$M$63+'TUSD BE'!$N$63+'TUSD BE'!$O$63+'TUSD BE'!$P$63+'TUSD BE'!$Q$63+'TUSD BE'!$R$63+'TUSD BE'!$S$63+'TUSD BE'!$U$63+'TUSD BE'!$V$63+'TUSD BE'!$W$63+'TUSD BE'!$X$63+'TUSD BE'!$Y$63+'TUSD BE'!$Z$63+'TUSD BE'!$AA$63+'TUSD BE'!$AC$63+'TUSD BE'!$AH$63+'TUSD BE'!$AI$63)*'TUSD BE'!$I$63+(+'TUSD BE'!$L$64+'TUSD BE'!$M$64+'TUSD BE'!$N$64+'TUSD BE'!$O$64+'TUSD BE'!$P$64+'TUSD BE'!$Q$64+'TUSD BE'!$R$64+'TUSD BE'!$S$64+'TUSD BE'!$U$64+'TUSD BE'!$V$64+'TUSD BE'!$W$64+'TUSD BE'!$X$64+'TUSD BE'!$Y$64+'TUSD BE'!$Z$64+'TUSD BE'!$AA$64+'TUSD BE'!$AC$64+'TUSD BE'!$AH$64+'TUSD BE'!$AI$64)*'TUSD BE'!$I$64</f>
        <v>595413626.66842699</v>
      </c>
      <c r="M104" s="21">
        <f>+'TUSD BE'!$I$52+'TUSD BE'!$I$53+'TUSD BE'!$I$54+'TUSD BE'!$I$55+'TUSD BE'!$I$56+'TUSD BE'!$I$57+'TUSD BE'!$I$58+'TUSD BE'!$I$59+'TUSD BE'!$I$60+'TUSD BE'!$I$61+'TUSD BE'!$I$62+'TUSD BE'!$I$63+'TUSD BE'!$I$64</f>
        <v>2345813.0750000002</v>
      </c>
      <c r="N104" s="21"/>
      <c r="O104" s="21"/>
      <c r="P104" s="21"/>
    </row>
    <row r="105" spans="11:16" ht="11.25" customHeight="1" x14ac:dyDescent="0.25">
      <c r="K105" s="21" t="s">
        <v>46</v>
      </c>
      <c r="L105" s="21">
        <f ca="1">+(+'TUSD BE'!$L$65+'TUSD BE'!$M$65+'TUSD BE'!$N$65+'TUSD BE'!$O$65+'TUSD BE'!$P$65+'TUSD BE'!$Q$65+'TUSD BE'!$R$65+'TUSD BE'!$S$65+'TUSD BE'!$U$65+'TUSD BE'!$V$65+'TUSD BE'!$W$65+'TUSD BE'!$X$65+'TUSD BE'!$Y$65+'TUSD BE'!$Z$65+'TUSD BE'!$AA$65+'TUSD BE'!$AC$65+'TUSD BE'!$AH$65+'TUSD BE'!$AI$65)*'TUSD BE'!$I$65+(+'TUSD BE'!$L$66+'TUSD BE'!$M$66+'TUSD BE'!$N$66+'TUSD BE'!$O$66+'TUSD BE'!$P$66+'TUSD BE'!$Q$66+'TUSD BE'!$R$66+'TUSD BE'!$S$66+'TUSD BE'!$U$66+'TUSD BE'!$V$66+'TUSD BE'!$W$66+'TUSD BE'!$X$66+'TUSD BE'!$Y$66+'TUSD BE'!$Z$66+'TUSD BE'!$AA$66+'TUSD BE'!$AC$66+'TUSD BE'!$AH$66+'TUSD BE'!$AI$66)*'TUSD BE'!$I$66+(+'TUSD BE'!$L$67+'TUSD BE'!$M$67+'TUSD BE'!$N$67+'TUSD BE'!$O$67+'TUSD BE'!$P$67+'TUSD BE'!$Q$67+'TUSD BE'!$R$67+'TUSD BE'!$S$67+'TUSD BE'!$U$67+'TUSD BE'!$V$67+'TUSD BE'!$W$67+'TUSD BE'!$X$67+'TUSD BE'!$Y$67+'TUSD BE'!$Z$67+'TUSD BE'!$AA$67+'TUSD BE'!$AC$67+'TUSD BE'!$AH$67+'TUSD BE'!$AI$67)*'TUSD BE'!$I$67+(+'TUSD BE'!$L$68+'TUSD BE'!$M$68+'TUSD BE'!$N$68+'TUSD BE'!$O$68+'TUSD BE'!$P$68+'TUSD BE'!$Q$68+'TUSD BE'!$R$68+'TUSD BE'!$S$68+'TUSD BE'!$U$68+'TUSD BE'!$V$68+'TUSD BE'!$W$68+'TUSD BE'!$X$68+'TUSD BE'!$Y$68+'TUSD BE'!$Z$68+'TUSD BE'!$AA$68+'TUSD BE'!$AC$68+'TUSD BE'!$AH$68+'TUSD BE'!$AI$68)*'TUSD BE'!$I$68+(+'TUSD BE'!$L$69+'TUSD BE'!$M$69+'TUSD BE'!$N$69+'TUSD BE'!$O$69+'TUSD BE'!$P$69+'TUSD BE'!$Q$69+'TUSD BE'!$R$69+'TUSD BE'!$S$69+'TUSD BE'!$U$69+'TUSD BE'!$V$69+'TUSD BE'!$W$69+'TUSD BE'!$X$69+'TUSD BE'!$Y$69+'TUSD BE'!$Z$69+'TUSD BE'!$AA$69+'TUSD BE'!$AC$69+'TUSD BE'!$AH$69+'TUSD BE'!$AI$69)*'TUSD BE'!$I$69+(+'TUSD BE'!$L$70+'TUSD BE'!$M$70+'TUSD BE'!$N$70+'TUSD BE'!$O$70+'TUSD BE'!$P$70+'TUSD BE'!$Q$70+'TUSD BE'!$R$70+'TUSD BE'!$S$70+'TUSD BE'!$U$70+'TUSD BE'!$V$70+'TUSD BE'!$W$70+'TUSD BE'!$X$70+'TUSD BE'!$Y$70+'TUSD BE'!$Z$70+'TUSD BE'!$AA$70+'TUSD BE'!$AC$70+'TUSD BE'!$AH$70+'TUSD BE'!$AI$70)*'TUSD BE'!$I$70+(+'TUSD BE'!$L$71+'TUSD BE'!$M$71+'TUSD BE'!$N$71+'TUSD BE'!$O$71+'TUSD BE'!$P$71+'TUSD BE'!$Q$71+'TUSD BE'!$R$71+'TUSD BE'!$S$71+'TUSD BE'!$U$71+'TUSD BE'!$V$71+'TUSD BE'!$W$71+'TUSD BE'!$X$71+'TUSD BE'!$Y$71+'TUSD BE'!$Z$71+'TUSD BE'!$AA$71+'TUSD BE'!$AC$71+'TUSD BE'!$AH$71+'TUSD BE'!$AI$71)*'TUSD BE'!$I$71+(+'TUSD BE'!$L$72+'TUSD BE'!$M$72+'TUSD BE'!$N$72+'TUSD BE'!$O$72+'TUSD BE'!$P$72+'TUSD BE'!$Q$72+'TUSD BE'!$R$72+'TUSD BE'!$S$72+'TUSD BE'!$U$72+'TUSD BE'!$V$72+'TUSD BE'!$W$72+'TUSD BE'!$X$72+'TUSD BE'!$Y$72+'TUSD BE'!$Z$72+'TUSD BE'!$AA$72+'TUSD BE'!$AC$72+'TUSD BE'!$AH$72+'TUSD BE'!$AI$72)*'TUSD BE'!$I$72+(+'TUSD BE'!$L$73+'TUSD BE'!$M$73+'TUSD BE'!$N$73+'TUSD BE'!$O$73+'TUSD BE'!$P$73+'TUSD BE'!$Q$73+'TUSD BE'!$R$73+'TUSD BE'!$S$73+'TUSD BE'!$U$73+'TUSD BE'!$V$73+'TUSD BE'!$W$73+'TUSD BE'!$X$73+'TUSD BE'!$Y$73+'TUSD BE'!$Z$73+'TUSD BE'!$AA$73+'TUSD BE'!$AC$73+'TUSD BE'!$AH$73+'TUSD BE'!$AI$73)*'TUSD BE'!$I$73+(+'TUSD BE'!$L$74+'TUSD BE'!$M$74+'TUSD BE'!$N$74+'TUSD BE'!$O$74+'TUSD BE'!$P$74+'TUSD BE'!$Q$74+'TUSD BE'!$R$74+'TUSD BE'!$S$74+'TUSD BE'!$U$74+'TUSD BE'!$V$74+'TUSD BE'!$W$74+'TUSD BE'!$X$74+'TUSD BE'!$Y$74+'TUSD BE'!$Z$74+'TUSD BE'!$AA$74+'TUSD BE'!$AC$74+'TUSD BE'!$AH$74+'TUSD BE'!$AI$74)*'TUSD BE'!$I$74+(+'TUSD BE'!$L$75+'TUSD BE'!$M$75+'TUSD BE'!$N$75+'TUSD BE'!$O$75+'TUSD BE'!$P$75+'TUSD BE'!$Q$75+'TUSD BE'!$R$75+'TUSD BE'!$S$75+'TUSD BE'!$U$75+'TUSD BE'!$V$75+'TUSD BE'!$W$75+'TUSD BE'!$X$75+'TUSD BE'!$Y$75+'TUSD BE'!$Z$75+'TUSD BE'!$AA$75+'TUSD BE'!$AC$75+'TUSD BE'!$AH$75+'TUSD BE'!$AI$75)*'TUSD BE'!$I$75+(+'TUSD BE'!$L$76+'TUSD BE'!$M$76+'TUSD BE'!$N$76+'TUSD BE'!$O$76+'TUSD BE'!$P$76+'TUSD BE'!$Q$76+'TUSD BE'!$R$76+'TUSD BE'!$S$76+'TUSD BE'!$U$76+'TUSD BE'!$V$76+'TUSD BE'!$W$76+'TUSD BE'!$X$76+'TUSD BE'!$Y$76+'TUSD BE'!$Z$76+'TUSD BE'!$AA$76+'TUSD BE'!$AC$76+'TUSD BE'!$AH$76+'TUSD BE'!$AI$76)*'TUSD BE'!$I$76+(+'TUSD BE'!$L$77+'TUSD BE'!$M$77+'TUSD BE'!$N$77+'TUSD BE'!$O$77+'TUSD BE'!$P$77+'TUSD BE'!$Q$77+'TUSD BE'!$R$77+'TUSD BE'!$S$77+'TUSD BE'!$U$77+'TUSD BE'!$V$77+'TUSD BE'!$W$77+'TUSD BE'!$X$77+'TUSD BE'!$Y$77+'TUSD BE'!$Z$77+'TUSD BE'!$AA$77+'TUSD BE'!$AC$77+'TUSD BE'!$AH$77+'TUSD BE'!$AI$77)*'TUSD BE'!$I$77+(+'TUSD BE'!$L$78+'TUSD BE'!$M$78+'TUSD BE'!$N$78+'TUSD BE'!$O$78+'TUSD BE'!$P$78+'TUSD BE'!$Q$78+'TUSD BE'!$R$78+'TUSD BE'!$S$78+'TUSD BE'!$U$78+'TUSD BE'!$V$78+'TUSD BE'!$W$78+'TUSD BE'!$X$78+'TUSD BE'!$Y$78+'TUSD BE'!$Z$78+'TUSD BE'!$AA$78+'TUSD BE'!$AC$78+'TUSD BE'!$AH$78+'TUSD BE'!$AI$78)*'TUSD BE'!$I$78+(+'TUSD BE'!$L$79+'TUSD BE'!$M$79+'TUSD BE'!$N$79+'TUSD BE'!$O$79+'TUSD BE'!$P$79+'TUSD BE'!$Q$79+'TUSD BE'!$R$79+'TUSD BE'!$S$79+'TUSD BE'!$U$79+'TUSD BE'!$V$79+'TUSD BE'!$W$79+'TUSD BE'!$X$79+'TUSD BE'!$Y$79+'TUSD BE'!$Z$79+'TUSD BE'!$AA$79+'TUSD BE'!$AC$79+'TUSD BE'!$AH$79+'TUSD BE'!$AI$79)*'TUSD BE'!$I$79</f>
        <v>20775270.964942355</v>
      </c>
      <c r="M105" s="21">
        <f>+'TUSD BE'!$I$65+'TUSD BE'!$I$66+'TUSD BE'!$I$67+'TUSD BE'!$I$68+'TUSD BE'!$I$69+'TUSD BE'!$I$70+'TUSD BE'!$I$71+'TUSD BE'!$I$72+'TUSD BE'!$I$73+'TUSD BE'!$I$74+'TUSD BE'!$I$75+'TUSD BE'!$I$76+'TUSD BE'!$I$77+'TUSD BE'!$I$78+'TUSD BE'!$I$79</f>
        <v>81644.649000000005</v>
      </c>
      <c r="N105" s="21"/>
      <c r="O105" s="21"/>
      <c r="P105" s="21"/>
    </row>
    <row r="106" spans="11:16" ht="11.25" customHeight="1" x14ac:dyDescent="0.25">
      <c r="K106" s="21" t="s">
        <v>39</v>
      </c>
      <c r="L106" s="21">
        <f ca="1">+(+'TUSD BE'!$L$80+'TUSD BE'!$M$80+'TUSD BE'!$N$80+'TUSD BE'!$O$80+'TUSD BE'!$P$80+'TUSD BE'!$Q$80+'TUSD BE'!$R$80+'TUSD BE'!$S$80+'TUSD BE'!$U$80+'TUSD BE'!$V$80+'TUSD BE'!$W$80+'TUSD BE'!$X$80+'TUSD BE'!$Y$80+'TUSD BE'!$Z$80+'TUSD BE'!$AA$80+'TUSD BE'!$AC$80+'TUSD BE'!$AH$80+'TUSD BE'!$AI$80)*'TUSD BE'!$I$80+(+'TUSD BE'!$L$81+'TUSD BE'!$M$81+'TUSD BE'!$N$81+'TUSD BE'!$O$81+'TUSD BE'!$P$81+'TUSD BE'!$Q$81+'TUSD BE'!$R$81+'TUSD BE'!$S$81+'TUSD BE'!$U$81+'TUSD BE'!$V$81+'TUSD BE'!$W$81+'TUSD BE'!$X$81+'TUSD BE'!$Y$81+'TUSD BE'!$Z$81+'TUSD BE'!$AA$81+'TUSD BE'!$AC$81+'TUSD BE'!$AH$81+'TUSD BE'!$AI$81)*'TUSD BE'!$I$81+(+'TUSD BE'!$L$82+'TUSD BE'!$M$82+'TUSD BE'!$N$82+'TUSD BE'!$O$82+'TUSD BE'!$P$82+'TUSD BE'!$Q$82+'TUSD BE'!$R$82+'TUSD BE'!$S$82+'TUSD BE'!$U$82+'TUSD BE'!$V$82+'TUSD BE'!$W$82+'TUSD BE'!$X$82+'TUSD BE'!$Y$82+'TUSD BE'!$Z$82+'TUSD BE'!$AA$82+'TUSD BE'!$AC$82+'TUSD BE'!$AH$82+'TUSD BE'!$AI$82)*'TUSD BE'!$I$82+(+'TUSD BE'!$L$83+'TUSD BE'!$M$83+'TUSD BE'!$N$83+'TUSD BE'!$O$83+'TUSD BE'!$P$83+'TUSD BE'!$Q$83+'TUSD BE'!$R$83+'TUSD BE'!$S$83+'TUSD BE'!$U$83+'TUSD BE'!$V$83+'TUSD BE'!$W$83+'TUSD BE'!$X$83+'TUSD BE'!$Y$83+'TUSD BE'!$Z$83+'TUSD BE'!$AA$83+'TUSD BE'!$AC$83+'TUSD BE'!$AH$83+'TUSD BE'!$AI$83)*'TUSD BE'!$I$83+(+'TUSD BE'!$L$84+'TUSD BE'!$M$84+'TUSD BE'!$N$84+'TUSD BE'!$O$84+'TUSD BE'!$P$84+'TUSD BE'!$Q$84+'TUSD BE'!$R$84+'TUSD BE'!$S$84+'TUSD BE'!$U$84+'TUSD BE'!$V$84+'TUSD BE'!$W$84+'TUSD BE'!$X$84+'TUSD BE'!$Y$84+'TUSD BE'!$Z$84+'TUSD BE'!$AA$84+'TUSD BE'!$AC$84+'TUSD BE'!$AH$84+'TUSD BE'!$AI$84)*'TUSD BE'!$I$84</f>
        <v>263784081.64105406</v>
      </c>
      <c r="M106" s="21">
        <f>+'TUSD BE'!$I$80+'TUSD BE'!$I$81+'TUSD BE'!$I$82+'TUSD BE'!$I$83+'TUSD BE'!$I$84</f>
        <v>1037373.9179999998</v>
      </c>
      <c r="N106" s="21"/>
      <c r="O106" s="21"/>
      <c r="P106" s="21"/>
    </row>
    <row r="107" spans="11:16" ht="11.25" customHeight="1" x14ac:dyDescent="0.25">
      <c r="K107" s="21" t="s">
        <v>49</v>
      </c>
      <c r="L107" s="21">
        <f ca="1">+(+'TUSD BE'!$L$85+'TUSD BE'!$M$85+'TUSD BE'!$N$85+'TUSD BE'!$O$85+'TUSD BE'!$P$85+'TUSD BE'!$Q$85+'TUSD BE'!$R$85+'TUSD BE'!$S$85+'TUSD BE'!$U$85+'TUSD BE'!$V$85+'TUSD BE'!$W$85+'TUSD BE'!$X$85+'TUSD BE'!$Y$85+'TUSD BE'!$Z$85+'TUSD BE'!$AA$85+'TUSD BE'!$AC$85+'TUSD BE'!$AH$85+'TUSD BE'!$AI$85)*'TUSD BE'!$I$85+(+'TUSD BE'!$L$86+'TUSD BE'!$M$86+'TUSD BE'!$N$86+'TUSD BE'!$O$86+'TUSD BE'!$P$86+'TUSD BE'!$Q$86+'TUSD BE'!$R$86+'TUSD BE'!$S$86+'TUSD BE'!$U$86+'TUSD BE'!$V$86+'TUSD BE'!$W$86+'TUSD BE'!$X$86+'TUSD BE'!$Y$86+'TUSD BE'!$Z$86+'TUSD BE'!$AA$86+'TUSD BE'!$AC$86+'TUSD BE'!$AH$86+'TUSD BE'!$AI$86)*'TUSD BE'!$I$86</f>
        <v>58516458.379583247</v>
      </c>
      <c r="M107" s="21">
        <f>+'TUSD BE'!$I$85+'TUSD BE'!$I$86</f>
        <v>418118.94</v>
      </c>
      <c r="N107" s="21"/>
      <c r="O107" s="21"/>
      <c r="P107" s="21"/>
    </row>
    <row r="108" spans="11:16" ht="11.25" customHeight="1" x14ac:dyDescent="0.25">
      <c r="K108" s="21"/>
      <c r="L108" s="21">
        <f ca="1">SUM($L$98:$L$107,-$L$102)</f>
        <v>1576331246.9884238</v>
      </c>
      <c r="M108" s="21">
        <f>SUM($M$98:$M$107,-$M$102)</f>
        <v>7487145.7259999979</v>
      </c>
      <c r="N108" s="21"/>
      <c r="O108" s="21"/>
      <c r="P108" s="21"/>
    </row>
  </sheetData>
  <mergeCells count="129">
    <mergeCell ref="AH3:AL3"/>
    <mergeCell ref="AM3:AM4"/>
    <mergeCell ref="AP1:AP4"/>
    <mergeCell ref="G1:G4"/>
    <mergeCell ref="H1:H4"/>
    <mergeCell ref="I1:I4"/>
    <mergeCell ref="J1:J4"/>
    <mergeCell ref="L1:AM1"/>
    <mergeCell ref="L2:AM2"/>
    <mergeCell ref="L3:T3"/>
    <mergeCell ref="U3:AB3"/>
    <mergeCell ref="AC3:AD3"/>
    <mergeCell ref="AE3:AG3"/>
    <mergeCell ref="A1:A4"/>
    <mergeCell ref="B1:B4"/>
    <mergeCell ref="C1:C4"/>
    <mergeCell ref="D1:D4"/>
    <mergeCell ref="E1:E4"/>
    <mergeCell ref="F1:F4"/>
    <mergeCell ref="E80:E82"/>
    <mergeCell ref="F80:F82"/>
    <mergeCell ref="A85:A86"/>
    <mergeCell ref="B85:B86"/>
    <mergeCell ref="C85:C86"/>
    <mergeCell ref="B77:B79"/>
    <mergeCell ref="C77:C79"/>
    <mergeCell ref="A80:A84"/>
    <mergeCell ref="B80:B82"/>
    <mergeCell ref="C80:C82"/>
    <mergeCell ref="D80:D82"/>
    <mergeCell ref="F69:F71"/>
    <mergeCell ref="B73:B75"/>
    <mergeCell ref="C73:C75"/>
    <mergeCell ref="D73:D75"/>
    <mergeCell ref="E73:E75"/>
    <mergeCell ref="F73:F75"/>
    <mergeCell ref="A65:A79"/>
    <mergeCell ref="B65:B67"/>
    <mergeCell ref="C65:C67"/>
    <mergeCell ref="D65:D67"/>
    <mergeCell ref="E65:E67"/>
    <mergeCell ref="F65:F67"/>
    <mergeCell ref="B69:B71"/>
    <mergeCell ref="C69:C71"/>
    <mergeCell ref="D69:D71"/>
    <mergeCell ref="E69:E71"/>
    <mergeCell ref="A52:A64"/>
    <mergeCell ref="B52:B54"/>
    <mergeCell ref="C52:C54"/>
    <mergeCell ref="D52:D54"/>
    <mergeCell ref="E52:E54"/>
    <mergeCell ref="F52:F54"/>
    <mergeCell ref="B55:B59"/>
    <mergeCell ref="C55:C59"/>
    <mergeCell ref="B60:B64"/>
    <mergeCell ref="C60:C64"/>
    <mergeCell ref="B48:B49"/>
    <mergeCell ref="C48:C49"/>
    <mergeCell ref="D48:D49"/>
    <mergeCell ref="E48:E49"/>
    <mergeCell ref="F48:F49"/>
    <mergeCell ref="A50:A51"/>
    <mergeCell ref="B50:B51"/>
    <mergeCell ref="C50:C51"/>
    <mergeCell ref="D50:D51"/>
    <mergeCell ref="A39:A49"/>
    <mergeCell ref="F39:F41"/>
    <mergeCell ref="B43:B47"/>
    <mergeCell ref="C43:C47"/>
    <mergeCell ref="D43:D47"/>
    <mergeCell ref="E43:E45"/>
    <mergeCell ref="F43:F45"/>
    <mergeCell ref="E46:E47"/>
    <mergeCell ref="F46:F47"/>
    <mergeCell ref="B37:B38"/>
    <mergeCell ref="C37:C38"/>
    <mergeCell ref="D37:D38"/>
    <mergeCell ref="E37:E38"/>
    <mergeCell ref="F37:F38"/>
    <mergeCell ref="B39:B42"/>
    <mergeCell ref="C39:C42"/>
    <mergeCell ref="D39:D42"/>
    <mergeCell ref="E39:E41"/>
    <mergeCell ref="A27:A38"/>
    <mergeCell ref="B27:B30"/>
    <mergeCell ref="C27:C30"/>
    <mergeCell ref="D27:D30"/>
    <mergeCell ref="E27:E29"/>
    <mergeCell ref="F15:F17"/>
    <mergeCell ref="B20:B24"/>
    <mergeCell ref="C20:C24"/>
    <mergeCell ref="D20:D24"/>
    <mergeCell ref="E20:E22"/>
    <mergeCell ref="F20:F22"/>
    <mergeCell ref="E23:E24"/>
    <mergeCell ref="F23:F24"/>
    <mergeCell ref="F27:F29"/>
    <mergeCell ref="B32:B36"/>
    <mergeCell ref="C32:C36"/>
    <mergeCell ref="D32:D36"/>
    <mergeCell ref="E32:E34"/>
    <mergeCell ref="F32:F34"/>
    <mergeCell ref="E35:E36"/>
    <mergeCell ref="F35:F36"/>
    <mergeCell ref="B25:B26"/>
    <mergeCell ref="C25:C26"/>
    <mergeCell ref="D25:D26"/>
    <mergeCell ref="F9:F11"/>
    <mergeCell ref="B12:B14"/>
    <mergeCell ref="C12:C14"/>
    <mergeCell ref="D12:D14"/>
    <mergeCell ref="E12:E14"/>
    <mergeCell ref="A15:A26"/>
    <mergeCell ref="B15:B18"/>
    <mergeCell ref="C15:C18"/>
    <mergeCell ref="D15:D18"/>
    <mergeCell ref="E15:E17"/>
    <mergeCell ref="A5:A14"/>
    <mergeCell ref="B5:B8"/>
    <mergeCell ref="C5:C8"/>
    <mergeCell ref="D5:D8"/>
    <mergeCell ref="E5:E7"/>
    <mergeCell ref="F5:F7"/>
    <mergeCell ref="B9:B11"/>
    <mergeCell ref="C9:C11"/>
    <mergeCell ref="D9:D11"/>
    <mergeCell ref="E9:E11"/>
    <mergeCell ref="E25:E26"/>
    <mergeCell ref="F25:F26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56054-E3F5-4D00-9449-53A221617200}">
  <dimension ref="A1:AP93"/>
  <sheetViews>
    <sheetView showGridLines="0" topLeftCell="X70" workbookViewId="0">
      <selection activeCell="AM88" sqref="AM88"/>
    </sheetView>
  </sheetViews>
  <sheetFormatPr defaultColWidth="8.85546875" defaultRowHeight="11.25" customHeight="1" x14ac:dyDescent="0.25"/>
  <cols>
    <col min="1" max="1" width="9" style="9" bestFit="1" customWidth="1"/>
    <col min="2" max="2" width="19.42578125" style="9" bestFit="1" customWidth="1"/>
    <col min="3" max="3" width="12.7109375" style="9" bestFit="1" customWidth="1"/>
    <col min="4" max="4" width="23.140625" style="9" bestFit="1" customWidth="1"/>
    <col min="5" max="5" width="9.5703125" style="9" bestFit="1" customWidth="1"/>
    <col min="6" max="6" width="13.42578125" style="9" bestFit="1" customWidth="1"/>
    <col min="7" max="7" width="5.85546875" style="9" bestFit="1" customWidth="1"/>
    <col min="8" max="8" width="7.140625" style="9" bestFit="1" customWidth="1"/>
    <col min="9" max="9" width="9.140625" style="9" bestFit="1" customWidth="1"/>
    <col min="10" max="10" width="8.85546875" style="9"/>
    <col min="11" max="11" width="14.140625" style="9" bestFit="1" customWidth="1"/>
    <col min="12" max="12" width="3.85546875" style="9" bestFit="1" customWidth="1"/>
    <col min="13" max="13" width="9.140625" style="9" bestFit="1" customWidth="1"/>
    <col min="14" max="14" width="9.85546875" style="9" bestFit="1" customWidth="1"/>
    <col min="15" max="15" width="3.85546875" style="9" bestFit="1" customWidth="1"/>
    <col min="16" max="16" width="3.7109375" style="9" bestFit="1" customWidth="1"/>
    <col min="17" max="17" width="10.7109375" style="9" bestFit="1" customWidth="1"/>
    <col min="18" max="18" width="9.85546875" style="9" bestFit="1" customWidth="1"/>
    <col min="19" max="19" width="8" style="9" bestFit="1" customWidth="1"/>
    <col min="20" max="21" width="10.7109375" style="9" bestFit="1" customWidth="1"/>
    <col min="22" max="22" width="9.85546875" style="9" bestFit="1" customWidth="1"/>
    <col min="23" max="24" width="9.28515625" style="9" bestFit="1" customWidth="1"/>
    <col min="25" max="25" width="4.7109375" style="9" bestFit="1" customWidth="1"/>
    <col min="26" max="26" width="7.140625" style="9" bestFit="1" customWidth="1"/>
    <col min="27" max="27" width="9.28515625" style="9" bestFit="1" customWidth="1"/>
    <col min="28" max="28" width="10.7109375" style="9" bestFit="1" customWidth="1"/>
    <col min="29" max="29" width="11.140625" style="9" bestFit="1" customWidth="1"/>
    <col min="30" max="30" width="10.7109375" style="9" bestFit="1" customWidth="1"/>
    <col min="31" max="31" width="7.7109375" style="9" bestFit="1" customWidth="1"/>
    <col min="32" max="32" width="6.85546875" style="9" bestFit="1" customWidth="1"/>
    <col min="33" max="33" width="8.5703125" style="9" bestFit="1" customWidth="1"/>
    <col min="34" max="34" width="14.42578125" style="9" bestFit="1" customWidth="1"/>
    <col min="35" max="35" width="17.5703125" style="9" bestFit="1" customWidth="1"/>
    <col min="36" max="36" width="18.140625" style="9" bestFit="1" customWidth="1"/>
    <col min="37" max="37" width="9.85546875" style="9" bestFit="1" customWidth="1"/>
    <col min="38" max="38" width="10.7109375" style="9" bestFit="1" customWidth="1"/>
    <col min="39" max="39" width="11.85546875" style="9" bestFit="1" customWidth="1"/>
    <col min="40" max="41" width="8.85546875" style="9"/>
    <col min="42" max="42" width="7.28515625" style="9" bestFit="1" customWidth="1"/>
    <col min="43" max="16384" width="8.85546875" style="9"/>
  </cols>
  <sheetData>
    <row r="1" spans="1:42" ht="11.25" customHeight="1" x14ac:dyDescent="0.25">
      <c r="A1" s="120" t="s">
        <v>78</v>
      </c>
      <c r="B1" s="120" t="s">
        <v>79</v>
      </c>
      <c r="C1" s="120" t="s">
        <v>80</v>
      </c>
      <c r="D1" s="120" t="s">
        <v>81</v>
      </c>
      <c r="E1" s="120" t="s">
        <v>82</v>
      </c>
      <c r="F1" s="120" t="s">
        <v>15</v>
      </c>
      <c r="G1" s="120" t="s">
        <v>84</v>
      </c>
      <c r="H1" s="120" t="s">
        <v>85</v>
      </c>
      <c r="I1" s="120" t="s">
        <v>1055</v>
      </c>
      <c r="J1" s="112"/>
      <c r="L1" s="121" t="s">
        <v>1063</v>
      </c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  <c r="X1" s="121"/>
      <c r="Y1" s="121"/>
      <c r="Z1" s="121"/>
      <c r="AA1" s="121"/>
      <c r="AB1" s="121"/>
      <c r="AC1" s="121"/>
      <c r="AD1" s="121"/>
      <c r="AE1" s="121"/>
      <c r="AF1" s="121"/>
      <c r="AG1" s="121"/>
      <c r="AH1" s="121"/>
      <c r="AI1" s="121"/>
      <c r="AJ1" s="121"/>
      <c r="AK1" s="121"/>
      <c r="AL1" s="121"/>
      <c r="AM1" s="121"/>
      <c r="AP1" s="121" t="s">
        <v>1057</v>
      </c>
    </row>
    <row r="2" spans="1:42" ht="11.25" customHeight="1" x14ac:dyDescent="0.25">
      <c r="A2" s="120"/>
      <c r="B2" s="120"/>
      <c r="C2" s="120"/>
      <c r="D2" s="120"/>
      <c r="E2" s="120"/>
      <c r="F2" s="120"/>
      <c r="G2" s="120"/>
      <c r="H2" s="120"/>
      <c r="I2" s="120"/>
      <c r="J2" s="112"/>
      <c r="L2" s="121" t="s">
        <v>955</v>
      </c>
      <c r="M2" s="121"/>
      <c r="N2" s="121"/>
      <c r="O2" s="121"/>
      <c r="P2" s="121"/>
      <c r="Q2" s="121"/>
      <c r="R2" s="121"/>
      <c r="S2" s="121"/>
      <c r="T2" s="121"/>
      <c r="U2" s="121"/>
      <c r="V2" s="121"/>
      <c r="W2" s="121"/>
      <c r="X2" s="121"/>
      <c r="Y2" s="121"/>
      <c r="Z2" s="121"/>
      <c r="AA2" s="121"/>
      <c r="AB2" s="121"/>
      <c r="AC2" s="121"/>
      <c r="AD2" s="121"/>
      <c r="AE2" s="121"/>
      <c r="AF2" s="121"/>
      <c r="AG2" s="121"/>
      <c r="AH2" s="121"/>
      <c r="AI2" s="121"/>
      <c r="AJ2" s="121"/>
      <c r="AK2" s="121"/>
      <c r="AL2" s="121"/>
      <c r="AM2" s="121"/>
      <c r="AP2" s="122"/>
    </row>
    <row r="3" spans="1:42" ht="11.25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12"/>
      <c r="L3" s="121" t="s">
        <v>956</v>
      </c>
      <c r="M3" s="121"/>
      <c r="N3" s="121"/>
      <c r="O3" s="121"/>
      <c r="P3" s="121"/>
      <c r="Q3" s="121"/>
      <c r="R3" s="121"/>
      <c r="S3" s="121"/>
      <c r="T3" s="121"/>
      <c r="U3" s="121" t="s">
        <v>966</v>
      </c>
      <c r="V3" s="121"/>
      <c r="W3" s="121"/>
      <c r="X3" s="121"/>
      <c r="Y3" s="121"/>
      <c r="Z3" s="121"/>
      <c r="AA3" s="121"/>
      <c r="AB3" s="121"/>
      <c r="AC3" s="121" t="s">
        <v>974</v>
      </c>
      <c r="AD3" s="121"/>
      <c r="AE3" s="121" t="s">
        <v>976</v>
      </c>
      <c r="AF3" s="121"/>
      <c r="AG3" s="121"/>
      <c r="AH3" s="121" t="s">
        <v>979</v>
      </c>
      <c r="AI3" s="121"/>
      <c r="AJ3" s="121"/>
      <c r="AK3" s="121"/>
      <c r="AL3" s="121"/>
      <c r="AM3" s="121" t="s">
        <v>965</v>
      </c>
      <c r="AP3" s="122"/>
    </row>
    <row r="4" spans="1:42" ht="11.25" customHeight="1" x14ac:dyDescent="0.25">
      <c r="A4" s="120"/>
      <c r="B4" s="120"/>
      <c r="C4" s="120"/>
      <c r="D4" s="120"/>
      <c r="E4" s="120"/>
      <c r="F4" s="120"/>
      <c r="G4" s="120"/>
      <c r="H4" s="120"/>
      <c r="I4" s="120"/>
      <c r="J4" s="112"/>
      <c r="L4" s="23" t="s">
        <v>957</v>
      </c>
      <c r="M4" s="23" t="s">
        <v>958</v>
      </c>
      <c r="N4" s="23" t="s">
        <v>959</v>
      </c>
      <c r="O4" s="23" t="s">
        <v>960</v>
      </c>
      <c r="P4" s="23" t="s">
        <v>961</v>
      </c>
      <c r="Q4" s="23" t="s">
        <v>962</v>
      </c>
      <c r="R4" s="23" t="s">
        <v>963</v>
      </c>
      <c r="S4" s="23" t="s">
        <v>964</v>
      </c>
      <c r="T4" s="23" t="s">
        <v>965</v>
      </c>
      <c r="U4" s="23" t="s">
        <v>967</v>
      </c>
      <c r="V4" s="23" t="s">
        <v>968</v>
      </c>
      <c r="W4" s="23" t="s">
        <v>969</v>
      </c>
      <c r="X4" s="23" t="s">
        <v>970</v>
      </c>
      <c r="Y4" s="23" t="s">
        <v>971</v>
      </c>
      <c r="Z4" s="23" t="s">
        <v>972</v>
      </c>
      <c r="AA4" s="23" t="s">
        <v>973</v>
      </c>
      <c r="AB4" s="23" t="s">
        <v>965</v>
      </c>
      <c r="AC4" s="23" t="s">
        <v>975</v>
      </c>
      <c r="AD4" s="23" t="s">
        <v>965</v>
      </c>
      <c r="AE4" s="23" t="s">
        <v>977</v>
      </c>
      <c r="AF4" s="23" t="s">
        <v>978</v>
      </c>
      <c r="AG4" s="23" t="s">
        <v>965</v>
      </c>
      <c r="AH4" s="23" t="s">
        <v>980</v>
      </c>
      <c r="AI4" s="23" t="s">
        <v>981</v>
      </c>
      <c r="AJ4" s="23" t="s">
        <v>982</v>
      </c>
      <c r="AK4" s="23" t="s">
        <v>983</v>
      </c>
      <c r="AL4" s="23" t="s">
        <v>965</v>
      </c>
      <c r="AM4" s="123"/>
      <c r="AP4" s="122"/>
    </row>
    <row r="5" spans="1:42" ht="11.25" customHeight="1" x14ac:dyDescent="0.25">
      <c r="A5" s="119" t="s">
        <v>43</v>
      </c>
      <c r="B5" s="119" t="s">
        <v>41</v>
      </c>
      <c r="C5" s="119" t="s">
        <v>25</v>
      </c>
      <c r="D5" s="119" t="s">
        <v>25</v>
      </c>
      <c r="E5" s="119" t="s">
        <v>25</v>
      </c>
      <c r="F5" s="119" t="s">
        <v>25</v>
      </c>
      <c r="G5" s="21" t="s">
        <v>92</v>
      </c>
      <c r="H5" s="21" t="s">
        <v>91</v>
      </c>
      <c r="I5" s="21">
        <f>'MERCADO TUSD'!$U$2</f>
        <v>425013</v>
      </c>
      <c r="J5" s="17"/>
      <c r="L5" s="20">
        <f>'TR TUSD'!$L$5*'TR TUSD'!$L$95</f>
        <v>0</v>
      </c>
      <c r="M5" s="20">
        <f>'TR TUSD'!$M$5*'TR TUSD'!$M$95</f>
        <v>0</v>
      </c>
      <c r="N5" s="20">
        <f ca="1">'TR TUSD'!$N$5*'TR TUSD'!$N$95</f>
        <v>0</v>
      </c>
      <c r="O5" s="20">
        <f>'TR TUSD'!$O$5*'TR TUSD'!$O$95</f>
        <v>0</v>
      </c>
      <c r="P5" s="20">
        <f>'TR TUSD'!$P$5*'TR TUSD'!$P$95</f>
        <v>0</v>
      </c>
      <c r="Q5" s="20">
        <f>'TR TUSD'!$Q$5*'TR TUSD'!$Q$95</f>
        <v>0</v>
      </c>
      <c r="R5" s="20">
        <f>'TR TUSD'!$R$5*'TR TUSD'!$R$95</f>
        <v>0</v>
      </c>
      <c r="S5" s="20">
        <f>'TR TUSD'!$S$5*'TR TUSD'!$S$95</f>
        <v>0</v>
      </c>
      <c r="T5" s="20">
        <f ca="1">SUM($L$5:$S$5)</f>
        <v>0</v>
      </c>
      <c r="U5" s="20">
        <f>'TR TUSD'!$U$5*'TR TUSD'!$U$95</f>
        <v>7.8634946995444857</v>
      </c>
      <c r="V5" s="20">
        <f>'TR TUSD'!$V$5*'TR TUSD'!$V$95</f>
        <v>1.7439913863760799</v>
      </c>
      <c r="W5" s="20">
        <f>'TR TUSD'!$W$5*'TR TUSD'!$W$95</f>
        <v>0.23385928191937061</v>
      </c>
      <c r="X5" s="20">
        <f>'TR TUSD'!$X$5*'TR TUSD'!$X$95</f>
        <v>0</v>
      </c>
      <c r="Y5" s="20">
        <f>'TR TUSD'!$Y$5*'TR TUSD'!$Y$95</f>
        <v>0</v>
      </c>
      <c r="Z5" s="20">
        <f>'TR TUSD'!$Z$5</f>
        <v>0</v>
      </c>
      <c r="AA5" s="20">
        <f>'TR TUSD'!$AA$5</f>
        <v>0</v>
      </c>
      <c r="AB5" s="20">
        <f>SUM($U$5:$AA$5)</f>
        <v>9.8413453678399367</v>
      </c>
      <c r="AC5" s="20">
        <f>'TR TUSD'!$AC$5*'TR TUSD'!$AC$95</f>
        <v>2.9531587692482999</v>
      </c>
      <c r="AD5" s="20">
        <f>SUM($AC$5:$AC$5)</f>
        <v>2.9531587692482999</v>
      </c>
      <c r="AE5" s="20">
        <v>0</v>
      </c>
      <c r="AF5" s="20">
        <v>0</v>
      </c>
      <c r="AG5" s="20">
        <f>SUM($AE$5:$AF$5)</f>
        <v>0</v>
      </c>
      <c r="AH5" s="20">
        <f>'TR TUSD'!$AH$5*'TR TUSD'!$AH$95</f>
        <v>0</v>
      </c>
      <c r="AI5" s="20">
        <f>'TR TUSD'!$AI$5*'TR TUSD'!$AI$95</f>
        <v>0</v>
      </c>
      <c r="AJ5" s="20">
        <f ca="1">'TR TUSD'!$AJ$5*'TR TUSD'!$AJ$95</f>
        <v>0</v>
      </c>
      <c r="AK5" s="20">
        <f ca="1">'TR TUSD'!$AK$5*'TR TUSD'!$AK$95</f>
        <v>0</v>
      </c>
      <c r="AL5" s="20">
        <f ca="1">SUM($AH$5:$AK$5)</f>
        <v>0</v>
      </c>
      <c r="AM5" s="20">
        <f ca="1">SUMIF($L$4:$AL$4,"SUBTOTAL",$L$5:$AL$5)</f>
        <v>12.794504137088236</v>
      </c>
      <c r="AP5" s="20">
        <v>1</v>
      </c>
    </row>
    <row r="6" spans="1:42" ht="11.25" customHeight="1" x14ac:dyDescent="0.25">
      <c r="A6" s="119"/>
      <c r="B6" s="119"/>
      <c r="C6" s="119"/>
      <c r="D6" s="119"/>
      <c r="E6" s="119"/>
      <c r="F6" s="119"/>
      <c r="G6" s="21" t="s">
        <v>93</v>
      </c>
      <c r="H6" s="21" t="s">
        <v>91</v>
      </c>
      <c r="I6" s="21">
        <f>'MERCADO TUSD'!$U$3</f>
        <v>1106400</v>
      </c>
      <c r="J6" s="17"/>
      <c r="L6" s="20">
        <f>'TR TUSD'!$L$6*'TR TUSD'!$L$95</f>
        <v>0</v>
      </c>
      <c r="M6" s="20">
        <f>'TR TUSD'!$M$6*'TR TUSD'!$M$95</f>
        <v>0</v>
      </c>
      <c r="N6" s="20">
        <f ca="1">'TR TUSD'!$N$6*'TR TUSD'!$N$95</f>
        <v>0</v>
      </c>
      <c r="O6" s="20">
        <f>'TR TUSD'!$O$6*'TR TUSD'!$O$95</f>
        <v>0</v>
      </c>
      <c r="P6" s="20">
        <f>'TR TUSD'!$P$6*'TR TUSD'!$P$95</f>
        <v>0</v>
      </c>
      <c r="Q6" s="20">
        <f>'TR TUSD'!$Q$6*'TR TUSD'!$Q$95</f>
        <v>0</v>
      </c>
      <c r="R6" s="20">
        <f>'TR TUSD'!$R$6*'TR TUSD'!$R$95</f>
        <v>0</v>
      </c>
      <c r="S6" s="20">
        <f>'TR TUSD'!$S$6*'TR TUSD'!$S$95</f>
        <v>0</v>
      </c>
      <c r="T6" s="20">
        <f ca="1">SUM($L$6:$S$6)</f>
        <v>0</v>
      </c>
      <c r="U6" s="20">
        <f>'TR TUSD'!$U$6*'TR TUSD'!$U$95</f>
        <v>6.0630160267361157</v>
      </c>
      <c r="V6" s="20">
        <f>'TR TUSD'!$V$6*'TR TUSD'!$V$95</f>
        <v>1.3822812053274913</v>
      </c>
      <c r="W6" s="20">
        <f>'TR TUSD'!$W$6*'TR TUSD'!$W$95</f>
        <v>0.16644576442730716</v>
      </c>
      <c r="X6" s="20">
        <f>'TR TUSD'!$X$6*'TR TUSD'!$X$95</f>
        <v>0</v>
      </c>
      <c r="Y6" s="20">
        <f>'TR TUSD'!$Y$6*'TR TUSD'!$Y$95</f>
        <v>0</v>
      </c>
      <c r="Z6" s="20">
        <f>'TR TUSD'!$Z$6</f>
        <v>0</v>
      </c>
      <c r="AA6" s="20">
        <f>'TR TUSD'!$AA$6</f>
        <v>0</v>
      </c>
      <c r="AB6" s="20">
        <f>SUM($U$6:$AA$6)</f>
        <v>7.6117429964909142</v>
      </c>
      <c r="AC6" s="20">
        <f>'TR TUSD'!$AC$6*'TR TUSD'!$AC$95</f>
        <v>0.29531587692482997</v>
      </c>
      <c r="AD6" s="20">
        <f>SUM($AC$6:$AC$6)</f>
        <v>0.29531587692482997</v>
      </c>
      <c r="AE6" s="20">
        <v>0</v>
      </c>
      <c r="AF6" s="20">
        <v>0</v>
      </c>
      <c r="AG6" s="20">
        <f>SUM($AE$6:$AF$6)</f>
        <v>0</v>
      </c>
      <c r="AH6" s="20">
        <f>'TR TUSD'!$AH$6*'TR TUSD'!$AH$95</f>
        <v>0</v>
      </c>
      <c r="AI6" s="20">
        <f>'TR TUSD'!$AI$6*'TR TUSD'!$AI$95</f>
        <v>0</v>
      </c>
      <c r="AJ6" s="20">
        <f ca="1">'TR TUSD'!$AJ$6*'TR TUSD'!$AJ$95</f>
        <v>0</v>
      </c>
      <c r="AK6" s="20">
        <f ca="1">'TR TUSD'!$AK$6*'TR TUSD'!$AK$95</f>
        <v>0</v>
      </c>
      <c r="AL6" s="20">
        <f ca="1">SUM($AH$6:$AK$6)</f>
        <v>0</v>
      </c>
      <c r="AM6" s="20">
        <f ca="1">SUMIF($L$4:$AL$4,"SUBTOTAL",$L$6:$AL$6)</f>
        <v>7.9070588734157443</v>
      </c>
      <c r="AP6" s="20">
        <v>1</v>
      </c>
    </row>
    <row r="7" spans="1:42" ht="11.25" customHeight="1" x14ac:dyDescent="0.25">
      <c r="A7" s="119"/>
      <c r="B7" s="119"/>
      <c r="C7" s="119"/>
      <c r="D7" s="119"/>
      <c r="E7" s="119"/>
      <c r="F7" s="119"/>
      <c r="G7" s="21" t="s">
        <v>94</v>
      </c>
      <c r="H7" s="21" t="s">
        <v>88</v>
      </c>
      <c r="I7" s="21">
        <f>'MERCADO TUSD'!$U$4</f>
        <v>381591.69400000002</v>
      </c>
      <c r="J7" s="17"/>
      <c r="L7" s="20">
        <f>'TR TUSD'!$L$7*'TR TUSD'!$L$95</f>
        <v>0</v>
      </c>
      <c r="M7" s="20">
        <f>'TR TUSD'!$M$7*'TR TUSD'!$M$95</f>
        <v>3.0072424409024395E-2</v>
      </c>
      <c r="N7" s="20">
        <f ca="1">'TR TUSD'!$N$7*'TR TUSD'!$N$95</f>
        <v>0.20573904329249293</v>
      </c>
      <c r="O7" s="20">
        <f>'TR TUSD'!$O$7*'TR TUSD'!$O$95</f>
        <v>0</v>
      </c>
      <c r="P7" s="20">
        <f>'TR TUSD'!$P$7*'TR TUSD'!$P$95</f>
        <v>0</v>
      </c>
      <c r="Q7" s="20">
        <f>'TR TUSD'!$Q$7*'TR TUSD'!$Q$95</f>
        <v>44.891646765093512</v>
      </c>
      <c r="R7" s="20">
        <f>'TR TUSD'!$R$7*'TR TUSD'!$R$95</f>
        <v>7.9721317603751451</v>
      </c>
      <c r="S7" s="20">
        <f>'TR TUSD'!$S$7*'TR TUSD'!$S$95</f>
        <v>0</v>
      </c>
      <c r="T7" s="20">
        <f ca="1">SUM($L$7:$S$7)</f>
        <v>53.09958999317017</v>
      </c>
      <c r="U7" s="20">
        <f>'TR TUSD'!$U$7*'TR TUSD'!$U$95</f>
        <v>0</v>
      </c>
      <c r="V7" s="20">
        <f>'TR TUSD'!$V$7*'TR TUSD'!$V$95</f>
        <v>0</v>
      </c>
      <c r="W7" s="20">
        <f>'TR TUSD'!$W$7*'TR TUSD'!$W$95</f>
        <v>0</v>
      </c>
      <c r="X7" s="20">
        <f>'TR TUSD'!$X$7*'TR TUSD'!$X$95</f>
        <v>0</v>
      </c>
      <c r="Y7" s="20">
        <f>'TR TUSD'!$Y$7*'TR TUSD'!$Y$95</f>
        <v>0</v>
      </c>
      <c r="Z7" s="20">
        <f>'TR TUSD'!$Z$7</f>
        <v>0</v>
      </c>
      <c r="AA7" s="20">
        <f>'TR TUSD'!$AA$7</f>
        <v>0</v>
      </c>
      <c r="AB7" s="20">
        <f>SUM($U$7:$AA$7)</f>
        <v>0</v>
      </c>
      <c r="AC7" s="20">
        <f>'TR TUSD'!$AC$7*'TR TUSD'!$AC$95</f>
        <v>0</v>
      </c>
      <c r="AD7" s="20">
        <f>SUM($AC$7:$AC$7)</f>
        <v>0</v>
      </c>
      <c r="AE7" s="20">
        <v>0</v>
      </c>
      <c r="AF7" s="20">
        <v>0</v>
      </c>
      <c r="AG7" s="20">
        <f>SUM($AE$7:$AF$7)</f>
        <v>0</v>
      </c>
      <c r="AH7" s="20">
        <f>'TR TUSD'!$AH$7*'TR TUSD'!$AH$95</f>
        <v>4.5079100029332748</v>
      </c>
      <c r="AI7" s="20">
        <f>'TR TUSD'!$AI$7*'TR TUSD'!$AI$95</f>
        <v>0.16944487857631749</v>
      </c>
      <c r="AJ7" s="20">
        <f ca="1">'TR TUSD'!$AJ$7*'TR TUSD'!$AJ$95</f>
        <v>3.566349011757727</v>
      </c>
      <c r="AK7" s="20">
        <f ca="1">'TR TUSD'!$AK$7*'TR TUSD'!$AK$95</f>
        <v>0.82304281470387064</v>
      </c>
      <c r="AL7" s="20">
        <f ca="1">SUM($AH$7:$AK$7)</f>
        <v>9.0667467079711912</v>
      </c>
      <c r="AM7" s="20">
        <f ca="1">SUMIF($L$4:$AL$4,"SUBTOTAL",$L$7:$AL$7)</f>
        <v>62.166336701141361</v>
      </c>
      <c r="AP7" s="20">
        <v>1</v>
      </c>
    </row>
    <row r="8" spans="1:42" ht="11.25" customHeight="1" x14ac:dyDescent="0.25">
      <c r="A8" s="119"/>
      <c r="B8" s="119"/>
      <c r="C8" s="119"/>
      <c r="D8" s="119"/>
      <c r="E8" s="22" t="s">
        <v>61</v>
      </c>
      <c r="F8" s="22" t="s">
        <v>25</v>
      </c>
      <c r="G8" s="21" t="s">
        <v>94</v>
      </c>
      <c r="H8" s="21" t="s">
        <v>88</v>
      </c>
      <c r="I8" s="21">
        <f>'MERCADO TUSD'!$U$5</f>
        <v>110588.63</v>
      </c>
      <c r="J8" s="17"/>
      <c r="L8" s="20">
        <f>'TR TUSD'!$L$8*'TR TUSD'!$L$95</f>
        <v>0</v>
      </c>
      <c r="M8" s="20">
        <f>'TR TUSD'!$M$8*'TR TUSD'!$M$95</f>
        <v>3.0072424409024395E-2</v>
      </c>
      <c r="N8" s="20">
        <f ca="1">'TR TUSD'!$N$8*'TR TUSD'!$N$95</f>
        <v>0.19127048668643998</v>
      </c>
      <c r="O8" s="20">
        <f>'TR TUSD'!$O$8*'TR TUSD'!$O$95</f>
        <v>0</v>
      </c>
      <c r="P8" s="20">
        <f>'TR TUSD'!$P$8*'TR TUSD'!$P$95</f>
        <v>0</v>
      </c>
      <c r="Q8" s="20">
        <f>'TR TUSD'!$Q$8*'TR TUSD'!$Q$95</f>
        <v>0</v>
      </c>
      <c r="R8" s="20">
        <f>'TR TUSD'!$R$8*'TR TUSD'!$R$95</f>
        <v>0</v>
      </c>
      <c r="S8" s="20">
        <f>'TR TUSD'!$S$8*'TR TUSD'!$S$95</f>
        <v>0</v>
      </c>
      <c r="T8" s="20">
        <f ca="1">SUM($L$8:$S$8)</f>
        <v>0.22134291109546436</v>
      </c>
      <c r="U8" s="20">
        <f>'TR TUSD'!$U$8*'TR TUSD'!$U$95</f>
        <v>0</v>
      </c>
      <c r="V8" s="20">
        <f>'TR TUSD'!$V$8*'TR TUSD'!$V$95</f>
        <v>0</v>
      </c>
      <c r="W8" s="20">
        <f>'TR TUSD'!$W$8*'TR TUSD'!$W$95</f>
        <v>0</v>
      </c>
      <c r="X8" s="20">
        <f>'TR TUSD'!$X$8*'TR TUSD'!$X$95</f>
        <v>0</v>
      </c>
      <c r="Y8" s="20">
        <f>'TR TUSD'!$Y$8*'TR TUSD'!$Y$95</f>
        <v>0</v>
      </c>
      <c r="Z8" s="20">
        <f>'TR TUSD'!$Z$8</f>
        <v>0</v>
      </c>
      <c r="AA8" s="20">
        <f>'TR TUSD'!$AA$8</f>
        <v>0</v>
      </c>
      <c r="AB8" s="20">
        <f>SUM($U$8:$AA$8)</f>
        <v>0</v>
      </c>
      <c r="AC8" s="20">
        <f>'TR TUSD'!$AC$8*'TR TUSD'!$AC$95</f>
        <v>0</v>
      </c>
      <c r="AD8" s="20">
        <f>SUM($AC$8:$AC$8)</f>
        <v>0</v>
      </c>
      <c r="AE8" s="20">
        <v>0</v>
      </c>
      <c r="AF8" s="20">
        <v>0</v>
      </c>
      <c r="AG8" s="20">
        <f>SUM($AE$8:$AF$8)</f>
        <v>0</v>
      </c>
      <c r="AH8" s="20">
        <f>'TR TUSD'!$AH$8*'TR TUSD'!$AH$95</f>
        <v>4.5079100029332748</v>
      </c>
      <c r="AI8" s="20">
        <f>'TR TUSD'!$AI$8*'TR TUSD'!$AI$95</f>
        <v>0.16944487857631749</v>
      </c>
      <c r="AJ8" s="20">
        <f ca="1">'TR TUSD'!$AJ$8*'TR TUSD'!$AJ$95</f>
        <v>3.566349011757727</v>
      </c>
      <c r="AK8" s="20">
        <f ca="1">'TR TUSD'!$AK$8*'TR TUSD'!$AK$95</f>
        <v>0.82304281470387064</v>
      </c>
      <c r="AL8" s="20">
        <f ca="1">SUM($AH$8:$AK$8)</f>
        <v>9.0667467079711912</v>
      </c>
      <c r="AM8" s="20">
        <f ca="1">SUMIF($L$4:$AL$4,"SUBTOTAL",$L$8:$AL$8)</f>
        <v>9.2880896190666551</v>
      </c>
      <c r="AP8" s="20">
        <v>1</v>
      </c>
    </row>
    <row r="9" spans="1:42" ht="11.25" customHeight="1" x14ac:dyDescent="0.25">
      <c r="A9" s="119"/>
      <c r="B9" s="119" t="s">
        <v>67</v>
      </c>
      <c r="C9" s="119" t="s">
        <v>25</v>
      </c>
      <c r="D9" s="119" t="s">
        <v>25</v>
      </c>
      <c r="E9" s="119" t="s">
        <v>25</v>
      </c>
      <c r="F9" s="119" t="s">
        <v>68</v>
      </c>
      <c r="G9" s="21" t="s">
        <v>92</v>
      </c>
      <c r="H9" s="21" t="s">
        <v>91</v>
      </c>
      <c r="I9" s="21">
        <f>'MERCADO TUSD'!$U$6</f>
        <v>648000</v>
      </c>
      <c r="J9" s="17"/>
      <c r="L9" s="20">
        <f>'TR TUSD'!$L$9*'TR TUSD'!$L$95</f>
        <v>0</v>
      </c>
      <c r="M9" s="20">
        <f>'TR TUSD'!$M$9*'TR TUSD'!$M$95</f>
        <v>0</v>
      </c>
      <c r="N9" s="20">
        <f ca="1">'TR TUSD'!$N$9*'TR TUSD'!$N$95</f>
        <v>0</v>
      </c>
      <c r="O9" s="20">
        <f>'TR TUSD'!$O$9*'TR TUSD'!$O$95</f>
        <v>0</v>
      </c>
      <c r="P9" s="20">
        <f>'TR TUSD'!$P$9*'TR TUSD'!$P$95</f>
        <v>0</v>
      </c>
      <c r="Q9" s="20">
        <f>'TR TUSD'!$Q$9*'TR TUSD'!$Q$95</f>
        <v>0</v>
      </c>
      <c r="R9" s="20">
        <f>'TR TUSD'!$R$9*'TR TUSD'!$R$95</f>
        <v>0</v>
      </c>
      <c r="S9" s="20">
        <f>'TR TUSD'!$S$9*'TR TUSD'!$S$95</f>
        <v>0</v>
      </c>
      <c r="T9" s="20">
        <f ca="1">SUM($L$9:$S$9)</f>
        <v>0</v>
      </c>
      <c r="U9" s="20">
        <f>'TR TUSD'!$U$9*'TR TUSD'!$U$95</f>
        <v>7.8634946995444857</v>
      </c>
      <c r="V9" s="20">
        <f>'TR TUSD'!$V$9*'TR TUSD'!$V$95</f>
        <v>1.7439913863760799</v>
      </c>
      <c r="W9" s="20">
        <f>'TR TUSD'!$W$9*'TR TUSD'!$W$95</f>
        <v>0.23385928191937061</v>
      </c>
      <c r="X9" s="20">
        <f>'TR TUSD'!$X$9*'TR TUSD'!$X$95</f>
        <v>0</v>
      </c>
      <c r="Y9" s="20">
        <f>'TR TUSD'!$Y$9*'TR TUSD'!$Y$95</f>
        <v>0</v>
      </c>
      <c r="Z9" s="20">
        <f>'TR TUSD'!$Z$9</f>
        <v>0</v>
      </c>
      <c r="AA9" s="20">
        <f>'TR TUSD'!$AA$9</f>
        <v>0</v>
      </c>
      <c r="AB9" s="20">
        <f>SUM($U$9:$AA$9)</f>
        <v>9.8413453678399367</v>
      </c>
      <c r="AC9" s="20">
        <f>'TR TUSD'!$AC$9*'TR TUSD'!$AC$95</f>
        <v>2.9531587692482999</v>
      </c>
      <c r="AD9" s="20">
        <f>SUM($AC$9:$AC$9)</f>
        <v>2.9531587692482999</v>
      </c>
      <c r="AE9" s="20">
        <v>0</v>
      </c>
      <c r="AF9" s="20">
        <v>0</v>
      </c>
      <c r="AG9" s="20">
        <f>SUM($AE$9:$AF$9)</f>
        <v>0</v>
      </c>
      <c r="AH9" s="20">
        <f>'TR TUSD'!$AH$9*'TR TUSD'!$AH$95</f>
        <v>0</v>
      </c>
      <c r="AI9" s="20">
        <f>'TR TUSD'!$AI$9*'TR TUSD'!$AI$95</f>
        <v>0</v>
      </c>
      <c r="AJ9" s="20">
        <f ca="1">'TR TUSD'!$AJ$9*'TR TUSD'!$AJ$95</f>
        <v>0</v>
      </c>
      <c r="AK9" s="20">
        <f ca="1">'TR TUSD'!$AK$9*'TR TUSD'!$AK$95</f>
        <v>0</v>
      </c>
      <c r="AL9" s="20">
        <f ca="1">SUM($AH$9:$AK$9)</f>
        <v>0</v>
      </c>
      <c r="AM9" s="20">
        <f ca="1">SUMIF($L$4:$AL$4,"SUBTOTAL",$L$9:$AL$9)</f>
        <v>12.794504137088236</v>
      </c>
      <c r="AP9" s="20">
        <v>1</v>
      </c>
    </row>
    <row r="10" spans="1:42" ht="11.25" customHeight="1" x14ac:dyDescent="0.25">
      <c r="A10" s="119"/>
      <c r="B10" s="119"/>
      <c r="C10" s="119"/>
      <c r="D10" s="119"/>
      <c r="E10" s="119"/>
      <c r="F10" s="119"/>
      <c r="G10" s="21" t="s">
        <v>93</v>
      </c>
      <c r="H10" s="21" t="s">
        <v>91</v>
      </c>
      <c r="I10" s="21">
        <f>'MERCADO TUSD'!$U$7</f>
        <v>751668</v>
      </c>
      <c r="J10" s="17"/>
      <c r="L10" s="20">
        <f>'TR TUSD'!$L$10*'TR TUSD'!$L$95</f>
        <v>0</v>
      </c>
      <c r="M10" s="20">
        <f>'TR TUSD'!$M$10*'TR TUSD'!$M$95</f>
        <v>0</v>
      </c>
      <c r="N10" s="20">
        <f ca="1">'TR TUSD'!$N$10*'TR TUSD'!$N$95</f>
        <v>0</v>
      </c>
      <c r="O10" s="20">
        <f>'TR TUSD'!$O$10*'TR TUSD'!$O$95</f>
        <v>0</v>
      </c>
      <c r="P10" s="20">
        <f>'TR TUSD'!$P$10*'TR TUSD'!$P$95</f>
        <v>0</v>
      </c>
      <c r="Q10" s="20">
        <f>'TR TUSD'!$Q$10*'TR TUSD'!$Q$95</f>
        <v>0</v>
      </c>
      <c r="R10" s="20">
        <f>'TR TUSD'!$R$10*'TR TUSD'!$R$95</f>
        <v>0</v>
      </c>
      <c r="S10" s="20">
        <f>'TR TUSD'!$S$10*'TR TUSD'!$S$95</f>
        <v>0</v>
      </c>
      <c r="T10" s="20">
        <f ca="1">SUM($L$10:$S$10)</f>
        <v>0</v>
      </c>
      <c r="U10" s="20">
        <f>'TR TUSD'!$U$10*'TR TUSD'!$U$95</f>
        <v>6.0630160267361157</v>
      </c>
      <c r="V10" s="20">
        <f>'TR TUSD'!$V$10*'TR TUSD'!$V$95</f>
        <v>1.3822812053274913</v>
      </c>
      <c r="W10" s="20">
        <f>'TR TUSD'!$W$10*'TR TUSD'!$W$95</f>
        <v>0.16644576442730716</v>
      </c>
      <c r="X10" s="20">
        <f>'TR TUSD'!$X$10*'TR TUSD'!$X$95</f>
        <v>0</v>
      </c>
      <c r="Y10" s="20">
        <f>'TR TUSD'!$Y$10*'TR TUSD'!$Y$95</f>
        <v>0</v>
      </c>
      <c r="Z10" s="20">
        <f>'TR TUSD'!$Z$10</f>
        <v>0</v>
      </c>
      <c r="AA10" s="20">
        <f>'TR TUSD'!$AA$10</f>
        <v>0</v>
      </c>
      <c r="AB10" s="20">
        <f>SUM($U$10:$AA$10)</f>
        <v>7.6117429964909142</v>
      </c>
      <c r="AC10" s="20">
        <f>'TR TUSD'!$AC$10*'TR TUSD'!$AC$95</f>
        <v>0.29531587692482997</v>
      </c>
      <c r="AD10" s="20">
        <f>SUM($AC$10:$AC$10)</f>
        <v>0.29531587692482997</v>
      </c>
      <c r="AE10" s="20">
        <v>0</v>
      </c>
      <c r="AF10" s="20">
        <v>0</v>
      </c>
      <c r="AG10" s="20">
        <f>SUM($AE$10:$AF$10)</f>
        <v>0</v>
      </c>
      <c r="AH10" s="20">
        <f>'TR TUSD'!$AH$10*'TR TUSD'!$AH$95</f>
        <v>0</v>
      </c>
      <c r="AI10" s="20">
        <f>'TR TUSD'!$AI$10*'TR TUSD'!$AI$95</f>
        <v>0</v>
      </c>
      <c r="AJ10" s="20">
        <f ca="1">'TR TUSD'!$AJ$10*'TR TUSD'!$AJ$95</f>
        <v>0</v>
      </c>
      <c r="AK10" s="20">
        <f ca="1">'TR TUSD'!$AK$10*'TR TUSD'!$AK$95</f>
        <v>0</v>
      </c>
      <c r="AL10" s="20">
        <f ca="1">SUM($AH$10:$AK$10)</f>
        <v>0</v>
      </c>
      <c r="AM10" s="20">
        <f ca="1">SUMIF($L$4:$AL$4,"SUBTOTAL",$L$10:$AL$10)</f>
        <v>7.9070588734157443</v>
      </c>
      <c r="AP10" s="20">
        <v>1</v>
      </c>
    </row>
    <row r="11" spans="1:42" ht="11.25" customHeight="1" x14ac:dyDescent="0.25">
      <c r="A11" s="119"/>
      <c r="B11" s="119"/>
      <c r="C11" s="119"/>
      <c r="D11" s="119"/>
      <c r="E11" s="119"/>
      <c r="F11" s="119"/>
      <c r="G11" s="21" t="s">
        <v>94</v>
      </c>
      <c r="H11" s="21" t="s">
        <v>88</v>
      </c>
      <c r="I11" s="21">
        <f>'MERCADO TUSD'!$U$8</f>
        <v>172728.277</v>
      </c>
      <c r="J11" s="17"/>
      <c r="L11" s="20">
        <f>'TR TUSD'!$L$11*'TR TUSD'!$L$95</f>
        <v>0</v>
      </c>
      <c r="M11" s="20">
        <f>'TR TUSD'!$M$11*'TR TUSD'!$M$95</f>
        <v>0</v>
      </c>
      <c r="N11" s="20">
        <f ca="1">'TR TUSD'!$N$11*'TR TUSD'!$N$95</f>
        <v>0</v>
      </c>
      <c r="O11" s="20">
        <f>'TR TUSD'!$O$11*'TR TUSD'!$O$95</f>
        <v>0</v>
      </c>
      <c r="P11" s="20">
        <f>'TR TUSD'!$P$11*'TR TUSD'!$P$95</f>
        <v>0</v>
      </c>
      <c r="Q11" s="20">
        <f>'TR TUSD'!$Q$11*'TR TUSD'!$Q$95</f>
        <v>0</v>
      </c>
      <c r="R11" s="20">
        <f>'TR TUSD'!$R$11*'TR TUSD'!$R$95</f>
        <v>0</v>
      </c>
      <c r="S11" s="20">
        <f>'TR TUSD'!$S$11*'TR TUSD'!$S$95</f>
        <v>0</v>
      </c>
      <c r="T11" s="20">
        <f ca="1">SUM($L$11:$S$11)</f>
        <v>0</v>
      </c>
      <c r="U11" s="20">
        <f>'TR TUSD'!$U$11*'TR TUSD'!$U$95</f>
        <v>0</v>
      </c>
      <c r="V11" s="20">
        <f>'TR TUSD'!$V$11*'TR TUSD'!$V$95</f>
        <v>0</v>
      </c>
      <c r="W11" s="20">
        <f>'TR TUSD'!$W$11*'TR TUSD'!$W$95</f>
        <v>0</v>
      </c>
      <c r="X11" s="20">
        <f>'TR TUSD'!$X$11*'TR TUSD'!$X$95</f>
        <v>0</v>
      </c>
      <c r="Y11" s="20">
        <f>'TR TUSD'!$Y$11*'TR TUSD'!$Y$95</f>
        <v>0</v>
      </c>
      <c r="Z11" s="20">
        <f>'TR TUSD'!$Z$11</f>
        <v>0</v>
      </c>
      <c r="AA11" s="20">
        <f>'TR TUSD'!$AA$11</f>
        <v>0</v>
      </c>
      <c r="AB11" s="20">
        <f>SUM($U$11:$AA$11)</f>
        <v>0</v>
      </c>
      <c r="AC11" s="20">
        <f>'TR TUSD'!$AC$11*'TR TUSD'!$AC$95</f>
        <v>0</v>
      </c>
      <c r="AD11" s="20">
        <f>SUM($AC$11:$AC$11)</f>
        <v>0</v>
      </c>
      <c r="AE11" s="20">
        <v>0</v>
      </c>
      <c r="AF11" s="20">
        <v>0</v>
      </c>
      <c r="AG11" s="20">
        <f>SUM($AE$11:$AF$11)</f>
        <v>0</v>
      </c>
      <c r="AH11" s="20">
        <f>'TR TUSD'!$AH$11*'TR TUSD'!$AH$95</f>
        <v>4.5079100029332748</v>
      </c>
      <c r="AI11" s="20">
        <f>'TR TUSD'!$AI$11*'TR TUSD'!$AI$95</f>
        <v>0.16944487857631749</v>
      </c>
      <c r="AJ11" s="20">
        <f ca="1">'TR TUSD'!$AJ$11*'TR TUSD'!$AJ$95</f>
        <v>0</v>
      </c>
      <c r="AK11" s="20">
        <f ca="1">'TR TUSD'!$AK$11*'TR TUSD'!$AK$95</f>
        <v>0</v>
      </c>
      <c r="AL11" s="20">
        <f ca="1">SUM($AH$11:$AK$11)</f>
        <v>4.6773548815095927</v>
      </c>
      <c r="AM11" s="20">
        <f ca="1">SUMIF($L$4:$AL$4,"SUBTOTAL",$L$11:$AL$11)</f>
        <v>4.6773548815095927</v>
      </c>
      <c r="AP11" s="20">
        <v>1</v>
      </c>
    </row>
    <row r="12" spans="1:42" ht="11.25" customHeight="1" x14ac:dyDescent="0.25">
      <c r="A12" s="119"/>
      <c r="B12" s="119" t="s">
        <v>64</v>
      </c>
      <c r="C12" s="119" t="s">
        <v>25</v>
      </c>
      <c r="D12" s="119" t="s">
        <v>25</v>
      </c>
      <c r="E12" s="119" t="s">
        <v>25</v>
      </c>
      <c r="F12" s="22" t="s">
        <v>70</v>
      </c>
      <c r="G12" s="21" t="s">
        <v>9</v>
      </c>
      <c r="H12" s="21" t="s">
        <v>91</v>
      </c>
      <c r="I12" s="21">
        <f>'MERCADO TUSD'!$U$9</f>
        <v>1494000</v>
      </c>
      <c r="J12" s="17"/>
      <c r="L12" s="20">
        <f>'TR TUSD'!$L$12</f>
        <v>0</v>
      </c>
      <c r="M12" s="20">
        <f>'TR TUSD'!$M$12</f>
        <v>8.3599999999999994E-2</v>
      </c>
      <c r="N12" s="20">
        <f>'TR TUSD'!$N$12</f>
        <v>0.21099999999999999</v>
      </c>
      <c r="O12" s="20">
        <f>'TR TUSD'!$O$12</f>
        <v>0</v>
      </c>
      <c r="P12" s="20">
        <f>'TR TUSD'!$P$12</f>
        <v>0</v>
      </c>
      <c r="Q12" s="20">
        <f>'TR TUSD'!$Q$12</f>
        <v>0</v>
      </c>
      <c r="R12" s="20">
        <f>'TR TUSD'!$R$12</f>
        <v>0</v>
      </c>
      <c r="S12" s="20">
        <f>'TR TUSD'!$S$12</f>
        <v>0</v>
      </c>
      <c r="T12" s="20">
        <f>SUM($L$12:$S$12)</f>
        <v>0.29459999999999997</v>
      </c>
      <c r="U12" s="20">
        <f>'TR TUSD'!$U$12</f>
        <v>0</v>
      </c>
      <c r="V12" s="20">
        <f>'TR TUSD'!$V$12</f>
        <v>0.63390000000000002</v>
      </c>
      <c r="W12" s="20">
        <f>'TR TUSD'!$W$12</f>
        <v>5.04E-2</v>
      </c>
      <c r="X12" s="20">
        <f>'TR TUSD'!$X$12</f>
        <v>0</v>
      </c>
      <c r="Y12" s="20">
        <f>'TR TUSD'!$Y$12</f>
        <v>0</v>
      </c>
      <c r="Z12" s="20">
        <f>'TR TUSD'!$Z$12</f>
        <v>0</v>
      </c>
      <c r="AA12" s="20">
        <f>'TR TUSD'!$AA$12</f>
        <v>0.30480000000000002</v>
      </c>
      <c r="AB12" s="20">
        <f>SUM($U$12:$AA$12)</f>
        <v>0.98910000000000009</v>
      </c>
      <c r="AC12" s="20">
        <f>'TR TUSD'!$AC$12</f>
        <v>2.2879</v>
      </c>
      <c r="AD12" s="20">
        <f>SUM($AC$12:$AC$12)</f>
        <v>2.2879</v>
      </c>
      <c r="AE12" s="20">
        <v>0</v>
      </c>
      <c r="AF12" s="20">
        <v>0</v>
      </c>
      <c r="AG12" s="20">
        <f>SUM($AE$12:$AF$12)</f>
        <v>0</v>
      </c>
      <c r="AH12" s="20">
        <f>'TR TUSD'!$AH$12</f>
        <v>0</v>
      </c>
      <c r="AI12" s="20">
        <f>'TR TUSD'!$AI$12</f>
        <v>0</v>
      </c>
      <c r="AJ12" s="20">
        <f>'TR TUSD'!$AJ$12</f>
        <v>0</v>
      </c>
      <c r="AK12" s="20">
        <f>'TR TUSD'!$AK$12</f>
        <v>0</v>
      </c>
      <c r="AL12" s="20">
        <f>SUM($AH$12:$AK$12)</f>
        <v>0</v>
      </c>
      <c r="AM12" s="20">
        <f>SUMIF($L$4:$AL$4,"SUBTOTAL",$L$12:$AL$12)</f>
        <v>3.5716000000000001</v>
      </c>
      <c r="AP12" s="20"/>
    </row>
    <row r="13" spans="1:42" ht="11.25" customHeight="1" x14ac:dyDescent="0.25">
      <c r="A13" s="119"/>
      <c r="B13" s="119"/>
      <c r="C13" s="119"/>
      <c r="D13" s="119"/>
      <c r="E13" s="119"/>
      <c r="F13" s="22" t="s">
        <v>71</v>
      </c>
      <c r="G13" s="21" t="s">
        <v>9</v>
      </c>
      <c r="H13" s="21" t="s">
        <v>91</v>
      </c>
      <c r="I13" s="21">
        <f>'MERCADO TUSD'!$U$10</f>
        <v>1038000</v>
      </c>
      <c r="J13" s="17"/>
      <c r="L13" s="20">
        <f>'TR TUSD'!$L$13</f>
        <v>0</v>
      </c>
      <c r="M13" s="20">
        <f>'TR TUSD'!$M$13</f>
        <v>7.2400000000000006E-2</v>
      </c>
      <c r="N13" s="20">
        <f>'TR TUSD'!$N$13</f>
        <v>0.18279999999999999</v>
      </c>
      <c r="O13" s="20">
        <f>'TR TUSD'!$O$13</f>
        <v>0</v>
      </c>
      <c r="P13" s="20">
        <f>'TR TUSD'!$P$13</f>
        <v>0</v>
      </c>
      <c r="Q13" s="20">
        <f>'TR TUSD'!$Q$13</f>
        <v>0</v>
      </c>
      <c r="R13" s="20">
        <f>'TR TUSD'!$R$13</f>
        <v>0</v>
      </c>
      <c r="S13" s="20">
        <f>'TR TUSD'!$S$13</f>
        <v>0</v>
      </c>
      <c r="T13" s="20">
        <f>SUM($L$13:$S$13)</f>
        <v>0.25519999999999998</v>
      </c>
      <c r="U13" s="20">
        <f>'TR TUSD'!$U$13</f>
        <v>0</v>
      </c>
      <c r="V13" s="20">
        <f>'TR TUSD'!$V$13</f>
        <v>0.54900000000000004</v>
      </c>
      <c r="W13" s="20">
        <f>'TR TUSD'!$W$13</f>
        <v>4.3700000000000003E-2</v>
      </c>
      <c r="X13" s="20">
        <f>'TR TUSD'!$X$13</f>
        <v>0</v>
      </c>
      <c r="Y13" s="20">
        <f>'TR TUSD'!$Y$13</f>
        <v>0</v>
      </c>
      <c r="Z13" s="20">
        <f>'TR TUSD'!$Z$13</f>
        <v>0</v>
      </c>
      <c r="AA13" s="20">
        <f>'TR TUSD'!$AA$13</f>
        <v>0.30480000000000002</v>
      </c>
      <c r="AB13" s="20">
        <f>SUM($U$13:$AA$13)</f>
        <v>0.89749999999999996</v>
      </c>
      <c r="AC13" s="20">
        <f>'TR TUSD'!$AC$13</f>
        <v>1.9815</v>
      </c>
      <c r="AD13" s="20">
        <f>SUM($AC$13:$AC$13)</f>
        <v>1.9815</v>
      </c>
      <c r="AE13" s="20">
        <v>0</v>
      </c>
      <c r="AF13" s="20">
        <v>0</v>
      </c>
      <c r="AG13" s="20">
        <f>SUM($AE$13:$AF$13)</f>
        <v>0</v>
      </c>
      <c r="AH13" s="20">
        <f>'TR TUSD'!$AH$13</f>
        <v>0</v>
      </c>
      <c r="AI13" s="20">
        <f>'TR TUSD'!$AI$13</f>
        <v>0</v>
      </c>
      <c r="AJ13" s="20">
        <f>'TR TUSD'!$AJ$13</f>
        <v>0</v>
      </c>
      <c r="AK13" s="20">
        <f>'TR TUSD'!$AK$13</f>
        <v>0</v>
      </c>
      <c r="AL13" s="20">
        <f>SUM($AH$13:$AK$13)</f>
        <v>0</v>
      </c>
      <c r="AM13" s="20">
        <f>SUMIF($L$4:$AL$4,"SUBTOTAL",$L$13:$AL$13)</f>
        <v>3.1341999999999999</v>
      </c>
      <c r="AP13" s="20"/>
    </row>
    <row r="14" spans="1:42" ht="11.25" customHeight="1" x14ac:dyDescent="0.25">
      <c r="A14" s="119"/>
      <c r="B14" s="119"/>
      <c r="C14" s="119"/>
      <c r="D14" s="119"/>
      <c r="E14" s="119"/>
      <c r="F14" s="22" t="s">
        <v>95</v>
      </c>
      <c r="G14" s="21" t="s">
        <v>9</v>
      </c>
      <c r="H14" s="21" t="s">
        <v>91</v>
      </c>
      <c r="I14" s="21">
        <f>'MERCADO TUSD'!$U$11</f>
        <v>0</v>
      </c>
      <c r="J14" s="17"/>
      <c r="L14" s="20">
        <f>'TR TUSD'!$L$14</f>
        <v>0</v>
      </c>
      <c r="M14" s="20">
        <f>'TR TUSD'!$M$14</f>
        <v>0.1046</v>
      </c>
      <c r="N14" s="20">
        <f>'TR TUSD'!$N$14</f>
        <v>0.26419999999999999</v>
      </c>
      <c r="O14" s="20">
        <f>'TR TUSD'!$O$14</f>
        <v>0</v>
      </c>
      <c r="P14" s="20">
        <f>'TR TUSD'!$P$14</f>
        <v>0</v>
      </c>
      <c r="Q14" s="20">
        <f>'TR TUSD'!$Q$14</f>
        <v>0</v>
      </c>
      <c r="R14" s="20">
        <f>'TR TUSD'!$R$14</f>
        <v>0</v>
      </c>
      <c r="S14" s="20">
        <f>'TR TUSD'!$S$14</f>
        <v>0</v>
      </c>
      <c r="T14" s="20">
        <f>SUM($L$14:$S$14)</f>
        <v>0.36880000000000002</v>
      </c>
      <c r="U14" s="20">
        <f>'TR TUSD'!$U$14</f>
        <v>0</v>
      </c>
      <c r="V14" s="20">
        <f>'TR TUSD'!$V$14</f>
        <v>0.18029999999999999</v>
      </c>
      <c r="W14" s="20">
        <f>'TR TUSD'!$W$14</f>
        <v>0</v>
      </c>
      <c r="X14" s="20">
        <f>'TR TUSD'!$X$14</f>
        <v>0</v>
      </c>
      <c r="Y14" s="20">
        <f>'TR TUSD'!$Y$14</f>
        <v>0</v>
      </c>
      <c r="Z14" s="20">
        <f>'TR TUSD'!$Z$14</f>
        <v>0</v>
      </c>
      <c r="AA14" s="20">
        <f>'TR TUSD'!$AA$14</f>
        <v>0</v>
      </c>
      <c r="AB14" s="20">
        <f>SUM($U$14:$AA$14)</f>
        <v>0.18029999999999999</v>
      </c>
      <c r="AC14" s="20">
        <f>'TR TUSD'!$AC$14</f>
        <v>2.8157999999999999</v>
      </c>
      <c r="AD14" s="20">
        <f>SUM($AC$14:$AC$14)</f>
        <v>2.8157999999999999</v>
      </c>
      <c r="AE14" s="20">
        <v>0</v>
      </c>
      <c r="AF14" s="20">
        <v>0</v>
      </c>
      <c r="AG14" s="20">
        <f>SUM($AE$14:$AF$14)</f>
        <v>0</v>
      </c>
      <c r="AH14" s="20">
        <f>'TR TUSD'!$AH$14</f>
        <v>0</v>
      </c>
      <c r="AI14" s="20">
        <f>'TR TUSD'!$AI$14</f>
        <v>0</v>
      </c>
      <c r="AJ14" s="20">
        <f>'TR TUSD'!$AJ$14</f>
        <v>0</v>
      </c>
      <c r="AK14" s="20">
        <f>'TR TUSD'!$AK$14</f>
        <v>0</v>
      </c>
      <c r="AL14" s="20">
        <f>SUM($AH$14:$AK$14)</f>
        <v>0</v>
      </c>
      <c r="AM14" s="20">
        <f>SUMIF($L$4:$AL$4,"SUBTOTAL",$L$14:$AL$14)</f>
        <v>3.3649</v>
      </c>
      <c r="AP14" s="20"/>
    </row>
    <row r="15" spans="1:42" ht="11.25" customHeight="1" x14ac:dyDescent="0.25">
      <c r="A15" s="119" t="s">
        <v>45</v>
      </c>
      <c r="B15" s="119" t="s">
        <v>41</v>
      </c>
      <c r="C15" s="119" t="s">
        <v>25</v>
      </c>
      <c r="D15" s="119" t="s">
        <v>25</v>
      </c>
      <c r="E15" s="119" t="s">
        <v>25</v>
      </c>
      <c r="F15" s="119" t="s">
        <v>25</v>
      </c>
      <c r="G15" s="21" t="s">
        <v>92</v>
      </c>
      <c r="H15" s="21" t="s">
        <v>91</v>
      </c>
      <c r="I15" s="21">
        <f>'MERCADO TUSD'!$U$12</f>
        <v>85943</v>
      </c>
      <c r="J15" s="17"/>
      <c r="L15" s="20">
        <f>'TR TUSD'!$L$15*'TR TUSD'!$L$95</f>
        <v>0</v>
      </c>
      <c r="M15" s="20">
        <f>'TR TUSD'!$M$15*'TR TUSD'!$M$95</f>
        <v>0</v>
      </c>
      <c r="N15" s="20">
        <f ca="1">'TR TUSD'!$N$15*'TR TUSD'!$N$95</f>
        <v>0</v>
      </c>
      <c r="O15" s="20">
        <f>'TR TUSD'!$O$15*'TR TUSD'!$O$95</f>
        <v>0</v>
      </c>
      <c r="P15" s="20">
        <f>'TR TUSD'!$P$15*'TR TUSD'!$P$95</f>
        <v>0</v>
      </c>
      <c r="Q15" s="20">
        <f>'TR TUSD'!$Q$15*'TR TUSD'!$Q$95</f>
        <v>0</v>
      </c>
      <c r="R15" s="20">
        <f>'TR TUSD'!$R$15*'TR TUSD'!$R$95</f>
        <v>0</v>
      </c>
      <c r="S15" s="20">
        <f>'TR TUSD'!$S$15*'TR TUSD'!$S$95</f>
        <v>0</v>
      </c>
      <c r="T15" s="20">
        <f ca="1">SUM($L$15:$S$15)</f>
        <v>0</v>
      </c>
      <c r="U15" s="20">
        <f>'TR TUSD'!$U$15*'TR TUSD'!$U$95</f>
        <v>7.7836271510126442</v>
      </c>
      <c r="V15" s="20">
        <f>'TR TUSD'!$V$15*'TR TUSD'!$V$95</f>
        <v>1.9544731054214688</v>
      </c>
      <c r="W15" s="20">
        <f>'TR TUSD'!$W$15*'TR TUSD'!$W$95</f>
        <v>0.27323354877314221</v>
      </c>
      <c r="X15" s="20">
        <f>'TR TUSD'!$X$15*'TR TUSD'!$X$95</f>
        <v>0</v>
      </c>
      <c r="Y15" s="20">
        <f>'TR TUSD'!$Y$15*'TR TUSD'!$Y$95</f>
        <v>0</v>
      </c>
      <c r="Z15" s="20">
        <f>'TR TUSD'!$Z$15</f>
        <v>0</v>
      </c>
      <c r="AA15" s="20">
        <f>'TR TUSD'!$AA$15</f>
        <v>0</v>
      </c>
      <c r="AB15" s="20">
        <f>SUM($U$15:$AA$15)</f>
        <v>10.011333805207254</v>
      </c>
      <c r="AC15" s="20">
        <f>'TR TUSD'!$AC$15*'TR TUSD'!$AC$95</f>
        <v>16.705046257801943</v>
      </c>
      <c r="AD15" s="20">
        <f>SUM($AC$15:$AC$15)</f>
        <v>16.705046257801943</v>
      </c>
      <c r="AE15" s="20">
        <v>0</v>
      </c>
      <c r="AF15" s="20">
        <v>0</v>
      </c>
      <c r="AG15" s="20">
        <f>SUM($AE$15:$AF$15)</f>
        <v>0</v>
      </c>
      <c r="AH15" s="20">
        <f>'TR TUSD'!$AH$15*'TR TUSD'!$AH$95</f>
        <v>0</v>
      </c>
      <c r="AI15" s="20">
        <f>'TR TUSD'!$AI$15*'TR TUSD'!$AI$95</f>
        <v>0</v>
      </c>
      <c r="AJ15" s="20">
        <f ca="1">'TR TUSD'!$AJ$15*'TR TUSD'!$AJ$95</f>
        <v>0</v>
      </c>
      <c r="AK15" s="20">
        <f ca="1">'TR TUSD'!$AK$15*'TR TUSD'!$AK$95</f>
        <v>0</v>
      </c>
      <c r="AL15" s="20">
        <f ca="1">SUM($AH$15:$AK$15)</f>
        <v>0</v>
      </c>
      <c r="AM15" s="20">
        <f ca="1">SUMIF($L$4:$AL$4,"SUBTOTAL",$L$15:$AL$15)</f>
        <v>26.716380063009197</v>
      </c>
      <c r="AP15" s="20">
        <v>1</v>
      </c>
    </row>
    <row r="16" spans="1:42" ht="11.25" customHeight="1" x14ac:dyDescent="0.25">
      <c r="A16" s="119"/>
      <c r="B16" s="119"/>
      <c r="C16" s="119"/>
      <c r="D16" s="119"/>
      <c r="E16" s="119"/>
      <c r="F16" s="119"/>
      <c r="G16" s="21" t="s">
        <v>93</v>
      </c>
      <c r="H16" s="21" t="s">
        <v>91</v>
      </c>
      <c r="I16" s="21">
        <f>'MERCADO TUSD'!$U$13</f>
        <v>99179</v>
      </c>
      <c r="J16" s="17"/>
      <c r="L16" s="20">
        <f>'TR TUSD'!$L$16*'TR TUSD'!$L$95</f>
        <v>0</v>
      </c>
      <c r="M16" s="20">
        <f>'TR TUSD'!$M$16*'TR TUSD'!$M$95</f>
        <v>0</v>
      </c>
      <c r="N16" s="20">
        <f ca="1">'TR TUSD'!$N$16*'TR TUSD'!$N$95</f>
        <v>0</v>
      </c>
      <c r="O16" s="20">
        <f>'TR TUSD'!$O$16*'TR TUSD'!$O$95</f>
        <v>0</v>
      </c>
      <c r="P16" s="20">
        <f>'TR TUSD'!$P$16*'TR TUSD'!$P$95</f>
        <v>0</v>
      </c>
      <c r="Q16" s="20">
        <f>'TR TUSD'!$Q$16*'TR TUSD'!$Q$95</f>
        <v>0</v>
      </c>
      <c r="R16" s="20">
        <f>'TR TUSD'!$R$16*'TR TUSD'!$R$95</f>
        <v>0</v>
      </c>
      <c r="S16" s="20">
        <f>'TR TUSD'!$S$16*'TR TUSD'!$S$95</f>
        <v>0</v>
      </c>
      <c r="T16" s="20">
        <f ca="1">SUM($L$16:$S$16)</f>
        <v>0</v>
      </c>
      <c r="U16" s="20">
        <f>'TR TUSD'!$U$16*'TR TUSD'!$U$95</f>
        <v>5.0876257293118119</v>
      </c>
      <c r="V16" s="20">
        <f>'TR TUSD'!$V$16*'TR TUSD'!$V$95</f>
        <v>1.3902405980645018</v>
      </c>
      <c r="W16" s="20">
        <f>'TR TUSD'!$W$16*'TR TUSD'!$W$95</f>
        <v>0.17479788163871324</v>
      </c>
      <c r="X16" s="20">
        <f>'TR TUSD'!$X$16*'TR TUSD'!$X$95</f>
        <v>0</v>
      </c>
      <c r="Y16" s="20">
        <f>'TR TUSD'!$Y$16*'TR TUSD'!$Y$95</f>
        <v>0</v>
      </c>
      <c r="Z16" s="20">
        <f>'TR TUSD'!$Z$16</f>
        <v>0</v>
      </c>
      <c r="AA16" s="20">
        <f>'TR TUSD'!$AA$16</f>
        <v>0</v>
      </c>
      <c r="AB16" s="20">
        <f>SUM($U$16:$AA$16)</f>
        <v>6.6526642090150263</v>
      </c>
      <c r="AC16" s="20">
        <f>'TR TUSD'!$AC$16*'TR TUSD'!$AC$95</f>
        <v>4.4617852677044318</v>
      </c>
      <c r="AD16" s="20">
        <f>SUM($AC$16:$AC$16)</f>
        <v>4.4617852677044318</v>
      </c>
      <c r="AE16" s="20">
        <v>0</v>
      </c>
      <c r="AF16" s="20">
        <v>0</v>
      </c>
      <c r="AG16" s="20">
        <f>SUM($AE$16:$AF$16)</f>
        <v>0</v>
      </c>
      <c r="AH16" s="20">
        <f>'TR TUSD'!$AH$16*'TR TUSD'!$AH$95</f>
        <v>0</v>
      </c>
      <c r="AI16" s="20">
        <f>'TR TUSD'!$AI$16*'TR TUSD'!$AI$95</f>
        <v>0</v>
      </c>
      <c r="AJ16" s="20">
        <f ca="1">'TR TUSD'!$AJ$16*'TR TUSD'!$AJ$95</f>
        <v>0</v>
      </c>
      <c r="AK16" s="20">
        <f ca="1">'TR TUSD'!$AK$16*'TR TUSD'!$AK$95</f>
        <v>0</v>
      </c>
      <c r="AL16" s="20">
        <f ca="1">SUM($AH$16:$AK$16)</f>
        <v>0</v>
      </c>
      <c r="AM16" s="20">
        <f ca="1">SUMIF($L$4:$AL$4,"SUBTOTAL",$L$16:$AL$16)</f>
        <v>11.114449476719457</v>
      </c>
      <c r="AP16" s="20">
        <v>1</v>
      </c>
    </row>
    <row r="17" spans="1:42" ht="11.25" customHeight="1" x14ac:dyDescent="0.25">
      <c r="A17" s="119"/>
      <c r="B17" s="119"/>
      <c r="C17" s="119"/>
      <c r="D17" s="119"/>
      <c r="E17" s="119"/>
      <c r="F17" s="119"/>
      <c r="G17" s="21" t="s">
        <v>94</v>
      </c>
      <c r="H17" s="21" t="s">
        <v>88</v>
      </c>
      <c r="I17" s="21">
        <f>'MERCADO TUSD'!$U$14</f>
        <v>39203.405000000006</v>
      </c>
      <c r="J17" s="17"/>
      <c r="L17" s="20">
        <f>'TR TUSD'!$L$17*'TR TUSD'!$L$95</f>
        <v>0</v>
      </c>
      <c r="M17" s="20">
        <f>'TR TUSD'!$M$17*'TR TUSD'!$M$95</f>
        <v>0.21725393155117029</v>
      </c>
      <c r="N17" s="20">
        <f ca="1">'TR TUSD'!$N$17*'TR TUSD'!$N$95</f>
        <v>0.47121547226682686</v>
      </c>
      <c r="O17" s="20">
        <f>'TR TUSD'!$O$17*'TR TUSD'!$O$95</f>
        <v>0</v>
      </c>
      <c r="P17" s="20">
        <f>'TR TUSD'!$P$17*'TR TUSD'!$P$95</f>
        <v>0</v>
      </c>
      <c r="Q17" s="20">
        <f>'TR TUSD'!$Q$17*'TR TUSD'!$Q$95</f>
        <v>54.73091180949757</v>
      </c>
      <c r="R17" s="20">
        <f>'TR TUSD'!$R$17*'TR TUSD'!$R$95</f>
        <v>7.9721317603751451</v>
      </c>
      <c r="S17" s="20">
        <f>'TR TUSD'!$S$17*'TR TUSD'!$S$95</f>
        <v>0</v>
      </c>
      <c r="T17" s="20">
        <f ca="1">SUM($L$17:$S$17)</f>
        <v>63.391512973690709</v>
      </c>
      <c r="U17" s="20">
        <f>'TR TUSD'!$U$17*'TR TUSD'!$U$95</f>
        <v>0</v>
      </c>
      <c r="V17" s="20">
        <f>'TR TUSD'!$V$17*'TR TUSD'!$V$95</f>
        <v>0</v>
      </c>
      <c r="W17" s="20">
        <f>'TR TUSD'!$W$17*'TR TUSD'!$W$95</f>
        <v>0</v>
      </c>
      <c r="X17" s="20">
        <f>'TR TUSD'!$X$17*'TR TUSD'!$X$95</f>
        <v>0</v>
      </c>
      <c r="Y17" s="20">
        <f>'TR TUSD'!$Y$17*'TR TUSD'!$Y$95</f>
        <v>0</v>
      </c>
      <c r="Z17" s="20">
        <f>'TR TUSD'!$Z$17</f>
        <v>0</v>
      </c>
      <c r="AA17" s="20">
        <f>'TR TUSD'!$AA$17</f>
        <v>0</v>
      </c>
      <c r="AB17" s="20">
        <f>SUM($U$17:$AA$17)</f>
        <v>0</v>
      </c>
      <c r="AC17" s="20">
        <f>'TR TUSD'!$AC$17*'TR TUSD'!$AC$95</f>
        <v>0</v>
      </c>
      <c r="AD17" s="20">
        <f>SUM($AC$17:$AC$17)</f>
        <v>0</v>
      </c>
      <c r="AE17" s="20">
        <v>0</v>
      </c>
      <c r="AF17" s="20">
        <v>0</v>
      </c>
      <c r="AG17" s="20">
        <f>SUM($AE$17:$AF$17)</f>
        <v>0</v>
      </c>
      <c r="AH17" s="20">
        <f>'TR TUSD'!$AH$17*'TR TUSD'!$AH$95</f>
        <v>11.630143029956916</v>
      </c>
      <c r="AI17" s="20">
        <f>'TR TUSD'!$AI$17*'TR TUSD'!$AI$95</f>
        <v>0.43715783417458431</v>
      </c>
      <c r="AJ17" s="20">
        <f ca="1">'TR TUSD'!$AJ$17*'TR TUSD'!$AJ$95</f>
        <v>8.5274339867040627</v>
      </c>
      <c r="AK17" s="20">
        <f ca="1">'TR TUSD'!$AK$17*'TR TUSD'!$AK$95</f>
        <v>1.9679631038576393</v>
      </c>
      <c r="AL17" s="20">
        <f ca="1">SUM($AH$17:$AK$17)</f>
        <v>22.562697954693203</v>
      </c>
      <c r="AM17" s="20">
        <f ca="1">SUMIF($L$4:$AL$4,"SUBTOTAL",$L$17:$AL$17)</f>
        <v>85.954210928383915</v>
      </c>
      <c r="AP17" s="20">
        <v>1</v>
      </c>
    </row>
    <row r="18" spans="1:42" ht="11.25" customHeight="1" x14ac:dyDescent="0.25">
      <c r="A18" s="119"/>
      <c r="B18" s="119"/>
      <c r="C18" s="119"/>
      <c r="D18" s="119"/>
      <c r="E18" s="22" t="s">
        <v>61</v>
      </c>
      <c r="F18" s="22" t="s">
        <v>25</v>
      </c>
      <c r="G18" s="21" t="s">
        <v>94</v>
      </c>
      <c r="H18" s="21" t="s">
        <v>88</v>
      </c>
      <c r="I18" s="21">
        <f>'MERCADO TUSD'!$U$15</f>
        <v>0</v>
      </c>
      <c r="J18" s="17"/>
      <c r="L18" s="20">
        <f>'TR TUSD'!$L$18*'TR TUSD'!$L$95</f>
        <v>0</v>
      </c>
      <c r="M18" s="20">
        <f>'TR TUSD'!$M$18*'TR TUSD'!$M$95</f>
        <v>0.21725393155117029</v>
      </c>
      <c r="N18" s="20">
        <f ca="1">'TR TUSD'!$N$18*'TR TUSD'!$N$95</f>
        <v>0.45674691566077391</v>
      </c>
      <c r="O18" s="20">
        <f>'TR TUSD'!$O$18*'TR TUSD'!$O$95</f>
        <v>0</v>
      </c>
      <c r="P18" s="20">
        <f>'TR TUSD'!$P$18*'TR TUSD'!$P$95</f>
        <v>0</v>
      </c>
      <c r="Q18" s="20">
        <f>'TR TUSD'!$Q$18*'TR TUSD'!$Q$95</f>
        <v>0</v>
      </c>
      <c r="R18" s="20">
        <f>'TR TUSD'!$R$18*'TR TUSD'!$R$95</f>
        <v>0</v>
      </c>
      <c r="S18" s="20">
        <f>'TR TUSD'!$S$18*'TR TUSD'!$S$95</f>
        <v>0</v>
      </c>
      <c r="T18" s="20">
        <f ca="1">SUM($L$18:$S$18)</f>
        <v>0.6740008472119442</v>
      </c>
      <c r="U18" s="20">
        <f>'TR TUSD'!$U$18*'TR TUSD'!$U$95</f>
        <v>0</v>
      </c>
      <c r="V18" s="20">
        <f>'TR TUSD'!$V$18*'TR TUSD'!$V$95</f>
        <v>0</v>
      </c>
      <c r="W18" s="20">
        <f>'TR TUSD'!$W$18*'TR TUSD'!$W$95</f>
        <v>0</v>
      </c>
      <c r="X18" s="20">
        <f>'TR TUSD'!$X$18*'TR TUSD'!$X$95</f>
        <v>0</v>
      </c>
      <c r="Y18" s="20">
        <f>'TR TUSD'!$Y$18*'TR TUSD'!$Y$95</f>
        <v>0</v>
      </c>
      <c r="Z18" s="20">
        <f>'TR TUSD'!$Z$18</f>
        <v>0</v>
      </c>
      <c r="AA18" s="20">
        <f>'TR TUSD'!$AA$18</f>
        <v>0</v>
      </c>
      <c r="AB18" s="20">
        <f>SUM($U$18:$AA$18)</f>
        <v>0</v>
      </c>
      <c r="AC18" s="20">
        <f>'TR TUSD'!$AC$18*'TR TUSD'!$AC$95</f>
        <v>0</v>
      </c>
      <c r="AD18" s="20">
        <f>SUM($AC$18:$AC$18)</f>
        <v>0</v>
      </c>
      <c r="AE18" s="20">
        <v>0</v>
      </c>
      <c r="AF18" s="20">
        <v>0</v>
      </c>
      <c r="AG18" s="20">
        <f>SUM($AE$18:$AF$18)</f>
        <v>0</v>
      </c>
      <c r="AH18" s="20">
        <f>'TR TUSD'!$AH$18*'TR TUSD'!$AH$95</f>
        <v>11.630143029956916</v>
      </c>
      <c r="AI18" s="20">
        <f>'TR TUSD'!$AI$18*'TR TUSD'!$AI$95</f>
        <v>0.43715783417458431</v>
      </c>
      <c r="AJ18" s="20">
        <f ca="1">'TR TUSD'!$AJ$18*'TR TUSD'!$AJ$95</f>
        <v>8.5274339867040627</v>
      </c>
      <c r="AK18" s="20">
        <f ca="1">'TR TUSD'!$AK$18*'TR TUSD'!$AK$95</f>
        <v>1.9679631038576393</v>
      </c>
      <c r="AL18" s="20">
        <f ca="1">SUM($AH$18:$AK$18)</f>
        <v>22.562697954693203</v>
      </c>
      <c r="AM18" s="20">
        <f ca="1">SUMIF($L$4:$AL$4,"SUBTOTAL",$L$18:$AL$18)</f>
        <v>23.236698801905145</v>
      </c>
      <c r="AP18" s="20">
        <v>1</v>
      </c>
    </row>
    <row r="19" spans="1:42" ht="11.25" customHeight="1" x14ac:dyDescent="0.25">
      <c r="A19" s="119"/>
      <c r="B19" s="22" t="s">
        <v>64</v>
      </c>
      <c r="C19" s="22" t="s">
        <v>25</v>
      </c>
      <c r="D19" s="22" t="s">
        <v>25</v>
      </c>
      <c r="E19" s="22" t="s">
        <v>25</v>
      </c>
      <c r="F19" s="22" t="s">
        <v>25</v>
      </c>
      <c r="G19" s="21" t="s">
        <v>9</v>
      </c>
      <c r="H19" s="21" t="s">
        <v>91</v>
      </c>
      <c r="I19" s="21">
        <f>'MERCADO TUSD'!$U$16</f>
        <v>288000</v>
      </c>
      <c r="J19" s="17"/>
      <c r="L19" s="20">
        <f>'TR TUSD'!$L$19*'TR TUSD'!$L$95</f>
        <v>0</v>
      </c>
      <c r="M19" s="20">
        <f>'TR TUSD'!$M$19*'TR TUSD'!$M$95</f>
        <v>1.2007449344999156E-2</v>
      </c>
      <c r="N19" s="20">
        <f ca="1">'TR TUSD'!$N$19*'TR TUSD'!$N$95</f>
        <v>4.6154695573308875E-2</v>
      </c>
      <c r="O19" s="20">
        <f>'TR TUSD'!$O$19*'TR TUSD'!$O$95</f>
        <v>0</v>
      </c>
      <c r="P19" s="20">
        <f>'TR TUSD'!$P$19*'TR TUSD'!$P$95</f>
        <v>0</v>
      </c>
      <c r="Q19" s="20">
        <f>'TR TUSD'!$Q$19*'TR TUSD'!$Q$95</f>
        <v>0</v>
      </c>
      <c r="R19" s="20">
        <f>'TR TUSD'!$R$19*'TR TUSD'!$R$95</f>
        <v>0</v>
      </c>
      <c r="S19" s="20">
        <f>'TR TUSD'!$S$19*'TR TUSD'!$S$95</f>
        <v>0</v>
      </c>
      <c r="T19" s="20">
        <f ca="1">SUM($L$19:$S$19)</f>
        <v>5.8162144918308033E-2</v>
      </c>
      <c r="U19" s="20">
        <f>'TR TUSD'!$U$19*'TR TUSD'!$U$95</f>
        <v>0</v>
      </c>
      <c r="V19" s="20">
        <f>'TR TUSD'!$V$19*'TR TUSD'!$V$95</f>
        <v>0</v>
      </c>
      <c r="W19" s="20">
        <f>'TR TUSD'!$W$19*'TR TUSD'!$W$95</f>
        <v>0</v>
      </c>
      <c r="X19" s="20">
        <f>'TR TUSD'!$X$19*'TR TUSD'!$X$95</f>
        <v>0</v>
      </c>
      <c r="Y19" s="20">
        <f>'TR TUSD'!$Y$19*'TR TUSD'!$Y$95</f>
        <v>0</v>
      </c>
      <c r="Z19" s="20">
        <f>'TR TUSD'!$Z$19*'TR TUSD'!$Z$95</f>
        <v>0</v>
      </c>
      <c r="AA19" s="20">
        <f>'TR TUSD'!$AA$19*'TR TUSD'!$AA$95</f>
        <v>0</v>
      </c>
      <c r="AB19" s="20">
        <f>SUM($U$19:$AA$19)</f>
        <v>0</v>
      </c>
      <c r="AC19" s="20">
        <f>'TR TUSD'!$AC$19*'TR TUSD'!$AC$95</f>
        <v>3.6472831738600258</v>
      </c>
      <c r="AD19" s="20">
        <f>SUM($AC$19:$AC$19)</f>
        <v>3.6472831738600258</v>
      </c>
      <c r="AE19" s="20">
        <v>0</v>
      </c>
      <c r="AF19" s="20">
        <v>0</v>
      </c>
      <c r="AG19" s="20">
        <f>SUM($AE$19:$AF$19)</f>
        <v>0</v>
      </c>
      <c r="AH19" s="20">
        <f>'TR TUSD'!$AH$19*'TR TUSD'!$AH$95</f>
        <v>1.56588909692317E-3</v>
      </c>
      <c r="AI19" s="20">
        <f>'TR TUSD'!$AI$19*'TR TUSD'!$AI$95</f>
        <v>0</v>
      </c>
      <c r="AJ19" s="20">
        <f ca="1">'TR TUSD'!$AJ$19*'TR TUSD'!$AJ$95</f>
        <v>0</v>
      </c>
      <c r="AK19" s="20">
        <f ca="1">'TR TUSD'!$AK$19*'TR TUSD'!$AK$95</f>
        <v>0</v>
      </c>
      <c r="AL19" s="20">
        <f ca="1">SUM($AH$19:$AK$19)</f>
        <v>1.56588909692317E-3</v>
      </c>
      <c r="AM19" s="20">
        <f ca="1">SUMIF($L$4:$AL$4,"SUBTOTAL",$L$19:$AL$19)</f>
        <v>3.7070112078752566</v>
      </c>
      <c r="AP19" s="20"/>
    </row>
    <row r="20" spans="1:42" ht="11.25" customHeight="1" x14ac:dyDescent="0.25">
      <c r="A20" s="119"/>
      <c r="B20" s="119" t="s">
        <v>34</v>
      </c>
      <c r="C20" s="119" t="s">
        <v>25</v>
      </c>
      <c r="D20" s="119" t="s">
        <v>25</v>
      </c>
      <c r="E20" s="119" t="s">
        <v>25</v>
      </c>
      <c r="F20" s="119" t="s">
        <v>25</v>
      </c>
      <c r="G20" s="21" t="s">
        <v>9</v>
      </c>
      <c r="H20" s="21" t="s">
        <v>91</v>
      </c>
      <c r="I20" s="21">
        <f>'MERCADO TUSD'!$U$17</f>
        <v>25668</v>
      </c>
      <c r="J20" s="17"/>
      <c r="L20" s="20">
        <f>'TR TUSD'!$L$20*'TR TUSD'!$L$95</f>
        <v>0</v>
      </c>
      <c r="M20" s="20">
        <f>'TR TUSD'!$M$20*'TR TUSD'!$M$95</f>
        <v>0</v>
      </c>
      <c r="N20" s="20">
        <f ca="1">'TR TUSD'!$N$20*'TR TUSD'!$N$95</f>
        <v>0</v>
      </c>
      <c r="O20" s="20">
        <f>'TR TUSD'!$O$20*'TR TUSD'!$O$95</f>
        <v>0</v>
      </c>
      <c r="P20" s="20">
        <f>'TR TUSD'!$P$20*'TR TUSD'!$P$95</f>
        <v>0</v>
      </c>
      <c r="Q20" s="20">
        <f>'TR TUSD'!$Q$20*'TR TUSD'!$Q$95</f>
        <v>0</v>
      </c>
      <c r="R20" s="20">
        <f>'TR TUSD'!$R$20*'TR TUSD'!$R$95</f>
        <v>0</v>
      </c>
      <c r="S20" s="20">
        <f>'TR TUSD'!$S$20*'TR TUSD'!$S$95</f>
        <v>0</v>
      </c>
      <c r="T20" s="20">
        <f ca="1">SUM($L$20:$S$20)</f>
        <v>0</v>
      </c>
      <c r="U20" s="20">
        <f>'TR TUSD'!$U$20*'TR TUSD'!$U$95</f>
        <v>5.0876257293118119</v>
      </c>
      <c r="V20" s="20">
        <f>'TR TUSD'!$V$20*'TR TUSD'!$V$95</f>
        <v>1.3902405980645018</v>
      </c>
      <c r="W20" s="20">
        <f>'TR TUSD'!$W$20*'TR TUSD'!$W$95</f>
        <v>0.17479788163871324</v>
      </c>
      <c r="X20" s="20">
        <f>'TR TUSD'!$X$20*'TR TUSD'!$X$95</f>
        <v>0</v>
      </c>
      <c r="Y20" s="20">
        <f>'TR TUSD'!$Y$20*'TR TUSD'!$Y$95</f>
        <v>0</v>
      </c>
      <c r="Z20" s="20">
        <f>'TR TUSD'!$Z$20</f>
        <v>0</v>
      </c>
      <c r="AA20" s="20">
        <f>'TR TUSD'!$AA$20</f>
        <v>0</v>
      </c>
      <c r="AB20" s="20">
        <f>SUM($U$20:$AA$20)</f>
        <v>6.6526642090150263</v>
      </c>
      <c r="AC20" s="20">
        <f>'TR TUSD'!$AC$20*'TR TUSD'!$AC$95</f>
        <v>4.4617852677044318</v>
      </c>
      <c r="AD20" s="20">
        <f>SUM($AC$20:$AC$20)</f>
        <v>4.4617852677044318</v>
      </c>
      <c r="AE20" s="20">
        <v>0</v>
      </c>
      <c r="AF20" s="20">
        <v>0</v>
      </c>
      <c r="AG20" s="20">
        <f>SUM($AE$20:$AF$20)</f>
        <v>0</v>
      </c>
      <c r="AH20" s="20">
        <f>'TR TUSD'!$AH$20*'TR TUSD'!$AH$95</f>
        <v>0</v>
      </c>
      <c r="AI20" s="20">
        <f>'TR TUSD'!$AI$20*'TR TUSD'!$AI$95</f>
        <v>0</v>
      </c>
      <c r="AJ20" s="20">
        <f ca="1">'TR TUSD'!$AJ$20*'TR TUSD'!$AJ$95</f>
        <v>0</v>
      </c>
      <c r="AK20" s="20">
        <f ca="1">'TR TUSD'!$AK$20*'TR TUSD'!$AK$95</f>
        <v>0</v>
      </c>
      <c r="AL20" s="20">
        <f ca="1">SUM($AH$20:$AK$20)</f>
        <v>0</v>
      </c>
      <c r="AM20" s="20">
        <f ca="1">SUMIF($L$4:$AL$4,"SUBTOTAL",$L$20:$AL$20)</f>
        <v>11.114449476719457</v>
      </c>
      <c r="AP20" s="20">
        <v>1</v>
      </c>
    </row>
    <row r="21" spans="1:42" ht="11.25" customHeight="1" x14ac:dyDescent="0.25">
      <c r="A21" s="119"/>
      <c r="B21" s="119"/>
      <c r="C21" s="119"/>
      <c r="D21" s="119"/>
      <c r="E21" s="119"/>
      <c r="F21" s="119"/>
      <c r="G21" s="21" t="s">
        <v>89</v>
      </c>
      <c r="H21" s="21" t="s">
        <v>88</v>
      </c>
      <c r="I21" s="21">
        <f>'MERCADO TUSD'!$U$18</f>
        <v>791.82199999999989</v>
      </c>
      <c r="J21" s="17"/>
      <c r="L21" s="20">
        <f>'TR TUSD'!$L$21*'TR TUSD'!$L$95</f>
        <v>0</v>
      </c>
      <c r="M21" s="20">
        <f>'TR TUSD'!$M$21*'TR TUSD'!$M$95</f>
        <v>0.21725393155117029</v>
      </c>
      <c r="N21" s="20">
        <f ca="1">'TR TUSD'!$N$21*'TR TUSD'!$N$95</f>
        <v>6.132263953868093</v>
      </c>
      <c r="O21" s="20">
        <f>'TR TUSD'!$O$21*'TR TUSD'!$O$95</f>
        <v>0</v>
      </c>
      <c r="P21" s="20">
        <f>'TR TUSD'!$P$21*'TR TUSD'!$P$95</f>
        <v>0</v>
      </c>
      <c r="Q21" s="20">
        <f>'TR TUSD'!$Q$21*'TR TUSD'!$Q$95</f>
        <v>54.73091180949757</v>
      </c>
      <c r="R21" s="20">
        <f>'TR TUSD'!$R$21*'TR TUSD'!$R$95</f>
        <v>7.9721317603751451</v>
      </c>
      <c r="S21" s="20">
        <f>'TR TUSD'!$S$21*'TR TUSD'!$S$95</f>
        <v>0</v>
      </c>
      <c r="T21" s="20">
        <f ca="1">SUM($L$21:$S$21)</f>
        <v>69.052561455291979</v>
      </c>
      <c r="U21" s="20">
        <f>'TR TUSD'!$U$21*'TR TUSD'!$U$95</f>
        <v>187.19884282694392</v>
      </c>
      <c r="V21" s="20">
        <f>'TR TUSD'!$V$21*'TR TUSD'!$V$95</f>
        <v>47.005520373871718</v>
      </c>
      <c r="W21" s="20">
        <f>'TR TUSD'!$W$21*'TR TUSD'!$W$95</f>
        <v>6.5677470271692631</v>
      </c>
      <c r="X21" s="20">
        <f>'TR TUSD'!$X$21*'TR TUSD'!$X$95</f>
        <v>0</v>
      </c>
      <c r="Y21" s="20">
        <f>'TR TUSD'!$Y$21*'TR TUSD'!$Y$95</f>
        <v>0</v>
      </c>
      <c r="Z21" s="20">
        <f>'TR TUSD'!$Z$21</f>
        <v>0</v>
      </c>
      <c r="AA21" s="20">
        <f>'TR TUSD'!$AA$21</f>
        <v>0</v>
      </c>
      <c r="AB21" s="20">
        <f>SUM($U$21:$AA$21)</f>
        <v>240.77211022798491</v>
      </c>
      <c r="AC21" s="20">
        <f>'TR TUSD'!$AC$21*'TR TUSD'!$AC$95</f>
        <v>401.7575513446821</v>
      </c>
      <c r="AD21" s="20">
        <f>SUM($AC$21:$AC$21)</f>
        <v>401.7575513446821</v>
      </c>
      <c r="AE21" s="20">
        <v>0</v>
      </c>
      <c r="AF21" s="20">
        <v>0</v>
      </c>
      <c r="AG21" s="20">
        <f>SUM($AE$21:$AF$21)</f>
        <v>0</v>
      </c>
      <c r="AH21" s="20">
        <f>'TR TUSD'!$AH$21*'TR TUSD'!$AH$95</f>
        <v>11.630143029956916</v>
      </c>
      <c r="AI21" s="20">
        <f>'TR TUSD'!$AI$21*'TR TUSD'!$AI$95</f>
        <v>0.43715783417458431</v>
      </c>
      <c r="AJ21" s="20">
        <f ca="1">'TR TUSD'!$AJ$21*'TR TUSD'!$AJ$95</f>
        <v>8.5274339867040627</v>
      </c>
      <c r="AK21" s="20">
        <f ca="1">'TR TUSD'!$AK$21*'TR TUSD'!$AK$95</f>
        <v>1.9679631038576393</v>
      </c>
      <c r="AL21" s="20">
        <f ca="1">SUM($AH$21:$AK$21)</f>
        <v>22.562697954693203</v>
      </c>
      <c r="AM21" s="20">
        <f ca="1">SUMIF($L$4:$AL$4,"SUBTOTAL",$L$21:$AL$21)</f>
        <v>734.14492098265225</v>
      </c>
      <c r="AP21" s="20">
        <v>1</v>
      </c>
    </row>
    <row r="22" spans="1:42" ht="11.25" customHeight="1" x14ac:dyDescent="0.25">
      <c r="A22" s="119"/>
      <c r="B22" s="119"/>
      <c r="C22" s="119"/>
      <c r="D22" s="119"/>
      <c r="E22" s="119"/>
      <c r="F22" s="119"/>
      <c r="G22" s="21" t="s">
        <v>90</v>
      </c>
      <c r="H22" s="21" t="s">
        <v>88</v>
      </c>
      <c r="I22" s="21">
        <f>'MERCADO TUSD'!$U$19</f>
        <v>6790.7199999999993</v>
      </c>
      <c r="J22" s="17"/>
      <c r="L22" s="20">
        <f>'TR TUSD'!$L$22*'TR TUSD'!$L$95</f>
        <v>0</v>
      </c>
      <c r="M22" s="20">
        <f>'TR TUSD'!$M$22*'TR TUSD'!$M$95</f>
        <v>0.21725393155117029</v>
      </c>
      <c r="N22" s="20">
        <f ca="1">'TR TUSD'!$N$22*'TR TUSD'!$N$95</f>
        <v>0.47121547226682686</v>
      </c>
      <c r="O22" s="20">
        <f>'TR TUSD'!$O$22*'TR TUSD'!$O$95</f>
        <v>0</v>
      </c>
      <c r="P22" s="20">
        <f>'TR TUSD'!$P$22*'TR TUSD'!$P$95</f>
        <v>0</v>
      </c>
      <c r="Q22" s="20">
        <f>'TR TUSD'!$Q$22*'TR TUSD'!$Q$95</f>
        <v>54.73091180949757</v>
      </c>
      <c r="R22" s="20">
        <f>'TR TUSD'!$R$22*'TR TUSD'!$R$95</f>
        <v>7.9721317603751451</v>
      </c>
      <c r="S22" s="20">
        <f>'TR TUSD'!$S$22*'TR TUSD'!$S$95</f>
        <v>0</v>
      </c>
      <c r="T22" s="20">
        <f ca="1">SUM($L$22:$S$22)</f>
        <v>63.391512973690709</v>
      </c>
      <c r="U22" s="20">
        <f>'TR TUSD'!$U$22*'TR TUSD'!$U$95</f>
        <v>0</v>
      </c>
      <c r="V22" s="20">
        <f>'TR TUSD'!$V$22*'TR TUSD'!$V$95</f>
        <v>0</v>
      </c>
      <c r="W22" s="20">
        <f>'TR TUSD'!$W$22*'TR TUSD'!$W$95</f>
        <v>0</v>
      </c>
      <c r="X22" s="20">
        <f>'TR TUSD'!$X$22*'TR TUSD'!$X$95</f>
        <v>0</v>
      </c>
      <c r="Y22" s="20">
        <f>'TR TUSD'!$Y$22*'TR TUSD'!$Y$95</f>
        <v>0</v>
      </c>
      <c r="Z22" s="20">
        <f>'TR TUSD'!$Z$22</f>
        <v>0</v>
      </c>
      <c r="AA22" s="20">
        <f>'TR TUSD'!$AA$22</f>
        <v>0</v>
      </c>
      <c r="AB22" s="20">
        <f>SUM($U$22:$AA$22)</f>
        <v>0</v>
      </c>
      <c r="AC22" s="20">
        <f>'TR TUSD'!$AC$22*'TR TUSD'!$AC$95</f>
        <v>0</v>
      </c>
      <c r="AD22" s="20">
        <f>SUM($AC$22:$AC$22)</f>
        <v>0</v>
      </c>
      <c r="AE22" s="20">
        <v>0</v>
      </c>
      <c r="AF22" s="20">
        <v>0</v>
      </c>
      <c r="AG22" s="20">
        <f>SUM($AE$22:$AF$22)</f>
        <v>0</v>
      </c>
      <c r="AH22" s="20">
        <f>'TR TUSD'!$AH$22*'TR TUSD'!$AH$95</f>
        <v>11.630143029956916</v>
      </c>
      <c r="AI22" s="20">
        <f>'TR TUSD'!$AI$22*'TR TUSD'!$AI$95</f>
        <v>0.43715783417458431</v>
      </c>
      <c r="AJ22" s="20">
        <f ca="1">'TR TUSD'!$AJ$22*'TR TUSD'!$AJ$95</f>
        <v>8.5274339867040627</v>
      </c>
      <c r="AK22" s="20">
        <f ca="1">'TR TUSD'!$AK$22*'TR TUSD'!$AK$95</f>
        <v>1.9679631038576393</v>
      </c>
      <c r="AL22" s="20">
        <f ca="1">SUM($AH$22:$AK$22)</f>
        <v>22.562697954693203</v>
      </c>
      <c r="AM22" s="20">
        <f ca="1">SUMIF($L$4:$AL$4,"SUBTOTAL",$L$22:$AL$22)</f>
        <v>85.954210928383915</v>
      </c>
      <c r="AP22" s="20">
        <v>1</v>
      </c>
    </row>
    <row r="23" spans="1:42" ht="11.25" customHeight="1" x14ac:dyDescent="0.25">
      <c r="A23" s="119"/>
      <c r="B23" s="119"/>
      <c r="C23" s="119"/>
      <c r="D23" s="119"/>
      <c r="E23" s="119" t="s">
        <v>61</v>
      </c>
      <c r="F23" s="119" t="s">
        <v>25</v>
      </c>
      <c r="G23" s="21" t="s">
        <v>89</v>
      </c>
      <c r="H23" s="21" t="s">
        <v>88</v>
      </c>
      <c r="I23" s="21">
        <f>'MERCADO TUSD'!$U$20</f>
        <v>0</v>
      </c>
      <c r="J23" s="17"/>
      <c r="L23" s="20">
        <f>'TR TUSD'!$L$23*'TR TUSD'!$L$95</f>
        <v>0</v>
      </c>
      <c r="M23" s="20">
        <f>'TR TUSD'!$M$23*'TR TUSD'!$M$95</f>
        <v>0.21725393155117029</v>
      </c>
      <c r="N23" s="20">
        <f ca="1">'TR TUSD'!$N$23*'TR TUSD'!$N$95</f>
        <v>6.1177953972620402</v>
      </c>
      <c r="O23" s="20">
        <f>'TR TUSD'!$O$23*'TR TUSD'!$O$95</f>
        <v>0</v>
      </c>
      <c r="P23" s="20">
        <f>'TR TUSD'!$P$23*'TR TUSD'!$P$95</f>
        <v>0</v>
      </c>
      <c r="Q23" s="20">
        <f>'TR TUSD'!$Q$23*'TR TUSD'!$Q$95</f>
        <v>0</v>
      </c>
      <c r="R23" s="20">
        <f>'TR TUSD'!$R$23*'TR TUSD'!$R$95</f>
        <v>0</v>
      </c>
      <c r="S23" s="20">
        <f>'TR TUSD'!$S$23*'TR TUSD'!$S$95</f>
        <v>0</v>
      </c>
      <c r="T23" s="20">
        <f ca="1">SUM($L$23:$S$23)</f>
        <v>6.3350493288132101</v>
      </c>
      <c r="U23" s="20">
        <f>'TR TUSD'!$U$23*'TR TUSD'!$U$95</f>
        <v>187.19884282694392</v>
      </c>
      <c r="V23" s="20">
        <f>'TR TUSD'!$V$23*'TR TUSD'!$V$95</f>
        <v>47.005520373871718</v>
      </c>
      <c r="W23" s="20">
        <f>'TR TUSD'!$W$23*'TR TUSD'!$W$95</f>
        <v>6.5677470271692631</v>
      </c>
      <c r="X23" s="20">
        <f>'TR TUSD'!$X$23*'TR TUSD'!$X$95</f>
        <v>0</v>
      </c>
      <c r="Y23" s="20">
        <f>'TR TUSD'!$Y$23*'TR TUSD'!$Y$95</f>
        <v>0</v>
      </c>
      <c r="Z23" s="20">
        <f>'TR TUSD'!$Z$23</f>
        <v>0</v>
      </c>
      <c r="AA23" s="20">
        <f>'TR TUSD'!$AA$23</f>
        <v>0</v>
      </c>
      <c r="AB23" s="20">
        <f>SUM($U$23:$AA$23)</f>
        <v>240.77211022798491</v>
      </c>
      <c r="AC23" s="20">
        <f>'TR TUSD'!$AC$23*'TR TUSD'!$AC$95</f>
        <v>401.7575513446821</v>
      </c>
      <c r="AD23" s="20">
        <f>SUM($AC$23:$AC$23)</f>
        <v>401.7575513446821</v>
      </c>
      <c r="AE23" s="20">
        <v>0</v>
      </c>
      <c r="AF23" s="20">
        <v>0</v>
      </c>
      <c r="AG23" s="20">
        <f>SUM($AE$23:$AF$23)</f>
        <v>0</v>
      </c>
      <c r="AH23" s="20">
        <f>'TR TUSD'!$AH$23*'TR TUSD'!$AH$95</f>
        <v>11.630143029956916</v>
      </c>
      <c r="AI23" s="20">
        <f>'TR TUSD'!$AI$23*'TR TUSD'!$AI$95</f>
        <v>0.43715783417458431</v>
      </c>
      <c r="AJ23" s="20">
        <f ca="1">'TR TUSD'!$AJ$23*'TR TUSD'!$AJ$95</f>
        <v>8.5274339867040627</v>
      </c>
      <c r="AK23" s="20">
        <f ca="1">'TR TUSD'!$AK$23*'TR TUSD'!$AK$95</f>
        <v>1.9679631038576393</v>
      </c>
      <c r="AL23" s="20">
        <f ca="1">SUM($AH$23:$AK$23)</f>
        <v>22.562697954693203</v>
      </c>
      <c r="AM23" s="20">
        <f ca="1">SUMIF($L$4:$AL$4,"SUBTOTAL",$L$23:$AL$23)</f>
        <v>671.42740885617343</v>
      </c>
      <c r="AP23" s="20">
        <v>1</v>
      </c>
    </row>
    <row r="24" spans="1:42" ht="11.25" customHeight="1" x14ac:dyDescent="0.25">
      <c r="A24" s="119"/>
      <c r="B24" s="119"/>
      <c r="C24" s="119"/>
      <c r="D24" s="119"/>
      <c r="E24" s="119"/>
      <c r="F24" s="119"/>
      <c r="G24" s="21" t="s">
        <v>90</v>
      </c>
      <c r="H24" s="21" t="s">
        <v>88</v>
      </c>
      <c r="I24" s="21">
        <f>'MERCADO TUSD'!$U$21</f>
        <v>0</v>
      </c>
      <c r="J24" s="17"/>
      <c r="L24" s="20">
        <f>'TR TUSD'!$L$24*'TR TUSD'!$L$95</f>
        <v>0</v>
      </c>
      <c r="M24" s="20">
        <f>'TR TUSD'!$M$24*'TR TUSD'!$M$95</f>
        <v>0.21725393155117029</v>
      </c>
      <c r="N24" s="20">
        <f ca="1">'TR TUSD'!$N$24*'TR TUSD'!$N$95</f>
        <v>0.45674691566077391</v>
      </c>
      <c r="O24" s="20">
        <f>'TR TUSD'!$O$24*'TR TUSD'!$O$95</f>
        <v>0</v>
      </c>
      <c r="P24" s="20">
        <f>'TR TUSD'!$P$24*'TR TUSD'!$P$95</f>
        <v>0</v>
      </c>
      <c r="Q24" s="20">
        <f>'TR TUSD'!$Q$24*'TR TUSD'!$Q$95</f>
        <v>0</v>
      </c>
      <c r="R24" s="20">
        <f>'TR TUSD'!$R$24*'TR TUSD'!$R$95</f>
        <v>0</v>
      </c>
      <c r="S24" s="20">
        <f>'TR TUSD'!$S$24*'TR TUSD'!$S$95</f>
        <v>0</v>
      </c>
      <c r="T24" s="20">
        <f ca="1">SUM($L$24:$S$24)</f>
        <v>0.6740008472119442</v>
      </c>
      <c r="U24" s="20">
        <f>'TR TUSD'!$U$24*'TR TUSD'!$U$95</f>
        <v>0</v>
      </c>
      <c r="V24" s="20">
        <f>'TR TUSD'!$V$24*'TR TUSD'!$V$95</f>
        <v>0</v>
      </c>
      <c r="W24" s="20">
        <f>'TR TUSD'!$W$24*'TR TUSD'!$W$95</f>
        <v>0</v>
      </c>
      <c r="X24" s="20">
        <f>'TR TUSD'!$X$24*'TR TUSD'!$X$95</f>
        <v>0</v>
      </c>
      <c r="Y24" s="20">
        <f>'TR TUSD'!$Y$24*'TR TUSD'!$Y$95</f>
        <v>0</v>
      </c>
      <c r="Z24" s="20">
        <f>'TR TUSD'!$Z$24</f>
        <v>0</v>
      </c>
      <c r="AA24" s="20">
        <f>'TR TUSD'!$AA$24</f>
        <v>0</v>
      </c>
      <c r="AB24" s="20">
        <f>SUM($U$24:$AA$24)</f>
        <v>0</v>
      </c>
      <c r="AC24" s="20">
        <f>'TR TUSD'!$AC$24*'TR TUSD'!$AC$95</f>
        <v>0</v>
      </c>
      <c r="AD24" s="20">
        <f>SUM($AC$24:$AC$24)</f>
        <v>0</v>
      </c>
      <c r="AE24" s="20">
        <v>0</v>
      </c>
      <c r="AF24" s="20">
        <v>0</v>
      </c>
      <c r="AG24" s="20">
        <f>SUM($AE$24:$AF$24)</f>
        <v>0</v>
      </c>
      <c r="AH24" s="20">
        <f>'TR TUSD'!$AH$24*'TR TUSD'!$AH$95</f>
        <v>11.630143029956916</v>
      </c>
      <c r="AI24" s="20">
        <f>'TR TUSD'!$AI$24*'TR TUSD'!$AI$95</f>
        <v>0.43715783417458431</v>
      </c>
      <c r="AJ24" s="20">
        <f ca="1">'TR TUSD'!$AJ$24*'TR TUSD'!$AJ$95</f>
        <v>8.5274339867040627</v>
      </c>
      <c r="AK24" s="20">
        <f ca="1">'TR TUSD'!$AK$24*'TR TUSD'!$AK$95</f>
        <v>1.9679631038576393</v>
      </c>
      <c r="AL24" s="20">
        <f ca="1">SUM($AH$24:$AK$24)</f>
        <v>22.562697954693203</v>
      </c>
      <c r="AM24" s="20">
        <f ca="1">SUMIF($L$4:$AL$4,"SUBTOTAL",$L$24:$AL$24)</f>
        <v>23.236698801905145</v>
      </c>
      <c r="AP24" s="20">
        <v>1</v>
      </c>
    </row>
    <row r="25" spans="1:42" ht="11.25" customHeight="1" x14ac:dyDescent="0.25">
      <c r="A25" s="119"/>
      <c r="B25" s="119" t="s">
        <v>23</v>
      </c>
      <c r="C25" s="119" t="s">
        <v>25</v>
      </c>
      <c r="D25" s="119" t="s">
        <v>25</v>
      </c>
      <c r="E25" s="119" t="s">
        <v>25</v>
      </c>
      <c r="F25" s="119" t="s">
        <v>25</v>
      </c>
      <c r="G25" s="21" t="s">
        <v>9</v>
      </c>
      <c r="H25" s="21" t="s">
        <v>91</v>
      </c>
      <c r="I25" s="21">
        <f>'MERCADO TUSD'!$U$22</f>
        <v>0</v>
      </c>
      <c r="J25" s="17"/>
      <c r="L25" s="20">
        <f>'TR TUSD'!$L$25*'TR TUSD'!$L$95</f>
        <v>0</v>
      </c>
      <c r="M25" s="20">
        <f>'TR TUSD'!$M$25*'TR TUSD'!$M$95</f>
        <v>0</v>
      </c>
      <c r="N25" s="20">
        <f ca="1">'TR TUSD'!$N$25*'TR TUSD'!$N$95</f>
        <v>0</v>
      </c>
      <c r="O25" s="20">
        <f>'TR TUSD'!$O$25*'TR TUSD'!$O$95</f>
        <v>0</v>
      </c>
      <c r="P25" s="20">
        <f>'TR TUSD'!$P$25*'TR TUSD'!$P$95</f>
        <v>0</v>
      </c>
      <c r="Q25" s="20">
        <f>'TR TUSD'!$Q$25*'TR TUSD'!$Q$95</f>
        <v>0</v>
      </c>
      <c r="R25" s="20">
        <f>'TR TUSD'!$R$25*'TR TUSD'!$R$95</f>
        <v>0</v>
      </c>
      <c r="S25" s="20">
        <f>'TR TUSD'!$S$25*'TR TUSD'!$S$95</f>
        <v>0</v>
      </c>
      <c r="T25" s="20">
        <f ca="1">SUM($L$25:$S$25)</f>
        <v>0</v>
      </c>
      <c r="U25" s="20">
        <f>'TR TUSD'!$U$25*'TR TUSD'!$U$95</f>
        <v>10.692189449908458</v>
      </c>
      <c r="V25" s="20">
        <f>'TR TUSD'!$V$25*'TR TUSD'!$V$95</f>
        <v>2.7977265470591934</v>
      </c>
      <c r="W25" s="20">
        <f>'TR TUSD'!$W$25*'TR TUSD'!$W$95</f>
        <v>0.37107263610675645</v>
      </c>
      <c r="X25" s="20">
        <f>'TR TUSD'!$X$25*'TR TUSD'!$X$95</f>
        <v>0</v>
      </c>
      <c r="Y25" s="20">
        <f>'TR TUSD'!$Y$25*'TR TUSD'!$Y$95</f>
        <v>0</v>
      </c>
      <c r="Z25" s="20">
        <f>'TR TUSD'!$Z$25</f>
        <v>0</v>
      </c>
      <c r="AA25" s="20">
        <f>'TR TUSD'!$AA$25</f>
        <v>0</v>
      </c>
      <c r="AB25" s="20">
        <f>SUM($U$25:$AA$25)</f>
        <v>13.860988633074408</v>
      </c>
      <c r="AC25" s="20">
        <f>'TR TUSD'!$AC$25*'TR TUSD'!$AC$95</f>
        <v>16.48944614073158</v>
      </c>
      <c r="AD25" s="20">
        <f>SUM($AC$25:$AC$25)</f>
        <v>16.48944614073158</v>
      </c>
      <c r="AE25" s="20">
        <v>0</v>
      </c>
      <c r="AF25" s="20">
        <v>0</v>
      </c>
      <c r="AG25" s="20">
        <f>SUM($AE$25:$AF$25)</f>
        <v>0</v>
      </c>
      <c r="AH25" s="20">
        <f>'TR TUSD'!$AH$25*'TR TUSD'!$AH$95</f>
        <v>0</v>
      </c>
      <c r="AI25" s="20">
        <f>'TR TUSD'!$AI$25*'TR TUSD'!$AI$95</f>
        <v>0</v>
      </c>
      <c r="AJ25" s="20">
        <f ca="1">'TR TUSD'!$AJ$25*'TR TUSD'!$AJ$95</f>
        <v>0</v>
      </c>
      <c r="AK25" s="20">
        <f ca="1">'TR TUSD'!$AK$25*'TR TUSD'!$AK$95</f>
        <v>0</v>
      </c>
      <c r="AL25" s="20">
        <f ca="1">SUM($AH$25:$AK$25)</f>
        <v>0</v>
      </c>
      <c r="AM25" s="20">
        <f ca="1">SUMIF($L$4:$AL$4,"SUBTOTAL",$L$25:$AL$25)</f>
        <v>30.350434773805986</v>
      </c>
      <c r="AP25" s="20">
        <v>1</v>
      </c>
    </row>
    <row r="26" spans="1:42" ht="11.25" customHeight="1" x14ac:dyDescent="0.25">
      <c r="A26" s="119"/>
      <c r="B26" s="119"/>
      <c r="C26" s="119"/>
      <c r="D26" s="119"/>
      <c r="E26" s="119"/>
      <c r="F26" s="119"/>
      <c r="G26" s="21" t="s">
        <v>94</v>
      </c>
      <c r="H26" s="21" t="s">
        <v>88</v>
      </c>
      <c r="I26" s="21">
        <f>'MERCADO TUSD'!$U$23</f>
        <v>0</v>
      </c>
      <c r="J26" s="17"/>
      <c r="L26" s="20">
        <f>'TR TUSD'!$L$26*'TR TUSD'!$L$95</f>
        <v>0</v>
      </c>
      <c r="M26" s="20">
        <f>'TR TUSD'!$M$26*'TR TUSD'!$M$95</f>
        <v>0.21725393155117029</v>
      </c>
      <c r="N26" s="20">
        <f ca="1">'TR TUSD'!$N$26*'TR TUSD'!$N$95</f>
        <v>0.47121547226682686</v>
      </c>
      <c r="O26" s="20">
        <f>'TR TUSD'!$O$26*'TR TUSD'!$O$95</f>
        <v>0</v>
      </c>
      <c r="P26" s="20">
        <f>'TR TUSD'!$P$26*'TR TUSD'!$P$95</f>
        <v>0</v>
      </c>
      <c r="Q26" s="20">
        <f>'TR TUSD'!$Q$26*'TR TUSD'!$Q$95</f>
        <v>54.73091180949757</v>
      </c>
      <c r="R26" s="20">
        <f>'TR TUSD'!$R$26*'TR TUSD'!$R$95</f>
        <v>7.9721317603751451</v>
      </c>
      <c r="S26" s="20">
        <f>'TR TUSD'!$S$26*'TR TUSD'!$S$95</f>
        <v>0</v>
      </c>
      <c r="T26" s="20">
        <f ca="1">SUM($L$26:$S$26)</f>
        <v>63.391512973690709</v>
      </c>
      <c r="U26" s="20">
        <f>'TR TUSD'!$U$26*'TR TUSD'!$U$95</f>
        <v>0</v>
      </c>
      <c r="V26" s="20">
        <f>'TR TUSD'!$V$26*'TR TUSD'!$V$95</f>
        <v>0</v>
      </c>
      <c r="W26" s="20">
        <f>'TR TUSD'!$W$26*'TR TUSD'!$W$95</f>
        <v>0</v>
      </c>
      <c r="X26" s="20">
        <f>'TR TUSD'!$X$26*'TR TUSD'!$X$95</f>
        <v>0</v>
      </c>
      <c r="Y26" s="20">
        <f>'TR TUSD'!$Y$26*'TR TUSD'!$Y$95</f>
        <v>0</v>
      </c>
      <c r="Z26" s="20">
        <f>'TR TUSD'!$Z$26</f>
        <v>0</v>
      </c>
      <c r="AA26" s="20">
        <f>'TR TUSD'!$AA$26</f>
        <v>0</v>
      </c>
      <c r="AB26" s="20">
        <f>SUM($U$26:$AA$26)</f>
        <v>0</v>
      </c>
      <c r="AC26" s="20">
        <f>'TR TUSD'!$AC$26*'TR TUSD'!$AC$95</f>
        <v>0</v>
      </c>
      <c r="AD26" s="20">
        <f>SUM($AC$26:$AC$26)</f>
        <v>0</v>
      </c>
      <c r="AE26" s="20">
        <v>0</v>
      </c>
      <c r="AF26" s="20">
        <v>0</v>
      </c>
      <c r="AG26" s="20">
        <f>SUM($AE$26:$AF$26)</f>
        <v>0</v>
      </c>
      <c r="AH26" s="20">
        <f>'TR TUSD'!$AH$26*'TR TUSD'!$AH$95</f>
        <v>11.630143029956916</v>
      </c>
      <c r="AI26" s="20">
        <f>'TR TUSD'!$AI$26*'TR TUSD'!$AI$95</f>
        <v>0.43715783417458431</v>
      </c>
      <c r="AJ26" s="20">
        <f ca="1">'TR TUSD'!$AJ$26*'TR TUSD'!$AJ$95</f>
        <v>8.5274339867040627</v>
      </c>
      <c r="AK26" s="20">
        <f ca="1">'TR TUSD'!$AK$26*'TR TUSD'!$AK$95</f>
        <v>1.9679631038576393</v>
      </c>
      <c r="AL26" s="20">
        <f ca="1">SUM($AH$26:$AK$26)</f>
        <v>22.562697954693203</v>
      </c>
      <c r="AM26" s="20">
        <f ca="1">SUMIF($L$4:$AL$4,"SUBTOTAL",$L$26:$AL$26)</f>
        <v>85.954210928383915</v>
      </c>
      <c r="AP26" s="20">
        <v>1</v>
      </c>
    </row>
    <row r="27" spans="1:42" ht="11.25" customHeight="1" x14ac:dyDescent="0.25">
      <c r="A27" s="119" t="s">
        <v>33</v>
      </c>
      <c r="B27" s="119" t="s">
        <v>41</v>
      </c>
      <c r="C27" s="119" t="s">
        <v>25</v>
      </c>
      <c r="D27" s="119" t="s">
        <v>25</v>
      </c>
      <c r="E27" s="119" t="s">
        <v>25</v>
      </c>
      <c r="F27" s="119" t="s">
        <v>25</v>
      </c>
      <c r="G27" s="21" t="s">
        <v>92</v>
      </c>
      <c r="H27" s="21" t="s">
        <v>91</v>
      </c>
      <c r="I27" s="21">
        <f>'MERCADO TUSD'!$U$24</f>
        <v>1516519</v>
      </c>
      <c r="J27" s="17"/>
      <c r="L27" s="20">
        <f>'TR TUSD'!$L$27*'TR TUSD'!$L$95</f>
        <v>0</v>
      </c>
      <c r="M27" s="20">
        <f>'TR TUSD'!$M$27*'TR TUSD'!$M$95</f>
        <v>0</v>
      </c>
      <c r="N27" s="20">
        <f ca="1">'TR TUSD'!$N$27*'TR TUSD'!$N$95</f>
        <v>0</v>
      </c>
      <c r="O27" s="20">
        <f>'TR TUSD'!$O$27*'TR TUSD'!$O$95</f>
        <v>0</v>
      </c>
      <c r="P27" s="20">
        <f>'TR TUSD'!$P$27*'TR TUSD'!$P$95</f>
        <v>0</v>
      </c>
      <c r="Q27" s="20">
        <f>'TR TUSD'!$Q$27*'TR TUSD'!$Q$95</f>
        <v>0</v>
      </c>
      <c r="R27" s="20">
        <f>'TR TUSD'!$R$27*'TR TUSD'!$R$95</f>
        <v>0</v>
      </c>
      <c r="S27" s="20">
        <f>'TR TUSD'!$S$27*'TR TUSD'!$S$95</f>
        <v>0</v>
      </c>
      <c r="T27" s="20">
        <f ca="1">SUM($L$27:$S$27)</f>
        <v>0</v>
      </c>
      <c r="U27" s="20">
        <f>'TR TUSD'!$U$27*'TR TUSD'!$U$95</f>
        <v>7.7836271510126442</v>
      </c>
      <c r="V27" s="20">
        <f>'TR TUSD'!$V$27*'TR TUSD'!$V$95</f>
        <v>1.9544731054214688</v>
      </c>
      <c r="W27" s="20">
        <f>'TR TUSD'!$W$27*'TR TUSD'!$W$95</f>
        <v>0.27323354877314221</v>
      </c>
      <c r="X27" s="20">
        <f>'TR TUSD'!$X$27*'TR TUSD'!$X$95</f>
        <v>0</v>
      </c>
      <c r="Y27" s="20">
        <f>'TR TUSD'!$Y$27*'TR TUSD'!$Y$95</f>
        <v>0</v>
      </c>
      <c r="Z27" s="20">
        <f>'TR TUSD'!$Z$27</f>
        <v>0</v>
      </c>
      <c r="AA27" s="20">
        <f>'TR TUSD'!$AA$27</f>
        <v>0</v>
      </c>
      <c r="AB27" s="20">
        <f>SUM($U$27:$AA$27)</f>
        <v>10.011333805207254</v>
      </c>
      <c r="AC27" s="20">
        <f>'TR TUSD'!$AC$27*'TR TUSD'!$AC$95</f>
        <v>16.705046257801943</v>
      </c>
      <c r="AD27" s="20">
        <f>SUM($AC$27:$AC$27)</f>
        <v>16.705046257801943</v>
      </c>
      <c r="AE27" s="20">
        <v>0</v>
      </c>
      <c r="AF27" s="20">
        <v>0</v>
      </c>
      <c r="AG27" s="20">
        <f>SUM($AE$27:$AF$27)</f>
        <v>0</v>
      </c>
      <c r="AH27" s="20">
        <f>'TR TUSD'!$AH$27*'TR TUSD'!$AH$95</f>
        <v>0</v>
      </c>
      <c r="AI27" s="20">
        <f>'TR TUSD'!$AI$27*'TR TUSD'!$AI$95</f>
        <v>0</v>
      </c>
      <c r="AJ27" s="20">
        <f ca="1">'TR TUSD'!$AJ$27*'TR TUSD'!$AJ$95</f>
        <v>0</v>
      </c>
      <c r="AK27" s="20">
        <f ca="1">'TR TUSD'!$AK$27*'TR TUSD'!$AK$95</f>
        <v>0</v>
      </c>
      <c r="AL27" s="20">
        <f ca="1">SUM($AH$27:$AK$27)</f>
        <v>0</v>
      </c>
      <c r="AM27" s="20">
        <f ca="1">SUMIF($L$4:$AL$4,"SUBTOTAL",$L$27:$AL$27)</f>
        <v>26.716380063009197</v>
      </c>
      <c r="AP27" s="20">
        <v>1</v>
      </c>
    </row>
    <row r="28" spans="1:42" ht="11.25" customHeight="1" x14ac:dyDescent="0.25">
      <c r="A28" s="119"/>
      <c r="B28" s="119"/>
      <c r="C28" s="119"/>
      <c r="D28" s="119"/>
      <c r="E28" s="119"/>
      <c r="F28" s="119"/>
      <c r="G28" s="21" t="s">
        <v>93</v>
      </c>
      <c r="H28" s="21" t="s">
        <v>91</v>
      </c>
      <c r="I28" s="21">
        <f>'MERCADO TUSD'!$U$25</f>
        <v>1745724</v>
      </c>
      <c r="J28" s="17"/>
      <c r="L28" s="20">
        <f>'TR TUSD'!$L$28*'TR TUSD'!$L$95</f>
        <v>0</v>
      </c>
      <c r="M28" s="20">
        <f>'TR TUSD'!$M$28*'TR TUSD'!$M$95</f>
        <v>0</v>
      </c>
      <c r="N28" s="20">
        <f ca="1">'TR TUSD'!$N$28*'TR TUSD'!$N$95</f>
        <v>0</v>
      </c>
      <c r="O28" s="20">
        <f>'TR TUSD'!$O$28*'TR TUSD'!$O$95</f>
        <v>0</v>
      </c>
      <c r="P28" s="20">
        <f>'TR TUSD'!$P$28*'TR TUSD'!$P$95</f>
        <v>0</v>
      </c>
      <c r="Q28" s="20">
        <f>'TR TUSD'!$Q$28*'TR TUSD'!$Q$95</f>
        <v>0</v>
      </c>
      <c r="R28" s="20">
        <f>'TR TUSD'!$R$28*'TR TUSD'!$R$95</f>
        <v>0</v>
      </c>
      <c r="S28" s="20">
        <f>'TR TUSD'!$S$28*'TR TUSD'!$S$95</f>
        <v>0</v>
      </c>
      <c r="T28" s="20">
        <f ca="1">SUM($L$28:$S$28)</f>
        <v>0</v>
      </c>
      <c r="U28" s="20">
        <f>'TR TUSD'!$U$28*'TR TUSD'!$U$95</f>
        <v>5.0876257293118119</v>
      </c>
      <c r="V28" s="20">
        <f>'TR TUSD'!$V$28*'TR TUSD'!$V$95</f>
        <v>1.3902405980645018</v>
      </c>
      <c r="W28" s="20">
        <f>'TR TUSD'!$W$28*'TR TUSD'!$W$95</f>
        <v>0.17479788163871324</v>
      </c>
      <c r="X28" s="20">
        <f>'TR TUSD'!$X$28*'TR TUSD'!$X$95</f>
        <v>0</v>
      </c>
      <c r="Y28" s="20">
        <f>'TR TUSD'!$Y$28*'TR TUSD'!$Y$95</f>
        <v>0</v>
      </c>
      <c r="Z28" s="20">
        <f>'TR TUSD'!$Z$28</f>
        <v>0</v>
      </c>
      <c r="AA28" s="20">
        <f>'TR TUSD'!$AA$28</f>
        <v>0</v>
      </c>
      <c r="AB28" s="20">
        <f>SUM($U$28:$AA$28)</f>
        <v>6.6526642090150263</v>
      </c>
      <c r="AC28" s="20">
        <f>'TR TUSD'!$AC$28*'TR TUSD'!$AC$95</f>
        <v>4.4617852677044318</v>
      </c>
      <c r="AD28" s="20">
        <f>SUM($AC$28:$AC$28)</f>
        <v>4.4617852677044318</v>
      </c>
      <c r="AE28" s="20">
        <v>0</v>
      </c>
      <c r="AF28" s="20">
        <v>0</v>
      </c>
      <c r="AG28" s="20">
        <f>SUM($AE$28:$AF$28)</f>
        <v>0</v>
      </c>
      <c r="AH28" s="20">
        <f>'TR TUSD'!$AH$28*'TR TUSD'!$AH$95</f>
        <v>0</v>
      </c>
      <c r="AI28" s="20">
        <f>'TR TUSD'!$AI$28*'TR TUSD'!$AI$95</f>
        <v>0</v>
      </c>
      <c r="AJ28" s="20">
        <f ca="1">'TR TUSD'!$AJ$28*'TR TUSD'!$AJ$95</f>
        <v>0</v>
      </c>
      <c r="AK28" s="20">
        <f ca="1">'TR TUSD'!$AK$28*'TR TUSD'!$AK$95</f>
        <v>0</v>
      </c>
      <c r="AL28" s="20">
        <f ca="1">SUM($AH$28:$AK$28)</f>
        <v>0</v>
      </c>
      <c r="AM28" s="20">
        <f ca="1">SUMIF($L$4:$AL$4,"SUBTOTAL",$L$28:$AL$28)</f>
        <v>11.114449476719457</v>
      </c>
      <c r="AP28" s="20">
        <v>1</v>
      </c>
    </row>
    <row r="29" spans="1:42" ht="11.25" customHeight="1" x14ac:dyDescent="0.25">
      <c r="A29" s="119"/>
      <c r="B29" s="119"/>
      <c r="C29" s="119"/>
      <c r="D29" s="119"/>
      <c r="E29" s="119"/>
      <c r="F29" s="119"/>
      <c r="G29" s="21" t="s">
        <v>94</v>
      </c>
      <c r="H29" s="21" t="s">
        <v>88</v>
      </c>
      <c r="I29" s="21">
        <f>'MERCADO TUSD'!$U$26</f>
        <v>639922.91000000015</v>
      </c>
      <c r="J29" s="17"/>
      <c r="L29" s="20">
        <f>'TR TUSD'!$L$29*'TR TUSD'!$L$95</f>
        <v>0</v>
      </c>
      <c r="M29" s="20">
        <f>'TR TUSD'!$M$29*'TR TUSD'!$M$95</f>
        <v>0.21725393155117029</v>
      </c>
      <c r="N29" s="20">
        <f ca="1">'TR TUSD'!$N$29*'TR TUSD'!$N$95</f>
        <v>0.47121547226682686</v>
      </c>
      <c r="O29" s="20">
        <f>'TR TUSD'!$O$29*'TR TUSD'!$O$95</f>
        <v>0</v>
      </c>
      <c r="P29" s="20">
        <f>'TR TUSD'!$P$29*'TR TUSD'!$P$95</f>
        <v>0</v>
      </c>
      <c r="Q29" s="20">
        <f>'TR TUSD'!$Q$29*'TR TUSD'!$Q$95</f>
        <v>54.73091180949757</v>
      </c>
      <c r="R29" s="20">
        <f>'TR TUSD'!$R$29*'TR TUSD'!$R$95</f>
        <v>7.9721317603751451</v>
      </c>
      <c r="S29" s="20">
        <f>'TR TUSD'!$S$29*'TR TUSD'!$S$95</f>
        <v>0</v>
      </c>
      <c r="T29" s="20">
        <f ca="1">SUM($L$29:$S$29)</f>
        <v>63.391512973690709</v>
      </c>
      <c r="U29" s="20">
        <f>'TR TUSD'!$U$29*'TR TUSD'!$U$95</f>
        <v>0</v>
      </c>
      <c r="V29" s="20">
        <f>'TR TUSD'!$V$29*'TR TUSD'!$V$95</f>
        <v>0</v>
      </c>
      <c r="W29" s="20">
        <f>'TR TUSD'!$W$29*'TR TUSD'!$W$95</f>
        <v>0</v>
      </c>
      <c r="X29" s="20">
        <f>'TR TUSD'!$X$29*'TR TUSD'!$X$95</f>
        <v>0</v>
      </c>
      <c r="Y29" s="20">
        <f>'TR TUSD'!$Y$29*'TR TUSD'!$Y$95</f>
        <v>0</v>
      </c>
      <c r="Z29" s="20">
        <f>'TR TUSD'!$Z$29</f>
        <v>0</v>
      </c>
      <c r="AA29" s="20">
        <f>'TR TUSD'!$AA$29</f>
        <v>0</v>
      </c>
      <c r="AB29" s="20">
        <f>SUM($U$29:$AA$29)</f>
        <v>0</v>
      </c>
      <c r="AC29" s="20">
        <f>'TR TUSD'!$AC$29*'TR TUSD'!$AC$95</f>
        <v>0</v>
      </c>
      <c r="AD29" s="20">
        <f>SUM($AC$29:$AC$29)</f>
        <v>0</v>
      </c>
      <c r="AE29" s="20">
        <v>0</v>
      </c>
      <c r="AF29" s="20">
        <v>0</v>
      </c>
      <c r="AG29" s="20">
        <f>SUM($AE$29:$AF$29)</f>
        <v>0</v>
      </c>
      <c r="AH29" s="20">
        <f>'TR TUSD'!$AH$29*'TR TUSD'!$AH$95</f>
        <v>11.630143029956916</v>
      </c>
      <c r="AI29" s="20">
        <f>'TR TUSD'!$AI$29*'TR TUSD'!$AI$95</f>
        <v>0.43715783417458431</v>
      </c>
      <c r="AJ29" s="20">
        <f ca="1">'TR TUSD'!$AJ$29*'TR TUSD'!$AJ$95</f>
        <v>8.5274339867040627</v>
      </c>
      <c r="AK29" s="20">
        <f ca="1">'TR TUSD'!$AK$29*'TR TUSD'!$AK$95</f>
        <v>1.9679631038576393</v>
      </c>
      <c r="AL29" s="20">
        <f ca="1">SUM($AH$29:$AK$29)</f>
        <v>22.562697954693203</v>
      </c>
      <c r="AM29" s="20">
        <f ca="1">SUMIF($L$4:$AL$4,"SUBTOTAL",$L$29:$AL$29)</f>
        <v>85.954210928383915</v>
      </c>
      <c r="AP29" s="20">
        <v>1</v>
      </c>
    </row>
    <row r="30" spans="1:42" ht="11.25" customHeight="1" x14ac:dyDescent="0.25">
      <c r="A30" s="119"/>
      <c r="B30" s="119"/>
      <c r="C30" s="119"/>
      <c r="D30" s="119"/>
      <c r="E30" s="22" t="s">
        <v>61</v>
      </c>
      <c r="F30" s="22" t="s">
        <v>25</v>
      </c>
      <c r="G30" s="21" t="s">
        <v>94</v>
      </c>
      <c r="H30" s="21" t="s">
        <v>88</v>
      </c>
      <c r="I30" s="21">
        <f>'MERCADO TUSD'!$U$27</f>
        <v>0</v>
      </c>
      <c r="J30" s="17"/>
      <c r="L30" s="20">
        <f>'TR TUSD'!$L$30*'TR TUSD'!$L$95</f>
        <v>0</v>
      </c>
      <c r="M30" s="20">
        <f>'TR TUSD'!$M$30*'TR TUSD'!$M$95</f>
        <v>0.21725393155117029</v>
      </c>
      <c r="N30" s="20">
        <f ca="1">'TR TUSD'!$N$30*'TR TUSD'!$N$95</f>
        <v>0.45674691566077391</v>
      </c>
      <c r="O30" s="20">
        <f>'TR TUSD'!$O$30*'TR TUSD'!$O$95</f>
        <v>0</v>
      </c>
      <c r="P30" s="20">
        <f>'TR TUSD'!$P$30*'TR TUSD'!$P$95</f>
        <v>0</v>
      </c>
      <c r="Q30" s="20">
        <f>'TR TUSD'!$Q$30*'TR TUSD'!$Q$95</f>
        <v>0</v>
      </c>
      <c r="R30" s="20">
        <f>'TR TUSD'!$R$30*'TR TUSD'!$R$95</f>
        <v>0</v>
      </c>
      <c r="S30" s="20">
        <f>'TR TUSD'!$S$30*'TR TUSD'!$S$95</f>
        <v>0</v>
      </c>
      <c r="T30" s="20">
        <f ca="1">SUM($L$30:$S$30)</f>
        <v>0.6740008472119442</v>
      </c>
      <c r="U30" s="20">
        <f>'TR TUSD'!$U$30*'TR TUSD'!$U$95</f>
        <v>0</v>
      </c>
      <c r="V30" s="20">
        <f>'TR TUSD'!$V$30*'TR TUSD'!$V$95</f>
        <v>0</v>
      </c>
      <c r="W30" s="20">
        <f>'TR TUSD'!$W$30*'TR TUSD'!$W$95</f>
        <v>0</v>
      </c>
      <c r="X30" s="20">
        <f>'TR TUSD'!$X$30*'TR TUSD'!$X$95</f>
        <v>0</v>
      </c>
      <c r="Y30" s="20">
        <f>'TR TUSD'!$Y$30*'TR TUSD'!$Y$95</f>
        <v>0</v>
      </c>
      <c r="Z30" s="20">
        <f>'TR TUSD'!$Z$30</f>
        <v>0</v>
      </c>
      <c r="AA30" s="20">
        <f>'TR TUSD'!$AA$30</f>
        <v>0</v>
      </c>
      <c r="AB30" s="20">
        <f>SUM($U$30:$AA$30)</f>
        <v>0</v>
      </c>
      <c r="AC30" s="20">
        <f>'TR TUSD'!$AC$30*'TR TUSD'!$AC$95</f>
        <v>0</v>
      </c>
      <c r="AD30" s="20">
        <f>SUM($AC$30:$AC$30)</f>
        <v>0</v>
      </c>
      <c r="AE30" s="20">
        <v>0</v>
      </c>
      <c r="AF30" s="20">
        <v>0</v>
      </c>
      <c r="AG30" s="20">
        <f>SUM($AE$30:$AF$30)</f>
        <v>0</v>
      </c>
      <c r="AH30" s="20">
        <f>'TR TUSD'!$AH$30*'TR TUSD'!$AH$95</f>
        <v>11.630143029956916</v>
      </c>
      <c r="AI30" s="20">
        <f>'TR TUSD'!$AI$30*'TR TUSD'!$AI$95</f>
        <v>0.43715783417458431</v>
      </c>
      <c r="AJ30" s="20">
        <f ca="1">'TR TUSD'!$AJ$30*'TR TUSD'!$AJ$95</f>
        <v>8.5274339867040627</v>
      </c>
      <c r="AK30" s="20">
        <f ca="1">'TR TUSD'!$AK$30*'TR TUSD'!$AK$95</f>
        <v>1.9679631038576393</v>
      </c>
      <c r="AL30" s="20">
        <f ca="1">SUM($AH$30:$AK$30)</f>
        <v>22.562697954693203</v>
      </c>
      <c r="AM30" s="20">
        <f ca="1">SUMIF($L$4:$AL$4,"SUBTOTAL",$L$30:$AL$30)</f>
        <v>23.236698801905145</v>
      </c>
      <c r="AP30" s="20">
        <v>1</v>
      </c>
    </row>
    <row r="31" spans="1:42" ht="11.25" customHeight="1" x14ac:dyDescent="0.25">
      <c r="A31" s="119"/>
      <c r="B31" s="22" t="s">
        <v>64</v>
      </c>
      <c r="C31" s="22" t="s">
        <v>25</v>
      </c>
      <c r="D31" s="22" t="s">
        <v>25</v>
      </c>
      <c r="E31" s="22" t="s">
        <v>25</v>
      </c>
      <c r="F31" s="22" t="s">
        <v>25</v>
      </c>
      <c r="G31" s="21" t="s">
        <v>9</v>
      </c>
      <c r="H31" s="21" t="s">
        <v>91</v>
      </c>
      <c r="I31" s="21">
        <f>'MERCADO TUSD'!$U$28</f>
        <v>0</v>
      </c>
      <c r="J31" s="17"/>
      <c r="L31" s="20">
        <f>'TR TUSD'!$L$31*'TR TUSD'!$L$95</f>
        <v>0</v>
      </c>
      <c r="M31" s="20">
        <f>'TR TUSD'!$M$31*'TR TUSD'!$M$95</f>
        <v>1.2007449344999156E-2</v>
      </c>
      <c r="N31" s="20">
        <f ca="1">'TR TUSD'!$N$31*'TR TUSD'!$N$95</f>
        <v>4.6154695573308875E-2</v>
      </c>
      <c r="O31" s="20">
        <f>'TR TUSD'!$O$31*'TR TUSD'!$O$95</f>
        <v>0</v>
      </c>
      <c r="P31" s="20">
        <f>'TR TUSD'!$P$31*'TR TUSD'!$P$95</f>
        <v>0</v>
      </c>
      <c r="Q31" s="20">
        <f>'TR TUSD'!$Q$31*'TR TUSD'!$Q$95</f>
        <v>0</v>
      </c>
      <c r="R31" s="20">
        <f>'TR TUSD'!$R$31*'TR TUSD'!$R$95</f>
        <v>0</v>
      </c>
      <c r="S31" s="20">
        <f>'TR TUSD'!$S$31*'TR TUSD'!$S$95</f>
        <v>0</v>
      </c>
      <c r="T31" s="20">
        <f ca="1">SUM($L$31:$S$31)</f>
        <v>5.8162144918308033E-2</v>
      </c>
      <c r="U31" s="20">
        <f>'TR TUSD'!$U$31*'TR TUSD'!$U$95</f>
        <v>0</v>
      </c>
      <c r="V31" s="20">
        <f>'TR TUSD'!$V$31*'TR TUSD'!$V$95</f>
        <v>0</v>
      </c>
      <c r="W31" s="20">
        <f>'TR TUSD'!$W$31*'TR TUSD'!$W$95</f>
        <v>0</v>
      </c>
      <c r="X31" s="20">
        <f>'TR TUSD'!$X$31*'TR TUSD'!$X$95</f>
        <v>0</v>
      </c>
      <c r="Y31" s="20">
        <f>'TR TUSD'!$Y$31*'TR TUSD'!$Y$95</f>
        <v>0</v>
      </c>
      <c r="Z31" s="20">
        <f>'TR TUSD'!$Z$31*'TR TUSD'!$Z$95</f>
        <v>0</v>
      </c>
      <c r="AA31" s="20">
        <f>'TR TUSD'!$AA$31*'TR TUSD'!$AA$95</f>
        <v>0</v>
      </c>
      <c r="AB31" s="20">
        <f>SUM($U$31:$AA$31)</f>
        <v>0</v>
      </c>
      <c r="AC31" s="20">
        <f>'TR TUSD'!$AC$31*'TR TUSD'!$AC$95</f>
        <v>3.6472831738600258</v>
      </c>
      <c r="AD31" s="20">
        <f>SUM($AC$31:$AC$31)</f>
        <v>3.6472831738600258</v>
      </c>
      <c r="AE31" s="20">
        <v>0</v>
      </c>
      <c r="AF31" s="20">
        <v>0</v>
      </c>
      <c r="AG31" s="20">
        <f>SUM($AE$31:$AF$31)</f>
        <v>0</v>
      </c>
      <c r="AH31" s="20">
        <f>'TR TUSD'!$AH$31*'TR TUSD'!$AH$95</f>
        <v>1.56588909692317E-3</v>
      </c>
      <c r="AI31" s="20">
        <f>'TR TUSD'!$AI$31*'TR TUSD'!$AI$95</f>
        <v>0</v>
      </c>
      <c r="AJ31" s="20">
        <f ca="1">'TR TUSD'!$AJ$31*'TR TUSD'!$AJ$95</f>
        <v>0</v>
      </c>
      <c r="AK31" s="20">
        <f ca="1">'TR TUSD'!$AK$31*'TR TUSD'!$AK$95</f>
        <v>0</v>
      </c>
      <c r="AL31" s="20">
        <f ca="1">SUM($AH$31:$AK$31)</f>
        <v>1.56588909692317E-3</v>
      </c>
      <c r="AM31" s="20">
        <f ca="1">SUMIF($L$4:$AL$4,"SUBTOTAL",$L$31:$AL$31)</f>
        <v>3.7070112078752566</v>
      </c>
      <c r="AP31" s="20"/>
    </row>
    <row r="32" spans="1:42" ht="11.25" customHeight="1" x14ac:dyDescent="0.25">
      <c r="A32" s="119"/>
      <c r="B32" s="119" t="s">
        <v>34</v>
      </c>
      <c r="C32" s="119" t="s">
        <v>25</v>
      </c>
      <c r="D32" s="119" t="s">
        <v>25</v>
      </c>
      <c r="E32" s="119" t="s">
        <v>25</v>
      </c>
      <c r="F32" s="119" t="s">
        <v>25</v>
      </c>
      <c r="G32" s="21" t="s">
        <v>9</v>
      </c>
      <c r="H32" s="21" t="s">
        <v>91</v>
      </c>
      <c r="I32" s="21">
        <f>'MERCADO TUSD'!$U$29</f>
        <v>3362527</v>
      </c>
      <c r="J32" s="17"/>
      <c r="L32" s="20">
        <f>'TR TUSD'!$L$32*'TR TUSD'!$L$95</f>
        <v>0</v>
      </c>
      <c r="M32" s="20">
        <f>'TR TUSD'!$M$32*'TR TUSD'!$M$95</f>
        <v>0</v>
      </c>
      <c r="N32" s="20">
        <f ca="1">'TR TUSD'!$N$32*'TR TUSD'!$N$95</f>
        <v>0</v>
      </c>
      <c r="O32" s="20">
        <f>'TR TUSD'!$O$32*'TR TUSD'!$O$95</f>
        <v>0</v>
      </c>
      <c r="P32" s="20">
        <f>'TR TUSD'!$P$32*'TR TUSD'!$P$95</f>
        <v>0</v>
      </c>
      <c r="Q32" s="20">
        <f>'TR TUSD'!$Q$32*'TR TUSD'!$Q$95</f>
        <v>0</v>
      </c>
      <c r="R32" s="20">
        <f>'TR TUSD'!$R$32*'TR TUSD'!$R$95</f>
        <v>0</v>
      </c>
      <c r="S32" s="20">
        <f>'TR TUSD'!$S$32*'TR TUSD'!$S$95</f>
        <v>0</v>
      </c>
      <c r="T32" s="20">
        <f ca="1">SUM($L$32:$S$32)</f>
        <v>0</v>
      </c>
      <c r="U32" s="20">
        <f>'TR TUSD'!$U$32*'TR TUSD'!$U$95</f>
        <v>5.0876257293118119</v>
      </c>
      <c r="V32" s="20">
        <f>'TR TUSD'!$V$32*'TR TUSD'!$V$95</f>
        <v>1.3902405980645018</v>
      </c>
      <c r="W32" s="20">
        <f>'TR TUSD'!$W$32*'TR TUSD'!$W$95</f>
        <v>0.17479788163871324</v>
      </c>
      <c r="X32" s="20">
        <f>'TR TUSD'!$X$32*'TR TUSD'!$X$95</f>
        <v>0</v>
      </c>
      <c r="Y32" s="20">
        <f>'TR TUSD'!$Y$32*'TR TUSD'!$Y$95</f>
        <v>0</v>
      </c>
      <c r="Z32" s="20">
        <f>'TR TUSD'!$Z$32</f>
        <v>0</v>
      </c>
      <c r="AA32" s="20">
        <f>'TR TUSD'!$AA$32</f>
        <v>0</v>
      </c>
      <c r="AB32" s="20">
        <f>SUM($U$32:$AA$32)</f>
        <v>6.6526642090150263</v>
      </c>
      <c r="AC32" s="20">
        <f>'TR TUSD'!$AC$32*'TR TUSD'!$AC$95</f>
        <v>4.4617852677044318</v>
      </c>
      <c r="AD32" s="20">
        <f>SUM($AC$32:$AC$32)</f>
        <v>4.4617852677044318</v>
      </c>
      <c r="AE32" s="20">
        <v>0</v>
      </c>
      <c r="AF32" s="20">
        <v>0</v>
      </c>
      <c r="AG32" s="20">
        <f>SUM($AE$32:$AF$32)</f>
        <v>0</v>
      </c>
      <c r="AH32" s="20">
        <f>'TR TUSD'!$AH$32*'TR TUSD'!$AH$95</f>
        <v>0</v>
      </c>
      <c r="AI32" s="20">
        <f>'TR TUSD'!$AI$32*'TR TUSD'!$AI$95</f>
        <v>0</v>
      </c>
      <c r="AJ32" s="20">
        <f ca="1">'TR TUSD'!$AJ$32*'TR TUSD'!$AJ$95</f>
        <v>0</v>
      </c>
      <c r="AK32" s="20">
        <f ca="1">'TR TUSD'!$AK$32*'TR TUSD'!$AK$95</f>
        <v>0</v>
      </c>
      <c r="AL32" s="20">
        <f ca="1">SUM($AH$32:$AK$32)</f>
        <v>0</v>
      </c>
      <c r="AM32" s="20">
        <f ca="1">SUMIF($L$4:$AL$4,"SUBTOTAL",$L$32:$AL$32)</f>
        <v>11.114449476719457</v>
      </c>
      <c r="AP32" s="20">
        <v>1</v>
      </c>
    </row>
    <row r="33" spans="1:42" ht="11.25" customHeight="1" x14ac:dyDescent="0.25">
      <c r="A33" s="119"/>
      <c r="B33" s="119"/>
      <c r="C33" s="119"/>
      <c r="D33" s="119"/>
      <c r="E33" s="119"/>
      <c r="F33" s="119"/>
      <c r="G33" s="21" t="s">
        <v>89</v>
      </c>
      <c r="H33" s="21" t="s">
        <v>88</v>
      </c>
      <c r="I33" s="21">
        <f>'MERCADO TUSD'!$U$30</f>
        <v>54632.431000000011</v>
      </c>
      <c r="J33" s="17"/>
      <c r="L33" s="20">
        <f>'TR TUSD'!$L$33*'TR TUSD'!$L$95</f>
        <v>0</v>
      </c>
      <c r="M33" s="20">
        <f>'TR TUSD'!$M$33*'TR TUSD'!$M$95</f>
        <v>0.21725393155117029</v>
      </c>
      <c r="N33" s="20">
        <f ca="1">'TR TUSD'!$N$33*'TR TUSD'!$N$95</f>
        <v>6.132263953868093</v>
      </c>
      <c r="O33" s="20">
        <f>'TR TUSD'!$O$33*'TR TUSD'!$O$95</f>
        <v>0</v>
      </c>
      <c r="P33" s="20">
        <f>'TR TUSD'!$P$33*'TR TUSD'!$P$95</f>
        <v>0</v>
      </c>
      <c r="Q33" s="20">
        <f>'TR TUSD'!$Q$33*'TR TUSD'!$Q$95</f>
        <v>54.73091180949757</v>
      </c>
      <c r="R33" s="20">
        <f>'TR TUSD'!$R$33*'TR TUSD'!$R$95</f>
        <v>7.9721317603751451</v>
      </c>
      <c r="S33" s="20">
        <f>'TR TUSD'!$S$33*'TR TUSD'!$S$95</f>
        <v>0</v>
      </c>
      <c r="T33" s="20">
        <f ca="1">SUM($L$33:$S$33)</f>
        <v>69.052561455291979</v>
      </c>
      <c r="U33" s="20">
        <f>'TR TUSD'!$U$33*'TR TUSD'!$U$95</f>
        <v>187.19884282694392</v>
      </c>
      <c r="V33" s="20">
        <f>'TR TUSD'!$V$33*'TR TUSD'!$V$95</f>
        <v>47.005520373871718</v>
      </c>
      <c r="W33" s="20">
        <f>'TR TUSD'!$W$33*'TR TUSD'!$W$95</f>
        <v>6.5677470271692631</v>
      </c>
      <c r="X33" s="20">
        <f>'TR TUSD'!$X$33*'TR TUSD'!$X$95</f>
        <v>0</v>
      </c>
      <c r="Y33" s="20">
        <f>'TR TUSD'!$Y$33*'TR TUSD'!$Y$95</f>
        <v>0</v>
      </c>
      <c r="Z33" s="20">
        <f>'TR TUSD'!$Z$33</f>
        <v>0</v>
      </c>
      <c r="AA33" s="20">
        <f>'TR TUSD'!$AA$33</f>
        <v>0</v>
      </c>
      <c r="AB33" s="20">
        <f>SUM($U$33:$AA$33)</f>
        <v>240.77211022798491</v>
      </c>
      <c r="AC33" s="20">
        <f>'TR TUSD'!$AC$33*'TR TUSD'!$AC$95</f>
        <v>401.7575513446821</v>
      </c>
      <c r="AD33" s="20">
        <f>SUM($AC$33:$AC$33)</f>
        <v>401.7575513446821</v>
      </c>
      <c r="AE33" s="20">
        <v>0</v>
      </c>
      <c r="AF33" s="20">
        <v>0</v>
      </c>
      <c r="AG33" s="20">
        <f>SUM($AE$33:$AF$33)</f>
        <v>0</v>
      </c>
      <c r="AH33" s="20">
        <f>'TR TUSD'!$AH$33*'TR TUSD'!$AH$95</f>
        <v>11.630143029956916</v>
      </c>
      <c r="AI33" s="20">
        <f>'TR TUSD'!$AI$33*'TR TUSD'!$AI$95</f>
        <v>0.43715783417458431</v>
      </c>
      <c r="AJ33" s="20">
        <f ca="1">'TR TUSD'!$AJ$33*'TR TUSD'!$AJ$95</f>
        <v>8.5274339867040627</v>
      </c>
      <c r="AK33" s="20">
        <f ca="1">'TR TUSD'!$AK$33*'TR TUSD'!$AK$95</f>
        <v>1.9679631038576393</v>
      </c>
      <c r="AL33" s="20">
        <f ca="1">SUM($AH$33:$AK$33)</f>
        <v>22.562697954693203</v>
      </c>
      <c r="AM33" s="20">
        <f ca="1">SUMIF($L$4:$AL$4,"SUBTOTAL",$L$33:$AL$33)</f>
        <v>734.14492098265225</v>
      </c>
      <c r="AP33" s="20">
        <v>1</v>
      </c>
    </row>
    <row r="34" spans="1:42" ht="11.25" customHeight="1" x14ac:dyDescent="0.25">
      <c r="A34" s="119"/>
      <c r="B34" s="119"/>
      <c r="C34" s="119"/>
      <c r="D34" s="119"/>
      <c r="E34" s="119"/>
      <c r="F34" s="119"/>
      <c r="G34" s="21" t="s">
        <v>90</v>
      </c>
      <c r="H34" s="21" t="s">
        <v>88</v>
      </c>
      <c r="I34" s="21">
        <f>'MERCADO TUSD'!$U$31</f>
        <v>585212.62100000004</v>
      </c>
      <c r="J34" s="17"/>
      <c r="L34" s="20">
        <f>'TR TUSD'!$L$34*'TR TUSD'!$L$95</f>
        <v>0</v>
      </c>
      <c r="M34" s="20">
        <f>'TR TUSD'!$M$34*'TR TUSD'!$M$95</f>
        <v>0.21725393155117029</v>
      </c>
      <c r="N34" s="20">
        <f ca="1">'TR TUSD'!$N$34*'TR TUSD'!$N$95</f>
        <v>0.47121547226682686</v>
      </c>
      <c r="O34" s="20">
        <f>'TR TUSD'!$O$34*'TR TUSD'!$O$95</f>
        <v>0</v>
      </c>
      <c r="P34" s="20">
        <f>'TR TUSD'!$P$34*'TR TUSD'!$P$95</f>
        <v>0</v>
      </c>
      <c r="Q34" s="20">
        <f>'TR TUSD'!$Q$34*'TR TUSD'!$Q$95</f>
        <v>54.73091180949757</v>
      </c>
      <c r="R34" s="20">
        <f>'TR TUSD'!$R$34*'TR TUSD'!$R$95</f>
        <v>7.9721317603751451</v>
      </c>
      <c r="S34" s="20">
        <f>'TR TUSD'!$S$34*'TR TUSD'!$S$95</f>
        <v>0</v>
      </c>
      <c r="T34" s="20">
        <f ca="1">SUM($L$34:$S$34)</f>
        <v>63.391512973690709</v>
      </c>
      <c r="U34" s="20">
        <f>'TR TUSD'!$U$34*'TR TUSD'!$U$95</f>
        <v>0</v>
      </c>
      <c r="V34" s="20">
        <f>'TR TUSD'!$V$34*'TR TUSD'!$V$95</f>
        <v>0</v>
      </c>
      <c r="W34" s="20">
        <f>'TR TUSD'!$W$34*'TR TUSD'!$W$95</f>
        <v>0</v>
      </c>
      <c r="X34" s="20">
        <f>'TR TUSD'!$X$34*'TR TUSD'!$X$95</f>
        <v>0</v>
      </c>
      <c r="Y34" s="20">
        <f>'TR TUSD'!$Y$34*'TR TUSD'!$Y$95</f>
        <v>0</v>
      </c>
      <c r="Z34" s="20">
        <f>'TR TUSD'!$Z$34</f>
        <v>0</v>
      </c>
      <c r="AA34" s="20">
        <f>'TR TUSD'!$AA$34</f>
        <v>0</v>
      </c>
      <c r="AB34" s="20">
        <f>SUM($U$34:$AA$34)</f>
        <v>0</v>
      </c>
      <c r="AC34" s="20">
        <f>'TR TUSD'!$AC$34*'TR TUSD'!$AC$95</f>
        <v>0</v>
      </c>
      <c r="AD34" s="20">
        <f>SUM($AC$34:$AC$34)</f>
        <v>0</v>
      </c>
      <c r="AE34" s="20">
        <v>0</v>
      </c>
      <c r="AF34" s="20">
        <v>0</v>
      </c>
      <c r="AG34" s="20">
        <f>SUM($AE$34:$AF$34)</f>
        <v>0</v>
      </c>
      <c r="AH34" s="20">
        <f>'TR TUSD'!$AH$34*'TR TUSD'!$AH$95</f>
        <v>11.630143029956916</v>
      </c>
      <c r="AI34" s="20">
        <f>'TR TUSD'!$AI$34*'TR TUSD'!$AI$95</f>
        <v>0.43715783417458431</v>
      </c>
      <c r="AJ34" s="20">
        <f ca="1">'TR TUSD'!$AJ$34*'TR TUSD'!$AJ$95</f>
        <v>8.5274339867040627</v>
      </c>
      <c r="AK34" s="20">
        <f ca="1">'TR TUSD'!$AK$34*'TR TUSD'!$AK$95</f>
        <v>1.9679631038576393</v>
      </c>
      <c r="AL34" s="20">
        <f ca="1">SUM($AH$34:$AK$34)</f>
        <v>22.562697954693203</v>
      </c>
      <c r="AM34" s="20">
        <f ca="1">SUMIF($L$4:$AL$4,"SUBTOTAL",$L$34:$AL$34)</f>
        <v>85.954210928383915</v>
      </c>
      <c r="AP34" s="20">
        <v>1</v>
      </c>
    </row>
    <row r="35" spans="1:42" ht="11.25" customHeight="1" x14ac:dyDescent="0.25">
      <c r="A35" s="119"/>
      <c r="B35" s="119"/>
      <c r="C35" s="119"/>
      <c r="D35" s="119"/>
      <c r="E35" s="119" t="s">
        <v>61</v>
      </c>
      <c r="F35" s="119" t="s">
        <v>25</v>
      </c>
      <c r="G35" s="21" t="s">
        <v>89</v>
      </c>
      <c r="H35" s="21" t="s">
        <v>88</v>
      </c>
      <c r="I35" s="21">
        <f>'MERCADO TUSD'!$U$32</f>
        <v>0</v>
      </c>
      <c r="J35" s="17"/>
      <c r="L35" s="20">
        <f>'TR TUSD'!$L$35*'TR TUSD'!$L$95</f>
        <v>0</v>
      </c>
      <c r="M35" s="20">
        <f>'TR TUSD'!$M$35*'TR TUSD'!$M$95</f>
        <v>0.21725393155117029</v>
      </c>
      <c r="N35" s="20">
        <f ca="1">'TR TUSD'!$N$35*'TR TUSD'!$N$95</f>
        <v>6.1177953972620402</v>
      </c>
      <c r="O35" s="20">
        <f>'TR TUSD'!$O$35*'TR TUSD'!$O$95</f>
        <v>0</v>
      </c>
      <c r="P35" s="20">
        <f>'TR TUSD'!$P$35*'TR TUSD'!$P$95</f>
        <v>0</v>
      </c>
      <c r="Q35" s="20">
        <f>'TR TUSD'!$Q$35*'TR TUSD'!$Q$95</f>
        <v>0</v>
      </c>
      <c r="R35" s="20">
        <f>'TR TUSD'!$R$35*'TR TUSD'!$R$95</f>
        <v>0</v>
      </c>
      <c r="S35" s="20">
        <f>'TR TUSD'!$S$35*'TR TUSD'!$S$95</f>
        <v>0</v>
      </c>
      <c r="T35" s="20">
        <f ca="1">SUM($L$35:$S$35)</f>
        <v>6.3350493288132101</v>
      </c>
      <c r="U35" s="20">
        <f>'TR TUSD'!$U$35*'TR TUSD'!$U$95</f>
        <v>187.19884282694392</v>
      </c>
      <c r="V35" s="20">
        <f>'TR TUSD'!$V$35*'TR TUSD'!$V$95</f>
        <v>47.005520373871718</v>
      </c>
      <c r="W35" s="20">
        <f>'TR TUSD'!$W$35*'TR TUSD'!$W$95</f>
        <v>6.5677470271692631</v>
      </c>
      <c r="X35" s="20">
        <f>'TR TUSD'!$X$35*'TR TUSD'!$X$95</f>
        <v>0</v>
      </c>
      <c r="Y35" s="20">
        <f>'TR TUSD'!$Y$35*'TR TUSD'!$Y$95</f>
        <v>0</v>
      </c>
      <c r="Z35" s="20">
        <f>'TR TUSD'!$Z$35</f>
        <v>0</v>
      </c>
      <c r="AA35" s="20">
        <f>'TR TUSD'!$AA$35</f>
        <v>0</v>
      </c>
      <c r="AB35" s="20">
        <f>SUM($U$35:$AA$35)</f>
        <v>240.77211022798491</v>
      </c>
      <c r="AC35" s="20">
        <f>'TR TUSD'!$AC$35*'TR TUSD'!$AC$95</f>
        <v>401.7575513446821</v>
      </c>
      <c r="AD35" s="20">
        <f>SUM($AC$35:$AC$35)</f>
        <v>401.7575513446821</v>
      </c>
      <c r="AE35" s="20">
        <v>0</v>
      </c>
      <c r="AF35" s="20">
        <v>0</v>
      </c>
      <c r="AG35" s="20">
        <f>SUM($AE$35:$AF$35)</f>
        <v>0</v>
      </c>
      <c r="AH35" s="20">
        <f>'TR TUSD'!$AH$35*'TR TUSD'!$AH$95</f>
        <v>11.630143029956916</v>
      </c>
      <c r="AI35" s="20">
        <f>'TR TUSD'!$AI$35*'TR TUSD'!$AI$95</f>
        <v>0.43715783417458431</v>
      </c>
      <c r="AJ35" s="20">
        <f ca="1">'TR TUSD'!$AJ$35*'TR TUSD'!$AJ$95</f>
        <v>8.5274339867040627</v>
      </c>
      <c r="AK35" s="20">
        <f ca="1">'TR TUSD'!$AK$35*'TR TUSD'!$AK$95</f>
        <v>1.9679631038576393</v>
      </c>
      <c r="AL35" s="20">
        <f ca="1">SUM($AH$35:$AK$35)</f>
        <v>22.562697954693203</v>
      </c>
      <c r="AM35" s="20">
        <f ca="1">SUMIF($L$4:$AL$4,"SUBTOTAL",$L$35:$AL$35)</f>
        <v>671.42740885617343</v>
      </c>
      <c r="AP35" s="20">
        <v>1</v>
      </c>
    </row>
    <row r="36" spans="1:42" ht="11.25" customHeight="1" x14ac:dyDescent="0.25">
      <c r="A36" s="119"/>
      <c r="B36" s="119"/>
      <c r="C36" s="119"/>
      <c r="D36" s="119"/>
      <c r="E36" s="119"/>
      <c r="F36" s="119"/>
      <c r="G36" s="21" t="s">
        <v>90</v>
      </c>
      <c r="H36" s="21" t="s">
        <v>88</v>
      </c>
      <c r="I36" s="21">
        <f>'MERCADO TUSD'!$U$33</f>
        <v>0</v>
      </c>
      <c r="J36" s="17"/>
      <c r="L36" s="20">
        <f>'TR TUSD'!$L$36*'TR TUSD'!$L$95</f>
        <v>0</v>
      </c>
      <c r="M36" s="20">
        <f>'TR TUSD'!$M$36*'TR TUSD'!$M$95</f>
        <v>0.21725393155117029</v>
      </c>
      <c r="N36" s="20">
        <f ca="1">'TR TUSD'!$N$36*'TR TUSD'!$N$95</f>
        <v>0.45674691566077391</v>
      </c>
      <c r="O36" s="20">
        <f>'TR TUSD'!$O$36*'TR TUSD'!$O$95</f>
        <v>0</v>
      </c>
      <c r="P36" s="20">
        <f>'TR TUSD'!$P$36*'TR TUSD'!$P$95</f>
        <v>0</v>
      </c>
      <c r="Q36" s="20">
        <f>'TR TUSD'!$Q$36*'TR TUSD'!$Q$95</f>
        <v>0</v>
      </c>
      <c r="R36" s="20">
        <f>'TR TUSD'!$R$36*'TR TUSD'!$R$95</f>
        <v>0</v>
      </c>
      <c r="S36" s="20">
        <f>'TR TUSD'!$S$36*'TR TUSD'!$S$95</f>
        <v>0</v>
      </c>
      <c r="T36" s="20">
        <f ca="1">SUM($L$36:$S$36)</f>
        <v>0.6740008472119442</v>
      </c>
      <c r="U36" s="20">
        <f>'TR TUSD'!$U$36*'TR TUSD'!$U$95</f>
        <v>0</v>
      </c>
      <c r="V36" s="20">
        <f>'TR TUSD'!$V$36*'TR TUSD'!$V$95</f>
        <v>0</v>
      </c>
      <c r="W36" s="20">
        <f>'TR TUSD'!$W$36*'TR TUSD'!$W$95</f>
        <v>0</v>
      </c>
      <c r="X36" s="20">
        <f>'TR TUSD'!$X$36*'TR TUSD'!$X$95</f>
        <v>0</v>
      </c>
      <c r="Y36" s="20">
        <f>'TR TUSD'!$Y$36*'TR TUSD'!$Y$95</f>
        <v>0</v>
      </c>
      <c r="Z36" s="20">
        <f>'TR TUSD'!$Z$36</f>
        <v>0</v>
      </c>
      <c r="AA36" s="20">
        <f>'TR TUSD'!$AA$36</f>
        <v>0</v>
      </c>
      <c r="AB36" s="20">
        <f>SUM($U$36:$AA$36)</f>
        <v>0</v>
      </c>
      <c r="AC36" s="20">
        <f>'TR TUSD'!$AC$36*'TR TUSD'!$AC$95</f>
        <v>0</v>
      </c>
      <c r="AD36" s="20">
        <f>SUM($AC$36:$AC$36)</f>
        <v>0</v>
      </c>
      <c r="AE36" s="20">
        <v>0</v>
      </c>
      <c r="AF36" s="20">
        <v>0</v>
      </c>
      <c r="AG36" s="20">
        <f>SUM($AE$36:$AF$36)</f>
        <v>0</v>
      </c>
      <c r="AH36" s="20">
        <f>'TR TUSD'!$AH$36*'TR TUSD'!$AH$95</f>
        <v>11.630143029956916</v>
      </c>
      <c r="AI36" s="20">
        <f>'TR TUSD'!$AI$36*'TR TUSD'!$AI$95</f>
        <v>0.43715783417458431</v>
      </c>
      <c r="AJ36" s="20">
        <f ca="1">'TR TUSD'!$AJ$36*'TR TUSD'!$AJ$95</f>
        <v>8.5274339867040627</v>
      </c>
      <c r="AK36" s="20">
        <f ca="1">'TR TUSD'!$AK$36*'TR TUSD'!$AK$95</f>
        <v>1.9679631038576393</v>
      </c>
      <c r="AL36" s="20">
        <f ca="1">SUM($AH$36:$AK$36)</f>
        <v>22.562697954693203</v>
      </c>
      <c r="AM36" s="20">
        <f ca="1">SUMIF($L$4:$AL$4,"SUBTOTAL",$L$36:$AL$36)</f>
        <v>23.236698801905145</v>
      </c>
      <c r="AP36" s="20">
        <v>1</v>
      </c>
    </row>
    <row r="37" spans="1:42" ht="11.25" customHeight="1" x14ac:dyDescent="0.25">
      <c r="A37" s="119"/>
      <c r="B37" s="119" t="s">
        <v>23</v>
      </c>
      <c r="C37" s="119" t="s">
        <v>25</v>
      </c>
      <c r="D37" s="119" t="s">
        <v>25</v>
      </c>
      <c r="E37" s="119" t="s">
        <v>25</v>
      </c>
      <c r="F37" s="119" t="s">
        <v>25</v>
      </c>
      <c r="G37" s="21" t="s">
        <v>9</v>
      </c>
      <c r="H37" s="21" t="s">
        <v>91</v>
      </c>
      <c r="I37" s="21">
        <f>'MERCADO TUSD'!$U$34</f>
        <v>0</v>
      </c>
      <c r="J37" s="17"/>
      <c r="L37" s="20">
        <f>'TR TUSD'!$L$37*'TR TUSD'!$L$95</f>
        <v>0</v>
      </c>
      <c r="M37" s="20">
        <f>'TR TUSD'!$M$37*'TR TUSD'!$M$95</f>
        <v>0</v>
      </c>
      <c r="N37" s="20">
        <f ca="1">'TR TUSD'!$N$37*'TR TUSD'!$N$95</f>
        <v>0</v>
      </c>
      <c r="O37" s="20">
        <f>'TR TUSD'!$O$37*'TR TUSD'!$O$95</f>
        <v>0</v>
      </c>
      <c r="P37" s="20">
        <f>'TR TUSD'!$P$37*'TR TUSD'!$P$95</f>
        <v>0</v>
      </c>
      <c r="Q37" s="20">
        <f>'TR TUSD'!$Q$37*'TR TUSD'!$Q$95</f>
        <v>0</v>
      </c>
      <c r="R37" s="20">
        <f>'TR TUSD'!$R$37*'TR TUSD'!$R$95</f>
        <v>0</v>
      </c>
      <c r="S37" s="20">
        <f>'TR TUSD'!$S$37*'TR TUSD'!$S$95</f>
        <v>0</v>
      </c>
      <c r="T37" s="20">
        <f ca="1">SUM($L$37:$S$37)</f>
        <v>0</v>
      </c>
      <c r="U37" s="20">
        <f>'TR TUSD'!$U$37*'TR TUSD'!$U$95</f>
        <v>10.692189449908458</v>
      </c>
      <c r="V37" s="20">
        <f>'TR TUSD'!$V$37*'TR TUSD'!$V$95</f>
        <v>2.7977265470591934</v>
      </c>
      <c r="W37" s="20">
        <f>'TR TUSD'!$W$37*'TR TUSD'!$W$95</f>
        <v>0.37107263610675645</v>
      </c>
      <c r="X37" s="20">
        <f>'TR TUSD'!$X$37*'TR TUSD'!$X$95</f>
        <v>0</v>
      </c>
      <c r="Y37" s="20">
        <f>'TR TUSD'!$Y$37*'TR TUSD'!$Y$95</f>
        <v>0</v>
      </c>
      <c r="Z37" s="20">
        <f>'TR TUSD'!$Z$37</f>
        <v>0</v>
      </c>
      <c r="AA37" s="20">
        <f>'TR TUSD'!$AA$37</f>
        <v>0</v>
      </c>
      <c r="AB37" s="20">
        <f>SUM($U$37:$AA$37)</f>
        <v>13.860988633074408</v>
      </c>
      <c r="AC37" s="20">
        <f>'TR TUSD'!$AC$37*'TR TUSD'!$AC$95</f>
        <v>16.48944614073158</v>
      </c>
      <c r="AD37" s="20">
        <f>SUM($AC$37:$AC$37)</f>
        <v>16.48944614073158</v>
      </c>
      <c r="AE37" s="20">
        <v>0</v>
      </c>
      <c r="AF37" s="20">
        <v>0</v>
      </c>
      <c r="AG37" s="20">
        <f>SUM($AE$37:$AF$37)</f>
        <v>0</v>
      </c>
      <c r="AH37" s="20">
        <f>'TR TUSD'!$AH$37*'TR TUSD'!$AH$95</f>
        <v>0</v>
      </c>
      <c r="AI37" s="20">
        <f>'TR TUSD'!$AI$37*'TR TUSD'!$AI$95</f>
        <v>0</v>
      </c>
      <c r="AJ37" s="20">
        <f ca="1">'TR TUSD'!$AJ$37*'TR TUSD'!$AJ$95</f>
        <v>0</v>
      </c>
      <c r="AK37" s="20">
        <f ca="1">'TR TUSD'!$AK$37*'TR TUSD'!$AK$95</f>
        <v>0</v>
      </c>
      <c r="AL37" s="20">
        <f ca="1">SUM($AH$37:$AK$37)</f>
        <v>0</v>
      </c>
      <c r="AM37" s="20">
        <f ca="1">SUMIF($L$4:$AL$4,"SUBTOTAL",$L$37:$AL$37)</f>
        <v>30.350434773805986</v>
      </c>
      <c r="AP37" s="20">
        <v>1</v>
      </c>
    </row>
    <row r="38" spans="1:42" ht="11.25" customHeight="1" x14ac:dyDescent="0.25">
      <c r="A38" s="119"/>
      <c r="B38" s="119"/>
      <c r="C38" s="119"/>
      <c r="D38" s="119"/>
      <c r="E38" s="119"/>
      <c r="F38" s="119"/>
      <c r="G38" s="21" t="s">
        <v>94</v>
      </c>
      <c r="H38" s="21" t="s">
        <v>88</v>
      </c>
      <c r="I38" s="21">
        <f>'MERCADO TUSD'!$U$35</f>
        <v>0</v>
      </c>
      <c r="J38" s="17"/>
      <c r="L38" s="20">
        <f>'TR TUSD'!$L$38*'TR TUSD'!$L$95</f>
        <v>0</v>
      </c>
      <c r="M38" s="20">
        <f>'TR TUSD'!$M$38*'TR TUSD'!$M$95</f>
        <v>0.21725393155117029</v>
      </c>
      <c r="N38" s="20">
        <f ca="1">'TR TUSD'!$N$38*'TR TUSD'!$N$95</f>
        <v>0.47121547226682686</v>
      </c>
      <c r="O38" s="20">
        <f>'TR TUSD'!$O$38*'TR TUSD'!$O$95</f>
        <v>0</v>
      </c>
      <c r="P38" s="20">
        <f>'TR TUSD'!$P$38*'TR TUSD'!$P$95</f>
        <v>0</v>
      </c>
      <c r="Q38" s="20">
        <f>'TR TUSD'!$Q$38*'TR TUSD'!$Q$95</f>
        <v>54.73091180949757</v>
      </c>
      <c r="R38" s="20">
        <f>'TR TUSD'!$R$38*'TR TUSD'!$R$95</f>
        <v>7.9721317603751451</v>
      </c>
      <c r="S38" s="20">
        <f>'TR TUSD'!$S$38*'TR TUSD'!$S$95</f>
        <v>0</v>
      </c>
      <c r="T38" s="20">
        <f ca="1">SUM($L$38:$S$38)</f>
        <v>63.391512973690709</v>
      </c>
      <c r="U38" s="20">
        <f>'TR TUSD'!$U$38*'TR TUSD'!$U$95</f>
        <v>0</v>
      </c>
      <c r="V38" s="20">
        <f>'TR TUSD'!$V$38*'TR TUSD'!$V$95</f>
        <v>0</v>
      </c>
      <c r="W38" s="20">
        <f>'TR TUSD'!$W$38*'TR TUSD'!$W$95</f>
        <v>0</v>
      </c>
      <c r="X38" s="20">
        <f>'TR TUSD'!$X$38*'TR TUSD'!$X$95</f>
        <v>0</v>
      </c>
      <c r="Y38" s="20">
        <f>'TR TUSD'!$Y$38*'TR TUSD'!$Y$95</f>
        <v>0</v>
      </c>
      <c r="Z38" s="20">
        <f>'TR TUSD'!$Z$38</f>
        <v>0</v>
      </c>
      <c r="AA38" s="20">
        <f>'TR TUSD'!$AA$38</f>
        <v>0</v>
      </c>
      <c r="AB38" s="20">
        <f>SUM($U$38:$AA$38)</f>
        <v>0</v>
      </c>
      <c r="AC38" s="20">
        <f>'TR TUSD'!$AC$38*'TR TUSD'!$AC$95</f>
        <v>0</v>
      </c>
      <c r="AD38" s="20">
        <f>SUM($AC$38:$AC$38)</f>
        <v>0</v>
      </c>
      <c r="AE38" s="20">
        <v>0</v>
      </c>
      <c r="AF38" s="20">
        <v>0</v>
      </c>
      <c r="AG38" s="20">
        <f>SUM($AE$38:$AF$38)</f>
        <v>0</v>
      </c>
      <c r="AH38" s="20">
        <f>'TR TUSD'!$AH$38*'TR TUSD'!$AH$95</f>
        <v>11.630143029956916</v>
      </c>
      <c r="AI38" s="20">
        <f>'TR TUSD'!$AI$38*'TR TUSD'!$AI$95</f>
        <v>0.43715783417458431</v>
      </c>
      <c r="AJ38" s="20">
        <f ca="1">'TR TUSD'!$AJ$38*'TR TUSD'!$AJ$95</f>
        <v>8.5274339867040627</v>
      </c>
      <c r="AK38" s="20">
        <f ca="1">'TR TUSD'!$AK$38*'TR TUSD'!$AK$95</f>
        <v>1.9679631038576393</v>
      </c>
      <c r="AL38" s="20">
        <f ca="1">SUM($AH$38:$AK$38)</f>
        <v>22.562697954693203</v>
      </c>
      <c r="AM38" s="20">
        <f ca="1">SUMIF($L$4:$AL$4,"SUBTOTAL",$L$38:$AL$38)</f>
        <v>85.954210928383915</v>
      </c>
      <c r="AP38" s="20">
        <v>1</v>
      </c>
    </row>
    <row r="39" spans="1:42" ht="11.25" customHeight="1" x14ac:dyDescent="0.25">
      <c r="A39" s="119" t="s">
        <v>44</v>
      </c>
      <c r="B39" s="119" t="s">
        <v>41</v>
      </c>
      <c r="C39" s="119" t="s">
        <v>25</v>
      </c>
      <c r="D39" s="119" t="s">
        <v>25</v>
      </c>
      <c r="E39" s="119" t="s">
        <v>25</v>
      </c>
      <c r="F39" s="119" t="s">
        <v>25</v>
      </c>
      <c r="G39" s="21" t="s">
        <v>92</v>
      </c>
      <c r="H39" s="21" t="s">
        <v>91</v>
      </c>
      <c r="I39" s="21">
        <f>'MERCADO TUSD'!$U$36</f>
        <v>530511</v>
      </c>
      <c r="J39" s="17"/>
      <c r="L39" s="20">
        <f>'TR TUSD'!$L$39*'TR TUSD'!$L$95</f>
        <v>0</v>
      </c>
      <c r="M39" s="20">
        <f>'TR TUSD'!$M$39*'TR TUSD'!$M$95</f>
        <v>0</v>
      </c>
      <c r="N39" s="20">
        <f ca="1">'TR TUSD'!$N$39*'TR TUSD'!$N$95</f>
        <v>0</v>
      </c>
      <c r="O39" s="20">
        <f>'TR TUSD'!$O$39*'TR TUSD'!$O$95</f>
        <v>0</v>
      </c>
      <c r="P39" s="20">
        <f>'TR TUSD'!$P$39*'TR TUSD'!$P$95</f>
        <v>0</v>
      </c>
      <c r="Q39" s="20">
        <f>'TR TUSD'!$Q$39*'TR TUSD'!$Q$95</f>
        <v>0</v>
      </c>
      <c r="R39" s="20">
        <f>'TR TUSD'!$R$39*'TR TUSD'!$R$95</f>
        <v>0</v>
      </c>
      <c r="S39" s="20">
        <f>'TR TUSD'!$S$39*'TR TUSD'!$S$95</f>
        <v>0</v>
      </c>
      <c r="T39" s="20">
        <f ca="1">SUM($L$39:$S$39)</f>
        <v>0</v>
      </c>
      <c r="U39" s="20">
        <f>'TR TUSD'!$U$39*'TR TUSD'!$U$95</f>
        <v>8.6703456032165569</v>
      </c>
      <c r="V39" s="20">
        <f>'TR TUSD'!$V$39*'TR TUSD'!$V$95</f>
        <v>2.1773361020577631</v>
      </c>
      <c r="W39" s="20">
        <f>'TR TUSD'!$W$39*'TR TUSD'!$W$95</f>
        <v>0.30425569841550765</v>
      </c>
      <c r="X39" s="20">
        <f>'TR TUSD'!$X$39*'TR TUSD'!$X$95</f>
        <v>0</v>
      </c>
      <c r="Y39" s="20">
        <f>'TR TUSD'!$Y$39*'TR TUSD'!$Y$95</f>
        <v>0</v>
      </c>
      <c r="Z39" s="20">
        <f>'TR TUSD'!$Z$39</f>
        <v>0</v>
      </c>
      <c r="AA39" s="20">
        <f>'TR TUSD'!$AA$39</f>
        <v>0</v>
      </c>
      <c r="AB39" s="20">
        <f>SUM($U$39:$AA$39)</f>
        <v>11.151937403689828</v>
      </c>
      <c r="AC39" s="20">
        <f>'TR TUSD'!$AC$39*'TR TUSD'!$AC$95</f>
        <v>37.379684655100263</v>
      </c>
      <c r="AD39" s="20">
        <f>SUM($AC$39:$AC$39)</f>
        <v>37.379684655100263</v>
      </c>
      <c r="AE39" s="20">
        <v>0</v>
      </c>
      <c r="AF39" s="20">
        <v>0</v>
      </c>
      <c r="AG39" s="20">
        <f>SUM($AE$39:$AF$39)</f>
        <v>0</v>
      </c>
      <c r="AH39" s="20">
        <f>'TR TUSD'!$AH$39*'TR TUSD'!$AH$95</f>
        <v>0</v>
      </c>
      <c r="AI39" s="20">
        <f>'TR TUSD'!$AI$39*'TR TUSD'!$AI$95</f>
        <v>0</v>
      </c>
      <c r="AJ39" s="20">
        <f ca="1">'TR TUSD'!$AJ$39*'TR TUSD'!$AJ$95</f>
        <v>0</v>
      </c>
      <c r="AK39" s="20">
        <f ca="1">'TR TUSD'!$AK$39*'TR TUSD'!$AK$95</f>
        <v>0</v>
      </c>
      <c r="AL39" s="20">
        <f ca="1">SUM($AH$39:$AK$39)</f>
        <v>0</v>
      </c>
      <c r="AM39" s="20">
        <f ca="1">SUMIF($L$4:$AL$4,"SUBTOTAL",$L$39:$AL$39)</f>
        <v>48.531622058790092</v>
      </c>
      <c r="AP39" s="20">
        <v>1</v>
      </c>
    </row>
    <row r="40" spans="1:42" ht="11.25" customHeight="1" x14ac:dyDescent="0.25">
      <c r="A40" s="119"/>
      <c r="B40" s="119"/>
      <c r="C40" s="119"/>
      <c r="D40" s="119"/>
      <c r="E40" s="119"/>
      <c r="F40" s="119"/>
      <c r="G40" s="21" t="s">
        <v>93</v>
      </c>
      <c r="H40" s="21" t="s">
        <v>91</v>
      </c>
      <c r="I40" s="21">
        <f>'MERCADO TUSD'!$U$37</f>
        <v>592907</v>
      </c>
      <c r="J40" s="17"/>
      <c r="L40" s="20">
        <f>'TR TUSD'!$L$40*'TR TUSD'!$L$95</f>
        <v>0</v>
      </c>
      <c r="M40" s="20">
        <f>'TR TUSD'!$M$40*'TR TUSD'!$M$95</f>
        <v>0</v>
      </c>
      <c r="N40" s="20">
        <f ca="1">'TR TUSD'!$N$40*'TR TUSD'!$N$95</f>
        <v>0</v>
      </c>
      <c r="O40" s="20">
        <f>'TR TUSD'!$O$40*'TR TUSD'!$O$95</f>
        <v>0</v>
      </c>
      <c r="P40" s="20">
        <f>'TR TUSD'!$P$40*'TR TUSD'!$P$95</f>
        <v>0</v>
      </c>
      <c r="Q40" s="20">
        <f>'TR TUSD'!$Q$40*'TR TUSD'!$Q$95</f>
        <v>0</v>
      </c>
      <c r="R40" s="20">
        <f>'TR TUSD'!$R$40*'TR TUSD'!$R$95</f>
        <v>0</v>
      </c>
      <c r="S40" s="20">
        <f>'TR TUSD'!$S$40*'TR TUSD'!$S$95</f>
        <v>0</v>
      </c>
      <c r="T40" s="20">
        <f ca="1">SUM($L$40:$S$40)</f>
        <v>0</v>
      </c>
      <c r="U40" s="20">
        <f>'TR TUSD'!$U$40*'TR TUSD'!$U$95</f>
        <v>7.3572476399528899</v>
      </c>
      <c r="V40" s="20">
        <f>'TR TUSD'!$V$40*'TR TUSD'!$V$95</f>
        <v>1.8947776598938901</v>
      </c>
      <c r="W40" s="20">
        <f>'TR TUSD'!$W$40*'TR TUSD'!$W$95</f>
        <v>0.23505244152100005</v>
      </c>
      <c r="X40" s="20">
        <f>'TR TUSD'!$X$40*'TR TUSD'!$X$95</f>
        <v>0</v>
      </c>
      <c r="Y40" s="20">
        <f>'TR TUSD'!$Y$40*'TR TUSD'!$Y$95</f>
        <v>0</v>
      </c>
      <c r="Z40" s="20">
        <f>'TR TUSD'!$Z$40</f>
        <v>0</v>
      </c>
      <c r="AA40" s="20">
        <f>'TR TUSD'!$AA$40</f>
        <v>0</v>
      </c>
      <c r="AB40" s="20">
        <f>SUM($U$40:$AA$40)</f>
        <v>9.4870777413677807</v>
      </c>
      <c r="AC40" s="20">
        <f>'TR TUSD'!$AC$40*'TR TUSD'!$AC$95</f>
        <v>6.0363438211410596</v>
      </c>
      <c r="AD40" s="20">
        <f>SUM($AC$40:$AC$40)</f>
        <v>6.0363438211410596</v>
      </c>
      <c r="AE40" s="20">
        <v>0</v>
      </c>
      <c r="AF40" s="20">
        <v>0</v>
      </c>
      <c r="AG40" s="20">
        <f>SUM($AE$40:$AF$40)</f>
        <v>0</v>
      </c>
      <c r="AH40" s="20">
        <f>'TR TUSD'!$AH$40*'TR TUSD'!$AH$95</f>
        <v>0</v>
      </c>
      <c r="AI40" s="20">
        <f>'TR TUSD'!$AI$40*'TR TUSD'!$AI$95</f>
        <v>0</v>
      </c>
      <c r="AJ40" s="20">
        <f ca="1">'TR TUSD'!$AJ$40*'TR TUSD'!$AJ$95</f>
        <v>0</v>
      </c>
      <c r="AK40" s="20">
        <f ca="1">'TR TUSD'!$AK$40*'TR TUSD'!$AK$95</f>
        <v>0</v>
      </c>
      <c r="AL40" s="20">
        <f ca="1">SUM($AH$40:$AK$40)</f>
        <v>0</v>
      </c>
      <c r="AM40" s="20">
        <f ca="1">SUMIF($L$4:$AL$4,"SUBTOTAL",$L$40:$AL$40)</f>
        <v>15.52342156250884</v>
      </c>
      <c r="AP40" s="20">
        <v>1</v>
      </c>
    </row>
    <row r="41" spans="1:42" ht="11.25" customHeight="1" x14ac:dyDescent="0.25">
      <c r="A41" s="119"/>
      <c r="B41" s="119"/>
      <c r="C41" s="119"/>
      <c r="D41" s="119"/>
      <c r="E41" s="119"/>
      <c r="F41" s="119"/>
      <c r="G41" s="21" t="s">
        <v>94</v>
      </c>
      <c r="H41" s="21" t="s">
        <v>88</v>
      </c>
      <c r="I41" s="21">
        <f>'MERCADO TUSD'!$U$38</f>
        <v>203886.46</v>
      </c>
      <c r="J41" s="17"/>
      <c r="L41" s="20">
        <f>'TR TUSD'!$L$41*'TR TUSD'!$L$95</f>
        <v>0</v>
      </c>
      <c r="M41" s="20">
        <f>'TR TUSD'!$M$41*'TR TUSD'!$M$95</f>
        <v>0.45504567156280362</v>
      </c>
      <c r="N41" s="20">
        <f ca="1">'TR TUSD'!$N$41*'TR TUSD'!$N$95</f>
        <v>0.84765370504686066</v>
      </c>
      <c r="O41" s="20">
        <f>'TR TUSD'!$O$41*'TR TUSD'!$O$95</f>
        <v>0</v>
      </c>
      <c r="P41" s="20">
        <f>'TR TUSD'!$P$41*'TR TUSD'!$P$95</f>
        <v>0</v>
      </c>
      <c r="Q41" s="20">
        <f>'TR TUSD'!$Q$41*'TR TUSD'!$Q$95</f>
        <v>61.495406527525361</v>
      </c>
      <c r="R41" s="20">
        <f>'TR TUSD'!$R$41*'TR TUSD'!$R$95</f>
        <v>7.9721317603751451</v>
      </c>
      <c r="S41" s="20">
        <f>'TR TUSD'!$S$41*'TR TUSD'!$S$95</f>
        <v>0</v>
      </c>
      <c r="T41" s="20">
        <f ca="1">SUM($L$41:$S$41)</f>
        <v>70.770237664510177</v>
      </c>
      <c r="U41" s="20">
        <f>'TR TUSD'!$U$41*'TR TUSD'!$U$95</f>
        <v>0</v>
      </c>
      <c r="V41" s="20">
        <f>'TR TUSD'!$V$41*'TR TUSD'!$V$95</f>
        <v>0</v>
      </c>
      <c r="W41" s="20">
        <f>'TR TUSD'!$W$41*'TR TUSD'!$W$95</f>
        <v>0</v>
      </c>
      <c r="X41" s="20">
        <f>'TR TUSD'!$X$41*'TR TUSD'!$X$95</f>
        <v>0</v>
      </c>
      <c r="Y41" s="20">
        <f>'TR TUSD'!$Y$41*'TR TUSD'!$Y$95</f>
        <v>0</v>
      </c>
      <c r="Z41" s="20">
        <f>'TR TUSD'!$Z$41</f>
        <v>0</v>
      </c>
      <c r="AA41" s="20">
        <f>'TR TUSD'!$AA$41</f>
        <v>0</v>
      </c>
      <c r="AB41" s="20">
        <f>SUM($U$41:$AA$41)</f>
        <v>0</v>
      </c>
      <c r="AC41" s="20">
        <f>'TR TUSD'!$AC$41*'TR TUSD'!$AC$95</f>
        <v>0</v>
      </c>
      <c r="AD41" s="20">
        <f>SUM($AC$41:$AC$41)</f>
        <v>0</v>
      </c>
      <c r="AE41" s="20">
        <v>0</v>
      </c>
      <c r="AF41" s="20">
        <v>0</v>
      </c>
      <c r="AG41" s="20">
        <f>SUM($AE$41:$AF$41)</f>
        <v>0</v>
      </c>
      <c r="AH41" s="20">
        <f>'TR TUSD'!$AH$41*'TR TUSD'!$AH$95</f>
        <v>24.491501950758238</v>
      </c>
      <c r="AI41" s="20">
        <f>'TR TUSD'!$AI$41*'TR TUSD'!$AI$95</f>
        <v>0.92059503661286801</v>
      </c>
      <c r="AJ41" s="20">
        <f ca="1">'TR TUSD'!$AJ$41*'TR TUSD'!$AJ$95</f>
        <v>13.215882716344048</v>
      </c>
      <c r="AK41" s="20">
        <f ca="1">'TR TUSD'!$AK$41*'TR TUSD'!$AK$95</f>
        <v>3.0499643399441254</v>
      </c>
      <c r="AL41" s="20">
        <f ca="1">SUM($AH$41:$AK$41)</f>
        <v>41.677944043659281</v>
      </c>
      <c r="AM41" s="20">
        <f ca="1">SUMIF($L$4:$AL$4,"SUBTOTAL",$L$41:$AL$41)</f>
        <v>112.44818170816946</v>
      </c>
      <c r="AP41" s="20">
        <v>1</v>
      </c>
    </row>
    <row r="42" spans="1:42" ht="11.25" customHeight="1" x14ac:dyDescent="0.25">
      <c r="A42" s="119"/>
      <c r="B42" s="119"/>
      <c r="C42" s="119"/>
      <c r="D42" s="119"/>
      <c r="E42" s="22" t="s">
        <v>61</v>
      </c>
      <c r="F42" s="22" t="s">
        <v>25</v>
      </c>
      <c r="G42" s="21" t="s">
        <v>94</v>
      </c>
      <c r="H42" s="21" t="s">
        <v>88</v>
      </c>
      <c r="I42" s="21">
        <f>'MERCADO TUSD'!$U$39</f>
        <v>0</v>
      </c>
      <c r="J42" s="17"/>
      <c r="L42" s="20">
        <f>'TR TUSD'!$L$42*'TR TUSD'!$L$95</f>
        <v>0</v>
      </c>
      <c r="M42" s="20">
        <f>'TR TUSD'!$M$42*'TR TUSD'!$M$95</f>
        <v>0.45504567156280362</v>
      </c>
      <c r="N42" s="20">
        <f ca="1">'TR TUSD'!$N$42*'TR TUSD'!$N$95</f>
        <v>0.83318514844080771</v>
      </c>
      <c r="O42" s="20">
        <f>'TR TUSD'!$O$42*'TR TUSD'!$O$95</f>
        <v>0</v>
      </c>
      <c r="P42" s="20">
        <f>'TR TUSD'!$P$42*'TR TUSD'!$P$95</f>
        <v>0</v>
      </c>
      <c r="Q42" s="20">
        <f>'TR TUSD'!$Q$42*'TR TUSD'!$Q$95</f>
        <v>0</v>
      </c>
      <c r="R42" s="20">
        <f>'TR TUSD'!$R$42*'TR TUSD'!$R$95</f>
        <v>0</v>
      </c>
      <c r="S42" s="20">
        <f>'TR TUSD'!$S$42*'TR TUSD'!$S$95</f>
        <v>0</v>
      </c>
      <c r="T42" s="20">
        <f ca="1">SUM($L$42:$S$42)</f>
        <v>1.2882308200036112</v>
      </c>
      <c r="U42" s="20">
        <f>'TR TUSD'!$U$42*'TR TUSD'!$U$95</f>
        <v>0</v>
      </c>
      <c r="V42" s="20">
        <f>'TR TUSD'!$V$42*'TR TUSD'!$V$95</f>
        <v>0</v>
      </c>
      <c r="W42" s="20">
        <f>'TR TUSD'!$W$42*'TR TUSD'!$W$95</f>
        <v>0</v>
      </c>
      <c r="X42" s="20">
        <f>'TR TUSD'!$X$42*'TR TUSD'!$X$95</f>
        <v>0</v>
      </c>
      <c r="Y42" s="20">
        <f>'TR TUSD'!$Y$42*'TR TUSD'!$Y$95</f>
        <v>0</v>
      </c>
      <c r="Z42" s="20">
        <f>'TR TUSD'!$Z$42</f>
        <v>0</v>
      </c>
      <c r="AA42" s="20">
        <f>'TR TUSD'!$AA$42</f>
        <v>0</v>
      </c>
      <c r="AB42" s="20">
        <f>SUM($U$42:$AA$42)</f>
        <v>0</v>
      </c>
      <c r="AC42" s="20">
        <f>'TR TUSD'!$AC$42*'TR TUSD'!$AC$95</f>
        <v>0</v>
      </c>
      <c r="AD42" s="20">
        <f>SUM($AC$42:$AC$42)</f>
        <v>0</v>
      </c>
      <c r="AE42" s="20">
        <v>0</v>
      </c>
      <c r="AF42" s="20">
        <v>0</v>
      </c>
      <c r="AG42" s="20">
        <f>SUM($AE$42:$AF$42)</f>
        <v>0</v>
      </c>
      <c r="AH42" s="20">
        <f>'TR TUSD'!$AH$42*'TR TUSD'!$AH$95</f>
        <v>24.491501950758238</v>
      </c>
      <c r="AI42" s="20">
        <f>'TR TUSD'!$AI$42*'TR TUSD'!$AI$95</f>
        <v>0.92059503661286801</v>
      </c>
      <c r="AJ42" s="20">
        <f ca="1">'TR TUSD'!$AJ$42*'TR TUSD'!$AJ$95</f>
        <v>13.215882716344048</v>
      </c>
      <c r="AK42" s="20">
        <f ca="1">'TR TUSD'!$AK$42*'TR TUSD'!$AK$95</f>
        <v>3.0499643399441254</v>
      </c>
      <c r="AL42" s="20">
        <f ca="1">SUM($AH$42:$AK$42)</f>
        <v>41.677944043659281</v>
      </c>
      <c r="AM42" s="20">
        <f ca="1">SUMIF($L$4:$AL$4,"SUBTOTAL",$L$42:$AL$42)</f>
        <v>42.966174863662893</v>
      </c>
      <c r="AP42" s="20">
        <v>1</v>
      </c>
    </row>
    <row r="43" spans="1:42" ht="11.25" customHeight="1" x14ac:dyDescent="0.25">
      <c r="A43" s="119"/>
      <c r="B43" s="119" t="s">
        <v>34</v>
      </c>
      <c r="C43" s="119" t="s">
        <v>25</v>
      </c>
      <c r="D43" s="119" t="s">
        <v>25</v>
      </c>
      <c r="E43" s="119" t="s">
        <v>25</v>
      </c>
      <c r="F43" s="119" t="s">
        <v>25</v>
      </c>
      <c r="G43" s="21" t="s">
        <v>9</v>
      </c>
      <c r="H43" s="21" t="s">
        <v>91</v>
      </c>
      <c r="I43" s="21">
        <f>'MERCADO TUSD'!$U$40</f>
        <v>1299737</v>
      </c>
      <c r="J43" s="17"/>
      <c r="L43" s="20">
        <f>'TR TUSD'!$L$43*'TR TUSD'!$L$95</f>
        <v>0</v>
      </c>
      <c r="M43" s="20">
        <f>'TR TUSD'!$M$43*'TR TUSD'!$M$95</f>
        <v>0</v>
      </c>
      <c r="N43" s="20">
        <f ca="1">'TR TUSD'!$N$43*'TR TUSD'!$N$95</f>
        <v>0</v>
      </c>
      <c r="O43" s="20">
        <f>'TR TUSD'!$O$43*'TR TUSD'!$O$95</f>
        <v>0</v>
      </c>
      <c r="P43" s="20">
        <f>'TR TUSD'!$P$43*'TR TUSD'!$P$95</f>
        <v>0</v>
      </c>
      <c r="Q43" s="20">
        <f>'TR TUSD'!$Q$43*'TR TUSD'!$Q$95</f>
        <v>0</v>
      </c>
      <c r="R43" s="20">
        <f>'TR TUSD'!$R$43*'TR TUSD'!$R$95</f>
        <v>0</v>
      </c>
      <c r="S43" s="20">
        <f>'TR TUSD'!$S$43*'TR TUSD'!$S$95</f>
        <v>0</v>
      </c>
      <c r="T43" s="20">
        <f ca="1">SUM($L$43:$S$43)</f>
        <v>0</v>
      </c>
      <c r="U43" s="20">
        <f>'TR TUSD'!$U$43*'TR TUSD'!$U$95</f>
        <v>7.3572476399528899</v>
      </c>
      <c r="V43" s="20">
        <f>'TR TUSD'!$V$43*'TR TUSD'!$V$95</f>
        <v>1.8947776598938901</v>
      </c>
      <c r="W43" s="20">
        <f>'TR TUSD'!$W$43*'TR TUSD'!$W$95</f>
        <v>0.23505244152100005</v>
      </c>
      <c r="X43" s="20">
        <f>'TR TUSD'!$X$43*'TR TUSD'!$X$95</f>
        <v>0</v>
      </c>
      <c r="Y43" s="20">
        <f>'TR TUSD'!$Y$43*'TR TUSD'!$Y$95</f>
        <v>0</v>
      </c>
      <c r="Z43" s="20">
        <f>'TR TUSD'!$Z$43</f>
        <v>0</v>
      </c>
      <c r="AA43" s="20">
        <f>'TR TUSD'!$AA$43</f>
        <v>0</v>
      </c>
      <c r="AB43" s="20">
        <f>SUM($U$43:$AA$43)</f>
        <v>9.4870777413677807</v>
      </c>
      <c r="AC43" s="20">
        <f>'TR TUSD'!$AC$43*'TR TUSD'!$AC$95</f>
        <v>6.0363438211410596</v>
      </c>
      <c r="AD43" s="20">
        <f>SUM($AC$43:$AC$43)</f>
        <v>6.0363438211410596</v>
      </c>
      <c r="AE43" s="20">
        <v>0</v>
      </c>
      <c r="AF43" s="20">
        <v>0</v>
      </c>
      <c r="AG43" s="20">
        <f>SUM($AE$43:$AF$43)</f>
        <v>0</v>
      </c>
      <c r="AH43" s="20">
        <f>'TR TUSD'!$AH$43*'TR TUSD'!$AH$95</f>
        <v>0</v>
      </c>
      <c r="AI43" s="20">
        <f>'TR TUSD'!$AI$43*'TR TUSD'!$AI$95</f>
        <v>0</v>
      </c>
      <c r="AJ43" s="20">
        <f ca="1">'TR TUSD'!$AJ$43*'TR TUSD'!$AJ$95</f>
        <v>0</v>
      </c>
      <c r="AK43" s="20">
        <f ca="1">'TR TUSD'!$AK$43*'TR TUSD'!$AK$95</f>
        <v>0</v>
      </c>
      <c r="AL43" s="20">
        <f ca="1">SUM($AH$43:$AK$43)</f>
        <v>0</v>
      </c>
      <c r="AM43" s="20">
        <f ca="1">SUMIF($L$4:$AL$4,"SUBTOTAL",$L$43:$AL$43)</f>
        <v>15.52342156250884</v>
      </c>
      <c r="AP43" s="20">
        <v>1</v>
      </c>
    </row>
    <row r="44" spans="1:42" ht="11.25" customHeight="1" x14ac:dyDescent="0.25">
      <c r="A44" s="119"/>
      <c r="B44" s="119"/>
      <c r="C44" s="119"/>
      <c r="D44" s="119"/>
      <c r="E44" s="119"/>
      <c r="F44" s="119"/>
      <c r="G44" s="21" t="s">
        <v>89</v>
      </c>
      <c r="H44" s="21" t="s">
        <v>88</v>
      </c>
      <c r="I44" s="21">
        <f>'MERCADO TUSD'!$U$41</f>
        <v>23575.552999999993</v>
      </c>
      <c r="J44" s="17"/>
      <c r="L44" s="20">
        <f>'TR TUSD'!$L$44*'TR TUSD'!$L$95</f>
        <v>0</v>
      </c>
      <c r="M44" s="20">
        <f>'TR TUSD'!$M$44*'TR TUSD'!$M$95</f>
        <v>0.45504567156280362</v>
      </c>
      <c r="N44" s="20">
        <f ca="1">'TR TUSD'!$N$44*'TR TUSD'!$N$95</f>
        <v>12.840278561888992</v>
      </c>
      <c r="O44" s="20">
        <f>'TR TUSD'!$O$44*'TR TUSD'!$O$95</f>
        <v>0</v>
      </c>
      <c r="P44" s="20">
        <f>'TR TUSD'!$P$44*'TR TUSD'!$P$95</f>
        <v>0</v>
      </c>
      <c r="Q44" s="20">
        <f>'TR TUSD'!$Q$44*'TR TUSD'!$Q$95</f>
        <v>61.495406527525361</v>
      </c>
      <c r="R44" s="20">
        <f>'TR TUSD'!$R$44*'TR TUSD'!$R$95</f>
        <v>7.9721317603751451</v>
      </c>
      <c r="S44" s="20">
        <f>'TR TUSD'!$S$44*'TR TUSD'!$S$95</f>
        <v>0</v>
      </c>
      <c r="T44" s="20">
        <f ca="1">SUM($L$44:$S$44)</f>
        <v>82.762862521352304</v>
      </c>
      <c r="U44" s="20">
        <f>'TR TUSD'!$U$44*'TR TUSD'!$U$95</f>
        <v>208.5146739882571</v>
      </c>
      <c r="V44" s="20">
        <f>'TR TUSD'!$V$44*'TR TUSD'!$V$95</f>
        <v>52.367940136189851</v>
      </c>
      <c r="W44" s="20">
        <f>'TR TUSD'!$W$44*'TR TUSD'!$W$95</f>
        <v>7.3176478367933671</v>
      </c>
      <c r="X44" s="20">
        <f>'TR TUSD'!$X$44*'TR TUSD'!$X$95</f>
        <v>0</v>
      </c>
      <c r="Y44" s="20">
        <f>'TR TUSD'!$Y$44*'TR TUSD'!$Y$95</f>
        <v>0</v>
      </c>
      <c r="Z44" s="20">
        <f>'TR TUSD'!$Z$44</f>
        <v>0</v>
      </c>
      <c r="AA44" s="20">
        <f>'TR TUSD'!$AA$44</f>
        <v>0</v>
      </c>
      <c r="AB44" s="20">
        <f>SUM($U$44:$AA$44)</f>
        <v>268.2002619612403</v>
      </c>
      <c r="AC44" s="20">
        <f>'TR TUSD'!$AC$44*'TR TUSD'!$AC$95</f>
        <v>898.98345479484078</v>
      </c>
      <c r="AD44" s="20">
        <f>SUM($AC$44:$AC$44)</f>
        <v>898.98345479484078</v>
      </c>
      <c r="AE44" s="20">
        <v>0</v>
      </c>
      <c r="AF44" s="20">
        <v>0</v>
      </c>
      <c r="AG44" s="20">
        <f>SUM($AE$44:$AF$44)</f>
        <v>0</v>
      </c>
      <c r="AH44" s="20">
        <f>'TR TUSD'!$AH$44*'TR TUSD'!$AH$95</f>
        <v>24.491501950758238</v>
      </c>
      <c r="AI44" s="20">
        <f>'TR TUSD'!$AI$44*'TR TUSD'!$AI$95</f>
        <v>0.92059503661286801</v>
      </c>
      <c r="AJ44" s="20">
        <f ca="1">'TR TUSD'!$AJ$44*'TR TUSD'!$AJ$95</f>
        <v>13.215882716344048</v>
      </c>
      <c r="AK44" s="20">
        <f ca="1">'TR TUSD'!$AK$44*'TR TUSD'!$AK$95</f>
        <v>3.0499643399441254</v>
      </c>
      <c r="AL44" s="20">
        <f ca="1">SUM($AH$44:$AK$44)</f>
        <v>41.677944043659281</v>
      </c>
      <c r="AM44" s="20">
        <f ca="1">SUMIF($L$4:$AL$4,"SUBTOTAL",$L$44:$AL$44)</f>
        <v>1291.6245233210925</v>
      </c>
      <c r="AP44" s="20">
        <v>1</v>
      </c>
    </row>
    <row r="45" spans="1:42" ht="11.25" customHeight="1" x14ac:dyDescent="0.25">
      <c r="A45" s="119"/>
      <c r="B45" s="119"/>
      <c r="C45" s="119"/>
      <c r="D45" s="119"/>
      <c r="E45" s="119"/>
      <c r="F45" s="119"/>
      <c r="G45" s="21" t="s">
        <v>90</v>
      </c>
      <c r="H45" s="21" t="s">
        <v>88</v>
      </c>
      <c r="I45" s="21">
        <f>'MERCADO TUSD'!$U$42</f>
        <v>231444.989</v>
      </c>
      <c r="J45" s="17"/>
      <c r="L45" s="20">
        <f>'TR TUSD'!$L$45*'TR TUSD'!$L$95</f>
        <v>0</v>
      </c>
      <c r="M45" s="20">
        <f>'TR TUSD'!$M$45*'TR TUSD'!$M$95</f>
        <v>0.45504567156280362</v>
      </c>
      <c r="N45" s="20">
        <f ca="1">'TR TUSD'!$N$45*'TR TUSD'!$N$95</f>
        <v>0.84765370504686066</v>
      </c>
      <c r="O45" s="20">
        <f>'TR TUSD'!$O$45*'TR TUSD'!$O$95</f>
        <v>0</v>
      </c>
      <c r="P45" s="20">
        <f>'TR TUSD'!$P$45*'TR TUSD'!$P$95</f>
        <v>0</v>
      </c>
      <c r="Q45" s="20">
        <f>'TR TUSD'!$Q$45*'TR TUSD'!$Q$95</f>
        <v>61.495406527525361</v>
      </c>
      <c r="R45" s="20">
        <f>'TR TUSD'!$R$45*'TR TUSD'!$R$95</f>
        <v>7.9721317603751451</v>
      </c>
      <c r="S45" s="20">
        <f>'TR TUSD'!$S$45*'TR TUSD'!$S$95</f>
        <v>0</v>
      </c>
      <c r="T45" s="20">
        <f ca="1">SUM($L$45:$S$45)</f>
        <v>70.770237664510177</v>
      </c>
      <c r="U45" s="20">
        <f>'TR TUSD'!$U$45*'TR TUSD'!$U$95</f>
        <v>0</v>
      </c>
      <c r="V45" s="20">
        <f>'TR TUSD'!$V$45*'TR TUSD'!$V$95</f>
        <v>0</v>
      </c>
      <c r="W45" s="20">
        <f>'TR TUSD'!$W$45*'TR TUSD'!$W$95</f>
        <v>0</v>
      </c>
      <c r="X45" s="20">
        <f>'TR TUSD'!$X$45*'TR TUSD'!$X$95</f>
        <v>0</v>
      </c>
      <c r="Y45" s="20">
        <f>'TR TUSD'!$Y$45*'TR TUSD'!$Y$95</f>
        <v>0</v>
      </c>
      <c r="Z45" s="20">
        <f>'TR TUSD'!$Z$45</f>
        <v>0</v>
      </c>
      <c r="AA45" s="20">
        <f>'TR TUSD'!$AA$45</f>
        <v>0</v>
      </c>
      <c r="AB45" s="20">
        <f>SUM($U$45:$AA$45)</f>
        <v>0</v>
      </c>
      <c r="AC45" s="20">
        <f>'TR TUSD'!$AC$45*'TR TUSD'!$AC$95</f>
        <v>0</v>
      </c>
      <c r="AD45" s="20">
        <f>SUM($AC$45:$AC$45)</f>
        <v>0</v>
      </c>
      <c r="AE45" s="20">
        <v>0</v>
      </c>
      <c r="AF45" s="20">
        <v>0</v>
      </c>
      <c r="AG45" s="20">
        <f>SUM($AE$45:$AF$45)</f>
        <v>0</v>
      </c>
      <c r="AH45" s="20">
        <f>'TR TUSD'!$AH$45*'TR TUSD'!$AH$95</f>
        <v>24.491501950758238</v>
      </c>
      <c r="AI45" s="20">
        <f>'TR TUSD'!$AI$45*'TR TUSD'!$AI$95</f>
        <v>0.92059503661286801</v>
      </c>
      <c r="AJ45" s="20">
        <f ca="1">'TR TUSD'!$AJ$45*'TR TUSD'!$AJ$95</f>
        <v>13.215882716344048</v>
      </c>
      <c r="AK45" s="20">
        <f ca="1">'TR TUSD'!$AK$45*'TR TUSD'!$AK$95</f>
        <v>3.0499643399441254</v>
      </c>
      <c r="AL45" s="20">
        <f ca="1">SUM($AH$45:$AK$45)</f>
        <v>41.677944043659281</v>
      </c>
      <c r="AM45" s="20">
        <f ca="1">SUMIF($L$4:$AL$4,"SUBTOTAL",$L$45:$AL$45)</f>
        <v>112.44818170816946</v>
      </c>
      <c r="AP45" s="20">
        <v>1</v>
      </c>
    </row>
    <row r="46" spans="1:42" ht="11.25" customHeight="1" x14ac:dyDescent="0.25">
      <c r="A46" s="119"/>
      <c r="B46" s="119"/>
      <c r="C46" s="119"/>
      <c r="D46" s="119"/>
      <c r="E46" s="119" t="s">
        <v>61</v>
      </c>
      <c r="F46" s="119" t="s">
        <v>25</v>
      </c>
      <c r="G46" s="21" t="s">
        <v>89</v>
      </c>
      <c r="H46" s="21" t="s">
        <v>88</v>
      </c>
      <c r="I46" s="21">
        <f>'MERCADO TUSD'!$U$43</f>
        <v>0</v>
      </c>
      <c r="J46" s="17"/>
      <c r="L46" s="20">
        <f>'TR TUSD'!$L$46*'TR TUSD'!$L$95</f>
        <v>0</v>
      </c>
      <c r="M46" s="20">
        <f>'TR TUSD'!$M$46*'TR TUSD'!$M$95</f>
        <v>0.45504567156280362</v>
      </c>
      <c r="N46" s="20">
        <f ca="1">'TR TUSD'!$N$46*'TR TUSD'!$N$95</f>
        <v>12.825810005282939</v>
      </c>
      <c r="O46" s="20">
        <f>'TR TUSD'!$O$46*'TR TUSD'!$O$95</f>
        <v>0</v>
      </c>
      <c r="P46" s="20">
        <f>'TR TUSD'!$P$46*'TR TUSD'!$P$95</f>
        <v>0</v>
      </c>
      <c r="Q46" s="20">
        <f>'TR TUSD'!$Q$46*'TR TUSD'!$Q$95</f>
        <v>0</v>
      </c>
      <c r="R46" s="20">
        <f>'TR TUSD'!$R$46*'TR TUSD'!$R$95</f>
        <v>0</v>
      </c>
      <c r="S46" s="20">
        <f>'TR TUSD'!$S$46*'TR TUSD'!$S$95</f>
        <v>0</v>
      </c>
      <c r="T46" s="20">
        <f ca="1">SUM($L$46:$S$46)</f>
        <v>13.280855676845743</v>
      </c>
      <c r="U46" s="20">
        <f>'TR TUSD'!$U$46*'TR TUSD'!$U$95</f>
        <v>208.5146739882571</v>
      </c>
      <c r="V46" s="20">
        <f>'TR TUSD'!$V$46*'TR TUSD'!$V$95</f>
        <v>52.367940136189851</v>
      </c>
      <c r="W46" s="20">
        <f>'TR TUSD'!$W$46*'TR TUSD'!$W$95</f>
        <v>7.3176478367933671</v>
      </c>
      <c r="X46" s="20">
        <f>'TR TUSD'!$X$46*'TR TUSD'!$X$95</f>
        <v>0</v>
      </c>
      <c r="Y46" s="20">
        <f>'TR TUSD'!$Y$46*'TR TUSD'!$Y$95</f>
        <v>0</v>
      </c>
      <c r="Z46" s="20">
        <f>'TR TUSD'!$Z$46</f>
        <v>0</v>
      </c>
      <c r="AA46" s="20">
        <f>'TR TUSD'!$AA$46</f>
        <v>0</v>
      </c>
      <c r="AB46" s="20">
        <f>SUM($U$46:$AA$46)</f>
        <v>268.2002619612403</v>
      </c>
      <c r="AC46" s="20">
        <f>'TR TUSD'!$AC$46*'TR TUSD'!$AC$95</f>
        <v>898.98345479484078</v>
      </c>
      <c r="AD46" s="20">
        <f>SUM($AC$46:$AC$46)</f>
        <v>898.98345479484078</v>
      </c>
      <c r="AE46" s="20">
        <v>0</v>
      </c>
      <c r="AF46" s="20">
        <v>0</v>
      </c>
      <c r="AG46" s="20">
        <f>SUM($AE$46:$AF$46)</f>
        <v>0</v>
      </c>
      <c r="AH46" s="20">
        <f>'TR TUSD'!$AH$46*'TR TUSD'!$AH$95</f>
        <v>24.491501950758238</v>
      </c>
      <c r="AI46" s="20">
        <f>'TR TUSD'!$AI$46*'TR TUSD'!$AI$95</f>
        <v>0.92059503661286801</v>
      </c>
      <c r="AJ46" s="20">
        <f ca="1">'TR TUSD'!$AJ$46*'TR TUSD'!$AJ$95</f>
        <v>13.215882716344048</v>
      </c>
      <c r="AK46" s="20">
        <f ca="1">'TR TUSD'!$AK$46*'TR TUSD'!$AK$95</f>
        <v>3.0499643399441254</v>
      </c>
      <c r="AL46" s="20">
        <f ca="1">SUM($AH$46:$AK$46)</f>
        <v>41.677944043659281</v>
      </c>
      <c r="AM46" s="20">
        <f ca="1">SUMIF($L$4:$AL$4,"SUBTOTAL",$L$46:$AL$46)</f>
        <v>1222.142516476586</v>
      </c>
      <c r="AP46" s="20">
        <v>1</v>
      </c>
    </row>
    <row r="47" spans="1:42" ht="11.25" customHeight="1" x14ac:dyDescent="0.25">
      <c r="A47" s="119"/>
      <c r="B47" s="119"/>
      <c r="C47" s="119"/>
      <c r="D47" s="119"/>
      <c r="E47" s="119"/>
      <c r="F47" s="119"/>
      <c r="G47" s="21" t="s">
        <v>90</v>
      </c>
      <c r="H47" s="21" t="s">
        <v>88</v>
      </c>
      <c r="I47" s="21">
        <f>'MERCADO TUSD'!$U$44</f>
        <v>0</v>
      </c>
      <c r="J47" s="17"/>
      <c r="L47" s="20">
        <f>'TR TUSD'!$L$47*'TR TUSD'!$L$95</f>
        <v>0</v>
      </c>
      <c r="M47" s="20">
        <f>'TR TUSD'!$M$47*'TR TUSD'!$M$95</f>
        <v>0.45504567156280362</v>
      </c>
      <c r="N47" s="20">
        <f ca="1">'TR TUSD'!$N$47*'TR TUSD'!$N$95</f>
        <v>0.83318514844080771</v>
      </c>
      <c r="O47" s="20">
        <f>'TR TUSD'!$O$47*'TR TUSD'!$O$95</f>
        <v>0</v>
      </c>
      <c r="P47" s="20">
        <f>'TR TUSD'!$P$47*'TR TUSD'!$P$95</f>
        <v>0</v>
      </c>
      <c r="Q47" s="20">
        <f>'TR TUSD'!$Q$47*'TR TUSD'!$Q$95</f>
        <v>0</v>
      </c>
      <c r="R47" s="20">
        <f>'TR TUSD'!$R$47*'TR TUSD'!$R$95</f>
        <v>0</v>
      </c>
      <c r="S47" s="20">
        <f>'TR TUSD'!$S$47*'TR TUSD'!$S$95</f>
        <v>0</v>
      </c>
      <c r="T47" s="20">
        <f ca="1">SUM($L$47:$S$47)</f>
        <v>1.2882308200036112</v>
      </c>
      <c r="U47" s="20">
        <f>'TR TUSD'!$U$47*'TR TUSD'!$U$95</f>
        <v>0</v>
      </c>
      <c r="V47" s="20">
        <f>'TR TUSD'!$V$47*'TR TUSD'!$V$95</f>
        <v>0</v>
      </c>
      <c r="W47" s="20">
        <f>'TR TUSD'!$W$47*'TR TUSD'!$W$95</f>
        <v>0</v>
      </c>
      <c r="X47" s="20">
        <f>'TR TUSD'!$X$47*'TR TUSD'!$X$95</f>
        <v>0</v>
      </c>
      <c r="Y47" s="20">
        <f>'TR TUSD'!$Y$47*'TR TUSD'!$Y$95</f>
        <v>0</v>
      </c>
      <c r="Z47" s="20">
        <f>'TR TUSD'!$Z$47</f>
        <v>0</v>
      </c>
      <c r="AA47" s="20">
        <f>'TR TUSD'!$AA$47</f>
        <v>0</v>
      </c>
      <c r="AB47" s="20">
        <f>SUM($U$47:$AA$47)</f>
        <v>0</v>
      </c>
      <c r="AC47" s="20">
        <f>'TR TUSD'!$AC$47*'TR TUSD'!$AC$95</f>
        <v>0</v>
      </c>
      <c r="AD47" s="20">
        <f>SUM($AC$47:$AC$47)</f>
        <v>0</v>
      </c>
      <c r="AE47" s="20">
        <v>0</v>
      </c>
      <c r="AF47" s="20">
        <v>0</v>
      </c>
      <c r="AG47" s="20">
        <f>SUM($AE$47:$AF$47)</f>
        <v>0</v>
      </c>
      <c r="AH47" s="20">
        <f>'TR TUSD'!$AH$47*'TR TUSD'!$AH$95</f>
        <v>24.491501950758238</v>
      </c>
      <c r="AI47" s="20">
        <f>'TR TUSD'!$AI$47*'TR TUSD'!$AI$95</f>
        <v>0.92059503661286801</v>
      </c>
      <c r="AJ47" s="20">
        <f ca="1">'TR TUSD'!$AJ$47*'TR TUSD'!$AJ$95</f>
        <v>13.215882716344048</v>
      </c>
      <c r="AK47" s="20">
        <f ca="1">'TR TUSD'!$AK$47*'TR TUSD'!$AK$95</f>
        <v>3.0499643399441254</v>
      </c>
      <c r="AL47" s="20">
        <f ca="1">SUM($AH$47:$AK$47)</f>
        <v>41.677944043659281</v>
      </c>
      <c r="AM47" s="20">
        <f ca="1">SUMIF($L$4:$AL$4,"SUBTOTAL",$L$47:$AL$47)</f>
        <v>42.966174863662893</v>
      </c>
      <c r="AP47" s="20">
        <v>1</v>
      </c>
    </row>
    <row r="48" spans="1:42" ht="11.25" customHeight="1" x14ac:dyDescent="0.25">
      <c r="A48" s="119"/>
      <c r="B48" s="119" t="s">
        <v>23</v>
      </c>
      <c r="C48" s="119" t="s">
        <v>25</v>
      </c>
      <c r="D48" s="119" t="s">
        <v>25</v>
      </c>
      <c r="E48" s="119" t="s">
        <v>25</v>
      </c>
      <c r="F48" s="119" t="s">
        <v>25</v>
      </c>
      <c r="G48" s="21" t="s">
        <v>9</v>
      </c>
      <c r="H48" s="21" t="s">
        <v>91</v>
      </c>
      <c r="I48" s="21">
        <f>'MERCADO TUSD'!$U$45</f>
        <v>0</v>
      </c>
      <c r="J48" s="17"/>
      <c r="L48" s="20">
        <f>'TR TUSD'!$L$48*'TR TUSD'!$L$95</f>
        <v>0</v>
      </c>
      <c r="M48" s="20">
        <f>'TR TUSD'!$M$48*'TR TUSD'!$M$95</f>
        <v>0</v>
      </c>
      <c r="N48" s="20">
        <f ca="1">'TR TUSD'!$N$48*'TR TUSD'!$N$95</f>
        <v>0</v>
      </c>
      <c r="O48" s="20">
        <f>'TR TUSD'!$O$48*'TR TUSD'!$O$95</f>
        <v>0</v>
      </c>
      <c r="P48" s="20">
        <f>'TR TUSD'!$P$48*'TR TUSD'!$P$95</f>
        <v>0</v>
      </c>
      <c r="Q48" s="20">
        <f>'TR TUSD'!$Q$48*'TR TUSD'!$Q$95</f>
        <v>0</v>
      </c>
      <c r="R48" s="20">
        <f>'TR TUSD'!$R$48*'TR TUSD'!$R$95</f>
        <v>0</v>
      </c>
      <c r="S48" s="20">
        <f>'TR TUSD'!$S$48*'TR TUSD'!$S$95</f>
        <v>0</v>
      </c>
      <c r="T48" s="20">
        <f ca="1">SUM($L$48:$S$48)</f>
        <v>0</v>
      </c>
      <c r="U48" s="20">
        <f>'TR TUSD'!$U$48*'TR TUSD'!$U$95</f>
        <v>13.599493992134478</v>
      </c>
      <c r="V48" s="20">
        <f>'TR TUSD'!$V$48*'TR TUSD'!$V$95</f>
        <v>3.4627780290849599</v>
      </c>
      <c r="W48" s="20">
        <f>'TR TUSD'!$W$48*'TR TUSD'!$W$95</f>
        <v>0.45399722842000267</v>
      </c>
      <c r="X48" s="20">
        <f>'TR TUSD'!$X$48*'TR TUSD'!$X$95</f>
        <v>0</v>
      </c>
      <c r="Y48" s="20">
        <f>'TR TUSD'!$Y$48*'TR TUSD'!$Y$95</f>
        <v>0</v>
      </c>
      <c r="Z48" s="20">
        <f>'TR TUSD'!$Z$48</f>
        <v>0</v>
      </c>
      <c r="AA48" s="20">
        <f>'TR TUSD'!$AA$48</f>
        <v>0</v>
      </c>
      <c r="AB48" s="20">
        <f>SUM($U$48:$AA$48)</f>
        <v>17.516269249639443</v>
      </c>
      <c r="AC48" s="20">
        <f>'TR TUSD'!$AC$48*'TR TUSD'!$AC$95</f>
        <v>32.949716772813254</v>
      </c>
      <c r="AD48" s="20">
        <f>SUM($AC$48:$AC$48)</f>
        <v>32.949716772813254</v>
      </c>
      <c r="AE48" s="20">
        <v>0</v>
      </c>
      <c r="AF48" s="20">
        <v>0</v>
      </c>
      <c r="AG48" s="20">
        <f>SUM($AE$48:$AF$48)</f>
        <v>0</v>
      </c>
      <c r="AH48" s="20">
        <f>'TR TUSD'!$AH$48*'TR TUSD'!$AH$95</f>
        <v>0</v>
      </c>
      <c r="AI48" s="20">
        <f>'TR TUSD'!$AI$48*'TR TUSD'!$AI$95</f>
        <v>0</v>
      </c>
      <c r="AJ48" s="20">
        <f ca="1">'TR TUSD'!$AJ$48*'TR TUSD'!$AJ$95</f>
        <v>0</v>
      </c>
      <c r="AK48" s="20">
        <f ca="1">'TR TUSD'!$AK$48*'TR TUSD'!$AK$95</f>
        <v>0</v>
      </c>
      <c r="AL48" s="20">
        <f ca="1">SUM($AH$48:$AK$48)</f>
        <v>0</v>
      </c>
      <c r="AM48" s="20">
        <f ca="1">SUMIF($L$4:$AL$4,"SUBTOTAL",$L$48:$AL$48)</f>
        <v>50.465986022452697</v>
      </c>
      <c r="AP48" s="20">
        <v>1</v>
      </c>
    </row>
    <row r="49" spans="1:42" ht="11.25" customHeight="1" x14ac:dyDescent="0.25">
      <c r="A49" s="119"/>
      <c r="B49" s="119"/>
      <c r="C49" s="119"/>
      <c r="D49" s="119"/>
      <c r="E49" s="119"/>
      <c r="F49" s="119"/>
      <c r="G49" s="21" t="s">
        <v>94</v>
      </c>
      <c r="H49" s="21" t="s">
        <v>88</v>
      </c>
      <c r="I49" s="21">
        <f>'MERCADO TUSD'!$U$46</f>
        <v>0</v>
      </c>
      <c r="J49" s="17"/>
      <c r="L49" s="20">
        <f>'TR TUSD'!$L$49*'TR TUSD'!$L$95</f>
        <v>0</v>
      </c>
      <c r="M49" s="20">
        <f>'TR TUSD'!$M$49*'TR TUSD'!$M$95</f>
        <v>0.45504567156280362</v>
      </c>
      <c r="N49" s="20">
        <f ca="1">'TR TUSD'!$N$49*'TR TUSD'!$N$95</f>
        <v>0.84765370504686066</v>
      </c>
      <c r="O49" s="20">
        <f>'TR TUSD'!$O$49*'TR TUSD'!$O$95</f>
        <v>0</v>
      </c>
      <c r="P49" s="20">
        <f>'TR TUSD'!$P$49*'TR TUSD'!$P$95</f>
        <v>0</v>
      </c>
      <c r="Q49" s="20">
        <f>'TR TUSD'!$Q$49*'TR TUSD'!$Q$95</f>
        <v>61.495406527525361</v>
      </c>
      <c r="R49" s="20">
        <f>'TR TUSD'!$R$49*'TR TUSD'!$R$95</f>
        <v>7.9721317603751451</v>
      </c>
      <c r="S49" s="20">
        <f>'TR TUSD'!$S$49*'TR TUSD'!$S$95</f>
        <v>0</v>
      </c>
      <c r="T49" s="20">
        <f ca="1">SUM($L$49:$S$49)</f>
        <v>70.770237664510177</v>
      </c>
      <c r="U49" s="20">
        <f>'TR TUSD'!$U$49*'TR TUSD'!$U$95</f>
        <v>0</v>
      </c>
      <c r="V49" s="20">
        <f>'TR TUSD'!$V$49*'TR TUSD'!$V$95</f>
        <v>0</v>
      </c>
      <c r="W49" s="20">
        <f>'TR TUSD'!$W$49*'TR TUSD'!$W$95</f>
        <v>0</v>
      </c>
      <c r="X49" s="20">
        <f>'TR TUSD'!$X$49*'TR TUSD'!$X$95</f>
        <v>0</v>
      </c>
      <c r="Y49" s="20">
        <f>'TR TUSD'!$Y$49*'TR TUSD'!$Y$95</f>
        <v>0</v>
      </c>
      <c r="Z49" s="20">
        <f>'TR TUSD'!$Z$49</f>
        <v>0</v>
      </c>
      <c r="AA49" s="20">
        <f>'TR TUSD'!$AA$49</f>
        <v>0</v>
      </c>
      <c r="AB49" s="20">
        <f>SUM($U$49:$AA$49)</f>
        <v>0</v>
      </c>
      <c r="AC49" s="20">
        <f>'TR TUSD'!$AC$49*'TR TUSD'!$AC$95</f>
        <v>0</v>
      </c>
      <c r="AD49" s="20">
        <f>SUM($AC$49:$AC$49)</f>
        <v>0</v>
      </c>
      <c r="AE49" s="20">
        <v>0</v>
      </c>
      <c r="AF49" s="20">
        <v>0</v>
      </c>
      <c r="AG49" s="20">
        <f>SUM($AE$49:$AF$49)</f>
        <v>0</v>
      </c>
      <c r="AH49" s="20">
        <f>'TR TUSD'!$AH$49*'TR TUSD'!$AH$95</f>
        <v>24.491501950758238</v>
      </c>
      <c r="AI49" s="20">
        <f>'TR TUSD'!$AI$49*'TR TUSD'!$AI$95</f>
        <v>0.92059503661286801</v>
      </c>
      <c r="AJ49" s="20">
        <f ca="1">'TR TUSD'!$AJ$49*'TR TUSD'!$AJ$95</f>
        <v>13.215882716344048</v>
      </c>
      <c r="AK49" s="20">
        <f ca="1">'TR TUSD'!$AK$49*'TR TUSD'!$AK$95</f>
        <v>3.0499643399441254</v>
      </c>
      <c r="AL49" s="20">
        <f ca="1">SUM($AH$49:$AK$49)</f>
        <v>41.677944043659281</v>
      </c>
      <c r="AM49" s="20">
        <f ca="1">SUMIF($L$4:$AL$4,"SUBTOTAL",$L$49:$AL$49)</f>
        <v>112.44818170816946</v>
      </c>
      <c r="AP49" s="20">
        <v>1</v>
      </c>
    </row>
    <row r="50" spans="1:42" ht="11.25" customHeight="1" x14ac:dyDescent="0.25">
      <c r="A50" s="119" t="s">
        <v>97</v>
      </c>
      <c r="B50" s="119" t="s">
        <v>64</v>
      </c>
      <c r="C50" s="119" t="s">
        <v>25</v>
      </c>
      <c r="D50" s="119" t="s">
        <v>25</v>
      </c>
      <c r="E50" s="22" t="s">
        <v>98</v>
      </c>
      <c r="F50" s="22" t="s">
        <v>25</v>
      </c>
      <c r="G50" s="21" t="s">
        <v>9</v>
      </c>
      <c r="H50" s="21" t="s">
        <v>91</v>
      </c>
      <c r="I50" s="21">
        <f>'MERCADO TUSD'!$U$47+0.00000001</f>
        <v>1E-8</v>
      </c>
      <c r="J50" s="17"/>
      <c r="L50" s="20">
        <f>'TR TUSD'!$L$50*'TR TUSD'!$L$95</f>
        <v>0</v>
      </c>
      <c r="M50" s="20">
        <f>'TR TUSD'!$M$50*'TR TUSD'!$M$95</f>
        <v>6.712826011771182E-3</v>
      </c>
      <c r="N50" s="20">
        <f ca="1">'TR TUSD'!$N$50*'TR TUSD'!$N$95</f>
        <v>2.5898716324834762E-2</v>
      </c>
      <c r="O50" s="20">
        <f>'TR TUSD'!$O$50*'TR TUSD'!$O$95</f>
        <v>0</v>
      </c>
      <c r="P50" s="20">
        <f>'TR TUSD'!$P$50*'TR TUSD'!$P$95</f>
        <v>0</v>
      </c>
      <c r="Q50" s="20">
        <f>'TR TUSD'!$Q$50*'TR TUSD'!$Q$95</f>
        <v>0</v>
      </c>
      <c r="R50" s="20">
        <f>'TR TUSD'!$R$50*'TR TUSD'!$R$95</f>
        <v>0</v>
      </c>
      <c r="S50" s="20">
        <f>'TR TUSD'!$S$50*'TR TUSD'!$S$95</f>
        <v>0</v>
      </c>
      <c r="T50" s="20">
        <f ca="1">SUM($L$50:$S$50)</f>
        <v>3.2611542336605945E-2</v>
      </c>
      <c r="U50" s="20">
        <f>'TR TUSD'!$U$50*'TR TUSD'!$U$95</f>
        <v>0</v>
      </c>
      <c r="V50" s="20">
        <f>'TR TUSD'!$V$50*'TR TUSD'!$V$95</f>
        <v>0</v>
      </c>
      <c r="W50" s="20">
        <f>'TR TUSD'!$W$50*'TR TUSD'!$W$95</f>
        <v>0</v>
      </c>
      <c r="X50" s="20">
        <f>'TR TUSD'!$X$50*'TR TUSD'!$X$95</f>
        <v>0</v>
      </c>
      <c r="Y50" s="20">
        <f>'TR TUSD'!$Y$50*'TR TUSD'!$Y$95</f>
        <v>0</v>
      </c>
      <c r="Z50" s="20">
        <f>'TR TUSD'!$Z$50*'TR TUSD'!$Z$95</f>
        <v>0</v>
      </c>
      <c r="AA50" s="20">
        <f>'TR TUSD'!$AA$50*'TR TUSD'!$AA$95</f>
        <v>0</v>
      </c>
      <c r="AB50" s="20">
        <f>SUM($U$50:$AA$50)</f>
        <v>0</v>
      </c>
      <c r="AC50" s="20">
        <f>'TR TUSD'!$AC$50*'TR TUSD'!$AC$95</f>
        <v>2.04791395165025</v>
      </c>
      <c r="AD50" s="20">
        <f>SUM($AC$50:$AC$50)</f>
        <v>2.04791395165025</v>
      </c>
      <c r="AE50" s="20">
        <v>0</v>
      </c>
      <c r="AF50" s="20">
        <v>0</v>
      </c>
      <c r="AG50" s="20">
        <f>SUM($AE$50:$AF$50)</f>
        <v>0</v>
      </c>
      <c r="AH50" s="20">
        <f>'TR TUSD'!$AH$50*'TR TUSD'!$AH$95</f>
        <v>0</v>
      </c>
      <c r="AI50" s="20">
        <f>'TR TUSD'!$AI$50*'TR TUSD'!$AI$95</f>
        <v>0</v>
      </c>
      <c r="AJ50" s="20">
        <f ca="1">'TR TUSD'!$AJ$50*'TR TUSD'!$AJ$95</f>
        <v>0</v>
      </c>
      <c r="AK50" s="20">
        <f ca="1">'TR TUSD'!$AK$50*'TR TUSD'!$AK$95</f>
        <v>0</v>
      </c>
      <c r="AL50" s="20">
        <f ca="1">SUM($AH$50:$AK$50)</f>
        <v>0</v>
      </c>
      <c r="AM50" s="20">
        <f ca="1">SUMIF($L$4:$AL$4,"SUBTOTAL",$L$50:$AL$50)</f>
        <v>2.080525493986856</v>
      </c>
      <c r="AP50" s="20"/>
    </row>
    <row r="51" spans="1:42" ht="11.25" customHeight="1" x14ac:dyDescent="0.25">
      <c r="A51" s="119"/>
      <c r="B51" s="119"/>
      <c r="C51" s="119"/>
      <c r="D51" s="119"/>
      <c r="E51" s="22" t="s">
        <v>99</v>
      </c>
      <c r="F51" s="22" t="s">
        <v>25</v>
      </c>
      <c r="G51" s="21" t="s">
        <v>9</v>
      </c>
      <c r="H51" s="21" t="s">
        <v>91</v>
      </c>
      <c r="I51" s="21">
        <f>'MERCADO TUSD'!$U$48+0.00000001</f>
        <v>1E-8</v>
      </c>
      <c r="J51" s="17"/>
      <c r="L51" s="20">
        <f>'TR TUSD'!$L$51*'TR TUSD'!$L$95</f>
        <v>0</v>
      </c>
      <c r="M51" s="20">
        <f>'TR TUSD'!$M$51*'TR TUSD'!$M$95</f>
        <v>6.712826011771182E-3</v>
      </c>
      <c r="N51" s="20">
        <f ca="1">'TR TUSD'!$N$51*'TR TUSD'!$N$95</f>
        <v>2.5898716324834762E-2</v>
      </c>
      <c r="O51" s="20">
        <f>'TR TUSD'!$O$51*'TR TUSD'!$O$95</f>
        <v>0</v>
      </c>
      <c r="P51" s="20">
        <f>'TR TUSD'!$P$51*'TR TUSD'!$P$95</f>
        <v>0</v>
      </c>
      <c r="Q51" s="20">
        <f>'TR TUSD'!$Q$51*'TR TUSD'!$Q$95</f>
        <v>0</v>
      </c>
      <c r="R51" s="20">
        <f>'TR TUSD'!$R$51*'TR TUSD'!$R$95</f>
        <v>0</v>
      </c>
      <c r="S51" s="20">
        <f>'TR TUSD'!$S$51*'TR TUSD'!$S$95</f>
        <v>0</v>
      </c>
      <c r="T51" s="20">
        <f ca="1">SUM($L$51:$S$51)</f>
        <v>3.2611542336605945E-2</v>
      </c>
      <c r="U51" s="20">
        <f>'TR TUSD'!$U$51*'TR TUSD'!$U$95</f>
        <v>0</v>
      </c>
      <c r="V51" s="20">
        <f>'TR TUSD'!$V$51*'TR TUSD'!$V$95</f>
        <v>0</v>
      </c>
      <c r="W51" s="20">
        <f>'TR TUSD'!$W$51*'TR TUSD'!$W$95</f>
        <v>0</v>
      </c>
      <c r="X51" s="20">
        <f>'TR TUSD'!$X$51*'TR TUSD'!$X$95</f>
        <v>0</v>
      </c>
      <c r="Y51" s="20">
        <f>'TR TUSD'!$Y$51*'TR TUSD'!$Y$95</f>
        <v>0</v>
      </c>
      <c r="Z51" s="20">
        <f>'TR TUSD'!$Z$51*'TR TUSD'!$Z$95</f>
        <v>0</v>
      </c>
      <c r="AA51" s="20">
        <f>'TR TUSD'!$AA$51*'TR TUSD'!$AA$95</f>
        <v>0</v>
      </c>
      <c r="AB51" s="20">
        <f>SUM($U$51:$AA$51)</f>
        <v>0</v>
      </c>
      <c r="AC51" s="20">
        <f>'TR TUSD'!$AC$51*'TR TUSD'!$AC$95</f>
        <v>7.6320373887177757</v>
      </c>
      <c r="AD51" s="20">
        <f>SUM($AC$51:$AC$51)</f>
        <v>7.6320373887177757</v>
      </c>
      <c r="AE51" s="20">
        <v>0</v>
      </c>
      <c r="AF51" s="20">
        <v>0</v>
      </c>
      <c r="AG51" s="20">
        <f>SUM($AE$51:$AF$51)</f>
        <v>0</v>
      </c>
      <c r="AH51" s="20">
        <f>'TR TUSD'!$AH$51*'TR TUSD'!$AH$95</f>
        <v>0</v>
      </c>
      <c r="AI51" s="20">
        <f>'TR TUSD'!$AI$51*'TR TUSD'!$AI$95</f>
        <v>0</v>
      </c>
      <c r="AJ51" s="20">
        <f ca="1">'TR TUSD'!$AJ$51*'TR TUSD'!$AJ$95</f>
        <v>0</v>
      </c>
      <c r="AK51" s="20">
        <f ca="1">'TR TUSD'!$AK$51*'TR TUSD'!$AK$95</f>
        <v>0</v>
      </c>
      <c r="AL51" s="20">
        <f ca="1">SUM($AH$51:$AK$51)</f>
        <v>0</v>
      </c>
      <c r="AM51" s="20">
        <f ca="1">SUMIF($L$4:$AL$4,"SUBTOTAL",$L$51:$AL$51)</f>
        <v>7.6646489310543817</v>
      </c>
      <c r="AP51" s="20"/>
    </row>
    <row r="52" spans="1:42" ht="11.25" customHeight="1" x14ac:dyDescent="0.25">
      <c r="A52" s="119" t="s">
        <v>22</v>
      </c>
      <c r="B52" s="119" t="s">
        <v>37</v>
      </c>
      <c r="C52" s="119" t="s">
        <v>24</v>
      </c>
      <c r="D52" s="119" t="s">
        <v>24</v>
      </c>
      <c r="E52" s="119" t="s">
        <v>25</v>
      </c>
      <c r="F52" s="119" t="s">
        <v>25</v>
      </c>
      <c r="G52" s="21" t="s">
        <v>89</v>
      </c>
      <c r="H52" s="21" t="s">
        <v>88</v>
      </c>
      <c r="I52" s="21">
        <f>'MERCADO TUSD'!$U$49</f>
        <v>253.625</v>
      </c>
      <c r="J52" s="17"/>
      <c r="L52" s="20">
        <f>'TR TUSD'!$L$52*'TR TUSD'!$L$95</f>
        <v>0</v>
      </c>
      <c r="M52" s="20">
        <f>'TR TUSD'!$M$52*'TR TUSD'!$M$95</f>
        <v>0.42218734965342558</v>
      </c>
      <c r="N52" s="20">
        <f ca="1">'TR TUSD'!$N$52*'TR TUSD'!$N$95</f>
        <v>4.9767715286914775</v>
      </c>
      <c r="O52" s="20">
        <f>'TR TUSD'!$O$52*'TR TUSD'!$O$95</f>
        <v>0</v>
      </c>
      <c r="P52" s="20">
        <f>'TR TUSD'!$P$52*'TR TUSD'!$P$95</f>
        <v>0</v>
      </c>
      <c r="Q52" s="20">
        <f>'TR TUSD'!$Q$52*'TR TUSD'!$Q$95</f>
        <v>61.495406527525361</v>
      </c>
      <c r="R52" s="20">
        <f>'TR TUSD'!$R$52*'TR TUSD'!$R$95</f>
        <v>7.9721317603751451</v>
      </c>
      <c r="S52" s="20">
        <f>'TR TUSD'!$S$52*'TR TUSD'!$S$95</f>
        <v>0</v>
      </c>
      <c r="T52" s="20">
        <f ca="1">SUM($L$52:$S$52)</f>
        <v>74.866497166245409</v>
      </c>
      <c r="U52" s="20">
        <f>'TR TUSD'!$U$52*'TR TUSD'!$U$95</f>
        <v>112.44407515780979</v>
      </c>
      <c r="V52" s="20">
        <f>'TR TUSD'!$V$52*'TR TUSD'!$V$95</f>
        <v>28.575546491323887</v>
      </c>
      <c r="W52" s="20">
        <f>'TR TUSD'!$W$52*'TR TUSD'!$W$95</f>
        <v>3.780526197762887</v>
      </c>
      <c r="X52" s="20">
        <f>'TR TUSD'!$X$52*'TR TUSD'!$X$95</f>
        <v>0</v>
      </c>
      <c r="Y52" s="20">
        <f>'TR TUSD'!$Y$52*'TR TUSD'!$Y$95</f>
        <v>0</v>
      </c>
      <c r="Z52" s="20">
        <f>'TR TUSD'!$Z$52</f>
        <v>0</v>
      </c>
      <c r="AA52" s="20">
        <f>'TR TUSD'!$AA$52</f>
        <v>0</v>
      </c>
      <c r="AB52" s="20">
        <f>SUM($U$52:$AA$52)</f>
        <v>144.80014784689658</v>
      </c>
      <c r="AC52" s="20">
        <f>'TR TUSD'!$AC$52*'TR TUSD'!$AC$95</f>
        <v>302.32454626062241</v>
      </c>
      <c r="AD52" s="20">
        <f>SUM($AC$52:$AC$52)</f>
        <v>302.32454626062241</v>
      </c>
      <c r="AE52" s="20">
        <v>0</v>
      </c>
      <c r="AF52" s="20">
        <v>0</v>
      </c>
      <c r="AG52" s="20">
        <f>SUM($AE$52:$AF$52)</f>
        <v>0</v>
      </c>
      <c r="AH52" s="20">
        <f>'TR TUSD'!$AH$52*'TR TUSD'!$AH$95</f>
        <v>24.491501950758238</v>
      </c>
      <c r="AI52" s="20">
        <f>'TR TUSD'!$AI$52*'TR TUSD'!$AI$95</f>
        <v>0.92059503661286801</v>
      </c>
      <c r="AJ52" s="20">
        <f ca="1">'TR TUSD'!$AJ$52*'TR TUSD'!$AJ$95</f>
        <v>11.536159305859742</v>
      </c>
      <c r="AK52" s="20">
        <f ca="1">'TR TUSD'!$AK$52*'TR TUSD'!$AK$95</f>
        <v>2.6623173992966622</v>
      </c>
      <c r="AL52" s="20">
        <f ca="1">SUM($AH$52:$AK$52)</f>
        <v>39.61057369252751</v>
      </c>
      <c r="AM52" s="20">
        <f ca="1">SUMIF($L$4:$AL$4,"SUBTOTAL",$L$52:$AL$52)</f>
        <v>561.60176496629185</v>
      </c>
      <c r="AP52" s="20">
        <v>1</v>
      </c>
    </row>
    <row r="53" spans="1:42" ht="11.25" customHeight="1" x14ac:dyDescent="0.25">
      <c r="A53" s="119"/>
      <c r="B53" s="119"/>
      <c r="C53" s="119"/>
      <c r="D53" s="119"/>
      <c r="E53" s="119"/>
      <c r="F53" s="119"/>
      <c r="G53" s="21" t="s">
        <v>100</v>
      </c>
      <c r="H53" s="21" t="s">
        <v>88</v>
      </c>
      <c r="I53" s="21">
        <f>'MERCADO TUSD'!$U$50</f>
        <v>165.69400000000005</v>
      </c>
      <c r="J53" s="17"/>
      <c r="L53" s="20">
        <f>'TR TUSD'!$L$53*'TR TUSD'!$L$95</f>
        <v>0</v>
      </c>
      <c r="M53" s="20">
        <f>'TR TUSD'!$M$53*'TR TUSD'!$M$95</f>
        <v>0.42218734965342558</v>
      </c>
      <c r="N53" s="20">
        <f ca="1">'TR TUSD'!$N$53*'TR TUSD'!$N$95</f>
        <v>3.3089636464438277</v>
      </c>
      <c r="O53" s="20">
        <f>'TR TUSD'!$O$53*'TR TUSD'!$O$95</f>
        <v>0</v>
      </c>
      <c r="P53" s="20">
        <f>'TR TUSD'!$P$53*'TR TUSD'!$P$95</f>
        <v>0</v>
      </c>
      <c r="Q53" s="20">
        <f>'TR TUSD'!$Q$53*'TR TUSD'!$Q$95</f>
        <v>61.495406527525361</v>
      </c>
      <c r="R53" s="20">
        <f>'TR TUSD'!$R$53*'TR TUSD'!$R$95</f>
        <v>7.9721317603751451</v>
      </c>
      <c r="S53" s="20">
        <f>'TR TUSD'!$S$53*'TR TUSD'!$S$95</f>
        <v>0</v>
      </c>
      <c r="T53" s="20">
        <f ca="1">SUM($L$53:$S$53)</f>
        <v>73.198689283997766</v>
      </c>
      <c r="U53" s="20">
        <f>'TR TUSD'!$U$53*'TR TUSD'!$U$95</f>
        <v>67.466067767684933</v>
      </c>
      <c r="V53" s="20">
        <f>'TR TUSD'!$V$53*'TR TUSD'!$V$95</f>
        <v>17.145416332491411</v>
      </c>
      <c r="W53" s="20">
        <f>'TR TUSD'!$W$53*'TR TUSD'!$W$95</f>
        <v>2.2681964026975692</v>
      </c>
      <c r="X53" s="20">
        <f>'TR TUSD'!$X$53*'TR TUSD'!$X$95</f>
        <v>0</v>
      </c>
      <c r="Y53" s="20">
        <f>'TR TUSD'!$Y$53*'TR TUSD'!$Y$95</f>
        <v>0</v>
      </c>
      <c r="Z53" s="20">
        <f>'TR TUSD'!$Z$53</f>
        <v>0</v>
      </c>
      <c r="AA53" s="20">
        <f>'TR TUSD'!$AA$53</f>
        <v>0</v>
      </c>
      <c r="AB53" s="20">
        <f>SUM($U$53:$AA$53)</f>
        <v>86.87968050287391</v>
      </c>
      <c r="AC53" s="20">
        <f>'TR TUSD'!$AC$53*'TR TUSD'!$AC$95</f>
        <v>181.39470478353198</v>
      </c>
      <c r="AD53" s="20">
        <f>SUM($AC$53:$AC$53)</f>
        <v>181.39470478353198</v>
      </c>
      <c r="AE53" s="20">
        <v>0</v>
      </c>
      <c r="AF53" s="20">
        <v>0</v>
      </c>
      <c r="AG53" s="20">
        <f>SUM($AE$53:$AF$53)</f>
        <v>0</v>
      </c>
      <c r="AH53" s="20">
        <f>'TR TUSD'!$AH$53*'TR TUSD'!$AH$95</f>
        <v>24.491501950758238</v>
      </c>
      <c r="AI53" s="20">
        <f>'TR TUSD'!$AI$53*'TR TUSD'!$AI$95</f>
        <v>0.92059503661286801</v>
      </c>
      <c r="AJ53" s="20">
        <f ca="1">'TR TUSD'!$AJ$53*'TR TUSD'!$AJ$95</f>
        <v>11.536159305859742</v>
      </c>
      <c r="AK53" s="20">
        <f ca="1">'TR TUSD'!$AK$53*'TR TUSD'!$AK$95</f>
        <v>2.6623173992966622</v>
      </c>
      <c r="AL53" s="20">
        <f ca="1">SUM($AH$53:$AK$53)</f>
        <v>39.61057369252751</v>
      </c>
      <c r="AM53" s="20">
        <f ca="1">SUMIF($L$4:$AL$4,"SUBTOTAL",$L$53:$AL$53)</f>
        <v>381.08364826293121</v>
      </c>
      <c r="AP53" s="20">
        <v>1</v>
      </c>
    </row>
    <row r="54" spans="1:42" ht="11.25" customHeight="1" x14ac:dyDescent="0.25">
      <c r="A54" s="119"/>
      <c r="B54" s="119"/>
      <c r="C54" s="119"/>
      <c r="D54" s="119"/>
      <c r="E54" s="119"/>
      <c r="F54" s="119"/>
      <c r="G54" s="21" t="s">
        <v>90</v>
      </c>
      <c r="H54" s="21" t="s">
        <v>88</v>
      </c>
      <c r="I54" s="21">
        <f>'MERCADO TUSD'!$U$51</f>
        <v>2116.5709999999999</v>
      </c>
      <c r="J54" s="17"/>
      <c r="L54" s="20">
        <f>'TR TUSD'!$L$54*'TR TUSD'!$L$95</f>
        <v>0</v>
      </c>
      <c r="M54" s="20">
        <f>'TR TUSD'!$M$54*'TR TUSD'!$M$95</f>
        <v>0.42218734965342558</v>
      </c>
      <c r="N54" s="20">
        <f ca="1">'TR TUSD'!$N$54*'TR TUSD'!$N$95</f>
        <v>1.6411572110518391</v>
      </c>
      <c r="O54" s="20">
        <f>'TR TUSD'!$O$54*'TR TUSD'!$O$95</f>
        <v>0</v>
      </c>
      <c r="P54" s="20">
        <f>'TR TUSD'!$P$54*'TR TUSD'!$P$95</f>
        <v>0</v>
      </c>
      <c r="Q54" s="20">
        <f>'TR TUSD'!$Q$54*'TR TUSD'!$Q$95</f>
        <v>61.495406527525361</v>
      </c>
      <c r="R54" s="20">
        <f>'TR TUSD'!$R$54*'TR TUSD'!$R$95</f>
        <v>7.9721317603751451</v>
      </c>
      <c r="S54" s="20">
        <f>'TR TUSD'!$S$54*'TR TUSD'!$S$95</f>
        <v>0</v>
      </c>
      <c r="T54" s="20">
        <f ca="1">SUM($L$54:$S$54)</f>
        <v>71.530882848605771</v>
      </c>
      <c r="U54" s="20">
        <f>'TR TUSD'!$U$54*'TR TUSD'!$U$95</f>
        <v>22.488689255894979</v>
      </c>
      <c r="V54" s="20">
        <f>'TR TUSD'!$V$54*'TR TUSD'!$V$95</f>
        <v>5.7152861736589333</v>
      </c>
      <c r="W54" s="20">
        <f>'TR TUSD'!$W$54*'TR TUSD'!$W$95</f>
        <v>0.75586660763225144</v>
      </c>
      <c r="X54" s="20">
        <f>'TR TUSD'!$X$54*'TR TUSD'!$X$95</f>
        <v>0</v>
      </c>
      <c r="Y54" s="20">
        <f>'TR TUSD'!$Y$54*'TR TUSD'!$Y$95</f>
        <v>0</v>
      </c>
      <c r="Z54" s="20">
        <f>'TR TUSD'!$Z$54</f>
        <v>0</v>
      </c>
      <c r="AA54" s="20">
        <f>'TR TUSD'!$AA$54</f>
        <v>0</v>
      </c>
      <c r="AB54" s="20">
        <f>SUM($U$54:$AA$54)</f>
        <v>28.959842037186167</v>
      </c>
      <c r="AC54" s="20">
        <f>'TR TUSD'!$AC$54*'TR TUSD'!$AC$95</f>
        <v>60.464863306441572</v>
      </c>
      <c r="AD54" s="20">
        <f>SUM($AC$54:$AC$54)</f>
        <v>60.464863306441572</v>
      </c>
      <c r="AE54" s="20">
        <v>0</v>
      </c>
      <c r="AF54" s="20">
        <v>0</v>
      </c>
      <c r="AG54" s="20">
        <f>SUM($AE$54:$AF$54)</f>
        <v>0</v>
      </c>
      <c r="AH54" s="20">
        <f>'TR TUSD'!$AH$54*'TR TUSD'!$AH$95</f>
        <v>24.491501950758238</v>
      </c>
      <c r="AI54" s="20">
        <f>'TR TUSD'!$AI$54*'TR TUSD'!$AI$95</f>
        <v>0.92059503661286801</v>
      </c>
      <c r="AJ54" s="20">
        <f ca="1">'TR TUSD'!$AJ$54*'TR TUSD'!$AJ$95</f>
        <v>11.536159305859742</v>
      </c>
      <c r="AK54" s="20">
        <f ca="1">'TR TUSD'!$AK$54*'TR TUSD'!$AK$95</f>
        <v>2.6623173992966622</v>
      </c>
      <c r="AL54" s="20">
        <f ca="1">SUM($AH$54:$AK$54)</f>
        <v>39.61057369252751</v>
      </c>
      <c r="AM54" s="20">
        <f ca="1">SUMIF($L$4:$AL$4,"SUBTOTAL",$L$54:$AL$54)</f>
        <v>200.56616188476102</v>
      </c>
      <c r="AP54" s="20">
        <v>1</v>
      </c>
    </row>
    <row r="55" spans="1:42" ht="11.25" customHeight="1" x14ac:dyDescent="0.25">
      <c r="A55" s="119"/>
      <c r="B55" s="119" t="s">
        <v>23</v>
      </c>
      <c r="C55" s="119" t="s">
        <v>24</v>
      </c>
      <c r="D55" s="22" t="s">
        <v>24</v>
      </c>
      <c r="E55" s="22" t="s">
        <v>25</v>
      </c>
      <c r="F55" s="22" t="s">
        <v>25</v>
      </c>
      <c r="G55" s="21" t="s">
        <v>94</v>
      </c>
      <c r="H55" s="21" t="s">
        <v>88</v>
      </c>
      <c r="I55" s="21">
        <f>'MERCADO TUSD'!$U$52</f>
        <v>2322476.7919999999</v>
      </c>
      <c r="J55" s="17"/>
      <c r="L55" s="20">
        <f>'TR TUSD'!$L$55*'TR TUSD'!$L$95</f>
        <v>0</v>
      </c>
      <c r="M55" s="20">
        <f>'TR TUSD'!$M$55*'TR TUSD'!$M$95</f>
        <v>0.42218734965342558</v>
      </c>
      <c r="N55" s="20">
        <f ca="1">'TR TUSD'!$N$55*'TR TUSD'!$N$95</f>
        <v>2.2702428180047174</v>
      </c>
      <c r="O55" s="20">
        <f>'TR TUSD'!$O$55*'TR TUSD'!$O$95</f>
        <v>0</v>
      </c>
      <c r="P55" s="20">
        <f>'TR TUSD'!$P$55*'TR TUSD'!$P$95</f>
        <v>0</v>
      </c>
      <c r="Q55" s="20">
        <f>'TR TUSD'!$Q$55*'TR TUSD'!$Q$95</f>
        <v>61.495406527525361</v>
      </c>
      <c r="R55" s="20">
        <f>'TR TUSD'!$R$55*'TR TUSD'!$R$95</f>
        <v>7.9721317603751451</v>
      </c>
      <c r="S55" s="20">
        <f>'TR TUSD'!$S$55*'TR TUSD'!$S$95</f>
        <v>0</v>
      </c>
      <c r="T55" s="20">
        <f ca="1">SUM($L$55:$S$55)</f>
        <v>72.159968455558655</v>
      </c>
      <c r="U55" s="20">
        <f>'TR TUSD'!$U$55*'TR TUSD'!$U$95</f>
        <v>39.453940096394945</v>
      </c>
      <c r="V55" s="20">
        <f>'TR TUSD'!$V$55*'TR TUSD'!$V$95</f>
        <v>10.026623906206291</v>
      </c>
      <c r="W55" s="20">
        <f>'TR TUSD'!$W$55*'TR TUSD'!$W$95</f>
        <v>1.3261968972111247</v>
      </c>
      <c r="X55" s="20">
        <f>'TR TUSD'!$X$55*'TR TUSD'!$X$95</f>
        <v>0</v>
      </c>
      <c r="Y55" s="20">
        <f>'TR TUSD'!$Y$55*'TR TUSD'!$Y$95</f>
        <v>0</v>
      </c>
      <c r="Z55" s="20">
        <f>'TR TUSD'!$Z$55</f>
        <v>0</v>
      </c>
      <c r="AA55" s="20">
        <f>'TR TUSD'!$AA$55</f>
        <v>0</v>
      </c>
      <c r="AB55" s="20">
        <f>SUM($U$55:$AA$55)</f>
        <v>50.80676089981236</v>
      </c>
      <c r="AC55" s="20">
        <f>'TR TUSD'!$AC$55*'TR TUSD'!$AC$95</f>
        <v>106.07881838904487</v>
      </c>
      <c r="AD55" s="20">
        <f>SUM($AC$55:$AC$55)</f>
        <v>106.07881838904487</v>
      </c>
      <c r="AE55" s="20">
        <v>0</v>
      </c>
      <c r="AF55" s="20">
        <v>0</v>
      </c>
      <c r="AG55" s="20">
        <f>SUM($AE$55:$AF$55)</f>
        <v>0</v>
      </c>
      <c r="AH55" s="20">
        <f>'TR TUSD'!$AH$55*'TR TUSD'!$AH$95</f>
        <v>24.491501950758238</v>
      </c>
      <c r="AI55" s="20">
        <f>'TR TUSD'!$AI$55*'TR TUSD'!$AI$95</f>
        <v>0.92059503661286801</v>
      </c>
      <c r="AJ55" s="20">
        <f ca="1">'TR TUSD'!$AJ$55*'TR TUSD'!$AJ$95</f>
        <v>11.536159305859742</v>
      </c>
      <c r="AK55" s="20">
        <f ca="1">'TR TUSD'!$AK$55*'TR TUSD'!$AK$95</f>
        <v>2.6623173992966622</v>
      </c>
      <c r="AL55" s="20">
        <f ca="1">SUM($AH$55:$AK$55)</f>
        <v>39.61057369252751</v>
      </c>
      <c r="AM55" s="20">
        <f ca="1">SUMIF($L$4:$AL$4,"SUBTOTAL",$L$55:$AL$55)</f>
        <v>268.65612143694341</v>
      </c>
      <c r="AP55" s="20">
        <v>1</v>
      </c>
    </row>
    <row r="56" spans="1:42" ht="11.25" customHeight="1" x14ac:dyDescent="0.25">
      <c r="A56" s="119"/>
      <c r="B56" s="119"/>
      <c r="C56" s="119"/>
      <c r="D56" s="22" t="s">
        <v>29</v>
      </c>
      <c r="E56" s="22" t="s">
        <v>25</v>
      </c>
      <c r="F56" s="22" t="s">
        <v>25</v>
      </c>
      <c r="G56" s="21" t="s">
        <v>94</v>
      </c>
      <c r="H56" s="21" t="s">
        <v>88</v>
      </c>
      <c r="I56" s="21">
        <f>'MERCADO TUSD'!$U$53</f>
        <v>3506.9700000000003</v>
      </c>
      <c r="J56" s="17"/>
      <c r="L56" s="20">
        <f>'TR TUSD'!$L$56*'TR TUSD'!$L$95</f>
        <v>0</v>
      </c>
      <c r="M56" s="20">
        <f>'TR TUSD'!$M$56*'TR TUSD'!$M$95</f>
        <v>0.42218734965342558</v>
      </c>
      <c r="N56" s="20">
        <f ca="1">'TR TUSD'!$N$56*'TR TUSD'!$N$95</f>
        <v>2.2557742613986647</v>
      </c>
      <c r="O56" s="20">
        <f>'TR TUSD'!$O$56*'TR TUSD'!$O$95</f>
        <v>0</v>
      </c>
      <c r="P56" s="20">
        <f>'TR TUSD'!$P$56*'TR TUSD'!$P$95</f>
        <v>0</v>
      </c>
      <c r="Q56" s="20">
        <f>'TR TUSD'!$Q$56*'TR TUSD'!$Q$95</f>
        <v>0</v>
      </c>
      <c r="R56" s="20">
        <f>'TR TUSD'!$R$56*'TR TUSD'!$R$95</f>
        <v>0</v>
      </c>
      <c r="S56" s="20">
        <f>'TR TUSD'!$S$56*'TR TUSD'!$S$95</f>
        <v>0</v>
      </c>
      <c r="T56" s="20">
        <f ca="1">SUM($L$56:$S$56)</f>
        <v>2.6779616110520901</v>
      </c>
      <c r="U56" s="20">
        <f>'TR TUSD'!$U$56*'TR TUSD'!$U$95</f>
        <v>39.453940096394945</v>
      </c>
      <c r="V56" s="20">
        <f>'TR TUSD'!$V$56*'TR TUSD'!$V$95</f>
        <v>10.026623906206291</v>
      </c>
      <c r="W56" s="20">
        <f>'TR TUSD'!$W$56*'TR TUSD'!$W$95</f>
        <v>1.3261968972111247</v>
      </c>
      <c r="X56" s="20">
        <f>'TR TUSD'!$X$56*'TR TUSD'!$X$95</f>
        <v>0</v>
      </c>
      <c r="Y56" s="20">
        <f>'TR TUSD'!$Y$56*'TR TUSD'!$Y$95</f>
        <v>0</v>
      </c>
      <c r="Z56" s="20">
        <f>'TR TUSD'!$Z$56</f>
        <v>0</v>
      </c>
      <c r="AA56" s="20">
        <f>'TR TUSD'!$AA$56</f>
        <v>0</v>
      </c>
      <c r="AB56" s="20">
        <f>SUM($U$56:$AA$56)</f>
        <v>50.80676089981236</v>
      </c>
      <c r="AC56" s="20">
        <f>'TR TUSD'!$AC$56*'TR TUSD'!$AC$95</f>
        <v>106.07881838904487</v>
      </c>
      <c r="AD56" s="20">
        <f>SUM($AC$56:$AC$56)</f>
        <v>106.07881838904487</v>
      </c>
      <c r="AE56" s="20">
        <v>0</v>
      </c>
      <c r="AF56" s="20">
        <v>0</v>
      </c>
      <c r="AG56" s="20">
        <f>SUM($AE$56:$AF$56)</f>
        <v>0</v>
      </c>
      <c r="AH56" s="20">
        <f>'TR TUSD'!$AH$56*'TR TUSD'!$AH$95</f>
        <v>24.491501950758238</v>
      </c>
      <c r="AI56" s="20">
        <f>'TR TUSD'!$AI$56*'TR TUSD'!$AI$95</f>
        <v>0.92059503661286801</v>
      </c>
      <c r="AJ56" s="20">
        <f ca="1">'TR TUSD'!$AJ$56*'TR TUSD'!$AJ$95</f>
        <v>11.536159305859742</v>
      </c>
      <c r="AK56" s="20">
        <f ca="1">'TR TUSD'!$AK$56*'TR TUSD'!$AK$95</f>
        <v>2.6623173992966622</v>
      </c>
      <c r="AL56" s="20">
        <f ca="1">SUM($AH$56:$AK$56)</f>
        <v>39.61057369252751</v>
      </c>
      <c r="AM56" s="20">
        <f ca="1">SUMIF($L$4:$AL$4,"SUBTOTAL",$L$56:$AL$56)</f>
        <v>199.17411459243684</v>
      </c>
      <c r="AP56" s="20">
        <f>IF((1 - CUSTOS!$M$24)&lt;&gt;0,1/(1 - CUSTOS!$M$24),1)</f>
        <v>1</v>
      </c>
    </row>
    <row r="57" spans="1:42" ht="11.25" customHeight="1" x14ac:dyDescent="0.25">
      <c r="A57" s="119"/>
      <c r="B57" s="119"/>
      <c r="C57" s="119"/>
      <c r="D57" s="22" t="s">
        <v>30</v>
      </c>
      <c r="E57" s="22" t="s">
        <v>25</v>
      </c>
      <c r="F57" s="22" t="s">
        <v>25</v>
      </c>
      <c r="G57" s="21" t="s">
        <v>94</v>
      </c>
      <c r="H57" s="21" t="s">
        <v>88</v>
      </c>
      <c r="I57" s="21">
        <f>'MERCADO TUSD'!$U$54</f>
        <v>7395.655999999999</v>
      </c>
      <c r="J57" s="17"/>
      <c r="L57" s="20">
        <f>'TR TUSD'!$L$57*'TR TUSD'!$L$95</f>
        <v>0</v>
      </c>
      <c r="M57" s="20">
        <f>'TR TUSD'!$M$57*'TR TUSD'!$M$95</f>
        <v>0.42218734965342558</v>
      </c>
      <c r="N57" s="20">
        <f ca="1">'TR TUSD'!$N$57*'TR TUSD'!$N$95</f>
        <v>2.2557742613986647</v>
      </c>
      <c r="O57" s="20">
        <f>'TR TUSD'!$O$57*'TR TUSD'!$O$95</f>
        <v>0</v>
      </c>
      <c r="P57" s="20">
        <f>'TR TUSD'!$P$57*'TR TUSD'!$P$95</f>
        <v>0</v>
      </c>
      <c r="Q57" s="20">
        <f>'TR TUSD'!$Q$57*'TR TUSD'!$Q$95</f>
        <v>0</v>
      </c>
      <c r="R57" s="20">
        <f>'TR TUSD'!$R$57*'TR TUSD'!$R$95</f>
        <v>0</v>
      </c>
      <c r="S57" s="20">
        <f>'TR TUSD'!$S$57*'TR TUSD'!$S$95</f>
        <v>0</v>
      </c>
      <c r="T57" s="20">
        <f ca="1">SUM($L$57:$S$57)</f>
        <v>2.6779616110520901</v>
      </c>
      <c r="U57" s="20">
        <f>'TR TUSD'!$U$57*'TR TUSD'!$U$95</f>
        <v>39.453940096394945</v>
      </c>
      <c r="V57" s="20">
        <f>'TR TUSD'!$V$57*'TR TUSD'!$V$95</f>
        <v>10.026623906206291</v>
      </c>
      <c r="W57" s="20">
        <f>'TR TUSD'!$W$57*'TR TUSD'!$W$95</f>
        <v>1.3261968972111247</v>
      </c>
      <c r="X57" s="20">
        <f>'TR TUSD'!$X$57*'TR TUSD'!$X$95</f>
        <v>0</v>
      </c>
      <c r="Y57" s="20">
        <f>'TR TUSD'!$Y$57*'TR TUSD'!$Y$95</f>
        <v>0</v>
      </c>
      <c r="Z57" s="20">
        <f>'TR TUSD'!$Z$57</f>
        <v>0</v>
      </c>
      <c r="AA57" s="20">
        <f>'TR TUSD'!$AA$57</f>
        <v>0</v>
      </c>
      <c r="AB57" s="20">
        <f>SUM($U$57:$AA$57)</f>
        <v>50.80676089981236</v>
      </c>
      <c r="AC57" s="20">
        <f>'TR TUSD'!$AC$57*'TR TUSD'!$AC$95</f>
        <v>106.07881838904487</v>
      </c>
      <c r="AD57" s="20">
        <f>SUM($AC$57:$AC$57)</f>
        <v>106.07881838904487</v>
      </c>
      <c r="AE57" s="20">
        <v>0</v>
      </c>
      <c r="AF57" s="20">
        <v>0</v>
      </c>
      <c r="AG57" s="20">
        <f>SUM($AE$57:$AF$57)</f>
        <v>0</v>
      </c>
      <c r="AH57" s="20">
        <f>'TR TUSD'!$AH$57*'TR TUSD'!$AH$95</f>
        <v>24.491501950758238</v>
      </c>
      <c r="AI57" s="20">
        <f>'TR TUSD'!$AI$57*'TR TUSD'!$AI$95</f>
        <v>0.92059503661286801</v>
      </c>
      <c r="AJ57" s="20">
        <f ca="1">'TR TUSD'!$AJ$57*'TR TUSD'!$AJ$95</f>
        <v>11.536159305859742</v>
      </c>
      <c r="AK57" s="20">
        <f ca="1">'TR TUSD'!$AK$57*'TR TUSD'!$AK$95</f>
        <v>2.6623173992966622</v>
      </c>
      <c r="AL57" s="20">
        <f ca="1">SUM($AH$57:$AK$57)</f>
        <v>39.61057369252751</v>
      </c>
      <c r="AM57" s="20">
        <f ca="1">SUMIF($L$4:$AL$4,"SUBTOTAL",$L$57:$AL$57)</f>
        <v>199.17411459243684</v>
      </c>
      <c r="AP57" s="20">
        <f>IF((1 - CUSTOS!$M$25)&lt;&gt;0,1/(1 - CUSTOS!$M$25),1)</f>
        <v>1</v>
      </c>
    </row>
    <row r="58" spans="1:42" ht="11.25" customHeight="1" x14ac:dyDescent="0.25">
      <c r="A58" s="119"/>
      <c r="B58" s="119"/>
      <c r="C58" s="119"/>
      <c r="D58" s="22" t="s">
        <v>31</v>
      </c>
      <c r="E58" s="22" t="s">
        <v>25</v>
      </c>
      <c r="F58" s="22" t="s">
        <v>25</v>
      </c>
      <c r="G58" s="21" t="s">
        <v>94</v>
      </c>
      <c r="H58" s="21" t="s">
        <v>88</v>
      </c>
      <c r="I58" s="21">
        <f>'MERCADO TUSD'!$U$55</f>
        <v>7295.3609999999999</v>
      </c>
      <c r="J58" s="17"/>
      <c r="L58" s="20">
        <f>'TR TUSD'!$L$58*'TR TUSD'!$L$95</f>
        <v>0</v>
      </c>
      <c r="M58" s="20">
        <f>'TR TUSD'!$M$58*'TR TUSD'!$M$95</f>
        <v>0.42218734965342558</v>
      </c>
      <c r="N58" s="20">
        <f ca="1">'TR TUSD'!$N$58*'TR TUSD'!$N$95</f>
        <v>2.2557742613986647</v>
      </c>
      <c r="O58" s="20">
        <f>'TR TUSD'!$O$58*'TR TUSD'!$O$95</f>
        <v>0</v>
      </c>
      <c r="P58" s="20">
        <f>'TR TUSD'!$P$58*'TR TUSD'!$P$95</f>
        <v>0</v>
      </c>
      <c r="Q58" s="20">
        <f>'TR TUSD'!$Q$58*'TR TUSD'!$Q$95</f>
        <v>0</v>
      </c>
      <c r="R58" s="20">
        <f>'TR TUSD'!$R$58*'TR TUSD'!$R$95</f>
        <v>0</v>
      </c>
      <c r="S58" s="20">
        <f>'TR TUSD'!$S$58*'TR TUSD'!$S$95</f>
        <v>0</v>
      </c>
      <c r="T58" s="20">
        <f ca="1">SUM($L$58:$S$58)</f>
        <v>2.6779616110520901</v>
      </c>
      <c r="U58" s="20">
        <f>'TR TUSD'!$U$58*'TR TUSD'!$U$95</f>
        <v>39.453940096394945</v>
      </c>
      <c r="V58" s="20">
        <f>'TR TUSD'!$V$58*'TR TUSD'!$V$95</f>
        <v>10.026623906206291</v>
      </c>
      <c r="W58" s="20">
        <f>'TR TUSD'!$W$58*'TR TUSD'!$W$95</f>
        <v>1.3261968972111247</v>
      </c>
      <c r="X58" s="20">
        <f>'TR TUSD'!$X$58*'TR TUSD'!$X$95</f>
        <v>0</v>
      </c>
      <c r="Y58" s="20">
        <f>'TR TUSD'!$Y$58*'TR TUSD'!$Y$95</f>
        <v>0</v>
      </c>
      <c r="Z58" s="20">
        <f>'TR TUSD'!$Z$58</f>
        <v>0</v>
      </c>
      <c r="AA58" s="20">
        <f>'TR TUSD'!$AA$58</f>
        <v>0</v>
      </c>
      <c r="AB58" s="20">
        <f>SUM($U$58:$AA$58)</f>
        <v>50.80676089981236</v>
      </c>
      <c r="AC58" s="20">
        <f>'TR TUSD'!$AC$58*'TR TUSD'!$AC$95</f>
        <v>106.07881838904487</v>
      </c>
      <c r="AD58" s="20">
        <f>SUM($AC$58:$AC$58)</f>
        <v>106.07881838904487</v>
      </c>
      <c r="AE58" s="20">
        <v>0</v>
      </c>
      <c r="AF58" s="20">
        <v>0</v>
      </c>
      <c r="AG58" s="20">
        <f>SUM($AE$58:$AF$58)</f>
        <v>0</v>
      </c>
      <c r="AH58" s="20">
        <f>'TR TUSD'!$AH$58*'TR TUSD'!$AH$95</f>
        <v>24.491501950758238</v>
      </c>
      <c r="AI58" s="20">
        <f>'TR TUSD'!$AI$58*'TR TUSD'!$AI$95</f>
        <v>0.92059503661286801</v>
      </c>
      <c r="AJ58" s="20">
        <f ca="1">'TR TUSD'!$AJ$58*'TR TUSD'!$AJ$95</f>
        <v>11.536159305859742</v>
      </c>
      <c r="AK58" s="20">
        <f ca="1">'TR TUSD'!$AK$58*'TR TUSD'!$AK$95</f>
        <v>2.6623173992966622</v>
      </c>
      <c r="AL58" s="20">
        <f ca="1">SUM($AH$58:$AK$58)</f>
        <v>39.61057369252751</v>
      </c>
      <c r="AM58" s="20">
        <f ca="1">SUMIF($L$4:$AL$4,"SUBTOTAL",$L$58:$AL$58)</f>
        <v>199.17411459243684</v>
      </c>
      <c r="AP58" s="20">
        <f>IF((1 - CUSTOS!$M$26)&lt;&gt;0,1/(1 - CUSTOS!$M$26),1)</f>
        <v>1</v>
      </c>
    </row>
    <row r="59" spans="1:42" ht="11.25" customHeight="1" x14ac:dyDescent="0.25">
      <c r="A59" s="119"/>
      <c r="B59" s="119"/>
      <c r="C59" s="119"/>
      <c r="D59" s="22" t="s">
        <v>32</v>
      </c>
      <c r="E59" s="22" t="s">
        <v>25</v>
      </c>
      <c r="F59" s="22" t="s">
        <v>25</v>
      </c>
      <c r="G59" s="21" t="s">
        <v>94</v>
      </c>
      <c r="H59" s="21" t="s">
        <v>88</v>
      </c>
      <c r="I59" s="21">
        <f>'MERCADO TUSD'!$U$56</f>
        <v>2602.4059999999999</v>
      </c>
      <c r="J59" s="17"/>
      <c r="L59" s="20">
        <f>'TR TUSD'!$L$59*'TR TUSD'!$L$95</f>
        <v>0</v>
      </c>
      <c r="M59" s="20">
        <f>'TR TUSD'!$M$59*'TR TUSD'!$M$95</f>
        <v>0.42218734965342558</v>
      </c>
      <c r="N59" s="20">
        <f ca="1">'TR TUSD'!$N$59*'TR TUSD'!$N$95</f>
        <v>2.2557742613986647</v>
      </c>
      <c r="O59" s="20">
        <f>'TR TUSD'!$O$59*'TR TUSD'!$O$95</f>
        <v>0</v>
      </c>
      <c r="P59" s="20">
        <f>'TR TUSD'!$P$59*'TR TUSD'!$P$95</f>
        <v>0</v>
      </c>
      <c r="Q59" s="20">
        <f>'TR TUSD'!$Q$59*'TR TUSD'!$Q$95</f>
        <v>0</v>
      </c>
      <c r="R59" s="20">
        <f>'TR TUSD'!$R$59*'TR TUSD'!$R$95</f>
        <v>0</v>
      </c>
      <c r="S59" s="20">
        <f>'TR TUSD'!$S$59*'TR TUSD'!$S$95</f>
        <v>0</v>
      </c>
      <c r="T59" s="20">
        <f ca="1">SUM($L$59:$S$59)</f>
        <v>2.6779616110520901</v>
      </c>
      <c r="U59" s="20">
        <f>'TR TUSD'!$U$59*'TR TUSD'!$U$95</f>
        <v>39.453940096394945</v>
      </c>
      <c r="V59" s="20">
        <f>'TR TUSD'!$V$59*'TR TUSD'!$V$95</f>
        <v>10.026623906206291</v>
      </c>
      <c r="W59" s="20">
        <f>'TR TUSD'!$W$59*'TR TUSD'!$W$95</f>
        <v>1.3261968972111247</v>
      </c>
      <c r="X59" s="20">
        <f>'TR TUSD'!$X$59*'TR TUSD'!$X$95</f>
        <v>0</v>
      </c>
      <c r="Y59" s="20">
        <f>'TR TUSD'!$Y$59*'TR TUSD'!$Y$95</f>
        <v>0</v>
      </c>
      <c r="Z59" s="20">
        <f>'TR TUSD'!$Z$59</f>
        <v>0</v>
      </c>
      <c r="AA59" s="20">
        <f>'TR TUSD'!$AA$59</f>
        <v>0</v>
      </c>
      <c r="AB59" s="20">
        <f>SUM($U$59:$AA$59)</f>
        <v>50.80676089981236</v>
      </c>
      <c r="AC59" s="20">
        <f>'TR TUSD'!$AC$59*'TR TUSD'!$AC$95</f>
        <v>106.07881838904487</v>
      </c>
      <c r="AD59" s="20">
        <f>SUM($AC$59:$AC$59)</f>
        <v>106.07881838904487</v>
      </c>
      <c r="AE59" s="20">
        <v>0</v>
      </c>
      <c r="AF59" s="20">
        <v>0</v>
      </c>
      <c r="AG59" s="20">
        <f>SUM($AE$59:$AF$59)</f>
        <v>0</v>
      </c>
      <c r="AH59" s="20">
        <f>'TR TUSD'!$AH$59*'TR TUSD'!$AH$95</f>
        <v>24.491501950758238</v>
      </c>
      <c r="AI59" s="20">
        <f>'TR TUSD'!$AI$59*'TR TUSD'!$AI$95</f>
        <v>0.92059503661286801</v>
      </c>
      <c r="AJ59" s="20">
        <f ca="1">'TR TUSD'!$AJ$59*'TR TUSD'!$AJ$95</f>
        <v>11.536159305859742</v>
      </c>
      <c r="AK59" s="20">
        <f ca="1">'TR TUSD'!$AK$59*'TR TUSD'!$AK$95</f>
        <v>2.6623173992966622</v>
      </c>
      <c r="AL59" s="20">
        <f ca="1">SUM($AH$59:$AK$59)</f>
        <v>39.61057369252751</v>
      </c>
      <c r="AM59" s="20">
        <f ca="1">SUMIF($L$4:$AL$4,"SUBTOTAL",$L$59:$AL$59)</f>
        <v>199.17411459243684</v>
      </c>
      <c r="AP59" s="20">
        <f>IF((1 - CUSTOS!$M$27)&lt;&gt;0,1/(1 - CUSTOS!$M$27),1)</f>
        <v>1</v>
      </c>
    </row>
    <row r="60" spans="1:42" ht="11.25" customHeight="1" x14ac:dyDescent="0.25">
      <c r="A60" s="119"/>
      <c r="B60" s="119" t="s">
        <v>102</v>
      </c>
      <c r="C60" s="119" t="s">
        <v>24</v>
      </c>
      <c r="D60" s="22" t="s">
        <v>24</v>
      </c>
      <c r="E60" s="22" t="s">
        <v>25</v>
      </c>
      <c r="F60" s="22" t="s">
        <v>25</v>
      </c>
      <c r="G60" s="21" t="s">
        <v>94</v>
      </c>
      <c r="H60" s="21" t="s">
        <v>88</v>
      </c>
      <c r="I60" s="21">
        <f>'MERCADO TUSD'!$U$57</f>
        <v>0</v>
      </c>
      <c r="J60" s="17"/>
      <c r="L60" s="20">
        <f>'TR TUSD'!$L$60*'TR TUSD'!$L$95</f>
        <v>0</v>
      </c>
      <c r="M60" s="20">
        <f>'TR TUSD'!$M$60*'TR TUSD'!$M$95</f>
        <v>0.42218734965342558</v>
      </c>
      <c r="N60" s="20">
        <f ca="1">'TR TUSD'!$N$60*'TR TUSD'!$N$95</f>
        <v>2.2702428180047174</v>
      </c>
      <c r="O60" s="20">
        <f>'TR TUSD'!$O$60*'TR TUSD'!$O$95</f>
        <v>0</v>
      </c>
      <c r="P60" s="20">
        <f>'TR TUSD'!$P$60*'TR TUSD'!$P$95</f>
        <v>0</v>
      </c>
      <c r="Q60" s="20">
        <f>'TR TUSD'!$Q$60*'TR TUSD'!$Q$95</f>
        <v>61.495406527525361</v>
      </c>
      <c r="R60" s="20">
        <f>'TR TUSD'!$R$60*'TR TUSD'!$R$95</f>
        <v>7.9721317603751451</v>
      </c>
      <c r="S60" s="20">
        <f>'TR TUSD'!$S$60*'TR TUSD'!$S$95</f>
        <v>0</v>
      </c>
      <c r="T60" s="20">
        <f ca="1">SUM($L$60:$S$60)</f>
        <v>72.159968455558655</v>
      </c>
      <c r="U60" s="20">
        <f>'TR TUSD'!$U$60*'TR TUSD'!$U$95</f>
        <v>39.453940096394945</v>
      </c>
      <c r="V60" s="20">
        <f>'TR TUSD'!$V$60*'TR TUSD'!$V$95</f>
        <v>10.026623906206291</v>
      </c>
      <c r="W60" s="20">
        <f>'TR TUSD'!$W$60*'TR TUSD'!$W$95</f>
        <v>1.3261968972111247</v>
      </c>
      <c r="X60" s="20">
        <f>'TR TUSD'!$X$60*'TR TUSD'!$X$95</f>
        <v>0</v>
      </c>
      <c r="Y60" s="20">
        <f>'TR TUSD'!$Y$60*'TR TUSD'!$Y$95</f>
        <v>0</v>
      </c>
      <c r="Z60" s="20">
        <f>'TR TUSD'!$Z$60</f>
        <v>0</v>
      </c>
      <c r="AA60" s="20">
        <f>'TR TUSD'!$AA$60</f>
        <v>0</v>
      </c>
      <c r="AB60" s="20">
        <f>SUM($U$60:$AA$60)</f>
        <v>50.80676089981236</v>
      </c>
      <c r="AC60" s="20">
        <f>'TR TUSD'!$AC$60*'TR TUSD'!$AC$95</f>
        <v>106.07881838904487</v>
      </c>
      <c r="AD60" s="20">
        <f>SUM($AC$60:$AC$60)</f>
        <v>106.07881838904487</v>
      </c>
      <c r="AE60" s="20">
        <v>0</v>
      </c>
      <c r="AF60" s="20">
        <v>0</v>
      </c>
      <c r="AG60" s="20">
        <f>SUM($AE$60:$AF$60)</f>
        <v>0</v>
      </c>
      <c r="AH60" s="20">
        <f>'TR TUSD'!$AH$60*'TR TUSD'!$AH$95</f>
        <v>24.491501950758238</v>
      </c>
      <c r="AI60" s="20">
        <f>'TR TUSD'!$AI$60*'TR TUSD'!$AI$95</f>
        <v>0.92059503661286801</v>
      </c>
      <c r="AJ60" s="20">
        <f ca="1">'TR TUSD'!$AJ$60*'TR TUSD'!$AJ$95</f>
        <v>11.536159305859742</v>
      </c>
      <c r="AK60" s="20">
        <f ca="1">'TR TUSD'!$AK$60*'TR TUSD'!$AK$95</f>
        <v>2.6623173992966622</v>
      </c>
      <c r="AL60" s="20">
        <f ca="1">SUM($AH$60:$AK$60)</f>
        <v>39.61057369252751</v>
      </c>
      <c r="AM60" s="20">
        <f ca="1">SUMIF($L$4:$AL$4,"SUBTOTAL",$L$60:$AL$60)</f>
        <v>268.65612143694341</v>
      </c>
      <c r="AP60" s="20">
        <v>1</v>
      </c>
    </row>
    <row r="61" spans="1:42" ht="11.25" customHeight="1" x14ac:dyDescent="0.25">
      <c r="A61" s="119"/>
      <c r="B61" s="119"/>
      <c r="C61" s="119"/>
      <c r="D61" s="22" t="s">
        <v>29</v>
      </c>
      <c r="E61" s="22" t="s">
        <v>25</v>
      </c>
      <c r="F61" s="22" t="s">
        <v>25</v>
      </c>
      <c r="G61" s="21" t="s">
        <v>94</v>
      </c>
      <c r="H61" s="21" t="s">
        <v>88</v>
      </c>
      <c r="I61" s="21">
        <f>'MERCADO TUSD'!$U$58</f>
        <v>0</v>
      </c>
      <c r="J61" s="17"/>
      <c r="L61" s="20">
        <f>'TR TUSD'!$L$61*'TR TUSD'!$L$95</f>
        <v>0</v>
      </c>
      <c r="M61" s="20">
        <f>'TR TUSD'!$M$61*'TR TUSD'!$M$95</f>
        <v>0.42218734965342558</v>
      </c>
      <c r="N61" s="20">
        <f ca="1">'TR TUSD'!$N$61*'TR TUSD'!$N$95</f>
        <v>2.2557742613986647</v>
      </c>
      <c r="O61" s="20">
        <f>'TR TUSD'!$O$61*'TR TUSD'!$O$95</f>
        <v>0</v>
      </c>
      <c r="P61" s="20">
        <f>'TR TUSD'!$P$61*'TR TUSD'!$P$95</f>
        <v>0</v>
      </c>
      <c r="Q61" s="20">
        <f>'TR TUSD'!$Q$61*'TR TUSD'!$Q$95</f>
        <v>0</v>
      </c>
      <c r="R61" s="20">
        <f>'TR TUSD'!$R$61*'TR TUSD'!$R$95</f>
        <v>0</v>
      </c>
      <c r="S61" s="20">
        <f>'TR TUSD'!$S$61*'TR TUSD'!$S$95</f>
        <v>0</v>
      </c>
      <c r="T61" s="20">
        <f ca="1">SUM($L$61:$S$61)</f>
        <v>2.6779616110520901</v>
      </c>
      <c r="U61" s="20">
        <f>'TR TUSD'!$U$61*'TR TUSD'!$U$95</f>
        <v>39.453940096394945</v>
      </c>
      <c r="V61" s="20">
        <f>'TR TUSD'!$V$61*'TR TUSD'!$V$95</f>
        <v>10.026623906206291</v>
      </c>
      <c r="W61" s="20">
        <f>'TR TUSD'!$W$61*'TR TUSD'!$W$95</f>
        <v>1.3261968972111247</v>
      </c>
      <c r="X61" s="20">
        <f>'TR TUSD'!$X$61*'TR TUSD'!$X$95</f>
        <v>0</v>
      </c>
      <c r="Y61" s="20">
        <f>'TR TUSD'!$Y$61*'TR TUSD'!$Y$95</f>
        <v>0</v>
      </c>
      <c r="Z61" s="20">
        <f>'TR TUSD'!$Z$61</f>
        <v>0</v>
      </c>
      <c r="AA61" s="20">
        <f>'TR TUSD'!$AA$61</f>
        <v>0</v>
      </c>
      <c r="AB61" s="20">
        <f>SUM($U$61:$AA$61)</f>
        <v>50.80676089981236</v>
      </c>
      <c r="AC61" s="20">
        <f>'TR TUSD'!$AC$61*'TR TUSD'!$AC$95</f>
        <v>106.07881838904487</v>
      </c>
      <c r="AD61" s="20">
        <f>SUM($AC$61:$AC$61)</f>
        <v>106.07881838904487</v>
      </c>
      <c r="AE61" s="20">
        <v>0</v>
      </c>
      <c r="AF61" s="20">
        <v>0</v>
      </c>
      <c r="AG61" s="20">
        <f>SUM($AE$61:$AF$61)</f>
        <v>0</v>
      </c>
      <c r="AH61" s="20">
        <f>'TR TUSD'!$AH$61*'TR TUSD'!$AH$95</f>
        <v>24.491501950758238</v>
      </c>
      <c r="AI61" s="20">
        <f>'TR TUSD'!$AI$61*'TR TUSD'!$AI$95</f>
        <v>0.92059503661286801</v>
      </c>
      <c r="AJ61" s="20">
        <f ca="1">'TR TUSD'!$AJ$61*'TR TUSD'!$AJ$95</f>
        <v>11.536159305859742</v>
      </c>
      <c r="AK61" s="20">
        <f ca="1">'TR TUSD'!$AK$61*'TR TUSD'!$AK$95</f>
        <v>2.6623173992966622</v>
      </c>
      <c r="AL61" s="20">
        <f ca="1">SUM($AH$61:$AK$61)</f>
        <v>39.61057369252751</v>
      </c>
      <c r="AM61" s="20">
        <f ca="1">SUMIF($L$4:$AL$4,"SUBTOTAL",$L$61:$AL$61)</f>
        <v>199.17411459243684</v>
      </c>
      <c r="AP61" s="20">
        <f>IF((1 - CUSTOS!$M$24)&lt;&gt;0,1/(1 - CUSTOS!$M$24),1)</f>
        <v>1</v>
      </c>
    </row>
    <row r="62" spans="1:42" ht="11.25" customHeight="1" x14ac:dyDescent="0.25">
      <c r="A62" s="119"/>
      <c r="B62" s="119"/>
      <c r="C62" s="119"/>
      <c r="D62" s="22" t="s">
        <v>30</v>
      </c>
      <c r="E62" s="22" t="s">
        <v>25</v>
      </c>
      <c r="F62" s="22" t="s">
        <v>25</v>
      </c>
      <c r="G62" s="21" t="s">
        <v>94</v>
      </c>
      <c r="H62" s="21" t="s">
        <v>88</v>
      </c>
      <c r="I62" s="21">
        <f>'MERCADO TUSD'!$U$59</f>
        <v>0</v>
      </c>
      <c r="J62" s="17"/>
      <c r="L62" s="20">
        <f>'TR TUSD'!$L$62*'TR TUSD'!$L$95</f>
        <v>0</v>
      </c>
      <c r="M62" s="20">
        <f>'TR TUSD'!$M$62*'TR TUSD'!$M$95</f>
        <v>0.42218734965342558</v>
      </c>
      <c r="N62" s="20">
        <f ca="1">'TR TUSD'!$N$62*'TR TUSD'!$N$95</f>
        <v>2.2557742613986647</v>
      </c>
      <c r="O62" s="20">
        <f>'TR TUSD'!$O$62*'TR TUSD'!$O$95</f>
        <v>0</v>
      </c>
      <c r="P62" s="20">
        <f>'TR TUSD'!$P$62*'TR TUSD'!$P$95</f>
        <v>0</v>
      </c>
      <c r="Q62" s="20">
        <f>'TR TUSD'!$Q$62*'TR TUSD'!$Q$95</f>
        <v>0</v>
      </c>
      <c r="R62" s="20">
        <f>'TR TUSD'!$R$62*'TR TUSD'!$R$95</f>
        <v>0</v>
      </c>
      <c r="S62" s="20">
        <f>'TR TUSD'!$S$62*'TR TUSD'!$S$95</f>
        <v>0</v>
      </c>
      <c r="T62" s="20">
        <f ca="1">SUM($L$62:$S$62)</f>
        <v>2.6779616110520901</v>
      </c>
      <c r="U62" s="20">
        <f>'TR TUSD'!$U$62*'TR TUSD'!$U$95</f>
        <v>39.453940096394945</v>
      </c>
      <c r="V62" s="20">
        <f>'TR TUSD'!$V$62*'TR TUSD'!$V$95</f>
        <v>10.026623906206291</v>
      </c>
      <c r="W62" s="20">
        <f>'TR TUSD'!$W$62*'TR TUSD'!$W$95</f>
        <v>1.3261968972111247</v>
      </c>
      <c r="X62" s="20">
        <f>'TR TUSD'!$X$62*'TR TUSD'!$X$95</f>
        <v>0</v>
      </c>
      <c r="Y62" s="20">
        <f>'TR TUSD'!$Y$62*'TR TUSD'!$Y$95</f>
        <v>0</v>
      </c>
      <c r="Z62" s="20">
        <f>'TR TUSD'!$Z$62</f>
        <v>0</v>
      </c>
      <c r="AA62" s="20">
        <f>'TR TUSD'!$AA$62</f>
        <v>0</v>
      </c>
      <c r="AB62" s="20">
        <f>SUM($U$62:$AA$62)</f>
        <v>50.80676089981236</v>
      </c>
      <c r="AC62" s="20">
        <f>'TR TUSD'!$AC$62*'TR TUSD'!$AC$95</f>
        <v>106.07881838904487</v>
      </c>
      <c r="AD62" s="20">
        <f>SUM($AC$62:$AC$62)</f>
        <v>106.07881838904487</v>
      </c>
      <c r="AE62" s="20">
        <v>0</v>
      </c>
      <c r="AF62" s="20">
        <v>0</v>
      </c>
      <c r="AG62" s="20">
        <f>SUM($AE$62:$AF$62)</f>
        <v>0</v>
      </c>
      <c r="AH62" s="20">
        <f>'TR TUSD'!$AH$62*'TR TUSD'!$AH$95</f>
        <v>24.491501950758238</v>
      </c>
      <c r="AI62" s="20">
        <f>'TR TUSD'!$AI$62*'TR TUSD'!$AI$95</f>
        <v>0.92059503661286801</v>
      </c>
      <c r="AJ62" s="20">
        <f ca="1">'TR TUSD'!$AJ$62*'TR TUSD'!$AJ$95</f>
        <v>11.536159305859742</v>
      </c>
      <c r="AK62" s="20">
        <f ca="1">'TR TUSD'!$AK$62*'TR TUSD'!$AK$95</f>
        <v>2.6623173992966622</v>
      </c>
      <c r="AL62" s="20">
        <f ca="1">SUM($AH$62:$AK$62)</f>
        <v>39.61057369252751</v>
      </c>
      <c r="AM62" s="20">
        <f ca="1">SUMIF($L$4:$AL$4,"SUBTOTAL",$L$62:$AL$62)</f>
        <v>199.17411459243684</v>
      </c>
      <c r="AP62" s="20">
        <f>IF((1 - CUSTOS!$M$25)&lt;&gt;0,1/(1 - CUSTOS!$M$25),1)</f>
        <v>1</v>
      </c>
    </row>
    <row r="63" spans="1:42" ht="11.25" customHeight="1" x14ac:dyDescent="0.25">
      <c r="A63" s="119"/>
      <c r="B63" s="119"/>
      <c r="C63" s="119"/>
      <c r="D63" s="22" t="s">
        <v>31</v>
      </c>
      <c r="E63" s="22" t="s">
        <v>25</v>
      </c>
      <c r="F63" s="22" t="s">
        <v>25</v>
      </c>
      <c r="G63" s="21" t="s">
        <v>94</v>
      </c>
      <c r="H63" s="21" t="s">
        <v>88</v>
      </c>
      <c r="I63" s="21">
        <f>'MERCADO TUSD'!$U$60</f>
        <v>0</v>
      </c>
      <c r="J63" s="17"/>
      <c r="L63" s="20">
        <f>'TR TUSD'!$L$63*'TR TUSD'!$L$95</f>
        <v>0</v>
      </c>
      <c r="M63" s="20">
        <f>'TR TUSD'!$M$63*'TR TUSD'!$M$95</f>
        <v>0.42218734965342558</v>
      </c>
      <c r="N63" s="20">
        <f ca="1">'TR TUSD'!$N$63*'TR TUSD'!$N$95</f>
        <v>2.2557742613986647</v>
      </c>
      <c r="O63" s="20">
        <f>'TR TUSD'!$O$63*'TR TUSD'!$O$95</f>
        <v>0</v>
      </c>
      <c r="P63" s="20">
        <f>'TR TUSD'!$P$63*'TR TUSD'!$P$95</f>
        <v>0</v>
      </c>
      <c r="Q63" s="20">
        <f>'TR TUSD'!$Q$63*'TR TUSD'!$Q$95</f>
        <v>0</v>
      </c>
      <c r="R63" s="20">
        <f>'TR TUSD'!$R$63*'TR TUSD'!$R$95</f>
        <v>0</v>
      </c>
      <c r="S63" s="20">
        <f>'TR TUSD'!$S$63*'TR TUSD'!$S$95</f>
        <v>0</v>
      </c>
      <c r="T63" s="20">
        <f ca="1">SUM($L$63:$S$63)</f>
        <v>2.6779616110520901</v>
      </c>
      <c r="U63" s="20">
        <f>'TR TUSD'!$U$63*'TR TUSD'!$U$95</f>
        <v>39.453940096394945</v>
      </c>
      <c r="V63" s="20">
        <f>'TR TUSD'!$V$63*'TR TUSD'!$V$95</f>
        <v>10.026623906206291</v>
      </c>
      <c r="W63" s="20">
        <f>'TR TUSD'!$W$63*'TR TUSD'!$W$95</f>
        <v>1.3261968972111247</v>
      </c>
      <c r="X63" s="20">
        <f>'TR TUSD'!$X$63*'TR TUSD'!$X$95</f>
        <v>0</v>
      </c>
      <c r="Y63" s="20">
        <f>'TR TUSD'!$Y$63*'TR TUSD'!$Y$95</f>
        <v>0</v>
      </c>
      <c r="Z63" s="20">
        <f>'TR TUSD'!$Z$63</f>
        <v>0</v>
      </c>
      <c r="AA63" s="20">
        <f>'TR TUSD'!$AA$63</f>
        <v>0</v>
      </c>
      <c r="AB63" s="20">
        <f>SUM($U$63:$AA$63)</f>
        <v>50.80676089981236</v>
      </c>
      <c r="AC63" s="20">
        <f>'TR TUSD'!$AC$63*'TR TUSD'!$AC$95</f>
        <v>106.07881838904487</v>
      </c>
      <c r="AD63" s="20">
        <f>SUM($AC$63:$AC$63)</f>
        <v>106.07881838904487</v>
      </c>
      <c r="AE63" s="20">
        <v>0</v>
      </c>
      <c r="AF63" s="20">
        <v>0</v>
      </c>
      <c r="AG63" s="20">
        <f>SUM($AE$63:$AF$63)</f>
        <v>0</v>
      </c>
      <c r="AH63" s="20">
        <f>'TR TUSD'!$AH$63*'TR TUSD'!$AH$95</f>
        <v>24.491501950758238</v>
      </c>
      <c r="AI63" s="20">
        <f>'TR TUSD'!$AI$63*'TR TUSD'!$AI$95</f>
        <v>0.92059503661286801</v>
      </c>
      <c r="AJ63" s="20">
        <f ca="1">'TR TUSD'!$AJ$63*'TR TUSD'!$AJ$95</f>
        <v>11.536159305859742</v>
      </c>
      <c r="AK63" s="20">
        <f ca="1">'TR TUSD'!$AK$63*'TR TUSD'!$AK$95</f>
        <v>2.6623173992966622</v>
      </c>
      <c r="AL63" s="20">
        <f ca="1">SUM($AH$63:$AK$63)</f>
        <v>39.61057369252751</v>
      </c>
      <c r="AM63" s="20">
        <f ca="1">SUMIF($L$4:$AL$4,"SUBTOTAL",$L$63:$AL$63)</f>
        <v>199.17411459243684</v>
      </c>
      <c r="AP63" s="20">
        <f>IF((1 - CUSTOS!$M$26)&lt;&gt;0,1/(1 - CUSTOS!$M$26),1)</f>
        <v>1</v>
      </c>
    </row>
    <row r="64" spans="1:42" ht="11.25" customHeight="1" x14ac:dyDescent="0.25">
      <c r="A64" s="119"/>
      <c r="B64" s="119"/>
      <c r="C64" s="119"/>
      <c r="D64" s="22" t="s">
        <v>32</v>
      </c>
      <c r="E64" s="22" t="s">
        <v>25</v>
      </c>
      <c r="F64" s="22" t="s">
        <v>25</v>
      </c>
      <c r="G64" s="21" t="s">
        <v>94</v>
      </c>
      <c r="H64" s="21" t="s">
        <v>88</v>
      </c>
      <c r="I64" s="21">
        <f>'MERCADO TUSD'!$U$61</f>
        <v>0</v>
      </c>
      <c r="J64" s="17"/>
      <c r="L64" s="20">
        <f>'TR TUSD'!$L$64*'TR TUSD'!$L$95</f>
        <v>0</v>
      </c>
      <c r="M64" s="20">
        <f>'TR TUSD'!$M$64*'TR TUSD'!$M$95</f>
        <v>0.42218734965342558</v>
      </c>
      <c r="N64" s="20">
        <f ca="1">'TR TUSD'!$N$64*'TR TUSD'!$N$95</f>
        <v>2.2557742613986647</v>
      </c>
      <c r="O64" s="20">
        <f>'TR TUSD'!$O$64*'TR TUSD'!$O$95</f>
        <v>0</v>
      </c>
      <c r="P64" s="20">
        <f>'TR TUSD'!$P$64*'TR TUSD'!$P$95</f>
        <v>0</v>
      </c>
      <c r="Q64" s="20">
        <f>'TR TUSD'!$Q$64*'TR TUSD'!$Q$95</f>
        <v>0</v>
      </c>
      <c r="R64" s="20">
        <f>'TR TUSD'!$R$64*'TR TUSD'!$R$95</f>
        <v>0</v>
      </c>
      <c r="S64" s="20">
        <f>'TR TUSD'!$S$64*'TR TUSD'!$S$95</f>
        <v>0</v>
      </c>
      <c r="T64" s="20">
        <f ca="1">SUM($L$64:$S$64)</f>
        <v>2.6779616110520901</v>
      </c>
      <c r="U64" s="20">
        <f>'TR TUSD'!$U$64*'TR TUSD'!$U$95</f>
        <v>39.453940096394945</v>
      </c>
      <c r="V64" s="20">
        <f>'TR TUSD'!$V$64*'TR TUSD'!$V$95</f>
        <v>10.026623906206291</v>
      </c>
      <c r="W64" s="20">
        <f>'TR TUSD'!$W$64*'TR TUSD'!$W$95</f>
        <v>1.3261968972111247</v>
      </c>
      <c r="X64" s="20">
        <f>'TR TUSD'!$X$64*'TR TUSD'!$X$95</f>
        <v>0</v>
      </c>
      <c r="Y64" s="20">
        <f>'TR TUSD'!$Y$64*'TR TUSD'!$Y$95</f>
        <v>0</v>
      </c>
      <c r="Z64" s="20">
        <f>'TR TUSD'!$Z$64</f>
        <v>0</v>
      </c>
      <c r="AA64" s="20">
        <f>'TR TUSD'!$AA$64</f>
        <v>0</v>
      </c>
      <c r="AB64" s="20">
        <f>SUM($U$64:$AA$64)</f>
        <v>50.80676089981236</v>
      </c>
      <c r="AC64" s="20">
        <f>'TR TUSD'!$AC$64*'TR TUSD'!$AC$95</f>
        <v>106.07881838904487</v>
      </c>
      <c r="AD64" s="20">
        <f>SUM($AC$64:$AC$64)</f>
        <v>106.07881838904487</v>
      </c>
      <c r="AE64" s="20">
        <v>0</v>
      </c>
      <c r="AF64" s="20">
        <v>0</v>
      </c>
      <c r="AG64" s="20">
        <f>SUM($AE$64:$AF$64)</f>
        <v>0</v>
      </c>
      <c r="AH64" s="20">
        <f>'TR TUSD'!$AH$64*'TR TUSD'!$AH$95</f>
        <v>24.491501950758238</v>
      </c>
      <c r="AI64" s="20">
        <f>'TR TUSD'!$AI$64*'TR TUSD'!$AI$95</f>
        <v>0.92059503661286801</v>
      </c>
      <c r="AJ64" s="20">
        <f ca="1">'TR TUSD'!$AJ$64*'TR TUSD'!$AJ$95</f>
        <v>11.536159305859742</v>
      </c>
      <c r="AK64" s="20">
        <f ca="1">'TR TUSD'!$AK$64*'TR TUSD'!$AK$95</f>
        <v>2.6623173992966622</v>
      </c>
      <c r="AL64" s="20">
        <f ca="1">SUM($AH$64:$AK$64)</f>
        <v>39.61057369252751</v>
      </c>
      <c r="AM64" s="20">
        <f ca="1">SUMIF($L$4:$AL$4,"SUBTOTAL",$L$64:$AL$64)</f>
        <v>199.17411459243684</v>
      </c>
      <c r="AP64" s="20">
        <f>IF((1 - CUSTOS!$M$27)&lt;&gt;0,1/(1 - CUSTOS!$M$27),1)</f>
        <v>1</v>
      </c>
    </row>
    <row r="65" spans="1:42" ht="11.25" customHeight="1" x14ac:dyDescent="0.25">
      <c r="A65" s="119" t="s">
        <v>46</v>
      </c>
      <c r="B65" s="119" t="s">
        <v>37</v>
      </c>
      <c r="C65" s="119" t="s">
        <v>47</v>
      </c>
      <c r="D65" s="119" t="s">
        <v>25</v>
      </c>
      <c r="E65" s="119" t="s">
        <v>25</v>
      </c>
      <c r="F65" s="119" t="s">
        <v>25</v>
      </c>
      <c r="G65" s="21" t="s">
        <v>89</v>
      </c>
      <c r="H65" s="21" t="s">
        <v>88</v>
      </c>
      <c r="I65" s="21">
        <f>'MERCADO TUSD'!$U$62</f>
        <v>1.0549999999999999</v>
      </c>
      <c r="J65" s="17"/>
      <c r="L65" s="20">
        <f>'TR TUSD'!$L$65*'TR TUSD'!$L$95</f>
        <v>0</v>
      </c>
      <c r="M65" s="20">
        <f>'TR TUSD'!$M$65*'TR TUSD'!$M$95</f>
        <v>0.42218734965342558</v>
      </c>
      <c r="N65" s="20">
        <f ca="1">'TR TUSD'!$N$65*'TR TUSD'!$N$95</f>
        <v>5.4888166406910122</v>
      </c>
      <c r="O65" s="20">
        <f>'TR TUSD'!$O$65*'TR TUSD'!$O$95</f>
        <v>0</v>
      </c>
      <c r="P65" s="20">
        <f>'TR TUSD'!$P$65*'TR TUSD'!$P$95</f>
        <v>0</v>
      </c>
      <c r="Q65" s="20">
        <f>'TR TUSD'!$Q$65*'TR TUSD'!$Q$95</f>
        <v>61.495406527525361</v>
      </c>
      <c r="R65" s="20">
        <f>'TR TUSD'!$R$65*'TR TUSD'!$R$95</f>
        <v>7.9721317603751451</v>
      </c>
      <c r="S65" s="20">
        <f>'TR TUSD'!$S$65*'TR TUSD'!$S$95</f>
        <v>0</v>
      </c>
      <c r="T65" s="20">
        <f ca="1">SUM($L$65:$S$65)</f>
        <v>75.37854227824495</v>
      </c>
      <c r="U65" s="20">
        <f>'TR TUSD'!$U$65*'TR TUSD'!$U$95</f>
        <v>126.25298563546478</v>
      </c>
      <c r="V65" s="20">
        <f>'TR TUSD'!$V$65*'TR TUSD'!$V$95</f>
        <v>32.084754311374738</v>
      </c>
      <c r="W65" s="20">
        <f>'TR TUSD'!$W$65*'TR TUSD'!$W$95</f>
        <v>4.2446652827967393</v>
      </c>
      <c r="X65" s="20">
        <f>'TR TUSD'!$X$65*'TR TUSD'!$X$95</f>
        <v>0</v>
      </c>
      <c r="Y65" s="20">
        <f>'TR TUSD'!$Y$65*'TR TUSD'!$Y$95</f>
        <v>0</v>
      </c>
      <c r="Z65" s="20">
        <f>'TR TUSD'!$Z$65</f>
        <v>0</v>
      </c>
      <c r="AA65" s="20">
        <f>'TR TUSD'!$AA$65</f>
        <v>0</v>
      </c>
      <c r="AB65" s="20">
        <f>SUM($U$65:$AA$65)</f>
        <v>162.58240522963627</v>
      </c>
      <c r="AC65" s="20">
        <f>'TR TUSD'!$AC$65*'TR TUSD'!$AC$95</f>
        <v>339.4521039807363</v>
      </c>
      <c r="AD65" s="20">
        <f>SUM($AC$65:$AC$65)</f>
        <v>339.4521039807363</v>
      </c>
      <c r="AE65" s="20">
        <v>0</v>
      </c>
      <c r="AF65" s="20">
        <v>0</v>
      </c>
      <c r="AG65" s="20">
        <f>SUM($AE$65:$AF$65)</f>
        <v>0</v>
      </c>
      <c r="AH65" s="20">
        <f>'TR TUSD'!$AH$65*'TR TUSD'!$AH$95</f>
        <v>24.491501950758238</v>
      </c>
      <c r="AI65" s="20">
        <f>'TR TUSD'!$AI$65*'TR TUSD'!$AI$95</f>
        <v>0.92059503661286801</v>
      </c>
      <c r="AJ65" s="20">
        <f ca="1">'TR TUSD'!$AJ$65*'TR TUSD'!$AJ$95</f>
        <v>11.536159305859742</v>
      </c>
      <c r="AK65" s="20">
        <f ca="1">'TR TUSD'!$AK$65*'TR TUSD'!$AK$95</f>
        <v>2.6623173992966622</v>
      </c>
      <c r="AL65" s="20">
        <f ca="1">SUM($AH$65:$AK$65)</f>
        <v>39.61057369252751</v>
      </c>
      <c r="AM65" s="20">
        <f ca="1">SUMIF($L$4:$AL$4,"SUBTOTAL",$L$65:$AL$65)</f>
        <v>617.02362518114501</v>
      </c>
      <c r="AP65" s="20">
        <f>IF((1 - CUSTOS!$M$28)&lt;&gt;0,1/(1 - CUSTOS!$M$28),1)</f>
        <v>1</v>
      </c>
    </row>
    <row r="66" spans="1:42" ht="11.25" customHeight="1" x14ac:dyDescent="0.25">
      <c r="A66" s="119"/>
      <c r="B66" s="119"/>
      <c r="C66" s="119"/>
      <c r="D66" s="119"/>
      <c r="E66" s="119"/>
      <c r="F66" s="119"/>
      <c r="G66" s="21" t="s">
        <v>100</v>
      </c>
      <c r="H66" s="21" t="s">
        <v>88</v>
      </c>
      <c r="I66" s="21">
        <f>'MERCADO TUSD'!$U$63</f>
        <v>0.57700000000000007</v>
      </c>
      <c r="J66" s="17"/>
      <c r="L66" s="20">
        <f>'TR TUSD'!$L$66*'TR TUSD'!$L$95</f>
        <v>0</v>
      </c>
      <c r="M66" s="20">
        <f>'TR TUSD'!$M$66*'TR TUSD'!$M$95</f>
        <v>0.42218734965342558</v>
      </c>
      <c r="N66" s="20">
        <f ca="1">'TR TUSD'!$N$66*'TR TUSD'!$N$95</f>
        <v>3.6161904242724159</v>
      </c>
      <c r="O66" s="20">
        <f>'TR TUSD'!$O$66*'TR TUSD'!$O$95</f>
        <v>0</v>
      </c>
      <c r="P66" s="20">
        <f>'TR TUSD'!$P$66*'TR TUSD'!$P$95</f>
        <v>0</v>
      </c>
      <c r="Q66" s="20">
        <f>'TR TUSD'!$Q$66*'TR TUSD'!$Q$95</f>
        <v>61.495406527525361</v>
      </c>
      <c r="R66" s="20">
        <f>'TR TUSD'!$R$66*'TR TUSD'!$R$95</f>
        <v>7.9721317603751451</v>
      </c>
      <c r="S66" s="20">
        <f>'TR TUSD'!$S$66*'TR TUSD'!$S$95</f>
        <v>0</v>
      </c>
      <c r="T66" s="20">
        <f ca="1">SUM($L$66:$S$66)</f>
        <v>73.505916061826355</v>
      </c>
      <c r="U66" s="20">
        <f>'TR TUSD'!$U$66*'TR TUSD'!$U$95</f>
        <v>75.751539829944903</v>
      </c>
      <c r="V66" s="20">
        <f>'TR TUSD'!$V$66*'TR TUSD'!$V$95</f>
        <v>19.250675711430691</v>
      </c>
      <c r="W66" s="20">
        <f>'TR TUSD'!$W$66*'TR TUSD'!$W$95</f>
        <v>2.5467991696780437</v>
      </c>
      <c r="X66" s="20">
        <f>'TR TUSD'!$X$66*'TR TUSD'!$X$95</f>
        <v>0</v>
      </c>
      <c r="Y66" s="20">
        <f>'TR TUSD'!$Y$66*'TR TUSD'!$Y$95</f>
        <v>0</v>
      </c>
      <c r="Z66" s="20">
        <f>'TR TUSD'!$Z$66</f>
        <v>0</v>
      </c>
      <c r="AA66" s="20">
        <f>'TR TUSD'!$AA$66</f>
        <v>0</v>
      </c>
      <c r="AB66" s="20">
        <f>SUM($U$66:$AA$66)</f>
        <v>97.54901471105363</v>
      </c>
      <c r="AC66" s="20">
        <f>'TR TUSD'!$AC$66*'TR TUSD'!$AC$95</f>
        <v>203.6712394156003</v>
      </c>
      <c r="AD66" s="20">
        <f>SUM($AC$66:$AC$66)</f>
        <v>203.6712394156003</v>
      </c>
      <c r="AE66" s="20">
        <v>0</v>
      </c>
      <c r="AF66" s="20">
        <v>0</v>
      </c>
      <c r="AG66" s="20">
        <f>SUM($AE$66:$AF$66)</f>
        <v>0</v>
      </c>
      <c r="AH66" s="20">
        <f>'TR TUSD'!$AH$66*'TR TUSD'!$AH$95</f>
        <v>24.491501950758238</v>
      </c>
      <c r="AI66" s="20">
        <f>'TR TUSD'!$AI$66*'TR TUSD'!$AI$95</f>
        <v>0.92059503661286801</v>
      </c>
      <c r="AJ66" s="20">
        <f ca="1">'TR TUSD'!$AJ$66*'TR TUSD'!$AJ$95</f>
        <v>11.536159305859742</v>
      </c>
      <c r="AK66" s="20">
        <f ca="1">'TR TUSD'!$AK$66*'TR TUSD'!$AK$95</f>
        <v>2.6623173992966622</v>
      </c>
      <c r="AL66" s="20">
        <f ca="1">SUM($AH$66:$AK$66)</f>
        <v>39.61057369252751</v>
      </c>
      <c r="AM66" s="20">
        <f ca="1">SUMIF($L$4:$AL$4,"SUBTOTAL",$L$66:$AL$66)</f>
        <v>414.33674388100781</v>
      </c>
      <c r="AP66" s="20">
        <f>IF((1 - CUSTOS!$M$28)&lt;&gt;0,1/(1 - CUSTOS!$M$28),1)</f>
        <v>1</v>
      </c>
    </row>
    <row r="67" spans="1:42" ht="11.25" customHeight="1" x14ac:dyDescent="0.25">
      <c r="A67" s="119"/>
      <c r="B67" s="119"/>
      <c r="C67" s="119"/>
      <c r="D67" s="119"/>
      <c r="E67" s="119"/>
      <c r="F67" s="119"/>
      <c r="G67" s="21" t="s">
        <v>90</v>
      </c>
      <c r="H67" s="21" t="s">
        <v>88</v>
      </c>
      <c r="I67" s="21">
        <f>'MERCADO TUSD'!$U$64</f>
        <v>5.0120000000000005</v>
      </c>
      <c r="J67" s="17"/>
      <c r="L67" s="20">
        <f>'TR TUSD'!$L$67*'TR TUSD'!$L$95</f>
        <v>0</v>
      </c>
      <c r="M67" s="20">
        <f>'TR TUSD'!$M$67*'TR TUSD'!$M$95</f>
        <v>0.42218734965342558</v>
      </c>
      <c r="N67" s="20">
        <f ca="1">'TR TUSD'!$N$67*'TR TUSD'!$N$95</f>
        <v>1.7435671015651424</v>
      </c>
      <c r="O67" s="20">
        <f>'TR TUSD'!$O$67*'TR TUSD'!$O$95</f>
        <v>0</v>
      </c>
      <c r="P67" s="20">
        <f>'TR TUSD'!$P$67*'TR TUSD'!$P$95</f>
        <v>0</v>
      </c>
      <c r="Q67" s="20">
        <f>'TR TUSD'!$Q$67*'TR TUSD'!$Q$95</f>
        <v>61.495406527525361</v>
      </c>
      <c r="R67" s="20">
        <f>'TR TUSD'!$R$67*'TR TUSD'!$R$95</f>
        <v>7.9721317603751451</v>
      </c>
      <c r="S67" s="20">
        <f>'TR TUSD'!$S$67*'TR TUSD'!$S$95</f>
        <v>0</v>
      </c>
      <c r="T67" s="20">
        <f ca="1">SUM($L$67:$S$67)</f>
        <v>71.633292739119071</v>
      </c>
      <c r="U67" s="20">
        <f>'TR TUSD'!$U$67*'TR TUSD'!$U$95</f>
        <v>25.250722902759932</v>
      </c>
      <c r="V67" s="20">
        <f>'TR TUSD'!$V$67*'TR TUSD'!$V$95</f>
        <v>6.4170392999720267</v>
      </c>
      <c r="W67" s="20">
        <f>'TR TUSD'!$W$67*'TR TUSD'!$W$95</f>
        <v>0.84893305655934792</v>
      </c>
      <c r="X67" s="20">
        <f>'TR TUSD'!$X$67*'TR TUSD'!$X$95</f>
        <v>0</v>
      </c>
      <c r="Y67" s="20">
        <f>'TR TUSD'!$Y$67*'TR TUSD'!$Y$95</f>
        <v>0</v>
      </c>
      <c r="Z67" s="20">
        <f>'TR TUSD'!$Z$67</f>
        <v>0</v>
      </c>
      <c r="AA67" s="20">
        <f>'TR TUSD'!$AA$67</f>
        <v>0</v>
      </c>
      <c r="AB67" s="20">
        <f>SUM($U$67:$AA$67)</f>
        <v>32.516695259291303</v>
      </c>
      <c r="AC67" s="20">
        <f>'TR TUSD'!$AC$67*'TR TUSD'!$AC$95</f>
        <v>67.89037485046434</v>
      </c>
      <c r="AD67" s="20">
        <f>SUM($AC$67:$AC$67)</f>
        <v>67.89037485046434</v>
      </c>
      <c r="AE67" s="20">
        <v>0</v>
      </c>
      <c r="AF67" s="20">
        <v>0</v>
      </c>
      <c r="AG67" s="20">
        <f>SUM($AE$67:$AF$67)</f>
        <v>0</v>
      </c>
      <c r="AH67" s="20">
        <f>'TR TUSD'!$AH$67*'TR TUSD'!$AH$95</f>
        <v>24.491501950758238</v>
      </c>
      <c r="AI67" s="20">
        <f>'TR TUSD'!$AI$67*'TR TUSD'!$AI$95</f>
        <v>0.92059503661286801</v>
      </c>
      <c r="AJ67" s="20">
        <f ca="1">'TR TUSD'!$AJ$67*'TR TUSD'!$AJ$95</f>
        <v>11.536159305859742</v>
      </c>
      <c r="AK67" s="20">
        <f ca="1">'TR TUSD'!$AK$67*'TR TUSD'!$AK$95</f>
        <v>2.6623173992966622</v>
      </c>
      <c r="AL67" s="20">
        <f ca="1">SUM($AH$67:$AK$67)</f>
        <v>39.61057369252751</v>
      </c>
      <c r="AM67" s="20">
        <f ca="1">SUMIF($L$4:$AL$4,"SUBTOTAL",$L$67:$AL$67)</f>
        <v>211.65093654140225</v>
      </c>
      <c r="AP67" s="20">
        <f>IF((1 - CUSTOS!$M$28)&lt;&gt;0,1/(1 - CUSTOS!$M$28),1)</f>
        <v>1</v>
      </c>
    </row>
    <row r="68" spans="1:42" ht="11.25" customHeight="1" x14ac:dyDescent="0.25">
      <c r="A68" s="119"/>
      <c r="B68" s="22" t="s">
        <v>23</v>
      </c>
      <c r="C68" s="22" t="s">
        <v>47</v>
      </c>
      <c r="D68" s="22" t="s">
        <v>25</v>
      </c>
      <c r="E68" s="22" t="s">
        <v>25</v>
      </c>
      <c r="F68" s="22" t="s">
        <v>25</v>
      </c>
      <c r="G68" s="21" t="s">
        <v>94</v>
      </c>
      <c r="H68" s="21" t="s">
        <v>88</v>
      </c>
      <c r="I68" s="21">
        <f>'MERCADO TUSD'!$U$65</f>
        <v>81638.005000000005</v>
      </c>
      <c r="J68" s="17"/>
      <c r="L68" s="20">
        <f>'TR TUSD'!$L$68*'TR TUSD'!$L$95</f>
        <v>0</v>
      </c>
      <c r="M68" s="20">
        <f>'TR TUSD'!$M$68*'TR TUSD'!$M$95</f>
        <v>0.42218734965342558</v>
      </c>
      <c r="N68" s="20">
        <f ca="1">'TR TUSD'!$N$68*'TR TUSD'!$N$95</f>
        <v>2.2702428180047174</v>
      </c>
      <c r="O68" s="20">
        <f>'TR TUSD'!$O$68*'TR TUSD'!$O$95</f>
        <v>0</v>
      </c>
      <c r="P68" s="20">
        <f>'TR TUSD'!$P$68*'TR TUSD'!$P$95</f>
        <v>0</v>
      </c>
      <c r="Q68" s="20">
        <f>'TR TUSD'!$Q$68*'TR TUSD'!$Q$95</f>
        <v>61.495406527525361</v>
      </c>
      <c r="R68" s="20">
        <f>'TR TUSD'!$R$68*'TR TUSD'!$R$95</f>
        <v>7.9721317603751451</v>
      </c>
      <c r="S68" s="20">
        <f>'TR TUSD'!$S$68*'TR TUSD'!$S$95</f>
        <v>0</v>
      </c>
      <c r="T68" s="20">
        <f ca="1">SUM($L$68:$S$68)</f>
        <v>72.159968455558655</v>
      </c>
      <c r="U68" s="20">
        <f>'TR TUSD'!$U$68*'TR TUSD'!$U$95</f>
        <v>39.453940096394945</v>
      </c>
      <c r="V68" s="20">
        <f>'TR TUSD'!$V$68*'TR TUSD'!$V$95</f>
        <v>10.026623906206291</v>
      </c>
      <c r="W68" s="20">
        <f>'TR TUSD'!$W$68*'TR TUSD'!$W$95</f>
        <v>1.3261968972111247</v>
      </c>
      <c r="X68" s="20">
        <f>'TR TUSD'!$X$68*'TR TUSD'!$X$95</f>
        <v>0</v>
      </c>
      <c r="Y68" s="20">
        <f>'TR TUSD'!$Y$68*'TR TUSD'!$Y$95</f>
        <v>0</v>
      </c>
      <c r="Z68" s="20">
        <f>'TR TUSD'!$Z$68</f>
        <v>0</v>
      </c>
      <c r="AA68" s="20">
        <f>'TR TUSD'!$AA$68</f>
        <v>0</v>
      </c>
      <c r="AB68" s="20">
        <f>SUM($U$68:$AA$68)</f>
        <v>50.80676089981236</v>
      </c>
      <c r="AC68" s="20">
        <f>'TR TUSD'!$AC$68*'TR TUSD'!$AC$95</f>
        <v>106.07881838904487</v>
      </c>
      <c r="AD68" s="20">
        <f>SUM($AC$68:$AC$68)</f>
        <v>106.07881838904487</v>
      </c>
      <c r="AE68" s="20">
        <v>0</v>
      </c>
      <c r="AF68" s="20">
        <v>0</v>
      </c>
      <c r="AG68" s="20">
        <f>SUM($AE$68:$AF$68)</f>
        <v>0</v>
      </c>
      <c r="AH68" s="20">
        <f>'TR TUSD'!$AH$68*'TR TUSD'!$AH$95</f>
        <v>24.491501950758238</v>
      </c>
      <c r="AI68" s="20">
        <f>'TR TUSD'!$AI$68*'TR TUSD'!$AI$95</f>
        <v>0.92059503661286801</v>
      </c>
      <c r="AJ68" s="20">
        <f ca="1">'TR TUSD'!$AJ$68*'TR TUSD'!$AJ$95</f>
        <v>11.536159305859742</v>
      </c>
      <c r="AK68" s="20">
        <f ca="1">'TR TUSD'!$AK$68*'TR TUSD'!$AK$95</f>
        <v>2.6623173992966622</v>
      </c>
      <c r="AL68" s="20">
        <f ca="1">SUM($AH$68:$AK$68)</f>
        <v>39.61057369252751</v>
      </c>
      <c r="AM68" s="20">
        <f ca="1">SUMIF($L$4:$AL$4,"SUBTOTAL",$L$68:$AL$68)</f>
        <v>268.65612143694341</v>
      </c>
      <c r="AP68" s="20">
        <f>IF((1 - CUSTOS!$M$28)&lt;&gt;0,1/(1 - CUSTOS!$M$28),1)</f>
        <v>1</v>
      </c>
    </row>
    <row r="69" spans="1:42" ht="11.25" customHeight="1" x14ac:dyDescent="0.25">
      <c r="A69" s="119"/>
      <c r="B69" s="119" t="s">
        <v>37</v>
      </c>
      <c r="C69" s="119" t="s">
        <v>47</v>
      </c>
      <c r="D69" s="119" t="s">
        <v>103</v>
      </c>
      <c r="E69" s="119" t="s">
        <v>25</v>
      </c>
      <c r="F69" s="119" t="s">
        <v>25</v>
      </c>
      <c r="G69" s="21" t="s">
        <v>89</v>
      </c>
      <c r="H69" s="21" t="s">
        <v>88</v>
      </c>
      <c r="I69" s="21">
        <f>'MERCADO TUSD'!$U$66</f>
        <v>0</v>
      </c>
      <c r="J69" s="17"/>
      <c r="L69" s="20">
        <f>'TR TUSD'!$L$69*'TR TUSD'!$L$95</f>
        <v>0</v>
      </c>
      <c r="M69" s="20">
        <f>'TR TUSD'!$M$69*'TR TUSD'!$M$95</f>
        <v>0.42218734965342558</v>
      </c>
      <c r="N69" s="20">
        <f ca="1">'TR TUSD'!$N$69*'TR TUSD'!$N$95</f>
        <v>5.4888166406910122</v>
      </c>
      <c r="O69" s="20">
        <f>'TR TUSD'!$O$69*'TR TUSD'!$O$95</f>
        <v>0</v>
      </c>
      <c r="P69" s="20">
        <f>'TR TUSD'!$P$69*'TR TUSD'!$P$95</f>
        <v>0</v>
      </c>
      <c r="Q69" s="20">
        <f>'TR TUSD'!$Q$69*'TR TUSD'!$Q$95</f>
        <v>61.495406527525361</v>
      </c>
      <c r="R69" s="20">
        <f>'TR TUSD'!$R$69*'TR TUSD'!$R$95</f>
        <v>7.9721317603751451</v>
      </c>
      <c r="S69" s="20">
        <f>'TR TUSD'!$S$69*'TR TUSD'!$S$95</f>
        <v>0</v>
      </c>
      <c r="T69" s="20">
        <f ca="1">SUM($L$69:$S$69)</f>
        <v>75.37854227824495</v>
      </c>
      <c r="U69" s="20">
        <f>'TR TUSD'!$U$69*'TR TUSD'!$U$95</f>
        <v>126.25298563546478</v>
      </c>
      <c r="V69" s="20">
        <f>'TR TUSD'!$V$69*'TR TUSD'!$V$95</f>
        <v>32.084754311374738</v>
      </c>
      <c r="W69" s="20">
        <f>'TR TUSD'!$W$69*'TR TUSD'!$W$95</f>
        <v>4.2446652827967393</v>
      </c>
      <c r="X69" s="20">
        <f>'TR TUSD'!$X$69*'TR TUSD'!$X$95</f>
        <v>0</v>
      </c>
      <c r="Y69" s="20">
        <f>'TR TUSD'!$Y$69*'TR TUSD'!$Y$95</f>
        <v>0</v>
      </c>
      <c r="Z69" s="20">
        <f>'TR TUSD'!$Z$69</f>
        <v>0</v>
      </c>
      <c r="AA69" s="20">
        <f>'TR TUSD'!$AA$69</f>
        <v>0</v>
      </c>
      <c r="AB69" s="20">
        <f>SUM($U$69:$AA$69)</f>
        <v>162.58240522963627</v>
      </c>
      <c r="AC69" s="20">
        <f>'TR TUSD'!$AC$69*'TR TUSD'!$AC$95</f>
        <v>339.4521039807363</v>
      </c>
      <c r="AD69" s="20">
        <f>SUM($AC$69:$AC$69)</f>
        <v>339.4521039807363</v>
      </c>
      <c r="AE69" s="20">
        <v>0</v>
      </c>
      <c r="AF69" s="20">
        <v>0</v>
      </c>
      <c r="AG69" s="20">
        <f>SUM($AE$69:$AF$69)</f>
        <v>0</v>
      </c>
      <c r="AH69" s="20">
        <f>'TR TUSD'!$AH$69*'TR TUSD'!$AH$95</f>
        <v>24.491501950758238</v>
      </c>
      <c r="AI69" s="20">
        <f>'TR TUSD'!$AI$69*'TR TUSD'!$AI$95</f>
        <v>0.92059503661286801</v>
      </c>
      <c r="AJ69" s="20">
        <f ca="1">'TR TUSD'!$AJ$69*'TR TUSD'!$AJ$95</f>
        <v>11.536159305859742</v>
      </c>
      <c r="AK69" s="20">
        <f ca="1">'TR TUSD'!$AK$69*'TR TUSD'!$AK$95</f>
        <v>2.6623173992966622</v>
      </c>
      <c r="AL69" s="20">
        <f ca="1">SUM($AH$69:$AK$69)</f>
        <v>39.61057369252751</v>
      </c>
      <c r="AM69" s="20">
        <f ca="1">SUMIF($L$4:$AL$4,"SUBTOTAL",$L$69:$AL$69)</f>
        <v>617.02362518114501</v>
      </c>
      <c r="AP69" s="20">
        <f>IF((1 - CUSTOS!$M$29)&lt;&gt;0,1/(1 - CUSTOS!$M$29),1)</f>
        <v>1</v>
      </c>
    </row>
    <row r="70" spans="1:42" ht="11.25" customHeight="1" x14ac:dyDescent="0.25">
      <c r="A70" s="119"/>
      <c r="B70" s="119"/>
      <c r="C70" s="119"/>
      <c r="D70" s="119"/>
      <c r="E70" s="119"/>
      <c r="F70" s="119"/>
      <c r="G70" s="21" t="s">
        <v>100</v>
      </c>
      <c r="H70" s="21" t="s">
        <v>88</v>
      </c>
      <c r="I70" s="21">
        <f>'MERCADO TUSD'!$U$67</f>
        <v>0</v>
      </c>
      <c r="J70" s="17"/>
      <c r="L70" s="20">
        <f>'TR TUSD'!$L$70*'TR TUSD'!$L$95</f>
        <v>0</v>
      </c>
      <c r="M70" s="20">
        <f>'TR TUSD'!$M$70*'TR TUSD'!$M$95</f>
        <v>0.42218734965342558</v>
      </c>
      <c r="N70" s="20">
        <f ca="1">'TR TUSD'!$N$70*'TR TUSD'!$N$95</f>
        <v>3.6161904242724159</v>
      </c>
      <c r="O70" s="20">
        <f>'TR TUSD'!$O$70*'TR TUSD'!$O$95</f>
        <v>0</v>
      </c>
      <c r="P70" s="20">
        <f>'TR TUSD'!$P$70*'TR TUSD'!$P$95</f>
        <v>0</v>
      </c>
      <c r="Q70" s="20">
        <f>'TR TUSD'!$Q$70*'TR TUSD'!$Q$95</f>
        <v>61.495406527525361</v>
      </c>
      <c r="R70" s="20">
        <f>'TR TUSD'!$R$70*'TR TUSD'!$R$95</f>
        <v>7.9721317603751451</v>
      </c>
      <c r="S70" s="20">
        <f>'TR TUSD'!$S$70*'TR TUSD'!$S$95</f>
        <v>0</v>
      </c>
      <c r="T70" s="20">
        <f ca="1">SUM($L$70:$S$70)</f>
        <v>73.505916061826355</v>
      </c>
      <c r="U70" s="20">
        <f>'TR TUSD'!$U$70*'TR TUSD'!$U$95</f>
        <v>75.751539829944903</v>
      </c>
      <c r="V70" s="20">
        <f>'TR TUSD'!$V$70*'TR TUSD'!$V$95</f>
        <v>19.250675711430691</v>
      </c>
      <c r="W70" s="20">
        <f>'TR TUSD'!$W$70*'TR TUSD'!$W$95</f>
        <v>2.5467991696780437</v>
      </c>
      <c r="X70" s="20">
        <f>'TR TUSD'!$X$70*'TR TUSD'!$X$95</f>
        <v>0</v>
      </c>
      <c r="Y70" s="20">
        <f>'TR TUSD'!$Y$70*'TR TUSD'!$Y$95</f>
        <v>0</v>
      </c>
      <c r="Z70" s="20">
        <f>'TR TUSD'!$Z$70</f>
        <v>0</v>
      </c>
      <c r="AA70" s="20">
        <f>'TR TUSD'!$AA$70</f>
        <v>0</v>
      </c>
      <c r="AB70" s="20">
        <f>SUM($U$70:$AA$70)</f>
        <v>97.54901471105363</v>
      </c>
      <c r="AC70" s="20">
        <f>'TR TUSD'!$AC$70*'TR TUSD'!$AC$95</f>
        <v>203.6712394156003</v>
      </c>
      <c r="AD70" s="20">
        <f>SUM($AC$70:$AC$70)</f>
        <v>203.6712394156003</v>
      </c>
      <c r="AE70" s="20">
        <v>0</v>
      </c>
      <c r="AF70" s="20">
        <v>0</v>
      </c>
      <c r="AG70" s="20">
        <f>SUM($AE$70:$AF$70)</f>
        <v>0</v>
      </c>
      <c r="AH70" s="20">
        <f>'TR TUSD'!$AH$70*'TR TUSD'!$AH$95</f>
        <v>24.491501950758238</v>
      </c>
      <c r="AI70" s="20">
        <f>'TR TUSD'!$AI$70*'TR TUSD'!$AI$95</f>
        <v>0.92059503661286801</v>
      </c>
      <c r="AJ70" s="20">
        <f ca="1">'TR TUSD'!$AJ$70*'TR TUSD'!$AJ$95</f>
        <v>11.536159305859742</v>
      </c>
      <c r="AK70" s="20">
        <f ca="1">'TR TUSD'!$AK$70*'TR TUSD'!$AK$95</f>
        <v>2.6623173992966622</v>
      </c>
      <c r="AL70" s="20">
        <f ca="1">SUM($AH$70:$AK$70)</f>
        <v>39.61057369252751</v>
      </c>
      <c r="AM70" s="20">
        <f ca="1">SUMIF($L$4:$AL$4,"SUBTOTAL",$L$70:$AL$70)</f>
        <v>414.33674388100781</v>
      </c>
      <c r="AP70" s="20">
        <f>IF((1 - CUSTOS!$M$29)&lt;&gt;0,1/(1 - CUSTOS!$M$29),1)</f>
        <v>1</v>
      </c>
    </row>
    <row r="71" spans="1:42" ht="11.25" customHeight="1" x14ac:dyDescent="0.25">
      <c r="A71" s="119"/>
      <c r="B71" s="119"/>
      <c r="C71" s="119"/>
      <c r="D71" s="119"/>
      <c r="E71" s="119"/>
      <c r="F71" s="119"/>
      <c r="G71" s="21" t="s">
        <v>90</v>
      </c>
      <c r="H71" s="21" t="s">
        <v>88</v>
      </c>
      <c r="I71" s="21">
        <f>'MERCADO TUSD'!$U$68</f>
        <v>0</v>
      </c>
      <c r="J71" s="17"/>
      <c r="L71" s="20">
        <f>'TR TUSD'!$L$71*'TR TUSD'!$L$95</f>
        <v>0</v>
      </c>
      <c r="M71" s="20">
        <f>'TR TUSD'!$M$71*'TR TUSD'!$M$95</f>
        <v>0.42218734965342558</v>
      </c>
      <c r="N71" s="20">
        <f ca="1">'TR TUSD'!$N$71*'TR TUSD'!$N$95</f>
        <v>1.7435671015651424</v>
      </c>
      <c r="O71" s="20">
        <f>'TR TUSD'!$O$71*'TR TUSD'!$O$95</f>
        <v>0</v>
      </c>
      <c r="P71" s="20">
        <f>'TR TUSD'!$P$71*'TR TUSD'!$P$95</f>
        <v>0</v>
      </c>
      <c r="Q71" s="20">
        <f>'TR TUSD'!$Q$71*'TR TUSD'!$Q$95</f>
        <v>61.495406527525361</v>
      </c>
      <c r="R71" s="20">
        <f>'TR TUSD'!$R$71*'TR TUSD'!$R$95</f>
        <v>7.9721317603751451</v>
      </c>
      <c r="S71" s="20">
        <f>'TR TUSD'!$S$71*'TR TUSD'!$S$95</f>
        <v>0</v>
      </c>
      <c r="T71" s="20">
        <f ca="1">SUM($L$71:$S$71)</f>
        <v>71.633292739119071</v>
      </c>
      <c r="U71" s="20">
        <f>'TR TUSD'!$U$71*'TR TUSD'!$U$95</f>
        <v>25.250722902759932</v>
      </c>
      <c r="V71" s="20">
        <f>'TR TUSD'!$V$71*'TR TUSD'!$V$95</f>
        <v>6.4170392999720267</v>
      </c>
      <c r="W71" s="20">
        <f>'TR TUSD'!$W$71*'TR TUSD'!$W$95</f>
        <v>0.84893305655934792</v>
      </c>
      <c r="X71" s="20">
        <f>'TR TUSD'!$X$71*'TR TUSD'!$X$95</f>
        <v>0</v>
      </c>
      <c r="Y71" s="20">
        <f>'TR TUSD'!$Y$71*'TR TUSD'!$Y$95</f>
        <v>0</v>
      </c>
      <c r="Z71" s="20">
        <f>'TR TUSD'!$Z$71</f>
        <v>0</v>
      </c>
      <c r="AA71" s="20">
        <f>'TR TUSD'!$AA$71</f>
        <v>0</v>
      </c>
      <c r="AB71" s="20">
        <f>SUM($U$71:$AA$71)</f>
        <v>32.516695259291303</v>
      </c>
      <c r="AC71" s="20">
        <f>'TR TUSD'!$AC$71*'TR TUSD'!$AC$95</f>
        <v>67.89037485046434</v>
      </c>
      <c r="AD71" s="20">
        <f>SUM($AC$71:$AC$71)</f>
        <v>67.89037485046434</v>
      </c>
      <c r="AE71" s="20">
        <v>0</v>
      </c>
      <c r="AF71" s="20">
        <v>0</v>
      </c>
      <c r="AG71" s="20">
        <f>SUM($AE$71:$AF$71)</f>
        <v>0</v>
      </c>
      <c r="AH71" s="20">
        <f>'TR TUSD'!$AH$71*'TR TUSD'!$AH$95</f>
        <v>24.491501950758238</v>
      </c>
      <c r="AI71" s="20">
        <f>'TR TUSD'!$AI$71*'TR TUSD'!$AI$95</f>
        <v>0.92059503661286801</v>
      </c>
      <c r="AJ71" s="20">
        <f ca="1">'TR TUSD'!$AJ$71*'TR TUSD'!$AJ$95</f>
        <v>11.536159305859742</v>
      </c>
      <c r="AK71" s="20">
        <f ca="1">'TR TUSD'!$AK$71*'TR TUSD'!$AK$95</f>
        <v>2.6623173992966622</v>
      </c>
      <c r="AL71" s="20">
        <f ca="1">SUM($AH$71:$AK$71)</f>
        <v>39.61057369252751</v>
      </c>
      <c r="AM71" s="20">
        <f ca="1">SUMIF($L$4:$AL$4,"SUBTOTAL",$L$71:$AL$71)</f>
        <v>211.65093654140225</v>
      </c>
      <c r="AP71" s="20">
        <f>IF((1 - CUSTOS!$M$29)&lt;&gt;0,1/(1 - CUSTOS!$M$29),1)</f>
        <v>1</v>
      </c>
    </row>
    <row r="72" spans="1:42" ht="11.25" customHeight="1" x14ac:dyDescent="0.25">
      <c r="A72" s="119"/>
      <c r="B72" s="22" t="s">
        <v>23</v>
      </c>
      <c r="C72" s="22" t="s">
        <v>47</v>
      </c>
      <c r="D72" s="22" t="s">
        <v>103</v>
      </c>
      <c r="E72" s="22" t="s">
        <v>25</v>
      </c>
      <c r="F72" s="22" t="s">
        <v>25</v>
      </c>
      <c r="G72" s="21" t="s">
        <v>94</v>
      </c>
      <c r="H72" s="21" t="s">
        <v>88</v>
      </c>
      <c r="I72" s="21">
        <f>'MERCADO TUSD'!$U$69</f>
        <v>0</v>
      </c>
      <c r="J72" s="17"/>
      <c r="L72" s="20">
        <f>'TR TUSD'!$L$72*'TR TUSD'!$L$95</f>
        <v>0</v>
      </c>
      <c r="M72" s="20">
        <f>'TR TUSD'!$M$72*'TR TUSD'!$M$95</f>
        <v>0.42218734965342558</v>
      </c>
      <c r="N72" s="20">
        <f ca="1">'TR TUSD'!$N$72*'TR TUSD'!$N$95</f>
        <v>2.2702428180047174</v>
      </c>
      <c r="O72" s="20">
        <f>'TR TUSD'!$O$72*'TR TUSD'!$O$95</f>
        <v>0</v>
      </c>
      <c r="P72" s="20">
        <f>'TR TUSD'!$P$72*'TR TUSD'!$P$95</f>
        <v>0</v>
      </c>
      <c r="Q72" s="20">
        <f>'TR TUSD'!$Q$72*'TR TUSD'!$Q$95</f>
        <v>61.495406527525361</v>
      </c>
      <c r="R72" s="20">
        <f>'TR TUSD'!$R$72*'TR TUSD'!$R$95</f>
        <v>7.9721317603751451</v>
      </c>
      <c r="S72" s="20">
        <f>'TR TUSD'!$S$72*'TR TUSD'!$S$95</f>
        <v>0</v>
      </c>
      <c r="T72" s="20">
        <f ca="1">SUM($L$72:$S$72)</f>
        <v>72.159968455558655</v>
      </c>
      <c r="U72" s="20">
        <f>'TR TUSD'!$U$72*'TR TUSD'!$U$95</f>
        <v>39.453940096394945</v>
      </c>
      <c r="V72" s="20">
        <f>'TR TUSD'!$V$72*'TR TUSD'!$V$95</f>
        <v>10.026623906206291</v>
      </c>
      <c r="W72" s="20">
        <f>'TR TUSD'!$W$72*'TR TUSD'!$W$95</f>
        <v>1.3261968972111247</v>
      </c>
      <c r="X72" s="20">
        <f>'TR TUSD'!$X$72*'TR TUSD'!$X$95</f>
        <v>0</v>
      </c>
      <c r="Y72" s="20">
        <f>'TR TUSD'!$Y$72*'TR TUSD'!$Y$95</f>
        <v>0</v>
      </c>
      <c r="Z72" s="20">
        <f>'TR TUSD'!$Z$72</f>
        <v>0</v>
      </c>
      <c r="AA72" s="20">
        <f>'TR TUSD'!$AA$72</f>
        <v>0</v>
      </c>
      <c r="AB72" s="20">
        <f>SUM($U$72:$AA$72)</f>
        <v>50.80676089981236</v>
      </c>
      <c r="AC72" s="20">
        <f>'TR TUSD'!$AC$72*'TR TUSD'!$AC$95</f>
        <v>106.07881838904487</v>
      </c>
      <c r="AD72" s="20">
        <f>SUM($AC$72:$AC$72)</f>
        <v>106.07881838904487</v>
      </c>
      <c r="AE72" s="20">
        <v>0</v>
      </c>
      <c r="AF72" s="20">
        <v>0</v>
      </c>
      <c r="AG72" s="20">
        <f>SUM($AE$72:$AF$72)</f>
        <v>0</v>
      </c>
      <c r="AH72" s="20">
        <f>'TR TUSD'!$AH$72*'TR TUSD'!$AH$95</f>
        <v>24.491501950758238</v>
      </c>
      <c r="AI72" s="20">
        <f>'TR TUSD'!$AI$72*'TR TUSD'!$AI$95</f>
        <v>0.92059503661286801</v>
      </c>
      <c r="AJ72" s="20">
        <f ca="1">'TR TUSD'!$AJ$72*'TR TUSD'!$AJ$95</f>
        <v>11.536159305859742</v>
      </c>
      <c r="AK72" s="20">
        <f ca="1">'TR TUSD'!$AK$72*'TR TUSD'!$AK$95</f>
        <v>2.6623173992966622</v>
      </c>
      <c r="AL72" s="20">
        <f ca="1">SUM($AH$72:$AK$72)</f>
        <v>39.61057369252751</v>
      </c>
      <c r="AM72" s="20">
        <f ca="1">SUMIF($L$4:$AL$4,"SUBTOTAL",$L$72:$AL$72)</f>
        <v>268.65612143694341</v>
      </c>
      <c r="AP72" s="20">
        <f>IF((1 - CUSTOS!$M$29)&lt;&gt;0,1/(1 - CUSTOS!$M$29),1)</f>
        <v>1</v>
      </c>
    </row>
    <row r="73" spans="1:42" ht="11.25" customHeight="1" x14ac:dyDescent="0.25">
      <c r="A73" s="119"/>
      <c r="B73" s="119" t="s">
        <v>37</v>
      </c>
      <c r="C73" s="119" t="s">
        <v>47</v>
      </c>
      <c r="D73" s="119" t="s">
        <v>104</v>
      </c>
      <c r="E73" s="119" t="s">
        <v>25</v>
      </c>
      <c r="F73" s="119" t="s">
        <v>25</v>
      </c>
      <c r="G73" s="21" t="s">
        <v>89</v>
      </c>
      <c r="H73" s="21" t="s">
        <v>88</v>
      </c>
      <c r="I73" s="21">
        <f>'MERCADO TUSD'!$U$70</f>
        <v>0</v>
      </c>
      <c r="J73" s="17"/>
      <c r="L73" s="20">
        <f>'TR TUSD'!$L$73*'TR TUSD'!$L$95</f>
        <v>0</v>
      </c>
      <c r="M73" s="20">
        <f>'TR TUSD'!$M$73*'TR TUSD'!$M$95</f>
        <v>0.42218734965342558</v>
      </c>
      <c r="N73" s="20">
        <f ca="1">'TR TUSD'!$N$73*'TR TUSD'!$N$95</f>
        <v>5.4888166406910122</v>
      </c>
      <c r="O73" s="20">
        <f>'TR TUSD'!$O$73*'TR TUSD'!$O$95</f>
        <v>0</v>
      </c>
      <c r="P73" s="20">
        <f>'TR TUSD'!$P$73*'TR TUSD'!$P$95</f>
        <v>0</v>
      </c>
      <c r="Q73" s="20">
        <f>'TR TUSD'!$Q$73*'TR TUSD'!$Q$95</f>
        <v>61.495406527525361</v>
      </c>
      <c r="R73" s="20">
        <f>'TR TUSD'!$R$73*'TR TUSD'!$R$95</f>
        <v>7.9721317603751451</v>
      </c>
      <c r="S73" s="20">
        <f>'TR TUSD'!$S$73*'TR TUSD'!$S$95</f>
        <v>0</v>
      </c>
      <c r="T73" s="20">
        <f ca="1">SUM($L$73:$S$73)</f>
        <v>75.37854227824495</v>
      </c>
      <c r="U73" s="20">
        <f>'TR TUSD'!$U$73*'TR TUSD'!$U$95</f>
        <v>126.25298563546478</v>
      </c>
      <c r="V73" s="20">
        <f>'TR TUSD'!$V$73*'TR TUSD'!$V$95</f>
        <v>32.084754311374738</v>
      </c>
      <c r="W73" s="20">
        <f>'TR TUSD'!$W$73*'TR TUSD'!$W$95</f>
        <v>4.2446652827967393</v>
      </c>
      <c r="X73" s="20">
        <f>'TR TUSD'!$X$73*'TR TUSD'!$X$95</f>
        <v>0</v>
      </c>
      <c r="Y73" s="20">
        <f>'TR TUSD'!$Y$73*'TR TUSD'!$Y$95</f>
        <v>0</v>
      </c>
      <c r="Z73" s="20">
        <f>'TR TUSD'!$Z$73</f>
        <v>0</v>
      </c>
      <c r="AA73" s="20">
        <f>'TR TUSD'!$AA$73</f>
        <v>0</v>
      </c>
      <c r="AB73" s="20">
        <f>SUM($U$73:$AA$73)</f>
        <v>162.58240522963627</v>
      </c>
      <c r="AC73" s="20">
        <f>'TR TUSD'!$AC$73*'TR TUSD'!$AC$95</f>
        <v>339.4521039807363</v>
      </c>
      <c r="AD73" s="20">
        <f>SUM($AC$73:$AC$73)</f>
        <v>339.4521039807363</v>
      </c>
      <c r="AE73" s="20">
        <v>0</v>
      </c>
      <c r="AF73" s="20">
        <v>0</v>
      </c>
      <c r="AG73" s="20">
        <f>SUM($AE$73:$AF$73)</f>
        <v>0</v>
      </c>
      <c r="AH73" s="20">
        <f>'TR TUSD'!$AH$73*'TR TUSD'!$AH$95</f>
        <v>24.491501950758238</v>
      </c>
      <c r="AI73" s="20">
        <f>'TR TUSD'!$AI$73*'TR TUSD'!$AI$95</f>
        <v>0.92059503661286801</v>
      </c>
      <c r="AJ73" s="20">
        <f ca="1">'TR TUSD'!$AJ$73*'TR TUSD'!$AJ$95</f>
        <v>11.536159305859742</v>
      </c>
      <c r="AK73" s="20">
        <f ca="1">'TR TUSD'!$AK$73*'TR TUSD'!$AK$95</f>
        <v>2.6623173992966622</v>
      </c>
      <c r="AL73" s="20">
        <f ca="1">SUM($AH$73:$AK$73)</f>
        <v>39.61057369252751</v>
      </c>
      <c r="AM73" s="20">
        <f ca="1">SUMIF($L$4:$AL$4,"SUBTOTAL",$L$73:$AL$73)</f>
        <v>617.02362518114501</v>
      </c>
      <c r="AP73" s="20">
        <f>IF((1 - CUSTOS!$M$30)&lt;&gt;0,1/(1 - CUSTOS!$M$30),1)</f>
        <v>1</v>
      </c>
    </row>
    <row r="74" spans="1:42" ht="11.25" customHeight="1" x14ac:dyDescent="0.25">
      <c r="A74" s="119"/>
      <c r="B74" s="119"/>
      <c r="C74" s="119"/>
      <c r="D74" s="119"/>
      <c r="E74" s="119"/>
      <c r="F74" s="119"/>
      <c r="G74" s="21" t="s">
        <v>100</v>
      </c>
      <c r="H74" s="21" t="s">
        <v>88</v>
      </c>
      <c r="I74" s="21">
        <f>'MERCADO TUSD'!$U$71</f>
        <v>0</v>
      </c>
      <c r="J74" s="17"/>
      <c r="L74" s="20">
        <f>'TR TUSD'!$L$74*'TR TUSD'!$L$95</f>
        <v>0</v>
      </c>
      <c r="M74" s="20">
        <f>'TR TUSD'!$M$74*'TR TUSD'!$M$95</f>
        <v>0.42218734965342558</v>
      </c>
      <c r="N74" s="20">
        <f ca="1">'TR TUSD'!$N$74*'TR TUSD'!$N$95</f>
        <v>3.6161904242724159</v>
      </c>
      <c r="O74" s="20">
        <f>'TR TUSD'!$O$74*'TR TUSD'!$O$95</f>
        <v>0</v>
      </c>
      <c r="P74" s="20">
        <f>'TR TUSD'!$P$74*'TR TUSD'!$P$95</f>
        <v>0</v>
      </c>
      <c r="Q74" s="20">
        <f>'TR TUSD'!$Q$74*'TR TUSD'!$Q$95</f>
        <v>61.495406527525361</v>
      </c>
      <c r="R74" s="20">
        <f>'TR TUSD'!$R$74*'TR TUSD'!$R$95</f>
        <v>7.9721317603751451</v>
      </c>
      <c r="S74" s="20">
        <f>'TR TUSD'!$S$74*'TR TUSD'!$S$95</f>
        <v>0</v>
      </c>
      <c r="T74" s="20">
        <f ca="1">SUM($L$74:$S$74)</f>
        <v>73.505916061826355</v>
      </c>
      <c r="U74" s="20">
        <f>'TR TUSD'!$U$74*'TR TUSD'!$U$95</f>
        <v>75.751539829944903</v>
      </c>
      <c r="V74" s="20">
        <f>'TR TUSD'!$V$74*'TR TUSD'!$V$95</f>
        <v>19.250675711430691</v>
      </c>
      <c r="W74" s="20">
        <f>'TR TUSD'!$W$74*'TR TUSD'!$W$95</f>
        <v>2.5467991696780437</v>
      </c>
      <c r="X74" s="20">
        <f>'TR TUSD'!$X$74*'TR TUSD'!$X$95</f>
        <v>0</v>
      </c>
      <c r="Y74" s="20">
        <f>'TR TUSD'!$Y$74*'TR TUSD'!$Y$95</f>
        <v>0</v>
      </c>
      <c r="Z74" s="20">
        <f>'TR TUSD'!$Z$74</f>
        <v>0</v>
      </c>
      <c r="AA74" s="20">
        <f>'TR TUSD'!$AA$74</f>
        <v>0</v>
      </c>
      <c r="AB74" s="20">
        <f>SUM($U$74:$AA$74)</f>
        <v>97.54901471105363</v>
      </c>
      <c r="AC74" s="20">
        <f>'TR TUSD'!$AC$74*'TR TUSD'!$AC$95</f>
        <v>203.6712394156003</v>
      </c>
      <c r="AD74" s="20">
        <f>SUM($AC$74:$AC$74)</f>
        <v>203.6712394156003</v>
      </c>
      <c r="AE74" s="20">
        <v>0</v>
      </c>
      <c r="AF74" s="20">
        <v>0</v>
      </c>
      <c r="AG74" s="20">
        <f>SUM($AE$74:$AF$74)</f>
        <v>0</v>
      </c>
      <c r="AH74" s="20">
        <f>'TR TUSD'!$AH$74*'TR TUSD'!$AH$95</f>
        <v>24.491501950758238</v>
      </c>
      <c r="AI74" s="20">
        <f>'TR TUSD'!$AI$74*'TR TUSD'!$AI$95</f>
        <v>0.92059503661286801</v>
      </c>
      <c r="AJ74" s="20">
        <f ca="1">'TR TUSD'!$AJ$74*'TR TUSD'!$AJ$95</f>
        <v>11.536159305859742</v>
      </c>
      <c r="AK74" s="20">
        <f ca="1">'TR TUSD'!$AK$74*'TR TUSD'!$AK$95</f>
        <v>2.6623173992966622</v>
      </c>
      <c r="AL74" s="20">
        <f ca="1">SUM($AH$74:$AK$74)</f>
        <v>39.61057369252751</v>
      </c>
      <c r="AM74" s="20">
        <f ca="1">SUMIF($L$4:$AL$4,"SUBTOTAL",$L$74:$AL$74)</f>
        <v>414.33674388100781</v>
      </c>
      <c r="AP74" s="20">
        <f>IF((1 - CUSTOS!$M$30)&lt;&gt;0,1/(1 - CUSTOS!$M$30),1)</f>
        <v>1</v>
      </c>
    </row>
    <row r="75" spans="1:42" ht="11.25" customHeight="1" x14ac:dyDescent="0.25">
      <c r="A75" s="119"/>
      <c r="B75" s="119"/>
      <c r="C75" s="119"/>
      <c r="D75" s="119"/>
      <c r="E75" s="119"/>
      <c r="F75" s="119"/>
      <c r="G75" s="21" t="s">
        <v>90</v>
      </c>
      <c r="H75" s="21" t="s">
        <v>88</v>
      </c>
      <c r="I75" s="21">
        <f>'MERCADO TUSD'!$U$72</f>
        <v>0</v>
      </c>
      <c r="J75" s="17"/>
      <c r="L75" s="20">
        <f>'TR TUSD'!$L$75*'TR TUSD'!$L$95</f>
        <v>0</v>
      </c>
      <c r="M75" s="20">
        <f>'TR TUSD'!$M$75*'TR TUSD'!$M$95</f>
        <v>0.42218734965342558</v>
      </c>
      <c r="N75" s="20">
        <f ca="1">'TR TUSD'!$N$75*'TR TUSD'!$N$95</f>
        <v>1.7435671015651424</v>
      </c>
      <c r="O75" s="20">
        <f>'TR TUSD'!$O$75*'TR TUSD'!$O$95</f>
        <v>0</v>
      </c>
      <c r="P75" s="20">
        <f>'TR TUSD'!$P$75*'TR TUSD'!$P$95</f>
        <v>0</v>
      </c>
      <c r="Q75" s="20">
        <f>'TR TUSD'!$Q$75*'TR TUSD'!$Q$95</f>
        <v>61.495406527525361</v>
      </c>
      <c r="R75" s="20">
        <f>'TR TUSD'!$R$75*'TR TUSD'!$R$95</f>
        <v>7.9721317603751451</v>
      </c>
      <c r="S75" s="20">
        <f>'TR TUSD'!$S$75*'TR TUSD'!$S$95</f>
        <v>0</v>
      </c>
      <c r="T75" s="20">
        <f ca="1">SUM($L$75:$S$75)</f>
        <v>71.633292739119071</v>
      </c>
      <c r="U75" s="20">
        <f>'TR TUSD'!$U$75*'TR TUSD'!$U$95</f>
        <v>25.250722902759932</v>
      </c>
      <c r="V75" s="20">
        <f>'TR TUSD'!$V$75*'TR TUSD'!$V$95</f>
        <v>6.4170392999720267</v>
      </c>
      <c r="W75" s="20">
        <f>'TR TUSD'!$W$75*'TR TUSD'!$W$95</f>
        <v>0.84893305655934792</v>
      </c>
      <c r="X75" s="20">
        <f>'TR TUSD'!$X$75*'TR TUSD'!$X$95</f>
        <v>0</v>
      </c>
      <c r="Y75" s="20">
        <f>'TR TUSD'!$Y$75*'TR TUSD'!$Y$95</f>
        <v>0</v>
      </c>
      <c r="Z75" s="20">
        <f>'TR TUSD'!$Z$75</f>
        <v>0</v>
      </c>
      <c r="AA75" s="20">
        <f>'TR TUSD'!$AA$75</f>
        <v>0</v>
      </c>
      <c r="AB75" s="20">
        <f>SUM($U$75:$AA$75)</f>
        <v>32.516695259291303</v>
      </c>
      <c r="AC75" s="20">
        <f>'TR TUSD'!$AC$75*'TR TUSD'!$AC$95</f>
        <v>67.89037485046434</v>
      </c>
      <c r="AD75" s="20">
        <f>SUM($AC$75:$AC$75)</f>
        <v>67.89037485046434</v>
      </c>
      <c r="AE75" s="20">
        <v>0</v>
      </c>
      <c r="AF75" s="20">
        <v>0</v>
      </c>
      <c r="AG75" s="20">
        <f>SUM($AE$75:$AF$75)</f>
        <v>0</v>
      </c>
      <c r="AH75" s="20">
        <f>'TR TUSD'!$AH$75*'TR TUSD'!$AH$95</f>
        <v>24.491501950758238</v>
      </c>
      <c r="AI75" s="20">
        <f>'TR TUSD'!$AI$75*'TR TUSD'!$AI$95</f>
        <v>0.92059503661286801</v>
      </c>
      <c r="AJ75" s="20">
        <f ca="1">'TR TUSD'!$AJ$75*'TR TUSD'!$AJ$95</f>
        <v>11.536159305859742</v>
      </c>
      <c r="AK75" s="20">
        <f ca="1">'TR TUSD'!$AK$75*'TR TUSD'!$AK$95</f>
        <v>2.6623173992966622</v>
      </c>
      <c r="AL75" s="20">
        <f ca="1">SUM($AH$75:$AK$75)</f>
        <v>39.61057369252751</v>
      </c>
      <c r="AM75" s="20">
        <f ca="1">SUMIF($L$4:$AL$4,"SUBTOTAL",$L$75:$AL$75)</f>
        <v>211.65093654140225</v>
      </c>
      <c r="AP75" s="20">
        <f>IF((1 - CUSTOS!$M$30)&lt;&gt;0,1/(1 - CUSTOS!$M$30),1)</f>
        <v>1</v>
      </c>
    </row>
    <row r="76" spans="1:42" ht="11.25" customHeight="1" x14ac:dyDescent="0.25">
      <c r="A76" s="119"/>
      <c r="B76" s="22" t="s">
        <v>23</v>
      </c>
      <c r="C76" s="22" t="s">
        <v>47</v>
      </c>
      <c r="D76" s="22" t="s">
        <v>104</v>
      </c>
      <c r="E76" s="22" t="s">
        <v>25</v>
      </c>
      <c r="F76" s="22" t="s">
        <v>25</v>
      </c>
      <c r="G76" s="21" t="s">
        <v>94</v>
      </c>
      <c r="H76" s="21" t="s">
        <v>88</v>
      </c>
      <c r="I76" s="21">
        <f>'MERCADO TUSD'!$U$73</f>
        <v>0</v>
      </c>
      <c r="J76" s="17"/>
      <c r="L76" s="20">
        <f>'TR TUSD'!$L$76*'TR TUSD'!$L$95</f>
        <v>0</v>
      </c>
      <c r="M76" s="20">
        <f>'TR TUSD'!$M$76*'TR TUSD'!$M$95</f>
        <v>0.42218734965342558</v>
      </c>
      <c r="N76" s="20">
        <f ca="1">'TR TUSD'!$N$76*'TR TUSD'!$N$95</f>
        <v>2.2702428180047174</v>
      </c>
      <c r="O76" s="20">
        <f>'TR TUSD'!$O$76*'TR TUSD'!$O$95</f>
        <v>0</v>
      </c>
      <c r="P76" s="20">
        <f>'TR TUSD'!$P$76*'TR TUSD'!$P$95</f>
        <v>0</v>
      </c>
      <c r="Q76" s="20">
        <f>'TR TUSD'!$Q$76*'TR TUSD'!$Q$95</f>
        <v>61.495406527525361</v>
      </c>
      <c r="R76" s="20">
        <f>'TR TUSD'!$R$76*'TR TUSD'!$R$95</f>
        <v>7.9721317603751451</v>
      </c>
      <c r="S76" s="20">
        <f>'TR TUSD'!$S$76*'TR TUSD'!$S$95</f>
        <v>0</v>
      </c>
      <c r="T76" s="20">
        <f ca="1">SUM($L$76:$S$76)</f>
        <v>72.159968455558655</v>
      </c>
      <c r="U76" s="20">
        <f>'TR TUSD'!$U$76*'TR TUSD'!$U$95</f>
        <v>39.453940096394945</v>
      </c>
      <c r="V76" s="20">
        <f>'TR TUSD'!$V$76*'TR TUSD'!$V$95</f>
        <v>10.026623906206291</v>
      </c>
      <c r="W76" s="20">
        <f>'TR TUSD'!$W$76*'TR TUSD'!$W$95</f>
        <v>1.3261968972111247</v>
      </c>
      <c r="X76" s="20">
        <f>'TR TUSD'!$X$76*'TR TUSD'!$X$95</f>
        <v>0</v>
      </c>
      <c r="Y76" s="20">
        <f>'TR TUSD'!$Y$76*'TR TUSD'!$Y$95</f>
        <v>0</v>
      </c>
      <c r="Z76" s="20">
        <f>'TR TUSD'!$Z$76</f>
        <v>0</v>
      </c>
      <c r="AA76" s="20">
        <f>'TR TUSD'!$AA$76</f>
        <v>0</v>
      </c>
      <c r="AB76" s="20">
        <f>SUM($U$76:$AA$76)</f>
        <v>50.80676089981236</v>
      </c>
      <c r="AC76" s="20">
        <f>'TR TUSD'!$AC$76*'TR TUSD'!$AC$95</f>
        <v>106.07881838904487</v>
      </c>
      <c r="AD76" s="20">
        <f>SUM($AC$76:$AC$76)</f>
        <v>106.07881838904487</v>
      </c>
      <c r="AE76" s="20">
        <v>0</v>
      </c>
      <c r="AF76" s="20">
        <v>0</v>
      </c>
      <c r="AG76" s="20">
        <f>SUM($AE$76:$AF$76)</f>
        <v>0</v>
      </c>
      <c r="AH76" s="20">
        <f>'TR TUSD'!$AH$76*'TR TUSD'!$AH$95</f>
        <v>24.491501950758238</v>
      </c>
      <c r="AI76" s="20">
        <f>'TR TUSD'!$AI$76*'TR TUSD'!$AI$95</f>
        <v>0.92059503661286801</v>
      </c>
      <c r="AJ76" s="20">
        <f ca="1">'TR TUSD'!$AJ$76*'TR TUSD'!$AJ$95</f>
        <v>11.536159305859742</v>
      </c>
      <c r="AK76" s="20">
        <f ca="1">'TR TUSD'!$AK$76*'TR TUSD'!$AK$95</f>
        <v>2.6623173992966622</v>
      </c>
      <c r="AL76" s="20">
        <f ca="1">SUM($AH$76:$AK$76)</f>
        <v>39.61057369252751</v>
      </c>
      <c r="AM76" s="20">
        <f ca="1">SUMIF($L$4:$AL$4,"SUBTOTAL",$L$76:$AL$76)</f>
        <v>268.65612143694341</v>
      </c>
      <c r="AP76" s="20">
        <f>IF((1 - CUSTOS!$M$30)&lt;&gt;0,1/(1 - CUSTOS!$M$30),1)</f>
        <v>1</v>
      </c>
    </row>
    <row r="77" spans="1:42" ht="11.25" customHeight="1" x14ac:dyDescent="0.25">
      <c r="A77" s="119"/>
      <c r="B77" s="119" t="s">
        <v>102</v>
      </c>
      <c r="C77" s="119" t="s">
        <v>47</v>
      </c>
      <c r="D77" s="22" t="s">
        <v>25</v>
      </c>
      <c r="E77" s="22" t="s">
        <v>25</v>
      </c>
      <c r="F77" s="22" t="s">
        <v>25</v>
      </c>
      <c r="G77" s="21" t="s">
        <v>94</v>
      </c>
      <c r="H77" s="21" t="s">
        <v>88</v>
      </c>
      <c r="I77" s="21">
        <f>'MERCADO TUSD'!$U$74</f>
        <v>0</v>
      </c>
      <c r="J77" s="17"/>
      <c r="L77" s="20">
        <f>'TR TUSD'!$L$77*'TR TUSD'!$L$95</f>
        <v>0</v>
      </c>
      <c r="M77" s="20">
        <f>'TR TUSD'!$M$77*'TR TUSD'!$M$95</f>
        <v>0.42218734965342558</v>
      </c>
      <c r="N77" s="20">
        <f ca="1">'TR TUSD'!$N$77*'TR TUSD'!$N$95</f>
        <v>2.2702428180047174</v>
      </c>
      <c r="O77" s="20">
        <f>'TR TUSD'!$O$77*'TR TUSD'!$O$95</f>
        <v>0</v>
      </c>
      <c r="P77" s="20">
        <f>'TR TUSD'!$P$77*'TR TUSD'!$P$95</f>
        <v>0</v>
      </c>
      <c r="Q77" s="20">
        <f>'TR TUSD'!$Q$77*'TR TUSD'!$Q$95</f>
        <v>61.495406527525361</v>
      </c>
      <c r="R77" s="20">
        <f>'TR TUSD'!$R$77*'TR TUSD'!$R$95</f>
        <v>7.9721317603751451</v>
      </c>
      <c r="S77" s="20">
        <f>'TR TUSD'!$S$77*'TR TUSD'!$S$95</f>
        <v>0</v>
      </c>
      <c r="T77" s="20">
        <f ca="1">SUM($L$77:$S$77)</f>
        <v>72.159968455558655</v>
      </c>
      <c r="U77" s="20">
        <f>'TR TUSD'!$U$77*'TR TUSD'!$U$95</f>
        <v>39.453940096394945</v>
      </c>
      <c r="V77" s="20">
        <f>'TR TUSD'!$V$77*'TR TUSD'!$V$95</f>
        <v>10.026623906206291</v>
      </c>
      <c r="W77" s="20">
        <f>'TR TUSD'!$W$77*'TR TUSD'!$W$95</f>
        <v>1.3261968972111247</v>
      </c>
      <c r="X77" s="20">
        <f>'TR TUSD'!$X$77*'TR TUSD'!$X$95</f>
        <v>0</v>
      </c>
      <c r="Y77" s="20">
        <f>'TR TUSD'!$Y$77*'TR TUSD'!$Y$95</f>
        <v>0</v>
      </c>
      <c r="Z77" s="20">
        <f>'TR TUSD'!$Z$77</f>
        <v>0</v>
      </c>
      <c r="AA77" s="20">
        <f>'TR TUSD'!$AA$77</f>
        <v>0</v>
      </c>
      <c r="AB77" s="20">
        <f>SUM($U$77:$AA$77)</f>
        <v>50.80676089981236</v>
      </c>
      <c r="AC77" s="20">
        <f>'TR TUSD'!$AC$77*'TR TUSD'!$AC$95</f>
        <v>106.07881838904487</v>
      </c>
      <c r="AD77" s="20">
        <f>SUM($AC$77:$AC$77)</f>
        <v>106.07881838904487</v>
      </c>
      <c r="AE77" s="20">
        <v>0</v>
      </c>
      <c r="AF77" s="20">
        <v>0</v>
      </c>
      <c r="AG77" s="20">
        <f>SUM($AE$77:$AF$77)</f>
        <v>0</v>
      </c>
      <c r="AH77" s="20">
        <f>'TR TUSD'!$AH$77*'TR TUSD'!$AH$95</f>
        <v>24.491501950758238</v>
      </c>
      <c r="AI77" s="20">
        <f>'TR TUSD'!$AI$77*'TR TUSD'!$AI$95</f>
        <v>0.92059503661286801</v>
      </c>
      <c r="AJ77" s="20">
        <f ca="1">'TR TUSD'!$AJ$77*'TR TUSD'!$AJ$95</f>
        <v>11.536159305859742</v>
      </c>
      <c r="AK77" s="20">
        <f ca="1">'TR TUSD'!$AK$77*'TR TUSD'!$AK$95</f>
        <v>2.6623173992966622</v>
      </c>
      <c r="AL77" s="20">
        <f ca="1">SUM($AH$77:$AK$77)</f>
        <v>39.61057369252751</v>
      </c>
      <c r="AM77" s="20">
        <f ca="1">SUMIF($L$4:$AL$4,"SUBTOTAL",$L$77:$AL$77)</f>
        <v>268.65612143694341</v>
      </c>
      <c r="AP77" s="20">
        <f>IF((1 - CUSTOS!$M$28)&lt;&gt;0,1/(1 - CUSTOS!$M$28),1)</f>
        <v>1</v>
      </c>
    </row>
    <row r="78" spans="1:42" ht="11.25" customHeight="1" x14ac:dyDescent="0.25">
      <c r="A78" s="119"/>
      <c r="B78" s="119"/>
      <c r="C78" s="119"/>
      <c r="D78" s="22" t="s">
        <v>103</v>
      </c>
      <c r="E78" s="22" t="s">
        <v>25</v>
      </c>
      <c r="F78" s="22" t="s">
        <v>25</v>
      </c>
      <c r="G78" s="21" t="s">
        <v>94</v>
      </c>
      <c r="H78" s="21" t="s">
        <v>88</v>
      </c>
      <c r="I78" s="21">
        <f>'MERCADO TUSD'!$U$75</f>
        <v>0</v>
      </c>
      <c r="J78" s="17"/>
      <c r="L78" s="20">
        <f>'TR TUSD'!$L$78*'TR TUSD'!$L$95</f>
        <v>0</v>
      </c>
      <c r="M78" s="20">
        <f>'TR TUSD'!$M$78*'TR TUSD'!$M$95</f>
        <v>0.42218734965342558</v>
      </c>
      <c r="N78" s="20">
        <f ca="1">'TR TUSD'!$N$78*'TR TUSD'!$N$95</f>
        <v>2.2702428180047174</v>
      </c>
      <c r="O78" s="20">
        <f>'TR TUSD'!$O$78*'TR TUSD'!$O$95</f>
        <v>0</v>
      </c>
      <c r="P78" s="20">
        <f>'TR TUSD'!$P$78*'TR TUSD'!$P$95</f>
        <v>0</v>
      </c>
      <c r="Q78" s="20">
        <f>'TR TUSD'!$Q$78*'TR TUSD'!$Q$95</f>
        <v>61.495406527525361</v>
      </c>
      <c r="R78" s="20">
        <f>'TR TUSD'!$R$78*'TR TUSD'!$R$95</f>
        <v>7.9721317603751451</v>
      </c>
      <c r="S78" s="20">
        <f>'TR TUSD'!$S$78*'TR TUSD'!$S$95</f>
        <v>0</v>
      </c>
      <c r="T78" s="20">
        <f ca="1">SUM($L$78:$S$78)</f>
        <v>72.159968455558655</v>
      </c>
      <c r="U78" s="20">
        <f>'TR TUSD'!$U$78*'TR TUSD'!$U$95</f>
        <v>39.453940096394945</v>
      </c>
      <c r="V78" s="20">
        <f>'TR TUSD'!$V$78*'TR TUSD'!$V$95</f>
        <v>10.026623906206291</v>
      </c>
      <c r="W78" s="20">
        <f>'TR TUSD'!$W$78*'TR TUSD'!$W$95</f>
        <v>1.3261968972111247</v>
      </c>
      <c r="X78" s="20">
        <f>'TR TUSD'!$X$78*'TR TUSD'!$X$95</f>
        <v>0</v>
      </c>
      <c r="Y78" s="20">
        <f>'TR TUSD'!$Y$78*'TR TUSD'!$Y$95</f>
        <v>0</v>
      </c>
      <c r="Z78" s="20">
        <f>'TR TUSD'!$Z$78</f>
        <v>0</v>
      </c>
      <c r="AA78" s="20">
        <f>'TR TUSD'!$AA$78</f>
        <v>0</v>
      </c>
      <c r="AB78" s="20">
        <f>SUM($U$78:$AA$78)</f>
        <v>50.80676089981236</v>
      </c>
      <c r="AC78" s="20">
        <f>'TR TUSD'!$AC$78*'TR TUSD'!$AC$95</f>
        <v>106.07881838904487</v>
      </c>
      <c r="AD78" s="20">
        <f>SUM($AC$78:$AC$78)</f>
        <v>106.07881838904487</v>
      </c>
      <c r="AE78" s="20">
        <v>0</v>
      </c>
      <c r="AF78" s="20">
        <v>0</v>
      </c>
      <c r="AG78" s="20">
        <f>SUM($AE$78:$AF$78)</f>
        <v>0</v>
      </c>
      <c r="AH78" s="20">
        <f>'TR TUSD'!$AH$78*'TR TUSD'!$AH$95</f>
        <v>24.491501950758238</v>
      </c>
      <c r="AI78" s="20">
        <f>'TR TUSD'!$AI$78*'TR TUSD'!$AI$95</f>
        <v>0.92059503661286801</v>
      </c>
      <c r="AJ78" s="20">
        <f ca="1">'TR TUSD'!$AJ$78*'TR TUSD'!$AJ$95</f>
        <v>11.536159305859742</v>
      </c>
      <c r="AK78" s="20">
        <f ca="1">'TR TUSD'!$AK$78*'TR TUSD'!$AK$95</f>
        <v>2.6623173992966622</v>
      </c>
      <c r="AL78" s="20">
        <f ca="1">SUM($AH$78:$AK$78)</f>
        <v>39.61057369252751</v>
      </c>
      <c r="AM78" s="20">
        <f ca="1">SUMIF($L$4:$AL$4,"SUBTOTAL",$L$78:$AL$78)</f>
        <v>268.65612143694341</v>
      </c>
      <c r="AP78" s="20">
        <f>IF((1 - CUSTOS!$M$29)&lt;&gt;0,1/(1 - CUSTOS!$M$29),1)</f>
        <v>1</v>
      </c>
    </row>
    <row r="79" spans="1:42" ht="11.25" customHeight="1" x14ac:dyDescent="0.25">
      <c r="A79" s="119"/>
      <c r="B79" s="119"/>
      <c r="C79" s="119"/>
      <c r="D79" s="22" t="s">
        <v>104</v>
      </c>
      <c r="E79" s="22" t="s">
        <v>25</v>
      </c>
      <c r="F79" s="22" t="s">
        <v>25</v>
      </c>
      <c r="G79" s="21" t="s">
        <v>94</v>
      </c>
      <c r="H79" s="21" t="s">
        <v>88</v>
      </c>
      <c r="I79" s="21">
        <f>'MERCADO TUSD'!$U$76</f>
        <v>0</v>
      </c>
      <c r="J79" s="17"/>
      <c r="L79" s="20">
        <f>'TR TUSD'!$L$79*'TR TUSD'!$L$95</f>
        <v>0</v>
      </c>
      <c r="M79" s="20">
        <f>'TR TUSD'!$M$79*'TR TUSD'!$M$95</f>
        <v>0.42218734965342558</v>
      </c>
      <c r="N79" s="20">
        <f ca="1">'TR TUSD'!$N$79*'TR TUSD'!$N$95</f>
        <v>2.2702428180047174</v>
      </c>
      <c r="O79" s="20">
        <f>'TR TUSD'!$O$79*'TR TUSD'!$O$95</f>
        <v>0</v>
      </c>
      <c r="P79" s="20">
        <f>'TR TUSD'!$P$79*'TR TUSD'!$P$95</f>
        <v>0</v>
      </c>
      <c r="Q79" s="20">
        <f>'TR TUSD'!$Q$79*'TR TUSD'!$Q$95</f>
        <v>61.495406527525361</v>
      </c>
      <c r="R79" s="20">
        <f>'TR TUSD'!$R$79*'TR TUSD'!$R$95</f>
        <v>7.9721317603751451</v>
      </c>
      <c r="S79" s="20">
        <f>'TR TUSD'!$S$79*'TR TUSD'!$S$95</f>
        <v>0</v>
      </c>
      <c r="T79" s="20">
        <f ca="1">SUM($L$79:$S$79)</f>
        <v>72.159968455558655</v>
      </c>
      <c r="U79" s="20">
        <f>'TR TUSD'!$U$79*'TR TUSD'!$U$95</f>
        <v>39.453940096394945</v>
      </c>
      <c r="V79" s="20">
        <f>'TR TUSD'!$V$79*'TR TUSD'!$V$95</f>
        <v>10.026623906206291</v>
      </c>
      <c r="W79" s="20">
        <f>'TR TUSD'!$W$79*'TR TUSD'!$W$95</f>
        <v>1.3261968972111247</v>
      </c>
      <c r="X79" s="20">
        <f>'TR TUSD'!$X$79*'TR TUSD'!$X$95</f>
        <v>0</v>
      </c>
      <c r="Y79" s="20">
        <f>'TR TUSD'!$Y$79*'TR TUSD'!$Y$95</f>
        <v>0</v>
      </c>
      <c r="Z79" s="20">
        <f>'TR TUSD'!$Z$79</f>
        <v>0</v>
      </c>
      <c r="AA79" s="20">
        <f>'TR TUSD'!$AA$79</f>
        <v>0</v>
      </c>
      <c r="AB79" s="20">
        <f>SUM($U$79:$AA$79)</f>
        <v>50.80676089981236</v>
      </c>
      <c r="AC79" s="20">
        <f>'TR TUSD'!$AC$79*'TR TUSD'!$AC$95</f>
        <v>106.07881838904487</v>
      </c>
      <c r="AD79" s="20">
        <f>SUM($AC$79:$AC$79)</f>
        <v>106.07881838904487</v>
      </c>
      <c r="AE79" s="20">
        <v>0</v>
      </c>
      <c r="AF79" s="20">
        <v>0</v>
      </c>
      <c r="AG79" s="20">
        <f>SUM($AE$79:$AF$79)</f>
        <v>0</v>
      </c>
      <c r="AH79" s="20">
        <f>'TR TUSD'!$AH$79*'TR TUSD'!$AH$95</f>
        <v>24.491501950758238</v>
      </c>
      <c r="AI79" s="20">
        <f>'TR TUSD'!$AI$79*'TR TUSD'!$AI$95</f>
        <v>0.92059503661286801</v>
      </c>
      <c r="AJ79" s="20">
        <f ca="1">'TR TUSD'!$AJ$79*'TR TUSD'!$AJ$95</f>
        <v>11.536159305859742</v>
      </c>
      <c r="AK79" s="20">
        <f ca="1">'TR TUSD'!$AK$79*'TR TUSD'!$AK$95</f>
        <v>2.6623173992966622</v>
      </c>
      <c r="AL79" s="20">
        <f ca="1">SUM($AH$79:$AK$79)</f>
        <v>39.61057369252751</v>
      </c>
      <c r="AM79" s="20">
        <f ca="1">SUMIF($L$4:$AL$4,"SUBTOTAL",$L$79:$AL$79)</f>
        <v>268.65612143694341</v>
      </c>
      <c r="AP79" s="20">
        <f>IF((1 - CUSTOS!$M$30)&lt;&gt;0,1/(1 - CUSTOS!$M$30),1)</f>
        <v>1</v>
      </c>
    </row>
    <row r="80" spans="1:42" ht="11.25" customHeight="1" x14ac:dyDescent="0.25">
      <c r="A80" s="119" t="s">
        <v>39</v>
      </c>
      <c r="B80" s="119" t="s">
        <v>37</v>
      </c>
      <c r="C80" s="119" t="s">
        <v>25</v>
      </c>
      <c r="D80" s="119" t="s">
        <v>25</v>
      </c>
      <c r="E80" s="119" t="s">
        <v>25</v>
      </c>
      <c r="F80" s="119" t="s">
        <v>25</v>
      </c>
      <c r="G80" s="21" t="s">
        <v>89</v>
      </c>
      <c r="H80" s="21" t="s">
        <v>88</v>
      </c>
      <c r="I80" s="21">
        <f>'MERCADO TUSD'!$U$77</f>
        <v>133.67100000000025</v>
      </c>
      <c r="J80" s="17"/>
      <c r="L80" s="20">
        <f>'TR TUSD'!$L$80*'TR TUSD'!$L$95</f>
        <v>0</v>
      </c>
      <c r="M80" s="20">
        <f>'TR TUSD'!$M$80*'TR TUSD'!$M$95</f>
        <v>0.42218734965342558</v>
      </c>
      <c r="N80" s="20">
        <f ca="1">'TR TUSD'!$N$80*'TR TUSD'!$N$95</f>
        <v>5.4888166406910122</v>
      </c>
      <c r="O80" s="20">
        <f>'TR TUSD'!$O$80*'TR TUSD'!$O$95</f>
        <v>0</v>
      </c>
      <c r="P80" s="20">
        <f>'TR TUSD'!$P$80*'TR TUSD'!$P$95</f>
        <v>0</v>
      </c>
      <c r="Q80" s="20">
        <f>'TR TUSD'!$Q$80*'TR TUSD'!$Q$95</f>
        <v>61.495406527525361</v>
      </c>
      <c r="R80" s="20">
        <f>'TR TUSD'!$R$80*'TR TUSD'!$R$95</f>
        <v>7.9721317603751451</v>
      </c>
      <c r="S80" s="20">
        <f>'TR TUSD'!$S$80*'TR TUSD'!$S$95</f>
        <v>0</v>
      </c>
      <c r="T80" s="20">
        <f ca="1">SUM($L$80:$S$80)</f>
        <v>75.37854227824495</v>
      </c>
      <c r="U80" s="20">
        <f>'TR TUSD'!$U$80*'TR TUSD'!$U$95</f>
        <v>126.25298563546478</v>
      </c>
      <c r="V80" s="20">
        <f>'TR TUSD'!$V$80*'TR TUSD'!$V$95</f>
        <v>32.084754311374738</v>
      </c>
      <c r="W80" s="20">
        <f>'TR TUSD'!$W$80*'TR TUSD'!$W$95</f>
        <v>4.2446652827967393</v>
      </c>
      <c r="X80" s="20">
        <f>'TR TUSD'!$X$80*'TR TUSD'!$X$95</f>
        <v>0</v>
      </c>
      <c r="Y80" s="20">
        <f>'TR TUSD'!$Y$80*'TR TUSD'!$Y$95</f>
        <v>0</v>
      </c>
      <c r="Z80" s="20">
        <f>'TR TUSD'!$Z$80</f>
        <v>0</v>
      </c>
      <c r="AA80" s="20">
        <f>'TR TUSD'!$AA$80</f>
        <v>0</v>
      </c>
      <c r="AB80" s="20">
        <f>SUM($U$80:$AA$80)</f>
        <v>162.58240522963627</v>
      </c>
      <c r="AC80" s="20">
        <f>'TR TUSD'!$AC$80*'TR TUSD'!$AC$95</f>
        <v>339.4521039807363</v>
      </c>
      <c r="AD80" s="20">
        <f>SUM($AC$80:$AC$80)</f>
        <v>339.4521039807363</v>
      </c>
      <c r="AE80" s="20">
        <v>0</v>
      </c>
      <c r="AF80" s="20">
        <v>0</v>
      </c>
      <c r="AG80" s="20">
        <f>SUM($AE$80:$AF$80)</f>
        <v>0</v>
      </c>
      <c r="AH80" s="20">
        <f>'TR TUSD'!$AH$80*'TR TUSD'!$AH$95</f>
        <v>24.491501950758238</v>
      </c>
      <c r="AI80" s="20">
        <f>'TR TUSD'!$AI$80*'TR TUSD'!$AI$95</f>
        <v>0.92059503661286801</v>
      </c>
      <c r="AJ80" s="20">
        <f ca="1">'TR TUSD'!$AJ$80*'TR TUSD'!$AJ$95</f>
        <v>11.536159305859742</v>
      </c>
      <c r="AK80" s="20">
        <f ca="1">'TR TUSD'!$AK$80*'TR TUSD'!$AK$95</f>
        <v>2.6623173992966622</v>
      </c>
      <c r="AL80" s="20">
        <f ca="1">SUM($AH$80:$AK$80)</f>
        <v>39.61057369252751</v>
      </c>
      <c r="AM80" s="20">
        <f ca="1">SUMIF($L$4:$AL$4,"SUBTOTAL",$L$80:$AL$80)</f>
        <v>617.02362518114501</v>
      </c>
      <c r="AP80" s="20">
        <f>IF((1 - CUSTOS!$M$31)&lt;&gt;0,1/(1 - CUSTOS!$M$31),1)</f>
        <v>1</v>
      </c>
    </row>
    <row r="81" spans="1:42" ht="11.25" customHeight="1" x14ac:dyDescent="0.25">
      <c r="A81" s="119"/>
      <c r="B81" s="119"/>
      <c r="C81" s="119"/>
      <c r="D81" s="119"/>
      <c r="E81" s="119"/>
      <c r="F81" s="119"/>
      <c r="G81" s="21" t="s">
        <v>100</v>
      </c>
      <c r="H81" s="21" t="s">
        <v>88</v>
      </c>
      <c r="I81" s="21">
        <f>'MERCADO TUSD'!$U$78</f>
        <v>52.353999999999928</v>
      </c>
      <c r="J81" s="17"/>
      <c r="L81" s="20">
        <f>'TR TUSD'!$L$81*'TR TUSD'!$L$95</f>
        <v>0</v>
      </c>
      <c r="M81" s="20">
        <f>'TR TUSD'!$M$81*'TR TUSD'!$M$95</f>
        <v>0.42218734965342558</v>
      </c>
      <c r="N81" s="20">
        <f ca="1">'TR TUSD'!$N$81*'TR TUSD'!$N$95</f>
        <v>3.6161904242724159</v>
      </c>
      <c r="O81" s="20">
        <f>'TR TUSD'!$O$81*'TR TUSD'!$O$95</f>
        <v>0</v>
      </c>
      <c r="P81" s="20">
        <f>'TR TUSD'!$P$81*'TR TUSD'!$P$95</f>
        <v>0</v>
      </c>
      <c r="Q81" s="20">
        <f>'TR TUSD'!$Q$81*'TR TUSD'!$Q$95</f>
        <v>61.495406527525361</v>
      </c>
      <c r="R81" s="20">
        <f>'TR TUSD'!$R$81*'TR TUSD'!$R$95</f>
        <v>7.9721317603751451</v>
      </c>
      <c r="S81" s="20">
        <f>'TR TUSD'!$S$81*'TR TUSD'!$S$95</f>
        <v>0</v>
      </c>
      <c r="T81" s="20">
        <f ca="1">SUM($L$81:$S$81)</f>
        <v>73.505916061826355</v>
      </c>
      <c r="U81" s="20">
        <f>'TR TUSD'!$U$81*'TR TUSD'!$U$95</f>
        <v>75.751539829944903</v>
      </c>
      <c r="V81" s="20">
        <f>'TR TUSD'!$V$81*'TR TUSD'!$V$95</f>
        <v>19.250675711430691</v>
      </c>
      <c r="W81" s="20">
        <f>'TR TUSD'!$W$81*'TR TUSD'!$W$95</f>
        <v>2.5467991696780437</v>
      </c>
      <c r="X81" s="20">
        <f>'TR TUSD'!$X$81*'TR TUSD'!$X$95</f>
        <v>0</v>
      </c>
      <c r="Y81" s="20">
        <f>'TR TUSD'!$Y$81*'TR TUSD'!$Y$95</f>
        <v>0</v>
      </c>
      <c r="Z81" s="20">
        <f>'TR TUSD'!$Z$81</f>
        <v>0</v>
      </c>
      <c r="AA81" s="20">
        <f>'TR TUSD'!$AA$81</f>
        <v>0</v>
      </c>
      <c r="AB81" s="20">
        <f>SUM($U$81:$AA$81)</f>
        <v>97.54901471105363</v>
      </c>
      <c r="AC81" s="20">
        <f>'TR TUSD'!$AC$81*'TR TUSD'!$AC$95</f>
        <v>203.6712394156003</v>
      </c>
      <c r="AD81" s="20">
        <f>SUM($AC$81:$AC$81)</f>
        <v>203.6712394156003</v>
      </c>
      <c r="AE81" s="20">
        <v>0</v>
      </c>
      <c r="AF81" s="20">
        <v>0</v>
      </c>
      <c r="AG81" s="20">
        <f>SUM($AE$81:$AF$81)</f>
        <v>0</v>
      </c>
      <c r="AH81" s="20">
        <f>'TR TUSD'!$AH$81*'TR TUSD'!$AH$95</f>
        <v>24.491501950758238</v>
      </c>
      <c r="AI81" s="20">
        <f>'TR TUSD'!$AI$81*'TR TUSD'!$AI$95</f>
        <v>0.92059503661286801</v>
      </c>
      <c r="AJ81" s="20">
        <f ca="1">'TR TUSD'!$AJ$81*'TR TUSD'!$AJ$95</f>
        <v>11.536159305859742</v>
      </c>
      <c r="AK81" s="20">
        <f ca="1">'TR TUSD'!$AK$81*'TR TUSD'!$AK$95</f>
        <v>2.6623173992966622</v>
      </c>
      <c r="AL81" s="20">
        <f ca="1">SUM($AH$81:$AK$81)</f>
        <v>39.61057369252751</v>
      </c>
      <c r="AM81" s="20">
        <f ca="1">SUMIF($L$4:$AL$4,"SUBTOTAL",$L$81:$AL$81)</f>
        <v>414.33674388100781</v>
      </c>
      <c r="AP81" s="20">
        <f>IF((1 - CUSTOS!$M$31)&lt;&gt;0,1/(1 - CUSTOS!$M$31),1)</f>
        <v>1</v>
      </c>
    </row>
    <row r="82" spans="1:42" ht="11.25" customHeight="1" x14ac:dyDescent="0.25">
      <c r="A82" s="119"/>
      <c r="B82" s="119"/>
      <c r="C82" s="119"/>
      <c r="D82" s="119"/>
      <c r="E82" s="119"/>
      <c r="F82" s="119"/>
      <c r="G82" s="21" t="s">
        <v>90</v>
      </c>
      <c r="H82" s="21" t="s">
        <v>88</v>
      </c>
      <c r="I82" s="21">
        <f>'MERCADO TUSD'!$U$79</f>
        <v>4172.1789999999992</v>
      </c>
      <c r="J82" s="17"/>
      <c r="L82" s="20">
        <f>'TR TUSD'!$L$82*'TR TUSD'!$L$95</f>
        <v>0</v>
      </c>
      <c r="M82" s="20">
        <f>'TR TUSD'!$M$82*'TR TUSD'!$M$95</f>
        <v>0.42218734965342558</v>
      </c>
      <c r="N82" s="20">
        <f ca="1">'TR TUSD'!$N$82*'TR TUSD'!$N$95</f>
        <v>1.7435671015651424</v>
      </c>
      <c r="O82" s="20">
        <f>'TR TUSD'!$O$82*'TR TUSD'!$O$95</f>
        <v>0</v>
      </c>
      <c r="P82" s="20">
        <f>'TR TUSD'!$P$82*'TR TUSD'!$P$95</f>
        <v>0</v>
      </c>
      <c r="Q82" s="20">
        <f>'TR TUSD'!$Q$82*'TR TUSD'!$Q$95</f>
        <v>61.495406527525361</v>
      </c>
      <c r="R82" s="20">
        <f>'TR TUSD'!$R$82*'TR TUSD'!$R$95</f>
        <v>7.9721317603751451</v>
      </c>
      <c r="S82" s="20">
        <f>'TR TUSD'!$S$82*'TR TUSD'!$S$95</f>
        <v>0</v>
      </c>
      <c r="T82" s="20">
        <f ca="1">SUM($L$82:$S$82)</f>
        <v>71.633292739119071</v>
      </c>
      <c r="U82" s="20">
        <f>'TR TUSD'!$U$82*'TR TUSD'!$U$95</f>
        <v>25.250722902759932</v>
      </c>
      <c r="V82" s="20">
        <f>'TR TUSD'!$V$82*'TR TUSD'!$V$95</f>
        <v>6.4170392999720267</v>
      </c>
      <c r="W82" s="20">
        <f>'TR TUSD'!$W$82*'TR TUSD'!$W$95</f>
        <v>0.84893305655934792</v>
      </c>
      <c r="X82" s="20">
        <f>'TR TUSD'!$X$82*'TR TUSD'!$X$95</f>
        <v>0</v>
      </c>
      <c r="Y82" s="20">
        <f>'TR TUSD'!$Y$82*'TR TUSD'!$Y$95</f>
        <v>0</v>
      </c>
      <c r="Z82" s="20">
        <f>'TR TUSD'!$Z$82</f>
        <v>0</v>
      </c>
      <c r="AA82" s="20">
        <f>'TR TUSD'!$AA$82</f>
        <v>0</v>
      </c>
      <c r="AB82" s="20">
        <f>SUM($U$82:$AA$82)</f>
        <v>32.516695259291303</v>
      </c>
      <c r="AC82" s="20">
        <f>'TR TUSD'!$AC$82*'TR TUSD'!$AC$95</f>
        <v>67.89037485046434</v>
      </c>
      <c r="AD82" s="20">
        <f>SUM($AC$82:$AC$82)</f>
        <v>67.89037485046434</v>
      </c>
      <c r="AE82" s="20">
        <v>0</v>
      </c>
      <c r="AF82" s="20">
        <v>0</v>
      </c>
      <c r="AG82" s="20">
        <f>SUM($AE$82:$AF$82)</f>
        <v>0</v>
      </c>
      <c r="AH82" s="20">
        <f>'TR TUSD'!$AH$82*'TR TUSD'!$AH$95</f>
        <v>24.491501950758238</v>
      </c>
      <c r="AI82" s="20">
        <f>'TR TUSD'!$AI$82*'TR TUSD'!$AI$95</f>
        <v>0.92059503661286801</v>
      </c>
      <c r="AJ82" s="20">
        <f ca="1">'TR TUSD'!$AJ$82*'TR TUSD'!$AJ$95</f>
        <v>11.536159305859742</v>
      </c>
      <c r="AK82" s="20">
        <f ca="1">'TR TUSD'!$AK$82*'TR TUSD'!$AK$95</f>
        <v>2.6623173992966622</v>
      </c>
      <c r="AL82" s="20">
        <f ca="1">SUM($AH$82:$AK$82)</f>
        <v>39.61057369252751</v>
      </c>
      <c r="AM82" s="20">
        <f ca="1">SUMIF($L$4:$AL$4,"SUBTOTAL",$L$82:$AL$82)</f>
        <v>211.65093654140225</v>
      </c>
      <c r="AP82" s="20">
        <f>IF((1 - CUSTOS!$M$31)&lt;&gt;0,1/(1 - CUSTOS!$M$31),1)</f>
        <v>1</v>
      </c>
    </row>
    <row r="83" spans="1:42" ht="11.25" customHeight="1" x14ac:dyDescent="0.25">
      <c r="A83" s="119"/>
      <c r="B83" s="22" t="s">
        <v>23</v>
      </c>
      <c r="C83" s="22" t="s">
        <v>25</v>
      </c>
      <c r="D83" s="22" t="s">
        <v>25</v>
      </c>
      <c r="E83" s="22" t="s">
        <v>25</v>
      </c>
      <c r="F83" s="22" t="s">
        <v>25</v>
      </c>
      <c r="G83" s="21" t="s">
        <v>94</v>
      </c>
      <c r="H83" s="21" t="s">
        <v>88</v>
      </c>
      <c r="I83" s="21">
        <f>'MERCADO TUSD'!$U$80</f>
        <v>1033015.7139999998</v>
      </c>
      <c r="J83" s="17"/>
      <c r="L83" s="20">
        <f>'TR TUSD'!$L$83*'TR TUSD'!$L$95</f>
        <v>0</v>
      </c>
      <c r="M83" s="20">
        <f>'TR TUSD'!$M$83*'TR TUSD'!$M$95</f>
        <v>0.42218734965342558</v>
      </c>
      <c r="N83" s="20">
        <f ca="1">'TR TUSD'!$N$83*'TR TUSD'!$N$95</f>
        <v>2.2702428180047174</v>
      </c>
      <c r="O83" s="20">
        <f>'TR TUSD'!$O$83*'TR TUSD'!$O$95</f>
        <v>0</v>
      </c>
      <c r="P83" s="20">
        <f>'TR TUSD'!$P$83*'TR TUSD'!$P$95</f>
        <v>0</v>
      </c>
      <c r="Q83" s="20">
        <f>'TR TUSD'!$Q$83*'TR TUSD'!$Q$95</f>
        <v>61.495406527525361</v>
      </c>
      <c r="R83" s="20">
        <f>'TR TUSD'!$R$83*'TR TUSD'!$R$95</f>
        <v>7.9721317603751451</v>
      </c>
      <c r="S83" s="20">
        <f>'TR TUSD'!$S$83*'TR TUSD'!$S$95</f>
        <v>0</v>
      </c>
      <c r="T83" s="20">
        <f ca="1">SUM($L$83:$S$83)</f>
        <v>72.159968455558655</v>
      </c>
      <c r="U83" s="20">
        <f>'TR TUSD'!$U$83*'TR TUSD'!$U$95</f>
        <v>39.453940096394945</v>
      </c>
      <c r="V83" s="20">
        <f>'TR TUSD'!$V$83*'TR TUSD'!$V$95</f>
        <v>10.026623906206291</v>
      </c>
      <c r="W83" s="20">
        <f>'TR TUSD'!$W$83*'TR TUSD'!$W$95</f>
        <v>1.3261968972111247</v>
      </c>
      <c r="X83" s="20">
        <f>'TR TUSD'!$X$83*'TR TUSD'!$X$95</f>
        <v>0</v>
      </c>
      <c r="Y83" s="20">
        <f>'TR TUSD'!$Y$83*'TR TUSD'!$Y$95</f>
        <v>0</v>
      </c>
      <c r="Z83" s="20">
        <f>'TR TUSD'!$Z$83</f>
        <v>0</v>
      </c>
      <c r="AA83" s="20">
        <f>'TR TUSD'!$AA$83</f>
        <v>0</v>
      </c>
      <c r="AB83" s="20">
        <f>SUM($U$83:$AA$83)</f>
        <v>50.80676089981236</v>
      </c>
      <c r="AC83" s="20">
        <f>'TR TUSD'!$AC$83*'TR TUSD'!$AC$95</f>
        <v>106.07881838904487</v>
      </c>
      <c r="AD83" s="20">
        <f>SUM($AC$83:$AC$83)</f>
        <v>106.07881838904487</v>
      </c>
      <c r="AE83" s="20">
        <v>0</v>
      </c>
      <c r="AF83" s="20">
        <v>0</v>
      </c>
      <c r="AG83" s="20">
        <f>SUM($AE$83:$AF$83)</f>
        <v>0</v>
      </c>
      <c r="AH83" s="20">
        <f>'TR TUSD'!$AH$83*'TR TUSD'!$AH$95</f>
        <v>24.491501950758238</v>
      </c>
      <c r="AI83" s="20">
        <f>'TR TUSD'!$AI$83*'TR TUSD'!$AI$95</f>
        <v>0.92059503661286801</v>
      </c>
      <c r="AJ83" s="20">
        <f ca="1">'TR TUSD'!$AJ$83*'TR TUSD'!$AJ$95</f>
        <v>11.536159305859742</v>
      </c>
      <c r="AK83" s="20">
        <f ca="1">'TR TUSD'!$AK$83*'TR TUSD'!$AK$95</f>
        <v>2.6623173992966622</v>
      </c>
      <c r="AL83" s="20">
        <f ca="1">SUM($AH$83:$AK$83)</f>
        <v>39.61057369252751</v>
      </c>
      <c r="AM83" s="20">
        <f ca="1">SUMIF($L$4:$AL$4,"SUBTOTAL",$L$83:$AL$83)</f>
        <v>268.65612143694341</v>
      </c>
      <c r="AP83" s="20">
        <f>IF((1 - CUSTOS!$M$31)&lt;&gt;0,1/(1 - CUSTOS!$M$31),1)</f>
        <v>1</v>
      </c>
    </row>
    <row r="84" spans="1:42" ht="11.25" customHeight="1" x14ac:dyDescent="0.25">
      <c r="A84" s="119"/>
      <c r="B84" s="22" t="s">
        <v>102</v>
      </c>
      <c r="C84" s="22" t="s">
        <v>25</v>
      </c>
      <c r="D84" s="22" t="s">
        <v>25</v>
      </c>
      <c r="E84" s="22" t="s">
        <v>25</v>
      </c>
      <c r="F84" s="22" t="s">
        <v>25</v>
      </c>
      <c r="G84" s="21" t="s">
        <v>94</v>
      </c>
      <c r="H84" s="21" t="s">
        <v>88</v>
      </c>
      <c r="I84" s="21">
        <f>'MERCADO TUSD'!$U$81</f>
        <v>0</v>
      </c>
      <c r="J84" s="17"/>
      <c r="L84" s="20">
        <f>'TR TUSD'!$L$84*'TR TUSD'!$L$95</f>
        <v>0</v>
      </c>
      <c r="M84" s="20">
        <f>'TR TUSD'!$M$84*'TR TUSD'!$M$95</f>
        <v>0.42218734965342558</v>
      </c>
      <c r="N84" s="20">
        <f ca="1">'TR TUSD'!$N$84*'TR TUSD'!$N$95</f>
        <v>2.2702428180047174</v>
      </c>
      <c r="O84" s="20">
        <f>'TR TUSD'!$O$84*'TR TUSD'!$O$95</f>
        <v>0</v>
      </c>
      <c r="P84" s="20">
        <f>'TR TUSD'!$P$84*'TR TUSD'!$P$95</f>
        <v>0</v>
      </c>
      <c r="Q84" s="20">
        <f>'TR TUSD'!$Q$84*'TR TUSD'!$Q$95</f>
        <v>61.495406527525361</v>
      </c>
      <c r="R84" s="20">
        <f>'TR TUSD'!$R$84*'TR TUSD'!$R$95</f>
        <v>7.9721317603751451</v>
      </c>
      <c r="S84" s="20">
        <f>'TR TUSD'!$S$84*'TR TUSD'!$S$95</f>
        <v>0</v>
      </c>
      <c r="T84" s="20">
        <f ca="1">SUM($L$84:$S$84)</f>
        <v>72.159968455558655</v>
      </c>
      <c r="U84" s="20">
        <f>'TR TUSD'!$U$84*'TR TUSD'!$U$95</f>
        <v>39.453940096394945</v>
      </c>
      <c r="V84" s="20">
        <f>'TR TUSD'!$V$84*'TR TUSD'!$V$95</f>
        <v>10.026623906206291</v>
      </c>
      <c r="W84" s="20">
        <f>'TR TUSD'!$W$84*'TR TUSD'!$W$95</f>
        <v>1.3261968972111247</v>
      </c>
      <c r="X84" s="20">
        <f>'TR TUSD'!$X$84*'TR TUSD'!$X$95</f>
        <v>0</v>
      </c>
      <c r="Y84" s="20">
        <f>'TR TUSD'!$Y$84*'TR TUSD'!$Y$95</f>
        <v>0</v>
      </c>
      <c r="Z84" s="20">
        <f>'TR TUSD'!$Z$84</f>
        <v>0</v>
      </c>
      <c r="AA84" s="20">
        <f>'TR TUSD'!$AA$84</f>
        <v>0</v>
      </c>
      <c r="AB84" s="20">
        <f>SUM($U$84:$AA$84)</f>
        <v>50.80676089981236</v>
      </c>
      <c r="AC84" s="20">
        <f>'TR TUSD'!$AC$84*'TR TUSD'!$AC$95</f>
        <v>106.07881838904487</v>
      </c>
      <c r="AD84" s="20">
        <f>SUM($AC$84:$AC$84)</f>
        <v>106.07881838904487</v>
      </c>
      <c r="AE84" s="20">
        <v>0</v>
      </c>
      <c r="AF84" s="20">
        <v>0</v>
      </c>
      <c r="AG84" s="20">
        <f>SUM($AE$84:$AF$84)</f>
        <v>0</v>
      </c>
      <c r="AH84" s="20">
        <f>'TR TUSD'!$AH$84*'TR TUSD'!$AH$95</f>
        <v>24.491501950758238</v>
      </c>
      <c r="AI84" s="20">
        <f>'TR TUSD'!$AI$84*'TR TUSD'!$AI$95</f>
        <v>0.92059503661286801</v>
      </c>
      <c r="AJ84" s="20">
        <f ca="1">'TR TUSD'!$AJ$84*'TR TUSD'!$AJ$95</f>
        <v>11.536159305859742</v>
      </c>
      <c r="AK84" s="20">
        <f ca="1">'TR TUSD'!$AK$84*'TR TUSD'!$AK$95</f>
        <v>2.6623173992966622</v>
      </c>
      <c r="AL84" s="20">
        <f ca="1">SUM($AH$84:$AK$84)</f>
        <v>39.61057369252751</v>
      </c>
      <c r="AM84" s="20">
        <f ca="1">SUMIF($L$4:$AL$4,"SUBTOTAL",$L$84:$AL$84)</f>
        <v>268.65612143694341</v>
      </c>
      <c r="AP84" s="20">
        <f>IF((1 - CUSTOS!$M$31)&lt;&gt;0,1/(1 - CUSTOS!$M$31),1)</f>
        <v>1</v>
      </c>
    </row>
    <row r="85" spans="1:42" ht="11.25" customHeight="1" x14ac:dyDescent="0.25">
      <c r="A85" s="119" t="s">
        <v>49</v>
      </c>
      <c r="B85" s="119" t="s">
        <v>23</v>
      </c>
      <c r="C85" s="119" t="s">
        <v>50</v>
      </c>
      <c r="D85" s="22" t="s">
        <v>51</v>
      </c>
      <c r="E85" s="22" t="s">
        <v>25</v>
      </c>
      <c r="F85" s="22" t="s">
        <v>25</v>
      </c>
      <c r="G85" s="21" t="s">
        <v>94</v>
      </c>
      <c r="H85" s="21" t="s">
        <v>88</v>
      </c>
      <c r="I85" s="21">
        <f>'MERCADO TUSD'!$U$82</f>
        <v>418118.94</v>
      </c>
      <c r="J85" s="17"/>
      <c r="L85" s="20">
        <f>'TR TUSD'!$L$85*'TR TUSD'!$L$95</f>
        <v>0</v>
      </c>
      <c r="M85" s="20">
        <f>'TR TUSD'!$M$85*'TR TUSD'!$M$95</f>
        <v>0.23220304230938407</v>
      </c>
      <c r="N85" s="20">
        <f ca="1">'TR TUSD'!$N$85*'TR TUSD'!$N$95</f>
        <v>1.2486335499025947</v>
      </c>
      <c r="O85" s="20">
        <f>'TR TUSD'!$O$85*'TR TUSD'!$O$95</f>
        <v>0</v>
      </c>
      <c r="P85" s="20">
        <f>'TR TUSD'!$P$85*'TR TUSD'!$P$95</f>
        <v>0</v>
      </c>
      <c r="Q85" s="20">
        <f>'TR TUSD'!$Q$85*'TR TUSD'!$Q$95</f>
        <v>33.822473590138948</v>
      </c>
      <c r="R85" s="20">
        <f>'TR TUSD'!$R$85*'TR TUSD'!$R$95</f>
        <v>4.3846724682063298</v>
      </c>
      <c r="S85" s="20">
        <f>'TR TUSD'!$S$85*'TR TUSD'!$S$95</f>
        <v>0</v>
      </c>
      <c r="T85" s="20">
        <f ca="1">SUM($L$85:$S$85)</f>
        <v>39.687982650557259</v>
      </c>
      <c r="U85" s="20">
        <f>'TR TUSD'!$U$85*'TR TUSD'!$U$95</f>
        <v>21.699667053017222</v>
      </c>
      <c r="V85" s="20">
        <f>'TR TUSD'!$V$85*'TR TUSD'!$V$95</f>
        <v>5.5146431484134606</v>
      </c>
      <c r="W85" s="20">
        <f>'TR TUSD'!$W$85*'TR TUSD'!$W$95</f>
        <v>0.72940829346611868</v>
      </c>
      <c r="X85" s="20">
        <f>'TR TUSD'!$X$85*'TR TUSD'!$X$95</f>
        <v>0</v>
      </c>
      <c r="Y85" s="20">
        <f>'TR TUSD'!$Y$85*'TR TUSD'!$Y$95</f>
        <v>0</v>
      </c>
      <c r="Z85" s="20">
        <f>'TR TUSD'!$Z$85</f>
        <v>0</v>
      </c>
      <c r="AA85" s="20">
        <f>'TR TUSD'!$AA$85</f>
        <v>0</v>
      </c>
      <c r="AB85" s="20">
        <f>SUM($U$85:$AA$85)</f>
        <v>27.943718494896803</v>
      </c>
      <c r="AC85" s="20">
        <f>'TR TUSD'!$AC$85*'TR TUSD'!$AC$95</f>
        <v>58.34335011397468</v>
      </c>
      <c r="AD85" s="20">
        <f>SUM($AC$85:$AC$85)</f>
        <v>58.34335011397468</v>
      </c>
      <c r="AE85" s="20">
        <v>0</v>
      </c>
      <c r="AF85" s="20">
        <v>0</v>
      </c>
      <c r="AG85" s="20">
        <f>SUM($AE$85:$AF$85)</f>
        <v>0</v>
      </c>
      <c r="AH85" s="20">
        <f>'TR TUSD'!$AH$85*'TR TUSD'!$AH$95</f>
        <v>13.470326072917032</v>
      </c>
      <c r="AI85" s="20">
        <f>'TR TUSD'!$AI$85*'TR TUSD'!$AI$95</f>
        <v>0.50632727013707746</v>
      </c>
      <c r="AJ85" s="20">
        <f ca="1">'TR TUSD'!$AJ$85*'TR TUSD'!$AJ$95</f>
        <v>6.3448876182228595</v>
      </c>
      <c r="AK85" s="20">
        <f ca="1">'TR TUSD'!$AK$85*'TR TUSD'!$AK$95</f>
        <v>1.4642745696131645</v>
      </c>
      <c r="AL85" s="20">
        <f ca="1">SUM($AH$85:$AK$85)</f>
        <v>21.785815530890133</v>
      </c>
      <c r="AM85" s="20">
        <f ca="1">SUMIF($L$4:$AL$4,"SUBTOTAL",$L$85:$AL$85)</f>
        <v>147.76086679031886</v>
      </c>
      <c r="AP85" s="20">
        <f>IF((1 - CUSTOS!$M$32)&lt;&gt;0,1/(1 - CUSTOS!$M$32),1)</f>
        <v>1.8181818181818181</v>
      </c>
    </row>
    <row r="86" spans="1:42" ht="11.25" customHeight="1" x14ac:dyDescent="0.25">
      <c r="A86" s="119"/>
      <c r="B86" s="119"/>
      <c r="C86" s="119"/>
      <c r="D86" s="21" t="s">
        <v>105</v>
      </c>
      <c r="E86" s="21" t="s">
        <v>25</v>
      </c>
      <c r="F86" s="21" t="s">
        <v>25</v>
      </c>
      <c r="G86" s="21" t="s">
        <v>94</v>
      </c>
      <c r="H86" s="21" t="s">
        <v>88</v>
      </c>
      <c r="I86" s="21">
        <f>'MERCADO TUSD'!$U$83</f>
        <v>0</v>
      </c>
      <c r="J86" s="17"/>
      <c r="L86" s="20">
        <f>'TR TUSD'!$L$86*'TR TUSD'!$L$95</f>
        <v>0</v>
      </c>
      <c r="M86" s="20">
        <f>'TR TUSD'!$M$86*'TR TUSD'!$M$95</f>
        <v>0.25331240979205533</v>
      </c>
      <c r="N86" s="20">
        <f ca="1">'TR TUSD'!$N$86*'TR TUSD'!$N$95</f>
        <v>1.3621456908028302</v>
      </c>
      <c r="O86" s="20">
        <f>'TR TUSD'!$O$86*'TR TUSD'!$O$95</f>
        <v>0</v>
      </c>
      <c r="P86" s="20">
        <f>'TR TUSD'!$P$86*'TR TUSD'!$P$95</f>
        <v>0</v>
      </c>
      <c r="Q86" s="20">
        <f>'TR TUSD'!$Q$86*'TR TUSD'!$Q$95</f>
        <v>36.897243916515215</v>
      </c>
      <c r="R86" s="20">
        <f>'TR TUSD'!$R$86*'TR TUSD'!$R$95</f>
        <v>4.7832790562250871</v>
      </c>
      <c r="S86" s="20">
        <f>'TR TUSD'!$S$86*'TR TUSD'!$S$95</f>
        <v>0</v>
      </c>
      <c r="T86" s="20">
        <f ca="1">SUM($L$86:$S$86)</f>
        <v>43.295981073335184</v>
      </c>
      <c r="U86" s="20">
        <f>'TR TUSD'!$U$86*'TR TUSD'!$U$95</f>
        <v>23.672364057836969</v>
      </c>
      <c r="V86" s="20">
        <f>'TR TUSD'!$V$86*'TR TUSD'!$V$95</f>
        <v>6.0159743437237747</v>
      </c>
      <c r="W86" s="20">
        <f>'TR TUSD'!$W$86*'TR TUSD'!$W$95</f>
        <v>0.79571813832667482</v>
      </c>
      <c r="X86" s="20">
        <f>'TR TUSD'!$X$86*'TR TUSD'!$X$95</f>
        <v>0</v>
      </c>
      <c r="Y86" s="20">
        <f>'TR TUSD'!$Y$86*'TR TUSD'!$Y$95</f>
        <v>0</v>
      </c>
      <c r="Z86" s="20">
        <f>'TR TUSD'!$Z$86</f>
        <v>0</v>
      </c>
      <c r="AA86" s="20">
        <f>'TR TUSD'!$AA$86</f>
        <v>0</v>
      </c>
      <c r="AB86" s="20">
        <f>SUM($U$86:$AA$86)</f>
        <v>30.484056539887415</v>
      </c>
      <c r="AC86" s="20">
        <f>'TR TUSD'!$AC$86*'TR TUSD'!$AC$95</f>
        <v>63.647291033426917</v>
      </c>
      <c r="AD86" s="20">
        <f>SUM($AC$86:$AC$86)</f>
        <v>63.647291033426917</v>
      </c>
      <c r="AE86" s="20">
        <v>0</v>
      </c>
      <c r="AF86" s="20">
        <v>0</v>
      </c>
      <c r="AG86" s="20">
        <f>SUM($AE$86:$AF$86)</f>
        <v>0</v>
      </c>
      <c r="AH86" s="20">
        <f>'TR TUSD'!$AH$86*'TR TUSD'!$AH$95</f>
        <v>14.694901170454941</v>
      </c>
      <c r="AI86" s="20">
        <f>'TR TUSD'!$AI$86*'TR TUSD'!$AI$95</f>
        <v>0.55235702196772074</v>
      </c>
      <c r="AJ86" s="20">
        <f ca="1">'TR TUSD'!$AJ$86*'TR TUSD'!$AJ$95</f>
        <v>6.921695583515846</v>
      </c>
      <c r="AK86" s="20">
        <f ca="1">'TR TUSD'!$AK$86*'TR TUSD'!$AK$95</f>
        <v>1.5973904395779974</v>
      </c>
      <c r="AL86" s="20">
        <f ca="1">SUM($AH$86:$AK$86)</f>
        <v>23.766344215516504</v>
      </c>
      <c r="AM86" s="20">
        <f ca="1">SUMIF($L$4:$AL$4,"SUBTOTAL",$L$86:$AL$86)</f>
        <v>161.19367286216604</v>
      </c>
      <c r="AP86" s="20">
        <f>IF((1 - CUSTOS!$M$33)&lt;&gt;0,1/(1 - CUSTOS!$M$33),1)</f>
        <v>1.6666666666666667</v>
      </c>
    </row>
    <row r="88" spans="1:42" ht="11.25" customHeight="1" x14ac:dyDescent="0.25">
      <c r="K88" s="24" t="s">
        <v>1064</v>
      </c>
      <c r="L88" s="20">
        <f>SUMPRODUCT($I$5:$I86,$L$5:$L86)</f>
        <v>0</v>
      </c>
      <c r="M88" s="20">
        <f>SUMPRODUCT($I$5:$I86,$M$5:$M86)</f>
        <v>2275228.0759017267</v>
      </c>
      <c r="N88" s="20">
        <f ca="1">SUMPRODUCT($I$5:$I86,$N$5:$N86)</f>
        <v>10614130.124088451</v>
      </c>
      <c r="O88" s="20">
        <f>SUMPRODUCT($I$5:$I86,$O$5:$O86)</f>
        <v>0</v>
      </c>
      <c r="P88" s="20">
        <f>SUMPRODUCT($I$5:$I86,$P$5:$P86)</f>
        <v>0</v>
      </c>
      <c r="Q88" s="20">
        <f>SUMPRODUCT($I$5:$I86,$Q$5:$Q86)</f>
        <v>343888375.7423256</v>
      </c>
      <c r="R88" s="20">
        <f>SUMPRODUCT($I$5:$I86,$R$5:$R86)</f>
        <v>46565614.407255188</v>
      </c>
      <c r="S88" s="20">
        <f>SUMPRODUCT($I$5:$I86,$S$5:$S86)</f>
        <v>0</v>
      </c>
      <c r="T88" s="20">
        <f ca="1">SUMPRODUCT($I$5:$I86,$T$5:$T86)</f>
        <v>403343348.34957093</v>
      </c>
      <c r="U88" s="20">
        <f>SUMPRODUCT($I$5:$I86,$U$5:$U86)</f>
        <v>238331541.00000006</v>
      </c>
      <c r="V88" s="20">
        <f>SUMPRODUCT($I$5:$I86,$V$5:$V86)</f>
        <v>61976411.399999976</v>
      </c>
      <c r="W88" s="20">
        <f>SUMPRODUCT($I$5:$I86,$W$5:$W86)</f>
        <v>8074316.2702725893</v>
      </c>
      <c r="X88" s="20">
        <f>SUMPRODUCT($I$5:$I86,$X$5:$X86)</f>
        <v>0</v>
      </c>
      <c r="Y88" s="20">
        <f>SUMPRODUCT($I$5:$I86,$Y$5:$Y86)</f>
        <v>0</v>
      </c>
      <c r="Z88" s="20">
        <f>SUMPRODUCT($I$5:$I86,$Z$5:$Z86)</f>
        <v>0</v>
      </c>
      <c r="AA88" s="20">
        <f>SUMPRODUCT($I$5:$I86,$AA$5:$AA86)</f>
        <v>771753.60000000009</v>
      </c>
      <c r="AB88" s="20">
        <f>SUMPRODUCT($I$5:$I86,$AB$5:$AB86)</f>
        <v>309154022.27027267</v>
      </c>
      <c r="AC88" s="20">
        <f>SUMPRODUCT($I$5:$I86,$AC$5:$AC86)</f>
        <v>526859621.27446246</v>
      </c>
      <c r="AD88" s="20">
        <f>SUMPRODUCT($I$5:$I86,$AD$5:$AD86)</f>
        <v>526859621.27446246</v>
      </c>
      <c r="AE88" s="20">
        <f>SUMPRODUCT($I$5:$I86,$AE$5:$AE86)</f>
        <v>0</v>
      </c>
      <c r="AF88" s="20">
        <f>SUMPRODUCT($I$5:$I86,$AF$5:$AF86)</f>
        <v>0</v>
      </c>
      <c r="AG88" s="20">
        <f>SUMPRODUCT($I$5:$I86,$AG$5:$AG86)</f>
        <v>0</v>
      </c>
      <c r="AH88" s="20">
        <f>SUMPRODUCT($I$5:$I86,$AH$5:$AH86)</f>
        <v>120156261.92101654</v>
      </c>
      <c r="AI88" s="20">
        <f>SUMPRODUCT($I$5:$I86,$AI$5:$AI86)</f>
        <v>4516458.1330503756</v>
      </c>
      <c r="AJ88" s="20">
        <f ca="1">SUMPRODUCT($I$5:$I86,$AJ$5:$AJ86)</f>
        <v>61756016.292492837</v>
      </c>
      <c r="AK88" s="20">
        <f ca="1">SUMPRODUCT($I$5:$I86,$AK$5:$AK86)</f>
        <v>14252067.115893451</v>
      </c>
      <c r="AL88" s="20">
        <f ca="1">SUMPRODUCT($I$5:$I86,$AL$5:$AL86)</f>
        <v>200680803.46245322</v>
      </c>
      <c r="AM88" s="20">
        <f ca="1">SUMPRODUCT($I$5:$I86,$AM$5:$AM86)</f>
        <v>1440037795.3567593</v>
      </c>
    </row>
    <row r="89" spans="1:42" ht="11.25" customHeight="1" x14ac:dyDescent="0.25">
      <c r="K89" s="24" t="s">
        <v>998</v>
      </c>
      <c r="L89" s="20">
        <f>'TR TUSD'!$L$91</f>
        <v>0</v>
      </c>
      <c r="M89" s="20">
        <f>'TR TUSD'!$M$91</f>
        <v>2275228.0759017272</v>
      </c>
      <c r="N89" s="20">
        <f>'TR TUSD'!$N$91</f>
        <v>10614130.124088451</v>
      </c>
      <c r="O89" s="20">
        <f>'TR TUSD'!$O$91</f>
        <v>0</v>
      </c>
      <c r="P89" s="20">
        <f>'TR TUSD'!$P$91</f>
        <v>0</v>
      </c>
      <c r="Q89" s="20">
        <f>'TR TUSD'!$Q$91</f>
        <v>343888375.74232566</v>
      </c>
      <c r="R89" s="20">
        <f>'TR TUSD'!$R$91</f>
        <v>46565614.407255195</v>
      </c>
      <c r="S89" s="20">
        <f>'TR TUSD'!$S$91</f>
        <v>0</v>
      </c>
      <c r="T89" s="20">
        <f>'TR TUSD'!$T$91</f>
        <v>403343348.34957099</v>
      </c>
      <c r="U89" s="20">
        <f>'TR TUSD'!$U$91</f>
        <v>238331541</v>
      </c>
      <c r="V89" s="20">
        <f>'TR TUSD'!$V$91</f>
        <v>61976411.399999999</v>
      </c>
      <c r="W89" s="20">
        <f>'TR TUSD'!$W$91</f>
        <v>8074316.2702725902</v>
      </c>
      <c r="X89" s="20">
        <f>'TR TUSD'!$X$91</f>
        <v>0</v>
      </c>
      <c r="Y89" s="20">
        <f>'TR TUSD'!$Y$91</f>
        <v>0</v>
      </c>
      <c r="Z89" s="20">
        <f>'TR TUSD'!$Z$91</f>
        <v>0</v>
      </c>
      <c r="AA89" s="20">
        <f>'TR TUSD'!$AA$91</f>
        <v>771753.60000000009</v>
      </c>
      <c r="AB89" s="20">
        <f>'TR TUSD'!$AB$91</f>
        <v>309154022.27027261</v>
      </c>
      <c r="AC89" s="20">
        <f>'TR TUSD'!$AC$91</f>
        <v>526859621.2744624</v>
      </c>
      <c r="AD89" s="20">
        <f>'TR TUSD'!$AD$91</f>
        <v>526859621.2744624</v>
      </c>
      <c r="AE89" s="20">
        <f>'TR TUSD'!$AE$91</f>
        <v>0</v>
      </c>
      <c r="AF89" s="20">
        <f>'TR TUSD'!$AF$91</f>
        <v>0</v>
      </c>
      <c r="AG89" s="20">
        <f>'TR TUSD'!$AG$91</f>
        <v>0</v>
      </c>
      <c r="AH89" s="20">
        <f>'TR TUSD'!$AH$91</f>
        <v>120156261.92101654</v>
      </c>
      <c r="AI89" s="20">
        <f>'TR TUSD'!$AI$91</f>
        <v>4516458.1330503756</v>
      </c>
      <c r="AJ89" s="20">
        <f>'TR TUSD'!$AJ$91</f>
        <v>61756016.292492852</v>
      </c>
      <c r="AK89" s="20">
        <f>'TR TUSD'!$AK$91</f>
        <v>14252067.115893451</v>
      </c>
      <c r="AL89" s="20">
        <f>'TR TUSD'!$AL$91</f>
        <v>200680803.46245322</v>
      </c>
      <c r="AM89" s="20">
        <f>CUSTOS!$D$29</f>
        <v>1440037795.3567591</v>
      </c>
    </row>
    <row r="90" spans="1:42" ht="11.25" customHeight="1" x14ac:dyDescent="0.25">
      <c r="K90" s="24" t="s">
        <v>999</v>
      </c>
      <c r="L90" s="20">
        <f>CUSTOS!$E$2</f>
        <v>0</v>
      </c>
      <c r="M90" s="20">
        <f>CUSTOS!$E$3</f>
        <v>-149041.49306630532</v>
      </c>
      <c r="N90" s="20">
        <f>CUSTOS!$E$4</f>
        <v>1428.0658642872843</v>
      </c>
      <c r="O90" s="20">
        <f>CUSTOS!$E$5</f>
        <v>0</v>
      </c>
      <c r="P90" s="20">
        <f>CUSTOS!$E$6</f>
        <v>0</v>
      </c>
      <c r="Q90" s="20">
        <f>CUSTOS!$E$7</f>
        <v>-11196254.455512114</v>
      </c>
      <c r="R90" s="20">
        <f>CUSTOS!$E$8</f>
        <v>-17765.676831671968</v>
      </c>
      <c r="S90" s="20">
        <f>CUSTOS!$E$9</f>
        <v>0</v>
      </c>
      <c r="T90" s="20">
        <f>CUSTOS!$E$10</f>
        <v>-11361633.559545804</v>
      </c>
      <c r="U90" s="20">
        <f>CUSTOS!$E$11</f>
        <v>-1743121.3283396903</v>
      </c>
      <c r="V90" s="20">
        <f>CUSTOS!$E$12</f>
        <v>3258066.3460147842</v>
      </c>
      <c r="W90" s="20">
        <f>CUSTOS!$E$13</f>
        <v>34341.478047883065</v>
      </c>
      <c r="X90" s="20">
        <f>CUSTOS!$E$14</f>
        <v>0</v>
      </c>
      <c r="Y90" s="20">
        <f>CUSTOS!$E$15</f>
        <v>0</v>
      </c>
      <c r="Z90" s="20">
        <f>CUSTOS!$E$16</f>
        <v>0</v>
      </c>
      <c r="AA90" s="20">
        <f>CUSTOS!$E$17</f>
        <v>105899.66550827415</v>
      </c>
      <c r="AB90" s="20">
        <f>CUSTOS!$E$18</f>
        <v>1655186.1612312512</v>
      </c>
      <c r="AC90" s="20">
        <f>CUSTOS!$E$19</f>
        <v>0</v>
      </c>
      <c r="AD90" s="20">
        <f>CUSTOS!$E$20</f>
        <v>0</v>
      </c>
      <c r="AE90" s="20">
        <f>CUSTOS!$E$21</f>
        <v>0</v>
      </c>
      <c r="AF90" s="20">
        <f>CUSTOS!$E$22</f>
        <v>0</v>
      </c>
      <c r="AG90" s="20">
        <f>CUSTOS!$E$23</f>
        <v>0</v>
      </c>
      <c r="AH90" s="20">
        <f>CUSTOS!$E$24</f>
        <v>-21332145.937846728</v>
      </c>
      <c r="AI90" s="20">
        <f>CUSTOS!$E$25</f>
        <v>-801837.06180654361</v>
      </c>
      <c r="AJ90" s="20">
        <f>CUSTOS!$E$26</f>
        <v>-10963959.189721374</v>
      </c>
      <c r="AK90" s="20">
        <f>CUSTOS!$E$27</f>
        <v>236692.82580248686</v>
      </c>
      <c r="AL90" s="20">
        <f>CUSTOS!$E$28</f>
        <v>-32861249.363572162</v>
      </c>
      <c r="AM90" s="20">
        <f>CUSTOS!$E$29</f>
        <v>-42567696.761886716</v>
      </c>
    </row>
    <row r="91" spans="1:42" ht="11.25" customHeight="1" x14ac:dyDescent="0.25">
      <c r="K91" s="24" t="s">
        <v>1000</v>
      </c>
      <c r="L91" s="20">
        <f>CUSTOS!$F$2</f>
        <v>0</v>
      </c>
      <c r="M91" s="20">
        <f>CUSTOS!$F$3</f>
        <v>0</v>
      </c>
      <c r="N91" s="20">
        <f>CUSTOS!$F$4</f>
        <v>0</v>
      </c>
      <c r="O91" s="20">
        <f>CUSTOS!$F$5</f>
        <v>0</v>
      </c>
      <c r="P91" s="20">
        <f>CUSTOS!$F$6</f>
        <v>0</v>
      </c>
      <c r="Q91" s="20">
        <f>CUSTOS!$F$7</f>
        <v>38454708.07395687</v>
      </c>
      <c r="R91" s="20">
        <f>CUSTOS!$F$8</f>
        <v>-5795217.5811314899</v>
      </c>
      <c r="S91" s="20">
        <f>CUSTOS!$F$9</f>
        <v>0</v>
      </c>
      <c r="T91" s="20">
        <f>CUSTOS!$F$10</f>
        <v>32659490.492825381</v>
      </c>
      <c r="U91" s="20">
        <f>CUSTOS!$F$11</f>
        <v>11084387.28354905</v>
      </c>
      <c r="V91" s="20">
        <f>CUSTOS!$F$12</f>
        <v>2883098.5793863335</v>
      </c>
      <c r="W91" s="20">
        <f>CUSTOS!$F$13</f>
        <v>0</v>
      </c>
      <c r="X91" s="20">
        <f>CUSTOS!$F$14</f>
        <v>0</v>
      </c>
      <c r="Y91" s="20">
        <f>CUSTOS!$F$15</f>
        <v>0</v>
      </c>
      <c r="Z91" s="20">
        <f>CUSTOS!$F$16</f>
        <v>0</v>
      </c>
      <c r="AA91" s="20">
        <f>CUSTOS!$F$17</f>
        <v>35209.92176181126</v>
      </c>
      <c r="AB91" s="20">
        <f>CUSTOS!$F$18</f>
        <v>14002695.784697194</v>
      </c>
      <c r="AC91" s="20">
        <f>CUSTOS!$F$19</f>
        <v>0</v>
      </c>
      <c r="AD91" s="20">
        <f>CUSTOS!$F$20</f>
        <v>0</v>
      </c>
      <c r="AE91" s="20">
        <f>CUSTOS!$F$21</f>
        <v>0</v>
      </c>
      <c r="AF91" s="20">
        <f>CUSTOS!$F$22</f>
        <v>0</v>
      </c>
      <c r="AG91" s="20">
        <f>CUSTOS!$F$23</f>
        <v>0</v>
      </c>
      <c r="AH91" s="20">
        <f>CUSTOS!$F$24</f>
        <v>10851157.067194762</v>
      </c>
      <c r="AI91" s="20">
        <f>CUSTOS!$F$25</f>
        <v>407875.50982032262</v>
      </c>
      <c r="AJ91" s="20">
        <f>CUSTOS!$F$26</f>
        <v>5577106.1942204703</v>
      </c>
      <c r="AK91" s="20">
        <f>CUSTOS!$F$27</f>
        <v>0</v>
      </c>
      <c r="AL91" s="20">
        <f>CUSTOS!$F$28</f>
        <v>16836138.771235555</v>
      </c>
      <c r="AM91" s="20">
        <f>CUSTOS!$F$29</f>
        <v>63498325.048758134</v>
      </c>
    </row>
    <row r="92" spans="1:42" ht="11.25" customHeight="1" x14ac:dyDescent="0.25">
      <c r="K92" s="24" t="s">
        <v>1061</v>
      </c>
      <c r="L92" s="20">
        <v>0</v>
      </c>
      <c r="M92" s="20">
        <v>0</v>
      </c>
      <c r="N92" s="20">
        <v>0</v>
      </c>
      <c r="O92" s="20">
        <v>0</v>
      </c>
      <c r="P92" s="20">
        <v>0</v>
      </c>
      <c r="Q92" s="20">
        <v>0</v>
      </c>
      <c r="R92" s="20">
        <v>0</v>
      </c>
      <c r="S92" s="20">
        <v>0</v>
      </c>
      <c r="T92" s="20">
        <f>SUM($L$92:$S$92)</f>
        <v>0</v>
      </c>
      <c r="U92" s="20">
        <v>0</v>
      </c>
      <c r="V92" s="20">
        <v>0</v>
      </c>
      <c r="W92" s="20">
        <v>0</v>
      </c>
      <c r="X92" s="20">
        <v>0</v>
      </c>
      <c r="Y92" s="20">
        <v>0</v>
      </c>
      <c r="Z92" s="20">
        <v>0</v>
      </c>
      <c r="AA92" s="20">
        <v>0</v>
      </c>
      <c r="AB92" s="20">
        <f>SUM($U$92:$AA$92)</f>
        <v>0</v>
      </c>
      <c r="AC92" s="20">
        <v>0</v>
      </c>
      <c r="AD92" s="20">
        <f>SUM($AC$92:$AC$92)</f>
        <v>0</v>
      </c>
      <c r="AE92" s="20">
        <v>0</v>
      </c>
      <c r="AF92" s="20">
        <v>0</v>
      </c>
      <c r="AG92" s="20">
        <f>SUM($AE$92:$AF$92)</f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f>SUM($AH$92:$AK$92)</f>
        <v>0</v>
      </c>
      <c r="AM92" s="20">
        <f>SUMIF($L$4:$AL$4,"SUBTOTAL",$L$92:$AL$92)</f>
        <v>0</v>
      </c>
    </row>
    <row r="93" spans="1:42" ht="11.25" customHeight="1" x14ac:dyDescent="0.25">
      <c r="K93" s="24" t="s">
        <v>1065</v>
      </c>
      <c r="L93" s="20">
        <f t="shared" ref="L93:R93" si="0">IF((L88-(0))&lt;&gt;0,(L90)/(L88-(0)),0)</f>
        <v>0</v>
      </c>
      <c r="M93" s="20">
        <f t="shared" si="0"/>
        <v>-6.5506177004798369E-2</v>
      </c>
      <c r="N93" s="20">
        <f t="shared" ca="1" si="0"/>
        <v>1.3454384368685396E-4</v>
      </c>
      <c r="O93" s="20">
        <f t="shared" si="0"/>
        <v>0</v>
      </c>
      <c r="P93" s="20">
        <f t="shared" si="0"/>
        <v>0</v>
      </c>
      <c r="Q93" s="20">
        <f t="shared" si="0"/>
        <v>-3.2557815981257329E-2</v>
      </c>
      <c r="R93" s="20">
        <f t="shared" si="0"/>
        <v>-3.8151921880158794E-4</v>
      </c>
      <c r="S93" s="20">
        <f>IF((R88-(0)&lt;&gt;0),(S90)/(R88-(0)),0)</f>
        <v>0</v>
      </c>
      <c r="T93" s="20"/>
      <c r="U93" s="20">
        <f t="shared" ref="U93:AA93" si="1">IF((U88-(0))&lt;&gt;0,(U90)/(U88-(0)),0)</f>
        <v>-7.3138507854471927E-3</v>
      </c>
      <c r="V93" s="20">
        <f t="shared" si="1"/>
        <v>5.2569457837547295E-2</v>
      </c>
      <c r="W93" s="20">
        <f t="shared" si="1"/>
        <v>4.2531747454975155E-3</v>
      </c>
      <c r="X93" s="20">
        <f t="shared" si="1"/>
        <v>0</v>
      </c>
      <c r="Y93" s="20">
        <f t="shared" si="1"/>
        <v>0</v>
      </c>
      <c r="Z93" s="20">
        <f t="shared" si="1"/>
        <v>0</v>
      </c>
      <c r="AA93" s="20">
        <f t="shared" si="1"/>
        <v>0.13721952901583373</v>
      </c>
      <c r="AB93" s="20"/>
      <c r="AC93" s="20">
        <f>IF((AC88-(0))&lt;&gt;0,(AC90)/(AC88-(0)),0)</f>
        <v>0</v>
      </c>
      <c r="AD93" s="20"/>
      <c r="AE93" s="20">
        <f ca="1">IF(($AM88-(0))&lt;&gt;0,(AE90)/($AM88-(0)),0)</f>
        <v>0</v>
      </c>
      <c r="AF93" s="20">
        <f ca="1">IF(($AM88-(0))&lt;&gt;0,(AF90)/($AM88-(0)),0)</f>
        <v>0</v>
      </c>
      <c r="AG93" s="20"/>
      <c r="AH93" s="20">
        <f>IF((AH88-(0))&lt;&gt;0,(AH90)/(AH88-(0)),0)</f>
        <v>-0.17753669760356883</v>
      </c>
      <c r="AI93" s="20">
        <f>IF((AI88-(0))&lt;&gt;0,(AI90)/(AI88-(0)),0)</f>
        <v>-0.17753669760356883</v>
      </c>
      <c r="AJ93" s="20">
        <f ca="1">IF((AJ88-(0))&lt;&gt;0,(AJ90)/(AJ88-(0)),0)</f>
        <v>-0.17753669760356888</v>
      </c>
      <c r="AK93" s="20">
        <f ca="1">IF((AK88-(0))&lt;&gt;0,(AK90)/(AK88-(0)),0)</f>
        <v>1.6607613750186073E-2</v>
      </c>
      <c r="AL93" s="20"/>
      <c r="AM93" s="20"/>
    </row>
  </sheetData>
  <mergeCells count="129">
    <mergeCell ref="AP1:AP4"/>
    <mergeCell ref="L2:AM2"/>
    <mergeCell ref="L3:T3"/>
    <mergeCell ref="U3:AB3"/>
    <mergeCell ref="AC3:AD3"/>
    <mergeCell ref="A1:A4"/>
    <mergeCell ref="B1:B4"/>
    <mergeCell ref="C1:C4"/>
    <mergeCell ref="D1:D4"/>
    <mergeCell ref="E1:E4"/>
    <mergeCell ref="F1:F4"/>
    <mergeCell ref="AH3:AL3"/>
    <mergeCell ref="AM3:AM4"/>
    <mergeCell ref="I1:I4"/>
    <mergeCell ref="J1:J4"/>
    <mergeCell ref="L1:AM1"/>
    <mergeCell ref="AE3:AG3"/>
    <mergeCell ref="A5:A14"/>
    <mergeCell ref="B5:B8"/>
    <mergeCell ref="C5:C8"/>
    <mergeCell ref="D5:D8"/>
    <mergeCell ref="E5:E7"/>
    <mergeCell ref="F5:F7"/>
    <mergeCell ref="B9:B11"/>
    <mergeCell ref="G1:G4"/>
    <mergeCell ref="H1:H4"/>
    <mergeCell ref="C9:C11"/>
    <mergeCell ref="D9:D11"/>
    <mergeCell ref="E9:E11"/>
    <mergeCell ref="F9:F11"/>
    <mergeCell ref="B12:B14"/>
    <mergeCell ref="C12:C14"/>
    <mergeCell ref="D12:D14"/>
    <mergeCell ref="E12:E14"/>
    <mergeCell ref="F20:F22"/>
    <mergeCell ref="E23:E24"/>
    <mergeCell ref="F23:F24"/>
    <mergeCell ref="B25:B26"/>
    <mergeCell ref="C25:C26"/>
    <mergeCell ref="D25:D26"/>
    <mergeCell ref="E25:E26"/>
    <mergeCell ref="F25:F26"/>
    <mergeCell ref="A15:A26"/>
    <mergeCell ref="B15:B18"/>
    <mergeCell ref="C15:C18"/>
    <mergeCell ref="D15:D18"/>
    <mergeCell ref="E15:E17"/>
    <mergeCell ref="F15:F17"/>
    <mergeCell ref="B20:B24"/>
    <mergeCell ref="C20:C24"/>
    <mergeCell ref="D20:D24"/>
    <mergeCell ref="E20:E22"/>
    <mergeCell ref="F32:F34"/>
    <mergeCell ref="E35:E36"/>
    <mergeCell ref="F35:F36"/>
    <mergeCell ref="B37:B38"/>
    <mergeCell ref="C37:C38"/>
    <mergeCell ref="D37:D38"/>
    <mergeCell ref="E37:E38"/>
    <mergeCell ref="F37:F38"/>
    <mergeCell ref="A27:A38"/>
    <mergeCell ref="B27:B30"/>
    <mergeCell ref="C27:C30"/>
    <mergeCell ref="D27:D30"/>
    <mergeCell ref="E27:E29"/>
    <mergeCell ref="F27:F29"/>
    <mergeCell ref="B32:B36"/>
    <mergeCell ref="C32:C36"/>
    <mergeCell ref="D32:D36"/>
    <mergeCell ref="E32:E34"/>
    <mergeCell ref="F43:F45"/>
    <mergeCell ref="E46:E47"/>
    <mergeCell ref="F46:F47"/>
    <mergeCell ref="B48:B49"/>
    <mergeCell ref="C48:C49"/>
    <mergeCell ref="D48:D49"/>
    <mergeCell ref="E48:E49"/>
    <mergeCell ref="F48:F49"/>
    <mergeCell ref="A39:A49"/>
    <mergeCell ref="B39:B42"/>
    <mergeCell ref="C39:C42"/>
    <mergeCell ref="D39:D42"/>
    <mergeCell ref="E39:E41"/>
    <mergeCell ref="F39:F41"/>
    <mergeCell ref="B43:B47"/>
    <mergeCell ref="C43:C47"/>
    <mergeCell ref="D43:D47"/>
    <mergeCell ref="E43:E45"/>
    <mergeCell ref="E52:E54"/>
    <mergeCell ref="F52:F54"/>
    <mergeCell ref="B55:B59"/>
    <mergeCell ref="C55:C59"/>
    <mergeCell ref="B60:B64"/>
    <mergeCell ref="C60:C64"/>
    <mergeCell ref="A50:A51"/>
    <mergeCell ref="B50:B51"/>
    <mergeCell ref="C50:C51"/>
    <mergeCell ref="D50:D51"/>
    <mergeCell ref="A52:A64"/>
    <mergeCell ref="B52:B54"/>
    <mergeCell ref="C52:C54"/>
    <mergeCell ref="D52:D54"/>
    <mergeCell ref="F69:F71"/>
    <mergeCell ref="B73:B75"/>
    <mergeCell ref="C73:C75"/>
    <mergeCell ref="D73:D75"/>
    <mergeCell ref="E73:E75"/>
    <mergeCell ref="F73:F75"/>
    <mergeCell ref="A65:A79"/>
    <mergeCell ref="B65:B67"/>
    <mergeCell ref="C65:C67"/>
    <mergeCell ref="D65:D67"/>
    <mergeCell ref="E65:E67"/>
    <mergeCell ref="F65:F67"/>
    <mergeCell ref="B69:B71"/>
    <mergeCell ref="C69:C71"/>
    <mergeCell ref="D69:D71"/>
    <mergeCell ref="E69:E71"/>
    <mergeCell ref="E80:E82"/>
    <mergeCell ref="F80:F82"/>
    <mergeCell ref="A85:A86"/>
    <mergeCell ref="B85:B86"/>
    <mergeCell ref="C85:C86"/>
    <mergeCell ref="B77:B79"/>
    <mergeCell ref="C77:C79"/>
    <mergeCell ref="A80:A84"/>
    <mergeCell ref="B80:B82"/>
    <mergeCell ref="C80:C82"/>
    <mergeCell ref="D80:D82"/>
  </mergeCells>
  <conditionalFormatting sqref="L88">
    <cfRule type="cellIs" dxfId="1641" priority="55" operator="notEqual">
      <formula>$L$89-$L$92</formula>
    </cfRule>
    <cfRule type="cellIs" dxfId="1640" priority="56" operator="equal">
      <formula>$L$89-$L$92</formula>
    </cfRule>
  </conditionalFormatting>
  <conditionalFormatting sqref="M88">
    <cfRule type="cellIs" dxfId="1639" priority="53" operator="notEqual">
      <formula>$M$89-$M$92</formula>
    </cfRule>
    <cfRule type="cellIs" dxfId="1638" priority="54" operator="equal">
      <formula>$M$89-$M$92</formula>
    </cfRule>
  </conditionalFormatting>
  <conditionalFormatting sqref="N88">
    <cfRule type="cellIs" dxfId="1637" priority="51" operator="notEqual">
      <formula>$N$89-$N$92</formula>
    </cfRule>
    <cfRule type="cellIs" dxfId="1636" priority="52" operator="equal">
      <formula>$N$89-$N$92</formula>
    </cfRule>
  </conditionalFormatting>
  <conditionalFormatting sqref="O88">
    <cfRule type="cellIs" dxfId="1635" priority="49" operator="notEqual">
      <formula>$O$89-$O$92</formula>
    </cfRule>
    <cfRule type="cellIs" dxfId="1634" priority="50" operator="equal">
      <formula>$O$89-$O$92</formula>
    </cfRule>
  </conditionalFormatting>
  <conditionalFormatting sqref="P88">
    <cfRule type="cellIs" dxfId="1633" priority="47" operator="notEqual">
      <formula>$P$89-$P$92</formula>
    </cfRule>
    <cfRule type="cellIs" dxfId="1632" priority="48" operator="equal">
      <formula>$P$89-$P$92</formula>
    </cfRule>
  </conditionalFormatting>
  <conditionalFormatting sqref="Q88">
    <cfRule type="cellIs" dxfId="1631" priority="45" operator="notEqual">
      <formula>$Q$89-$Q$92</formula>
    </cfRule>
    <cfRule type="cellIs" dxfId="1630" priority="46" operator="equal">
      <formula>$Q$89-$Q$92</formula>
    </cfRule>
  </conditionalFormatting>
  <conditionalFormatting sqref="R88">
    <cfRule type="cellIs" dxfId="1629" priority="43" operator="notEqual">
      <formula>$R$89-$R$92</formula>
    </cfRule>
    <cfRule type="cellIs" dxfId="1628" priority="44" operator="equal">
      <formula>$R$89-$R$92</formula>
    </cfRule>
  </conditionalFormatting>
  <conditionalFormatting sqref="S88">
    <cfRule type="cellIs" dxfId="1627" priority="41" operator="notEqual">
      <formula>$S$89-$S$92</formula>
    </cfRule>
    <cfRule type="cellIs" dxfId="1626" priority="42" operator="equal">
      <formula>$S$89-$S$92</formula>
    </cfRule>
  </conditionalFormatting>
  <conditionalFormatting sqref="T88">
    <cfRule type="cellIs" dxfId="1625" priority="39" operator="notEqual">
      <formula>$T$89-$T$92</formula>
    </cfRule>
    <cfRule type="cellIs" dxfId="1624" priority="40" operator="equal">
      <formula>$T$89-$T$92</formula>
    </cfRule>
  </conditionalFormatting>
  <conditionalFormatting sqref="U88">
    <cfRule type="cellIs" dxfId="1623" priority="37" operator="notEqual">
      <formula>$U$89-$U$92</formula>
    </cfRule>
    <cfRule type="cellIs" dxfId="1622" priority="38" operator="equal">
      <formula>$U$89-$U$92</formula>
    </cfRule>
  </conditionalFormatting>
  <conditionalFormatting sqref="V88">
    <cfRule type="cellIs" dxfId="1621" priority="35" operator="notEqual">
      <formula>$V$89-$V$92</formula>
    </cfRule>
    <cfRule type="cellIs" dxfId="1620" priority="36" operator="equal">
      <formula>$V$89-$V$92</formula>
    </cfRule>
  </conditionalFormatting>
  <conditionalFormatting sqref="W88">
    <cfRule type="cellIs" dxfId="1619" priority="33" operator="notEqual">
      <formula>$W$89-$W$92</formula>
    </cfRule>
    <cfRule type="cellIs" dxfId="1618" priority="34" operator="equal">
      <formula>$W$89-$W$92</formula>
    </cfRule>
  </conditionalFormatting>
  <conditionalFormatting sqref="X88">
    <cfRule type="cellIs" dxfId="1617" priority="31" operator="notEqual">
      <formula>$X$89-$X$92</formula>
    </cfRule>
    <cfRule type="cellIs" dxfId="1616" priority="32" operator="equal">
      <formula>$X$89-$X$92</formula>
    </cfRule>
  </conditionalFormatting>
  <conditionalFormatting sqref="Y88">
    <cfRule type="cellIs" dxfId="1615" priority="29" operator="notEqual">
      <formula>$Y$89-$Y$92</formula>
    </cfRule>
    <cfRule type="cellIs" dxfId="1614" priority="30" operator="equal">
      <formula>$Y$89-$Y$92</formula>
    </cfRule>
  </conditionalFormatting>
  <conditionalFormatting sqref="Z88">
    <cfRule type="cellIs" dxfId="1613" priority="27" operator="notEqual">
      <formula>$Z$89-$Z$92</formula>
    </cfRule>
    <cfRule type="cellIs" dxfId="1612" priority="28" operator="equal">
      <formula>$Z$89-$Z$92</formula>
    </cfRule>
  </conditionalFormatting>
  <conditionalFormatting sqref="AA88">
    <cfRule type="cellIs" dxfId="1611" priority="25" operator="notEqual">
      <formula>$AA$89-$AA$92</formula>
    </cfRule>
    <cfRule type="cellIs" dxfId="1610" priority="26" operator="equal">
      <formula>$AA$89-$AA$92</formula>
    </cfRule>
  </conditionalFormatting>
  <conditionalFormatting sqref="AB88">
    <cfRule type="cellIs" dxfId="1609" priority="23" operator="notEqual">
      <formula>$AB$89-$AB$92</formula>
    </cfRule>
    <cfRule type="cellIs" dxfId="1608" priority="24" operator="equal">
      <formula>$AB$89-$AB$92</formula>
    </cfRule>
  </conditionalFormatting>
  <conditionalFormatting sqref="AC88">
    <cfRule type="cellIs" dxfId="1607" priority="21" operator="notEqual">
      <formula>$AC$89-$AC$92</formula>
    </cfRule>
    <cfRule type="cellIs" dxfId="1606" priority="22" operator="equal">
      <formula>$AC$89-$AC$92</formula>
    </cfRule>
  </conditionalFormatting>
  <conditionalFormatting sqref="AD88">
    <cfRule type="cellIs" dxfId="1605" priority="19" operator="notEqual">
      <formula>$AD$89-$AD$92</formula>
    </cfRule>
    <cfRule type="cellIs" dxfId="1604" priority="20" operator="equal">
      <formula>$AD$89-$AD$92</formula>
    </cfRule>
  </conditionalFormatting>
  <conditionalFormatting sqref="AE88">
    <cfRule type="cellIs" dxfId="1603" priority="17" operator="notEqual">
      <formula>$AE$89-$AE$92</formula>
    </cfRule>
    <cfRule type="cellIs" dxfId="1602" priority="18" operator="equal">
      <formula>$AE$89-$AE$92</formula>
    </cfRule>
  </conditionalFormatting>
  <conditionalFormatting sqref="AF88">
    <cfRule type="cellIs" dxfId="1601" priority="16" operator="equal">
      <formula>$AF$89-$AF$92</formula>
    </cfRule>
  </conditionalFormatting>
  <conditionalFormatting sqref="AF88">
    <cfRule type="cellIs" dxfId="1600" priority="15" operator="notEqual">
      <formula>$AF$89-$AF$92</formula>
    </cfRule>
  </conditionalFormatting>
  <conditionalFormatting sqref="AG88">
    <cfRule type="cellIs" dxfId="1599" priority="14" operator="equal">
      <formula>$AG$89-$AG$92</formula>
    </cfRule>
  </conditionalFormatting>
  <conditionalFormatting sqref="AG88">
    <cfRule type="cellIs" dxfId="1598" priority="13" operator="notEqual">
      <formula>$AG$89-$AG$92</formula>
    </cfRule>
  </conditionalFormatting>
  <conditionalFormatting sqref="AH88">
    <cfRule type="cellIs" dxfId="1597" priority="12" operator="equal">
      <formula>$AH$89-$AH$92</formula>
    </cfRule>
  </conditionalFormatting>
  <conditionalFormatting sqref="AH88">
    <cfRule type="cellIs" dxfId="1596" priority="11" operator="notEqual">
      <formula>$AH$89-$AH$92</formula>
    </cfRule>
  </conditionalFormatting>
  <conditionalFormatting sqref="AI88">
    <cfRule type="cellIs" dxfId="1595" priority="10" operator="equal">
      <formula>$AI$89-$AI$92</formula>
    </cfRule>
  </conditionalFormatting>
  <conditionalFormatting sqref="AI88">
    <cfRule type="cellIs" dxfId="1594" priority="9" operator="notEqual">
      <formula>$AI$89-$AI$92</formula>
    </cfRule>
  </conditionalFormatting>
  <conditionalFormatting sqref="AJ88">
    <cfRule type="cellIs" dxfId="1593" priority="8" operator="equal">
      <formula>$AJ$89-$AJ$92</formula>
    </cfRule>
  </conditionalFormatting>
  <conditionalFormatting sqref="AJ88">
    <cfRule type="cellIs" dxfId="1592" priority="7" operator="notEqual">
      <formula>$AJ$89-$AJ$92</formula>
    </cfRule>
  </conditionalFormatting>
  <conditionalFormatting sqref="AK88">
    <cfRule type="cellIs" dxfId="1591" priority="6" operator="equal">
      <formula>$AK$89-$AK$92</formula>
    </cfRule>
  </conditionalFormatting>
  <conditionalFormatting sqref="AK88">
    <cfRule type="cellIs" dxfId="1590" priority="5" operator="notEqual">
      <formula>$AK$89-$AK$92</formula>
    </cfRule>
  </conditionalFormatting>
  <conditionalFormatting sqref="AL88">
    <cfRule type="cellIs" dxfId="1589" priority="4" operator="equal">
      <formula>$AL$89-$AL$92</formula>
    </cfRule>
  </conditionalFormatting>
  <conditionalFormatting sqref="AL88">
    <cfRule type="cellIs" dxfId="1588" priority="3" operator="notEqual">
      <formula>$AL$89-$AL$92</formula>
    </cfRule>
  </conditionalFormatting>
  <conditionalFormatting sqref="AM88">
    <cfRule type="cellIs" dxfId="1587" priority="2" operator="equal">
      <formula>$AM$89-$AM$92</formula>
    </cfRule>
  </conditionalFormatting>
  <conditionalFormatting sqref="AM88">
    <cfRule type="cellIs" dxfId="1586" priority="1" operator="notEqual">
      <formula>$AM$89-$AM$92</formula>
    </cfRule>
  </conditionalFormatting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F5689-2F95-40F0-9810-48B18324E068}">
  <dimension ref="A1:AP93"/>
  <sheetViews>
    <sheetView showGridLines="0" topLeftCell="X70" workbookViewId="0">
      <selection activeCell="AO88" sqref="AO88:AP90"/>
    </sheetView>
  </sheetViews>
  <sheetFormatPr defaultColWidth="8.85546875" defaultRowHeight="11.25" customHeight="1" x14ac:dyDescent="0.25"/>
  <cols>
    <col min="1" max="1" width="9" style="9" bestFit="1" customWidth="1"/>
    <col min="2" max="2" width="19.42578125" style="9" bestFit="1" customWidth="1"/>
    <col min="3" max="3" width="12.7109375" style="9" bestFit="1" customWidth="1"/>
    <col min="4" max="4" width="23.140625" style="9" bestFit="1" customWidth="1"/>
    <col min="5" max="5" width="9.5703125" style="9" bestFit="1" customWidth="1"/>
    <col min="6" max="6" width="13.42578125" style="9" bestFit="1" customWidth="1"/>
    <col min="7" max="7" width="5.85546875" style="9" bestFit="1" customWidth="1"/>
    <col min="8" max="8" width="7.140625" style="9" bestFit="1" customWidth="1"/>
    <col min="9" max="9" width="9.140625" style="9" bestFit="1" customWidth="1"/>
    <col min="10" max="10" width="8.85546875" style="9"/>
    <col min="11" max="11" width="14.140625" style="9" bestFit="1" customWidth="1"/>
    <col min="12" max="12" width="3.85546875" style="9" bestFit="1" customWidth="1"/>
    <col min="13" max="13" width="9.140625" style="9" bestFit="1" customWidth="1"/>
    <col min="14" max="14" width="9.85546875" style="9" bestFit="1" customWidth="1"/>
    <col min="15" max="15" width="3.85546875" style="9" bestFit="1" customWidth="1"/>
    <col min="16" max="16" width="3.7109375" style="9" bestFit="1" customWidth="1"/>
    <col min="17" max="17" width="10.7109375" style="9" bestFit="1" customWidth="1"/>
    <col min="18" max="18" width="9.85546875" style="9" bestFit="1" customWidth="1"/>
    <col min="19" max="19" width="8" style="9" bestFit="1" customWidth="1"/>
    <col min="20" max="21" width="10.7109375" style="9" bestFit="1" customWidth="1"/>
    <col min="22" max="22" width="9.85546875" style="9" bestFit="1" customWidth="1"/>
    <col min="23" max="24" width="9.28515625" style="9" bestFit="1" customWidth="1"/>
    <col min="25" max="25" width="4.7109375" style="9" bestFit="1" customWidth="1"/>
    <col min="26" max="26" width="7.140625" style="9" bestFit="1" customWidth="1"/>
    <col min="27" max="27" width="9.28515625" style="9" bestFit="1" customWidth="1"/>
    <col min="28" max="28" width="10.7109375" style="9" bestFit="1" customWidth="1"/>
    <col min="29" max="29" width="11.140625" style="9" bestFit="1" customWidth="1"/>
    <col min="30" max="30" width="10.7109375" style="9" bestFit="1" customWidth="1"/>
    <col min="31" max="31" width="7.7109375" style="9" bestFit="1" customWidth="1"/>
    <col min="32" max="32" width="6.85546875" style="9" bestFit="1" customWidth="1"/>
    <col min="33" max="33" width="8.5703125" style="9" bestFit="1" customWidth="1"/>
    <col min="34" max="34" width="14.42578125" style="9" bestFit="1" customWidth="1"/>
    <col min="35" max="35" width="17.5703125" style="9" bestFit="1" customWidth="1"/>
    <col min="36" max="36" width="18.140625" style="9" bestFit="1" customWidth="1"/>
    <col min="37" max="37" width="9.85546875" style="9" bestFit="1" customWidth="1"/>
    <col min="38" max="38" width="10.7109375" style="9" bestFit="1" customWidth="1"/>
    <col min="39" max="39" width="11.85546875" style="9" bestFit="1" customWidth="1"/>
    <col min="40" max="40" width="8.85546875" style="9"/>
    <col min="41" max="42" width="11.85546875" style="9" bestFit="1" customWidth="1"/>
    <col min="43" max="16384" width="8.85546875" style="9"/>
  </cols>
  <sheetData>
    <row r="1" spans="1:42" ht="11.25" customHeight="1" x14ac:dyDescent="0.25">
      <c r="A1" s="120" t="s">
        <v>78</v>
      </c>
      <c r="B1" s="120" t="s">
        <v>79</v>
      </c>
      <c r="C1" s="120" t="s">
        <v>80</v>
      </c>
      <c r="D1" s="120" t="s">
        <v>81</v>
      </c>
      <c r="E1" s="120" t="s">
        <v>82</v>
      </c>
      <c r="F1" s="120" t="s">
        <v>15</v>
      </c>
      <c r="G1" s="120" t="s">
        <v>84</v>
      </c>
      <c r="H1" s="120" t="s">
        <v>85</v>
      </c>
      <c r="I1" s="120" t="s">
        <v>1055</v>
      </c>
      <c r="J1" s="112"/>
      <c r="L1" s="121" t="s">
        <v>1072</v>
      </c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  <c r="X1" s="121"/>
      <c r="Y1" s="121"/>
      <c r="Z1" s="121"/>
      <c r="AA1" s="121"/>
      <c r="AB1" s="121"/>
      <c r="AC1" s="121"/>
      <c r="AD1" s="121"/>
      <c r="AE1" s="121"/>
      <c r="AF1" s="121"/>
      <c r="AG1" s="121"/>
      <c r="AH1" s="121"/>
      <c r="AI1" s="121"/>
      <c r="AJ1" s="121"/>
      <c r="AK1" s="121"/>
      <c r="AL1" s="121"/>
      <c r="AM1" s="121"/>
      <c r="AO1" s="30"/>
      <c r="AP1" s="124" t="s">
        <v>1057</v>
      </c>
    </row>
    <row r="2" spans="1:42" ht="11.25" customHeight="1" x14ac:dyDescent="0.25">
      <c r="A2" s="120"/>
      <c r="B2" s="120"/>
      <c r="C2" s="120"/>
      <c r="D2" s="120"/>
      <c r="E2" s="120"/>
      <c r="F2" s="120"/>
      <c r="G2" s="120"/>
      <c r="H2" s="120"/>
      <c r="I2" s="120"/>
      <c r="J2" s="112"/>
      <c r="L2" s="121" t="s">
        <v>955</v>
      </c>
      <c r="M2" s="121"/>
      <c r="N2" s="121"/>
      <c r="O2" s="121"/>
      <c r="P2" s="121"/>
      <c r="Q2" s="121"/>
      <c r="R2" s="121"/>
      <c r="S2" s="121"/>
      <c r="T2" s="121"/>
      <c r="U2" s="121"/>
      <c r="V2" s="121"/>
      <c r="W2" s="121"/>
      <c r="X2" s="121"/>
      <c r="Y2" s="121"/>
      <c r="Z2" s="121"/>
      <c r="AA2" s="121"/>
      <c r="AB2" s="121"/>
      <c r="AC2" s="121"/>
      <c r="AD2" s="121"/>
      <c r="AE2" s="121"/>
      <c r="AF2" s="121"/>
      <c r="AG2" s="121"/>
      <c r="AH2" s="121"/>
      <c r="AI2" s="121"/>
      <c r="AJ2" s="121"/>
      <c r="AK2" s="121"/>
      <c r="AL2" s="121"/>
      <c r="AM2" s="121"/>
      <c r="AO2" s="30"/>
      <c r="AP2" s="125"/>
    </row>
    <row r="3" spans="1:42" ht="11.25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12"/>
      <c r="L3" s="121" t="s">
        <v>956</v>
      </c>
      <c r="M3" s="121"/>
      <c r="N3" s="121"/>
      <c r="O3" s="121"/>
      <c r="P3" s="121"/>
      <c r="Q3" s="121"/>
      <c r="R3" s="121"/>
      <c r="S3" s="121"/>
      <c r="T3" s="121"/>
      <c r="U3" s="121" t="s">
        <v>966</v>
      </c>
      <c r="V3" s="121"/>
      <c r="W3" s="121"/>
      <c r="X3" s="121"/>
      <c r="Y3" s="121"/>
      <c r="Z3" s="121"/>
      <c r="AA3" s="121"/>
      <c r="AB3" s="121"/>
      <c r="AC3" s="121" t="s">
        <v>974</v>
      </c>
      <c r="AD3" s="121"/>
      <c r="AE3" s="121" t="s">
        <v>976</v>
      </c>
      <c r="AF3" s="121"/>
      <c r="AG3" s="121"/>
      <c r="AH3" s="121" t="s">
        <v>979</v>
      </c>
      <c r="AI3" s="121"/>
      <c r="AJ3" s="121"/>
      <c r="AK3" s="121"/>
      <c r="AL3" s="121"/>
      <c r="AM3" s="121" t="s">
        <v>965</v>
      </c>
      <c r="AO3" s="30"/>
      <c r="AP3" s="125"/>
    </row>
    <row r="4" spans="1:42" ht="11.25" customHeight="1" x14ac:dyDescent="0.25">
      <c r="A4" s="120"/>
      <c r="B4" s="120"/>
      <c r="C4" s="120"/>
      <c r="D4" s="120"/>
      <c r="E4" s="120"/>
      <c r="F4" s="120"/>
      <c r="G4" s="120"/>
      <c r="H4" s="120"/>
      <c r="I4" s="120"/>
      <c r="J4" s="112"/>
      <c r="L4" s="26" t="s">
        <v>957</v>
      </c>
      <c r="M4" s="26" t="s">
        <v>958</v>
      </c>
      <c r="N4" s="26" t="s">
        <v>959</v>
      </c>
      <c r="O4" s="26" t="s">
        <v>960</v>
      </c>
      <c r="P4" s="26" t="s">
        <v>961</v>
      </c>
      <c r="Q4" s="26" t="s">
        <v>962</v>
      </c>
      <c r="R4" s="26" t="s">
        <v>963</v>
      </c>
      <c r="S4" s="26" t="s">
        <v>964</v>
      </c>
      <c r="T4" s="26" t="s">
        <v>965</v>
      </c>
      <c r="U4" s="26" t="s">
        <v>967</v>
      </c>
      <c r="V4" s="26" t="s">
        <v>968</v>
      </c>
      <c r="W4" s="26" t="s">
        <v>969</v>
      </c>
      <c r="X4" s="26" t="s">
        <v>970</v>
      </c>
      <c r="Y4" s="26" t="s">
        <v>971</v>
      </c>
      <c r="Z4" s="26" t="s">
        <v>972</v>
      </c>
      <c r="AA4" s="26" t="s">
        <v>973</v>
      </c>
      <c r="AB4" s="26" t="s">
        <v>965</v>
      </c>
      <c r="AC4" s="26" t="s">
        <v>975</v>
      </c>
      <c r="AD4" s="26" t="s">
        <v>965</v>
      </c>
      <c r="AE4" s="26" t="s">
        <v>977</v>
      </c>
      <c r="AF4" s="26" t="s">
        <v>978</v>
      </c>
      <c r="AG4" s="26" t="s">
        <v>965</v>
      </c>
      <c r="AH4" s="26" t="s">
        <v>980</v>
      </c>
      <c r="AI4" s="26" t="s">
        <v>981</v>
      </c>
      <c r="AJ4" s="26" t="s">
        <v>982</v>
      </c>
      <c r="AK4" s="26" t="s">
        <v>983</v>
      </c>
      <c r="AL4" s="26" t="s">
        <v>965</v>
      </c>
      <c r="AM4" s="123"/>
      <c r="AO4" s="31" t="s">
        <v>1074</v>
      </c>
      <c r="AP4" s="126"/>
    </row>
    <row r="5" spans="1:42" ht="11.25" customHeight="1" x14ac:dyDescent="0.25">
      <c r="A5" s="119" t="s">
        <v>43</v>
      </c>
      <c r="B5" s="119" t="s">
        <v>41</v>
      </c>
      <c r="C5" s="119" t="s">
        <v>25</v>
      </c>
      <c r="D5" s="119" t="s">
        <v>25</v>
      </c>
      <c r="E5" s="119" t="s">
        <v>25</v>
      </c>
      <c r="F5" s="119" t="s">
        <v>25</v>
      </c>
      <c r="G5" s="21" t="s">
        <v>92</v>
      </c>
      <c r="H5" s="21" t="s">
        <v>91</v>
      </c>
      <c r="I5" s="21">
        <f>'MERCADO TUSD'!$U$2</f>
        <v>425013</v>
      </c>
      <c r="J5" s="17"/>
      <c r="L5" s="25">
        <f>'TUSD BE'!$L$5*'TUSD BE'!$L$93</f>
        <v>0</v>
      </c>
      <c r="M5" s="25">
        <f>'TUSD BE'!$M$5*'TUSD BE'!$M$93</f>
        <v>0</v>
      </c>
      <c r="N5" s="25">
        <f ca="1">'TUSD BE'!$N$5*'TUSD BE'!$N$93</f>
        <v>0</v>
      </c>
      <c r="O5" s="25">
        <f>'TUSD BE'!$O$5*'TUSD BE'!$O$93</f>
        <v>0</v>
      </c>
      <c r="P5" s="25">
        <f>'TUSD BE'!$P$5*'TUSD BE'!$P$93</f>
        <v>0</v>
      </c>
      <c r="Q5" s="25">
        <f>'TUSD BE'!$Q$5*'TUSD BE'!$Q$93</f>
        <v>0</v>
      </c>
      <c r="R5" s="25">
        <f>'TUSD BE'!$R$5*'TUSD BE'!$R$93</f>
        <v>0</v>
      </c>
      <c r="S5" s="25">
        <f>'TUSD BE'!$R$5*'TUSD BE'!$S$93</f>
        <v>0</v>
      </c>
      <c r="T5" s="25">
        <f ca="1">SUM($L$5:$S$5)</f>
        <v>0</v>
      </c>
      <c r="U5" s="25">
        <f>'TUSD BE'!$U$5*'TUSD BE'!$U$93</f>
        <v>-5.7512426884623276E-2</v>
      </c>
      <c r="V5" s="25">
        <f>'TUSD BE'!$V$5*'TUSD BE'!$V$93</f>
        <v>9.1680681655142982E-2</v>
      </c>
      <c r="W5" s="25">
        <f>'TUSD BE'!$W$5*'TUSD BE'!$W$93</f>
        <v>9.9464439185965089E-4</v>
      </c>
      <c r="X5" s="25">
        <f>'TUSD BE'!$X$5*'TUSD BE'!$X$93</f>
        <v>0</v>
      </c>
      <c r="Y5" s="25">
        <f>'TUSD BE'!$Y$5*'TUSD BE'!$Y$93</f>
        <v>0</v>
      </c>
      <c r="Z5" s="25">
        <f>'TUSD BE'!$Z$5*'TUSD BE'!$Z$93</f>
        <v>0</v>
      </c>
      <c r="AA5" s="25">
        <f>'TUSD BE'!$AA$5*'TUSD BE'!$AA$93</f>
        <v>0</v>
      </c>
      <c r="AB5" s="25">
        <f>SUM($U$5:$AA$5)</f>
        <v>3.5162899162379357E-2</v>
      </c>
      <c r="AC5" s="25">
        <f>'TUSD BE'!$AC$5*'TUSD BE'!$AC$93</f>
        <v>0</v>
      </c>
      <c r="AD5" s="25">
        <f>SUM($AC$5:$AC$5)</f>
        <v>0</v>
      </c>
      <c r="AE5" s="25">
        <f ca="1">$AO$5*$AO$90</f>
        <v>0</v>
      </c>
      <c r="AF5" s="25">
        <f ca="1">$AP$5*$AP$90</f>
        <v>0</v>
      </c>
      <c r="AG5" s="25">
        <f ca="1">SUM($AE$5:$AF$5)</f>
        <v>0</v>
      </c>
      <c r="AH5" s="25">
        <f>'TUSD BE'!$AH$5*'TUSD BE'!$AH$93</f>
        <v>0</v>
      </c>
      <c r="AI5" s="25">
        <f>'TUSD BE'!$AI$5*'TUSD BE'!$AI$93</f>
        <v>0</v>
      </c>
      <c r="AJ5" s="25">
        <f ca="1">'TUSD BE'!$AJ$5*'TUSD BE'!$AJ$93</f>
        <v>0</v>
      </c>
      <c r="AK5" s="25">
        <f ca="1">'TUSD BE'!$AK$5*'TUSD BE'!$AK$93</f>
        <v>0</v>
      </c>
      <c r="AL5" s="25">
        <f ca="1">SUM($AH$5:$AK$5)</f>
        <v>0</v>
      </c>
      <c r="AM5" s="25">
        <f ca="1">SUMIF($L$4:$AL$4,"SUBTOTAL",$L$5:$AL$5)</f>
        <v>3.5162899162379357E-2</v>
      </c>
      <c r="AO5" s="30">
        <f ca="1">+'TUSD BE'!$T$5+'TUSD BE'!$AB$5+'TUSD BE'!$AD$5+'TUSD BE'!$AL$5</f>
        <v>12.794504137088236</v>
      </c>
      <c r="AP5" s="30">
        <f ca="1">+'TUSD BE'!$T$5+'TUSD BE'!$AB$5+'TUSD BE'!$AD$5+'TUSD BE'!$AL$5</f>
        <v>12.794504137088236</v>
      </c>
    </row>
    <row r="6" spans="1:42" ht="11.25" customHeight="1" x14ac:dyDescent="0.25">
      <c r="A6" s="119"/>
      <c r="B6" s="119"/>
      <c r="C6" s="119"/>
      <c r="D6" s="119"/>
      <c r="E6" s="119"/>
      <c r="F6" s="119"/>
      <c r="G6" s="21" t="s">
        <v>93</v>
      </c>
      <c r="H6" s="21" t="s">
        <v>91</v>
      </c>
      <c r="I6" s="21">
        <f>'MERCADO TUSD'!$U$3</f>
        <v>1106400</v>
      </c>
      <c r="J6" s="17"/>
      <c r="L6" s="25">
        <f>'TUSD BE'!$L$6*'TUSD BE'!$L$93</f>
        <v>0</v>
      </c>
      <c r="M6" s="25">
        <f>'TUSD BE'!$M$6*'TUSD BE'!$M$93</f>
        <v>0</v>
      </c>
      <c r="N6" s="25">
        <f ca="1">'TUSD BE'!$N$6*'TUSD BE'!$N$93</f>
        <v>0</v>
      </c>
      <c r="O6" s="25">
        <f>'TUSD BE'!$O$6*'TUSD BE'!$O$93</f>
        <v>0</v>
      </c>
      <c r="P6" s="25">
        <f>'TUSD BE'!$P$6*'TUSD BE'!$P$93</f>
        <v>0</v>
      </c>
      <c r="Q6" s="25">
        <f>'TUSD BE'!$Q$6*'TUSD BE'!$Q$93</f>
        <v>0</v>
      </c>
      <c r="R6" s="25">
        <f>'TUSD BE'!$R$6*'TUSD BE'!$R$93</f>
        <v>0</v>
      </c>
      <c r="S6" s="25">
        <f>'TUSD BE'!$R$6*'TUSD BE'!$S$93</f>
        <v>0</v>
      </c>
      <c r="T6" s="25">
        <f ca="1">SUM($L$6:$S$6)</f>
        <v>0</v>
      </c>
      <c r="U6" s="25">
        <f>'TUSD BE'!$U$6*'TUSD BE'!$U$93</f>
        <v>-4.4343994529322861E-2</v>
      </c>
      <c r="V6" s="25">
        <f>'TUSD BE'!$V$6*'TUSD BE'!$V$93</f>
        <v>7.2665773543097611E-2</v>
      </c>
      <c r="W6" s="25">
        <f>'TUSD BE'!$W$6*'TUSD BE'!$W$93</f>
        <v>7.0792292175725152E-4</v>
      </c>
      <c r="X6" s="25">
        <f>'TUSD BE'!$X$6*'TUSD BE'!$X$93</f>
        <v>0</v>
      </c>
      <c r="Y6" s="25">
        <f>'TUSD BE'!$Y$6*'TUSD BE'!$Y$93</f>
        <v>0</v>
      </c>
      <c r="Z6" s="25">
        <f>'TUSD BE'!$Z$6*'TUSD BE'!$Z$93</f>
        <v>0</v>
      </c>
      <c r="AA6" s="25">
        <f>'TUSD BE'!$AA$6*'TUSD BE'!$AA$93</f>
        <v>0</v>
      </c>
      <c r="AB6" s="25">
        <f>SUM($U$6:$AA$6)</f>
        <v>2.9029701935532001E-2</v>
      </c>
      <c r="AC6" s="25">
        <f>'TUSD BE'!$AC$6*'TUSD BE'!$AC$93</f>
        <v>0</v>
      </c>
      <c r="AD6" s="25">
        <f>SUM($AC$6:$AC$6)</f>
        <v>0</v>
      </c>
      <c r="AE6" s="25">
        <f ca="1">$AO$6*$AO$90</f>
        <v>0</v>
      </c>
      <c r="AF6" s="25">
        <f ca="1">$AP$6*$AP$90</f>
        <v>0</v>
      </c>
      <c r="AG6" s="25">
        <f ca="1">SUM($AE$6:$AF$6)</f>
        <v>0</v>
      </c>
      <c r="AH6" s="25">
        <f>'TUSD BE'!$AH$6*'TUSD BE'!$AH$93</f>
        <v>0</v>
      </c>
      <c r="AI6" s="25">
        <f>'TUSD BE'!$AI$6*'TUSD BE'!$AI$93</f>
        <v>0</v>
      </c>
      <c r="AJ6" s="25">
        <f ca="1">'TUSD BE'!$AJ$6*'TUSD BE'!$AJ$93</f>
        <v>0</v>
      </c>
      <c r="AK6" s="25">
        <f ca="1">'TUSD BE'!$AK$6*'TUSD BE'!$AK$93</f>
        <v>0</v>
      </c>
      <c r="AL6" s="25">
        <f ca="1">SUM($AH$6:$AK$6)</f>
        <v>0</v>
      </c>
      <c r="AM6" s="25">
        <f ca="1">SUMIF($L$4:$AL$4,"SUBTOTAL",$L$6:$AL$6)</f>
        <v>2.9029701935532001E-2</v>
      </c>
      <c r="AO6" s="30">
        <f ca="1">+'TUSD BE'!$T$6+'TUSD BE'!$AB$6+'TUSD BE'!$AD$6+'TUSD BE'!$AL$6</f>
        <v>7.9070588734157443</v>
      </c>
      <c r="AP6" s="30">
        <f ca="1">+'TUSD BE'!$T$6+'TUSD BE'!$AB$6+'TUSD BE'!$AD$6+'TUSD BE'!$AL$6</f>
        <v>7.9070588734157443</v>
      </c>
    </row>
    <row r="7" spans="1:42" ht="11.25" customHeight="1" x14ac:dyDescent="0.25">
      <c r="A7" s="119"/>
      <c r="B7" s="119"/>
      <c r="C7" s="119"/>
      <c r="D7" s="119"/>
      <c r="E7" s="119"/>
      <c r="F7" s="119"/>
      <c r="G7" s="21" t="s">
        <v>94</v>
      </c>
      <c r="H7" s="21" t="s">
        <v>88</v>
      </c>
      <c r="I7" s="21">
        <f>'MERCADO TUSD'!$U$4</f>
        <v>381591.69400000002</v>
      </c>
      <c r="J7" s="17"/>
      <c r="L7" s="25">
        <f>'TUSD BE'!$L$7*'TUSD BE'!$L$93</f>
        <v>0</v>
      </c>
      <c r="M7" s="25">
        <f>'TUSD BE'!$M$7*'TUSD BE'!$M$93</f>
        <v>-1.969929556300971E-3</v>
      </c>
      <c r="N7" s="25">
        <f ca="1">'TUSD BE'!$N$7*'TUSD BE'!$N$93</f>
        <v>2.7680921681028048E-5</v>
      </c>
      <c r="O7" s="25">
        <f>'TUSD BE'!$O$7*'TUSD BE'!$O$93</f>
        <v>0</v>
      </c>
      <c r="P7" s="25">
        <f>'TUSD BE'!$P$7*'TUSD BE'!$P$93</f>
        <v>0</v>
      </c>
      <c r="Q7" s="25">
        <f>'TUSD BE'!$Q$7*'TUSD BE'!$Q$93</f>
        <v>-1.4615739744735203</v>
      </c>
      <c r="R7" s="25">
        <f>'TUSD BE'!$R$7*'TUSD BE'!$R$93</f>
        <v>-3.0415214814016535E-3</v>
      </c>
      <c r="S7" s="25">
        <f>'TUSD BE'!$R$7*'TUSD BE'!$S$93</f>
        <v>0</v>
      </c>
      <c r="T7" s="25">
        <f ca="1">SUM($L$7:$S$7)</f>
        <v>-1.4665577445895419</v>
      </c>
      <c r="U7" s="25">
        <f>'TUSD BE'!$U$7*'TUSD BE'!$U$93</f>
        <v>0</v>
      </c>
      <c r="V7" s="25">
        <f>'TUSD BE'!$V$7*'TUSD BE'!$V$93</f>
        <v>0</v>
      </c>
      <c r="W7" s="25">
        <f>'TUSD BE'!$W$7*'TUSD BE'!$W$93</f>
        <v>0</v>
      </c>
      <c r="X7" s="25">
        <f>'TUSD BE'!$X$7*'TUSD BE'!$X$93</f>
        <v>0</v>
      </c>
      <c r="Y7" s="25">
        <f>'TUSD BE'!$Y$7*'TUSD BE'!$Y$93</f>
        <v>0</v>
      </c>
      <c r="Z7" s="25">
        <f>'TUSD BE'!$Z$7*'TUSD BE'!$Z$93</f>
        <v>0</v>
      </c>
      <c r="AA7" s="25">
        <f>'TUSD BE'!$AA$7*'TUSD BE'!$AA$93</f>
        <v>0</v>
      </c>
      <c r="AB7" s="25">
        <f>SUM($U$7:$AA$7)</f>
        <v>0</v>
      </c>
      <c r="AC7" s="25">
        <f>'TUSD BE'!$AC$7*'TUSD BE'!$AC$93</f>
        <v>0</v>
      </c>
      <c r="AD7" s="25">
        <f>SUM($AC$7:$AC$7)</f>
        <v>0</v>
      </c>
      <c r="AE7" s="25">
        <f ca="1">$AO$7*$AO$90</f>
        <v>0</v>
      </c>
      <c r="AF7" s="25">
        <f ca="1">$AP$7*$AP$90</f>
        <v>0</v>
      </c>
      <c r="AG7" s="25">
        <f ca="1">SUM($AE$7:$AF$7)</f>
        <v>0</v>
      </c>
      <c r="AH7" s="25">
        <f>'TUSD BE'!$AH$7*'TUSD BE'!$AH$93</f>
        <v>-0.8003194550148679</v>
      </c>
      <c r="AI7" s="25">
        <f>'TUSD BE'!$AI$7*'TUSD BE'!$AI$93</f>
        <v>-3.0082684168277116E-2</v>
      </c>
      <c r="AJ7" s="25">
        <f ca="1">'TUSD BE'!$AJ$7*'TUSD BE'!$AJ$93</f>
        <v>-0.63315782604921833</v>
      </c>
      <c r="AK7" s="25">
        <f ca="1">'TUSD BE'!$AK$7*'TUSD BE'!$AK$93</f>
        <v>1.366877716646785E-2</v>
      </c>
      <c r="AL7" s="25">
        <f ca="1">SUM($AH$7:$AK$7)</f>
        <v>-1.4498911880658956</v>
      </c>
      <c r="AM7" s="25">
        <f ca="1">SUMIF($L$4:$AL$4,"SUBTOTAL",$L$7:$AL$7)</f>
        <v>-2.9164489326554373</v>
      </c>
      <c r="AO7" s="30">
        <f ca="1">+'TUSD BE'!$T$7+'TUSD BE'!$AB$7+'TUSD BE'!$AD$7+'TUSD BE'!$AL$7</f>
        <v>62.166336701141361</v>
      </c>
      <c r="AP7" s="30">
        <f ca="1">+'TUSD BE'!$T$7+'TUSD BE'!$AB$7+'TUSD BE'!$AD$7+'TUSD BE'!$AL$7</f>
        <v>62.166336701141361</v>
      </c>
    </row>
    <row r="8" spans="1:42" ht="11.25" customHeight="1" x14ac:dyDescent="0.25">
      <c r="A8" s="119"/>
      <c r="B8" s="119"/>
      <c r="C8" s="119"/>
      <c r="D8" s="119"/>
      <c r="E8" s="28" t="s">
        <v>61</v>
      </c>
      <c r="F8" s="28" t="s">
        <v>25</v>
      </c>
      <c r="G8" s="21" t="s">
        <v>94</v>
      </c>
      <c r="H8" s="21" t="s">
        <v>88</v>
      </c>
      <c r="I8" s="21">
        <f>'MERCADO TUSD'!$U$5</f>
        <v>110588.63</v>
      </c>
      <c r="J8" s="17"/>
      <c r="L8" s="25">
        <f>'TUSD BE'!$L$8*'TUSD BE'!$L$93</f>
        <v>0</v>
      </c>
      <c r="M8" s="25">
        <f>'TUSD BE'!$M$8*'TUSD BE'!$M$93</f>
        <v>-1.969929556300971E-3</v>
      </c>
      <c r="N8" s="25">
        <f ca="1">'TUSD BE'!$N$8*'TUSD BE'!$N$93</f>
        <v>2.5734266462648863E-5</v>
      </c>
      <c r="O8" s="25">
        <f>'TUSD BE'!$O$8*'TUSD BE'!$O$93</f>
        <v>0</v>
      </c>
      <c r="P8" s="25">
        <f>'TUSD BE'!$P$8*'TUSD BE'!$P$93</f>
        <v>0</v>
      </c>
      <c r="Q8" s="25">
        <f>'TUSD BE'!$Q$8*'TUSD BE'!$Q$93</f>
        <v>0</v>
      </c>
      <c r="R8" s="25">
        <f>'TUSD BE'!$R$8*'TUSD BE'!$R$93</f>
        <v>0</v>
      </c>
      <c r="S8" s="25">
        <f>'TUSD BE'!$R$8*'TUSD BE'!$S$93</f>
        <v>0</v>
      </c>
      <c r="T8" s="25">
        <f ca="1">SUM($L$8:$S$8)</f>
        <v>-1.9441952898383221E-3</v>
      </c>
      <c r="U8" s="25">
        <f>'TUSD BE'!$U$8*'TUSD BE'!$U$93</f>
        <v>0</v>
      </c>
      <c r="V8" s="25">
        <f>'TUSD BE'!$V$8*'TUSD BE'!$V$93</f>
        <v>0</v>
      </c>
      <c r="W8" s="25">
        <f>'TUSD BE'!$W$8*'TUSD BE'!$W$93</f>
        <v>0</v>
      </c>
      <c r="X8" s="25">
        <f>'TUSD BE'!$X$8*'TUSD BE'!$X$93</f>
        <v>0</v>
      </c>
      <c r="Y8" s="25">
        <f>'TUSD BE'!$Y$8*'TUSD BE'!$Y$93</f>
        <v>0</v>
      </c>
      <c r="Z8" s="25">
        <f>'TUSD BE'!$Z$8*'TUSD BE'!$Z$93</f>
        <v>0</v>
      </c>
      <c r="AA8" s="25">
        <f>'TUSD BE'!$AA$8*'TUSD BE'!$AA$93</f>
        <v>0</v>
      </c>
      <c r="AB8" s="25">
        <f>SUM($U$8:$AA$8)</f>
        <v>0</v>
      </c>
      <c r="AC8" s="25">
        <f>'TUSD BE'!$AC$8*'TUSD BE'!$AC$93</f>
        <v>0</v>
      </c>
      <c r="AD8" s="25">
        <f>SUM($AC$8:$AC$8)</f>
        <v>0</v>
      </c>
      <c r="AE8" s="25">
        <f ca="1">$AO$8*$AO$90</f>
        <v>0</v>
      </c>
      <c r="AF8" s="25">
        <f ca="1">$AP$8*$AP$90</f>
        <v>0</v>
      </c>
      <c r="AG8" s="25">
        <f ca="1">SUM($AE$8:$AF$8)</f>
        <v>0</v>
      </c>
      <c r="AH8" s="25">
        <f>'TUSD BE'!$AH$8*'TUSD BE'!$AH$93</f>
        <v>-0.8003194550148679</v>
      </c>
      <c r="AI8" s="25">
        <f>'TUSD BE'!$AI$8*'TUSD BE'!$AI$93</f>
        <v>-3.0082684168277116E-2</v>
      </c>
      <c r="AJ8" s="25">
        <f ca="1">'TUSD BE'!$AJ$8*'TUSD BE'!$AJ$93</f>
        <v>-0.63315782604921833</v>
      </c>
      <c r="AK8" s="25">
        <f ca="1">'TUSD BE'!$AK$8*'TUSD BE'!$AK$93</f>
        <v>1.366877716646785E-2</v>
      </c>
      <c r="AL8" s="25">
        <f ca="1">SUM($AH$8:$AK$8)</f>
        <v>-1.4498911880658956</v>
      </c>
      <c r="AM8" s="25">
        <f ca="1">SUMIF($L$4:$AL$4,"SUBTOTAL",$L$8:$AL$8)</f>
        <v>-1.4518353833557338</v>
      </c>
      <c r="AO8" s="30">
        <f ca="1">+'TUSD BE'!$T$8+'TUSD BE'!$AB$8+'TUSD BE'!$AD$8+'TUSD BE'!$AL$8</f>
        <v>9.2880896190666551</v>
      </c>
      <c r="AP8" s="30">
        <f ca="1">+'TUSD BE'!$T$8+'TUSD BE'!$AB$8+'TUSD BE'!$AD$8+'TUSD BE'!$AL$8</f>
        <v>9.2880896190666551</v>
      </c>
    </row>
    <row r="9" spans="1:42" ht="11.25" customHeight="1" x14ac:dyDescent="0.25">
      <c r="A9" s="119"/>
      <c r="B9" s="119" t="s">
        <v>67</v>
      </c>
      <c r="C9" s="119" t="s">
        <v>25</v>
      </c>
      <c r="D9" s="119" t="s">
        <v>25</v>
      </c>
      <c r="E9" s="119" t="s">
        <v>25</v>
      </c>
      <c r="F9" s="119" t="s">
        <v>68</v>
      </c>
      <c r="G9" s="21" t="s">
        <v>92</v>
      </c>
      <c r="H9" s="21" t="s">
        <v>91</v>
      </c>
      <c r="I9" s="21">
        <f>'MERCADO TUSD'!$U$6</f>
        <v>648000</v>
      </c>
      <c r="J9" s="17"/>
      <c r="L9" s="25">
        <f>'TUSD BE'!$L$9*'TUSD BE'!$L$93</f>
        <v>0</v>
      </c>
      <c r="M9" s="25">
        <f>'TUSD BE'!$M$9*'TUSD BE'!$M$93</f>
        <v>0</v>
      </c>
      <c r="N9" s="25">
        <f ca="1">'TUSD BE'!$N$9*'TUSD BE'!$N$93</f>
        <v>0</v>
      </c>
      <c r="O9" s="25">
        <f>'TUSD BE'!$O$9*'TUSD BE'!$O$93</f>
        <v>0</v>
      </c>
      <c r="P9" s="25">
        <f>'TUSD BE'!$P$9*'TUSD BE'!$P$93</f>
        <v>0</v>
      </c>
      <c r="Q9" s="25">
        <f>'TUSD BE'!$Q$9*'TUSD BE'!$Q$93</f>
        <v>0</v>
      </c>
      <c r="R9" s="25">
        <f>'TUSD BE'!$R$9*'TUSD BE'!$R$93</f>
        <v>0</v>
      </c>
      <c r="S9" s="25">
        <f>'TUSD BE'!$R$9*'TUSD BE'!$S$93</f>
        <v>0</v>
      </c>
      <c r="T9" s="25">
        <f ca="1">SUM($L$9:$S$9)</f>
        <v>0</v>
      </c>
      <c r="U9" s="25">
        <f>'TUSD BE'!$U$9*'TUSD BE'!$U$93</f>
        <v>-5.7512426884623276E-2</v>
      </c>
      <c r="V9" s="25">
        <f>'TUSD BE'!$V$9*'TUSD BE'!$V$93</f>
        <v>9.1680681655142982E-2</v>
      </c>
      <c r="W9" s="25">
        <f>'TUSD BE'!$W$9*'TUSD BE'!$W$93</f>
        <v>9.9464439185965089E-4</v>
      </c>
      <c r="X9" s="25">
        <f>'TUSD BE'!$X$9*'TUSD BE'!$X$93</f>
        <v>0</v>
      </c>
      <c r="Y9" s="25">
        <f>'TUSD BE'!$Y$9*'TUSD BE'!$Y$93</f>
        <v>0</v>
      </c>
      <c r="Z9" s="25">
        <f>'TUSD BE'!$Z$9*'TUSD BE'!$Z$93</f>
        <v>0</v>
      </c>
      <c r="AA9" s="25">
        <f>'TUSD BE'!$AA$9*'TUSD BE'!$AA$93</f>
        <v>0</v>
      </c>
      <c r="AB9" s="25">
        <f>SUM($U$9:$AA$9)</f>
        <v>3.5162899162379357E-2</v>
      </c>
      <c r="AC9" s="25">
        <f>'TUSD BE'!$AC$9*'TUSD BE'!$AC$93</f>
        <v>0</v>
      </c>
      <c r="AD9" s="25">
        <f>SUM($AC$9:$AC$9)</f>
        <v>0</v>
      </c>
      <c r="AE9" s="25">
        <v>0</v>
      </c>
      <c r="AF9" s="25">
        <f ca="1">$AP$9*$AP$90</f>
        <v>0</v>
      </c>
      <c r="AG9" s="25">
        <f ca="1">SUM($AE$9:$AF$9)</f>
        <v>0</v>
      </c>
      <c r="AH9" s="25">
        <f>'TUSD BE'!$AH$9*'TUSD BE'!$AH$93</f>
        <v>0</v>
      </c>
      <c r="AI9" s="25">
        <f>'TUSD BE'!$AI$9*'TUSD BE'!$AI$93</f>
        <v>0</v>
      </c>
      <c r="AJ9" s="25">
        <f ca="1">'TUSD BE'!$AJ$9*'TUSD BE'!$AJ$93</f>
        <v>0</v>
      </c>
      <c r="AK9" s="25">
        <f ca="1">'TUSD BE'!$AK$9*'TUSD BE'!$AK$93</f>
        <v>0</v>
      </c>
      <c r="AL9" s="25">
        <f ca="1">SUM($AH$9:$AK$9)</f>
        <v>0</v>
      </c>
      <c r="AM9" s="25">
        <f ca="1">SUMIF($L$4:$AL$4,"SUBTOTAL",$L$9:$AL$9)</f>
        <v>3.5162899162379357E-2</v>
      </c>
      <c r="AO9" s="30"/>
      <c r="AP9" s="30">
        <f ca="1">+'TUSD BE'!$T$9+'TUSD BE'!$AB$9+'TUSD BE'!$AD$9+'TUSD BE'!$AL$9</f>
        <v>12.794504137088236</v>
      </c>
    </row>
    <row r="10" spans="1:42" ht="11.25" customHeight="1" x14ac:dyDescent="0.25">
      <c r="A10" s="119"/>
      <c r="B10" s="119"/>
      <c r="C10" s="119"/>
      <c r="D10" s="119"/>
      <c r="E10" s="119"/>
      <c r="F10" s="119"/>
      <c r="G10" s="21" t="s">
        <v>93</v>
      </c>
      <c r="H10" s="21" t="s">
        <v>91</v>
      </c>
      <c r="I10" s="21">
        <f>'MERCADO TUSD'!$U$7</f>
        <v>751668</v>
      </c>
      <c r="J10" s="17"/>
      <c r="L10" s="25">
        <f>'TUSD BE'!$L$10*'TUSD BE'!$L$93</f>
        <v>0</v>
      </c>
      <c r="M10" s="25">
        <f>'TUSD BE'!$M$10*'TUSD BE'!$M$93</f>
        <v>0</v>
      </c>
      <c r="N10" s="25">
        <f ca="1">'TUSD BE'!$N$10*'TUSD BE'!$N$93</f>
        <v>0</v>
      </c>
      <c r="O10" s="25">
        <f>'TUSD BE'!$O$10*'TUSD BE'!$O$93</f>
        <v>0</v>
      </c>
      <c r="P10" s="25">
        <f>'TUSD BE'!$P$10*'TUSD BE'!$P$93</f>
        <v>0</v>
      </c>
      <c r="Q10" s="25">
        <f>'TUSD BE'!$Q$10*'TUSD BE'!$Q$93</f>
        <v>0</v>
      </c>
      <c r="R10" s="25">
        <f>'TUSD BE'!$R$10*'TUSD BE'!$R$93</f>
        <v>0</v>
      </c>
      <c r="S10" s="25">
        <f>'TUSD BE'!$R$10*'TUSD BE'!$S$93</f>
        <v>0</v>
      </c>
      <c r="T10" s="25">
        <f ca="1">SUM($L$10:$S$10)</f>
        <v>0</v>
      </c>
      <c r="U10" s="25">
        <f>'TUSD BE'!$U$10*'TUSD BE'!$U$93</f>
        <v>-4.4343994529322861E-2</v>
      </c>
      <c r="V10" s="25">
        <f>'TUSD BE'!$V$10*'TUSD BE'!$V$93</f>
        <v>7.2665773543097611E-2</v>
      </c>
      <c r="W10" s="25">
        <f>'TUSD BE'!$W$10*'TUSD BE'!$W$93</f>
        <v>7.0792292175725152E-4</v>
      </c>
      <c r="X10" s="25">
        <f>'TUSD BE'!$X$10*'TUSD BE'!$X$93</f>
        <v>0</v>
      </c>
      <c r="Y10" s="25">
        <f>'TUSD BE'!$Y$10*'TUSD BE'!$Y$93</f>
        <v>0</v>
      </c>
      <c r="Z10" s="25">
        <f>'TUSD BE'!$Z$10*'TUSD BE'!$Z$93</f>
        <v>0</v>
      </c>
      <c r="AA10" s="25">
        <f>'TUSD BE'!$AA$10*'TUSD BE'!$AA$93</f>
        <v>0</v>
      </c>
      <c r="AB10" s="25">
        <f>SUM($U$10:$AA$10)</f>
        <v>2.9029701935532001E-2</v>
      </c>
      <c r="AC10" s="25">
        <f>'TUSD BE'!$AC$10*'TUSD BE'!$AC$93</f>
        <v>0</v>
      </c>
      <c r="AD10" s="25">
        <f>SUM($AC$10:$AC$10)</f>
        <v>0</v>
      </c>
      <c r="AE10" s="25">
        <v>0</v>
      </c>
      <c r="AF10" s="25">
        <f ca="1">$AP$10*$AP$90</f>
        <v>0</v>
      </c>
      <c r="AG10" s="25">
        <f ca="1">SUM($AE$10:$AF$10)</f>
        <v>0</v>
      </c>
      <c r="AH10" s="25">
        <f>'TUSD BE'!$AH$10*'TUSD BE'!$AH$93</f>
        <v>0</v>
      </c>
      <c r="AI10" s="25">
        <f>'TUSD BE'!$AI$10*'TUSD BE'!$AI$93</f>
        <v>0</v>
      </c>
      <c r="AJ10" s="25">
        <f ca="1">'TUSD BE'!$AJ$10*'TUSD BE'!$AJ$93</f>
        <v>0</v>
      </c>
      <c r="AK10" s="25">
        <f ca="1">'TUSD BE'!$AK$10*'TUSD BE'!$AK$93</f>
        <v>0</v>
      </c>
      <c r="AL10" s="25">
        <f ca="1">SUM($AH$10:$AK$10)</f>
        <v>0</v>
      </c>
      <c r="AM10" s="25">
        <f ca="1">SUMIF($L$4:$AL$4,"SUBTOTAL",$L$10:$AL$10)</f>
        <v>2.9029701935532001E-2</v>
      </c>
      <c r="AO10" s="30"/>
      <c r="AP10" s="30">
        <f ca="1">+'TUSD BE'!$T$10+'TUSD BE'!$AB$10+'TUSD BE'!$AD$10+'TUSD BE'!$AL$10</f>
        <v>7.9070588734157443</v>
      </c>
    </row>
    <row r="11" spans="1:42" ht="11.25" customHeight="1" x14ac:dyDescent="0.25">
      <c r="A11" s="119"/>
      <c r="B11" s="119"/>
      <c r="C11" s="119"/>
      <c r="D11" s="119"/>
      <c r="E11" s="119"/>
      <c r="F11" s="119"/>
      <c r="G11" s="21" t="s">
        <v>94</v>
      </c>
      <c r="H11" s="21" t="s">
        <v>88</v>
      </c>
      <c r="I11" s="21">
        <f>'MERCADO TUSD'!$U$8</f>
        <v>172728.277</v>
      </c>
      <c r="J11" s="17"/>
      <c r="L11" s="25">
        <f>'TUSD BE'!$L$11*'TUSD BE'!$L$93</f>
        <v>0</v>
      </c>
      <c r="M11" s="25">
        <f>'TUSD BE'!$M$11*'TUSD BE'!$M$93</f>
        <v>0</v>
      </c>
      <c r="N11" s="25">
        <f ca="1">'TUSD BE'!$N$11*'TUSD BE'!$N$93</f>
        <v>0</v>
      </c>
      <c r="O11" s="25">
        <f>'TUSD BE'!$O$11*'TUSD BE'!$O$93</f>
        <v>0</v>
      </c>
      <c r="P11" s="25">
        <f>'TUSD BE'!$P$11*'TUSD BE'!$P$93</f>
        <v>0</v>
      </c>
      <c r="Q11" s="25">
        <f>'TUSD BE'!$Q$11*'TUSD BE'!$Q$93</f>
        <v>0</v>
      </c>
      <c r="R11" s="25">
        <f>'TUSD BE'!$R$11*'TUSD BE'!$R$93</f>
        <v>0</v>
      </c>
      <c r="S11" s="25">
        <f>'TUSD BE'!$R$11*'TUSD BE'!$S$93</f>
        <v>0</v>
      </c>
      <c r="T11" s="25">
        <f ca="1">SUM($L$11:$S$11)</f>
        <v>0</v>
      </c>
      <c r="U11" s="25">
        <f>'TUSD BE'!$U$11*'TUSD BE'!$U$93</f>
        <v>0</v>
      </c>
      <c r="V11" s="25">
        <f>'TUSD BE'!$V$11*'TUSD BE'!$V$93</f>
        <v>0</v>
      </c>
      <c r="W11" s="25">
        <f>'TUSD BE'!$W$11*'TUSD BE'!$W$93</f>
        <v>0</v>
      </c>
      <c r="X11" s="25">
        <f>'TUSD BE'!$X$11*'TUSD BE'!$X$93</f>
        <v>0</v>
      </c>
      <c r="Y11" s="25">
        <f>'TUSD BE'!$Y$11*'TUSD BE'!$Y$93</f>
        <v>0</v>
      </c>
      <c r="Z11" s="25">
        <f>'TUSD BE'!$Z$11*'TUSD BE'!$Z$93</f>
        <v>0</v>
      </c>
      <c r="AA11" s="25">
        <f>'TUSD BE'!$AA$11*'TUSD BE'!$AA$93</f>
        <v>0</v>
      </c>
      <c r="AB11" s="25">
        <f>SUM($U$11:$AA$11)</f>
        <v>0</v>
      </c>
      <c r="AC11" s="25">
        <f>'TUSD BE'!$AC$11*'TUSD BE'!$AC$93</f>
        <v>0</v>
      </c>
      <c r="AD11" s="25">
        <f>SUM($AC$11:$AC$11)</f>
        <v>0</v>
      </c>
      <c r="AE11" s="25">
        <v>0</v>
      </c>
      <c r="AF11" s="25">
        <f ca="1">$AP$11*$AP$90</f>
        <v>0</v>
      </c>
      <c r="AG11" s="25">
        <f ca="1">SUM($AE$11:$AF$11)</f>
        <v>0</v>
      </c>
      <c r="AH11" s="25">
        <f>'TUSD BE'!$AH$11*'TUSD BE'!$AH$93</f>
        <v>-0.8003194550148679</v>
      </c>
      <c r="AI11" s="25">
        <f>'TUSD BE'!$AI$11*'TUSD BE'!$AI$93</f>
        <v>-3.0082684168277116E-2</v>
      </c>
      <c r="AJ11" s="25">
        <f ca="1">'TUSD BE'!$AJ$11*'TUSD BE'!$AJ$93</f>
        <v>0</v>
      </c>
      <c r="AK11" s="25">
        <f ca="1">'TUSD BE'!$AK$11*'TUSD BE'!$AK$93</f>
        <v>0</v>
      </c>
      <c r="AL11" s="25">
        <f ca="1">SUM($AH$11:$AK$11)</f>
        <v>-0.83040213918314498</v>
      </c>
      <c r="AM11" s="25">
        <f ca="1">SUMIF($L$4:$AL$4,"SUBTOTAL",$L$11:$AL$11)</f>
        <v>-0.83040213918314498</v>
      </c>
      <c r="AO11" s="30"/>
      <c r="AP11" s="30">
        <f ca="1">+'TUSD BE'!$T$11+'TUSD BE'!$AB$11+'TUSD BE'!$AD$11+'TUSD BE'!$AL$11</f>
        <v>4.6773548815095927</v>
      </c>
    </row>
    <row r="12" spans="1:42" ht="11.25" customHeight="1" x14ac:dyDescent="0.25">
      <c r="A12" s="119"/>
      <c r="B12" s="119" t="s">
        <v>64</v>
      </c>
      <c r="C12" s="119" t="s">
        <v>25</v>
      </c>
      <c r="D12" s="119" t="s">
        <v>25</v>
      </c>
      <c r="E12" s="119" t="s">
        <v>25</v>
      </c>
      <c r="F12" s="28" t="s">
        <v>70</v>
      </c>
      <c r="G12" s="21" t="s">
        <v>9</v>
      </c>
      <c r="H12" s="21" t="s">
        <v>91</v>
      </c>
      <c r="I12" s="21">
        <f>'MERCADO TUSD'!$U$9</f>
        <v>1494000</v>
      </c>
      <c r="J12" s="17"/>
      <c r="L12" s="25">
        <f>'TUSD BE'!$L$12*'TUSD BE'!$L$93</f>
        <v>0</v>
      </c>
      <c r="M12" s="25">
        <f>'TUSD BE'!$M$12*'TUSD BE'!$M$93</f>
        <v>-5.4763163976011432E-3</v>
      </c>
      <c r="N12" s="25">
        <f ca="1">'TUSD BE'!$N$12*'TUSD BE'!$N$93</f>
        <v>2.8388751017926183E-5</v>
      </c>
      <c r="O12" s="25">
        <f>'TUSD BE'!$O$12*'TUSD BE'!$O$93</f>
        <v>0</v>
      </c>
      <c r="P12" s="25">
        <f>'TUSD BE'!$P$12*'TUSD BE'!$P$93</f>
        <v>0</v>
      </c>
      <c r="Q12" s="25">
        <f>'TUSD BE'!$Q$12*'TUSD BE'!$Q$93</f>
        <v>0</v>
      </c>
      <c r="R12" s="25">
        <f>'TUSD BE'!$R$12*'TUSD BE'!$R$93</f>
        <v>0</v>
      </c>
      <c r="S12" s="25">
        <f>'TUSD BE'!$R$12*'TUSD BE'!$S$93</f>
        <v>0</v>
      </c>
      <c r="T12" s="25">
        <f ca="1">SUM($L$12:$S$12)</f>
        <v>-5.4479276465832166E-3</v>
      </c>
      <c r="U12" s="25">
        <f>'TUSD BE'!$U$12*'TUSD BE'!$U$93</f>
        <v>0</v>
      </c>
      <c r="V12" s="25">
        <f>'TUSD BE'!$V$12*'TUSD BE'!$V$93</f>
        <v>3.3323779323221232E-2</v>
      </c>
      <c r="W12" s="25">
        <f>'TUSD BE'!$W$12*'TUSD BE'!$W$93</f>
        <v>2.1436000717307477E-4</v>
      </c>
      <c r="X12" s="25">
        <f>'TUSD BE'!$X$12*'TUSD BE'!$X$93</f>
        <v>0</v>
      </c>
      <c r="Y12" s="25">
        <f>'TUSD BE'!$Y$12*'TUSD BE'!$Y$93</f>
        <v>0</v>
      </c>
      <c r="Z12" s="25">
        <f>'TUSD BE'!$Z$12*'TUSD BE'!$Z$93</f>
        <v>0</v>
      </c>
      <c r="AA12" s="25">
        <f>'TUSD BE'!$AA$12*'TUSD BE'!$AA$93</f>
        <v>4.1824512444026123E-2</v>
      </c>
      <c r="AB12" s="25">
        <f>SUM($U$12:$AA$12)</f>
        <v>7.5362651774420419E-2</v>
      </c>
      <c r="AC12" s="25">
        <f>'TUSD BE'!$AC$12*'TUSD BE'!$AC$93</f>
        <v>0</v>
      </c>
      <c r="AD12" s="25">
        <f>SUM($AC$12:$AC$12)</f>
        <v>0</v>
      </c>
      <c r="AE12" s="25">
        <f ca="1">$AO$12*$AO$90</f>
        <v>0</v>
      </c>
      <c r="AF12" s="25">
        <f ca="1">$AP$12*$AP$90</f>
        <v>0</v>
      </c>
      <c r="AG12" s="25">
        <f ca="1">SUM($AE$12:$AF$12)</f>
        <v>0</v>
      </c>
      <c r="AH12" s="25">
        <f>'TUSD BE'!$AH$12*'TUSD BE'!$AH$93</f>
        <v>0</v>
      </c>
      <c r="AI12" s="25">
        <f>'TUSD BE'!$AI$12*'TUSD BE'!$AI$93</f>
        <v>0</v>
      </c>
      <c r="AJ12" s="25">
        <f ca="1">'TUSD BE'!$AJ$12*'TUSD BE'!$AJ$93</f>
        <v>0</v>
      </c>
      <c r="AK12" s="25">
        <f ca="1">'TUSD BE'!$AK$12*'TUSD BE'!$AK$93</f>
        <v>0</v>
      </c>
      <c r="AL12" s="25">
        <f ca="1">SUM($AH$12:$AK$12)</f>
        <v>0</v>
      </c>
      <c r="AM12" s="25">
        <f ca="1">SUMIF($L$4:$AL$4,"SUBTOTAL",$L$12:$AL$12)</f>
        <v>6.9914724127837197E-2</v>
      </c>
      <c r="AO12" s="30">
        <f>+'TUSD BE'!$T$12+'TUSD BE'!$AB$12+'TUSD BE'!$AD$12+'TUSD BE'!$AL$12</f>
        <v>3.5716000000000001</v>
      </c>
      <c r="AP12" s="30">
        <f>+'TUSD BE'!$T$12+'TUSD BE'!$AB$12+'TUSD BE'!$AD$12+'TUSD BE'!$AL$12</f>
        <v>3.5716000000000001</v>
      </c>
    </row>
    <row r="13" spans="1:42" ht="11.25" customHeight="1" x14ac:dyDescent="0.25">
      <c r="A13" s="119"/>
      <c r="B13" s="119"/>
      <c r="C13" s="119"/>
      <c r="D13" s="119"/>
      <c r="E13" s="119"/>
      <c r="F13" s="28" t="s">
        <v>71</v>
      </c>
      <c r="G13" s="21" t="s">
        <v>9</v>
      </c>
      <c r="H13" s="21" t="s">
        <v>91</v>
      </c>
      <c r="I13" s="21">
        <f>'MERCADO TUSD'!$U$10</f>
        <v>1038000</v>
      </c>
      <c r="J13" s="17"/>
      <c r="L13" s="25">
        <f>'TUSD BE'!$L$13*'TUSD BE'!$L$93</f>
        <v>0</v>
      </c>
      <c r="M13" s="25">
        <f>'TUSD BE'!$M$13*'TUSD BE'!$M$93</f>
        <v>-4.7426472151474025E-3</v>
      </c>
      <c r="N13" s="25">
        <f ca="1">'TUSD BE'!$N$13*'TUSD BE'!$N$93</f>
        <v>2.4594614625956902E-5</v>
      </c>
      <c r="O13" s="25">
        <f>'TUSD BE'!$O$13*'TUSD BE'!$O$93</f>
        <v>0</v>
      </c>
      <c r="P13" s="25">
        <f>'TUSD BE'!$P$13*'TUSD BE'!$P$93</f>
        <v>0</v>
      </c>
      <c r="Q13" s="25">
        <f>'TUSD BE'!$Q$13*'TUSD BE'!$Q$93</f>
        <v>0</v>
      </c>
      <c r="R13" s="25">
        <f>'TUSD BE'!$R$13*'TUSD BE'!$R$93</f>
        <v>0</v>
      </c>
      <c r="S13" s="25">
        <f>'TUSD BE'!$R$13*'TUSD BE'!$S$93</f>
        <v>0</v>
      </c>
      <c r="T13" s="25">
        <f ca="1">SUM($L$13:$S$13)</f>
        <v>-4.7180526005214454E-3</v>
      </c>
      <c r="U13" s="25">
        <f>'TUSD BE'!$U$13*'TUSD BE'!$U$93</f>
        <v>0</v>
      </c>
      <c r="V13" s="25">
        <f>'TUSD BE'!$V$13*'TUSD BE'!$V$93</f>
        <v>2.8860632352813467E-2</v>
      </c>
      <c r="W13" s="25">
        <f>'TUSD BE'!$W$13*'TUSD BE'!$W$93</f>
        <v>1.8586373637824143E-4</v>
      </c>
      <c r="X13" s="25">
        <f>'TUSD BE'!$X$13*'TUSD BE'!$X$93</f>
        <v>0</v>
      </c>
      <c r="Y13" s="25">
        <f>'TUSD BE'!$Y$13*'TUSD BE'!$Y$93</f>
        <v>0</v>
      </c>
      <c r="Z13" s="25">
        <f>'TUSD BE'!$Z$13*'TUSD BE'!$Z$93</f>
        <v>0</v>
      </c>
      <c r="AA13" s="25">
        <f>'TUSD BE'!$AA$13*'TUSD BE'!$AA$93</f>
        <v>4.1824512444026123E-2</v>
      </c>
      <c r="AB13" s="25">
        <f>SUM($U$13:$AA$13)</f>
        <v>7.087100853321783E-2</v>
      </c>
      <c r="AC13" s="25">
        <f>'TUSD BE'!$AC$13*'TUSD BE'!$AC$93</f>
        <v>0</v>
      </c>
      <c r="AD13" s="25">
        <f>SUM($AC$13:$AC$13)</f>
        <v>0</v>
      </c>
      <c r="AE13" s="25">
        <f ca="1">$AO$13*$AO$90</f>
        <v>0</v>
      </c>
      <c r="AF13" s="25">
        <f ca="1">$AP$13*$AP$90</f>
        <v>0</v>
      </c>
      <c r="AG13" s="25">
        <f ca="1">SUM($AE$13:$AF$13)</f>
        <v>0</v>
      </c>
      <c r="AH13" s="25">
        <f>'TUSD BE'!$AH$13*'TUSD BE'!$AH$93</f>
        <v>0</v>
      </c>
      <c r="AI13" s="25">
        <f>'TUSD BE'!$AI$13*'TUSD BE'!$AI$93</f>
        <v>0</v>
      </c>
      <c r="AJ13" s="25">
        <f ca="1">'TUSD BE'!$AJ$13*'TUSD BE'!$AJ$93</f>
        <v>0</v>
      </c>
      <c r="AK13" s="25">
        <f ca="1">'TUSD BE'!$AK$13*'TUSD BE'!$AK$93</f>
        <v>0</v>
      </c>
      <c r="AL13" s="25">
        <f ca="1">SUM($AH$13:$AK$13)</f>
        <v>0</v>
      </c>
      <c r="AM13" s="25">
        <f ca="1">SUMIF($L$4:$AL$4,"SUBTOTAL",$L$13:$AL$13)</f>
        <v>6.6152955932696378E-2</v>
      </c>
      <c r="AO13" s="30">
        <f>+'TUSD BE'!$T$13+'TUSD BE'!$AB$13+'TUSD BE'!$AD$13+'TUSD BE'!$AL$13</f>
        <v>3.1341999999999999</v>
      </c>
      <c r="AP13" s="30">
        <f>+'TUSD BE'!$T$13+'TUSD BE'!$AB$13+'TUSD BE'!$AD$13+'TUSD BE'!$AL$13</f>
        <v>3.1341999999999999</v>
      </c>
    </row>
    <row r="14" spans="1:42" ht="11.25" customHeight="1" x14ac:dyDescent="0.25">
      <c r="A14" s="119"/>
      <c r="B14" s="119"/>
      <c r="C14" s="119"/>
      <c r="D14" s="119"/>
      <c r="E14" s="119"/>
      <c r="F14" s="28" t="s">
        <v>95</v>
      </c>
      <c r="G14" s="21" t="s">
        <v>9</v>
      </c>
      <c r="H14" s="21" t="s">
        <v>91</v>
      </c>
      <c r="I14" s="21">
        <f>'MERCADO TUSD'!$U$11</f>
        <v>0</v>
      </c>
      <c r="J14" s="17"/>
      <c r="L14" s="25">
        <f>'TUSD BE'!$L$14*'TUSD BE'!$L$93</f>
        <v>0</v>
      </c>
      <c r="M14" s="25">
        <f>'TUSD BE'!$M$14*'TUSD BE'!$M$93</f>
        <v>-6.8519461147019097E-3</v>
      </c>
      <c r="N14" s="25">
        <f ca="1">'TUSD BE'!$N$14*'TUSD BE'!$N$93</f>
        <v>3.5546483502066815E-5</v>
      </c>
      <c r="O14" s="25">
        <f>'TUSD BE'!$O$14*'TUSD BE'!$O$93</f>
        <v>0</v>
      </c>
      <c r="P14" s="25">
        <f>'TUSD BE'!$P$14*'TUSD BE'!$P$93</f>
        <v>0</v>
      </c>
      <c r="Q14" s="25">
        <f>'TUSD BE'!$Q$14*'TUSD BE'!$Q$93</f>
        <v>0</v>
      </c>
      <c r="R14" s="25">
        <f>'TUSD BE'!$R$14*'TUSD BE'!$R$93</f>
        <v>0</v>
      </c>
      <c r="S14" s="25">
        <f>'TUSD BE'!$R$14*'TUSD BE'!$S$93</f>
        <v>0</v>
      </c>
      <c r="T14" s="25">
        <f ca="1">SUM($L$14:$S$14)</f>
        <v>-6.8163996311998432E-3</v>
      </c>
      <c r="U14" s="25">
        <f>'TUSD BE'!$U$14*'TUSD BE'!$U$93</f>
        <v>0</v>
      </c>
      <c r="V14" s="25">
        <f>'TUSD BE'!$V$14*'TUSD BE'!$V$93</f>
        <v>9.4782732481097764E-3</v>
      </c>
      <c r="W14" s="25">
        <f>'TUSD BE'!$W$14*'TUSD BE'!$W$93</f>
        <v>0</v>
      </c>
      <c r="X14" s="25">
        <f>'TUSD BE'!$X$14*'TUSD BE'!$X$93</f>
        <v>0</v>
      </c>
      <c r="Y14" s="25">
        <f>'TUSD BE'!$Y$14*'TUSD BE'!$Y$93</f>
        <v>0</v>
      </c>
      <c r="Z14" s="25">
        <f>'TUSD BE'!$Z$14*'TUSD BE'!$Z$93</f>
        <v>0</v>
      </c>
      <c r="AA14" s="25">
        <f>'TUSD BE'!$AA$14*'TUSD BE'!$AA$93</f>
        <v>0</v>
      </c>
      <c r="AB14" s="25">
        <f>SUM($U$14:$AA$14)</f>
        <v>9.4782732481097764E-3</v>
      </c>
      <c r="AC14" s="25">
        <f>'TUSD BE'!$AC$14*'TUSD BE'!$AC$93</f>
        <v>0</v>
      </c>
      <c r="AD14" s="25">
        <f>SUM($AC$14:$AC$14)</f>
        <v>0</v>
      </c>
      <c r="AE14" s="25">
        <f ca="1">$AO$14*$AO$90</f>
        <v>0</v>
      </c>
      <c r="AF14" s="25">
        <f ca="1">$AP$14*$AP$90</f>
        <v>0</v>
      </c>
      <c r="AG14" s="25">
        <f ca="1">SUM($AE$14:$AF$14)</f>
        <v>0</v>
      </c>
      <c r="AH14" s="25">
        <f>'TUSD BE'!$AH$14*'TUSD BE'!$AH$93</f>
        <v>0</v>
      </c>
      <c r="AI14" s="25">
        <f>'TUSD BE'!$AI$14*'TUSD BE'!$AI$93</f>
        <v>0</v>
      </c>
      <c r="AJ14" s="25">
        <f ca="1">'TUSD BE'!$AJ$14*'TUSD BE'!$AJ$93</f>
        <v>0</v>
      </c>
      <c r="AK14" s="25">
        <f ca="1">'TUSD BE'!$AK$14*'TUSD BE'!$AK$93</f>
        <v>0</v>
      </c>
      <c r="AL14" s="25">
        <f ca="1">SUM($AH$14:$AK$14)</f>
        <v>0</v>
      </c>
      <c r="AM14" s="25">
        <f ca="1">SUMIF($L$4:$AL$4,"SUBTOTAL",$L$14:$AL$14)</f>
        <v>2.6618736169099332E-3</v>
      </c>
      <c r="AO14" s="30">
        <f>+'TUSD BE'!$T$14+'TUSD BE'!$AB$14+'TUSD BE'!$AD$14+'TUSD BE'!$AL$14</f>
        <v>3.3649</v>
      </c>
      <c r="AP14" s="30">
        <f>+'TUSD BE'!$T$14+'TUSD BE'!$AB$14+'TUSD BE'!$AD$14+'TUSD BE'!$AL$14</f>
        <v>3.3649</v>
      </c>
    </row>
    <row r="15" spans="1:42" ht="11.25" customHeight="1" x14ac:dyDescent="0.25">
      <c r="A15" s="119" t="s">
        <v>45</v>
      </c>
      <c r="B15" s="119" t="s">
        <v>41</v>
      </c>
      <c r="C15" s="119" t="s">
        <v>25</v>
      </c>
      <c r="D15" s="119" t="s">
        <v>25</v>
      </c>
      <c r="E15" s="119" t="s">
        <v>25</v>
      </c>
      <c r="F15" s="119" t="s">
        <v>25</v>
      </c>
      <c r="G15" s="21" t="s">
        <v>92</v>
      </c>
      <c r="H15" s="21" t="s">
        <v>91</v>
      </c>
      <c r="I15" s="21">
        <f>'MERCADO TUSD'!$U$12</f>
        <v>85943</v>
      </c>
      <c r="J15" s="17"/>
      <c r="L15" s="25">
        <f>'TUSD BE'!$L$15*'TUSD BE'!$L$93</f>
        <v>0</v>
      </c>
      <c r="M15" s="25">
        <f>'TUSD BE'!$M$15*'TUSD BE'!$M$93</f>
        <v>0</v>
      </c>
      <c r="N15" s="25">
        <f ca="1">'TUSD BE'!$N$15*'TUSD BE'!$N$93</f>
        <v>0</v>
      </c>
      <c r="O15" s="25">
        <f>'TUSD BE'!$O$15*'TUSD BE'!$O$93</f>
        <v>0</v>
      </c>
      <c r="P15" s="25">
        <f>'TUSD BE'!$P$15*'TUSD BE'!$P$93</f>
        <v>0</v>
      </c>
      <c r="Q15" s="25">
        <f>'TUSD BE'!$Q$15*'TUSD BE'!$Q$93</f>
        <v>0</v>
      </c>
      <c r="R15" s="25">
        <f>'TUSD BE'!$R$15*'TUSD BE'!$R$93</f>
        <v>0</v>
      </c>
      <c r="S15" s="25">
        <f>'TUSD BE'!$R$15*'TUSD BE'!$S$93</f>
        <v>0</v>
      </c>
      <c r="T15" s="25">
        <f ca="1">SUM($L$15:$S$15)</f>
        <v>0</v>
      </c>
      <c r="U15" s="25">
        <f>'TUSD BE'!$U$15*'TUSD BE'!$U$93</f>
        <v>-5.6928287552061925E-2</v>
      </c>
      <c r="V15" s="25">
        <f>'TUSD BE'!$V$15*'TUSD BE'!$V$93</f>
        <v>0.10274559151007404</v>
      </c>
      <c r="W15" s="25">
        <f>'TUSD BE'!$W$15*'TUSD BE'!$W$93</f>
        <v>1.1621100292645921E-3</v>
      </c>
      <c r="X15" s="25">
        <f>'TUSD BE'!$X$15*'TUSD BE'!$X$93</f>
        <v>0</v>
      </c>
      <c r="Y15" s="25">
        <f>'TUSD BE'!$Y$15*'TUSD BE'!$Y$93</f>
        <v>0</v>
      </c>
      <c r="Z15" s="25">
        <f>'TUSD BE'!$Z$15*'TUSD BE'!$Z$93</f>
        <v>0</v>
      </c>
      <c r="AA15" s="25">
        <f>'TUSD BE'!$AA$15*'TUSD BE'!$AA$93</f>
        <v>0</v>
      </c>
      <c r="AB15" s="25">
        <f>SUM($U$15:$AA$15)</f>
        <v>4.6979413987276702E-2</v>
      </c>
      <c r="AC15" s="25">
        <f>'TUSD BE'!$AC$15*'TUSD BE'!$AC$93</f>
        <v>0</v>
      </c>
      <c r="AD15" s="25">
        <f>SUM($AC$15:$AC$15)</f>
        <v>0</v>
      </c>
      <c r="AE15" s="25">
        <f ca="1">$AO$15*$AO$90</f>
        <v>0</v>
      </c>
      <c r="AF15" s="25">
        <f ca="1">$AP$15*$AP$90</f>
        <v>0</v>
      </c>
      <c r="AG15" s="25">
        <f ca="1">SUM($AE$15:$AF$15)</f>
        <v>0</v>
      </c>
      <c r="AH15" s="25">
        <f>'TUSD BE'!$AH$15*'TUSD BE'!$AH$93</f>
        <v>0</v>
      </c>
      <c r="AI15" s="25">
        <f>'TUSD BE'!$AI$15*'TUSD BE'!$AI$93</f>
        <v>0</v>
      </c>
      <c r="AJ15" s="25">
        <f ca="1">'TUSD BE'!$AJ$15*'TUSD BE'!$AJ$93</f>
        <v>0</v>
      </c>
      <c r="AK15" s="25">
        <f ca="1">'TUSD BE'!$AK$15*'TUSD BE'!$AK$93</f>
        <v>0</v>
      </c>
      <c r="AL15" s="25">
        <f ca="1">SUM($AH$15:$AK$15)</f>
        <v>0</v>
      </c>
      <c r="AM15" s="25">
        <f ca="1">SUMIF($L$4:$AL$4,"SUBTOTAL",$L$15:$AL$15)</f>
        <v>4.6979413987276702E-2</v>
      </c>
      <c r="AO15" s="30">
        <f ca="1">+'TUSD BE'!$T$15+'TUSD BE'!$AB$15+'TUSD BE'!$AD$15+'TUSD BE'!$AL$15</f>
        <v>26.716380063009197</v>
      </c>
      <c r="AP15" s="30">
        <f ca="1">+'TUSD BE'!$T$15+'TUSD BE'!$AB$15+'TUSD BE'!$AD$15+'TUSD BE'!$AL$15</f>
        <v>26.716380063009197</v>
      </c>
    </row>
    <row r="16" spans="1:42" ht="11.25" customHeight="1" x14ac:dyDescent="0.25">
      <c r="A16" s="119"/>
      <c r="B16" s="119"/>
      <c r="C16" s="119"/>
      <c r="D16" s="119"/>
      <c r="E16" s="119"/>
      <c r="F16" s="119"/>
      <c r="G16" s="21" t="s">
        <v>93</v>
      </c>
      <c r="H16" s="21" t="s">
        <v>91</v>
      </c>
      <c r="I16" s="21">
        <f>'MERCADO TUSD'!$U$13</f>
        <v>99179</v>
      </c>
      <c r="J16" s="17"/>
      <c r="L16" s="25">
        <f>'TUSD BE'!$L$16*'TUSD BE'!$L$93</f>
        <v>0</v>
      </c>
      <c r="M16" s="25">
        <f>'TUSD BE'!$M$16*'TUSD BE'!$M$93</f>
        <v>0</v>
      </c>
      <c r="N16" s="25">
        <f ca="1">'TUSD BE'!$N$16*'TUSD BE'!$N$93</f>
        <v>0</v>
      </c>
      <c r="O16" s="25">
        <f>'TUSD BE'!$O$16*'TUSD BE'!$O$93</f>
        <v>0</v>
      </c>
      <c r="P16" s="25">
        <f>'TUSD BE'!$P$16*'TUSD BE'!$P$93</f>
        <v>0</v>
      </c>
      <c r="Q16" s="25">
        <f>'TUSD BE'!$Q$16*'TUSD BE'!$Q$93</f>
        <v>0</v>
      </c>
      <c r="R16" s="25">
        <f>'TUSD BE'!$R$16*'TUSD BE'!$R$93</f>
        <v>0</v>
      </c>
      <c r="S16" s="25">
        <f>'TUSD BE'!$R$16*'TUSD BE'!$S$93</f>
        <v>0</v>
      </c>
      <c r="T16" s="25">
        <f ca="1">SUM($L$16:$S$16)</f>
        <v>0</v>
      </c>
      <c r="U16" s="25">
        <f>'TUSD BE'!$U$16*'TUSD BE'!$U$93</f>
        <v>-3.7210135436388542E-2</v>
      </c>
      <c r="V16" s="25">
        <f>'TUSD BE'!$V$16*'TUSD BE'!$V$93</f>
        <v>7.3084194503998362E-2</v>
      </c>
      <c r="W16" s="25">
        <f>'TUSD BE'!$W$16*'TUSD BE'!$W$93</f>
        <v>7.4344593575223895E-4</v>
      </c>
      <c r="X16" s="25">
        <f>'TUSD BE'!$X$16*'TUSD BE'!$X$93</f>
        <v>0</v>
      </c>
      <c r="Y16" s="25">
        <f>'TUSD BE'!$Y$16*'TUSD BE'!$Y$93</f>
        <v>0</v>
      </c>
      <c r="Z16" s="25">
        <f>'TUSD BE'!$Z$16*'TUSD BE'!$Z$93</f>
        <v>0</v>
      </c>
      <c r="AA16" s="25">
        <f>'TUSD BE'!$AA$16*'TUSD BE'!$AA$93</f>
        <v>0</v>
      </c>
      <c r="AB16" s="25">
        <f>SUM($U$16:$AA$16)</f>
        <v>3.6617505003362062E-2</v>
      </c>
      <c r="AC16" s="25">
        <f>'TUSD BE'!$AC$16*'TUSD BE'!$AC$93</f>
        <v>0</v>
      </c>
      <c r="AD16" s="25">
        <f>SUM($AC$16:$AC$16)</f>
        <v>0</v>
      </c>
      <c r="AE16" s="25">
        <f ca="1">$AO$16*$AO$90</f>
        <v>0</v>
      </c>
      <c r="AF16" s="25">
        <f ca="1">$AP$16*$AP$90</f>
        <v>0</v>
      </c>
      <c r="AG16" s="25">
        <f ca="1">SUM($AE$16:$AF$16)</f>
        <v>0</v>
      </c>
      <c r="AH16" s="25">
        <f>'TUSD BE'!$AH$16*'TUSD BE'!$AH$93</f>
        <v>0</v>
      </c>
      <c r="AI16" s="25">
        <f>'TUSD BE'!$AI$16*'TUSD BE'!$AI$93</f>
        <v>0</v>
      </c>
      <c r="AJ16" s="25">
        <f ca="1">'TUSD BE'!$AJ$16*'TUSD BE'!$AJ$93</f>
        <v>0</v>
      </c>
      <c r="AK16" s="25">
        <f ca="1">'TUSD BE'!$AK$16*'TUSD BE'!$AK$93</f>
        <v>0</v>
      </c>
      <c r="AL16" s="25">
        <f ca="1">SUM($AH$16:$AK$16)</f>
        <v>0</v>
      </c>
      <c r="AM16" s="25">
        <f ca="1">SUMIF($L$4:$AL$4,"SUBTOTAL",$L$16:$AL$16)</f>
        <v>3.6617505003362062E-2</v>
      </c>
      <c r="AO16" s="30">
        <f ca="1">+'TUSD BE'!$T$16+'TUSD BE'!$AB$16+'TUSD BE'!$AD$16+'TUSD BE'!$AL$16</f>
        <v>11.114449476719457</v>
      </c>
      <c r="AP16" s="30">
        <f ca="1">+'TUSD BE'!$T$16+'TUSD BE'!$AB$16+'TUSD BE'!$AD$16+'TUSD BE'!$AL$16</f>
        <v>11.114449476719457</v>
      </c>
    </row>
    <row r="17" spans="1:42" ht="11.25" customHeight="1" x14ac:dyDescent="0.25">
      <c r="A17" s="119"/>
      <c r="B17" s="119"/>
      <c r="C17" s="119"/>
      <c r="D17" s="119"/>
      <c r="E17" s="119"/>
      <c r="F17" s="119"/>
      <c r="G17" s="21" t="s">
        <v>94</v>
      </c>
      <c r="H17" s="21" t="s">
        <v>88</v>
      </c>
      <c r="I17" s="21">
        <f>'MERCADO TUSD'!$U$14</f>
        <v>39203.405000000006</v>
      </c>
      <c r="J17" s="17"/>
      <c r="L17" s="25">
        <f>'TUSD BE'!$L$17*'TUSD BE'!$L$93</f>
        <v>0</v>
      </c>
      <c r="M17" s="25">
        <f>'TUSD BE'!$M$17*'TUSD BE'!$M$93</f>
        <v>-1.423147449517931E-2</v>
      </c>
      <c r="N17" s="25">
        <f ca="1">'TUSD BE'!$N$17*'TUSD BE'!$N$93</f>
        <v>6.3399140843495023E-5</v>
      </c>
      <c r="O17" s="25">
        <f>'TUSD BE'!$O$17*'TUSD BE'!$O$93</f>
        <v>0</v>
      </c>
      <c r="P17" s="25">
        <f>'TUSD BE'!$P$17*'TUSD BE'!$P$93</f>
        <v>0</v>
      </c>
      <c r="Q17" s="25">
        <f>'TUSD BE'!$Q$17*'TUSD BE'!$Q$93</f>
        <v>-1.7819189551800454</v>
      </c>
      <c r="R17" s="25">
        <f>'TUSD BE'!$R$17*'TUSD BE'!$R$93</f>
        <v>-3.0415214814016535E-3</v>
      </c>
      <c r="S17" s="25">
        <f>'TUSD BE'!$R$17*'TUSD BE'!$S$93</f>
        <v>0</v>
      </c>
      <c r="T17" s="25">
        <f ca="1">SUM($L$17:$S$17)</f>
        <v>-1.7991285520157829</v>
      </c>
      <c r="U17" s="25">
        <f>'TUSD BE'!$U$17*'TUSD BE'!$U$93</f>
        <v>0</v>
      </c>
      <c r="V17" s="25">
        <f>'TUSD BE'!$V$17*'TUSD BE'!$V$93</f>
        <v>0</v>
      </c>
      <c r="W17" s="25">
        <f>'TUSD BE'!$W$17*'TUSD BE'!$W$93</f>
        <v>0</v>
      </c>
      <c r="X17" s="25">
        <f>'TUSD BE'!$X$17*'TUSD BE'!$X$93</f>
        <v>0</v>
      </c>
      <c r="Y17" s="25">
        <f>'TUSD BE'!$Y$17*'TUSD BE'!$Y$93</f>
        <v>0</v>
      </c>
      <c r="Z17" s="25">
        <f>'TUSD BE'!$Z$17*'TUSD BE'!$Z$93</f>
        <v>0</v>
      </c>
      <c r="AA17" s="25">
        <f>'TUSD BE'!$AA$17*'TUSD BE'!$AA$93</f>
        <v>0</v>
      </c>
      <c r="AB17" s="25">
        <f>SUM($U$17:$AA$17)</f>
        <v>0</v>
      </c>
      <c r="AC17" s="25">
        <f>'TUSD BE'!$AC$17*'TUSD BE'!$AC$93</f>
        <v>0</v>
      </c>
      <c r="AD17" s="25">
        <f>SUM($AC$17:$AC$17)</f>
        <v>0</v>
      </c>
      <c r="AE17" s="25">
        <f ca="1">$AO$17*$AO$90</f>
        <v>0</v>
      </c>
      <c r="AF17" s="25">
        <f ca="1">$AP$17*$AP$90</f>
        <v>0</v>
      </c>
      <c r="AG17" s="25">
        <f ca="1">SUM($AE$17:$AF$17)</f>
        <v>0</v>
      </c>
      <c r="AH17" s="25">
        <f>'TUSD BE'!$AH$17*'TUSD BE'!$AH$93</f>
        <v>-2.0647771861957147</v>
      </c>
      <c r="AI17" s="25">
        <f>'TUSD BE'!$AI$17*'TUSD BE'!$AI$93</f>
        <v>-7.7611558210884266E-2</v>
      </c>
      <c r="AJ17" s="25">
        <f ca="1">'TUSD BE'!$AJ$17*'TUSD BE'!$AJ$93</f>
        <v>-1.513932469031875</v>
      </c>
      <c r="AK17" s="25">
        <f ca="1">'TUSD BE'!$AK$17*'TUSD BE'!$AK$93</f>
        <v>3.2683171103484995E-2</v>
      </c>
      <c r="AL17" s="25">
        <f ca="1">SUM($AH$17:$AK$17)</f>
        <v>-3.623638042334989</v>
      </c>
      <c r="AM17" s="25">
        <f ca="1">SUMIF($L$4:$AL$4,"SUBTOTAL",$L$17:$AL$17)</f>
        <v>-5.4227665943507724</v>
      </c>
      <c r="AO17" s="30">
        <f ca="1">+'TUSD BE'!$T$17+'TUSD BE'!$AB$17+'TUSD BE'!$AD$17+'TUSD BE'!$AL$17</f>
        <v>85.954210928383915</v>
      </c>
      <c r="AP17" s="30">
        <f ca="1">+'TUSD BE'!$T$17+'TUSD BE'!$AB$17+'TUSD BE'!$AD$17+'TUSD BE'!$AL$17</f>
        <v>85.954210928383915</v>
      </c>
    </row>
    <row r="18" spans="1:42" ht="11.25" customHeight="1" x14ac:dyDescent="0.25">
      <c r="A18" s="119"/>
      <c r="B18" s="119"/>
      <c r="C18" s="119"/>
      <c r="D18" s="119"/>
      <c r="E18" s="28" t="s">
        <v>61</v>
      </c>
      <c r="F18" s="28" t="s">
        <v>25</v>
      </c>
      <c r="G18" s="21" t="s">
        <v>94</v>
      </c>
      <c r="H18" s="21" t="s">
        <v>88</v>
      </c>
      <c r="I18" s="21">
        <f>'MERCADO TUSD'!$U$15</f>
        <v>0</v>
      </c>
      <c r="J18" s="17"/>
      <c r="L18" s="25">
        <f>'TUSD BE'!$L$18*'TUSD BE'!$L$93</f>
        <v>0</v>
      </c>
      <c r="M18" s="25">
        <f>'TUSD BE'!$M$18*'TUSD BE'!$M$93</f>
        <v>-1.423147449517931E-2</v>
      </c>
      <c r="N18" s="25">
        <f ca="1">'TUSD BE'!$N$18*'TUSD BE'!$N$93</f>
        <v>6.1452485625115838E-5</v>
      </c>
      <c r="O18" s="25">
        <f>'TUSD BE'!$O$18*'TUSD BE'!$O$93</f>
        <v>0</v>
      </c>
      <c r="P18" s="25">
        <f>'TUSD BE'!$P$18*'TUSD BE'!$P$93</f>
        <v>0</v>
      </c>
      <c r="Q18" s="25">
        <f>'TUSD BE'!$Q$18*'TUSD BE'!$Q$93</f>
        <v>0</v>
      </c>
      <c r="R18" s="25">
        <f>'TUSD BE'!$R$18*'TUSD BE'!$R$93</f>
        <v>0</v>
      </c>
      <c r="S18" s="25">
        <f>'TUSD BE'!$R$18*'TUSD BE'!$S$93</f>
        <v>0</v>
      </c>
      <c r="T18" s="25">
        <f ca="1">SUM($L$18:$S$18)</f>
        <v>-1.4170022009554193E-2</v>
      </c>
      <c r="U18" s="25">
        <f>'TUSD BE'!$U$18*'TUSD BE'!$U$93</f>
        <v>0</v>
      </c>
      <c r="V18" s="25">
        <f>'TUSD BE'!$V$18*'TUSD BE'!$V$93</f>
        <v>0</v>
      </c>
      <c r="W18" s="25">
        <f>'TUSD BE'!$W$18*'TUSD BE'!$W$93</f>
        <v>0</v>
      </c>
      <c r="X18" s="25">
        <f>'TUSD BE'!$X$18*'TUSD BE'!$X$93</f>
        <v>0</v>
      </c>
      <c r="Y18" s="25">
        <f>'TUSD BE'!$Y$18*'TUSD BE'!$Y$93</f>
        <v>0</v>
      </c>
      <c r="Z18" s="25">
        <f>'TUSD BE'!$Z$18*'TUSD BE'!$Z$93</f>
        <v>0</v>
      </c>
      <c r="AA18" s="25">
        <f>'TUSD BE'!$AA$18*'TUSD BE'!$AA$93</f>
        <v>0</v>
      </c>
      <c r="AB18" s="25">
        <f>SUM($U$18:$AA$18)</f>
        <v>0</v>
      </c>
      <c r="AC18" s="25">
        <f>'TUSD BE'!$AC$18*'TUSD BE'!$AC$93</f>
        <v>0</v>
      </c>
      <c r="AD18" s="25">
        <f>SUM($AC$18:$AC$18)</f>
        <v>0</v>
      </c>
      <c r="AE18" s="25">
        <f ca="1">$AO$18*$AO$90</f>
        <v>0</v>
      </c>
      <c r="AF18" s="25">
        <f ca="1">$AP$18*$AP$90</f>
        <v>0</v>
      </c>
      <c r="AG18" s="25">
        <f ca="1">SUM($AE$18:$AF$18)</f>
        <v>0</v>
      </c>
      <c r="AH18" s="25">
        <f>'TUSD BE'!$AH$18*'TUSD BE'!$AH$93</f>
        <v>-2.0647771861957147</v>
      </c>
      <c r="AI18" s="25">
        <f>'TUSD BE'!$AI$18*'TUSD BE'!$AI$93</f>
        <v>-7.7611558210884266E-2</v>
      </c>
      <c r="AJ18" s="25">
        <f ca="1">'TUSD BE'!$AJ$18*'TUSD BE'!$AJ$93</f>
        <v>-1.513932469031875</v>
      </c>
      <c r="AK18" s="25">
        <f ca="1">'TUSD BE'!$AK$18*'TUSD BE'!$AK$93</f>
        <v>3.2683171103484995E-2</v>
      </c>
      <c r="AL18" s="25">
        <f ca="1">SUM($AH$18:$AK$18)</f>
        <v>-3.623638042334989</v>
      </c>
      <c r="AM18" s="25">
        <f ca="1">SUMIF($L$4:$AL$4,"SUBTOTAL",$L$18:$AL$18)</f>
        <v>-3.6378080643445432</v>
      </c>
      <c r="AO18" s="30">
        <f ca="1">+'TUSD BE'!$T$18+'TUSD BE'!$AB$18+'TUSD BE'!$AD$18+'TUSD BE'!$AL$18</f>
        <v>23.236698801905145</v>
      </c>
      <c r="AP18" s="30">
        <f ca="1">+'TUSD BE'!$T$18+'TUSD BE'!$AB$18+'TUSD BE'!$AD$18+'TUSD BE'!$AL$18</f>
        <v>23.236698801905145</v>
      </c>
    </row>
    <row r="19" spans="1:42" ht="11.25" customHeight="1" x14ac:dyDescent="0.25">
      <c r="A19" s="119"/>
      <c r="B19" s="28" t="s">
        <v>64</v>
      </c>
      <c r="C19" s="28" t="s">
        <v>25</v>
      </c>
      <c r="D19" s="28" t="s">
        <v>25</v>
      </c>
      <c r="E19" s="28" t="s">
        <v>25</v>
      </c>
      <c r="F19" s="28" t="s">
        <v>25</v>
      </c>
      <c r="G19" s="21" t="s">
        <v>9</v>
      </c>
      <c r="H19" s="21" t="s">
        <v>91</v>
      </c>
      <c r="I19" s="21">
        <f>'MERCADO TUSD'!$U$16</f>
        <v>288000</v>
      </c>
      <c r="J19" s="17"/>
      <c r="L19" s="25">
        <f>'TUSD BE'!$L$19*'TUSD BE'!$L$93</f>
        <v>0</v>
      </c>
      <c r="M19" s="25">
        <f>'TUSD BE'!$M$19*'TUSD BE'!$M$93</f>
        <v>-7.8656210216966496E-4</v>
      </c>
      <c r="N19" s="25">
        <f ca="1">'TUSD BE'!$N$19*'TUSD BE'!$N$93</f>
        <v>6.2098301466295997E-6</v>
      </c>
      <c r="O19" s="25">
        <f>'TUSD BE'!$O$19*'TUSD BE'!$O$93</f>
        <v>0</v>
      </c>
      <c r="P19" s="25">
        <f>'TUSD BE'!$P$19*'TUSD BE'!$P$93</f>
        <v>0</v>
      </c>
      <c r="Q19" s="25">
        <f>'TUSD BE'!$Q$19*'TUSD BE'!$Q$93</f>
        <v>0</v>
      </c>
      <c r="R19" s="25">
        <f>'TUSD BE'!$R$19*'TUSD BE'!$R$93</f>
        <v>0</v>
      </c>
      <c r="S19" s="25">
        <f>'TUSD BE'!$R$19*'TUSD BE'!$S$93</f>
        <v>0</v>
      </c>
      <c r="T19" s="25">
        <f ca="1">SUM($L$19:$S$19)</f>
        <v>-7.8035227202303539E-4</v>
      </c>
      <c r="U19" s="25">
        <f>'TUSD BE'!$U$19*'TUSD BE'!$U$93</f>
        <v>0</v>
      </c>
      <c r="V19" s="25">
        <f>'TUSD BE'!$V$19*'TUSD BE'!$V$93</f>
        <v>0</v>
      </c>
      <c r="W19" s="25">
        <f>'TUSD BE'!$W$19*'TUSD BE'!$W$93</f>
        <v>0</v>
      </c>
      <c r="X19" s="25">
        <f>'TUSD BE'!$X$19*'TUSD BE'!$X$93</f>
        <v>0</v>
      </c>
      <c r="Y19" s="25">
        <f>'TUSD BE'!$Y$19*'TUSD BE'!$Y$93</f>
        <v>0</v>
      </c>
      <c r="Z19" s="25">
        <f>'TUSD BE'!$Z$19*'TUSD BE'!$Z$93</f>
        <v>0</v>
      </c>
      <c r="AA19" s="25">
        <f>'TUSD BE'!$AA$19*'TUSD BE'!$AA$93</f>
        <v>0</v>
      </c>
      <c r="AB19" s="25">
        <f>SUM($U$19:$AA$19)</f>
        <v>0</v>
      </c>
      <c r="AC19" s="25">
        <f>'TUSD BE'!$AC$19*'TUSD BE'!$AC$93</f>
        <v>0</v>
      </c>
      <c r="AD19" s="25">
        <f>SUM($AC$19:$AC$19)</f>
        <v>0</v>
      </c>
      <c r="AE19" s="25">
        <f ca="1">$AO$19*$AO$90</f>
        <v>0</v>
      </c>
      <c r="AF19" s="25">
        <f ca="1">$AP$19*$AP$90</f>
        <v>0</v>
      </c>
      <c r="AG19" s="25">
        <f ca="1">SUM($AE$19:$AF$19)</f>
        <v>0</v>
      </c>
      <c r="AH19" s="25">
        <f>'TUSD BE'!$AH$19*'TUSD BE'!$AH$93</f>
        <v>-2.7800277908117431E-4</v>
      </c>
      <c r="AI19" s="25">
        <f>'TUSD BE'!$AI$19*'TUSD BE'!$AI$93</f>
        <v>0</v>
      </c>
      <c r="AJ19" s="25">
        <f ca="1">'TUSD BE'!$AJ$19*'TUSD BE'!$AJ$93</f>
        <v>0</v>
      </c>
      <c r="AK19" s="25">
        <f ca="1">'TUSD BE'!$AK$19*'TUSD BE'!$AK$93</f>
        <v>0</v>
      </c>
      <c r="AL19" s="25">
        <f ca="1">SUM($AH$19:$AK$19)</f>
        <v>-2.7800277908117431E-4</v>
      </c>
      <c r="AM19" s="25">
        <f ca="1">SUMIF($L$4:$AL$4,"SUBTOTAL",$L$19:$AL$19)</f>
        <v>-1.0583550511042098E-3</v>
      </c>
      <c r="AO19" s="30">
        <f ca="1">+'TUSD BE'!$T$19+'TUSD BE'!$AB$19+'TUSD BE'!$AD$19+'TUSD BE'!$AL$19</f>
        <v>3.7070112078752566</v>
      </c>
      <c r="AP19" s="30">
        <f ca="1">+'TUSD BE'!$T$19+'TUSD BE'!$AB$19+'TUSD BE'!$AD$19+'TUSD BE'!$AL$19</f>
        <v>3.7070112078752566</v>
      </c>
    </row>
    <row r="20" spans="1:42" ht="11.25" customHeight="1" x14ac:dyDescent="0.25">
      <c r="A20" s="119"/>
      <c r="B20" s="119" t="s">
        <v>34</v>
      </c>
      <c r="C20" s="119" t="s">
        <v>25</v>
      </c>
      <c r="D20" s="119" t="s">
        <v>25</v>
      </c>
      <c r="E20" s="119" t="s">
        <v>25</v>
      </c>
      <c r="F20" s="119" t="s">
        <v>25</v>
      </c>
      <c r="G20" s="21" t="s">
        <v>9</v>
      </c>
      <c r="H20" s="21" t="s">
        <v>91</v>
      </c>
      <c r="I20" s="21">
        <f>'MERCADO TUSD'!$U$17</f>
        <v>25668</v>
      </c>
      <c r="J20" s="17"/>
      <c r="L20" s="25">
        <f>'TUSD BE'!$L$20*'TUSD BE'!$L$93</f>
        <v>0</v>
      </c>
      <c r="M20" s="25">
        <f>'TUSD BE'!$M$20*'TUSD BE'!$M$93</f>
        <v>0</v>
      </c>
      <c r="N20" s="25">
        <f ca="1">'TUSD BE'!$N$20*'TUSD BE'!$N$93</f>
        <v>0</v>
      </c>
      <c r="O20" s="25">
        <f>'TUSD BE'!$O$20*'TUSD BE'!$O$93</f>
        <v>0</v>
      </c>
      <c r="P20" s="25">
        <f>'TUSD BE'!$P$20*'TUSD BE'!$P$93</f>
        <v>0</v>
      </c>
      <c r="Q20" s="25">
        <f>'TUSD BE'!$Q$20*'TUSD BE'!$Q$93</f>
        <v>0</v>
      </c>
      <c r="R20" s="25">
        <f>'TUSD BE'!$R$20*'TUSD BE'!$R$93</f>
        <v>0</v>
      </c>
      <c r="S20" s="25">
        <f>'TUSD BE'!$R$20*'TUSD BE'!$S$93</f>
        <v>0</v>
      </c>
      <c r="T20" s="25">
        <f ca="1">SUM($L$20:$S$20)</f>
        <v>0</v>
      </c>
      <c r="U20" s="25">
        <f>'TUSD BE'!$U$20*'TUSD BE'!$U$93</f>
        <v>-3.7210135436388542E-2</v>
      </c>
      <c r="V20" s="25">
        <f>'TUSD BE'!$V$20*'TUSD BE'!$V$93</f>
        <v>7.3084194503998362E-2</v>
      </c>
      <c r="W20" s="25">
        <f>'TUSD BE'!$W$20*'TUSD BE'!$W$93</f>
        <v>7.4344593575223895E-4</v>
      </c>
      <c r="X20" s="25">
        <f>'TUSD BE'!$X$20*'TUSD BE'!$X$93</f>
        <v>0</v>
      </c>
      <c r="Y20" s="25">
        <f>'TUSD BE'!$Y$20*'TUSD BE'!$Y$93</f>
        <v>0</v>
      </c>
      <c r="Z20" s="25">
        <f>'TUSD BE'!$Z$20*'TUSD BE'!$Z$93</f>
        <v>0</v>
      </c>
      <c r="AA20" s="25">
        <f>'TUSD BE'!$AA$20*'TUSD BE'!$AA$93</f>
        <v>0</v>
      </c>
      <c r="AB20" s="25">
        <f>SUM($U$20:$AA$20)</f>
        <v>3.6617505003362062E-2</v>
      </c>
      <c r="AC20" s="25">
        <f>'TUSD BE'!$AC$20*'TUSD BE'!$AC$93</f>
        <v>0</v>
      </c>
      <c r="AD20" s="25">
        <f>SUM($AC$20:$AC$20)</f>
        <v>0</v>
      </c>
      <c r="AE20" s="25">
        <f ca="1">$AO$20*$AO$90</f>
        <v>0</v>
      </c>
      <c r="AF20" s="25">
        <f ca="1">$AP$20*$AP$90</f>
        <v>0</v>
      </c>
      <c r="AG20" s="25">
        <f ca="1">SUM($AE$20:$AF$20)</f>
        <v>0</v>
      </c>
      <c r="AH20" s="25">
        <f>'TUSD BE'!$AH$20*'TUSD BE'!$AH$93</f>
        <v>0</v>
      </c>
      <c r="AI20" s="25">
        <f>'TUSD BE'!$AI$20*'TUSD BE'!$AI$93</f>
        <v>0</v>
      </c>
      <c r="AJ20" s="25">
        <f ca="1">'TUSD BE'!$AJ$20*'TUSD BE'!$AJ$93</f>
        <v>0</v>
      </c>
      <c r="AK20" s="25">
        <f ca="1">'TUSD BE'!$AK$20*'TUSD BE'!$AK$93</f>
        <v>0</v>
      </c>
      <c r="AL20" s="25">
        <f ca="1">SUM($AH$20:$AK$20)</f>
        <v>0</v>
      </c>
      <c r="AM20" s="25">
        <f ca="1">SUMIF($L$4:$AL$4,"SUBTOTAL",$L$20:$AL$20)</f>
        <v>3.6617505003362062E-2</v>
      </c>
      <c r="AO20" s="30">
        <f ca="1">+'TUSD BE'!$T$20+'TUSD BE'!$AB$20+'TUSD BE'!$AD$20+'TUSD BE'!$AL$20</f>
        <v>11.114449476719457</v>
      </c>
      <c r="AP20" s="30">
        <f ca="1">+'TUSD BE'!$T$20+'TUSD BE'!$AB$20+'TUSD BE'!$AD$20+'TUSD BE'!$AL$20</f>
        <v>11.114449476719457</v>
      </c>
    </row>
    <row r="21" spans="1:42" ht="11.25" customHeight="1" x14ac:dyDescent="0.25">
      <c r="A21" s="119"/>
      <c r="B21" s="119"/>
      <c r="C21" s="119"/>
      <c r="D21" s="119"/>
      <c r="E21" s="119"/>
      <c r="F21" s="119"/>
      <c r="G21" s="21" t="s">
        <v>89</v>
      </c>
      <c r="H21" s="21" t="s">
        <v>88</v>
      </c>
      <c r="I21" s="21">
        <f>'MERCADO TUSD'!$U$18</f>
        <v>791.82199999999989</v>
      </c>
      <c r="J21" s="17"/>
      <c r="L21" s="25">
        <f>'TUSD BE'!$L$21*'TUSD BE'!$L$93</f>
        <v>0</v>
      </c>
      <c r="M21" s="25">
        <f>'TUSD BE'!$M$21*'TUSD BE'!$M$93</f>
        <v>-1.423147449517931E-2</v>
      </c>
      <c r="N21" s="25">
        <f ca="1">'TUSD BE'!$N$21*'TUSD BE'!$N$93</f>
        <v>8.2505836285575774E-4</v>
      </c>
      <c r="O21" s="25">
        <f>'TUSD BE'!$O$21*'TUSD BE'!$O$93</f>
        <v>0</v>
      </c>
      <c r="P21" s="25">
        <f>'TUSD BE'!$P$21*'TUSD BE'!$P$93</f>
        <v>0</v>
      </c>
      <c r="Q21" s="25">
        <f>'TUSD BE'!$Q$21*'TUSD BE'!$Q$93</f>
        <v>-1.7819189551800454</v>
      </c>
      <c r="R21" s="25">
        <f>'TUSD BE'!$R$21*'TUSD BE'!$R$93</f>
        <v>-3.0415214814016535E-3</v>
      </c>
      <c r="S21" s="25">
        <f>'TUSD BE'!$R$21*'TUSD BE'!$S$93</f>
        <v>0</v>
      </c>
      <c r="T21" s="25">
        <f ca="1">SUM($L$21:$S$21)</f>
        <v>-1.7983668927937706</v>
      </c>
      <c r="U21" s="25">
        <f>'TUSD BE'!$U$21*'TUSD BE'!$U$93</f>
        <v>-1.3691444036446494</v>
      </c>
      <c r="V21" s="25">
        <f>'TUSD BE'!$V$21*'TUSD BE'!$V$93</f>
        <v>2.4710547214262197</v>
      </c>
      <c r="W21" s="25">
        <f>'TUSD BE'!$W$21*'TUSD BE'!$W$93</f>
        <v>2.7933775790772695E-2</v>
      </c>
      <c r="X21" s="25">
        <f>'TUSD BE'!$X$21*'TUSD BE'!$X$93</f>
        <v>0</v>
      </c>
      <c r="Y21" s="25">
        <f>'TUSD BE'!$Y$21*'TUSD BE'!$Y$93</f>
        <v>0</v>
      </c>
      <c r="Z21" s="25">
        <f>'TUSD BE'!$Z$21*'TUSD BE'!$Z$93</f>
        <v>0</v>
      </c>
      <c r="AA21" s="25">
        <f>'TUSD BE'!$AA$21*'TUSD BE'!$AA$93</f>
        <v>0</v>
      </c>
      <c r="AB21" s="25">
        <f>SUM($U$21:$AA$21)</f>
        <v>1.1298440935723431</v>
      </c>
      <c r="AC21" s="25">
        <f>'TUSD BE'!$AC$21*'TUSD BE'!$AC$93</f>
        <v>0</v>
      </c>
      <c r="AD21" s="25">
        <f>SUM($AC$21:$AC$21)</f>
        <v>0</v>
      </c>
      <c r="AE21" s="25">
        <f ca="1">$AO$21*$AO$90</f>
        <v>0</v>
      </c>
      <c r="AF21" s="25">
        <f ca="1">$AP$21*$AP$90</f>
        <v>0</v>
      </c>
      <c r="AG21" s="25">
        <f ca="1">SUM($AE$21:$AF$21)</f>
        <v>0</v>
      </c>
      <c r="AH21" s="25">
        <f>'TUSD BE'!$AH$21*'TUSD BE'!$AH$93</f>
        <v>-2.0647771861957147</v>
      </c>
      <c r="AI21" s="25">
        <f>'TUSD BE'!$AI$21*'TUSD BE'!$AI$93</f>
        <v>-7.7611558210884266E-2</v>
      </c>
      <c r="AJ21" s="25">
        <f ca="1">'TUSD BE'!$AJ$21*'TUSD BE'!$AJ$93</f>
        <v>-1.513932469031875</v>
      </c>
      <c r="AK21" s="25">
        <f ca="1">'TUSD BE'!$AK$21*'TUSD BE'!$AK$93</f>
        <v>3.2683171103484995E-2</v>
      </c>
      <c r="AL21" s="25">
        <f ca="1">SUM($AH$21:$AK$21)</f>
        <v>-3.623638042334989</v>
      </c>
      <c r="AM21" s="25">
        <f ca="1">SUMIF($L$4:$AL$4,"SUBTOTAL",$L$21:$AL$21)</f>
        <v>-4.2921608415564165</v>
      </c>
      <c r="AO21" s="30">
        <f ca="1">+'TUSD BE'!$T$21+'TUSD BE'!$AB$21+'TUSD BE'!$AD$21+'TUSD BE'!$AL$21</f>
        <v>734.14492098265225</v>
      </c>
      <c r="AP21" s="30">
        <f ca="1">+'TUSD BE'!$T$21+'TUSD BE'!$AB$21+'TUSD BE'!$AD$21+'TUSD BE'!$AL$21</f>
        <v>734.14492098265225</v>
      </c>
    </row>
    <row r="22" spans="1:42" ht="11.25" customHeight="1" x14ac:dyDescent="0.25">
      <c r="A22" s="119"/>
      <c r="B22" s="119"/>
      <c r="C22" s="119"/>
      <c r="D22" s="119"/>
      <c r="E22" s="119"/>
      <c r="F22" s="119"/>
      <c r="G22" s="21" t="s">
        <v>90</v>
      </c>
      <c r="H22" s="21" t="s">
        <v>88</v>
      </c>
      <c r="I22" s="21">
        <f>'MERCADO TUSD'!$U$19</f>
        <v>6790.7199999999993</v>
      </c>
      <c r="J22" s="17"/>
      <c r="L22" s="25">
        <f>'TUSD BE'!$L$22*'TUSD BE'!$L$93</f>
        <v>0</v>
      </c>
      <c r="M22" s="25">
        <f>'TUSD BE'!$M$22*'TUSD BE'!$M$93</f>
        <v>-1.423147449517931E-2</v>
      </c>
      <c r="N22" s="25">
        <f ca="1">'TUSD BE'!$N$22*'TUSD BE'!$N$93</f>
        <v>6.3399140843495023E-5</v>
      </c>
      <c r="O22" s="25">
        <f>'TUSD BE'!$O$22*'TUSD BE'!$O$93</f>
        <v>0</v>
      </c>
      <c r="P22" s="25">
        <f>'TUSD BE'!$P$22*'TUSD BE'!$P$93</f>
        <v>0</v>
      </c>
      <c r="Q22" s="25">
        <f>'TUSD BE'!$Q$22*'TUSD BE'!$Q$93</f>
        <v>-1.7819189551800454</v>
      </c>
      <c r="R22" s="25">
        <f>'TUSD BE'!$R$22*'TUSD BE'!$R$93</f>
        <v>-3.0415214814016535E-3</v>
      </c>
      <c r="S22" s="25">
        <f>'TUSD BE'!$R$22*'TUSD BE'!$S$93</f>
        <v>0</v>
      </c>
      <c r="T22" s="25">
        <f ca="1">SUM($L$22:$S$22)</f>
        <v>-1.7991285520157829</v>
      </c>
      <c r="U22" s="25">
        <f>'TUSD BE'!$U$22*'TUSD BE'!$U$93</f>
        <v>0</v>
      </c>
      <c r="V22" s="25">
        <f>'TUSD BE'!$V$22*'TUSD BE'!$V$93</f>
        <v>0</v>
      </c>
      <c r="W22" s="25">
        <f>'TUSD BE'!$W$22*'TUSD BE'!$W$93</f>
        <v>0</v>
      </c>
      <c r="X22" s="25">
        <f>'TUSD BE'!$X$22*'TUSD BE'!$X$93</f>
        <v>0</v>
      </c>
      <c r="Y22" s="25">
        <f>'TUSD BE'!$Y$22*'TUSD BE'!$Y$93</f>
        <v>0</v>
      </c>
      <c r="Z22" s="25">
        <f>'TUSD BE'!$Z$22*'TUSD BE'!$Z$93</f>
        <v>0</v>
      </c>
      <c r="AA22" s="25">
        <f>'TUSD BE'!$AA$22*'TUSD BE'!$AA$93</f>
        <v>0</v>
      </c>
      <c r="AB22" s="25">
        <f>SUM($U$22:$AA$22)</f>
        <v>0</v>
      </c>
      <c r="AC22" s="25">
        <f>'TUSD BE'!$AC$22*'TUSD BE'!$AC$93</f>
        <v>0</v>
      </c>
      <c r="AD22" s="25">
        <f>SUM($AC$22:$AC$22)</f>
        <v>0</v>
      </c>
      <c r="AE22" s="25">
        <f ca="1">$AO$22*$AO$90</f>
        <v>0</v>
      </c>
      <c r="AF22" s="25">
        <f ca="1">$AP$22*$AP$90</f>
        <v>0</v>
      </c>
      <c r="AG22" s="25">
        <f ca="1">SUM($AE$22:$AF$22)</f>
        <v>0</v>
      </c>
      <c r="AH22" s="25">
        <f>'TUSD BE'!$AH$22*'TUSD BE'!$AH$93</f>
        <v>-2.0647771861957147</v>
      </c>
      <c r="AI22" s="25">
        <f>'TUSD BE'!$AI$22*'TUSD BE'!$AI$93</f>
        <v>-7.7611558210884266E-2</v>
      </c>
      <c r="AJ22" s="25">
        <f ca="1">'TUSD BE'!$AJ$22*'TUSD BE'!$AJ$93</f>
        <v>-1.513932469031875</v>
      </c>
      <c r="AK22" s="25">
        <f ca="1">'TUSD BE'!$AK$22*'TUSD BE'!$AK$93</f>
        <v>3.2683171103484995E-2</v>
      </c>
      <c r="AL22" s="25">
        <f ca="1">SUM($AH$22:$AK$22)</f>
        <v>-3.623638042334989</v>
      </c>
      <c r="AM22" s="25">
        <f ca="1">SUMIF($L$4:$AL$4,"SUBTOTAL",$L$22:$AL$22)</f>
        <v>-5.4227665943507724</v>
      </c>
      <c r="AO22" s="30">
        <f ca="1">+'TUSD BE'!$T$22+'TUSD BE'!$AB$22+'TUSD BE'!$AD$22+'TUSD BE'!$AL$22</f>
        <v>85.954210928383915</v>
      </c>
      <c r="AP22" s="30">
        <f ca="1">+'TUSD BE'!$T$22+'TUSD BE'!$AB$22+'TUSD BE'!$AD$22+'TUSD BE'!$AL$22</f>
        <v>85.954210928383915</v>
      </c>
    </row>
    <row r="23" spans="1:42" ht="11.25" customHeight="1" x14ac:dyDescent="0.25">
      <c r="A23" s="119"/>
      <c r="B23" s="119"/>
      <c r="C23" s="119"/>
      <c r="D23" s="119"/>
      <c r="E23" s="119" t="s">
        <v>61</v>
      </c>
      <c r="F23" s="119" t="s">
        <v>25</v>
      </c>
      <c r="G23" s="21" t="s">
        <v>89</v>
      </c>
      <c r="H23" s="21" t="s">
        <v>88</v>
      </c>
      <c r="I23" s="21">
        <f>'MERCADO TUSD'!$U$20</f>
        <v>0</v>
      </c>
      <c r="J23" s="17"/>
      <c r="L23" s="25">
        <f>'TUSD BE'!$L$23*'TUSD BE'!$L$93</f>
        <v>0</v>
      </c>
      <c r="M23" s="25">
        <f>'TUSD BE'!$M$23*'TUSD BE'!$M$93</f>
        <v>-1.423147449517931E-2</v>
      </c>
      <c r="N23" s="25">
        <f ca="1">'TUSD BE'!$N$23*'TUSD BE'!$N$93</f>
        <v>8.2311170763737856E-4</v>
      </c>
      <c r="O23" s="25">
        <f>'TUSD BE'!$O$23*'TUSD BE'!$O$93</f>
        <v>0</v>
      </c>
      <c r="P23" s="25">
        <f>'TUSD BE'!$P$23*'TUSD BE'!$P$93</f>
        <v>0</v>
      </c>
      <c r="Q23" s="25">
        <f>'TUSD BE'!$Q$23*'TUSD BE'!$Q$93</f>
        <v>0</v>
      </c>
      <c r="R23" s="25">
        <f>'TUSD BE'!$R$23*'TUSD BE'!$R$93</f>
        <v>0</v>
      </c>
      <c r="S23" s="25">
        <f>'TUSD BE'!$R$23*'TUSD BE'!$S$93</f>
        <v>0</v>
      </c>
      <c r="T23" s="25">
        <f ca="1">SUM($L$23:$S$23)</f>
        <v>-1.3408362787541931E-2</v>
      </c>
      <c r="U23" s="25">
        <f>'TUSD BE'!$U$23*'TUSD BE'!$U$93</f>
        <v>-1.3691444036446494</v>
      </c>
      <c r="V23" s="25">
        <f>'TUSD BE'!$V$23*'TUSD BE'!$V$93</f>
        <v>2.4710547214262197</v>
      </c>
      <c r="W23" s="25">
        <f>'TUSD BE'!$W$23*'TUSD BE'!$W$93</f>
        <v>2.7933775790772695E-2</v>
      </c>
      <c r="X23" s="25">
        <f>'TUSD BE'!$X$23*'TUSD BE'!$X$93</f>
        <v>0</v>
      </c>
      <c r="Y23" s="25">
        <f>'TUSD BE'!$Y$23*'TUSD BE'!$Y$93</f>
        <v>0</v>
      </c>
      <c r="Z23" s="25">
        <f>'TUSD BE'!$Z$23*'TUSD BE'!$Z$93</f>
        <v>0</v>
      </c>
      <c r="AA23" s="25">
        <f>'TUSD BE'!$AA$23*'TUSD BE'!$AA$93</f>
        <v>0</v>
      </c>
      <c r="AB23" s="25">
        <f>SUM($U$23:$AA$23)</f>
        <v>1.1298440935723431</v>
      </c>
      <c r="AC23" s="25">
        <f>'TUSD BE'!$AC$23*'TUSD BE'!$AC$93</f>
        <v>0</v>
      </c>
      <c r="AD23" s="25">
        <f>SUM($AC$23:$AC$23)</f>
        <v>0</v>
      </c>
      <c r="AE23" s="25">
        <f ca="1">$AO$23*$AO$90</f>
        <v>0</v>
      </c>
      <c r="AF23" s="25">
        <f ca="1">$AP$23*$AP$90</f>
        <v>0</v>
      </c>
      <c r="AG23" s="25">
        <f ca="1">SUM($AE$23:$AF$23)</f>
        <v>0</v>
      </c>
      <c r="AH23" s="25">
        <f>'TUSD BE'!$AH$23*'TUSD BE'!$AH$93</f>
        <v>-2.0647771861957147</v>
      </c>
      <c r="AI23" s="25">
        <f>'TUSD BE'!$AI$23*'TUSD BE'!$AI$93</f>
        <v>-7.7611558210884266E-2</v>
      </c>
      <c r="AJ23" s="25">
        <f ca="1">'TUSD BE'!$AJ$23*'TUSD BE'!$AJ$93</f>
        <v>-1.513932469031875</v>
      </c>
      <c r="AK23" s="25">
        <f ca="1">'TUSD BE'!$AK$23*'TUSD BE'!$AK$93</f>
        <v>3.2683171103484995E-2</v>
      </c>
      <c r="AL23" s="25">
        <f ca="1">SUM($AH$23:$AK$23)</f>
        <v>-3.623638042334989</v>
      </c>
      <c r="AM23" s="25">
        <f ca="1">SUMIF($L$4:$AL$4,"SUBTOTAL",$L$23:$AL$23)</f>
        <v>-2.5072023115501878</v>
      </c>
      <c r="AO23" s="30">
        <f ca="1">+'TUSD BE'!$T$23+'TUSD BE'!$AB$23+'TUSD BE'!$AD$23+'TUSD BE'!$AL$23</f>
        <v>671.42740885617343</v>
      </c>
      <c r="AP23" s="30">
        <f ca="1">+'TUSD BE'!$T$23+'TUSD BE'!$AB$23+'TUSD BE'!$AD$23+'TUSD BE'!$AL$23</f>
        <v>671.42740885617343</v>
      </c>
    </row>
    <row r="24" spans="1:42" ht="11.25" customHeight="1" x14ac:dyDescent="0.25">
      <c r="A24" s="119"/>
      <c r="B24" s="119"/>
      <c r="C24" s="119"/>
      <c r="D24" s="119"/>
      <c r="E24" s="119"/>
      <c r="F24" s="119"/>
      <c r="G24" s="21" t="s">
        <v>90</v>
      </c>
      <c r="H24" s="21" t="s">
        <v>88</v>
      </c>
      <c r="I24" s="21">
        <f>'MERCADO TUSD'!$U$21</f>
        <v>0</v>
      </c>
      <c r="J24" s="17"/>
      <c r="L24" s="25">
        <f>'TUSD BE'!$L$24*'TUSD BE'!$L$93</f>
        <v>0</v>
      </c>
      <c r="M24" s="25">
        <f>'TUSD BE'!$M$24*'TUSD BE'!$M$93</f>
        <v>-1.423147449517931E-2</v>
      </c>
      <c r="N24" s="25">
        <f ca="1">'TUSD BE'!$N$24*'TUSD BE'!$N$93</f>
        <v>6.1452485625115838E-5</v>
      </c>
      <c r="O24" s="25">
        <f>'TUSD BE'!$O$24*'TUSD BE'!$O$93</f>
        <v>0</v>
      </c>
      <c r="P24" s="25">
        <f>'TUSD BE'!$P$24*'TUSD BE'!$P$93</f>
        <v>0</v>
      </c>
      <c r="Q24" s="25">
        <f>'TUSD BE'!$Q$24*'TUSD BE'!$Q$93</f>
        <v>0</v>
      </c>
      <c r="R24" s="25">
        <f>'TUSD BE'!$R$24*'TUSD BE'!$R$93</f>
        <v>0</v>
      </c>
      <c r="S24" s="25">
        <f>'TUSD BE'!$R$24*'TUSD BE'!$S$93</f>
        <v>0</v>
      </c>
      <c r="T24" s="25">
        <f ca="1">SUM($L$24:$S$24)</f>
        <v>-1.4170022009554193E-2</v>
      </c>
      <c r="U24" s="25">
        <f>'TUSD BE'!$U$24*'TUSD BE'!$U$93</f>
        <v>0</v>
      </c>
      <c r="V24" s="25">
        <f>'TUSD BE'!$V$24*'TUSD BE'!$V$93</f>
        <v>0</v>
      </c>
      <c r="W24" s="25">
        <f>'TUSD BE'!$W$24*'TUSD BE'!$W$93</f>
        <v>0</v>
      </c>
      <c r="X24" s="25">
        <f>'TUSD BE'!$X$24*'TUSD BE'!$X$93</f>
        <v>0</v>
      </c>
      <c r="Y24" s="25">
        <f>'TUSD BE'!$Y$24*'TUSD BE'!$Y$93</f>
        <v>0</v>
      </c>
      <c r="Z24" s="25">
        <f>'TUSD BE'!$Z$24*'TUSD BE'!$Z$93</f>
        <v>0</v>
      </c>
      <c r="AA24" s="25">
        <f>'TUSD BE'!$AA$24*'TUSD BE'!$AA$93</f>
        <v>0</v>
      </c>
      <c r="AB24" s="25">
        <f>SUM($U$24:$AA$24)</f>
        <v>0</v>
      </c>
      <c r="AC24" s="25">
        <f>'TUSD BE'!$AC$24*'TUSD BE'!$AC$93</f>
        <v>0</v>
      </c>
      <c r="AD24" s="25">
        <f>SUM($AC$24:$AC$24)</f>
        <v>0</v>
      </c>
      <c r="AE24" s="25">
        <f ca="1">$AO$24*$AO$90</f>
        <v>0</v>
      </c>
      <c r="AF24" s="25">
        <f ca="1">$AP$24*$AP$90</f>
        <v>0</v>
      </c>
      <c r="AG24" s="25">
        <f ca="1">SUM($AE$24:$AF$24)</f>
        <v>0</v>
      </c>
      <c r="AH24" s="25">
        <f>'TUSD BE'!$AH$24*'TUSD BE'!$AH$93</f>
        <v>-2.0647771861957147</v>
      </c>
      <c r="AI24" s="25">
        <f>'TUSD BE'!$AI$24*'TUSD BE'!$AI$93</f>
        <v>-7.7611558210884266E-2</v>
      </c>
      <c r="AJ24" s="25">
        <f ca="1">'TUSD BE'!$AJ$24*'TUSD BE'!$AJ$93</f>
        <v>-1.513932469031875</v>
      </c>
      <c r="AK24" s="25">
        <f ca="1">'TUSD BE'!$AK$24*'TUSD BE'!$AK$93</f>
        <v>3.2683171103484995E-2</v>
      </c>
      <c r="AL24" s="25">
        <f ca="1">SUM($AH$24:$AK$24)</f>
        <v>-3.623638042334989</v>
      </c>
      <c r="AM24" s="25">
        <f ca="1">SUMIF($L$4:$AL$4,"SUBTOTAL",$L$24:$AL$24)</f>
        <v>-3.6378080643445432</v>
      </c>
      <c r="AO24" s="30">
        <f ca="1">+'TUSD BE'!$T$24+'TUSD BE'!$AB$24+'TUSD BE'!$AD$24+'TUSD BE'!$AL$24</f>
        <v>23.236698801905145</v>
      </c>
      <c r="AP24" s="30">
        <f ca="1">+'TUSD BE'!$T$24+'TUSD BE'!$AB$24+'TUSD BE'!$AD$24+'TUSD BE'!$AL$24</f>
        <v>23.236698801905145</v>
      </c>
    </row>
    <row r="25" spans="1:42" ht="11.25" customHeight="1" x14ac:dyDescent="0.25">
      <c r="A25" s="119"/>
      <c r="B25" s="119" t="s">
        <v>23</v>
      </c>
      <c r="C25" s="119" t="s">
        <v>25</v>
      </c>
      <c r="D25" s="119" t="s">
        <v>25</v>
      </c>
      <c r="E25" s="119" t="s">
        <v>25</v>
      </c>
      <c r="F25" s="119" t="s">
        <v>25</v>
      </c>
      <c r="G25" s="21" t="s">
        <v>9</v>
      </c>
      <c r="H25" s="21" t="s">
        <v>91</v>
      </c>
      <c r="I25" s="21">
        <f>'MERCADO TUSD'!$U$22</f>
        <v>0</v>
      </c>
      <c r="J25" s="17"/>
      <c r="L25" s="25">
        <f>'TUSD BE'!$L$25*'TUSD BE'!$L$93</f>
        <v>0</v>
      </c>
      <c r="M25" s="25">
        <f>'TUSD BE'!$M$25*'TUSD BE'!$M$93</f>
        <v>0</v>
      </c>
      <c r="N25" s="25">
        <f ca="1">'TUSD BE'!$N$25*'TUSD BE'!$N$93</f>
        <v>0</v>
      </c>
      <c r="O25" s="25">
        <f>'TUSD BE'!$O$25*'TUSD BE'!$O$93</f>
        <v>0</v>
      </c>
      <c r="P25" s="25">
        <f>'TUSD BE'!$P$25*'TUSD BE'!$P$93</f>
        <v>0</v>
      </c>
      <c r="Q25" s="25">
        <f>'TUSD BE'!$Q$25*'TUSD BE'!$Q$93</f>
        <v>0</v>
      </c>
      <c r="R25" s="25">
        <f>'TUSD BE'!$R$25*'TUSD BE'!$R$93</f>
        <v>0</v>
      </c>
      <c r="S25" s="25">
        <f>'TUSD BE'!$R$25*'TUSD BE'!$S$93</f>
        <v>0</v>
      </c>
      <c r="T25" s="25">
        <f ca="1">SUM($L$25:$S$25)</f>
        <v>0</v>
      </c>
      <c r="U25" s="25">
        <f>'TUSD BE'!$U$25*'TUSD BE'!$U$93</f>
        <v>-7.820107820636317E-2</v>
      </c>
      <c r="V25" s="25">
        <f>'TUSD BE'!$V$25*'TUSD BE'!$V$93</f>
        <v>0.14707496775661505</v>
      </c>
      <c r="W25" s="25">
        <f>'TUSD BE'!$W$25*'TUSD BE'!$W$93</f>
        <v>1.578236764634446E-3</v>
      </c>
      <c r="X25" s="25">
        <f>'TUSD BE'!$X$25*'TUSD BE'!$X$93</f>
        <v>0</v>
      </c>
      <c r="Y25" s="25">
        <f>'TUSD BE'!$Y$25*'TUSD BE'!$Y$93</f>
        <v>0</v>
      </c>
      <c r="Z25" s="25">
        <f>'TUSD BE'!$Z$25*'TUSD BE'!$Z$93</f>
        <v>0</v>
      </c>
      <c r="AA25" s="25">
        <f>'TUSD BE'!$AA$25*'TUSD BE'!$AA$93</f>
        <v>0</v>
      </c>
      <c r="AB25" s="25">
        <f>SUM($U$25:$AA$25)</f>
        <v>7.0452126314886329E-2</v>
      </c>
      <c r="AC25" s="25">
        <f>'TUSD BE'!$AC$25*'TUSD BE'!$AC$93</f>
        <v>0</v>
      </c>
      <c r="AD25" s="25">
        <f>SUM($AC$25:$AC$25)</f>
        <v>0</v>
      </c>
      <c r="AE25" s="25">
        <f ca="1">$AO$25*$AO$90</f>
        <v>0</v>
      </c>
      <c r="AF25" s="25">
        <f ca="1">$AP$25*$AP$90</f>
        <v>0</v>
      </c>
      <c r="AG25" s="25">
        <f ca="1">SUM($AE$25:$AF$25)</f>
        <v>0</v>
      </c>
      <c r="AH25" s="25">
        <f>'TUSD BE'!$AH$25*'TUSD BE'!$AH$93</f>
        <v>0</v>
      </c>
      <c r="AI25" s="25">
        <f>'TUSD BE'!$AI$25*'TUSD BE'!$AI$93</f>
        <v>0</v>
      </c>
      <c r="AJ25" s="25">
        <f ca="1">'TUSD BE'!$AJ$25*'TUSD BE'!$AJ$93</f>
        <v>0</v>
      </c>
      <c r="AK25" s="25">
        <f ca="1">'TUSD BE'!$AK$25*'TUSD BE'!$AK$93</f>
        <v>0</v>
      </c>
      <c r="AL25" s="25">
        <f ca="1">SUM($AH$25:$AK$25)</f>
        <v>0</v>
      </c>
      <c r="AM25" s="25">
        <f ca="1">SUMIF($L$4:$AL$4,"SUBTOTAL",$L$25:$AL$25)</f>
        <v>7.0452126314886329E-2</v>
      </c>
      <c r="AO25" s="30">
        <f ca="1">+'TUSD BE'!$T$25+'TUSD BE'!$AB$25+'TUSD BE'!$AD$25+'TUSD BE'!$AL$25</f>
        <v>30.350434773805986</v>
      </c>
      <c r="AP25" s="30">
        <f ca="1">+'TUSD BE'!$T$25+'TUSD BE'!$AB$25+'TUSD BE'!$AD$25+'TUSD BE'!$AL$25</f>
        <v>30.350434773805986</v>
      </c>
    </row>
    <row r="26" spans="1:42" ht="11.25" customHeight="1" x14ac:dyDescent="0.25">
      <c r="A26" s="119"/>
      <c r="B26" s="119"/>
      <c r="C26" s="119"/>
      <c r="D26" s="119"/>
      <c r="E26" s="119"/>
      <c r="F26" s="119"/>
      <c r="G26" s="21" t="s">
        <v>94</v>
      </c>
      <c r="H26" s="21" t="s">
        <v>88</v>
      </c>
      <c r="I26" s="21">
        <f>'MERCADO TUSD'!$U$23</f>
        <v>0</v>
      </c>
      <c r="J26" s="17"/>
      <c r="L26" s="25">
        <f>'TUSD BE'!$L$26*'TUSD BE'!$L$93</f>
        <v>0</v>
      </c>
      <c r="M26" s="25">
        <f>'TUSD BE'!$M$26*'TUSD BE'!$M$93</f>
        <v>-1.423147449517931E-2</v>
      </c>
      <c r="N26" s="25">
        <f ca="1">'TUSD BE'!$N$26*'TUSD BE'!$N$93</f>
        <v>6.3399140843495023E-5</v>
      </c>
      <c r="O26" s="25">
        <f>'TUSD BE'!$O$26*'TUSD BE'!$O$93</f>
        <v>0</v>
      </c>
      <c r="P26" s="25">
        <f>'TUSD BE'!$P$26*'TUSD BE'!$P$93</f>
        <v>0</v>
      </c>
      <c r="Q26" s="25">
        <f>'TUSD BE'!$Q$26*'TUSD BE'!$Q$93</f>
        <v>-1.7819189551800454</v>
      </c>
      <c r="R26" s="25">
        <f>'TUSD BE'!$R$26*'TUSD BE'!$R$93</f>
        <v>-3.0415214814016535E-3</v>
      </c>
      <c r="S26" s="25">
        <f>'TUSD BE'!$R$26*'TUSD BE'!$S$93</f>
        <v>0</v>
      </c>
      <c r="T26" s="25">
        <f ca="1">SUM($L$26:$S$26)</f>
        <v>-1.7991285520157829</v>
      </c>
      <c r="U26" s="25">
        <f>'TUSD BE'!$U$26*'TUSD BE'!$U$93</f>
        <v>0</v>
      </c>
      <c r="V26" s="25">
        <f>'TUSD BE'!$V$26*'TUSD BE'!$V$93</f>
        <v>0</v>
      </c>
      <c r="W26" s="25">
        <f>'TUSD BE'!$W$26*'TUSD BE'!$W$93</f>
        <v>0</v>
      </c>
      <c r="X26" s="25">
        <f>'TUSD BE'!$X$26*'TUSD BE'!$X$93</f>
        <v>0</v>
      </c>
      <c r="Y26" s="25">
        <f>'TUSD BE'!$Y$26*'TUSD BE'!$Y$93</f>
        <v>0</v>
      </c>
      <c r="Z26" s="25">
        <f>'TUSD BE'!$Z$26*'TUSD BE'!$Z$93</f>
        <v>0</v>
      </c>
      <c r="AA26" s="25">
        <f>'TUSD BE'!$AA$26*'TUSD BE'!$AA$93</f>
        <v>0</v>
      </c>
      <c r="AB26" s="25">
        <f>SUM($U$26:$AA$26)</f>
        <v>0</v>
      </c>
      <c r="AC26" s="25">
        <f>'TUSD BE'!$AC$26*'TUSD BE'!$AC$93</f>
        <v>0</v>
      </c>
      <c r="AD26" s="25">
        <f>SUM($AC$26:$AC$26)</f>
        <v>0</v>
      </c>
      <c r="AE26" s="25">
        <f ca="1">$AO$26*$AO$90</f>
        <v>0</v>
      </c>
      <c r="AF26" s="25">
        <f ca="1">$AP$26*$AP$90</f>
        <v>0</v>
      </c>
      <c r="AG26" s="25">
        <f ca="1">SUM($AE$26:$AF$26)</f>
        <v>0</v>
      </c>
      <c r="AH26" s="25">
        <f>'TUSD BE'!$AH$26*'TUSD BE'!$AH$93</f>
        <v>-2.0647771861957147</v>
      </c>
      <c r="AI26" s="25">
        <f>'TUSD BE'!$AI$26*'TUSD BE'!$AI$93</f>
        <v>-7.7611558210884266E-2</v>
      </c>
      <c r="AJ26" s="25">
        <f ca="1">'TUSD BE'!$AJ$26*'TUSD BE'!$AJ$93</f>
        <v>-1.513932469031875</v>
      </c>
      <c r="AK26" s="25">
        <f ca="1">'TUSD BE'!$AK$26*'TUSD BE'!$AK$93</f>
        <v>3.2683171103484995E-2</v>
      </c>
      <c r="AL26" s="25">
        <f ca="1">SUM($AH$26:$AK$26)</f>
        <v>-3.623638042334989</v>
      </c>
      <c r="AM26" s="25">
        <f ca="1">SUMIF($L$4:$AL$4,"SUBTOTAL",$L$26:$AL$26)</f>
        <v>-5.4227665943507724</v>
      </c>
      <c r="AO26" s="30">
        <f ca="1">+'TUSD BE'!$T$26+'TUSD BE'!$AB$26+'TUSD BE'!$AD$26+'TUSD BE'!$AL$26</f>
        <v>85.954210928383915</v>
      </c>
      <c r="AP26" s="30">
        <f ca="1">+'TUSD BE'!$T$26+'TUSD BE'!$AB$26+'TUSD BE'!$AD$26+'TUSD BE'!$AL$26</f>
        <v>85.954210928383915</v>
      </c>
    </row>
    <row r="27" spans="1:42" ht="11.25" customHeight="1" x14ac:dyDescent="0.25">
      <c r="A27" s="119" t="s">
        <v>33</v>
      </c>
      <c r="B27" s="119" t="s">
        <v>41</v>
      </c>
      <c r="C27" s="119" t="s">
        <v>25</v>
      </c>
      <c r="D27" s="119" t="s">
        <v>25</v>
      </c>
      <c r="E27" s="119" t="s">
        <v>25</v>
      </c>
      <c r="F27" s="119" t="s">
        <v>25</v>
      </c>
      <c r="G27" s="21" t="s">
        <v>92</v>
      </c>
      <c r="H27" s="21" t="s">
        <v>91</v>
      </c>
      <c r="I27" s="21">
        <f>'MERCADO TUSD'!$U$24</f>
        <v>1516519</v>
      </c>
      <c r="J27" s="17"/>
      <c r="L27" s="25">
        <f>'TUSD BE'!$L$27*'TUSD BE'!$L$93</f>
        <v>0</v>
      </c>
      <c r="M27" s="25">
        <f>'TUSD BE'!$M$27*'TUSD BE'!$M$93</f>
        <v>0</v>
      </c>
      <c r="N27" s="25">
        <f ca="1">'TUSD BE'!$N$27*'TUSD BE'!$N$93</f>
        <v>0</v>
      </c>
      <c r="O27" s="25">
        <f>'TUSD BE'!$O$27*'TUSD BE'!$O$93</f>
        <v>0</v>
      </c>
      <c r="P27" s="25">
        <f>'TUSD BE'!$P$27*'TUSD BE'!$P$93</f>
        <v>0</v>
      </c>
      <c r="Q27" s="25">
        <f>'TUSD BE'!$Q$27*'TUSD BE'!$Q$93</f>
        <v>0</v>
      </c>
      <c r="R27" s="25">
        <f>'TUSD BE'!$R$27*'TUSD BE'!$R$93</f>
        <v>0</v>
      </c>
      <c r="S27" s="25">
        <f>'TUSD BE'!$R$27*'TUSD BE'!$S$93</f>
        <v>0</v>
      </c>
      <c r="T27" s="25">
        <f ca="1">SUM($L$27:$S$27)</f>
        <v>0</v>
      </c>
      <c r="U27" s="25">
        <f>'TUSD BE'!$U$27*'TUSD BE'!$U$93</f>
        <v>-5.6928287552061925E-2</v>
      </c>
      <c r="V27" s="25">
        <f>'TUSD BE'!$V$27*'TUSD BE'!$V$93</f>
        <v>0.10274559151007404</v>
      </c>
      <c r="W27" s="25">
        <f>'TUSD BE'!$W$27*'TUSD BE'!$W$93</f>
        <v>1.1621100292645921E-3</v>
      </c>
      <c r="X27" s="25">
        <f>'TUSD BE'!$X$27*'TUSD BE'!$X$93</f>
        <v>0</v>
      </c>
      <c r="Y27" s="25">
        <f>'TUSD BE'!$Y$27*'TUSD BE'!$Y$93</f>
        <v>0</v>
      </c>
      <c r="Z27" s="25">
        <f>'TUSD BE'!$Z$27*'TUSD BE'!$Z$93</f>
        <v>0</v>
      </c>
      <c r="AA27" s="25">
        <f>'TUSD BE'!$AA$27*'TUSD BE'!$AA$93</f>
        <v>0</v>
      </c>
      <c r="AB27" s="25">
        <f>SUM($U$27:$AA$27)</f>
        <v>4.6979413987276702E-2</v>
      </c>
      <c r="AC27" s="25">
        <f>'TUSD BE'!$AC$27*'TUSD BE'!$AC$93</f>
        <v>0</v>
      </c>
      <c r="AD27" s="25">
        <f>SUM($AC$27:$AC$27)</f>
        <v>0</v>
      </c>
      <c r="AE27" s="25">
        <f ca="1">$AO$27*$AO$90</f>
        <v>0</v>
      </c>
      <c r="AF27" s="25">
        <f ca="1">$AP$27*$AP$90</f>
        <v>0</v>
      </c>
      <c r="AG27" s="25">
        <f ca="1">SUM($AE$27:$AF$27)</f>
        <v>0</v>
      </c>
      <c r="AH27" s="25">
        <f>'TUSD BE'!$AH$27*'TUSD BE'!$AH$93</f>
        <v>0</v>
      </c>
      <c r="AI27" s="25">
        <f>'TUSD BE'!$AI$27*'TUSD BE'!$AI$93</f>
        <v>0</v>
      </c>
      <c r="AJ27" s="25">
        <f ca="1">'TUSD BE'!$AJ$27*'TUSD BE'!$AJ$93</f>
        <v>0</v>
      </c>
      <c r="AK27" s="25">
        <f ca="1">'TUSD BE'!$AK$27*'TUSD BE'!$AK$93</f>
        <v>0</v>
      </c>
      <c r="AL27" s="25">
        <f ca="1">SUM($AH$27:$AK$27)</f>
        <v>0</v>
      </c>
      <c r="AM27" s="25">
        <f ca="1">SUMIF($L$4:$AL$4,"SUBTOTAL",$L$27:$AL$27)</f>
        <v>4.6979413987276702E-2</v>
      </c>
      <c r="AO27" s="30">
        <f ca="1">+'TUSD BE'!$T$27+'TUSD BE'!$AB$27+'TUSD BE'!$AD$27+'TUSD BE'!$AL$27</f>
        <v>26.716380063009197</v>
      </c>
      <c r="AP27" s="30">
        <f ca="1">+'TUSD BE'!$T$27+'TUSD BE'!$AB$27+'TUSD BE'!$AD$27+'TUSD BE'!$AL$27</f>
        <v>26.716380063009197</v>
      </c>
    </row>
    <row r="28" spans="1:42" ht="11.25" customHeight="1" x14ac:dyDescent="0.25">
      <c r="A28" s="119"/>
      <c r="B28" s="119"/>
      <c r="C28" s="119"/>
      <c r="D28" s="119"/>
      <c r="E28" s="119"/>
      <c r="F28" s="119"/>
      <c r="G28" s="21" t="s">
        <v>93</v>
      </c>
      <c r="H28" s="21" t="s">
        <v>91</v>
      </c>
      <c r="I28" s="21">
        <f>'MERCADO TUSD'!$U$25</f>
        <v>1745724</v>
      </c>
      <c r="J28" s="17"/>
      <c r="L28" s="25">
        <f>'TUSD BE'!$L$28*'TUSD BE'!$L$93</f>
        <v>0</v>
      </c>
      <c r="M28" s="25">
        <f>'TUSD BE'!$M$28*'TUSD BE'!$M$93</f>
        <v>0</v>
      </c>
      <c r="N28" s="25">
        <f ca="1">'TUSD BE'!$N$28*'TUSD BE'!$N$93</f>
        <v>0</v>
      </c>
      <c r="O28" s="25">
        <f>'TUSD BE'!$O$28*'TUSD BE'!$O$93</f>
        <v>0</v>
      </c>
      <c r="P28" s="25">
        <f>'TUSD BE'!$P$28*'TUSD BE'!$P$93</f>
        <v>0</v>
      </c>
      <c r="Q28" s="25">
        <f>'TUSD BE'!$Q$28*'TUSD BE'!$Q$93</f>
        <v>0</v>
      </c>
      <c r="R28" s="25">
        <f>'TUSD BE'!$R$28*'TUSD BE'!$R$93</f>
        <v>0</v>
      </c>
      <c r="S28" s="25">
        <f>'TUSD BE'!$R$28*'TUSD BE'!$S$93</f>
        <v>0</v>
      </c>
      <c r="T28" s="25">
        <f ca="1">SUM($L$28:$S$28)</f>
        <v>0</v>
      </c>
      <c r="U28" s="25">
        <f>'TUSD BE'!$U$28*'TUSD BE'!$U$93</f>
        <v>-3.7210135436388542E-2</v>
      </c>
      <c r="V28" s="25">
        <f>'TUSD BE'!$V$28*'TUSD BE'!$V$93</f>
        <v>7.3084194503998362E-2</v>
      </c>
      <c r="W28" s="25">
        <f>'TUSD BE'!$W$28*'TUSD BE'!$W$93</f>
        <v>7.4344593575223895E-4</v>
      </c>
      <c r="X28" s="25">
        <f>'TUSD BE'!$X$28*'TUSD BE'!$X$93</f>
        <v>0</v>
      </c>
      <c r="Y28" s="25">
        <f>'TUSD BE'!$Y$28*'TUSD BE'!$Y$93</f>
        <v>0</v>
      </c>
      <c r="Z28" s="25">
        <f>'TUSD BE'!$Z$28*'TUSD BE'!$Z$93</f>
        <v>0</v>
      </c>
      <c r="AA28" s="25">
        <f>'TUSD BE'!$AA$28*'TUSD BE'!$AA$93</f>
        <v>0</v>
      </c>
      <c r="AB28" s="25">
        <f>SUM($U$28:$AA$28)</f>
        <v>3.6617505003362062E-2</v>
      </c>
      <c r="AC28" s="25">
        <f>'TUSD BE'!$AC$28*'TUSD BE'!$AC$93</f>
        <v>0</v>
      </c>
      <c r="AD28" s="25">
        <f>SUM($AC$28:$AC$28)</f>
        <v>0</v>
      </c>
      <c r="AE28" s="25">
        <f ca="1">$AO$28*$AO$90</f>
        <v>0</v>
      </c>
      <c r="AF28" s="25">
        <f ca="1">$AP$28*$AP$90</f>
        <v>0</v>
      </c>
      <c r="AG28" s="25">
        <f ca="1">SUM($AE$28:$AF$28)</f>
        <v>0</v>
      </c>
      <c r="AH28" s="25">
        <f>'TUSD BE'!$AH$28*'TUSD BE'!$AH$93</f>
        <v>0</v>
      </c>
      <c r="AI28" s="25">
        <f>'TUSD BE'!$AI$28*'TUSD BE'!$AI$93</f>
        <v>0</v>
      </c>
      <c r="AJ28" s="25">
        <f ca="1">'TUSD BE'!$AJ$28*'TUSD BE'!$AJ$93</f>
        <v>0</v>
      </c>
      <c r="AK28" s="25">
        <f ca="1">'TUSD BE'!$AK$28*'TUSD BE'!$AK$93</f>
        <v>0</v>
      </c>
      <c r="AL28" s="25">
        <f ca="1">SUM($AH$28:$AK$28)</f>
        <v>0</v>
      </c>
      <c r="AM28" s="25">
        <f ca="1">SUMIF($L$4:$AL$4,"SUBTOTAL",$L$28:$AL$28)</f>
        <v>3.6617505003362062E-2</v>
      </c>
      <c r="AO28" s="30">
        <f ca="1">+'TUSD BE'!$T$28+'TUSD BE'!$AB$28+'TUSD BE'!$AD$28+'TUSD BE'!$AL$28</f>
        <v>11.114449476719457</v>
      </c>
      <c r="AP28" s="30">
        <f ca="1">+'TUSD BE'!$T$28+'TUSD BE'!$AB$28+'TUSD BE'!$AD$28+'TUSD BE'!$AL$28</f>
        <v>11.114449476719457</v>
      </c>
    </row>
    <row r="29" spans="1:42" ht="11.25" customHeight="1" x14ac:dyDescent="0.25">
      <c r="A29" s="119"/>
      <c r="B29" s="119"/>
      <c r="C29" s="119"/>
      <c r="D29" s="119"/>
      <c r="E29" s="119"/>
      <c r="F29" s="119"/>
      <c r="G29" s="21" t="s">
        <v>94</v>
      </c>
      <c r="H29" s="21" t="s">
        <v>88</v>
      </c>
      <c r="I29" s="21">
        <f>'MERCADO TUSD'!$U$26</f>
        <v>639922.91000000015</v>
      </c>
      <c r="J29" s="17"/>
      <c r="L29" s="25">
        <f>'TUSD BE'!$L$29*'TUSD BE'!$L$93</f>
        <v>0</v>
      </c>
      <c r="M29" s="25">
        <f>'TUSD BE'!$M$29*'TUSD BE'!$M$93</f>
        <v>-1.423147449517931E-2</v>
      </c>
      <c r="N29" s="25">
        <f ca="1">'TUSD BE'!$N$29*'TUSD BE'!$N$93</f>
        <v>6.3399140843495023E-5</v>
      </c>
      <c r="O29" s="25">
        <f>'TUSD BE'!$O$29*'TUSD BE'!$O$93</f>
        <v>0</v>
      </c>
      <c r="P29" s="25">
        <f>'TUSD BE'!$P$29*'TUSD BE'!$P$93</f>
        <v>0</v>
      </c>
      <c r="Q29" s="25">
        <f>'TUSD BE'!$Q$29*'TUSD BE'!$Q$93</f>
        <v>-1.7819189551800454</v>
      </c>
      <c r="R29" s="25">
        <f>'TUSD BE'!$R$29*'TUSD BE'!$R$93</f>
        <v>-3.0415214814016535E-3</v>
      </c>
      <c r="S29" s="25">
        <f>'TUSD BE'!$R$29*'TUSD BE'!$S$93</f>
        <v>0</v>
      </c>
      <c r="T29" s="25">
        <f ca="1">SUM($L$29:$S$29)</f>
        <v>-1.7991285520157829</v>
      </c>
      <c r="U29" s="25">
        <f>'TUSD BE'!$U$29*'TUSD BE'!$U$93</f>
        <v>0</v>
      </c>
      <c r="V29" s="25">
        <f>'TUSD BE'!$V$29*'TUSD BE'!$V$93</f>
        <v>0</v>
      </c>
      <c r="W29" s="25">
        <f>'TUSD BE'!$W$29*'TUSD BE'!$W$93</f>
        <v>0</v>
      </c>
      <c r="X29" s="25">
        <f>'TUSD BE'!$X$29*'TUSD BE'!$X$93</f>
        <v>0</v>
      </c>
      <c r="Y29" s="25">
        <f>'TUSD BE'!$Y$29*'TUSD BE'!$Y$93</f>
        <v>0</v>
      </c>
      <c r="Z29" s="25">
        <f>'TUSD BE'!$Z$29*'TUSD BE'!$Z$93</f>
        <v>0</v>
      </c>
      <c r="AA29" s="25">
        <f>'TUSD BE'!$AA$29*'TUSD BE'!$AA$93</f>
        <v>0</v>
      </c>
      <c r="AB29" s="25">
        <f>SUM($U$29:$AA$29)</f>
        <v>0</v>
      </c>
      <c r="AC29" s="25">
        <f>'TUSD BE'!$AC$29*'TUSD BE'!$AC$93</f>
        <v>0</v>
      </c>
      <c r="AD29" s="25">
        <f>SUM($AC$29:$AC$29)</f>
        <v>0</v>
      </c>
      <c r="AE29" s="25">
        <f ca="1">$AO$29*$AO$90</f>
        <v>0</v>
      </c>
      <c r="AF29" s="25">
        <f ca="1">$AP$29*$AP$90</f>
        <v>0</v>
      </c>
      <c r="AG29" s="25">
        <f ca="1">SUM($AE$29:$AF$29)</f>
        <v>0</v>
      </c>
      <c r="AH29" s="25">
        <f>'TUSD BE'!$AH$29*'TUSD BE'!$AH$93</f>
        <v>-2.0647771861957147</v>
      </c>
      <c r="AI29" s="25">
        <f>'TUSD BE'!$AI$29*'TUSD BE'!$AI$93</f>
        <v>-7.7611558210884266E-2</v>
      </c>
      <c r="AJ29" s="25">
        <f ca="1">'TUSD BE'!$AJ$29*'TUSD BE'!$AJ$93</f>
        <v>-1.513932469031875</v>
      </c>
      <c r="AK29" s="25">
        <f ca="1">'TUSD BE'!$AK$29*'TUSD BE'!$AK$93</f>
        <v>3.2683171103484995E-2</v>
      </c>
      <c r="AL29" s="25">
        <f ca="1">SUM($AH$29:$AK$29)</f>
        <v>-3.623638042334989</v>
      </c>
      <c r="AM29" s="25">
        <f ca="1">SUMIF($L$4:$AL$4,"SUBTOTAL",$L$29:$AL$29)</f>
        <v>-5.4227665943507724</v>
      </c>
      <c r="AO29" s="30">
        <f ca="1">+'TUSD BE'!$T$29+'TUSD BE'!$AB$29+'TUSD BE'!$AD$29+'TUSD BE'!$AL$29</f>
        <v>85.954210928383915</v>
      </c>
      <c r="AP29" s="30">
        <f ca="1">+'TUSD BE'!$T$29+'TUSD BE'!$AB$29+'TUSD BE'!$AD$29+'TUSD BE'!$AL$29</f>
        <v>85.954210928383915</v>
      </c>
    </row>
    <row r="30" spans="1:42" ht="11.25" customHeight="1" x14ac:dyDescent="0.25">
      <c r="A30" s="119"/>
      <c r="B30" s="119"/>
      <c r="C30" s="119"/>
      <c r="D30" s="119"/>
      <c r="E30" s="28" t="s">
        <v>61</v>
      </c>
      <c r="F30" s="28" t="s">
        <v>25</v>
      </c>
      <c r="G30" s="21" t="s">
        <v>94</v>
      </c>
      <c r="H30" s="21" t="s">
        <v>88</v>
      </c>
      <c r="I30" s="21">
        <f>'MERCADO TUSD'!$U$27</f>
        <v>0</v>
      </c>
      <c r="J30" s="17"/>
      <c r="L30" s="25">
        <f>'TUSD BE'!$L$30*'TUSD BE'!$L$93</f>
        <v>0</v>
      </c>
      <c r="M30" s="25">
        <f>'TUSD BE'!$M$30*'TUSD BE'!$M$93</f>
        <v>-1.423147449517931E-2</v>
      </c>
      <c r="N30" s="25">
        <f ca="1">'TUSD BE'!$N$30*'TUSD BE'!$N$93</f>
        <v>6.1452485625115838E-5</v>
      </c>
      <c r="O30" s="25">
        <f>'TUSD BE'!$O$30*'TUSD BE'!$O$93</f>
        <v>0</v>
      </c>
      <c r="P30" s="25">
        <f>'TUSD BE'!$P$30*'TUSD BE'!$P$93</f>
        <v>0</v>
      </c>
      <c r="Q30" s="25">
        <f>'TUSD BE'!$Q$30*'TUSD BE'!$Q$93</f>
        <v>0</v>
      </c>
      <c r="R30" s="25">
        <f>'TUSD BE'!$R$30*'TUSD BE'!$R$93</f>
        <v>0</v>
      </c>
      <c r="S30" s="25">
        <f>'TUSD BE'!$R$30*'TUSD BE'!$S$93</f>
        <v>0</v>
      </c>
      <c r="T30" s="25">
        <f ca="1">SUM($L$30:$S$30)</f>
        <v>-1.4170022009554193E-2</v>
      </c>
      <c r="U30" s="25">
        <f>'TUSD BE'!$U$30*'TUSD BE'!$U$93</f>
        <v>0</v>
      </c>
      <c r="V30" s="25">
        <f>'TUSD BE'!$V$30*'TUSD BE'!$V$93</f>
        <v>0</v>
      </c>
      <c r="W30" s="25">
        <f>'TUSD BE'!$W$30*'TUSD BE'!$W$93</f>
        <v>0</v>
      </c>
      <c r="X30" s="25">
        <f>'TUSD BE'!$X$30*'TUSD BE'!$X$93</f>
        <v>0</v>
      </c>
      <c r="Y30" s="25">
        <f>'TUSD BE'!$Y$30*'TUSD BE'!$Y$93</f>
        <v>0</v>
      </c>
      <c r="Z30" s="25">
        <f>'TUSD BE'!$Z$30*'TUSD BE'!$Z$93</f>
        <v>0</v>
      </c>
      <c r="AA30" s="25">
        <f>'TUSD BE'!$AA$30*'TUSD BE'!$AA$93</f>
        <v>0</v>
      </c>
      <c r="AB30" s="25">
        <f>SUM($U$30:$AA$30)</f>
        <v>0</v>
      </c>
      <c r="AC30" s="25">
        <f>'TUSD BE'!$AC$30*'TUSD BE'!$AC$93</f>
        <v>0</v>
      </c>
      <c r="AD30" s="25">
        <f>SUM($AC$30:$AC$30)</f>
        <v>0</v>
      </c>
      <c r="AE30" s="25">
        <f ca="1">$AO$30*$AO$90</f>
        <v>0</v>
      </c>
      <c r="AF30" s="25">
        <f ca="1">$AP$30*$AP$90</f>
        <v>0</v>
      </c>
      <c r="AG30" s="25">
        <f ca="1">SUM($AE$30:$AF$30)</f>
        <v>0</v>
      </c>
      <c r="AH30" s="25">
        <f>'TUSD BE'!$AH$30*'TUSD BE'!$AH$93</f>
        <v>-2.0647771861957147</v>
      </c>
      <c r="AI30" s="25">
        <f>'TUSD BE'!$AI$30*'TUSD BE'!$AI$93</f>
        <v>-7.7611558210884266E-2</v>
      </c>
      <c r="AJ30" s="25">
        <f ca="1">'TUSD BE'!$AJ$30*'TUSD BE'!$AJ$93</f>
        <v>-1.513932469031875</v>
      </c>
      <c r="AK30" s="25">
        <f ca="1">'TUSD BE'!$AK$30*'TUSD BE'!$AK$93</f>
        <v>3.2683171103484995E-2</v>
      </c>
      <c r="AL30" s="25">
        <f ca="1">SUM($AH$30:$AK$30)</f>
        <v>-3.623638042334989</v>
      </c>
      <c r="AM30" s="25">
        <f ca="1">SUMIF($L$4:$AL$4,"SUBTOTAL",$L$30:$AL$30)</f>
        <v>-3.6378080643445432</v>
      </c>
      <c r="AO30" s="30">
        <f ca="1">+'TUSD BE'!$T$30+'TUSD BE'!$AB$30+'TUSD BE'!$AD$30+'TUSD BE'!$AL$30</f>
        <v>23.236698801905145</v>
      </c>
      <c r="AP30" s="30">
        <f ca="1">+'TUSD BE'!$T$30+'TUSD BE'!$AB$30+'TUSD BE'!$AD$30+'TUSD BE'!$AL$30</f>
        <v>23.236698801905145</v>
      </c>
    </row>
    <row r="31" spans="1:42" ht="11.25" customHeight="1" x14ac:dyDescent="0.25">
      <c r="A31" s="119"/>
      <c r="B31" s="28" t="s">
        <v>64</v>
      </c>
      <c r="C31" s="28" t="s">
        <v>25</v>
      </c>
      <c r="D31" s="28" t="s">
        <v>25</v>
      </c>
      <c r="E31" s="28" t="s">
        <v>25</v>
      </c>
      <c r="F31" s="28" t="s">
        <v>25</v>
      </c>
      <c r="G31" s="21" t="s">
        <v>9</v>
      </c>
      <c r="H31" s="21" t="s">
        <v>91</v>
      </c>
      <c r="I31" s="21">
        <f>'MERCADO TUSD'!$U$28</f>
        <v>0</v>
      </c>
      <c r="J31" s="17"/>
      <c r="L31" s="25">
        <f>'TUSD BE'!$L$31*'TUSD BE'!$L$93</f>
        <v>0</v>
      </c>
      <c r="M31" s="25">
        <f>'TUSD BE'!$M$31*'TUSD BE'!$M$93</f>
        <v>-7.8656210216966496E-4</v>
      </c>
      <c r="N31" s="25">
        <f ca="1">'TUSD BE'!$N$31*'TUSD BE'!$N$93</f>
        <v>6.2098301466295997E-6</v>
      </c>
      <c r="O31" s="25">
        <f>'TUSD BE'!$O$31*'TUSD BE'!$O$93</f>
        <v>0</v>
      </c>
      <c r="P31" s="25">
        <f>'TUSD BE'!$P$31*'TUSD BE'!$P$93</f>
        <v>0</v>
      </c>
      <c r="Q31" s="25">
        <f>'TUSD BE'!$Q$31*'TUSD BE'!$Q$93</f>
        <v>0</v>
      </c>
      <c r="R31" s="25">
        <f>'TUSD BE'!$R$31*'TUSD BE'!$R$93</f>
        <v>0</v>
      </c>
      <c r="S31" s="25">
        <f>'TUSD BE'!$R$31*'TUSD BE'!$S$93</f>
        <v>0</v>
      </c>
      <c r="T31" s="25">
        <f ca="1">SUM($L$31:$S$31)</f>
        <v>-7.8035227202303539E-4</v>
      </c>
      <c r="U31" s="25">
        <f>'TUSD BE'!$U$31*'TUSD BE'!$U$93</f>
        <v>0</v>
      </c>
      <c r="V31" s="25">
        <f>'TUSD BE'!$V$31*'TUSD BE'!$V$93</f>
        <v>0</v>
      </c>
      <c r="W31" s="25">
        <f>'TUSD BE'!$W$31*'TUSD BE'!$W$93</f>
        <v>0</v>
      </c>
      <c r="X31" s="25">
        <f>'TUSD BE'!$X$31*'TUSD BE'!$X$93</f>
        <v>0</v>
      </c>
      <c r="Y31" s="25">
        <f>'TUSD BE'!$Y$31*'TUSD BE'!$Y$93</f>
        <v>0</v>
      </c>
      <c r="Z31" s="25">
        <f>'TUSD BE'!$Z$31*'TUSD BE'!$Z$93</f>
        <v>0</v>
      </c>
      <c r="AA31" s="25">
        <f>'TUSD BE'!$AA$31*'TUSD BE'!$AA$93</f>
        <v>0</v>
      </c>
      <c r="AB31" s="25">
        <f>SUM($U$31:$AA$31)</f>
        <v>0</v>
      </c>
      <c r="AC31" s="25">
        <f>'TUSD BE'!$AC$31*'TUSD BE'!$AC$93</f>
        <v>0</v>
      </c>
      <c r="AD31" s="25">
        <f>SUM($AC$31:$AC$31)</f>
        <v>0</v>
      </c>
      <c r="AE31" s="25">
        <f ca="1">$AO$31*$AO$90</f>
        <v>0</v>
      </c>
      <c r="AF31" s="25">
        <f ca="1">$AP$31*$AP$90</f>
        <v>0</v>
      </c>
      <c r="AG31" s="25">
        <f ca="1">SUM($AE$31:$AF$31)</f>
        <v>0</v>
      </c>
      <c r="AH31" s="25">
        <f>'TUSD BE'!$AH$31*'TUSD BE'!$AH$93</f>
        <v>-2.7800277908117431E-4</v>
      </c>
      <c r="AI31" s="25">
        <f>'TUSD BE'!$AI$31*'TUSD BE'!$AI$93</f>
        <v>0</v>
      </c>
      <c r="AJ31" s="25">
        <f ca="1">'TUSD BE'!$AJ$31*'TUSD BE'!$AJ$93</f>
        <v>0</v>
      </c>
      <c r="AK31" s="25">
        <f ca="1">'TUSD BE'!$AK$31*'TUSD BE'!$AK$93</f>
        <v>0</v>
      </c>
      <c r="AL31" s="25">
        <f ca="1">SUM($AH$31:$AK$31)</f>
        <v>-2.7800277908117431E-4</v>
      </c>
      <c r="AM31" s="25">
        <f ca="1">SUMIF($L$4:$AL$4,"SUBTOTAL",$L$31:$AL$31)</f>
        <v>-1.0583550511042098E-3</v>
      </c>
      <c r="AO31" s="30">
        <f ca="1">+'TUSD BE'!$T$31+'TUSD BE'!$AB$31+'TUSD BE'!$AD$31+'TUSD BE'!$AL$31</f>
        <v>3.7070112078752566</v>
      </c>
      <c r="AP31" s="30">
        <f ca="1">+'TUSD BE'!$T$31+'TUSD BE'!$AB$31+'TUSD BE'!$AD$31+'TUSD BE'!$AL$31</f>
        <v>3.7070112078752566</v>
      </c>
    </row>
    <row r="32" spans="1:42" ht="11.25" customHeight="1" x14ac:dyDescent="0.25">
      <c r="A32" s="119"/>
      <c r="B32" s="119" t="s">
        <v>34</v>
      </c>
      <c r="C32" s="119" t="s">
        <v>25</v>
      </c>
      <c r="D32" s="119" t="s">
        <v>25</v>
      </c>
      <c r="E32" s="119" t="s">
        <v>25</v>
      </c>
      <c r="F32" s="119" t="s">
        <v>25</v>
      </c>
      <c r="G32" s="21" t="s">
        <v>9</v>
      </c>
      <c r="H32" s="21" t="s">
        <v>91</v>
      </c>
      <c r="I32" s="21">
        <f>'MERCADO TUSD'!$U$29</f>
        <v>3362527</v>
      </c>
      <c r="J32" s="17"/>
      <c r="L32" s="25">
        <f>'TUSD BE'!$L$32*'TUSD BE'!$L$93</f>
        <v>0</v>
      </c>
      <c r="M32" s="25">
        <f>'TUSD BE'!$M$32*'TUSD BE'!$M$93</f>
        <v>0</v>
      </c>
      <c r="N32" s="25">
        <f ca="1">'TUSD BE'!$N$32*'TUSD BE'!$N$93</f>
        <v>0</v>
      </c>
      <c r="O32" s="25">
        <f>'TUSD BE'!$O$32*'TUSD BE'!$O$93</f>
        <v>0</v>
      </c>
      <c r="P32" s="25">
        <f>'TUSD BE'!$P$32*'TUSD BE'!$P$93</f>
        <v>0</v>
      </c>
      <c r="Q32" s="25">
        <f>'TUSD BE'!$Q$32*'TUSD BE'!$Q$93</f>
        <v>0</v>
      </c>
      <c r="R32" s="25">
        <f>'TUSD BE'!$R$32*'TUSD BE'!$R$93</f>
        <v>0</v>
      </c>
      <c r="S32" s="25">
        <f>'TUSD BE'!$R$32*'TUSD BE'!$S$93</f>
        <v>0</v>
      </c>
      <c r="T32" s="25">
        <f ca="1">SUM($L$32:$S$32)</f>
        <v>0</v>
      </c>
      <c r="U32" s="25">
        <f>'TUSD BE'!$U$32*'TUSD BE'!$U$93</f>
        <v>-3.7210135436388542E-2</v>
      </c>
      <c r="V32" s="25">
        <f>'TUSD BE'!$V$32*'TUSD BE'!$V$93</f>
        <v>7.3084194503998362E-2</v>
      </c>
      <c r="W32" s="25">
        <f>'TUSD BE'!$W$32*'TUSD BE'!$W$93</f>
        <v>7.4344593575223895E-4</v>
      </c>
      <c r="X32" s="25">
        <f>'TUSD BE'!$X$32*'TUSD BE'!$X$93</f>
        <v>0</v>
      </c>
      <c r="Y32" s="25">
        <f>'TUSD BE'!$Y$32*'TUSD BE'!$Y$93</f>
        <v>0</v>
      </c>
      <c r="Z32" s="25">
        <f>'TUSD BE'!$Z$32*'TUSD BE'!$Z$93</f>
        <v>0</v>
      </c>
      <c r="AA32" s="25">
        <f>'TUSD BE'!$AA$32*'TUSD BE'!$AA$93</f>
        <v>0</v>
      </c>
      <c r="AB32" s="25">
        <f>SUM($U$32:$AA$32)</f>
        <v>3.6617505003362062E-2</v>
      </c>
      <c r="AC32" s="25">
        <f>'TUSD BE'!$AC$32*'TUSD BE'!$AC$93</f>
        <v>0</v>
      </c>
      <c r="AD32" s="25">
        <f>SUM($AC$32:$AC$32)</f>
        <v>0</v>
      </c>
      <c r="AE32" s="25">
        <f ca="1">$AO$32*$AO$90</f>
        <v>0</v>
      </c>
      <c r="AF32" s="25">
        <f ca="1">$AP$32*$AP$90</f>
        <v>0</v>
      </c>
      <c r="AG32" s="25">
        <f ca="1">SUM($AE$32:$AF$32)</f>
        <v>0</v>
      </c>
      <c r="AH32" s="25">
        <f>'TUSD BE'!$AH$32*'TUSD BE'!$AH$93</f>
        <v>0</v>
      </c>
      <c r="AI32" s="25">
        <f>'TUSD BE'!$AI$32*'TUSD BE'!$AI$93</f>
        <v>0</v>
      </c>
      <c r="AJ32" s="25">
        <f ca="1">'TUSD BE'!$AJ$32*'TUSD BE'!$AJ$93</f>
        <v>0</v>
      </c>
      <c r="AK32" s="25">
        <f ca="1">'TUSD BE'!$AK$32*'TUSD BE'!$AK$93</f>
        <v>0</v>
      </c>
      <c r="AL32" s="25">
        <f ca="1">SUM($AH$32:$AK$32)</f>
        <v>0</v>
      </c>
      <c r="AM32" s="25">
        <f ca="1">SUMIF($L$4:$AL$4,"SUBTOTAL",$L$32:$AL$32)</f>
        <v>3.6617505003362062E-2</v>
      </c>
      <c r="AO32" s="30">
        <f ca="1">+'TUSD BE'!$T$32+'TUSD BE'!$AB$32+'TUSD BE'!$AD$32+'TUSD BE'!$AL$32</f>
        <v>11.114449476719457</v>
      </c>
      <c r="AP32" s="30">
        <f ca="1">+'TUSD BE'!$T$32+'TUSD BE'!$AB$32+'TUSD BE'!$AD$32+'TUSD BE'!$AL$32</f>
        <v>11.114449476719457</v>
      </c>
    </row>
    <row r="33" spans="1:42" ht="11.25" customHeight="1" x14ac:dyDescent="0.25">
      <c r="A33" s="119"/>
      <c r="B33" s="119"/>
      <c r="C33" s="119"/>
      <c r="D33" s="119"/>
      <c r="E33" s="119"/>
      <c r="F33" s="119"/>
      <c r="G33" s="21" t="s">
        <v>89</v>
      </c>
      <c r="H33" s="21" t="s">
        <v>88</v>
      </c>
      <c r="I33" s="21">
        <f>'MERCADO TUSD'!$U$30</f>
        <v>54632.431000000011</v>
      </c>
      <c r="J33" s="17"/>
      <c r="L33" s="25">
        <f>'TUSD BE'!$L$33*'TUSD BE'!$L$93</f>
        <v>0</v>
      </c>
      <c r="M33" s="25">
        <f>'TUSD BE'!$M$33*'TUSD BE'!$M$93</f>
        <v>-1.423147449517931E-2</v>
      </c>
      <c r="N33" s="25">
        <f ca="1">'TUSD BE'!$N$33*'TUSD BE'!$N$93</f>
        <v>8.2505836285575774E-4</v>
      </c>
      <c r="O33" s="25">
        <f>'TUSD BE'!$O$33*'TUSD BE'!$O$93</f>
        <v>0</v>
      </c>
      <c r="P33" s="25">
        <f>'TUSD BE'!$P$33*'TUSD BE'!$P$93</f>
        <v>0</v>
      </c>
      <c r="Q33" s="25">
        <f>'TUSD BE'!$Q$33*'TUSD BE'!$Q$93</f>
        <v>-1.7819189551800454</v>
      </c>
      <c r="R33" s="25">
        <f>'TUSD BE'!$R$33*'TUSD BE'!$R$93</f>
        <v>-3.0415214814016535E-3</v>
      </c>
      <c r="S33" s="25">
        <f>'TUSD BE'!$R$33*'TUSD BE'!$S$93</f>
        <v>0</v>
      </c>
      <c r="T33" s="25">
        <f ca="1">SUM($L$33:$S$33)</f>
        <v>-1.7983668927937706</v>
      </c>
      <c r="U33" s="25">
        <f>'TUSD BE'!$U$33*'TUSD BE'!$U$93</f>
        <v>-1.3691444036446494</v>
      </c>
      <c r="V33" s="25">
        <f>'TUSD BE'!$V$33*'TUSD BE'!$V$93</f>
        <v>2.4710547214262197</v>
      </c>
      <c r="W33" s="25">
        <f>'TUSD BE'!$W$33*'TUSD BE'!$W$93</f>
        <v>2.7933775790772695E-2</v>
      </c>
      <c r="X33" s="25">
        <f>'TUSD BE'!$X$33*'TUSD BE'!$X$93</f>
        <v>0</v>
      </c>
      <c r="Y33" s="25">
        <f>'TUSD BE'!$Y$33*'TUSD BE'!$Y$93</f>
        <v>0</v>
      </c>
      <c r="Z33" s="25">
        <f>'TUSD BE'!$Z$33*'TUSD BE'!$Z$93</f>
        <v>0</v>
      </c>
      <c r="AA33" s="25">
        <f>'TUSD BE'!$AA$33*'TUSD BE'!$AA$93</f>
        <v>0</v>
      </c>
      <c r="AB33" s="25">
        <f>SUM($U$33:$AA$33)</f>
        <v>1.1298440935723431</v>
      </c>
      <c r="AC33" s="25">
        <f>'TUSD BE'!$AC$33*'TUSD BE'!$AC$93</f>
        <v>0</v>
      </c>
      <c r="AD33" s="25">
        <f>SUM($AC$33:$AC$33)</f>
        <v>0</v>
      </c>
      <c r="AE33" s="25">
        <f ca="1">$AO$33*$AO$90</f>
        <v>0</v>
      </c>
      <c r="AF33" s="25">
        <f ca="1">$AP$33*$AP$90</f>
        <v>0</v>
      </c>
      <c r="AG33" s="25">
        <f ca="1">SUM($AE$33:$AF$33)</f>
        <v>0</v>
      </c>
      <c r="AH33" s="25">
        <f>'TUSD BE'!$AH$33*'TUSD BE'!$AH$93</f>
        <v>-2.0647771861957147</v>
      </c>
      <c r="AI33" s="25">
        <f>'TUSD BE'!$AI$33*'TUSD BE'!$AI$93</f>
        <v>-7.7611558210884266E-2</v>
      </c>
      <c r="AJ33" s="25">
        <f ca="1">'TUSD BE'!$AJ$33*'TUSD BE'!$AJ$93</f>
        <v>-1.513932469031875</v>
      </c>
      <c r="AK33" s="25">
        <f ca="1">'TUSD BE'!$AK$33*'TUSD BE'!$AK$93</f>
        <v>3.2683171103484995E-2</v>
      </c>
      <c r="AL33" s="25">
        <f ca="1">SUM($AH$33:$AK$33)</f>
        <v>-3.623638042334989</v>
      </c>
      <c r="AM33" s="25">
        <f ca="1">SUMIF($L$4:$AL$4,"SUBTOTAL",$L$33:$AL$33)</f>
        <v>-4.2921608415564165</v>
      </c>
      <c r="AO33" s="30">
        <f ca="1">+'TUSD BE'!$T$33+'TUSD BE'!$AB$33+'TUSD BE'!$AD$33+'TUSD BE'!$AL$33</f>
        <v>734.14492098265225</v>
      </c>
      <c r="AP33" s="30">
        <f ca="1">+'TUSD BE'!$T$33+'TUSD BE'!$AB$33+'TUSD BE'!$AD$33+'TUSD BE'!$AL$33</f>
        <v>734.14492098265225</v>
      </c>
    </row>
    <row r="34" spans="1:42" ht="11.25" customHeight="1" x14ac:dyDescent="0.25">
      <c r="A34" s="119"/>
      <c r="B34" s="119"/>
      <c r="C34" s="119"/>
      <c r="D34" s="119"/>
      <c r="E34" s="119"/>
      <c r="F34" s="119"/>
      <c r="G34" s="21" t="s">
        <v>90</v>
      </c>
      <c r="H34" s="21" t="s">
        <v>88</v>
      </c>
      <c r="I34" s="21">
        <f>'MERCADO TUSD'!$U$31</f>
        <v>585212.62100000004</v>
      </c>
      <c r="J34" s="17"/>
      <c r="L34" s="25">
        <f>'TUSD BE'!$L$34*'TUSD BE'!$L$93</f>
        <v>0</v>
      </c>
      <c r="M34" s="25">
        <f>'TUSD BE'!$M$34*'TUSD BE'!$M$93</f>
        <v>-1.423147449517931E-2</v>
      </c>
      <c r="N34" s="25">
        <f ca="1">'TUSD BE'!$N$34*'TUSD BE'!$N$93</f>
        <v>6.3399140843495023E-5</v>
      </c>
      <c r="O34" s="25">
        <f>'TUSD BE'!$O$34*'TUSD BE'!$O$93</f>
        <v>0</v>
      </c>
      <c r="P34" s="25">
        <f>'TUSD BE'!$P$34*'TUSD BE'!$P$93</f>
        <v>0</v>
      </c>
      <c r="Q34" s="25">
        <f>'TUSD BE'!$Q$34*'TUSD BE'!$Q$93</f>
        <v>-1.7819189551800454</v>
      </c>
      <c r="R34" s="25">
        <f>'TUSD BE'!$R$34*'TUSD BE'!$R$93</f>
        <v>-3.0415214814016535E-3</v>
      </c>
      <c r="S34" s="25">
        <f>'TUSD BE'!$R$34*'TUSD BE'!$S$93</f>
        <v>0</v>
      </c>
      <c r="T34" s="25">
        <f ca="1">SUM($L$34:$S$34)</f>
        <v>-1.7991285520157829</v>
      </c>
      <c r="U34" s="25">
        <f>'TUSD BE'!$U$34*'TUSD BE'!$U$93</f>
        <v>0</v>
      </c>
      <c r="V34" s="25">
        <f>'TUSD BE'!$V$34*'TUSD BE'!$V$93</f>
        <v>0</v>
      </c>
      <c r="W34" s="25">
        <f>'TUSD BE'!$W$34*'TUSD BE'!$W$93</f>
        <v>0</v>
      </c>
      <c r="X34" s="25">
        <f>'TUSD BE'!$X$34*'TUSD BE'!$X$93</f>
        <v>0</v>
      </c>
      <c r="Y34" s="25">
        <f>'TUSD BE'!$Y$34*'TUSD BE'!$Y$93</f>
        <v>0</v>
      </c>
      <c r="Z34" s="25">
        <f>'TUSD BE'!$Z$34*'TUSD BE'!$Z$93</f>
        <v>0</v>
      </c>
      <c r="AA34" s="25">
        <f>'TUSD BE'!$AA$34*'TUSD BE'!$AA$93</f>
        <v>0</v>
      </c>
      <c r="AB34" s="25">
        <f>SUM($U$34:$AA$34)</f>
        <v>0</v>
      </c>
      <c r="AC34" s="25">
        <f>'TUSD BE'!$AC$34*'TUSD BE'!$AC$93</f>
        <v>0</v>
      </c>
      <c r="AD34" s="25">
        <f>SUM($AC$34:$AC$34)</f>
        <v>0</v>
      </c>
      <c r="AE34" s="25">
        <f ca="1">$AO$34*$AO$90</f>
        <v>0</v>
      </c>
      <c r="AF34" s="25">
        <f ca="1">$AP$34*$AP$90</f>
        <v>0</v>
      </c>
      <c r="AG34" s="25">
        <f ca="1">SUM($AE$34:$AF$34)</f>
        <v>0</v>
      </c>
      <c r="AH34" s="25">
        <f>'TUSD BE'!$AH$34*'TUSD BE'!$AH$93</f>
        <v>-2.0647771861957147</v>
      </c>
      <c r="AI34" s="25">
        <f>'TUSD BE'!$AI$34*'TUSD BE'!$AI$93</f>
        <v>-7.7611558210884266E-2</v>
      </c>
      <c r="AJ34" s="25">
        <f ca="1">'TUSD BE'!$AJ$34*'TUSD BE'!$AJ$93</f>
        <v>-1.513932469031875</v>
      </c>
      <c r="AK34" s="25">
        <f ca="1">'TUSD BE'!$AK$34*'TUSD BE'!$AK$93</f>
        <v>3.2683171103484995E-2</v>
      </c>
      <c r="AL34" s="25">
        <f ca="1">SUM($AH$34:$AK$34)</f>
        <v>-3.623638042334989</v>
      </c>
      <c r="AM34" s="25">
        <f ca="1">SUMIF($L$4:$AL$4,"SUBTOTAL",$L$34:$AL$34)</f>
        <v>-5.4227665943507724</v>
      </c>
      <c r="AO34" s="30">
        <f ca="1">+'TUSD BE'!$T$34+'TUSD BE'!$AB$34+'TUSD BE'!$AD$34+'TUSD BE'!$AL$34</f>
        <v>85.954210928383915</v>
      </c>
      <c r="AP34" s="30">
        <f ca="1">+'TUSD BE'!$T$34+'TUSD BE'!$AB$34+'TUSD BE'!$AD$34+'TUSD BE'!$AL$34</f>
        <v>85.954210928383915</v>
      </c>
    </row>
    <row r="35" spans="1:42" ht="11.25" customHeight="1" x14ac:dyDescent="0.25">
      <c r="A35" s="119"/>
      <c r="B35" s="119"/>
      <c r="C35" s="119"/>
      <c r="D35" s="119"/>
      <c r="E35" s="119" t="s">
        <v>61</v>
      </c>
      <c r="F35" s="119" t="s">
        <v>25</v>
      </c>
      <c r="G35" s="21" t="s">
        <v>89</v>
      </c>
      <c r="H35" s="21" t="s">
        <v>88</v>
      </c>
      <c r="I35" s="21">
        <f>'MERCADO TUSD'!$U$32</f>
        <v>0</v>
      </c>
      <c r="J35" s="17"/>
      <c r="L35" s="25">
        <f>'TUSD BE'!$L$35*'TUSD BE'!$L$93</f>
        <v>0</v>
      </c>
      <c r="M35" s="25">
        <f>'TUSD BE'!$M$35*'TUSD BE'!$M$93</f>
        <v>-1.423147449517931E-2</v>
      </c>
      <c r="N35" s="25">
        <f ca="1">'TUSD BE'!$N$35*'TUSD BE'!$N$93</f>
        <v>8.2311170763737856E-4</v>
      </c>
      <c r="O35" s="25">
        <f>'TUSD BE'!$O$35*'TUSD BE'!$O$93</f>
        <v>0</v>
      </c>
      <c r="P35" s="25">
        <f>'TUSD BE'!$P$35*'TUSD BE'!$P$93</f>
        <v>0</v>
      </c>
      <c r="Q35" s="25">
        <f>'TUSD BE'!$Q$35*'TUSD BE'!$Q$93</f>
        <v>0</v>
      </c>
      <c r="R35" s="25">
        <f>'TUSD BE'!$R$35*'TUSD BE'!$R$93</f>
        <v>0</v>
      </c>
      <c r="S35" s="25">
        <f>'TUSD BE'!$R$35*'TUSD BE'!$S$93</f>
        <v>0</v>
      </c>
      <c r="T35" s="25">
        <f ca="1">SUM($L$35:$S$35)</f>
        <v>-1.3408362787541931E-2</v>
      </c>
      <c r="U35" s="25">
        <f>'TUSD BE'!$U$35*'TUSD BE'!$U$93</f>
        <v>-1.3691444036446494</v>
      </c>
      <c r="V35" s="25">
        <f>'TUSD BE'!$V$35*'TUSD BE'!$V$93</f>
        <v>2.4710547214262197</v>
      </c>
      <c r="W35" s="25">
        <f>'TUSD BE'!$W$35*'TUSD BE'!$W$93</f>
        <v>2.7933775790772695E-2</v>
      </c>
      <c r="X35" s="25">
        <f>'TUSD BE'!$X$35*'TUSD BE'!$X$93</f>
        <v>0</v>
      </c>
      <c r="Y35" s="25">
        <f>'TUSD BE'!$Y$35*'TUSD BE'!$Y$93</f>
        <v>0</v>
      </c>
      <c r="Z35" s="25">
        <f>'TUSD BE'!$Z$35*'TUSD BE'!$Z$93</f>
        <v>0</v>
      </c>
      <c r="AA35" s="25">
        <f>'TUSD BE'!$AA$35*'TUSD BE'!$AA$93</f>
        <v>0</v>
      </c>
      <c r="AB35" s="25">
        <f>SUM($U$35:$AA$35)</f>
        <v>1.1298440935723431</v>
      </c>
      <c r="AC35" s="25">
        <f>'TUSD BE'!$AC$35*'TUSD BE'!$AC$93</f>
        <v>0</v>
      </c>
      <c r="AD35" s="25">
        <f>SUM($AC$35:$AC$35)</f>
        <v>0</v>
      </c>
      <c r="AE35" s="25">
        <f ca="1">$AO$35*$AO$90</f>
        <v>0</v>
      </c>
      <c r="AF35" s="25">
        <f ca="1">$AP$35*$AP$90</f>
        <v>0</v>
      </c>
      <c r="AG35" s="25">
        <f ca="1">SUM($AE$35:$AF$35)</f>
        <v>0</v>
      </c>
      <c r="AH35" s="25">
        <f>'TUSD BE'!$AH$35*'TUSD BE'!$AH$93</f>
        <v>-2.0647771861957147</v>
      </c>
      <c r="AI35" s="25">
        <f>'TUSD BE'!$AI$35*'TUSD BE'!$AI$93</f>
        <v>-7.7611558210884266E-2</v>
      </c>
      <c r="AJ35" s="25">
        <f ca="1">'TUSD BE'!$AJ$35*'TUSD BE'!$AJ$93</f>
        <v>-1.513932469031875</v>
      </c>
      <c r="AK35" s="25">
        <f ca="1">'TUSD BE'!$AK$35*'TUSD BE'!$AK$93</f>
        <v>3.2683171103484995E-2</v>
      </c>
      <c r="AL35" s="25">
        <f ca="1">SUM($AH$35:$AK$35)</f>
        <v>-3.623638042334989</v>
      </c>
      <c r="AM35" s="25">
        <f ca="1">SUMIF($L$4:$AL$4,"SUBTOTAL",$L$35:$AL$35)</f>
        <v>-2.5072023115501878</v>
      </c>
      <c r="AO35" s="30">
        <f ca="1">+'TUSD BE'!$T$35+'TUSD BE'!$AB$35+'TUSD BE'!$AD$35+'TUSD BE'!$AL$35</f>
        <v>671.42740885617343</v>
      </c>
      <c r="AP35" s="30">
        <f ca="1">+'TUSD BE'!$T$35+'TUSD BE'!$AB$35+'TUSD BE'!$AD$35+'TUSD BE'!$AL$35</f>
        <v>671.42740885617343</v>
      </c>
    </row>
    <row r="36" spans="1:42" ht="11.25" customHeight="1" x14ac:dyDescent="0.25">
      <c r="A36" s="119"/>
      <c r="B36" s="119"/>
      <c r="C36" s="119"/>
      <c r="D36" s="119"/>
      <c r="E36" s="119"/>
      <c r="F36" s="119"/>
      <c r="G36" s="21" t="s">
        <v>90</v>
      </c>
      <c r="H36" s="21" t="s">
        <v>88</v>
      </c>
      <c r="I36" s="21">
        <f>'MERCADO TUSD'!$U$33</f>
        <v>0</v>
      </c>
      <c r="J36" s="17"/>
      <c r="L36" s="25">
        <f>'TUSD BE'!$L$36*'TUSD BE'!$L$93</f>
        <v>0</v>
      </c>
      <c r="M36" s="25">
        <f>'TUSD BE'!$M$36*'TUSD BE'!$M$93</f>
        <v>-1.423147449517931E-2</v>
      </c>
      <c r="N36" s="25">
        <f ca="1">'TUSD BE'!$N$36*'TUSD BE'!$N$93</f>
        <v>6.1452485625115838E-5</v>
      </c>
      <c r="O36" s="25">
        <f>'TUSD BE'!$O$36*'TUSD BE'!$O$93</f>
        <v>0</v>
      </c>
      <c r="P36" s="25">
        <f>'TUSD BE'!$P$36*'TUSD BE'!$P$93</f>
        <v>0</v>
      </c>
      <c r="Q36" s="25">
        <f>'TUSD BE'!$Q$36*'TUSD BE'!$Q$93</f>
        <v>0</v>
      </c>
      <c r="R36" s="25">
        <f>'TUSD BE'!$R$36*'TUSD BE'!$R$93</f>
        <v>0</v>
      </c>
      <c r="S36" s="25">
        <f>'TUSD BE'!$R$36*'TUSD BE'!$S$93</f>
        <v>0</v>
      </c>
      <c r="T36" s="25">
        <f ca="1">SUM($L$36:$S$36)</f>
        <v>-1.4170022009554193E-2</v>
      </c>
      <c r="U36" s="25">
        <f>'TUSD BE'!$U$36*'TUSD BE'!$U$93</f>
        <v>0</v>
      </c>
      <c r="V36" s="25">
        <f>'TUSD BE'!$V$36*'TUSD BE'!$V$93</f>
        <v>0</v>
      </c>
      <c r="W36" s="25">
        <f>'TUSD BE'!$W$36*'TUSD BE'!$W$93</f>
        <v>0</v>
      </c>
      <c r="X36" s="25">
        <f>'TUSD BE'!$X$36*'TUSD BE'!$X$93</f>
        <v>0</v>
      </c>
      <c r="Y36" s="25">
        <f>'TUSD BE'!$Y$36*'TUSD BE'!$Y$93</f>
        <v>0</v>
      </c>
      <c r="Z36" s="25">
        <f>'TUSD BE'!$Z$36*'TUSD BE'!$Z$93</f>
        <v>0</v>
      </c>
      <c r="AA36" s="25">
        <f>'TUSD BE'!$AA$36*'TUSD BE'!$AA$93</f>
        <v>0</v>
      </c>
      <c r="AB36" s="25">
        <f>SUM($U$36:$AA$36)</f>
        <v>0</v>
      </c>
      <c r="AC36" s="25">
        <f>'TUSD BE'!$AC$36*'TUSD BE'!$AC$93</f>
        <v>0</v>
      </c>
      <c r="AD36" s="25">
        <f>SUM($AC$36:$AC$36)</f>
        <v>0</v>
      </c>
      <c r="AE36" s="25">
        <f ca="1">$AO$36*$AO$90</f>
        <v>0</v>
      </c>
      <c r="AF36" s="25">
        <f ca="1">$AP$36*$AP$90</f>
        <v>0</v>
      </c>
      <c r="AG36" s="25">
        <f ca="1">SUM($AE$36:$AF$36)</f>
        <v>0</v>
      </c>
      <c r="AH36" s="25">
        <f>'TUSD BE'!$AH$36*'TUSD BE'!$AH$93</f>
        <v>-2.0647771861957147</v>
      </c>
      <c r="AI36" s="25">
        <f>'TUSD BE'!$AI$36*'TUSD BE'!$AI$93</f>
        <v>-7.7611558210884266E-2</v>
      </c>
      <c r="AJ36" s="25">
        <f ca="1">'TUSD BE'!$AJ$36*'TUSD BE'!$AJ$93</f>
        <v>-1.513932469031875</v>
      </c>
      <c r="AK36" s="25">
        <f ca="1">'TUSD BE'!$AK$36*'TUSD BE'!$AK$93</f>
        <v>3.2683171103484995E-2</v>
      </c>
      <c r="AL36" s="25">
        <f ca="1">SUM($AH$36:$AK$36)</f>
        <v>-3.623638042334989</v>
      </c>
      <c r="AM36" s="25">
        <f ca="1">SUMIF($L$4:$AL$4,"SUBTOTAL",$L$36:$AL$36)</f>
        <v>-3.6378080643445432</v>
      </c>
      <c r="AO36" s="30">
        <f ca="1">+'TUSD BE'!$T$36+'TUSD BE'!$AB$36+'TUSD BE'!$AD$36+'TUSD BE'!$AL$36</f>
        <v>23.236698801905145</v>
      </c>
      <c r="AP36" s="30">
        <f ca="1">+'TUSD BE'!$T$36+'TUSD BE'!$AB$36+'TUSD BE'!$AD$36+'TUSD BE'!$AL$36</f>
        <v>23.236698801905145</v>
      </c>
    </row>
    <row r="37" spans="1:42" ht="11.25" customHeight="1" x14ac:dyDescent="0.25">
      <c r="A37" s="119"/>
      <c r="B37" s="119" t="s">
        <v>23</v>
      </c>
      <c r="C37" s="119" t="s">
        <v>25</v>
      </c>
      <c r="D37" s="119" t="s">
        <v>25</v>
      </c>
      <c r="E37" s="119" t="s">
        <v>25</v>
      </c>
      <c r="F37" s="119" t="s">
        <v>25</v>
      </c>
      <c r="G37" s="21" t="s">
        <v>9</v>
      </c>
      <c r="H37" s="21" t="s">
        <v>91</v>
      </c>
      <c r="I37" s="21">
        <f>'MERCADO TUSD'!$U$34</f>
        <v>0</v>
      </c>
      <c r="J37" s="17"/>
      <c r="L37" s="25">
        <f>'TUSD BE'!$L$37*'TUSD BE'!$L$93</f>
        <v>0</v>
      </c>
      <c r="M37" s="25">
        <f>'TUSD BE'!$M$37*'TUSD BE'!$M$93</f>
        <v>0</v>
      </c>
      <c r="N37" s="25">
        <f ca="1">'TUSD BE'!$N$37*'TUSD BE'!$N$93</f>
        <v>0</v>
      </c>
      <c r="O37" s="25">
        <f>'TUSD BE'!$O$37*'TUSD BE'!$O$93</f>
        <v>0</v>
      </c>
      <c r="P37" s="25">
        <f>'TUSD BE'!$P$37*'TUSD BE'!$P$93</f>
        <v>0</v>
      </c>
      <c r="Q37" s="25">
        <f>'TUSD BE'!$Q$37*'TUSD BE'!$Q$93</f>
        <v>0</v>
      </c>
      <c r="R37" s="25">
        <f>'TUSD BE'!$R$37*'TUSD BE'!$R$93</f>
        <v>0</v>
      </c>
      <c r="S37" s="25">
        <f>'TUSD BE'!$R$37*'TUSD BE'!$S$93</f>
        <v>0</v>
      </c>
      <c r="T37" s="25">
        <f ca="1">SUM($L$37:$S$37)</f>
        <v>0</v>
      </c>
      <c r="U37" s="25">
        <f>'TUSD BE'!$U$37*'TUSD BE'!$U$93</f>
        <v>-7.820107820636317E-2</v>
      </c>
      <c r="V37" s="25">
        <f>'TUSD BE'!$V$37*'TUSD BE'!$V$93</f>
        <v>0.14707496775661505</v>
      </c>
      <c r="W37" s="25">
        <f>'TUSD BE'!$W$37*'TUSD BE'!$W$93</f>
        <v>1.578236764634446E-3</v>
      </c>
      <c r="X37" s="25">
        <f>'TUSD BE'!$X$37*'TUSD BE'!$X$93</f>
        <v>0</v>
      </c>
      <c r="Y37" s="25">
        <f>'TUSD BE'!$Y$37*'TUSD BE'!$Y$93</f>
        <v>0</v>
      </c>
      <c r="Z37" s="25">
        <f>'TUSD BE'!$Z$37*'TUSD BE'!$Z$93</f>
        <v>0</v>
      </c>
      <c r="AA37" s="25">
        <f>'TUSD BE'!$AA$37*'TUSD BE'!$AA$93</f>
        <v>0</v>
      </c>
      <c r="AB37" s="25">
        <f>SUM($U$37:$AA$37)</f>
        <v>7.0452126314886329E-2</v>
      </c>
      <c r="AC37" s="25">
        <f>'TUSD BE'!$AC$37*'TUSD BE'!$AC$93</f>
        <v>0</v>
      </c>
      <c r="AD37" s="25">
        <f>SUM($AC$37:$AC$37)</f>
        <v>0</v>
      </c>
      <c r="AE37" s="25">
        <f ca="1">$AO$37*$AO$90</f>
        <v>0</v>
      </c>
      <c r="AF37" s="25">
        <f ca="1">$AP$37*$AP$90</f>
        <v>0</v>
      </c>
      <c r="AG37" s="25">
        <f ca="1">SUM($AE$37:$AF$37)</f>
        <v>0</v>
      </c>
      <c r="AH37" s="25">
        <f>'TUSD BE'!$AH$37*'TUSD BE'!$AH$93</f>
        <v>0</v>
      </c>
      <c r="AI37" s="25">
        <f>'TUSD BE'!$AI$37*'TUSD BE'!$AI$93</f>
        <v>0</v>
      </c>
      <c r="AJ37" s="25">
        <f ca="1">'TUSD BE'!$AJ$37*'TUSD BE'!$AJ$93</f>
        <v>0</v>
      </c>
      <c r="AK37" s="25">
        <f ca="1">'TUSD BE'!$AK$37*'TUSD BE'!$AK$93</f>
        <v>0</v>
      </c>
      <c r="AL37" s="25">
        <f ca="1">SUM($AH$37:$AK$37)</f>
        <v>0</v>
      </c>
      <c r="AM37" s="25">
        <f ca="1">SUMIF($L$4:$AL$4,"SUBTOTAL",$L$37:$AL$37)</f>
        <v>7.0452126314886329E-2</v>
      </c>
      <c r="AO37" s="30">
        <f ca="1">+'TUSD BE'!$T$37+'TUSD BE'!$AB$37+'TUSD BE'!$AD$37+'TUSD BE'!$AL$37</f>
        <v>30.350434773805986</v>
      </c>
      <c r="AP37" s="30">
        <f ca="1">+'TUSD BE'!$T$37+'TUSD BE'!$AB$37+'TUSD BE'!$AD$37+'TUSD BE'!$AL$37</f>
        <v>30.350434773805986</v>
      </c>
    </row>
    <row r="38" spans="1:42" ht="11.25" customHeight="1" x14ac:dyDescent="0.25">
      <c r="A38" s="119"/>
      <c r="B38" s="119"/>
      <c r="C38" s="119"/>
      <c r="D38" s="119"/>
      <c r="E38" s="119"/>
      <c r="F38" s="119"/>
      <c r="G38" s="21" t="s">
        <v>94</v>
      </c>
      <c r="H38" s="21" t="s">
        <v>88</v>
      </c>
      <c r="I38" s="21">
        <f>'MERCADO TUSD'!$U$35</f>
        <v>0</v>
      </c>
      <c r="J38" s="17"/>
      <c r="L38" s="25">
        <f>'TUSD BE'!$L$38*'TUSD BE'!$L$93</f>
        <v>0</v>
      </c>
      <c r="M38" s="25">
        <f>'TUSD BE'!$M$38*'TUSD BE'!$M$93</f>
        <v>-1.423147449517931E-2</v>
      </c>
      <c r="N38" s="25">
        <f ca="1">'TUSD BE'!$N$38*'TUSD BE'!$N$93</f>
        <v>6.3399140843495023E-5</v>
      </c>
      <c r="O38" s="25">
        <f>'TUSD BE'!$O$38*'TUSD BE'!$O$93</f>
        <v>0</v>
      </c>
      <c r="P38" s="25">
        <f>'TUSD BE'!$P$38*'TUSD BE'!$P$93</f>
        <v>0</v>
      </c>
      <c r="Q38" s="25">
        <f>'TUSD BE'!$Q$38*'TUSD BE'!$Q$93</f>
        <v>-1.7819189551800454</v>
      </c>
      <c r="R38" s="25">
        <f>'TUSD BE'!$R$38*'TUSD BE'!$R$93</f>
        <v>-3.0415214814016535E-3</v>
      </c>
      <c r="S38" s="25">
        <f>'TUSD BE'!$R$38*'TUSD BE'!$S$93</f>
        <v>0</v>
      </c>
      <c r="T38" s="25">
        <f ca="1">SUM($L$38:$S$38)</f>
        <v>-1.7991285520157829</v>
      </c>
      <c r="U38" s="25">
        <f>'TUSD BE'!$U$38*'TUSD BE'!$U$93</f>
        <v>0</v>
      </c>
      <c r="V38" s="25">
        <f>'TUSD BE'!$V$38*'TUSD BE'!$V$93</f>
        <v>0</v>
      </c>
      <c r="W38" s="25">
        <f>'TUSD BE'!$W$38*'TUSD BE'!$W$93</f>
        <v>0</v>
      </c>
      <c r="X38" s="25">
        <f>'TUSD BE'!$X$38*'TUSD BE'!$X$93</f>
        <v>0</v>
      </c>
      <c r="Y38" s="25">
        <f>'TUSD BE'!$Y$38*'TUSD BE'!$Y$93</f>
        <v>0</v>
      </c>
      <c r="Z38" s="25">
        <f>'TUSD BE'!$Z$38*'TUSD BE'!$Z$93</f>
        <v>0</v>
      </c>
      <c r="AA38" s="25">
        <f>'TUSD BE'!$AA$38*'TUSD BE'!$AA$93</f>
        <v>0</v>
      </c>
      <c r="AB38" s="25">
        <f>SUM($U$38:$AA$38)</f>
        <v>0</v>
      </c>
      <c r="AC38" s="25">
        <f>'TUSD BE'!$AC$38*'TUSD BE'!$AC$93</f>
        <v>0</v>
      </c>
      <c r="AD38" s="25">
        <f>SUM($AC$38:$AC$38)</f>
        <v>0</v>
      </c>
      <c r="AE38" s="25">
        <f ca="1">$AO$38*$AO$90</f>
        <v>0</v>
      </c>
      <c r="AF38" s="25">
        <f ca="1">$AP$38*$AP$90</f>
        <v>0</v>
      </c>
      <c r="AG38" s="25">
        <f ca="1">SUM($AE$38:$AF$38)</f>
        <v>0</v>
      </c>
      <c r="AH38" s="25">
        <f>'TUSD BE'!$AH$38*'TUSD BE'!$AH$93</f>
        <v>-2.0647771861957147</v>
      </c>
      <c r="AI38" s="25">
        <f>'TUSD BE'!$AI$38*'TUSD BE'!$AI$93</f>
        <v>-7.7611558210884266E-2</v>
      </c>
      <c r="AJ38" s="25">
        <f ca="1">'TUSD BE'!$AJ$38*'TUSD BE'!$AJ$93</f>
        <v>-1.513932469031875</v>
      </c>
      <c r="AK38" s="25">
        <f ca="1">'TUSD BE'!$AK$38*'TUSD BE'!$AK$93</f>
        <v>3.2683171103484995E-2</v>
      </c>
      <c r="AL38" s="25">
        <f ca="1">SUM($AH$38:$AK$38)</f>
        <v>-3.623638042334989</v>
      </c>
      <c r="AM38" s="25">
        <f ca="1">SUMIF($L$4:$AL$4,"SUBTOTAL",$L$38:$AL$38)</f>
        <v>-5.4227665943507724</v>
      </c>
      <c r="AO38" s="30">
        <f ca="1">+'TUSD BE'!$T$38+'TUSD BE'!$AB$38+'TUSD BE'!$AD$38+'TUSD BE'!$AL$38</f>
        <v>85.954210928383915</v>
      </c>
      <c r="AP38" s="30">
        <f ca="1">+'TUSD BE'!$T$38+'TUSD BE'!$AB$38+'TUSD BE'!$AD$38+'TUSD BE'!$AL$38</f>
        <v>85.954210928383915</v>
      </c>
    </row>
    <row r="39" spans="1:42" ht="11.25" customHeight="1" x14ac:dyDescent="0.25">
      <c r="A39" s="119" t="s">
        <v>44</v>
      </c>
      <c r="B39" s="119" t="s">
        <v>41</v>
      </c>
      <c r="C39" s="119" t="s">
        <v>25</v>
      </c>
      <c r="D39" s="119" t="s">
        <v>25</v>
      </c>
      <c r="E39" s="119" t="s">
        <v>25</v>
      </c>
      <c r="F39" s="119" t="s">
        <v>25</v>
      </c>
      <c r="G39" s="21" t="s">
        <v>92</v>
      </c>
      <c r="H39" s="21" t="s">
        <v>91</v>
      </c>
      <c r="I39" s="21">
        <f>'MERCADO TUSD'!$U$36</f>
        <v>530511</v>
      </c>
      <c r="J39" s="17"/>
      <c r="L39" s="25">
        <f>'TUSD BE'!$L$39*'TUSD BE'!$L$93</f>
        <v>0</v>
      </c>
      <c r="M39" s="25">
        <f>'TUSD BE'!$M$39*'TUSD BE'!$M$93</f>
        <v>0</v>
      </c>
      <c r="N39" s="25">
        <f ca="1">'TUSD BE'!$N$39*'TUSD BE'!$N$93</f>
        <v>0</v>
      </c>
      <c r="O39" s="25">
        <f>'TUSD BE'!$O$39*'TUSD BE'!$O$93</f>
        <v>0</v>
      </c>
      <c r="P39" s="25">
        <f>'TUSD BE'!$P$39*'TUSD BE'!$P$93</f>
        <v>0</v>
      </c>
      <c r="Q39" s="25">
        <f>'TUSD BE'!$Q$39*'TUSD BE'!$Q$93</f>
        <v>0</v>
      </c>
      <c r="R39" s="25">
        <f>'TUSD BE'!$R$39*'TUSD BE'!$R$93</f>
        <v>0</v>
      </c>
      <c r="S39" s="25">
        <f>'TUSD BE'!$R$39*'TUSD BE'!$S$93</f>
        <v>0</v>
      </c>
      <c r="T39" s="25">
        <f ca="1">SUM($L$39:$S$39)</f>
        <v>0</v>
      </c>
      <c r="U39" s="25">
        <f>'TUSD BE'!$U$39*'TUSD BE'!$U$93</f>
        <v>-6.3413614000184026E-2</v>
      </c>
      <c r="V39" s="25">
        <f>'TUSD BE'!$V$39*'TUSD BE'!$V$93</f>
        <v>0.11446137841529515</v>
      </c>
      <c r="W39" s="25">
        <f>'TUSD BE'!$W$39*'TUSD BE'!$W$93</f>
        <v>1.2940526526745457E-3</v>
      </c>
      <c r="X39" s="25">
        <f>'TUSD BE'!$X$39*'TUSD BE'!$X$93</f>
        <v>0</v>
      </c>
      <c r="Y39" s="25">
        <f>'TUSD BE'!$Y$39*'TUSD BE'!$Y$93</f>
        <v>0</v>
      </c>
      <c r="Z39" s="25">
        <f>'TUSD BE'!$Z$39*'TUSD BE'!$Z$93</f>
        <v>0</v>
      </c>
      <c r="AA39" s="25">
        <f>'TUSD BE'!$AA$39*'TUSD BE'!$AA$93</f>
        <v>0</v>
      </c>
      <c r="AB39" s="25">
        <f>SUM($U$39:$AA$39)</f>
        <v>5.2341817067785665E-2</v>
      </c>
      <c r="AC39" s="25">
        <f>'TUSD BE'!$AC$39*'TUSD BE'!$AC$93</f>
        <v>0</v>
      </c>
      <c r="AD39" s="25">
        <f>SUM($AC$39:$AC$39)</f>
        <v>0</v>
      </c>
      <c r="AE39" s="25">
        <f ca="1">$AO$39*$AO$90</f>
        <v>0</v>
      </c>
      <c r="AF39" s="25">
        <f ca="1">$AP$39*$AP$90</f>
        <v>0</v>
      </c>
      <c r="AG39" s="25">
        <f ca="1">SUM($AE$39:$AF$39)</f>
        <v>0</v>
      </c>
      <c r="AH39" s="25">
        <f>'TUSD BE'!$AH$39*'TUSD BE'!$AH$93</f>
        <v>0</v>
      </c>
      <c r="AI39" s="25">
        <f>'TUSD BE'!$AI$39*'TUSD BE'!$AI$93</f>
        <v>0</v>
      </c>
      <c r="AJ39" s="25">
        <f ca="1">'TUSD BE'!$AJ$39*'TUSD BE'!$AJ$93</f>
        <v>0</v>
      </c>
      <c r="AK39" s="25">
        <f ca="1">'TUSD BE'!$AK$39*'TUSD BE'!$AK$93</f>
        <v>0</v>
      </c>
      <c r="AL39" s="25">
        <f ca="1">SUM($AH$39:$AK$39)</f>
        <v>0</v>
      </c>
      <c r="AM39" s="25">
        <f ca="1">SUMIF($L$4:$AL$4,"SUBTOTAL",$L$39:$AL$39)</f>
        <v>5.2341817067785665E-2</v>
      </c>
      <c r="AO39" s="30">
        <f ca="1">+'TUSD BE'!$T$39+'TUSD BE'!$AB$39+'TUSD BE'!$AD$39+'TUSD BE'!$AL$39</f>
        <v>48.531622058790092</v>
      </c>
      <c r="AP39" s="30">
        <f ca="1">+'TUSD BE'!$T$39+'TUSD BE'!$AB$39+'TUSD BE'!$AD$39+'TUSD BE'!$AL$39</f>
        <v>48.531622058790092</v>
      </c>
    </row>
    <row r="40" spans="1:42" ht="11.25" customHeight="1" x14ac:dyDescent="0.25">
      <c r="A40" s="119"/>
      <c r="B40" s="119"/>
      <c r="C40" s="119"/>
      <c r="D40" s="119"/>
      <c r="E40" s="119"/>
      <c r="F40" s="119"/>
      <c r="G40" s="21" t="s">
        <v>93</v>
      </c>
      <c r="H40" s="21" t="s">
        <v>91</v>
      </c>
      <c r="I40" s="21">
        <f>'MERCADO TUSD'!$U$37</f>
        <v>592907</v>
      </c>
      <c r="J40" s="17"/>
      <c r="L40" s="25">
        <f>'TUSD BE'!$L$40*'TUSD BE'!$L$93</f>
        <v>0</v>
      </c>
      <c r="M40" s="25">
        <f>'TUSD BE'!$M$40*'TUSD BE'!$M$93</f>
        <v>0</v>
      </c>
      <c r="N40" s="25">
        <f ca="1">'TUSD BE'!$N$40*'TUSD BE'!$N$93</f>
        <v>0</v>
      </c>
      <c r="O40" s="25">
        <f>'TUSD BE'!$O$40*'TUSD BE'!$O$93</f>
        <v>0</v>
      </c>
      <c r="P40" s="25">
        <f>'TUSD BE'!$P$40*'TUSD BE'!$P$93</f>
        <v>0</v>
      </c>
      <c r="Q40" s="25">
        <f>'TUSD BE'!$Q$40*'TUSD BE'!$Q$93</f>
        <v>0</v>
      </c>
      <c r="R40" s="25">
        <f>'TUSD BE'!$R$40*'TUSD BE'!$R$93</f>
        <v>0</v>
      </c>
      <c r="S40" s="25">
        <f>'TUSD BE'!$R$40*'TUSD BE'!$S$93</f>
        <v>0</v>
      </c>
      <c r="T40" s="25">
        <f ca="1">SUM($L$40:$S$40)</f>
        <v>0</v>
      </c>
      <c r="U40" s="25">
        <f>'TUSD BE'!$U$40*'TUSD BE'!$U$93</f>
        <v>-5.3809811430198952E-2</v>
      </c>
      <c r="V40" s="25">
        <f>'TUSD BE'!$V$40*'TUSD BE'!$V$93</f>
        <v>9.9607434303318393E-2</v>
      </c>
      <c r="W40" s="25">
        <f>'TUSD BE'!$W$40*'TUSD BE'!$W$93</f>
        <v>9.9971910814464909E-4</v>
      </c>
      <c r="X40" s="25">
        <f>'TUSD BE'!$X$40*'TUSD BE'!$X$93</f>
        <v>0</v>
      </c>
      <c r="Y40" s="25">
        <f>'TUSD BE'!$Y$40*'TUSD BE'!$Y$93</f>
        <v>0</v>
      </c>
      <c r="Z40" s="25">
        <f>'TUSD BE'!$Z$40*'TUSD BE'!$Z$93</f>
        <v>0</v>
      </c>
      <c r="AA40" s="25">
        <f>'TUSD BE'!$AA$40*'TUSD BE'!$AA$93</f>
        <v>0</v>
      </c>
      <c r="AB40" s="25">
        <f>SUM($U$40:$AA$40)</f>
        <v>4.679734198126409E-2</v>
      </c>
      <c r="AC40" s="25">
        <f>'TUSD BE'!$AC$40*'TUSD BE'!$AC$93</f>
        <v>0</v>
      </c>
      <c r="AD40" s="25">
        <f>SUM($AC$40:$AC$40)</f>
        <v>0</v>
      </c>
      <c r="AE40" s="25">
        <f ca="1">$AO$40*$AO$90</f>
        <v>0</v>
      </c>
      <c r="AF40" s="25">
        <f ca="1">$AP$40*$AP$90</f>
        <v>0</v>
      </c>
      <c r="AG40" s="25">
        <f ca="1">SUM($AE$40:$AF$40)</f>
        <v>0</v>
      </c>
      <c r="AH40" s="25">
        <f>'TUSD BE'!$AH$40*'TUSD BE'!$AH$93</f>
        <v>0</v>
      </c>
      <c r="AI40" s="25">
        <f>'TUSD BE'!$AI$40*'TUSD BE'!$AI$93</f>
        <v>0</v>
      </c>
      <c r="AJ40" s="25">
        <f ca="1">'TUSD BE'!$AJ$40*'TUSD BE'!$AJ$93</f>
        <v>0</v>
      </c>
      <c r="AK40" s="25">
        <f ca="1">'TUSD BE'!$AK$40*'TUSD BE'!$AK$93</f>
        <v>0</v>
      </c>
      <c r="AL40" s="25">
        <f ca="1">SUM($AH$40:$AK$40)</f>
        <v>0</v>
      </c>
      <c r="AM40" s="25">
        <f ca="1">SUMIF($L$4:$AL$4,"SUBTOTAL",$L$40:$AL$40)</f>
        <v>4.679734198126409E-2</v>
      </c>
      <c r="AO40" s="30">
        <f ca="1">+'TUSD BE'!$T$40+'TUSD BE'!$AB$40+'TUSD BE'!$AD$40+'TUSD BE'!$AL$40</f>
        <v>15.52342156250884</v>
      </c>
      <c r="AP40" s="30">
        <f ca="1">+'TUSD BE'!$T$40+'TUSD BE'!$AB$40+'TUSD BE'!$AD$40+'TUSD BE'!$AL$40</f>
        <v>15.52342156250884</v>
      </c>
    </row>
    <row r="41" spans="1:42" ht="11.25" customHeight="1" x14ac:dyDescent="0.25">
      <c r="A41" s="119"/>
      <c r="B41" s="119"/>
      <c r="C41" s="119"/>
      <c r="D41" s="119"/>
      <c r="E41" s="119"/>
      <c r="F41" s="119"/>
      <c r="G41" s="21" t="s">
        <v>94</v>
      </c>
      <c r="H41" s="21" t="s">
        <v>88</v>
      </c>
      <c r="I41" s="21">
        <f>'MERCADO TUSD'!$U$38</f>
        <v>203886.46</v>
      </c>
      <c r="J41" s="17"/>
      <c r="L41" s="25">
        <f>'TUSD BE'!$L$41*'TUSD BE'!$L$93</f>
        <v>0</v>
      </c>
      <c r="M41" s="25">
        <f>'TUSD BE'!$M$41*'TUSD BE'!$M$93</f>
        <v>-2.9808302306660359E-2</v>
      </c>
      <c r="N41" s="25">
        <f ca="1">'TUSD BE'!$N$41*'TUSD BE'!$N$93</f>
        <v>1.1404658759240743E-4</v>
      </c>
      <c r="O41" s="25">
        <f>'TUSD BE'!$O$41*'TUSD BE'!$O$93</f>
        <v>0</v>
      </c>
      <c r="P41" s="25">
        <f>'TUSD BE'!$P$41*'TUSD BE'!$P$93</f>
        <v>0</v>
      </c>
      <c r="Q41" s="25">
        <f>'TUSD BE'!$Q$41*'TUSD BE'!$Q$93</f>
        <v>-2.0021561294157815</v>
      </c>
      <c r="R41" s="25">
        <f>'TUSD BE'!$R$41*'TUSD BE'!$R$93</f>
        <v>-3.0415214814016535E-3</v>
      </c>
      <c r="S41" s="25">
        <f>'TUSD BE'!$R$41*'TUSD BE'!$S$93</f>
        <v>0</v>
      </c>
      <c r="T41" s="25">
        <f ca="1">SUM($L$41:$S$41)</f>
        <v>-2.034891906616251</v>
      </c>
      <c r="U41" s="25">
        <f>'TUSD BE'!$U$41*'TUSD BE'!$U$93</f>
        <v>0</v>
      </c>
      <c r="V41" s="25">
        <f>'TUSD BE'!$V$41*'TUSD BE'!$V$93</f>
        <v>0</v>
      </c>
      <c r="W41" s="25">
        <f>'TUSD BE'!$W$41*'TUSD BE'!$W$93</f>
        <v>0</v>
      </c>
      <c r="X41" s="25">
        <f>'TUSD BE'!$X$41*'TUSD BE'!$X$93</f>
        <v>0</v>
      </c>
      <c r="Y41" s="25">
        <f>'TUSD BE'!$Y$41*'TUSD BE'!$Y$93</f>
        <v>0</v>
      </c>
      <c r="Z41" s="25">
        <f>'TUSD BE'!$Z$41*'TUSD BE'!$Z$93</f>
        <v>0</v>
      </c>
      <c r="AA41" s="25">
        <f>'TUSD BE'!$AA$41*'TUSD BE'!$AA$93</f>
        <v>0</v>
      </c>
      <c r="AB41" s="25">
        <f>SUM($U$41:$AA$41)</f>
        <v>0</v>
      </c>
      <c r="AC41" s="25">
        <f>'TUSD BE'!$AC$41*'TUSD BE'!$AC$93</f>
        <v>0</v>
      </c>
      <c r="AD41" s="25">
        <f>SUM($AC$41:$AC$41)</f>
        <v>0</v>
      </c>
      <c r="AE41" s="25">
        <f ca="1">$AO$41*$AO$90</f>
        <v>0</v>
      </c>
      <c r="AF41" s="25">
        <f ca="1">$AP$41*$AP$90</f>
        <v>0</v>
      </c>
      <c r="AG41" s="25">
        <f ca="1">SUM($AE$41:$AF$41)</f>
        <v>0</v>
      </c>
      <c r="AH41" s="25">
        <f>'TUSD BE'!$AH$41*'TUSD BE'!$AH$93</f>
        <v>-4.3481403756889812</v>
      </c>
      <c r="AI41" s="25">
        <f>'TUSD BE'!$AI$41*'TUSD BE'!$AI$93</f>
        <v>-0.16343940263048512</v>
      </c>
      <c r="AJ41" s="25">
        <f ca="1">'TUSD BE'!$AJ$41*'TUSD BE'!$AJ$93</f>
        <v>-2.3463041733758057</v>
      </c>
      <c r="AK41" s="25">
        <f ca="1">'TUSD BE'!$AK$41*'TUSD BE'!$AK$93</f>
        <v>5.0652629709633246E-2</v>
      </c>
      <c r="AL41" s="25">
        <f ca="1">SUM($AH$41:$AK$41)</f>
        <v>-6.807231321985638</v>
      </c>
      <c r="AM41" s="25">
        <f ca="1">SUMIF($L$4:$AL$4,"SUBTOTAL",$L$41:$AL$41)</f>
        <v>-8.8421232286018885</v>
      </c>
      <c r="AO41" s="30">
        <f ca="1">+'TUSD BE'!$T$41+'TUSD BE'!$AB$41+'TUSD BE'!$AD$41+'TUSD BE'!$AL$41</f>
        <v>112.44818170816946</v>
      </c>
      <c r="AP41" s="30">
        <f ca="1">+'TUSD BE'!$T$41+'TUSD BE'!$AB$41+'TUSD BE'!$AD$41+'TUSD BE'!$AL$41</f>
        <v>112.44818170816946</v>
      </c>
    </row>
    <row r="42" spans="1:42" ht="11.25" customHeight="1" x14ac:dyDescent="0.25">
      <c r="A42" s="119"/>
      <c r="B42" s="119"/>
      <c r="C42" s="119"/>
      <c r="D42" s="119"/>
      <c r="E42" s="28" t="s">
        <v>61</v>
      </c>
      <c r="F42" s="28" t="s">
        <v>25</v>
      </c>
      <c r="G42" s="21" t="s">
        <v>94</v>
      </c>
      <c r="H42" s="21" t="s">
        <v>88</v>
      </c>
      <c r="I42" s="21">
        <f>'MERCADO TUSD'!$U$39</f>
        <v>0</v>
      </c>
      <c r="J42" s="17"/>
      <c r="L42" s="25">
        <f>'TUSD BE'!$L$42*'TUSD BE'!$L$93</f>
        <v>0</v>
      </c>
      <c r="M42" s="25">
        <f>'TUSD BE'!$M$42*'TUSD BE'!$M$93</f>
        <v>-2.9808302306660359E-2</v>
      </c>
      <c r="N42" s="25">
        <f ca="1">'TUSD BE'!$N$42*'TUSD BE'!$N$93</f>
        <v>1.1209993237402824E-4</v>
      </c>
      <c r="O42" s="25">
        <f>'TUSD BE'!$O$42*'TUSD BE'!$O$93</f>
        <v>0</v>
      </c>
      <c r="P42" s="25">
        <f>'TUSD BE'!$P$42*'TUSD BE'!$P$93</f>
        <v>0</v>
      </c>
      <c r="Q42" s="25">
        <f>'TUSD BE'!$Q$42*'TUSD BE'!$Q$93</f>
        <v>0</v>
      </c>
      <c r="R42" s="25">
        <f>'TUSD BE'!$R$42*'TUSD BE'!$R$93</f>
        <v>0</v>
      </c>
      <c r="S42" s="25">
        <f>'TUSD BE'!$R$42*'TUSD BE'!$S$93</f>
        <v>0</v>
      </c>
      <c r="T42" s="25">
        <f ca="1">SUM($L$42:$S$42)</f>
        <v>-2.9696202374286329E-2</v>
      </c>
      <c r="U42" s="25">
        <f>'TUSD BE'!$U$42*'TUSD BE'!$U$93</f>
        <v>0</v>
      </c>
      <c r="V42" s="25">
        <f>'TUSD BE'!$V$42*'TUSD BE'!$V$93</f>
        <v>0</v>
      </c>
      <c r="W42" s="25">
        <f>'TUSD BE'!$W$42*'TUSD BE'!$W$93</f>
        <v>0</v>
      </c>
      <c r="X42" s="25">
        <f>'TUSD BE'!$X$42*'TUSD BE'!$X$93</f>
        <v>0</v>
      </c>
      <c r="Y42" s="25">
        <f>'TUSD BE'!$Y$42*'TUSD BE'!$Y$93</f>
        <v>0</v>
      </c>
      <c r="Z42" s="25">
        <f>'TUSD BE'!$Z$42*'TUSD BE'!$Z$93</f>
        <v>0</v>
      </c>
      <c r="AA42" s="25">
        <f>'TUSD BE'!$AA$42*'TUSD BE'!$AA$93</f>
        <v>0</v>
      </c>
      <c r="AB42" s="25">
        <f>SUM($U$42:$AA$42)</f>
        <v>0</v>
      </c>
      <c r="AC42" s="25">
        <f>'TUSD BE'!$AC$42*'TUSD BE'!$AC$93</f>
        <v>0</v>
      </c>
      <c r="AD42" s="25">
        <f>SUM($AC$42:$AC$42)</f>
        <v>0</v>
      </c>
      <c r="AE42" s="25">
        <f ca="1">$AO$42*$AO$90</f>
        <v>0</v>
      </c>
      <c r="AF42" s="25">
        <f ca="1">$AP$42*$AP$90</f>
        <v>0</v>
      </c>
      <c r="AG42" s="25">
        <f ca="1">SUM($AE$42:$AF$42)</f>
        <v>0</v>
      </c>
      <c r="AH42" s="25">
        <f>'TUSD BE'!$AH$42*'TUSD BE'!$AH$93</f>
        <v>-4.3481403756889812</v>
      </c>
      <c r="AI42" s="25">
        <f>'TUSD BE'!$AI$42*'TUSD BE'!$AI$93</f>
        <v>-0.16343940263048512</v>
      </c>
      <c r="AJ42" s="25">
        <f ca="1">'TUSD BE'!$AJ$42*'TUSD BE'!$AJ$93</f>
        <v>-2.3463041733758057</v>
      </c>
      <c r="AK42" s="25">
        <f ca="1">'TUSD BE'!$AK$42*'TUSD BE'!$AK$93</f>
        <v>5.0652629709633246E-2</v>
      </c>
      <c r="AL42" s="25">
        <f ca="1">SUM($AH$42:$AK$42)</f>
        <v>-6.807231321985638</v>
      </c>
      <c r="AM42" s="25">
        <f ca="1">SUMIF($L$4:$AL$4,"SUBTOTAL",$L$42:$AL$42)</f>
        <v>-6.8369275243599246</v>
      </c>
      <c r="AO42" s="30">
        <f ca="1">+'TUSD BE'!$T$42+'TUSD BE'!$AB$42+'TUSD BE'!$AD$42+'TUSD BE'!$AL$42</f>
        <v>42.966174863662893</v>
      </c>
      <c r="AP42" s="30">
        <f ca="1">+'TUSD BE'!$T$42+'TUSD BE'!$AB$42+'TUSD BE'!$AD$42+'TUSD BE'!$AL$42</f>
        <v>42.966174863662893</v>
      </c>
    </row>
    <row r="43" spans="1:42" ht="11.25" customHeight="1" x14ac:dyDescent="0.25">
      <c r="A43" s="119"/>
      <c r="B43" s="119" t="s">
        <v>34</v>
      </c>
      <c r="C43" s="119" t="s">
        <v>25</v>
      </c>
      <c r="D43" s="119" t="s">
        <v>25</v>
      </c>
      <c r="E43" s="119" t="s">
        <v>25</v>
      </c>
      <c r="F43" s="119" t="s">
        <v>25</v>
      </c>
      <c r="G43" s="21" t="s">
        <v>9</v>
      </c>
      <c r="H43" s="21" t="s">
        <v>91</v>
      </c>
      <c r="I43" s="21">
        <f>'MERCADO TUSD'!$U$40</f>
        <v>1299737</v>
      </c>
      <c r="J43" s="17"/>
      <c r="L43" s="25">
        <f>'TUSD BE'!$L$43*'TUSD BE'!$L$93</f>
        <v>0</v>
      </c>
      <c r="M43" s="25">
        <f>'TUSD BE'!$M$43*'TUSD BE'!$M$93</f>
        <v>0</v>
      </c>
      <c r="N43" s="25">
        <f ca="1">'TUSD BE'!$N$43*'TUSD BE'!$N$93</f>
        <v>0</v>
      </c>
      <c r="O43" s="25">
        <f>'TUSD BE'!$O$43*'TUSD BE'!$O$93</f>
        <v>0</v>
      </c>
      <c r="P43" s="25">
        <f>'TUSD BE'!$P$43*'TUSD BE'!$P$93</f>
        <v>0</v>
      </c>
      <c r="Q43" s="25">
        <f>'TUSD BE'!$Q$43*'TUSD BE'!$Q$93</f>
        <v>0</v>
      </c>
      <c r="R43" s="25">
        <f>'TUSD BE'!$R$43*'TUSD BE'!$R$93</f>
        <v>0</v>
      </c>
      <c r="S43" s="25">
        <f>'TUSD BE'!$R$43*'TUSD BE'!$S$93</f>
        <v>0</v>
      </c>
      <c r="T43" s="25">
        <f ca="1">SUM($L$43:$S$43)</f>
        <v>0</v>
      </c>
      <c r="U43" s="25">
        <f>'TUSD BE'!$U$43*'TUSD BE'!$U$93</f>
        <v>-5.3809811430198952E-2</v>
      </c>
      <c r="V43" s="25">
        <f>'TUSD BE'!$V$43*'TUSD BE'!$V$93</f>
        <v>9.9607434303318393E-2</v>
      </c>
      <c r="W43" s="25">
        <f>'TUSD BE'!$W$43*'TUSD BE'!$W$93</f>
        <v>9.9971910814464909E-4</v>
      </c>
      <c r="X43" s="25">
        <f>'TUSD BE'!$X$43*'TUSD BE'!$X$93</f>
        <v>0</v>
      </c>
      <c r="Y43" s="25">
        <f>'TUSD BE'!$Y$43*'TUSD BE'!$Y$93</f>
        <v>0</v>
      </c>
      <c r="Z43" s="25">
        <f>'TUSD BE'!$Z$43*'TUSD BE'!$Z$93</f>
        <v>0</v>
      </c>
      <c r="AA43" s="25">
        <f>'TUSD BE'!$AA$43*'TUSD BE'!$AA$93</f>
        <v>0</v>
      </c>
      <c r="AB43" s="25">
        <f>SUM($U$43:$AA$43)</f>
        <v>4.679734198126409E-2</v>
      </c>
      <c r="AC43" s="25">
        <f>'TUSD BE'!$AC$43*'TUSD BE'!$AC$93</f>
        <v>0</v>
      </c>
      <c r="AD43" s="25">
        <f>SUM($AC$43:$AC$43)</f>
        <v>0</v>
      </c>
      <c r="AE43" s="25">
        <f ca="1">$AO$43*$AO$90</f>
        <v>0</v>
      </c>
      <c r="AF43" s="25">
        <f ca="1">$AP$43*$AP$90</f>
        <v>0</v>
      </c>
      <c r="AG43" s="25">
        <f ca="1">SUM($AE$43:$AF$43)</f>
        <v>0</v>
      </c>
      <c r="AH43" s="25">
        <f>'TUSD BE'!$AH$43*'TUSD BE'!$AH$93</f>
        <v>0</v>
      </c>
      <c r="AI43" s="25">
        <f>'TUSD BE'!$AI$43*'TUSD BE'!$AI$93</f>
        <v>0</v>
      </c>
      <c r="AJ43" s="25">
        <f ca="1">'TUSD BE'!$AJ$43*'TUSD BE'!$AJ$93</f>
        <v>0</v>
      </c>
      <c r="AK43" s="25">
        <f ca="1">'TUSD BE'!$AK$43*'TUSD BE'!$AK$93</f>
        <v>0</v>
      </c>
      <c r="AL43" s="25">
        <f ca="1">SUM($AH$43:$AK$43)</f>
        <v>0</v>
      </c>
      <c r="AM43" s="25">
        <f ca="1">SUMIF($L$4:$AL$4,"SUBTOTAL",$L$43:$AL$43)</f>
        <v>4.679734198126409E-2</v>
      </c>
      <c r="AO43" s="30">
        <f ca="1">+'TUSD BE'!$T$43+'TUSD BE'!$AB$43+'TUSD BE'!$AD$43+'TUSD BE'!$AL$43</f>
        <v>15.52342156250884</v>
      </c>
      <c r="AP43" s="30">
        <f ca="1">+'TUSD BE'!$T$43+'TUSD BE'!$AB$43+'TUSD BE'!$AD$43+'TUSD BE'!$AL$43</f>
        <v>15.52342156250884</v>
      </c>
    </row>
    <row r="44" spans="1:42" ht="11.25" customHeight="1" x14ac:dyDescent="0.25">
      <c r="A44" s="119"/>
      <c r="B44" s="119"/>
      <c r="C44" s="119"/>
      <c r="D44" s="119"/>
      <c r="E44" s="119"/>
      <c r="F44" s="119"/>
      <c r="G44" s="21" t="s">
        <v>89</v>
      </c>
      <c r="H44" s="21" t="s">
        <v>88</v>
      </c>
      <c r="I44" s="21">
        <f>'MERCADO TUSD'!$U$41</f>
        <v>23575.552999999993</v>
      </c>
      <c r="J44" s="17"/>
      <c r="L44" s="25">
        <f>'TUSD BE'!$L$44*'TUSD BE'!$L$93</f>
        <v>0</v>
      </c>
      <c r="M44" s="25">
        <f>'TUSD BE'!$M$44*'TUSD BE'!$M$93</f>
        <v>-2.9808302306660359E-2</v>
      </c>
      <c r="N44" s="25">
        <f ca="1">'TUSD BE'!$N$44*'TUSD BE'!$N$93</f>
        <v>1.7275804317264545E-3</v>
      </c>
      <c r="O44" s="25">
        <f>'TUSD BE'!$O$44*'TUSD BE'!$O$93</f>
        <v>0</v>
      </c>
      <c r="P44" s="25">
        <f>'TUSD BE'!$P$44*'TUSD BE'!$P$93</f>
        <v>0</v>
      </c>
      <c r="Q44" s="25">
        <f>'TUSD BE'!$Q$44*'TUSD BE'!$Q$93</f>
        <v>-2.0021561294157815</v>
      </c>
      <c r="R44" s="25">
        <f>'TUSD BE'!$R$44*'TUSD BE'!$R$93</f>
        <v>-3.0415214814016535E-3</v>
      </c>
      <c r="S44" s="25">
        <f>'TUSD BE'!$R$44*'TUSD BE'!$S$93</f>
        <v>0</v>
      </c>
      <c r="T44" s="25">
        <f ca="1">SUM($L$44:$S$44)</f>
        <v>-2.0332783727721169</v>
      </c>
      <c r="U44" s="25">
        <f>'TUSD BE'!$U$44*'TUSD BE'!$U$93</f>
        <v>-1.5250452121262796</v>
      </c>
      <c r="V44" s="25">
        <f>'TUSD BE'!$V$44*'TUSD BE'!$V$93</f>
        <v>2.7529542210286331</v>
      </c>
      <c r="W44" s="25">
        <f>'TUSD BE'!$W$44*'TUSD BE'!$W$93</f>
        <v>3.1123234975894074E-2</v>
      </c>
      <c r="X44" s="25">
        <f>'TUSD BE'!$X$44*'TUSD BE'!$X$93</f>
        <v>0</v>
      </c>
      <c r="Y44" s="25">
        <f>'TUSD BE'!$Y$44*'TUSD BE'!$Y$93</f>
        <v>0</v>
      </c>
      <c r="Z44" s="25">
        <f>'TUSD BE'!$Z$44*'TUSD BE'!$Z$93</f>
        <v>0</v>
      </c>
      <c r="AA44" s="25">
        <f>'TUSD BE'!$AA$44*'TUSD BE'!$AA$93</f>
        <v>0</v>
      </c>
      <c r="AB44" s="25">
        <f>SUM($U$44:$AA$44)</f>
        <v>1.2590322438782475</v>
      </c>
      <c r="AC44" s="25">
        <f>'TUSD BE'!$AC$44*'TUSD BE'!$AC$93</f>
        <v>0</v>
      </c>
      <c r="AD44" s="25">
        <f>SUM($AC$44:$AC$44)</f>
        <v>0</v>
      </c>
      <c r="AE44" s="25">
        <f ca="1">$AO$44*$AO$90</f>
        <v>0</v>
      </c>
      <c r="AF44" s="25">
        <f ca="1">$AP$44*$AP$90</f>
        <v>0</v>
      </c>
      <c r="AG44" s="25">
        <f ca="1">SUM($AE$44:$AF$44)</f>
        <v>0</v>
      </c>
      <c r="AH44" s="25">
        <f>'TUSD BE'!$AH$44*'TUSD BE'!$AH$93</f>
        <v>-4.3481403756889812</v>
      </c>
      <c r="AI44" s="25">
        <f>'TUSD BE'!$AI$44*'TUSD BE'!$AI$93</f>
        <v>-0.16343940263048512</v>
      </c>
      <c r="AJ44" s="25">
        <f ca="1">'TUSD BE'!$AJ$44*'TUSD BE'!$AJ$93</f>
        <v>-2.3463041733758057</v>
      </c>
      <c r="AK44" s="25">
        <f ca="1">'TUSD BE'!$AK$44*'TUSD BE'!$AK$93</f>
        <v>5.0652629709633246E-2</v>
      </c>
      <c r="AL44" s="25">
        <f ca="1">SUM($AH$44:$AK$44)</f>
        <v>-6.807231321985638</v>
      </c>
      <c r="AM44" s="25">
        <f ca="1">SUMIF($L$4:$AL$4,"SUBTOTAL",$L$44:$AL$44)</f>
        <v>-7.5814774508795075</v>
      </c>
      <c r="AO44" s="30">
        <f ca="1">+'TUSD BE'!$T$44+'TUSD BE'!$AB$44+'TUSD BE'!$AD$44+'TUSD BE'!$AL$44</f>
        <v>1291.6245233210925</v>
      </c>
      <c r="AP44" s="30">
        <f ca="1">+'TUSD BE'!$T$44+'TUSD BE'!$AB$44+'TUSD BE'!$AD$44+'TUSD BE'!$AL$44</f>
        <v>1291.6245233210925</v>
      </c>
    </row>
    <row r="45" spans="1:42" ht="11.25" customHeight="1" x14ac:dyDescent="0.25">
      <c r="A45" s="119"/>
      <c r="B45" s="119"/>
      <c r="C45" s="119"/>
      <c r="D45" s="119"/>
      <c r="E45" s="119"/>
      <c r="F45" s="119"/>
      <c r="G45" s="21" t="s">
        <v>90</v>
      </c>
      <c r="H45" s="21" t="s">
        <v>88</v>
      </c>
      <c r="I45" s="21">
        <f>'MERCADO TUSD'!$U$42</f>
        <v>231444.989</v>
      </c>
      <c r="J45" s="17"/>
      <c r="L45" s="25">
        <f>'TUSD BE'!$L$45*'TUSD BE'!$L$93</f>
        <v>0</v>
      </c>
      <c r="M45" s="25">
        <f>'TUSD BE'!$M$45*'TUSD BE'!$M$93</f>
        <v>-2.9808302306660359E-2</v>
      </c>
      <c r="N45" s="25">
        <f ca="1">'TUSD BE'!$N$45*'TUSD BE'!$N$93</f>
        <v>1.1404658759240743E-4</v>
      </c>
      <c r="O45" s="25">
        <f>'TUSD BE'!$O$45*'TUSD BE'!$O$93</f>
        <v>0</v>
      </c>
      <c r="P45" s="25">
        <f>'TUSD BE'!$P$45*'TUSD BE'!$P$93</f>
        <v>0</v>
      </c>
      <c r="Q45" s="25">
        <f>'TUSD BE'!$Q$45*'TUSD BE'!$Q$93</f>
        <v>-2.0021561294157815</v>
      </c>
      <c r="R45" s="25">
        <f>'TUSD BE'!$R$45*'TUSD BE'!$R$93</f>
        <v>-3.0415214814016535E-3</v>
      </c>
      <c r="S45" s="25">
        <f>'TUSD BE'!$R$45*'TUSD BE'!$S$93</f>
        <v>0</v>
      </c>
      <c r="T45" s="25">
        <f ca="1">SUM($L$45:$S$45)</f>
        <v>-2.034891906616251</v>
      </c>
      <c r="U45" s="25">
        <f>'TUSD BE'!$U$45*'TUSD BE'!$U$93</f>
        <v>0</v>
      </c>
      <c r="V45" s="25">
        <f>'TUSD BE'!$V$45*'TUSD BE'!$V$93</f>
        <v>0</v>
      </c>
      <c r="W45" s="25">
        <f>'TUSD BE'!$W$45*'TUSD BE'!$W$93</f>
        <v>0</v>
      </c>
      <c r="X45" s="25">
        <f>'TUSD BE'!$X$45*'TUSD BE'!$X$93</f>
        <v>0</v>
      </c>
      <c r="Y45" s="25">
        <f>'TUSD BE'!$Y$45*'TUSD BE'!$Y$93</f>
        <v>0</v>
      </c>
      <c r="Z45" s="25">
        <f>'TUSD BE'!$Z$45*'TUSD BE'!$Z$93</f>
        <v>0</v>
      </c>
      <c r="AA45" s="25">
        <f>'TUSD BE'!$AA$45*'TUSD BE'!$AA$93</f>
        <v>0</v>
      </c>
      <c r="AB45" s="25">
        <f>SUM($U$45:$AA$45)</f>
        <v>0</v>
      </c>
      <c r="AC45" s="25">
        <f>'TUSD BE'!$AC$45*'TUSD BE'!$AC$93</f>
        <v>0</v>
      </c>
      <c r="AD45" s="25">
        <f>SUM($AC$45:$AC$45)</f>
        <v>0</v>
      </c>
      <c r="AE45" s="25">
        <f ca="1">$AO$45*$AO$90</f>
        <v>0</v>
      </c>
      <c r="AF45" s="25">
        <f ca="1">$AP$45*$AP$90</f>
        <v>0</v>
      </c>
      <c r="AG45" s="25">
        <f ca="1">SUM($AE$45:$AF$45)</f>
        <v>0</v>
      </c>
      <c r="AH45" s="25">
        <f>'TUSD BE'!$AH$45*'TUSD BE'!$AH$93</f>
        <v>-4.3481403756889812</v>
      </c>
      <c r="AI45" s="25">
        <f>'TUSD BE'!$AI$45*'TUSD BE'!$AI$93</f>
        <v>-0.16343940263048512</v>
      </c>
      <c r="AJ45" s="25">
        <f ca="1">'TUSD BE'!$AJ$45*'TUSD BE'!$AJ$93</f>
        <v>-2.3463041733758057</v>
      </c>
      <c r="AK45" s="25">
        <f ca="1">'TUSD BE'!$AK$45*'TUSD BE'!$AK$93</f>
        <v>5.0652629709633246E-2</v>
      </c>
      <c r="AL45" s="25">
        <f ca="1">SUM($AH$45:$AK$45)</f>
        <v>-6.807231321985638</v>
      </c>
      <c r="AM45" s="25">
        <f ca="1">SUMIF($L$4:$AL$4,"SUBTOTAL",$L$45:$AL$45)</f>
        <v>-8.8421232286018885</v>
      </c>
      <c r="AO45" s="30">
        <f ca="1">+'TUSD BE'!$T$45+'TUSD BE'!$AB$45+'TUSD BE'!$AD$45+'TUSD BE'!$AL$45</f>
        <v>112.44818170816946</v>
      </c>
      <c r="AP45" s="30">
        <f ca="1">+'TUSD BE'!$T$45+'TUSD BE'!$AB$45+'TUSD BE'!$AD$45+'TUSD BE'!$AL$45</f>
        <v>112.44818170816946</v>
      </c>
    </row>
    <row r="46" spans="1:42" ht="11.25" customHeight="1" x14ac:dyDescent="0.25">
      <c r="A46" s="119"/>
      <c r="B46" s="119"/>
      <c r="C46" s="119"/>
      <c r="D46" s="119"/>
      <c r="E46" s="119" t="s">
        <v>61</v>
      </c>
      <c r="F46" s="119" t="s">
        <v>25</v>
      </c>
      <c r="G46" s="21" t="s">
        <v>89</v>
      </c>
      <c r="H46" s="21" t="s">
        <v>88</v>
      </c>
      <c r="I46" s="21">
        <f>'MERCADO TUSD'!$U$43</f>
        <v>0</v>
      </c>
      <c r="J46" s="17"/>
      <c r="L46" s="25">
        <f>'TUSD BE'!$L$46*'TUSD BE'!$L$93</f>
        <v>0</v>
      </c>
      <c r="M46" s="25">
        <f>'TUSD BE'!$M$46*'TUSD BE'!$M$93</f>
        <v>-2.9808302306660359E-2</v>
      </c>
      <c r="N46" s="25">
        <f ca="1">'TUSD BE'!$N$46*'TUSD BE'!$N$93</f>
        <v>1.7256337765080754E-3</v>
      </c>
      <c r="O46" s="25">
        <f>'TUSD BE'!$O$46*'TUSD BE'!$O$93</f>
        <v>0</v>
      </c>
      <c r="P46" s="25">
        <f>'TUSD BE'!$P$46*'TUSD BE'!$P$93</f>
        <v>0</v>
      </c>
      <c r="Q46" s="25">
        <f>'TUSD BE'!$Q$46*'TUSD BE'!$Q$93</f>
        <v>0</v>
      </c>
      <c r="R46" s="25">
        <f>'TUSD BE'!$R$46*'TUSD BE'!$R$93</f>
        <v>0</v>
      </c>
      <c r="S46" s="25">
        <f>'TUSD BE'!$R$46*'TUSD BE'!$S$93</f>
        <v>0</v>
      </c>
      <c r="T46" s="25">
        <f ca="1">SUM($L$46:$S$46)</f>
        <v>-2.8082668530152285E-2</v>
      </c>
      <c r="U46" s="25">
        <f>'TUSD BE'!$U$46*'TUSD BE'!$U$93</f>
        <v>-1.5250452121262796</v>
      </c>
      <c r="V46" s="25">
        <f>'TUSD BE'!$V$46*'TUSD BE'!$V$93</f>
        <v>2.7529542210286331</v>
      </c>
      <c r="W46" s="25">
        <f>'TUSD BE'!$W$46*'TUSD BE'!$W$93</f>
        <v>3.1123234975894074E-2</v>
      </c>
      <c r="X46" s="25">
        <f>'TUSD BE'!$X$46*'TUSD BE'!$X$93</f>
        <v>0</v>
      </c>
      <c r="Y46" s="25">
        <f>'TUSD BE'!$Y$46*'TUSD BE'!$Y$93</f>
        <v>0</v>
      </c>
      <c r="Z46" s="25">
        <f>'TUSD BE'!$Z$46*'TUSD BE'!$Z$93</f>
        <v>0</v>
      </c>
      <c r="AA46" s="25">
        <f>'TUSD BE'!$AA$46*'TUSD BE'!$AA$93</f>
        <v>0</v>
      </c>
      <c r="AB46" s="25">
        <f>SUM($U$46:$AA$46)</f>
        <v>1.2590322438782475</v>
      </c>
      <c r="AC46" s="25">
        <f>'TUSD BE'!$AC$46*'TUSD BE'!$AC$93</f>
        <v>0</v>
      </c>
      <c r="AD46" s="25">
        <f>SUM($AC$46:$AC$46)</f>
        <v>0</v>
      </c>
      <c r="AE46" s="25">
        <f ca="1">$AO$46*$AO$90</f>
        <v>0</v>
      </c>
      <c r="AF46" s="25">
        <f ca="1">$AP$46*$AP$90</f>
        <v>0</v>
      </c>
      <c r="AG46" s="25">
        <f ca="1">SUM($AE$46:$AF$46)</f>
        <v>0</v>
      </c>
      <c r="AH46" s="25">
        <f>'TUSD BE'!$AH$46*'TUSD BE'!$AH$93</f>
        <v>-4.3481403756889812</v>
      </c>
      <c r="AI46" s="25">
        <f>'TUSD BE'!$AI$46*'TUSD BE'!$AI$93</f>
        <v>-0.16343940263048512</v>
      </c>
      <c r="AJ46" s="25">
        <f ca="1">'TUSD BE'!$AJ$46*'TUSD BE'!$AJ$93</f>
        <v>-2.3463041733758057</v>
      </c>
      <c r="AK46" s="25">
        <f ca="1">'TUSD BE'!$AK$46*'TUSD BE'!$AK$93</f>
        <v>5.0652629709633246E-2</v>
      </c>
      <c r="AL46" s="25">
        <f ca="1">SUM($AH$46:$AK$46)</f>
        <v>-6.807231321985638</v>
      </c>
      <c r="AM46" s="25">
        <f ca="1">SUMIF($L$4:$AL$4,"SUBTOTAL",$L$46:$AL$46)</f>
        <v>-5.5762817466375427</v>
      </c>
      <c r="AO46" s="30">
        <f ca="1">+'TUSD BE'!$T$46+'TUSD BE'!$AB$46+'TUSD BE'!$AD$46+'TUSD BE'!$AL$46</f>
        <v>1222.142516476586</v>
      </c>
      <c r="AP46" s="30">
        <f ca="1">+'TUSD BE'!$T$46+'TUSD BE'!$AB$46+'TUSD BE'!$AD$46+'TUSD BE'!$AL$46</f>
        <v>1222.142516476586</v>
      </c>
    </row>
    <row r="47" spans="1:42" ht="11.25" customHeight="1" x14ac:dyDescent="0.25">
      <c r="A47" s="119"/>
      <c r="B47" s="119"/>
      <c r="C47" s="119"/>
      <c r="D47" s="119"/>
      <c r="E47" s="119"/>
      <c r="F47" s="119"/>
      <c r="G47" s="21" t="s">
        <v>90</v>
      </c>
      <c r="H47" s="21" t="s">
        <v>88</v>
      </c>
      <c r="I47" s="21">
        <f>'MERCADO TUSD'!$U$44</f>
        <v>0</v>
      </c>
      <c r="J47" s="17"/>
      <c r="L47" s="25">
        <f>'TUSD BE'!$L$47*'TUSD BE'!$L$93</f>
        <v>0</v>
      </c>
      <c r="M47" s="25">
        <f>'TUSD BE'!$M$47*'TUSD BE'!$M$93</f>
        <v>-2.9808302306660359E-2</v>
      </c>
      <c r="N47" s="25">
        <f ca="1">'TUSD BE'!$N$47*'TUSD BE'!$N$93</f>
        <v>1.1209993237402824E-4</v>
      </c>
      <c r="O47" s="25">
        <f>'TUSD BE'!$O$47*'TUSD BE'!$O$93</f>
        <v>0</v>
      </c>
      <c r="P47" s="25">
        <f>'TUSD BE'!$P$47*'TUSD BE'!$P$93</f>
        <v>0</v>
      </c>
      <c r="Q47" s="25">
        <f>'TUSD BE'!$Q$47*'TUSD BE'!$Q$93</f>
        <v>0</v>
      </c>
      <c r="R47" s="25">
        <f>'TUSD BE'!$R$47*'TUSD BE'!$R$93</f>
        <v>0</v>
      </c>
      <c r="S47" s="25">
        <f>'TUSD BE'!$R$47*'TUSD BE'!$S$93</f>
        <v>0</v>
      </c>
      <c r="T47" s="25">
        <f ca="1">SUM($L$47:$S$47)</f>
        <v>-2.9696202374286329E-2</v>
      </c>
      <c r="U47" s="25">
        <f>'TUSD BE'!$U$47*'TUSD BE'!$U$93</f>
        <v>0</v>
      </c>
      <c r="V47" s="25">
        <f>'TUSD BE'!$V$47*'TUSD BE'!$V$93</f>
        <v>0</v>
      </c>
      <c r="W47" s="25">
        <f>'TUSD BE'!$W$47*'TUSD BE'!$W$93</f>
        <v>0</v>
      </c>
      <c r="X47" s="25">
        <f>'TUSD BE'!$X$47*'TUSD BE'!$X$93</f>
        <v>0</v>
      </c>
      <c r="Y47" s="25">
        <f>'TUSD BE'!$Y$47*'TUSD BE'!$Y$93</f>
        <v>0</v>
      </c>
      <c r="Z47" s="25">
        <f>'TUSD BE'!$Z$47*'TUSD BE'!$Z$93</f>
        <v>0</v>
      </c>
      <c r="AA47" s="25">
        <f>'TUSD BE'!$AA$47*'TUSD BE'!$AA$93</f>
        <v>0</v>
      </c>
      <c r="AB47" s="25">
        <f>SUM($U$47:$AA$47)</f>
        <v>0</v>
      </c>
      <c r="AC47" s="25">
        <f>'TUSD BE'!$AC$47*'TUSD BE'!$AC$93</f>
        <v>0</v>
      </c>
      <c r="AD47" s="25">
        <f>SUM($AC$47:$AC$47)</f>
        <v>0</v>
      </c>
      <c r="AE47" s="25">
        <f ca="1">$AO$47*$AO$90</f>
        <v>0</v>
      </c>
      <c r="AF47" s="25">
        <f ca="1">$AP$47*$AP$90</f>
        <v>0</v>
      </c>
      <c r="AG47" s="25">
        <f ca="1">SUM($AE$47:$AF$47)</f>
        <v>0</v>
      </c>
      <c r="AH47" s="25">
        <f>'TUSD BE'!$AH$47*'TUSD BE'!$AH$93</f>
        <v>-4.3481403756889812</v>
      </c>
      <c r="AI47" s="25">
        <f>'TUSD BE'!$AI$47*'TUSD BE'!$AI$93</f>
        <v>-0.16343940263048512</v>
      </c>
      <c r="AJ47" s="25">
        <f ca="1">'TUSD BE'!$AJ$47*'TUSD BE'!$AJ$93</f>
        <v>-2.3463041733758057</v>
      </c>
      <c r="AK47" s="25">
        <f ca="1">'TUSD BE'!$AK$47*'TUSD BE'!$AK$93</f>
        <v>5.0652629709633246E-2</v>
      </c>
      <c r="AL47" s="25">
        <f ca="1">SUM($AH$47:$AK$47)</f>
        <v>-6.807231321985638</v>
      </c>
      <c r="AM47" s="25">
        <f ca="1">SUMIF($L$4:$AL$4,"SUBTOTAL",$L$47:$AL$47)</f>
        <v>-6.8369275243599246</v>
      </c>
      <c r="AO47" s="30">
        <f ca="1">+'TUSD BE'!$T$47+'TUSD BE'!$AB$47+'TUSD BE'!$AD$47+'TUSD BE'!$AL$47</f>
        <v>42.966174863662893</v>
      </c>
      <c r="AP47" s="30">
        <f ca="1">+'TUSD BE'!$T$47+'TUSD BE'!$AB$47+'TUSD BE'!$AD$47+'TUSD BE'!$AL$47</f>
        <v>42.966174863662893</v>
      </c>
    </row>
    <row r="48" spans="1:42" ht="11.25" customHeight="1" x14ac:dyDescent="0.25">
      <c r="A48" s="119"/>
      <c r="B48" s="119" t="s">
        <v>23</v>
      </c>
      <c r="C48" s="119" t="s">
        <v>25</v>
      </c>
      <c r="D48" s="119" t="s">
        <v>25</v>
      </c>
      <c r="E48" s="119" t="s">
        <v>25</v>
      </c>
      <c r="F48" s="119" t="s">
        <v>25</v>
      </c>
      <c r="G48" s="21" t="s">
        <v>9</v>
      </c>
      <c r="H48" s="21" t="s">
        <v>91</v>
      </c>
      <c r="I48" s="21">
        <f>'MERCADO TUSD'!$U$45</f>
        <v>0</v>
      </c>
      <c r="J48" s="17"/>
      <c r="L48" s="25">
        <f>'TUSD BE'!$L$48*'TUSD BE'!$L$93</f>
        <v>0</v>
      </c>
      <c r="M48" s="25">
        <f>'TUSD BE'!$M$48*'TUSD BE'!$M$93</f>
        <v>0</v>
      </c>
      <c r="N48" s="25">
        <f ca="1">'TUSD BE'!$N$48*'TUSD BE'!$N$93</f>
        <v>0</v>
      </c>
      <c r="O48" s="25">
        <f>'TUSD BE'!$O$48*'TUSD BE'!$O$93</f>
        <v>0</v>
      </c>
      <c r="P48" s="25">
        <f>'TUSD BE'!$P$48*'TUSD BE'!$P$93</f>
        <v>0</v>
      </c>
      <c r="Q48" s="25">
        <f>'TUSD BE'!$Q$48*'TUSD BE'!$Q$93</f>
        <v>0</v>
      </c>
      <c r="R48" s="25">
        <f>'TUSD BE'!$R$48*'TUSD BE'!$R$93</f>
        <v>0</v>
      </c>
      <c r="S48" s="25">
        <f>'TUSD BE'!$R$48*'TUSD BE'!$S$93</f>
        <v>0</v>
      </c>
      <c r="T48" s="25">
        <f ca="1">SUM($L$48:$S$48)</f>
        <v>0</v>
      </c>
      <c r="U48" s="25">
        <f>'TUSD BE'!$U$48*'TUSD BE'!$U$93</f>
        <v>-9.946466981605713E-2</v>
      </c>
      <c r="V48" s="25">
        <f>'TUSD BE'!$V$48*'TUSD BE'!$V$93</f>
        <v>0.18203636360076692</v>
      </c>
      <c r="W48" s="25">
        <f>'TUSD BE'!$W$48*'TUSD BE'!$W$93</f>
        <v>1.9309295464418222E-3</v>
      </c>
      <c r="X48" s="25">
        <f>'TUSD BE'!$X$48*'TUSD BE'!$X$93</f>
        <v>0</v>
      </c>
      <c r="Y48" s="25">
        <f>'TUSD BE'!$Y$48*'TUSD BE'!$Y$93</f>
        <v>0</v>
      </c>
      <c r="Z48" s="25">
        <f>'TUSD BE'!$Z$48*'TUSD BE'!$Z$93</f>
        <v>0</v>
      </c>
      <c r="AA48" s="25">
        <f>'TUSD BE'!$AA$48*'TUSD BE'!$AA$93</f>
        <v>0</v>
      </c>
      <c r="AB48" s="25">
        <f>SUM($U$48:$AA$48)</f>
        <v>8.4502623331151605E-2</v>
      </c>
      <c r="AC48" s="25">
        <f>'TUSD BE'!$AC$48*'TUSD BE'!$AC$93</f>
        <v>0</v>
      </c>
      <c r="AD48" s="25">
        <f>SUM($AC$48:$AC$48)</f>
        <v>0</v>
      </c>
      <c r="AE48" s="25">
        <f ca="1">$AO$48*$AO$90</f>
        <v>0</v>
      </c>
      <c r="AF48" s="25">
        <f ca="1">$AP$48*$AP$90</f>
        <v>0</v>
      </c>
      <c r="AG48" s="25">
        <f ca="1">SUM($AE$48:$AF$48)</f>
        <v>0</v>
      </c>
      <c r="AH48" s="25">
        <f>'TUSD BE'!$AH$48*'TUSD BE'!$AH$93</f>
        <v>0</v>
      </c>
      <c r="AI48" s="25">
        <f>'TUSD BE'!$AI$48*'TUSD BE'!$AI$93</f>
        <v>0</v>
      </c>
      <c r="AJ48" s="25">
        <f ca="1">'TUSD BE'!$AJ$48*'TUSD BE'!$AJ$93</f>
        <v>0</v>
      </c>
      <c r="AK48" s="25">
        <f ca="1">'TUSD BE'!$AK$48*'TUSD BE'!$AK$93</f>
        <v>0</v>
      </c>
      <c r="AL48" s="25">
        <f ca="1">SUM($AH$48:$AK$48)</f>
        <v>0</v>
      </c>
      <c r="AM48" s="25">
        <f ca="1">SUMIF($L$4:$AL$4,"SUBTOTAL",$L$48:$AL$48)</f>
        <v>8.4502623331151605E-2</v>
      </c>
      <c r="AO48" s="30">
        <f ca="1">+'TUSD BE'!$T$48+'TUSD BE'!$AB$48+'TUSD BE'!$AD$48+'TUSD BE'!$AL$48</f>
        <v>50.465986022452697</v>
      </c>
      <c r="AP48" s="30">
        <f ca="1">+'TUSD BE'!$T$48+'TUSD BE'!$AB$48+'TUSD BE'!$AD$48+'TUSD BE'!$AL$48</f>
        <v>50.465986022452697</v>
      </c>
    </row>
    <row r="49" spans="1:42" ht="11.25" customHeight="1" x14ac:dyDescent="0.25">
      <c r="A49" s="119"/>
      <c r="B49" s="119"/>
      <c r="C49" s="119"/>
      <c r="D49" s="119"/>
      <c r="E49" s="119"/>
      <c r="F49" s="119"/>
      <c r="G49" s="21" t="s">
        <v>94</v>
      </c>
      <c r="H49" s="21" t="s">
        <v>88</v>
      </c>
      <c r="I49" s="21">
        <f>'MERCADO TUSD'!$U$46</f>
        <v>0</v>
      </c>
      <c r="J49" s="17"/>
      <c r="L49" s="25">
        <f>'TUSD BE'!$L$49*'TUSD BE'!$L$93</f>
        <v>0</v>
      </c>
      <c r="M49" s="25">
        <f>'TUSD BE'!$M$49*'TUSD BE'!$M$93</f>
        <v>-2.9808302306660359E-2</v>
      </c>
      <c r="N49" s="25">
        <f ca="1">'TUSD BE'!$N$49*'TUSD BE'!$N$93</f>
        <v>1.1404658759240743E-4</v>
      </c>
      <c r="O49" s="25">
        <f>'TUSD BE'!$O$49*'TUSD BE'!$O$93</f>
        <v>0</v>
      </c>
      <c r="P49" s="25">
        <f>'TUSD BE'!$P$49*'TUSD BE'!$P$93</f>
        <v>0</v>
      </c>
      <c r="Q49" s="25">
        <f>'TUSD BE'!$Q$49*'TUSD BE'!$Q$93</f>
        <v>-2.0021561294157815</v>
      </c>
      <c r="R49" s="25">
        <f>'TUSD BE'!$R$49*'TUSD BE'!$R$93</f>
        <v>-3.0415214814016535E-3</v>
      </c>
      <c r="S49" s="25">
        <f>'TUSD BE'!$R$49*'TUSD BE'!$S$93</f>
        <v>0</v>
      </c>
      <c r="T49" s="25">
        <f ca="1">SUM($L$49:$S$49)</f>
        <v>-2.034891906616251</v>
      </c>
      <c r="U49" s="25">
        <f>'TUSD BE'!$U$49*'TUSD BE'!$U$93</f>
        <v>0</v>
      </c>
      <c r="V49" s="25">
        <f>'TUSD BE'!$V$49*'TUSD BE'!$V$93</f>
        <v>0</v>
      </c>
      <c r="W49" s="25">
        <f>'TUSD BE'!$W$49*'TUSD BE'!$W$93</f>
        <v>0</v>
      </c>
      <c r="X49" s="25">
        <f>'TUSD BE'!$X$49*'TUSD BE'!$X$93</f>
        <v>0</v>
      </c>
      <c r="Y49" s="25">
        <f>'TUSD BE'!$Y$49*'TUSD BE'!$Y$93</f>
        <v>0</v>
      </c>
      <c r="Z49" s="25">
        <f>'TUSD BE'!$Z$49*'TUSD BE'!$Z$93</f>
        <v>0</v>
      </c>
      <c r="AA49" s="25">
        <f>'TUSD BE'!$AA$49*'TUSD BE'!$AA$93</f>
        <v>0</v>
      </c>
      <c r="AB49" s="25">
        <f>SUM($U$49:$AA$49)</f>
        <v>0</v>
      </c>
      <c r="AC49" s="25">
        <f>'TUSD BE'!$AC$49*'TUSD BE'!$AC$93</f>
        <v>0</v>
      </c>
      <c r="AD49" s="25">
        <f>SUM($AC$49:$AC$49)</f>
        <v>0</v>
      </c>
      <c r="AE49" s="25">
        <f ca="1">$AO$49*$AO$90</f>
        <v>0</v>
      </c>
      <c r="AF49" s="25">
        <f ca="1">$AP$49*$AP$90</f>
        <v>0</v>
      </c>
      <c r="AG49" s="25">
        <f ca="1">SUM($AE$49:$AF$49)</f>
        <v>0</v>
      </c>
      <c r="AH49" s="25">
        <f>'TUSD BE'!$AH$49*'TUSD BE'!$AH$93</f>
        <v>-4.3481403756889812</v>
      </c>
      <c r="AI49" s="25">
        <f>'TUSD BE'!$AI$49*'TUSD BE'!$AI$93</f>
        <v>-0.16343940263048512</v>
      </c>
      <c r="AJ49" s="25">
        <f ca="1">'TUSD BE'!$AJ$49*'TUSD BE'!$AJ$93</f>
        <v>-2.3463041733758057</v>
      </c>
      <c r="AK49" s="25">
        <f ca="1">'TUSD BE'!$AK$49*'TUSD BE'!$AK$93</f>
        <v>5.0652629709633246E-2</v>
      </c>
      <c r="AL49" s="25">
        <f ca="1">SUM($AH$49:$AK$49)</f>
        <v>-6.807231321985638</v>
      </c>
      <c r="AM49" s="25">
        <f ca="1">SUMIF($L$4:$AL$4,"SUBTOTAL",$L$49:$AL$49)</f>
        <v>-8.8421232286018885</v>
      </c>
      <c r="AO49" s="30">
        <f ca="1">+'TUSD BE'!$T$49+'TUSD BE'!$AB$49+'TUSD BE'!$AD$49+'TUSD BE'!$AL$49</f>
        <v>112.44818170816946</v>
      </c>
      <c r="AP49" s="30">
        <f ca="1">+'TUSD BE'!$T$49+'TUSD BE'!$AB$49+'TUSD BE'!$AD$49+'TUSD BE'!$AL$49</f>
        <v>112.44818170816946</v>
      </c>
    </row>
    <row r="50" spans="1:42" ht="11.25" customHeight="1" x14ac:dyDescent="0.25">
      <c r="A50" s="119" t="s">
        <v>97</v>
      </c>
      <c r="B50" s="119" t="s">
        <v>64</v>
      </c>
      <c r="C50" s="119" t="s">
        <v>25</v>
      </c>
      <c r="D50" s="119" t="s">
        <v>25</v>
      </c>
      <c r="E50" s="28" t="s">
        <v>98</v>
      </c>
      <c r="F50" s="28" t="s">
        <v>25</v>
      </c>
      <c r="G50" s="21" t="s">
        <v>9</v>
      </c>
      <c r="H50" s="21" t="s">
        <v>91</v>
      </c>
      <c r="I50" s="21">
        <f>'MERCADO TUSD'!$U$47+0.00000001</f>
        <v>1E-8</v>
      </c>
      <c r="J50" s="17"/>
      <c r="L50" s="25">
        <f>'TUSD BE'!$L$50*'TUSD BE'!$L$93</f>
        <v>0</v>
      </c>
      <c r="M50" s="25">
        <f>'TUSD BE'!$M$50*'TUSD BE'!$M$93</f>
        <v>-4.3973156892949776E-4</v>
      </c>
      <c r="N50" s="25">
        <f ca="1">'TUSD BE'!$N$50*'TUSD BE'!$N$93</f>
        <v>3.4845128408987412E-6</v>
      </c>
      <c r="O50" s="25">
        <f>'TUSD BE'!$O$50*'TUSD BE'!$O$93</f>
        <v>0</v>
      </c>
      <c r="P50" s="25">
        <f>'TUSD BE'!$P$50*'TUSD BE'!$P$93</f>
        <v>0</v>
      </c>
      <c r="Q50" s="25">
        <f>'TUSD BE'!$Q$50*'TUSD BE'!$Q$93</f>
        <v>0</v>
      </c>
      <c r="R50" s="25">
        <f>'TUSD BE'!$R$50*'TUSD BE'!$R$93</f>
        <v>0</v>
      </c>
      <c r="S50" s="25">
        <f>'TUSD BE'!$R$50*'TUSD BE'!$S$93</f>
        <v>0</v>
      </c>
      <c r="T50" s="25">
        <f ca="1">SUM($L$50:$S$50)</f>
        <v>-4.36247056088599E-4</v>
      </c>
      <c r="U50" s="25">
        <f>'TUSD BE'!$U$50*'TUSD BE'!$U$93</f>
        <v>0</v>
      </c>
      <c r="V50" s="25">
        <f>'TUSD BE'!$V$50*'TUSD BE'!$V$93</f>
        <v>0</v>
      </c>
      <c r="W50" s="25">
        <f>'TUSD BE'!$W$50*'TUSD BE'!$W$93</f>
        <v>0</v>
      </c>
      <c r="X50" s="25">
        <f>'TUSD BE'!$X$50*'TUSD BE'!$X$93</f>
        <v>0</v>
      </c>
      <c r="Y50" s="25">
        <f>'TUSD BE'!$Y$50*'TUSD BE'!$Y$93</f>
        <v>0</v>
      </c>
      <c r="Z50" s="25">
        <f>'TUSD BE'!$Z$50*'TUSD BE'!$Z$93</f>
        <v>0</v>
      </c>
      <c r="AA50" s="25">
        <f>'TUSD BE'!$AA$50*'TUSD BE'!$AA$93</f>
        <v>0</v>
      </c>
      <c r="AB50" s="25">
        <f>SUM($U$50:$AA$50)</f>
        <v>0</v>
      </c>
      <c r="AC50" s="25">
        <f>'TUSD BE'!$AC$50*'TUSD BE'!$AC$93</f>
        <v>0</v>
      </c>
      <c r="AD50" s="25">
        <f>SUM($AC$50:$AC$50)</f>
        <v>0</v>
      </c>
      <c r="AE50" s="25">
        <f ca="1">$AO$50*$AO$90</f>
        <v>0</v>
      </c>
      <c r="AF50" s="25">
        <f ca="1">$AP$50*$AP$90</f>
        <v>0</v>
      </c>
      <c r="AG50" s="25">
        <f ca="1">SUM($AE$50:$AF$50)</f>
        <v>0</v>
      </c>
      <c r="AH50" s="25">
        <f>'TUSD BE'!$AH$50*'TUSD BE'!$AH$93</f>
        <v>0</v>
      </c>
      <c r="AI50" s="25">
        <f>'TUSD BE'!$AI$50*'TUSD BE'!$AI$93</f>
        <v>0</v>
      </c>
      <c r="AJ50" s="25">
        <f ca="1">'TUSD BE'!$AJ$50*'TUSD BE'!$AJ$93</f>
        <v>0</v>
      </c>
      <c r="AK50" s="25">
        <f ca="1">'TUSD BE'!$AK$50*'TUSD BE'!$AK$93</f>
        <v>0</v>
      </c>
      <c r="AL50" s="25">
        <f ca="1">SUM($AH$50:$AK$50)</f>
        <v>0</v>
      </c>
      <c r="AM50" s="25">
        <f ca="1">SUMIF($L$4:$AL$4,"SUBTOTAL",$L$50:$AL$50)</f>
        <v>-4.36247056088599E-4</v>
      </c>
      <c r="AO50" s="30">
        <f ca="1">+'TUSD BE'!$T$50+'TUSD BE'!$AB$50+'TUSD BE'!$AD$50+'TUSD BE'!$AL$50</f>
        <v>2.080525493986856</v>
      </c>
      <c r="AP50" s="30">
        <f ca="1">+'TUSD BE'!$T$50+'TUSD BE'!$AB$50+'TUSD BE'!$AD$50+'TUSD BE'!$AL$50</f>
        <v>2.080525493986856</v>
      </c>
    </row>
    <row r="51" spans="1:42" ht="11.25" customHeight="1" x14ac:dyDescent="0.25">
      <c r="A51" s="119"/>
      <c r="B51" s="119"/>
      <c r="C51" s="119"/>
      <c r="D51" s="119"/>
      <c r="E51" s="28" t="s">
        <v>99</v>
      </c>
      <c r="F51" s="28" t="s">
        <v>25</v>
      </c>
      <c r="G51" s="21" t="s">
        <v>9</v>
      </c>
      <c r="H51" s="21" t="s">
        <v>91</v>
      </c>
      <c r="I51" s="21">
        <f>'MERCADO TUSD'!$U$48+0.00000001</f>
        <v>1E-8</v>
      </c>
      <c r="J51" s="17"/>
      <c r="L51" s="25">
        <f>'TUSD BE'!$L$51*'TUSD BE'!$L$93</f>
        <v>0</v>
      </c>
      <c r="M51" s="25">
        <f>'TUSD BE'!$M$51*'TUSD BE'!$M$93</f>
        <v>-4.3973156892949776E-4</v>
      </c>
      <c r="N51" s="25">
        <f ca="1">'TUSD BE'!$N$51*'TUSD BE'!$N$93</f>
        <v>3.4845128408987412E-6</v>
      </c>
      <c r="O51" s="25">
        <f>'TUSD BE'!$O$51*'TUSD BE'!$O$93</f>
        <v>0</v>
      </c>
      <c r="P51" s="25">
        <f>'TUSD BE'!$P$51*'TUSD BE'!$P$93</f>
        <v>0</v>
      </c>
      <c r="Q51" s="25">
        <f>'TUSD BE'!$Q$51*'TUSD BE'!$Q$93</f>
        <v>0</v>
      </c>
      <c r="R51" s="25">
        <f>'TUSD BE'!$R$51*'TUSD BE'!$R$93</f>
        <v>0</v>
      </c>
      <c r="S51" s="25">
        <f>'TUSD BE'!$R$51*'TUSD BE'!$S$93</f>
        <v>0</v>
      </c>
      <c r="T51" s="25">
        <f ca="1">SUM($L$51:$S$51)</f>
        <v>-4.36247056088599E-4</v>
      </c>
      <c r="U51" s="25">
        <f>'TUSD BE'!$U$51*'TUSD BE'!$U$93</f>
        <v>0</v>
      </c>
      <c r="V51" s="25">
        <f>'TUSD BE'!$V$51*'TUSD BE'!$V$93</f>
        <v>0</v>
      </c>
      <c r="W51" s="25">
        <f>'TUSD BE'!$W$51*'TUSD BE'!$W$93</f>
        <v>0</v>
      </c>
      <c r="X51" s="25">
        <f>'TUSD BE'!$X$51*'TUSD BE'!$X$93</f>
        <v>0</v>
      </c>
      <c r="Y51" s="25">
        <f>'TUSD BE'!$Y$51*'TUSD BE'!$Y$93</f>
        <v>0</v>
      </c>
      <c r="Z51" s="25">
        <f>'TUSD BE'!$Z$51*'TUSD BE'!$Z$93</f>
        <v>0</v>
      </c>
      <c r="AA51" s="25">
        <f>'TUSD BE'!$AA$51*'TUSD BE'!$AA$93</f>
        <v>0</v>
      </c>
      <c r="AB51" s="25">
        <f>SUM($U$51:$AA$51)</f>
        <v>0</v>
      </c>
      <c r="AC51" s="25">
        <f>'TUSD BE'!$AC$51*'TUSD BE'!$AC$93</f>
        <v>0</v>
      </c>
      <c r="AD51" s="25">
        <f>SUM($AC$51:$AC$51)</f>
        <v>0</v>
      </c>
      <c r="AE51" s="25">
        <f ca="1">$AO$51*$AO$90</f>
        <v>0</v>
      </c>
      <c r="AF51" s="25">
        <f ca="1">$AP$51*$AP$90</f>
        <v>0</v>
      </c>
      <c r="AG51" s="25">
        <f ca="1">SUM($AE$51:$AF$51)</f>
        <v>0</v>
      </c>
      <c r="AH51" s="25">
        <f>'TUSD BE'!$AH$51*'TUSD BE'!$AH$93</f>
        <v>0</v>
      </c>
      <c r="AI51" s="25">
        <f>'TUSD BE'!$AI$51*'TUSD BE'!$AI$93</f>
        <v>0</v>
      </c>
      <c r="AJ51" s="25">
        <f ca="1">'TUSD BE'!$AJ$51*'TUSD BE'!$AJ$93</f>
        <v>0</v>
      </c>
      <c r="AK51" s="25">
        <f ca="1">'TUSD BE'!$AK$51*'TUSD BE'!$AK$93</f>
        <v>0</v>
      </c>
      <c r="AL51" s="25">
        <f ca="1">SUM($AH$51:$AK$51)</f>
        <v>0</v>
      </c>
      <c r="AM51" s="25">
        <f ca="1">SUMIF($L$4:$AL$4,"SUBTOTAL",$L$51:$AL$51)</f>
        <v>-4.36247056088599E-4</v>
      </c>
      <c r="AO51" s="30">
        <f ca="1">+'TUSD BE'!$T$51+'TUSD BE'!$AB$51+'TUSD BE'!$AD$51+'TUSD BE'!$AL$51</f>
        <v>7.6646489310543817</v>
      </c>
      <c r="AP51" s="30">
        <f ca="1">+'TUSD BE'!$T$51+'TUSD BE'!$AB$51+'TUSD BE'!$AD$51+'TUSD BE'!$AL$51</f>
        <v>7.6646489310543817</v>
      </c>
    </row>
    <row r="52" spans="1:42" ht="11.25" customHeight="1" x14ac:dyDescent="0.25">
      <c r="A52" s="119" t="s">
        <v>22</v>
      </c>
      <c r="B52" s="119" t="s">
        <v>37</v>
      </c>
      <c r="C52" s="119" t="s">
        <v>24</v>
      </c>
      <c r="D52" s="119" t="s">
        <v>24</v>
      </c>
      <c r="E52" s="119" t="s">
        <v>25</v>
      </c>
      <c r="F52" s="119" t="s">
        <v>25</v>
      </c>
      <c r="G52" s="21" t="s">
        <v>89</v>
      </c>
      <c r="H52" s="21" t="s">
        <v>88</v>
      </c>
      <c r="I52" s="21">
        <f>'MERCADO TUSD'!$U$49</f>
        <v>253.625</v>
      </c>
      <c r="J52" s="17"/>
      <c r="L52" s="25">
        <f>'TUSD BE'!$L$52*'TUSD BE'!$L$93</f>
        <v>0</v>
      </c>
      <c r="M52" s="25">
        <f>'TUSD BE'!$M$52*'TUSD BE'!$M$93</f>
        <v>-2.7655879255583996E-2</v>
      </c>
      <c r="N52" s="25">
        <f ca="1">'TUSD BE'!$N$52*'TUSD BE'!$N$93</f>
        <v>6.6959397062145139E-4</v>
      </c>
      <c r="O52" s="25">
        <f>'TUSD BE'!$O$52*'TUSD BE'!$O$93</f>
        <v>0</v>
      </c>
      <c r="P52" s="25">
        <f>'TUSD BE'!$P$52*'TUSD BE'!$P$93</f>
        <v>0</v>
      </c>
      <c r="Q52" s="25">
        <f>'TUSD BE'!$Q$52*'TUSD BE'!$Q$93</f>
        <v>-2.0021561294157815</v>
      </c>
      <c r="R52" s="25">
        <f>'TUSD BE'!$R$52*'TUSD BE'!$R$93</f>
        <v>-3.0415214814016535E-3</v>
      </c>
      <c r="S52" s="25">
        <f>'TUSD BE'!$R$52*'TUSD BE'!$S$93</f>
        <v>0</v>
      </c>
      <c r="T52" s="25">
        <f ca="1">SUM($L$52:$S$52)</f>
        <v>-2.0321839361821459</v>
      </c>
      <c r="U52" s="25">
        <f>'TUSD BE'!$U$52*'TUSD BE'!$U$93</f>
        <v>-0.82239918741183027</v>
      </c>
      <c r="V52" s="25">
        <f>'TUSD BE'!$V$52*'TUSD BE'!$V$93</f>
        <v>1.5022009864605237</v>
      </c>
      <c r="W52" s="25">
        <f>'TUSD BE'!$W$52*'TUSD BE'!$W$93</f>
        <v>1.6079238549016855E-2</v>
      </c>
      <c r="X52" s="25">
        <f>'TUSD BE'!$X$52*'TUSD BE'!$X$93</f>
        <v>0</v>
      </c>
      <c r="Y52" s="25">
        <f>'TUSD BE'!$Y$52*'TUSD BE'!$Y$93</f>
        <v>0</v>
      </c>
      <c r="Z52" s="25">
        <f>'TUSD BE'!$Z$52*'TUSD BE'!$Z$93</f>
        <v>0</v>
      </c>
      <c r="AA52" s="25">
        <f>'TUSD BE'!$AA$52*'TUSD BE'!$AA$93</f>
        <v>0</v>
      </c>
      <c r="AB52" s="25">
        <f>SUM($U$52:$AA$52)</f>
        <v>0.69588103759771025</v>
      </c>
      <c r="AC52" s="25">
        <f>'TUSD BE'!$AC$52*'TUSD BE'!$AC$93</f>
        <v>0</v>
      </c>
      <c r="AD52" s="25">
        <f>SUM($AC$52:$AC$52)</f>
        <v>0</v>
      </c>
      <c r="AE52" s="25">
        <f ca="1">$AO$52*$AO$90</f>
        <v>0</v>
      </c>
      <c r="AF52" s="25">
        <f ca="1">$AP$52*$AP$90</f>
        <v>0</v>
      </c>
      <c r="AG52" s="25">
        <f ca="1">SUM($AE$52:$AF$52)</f>
        <v>0</v>
      </c>
      <c r="AH52" s="25">
        <f>'TUSD BE'!$AH$52*'TUSD BE'!$AH$93</f>
        <v>-4.3481403756889812</v>
      </c>
      <c r="AI52" s="25">
        <f>'TUSD BE'!$AI$52*'TUSD BE'!$AI$93</f>
        <v>-0.16343940263048512</v>
      </c>
      <c r="AJ52" s="25">
        <f ca="1">'TUSD BE'!$AJ$52*'TUSD BE'!$AJ$93</f>
        <v>-2.048091626191018</v>
      </c>
      <c r="AK52" s="25">
        <f ca="1">'TUSD BE'!$AK$52*'TUSD BE'!$AK$93</f>
        <v>4.4214739047918873E-2</v>
      </c>
      <c r="AL52" s="25">
        <f ca="1">SUM($AH$52:$AK$52)</f>
        <v>-6.5154566654625645</v>
      </c>
      <c r="AM52" s="25">
        <f ca="1">SUMIF($L$4:$AL$4,"SUBTOTAL",$L$52:$AL$52)</f>
        <v>-7.8517595640470006</v>
      </c>
      <c r="AO52" s="30">
        <f ca="1">+'TUSD BE'!$T$52+'TUSD BE'!$AB$52+'TUSD BE'!$AD$52+'TUSD BE'!$AL$52</f>
        <v>561.60176496629185</v>
      </c>
      <c r="AP52" s="30">
        <f ca="1">+'TUSD BE'!$T$52+'TUSD BE'!$AB$52+'TUSD BE'!$AD$52+'TUSD BE'!$AL$52</f>
        <v>561.60176496629185</v>
      </c>
    </row>
    <row r="53" spans="1:42" ht="11.25" customHeight="1" x14ac:dyDescent="0.25">
      <c r="A53" s="119"/>
      <c r="B53" s="119"/>
      <c r="C53" s="119"/>
      <c r="D53" s="119"/>
      <c r="E53" s="119"/>
      <c r="F53" s="119"/>
      <c r="G53" s="21" t="s">
        <v>100</v>
      </c>
      <c r="H53" s="21" t="s">
        <v>88</v>
      </c>
      <c r="I53" s="21">
        <f>'MERCADO TUSD'!$U$50</f>
        <v>165.69400000000005</v>
      </c>
      <c r="J53" s="17"/>
      <c r="L53" s="25">
        <f>'TUSD BE'!$L$53*'TUSD BE'!$L$93</f>
        <v>0</v>
      </c>
      <c r="M53" s="25">
        <f>'TUSD BE'!$M$53*'TUSD BE'!$M$93</f>
        <v>-2.7655879255583996E-2</v>
      </c>
      <c r="N53" s="25">
        <f ca="1">'TUSD BE'!$N$53*'TUSD BE'!$N$93</f>
        <v>4.4520068761262063E-4</v>
      </c>
      <c r="O53" s="25">
        <f>'TUSD BE'!$O$53*'TUSD BE'!$O$93</f>
        <v>0</v>
      </c>
      <c r="P53" s="25">
        <f>'TUSD BE'!$P$53*'TUSD BE'!$P$93</f>
        <v>0</v>
      </c>
      <c r="Q53" s="25">
        <f>'TUSD BE'!$Q$53*'TUSD BE'!$Q$93</f>
        <v>-2.0021561294157815</v>
      </c>
      <c r="R53" s="25">
        <f>'TUSD BE'!$R$53*'TUSD BE'!$R$93</f>
        <v>-3.0415214814016535E-3</v>
      </c>
      <c r="S53" s="25">
        <f>'TUSD BE'!$R$53*'TUSD BE'!$S$93</f>
        <v>0</v>
      </c>
      <c r="T53" s="25">
        <f ca="1">SUM($L$53:$S$53)</f>
        <v>-2.0324083294651545</v>
      </c>
      <c r="U53" s="25">
        <f>'TUSD BE'!$U$53*'TUSD BE'!$U$93</f>
        <v>-0.49343675273371596</v>
      </c>
      <c r="V53" s="25">
        <f>'TUSD BE'!$V$53*'TUSD BE'!$V$93</f>
        <v>0.90132524099810207</v>
      </c>
      <c r="W53" s="25">
        <f>'TUSD BE'!$W$53*'TUSD BE'!$W$93</f>
        <v>9.6470356577816139E-3</v>
      </c>
      <c r="X53" s="25">
        <f>'TUSD BE'!$X$53*'TUSD BE'!$X$93</f>
        <v>0</v>
      </c>
      <c r="Y53" s="25">
        <f>'TUSD BE'!$Y$53*'TUSD BE'!$Y$93</f>
        <v>0</v>
      </c>
      <c r="Z53" s="25">
        <f>'TUSD BE'!$Z$53*'TUSD BE'!$Z$93</f>
        <v>0</v>
      </c>
      <c r="AA53" s="25">
        <f>'TUSD BE'!$AA$53*'TUSD BE'!$AA$93</f>
        <v>0</v>
      </c>
      <c r="AB53" s="25">
        <f>SUM($U$53:$AA$53)</f>
        <v>0.41753552392216775</v>
      </c>
      <c r="AC53" s="25">
        <f>'TUSD BE'!$AC$53*'TUSD BE'!$AC$93</f>
        <v>0</v>
      </c>
      <c r="AD53" s="25">
        <f>SUM($AC$53:$AC$53)</f>
        <v>0</v>
      </c>
      <c r="AE53" s="25">
        <f ca="1">$AO$53*$AO$90</f>
        <v>0</v>
      </c>
      <c r="AF53" s="25">
        <f ca="1">$AP$53*$AP$90</f>
        <v>0</v>
      </c>
      <c r="AG53" s="25">
        <f ca="1">SUM($AE$53:$AF$53)</f>
        <v>0</v>
      </c>
      <c r="AH53" s="25">
        <f>'TUSD BE'!$AH$53*'TUSD BE'!$AH$93</f>
        <v>-4.3481403756889812</v>
      </c>
      <c r="AI53" s="25">
        <f>'TUSD BE'!$AI$53*'TUSD BE'!$AI$93</f>
        <v>-0.16343940263048512</v>
      </c>
      <c r="AJ53" s="25">
        <f ca="1">'TUSD BE'!$AJ$53*'TUSD BE'!$AJ$93</f>
        <v>-2.048091626191018</v>
      </c>
      <c r="AK53" s="25">
        <f ca="1">'TUSD BE'!$AK$53*'TUSD BE'!$AK$93</f>
        <v>4.4214739047918873E-2</v>
      </c>
      <c r="AL53" s="25">
        <f ca="1">SUM($AH$53:$AK$53)</f>
        <v>-6.5154566654625645</v>
      </c>
      <c r="AM53" s="25">
        <f ca="1">SUMIF($L$4:$AL$4,"SUBTOTAL",$L$53:$AL$53)</f>
        <v>-8.1303294710055507</v>
      </c>
      <c r="AO53" s="30">
        <f ca="1">+'TUSD BE'!$T$53+'TUSD BE'!$AB$53+'TUSD BE'!$AD$53+'TUSD BE'!$AL$53</f>
        <v>381.08364826293121</v>
      </c>
      <c r="AP53" s="30">
        <f ca="1">+'TUSD BE'!$T$53+'TUSD BE'!$AB$53+'TUSD BE'!$AD$53+'TUSD BE'!$AL$53</f>
        <v>381.08364826293121</v>
      </c>
    </row>
    <row r="54" spans="1:42" ht="11.25" customHeight="1" x14ac:dyDescent="0.25">
      <c r="A54" s="119"/>
      <c r="B54" s="119"/>
      <c r="C54" s="119"/>
      <c r="D54" s="119"/>
      <c r="E54" s="119"/>
      <c r="F54" s="119"/>
      <c r="G54" s="21" t="s">
        <v>90</v>
      </c>
      <c r="H54" s="21" t="s">
        <v>88</v>
      </c>
      <c r="I54" s="21">
        <f>'MERCADO TUSD'!$U$51</f>
        <v>2116.5709999999999</v>
      </c>
      <c r="J54" s="17"/>
      <c r="L54" s="25">
        <f>'TUSD BE'!$L$54*'TUSD BE'!$L$93</f>
        <v>0</v>
      </c>
      <c r="M54" s="25">
        <f>'TUSD BE'!$M$54*'TUSD BE'!$M$93</f>
        <v>-2.7655879255583996E-2</v>
      </c>
      <c r="N54" s="25">
        <f ca="1">'TUSD BE'!$N$54*'TUSD BE'!$N$93</f>
        <v>2.2080759926931183E-4</v>
      </c>
      <c r="O54" s="25">
        <f>'TUSD BE'!$O$54*'TUSD BE'!$O$93</f>
        <v>0</v>
      </c>
      <c r="P54" s="25">
        <f>'TUSD BE'!$P$54*'TUSD BE'!$P$93</f>
        <v>0</v>
      </c>
      <c r="Q54" s="25">
        <f>'TUSD BE'!$Q$54*'TUSD BE'!$Q$93</f>
        <v>-2.0021561294157815</v>
      </c>
      <c r="R54" s="25">
        <f>'TUSD BE'!$R$54*'TUSD BE'!$R$93</f>
        <v>-3.0415214814016535E-3</v>
      </c>
      <c r="S54" s="25">
        <f>'TUSD BE'!$R$54*'TUSD BE'!$S$93</f>
        <v>0</v>
      </c>
      <c r="T54" s="25">
        <f ca="1">SUM($L$54:$S$54)</f>
        <v>-2.0326327225534979</v>
      </c>
      <c r="U54" s="25">
        <f>'TUSD BE'!$U$54*'TUSD BE'!$U$93</f>
        <v>-0.16447891757790534</v>
      </c>
      <c r="V54" s="25">
        <f>'TUSD BE'!$V$54*'TUSD BE'!$V$93</f>
        <v>0.30044949553568029</v>
      </c>
      <c r="W54" s="25">
        <f>'TUSD BE'!$W$54*'TUSD BE'!$W$93</f>
        <v>3.2148327665463714E-3</v>
      </c>
      <c r="X54" s="25">
        <f>'TUSD BE'!$X$54*'TUSD BE'!$X$93</f>
        <v>0</v>
      </c>
      <c r="Y54" s="25">
        <f>'TUSD BE'!$Y$54*'TUSD BE'!$Y$93</f>
        <v>0</v>
      </c>
      <c r="Z54" s="25">
        <f>'TUSD BE'!$Z$54*'TUSD BE'!$Z$93</f>
        <v>0</v>
      </c>
      <c r="AA54" s="25">
        <f>'TUSD BE'!$AA$54*'TUSD BE'!$AA$93</f>
        <v>0</v>
      </c>
      <c r="AB54" s="25">
        <f>SUM($U$54:$AA$54)</f>
        <v>0.13918541072432133</v>
      </c>
      <c r="AC54" s="25">
        <f>'TUSD BE'!$AC$54*'TUSD BE'!$AC$93</f>
        <v>0</v>
      </c>
      <c r="AD54" s="25">
        <f>SUM($AC$54:$AC$54)</f>
        <v>0</v>
      </c>
      <c r="AE54" s="25">
        <f ca="1">$AO$54*$AO$90</f>
        <v>0</v>
      </c>
      <c r="AF54" s="25">
        <f ca="1">$AP$54*$AP$90</f>
        <v>0</v>
      </c>
      <c r="AG54" s="25">
        <f ca="1">SUM($AE$54:$AF$54)</f>
        <v>0</v>
      </c>
      <c r="AH54" s="25">
        <f>'TUSD BE'!$AH$54*'TUSD BE'!$AH$93</f>
        <v>-4.3481403756889812</v>
      </c>
      <c r="AI54" s="25">
        <f>'TUSD BE'!$AI$54*'TUSD BE'!$AI$93</f>
        <v>-0.16343940263048512</v>
      </c>
      <c r="AJ54" s="25">
        <f ca="1">'TUSD BE'!$AJ$54*'TUSD BE'!$AJ$93</f>
        <v>-2.048091626191018</v>
      </c>
      <c r="AK54" s="25">
        <f ca="1">'TUSD BE'!$AK$54*'TUSD BE'!$AK$93</f>
        <v>4.4214739047918873E-2</v>
      </c>
      <c r="AL54" s="25">
        <f ca="1">SUM($AH$54:$AK$54)</f>
        <v>-6.5154566654625645</v>
      </c>
      <c r="AM54" s="25">
        <f ca="1">SUMIF($L$4:$AL$4,"SUBTOTAL",$L$54:$AL$54)</f>
        <v>-8.4089039772917413</v>
      </c>
      <c r="AO54" s="30">
        <f ca="1">+'TUSD BE'!$T$54+'TUSD BE'!$AB$54+'TUSD BE'!$AD$54+'TUSD BE'!$AL$54</f>
        <v>200.56616188476102</v>
      </c>
      <c r="AP54" s="30">
        <f ca="1">+'TUSD BE'!$T$54+'TUSD BE'!$AB$54+'TUSD BE'!$AD$54+'TUSD BE'!$AL$54</f>
        <v>200.56616188476102</v>
      </c>
    </row>
    <row r="55" spans="1:42" ht="11.25" customHeight="1" x14ac:dyDescent="0.25">
      <c r="A55" s="119"/>
      <c r="B55" s="119" t="s">
        <v>23</v>
      </c>
      <c r="C55" s="119" t="s">
        <v>24</v>
      </c>
      <c r="D55" s="28" t="s">
        <v>24</v>
      </c>
      <c r="E55" s="28" t="s">
        <v>25</v>
      </c>
      <c r="F55" s="28" t="s">
        <v>25</v>
      </c>
      <c r="G55" s="21" t="s">
        <v>94</v>
      </c>
      <c r="H55" s="21" t="s">
        <v>88</v>
      </c>
      <c r="I55" s="21">
        <f>'MERCADO TUSD'!$U$52</f>
        <v>2322476.7919999999</v>
      </c>
      <c r="J55" s="17"/>
      <c r="L55" s="25">
        <f>'TUSD BE'!$L$55*'TUSD BE'!$L$93</f>
        <v>0</v>
      </c>
      <c r="M55" s="25">
        <f>'TUSD BE'!$M$55*'TUSD BE'!$M$93</f>
        <v>-2.7655879255583996E-2</v>
      </c>
      <c r="N55" s="25">
        <f ca="1">'TUSD BE'!$N$55*'TUSD BE'!$N$93</f>
        <v>3.0544719483682954E-4</v>
      </c>
      <c r="O55" s="25">
        <f>'TUSD BE'!$O$55*'TUSD BE'!$O$93</f>
        <v>0</v>
      </c>
      <c r="P55" s="25">
        <f>'TUSD BE'!$P$55*'TUSD BE'!$P$93</f>
        <v>0</v>
      </c>
      <c r="Q55" s="25">
        <f>'TUSD BE'!$Q$55*'TUSD BE'!$Q$93</f>
        <v>-2.0021561294157815</v>
      </c>
      <c r="R55" s="25">
        <f>'TUSD BE'!$R$55*'TUSD BE'!$R$93</f>
        <v>-3.0415214814016535E-3</v>
      </c>
      <c r="S55" s="25">
        <f>'TUSD BE'!$R$55*'TUSD BE'!$S$93</f>
        <v>0</v>
      </c>
      <c r="T55" s="25">
        <f ca="1">SUM($L$55:$S$55)</f>
        <v>-2.0325480829579305</v>
      </c>
      <c r="U55" s="25">
        <f>'TUSD BE'!$U$55*'TUSD BE'!$U$93</f>
        <v>-0.28856023076300463</v>
      </c>
      <c r="V55" s="25">
        <f>'TUSD BE'!$V$55*'TUSD BE'!$V$93</f>
        <v>0.52709418269025543</v>
      </c>
      <c r="W55" s="25">
        <f>'TUSD BE'!$W$55*'TUSD BE'!$W$93</f>
        <v>5.6405471507755198E-3</v>
      </c>
      <c r="X55" s="25">
        <f>'TUSD BE'!$X$55*'TUSD BE'!$X$93</f>
        <v>0</v>
      </c>
      <c r="Y55" s="25">
        <f>'TUSD BE'!$Y$55*'TUSD BE'!$Y$93</f>
        <v>0</v>
      </c>
      <c r="Z55" s="25">
        <f>'TUSD BE'!$Z$55*'TUSD BE'!$Z$93</f>
        <v>0</v>
      </c>
      <c r="AA55" s="25">
        <f>'TUSD BE'!$AA$55*'TUSD BE'!$AA$93</f>
        <v>0</v>
      </c>
      <c r="AB55" s="25">
        <f>SUM($U$55:$AA$55)</f>
        <v>0.24417449907802632</v>
      </c>
      <c r="AC55" s="25">
        <f>'TUSD BE'!$AC$55*'TUSD BE'!$AC$93</f>
        <v>0</v>
      </c>
      <c r="AD55" s="25">
        <f>SUM($AC$55:$AC$55)</f>
        <v>0</v>
      </c>
      <c r="AE55" s="25">
        <f ca="1">$AO$55*$AO$90</f>
        <v>0</v>
      </c>
      <c r="AF55" s="25">
        <f ca="1">$AP$55*$AP$90</f>
        <v>0</v>
      </c>
      <c r="AG55" s="25">
        <f ca="1">SUM($AE$55:$AF$55)</f>
        <v>0</v>
      </c>
      <c r="AH55" s="25">
        <f>'TUSD BE'!$AH$55*'TUSD BE'!$AH$93</f>
        <v>-4.3481403756889812</v>
      </c>
      <c r="AI55" s="25">
        <f>'TUSD BE'!$AI$55*'TUSD BE'!$AI$93</f>
        <v>-0.16343940263048512</v>
      </c>
      <c r="AJ55" s="25">
        <f ca="1">'TUSD BE'!$AJ$55*'TUSD BE'!$AJ$93</f>
        <v>-2.048091626191018</v>
      </c>
      <c r="AK55" s="25">
        <f ca="1">'TUSD BE'!$AK$55*'TUSD BE'!$AK$93</f>
        <v>4.4214739047918873E-2</v>
      </c>
      <c r="AL55" s="25">
        <f ca="1">SUM($AH$55:$AK$55)</f>
        <v>-6.5154566654625645</v>
      </c>
      <c r="AM55" s="25">
        <f ca="1">SUMIF($L$4:$AL$4,"SUBTOTAL",$L$55:$AL$55)</f>
        <v>-8.3038302493424681</v>
      </c>
      <c r="AO55" s="30">
        <f ca="1">+'TUSD BE'!$T$55+'TUSD BE'!$AB$55+'TUSD BE'!$AD$55+'TUSD BE'!$AL$55</f>
        <v>268.65612143694341</v>
      </c>
      <c r="AP55" s="30">
        <f ca="1">+'TUSD BE'!$T$55+'TUSD BE'!$AB$55+'TUSD BE'!$AD$55+'TUSD BE'!$AL$55</f>
        <v>268.65612143694341</v>
      </c>
    </row>
    <row r="56" spans="1:42" ht="11.25" customHeight="1" x14ac:dyDescent="0.25">
      <c r="A56" s="119"/>
      <c r="B56" s="119"/>
      <c r="C56" s="119"/>
      <c r="D56" s="28" t="s">
        <v>29</v>
      </c>
      <c r="E56" s="28" t="s">
        <v>25</v>
      </c>
      <c r="F56" s="28" t="s">
        <v>25</v>
      </c>
      <c r="G56" s="21" t="s">
        <v>94</v>
      </c>
      <c r="H56" s="21" t="s">
        <v>88</v>
      </c>
      <c r="I56" s="21">
        <f>'MERCADO TUSD'!$U$53</f>
        <v>3506.9700000000003</v>
      </c>
      <c r="J56" s="17"/>
      <c r="L56" s="25">
        <f>'TUSD BE'!$L$56*'TUSD BE'!$L$93</f>
        <v>0</v>
      </c>
      <c r="M56" s="25">
        <f>'TUSD BE'!$M$56*'TUSD BE'!$M$93</f>
        <v>-2.7655879255583996E-2</v>
      </c>
      <c r="N56" s="25">
        <f ca="1">'TUSD BE'!$N$56*'TUSD BE'!$N$93</f>
        <v>3.0350053961845035E-4</v>
      </c>
      <c r="O56" s="25">
        <f>'TUSD BE'!$O$56*'TUSD BE'!$O$93</f>
        <v>0</v>
      </c>
      <c r="P56" s="25">
        <f>'TUSD BE'!$P$56*'TUSD BE'!$P$93</f>
        <v>0</v>
      </c>
      <c r="Q56" s="25">
        <f>'TUSD BE'!$Q$56*'TUSD BE'!$Q$93</f>
        <v>0</v>
      </c>
      <c r="R56" s="25">
        <f>'TUSD BE'!$R$56*'TUSD BE'!$R$93</f>
        <v>0</v>
      </c>
      <c r="S56" s="25">
        <f>'TUSD BE'!$R$56*'TUSD BE'!$S$93</f>
        <v>0</v>
      </c>
      <c r="T56" s="25">
        <f ca="1">SUM($L$56:$S$56)</f>
        <v>-2.7352378715965547E-2</v>
      </c>
      <c r="U56" s="25">
        <f>'TUSD BE'!$U$56*'TUSD BE'!$U$93</f>
        <v>-0.28856023076300463</v>
      </c>
      <c r="V56" s="25">
        <f>'TUSD BE'!$V$56*'TUSD BE'!$V$93</f>
        <v>0.52709418269025543</v>
      </c>
      <c r="W56" s="25">
        <f>'TUSD BE'!$W$56*'TUSD BE'!$W$93</f>
        <v>5.6405471507755198E-3</v>
      </c>
      <c r="X56" s="25">
        <f>'TUSD BE'!$X$56*'TUSD BE'!$X$93</f>
        <v>0</v>
      </c>
      <c r="Y56" s="25">
        <f>'TUSD BE'!$Y$56*'TUSD BE'!$Y$93</f>
        <v>0</v>
      </c>
      <c r="Z56" s="25">
        <f>'TUSD BE'!$Z$56*'TUSD BE'!$Z$93</f>
        <v>0</v>
      </c>
      <c r="AA56" s="25">
        <f>'TUSD BE'!$AA$56*'TUSD BE'!$AA$93</f>
        <v>0</v>
      </c>
      <c r="AB56" s="25">
        <f>SUM($U$56:$AA$56)</f>
        <v>0.24417449907802632</v>
      </c>
      <c r="AC56" s="25">
        <f>'TUSD BE'!$AC$56*'TUSD BE'!$AC$93</f>
        <v>0</v>
      </c>
      <c r="AD56" s="25">
        <f>SUM($AC$56:$AC$56)</f>
        <v>0</v>
      </c>
      <c r="AE56" s="25">
        <f ca="1">$AO$56*$AO$90</f>
        <v>0</v>
      </c>
      <c r="AF56" s="25">
        <f ca="1">$AP$56*$AP$90</f>
        <v>0</v>
      </c>
      <c r="AG56" s="25">
        <f ca="1">SUM($AE$56:$AF$56)</f>
        <v>0</v>
      </c>
      <c r="AH56" s="25">
        <f>'TUSD BE'!$AH$56*'TUSD BE'!$AH$93</f>
        <v>-4.3481403756889812</v>
      </c>
      <c r="AI56" s="25">
        <f>'TUSD BE'!$AI$56*'TUSD BE'!$AI$93</f>
        <v>-0.16343940263048512</v>
      </c>
      <c r="AJ56" s="25">
        <f ca="1">'TUSD BE'!$AJ$56*'TUSD BE'!$AJ$93</f>
        <v>-2.048091626191018</v>
      </c>
      <c r="AK56" s="25">
        <f ca="1">'TUSD BE'!$AK$56*'TUSD BE'!$AK$93</f>
        <v>4.4214739047918873E-2</v>
      </c>
      <c r="AL56" s="25">
        <f ca="1">SUM($AH$56:$AK$56)</f>
        <v>-6.5154566654625645</v>
      </c>
      <c r="AM56" s="25">
        <f ca="1">SUMIF($L$4:$AL$4,"SUBTOTAL",$L$56:$AL$56)</f>
        <v>-6.2986345451005041</v>
      </c>
      <c r="AO56" s="30">
        <f ca="1">+'TUSD BE'!$T$56+'TUSD BE'!$AB$56+'TUSD BE'!$AD$56+'TUSD BE'!$AL$56</f>
        <v>199.17411459243684</v>
      </c>
      <c r="AP56" s="30">
        <f ca="1">+'TUSD BE'!$T$56+'TUSD BE'!$AB$56+'TUSD BE'!$AD$56+'TUSD BE'!$AL$56</f>
        <v>199.17411459243684</v>
      </c>
    </row>
    <row r="57" spans="1:42" ht="11.25" customHeight="1" x14ac:dyDescent="0.25">
      <c r="A57" s="119"/>
      <c r="B57" s="119"/>
      <c r="C57" s="119"/>
      <c r="D57" s="28" t="s">
        <v>30</v>
      </c>
      <c r="E57" s="28" t="s">
        <v>25</v>
      </c>
      <c r="F57" s="28" t="s">
        <v>25</v>
      </c>
      <c r="G57" s="21" t="s">
        <v>94</v>
      </c>
      <c r="H57" s="21" t="s">
        <v>88</v>
      </c>
      <c r="I57" s="21">
        <f>'MERCADO TUSD'!$U$54</f>
        <v>7395.655999999999</v>
      </c>
      <c r="J57" s="17"/>
      <c r="L57" s="25">
        <f>'TUSD BE'!$L$57*'TUSD BE'!$L$93</f>
        <v>0</v>
      </c>
      <c r="M57" s="25">
        <f>'TUSD BE'!$M$57*'TUSD BE'!$M$93</f>
        <v>-2.7655879255583996E-2</v>
      </c>
      <c r="N57" s="25">
        <f ca="1">'TUSD BE'!$N$57*'TUSD BE'!$N$93</f>
        <v>3.0350053961845035E-4</v>
      </c>
      <c r="O57" s="25">
        <f>'TUSD BE'!$O$57*'TUSD BE'!$O$93</f>
        <v>0</v>
      </c>
      <c r="P57" s="25">
        <f>'TUSD BE'!$P$57*'TUSD BE'!$P$93</f>
        <v>0</v>
      </c>
      <c r="Q57" s="25">
        <f>'TUSD BE'!$Q$57*'TUSD BE'!$Q$93</f>
        <v>0</v>
      </c>
      <c r="R57" s="25">
        <f>'TUSD BE'!$R$57*'TUSD BE'!$R$93</f>
        <v>0</v>
      </c>
      <c r="S57" s="25">
        <f>'TUSD BE'!$R$57*'TUSD BE'!$S$93</f>
        <v>0</v>
      </c>
      <c r="T57" s="25">
        <f ca="1">SUM($L$57:$S$57)</f>
        <v>-2.7352378715965547E-2</v>
      </c>
      <c r="U57" s="25">
        <f>'TUSD BE'!$U$57*'TUSD BE'!$U$93</f>
        <v>-0.28856023076300463</v>
      </c>
      <c r="V57" s="25">
        <f>'TUSD BE'!$V$57*'TUSD BE'!$V$93</f>
        <v>0.52709418269025543</v>
      </c>
      <c r="W57" s="25">
        <f>'TUSD BE'!$W$57*'TUSD BE'!$W$93</f>
        <v>5.6405471507755198E-3</v>
      </c>
      <c r="X57" s="25">
        <f>'TUSD BE'!$X$57*'TUSD BE'!$X$93</f>
        <v>0</v>
      </c>
      <c r="Y57" s="25">
        <f>'TUSD BE'!$Y$57*'TUSD BE'!$Y$93</f>
        <v>0</v>
      </c>
      <c r="Z57" s="25">
        <f>'TUSD BE'!$Z$57*'TUSD BE'!$Z$93</f>
        <v>0</v>
      </c>
      <c r="AA57" s="25">
        <f>'TUSD BE'!$AA$57*'TUSD BE'!$AA$93</f>
        <v>0</v>
      </c>
      <c r="AB57" s="25">
        <f>SUM($U$57:$AA$57)</f>
        <v>0.24417449907802632</v>
      </c>
      <c r="AC57" s="25">
        <f>'TUSD BE'!$AC$57*'TUSD BE'!$AC$93</f>
        <v>0</v>
      </c>
      <c r="AD57" s="25">
        <f>SUM($AC$57:$AC$57)</f>
        <v>0</v>
      </c>
      <c r="AE57" s="25">
        <f ca="1">$AO$57*$AO$90</f>
        <v>0</v>
      </c>
      <c r="AF57" s="25">
        <f ca="1">$AP$57*$AP$90</f>
        <v>0</v>
      </c>
      <c r="AG57" s="25">
        <f ca="1">SUM($AE$57:$AF$57)</f>
        <v>0</v>
      </c>
      <c r="AH57" s="25">
        <f>'TUSD BE'!$AH$57*'TUSD BE'!$AH$93</f>
        <v>-4.3481403756889812</v>
      </c>
      <c r="AI57" s="25">
        <f>'TUSD BE'!$AI$57*'TUSD BE'!$AI$93</f>
        <v>-0.16343940263048512</v>
      </c>
      <c r="AJ57" s="25">
        <f ca="1">'TUSD BE'!$AJ$57*'TUSD BE'!$AJ$93</f>
        <v>-2.048091626191018</v>
      </c>
      <c r="AK57" s="25">
        <f ca="1">'TUSD BE'!$AK$57*'TUSD BE'!$AK$93</f>
        <v>4.4214739047918873E-2</v>
      </c>
      <c r="AL57" s="25">
        <f ca="1">SUM($AH$57:$AK$57)</f>
        <v>-6.5154566654625645</v>
      </c>
      <c r="AM57" s="25">
        <f ca="1">SUMIF($L$4:$AL$4,"SUBTOTAL",$L$57:$AL$57)</f>
        <v>-6.2986345451005041</v>
      </c>
      <c r="AO57" s="30">
        <f ca="1">+'TUSD BE'!$T$57+'TUSD BE'!$AB$57+'TUSD BE'!$AD$57+'TUSD BE'!$AL$57</f>
        <v>199.17411459243684</v>
      </c>
      <c r="AP57" s="30">
        <f ca="1">+'TUSD BE'!$T$57+'TUSD BE'!$AB$57+'TUSD BE'!$AD$57+'TUSD BE'!$AL$57</f>
        <v>199.17411459243684</v>
      </c>
    </row>
    <row r="58" spans="1:42" ht="11.25" customHeight="1" x14ac:dyDescent="0.25">
      <c r="A58" s="119"/>
      <c r="B58" s="119"/>
      <c r="C58" s="119"/>
      <c r="D58" s="28" t="s">
        <v>31</v>
      </c>
      <c r="E58" s="28" t="s">
        <v>25</v>
      </c>
      <c r="F58" s="28" t="s">
        <v>25</v>
      </c>
      <c r="G58" s="21" t="s">
        <v>94</v>
      </c>
      <c r="H58" s="21" t="s">
        <v>88</v>
      </c>
      <c r="I58" s="21">
        <f>'MERCADO TUSD'!$U$55</f>
        <v>7295.3609999999999</v>
      </c>
      <c r="J58" s="17"/>
      <c r="L58" s="25">
        <f>'TUSD BE'!$L$58*'TUSD BE'!$L$93</f>
        <v>0</v>
      </c>
      <c r="M58" s="25">
        <f>'TUSD BE'!$M$58*'TUSD BE'!$M$93</f>
        <v>-2.7655879255583996E-2</v>
      </c>
      <c r="N58" s="25">
        <f ca="1">'TUSD BE'!$N$58*'TUSD BE'!$N$93</f>
        <v>3.0350053961845035E-4</v>
      </c>
      <c r="O58" s="25">
        <f>'TUSD BE'!$O$58*'TUSD BE'!$O$93</f>
        <v>0</v>
      </c>
      <c r="P58" s="25">
        <f>'TUSD BE'!$P$58*'TUSD BE'!$P$93</f>
        <v>0</v>
      </c>
      <c r="Q58" s="25">
        <f>'TUSD BE'!$Q$58*'TUSD BE'!$Q$93</f>
        <v>0</v>
      </c>
      <c r="R58" s="25">
        <f>'TUSD BE'!$R$58*'TUSD BE'!$R$93</f>
        <v>0</v>
      </c>
      <c r="S58" s="25">
        <f>'TUSD BE'!$R$58*'TUSD BE'!$S$93</f>
        <v>0</v>
      </c>
      <c r="T58" s="25">
        <f ca="1">SUM($L$58:$S$58)</f>
        <v>-2.7352378715965547E-2</v>
      </c>
      <c r="U58" s="25">
        <f>'TUSD BE'!$U$58*'TUSD BE'!$U$93</f>
        <v>-0.28856023076300463</v>
      </c>
      <c r="V58" s="25">
        <f>'TUSD BE'!$V$58*'TUSD BE'!$V$93</f>
        <v>0.52709418269025543</v>
      </c>
      <c r="W58" s="25">
        <f>'TUSD BE'!$W$58*'TUSD BE'!$W$93</f>
        <v>5.6405471507755198E-3</v>
      </c>
      <c r="X58" s="25">
        <f>'TUSD BE'!$X$58*'TUSD BE'!$X$93</f>
        <v>0</v>
      </c>
      <c r="Y58" s="25">
        <f>'TUSD BE'!$Y$58*'TUSD BE'!$Y$93</f>
        <v>0</v>
      </c>
      <c r="Z58" s="25">
        <f>'TUSD BE'!$Z$58*'TUSD BE'!$Z$93</f>
        <v>0</v>
      </c>
      <c r="AA58" s="25">
        <f>'TUSD BE'!$AA$58*'TUSD BE'!$AA$93</f>
        <v>0</v>
      </c>
      <c r="AB58" s="25">
        <f>SUM($U$58:$AA$58)</f>
        <v>0.24417449907802632</v>
      </c>
      <c r="AC58" s="25">
        <f>'TUSD BE'!$AC$58*'TUSD BE'!$AC$93</f>
        <v>0</v>
      </c>
      <c r="AD58" s="25">
        <f>SUM($AC$58:$AC$58)</f>
        <v>0</v>
      </c>
      <c r="AE58" s="25">
        <f ca="1">$AO$58*$AO$90</f>
        <v>0</v>
      </c>
      <c r="AF58" s="25">
        <f ca="1">$AP$58*$AP$90</f>
        <v>0</v>
      </c>
      <c r="AG58" s="25">
        <f ca="1">SUM($AE$58:$AF$58)</f>
        <v>0</v>
      </c>
      <c r="AH58" s="25">
        <f>'TUSD BE'!$AH$58*'TUSD BE'!$AH$93</f>
        <v>-4.3481403756889812</v>
      </c>
      <c r="AI58" s="25">
        <f>'TUSD BE'!$AI$58*'TUSD BE'!$AI$93</f>
        <v>-0.16343940263048512</v>
      </c>
      <c r="AJ58" s="25">
        <f ca="1">'TUSD BE'!$AJ$58*'TUSD BE'!$AJ$93</f>
        <v>-2.048091626191018</v>
      </c>
      <c r="AK58" s="25">
        <f ca="1">'TUSD BE'!$AK$58*'TUSD BE'!$AK$93</f>
        <v>4.4214739047918873E-2</v>
      </c>
      <c r="AL58" s="25">
        <f ca="1">SUM($AH$58:$AK$58)</f>
        <v>-6.5154566654625645</v>
      </c>
      <c r="AM58" s="25">
        <f ca="1">SUMIF($L$4:$AL$4,"SUBTOTAL",$L$58:$AL$58)</f>
        <v>-6.2986345451005041</v>
      </c>
      <c r="AO58" s="30">
        <f ca="1">+'TUSD BE'!$T$58+'TUSD BE'!$AB$58+'TUSD BE'!$AD$58+'TUSD BE'!$AL$58</f>
        <v>199.17411459243684</v>
      </c>
      <c r="AP58" s="30">
        <f ca="1">+'TUSD BE'!$T$58+'TUSD BE'!$AB$58+'TUSD BE'!$AD$58+'TUSD BE'!$AL$58</f>
        <v>199.17411459243684</v>
      </c>
    </row>
    <row r="59" spans="1:42" ht="11.25" customHeight="1" x14ac:dyDescent="0.25">
      <c r="A59" s="119"/>
      <c r="B59" s="119"/>
      <c r="C59" s="119"/>
      <c r="D59" s="28" t="s">
        <v>32</v>
      </c>
      <c r="E59" s="28" t="s">
        <v>25</v>
      </c>
      <c r="F59" s="28" t="s">
        <v>25</v>
      </c>
      <c r="G59" s="21" t="s">
        <v>94</v>
      </c>
      <c r="H59" s="21" t="s">
        <v>88</v>
      </c>
      <c r="I59" s="21">
        <f>'MERCADO TUSD'!$U$56</f>
        <v>2602.4059999999999</v>
      </c>
      <c r="J59" s="17"/>
      <c r="L59" s="25">
        <f>'TUSD BE'!$L$59*'TUSD BE'!$L$93</f>
        <v>0</v>
      </c>
      <c r="M59" s="25">
        <f>'TUSD BE'!$M$59*'TUSD BE'!$M$93</f>
        <v>-2.7655879255583996E-2</v>
      </c>
      <c r="N59" s="25">
        <f ca="1">'TUSD BE'!$N$59*'TUSD BE'!$N$93</f>
        <v>3.0350053961845035E-4</v>
      </c>
      <c r="O59" s="25">
        <f>'TUSD BE'!$O$59*'TUSD BE'!$O$93</f>
        <v>0</v>
      </c>
      <c r="P59" s="25">
        <f>'TUSD BE'!$P$59*'TUSD BE'!$P$93</f>
        <v>0</v>
      </c>
      <c r="Q59" s="25">
        <f>'TUSD BE'!$Q$59*'TUSD BE'!$Q$93</f>
        <v>0</v>
      </c>
      <c r="R59" s="25">
        <f>'TUSD BE'!$R$59*'TUSD BE'!$R$93</f>
        <v>0</v>
      </c>
      <c r="S59" s="25">
        <f>'TUSD BE'!$R$59*'TUSD BE'!$S$93</f>
        <v>0</v>
      </c>
      <c r="T59" s="25">
        <f ca="1">SUM($L$59:$S$59)</f>
        <v>-2.7352378715965547E-2</v>
      </c>
      <c r="U59" s="25">
        <f>'TUSD BE'!$U$59*'TUSD BE'!$U$93</f>
        <v>-0.28856023076300463</v>
      </c>
      <c r="V59" s="25">
        <f>'TUSD BE'!$V$59*'TUSD BE'!$V$93</f>
        <v>0.52709418269025543</v>
      </c>
      <c r="W59" s="25">
        <f>'TUSD BE'!$W$59*'TUSD BE'!$W$93</f>
        <v>5.6405471507755198E-3</v>
      </c>
      <c r="X59" s="25">
        <f>'TUSD BE'!$X$59*'TUSD BE'!$X$93</f>
        <v>0</v>
      </c>
      <c r="Y59" s="25">
        <f>'TUSD BE'!$Y$59*'TUSD BE'!$Y$93</f>
        <v>0</v>
      </c>
      <c r="Z59" s="25">
        <f>'TUSD BE'!$Z$59*'TUSD BE'!$Z$93</f>
        <v>0</v>
      </c>
      <c r="AA59" s="25">
        <f>'TUSD BE'!$AA$59*'TUSD BE'!$AA$93</f>
        <v>0</v>
      </c>
      <c r="AB59" s="25">
        <f>SUM($U$59:$AA$59)</f>
        <v>0.24417449907802632</v>
      </c>
      <c r="AC59" s="25">
        <f>'TUSD BE'!$AC$59*'TUSD BE'!$AC$93</f>
        <v>0</v>
      </c>
      <c r="AD59" s="25">
        <f>SUM($AC$59:$AC$59)</f>
        <v>0</v>
      </c>
      <c r="AE59" s="25">
        <f ca="1">$AO$59*$AO$90</f>
        <v>0</v>
      </c>
      <c r="AF59" s="25">
        <f ca="1">$AP$59*$AP$90</f>
        <v>0</v>
      </c>
      <c r="AG59" s="25">
        <f ca="1">SUM($AE$59:$AF$59)</f>
        <v>0</v>
      </c>
      <c r="AH59" s="25">
        <f>'TUSD BE'!$AH$59*'TUSD BE'!$AH$93</f>
        <v>-4.3481403756889812</v>
      </c>
      <c r="AI59" s="25">
        <f>'TUSD BE'!$AI$59*'TUSD BE'!$AI$93</f>
        <v>-0.16343940263048512</v>
      </c>
      <c r="AJ59" s="25">
        <f ca="1">'TUSD BE'!$AJ$59*'TUSD BE'!$AJ$93</f>
        <v>-2.048091626191018</v>
      </c>
      <c r="AK59" s="25">
        <f ca="1">'TUSD BE'!$AK$59*'TUSD BE'!$AK$93</f>
        <v>4.4214739047918873E-2</v>
      </c>
      <c r="AL59" s="25">
        <f ca="1">SUM($AH$59:$AK$59)</f>
        <v>-6.5154566654625645</v>
      </c>
      <c r="AM59" s="25">
        <f ca="1">SUMIF($L$4:$AL$4,"SUBTOTAL",$L$59:$AL$59)</f>
        <v>-6.2986345451005041</v>
      </c>
      <c r="AO59" s="30">
        <f ca="1">+'TUSD BE'!$T$59+'TUSD BE'!$AB$59+'TUSD BE'!$AD$59+'TUSD BE'!$AL$59</f>
        <v>199.17411459243684</v>
      </c>
      <c r="AP59" s="30">
        <f ca="1">+'TUSD BE'!$T$59+'TUSD BE'!$AB$59+'TUSD BE'!$AD$59+'TUSD BE'!$AL$59</f>
        <v>199.17411459243684</v>
      </c>
    </row>
    <row r="60" spans="1:42" ht="11.25" customHeight="1" x14ac:dyDescent="0.25">
      <c r="A60" s="119"/>
      <c r="B60" s="119" t="s">
        <v>102</v>
      </c>
      <c r="C60" s="119" t="s">
        <v>24</v>
      </c>
      <c r="D60" s="28" t="s">
        <v>24</v>
      </c>
      <c r="E60" s="28" t="s">
        <v>25</v>
      </c>
      <c r="F60" s="28" t="s">
        <v>25</v>
      </c>
      <c r="G60" s="21" t="s">
        <v>94</v>
      </c>
      <c r="H60" s="21" t="s">
        <v>88</v>
      </c>
      <c r="I60" s="21">
        <f>'MERCADO TUSD'!$U$57</f>
        <v>0</v>
      </c>
      <c r="J60" s="17"/>
      <c r="L60" s="25">
        <f>'TUSD BE'!$L$60*'TUSD BE'!$L$93</f>
        <v>0</v>
      </c>
      <c r="M60" s="25">
        <f>'TUSD BE'!$M$60*'TUSD BE'!$M$93</f>
        <v>-2.7655879255583996E-2</v>
      </c>
      <c r="N60" s="25">
        <f ca="1">'TUSD BE'!$N$60*'TUSD BE'!$N$93</f>
        <v>3.0544719483682954E-4</v>
      </c>
      <c r="O60" s="25">
        <f>'TUSD BE'!$O$60*'TUSD BE'!$O$93</f>
        <v>0</v>
      </c>
      <c r="P60" s="25">
        <f>'TUSD BE'!$P$60*'TUSD BE'!$P$93</f>
        <v>0</v>
      </c>
      <c r="Q60" s="25">
        <f>'TUSD BE'!$Q$60*'TUSD BE'!$Q$93</f>
        <v>-2.0021561294157815</v>
      </c>
      <c r="R60" s="25">
        <f>'TUSD BE'!$R$60*'TUSD BE'!$R$93</f>
        <v>-3.0415214814016535E-3</v>
      </c>
      <c r="S60" s="25">
        <f>'TUSD BE'!$R$60*'TUSD BE'!$S$93</f>
        <v>0</v>
      </c>
      <c r="T60" s="25">
        <f ca="1">SUM($L$60:$S$60)</f>
        <v>-2.0325480829579305</v>
      </c>
      <c r="U60" s="25">
        <f>'TUSD BE'!$U$60*'TUSD BE'!$U$93</f>
        <v>-0.28856023076300463</v>
      </c>
      <c r="V60" s="25">
        <f>'TUSD BE'!$V$60*'TUSD BE'!$V$93</f>
        <v>0.52709418269025543</v>
      </c>
      <c r="W60" s="25">
        <f>'TUSD BE'!$W$60*'TUSD BE'!$W$93</f>
        <v>5.6405471507755198E-3</v>
      </c>
      <c r="X60" s="25">
        <f>'TUSD BE'!$X$60*'TUSD BE'!$X$93</f>
        <v>0</v>
      </c>
      <c r="Y60" s="25">
        <f>'TUSD BE'!$Y$60*'TUSD BE'!$Y$93</f>
        <v>0</v>
      </c>
      <c r="Z60" s="25">
        <f>'TUSD BE'!$Z$60*'TUSD BE'!$Z$93</f>
        <v>0</v>
      </c>
      <c r="AA60" s="25">
        <f>'TUSD BE'!$AA$60*'TUSD BE'!$AA$93</f>
        <v>0</v>
      </c>
      <c r="AB60" s="25">
        <f>SUM($U$60:$AA$60)</f>
        <v>0.24417449907802632</v>
      </c>
      <c r="AC60" s="25">
        <f>'TUSD BE'!$AC$60*'TUSD BE'!$AC$93</f>
        <v>0</v>
      </c>
      <c r="AD60" s="25">
        <f>SUM($AC$60:$AC$60)</f>
        <v>0</v>
      </c>
      <c r="AE60" s="25">
        <f ca="1">$AO$60*$AO$90</f>
        <v>0</v>
      </c>
      <c r="AF60" s="25">
        <f ca="1">$AP$60*$AP$90</f>
        <v>0</v>
      </c>
      <c r="AG60" s="25">
        <f ca="1">SUM($AE$60:$AF$60)</f>
        <v>0</v>
      </c>
      <c r="AH60" s="25">
        <f>'TUSD BE'!$AH$60*'TUSD BE'!$AH$93</f>
        <v>-4.3481403756889812</v>
      </c>
      <c r="AI60" s="25">
        <f>'TUSD BE'!$AI$60*'TUSD BE'!$AI$93</f>
        <v>-0.16343940263048512</v>
      </c>
      <c r="AJ60" s="25">
        <f ca="1">'TUSD BE'!$AJ$60*'TUSD BE'!$AJ$93</f>
        <v>-2.048091626191018</v>
      </c>
      <c r="AK60" s="25">
        <f ca="1">'TUSD BE'!$AK$60*'TUSD BE'!$AK$93</f>
        <v>4.4214739047918873E-2</v>
      </c>
      <c r="AL60" s="25">
        <f ca="1">SUM($AH$60:$AK$60)</f>
        <v>-6.5154566654625645</v>
      </c>
      <c r="AM60" s="25">
        <f ca="1">SUMIF($L$4:$AL$4,"SUBTOTAL",$L$60:$AL$60)</f>
        <v>-8.3038302493424681</v>
      </c>
      <c r="AO60" s="30">
        <f ca="1">+'TUSD BE'!$T$60+'TUSD BE'!$AB$60+'TUSD BE'!$AD$60+'TUSD BE'!$AL$60</f>
        <v>268.65612143694341</v>
      </c>
      <c r="AP60" s="30">
        <f ca="1">+'TUSD BE'!$T$60+'TUSD BE'!$AB$60+'TUSD BE'!$AD$60+'TUSD BE'!$AL$60</f>
        <v>268.65612143694341</v>
      </c>
    </row>
    <row r="61" spans="1:42" ht="11.25" customHeight="1" x14ac:dyDescent="0.25">
      <c r="A61" s="119"/>
      <c r="B61" s="119"/>
      <c r="C61" s="119"/>
      <c r="D61" s="28" t="s">
        <v>29</v>
      </c>
      <c r="E61" s="28" t="s">
        <v>25</v>
      </c>
      <c r="F61" s="28" t="s">
        <v>25</v>
      </c>
      <c r="G61" s="21" t="s">
        <v>94</v>
      </c>
      <c r="H61" s="21" t="s">
        <v>88</v>
      </c>
      <c r="I61" s="21">
        <f>'MERCADO TUSD'!$U$58</f>
        <v>0</v>
      </c>
      <c r="J61" s="17"/>
      <c r="L61" s="25">
        <f>'TUSD BE'!$L$61*'TUSD BE'!$L$93</f>
        <v>0</v>
      </c>
      <c r="M61" s="25">
        <f>'TUSD BE'!$M$61*'TUSD BE'!$M$93</f>
        <v>-2.7655879255583996E-2</v>
      </c>
      <c r="N61" s="25">
        <f ca="1">'TUSD BE'!$N$61*'TUSD BE'!$N$93</f>
        <v>3.0350053961845035E-4</v>
      </c>
      <c r="O61" s="25">
        <f>'TUSD BE'!$O$61*'TUSD BE'!$O$93</f>
        <v>0</v>
      </c>
      <c r="P61" s="25">
        <f>'TUSD BE'!$P$61*'TUSD BE'!$P$93</f>
        <v>0</v>
      </c>
      <c r="Q61" s="25">
        <f>'TUSD BE'!$Q$61*'TUSD BE'!$Q$93</f>
        <v>0</v>
      </c>
      <c r="R61" s="25">
        <f>'TUSD BE'!$R$61*'TUSD BE'!$R$93</f>
        <v>0</v>
      </c>
      <c r="S61" s="25">
        <f>'TUSD BE'!$R$61*'TUSD BE'!$S$93</f>
        <v>0</v>
      </c>
      <c r="T61" s="25">
        <f ca="1">SUM($L$61:$S$61)</f>
        <v>-2.7352378715965547E-2</v>
      </c>
      <c r="U61" s="25">
        <f>'TUSD BE'!$U$61*'TUSD BE'!$U$93</f>
        <v>-0.28856023076300463</v>
      </c>
      <c r="V61" s="25">
        <f>'TUSD BE'!$V$61*'TUSD BE'!$V$93</f>
        <v>0.52709418269025543</v>
      </c>
      <c r="W61" s="25">
        <f>'TUSD BE'!$W$61*'TUSD BE'!$W$93</f>
        <v>5.6405471507755198E-3</v>
      </c>
      <c r="X61" s="25">
        <f>'TUSD BE'!$X$61*'TUSD BE'!$X$93</f>
        <v>0</v>
      </c>
      <c r="Y61" s="25">
        <f>'TUSD BE'!$Y$61*'TUSD BE'!$Y$93</f>
        <v>0</v>
      </c>
      <c r="Z61" s="25">
        <f>'TUSD BE'!$Z$61*'TUSD BE'!$Z$93</f>
        <v>0</v>
      </c>
      <c r="AA61" s="25">
        <f>'TUSD BE'!$AA$61*'TUSD BE'!$AA$93</f>
        <v>0</v>
      </c>
      <c r="AB61" s="25">
        <f>SUM($U$61:$AA$61)</f>
        <v>0.24417449907802632</v>
      </c>
      <c r="AC61" s="25">
        <f>'TUSD BE'!$AC$61*'TUSD BE'!$AC$93</f>
        <v>0</v>
      </c>
      <c r="AD61" s="25">
        <f>SUM($AC$61:$AC$61)</f>
        <v>0</v>
      </c>
      <c r="AE61" s="25">
        <f ca="1">$AO$61*$AO$90</f>
        <v>0</v>
      </c>
      <c r="AF61" s="25">
        <f ca="1">$AP$61*$AP$90</f>
        <v>0</v>
      </c>
      <c r="AG61" s="25">
        <f ca="1">SUM($AE$61:$AF$61)</f>
        <v>0</v>
      </c>
      <c r="AH61" s="25">
        <f>'TUSD BE'!$AH$61*'TUSD BE'!$AH$93</f>
        <v>-4.3481403756889812</v>
      </c>
      <c r="AI61" s="25">
        <f>'TUSD BE'!$AI$61*'TUSD BE'!$AI$93</f>
        <v>-0.16343940263048512</v>
      </c>
      <c r="AJ61" s="25">
        <f ca="1">'TUSD BE'!$AJ$61*'TUSD BE'!$AJ$93</f>
        <v>-2.048091626191018</v>
      </c>
      <c r="AK61" s="25">
        <f ca="1">'TUSD BE'!$AK$61*'TUSD BE'!$AK$93</f>
        <v>4.4214739047918873E-2</v>
      </c>
      <c r="AL61" s="25">
        <f ca="1">SUM($AH$61:$AK$61)</f>
        <v>-6.5154566654625645</v>
      </c>
      <c r="AM61" s="25">
        <f ca="1">SUMIF($L$4:$AL$4,"SUBTOTAL",$L$61:$AL$61)</f>
        <v>-6.2986345451005041</v>
      </c>
      <c r="AO61" s="30">
        <f ca="1">+'TUSD BE'!$T$61+'TUSD BE'!$AB$61+'TUSD BE'!$AD$61+'TUSD BE'!$AL$61</f>
        <v>199.17411459243684</v>
      </c>
      <c r="AP61" s="30">
        <f ca="1">+'TUSD BE'!$T$61+'TUSD BE'!$AB$61+'TUSD BE'!$AD$61+'TUSD BE'!$AL$61</f>
        <v>199.17411459243684</v>
      </c>
    </row>
    <row r="62" spans="1:42" ht="11.25" customHeight="1" x14ac:dyDescent="0.25">
      <c r="A62" s="119"/>
      <c r="B62" s="119"/>
      <c r="C62" s="119"/>
      <c r="D62" s="28" t="s">
        <v>30</v>
      </c>
      <c r="E62" s="28" t="s">
        <v>25</v>
      </c>
      <c r="F62" s="28" t="s">
        <v>25</v>
      </c>
      <c r="G62" s="21" t="s">
        <v>94</v>
      </c>
      <c r="H62" s="21" t="s">
        <v>88</v>
      </c>
      <c r="I62" s="21">
        <f>'MERCADO TUSD'!$U$59</f>
        <v>0</v>
      </c>
      <c r="J62" s="17"/>
      <c r="L62" s="25">
        <f>'TUSD BE'!$L$62*'TUSD BE'!$L$93</f>
        <v>0</v>
      </c>
      <c r="M62" s="25">
        <f>'TUSD BE'!$M$62*'TUSD BE'!$M$93</f>
        <v>-2.7655879255583996E-2</v>
      </c>
      <c r="N62" s="25">
        <f ca="1">'TUSD BE'!$N$62*'TUSD BE'!$N$93</f>
        <v>3.0350053961845035E-4</v>
      </c>
      <c r="O62" s="25">
        <f>'TUSD BE'!$O$62*'TUSD BE'!$O$93</f>
        <v>0</v>
      </c>
      <c r="P62" s="25">
        <f>'TUSD BE'!$P$62*'TUSD BE'!$P$93</f>
        <v>0</v>
      </c>
      <c r="Q62" s="25">
        <f>'TUSD BE'!$Q$62*'TUSD BE'!$Q$93</f>
        <v>0</v>
      </c>
      <c r="R62" s="25">
        <f>'TUSD BE'!$R$62*'TUSD BE'!$R$93</f>
        <v>0</v>
      </c>
      <c r="S62" s="25">
        <f>'TUSD BE'!$R$62*'TUSD BE'!$S$93</f>
        <v>0</v>
      </c>
      <c r="T62" s="25">
        <f ca="1">SUM($L$62:$S$62)</f>
        <v>-2.7352378715965547E-2</v>
      </c>
      <c r="U62" s="25">
        <f>'TUSD BE'!$U$62*'TUSD BE'!$U$93</f>
        <v>-0.28856023076300463</v>
      </c>
      <c r="V62" s="25">
        <f>'TUSD BE'!$V$62*'TUSD BE'!$V$93</f>
        <v>0.52709418269025543</v>
      </c>
      <c r="W62" s="25">
        <f>'TUSD BE'!$W$62*'TUSD BE'!$W$93</f>
        <v>5.6405471507755198E-3</v>
      </c>
      <c r="X62" s="25">
        <f>'TUSD BE'!$X$62*'TUSD BE'!$X$93</f>
        <v>0</v>
      </c>
      <c r="Y62" s="25">
        <f>'TUSD BE'!$Y$62*'TUSD BE'!$Y$93</f>
        <v>0</v>
      </c>
      <c r="Z62" s="25">
        <f>'TUSD BE'!$Z$62*'TUSD BE'!$Z$93</f>
        <v>0</v>
      </c>
      <c r="AA62" s="25">
        <f>'TUSD BE'!$AA$62*'TUSD BE'!$AA$93</f>
        <v>0</v>
      </c>
      <c r="AB62" s="25">
        <f>SUM($U$62:$AA$62)</f>
        <v>0.24417449907802632</v>
      </c>
      <c r="AC62" s="25">
        <f>'TUSD BE'!$AC$62*'TUSD BE'!$AC$93</f>
        <v>0</v>
      </c>
      <c r="AD62" s="25">
        <f>SUM($AC$62:$AC$62)</f>
        <v>0</v>
      </c>
      <c r="AE62" s="25">
        <f ca="1">$AO$62*$AO$90</f>
        <v>0</v>
      </c>
      <c r="AF62" s="25">
        <f ca="1">$AP$62*$AP$90</f>
        <v>0</v>
      </c>
      <c r="AG62" s="25">
        <f ca="1">SUM($AE$62:$AF$62)</f>
        <v>0</v>
      </c>
      <c r="AH62" s="25">
        <f>'TUSD BE'!$AH$62*'TUSD BE'!$AH$93</f>
        <v>-4.3481403756889812</v>
      </c>
      <c r="AI62" s="25">
        <f>'TUSD BE'!$AI$62*'TUSD BE'!$AI$93</f>
        <v>-0.16343940263048512</v>
      </c>
      <c r="AJ62" s="25">
        <f ca="1">'TUSD BE'!$AJ$62*'TUSD BE'!$AJ$93</f>
        <v>-2.048091626191018</v>
      </c>
      <c r="AK62" s="25">
        <f ca="1">'TUSD BE'!$AK$62*'TUSD BE'!$AK$93</f>
        <v>4.4214739047918873E-2</v>
      </c>
      <c r="AL62" s="25">
        <f ca="1">SUM($AH$62:$AK$62)</f>
        <v>-6.5154566654625645</v>
      </c>
      <c r="AM62" s="25">
        <f ca="1">SUMIF($L$4:$AL$4,"SUBTOTAL",$L$62:$AL$62)</f>
        <v>-6.2986345451005041</v>
      </c>
      <c r="AO62" s="30">
        <f ca="1">+'TUSD BE'!$T$62+'TUSD BE'!$AB$62+'TUSD BE'!$AD$62+'TUSD BE'!$AL$62</f>
        <v>199.17411459243684</v>
      </c>
      <c r="AP62" s="30">
        <f ca="1">+'TUSD BE'!$T$62+'TUSD BE'!$AB$62+'TUSD BE'!$AD$62+'TUSD BE'!$AL$62</f>
        <v>199.17411459243684</v>
      </c>
    </row>
    <row r="63" spans="1:42" ht="11.25" customHeight="1" x14ac:dyDescent="0.25">
      <c r="A63" s="119"/>
      <c r="B63" s="119"/>
      <c r="C63" s="119"/>
      <c r="D63" s="28" t="s">
        <v>31</v>
      </c>
      <c r="E63" s="28" t="s">
        <v>25</v>
      </c>
      <c r="F63" s="28" t="s">
        <v>25</v>
      </c>
      <c r="G63" s="21" t="s">
        <v>94</v>
      </c>
      <c r="H63" s="21" t="s">
        <v>88</v>
      </c>
      <c r="I63" s="21">
        <f>'MERCADO TUSD'!$U$60</f>
        <v>0</v>
      </c>
      <c r="J63" s="17"/>
      <c r="L63" s="25">
        <f>'TUSD BE'!$L$63*'TUSD BE'!$L$93</f>
        <v>0</v>
      </c>
      <c r="M63" s="25">
        <f>'TUSD BE'!$M$63*'TUSD BE'!$M$93</f>
        <v>-2.7655879255583996E-2</v>
      </c>
      <c r="N63" s="25">
        <f ca="1">'TUSD BE'!$N$63*'TUSD BE'!$N$93</f>
        <v>3.0350053961845035E-4</v>
      </c>
      <c r="O63" s="25">
        <f>'TUSD BE'!$O$63*'TUSD BE'!$O$93</f>
        <v>0</v>
      </c>
      <c r="P63" s="25">
        <f>'TUSD BE'!$P$63*'TUSD BE'!$P$93</f>
        <v>0</v>
      </c>
      <c r="Q63" s="25">
        <f>'TUSD BE'!$Q$63*'TUSD BE'!$Q$93</f>
        <v>0</v>
      </c>
      <c r="R63" s="25">
        <f>'TUSD BE'!$R$63*'TUSD BE'!$R$93</f>
        <v>0</v>
      </c>
      <c r="S63" s="25">
        <f>'TUSD BE'!$R$63*'TUSD BE'!$S$93</f>
        <v>0</v>
      </c>
      <c r="T63" s="25">
        <f ca="1">SUM($L$63:$S$63)</f>
        <v>-2.7352378715965547E-2</v>
      </c>
      <c r="U63" s="25">
        <f>'TUSD BE'!$U$63*'TUSD BE'!$U$93</f>
        <v>-0.28856023076300463</v>
      </c>
      <c r="V63" s="25">
        <f>'TUSD BE'!$V$63*'TUSD BE'!$V$93</f>
        <v>0.52709418269025543</v>
      </c>
      <c r="W63" s="25">
        <f>'TUSD BE'!$W$63*'TUSD BE'!$W$93</f>
        <v>5.6405471507755198E-3</v>
      </c>
      <c r="X63" s="25">
        <f>'TUSD BE'!$X$63*'TUSD BE'!$X$93</f>
        <v>0</v>
      </c>
      <c r="Y63" s="25">
        <f>'TUSD BE'!$Y$63*'TUSD BE'!$Y$93</f>
        <v>0</v>
      </c>
      <c r="Z63" s="25">
        <f>'TUSD BE'!$Z$63*'TUSD BE'!$Z$93</f>
        <v>0</v>
      </c>
      <c r="AA63" s="25">
        <f>'TUSD BE'!$AA$63*'TUSD BE'!$AA$93</f>
        <v>0</v>
      </c>
      <c r="AB63" s="25">
        <f>SUM($U$63:$AA$63)</f>
        <v>0.24417449907802632</v>
      </c>
      <c r="AC63" s="25">
        <f>'TUSD BE'!$AC$63*'TUSD BE'!$AC$93</f>
        <v>0</v>
      </c>
      <c r="AD63" s="25">
        <f>SUM($AC$63:$AC$63)</f>
        <v>0</v>
      </c>
      <c r="AE63" s="25">
        <f ca="1">$AO$63*$AO$90</f>
        <v>0</v>
      </c>
      <c r="AF63" s="25">
        <f ca="1">$AP$63*$AP$90</f>
        <v>0</v>
      </c>
      <c r="AG63" s="25">
        <f ca="1">SUM($AE$63:$AF$63)</f>
        <v>0</v>
      </c>
      <c r="AH63" s="25">
        <f>'TUSD BE'!$AH$63*'TUSD BE'!$AH$93</f>
        <v>-4.3481403756889812</v>
      </c>
      <c r="AI63" s="25">
        <f>'TUSD BE'!$AI$63*'TUSD BE'!$AI$93</f>
        <v>-0.16343940263048512</v>
      </c>
      <c r="AJ63" s="25">
        <f ca="1">'TUSD BE'!$AJ$63*'TUSD BE'!$AJ$93</f>
        <v>-2.048091626191018</v>
      </c>
      <c r="AK63" s="25">
        <f ca="1">'TUSD BE'!$AK$63*'TUSD BE'!$AK$93</f>
        <v>4.4214739047918873E-2</v>
      </c>
      <c r="AL63" s="25">
        <f ca="1">SUM($AH$63:$AK$63)</f>
        <v>-6.5154566654625645</v>
      </c>
      <c r="AM63" s="25">
        <f ca="1">SUMIF($L$4:$AL$4,"SUBTOTAL",$L$63:$AL$63)</f>
        <v>-6.2986345451005041</v>
      </c>
      <c r="AO63" s="30">
        <f ca="1">+'TUSD BE'!$T$63+'TUSD BE'!$AB$63+'TUSD BE'!$AD$63+'TUSD BE'!$AL$63</f>
        <v>199.17411459243684</v>
      </c>
      <c r="AP63" s="30">
        <f ca="1">+'TUSD BE'!$T$63+'TUSD BE'!$AB$63+'TUSD BE'!$AD$63+'TUSD BE'!$AL$63</f>
        <v>199.17411459243684</v>
      </c>
    </row>
    <row r="64" spans="1:42" ht="11.25" customHeight="1" x14ac:dyDescent="0.25">
      <c r="A64" s="119"/>
      <c r="B64" s="119"/>
      <c r="C64" s="119"/>
      <c r="D64" s="28" t="s">
        <v>32</v>
      </c>
      <c r="E64" s="28" t="s">
        <v>25</v>
      </c>
      <c r="F64" s="28" t="s">
        <v>25</v>
      </c>
      <c r="G64" s="21" t="s">
        <v>94</v>
      </c>
      <c r="H64" s="21" t="s">
        <v>88</v>
      </c>
      <c r="I64" s="21">
        <f>'MERCADO TUSD'!$U$61</f>
        <v>0</v>
      </c>
      <c r="J64" s="17"/>
      <c r="L64" s="25">
        <f>'TUSD BE'!$L$64*'TUSD BE'!$L$93</f>
        <v>0</v>
      </c>
      <c r="M64" s="25">
        <f>'TUSD BE'!$M$64*'TUSD BE'!$M$93</f>
        <v>-2.7655879255583996E-2</v>
      </c>
      <c r="N64" s="25">
        <f ca="1">'TUSD BE'!$N$64*'TUSD BE'!$N$93</f>
        <v>3.0350053961845035E-4</v>
      </c>
      <c r="O64" s="25">
        <f>'TUSD BE'!$O$64*'TUSD BE'!$O$93</f>
        <v>0</v>
      </c>
      <c r="P64" s="25">
        <f>'TUSD BE'!$P$64*'TUSD BE'!$P$93</f>
        <v>0</v>
      </c>
      <c r="Q64" s="25">
        <f>'TUSD BE'!$Q$64*'TUSD BE'!$Q$93</f>
        <v>0</v>
      </c>
      <c r="R64" s="25">
        <f>'TUSD BE'!$R$64*'TUSD BE'!$R$93</f>
        <v>0</v>
      </c>
      <c r="S64" s="25">
        <f>'TUSD BE'!$R$64*'TUSD BE'!$S$93</f>
        <v>0</v>
      </c>
      <c r="T64" s="25">
        <f ca="1">SUM($L$64:$S$64)</f>
        <v>-2.7352378715965547E-2</v>
      </c>
      <c r="U64" s="25">
        <f>'TUSD BE'!$U$64*'TUSD BE'!$U$93</f>
        <v>-0.28856023076300463</v>
      </c>
      <c r="V64" s="25">
        <f>'TUSD BE'!$V$64*'TUSD BE'!$V$93</f>
        <v>0.52709418269025543</v>
      </c>
      <c r="W64" s="25">
        <f>'TUSD BE'!$W$64*'TUSD BE'!$W$93</f>
        <v>5.6405471507755198E-3</v>
      </c>
      <c r="X64" s="25">
        <f>'TUSD BE'!$X$64*'TUSD BE'!$X$93</f>
        <v>0</v>
      </c>
      <c r="Y64" s="25">
        <f>'TUSD BE'!$Y$64*'TUSD BE'!$Y$93</f>
        <v>0</v>
      </c>
      <c r="Z64" s="25">
        <f>'TUSD BE'!$Z$64*'TUSD BE'!$Z$93</f>
        <v>0</v>
      </c>
      <c r="AA64" s="25">
        <f>'TUSD BE'!$AA$64*'TUSD BE'!$AA$93</f>
        <v>0</v>
      </c>
      <c r="AB64" s="25">
        <f>SUM($U$64:$AA$64)</f>
        <v>0.24417449907802632</v>
      </c>
      <c r="AC64" s="25">
        <f>'TUSD BE'!$AC$64*'TUSD BE'!$AC$93</f>
        <v>0</v>
      </c>
      <c r="AD64" s="25">
        <f>SUM($AC$64:$AC$64)</f>
        <v>0</v>
      </c>
      <c r="AE64" s="25">
        <f ca="1">$AO$64*$AO$90</f>
        <v>0</v>
      </c>
      <c r="AF64" s="25">
        <f ca="1">$AP$64*$AP$90</f>
        <v>0</v>
      </c>
      <c r="AG64" s="25">
        <f ca="1">SUM($AE$64:$AF$64)</f>
        <v>0</v>
      </c>
      <c r="AH64" s="25">
        <f>'TUSD BE'!$AH$64*'TUSD BE'!$AH$93</f>
        <v>-4.3481403756889812</v>
      </c>
      <c r="AI64" s="25">
        <f>'TUSD BE'!$AI$64*'TUSD BE'!$AI$93</f>
        <v>-0.16343940263048512</v>
      </c>
      <c r="AJ64" s="25">
        <f ca="1">'TUSD BE'!$AJ$64*'TUSD BE'!$AJ$93</f>
        <v>-2.048091626191018</v>
      </c>
      <c r="AK64" s="25">
        <f ca="1">'TUSD BE'!$AK$64*'TUSD BE'!$AK$93</f>
        <v>4.4214739047918873E-2</v>
      </c>
      <c r="AL64" s="25">
        <f ca="1">SUM($AH$64:$AK$64)</f>
        <v>-6.5154566654625645</v>
      </c>
      <c r="AM64" s="25">
        <f ca="1">SUMIF($L$4:$AL$4,"SUBTOTAL",$L$64:$AL$64)</f>
        <v>-6.2986345451005041</v>
      </c>
      <c r="AO64" s="30">
        <f ca="1">+'TUSD BE'!$T$64+'TUSD BE'!$AB$64+'TUSD BE'!$AD$64+'TUSD BE'!$AL$64</f>
        <v>199.17411459243684</v>
      </c>
      <c r="AP64" s="30">
        <f ca="1">+'TUSD BE'!$T$64+'TUSD BE'!$AB$64+'TUSD BE'!$AD$64+'TUSD BE'!$AL$64</f>
        <v>199.17411459243684</v>
      </c>
    </row>
    <row r="65" spans="1:42" ht="11.25" customHeight="1" x14ac:dyDescent="0.25">
      <c r="A65" s="119" t="s">
        <v>46</v>
      </c>
      <c r="B65" s="119" t="s">
        <v>37</v>
      </c>
      <c r="C65" s="119" t="s">
        <v>47</v>
      </c>
      <c r="D65" s="119" t="s">
        <v>25</v>
      </c>
      <c r="E65" s="119" t="s">
        <v>25</v>
      </c>
      <c r="F65" s="119" t="s">
        <v>25</v>
      </c>
      <c r="G65" s="21" t="s">
        <v>89</v>
      </c>
      <c r="H65" s="21" t="s">
        <v>88</v>
      </c>
      <c r="I65" s="21">
        <f>'MERCADO TUSD'!$U$62</f>
        <v>1.0549999999999999</v>
      </c>
      <c r="J65" s="17"/>
      <c r="L65" s="25">
        <f>'TUSD BE'!$L$65*'TUSD BE'!$L$93</f>
        <v>0</v>
      </c>
      <c r="M65" s="25">
        <f>'TUSD BE'!$M$65*'TUSD BE'!$M$93</f>
        <v>-2.7655879255583996E-2</v>
      </c>
      <c r="N65" s="25">
        <f ca="1">'TUSD BE'!$N$65*'TUSD BE'!$N$93</f>
        <v>7.3848648813093433E-4</v>
      </c>
      <c r="O65" s="25">
        <f>'TUSD BE'!$O$65*'TUSD BE'!$O$93</f>
        <v>0</v>
      </c>
      <c r="P65" s="25">
        <f>'TUSD BE'!$P$65*'TUSD BE'!$P$93</f>
        <v>0</v>
      </c>
      <c r="Q65" s="25">
        <f>'TUSD BE'!$Q$65*'TUSD BE'!$Q$93</f>
        <v>-2.0021561294157815</v>
      </c>
      <c r="R65" s="25">
        <f>'TUSD BE'!$R$65*'TUSD BE'!$R$93</f>
        <v>-3.0415214814016535E-3</v>
      </c>
      <c r="S65" s="25">
        <f>'TUSD BE'!$R$65*'TUSD BE'!$S$93</f>
        <v>0</v>
      </c>
      <c r="T65" s="25">
        <f ca="1">SUM($L$65:$S$65)</f>
        <v>-2.032115043664636</v>
      </c>
      <c r="U65" s="25">
        <f>'TUSD BE'!$U$65*'TUSD BE'!$U$93</f>
        <v>-0.92339549815499722</v>
      </c>
      <c r="V65" s="25">
        <f>'TUSD BE'!$V$65*'TUSD BE'!$V$93</f>
        <v>1.6866781389998782</v>
      </c>
      <c r="W65" s="25">
        <f>'TUSD BE'!$W$65*'TUSD BE'!$W$93</f>
        <v>1.805330318388116E-2</v>
      </c>
      <c r="X65" s="25">
        <f>'TUSD BE'!$X$65*'TUSD BE'!$X$93</f>
        <v>0</v>
      </c>
      <c r="Y65" s="25">
        <f>'TUSD BE'!$Y$65*'TUSD BE'!$Y$93</f>
        <v>0</v>
      </c>
      <c r="Z65" s="25">
        <f>'TUSD BE'!$Z$65*'TUSD BE'!$Z$93</f>
        <v>0</v>
      </c>
      <c r="AA65" s="25">
        <f>'TUSD BE'!$AA$65*'TUSD BE'!$AA$93</f>
        <v>0</v>
      </c>
      <c r="AB65" s="25">
        <f>SUM($U$65:$AA$65)</f>
        <v>0.78133594402876216</v>
      </c>
      <c r="AC65" s="25">
        <f>'TUSD BE'!$AC$65*'TUSD BE'!$AC$93</f>
        <v>0</v>
      </c>
      <c r="AD65" s="25">
        <f>SUM($AC$65:$AC$65)</f>
        <v>0</v>
      </c>
      <c r="AE65" s="25">
        <f ca="1">$AO$65*$AO$90</f>
        <v>0</v>
      </c>
      <c r="AF65" s="25">
        <f ca="1">$AP$65*$AP$90</f>
        <v>0</v>
      </c>
      <c r="AG65" s="25">
        <f ca="1">SUM($AE$65:$AF$65)</f>
        <v>0</v>
      </c>
      <c r="AH65" s="25">
        <f>'TUSD BE'!$AH$65*'TUSD BE'!$AH$93</f>
        <v>-4.3481403756889812</v>
      </c>
      <c r="AI65" s="25">
        <f>'TUSD BE'!$AI$65*'TUSD BE'!$AI$93</f>
        <v>-0.16343940263048512</v>
      </c>
      <c r="AJ65" s="25">
        <f ca="1">'TUSD BE'!$AJ$65*'TUSD BE'!$AJ$93</f>
        <v>-2.048091626191018</v>
      </c>
      <c r="AK65" s="25">
        <f ca="1">'TUSD BE'!$AK$65*'TUSD BE'!$AK$93</f>
        <v>4.4214739047918873E-2</v>
      </c>
      <c r="AL65" s="25">
        <f ca="1">SUM($AH$65:$AK$65)</f>
        <v>-6.5154566654625645</v>
      </c>
      <c r="AM65" s="25">
        <f ca="1">SUMIF($L$4:$AL$4,"SUBTOTAL",$L$65:$AL$65)</f>
        <v>-7.7662357650984379</v>
      </c>
      <c r="AO65" s="30">
        <f ca="1">+'TUSD BE'!$T$65+'TUSD BE'!$AB$65+'TUSD BE'!$AD$65+'TUSD BE'!$AL$65</f>
        <v>617.02362518114501</v>
      </c>
      <c r="AP65" s="30">
        <f ca="1">+'TUSD BE'!$T$65+'TUSD BE'!$AB$65+'TUSD BE'!$AD$65+'TUSD BE'!$AL$65</f>
        <v>617.02362518114501</v>
      </c>
    </row>
    <row r="66" spans="1:42" ht="11.25" customHeight="1" x14ac:dyDescent="0.25">
      <c r="A66" s="119"/>
      <c r="B66" s="119"/>
      <c r="C66" s="119"/>
      <c r="D66" s="119"/>
      <c r="E66" s="119"/>
      <c r="F66" s="119"/>
      <c r="G66" s="21" t="s">
        <v>100</v>
      </c>
      <c r="H66" s="21" t="s">
        <v>88</v>
      </c>
      <c r="I66" s="21">
        <f>'MERCADO TUSD'!$U$63</f>
        <v>0.57700000000000007</v>
      </c>
      <c r="J66" s="17"/>
      <c r="L66" s="25">
        <f>'TUSD BE'!$L$66*'TUSD BE'!$L$93</f>
        <v>0</v>
      </c>
      <c r="M66" s="25">
        <f>'TUSD BE'!$M$66*'TUSD BE'!$M$93</f>
        <v>-2.7655879255583996E-2</v>
      </c>
      <c r="N66" s="25">
        <f ca="1">'TUSD BE'!$N$66*'TUSD BE'!$N$93</f>
        <v>4.8653615918520601E-4</v>
      </c>
      <c r="O66" s="25">
        <f>'TUSD BE'!$O$66*'TUSD BE'!$O$93</f>
        <v>0</v>
      </c>
      <c r="P66" s="25">
        <f>'TUSD BE'!$P$66*'TUSD BE'!$P$93</f>
        <v>0</v>
      </c>
      <c r="Q66" s="25">
        <f>'TUSD BE'!$Q$66*'TUSD BE'!$Q$93</f>
        <v>-2.0021561294157815</v>
      </c>
      <c r="R66" s="25">
        <f>'TUSD BE'!$R$66*'TUSD BE'!$R$93</f>
        <v>-3.0415214814016535E-3</v>
      </c>
      <c r="S66" s="25">
        <f>'TUSD BE'!$R$66*'TUSD BE'!$S$93</f>
        <v>0</v>
      </c>
      <c r="T66" s="25">
        <f ca="1">SUM($L$66:$S$66)</f>
        <v>-2.0323669939935818</v>
      </c>
      <c r="U66" s="25">
        <f>'TUSD BE'!$U$66*'TUSD BE'!$U$93</f>
        <v>-0.55403545908407681</v>
      </c>
      <c r="V66" s="25">
        <f>'TUSD BE'!$V$66*'TUSD BE'!$V$93</f>
        <v>1.0119975851563514</v>
      </c>
      <c r="W66" s="25">
        <f>'TUSD BE'!$W$66*'TUSD BE'!$W$93</f>
        <v>1.0831981910328697E-2</v>
      </c>
      <c r="X66" s="25">
        <f>'TUSD BE'!$X$66*'TUSD BE'!$X$93</f>
        <v>0</v>
      </c>
      <c r="Y66" s="25">
        <f>'TUSD BE'!$Y$66*'TUSD BE'!$Y$93</f>
        <v>0</v>
      </c>
      <c r="Z66" s="25">
        <f>'TUSD BE'!$Z$66*'TUSD BE'!$Z$93</f>
        <v>0</v>
      </c>
      <c r="AA66" s="25">
        <f>'TUSD BE'!$AA$66*'TUSD BE'!$AA$93</f>
        <v>0</v>
      </c>
      <c r="AB66" s="25">
        <f>SUM($U$66:$AA$66)</f>
        <v>0.46879410798260329</v>
      </c>
      <c r="AC66" s="25">
        <f>'TUSD BE'!$AC$66*'TUSD BE'!$AC$93</f>
        <v>0</v>
      </c>
      <c r="AD66" s="25">
        <f>SUM($AC$66:$AC$66)</f>
        <v>0</v>
      </c>
      <c r="AE66" s="25">
        <f ca="1">$AO$66*$AO$90</f>
        <v>0</v>
      </c>
      <c r="AF66" s="25">
        <f ca="1">$AP$66*$AP$90</f>
        <v>0</v>
      </c>
      <c r="AG66" s="25">
        <f ca="1">SUM($AE$66:$AF$66)</f>
        <v>0</v>
      </c>
      <c r="AH66" s="25">
        <f>'TUSD BE'!$AH$66*'TUSD BE'!$AH$93</f>
        <v>-4.3481403756889812</v>
      </c>
      <c r="AI66" s="25">
        <f>'TUSD BE'!$AI$66*'TUSD BE'!$AI$93</f>
        <v>-0.16343940263048512</v>
      </c>
      <c r="AJ66" s="25">
        <f ca="1">'TUSD BE'!$AJ$66*'TUSD BE'!$AJ$93</f>
        <v>-2.048091626191018</v>
      </c>
      <c r="AK66" s="25">
        <f ca="1">'TUSD BE'!$AK$66*'TUSD BE'!$AK$93</f>
        <v>4.4214739047918873E-2</v>
      </c>
      <c r="AL66" s="25">
        <f ca="1">SUM($AH$66:$AK$66)</f>
        <v>-6.5154566654625645</v>
      </c>
      <c r="AM66" s="25">
        <f ca="1">SUMIF($L$4:$AL$4,"SUBTOTAL",$L$66:$AL$66)</f>
        <v>-8.0790295514735426</v>
      </c>
      <c r="AO66" s="30">
        <f ca="1">+'TUSD BE'!$T$66+'TUSD BE'!$AB$66+'TUSD BE'!$AD$66+'TUSD BE'!$AL$66</f>
        <v>414.33674388100781</v>
      </c>
      <c r="AP66" s="30">
        <f ca="1">+'TUSD BE'!$T$66+'TUSD BE'!$AB$66+'TUSD BE'!$AD$66+'TUSD BE'!$AL$66</f>
        <v>414.33674388100781</v>
      </c>
    </row>
    <row r="67" spans="1:42" ht="11.25" customHeight="1" x14ac:dyDescent="0.25">
      <c r="A67" s="119"/>
      <c r="B67" s="119"/>
      <c r="C67" s="119"/>
      <c r="D67" s="119"/>
      <c r="E67" s="119"/>
      <c r="F67" s="119"/>
      <c r="G67" s="21" t="s">
        <v>90</v>
      </c>
      <c r="H67" s="21" t="s">
        <v>88</v>
      </c>
      <c r="I67" s="21">
        <f>'MERCADO TUSD'!$U$64</f>
        <v>5.0120000000000005</v>
      </c>
      <c r="J67" s="17"/>
      <c r="L67" s="25">
        <f>'TUSD BE'!$L$67*'TUSD BE'!$L$93</f>
        <v>0</v>
      </c>
      <c r="M67" s="25">
        <f>'TUSD BE'!$M$67*'TUSD BE'!$M$93</f>
        <v>-2.7655879255583996E-2</v>
      </c>
      <c r="N67" s="25">
        <f ca="1">'TUSD BE'!$N$67*'TUSD BE'!$N$93</f>
        <v>2.3458621957052152E-4</v>
      </c>
      <c r="O67" s="25">
        <f>'TUSD BE'!$O$67*'TUSD BE'!$O$93</f>
        <v>0</v>
      </c>
      <c r="P67" s="25">
        <f>'TUSD BE'!$P$67*'TUSD BE'!$P$93</f>
        <v>0</v>
      </c>
      <c r="Q67" s="25">
        <f>'TUSD BE'!$Q$67*'TUSD BE'!$Q$93</f>
        <v>-2.0021561294157815</v>
      </c>
      <c r="R67" s="25">
        <f>'TUSD BE'!$R$67*'TUSD BE'!$R$93</f>
        <v>-3.0415214814016535E-3</v>
      </c>
      <c r="S67" s="25">
        <f>'TUSD BE'!$R$67*'TUSD BE'!$S$93</f>
        <v>0</v>
      </c>
      <c r="T67" s="25">
        <f ca="1">SUM($L$67:$S$67)</f>
        <v>-2.0326189439331968</v>
      </c>
      <c r="U67" s="25">
        <f>'TUSD BE'!$U$67*'TUSD BE'!$U$93</f>
        <v>-0.18468001953546015</v>
      </c>
      <c r="V67" s="25">
        <f>'TUSD BE'!$V$67*'TUSD BE'!$V$93</f>
        <v>0.33734027692176349</v>
      </c>
      <c r="W67" s="25">
        <f>'TUSD BE'!$W$67*'TUSD BE'!$W$93</f>
        <v>3.6106606367762323E-3</v>
      </c>
      <c r="X67" s="25">
        <f>'TUSD BE'!$X$67*'TUSD BE'!$X$93</f>
        <v>0</v>
      </c>
      <c r="Y67" s="25">
        <f>'TUSD BE'!$Y$67*'TUSD BE'!$Y$93</f>
        <v>0</v>
      </c>
      <c r="Z67" s="25">
        <f>'TUSD BE'!$Z$67*'TUSD BE'!$Z$93</f>
        <v>0</v>
      </c>
      <c r="AA67" s="25">
        <f>'TUSD BE'!$AA$67*'TUSD BE'!$AA$93</f>
        <v>0</v>
      </c>
      <c r="AB67" s="25">
        <f>SUM($U$67:$AA$67)</f>
        <v>0.15627091802307957</v>
      </c>
      <c r="AC67" s="25">
        <f>'TUSD BE'!$AC$67*'TUSD BE'!$AC$93</f>
        <v>0</v>
      </c>
      <c r="AD67" s="25">
        <f>SUM($AC$67:$AC$67)</f>
        <v>0</v>
      </c>
      <c r="AE67" s="25">
        <f ca="1">$AO$67*$AO$90</f>
        <v>0</v>
      </c>
      <c r="AF67" s="25">
        <f ca="1">$AP$67*$AP$90</f>
        <v>0</v>
      </c>
      <c r="AG67" s="25">
        <f ca="1">SUM($AE$67:$AF$67)</f>
        <v>0</v>
      </c>
      <c r="AH67" s="25">
        <f>'TUSD BE'!$AH$67*'TUSD BE'!$AH$93</f>
        <v>-4.3481403756889812</v>
      </c>
      <c r="AI67" s="25">
        <f>'TUSD BE'!$AI$67*'TUSD BE'!$AI$93</f>
        <v>-0.16343940263048512</v>
      </c>
      <c r="AJ67" s="25">
        <f ca="1">'TUSD BE'!$AJ$67*'TUSD BE'!$AJ$93</f>
        <v>-2.048091626191018</v>
      </c>
      <c r="AK67" s="25">
        <f ca="1">'TUSD BE'!$AK$67*'TUSD BE'!$AK$93</f>
        <v>4.4214739047918873E-2</v>
      </c>
      <c r="AL67" s="25">
        <f ca="1">SUM($AH$67:$AK$67)</f>
        <v>-6.5154566654625645</v>
      </c>
      <c r="AM67" s="25">
        <f ca="1">SUMIF($L$4:$AL$4,"SUBTOTAL",$L$67:$AL$67)</f>
        <v>-8.3918046913726823</v>
      </c>
      <c r="AO67" s="30">
        <f ca="1">+'TUSD BE'!$T$67+'TUSD BE'!$AB$67+'TUSD BE'!$AD$67+'TUSD BE'!$AL$67</f>
        <v>211.65093654140225</v>
      </c>
      <c r="AP67" s="30">
        <f ca="1">+'TUSD BE'!$T$67+'TUSD BE'!$AB$67+'TUSD BE'!$AD$67+'TUSD BE'!$AL$67</f>
        <v>211.65093654140225</v>
      </c>
    </row>
    <row r="68" spans="1:42" ht="11.25" customHeight="1" x14ac:dyDescent="0.25">
      <c r="A68" s="119"/>
      <c r="B68" s="28" t="s">
        <v>23</v>
      </c>
      <c r="C68" s="28" t="s">
        <v>47</v>
      </c>
      <c r="D68" s="28" t="s">
        <v>25</v>
      </c>
      <c r="E68" s="28" t="s">
        <v>25</v>
      </c>
      <c r="F68" s="28" t="s">
        <v>25</v>
      </c>
      <c r="G68" s="21" t="s">
        <v>94</v>
      </c>
      <c r="H68" s="21" t="s">
        <v>88</v>
      </c>
      <c r="I68" s="21">
        <f>'MERCADO TUSD'!$U$65</f>
        <v>81638.005000000005</v>
      </c>
      <c r="J68" s="17"/>
      <c r="L68" s="25">
        <f>'TUSD BE'!$L$68*'TUSD BE'!$L$93</f>
        <v>0</v>
      </c>
      <c r="M68" s="25">
        <f>'TUSD BE'!$M$68*'TUSD BE'!$M$93</f>
        <v>-2.7655879255583996E-2</v>
      </c>
      <c r="N68" s="25">
        <f ca="1">'TUSD BE'!$N$68*'TUSD BE'!$N$93</f>
        <v>3.0544719483682954E-4</v>
      </c>
      <c r="O68" s="25">
        <f>'TUSD BE'!$O$68*'TUSD BE'!$O$93</f>
        <v>0</v>
      </c>
      <c r="P68" s="25">
        <f>'TUSD BE'!$P$68*'TUSD BE'!$P$93</f>
        <v>0</v>
      </c>
      <c r="Q68" s="25">
        <f>'TUSD BE'!$Q$68*'TUSD BE'!$Q$93</f>
        <v>-2.0021561294157815</v>
      </c>
      <c r="R68" s="25">
        <f>'TUSD BE'!$R$68*'TUSD BE'!$R$93</f>
        <v>-3.0415214814016535E-3</v>
      </c>
      <c r="S68" s="25">
        <f>'TUSD BE'!$R$68*'TUSD BE'!$S$93</f>
        <v>0</v>
      </c>
      <c r="T68" s="25">
        <f ca="1">SUM($L$68:$S$68)</f>
        <v>-2.0325480829579305</v>
      </c>
      <c r="U68" s="25">
        <f>'TUSD BE'!$U$68*'TUSD BE'!$U$93</f>
        <v>-0.28856023076300463</v>
      </c>
      <c r="V68" s="25">
        <f>'TUSD BE'!$V$68*'TUSD BE'!$V$93</f>
        <v>0.52709418269025543</v>
      </c>
      <c r="W68" s="25">
        <f>'TUSD BE'!$W$68*'TUSD BE'!$W$93</f>
        <v>5.6405471507755198E-3</v>
      </c>
      <c r="X68" s="25">
        <f>'TUSD BE'!$X$68*'TUSD BE'!$X$93</f>
        <v>0</v>
      </c>
      <c r="Y68" s="25">
        <f>'TUSD BE'!$Y$68*'TUSD BE'!$Y$93</f>
        <v>0</v>
      </c>
      <c r="Z68" s="25">
        <f>'TUSD BE'!$Z$68*'TUSD BE'!$Z$93</f>
        <v>0</v>
      </c>
      <c r="AA68" s="25">
        <f>'TUSD BE'!$AA$68*'TUSD BE'!$AA$93</f>
        <v>0</v>
      </c>
      <c r="AB68" s="25">
        <f>SUM($U$68:$AA$68)</f>
        <v>0.24417449907802632</v>
      </c>
      <c r="AC68" s="25">
        <f>'TUSD BE'!$AC$68*'TUSD BE'!$AC$93</f>
        <v>0</v>
      </c>
      <c r="AD68" s="25">
        <f>SUM($AC$68:$AC$68)</f>
        <v>0</v>
      </c>
      <c r="AE68" s="25">
        <f ca="1">$AO$68*$AO$90</f>
        <v>0</v>
      </c>
      <c r="AF68" s="25">
        <f ca="1">$AP$68*$AP$90</f>
        <v>0</v>
      </c>
      <c r="AG68" s="25">
        <f ca="1">SUM($AE$68:$AF$68)</f>
        <v>0</v>
      </c>
      <c r="AH68" s="25">
        <f>'TUSD BE'!$AH$68*'TUSD BE'!$AH$93</f>
        <v>-4.3481403756889812</v>
      </c>
      <c r="AI68" s="25">
        <f>'TUSD BE'!$AI$68*'TUSD BE'!$AI$93</f>
        <v>-0.16343940263048512</v>
      </c>
      <c r="AJ68" s="25">
        <f ca="1">'TUSD BE'!$AJ$68*'TUSD BE'!$AJ$93</f>
        <v>-2.048091626191018</v>
      </c>
      <c r="AK68" s="25">
        <f ca="1">'TUSD BE'!$AK$68*'TUSD BE'!$AK$93</f>
        <v>4.4214739047918873E-2</v>
      </c>
      <c r="AL68" s="25">
        <f ca="1">SUM($AH$68:$AK$68)</f>
        <v>-6.5154566654625645</v>
      </c>
      <c r="AM68" s="25">
        <f ca="1">SUMIF($L$4:$AL$4,"SUBTOTAL",$L$68:$AL$68)</f>
        <v>-8.3038302493424681</v>
      </c>
      <c r="AO68" s="30">
        <f ca="1">+'TUSD BE'!$T$68+'TUSD BE'!$AB$68+'TUSD BE'!$AD$68+'TUSD BE'!$AL$68</f>
        <v>268.65612143694341</v>
      </c>
      <c r="AP68" s="30">
        <f ca="1">+'TUSD BE'!$T$68+'TUSD BE'!$AB$68+'TUSD BE'!$AD$68+'TUSD BE'!$AL$68</f>
        <v>268.65612143694341</v>
      </c>
    </row>
    <row r="69" spans="1:42" ht="11.25" customHeight="1" x14ac:dyDescent="0.25">
      <c r="A69" s="119"/>
      <c r="B69" s="119" t="s">
        <v>37</v>
      </c>
      <c r="C69" s="119" t="s">
        <v>47</v>
      </c>
      <c r="D69" s="119" t="s">
        <v>103</v>
      </c>
      <c r="E69" s="119" t="s">
        <v>25</v>
      </c>
      <c r="F69" s="119" t="s">
        <v>25</v>
      </c>
      <c r="G69" s="21" t="s">
        <v>89</v>
      </c>
      <c r="H69" s="21" t="s">
        <v>88</v>
      </c>
      <c r="I69" s="21">
        <f>'MERCADO TUSD'!$U$66</f>
        <v>0</v>
      </c>
      <c r="J69" s="17"/>
      <c r="L69" s="25">
        <f>'TUSD BE'!$L$69*'TUSD BE'!$L$93</f>
        <v>0</v>
      </c>
      <c r="M69" s="25">
        <f>'TUSD BE'!$M$69*'TUSD BE'!$M$93</f>
        <v>-2.7655879255583996E-2</v>
      </c>
      <c r="N69" s="25">
        <f ca="1">'TUSD BE'!$N$69*'TUSD BE'!$N$93</f>
        <v>7.3848648813093433E-4</v>
      </c>
      <c r="O69" s="25">
        <f>'TUSD BE'!$O$69*'TUSD BE'!$O$93</f>
        <v>0</v>
      </c>
      <c r="P69" s="25">
        <f>'TUSD BE'!$P$69*'TUSD BE'!$P$93</f>
        <v>0</v>
      </c>
      <c r="Q69" s="25">
        <f>'TUSD BE'!$Q$69*'TUSD BE'!$Q$93</f>
        <v>-2.0021561294157815</v>
      </c>
      <c r="R69" s="25">
        <f>'TUSD BE'!$R$69*'TUSD BE'!$R$93</f>
        <v>-3.0415214814016535E-3</v>
      </c>
      <c r="S69" s="25">
        <f>'TUSD BE'!$R$69*'TUSD BE'!$S$93</f>
        <v>0</v>
      </c>
      <c r="T69" s="25">
        <f ca="1">SUM($L$69:$S$69)</f>
        <v>-2.032115043664636</v>
      </c>
      <c r="U69" s="25">
        <f>'TUSD BE'!$U$69*'TUSD BE'!$U$93</f>
        <v>-0.92339549815499722</v>
      </c>
      <c r="V69" s="25">
        <f>'TUSD BE'!$V$69*'TUSD BE'!$V$93</f>
        <v>1.6866781389998782</v>
      </c>
      <c r="W69" s="25">
        <f>'TUSD BE'!$W$69*'TUSD BE'!$W$93</f>
        <v>1.805330318388116E-2</v>
      </c>
      <c r="X69" s="25">
        <f>'TUSD BE'!$X$69*'TUSD BE'!$X$93</f>
        <v>0</v>
      </c>
      <c r="Y69" s="25">
        <f>'TUSD BE'!$Y$69*'TUSD BE'!$Y$93</f>
        <v>0</v>
      </c>
      <c r="Z69" s="25">
        <f>'TUSD BE'!$Z$69*'TUSD BE'!$Z$93</f>
        <v>0</v>
      </c>
      <c r="AA69" s="25">
        <f>'TUSD BE'!$AA$69*'TUSD BE'!$AA$93</f>
        <v>0</v>
      </c>
      <c r="AB69" s="25">
        <f>SUM($U$69:$AA$69)</f>
        <v>0.78133594402876216</v>
      </c>
      <c r="AC69" s="25">
        <f>'TUSD BE'!$AC$69*'TUSD BE'!$AC$93</f>
        <v>0</v>
      </c>
      <c r="AD69" s="25">
        <f>SUM($AC$69:$AC$69)</f>
        <v>0</v>
      </c>
      <c r="AE69" s="25">
        <f ca="1">$AO$69*$AO$90</f>
        <v>0</v>
      </c>
      <c r="AF69" s="25">
        <f ca="1">$AP$69*$AP$90</f>
        <v>0</v>
      </c>
      <c r="AG69" s="25">
        <f ca="1">SUM($AE$69:$AF$69)</f>
        <v>0</v>
      </c>
      <c r="AH69" s="25">
        <f>'TUSD BE'!$AH$69*'TUSD BE'!$AH$93</f>
        <v>-4.3481403756889812</v>
      </c>
      <c r="AI69" s="25">
        <f>'TUSD BE'!$AI$69*'TUSD BE'!$AI$93</f>
        <v>-0.16343940263048512</v>
      </c>
      <c r="AJ69" s="25">
        <f ca="1">'TUSD BE'!$AJ$69*'TUSD BE'!$AJ$93</f>
        <v>-2.048091626191018</v>
      </c>
      <c r="AK69" s="25">
        <f ca="1">'TUSD BE'!$AK$69*'TUSD BE'!$AK$93</f>
        <v>4.4214739047918873E-2</v>
      </c>
      <c r="AL69" s="25">
        <f ca="1">SUM($AH$69:$AK$69)</f>
        <v>-6.5154566654625645</v>
      </c>
      <c r="AM69" s="25">
        <f ca="1">SUMIF($L$4:$AL$4,"SUBTOTAL",$L$69:$AL$69)</f>
        <v>-7.7662357650984379</v>
      </c>
      <c r="AO69" s="30">
        <f ca="1">+'TUSD BE'!$T$69+'TUSD BE'!$AB$69+'TUSD BE'!$AD$69+'TUSD BE'!$AL$69</f>
        <v>617.02362518114501</v>
      </c>
      <c r="AP69" s="30">
        <f ca="1">+'TUSD BE'!$T$69+'TUSD BE'!$AB$69+'TUSD BE'!$AD$69+'TUSD BE'!$AL$69</f>
        <v>617.02362518114501</v>
      </c>
    </row>
    <row r="70" spans="1:42" ht="11.25" customHeight="1" x14ac:dyDescent="0.25">
      <c r="A70" s="119"/>
      <c r="B70" s="119"/>
      <c r="C70" s="119"/>
      <c r="D70" s="119"/>
      <c r="E70" s="119"/>
      <c r="F70" s="119"/>
      <c r="G70" s="21" t="s">
        <v>100</v>
      </c>
      <c r="H70" s="21" t="s">
        <v>88</v>
      </c>
      <c r="I70" s="21">
        <f>'MERCADO TUSD'!$U$67</f>
        <v>0</v>
      </c>
      <c r="J70" s="17"/>
      <c r="L70" s="25">
        <f>'TUSD BE'!$L$70*'TUSD BE'!$L$93</f>
        <v>0</v>
      </c>
      <c r="M70" s="25">
        <f>'TUSD BE'!$M$70*'TUSD BE'!$M$93</f>
        <v>-2.7655879255583996E-2</v>
      </c>
      <c r="N70" s="25">
        <f ca="1">'TUSD BE'!$N$70*'TUSD BE'!$N$93</f>
        <v>4.8653615918520601E-4</v>
      </c>
      <c r="O70" s="25">
        <f>'TUSD BE'!$O$70*'TUSD BE'!$O$93</f>
        <v>0</v>
      </c>
      <c r="P70" s="25">
        <f>'TUSD BE'!$P$70*'TUSD BE'!$P$93</f>
        <v>0</v>
      </c>
      <c r="Q70" s="25">
        <f>'TUSD BE'!$Q$70*'TUSD BE'!$Q$93</f>
        <v>-2.0021561294157815</v>
      </c>
      <c r="R70" s="25">
        <f>'TUSD BE'!$R$70*'TUSD BE'!$R$93</f>
        <v>-3.0415214814016535E-3</v>
      </c>
      <c r="S70" s="25">
        <f>'TUSD BE'!$R$70*'TUSD BE'!$S$93</f>
        <v>0</v>
      </c>
      <c r="T70" s="25">
        <f ca="1">SUM($L$70:$S$70)</f>
        <v>-2.0323669939935818</v>
      </c>
      <c r="U70" s="25">
        <f>'TUSD BE'!$U$70*'TUSD BE'!$U$93</f>
        <v>-0.55403545908407681</v>
      </c>
      <c r="V70" s="25">
        <f>'TUSD BE'!$V$70*'TUSD BE'!$V$93</f>
        <v>1.0119975851563514</v>
      </c>
      <c r="W70" s="25">
        <f>'TUSD BE'!$W$70*'TUSD BE'!$W$93</f>
        <v>1.0831981910328697E-2</v>
      </c>
      <c r="X70" s="25">
        <f>'TUSD BE'!$X$70*'TUSD BE'!$X$93</f>
        <v>0</v>
      </c>
      <c r="Y70" s="25">
        <f>'TUSD BE'!$Y$70*'TUSD BE'!$Y$93</f>
        <v>0</v>
      </c>
      <c r="Z70" s="25">
        <f>'TUSD BE'!$Z$70*'TUSD BE'!$Z$93</f>
        <v>0</v>
      </c>
      <c r="AA70" s="25">
        <f>'TUSD BE'!$AA$70*'TUSD BE'!$AA$93</f>
        <v>0</v>
      </c>
      <c r="AB70" s="25">
        <f>SUM($U$70:$AA$70)</f>
        <v>0.46879410798260329</v>
      </c>
      <c r="AC70" s="25">
        <f>'TUSD BE'!$AC$70*'TUSD BE'!$AC$93</f>
        <v>0</v>
      </c>
      <c r="AD70" s="25">
        <f>SUM($AC$70:$AC$70)</f>
        <v>0</v>
      </c>
      <c r="AE70" s="25">
        <f ca="1">$AO$70*$AO$90</f>
        <v>0</v>
      </c>
      <c r="AF70" s="25">
        <f ca="1">$AP$70*$AP$90</f>
        <v>0</v>
      </c>
      <c r="AG70" s="25">
        <f ca="1">SUM($AE$70:$AF$70)</f>
        <v>0</v>
      </c>
      <c r="AH70" s="25">
        <f>'TUSD BE'!$AH$70*'TUSD BE'!$AH$93</f>
        <v>-4.3481403756889812</v>
      </c>
      <c r="AI70" s="25">
        <f>'TUSD BE'!$AI$70*'TUSD BE'!$AI$93</f>
        <v>-0.16343940263048512</v>
      </c>
      <c r="AJ70" s="25">
        <f ca="1">'TUSD BE'!$AJ$70*'TUSD BE'!$AJ$93</f>
        <v>-2.048091626191018</v>
      </c>
      <c r="AK70" s="25">
        <f ca="1">'TUSD BE'!$AK$70*'TUSD BE'!$AK$93</f>
        <v>4.4214739047918873E-2</v>
      </c>
      <c r="AL70" s="25">
        <f ca="1">SUM($AH$70:$AK$70)</f>
        <v>-6.5154566654625645</v>
      </c>
      <c r="AM70" s="25">
        <f ca="1">SUMIF($L$4:$AL$4,"SUBTOTAL",$L$70:$AL$70)</f>
        <v>-8.0790295514735426</v>
      </c>
      <c r="AO70" s="30">
        <f ca="1">+'TUSD BE'!$T$70+'TUSD BE'!$AB$70+'TUSD BE'!$AD$70+'TUSD BE'!$AL$70</f>
        <v>414.33674388100781</v>
      </c>
      <c r="AP70" s="30">
        <f ca="1">+'TUSD BE'!$T$70+'TUSD BE'!$AB$70+'TUSD BE'!$AD$70+'TUSD BE'!$AL$70</f>
        <v>414.33674388100781</v>
      </c>
    </row>
    <row r="71" spans="1:42" ht="11.25" customHeight="1" x14ac:dyDescent="0.25">
      <c r="A71" s="119"/>
      <c r="B71" s="119"/>
      <c r="C71" s="119"/>
      <c r="D71" s="119"/>
      <c r="E71" s="119"/>
      <c r="F71" s="119"/>
      <c r="G71" s="21" t="s">
        <v>90</v>
      </c>
      <c r="H71" s="21" t="s">
        <v>88</v>
      </c>
      <c r="I71" s="21">
        <f>'MERCADO TUSD'!$U$68</f>
        <v>0</v>
      </c>
      <c r="J71" s="17"/>
      <c r="L71" s="25">
        <f>'TUSD BE'!$L$71*'TUSD BE'!$L$93</f>
        <v>0</v>
      </c>
      <c r="M71" s="25">
        <f>'TUSD BE'!$M$71*'TUSD BE'!$M$93</f>
        <v>-2.7655879255583996E-2</v>
      </c>
      <c r="N71" s="25">
        <f ca="1">'TUSD BE'!$N$71*'TUSD BE'!$N$93</f>
        <v>2.3458621957052152E-4</v>
      </c>
      <c r="O71" s="25">
        <f>'TUSD BE'!$O$71*'TUSD BE'!$O$93</f>
        <v>0</v>
      </c>
      <c r="P71" s="25">
        <f>'TUSD BE'!$P$71*'TUSD BE'!$P$93</f>
        <v>0</v>
      </c>
      <c r="Q71" s="25">
        <f>'TUSD BE'!$Q$71*'TUSD BE'!$Q$93</f>
        <v>-2.0021561294157815</v>
      </c>
      <c r="R71" s="25">
        <f>'TUSD BE'!$R$71*'TUSD BE'!$R$93</f>
        <v>-3.0415214814016535E-3</v>
      </c>
      <c r="S71" s="25">
        <f>'TUSD BE'!$R$71*'TUSD BE'!$S$93</f>
        <v>0</v>
      </c>
      <c r="T71" s="25">
        <f ca="1">SUM($L$71:$S$71)</f>
        <v>-2.0326189439331968</v>
      </c>
      <c r="U71" s="25">
        <f>'TUSD BE'!$U$71*'TUSD BE'!$U$93</f>
        <v>-0.18468001953546015</v>
      </c>
      <c r="V71" s="25">
        <f>'TUSD BE'!$V$71*'TUSD BE'!$V$93</f>
        <v>0.33734027692176349</v>
      </c>
      <c r="W71" s="25">
        <f>'TUSD BE'!$W$71*'TUSD BE'!$W$93</f>
        <v>3.6106606367762323E-3</v>
      </c>
      <c r="X71" s="25">
        <f>'TUSD BE'!$X$71*'TUSD BE'!$X$93</f>
        <v>0</v>
      </c>
      <c r="Y71" s="25">
        <f>'TUSD BE'!$Y$71*'TUSD BE'!$Y$93</f>
        <v>0</v>
      </c>
      <c r="Z71" s="25">
        <f>'TUSD BE'!$Z$71*'TUSD BE'!$Z$93</f>
        <v>0</v>
      </c>
      <c r="AA71" s="25">
        <f>'TUSD BE'!$AA$71*'TUSD BE'!$AA$93</f>
        <v>0</v>
      </c>
      <c r="AB71" s="25">
        <f>SUM($U$71:$AA$71)</f>
        <v>0.15627091802307957</v>
      </c>
      <c r="AC71" s="25">
        <f>'TUSD BE'!$AC$71*'TUSD BE'!$AC$93</f>
        <v>0</v>
      </c>
      <c r="AD71" s="25">
        <f>SUM($AC$71:$AC$71)</f>
        <v>0</v>
      </c>
      <c r="AE71" s="25">
        <f ca="1">$AO$71*$AO$90</f>
        <v>0</v>
      </c>
      <c r="AF71" s="25">
        <f ca="1">$AP$71*$AP$90</f>
        <v>0</v>
      </c>
      <c r="AG71" s="25">
        <f ca="1">SUM($AE$71:$AF$71)</f>
        <v>0</v>
      </c>
      <c r="AH71" s="25">
        <f>'TUSD BE'!$AH$71*'TUSD BE'!$AH$93</f>
        <v>-4.3481403756889812</v>
      </c>
      <c r="AI71" s="25">
        <f>'TUSD BE'!$AI$71*'TUSD BE'!$AI$93</f>
        <v>-0.16343940263048512</v>
      </c>
      <c r="AJ71" s="25">
        <f ca="1">'TUSD BE'!$AJ$71*'TUSD BE'!$AJ$93</f>
        <v>-2.048091626191018</v>
      </c>
      <c r="AK71" s="25">
        <f ca="1">'TUSD BE'!$AK$71*'TUSD BE'!$AK$93</f>
        <v>4.4214739047918873E-2</v>
      </c>
      <c r="AL71" s="25">
        <f ca="1">SUM($AH$71:$AK$71)</f>
        <v>-6.5154566654625645</v>
      </c>
      <c r="AM71" s="25">
        <f ca="1">SUMIF($L$4:$AL$4,"SUBTOTAL",$L$71:$AL$71)</f>
        <v>-8.3918046913726823</v>
      </c>
      <c r="AO71" s="30">
        <f ca="1">+'TUSD BE'!$T$71+'TUSD BE'!$AB$71+'TUSD BE'!$AD$71+'TUSD BE'!$AL$71</f>
        <v>211.65093654140225</v>
      </c>
      <c r="AP71" s="30">
        <f ca="1">+'TUSD BE'!$T$71+'TUSD BE'!$AB$71+'TUSD BE'!$AD$71+'TUSD BE'!$AL$71</f>
        <v>211.65093654140225</v>
      </c>
    </row>
    <row r="72" spans="1:42" ht="11.25" customHeight="1" x14ac:dyDescent="0.25">
      <c r="A72" s="119"/>
      <c r="B72" s="28" t="s">
        <v>23</v>
      </c>
      <c r="C72" s="28" t="s">
        <v>47</v>
      </c>
      <c r="D72" s="28" t="s">
        <v>103</v>
      </c>
      <c r="E72" s="28" t="s">
        <v>25</v>
      </c>
      <c r="F72" s="28" t="s">
        <v>25</v>
      </c>
      <c r="G72" s="21" t="s">
        <v>94</v>
      </c>
      <c r="H72" s="21" t="s">
        <v>88</v>
      </c>
      <c r="I72" s="21">
        <f>'MERCADO TUSD'!$U$69</f>
        <v>0</v>
      </c>
      <c r="J72" s="17"/>
      <c r="L72" s="25">
        <f>'TUSD BE'!$L$72*'TUSD BE'!$L$93</f>
        <v>0</v>
      </c>
      <c r="M72" s="25">
        <f>'TUSD BE'!$M$72*'TUSD BE'!$M$93</f>
        <v>-2.7655879255583996E-2</v>
      </c>
      <c r="N72" s="25">
        <f ca="1">'TUSD BE'!$N$72*'TUSD BE'!$N$93</f>
        <v>3.0544719483682954E-4</v>
      </c>
      <c r="O72" s="25">
        <f>'TUSD BE'!$O$72*'TUSD BE'!$O$93</f>
        <v>0</v>
      </c>
      <c r="P72" s="25">
        <f>'TUSD BE'!$P$72*'TUSD BE'!$P$93</f>
        <v>0</v>
      </c>
      <c r="Q72" s="25">
        <f>'TUSD BE'!$Q$72*'TUSD BE'!$Q$93</f>
        <v>-2.0021561294157815</v>
      </c>
      <c r="R72" s="25">
        <f>'TUSD BE'!$R$72*'TUSD BE'!$R$93</f>
        <v>-3.0415214814016535E-3</v>
      </c>
      <c r="S72" s="25">
        <f>'TUSD BE'!$R$72*'TUSD BE'!$S$93</f>
        <v>0</v>
      </c>
      <c r="T72" s="25">
        <f ca="1">SUM($L$72:$S$72)</f>
        <v>-2.0325480829579305</v>
      </c>
      <c r="U72" s="25">
        <f>'TUSD BE'!$U$72*'TUSD BE'!$U$93</f>
        <v>-0.28856023076300463</v>
      </c>
      <c r="V72" s="25">
        <f>'TUSD BE'!$V$72*'TUSD BE'!$V$93</f>
        <v>0.52709418269025543</v>
      </c>
      <c r="W72" s="25">
        <f>'TUSD BE'!$W$72*'TUSD BE'!$W$93</f>
        <v>5.6405471507755198E-3</v>
      </c>
      <c r="X72" s="25">
        <f>'TUSD BE'!$X$72*'TUSD BE'!$X$93</f>
        <v>0</v>
      </c>
      <c r="Y72" s="25">
        <f>'TUSD BE'!$Y$72*'TUSD BE'!$Y$93</f>
        <v>0</v>
      </c>
      <c r="Z72" s="25">
        <f>'TUSD BE'!$Z$72*'TUSD BE'!$Z$93</f>
        <v>0</v>
      </c>
      <c r="AA72" s="25">
        <f>'TUSD BE'!$AA$72*'TUSD BE'!$AA$93</f>
        <v>0</v>
      </c>
      <c r="AB72" s="25">
        <f>SUM($U$72:$AA$72)</f>
        <v>0.24417449907802632</v>
      </c>
      <c r="AC72" s="25">
        <f>'TUSD BE'!$AC$72*'TUSD BE'!$AC$93</f>
        <v>0</v>
      </c>
      <c r="AD72" s="25">
        <f>SUM($AC$72:$AC$72)</f>
        <v>0</v>
      </c>
      <c r="AE72" s="25">
        <f ca="1">$AO$72*$AO$90</f>
        <v>0</v>
      </c>
      <c r="AF72" s="25">
        <f ca="1">$AP$72*$AP$90</f>
        <v>0</v>
      </c>
      <c r="AG72" s="25">
        <f ca="1">SUM($AE$72:$AF$72)</f>
        <v>0</v>
      </c>
      <c r="AH72" s="25">
        <f>'TUSD BE'!$AH$72*'TUSD BE'!$AH$93</f>
        <v>-4.3481403756889812</v>
      </c>
      <c r="AI72" s="25">
        <f>'TUSD BE'!$AI$72*'TUSD BE'!$AI$93</f>
        <v>-0.16343940263048512</v>
      </c>
      <c r="AJ72" s="25">
        <f ca="1">'TUSD BE'!$AJ$72*'TUSD BE'!$AJ$93</f>
        <v>-2.048091626191018</v>
      </c>
      <c r="AK72" s="25">
        <f ca="1">'TUSD BE'!$AK$72*'TUSD BE'!$AK$93</f>
        <v>4.4214739047918873E-2</v>
      </c>
      <c r="AL72" s="25">
        <f ca="1">SUM($AH$72:$AK$72)</f>
        <v>-6.5154566654625645</v>
      </c>
      <c r="AM72" s="25">
        <f ca="1">SUMIF($L$4:$AL$4,"SUBTOTAL",$L$72:$AL$72)</f>
        <v>-8.3038302493424681</v>
      </c>
      <c r="AO72" s="30">
        <f ca="1">+'TUSD BE'!$T$72+'TUSD BE'!$AB$72+'TUSD BE'!$AD$72+'TUSD BE'!$AL$72</f>
        <v>268.65612143694341</v>
      </c>
      <c r="AP72" s="30">
        <f ca="1">+'TUSD BE'!$T$72+'TUSD BE'!$AB$72+'TUSD BE'!$AD$72+'TUSD BE'!$AL$72</f>
        <v>268.65612143694341</v>
      </c>
    </row>
    <row r="73" spans="1:42" ht="11.25" customHeight="1" x14ac:dyDescent="0.25">
      <c r="A73" s="119"/>
      <c r="B73" s="119" t="s">
        <v>37</v>
      </c>
      <c r="C73" s="119" t="s">
        <v>47</v>
      </c>
      <c r="D73" s="119" t="s">
        <v>104</v>
      </c>
      <c r="E73" s="119" t="s">
        <v>25</v>
      </c>
      <c r="F73" s="119" t="s">
        <v>25</v>
      </c>
      <c r="G73" s="21" t="s">
        <v>89</v>
      </c>
      <c r="H73" s="21" t="s">
        <v>88</v>
      </c>
      <c r="I73" s="21">
        <f>'MERCADO TUSD'!$U$70</f>
        <v>0</v>
      </c>
      <c r="J73" s="17"/>
      <c r="L73" s="25">
        <f>'TUSD BE'!$L$73*'TUSD BE'!$L$93</f>
        <v>0</v>
      </c>
      <c r="M73" s="25">
        <f>'TUSD BE'!$M$73*'TUSD BE'!$M$93</f>
        <v>-2.7655879255583996E-2</v>
      </c>
      <c r="N73" s="25">
        <f ca="1">'TUSD BE'!$N$73*'TUSD BE'!$N$93</f>
        <v>7.3848648813093433E-4</v>
      </c>
      <c r="O73" s="25">
        <f>'TUSD BE'!$O$73*'TUSD BE'!$O$93</f>
        <v>0</v>
      </c>
      <c r="P73" s="25">
        <f>'TUSD BE'!$P$73*'TUSD BE'!$P$93</f>
        <v>0</v>
      </c>
      <c r="Q73" s="25">
        <f>'TUSD BE'!$Q$73*'TUSD BE'!$Q$93</f>
        <v>-2.0021561294157815</v>
      </c>
      <c r="R73" s="25">
        <f>'TUSD BE'!$R$73*'TUSD BE'!$R$93</f>
        <v>-3.0415214814016535E-3</v>
      </c>
      <c r="S73" s="25">
        <f>'TUSD BE'!$R$73*'TUSD BE'!$S$93</f>
        <v>0</v>
      </c>
      <c r="T73" s="25">
        <f ca="1">SUM($L$73:$S$73)</f>
        <v>-2.032115043664636</v>
      </c>
      <c r="U73" s="25">
        <f>'TUSD BE'!$U$73*'TUSD BE'!$U$93</f>
        <v>-0.92339549815499722</v>
      </c>
      <c r="V73" s="25">
        <f>'TUSD BE'!$V$73*'TUSD BE'!$V$93</f>
        <v>1.6866781389998782</v>
      </c>
      <c r="W73" s="25">
        <f>'TUSD BE'!$W$73*'TUSD BE'!$W$93</f>
        <v>1.805330318388116E-2</v>
      </c>
      <c r="X73" s="25">
        <f>'TUSD BE'!$X$73*'TUSD BE'!$X$93</f>
        <v>0</v>
      </c>
      <c r="Y73" s="25">
        <f>'TUSD BE'!$Y$73*'TUSD BE'!$Y$93</f>
        <v>0</v>
      </c>
      <c r="Z73" s="25">
        <f>'TUSD BE'!$Z$73*'TUSD BE'!$Z$93</f>
        <v>0</v>
      </c>
      <c r="AA73" s="25">
        <f>'TUSD BE'!$AA$73*'TUSD BE'!$AA$93</f>
        <v>0</v>
      </c>
      <c r="AB73" s="25">
        <f>SUM($U$73:$AA$73)</f>
        <v>0.78133594402876216</v>
      </c>
      <c r="AC73" s="25">
        <f>'TUSD BE'!$AC$73*'TUSD BE'!$AC$93</f>
        <v>0</v>
      </c>
      <c r="AD73" s="25">
        <f>SUM($AC$73:$AC$73)</f>
        <v>0</v>
      </c>
      <c r="AE73" s="25">
        <f ca="1">$AO$73*$AO$90</f>
        <v>0</v>
      </c>
      <c r="AF73" s="25">
        <f ca="1">$AP$73*$AP$90</f>
        <v>0</v>
      </c>
      <c r="AG73" s="25">
        <f ca="1">SUM($AE$73:$AF$73)</f>
        <v>0</v>
      </c>
      <c r="AH73" s="25">
        <f>'TUSD BE'!$AH$73*'TUSD BE'!$AH$93</f>
        <v>-4.3481403756889812</v>
      </c>
      <c r="AI73" s="25">
        <f>'TUSD BE'!$AI$73*'TUSD BE'!$AI$93</f>
        <v>-0.16343940263048512</v>
      </c>
      <c r="AJ73" s="25">
        <f ca="1">'TUSD BE'!$AJ$73*'TUSD BE'!$AJ$93</f>
        <v>-2.048091626191018</v>
      </c>
      <c r="AK73" s="25">
        <f ca="1">'TUSD BE'!$AK$73*'TUSD BE'!$AK$93</f>
        <v>4.4214739047918873E-2</v>
      </c>
      <c r="AL73" s="25">
        <f ca="1">SUM($AH$73:$AK$73)</f>
        <v>-6.5154566654625645</v>
      </c>
      <c r="AM73" s="25">
        <f ca="1">SUMIF($L$4:$AL$4,"SUBTOTAL",$L$73:$AL$73)</f>
        <v>-7.7662357650984379</v>
      </c>
      <c r="AO73" s="30">
        <f ca="1">+'TUSD BE'!$T$73+'TUSD BE'!$AB$73+'TUSD BE'!$AD$73+'TUSD BE'!$AL$73</f>
        <v>617.02362518114501</v>
      </c>
      <c r="AP73" s="30">
        <f ca="1">+'TUSD BE'!$T$73+'TUSD BE'!$AB$73+'TUSD BE'!$AD$73+'TUSD BE'!$AL$73</f>
        <v>617.02362518114501</v>
      </c>
    </row>
    <row r="74" spans="1:42" ht="11.25" customHeight="1" x14ac:dyDescent="0.25">
      <c r="A74" s="119"/>
      <c r="B74" s="119"/>
      <c r="C74" s="119"/>
      <c r="D74" s="119"/>
      <c r="E74" s="119"/>
      <c r="F74" s="119"/>
      <c r="G74" s="21" t="s">
        <v>100</v>
      </c>
      <c r="H74" s="21" t="s">
        <v>88</v>
      </c>
      <c r="I74" s="21">
        <f>'MERCADO TUSD'!$U$71</f>
        <v>0</v>
      </c>
      <c r="J74" s="17"/>
      <c r="L74" s="25">
        <f>'TUSD BE'!$L$74*'TUSD BE'!$L$93</f>
        <v>0</v>
      </c>
      <c r="M74" s="25">
        <f>'TUSD BE'!$M$74*'TUSD BE'!$M$93</f>
        <v>-2.7655879255583996E-2</v>
      </c>
      <c r="N74" s="25">
        <f ca="1">'TUSD BE'!$N$74*'TUSD BE'!$N$93</f>
        <v>4.8653615918520601E-4</v>
      </c>
      <c r="O74" s="25">
        <f>'TUSD BE'!$O$74*'TUSD BE'!$O$93</f>
        <v>0</v>
      </c>
      <c r="P74" s="25">
        <f>'TUSD BE'!$P$74*'TUSD BE'!$P$93</f>
        <v>0</v>
      </c>
      <c r="Q74" s="25">
        <f>'TUSD BE'!$Q$74*'TUSD BE'!$Q$93</f>
        <v>-2.0021561294157815</v>
      </c>
      <c r="R74" s="25">
        <f>'TUSD BE'!$R$74*'TUSD BE'!$R$93</f>
        <v>-3.0415214814016535E-3</v>
      </c>
      <c r="S74" s="25">
        <f>'TUSD BE'!$R$74*'TUSD BE'!$S$93</f>
        <v>0</v>
      </c>
      <c r="T74" s="25">
        <f ca="1">SUM($L$74:$S$74)</f>
        <v>-2.0323669939935818</v>
      </c>
      <c r="U74" s="25">
        <f>'TUSD BE'!$U$74*'TUSD BE'!$U$93</f>
        <v>-0.55403545908407681</v>
      </c>
      <c r="V74" s="25">
        <f>'TUSD BE'!$V$74*'TUSD BE'!$V$93</f>
        <v>1.0119975851563514</v>
      </c>
      <c r="W74" s="25">
        <f>'TUSD BE'!$W$74*'TUSD BE'!$W$93</f>
        <v>1.0831981910328697E-2</v>
      </c>
      <c r="X74" s="25">
        <f>'TUSD BE'!$X$74*'TUSD BE'!$X$93</f>
        <v>0</v>
      </c>
      <c r="Y74" s="25">
        <f>'TUSD BE'!$Y$74*'TUSD BE'!$Y$93</f>
        <v>0</v>
      </c>
      <c r="Z74" s="25">
        <f>'TUSD BE'!$Z$74*'TUSD BE'!$Z$93</f>
        <v>0</v>
      </c>
      <c r="AA74" s="25">
        <f>'TUSD BE'!$AA$74*'TUSD BE'!$AA$93</f>
        <v>0</v>
      </c>
      <c r="AB74" s="25">
        <f>SUM($U$74:$AA$74)</f>
        <v>0.46879410798260329</v>
      </c>
      <c r="AC74" s="25">
        <f>'TUSD BE'!$AC$74*'TUSD BE'!$AC$93</f>
        <v>0</v>
      </c>
      <c r="AD74" s="25">
        <f>SUM($AC$74:$AC$74)</f>
        <v>0</v>
      </c>
      <c r="AE74" s="25">
        <f ca="1">$AO$74*$AO$90</f>
        <v>0</v>
      </c>
      <c r="AF74" s="25">
        <f ca="1">$AP$74*$AP$90</f>
        <v>0</v>
      </c>
      <c r="AG74" s="25">
        <f ca="1">SUM($AE$74:$AF$74)</f>
        <v>0</v>
      </c>
      <c r="AH74" s="25">
        <f>'TUSD BE'!$AH$74*'TUSD BE'!$AH$93</f>
        <v>-4.3481403756889812</v>
      </c>
      <c r="AI74" s="25">
        <f>'TUSD BE'!$AI$74*'TUSD BE'!$AI$93</f>
        <v>-0.16343940263048512</v>
      </c>
      <c r="AJ74" s="25">
        <f ca="1">'TUSD BE'!$AJ$74*'TUSD BE'!$AJ$93</f>
        <v>-2.048091626191018</v>
      </c>
      <c r="AK74" s="25">
        <f ca="1">'TUSD BE'!$AK$74*'TUSD BE'!$AK$93</f>
        <v>4.4214739047918873E-2</v>
      </c>
      <c r="AL74" s="25">
        <f ca="1">SUM($AH$74:$AK$74)</f>
        <v>-6.5154566654625645</v>
      </c>
      <c r="AM74" s="25">
        <f ca="1">SUMIF($L$4:$AL$4,"SUBTOTAL",$L$74:$AL$74)</f>
        <v>-8.0790295514735426</v>
      </c>
      <c r="AO74" s="30">
        <f ca="1">+'TUSD BE'!$T$74+'TUSD BE'!$AB$74+'TUSD BE'!$AD$74+'TUSD BE'!$AL$74</f>
        <v>414.33674388100781</v>
      </c>
      <c r="AP74" s="30">
        <f ca="1">+'TUSD BE'!$T$74+'TUSD BE'!$AB$74+'TUSD BE'!$AD$74+'TUSD BE'!$AL$74</f>
        <v>414.33674388100781</v>
      </c>
    </row>
    <row r="75" spans="1:42" ht="11.25" customHeight="1" x14ac:dyDescent="0.25">
      <c r="A75" s="119"/>
      <c r="B75" s="119"/>
      <c r="C75" s="119"/>
      <c r="D75" s="119"/>
      <c r="E75" s="119"/>
      <c r="F75" s="119"/>
      <c r="G75" s="21" t="s">
        <v>90</v>
      </c>
      <c r="H75" s="21" t="s">
        <v>88</v>
      </c>
      <c r="I75" s="21">
        <f>'MERCADO TUSD'!$U$72</f>
        <v>0</v>
      </c>
      <c r="J75" s="17"/>
      <c r="L75" s="25">
        <f>'TUSD BE'!$L$75*'TUSD BE'!$L$93</f>
        <v>0</v>
      </c>
      <c r="M75" s="25">
        <f>'TUSD BE'!$M$75*'TUSD BE'!$M$93</f>
        <v>-2.7655879255583996E-2</v>
      </c>
      <c r="N75" s="25">
        <f ca="1">'TUSD BE'!$N$75*'TUSD BE'!$N$93</f>
        <v>2.3458621957052152E-4</v>
      </c>
      <c r="O75" s="25">
        <f>'TUSD BE'!$O$75*'TUSD BE'!$O$93</f>
        <v>0</v>
      </c>
      <c r="P75" s="25">
        <f>'TUSD BE'!$P$75*'TUSD BE'!$P$93</f>
        <v>0</v>
      </c>
      <c r="Q75" s="25">
        <f>'TUSD BE'!$Q$75*'TUSD BE'!$Q$93</f>
        <v>-2.0021561294157815</v>
      </c>
      <c r="R75" s="25">
        <f>'TUSD BE'!$R$75*'TUSD BE'!$R$93</f>
        <v>-3.0415214814016535E-3</v>
      </c>
      <c r="S75" s="25">
        <f>'TUSD BE'!$R$75*'TUSD BE'!$S$93</f>
        <v>0</v>
      </c>
      <c r="T75" s="25">
        <f ca="1">SUM($L$75:$S$75)</f>
        <v>-2.0326189439331968</v>
      </c>
      <c r="U75" s="25">
        <f>'TUSD BE'!$U$75*'TUSD BE'!$U$93</f>
        <v>-0.18468001953546015</v>
      </c>
      <c r="V75" s="25">
        <f>'TUSD BE'!$V$75*'TUSD BE'!$V$93</f>
        <v>0.33734027692176349</v>
      </c>
      <c r="W75" s="25">
        <f>'TUSD BE'!$W$75*'TUSD BE'!$W$93</f>
        <v>3.6106606367762323E-3</v>
      </c>
      <c r="X75" s="25">
        <f>'TUSD BE'!$X$75*'TUSD BE'!$X$93</f>
        <v>0</v>
      </c>
      <c r="Y75" s="25">
        <f>'TUSD BE'!$Y$75*'TUSD BE'!$Y$93</f>
        <v>0</v>
      </c>
      <c r="Z75" s="25">
        <f>'TUSD BE'!$Z$75*'TUSD BE'!$Z$93</f>
        <v>0</v>
      </c>
      <c r="AA75" s="25">
        <f>'TUSD BE'!$AA$75*'TUSD BE'!$AA$93</f>
        <v>0</v>
      </c>
      <c r="AB75" s="25">
        <f>SUM($U$75:$AA$75)</f>
        <v>0.15627091802307957</v>
      </c>
      <c r="AC75" s="25">
        <f>'TUSD BE'!$AC$75*'TUSD BE'!$AC$93</f>
        <v>0</v>
      </c>
      <c r="AD75" s="25">
        <f>SUM($AC$75:$AC$75)</f>
        <v>0</v>
      </c>
      <c r="AE75" s="25">
        <f ca="1">$AO$75*$AO$90</f>
        <v>0</v>
      </c>
      <c r="AF75" s="25">
        <f ca="1">$AP$75*$AP$90</f>
        <v>0</v>
      </c>
      <c r="AG75" s="25">
        <f ca="1">SUM($AE$75:$AF$75)</f>
        <v>0</v>
      </c>
      <c r="AH75" s="25">
        <f>'TUSD BE'!$AH$75*'TUSD BE'!$AH$93</f>
        <v>-4.3481403756889812</v>
      </c>
      <c r="AI75" s="25">
        <f>'TUSD BE'!$AI$75*'TUSD BE'!$AI$93</f>
        <v>-0.16343940263048512</v>
      </c>
      <c r="AJ75" s="25">
        <f ca="1">'TUSD BE'!$AJ$75*'TUSD BE'!$AJ$93</f>
        <v>-2.048091626191018</v>
      </c>
      <c r="AK75" s="25">
        <f ca="1">'TUSD BE'!$AK$75*'TUSD BE'!$AK$93</f>
        <v>4.4214739047918873E-2</v>
      </c>
      <c r="AL75" s="25">
        <f ca="1">SUM($AH$75:$AK$75)</f>
        <v>-6.5154566654625645</v>
      </c>
      <c r="AM75" s="25">
        <f ca="1">SUMIF($L$4:$AL$4,"SUBTOTAL",$L$75:$AL$75)</f>
        <v>-8.3918046913726823</v>
      </c>
      <c r="AO75" s="30">
        <f ca="1">+'TUSD BE'!$T$75+'TUSD BE'!$AB$75+'TUSD BE'!$AD$75+'TUSD BE'!$AL$75</f>
        <v>211.65093654140225</v>
      </c>
      <c r="AP75" s="30">
        <f ca="1">+'TUSD BE'!$T$75+'TUSD BE'!$AB$75+'TUSD BE'!$AD$75+'TUSD BE'!$AL$75</f>
        <v>211.65093654140225</v>
      </c>
    </row>
    <row r="76" spans="1:42" ht="11.25" customHeight="1" x14ac:dyDescent="0.25">
      <c r="A76" s="119"/>
      <c r="B76" s="28" t="s">
        <v>23</v>
      </c>
      <c r="C76" s="28" t="s">
        <v>47</v>
      </c>
      <c r="D76" s="28" t="s">
        <v>104</v>
      </c>
      <c r="E76" s="28" t="s">
        <v>25</v>
      </c>
      <c r="F76" s="28" t="s">
        <v>25</v>
      </c>
      <c r="G76" s="21" t="s">
        <v>94</v>
      </c>
      <c r="H76" s="21" t="s">
        <v>88</v>
      </c>
      <c r="I76" s="21">
        <f>'MERCADO TUSD'!$U$73</f>
        <v>0</v>
      </c>
      <c r="J76" s="17"/>
      <c r="L76" s="25">
        <f>'TUSD BE'!$L$76*'TUSD BE'!$L$93</f>
        <v>0</v>
      </c>
      <c r="M76" s="25">
        <f>'TUSD BE'!$M$76*'TUSD BE'!$M$93</f>
        <v>-2.7655879255583996E-2</v>
      </c>
      <c r="N76" s="25">
        <f ca="1">'TUSD BE'!$N$76*'TUSD BE'!$N$93</f>
        <v>3.0544719483682954E-4</v>
      </c>
      <c r="O76" s="25">
        <f>'TUSD BE'!$O$76*'TUSD BE'!$O$93</f>
        <v>0</v>
      </c>
      <c r="P76" s="25">
        <f>'TUSD BE'!$P$76*'TUSD BE'!$P$93</f>
        <v>0</v>
      </c>
      <c r="Q76" s="25">
        <f>'TUSD BE'!$Q$76*'TUSD BE'!$Q$93</f>
        <v>-2.0021561294157815</v>
      </c>
      <c r="R76" s="25">
        <f>'TUSD BE'!$R$76*'TUSD BE'!$R$93</f>
        <v>-3.0415214814016535E-3</v>
      </c>
      <c r="S76" s="25">
        <f>'TUSD BE'!$R$76*'TUSD BE'!$S$93</f>
        <v>0</v>
      </c>
      <c r="T76" s="25">
        <f ca="1">SUM($L$76:$S$76)</f>
        <v>-2.0325480829579305</v>
      </c>
      <c r="U76" s="25">
        <f>'TUSD BE'!$U$76*'TUSD BE'!$U$93</f>
        <v>-0.28856023076300463</v>
      </c>
      <c r="V76" s="25">
        <f>'TUSD BE'!$V$76*'TUSD BE'!$V$93</f>
        <v>0.52709418269025543</v>
      </c>
      <c r="W76" s="25">
        <f>'TUSD BE'!$W$76*'TUSD BE'!$W$93</f>
        <v>5.6405471507755198E-3</v>
      </c>
      <c r="X76" s="25">
        <f>'TUSD BE'!$X$76*'TUSD BE'!$X$93</f>
        <v>0</v>
      </c>
      <c r="Y76" s="25">
        <f>'TUSD BE'!$Y$76*'TUSD BE'!$Y$93</f>
        <v>0</v>
      </c>
      <c r="Z76" s="25">
        <f>'TUSD BE'!$Z$76*'TUSD BE'!$Z$93</f>
        <v>0</v>
      </c>
      <c r="AA76" s="25">
        <f>'TUSD BE'!$AA$76*'TUSD BE'!$AA$93</f>
        <v>0</v>
      </c>
      <c r="AB76" s="25">
        <f>SUM($U$76:$AA$76)</f>
        <v>0.24417449907802632</v>
      </c>
      <c r="AC76" s="25">
        <f>'TUSD BE'!$AC$76*'TUSD BE'!$AC$93</f>
        <v>0</v>
      </c>
      <c r="AD76" s="25">
        <f>SUM($AC$76:$AC$76)</f>
        <v>0</v>
      </c>
      <c r="AE76" s="25">
        <f ca="1">$AO$76*$AO$90</f>
        <v>0</v>
      </c>
      <c r="AF76" s="25">
        <f ca="1">$AP$76*$AP$90</f>
        <v>0</v>
      </c>
      <c r="AG76" s="25">
        <f ca="1">SUM($AE$76:$AF$76)</f>
        <v>0</v>
      </c>
      <c r="AH76" s="25">
        <f>'TUSD BE'!$AH$76*'TUSD BE'!$AH$93</f>
        <v>-4.3481403756889812</v>
      </c>
      <c r="AI76" s="25">
        <f>'TUSD BE'!$AI$76*'TUSD BE'!$AI$93</f>
        <v>-0.16343940263048512</v>
      </c>
      <c r="AJ76" s="25">
        <f ca="1">'TUSD BE'!$AJ$76*'TUSD BE'!$AJ$93</f>
        <v>-2.048091626191018</v>
      </c>
      <c r="AK76" s="25">
        <f ca="1">'TUSD BE'!$AK$76*'TUSD BE'!$AK$93</f>
        <v>4.4214739047918873E-2</v>
      </c>
      <c r="AL76" s="25">
        <f ca="1">SUM($AH$76:$AK$76)</f>
        <v>-6.5154566654625645</v>
      </c>
      <c r="AM76" s="25">
        <f ca="1">SUMIF($L$4:$AL$4,"SUBTOTAL",$L$76:$AL$76)</f>
        <v>-8.3038302493424681</v>
      </c>
      <c r="AO76" s="30">
        <f ca="1">+'TUSD BE'!$T$76+'TUSD BE'!$AB$76+'TUSD BE'!$AD$76+'TUSD BE'!$AL$76</f>
        <v>268.65612143694341</v>
      </c>
      <c r="AP76" s="30">
        <f ca="1">+'TUSD BE'!$T$76+'TUSD BE'!$AB$76+'TUSD BE'!$AD$76+'TUSD BE'!$AL$76</f>
        <v>268.65612143694341</v>
      </c>
    </row>
    <row r="77" spans="1:42" ht="11.25" customHeight="1" x14ac:dyDescent="0.25">
      <c r="A77" s="119"/>
      <c r="B77" s="119" t="s">
        <v>102</v>
      </c>
      <c r="C77" s="119" t="s">
        <v>47</v>
      </c>
      <c r="D77" s="28" t="s">
        <v>25</v>
      </c>
      <c r="E77" s="28" t="s">
        <v>25</v>
      </c>
      <c r="F77" s="28" t="s">
        <v>25</v>
      </c>
      <c r="G77" s="21" t="s">
        <v>94</v>
      </c>
      <c r="H77" s="21" t="s">
        <v>88</v>
      </c>
      <c r="I77" s="21">
        <f>'MERCADO TUSD'!$U$74</f>
        <v>0</v>
      </c>
      <c r="J77" s="17"/>
      <c r="L77" s="25">
        <f>'TUSD BE'!$L$77*'TUSD BE'!$L$93</f>
        <v>0</v>
      </c>
      <c r="M77" s="25">
        <f>'TUSD BE'!$M$77*'TUSD BE'!$M$93</f>
        <v>-2.7655879255583996E-2</v>
      </c>
      <c r="N77" s="25">
        <f ca="1">'TUSD BE'!$N$77*'TUSD BE'!$N$93</f>
        <v>3.0544719483682954E-4</v>
      </c>
      <c r="O77" s="25">
        <f>'TUSD BE'!$O$77*'TUSD BE'!$O$93</f>
        <v>0</v>
      </c>
      <c r="P77" s="25">
        <f>'TUSD BE'!$P$77*'TUSD BE'!$P$93</f>
        <v>0</v>
      </c>
      <c r="Q77" s="25">
        <f>'TUSD BE'!$Q$77*'TUSD BE'!$Q$93</f>
        <v>-2.0021561294157815</v>
      </c>
      <c r="R77" s="25">
        <f>'TUSD BE'!$R$77*'TUSD BE'!$R$93</f>
        <v>-3.0415214814016535E-3</v>
      </c>
      <c r="S77" s="25">
        <f>'TUSD BE'!$R$77*'TUSD BE'!$S$93</f>
        <v>0</v>
      </c>
      <c r="T77" s="25">
        <f ca="1">SUM($L$77:$S$77)</f>
        <v>-2.0325480829579305</v>
      </c>
      <c r="U77" s="25">
        <f>'TUSD BE'!$U$77*'TUSD BE'!$U$93</f>
        <v>-0.28856023076300463</v>
      </c>
      <c r="V77" s="25">
        <f>'TUSD BE'!$V$77*'TUSD BE'!$V$93</f>
        <v>0.52709418269025543</v>
      </c>
      <c r="W77" s="25">
        <f>'TUSD BE'!$W$77*'TUSD BE'!$W$93</f>
        <v>5.6405471507755198E-3</v>
      </c>
      <c r="X77" s="25">
        <f>'TUSD BE'!$X$77*'TUSD BE'!$X$93</f>
        <v>0</v>
      </c>
      <c r="Y77" s="25">
        <f>'TUSD BE'!$Y$77*'TUSD BE'!$Y$93</f>
        <v>0</v>
      </c>
      <c r="Z77" s="25">
        <f>'TUSD BE'!$Z$77*'TUSD BE'!$Z$93</f>
        <v>0</v>
      </c>
      <c r="AA77" s="25">
        <f>'TUSD BE'!$AA$77*'TUSD BE'!$AA$93</f>
        <v>0</v>
      </c>
      <c r="AB77" s="25">
        <f>SUM($U$77:$AA$77)</f>
        <v>0.24417449907802632</v>
      </c>
      <c r="AC77" s="25">
        <f>'TUSD BE'!$AC$77*'TUSD BE'!$AC$93</f>
        <v>0</v>
      </c>
      <c r="AD77" s="25">
        <f>SUM($AC$77:$AC$77)</f>
        <v>0</v>
      </c>
      <c r="AE77" s="25">
        <f ca="1">$AO$77*$AO$90</f>
        <v>0</v>
      </c>
      <c r="AF77" s="25">
        <f ca="1">$AP$77*$AP$90</f>
        <v>0</v>
      </c>
      <c r="AG77" s="25">
        <f ca="1">SUM($AE$77:$AF$77)</f>
        <v>0</v>
      </c>
      <c r="AH77" s="25">
        <f>'TUSD BE'!$AH$77*'TUSD BE'!$AH$93</f>
        <v>-4.3481403756889812</v>
      </c>
      <c r="AI77" s="25">
        <f>'TUSD BE'!$AI$77*'TUSD BE'!$AI$93</f>
        <v>-0.16343940263048512</v>
      </c>
      <c r="AJ77" s="25">
        <f ca="1">'TUSD BE'!$AJ$77*'TUSD BE'!$AJ$93</f>
        <v>-2.048091626191018</v>
      </c>
      <c r="AK77" s="25">
        <f ca="1">'TUSD BE'!$AK$77*'TUSD BE'!$AK$93</f>
        <v>4.4214739047918873E-2</v>
      </c>
      <c r="AL77" s="25">
        <f ca="1">SUM($AH$77:$AK$77)</f>
        <v>-6.5154566654625645</v>
      </c>
      <c r="AM77" s="25">
        <f ca="1">SUMIF($L$4:$AL$4,"SUBTOTAL",$L$77:$AL$77)</f>
        <v>-8.3038302493424681</v>
      </c>
      <c r="AO77" s="30">
        <f ca="1">+'TUSD BE'!$T$77+'TUSD BE'!$AB$77+'TUSD BE'!$AD$77+'TUSD BE'!$AL$77</f>
        <v>268.65612143694341</v>
      </c>
      <c r="AP77" s="30">
        <f ca="1">+'TUSD BE'!$T$77+'TUSD BE'!$AB$77+'TUSD BE'!$AD$77+'TUSD BE'!$AL$77</f>
        <v>268.65612143694341</v>
      </c>
    </row>
    <row r="78" spans="1:42" ht="11.25" customHeight="1" x14ac:dyDescent="0.25">
      <c r="A78" s="119"/>
      <c r="B78" s="119"/>
      <c r="C78" s="119"/>
      <c r="D78" s="28" t="s">
        <v>103</v>
      </c>
      <c r="E78" s="28" t="s">
        <v>25</v>
      </c>
      <c r="F78" s="28" t="s">
        <v>25</v>
      </c>
      <c r="G78" s="21" t="s">
        <v>94</v>
      </c>
      <c r="H78" s="21" t="s">
        <v>88</v>
      </c>
      <c r="I78" s="21">
        <f>'MERCADO TUSD'!$U$75</f>
        <v>0</v>
      </c>
      <c r="J78" s="17"/>
      <c r="L78" s="25">
        <f>'TUSD BE'!$L$78*'TUSD BE'!$L$93</f>
        <v>0</v>
      </c>
      <c r="M78" s="25">
        <f>'TUSD BE'!$M$78*'TUSD BE'!$M$93</f>
        <v>-2.7655879255583996E-2</v>
      </c>
      <c r="N78" s="25">
        <f ca="1">'TUSD BE'!$N$78*'TUSD BE'!$N$93</f>
        <v>3.0544719483682954E-4</v>
      </c>
      <c r="O78" s="25">
        <f>'TUSD BE'!$O$78*'TUSD BE'!$O$93</f>
        <v>0</v>
      </c>
      <c r="P78" s="25">
        <f>'TUSD BE'!$P$78*'TUSD BE'!$P$93</f>
        <v>0</v>
      </c>
      <c r="Q78" s="25">
        <f>'TUSD BE'!$Q$78*'TUSD BE'!$Q$93</f>
        <v>-2.0021561294157815</v>
      </c>
      <c r="R78" s="25">
        <f>'TUSD BE'!$R$78*'TUSD BE'!$R$93</f>
        <v>-3.0415214814016535E-3</v>
      </c>
      <c r="S78" s="25">
        <f>'TUSD BE'!$R$78*'TUSD BE'!$S$93</f>
        <v>0</v>
      </c>
      <c r="T78" s="25">
        <f ca="1">SUM($L$78:$S$78)</f>
        <v>-2.0325480829579305</v>
      </c>
      <c r="U78" s="25">
        <f>'TUSD BE'!$U$78*'TUSD BE'!$U$93</f>
        <v>-0.28856023076300463</v>
      </c>
      <c r="V78" s="25">
        <f>'TUSD BE'!$V$78*'TUSD BE'!$V$93</f>
        <v>0.52709418269025543</v>
      </c>
      <c r="W78" s="25">
        <f>'TUSD BE'!$W$78*'TUSD BE'!$W$93</f>
        <v>5.6405471507755198E-3</v>
      </c>
      <c r="X78" s="25">
        <f>'TUSD BE'!$X$78*'TUSD BE'!$X$93</f>
        <v>0</v>
      </c>
      <c r="Y78" s="25">
        <f>'TUSD BE'!$Y$78*'TUSD BE'!$Y$93</f>
        <v>0</v>
      </c>
      <c r="Z78" s="25">
        <f>'TUSD BE'!$Z$78*'TUSD BE'!$Z$93</f>
        <v>0</v>
      </c>
      <c r="AA78" s="25">
        <f>'TUSD BE'!$AA$78*'TUSD BE'!$AA$93</f>
        <v>0</v>
      </c>
      <c r="AB78" s="25">
        <f>SUM($U$78:$AA$78)</f>
        <v>0.24417449907802632</v>
      </c>
      <c r="AC78" s="25">
        <f>'TUSD BE'!$AC$78*'TUSD BE'!$AC$93</f>
        <v>0</v>
      </c>
      <c r="AD78" s="25">
        <f>SUM($AC$78:$AC$78)</f>
        <v>0</v>
      </c>
      <c r="AE78" s="25">
        <f ca="1">$AO$78*$AO$90</f>
        <v>0</v>
      </c>
      <c r="AF78" s="25">
        <f ca="1">$AP$78*$AP$90</f>
        <v>0</v>
      </c>
      <c r="AG78" s="25">
        <f ca="1">SUM($AE$78:$AF$78)</f>
        <v>0</v>
      </c>
      <c r="AH78" s="25">
        <f>'TUSD BE'!$AH$78*'TUSD BE'!$AH$93</f>
        <v>-4.3481403756889812</v>
      </c>
      <c r="AI78" s="25">
        <f>'TUSD BE'!$AI$78*'TUSD BE'!$AI$93</f>
        <v>-0.16343940263048512</v>
      </c>
      <c r="AJ78" s="25">
        <f ca="1">'TUSD BE'!$AJ$78*'TUSD BE'!$AJ$93</f>
        <v>-2.048091626191018</v>
      </c>
      <c r="AK78" s="25">
        <f ca="1">'TUSD BE'!$AK$78*'TUSD BE'!$AK$93</f>
        <v>4.4214739047918873E-2</v>
      </c>
      <c r="AL78" s="25">
        <f ca="1">SUM($AH$78:$AK$78)</f>
        <v>-6.5154566654625645</v>
      </c>
      <c r="AM78" s="25">
        <f ca="1">SUMIF($L$4:$AL$4,"SUBTOTAL",$L$78:$AL$78)</f>
        <v>-8.3038302493424681</v>
      </c>
      <c r="AO78" s="30">
        <f ca="1">+'TUSD BE'!$T$78+'TUSD BE'!$AB$78+'TUSD BE'!$AD$78+'TUSD BE'!$AL$78</f>
        <v>268.65612143694341</v>
      </c>
      <c r="AP78" s="30">
        <f ca="1">+'TUSD BE'!$T$78+'TUSD BE'!$AB$78+'TUSD BE'!$AD$78+'TUSD BE'!$AL$78</f>
        <v>268.65612143694341</v>
      </c>
    </row>
    <row r="79" spans="1:42" ht="11.25" customHeight="1" x14ac:dyDescent="0.25">
      <c r="A79" s="119"/>
      <c r="B79" s="119"/>
      <c r="C79" s="119"/>
      <c r="D79" s="28" t="s">
        <v>104</v>
      </c>
      <c r="E79" s="28" t="s">
        <v>25</v>
      </c>
      <c r="F79" s="28" t="s">
        <v>25</v>
      </c>
      <c r="G79" s="21" t="s">
        <v>94</v>
      </c>
      <c r="H79" s="21" t="s">
        <v>88</v>
      </c>
      <c r="I79" s="21">
        <f>'MERCADO TUSD'!$U$76</f>
        <v>0</v>
      </c>
      <c r="J79" s="17"/>
      <c r="L79" s="25">
        <f>'TUSD BE'!$L$79*'TUSD BE'!$L$93</f>
        <v>0</v>
      </c>
      <c r="M79" s="25">
        <f>'TUSD BE'!$M$79*'TUSD BE'!$M$93</f>
        <v>-2.7655879255583996E-2</v>
      </c>
      <c r="N79" s="25">
        <f ca="1">'TUSD BE'!$N$79*'TUSD BE'!$N$93</f>
        <v>3.0544719483682954E-4</v>
      </c>
      <c r="O79" s="25">
        <f>'TUSD BE'!$O$79*'TUSD BE'!$O$93</f>
        <v>0</v>
      </c>
      <c r="P79" s="25">
        <f>'TUSD BE'!$P$79*'TUSD BE'!$P$93</f>
        <v>0</v>
      </c>
      <c r="Q79" s="25">
        <f>'TUSD BE'!$Q$79*'TUSD BE'!$Q$93</f>
        <v>-2.0021561294157815</v>
      </c>
      <c r="R79" s="25">
        <f>'TUSD BE'!$R$79*'TUSD BE'!$R$93</f>
        <v>-3.0415214814016535E-3</v>
      </c>
      <c r="S79" s="25">
        <f>'TUSD BE'!$R$79*'TUSD BE'!$S$93</f>
        <v>0</v>
      </c>
      <c r="T79" s="25">
        <f ca="1">SUM($L$79:$S$79)</f>
        <v>-2.0325480829579305</v>
      </c>
      <c r="U79" s="25">
        <f>'TUSD BE'!$U$79*'TUSD BE'!$U$93</f>
        <v>-0.28856023076300463</v>
      </c>
      <c r="V79" s="25">
        <f>'TUSD BE'!$V$79*'TUSD BE'!$V$93</f>
        <v>0.52709418269025543</v>
      </c>
      <c r="W79" s="25">
        <f>'TUSD BE'!$W$79*'TUSD BE'!$W$93</f>
        <v>5.6405471507755198E-3</v>
      </c>
      <c r="X79" s="25">
        <f>'TUSD BE'!$X$79*'TUSD BE'!$X$93</f>
        <v>0</v>
      </c>
      <c r="Y79" s="25">
        <f>'TUSD BE'!$Y$79*'TUSD BE'!$Y$93</f>
        <v>0</v>
      </c>
      <c r="Z79" s="25">
        <f>'TUSD BE'!$Z$79*'TUSD BE'!$Z$93</f>
        <v>0</v>
      </c>
      <c r="AA79" s="25">
        <f>'TUSD BE'!$AA$79*'TUSD BE'!$AA$93</f>
        <v>0</v>
      </c>
      <c r="AB79" s="25">
        <f>SUM($U$79:$AA$79)</f>
        <v>0.24417449907802632</v>
      </c>
      <c r="AC79" s="25">
        <f>'TUSD BE'!$AC$79*'TUSD BE'!$AC$93</f>
        <v>0</v>
      </c>
      <c r="AD79" s="25">
        <f>SUM($AC$79:$AC$79)</f>
        <v>0</v>
      </c>
      <c r="AE79" s="25">
        <f ca="1">$AO$79*$AO$90</f>
        <v>0</v>
      </c>
      <c r="AF79" s="25">
        <f ca="1">$AP$79*$AP$90</f>
        <v>0</v>
      </c>
      <c r="AG79" s="25">
        <f ca="1">SUM($AE$79:$AF$79)</f>
        <v>0</v>
      </c>
      <c r="AH79" s="25">
        <f>'TUSD BE'!$AH$79*'TUSD BE'!$AH$93</f>
        <v>-4.3481403756889812</v>
      </c>
      <c r="AI79" s="25">
        <f>'TUSD BE'!$AI$79*'TUSD BE'!$AI$93</f>
        <v>-0.16343940263048512</v>
      </c>
      <c r="AJ79" s="25">
        <f ca="1">'TUSD BE'!$AJ$79*'TUSD BE'!$AJ$93</f>
        <v>-2.048091626191018</v>
      </c>
      <c r="AK79" s="25">
        <f ca="1">'TUSD BE'!$AK$79*'TUSD BE'!$AK$93</f>
        <v>4.4214739047918873E-2</v>
      </c>
      <c r="AL79" s="25">
        <f ca="1">SUM($AH$79:$AK$79)</f>
        <v>-6.5154566654625645</v>
      </c>
      <c r="AM79" s="25">
        <f ca="1">SUMIF($L$4:$AL$4,"SUBTOTAL",$L$79:$AL$79)</f>
        <v>-8.3038302493424681</v>
      </c>
      <c r="AO79" s="30">
        <f ca="1">+'TUSD BE'!$T$79+'TUSD BE'!$AB$79+'TUSD BE'!$AD$79+'TUSD BE'!$AL$79</f>
        <v>268.65612143694341</v>
      </c>
      <c r="AP79" s="30">
        <f ca="1">+'TUSD BE'!$T$79+'TUSD BE'!$AB$79+'TUSD BE'!$AD$79+'TUSD BE'!$AL$79</f>
        <v>268.65612143694341</v>
      </c>
    </row>
    <row r="80" spans="1:42" ht="11.25" customHeight="1" x14ac:dyDescent="0.25">
      <c r="A80" s="119" t="s">
        <v>39</v>
      </c>
      <c r="B80" s="119" t="s">
        <v>37</v>
      </c>
      <c r="C80" s="119" t="s">
        <v>25</v>
      </c>
      <c r="D80" s="119" t="s">
        <v>25</v>
      </c>
      <c r="E80" s="119" t="s">
        <v>25</v>
      </c>
      <c r="F80" s="119" t="s">
        <v>25</v>
      </c>
      <c r="G80" s="21" t="s">
        <v>89</v>
      </c>
      <c r="H80" s="21" t="s">
        <v>88</v>
      </c>
      <c r="I80" s="21">
        <f>'MERCADO TUSD'!$U$77</f>
        <v>133.67100000000025</v>
      </c>
      <c r="J80" s="17"/>
      <c r="L80" s="25">
        <f>'TUSD BE'!$L$80*'TUSD BE'!$L$93</f>
        <v>0</v>
      </c>
      <c r="M80" s="25">
        <f>'TUSD BE'!$M$80*'TUSD BE'!$M$93</f>
        <v>-2.7655879255583996E-2</v>
      </c>
      <c r="N80" s="25">
        <f ca="1">'TUSD BE'!$N$80*'TUSD BE'!$N$93</f>
        <v>7.3848648813093433E-4</v>
      </c>
      <c r="O80" s="25">
        <f>'TUSD BE'!$O$80*'TUSD BE'!$O$93</f>
        <v>0</v>
      </c>
      <c r="P80" s="25">
        <f>'TUSD BE'!$P$80*'TUSD BE'!$P$93</f>
        <v>0</v>
      </c>
      <c r="Q80" s="25">
        <f>'TUSD BE'!$Q$80*'TUSD BE'!$Q$93</f>
        <v>-2.0021561294157815</v>
      </c>
      <c r="R80" s="25">
        <f>'TUSD BE'!$R$80*'TUSD BE'!$R$93</f>
        <v>-3.0415214814016535E-3</v>
      </c>
      <c r="S80" s="25">
        <f>'TUSD BE'!$R$80*'TUSD BE'!$S$93</f>
        <v>0</v>
      </c>
      <c r="T80" s="25">
        <f ca="1">SUM($L$80:$S$80)</f>
        <v>-2.032115043664636</v>
      </c>
      <c r="U80" s="25">
        <f>'TUSD BE'!$U$80*'TUSD BE'!$U$93</f>
        <v>-0.92339549815499722</v>
      </c>
      <c r="V80" s="25">
        <f>'TUSD BE'!$V$80*'TUSD BE'!$V$93</f>
        <v>1.6866781389998782</v>
      </c>
      <c r="W80" s="25">
        <f>'TUSD BE'!$W$80*'TUSD BE'!$W$93</f>
        <v>1.805330318388116E-2</v>
      </c>
      <c r="X80" s="25">
        <f>'TUSD BE'!$X$80*'TUSD BE'!$X$93</f>
        <v>0</v>
      </c>
      <c r="Y80" s="25">
        <f>'TUSD BE'!$Y$80*'TUSD BE'!$Y$93</f>
        <v>0</v>
      </c>
      <c r="Z80" s="25">
        <f>'TUSD BE'!$Z$80*'TUSD BE'!$Z$93</f>
        <v>0</v>
      </c>
      <c r="AA80" s="25">
        <f>'TUSD BE'!$AA$80*'TUSD BE'!$AA$93</f>
        <v>0</v>
      </c>
      <c r="AB80" s="25">
        <f>SUM($U$80:$AA$80)</f>
        <v>0.78133594402876216</v>
      </c>
      <c r="AC80" s="25">
        <f>'TUSD BE'!$AC$80*'TUSD BE'!$AC$93</f>
        <v>0</v>
      </c>
      <c r="AD80" s="25">
        <f>SUM($AC$80:$AC$80)</f>
        <v>0</v>
      </c>
      <c r="AE80" s="25">
        <f ca="1">$AO$80*$AO$90</f>
        <v>0</v>
      </c>
      <c r="AF80" s="25">
        <f ca="1">$AP$80*$AP$90</f>
        <v>0</v>
      </c>
      <c r="AG80" s="25">
        <f ca="1">SUM($AE$80:$AF$80)</f>
        <v>0</v>
      </c>
      <c r="AH80" s="25">
        <f>'TUSD BE'!$AH$80*'TUSD BE'!$AH$93</f>
        <v>-4.3481403756889812</v>
      </c>
      <c r="AI80" s="25">
        <f>'TUSD BE'!$AI$80*'TUSD BE'!$AI$93</f>
        <v>-0.16343940263048512</v>
      </c>
      <c r="AJ80" s="25">
        <f ca="1">'TUSD BE'!$AJ$80*'TUSD BE'!$AJ$93</f>
        <v>-2.048091626191018</v>
      </c>
      <c r="AK80" s="25">
        <f ca="1">'TUSD BE'!$AK$80*'TUSD BE'!$AK$93</f>
        <v>4.4214739047918873E-2</v>
      </c>
      <c r="AL80" s="25">
        <f ca="1">SUM($AH$80:$AK$80)</f>
        <v>-6.5154566654625645</v>
      </c>
      <c r="AM80" s="25">
        <f ca="1">SUMIF($L$4:$AL$4,"SUBTOTAL",$L$80:$AL$80)</f>
        <v>-7.7662357650984379</v>
      </c>
      <c r="AO80" s="30">
        <f ca="1">+'TUSD BE'!$T$80+'TUSD BE'!$AB$80+'TUSD BE'!$AD$80+'TUSD BE'!$AL$80</f>
        <v>617.02362518114501</v>
      </c>
      <c r="AP80" s="30">
        <f ca="1">+'TUSD BE'!$T$80+'TUSD BE'!$AB$80+'TUSD BE'!$AD$80+'TUSD BE'!$AL$80</f>
        <v>617.02362518114501</v>
      </c>
    </row>
    <row r="81" spans="1:42" ht="11.25" customHeight="1" x14ac:dyDescent="0.25">
      <c r="A81" s="119"/>
      <c r="B81" s="119"/>
      <c r="C81" s="119"/>
      <c r="D81" s="119"/>
      <c r="E81" s="119"/>
      <c r="F81" s="119"/>
      <c r="G81" s="21" t="s">
        <v>100</v>
      </c>
      <c r="H81" s="21" t="s">
        <v>88</v>
      </c>
      <c r="I81" s="21">
        <f>'MERCADO TUSD'!$U$78</f>
        <v>52.353999999999928</v>
      </c>
      <c r="J81" s="17"/>
      <c r="L81" s="25">
        <f>'TUSD BE'!$L$81*'TUSD BE'!$L$93</f>
        <v>0</v>
      </c>
      <c r="M81" s="25">
        <f>'TUSD BE'!$M$81*'TUSD BE'!$M$93</f>
        <v>-2.7655879255583996E-2</v>
      </c>
      <c r="N81" s="25">
        <f ca="1">'TUSD BE'!$N$81*'TUSD BE'!$N$93</f>
        <v>4.8653615918520601E-4</v>
      </c>
      <c r="O81" s="25">
        <f>'TUSD BE'!$O$81*'TUSD BE'!$O$93</f>
        <v>0</v>
      </c>
      <c r="P81" s="25">
        <f>'TUSD BE'!$P$81*'TUSD BE'!$P$93</f>
        <v>0</v>
      </c>
      <c r="Q81" s="25">
        <f>'TUSD BE'!$Q$81*'TUSD BE'!$Q$93</f>
        <v>-2.0021561294157815</v>
      </c>
      <c r="R81" s="25">
        <f>'TUSD BE'!$R$81*'TUSD BE'!$R$93</f>
        <v>-3.0415214814016535E-3</v>
      </c>
      <c r="S81" s="25">
        <f>'TUSD BE'!$R$81*'TUSD BE'!$S$93</f>
        <v>0</v>
      </c>
      <c r="T81" s="25">
        <f ca="1">SUM($L$81:$S$81)</f>
        <v>-2.0323669939935818</v>
      </c>
      <c r="U81" s="25">
        <f>'TUSD BE'!$U$81*'TUSD BE'!$U$93</f>
        <v>-0.55403545908407681</v>
      </c>
      <c r="V81" s="25">
        <f>'TUSD BE'!$V$81*'TUSD BE'!$V$93</f>
        <v>1.0119975851563514</v>
      </c>
      <c r="W81" s="25">
        <f>'TUSD BE'!$W$81*'TUSD BE'!$W$93</f>
        <v>1.0831981910328697E-2</v>
      </c>
      <c r="X81" s="25">
        <f>'TUSD BE'!$X$81*'TUSD BE'!$X$93</f>
        <v>0</v>
      </c>
      <c r="Y81" s="25">
        <f>'TUSD BE'!$Y$81*'TUSD BE'!$Y$93</f>
        <v>0</v>
      </c>
      <c r="Z81" s="25">
        <f>'TUSD BE'!$Z$81*'TUSD BE'!$Z$93</f>
        <v>0</v>
      </c>
      <c r="AA81" s="25">
        <f>'TUSD BE'!$AA$81*'TUSD BE'!$AA$93</f>
        <v>0</v>
      </c>
      <c r="AB81" s="25">
        <f>SUM($U$81:$AA$81)</f>
        <v>0.46879410798260329</v>
      </c>
      <c r="AC81" s="25">
        <f>'TUSD BE'!$AC$81*'TUSD BE'!$AC$93</f>
        <v>0</v>
      </c>
      <c r="AD81" s="25">
        <f>SUM($AC$81:$AC$81)</f>
        <v>0</v>
      </c>
      <c r="AE81" s="25">
        <f ca="1">$AO$81*$AO$90</f>
        <v>0</v>
      </c>
      <c r="AF81" s="25">
        <f ca="1">$AP$81*$AP$90</f>
        <v>0</v>
      </c>
      <c r="AG81" s="25">
        <f ca="1">SUM($AE$81:$AF$81)</f>
        <v>0</v>
      </c>
      <c r="AH81" s="25">
        <f>'TUSD BE'!$AH$81*'TUSD BE'!$AH$93</f>
        <v>-4.3481403756889812</v>
      </c>
      <c r="AI81" s="25">
        <f>'TUSD BE'!$AI$81*'TUSD BE'!$AI$93</f>
        <v>-0.16343940263048512</v>
      </c>
      <c r="AJ81" s="25">
        <f ca="1">'TUSD BE'!$AJ$81*'TUSD BE'!$AJ$93</f>
        <v>-2.048091626191018</v>
      </c>
      <c r="AK81" s="25">
        <f ca="1">'TUSD BE'!$AK$81*'TUSD BE'!$AK$93</f>
        <v>4.4214739047918873E-2</v>
      </c>
      <c r="AL81" s="25">
        <f ca="1">SUM($AH$81:$AK$81)</f>
        <v>-6.5154566654625645</v>
      </c>
      <c r="AM81" s="25">
        <f ca="1">SUMIF($L$4:$AL$4,"SUBTOTAL",$L$81:$AL$81)</f>
        <v>-8.0790295514735426</v>
      </c>
      <c r="AO81" s="30">
        <f ca="1">+'TUSD BE'!$T$81+'TUSD BE'!$AB$81+'TUSD BE'!$AD$81+'TUSD BE'!$AL$81</f>
        <v>414.33674388100781</v>
      </c>
      <c r="AP81" s="30">
        <f ca="1">+'TUSD BE'!$T$81+'TUSD BE'!$AB$81+'TUSD BE'!$AD$81+'TUSD BE'!$AL$81</f>
        <v>414.33674388100781</v>
      </c>
    </row>
    <row r="82" spans="1:42" ht="11.25" customHeight="1" x14ac:dyDescent="0.25">
      <c r="A82" s="119"/>
      <c r="B82" s="119"/>
      <c r="C82" s="119"/>
      <c r="D82" s="119"/>
      <c r="E82" s="119"/>
      <c r="F82" s="119"/>
      <c r="G82" s="21" t="s">
        <v>90</v>
      </c>
      <c r="H82" s="21" t="s">
        <v>88</v>
      </c>
      <c r="I82" s="21">
        <f>'MERCADO TUSD'!$U$79</f>
        <v>4172.1789999999992</v>
      </c>
      <c r="J82" s="17"/>
      <c r="L82" s="25">
        <f>'TUSD BE'!$L$82*'TUSD BE'!$L$93</f>
        <v>0</v>
      </c>
      <c r="M82" s="25">
        <f>'TUSD BE'!$M$82*'TUSD BE'!$M$93</f>
        <v>-2.7655879255583996E-2</v>
      </c>
      <c r="N82" s="25">
        <f ca="1">'TUSD BE'!$N$82*'TUSD BE'!$N$93</f>
        <v>2.3458621957052152E-4</v>
      </c>
      <c r="O82" s="25">
        <f>'TUSD BE'!$O$82*'TUSD BE'!$O$93</f>
        <v>0</v>
      </c>
      <c r="P82" s="25">
        <f>'TUSD BE'!$P$82*'TUSD BE'!$P$93</f>
        <v>0</v>
      </c>
      <c r="Q82" s="25">
        <f>'TUSD BE'!$Q$82*'TUSD BE'!$Q$93</f>
        <v>-2.0021561294157815</v>
      </c>
      <c r="R82" s="25">
        <f>'TUSD BE'!$R$82*'TUSD BE'!$R$93</f>
        <v>-3.0415214814016535E-3</v>
      </c>
      <c r="S82" s="25">
        <f>'TUSD BE'!$R$82*'TUSD BE'!$S$93</f>
        <v>0</v>
      </c>
      <c r="T82" s="25">
        <f ca="1">SUM($L$82:$S$82)</f>
        <v>-2.0326189439331968</v>
      </c>
      <c r="U82" s="25">
        <f>'TUSD BE'!$U$82*'TUSD BE'!$U$93</f>
        <v>-0.18468001953546015</v>
      </c>
      <c r="V82" s="25">
        <f>'TUSD BE'!$V$82*'TUSD BE'!$V$93</f>
        <v>0.33734027692176349</v>
      </c>
      <c r="W82" s="25">
        <f>'TUSD BE'!$W$82*'TUSD BE'!$W$93</f>
        <v>3.6106606367762323E-3</v>
      </c>
      <c r="X82" s="25">
        <f>'TUSD BE'!$X$82*'TUSD BE'!$X$93</f>
        <v>0</v>
      </c>
      <c r="Y82" s="25">
        <f>'TUSD BE'!$Y$82*'TUSD BE'!$Y$93</f>
        <v>0</v>
      </c>
      <c r="Z82" s="25">
        <f>'TUSD BE'!$Z$82*'TUSD BE'!$Z$93</f>
        <v>0</v>
      </c>
      <c r="AA82" s="25">
        <f>'TUSD BE'!$AA$82*'TUSD BE'!$AA$93</f>
        <v>0</v>
      </c>
      <c r="AB82" s="25">
        <f>SUM($U$82:$AA$82)</f>
        <v>0.15627091802307957</v>
      </c>
      <c r="AC82" s="25">
        <f>'TUSD BE'!$AC$82*'TUSD BE'!$AC$93</f>
        <v>0</v>
      </c>
      <c r="AD82" s="25">
        <f>SUM($AC$82:$AC$82)</f>
        <v>0</v>
      </c>
      <c r="AE82" s="25">
        <f ca="1">$AO$82*$AO$90</f>
        <v>0</v>
      </c>
      <c r="AF82" s="25">
        <f ca="1">$AP$82*$AP$90</f>
        <v>0</v>
      </c>
      <c r="AG82" s="25">
        <f ca="1">SUM($AE$82:$AF$82)</f>
        <v>0</v>
      </c>
      <c r="AH82" s="25">
        <f>'TUSD BE'!$AH$82*'TUSD BE'!$AH$93</f>
        <v>-4.3481403756889812</v>
      </c>
      <c r="AI82" s="25">
        <f>'TUSD BE'!$AI$82*'TUSD BE'!$AI$93</f>
        <v>-0.16343940263048512</v>
      </c>
      <c r="AJ82" s="25">
        <f ca="1">'TUSD BE'!$AJ$82*'TUSD BE'!$AJ$93</f>
        <v>-2.048091626191018</v>
      </c>
      <c r="AK82" s="25">
        <f ca="1">'TUSD BE'!$AK$82*'TUSD BE'!$AK$93</f>
        <v>4.4214739047918873E-2</v>
      </c>
      <c r="AL82" s="25">
        <f ca="1">SUM($AH$82:$AK$82)</f>
        <v>-6.5154566654625645</v>
      </c>
      <c r="AM82" s="25">
        <f ca="1">SUMIF($L$4:$AL$4,"SUBTOTAL",$L$82:$AL$82)</f>
        <v>-8.3918046913726823</v>
      </c>
      <c r="AO82" s="30">
        <f ca="1">+'TUSD BE'!$T$82+'TUSD BE'!$AB$82+'TUSD BE'!$AD$82+'TUSD BE'!$AL$82</f>
        <v>211.65093654140225</v>
      </c>
      <c r="AP82" s="30">
        <f ca="1">+'TUSD BE'!$T$82+'TUSD BE'!$AB$82+'TUSD BE'!$AD$82+'TUSD BE'!$AL$82</f>
        <v>211.65093654140225</v>
      </c>
    </row>
    <row r="83" spans="1:42" ht="11.25" customHeight="1" x14ac:dyDescent="0.25">
      <c r="A83" s="119"/>
      <c r="B83" s="28" t="s">
        <v>23</v>
      </c>
      <c r="C83" s="28" t="s">
        <v>25</v>
      </c>
      <c r="D83" s="28" t="s">
        <v>25</v>
      </c>
      <c r="E83" s="28" t="s">
        <v>25</v>
      </c>
      <c r="F83" s="28" t="s">
        <v>25</v>
      </c>
      <c r="G83" s="21" t="s">
        <v>94</v>
      </c>
      <c r="H83" s="21" t="s">
        <v>88</v>
      </c>
      <c r="I83" s="21">
        <f>'MERCADO TUSD'!$U$80</f>
        <v>1033015.7139999998</v>
      </c>
      <c r="J83" s="17"/>
      <c r="L83" s="25">
        <f>'TUSD BE'!$L$83*'TUSD BE'!$L$93</f>
        <v>0</v>
      </c>
      <c r="M83" s="25">
        <f>'TUSD BE'!$M$83*'TUSD BE'!$M$93</f>
        <v>-2.7655879255583996E-2</v>
      </c>
      <c r="N83" s="25">
        <f ca="1">'TUSD BE'!$N$83*'TUSD BE'!$N$93</f>
        <v>3.0544719483682954E-4</v>
      </c>
      <c r="O83" s="25">
        <f>'TUSD BE'!$O$83*'TUSD BE'!$O$93</f>
        <v>0</v>
      </c>
      <c r="P83" s="25">
        <f>'TUSD BE'!$P$83*'TUSD BE'!$P$93</f>
        <v>0</v>
      </c>
      <c r="Q83" s="25">
        <f>'TUSD BE'!$Q$83*'TUSD BE'!$Q$93</f>
        <v>-2.0021561294157815</v>
      </c>
      <c r="R83" s="25">
        <f>'TUSD BE'!$R$83*'TUSD BE'!$R$93</f>
        <v>-3.0415214814016535E-3</v>
      </c>
      <c r="S83" s="25">
        <f>'TUSD BE'!$R$83*'TUSD BE'!$S$93</f>
        <v>0</v>
      </c>
      <c r="T83" s="25">
        <f ca="1">SUM($L$83:$S$83)</f>
        <v>-2.0325480829579305</v>
      </c>
      <c r="U83" s="25">
        <f>'TUSD BE'!$U$83*'TUSD BE'!$U$93</f>
        <v>-0.28856023076300463</v>
      </c>
      <c r="V83" s="25">
        <f>'TUSD BE'!$V$83*'TUSD BE'!$V$93</f>
        <v>0.52709418269025543</v>
      </c>
      <c r="W83" s="25">
        <f>'TUSD BE'!$W$83*'TUSD BE'!$W$93</f>
        <v>5.6405471507755198E-3</v>
      </c>
      <c r="X83" s="25">
        <f>'TUSD BE'!$X$83*'TUSD BE'!$X$93</f>
        <v>0</v>
      </c>
      <c r="Y83" s="25">
        <f>'TUSD BE'!$Y$83*'TUSD BE'!$Y$93</f>
        <v>0</v>
      </c>
      <c r="Z83" s="25">
        <f>'TUSD BE'!$Z$83*'TUSD BE'!$Z$93</f>
        <v>0</v>
      </c>
      <c r="AA83" s="25">
        <f>'TUSD BE'!$AA$83*'TUSD BE'!$AA$93</f>
        <v>0</v>
      </c>
      <c r="AB83" s="25">
        <f>SUM($U$83:$AA$83)</f>
        <v>0.24417449907802632</v>
      </c>
      <c r="AC83" s="25">
        <f>'TUSD BE'!$AC$83*'TUSD BE'!$AC$93</f>
        <v>0</v>
      </c>
      <c r="AD83" s="25">
        <f>SUM($AC$83:$AC$83)</f>
        <v>0</v>
      </c>
      <c r="AE83" s="25">
        <f ca="1">$AO$83*$AO$90</f>
        <v>0</v>
      </c>
      <c r="AF83" s="25">
        <f ca="1">$AP$83*$AP$90</f>
        <v>0</v>
      </c>
      <c r="AG83" s="25">
        <f ca="1">SUM($AE$83:$AF$83)</f>
        <v>0</v>
      </c>
      <c r="AH83" s="25">
        <f>'TUSD BE'!$AH$83*'TUSD BE'!$AH$93</f>
        <v>-4.3481403756889812</v>
      </c>
      <c r="AI83" s="25">
        <f>'TUSD BE'!$AI$83*'TUSD BE'!$AI$93</f>
        <v>-0.16343940263048512</v>
      </c>
      <c r="AJ83" s="25">
        <f ca="1">'TUSD BE'!$AJ$83*'TUSD BE'!$AJ$93</f>
        <v>-2.048091626191018</v>
      </c>
      <c r="AK83" s="25">
        <f ca="1">'TUSD BE'!$AK$83*'TUSD BE'!$AK$93</f>
        <v>4.4214739047918873E-2</v>
      </c>
      <c r="AL83" s="25">
        <f ca="1">SUM($AH$83:$AK$83)</f>
        <v>-6.5154566654625645</v>
      </c>
      <c r="AM83" s="25">
        <f ca="1">SUMIF($L$4:$AL$4,"SUBTOTAL",$L$83:$AL$83)</f>
        <v>-8.3038302493424681</v>
      </c>
      <c r="AO83" s="30">
        <f ca="1">+'TUSD BE'!$T$83+'TUSD BE'!$AB$83+'TUSD BE'!$AD$83+'TUSD BE'!$AL$83</f>
        <v>268.65612143694341</v>
      </c>
      <c r="AP83" s="30">
        <f ca="1">+'TUSD BE'!$T$83+'TUSD BE'!$AB$83+'TUSD BE'!$AD$83+'TUSD BE'!$AL$83</f>
        <v>268.65612143694341</v>
      </c>
    </row>
    <row r="84" spans="1:42" ht="11.25" customHeight="1" x14ac:dyDescent="0.25">
      <c r="A84" s="119"/>
      <c r="B84" s="28" t="s">
        <v>102</v>
      </c>
      <c r="C84" s="28" t="s">
        <v>25</v>
      </c>
      <c r="D84" s="28" t="s">
        <v>25</v>
      </c>
      <c r="E84" s="28" t="s">
        <v>25</v>
      </c>
      <c r="F84" s="28" t="s">
        <v>25</v>
      </c>
      <c r="G84" s="21" t="s">
        <v>94</v>
      </c>
      <c r="H84" s="21" t="s">
        <v>88</v>
      </c>
      <c r="I84" s="21">
        <f>'MERCADO TUSD'!$U$81</f>
        <v>0</v>
      </c>
      <c r="J84" s="17"/>
      <c r="L84" s="25">
        <f>'TUSD BE'!$L$84*'TUSD BE'!$L$93</f>
        <v>0</v>
      </c>
      <c r="M84" s="25">
        <f>'TUSD BE'!$M$84*'TUSD BE'!$M$93</f>
        <v>-2.7655879255583996E-2</v>
      </c>
      <c r="N84" s="25">
        <f ca="1">'TUSD BE'!$N$84*'TUSD BE'!$N$93</f>
        <v>3.0544719483682954E-4</v>
      </c>
      <c r="O84" s="25">
        <f>'TUSD BE'!$O$84*'TUSD BE'!$O$93</f>
        <v>0</v>
      </c>
      <c r="P84" s="25">
        <f>'TUSD BE'!$P$84*'TUSD BE'!$P$93</f>
        <v>0</v>
      </c>
      <c r="Q84" s="25">
        <f>'TUSD BE'!$Q$84*'TUSD BE'!$Q$93</f>
        <v>-2.0021561294157815</v>
      </c>
      <c r="R84" s="25">
        <f>'TUSD BE'!$R$84*'TUSD BE'!$R$93</f>
        <v>-3.0415214814016535E-3</v>
      </c>
      <c r="S84" s="25">
        <f>'TUSD BE'!$R$84*'TUSD BE'!$S$93</f>
        <v>0</v>
      </c>
      <c r="T84" s="25">
        <f ca="1">SUM($L$84:$S$84)</f>
        <v>-2.0325480829579305</v>
      </c>
      <c r="U84" s="25">
        <f>'TUSD BE'!$U$84*'TUSD BE'!$U$93</f>
        <v>-0.28856023076300463</v>
      </c>
      <c r="V84" s="25">
        <f>'TUSD BE'!$V$84*'TUSD BE'!$V$93</f>
        <v>0.52709418269025543</v>
      </c>
      <c r="W84" s="25">
        <f>'TUSD BE'!$W$84*'TUSD BE'!$W$93</f>
        <v>5.6405471507755198E-3</v>
      </c>
      <c r="X84" s="25">
        <f>'TUSD BE'!$X$84*'TUSD BE'!$X$93</f>
        <v>0</v>
      </c>
      <c r="Y84" s="25">
        <f>'TUSD BE'!$Y$84*'TUSD BE'!$Y$93</f>
        <v>0</v>
      </c>
      <c r="Z84" s="25">
        <f>'TUSD BE'!$Z$84*'TUSD BE'!$Z$93</f>
        <v>0</v>
      </c>
      <c r="AA84" s="25">
        <f>'TUSD BE'!$AA$84*'TUSD BE'!$AA$93</f>
        <v>0</v>
      </c>
      <c r="AB84" s="25">
        <f>SUM($U$84:$AA$84)</f>
        <v>0.24417449907802632</v>
      </c>
      <c r="AC84" s="25">
        <f>'TUSD BE'!$AC$84*'TUSD BE'!$AC$93</f>
        <v>0</v>
      </c>
      <c r="AD84" s="25">
        <f>SUM($AC$84:$AC$84)</f>
        <v>0</v>
      </c>
      <c r="AE84" s="25">
        <f ca="1">$AO$84*$AO$90</f>
        <v>0</v>
      </c>
      <c r="AF84" s="25">
        <f ca="1">$AP$84*$AP$90</f>
        <v>0</v>
      </c>
      <c r="AG84" s="25">
        <f ca="1">SUM($AE$84:$AF$84)</f>
        <v>0</v>
      </c>
      <c r="AH84" s="25">
        <f>'TUSD BE'!$AH$84*'TUSD BE'!$AH$93</f>
        <v>-4.3481403756889812</v>
      </c>
      <c r="AI84" s="25">
        <f>'TUSD BE'!$AI$84*'TUSD BE'!$AI$93</f>
        <v>-0.16343940263048512</v>
      </c>
      <c r="AJ84" s="25">
        <f ca="1">'TUSD BE'!$AJ$84*'TUSD BE'!$AJ$93</f>
        <v>-2.048091626191018</v>
      </c>
      <c r="AK84" s="25">
        <f ca="1">'TUSD BE'!$AK$84*'TUSD BE'!$AK$93</f>
        <v>4.4214739047918873E-2</v>
      </c>
      <c r="AL84" s="25">
        <f ca="1">SUM($AH$84:$AK$84)</f>
        <v>-6.5154566654625645</v>
      </c>
      <c r="AM84" s="25">
        <f ca="1">SUMIF($L$4:$AL$4,"SUBTOTAL",$L$84:$AL$84)</f>
        <v>-8.3038302493424681</v>
      </c>
      <c r="AO84" s="30">
        <f ca="1">+'TUSD BE'!$T$84+'TUSD BE'!$AB$84+'TUSD BE'!$AD$84+'TUSD BE'!$AL$84</f>
        <v>268.65612143694341</v>
      </c>
      <c r="AP84" s="30">
        <f ca="1">+'TUSD BE'!$T$84+'TUSD BE'!$AB$84+'TUSD BE'!$AD$84+'TUSD BE'!$AL$84</f>
        <v>268.65612143694341</v>
      </c>
    </row>
    <row r="85" spans="1:42" ht="11.25" customHeight="1" x14ac:dyDescent="0.25">
      <c r="A85" s="119" t="s">
        <v>49</v>
      </c>
      <c r="B85" s="119" t="s">
        <v>23</v>
      </c>
      <c r="C85" s="119" t="s">
        <v>50</v>
      </c>
      <c r="D85" s="28" t="s">
        <v>51</v>
      </c>
      <c r="E85" s="28" t="s">
        <v>25</v>
      </c>
      <c r="F85" s="28" t="s">
        <v>25</v>
      </c>
      <c r="G85" s="21" t="s">
        <v>94</v>
      </c>
      <c r="H85" s="21" t="s">
        <v>88</v>
      </c>
      <c r="I85" s="21">
        <f>'MERCADO TUSD'!$U$82</f>
        <v>418118.94</v>
      </c>
      <c r="J85" s="17"/>
      <c r="L85" s="25">
        <f>'TUSD BE'!$L$85*'TUSD BE'!$L$93</f>
        <v>0</v>
      </c>
      <c r="M85" s="25">
        <f>'TUSD BE'!$M$85*'TUSD BE'!$M$93</f>
        <v>-1.5210733590571198E-2</v>
      </c>
      <c r="N85" s="25">
        <f ca="1">'TUSD BE'!$N$85*'TUSD BE'!$N$93</f>
        <v>1.6799595716025627E-4</v>
      </c>
      <c r="O85" s="25">
        <f>'TUSD BE'!$O$85*'TUSD BE'!$O$93</f>
        <v>0</v>
      </c>
      <c r="P85" s="25">
        <f>'TUSD BE'!$P$85*'TUSD BE'!$P$93</f>
        <v>0</v>
      </c>
      <c r="Q85" s="25">
        <f>'TUSD BE'!$Q$85*'TUSD BE'!$Q$93</f>
        <v>-1.1011858711786797</v>
      </c>
      <c r="R85" s="25">
        <f>'TUSD BE'!$R$85*'TUSD BE'!$R$93</f>
        <v>-1.6728368147709094E-3</v>
      </c>
      <c r="S85" s="25">
        <f>'TUSD BE'!$R$85*'TUSD BE'!$S$93</f>
        <v>0</v>
      </c>
      <c r="T85" s="25">
        <f ca="1">SUM($L$85:$S$85)</f>
        <v>-1.1179014456268617</v>
      </c>
      <c r="U85" s="25">
        <f>'TUSD BE'!$U$85*'TUSD BE'!$U$93</f>
        <v>-0.15870812691965258</v>
      </c>
      <c r="V85" s="25">
        <f>'TUSD BE'!$V$85*'TUSD BE'!$V$93</f>
        <v>0.28990180047964048</v>
      </c>
      <c r="W85" s="25">
        <f>'TUSD BE'!$W$85*'TUSD BE'!$W$93</f>
        <v>3.1023009329265365E-3</v>
      </c>
      <c r="X85" s="25">
        <f>'TUSD BE'!$X$85*'TUSD BE'!$X$93</f>
        <v>0</v>
      </c>
      <c r="Y85" s="25">
        <f>'TUSD BE'!$Y$85*'TUSD BE'!$Y$93</f>
        <v>0</v>
      </c>
      <c r="Z85" s="25">
        <f>'TUSD BE'!$Z$85*'TUSD BE'!$Z$93</f>
        <v>0</v>
      </c>
      <c r="AA85" s="25">
        <f>'TUSD BE'!$AA$85*'TUSD BE'!$AA$93</f>
        <v>0</v>
      </c>
      <c r="AB85" s="25">
        <f>SUM($U$85:$AA$85)</f>
        <v>0.13429597449291444</v>
      </c>
      <c r="AC85" s="25">
        <f>'TUSD BE'!$AC$85*'TUSD BE'!$AC$93</f>
        <v>0</v>
      </c>
      <c r="AD85" s="25">
        <f>SUM($AC$85:$AC$85)</f>
        <v>0</v>
      </c>
      <c r="AE85" s="25">
        <f ca="1">$AO$85*$AO$90</f>
        <v>0</v>
      </c>
      <c r="AF85" s="25">
        <f ca="1">$AP$85*$AP$90</f>
        <v>0</v>
      </c>
      <c r="AG85" s="25">
        <f ca="1">SUM($AE$85:$AF$85)</f>
        <v>0</v>
      </c>
      <c r="AH85" s="25">
        <f>'TUSD BE'!$AH$85*'TUSD BE'!$AH$93</f>
        <v>-2.3914772066289398</v>
      </c>
      <c r="AI85" s="25">
        <f>'TUSD BE'!$AI$85*'TUSD BE'!$AI$93</f>
        <v>-8.9891671446766824E-2</v>
      </c>
      <c r="AJ85" s="25">
        <f ca="1">'TUSD BE'!$AJ$85*'TUSD BE'!$AJ$93</f>
        <v>-1.1264503944050601</v>
      </c>
      <c r="AK85" s="25">
        <f ca="1">'TUSD BE'!$AK$85*'TUSD BE'!$AK$93</f>
        <v>2.4318106476355385E-2</v>
      </c>
      <c r="AL85" s="25">
        <f ca="1">SUM($AH$85:$AK$85)</f>
        <v>-3.5835011660044116</v>
      </c>
      <c r="AM85" s="25">
        <f ca="1">SUMIF($L$4:$AL$4,"SUBTOTAL",$L$85:$AL$85)</f>
        <v>-4.5671066371383588</v>
      </c>
      <c r="AO85" s="30">
        <f ca="1">+'TUSD BE'!$T$85+'TUSD BE'!$AB$85+'TUSD BE'!$AD$85+'TUSD BE'!$AL$85</f>
        <v>147.76086679031886</v>
      </c>
      <c r="AP85" s="30">
        <f ca="1">+'TUSD BE'!$T$85+'TUSD BE'!$AB$85+'TUSD BE'!$AD$85+'TUSD BE'!$AL$85</f>
        <v>147.76086679031886</v>
      </c>
    </row>
    <row r="86" spans="1:42" ht="11.25" customHeight="1" x14ac:dyDescent="0.25">
      <c r="A86" s="119"/>
      <c r="B86" s="119"/>
      <c r="C86" s="119"/>
      <c r="D86" s="21" t="s">
        <v>105</v>
      </c>
      <c r="E86" s="21" t="s">
        <v>25</v>
      </c>
      <c r="F86" s="21" t="s">
        <v>25</v>
      </c>
      <c r="G86" s="21" t="s">
        <v>94</v>
      </c>
      <c r="H86" s="21" t="s">
        <v>88</v>
      </c>
      <c r="I86" s="21">
        <f>'MERCADO TUSD'!$U$83</f>
        <v>0</v>
      </c>
      <c r="J86" s="17"/>
      <c r="L86" s="25">
        <f>'TUSD BE'!$L$86*'TUSD BE'!$L$93</f>
        <v>0</v>
      </c>
      <c r="M86" s="25">
        <f>'TUSD BE'!$M$86*'TUSD BE'!$M$93</f>
        <v>-1.6593527553350397E-2</v>
      </c>
      <c r="N86" s="25">
        <f ca="1">'TUSD BE'!$N$86*'TUSD BE'!$N$93</f>
        <v>1.8326831690209768E-4</v>
      </c>
      <c r="O86" s="25">
        <f>'TUSD BE'!$O$86*'TUSD BE'!$O$93</f>
        <v>0</v>
      </c>
      <c r="P86" s="25">
        <f>'TUSD BE'!$P$86*'TUSD BE'!$P$93</f>
        <v>0</v>
      </c>
      <c r="Q86" s="25">
        <f>'TUSD BE'!$Q$86*'TUSD BE'!$Q$93</f>
        <v>-1.2012936776494689</v>
      </c>
      <c r="R86" s="25">
        <f>'TUSD BE'!$R$86*'TUSD BE'!$R$93</f>
        <v>-1.8249128888409921E-3</v>
      </c>
      <c r="S86" s="25">
        <f>'TUSD BE'!$R$86*'TUSD BE'!$S$93</f>
        <v>0</v>
      </c>
      <c r="T86" s="25">
        <f ca="1">SUM($L$86:$S$86)</f>
        <v>-1.2195288497747583</v>
      </c>
      <c r="U86" s="25">
        <f>'TUSD BE'!$U$86*'TUSD BE'!$U$93</f>
        <v>-0.17313613845780282</v>
      </c>
      <c r="V86" s="25">
        <f>'TUSD BE'!$V$86*'TUSD BE'!$V$93</f>
        <v>0.31625650961415325</v>
      </c>
      <c r="W86" s="25">
        <f>'TUSD BE'!$W$86*'TUSD BE'!$W$93</f>
        <v>3.3843282904653118E-3</v>
      </c>
      <c r="X86" s="25">
        <f>'TUSD BE'!$X$86*'TUSD BE'!$X$93</f>
        <v>0</v>
      </c>
      <c r="Y86" s="25">
        <f>'TUSD BE'!$Y$86*'TUSD BE'!$Y$93</f>
        <v>0</v>
      </c>
      <c r="Z86" s="25">
        <f>'TUSD BE'!$Z$86*'TUSD BE'!$Z$93</f>
        <v>0</v>
      </c>
      <c r="AA86" s="25">
        <f>'TUSD BE'!$AA$86*'TUSD BE'!$AA$93</f>
        <v>0</v>
      </c>
      <c r="AB86" s="25">
        <f>SUM($U$86:$AA$86)</f>
        <v>0.14650469944681574</v>
      </c>
      <c r="AC86" s="25">
        <f>'TUSD BE'!$AC$86*'TUSD BE'!$AC$93</f>
        <v>0</v>
      </c>
      <c r="AD86" s="25">
        <f>SUM($AC$86:$AC$86)</f>
        <v>0</v>
      </c>
      <c r="AE86" s="25">
        <f ca="1">$AO$86*$AO$90</f>
        <v>0</v>
      </c>
      <c r="AF86" s="25">
        <f ca="1">$AP$86*$AP$90</f>
        <v>0</v>
      </c>
      <c r="AG86" s="25">
        <f ca="1">SUM($AE$86:$AF$86)</f>
        <v>0</v>
      </c>
      <c r="AH86" s="25">
        <f>'TUSD BE'!$AH$86*'TUSD BE'!$AH$93</f>
        <v>-2.6088842254133886</v>
      </c>
      <c r="AI86" s="25">
        <f>'TUSD BE'!$AI$86*'TUSD BE'!$AI$93</f>
        <v>-9.8063641578291061E-2</v>
      </c>
      <c r="AJ86" s="25">
        <f ca="1">'TUSD BE'!$AJ$86*'TUSD BE'!$AJ$93</f>
        <v>-1.228854975714611</v>
      </c>
      <c r="AK86" s="25">
        <f ca="1">'TUSD BE'!$AK$86*'TUSD BE'!$AK$93</f>
        <v>2.6528843428751326E-2</v>
      </c>
      <c r="AL86" s="25">
        <f ca="1">SUM($AH$86:$AK$86)</f>
        <v>-3.9092739992775396</v>
      </c>
      <c r="AM86" s="25">
        <f ca="1">SUMIF($L$4:$AL$4,"SUBTOTAL",$L$86:$AL$86)</f>
        <v>-4.9822981496054819</v>
      </c>
      <c r="AO86" s="30">
        <f ca="1">+'TUSD BE'!$T$86+'TUSD BE'!$AB$86+'TUSD BE'!$AD$86+'TUSD BE'!$AL$86</f>
        <v>161.19367286216604</v>
      </c>
      <c r="AP86" s="30">
        <f ca="1">+'TUSD BE'!$T$86+'TUSD BE'!$AB$86+'TUSD BE'!$AD$86+'TUSD BE'!$AL$86</f>
        <v>161.19367286216604</v>
      </c>
    </row>
    <row r="88" spans="1:42" ht="11.25" customHeight="1" x14ac:dyDescent="0.25">
      <c r="K88" s="27" t="s">
        <v>1064</v>
      </c>
      <c r="L88" s="25">
        <f>SUMPRODUCT($I$5:$I86,$L$5:$L86)</f>
        <v>0</v>
      </c>
      <c r="M88" s="25">
        <f>SUMPRODUCT($I$5:$I86,$M$5:$M86)</f>
        <v>-149041.49306630532</v>
      </c>
      <c r="N88" s="25">
        <f ca="1">SUMPRODUCT($I$5:$I86,$N$5:$N86)</f>
        <v>1428.0658642872843</v>
      </c>
      <c r="O88" s="25">
        <f>SUMPRODUCT($I$5:$I86,$O$5:$O86)</f>
        <v>0</v>
      </c>
      <c r="P88" s="25">
        <f>SUMPRODUCT($I$5:$I86,$P$5:$P86)</f>
        <v>0</v>
      </c>
      <c r="Q88" s="25">
        <f>SUMPRODUCT($I$5:$I86,$Q$5:$Q86)</f>
        <v>-11196254.455512112</v>
      </c>
      <c r="R88" s="25">
        <f>SUMPRODUCT($I$5:$I86,$R$5:$R86)</f>
        <v>-17765.676831671968</v>
      </c>
      <c r="S88" s="25">
        <f>SUMPRODUCT($I$5:$I86,$S$5:$S86)</f>
        <v>0</v>
      </c>
      <c r="T88" s="25">
        <f ca="1">SUMPRODUCT($I$5:$I86,$T$5:$T86)</f>
        <v>-11361633.559545804</v>
      </c>
      <c r="U88" s="25">
        <f>SUMPRODUCT($I$5:$I86,$U$5:$U86)</f>
        <v>-1743121.3283396899</v>
      </c>
      <c r="V88" s="25">
        <f>SUMPRODUCT($I$5:$I86,$V$5:$V86)</f>
        <v>3258066.3460147842</v>
      </c>
      <c r="W88" s="25">
        <f>SUMPRODUCT($I$5:$I86,$W$5:$W86)</f>
        <v>34341.478047883058</v>
      </c>
      <c r="X88" s="25">
        <f>SUMPRODUCT($I$5:$I86,$X$5:$X86)</f>
        <v>0</v>
      </c>
      <c r="Y88" s="25">
        <f>SUMPRODUCT($I$5:$I86,$Y$5:$Y86)</f>
        <v>0</v>
      </c>
      <c r="Z88" s="25">
        <f>SUMPRODUCT($I$5:$I86,$Z$5:$Z86)</f>
        <v>0</v>
      </c>
      <c r="AA88" s="25">
        <f>SUMPRODUCT($I$5:$I86,$AA$5:$AA86)</f>
        <v>105899.66550827413</v>
      </c>
      <c r="AB88" s="25">
        <f>SUMPRODUCT($I$5:$I86,$AB$5:$AB86)</f>
        <v>1655186.1612312526</v>
      </c>
      <c r="AC88" s="25">
        <f>SUMPRODUCT($I$5:$I86,$AC$5:$AC86)</f>
        <v>0</v>
      </c>
      <c r="AD88" s="25">
        <f>SUMPRODUCT($I$5:$I86,$AD$5:$AD86)</f>
        <v>0</v>
      </c>
      <c r="AE88" s="25">
        <f ca="1">SUMPRODUCT($I$5:$I86,$AE$5:$AE86)</f>
        <v>0</v>
      </c>
      <c r="AF88" s="25">
        <f ca="1">SUMPRODUCT($I$5:$I86,$AF$5:$AF86)</f>
        <v>0</v>
      </c>
      <c r="AG88" s="25">
        <f ca="1">SUMPRODUCT($I$5:$I86,$AG$5:$AG86)</f>
        <v>0</v>
      </c>
      <c r="AH88" s="25">
        <f>SUMPRODUCT($I$5:$I86,$AH$5:$AH86)</f>
        <v>-21332145.937846728</v>
      </c>
      <c r="AI88" s="25">
        <f>SUMPRODUCT($I$5:$I86,$AI$5:$AI86)</f>
        <v>-801837.0618065435</v>
      </c>
      <c r="AJ88" s="25">
        <f ca="1">SUMPRODUCT($I$5:$I86,$AJ$5:$AJ86)</f>
        <v>-10963959.189721374</v>
      </c>
      <c r="AK88" s="25">
        <f ca="1">SUMPRODUCT($I$5:$I86,$AK$5:$AK86)</f>
        <v>236692.82580248683</v>
      </c>
      <c r="AL88" s="25">
        <f ca="1">SUMPRODUCT($I$5:$I86,$AL$5:$AL86)</f>
        <v>-32861249.36357215</v>
      </c>
      <c r="AM88" s="25">
        <f ca="1">SUMPRODUCT($I$5:$I86,$AM$5:$AM86)</f>
        <v>-42567696.761886708</v>
      </c>
      <c r="AO88" s="21">
        <f ca="1">SUMPRODUCT($I$5:$I86,$AO$5:$AO86)</f>
        <v>1424995562.0970628</v>
      </c>
      <c r="AP88" s="21">
        <f ca="1">SUMPRODUCT($I$5:$I86,$AP$5:$AP86)</f>
        <v>1440037795.3567593</v>
      </c>
    </row>
    <row r="89" spans="1:42" ht="11.25" customHeight="1" x14ac:dyDescent="0.25">
      <c r="K89" s="27" t="s">
        <v>998</v>
      </c>
      <c r="L89" s="25">
        <f>'TR TUSD'!$L$91</f>
        <v>0</v>
      </c>
      <c r="M89" s="25">
        <f>'TR TUSD'!$M$91</f>
        <v>2275228.0759017272</v>
      </c>
      <c r="N89" s="25">
        <f>'TR TUSD'!$N$91</f>
        <v>10614130.124088451</v>
      </c>
      <c r="O89" s="25">
        <f>'TR TUSD'!$O$91</f>
        <v>0</v>
      </c>
      <c r="P89" s="25">
        <f>'TR TUSD'!$P$91</f>
        <v>0</v>
      </c>
      <c r="Q89" s="25">
        <f>'TR TUSD'!$Q$91</f>
        <v>343888375.74232566</v>
      </c>
      <c r="R89" s="25">
        <f>'TR TUSD'!$R$91</f>
        <v>46565614.407255195</v>
      </c>
      <c r="S89" s="25">
        <f>'TR TUSD'!$S$91</f>
        <v>0</v>
      </c>
      <c r="T89" s="25">
        <f>'TR TUSD'!$T$91</f>
        <v>403343348.34957099</v>
      </c>
      <c r="U89" s="25">
        <f>'TR TUSD'!$U$91</f>
        <v>238331541</v>
      </c>
      <c r="V89" s="25">
        <f>'TR TUSD'!$V$91</f>
        <v>61976411.399999999</v>
      </c>
      <c r="W89" s="25">
        <f>'TR TUSD'!$W$91</f>
        <v>8074316.2702725902</v>
      </c>
      <c r="X89" s="25">
        <f>'TR TUSD'!$X$91</f>
        <v>0</v>
      </c>
      <c r="Y89" s="25">
        <f>'TR TUSD'!$Y$91</f>
        <v>0</v>
      </c>
      <c r="Z89" s="25">
        <f>'TR TUSD'!$Z$91</f>
        <v>0</v>
      </c>
      <c r="AA89" s="25">
        <f>'TR TUSD'!$AA$91</f>
        <v>771753.60000000009</v>
      </c>
      <c r="AB89" s="25">
        <f>'TR TUSD'!$AB$91</f>
        <v>309154022.27027261</v>
      </c>
      <c r="AC89" s="25">
        <f>'TR TUSD'!$AC$91</f>
        <v>526859621.2744624</v>
      </c>
      <c r="AD89" s="25">
        <f>'TR TUSD'!$AD$91</f>
        <v>526859621.2744624</v>
      </c>
      <c r="AE89" s="25">
        <f>'TR TUSD'!$AE$91</f>
        <v>0</v>
      </c>
      <c r="AF89" s="25">
        <f>'TR TUSD'!$AF$91</f>
        <v>0</v>
      </c>
      <c r="AG89" s="25">
        <f>'TR TUSD'!$AG$91</f>
        <v>0</v>
      </c>
      <c r="AH89" s="25">
        <f>'TR TUSD'!$AH$91</f>
        <v>120156261.92101654</v>
      </c>
      <c r="AI89" s="25">
        <f>'TR TUSD'!$AI$91</f>
        <v>4516458.1330503756</v>
      </c>
      <c r="AJ89" s="25">
        <f>'TR TUSD'!$AJ$91</f>
        <v>61756016.292492852</v>
      </c>
      <c r="AK89" s="25">
        <f>'TR TUSD'!$AK$91</f>
        <v>14252067.115893451</v>
      </c>
      <c r="AL89" s="25">
        <f>'TR TUSD'!$AL$91</f>
        <v>200680803.46245322</v>
      </c>
      <c r="AM89" s="25">
        <f>'TUSD BE'!$AM$89</f>
        <v>1440037795.3567591</v>
      </c>
      <c r="AO89" s="21">
        <f>$AE$90</f>
        <v>0</v>
      </c>
      <c r="AP89" s="21">
        <f>$AF$90</f>
        <v>0</v>
      </c>
    </row>
    <row r="90" spans="1:42" ht="11.25" customHeight="1" x14ac:dyDescent="0.25">
      <c r="K90" s="27" t="s">
        <v>999</v>
      </c>
      <c r="L90" s="25">
        <f>CUSTOS!$E$2</f>
        <v>0</v>
      </c>
      <c r="M90" s="25">
        <f>CUSTOS!$E$3</f>
        <v>-149041.49306630532</v>
      </c>
      <c r="N90" s="25">
        <f>CUSTOS!$E$4</f>
        <v>1428.0658642872843</v>
      </c>
      <c r="O90" s="25">
        <f>CUSTOS!$E$5</f>
        <v>0</v>
      </c>
      <c r="P90" s="25">
        <f>CUSTOS!$E$6</f>
        <v>0</v>
      </c>
      <c r="Q90" s="25">
        <f>CUSTOS!$E$7</f>
        <v>-11196254.455512114</v>
      </c>
      <c r="R90" s="25">
        <f>CUSTOS!$E$8</f>
        <v>-17765.676831671968</v>
      </c>
      <c r="S90" s="25">
        <f>CUSTOS!$E$9</f>
        <v>0</v>
      </c>
      <c r="T90" s="25">
        <f>CUSTOS!$E$10</f>
        <v>-11361633.559545804</v>
      </c>
      <c r="U90" s="25">
        <f>CUSTOS!$E$11</f>
        <v>-1743121.3283396903</v>
      </c>
      <c r="V90" s="25">
        <f>CUSTOS!$E$12</f>
        <v>3258066.3460147842</v>
      </c>
      <c r="W90" s="25">
        <f>CUSTOS!$E$13</f>
        <v>34341.478047883065</v>
      </c>
      <c r="X90" s="25">
        <f>CUSTOS!$E$14</f>
        <v>0</v>
      </c>
      <c r="Y90" s="25">
        <f>CUSTOS!$E$15</f>
        <v>0</v>
      </c>
      <c r="Z90" s="25">
        <f>CUSTOS!$E$16</f>
        <v>0</v>
      </c>
      <c r="AA90" s="25">
        <f>CUSTOS!$E$17</f>
        <v>105899.66550827415</v>
      </c>
      <c r="AB90" s="25">
        <f>CUSTOS!$E$18</f>
        <v>1655186.1612312512</v>
      </c>
      <c r="AC90" s="25">
        <f>CUSTOS!$E$19</f>
        <v>0</v>
      </c>
      <c r="AD90" s="25">
        <f>CUSTOS!$E$20</f>
        <v>0</v>
      </c>
      <c r="AE90" s="25">
        <f>CUSTOS!$E$21</f>
        <v>0</v>
      </c>
      <c r="AF90" s="25">
        <f>CUSTOS!$E$22</f>
        <v>0</v>
      </c>
      <c r="AG90" s="25">
        <f>CUSTOS!$E$23</f>
        <v>0</v>
      </c>
      <c r="AH90" s="25">
        <f>CUSTOS!$E$24</f>
        <v>-21332145.937846728</v>
      </c>
      <c r="AI90" s="25">
        <f>CUSTOS!$E$25</f>
        <v>-801837.06180654361</v>
      </c>
      <c r="AJ90" s="25">
        <f>CUSTOS!$E$26</f>
        <v>-10963959.189721374</v>
      </c>
      <c r="AK90" s="25">
        <f>CUSTOS!$E$27</f>
        <v>236692.82580248686</v>
      </c>
      <c r="AL90" s="25">
        <f>CUSTOS!$E$28</f>
        <v>-32861249.363572162</v>
      </c>
      <c r="AM90" s="25">
        <f>CUSTOS!$E$29</f>
        <v>-42567696.761886716</v>
      </c>
      <c r="AO90" s="21">
        <f ca="1">IF(AO88&lt;&gt;0,AO89/AO88,0)</f>
        <v>0</v>
      </c>
      <c r="AP90" s="21">
        <f ca="1">IF(AP88&lt;&gt;0,AP89/AP88,0)</f>
        <v>0</v>
      </c>
    </row>
    <row r="91" spans="1:42" ht="11.25" customHeight="1" x14ac:dyDescent="0.25">
      <c r="K91" s="27" t="s">
        <v>1000</v>
      </c>
      <c r="L91" s="25">
        <f>CUSTOS!$F$2</f>
        <v>0</v>
      </c>
      <c r="M91" s="25">
        <f>CUSTOS!$F$3</f>
        <v>0</v>
      </c>
      <c r="N91" s="25">
        <f>CUSTOS!$F$4</f>
        <v>0</v>
      </c>
      <c r="O91" s="25">
        <f>CUSTOS!$F$5</f>
        <v>0</v>
      </c>
      <c r="P91" s="25">
        <f>CUSTOS!$F$6</f>
        <v>0</v>
      </c>
      <c r="Q91" s="25">
        <f>CUSTOS!$F$7</f>
        <v>38454708.07395687</v>
      </c>
      <c r="R91" s="25">
        <f>CUSTOS!$F$8</f>
        <v>-5795217.5811314899</v>
      </c>
      <c r="S91" s="25">
        <f>CUSTOS!$F$9</f>
        <v>0</v>
      </c>
      <c r="T91" s="25">
        <f>CUSTOS!$F$10</f>
        <v>32659490.492825381</v>
      </c>
      <c r="U91" s="25">
        <f>CUSTOS!$F$11</f>
        <v>11084387.28354905</v>
      </c>
      <c r="V91" s="25">
        <f>CUSTOS!$F$12</f>
        <v>2883098.5793863335</v>
      </c>
      <c r="W91" s="25">
        <f>CUSTOS!$F$13</f>
        <v>0</v>
      </c>
      <c r="X91" s="25">
        <f>CUSTOS!$F$14</f>
        <v>0</v>
      </c>
      <c r="Y91" s="25">
        <f>CUSTOS!$F$15</f>
        <v>0</v>
      </c>
      <c r="Z91" s="25">
        <f>CUSTOS!$F$16</f>
        <v>0</v>
      </c>
      <c r="AA91" s="25">
        <f>CUSTOS!$F$17</f>
        <v>35209.92176181126</v>
      </c>
      <c r="AB91" s="25">
        <f>CUSTOS!$F$18</f>
        <v>14002695.784697194</v>
      </c>
      <c r="AC91" s="25">
        <f>CUSTOS!$F$19</f>
        <v>0</v>
      </c>
      <c r="AD91" s="25">
        <f>CUSTOS!$F$20</f>
        <v>0</v>
      </c>
      <c r="AE91" s="25">
        <f>CUSTOS!$F$21</f>
        <v>0</v>
      </c>
      <c r="AF91" s="25">
        <f>CUSTOS!$F$22</f>
        <v>0</v>
      </c>
      <c r="AG91" s="25">
        <f>CUSTOS!$F$23</f>
        <v>0</v>
      </c>
      <c r="AH91" s="25">
        <f>CUSTOS!$F$24</f>
        <v>10851157.067194762</v>
      </c>
      <c r="AI91" s="25">
        <f>CUSTOS!$F$25</f>
        <v>407875.50982032262</v>
      </c>
      <c r="AJ91" s="25">
        <f>CUSTOS!$F$26</f>
        <v>5577106.1942204703</v>
      </c>
      <c r="AK91" s="25">
        <f>CUSTOS!$F$27</f>
        <v>0</v>
      </c>
      <c r="AL91" s="25">
        <f>CUSTOS!$F$28</f>
        <v>16836138.771235555</v>
      </c>
      <c r="AM91" s="25">
        <f>CUSTOS!$F$29</f>
        <v>63498325.048758134</v>
      </c>
    </row>
    <row r="92" spans="1:42" ht="11.25" customHeight="1" x14ac:dyDescent="0.25">
      <c r="K92" s="27" t="s">
        <v>1061</v>
      </c>
      <c r="L92" s="25">
        <v>0</v>
      </c>
      <c r="M92" s="25">
        <v>0</v>
      </c>
      <c r="N92" s="25">
        <v>0</v>
      </c>
      <c r="O92" s="25">
        <v>0</v>
      </c>
      <c r="P92" s="25">
        <v>0</v>
      </c>
      <c r="Q92" s="25">
        <v>0</v>
      </c>
      <c r="R92" s="25">
        <v>0</v>
      </c>
      <c r="S92" s="25">
        <v>0</v>
      </c>
      <c r="T92" s="25">
        <f>SUM($L$92:$S$92)</f>
        <v>0</v>
      </c>
      <c r="U92" s="25">
        <v>0</v>
      </c>
      <c r="V92" s="25">
        <v>0</v>
      </c>
      <c r="W92" s="25">
        <v>0</v>
      </c>
      <c r="X92" s="25">
        <v>0</v>
      </c>
      <c r="Y92" s="25">
        <v>0</v>
      </c>
      <c r="Z92" s="25">
        <v>0</v>
      </c>
      <c r="AA92" s="25">
        <v>0</v>
      </c>
      <c r="AB92" s="25">
        <f>SUM($U$92:$AA$92)</f>
        <v>0</v>
      </c>
      <c r="AC92" s="25">
        <v>0</v>
      </c>
      <c r="AD92" s="25">
        <f>SUM($AC$92:$AC$92)</f>
        <v>0</v>
      </c>
      <c r="AE92" s="25">
        <v>0</v>
      </c>
      <c r="AF92" s="25">
        <v>0</v>
      </c>
      <c r="AG92" s="25">
        <f>SUM($AE$92:$AF$92)</f>
        <v>0</v>
      </c>
      <c r="AH92" s="25">
        <v>0</v>
      </c>
      <c r="AI92" s="25">
        <v>0</v>
      </c>
      <c r="AJ92" s="25">
        <v>0</v>
      </c>
      <c r="AK92" s="25">
        <v>0</v>
      </c>
      <c r="AL92" s="25">
        <f>SUM($AH$92:$AK$92)</f>
        <v>0</v>
      </c>
      <c r="AM92" s="25"/>
    </row>
    <row r="93" spans="1:42" ht="11.25" customHeight="1" x14ac:dyDescent="0.25">
      <c r="K93" s="27" t="s">
        <v>1073</v>
      </c>
      <c r="L93" s="25">
        <f t="shared" ref="L93:R93" si="0">IF((L89-(0))&lt;&gt;0,(L91)/(L89-(0)),0)</f>
        <v>0</v>
      </c>
      <c r="M93" s="25">
        <f t="shared" si="0"/>
        <v>0</v>
      </c>
      <c r="N93" s="25">
        <f t="shared" si="0"/>
        <v>0</v>
      </c>
      <c r="O93" s="25">
        <f t="shared" si="0"/>
        <v>0</v>
      </c>
      <c r="P93" s="25">
        <f t="shared" si="0"/>
        <v>0</v>
      </c>
      <c r="Q93" s="25">
        <f t="shared" si="0"/>
        <v>0.11182322749627002</v>
      </c>
      <c r="R93" s="25">
        <f t="shared" si="0"/>
        <v>-0.12445272450283747</v>
      </c>
      <c r="S93" s="25">
        <f>IF((R88-(0)&lt;&gt;0),(S90)/(R88-(0)),0)</f>
        <v>0</v>
      </c>
      <c r="T93" s="25"/>
      <c r="U93" s="25">
        <f t="shared" ref="U93:AA93" si="1">IF((U89-(0))&lt;&gt;0,(U91)/(U89-(0)),0)</f>
        <v>4.6508268427421659E-2</v>
      </c>
      <c r="V93" s="25">
        <f t="shared" si="1"/>
        <v>4.6519288778735797E-2</v>
      </c>
      <c r="W93" s="25">
        <f t="shared" si="1"/>
        <v>0</v>
      </c>
      <c r="X93" s="25">
        <f t="shared" si="1"/>
        <v>0</v>
      </c>
      <c r="Y93" s="25">
        <f t="shared" si="1"/>
        <v>0</v>
      </c>
      <c r="Z93" s="25">
        <f t="shared" si="1"/>
        <v>0</v>
      </c>
      <c r="AA93" s="25">
        <f t="shared" si="1"/>
        <v>4.56232685688946E-2</v>
      </c>
      <c r="AB93" s="25"/>
      <c r="AC93" s="25">
        <f>IF((AC89-(0))&lt;&gt;0,(AC91)/(AC89-(0)),0)</f>
        <v>0</v>
      </c>
      <c r="AD93" s="25"/>
      <c r="AE93" s="25">
        <f ca="1">IF(($AM88-(0))&lt;&gt;0,(AE90)/($AM88-(0)),0)</f>
        <v>0</v>
      </c>
      <c r="AF93" s="25">
        <f ca="1">IF(($AM88-(0))&lt;&gt;0,(AF90)/($AM88-(0)),0)</f>
        <v>0</v>
      </c>
      <c r="AG93" s="25"/>
      <c r="AH93" s="25">
        <f>IF((AH89-(0))&lt;&gt;0,(AH91)/(AH89-(0)),0)</f>
        <v>9.0308710455120983E-2</v>
      </c>
      <c r="AI93" s="25">
        <f>IF((AI89-(0))&lt;&gt;0,(AI91)/(AI89-(0)),0)</f>
        <v>9.0308710455120983E-2</v>
      </c>
      <c r="AJ93" s="25">
        <f>IF((AJ89-(0))&lt;&gt;0,(AJ91)/(AJ89-(0)),0)</f>
        <v>9.0308710455120969E-2</v>
      </c>
      <c r="AK93" s="25">
        <f>IF((AK89-(0))&lt;&gt;0,(AK91)/(AK89-(0)),0)</f>
        <v>0</v>
      </c>
      <c r="AL93" s="25"/>
      <c r="AM93" s="25"/>
    </row>
  </sheetData>
  <mergeCells count="129">
    <mergeCell ref="E80:E82"/>
    <mergeCell ref="F80:F82"/>
    <mergeCell ref="A85:A86"/>
    <mergeCell ref="B85:B86"/>
    <mergeCell ref="C85:C86"/>
    <mergeCell ref="B77:B79"/>
    <mergeCell ref="C77:C79"/>
    <mergeCell ref="A80:A84"/>
    <mergeCell ref="B80:B82"/>
    <mergeCell ref="C80:C82"/>
    <mergeCell ref="D80:D82"/>
    <mergeCell ref="F69:F71"/>
    <mergeCell ref="B73:B75"/>
    <mergeCell ref="C73:C75"/>
    <mergeCell ref="D73:D75"/>
    <mergeCell ref="E73:E75"/>
    <mergeCell ref="F73:F75"/>
    <mergeCell ref="A65:A79"/>
    <mergeCell ref="B65:B67"/>
    <mergeCell ref="C65:C67"/>
    <mergeCell ref="D65:D67"/>
    <mergeCell ref="E65:E67"/>
    <mergeCell ref="F65:F67"/>
    <mergeCell ref="B69:B71"/>
    <mergeCell ref="C69:C71"/>
    <mergeCell ref="D69:D71"/>
    <mergeCell ref="E69:E71"/>
    <mergeCell ref="E52:E54"/>
    <mergeCell ref="F52:F54"/>
    <mergeCell ref="B55:B59"/>
    <mergeCell ref="C55:C59"/>
    <mergeCell ref="B60:B64"/>
    <mergeCell ref="C60:C64"/>
    <mergeCell ref="A50:A51"/>
    <mergeCell ref="B50:B51"/>
    <mergeCell ref="C50:C51"/>
    <mergeCell ref="D50:D51"/>
    <mergeCell ref="A52:A64"/>
    <mergeCell ref="B52:B54"/>
    <mergeCell ref="C52:C54"/>
    <mergeCell ref="D52:D54"/>
    <mergeCell ref="F43:F45"/>
    <mergeCell ref="E46:E47"/>
    <mergeCell ref="F46:F47"/>
    <mergeCell ref="B48:B49"/>
    <mergeCell ref="C48:C49"/>
    <mergeCell ref="D48:D49"/>
    <mergeCell ref="E48:E49"/>
    <mergeCell ref="F48:F49"/>
    <mergeCell ref="A39:A49"/>
    <mergeCell ref="B39:B42"/>
    <mergeCell ref="C39:C42"/>
    <mergeCell ref="D39:D42"/>
    <mergeCell ref="E39:E41"/>
    <mergeCell ref="F39:F41"/>
    <mergeCell ref="B43:B47"/>
    <mergeCell ref="C43:C47"/>
    <mergeCell ref="D43:D47"/>
    <mergeCell ref="E43:E45"/>
    <mergeCell ref="F32:F34"/>
    <mergeCell ref="E35:E36"/>
    <mergeCell ref="F35:F36"/>
    <mergeCell ref="B37:B38"/>
    <mergeCell ref="C37:C38"/>
    <mergeCell ref="D37:D38"/>
    <mergeCell ref="E37:E38"/>
    <mergeCell ref="F37:F38"/>
    <mergeCell ref="A27:A38"/>
    <mergeCell ref="B27:B30"/>
    <mergeCell ref="C27:C30"/>
    <mergeCell ref="D27:D30"/>
    <mergeCell ref="E27:E29"/>
    <mergeCell ref="F27:F29"/>
    <mergeCell ref="B32:B36"/>
    <mergeCell ref="C32:C36"/>
    <mergeCell ref="D32:D36"/>
    <mergeCell ref="E32:E34"/>
    <mergeCell ref="F20:F22"/>
    <mergeCell ref="E23:E24"/>
    <mergeCell ref="F23:F24"/>
    <mergeCell ref="B25:B26"/>
    <mergeCell ref="C25:C26"/>
    <mergeCell ref="D25:D26"/>
    <mergeCell ref="E25:E26"/>
    <mergeCell ref="F25:F26"/>
    <mergeCell ref="A15:A26"/>
    <mergeCell ref="B15:B18"/>
    <mergeCell ref="C15:C18"/>
    <mergeCell ref="D15:D18"/>
    <mergeCell ref="E15:E17"/>
    <mergeCell ref="F15:F17"/>
    <mergeCell ref="B20:B24"/>
    <mergeCell ref="C20:C24"/>
    <mergeCell ref="D20:D24"/>
    <mergeCell ref="E20:E22"/>
    <mergeCell ref="A5:A14"/>
    <mergeCell ref="B5:B8"/>
    <mergeCell ref="C5:C8"/>
    <mergeCell ref="D5:D8"/>
    <mergeCell ref="E5:E7"/>
    <mergeCell ref="F5:F7"/>
    <mergeCell ref="B9:B11"/>
    <mergeCell ref="G1:G4"/>
    <mergeCell ref="H1:H4"/>
    <mergeCell ref="C9:C11"/>
    <mergeCell ref="D9:D11"/>
    <mergeCell ref="E9:E11"/>
    <mergeCell ref="F9:F11"/>
    <mergeCell ref="B12:B14"/>
    <mergeCell ref="C12:C14"/>
    <mergeCell ref="D12:D14"/>
    <mergeCell ref="E12:E14"/>
    <mergeCell ref="AP1:AP4"/>
    <mergeCell ref="L2:AM2"/>
    <mergeCell ref="L3:T3"/>
    <mergeCell ref="U3:AB3"/>
    <mergeCell ref="AC3:AD3"/>
    <mergeCell ref="A1:A4"/>
    <mergeCell ref="B1:B4"/>
    <mergeCell ref="C1:C4"/>
    <mergeCell ref="D1:D4"/>
    <mergeCell ref="E1:E4"/>
    <mergeCell ref="F1:F4"/>
    <mergeCell ref="AH3:AL3"/>
    <mergeCell ref="AM3:AM4"/>
    <mergeCell ref="I1:I4"/>
    <mergeCell ref="J1:J4"/>
    <mergeCell ref="L1:AM1"/>
    <mergeCell ref="AE3:AG3"/>
  </mergeCells>
  <conditionalFormatting sqref="L88">
    <cfRule type="cellIs" dxfId="1585" priority="55" operator="notEqual">
      <formula>$L$90</formula>
    </cfRule>
    <cfRule type="cellIs" dxfId="1584" priority="56" operator="equal">
      <formula>$L$90</formula>
    </cfRule>
  </conditionalFormatting>
  <conditionalFormatting sqref="M88">
    <cfRule type="cellIs" dxfId="1583" priority="53" operator="notEqual">
      <formula>$M$90</formula>
    </cfRule>
    <cfRule type="cellIs" dxfId="1582" priority="54" operator="equal">
      <formula>$M$90</formula>
    </cfRule>
  </conditionalFormatting>
  <conditionalFormatting sqref="N88">
    <cfRule type="cellIs" dxfId="1581" priority="51" operator="notEqual">
      <formula>$N$90</formula>
    </cfRule>
    <cfRule type="cellIs" dxfId="1580" priority="52" operator="equal">
      <formula>$N$90</formula>
    </cfRule>
  </conditionalFormatting>
  <conditionalFormatting sqref="O88">
    <cfRule type="cellIs" dxfId="1579" priority="49" operator="notEqual">
      <formula>$O$90</formula>
    </cfRule>
    <cfRule type="cellIs" dxfId="1578" priority="50" operator="equal">
      <formula>$O$90</formula>
    </cfRule>
  </conditionalFormatting>
  <conditionalFormatting sqref="P88">
    <cfRule type="cellIs" dxfId="1577" priority="47" operator="notEqual">
      <formula>$P$90</formula>
    </cfRule>
    <cfRule type="cellIs" dxfId="1576" priority="48" operator="equal">
      <formula>$P$90</formula>
    </cfRule>
  </conditionalFormatting>
  <conditionalFormatting sqref="Q88">
    <cfRule type="cellIs" dxfId="1575" priority="45" operator="notEqual">
      <formula>$Q$90</formula>
    </cfRule>
    <cfRule type="cellIs" dxfId="1574" priority="46" operator="equal">
      <formula>$Q$90</formula>
    </cfRule>
  </conditionalFormatting>
  <conditionalFormatting sqref="R88">
    <cfRule type="cellIs" dxfId="1573" priority="43" operator="notEqual">
      <formula>$R$90</formula>
    </cfRule>
    <cfRule type="cellIs" dxfId="1572" priority="44" operator="equal">
      <formula>$R$90</formula>
    </cfRule>
  </conditionalFormatting>
  <conditionalFormatting sqref="S88">
    <cfRule type="cellIs" dxfId="1571" priority="41" operator="notEqual">
      <formula>$S$90</formula>
    </cfRule>
    <cfRule type="cellIs" dxfId="1570" priority="42" operator="equal">
      <formula>$S$90</formula>
    </cfRule>
  </conditionalFormatting>
  <conditionalFormatting sqref="T88">
    <cfRule type="cellIs" dxfId="1569" priority="39" operator="notEqual">
      <formula>$T$90</formula>
    </cfRule>
    <cfRule type="cellIs" dxfId="1568" priority="40" operator="equal">
      <formula>$T$90</formula>
    </cfRule>
  </conditionalFormatting>
  <conditionalFormatting sqref="U88">
    <cfRule type="cellIs" dxfId="1567" priority="37" operator="notEqual">
      <formula>$U$90</formula>
    </cfRule>
    <cfRule type="cellIs" dxfId="1566" priority="38" operator="equal">
      <formula>$U$90</formula>
    </cfRule>
  </conditionalFormatting>
  <conditionalFormatting sqref="V88">
    <cfRule type="cellIs" dxfId="1565" priority="35" operator="notEqual">
      <formula>$V$90</formula>
    </cfRule>
    <cfRule type="cellIs" dxfId="1564" priority="36" operator="equal">
      <formula>$V$90</formula>
    </cfRule>
  </conditionalFormatting>
  <conditionalFormatting sqref="W88">
    <cfRule type="cellIs" dxfId="1563" priority="33" operator="notEqual">
      <formula>$W$90</formula>
    </cfRule>
    <cfRule type="cellIs" dxfId="1562" priority="34" operator="equal">
      <formula>$W$90</formula>
    </cfRule>
  </conditionalFormatting>
  <conditionalFormatting sqref="X88">
    <cfRule type="cellIs" dxfId="1561" priority="31" operator="notEqual">
      <formula>$X$90</formula>
    </cfRule>
    <cfRule type="cellIs" dxfId="1560" priority="32" operator="equal">
      <formula>$X$90</formula>
    </cfRule>
  </conditionalFormatting>
  <conditionalFormatting sqref="Y88">
    <cfRule type="cellIs" dxfId="1559" priority="29" operator="notEqual">
      <formula>$Y$90</formula>
    </cfRule>
    <cfRule type="cellIs" dxfId="1558" priority="30" operator="equal">
      <formula>$Y$90</formula>
    </cfRule>
  </conditionalFormatting>
  <conditionalFormatting sqref="Z88">
    <cfRule type="cellIs" dxfId="1557" priority="27" operator="notEqual">
      <formula>$Z$90</formula>
    </cfRule>
    <cfRule type="cellIs" dxfId="1556" priority="28" operator="equal">
      <formula>$Z$90</formula>
    </cfRule>
  </conditionalFormatting>
  <conditionalFormatting sqref="AA88">
    <cfRule type="cellIs" dxfId="1555" priority="25" operator="notEqual">
      <formula>$AA$90</formula>
    </cfRule>
    <cfRule type="cellIs" dxfId="1554" priority="26" operator="equal">
      <formula>$AA$90</formula>
    </cfRule>
  </conditionalFormatting>
  <conditionalFormatting sqref="AB88">
    <cfRule type="cellIs" dxfId="1553" priority="23" operator="notEqual">
      <formula>$AB$90</formula>
    </cfRule>
    <cfRule type="cellIs" dxfId="1552" priority="24" operator="equal">
      <formula>$AB$90</formula>
    </cfRule>
  </conditionalFormatting>
  <conditionalFormatting sqref="AC88">
    <cfRule type="cellIs" dxfId="1551" priority="21" operator="notEqual">
      <formula>$AC$90</formula>
    </cfRule>
    <cfRule type="cellIs" dxfId="1550" priority="22" operator="equal">
      <formula>$AC$90</formula>
    </cfRule>
  </conditionalFormatting>
  <conditionalFormatting sqref="AD88">
    <cfRule type="cellIs" dxfId="1549" priority="19" operator="notEqual">
      <formula>$AD$90</formula>
    </cfRule>
    <cfRule type="cellIs" dxfId="1548" priority="20" operator="equal">
      <formula>$AD$90</formula>
    </cfRule>
  </conditionalFormatting>
  <conditionalFormatting sqref="AE88">
    <cfRule type="cellIs" dxfId="1547" priority="17" operator="notEqual">
      <formula>$AE$90</formula>
    </cfRule>
    <cfRule type="cellIs" dxfId="1546" priority="18" operator="equal">
      <formula>$AE$90</formula>
    </cfRule>
  </conditionalFormatting>
  <conditionalFormatting sqref="AF88">
    <cfRule type="cellIs" dxfId="1545" priority="16" operator="equal">
      <formula>$AF$90</formula>
    </cfRule>
  </conditionalFormatting>
  <conditionalFormatting sqref="AF88">
    <cfRule type="cellIs" dxfId="1544" priority="15" operator="notEqual">
      <formula>$AF$90</formula>
    </cfRule>
  </conditionalFormatting>
  <conditionalFormatting sqref="AG88">
    <cfRule type="cellIs" dxfId="1543" priority="14" operator="equal">
      <formula>$AG$90</formula>
    </cfRule>
  </conditionalFormatting>
  <conditionalFormatting sqref="AG88">
    <cfRule type="cellIs" dxfId="1542" priority="13" operator="notEqual">
      <formula>$AG$90</formula>
    </cfRule>
  </conditionalFormatting>
  <conditionalFormatting sqref="AH88">
    <cfRule type="cellIs" dxfId="1541" priority="12" operator="equal">
      <formula>$AH$90</formula>
    </cfRule>
  </conditionalFormatting>
  <conditionalFormatting sqref="AH88">
    <cfRule type="cellIs" dxfId="1540" priority="11" operator="notEqual">
      <formula>$AH$90</formula>
    </cfRule>
  </conditionalFormatting>
  <conditionalFormatting sqref="AI88">
    <cfRule type="cellIs" dxfId="1539" priority="10" operator="equal">
      <formula>$AI$90</formula>
    </cfRule>
  </conditionalFormatting>
  <conditionalFormatting sqref="AI88">
    <cfRule type="cellIs" dxfId="1538" priority="9" operator="notEqual">
      <formula>$AI$90</formula>
    </cfRule>
  </conditionalFormatting>
  <conditionalFormatting sqref="AJ88">
    <cfRule type="cellIs" dxfId="1537" priority="8" operator="equal">
      <formula>$AJ$90</formula>
    </cfRule>
  </conditionalFormatting>
  <conditionalFormatting sqref="AJ88">
    <cfRule type="cellIs" dxfId="1536" priority="7" operator="notEqual">
      <formula>$AJ$90</formula>
    </cfRule>
  </conditionalFormatting>
  <conditionalFormatting sqref="AK88">
    <cfRule type="cellIs" dxfId="1535" priority="6" operator="equal">
      <formula>$AK$90</formula>
    </cfRule>
  </conditionalFormatting>
  <conditionalFormatting sqref="AK88">
    <cfRule type="cellIs" dxfId="1534" priority="5" operator="notEqual">
      <formula>$AK$90</formula>
    </cfRule>
  </conditionalFormatting>
  <conditionalFormatting sqref="AL88">
    <cfRule type="cellIs" dxfId="1533" priority="4" operator="equal">
      <formula>$AL$90</formula>
    </cfRule>
  </conditionalFormatting>
  <conditionalFormatting sqref="AL88">
    <cfRule type="cellIs" dxfId="1532" priority="3" operator="notEqual">
      <formula>$AL$90</formula>
    </cfRule>
  </conditionalFormatting>
  <conditionalFormatting sqref="AM88">
    <cfRule type="cellIs" dxfId="1531" priority="2" operator="equal">
      <formula>$AM$90</formula>
    </cfRule>
  </conditionalFormatting>
  <conditionalFormatting sqref="AM88">
    <cfRule type="cellIs" dxfId="1530" priority="1" operator="notEqual">
      <formula>$AM$90</formula>
    </cfRule>
  </conditionalFormatting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410B6-BB1D-4413-92BF-73C82061D443}">
  <dimension ref="A1:AP92"/>
  <sheetViews>
    <sheetView showGridLines="0" topLeftCell="X70" workbookViewId="0">
      <selection activeCell="AO88" sqref="AO88:AP90"/>
    </sheetView>
  </sheetViews>
  <sheetFormatPr defaultColWidth="8.85546875" defaultRowHeight="11.25" customHeight="1" x14ac:dyDescent="0.25"/>
  <cols>
    <col min="1" max="1" width="9" style="9" bestFit="1" customWidth="1"/>
    <col min="2" max="2" width="19.42578125" style="9" bestFit="1" customWidth="1"/>
    <col min="3" max="3" width="12.7109375" style="9" bestFit="1" customWidth="1"/>
    <col min="4" max="4" width="23.140625" style="9" bestFit="1" customWidth="1"/>
    <col min="5" max="5" width="9.5703125" style="9" bestFit="1" customWidth="1"/>
    <col min="6" max="6" width="13.42578125" style="9" bestFit="1" customWidth="1"/>
    <col min="7" max="7" width="5.85546875" style="9" bestFit="1" customWidth="1"/>
    <col min="8" max="8" width="7.140625" style="9" bestFit="1" customWidth="1"/>
    <col min="9" max="9" width="9.140625" style="9" bestFit="1" customWidth="1"/>
    <col min="10" max="10" width="8.85546875" style="9"/>
    <col min="11" max="11" width="14.140625" style="9" bestFit="1" customWidth="1"/>
    <col min="12" max="12" width="4.7109375" style="9" bestFit="1" customWidth="1"/>
    <col min="13" max="13" width="9.140625" style="9" bestFit="1" customWidth="1"/>
    <col min="14" max="14" width="9.85546875" style="9" bestFit="1" customWidth="1"/>
    <col min="15" max="16" width="4.7109375" style="9" bestFit="1" customWidth="1"/>
    <col min="17" max="17" width="10.7109375" style="9" bestFit="1" customWidth="1"/>
    <col min="18" max="18" width="9.85546875" style="9" bestFit="1" customWidth="1"/>
    <col min="19" max="19" width="8" style="9" bestFit="1" customWidth="1"/>
    <col min="20" max="21" width="10.7109375" style="9" bestFit="1" customWidth="1"/>
    <col min="22" max="22" width="9.140625" style="9" bestFit="1" customWidth="1"/>
    <col min="23" max="24" width="9.28515625" style="9" bestFit="1" customWidth="1"/>
    <col min="25" max="25" width="4.7109375" style="9" bestFit="1" customWidth="1"/>
    <col min="26" max="26" width="7.140625" style="9" bestFit="1" customWidth="1"/>
    <col min="27" max="27" width="9.28515625" style="9" bestFit="1" customWidth="1"/>
    <col min="28" max="28" width="10.7109375" style="9" bestFit="1" customWidth="1"/>
    <col min="29" max="29" width="11.140625" style="9" bestFit="1" customWidth="1"/>
    <col min="30" max="30" width="10.7109375" style="9" bestFit="1" customWidth="1"/>
    <col min="31" max="31" width="7.7109375" style="9" bestFit="1" customWidth="1"/>
    <col min="32" max="32" width="6.85546875" style="9" bestFit="1" customWidth="1"/>
    <col min="33" max="33" width="8.5703125" style="9" bestFit="1" customWidth="1"/>
    <col min="34" max="34" width="14.42578125" style="9" bestFit="1" customWidth="1"/>
    <col min="35" max="35" width="17.5703125" style="9" bestFit="1" customWidth="1"/>
    <col min="36" max="36" width="18.140625" style="9" bestFit="1" customWidth="1"/>
    <col min="37" max="37" width="9.85546875" style="9" bestFit="1" customWidth="1"/>
    <col min="38" max="38" width="10.7109375" style="9" bestFit="1" customWidth="1"/>
    <col min="39" max="39" width="11.85546875" style="9" bestFit="1" customWidth="1"/>
    <col min="40" max="40" width="8.85546875" style="9"/>
    <col min="41" max="42" width="11.85546875" style="9" bestFit="1" customWidth="1"/>
    <col min="43" max="16384" width="8.85546875" style="9"/>
  </cols>
  <sheetData>
    <row r="1" spans="1:42" ht="11.25" customHeight="1" x14ac:dyDescent="0.25">
      <c r="A1" s="120" t="s">
        <v>78</v>
      </c>
      <c r="B1" s="120" t="s">
        <v>79</v>
      </c>
      <c r="C1" s="120" t="s">
        <v>80</v>
      </c>
      <c r="D1" s="120" t="s">
        <v>81</v>
      </c>
      <c r="E1" s="120" t="s">
        <v>82</v>
      </c>
      <c r="F1" s="120" t="s">
        <v>15</v>
      </c>
      <c r="G1" s="120" t="s">
        <v>84</v>
      </c>
      <c r="H1" s="120" t="s">
        <v>85</v>
      </c>
      <c r="I1" s="120" t="s">
        <v>1055</v>
      </c>
      <c r="J1" s="112"/>
      <c r="L1" s="121" t="s">
        <v>1075</v>
      </c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  <c r="X1" s="121"/>
      <c r="Y1" s="121"/>
      <c r="Z1" s="121"/>
      <c r="AA1" s="121"/>
      <c r="AB1" s="121"/>
      <c r="AC1" s="121"/>
      <c r="AD1" s="121"/>
      <c r="AE1" s="121"/>
      <c r="AF1" s="121"/>
      <c r="AG1" s="121"/>
      <c r="AH1" s="121"/>
      <c r="AI1" s="121"/>
      <c r="AJ1" s="121"/>
      <c r="AK1" s="121"/>
      <c r="AL1" s="121"/>
      <c r="AM1" s="121"/>
      <c r="AO1" s="30"/>
      <c r="AP1" s="124" t="s">
        <v>1057</v>
      </c>
    </row>
    <row r="2" spans="1:42" ht="11.25" customHeight="1" x14ac:dyDescent="0.25">
      <c r="A2" s="120"/>
      <c r="B2" s="120"/>
      <c r="C2" s="120"/>
      <c r="D2" s="120"/>
      <c r="E2" s="120"/>
      <c r="F2" s="120"/>
      <c r="G2" s="120"/>
      <c r="H2" s="120"/>
      <c r="I2" s="120"/>
      <c r="J2" s="112"/>
      <c r="L2" s="121" t="s">
        <v>955</v>
      </c>
      <c r="M2" s="121"/>
      <c r="N2" s="121"/>
      <c r="O2" s="121"/>
      <c r="P2" s="121"/>
      <c r="Q2" s="121"/>
      <c r="R2" s="121"/>
      <c r="S2" s="121"/>
      <c r="T2" s="121"/>
      <c r="U2" s="121"/>
      <c r="V2" s="121"/>
      <c r="W2" s="121"/>
      <c r="X2" s="121"/>
      <c r="Y2" s="121"/>
      <c r="Z2" s="121"/>
      <c r="AA2" s="121"/>
      <c r="AB2" s="121"/>
      <c r="AC2" s="121"/>
      <c r="AD2" s="121"/>
      <c r="AE2" s="121"/>
      <c r="AF2" s="121"/>
      <c r="AG2" s="121"/>
      <c r="AH2" s="121"/>
      <c r="AI2" s="121"/>
      <c r="AJ2" s="121"/>
      <c r="AK2" s="121"/>
      <c r="AL2" s="121"/>
      <c r="AM2" s="121"/>
      <c r="AO2" s="30"/>
      <c r="AP2" s="125"/>
    </row>
    <row r="3" spans="1:42" ht="11.25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12"/>
      <c r="L3" s="121" t="s">
        <v>956</v>
      </c>
      <c r="M3" s="121"/>
      <c r="N3" s="121"/>
      <c r="O3" s="121"/>
      <c r="P3" s="121"/>
      <c r="Q3" s="121"/>
      <c r="R3" s="121"/>
      <c r="S3" s="121"/>
      <c r="T3" s="121"/>
      <c r="U3" s="121" t="s">
        <v>966</v>
      </c>
      <c r="V3" s="121"/>
      <c r="W3" s="121"/>
      <c r="X3" s="121"/>
      <c r="Y3" s="121"/>
      <c r="Z3" s="121"/>
      <c r="AA3" s="121"/>
      <c r="AB3" s="121"/>
      <c r="AC3" s="121" t="s">
        <v>974</v>
      </c>
      <c r="AD3" s="121"/>
      <c r="AE3" s="121" t="s">
        <v>976</v>
      </c>
      <c r="AF3" s="121"/>
      <c r="AG3" s="121"/>
      <c r="AH3" s="121" t="s">
        <v>979</v>
      </c>
      <c r="AI3" s="121"/>
      <c r="AJ3" s="121"/>
      <c r="AK3" s="121"/>
      <c r="AL3" s="121"/>
      <c r="AM3" s="121" t="s">
        <v>965</v>
      </c>
      <c r="AO3" s="30"/>
      <c r="AP3" s="125"/>
    </row>
    <row r="4" spans="1:42" ht="11.25" customHeight="1" x14ac:dyDescent="0.25">
      <c r="A4" s="120"/>
      <c r="B4" s="120"/>
      <c r="C4" s="120"/>
      <c r="D4" s="120"/>
      <c r="E4" s="120"/>
      <c r="F4" s="120"/>
      <c r="G4" s="120"/>
      <c r="H4" s="120"/>
      <c r="I4" s="120"/>
      <c r="J4" s="112"/>
      <c r="L4" s="26" t="s">
        <v>957</v>
      </c>
      <c r="M4" s="26" t="s">
        <v>958</v>
      </c>
      <c r="N4" s="26" t="s">
        <v>959</v>
      </c>
      <c r="O4" s="26" t="s">
        <v>960</v>
      </c>
      <c r="P4" s="26" t="s">
        <v>961</v>
      </c>
      <c r="Q4" s="26" t="s">
        <v>962</v>
      </c>
      <c r="R4" s="26" t="s">
        <v>963</v>
      </c>
      <c r="S4" s="26" t="s">
        <v>964</v>
      </c>
      <c r="T4" s="26" t="s">
        <v>965</v>
      </c>
      <c r="U4" s="26" t="s">
        <v>967</v>
      </c>
      <c r="V4" s="26" t="s">
        <v>968</v>
      </c>
      <c r="W4" s="26" t="s">
        <v>969</v>
      </c>
      <c r="X4" s="26" t="s">
        <v>970</v>
      </c>
      <c r="Y4" s="26" t="s">
        <v>971</v>
      </c>
      <c r="Z4" s="26" t="s">
        <v>972</v>
      </c>
      <c r="AA4" s="26" t="s">
        <v>973</v>
      </c>
      <c r="AB4" s="26" t="s">
        <v>965</v>
      </c>
      <c r="AC4" s="26" t="s">
        <v>975</v>
      </c>
      <c r="AD4" s="26" t="s">
        <v>965</v>
      </c>
      <c r="AE4" s="26" t="s">
        <v>977</v>
      </c>
      <c r="AF4" s="26" t="s">
        <v>978</v>
      </c>
      <c r="AG4" s="26" t="s">
        <v>965</v>
      </c>
      <c r="AH4" s="26" t="s">
        <v>980</v>
      </c>
      <c r="AI4" s="26" t="s">
        <v>981</v>
      </c>
      <c r="AJ4" s="26" t="s">
        <v>982</v>
      </c>
      <c r="AK4" s="26" t="s">
        <v>983</v>
      </c>
      <c r="AL4" s="26" t="s">
        <v>965</v>
      </c>
      <c r="AM4" s="123"/>
      <c r="AO4" s="31" t="s">
        <v>1074</v>
      </c>
      <c r="AP4" s="126"/>
    </row>
    <row r="5" spans="1:42" ht="11.25" customHeight="1" x14ac:dyDescent="0.25">
      <c r="A5" s="119" t="s">
        <v>43</v>
      </c>
      <c r="B5" s="119" t="s">
        <v>41</v>
      </c>
      <c r="C5" s="119" t="s">
        <v>25</v>
      </c>
      <c r="D5" s="119" t="s">
        <v>25</v>
      </c>
      <c r="E5" s="119" t="s">
        <v>25</v>
      </c>
      <c r="F5" s="119" t="s">
        <v>25</v>
      </c>
      <c r="G5" s="21" t="s">
        <v>92</v>
      </c>
      <c r="H5" s="21" t="s">
        <v>91</v>
      </c>
      <c r="I5" s="21">
        <f>'MERCADO TUSD'!$U$2</f>
        <v>425013</v>
      </c>
      <c r="J5" s="17"/>
      <c r="L5" s="25">
        <f>'TUSD BE'!$L$5*'TUSD BF'!$L$93</f>
        <v>0</v>
      </c>
      <c r="M5" s="25">
        <f>'TUSD BE'!$M$5*'TUSD BF'!$M$93</f>
        <v>0</v>
      </c>
      <c r="N5" s="25">
        <f ca="1">'TUSD BE'!$N$5*'TUSD BF'!$N$93</f>
        <v>0</v>
      </c>
      <c r="O5" s="25">
        <f>'TUSD BE'!$O$5*'TUSD BF'!$O$93</f>
        <v>0</v>
      </c>
      <c r="P5" s="25">
        <f>'TUSD BE'!$P$5*'TUSD BF'!$P$93</f>
        <v>0</v>
      </c>
      <c r="Q5" s="25">
        <f>'TUSD BE'!$Q$5*'TUSD BF'!$Q$93</f>
        <v>0</v>
      </c>
      <c r="R5" s="25">
        <f>'TUSD BE'!$R$5*'TUSD BF'!$R$93</f>
        <v>0</v>
      </c>
      <c r="S5" s="25">
        <f>'TUSD BE'!$R$5*'TUSD BF'!$S$93</f>
        <v>0</v>
      </c>
      <c r="T5" s="25">
        <f ca="1">SUM($L$5:$S$5)</f>
        <v>0</v>
      </c>
      <c r="U5" s="25">
        <f>'TUSD BE'!$U$5*'TUSD BF'!$U$93</f>
        <v>0.36571752226402238</v>
      </c>
      <c r="V5" s="25">
        <f>'TUSD BE'!$V$5*'TUSD BF'!$V$93</f>
        <v>8.1129238930456662E-2</v>
      </c>
      <c r="W5" s="25">
        <f>'TUSD BE'!$W$5*'TUSD BF'!$W$93</f>
        <v>0</v>
      </c>
      <c r="X5" s="25">
        <f>'TUSD BE'!$X$5*'TUSD BF'!$X$93</f>
        <v>0</v>
      </c>
      <c r="Y5" s="25">
        <f>'TUSD BE'!$Y$5*'TUSD BF'!$Y$93</f>
        <v>0</v>
      </c>
      <c r="Z5" s="25">
        <f>'TUSD BE'!$Z$5*'TUSD BF'!$Z$93</f>
        <v>0</v>
      </c>
      <c r="AA5" s="25">
        <f>'TUSD BE'!$AA$5*'TUSD BF'!$AA$93</f>
        <v>0</v>
      </c>
      <c r="AB5" s="25">
        <f>SUM($U$5:$AA$5)</f>
        <v>0.44684676119447903</v>
      </c>
      <c r="AC5" s="25">
        <f>'TUSD BE'!$AC$5*'TUSD BF'!$AC$93</f>
        <v>0</v>
      </c>
      <c r="AD5" s="25">
        <f>SUM($AC$5:$AC$5)</f>
        <v>0</v>
      </c>
      <c r="AE5" s="25">
        <f ca="1">$AO$5*$AO$90</f>
        <v>0</v>
      </c>
      <c r="AF5" s="25">
        <f ca="1">$AP$5*$AP$90</f>
        <v>0</v>
      </c>
      <c r="AG5" s="25">
        <f ca="1">SUM($AE$5:$AF$5)</f>
        <v>0</v>
      </c>
      <c r="AH5" s="25">
        <f>'TUSD BE'!$AH$5*'TUSD BF'!$AH$93</f>
        <v>0</v>
      </c>
      <c r="AI5" s="25">
        <f>'TUSD BE'!$AI$5*'TUSD BF'!$AI$93</f>
        <v>0</v>
      </c>
      <c r="AJ5" s="25">
        <f ca="1">'TUSD BE'!$AJ$5*'TUSD BF'!$AJ$93</f>
        <v>0</v>
      </c>
      <c r="AK5" s="25">
        <f ca="1">'TUSD BE'!$AK$5*'TUSD BF'!$AK$93</f>
        <v>0</v>
      </c>
      <c r="AL5" s="25">
        <f ca="1">SUM($AH$5:$AK$5)</f>
        <v>0</v>
      </c>
      <c r="AM5" s="25">
        <f ca="1">SUMIF($L$4:$AL$4,"SUBTOTAL",$L$5:$AL$5)</f>
        <v>0.44684676119447903</v>
      </c>
      <c r="AO5" s="30">
        <f ca="1">+'TUSD BE'!$T$5+'TUSD BE'!$AB$5+'TUSD BE'!$AD$5+'TUSD BE'!$AL$5</f>
        <v>12.794504137088236</v>
      </c>
      <c r="AP5" s="30">
        <f ca="1">+'TUSD BE'!$T$5+'TUSD BE'!$AB$5+'TUSD BE'!$AD$5+'TUSD BE'!$AL$5</f>
        <v>12.794504137088236</v>
      </c>
    </row>
    <row r="6" spans="1:42" ht="11.25" customHeight="1" x14ac:dyDescent="0.25">
      <c r="A6" s="119"/>
      <c r="B6" s="119"/>
      <c r="C6" s="119"/>
      <c r="D6" s="119"/>
      <c r="E6" s="119"/>
      <c r="F6" s="119"/>
      <c r="G6" s="21" t="s">
        <v>93</v>
      </c>
      <c r="H6" s="21" t="s">
        <v>91</v>
      </c>
      <c r="I6" s="21">
        <f>'MERCADO TUSD'!$U$3</f>
        <v>1106400</v>
      </c>
      <c r="J6" s="17"/>
      <c r="L6" s="25">
        <f>'TUSD BE'!$L$6*'TUSD BF'!$L$93</f>
        <v>0</v>
      </c>
      <c r="M6" s="25">
        <f>'TUSD BE'!$M$6*'TUSD BF'!$M$93</f>
        <v>0</v>
      </c>
      <c r="N6" s="25">
        <f ca="1">'TUSD BE'!$N$6*'TUSD BF'!$N$93</f>
        <v>0</v>
      </c>
      <c r="O6" s="25">
        <f>'TUSD BE'!$O$6*'TUSD BF'!$O$93</f>
        <v>0</v>
      </c>
      <c r="P6" s="25">
        <f>'TUSD BE'!$P$6*'TUSD BF'!$P$93</f>
        <v>0</v>
      </c>
      <c r="Q6" s="25">
        <f>'TUSD BE'!$Q$6*'TUSD BF'!$Q$93</f>
        <v>0</v>
      </c>
      <c r="R6" s="25">
        <f>'TUSD BE'!$R$6*'TUSD BF'!$R$93</f>
        <v>0</v>
      </c>
      <c r="S6" s="25">
        <f>'TUSD BE'!$R$6*'TUSD BF'!$S$93</f>
        <v>0</v>
      </c>
      <c r="T6" s="25">
        <f ca="1">SUM($L$6:$S$6)</f>
        <v>0</v>
      </c>
      <c r="U6" s="25">
        <f>'TUSD BE'!$U$6*'TUSD BF'!$U$93</f>
        <v>0.28198037685120281</v>
      </c>
      <c r="V6" s="25">
        <f>'TUSD BE'!$V$6*'TUSD BF'!$V$93</f>
        <v>6.4302738564048556E-2</v>
      </c>
      <c r="W6" s="25">
        <f>'TUSD BE'!$W$6*'TUSD BF'!$W$93</f>
        <v>0</v>
      </c>
      <c r="X6" s="25">
        <f>'TUSD BE'!$X$6*'TUSD BF'!$X$93</f>
        <v>0</v>
      </c>
      <c r="Y6" s="25">
        <f>'TUSD BE'!$Y$6*'TUSD BF'!$Y$93</f>
        <v>0</v>
      </c>
      <c r="Z6" s="25">
        <f>'TUSD BE'!$Z$6*'TUSD BF'!$Z$93</f>
        <v>0</v>
      </c>
      <c r="AA6" s="25">
        <f>'TUSD BE'!$AA$6*'TUSD BF'!$AA$93</f>
        <v>0</v>
      </c>
      <c r="AB6" s="25">
        <f>SUM($U$6:$AA$6)</f>
        <v>0.34628311541525136</v>
      </c>
      <c r="AC6" s="25">
        <f>'TUSD BE'!$AC$6*'TUSD BF'!$AC$93</f>
        <v>0</v>
      </c>
      <c r="AD6" s="25">
        <f>SUM($AC$6:$AC$6)</f>
        <v>0</v>
      </c>
      <c r="AE6" s="25">
        <f ca="1">$AO$6*$AO$90</f>
        <v>0</v>
      </c>
      <c r="AF6" s="25">
        <f ca="1">$AP$6*$AP$90</f>
        <v>0</v>
      </c>
      <c r="AG6" s="25">
        <f ca="1">SUM($AE$6:$AF$6)</f>
        <v>0</v>
      </c>
      <c r="AH6" s="25">
        <f>'TUSD BE'!$AH$6*'TUSD BF'!$AH$93</f>
        <v>0</v>
      </c>
      <c r="AI6" s="25">
        <f>'TUSD BE'!$AI$6*'TUSD BF'!$AI$93</f>
        <v>0</v>
      </c>
      <c r="AJ6" s="25">
        <f ca="1">'TUSD BE'!$AJ$6*'TUSD BF'!$AJ$93</f>
        <v>0</v>
      </c>
      <c r="AK6" s="25">
        <f ca="1">'TUSD BE'!$AK$6*'TUSD BF'!$AK$93</f>
        <v>0</v>
      </c>
      <c r="AL6" s="25">
        <f ca="1">SUM($AH$6:$AK$6)</f>
        <v>0</v>
      </c>
      <c r="AM6" s="25">
        <f ca="1">SUMIF($L$4:$AL$4,"SUBTOTAL",$L$6:$AL$6)</f>
        <v>0.34628311541525136</v>
      </c>
      <c r="AO6" s="30">
        <f ca="1">+'TUSD BE'!$T$6+'TUSD BE'!$AB$6+'TUSD BE'!$AD$6+'TUSD BE'!$AL$6</f>
        <v>7.9070588734157443</v>
      </c>
      <c r="AP6" s="30">
        <f ca="1">+'TUSD BE'!$T$6+'TUSD BE'!$AB$6+'TUSD BE'!$AD$6+'TUSD BE'!$AL$6</f>
        <v>7.9070588734157443</v>
      </c>
    </row>
    <row r="7" spans="1:42" ht="11.25" customHeight="1" x14ac:dyDescent="0.25">
      <c r="A7" s="119"/>
      <c r="B7" s="119"/>
      <c r="C7" s="119"/>
      <c r="D7" s="119"/>
      <c r="E7" s="119"/>
      <c r="F7" s="119"/>
      <c r="G7" s="21" t="s">
        <v>94</v>
      </c>
      <c r="H7" s="21" t="s">
        <v>88</v>
      </c>
      <c r="I7" s="21">
        <f>'MERCADO TUSD'!$U$4</f>
        <v>381591.69400000002</v>
      </c>
      <c r="J7" s="17"/>
      <c r="L7" s="25">
        <f>'TUSD BE'!$L$7*'TUSD BF'!$L$93</f>
        <v>0</v>
      </c>
      <c r="M7" s="25">
        <f>'TUSD BE'!$M$7*'TUSD BF'!$M$93</f>
        <v>0</v>
      </c>
      <c r="N7" s="25">
        <f ca="1">'TUSD BE'!$N$7*'TUSD BF'!$N$93</f>
        <v>0</v>
      </c>
      <c r="O7" s="25">
        <f>'TUSD BE'!$O$7*'TUSD BF'!$O$93</f>
        <v>0</v>
      </c>
      <c r="P7" s="25">
        <f>'TUSD BE'!$P$7*'TUSD BF'!$P$93</f>
        <v>0</v>
      </c>
      <c r="Q7" s="25">
        <f>'TUSD BE'!$Q$7*'TUSD BF'!$Q$93</f>
        <v>5.0199288288952459</v>
      </c>
      <c r="R7" s="25">
        <f>'TUSD BE'!$R$7*'TUSD BF'!$R$93</f>
        <v>-0.99215351767428861</v>
      </c>
      <c r="S7" s="25">
        <f>'TUSD BE'!$R$7*'TUSD BF'!$S$93</f>
        <v>0</v>
      </c>
      <c r="T7" s="25">
        <f ca="1">SUM($L$7:$S$7)</f>
        <v>4.0277753112209576</v>
      </c>
      <c r="U7" s="25">
        <f>'TUSD BE'!$U$7*'TUSD BF'!$U$93</f>
        <v>0</v>
      </c>
      <c r="V7" s="25">
        <f>'TUSD BE'!$V$7*'TUSD BF'!$V$93</f>
        <v>0</v>
      </c>
      <c r="W7" s="25">
        <f>'TUSD BE'!$W$7*'TUSD BF'!$W$93</f>
        <v>0</v>
      </c>
      <c r="X7" s="25">
        <f>'TUSD BE'!$X$7*'TUSD BF'!$X$93</f>
        <v>0</v>
      </c>
      <c r="Y7" s="25">
        <f>'TUSD BE'!$Y$7*'TUSD BF'!$Y$93</f>
        <v>0</v>
      </c>
      <c r="Z7" s="25">
        <f>'TUSD BE'!$Z$7*'TUSD BF'!$Z$93</f>
        <v>0</v>
      </c>
      <c r="AA7" s="25">
        <f>'TUSD BE'!$AA$7*'TUSD BF'!$AA$93</f>
        <v>0</v>
      </c>
      <c r="AB7" s="25">
        <f>SUM($U$7:$AA$7)</f>
        <v>0</v>
      </c>
      <c r="AC7" s="25">
        <f>'TUSD BE'!$AC$7*'TUSD BF'!$AC$93</f>
        <v>0</v>
      </c>
      <c r="AD7" s="25">
        <f>SUM($AC$7:$AC$7)</f>
        <v>0</v>
      </c>
      <c r="AE7" s="25">
        <f ca="1">$AO$7*$AO$90</f>
        <v>0</v>
      </c>
      <c r="AF7" s="25">
        <f ca="1">$AP$7*$AP$90</f>
        <v>0</v>
      </c>
      <c r="AG7" s="25">
        <f ca="1">SUM($AE$7:$AF$7)</f>
        <v>0</v>
      </c>
      <c r="AH7" s="25">
        <f>'TUSD BE'!$AH$7*'TUSD BF'!$AH$93</f>
        <v>0.40710353921264469</v>
      </c>
      <c r="AI7" s="25">
        <f>'TUSD BE'!$AI$7*'TUSD BF'!$AI$93</f>
        <v>1.5302348477451789E-2</v>
      </c>
      <c r="AJ7" s="25">
        <f ca="1">'TUSD BE'!$AJ$7*'TUSD BF'!$AJ$93</f>
        <v>0.32207238028473539</v>
      </c>
      <c r="AK7" s="25">
        <f ca="1">'TUSD BE'!$AK$7*'TUSD BF'!$AK$93</f>
        <v>0</v>
      </c>
      <c r="AL7" s="25">
        <f ca="1">SUM($AH$7:$AK$7)</f>
        <v>0.74447826797483185</v>
      </c>
      <c r="AM7" s="25">
        <f ca="1">SUMIF($L$4:$AL$4,"SUBTOTAL",$L$7:$AL$7)</f>
        <v>4.7722535791957892</v>
      </c>
      <c r="AO7" s="30">
        <f ca="1">+'TUSD BE'!$T$7+'TUSD BE'!$AB$7+'TUSD BE'!$AD$7+'TUSD BE'!$AL$7</f>
        <v>62.166336701141361</v>
      </c>
      <c r="AP7" s="30">
        <f ca="1">+'TUSD BE'!$T$7+'TUSD BE'!$AB$7+'TUSD BE'!$AD$7+'TUSD BE'!$AL$7</f>
        <v>62.166336701141361</v>
      </c>
    </row>
    <row r="8" spans="1:42" ht="11.25" customHeight="1" x14ac:dyDescent="0.25">
      <c r="A8" s="119"/>
      <c r="B8" s="119"/>
      <c r="C8" s="119"/>
      <c r="D8" s="119"/>
      <c r="E8" s="28" t="s">
        <v>61</v>
      </c>
      <c r="F8" s="28" t="s">
        <v>25</v>
      </c>
      <c r="G8" s="21" t="s">
        <v>94</v>
      </c>
      <c r="H8" s="21" t="s">
        <v>88</v>
      </c>
      <c r="I8" s="21">
        <f>'MERCADO TUSD'!$U$5</f>
        <v>110588.63</v>
      </c>
      <c r="J8" s="17"/>
      <c r="L8" s="25">
        <f>'TUSD BE'!$L$8*'TUSD BF'!$L$93</f>
        <v>0</v>
      </c>
      <c r="M8" s="25">
        <f>'TUSD BE'!$M$8*'TUSD BF'!$M$93</f>
        <v>0</v>
      </c>
      <c r="N8" s="25">
        <f ca="1">'TUSD BE'!$N$8*'TUSD BF'!$N$93</f>
        <v>0</v>
      </c>
      <c r="O8" s="25">
        <f>'TUSD BE'!$O$8*'TUSD BF'!$O$93</f>
        <v>0</v>
      </c>
      <c r="P8" s="25">
        <f>'TUSD BE'!$P$8*'TUSD BF'!$P$93</f>
        <v>0</v>
      </c>
      <c r="Q8" s="25">
        <f>'TUSD BE'!$Q$8*'TUSD BF'!$Q$93</f>
        <v>0</v>
      </c>
      <c r="R8" s="25">
        <f>'TUSD BE'!$R$8*'TUSD BF'!$R$93</f>
        <v>0</v>
      </c>
      <c r="S8" s="25">
        <f>'TUSD BE'!$R$8*'TUSD BF'!$S$93</f>
        <v>0</v>
      </c>
      <c r="T8" s="25">
        <f ca="1">SUM($L$8:$S$8)</f>
        <v>0</v>
      </c>
      <c r="U8" s="25">
        <f>'TUSD BE'!$U$8*'TUSD BF'!$U$93</f>
        <v>0</v>
      </c>
      <c r="V8" s="25">
        <f>'TUSD BE'!$V$8*'TUSD BF'!$V$93</f>
        <v>0</v>
      </c>
      <c r="W8" s="25">
        <f>'TUSD BE'!$W$8*'TUSD BF'!$W$93</f>
        <v>0</v>
      </c>
      <c r="X8" s="25">
        <f>'TUSD BE'!$X$8*'TUSD BF'!$X$93</f>
        <v>0</v>
      </c>
      <c r="Y8" s="25">
        <f>'TUSD BE'!$Y$8*'TUSD BF'!$Y$93</f>
        <v>0</v>
      </c>
      <c r="Z8" s="25">
        <f>'TUSD BE'!$Z$8*'TUSD BF'!$Z$93</f>
        <v>0</v>
      </c>
      <c r="AA8" s="25">
        <f>'TUSD BE'!$AA$8*'TUSD BF'!$AA$93</f>
        <v>0</v>
      </c>
      <c r="AB8" s="25">
        <f>SUM($U$8:$AA$8)</f>
        <v>0</v>
      </c>
      <c r="AC8" s="25">
        <f>'TUSD BE'!$AC$8*'TUSD BF'!$AC$93</f>
        <v>0</v>
      </c>
      <c r="AD8" s="25">
        <f>SUM($AC$8:$AC$8)</f>
        <v>0</v>
      </c>
      <c r="AE8" s="25">
        <f ca="1">$AO$8*$AO$90</f>
        <v>0</v>
      </c>
      <c r="AF8" s="25">
        <f ca="1">$AP$8*$AP$90</f>
        <v>0</v>
      </c>
      <c r="AG8" s="25">
        <f ca="1">SUM($AE$8:$AF$8)</f>
        <v>0</v>
      </c>
      <c r="AH8" s="25">
        <f>'TUSD BE'!$AH$8*'TUSD BF'!$AH$93</f>
        <v>0.40710353921264469</v>
      </c>
      <c r="AI8" s="25">
        <f>'TUSD BE'!$AI$8*'TUSD BF'!$AI$93</f>
        <v>1.5302348477451789E-2</v>
      </c>
      <c r="AJ8" s="25">
        <f ca="1">'TUSD BE'!$AJ$8*'TUSD BF'!$AJ$93</f>
        <v>0.32207238028473539</v>
      </c>
      <c r="AK8" s="25">
        <f ca="1">'TUSD BE'!$AK$8*'TUSD BF'!$AK$93</f>
        <v>0</v>
      </c>
      <c r="AL8" s="25">
        <f ca="1">SUM($AH$8:$AK$8)</f>
        <v>0.74447826797483185</v>
      </c>
      <c r="AM8" s="25">
        <f ca="1">SUMIF($L$4:$AL$4,"SUBTOTAL",$L$8:$AL$8)</f>
        <v>0.74447826797483185</v>
      </c>
      <c r="AO8" s="30">
        <f ca="1">+'TUSD BE'!$T$8+'TUSD BE'!$AB$8+'TUSD BE'!$AD$8+'TUSD BE'!$AL$8</f>
        <v>9.2880896190666551</v>
      </c>
      <c r="AP8" s="30">
        <f ca="1">+'TUSD BE'!$T$8+'TUSD BE'!$AB$8+'TUSD BE'!$AD$8+'TUSD BE'!$AL$8</f>
        <v>9.2880896190666551</v>
      </c>
    </row>
    <row r="9" spans="1:42" ht="11.25" customHeight="1" x14ac:dyDescent="0.25">
      <c r="A9" s="119"/>
      <c r="B9" s="119" t="s">
        <v>67</v>
      </c>
      <c r="C9" s="119" t="s">
        <v>25</v>
      </c>
      <c r="D9" s="119" t="s">
        <v>25</v>
      </c>
      <c r="E9" s="119" t="s">
        <v>25</v>
      </c>
      <c r="F9" s="119" t="s">
        <v>68</v>
      </c>
      <c r="G9" s="21" t="s">
        <v>92</v>
      </c>
      <c r="H9" s="21" t="s">
        <v>91</v>
      </c>
      <c r="I9" s="21">
        <f>'MERCADO TUSD'!$U$6</f>
        <v>648000</v>
      </c>
      <c r="J9" s="17"/>
      <c r="L9" s="25">
        <f>'TUSD BE'!$L$9*'TUSD BF'!$L$93</f>
        <v>0</v>
      </c>
      <c r="M9" s="25">
        <f>'TUSD BE'!$M$9*'TUSD BF'!$M$93</f>
        <v>0</v>
      </c>
      <c r="N9" s="25">
        <f ca="1">'TUSD BE'!$N$9*'TUSD BF'!$N$93</f>
        <v>0</v>
      </c>
      <c r="O9" s="25">
        <f>'TUSD BE'!$O$9*'TUSD BF'!$O$93</f>
        <v>0</v>
      </c>
      <c r="P9" s="25">
        <f>'TUSD BE'!$P$9*'TUSD BF'!$P$93</f>
        <v>0</v>
      </c>
      <c r="Q9" s="25">
        <f>'TUSD BE'!$Q$9*'TUSD BF'!$Q$93</f>
        <v>0</v>
      </c>
      <c r="R9" s="25">
        <f>'TUSD BE'!$R$9*'TUSD BF'!$R$93</f>
        <v>0</v>
      </c>
      <c r="S9" s="25">
        <f>'TUSD BE'!$R$9*'TUSD BF'!$S$93</f>
        <v>0</v>
      </c>
      <c r="T9" s="25">
        <f ca="1">SUM($L$9:$S$9)</f>
        <v>0</v>
      </c>
      <c r="U9" s="25">
        <f>'TUSD BE'!$U$9*'TUSD BF'!$U$93</f>
        <v>0.36571752226402238</v>
      </c>
      <c r="V9" s="25">
        <f>'TUSD BE'!$V$9*'TUSD BF'!$V$93</f>
        <v>8.1129238930456662E-2</v>
      </c>
      <c r="W9" s="25">
        <f>'TUSD BE'!$W$9*'TUSD BF'!$W$93</f>
        <v>0</v>
      </c>
      <c r="X9" s="25">
        <f>'TUSD BE'!$X$9*'TUSD BF'!$X$93</f>
        <v>0</v>
      </c>
      <c r="Y9" s="25">
        <f>'TUSD BE'!$Y$9*'TUSD BF'!$Y$93</f>
        <v>0</v>
      </c>
      <c r="Z9" s="25">
        <f>'TUSD BE'!$Z$9*'TUSD BF'!$Z$93</f>
        <v>0</v>
      </c>
      <c r="AA9" s="25">
        <f>'TUSD BE'!$AA$9*'TUSD BF'!$AA$93</f>
        <v>0</v>
      </c>
      <c r="AB9" s="25">
        <f>SUM($U$9:$AA$9)</f>
        <v>0.44684676119447903</v>
      </c>
      <c r="AC9" s="25">
        <f>'TUSD BE'!$AC$9*'TUSD BF'!$AC$93</f>
        <v>0</v>
      </c>
      <c r="AD9" s="25">
        <f>SUM($AC$9:$AC$9)</f>
        <v>0</v>
      </c>
      <c r="AE9" s="25">
        <v>0</v>
      </c>
      <c r="AF9" s="25">
        <f ca="1">$AP$9*$AP$90</f>
        <v>0</v>
      </c>
      <c r="AG9" s="25">
        <f ca="1">SUM($AE$9:$AF$9)</f>
        <v>0</v>
      </c>
      <c r="AH9" s="25">
        <f>'TUSD BE'!$AH$9*'TUSD BF'!$AH$93</f>
        <v>0</v>
      </c>
      <c r="AI9" s="25">
        <f>'TUSD BE'!$AI$9*'TUSD BF'!$AI$93</f>
        <v>0</v>
      </c>
      <c r="AJ9" s="25">
        <f ca="1">'TUSD BE'!$AJ$9*'TUSD BF'!$AJ$93</f>
        <v>0</v>
      </c>
      <c r="AK9" s="25">
        <f ca="1">'TUSD BE'!$AK$9*'TUSD BF'!$AK$93</f>
        <v>0</v>
      </c>
      <c r="AL9" s="25">
        <f ca="1">SUM($AH$9:$AK$9)</f>
        <v>0</v>
      </c>
      <c r="AM9" s="25">
        <f ca="1">SUMIF($L$4:$AL$4,"SUBTOTAL",$L$9:$AL$9)</f>
        <v>0.44684676119447903</v>
      </c>
      <c r="AO9" s="30"/>
      <c r="AP9" s="30">
        <f ca="1">+'TUSD BE'!$T$9+'TUSD BE'!$AB$9+'TUSD BE'!$AD$9+'TUSD BE'!$AL$9</f>
        <v>12.794504137088236</v>
      </c>
    </row>
    <row r="10" spans="1:42" ht="11.25" customHeight="1" x14ac:dyDescent="0.25">
      <c r="A10" s="119"/>
      <c r="B10" s="119"/>
      <c r="C10" s="119"/>
      <c r="D10" s="119"/>
      <c r="E10" s="119"/>
      <c r="F10" s="119"/>
      <c r="G10" s="21" t="s">
        <v>93</v>
      </c>
      <c r="H10" s="21" t="s">
        <v>91</v>
      </c>
      <c r="I10" s="21">
        <f>'MERCADO TUSD'!$U$7</f>
        <v>751668</v>
      </c>
      <c r="J10" s="17"/>
      <c r="L10" s="25">
        <f>'TUSD BE'!$L$10*'TUSD BF'!$L$93</f>
        <v>0</v>
      </c>
      <c r="M10" s="25">
        <f>'TUSD BE'!$M$10*'TUSD BF'!$M$93</f>
        <v>0</v>
      </c>
      <c r="N10" s="25">
        <f ca="1">'TUSD BE'!$N$10*'TUSD BF'!$N$93</f>
        <v>0</v>
      </c>
      <c r="O10" s="25">
        <f>'TUSD BE'!$O$10*'TUSD BF'!$O$93</f>
        <v>0</v>
      </c>
      <c r="P10" s="25">
        <f>'TUSD BE'!$P$10*'TUSD BF'!$P$93</f>
        <v>0</v>
      </c>
      <c r="Q10" s="25">
        <f>'TUSD BE'!$Q$10*'TUSD BF'!$Q$93</f>
        <v>0</v>
      </c>
      <c r="R10" s="25">
        <f>'TUSD BE'!$R$10*'TUSD BF'!$R$93</f>
        <v>0</v>
      </c>
      <c r="S10" s="25">
        <f>'TUSD BE'!$R$10*'TUSD BF'!$S$93</f>
        <v>0</v>
      </c>
      <c r="T10" s="25">
        <f ca="1">SUM($L$10:$S$10)</f>
        <v>0</v>
      </c>
      <c r="U10" s="25">
        <f>'TUSD BE'!$U$10*'TUSD BF'!$U$93</f>
        <v>0.28198037685120281</v>
      </c>
      <c r="V10" s="25">
        <f>'TUSD BE'!$V$10*'TUSD BF'!$V$93</f>
        <v>6.4302738564048556E-2</v>
      </c>
      <c r="W10" s="25">
        <f>'TUSD BE'!$W$10*'TUSD BF'!$W$93</f>
        <v>0</v>
      </c>
      <c r="X10" s="25">
        <f>'TUSD BE'!$X$10*'TUSD BF'!$X$93</f>
        <v>0</v>
      </c>
      <c r="Y10" s="25">
        <f>'TUSD BE'!$Y$10*'TUSD BF'!$Y$93</f>
        <v>0</v>
      </c>
      <c r="Z10" s="25">
        <f>'TUSD BE'!$Z$10*'TUSD BF'!$Z$93</f>
        <v>0</v>
      </c>
      <c r="AA10" s="25">
        <f>'TUSD BE'!$AA$10*'TUSD BF'!$AA$93</f>
        <v>0</v>
      </c>
      <c r="AB10" s="25">
        <f>SUM($U$10:$AA$10)</f>
        <v>0.34628311541525136</v>
      </c>
      <c r="AC10" s="25">
        <f>'TUSD BE'!$AC$10*'TUSD BF'!$AC$93</f>
        <v>0</v>
      </c>
      <c r="AD10" s="25">
        <f>SUM($AC$10:$AC$10)</f>
        <v>0</v>
      </c>
      <c r="AE10" s="25">
        <v>0</v>
      </c>
      <c r="AF10" s="25">
        <f ca="1">$AP$10*$AP$90</f>
        <v>0</v>
      </c>
      <c r="AG10" s="25">
        <f ca="1">SUM($AE$10:$AF$10)</f>
        <v>0</v>
      </c>
      <c r="AH10" s="25">
        <f>'TUSD BE'!$AH$10*'TUSD BF'!$AH$93</f>
        <v>0</v>
      </c>
      <c r="AI10" s="25">
        <f>'TUSD BE'!$AI$10*'TUSD BF'!$AI$93</f>
        <v>0</v>
      </c>
      <c r="AJ10" s="25">
        <f ca="1">'TUSD BE'!$AJ$10*'TUSD BF'!$AJ$93</f>
        <v>0</v>
      </c>
      <c r="AK10" s="25">
        <f ca="1">'TUSD BE'!$AK$10*'TUSD BF'!$AK$93</f>
        <v>0</v>
      </c>
      <c r="AL10" s="25">
        <f ca="1">SUM($AH$10:$AK$10)</f>
        <v>0</v>
      </c>
      <c r="AM10" s="25">
        <f ca="1">SUMIF($L$4:$AL$4,"SUBTOTAL",$L$10:$AL$10)</f>
        <v>0.34628311541525136</v>
      </c>
      <c r="AO10" s="30"/>
      <c r="AP10" s="30">
        <f ca="1">+'TUSD BE'!$T$10+'TUSD BE'!$AB$10+'TUSD BE'!$AD$10+'TUSD BE'!$AL$10</f>
        <v>7.9070588734157443</v>
      </c>
    </row>
    <row r="11" spans="1:42" ht="11.25" customHeight="1" x14ac:dyDescent="0.25">
      <c r="A11" s="119"/>
      <c r="B11" s="119"/>
      <c r="C11" s="119"/>
      <c r="D11" s="119"/>
      <c r="E11" s="119"/>
      <c r="F11" s="119"/>
      <c r="G11" s="21" t="s">
        <v>94</v>
      </c>
      <c r="H11" s="21" t="s">
        <v>88</v>
      </c>
      <c r="I11" s="21">
        <f>'MERCADO TUSD'!$U$8</f>
        <v>172728.277</v>
      </c>
      <c r="J11" s="17"/>
      <c r="L11" s="25">
        <f>'TUSD BE'!$L$11*'TUSD BF'!$L$93</f>
        <v>0</v>
      </c>
      <c r="M11" s="25">
        <f>'TUSD BE'!$M$11*'TUSD BF'!$M$93</f>
        <v>0</v>
      </c>
      <c r="N11" s="25">
        <f ca="1">'TUSD BE'!$N$11*'TUSD BF'!$N$93</f>
        <v>0</v>
      </c>
      <c r="O11" s="25">
        <f>'TUSD BE'!$O$11*'TUSD BF'!$O$93</f>
        <v>0</v>
      </c>
      <c r="P11" s="25">
        <f>'TUSD BE'!$P$11*'TUSD BF'!$P$93</f>
        <v>0</v>
      </c>
      <c r="Q11" s="25">
        <f>'TUSD BE'!$Q$11*'TUSD BF'!$Q$93</f>
        <v>0</v>
      </c>
      <c r="R11" s="25">
        <f>'TUSD BE'!$R$11*'TUSD BF'!$R$93</f>
        <v>0</v>
      </c>
      <c r="S11" s="25">
        <f>'TUSD BE'!$R$11*'TUSD BF'!$S$93</f>
        <v>0</v>
      </c>
      <c r="T11" s="25">
        <f ca="1">SUM($L$11:$S$11)</f>
        <v>0</v>
      </c>
      <c r="U11" s="25">
        <f>'TUSD BE'!$U$11*'TUSD BF'!$U$93</f>
        <v>0</v>
      </c>
      <c r="V11" s="25">
        <f>'TUSD BE'!$V$11*'TUSD BF'!$V$93</f>
        <v>0</v>
      </c>
      <c r="W11" s="25">
        <f>'TUSD BE'!$W$11*'TUSD BF'!$W$93</f>
        <v>0</v>
      </c>
      <c r="X11" s="25">
        <f>'TUSD BE'!$X$11*'TUSD BF'!$X$93</f>
        <v>0</v>
      </c>
      <c r="Y11" s="25">
        <f>'TUSD BE'!$Y$11*'TUSD BF'!$Y$93</f>
        <v>0</v>
      </c>
      <c r="Z11" s="25">
        <f>'TUSD BE'!$Z$11*'TUSD BF'!$Z$93</f>
        <v>0</v>
      </c>
      <c r="AA11" s="25">
        <f>'TUSD BE'!$AA$11*'TUSD BF'!$AA$93</f>
        <v>0</v>
      </c>
      <c r="AB11" s="25">
        <f>SUM($U$11:$AA$11)</f>
        <v>0</v>
      </c>
      <c r="AC11" s="25">
        <f>'TUSD BE'!$AC$11*'TUSD BF'!$AC$93</f>
        <v>0</v>
      </c>
      <c r="AD11" s="25">
        <f>SUM($AC$11:$AC$11)</f>
        <v>0</v>
      </c>
      <c r="AE11" s="25">
        <v>0</v>
      </c>
      <c r="AF11" s="25">
        <f ca="1">$AP$11*$AP$90</f>
        <v>0</v>
      </c>
      <c r="AG11" s="25">
        <f ca="1">SUM($AE$11:$AF$11)</f>
        <v>0</v>
      </c>
      <c r="AH11" s="25">
        <f>'TUSD BE'!$AH$11*'TUSD BF'!$AH$93</f>
        <v>0.40710353921264469</v>
      </c>
      <c r="AI11" s="25">
        <f>'TUSD BE'!$AI$11*'TUSD BF'!$AI$93</f>
        <v>1.5302348477451789E-2</v>
      </c>
      <c r="AJ11" s="25">
        <f ca="1">'TUSD BE'!$AJ$11*'TUSD BF'!$AJ$93</f>
        <v>0</v>
      </c>
      <c r="AK11" s="25">
        <f ca="1">'TUSD BE'!$AK$11*'TUSD BF'!$AK$93</f>
        <v>0</v>
      </c>
      <c r="AL11" s="25">
        <f ca="1">SUM($AH$11:$AK$11)</f>
        <v>0.42240588769009646</v>
      </c>
      <c r="AM11" s="25">
        <f ca="1">SUMIF($L$4:$AL$4,"SUBTOTAL",$L$11:$AL$11)</f>
        <v>0.42240588769009646</v>
      </c>
      <c r="AO11" s="30"/>
      <c r="AP11" s="30">
        <f ca="1">+'TUSD BE'!$T$11+'TUSD BE'!$AB$11+'TUSD BE'!$AD$11+'TUSD BE'!$AL$11</f>
        <v>4.6773548815095927</v>
      </c>
    </row>
    <row r="12" spans="1:42" ht="11.25" customHeight="1" x14ac:dyDescent="0.25">
      <c r="A12" s="119"/>
      <c r="B12" s="119" t="s">
        <v>64</v>
      </c>
      <c r="C12" s="119" t="s">
        <v>25</v>
      </c>
      <c r="D12" s="119" t="s">
        <v>25</v>
      </c>
      <c r="E12" s="119" t="s">
        <v>25</v>
      </c>
      <c r="F12" s="28" t="s">
        <v>70</v>
      </c>
      <c r="G12" s="21" t="s">
        <v>9</v>
      </c>
      <c r="H12" s="21" t="s">
        <v>91</v>
      </c>
      <c r="I12" s="21">
        <f>'MERCADO TUSD'!$U$9</f>
        <v>1494000</v>
      </c>
      <c r="J12" s="17"/>
      <c r="L12" s="25">
        <f>'TUSD BE'!$L$12*'TUSD BF'!$L$93</f>
        <v>0</v>
      </c>
      <c r="M12" s="25">
        <f>'TUSD BE'!$M$12*'TUSD BF'!$M$93</f>
        <v>0</v>
      </c>
      <c r="N12" s="25">
        <f>'TUSD BE'!$N$12*'TUSD BF'!$N$93</f>
        <v>0</v>
      </c>
      <c r="O12" s="25">
        <f>'TUSD BE'!$O$12*'TUSD BF'!$O$93</f>
        <v>0</v>
      </c>
      <c r="P12" s="25">
        <f>'TUSD BE'!$P$12*'TUSD BF'!$P$93</f>
        <v>0</v>
      </c>
      <c r="Q12" s="25">
        <f>'TUSD BE'!$Q$12*'TUSD BF'!$Q$93</f>
        <v>0</v>
      </c>
      <c r="R12" s="25">
        <f>'TUSD BE'!$R$12*'TUSD BF'!$R$93</f>
        <v>0</v>
      </c>
      <c r="S12" s="25">
        <f>'TUSD BE'!$R$12*'TUSD BF'!$S$93</f>
        <v>0</v>
      </c>
      <c r="T12" s="25">
        <f>SUM($L$12:$S$12)</f>
        <v>0</v>
      </c>
      <c r="U12" s="25">
        <f>'TUSD BE'!$U$12*'TUSD BF'!$U$93</f>
        <v>0</v>
      </c>
      <c r="V12" s="25">
        <f>'TUSD BE'!$V$12*'TUSD BF'!$V$93</f>
        <v>2.9488577156840622E-2</v>
      </c>
      <c r="W12" s="25">
        <f>'TUSD BE'!$W$12*'TUSD BF'!$W$93</f>
        <v>0</v>
      </c>
      <c r="X12" s="25">
        <f>'TUSD BE'!$X$12*'TUSD BF'!$X$93</f>
        <v>0</v>
      </c>
      <c r="Y12" s="25">
        <f>'TUSD BE'!$Y$12*'TUSD BF'!$Y$93</f>
        <v>0</v>
      </c>
      <c r="Z12" s="25">
        <f>'TUSD BE'!$Z$12*'TUSD BF'!$Z$93</f>
        <v>0</v>
      </c>
      <c r="AA12" s="25">
        <f>'TUSD BE'!$AA$12*'TUSD BF'!$AA$93</f>
        <v>1.3905972259799075E-2</v>
      </c>
      <c r="AB12" s="25">
        <f>SUM($U$12:$AA$12)</f>
        <v>4.3394549416639699E-2</v>
      </c>
      <c r="AC12" s="25">
        <f>'TUSD BE'!$AC$12*'TUSD BF'!$AC$93</f>
        <v>0</v>
      </c>
      <c r="AD12" s="25">
        <f>SUM($AC$12:$AC$12)</f>
        <v>0</v>
      </c>
      <c r="AE12" s="25">
        <f ca="1">$AO$12*$AO$90</f>
        <v>0</v>
      </c>
      <c r="AF12" s="25">
        <f ca="1">$AP$12*$AP$90</f>
        <v>0</v>
      </c>
      <c r="AG12" s="25">
        <f ca="1">SUM($AE$12:$AF$12)</f>
        <v>0</v>
      </c>
      <c r="AH12" s="25">
        <f>'TUSD BE'!$AH$12*'TUSD BF'!$AH$93</f>
        <v>0</v>
      </c>
      <c r="AI12" s="25">
        <f>'TUSD BE'!$AI$12*'TUSD BF'!$AI$93</f>
        <v>0</v>
      </c>
      <c r="AJ12" s="25">
        <f>'TUSD BE'!$AJ$12*'TUSD BF'!$AJ$93</f>
        <v>0</v>
      </c>
      <c r="AK12" s="25">
        <f>'TUSD BE'!$AK$12*'TUSD BF'!$AK$93</f>
        <v>0</v>
      </c>
      <c r="AL12" s="25">
        <f>SUM($AH$12:$AK$12)</f>
        <v>0</v>
      </c>
      <c r="AM12" s="25">
        <f ca="1">SUMIF($L$4:$AL$4,"SUBTOTAL",$L$12:$AL$12)</f>
        <v>4.3394549416639699E-2</v>
      </c>
      <c r="AO12" s="30">
        <f>+'TUSD BE'!$T$12+'TUSD BE'!$AB$12+'TUSD BE'!$AD$12+'TUSD BE'!$AL$12</f>
        <v>3.5716000000000001</v>
      </c>
      <c r="AP12" s="30">
        <f>+'TUSD BE'!$T$12+'TUSD BE'!$AB$12+'TUSD BE'!$AD$12+'TUSD BE'!$AL$12</f>
        <v>3.5716000000000001</v>
      </c>
    </row>
    <row r="13" spans="1:42" ht="11.25" customHeight="1" x14ac:dyDescent="0.25">
      <c r="A13" s="119"/>
      <c r="B13" s="119"/>
      <c r="C13" s="119"/>
      <c r="D13" s="119"/>
      <c r="E13" s="119"/>
      <c r="F13" s="28" t="s">
        <v>71</v>
      </c>
      <c r="G13" s="21" t="s">
        <v>9</v>
      </c>
      <c r="H13" s="21" t="s">
        <v>91</v>
      </c>
      <c r="I13" s="21">
        <f>'MERCADO TUSD'!$U$10</f>
        <v>1038000</v>
      </c>
      <c r="J13" s="17"/>
      <c r="L13" s="25">
        <f>'TUSD BE'!$L$13*'TUSD BF'!$L$93</f>
        <v>0</v>
      </c>
      <c r="M13" s="25">
        <f>'TUSD BE'!$M$13*'TUSD BF'!$M$93</f>
        <v>0</v>
      </c>
      <c r="N13" s="25">
        <f>'TUSD BE'!$N$13*'TUSD BF'!$N$93</f>
        <v>0</v>
      </c>
      <c r="O13" s="25">
        <f>'TUSD BE'!$O$13*'TUSD BF'!$O$93</f>
        <v>0</v>
      </c>
      <c r="P13" s="25">
        <f>'TUSD BE'!$P$13*'TUSD BF'!$P$93</f>
        <v>0</v>
      </c>
      <c r="Q13" s="25">
        <f>'TUSD BE'!$Q$13*'TUSD BF'!$Q$93</f>
        <v>0</v>
      </c>
      <c r="R13" s="25">
        <f>'TUSD BE'!$R$13*'TUSD BF'!$R$93</f>
        <v>0</v>
      </c>
      <c r="S13" s="25">
        <f>'TUSD BE'!$R$13*'TUSD BF'!$S$93</f>
        <v>0</v>
      </c>
      <c r="T13" s="25">
        <f>SUM($L$13:$S$13)</f>
        <v>0</v>
      </c>
      <c r="U13" s="25">
        <f>'TUSD BE'!$U$13*'TUSD BF'!$U$93</f>
        <v>0</v>
      </c>
      <c r="V13" s="25">
        <f>'TUSD BE'!$V$13*'TUSD BF'!$V$93</f>
        <v>2.5539089539525956E-2</v>
      </c>
      <c r="W13" s="25">
        <f>'TUSD BE'!$W$13*'TUSD BF'!$W$93</f>
        <v>0</v>
      </c>
      <c r="X13" s="25">
        <f>'TUSD BE'!$X$13*'TUSD BF'!$X$93</f>
        <v>0</v>
      </c>
      <c r="Y13" s="25">
        <f>'TUSD BE'!$Y$13*'TUSD BF'!$Y$93</f>
        <v>0</v>
      </c>
      <c r="Z13" s="25">
        <f>'TUSD BE'!$Z$13*'TUSD BF'!$Z$93</f>
        <v>0</v>
      </c>
      <c r="AA13" s="25">
        <f>'TUSD BE'!$AA$13*'TUSD BF'!$AA$93</f>
        <v>1.3905972259799075E-2</v>
      </c>
      <c r="AB13" s="25">
        <f>SUM($U$13:$AA$13)</f>
        <v>3.9445061799325033E-2</v>
      </c>
      <c r="AC13" s="25">
        <f>'TUSD BE'!$AC$13*'TUSD BF'!$AC$93</f>
        <v>0</v>
      </c>
      <c r="AD13" s="25">
        <f>SUM($AC$13:$AC$13)</f>
        <v>0</v>
      </c>
      <c r="AE13" s="25">
        <f ca="1">$AO$13*$AO$90</f>
        <v>0</v>
      </c>
      <c r="AF13" s="25">
        <f ca="1">$AP$13*$AP$90</f>
        <v>0</v>
      </c>
      <c r="AG13" s="25">
        <f ca="1">SUM($AE$13:$AF$13)</f>
        <v>0</v>
      </c>
      <c r="AH13" s="25">
        <f>'TUSD BE'!$AH$13*'TUSD BF'!$AH$93</f>
        <v>0</v>
      </c>
      <c r="AI13" s="25">
        <f>'TUSD BE'!$AI$13*'TUSD BF'!$AI$93</f>
        <v>0</v>
      </c>
      <c r="AJ13" s="25">
        <f>'TUSD BE'!$AJ$13*'TUSD BF'!$AJ$93</f>
        <v>0</v>
      </c>
      <c r="AK13" s="25">
        <f>'TUSD BE'!$AK$13*'TUSD BF'!$AK$93</f>
        <v>0</v>
      </c>
      <c r="AL13" s="25">
        <f>SUM($AH$13:$AK$13)</f>
        <v>0</v>
      </c>
      <c r="AM13" s="25">
        <f ca="1">SUMIF($L$4:$AL$4,"SUBTOTAL",$L$13:$AL$13)</f>
        <v>3.9445061799325033E-2</v>
      </c>
      <c r="AO13" s="30">
        <f>+'TUSD BE'!$T$13+'TUSD BE'!$AB$13+'TUSD BE'!$AD$13+'TUSD BE'!$AL$13</f>
        <v>3.1341999999999999</v>
      </c>
      <c r="AP13" s="30">
        <f>+'TUSD BE'!$T$13+'TUSD BE'!$AB$13+'TUSD BE'!$AD$13+'TUSD BE'!$AL$13</f>
        <v>3.1341999999999999</v>
      </c>
    </row>
    <row r="14" spans="1:42" ht="11.25" customHeight="1" x14ac:dyDescent="0.25">
      <c r="A14" s="119"/>
      <c r="B14" s="119"/>
      <c r="C14" s="119"/>
      <c r="D14" s="119"/>
      <c r="E14" s="119"/>
      <c r="F14" s="28" t="s">
        <v>95</v>
      </c>
      <c r="G14" s="21" t="s">
        <v>9</v>
      </c>
      <c r="H14" s="21" t="s">
        <v>91</v>
      </c>
      <c r="I14" s="21">
        <f>'MERCADO TUSD'!$U$11</f>
        <v>0</v>
      </c>
      <c r="J14" s="17"/>
      <c r="L14" s="25">
        <f>'TUSD BE'!$L$14*'TUSD BF'!$L$93</f>
        <v>0</v>
      </c>
      <c r="M14" s="25">
        <f>'TUSD BE'!$M$14*'TUSD BF'!$M$93</f>
        <v>0</v>
      </c>
      <c r="N14" s="25">
        <f>'TUSD BE'!$N$14*'TUSD BF'!$N$93</f>
        <v>0</v>
      </c>
      <c r="O14" s="25">
        <f>'TUSD BE'!$O$14*'TUSD BF'!$O$93</f>
        <v>0</v>
      </c>
      <c r="P14" s="25">
        <f>'TUSD BE'!$P$14*'TUSD BF'!$P$93</f>
        <v>0</v>
      </c>
      <c r="Q14" s="25">
        <f>'TUSD BE'!$Q$14*'TUSD BF'!$Q$93</f>
        <v>0</v>
      </c>
      <c r="R14" s="25">
        <f>'TUSD BE'!$R$14*'TUSD BF'!$R$93</f>
        <v>0</v>
      </c>
      <c r="S14" s="25">
        <f>'TUSD BE'!$R$14*'TUSD BF'!$S$93</f>
        <v>0</v>
      </c>
      <c r="T14" s="25">
        <f>SUM($L$14:$S$14)</f>
        <v>0</v>
      </c>
      <c r="U14" s="25">
        <f>'TUSD BE'!$U$14*'TUSD BF'!$U$93</f>
        <v>0</v>
      </c>
      <c r="V14" s="25">
        <f>'TUSD BE'!$V$14*'TUSD BF'!$V$93</f>
        <v>8.3874277668060642E-3</v>
      </c>
      <c r="W14" s="25">
        <f>'TUSD BE'!$W$14*'TUSD BF'!$W$93</f>
        <v>0</v>
      </c>
      <c r="X14" s="25">
        <f>'TUSD BE'!$X$14*'TUSD BF'!$X$93</f>
        <v>0</v>
      </c>
      <c r="Y14" s="25">
        <f>'TUSD BE'!$Y$14*'TUSD BF'!$Y$93</f>
        <v>0</v>
      </c>
      <c r="Z14" s="25">
        <f>'TUSD BE'!$Z$14*'TUSD BF'!$Z$93</f>
        <v>0</v>
      </c>
      <c r="AA14" s="25">
        <f>'TUSD BE'!$AA$14*'TUSD BF'!$AA$93</f>
        <v>0</v>
      </c>
      <c r="AB14" s="25">
        <f>SUM($U$14:$AA$14)</f>
        <v>8.3874277668060642E-3</v>
      </c>
      <c r="AC14" s="25">
        <f>'TUSD BE'!$AC$14*'TUSD BF'!$AC$93</f>
        <v>0</v>
      </c>
      <c r="AD14" s="25">
        <f>SUM($AC$14:$AC$14)</f>
        <v>0</v>
      </c>
      <c r="AE14" s="25">
        <f ca="1">$AO$14*$AO$90</f>
        <v>0</v>
      </c>
      <c r="AF14" s="25">
        <f ca="1">$AP$14*$AP$90</f>
        <v>0</v>
      </c>
      <c r="AG14" s="25">
        <f ca="1">SUM($AE$14:$AF$14)</f>
        <v>0</v>
      </c>
      <c r="AH14" s="25">
        <f>'TUSD BE'!$AH$14*'TUSD BF'!$AH$93</f>
        <v>0</v>
      </c>
      <c r="AI14" s="25">
        <f>'TUSD BE'!$AI$14*'TUSD BF'!$AI$93</f>
        <v>0</v>
      </c>
      <c r="AJ14" s="25">
        <f>'TUSD BE'!$AJ$14*'TUSD BF'!$AJ$93</f>
        <v>0</v>
      </c>
      <c r="AK14" s="25">
        <f>'TUSD BE'!$AK$14*'TUSD BF'!$AK$93</f>
        <v>0</v>
      </c>
      <c r="AL14" s="25">
        <f>SUM($AH$14:$AK$14)</f>
        <v>0</v>
      </c>
      <c r="AM14" s="25">
        <f ca="1">SUMIF($L$4:$AL$4,"SUBTOTAL",$L$14:$AL$14)</f>
        <v>8.3874277668060642E-3</v>
      </c>
      <c r="AO14" s="30">
        <f>+'TUSD BE'!$T$14+'TUSD BE'!$AB$14+'TUSD BE'!$AD$14+'TUSD BE'!$AL$14</f>
        <v>3.3649</v>
      </c>
      <c r="AP14" s="30">
        <f>+'TUSD BE'!$T$14+'TUSD BE'!$AB$14+'TUSD BE'!$AD$14+'TUSD BE'!$AL$14</f>
        <v>3.3649</v>
      </c>
    </row>
    <row r="15" spans="1:42" ht="11.25" customHeight="1" x14ac:dyDescent="0.25">
      <c r="A15" s="119" t="s">
        <v>45</v>
      </c>
      <c r="B15" s="119" t="s">
        <v>41</v>
      </c>
      <c r="C15" s="119" t="s">
        <v>25</v>
      </c>
      <c r="D15" s="119" t="s">
        <v>25</v>
      </c>
      <c r="E15" s="119" t="s">
        <v>25</v>
      </c>
      <c r="F15" s="119" t="s">
        <v>25</v>
      </c>
      <c r="G15" s="21" t="s">
        <v>92</v>
      </c>
      <c r="H15" s="21" t="s">
        <v>91</v>
      </c>
      <c r="I15" s="21">
        <f>'MERCADO TUSD'!$U$12</f>
        <v>85943</v>
      </c>
      <c r="J15" s="17"/>
      <c r="L15" s="25">
        <f>'TUSD BE'!$L$15*'TUSD BF'!$L$93</f>
        <v>0</v>
      </c>
      <c r="M15" s="25">
        <f>'TUSD BE'!$M$15*'TUSD BF'!$M$93</f>
        <v>0</v>
      </c>
      <c r="N15" s="25">
        <f ca="1">'TUSD BE'!$N$15*'TUSD BF'!$N$93</f>
        <v>0</v>
      </c>
      <c r="O15" s="25">
        <f>'TUSD BE'!$O$15*'TUSD BF'!$O$93</f>
        <v>0</v>
      </c>
      <c r="P15" s="25">
        <f>'TUSD BE'!$P$15*'TUSD BF'!$P$93</f>
        <v>0</v>
      </c>
      <c r="Q15" s="25">
        <f>'TUSD BE'!$Q$15*'TUSD BF'!$Q$93</f>
        <v>0</v>
      </c>
      <c r="R15" s="25">
        <f>'TUSD BE'!$R$15*'TUSD BF'!$R$93</f>
        <v>0</v>
      </c>
      <c r="S15" s="25">
        <f>'TUSD BE'!$R$15*'TUSD BF'!$S$93</f>
        <v>0</v>
      </c>
      <c r="T15" s="25">
        <f ca="1">SUM($L$15:$S$15)</f>
        <v>0</v>
      </c>
      <c r="U15" s="25">
        <f>'TUSD BE'!$U$15*'TUSD BF'!$U$93</f>
        <v>0.36200302087826336</v>
      </c>
      <c r="V15" s="25">
        <f>'TUSD BE'!$V$15*'TUSD BF'!$V$93</f>
        <v>9.0920698801373837E-2</v>
      </c>
      <c r="W15" s="25">
        <f>'TUSD BE'!$W$15*'TUSD BF'!$W$93</f>
        <v>0</v>
      </c>
      <c r="X15" s="25">
        <f>'TUSD BE'!$X$15*'TUSD BF'!$X$93</f>
        <v>0</v>
      </c>
      <c r="Y15" s="25">
        <f>'TUSD BE'!$Y$15*'TUSD BF'!$Y$93</f>
        <v>0</v>
      </c>
      <c r="Z15" s="25">
        <f>'TUSD BE'!$Z$15*'TUSD BF'!$Z$93</f>
        <v>0</v>
      </c>
      <c r="AA15" s="25">
        <f>'TUSD BE'!$AA$15*'TUSD BF'!$AA$93</f>
        <v>0</v>
      </c>
      <c r="AB15" s="25">
        <f>SUM($U$15:$AA$15)</f>
        <v>0.45292371967963718</v>
      </c>
      <c r="AC15" s="25">
        <f>'TUSD BE'!$AC$15*'TUSD BF'!$AC$93</f>
        <v>0</v>
      </c>
      <c r="AD15" s="25">
        <f>SUM($AC$15:$AC$15)</f>
        <v>0</v>
      </c>
      <c r="AE15" s="25">
        <f ca="1">$AO$15*$AO$90</f>
        <v>0</v>
      </c>
      <c r="AF15" s="25">
        <f ca="1">$AP$15*$AP$90</f>
        <v>0</v>
      </c>
      <c r="AG15" s="25">
        <f ca="1">SUM($AE$15:$AF$15)</f>
        <v>0</v>
      </c>
      <c r="AH15" s="25">
        <f>'TUSD BE'!$AH$15*'TUSD BF'!$AH$93</f>
        <v>0</v>
      </c>
      <c r="AI15" s="25">
        <f>'TUSD BE'!$AI$15*'TUSD BF'!$AI$93</f>
        <v>0</v>
      </c>
      <c r="AJ15" s="25">
        <f ca="1">'TUSD BE'!$AJ$15*'TUSD BF'!$AJ$93</f>
        <v>0</v>
      </c>
      <c r="AK15" s="25">
        <f ca="1">'TUSD BE'!$AK$15*'TUSD BF'!$AK$93</f>
        <v>0</v>
      </c>
      <c r="AL15" s="25">
        <f ca="1">SUM($AH$15:$AK$15)</f>
        <v>0</v>
      </c>
      <c r="AM15" s="25">
        <f ca="1">SUMIF($L$4:$AL$4,"SUBTOTAL",$L$15:$AL$15)</f>
        <v>0.45292371967963718</v>
      </c>
      <c r="AO15" s="30">
        <f ca="1">+'TUSD BE'!$T$15+'TUSD BE'!$AB$15+'TUSD BE'!$AD$15+'TUSD BE'!$AL$15</f>
        <v>26.716380063009197</v>
      </c>
      <c r="AP15" s="30">
        <f ca="1">+'TUSD BE'!$T$15+'TUSD BE'!$AB$15+'TUSD BE'!$AD$15+'TUSD BE'!$AL$15</f>
        <v>26.716380063009197</v>
      </c>
    </row>
    <row r="16" spans="1:42" ht="11.25" customHeight="1" x14ac:dyDescent="0.25">
      <c r="A16" s="119"/>
      <c r="B16" s="119"/>
      <c r="C16" s="119"/>
      <c r="D16" s="119"/>
      <c r="E16" s="119"/>
      <c r="F16" s="119"/>
      <c r="G16" s="21" t="s">
        <v>93</v>
      </c>
      <c r="H16" s="21" t="s">
        <v>91</v>
      </c>
      <c r="I16" s="21">
        <f>'MERCADO TUSD'!$U$13</f>
        <v>99179</v>
      </c>
      <c r="J16" s="17"/>
      <c r="L16" s="25">
        <f>'TUSD BE'!$L$16*'TUSD BF'!$L$93</f>
        <v>0</v>
      </c>
      <c r="M16" s="25">
        <f>'TUSD BE'!$M$16*'TUSD BF'!$M$93</f>
        <v>0</v>
      </c>
      <c r="N16" s="25">
        <f ca="1">'TUSD BE'!$N$16*'TUSD BF'!$N$93</f>
        <v>0</v>
      </c>
      <c r="O16" s="25">
        <f>'TUSD BE'!$O$16*'TUSD BF'!$O$93</f>
        <v>0</v>
      </c>
      <c r="P16" s="25">
        <f>'TUSD BE'!$P$16*'TUSD BF'!$P$93</f>
        <v>0</v>
      </c>
      <c r="Q16" s="25">
        <f>'TUSD BE'!$Q$16*'TUSD BF'!$Q$93</f>
        <v>0</v>
      </c>
      <c r="R16" s="25">
        <f>'TUSD BE'!$R$16*'TUSD BF'!$R$93</f>
        <v>0</v>
      </c>
      <c r="S16" s="25">
        <f>'TUSD BE'!$R$16*'TUSD BF'!$S$93</f>
        <v>0</v>
      </c>
      <c r="T16" s="25">
        <f ca="1">SUM($L$16:$S$16)</f>
        <v>0</v>
      </c>
      <c r="U16" s="25">
        <f>'TUSD BE'!$U$16*'TUSD BF'!$U$93</f>
        <v>0.23661666307709064</v>
      </c>
      <c r="V16" s="25">
        <f>'TUSD BE'!$V$16*'TUSD BF'!$V$93</f>
        <v>6.4673003853284922E-2</v>
      </c>
      <c r="W16" s="25">
        <f>'TUSD BE'!$W$16*'TUSD BF'!$W$93</f>
        <v>0</v>
      </c>
      <c r="X16" s="25">
        <f>'TUSD BE'!$X$16*'TUSD BF'!$X$93</f>
        <v>0</v>
      </c>
      <c r="Y16" s="25">
        <f>'TUSD BE'!$Y$16*'TUSD BF'!$Y$93</f>
        <v>0</v>
      </c>
      <c r="Z16" s="25">
        <f>'TUSD BE'!$Z$16*'TUSD BF'!$Z$93</f>
        <v>0</v>
      </c>
      <c r="AA16" s="25">
        <f>'TUSD BE'!$AA$16*'TUSD BF'!$AA$93</f>
        <v>0</v>
      </c>
      <c r="AB16" s="25">
        <f>SUM($U$16:$AA$16)</f>
        <v>0.30128966693037557</v>
      </c>
      <c r="AC16" s="25">
        <f>'TUSD BE'!$AC$16*'TUSD BF'!$AC$93</f>
        <v>0</v>
      </c>
      <c r="AD16" s="25">
        <f>SUM($AC$16:$AC$16)</f>
        <v>0</v>
      </c>
      <c r="AE16" s="25">
        <f ca="1">$AO$16*$AO$90</f>
        <v>0</v>
      </c>
      <c r="AF16" s="25">
        <f ca="1">$AP$16*$AP$90</f>
        <v>0</v>
      </c>
      <c r="AG16" s="25">
        <f ca="1">SUM($AE$16:$AF$16)</f>
        <v>0</v>
      </c>
      <c r="AH16" s="25">
        <f>'TUSD BE'!$AH$16*'TUSD BF'!$AH$93</f>
        <v>0</v>
      </c>
      <c r="AI16" s="25">
        <f>'TUSD BE'!$AI$16*'TUSD BF'!$AI$93</f>
        <v>0</v>
      </c>
      <c r="AJ16" s="25">
        <f ca="1">'TUSD BE'!$AJ$16*'TUSD BF'!$AJ$93</f>
        <v>0</v>
      </c>
      <c r="AK16" s="25">
        <f ca="1">'TUSD BE'!$AK$16*'TUSD BF'!$AK$93</f>
        <v>0</v>
      </c>
      <c r="AL16" s="25">
        <f ca="1">SUM($AH$16:$AK$16)</f>
        <v>0</v>
      </c>
      <c r="AM16" s="25">
        <f ca="1">SUMIF($L$4:$AL$4,"SUBTOTAL",$L$16:$AL$16)</f>
        <v>0.30128966693037557</v>
      </c>
      <c r="AO16" s="30">
        <f ca="1">+'TUSD BE'!$T$16+'TUSD BE'!$AB$16+'TUSD BE'!$AD$16+'TUSD BE'!$AL$16</f>
        <v>11.114449476719457</v>
      </c>
      <c r="AP16" s="30">
        <f ca="1">+'TUSD BE'!$T$16+'TUSD BE'!$AB$16+'TUSD BE'!$AD$16+'TUSD BE'!$AL$16</f>
        <v>11.114449476719457</v>
      </c>
    </row>
    <row r="17" spans="1:42" ht="11.25" customHeight="1" x14ac:dyDescent="0.25">
      <c r="A17" s="119"/>
      <c r="B17" s="119"/>
      <c r="C17" s="119"/>
      <c r="D17" s="119"/>
      <c r="E17" s="119"/>
      <c r="F17" s="119"/>
      <c r="G17" s="21" t="s">
        <v>94</v>
      </c>
      <c r="H17" s="21" t="s">
        <v>88</v>
      </c>
      <c r="I17" s="21">
        <f>'MERCADO TUSD'!$U$14</f>
        <v>39203.405000000006</v>
      </c>
      <c r="J17" s="17"/>
      <c r="L17" s="25">
        <f>'TUSD BE'!$L$17*'TUSD BF'!$L$93</f>
        <v>0</v>
      </c>
      <c r="M17" s="25">
        <f>'TUSD BE'!$M$17*'TUSD BF'!$M$93</f>
        <v>0</v>
      </c>
      <c r="N17" s="25">
        <f ca="1">'TUSD BE'!$N$17*'TUSD BF'!$N$93</f>
        <v>0</v>
      </c>
      <c r="O17" s="25">
        <f>'TUSD BE'!$O$17*'TUSD BF'!$O$93</f>
        <v>0</v>
      </c>
      <c r="P17" s="25">
        <f>'TUSD BE'!$P$17*'TUSD BF'!$P$93</f>
        <v>0</v>
      </c>
      <c r="Q17" s="25">
        <f>'TUSD BE'!$Q$17*'TUSD BF'!$Q$93</f>
        <v>6.1201872023517385</v>
      </c>
      <c r="R17" s="25">
        <f>'TUSD BE'!$R$17*'TUSD BF'!$R$93</f>
        <v>-0.99215351767428861</v>
      </c>
      <c r="S17" s="25">
        <f>'TUSD BE'!$R$17*'TUSD BF'!$S$93</f>
        <v>0</v>
      </c>
      <c r="T17" s="25">
        <f ca="1">SUM($L$17:$S$17)</f>
        <v>5.1280336846774501</v>
      </c>
      <c r="U17" s="25">
        <f>'TUSD BE'!$U$17*'TUSD BF'!$U$93</f>
        <v>0</v>
      </c>
      <c r="V17" s="25">
        <f>'TUSD BE'!$V$17*'TUSD BF'!$V$93</f>
        <v>0</v>
      </c>
      <c r="W17" s="25">
        <f>'TUSD BE'!$W$17*'TUSD BF'!$W$93</f>
        <v>0</v>
      </c>
      <c r="X17" s="25">
        <f>'TUSD BE'!$X$17*'TUSD BF'!$X$93</f>
        <v>0</v>
      </c>
      <c r="Y17" s="25">
        <f>'TUSD BE'!$Y$17*'TUSD BF'!$Y$93</f>
        <v>0</v>
      </c>
      <c r="Z17" s="25">
        <f>'TUSD BE'!$Z$17*'TUSD BF'!$Z$93</f>
        <v>0</v>
      </c>
      <c r="AA17" s="25">
        <f>'TUSD BE'!$AA$17*'TUSD BF'!$AA$93</f>
        <v>0</v>
      </c>
      <c r="AB17" s="25">
        <f>SUM($U$17:$AA$17)</f>
        <v>0</v>
      </c>
      <c r="AC17" s="25">
        <f>'TUSD BE'!$AC$17*'TUSD BF'!$AC$93</f>
        <v>0</v>
      </c>
      <c r="AD17" s="25">
        <f>SUM($AC$17:$AC$17)</f>
        <v>0</v>
      </c>
      <c r="AE17" s="25">
        <f ca="1">$AO$17*$AO$90</f>
        <v>0</v>
      </c>
      <c r="AF17" s="25">
        <f ca="1">$AP$17*$AP$90</f>
        <v>0</v>
      </c>
      <c r="AG17" s="25">
        <f ca="1">SUM($AE$17:$AF$17)</f>
        <v>0</v>
      </c>
      <c r="AH17" s="25">
        <f>'TUSD BE'!$AH$17*'TUSD BF'!$AH$93</f>
        <v>1.0503032194440225</v>
      </c>
      <c r="AI17" s="25">
        <f>'TUSD BE'!$AI$17*'TUSD BF'!$AI$93</f>
        <v>3.9479160269660328E-2</v>
      </c>
      <c r="AJ17" s="25">
        <f ca="1">'TUSD BE'!$AJ$17*'TUSD BF'!$AJ$93</f>
        <v>0.77010156683041509</v>
      </c>
      <c r="AK17" s="25">
        <f ca="1">'TUSD BE'!$AK$17*'TUSD BF'!$AK$93</f>
        <v>0</v>
      </c>
      <c r="AL17" s="25">
        <f ca="1">SUM($AH$17:$AK$17)</f>
        <v>1.8598839465440977</v>
      </c>
      <c r="AM17" s="25">
        <f ca="1">SUMIF($L$4:$AL$4,"SUBTOTAL",$L$17:$AL$17)</f>
        <v>6.9879176312215474</v>
      </c>
      <c r="AO17" s="30">
        <f ca="1">+'TUSD BE'!$T$17+'TUSD BE'!$AB$17+'TUSD BE'!$AD$17+'TUSD BE'!$AL$17</f>
        <v>85.954210928383915</v>
      </c>
      <c r="AP17" s="30">
        <f ca="1">+'TUSD BE'!$T$17+'TUSD BE'!$AB$17+'TUSD BE'!$AD$17+'TUSD BE'!$AL$17</f>
        <v>85.954210928383915</v>
      </c>
    </row>
    <row r="18" spans="1:42" ht="11.25" customHeight="1" x14ac:dyDescent="0.25">
      <c r="A18" s="119"/>
      <c r="B18" s="119"/>
      <c r="C18" s="119"/>
      <c r="D18" s="119"/>
      <c r="E18" s="28" t="s">
        <v>61</v>
      </c>
      <c r="F18" s="28" t="s">
        <v>25</v>
      </c>
      <c r="G18" s="21" t="s">
        <v>94</v>
      </c>
      <c r="H18" s="21" t="s">
        <v>88</v>
      </c>
      <c r="I18" s="21">
        <f>'MERCADO TUSD'!$U$15</f>
        <v>0</v>
      </c>
      <c r="J18" s="17"/>
      <c r="L18" s="25">
        <f>'TUSD BE'!$L$18*'TUSD BF'!$L$93</f>
        <v>0</v>
      </c>
      <c r="M18" s="25">
        <f>'TUSD BE'!$M$18*'TUSD BF'!$M$93</f>
        <v>0</v>
      </c>
      <c r="N18" s="25">
        <f ca="1">'TUSD BE'!$N$18*'TUSD BF'!$N$93</f>
        <v>0</v>
      </c>
      <c r="O18" s="25">
        <f>'TUSD BE'!$O$18*'TUSD BF'!$O$93</f>
        <v>0</v>
      </c>
      <c r="P18" s="25">
        <f>'TUSD BE'!$P$18*'TUSD BF'!$P$93</f>
        <v>0</v>
      </c>
      <c r="Q18" s="25">
        <f>'TUSD BE'!$Q$18*'TUSD BF'!$Q$93</f>
        <v>0</v>
      </c>
      <c r="R18" s="25">
        <f>'TUSD BE'!$R$18*'TUSD BF'!$R$93</f>
        <v>0</v>
      </c>
      <c r="S18" s="25">
        <f>'TUSD BE'!$R$18*'TUSD BF'!$S$93</f>
        <v>0</v>
      </c>
      <c r="T18" s="25">
        <f ca="1">SUM($L$18:$S$18)</f>
        <v>0</v>
      </c>
      <c r="U18" s="25">
        <f>'TUSD BE'!$U$18*'TUSD BF'!$U$93</f>
        <v>0</v>
      </c>
      <c r="V18" s="25">
        <f>'TUSD BE'!$V$18*'TUSD BF'!$V$93</f>
        <v>0</v>
      </c>
      <c r="W18" s="25">
        <f>'TUSD BE'!$W$18*'TUSD BF'!$W$93</f>
        <v>0</v>
      </c>
      <c r="X18" s="25">
        <f>'TUSD BE'!$X$18*'TUSD BF'!$X$93</f>
        <v>0</v>
      </c>
      <c r="Y18" s="25">
        <f>'TUSD BE'!$Y$18*'TUSD BF'!$Y$93</f>
        <v>0</v>
      </c>
      <c r="Z18" s="25">
        <f>'TUSD BE'!$Z$18*'TUSD BF'!$Z$93</f>
        <v>0</v>
      </c>
      <c r="AA18" s="25">
        <f>'TUSD BE'!$AA$18*'TUSD BF'!$AA$93</f>
        <v>0</v>
      </c>
      <c r="AB18" s="25">
        <f>SUM($U$18:$AA$18)</f>
        <v>0</v>
      </c>
      <c r="AC18" s="25">
        <f>'TUSD BE'!$AC$18*'TUSD BF'!$AC$93</f>
        <v>0</v>
      </c>
      <c r="AD18" s="25">
        <f>SUM($AC$18:$AC$18)</f>
        <v>0</v>
      </c>
      <c r="AE18" s="25">
        <f ca="1">$AO$18*$AO$90</f>
        <v>0</v>
      </c>
      <c r="AF18" s="25">
        <f ca="1">$AP$18*$AP$90</f>
        <v>0</v>
      </c>
      <c r="AG18" s="25">
        <f ca="1">SUM($AE$18:$AF$18)</f>
        <v>0</v>
      </c>
      <c r="AH18" s="25">
        <f>'TUSD BE'!$AH$18*'TUSD BF'!$AH$93</f>
        <v>1.0503032194440225</v>
      </c>
      <c r="AI18" s="25">
        <f>'TUSD BE'!$AI$18*'TUSD BF'!$AI$93</f>
        <v>3.9479160269660328E-2</v>
      </c>
      <c r="AJ18" s="25">
        <f ca="1">'TUSD BE'!$AJ$18*'TUSD BF'!$AJ$93</f>
        <v>0.77010156683041509</v>
      </c>
      <c r="AK18" s="25">
        <f ca="1">'TUSD BE'!$AK$18*'TUSD BF'!$AK$93</f>
        <v>0</v>
      </c>
      <c r="AL18" s="25">
        <f ca="1">SUM($AH$18:$AK$18)</f>
        <v>1.8598839465440977</v>
      </c>
      <c r="AM18" s="25">
        <f ca="1">SUMIF($L$4:$AL$4,"SUBTOTAL",$L$18:$AL$18)</f>
        <v>1.8598839465440977</v>
      </c>
      <c r="AO18" s="30">
        <f ca="1">+'TUSD BE'!$T$18+'TUSD BE'!$AB$18+'TUSD BE'!$AD$18+'TUSD BE'!$AL$18</f>
        <v>23.236698801905145</v>
      </c>
      <c r="AP18" s="30">
        <f ca="1">+'TUSD BE'!$T$18+'TUSD BE'!$AB$18+'TUSD BE'!$AD$18+'TUSD BE'!$AL$18</f>
        <v>23.236698801905145</v>
      </c>
    </row>
    <row r="19" spans="1:42" ht="11.25" customHeight="1" x14ac:dyDescent="0.25">
      <c r="A19" s="119"/>
      <c r="B19" s="28" t="s">
        <v>64</v>
      </c>
      <c r="C19" s="28" t="s">
        <v>25</v>
      </c>
      <c r="D19" s="28" t="s">
        <v>25</v>
      </c>
      <c r="E19" s="28" t="s">
        <v>25</v>
      </c>
      <c r="F19" s="28" t="s">
        <v>25</v>
      </c>
      <c r="G19" s="21" t="s">
        <v>9</v>
      </c>
      <c r="H19" s="21" t="s">
        <v>91</v>
      </c>
      <c r="I19" s="21">
        <f>'MERCADO TUSD'!$U$16</f>
        <v>288000</v>
      </c>
      <c r="J19" s="17"/>
      <c r="L19" s="25">
        <f>'TUSD BE'!$L$19*'TUSD BF'!$L$93</f>
        <v>0</v>
      </c>
      <c r="M19" s="25">
        <f>'TUSD BE'!$M$19*'TUSD BF'!$M$93</f>
        <v>0</v>
      </c>
      <c r="N19" s="25">
        <f ca="1">'TUSD BE'!$N$19*'TUSD BF'!$N$93</f>
        <v>0</v>
      </c>
      <c r="O19" s="25">
        <f>'TUSD BE'!$O$19*'TUSD BF'!$O$93</f>
        <v>0</v>
      </c>
      <c r="P19" s="25">
        <f>'TUSD BE'!$P$19*'TUSD BF'!$P$93</f>
        <v>0</v>
      </c>
      <c r="Q19" s="25">
        <f>'TUSD BE'!$Q$19*'TUSD BF'!$Q$93</f>
        <v>0</v>
      </c>
      <c r="R19" s="25">
        <f>'TUSD BE'!$R$19*'TUSD BF'!$R$93</f>
        <v>0</v>
      </c>
      <c r="S19" s="25">
        <f>'TUSD BE'!$R$19*'TUSD BF'!$S$93</f>
        <v>0</v>
      </c>
      <c r="T19" s="25">
        <f ca="1">SUM($L$19:$S$19)</f>
        <v>0</v>
      </c>
      <c r="U19" s="25">
        <f>'TUSD BE'!$U$19*'TUSD BF'!$U$93</f>
        <v>0</v>
      </c>
      <c r="V19" s="25">
        <f>'TUSD BE'!$V$19*'TUSD BF'!$V$93</f>
        <v>0</v>
      </c>
      <c r="W19" s="25">
        <f>'TUSD BE'!$W$19*'TUSD BF'!$W$93</f>
        <v>0</v>
      </c>
      <c r="X19" s="25">
        <f>'TUSD BE'!$X$19*'TUSD BF'!$X$93</f>
        <v>0</v>
      </c>
      <c r="Y19" s="25">
        <f>'TUSD BE'!$Y$19*'TUSD BF'!$Y$93</f>
        <v>0</v>
      </c>
      <c r="Z19" s="25">
        <f>'TUSD BE'!$Z$19*'TUSD BF'!$Z$93</f>
        <v>0</v>
      </c>
      <c r="AA19" s="25">
        <f>'TUSD BE'!$AA$19*'TUSD BF'!$AA$93</f>
        <v>0</v>
      </c>
      <c r="AB19" s="25">
        <f>SUM($U$19:$AA$19)</f>
        <v>0</v>
      </c>
      <c r="AC19" s="25">
        <f>'TUSD BE'!$AC$19*'TUSD BF'!$AC$93</f>
        <v>0</v>
      </c>
      <c r="AD19" s="25">
        <f>SUM($AC$19:$AC$19)</f>
        <v>0</v>
      </c>
      <c r="AE19" s="25">
        <f ca="1">$AO$19*$AO$90</f>
        <v>0</v>
      </c>
      <c r="AF19" s="25">
        <f ca="1">$AP$19*$AP$90</f>
        <v>0</v>
      </c>
      <c r="AG19" s="25">
        <f ca="1">SUM($AE$19:$AF$19)</f>
        <v>0</v>
      </c>
      <c r="AH19" s="25">
        <f>'TUSD BE'!$AH$19*'TUSD BF'!$AH$93</f>
        <v>1.4141342505886545E-4</v>
      </c>
      <c r="AI19" s="25">
        <f>'TUSD BE'!$AI$19*'TUSD BF'!$AI$93</f>
        <v>0</v>
      </c>
      <c r="AJ19" s="25">
        <f ca="1">'TUSD BE'!$AJ$19*'TUSD BF'!$AJ$93</f>
        <v>0</v>
      </c>
      <c r="AK19" s="25">
        <f ca="1">'TUSD BE'!$AK$19*'TUSD BF'!$AK$93</f>
        <v>0</v>
      </c>
      <c r="AL19" s="25">
        <f ca="1">SUM($AH$19:$AK$19)</f>
        <v>1.4141342505886545E-4</v>
      </c>
      <c r="AM19" s="25">
        <f ca="1">SUMIF($L$4:$AL$4,"SUBTOTAL",$L$19:$AL$19)</f>
        <v>1.4141342505886545E-4</v>
      </c>
      <c r="AO19" s="30">
        <f ca="1">+'TUSD BE'!$T$19+'TUSD BE'!$AB$19+'TUSD BE'!$AD$19+'TUSD BE'!$AL$19</f>
        <v>3.7070112078752566</v>
      </c>
      <c r="AP19" s="30">
        <f ca="1">+'TUSD BE'!$T$19+'TUSD BE'!$AB$19+'TUSD BE'!$AD$19+'TUSD BE'!$AL$19</f>
        <v>3.7070112078752566</v>
      </c>
    </row>
    <row r="20" spans="1:42" ht="11.25" customHeight="1" x14ac:dyDescent="0.25">
      <c r="A20" s="119"/>
      <c r="B20" s="119" t="s">
        <v>34</v>
      </c>
      <c r="C20" s="119" t="s">
        <v>25</v>
      </c>
      <c r="D20" s="119" t="s">
        <v>25</v>
      </c>
      <c r="E20" s="119" t="s">
        <v>25</v>
      </c>
      <c r="F20" s="119" t="s">
        <v>25</v>
      </c>
      <c r="G20" s="21" t="s">
        <v>9</v>
      </c>
      <c r="H20" s="21" t="s">
        <v>91</v>
      </c>
      <c r="I20" s="21">
        <f>'MERCADO TUSD'!$U$17</f>
        <v>25668</v>
      </c>
      <c r="J20" s="17"/>
      <c r="L20" s="25">
        <f>'TUSD BE'!$L$20*'TUSD BF'!$L$93</f>
        <v>0</v>
      </c>
      <c r="M20" s="25">
        <f>'TUSD BE'!$M$20*'TUSD BF'!$M$93</f>
        <v>0</v>
      </c>
      <c r="N20" s="25">
        <f ca="1">'TUSD BE'!$N$20*'TUSD BF'!$N$93</f>
        <v>0</v>
      </c>
      <c r="O20" s="25">
        <f>'TUSD BE'!$O$20*'TUSD BF'!$O$93</f>
        <v>0</v>
      </c>
      <c r="P20" s="25">
        <f>'TUSD BE'!$P$20*'TUSD BF'!$P$93</f>
        <v>0</v>
      </c>
      <c r="Q20" s="25">
        <f>'TUSD BE'!$Q$20*'TUSD BF'!$Q$93</f>
        <v>0</v>
      </c>
      <c r="R20" s="25">
        <f>'TUSD BE'!$R$20*'TUSD BF'!$R$93</f>
        <v>0</v>
      </c>
      <c r="S20" s="25">
        <f>'TUSD BE'!$R$20*'TUSD BF'!$S$93</f>
        <v>0</v>
      </c>
      <c r="T20" s="25">
        <f ca="1">SUM($L$20:$S$20)</f>
        <v>0</v>
      </c>
      <c r="U20" s="25">
        <f>'TUSD BE'!$U$20*'TUSD BF'!$U$93</f>
        <v>0.23661666307709064</v>
      </c>
      <c r="V20" s="25">
        <f>'TUSD BE'!$V$20*'TUSD BF'!$V$93</f>
        <v>6.4673003853284922E-2</v>
      </c>
      <c r="W20" s="25">
        <f>'TUSD BE'!$W$20*'TUSD BF'!$W$93</f>
        <v>0</v>
      </c>
      <c r="X20" s="25">
        <f>'TUSD BE'!$X$20*'TUSD BF'!$X$93</f>
        <v>0</v>
      </c>
      <c r="Y20" s="25">
        <f>'TUSD BE'!$Y$20*'TUSD BF'!$Y$93</f>
        <v>0</v>
      </c>
      <c r="Z20" s="25">
        <f>'TUSD BE'!$Z$20*'TUSD BF'!$Z$93</f>
        <v>0</v>
      </c>
      <c r="AA20" s="25">
        <f>'TUSD BE'!$AA$20*'TUSD BF'!$AA$93</f>
        <v>0</v>
      </c>
      <c r="AB20" s="25">
        <f>SUM($U$20:$AA$20)</f>
        <v>0.30128966693037557</v>
      </c>
      <c r="AC20" s="25">
        <f>'TUSD BE'!$AC$20*'TUSD BF'!$AC$93</f>
        <v>0</v>
      </c>
      <c r="AD20" s="25">
        <f>SUM($AC$20:$AC$20)</f>
        <v>0</v>
      </c>
      <c r="AE20" s="25">
        <f ca="1">$AO$20*$AO$90</f>
        <v>0</v>
      </c>
      <c r="AF20" s="25">
        <f ca="1">$AP$20*$AP$90</f>
        <v>0</v>
      </c>
      <c r="AG20" s="25">
        <f ca="1">SUM($AE$20:$AF$20)</f>
        <v>0</v>
      </c>
      <c r="AH20" s="25">
        <f>'TUSD BE'!$AH$20*'TUSD BF'!$AH$93</f>
        <v>0</v>
      </c>
      <c r="AI20" s="25">
        <f>'TUSD BE'!$AI$20*'TUSD BF'!$AI$93</f>
        <v>0</v>
      </c>
      <c r="AJ20" s="25">
        <f ca="1">'TUSD BE'!$AJ$20*'TUSD BF'!$AJ$93</f>
        <v>0</v>
      </c>
      <c r="AK20" s="25">
        <f ca="1">'TUSD BE'!$AK$20*'TUSD BF'!$AK$93</f>
        <v>0</v>
      </c>
      <c r="AL20" s="25">
        <f ca="1">SUM($AH$20:$AK$20)</f>
        <v>0</v>
      </c>
      <c r="AM20" s="25">
        <f ca="1">SUMIF($L$4:$AL$4,"SUBTOTAL",$L$20:$AL$20)</f>
        <v>0.30128966693037557</v>
      </c>
      <c r="AO20" s="30">
        <f ca="1">+'TUSD BE'!$T$20+'TUSD BE'!$AB$20+'TUSD BE'!$AD$20+'TUSD BE'!$AL$20</f>
        <v>11.114449476719457</v>
      </c>
      <c r="AP20" s="30">
        <f ca="1">+'TUSD BE'!$T$20+'TUSD BE'!$AB$20+'TUSD BE'!$AD$20+'TUSD BE'!$AL$20</f>
        <v>11.114449476719457</v>
      </c>
    </row>
    <row r="21" spans="1:42" ht="11.25" customHeight="1" x14ac:dyDescent="0.25">
      <c r="A21" s="119"/>
      <c r="B21" s="119"/>
      <c r="C21" s="119"/>
      <c r="D21" s="119"/>
      <c r="E21" s="119"/>
      <c r="F21" s="119"/>
      <c r="G21" s="21" t="s">
        <v>89</v>
      </c>
      <c r="H21" s="21" t="s">
        <v>88</v>
      </c>
      <c r="I21" s="21">
        <f>'MERCADO TUSD'!$U$18</f>
        <v>791.82199999999989</v>
      </c>
      <c r="J21" s="17"/>
      <c r="L21" s="25">
        <f>'TUSD BE'!$L$21*'TUSD BF'!$L$93</f>
        <v>0</v>
      </c>
      <c r="M21" s="25">
        <f>'TUSD BE'!$M$21*'TUSD BF'!$M$93</f>
        <v>0</v>
      </c>
      <c r="N21" s="25">
        <f ca="1">'TUSD BE'!$N$21*'TUSD BF'!$N$93</f>
        <v>0</v>
      </c>
      <c r="O21" s="25">
        <f>'TUSD BE'!$O$21*'TUSD BF'!$O$93</f>
        <v>0</v>
      </c>
      <c r="P21" s="25">
        <f>'TUSD BE'!$P$21*'TUSD BF'!$P$93</f>
        <v>0</v>
      </c>
      <c r="Q21" s="25">
        <f>'TUSD BE'!$Q$21*'TUSD BF'!$Q$93</f>
        <v>6.1201872023517385</v>
      </c>
      <c r="R21" s="25">
        <f>'TUSD BE'!$R$21*'TUSD BF'!$R$93</f>
        <v>-0.99215351767428861</v>
      </c>
      <c r="S21" s="25">
        <f>'TUSD BE'!$R$21*'TUSD BF'!$S$93</f>
        <v>0</v>
      </c>
      <c r="T21" s="25">
        <f ca="1">SUM($L$21:$S$21)</f>
        <v>5.1280336846774501</v>
      </c>
      <c r="U21" s="25">
        <f>'TUSD BE'!$U$21*'TUSD BF'!$U$93</f>
        <v>8.706294031498226</v>
      </c>
      <c r="V21" s="25">
        <f>'TUSD BE'!$V$21*'TUSD BF'!$V$93</f>
        <v>2.1866633764668877</v>
      </c>
      <c r="W21" s="25">
        <f>'TUSD BE'!$W$21*'TUSD BF'!$W$93</f>
        <v>0</v>
      </c>
      <c r="X21" s="25">
        <f>'TUSD BE'!$X$21*'TUSD BF'!$X$93</f>
        <v>0</v>
      </c>
      <c r="Y21" s="25">
        <f>'TUSD BE'!$Y$21*'TUSD BF'!$Y$93</f>
        <v>0</v>
      </c>
      <c r="Z21" s="25">
        <f>'TUSD BE'!$Z$21*'TUSD BF'!$Z$93</f>
        <v>0</v>
      </c>
      <c r="AA21" s="25">
        <f>'TUSD BE'!$AA$21*'TUSD BF'!$AA$93</f>
        <v>0</v>
      </c>
      <c r="AB21" s="25">
        <f>SUM($U$21:$AA$21)</f>
        <v>10.892957407965113</v>
      </c>
      <c r="AC21" s="25">
        <f>'TUSD BE'!$AC$21*'TUSD BF'!$AC$93</f>
        <v>0</v>
      </c>
      <c r="AD21" s="25">
        <f>SUM($AC$21:$AC$21)</f>
        <v>0</v>
      </c>
      <c r="AE21" s="25">
        <f ca="1">$AO$21*$AO$90</f>
        <v>0</v>
      </c>
      <c r="AF21" s="25">
        <f ca="1">$AP$21*$AP$90</f>
        <v>0</v>
      </c>
      <c r="AG21" s="25">
        <f ca="1">SUM($AE$21:$AF$21)</f>
        <v>0</v>
      </c>
      <c r="AH21" s="25">
        <f>'TUSD BE'!$AH$21*'TUSD BF'!$AH$93</f>
        <v>1.0503032194440225</v>
      </c>
      <c r="AI21" s="25">
        <f>'TUSD BE'!$AI$21*'TUSD BF'!$AI$93</f>
        <v>3.9479160269660328E-2</v>
      </c>
      <c r="AJ21" s="25">
        <f ca="1">'TUSD BE'!$AJ$21*'TUSD BF'!$AJ$93</f>
        <v>0.77010156683041509</v>
      </c>
      <c r="AK21" s="25">
        <f ca="1">'TUSD BE'!$AK$21*'TUSD BF'!$AK$93</f>
        <v>0</v>
      </c>
      <c r="AL21" s="25">
        <f ca="1">SUM($AH$21:$AK$21)</f>
        <v>1.8598839465440977</v>
      </c>
      <c r="AM21" s="25">
        <f ca="1">SUMIF($L$4:$AL$4,"SUBTOTAL",$L$21:$AL$21)</f>
        <v>17.880875039186662</v>
      </c>
      <c r="AO21" s="30">
        <f ca="1">+'TUSD BE'!$T$21+'TUSD BE'!$AB$21+'TUSD BE'!$AD$21+'TUSD BE'!$AL$21</f>
        <v>734.14492098265225</v>
      </c>
      <c r="AP21" s="30">
        <f ca="1">+'TUSD BE'!$T$21+'TUSD BE'!$AB$21+'TUSD BE'!$AD$21+'TUSD BE'!$AL$21</f>
        <v>734.14492098265225</v>
      </c>
    </row>
    <row r="22" spans="1:42" ht="11.25" customHeight="1" x14ac:dyDescent="0.25">
      <c r="A22" s="119"/>
      <c r="B22" s="119"/>
      <c r="C22" s="119"/>
      <c r="D22" s="119"/>
      <c r="E22" s="119"/>
      <c r="F22" s="119"/>
      <c r="G22" s="21" t="s">
        <v>90</v>
      </c>
      <c r="H22" s="21" t="s">
        <v>88</v>
      </c>
      <c r="I22" s="21">
        <f>'MERCADO TUSD'!$U$19</f>
        <v>6790.7199999999993</v>
      </c>
      <c r="J22" s="17"/>
      <c r="L22" s="25">
        <f>'TUSD BE'!$L$22*'TUSD BF'!$L$93</f>
        <v>0</v>
      </c>
      <c r="M22" s="25">
        <f>'TUSD BE'!$M$22*'TUSD BF'!$M$93</f>
        <v>0</v>
      </c>
      <c r="N22" s="25">
        <f ca="1">'TUSD BE'!$N$22*'TUSD BF'!$N$93</f>
        <v>0</v>
      </c>
      <c r="O22" s="25">
        <f>'TUSD BE'!$O$22*'TUSD BF'!$O$93</f>
        <v>0</v>
      </c>
      <c r="P22" s="25">
        <f>'TUSD BE'!$P$22*'TUSD BF'!$P$93</f>
        <v>0</v>
      </c>
      <c r="Q22" s="25">
        <f>'TUSD BE'!$Q$22*'TUSD BF'!$Q$93</f>
        <v>6.1201872023517385</v>
      </c>
      <c r="R22" s="25">
        <f>'TUSD BE'!$R$22*'TUSD BF'!$R$93</f>
        <v>-0.99215351767428861</v>
      </c>
      <c r="S22" s="25">
        <f>'TUSD BE'!$R$22*'TUSD BF'!$S$93</f>
        <v>0</v>
      </c>
      <c r="T22" s="25">
        <f ca="1">SUM($L$22:$S$22)</f>
        <v>5.1280336846774501</v>
      </c>
      <c r="U22" s="25">
        <f>'TUSD BE'!$U$22*'TUSD BF'!$U$93</f>
        <v>0</v>
      </c>
      <c r="V22" s="25">
        <f>'TUSD BE'!$V$22*'TUSD BF'!$V$93</f>
        <v>0</v>
      </c>
      <c r="W22" s="25">
        <f>'TUSD BE'!$W$22*'TUSD BF'!$W$93</f>
        <v>0</v>
      </c>
      <c r="X22" s="25">
        <f>'TUSD BE'!$X$22*'TUSD BF'!$X$93</f>
        <v>0</v>
      </c>
      <c r="Y22" s="25">
        <f>'TUSD BE'!$Y$22*'TUSD BF'!$Y$93</f>
        <v>0</v>
      </c>
      <c r="Z22" s="25">
        <f>'TUSD BE'!$Z$22*'TUSD BF'!$Z$93</f>
        <v>0</v>
      </c>
      <c r="AA22" s="25">
        <f>'TUSD BE'!$AA$22*'TUSD BF'!$AA$93</f>
        <v>0</v>
      </c>
      <c r="AB22" s="25">
        <f>SUM($U$22:$AA$22)</f>
        <v>0</v>
      </c>
      <c r="AC22" s="25">
        <f>'TUSD BE'!$AC$22*'TUSD BF'!$AC$93</f>
        <v>0</v>
      </c>
      <c r="AD22" s="25">
        <f>SUM($AC$22:$AC$22)</f>
        <v>0</v>
      </c>
      <c r="AE22" s="25">
        <f ca="1">$AO$22*$AO$90</f>
        <v>0</v>
      </c>
      <c r="AF22" s="25">
        <f ca="1">$AP$22*$AP$90</f>
        <v>0</v>
      </c>
      <c r="AG22" s="25">
        <f ca="1">SUM($AE$22:$AF$22)</f>
        <v>0</v>
      </c>
      <c r="AH22" s="25">
        <f>'TUSD BE'!$AH$22*'TUSD BF'!$AH$93</f>
        <v>1.0503032194440225</v>
      </c>
      <c r="AI22" s="25">
        <f>'TUSD BE'!$AI$22*'TUSD BF'!$AI$93</f>
        <v>3.9479160269660328E-2</v>
      </c>
      <c r="AJ22" s="25">
        <f ca="1">'TUSD BE'!$AJ$22*'TUSD BF'!$AJ$93</f>
        <v>0.77010156683041509</v>
      </c>
      <c r="AK22" s="25">
        <f ca="1">'TUSD BE'!$AK$22*'TUSD BF'!$AK$93</f>
        <v>0</v>
      </c>
      <c r="AL22" s="25">
        <f ca="1">SUM($AH$22:$AK$22)</f>
        <v>1.8598839465440977</v>
      </c>
      <c r="AM22" s="25">
        <f ca="1">SUMIF($L$4:$AL$4,"SUBTOTAL",$L$22:$AL$22)</f>
        <v>6.9879176312215474</v>
      </c>
      <c r="AO22" s="30">
        <f ca="1">+'TUSD BE'!$T$22+'TUSD BE'!$AB$22+'TUSD BE'!$AD$22+'TUSD BE'!$AL$22</f>
        <v>85.954210928383915</v>
      </c>
      <c r="AP22" s="30">
        <f ca="1">+'TUSD BE'!$T$22+'TUSD BE'!$AB$22+'TUSD BE'!$AD$22+'TUSD BE'!$AL$22</f>
        <v>85.954210928383915</v>
      </c>
    </row>
    <row r="23" spans="1:42" ht="11.25" customHeight="1" x14ac:dyDescent="0.25">
      <c r="A23" s="119"/>
      <c r="B23" s="119"/>
      <c r="C23" s="119"/>
      <c r="D23" s="119"/>
      <c r="E23" s="119" t="s">
        <v>61</v>
      </c>
      <c r="F23" s="119" t="s">
        <v>25</v>
      </c>
      <c r="G23" s="21" t="s">
        <v>89</v>
      </c>
      <c r="H23" s="21" t="s">
        <v>88</v>
      </c>
      <c r="I23" s="21">
        <f>'MERCADO TUSD'!$U$20</f>
        <v>0</v>
      </c>
      <c r="J23" s="17"/>
      <c r="L23" s="25">
        <f>'TUSD BE'!$L$23*'TUSD BF'!$L$93</f>
        <v>0</v>
      </c>
      <c r="M23" s="25">
        <f>'TUSD BE'!$M$23*'TUSD BF'!$M$93</f>
        <v>0</v>
      </c>
      <c r="N23" s="25">
        <f ca="1">'TUSD BE'!$N$23*'TUSD BF'!$N$93</f>
        <v>0</v>
      </c>
      <c r="O23" s="25">
        <f>'TUSD BE'!$O$23*'TUSD BF'!$O$93</f>
        <v>0</v>
      </c>
      <c r="P23" s="25">
        <f>'TUSD BE'!$P$23*'TUSD BF'!$P$93</f>
        <v>0</v>
      </c>
      <c r="Q23" s="25">
        <f>'TUSD BE'!$Q$23*'TUSD BF'!$Q$93</f>
        <v>0</v>
      </c>
      <c r="R23" s="25">
        <f>'TUSD BE'!$R$23*'TUSD BF'!$R$93</f>
        <v>0</v>
      </c>
      <c r="S23" s="25">
        <f>'TUSD BE'!$R$23*'TUSD BF'!$S$93</f>
        <v>0</v>
      </c>
      <c r="T23" s="25">
        <f ca="1">SUM($L$23:$S$23)</f>
        <v>0</v>
      </c>
      <c r="U23" s="25">
        <f>'TUSD BE'!$U$23*'TUSD BF'!$U$93</f>
        <v>8.706294031498226</v>
      </c>
      <c r="V23" s="25">
        <f>'TUSD BE'!$V$23*'TUSD BF'!$V$93</f>
        <v>2.1866633764668877</v>
      </c>
      <c r="W23" s="25">
        <f>'TUSD BE'!$W$23*'TUSD BF'!$W$93</f>
        <v>0</v>
      </c>
      <c r="X23" s="25">
        <f>'TUSD BE'!$X$23*'TUSD BF'!$X$93</f>
        <v>0</v>
      </c>
      <c r="Y23" s="25">
        <f>'TUSD BE'!$Y$23*'TUSD BF'!$Y$93</f>
        <v>0</v>
      </c>
      <c r="Z23" s="25">
        <f>'TUSD BE'!$Z$23*'TUSD BF'!$Z$93</f>
        <v>0</v>
      </c>
      <c r="AA23" s="25">
        <f>'TUSD BE'!$AA$23*'TUSD BF'!$AA$93</f>
        <v>0</v>
      </c>
      <c r="AB23" s="25">
        <f>SUM($U$23:$AA$23)</f>
        <v>10.892957407965113</v>
      </c>
      <c r="AC23" s="25">
        <f>'TUSD BE'!$AC$23*'TUSD BF'!$AC$93</f>
        <v>0</v>
      </c>
      <c r="AD23" s="25">
        <f>SUM($AC$23:$AC$23)</f>
        <v>0</v>
      </c>
      <c r="AE23" s="25">
        <f ca="1">$AO$23*$AO$90</f>
        <v>0</v>
      </c>
      <c r="AF23" s="25">
        <f ca="1">$AP$23*$AP$90</f>
        <v>0</v>
      </c>
      <c r="AG23" s="25">
        <f ca="1">SUM($AE$23:$AF$23)</f>
        <v>0</v>
      </c>
      <c r="AH23" s="25">
        <f>'TUSD BE'!$AH$23*'TUSD BF'!$AH$93</f>
        <v>1.0503032194440225</v>
      </c>
      <c r="AI23" s="25">
        <f>'TUSD BE'!$AI$23*'TUSD BF'!$AI$93</f>
        <v>3.9479160269660328E-2</v>
      </c>
      <c r="AJ23" s="25">
        <f ca="1">'TUSD BE'!$AJ$23*'TUSD BF'!$AJ$93</f>
        <v>0.77010156683041509</v>
      </c>
      <c r="AK23" s="25">
        <f ca="1">'TUSD BE'!$AK$23*'TUSD BF'!$AK$93</f>
        <v>0</v>
      </c>
      <c r="AL23" s="25">
        <f ca="1">SUM($AH$23:$AK$23)</f>
        <v>1.8598839465440977</v>
      </c>
      <c r="AM23" s="25">
        <f ca="1">SUMIF($L$4:$AL$4,"SUBTOTAL",$L$23:$AL$23)</f>
        <v>12.752841354509211</v>
      </c>
      <c r="AO23" s="30">
        <f ca="1">+'TUSD BE'!$T$23+'TUSD BE'!$AB$23+'TUSD BE'!$AD$23+'TUSD BE'!$AL$23</f>
        <v>671.42740885617343</v>
      </c>
      <c r="AP23" s="30">
        <f ca="1">+'TUSD BE'!$T$23+'TUSD BE'!$AB$23+'TUSD BE'!$AD$23+'TUSD BE'!$AL$23</f>
        <v>671.42740885617343</v>
      </c>
    </row>
    <row r="24" spans="1:42" ht="11.25" customHeight="1" x14ac:dyDescent="0.25">
      <c r="A24" s="119"/>
      <c r="B24" s="119"/>
      <c r="C24" s="119"/>
      <c r="D24" s="119"/>
      <c r="E24" s="119"/>
      <c r="F24" s="119"/>
      <c r="G24" s="21" t="s">
        <v>90</v>
      </c>
      <c r="H24" s="21" t="s">
        <v>88</v>
      </c>
      <c r="I24" s="21">
        <f>'MERCADO TUSD'!$U$21</f>
        <v>0</v>
      </c>
      <c r="J24" s="17"/>
      <c r="L24" s="25">
        <f>'TUSD BE'!$L$24*'TUSD BF'!$L$93</f>
        <v>0</v>
      </c>
      <c r="M24" s="25">
        <f>'TUSD BE'!$M$24*'TUSD BF'!$M$93</f>
        <v>0</v>
      </c>
      <c r="N24" s="25">
        <f ca="1">'TUSD BE'!$N$24*'TUSD BF'!$N$93</f>
        <v>0</v>
      </c>
      <c r="O24" s="25">
        <f>'TUSD BE'!$O$24*'TUSD BF'!$O$93</f>
        <v>0</v>
      </c>
      <c r="P24" s="25">
        <f>'TUSD BE'!$P$24*'TUSD BF'!$P$93</f>
        <v>0</v>
      </c>
      <c r="Q24" s="25">
        <f>'TUSD BE'!$Q$24*'TUSD BF'!$Q$93</f>
        <v>0</v>
      </c>
      <c r="R24" s="25">
        <f>'TUSD BE'!$R$24*'TUSD BF'!$R$93</f>
        <v>0</v>
      </c>
      <c r="S24" s="25">
        <f>'TUSD BE'!$R$24*'TUSD BF'!$S$93</f>
        <v>0</v>
      </c>
      <c r="T24" s="25">
        <f ca="1">SUM($L$24:$S$24)</f>
        <v>0</v>
      </c>
      <c r="U24" s="25">
        <f>'TUSD BE'!$U$24*'TUSD BF'!$U$93</f>
        <v>0</v>
      </c>
      <c r="V24" s="25">
        <f>'TUSD BE'!$V$24*'TUSD BF'!$V$93</f>
        <v>0</v>
      </c>
      <c r="W24" s="25">
        <f>'TUSD BE'!$W$24*'TUSD BF'!$W$93</f>
        <v>0</v>
      </c>
      <c r="X24" s="25">
        <f>'TUSD BE'!$X$24*'TUSD BF'!$X$93</f>
        <v>0</v>
      </c>
      <c r="Y24" s="25">
        <f>'TUSD BE'!$Y$24*'TUSD BF'!$Y$93</f>
        <v>0</v>
      </c>
      <c r="Z24" s="25">
        <f>'TUSD BE'!$Z$24*'TUSD BF'!$Z$93</f>
        <v>0</v>
      </c>
      <c r="AA24" s="25">
        <f>'TUSD BE'!$AA$24*'TUSD BF'!$AA$93</f>
        <v>0</v>
      </c>
      <c r="AB24" s="25">
        <f>SUM($U$24:$AA$24)</f>
        <v>0</v>
      </c>
      <c r="AC24" s="25">
        <f>'TUSD BE'!$AC$24*'TUSD BF'!$AC$93</f>
        <v>0</v>
      </c>
      <c r="AD24" s="25">
        <f>SUM($AC$24:$AC$24)</f>
        <v>0</v>
      </c>
      <c r="AE24" s="25">
        <f ca="1">$AO$24*$AO$90</f>
        <v>0</v>
      </c>
      <c r="AF24" s="25">
        <f ca="1">$AP$24*$AP$90</f>
        <v>0</v>
      </c>
      <c r="AG24" s="25">
        <f ca="1">SUM($AE$24:$AF$24)</f>
        <v>0</v>
      </c>
      <c r="AH24" s="25">
        <f>'TUSD BE'!$AH$24*'TUSD BF'!$AH$93</f>
        <v>1.0503032194440225</v>
      </c>
      <c r="AI24" s="25">
        <f>'TUSD BE'!$AI$24*'TUSD BF'!$AI$93</f>
        <v>3.9479160269660328E-2</v>
      </c>
      <c r="AJ24" s="25">
        <f ca="1">'TUSD BE'!$AJ$24*'TUSD BF'!$AJ$93</f>
        <v>0.77010156683041509</v>
      </c>
      <c r="AK24" s="25">
        <f ca="1">'TUSD BE'!$AK$24*'TUSD BF'!$AK$93</f>
        <v>0</v>
      </c>
      <c r="AL24" s="25">
        <f ca="1">SUM($AH$24:$AK$24)</f>
        <v>1.8598839465440977</v>
      </c>
      <c r="AM24" s="25">
        <f ca="1">SUMIF($L$4:$AL$4,"SUBTOTAL",$L$24:$AL$24)</f>
        <v>1.8598839465440977</v>
      </c>
      <c r="AO24" s="30">
        <f ca="1">+'TUSD BE'!$T$24+'TUSD BE'!$AB$24+'TUSD BE'!$AD$24+'TUSD BE'!$AL$24</f>
        <v>23.236698801905145</v>
      </c>
      <c r="AP24" s="30">
        <f ca="1">+'TUSD BE'!$T$24+'TUSD BE'!$AB$24+'TUSD BE'!$AD$24+'TUSD BE'!$AL$24</f>
        <v>23.236698801905145</v>
      </c>
    </row>
    <row r="25" spans="1:42" ht="11.25" customHeight="1" x14ac:dyDescent="0.25">
      <c r="A25" s="119"/>
      <c r="B25" s="119" t="s">
        <v>23</v>
      </c>
      <c r="C25" s="119" t="s">
        <v>25</v>
      </c>
      <c r="D25" s="119" t="s">
        <v>25</v>
      </c>
      <c r="E25" s="119" t="s">
        <v>25</v>
      </c>
      <c r="F25" s="119" t="s">
        <v>25</v>
      </c>
      <c r="G25" s="21" t="s">
        <v>9</v>
      </c>
      <c r="H25" s="21" t="s">
        <v>91</v>
      </c>
      <c r="I25" s="21">
        <f>'MERCADO TUSD'!$U$22</f>
        <v>0</v>
      </c>
      <c r="J25" s="17"/>
      <c r="L25" s="25">
        <f>'TUSD BE'!$L$25*'TUSD BF'!$L$93</f>
        <v>0</v>
      </c>
      <c r="M25" s="25">
        <f>'TUSD BE'!$M$25*'TUSD BF'!$M$93</f>
        <v>0</v>
      </c>
      <c r="N25" s="25">
        <f ca="1">'TUSD BE'!$N$25*'TUSD BF'!$N$93</f>
        <v>0</v>
      </c>
      <c r="O25" s="25">
        <f>'TUSD BE'!$O$25*'TUSD BF'!$O$93</f>
        <v>0</v>
      </c>
      <c r="P25" s="25">
        <f>'TUSD BE'!$P$25*'TUSD BF'!$P$93</f>
        <v>0</v>
      </c>
      <c r="Q25" s="25">
        <f>'TUSD BE'!$Q$25*'TUSD BF'!$Q$93</f>
        <v>0</v>
      </c>
      <c r="R25" s="25">
        <f>'TUSD BE'!$R$25*'TUSD BF'!$R$93</f>
        <v>0</v>
      </c>
      <c r="S25" s="25">
        <f>'TUSD BE'!$R$25*'TUSD BF'!$S$93</f>
        <v>0</v>
      </c>
      <c r="T25" s="25">
        <f ca="1">SUM($L$25:$S$25)</f>
        <v>0</v>
      </c>
      <c r="U25" s="25">
        <f>'TUSD BE'!$U$25*'TUSD BF'!$U$93</f>
        <v>0.4972752170131885</v>
      </c>
      <c r="V25" s="25">
        <f>'TUSD BE'!$V$25*'TUSD BF'!$V$93</f>
        <v>0.13014824916658199</v>
      </c>
      <c r="W25" s="25">
        <f>'TUSD BE'!$W$25*'TUSD BF'!$W$93</f>
        <v>0</v>
      </c>
      <c r="X25" s="25">
        <f>'TUSD BE'!$X$25*'TUSD BF'!$X$93</f>
        <v>0</v>
      </c>
      <c r="Y25" s="25">
        <f>'TUSD BE'!$Y$25*'TUSD BF'!$Y$93</f>
        <v>0</v>
      </c>
      <c r="Z25" s="25">
        <f>'TUSD BE'!$Z$25*'TUSD BF'!$Z$93</f>
        <v>0</v>
      </c>
      <c r="AA25" s="25">
        <f>'TUSD BE'!$AA$25*'TUSD BF'!$AA$93</f>
        <v>0</v>
      </c>
      <c r="AB25" s="25">
        <f>SUM($U$25:$AA$25)</f>
        <v>0.62742346617977052</v>
      </c>
      <c r="AC25" s="25">
        <f>'TUSD BE'!$AC$25*'TUSD BF'!$AC$93</f>
        <v>0</v>
      </c>
      <c r="AD25" s="25">
        <f>SUM($AC$25:$AC$25)</f>
        <v>0</v>
      </c>
      <c r="AE25" s="25">
        <f ca="1">$AO$25*$AO$90</f>
        <v>0</v>
      </c>
      <c r="AF25" s="25">
        <f ca="1">$AP$25*$AP$90</f>
        <v>0</v>
      </c>
      <c r="AG25" s="25">
        <f ca="1">SUM($AE$25:$AF$25)</f>
        <v>0</v>
      </c>
      <c r="AH25" s="25">
        <f>'TUSD BE'!$AH$25*'TUSD BF'!$AH$93</f>
        <v>0</v>
      </c>
      <c r="AI25" s="25">
        <f>'TUSD BE'!$AI$25*'TUSD BF'!$AI$93</f>
        <v>0</v>
      </c>
      <c r="AJ25" s="25">
        <f ca="1">'TUSD BE'!$AJ$25*'TUSD BF'!$AJ$93</f>
        <v>0</v>
      </c>
      <c r="AK25" s="25">
        <f ca="1">'TUSD BE'!$AK$25*'TUSD BF'!$AK$93</f>
        <v>0</v>
      </c>
      <c r="AL25" s="25">
        <f ca="1">SUM($AH$25:$AK$25)</f>
        <v>0</v>
      </c>
      <c r="AM25" s="25">
        <f ca="1">SUMIF($L$4:$AL$4,"SUBTOTAL",$L$25:$AL$25)</f>
        <v>0.62742346617977052</v>
      </c>
      <c r="AO25" s="30">
        <f ca="1">+'TUSD BE'!$T$25+'TUSD BE'!$AB$25+'TUSD BE'!$AD$25+'TUSD BE'!$AL$25</f>
        <v>30.350434773805986</v>
      </c>
      <c r="AP25" s="30">
        <f ca="1">+'TUSD BE'!$T$25+'TUSD BE'!$AB$25+'TUSD BE'!$AD$25+'TUSD BE'!$AL$25</f>
        <v>30.350434773805986</v>
      </c>
    </row>
    <row r="26" spans="1:42" ht="11.25" customHeight="1" x14ac:dyDescent="0.25">
      <c r="A26" s="119"/>
      <c r="B26" s="119"/>
      <c r="C26" s="119"/>
      <c r="D26" s="119"/>
      <c r="E26" s="119"/>
      <c r="F26" s="119"/>
      <c r="G26" s="21" t="s">
        <v>94</v>
      </c>
      <c r="H26" s="21" t="s">
        <v>88</v>
      </c>
      <c r="I26" s="21">
        <f>'MERCADO TUSD'!$U$23</f>
        <v>0</v>
      </c>
      <c r="J26" s="17"/>
      <c r="L26" s="25">
        <f>'TUSD BE'!$L$26*'TUSD BF'!$L$93</f>
        <v>0</v>
      </c>
      <c r="M26" s="25">
        <f>'TUSD BE'!$M$26*'TUSD BF'!$M$93</f>
        <v>0</v>
      </c>
      <c r="N26" s="25">
        <f ca="1">'TUSD BE'!$N$26*'TUSD BF'!$N$93</f>
        <v>0</v>
      </c>
      <c r="O26" s="25">
        <f>'TUSD BE'!$O$26*'TUSD BF'!$O$93</f>
        <v>0</v>
      </c>
      <c r="P26" s="25">
        <f>'TUSD BE'!$P$26*'TUSD BF'!$P$93</f>
        <v>0</v>
      </c>
      <c r="Q26" s="25">
        <f>'TUSD BE'!$Q$26*'TUSD BF'!$Q$93</f>
        <v>6.1201872023517385</v>
      </c>
      <c r="R26" s="25">
        <f>'TUSD BE'!$R$26*'TUSD BF'!$R$93</f>
        <v>-0.99215351767428861</v>
      </c>
      <c r="S26" s="25">
        <f>'TUSD BE'!$R$26*'TUSD BF'!$S$93</f>
        <v>0</v>
      </c>
      <c r="T26" s="25">
        <f ca="1">SUM($L$26:$S$26)</f>
        <v>5.1280336846774501</v>
      </c>
      <c r="U26" s="25">
        <f>'TUSD BE'!$U$26*'TUSD BF'!$U$93</f>
        <v>0</v>
      </c>
      <c r="V26" s="25">
        <f>'TUSD BE'!$V$26*'TUSD BF'!$V$93</f>
        <v>0</v>
      </c>
      <c r="W26" s="25">
        <f>'TUSD BE'!$W$26*'TUSD BF'!$W$93</f>
        <v>0</v>
      </c>
      <c r="X26" s="25">
        <f>'TUSD BE'!$X$26*'TUSD BF'!$X$93</f>
        <v>0</v>
      </c>
      <c r="Y26" s="25">
        <f>'TUSD BE'!$Y$26*'TUSD BF'!$Y$93</f>
        <v>0</v>
      </c>
      <c r="Z26" s="25">
        <f>'TUSD BE'!$Z$26*'TUSD BF'!$Z$93</f>
        <v>0</v>
      </c>
      <c r="AA26" s="25">
        <f>'TUSD BE'!$AA$26*'TUSD BF'!$AA$93</f>
        <v>0</v>
      </c>
      <c r="AB26" s="25">
        <f>SUM($U$26:$AA$26)</f>
        <v>0</v>
      </c>
      <c r="AC26" s="25">
        <f>'TUSD BE'!$AC$26*'TUSD BF'!$AC$93</f>
        <v>0</v>
      </c>
      <c r="AD26" s="25">
        <f>SUM($AC$26:$AC$26)</f>
        <v>0</v>
      </c>
      <c r="AE26" s="25">
        <f ca="1">$AO$26*$AO$90</f>
        <v>0</v>
      </c>
      <c r="AF26" s="25">
        <f ca="1">$AP$26*$AP$90</f>
        <v>0</v>
      </c>
      <c r="AG26" s="25">
        <f ca="1">SUM($AE$26:$AF$26)</f>
        <v>0</v>
      </c>
      <c r="AH26" s="25">
        <f>'TUSD BE'!$AH$26*'TUSD BF'!$AH$93</f>
        <v>1.0503032194440225</v>
      </c>
      <c r="AI26" s="25">
        <f>'TUSD BE'!$AI$26*'TUSD BF'!$AI$93</f>
        <v>3.9479160269660328E-2</v>
      </c>
      <c r="AJ26" s="25">
        <f ca="1">'TUSD BE'!$AJ$26*'TUSD BF'!$AJ$93</f>
        <v>0.77010156683041509</v>
      </c>
      <c r="AK26" s="25">
        <f ca="1">'TUSD BE'!$AK$26*'TUSD BF'!$AK$93</f>
        <v>0</v>
      </c>
      <c r="AL26" s="25">
        <f ca="1">SUM($AH$26:$AK$26)</f>
        <v>1.8598839465440977</v>
      </c>
      <c r="AM26" s="25">
        <f ca="1">SUMIF($L$4:$AL$4,"SUBTOTAL",$L$26:$AL$26)</f>
        <v>6.9879176312215474</v>
      </c>
      <c r="AO26" s="30">
        <f ca="1">+'TUSD BE'!$T$26+'TUSD BE'!$AB$26+'TUSD BE'!$AD$26+'TUSD BE'!$AL$26</f>
        <v>85.954210928383915</v>
      </c>
      <c r="AP26" s="30">
        <f ca="1">+'TUSD BE'!$T$26+'TUSD BE'!$AB$26+'TUSD BE'!$AD$26+'TUSD BE'!$AL$26</f>
        <v>85.954210928383915</v>
      </c>
    </row>
    <row r="27" spans="1:42" ht="11.25" customHeight="1" x14ac:dyDescent="0.25">
      <c r="A27" s="119" t="s">
        <v>33</v>
      </c>
      <c r="B27" s="119" t="s">
        <v>41</v>
      </c>
      <c r="C27" s="119" t="s">
        <v>25</v>
      </c>
      <c r="D27" s="119" t="s">
        <v>25</v>
      </c>
      <c r="E27" s="119" t="s">
        <v>25</v>
      </c>
      <c r="F27" s="119" t="s">
        <v>25</v>
      </c>
      <c r="G27" s="21" t="s">
        <v>92</v>
      </c>
      <c r="H27" s="21" t="s">
        <v>91</v>
      </c>
      <c r="I27" s="21">
        <f>'MERCADO TUSD'!$U$24</f>
        <v>1516519</v>
      </c>
      <c r="J27" s="17"/>
      <c r="L27" s="25">
        <f>'TUSD BE'!$L$27*'TUSD BF'!$L$93</f>
        <v>0</v>
      </c>
      <c r="M27" s="25">
        <f>'TUSD BE'!$M$27*'TUSD BF'!$M$93</f>
        <v>0</v>
      </c>
      <c r="N27" s="25">
        <f ca="1">'TUSD BE'!$N$27*'TUSD BF'!$N$93</f>
        <v>0</v>
      </c>
      <c r="O27" s="25">
        <f>'TUSD BE'!$O$27*'TUSD BF'!$O$93</f>
        <v>0</v>
      </c>
      <c r="P27" s="25">
        <f>'TUSD BE'!$P$27*'TUSD BF'!$P$93</f>
        <v>0</v>
      </c>
      <c r="Q27" s="25">
        <f>'TUSD BE'!$Q$27*'TUSD BF'!$Q$93</f>
        <v>0</v>
      </c>
      <c r="R27" s="25">
        <f>'TUSD BE'!$R$27*'TUSD BF'!$R$93</f>
        <v>0</v>
      </c>
      <c r="S27" s="25">
        <f>'TUSD BE'!$R$27*'TUSD BF'!$S$93</f>
        <v>0</v>
      </c>
      <c r="T27" s="25">
        <f ca="1">SUM($L$27:$S$27)</f>
        <v>0</v>
      </c>
      <c r="U27" s="25">
        <f>'TUSD BE'!$U$27*'TUSD BF'!$U$93</f>
        <v>0.36200302087826336</v>
      </c>
      <c r="V27" s="25">
        <f>'TUSD BE'!$V$27*'TUSD BF'!$V$93</f>
        <v>9.0920698801373837E-2</v>
      </c>
      <c r="W27" s="25">
        <f>'TUSD BE'!$W$27*'TUSD BF'!$W$93</f>
        <v>0</v>
      </c>
      <c r="X27" s="25">
        <f>'TUSD BE'!$X$27*'TUSD BF'!$X$93</f>
        <v>0</v>
      </c>
      <c r="Y27" s="25">
        <f>'TUSD BE'!$Y$27*'TUSD BF'!$Y$93</f>
        <v>0</v>
      </c>
      <c r="Z27" s="25">
        <f>'TUSD BE'!$Z$27*'TUSD BF'!$Z$93</f>
        <v>0</v>
      </c>
      <c r="AA27" s="25">
        <f>'TUSD BE'!$AA$27*'TUSD BF'!$AA$93</f>
        <v>0</v>
      </c>
      <c r="AB27" s="25">
        <f>SUM($U$27:$AA$27)</f>
        <v>0.45292371967963718</v>
      </c>
      <c r="AC27" s="25">
        <f>'TUSD BE'!$AC$27*'TUSD BF'!$AC$93</f>
        <v>0</v>
      </c>
      <c r="AD27" s="25">
        <f>SUM($AC$27:$AC$27)</f>
        <v>0</v>
      </c>
      <c r="AE27" s="25">
        <f ca="1">$AO$27*$AO$90</f>
        <v>0</v>
      </c>
      <c r="AF27" s="25">
        <f ca="1">$AP$27*$AP$90</f>
        <v>0</v>
      </c>
      <c r="AG27" s="25">
        <f ca="1">SUM($AE$27:$AF$27)</f>
        <v>0</v>
      </c>
      <c r="AH27" s="25">
        <f>'TUSD BE'!$AH$27*'TUSD BF'!$AH$93</f>
        <v>0</v>
      </c>
      <c r="AI27" s="25">
        <f>'TUSD BE'!$AI$27*'TUSD BF'!$AI$93</f>
        <v>0</v>
      </c>
      <c r="AJ27" s="25">
        <f ca="1">'TUSD BE'!$AJ$27*'TUSD BF'!$AJ$93</f>
        <v>0</v>
      </c>
      <c r="AK27" s="25">
        <f ca="1">'TUSD BE'!$AK$27*'TUSD BF'!$AK$93</f>
        <v>0</v>
      </c>
      <c r="AL27" s="25">
        <f ca="1">SUM($AH$27:$AK$27)</f>
        <v>0</v>
      </c>
      <c r="AM27" s="25">
        <f ca="1">SUMIF($L$4:$AL$4,"SUBTOTAL",$L$27:$AL$27)</f>
        <v>0.45292371967963718</v>
      </c>
      <c r="AO27" s="30">
        <f ca="1">+'TUSD BE'!$T$27+'TUSD BE'!$AB$27+'TUSD BE'!$AD$27+'TUSD BE'!$AL$27</f>
        <v>26.716380063009197</v>
      </c>
      <c r="AP27" s="30">
        <f ca="1">+'TUSD BE'!$T$27+'TUSD BE'!$AB$27+'TUSD BE'!$AD$27+'TUSD BE'!$AL$27</f>
        <v>26.716380063009197</v>
      </c>
    </row>
    <row r="28" spans="1:42" ht="11.25" customHeight="1" x14ac:dyDescent="0.25">
      <c r="A28" s="119"/>
      <c r="B28" s="119"/>
      <c r="C28" s="119"/>
      <c r="D28" s="119"/>
      <c r="E28" s="119"/>
      <c r="F28" s="119"/>
      <c r="G28" s="21" t="s">
        <v>93</v>
      </c>
      <c r="H28" s="21" t="s">
        <v>91</v>
      </c>
      <c r="I28" s="21">
        <f>'MERCADO TUSD'!$U$25</f>
        <v>1745724</v>
      </c>
      <c r="J28" s="17"/>
      <c r="L28" s="25">
        <f>'TUSD BE'!$L$28*'TUSD BF'!$L$93</f>
        <v>0</v>
      </c>
      <c r="M28" s="25">
        <f>'TUSD BE'!$M$28*'TUSD BF'!$M$93</f>
        <v>0</v>
      </c>
      <c r="N28" s="25">
        <f ca="1">'TUSD BE'!$N$28*'TUSD BF'!$N$93</f>
        <v>0</v>
      </c>
      <c r="O28" s="25">
        <f>'TUSD BE'!$O$28*'TUSD BF'!$O$93</f>
        <v>0</v>
      </c>
      <c r="P28" s="25">
        <f>'TUSD BE'!$P$28*'TUSD BF'!$P$93</f>
        <v>0</v>
      </c>
      <c r="Q28" s="25">
        <f>'TUSD BE'!$Q$28*'TUSD BF'!$Q$93</f>
        <v>0</v>
      </c>
      <c r="R28" s="25">
        <f>'TUSD BE'!$R$28*'TUSD BF'!$R$93</f>
        <v>0</v>
      </c>
      <c r="S28" s="25">
        <f>'TUSD BE'!$R$28*'TUSD BF'!$S$93</f>
        <v>0</v>
      </c>
      <c r="T28" s="25">
        <f ca="1">SUM($L$28:$S$28)</f>
        <v>0</v>
      </c>
      <c r="U28" s="25">
        <f>'TUSD BE'!$U$28*'TUSD BF'!$U$93</f>
        <v>0.23661666307709064</v>
      </c>
      <c r="V28" s="25">
        <f>'TUSD BE'!$V$28*'TUSD BF'!$V$93</f>
        <v>6.4673003853284922E-2</v>
      </c>
      <c r="W28" s="25">
        <f>'TUSD BE'!$W$28*'TUSD BF'!$W$93</f>
        <v>0</v>
      </c>
      <c r="X28" s="25">
        <f>'TUSD BE'!$X$28*'TUSD BF'!$X$93</f>
        <v>0</v>
      </c>
      <c r="Y28" s="25">
        <f>'TUSD BE'!$Y$28*'TUSD BF'!$Y$93</f>
        <v>0</v>
      </c>
      <c r="Z28" s="25">
        <f>'TUSD BE'!$Z$28*'TUSD BF'!$Z$93</f>
        <v>0</v>
      </c>
      <c r="AA28" s="25">
        <f>'TUSD BE'!$AA$28*'TUSD BF'!$AA$93</f>
        <v>0</v>
      </c>
      <c r="AB28" s="25">
        <f>SUM($U$28:$AA$28)</f>
        <v>0.30128966693037557</v>
      </c>
      <c r="AC28" s="25">
        <f>'TUSD BE'!$AC$28*'TUSD BF'!$AC$93</f>
        <v>0</v>
      </c>
      <c r="AD28" s="25">
        <f>SUM($AC$28:$AC$28)</f>
        <v>0</v>
      </c>
      <c r="AE28" s="25">
        <f ca="1">$AO$28*$AO$90</f>
        <v>0</v>
      </c>
      <c r="AF28" s="25">
        <f ca="1">$AP$28*$AP$90</f>
        <v>0</v>
      </c>
      <c r="AG28" s="25">
        <f ca="1">SUM($AE$28:$AF$28)</f>
        <v>0</v>
      </c>
      <c r="AH28" s="25">
        <f>'TUSD BE'!$AH$28*'TUSD BF'!$AH$93</f>
        <v>0</v>
      </c>
      <c r="AI28" s="25">
        <f>'TUSD BE'!$AI$28*'TUSD BF'!$AI$93</f>
        <v>0</v>
      </c>
      <c r="AJ28" s="25">
        <f ca="1">'TUSD BE'!$AJ$28*'TUSD BF'!$AJ$93</f>
        <v>0</v>
      </c>
      <c r="AK28" s="25">
        <f ca="1">'TUSD BE'!$AK$28*'TUSD BF'!$AK$93</f>
        <v>0</v>
      </c>
      <c r="AL28" s="25">
        <f ca="1">SUM($AH$28:$AK$28)</f>
        <v>0</v>
      </c>
      <c r="AM28" s="25">
        <f ca="1">SUMIF($L$4:$AL$4,"SUBTOTAL",$L$28:$AL$28)</f>
        <v>0.30128966693037557</v>
      </c>
      <c r="AO28" s="30">
        <f ca="1">+'TUSD BE'!$T$28+'TUSD BE'!$AB$28+'TUSD BE'!$AD$28+'TUSD BE'!$AL$28</f>
        <v>11.114449476719457</v>
      </c>
      <c r="AP28" s="30">
        <f ca="1">+'TUSD BE'!$T$28+'TUSD BE'!$AB$28+'TUSD BE'!$AD$28+'TUSD BE'!$AL$28</f>
        <v>11.114449476719457</v>
      </c>
    </row>
    <row r="29" spans="1:42" ht="11.25" customHeight="1" x14ac:dyDescent="0.25">
      <c r="A29" s="119"/>
      <c r="B29" s="119"/>
      <c r="C29" s="119"/>
      <c r="D29" s="119"/>
      <c r="E29" s="119"/>
      <c r="F29" s="119"/>
      <c r="G29" s="21" t="s">
        <v>94</v>
      </c>
      <c r="H29" s="21" t="s">
        <v>88</v>
      </c>
      <c r="I29" s="21">
        <f>'MERCADO TUSD'!$U$26</f>
        <v>639922.91000000015</v>
      </c>
      <c r="J29" s="17"/>
      <c r="L29" s="25">
        <f>'TUSD BE'!$L$29*'TUSD BF'!$L$93</f>
        <v>0</v>
      </c>
      <c r="M29" s="25">
        <f>'TUSD BE'!$M$29*'TUSD BF'!$M$93</f>
        <v>0</v>
      </c>
      <c r="N29" s="25">
        <f ca="1">'TUSD BE'!$N$29*'TUSD BF'!$N$93</f>
        <v>0</v>
      </c>
      <c r="O29" s="25">
        <f>'TUSD BE'!$O$29*'TUSD BF'!$O$93</f>
        <v>0</v>
      </c>
      <c r="P29" s="25">
        <f>'TUSD BE'!$P$29*'TUSD BF'!$P$93</f>
        <v>0</v>
      </c>
      <c r="Q29" s="25">
        <f>'TUSD BE'!$Q$29*'TUSD BF'!$Q$93</f>
        <v>6.1201872023517385</v>
      </c>
      <c r="R29" s="25">
        <f>'TUSD BE'!$R$29*'TUSD BF'!$R$93</f>
        <v>-0.99215351767428861</v>
      </c>
      <c r="S29" s="25">
        <f>'TUSD BE'!$R$29*'TUSD BF'!$S$93</f>
        <v>0</v>
      </c>
      <c r="T29" s="25">
        <f ca="1">SUM($L$29:$S$29)</f>
        <v>5.1280336846774501</v>
      </c>
      <c r="U29" s="25">
        <f>'TUSD BE'!$U$29*'TUSD BF'!$U$93</f>
        <v>0</v>
      </c>
      <c r="V29" s="25">
        <f>'TUSD BE'!$V$29*'TUSD BF'!$V$93</f>
        <v>0</v>
      </c>
      <c r="W29" s="25">
        <f>'TUSD BE'!$W$29*'TUSD BF'!$W$93</f>
        <v>0</v>
      </c>
      <c r="X29" s="25">
        <f>'TUSD BE'!$X$29*'TUSD BF'!$X$93</f>
        <v>0</v>
      </c>
      <c r="Y29" s="25">
        <f>'TUSD BE'!$Y$29*'TUSD BF'!$Y$93</f>
        <v>0</v>
      </c>
      <c r="Z29" s="25">
        <f>'TUSD BE'!$Z$29*'TUSD BF'!$Z$93</f>
        <v>0</v>
      </c>
      <c r="AA29" s="25">
        <f>'TUSD BE'!$AA$29*'TUSD BF'!$AA$93</f>
        <v>0</v>
      </c>
      <c r="AB29" s="25">
        <f>SUM($U$29:$AA$29)</f>
        <v>0</v>
      </c>
      <c r="AC29" s="25">
        <f>'TUSD BE'!$AC$29*'TUSD BF'!$AC$93</f>
        <v>0</v>
      </c>
      <c r="AD29" s="25">
        <f>SUM($AC$29:$AC$29)</f>
        <v>0</v>
      </c>
      <c r="AE29" s="25">
        <f ca="1">$AO$29*$AO$90</f>
        <v>0</v>
      </c>
      <c r="AF29" s="25">
        <f ca="1">$AP$29*$AP$90</f>
        <v>0</v>
      </c>
      <c r="AG29" s="25">
        <f ca="1">SUM($AE$29:$AF$29)</f>
        <v>0</v>
      </c>
      <c r="AH29" s="25">
        <f>'TUSD BE'!$AH$29*'TUSD BF'!$AH$93</f>
        <v>1.0503032194440225</v>
      </c>
      <c r="AI29" s="25">
        <f>'TUSD BE'!$AI$29*'TUSD BF'!$AI$93</f>
        <v>3.9479160269660328E-2</v>
      </c>
      <c r="AJ29" s="25">
        <f ca="1">'TUSD BE'!$AJ$29*'TUSD BF'!$AJ$93</f>
        <v>0.77010156683041509</v>
      </c>
      <c r="AK29" s="25">
        <f ca="1">'TUSD BE'!$AK$29*'TUSD BF'!$AK$93</f>
        <v>0</v>
      </c>
      <c r="AL29" s="25">
        <f ca="1">SUM($AH$29:$AK$29)</f>
        <v>1.8598839465440977</v>
      </c>
      <c r="AM29" s="25">
        <f ca="1">SUMIF($L$4:$AL$4,"SUBTOTAL",$L$29:$AL$29)</f>
        <v>6.9879176312215474</v>
      </c>
      <c r="AO29" s="30">
        <f ca="1">+'TUSD BE'!$T$29+'TUSD BE'!$AB$29+'TUSD BE'!$AD$29+'TUSD BE'!$AL$29</f>
        <v>85.954210928383915</v>
      </c>
      <c r="AP29" s="30">
        <f ca="1">+'TUSD BE'!$T$29+'TUSD BE'!$AB$29+'TUSD BE'!$AD$29+'TUSD BE'!$AL$29</f>
        <v>85.954210928383915</v>
      </c>
    </row>
    <row r="30" spans="1:42" ht="11.25" customHeight="1" x14ac:dyDescent="0.25">
      <c r="A30" s="119"/>
      <c r="B30" s="119"/>
      <c r="C30" s="119"/>
      <c r="D30" s="119"/>
      <c r="E30" s="28" t="s">
        <v>61</v>
      </c>
      <c r="F30" s="28" t="s">
        <v>25</v>
      </c>
      <c r="G30" s="21" t="s">
        <v>94</v>
      </c>
      <c r="H30" s="21" t="s">
        <v>88</v>
      </c>
      <c r="I30" s="21">
        <f>'MERCADO TUSD'!$U$27</f>
        <v>0</v>
      </c>
      <c r="J30" s="17"/>
      <c r="L30" s="25">
        <f>'TUSD BE'!$L$30*'TUSD BF'!$L$93</f>
        <v>0</v>
      </c>
      <c r="M30" s="25">
        <f>'TUSD BE'!$M$30*'TUSD BF'!$M$93</f>
        <v>0</v>
      </c>
      <c r="N30" s="25">
        <f ca="1">'TUSD BE'!$N$30*'TUSD BF'!$N$93</f>
        <v>0</v>
      </c>
      <c r="O30" s="25">
        <f>'TUSD BE'!$O$30*'TUSD BF'!$O$93</f>
        <v>0</v>
      </c>
      <c r="P30" s="25">
        <f>'TUSD BE'!$P$30*'TUSD BF'!$P$93</f>
        <v>0</v>
      </c>
      <c r="Q30" s="25">
        <f>'TUSD BE'!$Q$30*'TUSD BF'!$Q$93</f>
        <v>0</v>
      </c>
      <c r="R30" s="25">
        <f>'TUSD BE'!$R$30*'TUSD BF'!$R$93</f>
        <v>0</v>
      </c>
      <c r="S30" s="25">
        <f>'TUSD BE'!$R$30*'TUSD BF'!$S$93</f>
        <v>0</v>
      </c>
      <c r="T30" s="25">
        <f ca="1">SUM($L$30:$S$30)</f>
        <v>0</v>
      </c>
      <c r="U30" s="25">
        <f>'TUSD BE'!$U$30*'TUSD BF'!$U$93</f>
        <v>0</v>
      </c>
      <c r="V30" s="25">
        <f>'TUSD BE'!$V$30*'TUSD BF'!$V$93</f>
        <v>0</v>
      </c>
      <c r="W30" s="25">
        <f>'TUSD BE'!$W$30*'TUSD BF'!$W$93</f>
        <v>0</v>
      </c>
      <c r="X30" s="25">
        <f>'TUSD BE'!$X$30*'TUSD BF'!$X$93</f>
        <v>0</v>
      </c>
      <c r="Y30" s="25">
        <f>'TUSD BE'!$Y$30*'TUSD BF'!$Y$93</f>
        <v>0</v>
      </c>
      <c r="Z30" s="25">
        <f>'TUSD BE'!$Z$30*'TUSD BF'!$Z$93</f>
        <v>0</v>
      </c>
      <c r="AA30" s="25">
        <f>'TUSD BE'!$AA$30*'TUSD BF'!$AA$93</f>
        <v>0</v>
      </c>
      <c r="AB30" s="25">
        <f>SUM($U$30:$AA$30)</f>
        <v>0</v>
      </c>
      <c r="AC30" s="25">
        <f>'TUSD BE'!$AC$30*'TUSD BF'!$AC$93</f>
        <v>0</v>
      </c>
      <c r="AD30" s="25">
        <f>SUM($AC$30:$AC$30)</f>
        <v>0</v>
      </c>
      <c r="AE30" s="25">
        <f ca="1">$AO$30*$AO$90</f>
        <v>0</v>
      </c>
      <c r="AF30" s="25">
        <f ca="1">$AP$30*$AP$90</f>
        <v>0</v>
      </c>
      <c r="AG30" s="25">
        <f ca="1">SUM($AE$30:$AF$30)</f>
        <v>0</v>
      </c>
      <c r="AH30" s="25">
        <f>'TUSD BE'!$AH$30*'TUSD BF'!$AH$93</f>
        <v>1.0503032194440225</v>
      </c>
      <c r="AI30" s="25">
        <f>'TUSD BE'!$AI$30*'TUSD BF'!$AI$93</f>
        <v>3.9479160269660328E-2</v>
      </c>
      <c r="AJ30" s="25">
        <f ca="1">'TUSD BE'!$AJ$30*'TUSD BF'!$AJ$93</f>
        <v>0.77010156683041509</v>
      </c>
      <c r="AK30" s="25">
        <f ca="1">'TUSD BE'!$AK$30*'TUSD BF'!$AK$93</f>
        <v>0</v>
      </c>
      <c r="AL30" s="25">
        <f ca="1">SUM($AH$30:$AK$30)</f>
        <v>1.8598839465440977</v>
      </c>
      <c r="AM30" s="25">
        <f ca="1">SUMIF($L$4:$AL$4,"SUBTOTAL",$L$30:$AL$30)</f>
        <v>1.8598839465440977</v>
      </c>
      <c r="AO30" s="30">
        <f ca="1">+'TUSD BE'!$T$30+'TUSD BE'!$AB$30+'TUSD BE'!$AD$30+'TUSD BE'!$AL$30</f>
        <v>23.236698801905145</v>
      </c>
      <c r="AP30" s="30">
        <f ca="1">+'TUSD BE'!$T$30+'TUSD BE'!$AB$30+'TUSD BE'!$AD$30+'TUSD BE'!$AL$30</f>
        <v>23.236698801905145</v>
      </c>
    </row>
    <row r="31" spans="1:42" ht="11.25" customHeight="1" x14ac:dyDescent="0.25">
      <c r="A31" s="119"/>
      <c r="B31" s="28" t="s">
        <v>64</v>
      </c>
      <c r="C31" s="28" t="s">
        <v>25</v>
      </c>
      <c r="D31" s="28" t="s">
        <v>25</v>
      </c>
      <c r="E31" s="28" t="s">
        <v>25</v>
      </c>
      <c r="F31" s="28" t="s">
        <v>25</v>
      </c>
      <c r="G31" s="21" t="s">
        <v>9</v>
      </c>
      <c r="H31" s="21" t="s">
        <v>91</v>
      </c>
      <c r="I31" s="21">
        <f>'MERCADO TUSD'!$U$28</f>
        <v>0</v>
      </c>
      <c r="J31" s="17"/>
      <c r="L31" s="25">
        <f>'TUSD BE'!$L$31*'TUSD BF'!$L$93</f>
        <v>0</v>
      </c>
      <c r="M31" s="25">
        <f>'TUSD BE'!$M$31*'TUSD BF'!$M$93</f>
        <v>0</v>
      </c>
      <c r="N31" s="25">
        <f ca="1">'TUSD BE'!$N$31*'TUSD BF'!$N$93</f>
        <v>0</v>
      </c>
      <c r="O31" s="25">
        <f>'TUSD BE'!$O$31*'TUSD BF'!$O$93</f>
        <v>0</v>
      </c>
      <c r="P31" s="25">
        <f>'TUSD BE'!$P$31*'TUSD BF'!$P$93</f>
        <v>0</v>
      </c>
      <c r="Q31" s="25">
        <f>'TUSD BE'!$Q$31*'TUSD BF'!$Q$93</f>
        <v>0</v>
      </c>
      <c r="R31" s="25">
        <f>'TUSD BE'!$R$31*'TUSD BF'!$R$93</f>
        <v>0</v>
      </c>
      <c r="S31" s="25">
        <f>'TUSD BE'!$R$31*'TUSD BF'!$S$93</f>
        <v>0</v>
      </c>
      <c r="T31" s="25">
        <f ca="1">SUM($L$31:$S$31)</f>
        <v>0</v>
      </c>
      <c r="U31" s="25">
        <f>'TUSD BE'!$U$31*'TUSD BF'!$U$93</f>
        <v>0</v>
      </c>
      <c r="V31" s="25">
        <f>'TUSD BE'!$V$31*'TUSD BF'!$V$93</f>
        <v>0</v>
      </c>
      <c r="W31" s="25">
        <f>'TUSD BE'!$W$31*'TUSD BF'!$W$93</f>
        <v>0</v>
      </c>
      <c r="X31" s="25">
        <f>'TUSD BE'!$X$31*'TUSD BF'!$X$93</f>
        <v>0</v>
      </c>
      <c r="Y31" s="25">
        <f>'TUSD BE'!$Y$31*'TUSD BF'!$Y$93</f>
        <v>0</v>
      </c>
      <c r="Z31" s="25">
        <f>'TUSD BE'!$Z$31*'TUSD BF'!$Z$93</f>
        <v>0</v>
      </c>
      <c r="AA31" s="25">
        <f>'TUSD BE'!$AA$31*'TUSD BF'!$AA$93</f>
        <v>0</v>
      </c>
      <c r="AB31" s="25">
        <f>SUM($U$31:$AA$31)</f>
        <v>0</v>
      </c>
      <c r="AC31" s="25">
        <f>'TUSD BE'!$AC$31*'TUSD BF'!$AC$93</f>
        <v>0</v>
      </c>
      <c r="AD31" s="25">
        <f>SUM($AC$31:$AC$31)</f>
        <v>0</v>
      </c>
      <c r="AE31" s="25">
        <f ca="1">$AO$31*$AO$90</f>
        <v>0</v>
      </c>
      <c r="AF31" s="25">
        <f ca="1">$AP$31*$AP$90</f>
        <v>0</v>
      </c>
      <c r="AG31" s="25">
        <f ca="1">SUM($AE$31:$AF$31)</f>
        <v>0</v>
      </c>
      <c r="AH31" s="25">
        <f>'TUSD BE'!$AH$31*'TUSD BF'!$AH$93</f>
        <v>1.4141342505886545E-4</v>
      </c>
      <c r="AI31" s="25">
        <f>'TUSD BE'!$AI$31*'TUSD BF'!$AI$93</f>
        <v>0</v>
      </c>
      <c r="AJ31" s="25">
        <f ca="1">'TUSD BE'!$AJ$31*'TUSD BF'!$AJ$93</f>
        <v>0</v>
      </c>
      <c r="AK31" s="25">
        <f ca="1">'TUSD BE'!$AK$31*'TUSD BF'!$AK$93</f>
        <v>0</v>
      </c>
      <c r="AL31" s="25">
        <f ca="1">SUM($AH$31:$AK$31)</f>
        <v>1.4141342505886545E-4</v>
      </c>
      <c r="AM31" s="25">
        <f ca="1">SUMIF($L$4:$AL$4,"SUBTOTAL",$L$31:$AL$31)</f>
        <v>1.4141342505886545E-4</v>
      </c>
      <c r="AO31" s="30">
        <f ca="1">+'TUSD BE'!$T$31+'TUSD BE'!$AB$31+'TUSD BE'!$AD$31+'TUSD BE'!$AL$31</f>
        <v>3.7070112078752566</v>
      </c>
      <c r="AP31" s="30">
        <f ca="1">+'TUSD BE'!$T$31+'TUSD BE'!$AB$31+'TUSD BE'!$AD$31+'TUSD BE'!$AL$31</f>
        <v>3.7070112078752566</v>
      </c>
    </row>
    <row r="32" spans="1:42" ht="11.25" customHeight="1" x14ac:dyDescent="0.25">
      <c r="A32" s="119"/>
      <c r="B32" s="119" t="s">
        <v>34</v>
      </c>
      <c r="C32" s="119" t="s">
        <v>25</v>
      </c>
      <c r="D32" s="119" t="s">
        <v>25</v>
      </c>
      <c r="E32" s="119" t="s">
        <v>25</v>
      </c>
      <c r="F32" s="119" t="s">
        <v>25</v>
      </c>
      <c r="G32" s="21" t="s">
        <v>9</v>
      </c>
      <c r="H32" s="21" t="s">
        <v>91</v>
      </c>
      <c r="I32" s="21">
        <f>'MERCADO TUSD'!$U$29</f>
        <v>3362527</v>
      </c>
      <c r="J32" s="17"/>
      <c r="L32" s="25">
        <f>'TUSD BE'!$L$32*'TUSD BF'!$L$93</f>
        <v>0</v>
      </c>
      <c r="M32" s="25">
        <f>'TUSD BE'!$M$32*'TUSD BF'!$M$93</f>
        <v>0</v>
      </c>
      <c r="N32" s="25">
        <f ca="1">'TUSD BE'!$N$32*'TUSD BF'!$N$93</f>
        <v>0</v>
      </c>
      <c r="O32" s="25">
        <f>'TUSD BE'!$O$32*'TUSD BF'!$O$93</f>
        <v>0</v>
      </c>
      <c r="P32" s="25">
        <f>'TUSD BE'!$P$32*'TUSD BF'!$P$93</f>
        <v>0</v>
      </c>
      <c r="Q32" s="25">
        <f>'TUSD BE'!$Q$32*'TUSD BF'!$Q$93</f>
        <v>0</v>
      </c>
      <c r="R32" s="25">
        <f>'TUSD BE'!$R$32*'TUSD BF'!$R$93</f>
        <v>0</v>
      </c>
      <c r="S32" s="25">
        <f>'TUSD BE'!$R$32*'TUSD BF'!$S$93</f>
        <v>0</v>
      </c>
      <c r="T32" s="25">
        <f ca="1">SUM($L$32:$S$32)</f>
        <v>0</v>
      </c>
      <c r="U32" s="25">
        <f>'TUSD BE'!$U$32*'TUSD BF'!$U$93</f>
        <v>0.23661666307709064</v>
      </c>
      <c r="V32" s="25">
        <f>'TUSD BE'!$V$32*'TUSD BF'!$V$93</f>
        <v>6.4673003853284922E-2</v>
      </c>
      <c r="W32" s="25">
        <f>'TUSD BE'!$W$32*'TUSD BF'!$W$93</f>
        <v>0</v>
      </c>
      <c r="X32" s="25">
        <f>'TUSD BE'!$X$32*'TUSD BF'!$X$93</f>
        <v>0</v>
      </c>
      <c r="Y32" s="25">
        <f>'TUSD BE'!$Y$32*'TUSD BF'!$Y$93</f>
        <v>0</v>
      </c>
      <c r="Z32" s="25">
        <f>'TUSD BE'!$Z$32*'TUSD BF'!$Z$93</f>
        <v>0</v>
      </c>
      <c r="AA32" s="25">
        <f>'TUSD BE'!$AA$32*'TUSD BF'!$AA$93</f>
        <v>0</v>
      </c>
      <c r="AB32" s="25">
        <f>SUM($U$32:$AA$32)</f>
        <v>0.30128966693037557</v>
      </c>
      <c r="AC32" s="25">
        <f>'TUSD BE'!$AC$32*'TUSD BF'!$AC$93</f>
        <v>0</v>
      </c>
      <c r="AD32" s="25">
        <f>SUM($AC$32:$AC$32)</f>
        <v>0</v>
      </c>
      <c r="AE32" s="25">
        <f ca="1">$AO$32*$AO$90</f>
        <v>0</v>
      </c>
      <c r="AF32" s="25">
        <f ca="1">$AP$32*$AP$90</f>
        <v>0</v>
      </c>
      <c r="AG32" s="25">
        <f ca="1">SUM($AE$32:$AF$32)</f>
        <v>0</v>
      </c>
      <c r="AH32" s="25">
        <f>'TUSD BE'!$AH$32*'TUSD BF'!$AH$93</f>
        <v>0</v>
      </c>
      <c r="AI32" s="25">
        <f>'TUSD BE'!$AI$32*'TUSD BF'!$AI$93</f>
        <v>0</v>
      </c>
      <c r="AJ32" s="25">
        <f ca="1">'TUSD BE'!$AJ$32*'TUSD BF'!$AJ$93</f>
        <v>0</v>
      </c>
      <c r="AK32" s="25">
        <f ca="1">'TUSD BE'!$AK$32*'TUSD BF'!$AK$93</f>
        <v>0</v>
      </c>
      <c r="AL32" s="25">
        <f ca="1">SUM($AH$32:$AK$32)</f>
        <v>0</v>
      </c>
      <c r="AM32" s="25">
        <f ca="1">SUMIF($L$4:$AL$4,"SUBTOTAL",$L$32:$AL$32)</f>
        <v>0.30128966693037557</v>
      </c>
      <c r="AO32" s="30">
        <f ca="1">+'TUSD BE'!$T$32+'TUSD BE'!$AB$32+'TUSD BE'!$AD$32+'TUSD BE'!$AL$32</f>
        <v>11.114449476719457</v>
      </c>
      <c r="AP32" s="30">
        <f ca="1">+'TUSD BE'!$T$32+'TUSD BE'!$AB$32+'TUSD BE'!$AD$32+'TUSD BE'!$AL$32</f>
        <v>11.114449476719457</v>
      </c>
    </row>
    <row r="33" spans="1:42" ht="11.25" customHeight="1" x14ac:dyDescent="0.25">
      <c r="A33" s="119"/>
      <c r="B33" s="119"/>
      <c r="C33" s="119"/>
      <c r="D33" s="119"/>
      <c r="E33" s="119"/>
      <c r="F33" s="119"/>
      <c r="G33" s="21" t="s">
        <v>89</v>
      </c>
      <c r="H33" s="21" t="s">
        <v>88</v>
      </c>
      <c r="I33" s="21">
        <f>'MERCADO TUSD'!$U$30</f>
        <v>54632.431000000011</v>
      </c>
      <c r="J33" s="17"/>
      <c r="L33" s="25">
        <f>'TUSD BE'!$L$33*'TUSD BF'!$L$93</f>
        <v>0</v>
      </c>
      <c r="M33" s="25">
        <f>'TUSD BE'!$M$33*'TUSD BF'!$M$93</f>
        <v>0</v>
      </c>
      <c r="N33" s="25">
        <f ca="1">'TUSD BE'!$N$33*'TUSD BF'!$N$93</f>
        <v>0</v>
      </c>
      <c r="O33" s="25">
        <f>'TUSD BE'!$O$33*'TUSD BF'!$O$93</f>
        <v>0</v>
      </c>
      <c r="P33" s="25">
        <f>'TUSD BE'!$P$33*'TUSD BF'!$P$93</f>
        <v>0</v>
      </c>
      <c r="Q33" s="25">
        <f>'TUSD BE'!$Q$33*'TUSD BF'!$Q$93</f>
        <v>6.1201872023517385</v>
      </c>
      <c r="R33" s="25">
        <f>'TUSD BE'!$R$33*'TUSD BF'!$R$93</f>
        <v>-0.99215351767428861</v>
      </c>
      <c r="S33" s="25">
        <f>'TUSD BE'!$R$33*'TUSD BF'!$S$93</f>
        <v>0</v>
      </c>
      <c r="T33" s="25">
        <f ca="1">SUM($L$33:$S$33)</f>
        <v>5.1280336846774501</v>
      </c>
      <c r="U33" s="25">
        <f>'TUSD BE'!$U$33*'TUSD BF'!$U$93</f>
        <v>8.706294031498226</v>
      </c>
      <c r="V33" s="25">
        <f>'TUSD BE'!$V$33*'TUSD BF'!$V$93</f>
        <v>2.1866633764668877</v>
      </c>
      <c r="W33" s="25">
        <f>'TUSD BE'!$W$33*'TUSD BF'!$W$93</f>
        <v>0</v>
      </c>
      <c r="X33" s="25">
        <f>'TUSD BE'!$X$33*'TUSD BF'!$X$93</f>
        <v>0</v>
      </c>
      <c r="Y33" s="25">
        <f>'TUSD BE'!$Y$33*'TUSD BF'!$Y$93</f>
        <v>0</v>
      </c>
      <c r="Z33" s="25">
        <f>'TUSD BE'!$Z$33*'TUSD BF'!$Z$93</f>
        <v>0</v>
      </c>
      <c r="AA33" s="25">
        <f>'TUSD BE'!$AA$33*'TUSD BF'!$AA$93</f>
        <v>0</v>
      </c>
      <c r="AB33" s="25">
        <f>SUM($U$33:$AA$33)</f>
        <v>10.892957407965113</v>
      </c>
      <c r="AC33" s="25">
        <f>'TUSD BE'!$AC$33*'TUSD BF'!$AC$93</f>
        <v>0</v>
      </c>
      <c r="AD33" s="25">
        <f>SUM($AC$33:$AC$33)</f>
        <v>0</v>
      </c>
      <c r="AE33" s="25">
        <f ca="1">$AO$33*$AO$90</f>
        <v>0</v>
      </c>
      <c r="AF33" s="25">
        <f ca="1">$AP$33*$AP$90</f>
        <v>0</v>
      </c>
      <c r="AG33" s="25">
        <f ca="1">SUM($AE$33:$AF$33)</f>
        <v>0</v>
      </c>
      <c r="AH33" s="25">
        <f>'TUSD BE'!$AH$33*'TUSD BF'!$AH$93</f>
        <v>1.0503032194440225</v>
      </c>
      <c r="AI33" s="25">
        <f>'TUSD BE'!$AI$33*'TUSD BF'!$AI$93</f>
        <v>3.9479160269660328E-2</v>
      </c>
      <c r="AJ33" s="25">
        <f ca="1">'TUSD BE'!$AJ$33*'TUSD BF'!$AJ$93</f>
        <v>0.77010156683041509</v>
      </c>
      <c r="AK33" s="25">
        <f ca="1">'TUSD BE'!$AK$33*'TUSD BF'!$AK$93</f>
        <v>0</v>
      </c>
      <c r="AL33" s="25">
        <f ca="1">SUM($AH$33:$AK$33)</f>
        <v>1.8598839465440977</v>
      </c>
      <c r="AM33" s="25">
        <f ca="1">SUMIF($L$4:$AL$4,"SUBTOTAL",$L$33:$AL$33)</f>
        <v>17.880875039186662</v>
      </c>
      <c r="AO33" s="30">
        <f ca="1">+'TUSD BE'!$T$33+'TUSD BE'!$AB$33+'TUSD BE'!$AD$33+'TUSD BE'!$AL$33</f>
        <v>734.14492098265225</v>
      </c>
      <c r="AP33" s="30">
        <f ca="1">+'TUSD BE'!$T$33+'TUSD BE'!$AB$33+'TUSD BE'!$AD$33+'TUSD BE'!$AL$33</f>
        <v>734.14492098265225</v>
      </c>
    </row>
    <row r="34" spans="1:42" ht="11.25" customHeight="1" x14ac:dyDescent="0.25">
      <c r="A34" s="119"/>
      <c r="B34" s="119"/>
      <c r="C34" s="119"/>
      <c r="D34" s="119"/>
      <c r="E34" s="119"/>
      <c r="F34" s="119"/>
      <c r="G34" s="21" t="s">
        <v>90</v>
      </c>
      <c r="H34" s="21" t="s">
        <v>88</v>
      </c>
      <c r="I34" s="21">
        <f>'MERCADO TUSD'!$U$31</f>
        <v>585212.62100000004</v>
      </c>
      <c r="J34" s="17"/>
      <c r="L34" s="25">
        <f>'TUSD BE'!$L$34*'TUSD BF'!$L$93</f>
        <v>0</v>
      </c>
      <c r="M34" s="25">
        <f>'TUSD BE'!$M$34*'TUSD BF'!$M$93</f>
        <v>0</v>
      </c>
      <c r="N34" s="25">
        <f ca="1">'TUSD BE'!$N$34*'TUSD BF'!$N$93</f>
        <v>0</v>
      </c>
      <c r="O34" s="25">
        <f>'TUSD BE'!$O$34*'TUSD BF'!$O$93</f>
        <v>0</v>
      </c>
      <c r="P34" s="25">
        <f>'TUSD BE'!$P$34*'TUSD BF'!$P$93</f>
        <v>0</v>
      </c>
      <c r="Q34" s="25">
        <f>'TUSD BE'!$Q$34*'TUSD BF'!$Q$93</f>
        <v>6.1201872023517385</v>
      </c>
      <c r="R34" s="25">
        <f>'TUSD BE'!$R$34*'TUSD BF'!$R$93</f>
        <v>-0.99215351767428861</v>
      </c>
      <c r="S34" s="25">
        <f>'TUSD BE'!$R$34*'TUSD BF'!$S$93</f>
        <v>0</v>
      </c>
      <c r="T34" s="25">
        <f ca="1">SUM($L$34:$S$34)</f>
        <v>5.1280336846774501</v>
      </c>
      <c r="U34" s="25">
        <f>'TUSD BE'!$U$34*'TUSD BF'!$U$93</f>
        <v>0</v>
      </c>
      <c r="V34" s="25">
        <f>'TUSD BE'!$V$34*'TUSD BF'!$V$93</f>
        <v>0</v>
      </c>
      <c r="W34" s="25">
        <f>'TUSD BE'!$W$34*'TUSD BF'!$W$93</f>
        <v>0</v>
      </c>
      <c r="X34" s="25">
        <f>'TUSD BE'!$X$34*'TUSD BF'!$X$93</f>
        <v>0</v>
      </c>
      <c r="Y34" s="25">
        <f>'TUSD BE'!$Y$34*'TUSD BF'!$Y$93</f>
        <v>0</v>
      </c>
      <c r="Z34" s="25">
        <f>'TUSD BE'!$Z$34*'TUSD BF'!$Z$93</f>
        <v>0</v>
      </c>
      <c r="AA34" s="25">
        <f>'TUSD BE'!$AA$34*'TUSD BF'!$AA$93</f>
        <v>0</v>
      </c>
      <c r="AB34" s="25">
        <f>SUM($U$34:$AA$34)</f>
        <v>0</v>
      </c>
      <c r="AC34" s="25">
        <f>'TUSD BE'!$AC$34*'TUSD BF'!$AC$93</f>
        <v>0</v>
      </c>
      <c r="AD34" s="25">
        <f>SUM($AC$34:$AC$34)</f>
        <v>0</v>
      </c>
      <c r="AE34" s="25">
        <f ca="1">$AO$34*$AO$90</f>
        <v>0</v>
      </c>
      <c r="AF34" s="25">
        <f ca="1">$AP$34*$AP$90</f>
        <v>0</v>
      </c>
      <c r="AG34" s="25">
        <f ca="1">SUM($AE$34:$AF$34)</f>
        <v>0</v>
      </c>
      <c r="AH34" s="25">
        <f>'TUSD BE'!$AH$34*'TUSD BF'!$AH$93</f>
        <v>1.0503032194440225</v>
      </c>
      <c r="AI34" s="25">
        <f>'TUSD BE'!$AI$34*'TUSD BF'!$AI$93</f>
        <v>3.9479160269660328E-2</v>
      </c>
      <c r="AJ34" s="25">
        <f ca="1">'TUSD BE'!$AJ$34*'TUSD BF'!$AJ$93</f>
        <v>0.77010156683041509</v>
      </c>
      <c r="AK34" s="25">
        <f ca="1">'TUSD BE'!$AK$34*'TUSD BF'!$AK$93</f>
        <v>0</v>
      </c>
      <c r="AL34" s="25">
        <f ca="1">SUM($AH$34:$AK$34)</f>
        <v>1.8598839465440977</v>
      </c>
      <c r="AM34" s="25">
        <f ca="1">SUMIF($L$4:$AL$4,"SUBTOTAL",$L$34:$AL$34)</f>
        <v>6.9879176312215474</v>
      </c>
      <c r="AO34" s="30">
        <f ca="1">+'TUSD BE'!$T$34+'TUSD BE'!$AB$34+'TUSD BE'!$AD$34+'TUSD BE'!$AL$34</f>
        <v>85.954210928383915</v>
      </c>
      <c r="AP34" s="30">
        <f ca="1">+'TUSD BE'!$T$34+'TUSD BE'!$AB$34+'TUSD BE'!$AD$34+'TUSD BE'!$AL$34</f>
        <v>85.954210928383915</v>
      </c>
    </row>
    <row r="35" spans="1:42" ht="11.25" customHeight="1" x14ac:dyDescent="0.25">
      <c r="A35" s="119"/>
      <c r="B35" s="119"/>
      <c r="C35" s="119"/>
      <c r="D35" s="119"/>
      <c r="E35" s="119" t="s">
        <v>61</v>
      </c>
      <c r="F35" s="119" t="s">
        <v>25</v>
      </c>
      <c r="G35" s="21" t="s">
        <v>89</v>
      </c>
      <c r="H35" s="21" t="s">
        <v>88</v>
      </c>
      <c r="I35" s="21">
        <f>'MERCADO TUSD'!$U$32</f>
        <v>0</v>
      </c>
      <c r="J35" s="17"/>
      <c r="L35" s="25">
        <f>'TUSD BE'!$L$35*'TUSD BF'!$L$93</f>
        <v>0</v>
      </c>
      <c r="M35" s="25">
        <f>'TUSD BE'!$M$35*'TUSD BF'!$M$93</f>
        <v>0</v>
      </c>
      <c r="N35" s="25">
        <f ca="1">'TUSD BE'!$N$35*'TUSD BF'!$N$93</f>
        <v>0</v>
      </c>
      <c r="O35" s="25">
        <f>'TUSD BE'!$O$35*'TUSD BF'!$O$93</f>
        <v>0</v>
      </c>
      <c r="P35" s="25">
        <f>'TUSD BE'!$P$35*'TUSD BF'!$P$93</f>
        <v>0</v>
      </c>
      <c r="Q35" s="25">
        <f>'TUSD BE'!$Q$35*'TUSD BF'!$Q$93</f>
        <v>0</v>
      </c>
      <c r="R35" s="25">
        <f>'TUSD BE'!$R$35*'TUSD BF'!$R$93</f>
        <v>0</v>
      </c>
      <c r="S35" s="25">
        <f>'TUSD BE'!$R$35*'TUSD BF'!$S$93</f>
        <v>0</v>
      </c>
      <c r="T35" s="25">
        <f ca="1">SUM($L$35:$S$35)</f>
        <v>0</v>
      </c>
      <c r="U35" s="25">
        <f>'TUSD BE'!$U$35*'TUSD BF'!$U$93</f>
        <v>8.706294031498226</v>
      </c>
      <c r="V35" s="25">
        <f>'TUSD BE'!$V$35*'TUSD BF'!$V$93</f>
        <v>2.1866633764668877</v>
      </c>
      <c r="W35" s="25">
        <f>'TUSD BE'!$W$35*'TUSD BF'!$W$93</f>
        <v>0</v>
      </c>
      <c r="X35" s="25">
        <f>'TUSD BE'!$X$35*'TUSD BF'!$X$93</f>
        <v>0</v>
      </c>
      <c r="Y35" s="25">
        <f>'TUSD BE'!$Y$35*'TUSD BF'!$Y$93</f>
        <v>0</v>
      </c>
      <c r="Z35" s="25">
        <f>'TUSD BE'!$Z$35*'TUSD BF'!$Z$93</f>
        <v>0</v>
      </c>
      <c r="AA35" s="25">
        <f>'TUSD BE'!$AA$35*'TUSD BF'!$AA$93</f>
        <v>0</v>
      </c>
      <c r="AB35" s="25">
        <f>SUM($U$35:$AA$35)</f>
        <v>10.892957407965113</v>
      </c>
      <c r="AC35" s="25">
        <f>'TUSD BE'!$AC$35*'TUSD BF'!$AC$93</f>
        <v>0</v>
      </c>
      <c r="AD35" s="25">
        <f>SUM($AC$35:$AC$35)</f>
        <v>0</v>
      </c>
      <c r="AE35" s="25">
        <f ca="1">$AO$35*$AO$90</f>
        <v>0</v>
      </c>
      <c r="AF35" s="25">
        <f ca="1">$AP$35*$AP$90</f>
        <v>0</v>
      </c>
      <c r="AG35" s="25">
        <f ca="1">SUM($AE$35:$AF$35)</f>
        <v>0</v>
      </c>
      <c r="AH35" s="25">
        <f>'TUSD BE'!$AH$35*'TUSD BF'!$AH$93</f>
        <v>1.0503032194440225</v>
      </c>
      <c r="AI35" s="25">
        <f>'TUSD BE'!$AI$35*'TUSD BF'!$AI$93</f>
        <v>3.9479160269660328E-2</v>
      </c>
      <c r="AJ35" s="25">
        <f ca="1">'TUSD BE'!$AJ$35*'TUSD BF'!$AJ$93</f>
        <v>0.77010156683041509</v>
      </c>
      <c r="AK35" s="25">
        <f ca="1">'TUSD BE'!$AK$35*'TUSD BF'!$AK$93</f>
        <v>0</v>
      </c>
      <c r="AL35" s="25">
        <f ca="1">SUM($AH$35:$AK$35)</f>
        <v>1.8598839465440977</v>
      </c>
      <c r="AM35" s="25">
        <f ca="1">SUMIF($L$4:$AL$4,"SUBTOTAL",$L$35:$AL$35)</f>
        <v>12.752841354509211</v>
      </c>
      <c r="AO35" s="30">
        <f ca="1">+'TUSD BE'!$T$35+'TUSD BE'!$AB$35+'TUSD BE'!$AD$35+'TUSD BE'!$AL$35</f>
        <v>671.42740885617343</v>
      </c>
      <c r="AP35" s="30">
        <f ca="1">+'TUSD BE'!$T$35+'TUSD BE'!$AB$35+'TUSD BE'!$AD$35+'TUSD BE'!$AL$35</f>
        <v>671.42740885617343</v>
      </c>
    </row>
    <row r="36" spans="1:42" ht="11.25" customHeight="1" x14ac:dyDescent="0.25">
      <c r="A36" s="119"/>
      <c r="B36" s="119"/>
      <c r="C36" s="119"/>
      <c r="D36" s="119"/>
      <c r="E36" s="119"/>
      <c r="F36" s="119"/>
      <c r="G36" s="21" t="s">
        <v>90</v>
      </c>
      <c r="H36" s="21" t="s">
        <v>88</v>
      </c>
      <c r="I36" s="21">
        <f>'MERCADO TUSD'!$U$33</f>
        <v>0</v>
      </c>
      <c r="J36" s="17"/>
      <c r="L36" s="25">
        <f>'TUSD BE'!$L$36*'TUSD BF'!$L$93</f>
        <v>0</v>
      </c>
      <c r="M36" s="25">
        <f>'TUSD BE'!$M$36*'TUSD BF'!$M$93</f>
        <v>0</v>
      </c>
      <c r="N36" s="25">
        <f ca="1">'TUSD BE'!$N$36*'TUSD BF'!$N$93</f>
        <v>0</v>
      </c>
      <c r="O36" s="25">
        <f>'TUSD BE'!$O$36*'TUSD BF'!$O$93</f>
        <v>0</v>
      </c>
      <c r="P36" s="25">
        <f>'TUSD BE'!$P$36*'TUSD BF'!$P$93</f>
        <v>0</v>
      </c>
      <c r="Q36" s="25">
        <f>'TUSD BE'!$Q$36*'TUSD BF'!$Q$93</f>
        <v>0</v>
      </c>
      <c r="R36" s="25">
        <f>'TUSD BE'!$R$36*'TUSD BF'!$R$93</f>
        <v>0</v>
      </c>
      <c r="S36" s="25">
        <f>'TUSD BE'!$R$36*'TUSD BF'!$S$93</f>
        <v>0</v>
      </c>
      <c r="T36" s="25">
        <f ca="1">SUM($L$36:$S$36)</f>
        <v>0</v>
      </c>
      <c r="U36" s="25">
        <f>'TUSD BE'!$U$36*'TUSD BF'!$U$93</f>
        <v>0</v>
      </c>
      <c r="V36" s="25">
        <f>'TUSD BE'!$V$36*'TUSD BF'!$V$93</f>
        <v>0</v>
      </c>
      <c r="W36" s="25">
        <f>'TUSD BE'!$W$36*'TUSD BF'!$W$93</f>
        <v>0</v>
      </c>
      <c r="X36" s="25">
        <f>'TUSD BE'!$X$36*'TUSD BF'!$X$93</f>
        <v>0</v>
      </c>
      <c r="Y36" s="25">
        <f>'TUSD BE'!$Y$36*'TUSD BF'!$Y$93</f>
        <v>0</v>
      </c>
      <c r="Z36" s="25">
        <f>'TUSD BE'!$Z$36*'TUSD BF'!$Z$93</f>
        <v>0</v>
      </c>
      <c r="AA36" s="25">
        <f>'TUSD BE'!$AA$36*'TUSD BF'!$AA$93</f>
        <v>0</v>
      </c>
      <c r="AB36" s="25">
        <f>SUM($U$36:$AA$36)</f>
        <v>0</v>
      </c>
      <c r="AC36" s="25">
        <f>'TUSD BE'!$AC$36*'TUSD BF'!$AC$93</f>
        <v>0</v>
      </c>
      <c r="AD36" s="25">
        <f>SUM($AC$36:$AC$36)</f>
        <v>0</v>
      </c>
      <c r="AE36" s="25">
        <f ca="1">$AO$36*$AO$90</f>
        <v>0</v>
      </c>
      <c r="AF36" s="25">
        <f ca="1">$AP$36*$AP$90</f>
        <v>0</v>
      </c>
      <c r="AG36" s="25">
        <f ca="1">SUM($AE$36:$AF$36)</f>
        <v>0</v>
      </c>
      <c r="AH36" s="25">
        <f>'TUSD BE'!$AH$36*'TUSD BF'!$AH$93</f>
        <v>1.0503032194440225</v>
      </c>
      <c r="AI36" s="25">
        <f>'TUSD BE'!$AI$36*'TUSD BF'!$AI$93</f>
        <v>3.9479160269660328E-2</v>
      </c>
      <c r="AJ36" s="25">
        <f ca="1">'TUSD BE'!$AJ$36*'TUSD BF'!$AJ$93</f>
        <v>0.77010156683041509</v>
      </c>
      <c r="AK36" s="25">
        <f ca="1">'TUSD BE'!$AK$36*'TUSD BF'!$AK$93</f>
        <v>0</v>
      </c>
      <c r="AL36" s="25">
        <f ca="1">SUM($AH$36:$AK$36)</f>
        <v>1.8598839465440977</v>
      </c>
      <c r="AM36" s="25">
        <f ca="1">SUMIF($L$4:$AL$4,"SUBTOTAL",$L$36:$AL$36)</f>
        <v>1.8598839465440977</v>
      </c>
      <c r="AO36" s="30">
        <f ca="1">+'TUSD BE'!$T$36+'TUSD BE'!$AB$36+'TUSD BE'!$AD$36+'TUSD BE'!$AL$36</f>
        <v>23.236698801905145</v>
      </c>
      <c r="AP36" s="30">
        <f ca="1">+'TUSD BE'!$T$36+'TUSD BE'!$AB$36+'TUSD BE'!$AD$36+'TUSD BE'!$AL$36</f>
        <v>23.236698801905145</v>
      </c>
    </row>
    <row r="37" spans="1:42" ht="11.25" customHeight="1" x14ac:dyDescent="0.25">
      <c r="A37" s="119"/>
      <c r="B37" s="119" t="s">
        <v>23</v>
      </c>
      <c r="C37" s="119" t="s">
        <v>25</v>
      </c>
      <c r="D37" s="119" t="s">
        <v>25</v>
      </c>
      <c r="E37" s="119" t="s">
        <v>25</v>
      </c>
      <c r="F37" s="119" t="s">
        <v>25</v>
      </c>
      <c r="G37" s="21" t="s">
        <v>9</v>
      </c>
      <c r="H37" s="21" t="s">
        <v>91</v>
      </c>
      <c r="I37" s="21">
        <f>'MERCADO TUSD'!$U$34</f>
        <v>0</v>
      </c>
      <c r="J37" s="17"/>
      <c r="L37" s="25">
        <f>'TUSD BE'!$L$37*'TUSD BF'!$L$93</f>
        <v>0</v>
      </c>
      <c r="M37" s="25">
        <f>'TUSD BE'!$M$37*'TUSD BF'!$M$93</f>
        <v>0</v>
      </c>
      <c r="N37" s="25">
        <f ca="1">'TUSD BE'!$N$37*'TUSD BF'!$N$93</f>
        <v>0</v>
      </c>
      <c r="O37" s="25">
        <f>'TUSD BE'!$O$37*'TUSD BF'!$O$93</f>
        <v>0</v>
      </c>
      <c r="P37" s="25">
        <f>'TUSD BE'!$P$37*'TUSD BF'!$P$93</f>
        <v>0</v>
      </c>
      <c r="Q37" s="25">
        <f>'TUSD BE'!$Q$37*'TUSD BF'!$Q$93</f>
        <v>0</v>
      </c>
      <c r="R37" s="25">
        <f>'TUSD BE'!$R$37*'TUSD BF'!$R$93</f>
        <v>0</v>
      </c>
      <c r="S37" s="25">
        <f>'TUSD BE'!$R$37*'TUSD BF'!$S$93</f>
        <v>0</v>
      </c>
      <c r="T37" s="25">
        <f ca="1">SUM($L$37:$S$37)</f>
        <v>0</v>
      </c>
      <c r="U37" s="25">
        <f>'TUSD BE'!$U$37*'TUSD BF'!$U$93</f>
        <v>0.4972752170131885</v>
      </c>
      <c r="V37" s="25">
        <f>'TUSD BE'!$V$37*'TUSD BF'!$V$93</f>
        <v>0.13014824916658199</v>
      </c>
      <c r="W37" s="25">
        <f>'TUSD BE'!$W$37*'TUSD BF'!$W$93</f>
        <v>0</v>
      </c>
      <c r="X37" s="25">
        <f>'TUSD BE'!$X$37*'TUSD BF'!$X$93</f>
        <v>0</v>
      </c>
      <c r="Y37" s="25">
        <f>'TUSD BE'!$Y$37*'TUSD BF'!$Y$93</f>
        <v>0</v>
      </c>
      <c r="Z37" s="25">
        <f>'TUSD BE'!$Z$37*'TUSD BF'!$Z$93</f>
        <v>0</v>
      </c>
      <c r="AA37" s="25">
        <f>'TUSD BE'!$AA$37*'TUSD BF'!$AA$93</f>
        <v>0</v>
      </c>
      <c r="AB37" s="25">
        <f>SUM($U$37:$AA$37)</f>
        <v>0.62742346617977052</v>
      </c>
      <c r="AC37" s="25">
        <f>'TUSD BE'!$AC$37*'TUSD BF'!$AC$93</f>
        <v>0</v>
      </c>
      <c r="AD37" s="25">
        <f>SUM($AC$37:$AC$37)</f>
        <v>0</v>
      </c>
      <c r="AE37" s="25">
        <f ca="1">$AO$37*$AO$90</f>
        <v>0</v>
      </c>
      <c r="AF37" s="25">
        <f ca="1">$AP$37*$AP$90</f>
        <v>0</v>
      </c>
      <c r="AG37" s="25">
        <f ca="1">SUM($AE$37:$AF$37)</f>
        <v>0</v>
      </c>
      <c r="AH37" s="25">
        <f>'TUSD BE'!$AH$37*'TUSD BF'!$AH$93</f>
        <v>0</v>
      </c>
      <c r="AI37" s="25">
        <f>'TUSD BE'!$AI$37*'TUSD BF'!$AI$93</f>
        <v>0</v>
      </c>
      <c r="AJ37" s="25">
        <f ca="1">'TUSD BE'!$AJ$37*'TUSD BF'!$AJ$93</f>
        <v>0</v>
      </c>
      <c r="AK37" s="25">
        <f ca="1">'TUSD BE'!$AK$37*'TUSD BF'!$AK$93</f>
        <v>0</v>
      </c>
      <c r="AL37" s="25">
        <f ca="1">SUM($AH$37:$AK$37)</f>
        <v>0</v>
      </c>
      <c r="AM37" s="25">
        <f ca="1">SUMIF($L$4:$AL$4,"SUBTOTAL",$L$37:$AL$37)</f>
        <v>0.62742346617977052</v>
      </c>
      <c r="AO37" s="30">
        <f ca="1">+'TUSD BE'!$T$37+'TUSD BE'!$AB$37+'TUSD BE'!$AD$37+'TUSD BE'!$AL$37</f>
        <v>30.350434773805986</v>
      </c>
      <c r="AP37" s="30">
        <f ca="1">+'TUSD BE'!$T$37+'TUSD BE'!$AB$37+'TUSD BE'!$AD$37+'TUSD BE'!$AL$37</f>
        <v>30.350434773805986</v>
      </c>
    </row>
    <row r="38" spans="1:42" ht="11.25" customHeight="1" x14ac:dyDescent="0.25">
      <c r="A38" s="119"/>
      <c r="B38" s="119"/>
      <c r="C38" s="119"/>
      <c r="D38" s="119"/>
      <c r="E38" s="119"/>
      <c r="F38" s="119"/>
      <c r="G38" s="21" t="s">
        <v>94</v>
      </c>
      <c r="H38" s="21" t="s">
        <v>88</v>
      </c>
      <c r="I38" s="21">
        <f>'MERCADO TUSD'!$U$35</f>
        <v>0</v>
      </c>
      <c r="J38" s="17"/>
      <c r="L38" s="25">
        <f>'TUSD BE'!$L$38*'TUSD BF'!$L$93</f>
        <v>0</v>
      </c>
      <c r="M38" s="25">
        <f>'TUSD BE'!$M$38*'TUSD BF'!$M$93</f>
        <v>0</v>
      </c>
      <c r="N38" s="25">
        <f ca="1">'TUSD BE'!$N$38*'TUSD BF'!$N$93</f>
        <v>0</v>
      </c>
      <c r="O38" s="25">
        <f>'TUSD BE'!$O$38*'TUSD BF'!$O$93</f>
        <v>0</v>
      </c>
      <c r="P38" s="25">
        <f>'TUSD BE'!$P$38*'TUSD BF'!$P$93</f>
        <v>0</v>
      </c>
      <c r="Q38" s="25">
        <f>'TUSD BE'!$Q$38*'TUSD BF'!$Q$93</f>
        <v>6.1201872023517385</v>
      </c>
      <c r="R38" s="25">
        <f>'TUSD BE'!$R$38*'TUSD BF'!$R$93</f>
        <v>-0.99215351767428861</v>
      </c>
      <c r="S38" s="25">
        <f>'TUSD BE'!$R$38*'TUSD BF'!$S$93</f>
        <v>0</v>
      </c>
      <c r="T38" s="25">
        <f ca="1">SUM($L$38:$S$38)</f>
        <v>5.1280336846774501</v>
      </c>
      <c r="U38" s="25">
        <f>'TUSD BE'!$U$38*'TUSD BF'!$U$93</f>
        <v>0</v>
      </c>
      <c r="V38" s="25">
        <f>'TUSD BE'!$V$38*'TUSD BF'!$V$93</f>
        <v>0</v>
      </c>
      <c r="W38" s="25">
        <f>'TUSD BE'!$W$38*'TUSD BF'!$W$93</f>
        <v>0</v>
      </c>
      <c r="X38" s="25">
        <f>'TUSD BE'!$X$38*'TUSD BF'!$X$93</f>
        <v>0</v>
      </c>
      <c r="Y38" s="25">
        <f>'TUSD BE'!$Y$38*'TUSD BF'!$Y$93</f>
        <v>0</v>
      </c>
      <c r="Z38" s="25">
        <f>'TUSD BE'!$Z$38*'TUSD BF'!$Z$93</f>
        <v>0</v>
      </c>
      <c r="AA38" s="25">
        <f>'TUSD BE'!$AA$38*'TUSD BF'!$AA$93</f>
        <v>0</v>
      </c>
      <c r="AB38" s="25">
        <f>SUM($U$38:$AA$38)</f>
        <v>0</v>
      </c>
      <c r="AC38" s="25">
        <f>'TUSD BE'!$AC$38*'TUSD BF'!$AC$93</f>
        <v>0</v>
      </c>
      <c r="AD38" s="25">
        <f>SUM($AC$38:$AC$38)</f>
        <v>0</v>
      </c>
      <c r="AE38" s="25">
        <f ca="1">$AO$38*$AO$90</f>
        <v>0</v>
      </c>
      <c r="AF38" s="25">
        <f ca="1">$AP$38*$AP$90</f>
        <v>0</v>
      </c>
      <c r="AG38" s="25">
        <f ca="1">SUM($AE$38:$AF$38)</f>
        <v>0</v>
      </c>
      <c r="AH38" s="25">
        <f>'TUSD BE'!$AH$38*'TUSD BF'!$AH$93</f>
        <v>1.0503032194440225</v>
      </c>
      <c r="AI38" s="25">
        <f>'TUSD BE'!$AI$38*'TUSD BF'!$AI$93</f>
        <v>3.9479160269660328E-2</v>
      </c>
      <c r="AJ38" s="25">
        <f ca="1">'TUSD BE'!$AJ$38*'TUSD BF'!$AJ$93</f>
        <v>0.77010156683041509</v>
      </c>
      <c r="AK38" s="25">
        <f ca="1">'TUSD BE'!$AK$38*'TUSD BF'!$AK$93</f>
        <v>0</v>
      </c>
      <c r="AL38" s="25">
        <f ca="1">SUM($AH$38:$AK$38)</f>
        <v>1.8598839465440977</v>
      </c>
      <c r="AM38" s="25">
        <f ca="1">SUMIF($L$4:$AL$4,"SUBTOTAL",$L$38:$AL$38)</f>
        <v>6.9879176312215474</v>
      </c>
      <c r="AO38" s="30">
        <f ca="1">+'TUSD BE'!$T$38+'TUSD BE'!$AB$38+'TUSD BE'!$AD$38+'TUSD BE'!$AL$38</f>
        <v>85.954210928383915</v>
      </c>
      <c r="AP38" s="30">
        <f ca="1">+'TUSD BE'!$T$38+'TUSD BE'!$AB$38+'TUSD BE'!$AD$38+'TUSD BE'!$AL$38</f>
        <v>85.954210928383915</v>
      </c>
    </row>
    <row r="39" spans="1:42" ht="11.25" customHeight="1" x14ac:dyDescent="0.25">
      <c r="A39" s="119" t="s">
        <v>44</v>
      </c>
      <c r="B39" s="119" t="s">
        <v>41</v>
      </c>
      <c r="C39" s="119" t="s">
        <v>25</v>
      </c>
      <c r="D39" s="119" t="s">
        <v>25</v>
      </c>
      <c r="E39" s="119" t="s">
        <v>25</v>
      </c>
      <c r="F39" s="119" t="s">
        <v>25</v>
      </c>
      <c r="G39" s="21" t="s">
        <v>92</v>
      </c>
      <c r="H39" s="21" t="s">
        <v>91</v>
      </c>
      <c r="I39" s="21">
        <f>'MERCADO TUSD'!$U$36</f>
        <v>530511</v>
      </c>
      <c r="J39" s="17"/>
      <c r="L39" s="25">
        <f>'TUSD BE'!$L$39*'TUSD BF'!$L$93</f>
        <v>0</v>
      </c>
      <c r="M39" s="25">
        <f>'TUSD BE'!$M$39*'TUSD BF'!$M$93</f>
        <v>0</v>
      </c>
      <c r="N39" s="25">
        <f ca="1">'TUSD BE'!$N$39*'TUSD BF'!$N$93</f>
        <v>0</v>
      </c>
      <c r="O39" s="25">
        <f>'TUSD BE'!$O$39*'TUSD BF'!$O$93</f>
        <v>0</v>
      </c>
      <c r="P39" s="25">
        <f>'TUSD BE'!$P$39*'TUSD BF'!$P$93</f>
        <v>0</v>
      </c>
      <c r="Q39" s="25">
        <f>'TUSD BE'!$Q$39*'TUSD BF'!$Q$93</f>
        <v>0</v>
      </c>
      <c r="R39" s="25">
        <f>'TUSD BE'!$R$39*'TUSD BF'!$R$93</f>
        <v>0</v>
      </c>
      <c r="S39" s="25">
        <f>'TUSD BE'!$R$39*'TUSD BF'!$S$93</f>
        <v>0</v>
      </c>
      <c r="T39" s="25">
        <f ca="1">SUM($L$39:$S$39)</f>
        <v>0</v>
      </c>
      <c r="U39" s="25">
        <f>'TUSD BE'!$U$39*'TUSD BF'!$U$93</f>
        <v>0.40324276067291082</v>
      </c>
      <c r="V39" s="25">
        <f>'TUSD BE'!$V$39*'TUSD BF'!$V$93</f>
        <v>0.10128812689999203</v>
      </c>
      <c r="W39" s="25">
        <f>'TUSD BE'!$W$39*'TUSD BF'!$W$93</f>
        <v>0</v>
      </c>
      <c r="X39" s="25">
        <f>'TUSD BE'!$X$39*'TUSD BF'!$X$93</f>
        <v>0</v>
      </c>
      <c r="Y39" s="25">
        <f>'TUSD BE'!$Y$39*'TUSD BF'!$Y$93</f>
        <v>0</v>
      </c>
      <c r="Z39" s="25">
        <f>'TUSD BE'!$Z$39*'TUSD BF'!$Z$93</f>
        <v>0</v>
      </c>
      <c r="AA39" s="25">
        <f>'TUSD BE'!$AA$39*'TUSD BF'!$AA$93</f>
        <v>0</v>
      </c>
      <c r="AB39" s="25">
        <f>SUM($U$39:$AA$39)</f>
        <v>0.50453088757290288</v>
      </c>
      <c r="AC39" s="25">
        <f>'TUSD BE'!$AC$39*'TUSD BF'!$AC$93</f>
        <v>0</v>
      </c>
      <c r="AD39" s="25">
        <f>SUM($AC$39:$AC$39)</f>
        <v>0</v>
      </c>
      <c r="AE39" s="25">
        <f ca="1">$AO$39*$AO$90</f>
        <v>0</v>
      </c>
      <c r="AF39" s="25">
        <f ca="1">$AP$39*$AP$90</f>
        <v>0</v>
      </c>
      <c r="AG39" s="25">
        <f ca="1">SUM($AE$39:$AF$39)</f>
        <v>0</v>
      </c>
      <c r="AH39" s="25">
        <f>'TUSD BE'!$AH$39*'TUSD BF'!$AH$93</f>
        <v>0</v>
      </c>
      <c r="AI39" s="25">
        <f>'TUSD BE'!$AI$39*'TUSD BF'!$AI$93</f>
        <v>0</v>
      </c>
      <c r="AJ39" s="25">
        <f ca="1">'TUSD BE'!$AJ$39*'TUSD BF'!$AJ$93</f>
        <v>0</v>
      </c>
      <c r="AK39" s="25">
        <f ca="1">'TUSD BE'!$AK$39*'TUSD BF'!$AK$93</f>
        <v>0</v>
      </c>
      <c r="AL39" s="25">
        <f ca="1">SUM($AH$39:$AK$39)</f>
        <v>0</v>
      </c>
      <c r="AM39" s="25">
        <f ca="1">SUMIF($L$4:$AL$4,"SUBTOTAL",$L$39:$AL$39)</f>
        <v>0.50453088757290288</v>
      </c>
      <c r="AO39" s="30">
        <f ca="1">+'TUSD BE'!$T$39+'TUSD BE'!$AB$39+'TUSD BE'!$AD$39+'TUSD BE'!$AL$39</f>
        <v>48.531622058790092</v>
      </c>
      <c r="AP39" s="30">
        <f ca="1">+'TUSD BE'!$T$39+'TUSD BE'!$AB$39+'TUSD BE'!$AD$39+'TUSD BE'!$AL$39</f>
        <v>48.531622058790092</v>
      </c>
    </row>
    <row r="40" spans="1:42" ht="11.25" customHeight="1" x14ac:dyDescent="0.25">
      <c r="A40" s="119"/>
      <c r="B40" s="119"/>
      <c r="C40" s="119"/>
      <c r="D40" s="119"/>
      <c r="E40" s="119"/>
      <c r="F40" s="119"/>
      <c r="G40" s="21" t="s">
        <v>93</v>
      </c>
      <c r="H40" s="21" t="s">
        <v>91</v>
      </c>
      <c r="I40" s="21">
        <f>'MERCADO TUSD'!$U$37</f>
        <v>592907</v>
      </c>
      <c r="J40" s="17"/>
      <c r="L40" s="25">
        <f>'TUSD BE'!$L$40*'TUSD BF'!$L$93</f>
        <v>0</v>
      </c>
      <c r="M40" s="25">
        <f>'TUSD BE'!$M$40*'TUSD BF'!$M$93</f>
        <v>0</v>
      </c>
      <c r="N40" s="25">
        <f ca="1">'TUSD BE'!$N$40*'TUSD BF'!$N$93</f>
        <v>0</v>
      </c>
      <c r="O40" s="25">
        <f>'TUSD BE'!$O$40*'TUSD BF'!$O$93</f>
        <v>0</v>
      </c>
      <c r="P40" s="25">
        <f>'TUSD BE'!$P$40*'TUSD BF'!$P$93</f>
        <v>0</v>
      </c>
      <c r="Q40" s="25">
        <f>'TUSD BE'!$Q$40*'TUSD BF'!$Q$93</f>
        <v>0</v>
      </c>
      <c r="R40" s="25">
        <f>'TUSD BE'!$R$40*'TUSD BF'!$R$93</f>
        <v>0</v>
      </c>
      <c r="S40" s="25">
        <f>'TUSD BE'!$R$40*'TUSD BF'!$S$93</f>
        <v>0</v>
      </c>
      <c r="T40" s="25">
        <f ca="1">SUM($L$40:$S$40)</f>
        <v>0</v>
      </c>
      <c r="U40" s="25">
        <f>'TUSD BE'!$U$40*'TUSD BF'!$U$93</f>
        <v>0.34217284812594351</v>
      </c>
      <c r="V40" s="25">
        <f>'TUSD BE'!$V$40*'TUSD BF'!$V$93</f>
        <v>8.8143709132101122E-2</v>
      </c>
      <c r="W40" s="25">
        <f>'TUSD BE'!$W$40*'TUSD BF'!$W$93</f>
        <v>0</v>
      </c>
      <c r="X40" s="25">
        <f>'TUSD BE'!$X$40*'TUSD BF'!$X$93</f>
        <v>0</v>
      </c>
      <c r="Y40" s="25">
        <f>'TUSD BE'!$Y$40*'TUSD BF'!$Y$93</f>
        <v>0</v>
      </c>
      <c r="Z40" s="25">
        <f>'TUSD BE'!$Z$40*'TUSD BF'!$Z$93</f>
        <v>0</v>
      </c>
      <c r="AA40" s="25">
        <f>'TUSD BE'!$AA$40*'TUSD BF'!$AA$93</f>
        <v>0</v>
      </c>
      <c r="AB40" s="25">
        <f>SUM($U$40:$AA$40)</f>
        <v>0.43031655725804463</v>
      </c>
      <c r="AC40" s="25">
        <f>'TUSD BE'!$AC$40*'TUSD BF'!$AC$93</f>
        <v>0</v>
      </c>
      <c r="AD40" s="25">
        <f>SUM($AC$40:$AC$40)</f>
        <v>0</v>
      </c>
      <c r="AE40" s="25">
        <f ca="1">$AO$40*$AO$90</f>
        <v>0</v>
      </c>
      <c r="AF40" s="25">
        <f ca="1">$AP$40*$AP$90</f>
        <v>0</v>
      </c>
      <c r="AG40" s="25">
        <f ca="1">SUM($AE$40:$AF$40)</f>
        <v>0</v>
      </c>
      <c r="AH40" s="25">
        <f>'TUSD BE'!$AH$40*'TUSD BF'!$AH$93</f>
        <v>0</v>
      </c>
      <c r="AI40" s="25">
        <f>'TUSD BE'!$AI$40*'TUSD BF'!$AI$93</f>
        <v>0</v>
      </c>
      <c r="AJ40" s="25">
        <f ca="1">'TUSD BE'!$AJ$40*'TUSD BF'!$AJ$93</f>
        <v>0</v>
      </c>
      <c r="AK40" s="25">
        <f ca="1">'TUSD BE'!$AK$40*'TUSD BF'!$AK$93</f>
        <v>0</v>
      </c>
      <c r="AL40" s="25">
        <f ca="1">SUM($AH$40:$AK$40)</f>
        <v>0</v>
      </c>
      <c r="AM40" s="25">
        <f ca="1">SUMIF($L$4:$AL$4,"SUBTOTAL",$L$40:$AL$40)</f>
        <v>0.43031655725804463</v>
      </c>
      <c r="AO40" s="30">
        <f ca="1">+'TUSD BE'!$T$40+'TUSD BE'!$AB$40+'TUSD BE'!$AD$40+'TUSD BE'!$AL$40</f>
        <v>15.52342156250884</v>
      </c>
      <c r="AP40" s="30">
        <f ca="1">+'TUSD BE'!$T$40+'TUSD BE'!$AB$40+'TUSD BE'!$AD$40+'TUSD BE'!$AL$40</f>
        <v>15.52342156250884</v>
      </c>
    </row>
    <row r="41" spans="1:42" ht="11.25" customHeight="1" x14ac:dyDescent="0.25">
      <c r="A41" s="119"/>
      <c r="B41" s="119"/>
      <c r="C41" s="119"/>
      <c r="D41" s="119"/>
      <c r="E41" s="119"/>
      <c r="F41" s="119"/>
      <c r="G41" s="21" t="s">
        <v>94</v>
      </c>
      <c r="H41" s="21" t="s">
        <v>88</v>
      </c>
      <c r="I41" s="21">
        <f>'MERCADO TUSD'!$U$38</f>
        <v>203886.46</v>
      </c>
      <c r="J41" s="17"/>
      <c r="L41" s="25">
        <f>'TUSD BE'!$L$41*'TUSD BF'!$L$93</f>
        <v>0</v>
      </c>
      <c r="M41" s="25">
        <f>'TUSD BE'!$M$41*'TUSD BF'!$M$93</f>
        <v>0</v>
      </c>
      <c r="N41" s="25">
        <f ca="1">'TUSD BE'!$N$41*'TUSD BF'!$N$93</f>
        <v>0</v>
      </c>
      <c r="O41" s="25">
        <f>'TUSD BE'!$O$41*'TUSD BF'!$O$93</f>
        <v>0</v>
      </c>
      <c r="P41" s="25">
        <f>'TUSD BE'!$P$41*'TUSD BF'!$P$93</f>
        <v>0</v>
      </c>
      <c r="Q41" s="25">
        <f>'TUSD BE'!$Q$41*'TUSD BF'!$Q$93</f>
        <v>6.8766148341030773</v>
      </c>
      <c r="R41" s="25">
        <f>'TUSD BE'!$R$41*'TUSD BF'!$R$93</f>
        <v>-0.99215351767428861</v>
      </c>
      <c r="S41" s="25">
        <f>'TUSD BE'!$R$41*'TUSD BF'!$S$93</f>
        <v>0</v>
      </c>
      <c r="T41" s="25">
        <f ca="1">SUM($L$41:$S$41)</f>
        <v>5.8844613164287889</v>
      </c>
      <c r="U41" s="25">
        <f>'TUSD BE'!$U$41*'TUSD BF'!$U$93</f>
        <v>0</v>
      </c>
      <c r="V41" s="25">
        <f>'TUSD BE'!$V$41*'TUSD BF'!$V$93</f>
        <v>0</v>
      </c>
      <c r="W41" s="25">
        <f>'TUSD BE'!$W$41*'TUSD BF'!$W$93</f>
        <v>0</v>
      </c>
      <c r="X41" s="25">
        <f>'TUSD BE'!$X$41*'TUSD BF'!$X$93</f>
        <v>0</v>
      </c>
      <c r="Y41" s="25">
        <f>'TUSD BE'!$Y$41*'TUSD BF'!$Y$93</f>
        <v>0</v>
      </c>
      <c r="Z41" s="25">
        <f>'TUSD BE'!$Z$41*'TUSD BF'!$Z$93</f>
        <v>0</v>
      </c>
      <c r="AA41" s="25">
        <f>'TUSD BE'!$AA$41*'TUSD BF'!$AA$93</f>
        <v>0</v>
      </c>
      <c r="AB41" s="25">
        <f>SUM($U$41:$AA$41)</f>
        <v>0</v>
      </c>
      <c r="AC41" s="25">
        <f>'TUSD BE'!$AC$41*'TUSD BF'!$AC$93</f>
        <v>0</v>
      </c>
      <c r="AD41" s="25">
        <f>SUM($AC$41:$AC$41)</f>
        <v>0</v>
      </c>
      <c r="AE41" s="25">
        <f ca="1">$AO$41*$AO$90</f>
        <v>0</v>
      </c>
      <c r="AF41" s="25">
        <f ca="1">$AP$41*$AP$90</f>
        <v>0</v>
      </c>
      <c r="AG41" s="25">
        <f ca="1">SUM($AE$41:$AF$41)</f>
        <v>0</v>
      </c>
      <c r="AH41" s="25">
        <f>'TUSD BE'!$AH$41*'TUSD BF'!$AH$93</f>
        <v>2.2117959582820563</v>
      </c>
      <c r="AI41" s="25">
        <f>'TUSD BE'!$AI$41*'TUSD BF'!$AI$93</f>
        <v>8.3137750607892996E-2</v>
      </c>
      <c r="AJ41" s="25">
        <f ca="1">'TUSD BE'!$AJ$41*'TUSD BF'!$AJ$93</f>
        <v>1.1935093256391522</v>
      </c>
      <c r="AK41" s="25">
        <f ca="1">'TUSD BE'!$AK$41*'TUSD BF'!$AK$93</f>
        <v>0</v>
      </c>
      <c r="AL41" s="25">
        <f ca="1">SUM($AH$41:$AK$41)</f>
        <v>3.4884430345291015</v>
      </c>
      <c r="AM41" s="25">
        <f ca="1">SUMIF($L$4:$AL$4,"SUBTOTAL",$L$41:$AL$41)</f>
        <v>9.3729043509578904</v>
      </c>
      <c r="AO41" s="30">
        <f ca="1">+'TUSD BE'!$T$41+'TUSD BE'!$AB$41+'TUSD BE'!$AD$41+'TUSD BE'!$AL$41</f>
        <v>112.44818170816946</v>
      </c>
      <c r="AP41" s="30">
        <f ca="1">+'TUSD BE'!$T$41+'TUSD BE'!$AB$41+'TUSD BE'!$AD$41+'TUSD BE'!$AL$41</f>
        <v>112.44818170816946</v>
      </c>
    </row>
    <row r="42" spans="1:42" ht="11.25" customHeight="1" x14ac:dyDescent="0.25">
      <c r="A42" s="119"/>
      <c r="B42" s="119"/>
      <c r="C42" s="119"/>
      <c r="D42" s="119"/>
      <c r="E42" s="28" t="s">
        <v>61</v>
      </c>
      <c r="F42" s="28" t="s">
        <v>25</v>
      </c>
      <c r="G42" s="21" t="s">
        <v>94</v>
      </c>
      <c r="H42" s="21" t="s">
        <v>88</v>
      </c>
      <c r="I42" s="21">
        <f>'MERCADO TUSD'!$U$39</f>
        <v>0</v>
      </c>
      <c r="J42" s="17"/>
      <c r="L42" s="25">
        <f>'TUSD BE'!$L$42*'TUSD BF'!$L$93</f>
        <v>0</v>
      </c>
      <c r="M42" s="25">
        <f>'TUSD BE'!$M$42*'TUSD BF'!$M$93</f>
        <v>0</v>
      </c>
      <c r="N42" s="25">
        <f ca="1">'TUSD BE'!$N$42*'TUSD BF'!$N$93</f>
        <v>0</v>
      </c>
      <c r="O42" s="25">
        <f>'TUSD BE'!$O$42*'TUSD BF'!$O$93</f>
        <v>0</v>
      </c>
      <c r="P42" s="25">
        <f>'TUSD BE'!$P$42*'TUSD BF'!$P$93</f>
        <v>0</v>
      </c>
      <c r="Q42" s="25">
        <f>'TUSD BE'!$Q$42*'TUSD BF'!$Q$93</f>
        <v>0</v>
      </c>
      <c r="R42" s="25">
        <f>'TUSD BE'!$R$42*'TUSD BF'!$R$93</f>
        <v>0</v>
      </c>
      <c r="S42" s="25">
        <f>'TUSD BE'!$R$42*'TUSD BF'!$S$93</f>
        <v>0</v>
      </c>
      <c r="T42" s="25">
        <f ca="1">SUM($L$42:$S$42)</f>
        <v>0</v>
      </c>
      <c r="U42" s="25">
        <f>'TUSD BE'!$U$42*'TUSD BF'!$U$93</f>
        <v>0</v>
      </c>
      <c r="V42" s="25">
        <f>'TUSD BE'!$V$42*'TUSD BF'!$V$93</f>
        <v>0</v>
      </c>
      <c r="W42" s="25">
        <f>'TUSD BE'!$W$42*'TUSD BF'!$W$93</f>
        <v>0</v>
      </c>
      <c r="X42" s="25">
        <f>'TUSD BE'!$X$42*'TUSD BF'!$X$93</f>
        <v>0</v>
      </c>
      <c r="Y42" s="25">
        <f>'TUSD BE'!$Y$42*'TUSD BF'!$Y$93</f>
        <v>0</v>
      </c>
      <c r="Z42" s="25">
        <f>'TUSD BE'!$Z$42*'TUSD BF'!$Z$93</f>
        <v>0</v>
      </c>
      <c r="AA42" s="25">
        <f>'TUSD BE'!$AA$42*'TUSD BF'!$AA$93</f>
        <v>0</v>
      </c>
      <c r="AB42" s="25">
        <f>SUM($U$42:$AA$42)</f>
        <v>0</v>
      </c>
      <c r="AC42" s="25">
        <f>'TUSD BE'!$AC$42*'TUSD BF'!$AC$93</f>
        <v>0</v>
      </c>
      <c r="AD42" s="25">
        <f>SUM($AC$42:$AC$42)</f>
        <v>0</v>
      </c>
      <c r="AE42" s="25">
        <f ca="1">$AO$42*$AO$90</f>
        <v>0</v>
      </c>
      <c r="AF42" s="25">
        <f ca="1">$AP$42*$AP$90</f>
        <v>0</v>
      </c>
      <c r="AG42" s="25">
        <f ca="1">SUM($AE$42:$AF$42)</f>
        <v>0</v>
      </c>
      <c r="AH42" s="25">
        <f>'TUSD BE'!$AH$42*'TUSD BF'!$AH$93</f>
        <v>2.2117959582820563</v>
      </c>
      <c r="AI42" s="25">
        <f>'TUSD BE'!$AI$42*'TUSD BF'!$AI$93</f>
        <v>8.3137750607892996E-2</v>
      </c>
      <c r="AJ42" s="25">
        <f ca="1">'TUSD BE'!$AJ$42*'TUSD BF'!$AJ$93</f>
        <v>1.1935093256391522</v>
      </c>
      <c r="AK42" s="25">
        <f ca="1">'TUSD BE'!$AK$42*'TUSD BF'!$AK$93</f>
        <v>0</v>
      </c>
      <c r="AL42" s="25">
        <f ca="1">SUM($AH$42:$AK$42)</f>
        <v>3.4884430345291015</v>
      </c>
      <c r="AM42" s="25">
        <f ca="1">SUMIF($L$4:$AL$4,"SUBTOTAL",$L$42:$AL$42)</f>
        <v>3.4884430345291015</v>
      </c>
      <c r="AO42" s="30">
        <f ca="1">+'TUSD BE'!$T$42+'TUSD BE'!$AB$42+'TUSD BE'!$AD$42+'TUSD BE'!$AL$42</f>
        <v>42.966174863662893</v>
      </c>
      <c r="AP42" s="30">
        <f ca="1">+'TUSD BE'!$T$42+'TUSD BE'!$AB$42+'TUSD BE'!$AD$42+'TUSD BE'!$AL$42</f>
        <v>42.966174863662893</v>
      </c>
    </row>
    <row r="43" spans="1:42" ht="11.25" customHeight="1" x14ac:dyDescent="0.25">
      <c r="A43" s="119"/>
      <c r="B43" s="119" t="s">
        <v>34</v>
      </c>
      <c r="C43" s="119" t="s">
        <v>25</v>
      </c>
      <c r="D43" s="119" t="s">
        <v>25</v>
      </c>
      <c r="E43" s="119" t="s">
        <v>25</v>
      </c>
      <c r="F43" s="119" t="s">
        <v>25</v>
      </c>
      <c r="G43" s="21" t="s">
        <v>9</v>
      </c>
      <c r="H43" s="21" t="s">
        <v>91</v>
      </c>
      <c r="I43" s="21">
        <f>'MERCADO TUSD'!$U$40</f>
        <v>1299737</v>
      </c>
      <c r="J43" s="17"/>
      <c r="L43" s="25">
        <f>'TUSD BE'!$L$43*'TUSD BF'!$L$93</f>
        <v>0</v>
      </c>
      <c r="M43" s="25">
        <f>'TUSD BE'!$M$43*'TUSD BF'!$M$93</f>
        <v>0</v>
      </c>
      <c r="N43" s="25">
        <f ca="1">'TUSD BE'!$N$43*'TUSD BF'!$N$93</f>
        <v>0</v>
      </c>
      <c r="O43" s="25">
        <f>'TUSD BE'!$O$43*'TUSD BF'!$O$93</f>
        <v>0</v>
      </c>
      <c r="P43" s="25">
        <f>'TUSD BE'!$P$43*'TUSD BF'!$P$93</f>
        <v>0</v>
      </c>
      <c r="Q43" s="25">
        <f>'TUSD BE'!$Q$43*'TUSD BF'!$Q$93</f>
        <v>0</v>
      </c>
      <c r="R43" s="25">
        <f>'TUSD BE'!$R$43*'TUSD BF'!$R$93</f>
        <v>0</v>
      </c>
      <c r="S43" s="25">
        <f>'TUSD BE'!$R$43*'TUSD BF'!$S$93</f>
        <v>0</v>
      </c>
      <c r="T43" s="25">
        <f ca="1">SUM($L$43:$S$43)</f>
        <v>0</v>
      </c>
      <c r="U43" s="25">
        <f>'TUSD BE'!$U$43*'TUSD BF'!$U$93</f>
        <v>0.34217284812594351</v>
      </c>
      <c r="V43" s="25">
        <f>'TUSD BE'!$V$43*'TUSD BF'!$V$93</f>
        <v>8.8143709132101122E-2</v>
      </c>
      <c r="W43" s="25">
        <f>'TUSD BE'!$W$43*'TUSD BF'!$W$93</f>
        <v>0</v>
      </c>
      <c r="X43" s="25">
        <f>'TUSD BE'!$X$43*'TUSD BF'!$X$93</f>
        <v>0</v>
      </c>
      <c r="Y43" s="25">
        <f>'TUSD BE'!$Y$43*'TUSD BF'!$Y$93</f>
        <v>0</v>
      </c>
      <c r="Z43" s="25">
        <f>'TUSD BE'!$Z$43*'TUSD BF'!$Z$93</f>
        <v>0</v>
      </c>
      <c r="AA43" s="25">
        <f>'TUSD BE'!$AA$43*'TUSD BF'!$AA$93</f>
        <v>0</v>
      </c>
      <c r="AB43" s="25">
        <f>SUM($U$43:$AA$43)</f>
        <v>0.43031655725804463</v>
      </c>
      <c r="AC43" s="25">
        <f>'TUSD BE'!$AC$43*'TUSD BF'!$AC$93</f>
        <v>0</v>
      </c>
      <c r="AD43" s="25">
        <f>SUM($AC$43:$AC$43)</f>
        <v>0</v>
      </c>
      <c r="AE43" s="25">
        <f ca="1">$AO$43*$AO$90</f>
        <v>0</v>
      </c>
      <c r="AF43" s="25">
        <f ca="1">$AP$43*$AP$90</f>
        <v>0</v>
      </c>
      <c r="AG43" s="25">
        <f ca="1">SUM($AE$43:$AF$43)</f>
        <v>0</v>
      </c>
      <c r="AH43" s="25">
        <f>'TUSD BE'!$AH$43*'TUSD BF'!$AH$93</f>
        <v>0</v>
      </c>
      <c r="AI43" s="25">
        <f>'TUSD BE'!$AI$43*'TUSD BF'!$AI$93</f>
        <v>0</v>
      </c>
      <c r="AJ43" s="25">
        <f ca="1">'TUSD BE'!$AJ$43*'TUSD BF'!$AJ$93</f>
        <v>0</v>
      </c>
      <c r="AK43" s="25">
        <f ca="1">'TUSD BE'!$AK$43*'TUSD BF'!$AK$93</f>
        <v>0</v>
      </c>
      <c r="AL43" s="25">
        <f ca="1">SUM($AH$43:$AK$43)</f>
        <v>0</v>
      </c>
      <c r="AM43" s="25">
        <f ca="1">SUMIF($L$4:$AL$4,"SUBTOTAL",$L$43:$AL$43)</f>
        <v>0.43031655725804463</v>
      </c>
      <c r="AO43" s="30">
        <f ca="1">+'TUSD BE'!$T$43+'TUSD BE'!$AB$43+'TUSD BE'!$AD$43+'TUSD BE'!$AL$43</f>
        <v>15.52342156250884</v>
      </c>
      <c r="AP43" s="30">
        <f ca="1">+'TUSD BE'!$T$43+'TUSD BE'!$AB$43+'TUSD BE'!$AD$43+'TUSD BE'!$AL$43</f>
        <v>15.52342156250884</v>
      </c>
    </row>
    <row r="44" spans="1:42" ht="11.25" customHeight="1" x14ac:dyDescent="0.25">
      <c r="A44" s="119"/>
      <c r="B44" s="119"/>
      <c r="C44" s="119"/>
      <c r="D44" s="119"/>
      <c r="E44" s="119"/>
      <c r="F44" s="119"/>
      <c r="G44" s="21" t="s">
        <v>89</v>
      </c>
      <c r="H44" s="21" t="s">
        <v>88</v>
      </c>
      <c r="I44" s="21">
        <f>'MERCADO TUSD'!$U$41</f>
        <v>23575.552999999993</v>
      </c>
      <c r="J44" s="17"/>
      <c r="L44" s="25">
        <f>'TUSD BE'!$L$44*'TUSD BF'!$L$93</f>
        <v>0</v>
      </c>
      <c r="M44" s="25">
        <f>'TUSD BE'!$M$44*'TUSD BF'!$M$93</f>
        <v>0</v>
      </c>
      <c r="N44" s="25">
        <f ca="1">'TUSD BE'!$N$44*'TUSD BF'!$N$93</f>
        <v>0</v>
      </c>
      <c r="O44" s="25">
        <f>'TUSD BE'!$O$44*'TUSD BF'!$O$93</f>
        <v>0</v>
      </c>
      <c r="P44" s="25">
        <f>'TUSD BE'!$P$44*'TUSD BF'!$P$93</f>
        <v>0</v>
      </c>
      <c r="Q44" s="25">
        <f>'TUSD BE'!$Q$44*'TUSD BF'!$Q$93</f>
        <v>6.8766148341030773</v>
      </c>
      <c r="R44" s="25">
        <f>'TUSD BE'!$R$44*'TUSD BF'!$R$93</f>
        <v>-0.99215351767428861</v>
      </c>
      <c r="S44" s="25">
        <f>'TUSD BE'!$R$44*'TUSD BF'!$S$93</f>
        <v>0</v>
      </c>
      <c r="T44" s="25">
        <f ca="1">SUM($L$44:$S$44)</f>
        <v>5.8844613164287889</v>
      </c>
      <c r="U44" s="25">
        <f>'TUSD BE'!$U$44*'TUSD BF'!$U$93</f>
        <v>9.697656428902178</v>
      </c>
      <c r="V44" s="25">
        <f>'TUSD BE'!$V$44*'TUSD BF'!$V$93</f>
        <v>2.4361193299429647</v>
      </c>
      <c r="W44" s="25">
        <f>'TUSD BE'!$W$44*'TUSD BF'!$W$93</f>
        <v>0</v>
      </c>
      <c r="X44" s="25">
        <f>'TUSD BE'!$X$44*'TUSD BF'!$X$93</f>
        <v>0</v>
      </c>
      <c r="Y44" s="25">
        <f>'TUSD BE'!$Y$44*'TUSD BF'!$Y$93</f>
        <v>0</v>
      </c>
      <c r="Z44" s="25">
        <f>'TUSD BE'!$Z$44*'TUSD BF'!$Z$93</f>
        <v>0</v>
      </c>
      <c r="AA44" s="25">
        <f>'TUSD BE'!$AA$44*'TUSD BF'!$AA$93</f>
        <v>0</v>
      </c>
      <c r="AB44" s="25">
        <f>SUM($U$44:$AA$44)</f>
        <v>12.133775758845143</v>
      </c>
      <c r="AC44" s="25">
        <f>'TUSD BE'!$AC$44*'TUSD BF'!$AC$93</f>
        <v>0</v>
      </c>
      <c r="AD44" s="25">
        <f>SUM($AC$44:$AC$44)</f>
        <v>0</v>
      </c>
      <c r="AE44" s="25">
        <f ca="1">$AO$44*$AO$90</f>
        <v>0</v>
      </c>
      <c r="AF44" s="25">
        <f ca="1">$AP$44*$AP$90</f>
        <v>0</v>
      </c>
      <c r="AG44" s="25">
        <f ca="1">SUM($AE$44:$AF$44)</f>
        <v>0</v>
      </c>
      <c r="AH44" s="25">
        <f>'TUSD BE'!$AH$44*'TUSD BF'!$AH$93</f>
        <v>2.2117959582820563</v>
      </c>
      <c r="AI44" s="25">
        <f>'TUSD BE'!$AI$44*'TUSD BF'!$AI$93</f>
        <v>8.3137750607892996E-2</v>
      </c>
      <c r="AJ44" s="25">
        <f ca="1">'TUSD BE'!$AJ$44*'TUSD BF'!$AJ$93</f>
        <v>1.1935093256391522</v>
      </c>
      <c r="AK44" s="25">
        <f ca="1">'TUSD BE'!$AK$44*'TUSD BF'!$AK$93</f>
        <v>0</v>
      </c>
      <c r="AL44" s="25">
        <f ca="1">SUM($AH$44:$AK$44)</f>
        <v>3.4884430345291015</v>
      </c>
      <c r="AM44" s="25">
        <f ca="1">SUMIF($L$4:$AL$4,"SUBTOTAL",$L$44:$AL$44)</f>
        <v>21.506680109803032</v>
      </c>
      <c r="AO44" s="30">
        <f ca="1">+'TUSD BE'!$T$44+'TUSD BE'!$AB$44+'TUSD BE'!$AD$44+'TUSD BE'!$AL$44</f>
        <v>1291.6245233210925</v>
      </c>
      <c r="AP44" s="30">
        <f ca="1">+'TUSD BE'!$T$44+'TUSD BE'!$AB$44+'TUSD BE'!$AD$44+'TUSD BE'!$AL$44</f>
        <v>1291.6245233210925</v>
      </c>
    </row>
    <row r="45" spans="1:42" ht="11.25" customHeight="1" x14ac:dyDescent="0.25">
      <c r="A45" s="119"/>
      <c r="B45" s="119"/>
      <c r="C45" s="119"/>
      <c r="D45" s="119"/>
      <c r="E45" s="119"/>
      <c r="F45" s="119"/>
      <c r="G45" s="21" t="s">
        <v>90</v>
      </c>
      <c r="H45" s="21" t="s">
        <v>88</v>
      </c>
      <c r="I45" s="21">
        <f>'MERCADO TUSD'!$U$42</f>
        <v>231444.989</v>
      </c>
      <c r="J45" s="17"/>
      <c r="L45" s="25">
        <f>'TUSD BE'!$L$45*'TUSD BF'!$L$93</f>
        <v>0</v>
      </c>
      <c r="M45" s="25">
        <f>'TUSD BE'!$M$45*'TUSD BF'!$M$93</f>
        <v>0</v>
      </c>
      <c r="N45" s="25">
        <f ca="1">'TUSD BE'!$N$45*'TUSD BF'!$N$93</f>
        <v>0</v>
      </c>
      <c r="O45" s="25">
        <f>'TUSD BE'!$O$45*'TUSD BF'!$O$93</f>
        <v>0</v>
      </c>
      <c r="P45" s="25">
        <f>'TUSD BE'!$P$45*'TUSD BF'!$P$93</f>
        <v>0</v>
      </c>
      <c r="Q45" s="25">
        <f>'TUSD BE'!$Q$45*'TUSD BF'!$Q$93</f>
        <v>6.8766148341030773</v>
      </c>
      <c r="R45" s="25">
        <f>'TUSD BE'!$R$45*'TUSD BF'!$R$93</f>
        <v>-0.99215351767428861</v>
      </c>
      <c r="S45" s="25">
        <f>'TUSD BE'!$R$45*'TUSD BF'!$S$93</f>
        <v>0</v>
      </c>
      <c r="T45" s="25">
        <f ca="1">SUM($L$45:$S$45)</f>
        <v>5.8844613164287889</v>
      </c>
      <c r="U45" s="25">
        <f>'TUSD BE'!$U$45*'TUSD BF'!$U$93</f>
        <v>0</v>
      </c>
      <c r="V45" s="25">
        <f>'TUSD BE'!$V$45*'TUSD BF'!$V$93</f>
        <v>0</v>
      </c>
      <c r="W45" s="25">
        <f>'TUSD BE'!$W$45*'TUSD BF'!$W$93</f>
        <v>0</v>
      </c>
      <c r="X45" s="25">
        <f>'TUSD BE'!$X$45*'TUSD BF'!$X$93</f>
        <v>0</v>
      </c>
      <c r="Y45" s="25">
        <f>'TUSD BE'!$Y$45*'TUSD BF'!$Y$93</f>
        <v>0</v>
      </c>
      <c r="Z45" s="25">
        <f>'TUSD BE'!$Z$45*'TUSD BF'!$Z$93</f>
        <v>0</v>
      </c>
      <c r="AA45" s="25">
        <f>'TUSD BE'!$AA$45*'TUSD BF'!$AA$93</f>
        <v>0</v>
      </c>
      <c r="AB45" s="25">
        <f>SUM($U$45:$AA$45)</f>
        <v>0</v>
      </c>
      <c r="AC45" s="25">
        <f>'TUSD BE'!$AC$45*'TUSD BF'!$AC$93</f>
        <v>0</v>
      </c>
      <c r="AD45" s="25">
        <f>SUM($AC$45:$AC$45)</f>
        <v>0</v>
      </c>
      <c r="AE45" s="25">
        <f ca="1">$AO$45*$AO$90</f>
        <v>0</v>
      </c>
      <c r="AF45" s="25">
        <f ca="1">$AP$45*$AP$90</f>
        <v>0</v>
      </c>
      <c r="AG45" s="25">
        <f ca="1">SUM($AE$45:$AF$45)</f>
        <v>0</v>
      </c>
      <c r="AH45" s="25">
        <f>'TUSD BE'!$AH$45*'TUSD BF'!$AH$93</f>
        <v>2.2117959582820563</v>
      </c>
      <c r="AI45" s="25">
        <f>'TUSD BE'!$AI$45*'TUSD BF'!$AI$93</f>
        <v>8.3137750607892996E-2</v>
      </c>
      <c r="AJ45" s="25">
        <f ca="1">'TUSD BE'!$AJ$45*'TUSD BF'!$AJ$93</f>
        <v>1.1935093256391522</v>
      </c>
      <c r="AK45" s="25">
        <f ca="1">'TUSD BE'!$AK$45*'TUSD BF'!$AK$93</f>
        <v>0</v>
      </c>
      <c r="AL45" s="25">
        <f ca="1">SUM($AH$45:$AK$45)</f>
        <v>3.4884430345291015</v>
      </c>
      <c r="AM45" s="25">
        <f ca="1">SUMIF($L$4:$AL$4,"SUBTOTAL",$L$45:$AL$45)</f>
        <v>9.3729043509578904</v>
      </c>
      <c r="AO45" s="30">
        <f ca="1">+'TUSD BE'!$T$45+'TUSD BE'!$AB$45+'TUSD BE'!$AD$45+'TUSD BE'!$AL$45</f>
        <v>112.44818170816946</v>
      </c>
      <c r="AP45" s="30">
        <f ca="1">+'TUSD BE'!$T$45+'TUSD BE'!$AB$45+'TUSD BE'!$AD$45+'TUSD BE'!$AL$45</f>
        <v>112.44818170816946</v>
      </c>
    </row>
    <row r="46" spans="1:42" ht="11.25" customHeight="1" x14ac:dyDescent="0.25">
      <c r="A46" s="119"/>
      <c r="B46" s="119"/>
      <c r="C46" s="119"/>
      <c r="D46" s="119"/>
      <c r="E46" s="119" t="s">
        <v>61</v>
      </c>
      <c r="F46" s="119" t="s">
        <v>25</v>
      </c>
      <c r="G46" s="21" t="s">
        <v>89</v>
      </c>
      <c r="H46" s="21" t="s">
        <v>88</v>
      </c>
      <c r="I46" s="21">
        <f>'MERCADO TUSD'!$U$43</f>
        <v>0</v>
      </c>
      <c r="J46" s="17"/>
      <c r="L46" s="25">
        <f>'TUSD BE'!$L$46*'TUSD BF'!$L$93</f>
        <v>0</v>
      </c>
      <c r="M46" s="25">
        <f>'TUSD BE'!$M$46*'TUSD BF'!$M$93</f>
        <v>0</v>
      </c>
      <c r="N46" s="25">
        <f ca="1">'TUSD BE'!$N$46*'TUSD BF'!$N$93</f>
        <v>0</v>
      </c>
      <c r="O46" s="25">
        <f>'TUSD BE'!$O$46*'TUSD BF'!$O$93</f>
        <v>0</v>
      </c>
      <c r="P46" s="25">
        <f>'TUSD BE'!$P$46*'TUSD BF'!$P$93</f>
        <v>0</v>
      </c>
      <c r="Q46" s="25">
        <f>'TUSD BE'!$Q$46*'TUSD BF'!$Q$93</f>
        <v>0</v>
      </c>
      <c r="R46" s="25">
        <f>'TUSD BE'!$R$46*'TUSD BF'!$R$93</f>
        <v>0</v>
      </c>
      <c r="S46" s="25">
        <f>'TUSD BE'!$R$46*'TUSD BF'!$S$93</f>
        <v>0</v>
      </c>
      <c r="T46" s="25">
        <f ca="1">SUM($L$46:$S$46)</f>
        <v>0</v>
      </c>
      <c r="U46" s="25">
        <f>'TUSD BE'!$U$46*'TUSD BF'!$U$93</f>
        <v>9.697656428902178</v>
      </c>
      <c r="V46" s="25">
        <f>'TUSD BE'!$V$46*'TUSD BF'!$V$93</f>
        <v>2.4361193299429647</v>
      </c>
      <c r="W46" s="25">
        <f>'TUSD BE'!$W$46*'TUSD BF'!$W$93</f>
        <v>0</v>
      </c>
      <c r="X46" s="25">
        <f>'TUSD BE'!$X$46*'TUSD BF'!$X$93</f>
        <v>0</v>
      </c>
      <c r="Y46" s="25">
        <f>'TUSD BE'!$Y$46*'TUSD BF'!$Y$93</f>
        <v>0</v>
      </c>
      <c r="Z46" s="25">
        <f>'TUSD BE'!$Z$46*'TUSD BF'!$Z$93</f>
        <v>0</v>
      </c>
      <c r="AA46" s="25">
        <f>'TUSD BE'!$AA$46*'TUSD BF'!$AA$93</f>
        <v>0</v>
      </c>
      <c r="AB46" s="25">
        <f>SUM($U$46:$AA$46)</f>
        <v>12.133775758845143</v>
      </c>
      <c r="AC46" s="25">
        <f>'TUSD BE'!$AC$46*'TUSD BF'!$AC$93</f>
        <v>0</v>
      </c>
      <c r="AD46" s="25">
        <f>SUM($AC$46:$AC$46)</f>
        <v>0</v>
      </c>
      <c r="AE46" s="25">
        <f ca="1">$AO$46*$AO$90</f>
        <v>0</v>
      </c>
      <c r="AF46" s="25">
        <f ca="1">$AP$46*$AP$90</f>
        <v>0</v>
      </c>
      <c r="AG46" s="25">
        <f ca="1">SUM($AE$46:$AF$46)</f>
        <v>0</v>
      </c>
      <c r="AH46" s="25">
        <f>'TUSD BE'!$AH$46*'TUSD BF'!$AH$93</f>
        <v>2.2117959582820563</v>
      </c>
      <c r="AI46" s="25">
        <f>'TUSD BE'!$AI$46*'TUSD BF'!$AI$93</f>
        <v>8.3137750607892996E-2</v>
      </c>
      <c r="AJ46" s="25">
        <f ca="1">'TUSD BE'!$AJ$46*'TUSD BF'!$AJ$93</f>
        <v>1.1935093256391522</v>
      </c>
      <c r="AK46" s="25">
        <f ca="1">'TUSD BE'!$AK$46*'TUSD BF'!$AK$93</f>
        <v>0</v>
      </c>
      <c r="AL46" s="25">
        <f ca="1">SUM($AH$46:$AK$46)</f>
        <v>3.4884430345291015</v>
      </c>
      <c r="AM46" s="25">
        <f ca="1">SUMIF($L$4:$AL$4,"SUBTOTAL",$L$46:$AL$46)</f>
        <v>15.622218793374245</v>
      </c>
      <c r="AO46" s="30">
        <f ca="1">+'TUSD BE'!$T$46+'TUSD BE'!$AB$46+'TUSD BE'!$AD$46+'TUSD BE'!$AL$46</f>
        <v>1222.142516476586</v>
      </c>
      <c r="AP46" s="30">
        <f ca="1">+'TUSD BE'!$T$46+'TUSD BE'!$AB$46+'TUSD BE'!$AD$46+'TUSD BE'!$AL$46</f>
        <v>1222.142516476586</v>
      </c>
    </row>
    <row r="47" spans="1:42" ht="11.25" customHeight="1" x14ac:dyDescent="0.25">
      <c r="A47" s="119"/>
      <c r="B47" s="119"/>
      <c r="C47" s="119"/>
      <c r="D47" s="119"/>
      <c r="E47" s="119"/>
      <c r="F47" s="119"/>
      <c r="G47" s="21" t="s">
        <v>90</v>
      </c>
      <c r="H47" s="21" t="s">
        <v>88</v>
      </c>
      <c r="I47" s="21">
        <f>'MERCADO TUSD'!$U$44</f>
        <v>0</v>
      </c>
      <c r="J47" s="17"/>
      <c r="L47" s="25">
        <f>'TUSD BE'!$L$47*'TUSD BF'!$L$93</f>
        <v>0</v>
      </c>
      <c r="M47" s="25">
        <f>'TUSD BE'!$M$47*'TUSD BF'!$M$93</f>
        <v>0</v>
      </c>
      <c r="N47" s="25">
        <f ca="1">'TUSD BE'!$N$47*'TUSD BF'!$N$93</f>
        <v>0</v>
      </c>
      <c r="O47" s="25">
        <f>'TUSD BE'!$O$47*'TUSD BF'!$O$93</f>
        <v>0</v>
      </c>
      <c r="P47" s="25">
        <f>'TUSD BE'!$P$47*'TUSD BF'!$P$93</f>
        <v>0</v>
      </c>
      <c r="Q47" s="25">
        <f>'TUSD BE'!$Q$47*'TUSD BF'!$Q$93</f>
        <v>0</v>
      </c>
      <c r="R47" s="25">
        <f>'TUSD BE'!$R$47*'TUSD BF'!$R$93</f>
        <v>0</v>
      </c>
      <c r="S47" s="25">
        <f>'TUSD BE'!$R$47*'TUSD BF'!$S$93</f>
        <v>0</v>
      </c>
      <c r="T47" s="25">
        <f ca="1">SUM($L$47:$S$47)</f>
        <v>0</v>
      </c>
      <c r="U47" s="25">
        <f>'TUSD BE'!$U$47*'TUSD BF'!$U$93</f>
        <v>0</v>
      </c>
      <c r="V47" s="25">
        <f>'TUSD BE'!$V$47*'TUSD BF'!$V$93</f>
        <v>0</v>
      </c>
      <c r="W47" s="25">
        <f>'TUSD BE'!$W$47*'TUSD BF'!$W$93</f>
        <v>0</v>
      </c>
      <c r="X47" s="25">
        <f>'TUSD BE'!$X$47*'TUSD BF'!$X$93</f>
        <v>0</v>
      </c>
      <c r="Y47" s="25">
        <f>'TUSD BE'!$Y$47*'TUSD BF'!$Y$93</f>
        <v>0</v>
      </c>
      <c r="Z47" s="25">
        <f>'TUSD BE'!$Z$47*'TUSD BF'!$Z$93</f>
        <v>0</v>
      </c>
      <c r="AA47" s="25">
        <f>'TUSD BE'!$AA$47*'TUSD BF'!$AA$93</f>
        <v>0</v>
      </c>
      <c r="AB47" s="25">
        <f>SUM($U$47:$AA$47)</f>
        <v>0</v>
      </c>
      <c r="AC47" s="25">
        <f>'TUSD BE'!$AC$47*'TUSD BF'!$AC$93</f>
        <v>0</v>
      </c>
      <c r="AD47" s="25">
        <f>SUM($AC$47:$AC$47)</f>
        <v>0</v>
      </c>
      <c r="AE47" s="25">
        <f ca="1">$AO$47*$AO$90</f>
        <v>0</v>
      </c>
      <c r="AF47" s="25">
        <f ca="1">$AP$47*$AP$90</f>
        <v>0</v>
      </c>
      <c r="AG47" s="25">
        <f ca="1">SUM($AE$47:$AF$47)</f>
        <v>0</v>
      </c>
      <c r="AH47" s="25">
        <f>'TUSD BE'!$AH$47*'TUSD BF'!$AH$93</f>
        <v>2.2117959582820563</v>
      </c>
      <c r="AI47" s="25">
        <f>'TUSD BE'!$AI$47*'TUSD BF'!$AI$93</f>
        <v>8.3137750607892996E-2</v>
      </c>
      <c r="AJ47" s="25">
        <f ca="1">'TUSD BE'!$AJ$47*'TUSD BF'!$AJ$93</f>
        <v>1.1935093256391522</v>
      </c>
      <c r="AK47" s="25">
        <f ca="1">'TUSD BE'!$AK$47*'TUSD BF'!$AK$93</f>
        <v>0</v>
      </c>
      <c r="AL47" s="25">
        <f ca="1">SUM($AH$47:$AK$47)</f>
        <v>3.4884430345291015</v>
      </c>
      <c r="AM47" s="25">
        <f ca="1">SUMIF($L$4:$AL$4,"SUBTOTAL",$L$47:$AL$47)</f>
        <v>3.4884430345291015</v>
      </c>
      <c r="AO47" s="30">
        <f ca="1">+'TUSD BE'!$T$47+'TUSD BE'!$AB$47+'TUSD BE'!$AD$47+'TUSD BE'!$AL$47</f>
        <v>42.966174863662893</v>
      </c>
      <c r="AP47" s="30">
        <f ca="1">+'TUSD BE'!$T$47+'TUSD BE'!$AB$47+'TUSD BE'!$AD$47+'TUSD BE'!$AL$47</f>
        <v>42.966174863662893</v>
      </c>
    </row>
    <row r="48" spans="1:42" ht="11.25" customHeight="1" x14ac:dyDescent="0.25">
      <c r="A48" s="119"/>
      <c r="B48" s="119" t="s">
        <v>23</v>
      </c>
      <c r="C48" s="119" t="s">
        <v>25</v>
      </c>
      <c r="D48" s="119" t="s">
        <v>25</v>
      </c>
      <c r="E48" s="119" t="s">
        <v>25</v>
      </c>
      <c r="F48" s="119" t="s">
        <v>25</v>
      </c>
      <c r="G48" s="21" t="s">
        <v>9</v>
      </c>
      <c r="H48" s="21" t="s">
        <v>91</v>
      </c>
      <c r="I48" s="21">
        <f>'MERCADO TUSD'!$U$45</f>
        <v>0</v>
      </c>
      <c r="J48" s="17"/>
      <c r="L48" s="25">
        <f>'TUSD BE'!$L$48*'TUSD BF'!$L$93</f>
        <v>0</v>
      </c>
      <c r="M48" s="25">
        <f>'TUSD BE'!$M$48*'TUSD BF'!$M$93</f>
        <v>0</v>
      </c>
      <c r="N48" s="25">
        <f ca="1">'TUSD BE'!$N$48*'TUSD BF'!$N$93</f>
        <v>0</v>
      </c>
      <c r="O48" s="25">
        <f>'TUSD BE'!$O$48*'TUSD BF'!$O$93</f>
        <v>0</v>
      </c>
      <c r="P48" s="25">
        <f>'TUSD BE'!$P$48*'TUSD BF'!$P$93</f>
        <v>0</v>
      </c>
      <c r="Q48" s="25">
        <f>'TUSD BE'!$Q$48*'TUSD BF'!$Q$93</f>
        <v>0</v>
      </c>
      <c r="R48" s="25">
        <f>'TUSD BE'!$R$48*'TUSD BF'!$R$93</f>
        <v>0</v>
      </c>
      <c r="S48" s="25">
        <f>'TUSD BE'!$R$48*'TUSD BF'!$S$93</f>
        <v>0</v>
      </c>
      <c r="T48" s="25">
        <f ca="1">SUM($L$48:$S$48)</f>
        <v>0</v>
      </c>
      <c r="U48" s="25">
        <f>'TUSD BE'!$U$48*'TUSD BF'!$U$93</f>
        <v>0.63248891706329846</v>
      </c>
      <c r="V48" s="25">
        <f>'TUSD BE'!$V$48*'TUSD BF'!$V$93</f>
        <v>0.16108597111166484</v>
      </c>
      <c r="W48" s="25">
        <f>'TUSD BE'!$W$48*'TUSD BF'!$W$93</f>
        <v>0</v>
      </c>
      <c r="X48" s="25">
        <f>'TUSD BE'!$X$48*'TUSD BF'!$X$93</f>
        <v>0</v>
      </c>
      <c r="Y48" s="25">
        <f>'TUSD BE'!$Y$48*'TUSD BF'!$Y$93</f>
        <v>0</v>
      </c>
      <c r="Z48" s="25">
        <f>'TUSD BE'!$Z$48*'TUSD BF'!$Z$93</f>
        <v>0</v>
      </c>
      <c r="AA48" s="25">
        <f>'TUSD BE'!$AA$48*'TUSD BF'!$AA$93</f>
        <v>0</v>
      </c>
      <c r="AB48" s="25">
        <f>SUM($U$48:$AA$48)</f>
        <v>0.79357488817496336</v>
      </c>
      <c r="AC48" s="25">
        <f>'TUSD BE'!$AC$48*'TUSD BF'!$AC$93</f>
        <v>0</v>
      </c>
      <c r="AD48" s="25">
        <f>SUM($AC$48:$AC$48)</f>
        <v>0</v>
      </c>
      <c r="AE48" s="25">
        <f ca="1">$AO$48*$AO$90</f>
        <v>0</v>
      </c>
      <c r="AF48" s="25">
        <f ca="1">$AP$48*$AP$90</f>
        <v>0</v>
      </c>
      <c r="AG48" s="25">
        <f ca="1">SUM($AE$48:$AF$48)</f>
        <v>0</v>
      </c>
      <c r="AH48" s="25">
        <f>'TUSD BE'!$AH$48*'TUSD BF'!$AH$93</f>
        <v>0</v>
      </c>
      <c r="AI48" s="25">
        <f>'TUSD BE'!$AI$48*'TUSD BF'!$AI$93</f>
        <v>0</v>
      </c>
      <c r="AJ48" s="25">
        <f ca="1">'TUSD BE'!$AJ$48*'TUSD BF'!$AJ$93</f>
        <v>0</v>
      </c>
      <c r="AK48" s="25">
        <f ca="1">'TUSD BE'!$AK$48*'TUSD BF'!$AK$93</f>
        <v>0</v>
      </c>
      <c r="AL48" s="25">
        <f ca="1">SUM($AH$48:$AK$48)</f>
        <v>0</v>
      </c>
      <c r="AM48" s="25">
        <f ca="1">SUMIF($L$4:$AL$4,"SUBTOTAL",$L$48:$AL$48)</f>
        <v>0.79357488817496336</v>
      </c>
      <c r="AO48" s="30">
        <f ca="1">+'TUSD BE'!$T$48+'TUSD BE'!$AB$48+'TUSD BE'!$AD$48+'TUSD BE'!$AL$48</f>
        <v>50.465986022452697</v>
      </c>
      <c r="AP48" s="30">
        <f ca="1">+'TUSD BE'!$T$48+'TUSD BE'!$AB$48+'TUSD BE'!$AD$48+'TUSD BE'!$AL$48</f>
        <v>50.465986022452697</v>
      </c>
    </row>
    <row r="49" spans="1:42" ht="11.25" customHeight="1" x14ac:dyDescent="0.25">
      <c r="A49" s="119"/>
      <c r="B49" s="119"/>
      <c r="C49" s="119"/>
      <c r="D49" s="119"/>
      <c r="E49" s="119"/>
      <c r="F49" s="119"/>
      <c r="G49" s="21" t="s">
        <v>94</v>
      </c>
      <c r="H49" s="21" t="s">
        <v>88</v>
      </c>
      <c r="I49" s="21">
        <f>'MERCADO TUSD'!$U$46</f>
        <v>0</v>
      </c>
      <c r="J49" s="17"/>
      <c r="L49" s="25">
        <f>'TUSD BE'!$L$49*'TUSD BF'!$L$93</f>
        <v>0</v>
      </c>
      <c r="M49" s="25">
        <f>'TUSD BE'!$M$49*'TUSD BF'!$M$93</f>
        <v>0</v>
      </c>
      <c r="N49" s="25">
        <f ca="1">'TUSD BE'!$N$49*'TUSD BF'!$N$93</f>
        <v>0</v>
      </c>
      <c r="O49" s="25">
        <f>'TUSD BE'!$O$49*'TUSD BF'!$O$93</f>
        <v>0</v>
      </c>
      <c r="P49" s="25">
        <f>'TUSD BE'!$P$49*'TUSD BF'!$P$93</f>
        <v>0</v>
      </c>
      <c r="Q49" s="25">
        <f>'TUSD BE'!$Q$49*'TUSD BF'!$Q$93</f>
        <v>6.8766148341030773</v>
      </c>
      <c r="R49" s="25">
        <f>'TUSD BE'!$R$49*'TUSD BF'!$R$93</f>
        <v>-0.99215351767428861</v>
      </c>
      <c r="S49" s="25">
        <f>'TUSD BE'!$R$49*'TUSD BF'!$S$93</f>
        <v>0</v>
      </c>
      <c r="T49" s="25">
        <f ca="1">SUM($L$49:$S$49)</f>
        <v>5.8844613164287889</v>
      </c>
      <c r="U49" s="25">
        <f>'TUSD BE'!$U$49*'TUSD BF'!$U$93</f>
        <v>0</v>
      </c>
      <c r="V49" s="25">
        <f>'TUSD BE'!$V$49*'TUSD BF'!$V$93</f>
        <v>0</v>
      </c>
      <c r="W49" s="25">
        <f>'TUSD BE'!$W$49*'TUSD BF'!$W$93</f>
        <v>0</v>
      </c>
      <c r="X49" s="25">
        <f>'TUSD BE'!$X$49*'TUSD BF'!$X$93</f>
        <v>0</v>
      </c>
      <c r="Y49" s="25">
        <f>'TUSD BE'!$Y$49*'TUSD BF'!$Y$93</f>
        <v>0</v>
      </c>
      <c r="Z49" s="25">
        <f>'TUSD BE'!$Z$49*'TUSD BF'!$Z$93</f>
        <v>0</v>
      </c>
      <c r="AA49" s="25">
        <f>'TUSD BE'!$AA$49*'TUSD BF'!$AA$93</f>
        <v>0</v>
      </c>
      <c r="AB49" s="25">
        <f>SUM($U$49:$AA$49)</f>
        <v>0</v>
      </c>
      <c r="AC49" s="25">
        <f>'TUSD BE'!$AC$49*'TUSD BF'!$AC$93</f>
        <v>0</v>
      </c>
      <c r="AD49" s="25">
        <f>SUM($AC$49:$AC$49)</f>
        <v>0</v>
      </c>
      <c r="AE49" s="25">
        <f ca="1">$AO$49*$AO$90</f>
        <v>0</v>
      </c>
      <c r="AF49" s="25">
        <f ca="1">$AP$49*$AP$90</f>
        <v>0</v>
      </c>
      <c r="AG49" s="25">
        <f ca="1">SUM($AE$49:$AF$49)</f>
        <v>0</v>
      </c>
      <c r="AH49" s="25">
        <f>'TUSD BE'!$AH$49*'TUSD BF'!$AH$93</f>
        <v>2.2117959582820563</v>
      </c>
      <c r="AI49" s="25">
        <f>'TUSD BE'!$AI$49*'TUSD BF'!$AI$93</f>
        <v>8.3137750607892996E-2</v>
      </c>
      <c r="AJ49" s="25">
        <f ca="1">'TUSD BE'!$AJ$49*'TUSD BF'!$AJ$93</f>
        <v>1.1935093256391522</v>
      </c>
      <c r="AK49" s="25">
        <f ca="1">'TUSD BE'!$AK$49*'TUSD BF'!$AK$93</f>
        <v>0</v>
      </c>
      <c r="AL49" s="25">
        <f ca="1">SUM($AH$49:$AK$49)</f>
        <v>3.4884430345291015</v>
      </c>
      <c r="AM49" s="25">
        <f ca="1">SUMIF($L$4:$AL$4,"SUBTOTAL",$L$49:$AL$49)</f>
        <v>9.3729043509578904</v>
      </c>
      <c r="AO49" s="30">
        <f ca="1">+'TUSD BE'!$T$49+'TUSD BE'!$AB$49+'TUSD BE'!$AD$49+'TUSD BE'!$AL$49</f>
        <v>112.44818170816946</v>
      </c>
      <c r="AP49" s="30">
        <f ca="1">+'TUSD BE'!$T$49+'TUSD BE'!$AB$49+'TUSD BE'!$AD$49+'TUSD BE'!$AL$49</f>
        <v>112.44818170816946</v>
      </c>
    </row>
    <row r="50" spans="1:42" ht="11.25" customHeight="1" x14ac:dyDescent="0.25">
      <c r="A50" s="119" t="s">
        <v>97</v>
      </c>
      <c r="B50" s="119" t="s">
        <v>64</v>
      </c>
      <c r="C50" s="119" t="s">
        <v>25</v>
      </c>
      <c r="D50" s="119" t="s">
        <v>25</v>
      </c>
      <c r="E50" s="28" t="s">
        <v>98</v>
      </c>
      <c r="F50" s="28" t="s">
        <v>25</v>
      </c>
      <c r="G50" s="21" t="s">
        <v>9</v>
      </c>
      <c r="H50" s="21" t="s">
        <v>91</v>
      </c>
      <c r="I50" s="21">
        <f>'MERCADO TUSD'!$U$47+0.00000001</f>
        <v>1E-8</v>
      </c>
      <c r="J50" s="17"/>
      <c r="L50" s="25">
        <f>'TUSD BE'!$L$50*'TUSD BF'!$L$93</f>
        <v>0</v>
      </c>
      <c r="M50" s="25">
        <f>'TUSD BE'!$M$50*'TUSD BF'!$M$93</f>
        <v>0</v>
      </c>
      <c r="N50" s="25">
        <f ca="1">'TUSD BE'!$N$50*'TUSD BF'!$N$93</f>
        <v>0</v>
      </c>
      <c r="O50" s="25">
        <f>'TUSD BE'!$O$50*'TUSD BF'!$O$93</f>
        <v>0</v>
      </c>
      <c r="P50" s="25">
        <f>'TUSD BE'!$P$50*'TUSD BF'!$P$93</f>
        <v>0</v>
      </c>
      <c r="Q50" s="25">
        <f>'TUSD BE'!$Q$50*'TUSD BF'!$Q$93</f>
        <v>0</v>
      </c>
      <c r="R50" s="25">
        <f>'TUSD BE'!$R$50*'TUSD BF'!$R$93</f>
        <v>0</v>
      </c>
      <c r="S50" s="25">
        <f>'TUSD BE'!$R$50*'TUSD BF'!$S$93</f>
        <v>0</v>
      </c>
      <c r="T50" s="25">
        <f ca="1">SUM($L$50:$S$50)</f>
        <v>0</v>
      </c>
      <c r="U50" s="25">
        <f>'TUSD BE'!$U$50*'TUSD BF'!$U$93</f>
        <v>0</v>
      </c>
      <c r="V50" s="25">
        <f>'TUSD BE'!$V$50*'TUSD BF'!$V$93</f>
        <v>0</v>
      </c>
      <c r="W50" s="25">
        <f>'TUSD BE'!$W$50*'TUSD BF'!$W$93</f>
        <v>0</v>
      </c>
      <c r="X50" s="25">
        <f>'TUSD BE'!$X$50*'TUSD BF'!$X$93</f>
        <v>0</v>
      </c>
      <c r="Y50" s="25">
        <f>'TUSD BE'!$Y$50*'TUSD BF'!$Y$93</f>
        <v>0</v>
      </c>
      <c r="Z50" s="25">
        <f>'TUSD BE'!$Z$50*'TUSD BF'!$Z$93</f>
        <v>0</v>
      </c>
      <c r="AA50" s="25">
        <f>'TUSD BE'!$AA$50*'TUSD BF'!$AA$93</f>
        <v>0</v>
      </c>
      <c r="AB50" s="25">
        <f>SUM($U$50:$AA$50)</f>
        <v>0</v>
      </c>
      <c r="AC50" s="25">
        <f>'TUSD BE'!$AC$50*'TUSD BF'!$AC$93</f>
        <v>0</v>
      </c>
      <c r="AD50" s="25">
        <f>SUM($AC$50:$AC$50)</f>
        <v>0</v>
      </c>
      <c r="AE50" s="25">
        <f ca="1">$AO$50*$AO$90</f>
        <v>0</v>
      </c>
      <c r="AF50" s="25">
        <f ca="1">$AP$50*$AP$90</f>
        <v>0</v>
      </c>
      <c r="AG50" s="25">
        <f ca="1">SUM($AE$50:$AF$50)</f>
        <v>0</v>
      </c>
      <c r="AH50" s="25">
        <f>'TUSD BE'!$AH$50*'TUSD BF'!$AH$93</f>
        <v>0</v>
      </c>
      <c r="AI50" s="25">
        <f>'TUSD BE'!$AI$50*'TUSD BF'!$AI$93</f>
        <v>0</v>
      </c>
      <c r="AJ50" s="25">
        <f ca="1">'TUSD BE'!$AJ$50*'TUSD BF'!$AJ$93</f>
        <v>0</v>
      </c>
      <c r="AK50" s="25">
        <f ca="1">'TUSD BE'!$AK$50*'TUSD BF'!$AK$93</f>
        <v>0</v>
      </c>
      <c r="AL50" s="25">
        <f ca="1">SUM($AH$50:$AK$50)</f>
        <v>0</v>
      </c>
      <c r="AM50" s="25">
        <f ca="1">SUMIF($L$4:$AL$4,"SUBTOTAL",$L$50:$AL$50)</f>
        <v>0</v>
      </c>
      <c r="AO50" s="30">
        <f ca="1">+'TUSD BE'!$T$50+'TUSD BE'!$AB$50+'TUSD BE'!$AD$50+'TUSD BE'!$AL$50</f>
        <v>2.080525493986856</v>
      </c>
      <c r="AP50" s="30">
        <f ca="1">+'TUSD BE'!$T$50+'TUSD BE'!$AB$50+'TUSD BE'!$AD$50+'TUSD BE'!$AL$50</f>
        <v>2.080525493986856</v>
      </c>
    </row>
    <row r="51" spans="1:42" ht="11.25" customHeight="1" x14ac:dyDescent="0.25">
      <c r="A51" s="119"/>
      <c r="B51" s="119"/>
      <c r="C51" s="119"/>
      <c r="D51" s="119"/>
      <c r="E51" s="28" t="s">
        <v>99</v>
      </c>
      <c r="F51" s="28" t="s">
        <v>25</v>
      </c>
      <c r="G51" s="21" t="s">
        <v>9</v>
      </c>
      <c r="H51" s="21" t="s">
        <v>91</v>
      </c>
      <c r="I51" s="21">
        <f>'MERCADO TUSD'!$U$48+0.00000001</f>
        <v>1E-8</v>
      </c>
      <c r="J51" s="17"/>
      <c r="L51" s="25">
        <f>'TUSD BE'!$L$51*'TUSD BF'!$L$93</f>
        <v>0</v>
      </c>
      <c r="M51" s="25">
        <f>'TUSD BE'!$M$51*'TUSD BF'!$M$93</f>
        <v>0</v>
      </c>
      <c r="N51" s="25">
        <f ca="1">'TUSD BE'!$N$51*'TUSD BF'!$N$93</f>
        <v>0</v>
      </c>
      <c r="O51" s="25">
        <f>'TUSD BE'!$O$51*'TUSD BF'!$O$93</f>
        <v>0</v>
      </c>
      <c r="P51" s="25">
        <f>'TUSD BE'!$P$51*'TUSD BF'!$P$93</f>
        <v>0</v>
      </c>
      <c r="Q51" s="25">
        <f>'TUSD BE'!$Q$51*'TUSD BF'!$Q$93</f>
        <v>0</v>
      </c>
      <c r="R51" s="25">
        <f>'TUSD BE'!$R$51*'TUSD BF'!$R$93</f>
        <v>0</v>
      </c>
      <c r="S51" s="25">
        <f>'TUSD BE'!$R$51*'TUSD BF'!$S$93</f>
        <v>0</v>
      </c>
      <c r="T51" s="25">
        <f ca="1">SUM($L$51:$S$51)</f>
        <v>0</v>
      </c>
      <c r="U51" s="25">
        <f>'TUSD BE'!$U$51*'TUSD BF'!$U$93</f>
        <v>0</v>
      </c>
      <c r="V51" s="25">
        <f>'TUSD BE'!$V$51*'TUSD BF'!$V$93</f>
        <v>0</v>
      </c>
      <c r="W51" s="25">
        <f>'TUSD BE'!$W$51*'TUSD BF'!$W$93</f>
        <v>0</v>
      </c>
      <c r="X51" s="25">
        <f>'TUSD BE'!$X$51*'TUSD BF'!$X$93</f>
        <v>0</v>
      </c>
      <c r="Y51" s="25">
        <f>'TUSD BE'!$Y$51*'TUSD BF'!$Y$93</f>
        <v>0</v>
      </c>
      <c r="Z51" s="25">
        <f>'TUSD BE'!$Z$51*'TUSD BF'!$Z$93</f>
        <v>0</v>
      </c>
      <c r="AA51" s="25">
        <f>'TUSD BE'!$AA$51*'TUSD BF'!$AA$93</f>
        <v>0</v>
      </c>
      <c r="AB51" s="25">
        <f>SUM($U$51:$AA$51)</f>
        <v>0</v>
      </c>
      <c r="AC51" s="25">
        <f>'TUSD BE'!$AC$51*'TUSD BF'!$AC$93</f>
        <v>0</v>
      </c>
      <c r="AD51" s="25">
        <f>SUM($AC$51:$AC$51)</f>
        <v>0</v>
      </c>
      <c r="AE51" s="25">
        <f ca="1">$AO$51*$AO$90</f>
        <v>0</v>
      </c>
      <c r="AF51" s="25">
        <f ca="1">$AP$51*$AP$90</f>
        <v>0</v>
      </c>
      <c r="AG51" s="25">
        <f ca="1">SUM($AE$51:$AF$51)</f>
        <v>0</v>
      </c>
      <c r="AH51" s="25">
        <f>'TUSD BE'!$AH$51*'TUSD BF'!$AH$93</f>
        <v>0</v>
      </c>
      <c r="AI51" s="25">
        <f>'TUSD BE'!$AI$51*'TUSD BF'!$AI$93</f>
        <v>0</v>
      </c>
      <c r="AJ51" s="25">
        <f ca="1">'TUSD BE'!$AJ$51*'TUSD BF'!$AJ$93</f>
        <v>0</v>
      </c>
      <c r="AK51" s="25">
        <f ca="1">'TUSD BE'!$AK$51*'TUSD BF'!$AK$93</f>
        <v>0</v>
      </c>
      <c r="AL51" s="25">
        <f ca="1">SUM($AH$51:$AK$51)</f>
        <v>0</v>
      </c>
      <c r="AM51" s="25">
        <f ca="1">SUMIF($L$4:$AL$4,"SUBTOTAL",$L$51:$AL$51)</f>
        <v>0</v>
      </c>
      <c r="AO51" s="30">
        <f ca="1">+'TUSD BE'!$T$51+'TUSD BE'!$AB$51+'TUSD BE'!$AD$51+'TUSD BE'!$AL$51</f>
        <v>7.6646489310543817</v>
      </c>
      <c r="AP51" s="30">
        <f ca="1">+'TUSD BE'!$T$51+'TUSD BE'!$AB$51+'TUSD BE'!$AD$51+'TUSD BE'!$AL$51</f>
        <v>7.6646489310543817</v>
      </c>
    </row>
    <row r="52" spans="1:42" ht="11.25" customHeight="1" x14ac:dyDescent="0.25">
      <c r="A52" s="119" t="s">
        <v>22</v>
      </c>
      <c r="B52" s="119" t="s">
        <v>37</v>
      </c>
      <c r="C52" s="119" t="s">
        <v>24</v>
      </c>
      <c r="D52" s="119" t="s">
        <v>24</v>
      </c>
      <c r="E52" s="119" t="s">
        <v>25</v>
      </c>
      <c r="F52" s="119" t="s">
        <v>25</v>
      </c>
      <c r="G52" s="21" t="s">
        <v>89</v>
      </c>
      <c r="H52" s="21" t="s">
        <v>88</v>
      </c>
      <c r="I52" s="21">
        <f>'MERCADO TUSD'!$U$49</f>
        <v>253.625</v>
      </c>
      <c r="J52" s="17"/>
      <c r="L52" s="25">
        <f>'TUSD BE'!$L$52*'TUSD BF'!$L$93</f>
        <v>0</v>
      </c>
      <c r="M52" s="25">
        <f>'TUSD BE'!$M$52*'TUSD BF'!$M$93</f>
        <v>0</v>
      </c>
      <c r="N52" s="25">
        <f ca="1">'TUSD BE'!$N$52*'TUSD BF'!$N$93</f>
        <v>0</v>
      </c>
      <c r="O52" s="25">
        <f>'TUSD BE'!$O$52*'TUSD BF'!$O$93</f>
        <v>0</v>
      </c>
      <c r="P52" s="25">
        <f>'TUSD BE'!$P$52*'TUSD BF'!$P$93</f>
        <v>0</v>
      </c>
      <c r="Q52" s="25">
        <f>'TUSD BE'!$Q$52*'TUSD BF'!$Q$93</f>
        <v>6.8766148341030773</v>
      </c>
      <c r="R52" s="25">
        <f>'TUSD BE'!$R$52*'TUSD BF'!$R$93</f>
        <v>-0.99215351767428861</v>
      </c>
      <c r="S52" s="25">
        <f>'TUSD BE'!$R$52*'TUSD BF'!$S$93</f>
        <v>0</v>
      </c>
      <c r="T52" s="25">
        <f ca="1">SUM($L$52:$S$52)</f>
        <v>5.8844613164287889</v>
      </c>
      <c r="U52" s="25">
        <f>'TUSD BE'!$U$52*'TUSD BF'!$U$93</f>
        <v>5.2295792305125932</v>
      </c>
      <c r="V52" s="25">
        <f>'TUSD BE'!$V$52*'TUSD BF'!$V$93</f>
        <v>1.3293140992400865</v>
      </c>
      <c r="W52" s="25">
        <f>'TUSD BE'!$W$52*'TUSD BF'!$W$93</f>
        <v>0</v>
      </c>
      <c r="X52" s="25">
        <f>'TUSD BE'!$X$52*'TUSD BF'!$X$93</f>
        <v>0</v>
      </c>
      <c r="Y52" s="25">
        <f>'TUSD BE'!$Y$52*'TUSD BF'!$Y$93</f>
        <v>0</v>
      </c>
      <c r="Z52" s="25">
        <f>'TUSD BE'!$Z$52*'TUSD BF'!$Z$93</f>
        <v>0</v>
      </c>
      <c r="AA52" s="25">
        <f>'TUSD BE'!$AA$52*'TUSD BF'!$AA$93</f>
        <v>0</v>
      </c>
      <c r="AB52" s="25">
        <f>SUM($U$52:$AA$52)</f>
        <v>6.5588933297526797</v>
      </c>
      <c r="AC52" s="25">
        <f>'TUSD BE'!$AC$52*'TUSD BF'!$AC$93</f>
        <v>0</v>
      </c>
      <c r="AD52" s="25">
        <f>SUM($AC$52:$AC$52)</f>
        <v>0</v>
      </c>
      <c r="AE52" s="25">
        <f ca="1">$AO$52*$AO$90</f>
        <v>0</v>
      </c>
      <c r="AF52" s="25">
        <f ca="1">$AP$52*$AP$90</f>
        <v>0</v>
      </c>
      <c r="AG52" s="25">
        <f ca="1">SUM($AE$52:$AF$52)</f>
        <v>0</v>
      </c>
      <c r="AH52" s="25">
        <f>'TUSD BE'!$AH$52*'TUSD BF'!$AH$93</f>
        <v>2.2117959582820563</v>
      </c>
      <c r="AI52" s="25">
        <f>'TUSD BE'!$AI$52*'TUSD BF'!$AI$93</f>
        <v>8.3137750607892996E-2</v>
      </c>
      <c r="AJ52" s="25">
        <f ca="1">'TUSD BE'!$AJ$52*'TUSD BF'!$AJ$93</f>
        <v>1.0418156705170367</v>
      </c>
      <c r="AK52" s="25">
        <f ca="1">'TUSD BE'!$AK$52*'TUSD BF'!$AK$93</f>
        <v>0</v>
      </c>
      <c r="AL52" s="25">
        <f ca="1">SUM($AH$52:$AK$52)</f>
        <v>3.336749379406986</v>
      </c>
      <c r="AM52" s="25">
        <f ca="1">SUMIF($L$4:$AL$4,"SUBTOTAL",$L$52:$AL$52)</f>
        <v>15.780104025588454</v>
      </c>
      <c r="AO52" s="30">
        <f ca="1">+'TUSD BE'!$T$52+'TUSD BE'!$AB$52+'TUSD BE'!$AD$52+'TUSD BE'!$AL$52</f>
        <v>561.60176496629185</v>
      </c>
      <c r="AP52" s="30">
        <f ca="1">+'TUSD BE'!$T$52+'TUSD BE'!$AB$52+'TUSD BE'!$AD$52+'TUSD BE'!$AL$52</f>
        <v>561.60176496629185</v>
      </c>
    </row>
    <row r="53" spans="1:42" ht="11.25" customHeight="1" x14ac:dyDescent="0.25">
      <c r="A53" s="119"/>
      <c r="B53" s="119"/>
      <c r="C53" s="119"/>
      <c r="D53" s="119"/>
      <c r="E53" s="119"/>
      <c r="F53" s="119"/>
      <c r="G53" s="21" t="s">
        <v>100</v>
      </c>
      <c r="H53" s="21" t="s">
        <v>88</v>
      </c>
      <c r="I53" s="21">
        <f>'MERCADO TUSD'!$U$50</f>
        <v>165.69400000000005</v>
      </c>
      <c r="J53" s="17"/>
      <c r="L53" s="25">
        <f>'TUSD BE'!$L$53*'TUSD BF'!$L$93</f>
        <v>0</v>
      </c>
      <c r="M53" s="25">
        <f>'TUSD BE'!$M$53*'TUSD BF'!$M$93</f>
        <v>0</v>
      </c>
      <c r="N53" s="25">
        <f ca="1">'TUSD BE'!$N$53*'TUSD BF'!$N$93</f>
        <v>0</v>
      </c>
      <c r="O53" s="25">
        <f>'TUSD BE'!$O$53*'TUSD BF'!$O$93</f>
        <v>0</v>
      </c>
      <c r="P53" s="25">
        <f>'TUSD BE'!$P$53*'TUSD BF'!$P$93</f>
        <v>0</v>
      </c>
      <c r="Q53" s="25">
        <f>'TUSD BE'!$Q$53*'TUSD BF'!$Q$93</f>
        <v>6.8766148341030773</v>
      </c>
      <c r="R53" s="25">
        <f>'TUSD BE'!$R$53*'TUSD BF'!$R$93</f>
        <v>-0.99215351767428861</v>
      </c>
      <c r="S53" s="25">
        <f>'TUSD BE'!$R$53*'TUSD BF'!$S$93</f>
        <v>0</v>
      </c>
      <c r="T53" s="25">
        <f ca="1">SUM($L$53:$S$53)</f>
        <v>5.8844613164287889</v>
      </c>
      <c r="U53" s="25">
        <f>'TUSD BE'!$U$53*'TUSD BF'!$U$93</f>
        <v>3.1377299894821111</v>
      </c>
      <c r="V53" s="25">
        <f>'TUSD BE'!$V$53*'TUSD BF'!$V$93</f>
        <v>0.79759257360282121</v>
      </c>
      <c r="W53" s="25">
        <f>'TUSD BE'!$W$53*'TUSD BF'!$W$93</f>
        <v>0</v>
      </c>
      <c r="X53" s="25">
        <f>'TUSD BE'!$X$53*'TUSD BF'!$X$93</f>
        <v>0</v>
      </c>
      <c r="Y53" s="25">
        <f>'TUSD BE'!$Y$53*'TUSD BF'!$Y$93</f>
        <v>0</v>
      </c>
      <c r="Z53" s="25">
        <f>'TUSD BE'!$Z$53*'TUSD BF'!$Z$93</f>
        <v>0</v>
      </c>
      <c r="AA53" s="25">
        <f>'TUSD BE'!$AA$53*'TUSD BF'!$AA$93</f>
        <v>0</v>
      </c>
      <c r="AB53" s="25">
        <f>SUM($U$53:$AA$53)</f>
        <v>3.9353225630849322</v>
      </c>
      <c r="AC53" s="25">
        <f>'TUSD BE'!$AC$53*'TUSD BF'!$AC$93</f>
        <v>0</v>
      </c>
      <c r="AD53" s="25">
        <f>SUM($AC$53:$AC$53)</f>
        <v>0</v>
      </c>
      <c r="AE53" s="25">
        <f ca="1">$AO$53*$AO$90</f>
        <v>0</v>
      </c>
      <c r="AF53" s="25">
        <f ca="1">$AP$53*$AP$90</f>
        <v>0</v>
      </c>
      <c r="AG53" s="25">
        <f ca="1">SUM($AE$53:$AF$53)</f>
        <v>0</v>
      </c>
      <c r="AH53" s="25">
        <f>'TUSD BE'!$AH$53*'TUSD BF'!$AH$93</f>
        <v>2.2117959582820563</v>
      </c>
      <c r="AI53" s="25">
        <f>'TUSD BE'!$AI$53*'TUSD BF'!$AI$93</f>
        <v>8.3137750607892996E-2</v>
      </c>
      <c r="AJ53" s="25">
        <f ca="1">'TUSD BE'!$AJ$53*'TUSD BF'!$AJ$93</f>
        <v>1.0418156705170367</v>
      </c>
      <c r="AK53" s="25">
        <f ca="1">'TUSD BE'!$AK$53*'TUSD BF'!$AK$93</f>
        <v>0</v>
      </c>
      <c r="AL53" s="25">
        <f ca="1">SUM($AH$53:$AK$53)</f>
        <v>3.336749379406986</v>
      </c>
      <c r="AM53" s="25">
        <f ca="1">SUMIF($L$4:$AL$4,"SUBTOTAL",$L$53:$AL$53)</f>
        <v>13.156533258920707</v>
      </c>
      <c r="AO53" s="30">
        <f ca="1">+'TUSD BE'!$T$53+'TUSD BE'!$AB$53+'TUSD BE'!$AD$53+'TUSD BE'!$AL$53</f>
        <v>381.08364826293121</v>
      </c>
      <c r="AP53" s="30">
        <f ca="1">+'TUSD BE'!$T$53+'TUSD BE'!$AB$53+'TUSD BE'!$AD$53+'TUSD BE'!$AL$53</f>
        <v>381.08364826293121</v>
      </c>
    </row>
    <row r="54" spans="1:42" ht="11.25" customHeight="1" x14ac:dyDescent="0.25">
      <c r="A54" s="119"/>
      <c r="B54" s="119"/>
      <c r="C54" s="119"/>
      <c r="D54" s="119"/>
      <c r="E54" s="119"/>
      <c r="F54" s="119"/>
      <c r="G54" s="21" t="s">
        <v>90</v>
      </c>
      <c r="H54" s="21" t="s">
        <v>88</v>
      </c>
      <c r="I54" s="21">
        <f>'MERCADO TUSD'!$U$51</f>
        <v>2116.5709999999999</v>
      </c>
      <c r="J54" s="17"/>
      <c r="L54" s="25">
        <f>'TUSD BE'!$L$54*'TUSD BF'!$L$93</f>
        <v>0</v>
      </c>
      <c r="M54" s="25">
        <f>'TUSD BE'!$M$54*'TUSD BF'!$M$93</f>
        <v>0</v>
      </c>
      <c r="N54" s="25">
        <f ca="1">'TUSD BE'!$N$54*'TUSD BF'!$N$93</f>
        <v>0</v>
      </c>
      <c r="O54" s="25">
        <f>'TUSD BE'!$O$54*'TUSD BF'!$O$93</f>
        <v>0</v>
      </c>
      <c r="P54" s="25">
        <f>'TUSD BE'!$P$54*'TUSD BF'!$P$93</f>
        <v>0</v>
      </c>
      <c r="Q54" s="25">
        <f>'TUSD BE'!$Q$54*'TUSD BF'!$Q$93</f>
        <v>6.8766148341030773</v>
      </c>
      <c r="R54" s="25">
        <f>'TUSD BE'!$R$54*'TUSD BF'!$R$93</f>
        <v>-0.99215351767428861</v>
      </c>
      <c r="S54" s="25">
        <f>'TUSD BE'!$R$54*'TUSD BF'!$S$93</f>
        <v>0</v>
      </c>
      <c r="T54" s="25">
        <f ca="1">SUM($L$54:$S$54)</f>
        <v>5.8844613164287889</v>
      </c>
      <c r="U54" s="25">
        <f>'TUSD BE'!$U$54*'TUSD BF'!$U$93</f>
        <v>1.045909996494037</v>
      </c>
      <c r="V54" s="25">
        <f>'TUSD BE'!$V$54*'TUSD BF'!$V$93</f>
        <v>0.26587104796555588</v>
      </c>
      <c r="W54" s="25">
        <f>'TUSD BE'!$W$54*'TUSD BF'!$W$93</f>
        <v>0</v>
      </c>
      <c r="X54" s="25">
        <f>'TUSD BE'!$X$54*'TUSD BF'!$X$93</f>
        <v>0</v>
      </c>
      <c r="Y54" s="25">
        <f>'TUSD BE'!$Y$54*'TUSD BF'!$Y$93</f>
        <v>0</v>
      </c>
      <c r="Z54" s="25">
        <f>'TUSD BE'!$Z$54*'TUSD BF'!$Z$93</f>
        <v>0</v>
      </c>
      <c r="AA54" s="25">
        <f>'TUSD BE'!$AA$54*'TUSD BF'!$AA$93</f>
        <v>0</v>
      </c>
      <c r="AB54" s="25">
        <f>SUM($U$54:$AA$54)</f>
        <v>1.311781044459593</v>
      </c>
      <c r="AC54" s="25">
        <f>'TUSD BE'!$AC$54*'TUSD BF'!$AC$93</f>
        <v>0</v>
      </c>
      <c r="AD54" s="25">
        <f>SUM($AC$54:$AC$54)</f>
        <v>0</v>
      </c>
      <c r="AE54" s="25">
        <f ca="1">$AO$54*$AO$90</f>
        <v>0</v>
      </c>
      <c r="AF54" s="25">
        <f ca="1">$AP$54*$AP$90</f>
        <v>0</v>
      </c>
      <c r="AG54" s="25">
        <f ca="1">SUM($AE$54:$AF$54)</f>
        <v>0</v>
      </c>
      <c r="AH54" s="25">
        <f>'TUSD BE'!$AH$54*'TUSD BF'!$AH$93</f>
        <v>2.2117959582820563</v>
      </c>
      <c r="AI54" s="25">
        <f>'TUSD BE'!$AI$54*'TUSD BF'!$AI$93</f>
        <v>8.3137750607892996E-2</v>
      </c>
      <c r="AJ54" s="25">
        <f ca="1">'TUSD BE'!$AJ$54*'TUSD BF'!$AJ$93</f>
        <v>1.0418156705170367</v>
      </c>
      <c r="AK54" s="25">
        <f ca="1">'TUSD BE'!$AK$54*'TUSD BF'!$AK$93</f>
        <v>0</v>
      </c>
      <c r="AL54" s="25">
        <f ca="1">SUM($AH$54:$AK$54)</f>
        <v>3.336749379406986</v>
      </c>
      <c r="AM54" s="25">
        <f ca="1">SUMIF($L$4:$AL$4,"SUBTOTAL",$L$54:$AL$54)</f>
        <v>10.532991740295369</v>
      </c>
      <c r="AO54" s="30">
        <f ca="1">+'TUSD BE'!$T$54+'TUSD BE'!$AB$54+'TUSD BE'!$AD$54+'TUSD BE'!$AL$54</f>
        <v>200.56616188476102</v>
      </c>
      <c r="AP54" s="30">
        <f ca="1">+'TUSD BE'!$T$54+'TUSD BE'!$AB$54+'TUSD BE'!$AD$54+'TUSD BE'!$AL$54</f>
        <v>200.56616188476102</v>
      </c>
    </row>
    <row r="55" spans="1:42" ht="11.25" customHeight="1" x14ac:dyDescent="0.25">
      <c r="A55" s="119"/>
      <c r="B55" s="119" t="s">
        <v>23</v>
      </c>
      <c r="C55" s="119" t="s">
        <v>24</v>
      </c>
      <c r="D55" s="28" t="s">
        <v>24</v>
      </c>
      <c r="E55" s="28" t="s">
        <v>25</v>
      </c>
      <c r="F55" s="28" t="s">
        <v>25</v>
      </c>
      <c r="G55" s="21" t="s">
        <v>94</v>
      </c>
      <c r="H55" s="21" t="s">
        <v>88</v>
      </c>
      <c r="I55" s="21">
        <f>'MERCADO TUSD'!$U$52</f>
        <v>2322476.7919999999</v>
      </c>
      <c r="J55" s="17"/>
      <c r="L55" s="25">
        <f>'TUSD BE'!$L$55*'TUSD BF'!$L$93</f>
        <v>0</v>
      </c>
      <c r="M55" s="25">
        <f>'TUSD BE'!$M$55*'TUSD BF'!$M$93</f>
        <v>0</v>
      </c>
      <c r="N55" s="25">
        <f ca="1">'TUSD BE'!$N$55*'TUSD BF'!$N$93</f>
        <v>0</v>
      </c>
      <c r="O55" s="25">
        <f>'TUSD BE'!$O$55*'TUSD BF'!$O$93</f>
        <v>0</v>
      </c>
      <c r="P55" s="25">
        <f>'TUSD BE'!$P$55*'TUSD BF'!$P$93</f>
        <v>0</v>
      </c>
      <c r="Q55" s="25">
        <f>'TUSD BE'!$Q$55*'TUSD BF'!$Q$93</f>
        <v>6.8766148341030773</v>
      </c>
      <c r="R55" s="25">
        <f>'TUSD BE'!$R$55*'TUSD BF'!$R$93</f>
        <v>-0.99215351767428861</v>
      </c>
      <c r="S55" s="25">
        <f>'TUSD BE'!$R$55*'TUSD BF'!$S$93</f>
        <v>0</v>
      </c>
      <c r="T55" s="25">
        <f ca="1">SUM($L$55:$S$55)</f>
        <v>5.8844613164287889</v>
      </c>
      <c r="U55" s="25">
        <f>'TUSD BE'!$U$55*'TUSD BF'!$U$93</f>
        <v>1.8349344365225504</v>
      </c>
      <c r="V55" s="25">
        <f>'TUSD BE'!$V$55*'TUSD BF'!$V$93</f>
        <v>0.46643141296858642</v>
      </c>
      <c r="W55" s="25">
        <f>'TUSD BE'!$W$55*'TUSD BF'!$W$93</f>
        <v>0</v>
      </c>
      <c r="X55" s="25">
        <f>'TUSD BE'!$X$55*'TUSD BF'!$X$93</f>
        <v>0</v>
      </c>
      <c r="Y55" s="25">
        <f>'TUSD BE'!$Y$55*'TUSD BF'!$Y$93</f>
        <v>0</v>
      </c>
      <c r="Z55" s="25">
        <f>'TUSD BE'!$Z$55*'TUSD BF'!$Z$93</f>
        <v>0</v>
      </c>
      <c r="AA55" s="25">
        <f>'TUSD BE'!$AA$55*'TUSD BF'!$AA$93</f>
        <v>0</v>
      </c>
      <c r="AB55" s="25">
        <f>SUM($U$55:$AA$55)</f>
        <v>2.3013658494911367</v>
      </c>
      <c r="AC55" s="25">
        <f>'TUSD BE'!$AC$55*'TUSD BF'!$AC$93</f>
        <v>0</v>
      </c>
      <c r="AD55" s="25">
        <f>SUM($AC$55:$AC$55)</f>
        <v>0</v>
      </c>
      <c r="AE55" s="25">
        <f ca="1">$AO$55*$AO$90</f>
        <v>0</v>
      </c>
      <c r="AF55" s="25">
        <f ca="1">$AP$55*$AP$90</f>
        <v>0</v>
      </c>
      <c r="AG55" s="25">
        <f ca="1">SUM($AE$55:$AF$55)</f>
        <v>0</v>
      </c>
      <c r="AH55" s="25">
        <f>'TUSD BE'!$AH$55*'TUSD BF'!$AH$93</f>
        <v>2.2117959582820563</v>
      </c>
      <c r="AI55" s="25">
        <f>'TUSD BE'!$AI$55*'TUSD BF'!$AI$93</f>
        <v>8.3137750607892996E-2</v>
      </c>
      <c r="AJ55" s="25">
        <f ca="1">'TUSD BE'!$AJ$55*'TUSD BF'!$AJ$93</f>
        <v>1.0418156705170367</v>
      </c>
      <c r="AK55" s="25">
        <f ca="1">'TUSD BE'!$AK$55*'TUSD BF'!$AK$93</f>
        <v>0</v>
      </c>
      <c r="AL55" s="25">
        <f ca="1">SUM($AH$55:$AK$55)</f>
        <v>3.336749379406986</v>
      </c>
      <c r="AM55" s="25">
        <f ca="1">SUMIF($L$4:$AL$4,"SUBTOTAL",$L$55:$AL$55)</f>
        <v>11.52257654532691</v>
      </c>
      <c r="AO55" s="30">
        <f ca="1">+'TUSD BE'!$T$55+'TUSD BE'!$AB$55+'TUSD BE'!$AD$55+'TUSD BE'!$AL$55</f>
        <v>268.65612143694341</v>
      </c>
      <c r="AP55" s="30">
        <f ca="1">+'TUSD BE'!$T$55+'TUSD BE'!$AB$55+'TUSD BE'!$AD$55+'TUSD BE'!$AL$55</f>
        <v>268.65612143694341</v>
      </c>
    </row>
    <row r="56" spans="1:42" ht="11.25" customHeight="1" x14ac:dyDescent="0.25">
      <c r="A56" s="119"/>
      <c r="B56" s="119"/>
      <c r="C56" s="119"/>
      <c r="D56" s="28" t="s">
        <v>29</v>
      </c>
      <c r="E56" s="28" t="s">
        <v>25</v>
      </c>
      <c r="F56" s="28" t="s">
        <v>25</v>
      </c>
      <c r="G56" s="21" t="s">
        <v>94</v>
      </c>
      <c r="H56" s="21" t="s">
        <v>88</v>
      </c>
      <c r="I56" s="21">
        <f>'MERCADO TUSD'!$U$53</f>
        <v>3506.9700000000003</v>
      </c>
      <c r="J56" s="17"/>
      <c r="L56" s="25">
        <f>'TUSD BE'!$L$56*'TUSD BF'!$L$93</f>
        <v>0</v>
      </c>
      <c r="M56" s="25">
        <f>'TUSD BE'!$M$56*'TUSD BF'!$M$93</f>
        <v>0</v>
      </c>
      <c r="N56" s="25">
        <f ca="1">'TUSD BE'!$N$56*'TUSD BF'!$N$93</f>
        <v>0</v>
      </c>
      <c r="O56" s="25">
        <f>'TUSD BE'!$O$56*'TUSD BF'!$O$93</f>
        <v>0</v>
      </c>
      <c r="P56" s="25">
        <f>'TUSD BE'!$P$56*'TUSD BF'!$P$93</f>
        <v>0</v>
      </c>
      <c r="Q56" s="25">
        <f>'TUSD BE'!$Q$56*'TUSD BF'!$Q$93</f>
        <v>0</v>
      </c>
      <c r="R56" s="25">
        <f>'TUSD BE'!$R$56*'TUSD BF'!$R$93</f>
        <v>0</v>
      </c>
      <c r="S56" s="25">
        <f>'TUSD BE'!$R$56*'TUSD BF'!$S$93</f>
        <v>0</v>
      </c>
      <c r="T56" s="25">
        <f ca="1">SUM($L$56:$S$56)</f>
        <v>0</v>
      </c>
      <c r="U56" s="25">
        <f>'TUSD BE'!$U$56*'TUSD BF'!$U$93</f>
        <v>1.8349344365225504</v>
      </c>
      <c r="V56" s="25">
        <f>'TUSD BE'!$V$56*'TUSD BF'!$V$93</f>
        <v>0.46643141296858642</v>
      </c>
      <c r="W56" s="25">
        <f>'TUSD BE'!$W$56*'TUSD BF'!$W$93</f>
        <v>0</v>
      </c>
      <c r="X56" s="25">
        <f>'TUSD BE'!$X$56*'TUSD BF'!$X$93</f>
        <v>0</v>
      </c>
      <c r="Y56" s="25">
        <f>'TUSD BE'!$Y$56*'TUSD BF'!$Y$93</f>
        <v>0</v>
      </c>
      <c r="Z56" s="25">
        <f>'TUSD BE'!$Z$56*'TUSD BF'!$Z$93</f>
        <v>0</v>
      </c>
      <c r="AA56" s="25">
        <f>'TUSD BE'!$AA$56*'TUSD BF'!$AA$93</f>
        <v>0</v>
      </c>
      <c r="AB56" s="25">
        <f>SUM($U$56:$AA$56)</f>
        <v>2.3013658494911367</v>
      </c>
      <c r="AC56" s="25">
        <f>'TUSD BE'!$AC$56*'TUSD BF'!$AC$93</f>
        <v>0</v>
      </c>
      <c r="AD56" s="25">
        <f>SUM($AC$56:$AC$56)</f>
        <v>0</v>
      </c>
      <c r="AE56" s="25">
        <f ca="1">$AO$56*$AO$90</f>
        <v>0</v>
      </c>
      <c r="AF56" s="25">
        <f ca="1">$AP$56*$AP$90</f>
        <v>0</v>
      </c>
      <c r="AG56" s="25">
        <f ca="1">SUM($AE$56:$AF$56)</f>
        <v>0</v>
      </c>
      <c r="AH56" s="25">
        <f>'TUSD BE'!$AH$56*'TUSD BF'!$AH$93</f>
        <v>2.2117959582820563</v>
      </c>
      <c r="AI56" s="25">
        <f>'TUSD BE'!$AI$56*'TUSD BF'!$AI$93</f>
        <v>8.3137750607892996E-2</v>
      </c>
      <c r="AJ56" s="25">
        <f ca="1">'TUSD BE'!$AJ$56*'TUSD BF'!$AJ$93</f>
        <v>1.0418156705170367</v>
      </c>
      <c r="AK56" s="25">
        <f ca="1">'TUSD BE'!$AK$56*'TUSD BF'!$AK$93</f>
        <v>0</v>
      </c>
      <c r="AL56" s="25">
        <f ca="1">SUM($AH$56:$AK$56)</f>
        <v>3.336749379406986</v>
      </c>
      <c r="AM56" s="25">
        <f ca="1">SUMIF($L$4:$AL$4,"SUBTOTAL",$L$56:$AL$56)</f>
        <v>5.6381152288981227</v>
      </c>
      <c r="AO56" s="30">
        <f ca="1">+'TUSD BE'!$T$56+'TUSD BE'!$AB$56+'TUSD BE'!$AD$56+'TUSD BE'!$AL$56</f>
        <v>199.17411459243684</v>
      </c>
      <c r="AP56" s="30">
        <f ca="1">+'TUSD BE'!$T$56+'TUSD BE'!$AB$56+'TUSD BE'!$AD$56+'TUSD BE'!$AL$56</f>
        <v>199.17411459243684</v>
      </c>
    </row>
    <row r="57" spans="1:42" ht="11.25" customHeight="1" x14ac:dyDescent="0.25">
      <c r="A57" s="119"/>
      <c r="B57" s="119"/>
      <c r="C57" s="119"/>
      <c r="D57" s="28" t="s">
        <v>30</v>
      </c>
      <c r="E57" s="28" t="s">
        <v>25</v>
      </c>
      <c r="F57" s="28" t="s">
        <v>25</v>
      </c>
      <c r="G57" s="21" t="s">
        <v>94</v>
      </c>
      <c r="H57" s="21" t="s">
        <v>88</v>
      </c>
      <c r="I57" s="21">
        <f>'MERCADO TUSD'!$U$54</f>
        <v>7395.655999999999</v>
      </c>
      <c r="J57" s="17"/>
      <c r="L57" s="25">
        <f>'TUSD BE'!$L$57*'TUSD BF'!$L$93</f>
        <v>0</v>
      </c>
      <c r="M57" s="25">
        <f>'TUSD BE'!$M$57*'TUSD BF'!$M$93</f>
        <v>0</v>
      </c>
      <c r="N57" s="25">
        <f ca="1">'TUSD BE'!$N$57*'TUSD BF'!$N$93</f>
        <v>0</v>
      </c>
      <c r="O57" s="25">
        <f>'TUSD BE'!$O$57*'TUSD BF'!$O$93</f>
        <v>0</v>
      </c>
      <c r="P57" s="25">
        <f>'TUSD BE'!$P$57*'TUSD BF'!$P$93</f>
        <v>0</v>
      </c>
      <c r="Q57" s="25">
        <f>'TUSD BE'!$Q$57*'TUSD BF'!$Q$93</f>
        <v>0</v>
      </c>
      <c r="R57" s="25">
        <f>'TUSD BE'!$R$57*'TUSD BF'!$R$93</f>
        <v>0</v>
      </c>
      <c r="S57" s="25">
        <f>'TUSD BE'!$R$57*'TUSD BF'!$S$93</f>
        <v>0</v>
      </c>
      <c r="T57" s="25">
        <f ca="1">SUM($L$57:$S$57)</f>
        <v>0</v>
      </c>
      <c r="U57" s="25">
        <f>'TUSD BE'!$U$57*'TUSD BF'!$U$93</f>
        <v>1.8349344365225504</v>
      </c>
      <c r="V57" s="25">
        <f>'TUSD BE'!$V$57*'TUSD BF'!$V$93</f>
        <v>0.46643141296858642</v>
      </c>
      <c r="W57" s="25">
        <f>'TUSD BE'!$W$57*'TUSD BF'!$W$93</f>
        <v>0</v>
      </c>
      <c r="X57" s="25">
        <f>'TUSD BE'!$X$57*'TUSD BF'!$X$93</f>
        <v>0</v>
      </c>
      <c r="Y57" s="25">
        <f>'TUSD BE'!$Y$57*'TUSD BF'!$Y$93</f>
        <v>0</v>
      </c>
      <c r="Z57" s="25">
        <f>'TUSD BE'!$Z$57*'TUSD BF'!$Z$93</f>
        <v>0</v>
      </c>
      <c r="AA57" s="25">
        <f>'TUSD BE'!$AA$57*'TUSD BF'!$AA$93</f>
        <v>0</v>
      </c>
      <c r="AB57" s="25">
        <f>SUM($U$57:$AA$57)</f>
        <v>2.3013658494911367</v>
      </c>
      <c r="AC57" s="25">
        <f>'TUSD BE'!$AC$57*'TUSD BF'!$AC$93</f>
        <v>0</v>
      </c>
      <c r="AD57" s="25">
        <f>SUM($AC$57:$AC$57)</f>
        <v>0</v>
      </c>
      <c r="AE57" s="25">
        <f ca="1">$AO$57*$AO$90</f>
        <v>0</v>
      </c>
      <c r="AF57" s="25">
        <f ca="1">$AP$57*$AP$90</f>
        <v>0</v>
      </c>
      <c r="AG57" s="25">
        <f ca="1">SUM($AE$57:$AF$57)</f>
        <v>0</v>
      </c>
      <c r="AH57" s="25">
        <f>'TUSD BE'!$AH$57*'TUSD BF'!$AH$93</f>
        <v>2.2117959582820563</v>
      </c>
      <c r="AI57" s="25">
        <f>'TUSD BE'!$AI$57*'TUSD BF'!$AI$93</f>
        <v>8.3137750607892996E-2</v>
      </c>
      <c r="AJ57" s="25">
        <f ca="1">'TUSD BE'!$AJ$57*'TUSD BF'!$AJ$93</f>
        <v>1.0418156705170367</v>
      </c>
      <c r="AK57" s="25">
        <f ca="1">'TUSD BE'!$AK$57*'TUSD BF'!$AK$93</f>
        <v>0</v>
      </c>
      <c r="AL57" s="25">
        <f ca="1">SUM($AH$57:$AK$57)</f>
        <v>3.336749379406986</v>
      </c>
      <c r="AM57" s="25">
        <f ca="1">SUMIF($L$4:$AL$4,"SUBTOTAL",$L$57:$AL$57)</f>
        <v>5.6381152288981227</v>
      </c>
      <c r="AO57" s="30">
        <f ca="1">+'TUSD BE'!$T$57+'TUSD BE'!$AB$57+'TUSD BE'!$AD$57+'TUSD BE'!$AL$57</f>
        <v>199.17411459243684</v>
      </c>
      <c r="AP57" s="30">
        <f ca="1">+'TUSD BE'!$T$57+'TUSD BE'!$AB$57+'TUSD BE'!$AD$57+'TUSD BE'!$AL$57</f>
        <v>199.17411459243684</v>
      </c>
    </row>
    <row r="58" spans="1:42" ht="11.25" customHeight="1" x14ac:dyDescent="0.25">
      <c r="A58" s="119"/>
      <c r="B58" s="119"/>
      <c r="C58" s="119"/>
      <c r="D58" s="28" t="s">
        <v>31</v>
      </c>
      <c r="E58" s="28" t="s">
        <v>25</v>
      </c>
      <c r="F58" s="28" t="s">
        <v>25</v>
      </c>
      <c r="G58" s="21" t="s">
        <v>94</v>
      </c>
      <c r="H58" s="21" t="s">
        <v>88</v>
      </c>
      <c r="I58" s="21">
        <f>'MERCADO TUSD'!$U$55</f>
        <v>7295.3609999999999</v>
      </c>
      <c r="J58" s="17"/>
      <c r="L58" s="25">
        <f>'TUSD BE'!$L$58*'TUSD BF'!$L$93</f>
        <v>0</v>
      </c>
      <c r="M58" s="25">
        <f>'TUSD BE'!$M$58*'TUSD BF'!$M$93</f>
        <v>0</v>
      </c>
      <c r="N58" s="25">
        <f ca="1">'TUSD BE'!$N$58*'TUSD BF'!$N$93</f>
        <v>0</v>
      </c>
      <c r="O58" s="25">
        <f>'TUSD BE'!$O$58*'TUSD BF'!$O$93</f>
        <v>0</v>
      </c>
      <c r="P58" s="25">
        <f>'TUSD BE'!$P$58*'TUSD BF'!$P$93</f>
        <v>0</v>
      </c>
      <c r="Q58" s="25">
        <f>'TUSD BE'!$Q$58*'TUSD BF'!$Q$93</f>
        <v>0</v>
      </c>
      <c r="R58" s="25">
        <f>'TUSD BE'!$R$58*'TUSD BF'!$R$93</f>
        <v>0</v>
      </c>
      <c r="S58" s="25">
        <f>'TUSD BE'!$R$58*'TUSD BF'!$S$93</f>
        <v>0</v>
      </c>
      <c r="T58" s="25">
        <f ca="1">SUM($L$58:$S$58)</f>
        <v>0</v>
      </c>
      <c r="U58" s="25">
        <f>'TUSD BE'!$U$58*'TUSD BF'!$U$93</f>
        <v>1.8349344365225504</v>
      </c>
      <c r="V58" s="25">
        <f>'TUSD BE'!$V$58*'TUSD BF'!$V$93</f>
        <v>0.46643141296858642</v>
      </c>
      <c r="W58" s="25">
        <f>'TUSD BE'!$W$58*'TUSD BF'!$W$93</f>
        <v>0</v>
      </c>
      <c r="X58" s="25">
        <f>'TUSD BE'!$X$58*'TUSD BF'!$X$93</f>
        <v>0</v>
      </c>
      <c r="Y58" s="25">
        <f>'TUSD BE'!$Y$58*'TUSD BF'!$Y$93</f>
        <v>0</v>
      </c>
      <c r="Z58" s="25">
        <f>'TUSD BE'!$Z$58*'TUSD BF'!$Z$93</f>
        <v>0</v>
      </c>
      <c r="AA58" s="25">
        <f>'TUSD BE'!$AA$58*'TUSD BF'!$AA$93</f>
        <v>0</v>
      </c>
      <c r="AB58" s="25">
        <f>SUM($U$58:$AA$58)</f>
        <v>2.3013658494911367</v>
      </c>
      <c r="AC58" s="25">
        <f>'TUSD BE'!$AC$58*'TUSD BF'!$AC$93</f>
        <v>0</v>
      </c>
      <c r="AD58" s="25">
        <f>SUM($AC$58:$AC$58)</f>
        <v>0</v>
      </c>
      <c r="AE58" s="25">
        <f ca="1">$AO$58*$AO$90</f>
        <v>0</v>
      </c>
      <c r="AF58" s="25">
        <f ca="1">$AP$58*$AP$90</f>
        <v>0</v>
      </c>
      <c r="AG58" s="25">
        <f ca="1">SUM($AE$58:$AF$58)</f>
        <v>0</v>
      </c>
      <c r="AH58" s="25">
        <f>'TUSD BE'!$AH$58*'TUSD BF'!$AH$93</f>
        <v>2.2117959582820563</v>
      </c>
      <c r="AI58" s="25">
        <f>'TUSD BE'!$AI$58*'TUSD BF'!$AI$93</f>
        <v>8.3137750607892996E-2</v>
      </c>
      <c r="AJ58" s="25">
        <f ca="1">'TUSD BE'!$AJ$58*'TUSD BF'!$AJ$93</f>
        <v>1.0418156705170367</v>
      </c>
      <c r="AK58" s="25">
        <f ca="1">'TUSD BE'!$AK$58*'TUSD BF'!$AK$93</f>
        <v>0</v>
      </c>
      <c r="AL58" s="25">
        <f ca="1">SUM($AH$58:$AK$58)</f>
        <v>3.336749379406986</v>
      </c>
      <c r="AM58" s="25">
        <f ca="1">SUMIF($L$4:$AL$4,"SUBTOTAL",$L$58:$AL$58)</f>
        <v>5.6381152288981227</v>
      </c>
      <c r="AO58" s="30">
        <f ca="1">+'TUSD BE'!$T$58+'TUSD BE'!$AB$58+'TUSD BE'!$AD$58+'TUSD BE'!$AL$58</f>
        <v>199.17411459243684</v>
      </c>
      <c r="AP58" s="30">
        <f ca="1">+'TUSD BE'!$T$58+'TUSD BE'!$AB$58+'TUSD BE'!$AD$58+'TUSD BE'!$AL$58</f>
        <v>199.17411459243684</v>
      </c>
    </row>
    <row r="59" spans="1:42" ht="11.25" customHeight="1" x14ac:dyDescent="0.25">
      <c r="A59" s="119"/>
      <c r="B59" s="119"/>
      <c r="C59" s="119"/>
      <c r="D59" s="28" t="s">
        <v>32</v>
      </c>
      <c r="E59" s="28" t="s">
        <v>25</v>
      </c>
      <c r="F59" s="28" t="s">
        <v>25</v>
      </c>
      <c r="G59" s="21" t="s">
        <v>94</v>
      </c>
      <c r="H59" s="21" t="s">
        <v>88</v>
      </c>
      <c r="I59" s="21">
        <f>'MERCADO TUSD'!$U$56</f>
        <v>2602.4059999999999</v>
      </c>
      <c r="J59" s="17"/>
      <c r="L59" s="25">
        <f>'TUSD BE'!$L$59*'TUSD BF'!$L$93</f>
        <v>0</v>
      </c>
      <c r="M59" s="25">
        <f>'TUSD BE'!$M$59*'TUSD BF'!$M$93</f>
        <v>0</v>
      </c>
      <c r="N59" s="25">
        <f ca="1">'TUSD BE'!$N$59*'TUSD BF'!$N$93</f>
        <v>0</v>
      </c>
      <c r="O59" s="25">
        <f>'TUSD BE'!$O$59*'TUSD BF'!$O$93</f>
        <v>0</v>
      </c>
      <c r="P59" s="25">
        <f>'TUSD BE'!$P$59*'TUSD BF'!$P$93</f>
        <v>0</v>
      </c>
      <c r="Q59" s="25">
        <f>'TUSD BE'!$Q$59*'TUSD BF'!$Q$93</f>
        <v>0</v>
      </c>
      <c r="R59" s="25">
        <f>'TUSD BE'!$R$59*'TUSD BF'!$R$93</f>
        <v>0</v>
      </c>
      <c r="S59" s="25">
        <f>'TUSD BE'!$R$59*'TUSD BF'!$S$93</f>
        <v>0</v>
      </c>
      <c r="T59" s="25">
        <f ca="1">SUM($L$59:$S$59)</f>
        <v>0</v>
      </c>
      <c r="U59" s="25">
        <f>'TUSD BE'!$U$59*'TUSD BF'!$U$93</f>
        <v>1.8349344365225504</v>
      </c>
      <c r="V59" s="25">
        <f>'TUSD BE'!$V$59*'TUSD BF'!$V$93</f>
        <v>0.46643141296858642</v>
      </c>
      <c r="W59" s="25">
        <f>'TUSD BE'!$W$59*'TUSD BF'!$W$93</f>
        <v>0</v>
      </c>
      <c r="X59" s="25">
        <f>'TUSD BE'!$X$59*'TUSD BF'!$X$93</f>
        <v>0</v>
      </c>
      <c r="Y59" s="25">
        <f>'TUSD BE'!$Y$59*'TUSD BF'!$Y$93</f>
        <v>0</v>
      </c>
      <c r="Z59" s="25">
        <f>'TUSD BE'!$Z$59*'TUSD BF'!$Z$93</f>
        <v>0</v>
      </c>
      <c r="AA59" s="25">
        <f>'TUSD BE'!$AA$59*'TUSD BF'!$AA$93</f>
        <v>0</v>
      </c>
      <c r="AB59" s="25">
        <f>SUM($U$59:$AA$59)</f>
        <v>2.3013658494911367</v>
      </c>
      <c r="AC59" s="25">
        <f>'TUSD BE'!$AC$59*'TUSD BF'!$AC$93</f>
        <v>0</v>
      </c>
      <c r="AD59" s="25">
        <f>SUM($AC$59:$AC$59)</f>
        <v>0</v>
      </c>
      <c r="AE59" s="25">
        <f ca="1">$AO$59*$AO$90</f>
        <v>0</v>
      </c>
      <c r="AF59" s="25">
        <f ca="1">$AP$59*$AP$90</f>
        <v>0</v>
      </c>
      <c r="AG59" s="25">
        <f ca="1">SUM($AE$59:$AF$59)</f>
        <v>0</v>
      </c>
      <c r="AH59" s="25">
        <f>'TUSD BE'!$AH$59*'TUSD BF'!$AH$93</f>
        <v>2.2117959582820563</v>
      </c>
      <c r="AI59" s="25">
        <f>'TUSD BE'!$AI$59*'TUSD BF'!$AI$93</f>
        <v>8.3137750607892996E-2</v>
      </c>
      <c r="AJ59" s="25">
        <f ca="1">'TUSD BE'!$AJ$59*'TUSD BF'!$AJ$93</f>
        <v>1.0418156705170367</v>
      </c>
      <c r="AK59" s="25">
        <f ca="1">'TUSD BE'!$AK$59*'TUSD BF'!$AK$93</f>
        <v>0</v>
      </c>
      <c r="AL59" s="25">
        <f ca="1">SUM($AH$59:$AK$59)</f>
        <v>3.336749379406986</v>
      </c>
      <c r="AM59" s="25">
        <f ca="1">SUMIF($L$4:$AL$4,"SUBTOTAL",$L$59:$AL$59)</f>
        <v>5.6381152288981227</v>
      </c>
      <c r="AO59" s="30">
        <f ca="1">+'TUSD BE'!$T$59+'TUSD BE'!$AB$59+'TUSD BE'!$AD$59+'TUSD BE'!$AL$59</f>
        <v>199.17411459243684</v>
      </c>
      <c r="AP59" s="30">
        <f ca="1">+'TUSD BE'!$T$59+'TUSD BE'!$AB$59+'TUSD BE'!$AD$59+'TUSD BE'!$AL$59</f>
        <v>199.17411459243684</v>
      </c>
    </row>
    <row r="60" spans="1:42" ht="11.25" customHeight="1" x14ac:dyDescent="0.25">
      <c r="A60" s="119"/>
      <c r="B60" s="119" t="s">
        <v>102</v>
      </c>
      <c r="C60" s="119" t="s">
        <v>24</v>
      </c>
      <c r="D60" s="28" t="s">
        <v>24</v>
      </c>
      <c r="E60" s="28" t="s">
        <v>25</v>
      </c>
      <c r="F60" s="28" t="s">
        <v>25</v>
      </c>
      <c r="G60" s="21" t="s">
        <v>94</v>
      </c>
      <c r="H60" s="21" t="s">
        <v>88</v>
      </c>
      <c r="I60" s="21">
        <f>'MERCADO TUSD'!$U$57</f>
        <v>0</v>
      </c>
      <c r="J60" s="17"/>
      <c r="L60" s="25">
        <f>'TUSD BE'!$L$60*'TUSD BF'!$L$93</f>
        <v>0</v>
      </c>
      <c r="M60" s="25">
        <f>'TUSD BE'!$M$60*'TUSD BF'!$M$93</f>
        <v>0</v>
      </c>
      <c r="N60" s="25">
        <f ca="1">'TUSD BE'!$N$60*'TUSD BF'!$N$93</f>
        <v>0</v>
      </c>
      <c r="O60" s="25">
        <f>'TUSD BE'!$O$60*'TUSD BF'!$O$93</f>
        <v>0</v>
      </c>
      <c r="P60" s="25">
        <f>'TUSD BE'!$P$60*'TUSD BF'!$P$93</f>
        <v>0</v>
      </c>
      <c r="Q60" s="25">
        <f>'TUSD BE'!$Q$60*'TUSD BF'!$Q$93</f>
        <v>6.8766148341030773</v>
      </c>
      <c r="R60" s="25">
        <f>'TUSD BE'!$R$60*'TUSD BF'!$R$93</f>
        <v>-0.99215351767428861</v>
      </c>
      <c r="S60" s="25">
        <f>'TUSD BE'!$R$60*'TUSD BF'!$S$93</f>
        <v>0</v>
      </c>
      <c r="T60" s="25">
        <f ca="1">SUM($L$60:$S$60)</f>
        <v>5.8844613164287889</v>
      </c>
      <c r="U60" s="25">
        <f>'TUSD BE'!$U$60*'TUSD BF'!$U$93</f>
        <v>1.8349344365225504</v>
      </c>
      <c r="V60" s="25">
        <f>'TUSD BE'!$V$60*'TUSD BF'!$V$93</f>
        <v>0.46643141296858642</v>
      </c>
      <c r="W60" s="25">
        <f>'TUSD BE'!$W$60*'TUSD BF'!$W$93</f>
        <v>0</v>
      </c>
      <c r="X60" s="25">
        <f>'TUSD BE'!$X$60*'TUSD BF'!$X$93</f>
        <v>0</v>
      </c>
      <c r="Y60" s="25">
        <f>'TUSD BE'!$Y$60*'TUSD BF'!$Y$93</f>
        <v>0</v>
      </c>
      <c r="Z60" s="25">
        <f>'TUSD BE'!$Z$60*'TUSD BF'!$Z$93</f>
        <v>0</v>
      </c>
      <c r="AA60" s="25">
        <f>'TUSD BE'!$AA$60*'TUSD BF'!$AA$93</f>
        <v>0</v>
      </c>
      <c r="AB60" s="25">
        <f>SUM($U$60:$AA$60)</f>
        <v>2.3013658494911367</v>
      </c>
      <c r="AC60" s="25">
        <f>'TUSD BE'!$AC$60*'TUSD BF'!$AC$93</f>
        <v>0</v>
      </c>
      <c r="AD60" s="25">
        <f>SUM($AC$60:$AC$60)</f>
        <v>0</v>
      </c>
      <c r="AE60" s="25">
        <f ca="1">$AO$60*$AO$90</f>
        <v>0</v>
      </c>
      <c r="AF60" s="25">
        <f ca="1">$AP$60*$AP$90</f>
        <v>0</v>
      </c>
      <c r="AG60" s="25">
        <f ca="1">SUM($AE$60:$AF$60)</f>
        <v>0</v>
      </c>
      <c r="AH60" s="25">
        <f>'TUSD BE'!$AH$60*'TUSD BF'!$AH$93</f>
        <v>2.2117959582820563</v>
      </c>
      <c r="AI60" s="25">
        <f>'TUSD BE'!$AI$60*'TUSD BF'!$AI$93</f>
        <v>8.3137750607892996E-2</v>
      </c>
      <c r="AJ60" s="25">
        <f ca="1">'TUSD BE'!$AJ$60*'TUSD BF'!$AJ$93</f>
        <v>1.0418156705170367</v>
      </c>
      <c r="AK60" s="25">
        <f ca="1">'TUSD BE'!$AK$60*'TUSD BF'!$AK$93</f>
        <v>0</v>
      </c>
      <c r="AL60" s="25">
        <f ca="1">SUM($AH$60:$AK$60)</f>
        <v>3.336749379406986</v>
      </c>
      <c r="AM60" s="25">
        <f ca="1">SUMIF($L$4:$AL$4,"SUBTOTAL",$L$60:$AL$60)</f>
        <v>11.52257654532691</v>
      </c>
      <c r="AO60" s="30">
        <f ca="1">+'TUSD BE'!$T$60+'TUSD BE'!$AB$60+'TUSD BE'!$AD$60+'TUSD BE'!$AL$60</f>
        <v>268.65612143694341</v>
      </c>
      <c r="AP60" s="30">
        <f ca="1">+'TUSD BE'!$T$60+'TUSD BE'!$AB$60+'TUSD BE'!$AD$60+'TUSD BE'!$AL$60</f>
        <v>268.65612143694341</v>
      </c>
    </row>
    <row r="61" spans="1:42" ht="11.25" customHeight="1" x14ac:dyDescent="0.25">
      <c r="A61" s="119"/>
      <c r="B61" s="119"/>
      <c r="C61" s="119"/>
      <c r="D61" s="28" t="s">
        <v>29</v>
      </c>
      <c r="E61" s="28" t="s">
        <v>25</v>
      </c>
      <c r="F61" s="28" t="s">
        <v>25</v>
      </c>
      <c r="G61" s="21" t="s">
        <v>94</v>
      </c>
      <c r="H61" s="21" t="s">
        <v>88</v>
      </c>
      <c r="I61" s="21">
        <f>'MERCADO TUSD'!$U$58</f>
        <v>0</v>
      </c>
      <c r="J61" s="17"/>
      <c r="L61" s="25">
        <f>'TUSD BE'!$L$61*'TUSD BF'!$L$93</f>
        <v>0</v>
      </c>
      <c r="M61" s="25">
        <f>'TUSD BE'!$M$61*'TUSD BF'!$M$93</f>
        <v>0</v>
      </c>
      <c r="N61" s="25">
        <f ca="1">'TUSD BE'!$N$61*'TUSD BF'!$N$93</f>
        <v>0</v>
      </c>
      <c r="O61" s="25">
        <f>'TUSD BE'!$O$61*'TUSD BF'!$O$93</f>
        <v>0</v>
      </c>
      <c r="P61" s="25">
        <f>'TUSD BE'!$P$61*'TUSD BF'!$P$93</f>
        <v>0</v>
      </c>
      <c r="Q61" s="25">
        <f>'TUSD BE'!$Q$61*'TUSD BF'!$Q$93</f>
        <v>0</v>
      </c>
      <c r="R61" s="25">
        <f>'TUSD BE'!$R$61*'TUSD BF'!$R$93</f>
        <v>0</v>
      </c>
      <c r="S61" s="25">
        <f>'TUSD BE'!$R$61*'TUSD BF'!$S$93</f>
        <v>0</v>
      </c>
      <c r="T61" s="25">
        <f ca="1">SUM($L$61:$S$61)</f>
        <v>0</v>
      </c>
      <c r="U61" s="25">
        <f>'TUSD BE'!$U$61*'TUSD BF'!$U$93</f>
        <v>1.8349344365225504</v>
      </c>
      <c r="V61" s="25">
        <f>'TUSD BE'!$V$61*'TUSD BF'!$V$93</f>
        <v>0.46643141296858642</v>
      </c>
      <c r="W61" s="25">
        <f>'TUSD BE'!$W$61*'TUSD BF'!$W$93</f>
        <v>0</v>
      </c>
      <c r="X61" s="25">
        <f>'TUSD BE'!$X$61*'TUSD BF'!$X$93</f>
        <v>0</v>
      </c>
      <c r="Y61" s="25">
        <f>'TUSD BE'!$Y$61*'TUSD BF'!$Y$93</f>
        <v>0</v>
      </c>
      <c r="Z61" s="25">
        <f>'TUSD BE'!$Z$61*'TUSD BF'!$Z$93</f>
        <v>0</v>
      </c>
      <c r="AA61" s="25">
        <f>'TUSD BE'!$AA$61*'TUSD BF'!$AA$93</f>
        <v>0</v>
      </c>
      <c r="AB61" s="25">
        <f>SUM($U$61:$AA$61)</f>
        <v>2.3013658494911367</v>
      </c>
      <c r="AC61" s="25">
        <f>'TUSD BE'!$AC$61*'TUSD BF'!$AC$93</f>
        <v>0</v>
      </c>
      <c r="AD61" s="25">
        <f>SUM($AC$61:$AC$61)</f>
        <v>0</v>
      </c>
      <c r="AE61" s="25">
        <f ca="1">$AO$61*$AO$90</f>
        <v>0</v>
      </c>
      <c r="AF61" s="25">
        <f ca="1">$AP$61*$AP$90</f>
        <v>0</v>
      </c>
      <c r="AG61" s="25">
        <f ca="1">SUM($AE$61:$AF$61)</f>
        <v>0</v>
      </c>
      <c r="AH61" s="25">
        <f>'TUSD BE'!$AH$61*'TUSD BF'!$AH$93</f>
        <v>2.2117959582820563</v>
      </c>
      <c r="AI61" s="25">
        <f>'TUSD BE'!$AI$61*'TUSD BF'!$AI$93</f>
        <v>8.3137750607892996E-2</v>
      </c>
      <c r="AJ61" s="25">
        <f ca="1">'TUSD BE'!$AJ$61*'TUSD BF'!$AJ$93</f>
        <v>1.0418156705170367</v>
      </c>
      <c r="AK61" s="25">
        <f ca="1">'TUSD BE'!$AK$61*'TUSD BF'!$AK$93</f>
        <v>0</v>
      </c>
      <c r="AL61" s="25">
        <f ca="1">SUM($AH$61:$AK$61)</f>
        <v>3.336749379406986</v>
      </c>
      <c r="AM61" s="25">
        <f ca="1">SUMIF($L$4:$AL$4,"SUBTOTAL",$L$61:$AL$61)</f>
        <v>5.6381152288981227</v>
      </c>
      <c r="AO61" s="30">
        <f ca="1">+'TUSD BE'!$T$61+'TUSD BE'!$AB$61+'TUSD BE'!$AD$61+'TUSD BE'!$AL$61</f>
        <v>199.17411459243684</v>
      </c>
      <c r="AP61" s="30">
        <f ca="1">+'TUSD BE'!$T$61+'TUSD BE'!$AB$61+'TUSD BE'!$AD$61+'TUSD BE'!$AL$61</f>
        <v>199.17411459243684</v>
      </c>
    </row>
    <row r="62" spans="1:42" ht="11.25" customHeight="1" x14ac:dyDescent="0.25">
      <c r="A62" s="119"/>
      <c r="B62" s="119"/>
      <c r="C62" s="119"/>
      <c r="D62" s="28" t="s">
        <v>30</v>
      </c>
      <c r="E62" s="28" t="s">
        <v>25</v>
      </c>
      <c r="F62" s="28" t="s">
        <v>25</v>
      </c>
      <c r="G62" s="21" t="s">
        <v>94</v>
      </c>
      <c r="H62" s="21" t="s">
        <v>88</v>
      </c>
      <c r="I62" s="21">
        <f>'MERCADO TUSD'!$U$59</f>
        <v>0</v>
      </c>
      <c r="J62" s="17"/>
      <c r="L62" s="25">
        <f>'TUSD BE'!$L$62*'TUSD BF'!$L$93</f>
        <v>0</v>
      </c>
      <c r="M62" s="25">
        <f>'TUSD BE'!$M$62*'TUSD BF'!$M$93</f>
        <v>0</v>
      </c>
      <c r="N62" s="25">
        <f ca="1">'TUSD BE'!$N$62*'TUSD BF'!$N$93</f>
        <v>0</v>
      </c>
      <c r="O62" s="25">
        <f>'TUSD BE'!$O$62*'TUSD BF'!$O$93</f>
        <v>0</v>
      </c>
      <c r="P62" s="25">
        <f>'TUSD BE'!$P$62*'TUSD BF'!$P$93</f>
        <v>0</v>
      </c>
      <c r="Q62" s="25">
        <f>'TUSD BE'!$Q$62*'TUSD BF'!$Q$93</f>
        <v>0</v>
      </c>
      <c r="R62" s="25">
        <f>'TUSD BE'!$R$62*'TUSD BF'!$R$93</f>
        <v>0</v>
      </c>
      <c r="S62" s="25">
        <f>'TUSD BE'!$R$62*'TUSD BF'!$S$93</f>
        <v>0</v>
      </c>
      <c r="T62" s="25">
        <f ca="1">SUM($L$62:$S$62)</f>
        <v>0</v>
      </c>
      <c r="U62" s="25">
        <f>'TUSD BE'!$U$62*'TUSD BF'!$U$93</f>
        <v>1.8349344365225504</v>
      </c>
      <c r="V62" s="25">
        <f>'TUSD BE'!$V$62*'TUSD BF'!$V$93</f>
        <v>0.46643141296858642</v>
      </c>
      <c r="W62" s="25">
        <f>'TUSD BE'!$W$62*'TUSD BF'!$W$93</f>
        <v>0</v>
      </c>
      <c r="X62" s="25">
        <f>'TUSD BE'!$X$62*'TUSD BF'!$X$93</f>
        <v>0</v>
      </c>
      <c r="Y62" s="25">
        <f>'TUSD BE'!$Y$62*'TUSD BF'!$Y$93</f>
        <v>0</v>
      </c>
      <c r="Z62" s="25">
        <f>'TUSD BE'!$Z$62*'TUSD BF'!$Z$93</f>
        <v>0</v>
      </c>
      <c r="AA62" s="25">
        <f>'TUSD BE'!$AA$62*'TUSD BF'!$AA$93</f>
        <v>0</v>
      </c>
      <c r="AB62" s="25">
        <f>SUM($U$62:$AA$62)</f>
        <v>2.3013658494911367</v>
      </c>
      <c r="AC62" s="25">
        <f>'TUSD BE'!$AC$62*'TUSD BF'!$AC$93</f>
        <v>0</v>
      </c>
      <c r="AD62" s="25">
        <f>SUM($AC$62:$AC$62)</f>
        <v>0</v>
      </c>
      <c r="AE62" s="25">
        <f ca="1">$AO$62*$AO$90</f>
        <v>0</v>
      </c>
      <c r="AF62" s="25">
        <f ca="1">$AP$62*$AP$90</f>
        <v>0</v>
      </c>
      <c r="AG62" s="25">
        <f ca="1">SUM($AE$62:$AF$62)</f>
        <v>0</v>
      </c>
      <c r="AH62" s="25">
        <f>'TUSD BE'!$AH$62*'TUSD BF'!$AH$93</f>
        <v>2.2117959582820563</v>
      </c>
      <c r="AI62" s="25">
        <f>'TUSD BE'!$AI$62*'TUSD BF'!$AI$93</f>
        <v>8.3137750607892996E-2</v>
      </c>
      <c r="AJ62" s="25">
        <f ca="1">'TUSD BE'!$AJ$62*'TUSD BF'!$AJ$93</f>
        <v>1.0418156705170367</v>
      </c>
      <c r="AK62" s="25">
        <f ca="1">'TUSD BE'!$AK$62*'TUSD BF'!$AK$93</f>
        <v>0</v>
      </c>
      <c r="AL62" s="25">
        <f ca="1">SUM($AH$62:$AK$62)</f>
        <v>3.336749379406986</v>
      </c>
      <c r="AM62" s="25">
        <f ca="1">SUMIF($L$4:$AL$4,"SUBTOTAL",$L$62:$AL$62)</f>
        <v>5.6381152288981227</v>
      </c>
      <c r="AO62" s="30">
        <f ca="1">+'TUSD BE'!$T$62+'TUSD BE'!$AB$62+'TUSD BE'!$AD$62+'TUSD BE'!$AL$62</f>
        <v>199.17411459243684</v>
      </c>
      <c r="AP62" s="30">
        <f ca="1">+'TUSD BE'!$T$62+'TUSD BE'!$AB$62+'TUSD BE'!$AD$62+'TUSD BE'!$AL$62</f>
        <v>199.17411459243684</v>
      </c>
    </row>
    <row r="63" spans="1:42" ht="11.25" customHeight="1" x14ac:dyDescent="0.25">
      <c r="A63" s="119"/>
      <c r="B63" s="119"/>
      <c r="C63" s="119"/>
      <c r="D63" s="28" t="s">
        <v>31</v>
      </c>
      <c r="E63" s="28" t="s">
        <v>25</v>
      </c>
      <c r="F63" s="28" t="s">
        <v>25</v>
      </c>
      <c r="G63" s="21" t="s">
        <v>94</v>
      </c>
      <c r="H63" s="21" t="s">
        <v>88</v>
      </c>
      <c r="I63" s="21">
        <f>'MERCADO TUSD'!$U$60</f>
        <v>0</v>
      </c>
      <c r="J63" s="17"/>
      <c r="L63" s="25">
        <f>'TUSD BE'!$L$63*'TUSD BF'!$L$93</f>
        <v>0</v>
      </c>
      <c r="M63" s="25">
        <f>'TUSD BE'!$M$63*'TUSD BF'!$M$93</f>
        <v>0</v>
      </c>
      <c r="N63" s="25">
        <f ca="1">'TUSD BE'!$N$63*'TUSD BF'!$N$93</f>
        <v>0</v>
      </c>
      <c r="O63" s="25">
        <f>'TUSD BE'!$O$63*'TUSD BF'!$O$93</f>
        <v>0</v>
      </c>
      <c r="P63" s="25">
        <f>'TUSD BE'!$P$63*'TUSD BF'!$P$93</f>
        <v>0</v>
      </c>
      <c r="Q63" s="25">
        <f>'TUSD BE'!$Q$63*'TUSD BF'!$Q$93</f>
        <v>0</v>
      </c>
      <c r="R63" s="25">
        <f>'TUSD BE'!$R$63*'TUSD BF'!$R$93</f>
        <v>0</v>
      </c>
      <c r="S63" s="25">
        <f>'TUSD BE'!$R$63*'TUSD BF'!$S$93</f>
        <v>0</v>
      </c>
      <c r="T63" s="25">
        <f ca="1">SUM($L$63:$S$63)</f>
        <v>0</v>
      </c>
      <c r="U63" s="25">
        <f>'TUSD BE'!$U$63*'TUSD BF'!$U$93</f>
        <v>1.8349344365225504</v>
      </c>
      <c r="V63" s="25">
        <f>'TUSD BE'!$V$63*'TUSD BF'!$V$93</f>
        <v>0.46643141296858642</v>
      </c>
      <c r="W63" s="25">
        <f>'TUSD BE'!$W$63*'TUSD BF'!$W$93</f>
        <v>0</v>
      </c>
      <c r="X63" s="25">
        <f>'TUSD BE'!$X$63*'TUSD BF'!$X$93</f>
        <v>0</v>
      </c>
      <c r="Y63" s="25">
        <f>'TUSD BE'!$Y$63*'TUSD BF'!$Y$93</f>
        <v>0</v>
      </c>
      <c r="Z63" s="25">
        <f>'TUSD BE'!$Z$63*'TUSD BF'!$Z$93</f>
        <v>0</v>
      </c>
      <c r="AA63" s="25">
        <f>'TUSD BE'!$AA$63*'TUSD BF'!$AA$93</f>
        <v>0</v>
      </c>
      <c r="AB63" s="25">
        <f>SUM($U$63:$AA$63)</f>
        <v>2.3013658494911367</v>
      </c>
      <c r="AC63" s="25">
        <f>'TUSD BE'!$AC$63*'TUSD BF'!$AC$93</f>
        <v>0</v>
      </c>
      <c r="AD63" s="25">
        <f>SUM($AC$63:$AC$63)</f>
        <v>0</v>
      </c>
      <c r="AE63" s="25">
        <f ca="1">$AO$63*$AO$90</f>
        <v>0</v>
      </c>
      <c r="AF63" s="25">
        <f ca="1">$AP$63*$AP$90</f>
        <v>0</v>
      </c>
      <c r="AG63" s="25">
        <f ca="1">SUM($AE$63:$AF$63)</f>
        <v>0</v>
      </c>
      <c r="AH63" s="25">
        <f>'TUSD BE'!$AH$63*'TUSD BF'!$AH$93</f>
        <v>2.2117959582820563</v>
      </c>
      <c r="AI63" s="25">
        <f>'TUSD BE'!$AI$63*'TUSD BF'!$AI$93</f>
        <v>8.3137750607892996E-2</v>
      </c>
      <c r="AJ63" s="25">
        <f ca="1">'TUSD BE'!$AJ$63*'TUSD BF'!$AJ$93</f>
        <v>1.0418156705170367</v>
      </c>
      <c r="AK63" s="25">
        <f ca="1">'TUSD BE'!$AK$63*'TUSD BF'!$AK$93</f>
        <v>0</v>
      </c>
      <c r="AL63" s="25">
        <f ca="1">SUM($AH$63:$AK$63)</f>
        <v>3.336749379406986</v>
      </c>
      <c r="AM63" s="25">
        <f ca="1">SUMIF($L$4:$AL$4,"SUBTOTAL",$L$63:$AL$63)</f>
        <v>5.6381152288981227</v>
      </c>
      <c r="AO63" s="30">
        <f ca="1">+'TUSD BE'!$T$63+'TUSD BE'!$AB$63+'TUSD BE'!$AD$63+'TUSD BE'!$AL$63</f>
        <v>199.17411459243684</v>
      </c>
      <c r="AP63" s="30">
        <f ca="1">+'TUSD BE'!$T$63+'TUSD BE'!$AB$63+'TUSD BE'!$AD$63+'TUSD BE'!$AL$63</f>
        <v>199.17411459243684</v>
      </c>
    </row>
    <row r="64" spans="1:42" ht="11.25" customHeight="1" x14ac:dyDescent="0.25">
      <c r="A64" s="119"/>
      <c r="B64" s="119"/>
      <c r="C64" s="119"/>
      <c r="D64" s="28" t="s">
        <v>32</v>
      </c>
      <c r="E64" s="28" t="s">
        <v>25</v>
      </c>
      <c r="F64" s="28" t="s">
        <v>25</v>
      </c>
      <c r="G64" s="21" t="s">
        <v>94</v>
      </c>
      <c r="H64" s="21" t="s">
        <v>88</v>
      </c>
      <c r="I64" s="21">
        <f>'MERCADO TUSD'!$U$61</f>
        <v>0</v>
      </c>
      <c r="J64" s="17"/>
      <c r="L64" s="25">
        <f>'TUSD BE'!$L$64*'TUSD BF'!$L$93</f>
        <v>0</v>
      </c>
      <c r="M64" s="25">
        <f>'TUSD BE'!$M$64*'TUSD BF'!$M$93</f>
        <v>0</v>
      </c>
      <c r="N64" s="25">
        <f ca="1">'TUSD BE'!$N$64*'TUSD BF'!$N$93</f>
        <v>0</v>
      </c>
      <c r="O64" s="25">
        <f>'TUSD BE'!$O$64*'TUSD BF'!$O$93</f>
        <v>0</v>
      </c>
      <c r="P64" s="25">
        <f>'TUSD BE'!$P$64*'TUSD BF'!$P$93</f>
        <v>0</v>
      </c>
      <c r="Q64" s="25">
        <f>'TUSD BE'!$Q$64*'TUSD BF'!$Q$93</f>
        <v>0</v>
      </c>
      <c r="R64" s="25">
        <f>'TUSD BE'!$R$64*'TUSD BF'!$R$93</f>
        <v>0</v>
      </c>
      <c r="S64" s="25">
        <f>'TUSD BE'!$R$64*'TUSD BF'!$S$93</f>
        <v>0</v>
      </c>
      <c r="T64" s="25">
        <f ca="1">SUM($L$64:$S$64)</f>
        <v>0</v>
      </c>
      <c r="U64" s="25">
        <f>'TUSD BE'!$U$64*'TUSD BF'!$U$93</f>
        <v>1.8349344365225504</v>
      </c>
      <c r="V64" s="25">
        <f>'TUSD BE'!$V$64*'TUSD BF'!$V$93</f>
        <v>0.46643141296858642</v>
      </c>
      <c r="W64" s="25">
        <f>'TUSD BE'!$W$64*'TUSD BF'!$W$93</f>
        <v>0</v>
      </c>
      <c r="X64" s="25">
        <f>'TUSD BE'!$X$64*'TUSD BF'!$X$93</f>
        <v>0</v>
      </c>
      <c r="Y64" s="25">
        <f>'TUSD BE'!$Y$64*'TUSD BF'!$Y$93</f>
        <v>0</v>
      </c>
      <c r="Z64" s="25">
        <f>'TUSD BE'!$Z$64*'TUSD BF'!$Z$93</f>
        <v>0</v>
      </c>
      <c r="AA64" s="25">
        <f>'TUSD BE'!$AA$64*'TUSD BF'!$AA$93</f>
        <v>0</v>
      </c>
      <c r="AB64" s="25">
        <f>SUM($U$64:$AA$64)</f>
        <v>2.3013658494911367</v>
      </c>
      <c r="AC64" s="25">
        <f>'TUSD BE'!$AC$64*'TUSD BF'!$AC$93</f>
        <v>0</v>
      </c>
      <c r="AD64" s="25">
        <f>SUM($AC$64:$AC$64)</f>
        <v>0</v>
      </c>
      <c r="AE64" s="25">
        <f ca="1">$AO$64*$AO$90</f>
        <v>0</v>
      </c>
      <c r="AF64" s="25">
        <f ca="1">$AP$64*$AP$90</f>
        <v>0</v>
      </c>
      <c r="AG64" s="25">
        <f ca="1">SUM($AE$64:$AF$64)</f>
        <v>0</v>
      </c>
      <c r="AH64" s="25">
        <f>'TUSD BE'!$AH$64*'TUSD BF'!$AH$93</f>
        <v>2.2117959582820563</v>
      </c>
      <c r="AI64" s="25">
        <f>'TUSD BE'!$AI$64*'TUSD BF'!$AI$93</f>
        <v>8.3137750607892996E-2</v>
      </c>
      <c r="AJ64" s="25">
        <f ca="1">'TUSD BE'!$AJ$64*'TUSD BF'!$AJ$93</f>
        <v>1.0418156705170367</v>
      </c>
      <c r="AK64" s="25">
        <f ca="1">'TUSD BE'!$AK$64*'TUSD BF'!$AK$93</f>
        <v>0</v>
      </c>
      <c r="AL64" s="25">
        <f ca="1">SUM($AH$64:$AK$64)</f>
        <v>3.336749379406986</v>
      </c>
      <c r="AM64" s="25">
        <f ca="1">SUMIF($L$4:$AL$4,"SUBTOTAL",$L$64:$AL$64)</f>
        <v>5.6381152288981227</v>
      </c>
      <c r="AO64" s="30">
        <f ca="1">+'TUSD BE'!$T$64+'TUSD BE'!$AB$64+'TUSD BE'!$AD$64+'TUSD BE'!$AL$64</f>
        <v>199.17411459243684</v>
      </c>
      <c r="AP64" s="30">
        <f ca="1">+'TUSD BE'!$T$64+'TUSD BE'!$AB$64+'TUSD BE'!$AD$64+'TUSD BE'!$AL$64</f>
        <v>199.17411459243684</v>
      </c>
    </row>
    <row r="65" spans="1:42" ht="11.25" customHeight="1" x14ac:dyDescent="0.25">
      <c r="A65" s="119" t="s">
        <v>46</v>
      </c>
      <c r="B65" s="119" t="s">
        <v>37</v>
      </c>
      <c r="C65" s="119" t="s">
        <v>47</v>
      </c>
      <c r="D65" s="119" t="s">
        <v>25</v>
      </c>
      <c r="E65" s="119" t="s">
        <v>25</v>
      </c>
      <c r="F65" s="119" t="s">
        <v>25</v>
      </c>
      <c r="G65" s="21" t="s">
        <v>89</v>
      </c>
      <c r="H65" s="21" t="s">
        <v>88</v>
      </c>
      <c r="I65" s="21">
        <f>'MERCADO TUSD'!$U$62</f>
        <v>1.0549999999999999</v>
      </c>
      <c r="J65" s="17"/>
      <c r="L65" s="25">
        <f>'TUSD BE'!$L$65*'TUSD BF'!$L$93</f>
        <v>0</v>
      </c>
      <c r="M65" s="25">
        <f>'TUSD BE'!$M$65*'TUSD BF'!$M$93</f>
        <v>0</v>
      </c>
      <c r="N65" s="25">
        <f ca="1">'TUSD BE'!$N$65*'TUSD BF'!$N$93</f>
        <v>0</v>
      </c>
      <c r="O65" s="25">
        <f>'TUSD BE'!$O$65*'TUSD BF'!$O$93</f>
        <v>0</v>
      </c>
      <c r="P65" s="25">
        <f>'TUSD BE'!$P$65*'TUSD BF'!$P$93</f>
        <v>0</v>
      </c>
      <c r="Q65" s="25">
        <f>'TUSD BE'!$Q$65*'TUSD BF'!$Q$93</f>
        <v>6.8766148341030773</v>
      </c>
      <c r="R65" s="25">
        <f>'TUSD BE'!$R$65*'TUSD BF'!$R$93</f>
        <v>-0.99215351767428861</v>
      </c>
      <c r="S65" s="25">
        <f>'TUSD BE'!$R$65*'TUSD BF'!$S$93</f>
        <v>0</v>
      </c>
      <c r="T65" s="25">
        <f ca="1">SUM($L$65:$S$65)</f>
        <v>5.8844613164287889</v>
      </c>
      <c r="U65" s="25">
        <f>'TUSD BE'!$U$65*'TUSD BF'!$U$93</f>
        <v>5.8718077456976072</v>
      </c>
      <c r="V65" s="25">
        <f>'TUSD BE'!$V$65*'TUSD BF'!$V$93</f>
        <v>1.4925599512056298</v>
      </c>
      <c r="W65" s="25">
        <f>'TUSD BE'!$W$65*'TUSD BF'!$W$93</f>
        <v>0</v>
      </c>
      <c r="X65" s="25">
        <f>'TUSD BE'!$X$65*'TUSD BF'!$X$93</f>
        <v>0</v>
      </c>
      <c r="Y65" s="25">
        <f>'TUSD BE'!$Y$65*'TUSD BF'!$Y$93</f>
        <v>0</v>
      </c>
      <c r="Z65" s="25">
        <f>'TUSD BE'!$Z$65*'TUSD BF'!$Z$93</f>
        <v>0</v>
      </c>
      <c r="AA65" s="25">
        <f>'TUSD BE'!$AA$65*'TUSD BF'!$AA$93</f>
        <v>0</v>
      </c>
      <c r="AB65" s="25">
        <f>SUM($U$65:$AA$65)</f>
        <v>7.364367696903237</v>
      </c>
      <c r="AC65" s="25">
        <f>'TUSD BE'!$AC$65*'TUSD BF'!$AC$93</f>
        <v>0</v>
      </c>
      <c r="AD65" s="25">
        <f>SUM($AC$65:$AC$65)</f>
        <v>0</v>
      </c>
      <c r="AE65" s="25">
        <f ca="1">$AO$65*$AO$90</f>
        <v>0</v>
      </c>
      <c r="AF65" s="25">
        <f ca="1">$AP$65*$AP$90</f>
        <v>0</v>
      </c>
      <c r="AG65" s="25">
        <f ca="1">SUM($AE$65:$AF$65)</f>
        <v>0</v>
      </c>
      <c r="AH65" s="25">
        <f>'TUSD BE'!$AH$65*'TUSD BF'!$AH$93</f>
        <v>2.2117959582820563</v>
      </c>
      <c r="AI65" s="25">
        <f>'TUSD BE'!$AI$65*'TUSD BF'!$AI$93</f>
        <v>8.3137750607892996E-2</v>
      </c>
      <c r="AJ65" s="25">
        <f ca="1">'TUSD BE'!$AJ$65*'TUSD BF'!$AJ$93</f>
        <v>1.0418156705170367</v>
      </c>
      <c r="AK65" s="25">
        <f ca="1">'TUSD BE'!$AK$65*'TUSD BF'!$AK$93</f>
        <v>0</v>
      </c>
      <c r="AL65" s="25">
        <f ca="1">SUM($AH$65:$AK$65)</f>
        <v>3.336749379406986</v>
      </c>
      <c r="AM65" s="25">
        <f ca="1">SUMIF($L$4:$AL$4,"SUBTOTAL",$L$65:$AL$65)</f>
        <v>16.585578392739013</v>
      </c>
      <c r="AO65" s="30">
        <f ca="1">+'TUSD BE'!$T$65+'TUSD BE'!$AB$65+'TUSD BE'!$AD$65+'TUSD BE'!$AL$65</f>
        <v>617.02362518114501</v>
      </c>
      <c r="AP65" s="30">
        <f ca="1">+'TUSD BE'!$T$65+'TUSD BE'!$AB$65+'TUSD BE'!$AD$65+'TUSD BE'!$AL$65</f>
        <v>617.02362518114501</v>
      </c>
    </row>
    <row r="66" spans="1:42" ht="11.25" customHeight="1" x14ac:dyDescent="0.25">
      <c r="A66" s="119"/>
      <c r="B66" s="119"/>
      <c r="C66" s="119"/>
      <c r="D66" s="119"/>
      <c r="E66" s="119"/>
      <c r="F66" s="119"/>
      <c r="G66" s="21" t="s">
        <v>100</v>
      </c>
      <c r="H66" s="21" t="s">
        <v>88</v>
      </c>
      <c r="I66" s="21">
        <f>'MERCADO TUSD'!$U$63</f>
        <v>0.57700000000000007</v>
      </c>
      <c r="J66" s="17"/>
      <c r="L66" s="25">
        <f>'TUSD BE'!$L$66*'TUSD BF'!$L$93</f>
        <v>0</v>
      </c>
      <c r="M66" s="25">
        <f>'TUSD BE'!$M$66*'TUSD BF'!$M$93</f>
        <v>0</v>
      </c>
      <c r="N66" s="25">
        <f ca="1">'TUSD BE'!$N$66*'TUSD BF'!$N$93</f>
        <v>0</v>
      </c>
      <c r="O66" s="25">
        <f>'TUSD BE'!$O$66*'TUSD BF'!$O$93</f>
        <v>0</v>
      </c>
      <c r="P66" s="25">
        <f>'TUSD BE'!$P$66*'TUSD BF'!$P$93</f>
        <v>0</v>
      </c>
      <c r="Q66" s="25">
        <f>'TUSD BE'!$Q$66*'TUSD BF'!$Q$93</f>
        <v>6.8766148341030773</v>
      </c>
      <c r="R66" s="25">
        <f>'TUSD BE'!$R$66*'TUSD BF'!$R$93</f>
        <v>-0.99215351767428861</v>
      </c>
      <c r="S66" s="25">
        <f>'TUSD BE'!$R$66*'TUSD BF'!$S$93</f>
        <v>0</v>
      </c>
      <c r="T66" s="25">
        <f ca="1">SUM($L$66:$S$66)</f>
        <v>5.8844613164287889</v>
      </c>
      <c r="U66" s="25">
        <f>'TUSD BE'!$U$66*'TUSD BF'!$U$93</f>
        <v>3.5230729482016008</v>
      </c>
      <c r="V66" s="25">
        <f>'TUSD BE'!$V$66*'TUSD BF'!$V$93</f>
        <v>0.89552774260583956</v>
      </c>
      <c r="W66" s="25">
        <f>'TUSD BE'!$W$66*'TUSD BF'!$W$93</f>
        <v>0</v>
      </c>
      <c r="X66" s="25">
        <f>'TUSD BE'!$X$66*'TUSD BF'!$X$93</f>
        <v>0</v>
      </c>
      <c r="Y66" s="25">
        <f>'TUSD BE'!$Y$66*'TUSD BF'!$Y$93</f>
        <v>0</v>
      </c>
      <c r="Z66" s="25">
        <f>'TUSD BE'!$Z$66*'TUSD BF'!$Z$93</f>
        <v>0</v>
      </c>
      <c r="AA66" s="25">
        <f>'TUSD BE'!$AA$66*'TUSD BF'!$AA$93</f>
        <v>0</v>
      </c>
      <c r="AB66" s="25">
        <f>SUM($U$66:$AA$66)</f>
        <v>4.4186006908074402</v>
      </c>
      <c r="AC66" s="25">
        <f>'TUSD BE'!$AC$66*'TUSD BF'!$AC$93</f>
        <v>0</v>
      </c>
      <c r="AD66" s="25">
        <f>SUM($AC$66:$AC$66)</f>
        <v>0</v>
      </c>
      <c r="AE66" s="25">
        <f ca="1">$AO$66*$AO$90</f>
        <v>0</v>
      </c>
      <c r="AF66" s="25">
        <f ca="1">$AP$66*$AP$90</f>
        <v>0</v>
      </c>
      <c r="AG66" s="25">
        <f ca="1">SUM($AE$66:$AF$66)</f>
        <v>0</v>
      </c>
      <c r="AH66" s="25">
        <f>'TUSD BE'!$AH$66*'TUSD BF'!$AH$93</f>
        <v>2.2117959582820563</v>
      </c>
      <c r="AI66" s="25">
        <f>'TUSD BE'!$AI$66*'TUSD BF'!$AI$93</f>
        <v>8.3137750607892996E-2</v>
      </c>
      <c r="AJ66" s="25">
        <f ca="1">'TUSD BE'!$AJ$66*'TUSD BF'!$AJ$93</f>
        <v>1.0418156705170367</v>
      </c>
      <c r="AK66" s="25">
        <f ca="1">'TUSD BE'!$AK$66*'TUSD BF'!$AK$93</f>
        <v>0</v>
      </c>
      <c r="AL66" s="25">
        <f ca="1">SUM($AH$66:$AK$66)</f>
        <v>3.336749379406986</v>
      </c>
      <c r="AM66" s="25">
        <f ca="1">SUMIF($L$4:$AL$4,"SUBTOTAL",$L$66:$AL$66)</f>
        <v>13.639811386643213</v>
      </c>
      <c r="AO66" s="30">
        <f ca="1">+'TUSD BE'!$T$66+'TUSD BE'!$AB$66+'TUSD BE'!$AD$66+'TUSD BE'!$AL$66</f>
        <v>414.33674388100781</v>
      </c>
      <c r="AP66" s="30">
        <f ca="1">+'TUSD BE'!$T$66+'TUSD BE'!$AB$66+'TUSD BE'!$AD$66+'TUSD BE'!$AL$66</f>
        <v>414.33674388100781</v>
      </c>
    </row>
    <row r="67" spans="1:42" ht="11.25" customHeight="1" x14ac:dyDescent="0.25">
      <c r="A67" s="119"/>
      <c r="B67" s="119"/>
      <c r="C67" s="119"/>
      <c r="D67" s="119"/>
      <c r="E67" s="119"/>
      <c r="F67" s="119"/>
      <c r="G67" s="21" t="s">
        <v>90</v>
      </c>
      <c r="H67" s="21" t="s">
        <v>88</v>
      </c>
      <c r="I67" s="21">
        <f>'MERCADO TUSD'!$U$64</f>
        <v>5.0120000000000005</v>
      </c>
      <c r="J67" s="17"/>
      <c r="L67" s="25">
        <f>'TUSD BE'!$L$67*'TUSD BF'!$L$93</f>
        <v>0</v>
      </c>
      <c r="M67" s="25">
        <f>'TUSD BE'!$M$67*'TUSD BF'!$M$93</f>
        <v>0</v>
      </c>
      <c r="N67" s="25">
        <f ca="1">'TUSD BE'!$N$67*'TUSD BF'!$N$93</f>
        <v>0</v>
      </c>
      <c r="O67" s="25">
        <f>'TUSD BE'!$O$67*'TUSD BF'!$O$93</f>
        <v>0</v>
      </c>
      <c r="P67" s="25">
        <f>'TUSD BE'!$P$67*'TUSD BF'!$P$93</f>
        <v>0</v>
      </c>
      <c r="Q67" s="25">
        <f>'TUSD BE'!$Q$67*'TUSD BF'!$Q$93</f>
        <v>6.8766148341030773</v>
      </c>
      <c r="R67" s="25">
        <f>'TUSD BE'!$R$67*'TUSD BF'!$R$93</f>
        <v>-0.99215351767428861</v>
      </c>
      <c r="S67" s="25">
        <f>'TUSD BE'!$R$67*'TUSD BF'!$S$93</f>
        <v>0</v>
      </c>
      <c r="T67" s="25">
        <f ca="1">SUM($L$67:$S$67)</f>
        <v>5.8844613164287889</v>
      </c>
      <c r="U67" s="25">
        <f>'TUSD BE'!$U$67*'TUSD BF'!$U$93</f>
        <v>1.1743673987480028</v>
      </c>
      <c r="V67" s="25">
        <f>'TUSD BE'!$V$67*'TUSD BF'!$V$93</f>
        <v>0.29851610429989534</v>
      </c>
      <c r="W67" s="25">
        <f>'TUSD BE'!$W$67*'TUSD BF'!$W$93</f>
        <v>0</v>
      </c>
      <c r="X67" s="25">
        <f>'TUSD BE'!$X$67*'TUSD BF'!$X$93</f>
        <v>0</v>
      </c>
      <c r="Y67" s="25">
        <f>'TUSD BE'!$Y$67*'TUSD BF'!$Y$93</f>
        <v>0</v>
      </c>
      <c r="Z67" s="25">
        <f>'TUSD BE'!$Z$67*'TUSD BF'!$Z$93</f>
        <v>0</v>
      </c>
      <c r="AA67" s="25">
        <f>'TUSD BE'!$AA$67*'TUSD BF'!$AA$93</f>
        <v>0</v>
      </c>
      <c r="AB67" s="25">
        <f>SUM($U$67:$AA$67)</f>
        <v>1.4728835030478982</v>
      </c>
      <c r="AC67" s="25">
        <f>'TUSD BE'!$AC$67*'TUSD BF'!$AC$93</f>
        <v>0</v>
      </c>
      <c r="AD67" s="25">
        <f>SUM($AC$67:$AC$67)</f>
        <v>0</v>
      </c>
      <c r="AE67" s="25">
        <f ca="1">$AO$67*$AO$90</f>
        <v>0</v>
      </c>
      <c r="AF67" s="25">
        <f ca="1">$AP$67*$AP$90</f>
        <v>0</v>
      </c>
      <c r="AG67" s="25">
        <f ca="1">SUM($AE$67:$AF$67)</f>
        <v>0</v>
      </c>
      <c r="AH67" s="25">
        <f>'TUSD BE'!$AH$67*'TUSD BF'!$AH$93</f>
        <v>2.2117959582820563</v>
      </c>
      <c r="AI67" s="25">
        <f>'TUSD BE'!$AI$67*'TUSD BF'!$AI$93</f>
        <v>8.3137750607892996E-2</v>
      </c>
      <c r="AJ67" s="25">
        <f ca="1">'TUSD BE'!$AJ$67*'TUSD BF'!$AJ$93</f>
        <v>1.0418156705170367</v>
      </c>
      <c r="AK67" s="25">
        <f ca="1">'TUSD BE'!$AK$67*'TUSD BF'!$AK$93</f>
        <v>0</v>
      </c>
      <c r="AL67" s="25">
        <f ca="1">SUM($AH$67:$AK$67)</f>
        <v>3.336749379406986</v>
      </c>
      <c r="AM67" s="25">
        <f ca="1">SUMIF($L$4:$AL$4,"SUBTOTAL",$L$67:$AL$67)</f>
        <v>10.694094198883672</v>
      </c>
      <c r="AO67" s="30">
        <f ca="1">+'TUSD BE'!$T$67+'TUSD BE'!$AB$67+'TUSD BE'!$AD$67+'TUSD BE'!$AL$67</f>
        <v>211.65093654140225</v>
      </c>
      <c r="AP67" s="30">
        <f ca="1">+'TUSD BE'!$T$67+'TUSD BE'!$AB$67+'TUSD BE'!$AD$67+'TUSD BE'!$AL$67</f>
        <v>211.65093654140225</v>
      </c>
    </row>
    <row r="68" spans="1:42" ht="11.25" customHeight="1" x14ac:dyDescent="0.25">
      <c r="A68" s="119"/>
      <c r="B68" s="28" t="s">
        <v>23</v>
      </c>
      <c r="C68" s="28" t="s">
        <v>47</v>
      </c>
      <c r="D68" s="28" t="s">
        <v>25</v>
      </c>
      <c r="E68" s="28" t="s">
        <v>25</v>
      </c>
      <c r="F68" s="28" t="s">
        <v>25</v>
      </c>
      <c r="G68" s="21" t="s">
        <v>94</v>
      </c>
      <c r="H68" s="21" t="s">
        <v>88</v>
      </c>
      <c r="I68" s="21">
        <f>'MERCADO TUSD'!$U$65</f>
        <v>81638.005000000005</v>
      </c>
      <c r="J68" s="17"/>
      <c r="L68" s="25">
        <f>'TUSD BE'!$L$68*'TUSD BF'!$L$93</f>
        <v>0</v>
      </c>
      <c r="M68" s="25">
        <f>'TUSD BE'!$M$68*'TUSD BF'!$M$93</f>
        <v>0</v>
      </c>
      <c r="N68" s="25">
        <f ca="1">'TUSD BE'!$N$68*'TUSD BF'!$N$93</f>
        <v>0</v>
      </c>
      <c r="O68" s="25">
        <f>'TUSD BE'!$O$68*'TUSD BF'!$O$93</f>
        <v>0</v>
      </c>
      <c r="P68" s="25">
        <f>'TUSD BE'!$P$68*'TUSD BF'!$P$93</f>
        <v>0</v>
      </c>
      <c r="Q68" s="25">
        <f>'TUSD BE'!$Q$68*'TUSD BF'!$Q$93</f>
        <v>6.8766148341030773</v>
      </c>
      <c r="R68" s="25">
        <f>'TUSD BE'!$R$68*'TUSD BF'!$R$93</f>
        <v>-0.99215351767428861</v>
      </c>
      <c r="S68" s="25">
        <f>'TUSD BE'!$R$68*'TUSD BF'!$S$93</f>
        <v>0</v>
      </c>
      <c r="T68" s="25">
        <f ca="1">SUM($L$68:$S$68)</f>
        <v>5.8844613164287889</v>
      </c>
      <c r="U68" s="25">
        <f>'TUSD BE'!$U$68*'TUSD BF'!$U$93</f>
        <v>1.8349344365225504</v>
      </c>
      <c r="V68" s="25">
        <f>'TUSD BE'!$V$68*'TUSD BF'!$V$93</f>
        <v>0.46643141296858642</v>
      </c>
      <c r="W68" s="25">
        <f>'TUSD BE'!$W$68*'TUSD BF'!$W$93</f>
        <v>0</v>
      </c>
      <c r="X68" s="25">
        <f>'TUSD BE'!$X$68*'TUSD BF'!$X$93</f>
        <v>0</v>
      </c>
      <c r="Y68" s="25">
        <f>'TUSD BE'!$Y$68*'TUSD BF'!$Y$93</f>
        <v>0</v>
      </c>
      <c r="Z68" s="25">
        <f>'TUSD BE'!$Z$68*'TUSD BF'!$Z$93</f>
        <v>0</v>
      </c>
      <c r="AA68" s="25">
        <f>'TUSD BE'!$AA$68*'TUSD BF'!$AA$93</f>
        <v>0</v>
      </c>
      <c r="AB68" s="25">
        <f>SUM($U$68:$AA$68)</f>
        <v>2.3013658494911367</v>
      </c>
      <c r="AC68" s="25">
        <f>'TUSD BE'!$AC$68*'TUSD BF'!$AC$93</f>
        <v>0</v>
      </c>
      <c r="AD68" s="25">
        <f>SUM($AC$68:$AC$68)</f>
        <v>0</v>
      </c>
      <c r="AE68" s="25">
        <f ca="1">$AO$68*$AO$90</f>
        <v>0</v>
      </c>
      <c r="AF68" s="25">
        <f ca="1">$AP$68*$AP$90</f>
        <v>0</v>
      </c>
      <c r="AG68" s="25">
        <f ca="1">SUM($AE$68:$AF$68)</f>
        <v>0</v>
      </c>
      <c r="AH68" s="25">
        <f>'TUSD BE'!$AH$68*'TUSD BF'!$AH$93</f>
        <v>2.2117959582820563</v>
      </c>
      <c r="AI68" s="25">
        <f>'TUSD BE'!$AI$68*'TUSD BF'!$AI$93</f>
        <v>8.3137750607892996E-2</v>
      </c>
      <c r="AJ68" s="25">
        <f ca="1">'TUSD BE'!$AJ$68*'TUSD BF'!$AJ$93</f>
        <v>1.0418156705170367</v>
      </c>
      <c r="AK68" s="25">
        <f ca="1">'TUSD BE'!$AK$68*'TUSD BF'!$AK$93</f>
        <v>0</v>
      </c>
      <c r="AL68" s="25">
        <f ca="1">SUM($AH$68:$AK$68)</f>
        <v>3.336749379406986</v>
      </c>
      <c r="AM68" s="25">
        <f ca="1">SUMIF($L$4:$AL$4,"SUBTOTAL",$L$68:$AL$68)</f>
        <v>11.52257654532691</v>
      </c>
      <c r="AO68" s="30">
        <f ca="1">+'TUSD BE'!$T$68+'TUSD BE'!$AB$68+'TUSD BE'!$AD$68+'TUSD BE'!$AL$68</f>
        <v>268.65612143694341</v>
      </c>
      <c r="AP68" s="30">
        <f ca="1">+'TUSD BE'!$T$68+'TUSD BE'!$AB$68+'TUSD BE'!$AD$68+'TUSD BE'!$AL$68</f>
        <v>268.65612143694341</v>
      </c>
    </row>
    <row r="69" spans="1:42" ht="11.25" customHeight="1" x14ac:dyDescent="0.25">
      <c r="A69" s="119"/>
      <c r="B69" s="119" t="s">
        <v>37</v>
      </c>
      <c r="C69" s="119" t="s">
        <v>47</v>
      </c>
      <c r="D69" s="119" t="s">
        <v>103</v>
      </c>
      <c r="E69" s="119" t="s">
        <v>25</v>
      </c>
      <c r="F69" s="119" t="s">
        <v>25</v>
      </c>
      <c r="G69" s="21" t="s">
        <v>89</v>
      </c>
      <c r="H69" s="21" t="s">
        <v>88</v>
      </c>
      <c r="I69" s="21">
        <f>'MERCADO TUSD'!$U$66</f>
        <v>0</v>
      </c>
      <c r="J69" s="17"/>
      <c r="L69" s="25">
        <f>'TUSD BE'!$L$69*'TUSD BF'!$L$93</f>
        <v>0</v>
      </c>
      <c r="M69" s="25">
        <f>'TUSD BE'!$M$69*'TUSD BF'!$M$93</f>
        <v>0</v>
      </c>
      <c r="N69" s="25">
        <f ca="1">'TUSD BE'!$N$69*'TUSD BF'!$N$93</f>
        <v>0</v>
      </c>
      <c r="O69" s="25">
        <f>'TUSD BE'!$O$69*'TUSD BF'!$O$93</f>
        <v>0</v>
      </c>
      <c r="P69" s="25">
        <f>'TUSD BE'!$P$69*'TUSD BF'!$P$93</f>
        <v>0</v>
      </c>
      <c r="Q69" s="25">
        <f>'TUSD BE'!$Q$69*'TUSD BF'!$Q$93</f>
        <v>6.8766148341030773</v>
      </c>
      <c r="R69" s="25">
        <f>'TUSD BE'!$R$69*'TUSD BF'!$R$93</f>
        <v>-0.99215351767428861</v>
      </c>
      <c r="S69" s="25">
        <f>'TUSD BE'!$R$69*'TUSD BF'!$S$93</f>
        <v>0</v>
      </c>
      <c r="T69" s="25">
        <f ca="1">SUM($L$69:$S$69)</f>
        <v>5.8844613164287889</v>
      </c>
      <c r="U69" s="25">
        <f>'TUSD BE'!$U$69*'TUSD BF'!$U$93</f>
        <v>5.8718077456976072</v>
      </c>
      <c r="V69" s="25">
        <f>'TUSD BE'!$V$69*'TUSD BF'!$V$93</f>
        <v>1.4925599512056298</v>
      </c>
      <c r="W69" s="25">
        <f>'TUSD BE'!$W$69*'TUSD BF'!$W$93</f>
        <v>0</v>
      </c>
      <c r="X69" s="25">
        <f>'TUSD BE'!$X$69*'TUSD BF'!$X$93</f>
        <v>0</v>
      </c>
      <c r="Y69" s="25">
        <f>'TUSD BE'!$Y$69*'TUSD BF'!$Y$93</f>
        <v>0</v>
      </c>
      <c r="Z69" s="25">
        <f>'TUSD BE'!$Z$69*'TUSD BF'!$Z$93</f>
        <v>0</v>
      </c>
      <c r="AA69" s="25">
        <f>'TUSD BE'!$AA$69*'TUSD BF'!$AA$93</f>
        <v>0</v>
      </c>
      <c r="AB69" s="25">
        <f>SUM($U$69:$AA$69)</f>
        <v>7.364367696903237</v>
      </c>
      <c r="AC69" s="25">
        <f>'TUSD BE'!$AC$69*'TUSD BF'!$AC$93</f>
        <v>0</v>
      </c>
      <c r="AD69" s="25">
        <f>SUM($AC$69:$AC$69)</f>
        <v>0</v>
      </c>
      <c r="AE69" s="25">
        <f ca="1">$AO$69*$AO$90</f>
        <v>0</v>
      </c>
      <c r="AF69" s="25">
        <f ca="1">$AP$69*$AP$90</f>
        <v>0</v>
      </c>
      <c r="AG69" s="25">
        <f ca="1">SUM($AE$69:$AF$69)</f>
        <v>0</v>
      </c>
      <c r="AH69" s="25">
        <f>'TUSD BE'!$AH$69*'TUSD BF'!$AH$93</f>
        <v>2.2117959582820563</v>
      </c>
      <c r="AI69" s="25">
        <f>'TUSD BE'!$AI$69*'TUSD BF'!$AI$93</f>
        <v>8.3137750607892996E-2</v>
      </c>
      <c r="AJ69" s="25">
        <f ca="1">'TUSD BE'!$AJ$69*'TUSD BF'!$AJ$93</f>
        <v>1.0418156705170367</v>
      </c>
      <c r="AK69" s="25">
        <f ca="1">'TUSD BE'!$AK$69*'TUSD BF'!$AK$93</f>
        <v>0</v>
      </c>
      <c r="AL69" s="25">
        <f ca="1">SUM($AH$69:$AK$69)</f>
        <v>3.336749379406986</v>
      </c>
      <c r="AM69" s="25">
        <f ca="1">SUMIF($L$4:$AL$4,"SUBTOTAL",$L$69:$AL$69)</f>
        <v>16.585578392739013</v>
      </c>
      <c r="AO69" s="30">
        <f ca="1">+'TUSD BE'!$T$69+'TUSD BE'!$AB$69+'TUSD BE'!$AD$69+'TUSD BE'!$AL$69</f>
        <v>617.02362518114501</v>
      </c>
      <c r="AP69" s="30">
        <f ca="1">+'TUSD BE'!$T$69+'TUSD BE'!$AB$69+'TUSD BE'!$AD$69+'TUSD BE'!$AL$69</f>
        <v>617.02362518114501</v>
      </c>
    </row>
    <row r="70" spans="1:42" ht="11.25" customHeight="1" x14ac:dyDescent="0.25">
      <c r="A70" s="119"/>
      <c r="B70" s="119"/>
      <c r="C70" s="119"/>
      <c r="D70" s="119"/>
      <c r="E70" s="119"/>
      <c r="F70" s="119"/>
      <c r="G70" s="21" t="s">
        <v>100</v>
      </c>
      <c r="H70" s="21" t="s">
        <v>88</v>
      </c>
      <c r="I70" s="21">
        <f>'MERCADO TUSD'!$U$67</f>
        <v>0</v>
      </c>
      <c r="J70" s="17"/>
      <c r="L70" s="25">
        <f>'TUSD BE'!$L$70*'TUSD BF'!$L$93</f>
        <v>0</v>
      </c>
      <c r="M70" s="25">
        <f>'TUSD BE'!$M$70*'TUSD BF'!$M$93</f>
        <v>0</v>
      </c>
      <c r="N70" s="25">
        <f ca="1">'TUSD BE'!$N$70*'TUSD BF'!$N$93</f>
        <v>0</v>
      </c>
      <c r="O70" s="25">
        <f>'TUSD BE'!$O$70*'TUSD BF'!$O$93</f>
        <v>0</v>
      </c>
      <c r="P70" s="25">
        <f>'TUSD BE'!$P$70*'TUSD BF'!$P$93</f>
        <v>0</v>
      </c>
      <c r="Q70" s="25">
        <f>'TUSD BE'!$Q$70*'TUSD BF'!$Q$93</f>
        <v>6.8766148341030773</v>
      </c>
      <c r="R70" s="25">
        <f>'TUSD BE'!$R$70*'TUSD BF'!$R$93</f>
        <v>-0.99215351767428861</v>
      </c>
      <c r="S70" s="25">
        <f>'TUSD BE'!$R$70*'TUSD BF'!$S$93</f>
        <v>0</v>
      </c>
      <c r="T70" s="25">
        <f ca="1">SUM($L$70:$S$70)</f>
        <v>5.8844613164287889</v>
      </c>
      <c r="U70" s="25">
        <f>'TUSD BE'!$U$70*'TUSD BF'!$U$93</f>
        <v>3.5230729482016008</v>
      </c>
      <c r="V70" s="25">
        <f>'TUSD BE'!$V$70*'TUSD BF'!$V$93</f>
        <v>0.89552774260583956</v>
      </c>
      <c r="W70" s="25">
        <f>'TUSD BE'!$W$70*'TUSD BF'!$W$93</f>
        <v>0</v>
      </c>
      <c r="X70" s="25">
        <f>'TUSD BE'!$X$70*'TUSD BF'!$X$93</f>
        <v>0</v>
      </c>
      <c r="Y70" s="25">
        <f>'TUSD BE'!$Y$70*'TUSD BF'!$Y$93</f>
        <v>0</v>
      </c>
      <c r="Z70" s="25">
        <f>'TUSD BE'!$Z$70*'TUSD BF'!$Z$93</f>
        <v>0</v>
      </c>
      <c r="AA70" s="25">
        <f>'TUSD BE'!$AA$70*'TUSD BF'!$AA$93</f>
        <v>0</v>
      </c>
      <c r="AB70" s="25">
        <f>SUM($U$70:$AA$70)</f>
        <v>4.4186006908074402</v>
      </c>
      <c r="AC70" s="25">
        <f>'TUSD BE'!$AC$70*'TUSD BF'!$AC$93</f>
        <v>0</v>
      </c>
      <c r="AD70" s="25">
        <f>SUM($AC$70:$AC$70)</f>
        <v>0</v>
      </c>
      <c r="AE70" s="25">
        <f ca="1">$AO$70*$AO$90</f>
        <v>0</v>
      </c>
      <c r="AF70" s="25">
        <f ca="1">$AP$70*$AP$90</f>
        <v>0</v>
      </c>
      <c r="AG70" s="25">
        <f ca="1">SUM($AE$70:$AF$70)</f>
        <v>0</v>
      </c>
      <c r="AH70" s="25">
        <f>'TUSD BE'!$AH$70*'TUSD BF'!$AH$93</f>
        <v>2.2117959582820563</v>
      </c>
      <c r="AI70" s="25">
        <f>'TUSD BE'!$AI$70*'TUSD BF'!$AI$93</f>
        <v>8.3137750607892996E-2</v>
      </c>
      <c r="AJ70" s="25">
        <f ca="1">'TUSD BE'!$AJ$70*'TUSD BF'!$AJ$93</f>
        <v>1.0418156705170367</v>
      </c>
      <c r="AK70" s="25">
        <f ca="1">'TUSD BE'!$AK$70*'TUSD BF'!$AK$93</f>
        <v>0</v>
      </c>
      <c r="AL70" s="25">
        <f ca="1">SUM($AH$70:$AK$70)</f>
        <v>3.336749379406986</v>
      </c>
      <c r="AM70" s="25">
        <f ca="1">SUMIF($L$4:$AL$4,"SUBTOTAL",$L$70:$AL$70)</f>
        <v>13.639811386643213</v>
      </c>
      <c r="AO70" s="30">
        <f ca="1">+'TUSD BE'!$T$70+'TUSD BE'!$AB$70+'TUSD BE'!$AD$70+'TUSD BE'!$AL$70</f>
        <v>414.33674388100781</v>
      </c>
      <c r="AP70" s="30">
        <f ca="1">+'TUSD BE'!$T$70+'TUSD BE'!$AB$70+'TUSD BE'!$AD$70+'TUSD BE'!$AL$70</f>
        <v>414.33674388100781</v>
      </c>
    </row>
    <row r="71" spans="1:42" ht="11.25" customHeight="1" x14ac:dyDescent="0.25">
      <c r="A71" s="119"/>
      <c r="B71" s="119"/>
      <c r="C71" s="119"/>
      <c r="D71" s="119"/>
      <c r="E71" s="119"/>
      <c r="F71" s="119"/>
      <c r="G71" s="21" t="s">
        <v>90</v>
      </c>
      <c r="H71" s="21" t="s">
        <v>88</v>
      </c>
      <c r="I71" s="21">
        <f>'MERCADO TUSD'!$U$68</f>
        <v>0</v>
      </c>
      <c r="J71" s="17"/>
      <c r="L71" s="25">
        <f>'TUSD BE'!$L$71*'TUSD BF'!$L$93</f>
        <v>0</v>
      </c>
      <c r="M71" s="25">
        <f>'TUSD BE'!$M$71*'TUSD BF'!$M$93</f>
        <v>0</v>
      </c>
      <c r="N71" s="25">
        <f ca="1">'TUSD BE'!$N$71*'TUSD BF'!$N$93</f>
        <v>0</v>
      </c>
      <c r="O71" s="25">
        <f>'TUSD BE'!$O$71*'TUSD BF'!$O$93</f>
        <v>0</v>
      </c>
      <c r="P71" s="25">
        <f>'TUSD BE'!$P$71*'TUSD BF'!$P$93</f>
        <v>0</v>
      </c>
      <c r="Q71" s="25">
        <f>'TUSD BE'!$Q$71*'TUSD BF'!$Q$93</f>
        <v>6.8766148341030773</v>
      </c>
      <c r="R71" s="25">
        <f>'TUSD BE'!$R$71*'TUSD BF'!$R$93</f>
        <v>-0.99215351767428861</v>
      </c>
      <c r="S71" s="25">
        <f>'TUSD BE'!$R$71*'TUSD BF'!$S$93</f>
        <v>0</v>
      </c>
      <c r="T71" s="25">
        <f ca="1">SUM($L$71:$S$71)</f>
        <v>5.8844613164287889</v>
      </c>
      <c r="U71" s="25">
        <f>'TUSD BE'!$U$71*'TUSD BF'!$U$93</f>
        <v>1.1743673987480028</v>
      </c>
      <c r="V71" s="25">
        <f>'TUSD BE'!$V$71*'TUSD BF'!$V$93</f>
        <v>0.29851610429989534</v>
      </c>
      <c r="W71" s="25">
        <f>'TUSD BE'!$W$71*'TUSD BF'!$W$93</f>
        <v>0</v>
      </c>
      <c r="X71" s="25">
        <f>'TUSD BE'!$X$71*'TUSD BF'!$X$93</f>
        <v>0</v>
      </c>
      <c r="Y71" s="25">
        <f>'TUSD BE'!$Y$71*'TUSD BF'!$Y$93</f>
        <v>0</v>
      </c>
      <c r="Z71" s="25">
        <f>'TUSD BE'!$Z$71*'TUSD BF'!$Z$93</f>
        <v>0</v>
      </c>
      <c r="AA71" s="25">
        <f>'TUSD BE'!$AA$71*'TUSD BF'!$AA$93</f>
        <v>0</v>
      </c>
      <c r="AB71" s="25">
        <f>SUM($U$71:$AA$71)</f>
        <v>1.4728835030478982</v>
      </c>
      <c r="AC71" s="25">
        <f>'TUSD BE'!$AC$71*'TUSD BF'!$AC$93</f>
        <v>0</v>
      </c>
      <c r="AD71" s="25">
        <f>SUM($AC$71:$AC$71)</f>
        <v>0</v>
      </c>
      <c r="AE71" s="25">
        <f ca="1">$AO$71*$AO$90</f>
        <v>0</v>
      </c>
      <c r="AF71" s="25">
        <f ca="1">$AP$71*$AP$90</f>
        <v>0</v>
      </c>
      <c r="AG71" s="25">
        <f ca="1">SUM($AE$71:$AF$71)</f>
        <v>0</v>
      </c>
      <c r="AH71" s="25">
        <f>'TUSD BE'!$AH$71*'TUSD BF'!$AH$93</f>
        <v>2.2117959582820563</v>
      </c>
      <c r="AI71" s="25">
        <f>'TUSD BE'!$AI$71*'TUSD BF'!$AI$93</f>
        <v>8.3137750607892996E-2</v>
      </c>
      <c r="AJ71" s="25">
        <f ca="1">'TUSD BE'!$AJ$71*'TUSD BF'!$AJ$93</f>
        <v>1.0418156705170367</v>
      </c>
      <c r="AK71" s="25">
        <f ca="1">'TUSD BE'!$AK$71*'TUSD BF'!$AK$93</f>
        <v>0</v>
      </c>
      <c r="AL71" s="25">
        <f ca="1">SUM($AH$71:$AK$71)</f>
        <v>3.336749379406986</v>
      </c>
      <c r="AM71" s="25">
        <f ca="1">SUMIF($L$4:$AL$4,"SUBTOTAL",$L$71:$AL$71)</f>
        <v>10.694094198883672</v>
      </c>
      <c r="AO71" s="30">
        <f ca="1">+'TUSD BE'!$T$71+'TUSD BE'!$AB$71+'TUSD BE'!$AD$71+'TUSD BE'!$AL$71</f>
        <v>211.65093654140225</v>
      </c>
      <c r="AP71" s="30">
        <f ca="1">+'TUSD BE'!$T$71+'TUSD BE'!$AB$71+'TUSD BE'!$AD$71+'TUSD BE'!$AL$71</f>
        <v>211.65093654140225</v>
      </c>
    </row>
    <row r="72" spans="1:42" ht="11.25" customHeight="1" x14ac:dyDescent="0.25">
      <c r="A72" s="119"/>
      <c r="B72" s="28" t="s">
        <v>23</v>
      </c>
      <c r="C72" s="28" t="s">
        <v>47</v>
      </c>
      <c r="D72" s="28" t="s">
        <v>103</v>
      </c>
      <c r="E72" s="28" t="s">
        <v>25</v>
      </c>
      <c r="F72" s="28" t="s">
        <v>25</v>
      </c>
      <c r="G72" s="21" t="s">
        <v>94</v>
      </c>
      <c r="H72" s="21" t="s">
        <v>88</v>
      </c>
      <c r="I72" s="21">
        <f>'MERCADO TUSD'!$U$69</f>
        <v>0</v>
      </c>
      <c r="J72" s="17"/>
      <c r="L72" s="25">
        <f>'TUSD BE'!$L$72*'TUSD BF'!$L$93</f>
        <v>0</v>
      </c>
      <c r="M72" s="25">
        <f>'TUSD BE'!$M$72*'TUSD BF'!$M$93</f>
        <v>0</v>
      </c>
      <c r="N72" s="25">
        <f ca="1">'TUSD BE'!$N$72*'TUSD BF'!$N$93</f>
        <v>0</v>
      </c>
      <c r="O72" s="25">
        <f>'TUSD BE'!$O$72*'TUSD BF'!$O$93</f>
        <v>0</v>
      </c>
      <c r="P72" s="25">
        <f>'TUSD BE'!$P$72*'TUSD BF'!$P$93</f>
        <v>0</v>
      </c>
      <c r="Q72" s="25">
        <f>'TUSD BE'!$Q$72*'TUSD BF'!$Q$93</f>
        <v>6.8766148341030773</v>
      </c>
      <c r="R72" s="25">
        <f>'TUSD BE'!$R$72*'TUSD BF'!$R$93</f>
        <v>-0.99215351767428861</v>
      </c>
      <c r="S72" s="25">
        <f>'TUSD BE'!$R$72*'TUSD BF'!$S$93</f>
        <v>0</v>
      </c>
      <c r="T72" s="25">
        <f ca="1">SUM($L$72:$S$72)</f>
        <v>5.8844613164287889</v>
      </c>
      <c r="U72" s="25">
        <f>'TUSD BE'!$U$72*'TUSD BF'!$U$93</f>
        <v>1.8349344365225504</v>
      </c>
      <c r="V72" s="25">
        <f>'TUSD BE'!$V$72*'TUSD BF'!$V$93</f>
        <v>0.46643141296858642</v>
      </c>
      <c r="W72" s="25">
        <f>'TUSD BE'!$W$72*'TUSD BF'!$W$93</f>
        <v>0</v>
      </c>
      <c r="X72" s="25">
        <f>'TUSD BE'!$X$72*'TUSD BF'!$X$93</f>
        <v>0</v>
      </c>
      <c r="Y72" s="25">
        <f>'TUSD BE'!$Y$72*'TUSD BF'!$Y$93</f>
        <v>0</v>
      </c>
      <c r="Z72" s="25">
        <f>'TUSD BE'!$Z$72*'TUSD BF'!$Z$93</f>
        <v>0</v>
      </c>
      <c r="AA72" s="25">
        <f>'TUSD BE'!$AA$72*'TUSD BF'!$AA$93</f>
        <v>0</v>
      </c>
      <c r="AB72" s="25">
        <f>SUM($U$72:$AA$72)</f>
        <v>2.3013658494911367</v>
      </c>
      <c r="AC72" s="25">
        <f>'TUSD BE'!$AC$72*'TUSD BF'!$AC$93</f>
        <v>0</v>
      </c>
      <c r="AD72" s="25">
        <f>SUM($AC$72:$AC$72)</f>
        <v>0</v>
      </c>
      <c r="AE72" s="25">
        <f ca="1">$AO$72*$AO$90</f>
        <v>0</v>
      </c>
      <c r="AF72" s="25">
        <f ca="1">$AP$72*$AP$90</f>
        <v>0</v>
      </c>
      <c r="AG72" s="25">
        <f ca="1">SUM($AE$72:$AF$72)</f>
        <v>0</v>
      </c>
      <c r="AH72" s="25">
        <f>'TUSD BE'!$AH$72*'TUSD BF'!$AH$93</f>
        <v>2.2117959582820563</v>
      </c>
      <c r="AI72" s="25">
        <f>'TUSD BE'!$AI$72*'TUSD BF'!$AI$93</f>
        <v>8.3137750607892996E-2</v>
      </c>
      <c r="AJ72" s="25">
        <f ca="1">'TUSD BE'!$AJ$72*'TUSD BF'!$AJ$93</f>
        <v>1.0418156705170367</v>
      </c>
      <c r="AK72" s="25">
        <f ca="1">'TUSD BE'!$AK$72*'TUSD BF'!$AK$93</f>
        <v>0</v>
      </c>
      <c r="AL72" s="25">
        <f ca="1">SUM($AH$72:$AK$72)</f>
        <v>3.336749379406986</v>
      </c>
      <c r="AM72" s="25">
        <f ca="1">SUMIF($L$4:$AL$4,"SUBTOTAL",$L$72:$AL$72)</f>
        <v>11.52257654532691</v>
      </c>
      <c r="AO72" s="30">
        <f ca="1">+'TUSD BE'!$T$72+'TUSD BE'!$AB$72+'TUSD BE'!$AD$72+'TUSD BE'!$AL$72</f>
        <v>268.65612143694341</v>
      </c>
      <c r="AP72" s="30">
        <f ca="1">+'TUSD BE'!$T$72+'TUSD BE'!$AB$72+'TUSD BE'!$AD$72+'TUSD BE'!$AL$72</f>
        <v>268.65612143694341</v>
      </c>
    </row>
    <row r="73" spans="1:42" ht="11.25" customHeight="1" x14ac:dyDescent="0.25">
      <c r="A73" s="119"/>
      <c r="B73" s="119" t="s">
        <v>37</v>
      </c>
      <c r="C73" s="119" t="s">
        <v>47</v>
      </c>
      <c r="D73" s="119" t="s">
        <v>104</v>
      </c>
      <c r="E73" s="119" t="s">
        <v>25</v>
      </c>
      <c r="F73" s="119" t="s">
        <v>25</v>
      </c>
      <c r="G73" s="21" t="s">
        <v>89</v>
      </c>
      <c r="H73" s="21" t="s">
        <v>88</v>
      </c>
      <c r="I73" s="21">
        <f>'MERCADO TUSD'!$U$70</f>
        <v>0</v>
      </c>
      <c r="J73" s="17"/>
      <c r="L73" s="25">
        <f>'TUSD BE'!$L$73*'TUSD BF'!$L$93</f>
        <v>0</v>
      </c>
      <c r="M73" s="25">
        <f>'TUSD BE'!$M$73*'TUSD BF'!$M$93</f>
        <v>0</v>
      </c>
      <c r="N73" s="25">
        <f ca="1">'TUSD BE'!$N$73*'TUSD BF'!$N$93</f>
        <v>0</v>
      </c>
      <c r="O73" s="25">
        <f>'TUSD BE'!$O$73*'TUSD BF'!$O$93</f>
        <v>0</v>
      </c>
      <c r="P73" s="25">
        <f>'TUSD BE'!$P$73*'TUSD BF'!$P$93</f>
        <v>0</v>
      </c>
      <c r="Q73" s="25">
        <f>'TUSD BE'!$Q$73*'TUSD BF'!$Q$93</f>
        <v>6.8766148341030773</v>
      </c>
      <c r="R73" s="25">
        <f>'TUSD BE'!$R$73*'TUSD BF'!$R$93</f>
        <v>-0.99215351767428861</v>
      </c>
      <c r="S73" s="25">
        <f>'TUSD BE'!$R$73*'TUSD BF'!$S$93</f>
        <v>0</v>
      </c>
      <c r="T73" s="25">
        <f ca="1">SUM($L$73:$S$73)</f>
        <v>5.8844613164287889</v>
      </c>
      <c r="U73" s="25">
        <f>'TUSD BE'!$U$73*'TUSD BF'!$U$93</f>
        <v>5.8718077456976072</v>
      </c>
      <c r="V73" s="25">
        <f>'TUSD BE'!$V$73*'TUSD BF'!$V$93</f>
        <v>1.4925599512056298</v>
      </c>
      <c r="W73" s="25">
        <f>'TUSD BE'!$W$73*'TUSD BF'!$W$93</f>
        <v>0</v>
      </c>
      <c r="X73" s="25">
        <f>'TUSD BE'!$X$73*'TUSD BF'!$X$93</f>
        <v>0</v>
      </c>
      <c r="Y73" s="25">
        <f>'TUSD BE'!$Y$73*'TUSD BF'!$Y$93</f>
        <v>0</v>
      </c>
      <c r="Z73" s="25">
        <f>'TUSD BE'!$Z$73*'TUSD BF'!$Z$93</f>
        <v>0</v>
      </c>
      <c r="AA73" s="25">
        <f>'TUSD BE'!$AA$73*'TUSD BF'!$AA$93</f>
        <v>0</v>
      </c>
      <c r="AB73" s="25">
        <f>SUM($U$73:$AA$73)</f>
        <v>7.364367696903237</v>
      </c>
      <c r="AC73" s="25">
        <f>'TUSD BE'!$AC$73*'TUSD BF'!$AC$93</f>
        <v>0</v>
      </c>
      <c r="AD73" s="25">
        <f>SUM($AC$73:$AC$73)</f>
        <v>0</v>
      </c>
      <c r="AE73" s="25">
        <f ca="1">$AO$73*$AO$90</f>
        <v>0</v>
      </c>
      <c r="AF73" s="25">
        <f ca="1">$AP$73*$AP$90</f>
        <v>0</v>
      </c>
      <c r="AG73" s="25">
        <f ca="1">SUM($AE$73:$AF$73)</f>
        <v>0</v>
      </c>
      <c r="AH73" s="25">
        <f>'TUSD BE'!$AH$73*'TUSD BF'!$AH$93</f>
        <v>2.2117959582820563</v>
      </c>
      <c r="AI73" s="25">
        <f>'TUSD BE'!$AI$73*'TUSD BF'!$AI$93</f>
        <v>8.3137750607892996E-2</v>
      </c>
      <c r="AJ73" s="25">
        <f ca="1">'TUSD BE'!$AJ$73*'TUSD BF'!$AJ$93</f>
        <v>1.0418156705170367</v>
      </c>
      <c r="AK73" s="25">
        <f ca="1">'TUSD BE'!$AK$73*'TUSD BF'!$AK$93</f>
        <v>0</v>
      </c>
      <c r="AL73" s="25">
        <f ca="1">SUM($AH$73:$AK$73)</f>
        <v>3.336749379406986</v>
      </c>
      <c r="AM73" s="25">
        <f ca="1">SUMIF($L$4:$AL$4,"SUBTOTAL",$L$73:$AL$73)</f>
        <v>16.585578392739013</v>
      </c>
      <c r="AO73" s="30">
        <f ca="1">+'TUSD BE'!$T$73+'TUSD BE'!$AB$73+'TUSD BE'!$AD$73+'TUSD BE'!$AL$73</f>
        <v>617.02362518114501</v>
      </c>
      <c r="AP73" s="30">
        <f ca="1">+'TUSD BE'!$T$73+'TUSD BE'!$AB$73+'TUSD BE'!$AD$73+'TUSD BE'!$AL$73</f>
        <v>617.02362518114501</v>
      </c>
    </row>
    <row r="74" spans="1:42" ht="11.25" customHeight="1" x14ac:dyDescent="0.25">
      <c r="A74" s="119"/>
      <c r="B74" s="119"/>
      <c r="C74" s="119"/>
      <c r="D74" s="119"/>
      <c r="E74" s="119"/>
      <c r="F74" s="119"/>
      <c r="G74" s="21" t="s">
        <v>100</v>
      </c>
      <c r="H74" s="21" t="s">
        <v>88</v>
      </c>
      <c r="I74" s="21">
        <f>'MERCADO TUSD'!$U$71</f>
        <v>0</v>
      </c>
      <c r="J74" s="17"/>
      <c r="L74" s="25">
        <f>'TUSD BE'!$L$74*'TUSD BF'!$L$93</f>
        <v>0</v>
      </c>
      <c r="M74" s="25">
        <f>'TUSD BE'!$M$74*'TUSD BF'!$M$93</f>
        <v>0</v>
      </c>
      <c r="N74" s="25">
        <f ca="1">'TUSD BE'!$N$74*'TUSD BF'!$N$93</f>
        <v>0</v>
      </c>
      <c r="O74" s="25">
        <f>'TUSD BE'!$O$74*'TUSD BF'!$O$93</f>
        <v>0</v>
      </c>
      <c r="P74" s="25">
        <f>'TUSD BE'!$P$74*'TUSD BF'!$P$93</f>
        <v>0</v>
      </c>
      <c r="Q74" s="25">
        <f>'TUSD BE'!$Q$74*'TUSD BF'!$Q$93</f>
        <v>6.8766148341030773</v>
      </c>
      <c r="R74" s="25">
        <f>'TUSD BE'!$R$74*'TUSD BF'!$R$93</f>
        <v>-0.99215351767428861</v>
      </c>
      <c r="S74" s="25">
        <f>'TUSD BE'!$R$74*'TUSD BF'!$S$93</f>
        <v>0</v>
      </c>
      <c r="T74" s="25">
        <f ca="1">SUM($L$74:$S$74)</f>
        <v>5.8844613164287889</v>
      </c>
      <c r="U74" s="25">
        <f>'TUSD BE'!$U$74*'TUSD BF'!$U$93</f>
        <v>3.5230729482016008</v>
      </c>
      <c r="V74" s="25">
        <f>'TUSD BE'!$V$74*'TUSD BF'!$V$93</f>
        <v>0.89552774260583956</v>
      </c>
      <c r="W74" s="25">
        <f>'TUSD BE'!$W$74*'TUSD BF'!$W$93</f>
        <v>0</v>
      </c>
      <c r="X74" s="25">
        <f>'TUSD BE'!$X$74*'TUSD BF'!$X$93</f>
        <v>0</v>
      </c>
      <c r="Y74" s="25">
        <f>'TUSD BE'!$Y$74*'TUSD BF'!$Y$93</f>
        <v>0</v>
      </c>
      <c r="Z74" s="25">
        <f>'TUSD BE'!$Z$74*'TUSD BF'!$Z$93</f>
        <v>0</v>
      </c>
      <c r="AA74" s="25">
        <f>'TUSD BE'!$AA$74*'TUSD BF'!$AA$93</f>
        <v>0</v>
      </c>
      <c r="AB74" s="25">
        <f>SUM($U$74:$AA$74)</f>
        <v>4.4186006908074402</v>
      </c>
      <c r="AC74" s="25">
        <f>'TUSD BE'!$AC$74*'TUSD BF'!$AC$93</f>
        <v>0</v>
      </c>
      <c r="AD74" s="25">
        <f>SUM($AC$74:$AC$74)</f>
        <v>0</v>
      </c>
      <c r="AE74" s="25">
        <f ca="1">$AO$74*$AO$90</f>
        <v>0</v>
      </c>
      <c r="AF74" s="25">
        <f ca="1">$AP$74*$AP$90</f>
        <v>0</v>
      </c>
      <c r="AG74" s="25">
        <f ca="1">SUM($AE$74:$AF$74)</f>
        <v>0</v>
      </c>
      <c r="AH74" s="25">
        <f>'TUSD BE'!$AH$74*'TUSD BF'!$AH$93</f>
        <v>2.2117959582820563</v>
      </c>
      <c r="AI74" s="25">
        <f>'TUSD BE'!$AI$74*'TUSD BF'!$AI$93</f>
        <v>8.3137750607892996E-2</v>
      </c>
      <c r="AJ74" s="25">
        <f ca="1">'TUSD BE'!$AJ$74*'TUSD BF'!$AJ$93</f>
        <v>1.0418156705170367</v>
      </c>
      <c r="AK74" s="25">
        <f ca="1">'TUSD BE'!$AK$74*'TUSD BF'!$AK$93</f>
        <v>0</v>
      </c>
      <c r="AL74" s="25">
        <f ca="1">SUM($AH$74:$AK$74)</f>
        <v>3.336749379406986</v>
      </c>
      <c r="AM74" s="25">
        <f ca="1">SUMIF($L$4:$AL$4,"SUBTOTAL",$L$74:$AL$74)</f>
        <v>13.639811386643213</v>
      </c>
      <c r="AO74" s="30">
        <f ca="1">+'TUSD BE'!$T$74+'TUSD BE'!$AB$74+'TUSD BE'!$AD$74+'TUSD BE'!$AL$74</f>
        <v>414.33674388100781</v>
      </c>
      <c r="AP74" s="30">
        <f ca="1">+'TUSD BE'!$T$74+'TUSD BE'!$AB$74+'TUSD BE'!$AD$74+'TUSD BE'!$AL$74</f>
        <v>414.33674388100781</v>
      </c>
    </row>
    <row r="75" spans="1:42" ht="11.25" customHeight="1" x14ac:dyDescent="0.25">
      <c r="A75" s="119"/>
      <c r="B75" s="119"/>
      <c r="C75" s="119"/>
      <c r="D75" s="119"/>
      <c r="E75" s="119"/>
      <c r="F75" s="119"/>
      <c r="G75" s="21" t="s">
        <v>90</v>
      </c>
      <c r="H75" s="21" t="s">
        <v>88</v>
      </c>
      <c r="I75" s="21">
        <f>'MERCADO TUSD'!$U$72</f>
        <v>0</v>
      </c>
      <c r="J75" s="17"/>
      <c r="L75" s="25">
        <f>'TUSD BE'!$L$75*'TUSD BF'!$L$93</f>
        <v>0</v>
      </c>
      <c r="M75" s="25">
        <f>'TUSD BE'!$M$75*'TUSD BF'!$M$93</f>
        <v>0</v>
      </c>
      <c r="N75" s="25">
        <f ca="1">'TUSD BE'!$N$75*'TUSD BF'!$N$93</f>
        <v>0</v>
      </c>
      <c r="O75" s="25">
        <f>'TUSD BE'!$O$75*'TUSD BF'!$O$93</f>
        <v>0</v>
      </c>
      <c r="P75" s="25">
        <f>'TUSD BE'!$P$75*'TUSD BF'!$P$93</f>
        <v>0</v>
      </c>
      <c r="Q75" s="25">
        <f>'TUSD BE'!$Q$75*'TUSD BF'!$Q$93</f>
        <v>6.8766148341030773</v>
      </c>
      <c r="R75" s="25">
        <f>'TUSD BE'!$R$75*'TUSD BF'!$R$93</f>
        <v>-0.99215351767428861</v>
      </c>
      <c r="S75" s="25">
        <f>'TUSD BE'!$R$75*'TUSD BF'!$S$93</f>
        <v>0</v>
      </c>
      <c r="T75" s="25">
        <f ca="1">SUM($L$75:$S$75)</f>
        <v>5.8844613164287889</v>
      </c>
      <c r="U75" s="25">
        <f>'TUSD BE'!$U$75*'TUSD BF'!$U$93</f>
        <v>1.1743673987480028</v>
      </c>
      <c r="V75" s="25">
        <f>'TUSD BE'!$V$75*'TUSD BF'!$V$93</f>
        <v>0.29851610429989534</v>
      </c>
      <c r="W75" s="25">
        <f>'TUSD BE'!$W$75*'TUSD BF'!$W$93</f>
        <v>0</v>
      </c>
      <c r="X75" s="25">
        <f>'TUSD BE'!$X$75*'TUSD BF'!$X$93</f>
        <v>0</v>
      </c>
      <c r="Y75" s="25">
        <f>'TUSD BE'!$Y$75*'TUSD BF'!$Y$93</f>
        <v>0</v>
      </c>
      <c r="Z75" s="25">
        <f>'TUSD BE'!$Z$75*'TUSD BF'!$Z$93</f>
        <v>0</v>
      </c>
      <c r="AA75" s="25">
        <f>'TUSD BE'!$AA$75*'TUSD BF'!$AA$93</f>
        <v>0</v>
      </c>
      <c r="AB75" s="25">
        <f>SUM($U$75:$AA$75)</f>
        <v>1.4728835030478982</v>
      </c>
      <c r="AC75" s="25">
        <f>'TUSD BE'!$AC$75*'TUSD BF'!$AC$93</f>
        <v>0</v>
      </c>
      <c r="AD75" s="25">
        <f>SUM($AC$75:$AC$75)</f>
        <v>0</v>
      </c>
      <c r="AE75" s="25">
        <f ca="1">$AO$75*$AO$90</f>
        <v>0</v>
      </c>
      <c r="AF75" s="25">
        <f ca="1">$AP$75*$AP$90</f>
        <v>0</v>
      </c>
      <c r="AG75" s="25">
        <f ca="1">SUM($AE$75:$AF$75)</f>
        <v>0</v>
      </c>
      <c r="AH75" s="25">
        <f>'TUSD BE'!$AH$75*'TUSD BF'!$AH$93</f>
        <v>2.2117959582820563</v>
      </c>
      <c r="AI75" s="25">
        <f>'TUSD BE'!$AI$75*'TUSD BF'!$AI$93</f>
        <v>8.3137750607892996E-2</v>
      </c>
      <c r="AJ75" s="25">
        <f ca="1">'TUSD BE'!$AJ$75*'TUSD BF'!$AJ$93</f>
        <v>1.0418156705170367</v>
      </c>
      <c r="AK75" s="25">
        <f ca="1">'TUSD BE'!$AK$75*'TUSD BF'!$AK$93</f>
        <v>0</v>
      </c>
      <c r="AL75" s="25">
        <f ca="1">SUM($AH$75:$AK$75)</f>
        <v>3.336749379406986</v>
      </c>
      <c r="AM75" s="25">
        <f ca="1">SUMIF($L$4:$AL$4,"SUBTOTAL",$L$75:$AL$75)</f>
        <v>10.694094198883672</v>
      </c>
      <c r="AO75" s="30">
        <f ca="1">+'TUSD BE'!$T$75+'TUSD BE'!$AB$75+'TUSD BE'!$AD$75+'TUSD BE'!$AL$75</f>
        <v>211.65093654140225</v>
      </c>
      <c r="AP75" s="30">
        <f ca="1">+'TUSD BE'!$T$75+'TUSD BE'!$AB$75+'TUSD BE'!$AD$75+'TUSD BE'!$AL$75</f>
        <v>211.65093654140225</v>
      </c>
    </row>
    <row r="76" spans="1:42" ht="11.25" customHeight="1" x14ac:dyDescent="0.25">
      <c r="A76" s="119"/>
      <c r="B76" s="28" t="s">
        <v>23</v>
      </c>
      <c r="C76" s="28" t="s">
        <v>47</v>
      </c>
      <c r="D76" s="28" t="s">
        <v>104</v>
      </c>
      <c r="E76" s="28" t="s">
        <v>25</v>
      </c>
      <c r="F76" s="28" t="s">
        <v>25</v>
      </c>
      <c r="G76" s="21" t="s">
        <v>94</v>
      </c>
      <c r="H76" s="21" t="s">
        <v>88</v>
      </c>
      <c r="I76" s="21">
        <f>'MERCADO TUSD'!$U$73</f>
        <v>0</v>
      </c>
      <c r="J76" s="17"/>
      <c r="L76" s="25">
        <f>'TUSD BE'!$L$76*'TUSD BF'!$L$93</f>
        <v>0</v>
      </c>
      <c r="M76" s="25">
        <f>'TUSD BE'!$M$76*'TUSD BF'!$M$93</f>
        <v>0</v>
      </c>
      <c r="N76" s="25">
        <f ca="1">'TUSD BE'!$N$76*'TUSD BF'!$N$93</f>
        <v>0</v>
      </c>
      <c r="O76" s="25">
        <f>'TUSD BE'!$O$76*'TUSD BF'!$O$93</f>
        <v>0</v>
      </c>
      <c r="P76" s="25">
        <f>'TUSD BE'!$P$76*'TUSD BF'!$P$93</f>
        <v>0</v>
      </c>
      <c r="Q76" s="25">
        <f>'TUSD BE'!$Q$76*'TUSD BF'!$Q$93</f>
        <v>6.8766148341030773</v>
      </c>
      <c r="R76" s="25">
        <f>'TUSD BE'!$R$76*'TUSD BF'!$R$93</f>
        <v>-0.99215351767428861</v>
      </c>
      <c r="S76" s="25">
        <f>'TUSD BE'!$R$76*'TUSD BF'!$S$93</f>
        <v>0</v>
      </c>
      <c r="T76" s="25">
        <f ca="1">SUM($L$76:$S$76)</f>
        <v>5.8844613164287889</v>
      </c>
      <c r="U76" s="25">
        <f>'TUSD BE'!$U$76*'TUSD BF'!$U$93</f>
        <v>1.8349344365225504</v>
      </c>
      <c r="V76" s="25">
        <f>'TUSD BE'!$V$76*'TUSD BF'!$V$93</f>
        <v>0.46643141296858642</v>
      </c>
      <c r="W76" s="25">
        <f>'TUSD BE'!$W$76*'TUSD BF'!$W$93</f>
        <v>0</v>
      </c>
      <c r="X76" s="25">
        <f>'TUSD BE'!$X$76*'TUSD BF'!$X$93</f>
        <v>0</v>
      </c>
      <c r="Y76" s="25">
        <f>'TUSD BE'!$Y$76*'TUSD BF'!$Y$93</f>
        <v>0</v>
      </c>
      <c r="Z76" s="25">
        <f>'TUSD BE'!$Z$76*'TUSD BF'!$Z$93</f>
        <v>0</v>
      </c>
      <c r="AA76" s="25">
        <f>'TUSD BE'!$AA$76*'TUSD BF'!$AA$93</f>
        <v>0</v>
      </c>
      <c r="AB76" s="25">
        <f>SUM($U$76:$AA$76)</f>
        <v>2.3013658494911367</v>
      </c>
      <c r="AC76" s="25">
        <f>'TUSD BE'!$AC$76*'TUSD BF'!$AC$93</f>
        <v>0</v>
      </c>
      <c r="AD76" s="25">
        <f>SUM($AC$76:$AC$76)</f>
        <v>0</v>
      </c>
      <c r="AE76" s="25">
        <f ca="1">$AO$76*$AO$90</f>
        <v>0</v>
      </c>
      <c r="AF76" s="25">
        <f ca="1">$AP$76*$AP$90</f>
        <v>0</v>
      </c>
      <c r="AG76" s="25">
        <f ca="1">SUM($AE$76:$AF$76)</f>
        <v>0</v>
      </c>
      <c r="AH76" s="25">
        <f>'TUSD BE'!$AH$76*'TUSD BF'!$AH$93</f>
        <v>2.2117959582820563</v>
      </c>
      <c r="AI76" s="25">
        <f>'TUSD BE'!$AI$76*'TUSD BF'!$AI$93</f>
        <v>8.3137750607892996E-2</v>
      </c>
      <c r="AJ76" s="25">
        <f ca="1">'TUSD BE'!$AJ$76*'TUSD BF'!$AJ$93</f>
        <v>1.0418156705170367</v>
      </c>
      <c r="AK76" s="25">
        <f ca="1">'TUSD BE'!$AK$76*'TUSD BF'!$AK$93</f>
        <v>0</v>
      </c>
      <c r="AL76" s="25">
        <f ca="1">SUM($AH$76:$AK$76)</f>
        <v>3.336749379406986</v>
      </c>
      <c r="AM76" s="25">
        <f ca="1">SUMIF($L$4:$AL$4,"SUBTOTAL",$L$76:$AL$76)</f>
        <v>11.52257654532691</v>
      </c>
      <c r="AO76" s="30">
        <f ca="1">+'TUSD BE'!$T$76+'TUSD BE'!$AB$76+'TUSD BE'!$AD$76+'TUSD BE'!$AL$76</f>
        <v>268.65612143694341</v>
      </c>
      <c r="AP76" s="30">
        <f ca="1">+'TUSD BE'!$T$76+'TUSD BE'!$AB$76+'TUSD BE'!$AD$76+'TUSD BE'!$AL$76</f>
        <v>268.65612143694341</v>
      </c>
    </row>
    <row r="77" spans="1:42" ht="11.25" customHeight="1" x14ac:dyDescent="0.25">
      <c r="A77" s="119"/>
      <c r="B77" s="119" t="s">
        <v>102</v>
      </c>
      <c r="C77" s="119" t="s">
        <v>47</v>
      </c>
      <c r="D77" s="28" t="s">
        <v>25</v>
      </c>
      <c r="E77" s="28" t="s">
        <v>25</v>
      </c>
      <c r="F77" s="28" t="s">
        <v>25</v>
      </c>
      <c r="G77" s="21" t="s">
        <v>94</v>
      </c>
      <c r="H77" s="21" t="s">
        <v>88</v>
      </c>
      <c r="I77" s="21">
        <f>'MERCADO TUSD'!$U$74</f>
        <v>0</v>
      </c>
      <c r="J77" s="17"/>
      <c r="L77" s="25">
        <f>'TUSD BE'!$L$77*'TUSD BF'!$L$93</f>
        <v>0</v>
      </c>
      <c r="M77" s="25">
        <f>'TUSD BE'!$M$77*'TUSD BF'!$M$93</f>
        <v>0</v>
      </c>
      <c r="N77" s="25">
        <f ca="1">'TUSD BE'!$N$77*'TUSD BF'!$N$93</f>
        <v>0</v>
      </c>
      <c r="O77" s="25">
        <f>'TUSD BE'!$O$77*'TUSD BF'!$O$93</f>
        <v>0</v>
      </c>
      <c r="P77" s="25">
        <f>'TUSD BE'!$P$77*'TUSD BF'!$P$93</f>
        <v>0</v>
      </c>
      <c r="Q77" s="25">
        <f>'TUSD BE'!$Q$77*'TUSD BF'!$Q$93</f>
        <v>6.8766148341030773</v>
      </c>
      <c r="R77" s="25">
        <f>'TUSD BE'!$R$77*'TUSD BF'!$R$93</f>
        <v>-0.99215351767428861</v>
      </c>
      <c r="S77" s="25">
        <f>'TUSD BE'!$R$77*'TUSD BF'!$S$93</f>
        <v>0</v>
      </c>
      <c r="T77" s="25">
        <f ca="1">SUM($L$77:$S$77)</f>
        <v>5.8844613164287889</v>
      </c>
      <c r="U77" s="25">
        <f>'TUSD BE'!$U$77*'TUSD BF'!$U$93</f>
        <v>1.8349344365225504</v>
      </c>
      <c r="V77" s="25">
        <f>'TUSD BE'!$V$77*'TUSD BF'!$V$93</f>
        <v>0.46643141296858642</v>
      </c>
      <c r="W77" s="25">
        <f>'TUSD BE'!$W$77*'TUSD BF'!$W$93</f>
        <v>0</v>
      </c>
      <c r="X77" s="25">
        <f>'TUSD BE'!$X$77*'TUSD BF'!$X$93</f>
        <v>0</v>
      </c>
      <c r="Y77" s="25">
        <f>'TUSD BE'!$Y$77*'TUSD BF'!$Y$93</f>
        <v>0</v>
      </c>
      <c r="Z77" s="25">
        <f>'TUSD BE'!$Z$77*'TUSD BF'!$Z$93</f>
        <v>0</v>
      </c>
      <c r="AA77" s="25">
        <f>'TUSD BE'!$AA$77*'TUSD BF'!$AA$93</f>
        <v>0</v>
      </c>
      <c r="AB77" s="25">
        <f>SUM($U$77:$AA$77)</f>
        <v>2.3013658494911367</v>
      </c>
      <c r="AC77" s="25">
        <f>'TUSD BE'!$AC$77*'TUSD BF'!$AC$93</f>
        <v>0</v>
      </c>
      <c r="AD77" s="25">
        <f>SUM($AC$77:$AC$77)</f>
        <v>0</v>
      </c>
      <c r="AE77" s="25">
        <f ca="1">$AO$77*$AO$90</f>
        <v>0</v>
      </c>
      <c r="AF77" s="25">
        <f ca="1">$AP$77*$AP$90</f>
        <v>0</v>
      </c>
      <c r="AG77" s="25">
        <f ca="1">SUM($AE$77:$AF$77)</f>
        <v>0</v>
      </c>
      <c r="AH77" s="25">
        <f>'TUSD BE'!$AH$77*'TUSD BF'!$AH$93</f>
        <v>2.2117959582820563</v>
      </c>
      <c r="AI77" s="25">
        <f>'TUSD BE'!$AI$77*'TUSD BF'!$AI$93</f>
        <v>8.3137750607892996E-2</v>
      </c>
      <c r="AJ77" s="25">
        <f ca="1">'TUSD BE'!$AJ$77*'TUSD BF'!$AJ$93</f>
        <v>1.0418156705170367</v>
      </c>
      <c r="AK77" s="25">
        <f ca="1">'TUSD BE'!$AK$77*'TUSD BF'!$AK$93</f>
        <v>0</v>
      </c>
      <c r="AL77" s="25">
        <f ca="1">SUM($AH$77:$AK$77)</f>
        <v>3.336749379406986</v>
      </c>
      <c r="AM77" s="25">
        <f ca="1">SUMIF($L$4:$AL$4,"SUBTOTAL",$L$77:$AL$77)</f>
        <v>11.52257654532691</v>
      </c>
      <c r="AO77" s="30">
        <f ca="1">+'TUSD BE'!$T$77+'TUSD BE'!$AB$77+'TUSD BE'!$AD$77+'TUSD BE'!$AL$77</f>
        <v>268.65612143694341</v>
      </c>
      <c r="AP77" s="30">
        <f ca="1">+'TUSD BE'!$T$77+'TUSD BE'!$AB$77+'TUSD BE'!$AD$77+'TUSD BE'!$AL$77</f>
        <v>268.65612143694341</v>
      </c>
    </row>
    <row r="78" spans="1:42" ht="11.25" customHeight="1" x14ac:dyDescent="0.25">
      <c r="A78" s="119"/>
      <c r="B78" s="119"/>
      <c r="C78" s="119"/>
      <c r="D78" s="28" t="s">
        <v>103</v>
      </c>
      <c r="E78" s="28" t="s">
        <v>25</v>
      </c>
      <c r="F78" s="28" t="s">
        <v>25</v>
      </c>
      <c r="G78" s="21" t="s">
        <v>94</v>
      </c>
      <c r="H78" s="21" t="s">
        <v>88</v>
      </c>
      <c r="I78" s="21">
        <f>'MERCADO TUSD'!$U$75</f>
        <v>0</v>
      </c>
      <c r="J78" s="17"/>
      <c r="L78" s="25">
        <f>'TUSD BE'!$L$78*'TUSD BF'!$L$93</f>
        <v>0</v>
      </c>
      <c r="M78" s="25">
        <f>'TUSD BE'!$M$78*'TUSD BF'!$M$93</f>
        <v>0</v>
      </c>
      <c r="N78" s="25">
        <f ca="1">'TUSD BE'!$N$78*'TUSD BF'!$N$93</f>
        <v>0</v>
      </c>
      <c r="O78" s="25">
        <f>'TUSD BE'!$O$78*'TUSD BF'!$O$93</f>
        <v>0</v>
      </c>
      <c r="P78" s="25">
        <f>'TUSD BE'!$P$78*'TUSD BF'!$P$93</f>
        <v>0</v>
      </c>
      <c r="Q78" s="25">
        <f>'TUSD BE'!$Q$78*'TUSD BF'!$Q$93</f>
        <v>6.8766148341030773</v>
      </c>
      <c r="R78" s="25">
        <f>'TUSD BE'!$R$78*'TUSD BF'!$R$93</f>
        <v>-0.99215351767428861</v>
      </c>
      <c r="S78" s="25">
        <f>'TUSD BE'!$R$78*'TUSD BF'!$S$93</f>
        <v>0</v>
      </c>
      <c r="T78" s="25">
        <f ca="1">SUM($L$78:$S$78)</f>
        <v>5.8844613164287889</v>
      </c>
      <c r="U78" s="25">
        <f>'TUSD BE'!$U$78*'TUSD BF'!$U$93</f>
        <v>1.8349344365225504</v>
      </c>
      <c r="V78" s="25">
        <f>'TUSD BE'!$V$78*'TUSD BF'!$V$93</f>
        <v>0.46643141296858642</v>
      </c>
      <c r="W78" s="25">
        <f>'TUSD BE'!$W$78*'TUSD BF'!$W$93</f>
        <v>0</v>
      </c>
      <c r="X78" s="25">
        <f>'TUSD BE'!$X$78*'TUSD BF'!$X$93</f>
        <v>0</v>
      </c>
      <c r="Y78" s="25">
        <f>'TUSD BE'!$Y$78*'TUSD BF'!$Y$93</f>
        <v>0</v>
      </c>
      <c r="Z78" s="25">
        <f>'TUSD BE'!$Z$78*'TUSD BF'!$Z$93</f>
        <v>0</v>
      </c>
      <c r="AA78" s="25">
        <f>'TUSD BE'!$AA$78*'TUSD BF'!$AA$93</f>
        <v>0</v>
      </c>
      <c r="AB78" s="25">
        <f>SUM($U$78:$AA$78)</f>
        <v>2.3013658494911367</v>
      </c>
      <c r="AC78" s="25">
        <f>'TUSD BE'!$AC$78*'TUSD BF'!$AC$93</f>
        <v>0</v>
      </c>
      <c r="AD78" s="25">
        <f>SUM($AC$78:$AC$78)</f>
        <v>0</v>
      </c>
      <c r="AE78" s="25">
        <f ca="1">$AO$78*$AO$90</f>
        <v>0</v>
      </c>
      <c r="AF78" s="25">
        <f ca="1">$AP$78*$AP$90</f>
        <v>0</v>
      </c>
      <c r="AG78" s="25">
        <f ca="1">SUM($AE$78:$AF$78)</f>
        <v>0</v>
      </c>
      <c r="AH78" s="25">
        <f>'TUSD BE'!$AH$78*'TUSD BF'!$AH$93</f>
        <v>2.2117959582820563</v>
      </c>
      <c r="AI78" s="25">
        <f>'TUSD BE'!$AI$78*'TUSD BF'!$AI$93</f>
        <v>8.3137750607892996E-2</v>
      </c>
      <c r="AJ78" s="25">
        <f ca="1">'TUSD BE'!$AJ$78*'TUSD BF'!$AJ$93</f>
        <v>1.0418156705170367</v>
      </c>
      <c r="AK78" s="25">
        <f ca="1">'TUSD BE'!$AK$78*'TUSD BF'!$AK$93</f>
        <v>0</v>
      </c>
      <c r="AL78" s="25">
        <f ca="1">SUM($AH$78:$AK$78)</f>
        <v>3.336749379406986</v>
      </c>
      <c r="AM78" s="25">
        <f ca="1">SUMIF($L$4:$AL$4,"SUBTOTAL",$L$78:$AL$78)</f>
        <v>11.52257654532691</v>
      </c>
      <c r="AO78" s="30">
        <f ca="1">+'TUSD BE'!$T$78+'TUSD BE'!$AB$78+'TUSD BE'!$AD$78+'TUSD BE'!$AL$78</f>
        <v>268.65612143694341</v>
      </c>
      <c r="AP78" s="30">
        <f ca="1">+'TUSD BE'!$T$78+'TUSD BE'!$AB$78+'TUSD BE'!$AD$78+'TUSD BE'!$AL$78</f>
        <v>268.65612143694341</v>
      </c>
    </row>
    <row r="79" spans="1:42" ht="11.25" customHeight="1" x14ac:dyDescent="0.25">
      <c r="A79" s="119"/>
      <c r="B79" s="119"/>
      <c r="C79" s="119"/>
      <c r="D79" s="28" t="s">
        <v>104</v>
      </c>
      <c r="E79" s="28" t="s">
        <v>25</v>
      </c>
      <c r="F79" s="28" t="s">
        <v>25</v>
      </c>
      <c r="G79" s="21" t="s">
        <v>94</v>
      </c>
      <c r="H79" s="21" t="s">
        <v>88</v>
      </c>
      <c r="I79" s="21">
        <f>'MERCADO TUSD'!$U$76</f>
        <v>0</v>
      </c>
      <c r="J79" s="17"/>
      <c r="L79" s="25">
        <f>'TUSD BE'!$L$79*'TUSD BF'!$L$93</f>
        <v>0</v>
      </c>
      <c r="M79" s="25">
        <f>'TUSD BE'!$M$79*'TUSD BF'!$M$93</f>
        <v>0</v>
      </c>
      <c r="N79" s="25">
        <f ca="1">'TUSD BE'!$N$79*'TUSD BF'!$N$93</f>
        <v>0</v>
      </c>
      <c r="O79" s="25">
        <f>'TUSD BE'!$O$79*'TUSD BF'!$O$93</f>
        <v>0</v>
      </c>
      <c r="P79" s="25">
        <f>'TUSD BE'!$P$79*'TUSD BF'!$P$93</f>
        <v>0</v>
      </c>
      <c r="Q79" s="25">
        <f>'TUSD BE'!$Q$79*'TUSD BF'!$Q$93</f>
        <v>6.8766148341030773</v>
      </c>
      <c r="R79" s="25">
        <f>'TUSD BE'!$R$79*'TUSD BF'!$R$93</f>
        <v>-0.99215351767428861</v>
      </c>
      <c r="S79" s="25">
        <f>'TUSD BE'!$R$79*'TUSD BF'!$S$93</f>
        <v>0</v>
      </c>
      <c r="T79" s="25">
        <f ca="1">SUM($L$79:$S$79)</f>
        <v>5.8844613164287889</v>
      </c>
      <c r="U79" s="25">
        <f>'TUSD BE'!$U$79*'TUSD BF'!$U$93</f>
        <v>1.8349344365225504</v>
      </c>
      <c r="V79" s="25">
        <f>'TUSD BE'!$V$79*'TUSD BF'!$V$93</f>
        <v>0.46643141296858642</v>
      </c>
      <c r="W79" s="25">
        <f>'TUSD BE'!$W$79*'TUSD BF'!$W$93</f>
        <v>0</v>
      </c>
      <c r="X79" s="25">
        <f>'TUSD BE'!$X$79*'TUSD BF'!$X$93</f>
        <v>0</v>
      </c>
      <c r="Y79" s="25">
        <f>'TUSD BE'!$Y$79*'TUSD BF'!$Y$93</f>
        <v>0</v>
      </c>
      <c r="Z79" s="25">
        <f>'TUSD BE'!$Z$79*'TUSD BF'!$Z$93</f>
        <v>0</v>
      </c>
      <c r="AA79" s="25">
        <f>'TUSD BE'!$AA$79*'TUSD BF'!$AA$93</f>
        <v>0</v>
      </c>
      <c r="AB79" s="25">
        <f>SUM($U$79:$AA$79)</f>
        <v>2.3013658494911367</v>
      </c>
      <c r="AC79" s="25">
        <f>'TUSD BE'!$AC$79*'TUSD BF'!$AC$93</f>
        <v>0</v>
      </c>
      <c r="AD79" s="25">
        <f>SUM($AC$79:$AC$79)</f>
        <v>0</v>
      </c>
      <c r="AE79" s="25">
        <f ca="1">$AO$79*$AO$90</f>
        <v>0</v>
      </c>
      <c r="AF79" s="25">
        <f ca="1">$AP$79*$AP$90</f>
        <v>0</v>
      </c>
      <c r="AG79" s="25">
        <f ca="1">SUM($AE$79:$AF$79)</f>
        <v>0</v>
      </c>
      <c r="AH79" s="25">
        <f>'TUSD BE'!$AH$79*'TUSD BF'!$AH$93</f>
        <v>2.2117959582820563</v>
      </c>
      <c r="AI79" s="25">
        <f>'TUSD BE'!$AI$79*'TUSD BF'!$AI$93</f>
        <v>8.3137750607892996E-2</v>
      </c>
      <c r="AJ79" s="25">
        <f ca="1">'TUSD BE'!$AJ$79*'TUSD BF'!$AJ$93</f>
        <v>1.0418156705170367</v>
      </c>
      <c r="AK79" s="25">
        <f ca="1">'TUSD BE'!$AK$79*'TUSD BF'!$AK$93</f>
        <v>0</v>
      </c>
      <c r="AL79" s="25">
        <f ca="1">SUM($AH$79:$AK$79)</f>
        <v>3.336749379406986</v>
      </c>
      <c r="AM79" s="25">
        <f ca="1">SUMIF($L$4:$AL$4,"SUBTOTAL",$L$79:$AL$79)</f>
        <v>11.52257654532691</v>
      </c>
      <c r="AO79" s="30">
        <f ca="1">+'TUSD BE'!$T$79+'TUSD BE'!$AB$79+'TUSD BE'!$AD$79+'TUSD BE'!$AL$79</f>
        <v>268.65612143694341</v>
      </c>
      <c r="AP79" s="30">
        <f ca="1">+'TUSD BE'!$T$79+'TUSD BE'!$AB$79+'TUSD BE'!$AD$79+'TUSD BE'!$AL$79</f>
        <v>268.65612143694341</v>
      </c>
    </row>
    <row r="80" spans="1:42" ht="11.25" customHeight="1" x14ac:dyDescent="0.25">
      <c r="A80" s="119" t="s">
        <v>39</v>
      </c>
      <c r="B80" s="119" t="s">
        <v>37</v>
      </c>
      <c r="C80" s="119" t="s">
        <v>25</v>
      </c>
      <c r="D80" s="119" t="s">
        <v>25</v>
      </c>
      <c r="E80" s="119" t="s">
        <v>25</v>
      </c>
      <c r="F80" s="119" t="s">
        <v>25</v>
      </c>
      <c r="G80" s="21" t="s">
        <v>89</v>
      </c>
      <c r="H80" s="21" t="s">
        <v>88</v>
      </c>
      <c r="I80" s="21">
        <f>'MERCADO TUSD'!$U$77</f>
        <v>133.67100000000025</v>
      </c>
      <c r="J80" s="17"/>
      <c r="L80" s="25">
        <f>'TUSD BE'!$L$80*'TUSD BF'!$L$93</f>
        <v>0</v>
      </c>
      <c r="M80" s="25">
        <f>'TUSD BE'!$M$80*'TUSD BF'!$M$93</f>
        <v>0</v>
      </c>
      <c r="N80" s="25">
        <f ca="1">'TUSD BE'!$N$80*'TUSD BF'!$N$93</f>
        <v>0</v>
      </c>
      <c r="O80" s="25">
        <f>'TUSD BE'!$O$80*'TUSD BF'!$O$93</f>
        <v>0</v>
      </c>
      <c r="P80" s="25">
        <f>'TUSD BE'!$P$80*'TUSD BF'!$P$93</f>
        <v>0</v>
      </c>
      <c r="Q80" s="25">
        <f>'TUSD BE'!$Q$80*'TUSD BF'!$Q$93</f>
        <v>6.8766148341030773</v>
      </c>
      <c r="R80" s="25">
        <f>'TUSD BE'!$R$80*'TUSD BF'!$R$93</f>
        <v>-0.99215351767428861</v>
      </c>
      <c r="S80" s="25">
        <f>'TUSD BE'!$R$80*'TUSD BF'!$S$93</f>
        <v>0</v>
      </c>
      <c r="T80" s="25">
        <f ca="1">SUM($L$80:$S$80)</f>
        <v>5.8844613164287889</v>
      </c>
      <c r="U80" s="25">
        <f>'TUSD BE'!$U$80*'TUSD BF'!$U$93</f>
        <v>5.8718077456976072</v>
      </c>
      <c r="V80" s="25">
        <f>'TUSD BE'!$V$80*'TUSD BF'!$V$93</f>
        <v>1.4925599512056298</v>
      </c>
      <c r="W80" s="25">
        <f>'TUSD BE'!$W$80*'TUSD BF'!$W$93</f>
        <v>0</v>
      </c>
      <c r="X80" s="25">
        <f>'TUSD BE'!$X$80*'TUSD BF'!$X$93</f>
        <v>0</v>
      </c>
      <c r="Y80" s="25">
        <f>'TUSD BE'!$Y$80*'TUSD BF'!$Y$93</f>
        <v>0</v>
      </c>
      <c r="Z80" s="25">
        <f>'TUSD BE'!$Z$80*'TUSD BF'!$Z$93</f>
        <v>0</v>
      </c>
      <c r="AA80" s="25">
        <f>'TUSD BE'!$AA$80*'TUSD BF'!$AA$93</f>
        <v>0</v>
      </c>
      <c r="AB80" s="25">
        <f>SUM($U$80:$AA$80)</f>
        <v>7.364367696903237</v>
      </c>
      <c r="AC80" s="25">
        <f>'TUSD BE'!$AC$80*'TUSD BF'!$AC$93</f>
        <v>0</v>
      </c>
      <c r="AD80" s="25">
        <f>SUM($AC$80:$AC$80)</f>
        <v>0</v>
      </c>
      <c r="AE80" s="25">
        <f ca="1">$AO$80*$AO$90</f>
        <v>0</v>
      </c>
      <c r="AF80" s="25">
        <f ca="1">$AP$80*$AP$90</f>
        <v>0</v>
      </c>
      <c r="AG80" s="25">
        <f ca="1">SUM($AE$80:$AF$80)</f>
        <v>0</v>
      </c>
      <c r="AH80" s="25">
        <f>'TUSD BE'!$AH$80*'TUSD BF'!$AH$93</f>
        <v>2.2117959582820563</v>
      </c>
      <c r="AI80" s="25">
        <f>'TUSD BE'!$AI$80*'TUSD BF'!$AI$93</f>
        <v>8.3137750607892996E-2</v>
      </c>
      <c r="AJ80" s="25">
        <f ca="1">'TUSD BE'!$AJ$80*'TUSD BF'!$AJ$93</f>
        <v>1.0418156705170367</v>
      </c>
      <c r="AK80" s="25">
        <f ca="1">'TUSD BE'!$AK$80*'TUSD BF'!$AK$93</f>
        <v>0</v>
      </c>
      <c r="AL80" s="25">
        <f ca="1">SUM($AH$80:$AK$80)</f>
        <v>3.336749379406986</v>
      </c>
      <c r="AM80" s="25">
        <f ca="1">SUMIF($L$4:$AL$4,"SUBTOTAL",$L$80:$AL$80)</f>
        <v>16.585578392739013</v>
      </c>
      <c r="AO80" s="30">
        <f ca="1">+'TUSD BE'!$T$80+'TUSD BE'!$AB$80+'TUSD BE'!$AD$80+'TUSD BE'!$AL$80</f>
        <v>617.02362518114501</v>
      </c>
      <c r="AP80" s="30">
        <f ca="1">+'TUSD BE'!$T$80+'TUSD BE'!$AB$80+'TUSD BE'!$AD$80+'TUSD BE'!$AL$80</f>
        <v>617.02362518114501</v>
      </c>
    </row>
    <row r="81" spans="1:42" ht="11.25" customHeight="1" x14ac:dyDescent="0.25">
      <c r="A81" s="119"/>
      <c r="B81" s="119"/>
      <c r="C81" s="119"/>
      <c r="D81" s="119"/>
      <c r="E81" s="119"/>
      <c r="F81" s="119"/>
      <c r="G81" s="21" t="s">
        <v>100</v>
      </c>
      <c r="H81" s="21" t="s">
        <v>88</v>
      </c>
      <c r="I81" s="21">
        <f>'MERCADO TUSD'!$U$78</f>
        <v>52.353999999999928</v>
      </c>
      <c r="J81" s="17"/>
      <c r="L81" s="25">
        <f>'TUSD BE'!$L$81*'TUSD BF'!$L$93</f>
        <v>0</v>
      </c>
      <c r="M81" s="25">
        <f>'TUSD BE'!$M$81*'TUSD BF'!$M$93</f>
        <v>0</v>
      </c>
      <c r="N81" s="25">
        <f ca="1">'TUSD BE'!$N$81*'TUSD BF'!$N$93</f>
        <v>0</v>
      </c>
      <c r="O81" s="25">
        <f>'TUSD BE'!$O$81*'TUSD BF'!$O$93</f>
        <v>0</v>
      </c>
      <c r="P81" s="25">
        <f>'TUSD BE'!$P$81*'TUSD BF'!$P$93</f>
        <v>0</v>
      </c>
      <c r="Q81" s="25">
        <f>'TUSD BE'!$Q$81*'TUSD BF'!$Q$93</f>
        <v>6.8766148341030773</v>
      </c>
      <c r="R81" s="25">
        <f>'TUSD BE'!$R$81*'TUSD BF'!$R$93</f>
        <v>-0.99215351767428861</v>
      </c>
      <c r="S81" s="25">
        <f>'TUSD BE'!$R$81*'TUSD BF'!$S$93</f>
        <v>0</v>
      </c>
      <c r="T81" s="25">
        <f ca="1">SUM($L$81:$S$81)</f>
        <v>5.8844613164287889</v>
      </c>
      <c r="U81" s="25">
        <f>'TUSD BE'!$U$81*'TUSD BF'!$U$93</f>
        <v>3.5230729482016008</v>
      </c>
      <c r="V81" s="25">
        <f>'TUSD BE'!$V$81*'TUSD BF'!$V$93</f>
        <v>0.89552774260583956</v>
      </c>
      <c r="W81" s="25">
        <f>'TUSD BE'!$W$81*'TUSD BF'!$W$93</f>
        <v>0</v>
      </c>
      <c r="X81" s="25">
        <f>'TUSD BE'!$X$81*'TUSD BF'!$X$93</f>
        <v>0</v>
      </c>
      <c r="Y81" s="25">
        <f>'TUSD BE'!$Y$81*'TUSD BF'!$Y$93</f>
        <v>0</v>
      </c>
      <c r="Z81" s="25">
        <f>'TUSD BE'!$Z$81*'TUSD BF'!$Z$93</f>
        <v>0</v>
      </c>
      <c r="AA81" s="25">
        <f>'TUSD BE'!$AA$81*'TUSD BF'!$AA$93</f>
        <v>0</v>
      </c>
      <c r="AB81" s="25">
        <f>SUM($U$81:$AA$81)</f>
        <v>4.4186006908074402</v>
      </c>
      <c r="AC81" s="25">
        <f>'TUSD BE'!$AC$81*'TUSD BF'!$AC$93</f>
        <v>0</v>
      </c>
      <c r="AD81" s="25">
        <f>SUM($AC$81:$AC$81)</f>
        <v>0</v>
      </c>
      <c r="AE81" s="25">
        <f ca="1">$AO$81*$AO$90</f>
        <v>0</v>
      </c>
      <c r="AF81" s="25">
        <f ca="1">$AP$81*$AP$90</f>
        <v>0</v>
      </c>
      <c r="AG81" s="25">
        <f ca="1">SUM($AE$81:$AF$81)</f>
        <v>0</v>
      </c>
      <c r="AH81" s="25">
        <f>'TUSD BE'!$AH$81*'TUSD BF'!$AH$93</f>
        <v>2.2117959582820563</v>
      </c>
      <c r="AI81" s="25">
        <f>'TUSD BE'!$AI$81*'TUSD BF'!$AI$93</f>
        <v>8.3137750607892996E-2</v>
      </c>
      <c r="AJ81" s="25">
        <f ca="1">'TUSD BE'!$AJ$81*'TUSD BF'!$AJ$93</f>
        <v>1.0418156705170367</v>
      </c>
      <c r="AK81" s="25">
        <f ca="1">'TUSD BE'!$AK$81*'TUSD BF'!$AK$93</f>
        <v>0</v>
      </c>
      <c r="AL81" s="25">
        <f ca="1">SUM($AH$81:$AK$81)</f>
        <v>3.336749379406986</v>
      </c>
      <c r="AM81" s="25">
        <f ca="1">SUMIF($L$4:$AL$4,"SUBTOTAL",$L$81:$AL$81)</f>
        <v>13.639811386643213</v>
      </c>
      <c r="AO81" s="30">
        <f ca="1">+'TUSD BE'!$T$81+'TUSD BE'!$AB$81+'TUSD BE'!$AD$81+'TUSD BE'!$AL$81</f>
        <v>414.33674388100781</v>
      </c>
      <c r="AP81" s="30">
        <f ca="1">+'TUSD BE'!$T$81+'TUSD BE'!$AB$81+'TUSD BE'!$AD$81+'TUSD BE'!$AL$81</f>
        <v>414.33674388100781</v>
      </c>
    </row>
    <row r="82" spans="1:42" ht="11.25" customHeight="1" x14ac:dyDescent="0.25">
      <c r="A82" s="119"/>
      <c r="B82" s="119"/>
      <c r="C82" s="119"/>
      <c r="D82" s="119"/>
      <c r="E82" s="119"/>
      <c r="F82" s="119"/>
      <c r="G82" s="21" t="s">
        <v>90</v>
      </c>
      <c r="H82" s="21" t="s">
        <v>88</v>
      </c>
      <c r="I82" s="21">
        <f>'MERCADO TUSD'!$U$79</f>
        <v>4172.1789999999992</v>
      </c>
      <c r="J82" s="17"/>
      <c r="L82" s="25">
        <f>'TUSD BE'!$L$82*'TUSD BF'!$L$93</f>
        <v>0</v>
      </c>
      <c r="M82" s="25">
        <f>'TUSD BE'!$M$82*'TUSD BF'!$M$93</f>
        <v>0</v>
      </c>
      <c r="N82" s="25">
        <f ca="1">'TUSD BE'!$N$82*'TUSD BF'!$N$93</f>
        <v>0</v>
      </c>
      <c r="O82" s="25">
        <f>'TUSD BE'!$O$82*'TUSD BF'!$O$93</f>
        <v>0</v>
      </c>
      <c r="P82" s="25">
        <f>'TUSD BE'!$P$82*'TUSD BF'!$P$93</f>
        <v>0</v>
      </c>
      <c r="Q82" s="25">
        <f>'TUSD BE'!$Q$82*'TUSD BF'!$Q$93</f>
        <v>6.8766148341030773</v>
      </c>
      <c r="R82" s="25">
        <f>'TUSD BE'!$R$82*'TUSD BF'!$R$93</f>
        <v>-0.99215351767428861</v>
      </c>
      <c r="S82" s="25">
        <f>'TUSD BE'!$R$82*'TUSD BF'!$S$93</f>
        <v>0</v>
      </c>
      <c r="T82" s="25">
        <f ca="1">SUM($L$82:$S$82)</f>
        <v>5.8844613164287889</v>
      </c>
      <c r="U82" s="25">
        <f>'TUSD BE'!$U$82*'TUSD BF'!$U$93</f>
        <v>1.1743673987480028</v>
      </c>
      <c r="V82" s="25">
        <f>'TUSD BE'!$V$82*'TUSD BF'!$V$93</f>
        <v>0.29851610429989534</v>
      </c>
      <c r="W82" s="25">
        <f>'TUSD BE'!$W$82*'TUSD BF'!$W$93</f>
        <v>0</v>
      </c>
      <c r="X82" s="25">
        <f>'TUSD BE'!$X$82*'TUSD BF'!$X$93</f>
        <v>0</v>
      </c>
      <c r="Y82" s="25">
        <f>'TUSD BE'!$Y$82*'TUSD BF'!$Y$93</f>
        <v>0</v>
      </c>
      <c r="Z82" s="25">
        <f>'TUSD BE'!$Z$82*'TUSD BF'!$Z$93</f>
        <v>0</v>
      </c>
      <c r="AA82" s="25">
        <f>'TUSD BE'!$AA$82*'TUSD BF'!$AA$93</f>
        <v>0</v>
      </c>
      <c r="AB82" s="25">
        <f>SUM($U$82:$AA$82)</f>
        <v>1.4728835030478982</v>
      </c>
      <c r="AC82" s="25">
        <f>'TUSD BE'!$AC$82*'TUSD BF'!$AC$93</f>
        <v>0</v>
      </c>
      <c r="AD82" s="25">
        <f>SUM($AC$82:$AC$82)</f>
        <v>0</v>
      </c>
      <c r="AE82" s="25">
        <f ca="1">$AO$82*$AO$90</f>
        <v>0</v>
      </c>
      <c r="AF82" s="25">
        <f ca="1">$AP$82*$AP$90</f>
        <v>0</v>
      </c>
      <c r="AG82" s="25">
        <f ca="1">SUM($AE$82:$AF$82)</f>
        <v>0</v>
      </c>
      <c r="AH82" s="25">
        <f>'TUSD BE'!$AH$82*'TUSD BF'!$AH$93</f>
        <v>2.2117959582820563</v>
      </c>
      <c r="AI82" s="25">
        <f>'TUSD BE'!$AI$82*'TUSD BF'!$AI$93</f>
        <v>8.3137750607892996E-2</v>
      </c>
      <c r="AJ82" s="25">
        <f ca="1">'TUSD BE'!$AJ$82*'TUSD BF'!$AJ$93</f>
        <v>1.0418156705170367</v>
      </c>
      <c r="AK82" s="25">
        <f ca="1">'TUSD BE'!$AK$82*'TUSD BF'!$AK$93</f>
        <v>0</v>
      </c>
      <c r="AL82" s="25">
        <f ca="1">SUM($AH$82:$AK$82)</f>
        <v>3.336749379406986</v>
      </c>
      <c r="AM82" s="25">
        <f ca="1">SUMIF($L$4:$AL$4,"SUBTOTAL",$L$82:$AL$82)</f>
        <v>10.694094198883672</v>
      </c>
      <c r="AO82" s="30">
        <f ca="1">+'TUSD BE'!$T$82+'TUSD BE'!$AB$82+'TUSD BE'!$AD$82+'TUSD BE'!$AL$82</f>
        <v>211.65093654140225</v>
      </c>
      <c r="AP82" s="30">
        <f ca="1">+'TUSD BE'!$T$82+'TUSD BE'!$AB$82+'TUSD BE'!$AD$82+'TUSD BE'!$AL$82</f>
        <v>211.65093654140225</v>
      </c>
    </row>
    <row r="83" spans="1:42" ht="11.25" customHeight="1" x14ac:dyDescent="0.25">
      <c r="A83" s="119"/>
      <c r="B83" s="28" t="s">
        <v>23</v>
      </c>
      <c r="C83" s="28" t="s">
        <v>25</v>
      </c>
      <c r="D83" s="28" t="s">
        <v>25</v>
      </c>
      <c r="E83" s="28" t="s">
        <v>25</v>
      </c>
      <c r="F83" s="28" t="s">
        <v>25</v>
      </c>
      <c r="G83" s="21" t="s">
        <v>94</v>
      </c>
      <c r="H83" s="21" t="s">
        <v>88</v>
      </c>
      <c r="I83" s="21">
        <f>'MERCADO TUSD'!$U$80</f>
        <v>1033015.7139999998</v>
      </c>
      <c r="J83" s="17"/>
      <c r="L83" s="25">
        <f>'TUSD BE'!$L$83*'TUSD BF'!$L$93</f>
        <v>0</v>
      </c>
      <c r="M83" s="25">
        <f>'TUSD BE'!$M$83*'TUSD BF'!$M$93</f>
        <v>0</v>
      </c>
      <c r="N83" s="25">
        <f ca="1">'TUSD BE'!$N$83*'TUSD BF'!$N$93</f>
        <v>0</v>
      </c>
      <c r="O83" s="25">
        <f>'TUSD BE'!$O$83*'TUSD BF'!$O$93</f>
        <v>0</v>
      </c>
      <c r="P83" s="25">
        <f>'TUSD BE'!$P$83*'TUSD BF'!$P$93</f>
        <v>0</v>
      </c>
      <c r="Q83" s="25">
        <f>'TUSD BE'!$Q$83*'TUSD BF'!$Q$93</f>
        <v>6.8766148341030773</v>
      </c>
      <c r="R83" s="25">
        <f>'TUSD BE'!$R$83*'TUSD BF'!$R$93</f>
        <v>-0.99215351767428861</v>
      </c>
      <c r="S83" s="25">
        <f>'TUSD BE'!$R$83*'TUSD BF'!$S$93</f>
        <v>0</v>
      </c>
      <c r="T83" s="25">
        <f ca="1">SUM($L$83:$S$83)</f>
        <v>5.8844613164287889</v>
      </c>
      <c r="U83" s="25">
        <f>'TUSD BE'!$U$83*'TUSD BF'!$U$93</f>
        <v>1.8349344365225504</v>
      </c>
      <c r="V83" s="25">
        <f>'TUSD BE'!$V$83*'TUSD BF'!$V$93</f>
        <v>0.46643141296858642</v>
      </c>
      <c r="W83" s="25">
        <f>'TUSD BE'!$W$83*'TUSD BF'!$W$93</f>
        <v>0</v>
      </c>
      <c r="X83" s="25">
        <f>'TUSD BE'!$X$83*'TUSD BF'!$X$93</f>
        <v>0</v>
      </c>
      <c r="Y83" s="25">
        <f>'TUSD BE'!$Y$83*'TUSD BF'!$Y$93</f>
        <v>0</v>
      </c>
      <c r="Z83" s="25">
        <f>'TUSD BE'!$Z$83*'TUSD BF'!$Z$93</f>
        <v>0</v>
      </c>
      <c r="AA83" s="25">
        <f>'TUSD BE'!$AA$83*'TUSD BF'!$AA$93</f>
        <v>0</v>
      </c>
      <c r="AB83" s="25">
        <f>SUM($U$83:$AA$83)</f>
        <v>2.3013658494911367</v>
      </c>
      <c r="AC83" s="25">
        <f>'TUSD BE'!$AC$83*'TUSD BF'!$AC$93</f>
        <v>0</v>
      </c>
      <c r="AD83" s="25">
        <f>SUM($AC$83:$AC$83)</f>
        <v>0</v>
      </c>
      <c r="AE83" s="25">
        <f ca="1">$AO$83*$AO$90</f>
        <v>0</v>
      </c>
      <c r="AF83" s="25">
        <f ca="1">$AP$83*$AP$90</f>
        <v>0</v>
      </c>
      <c r="AG83" s="25">
        <f ca="1">SUM($AE$83:$AF$83)</f>
        <v>0</v>
      </c>
      <c r="AH83" s="25">
        <f>'TUSD BE'!$AH$83*'TUSD BF'!$AH$93</f>
        <v>2.2117959582820563</v>
      </c>
      <c r="AI83" s="25">
        <f>'TUSD BE'!$AI$83*'TUSD BF'!$AI$93</f>
        <v>8.3137750607892996E-2</v>
      </c>
      <c r="AJ83" s="25">
        <f ca="1">'TUSD BE'!$AJ$83*'TUSD BF'!$AJ$93</f>
        <v>1.0418156705170367</v>
      </c>
      <c r="AK83" s="25">
        <f ca="1">'TUSD BE'!$AK$83*'TUSD BF'!$AK$93</f>
        <v>0</v>
      </c>
      <c r="AL83" s="25">
        <f ca="1">SUM($AH$83:$AK$83)</f>
        <v>3.336749379406986</v>
      </c>
      <c r="AM83" s="25">
        <f ca="1">SUMIF($L$4:$AL$4,"SUBTOTAL",$L$83:$AL$83)</f>
        <v>11.52257654532691</v>
      </c>
      <c r="AO83" s="30">
        <f ca="1">+'TUSD BE'!$T$83+'TUSD BE'!$AB$83+'TUSD BE'!$AD$83+'TUSD BE'!$AL$83</f>
        <v>268.65612143694341</v>
      </c>
      <c r="AP83" s="30">
        <f ca="1">+'TUSD BE'!$T$83+'TUSD BE'!$AB$83+'TUSD BE'!$AD$83+'TUSD BE'!$AL$83</f>
        <v>268.65612143694341</v>
      </c>
    </row>
    <row r="84" spans="1:42" ht="11.25" customHeight="1" x14ac:dyDescent="0.25">
      <c r="A84" s="119"/>
      <c r="B84" s="28" t="s">
        <v>102</v>
      </c>
      <c r="C84" s="28" t="s">
        <v>25</v>
      </c>
      <c r="D84" s="28" t="s">
        <v>25</v>
      </c>
      <c r="E84" s="28" t="s">
        <v>25</v>
      </c>
      <c r="F84" s="28" t="s">
        <v>25</v>
      </c>
      <c r="G84" s="21" t="s">
        <v>94</v>
      </c>
      <c r="H84" s="21" t="s">
        <v>88</v>
      </c>
      <c r="I84" s="21">
        <f>'MERCADO TUSD'!$U$81</f>
        <v>0</v>
      </c>
      <c r="J84" s="17"/>
      <c r="L84" s="25">
        <f>'TUSD BE'!$L$84*'TUSD BF'!$L$93</f>
        <v>0</v>
      </c>
      <c r="M84" s="25">
        <f>'TUSD BE'!$M$84*'TUSD BF'!$M$93</f>
        <v>0</v>
      </c>
      <c r="N84" s="25">
        <f ca="1">'TUSD BE'!$N$84*'TUSD BF'!$N$93</f>
        <v>0</v>
      </c>
      <c r="O84" s="25">
        <f>'TUSD BE'!$O$84*'TUSD BF'!$O$93</f>
        <v>0</v>
      </c>
      <c r="P84" s="25">
        <f>'TUSD BE'!$P$84*'TUSD BF'!$P$93</f>
        <v>0</v>
      </c>
      <c r="Q84" s="25">
        <f>'TUSD BE'!$Q$84*'TUSD BF'!$Q$93</f>
        <v>6.8766148341030773</v>
      </c>
      <c r="R84" s="25">
        <f>'TUSD BE'!$R$84*'TUSD BF'!$R$93</f>
        <v>-0.99215351767428861</v>
      </c>
      <c r="S84" s="25">
        <f>'TUSD BE'!$R$84*'TUSD BF'!$S$93</f>
        <v>0</v>
      </c>
      <c r="T84" s="25">
        <f ca="1">SUM($L$84:$S$84)</f>
        <v>5.8844613164287889</v>
      </c>
      <c r="U84" s="25">
        <f>'TUSD BE'!$U$84*'TUSD BF'!$U$93</f>
        <v>1.8349344365225504</v>
      </c>
      <c r="V84" s="25">
        <f>'TUSD BE'!$V$84*'TUSD BF'!$V$93</f>
        <v>0.46643141296858642</v>
      </c>
      <c r="W84" s="25">
        <f>'TUSD BE'!$W$84*'TUSD BF'!$W$93</f>
        <v>0</v>
      </c>
      <c r="X84" s="25">
        <f>'TUSD BE'!$X$84*'TUSD BF'!$X$93</f>
        <v>0</v>
      </c>
      <c r="Y84" s="25">
        <f>'TUSD BE'!$Y$84*'TUSD BF'!$Y$93</f>
        <v>0</v>
      </c>
      <c r="Z84" s="25">
        <f>'TUSD BE'!$Z$84*'TUSD BF'!$Z$93</f>
        <v>0</v>
      </c>
      <c r="AA84" s="25">
        <f>'TUSD BE'!$AA$84*'TUSD BF'!$AA$93</f>
        <v>0</v>
      </c>
      <c r="AB84" s="25">
        <f>SUM($U$84:$AA$84)</f>
        <v>2.3013658494911367</v>
      </c>
      <c r="AC84" s="25">
        <f>'TUSD BE'!$AC$84*'TUSD BF'!$AC$93</f>
        <v>0</v>
      </c>
      <c r="AD84" s="25">
        <f>SUM($AC$84:$AC$84)</f>
        <v>0</v>
      </c>
      <c r="AE84" s="25">
        <f ca="1">$AO$84*$AO$90</f>
        <v>0</v>
      </c>
      <c r="AF84" s="25">
        <f ca="1">$AP$84*$AP$90</f>
        <v>0</v>
      </c>
      <c r="AG84" s="25">
        <f ca="1">SUM($AE$84:$AF$84)</f>
        <v>0</v>
      </c>
      <c r="AH84" s="25">
        <f>'TUSD BE'!$AH$84*'TUSD BF'!$AH$93</f>
        <v>2.2117959582820563</v>
      </c>
      <c r="AI84" s="25">
        <f>'TUSD BE'!$AI$84*'TUSD BF'!$AI$93</f>
        <v>8.3137750607892996E-2</v>
      </c>
      <c r="AJ84" s="25">
        <f ca="1">'TUSD BE'!$AJ$84*'TUSD BF'!$AJ$93</f>
        <v>1.0418156705170367</v>
      </c>
      <c r="AK84" s="25">
        <f ca="1">'TUSD BE'!$AK$84*'TUSD BF'!$AK$93</f>
        <v>0</v>
      </c>
      <c r="AL84" s="25">
        <f ca="1">SUM($AH$84:$AK$84)</f>
        <v>3.336749379406986</v>
      </c>
      <c r="AM84" s="25">
        <f ca="1">SUMIF($L$4:$AL$4,"SUBTOTAL",$L$84:$AL$84)</f>
        <v>11.52257654532691</v>
      </c>
      <c r="AO84" s="30">
        <f ca="1">+'TUSD BE'!$T$84+'TUSD BE'!$AB$84+'TUSD BE'!$AD$84+'TUSD BE'!$AL$84</f>
        <v>268.65612143694341</v>
      </c>
      <c r="AP84" s="30">
        <f ca="1">+'TUSD BE'!$T$84+'TUSD BE'!$AB$84+'TUSD BE'!$AD$84+'TUSD BE'!$AL$84</f>
        <v>268.65612143694341</v>
      </c>
    </row>
    <row r="85" spans="1:42" ht="11.25" customHeight="1" x14ac:dyDescent="0.25">
      <c r="A85" s="119" t="s">
        <v>49</v>
      </c>
      <c r="B85" s="119" t="s">
        <v>23</v>
      </c>
      <c r="C85" s="119" t="s">
        <v>50</v>
      </c>
      <c r="D85" s="28" t="s">
        <v>51</v>
      </c>
      <c r="E85" s="28" t="s">
        <v>25</v>
      </c>
      <c r="F85" s="28" t="s">
        <v>25</v>
      </c>
      <c r="G85" s="21" t="s">
        <v>94</v>
      </c>
      <c r="H85" s="21" t="s">
        <v>88</v>
      </c>
      <c r="I85" s="21">
        <f>'MERCADO TUSD'!$U$82</f>
        <v>418118.94</v>
      </c>
      <c r="J85" s="17"/>
      <c r="L85" s="25">
        <f>'TUSD BE'!$L$85*'TUSD BF'!$L$93</f>
        <v>0</v>
      </c>
      <c r="M85" s="25">
        <f>'TUSD BE'!$M$85*'TUSD BF'!$M$93</f>
        <v>0</v>
      </c>
      <c r="N85" s="25">
        <f ca="1">'TUSD BE'!$N$85*'TUSD BF'!$N$93</f>
        <v>0</v>
      </c>
      <c r="O85" s="25">
        <f>'TUSD BE'!$O$85*'TUSD BF'!$O$93</f>
        <v>0</v>
      </c>
      <c r="P85" s="25">
        <f>'TUSD BE'!$P$85*'TUSD BF'!$P$93</f>
        <v>0</v>
      </c>
      <c r="Q85" s="25">
        <f>'TUSD BE'!$Q$85*'TUSD BF'!$Q$93</f>
        <v>3.7821381587566925</v>
      </c>
      <c r="R85" s="25">
        <f>'TUSD BE'!$R$85*'TUSD BF'!$R$93</f>
        <v>-0.5456844347208587</v>
      </c>
      <c r="S85" s="25">
        <f>'TUSD BE'!$R$85*'TUSD BF'!$S$93</f>
        <v>0</v>
      </c>
      <c r="T85" s="25">
        <f ca="1">SUM($L$85:$S$85)</f>
        <v>3.236453724035834</v>
      </c>
      <c r="U85" s="25">
        <f>'TUSD BE'!$U$85*'TUSD BF'!$U$93</f>
        <v>1.0092139400874029</v>
      </c>
      <c r="V85" s="25">
        <f>'TUSD BE'!$V$85*'TUSD BF'!$V$93</f>
        <v>0.25653727713272256</v>
      </c>
      <c r="W85" s="25">
        <f>'TUSD BE'!$W$85*'TUSD BF'!$W$93</f>
        <v>0</v>
      </c>
      <c r="X85" s="25">
        <f>'TUSD BE'!$X$85*'TUSD BF'!$X$93</f>
        <v>0</v>
      </c>
      <c r="Y85" s="25">
        <f>'TUSD BE'!$Y$85*'TUSD BF'!$Y$93</f>
        <v>0</v>
      </c>
      <c r="Z85" s="25">
        <f>'TUSD BE'!$Z$85*'TUSD BF'!$Z$93</f>
        <v>0</v>
      </c>
      <c r="AA85" s="25">
        <f>'TUSD BE'!$AA$85*'TUSD BF'!$AA$93</f>
        <v>0</v>
      </c>
      <c r="AB85" s="25">
        <f>SUM($U$85:$AA$85)</f>
        <v>1.2657512172201255</v>
      </c>
      <c r="AC85" s="25">
        <f>'TUSD BE'!$AC$85*'TUSD BF'!$AC$93</f>
        <v>0</v>
      </c>
      <c r="AD85" s="25">
        <f>SUM($AC$85:$AC$85)</f>
        <v>0</v>
      </c>
      <c r="AE85" s="25">
        <f ca="1">$AO$85*$AO$90</f>
        <v>0</v>
      </c>
      <c r="AF85" s="25">
        <f ca="1">$AP$85*$AP$90</f>
        <v>0</v>
      </c>
      <c r="AG85" s="25">
        <f ca="1">SUM($AE$85:$AF$85)</f>
        <v>0</v>
      </c>
      <c r="AH85" s="25">
        <f>'TUSD BE'!$AH$85*'TUSD BF'!$AH$93</f>
        <v>1.2164877770551312</v>
      </c>
      <c r="AI85" s="25">
        <f>'TUSD BE'!$AI$85*'TUSD BF'!$AI$93</f>
        <v>4.5725762834341155E-2</v>
      </c>
      <c r="AJ85" s="25">
        <f ca="1">'TUSD BE'!$AJ$85*'TUSD BF'!$AJ$93</f>
        <v>0.57299861878437031</v>
      </c>
      <c r="AK85" s="25">
        <f ca="1">'TUSD BE'!$AK$85*'TUSD BF'!$AK$93</f>
        <v>0</v>
      </c>
      <c r="AL85" s="25">
        <f ca="1">SUM($AH$85:$AK$85)</f>
        <v>1.8352121586738426</v>
      </c>
      <c r="AM85" s="25">
        <f ca="1">SUMIF($L$4:$AL$4,"SUBTOTAL",$L$85:$AL$85)</f>
        <v>6.3374170999298016</v>
      </c>
      <c r="AO85" s="30">
        <f ca="1">+'TUSD BE'!$T$85+'TUSD BE'!$AB$85+'TUSD BE'!$AD$85+'TUSD BE'!$AL$85</f>
        <v>147.76086679031886</v>
      </c>
      <c r="AP85" s="30">
        <f ca="1">+'TUSD BE'!$T$85+'TUSD BE'!$AB$85+'TUSD BE'!$AD$85+'TUSD BE'!$AL$85</f>
        <v>147.76086679031886</v>
      </c>
    </row>
    <row r="86" spans="1:42" ht="11.25" customHeight="1" x14ac:dyDescent="0.25">
      <c r="A86" s="119"/>
      <c r="B86" s="119"/>
      <c r="C86" s="119"/>
      <c r="D86" s="21" t="s">
        <v>105</v>
      </c>
      <c r="E86" s="21" t="s">
        <v>25</v>
      </c>
      <c r="F86" s="21" t="s">
        <v>25</v>
      </c>
      <c r="G86" s="21" t="s">
        <v>94</v>
      </c>
      <c r="H86" s="21" t="s">
        <v>88</v>
      </c>
      <c r="I86" s="21">
        <f>'MERCADO TUSD'!$U$83</f>
        <v>0</v>
      </c>
      <c r="J86" s="17"/>
      <c r="L86" s="25">
        <f>'TUSD BE'!$L$86*'TUSD BF'!$L$93</f>
        <v>0</v>
      </c>
      <c r="M86" s="25">
        <f>'TUSD BE'!$M$86*'TUSD BF'!$M$93</f>
        <v>0</v>
      </c>
      <c r="N86" s="25">
        <f ca="1">'TUSD BE'!$N$86*'TUSD BF'!$N$93</f>
        <v>0</v>
      </c>
      <c r="O86" s="25">
        <f>'TUSD BE'!$O$86*'TUSD BF'!$O$93</f>
        <v>0</v>
      </c>
      <c r="P86" s="25">
        <f>'TUSD BE'!$P$86*'TUSD BF'!$P$93</f>
        <v>0</v>
      </c>
      <c r="Q86" s="25">
        <f>'TUSD BE'!$Q$86*'TUSD BF'!$Q$93</f>
        <v>4.1259689004618458</v>
      </c>
      <c r="R86" s="25">
        <f>'TUSD BE'!$R$86*'TUSD BF'!$R$93</f>
        <v>-0.59529211060457321</v>
      </c>
      <c r="S86" s="25">
        <f>'TUSD BE'!$R$86*'TUSD BF'!$S$93</f>
        <v>0</v>
      </c>
      <c r="T86" s="25">
        <f ca="1">SUM($L$86:$S$86)</f>
        <v>3.5306767898572726</v>
      </c>
      <c r="U86" s="25">
        <f>'TUSD BE'!$U$86*'TUSD BF'!$U$93</f>
        <v>1.1009606619135304</v>
      </c>
      <c r="V86" s="25">
        <f>'TUSD BE'!$V$86*'TUSD BF'!$V$93</f>
        <v>0.27985884778115183</v>
      </c>
      <c r="W86" s="25">
        <f>'TUSD BE'!$W$86*'TUSD BF'!$W$93</f>
        <v>0</v>
      </c>
      <c r="X86" s="25">
        <f>'TUSD BE'!$X$86*'TUSD BF'!$X$93</f>
        <v>0</v>
      </c>
      <c r="Y86" s="25">
        <f>'TUSD BE'!$Y$86*'TUSD BF'!$Y$93</f>
        <v>0</v>
      </c>
      <c r="Z86" s="25">
        <f>'TUSD BE'!$Z$86*'TUSD BF'!$Z$93</f>
        <v>0</v>
      </c>
      <c r="AA86" s="25">
        <f>'TUSD BE'!$AA$86*'TUSD BF'!$AA$93</f>
        <v>0</v>
      </c>
      <c r="AB86" s="25">
        <f>SUM($U$86:$AA$86)</f>
        <v>1.3808195096946823</v>
      </c>
      <c r="AC86" s="25">
        <f>'TUSD BE'!$AC$86*'TUSD BF'!$AC$93</f>
        <v>0</v>
      </c>
      <c r="AD86" s="25">
        <f>SUM($AC$86:$AC$86)</f>
        <v>0</v>
      </c>
      <c r="AE86" s="25">
        <f ca="1">$AO$86*$AO$90</f>
        <v>0</v>
      </c>
      <c r="AF86" s="25">
        <f ca="1">$AP$86*$AP$90</f>
        <v>0</v>
      </c>
      <c r="AG86" s="25">
        <f ca="1">SUM($AE$86:$AF$86)</f>
        <v>0</v>
      </c>
      <c r="AH86" s="25">
        <f>'TUSD BE'!$AH$86*'TUSD BF'!$AH$93</f>
        <v>1.3270775749692336</v>
      </c>
      <c r="AI86" s="25">
        <f>'TUSD BE'!$AI$86*'TUSD BF'!$AI$93</f>
        <v>4.9882650364735791E-2</v>
      </c>
      <c r="AJ86" s="25">
        <f ca="1">'TUSD BE'!$AJ$86*'TUSD BF'!$AJ$93</f>
        <v>0.62508940231022214</v>
      </c>
      <c r="AK86" s="25">
        <f ca="1">'TUSD BE'!$AK$86*'TUSD BF'!$AK$93</f>
        <v>0</v>
      </c>
      <c r="AL86" s="25">
        <f ca="1">SUM($AH$86:$AK$86)</f>
        <v>2.0020496276441917</v>
      </c>
      <c r="AM86" s="25">
        <f ca="1">SUMIF($L$4:$AL$4,"SUBTOTAL",$L$86:$AL$86)</f>
        <v>6.9135459271961466</v>
      </c>
      <c r="AO86" s="30">
        <f ca="1">+'TUSD BE'!$T$86+'TUSD BE'!$AB$86+'TUSD BE'!$AD$86+'TUSD BE'!$AL$86</f>
        <v>161.19367286216604</v>
      </c>
      <c r="AP86" s="30">
        <f ca="1">+'TUSD BE'!$T$86+'TUSD BE'!$AB$86+'TUSD BE'!$AD$86+'TUSD BE'!$AL$86</f>
        <v>161.19367286216604</v>
      </c>
    </row>
    <row r="88" spans="1:42" ht="11.25" customHeight="1" x14ac:dyDescent="0.25">
      <c r="K88" s="27" t="s">
        <v>1064</v>
      </c>
      <c r="L88" s="25">
        <f>SUMPRODUCT($I$5:$I86,$L$5:$L86)</f>
        <v>0</v>
      </c>
      <c r="M88" s="25">
        <f>SUMPRODUCT($I$5:$I86,$M$5:$M86)</f>
        <v>0</v>
      </c>
      <c r="N88" s="25">
        <f ca="1">SUMPRODUCT($I$5:$I86,$N$5:$N86)</f>
        <v>0</v>
      </c>
      <c r="O88" s="25">
        <f>SUMPRODUCT($I$5:$I86,$O$5:$O86)</f>
        <v>0</v>
      </c>
      <c r="P88" s="25">
        <f>SUMPRODUCT($I$5:$I86,$P$5:$P86)</f>
        <v>0</v>
      </c>
      <c r="Q88" s="25">
        <f>SUMPRODUCT($I$5:$I86,$Q$5:$Q86)</f>
        <v>38454708.073956862</v>
      </c>
      <c r="R88" s="25">
        <f>SUMPRODUCT($I$5:$I86,$R$5:$R86)</f>
        <v>-5795217.5811314909</v>
      </c>
      <c r="S88" s="25">
        <f>SUMPRODUCT($I$5:$I86,$S$5:$S86)</f>
        <v>0</v>
      </c>
      <c r="T88" s="25">
        <f ca="1">SUMPRODUCT($I$5:$I86,$T$5:$T86)</f>
        <v>32659490.492825381</v>
      </c>
      <c r="U88" s="25">
        <f>SUMPRODUCT($I$5:$I86,$U$5:$U86)</f>
        <v>11084387.283549052</v>
      </c>
      <c r="V88" s="25">
        <f>SUMPRODUCT($I$5:$I86,$V$5:$V86)</f>
        <v>2883098.579386333</v>
      </c>
      <c r="W88" s="25">
        <f>SUMPRODUCT($I$5:$I86,$W$5:$W86)</f>
        <v>0</v>
      </c>
      <c r="X88" s="25">
        <f>SUMPRODUCT($I$5:$I86,$X$5:$X86)</f>
        <v>0</v>
      </c>
      <c r="Y88" s="25">
        <f>SUMPRODUCT($I$5:$I86,$Y$5:$Y86)</f>
        <v>0</v>
      </c>
      <c r="Z88" s="25">
        <f>SUMPRODUCT($I$5:$I86,$Z$5:$Z86)</f>
        <v>0</v>
      </c>
      <c r="AA88" s="25">
        <f>SUMPRODUCT($I$5:$I86,$AA$5:$AA86)</f>
        <v>35209.92176181126</v>
      </c>
      <c r="AB88" s="25">
        <f>SUMPRODUCT($I$5:$I86,$AB$5:$AB86)</f>
        <v>14002695.784697194</v>
      </c>
      <c r="AC88" s="25">
        <f>SUMPRODUCT($I$5:$I86,$AC$5:$AC86)</f>
        <v>0</v>
      </c>
      <c r="AD88" s="25">
        <f>SUMPRODUCT($I$5:$I86,$AD$5:$AD86)</f>
        <v>0</v>
      </c>
      <c r="AE88" s="25">
        <f ca="1">SUMPRODUCT($I$5:$I86,$AE$5:$AE86)</f>
        <v>0</v>
      </c>
      <c r="AF88" s="25">
        <f ca="1">SUMPRODUCT($I$5:$I86,$AF$5:$AF86)</f>
        <v>0</v>
      </c>
      <c r="AG88" s="25">
        <f ca="1">SUMPRODUCT($I$5:$I86,$AG$5:$AG86)</f>
        <v>0</v>
      </c>
      <c r="AH88" s="25">
        <f>SUMPRODUCT($I$5:$I86,$AH$5:$AH86)</f>
        <v>10851157.06719476</v>
      </c>
      <c r="AI88" s="25">
        <f>SUMPRODUCT($I$5:$I86,$AI$5:$AI86)</f>
        <v>407875.50982032268</v>
      </c>
      <c r="AJ88" s="25">
        <f ca="1">SUMPRODUCT($I$5:$I86,$AJ$5:$AJ86)</f>
        <v>5577106.1942204703</v>
      </c>
      <c r="AK88" s="25">
        <f ca="1">SUMPRODUCT($I$5:$I86,$AK$5:$AK86)</f>
        <v>0</v>
      </c>
      <c r="AL88" s="25">
        <f ca="1">SUMPRODUCT($I$5:$I86,$AL$5:$AL86)</f>
        <v>16836138.771235552</v>
      </c>
      <c r="AM88" s="25">
        <f ca="1">SUMPRODUCT($I$5:$I86,$AM$5:$AM86)</f>
        <v>63498325.048758112</v>
      </c>
      <c r="AO88" s="21">
        <f ca="1">SUMPRODUCT($I$5:$I86,$AO$5:$AO86)</f>
        <v>1424995562.0970628</v>
      </c>
      <c r="AP88" s="21">
        <f ca="1">SUMPRODUCT($I$5:$I86,$AP$5:$AP86)</f>
        <v>1440037795.3567593</v>
      </c>
    </row>
    <row r="89" spans="1:42" ht="11.25" customHeight="1" x14ac:dyDescent="0.25">
      <c r="K89" s="27" t="s">
        <v>998</v>
      </c>
      <c r="L89" s="25">
        <f>'TR TUSD'!$L$91</f>
        <v>0</v>
      </c>
      <c r="M89" s="25">
        <f>'TR TUSD'!$M$91</f>
        <v>2275228.0759017272</v>
      </c>
      <c r="N89" s="25">
        <f>'TR TUSD'!$N$91</f>
        <v>10614130.124088451</v>
      </c>
      <c r="O89" s="25">
        <f>'TR TUSD'!$O$91</f>
        <v>0</v>
      </c>
      <c r="P89" s="25">
        <f>'TR TUSD'!$P$91</f>
        <v>0</v>
      </c>
      <c r="Q89" s="25">
        <f>'TR TUSD'!$Q$91</f>
        <v>343888375.74232566</v>
      </c>
      <c r="R89" s="25">
        <f>'TR TUSD'!$R$91</f>
        <v>46565614.407255195</v>
      </c>
      <c r="S89" s="25">
        <f>'TR TUSD'!$S$91</f>
        <v>0</v>
      </c>
      <c r="T89" s="25">
        <f>'TR TUSD'!$T$91</f>
        <v>403343348.34957099</v>
      </c>
      <c r="U89" s="25">
        <f>'TR TUSD'!$U$91</f>
        <v>238331541</v>
      </c>
      <c r="V89" s="25">
        <f>'TR TUSD'!$V$91</f>
        <v>61976411.399999999</v>
      </c>
      <c r="W89" s="25">
        <f>'TR TUSD'!$W$91</f>
        <v>8074316.2702725902</v>
      </c>
      <c r="X89" s="25">
        <f>'TR TUSD'!$X$91</f>
        <v>0</v>
      </c>
      <c r="Y89" s="25">
        <f>'TR TUSD'!$Y$91</f>
        <v>0</v>
      </c>
      <c r="Z89" s="25">
        <f>'TR TUSD'!$Z$91</f>
        <v>0</v>
      </c>
      <c r="AA89" s="25">
        <f>'TR TUSD'!$AA$91</f>
        <v>771753.60000000009</v>
      </c>
      <c r="AB89" s="25">
        <f>'TR TUSD'!$AB$91</f>
        <v>309154022.27027261</v>
      </c>
      <c r="AC89" s="25">
        <f>'TR TUSD'!$AC$91</f>
        <v>526859621.2744624</v>
      </c>
      <c r="AD89" s="25">
        <f>'TR TUSD'!$AD$91</f>
        <v>526859621.2744624</v>
      </c>
      <c r="AE89" s="25">
        <f>'TR TUSD'!$AE$91</f>
        <v>0</v>
      </c>
      <c r="AF89" s="25">
        <f>'TR TUSD'!$AF$91</f>
        <v>0</v>
      </c>
      <c r="AG89" s="25">
        <f>'TR TUSD'!$AG$91</f>
        <v>0</v>
      </c>
      <c r="AH89" s="25">
        <f>'TR TUSD'!$AH$91</f>
        <v>120156261.92101654</v>
      </c>
      <c r="AI89" s="25">
        <f>'TR TUSD'!$AI$91</f>
        <v>4516458.1330503756</v>
      </c>
      <c r="AJ89" s="25">
        <f>'TR TUSD'!$AJ$91</f>
        <v>61756016.292492852</v>
      </c>
      <c r="AK89" s="25">
        <f>'TR TUSD'!$AK$91</f>
        <v>14252067.115893451</v>
      </c>
      <c r="AL89" s="25">
        <f>'TR TUSD'!$AL$91</f>
        <v>200680803.46245322</v>
      </c>
      <c r="AM89" s="25">
        <f>CUSTOS!$D$29</f>
        <v>1440037795.3567591</v>
      </c>
      <c r="AO89" s="21">
        <f>$AE$91</f>
        <v>0</v>
      </c>
      <c r="AP89" s="21">
        <f>$AF$91</f>
        <v>0</v>
      </c>
    </row>
    <row r="90" spans="1:42" ht="11.25" customHeight="1" x14ac:dyDescent="0.25">
      <c r="K90" s="27" t="s">
        <v>999</v>
      </c>
      <c r="L90" s="25">
        <f>CUSTOS!$E$2</f>
        <v>0</v>
      </c>
      <c r="M90" s="25">
        <f>CUSTOS!$E$3</f>
        <v>-149041.49306630532</v>
      </c>
      <c r="N90" s="25">
        <f>CUSTOS!$E$4</f>
        <v>1428.0658642872843</v>
      </c>
      <c r="O90" s="25">
        <f>CUSTOS!$E$5</f>
        <v>0</v>
      </c>
      <c r="P90" s="25">
        <f>CUSTOS!$E$6</f>
        <v>0</v>
      </c>
      <c r="Q90" s="25">
        <f>CUSTOS!$E$7</f>
        <v>-11196254.455512114</v>
      </c>
      <c r="R90" s="25">
        <f>CUSTOS!$E$8</f>
        <v>-17765.676831671968</v>
      </c>
      <c r="S90" s="25">
        <f>CUSTOS!$E$9</f>
        <v>0</v>
      </c>
      <c r="T90" s="25">
        <f>CUSTOS!$E$10</f>
        <v>-11361633.559545804</v>
      </c>
      <c r="U90" s="25">
        <f>CUSTOS!$E$11</f>
        <v>-1743121.3283396903</v>
      </c>
      <c r="V90" s="25">
        <f>CUSTOS!$E$12</f>
        <v>3258066.3460147842</v>
      </c>
      <c r="W90" s="25">
        <f>CUSTOS!$E$13</f>
        <v>34341.478047883065</v>
      </c>
      <c r="X90" s="25">
        <f>CUSTOS!$E$14</f>
        <v>0</v>
      </c>
      <c r="Y90" s="25">
        <f>CUSTOS!$E$15</f>
        <v>0</v>
      </c>
      <c r="Z90" s="25">
        <f>CUSTOS!$E$16</f>
        <v>0</v>
      </c>
      <c r="AA90" s="25">
        <f>CUSTOS!$E$17</f>
        <v>105899.66550827415</v>
      </c>
      <c r="AB90" s="25">
        <f>CUSTOS!$E$18</f>
        <v>1655186.1612312512</v>
      </c>
      <c r="AC90" s="25">
        <f>CUSTOS!$E$19</f>
        <v>0</v>
      </c>
      <c r="AD90" s="25">
        <f>CUSTOS!$E$20</f>
        <v>0</v>
      </c>
      <c r="AE90" s="25">
        <f>CUSTOS!$E$21</f>
        <v>0</v>
      </c>
      <c r="AF90" s="25">
        <f>CUSTOS!$E$22</f>
        <v>0</v>
      </c>
      <c r="AG90" s="25">
        <f>CUSTOS!$E$23</f>
        <v>0</v>
      </c>
      <c r="AH90" s="25">
        <f>CUSTOS!$E$24</f>
        <v>-21332145.937846728</v>
      </c>
      <c r="AI90" s="25">
        <f>CUSTOS!$E$25</f>
        <v>-801837.06180654361</v>
      </c>
      <c r="AJ90" s="25">
        <f>CUSTOS!$E$26</f>
        <v>-10963959.189721374</v>
      </c>
      <c r="AK90" s="25">
        <f>CUSTOS!$E$27</f>
        <v>236692.82580248686</v>
      </c>
      <c r="AL90" s="25">
        <f>CUSTOS!$E$28</f>
        <v>-32861249.363572162</v>
      </c>
      <c r="AM90" s="25">
        <f>CUSTOS!$E$29</f>
        <v>-42567696.761886716</v>
      </c>
      <c r="AO90" s="21">
        <f ca="1">IF(AO88&lt;&gt;0,AO89/AO88,0)</f>
        <v>0</v>
      </c>
      <c r="AP90" s="21">
        <f ca="1">IF(AP88&lt;&gt;0,AP89/AP88,0)</f>
        <v>0</v>
      </c>
    </row>
    <row r="91" spans="1:42" ht="11.25" customHeight="1" x14ac:dyDescent="0.25">
      <c r="K91" s="27" t="s">
        <v>1000</v>
      </c>
      <c r="L91" s="25">
        <f>CUSTOS!$F$2</f>
        <v>0</v>
      </c>
      <c r="M91" s="25">
        <f>CUSTOS!$F$3</f>
        <v>0</v>
      </c>
      <c r="N91" s="25">
        <f>CUSTOS!$F$4</f>
        <v>0</v>
      </c>
      <c r="O91" s="25">
        <f>CUSTOS!$F$5</f>
        <v>0</v>
      </c>
      <c r="P91" s="25">
        <f>CUSTOS!$F$6</f>
        <v>0</v>
      </c>
      <c r="Q91" s="25">
        <f>CUSTOS!$F$7</f>
        <v>38454708.07395687</v>
      </c>
      <c r="R91" s="25">
        <f>CUSTOS!$F$8</f>
        <v>-5795217.5811314899</v>
      </c>
      <c r="S91" s="25">
        <f>CUSTOS!$F$9</f>
        <v>0</v>
      </c>
      <c r="T91" s="25">
        <f>CUSTOS!$F$10</f>
        <v>32659490.492825381</v>
      </c>
      <c r="U91" s="25">
        <f>CUSTOS!$F$11</f>
        <v>11084387.28354905</v>
      </c>
      <c r="V91" s="25">
        <f>CUSTOS!$F$12</f>
        <v>2883098.5793863335</v>
      </c>
      <c r="W91" s="25">
        <f>CUSTOS!$F$13</f>
        <v>0</v>
      </c>
      <c r="X91" s="25">
        <f>CUSTOS!$F$14</f>
        <v>0</v>
      </c>
      <c r="Y91" s="25">
        <f>CUSTOS!$F$15</f>
        <v>0</v>
      </c>
      <c r="Z91" s="25">
        <f>CUSTOS!$F$16</f>
        <v>0</v>
      </c>
      <c r="AA91" s="25">
        <f>CUSTOS!$F$17</f>
        <v>35209.92176181126</v>
      </c>
      <c r="AB91" s="25">
        <f>CUSTOS!$F$18</f>
        <v>14002695.784697194</v>
      </c>
      <c r="AC91" s="25">
        <f>CUSTOS!$F$19</f>
        <v>0</v>
      </c>
      <c r="AD91" s="25">
        <f>CUSTOS!$F$20</f>
        <v>0</v>
      </c>
      <c r="AE91" s="25">
        <f>CUSTOS!$F$21</f>
        <v>0</v>
      </c>
      <c r="AF91" s="25">
        <f>CUSTOS!$F$22</f>
        <v>0</v>
      </c>
      <c r="AG91" s="25">
        <f>CUSTOS!$F$23</f>
        <v>0</v>
      </c>
      <c r="AH91" s="25">
        <f>CUSTOS!$F$24</f>
        <v>10851157.067194762</v>
      </c>
      <c r="AI91" s="25">
        <f>CUSTOS!$F$25</f>
        <v>407875.50982032262</v>
      </c>
      <c r="AJ91" s="25">
        <f>CUSTOS!$F$26</f>
        <v>5577106.1942204703</v>
      </c>
      <c r="AK91" s="25">
        <f>CUSTOS!$F$27</f>
        <v>0</v>
      </c>
      <c r="AL91" s="25">
        <f>CUSTOS!$F$28</f>
        <v>16836138.771235555</v>
      </c>
      <c r="AM91" s="25">
        <f>CUSTOS!$F$29</f>
        <v>63498325.048758134</v>
      </c>
    </row>
    <row r="92" spans="1:42" ht="11.25" customHeight="1" x14ac:dyDescent="0.25">
      <c r="K92" s="27" t="s">
        <v>1061</v>
      </c>
      <c r="L92" s="25">
        <v>0</v>
      </c>
      <c r="M92" s="25">
        <v>0</v>
      </c>
      <c r="N92" s="25">
        <v>0</v>
      </c>
      <c r="O92" s="25">
        <v>0</v>
      </c>
      <c r="P92" s="25">
        <v>0</v>
      </c>
      <c r="Q92" s="25">
        <v>0</v>
      </c>
      <c r="R92" s="25">
        <v>0</v>
      </c>
      <c r="S92" s="25">
        <v>0</v>
      </c>
      <c r="T92" s="25"/>
      <c r="U92" s="25">
        <v>0</v>
      </c>
      <c r="V92" s="25">
        <v>0</v>
      </c>
      <c r="W92" s="25">
        <v>0</v>
      </c>
      <c r="X92" s="25">
        <v>0</v>
      </c>
      <c r="Y92" s="25">
        <v>0</v>
      </c>
      <c r="Z92" s="25">
        <v>0</v>
      </c>
      <c r="AA92" s="25">
        <v>0</v>
      </c>
      <c r="AB92" s="25"/>
      <c r="AC92" s="25">
        <v>0</v>
      </c>
      <c r="AD92" s="25"/>
      <c r="AE92" s="25">
        <v>0</v>
      </c>
      <c r="AF92" s="25">
        <v>0</v>
      </c>
      <c r="AG92" s="25"/>
      <c r="AH92" s="25">
        <v>0</v>
      </c>
      <c r="AI92" s="25">
        <v>0</v>
      </c>
      <c r="AJ92" s="25">
        <v>0</v>
      </c>
      <c r="AK92" s="25">
        <v>0</v>
      </c>
      <c r="AL92" s="25"/>
      <c r="AM92" s="25"/>
    </row>
  </sheetData>
  <mergeCells count="129">
    <mergeCell ref="E80:E82"/>
    <mergeCell ref="F80:F82"/>
    <mergeCell ref="A85:A86"/>
    <mergeCell ref="B85:B86"/>
    <mergeCell ref="C85:C86"/>
    <mergeCell ref="B77:B79"/>
    <mergeCell ref="C77:C79"/>
    <mergeCell ref="A80:A84"/>
    <mergeCell ref="B80:B82"/>
    <mergeCell ref="C80:C82"/>
    <mergeCell ref="D80:D82"/>
    <mergeCell ref="F69:F71"/>
    <mergeCell ref="B73:B75"/>
    <mergeCell ref="C73:C75"/>
    <mergeCell ref="D73:D75"/>
    <mergeCell ref="E73:E75"/>
    <mergeCell ref="F73:F75"/>
    <mergeCell ref="A65:A79"/>
    <mergeCell ref="B65:B67"/>
    <mergeCell ref="C65:C67"/>
    <mergeCell ref="D65:D67"/>
    <mergeCell ref="E65:E67"/>
    <mergeCell ref="F65:F67"/>
    <mergeCell ref="B69:B71"/>
    <mergeCell ref="C69:C71"/>
    <mergeCell ref="D69:D71"/>
    <mergeCell ref="E69:E71"/>
    <mergeCell ref="E52:E54"/>
    <mergeCell ref="F52:F54"/>
    <mergeCell ref="B55:B59"/>
    <mergeCell ref="C55:C59"/>
    <mergeCell ref="B60:B64"/>
    <mergeCell ref="C60:C64"/>
    <mergeCell ref="A50:A51"/>
    <mergeCell ref="B50:B51"/>
    <mergeCell ref="C50:C51"/>
    <mergeCell ref="D50:D51"/>
    <mergeCell ref="A52:A64"/>
    <mergeCell ref="B52:B54"/>
    <mergeCell ref="C52:C54"/>
    <mergeCell ref="D52:D54"/>
    <mergeCell ref="F43:F45"/>
    <mergeCell ref="E46:E47"/>
    <mergeCell ref="F46:F47"/>
    <mergeCell ref="B48:B49"/>
    <mergeCell ref="C48:C49"/>
    <mergeCell ref="D48:D49"/>
    <mergeCell ref="E48:E49"/>
    <mergeCell ref="F48:F49"/>
    <mergeCell ref="A39:A49"/>
    <mergeCell ref="B39:B42"/>
    <mergeCell ref="C39:C42"/>
    <mergeCell ref="D39:D42"/>
    <mergeCell ref="E39:E41"/>
    <mergeCell ref="F39:F41"/>
    <mergeCell ref="B43:B47"/>
    <mergeCell ref="C43:C47"/>
    <mergeCell ref="D43:D47"/>
    <mergeCell ref="E43:E45"/>
    <mergeCell ref="F32:F34"/>
    <mergeCell ref="E35:E36"/>
    <mergeCell ref="F35:F36"/>
    <mergeCell ref="B37:B38"/>
    <mergeCell ref="C37:C38"/>
    <mergeCell ref="D37:D38"/>
    <mergeCell ref="E37:E38"/>
    <mergeCell ref="F37:F38"/>
    <mergeCell ref="A27:A38"/>
    <mergeCell ref="B27:B30"/>
    <mergeCell ref="C27:C30"/>
    <mergeCell ref="D27:D30"/>
    <mergeCell ref="E27:E29"/>
    <mergeCell ref="F27:F29"/>
    <mergeCell ref="B32:B36"/>
    <mergeCell ref="C32:C36"/>
    <mergeCell ref="D32:D36"/>
    <mergeCell ref="E32:E34"/>
    <mergeCell ref="F20:F22"/>
    <mergeCell ref="E23:E24"/>
    <mergeCell ref="F23:F24"/>
    <mergeCell ref="B25:B26"/>
    <mergeCell ref="C25:C26"/>
    <mergeCell ref="D25:D26"/>
    <mergeCell ref="E25:E26"/>
    <mergeCell ref="F25:F26"/>
    <mergeCell ref="A15:A26"/>
    <mergeCell ref="B15:B18"/>
    <mergeCell ref="C15:C18"/>
    <mergeCell ref="D15:D18"/>
    <mergeCell ref="E15:E17"/>
    <mergeCell ref="F15:F17"/>
    <mergeCell ref="B20:B24"/>
    <mergeCell ref="C20:C24"/>
    <mergeCell ref="D20:D24"/>
    <mergeCell ref="E20:E22"/>
    <mergeCell ref="A5:A14"/>
    <mergeCell ref="B5:B8"/>
    <mergeCell ref="C5:C8"/>
    <mergeCell ref="D5:D8"/>
    <mergeCell ref="E5:E7"/>
    <mergeCell ref="F5:F7"/>
    <mergeCell ref="B9:B11"/>
    <mergeCell ref="G1:G4"/>
    <mergeCell ref="H1:H4"/>
    <mergeCell ref="C9:C11"/>
    <mergeCell ref="D9:D11"/>
    <mergeCell ref="E9:E11"/>
    <mergeCell ref="F9:F11"/>
    <mergeCell ref="B12:B14"/>
    <mergeCell ref="C12:C14"/>
    <mergeCell ref="D12:D14"/>
    <mergeCell ref="E12:E14"/>
    <mergeCell ref="AP1:AP4"/>
    <mergeCell ref="L2:AM2"/>
    <mergeCell ref="L3:T3"/>
    <mergeCell ref="U3:AB3"/>
    <mergeCell ref="AC3:AD3"/>
    <mergeCell ref="A1:A4"/>
    <mergeCell ref="B1:B4"/>
    <mergeCell ref="C1:C4"/>
    <mergeCell ref="D1:D4"/>
    <mergeCell ref="E1:E4"/>
    <mergeCell ref="F1:F4"/>
    <mergeCell ref="AH3:AL3"/>
    <mergeCell ref="AM3:AM4"/>
    <mergeCell ref="I1:I4"/>
    <mergeCell ref="J1:J4"/>
    <mergeCell ref="L1:AM1"/>
    <mergeCell ref="AE3:AG3"/>
  </mergeCells>
  <conditionalFormatting sqref="L88">
    <cfRule type="cellIs" dxfId="1529" priority="55" operator="notEqual">
      <formula>$L$91</formula>
    </cfRule>
    <cfRule type="cellIs" dxfId="1528" priority="56" operator="equal">
      <formula>$L$91</formula>
    </cfRule>
  </conditionalFormatting>
  <conditionalFormatting sqref="M88">
    <cfRule type="cellIs" dxfId="1527" priority="53" operator="notEqual">
      <formula>$M$91</formula>
    </cfRule>
    <cfRule type="cellIs" dxfId="1526" priority="54" operator="equal">
      <formula>$M$91</formula>
    </cfRule>
  </conditionalFormatting>
  <conditionalFormatting sqref="N88">
    <cfRule type="cellIs" dxfId="1525" priority="51" operator="notEqual">
      <formula>$N$91</formula>
    </cfRule>
    <cfRule type="cellIs" dxfId="1524" priority="52" operator="equal">
      <formula>$N$91</formula>
    </cfRule>
  </conditionalFormatting>
  <conditionalFormatting sqref="O88">
    <cfRule type="cellIs" dxfId="1523" priority="49" operator="notEqual">
      <formula>$O$91</formula>
    </cfRule>
    <cfRule type="cellIs" dxfId="1522" priority="50" operator="equal">
      <formula>$O$91</formula>
    </cfRule>
  </conditionalFormatting>
  <conditionalFormatting sqref="P88">
    <cfRule type="cellIs" dxfId="1521" priority="47" operator="notEqual">
      <formula>$P$91</formula>
    </cfRule>
    <cfRule type="cellIs" dxfId="1520" priority="48" operator="equal">
      <formula>$P$91</formula>
    </cfRule>
  </conditionalFormatting>
  <conditionalFormatting sqref="Q88">
    <cfRule type="cellIs" dxfId="1519" priority="45" operator="notEqual">
      <formula>$Q$91</formula>
    </cfRule>
    <cfRule type="cellIs" dxfId="1518" priority="46" operator="equal">
      <formula>$Q$91</formula>
    </cfRule>
  </conditionalFormatting>
  <conditionalFormatting sqref="R88">
    <cfRule type="cellIs" dxfId="1517" priority="43" operator="notEqual">
      <formula>$R$91</formula>
    </cfRule>
    <cfRule type="cellIs" dxfId="1516" priority="44" operator="equal">
      <formula>$R$91</formula>
    </cfRule>
  </conditionalFormatting>
  <conditionalFormatting sqref="S88">
    <cfRule type="cellIs" dxfId="1515" priority="41" operator="notEqual">
      <formula>$S$91</formula>
    </cfRule>
    <cfRule type="cellIs" dxfId="1514" priority="42" operator="equal">
      <formula>$S$91</formula>
    </cfRule>
  </conditionalFormatting>
  <conditionalFormatting sqref="T88">
    <cfRule type="cellIs" dxfId="1513" priority="39" operator="notEqual">
      <formula>$T$91</formula>
    </cfRule>
    <cfRule type="cellIs" dxfId="1512" priority="40" operator="equal">
      <formula>$T$91</formula>
    </cfRule>
  </conditionalFormatting>
  <conditionalFormatting sqref="U88">
    <cfRule type="cellIs" dxfId="1511" priority="37" operator="notEqual">
      <formula>$U$91</formula>
    </cfRule>
    <cfRule type="cellIs" dxfId="1510" priority="38" operator="equal">
      <formula>$U$91</formula>
    </cfRule>
  </conditionalFormatting>
  <conditionalFormatting sqref="V88">
    <cfRule type="cellIs" dxfId="1509" priority="35" operator="notEqual">
      <formula>$V$91</formula>
    </cfRule>
    <cfRule type="cellIs" dxfId="1508" priority="36" operator="equal">
      <formula>$V$91</formula>
    </cfRule>
  </conditionalFormatting>
  <conditionalFormatting sqref="W88">
    <cfRule type="cellIs" dxfId="1507" priority="33" operator="notEqual">
      <formula>$W$91</formula>
    </cfRule>
    <cfRule type="cellIs" dxfId="1506" priority="34" operator="equal">
      <formula>$W$91</formula>
    </cfRule>
  </conditionalFormatting>
  <conditionalFormatting sqref="X88">
    <cfRule type="cellIs" dxfId="1505" priority="31" operator="notEqual">
      <formula>$X$91</formula>
    </cfRule>
    <cfRule type="cellIs" dxfId="1504" priority="32" operator="equal">
      <formula>$X$91</formula>
    </cfRule>
  </conditionalFormatting>
  <conditionalFormatting sqref="Y88">
    <cfRule type="cellIs" dxfId="1503" priority="29" operator="notEqual">
      <formula>$Y$91</formula>
    </cfRule>
    <cfRule type="cellIs" dxfId="1502" priority="30" operator="equal">
      <formula>$Y$91</formula>
    </cfRule>
  </conditionalFormatting>
  <conditionalFormatting sqref="Z88">
    <cfRule type="cellIs" dxfId="1501" priority="27" operator="notEqual">
      <formula>$Z$91</formula>
    </cfRule>
    <cfRule type="cellIs" dxfId="1500" priority="28" operator="equal">
      <formula>$Z$91</formula>
    </cfRule>
  </conditionalFormatting>
  <conditionalFormatting sqref="AA88">
    <cfRule type="cellIs" dxfId="1499" priority="25" operator="notEqual">
      <formula>$AA$91</formula>
    </cfRule>
    <cfRule type="cellIs" dxfId="1498" priority="26" operator="equal">
      <formula>$AA$91</formula>
    </cfRule>
  </conditionalFormatting>
  <conditionalFormatting sqref="AB88">
    <cfRule type="cellIs" dxfId="1497" priority="23" operator="notEqual">
      <formula>$AB$91</formula>
    </cfRule>
    <cfRule type="cellIs" dxfId="1496" priority="24" operator="equal">
      <formula>$AB$91</formula>
    </cfRule>
  </conditionalFormatting>
  <conditionalFormatting sqref="AC88">
    <cfRule type="cellIs" dxfId="1495" priority="21" operator="notEqual">
      <formula>$AC$91</formula>
    </cfRule>
    <cfRule type="cellIs" dxfId="1494" priority="22" operator="equal">
      <formula>$AC$91</formula>
    </cfRule>
  </conditionalFormatting>
  <conditionalFormatting sqref="AD88">
    <cfRule type="cellIs" dxfId="1493" priority="19" operator="notEqual">
      <formula>$AD$91</formula>
    </cfRule>
    <cfRule type="cellIs" dxfId="1492" priority="20" operator="equal">
      <formula>$AD$91</formula>
    </cfRule>
  </conditionalFormatting>
  <conditionalFormatting sqref="AE88">
    <cfRule type="cellIs" dxfId="1491" priority="17" operator="notEqual">
      <formula>$AE$91</formula>
    </cfRule>
    <cfRule type="cellIs" dxfId="1490" priority="18" operator="equal">
      <formula>$AE$91</formula>
    </cfRule>
  </conditionalFormatting>
  <conditionalFormatting sqref="AF88">
    <cfRule type="cellIs" dxfId="1489" priority="16" operator="equal">
      <formula>$AF$91</formula>
    </cfRule>
  </conditionalFormatting>
  <conditionalFormatting sqref="AF88">
    <cfRule type="cellIs" dxfId="1488" priority="15" operator="notEqual">
      <formula>$AF$91</formula>
    </cfRule>
  </conditionalFormatting>
  <conditionalFormatting sqref="AG88">
    <cfRule type="cellIs" dxfId="1487" priority="14" operator="equal">
      <formula>$AG$91</formula>
    </cfRule>
  </conditionalFormatting>
  <conditionalFormatting sqref="AG88">
    <cfRule type="cellIs" dxfId="1486" priority="13" operator="notEqual">
      <formula>$AG$91</formula>
    </cfRule>
  </conditionalFormatting>
  <conditionalFormatting sqref="AH88">
    <cfRule type="cellIs" dxfId="1485" priority="12" operator="equal">
      <formula>$AH$91</formula>
    </cfRule>
  </conditionalFormatting>
  <conditionalFormatting sqref="AH88">
    <cfRule type="cellIs" dxfId="1484" priority="11" operator="notEqual">
      <formula>$AH$91</formula>
    </cfRule>
  </conditionalFormatting>
  <conditionalFormatting sqref="AI88">
    <cfRule type="cellIs" dxfId="1483" priority="10" operator="equal">
      <formula>$AI$91</formula>
    </cfRule>
  </conditionalFormatting>
  <conditionalFormatting sqref="AI88">
    <cfRule type="cellIs" dxfId="1482" priority="9" operator="notEqual">
      <formula>$AI$91</formula>
    </cfRule>
  </conditionalFormatting>
  <conditionalFormatting sqref="AJ88">
    <cfRule type="cellIs" dxfId="1481" priority="8" operator="equal">
      <formula>$AJ$91</formula>
    </cfRule>
  </conditionalFormatting>
  <conditionalFormatting sqref="AJ88">
    <cfRule type="cellIs" dxfId="1480" priority="7" operator="notEqual">
      <formula>$AJ$91</formula>
    </cfRule>
  </conditionalFormatting>
  <conditionalFormatting sqref="AK88">
    <cfRule type="cellIs" dxfId="1479" priority="6" operator="equal">
      <formula>$AK$91</formula>
    </cfRule>
  </conditionalFormatting>
  <conditionalFormatting sqref="AK88">
    <cfRule type="cellIs" dxfId="1478" priority="5" operator="notEqual">
      <formula>$AK$91</formula>
    </cfRule>
  </conditionalFormatting>
  <conditionalFormatting sqref="AL88">
    <cfRule type="cellIs" dxfId="1477" priority="4" operator="equal">
      <formula>$AL$91</formula>
    </cfRule>
  </conditionalFormatting>
  <conditionalFormatting sqref="AL88">
    <cfRule type="cellIs" dxfId="1476" priority="3" operator="notEqual">
      <formula>$AL$91</formula>
    </cfRule>
  </conditionalFormatting>
  <conditionalFormatting sqref="AM88">
    <cfRule type="cellIs" dxfId="1475" priority="2" operator="equal">
      <formula>$AM$91</formula>
    </cfRule>
  </conditionalFormatting>
  <conditionalFormatting sqref="AM88">
    <cfRule type="cellIs" dxfId="1474" priority="1" operator="notEqual">
      <formula>$AM$91</formula>
    </cfRule>
  </conditionalFormatting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C78AF-8C8C-45EE-8815-1F56DA4AACD1}">
  <dimension ref="A1:AA58"/>
  <sheetViews>
    <sheetView showGridLines="0" topLeftCell="A34" workbookViewId="0">
      <selection activeCell="K52" sqref="K52:AA58"/>
    </sheetView>
  </sheetViews>
  <sheetFormatPr defaultColWidth="8.85546875" defaultRowHeight="11.25" customHeight="1" x14ac:dyDescent="0.25"/>
  <cols>
    <col min="1" max="1" width="9" style="9" bestFit="1" customWidth="1"/>
    <col min="2" max="2" width="24.7109375" style="9" bestFit="1" customWidth="1"/>
    <col min="3" max="3" width="12.7109375" style="9" bestFit="1" customWidth="1"/>
    <col min="4" max="4" width="23.140625" style="9" bestFit="1" customWidth="1"/>
    <col min="5" max="6" width="9.5703125" style="9" bestFit="1" customWidth="1"/>
    <col min="7" max="7" width="5.85546875" style="9" bestFit="1" customWidth="1"/>
    <col min="8" max="8" width="7.140625" style="9" bestFit="1" customWidth="1"/>
    <col min="9" max="9" width="9.140625" style="9" bestFit="1" customWidth="1"/>
    <col min="10" max="10" width="8.85546875" style="9"/>
    <col min="11" max="11" width="19.85546875" style="9" bestFit="1" customWidth="1"/>
    <col min="12" max="12" width="9.85546875" style="9" bestFit="1" customWidth="1"/>
    <col min="13" max="13" width="10.28515625" style="9" bestFit="1" customWidth="1"/>
    <col min="14" max="14" width="9.140625" style="9" bestFit="1" customWidth="1"/>
    <col min="15" max="15" width="10.42578125" style="9" bestFit="1" customWidth="1"/>
    <col min="16" max="16" width="10.28515625" style="9" bestFit="1" customWidth="1"/>
    <col min="17" max="17" width="14.42578125" style="9" bestFit="1" customWidth="1"/>
    <col min="18" max="18" width="11.85546875" style="9" bestFit="1" customWidth="1"/>
    <col min="19" max="20" width="9.85546875" style="9" bestFit="1" customWidth="1"/>
    <col min="21" max="21" width="9.140625" style="9" bestFit="1" customWidth="1"/>
    <col min="22" max="22" width="9.85546875" style="9" bestFit="1" customWidth="1"/>
    <col min="23" max="23" width="7.7109375" style="9" bestFit="1" customWidth="1"/>
    <col min="24" max="24" width="8.5703125" style="9" bestFit="1" customWidth="1"/>
    <col min="25" max="25" width="10.5703125" style="9" bestFit="1" customWidth="1"/>
    <col min="26" max="26" width="9.85546875" style="9" bestFit="1" customWidth="1"/>
    <col min="27" max="27" width="11.85546875" style="9" bestFit="1" customWidth="1"/>
    <col min="28" max="16384" width="8.85546875" style="9"/>
  </cols>
  <sheetData>
    <row r="1" spans="1:27" ht="11.25" customHeight="1" x14ac:dyDescent="0.25">
      <c r="A1" s="129" t="s">
        <v>78</v>
      </c>
      <c r="B1" s="129" t="s">
        <v>79</v>
      </c>
      <c r="C1" s="129" t="s">
        <v>80</v>
      </c>
      <c r="D1" s="129" t="s">
        <v>81</v>
      </c>
      <c r="E1" s="129" t="s">
        <v>82</v>
      </c>
      <c r="F1" s="129" t="s">
        <v>15</v>
      </c>
      <c r="G1" s="129" t="s">
        <v>84</v>
      </c>
      <c r="H1" s="129" t="s">
        <v>85</v>
      </c>
      <c r="I1" s="129" t="s">
        <v>1055</v>
      </c>
      <c r="J1" s="112"/>
      <c r="L1" s="127" t="s">
        <v>1076</v>
      </c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</row>
    <row r="2" spans="1:27" ht="11.25" customHeight="1" x14ac:dyDescent="0.25">
      <c r="A2" s="129"/>
      <c r="B2" s="129"/>
      <c r="C2" s="129"/>
      <c r="D2" s="129"/>
      <c r="E2" s="129"/>
      <c r="F2" s="129"/>
      <c r="G2" s="129"/>
      <c r="H2" s="129"/>
      <c r="I2" s="129"/>
      <c r="J2" s="112"/>
      <c r="L2" s="127" t="s">
        <v>984</v>
      </c>
      <c r="M2" s="127"/>
      <c r="N2" s="127"/>
      <c r="O2" s="127"/>
      <c r="P2" s="127"/>
      <c r="Q2" s="127"/>
      <c r="R2" s="127"/>
      <c r="S2" s="127"/>
      <c r="T2" s="127"/>
      <c r="U2" s="127"/>
      <c r="V2" s="127"/>
      <c r="W2" s="127"/>
      <c r="X2" s="127"/>
      <c r="Y2" s="127"/>
      <c r="Z2" s="127"/>
      <c r="AA2" s="127"/>
    </row>
    <row r="3" spans="1:27" ht="11.25" customHeight="1" x14ac:dyDescent="0.25">
      <c r="A3" s="129"/>
      <c r="B3" s="129"/>
      <c r="C3" s="129"/>
      <c r="D3" s="129"/>
      <c r="E3" s="129"/>
      <c r="F3" s="129"/>
      <c r="G3" s="129"/>
      <c r="H3" s="129"/>
      <c r="I3" s="129"/>
      <c r="J3" s="112"/>
      <c r="L3" s="127" t="s">
        <v>956</v>
      </c>
      <c r="M3" s="127"/>
      <c r="N3" s="127"/>
      <c r="O3" s="127"/>
      <c r="P3" s="127"/>
      <c r="Q3" s="127" t="s">
        <v>988</v>
      </c>
      <c r="R3" s="127"/>
      <c r="S3" s="127" t="s">
        <v>966</v>
      </c>
      <c r="T3" s="127"/>
      <c r="U3" s="127"/>
      <c r="V3" s="127"/>
      <c r="W3" s="127" t="s">
        <v>976</v>
      </c>
      <c r="X3" s="127"/>
      <c r="Y3" s="127" t="s">
        <v>979</v>
      </c>
      <c r="Z3" s="127"/>
      <c r="AA3" s="127" t="s">
        <v>965</v>
      </c>
    </row>
    <row r="4" spans="1:27" ht="11.25" customHeight="1" x14ac:dyDescent="0.25">
      <c r="A4" s="129"/>
      <c r="B4" s="129"/>
      <c r="C4" s="129"/>
      <c r="D4" s="129"/>
      <c r="E4" s="129"/>
      <c r="F4" s="129"/>
      <c r="G4" s="129"/>
      <c r="H4" s="129"/>
      <c r="I4" s="129"/>
      <c r="J4" s="112"/>
      <c r="L4" s="34" t="s">
        <v>959</v>
      </c>
      <c r="M4" s="34" t="s">
        <v>985</v>
      </c>
      <c r="N4" s="34" t="s">
        <v>986</v>
      </c>
      <c r="O4" s="34" t="s">
        <v>987</v>
      </c>
      <c r="P4" s="34" t="s">
        <v>965</v>
      </c>
      <c r="Q4" s="34" t="s">
        <v>989</v>
      </c>
      <c r="R4" s="34" t="s">
        <v>965</v>
      </c>
      <c r="S4" s="34" t="s">
        <v>990</v>
      </c>
      <c r="T4" s="34" t="s">
        <v>991</v>
      </c>
      <c r="U4" s="34" t="s">
        <v>992</v>
      </c>
      <c r="V4" s="34" t="s">
        <v>965</v>
      </c>
      <c r="W4" s="34" t="s">
        <v>977</v>
      </c>
      <c r="X4" s="34" t="s">
        <v>965</v>
      </c>
      <c r="Y4" s="34" t="s">
        <v>993</v>
      </c>
      <c r="Z4" s="34" t="s">
        <v>965</v>
      </c>
      <c r="AA4" s="128"/>
    </row>
    <row r="5" spans="1:27" ht="11.25" customHeight="1" x14ac:dyDescent="0.25">
      <c r="A5" s="130" t="s">
        <v>43</v>
      </c>
      <c r="B5" s="130" t="s">
        <v>87</v>
      </c>
      <c r="C5" s="130" t="s">
        <v>25</v>
      </c>
      <c r="D5" s="130" t="s">
        <v>25</v>
      </c>
      <c r="E5" s="130" t="s">
        <v>25</v>
      </c>
      <c r="F5" s="130" t="s">
        <v>25</v>
      </c>
      <c r="G5" s="32" t="s">
        <v>89</v>
      </c>
      <c r="H5" s="32" t="s">
        <v>88</v>
      </c>
      <c r="I5" s="32">
        <f>'MERCADO TE'!$U$2</f>
        <v>6175.6710000000003</v>
      </c>
      <c r="J5" s="17"/>
      <c r="L5" s="30">
        <v>1</v>
      </c>
      <c r="M5" s="30">
        <v>1</v>
      </c>
      <c r="N5" s="30">
        <v>1</v>
      </c>
      <c r="O5" s="30">
        <v>1</v>
      </c>
      <c r="P5" s="30"/>
      <c r="Q5" s="30">
        <v>1.72</v>
      </c>
      <c r="R5" s="30"/>
      <c r="S5" s="30">
        <v>1</v>
      </c>
      <c r="T5" s="30">
        <v>1</v>
      </c>
      <c r="U5" s="30">
        <v>1</v>
      </c>
      <c r="V5" s="30"/>
      <c r="W5" s="30"/>
      <c r="X5" s="30"/>
      <c r="Y5" s="30">
        <v>1</v>
      </c>
      <c r="Z5" s="30"/>
      <c r="AA5" s="30"/>
    </row>
    <row r="6" spans="1:27" ht="11.25" customHeight="1" x14ac:dyDescent="0.25">
      <c r="A6" s="130"/>
      <c r="B6" s="130"/>
      <c r="C6" s="130"/>
      <c r="D6" s="130"/>
      <c r="E6" s="130"/>
      <c r="F6" s="130"/>
      <c r="G6" s="32" t="s">
        <v>90</v>
      </c>
      <c r="H6" s="32" t="s">
        <v>88</v>
      </c>
      <c r="I6" s="32">
        <f>'MERCADO TE'!$U$3</f>
        <v>102148.342</v>
      </c>
      <c r="J6" s="17"/>
      <c r="L6" s="30">
        <v>1</v>
      </c>
      <c r="M6" s="30">
        <v>1</v>
      </c>
      <c r="N6" s="30">
        <v>1</v>
      </c>
      <c r="O6" s="30">
        <v>1</v>
      </c>
      <c r="P6" s="30"/>
      <c r="Q6" s="30">
        <v>1</v>
      </c>
      <c r="R6" s="30"/>
      <c r="S6" s="30">
        <v>1</v>
      </c>
      <c r="T6" s="30">
        <v>1</v>
      </c>
      <c r="U6" s="30">
        <v>1</v>
      </c>
      <c r="V6" s="30"/>
      <c r="W6" s="30"/>
      <c r="X6" s="30"/>
      <c r="Y6" s="30">
        <v>1</v>
      </c>
      <c r="Z6" s="30"/>
      <c r="AA6" s="30"/>
    </row>
    <row r="7" spans="1:27" ht="11.25" customHeight="1" x14ac:dyDescent="0.25">
      <c r="A7" s="130" t="s">
        <v>45</v>
      </c>
      <c r="B7" s="130" t="s">
        <v>87</v>
      </c>
      <c r="C7" s="130" t="s">
        <v>25</v>
      </c>
      <c r="D7" s="130" t="s">
        <v>25</v>
      </c>
      <c r="E7" s="130" t="s">
        <v>25</v>
      </c>
      <c r="F7" s="130" t="s">
        <v>25</v>
      </c>
      <c r="G7" s="32" t="s">
        <v>89</v>
      </c>
      <c r="H7" s="32" t="s">
        <v>88</v>
      </c>
      <c r="I7" s="32">
        <f>'MERCADO TE'!$U$4</f>
        <v>3341.4459999999999</v>
      </c>
      <c r="J7" s="17"/>
      <c r="L7" s="30">
        <v>1</v>
      </c>
      <c r="M7" s="30">
        <v>1</v>
      </c>
      <c r="N7" s="30">
        <v>1</v>
      </c>
      <c r="O7" s="30">
        <v>1</v>
      </c>
      <c r="P7" s="30"/>
      <c r="Q7" s="30">
        <v>1.72</v>
      </c>
      <c r="R7" s="30"/>
      <c r="S7" s="30">
        <v>1</v>
      </c>
      <c r="T7" s="30">
        <v>1</v>
      </c>
      <c r="U7" s="30">
        <v>1</v>
      </c>
      <c r="V7" s="30"/>
      <c r="W7" s="30"/>
      <c r="X7" s="30"/>
      <c r="Y7" s="30">
        <v>1</v>
      </c>
      <c r="Z7" s="30"/>
      <c r="AA7" s="30"/>
    </row>
    <row r="8" spans="1:27" ht="11.25" customHeight="1" x14ac:dyDescent="0.25">
      <c r="A8" s="130"/>
      <c r="B8" s="130"/>
      <c r="C8" s="130"/>
      <c r="D8" s="130"/>
      <c r="E8" s="130"/>
      <c r="F8" s="130"/>
      <c r="G8" s="32" t="s">
        <v>90</v>
      </c>
      <c r="H8" s="32" t="s">
        <v>88</v>
      </c>
      <c r="I8" s="32">
        <f>'MERCADO TE'!$U$5</f>
        <v>33041.942000000003</v>
      </c>
      <c r="J8" s="17"/>
      <c r="L8" s="30">
        <v>1</v>
      </c>
      <c r="M8" s="30">
        <v>1</v>
      </c>
      <c r="N8" s="30">
        <v>1</v>
      </c>
      <c r="O8" s="30">
        <v>1</v>
      </c>
      <c r="P8" s="30"/>
      <c r="Q8" s="30">
        <v>1</v>
      </c>
      <c r="R8" s="30"/>
      <c r="S8" s="30">
        <v>1</v>
      </c>
      <c r="T8" s="30">
        <v>1</v>
      </c>
      <c r="U8" s="30">
        <v>1</v>
      </c>
      <c r="V8" s="30"/>
      <c r="W8" s="30"/>
      <c r="X8" s="30"/>
      <c r="Y8" s="30">
        <v>1</v>
      </c>
      <c r="Z8" s="30"/>
      <c r="AA8" s="30"/>
    </row>
    <row r="9" spans="1:27" ht="11.25" customHeight="1" x14ac:dyDescent="0.25">
      <c r="A9" s="130"/>
      <c r="B9" s="33" t="s">
        <v>96</v>
      </c>
      <c r="C9" s="33" t="s">
        <v>25</v>
      </c>
      <c r="D9" s="33" t="s">
        <v>25</v>
      </c>
      <c r="E9" s="33" t="s">
        <v>25</v>
      </c>
      <c r="F9" s="33" t="s">
        <v>25</v>
      </c>
      <c r="G9" s="32" t="s">
        <v>94</v>
      </c>
      <c r="H9" s="32" t="s">
        <v>88</v>
      </c>
      <c r="I9" s="32">
        <f>'MERCADO TE'!$U$6</f>
        <v>0</v>
      </c>
      <c r="J9" s="17"/>
      <c r="L9" s="30">
        <v>1</v>
      </c>
      <c r="M9" s="30">
        <v>1</v>
      </c>
      <c r="N9" s="30">
        <v>1</v>
      </c>
      <c r="O9" s="30">
        <v>1</v>
      </c>
      <c r="P9" s="30"/>
      <c r="Q9" s="30">
        <v>1.06</v>
      </c>
      <c r="R9" s="30"/>
      <c r="S9" s="30">
        <v>1</v>
      </c>
      <c r="T9" s="30">
        <v>1</v>
      </c>
      <c r="U9" s="30">
        <v>1</v>
      </c>
      <c r="V9" s="30"/>
      <c r="W9" s="30"/>
      <c r="X9" s="30"/>
      <c r="Y9" s="30">
        <v>1</v>
      </c>
      <c r="Z9" s="30"/>
      <c r="AA9" s="30"/>
    </row>
    <row r="10" spans="1:27" ht="11.25" customHeight="1" x14ac:dyDescent="0.25">
      <c r="A10" s="130" t="s">
        <v>33</v>
      </c>
      <c r="B10" s="130" t="s">
        <v>87</v>
      </c>
      <c r="C10" s="130" t="s">
        <v>25</v>
      </c>
      <c r="D10" s="130" t="s">
        <v>25</v>
      </c>
      <c r="E10" s="130" t="s">
        <v>25</v>
      </c>
      <c r="F10" s="130" t="s">
        <v>25</v>
      </c>
      <c r="G10" s="32" t="s">
        <v>89</v>
      </c>
      <c r="H10" s="32" t="s">
        <v>88</v>
      </c>
      <c r="I10" s="32">
        <f>'MERCADO TE'!$U$7</f>
        <v>84316.775000000023</v>
      </c>
      <c r="J10" s="17"/>
      <c r="L10" s="30">
        <v>1</v>
      </c>
      <c r="M10" s="30">
        <v>1</v>
      </c>
      <c r="N10" s="30">
        <v>1</v>
      </c>
      <c r="O10" s="30">
        <v>1</v>
      </c>
      <c r="P10" s="30"/>
      <c r="Q10" s="30">
        <v>1.72</v>
      </c>
      <c r="R10" s="30"/>
      <c r="S10" s="30">
        <v>1</v>
      </c>
      <c r="T10" s="30">
        <v>1</v>
      </c>
      <c r="U10" s="30">
        <v>1</v>
      </c>
      <c r="V10" s="30"/>
      <c r="W10" s="30"/>
      <c r="X10" s="30"/>
      <c r="Y10" s="30">
        <v>1</v>
      </c>
      <c r="Z10" s="30"/>
      <c r="AA10" s="30"/>
    </row>
    <row r="11" spans="1:27" ht="11.25" customHeight="1" x14ac:dyDescent="0.25">
      <c r="A11" s="130"/>
      <c r="B11" s="130"/>
      <c r="C11" s="130"/>
      <c r="D11" s="130"/>
      <c r="E11" s="130"/>
      <c r="F11" s="130"/>
      <c r="G11" s="32" t="s">
        <v>90</v>
      </c>
      <c r="H11" s="32" t="s">
        <v>88</v>
      </c>
      <c r="I11" s="32">
        <f>'MERCADO TE'!$U$8</f>
        <v>857352.201</v>
      </c>
      <c r="J11" s="17"/>
      <c r="L11" s="30">
        <v>1</v>
      </c>
      <c r="M11" s="30">
        <v>1</v>
      </c>
      <c r="N11" s="30">
        <v>1</v>
      </c>
      <c r="O11" s="30">
        <v>1</v>
      </c>
      <c r="P11" s="30"/>
      <c r="Q11" s="30">
        <v>1</v>
      </c>
      <c r="R11" s="30"/>
      <c r="S11" s="30">
        <v>1</v>
      </c>
      <c r="T11" s="30">
        <v>1</v>
      </c>
      <c r="U11" s="30">
        <v>1</v>
      </c>
      <c r="V11" s="30"/>
      <c r="W11" s="30"/>
      <c r="X11" s="30"/>
      <c r="Y11" s="30">
        <v>1</v>
      </c>
      <c r="Z11" s="30"/>
      <c r="AA11" s="30"/>
    </row>
    <row r="12" spans="1:27" ht="11.25" customHeight="1" x14ac:dyDescent="0.25">
      <c r="A12" s="130"/>
      <c r="B12" s="33" t="s">
        <v>96</v>
      </c>
      <c r="C12" s="33" t="s">
        <v>25</v>
      </c>
      <c r="D12" s="33" t="s">
        <v>25</v>
      </c>
      <c r="E12" s="33" t="s">
        <v>25</v>
      </c>
      <c r="F12" s="33" t="s">
        <v>25</v>
      </c>
      <c r="G12" s="32" t="s">
        <v>94</v>
      </c>
      <c r="H12" s="32" t="s">
        <v>88</v>
      </c>
      <c r="I12" s="32">
        <f>'MERCADO TE'!$U$9</f>
        <v>0</v>
      </c>
      <c r="J12" s="17"/>
      <c r="L12" s="30">
        <v>1</v>
      </c>
      <c r="M12" s="30">
        <v>1</v>
      </c>
      <c r="N12" s="30">
        <v>1</v>
      </c>
      <c r="O12" s="30">
        <v>1</v>
      </c>
      <c r="P12" s="30"/>
      <c r="Q12" s="30">
        <v>1.06</v>
      </c>
      <c r="R12" s="30"/>
      <c r="S12" s="30">
        <v>1</v>
      </c>
      <c r="T12" s="30">
        <v>1</v>
      </c>
      <c r="U12" s="30">
        <v>1</v>
      </c>
      <c r="V12" s="30"/>
      <c r="W12" s="30"/>
      <c r="X12" s="30"/>
      <c r="Y12" s="30">
        <v>1</v>
      </c>
      <c r="Z12" s="30"/>
      <c r="AA12" s="30"/>
    </row>
    <row r="13" spans="1:27" ht="11.25" customHeight="1" x14ac:dyDescent="0.25">
      <c r="A13" s="130" t="s">
        <v>44</v>
      </c>
      <c r="B13" s="130" t="s">
        <v>87</v>
      </c>
      <c r="C13" s="130" t="s">
        <v>25</v>
      </c>
      <c r="D13" s="130" t="s">
        <v>25</v>
      </c>
      <c r="E13" s="130" t="s">
        <v>25</v>
      </c>
      <c r="F13" s="130" t="s">
        <v>25</v>
      </c>
      <c r="G13" s="32" t="s">
        <v>89</v>
      </c>
      <c r="H13" s="32" t="s">
        <v>88</v>
      </c>
      <c r="I13" s="32">
        <f>'MERCADO TE'!$U$10</f>
        <v>34022.192000000003</v>
      </c>
      <c r="J13" s="17"/>
      <c r="L13" s="30">
        <v>1</v>
      </c>
      <c r="M13" s="30">
        <v>1</v>
      </c>
      <c r="N13" s="30">
        <v>1</v>
      </c>
      <c r="O13" s="30">
        <v>1</v>
      </c>
      <c r="P13" s="30"/>
      <c r="Q13" s="30">
        <v>1.72</v>
      </c>
      <c r="R13" s="30"/>
      <c r="S13" s="30">
        <v>1</v>
      </c>
      <c r="T13" s="30">
        <v>1</v>
      </c>
      <c r="U13" s="30">
        <v>1</v>
      </c>
      <c r="V13" s="30"/>
      <c r="W13" s="30"/>
      <c r="X13" s="30"/>
      <c r="Y13" s="30">
        <v>1</v>
      </c>
      <c r="Z13" s="30"/>
      <c r="AA13" s="30"/>
    </row>
    <row r="14" spans="1:27" ht="11.25" customHeight="1" x14ac:dyDescent="0.25">
      <c r="A14" s="130"/>
      <c r="B14" s="130"/>
      <c r="C14" s="130"/>
      <c r="D14" s="130"/>
      <c r="E14" s="130"/>
      <c r="F14" s="130"/>
      <c r="G14" s="32" t="s">
        <v>90</v>
      </c>
      <c r="H14" s="32" t="s">
        <v>88</v>
      </c>
      <c r="I14" s="32">
        <f>'MERCADO TE'!$U$11</f>
        <v>338432.99999999994</v>
      </c>
      <c r="J14" s="17"/>
      <c r="L14" s="30">
        <v>1</v>
      </c>
      <c r="M14" s="30">
        <v>1</v>
      </c>
      <c r="N14" s="30">
        <v>1</v>
      </c>
      <c r="O14" s="30">
        <v>1</v>
      </c>
      <c r="P14" s="30"/>
      <c r="Q14" s="30">
        <v>1</v>
      </c>
      <c r="R14" s="30"/>
      <c r="S14" s="30">
        <v>1</v>
      </c>
      <c r="T14" s="30">
        <v>1</v>
      </c>
      <c r="U14" s="30">
        <v>1</v>
      </c>
      <c r="V14" s="30"/>
      <c r="W14" s="30"/>
      <c r="X14" s="30"/>
      <c r="Y14" s="30">
        <v>1</v>
      </c>
      <c r="Z14" s="30"/>
      <c r="AA14" s="30"/>
    </row>
    <row r="15" spans="1:27" ht="11.25" customHeight="1" x14ac:dyDescent="0.25">
      <c r="A15" s="130"/>
      <c r="B15" s="33" t="s">
        <v>96</v>
      </c>
      <c r="C15" s="33" t="s">
        <v>25</v>
      </c>
      <c r="D15" s="33" t="s">
        <v>25</v>
      </c>
      <c r="E15" s="33" t="s">
        <v>25</v>
      </c>
      <c r="F15" s="33" t="s">
        <v>25</v>
      </c>
      <c r="G15" s="32" t="s">
        <v>94</v>
      </c>
      <c r="H15" s="32" t="s">
        <v>88</v>
      </c>
      <c r="I15" s="32">
        <f>'MERCADO TE'!$U$12</f>
        <v>0</v>
      </c>
      <c r="J15" s="17"/>
      <c r="L15" s="30">
        <v>1</v>
      </c>
      <c r="M15" s="30">
        <v>1</v>
      </c>
      <c r="N15" s="30">
        <v>1</v>
      </c>
      <c r="O15" s="30">
        <v>1</v>
      </c>
      <c r="P15" s="30"/>
      <c r="Q15" s="30">
        <v>1.06</v>
      </c>
      <c r="R15" s="30"/>
      <c r="S15" s="30">
        <v>1</v>
      </c>
      <c r="T15" s="30">
        <v>1</v>
      </c>
      <c r="U15" s="30">
        <v>1</v>
      </c>
      <c r="V15" s="30"/>
      <c r="W15" s="30"/>
      <c r="X15" s="30"/>
      <c r="Y15" s="30">
        <v>1</v>
      </c>
      <c r="Z15" s="30"/>
      <c r="AA15" s="30"/>
    </row>
    <row r="16" spans="1:27" ht="11.25" customHeight="1" x14ac:dyDescent="0.25">
      <c r="A16" s="130" t="s">
        <v>22</v>
      </c>
      <c r="B16" s="130" t="s">
        <v>87</v>
      </c>
      <c r="C16" s="130" t="s">
        <v>24</v>
      </c>
      <c r="D16" s="130" t="s">
        <v>24</v>
      </c>
      <c r="E16" s="130" t="s">
        <v>25</v>
      </c>
      <c r="F16" s="130" t="s">
        <v>25</v>
      </c>
      <c r="G16" s="32" t="s">
        <v>89</v>
      </c>
      <c r="H16" s="32" t="s">
        <v>88</v>
      </c>
      <c r="I16" s="32">
        <f>'MERCADO TE'!$U$13</f>
        <v>253.625</v>
      </c>
      <c r="J16" s="17"/>
      <c r="L16" s="30">
        <v>1</v>
      </c>
      <c r="M16" s="30">
        <v>1</v>
      </c>
      <c r="N16" s="30">
        <v>1</v>
      </c>
      <c r="O16" s="30">
        <v>1</v>
      </c>
      <c r="P16" s="30"/>
      <c r="Q16" s="30">
        <v>1.72</v>
      </c>
      <c r="R16" s="30"/>
      <c r="S16" s="30">
        <v>1</v>
      </c>
      <c r="T16" s="30">
        <v>1</v>
      </c>
      <c r="U16" s="30">
        <v>1</v>
      </c>
      <c r="V16" s="30"/>
      <c r="W16" s="30"/>
      <c r="X16" s="30"/>
      <c r="Y16" s="30">
        <v>1</v>
      </c>
      <c r="Z16" s="30"/>
      <c r="AA16" s="30"/>
    </row>
    <row r="17" spans="1:27" ht="11.25" customHeight="1" x14ac:dyDescent="0.25">
      <c r="A17" s="130"/>
      <c r="B17" s="130"/>
      <c r="C17" s="130"/>
      <c r="D17" s="130"/>
      <c r="E17" s="130"/>
      <c r="F17" s="130"/>
      <c r="G17" s="32" t="s">
        <v>100</v>
      </c>
      <c r="H17" s="32" t="s">
        <v>88</v>
      </c>
      <c r="I17" s="32">
        <f>'MERCADO TE'!$U$14</f>
        <v>165.69400000000005</v>
      </c>
      <c r="J17" s="17"/>
      <c r="L17" s="30">
        <v>1</v>
      </c>
      <c r="M17" s="30">
        <v>1</v>
      </c>
      <c r="N17" s="30">
        <v>1</v>
      </c>
      <c r="O17" s="30">
        <v>1</v>
      </c>
      <c r="P17" s="30"/>
      <c r="Q17" s="30">
        <v>1</v>
      </c>
      <c r="R17" s="30"/>
      <c r="S17" s="30">
        <v>1</v>
      </c>
      <c r="T17" s="30">
        <v>1</v>
      </c>
      <c r="U17" s="30">
        <v>1</v>
      </c>
      <c r="V17" s="30"/>
      <c r="W17" s="30"/>
      <c r="X17" s="30"/>
      <c r="Y17" s="30">
        <v>1</v>
      </c>
      <c r="Z17" s="30"/>
      <c r="AA17" s="30"/>
    </row>
    <row r="18" spans="1:27" ht="11.25" customHeight="1" x14ac:dyDescent="0.25">
      <c r="A18" s="130"/>
      <c r="B18" s="130"/>
      <c r="C18" s="130"/>
      <c r="D18" s="130"/>
      <c r="E18" s="130"/>
      <c r="F18" s="130"/>
      <c r="G18" s="32" t="s">
        <v>90</v>
      </c>
      <c r="H18" s="32" t="s">
        <v>88</v>
      </c>
      <c r="I18" s="32">
        <f>'MERCADO TE'!$U$15</f>
        <v>2116.5709999999999</v>
      </c>
      <c r="J18" s="17"/>
      <c r="L18" s="30">
        <v>1</v>
      </c>
      <c r="M18" s="30">
        <v>1</v>
      </c>
      <c r="N18" s="30">
        <v>1</v>
      </c>
      <c r="O18" s="30">
        <v>1</v>
      </c>
      <c r="P18" s="30"/>
      <c r="Q18" s="30">
        <v>1</v>
      </c>
      <c r="R18" s="30"/>
      <c r="S18" s="30">
        <v>1</v>
      </c>
      <c r="T18" s="30">
        <v>1</v>
      </c>
      <c r="U18" s="30">
        <v>1</v>
      </c>
      <c r="V18" s="30"/>
      <c r="W18" s="30"/>
      <c r="X18" s="30"/>
      <c r="Y18" s="30">
        <v>1</v>
      </c>
      <c r="Z18" s="30"/>
      <c r="AA18" s="30"/>
    </row>
    <row r="19" spans="1:27" ht="11.25" customHeight="1" x14ac:dyDescent="0.25">
      <c r="A19" s="130"/>
      <c r="B19" s="130" t="s">
        <v>96</v>
      </c>
      <c r="C19" s="130" t="s">
        <v>24</v>
      </c>
      <c r="D19" s="33" t="s">
        <v>24</v>
      </c>
      <c r="E19" s="33" t="s">
        <v>25</v>
      </c>
      <c r="F19" s="33" t="s">
        <v>25</v>
      </c>
      <c r="G19" s="32" t="s">
        <v>94</v>
      </c>
      <c r="H19" s="32" t="s">
        <v>88</v>
      </c>
      <c r="I19" s="32">
        <f>'MERCADO TE'!$U$16</f>
        <v>2322476.7919999999</v>
      </c>
      <c r="J19" s="17"/>
      <c r="L19" s="30">
        <v>1</v>
      </c>
      <c r="M19" s="30">
        <v>1</v>
      </c>
      <c r="N19" s="30">
        <v>1</v>
      </c>
      <c r="O19" s="30">
        <v>1</v>
      </c>
      <c r="P19" s="30"/>
      <c r="Q19" s="30">
        <v>1.06</v>
      </c>
      <c r="R19" s="30"/>
      <c r="S19" s="30">
        <v>1</v>
      </c>
      <c r="T19" s="30">
        <v>1</v>
      </c>
      <c r="U19" s="30">
        <v>1</v>
      </c>
      <c r="V19" s="30"/>
      <c r="W19" s="30"/>
      <c r="X19" s="30"/>
      <c r="Y19" s="30">
        <v>1</v>
      </c>
      <c r="Z19" s="30"/>
      <c r="AA19" s="30"/>
    </row>
    <row r="20" spans="1:27" ht="11.25" customHeight="1" x14ac:dyDescent="0.25">
      <c r="A20" s="130"/>
      <c r="B20" s="130"/>
      <c r="C20" s="130"/>
      <c r="D20" s="33" t="s">
        <v>29</v>
      </c>
      <c r="E20" s="33" t="s">
        <v>25</v>
      </c>
      <c r="F20" s="33" t="s">
        <v>25</v>
      </c>
      <c r="G20" s="32" t="s">
        <v>94</v>
      </c>
      <c r="H20" s="32" t="s">
        <v>88</v>
      </c>
      <c r="I20" s="32">
        <f>'MERCADO TE'!$U$17</f>
        <v>3506.9700000000003</v>
      </c>
      <c r="J20" s="17"/>
      <c r="L20" s="30">
        <f>1 - CUSTOS!$M$24</f>
        <v>1</v>
      </c>
      <c r="M20" s="30">
        <f>1 - CUSTOS!$M$24</f>
        <v>1</v>
      </c>
      <c r="N20" s="30">
        <f>1 - CUSTOS!$M$24</f>
        <v>1</v>
      </c>
      <c r="O20" s="30">
        <f>1 - CUSTOS!$M$24</f>
        <v>1</v>
      </c>
      <c r="P20" s="30"/>
      <c r="Q20" s="30">
        <f>(1 - CUSTOS!$M$24)*1.06</f>
        <v>1.06</v>
      </c>
      <c r="R20" s="30"/>
      <c r="S20" s="30">
        <f>1 - CUSTOS!$M$24</f>
        <v>1</v>
      </c>
      <c r="T20" s="30">
        <f>1 - CUSTOS!$M$24</f>
        <v>1</v>
      </c>
      <c r="U20" s="30">
        <f>1 - CUSTOS!$M$24</f>
        <v>1</v>
      </c>
      <c r="V20" s="30"/>
      <c r="W20" s="30"/>
      <c r="X20" s="30"/>
      <c r="Y20" s="30">
        <f>1 - CUSTOS!$M$24</f>
        <v>1</v>
      </c>
      <c r="Z20" s="30"/>
      <c r="AA20" s="30"/>
    </row>
    <row r="21" spans="1:27" ht="11.25" customHeight="1" x14ac:dyDescent="0.25">
      <c r="A21" s="130"/>
      <c r="B21" s="130"/>
      <c r="C21" s="130"/>
      <c r="D21" s="33" t="s">
        <v>30</v>
      </c>
      <c r="E21" s="33" t="s">
        <v>25</v>
      </c>
      <c r="F21" s="33" t="s">
        <v>25</v>
      </c>
      <c r="G21" s="32" t="s">
        <v>94</v>
      </c>
      <c r="H21" s="32" t="s">
        <v>88</v>
      </c>
      <c r="I21" s="32">
        <f>'MERCADO TE'!$U$18</f>
        <v>7395.655999999999</v>
      </c>
      <c r="J21" s="17"/>
      <c r="L21" s="30">
        <f>1 - CUSTOS!$M$25</f>
        <v>1</v>
      </c>
      <c r="M21" s="30">
        <f>1 - CUSTOS!$M$25</f>
        <v>1</v>
      </c>
      <c r="N21" s="30">
        <f>1 - CUSTOS!$M$25</f>
        <v>1</v>
      </c>
      <c r="O21" s="30">
        <f>1 - CUSTOS!$M$25</f>
        <v>1</v>
      </c>
      <c r="P21" s="30"/>
      <c r="Q21" s="30">
        <f>(1 - CUSTOS!$M$25)*1.06</f>
        <v>1.06</v>
      </c>
      <c r="R21" s="30"/>
      <c r="S21" s="30">
        <f>1 - CUSTOS!$M$25</f>
        <v>1</v>
      </c>
      <c r="T21" s="30">
        <f>1 - CUSTOS!$M$25</f>
        <v>1</v>
      </c>
      <c r="U21" s="30">
        <f>1 - CUSTOS!$M$25</f>
        <v>1</v>
      </c>
      <c r="V21" s="30"/>
      <c r="W21" s="30"/>
      <c r="X21" s="30"/>
      <c r="Y21" s="30">
        <f>1 - CUSTOS!$M$25</f>
        <v>1</v>
      </c>
      <c r="Z21" s="30"/>
      <c r="AA21" s="30"/>
    </row>
    <row r="22" spans="1:27" ht="11.25" customHeight="1" x14ac:dyDescent="0.25">
      <c r="A22" s="130"/>
      <c r="B22" s="130"/>
      <c r="C22" s="130"/>
      <c r="D22" s="33" t="s">
        <v>31</v>
      </c>
      <c r="E22" s="33" t="s">
        <v>25</v>
      </c>
      <c r="F22" s="33" t="s">
        <v>25</v>
      </c>
      <c r="G22" s="32" t="s">
        <v>94</v>
      </c>
      <c r="H22" s="32" t="s">
        <v>88</v>
      </c>
      <c r="I22" s="32">
        <f>'MERCADO TE'!$U$19</f>
        <v>7295.3609999999999</v>
      </c>
      <c r="J22" s="17"/>
      <c r="L22" s="30">
        <f>1 - CUSTOS!$M$26</f>
        <v>1</v>
      </c>
      <c r="M22" s="30">
        <f>1 - CUSTOS!$M$26</f>
        <v>1</v>
      </c>
      <c r="N22" s="30">
        <f>1 - CUSTOS!$M$26</f>
        <v>1</v>
      </c>
      <c r="O22" s="30">
        <f>1 - CUSTOS!$M$26</f>
        <v>1</v>
      </c>
      <c r="P22" s="30"/>
      <c r="Q22" s="30">
        <f>(1 - CUSTOS!$M$26)*1.06</f>
        <v>1.06</v>
      </c>
      <c r="R22" s="30"/>
      <c r="S22" s="30">
        <f>1 - CUSTOS!$M$26</f>
        <v>1</v>
      </c>
      <c r="T22" s="30">
        <f>1 - CUSTOS!$M$26</f>
        <v>1</v>
      </c>
      <c r="U22" s="30">
        <f>1 - CUSTOS!$M$26</f>
        <v>1</v>
      </c>
      <c r="V22" s="30"/>
      <c r="W22" s="30"/>
      <c r="X22" s="30"/>
      <c r="Y22" s="30">
        <f>1 - CUSTOS!$M$26</f>
        <v>1</v>
      </c>
      <c r="Z22" s="30"/>
      <c r="AA22" s="30"/>
    </row>
    <row r="23" spans="1:27" ht="11.25" customHeight="1" x14ac:dyDescent="0.25">
      <c r="A23" s="130"/>
      <c r="B23" s="130"/>
      <c r="C23" s="130"/>
      <c r="D23" s="33" t="s">
        <v>32</v>
      </c>
      <c r="E23" s="33" t="s">
        <v>25</v>
      </c>
      <c r="F23" s="33" t="s">
        <v>25</v>
      </c>
      <c r="G23" s="32" t="s">
        <v>94</v>
      </c>
      <c r="H23" s="32" t="s">
        <v>88</v>
      </c>
      <c r="I23" s="32">
        <f>'MERCADO TE'!$U$20</f>
        <v>2602.4059999999999</v>
      </c>
      <c r="J23" s="17"/>
      <c r="L23" s="30">
        <f>1 - CUSTOS!$M$27</f>
        <v>1</v>
      </c>
      <c r="M23" s="30">
        <f>1 - CUSTOS!$M$27</f>
        <v>1</v>
      </c>
      <c r="N23" s="30">
        <f>1 - CUSTOS!$M$27</f>
        <v>1</v>
      </c>
      <c r="O23" s="30">
        <f>1 - CUSTOS!$M$27</f>
        <v>1</v>
      </c>
      <c r="P23" s="30"/>
      <c r="Q23" s="30">
        <f>(1 - CUSTOS!$M$27)*1.06</f>
        <v>1.06</v>
      </c>
      <c r="R23" s="30"/>
      <c r="S23" s="30">
        <f>1 - CUSTOS!$M$27</f>
        <v>1</v>
      </c>
      <c r="T23" s="30">
        <f>1 - CUSTOS!$M$27</f>
        <v>1</v>
      </c>
      <c r="U23" s="30">
        <f>1 - CUSTOS!$M$27</f>
        <v>1</v>
      </c>
      <c r="V23" s="30"/>
      <c r="W23" s="30"/>
      <c r="X23" s="30"/>
      <c r="Y23" s="30">
        <f>1 - CUSTOS!$M$27</f>
        <v>1</v>
      </c>
      <c r="Z23" s="30"/>
      <c r="AA23" s="30"/>
    </row>
    <row r="24" spans="1:27" ht="11.25" customHeight="1" x14ac:dyDescent="0.25">
      <c r="A24" s="130"/>
      <c r="B24" s="130" t="s">
        <v>101</v>
      </c>
      <c r="C24" s="130" t="s">
        <v>24</v>
      </c>
      <c r="D24" s="33" t="s">
        <v>24</v>
      </c>
      <c r="E24" s="33" t="s">
        <v>25</v>
      </c>
      <c r="F24" s="33" t="s">
        <v>25</v>
      </c>
      <c r="G24" s="32" t="s">
        <v>94</v>
      </c>
      <c r="H24" s="32" t="s">
        <v>88</v>
      </c>
      <c r="I24" s="32">
        <f>'MERCADO TE'!$U$21</f>
        <v>0</v>
      </c>
      <c r="J24" s="17"/>
      <c r="L24" s="30">
        <v>1</v>
      </c>
      <c r="M24" s="30">
        <v>1</v>
      </c>
      <c r="N24" s="30">
        <v>1</v>
      </c>
      <c r="O24" s="30">
        <v>1</v>
      </c>
      <c r="P24" s="30"/>
      <c r="Q24" s="30">
        <v>1.06</v>
      </c>
      <c r="R24" s="30"/>
      <c r="S24" s="30">
        <v>1</v>
      </c>
      <c r="T24" s="30">
        <v>1</v>
      </c>
      <c r="U24" s="30">
        <v>1</v>
      </c>
      <c r="V24" s="30"/>
      <c r="W24" s="30"/>
      <c r="X24" s="30"/>
      <c r="Y24" s="30">
        <v>1</v>
      </c>
      <c r="Z24" s="30"/>
      <c r="AA24" s="30"/>
    </row>
    <row r="25" spans="1:27" ht="11.25" customHeight="1" x14ac:dyDescent="0.25">
      <c r="A25" s="130"/>
      <c r="B25" s="130"/>
      <c r="C25" s="130"/>
      <c r="D25" s="33" t="s">
        <v>29</v>
      </c>
      <c r="E25" s="33" t="s">
        <v>25</v>
      </c>
      <c r="F25" s="33" t="s">
        <v>25</v>
      </c>
      <c r="G25" s="32" t="s">
        <v>94</v>
      </c>
      <c r="H25" s="32" t="s">
        <v>88</v>
      </c>
      <c r="I25" s="32">
        <f>'MERCADO TE'!$U$22</f>
        <v>0</v>
      </c>
      <c r="J25" s="17"/>
      <c r="L25" s="30">
        <f>1 - CUSTOS!$M$24</f>
        <v>1</v>
      </c>
      <c r="M25" s="30">
        <f>1 - CUSTOS!$M$24</f>
        <v>1</v>
      </c>
      <c r="N25" s="30">
        <f>1 - CUSTOS!$M$24</f>
        <v>1</v>
      </c>
      <c r="O25" s="30">
        <f>1 - CUSTOS!$M$24</f>
        <v>1</v>
      </c>
      <c r="P25" s="30"/>
      <c r="Q25" s="30">
        <f>(1 - CUSTOS!$M$24)*1.06</f>
        <v>1.06</v>
      </c>
      <c r="R25" s="30"/>
      <c r="S25" s="30">
        <f>1 - CUSTOS!$M$24</f>
        <v>1</v>
      </c>
      <c r="T25" s="30">
        <f>1 - CUSTOS!$M$24</f>
        <v>1</v>
      </c>
      <c r="U25" s="30">
        <f>1 - CUSTOS!$M$24</f>
        <v>1</v>
      </c>
      <c r="V25" s="30"/>
      <c r="W25" s="30"/>
      <c r="X25" s="30"/>
      <c r="Y25" s="30">
        <f>1 - CUSTOS!$M$24</f>
        <v>1</v>
      </c>
      <c r="Z25" s="30"/>
      <c r="AA25" s="30"/>
    </row>
    <row r="26" spans="1:27" ht="11.25" customHeight="1" x14ac:dyDescent="0.25">
      <c r="A26" s="130"/>
      <c r="B26" s="130"/>
      <c r="C26" s="130"/>
      <c r="D26" s="33" t="s">
        <v>30</v>
      </c>
      <c r="E26" s="33" t="s">
        <v>25</v>
      </c>
      <c r="F26" s="33" t="s">
        <v>25</v>
      </c>
      <c r="G26" s="32" t="s">
        <v>94</v>
      </c>
      <c r="H26" s="32" t="s">
        <v>88</v>
      </c>
      <c r="I26" s="32">
        <f>'MERCADO TE'!$U$23</f>
        <v>0</v>
      </c>
      <c r="J26" s="17"/>
      <c r="L26" s="30">
        <f>1 - CUSTOS!$M$25</f>
        <v>1</v>
      </c>
      <c r="M26" s="30">
        <f>1 - CUSTOS!$M$25</f>
        <v>1</v>
      </c>
      <c r="N26" s="30">
        <f>1 - CUSTOS!$M$25</f>
        <v>1</v>
      </c>
      <c r="O26" s="30">
        <f>1 - CUSTOS!$M$25</f>
        <v>1</v>
      </c>
      <c r="P26" s="30"/>
      <c r="Q26" s="30">
        <f>(1 - CUSTOS!$M$25)*1.06</f>
        <v>1.06</v>
      </c>
      <c r="R26" s="30"/>
      <c r="S26" s="30">
        <f>1 - CUSTOS!$M$25</f>
        <v>1</v>
      </c>
      <c r="T26" s="30">
        <f>1 - CUSTOS!$M$25</f>
        <v>1</v>
      </c>
      <c r="U26" s="30">
        <f>1 - CUSTOS!$M$25</f>
        <v>1</v>
      </c>
      <c r="V26" s="30"/>
      <c r="W26" s="30"/>
      <c r="X26" s="30"/>
      <c r="Y26" s="30">
        <f>1 - CUSTOS!$M$25</f>
        <v>1</v>
      </c>
      <c r="Z26" s="30"/>
      <c r="AA26" s="30"/>
    </row>
    <row r="27" spans="1:27" ht="11.25" customHeight="1" x14ac:dyDescent="0.25">
      <c r="A27" s="130"/>
      <c r="B27" s="130"/>
      <c r="C27" s="130"/>
      <c r="D27" s="33" t="s">
        <v>31</v>
      </c>
      <c r="E27" s="33" t="s">
        <v>25</v>
      </c>
      <c r="F27" s="33" t="s">
        <v>25</v>
      </c>
      <c r="G27" s="32" t="s">
        <v>94</v>
      </c>
      <c r="H27" s="32" t="s">
        <v>88</v>
      </c>
      <c r="I27" s="32">
        <f>'MERCADO TE'!$U$24</f>
        <v>0</v>
      </c>
      <c r="J27" s="17"/>
      <c r="L27" s="30">
        <f>1 - CUSTOS!$M$26</f>
        <v>1</v>
      </c>
      <c r="M27" s="30">
        <f>1 - CUSTOS!$M$26</f>
        <v>1</v>
      </c>
      <c r="N27" s="30">
        <f>1 - CUSTOS!$M$26</f>
        <v>1</v>
      </c>
      <c r="O27" s="30">
        <f>1 - CUSTOS!$M$26</f>
        <v>1</v>
      </c>
      <c r="P27" s="30"/>
      <c r="Q27" s="30">
        <f>(1 - CUSTOS!$M$26)*1.06</f>
        <v>1.06</v>
      </c>
      <c r="R27" s="30"/>
      <c r="S27" s="30">
        <f>1 - CUSTOS!$M$26</f>
        <v>1</v>
      </c>
      <c r="T27" s="30">
        <f>1 - CUSTOS!$M$26</f>
        <v>1</v>
      </c>
      <c r="U27" s="30">
        <f>1 - CUSTOS!$M$26</f>
        <v>1</v>
      </c>
      <c r="V27" s="30"/>
      <c r="W27" s="30"/>
      <c r="X27" s="30"/>
      <c r="Y27" s="30">
        <f>1 - CUSTOS!$M$26</f>
        <v>1</v>
      </c>
      <c r="Z27" s="30"/>
      <c r="AA27" s="30"/>
    </row>
    <row r="28" spans="1:27" ht="11.25" customHeight="1" x14ac:dyDescent="0.25">
      <c r="A28" s="130"/>
      <c r="B28" s="130"/>
      <c r="C28" s="130"/>
      <c r="D28" s="33" t="s">
        <v>32</v>
      </c>
      <c r="E28" s="33" t="s">
        <v>25</v>
      </c>
      <c r="F28" s="33" t="s">
        <v>25</v>
      </c>
      <c r="G28" s="32" t="s">
        <v>94</v>
      </c>
      <c r="H28" s="32" t="s">
        <v>88</v>
      </c>
      <c r="I28" s="32">
        <f>'MERCADO TE'!$U$25</f>
        <v>0</v>
      </c>
      <c r="J28" s="17"/>
      <c r="L28" s="30">
        <f>1 - CUSTOS!$M$27</f>
        <v>1</v>
      </c>
      <c r="M28" s="30">
        <f>1 - CUSTOS!$M$27</f>
        <v>1</v>
      </c>
      <c r="N28" s="30">
        <f>1 - CUSTOS!$M$27</f>
        <v>1</v>
      </c>
      <c r="O28" s="30">
        <f>1 - CUSTOS!$M$27</f>
        <v>1</v>
      </c>
      <c r="P28" s="30"/>
      <c r="Q28" s="30">
        <f>(1 - CUSTOS!$M$27)*1.06</f>
        <v>1.06</v>
      </c>
      <c r="R28" s="30"/>
      <c r="S28" s="30">
        <f>1 - CUSTOS!$M$27</f>
        <v>1</v>
      </c>
      <c r="T28" s="30">
        <f>1 - CUSTOS!$M$27</f>
        <v>1</v>
      </c>
      <c r="U28" s="30">
        <f>1 - CUSTOS!$M$27</f>
        <v>1</v>
      </c>
      <c r="V28" s="30"/>
      <c r="W28" s="30"/>
      <c r="X28" s="30"/>
      <c r="Y28" s="30">
        <f>1 - CUSTOS!$M$27</f>
        <v>1</v>
      </c>
      <c r="Z28" s="30"/>
      <c r="AA28" s="30"/>
    </row>
    <row r="29" spans="1:27" ht="11.25" customHeight="1" x14ac:dyDescent="0.25">
      <c r="A29" s="130" t="s">
        <v>46</v>
      </c>
      <c r="B29" s="130" t="s">
        <v>87</v>
      </c>
      <c r="C29" s="130" t="s">
        <v>47</v>
      </c>
      <c r="D29" s="130" t="s">
        <v>25</v>
      </c>
      <c r="E29" s="130" t="s">
        <v>25</v>
      </c>
      <c r="F29" s="130" t="s">
        <v>25</v>
      </c>
      <c r="G29" s="32" t="s">
        <v>89</v>
      </c>
      <c r="H29" s="32" t="s">
        <v>88</v>
      </c>
      <c r="I29" s="32">
        <f>'MERCADO TE'!$U$26</f>
        <v>1.0549999999999999</v>
      </c>
      <c r="J29" s="17"/>
      <c r="L29" s="30">
        <f>1 - CUSTOS!$M$28</f>
        <v>1</v>
      </c>
      <c r="M29" s="30">
        <f>1 - CUSTOS!$M$28</f>
        <v>1</v>
      </c>
      <c r="N29" s="30">
        <f>1 - CUSTOS!$M$28</f>
        <v>1</v>
      </c>
      <c r="O29" s="30">
        <f>1 - CUSTOS!$M$28</f>
        <v>1</v>
      </c>
      <c r="P29" s="30"/>
      <c r="Q29" s="30">
        <f>(1 - CUSTOS!$M$28)*1.72</f>
        <v>1.72</v>
      </c>
      <c r="R29" s="30"/>
      <c r="S29" s="30">
        <f>1 - CUSTOS!$M$28</f>
        <v>1</v>
      </c>
      <c r="T29" s="30">
        <f>1 - CUSTOS!$M$28</f>
        <v>1</v>
      </c>
      <c r="U29" s="30">
        <f>1 - CUSTOS!$M$28</f>
        <v>1</v>
      </c>
      <c r="V29" s="30"/>
      <c r="W29" s="30"/>
      <c r="X29" s="30"/>
      <c r="Y29" s="30">
        <f>1 - CUSTOS!$M$28</f>
        <v>1</v>
      </c>
      <c r="Z29" s="30"/>
      <c r="AA29" s="30"/>
    </row>
    <row r="30" spans="1:27" ht="11.25" customHeight="1" x14ac:dyDescent="0.25">
      <c r="A30" s="130"/>
      <c r="B30" s="130"/>
      <c r="C30" s="130"/>
      <c r="D30" s="130"/>
      <c r="E30" s="130"/>
      <c r="F30" s="130"/>
      <c r="G30" s="32" t="s">
        <v>100</v>
      </c>
      <c r="H30" s="32" t="s">
        <v>88</v>
      </c>
      <c r="I30" s="32">
        <f>'MERCADO TE'!$U$27</f>
        <v>0.57700000000000007</v>
      </c>
      <c r="J30" s="17"/>
      <c r="L30" s="30">
        <f>1 - CUSTOS!$M$28</f>
        <v>1</v>
      </c>
      <c r="M30" s="30">
        <f>1 - CUSTOS!$M$28</f>
        <v>1</v>
      </c>
      <c r="N30" s="30">
        <f>1 - CUSTOS!$M$28</f>
        <v>1</v>
      </c>
      <c r="O30" s="30">
        <f>1 - CUSTOS!$M$28</f>
        <v>1</v>
      </c>
      <c r="P30" s="30"/>
      <c r="Q30" s="30">
        <f>(1 - CUSTOS!$M$28)*1</f>
        <v>1</v>
      </c>
      <c r="R30" s="30"/>
      <c r="S30" s="30">
        <f>1 - CUSTOS!$M$28</f>
        <v>1</v>
      </c>
      <c r="T30" s="30">
        <f>1 - CUSTOS!$M$28</f>
        <v>1</v>
      </c>
      <c r="U30" s="30">
        <f>1 - CUSTOS!$M$28</f>
        <v>1</v>
      </c>
      <c r="V30" s="30"/>
      <c r="W30" s="30"/>
      <c r="X30" s="30"/>
      <c r="Y30" s="30">
        <f>1 - CUSTOS!$M$28</f>
        <v>1</v>
      </c>
      <c r="Z30" s="30"/>
      <c r="AA30" s="30"/>
    </row>
    <row r="31" spans="1:27" ht="11.25" customHeight="1" x14ac:dyDescent="0.25">
      <c r="A31" s="130"/>
      <c r="B31" s="130"/>
      <c r="C31" s="130"/>
      <c r="D31" s="130"/>
      <c r="E31" s="130"/>
      <c r="F31" s="130"/>
      <c r="G31" s="32" t="s">
        <v>90</v>
      </c>
      <c r="H31" s="32" t="s">
        <v>88</v>
      </c>
      <c r="I31" s="32">
        <f>'MERCADO TE'!$U$28</f>
        <v>5.0120000000000005</v>
      </c>
      <c r="J31" s="17"/>
      <c r="L31" s="30">
        <f>1 - CUSTOS!$M$28</f>
        <v>1</v>
      </c>
      <c r="M31" s="30">
        <f>1 - CUSTOS!$M$28</f>
        <v>1</v>
      </c>
      <c r="N31" s="30">
        <f>1 - CUSTOS!$M$28</f>
        <v>1</v>
      </c>
      <c r="O31" s="30">
        <f>1 - CUSTOS!$M$28</f>
        <v>1</v>
      </c>
      <c r="P31" s="30"/>
      <c r="Q31" s="30">
        <f>(1 - CUSTOS!$M$28)*1</f>
        <v>1</v>
      </c>
      <c r="R31" s="30"/>
      <c r="S31" s="30">
        <f>1 - CUSTOS!$M$28</f>
        <v>1</v>
      </c>
      <c r="T31" s="30">
        <f>1 - CUSTOS!$M$28</f>
        <v>1</v>
      </c>
      <c r="U31" s="30">
        <f>1 - CUSTOS!$M$28</f>
        <v>1</v>
      </c>
      <c r="V31" s="30"/>
      <c r="W31" s="30"/>
      <c r="X31" s="30"/>
      <c r="Y31" s="30">
        <f>1 - CUSTOS!$M$28</f>
        <v>1</v>
      </c>
      <c r="Z31" s="30"/>
      <c r="AA31" s="30"/>
    </row>
    <row r="32" spans="1:27" ht="11.25" customHeight="1" x14ac:dyDescent="0.25">
      <c r="A32" s="130"/>
      <c r="B32" s="33" t="s">
        <v>96</v>
      </c>
      <c r="C32" s="33" t="s">
        <v>47</v>
      </c>
      <c r="D32" s="33" t="s">
        <v>25</v>
      </c>
      <c r="E32" s="33" t="s">
        <v>25</v>
      </c>
      <c r="F32" s="33" t="s">
        <v>25</v>
      </c>
      <c r="G32" s="32" t="s">
        <v>94</v>
      </c>
      <c r="H32" s="32" t="s">
        <v>88</v>
      </c>
      <c r="I32" s="32">
        <f>'MERCADO TE'!$U$29</f>
        <v>81638.005000000005</v>
      </c>
      <c r="J32" s="17"/>
      <c r="L32" s="30">
        <f>1 - CUSTOS!$M$28</f>
        <v>1</v>
      </c>
      <c r="M32" s="30">
        <f>1 - CUSTOS!$M$28</f>
        <v>1</v>
      </c>
      <c r="N32" s="30">
        <f>1 - CUSTOS!$M$28</f>
        <v>1</v>
      </c>
      <c r="O32" s="30">
        <f>1 - CUSTOS!$M$28</f>
        <v>1</v>
      </c>
      <c r="P32" s="30"/>
      <c r="Q32" s="30">
        <f>(1 - CUSTOS!$M$28)*1.06</f>
        <v>1.06</v>
      </c>
      <c r="R32" s="30"/>
      <c r="S32" s="30">
        <f>1 - CUSTOS!$M$28</f>
        <v>1</v>
      </c>
      <c r="T32" s="30">
        <f>1 - CUSTOS!$M$28</f>
        <v>1</v>
      </c>
      <c r="U32" s="30">
        <f>1 - CUSTOS!$M$28</f>
        <v>1</v>
      </c>
      <c r="V32" s="30"/>
      <c r="W32" s="30"/>
      <c r="X32" s="30"/>
      <c r="Y32" s="30">
        <f>1 - CUSTOS!$M$28</f>
        <v>1</v>
      </c>
      <c r="Z32" s="30"/>
      <c r="AA32" s="30"/>
    </row>
    <row r="33" spans="1:27" ht="11.25" customHeight="1" x14ac:dyDescent="0.25">
      <c r="A33" s="130"/>
      <c r="B33" s="130" t="s">
        <v>87</v>
      </c>
      <c r="C33" s="130" t="s">
        <v>47</v>
      </c>
      <c r="D33" s="130" t="s">
        <v>103</v>
      </c>
      <c r="E33" s="130" t="s">
        <v>25</v>
      </c>
      <c r="F33" s="130" t="s">
        <v>25</v>
      </c>
      <c r="G33" s="32" t="s">
        <v>89</v>
      </c>
      <c r="H33" s="32" t="s">
        <v>88</v>
      </c>
      <c r="I33" s="32">
        <f>'MERCADO TE'!$U$30</f>
        <v>0</v>
      </c>
      <c r="J33" s="17"/>
      <c r="L33" s="30">
        <f>1 - CUSTOS!$M$29</f>
        <v>1</v>
      </c>
      <c r="M33" s="30">
        <f>1 - CUSTOS!$M$29</f>
        <v>1</v>
      </c>
      <c r="N33" s="30">
        <f>1 - CUSTOS!$M$29</f>
        <v>1</v>
      </c>
      <c r="O33" s="30">
        <f>1 - CUSTOS!$M$29</f>
        <v>1</v>
      </c>
      <c r="P33" s="30"/>
      <c r="Q33" s="30">
        <f>(1 - CUSTOS!$M$29)*1.72</f>
        <v>1.72</v>
      </c>
      <c r="R33" s="30"/>
      <c r="S33" s="30">
        <f>1 - CUSTOS!$M$29</f>
        <v>1</v>
      </c>
      <c r="T33" s="30">
        <f>1 - CUSTOS!$M$29</f>
        <v>1</v>
      </c>
      <c r="U33" s="30">
        <f>1 - CUSTOS!$M$29</f>
        <v>1</v>
      </c>
      <c r="V33" s="30"/>
      <c r="W33" s="30"/>
      <c r="X33" s="30"/>
      <c r="Y33" s="30">
        <f>1 - CUSTOS!$M$29</f>
        <v>1</v>
      </c>
      <c r="Z33" s="30"/>
      <c r="AA33" s="30"/>
    </row>
    <row r="34" spans="1:27" ht="11.25" customHeight="1" x14ac:dyDescent="0.25">
      <c r="A34" s="130"/>
      <c r="B34" s="130"/>
      <c r="C34" s="130"/>
      <c r="D34" s="130"/>
      <c r="E34" s="130"/>
      <c r="F34" s="130"/>
      <c r="G34" s="32" t="s">
        <v>100</v>
      </c>
      <c r="H34" s="32" t="s">
        <v>88</v>
      </c>
      <c r="I34" s="32">
        <f>'MERCADO TE'!$U$31</f>
        <v>0</v>
      </c>
      <c r="J34" s="17"/>
      <c r="L34" s="30">
        <f>1 - CUSTOS!$M$29</f>
        <v>1</v>
      </c>
      <c r="M34" s="30">
        <f>1 - CUSTOS!$M$29</f>
        <v>1</v>
      </c>
      <c r="N34" s="30">
        <f>1 - CUSTOS!$M$29</f>
        <v>1</v>
      </c>
      <c r="O34" s="30">
        <f>1 - CUSTOS!$M$29</f>
        <v>1</v>
      </c>
      <c r="P34" s="30"/>
      <c r="Q34" s="30">
        <f>(1 - CUSTOS!$M$29)*1</f>
        <v>1</v>
      </c>
      <c r="R34" s="30"/>
      <c r="S34" s="30">
        <f>1 - CUSTOS!$M$29</f>
        <v>1</v>
      </c>
      <c r="T34" s="30">
        <f>1 - CUSTOS!$M$29</f>
        <v>1</v>
      </c>
      <c r="U34" s="30">
        <f>1 - CUSTOS!$M$29</f>
        <v>1</v>
      </c>
      <c r="V34" s="30"/>
      <c r="W34" s="30"/>
      <c r="X34" s="30"/>
      <c r="Y34" s="30">
        <f>1 - CUSTOS!$M$29</f>
        <v>1</v>
      </c>
      <c r="Z34" s="30"/>
      <c r="AA34" s="30"/>
    </row>
    <row r="35" spans="1:27" ht="11.25" customHeight="1" x14ac:dyDescent="0.25">
      <c r="A35" s="130"/>
      <c r="B35" s="130"/>
      <c r="C35" s="130"/>
      <c r="D35" s="130"/>
      <c r="E35" s="130"/>
      <c r="F35" s="130"/>
      <c r="G35" s="32" t="s">
        <v>90</v>
      </c>
      <c r="H35" s="32" t="s">
        <v>88</v>
      </c>
      <c r="I35" s="32">
        <f>'MERCADO TE'!$U$32</f>
        <v>0</v>
      </c>
      <c r="J35" s="17"/>
      <c r="L35" s="30">
        <f>1 - CUSTOS!$M$29</f>
        <v>1</v>
      </c>
      <c r="M35" s="30">
        <f>1 - CUSTOS!$M$29</f>
        <v>1</v>
      </c>
      <c r="N35" s="30">
        <f>1 - CUSTOS!$M$29</f>
        <v>1</v>
      </c>
      <c r="O35" s="30">
        <f>1 - CUSTOS!$M$29</f>
        <v>1</v>
      </c>
      <c r="P35" s="30"/>
      <c r="Q35" s="30">
        <f>(1 - CUSTOS!$M$29)*1</f>
        <v>1</v>
      </c>
      <c r="R35" s="30"/>
      <c r="S35" s="30">
        <f>1 - CUSTOS!$M$29</f>
        <v>1</v>
      </c>
      <c r="T35" s="30">
        <f>1 - CUSTOS!$M$29</f>
        <v>1</v>
      </c>
      <c r="U35" s="30">
        <f>1 - CUSTOS!$M$29</f>
        <v>1</v>
      </c>
      <c r="V35" s="30"/>
      <c r="W35" s="30"/>
      <c r="X35" s="30"/>
      <c r="Y35" s="30">
        <f>1 - CUSTOS!$M$29</f>
        <v>1</v>
      </c>
      <c r="Z35" s="30"/>
      <c r="AA35" s="30"/>
    </row>
    <row r="36" spans="1:27" ht="11.25" customHeight="1" x14ac:dyDescent="0.25">
      <c r="A36" s="130"/>
      <c r="B36" s="33" t="s">
        <v>96</v>
      </c>
      <c r="C36" s="33" t="s">
        <v>47</v>
      </c>
      <c r="D36" s="33" t="s">
        <v>103</v>
      </c>
      <c r="E36" s="33" t="s">
        <v>25</v>
      </c>
      <c r="F36" s="33" t="s">
        <v>25</v>
      </c>
      <c r="G36" s="32" t="s">
        <v>94</v>
      </c>
      <c r="H36" s="32" t="s">
        <v>88</v>
      </c>
      <c r="I36" s="32">
        <f>'MERCADO TE'!$U$33</f>
        <v>0</v>
      </c>
      <c r="J36" s="17"/>
      <c r="L36" s="30">
        <f>1 - CUSTOS!$M$29</f>
        <v>1</v>
      </c>
      <c r="M36" s="30">
        <f>1 - CUSTOS!$M$29</f>
        <v>1</v>
      </c>
      <c r="N36" s="30">
        <f>1 - CUSTOS!$M$29</f>
        <v>1</v>
      </c>
      <c r="O36" s="30">
        <f>1 - CUSTOS!$M$29</f>
        <v>1</v>
      </c>
      <c r="P36" s="30"/>
      <c r="Q36" s="30">
        <f>(1 - CUSTOS!$M$29)*1.06</f>
        <v>1.06</v>
      </c>
      <c r="R36" s="30"/>
      <c r="S36" s="30">
        <f>1 - CUSTOS!$M$29</f>
        <v>1</v>
      </c>
      <c r="T36" s="30">
        <f>1 - CUSTOS!$M$29</f>
        <v>1</v>
      </c>
      <c r="U36" s="30">
        <f>1 - CUSTOS!$M$29</f>
        <v>1</v>
      </c>
      <c r="V36" s="30"/>
      <c r="W36" s="30"/>
      <c r="X36" s="30"/>
      <c r="Y36" s="30">
        <f>1 - CUSTOS!$M$29</f>
        <v>1</v>
      </c>
      <c r="Z36" s="30"/>
      <c r="AA36" s="30"/>
    </row>
    <row r="37" spans="1:27" ht="11.25" customHeight="1" x14ac:dyDescent="0.25">
      <c r="A37" s="130"/>
      <c r="B37" s="130" t="s">
        <v>87</v>
      </c>
      <c r="C37" s="130" t="s">
        <v>47</v>
      </c>
      <c r="D37" s="130" t="s">
        <v>104</v>
      </c>
      <c r="E37" s="130" t="s">
        <v>25</v>
      </c>
      <c r="F37" s="130" t="s">
        <v>25</v>
      </c>
      <c r="G37" s="32" t="s">
        <v>89</v>
      </c>
      <c r="H37" s="32" t="s">
        <v>88</v>
      </c>
      <c r="I37" s="32">
        <f>'MERCADO TE'!$U$34</f>
        <v>0</v>
      </c>
      <c r="J37" s="17"/>
      <c r="L37" s="30">
        <f>1 - CUSTOS!$M$30</f>
        <v>1</v>
      </c>
      <c r="M37" s="30">
        <f>1 - CUSTOS!$M$30</f>
        <v>1</v>
      </c>
      <c r="N37" s="30">
        <f>1 - CUSTOS!$M$30</f>
        <v>1</v>
      </c>
      <c r="O37" s="30">
        <f>1 - CUSTOS!$M$30</f>
        <v>1</v>
      </c>
      <c r="P37" s="30"/>
      <c r="Q37" s="30">
        <f>(1 - CUSTOS!$M$30)*1.72</f>
        <v>1.72</v>
      </c>
      <c r="R37" s="30"/>
      <c r="S37" s="30">
        <f>1 - CUSTOS!$M$30</f>
        <v>1</v>
      </c>
      <c r="T37" s="30">
        <f>1 - CUSTOS!$M$30</f>
        <v>1</v>
      </c>
      <c r="U37" s="30">
        <f>1 - CUSTOS!$M$30</f>
        <v>1</v>
      </c>
      <c r="V37" s="30"/>
      <c r="W37" s="30"/>
      <c r="X37" s="30"/>
      <c r="Y37" s="30">
        <f>1 - CUSTOS!$M$30</f>
        <v>1</v>
      </c>
      <c r="Z37" s="30"/>
      <c r="AA37" s="30"/>
    </row>
    <row r="38" spans="1:27" ht="11.25" customHeight="1" x14ac:dyDescent="0.25">
      <c r="A38" s="130"/>
      <c r="B38" s="130"/>
      <c r="C38" s="130"/>
      <c r="D38" s="130"/>
      <c r="E38" s="130"/>
      <c r="F38" s="130"/>
      <c r="G38" s="32" t="s">
        <v>100</v>
      </c>
      <c r="H38" s="32" t="s">
        <v>88</v>
      </c>
      <c r="I38" s="32">
        <f>'MERCADO TE'!$U$35</f>
        <v>0</v>
      </c>
      <c r="J38" s="17"/>
      <c r="L38" s="30">
        <f>1 - CUSTOS!$M$30</f>
        <v>1</v>
      </c>
      <c r="M38" s="30">
        <f>1 - CUSTOS!$M$30</f>
        <v>1</v>
      </c>
      <c r="N38" s="30">
        <f>1 - CUSTOS!$M$30</f>
        <v>1</v>
      </c>
      <c r="O38" s="30">
        <f>1 - CUSTOS!$M$30</f>
        <v>1</v>
      </c>
      <c r="P38" s="30"/>
      <c r="Q38" s="30">
        <f>(1 - CUSTOS!$M$30)*1</f>
        <v>1</v>
      </c>
      <c r="R38" s="30"/>
      <c r="S38" s="30">
        <f>1 - CUSTOS!$M$30</f>
        <v>1</v>
      </c>
      <c r="T38" s="30">
        <f>1 - CUSTOS!$M$30</f>
        <v>1</v>
      </c>
      <c r="U38" s="30">
        <f>1 - CUSTOS!$M$30</f>
        <v>1</v>
      </c>
      <c r="V38" s="30"/>
      <c r="W38" s="30"/>
      <c r="X38" s="30"/>
      <c r="Y38" s="30">
        <f>1 - CUSTOS!$M$30</f>
        <v>1</v>
      </c>
      <c r="Z38" s="30"/>
      <c r="AA38" s="30"/>
    </row>
    <row r="39" spans="1:27" ht="11.25" customHeight="1" x14ac:dyDescent="0.25">
      <c r="A39" s="130"/>
      <c r="B39" s="130"/>
      <c r="C39" s="130"/>
      <c r="D39" s="130"/>
      <c r="E39" s="130"/>
      <c r="F39" s="130"/>
      <c r="G39" s="32" t="s">
        <v>90</v>
      </c>
      <c r="H39" s="32" t="s">
        <v>88</v>
      </c>
      <c r="I39" s="32">
        <f>'MERCADO TE'!$U$36</f>
        <v>0</v>
      </c>
      <c r="J39" s="17"/>
      <c r="L39" s="30">
        <f>1 - CUSTOS!$M$30</f>
        <v>1</v>
      </c>
      <c r="M39" s="30">
        <f>1 - CUSTOS!$M$30</f>
        <v>1</v>
      </c>
      <c r="N39" s="30">
        <f>1 - CUSTOS!$M$30</f>
        <v>1</v>
      </c>
      <c r="O39" s="30">
        <f>1 - CUSTOS!$M$30</f>
        <v>1</v>
      </c>
      <c r="P39" s="30"/>
      <c r="Q39" s="30">
        <f>(1 - CUSTOS!$M$30)*1</f>
        <v>1</v>
      </c>
      <c r="R39" s="30"/>
      <c r="S39" s="30">
        <f>1 - CUSTOS!$M$30</f>
        <v>1</v>
      </c>
      <c r="T39" s="30">
        <f>1 - CUSTOS!$M$30</f>
        <v>1</v>
      </c>
      <c r="U39" s="30">
        <f>1 - CUSTOS!$M$30</f>
        <v>1</v>
      </c>
      <c r="V39" s="30"/>
      <c r="W39" s="30"/>
      <c r="X39" s="30"/>
      <c r="Y39" s="30">
        <f>1 - CUSTOS!$M$30</f>
        <v>1</v>
      </c>
      <c r="Z39" s="30"/>
      <c r="AA39" s="30"/>
    </row>
    <row r="40" spans="1:27" ht="11.25" customHeight="1" x14ac:dyDescent="0.25">
      <c r="A40" s="130"/>
      <c r="B40" s="33" t="s">
        <v>96</v>
      </c>
      <c r="C40" s="33" t="s">
        <v>47</v>
      </c>
      <c r="D40" s="33" t="s">
        <v>104</v>
      </c>
      <c r="E40" s="33" t="s">
        <v>25</v>
      </c>
      <c r="F40" s="33" t="s">
        <v>25</v>
      </c>
      <c r="G40" s="32" t="s">
        <v>94</v>
      </c>
      <c r="H40" s="32" t="s">
        <v>88</v>
      </c>
      <c r="I40" s="32">
        <f>'MERCADO TE'!$U$37</f>
        <v>0</v>
      </c>
      <c r="J40" s="17"/>
      <c r="L40" s="30">
        <f>1 - CUSTOS!$M$30</f>
        <v>1</v>
      </c>
      <c r="M40" s="30">
        <f>1 - CUSTOS!$M$30</f>
        <v>1</v>
      </c>
      <c r="N40" s="30">
        <f>1 - CUSTOS!$M$30</f>
        <v>1</v>
      </c>
      <c r="O40" s="30">
        <f>1 - CUSTOS!$M$30</f>
        <v>1</v>
      </c>
      <c r="P40" s="30"/>
      <c r="Q40" s="30">
        <f>(1 - CUSTOS!$M$30)*1.06</f>
        <v>1.06</v>
      </c>
      <c r="R40" s="30"/>
      <c r="S40" s="30">
        <f>1 - CUSTOS!$M$30</f>
        <v>1</v>
      </c>
      <c r="T40" s="30">
        <f>1 - CUSTOS!$M$30</f>
        <v>1</v>
      </c>
      <c r="U40" s="30">
        <f>1 - CUSTOS!$M$30</f>
        <v>1</v>
      </c>
      <c r="V40" s="30"/>
      <c r="W40" s="30"/>
      <c r="X40" s="30"/>
      <c r="Y40" s="30">
        <f>1 - CUSTOS!$M$30</f>
        <v>1</v>
      </c>
      <c r="Z40" s="30"/>
      <c r="AA40" s="30"/>
    </row>
    <row r="41" spans="1:27" ht="11.25" customHeight="1" x14ac:dyDescent="0.25">
      <c r="A41" s="130"/>
      <c r="B41" s="130" t="s">
        <v>101</v>
      </c>
      <c r="C41" s="130" t="s">
        <v>47</v>
      </c>
      <c r="D41" s="33" t="s">
        <v>25</v>
      </c>
      <c r="E41" s="33" t="s">
        <v>25</v>
      </c>
      <c r="F41" s="33" t="s">
        <v>25</v>
      </c>
      <c r="G41" s="32" t="s">
        <v>94</v>
      </c>
      <c r="H41" s="32" t="s">
        <v>88</v>
      </c>
      <c r="I41" s="32">
        <f>'MERCADO TE'!$U$38</f>
        <v>0</v>
      </c>
      <c r="J41" s="17"/>
      <c r="L41" s="30">
        <f>1 - CUSTOS!$M$28</f>
        <v>1</v>
      </c>
      <c r="M41" s="30">
        <f>1 - CUSTOS!$M$28</f>
        <v>1</v>
      </c>
      <c r="N41" s="30">
        <f>1 - CUSTOS!$M$28</f>
        <v>1</v>
      </c>
      <c r="O41" s="30">
        <f>1 - CUSTOS!$M$28</f>
        <v>1</v>
      </c>
      <c r="P41" s="30"/>
      <c r="Q41" s="30">
        <f>(1 - CUSTOS!$M$28)*1.06</f>
        <v>1.06</v>
      </c>
      <c r="R41" s="30"/>
      <c r="S41" s="30">
        <f>1 - CUSTOS!$M$28</f>
        <v>1</v>
      </c>
      <c r="T41" s="30">
        <f>1 - CUSTOS!$M$28</f>
        <v>1</v>
      </c>
      <c r="U41" s="30">
        <f>1 - CUSTOS!$M$28</f>
        <v>1</v>
      </c>
      <c r="V41" s="30"/>
      <c r="W41" s="30"/>
      <c r="X41" s="30"/>
      <c r="Y41" s="30">
        <f>1 - CUSTOS!$M$28</f>
        <v>1</v>
      </c>
      <c r="Z41" s="30"/>
      <c r="AA41" s="30"/>
    </row>
    <row r="42" spans="1:27" ht="11.25" customHeight="1" x14ac:dyDescent="0.25">
      <c r="A42" s="130"/>
      <c r="B42" s="130"/>
      <c r="C42" s="130"/>
      <c r="D42" s="33" t="s">
        <v>103</v>
      </c>
      <c r="E42" s="33" t="s">
        <v>25</v>
      </c>
      <c r="F42" s="33" t="s">
        <v>25</v>
      </c>
      <c r="G42" s="32" t="s">
        <v>94</v>
      </c>
      <c r="H42" s="32" t="s">
        <v>88</v>
      </c>
      <c r="I42" s="32">
        <f>'MERCADO TE'!$U$39</f>
        <v>0</v>
      </c>
      <c r="J42" s="17"/>
      <c r="L42" s="30">
        <f>1 - CUSTOS!$M$29</f>
        <v>1</v>
      </c>
      <c r="M42" s="30">
        <f>1 - CUSTOS!$M$29</f>
        <v>1</v>
      </c>
      <c r="N42" s="30">
        <f>1 - CUSTOS!$M$29</f>
        <v>1</v>
      </c>
      <c r="O42" s="30">
        <f>1 - CUSTOS!$M$29</f>
        <v>1</v>
      </c>
      <c r="P42" s="30"/>
      <c r="Q42" s="30">
        <f>(1 - CUSTOS!$M$29)*1.06</f>
        <v>1.06</v>
      </c>
      <c r="R42" s="30"/>
      <c r="S42" s="30">
        <f>1 - CUSTOS!$M$29</f>
        <v>1</v>
      </c>
      <c r="T42" s="30">
        <f>1 - CUSTOS!$M$29</f>
        <v>1</v>
      </c>
      <c r="U42" s="30">
        <f>1 - CUSTOS!$M$29</f>
        <v>1</v>
      </c>
      <c r="V42" s="30"/>
      <c r="W42" s="30"/>
      <c r="X42" s="30"/>
      <c r="Y42" s="30">
        <f>1 - CUSTOS!$M$29</f>
        <v>1</v>
      </c>
      <c r="Z42" s="30"/>
      <c r="AA42" s="30"/>
    </row>
    <row r="43" spans="1:27" ht="11.25" customHeight="1" x14ac:dyDescent="0.25">
      <c r="A43" s="130"/>
      <c r="B43" s="130"/>
      <c r="C43" s="130"/>
      <c r="D43" s="33" t="s">
        <v>104</v>
      </c>
      <c r="E43" s="33" t="s">
        <v>25</v>
      </c>
      <c r="F43" s="33" t="s">
        <v>25</v>
      </c>
      <c r="G43" s="32" t="s">
        <v>94</v>
      </c>
      <c r="H43" s="32" t="s">
        <v>88</v>
      </c>
      <c r="I43" s="32">
        <f>'MERCADO TE'!$U$40</f>
        <v>0</v>
      </c>
      <c r="J43" s="17"/>
      <c r="L43" s="30">
        <f>1 - CUSTOS!$M$30</f>
        <v>1</v>
      </c>
      <c r="M43" s="30">
        <f>1 - CUSTOS!$M$30</f>
        <v>1</v>
      </c>
      <c r="N43" s="30">
        <f>1 - CUSTOS!$M$30</f>
        <v>1</v>
      </c>
      <c r="O43" s="30">
        <f>1 - CUSTOS!$M$30</f>
        <v>1</v>
      </c>
      <c r="P43" s="30"/>
      <c r="Q43" s="30">
        <f>(1 - CUSTOS!$M$30)*1.06</f>
        <v>1.06</v>
      </c>
      <c r="R43" s="30"/>
      <c r="S43" s="30">
        <f>1 - CUSTOS!$M$30</f>
        <v>1</v>
      </c>
      <c r="T43" s="30">
        <f>1 - CUSTOS!$M$30</f>
        <v>1</v>
      </c>
      <c r="U43" s="30">
        <f>1 - CUSTOS!$M$30</f>
        <v>1</v>
      </c>
      <c r="V43" s="30"/>
      <c r="W43" s="30"/>
      <c r="X43" s="30"/>
      <c r="Y43" s="30">
        <f>1 - CUSTOS!$M$30</f>
        <v>1</v>
      </c>
      <c r="Z43" s="30"/>
      <c r="AA43" s="30"/>
    </row>
    <row r="44" spans="1:27" ht="11.25" customHeight="1" x14ac:dyDescent="0.25">
      <c r="A44" s="130" t="s">
        <v>39</v>
      </c>
      <c r="B44" s="130" t="s">
        <v>87</v>
      </c>
      <c r="C44" s="130" t="s">
        <v>25</v>
      </c>
      <c r="D44" s="130" t="s">
        <v>25</v>
      </c>
      <c r="E44" s="130" t="s">
        <v>25</v>
      </c>
      <c r="F44" s="130" t="s">
        <v>25</v>
      </c>
      <c r="G44" s="32" t="s">
        <v>89</v>
      </c>
      <c r="H44" s="32" t="s">
        <v>88</v>
      </c>
      <c r="I44" s="32">
        <f>'MERCADO TE'!$U$41</f>
        <v>133.67100000000025</v>
      </c>
      <c r="J44" s="17"/>
      <c r="L44" s="30">
        <f>1 - CUSTOS!$M$31</f>
        <v>1</v>
      </c>
      <c r="M44" s="30">
        <f>1 - CUSTOS!$M$31</f>
        <v>1</v>
      </c>
      <c r="N44" s="30">
        <f>1 - CUSTOS!$M$31</f>
        <v>1</v>
      </c>
      <c r="O44" s="30">
        <f>1 - CUSTOS!$M$31</f>
        <v>1</v>
      </c>
      <c r="P44" s="30"/>
      <c r="Q44" s="30">
        <f>(1 - CUSTOS!$M$31)*1.72</f>
        <v>1.72</v>
      </c>
      <c r="R44" s="30"/>
      <c r="S44" s="30">
        <f>1 - CUSTOS!$M$31</f>
        <v>1</v>
      </c>
      <c r="T44" s="30">
        <f>1 - CUSTOS!$M$31</f>
        <v>1</v>
      </c>
      <c r="U44" s="30">
        <f>1 - CUSTOS!$M$31</f>
        <v>1</v>
      </c>
      <c r="V44" s="30"/>
      <c r="W44" s="30"/>
      <c r="X44" s="30"/>
      <c r="Y44" s="30">
        <f>1 - CUSTOS!$M$31</f>
        <v>1</v>
      </c>
      <c r="Z44" s="30"/>
      <c r="AA44" s="30"/>
    </row>
    <row r="45" spans="1:27" ht="11.25" customHeight="1" x14ac:dyDescent="0.25">
      <c r="A45" s="130"/>
      <c r="B45" s="130"/>
      <c r="C45" s="130"/>
      <c r="D45" s="130"/>
      <c r="E45" s="130"/>
      <c r="F45" s="130"/>
      <c r="G45" s="32" t="s">
        <v>100</v>
      </c>
      <c r="H45" s="32" t="s">
        <v>88</v>
      </c>
      <c r="I45" s="32">
        <f>'MERCADO TE'!$U$42</f>
        <v>52.353999999999928</v>
      </c>
      <c r="J45" s="17"/>
      <c r="L45" s="30">
        <f>1 - CUSTOS!$M$31</f>
        <v>1</v>
      </c>
      <c r="M45" s="30">
        <f>1 - CUSTOS!$M$31</f>
        <v>1</v>
      </c>
      <c r="N45" s="30">
        <f>1 - CUSTOS!$M$31</f>
        <v>1</v>
      </c>
      <c r="O45" s="30">
        <f>1 - CUSTOS!$M$31</f>
        <v>1</v>
      </c>
      <c r="P45" s="30"/>
      <c r="Q45" s="30">
        <f>(1 - CUSTOS!$M$31)*1</f>
        <v>1</v>
      </c>
      <c r="R45" s="30"/>
      <c r="S45" s="30">
        <f>1 - CUSTOS!$M$31</f>
        <v>1</v>
      </c>
      <c r="T45" s="30">
        <f>1 - CUSTOS!$M$31</f>
        <v>1</v>
      </c>
      <c r="U45" s="30">
        <f>1 - CUSTOS!$M$31</f>
        <v>1</v>
      </c>
      <c r="V45" s="30"/>
      <c r="W45" s="30"/>
      <c r="X45" s="30"/>
      <c r="Y45" s="30">
        <f>1 - CUSTOS!$M$31</f>
        <v>1</v>
      </c>
      <c r="Z45" s="30"/>
      <c r="AA45" s="30"/>
    </row>
    <row r="46" spans="1:27" ht="11.25" customHeight="1" x14ac:dyDescent="0.25">
      <c r="A46" s="130"/>
      <c r="B46" s="130"/>
      <c r="C46" s="130"/>
      <c r="D46" s="130"/>
      <c r="E46" s="130"/>
      <c r="F46" s="130"/>
      <c r="G46" s="32" t="s">
        <v>90</v>
      </c>
      <c r="H46" s="32" t="s">
        <v>88</v>
      </c>
      <c r="I46" s="32">
        <f>'MERCADO TE'!$U$43</f>
        <v>4172.1789999999992</v>
      </c>
      <c r="J46" s="17"/>
      <c r="L46" s="30">
        <f>1 - CUSTOS!$M$31</f>
        <v>1</v>
      </c>
      <c r="M46" s="30">
        <f>1 - CUSTOS!$M$31</f>
        <v>1</v>
      </c>
      <c r="N46" s="30">
        <f>1 - CUSTOS!$M$31</f>
        <v>1</v>
      </c>
      <c r="O46" s="30">
        <f>1 - CUSTOS!$M$31</f>
        <v>1</v>
      </c>
      <c r="P46" s="30"/>
      <c r="Q46" s="30">
        <f>(1 - CUSTOS!$M$31)*1</f>
        <v>1</v>
      </c>
      <c r="R46" s="30"/>
      <c r="S46" s="30">
        <f>1 - CUSTOS!$M$31</f>
        <v>1</v>
      </c>
      <c r="T46" s="30">
        <f>1 - CUSTOS!$M$31</f>
        <v>1</v>
      </c>
      <c r="U46" s="30">
        <f>1 - CUSTOS!$M$31</f>
        <v>1</v>
      </c>
      <c r="V46" s="30"/>
      <c r="W46" s="30"/>
      <c r="X46" s="30"/>
      <c r="Y46" s="30">
        <f>1 - CUSTOS!$M$31</f>
        <v>1</v>
      </c>
      <c r="Z46" s="30"/>
      <c r="AA46" s="30"/>
    </row>
    <row r="47" spans="1:27" ht="11.25" customHeight="1" x14ac:dyDescent="0.25">
      <c r="A47" s="130"/>
      <c r="B47" s="33" t="s">
        <v>96</v>
      </c>
      <c r="C47" s="33" t="s">
        <v>25</v>
      </c>
      <c r="D47" s="33" t="s">
        <v>25</v>
      </c>
      <c r="E47" s="33" t="s">
        <v>25</v>
      </c>
      <c r="F47" s="33" t="s">
        <v>25</v>
      </c>
      <c r="G47" s="32" t="s">
        <v>94</v>
      </c>
      <c r="H47" s="32" t="s">
        <v>88</v>
      </c>
      <c r="I47" s="32">
        <f>'MERCADO TE'!$U$44</f>
        <v>1033015.7139999998</v>
      </c>
      <c r="J47" s="17"/>
      <c r="L47" s="30">
        <f>1 - CUSTOS!$M$31</f>
        <v>1</v>
      </c>
      <c r="M47" s="30">
        <f>1 - CUSTOS!$M$31</f>
        <v>1</v>
      </c>
      <c r="N47" s="30">
        <f>1 - CUSTOS!$M$31</f>
        <v>1</v>
      </c>
      <c r="O47" s="30">
        <f>1 - CUSTOS!$M$31</f>
        <v>1</v>
      </c>
      <c r="P47" s="30"/>
      <c r="Q47" s="30">
        <f>(1 - CUSTOS!$M$31)*1.06</f>
        <v>1.06</v>
      </c>
      <c r="R47" s="30"/>
      <c r="S47" s="30">
        <f>1 - CUSTOS!$M$31</f>
        <v>1</v>
      </c>
      <c r="T47" s="30">
        <f>1 - CUSTOS!$M$31</f>
        <v>1</v>
      </c>
      <c r="U47" s="30">
        <f>1 - CUSTOS!$M$31</f>
        <v>1</v>
      </c>
      <c r="V47" s="30"/>
      <c r="W47" s="30"/>
      <c r="X47" s="30"/>
      <c r="Y47" s="30">
        <f>1 - CUSTOS!$M$31</f>
        <v>1</v>
      </c>
      <c r="Z47" s="30"/>
      <c r="AA47" s="30"/>
    </row>
    <row r="48" spans="1:27" ht="11.25" customHeight="1" x14ac:dyDescent="0.25">
      <c r="A48" s="130"/>
      <c r="B48" s="33" t="s">
        <v>101</v>
      </c>
      <c r="C48" s="33" t="s">
        <v>25</v>
      </c>
      <c r="D48" s="33" t="s">
        <v>25</v>
      </c>
      <c r="E48" s="33" t="s">
        <v>25</v>
      </c>
      <c r="F48" s="33" t="s">
        <v>25</v>
      </c>
      <c r="G48" s="32" t="s">
        <v>94</v>
      </c>
      <c r="H48" s="32" t="s">
        <v>88</v>
      </c>
      <c r="I48" s="32">
        <f>'MERCADO TE'!$U$45</f>
        <v>0</v>
      </c>
      <c r="J48" s="17"/>
      <c r="L48" s="30">
        <f>1 - CUSTOS!$M$31</f>
        <v>1</v>
      </c>
      <c r="M48" s="30">
        <f>1 - CUSTOS!$M$31</f>
        <v>1</v>
      </c>
      <c r="N48" s="30">
        <f>1 - CUSTOS!$M$31</f>
        <v>1</v>
      </c>
      <c r="O48" s="30">
        <f>1 - CUSTOS!$M$31</f>
        <v>1</v>
      </c>
      <c r="P48" s="30"/>
      <c r="Q48" s="30">
        <f>(1 - CUSTOS!$M$31)*1.06</f>
        <v>1.06</v>
      </c>
      <c r="R48" s="30"/>
      <c r="S48" s="30">
        <f>1 - CUSTOS!$M$31</f>
        <v>1</v>
      </c>
      <c r="T48" s="30">
        <f>1 - CUSTOS!$M$31</f>
        <v>1</v>
      </c>
      <c r="U48" s="30">
        <f>1 - CUSTOS!$M$31</f>
        <v>1</v>
      </c>
      <c r="V48" s="30"/>
      <c r="W48" s="30"/>
      <c r="X48" s="30"/>
      <c r="Y48" s="30">
        <f>1 - CUSTOS!$M$31</f>
        <v>1</v>
      </c>
      <c r="Z48" s="30"/>
      <c r="AA48" s="30"/>
    </row>
    <row r="49" spans="1:27" ht="11.25" customHeight="1" x14ac:dyDescent="0.25">
      <c r="A49" s="130" t="s">
        <v>49</v>
      </c>
      <c r="B49" s="130" t="s">
        <v>96</v>
      </c>
      <c r="C49" s="130" t="s">
        <v>50</v>
      </c>
      <c r="D49" s="33" t="s">
        <v>51</v>
      </c>
      <c r="E49" s="33" t="s">
        <v>25</v>
      </c>
      <c r="F49" s="33" t="s">
        <v>25</v>
      </c>
      <c r="G49" s="32" t="s">
        <v>94</v>
      </c>
      <c r="H49" s="32" t="s">
        <v>88</v>
      </c>
      <c r="I49" s="32">
        <f>'MERCADO TE'!$U$46</f>
        <v>418118.94</v>
      </c>
      <c r="J49" s="17"/>
      <c r="L49" s="30">
        <f>1 - CUSTOS!$M$32</f>
        <v>0.55000000000000004</v>
      </c>
      <c r="M49" s="30">
        <f>1 - CUSTOS!$M$32</f>
        <v>0.55000000000000004</v>
      </c>
      <c r="N49" s="30">
        <f>1 - CUSTOS!$M$32</f>
        <v>0.55000000000000004</v>
      </c>
      <c r="O49" s="30">
        <f>1 - CUSTOS!$M$32</f>
        <v>0.55000000000000004</v>
      </c>
      <c r="P49" s="30"/>
      <c r="Q49" s="30">
        <f>(1 - CUSTOS!$M$32)*1.06</f>
        <v>0.58300000000000007</v>
      </c>
      <c r="R49" s="30"/>
      <c r="S49" s="30">
        <f>1 - CUSTOS!$M$32</f>
        <v>0.55000000000000004</v>
      </c>
      <c r="T49" s="30">
        <f>1 - CUSTOS!$M$32</f>
        <v>0.55000000000000004</v>
      </c>
      <c r="U49" s="30">
        <f>1 - CUSTOS!$M$32</f>
        <v>0.55000000000000004</v>
      </c>
      <c r="V49" s="30"/>
      <c r="W49" s="30"/>
      <c r="X49" s="30"/>
      <c r="Y49" s="30">
        <f>1 - CUSTOS!$M$32</f>
        <v>0.55000000000000004</v>
      </c>
      <c r="Z49" s="30"/>
      <c r="AA49" s="30"/>
    </row>
    <row r="50" spans="1:27" ht="11.25" customHeight="1" x14ac:dyDescent="0.25">
      <c r="A50" s="130"/>
      <c r="B50" s="130"/>
      <c r="C50" s="130"/>
      <c r="D50" s="32" t="s">
        <v>105</v>
      </c>
      <c r="E50" s="32" t="s">
        <v>25</v>
      </c>
      <c r="F50" s="32" t="s">
        <v>25</v>
      </c>
      <c r="G50" s="32" t="s">
        <v>94</v>
      </c>
      <c r="H50" s="32" t="s">
        <v>88</v>
      </c>
      <c r="I50" s="32">
        <f>'MERCADO TE'!$U$47</f>
        <v>0</v>
      </c>
      <c r="J50" s="17"/>
      <c r="L50" s="30">
        <f>1 - CUSTOS!$M$33</f>
        <v>0.6</v>
      </c>
      <c r="M50" s="30">
        <f>1 - CUSTOS!$M$33</f>
        <v>0.6</v>
      </c>
      <c r="N50" s="30">
        <f>1 - CUSTOS!$M$33</f>
        <v>0.6</v>
      </c>
      <c r="O50" s="30">
        <f>1 - CUSTOS!$M$33</f>
        <v>0.6</v>
      </c>
      <c r="P50" s="30"/>
      <c r="Q50" s="30">
        <f>(1 - CUSTOS!$M$33)*1.06</f>
        <v>0.63600000000000001</v>
      </c>
      <c r="R50" s="30"/>
      <c r="S50" s="30">
        <f>1 - CUSTOS!$M$33</f>
        <v>0.6</v>
      </c>
      <c r="T50" s="30">
        <f>1 - CUSTOS!$M$33</f>
        <v>0.6</v>
      </c>
      <c r="U50" s="30">
        <f>1 - CUSTOS!$M$33</f>
        <v>0.6</v>
      </c>
      <c r="V50" s="30"/>
      <c r="W50" s="30"/>
      <c r="X50" s="30"/>
      <c r="Y50" s="30">
        <f>1 - CUSTOS!$M$33</f>
        <v>0.6</v>
      </c>
      <c r="Z50" s="30"/>
      <c r="AA50" s="30"/>
    </row>
    <row r="52" spans="1:27" ht="11.25" customHeight="1" x14ac:dyDescent="0.25">
      <c r="K52" s="35" t="s">
        <v>1077</v>
      </c>
      <c r="L52" s="30">
        <f t="shared" ref="L52:AA52" si="0">SUMPRODUCT($I$5:$I$50,L$5:L$50)</f>
        <v>5153628.6280000005</v>
      </c>
      <c r="M52" s="30">
        <f t="shared" si="0"/>
        <v>5153628.6280000005</v>
      </c>
      <c r="N52" s="30">
        <f t="shared" si="0"/>
        <v>5153628.6280000005</v>
      </c>
      <c r="O52" s="30">
        <f t="shared" si="0"/>
        <v>5153628.6280000005</v>
      </c>
      <c r="P52" s="30">
        <f t="shared" si="0"/>
        <v>0</v>
      </c>
      <c r="Q52" s="30">
        <f t="shared" si="0"/>
        <v>5467238.4004600001</v>
      </c>
      <c r="R52" s="30">
        <f t="shared" si="0"/>
        <v>0</v>
      </c>
      <c r="S52" s="30">
        <f t="shared" si="0"/>
        <v>5153628.6280000005</v>
      </c>
      <c r="T52" s="30">
        <f t="shared" si="0"/>
        <v>5153628.6280000005</v>
      </c>
      <c r="U52" s="30">
        <f t="shared" si="0"/>
        <v>5153628.6280000005</v>
      </c>
      <c r="V52" s="30">
        <f t="shared" si="0"/>
        <v>0</v>
      </c>
      <c r="W52" s="30">
        <f t="shared" si="0"/>
        <v>0</v>
      </c>
      <c r="X52" s="30">
        <f t="shared" si="0"/>
        <v>0</v>
      </c>
      <c r="Y52" s="30">
        <f t="shared" si="0"/>
        <v>5153628.6280000005</v>
      </c>
      <c r="Z52" s="30">
        <f t="shared" si="0"/>
        <v>0</v>
      </c>
      <c r="AA52" s="30">
        <f t="shared" si="0"/>
        <v>0</v>
      </c>
    </row>
    <row r="53" spans="1:27" ht="11.25" customHeight="1" x14ac:dyDescent="0.25">
      <c r="K53" s="35" t="s">
        <v>998</v>
      </c>
      <c r="L53" s="30">
        <f>CUSTOS!$D$30</f>
        <v>12885056.963748746</v>
      </c>
      <c r="M53" s="30">
        <f>CUSTOS!$D$31</f>
        <v>62055958.389039129</v>
      </c>
      <c r="N53" s="30">
        <f>CUSTOS!$D$32</f>
        <v>0</v>
      </c>
      <c r="O53" s="30">
        <f>CUSTOS!$D$33</f>
        <v>9.9999999999999995E-7</v>
      </c>
      <c r="P53" s="30">
        <f>CUSTOS!$D$34</f>
        <v>74941015.35278888</v>
      </c>
      <c r="Q53" s="30">
        <f>CUSTOS!$D$35</f>
        <v>1205076078.106612</v>
      </c>
      <c r="R53" s="30">
        <f>CUSTOS!$D$36</f>
        <v>1205076078.106612</v>
      </c>
      <c r="S53" s="30">
        <f>CUSTOS!$D$37</f>
        <v>38962447.099574491</v>
      </c>
      <c r="T53" s="30">
        <f>CUSTOS!$D$38</f>
        <v>28663041.858749997</v>
      </c>
      <c r="U53" s="30">
        <f>CUSTOS!$D$39</f>
        <v>0</v>
      </c>
      <c r="V53" s="30">
        <f>CUSTOS!$D$40</f>
        <v>67625488.958324492</v>
      </c>
      <c r="W53" s="30">
        <f>CUSTOS!$D$41</f>
        <v>0</v>
      </c>
      <c r="X53" s="30">
        <f>CUSTOS!$D$42</f>
        <v>0</v>
      </c>
      <c r="Y53" s="30">
        <f>CUSTOS!$D$43</f>
        <v>29919231.991152462</v>
      </c>
      <c r="Z53" s="30">
        <f>CUSTOS!$D$44</f>
        <v>29919231.991152462</v>
      </c>
      <c r="AA53" s="30">
        <f>CUSTOS!$D$45</f>
        <v>1377561814.4088778</v>
      </c>
    </row>
    <row r="54" spans="1:27" ht="11.25" customHeight="1" x14ac:dyDescent="0.25">
      <c r="K54" s="35" t="s">
        <v>999</v>
      </c>
      <c r="L54" s="30">
        <f>CUSTOS!$E$30</f>
        <v>1733.6050900268199</v>
      </c>
      <c r="M54" s="30">
        <f>CUSTOS!$E$31</f>
        <v>76043107.666173726</v>
      </c>
      <c r="N54" s="30">
        <f>CUSTOS!$E$32</f>
        <v>0</v>
      </c>
      <c r="O54" s="30">
        <f>CUSTOS!$E$33</f>
        <v>-754995.89864914492</v>
      </c>
      <c r="P54" s="30">
        <f>CUSTOS!$E$34</f>
        <v>75289845.372614607</v>
      </c>
      <c r="Q54" s="30">
        <f>CUSTOS!$E$35</f>
        <v>-213945227.26810828</v>
      </c>
      <c r="R54" s="30">
        <f>CUSTOS!$E$36</f>
        <v>-213945227.26810828</v>
      </c>
      <c r="S54" s="30">
        <f>CUSTOS!$E$37</f>
        <v>-2409439.5850232132</v>
      </c>
      <c r="T54" s="30">
        <f>CUSTOS!$E$38</f>
        <v>2157542.0832314007</v>
      </c>
      <c r="U54" s="30">
        <f>CUSTOS!$E$39</f>
        <v>0</v>
      </c>
      <c r="V54" s="30">
        <f>CUSTOS!$E$40</f>
        <v>-251897.50179181248</v>
      </c>
      <c r="W54" s="30">
        <f>CUSTOS!$E$41</f>
        <v>0</v>
      </c>
      <c r="X54" s="30">
        <f>CUSTOS!$E$42</f>
        <v>0</v>
      </c>
      <c r="Y54" s="30">
        <f>CUSTOS!$E$43</f>
        <v>-5311761.6425442575</v>
      </c>
      <c r="Z54" s="30">
        <f>CUSTOS!$E$44</f>
        <v>-5311761.6425442575</v>
      </c>
      <c r="AA54" s="30">
        <f>CUSTOS!$E$45</f>
        <v>-144219041.03982976</v>
      </c>
    </row>
    <row r="55" spans="1:27" ht="11.25" customHeight="1" x14ac:dyDescent="0.25">
      <c r="K55" s="35" t="s">
        <v>1000</v>
      </c>
      <c r="L55" s="30">
        <f>CUSTOS!$F$30</f>
        <v>0</v>
      </c>
      <c r="M55" s="30">
        <f>CUSTOS!$F$31</f>
        <v>-66636027.845815107</v>
      </c>
      <c r="N55" s="30">
        <f>CUSTOS!$F$32</f>
        <v>0</v>
      </c>
      <c r="O55" s="30">
        <f>CUSTOS!$F$33</f>
        <v>-30115181.7788</v>
      </c>
      <c r="P55" s="30">
        <f>CUSTOS!$F$34</f>
        <v>-96751209.624615103</v>
      </c>
      <c r="Q55" s="30">
        <f>CUSTOS!$F$35</f>
        <v>108828866.61412276</v>
      </c>
      <c r="R55" s="30">
        <f>CUSTOS!$F$36</f>
        <v>108828866.61412276</v>
      </c>
      <c r="S55" s="30">
        <f>CUSTOS!$F$37</f>
        <v>3273819.5200053854</v>
      </c>
      <c r="T55" s="30">
        <f>CUSTOS!$F$38</f>
        <v>1333068.4447131678</v>
      </c>
      <c r="U55" s="30">
        <f>CUSTOS!$F$39</f>
        <v>0</v>
      </c>
      <c r="V55" s="30">
        <f>CUSTOS!$F$40</f>
        <v>4606887.9647185532</v>
      </c>
      <c r="W55" s="30">
        <f>CUSTOS!$F$41</f>
        <v>0</v>
      </c>
      <c r="X55" s="30">
        <f>CUSTOS!$F$42</f>
        <v>0</v>
      </c>
      <c r="Y55" s="30">
        <f>CUSTOS!$F$43</f>
        <v>2701967.2589285802</v>
      </c>
      <c r="Z55" s="30">
        <f>CUSTOS!$F$44</f>
        <v>2701967.2589285802</v>
      </c>
      <c r="AA55" s="30">
        <f>CUSTOS!$F$45</f>
        <v>19386512.213154793</v>
      </c>
    </row>
    <row r="56" spans="1:27" ht="11.25" customHeight="1" x14ac:dyDescent="0.25">
      <c r="K56" s="35" t="s">
        <v>1078</v>
      </c>
      <c r="L56" s="30">
        <f>IF(SUMPRODUCT($I$5:$I$50,$L$5:$L$50)&lt;&gt;0,L53/SUMPRODUCT($I$5:$I$50,$L$5:$L$50),0)</f>
        <v>2.5001912038720429</v>
      </c>
      <c r="M56" s="30">
        <f>IF(SUMPRODUCT($I$5:$I$50,$M$5:$M$50)&lt;&gt;0,M53/SUMPRODUCT($I$5:$I$50,$M$5:$M$50),0)</f>
        <v>12.041216561838597</v>
      </c>
      <c r="N56" s="30">
        <f>IF(SUMPRODUCT($I$5:$I$50,$N$5:$N$50)&lt;&gt;0,N53/SUMPRODUCT($I$5:$I$50,$N$5:$N$50),0)</f>
        <v>0</v>
      </c>
      <c r="O56" s="30">
        <f>IF(SUM($I$5:$I$50)&lt;&gt;0,(O53-CUSTOS!$P$8)/SUM($I$5:$I$50),0)</f>
        <v>0</v>
      </c>
      <c r="P56" s="30"/>
      <c r="Q56" s="30">
        <f>IF((CUSTOS!$M$12-CUSTOS!$M$13)&lt;&gt;0,(CUSTOS!$M$12*CUSTOS!$M$14)/(CUSTOS!$M$12-CUSTOS!$M$13),0)</f>
        <v>230.56726926234273</v>
      </c>
      <c r="R56" s="30"/>
      <c r="S56" s="30">
        <f>IF(SUMPRODUCT($I$5:$I$50,$S$5:$S$50)&lt;&gt;0,S53/SUMPRODUCT($I$5:$I$50,$S$5:$S$50),0)</f>
        <v>7.5601968849460697</v>
      </c>
      <c r="T56" s="30">
        <f>IF(SUMPRODUCT($I$5:$I$50,$T$5:$T$50)&lt;&gt;0,T53/SUMPRODUCT($I$5:$I$50,$T$5:$T$50),0)</f>
        <v>5.5617204745840283</v>
      </c>
      <c r="U56" s="30">
        <f>IF(SUMPRODUCT($I$5:$I$50,$U$5:$U$50)&lt;&gt;0,U53/SUMPRODUCT($I$5:$I$50,$U$5:$U$50),0)</f>
        <v>0</v>
      </c>
      <c r="V56" s="30"/>
      <c r="W56" s="30">
        <f>IF(SUMPRODUCT($I$5:$I$50,$W$5:$W$50)&lt;&gt;0,W53/SUMPRODUCT($I$5:$I$50,$W$5:$W$50),0)</f>
        <v>0</v>
      </c>
      <c r="X56" s="30"/>
      <c r="Y56" s="30">
        <f>IF(SUMPRODUCT($I$5:$I$50,$Y$5:$Y$50)&lt;&gt;0,Y53/SUMPRODUCT($I$5:$I$50,$Y$5:$Y$50),0)</f>
        <v>5.8054691462631443</v>
      </c>
      <c r="Z56" s="30"/>
      <c r="AA56" s="30"/>
    </row>
    <row r="57" spans="1:27" ht="11.25" customHeight="1" x14ac:dyDescent="0.25">
      <c r="K57" s="35" t="s">
        <v>1079</v>
      </c>
      <c r="L57" s="30">
        <f>IF(L52&lt;&gt;0,(L53-L56*0)/(L52-0),0)</f>
        <v>2.5001912038720429</v>
      </c>
      <c r="M57" s="30">
        <f>IF(M52&lt;&gt;0,(M53-M56*0)/(M52-0),0)</f>
        <v>12.041216561838597</v>
      </c>
      <c r="N57" s="30">
        <f>IF(N52&lt;&gt;0,(N53-N56*0)/(N52-0),0)</f>
        <v>0</v>
      </c>
      <c r="O57" s="30">
        <f>IF(O52&lt;&gt;0,(O53-CUSTOS!$P$8-O56*0)/(O52-0),0)</f>
        <v>0</v>
      </c>
      <c r="P57" s="30"/>
      <c r="Q57" s="30">
        <f>IF(Q52&lt;&gt;0,(Q53-Q56*0)/(Q52-0),0)</f>
        <v>220.41769351144808</v>
      </c>
      <c r="R57" s="30"/>
      <c r="S57" s="30">
        <f>IF(S52&lt;&gt;0,(S53-S56*0)/(S52-0),0)</f>
        <v>7.5601968849460697</v>
      </c>
      <c r="T57" s="30">
        <f>IF(T52&lt;&gt;0,(T53-T56*0)/(T52-0),0)</f>
        <v>5.5617204745840283</v>
      </c>
      <c r="U57" s="30">
        <f>IF(U52&lt;&gt;0,(U53-U56*0)/(U52-0),0)</f>
        <v>0</v>
      </c>
      <c r="V57" s="30"/>
      <c r="W57" s="30">
        <f>IF(W52&lt;&gt;0,(W53-W56*0)/(W52-0),0)</f>
        <v>0</v>
      </c>
      <c r="X57" s="30"/>
      <c r="Y57" s="30">
        <f>IF(Y52&lt;&gt;0,(Y53-Y56*0)/(Y52-0),0)</f>
        <v>5.8054691462631443</v>
      </c>
      <c r="Z57" s="30"/>
      <c r="AA57" s="30"/>
    </row>
    <row r="58" spans="1:27" ht="11.25" customHeight="1" x14ac:dyDescent="0.25">
      <c r="K58" s="35" t="s">
        <v>1080</v>
      </c>
      <c r="L58" s="30"/>
      <c r="M58" s="30"/>
      <c r="N58" s="30"/>
      <c r="O58" s="30">
        <f>IF(SUM($I$5:$I$50)&lt;&gt;0,(CUSTOS!$P$8)/(O52-0),0)</f>
        <v>1.9403804041426941E-13</v>
      </c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</row>
  </sheetData>
  <mergeCells count="79">
    <mergeCell ref="F7:F8"/>
    <mergeCell ref="A5:A6"/>
    <mergeCell ref="B5:B6"/>
    <mergeCell ref="C5:C6"/>
    <mergeCell ref="D5:D6"/>
    <mergeCell ref="E5:E6"/>
    <mergeCell ref="F5:F6"/>
    <mergeCell ref="A7:A9"/>
    <mergeCell ref="B7:B8"/>
    <mergeCell ref="C7:C8"/>
    <mergeCell ref="D7:D8"/>
    <mergeCell ref="E7:E8"/>
    <mergeCell ref="F13:F14"/>
    <mergeCell ref="A10:A12"/>
    <mergeCell ref="B10:B11"/>
    <mergeCell ref="C10:C11"/>
    <mergeCell ref="D10:D11"/>
    <mergeCell ref="E10:E11"/>
    <mergeCell ref="F10:F11"/>
    <mergeCell ref="A13:A15"/>
    <mergeCell ref="B13:B14"/>
    <mergeCell ref="C13:C14"/>
    <mergeCell ref="D13:D14"/>
    <mergeCell ref="E13:E14"/>
    <mergeCell ref="F16:F18"/>
    <mergeCell ref="B19:B23"/>
    <mergeCell ref="C19:C23"/>
    <mergeCell ref="B24:B28"/>
    <mergeCell ref="C24:C28"/>
    <mergeCell ref="A16:A28"/>
    <mergeCell ref="B16:B18"/>
    <mergeCell ref="C16:C18"/>
    <mergeCell ref="D16:D18"/>
    <mergeCell ref="E16:E18"/>
    <mergeCell ref="E37:E39"/>
    <mergeCell ref="F37:F39"/>
    <mergeCell ref="A29:A43"/>
    <mergeCell ref="B29:B31"/>
    <mergeCell ref="C29:C31"/>
    <mergeCell ref="D29:D31"/>
    <mergeCell ref="E29:E31"/>
    <mergeCell ref="F29:F31"/>
    <mergeCell ref="B33:B35"/>
    <mergeCell ref="C33:C35"/>
    <mergeCell ref="D33:D35"/>
    <mergeCell ref="E33:E35"/>
    <mergeCell ref="F1:F4"/>
    <mergeCell ref="E44:E46"/>
    <mergeCell ref="F44:F46"/>
    <mergeCell ref="A49:A50"/>
    <mergeCell ref="B49:B50"/>
    <mergeCell ref="C49:C50"/>
    <mergeCell ref="B41:B43"/>
    <mergeCell ref="C41:C43"/>
    <mergeCell ref="A44:A48"/>
    <mergeCell ref="B44:B46"/>
    <mergeCell ref="C44:C46"/>
    <mergeCell ref="D44:D46"/>
    <mergeCell ref="F33:F35"/>
    <mergeCell ref="B37:B39"/>
    <mergeCell ref="C37:C39"/>
    <mergeCell ref="D37:D39"/>
    <mergeCell ref="A1:A4"/>
    <mergeCell ref="B1:B4"/>
    <mergeCell ref="C1:C4"/>
    <mergeCell ref="D1:D4"/>
    <mergeCell ref="E1:E4"/>
    <mergeCell ref="Y3:Z3"/>
    <mergeCell ref="AA3:AA4"/>
    <mergeCell ref="G1:G4"/>
    <mergeCell ref="H1:H4"/>
    <mergeCell ref="I1:I4"/>
    <mergeCell ref="J1:J4"/>
    <mergeCell ref="L1:AA1"/>
    <mergeCell ref="L2:AA2"/>
    <mergeCell ref="L3:P3"/>
    <mergeCell ref="Q3:R3"/>
    <mergeCell ref="S3:V3"/>
    <mergeCell ref="W3:X3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CF410-CF4A-47D5-98A3-02455628031C}">
  <dimension ref="A1:AA58"/>
  <sheetViews>
    <sheetView showGridLines="0" topLeftCell="Q34" workbookViewId="0">
      <selection activeCell="AA52" sqref="AA52"/>
    </sheetView>
  </sheetViews>
  <sheetFormatPr defaultColWidth="8.85546875" defaultRowHeight="11.25" customHeight="1" x14ac:dyDescent="0.25"/>
  <cols>
    <col min="1" max="1" width="9" style="9" bestFit="1" customWidth="1"/>
    <col min="2" max="2" width="24.7109375" style="9" bestFit="1" customWidth="1"/>
    <col min="3" max="3" width="12.7109375" style="9" bestFit="1" customWidth="1"/>
    <col min="4" max="4" width="23.140625" style="9" bestFit="1" customWidth="1"/>
    <col min="5" max="6" width="9.5703125" style="9" bestFit="1" customWidth="1"/>
    <col min="7" max="7" width="5.85546875" style="9" bestFit="1" customWidth="1"/>
    <col min="8" max="8" width="7.140625" style="9" bestFit="1" customWidth="1"/>
    <col min="9" max="9" width="9.140625" style="9" bestFit="1" customWidth="1"/>
    <col min="10" max="10" width="8.85546875" style="9"/>
    <col min="11" max="11" width="19.85546875" style="9" bestFit="1" customWidth="1"/>
    <col min="12" max="12" width="9.85546875" style="9" bestFit="1" customWidth="1"/>
    <col min="13" max="13" width="10.28515625" style="9" bestFit="1" customWidth="1"/>
    <col min="14" max="14" width="9.140625" style="9" bestFit="1" customWidth="1"/>
    <col min="15" max="15" width="14" style="9" bestFit="1" customWidth="1"/>
    <col min="16" max="16" width="10.28515625" style="9" bestFit="1" customWidth="1"/>
    <col min="17" max="17" width="14.42578125" style="9" bestFit="1" customWidth="1"/>
    <col min="18" max="18" width="11.85546875" style="9" bestFit="1" customWidth="1"/>
    <col min="19" max="20" width="9.85546875" style="9" bestFit="1" customWidth="1"/>
    <col min="21" max="21" width="9.140625" style="9" bestFit="1" customWidth="1"/>
    <col min="22" max="22" width="9.85546875" style="9" bestFit="1" customWidth="1"/>
    <col min="23" max="23" width="7.7109375" style="9" bestFit="1" customWidth="1"/>
    <col min="24" max="24" width="8.5703125" style="9" bestFit="1" customWidth="1"/>
    <col min="25" max="25" width="10.5703125" style="9" bestFit="1" customWidth="1"/>
    <col min="26" max="26" width="9.85546875" style="9" bestFit="1" customWidth="1"/>
    <col min="27" max="27" width="11.85546875" style="9" bestFit="1" customWidth="1"/>
    <col min="28" max="16384" width="8.85546875" style="9"/>
  </cols>
  <sheetData>
    <row r="1" spans="1:27" ht="11.25" customHeight="1" x14ac:dyDescent="0.25">
      <c r="A1" s="129" t="s">
        <v>78</v>
      </c>
      <c r="B1" s="129" t="s">
        <v>79</v>
      </c>
      <c r="C1" s="129" t="s">
        <v>80</v>
      </c>
      <c r="D1" s="129" t="s">
        <v>81</v>
      </c>
      <c r="E1" s="129" t="s">
        <v>82</v>
      </c>
      <c r="F1" s="129" t="s">
        <v>15</v>
      </c>
      <c r="G1" s="129" t="s">
        <v>84</v>
      </c>
      <c r="H1" s="129" t="s">
        <v>85</v>
      </c>
      <c r="I1" s="129" t="s">
        <v>1055</v>
      </c>
      <c r="J1" s="112"/>
      <c r="L1" s="127" t="s">
        <v>1081</v>
      </c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</row>
    <row r="2" spans="1:27" ht="11.25" customHeight="1" x14ac:dyDescent="0.25">
      <c r="A2" s="129"/>
      <c r="B2" s="129"/>
      <c r="C2" s="129"/>
      <c r="D2" s="129"/>
      <c r="E2" s="129"/>
      <c r="F2" s="129"/>
      <c r="G2" s="129"/>
      <c r="H2" s="129"/>
      <c r="I2" s="129"/>
      <c r="J2" s="112"/>
      <c r="L2" s="127" t="s">
        <v>984</v>
      </c>
      <c r="M2" s="127"/>
      <c r="N2" s="127"/>
      <c r="O2" s="127"/>
      <c r="P2" s="127"/>
      <c r="Q2" s="127"/>
      <c r="R2" s="127"/>
      <c r="S2" s="127"/>
      <c r="T2" s="127"/>
      <c r="U2" s="127"/>
      <c r="V2" s="127"/>
      <c r="W2" s="127"/>
      <c r="X2" s="127"/>
      <c r="Y2" s="127"/>
      <c r="Z2" s="127"/>
      <c r="AA2" s="127"/>
    </row>
    <row r="3" spans="1:27" ht="11.25" customHeight="1" x14ac:dyDescent="0.25">
      <c r="A3" s="129"/>
      <c r="B3" s="129"/>
      <c r="C3" s="129"/>
      <c r="D3" s="129"/>
      <c r="E3" s="129"/>
      <c r="F3" s="129"/>
      <c r="G3" s="129"/>
      <c r="H3" s="129"/>
      <c r="I3" s="129"/>
      <c r="J3" s="112"/>
      <c r="L3" s="127" t="s">
        <v>956</v>
      </c>
      <c r="M3" s="127"/>
      <c r="N3" s="127"/>
      <c r="O3" s="127"/>
      <c r="P3" s="127"/>
      <c r="Q3" s="127" t="s">
        <v>988</v>
      </c>
      <c r="R3" s="127"/>
      <c r="S3" s="127" t="s">
        <v>966</v>
      </c>
      <c r="T3" s="127"/>
      <c r="U3" s="127"/>
      <c r="V3" s="127"/>
      <c r="W3" s="127" t="s">
        <v>976</v>
      </c>
      <c r="X3" s="127"/>
      <c r="Y3" s="127" t="s">
        <v>979</v>
      </c>
      <c r="Z3" s="127"/>
      <c r="AA3" s="127" t="s">
        <v>965</v>
      </c>
    </row>
    <row r="4" spans="1:27" ht="11.25" customHeight="1" x14ac:dyDescent="0.25">
      <c r="A4" s="129"/>
      <c r="B4" s="129"/>
      <c r="C4" s="129"/>
      <c r="D4" s="129"/>
      <c r="E4" s="129"/>
      <c r="F4" s="129"/>
      <c r="G4" s="129"/>
      <c r="H4" s="129"/>
      <c r="I4" s="129"/>
      <c r="J4" s="112"/>
      <c r="L4" s="34" t="s">
        <v>959</v>
      </c>
      <c r="M4" s="34" t="s">
        <v>985</v>
      </c>
      <c r="N4" s="34" t="s">
        <v>986</v>
      </c>
      <c r="O4" s="34" t="s">
        <v>987</v>
      </c>
      <c r="P4" s="34" t="s">
        <v>965</v>
      </c>
      <c r="Q4" s="34" t="s">
        <v>989</v>
      </c>
      <c r="R4" s="34" t="s">
        <v>965</v>
      </c>
      <c r="S4" s="34" t="s">
        <v>990</v>
      </c>
      <c r="T4" s="34" t="s">
        <v>991</v>
      </c>
      <c r="U4" s="34" t="s">
        <v>992</v>
      </c>
      <c r="V4" s="34" t="s">
        <v>965</v>
      </c>
      <c r="W4" s="34" t="s">
        <v>977</v>
      </c>
      <c r="X4" s="34" t="s">
        <v>965</v>
      </c>
      <c r="Y4" s="34" t="s">
        <v>993</v>
      </c>
      <c r="Z4" s="34" t="s">
        <v>965</v>
      </c>
      <c r="AA4" s="128"/>
    </row>
    <row r="5" spans="1:27" ht="11.25" customHeight="1" x14ac:dyDescent="0.25">
      <c r="A5" s="130" t="s">
        <v>43</v>
      </c>
      <c r="B5" s="130" t="s">
        <v>87</v>
      </c>
      <c r="C5" s="130" t="s">
        <v>25</v>
      </c>
      <c r="D5" s="130" t="s">
        <v>25</v>
      </c>
      <c r="E5" s="130" t="s">
        <v>25</v>
      </c>
      <c r="F5" s="130" t="s">
        <v>25</v>
      </c>
      <c r="G5" s="32" t="s">
        <v>89</v>
      </c>
      <c r="H5" s="32" t="s">
        <v>88</v>
      </c>
      <c r="I5" s="32">
        <f>'MERCADO TE'!$U$2</f>
        <v>6175.6710000000003</v>
      </c>
      <c r="J5" s="17"/>
      <c r="L5" s="30">
        <f>'TR TE'!$L$5*'TR TE'!$L$57</f>
        <v>2.5001912038720429</v>
      </c>
      <c r="M5" s="30">
        <f>'TR TE'!$M$5*'TR TE'!$M$57</f>
        <v>12.041216561838597</v>
      </c>
      <c r="N5" s="30">
        <f>'TR TE'!$N$5*'TR TE'!$N$57</f>
        <v>0</v>
      </c>
      <c r="O5" s="30">
        <f>'TR TE'!$O$5*('TR TE'!$O$57+'TR TE'!$O$58)</f>
        <v>1.9403804041426941E-13</v>
      </c>
      <c r="P5" s="30">
        <f>SUM($L$5:$O$5)</f>
        <v>14.541407765710835</v>
      </c>
      <c r="Q5" s="30">
        <f>'TR TE'!$Q$5*'TR TE'!$Q$57</f>
        <v>379.11843283969068</v>
      </c>
      <c r="R5" s="30">
        <f>SUM($Q$5:$Q$5)</f>
        <v>379.11843283969068</v>
      </c>
      <c r="S5" s="30">
        <f>'TR TE'!$S$5*'TR TE'!$S$57</f>
        <v>7.5601968849460697</v>
      </c>
      <c r="T5" s="30">
        <f>'TR TE'!$T$5*'TR TE'!$T$57</f>
        <v>5.5617204745840283</v>
      </c>
      <c r="U5" s="30">
        <f>'TR TE'!$U$5*'TR TE'!$U$57</f>
        <v>0</v>
      </c>
      <c r="V5" s="30">
        <f>SUM($S$5:$U$5)</f>
        <v>13.121917359530098</v>
      </c>
      <c r="W5" s="30"/>
      <c r="X5" s="30">
        <f>SUM($W$5:$W$5)</f>
        <v>0</v>
      </c>
      <c r="Y5" s="30">
        <f>'TR TE'!$Y$5*'TR TE'!$Y$57</f>
        <v>5.8054691462631443</v>
      </c>
      <c r="Z5" s="30">
        <f>SUM($Y$5:$Y$5)</f>
        <v>5.8054691462631443</v>
      </c>
      <c r="AA5" s="30">
        <f>SUMIF($L$4:$Z$4,"SUBTOTAL",$L$5:$Z$5)</f>
        <v>412.58722711119475</v>
      </c>
    </row>
    <row r="6" spans="1:27" ht="11.25" customHeight="1" x14ac:dyDescent="0.25">
      <c r="A6" s="130"/>
      <c r="B6" s="130"/>
      <c r="C6" s="130"/>
      <c r="D6" s="130"/>
      <c r="E6" s="130"/>
      <c r="F6" s="130"/>
      <c r="G6" s="32" t="s">
        <v>90</v>
      </c>
      <c r="H6" s="32" t="s">
        <v>88</v>
      </c>
      <c r="I6" s="32">
        <f>'MERCADO TE'!$U$3</f>
        <v>102148.342</v>
      </c>
      <c r="J6" s="17"/>
      <c r="L6" s="30">
        <f>'TR TE'!$L$6*'TR TE'!$L$57</f>
        <v>2.5001912038720429</v>
      </c>
      <c r="M6" s="30">
        <f>'TR TE'!$M$6*'TR TE'!$M$57</f>
        <v>12.041216561838597</v>
      </c>
      <c r="N6" s="30">
        <f>'TR TE'!$N$6*'TR TE'!$N$57</f>
        <v>0</v>
      </c>
      <c r="O6" s="30">
        <f>'TR TE'!$O$6*('TR TE'!$O$57+'TR TE'!$O$58)</f>
        <v>1.9403804041426941E-13</v>
      </c>
      <c r="P6" s="30">
        <f>SUM($L$6:$O$6)</f>
        <v>14.541407765710835</v>
      </c>
      <c r="Q6" s="30">
        <f>'TR TE'!$Q$6*'TR TE'!$Q$57</f>
        <v>220.41769351144808</v>
      </c>
      <c r="R6" s="30">
        <f>SUM($Q$6:$Q$6)</f>
        <v>220.41769351144808</v>
      </c>
      <c r="S6" s="30">
        <f>'TR TE'!$S$6*'TR TE'!$S$57</f>
        <v>7.5601968849460697</v>
      </c>
      <c r="T6" s="30">
        <f>'TR TE'!$T$6*'TR TE'!$T$57</f>
        <v>5.5617204745840283</v>
      </c>
      <c r="U6" s="30">
        <f>'TR TE'!$U$6*'TR TE'!$U$57</f>
        <v>0</v>
      </c>
      <c r="V6" s="30">
        <f>SUM($S$6:$U$6)</f>
        <v>13.121917359530098</v>
      </c>
      <c r="W6" s="30"/>
      <c r="X6" s="30">
        <f>SUM($W$6:$W$6)</f>
        <v>0</v>
      </c>
      <c r="Y6" s="30">
        <f>'TR TE'!$Y$6*'TR TE'!$Y$57</f>
        <v>5.8054691462631443</v>
      </c>
      <c r="Z6" s="30">
        <f>SUM($Y$6:$Y$6)</f>
        <v>5.8054691462631443</v>
      </c>
      <c r="AA6" s="30">
        <f>SUMIF($L$4:$Z$4,"SUBTOTAL",$L$6:$Z$6)</f>
        <v>253.88648778295214</v>
      </c>
    </row>
    <row r="7" spans="1:27" ht="11.25" customHeight="1" x14ac:dyDescent="0.25">
      <c r="A7" s="130" t="s">
        <v>45</v>
      </c>
      <c r="B7" s="130" t="s">
        <v>87</v>
      </c>
      <c r="C7" s="130" t="s">
        <v>25</v>
      </c>
      <c r="D7" s="130" t="s">
        <v>25</v>
      </c>
      <c r="E7" s="130" t="s">
        <v>25</v>
      </c>
      <c r="F7" s="130" t="s">
        <v>25</v>
      </c>
      <c r="G7" s="32" t="s">
        <v>89</v>
      </c>
      <c r="H7" s="32" t="s">
        <v>88</v>
      </c>
      <c r="I7" s="32">
        <f>'MERCADO TE'!$U$4</f>
        <v>3341.4459999999999</v>
      </c>
      <c r="J7" s="17"/>
      <c r="L7" s="30">
        <f>'TR TE'!$L$7*'TR TE'!$L$57</f>
        <v>2.5001912038720429</v>
      </c>
      <c r="M7" s="30">
        <f>'TR TE'!$M$7*'TR TE'!$M$57</f>
        <v>12.041216561838597</v>
      </c>
      <c r="N7" s="30">
        <f>'TR TE'!$N$7*'TR TE'!$N$57</f>
        <v>0</v>
      </c>
      <c r="O7" s="30">
        <f>'TR TE'!$O$7*('TR TE'!$O$57+'TR TE'!$O$58)</f>
        <v>1.9403804041426941E-13</v>
      </c>
      <c r="P7" s="30">
        <f>SUM($L$7:$O$7)</f>
        <v>14.541407765710835</v>
      </c>
      <c r="Q7" s="30">
        <f>'TR TE'!$Q$7*'TR TE'!$Q$57</f>
        <v>379.11843283969068</v>
      </c>
      <c r="R7" s="30">
        <f>SUM($Q$7:$Q$7)</f>
        <v>379.11843283969068</v>
      </c>
      <c r="S7" s="30">
        <f>'TR TE'!$S$7*'TR TE'!$S$57</f>
        <v>7.5601968849460697</v>
      </c>
      <c r="T7" s="30">
        <f>'TR TE'!$T$7*'TR TE'!$T$57</f>
        <v>5.5617204745840283</v>
      </c>
      <c r="U7" s="30">
        <f>'TR TE'!$U$7*'TR TE'!$U$57</f>
        <v>0</v>
      </c>
      <c r="V7" s="30">
        <f>SUM($S$7:$U$7)</f>
        <v>13.121917359530098</v>
      </c>
      <c r="W7" s="30"/>
      <c r="X7" s="30">
        <f>SUM($W$7:$W$7)</f>
        <v>0</v>
      </c>
      <c r="Y7" s="30">
        <f>'TR TE'!$Y$7*'TR TE'!$Y$57</f>
        <v>5.8054691462631443</v>
      </c>
      <c r="Z7" s="30">
        <f>SUM($Y$7:$Y$7)</f>
        <v>5.8054691462631443</v>
      </c>
      <c r="AA7" s="30">
        <f>SUMIF($L$4:$Z$4,"SUBTOTAL",$L$7:$Z$7)</f>
        <v>412.58722711119475</v>
      </c>
    </row>
    <row r="8" spans="1:27" ht="11.25" customHeight="1" x14ac:dyDescent="0.25">
      <c r="A8" s="130"/>
      <c r="B8" s="130"/>
      <c r="C8" s="130"/>
      <c r="D8" s="130"/>
      <c r="E8" s="130"/>
      <c r="F8" s="130"/>
      <c r="G8" s="32" t="s">
        <v>90</v>
      </c>
      <c r="H8" s="32" t="s">
        <v>88</v>
      </c>
      <c r="I8" s="32">
        <f>'MERCADO TE'!$U$5</f>
        <v>33041.942000000003</v>
      </c>
      <c r="J8" s="17"/>
      <c r="L8" s="30">
        <f>'TR TE'!$L$8*'TR TE'!$L$57</f>
        <v>2.5001912038720429</v>
      </c>
      <c r="M8" s="30">
        <f>'TR TE'!$M$8*'TR TE'!$M$57</f>
        <v>12.041216561838597</v>
      </c>
      <c r="N8" s="30">
        <f>'TR TE'!$N$8*'TR TE'!$N$57</f>
        <v>0</v>
      </c>
      <c r="O8" s="30">
        <f>'TR TE'!$O$8*('TR TE'!$O$57+'TR TE'!$O$58)</f>
        <v>1.9403804041426941E-13</v>
      </c>
      <c r="P8" s="30">
        <f>SUM($L$8:$O$8)</f>
        <v>14.541407765710835</v>
      </c>
      <c r="Q8" s="30">
        <f>'TR TE'!$Q$8*'TR TE'!$Q$57</f>
        <v>220.41769351144808</v>
      </c>
      <c r="R8" s="30">
        <f>SUM($Q$8:$Q$8)</f>
        <v>220.41769351144808</v>
      </c>
      <c r="S8" s="30">
        <f>'TR TE'!$S$8*'TR TE'!$S$57</f>
        <v>7.5601968849460697</v>
      </c>
      <c r="T8" s="30">
        <f>'TR TE'!$T$8*'TR TE'!$T$57</f>
        <v>5.5617204745840283</v>
      </c>
      <c r="U8" s="30">
        <f>'TR TE'!$U$8*'TR TE'!$U$57</f>
        <v>0</v>
      </c>
      <c r="V8" s="30">
        <f>SUM($S$8:$U$8)</f>
        <v>13.121917359530098</v>
      </c>
      <c r="W8" s="30"/>
      <c r="X8" s="30">
        <f>SUM($W$8:$W$8)</f>
        <v>0</v>
      </c>
      <c r="Y8" s="30">
        <f>'TR TE'!$Y$8*'TR TE'!$Y$57</f>
        <v>5.8054691462631443</v>
      </c>
      <c r="Z8" s="30">
        <f>SUM($Y$8:$Y$8)</f>
        <v>5.8054691462631443</v>
      </c>
      <c r="AA8" s="30">
        <f>SUMIF($L$4:$Z$4,"SUBTOTAL",$L$8:$Z$8)</f>
        <v>253.88648778295214</v>
      </c>
    </row>
    <row r="9" spans="1:27" ht="11.25" customHeight="1" x14ac:dyDescent="0.25">
      <c r="A9" s="130"/>
      <c r="B9" s="33" t="s">
        <v>96</v>
      </c>
      <c r="C9" s="33" t="s">
        <v>25</v>
      </c>
      <c r="D9" s="33" t="s">
        <v>25</v>
      </c>
      <c r="E9" s="33" t="s">
        <v>25</v>
      </c>
      <c r="F9" s="33" t="s">
        <v>25</v>
      </c>
      <c r="G9" s="32" t="s">
        <v>94</v>
      </c>
      <c r="H9" s="32" t="s">
        <v>88</v>
      </c>
      <c r="I9" s="32">
        <f>'MERCADO TE'!$U$6</f>
        <v>0</v>
      </c>
      <c r="J9" s="17"/>
      <c r="L9" s="30">
        <f>'TR TE'!$L$9*'TR TE'!$L$57</f>
        <v>2.5001912038720429</v>
      </c>
      <c r="M9" s="30">
        <f>'TR TE'!$M$9*'TR TE'!$M$57</f>
        <v>12.041216561838597</v>
      </c>
      <c r="N9" s="30">
        <f>'TR TE'!$N$9*'TR TE'!$N$57</f>
        <v>0</v>
      </c>
      <c r="O9" s="30">
        <f>'TR TE'!$O$9*('TR TE'!$O$57+'TR TE'!$O$58)</f>
        <v>1.9403804041426941E-13</v>
      </c>
      <c r="P9" s="30">
        <f>SUM($L$9:$O$9)</f>
        <v>14.541407765710835</v>
      </c>
      <c r="Q9" s="30">
        <f>'TR TE'!$Q$9*'TR TE'!$Q$57</f>
        <v>233.64275512213499</v>
      </c>
      <c r="R9" s="30">
        <f>SUM($Q$9:$Q$9)</f>
        <v>233.64275512213499</v>
      </c>
      <c r="S9" s="30">
        <f>'TR TE'!$S$9*'TR TE'!$S$57</f>
        <v>7.5601968849460697</v>
      </c>
      <c r="T9" s="30">
        <f>'TR TE'!$T$9*'TR TE'!$T$57</f>
        <v>5.5617204745840283</v>
      </c>
      <c r="U9" s="30">
        <f>'TR TE'!$U$9*'TR TE'!$U$57</f>
        <v>0</v>
      </c>
      <c r="V9" s="30">
        <f>SUM($S$9:$U$9)</f>
        <v>13.121917359530098</v>
      </c>
      <c r="W9" s="30"/>
      <c r="X9" s="30">
        <f>SUM($W$9:$W$9)</f>
        <v>0</v>
      </c>
      <c r="Y9" s="30">
        <f>'TR TE'!$Y$9*'TR TE'!$Y$57</f>
        <v>5.8054691462631443</v>
      </c>
      <c r="Z9" s="30">
        <f>SUM($Y$9:$Y$9)</f>
        <v>5.8054691462631443</v>
      </c>
      <c r="AA9" s="30">
        <f>SUMIF($L$4:$Z$4,"SUBTOTAL",$L$9:$Z$9)</f>
        <v>267.11154939363905</v>
      </c>
    </row>
    <row r="10" spans="1:27" ht="11.25" customHeight="1" x14ac:dyDescent="0.25">
      <c r="A10" s="130" t="s">
        <v>33</v>
      </c>
      <c r="B10" s="130" t="s">
        <v>87</v>
      </c>
      <c r="C10" s="130" t="s">
        <v>25</v>
      </c>
      <c r="D10" s="130" t="s">
        <v>25</v>
      </c>
      <c r="E10" s="130" t="s">
        <v>25</v>
      </c>
      <c r="F10" s="130" t="s">
        <v>25</v>
      </c>
      <c r="G10" s="32" t="s">
        <v>89</v>
      </c>
      <c r="H10" s="32" t="s">
        <v>88</v>
      </c>
      <c r="I10" s="32">
        <f>'MERCADO TE'!$U$7</f>
        <v>84316.775000000023</v>
      </c>
      <c r="J10" s="17"/>
      <c r="L10" s="30">
        <f>'TR TE'!$L$10*'TR TE'!$L$57</f>
        <v>2.5001912038720429</v>
      </c>
      <c r="M10" s="30">
        <f>'TR TE'!$M$10*'TR TE'!$M$57</f>
        <v>12.041216561838597</v>
      </c>
      <c r="N10" s="30">
        <f>'TR TE'!$N$10*'TR TE'!$N$57</f>
        <v>0</v>
      </c>
      <c r="O10" s="30">
        <f>'TR TE'!$O$10*('TR TE'!$O$57+'TR TE'!$O$58)</f>
        <v>1.9403804041426941E-13</v>
      </c>
      <c r="P10" s="30">
        <f>SUM($L$10:$O$10)</f>
        <v>14.541407765710835</v>
      </c>
      <c r="Q10" s="30">
        <f>'TR TE'!$Q$10*'TR TE'!$Q$57</f>
        <v>379.11843283969068</v>
      </c>
      <c r="R10" s="30">
        <f>SUM($Q$10:$Q$10)</f>
        <v>379.11843283969068</v>
      </c>
      <c r="S10" s="30">
        <f>'TR TE'!$S$10*'TR TE'!$S$57</f>
        <v>7.5601968849460697</v>
      </c>
      <c r="T10" s="30">
        <f>'TR TE'!$T$10*'TR TE'!$T$57</f>
        <v>5.5617204745840283</v>
      </c>
      <c r="U10" s="30">
        <f>'TR TE'!$U$10*'TR TE'!$U$57</f>
        <v>0</v>
      </c>
      <c r="V10" s="30">
        <f>SUM($S$10:$U$10)</f>
        <v>13.121917359530098</v>
      </c>
      <c r="W10" s="30"/>
      <c r="X10" s="30">
        <f>SUM($W$10:$W$10)</f>
        <v>0</v>
      </c>
      <c r="Y10" s="30">
        <f>'TR TE'!$Y$10*'TR TE'!$Y$57</f>
        <v>5.8054691462631443</v>
      </c>
      <c r="Z10" s="30">
        <f>SUM($Y$10:$Y$10)</f>
        <v>5.8054691462631443</v>
      </c>
      <c r="AA10" s="30">
        <f>SUMIF($L$4:$Z$4,"SUBTOTAL",$L$10:$Z$10)</f>
        <v>412.58722711119475</v>
      </c>
    </row>
    <row r="11" spans="1:27" ht="11.25" customHeight="1" x14ac:dyDescent="0.25">
      <c r="A11" s="130"/>
      <c r="B11" s="130"/>
      <c r="C11" s="130"/>
      <c r="D11" s="130"/>
      <c r="E11" s="130"/>
      <c r="F11" s="130"/>
      <c r="G11" s="32" t="s">
        <v>90</v>
      </c>
      <c r="H11" s="32" t="s">
        <v>88</v>
      </c>
      <c r="I11" s="32">
        <f>'MERCADO TE'!$U$8</f>
        <v>857352.201</v>
      </c>
      <c r="J11" s="17"/>
      <c r="L11" s="30">
        <f>'TR TE'!$L$11*'TR TE'!$L$57</f>
        <v>2.5001912038720429</v>
      </c>
      <c r="M11" s="30">
        <f>'TR TE'!$M$11*'TR TE'!$M$57</f>
        <v>12.041216561838597</v>
      </c>
      <c r="N11" s="30">
        <f>'TR TE'!$N$11*'TR TE'!$N$57</f>
        <v>0</v>
      </c>
      <c r="O11" s="30">
        <f>'TR TE'!$O$11*('TR TE'!$O$57+'TR TE'!$O$58)</f>
        <v>1.9403804041426941E-13</v>
      </c>
      <c r="P11" s="30">
        <f>SUM($L$11:$O$11)</f>
        <v>14.541407765710835</v>
      </c>
      <c r="Q11" s="30">
        <f>'TR TE'!$Q$11*'TR TE'!$Q$57</f>
        <v>220.41769351144808</v>
      </c>
      <c r="R11" s="30">
        <f>SUM($Q$11:$Q$11)</f>
        <v>220.41769351144808</v>
      </c>
      <c r="S11" s="30">
        <f>'TR TE'!$S$11*'TR TE'!$S$57</f>
        <v>7.5601968849460697</v>
      </c>
      <c r="T11" s="30">
        <f>'TR TE'!$T$11*'TR TE'!$T$57</f>
        <v>5.5617204745840283</v>
      </c>
      <c r="U11" s="30">
        <f>'TR TE'!$U$11*'TR TE'!$U$57</f>
        <v>0</v>
      </c>
      <c r="V11" s="30">
        <f>SUM($S$11:$U$11)</f>
        <v>13.121917359530098</v>
      </c>
      <c r="W11" s="30"/>
      <c r="X11" s="30">
        <f>SUM($W$11:$W$11)</f>
        <v>0</v>
      </c>
      <c r="Y11" s="30">
        <f>'TR TE'!$Y$11*'TR TE'!$Y$57</f>
        <v>5.8054691462631443</v>
      </c>
      <c r="Z11" s="30">
        <f>SUM($Y$11:$Y$11)</f>
        <v>5.8054691462631443</v>
      </c>
      <c r="AA11" s="30">
        <f>SUMIF($L$4:$Z$4,"SUBTOTAL",$L$11:$Z$11)</f>
        <v>253.88648778295214</v>
      </c>
    </row>
    <row r="12" spans="1:27" ht="11.25" customHeight="1" x14ac:dyDescent="0.25">
      <c r="A12" s="130"/>
      <c r="B12" s="33" t="s">
        <v>96</v>
      </c>
      <c r="C12" s="33" t="s">
        <v>25</v>
      </c>
      <c r="D12" s="33" t="s">
        <v>25</v>
      </c>
      <c r="E12" s="33" t="s">
        <v>25</v>
      </c>
      <c r="F12" s="33" t="s">
        <v>25</v>
      </c>
      <c r="G12" s="32" t="s">
        <v>94</v>
      </c>
      <c r="H12" s="32" t="s">
        <v>88</v>
      </c>
      <c r="I12" s="32">
        <f>'MERCADO TE'!$U$9</f>
        <v>0</v>
      </c>
      <c r="J12" s="17"/>
      <c r="L12" s="30">
        <f>'TR TE'!$L$12*'TR TE'!$L$57</f>
        <v>2.5001912038720429</v>
      </c>
      <c r="M12" s="30">
        <f>'TR TE'!$M$12*'TR TE'!$M$57</f>
        <v>12.041216561838597</v>
      </c>
      <c r="N12" s="30">
        <f>'TR TE'!$N$12*'TR TE'!$N$57</f>
        <v>0</v>
      </c>
      <c r="O12" s="30">
        <f>'TR TE'!$O$12*('TR TE'!$O$57+'TR TE'!$O$58)</f>
        <v>1.9403804041426941E-13</v>
      </c>
      <c r="P12" s="30">
        <f>SUM($L$12:$O$12)</f>
        <v>14.541407765710835</v>
      </c>
      <c r="Q12" s="30">
        <f>'TR TE'!$Q$12*'TR TE'!$Q$57</f>
        <v>233.64275512213499</v>
      </c>
      <c r="R12" s="30">
        <f>SUM($Q$12:$Q$12)</f>
        <v>233.64275512213499</v>
      </c>
      <c r="S12" s="30">
        <f>'TR TE'!$S$12*'TR TE'!$S$57</f>
        <v>7.5601968849460697</v>
      </c>
      <c r="T12" s="30">
        <f>'TR TE'!$T$12*'TR TE'!$T$57</f>
        <v>5.5617204745840283</v>
      </c>
      <c r="U12" s="30">
        <f>'TR TE'!$U$12*'TR TE'!$U$57</f>
        <v>0</v>
      </c>
      <c r="V12" s="30">
        <f>SUM($S$12:$U$12)</f>
        <v>13.121917359530098</v>
      </c>
      <c r="W12" s="30"/>
      <c r="X12" s="30">
        <f>SUM($W$12:$W$12)</f>
        <v>0</v>
      </c>
      <c r="Y12" s="30">
        <f>'TR TE'!$Y$12*'TR TE'!$Y$57</f>
        <v>5.8054691462631443</v>
      </c>
      <c r="Z12" s="30">
        <f>SUM($Y$12:$Y$12)</f>
        <v>5.8054691462631443</v>
      </c>
      <c r="AA12" s="30">
        <f>SUMIF($L$4:$Z$4,"SUBTOTAL",$L$12:$Z$12)</f>
        <v>267.11154939363905</v>
      </c>
    </row>
    <row r="13" spans="1:27" ht="11.25" customHeight="1" x14ac:dyDescent="0.25">
      <c r="A13" s="130" t="s">
        <v>44</v>
      </c>
      <c r="B13" s="130" t="s">
        <v>87</v>
      </c>
      <c r="C13" s="130" t="s">
        <v>25</v>
      </c>
      <c r="D13" s="130" t="s">
        <v>25</v>
      </c>
      <c r="E13" s="130" t="s">
        <v>25</v>
      </c>
      <c r="F13" s="130" t="s">
        <v>25</v>
      </c>
      <c r="G13" s="32" t="s">
        <v>89</v>
      </c>
      <c r="H13" s="32" t="s">
        <v>88</v>
      </c>
      <c r="I13" s="32">
        <f>'MERCADO TE'!$U$10</f>
        <v>34022.192000000003</v>
      </c>
      <c r="J13" s="17"/>
      <c r="L13" s="30">
        <f>'TR TE'!$L$13*'TR TE'!$L$57</f>
        <v>2.5001912038720429</v>
      </c>
      <c r="M13" s="30">
        <f>'TR TE'!$M$13*'TR TE'!$M$57</f>
        <v>12.041216561838597</v>
      </c>
      <c r="N13" s="30">
        <f>'TR TE'!$N$13*'TR TE'!$N$57</f>
        <v>0</v>
      </c>
      <c r="O13" s="30">
        <f>'TR TE'!$O$13*('TR TE'!$O$57+'TR TE'!$O$58)</f>
        <v>1.9403804041426941E-13</v>
      </c>
      <c r="P13" s="30">
        <f>SUM($L$13:$O$13)</f>
        <v>14.541407765710835</v>
      </c>
      <c r="Q13" s="30">
        <f>'TR TE'!$Q$13*'TR TE'!$Q$57</f>
        <v>379.11843283969068</v>
      </c>
      <c r="R13" s="30">
        <f>SUM($Q$13:$Q$13)</f>
        <v>379.11843283969068</v>
      </c>
      <c r="S13" s="30">
        <f>'TR TE'!$S$13*'TR TE'!$S$57</f>
        <v>7.5601968849460697</v>
      </c>
      <c r="T13" s="30">
        <f>'TR TE'!$T$13*'TR TE'!$T$57</f>
        <v>5.5617204745840283</v>
      </c>
      <c r="U13" s="30">
        <f>'TR TE'!$U$13*'TR TE'!$U$57</f>
        <v>0</v>
      </c>
      <c r="V13" s="30">
        <f>SUM($S$13:$U$13)</f>
        <v>13.121917359530098</v>
      </c>
      <c r="W13" s="30"/>
      <c r="X13" s="30">
        <f>SUM($W$13:$W$13)</f>
        <v>0</v>
      </c>
      <c r="Y13" s="30">
        <f>'TR TE'!$Y$13*'TR TE'!$Y$57</f>
        <v>5.8054691462631443</v>
      </c>
      <c r="Z13" s="30">
        <f>SUM($Y$13:$Y$13)</f>
        <v>5.8054691462631443</v>
      </c>
      <c r="AA13" s="30">
        <f>SUMIF($L$4:$Z$4,"SUBTOTAL",$L$13:$Z$13)</f>
        <v>412.58722711119475</v>
      </c>
    </row>
    <row r="14" spans="1:27" ht="11.25" customHeight="1" x14ac:dyDescent="0.25">
      <c r="A14" s="130"/>
      <c r="B14" s="130"/>
      <c r="C14" s="130"/>
      <c r="D14" s="130"/>
      <c r="E14" s="130"/>
      <c r="F14" s="130"/>
      <c r="G14" s="32" t="s">
        <v>90</v>
      </c>
      <c r="H14" s="32" t="s">
        <v>88</v>
      </c>
      <c r="I14" s="32">
        <f>'MERCADO TE'!$U$11</f>
        <v>338432.99999999994</v>
      </c>
      <c r="J14" s="17"/>
      <c r="L14" s="30">
        <f>'TR TE'!$L$14*'TR TE'!$L$57</f>
        <v>2.5001912038720429</v>
      </c>
      <c r="M14" s="30">
        <f>'TR TE'!$M$14*'TR TE'!$M$57</f>
        <v>12.041216561838597</v>
      </c>
      <c r="N14" s="30">
        <f>'TR TE'!$N$14*'TR TE'!$N$57</f>
        <v>0</v>
      </c>
      <c r="O14" s="30">
        <f>'TR TE'!$O$14*('TR TE'!$O$57+'TR TE'!$O$58)</f>
        <v>1.9403804041426941E-13</v>
      </c>
      <c r="P14" s="30">
        <f>SUM($L$14:$O$14)</f>
        <v>14.541407765710835</v>
      </c>
      <c r="Q14" s="30">
        <f>'TR TE'!$Q$14*'TR TE'!$Q$57</f>
        <v>220.41769351144808</v>
      </c>
      <c r="R14" s="30">
        <f>SUM($Q$14:$Q$14)</f>
        <v>220.41769351144808</v>
      </c>
      <c r="S14" s="30">
        <f>'TR TE'!$S$14*'TR TE'!$S$57</f>
        <v>7.5601968849460697</v>
      </c>
      <c r="T14" s="30">
        <f>'TR TE'!$T$14*'TR TE'!$T$57</f>
        <v>5.5617204745840283</v>
      </c>
      <c r="U14" s="30">
        <f>'TR TE'!$U$14*'TR TE'!$U$57</f>
        <v>0</v>
      </c>
      <c r="V14" s="30">
        <f>SUM($S$14:$U$14)</f>
        <v>13.121917359530098</v>
      </c>
      <c r="W14" s="30"/>
      <c r="X14" s="30">
        <f>SUM($W$14:$W$14)</f>
        <v>0</v>
      </c>
      <c r="Y14" s="30">
        <f>'TR TE'!$Y$14*'TR TE'!$Y$57</f>
        <v>5.8054691462631443</v>
      </c>
      <c r="Z14" s="30">
        <f>SUM($Y$14:$Y$14)</f>
        <v>5.8054691462631443</v>
      </c>
      <c r="AA14" s="30">
        <f>SUMIF($L$4:$Z$4,"SUBTOTAL",$L$14:$Z$14)</f>
        <v>253.88648778295214</v>
      </c>
    </row>
    <row r="15" spans="1:27" ht="11.25" customHeight="1" x14ac:dyDescent="0.25">
      <c r="A15" s="130"/>
      <c r="B15" s="33" t="s">
        <v>96</v>
      </c>
      <c r="C15" s="33" t="s">
        <v>25</v>
      </c>
      <c r="D15" s="33" t="s">
        <v>25</v>
      </c>
      <c r="E15" s="33" t="s">
        <v>25</v>
      </c>
      <c r="F15" s="33" t="s">
        <v>25</v>
      </c>
      <c r="G15" s="32" t="s">
        <v>94</v>
      </c>
      <c r="H15" s="32" t="s">
        <v>88</v>
      </c>
      <c r="I15" s="32">
        <f>'MERCADO TE'!$U$12</f>
        <v>0</v>
      </c>
      <c r="J15" s="17"/>
      <c r="L15" s="30">
        <f>'TR TE'!$L$15*'TR TE'!$L$57</f>
        <v>2.5001912038720429</v>
      </c>
      <c r="M15" s="30">
        <f>'TR TE'!$M$15*'TR TE'!$M$57</f>
        <v>12.041216561838597</v>
      </c>
      <c r="N15" s="30">
        <f>'TR TE'!$N$15*'TR TE'!$N$57</f>
        <v>0</v>
      </c>
      <c r="O15" s="30">
        <f>'TR TE'!$O$15*('TR TE'!$O$57+'TR TE'!$O$58)</f>
        <v>1.9403804041426941E-13</v>
      </c>
      <c r="P15" s="30">
        <f>SUM($L$15:$O$15)</f>
        <v>14.541407765710835</v>
      </c>
      <c r="Q15" s="30">
        <f>'TR TE'!$Q$15*'TR TE'!$Q$57</f>
        <v>233.64275512213499</v>
      </c>
      <c r="R15" s="30">
        <f>SUM($Q$15:$Q$15)</f>
        <v>233.64275512213499</v>
      </c>
      <c r="S15" s="30">
        <f>'TR TE'!$S$15*'TR TE'!$S$57</f>
        <v>7.5601968849460697</v>
      </c>
      <c r="T15" s="30">
        <f>'TR TE'!$T$15*'TR TE'!$T$57</f>
        <v>5.5617204745840283</v>
      </c>
      <c r="U15" s="30">
        <f>'TR TE'!$U$15*'TR TE'!$U$57</f>
        <v>0</v>
      </c>
      <c r="V15" s="30">
        <f>SUM($S$15:$U$15)</f>
        <v>13.121917359530098</v>
      </c>
      <c r="W15" s="30"/>
      <c r="X15" s="30">
        <f>SUM($W$15:$W$15)</f>
        <v>0</v>
      </c>
      <c r="Y15" s="30">
        <f>'TR TE'!$Y$15*'TR TE'!$Y$57</f>
        <v>5.8054691462631443</v>
      </c>
      <c r="Z15" s="30">
        <f>SUM($Y$15:$Y$15)</f>
        <v>5.8054691462631443</v>
      </c>
      <c r="AA15" s="30">
        <f>SUMIF($L$4:$Z$4,"SUBTOTAL",$L$15:$Z$15)</f>
        <v>267.11154939363905</v>
      </c>
    </row>
    <row r="16" spans="1:27" ht="11.25" customHeight="1" x14ac:dyDescent="0.25">
      <c r="A16" s="130" t="s">
        <v>22</v>
      </c>
      <c r="B16" s="130" t="s">
        <v>87</v>
      </c>
      <c r="C16" s="130" t="s">
        <v>24</v>
      </c>
      <c r="D16" s="130" t="s">
        <v>24</v>
      </c>
      <c r="E16" s="130" t="s">
        <v>25</v>
      </c>
      <c r="F16" s="130" t="s">
        <v>25</v>
      </c>
      <c r="G16" s="32" t="s">
        <v>89</v>
      </c>
      <c r="H16" s="32" t="s">
        <v>88</v>
      </c>
      <c r="I16" s="32">
        <f>'MERCADO TE'!$U$13</f>
        <v>253.625</v>
      </c>
      <c r="J16" s="17"/>
      <c r="L16" s="30">
        <f>'TR TE'!$L$16*'TR TE'!$L$57</f>
        <v>2.5001912038720429</v>
      </c>
      <c r="M16" s="30">
        <f>'TR TE'!$M$16*'TR TE'!$M$57</f>
        <v>12.041216561838597</v>
      </c>
      <c r="N16" s="30">
        <f>'TR TE'!$N$16*'TR TE'!$N$57</f>
        <v>0</v>
      </c>
      <c r="O16" s="30">
        <f>'TR TE'!$O$16*('TR TE'!$O$57+'TR TE'!$O$58)</f>
        <v>1.9403804041426941E-13</v>
      </c>
      <c r="P16" s="30">
        <f>SUM($L$16:$O$16)</f>
        <v>14.541407765710835</v>
      </c>
      <c r="Q16" s="30">
        <f>'TR TE'!$Q$16*'TR TE'!$Q$57</f>
        <v>379.11843283969068</v>
      </c>
      <c r="R16" s="30">
        <f>SUM($Q$16:$Q$16)</f>
        <v>379.11843283969068</v>
      </c>
      <c r="S16" s="30">
        <f>'TR TE'!$S$16*'TR TE'!$S$57</f>
        <v>7.5601968849460697</v>
      </c>
      <c r="T16" s="30">
        <f>'TR TE'!$T$16*'TR TE'!$T$57</f>
        <v>5.5617204745840283</v>
      </c>
      <c r="U16" s="30">
        <f>'TR TE'!$U$16*'TR TE'!$U$57</f>
        <v>0</v>
      </c>
      <c r="V16" s="30">
        <f>SUM($S$16:$U$16)</f>
        <v>13.121917359530098</v>
      </c>
      <c r="W16" s="30"/>
      <c r="X16" s="30">
        <f>SUM($W$16:$W$16)</f>
        <v>0</v>
      </c>
      <c r="Y16" s="30">
        <f>'TR TE'!$Y$16*'TR TE'!$Y$57</f>
        <v>5.8054691462631443</v>
      </c>
      <c r="Z16" s="30">
        <f>SUM($Y$16:$Y$16)</f>
        <v>5.8054691462631443</v>
      </c>
      <c r="AA16" s="30">
        <f>SUMIF($L$4:$Z$4,"SUBTOTAL",$L$16:$Z$16)</f>
        <v>412.58722711119475</v>
      </c>
    </row>
    <row r="17" spans="1:27" ht="11.25" customHeight="1" x14ac:dyDescent="0.25">
      <c r="A17" s="130"/>
      <c r="B17" s="130"/>
      <c r="C17" s="130"/>
      <c r="D17" s="130"/>
      <c r="E17" s="130"/>
      <c r="F17" s="130"/>
      <c r="G17" s="32" t="s">
        <v>100</v>
      </c>
      <c r="H17" s="32" t="s">
        <v>88</v>
      </c>
      <c r="I17" s="32">
        <f>'MERCADO TE'!$U$14</f>
        <v>165.69400000000005</v>
      </c>
      <c r="J17" s="17"/>
      <c r="L17" s="30">
        <f>'TR TE'!$L$17*'TR TE'!$L$57</f>
        <v>2.5001912038720429</v>
      </c>
      <c r="M17" s="30">
        <f>'TR TE'!$M$17*'TR TE'!$M$57</f>
        <v>12.041216561838597</v>
      </c>
      <c r="N17" s="30">
        <f>'TR TE'!$N$17*'TR TE'!$N$57</f>
        <v>0</v>
      </c>
      <c r="O17" s="30">
        <f>'TR TE'!$O$17*('TR TE'!$O$57+'TR TE'!$O$58)</f>
        <v>1.9403804041426941E-13</v>
      </c>
      <c r="P17" s="30">
        <f>SUM($L$17:$O$17)</f>
        <v>14.541407765710835</v>
      </c>
      <c r="Q17" s="30">
        <f>'TR TE'!$Q$17*'TR TE'!$Q$57</f>
        <v>220.41769351144808</v>
      </c>
      <c r="R17" s="30">
        <f>SUM($Q$17:$Q$17)</f>
        <v>220.41769351144808</v>
      </c>
      <c r="S17" s="30">
        <f>'TR TE'!$S$17*'TR TE'!$S$57</f>
        <v>7.5601968849460697</v>
      </c>
      <c r="T17" s="30">
        <f>'TR TE'!$T$17*'TR TE'!$T$57</f>
        <v>5.5617204745840283</v>
      </c>
      <c r="U17" s="30">
        <f>'TR TE'!$U$17*'TR TE'!$U$57</f>
        <v>0</v>
      </c>
      <c r="V17" s="30">
        <f>SUM($S$17:$U$17)</f>
        <v>13.121917359530098</v>
      </c>
      <c r="W17" s="30"/>
      <c r="X17" s="30">
        <f>SUM($W$17:$W$17)</f>
        <v>0</v>
      </c>
      <c r="Y17" s="30">
        <f>'TR TE'!$Y$17*'TR TE'!$Y$57</f>
        <v>5.8054691462631443</v>
      </c>
      <c r="Z17" s="30">
        <f>SUM($Y$17:$Y$17)</f>
        <v>5.8054691462631443</v>
      </c>
      <c r="AA17" s="30">
        <f>SUMIF($L$4:$Z$4,"SUBTOTAL",$L$17:$Z$17)</f>
        <v>253.88648778295214</v>
      </c>
    </row>
    <row r="18" spans="1:27" ht="11.25" customHeight="1" x14ac:dyDescent="0.25">
      <c r="A18" s="130"/>
      <c r="B18" s="130"/>
      <c r="C18" s="130"/>
      <c r="D18" s="130"/>
      <c r="E18" s="130"/>
      <c r="F18" s="130"/>
      <c r="G18" s="32" t="s">
        <v>90</v>
      </c>
      <c r="H18" s="32" t="s">
        <v>88</v>
      </c>
      <c r="I18" s="32">
        <f>'MERCADO TE'!$U$15</f>
        <v>2116.5709999999999</v>
      </c>
      <c r="J18" s="17"/>
      <c r="L18" s="30">
        <f>'TR TE'!$L$18*'TR TE'!$L$57</f>
        <v>2.5001912038720429</v>
      </c>
      <c r="M18" s="30">
        <f>'TR TE'!$M$18*'TR TE'!$M$57</f>
        <v>12.041216561838597</v>
      </c>
      <c r="N18" s="30">
        <f>'TR TE'!$N$18*'TR TE'!$N$57</f>
        <v>0</v>
      </c>
      <c r="O18" s="30">
        <f>'TR TE'!$O$18*('TR TE'!$O$57+'TR TE'!$O$58)</f>
        <v>1.9403804041426941E-13</v>
      </c>
      <c r="P18" s="30">
        <f>SUM($L$18:$O$18)</f>
        <v>14.541407765710835</v>
      </c>
      <c r="Q18" s="30">
        <f>'TR TE'!$Q$18*'TR TE'!$Q$57</f>
        <v>220.41769351144808</v>
      </c>
      <c r="R18" s="30">
        <f>SUM($Q$18:$Q$18)</f>
        <v>220.41769351144808</v>
      </c>
      <c r="S18" s="30">
        <f>'TR TE'!$S$18*'TR TE'!$S$57</f>
        <v>7.5601968849460697</v>
      </c>
      <c r="T18" s="30">
        <f>'TR TE'!$T$18*'TR TE'!$T$57</f>
        <v>5.5617204745840283</v>
      </c>
      <c r="U18" s="30">
        <f>'TR TE'!$U$18*'TR TE'!$U$57</f>
        <v>0</v>
      </c>
      <c r="V18" s="30">
        <f>SUM($S$18:$U$18)</f>
        <v>13.121917359530098</v>
      </c>
      <c r="W18" s="30"/>
      <c r="X18" s="30">
        <f>SUM($W$18:$W$18)</f>
        <v>0</v>
      </c>
      <c r="Y18" s="30">
        <f>'TR TE'!$Y$18*'TR TE'!$Y$57</f>
        <v>5.8054691462631443</v>
      </c>
      <c r="Z18" s="30">
        <f>SUM($Y$18:$Y$18)</f>
        <v>5.8054691462631443</v>
      </c>
      <c r="AA18" s="30">
        <f>SUMIF($L$4:$Z$4,"SUBTOTAL",$L$18:$Z$18)</f>
        <v>253.88648778295214</v>
      </c>
    </row>
    <row r="19" spans="1:27" ht="11.25" customHeight="1" x14ac:dyDescent="0.25">
      <c r="A19" s="130"/>
      <c r="B19" s="130" t="s">
        <v>96</v>
      </c>
      <c r="C19" s="130" t="s">
        <v>24</v>
      </c>
      <c r="D19" s="33" t="s">
        <v>24</v>
      </c>
      <c r="E19" s="33" t="s">
        <v>25</v>
      </c>
      <c r="F19" s="33" t="s">
        <v>25</v>
      </c>
      <c r="G19" s="32" t="s">
        <v>94</v>
      </c>
      <c r="H19" s="32" t="s">
        <v>88</v>
      </c>
      <c r="I19" s="32">
        <f>'MERCADO TE'!$U$16</f>
        <v>2322476.7919999999</v>
      </c>
      <c r="J19" s="17"/>
      <c r="L19" s="30">
        <f>'TR TE'!$L$19*'TR TE'!$L$57</f>
        <v>2.5001912038720429</v>
      </c>
      <c r="M19" s="30">
        <f>'TR TE'!$M$19*'TR TE'!$M$57</f>
        <v>12.041216561838597</v>
      </c>
      <c r="N19" s="30">
        <f>'TR TE'!$N$19*'TR TE'!$N$57</f>
        <v>0</v>
      </c>
      <c r="O19" s="30">
        <f>'TR TE'!$O$19*('TR TE'!$O$57+'TR TE'!$O$58)</f>
        <v>1.9403804041426941E-13</v>
      </c>
      <c r="P19" s="30">
        <f>SUM($L$19:$O$19)</f>
        <v>14.541407765710835</v>
      </c>
      <c r="Q19" s="30">
        <f>'TR TE'!$Q$19*'TR TE'!$Q$57</f>
        <v>233.64275512213499</v>
      </c>
      <c r="R19" s="30">
        <f>SUM($Q$19:$Q$19)</f>
        <v>233.64275512213499</v>
      </c>
      <c r="S19" s="30">
        <f>'TR TE'!$S$19*'TR TE'!$S$57</f>
        <v>7.5601968849460697</v>
      </c>
      <c r="T19" s="30">
        <f>'TR TE'!$T$19*'TR TE'!$T$57</f>
        <v>5.5617204745840283</v>
      </c>
      <c r="U19" s="30">
        <f>'TR TE'!$U$19*'TR TE'!$U$57</f>
        <v>0</v>
      </c>
      <c r="V19" s="30">
        <f>SUM($S$19:$U$19)</f>
        <v>13.121917359530098</v>
      </c>
      <c r="W19" s="30"/>
      <c r="X19" s="30">
        <f>SUM($W$19:$W$19)</f>
        <v>0</v>
      </c>
      <c r="Y19" s="30">
        <f>'TR TE'!$Y$19*'TR TE'!$Y$57</f>
        <v>5.8054691462631443</v>
      </c>
      <c r="Z19" s="30">
        <f>SUM($Y$19:$Y$19)</f>
        <v>5.8054691462631443</v>
      </c>
      <c r="AA19" s="30">
        <f>SUMIF($L$4:$Z$4,"SUBTOTAL",$L$19:$Z$19)</f>
        <v>267.11154939363905</v>
      </c>
    </row>
    <row r="20" spans="1:27" ht="11.25" customHeight="1" x14ac:dyDescent="0.25">
      <c r="A20" s="130"/>
      <c r="B20" s="130"/>
      <c r="C20" s="130"/>
      <c r="D20" s="33" t="s">
        <v>29</v>
      </c>
      <c r="E20" s="33" t="s">
        <v>25</v>
      </c>
      <c r="F20" s="33" t="s">
        <v>25</v>
      </c>
      <c r="G20" s="32" t="s">
        <v>94</v>
      </c>
      <c r="H20" s="32" t="s">
        <v>88</v>
      </c>
      <c r="I20" s="32">
        <f>'MERCADO TE'!$U$17</f>
        <v>3506.9700000000003</v>
      </c>
      <c r="J20" s="17"/>
      <c r="L20" s="30">
        <f>'TR TE'!$L$20*'TR TE'!$L$57</f>
        <v>2.5001912038720429</v>
      </c>
      <c r="M20" s="30">
        <f>'TR TE'!$M$20*'TR TE'!$M$57</f>
        <v>12.041216561838597</v>
      </c>
      <c r="N20" s="30">
        <f>'TR TE'!$N$20*'TR TE'!$N$57</f>
        <v>0</v>
      </c>
      <c r="O20" s="30">
        <f>'TR TE'!$O$20*('TR TE'!$O$57+'TR TE'!$O$58)</f>
        <v>1.9403804041426941E-13</v>
      </c>
      <c r="P20" s="30">
        <f>SUM($L$20:$O$20)</f>
        <v>14.541407765710835</v>
      </c>
      <c r="Q20" s="30">
        <f>'TR TE'!$Q$20*'TR TE'!$Q$57</f>
        <v>233.64275512213499</v>
      </c>
      <c r="R20" s="30">
        <f>SUM($Q$20:$Q$20)</f>
        <v>233.64275512213499</v>
      </c>
      <c r="S20" s="30">
        <f>'TR TE'!$S$20*'TR TE'!$S$57</f>
        <v>7.5601968849460697</v>
      </c>
      <c r="T20" s="30">
        <f>'TR TE'!$T$20*'TR TE'!$T$57</f>
        <v>5.5617204745840283</v>
      </c>
      <c r="U20" s="30">
        <f>'TR TE'!$U$20*'TR TE'!$U$57</f>
        <v>0</v>
      </c>
      <c r="V20" s="30">
        <f>SUM($S$20:$U$20)</f>
        <v>13.121917359530098</v>
      </c>
      <c r="W20" s="30"/>
      <c r="X20" s="30">
        <f>SUM($W$20:$W$20)</f>
        <v>0</v>
      </c>
      <c r="Y20" s="30">
        <f>'TR TE'!$Y$20*'TR TE'!$Y$57</f>
        <v>5.8054691462631443</v>
      </c>
      <c r="Z20" s="30">
        <f>SUM($Y$20:$Y$20)</f>
        <v>5.8054691462631443</v>
      </c>
      <c r="AA20" s="30">
        <f>SUMIF($L$4:$Z$4,"SUBTOTAL",$L$20:$Z$20)</f>
        <v>267.11154939363905</v>
      </c>
    </row>
    <row r="21" spans="1:27" ht="11.25" customHeight="1" x14ac:dyDescent="0.25">
      <c r="A21" s="130"/>
      <c r="B21" s="130"/>
      <c r="C21" s="130"/>
      <c r="D21" s="33" t="s">
        <v>30</v>
      </c>
      <c r="E21" s="33" t="s">
        <v>25</v>
      </c>
      <c r="F21" s="33" t="s">
        <v>25</v>
      </c>
      <c r="G21" s="32" t="s">
        <v>94</v>
      </c>
      <c r="H21" s="32" t="s">
        <v>88</v>
      </c>
      <c r="I21" s="32">
        <f>'MERCADO TE'!$U$18</f>
        <v>7395.655999999999</v>
      </c>
      <c r="J21" s="17"/>
      <c r="L21" s="30">
        <f>'TR TE'!$L$21*'TR TE'!$L$57</f>
        <v>2.5001912038720429</v>
      </c>
      <c r="M21" s="30">
        <f>'TR TE'!$M$21*'TR TE'!$M$57</f>
        <v>12.041216561838597</v>
      </c>
      <c r="N21" s="30">
        <f>'TR TE'!$N$21*'TR TE'!$N$57</f>
        <v>0</v>
      </c>
      <c r="O21" s="30">
        <f>'TR TE'!$O$21*('TR TE'!$O$57+'TR TE'!$O$58)</f>
        <v>1.9403804041426941E-13</v>
      </c>
      <c r="P21" s="30">
        <f>SUM($L$21:$O$21)</f>
        <v>14.541407765710835</v>
      </c>
      <c r="Q21" s="30">
        <f>'TR TE'!$Q$21*'TR TE'!$Q$57</f>
        <v>233.64275512213499</v>
      </c>
      <c r="R21" s="30">
        <f>SUM($Q$21:$Q$21)</f>
        <v>233.64275512213499</v>
      </c>
      <c r="S21" s="30">
        <f>'TR TE'!$S$21*'TR TE'!$S$57</f>
        <v>7.5601968849460697</v>
      </c>
      <c r="T21" s="30">
        <f>'TR TE'!$T$21*'TR TE'!$T$57</f>
        <v>5.5617204745840283</v>
      </c>
      <c r="U21" s="30">
        <f>'TR TE'!$U$21*'TR TE'!$U$57</f>
        <v>0</v>
      </c>
      <c r="V21" s="30">
        <f>SUM($S$21:$U$21)</f>
        <v>13.121917359530098</v>
      </c>
      <c r="W21" s="30"/>
      <c r="X21" s="30">
        <f>SUM($W$21:$W$21)</f>
        <v>0</v>
      </c>
      <c r="Y21" s="30">
        <f>'TR TE'!$Y$21*'TR TE'!$Y$57</f>
        <v>5.8054691462631443</v>
      </c>
      <c r="Z21" s="30">
        <f>SUM($Y$21:$Y$21)</f>
        <v>5.8054691462631443</v>
      </c>
      <c r="AA21" s="30">
        <f>SUMIF($L$4:$Z$4,"SUBTOTAL",$L$21:$Z$21)</f>
        <v>267.11154939363905</v>
      </c>
    </row>
    <row r="22" spans="1:27" ht="11.25" customHeight="1" x14ac:dyDescent="0.25">
      <c r="A22" s="130"/>
      <c r="B22" s="130"/>
      <c r="C22" s="130"/>
      <c r="D22" s="33" t="s">
        <v>31</v>
      </c>
      <c r="E22" s="33" t="s">
        <v>25</v>
      </c>
      <c r="F22" s="33" t="s">
        <v>25</v>
      </c>
      <c r="G22" s="32" t="s">
        <v>94</v>
      </c>
      <c r="H22" s="32" t="s">
        <v>88</v>
      </c>
      <c r="I22" s="32">
        <f>'MERCADO TE'!$U$19</f>
        <v>7295.3609999999999</v>
      </c>
      <c r="J22" s="17"/>
      <c r="L22" s="30">
        <f>'TR TE'!$L$22*'TR TE'!$L$57</f>
        <v>2.5001912038720429</v>
      </c>
      <c r="M22" s="30">
        <f>'TR TE'!$M$22*'TR TE'!$M$57</f>
        <v>12.041216561838597</v>
      </c>
      <c r="N22" s="30">
        <f>'TR TE'!$N$22*'TR TE'!$N$57</f>
        <v>0</v>
      </c>
      <c r="O22" s="30">
        <f>'TR TE'!$O$22*('TR TE'!$O$57+'TR TE'!$O$58)</f>
        <v>1.9403804041426941E-13</v>
      </c>
      <c r="P22" s="30">
        <f>SUM($L$22:$O$22)</f>
        <v>14.541407765710835</v>
      </c>
      <c r="Q22" s="30">
        <f>'TR TE'!$Q$22*'TR TE'!$Q$57</f>
        <v>233.64275512213499</v>
      </c>
      <c r="R22" s="30">
        <f>SUM($Q$22:$Q$22)</f>
        <v>233.64275512213499</v>
      </c>
      <c r="S22" s="30">
        <f>'TR TE'!$S$22*'TR TE'!$S$57</f>
        <v>7.5601968849460697</v>
      </c>
      <c r="T22" s="30">
        <f>'TR TE'!$T$22*'TR TE'!$T$57</f>
        <v>5.5617204745840283</v>
      </c>
      <c r="U22" s="30">
        <f>'TR TE'!$U$22*'TR TE'!$U$57</f>
        <v>0</v>
      </c>
      <c r="V22" s="30">
        <f>SUM($S$22:$U$22)</f>
        <v>13.121917359530098</v>
      </c>
      <c r="W22" s="30"/>
      <c r="X22" s="30">
        <f>SUM($W$22:$W$22)</f>
        <v>0</v>
      </c>
      <c r="Y22" s="30">
        <f>'TR TE'!$Y$22*'TR TE'!$Y$57</f>
        <v>5.8054691462631443</v>
      </c>
      <c r="Z22" s="30">
        <f>SUM($Y$22:$Y$22)</f>
        <v>5.8054691462631443</v>
      </c>
      <c r="AA22" s="30">
        <f>SUMIF($L$4:$Z$4,"SUBTOTAL",$L$22:$Z$22)</f>
        <v>267.11154939363905</v>
      </c>
    </row>
    <row r="23" spans="1:27" ht="11.25" customHeight="1" x14ac:dyDescent="0.25">
      <c r="A23" s="130"/>
      <c r="B23" s="130"/>
      <c r="C23" s="130"/>
      <c r="D23" s="33" t="s">
        <v>32</v>
      </c>
      <c r="E23" s="33" t="s">
        <v>25</v>
      </c>
      <c r="F23" s="33" t="s">
        <v>25</v>
      </c>
      <c r="G23" s="32" t="s">
        <v>94</v>
      </c>
      <c r="H23" s="32" t="s">
        <v>88</v>
      </c>
      <c r="I23" s="32">
        <f>'MERCADO TE'!$U$20</f>
        <v>2602.4059999999999</v>
      </c>
      <c r="J23" s="17"/>
      <c r="L23" s="30">
        <f>'TR TE'!$L$23*'TR TE'!$L$57</f>
        <v>2.5001912038720429</v>
      </c>
      <c r="M23" s="30">
        <f>'TR TE'!$M$23*'TR TE'!$M$57</f>
        <v>12.041216561838597</v>
      </c>
      <c r="N23" s="30">
        <f>'TR TE'!$N$23*'TR TE'!$N$57</f>
        <v>0</v>
      </c>
      <c r="O23" s="30">
        <f>'TR TE'!$O$23*('TR TE'!$O$57+'TR TE'!$O$58)</f>
        <v>1.9403804041426941E-13</v>
      </c>
      <c r="P23" s="30">
        <f>SUM($L$23:$O$23)</f>
        <v>14.541407765710835</v>
      </c>
      <c r="Q23" s="30">
        <f>'TR TE'!$Q$23*'TR TE'!$Q$57</f>
        <v>233.64275512213499</v>
      </c>
      <c r="R23" s="30">
        <f>SUM($Q$23:$Q$23)</f>
        <v>233.64275512213499</v>
      </c>
      <c r="S23" s="30">
        <f>'TR TE'!$S$23*'TR TE'!$S$57</f>
        <v>7.5601968849460697</v>
      </c>
      <c r="T23" s="30">
        <f>'TR TE'!$T$23*'TR TE'!$T$57</f>
        <v>5.5617204745840283</v>
      </c>
      <c r="U23" s="30">
        <f>'TR TE'!$U$23*'TR TE'!$U$57</f>
        <v>0</v>
      </c>
      <c r="V23" s="30">
        <f>SUM($S$23:$U$23)</f>
        <v>13.121917359530098</v>
      </c>
      <c r="W23" s="30"/>
      <c r="X23" s="30">
        <f>SUM($W$23:$W$23)</f>
        <v>0</v>
      </c>
      <c r="Y23" s="30">
        <f>'TR TE'!$Y$23*'TR TE'!$Y$57</f>
        <v>5.8054691462631443</v>
      </c>
      <c r="Z23" s="30">
        <f>SUM($Y$23:$Y$23)</f>
        <v>5.8054691462631443</v>
      </c>
      <c r="AA23" s="30">
        <f>SUMIF($L$4:$Z$4,"SUBTOTAL",$L$23:$Z$23)</f>
        <v>267.11154939363905</v>
      </c>
    </row>
    <row r="24" spans="1:27" ht="11.25" customHeight="1" x14ac:dyDescent="0.25">
      <c r="A24" s="130"/>
      <c r="B24" s="130" t="s">
        <v>101</v>
      </c>
      <c r="C24" s="130" t="s">
        <v>24</v>
      </c>
      <c r="D24" s="33" t="s">
        <v>24</v>
      </c>
      <c r="E24" s="33" t="s">
        <v>25</v>
      </c>
      <c r="F24" s="33" t="s">
        <v>25</v>
      </c>
      <c r="G24" s="32" t="s">
        <v>94</v>
      </c>
      <c r="H24" s="32" t="s">
        <v>88</v>
      </c>
      <c r="I24" s="32">
        <f>'MERCADO TE'!$U$21</f>
        <v>0</v>
      </c>
      <c r="J24" s="17"/>
      <c r="L24" s="30">
        <f>'TR TE'!$L$24*'TR TE'!$L$57</f>
        <v>2.5001912038720429</v>
      </c>
      <c r="M24" s="30">
        <f>'TR TE'!$M$24*'TR TE'!$M$57</f>
        <v>12.041216561838597</v>
      </c>
      <c r="N24" s="30">
        <f>'TR TE'!$N$24*'TR TE'!$N$57</f>
        <v>0</v>
      </c>
      <c r="O24" s="30">
        <f>'TR TE'!$O$24*('TR TE'!$O$57+'TR TE'!$O$58)</f>
        <v>1.9403804041426941E-13</v>
      </c>
      <c r="P24" s="30">
        <f>SUM($L$24:$O$24)</f>
        <v>14.541407765710835</v>
      </c>
      <c r="Q24" s="30">
        <f>'TR TE'!$Q$24*'TR TE'!$Q$57</f>
        <v>233.64275512213499</v>
      </c>
      <c r="R24" s="30">
        <f>SUM($Q$24:$Q$24)</f>
        <v>233.64275512213499</v>
      </c>
      <c r="S24" s="30">
        <f>'TR TE'!$S$24*'TR TE'!$S$57</f>
        <v>7.5601968849460697</v>
      </c>
      <c r="T24" s="30">
        <f>'TR TE'!$T$24*'TR TE'!$T$57</f>
        <v>5.5617204745840283</v>
      </c>
      <c r="U24" s="30">
        <f>'TR TE'!$U$24*'TR TE'!$U$57</f>
        <v>0</v>
      </c>
      <c r="V24" s="30">
        <f>SUM($S$24:$U$24)</f>
        <v>13.121917359530098</v>
      </c>
      <c r="W24" s="30"/>
      <c r="X24" s="30">
        <f>SUM($W$24:$W$24)</f>
        <v>0</v>
      </c>
      <c r="Y24" s="30">
        <f>'TR TE'!$Y$24*'TR TE'!$Y$57</f>
        <v>5.8054691462631443</v>
      </c>
      <c r="Z24" s="30">
        <f>SUM($Y$24:$Y$24)</f>
        <v>5.8054691462631443</v>
      </c>
      <c r="AA24" s="30">
        <f>SUMIF($L$4:$Z$4,"SUBTOTAL",$L$24:$Z$24)</f>
        <v>267.11154939363905</v>
      </c>
    </row>
    <row r="25" spans="1:27" ht="11.25" customHeight="1" x14ac:dyDescent="0.25">
      <c r="A25" s="130"/>
      <c r="B25" s="130"/>
      <c r="C25" s="130"/>
      <c r="D25" s="33" t="s">
        <v>29</v>
      </c>
      <c r="E25" s="33" t="s">
        <v>25</v>
      </c>
      <c r="F25" s="33" t="s">
        <v>25</v>
      </c>
      <c r="G25" s="32" t="s">
        <v>94</v>
      </c>
      <c r="H25" s="32" t="s">
        <v>88</v>
      </c>
      <c r="I25" s="32">
        <f>'MERCADO TE'!$U$22</f>
        <v>0</v>
      </c>
      <c r="J25" s="17"/>
      <c r="L25" s="30">
        <f>'TR TE'!$L$25*'TR TE'!$L$57</f>
        <v>2.5001912038720429</v>
      </c>
      <c r="M25" s="30">
        <f>'TR TE'!$M$25*'TR TE'!$M$57</f>
        <v>12.041216561838597</v>
      </c>
      <c r="N25" s="30">
        <f>'TR TE'!$N$25*'TR TE'!$N$57</f>
        <v>0</v>
      </c>
      <c r="O25" s="30">
        <f>'TR TE'!$O$25*('TR TE'!$O$57+'TR TE'!$O$58)</f>
        <v>1.9403804041426941E-13</v>
      </c>
      <c r="P25" s="30">
        <f>SUM($L$25:$O$25)</f>
        <v>14.541407765710835</v>
      </c>
      <c r="Q25" s="30">
        <f>'TR TE'!$Q$25*'TR TE'!$Q$57</f>
        <v>233.64275512213499</v>
      </c>
      <c r="R25" s="30">
        <f>SUM($Q$25:$Q$25)</f>
        <v>233.64275512213499</v>
      </c>
      <c r="S25" s="30">
        <f>'TR TE'!$S$25*'TR TE'!$S$57</f>
        <v>7.5601968849460697</v>
      </c>
      <c r="T25" s="30">
        <f>'TR TE'!$T$25*'TR TE'!$T$57</f>
        <v>5.5617204745840283</v>
      </c>
      <c r="U25" s="30">
        <f>'TR TE'!$U$25*'TR TE'!$U$57</f>
        <v>0</v>
      </c>
      <c r="V25" s="30">
        <f>SUM($S$25:$U$25)</f>
        <v>13.121917359530098</v>
      </c>
      <c r="W25" s="30"/>
      <c r="X25" s="30">
        <f>SUM($W$25:$W$25)</f>
        <v>0</v>
      </c>
      <c r="Y25" s="30">
        <f>'TR TE'!$Y$25*'TR TE'!$Y$57</f>
        <v>5.8054691462631443</v>
      </c>
      <c r="Z25" s="30">
        <f>SUM($Y$25:$Y$25)</f>
        <v>5.8054691462631443</v>
      </c>
      <c r="AA25" s="30">
        <f>SUMIF($L$4:$Z$4,"SUBTOTAL",$L$25:$Z$25)</f>
        <v>267.11154939363905</v>
      </c>
    </row>
    <row r="26" spans="1:27" ht="11.25" customHeight="1" x14ac:dyDescent="0.25">
      <c r="A26" s="130"/>
      <c r="B26" s="130"/>
      <c r="C26" s="130"/>
      <c r="D26" s="33" t="s">
        <v>30</v>
      </c>
      <c r="E26" s="33" t="s">
        <v>25</v>
      </c>
      <c r="F26" s="33" t="s">
        <v>25</v>
      </c>
      <c r="G26" s="32" t="s">
        <v>94</v>
      </c>
      <c r="H26" s="32" t="s">
        <v>88</v>
      </c>
      <c r="I26" s="32">
        <f>'MERCADO TE'!$U$23</f>
        <v>0</v>
      </c>
      <c r="J26" s="17"/>
      <c r="L26" s="30">
        <f>'TR TE'!$L$26*'TR TE'!$L$57</f>
        <v>2.5001912038720429</v>
      </c>
      <c r="M26" s="30">
        <f>'TR TE'!$M$26*'TR TE'!$M$57</f>
        <v>12.041216561838597</v>
      </c>
      <c r="N26" s="30">
        <f>'TR TE'!$N$26*'TR TE'!$N$57</f>
        <v>0</v>
      </c>
      <c r="O26" s="30">
        <f>'TR TE'!$O$26*('TR TE'!$O$57+'TR TE'!$O$58)</f>
        <v>1.9403804041426941E-13</v>
      </c>
      <c r="P26" s="30">
        <f>SUM($L$26:$O$26)</f>
        <v>14.541407765710835</v>
      </c>
      <c r="Q26" s="30">
        <f>'TR TE'!$Q$26*'TR TE'!$Q$57</f>
        <v>233.64275512213499</v>
      </c>
      <c r="R26" s="30">
        <f>SUM($Q$26:$Q$26)</f>
        <v>233.64275512213499</v>
      </c>
      <c r="S26" s="30">
        <f>'TR TE'!$S$26*'TR TE'!$S$57</f>
        <v>7.5601968849460697</v>
      </c>
      <c r="T26" s="30">
        <f>'TR TE'!$T$26*'TR TE'!$T$57</f>
        <v>5.5617204745840283</v>
      </c>
      <c r="U26" s="30">
        <f>'TR TE'!$U$26*'TR TE'!$U$57</f>
        <v>0</v>
      </c>
      <c r="V26" s="30">
        <f>SUM($S$26:$U$26)</f>
        <v>13.121917359530098</v>
      </c>
      <c r="W26" s="30"/>
      <c r="X26" s="30">
        <f>SUM($W$26:$W$26)</f>
        <v>0</v>
      </c>
      <c r="Y26" s="30">
        <f>'TR TE'!$Y$26*'TR TE'!$Y$57</f>
        <v>5.8054691462631443</v>
      </c>
      <c r="Z26" s="30">
        <f>SUM($Y$26:$Y$26)</f>
        <v>5.8054691462631443</v>
      </c>
      <c r="AA26" s="30">
        <f>SUMIF($L$4:$Z$4,"SUBTOTAL",$L$26:$Z$26)</f>
        <v>267.11154939363905</v>
      </c>
    </row>
    <row r="27" spans="1:27" ht="11.25" customHeight="1" x14ac:dyDescent="0.25">
      <c r="A27" s="130"/>
      <c r="B27" s="130"/>
      <c r="C27" s="130"/>
      <c r="D27" s="33" t="s">
        <v>31</v>
      </c>
      <c r="E27" s="33" t="s">
        <v>25</v>
      </c>
      <c r="F27" s="33" t="s">
        <v>25</v>
      </c>
      <c r="G27" s="32" t="s">
        <v>94</v>
      </c>
      <c r="H27" s="32" t="s">
        <v>88</v>
      </c>
      <c r="I27" s="32">
        <f>'MERCADO TE'!$U$24</f>
        <v>0</v>
      </c>
      <c r="J27" s="17"/>
      <c r="L27" s="30">
        <f>'TR TE'!$L$27*'TR TE'!$L$57</f>
        <v>2.5001912038720429</v>
      </c>
      <c r="M27" s="30">
        <f>'TR TE'!$M$27*'TR TE'!$M$57</f>
        <v>12.041216561838597</v>
      </c>
      <c r="N27" s="30">
        <f>'TR TE'!$N$27*'TR TE'!$N$57</f>
        <v>0</v>
      </c>
      <c r="O27" s="30">
        <f>'TR TE'!$O$27*('TR TE'!$O$57+'TR TE'!$O$58)</f>
        <v>1.9403804041426941E-13</v>
      </c>
      <c r="P27" s="30">
        <f>SUM($L$27:$O$27)</f>
        <v>14.541407765710835</v>
      </c>
      <c r="Q27" s="30">
        <f>'TR TE'!$Q$27*'TR TE'!$Q$57</f>
        <v>233.64275512213499</v>
      </c>
      <c r="R27" s="30">
        <f>SUM($Q$27:$Q$27)</f>
        <v>233.64275512213499</v>
      </c>
      <c r="S27" s="30">
        <f>'TR TE'!$S$27*'TR TE'!$S$57</f>
        <v>7.5601968849460697</v>
      </c>
      <c r="T27" s="30">
        <f>'TR TE'!$T$27*'TR TE'!$T$57</f>
        <v>5.5617204745840283</v>
      </c>
      <c r="U27" s="30">
        <f>'TR TE'!$U$27*'TR TE'!$U$57</f>
        <v>0</v>
      </c>
      <c r="V27" s="30">
        <f>SUM($S$27:$U$27)</f>
        <v>13.121917359530098</v>
      </c>
      <c r="W27" s="30"/>
      <c r="X27" s="30">
        <f>SUM($W$27:$W$27)</f>
        <v>0</v>
      </c>
      <c r="Y27" s="30">
        <f>'TR TE'!$Y$27*'TR TE'!$Y$57</f>
        <v>5.8054691462631443</v>
      </c>
      <c r="Z27" s="30">
        <f>SUM($Y$27:$Y$27)</f>
        <v>5.8054691462631443</v>
      </c>
      <c r="AA27" s="30">
        <f>SUMIF($L$4:$Z$4,"SUBTOTAL",$L$27:$Z$27)</f>
        <v>267.11154939363905</v>
      </c>
    </row>
    <row r="28" spans="1:27" ht="11.25" customHeight="1" x14ac:dyDescent="0.25">
      <c r="A28" s="130"/>
      <c r="B28" s="130"/>
      <c r="C28" s="130"/>
      <c r="D28" s="33" t="s">
        <v>32</v>
      </c>
      <c r="E28" s="33" t="s">
        <v>25</v>
      </c>
      <c r="F28" s="33" t="s">
        <v>25</v>
      </c>
      <c r="G28" s="32" t="s">
        <v>94</v>
      </c>
      <c r="H28" s="32" t="s">
        <v>88</v>
      </c>
      <c r="I28" s="32">
        <f>'MERCADO TE'!$U$25</f>
        <v>0</v>
      </c>
      <c r="J28" s="17"/>
      <c r="L28" s="30">
        <f>'TR TE'!$L$28*'TR TE'!$L$57</f>
        <v>2.5001912038720429</v>
      </c>
      <c r="M28" s="30">
        <f>'TR TE'!$M$28*'TR TE'!$M$57</f>
        <v>12.041216561838597</v>
      </c>
      <c r="N28" s="30">
        <f>'TR TE'!$N$28*'TR TE'!$N$57</f>
        <v>0</v>
      </c>
      <c r="O28" s="30">
        <f>'TR TE'!$O$28*('TR TE'!$O$57+'TR TE'!$O$58)</f>
        <v>1.9403804041426941E-13</v>
      </c>
      <c r="P28" s="30">
        <f>SUM($L$28:$O$28)</f>
        <v>14.541407765710835</v>
      </c>
      <c r="Q28" s="30">
        <f>'TR TE'!$Q$28*'TR TE'!$Q$57</f>
        <v>233.64275512213499</v>
      </c>
      <c r="R28" s="30">
        <f>SUM($Q$28:$Q$28)</f>
        <v>233.64275512213499</v>
      </c>
      <c r="S28" s="30">
        <f>'TR TE'!$S$28*'TR TE'!$S$57</f>
        <v>7.5601968849460697</v>
      </c>
      <c r="T28" s="30">
        <f>'TR TE'!$T$28*'TR TE'!$T$57</f>
        <v>5.5617204745840283</v>
      </c>
      <c r="U28" s="30">
        <f>'TR TE'!$U$28*'TR TE'!$U$57</f>
        <v>0</v>
      </c>
      <c r="V28" s="30">
        <f>SUM($S$28:$U$28)</f>
        <v>13.121917359530098</v>
      </c>
      <c r="W28" s="30"/>
      <c r="X28" s="30">
        <f>SUM($W$28:$W$28)</f>
        <v>0</v>
      </c>
      <c r="Y28" s="30">
        <f>'TR TE'!$Y$28*'TR TE'!$Y$57</f>
        <v>5.8054691462631443</v>
      </c>
      <c r="Z28" s="30">
        <f>SUM($Y$28:$Y$28)</f>
        <v>5.8054691462631443</v>
      </c>
      <c r="AA28" s="30">
        <f>SUMIF($L$4:$Z$4,"SUBTOTAL",$L$28:$Z$28)</f>
        <v>267.11154939363905</v>
      </c>
    </row>
    <row r="29" spans="1:27" ht="11.25" customHeight="1" x14ac:dyDescent="0.25">
      <c r="A29" s="130" t="s">
        <v>46</v>
      </c>
      <c r="B29" s="130" t="s">
        <v>87</v>
      </c>
      <c r="C29" s="130" t="s">
        <v>47</v>
      </c>
      <c r="D29" s="130" t="s">
        <v>25</v>
      </c>
      <c r="E29" s="130" t="s">
        <v>25</v>
      </c>
      <c r="F29" s="130" t="s">
        <v>25</v>
      </c>
      <c r="G29" s="32" t="s">
        <v>89</v>
      </c>
      <c r="H29" s="32" t="s">
        <v>88</v>
      </c>
      <c r="I29" s="32">
        <f>'MERCADO TE'!$U$26</f>
        <v>1.0549999999999999</v>
      </c>
      <c r="J29" s="17"/>
      <c r="L29" s="30">
        <f>'TR TE'!$L$29*'TR TE'!$L$57</f>
        <v>2.5001912038720429</v>
      </c>
      <c r="M29" s="30">
        <f>'TR TE'!$M$29*'TR TE'!$M$57</f>
        <v>12.041216561838597</v>
      </c>
      <c r="N29" s="30">
        <f>'TR TE'!$N$29*'TR TE'!$N$57</f>
        <v>0</v>
      </c>
      <c r="O29" s="30">
        <f>'TR TE'!$O$29*('TR TE'!$O$57+'TR TE'!$O$58)</f>
        <v>1.9403804041426941E-13</v>
      </c>
      <c r="P29" s="30">
        <f>SUM($L$29:$O$29)</f>
        <v>14.541407765710835</v>
      </c>
      <c r="Q29" s="30">
        <f>'TR TE'!$Q$29*'TR TE'!$Q$57</f>
        <v>379.11843283969068</v>
      </c>
      <c r="R29" s="30">
        <f>SUM($Q$29:$Q$29)</f>
        <v>379.11843283969068</v>
      </c>
      <c r="S29" s="30">
        <f>'TR TE'!$S$29*'TR TE'!$S$57</f>
        <v>7.5601968849460697</v>
      </c>
      <c r="T29" s="30">
        <f>'TR TE'!$T$29*'TR TE'!$T$57</f>
        <v>5.5617204745840283</v>
      </c>
      <c r="U29" s="30">
        <f>'TR TE'!$U$29*'TR TE'!$U$57</f>
        <v>0</v>
      </c>
      <c r="V29" s="30">
        <f>SUM($S$29:$U$29)</f>
        <v>13.121917359530098</v>
      </c>
      <c r="W29" s="30"/>
      <c r="X29" s="30">
        <f>SUM($W$29:$W$29)</f>
        <v>0</v>
      </c>
      <c r="Y29" s="30">
        <f>'TR TE'!$Y$29*'TR TE'!$Y$57</f>
        <v>5.8054691462631443</v>
      </c>
      <c r="Z29" s="30">
        <f>SUM($Y$29:$Y$29)</f>
        <v>5.8054691462631443</v>
      </c>
      <c r="AA29" s="30">
        <f>SUMIF($L$4:$Z$4,"SUBTOTAL",$L$29:$Z$29)</f>
        <v>412.58722711119475</v>
      </c>
    </row>
    <row r="30" spans="1:27" ht="11.25" customHeight="1" x14ac:dyDescent="0.25">
      <c r="A30" s="130"/>
      <c r="B30" s="130"/>
      <c r="C30" s="130"/>
      <c r="D30" s="130"/>
      <c r="E30" s="130"/>
      <c r="F30" s="130"/>
      <c r="G30" s="32" t="s">
        <v>100</v>
      </c>
      <c r="H30" s="32" t="s">
        <v>88</v>
      </c>
      <c r="I30" s="32">
        <f>'MERCADO TE'!$U$27</f>
        <v>0.57700000000000007</v>
      </c>
      <c r="J30" s="17"/>
      <c r="L30" s="30">
        <f>'TR TE'!$L$30*'TR TE'!$L$57</f>
        <v>2.5001912038720429</v>
      </c>
      <c r="M30" s="30">
        <f>'TR TE'!$M$30*'TR TE'!$M$57</f>
        <v>12.041216561838597</v>
      </c>
      <c r="N30" s="30">
        <f>'TR TE'!$N$30*'TR TE'!$N$57</f>
        <v>0</v>
      </c>
      <c r="O30" s="30">
        <f>'TR TE'!$O$30*('TR TE'!$O$57+'TR TE'!$O$58)</f>
        <v>1.9403804041426941E-13</v>
      </c>
      <c r="P30" s="30">
        <f>SUM($L$30:$O$30)</f>
        <v>14.541407765710835</v>
      </c>
      <c r="Q30" s="30">
        <f>'TR TE'!$Q$30*'TR TE'!$Q$57</f>
        <v>220.41769351144808</v>
      </c>
      <c r="R30" s="30">
        <f>SUM($Q$30:$Q$30)</f>
        <v>220.41769351144808</v>
      </c>
      <c r="S30" s="30">
        <f>'TR TE'!$S$30*'TR TE'!$S$57</f>
        <v>7.5601968849460697</v>
      </c>
      <c r="T30" s="30">
        <f>'TR TE'!$T$30*'TR TE'!$T$57</f>
        <v>5.5617204745840283</v>
      </c>
      <c r="U30" s="30">
        <f>'TR TE'!$U$30*'TR TE'!$U$57</f>
        <v>0</v>
      </c>
      <c r="V30" s="30">
        <f>SUM($S$30:$U$30)</f>
        <v>13.121917359530098</v>
      </c>
      <c r="W30" s="30"/>
      <c r="X30" s="30">
        <f>SUM($W$30:$W$30)</f>
        <v>0</v>
      </c>
      <c r="Y30" s="30">
        <f>'TR TE'!$Y$30*'TR TE'!$Y$57</f>
        <v>5.8054691462631443</v>
      </c>
      <c r="Z30" s="30">
        <f>SUM($Y$30:$Y$30)</f>
        <v>5.8054691462631443</v>
      </c>
      <c r="AA30" s="30">
        <f>SUMIF($L$4:$Z$4,"SUBTOTAL",$L$30:$Z$30)</f>
        <v>253.88648778295214</v>
      </c>
    </row>
    <row r="31" spans="1:27" ht="11.25" customHeight="1" x14ac:dyDescent="0.25">
      <c r="A31" s="130"/>
      <c r="B31" s="130"/>
      <c r="C31" s="130"/>
      <c r="D31" s="130"/>
      <c r="E31" s="130"/>
      <c r="F31" s="130"/>
      <c r="G31" s="32" t="s">
        <v>90</v>
      </c>
      <c r="H31" s="32" t="s">
        <v>88</v>
      </c>
      <c r="I31" s="32">
        <f>'MERCADO TE'!$U$28</f>
        <v>5.0120000000000005</v>
      </c>
      <c r="J31" s="17"/>
      <c r="L31" s="30">
        <f>'TR TE'!$L$31*'TR TE'!$L$57</f>
        <v>2.5001912038720429</v>
      </c>
      <c r="M31" s="30">
        <f>'TR TE'!$M$31*'TR TE'!$M$57</f>
        <v>12.041216561838597</v>
      </c>
      <c r="N31" s="30">
        <f>'TR TE'!$N$31*'TR TE'!$N$57</f>
        <v>0</v>
      </c>
      <c r="O31" s="30">
        <f>'TR TE'!$O$31*('TR TE'!$O$57+'TR TE'!$O$58)</f>
        <v>1.9403804041426941E-13</v>
      </c>
      <c r="P31" s="30">
        <f>SUM($L$31:$O$31)</f>
        <v>14.541407765710835</v>
      </c>
      <c r="Q31" s="30">
        <f>'TR TE'!$Q$31*'TR TE'!$Q$57</f>
        <v>220.41769351144808</v>
      </c>
      <c r="R31" s="30">
        <f>SUM($Q$31:$Q$31)</f>
        <v>220.41769351144808</v>
      </c>
      <c r="S31" s="30">
        <f>'TR TE'!$S$31*'TR TE'!$S$57</f>
        <v>7.5601968849460697</v>
      </c>
      <c r="T31" s="30">
        <f>'TR TE'!$T$31*'TR TE'!$T$57</f>
        <v>5.5617204745840283</v>
      </c>
      <c r="U31" s="30">
        <f>'TR TE'!$U$31*'TR TE'!$U$57</f>
        <v>0</v>
      </c>
      <c r="V31" s="30">
        <f>SUM($S$31:$U$31)</f>
        <v>13.121917359530098</v>
      </c>
      <c r="W31" s="30"/>
      <c r="X31" s="30">
        <f>SUM($W$31:$W$31)</f>
        <v>0</v>
      </c>
      <c r="Y31" s="30">
        <f>'TR TE'!$Y$31*'TR TE'!$Y$57</f>
        <v>5.8054691462631443</v>
      </c>
      <c r="Z31" s="30">
        <f>SUM($Y$31:$Y$31)</f>
        <v>5.8054691462631443</v>
      </c>
      <c r="AA31" s="30">
        <f>SUMIF($L$4:$Z$4,"SUBTOTAL",$L$31:$Z$31)</f>
        <v>253.88648778295214</v>
      </c>
    </row>
    <row r="32" spans="1:27" ht="11.25" customHeight="1" x14ac:dyDescent="0.25">
      <c r="A32" s="130"/>
      <c r="B32" s="33" t="s">
        <v>96</v>
      </c>
      <c r="C32" s="33" t="s">
        <v>47</v>
      </c>
      <c r="D32" s="33" t="s">
        <v>25</v>
      </c>
      <c r="E32" s="33" t="s">
        <v>25</v>
      </c>
      <c r="F32" s="33" t="s">
        <v>25</v>
      </c>
      <c r="G32" s="32" t="s">
        <v>94</v>
      </c>
      <c r="H32" s="32" t="s">
        <v>88</v>
      </c>
      <c r="I32" s="32">
        <f>'MERCADO TE'!$U$29</f>
        <v>81638.005000000005</v>
      </c>
      <c r="J32" s="17"/>
      <c r="L32" s="30">
        <f>'TR TE'!$L$32*'TR TE'!$L$57</f>
        <v>2.5001912038720429</v>
      </c>
      <c r="M32" s="30">
        <f>'TR TE'!$M$32*'TR TE'!$M$57</f>
        <v>12.041216561838597</v>
      </c>
      <c r="N32" s="30">
        <f>'TR TE'!$N$32*'TR TE'!$N$57</f>
        <v>0</v>
      </c>
      <c r="O32" s="30">
        <f>'TR TE'!$O$32*('TR TE'!$O$57+'TR TE'!$O$58)</f>
        <v>1.9403804041426941E-13</v>
      </c>
      <c r="P32" s="30">
        <f>SUM($L$32:$O$32)</f>
        <v>14.541407765710835</v>
      </c>
      <c r="Q32" s="30">
        <f>'TR TE'!$Q$32*'TR TE'!$Q$57</f>
        <v>233.64275512213499</v>
      </c>
      <c r="R32" s="30">
        <f>SUM($Q$32:$Q$32)</f>
        <v>233.64275512213499</v>
      </c>
      <c r="S32" s="30">
        <f>'TR TE'!$S$32*'TR TE'!$S$57</f>
        <v>7.5601968849460697</v>
      </c>
      <c r="T32" s="30">
        <f>'TR TE'!$T$32*'TR TE'!$T$57</f>
        <v>5.5617204745840283</v>
      </c>
      <c r="U32" s="30">
        <f>'TR TE'!$U$32*'TR TE'!$U$57</f>
        <v>0</v>
      </c>
      <c r="V32" s="30">
        <f>SUM($S$32:$U$32)</f>
        <v>13.121917359530098</v>
      </c>
      <c r="W32" s="30"/>
      <c r="X32" s="30">
        <f>SUM($W$32:$W$32)</f>
        <v>0</v>
      </c>
      <c r="Y32" s="30">
        <f>'TR TE'!$Y$32*'TR TE'!$Y$57</f>
        <v>5.8054691462631443</v>
      </c>
      <c r="Z32" s="30">
        <f>SUM($Y$32:$Y$32)</f>
        <v>5.8054691462631443</v>
      </c>
      <c r="AA32" s="30">
        <f>SUMIF($L$4:$Z$4,"SUBTOTAL",$L$32:$Z$32)</f>
        <v>267.11154939363905</v>
      </c>
    </row>
    <row r="33" spans="1:27" ht="11.25" customHeight="1" x14ac:dyDescent="0.25">
      <c r="A33" s="130"/>
      <c r="B33" s="130" t="s">
        <v>87</v>
      </c>
      <c r="C33" s="130" t="s">
        <v>47</v>
      </c>
      <c r="D33" s="130" t="s">
        <v>103</v>
      </c>
      <c r="E33" s="130" t="s">
        <v>25</v>
      </c>
      <c r="F33" s="130" t="s">
        <v>25</v>
      </c>
      <c r="G33" s="32" t="s">
        <v>89</v>
      </c>
      <c r="H33" s="32" t="s">
        <v>88</v>
      </c>
      <c r="I33" s="32">
        <f>'MERCADO TE'!$U$30</f>
        <v>0</v>
      </c>
      <c r="J33" s="17"/>
      <c r="L33" s="30">
        <f>'TR TE'!$L$33*'TR TE'!$L$57</f>
        <v>2.5001912038720429</v>
      </c>
      <c r="M33" s="30">
        <f>'TR TE'!$M$33*'TR TE'!$M$57</f>
        <v>12.041216561838597</v>
      </c>
      <c r="N33" s="30">
        <f>'TR TE'!$N$33*'TR TE'!$N$57</f>
        <v>0</v>
      </c>
      <c r="O33" s="30">
        <f>'TR TE'!$O$33*('TR TE'!$O$57+'TR TE'!$O$58)</f>
        <v>1.9403804041426941E-13</v>
      </c>
      <c r="P33" s="30">
        <f>SUM($L$33:$O$33)</f>
        <v>14.541407765710835</v>
      </c>
      <c r="Q33" s="30">
        <f>'TR TE'!$Q$33*'TR TE'!$Q$57</f>
        <v>379.11843283969068</v>
      </c>
      <c r="R33" s="30">
        <f>SUM($Q$33:$Q$33)</f>
        <v>379.11843283969068</v>
      </c>
      <c r="S33" s="30">
        <f>'TR TE'!$S$33*'TR TE'!$S$57</f>
        <v>7.5601968849460697</v>
      </c>
      <c r="T33" s="30">
        <f>'TR TE'!$T$33*'TR TE'!$T$57</f>
        <v>5.5617204745840283</v>
      </c>
      <c r="U33" s="30">
        <f>'TR TE'!$U$33*'TR TE'!$U$57</f>
        <v>0</v>
      </c>
      <c r="V33" s="30">
        <f>SUM($S$33:$U$33)</f>
        <v>13.121917359530098</v>
      </c>
      <c r="W33" s="30"/>
      <c r="X33" s="30">
        <f>SUM($W$33:$W$33)</f>
        <v>0</v>
      </c>
      <c r="Y33" s="30">
        <f>'TR TE'!$Y$33*'TR TE'!$Y$57</f>
        <v>5.8054691462631443</v>
      </c>
      <c r="Z33" s="30">
        <f>SUM($Y$33:$Y$33)</f>
        <v>5.8054691462631443</v>
      </c>
      <c r="AA33" s="30">
        <f>SUMIF($L$4:$Z$4,"SUBTOTAL",$L$33:$Z$33)</f>
        <v>412.58722711119475</v>
      </c>
    </row>
    <row r="34" spans="1:27" ht="11.25" customHeight="1" x14ac:dyDescent="0.25">
      <c r="A34" s="130"/>
      <c r="B34" s="130"/>
      <c r="C34" s="130"/>
      <c r="D34" s="130"/>
      <c r="E34" s="130"/>
      <c r="F34" s="130"/>
      <c r="G34" s="32" t="s">
        <v>100</v>
      </c>
      <c r="H34" s="32" t="s">
        <v>88</v>
      </c>
      <c r="I34" s="32">
        <f>'MERCADO TE'!$U$31</f>
        <v>0</v>
      </c>
      <c r="J34" s="17"/>
      <c r="L34" s="30">
        <f>'TR TE'!$L$34*'TR TE'!$L$57</f>
        <v>2.5001912038720429</v>
      </c>
      <c r="M34" s="30">
        <f>'TR TE'!$M$34*'TR TE'!$M$57</f>
        <v>12.041216561838597</v>
      </c>
      <c r="N34" s="30">
        <f>'TR TE'!$N$34*'TR TE'!$N$57</f>
        <v>0</v>
      </c>
      <c r="O34" s="30">
        <f>'TR TE'!$O$34*('TR TE'!$O$57+'TR TE'!$O$58)</f>
        <v>1.9403804041426941E-13</v>
      </c>
      <c r="P34" s="30">
        <f>SUM($L$34:$O$34)</f>
        <v>14.541407765710835</v>
      </c>
      <c r="Q34" s="30">
        <f>'TR TE'!$Q$34*'TR TE'!$Q$57</f>
        <v>220.41769351144808</v>
      </c>
      <c r="R34" s="30">
        <f>SUM($Q$34:$Q$34)</f>
        <v>220.41769351144808</v>
      </c>
      <c r="S34" s="30">
        <f>'TR TE'!$S$34*'TR TE'!$S$57</f>
        <v>7.5601968849460697</v>
      </c>
      <c r="T34" s="30">
        <f>'TR TE'!$T$34*'TR TE'!$T$57</f>
        <v>5.5617204745840283</v>
      </c>
      <c r="U34" s="30">
        <f>'TR TE'!$U$34*'TR TE'!$U$57</f>
        <v>0</v>
      </c>
      <c r="V34" s="30">
        <f>SUM($S$34:$U$34)</f>
        <v>13.121917359530098</v>
      </c>
      <c r="W34" s="30"/>
      <c r="X34" s="30">
        <f>SUM($W$34:$W$34)</f>
        <v>0</v>
      </c>
      <c r="Y34" s="30">
        <f>'TR TE'!$Y$34*'TR TE'!$Y$57</f>
        <v>5.8054691462631443</v>
      </c>
      <c r="Z34" s="30">
        <f>SUM($Y$34:$Y$34)</f>
        <v>5.8054691462631443</v>
      </c>
      <c r="AA34" s="30">
        <f>SUMIF($L$4:$Z$4,"SUBTOTAL",$L$34:$Z$34)</f>
        <v>253.88648778295214</v>
      </c>
    </row>
    <row r="35" spans="1:27" ht="11.25" customHeight="1" x14ac:dyDescent="0.25">
      <c r="A35" s="130"/>
      <c r="B35" s="130"/>
      <c r="C35" s="130"/>
      <c r="D35" s="130"/>
      <c r="E35" s="130"/>
      <c r="F35" s="130"/>
      <c r="G35" s="32" t="s">
        <v>90</v>
      </c>
      <c r="H35" s="32" t="s">
        <v>88</v>
      </c>
      <c r="I35" s="32">
        <f>'MERCADO TE'!$U$32</f>
        <v>0</v>
      </c>
      <c r="J35" s="17"/>
      <c r="L35" s="30">
        <f>'TR TE'!$L$35*'TR TE'!$L$57</f>
        <v>2.5001912038720429</v>
      </c>
      <c r="M35" s="30">
        <f>'TR TE'!$M$35*'TR TE'!$M$57</f>
        <v>12.041216561838597</v>
      </c>
      <c r="N35" s="30">
        <f>'TR TE'!$N$35*'TR TE'!$N$57</f>
        <v>0</v>
      </c>
      <c r="O35" s="30">
        <f>'TR TE'!$O$35*('TR TE'!$O$57+'TR TE'!$O$58)</f>
        <v>1.9403804041426941E-13</v>
      </c>
      <c r="P35" s="30">
        <f>SUM($L$35:$O$35)</f>
        <v>14.541407765710835</v>
      </c>
      <c r="Q35" s="30">
        <f>'TR TE'!$Q$35*'TR TE'!$Q$57</f>
        <v>220.41769351144808</v>
      </c>
      <c r="R35" s="30">
        <f>SUM($Q$35:$Q$35)</f>
        <v>220.41769351144808</v>
      </c>
      <c r="S35" s="30">
        <f>'TR TE'!$S$35*'TR TE'!$S$57</f>
        <v>7.5601968849460697</v>
      </c>
      <c r="T35" s="30">
        <f>'TR TE'!$T$35*'TR TE'!$T$57</f>
        <v>5.5617204745840283</v>
      </c>
      <c r="U35" s="30">
        <f>'TR TE'!$U$35*'TR TE'!$U$57</f>
        <v>0</v>
      </c>
      <c r="V35" s="30">
        <f>SUM($S$35:$U$35)</f>
        <v>13.121917359530098</v>
      </c>
      <c r="W35" s="30"/>
      <c r="X35" s="30">
        <f>SUM($W$35:$W$35)</f>
        <v>0</v>
      </c>
      <c r="Y35" s="30">
        <f>'TR TE'!$Y$35*'TR TE'!$Y$57</f>
        <v>5.8054691462631443</v>
      </c>
      <c r="Z35" s="30">
        <f>SUM($Y$35:$Y$35)</f>
        <v>5.8054691462631443</v>
      </c>
      <c r="AA35" s="30">
        <f>SUMIF($L$4:$Z$4,"SUBTOTAL",$L$35:$Z$35)</f>
        <v>253.88648778295214</v>
      </c>
    </row>
    <row r="36" spans="1:27" ht="11.25" customHeight="1" x14ac:dyDescent="0.25">
      <c r="A36" s="130"/>
      <c r="B36" s="33" t="s">
        <v>96</v>
      </c>
      <c r="C36" s="33" t="s">
        <v>47</v>
      </c>
      <c r="D36" s="33" t="s">
        <v>103</v>
      </c>
      <c r="E36" s="33" t="s">
        <v>25</v>
      </c>
      <c r="F36" s="33" t="s">
        <v>25</v>
      </c>
      <c r="G36" s="32" t="s">
        <v>94</v>
      </c>
      <c r="H36" s="32" t="s">
        <v>88</v>
      </c>
      <c r="I36" s="32">
        <f>'MERCADO TE'!$U$33</f>
        <v>0</v>
      </c>
      <c r="J36" s="17"/>
      <c r="L36" s="30">
        <f>'TR TE'!$L$36*'TR TE'!$L$57</f>
        <v>2.5001912038720429</v>
      </c>
      <c r="M36" s="30">
        <f>'TR TE'!$M$36*'TR TE'!$M$57</f>
        <v>12.041216561838597</v>
      </c>
      <c r="N36" s="30">
        <f>'TR TE'!$N$36*'TR TE'!$N$57</f>
        <v>0</v>
      </c>
      <c r="O36" s="30">
        <f>'TR TE'!$O$36*('TR TE'!$O$57+'TR TE'!$O$58)</f>
        <v>1.9403804041426941E-13</v>
      </c>
      <c r="P36" s="30">
        <f>SUM($L$36:$O$36)</f>
        <v>14.541407765710835</v>
      </c>
      <c r="Q36" s="30">
        <f>'TR TE'!$Q$36*'TR TE'!$Q$57</f>
        <v>233.64275512213499</v>
      </c>
      <c r="R36" s="30">
        <f>SUM($Q$36:$Q$36)</f>
        <v>233.64275512213499</v>
      </c>
      <c r="S36" s="30">
        <f>'TR TE'!$S$36*'TR TE'!$S$57</f>
        <v>7.5601968849460697</v>
      </c>
      <c r="T36" s="30">
        <f>'TR TE'!$T$36*'TR TE'!$T$57</f>
        <v>5.5617204745840283</v>
      </c>
      <c r="U36" s="30">
        <f>'TR TE'!$U$36*'TR TE'!$U$57</f>
        <v>0</v>
      </c>
      <c r="V36" s="30">
        <f>SUM($S$36:$U$36)</f>
        <v>13.121917359530098</v>
      </c>
      <c r="W36" s="30"/>
      <c r="X36" s="30">
        <f>SUM($W$36:$W$36)</f>
        <v>0</v>
      </c>
      <c r="Y36" s="30">
        <f>'TR TE'!$Y$36*'TR TE'!$Y$57</f>
        <v>5.8054691462631443</v>
      </c>
      <c r="Z36" s="30">
        <f>SUM($Y$36:$Y$36)</f>
        <v>5.8054691462631443</v>
      </c>
      <c r="AA36" s="30">
        <f>SUMIF($L$4:$Z$4,"SUBTOTAL",$L$36:$Z$36)</f>
        <v>267.11154939363905</v>
      </c>
    </row>
    <row r="37" spans="1:27" ht="11.25" customHeight="1" x14ac:dyDescent="0.25">
      <c r="A37" s="130"/>
      <c r="B37" s="130" t="s">
        <v>87</v>
      </c>
      <c r="C37" s="130" t="s">
        <v>47</v>
      </c>
      <c r="D37" s="130" t="s">
        <v>104</v>
      </c>
      <c r="E37" s="130" t="s">
        <v>25</v>
      </c>
      <c r="F37" s="130" t="s">
        <v>25</v>
      </c>
      <c r="G37" s="32" t="s">
        <v>89</v>
      </c>
      <c r="H37" s="32" t="s">
        <v>88</v>
      </c>
      <c r="I37" s="32">
        <f>'MERCADO TE'!$U$34</f>
        <v>0</v>
      </c>
      <c r="J37" s="17"/>
      <c r="L37" s="30">
        <f>'TR TE'!$L$37*'TR TE'!$L$57</f>
        <v>2.5001912038720429</v>
      </c>
      <c r="M37" s="30">
        <f>'TR TE'!$M$37*'TR TE'!$M$57</f>
        <v>12.041216561838597</v>
      </c>
      <c r="N37" s="30">
        <f>'TR TE'!$N$37*'TR TE'!$N$57</f>
        <v>0</v>
      </c>
      <c r="O37" s="30">
        <f>'TR TE'!$O$37*('TR TE'!$O$57+'TR TE'!$O$58)</f>
        <v>1.9403804041426941E-13</v>
      </c>
      <c r="P37" s="30">
        <f>SUM($L$37:$O$37)</f>
        <v>14.541407765710835</v>
      </c>
      <c r="Q37" s="30">
        <f>'TR TE'!$Q$37*'TR TE'!$Q$57</f>
        <v>379.11843283969068</v>
      </c>
      <c r="R37" s="30">
        <f>SUM($Q$37:$Q$37)</f>
        <v>379.11843283969068</v>
      </c>
      <c r="S37" s="30">
        <f>'TR TE'!$S$37*'TR TE'!$S$57</f>
        <v>7.5601968849460697</v>
      </c>
      <c r="T37" s="30">
        <f>'TR TE'!$T$37*'TR TE'!$T$57</f>
        <v>5.5617204745840283</v>
      </c>
      <c r="U37" s="30">
        <f>'TR TE'!$U$37*'TR TE'!$U$57</f>
        <v>0</v>
      </c>
      <c r="V37" s="30">
        <f>SUM($S$37:$U$37)</f>
        <v>13.121917359530098</v>
      </c>
      <c r="W37" s="30"/>
      <c r="X37" s="30">
        <f>SUM($W$37:$W$37)</f>
        <v>0</v>
      </c>
      <c r="Y37" s="30">
        <f>'TR TE'!$Y$37*'TR TE'!$Y$57</f>
        <v>5.8054691462631443</v>
      </c>
      <c r="Z37" s="30">
        <f>SUM($Y$37:$Y$37)</f>
        <v>5.8054691462631443</v>
      </c>
      <c r="AA37" s="30">
        <f>SUMIF($L$4:$Z$4,"SUBTOTAL",$L$37:$Z$37)</f>
        <v>412.58722711119475</v>
      </c>
    </row>
    <row r="38" spans="1:27" ht="11.25" customHeight="1" x14ac:dyDescent="0.25">
      <c r="A38" s="130"/>
      <c r="B38" s="130"/>
      <c r="C38" s="130"/>
      <c r="D38" s="130"/>
      <c r="E38" s="130"/>
      <c r="F38" s="130"/>
      <c r="G38" s="32" t="s">
        <v>100</v>
      </c>
      <c r="H38" s="32" t="s">
        <v>88</v>
      </c>
      <c r="I38" s="32">
        <f>'MERCADO TE'!$U$35</f>
        <v>0</v>
      </c>
      <c r="J38" s="17"/>
      <c r="L38" s="30">
        <f>'TR TE'!$L$38*'TR TE'!$L$57</f>
        <v>2.5001912038720429</v>
      </c>
      <c r="M38" s="30">
        <f>'TR TE'!$M$38*'TR TE'!$M$57</f>
        <v>12.041216561838597</v>
      </c>
      <c r="N38" s="30">
        <f>'TR TE'!$N$38*'TR TE'!$N$57</f>
        <v>0</v>
      </c>
      <c r="O38" s="30">
        <f>'TR TE'!$O$38*('TR TE'!$O$57+'TR TE'!$O$58)</f>
        <v>1.9403804041426941E-13</v>
      </c>
      <c r="P38" s="30">
        <f>SUM($L$38:$O$38)</f>
        <v>14.541407765710835</v>
      </c>
      <c r="Q38" s="30">
        <f>'TR TE'!$Q$38*'TR TE'!$Q$57</f>
        <v>220.41769351144808</v>
      </c>
      <c r="R38" s="30">
        <f>SUM($Q$38:$Q$38)</f>
        <v>220.41769351144808</v>
      </c>
      <c r="S38" s="30">
        <f>'TR TE'!$S$38*'TR TE'!$S$57</f>
        <v>7.5601968849460697</v>
      </c>
      <c r="T38" s="30">
        <f>'TR TE'!$T$38*'TR TE'!$T$57</f>
        <v>5.5617204745840283</v>
      </c>
      <c r="U38" s="30">
        <f>'TR TE'!$U$38*'TR TE'!$U$57</f>
        <v>0</v>
      </c>
      <c r="V38" s="30">
        <f>SUM($S$38:$U$38)</f>
        <v>13.121917359530098</v>
      </c>
      <c r="W38" s="30"/>
      <c r="X38" s="30">
        <f>SUM($W$38:$W$38)</f>
        <v>0</v>
      </c>
      <c r="Y38" s="30">
        <f>'TR TE'!$Y$38*'TR TE'!$Y$57</f>
        <v>5.8054691462631443</v>
      </c>
      <c r="Z38" s="30">
        <f>SUM($Y$38:$Y$38)</f>
        <v>5.8054691462631443</v>
      </c>
      <c r="AA38" s="30">
        <f>SUMIF($L$4:$Z$4,"SUBTOTAL",$L$38:$Z$38)</f>
        <v>253.88648778295214</v>
      </c>
    </row>
    <row r="39" spans="1:27" ht="11.25" customHeight="1" x14ac:dyDescent="0.25">
      <c r="A39" s="130"/>
      <c r="B39" s="130"/>
      <c r="C39" s="130"/>
      <c r="D39" s="130"/>
      <c r="E39" s="130"/>
      <c r="F39" s="130"/>
      <c r="G39" s="32" t="s">
        <v>90</v>
      </c>
      <c r="H39" s="32" t="s">
        <v>88</v>
      </c>
      <c r="I39" s="32">
        <f>'MERCADO TE'!$U$36</f>
        <v>0</v>
      </c>
      <c r="J39" s="17"/>
      <c r="L39" s="30">
        <f>'TR TE'!$L$39*'TR TE'!$L$57</f>
        <v>2.5001912038720429</v>
      </c>
      <c r="M39" s="30">
        <f>'TR TE'!$M$39*'TR TE'!$M$57</f>
        <v>12.041216561838597</v>
      </c>
      <c r="N39" s="30">
        <f>'TR TE'!$N$39*'TR TE'!$N$57</f>
        <v>0</v>
      </c>
      <c r="O39" s="30">
        <f>'TR TE'!$O$39*('TR TE'!$O$57+'TR TE'!$O$58)</f>
        <v>1.9403804041426941E-13</v>
      </c>
      <c r="P39" s="30">
        <f>SUM($L$39:$O$39)</f>
        <v>14.541407765710835</v>
      </c>
      <c r="Q39" s="30">
        <f>'TR TE'!$Q$39*'TR TE'!$Q$57</f>
        <v>220.41769351144808</v>
      </c>
      <c r="R39" s="30">
        <f>SUM($Q$39:$Q$39)</f>
        <v>220.41769351144808</v>
      </c>
      <c r="S39" s="30">
        <f>'TR TE'!$S$39*'TR TE'!$S$57</f>
        <v>7.5601968849460697</v>
      </c>
      <c r="T39" s="30">
        <f>'TR TE'!$T$39*'TR TE'!$T$57</f>
        <v>5.5617204745840283</v>
      </c>
      <c r="U39" s="30">
        <f>'TR TE'!$U$39*'TR TE'!$U$57</f>
        <v>0</v>
      </c>
      <c r="V39" s="30">
        <f>SUM($S$39:$U$39)</f>
        <v>13.121917359530098</v>
      </c>
      <c r="W39" s="30"/>
      <c r="X39" s="30">
        <f>SUM($W$39:$W$39)</f>
        <v>0</v>
      </c>
      <c r="Y39" s="30">
        <f>'TR TE'!$Y$39*'TR TE'!$Y$57</f>
        <v>5.8054691462631443</v>
      </c>
      <c r="Z39" s="30">
        <f>SUM($Y$39:$Y$39)</f>
        <v>5.8054691462631443</v>
      </c>
      <c r="AA39" s="30">
        <f>SUMIF($L$4:$Z$4,"SUBTOTAL",$L$39:$Z$39)</f>
        <v>253.88648778295214</v>
      </c>
    </row>
    <row r="40" spans="1:27" ht="11.25" customHeight="1" x14ac:dyDescent="0.25">
      <c r="A40" s="130"/>
      <c r="B40" s="33" t="s">
        <v>96</v>
      </c>
      <c r="C40" s="33" t="s">
        <v>47</v>
      </c>
      <c r="D40" s="33" t="s">
        <v>104</v>
      </c>
      <c r="E40" s="33" t="s">
        <v>25</v>
      </c>
      <c r="F40" s="33" t="s">
        <v>25</v>
      </c>
      <c r="G40" s="32" t="s">
        <v>94</v>
      </c>
      <c r="H40" s="32" t="s">
        <v>88</v>
      </c>
      <c r="I40" s="32">
        <f>'MERCADO TE'!$U$37</f>
        <v>0</v>
      </c>
      <c r="J40" s="17"/>
      <c r="L40" s="30">
        <f>'TR TE'!$L$40*'TR TE'!$L$57</f>
        <v>2.5001912038720429</v>
      </c>
      <c r="M40" s="30">
        <f>'TR TE'!$M$40*'TR TE'!$M$57</f>
        <v>12.041216561838597</v>
      </c>
      <c r="N40" s="30">
        <f>'TR TE'!$N$40*'TR TE'!$N$57</f>
        <v>0</v>
      </c>
      <c r="O40" s="30">
        <f>'TR TE'!$O$40*('TR TE'!$O$57+'TR TE'!$O$58)</f>
        <v>1.9403804041426941E-13</v>
      </c>
      <c r="P40" s="30">
        <f>SUM($L$40:$O$40)</f>
        <v>14.541407765710835</v>
      </c>
      <c r="Q40" s="30">
        <f>'TR TE'!$Q$40*'TR TE'!$Q$57</f>
        <v>233.64275512213499</v>
      </c>
      <c r="R40" s="30">
        <f>SUM($Q$40:$Q$40)</f>
        <v>233.64275512213499</v>
      </c>
      <c r="S40" s="30">
        <f>'TR TE'!$S$40*'TR TE'!$S$57</f>
        <v>7.5601968849460697</v>
      </c>
      <c r="T40" s="30">
        <f>'TR TE'!$T$40*'TR TE'!$T$57</f>
        <v>5.5617204745840283</v>
      </c>
      <c r="U40" s="30">
        <f>'TR TE'!$U$40*'TR TE'!$U$57</f>
        <v>0</v>
      </c>
      <c r="V40" s="30">
        <f>SUM($S$40:$U$40)</f>
        <v>13.121917359530098</v>
      </c>
      <c r="W40" s="30"/>
      <c r="X40" s="30">
        <f>SUM($W$40:$W$40)</f>
        <v>0</v>
      </c>
      <c r="Y40" s="30">
        <f>'TR TE'!$Y$40*'TR TE'!$Y$57</f>
        <v>5.8054691462631443</v>
      </c>
      <c r="Z40" s="30">
        <f>SUM($Y$40:$Y$40)</f>
        <v>5.8054691462631443</v>
      </c>
      <c r="AA40" s="30">
        <f>SUMIF($L$4:$Z$4,"SUBTOTAL",$L$40:$Z$40)</f>
        <v>267.11154939363905</v>
      </c>
    </row>
    <row r="41" spans="1:27" ht="11.25" customHeight="1" x14ac:dyDescent="0.25">
      <c r="A41" s="130"/>
      <c r="B41" s="130" t="s">
        <v>101</v>
      </c>
      <c r="C41" s="130" t="s">
        <v>47</v>
      </c>
      <c r="D41" s="33" t="s">
        <v>25</v>
      </c>
      <c r="E41" s="33" t="s">
        <v>25</v>
      </c>
      <c r="F41" s="33" t="s">
        <v>25</v>
      </c>
      <c r="G41" s="32" t="s">
        <v>94</v>
      </c>
      <c r="H41" s="32" t="s">
        <v>88</v>
      </c>
      <c r="I41" s="32">
        <f>'MERCADO TE'!$U$38</f>
        <v>0</v>
      </c>
      <c r="J41" s="17"/>
      <c r="L41" s="30">
        <f>'TR TE'!$L$41*'TR TE'!$L$57</f>
        <v>2.5001912038720429</v>
      </c>
      <c r="M41" s="30">
        <f>'TR TE'!$M$41*'TR TE'!$M$57</f>
        <v>12.041216561838597</v>
      </c>
      <c r="N41" s="30">
        <f>'TR TE'!$N$41*'TR TE'!$N$57</f>
        <v>0</v>
      </c>
      <c r="O41" s="30">
        <f>'TR TE'!$O$41*('TR TE'!$O$57+'TR TE'!$O$58)</f>
        <v>1.9403804041426941E-13</v>
      </c>
      <c r="P41" s="30">
        <f>SUM($L$41:$O$41)</f>
        <v>14.541407765710835</v>
      </c>
      <c r="Q41" s="30">
        <f>'TR TE'!$Q$41*'TR TE'!$Q$57</f>
        <v>233.64275512213499</v>
      </c>
      <c r="R41" s="30">
        <f>SUM($Q$41:$Q$41)</f>
        <v>233.64275512213499</v>
      </c>
      <c r="S41" s="30">
        <f>'TR TE'!$S$41*'TR TE'!$S$57</f>
        <v>7.5601968849460697</v>
      </c>
      <c r="T41" s="30">
        <f>'TR TE'!$T$41*'TR TE'!$T$57</f>
        <v>5.5617204745840283</v>
      </c>
      <c r="U41" s="30">
        <f>'TR TE'!$U$41*'TR TE'!$U$57</f>
        <v>0</v>
      </c>
      <c r="V41" s="30">
        <f>SUM($S$41:$U$41)</f>
        <v>13.121917359530098</v>
      </c>
      <c r="W41" s="30"/>
      <c r="X41" s="30">
        <f>SUM($W$41:$W$41)</f>
        <v>0</v>
      </c>
      <c r="Y41" s="30">
        <f>'TR TE'!$Y$41*'TR TE'!$Y$57</f>
        <v>5.8054691462631443</v>
      </c>
      <c r="Z41" s="30">
        <f>SUM($Y$41:$Y$41)</f>
        <v>5.8054691462631443</v>
      </c>
      <c r="AA41" s="30">
        <f>SUMIF($L$4:$Z$4,"SUBTOTAL",$L$41:$Z$41)</f>
        <v>267.11154939363905</v>
      </c>
    </row>
    <row r="42" spans="1:27" ht="11.25" customHeight="1" x14ac:dyDescent="0.25">
      <c r="A42" s="130"/>
      <c r="B42" s="130"/>
      <c r="C42" s="130"/>
      <c r="D42" s="33" t="s">
        <v>103</v>
      </c>
      <c r="E42" s="33" t="s">
        <v>25</v>
      </c>
      <c r="F42" s="33" t="s">
        <v>25</v>
      </c>
      <c r="G42" s="32" t="s">
        <v>94</v>
      </c>
      <c r="H42" s="32" t="s">
        <v>88</v>
      </c>
      <c r="I42" s="32">
        <f>'MERCADO TE'!$U$39</f>
        <v>0</v>
      </c>
      <c r="J42" s="17"/>
      <c r="L42" s="30">
        <f>'TR TE'!$L$42*'TR TE'!$L$57</f>
        <v>2.5001912038720429</v>
      </c>
      <c r="M42" s="30">
        <f>'TR TE'!$M$42*'TR TE'!$M$57</f>
        <v>12.041216561838597</v>
      </c>
      <c r="N42" s="30">
        <f>'TR TE'!$N$42*'TR TE'!$N$57</f>
        <v>0</v>
      </c>
      <c r="O42" s="30">
        <f>'TR TE'!$O$42*('TR TE'!$O$57+'TR TE'!$O$58)</f>
        <v>1.9403804041426941E-13</v>
      </c>
      <c r="P42" s="30">
        <f>SUM($L$42:$O$42)</f>
        <v>14.541407765710835</v>
      </c>
      <c r="Q42" s="30">
        <f>'TR TE'!$Q$42*'TR TE'!$Q$57</f>
        <v>233.64275512213499</v>
      </c>
      <c r="R42" s="30">
        <f>SUM($Q$42:$Q$42)</f>
        <v>233.64275512213499</v>
      </c>
      <c r="S42" s="30">
        <f>'TR TE'!$S$42*'TR TE'!$S$57</f>
        <v>7.5601968849460697</v>
      </c>
      <c r="T42" s="30">
        <f>'TR TE'!$T$42*'TR TE'!$T$57</f>
        <v>5.5617204745840283</v>
      </c>
      <c r="U42" s="30">
        <f>'TR TE'!$U$42*'TR TE'!$U$57</f>
        <v>0</v>
      </c>
      <c r="V42" s="30">
        <f>SUM($S$42:$U$42)</f>
        <v>13.121917359530098</v>
      </c>
      <c r="W42" s="30"/>
      <c r="X42" s="30">
        <f>SUM($W$42:$W$42)</f>
        <v>0</v>
      </c>
      <c r="Y42" s="30">
        <f>'TR TE'!$Y$42*'TR TE'!$Y$57</f>
        <v>5.8054691462631443</v>
      </c>
      <c r="Z42" s="30">
        <f>SUM($Y$42:$Y$42)</f>
        <v>5.8054691462631443</v>
      </c>
      <c r="AA42" s="30">
        <f>SUMIF($L$4:$Z$4,"SUBTOTAL",$L$42:$Z$42)</f>
        <v>267.11154939363905</v>
      </c>
    </row>
    <row r="43" spans="1:27" ht="11.25" customHeight="1" x14ac:dyDescent="0.25">
      <c r="A43" s="130"/>
      <c r="B43" s="130"/>
      <c r="C43" s="130"/>
      <c r="D43" s="33" t="s">
        <v>104</v>
      </c>
      <c r="E43" s="33" t="s">
        <v>25</v>
      </c>
      <c r="F43" s="33" t="s">
        <v>25</v>
      </c>
      <c r="G43" s="32" t="s">
        <v>94</v>
      </c>
      <c r="H43" s="32" t="s">
        <v>88</v>
      </c>
      <c r="I43" s="32">
        <f>'MERCADO TE'!$U$40</f>
        <v>0</v>
      </c>
      <c r="J43" s="17"/>
      <c r="L43" s="30">
        <f>'TR TE'!$L$43*'TR TE'!$L$57</f>
        <v>2.5001912038720429</v>
      </c>
      <c r="M43" s="30">
        <f>'TR TE'!$M$43*'TR TE'!$M$57</f>
        <v>12.041216561838597</v>
      </c>
      <c r="N43" s="30">
        <f>'TR TE'!$N$43*'TR TE'!$N$57</f>
        <v>0</v>
      </c>
      <c r="O43" s="30">
        <f>'TR TE'!$O$43*('TR TE'!$O$57+'TR TE'!$O$58)</f>
        <v>1.9403804041426941E-13</v>
      </c>
      <c r="P43" s="30">
        <f>SUM($L$43:$O$43)</f>
        <v>14.541407765710835</v>
      </c>
      <c r="Q43" s="30">
        <f>'TR TE'!$Q$43*'TR TE'!$Q$57</f>
        <v>233.64275512213499</v>
      </c>
      <c r="R43" s="30">
        <f>SUM($Q$43:$Q$43)</f>
        <v>233.64275512213499</v>
      </c>
      <c r="S43" s="30">
        <f>'TR TE'!$S$43*'TR TE'!$S$57</f>
        <v>7.5601968849460697</v>
      </c>
      <c r="T43" s="30">
        <f>'TR TE'!$T$43*'TR TE'!$T$57</f>
        <v>5.5617204745840283</v>
      </c>
      <c r="U43" s="30">
        <f>'TR TE'!$U$43*'TR TE'!$U$57</f>
        <v>0</v>
      </c>
      <c r="V43" s="30">
        <f>SUM($S$43:$U$43)</f>
        <v>13.121917359530098</v>
      </c>
      <c r="W43" s="30"/>
      <c r="X43" s="30">
        <f>SUM($W$43:$W$43)</f>
        <v>0</v>
      </c>
      <c r="Y43" s="30">
        <f>'TR TE'!$Y$43*'TR TE'!$Y$57</f>
        <v>5.8054691462631443</v>
      </c>
      <c r="Z43" s="30">
        <f>SUM($Y$43:$Y$43)</f>
        <v>5.8054691462631443</v>
      </c>
      <c r="AA43" s="30">
        <f>SUMIF($L$4:$Z$4,"SUBTOTAL",$L$43:$Z$43)</f>
        <v>267.11154939363905</v>
      </c>
    </row>
    <row r="44" spans="1:27" ht="11.25" customHeight="1" x14ac:dyDescent="0.25">
      <c r="A44" s="130" t="s">
        <v>39</v>
      </c>
      <c r="B44" s="130" t="s">
        <v>87</v>
      </c>
      <c r="C44" s="130" t="s">
        <v>25</v>
      </c>
      <c r="D44" s="130" t="s">
        <v>25</v>
      </c>
      <c r="E44" s="130" t="s">
        <v>25</v>
      </c>
      <c r="F44" s="130" t="s">
        <v>25</v>
      </c>
      <c r="G44" s="32" t="s">
        <v>89</v>
      </c>
      <c r="H44" s="32" t="s">
        <v>88</v>
      </c>
      <c r="I44" s="32">
        <f>'MERCADO TE'!$U$41</f>
        <v>133.67100000000025</v>
      </c>
      <c r="J44" s="17"/>
      <c r="L44" s="30">
        <f>'TR TE'!$L$44*'TR TE'!$L$57</f>
        <v>2.5001912038720429</v>
      </c>
      <c r="M44" s="30">
        <f>'TR TE'!$M$44*'TR TE'!$M$57</f>
        <v>12.041216561838597</v>
      </c>
      <c r="N44" s="30">
        <f>'TR TE'!$N$44*'TR TE'!$N$57</f>
        <v>0</v>
      </c>
      <c r="O44" s="30">
        <f>'TR TE'!$O$44*('TR TE'!$O$57+'TR TE'!$O$58)</f>
        <v>1.9403804041426941E-13</v>
      </c>
      <c r="P44" s="30">
        <f>SUM($L$44:$O$44)</f>
        <v>14.541407765710835</v>
      </c>
      <c r="Q44" s="30">
        <f>'TR TE'!$Q$44*'TR TE'!$Q$57</f>
        <v>379.11843283969068</v>
      </c>
      <c r="R44" s="30">
        <f>SUM($Q$44:$Q$44)</f>
        <v>379.11843283969068</v>
      </c>
      <c r="S44" s="30">
        <f>'TR TE'!$S$44*'TR TE'!$S$57</f>
        <v>7.5601968849460697</v>
      </c>
      <c r="T44" s="30">
        <f>'TR TE'!$T$44*'TR TE'!$T$57</f>
        <v>5.5617204745840283</v>
      </c>
      <c r="U44" s="30">
        <f>'TR TE'!$U$44*'TR TE'!$U$57</f>
        <v>0</v>
      </c>
      <c r="V44" s="30">
        <f>SUM($S$44:$U$44)</f>
        <v>13.121917359530098</v>
      </c>
      <c r="W44" s="30"/>
      <c r="X44" s="30">
        <f>SUM($W$44:$W$44)</f>
        <v>0</v>
      </c>
      <c r="Y44" s="30">
        <f>'TR TE'!$Y$44*'TR TE'!$Y$57</f>
        <v>5.8054691462631443</v>
      </c>
      <c r="Z44" s="30">
        <f>SUM($Y$44:$Y$44)</f>
        <v>5.8054691462631443</v>
      </c>
      <c r="AA44" s="30">
        <f>SUMIF($L$4:$Z$4,"SUBTOTAL",$L$44:$Z$44)</f>
        <v>412.58722711119475</v>
      </c>
    </row>
    <row r="45" spans="1:27" ht="11.25" customHeight="1" x14ac:dyDescent="0.25">
      <c r="A45" s="130"/>
      <c r="B45" s="130"/>
      <c r="C45" s="130"/>
      <c r="D45" s="130"/>
      <c r="E45" s="130"/>
      <c r="F45" s="130"/>
      <c r="G45" s="32" t="s">
        <v>100</v>
      </c>
      <c r="H45" s="32" t="s">
        <v>88</v>
      </c>
      <c r="I45" s="32">
        <f>'MERCADO TE'!$U$42</f>
        <v>52.353999999999928</v>
      </c>
      <c r="J45" s="17"/>
      <c r="L45" s="30">
        <f>'TR TE'!$L$45*'TR TE'!$L$57</f>
        <v>2.5001912038720429</v>
      </c>
      <c r="M45" s="30">
        <f>'TR TE'!$M$45*'TR TE'!$M$57</f>
        <v>12.041216561838597</v>
      </c>
      <c r="N45" s="30">
        <f>'TR TE'!$N$45*'TR TE'!$N$57</f>
        <v>0</v>
      </c>
      <c r="O45" s="30">
        <f>'TR TE'!$O$45*('TR TE'!$O$57+'TR TE'!$O$58)</f>
        <v>1.9403804041426941E-13</v>
      </c>
      <c r="P45" s="30">
        <f>SUM($L$45:$O$45)</f>
        <v>14.541407765710835</v>
      </c>
      <c r="Q45" s="30">
        <f>'TR TE'!$Q$45*'TR TE'!$Q$57</f>
        <v>220.41769351144808</v>
      </c>
      <c r="R45" s="30">
        <f>SUM($Q$45:$Q$45)</f>
        <v>220.41769351144808</v>
      </c>
      <c r="S45" s="30">
        <f>'TR TE'!$S$45*'TR TE'!$S$57</f>
        <v>7.5601968849460697</v>
      </c>
      <c r="T45" s="30">
        <f>'TR TE'!$T$45*'TR TE'!$T$57</f>
        <v>5.5617204745840283</v>
      </c>
      <c r="U45" s="30">
        <f>'TR TE'!$U$45*'TR TE'!$U$57</f>
        <v>0</v>
      </c>
      <c r="V45" s="30">
        <f>SUM($S$45:$U$45)</f>
        <v>13.121917359530098</v>
      </c>
      <c r="W45" s="30"/>
      <c r="X45" s="30">
        <f>SUM($W$45:$W$45)</f>
        <v>0</v>
      </c>
      <c r="Y45" s="30">
        <f>'TR TE'!$Y$45*'TR TE'!$Y$57</f>
        <v>5.8054691462631443</v>
      </c>
      <c r="Z45" s="30">
        <f>SUM($Y$45:$Y$45)</f>
        <v>5.8054691462631443</v>
      </c>
      <c r="AA45" s="30">
        <f>SUMIF($L$4:$Z$4,"SUBTOTAL",$L$45:$Z$45)</f>
        <v>253.88648778295214</v>
      </c>
    </row>
    <row r="46" spans="1:27" ht="11.25" customHeight="1" x14ac:dyDescent="0.25">
      <c r="A46" s="130"/>
      <c r="B46" s="130"/>
      <c r="C46" s="130"/>
      <c r="D46" s="130"/>
      <c r="E46" s="130"/>
      <c r="F46" s="130"/>
      <c r="G46" s="32" t="s">
        <v>90</v>
      </c>
      <c r="H46" s="32" t="s">
        <v>88</v>
      </c>
      <c r="I46" s="32">
        <f>'MERCADO TE'!$U$43</f>
        <v>4172.1789999999992</v>
      </c>
      <c r="J46" s="17"/>
      <c r="L46" s="30">
        <f>'TR TE'!$L$46*'TR TE'!$L$57</f>
        <v>2.5001912038720429</v>
      </c>
      <c r="M46" s="30">
        <f>'TR TE'!$M$46*'TR TE'!$M$57</f>
        <v>12.041216561838597</v>
      </c>
      <c r="N46" s="30">
        <f>'TR TE'!$N$46*'TR TE'!$N$57</f>
        <v>0</v>
      </c>
      <c r="O46" s="30">
        <f>'TR TE'!$O$46*('TR TE'!$O$57+'TR TE'!$O$58)</f>
        <v>1.9403804041426941E-13</v>
      </c>
      <c r="P46" s="30">
        <f>SUM($L$46:$O$46)</f>
        <v>14.541407765710835</v>
      </c>
      <c r="Q46" s="30">
        <f>'TR TE'!$Q$46*'TR TE'!$Q$57</f>
        <v>220.41769351144808</v>
      </c>
      <c r="R46" s="30">
        <f>SUM($Q$46:$Q$46)</f>
        <v>220.41769351144808</v>
      </c>
      <c r="S46" s="30">
        <f>'TR TE'!$S$46*'TR TE'!$S$57</f>
        <v>7.5601968849460697</v>
      </c>
      <c r="T46" s="30">
        <f>'TR TE'!$T$46*'TR TE'!$T$57</f>
        <v>5.5617204745840283</v>
      </c>
      <c r="U46" s="30">
        <f>'TR TE'!$U$46*'TR TE'!$U$57</f>
        <v>0</v>
      </c>
      <c r="V46" s="30">
        <f>SUM($S$46:$U$46)</f>
        <v>13.121917359530098</v>
      </c>
      <c r="W46" s="30"/>
      <c r="X46" s="30">
        <f>SUM($W$46:$W$46)</f>
        <v>0</v>
      </c>
      <c r="Y46" s="30">
        <f>'TR TE'!$Y$46*'TR TE'!$Y$57</f>
        <v>5.8054691462631443</v>
      </c>
      <c r="Z46" s="30">
        <f>SUM($Y$46:$Y$46)</f>
        <v>5.8054691462631443</v>
      </c>
      <c r="AA46" s="30">
        <f>SUMIF($L$4:$Z$4,"SUBTOTAL",$L$46:$Z$46)</f>
        <v>253.88648778295214</v>
      </c>
    </row>
    <row r="47" spans="1:27" ht="11.25" customHeight="1" x14ac:dyDescent="0.25">
      <c r="A47" s="130"/>
      <c r="B47" s="33" t="s">
        <v>96</v>
      </c>
      <c r="C47" s="33" t="s">
        <v>25</v>
      </c>
      <c r="D47" s="33" t="s">
        <v>25</v>
      </c>
      <c r="E47" s="33" t="s">
        <v>25</v>
      </c>
      <c r="F47" s="33" t="s">
        <v>25</v>
      </c>
      <c r="G47" s="32" t="s">
        <v>94</v>
      </c>
      <c r="H47" s="32" t="s">
        <v>88</v>
      </c>
      <c r="I47" s="32">
        <f>'MERCADO TE'!$U$44</f>
        <v>1033015.7139999998</v>
      </c>
      <c r="J47" s="17"/>
      <c r="L47" s="30">
        <f>'TR TE'!$L$47*'TR TE'!$L$57</f>
        <v>2.5001912038720429</v>
      </c>
      <c r="M47" s="30">
        <f>'TR TE'!$M$47*'TR TE'!$M$57</f>
        <v>12.041216561838597</v>
      </c>
      <c r="N47" s="30">
        <f>'TR TE'!$N$47*'TR TE'!$N$57</f>
        <v>0</v>
      </c>
      <c r="O47" s="30">
        <f>'TR TE'!$O$47*('TR TE'!$O$57+'TR TE'!$O$58)</f>
        <v>1.9403804041426941E-13</v>
      </c>
      <c r="P47" s="30">
        <f>SUM($L$47:$O$47)</f>
        <v>14.541407765710835</v>
      </c>
      <c r="Q47" s="30">
        <f>'TR TE'!$Q$47*'TR TE'!$Q$57</f>
        <v>233.64275512213499</v>
      </c>
      <c r="R47" s="30">
        <f>SUM($Q$47:$Q$47)</f>
        <v>233.64275512213499</v>
      </c>
      <c r="S47" s="30">
        <f>'TR TE'!$S$47*'TR TE'!$S$57</f>
        <v>7.5601968849460697</v>
      </c>
      <c r="T47" s="30">
        <f>'TR TE'!$T$47*'TR TE'!$T$57</f>
        <v>5.5617204745840283</v>
      </c>
      <c r="U47" s="30">
        <f>'TR TE'!$U$47*'TR TE'!$U$57</f>
        <v>0</v>
      </c>
      <c r="V47" s="30">
        <f>SUM($S$47:$U$47)</f>
        <v>13.121917359530098</v>
      </c>
      <c r="W47" s="30"/>
      <c r="X47" s="30">
        <f>SUM($W$47:$W$47)</f>
        <v>0</v>
      </c>
      <c r="Y47" s="30">
        <f>'TR TE'!$Y$47*'TR TE'!$Y$57</f>
        <v>5.8054691462631443</v>
      </c>
      <c r="Z47" s="30">
        <f>SUM($Y$47:$Y$47)</f>
        <v>5.8054691462631443</v>
      </c>
      <c r="AA47" s="30">
        <f>SUMIF($L$4:$Z$4,"SUBTOTAL",$L$47:$Z$47)</f>
        <v>267.11154939363905</v>
      </c>
    </row>
    <row r="48" spans="1:27" ht="11.25" customHeight="1" x14ac:dyDescent="0.25">
      <c r="A48" s="130"/>
      <c r="B48" s="33" t="s">
        <v>101</v>
      </c>
      <c r="C48" s="33" t="s">
        <v>25</v>
      </c>
      <c r="D48" s="33" t="s">
        <v>25</v>
      </c>
      <c r="E48" s="33" t="s">
        <v>25</v>
      </c>
      <c r="F48" s="33" t="s">
        <v>25</v>
      </c>
      <c r="G48" s="32" t="s">
        <v>94</v>
      </c>
      <c r="H48" s="32" t="s">
        <v>88</v>
      </c>
      <c r="I48" s="32">
        <f>'MERCADO TE'!$U$45</f>
        <v>0</v>
      </c>
      <c r="J48" s="17"/>
      <c r="L48" s="30">
        <f>'TR TE'!$L$48*'TR TE'!$L$57</f>
        <v>2.5001912038720429</v>
      </c>
      <c r="M48" s="30">
        <f>'TR TE'!$M$48*'TR TE'!$M$57</f>
        <v>12.041216561838597</v>
      </c>
      <c r="N48" s="30">
        <f>'TR TE'!$N$48*'TR TE'!$N$57</f>
        <v>0</v>
      </c>
      <c r="O48" s="30">
        <f>'TR TE'!$O$48*('TR TE'!$O$57+'TR TE'!$O$58)</f>
        <v>1.9403804041426941E-13</v>
      </c>
      <c r="P48" s="30">
        <f>SUM($L$48:$O$48)</f>
        <v>14.541407765710835</v>
      </c>
      <c r="Q48" s="30">
        <f>'TR TE'!$Q$48*'TR TE'!$Q$57</f>
        <v>233.64275512213499</v>
      </c>
      <c r="R48" s="30">
        <f>SUM($Q$48:$Q$48)</f>
        <v>233.64275512213499</v>
      </c>
      <c r="S48" s="30">
        <f>'TR TE'!$S$48*'TR TE'!$S$57</f>
        <v>7.5601968849460697</v>
      </c>
      <c r="T48" s="30">
        <f>'TR TE'!$T$48*'TR TE'!$T$57</f>
        <v>5.5617204745840283</v>
      </c>
      <c r="U48" s="30">
        <f>'TR TE'!$U$48*'TR TE'!$U$57</f>
        <v>0</v>
      </c>
      <c r="V48" s="30">
        <f>SUM($S$48:$U$48)</f>
        <v>13.121917359530098</v>
      </c>
      <c r="W48" s="30"/>
      <c r="X48" s="30">
        <f>SUM($W$48:$W$48)</f>
        <v>0</v>
      </c>
      <c r="Y48" s="30">
        <f>'TR TE'!$Y$48*'TR TE'!$Y$57</f>
        <v>5.8054691462631443</v>
      </c>
      <c r="Z48" s="30">
        <f>SUM($Y$48:$Y$48)</f>
        <v>5.8054691462631443</v>
      </c>
      <c r="AA48" s="30">
        <f>SUMIF($L$4:$Z$4,"SUBTOTAL",$L$48:$Z$48)</f>
        <v>267.11154939363905</v>
      </c>
    </row>
    <row r="49" spans="1:27" ht="11.25" customHeight="1" x14ac:dyDescent="0.25">
      <c r="A49" s="130" t="s">
        <v>49</v>
      </c>
      <c r="B49" s="130" t="s">
        <v>96</v>
      </c>
      <c r="C49" s="130" t="s">
        <v>50</v>
      </c>
      <c r="D49" s="33" t="s">
        <v>51</v>
      </c>
      <c r="E49" s="33" t="s">
        <v>25</v>
      </c>
      <c r="F49" s="33" t="s">
        <v>25</v>
      </c>
      <c r="G49" s="32" t="s">
        <v>94</v>
      </c>
      <c r="H49" s="32" t="s">
        <v>88</v>
      </c>
      <c r="I49" s="32">
        <f>'MERCADO TE'!$U$46</f>
        <v>418118.94</v>
      </c>
      <c r="J49" s="17"/>
      <c r="L49" s="30">
        <f>'TR TE'!$L$49*'TR TE'!$L$57</f>
        <v>1.3751051621296237</v>
      </c>
      <c r="M49" s="30">
        <f>'TR TE'!$M$49*'TR TE'!$M$57</f>
        <v>6.6226691090112295</v>
      </c>
      <c r="N49" s="30">
        <f>'TR TE'!$N$49*'TR TE'!$N$57</f>
        <v>0</v>
      </c>
      <c r="O49" s="30">
        <f>'TR TE'!$O$49*('TR TE'!$O$57+'TR TE'!$O$58)</f>
        <v>1.0672092222784818E-13</v>
      </c>
      <c r="P49" s="30">
        <f>SUM($L$49:$O$49)</f>
        <v>7.9977742711409601</v>
      </c>
      <c r="Q49" s="30">
        <f>'TR TE'!$Q$49*'TR TE'!$Q$57</f>
        <v>128.50351531717425</v>
      </c>
      <c r="R49" s="30">
        <f>SUM($Q$49:$Q$49)</f>
        <v>128.50351531717425</v>
      </c>
      <c r="S49" s="30">
        <f>'TR TE'!$S$49*'TR TE'!$S$57</f>
        <v>4.1581082867203385</v>
      </c>
      <c r="T49" s="30">
        <f>'TR TE'!$T$49*'TR TE'!$T$57</f>
        <v>3.0589462610212159</v>
      </c>
      <c r="U49" s="30">
        <f>'TR TE'!$U$49*'TR TE'!$U$57</f>
        <v>0</v>
      </c>
      <c r="V49" s="30">
        <f>SUM($S$49:$U$49)</f>
        <v>7.2170545477415544</v>
      </c>
      <c r="W49" s="30"/>
      <c r="X49" s="30">
        <f>SUM($W$49:$W$49)</f>
        <v>0</v>
      </c>
      <c r="Y49" s="30">
        <f>'TR TE'!$Y$49*'TR TE'!$Y$57</f>
        <v>3.1930080304447297</v>
      </c>
      <c r="Z49" s="30">
        <f>SUM($Y$49:$Y$49)</f>
        <v>3.1930080304447297</v>
      </c>
      <c r="AA49" s="30">
        <f>SUMIF($L$4:$Z$4,"SUBTOTAL",$L$49:$Z$49)</f>
        <v>146.9113521665015</v>
      </c>
    </row>
    <row r="50" spans="1:27" ht="11.25" customHeight="1" x14ac:dyDescent="0.25">
      <c r="A50" s="130"/>
      <c r="B50" s="130"/>
      <c r="C50" s="130"/>
      <c r="D50" s="32" t="s">
        <v>105</v>
      </c>
      <c r="E50" s="32" t="s">
        <v>25</v>
      </c>
      <c r="F50" s="32" t="s">
        <v>25</v>
      </c>
      <c r="G50" s="32" t="s">
        <v>94</v>
      </c>
      <c r="H50" s="32" t="s">
        <v>88</v>
      </c>
      <c r="I50" s="32">
        <f>'MERCADO TE'!$U$47</f>
        <v>0</v>
      </c>
      <c r="J50" s="17"/>
      <c r="L50" s="30">
        <f>'TR TE'!$L$50*'TR TE'!$L$57</f>
        <v>1.5001147223232256</v>
      </c>
      <c r="M50" s="30">
        <f>'TR TE'!$M$50*'TR TE'!$M$57</f>
        <v>7.2247299371031577</v>
      </c>
      <c r="N50" s="30">
        <f>'TR TE'!$N$50*'TR TE'!$N$57</f>
        <v>0</v>
      </c>
      <c r="O50" s="30">
        <f>'TR TE'!$O$50*('TR TE'!$O$57+'TR TE'!$O$58)</f>
        <v>1.1642282424856163E-13</v>
      </c>
      <c r="P50" s="30">
        <f>SUM($L$50:$O$50)</f>
        <v>8.7248446594265001</v>
      </c>
      <c r="Q50" s="30">
        <f>'TR TE'!$Q$50*'TR TE'!$Q$57</f>
        <v>140.18565307328097</v>
      </c>
      <c r="R50" s="30">
        <f>SUM($Q$50:$Q$50)</f>
        <v>140.18565307328097</v>
      </c>
      <c r="S50" s="30">
        <f>'TR TE'!$S$50*'TR TE'!$S$57</f>
        <v>4.5361181309676413</v>
      </c>
      <c r="T50" s="30">
        <f>'TR TE'!$T$50*'TR TE'!$T$57</f>
        <v>3.3370322847504168</v>
      </c>
      <c r="U50" s="30">
        <f>'TR TE'!$U$50*'TR TE'!$U$57</f>
        <v>0</v>
      </c>
      <c r="V50" s="30">
        <f>SUM($S$50:$U$50)</f>
        <v>7.8731504157180581</v>
      </c>
      <c r="W50" s="30"/>
      <c r="X50" s="30">
        <f>SUM($W$50:$W$50)</f>
        <v>0</v>
      </c>
      <c r="Y50" s="30">
        <f>'TR TE'!$Y$50*'TR TE'!$Y$57</f>
        <v>3.4832814877578864</v>
      </c>
      <c r="Z50" s="30">
        <f>SUM($Y$50:$Y$50)</f>
        <v>3.4832814877578864</v>
      </c>
      <c r="AA50" s="30">
        <f>SUMIF($L$4:$Z$4,"SUBTOTAL",$L$50:$Z$50)</f>
        <v>160.26692963618342</v>
      </c>
    </row>
    <row r="52" spans="1:27" ht="11.25" customHeight="1" x14ac:dyDescent="0.25">
      <c r="K52" s="35" t="s">
        <v>1077</v>
      </c>
      <c r="L52" s="30">
        <f t="shared" ref="L52:AA52" si="0">SUMPRODUCT($I$5:$I$50,L$5:L$50)</f>
        <v>12885056.963748746</v>
      </c>
      <c r="M52" s="30">
        <f t="shared" si="0"/>
        <v>62055958.389039122</v>
      </c>
      <c r="N52" s="30">
        <f t="shared" si="0"/>
        <v>0</v>
      </c>
      <c r="O52" s="30">
        <f t="shared" si="0"/>
        <v>9.9999999999999974E-7</v>
      </c>
      <c r="P52" s="30">
        <f t="shared" si="0"/>
        <v>74941015.352788851</v>
      </c>
      <c r="Q52" s="30">
        <f t="shared" si="0"/>
        <v>1205076078.1066117</v>
      </c>
      <c r="R52" s="30">
        <f t="shared" si="0"/>
        <v>1205076078.1066117</v>
      </c>
      <c r="S52" s="30">
        <f t="shared" si="0"/>
        <v>38962447.099574491</v>
      </c>
      <c r="T52" s="30">
        <f t="shared" si="0"/>
        <v>28663041.858749986</v>
      </c>
      <c r="U52" s="30">
        <f t="shared" si="0"/>
        <v>0</v>
      </c>
      <c r="V52" s="30">
        <f t="shared" si="0"/>
        <v>67625488.958324477</v>
      </c>
      <c r="W52" s="30">
        <f t="shared" si="0"/>
        <v>0</v>
      </c>
      <c r="X52" s="30">
        <f t="shared" si="0"/>
        <v>0</v>
      </c>
      <c r="Y52" s="30">
        <f t="shared" si="0"/>
        <v>29919231.99115245</v>
      </c>
      <c r="Z52" s="30">
        <f t="shared" si="0"/>
        <v>29919231.99115245</v>
      </c>
      <c r="AA52" s="30">
        <f t="shared" si="0"/>
        <v>1377561814.4088774</v>
      </c>
    </row>
    <row r="53" spans="1:27" ht="11.25" customHeight="1" x14ac:dyDescent="0.25">
      <c r="K53" s="35" t="s">
        <v>998</v>
      </c>
      <c r="L53" s="30">
        <f>CUSTOS!$D$30</f>
        <v>12885056.963748746</v>
      </c>
      <c r="M53" s="30">
        <f>CUSTOS!$D$31</f>
        <v>62055958.389039129</v>
      </c>
      <c r="N53" s="30">
        <f>CUSTOS!$D$32</f>
        <v>0</v>
      </c>
      <c r="O53" s="30">
        <f>CUSTOS!$D$33</f>
        <v>9.9999999999999995E-7</v>
      </c>
      <c r="P53" s="30">
        <f>CUSTOS!$D$34</f>
        <v>74941015.35278888</v>
      </c>
      <c r="Q53" s="30">
        <f>CUSTOS!$D$35</f>
        <v>1205076078.106612</v>
      </c>
      <c r="R53" s="30">
        <f>CUSTOS!$D$36</f>
        <v>1205076078.106612</v>
      </c>
      <c r="S53" s="30">
        <f>CUSTOS!$D$37</f>
        <v>38962447.099574491</v>
      </c>
      <c r="T53" s="30">
        <f>CUSTOS!$D$38</f>
        <v>28663041.858749997</v>
      </c>
      <c r="U53" s="30">
        <f>CUSTOS!$D$39</f>
        <v>0</v>
      </c>
      <c r="V53" s="30">
        <f>CUSTOS!$D$40</f>
        <v>67625488.958324492</v>
      </c>
      <c r="W53" s="30">
        <f>CUSTOS!$D$41</f>
        <v>0</v>
      </c>
      <c r="X53" s="30">
        <f>CUSTOS!$D$42</f>
        <v>0</v>
      </c>
      <c r="Y53" s="30">
        <f>CUSTOS!$D$43</f>
        <v>29919231.991152462</v>
      </c>
      <c r="Z53" s="30">
        <f>CUSTOS!$D$44</f>
        <v>29919231.991152462</v>
      </c>
      <c r="AA53" s="30">
        <f>CUSTOS!$D$45</f>
        <v>1377561814.4088778</v>
      </c>
    </row>
    <row r="54" spans="1:27" ht="11.25" customHeight="1" x14ac:dyDescent="0.25">
      <c r="K54" s="35" t="s">
        <v>999</v>
      </c>
      <c r="L54" s="30">
        <f>CUSTOS!$E$30</f>
        <v>1733.6050900268199</v>
      </c>
      <c r="M54" s="30">
        <f>CUSTOS!$E$31</f>
        <v>76043107.666173726</v>
      </c>
      <c r="N54" s="30">
        <f>CUSTOS!$E$32</f>
        <v>0</v>
      </c>
      <c r="O54" s="30">
        <f>CUSTOS!$E$33</f>
        <v>-754995.89864914492</v>
      </c>
      <c r="P54" s="30">
        <f>CUSTOS!$E$34</f>
        <v>75289845.372614607</v>
      </c>
      <c r="Q54" s="30">
        <f>CUSTOS!$E$35</f>
        <v>-213945227.26810828</v>
      </c>
      <c r="R54" s="30">
        <f>CUSTOS!$E$36</f>
        <v>-213945227.26810828</v>
      </c>
      <c r="S54" s="30">
        <f>CUSTOS!$E$37</f>
        <v>-2409439.5850232132</v>
      </c>
      <c r="T54" s="30">
        <f>CUSTOS!$E$38</f>
        <v>2157542.0832314007</v>
      </c>
      <c r="U54" s="30">
        <f>CUSTOS!$E$39</f>
        <v>0</v>
      </c>
      <c r="V54" s="30">
        <f>CUSTOS!$E$40</f>
        <v>-251897.50179181248</v>
      </c>
      <c r="W54" s="30">
        <f>CUSTOS!$E$41</f>
        <v>0</v>
      </c>
      <c r="X54" s="30">
        <f>CUSTOS!$E$42</f>
        <v>0</v>
      </c>
      <c r="Y54" s="30">
        <f>CUSTOS!$E$43</f>
        <v>-5311761.6425442575</v>
      </c>
      <c r="Z54" s="30">
        <f>CUSTOS!$E$44</f>
        <v>-5311761.6425442575</v>
      </c>
      <c r="AA54" s="30">
        <f>CUSTOS!$E$45</f>
        <v>-144219041.03982976</v>
      </c>
    </row>
    <row r="55" spans="1:27" ht="11.25" customHeight="1" x14ac:dyDescent="0.25">
      <c r="K55" s="35" t="s">
        <v>1000</v>
      </c>
      <c r="L55" s="30">
        <f>CUSTOS!$F$30</f>
        <v>0</v>
      </c>
      <c r="M55" s="30">
        <f>CUSTOS!$F$31</f>
        <v>-66636027.845815107</v>
      </c>
      <c r="N55" s="30">
        <f>CUSTOS!$F$32</f>
        <v>0</v>
      </c>
      <c r="O55" s="30">
        <f>CUSTOS!$F$33</f>
        <v>-30115181.7788</v>
      </c>
      <c r="P55" s="30">
        <f>CUSTOS!$F$34</f>
        <v>-96751209.624615103</v>
      </c>
      <c r="Q55" s="30">
        <f>CUSTOS!$F$35</f>
        <v>108828866.61412276</v>
      </c>
      <c r="R55" s="30">
        <f>CUSTOS!$F$36</f>
        <v>108828866.61412276</v>
      </c>
      <c r="S55" s="30">
        <f>CUSTOS!$F$37</f>
        <v>3273819.5200053854</v>
      </c>
      <c r="T55" s="30">
        <f>CUSTOS!$F$38</f>
        <v>1333068.4447131678</v>
      </c>
      <c r="U55" s="30">
        <f>CUSTOS!$F$39</f>
        <v>0</v>
      </c>
      <c r="V55" s="30">
        <f>CUSTOS!$F$40</f>
        <v>4606887.9647185532</v>
      </c>
      <c r="W55" s="30">
        <f>CUSTOS!$F$41</f>
        <v>0</v>
      </c>
      <c r="X55" s="30">
        <f>CUSTOS!$F$42</f>
        <v>0</v>
      </c>
      <c r="Y55" s="30">
        <f>CUSTOS!$F$43</f>
        <v>2701967.2589285802</v>
      </c>
      <c r="Z55" s="30">
        <f>CUSTOS!$F$44</f>
        <v>2701967.2589285802</v>
      </c>
      <c r="AA55" s="30">
        <f>CUSTOS!$F$45</f>
        <v>19386512.213154793</v>
      </c>
    </row>
    <row r="56" spans="1:27" ht="11.25" customHeight="1" x14ac:dyDescent="0.25">
      <c r="K56" s="35" t="s">
        <v>1078</v>
      </c>
      <c r="L56" s="30">
        <f>'TR TE'!$L$56*L57</f>
        <v>3.3638533452100727E-4</v>
      </c>
      <c r="M56" s="30">
        <f>'TR TE'!$M$56*M57</f>
        <v>14.755255598555658</v>
      </c>
      <c r="N56" s="30">
        <f>'TR TE'!$N$56*N57</f>
        <v>0</v>
      </c>
      <c r="O56" s="30">
        <f>'TR TE'!$O$56*O57</f>
        <v>0</v>
      </c>
      <c r="P56" s="30"/>
      <c r="Q56" s="30">
        <f>'TR TE'!$Q$56*Q57</f>
        <v>-40.934151560309175</v>
      </c>
      <c r="R56" s="30"/>
      <c r="S56" s="30">
        <f>'TR TE'!$S$56*S57</f>
        <v>-0.46752293557447483</v>
      </c>
      <c r="T56" s="30">
        <f>'TR TE'!$T$56*T57</f>
        <v>0.41864523794154163</v>
      </c>
      <c r="U56" s="30">
        <f>'TR TE'!$U$56*U57</f>
        <v>0</v>
      </c>
      <c r="V56" s="30"/>
      <c r="W56" s="30"/>
      <c r="X56" s="30"/>
      <c r="Y56" s="30">
        <f>'TR TE'!$Y$56*Y57</f>
        <v>-1.0306838202669688</v>
      </c>
      <c r="Z56" s="30"/>
      <c r="AA56" s="30"/>
    </row>
    <row r="57" spans="1:27" ht="11.25" customHeight="1" x14ac:dyDescent="0.25">
      <c r="K57" s="35" t="s">
        <v>1065</v>
      </c>
      <c r="L57" s="30">
        <f>IF(L53&lt;&gt;0,L54/L53,0)</f>
        <v>1.3454384368685393E-4</v>
      </c>
      <c r="M57" s="30">
        <f>IF(M53&lt;&gt;0,M54/M53,0)</f>
        <v>1.2253957499044141</v>
      </c>
      <c r="N57" s="30">
        <f>IF(N53&lt;&gt;0,N54/N53,0)</f>
        <v>0</v>
      </c>
      <c r="O57" s="30">
        <f>IF(O53&lt;&gt;0,O54/O53,0)</f>
        <v>-754995898649.1449</v>
      </c>
      <c r="P57" s="30"/>
      <c r="Q57" s="30">
        <f>IF(Q53&lt;&gt;0,Q54/Q53,0)</f>
        <v>-0.17753669760356885</v>
      </c>
      <c r="R57" s="30"/>
      <c r="S57" s="30">
        <f>IF(S53&lt;&gt;0,S54/S53,0)</f>
        <v>-6.1840047645506505E-2</v>
      </c>
      <c r="T57" s="30">
        <f>IF(T53&lt;&gt;0,T54/T53,0)</f>
        <v>7.5272613906913921E-2</v>
      </c>
      <c r="U57" s="30">
        <f>IF(U53&lt;&gt;0,U54/U53,0)</f>
        <v>0</v>
      </c>
      <c r="V57" s="30"/>
      <c r="W57" s="30">
        <f>IF(($AA53-0)&lt;&gt;0,W54/($AA53-0),0)</f>
        <v>0</v>
      </c>
      <c r="X57" s="30"/>
      <c r="Y57" s="30">
        <f>IF(Y53&lt;&gt;0,Y54/Y53,0)</f>
        <v>-0.17753669760356885</v>
      </c>
      <c r="Z57" s="30"/>
      <c r="AA57" s="30"/>
    </row>
    <row r="58" spans="1:27" ht="11.25" customHeight="1" x14ac:dyDescent="0.25">
      <c r="K58" s="35" t="s">
        <v>1080</v>
      </c>
      <c r="L58" s="30"/>
      <c r="M58" s="30"/>
      <c r="N58" s="30"/>
      <c r="O58" s="30">
        <f>IF(SUM($I$5:$I$50)&lt;&gt;0,(CUSTOS!$P$8)/(O52-0),0)</f>
        <v>1.0000000000000002</v>
      </c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</row>
  </sheetData>
  <mergeCells count="79">
    <mergeCell ref="E44:E46"/>
    <mergeCell ref="F44:F46"/>
    <mergeCell ref="A49:A50"/>
    <mergeCell ref="B49:B50"/>
    <mergeCell ref="C49:C50"/>
    <mergeCell ref="D44:D46"/>
    <mergeCell ref="B41:B43"/>
    <mergeCell ref="C41:C43"/>
    <mergeCell ref="A44:A48"/>
    <mergeCell ref="B44:B46"/>
    <mergeCell ref="C44:C46"/>
    <mergeCell ref="A29:A43"/>
    <mergeCell ref="B29:B31"/>
    <mergeCell ref="C29:C31"/>
    <mergeCell ref="B37:B39"/>
    <mergeCell ref="C37:C39"/>
    <mergeCell ref="B33:B35"/>
    <mergeCell ref="C33:C35"/>
    <mergeCell ref="D37:D39"/>
    <mergeCell ref="E37:E39"/>
    <mergeCell ref="F37:F39"/>
    <mergeCell ref="D29:D31"/>
    <mergeCell ref="E29:E31"/>
    <mergeCell ref="F29:F31"/>
    <mergeCell ref="D33:D35"/>
    <mergeCell ref="E33:E35"/>
    <mergeCell ref="F33:F35"/>
    <mergeCell ref="A16:A28"/>
    <mergeCell ref="B16:B18"/>
    <mergeCell ref="C16:C18"/>
    <mergeCell ref="D16:D18"/>
    <mergeCell ref="E16:E18"/>
    <mergeCell ref="F16:F18"/>
    <mergeCell ref="B19:B23"/>
    <mergeCell ref="C19:C23"/>
    <mergeCell ref="B24:B28"/>
    <mergeCell ref="C24:C28"/>
    <mergeCell ref="F13:F14"/>
    <mergeCell ref="A10:A12"/>
    <mergeCell ref="B10:B11"/>
    <mergeCell ref="C10:C11"/>
    <mergeCell ref="D10:D11"/>
    <mergeCell ref="E10:E11"/>
    <mergeCell ref="F10:F11"/>
    <mergeCell ref="A13:A15"/>
    <mergeCell ref="B13:B14"/>
    <mergeCell ref="C13:C14"/>
    <mergeCell ref="D13:D14"/>
    <mergeCell ref="E13:E14"/>
    <mergeCell ref="A7:A9"/>
    <mergeCell ref="B7:B8"/>
    <mergeCell ref="C7:C8"/>
    <mergeCell ref="D7:D8"/>
    <mergeCell ref="E7:E8"/>
    <mergeCell ref="F7:F8"/>
    <mergeCell ref="Y3:Z3"/>
    <mergeCell ref="AA3:AA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A1"/>
    <mergeCell ref="L2:AA2"/>
    <mergeCell ref="L3:P3"/>
    <mergeCell ref="Q3:R3"/>
    <mergeCell ref="S3:V3"/>
    <mergeCell ref="W3:X3"/>
    <mergeCell ref="A1:A4"/>
    <mergeCell ref="B1:B4"/>
    <mergeCell ref="C1:C4"/>
    <mergeCell ref="D1:D4"/>
    <mergeCell ref="E1:E4"/>
    <mergeCell ref="F1:F4"/>
  </mergeCells>
  <conditionalFormatting sqref="L52">
    <cfRule type="cellIs" dxfId="1473" priority="31" operator="notEqual">
      <formula>$L$53</formula>
    </cfRule>
    <cfRule type="cellIs" dxfId="1472" priority="32" operator="equal">
      <formula>$L$53</formula>
    </cfRule>
  </conditionalFormatting>
  <conditionalFormatting sqref="M52">
    <cfRule type="cellIs" dxfId="1471" priority="29" operator="notEqual">
      <formula>$M$53</formula>
    </cfRule>
    <cfRule type="cellIs" dxfId="1470" priority="30" operator="equal">
      <formula>$M$53</formula>
    </cfRule>
  </conditionalFormatting>
  <conditionalFormatting sqref="N52">
    <cfRule type="cellIs" dxfId="1469" priority="27" operator="notEqual">
      <formula>$N$53</formula>
    </cfRule>
    <cfRule type="cellIs" dxfId="1468" priority="28" operator="equal">
      <formula>$N$53</formula>
    </cfRule>
  </conditionalFormatting>
  <conditionalFormatting sqref="O52">
    <cfRule type="cellIs" dxfId="1467" priority="25" operator="notEqual">
      <formula>$O$53</formula>
    </cfRule>
    <cfRule type="cellIs" dxfId="1466" priority="26" operator="equal">
      <formula>$O$53</formula>
    </cfRule>
  </conditionalFormatting>
  <conditionalFormatting sqref="P52">
    <cfRule type="cellIs" dxfId="1465" priority="23" operator="notEqual">
      <formula>$P$53</formula>
    </cfRule>
    <cfRule type="cellIs" dxfId="1464" priority="24" operator="equal">
      <formula>$P$53</formula>
    </cfRule>
  </conditionalFormatting>
  <conditionalFormatting sqref="Q52">
    <cfRule type="cellIs" dxfId="1463" priority="21" operator="notEqual">
      <formula>$Q$53</formula>
    </cfRule>
    <cfRule type="cellIs" dxfId="1462" priority="22" operator="equal">
      <formula>$Q$53</formula>
    </cfRule>
  </conditionalFormatting>
  <conditionalFormatting sqref="R52">
    <cfRule type="cellIs" dxfId="1461" priority="19" operator="notEqual">
      <formula>$R$53</formula>
    </cfRule>
    <cfRule type="cellIs" dxfId="1460" priority="20" operator="equal">
      <formula>$R$53</formula>
    </cfRule>
  </conditionalFormatting>
  <conditionalFormatting sqref="S52">
    <cfRule type="cellIs" dxfId="1459" priority="17" operator="notEqual">
      <formula>$S$53</formula>
    </cfRule>
    <cfRule type="cellIs" dxfId="1458" priority="18" operator="equal">
      <formula>$S$53</formula>
    </cfRule>
  </conditionalFormatting>
  <conditionalFormatting sqref="T52">
    <cfRule type="cellIs" dxfId="1457" priority="15" operator="notEqual">
      <formula>$T$53</formula>
    </cfRule>
    <cfRule type="cellIs" dxfId="1456" priority="16" operator="equal">
      <formula>$T$53</formula>
    </cfRule>
  </conditionalFormatting>
  <conditionalFormatting sqref="U52">
    <cfRule type="cellIs" dxfId="1455" priority="13" operator="notEqual">
      <formula>$U$53</formula>
    </cfRule>
    <cfRule type="cellIs" dxfId="1454" priority="14" operator="equal">
      <formula>$U$53</formula>
    </cfRule>
  </conditionalFormatting>
  <conditionalFormatting sqref="V52">
    <cfRule type="cellIs" dxfId="1453" priority="11" operator="notEqual">
      <formula>$V$53</formula>
    </cfRule>
    <cfRule type="cellIs" dxfId="1452" priority="12" operator="equal">
      <formula>$V$53</formula>
    </cfRule>
  </conditionalFormatting>
  <conditionalFormatting sqref="W52">
    <cfRule type="cellIs" dxfId="1451" priority="9" operator="notEqual">
      <formula>$W$53</formula>
    </cfRule>
    <cfRule type="cellIs" dxfId="1450" priority="10" operator="equal">
      <formula>$W$53</formula>
    </cfRule>
  </conditionalFormatting>
  <conditionalFormatting sqref="X52">
    <cfRule type="cellIs" dxfId="1449" priority="7" operator="notEqual">
      <formula>$X$53</formula>
    </cfRule>
    <cfRule type="cellIs" dxfId="1448" priority="8" operator="equal">
      <formula>$X$53</formula>
    </cfRule>
  </conditionalFormatting>
  <conditionalFormatting sqref="Y52">
    <cfRule type="cellIs" dxfId="1447" priority="5" operator="notEqual">
      <formula>$Y$53</formula>
    </cfRule>
    <cfRule type="cellIs" dxfId="1446" priority="6" operator="equal">
      <formula>$Y$53</formula>
    </cfRule>
  </conditionalFormatting>
  <conditionalFormatting sqref="Z52">
    <cfRule type="cellIs" dxfId="1445" priority="3" operator="notEqual">
      <formula>$Z$53</formula>
    </cfRule>
    <cfRule type="cellIs" dxfId="1444" priority="4" operator="equal">
      <formula>$Z$53</formula>
    </cfRule>
  </conditionalFormatting>
  <conditionalFormatting sqref="AA52">
    <cfRule type="cellIs" dxfId="1443" priority="1" operator="notEqual">
      <formula>$AA$53</formula>
    </cfRule>
    <cfRule type="cellIs" dxfId="1442" priority="2" operator="equal">
      <formula>$AA$53</formula>
    </cfRule>
  </conditionalFormatting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A22A0-87BF-4C72-AB0E-138931A93997}">
  <dimension ref="A1:AA58"/>
  <sheetViews>
    <sheetView showGridLines="0" topLeftCell="I34" workbookViewId="0">
      <selection activeCell="AA52" sqref="AA52"/>
    </sheetView>
  </sheetViews>
  <sheetFormatPr defaultColWidth="8.85546875" defaultRowHeight="11.25" customHeight="1" x14ac:dyDescent="0.25"/>
  <cols>
    <col min="1" max="1" width="9" style="9" bestFit="1" customWidth="1"/>
    <col min="2" max="2" width="24.7109375" style="9" bestFit="1" customWidth="1"/>
    <col min="3" max="3" width="12.7109375" style="9" bestFit="1" customWidth="1"/>
    <col min="4" max="4" width="23.140625" style="9" bestFit="1" customWidth="1"/>
    <col min="5" max="6" width="9.5703125" style="9" bestFit="1" customWidth="1"/>
    <col min="7" max="7" width="5.85546875" style="9" bestFit="1" customWidth="1"/>
    <col min="8" max="8" width="7.140625" style="9" bestFit="1" customWidth="1"/>
    <col min="9" max="9" width="9.140625" style="9" bestFit="1" customWidth="1"/>
    <col min="10" max="10" width="8.85546875" style="9"/>
    <col min="11" max="11" width="19.85546875" style="9" bestFit="1" customWidth="1"/>
    <col min="12" max="12" width="9.85546875" style="9" bestFit="1" customWidth="1"/>
    <col min="13" max="13" width="10.28515625" style="9" bestFit="1" customWidth="1"/>
    <col min="14" max="14" width="9.140625" style="9" bestFit="1" customWidth="1"/>
    <col min="15" max="15" width="10.42578125" style="9" bestFit="1" customWidth="1"/>
    <col min="16" max="16" width="10.28515625" style="9" bestFit="1" customWidth="1"/>
    <col min="17" max="17" width="14.42578125" style="9" bestFit="1" customWidth="1"/>
    <col min="18" max="18" width="11.85546875" style="9" bestFit="1" customWidth="1"/>
    <col min="19" max="20" width="9.85546875" style="9" bestFit="1" customWidth="1"/>
    <col min="21" max="21" width="9.140625" style="9" bestFit="1" customWidth="1"/>
    <col min="22" max="22" width="9.85546875" style="9" bestFit="1" customWidth="1"/>
    <col min="23" max="23" width="7.7109375" style="9" bestFit="1" customWidth="1"/>
    <col min="24" max="24" width="8.5703125" style="9" bestFit="1" customWidth="1"/>
    <col min="25" max="25" width="10.5703125" style="9" bestFit="1" customWidth="1"/>
    <col min="26" max="26" width="9.85546875" style="9" bestFit="1" customWidth="1"/>
    <col min="27" max="27" width="11.85546875" style="9" bestFit="1" customWidth="1"/>
    <col min="28" max="16384" width="8.85546875" style="9"/>
  </cols>
  <sheetData>
    <row r="1" spans="1:27" ht="11.25" customHeight="1" x14ac:dyDescent="0.25">
      <c r="A1" s="129" t="s">
        <v>78</v>
      </c>
      <c r="B1" s="129" t="s">
        <v>79</v>
      </c>
      <c r="C1" s="129" t="s">
        <v>80</v>
      </c>
      <c r="D1" s="129" t="s">
        <v>81</v>
      </c>
      <c r="E1" s="129" t="s">
        <v>82</v>
      </c>
      <c r="F1" s="129" t="s">
        <v>15</v>
      </c>
      <c r="G1" s="129" t="s">
        <v>84</v>
      </c>
      <c r="H1" s="129" t="s">
        <v>85</v>
      </c>
      <c r="I1" s="129" t="s">
        <v>1055</v>
      </c>
      <c r="J1" s="112"/>
      <c r="L1" s="127" t="s">
        <v>1082</v>
      </c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</row>
    <row r="2" spans="1:27" ht="11.25" customHeight="1" x14ac:dyDescent="0.25">
      <c r="A2" s="129"/>
      <c r="B2" s="129"/>
      <c r="C2" s="129"/>
      <c r="D2" s="129"/>
      <c r="E2" s="129"/>
      <c r="F2" s="129"/>
      <c r="G2" s="129"/>
      <c r="H2" s="129"/>
      <c r="I2" s="129"/>
      <c r="J2" s="112"/>
      <c r="L2" s="127" t="s">
        <v>984</v>
      </c>
      <c r="M2" s="127"/>
      <c r="N2" s="127"/>
      <c r="O2" s="127"/>
      <c r="P2" s="127"/>
      <c r="Q2" s="127"/>
      <c r="R2" s="127"/>
      <c r="S2" s="127"/>
      <c r="T2" s="127"/>
      <c r="U2" s="127"/>
      <c r="V2" s="127"/>
      <c r="W2" s="127"/>
      <c r="X2" s="127"/>
      <c r="Y2" s="127"/>
      <c r="Z2" s="127"/>
      <c r="AA2" s="127"/>
    </row>
    <row r="3" spans="1:27" ht="11.25" customHeight="1" x14ac:dyDescent="0.25">
      <c r="A3" s="129"/>
      <c r="B3" s="129"/>
      <c r="C3" s="129"/>
      <c r="D3" s="129"/>
      <c r="E3" s="129"/>
      <c r="F3" s="129"/>
      <c r="G3" s="129"/>
      <c r="H3" s="129"/>
      <c r="I3" s="129"/>
      <c r="J3" s="112"/>
      <c r="L3" s="127" t="s">
        <v>956</v>
      </c>
      <c r="M3" s="127"/>
      <c r="N3" s="127"/>
      <c r="O3" s="127"/>
      <c r="P3" s="127"/>
      <c r="Q3" s="127" t="s">
        <v>988</v>
      </c>
      <c r="R3" s="127"/>
      <c r="S3" s="127" t="s">
        <v>966</v>
      </c>
      <c r="T3" s="127"/>
      <c r="U3" s="127"/>
      <c r="V3" s="127"/>
      <c r="W3" s="127" t="s">
        <v>976</v>
      </c>
      <c r="X3" s="127"/>
      <c r="Y3" s="127" t="s">
        <v>979</v>
      </c>
      <c r="Z3" s="127"/>
      <c r="AA3" s="127" t="s">
        <v>965</v>
      </c>
    </row>
    <row r="4" spans="1:27" ht="11.25" customHeight="1" x14ac:dyDescent="0.25">
      <c r="A4" s="129"/>
      <c r="B4" s="129"/>
      <c r="C4" s="129"/>
      <c r="D4" s="129"/>
      <c r="E4" s="129"/>
      <c r="F4" s="129"/>
      <c r="G4" s="129"/>
      <c r="H4" s="129"/>
      <c r="I4" s="129"/>
      <c r="J4" s="112"/>
      <c r="L4" s="36" t="s">
        <v>959</v>
      </c>
      <c r="M4" s="36" t="s">
        <v>985</v>
      </c>
      <c r="N4" s="36" t="s">
        <v>986</v>
      </c>
      <c r="O4" s="36" t="s">
        <v>987</v>
      </c>
      <c r="P4" s="36" t="s">
        <v>965</v>
      </c>
      <c r="Q4" s="36" t="s">
        <v>989</v>
      </c>
      <c r="R4" s="36" t="s">
        <v>965</v>
      </c>
      <c r="S4" s="36" t="s">
        <v>990</v>
      </c>
      <c r="T4" s="36" t="s">
        <v>991</v>
      </c>
      <c r="U4" s="36" t="s">
        <v>992</v>
      </c>
      <c r="V4" s="36" t="s">
        <v>965</v>
      </c>
      <c r="W4" s="36" t="s">
        <v>977</v>
      </c>
      <c r="X4" s="36" t="s">
        <v>965</v>
      </c>
      <c r="Y4" s="36" t="s">
        <v>993</v>
      </c>
      <c r="Z4" s="36" t="s">
        <v>965</v>
      </c>
      <c r="AA4" s="128"/>
    </row>
    <row r="5" spans="1:27" ht="11.25" customHeight="1" x14ac:dyDescent="0.25">
      <c r="A5" s="130" t="s">
        <v>43</v>
      </c>
      <c r="B5" s="130" t="s">
        <v>87</v>
      </c>
      <c r="C5" s="130" t="s">
        <v>25</v>
      </c>
      <c r="D5" s="130" t="s">
        <v>25</v>
      </c>
      <c r="E5" s="130" t="s">
        <v>25</v>
      </c>
      <c r="F5" s="130" t="s">
        <v>25</v>
      </c>
      <c r="G5" s="32" t="s">
        <v>89</v>
      </c>
      <c r="H5" s="32" t="s">
        <v>88</v>
      </c>
      <c r="I5" s="32">
        <f>'MERCADO TE'!$U$2</f>
        <v>6175.6710000000003</v>
      </c>
      <c r="J5" s="17"/>
      <c r="L5" s="30">
        <f>'TE BE'!$L$5*'TE BE'!$L$57</f>
        <v>3.3638533452100727E-4</v>
      </c>
      <c r="M5" s="30">
        <f>'TE BE'!$M$5*'TE BE'!$M$57</f>
        <v>14.755255598555658</v>
      </c>
      <c r="N5" s="30">
        <f>'TE BE'!$N$5*'TE BE'!$N$57</f>
        <v>0</v>
      </c>
      <c r="O5" s="30">
        <f>'TE BE'!$O$5*'TE BE'!$O$57</f>
        <v>-0.14649792469469042</v>
      </c>
      <c r="P5" s="30">
        <f>SUM($L$5:$O$5)</f>
        <v>14.609094059195488</v>
      </c>
      <c r="Q5" s="30">
        <f>'TE BE'!$Q$5*'TE BE'!$Q$57</f>
        <v>-67.307434566999092</v>
      </c>
      <c r="R5" s="30">
        <f>SUM($Q$5:$Q$5)</f>
        <v>-67.307434566999092</v>
      </c>
      <c r="S5" s="30">
        <f>'TE BE'!$S$5*'TE BE'!$S$57</f>
        <v>-0.46752293557447483</v>
      </c>
      <c r="T5" s="30">
        <f>'TE BE'!$T$5*'TE BE'!$T$57</f>
        <v>0.41864523794154163</v>
      </c>
      <c r="U5" s="30">
        <f>'TE BE'!$U$5*'TE BE'!$U$57</f>
        <v>0</v>
      </c>
      <c r="V5" s="30">
        <f>SUM($S$5:$U$5)</f>
        <v>-4.8877697632933204E-2</v>
      </c>
      <c r="W5" s="30">
        <f>'TE BE'!$AA$5*'TE BE'!$W$57</f>
        <v>0</v>
      </c>
      <c r="X5" s="30">
        <f>SUM($W$5:$W$5)</f>
        <v>0</v>
      </c>
      <c r="Y5" s="30">
        <f>'TE BE'!$Y$5*'TE BE'!$Y$57</f>
        <v>-1.0306838202669688</v>
      </c>
      <c r="Z5" s="30">
        <f>SUM($Y$5:$Y$5)</f>
        <v>-1.0306838202669688</v>
      </c>
      <c r="AA5" s="30">
        <f>SUMIF($L$4:$Z$4,"SUBTOTAL",$L$5:$Z$5)</f>
        <v>-53.777902025703511</v>
      </c>
    </row>
    <row r="6" spans="1:27" ht="11.25" customHeight="1" x14ac:dyDescent="0.25">
      <c r="A6" s="130"/>
      <c r="B6" s="130"/>
      <c r="C6" s="130"/>
      <c r="D6" s="130"/>
      <c r="E6" s="130"/>
      <c r="F6" s="130"/>
      <c r="G6" s="32" t="s">
        <v>90</v>
      </c>
      <c r="H6" s="32" t="s">
        <v>88</v>
      </c>
      <c r="I6" s="32">
        <f>'MERCADO TE'!$U$3</f>
        <v>102148.342</v>
      </c>
      <c r="J6" s="17"/>
      <c r="L6" s="30">
        <f>'TE BE'!$L$6*'TE BE'!$L$57</f>
        <v>3.3638533452100727E-4</v>
      </c>
      <c r="M6" s="30">
        <f>'TE BE'!$M$6*'TE BE'!$M$57</f>
        <v>14.755255598555658</v>
      </c>
      <c r="N6" s="30">
        <f>'TE BE'!$N$6*'TE BE'!$N$57</f>
        <v>0</v>
      </c>
      <c r="O6" s="30">
        <f>'TE BE'!$O$6*'TE BE'!$O$57</f>
        <v>-0.14649792469469042</v>
      </c>
      <c r="P6" s="30">
        <f>SUM($L$6:$O$6)</f>
        <v>14.609094059195488</v>
      </c>
      <c r="Q6" s="30">
        <f>'TE BE'!$Q$6*'TE BE'!$Q$57</f>
        <v>-39.13222939941808</v>
      </c>
      <c r="R6" s="30">
        <f>SUM($Q$6:$Q$6)</f>
        <v>-39.13222939941808</v>
      </c>
      <c r="S6" s="30">
        <f>'TE BE'!$S$6*'TE BE'!$S$57</f>
        <v>-0.46752293557447483</v>
      </c>
      <c r="T6" s="30">
        <f>'TE BE'!$T$6*'TE BE'!$T$57</f>
        <v>0.41864523794154163</v>
      </c>
      <c r="U6" s="30">
        <f>'TE BE'!$U$6*'TE BE'!$U$57</f>
        <v>0</v>
      </c>
      <c r="V6" s="30">
        <f>SUM($S$6:$U$6)</f>
        <v>-4.8877697632933204E-2</v>
      </c>
      <c r="W6" s="30">
        <f>'TE BE'!$AA$6*'TE BE'!$W$57</f>
        <v>0</v>
      </c>
      <c r="X6" s="30">
        <f>SUM($W$6:$W$6)</f>
        <v>0</v>
      </c>
      <c r="Y6" s="30">
        <f>'TE BE'!$Y$6*'TE BE'!$Y$57</f>
        <v>-1.0306838202669688</v>
      </c>
      <c r="Z6" s="30">
        <f>SUM($Y$6:$Y$6)</f>
        <v>-1.0306838202669688</v>
      </c>
      <c r="AA6" s="30">
        <f>SUMIF($L$4:$Z$4,"SUBTOTAL",$L$6:$Z$6)</f>
        <v>-25.602696858122492</v>
      </c>
    </row>
    <row r="7" spans="1:27" ht="11.25" customHeight="1" x14ac:dyDescent="0.25">
      <c r="A7" s="130" t="s">
        <v>45</v>
      </c>
      <c r="B7" s="130" t="s">
        <v>87</v>
      </c>
      <c r="C7" s="130" t="s">
        <v>25</v>
      </c>
      <c r="D7" s="130" t="s">
        <v>25</v>
      </c>
      <c r="E7" s="130" t="s">
        <v>25</v>
      </c>
      <c r="F7" s="130" t="s">
        <v>25</v>
      </c>
      <c r="G7" s="32" t="s">
        <v>89</v>
      </c>
      <c r="H7" s="32" t="s">
        <v>88</v>
      </c>
      <c r="I7" s="32">
        <f>'MERCADO TE'!$U$4</f>
        <v>3341.4459999999999</v>
      </c>
      <c r="J7" s="17"/>
      <c r="L7" s="30">
        <f>'TE BE'!$L$7*'TE BE'!$L$57</f>
        <v>3.3638533452100727E-4</v>
      </c>
      <c r="M7" s="30">
        <f>'TE BE'!$M$7*'TE BE'!$M$57</f>
        <v>14.755255598555658</v>
      </c>
      <c r="N7" s="30">
        <f>'TE BE'!$N$7*'TE BE'!$N$57</f>
        <v>0</v>
      </c>
      <c r="O7" s="30">
        <f>'TE BE'!$O$7*'TE BE'!$O$57</f>
        <v>-0.14649792469469042</v>
      </c>
      <c r="P7" s="30">
        <f>SUM($L$7:$O$7)</f>
        <v>14.609094059195488</v>
      </c>
      <c r="Q7" s="30">
        <f>'TE BE'!$Q$7*'TE BE'!$Q$57</f>
        <v>-67.307434566999092</v>
      </c>
      <c r="R7" s="30">
        <f>SUM($Q$7:$Q$7)</f>
        <v>-67.307434566999092</v>
      </c>
      <c r="S7" s="30">
        <f>'TE BE'!$S$7*'TE BE'!$S$57</f>
        <v>-0.46752293557447483</v>
      </c>
      <c r="T7" s="30">
        <f>'TE BE'!$T$7*'TE BE'!$T$57</f>
        <v>0.41864523794154163</v>
      </c>
      <c r="U7" s="30">
        <f>'TE BE'!$U$7*'TE BE'!$U$57</f>
        <v>0</v>
      </c>
      <c r="V7" s="30">
        <f>SUM($S$7:$U$7)</f>
        <v>-4.8877697632933204E-2</v>
      </c>
      <c r="W7" s="30">
        <f>'TE BE'!$AA$7*'TE BE'!$W$57</f>
        <v>0</v>
      </c>
      <c r="X7" s="30">
        <f>SUM($W$7:$W$7)</f>
        <v>0</v>
      </c>
      <c r="Y7" s="30">
        <f>'TE BE'!$Y$7*'TE BE'!$Y$57</f>
        <v>-1.0306838202669688</v>
      </c>
      <c r="Z7" s="30">
        <f>SUM($Y$7:$Y$7)</f>
        <v>-1.0306838202669688</v>
      </c>
      <c r="AA7" s="30">
        <f>SUMIF($L$4:$Z$4,"SUBTOTAL",$L$7:$Z$7)</f>
        <v>-53.777902025703511</v>
      </c>
    </row>
    <row r="8" spans="1:27" ht="11.25" customHeight="1" x14ac:dyDescent="0.25">
      <c r="A8" s="130"/>
      <c r="B8" s="130"/>
      <c r="C8" s="130"/>
      <c r="D8" s="130"/>
      <c r="E8" s="130"/>
      <c r="F8" s="130"/>
      <c r="G8" s="32" t="s">
        <v>90</v>
      </c>
      <c r="H8" s="32" t="s">
        <v>88</v>
      </c>
      <c r="I8" s="32">
        <f>'MERCADO TE'!$U$5</f>
        <v>33041.942000000003</v>
      </c>
      <c r="J8" s="17"/>
      <c r="L8" s="30">
        <f>'TE BE'!$L$8*'TE BE'!$L$57</f>
        <v>3.3638533452100727E-4</v>
      </c>
      <c r="M8" s="30">
        <f>'TE BE'!$M$8*'TE BE'!$M$57</f>
        <v>14.755255598555658</v>
      </c>
      <c r="N8" s="30">
        <f>'TE BE'!$N$8*'TE BE'!$N$57</f>
        <v>0</v>
      </c>
      <c r="O8" s="30">
        <f>'TE BE'!$O$8*'TE BE'!$O$57</f>
        <v>-0.14649792469469042</v>
      </c>
      <c r="P8" s="30">
        <f>SUM($L$8:$O$8)</f>
        <v>14.609094059195488</v>
      </c>
      <c r="Q8" s="30">
        <f>'TE BE'!$Q$8*'TE BE'!$Q$57</f>
        <v>-39.13222939941808</v>
      </c>
      <c r="R8" s="30">
        <f>SUM($Q$8:$Q$8)</f>
        <v>-39.13222939941808</v>
      </c>
      <c r="S8" s="30">
        <f>'TE BE'!$S$8*'TE BE'!$S$57</f>
        <v>-0.46752293557447483</v>
      </c>
      <c r="T8" s="30">
        <f>'TE BE'!$T$8*'TE BE'!$T$57</f>
        <v>0.41864523794154163</v>
      </c>
      <c r="U8" s="30">
        <f>'TE BE'!$U$8*'TE BE'!$U$57</f>
        <v>0</v>
      </c>
      <c r="V8" s="30">
        <f>SUM($S$8:$U$8)</f>
        <v>-4.8877697632933204E-2</v>
      </c>
      <c r="W8" s="30">
        <f>'TE BE'!$AA$8*'TE BE'!$W$57</f>
        <v>0</v>
      </c>
      <c r="X8" s="30">
        <f>SUM($W$8:$W$8)</f>
        <v>0</v>
      </c>
      <c r="Y8" s="30">
        <f>'TE BE'!$Y$8*'TE BE'!$Y$57</f>
        <v>-1.0306838202669688</v>
      </c>
      <c r="Z8" s="30">
        <f>SUM($Y$8:$Y$8)</f>
        <v>-1.0306838202669688</v>
      </c>
      <c r="AA8" s="30">
        <f>SUMIF($L$4:$Z$4,"SUBTOTAL",$L$8:$Z$8)</f>
        <v>-25.602696858122492</v>
      </c>
    </row>
    <row r="9" spans="1:27" ht="11.25" customHeight="1" x14ac:dyDescent="0.25">
      <c r="A9" s="130"/>
      <c r="B9" s="38" t="s">
        <v>96</v>
      </c>
      <c r="C9" s="38" t="s">
        <v>25</v>
      </c>
      <c r="D9" s="38" t="s">
        <v>25</v>
      </c>
      <c r="E9" s="38" t="s">
        <v>25</v>
      </c>
      <c r="F9" s="38" t="s">
        <v>25</v>
      </c>
      <c r="G9" s="32" t="s">
        <v>94</v>
      </c>
      <c r="H9" s="32" t="s">
        <v>88</v>
      </c>
      <c r="I9" s="32">
        <f>'MERCADO TE'!$U$6</f>
        <v>0</v>
      </c>
      <c r="J9" s="17"/>
      <c r="L9" s="30">
        <f>'TE BE'!$L$9*'TE BE'!$L$57</f>
        <v>3.3638533452100727E-4</v>
      </c>
      <c r="M9" s="30">
        <f>'TE BE'!$M$9*'TE BE'!$M$57</f>
        <v>14.755255598555658</v>
      </c>
      <c r="N9" s="30">
        <f>'TE BE'!$N$9*'TE BE'!$N$57</f>
        <v>0</v>
      </c>
      <c r="O9" s="30">
        <f>'TE BE'!$O$9*'TE BE'!$O$57</f>
        <v>-0.14649792469469042</v>
      </c>
      <c r="P9" s="30">
        <f>SUM($L$9:$O$9)</f>
        <v>14.609094059195488</v>
      </c>
      <c r="Q9" s="30">
        <f>'TE BE'!$Q$9*'TE BE'!$Q$57</f>
        <v>-41.480163163383168</v>
      </c>
      <c r="R9" s="30">
        <f>SUM($Q$9:$Q$9)</f>
        <v>-41.480163163383168</v>
      </c>
      <c r="S9" s="30">
        <f>'TE BE'!$S$9*'TE BE'!$S$57</f>
        <v>-0.46752293557447483</v>
      </c>
      <c r="T9" s="30">
        <f>'TE BE'!$T$9*'TE BE'!$T$57</f>
        <v>0.41864523794154163</v>
      </c>
      <c r="U9" s="30">
        <f>'TE BE'!$U$9*'TE BE'!$U$57</f>
        <v>0</v>
      </c>
      <c r="V9" s="30">
        <f>SUM($S$9:$U$9)</f>
        <v>-4.8877697632933204E-2</v>
      </c>
      <c r="W9" s="30">
        <f>'TE BE'!$AA$9*'TE BE'!$W$57</f>
        <v>0</v>
      </c>
      <c r="X9" s="30">
        <f>SUM($W$9:$W$9)</f>
        <v>0</v>
      </c>
      <c r="Y9" s="30">
        <f>'TE BE'!$Y$9*'TE BE'!$Y$57</f>
        <v>-1.0306838202669688</v>
      </c>
      <c r="Z9" s="30">
        <f>SUM($Y$9:$Y$9)</f>
        <v>-1.0306838202669688</v>
      </c>
      <c r="AA9" s="30">
        <f>SUMIF($L$4:$Z$4,"SUBTOTAL",$L$9:$Z$9)</f>
        <v>-27.95063062208758</v>
      </c>
    </row>
    <row r="10" spans="1:27" ht="11.25" customHeight="1" x14ac:dyDescent="0.25">
      <c r="A10" s="130" t="s">
        <v>33</v>
      </c>
      <c r="B10" s="130" t="s">
        <v>87</v>
      </c>
      <c r="C10" s="130" t="s">
        <v>25</v>
      </c>
      <c r="D10" s="130" t="s">
        <v>25</v>
      </c>
      <c r="E10" s="130" t="s">
        <v>25</v>
      </c>
      <c r="F10" s="130" t="s">
        <v>25</v>
      </c>
      <c r="G10" s="32" t="s">
        <v>89</v>
      </c>
      <c r="H10" s="32" t="s">
        <v>88</v>
      </c>
      <c r="I10" s="32">
        <f>'MERCADO TE'!$U$7</f>
        <v>84316.775000000023</v>
      </c>
      <c r="J10" s="17"/>
      <c r="L10" s="30">
        <f>'TE BE'!$L$10*'TE BE'!$L$57</f>
        <v>3.3638533452100727E-4</v>
      </c>
      <c r="M10" s="30">
        <f>'TE BE'!$M$10*'TE BE'!$M$57</f>
        <v>14.755255598555658</v>
      </c>
      <c r="N10" s="30">
        <f>'TE BE'!$N$10*'TE BE'!$N$57</f>
        <v>0</v>
      </c>
      <c r="O10" s="30">
        <f>'TE BE'!$O$10*'TE BE'!$O$57</f>
        <v>-0.14649792469469042</v>
      </c>
      <c r="P10" s="30">
        <f>SUM($L$10:$O$10)</f>
        <v>14.609094059195488</v>
      </c>
      <c r="Q10" s="30">
        <f>'TE BE'!$Q$10*'TE BE'!$Q$57</f>
        <v>-67.307434566999092</v>
      </c>
      <c r="R10" s="30">
        <f>SUM($Q$10:$Q$10)</f>
        <v>-67.307434566999092</v>
      </c>
      <c r="S10" s="30">
        <f>'TE BE'!$S$10*'TE BE'!$S$57</f>
        <v>-0.46752293557447483</v>
      </c>
      <c r="T10" s="30">
        <f>'TE BE'!$T$10*'TE BE'!$T$57</f>
        <v>0.41864523794154163</v>
      </c>
      <c r="U10" s="30">
        <f>'TE BE'!$U$10*'TE BE'!$U$57</f>
        <v>0</v>
      </c>
      <c r="V10" s="30">
        <f>SUM($S$10:$U$10)</f>
        <v>-4.8877697632933204E-2</v>
      </c>
      <c r="W10" s="30">
        <f>'TE BE'!$AA$10*'TE BE'!$W$57</f>
        <v>0</v>
      </c>
      <c r="X10" s="30">
        <f>SUM($W$10:$W$10)</f>
        <v>0</v>
      </c>
      <c r="Y10" s="30">
        <f>'TE BE'!$Y$10*'TE BE'!$Y$57</f>
        <v>-1.0306838202669688</v>
      </c>
      <c r="Z10" s="30">
        <f>SUM($Y$10:$Y$10)</f>
        <v>-1.0306838202669688</v>
      </c>
      <c r="AA10" s="30">
        <f>SUMIF($L$4:$Z$4,"SUBTOTAL",$L$10:$Z$10)</f>
        <v>-53.777902025703511</v>
      </c>
    </row>
    <row r="11" spans="1:27" ht="11.25" customHeight="1" x14ac:dyDescent="0.25">
      <c r="A11" s="130"/>
      <c r="B11" s="130"/>
      <c r="C11" s="130"/>
      <c r="D11" s="130"/>
      <c r="E11" s="130"/>
      <c r="F11" s="130"/>
      <c r="G11" s="32" t="s">
        <v>90</v>
      </c>
      <c r="H11" s="32" t="s">
        <v>88</v>
      </c>
      <c r="I11" s="32">
        <f>'MERCADO TE'!$U$8</f>
        <v>857352.201</v>
      </c>
      <c r="J11" s="17"/>
      <c r="L11" s="30">
        <f>'TE BE'!$L$11*'TE BE'!$L$57</f>
        <v>3.3638533452100727E-4</v>
      </c>
      <c r="M11" s="30">
        <f>'TE BE'!$M$11*'TE BE'!$M$57</f>
        <v>14.755255598555658</v>
      </c>
      <c r="N11" s="30">
        <f>'TE BE'!$N$11*'TE BE'!$N$57</f>
        <v>0</v>
      </c>
      <c r="O11" s="30">
        <f>'TE BE'!$O$11*'TE BE'!$O$57</f>
        <v>-0.14649792469469042</v>
      </c>
      <c r="P11" s="30">
        <f>SUM($L$11:$O$11)</f>
        <v>14.609094059195488</v>
      </c>
      <c r="Q11" s="30">
        <f>'TE BE'!$Q$11*'TE BE'!$Q$57</f>
        <v>-39.13222939941808</v>
      </c>
      <c r="R11" s="30">
        <f>SUM($Q$11:$Q$11)</f>
        <v>-39.13222939941808</v>
      </c>
      <c r="S11" s="30">
        <f>'TE BE'!$S$11*'TE BE'!$S$57</f>
        <v>-0.46752293557447483</v>
      </c>
      <c r="T11" s="30">
        <f>'TE BE'!$T$11*'TE BE'!$T$57</f>
        <v>0.41864523794154163</v>
      </c>
      <c r="U11" s="30">
        <f>'TE BE'!$U$11*'TE BE'!$U$57</f>
        <v>0</v>
      </c>
      <c r="V11" s="30">
        <f>SUM($S$11:$U$11)</f>
        <v>-4.8877697632933204E-2</v>
      </c>
      <c r="W11" s="30">
        <f>'TE BE'!$AA$11*'TE BE'!$W$57</f>
        <v>0</v>
      </c>
      <c r="X11" s="30">
        <f>SUM($W$11:$W$11)</f>
        <v>0</v>
      </c>
      <c r="Y11" s="30">
        <f>'TE BE'!$Y$11*'TE BE'!$Y$57</f>
        <v>-1.0306838202669688</v>
      </c>
      <c r="Z11" s="30">
        <f>SUM($Y$11:$Y$11)</f>
        <v>-1.0306838202669688</v>
      </c>
      <c r="AA11" s="30">
        <f>SUMIF($L$4:$Z$4,"SUBTOTAL",$L$11:$Z$11)</f>
        <v>-25.602696858122492</v>
      </c>
    </row>
    <row r="12" spans="1:27" ht="11.25" customHeight="1" x14ac:dyDescent="0.25">
      <c r="A12" s="130"/>
      <c r="B12" s="38" t="s">
        <v>96</v>
      </c>
      <c r="C12" s="38" t="s">
        <v>25</v>
      </c>
      <c r="D12" s="38" t="s">
        <v>25</v>
      </c>
      <c r="E12" s="38" t="s">
        <v>25</v>
      </c>
      <c r="F12" s="38" t="s">
        <v>25</v>
      </c>
      <c r="G12" s="32" t="s">
        <v>94</v>
      </c>
      <c r="H12" s="32" t="s">
        <v>88</v>
      </c>
      <c r="I12" s="32">
        <f>'MERCADO TE'!$U$9</f>
        <v>0</v>
      </c>
      <c r="J12" s="17"/>
      <c r="L12" s="30">
        <f>'TE BE'!$L$12*'TE BE'!$L$57</f>
        <v>3.3638533452100727E-4</v>
      </c>
      <c r="M12" s="30">
        <f>'TE BE'!$M$12*'TE BE'!$M$57</f>
        <v>14.755255598555658</v>
      </c>
      <c r="N12" s="30">
        <f>'TE BE'!$N$12*'TE BE'!$N$57</f>
        <v>0</v>
      </c>
      <c r="O12" s="30">
        <f>'TE BE'!$O$12*'TE BE'!$O$57</f>
        <v>-0.14649792469469042</v>
      </c>
      <c r="P12" s="30">
        <f>SUM($L$12:$O$12)</f>
        <v>14.609094059195488</v>
      </c>
      <c r="Q12" s="30">
        <f>'TE BE'!$Q$12*'TE BE'!$Q$57</f>
        <v>-41.480163163383168</v>
      </c>
      <c r="R12" s="30">
        <f>SUM($Q$12:$Q$12)</f>
        <v>-41.480163163383168</v>
      </c>
      <c r="S12" s="30">
        <f>'TE BE'!$S$12*'TE BE'!$S$57</f>
        <v>-0.46752293557447483</v>
      </c>
      <c r="T12" s="30">
        <f>'TE BE'!$T$12*'TE BE'!$T$57</f>
        <v>0.41864523794154163</v>
      </c>
      <c r="U12" s="30">
        <f>'TE BE'!$U$12*'TE BE'!$U$57</f>
        <v>0</v>
      </c>
      <c r="V12" s="30">
        <f>SUM($S$12:$U$12)</f>
        <v>-4.8877697632933204E-2</v>
      </c>
      <c r="W12" s="30">
        <f>'TE BE'!$AA$12*'TE BE'!$W$57</f>
        <v>0</v>
      </c>
      <c r="X12" s="30">
        <f>SUM($W$12:$W$12)</f>
        <v>0</v>
      </c>
      <c r="Y12" s="30">
        <f>'TE BE'!$Y$12*'TE BE'!$Y$57</f>
        <v>-1.0306838202669688</v>
      </c>
      <c r="Z12" s="30">
        <f>SUM($Y$12:$Y$12)</f>
        <v>-1.0306838202669688</v>
      </c>
      <c r="AA12" s="30">
        <f>SUMIF($L$4:$Z$4,"SUBTOTAL",$L$12:$Z$12)</f>
        <v>-27.95063062208758</v>
      </c>
    </row>
    <row r="13" spans="1:27" ht="11.25" customHeight="1" x14ac:dyDescent="0.25">
      <c r="A13" s="130" t="s">
        <v>44</v>
      </c>
      <c r="B13" s="130" t="s">
        <v>87</v>
      </c>
      <c r="C13" s="130" t="s">
        <v>25</v>
      </c>
      <c r="D13" s="130" t="s">
        <v>25</v>
      </c>
      <c r="E13" s="130" t="s">
        <v>25</v>
      </c>
      <c r="F13" s="130" t="s">
        <v>25</v>
      </c>
      <c r="G13" s="32" t="s">
        <v>89</v>
      </c>
      <c r="H13" s="32" t="s">
        <v>88</v>
      </c>
      <c r="I13" s="32">
        <f>'MERCADO TE'!$U$10</f>
        <v>34022.192000000003</v>
      </c>
      <c r="J13" s="17"/>
      <c r="L13" s="30">
        <f>'TE BE'!$L$13*'TE BE'!$L$57</f>
        <v>3.3638533452100727E-4</v>
      </c>
      <c r="M13" s="30">
        <f>'TE BE'!$M$13*'TE BE'!$M$57</f>
        <v>14.755255598555658</v>
      </c>
      <c r="N13" s="30">
        <f>'TE BE'!$N$13*'TE BE'!$N$57</f>
        <v>0</v>
      </c>
      <c r="O13" s="30">
        <f>'TE BE'!$O$13*'TE BE'!$O$57</f>
        <v>-0.14649792469469042</v>
      </c>
      <c r="P13" s="30">
        <f>SUM($L$13:$O$13)</f>
        <v>14.609094059195488</v>
      </c>
      <c r="Q13" s="30">
        <f>'TE BE'!$Q$13*'TE BE'!$Q$57</f>
        <v>-67.307434566999092</v>
      </c>
      <c r="R13" s="30">
        <f>SUM($Q$13:$Q$13)</f>
        <v>-67.307434566999092</v>
      </c>
      <c r="S13" s="30">
        <f>'TE BE'!$S$13*'TE BE'!$S$57</f>
        <v>-0.46752293557447483</v>
      </c>
      <c r="T13" s="30">
        <f>'TE BE'!$T$13*'TE BE'!$T$57</f>
        <v>0.41864523794154163</v>
      </c>
      <c r="U13" s="30">
        <f>'TE BE'!$U$13*'TE BE'!$U$57</f>
        <v>0</v>
      </c>
      <c r="V13" s="30">
        <f>SUM($S$13:$U$13)</f>
        <v>-4.8877697632933204E-2</v>
      </c>
      <c r="W13" s="30">
        <f>'TE BE'!$AA$13*'TE BE'!$W$57</f>
        <v>0</v>
      </c>
      <c r="X13" s="30">
        <f>SUM($W$13:$W$13)</f>
        <v>0</v>
      </c>
      <c r="Y13" s="30">
        <f>'TE BE'!$Y$13*'TE BE'!$Y$57</f>
        <v>-1.0306838202669688</v>
      </c>
      <c r="Z13" s="30">
        <f>SUM($Y$13:$Y$13)</f>
        <v>-1.0306838202669688</v>
      </c>
      <c r="AA13" s="30">
        <f>SUMIF($L$4:$Z$4,"SUBTOTAL",$L$13:$Z$13)</f>
        <v>-53.777902025703511</v>
      </c>
    </row>
    <row r="14" spans="1:27" ht="11.25" customHeight="1" x14ac:dyDescent="0.25">
      <c r="A14" s="130"/>
      <c r="B14" s="130"/>
      <c r="C14" s="130"/>
      <c r="D14" s="130"/>
      <c r="E14" s="130"/>
      <c r="F14" s="130"/>
      <c r="G14" s="32" t="s">
        <v>90</v>
      </c>
      <c r="H14" s="32" t="s">
        <v>88</v>
      </c>
      <c r="I14" s="32">
        <f>'MERCADO TE'!$U$11</f>
        <v>338432.99999999994</v>
      </c>
      <c r="J14" s="17"/>
      <c r="L14" s="30">
        <f>'TE BE'!$L$14*'TE BE'!$L$57</f>
        <v>3.3638533452100727E-4</v>
      </c>
      <c r="M14" s="30">
        <f>'TE BE'!$M$14*'TE BE'!$M$57</f>
        <v>14.755255598555658</v>
      </c>
      <c r="N14" s="30">
        <f>'TE BE'!$N$14*'TE BE'!$N$57</f>
        <v>0</v>
      </c>
      <c r="O14" s="30">
        <f>'TE BE'!$O$14*'TE BE'!$O$57</f>
        <v>-0.14649792469469042</v>
      </c>
      <c r="P14" s="30">
        <f>SUM($L$14:$O$14)</f>
        <v>14.609094059195488</v>
      </c>
      <c r="Q14" s="30">
        <f>'TE BE'!$Q$14*'TE BE'!$Q$57</f>
        <v>-39.13222939941808</v>
      </c>
      <c r="R14" s="30">
        <f>SUM($Q$14:$Q$14)</f>
        <v>-39.13222939941808</v>
      </c>
      <c r="S14" s="30">
        <f>'TE BE'!$S$14*'TE BE'!$S$57</f>
        <v>-0.46752293557447483</v>
      </c>
      <c r="T14" s="30">
        <f>'TE BE'!$T$14*'TE BE'!$T$57</f>
        <v>0.41864523794154163</v>
      </c>
      <c r="U14" s="30">
        <f>'TE BE'!$U$14*'TE BE'!$U$57</f>
        <v>0</v>
      </c>
      <c r="V14" s="30">
        <f>SUM($S$14:$U$14)</f>
        <v>-4.8877697632933204E-2</v>
      </c>
      <c r="W14" s="30">
        <f>'TE BE'!$AA$14*'TE BE'!$W$57</f>
        <v>0</v>
      </c>
      <c r="X14" s="30">
        <f>SUM($W$14:$W$14)</f>
        <v>0</v>
      </c>
      <c r="Y14" s="30">
        <f>'TE BE'!$Y$14*'TE BE'!$Y$57</f>
        <v>-1.0306838202669688</v>
      </c>
      <c r="Z14" s="30">
        <f>SUM($Y$14:$Y$14)</f>
        <v>-1.0306838202669688</v>
      </c>
      <c r="AA14" s="30">
        <f>SUMIF($L$4:$Z$4,"SUBTOTAL",$L$14:$Z$14)</f>
        <v>-25.602696858122492</v>
      </c>
    </row>
    <row r="15" spans="1:27" ht="11.25" customHeight="1" x14ac:dyDescent="0.25">
      <c r="A15" s="130"/>
      <c r="B15" s="38" t="s">
        <v>96</v>
      </c>
      <c r="C15" s="38" t="s">
        <v>25</v>
      </c>
      <c r="D15" s="38" t="s">
        <v>25</v>
      </c>
      <c r="E15" s="38" t="s">
        <v>25</v>
      </c>
      <c r="F15" s="38" t="s">
        <v>25</v>
      </c>
      <c r="G15" s="32" t="s">
        <v>94</v>
      </c>
      <c r="H15" s="32" t="s">
        <v>88</v>
      </c>
      <c r="I15" s="32">
        <f>'MERCADO TE'!$U$12</f>
        <v>0</v>
      </c>
      <c r="J15" s="17"/>
      <c r="L15" s="30">
        <f>'TE BE'!$L$15*'TE BE'!$L$57</f>
        <v>3.3638533452100727E-4</v>
      </c>
      <c r="M15" s="30">
        <f>'TE BE'!$M$15*'TE BE'!$M$57</f>
        <v>14.755255598555658</v>
      </c>
      <c r="N15" s="30">
        <f>'TE BE'!$N$15*'TE BE'!$N$57</f>
        <v>0</v>
      </c>
      <c r="O15" s="30">
        <f>'TE BE'!$O$15*'TE BE'!$O$57</f>
        <v>-0.14649792469469042</v>
      </c>
      <c r="P15" s="30">
        <f>SUM($L$15:$O$15)</f>
        <v>14.609094059195488</v>
      </c>
      <c r="Q15" s="30">
        <f>'TE BE'!$Q$15*'TE BE'!$Q$57</f>
        <v>-41.480163163383168</v>
      </c>
      <c r="R15" s="30">
        <f>SUM($Q$15:$Q$15)</f>
        <v>-41.480163163383168</v>
      </c>
      <c r="S15" s="30">
        <f>'TE BE'!$S$15*'TE BE'!$S$57</f>
        <v>-0.46752293557447483</v>
      </c>
      <c r="T15" s="30">
        <f>'TE BE'!$T$15*'TE BE'!$T$57</f>
        <v>0.41864523794154163</v>
      </c>
      <c r="U15" s="30">
        <f>'TE BE'!$U$15*'TE BE'!$U$57</f>
        <v>0</v>
      </c>
      <c r="V15" s="30">
        <f>SUM($S$15:$U$15)</f>
        <v>-4.8877697632933204E-2</v>
      </c>
      <c r="W15" s="30">
        <f>'TE BE'!$AA$15*'TE BE'!$W$57</f>
        <v>0</v>
      </c>
      <c r="X15" s="30">
        <f>SUM($W$15:$W$15)</f>
        <v>0</v>
      </c>
      <c r="Y15" s="30">
        <f>'TE BE'!$Y$15*'TE BE'!$Y$57</f>
        <v>-1.0306838202669688</v>
      </c>
      <c r="Z15" s="30">
        <f>SUM($Y$15:$Y$15)</f>
        <v>-1.0306838202669688</v>
      </c>
      <c r="AA15" s="30">
        <f>SUMIF($L$4:$Z$4,"SUBTOTAL",$L$15:$Z$15)</f>
        <v>-27.95063062208758</v>
      </c>
    </row>
    <row r="16" spans="1:27" ht="11.25" customHeight="1" x14ac:dyDescent="0.25">
      <c r="A16" s="130" t="s">
        <v>22</v>
      </c>
      <c r="B16" s="130" t="s">
        <v>87</v>
      </c>
      <c r="C16" s="130" t="s">
        <v>24</v>
      </c>
      <c r="D16" s="130" t="s">
        <v>24</v>
      </c>
      <c r="E16" s="130" t="s">
        <v>25</v>
      </c>
      <c r="F16" s="130" t="s">
        <v>25</v>
      </c>
      <c r="G16" s="32" t="s">
        <v>89</v>
      </c>
      <c r="H16" s="32" t="s">
        <v>88</v>
      </c>
      <c r="I16" s="32">
        <f>'MERCADO TE'!$U$13</f>
        <v>253.625</v>
      </c>
      <c r="J16" s="17"/>
      <c r="L16" s="30">
        <f>'TE BE'!$L$16*'TE BE'!$L$57</f>
        <v>3.3638533452100727E-4</v>
      </c>
      <c r="M16" s="30">
        <f>'TE BE'!$M$16*'TE BE'!$M$57</f>
        <v>14.755255598555658</v>
      </c>
      <c r="N16" s="30">
        <f>'TE BE'!$N$16*'TE BE'!$N$57</f>
        <v>0</v>
      </c>
      <c r="O16" s="30">
        <f>'TE BE'!$O$16*'TE BE'!$O$57</f>
        <v>-0.14649792469469042</v>
      </c>
      <c r="P16" s="30">
        <f>SUM($L$16:$O$16)</f>
        <v>14.609094059195488</v>
      </c>
      <c r="Q16" s="30">
        <f>'TE BE'!$Q$16*'TE BE'!$Q$57</f>
        <v>-67.307434566999092</v>
      </c>
      <c r="R16" s="30">
        <f>SUM($Q$16:$Q$16)</f>
        <v>-67.307434566999092</v>
      </c>
      <c r="S16" s="30">
        <f>'TE BE'!$S$16*'TE BE'!$S$57</f>
        <v>-0.46752293557447483</v>
      </c>
      <c r="T16" s="30">
        <f>'TE BE'!$T$16*'TE BE'!$T$57</f>
        <v>0.41864523794154163</v>
      </c>
      <c r="U16" s="30">
        <f>'TE BE'!$U$16*'TE BE'!$U$57</f>
        <v>0</v>
      </c>
      <c r="V16" s="30">
        <f>SUM($S$16:$U$16)</f>
        <v>-4.8877697632933204E-2</v>
      </c>
      <c r="W16" s="30">
        <f>'TE BE'!$AA$16*'TE BE'!$W$57</f>
        <v>0</v>
      </c>
      <c r="X16" s="30">
        <f>SUM($W$16:$W$16)</f>
        <v>0</v>
      </c>
      <c r="Y16" s="30">
        <f>'TE BE'!$Y$16*'TE BE'!$Y$57</f>
        <v>-1.0306838202669688</v>
      </c>
      <c r="Z16" s="30">
        <f>SUM($Y$16:$Y$16)</f>
        <v>-1.0306838202669688</v>
      </c>
      <c r="AA16" s="30">
        <f>SUMIF($L$4:$Z$4,"SUBTOTAL",$L$16:$Z$16)</f>
        <v>-53.777902025703511</v>
      </c>
    </row>
    <row r="17" spans="1:27" ht="11.25" customHeight="1" x14ac:dyDescent="0.25">
      <c r="A17" s="130"/>
      <c r="B17" s="130"/>
      <c r="C17" s="130"/>
      <c r="D17" s="130"/>
      <c r="E17" s="130"/>
      <c r="F17" s="130"/>
      <c r="G17" s="32" t="s">
        <v>100</v>
      </c>
      <c r="H17" s="32" t="s">
        <v>88</v>
      </c>
      <c r="I17" s="32">
        <f>'MERCADO TE'!$U$14</f>
        <v>165.69400000000005</v>
      </c>
      <c r="J17" s="17"/>
      <c r="L17" s="30">
        <f>'TE BE'!$L$17*'TE BE'!$L$57</f>
        <v>3.3638533452100727E-4</v>
      </c>
      <c r="M17" s="30">
        <f>'TE BE'!$M$17*'TE BE'!$M$57</f>
        <v>14.755255598555658</v>
      </c>
      <c r="N17" s="30">
        <f>'TE BE'!$N$17*'TE BE'!$N$57</f>
        <v>0</v>
      </c>
      <c r="O17" s="30">
        <f>'TE BE'!$O$17*'TE BE'!$O$57</f>
        <v>-0.14649792469469042</v>
      </c>
      <c r="P17" s="30">
        <f>SUM($L$17:$O$17)</f>
        <v>14.609094059195488</v>
      </c>
      <c r="Q17" s="30">
        <f>'TE BE'!$Q$17*'TE BE'!$Q$57</f>
        <v>-39.13222939941808</v>
      </c>
      <c r="R17" s="30">
        <f>SUM($Q$17:$Q$17)</f>
        <v>-39.13222939941808</v>
      </c>
      <c r="S17" s="30">
        <f>'TE BE'!$S$17*'TE BE'!$S$57</f>
        <v>-0.46752293557447483</v>
      </c>
      <c r="T17" s="30">
        <f>'TE BE'!$T$17*'TE BE'!$T$57</f>
        <v>0.41864523794154163</v>
      </c>
      <c r="U17" s="30">
        <f>'TE BE'!$U$17*'TE BE'!$U$57</f>
        <v>0</v>
      </c>
      <c r="V17" s="30">
        <f>SUM($S$17:$U$17)</f>
        <v>-4.8877697632933204E-2</v>
      </c>
      <c r="W17" s="30">
        <f>'TE BE'!$AA$17*'TE BE'!$W$57</f>
        <v>0</v>
      </c>
      <c r="X17" s="30">
        <f>SUM($W$17:$W$17)</f>
        <v>0</v>
      </c>
      <c r="Y17" s="30">
        <f>'TE BE'!$Y$17*'TE BE'!$Y$57</f>
        <v>-1.0306838202669688</v>
      </c>
      <c r="Z17" s="30">
        <f>SUM($Y$17:$Y$17)</f>
        <v>-1.0306838202669688</v>
      </c>
      <c r="AA17" s="30">
        <f>SUMIF($L$4:$Z$4,"SUBTOTAL",$L$17:$Z$17)</f>
        <v>-25.602696858122492</v>
      </c>
    </row>
    <row r="18" spans="1:27" ht="11.25" customHeight="1" x14ac:dyDescent="0.25">
      <c r="A18" s="130"/>
      <c r="B18" s="130"/>
      <c r="C18" s="130"/>
      <c r="D18" s="130"/>
      <c r="E18" s="130"/>
      <c r="F18" s="130"/>
      <c r="G18" s="32" t="s">
        <v>90</v>
      </c>
      <c r="H18" s="32" t="s">
        <v>88</v>
      </c>
      <c r="I18" s="32">
        <f>'MERCADO TE'!$U$15</f>
        <v>2116.5709999999999</v>
      </c>
      <c r="J18" s="17"/>
      <c r="L18" s="30">
        <f>'TE BE'!$L$18*'TE BE'!$L$57</f>
        <v>3.3638533452100727E-4</v>
      </c>
      <c r="M18" s="30">
        <f>'TE BE'!$M$18*'TE BE'!$M$57</f>
        <v>14.755255598555658</v>
      </c>
      <c r="N18" s="30">
        <f>'TE BE'!$N$18*'TE BE'!$N$57</f>
        <v>0</v>
      </c>
      <c r="O18" s="30">
        <f>'TE BE'!$O$18*'TE BE'!$O$57</f>
        <v>-0.14649792469469042</v>
      </c>
      <c r="P18" s="30">
        <f>SUM($L$18:$O$18)</f>
        <v>14.609094059195488</v>
      </c>
      <c r="Q18" s="30">
        <f>'TE BE'!$Q$18*'TE BE'!$Q$57</f>
        <v>-39.13222939941808</v>
      </c>
      <c r="R18" s="30">
        <f>SUM($Q$18:$Q$18)</f>
        <v>-39.13222939941808</v>
      </c>
      <c r="S18" s="30">
        <f>'TE BE'!$S$18*'TE BE'!$S$57</f>
        <v>-0.46752293557447483</v>
      </c>
      <c r="T18" s="30">
        <f>'TE BE'!$T$18*'TE BE'!$T$57</f>
        <v>0.41864523794154163</v>
      </c>
      <c r="U18" s="30">
        <f>'TE BE'!$U$18*'TE BE'!$U$57</f>
        <v>0</v>
      </c>
      <c r="V18" s="30">
        <f>SUM($S$18:$U$18)</f>
        <v>-4.8877697632933204E-2</v>
      </c>
      <c r="W18" s="30">
        <f>'TE BE'!$AA$18*'TE BE'!$W$57</f>
        <v>0</v>
      </c>
      <c r="X18" s="30">
        <f>SUM($W$18:$W$18)</f>
        <v>0</v>
      </c>
      <c r="Y18" s="30">
        <f>'TE BE'!$Y$18*'TE BE'!$Y$57</f>
        <v>-1.0306838202669688</v>
      </c>
      <c r="Z18" s="30">
        <f>SUM($Y$18:$Y$18)</f>
        <v>-1.0306838202669688</v>
      </c>
      <c r="AA18" s="30">
        <f>SUMIF($L$4:$Z$4,"SUBTOTAL",$L$18:$Z$18)</f>
        <v>-25.602696858122492</v>
      </c>
    </row>
    <row r="19" spans="1:27" ht="11.25" customHeight="1" x14ac:dyDescent="0.25">
      <c r="A19" s="130"/>
      <c r="B19" s="130" t="s">
        <v>96</v>
      </c>
      <c r="C19" s="130" t="s">
        <v>24</v>
      </c>
      <c r="D19" s="38" t="s">
        <v>24</v>
      </c>
      <c r="E19" s="38" t="s">
        <v>25</v>
      </c>
      <c r="F19" s="38" t="s">
        <v>25</v>
      </c>
      <c r="G19" s="32" t="s">
        <v>94</v>
      </c>
      <c r="H19" s="32" t="s">
        <v>88</v>
      </c>
      <c r="I19" s="32">
        <f>'MERCADO TE'!$U$16</f>
        <v>2322476.7919999999</v>
      </c>
      <c r="J19" s="17"/>
      <c r="L19" s="30">
        <f>'TE BE'!$L$19*'TE BE'!$L$57</f>
        <v>3.3638533452100727E-4</v>
      </c>
      <c r="M19" s="30">
        <f>'TE BE'!$M$19*'TE BE'!$M$57</f>
        <v>14.755255598555658</v>
      </c>
      <c r="N19" s="30">
        <f>'TE BE'!$N$19*'TE BE'!$N$57</f>
        <v>0</v>
      </c>
      <c r="O19" s="30">
        <f>'TE BE'!$O$19*'TE BE'!$O$57</f>
        <v>-0.14649792469469042</v>
      </c>
      <c r="P19" s="30">
        <f>SUM($L$19:$O$19)</f>
        <v>14.609094059195488</v>
      </c>
      <c r="Q19" s="30">
        <f>'TE BE'!$Q$19*'TE BE'!$Q$57</f>
        <v>-41.480163163383168</v>
      </c>
      <c r="R19" s="30">
        <f>SUM($Q$19:$Q$19)</f>
        <v>-41.480163163383168</v>
      </c>
      <c r="S19" s="30">
        <f>'TE BE'!$S$19*'TE BE'!$S$57</f>
        <v>-0.46752293557447483</v>
      </c>
      <c r="T19" s="30">
        <f>'TE BE'!$T$19*'TE BE'!$T$57</f>
        <v>0.41864523794154163</v>
      </c>
      <c r="U19" s="30">
        <f>'TE BE'!$U$19*'TE BE'!$U$57</f>
        <v>0</v>
      </c>
      <c r="V19" s="30">
        <f>SUM($S$19:$U$19)</f>
        <v>-4.8877697632933204E-2</v>
      </c>
      <c r="W19" s="30">
        <f>'TE BE'!$AA$19*'TE BE'!$W$57</f>
        <v>0</v>
      </c>
      <c r="X19" s="30">
        <f>SUM($W$19:$W$19)</f>
        <v>0</v>
      </c>
      <c r="Y19" s="30">
        <f>'TE BE'!$Y$19*'TE BE'!$Y$57</f>
        <v>-1.0306838202669688</v>
      </c>
      <c r="Z19" s="30">
        <f>SUM($Y$19:$Y$19)</f>
        <v>-1.0306838202669688</v>
      </c>
      <c r="AA19" s="30">
        <f>SUMIF($L$4:$Z$4,"SUBTOTAL",$L$19:$Z$19)</f>
        <v>-27.95063062208758</v>
      </c>
    </row>
    <row r="20" spans="1:27" ht="11.25" customHeight="1" x14ac:dyDescent="0.25">
      <c r="A20" s="130"/>
      <c r="B20" s="130"/>
      <c r="C20" s="130"/>
      <c r="D20" s="38" t="s">
        <v>29</v>
      </c>
      <c r="E20" s="38" t="s">
        <v>25</v>
      </c>
      <c r="F20" s="38" t="s">
        <v>25</v>
      </c>
      <c r="G20" s="32" t="s">
        <v>94</v>
      </c>
      <c r="H20" s="32" t="s">
        <v>88</v>
      </c>
      <c r="I20" s="32">
        <f>'MERCADO TE'!$U$17</f>
        <v>3506.9700000000003</v>
      </c>
      <c r="J20" s="17"/>
      <c r="L20" s="30">
        <f>'TE BE'!$L$20*'TE BE'!$L$57</f>
        <v>3.3638533452100727E-4</v>
      </c>
      <c r="M20" s="30">
        <f>'TE BE'!$M$20*'TE BE'!$M$57</f>
        <v>14.755255598555658</v>
      </c>
      <c r="N20" s="30">
        <f>'TE BE'!$N$20*'TE BE'!$N$57</f>
        <v>0</v>
      </c>
      <c r="O20" s="30">
        <f>'TE BE'!$O$20*'TE BE'!$O$57</f>
        <v>-0.14649792469469042</v>
      </c>
      <c r="P20" s="30">
        <f>SUM($L$20:$O$20)</f>
        <v>14.609094059195488</v>
      </c>
      <c r="Q20" s="30">
        <f>'TE BE'!$Q$20*'TE BE'!$Q$57</f>
        <v>-41.480163163383168</v>
      </c>
      <c r="R20" s="30">
        <f>SUM($Q$20:$Q$20)</f>
        <v>-41.480163163383168</v>
      </c>
      <c r="S20" s="30">
        <f>'TE BE'!$S$20*'TE BE'!$S$57</f>
        <v>-0.46752293557447483</v>
      </c>
      <c r="T20" s="30">
        <f>'TE BE'!$T$20*'TE BE'!$T$57</f>
        <v>0.41864523794154163</v>
      </c>
      <c r="U20" s="30">
        <f>'TE BE'!$U$20*'TE BE'!$U$57</f>
        <v>0</v>
      </c>
      <c r="V20" s="30">
        <f>SUM($S$20:$U$20)</f>
        <v>-4.8877697632933204E-2</v>
      </c>
      <c r="W20" s="30">
        <f>'TE BE'!$AA$20*'TE BE'!$W$57</f>
        <v>0</v>
      </c>
      <c r="X20" s="30">
        <f>SUM($W$20:$W$20)</f>
        <v>0</v>
      </c>
      <c r="Y20" s="30">
        <f>'TE BE'!$Y$20*'TE BE'!$Y$57</f>
        <v>-1.0306838202669688</v>
      </c>
      <c r="Z20" s="30">
        <f>SUM($Y$20:$Y$20)</f>
        <v>-1.0306838202669688</v>
      </c>
      <c r="AA20" s="30">
        <f>SUMIF($L$4:$Z$4,"SUBTOTAL",$L$20:$Z$20)</f>
        <v>-27.95063062208758</v>
      </c>
    </row>
    <row r="21" spans="1:27" ht="11.25" customHeight="1" x14ac:dyDescent="0.25">
      <c r="A21" s="130"/>
      <c r="B21" s="130"/>
      <c r="C21" s="130"/>
      <c r="D21" s="38" t="s">
        <v>30</v>
      </c>
      <c r="E21" s="38" t="s">
        <v>25</v>
      </c>
      <c r="F21" s="38" t="s">
        <v>25</v>
      </c>
      <c r="G21" s="32" t="s">
        <v>94</v>
      </c>
      <c r="H21" s="32" t="s">
        <v>88</v>
      </c>
      <c r="I21" s="32">
        <f>'MERCADO TE'!$U$18</f>
        <v>7395.655999999999</v>
      </c>
      <c r="J21" s="17"/>
      <c r="L21" s="30">
        <f>'TE BE'!$L$21*'TE BE'!$L$57</f>
        <v>3.3638533452100727E-4</v>
      </c>
      <c r="M21" s="30">
        <f>'TE BE'!$M$21*'TE BE'!$M$57</f>
        <v>14.755255598555658</v>
      </c>
      <c r="N21" s="30">
        <f>'TE BE'!$N$21*'TE BE'!$N$57</f>
        <v>0</v>
      </c>
      <c r="O21" s="30">
        <f>'TE BE'!$O$21*'TE BE'!$O$57</f>
        <v>-0.14649792469469042</v>
      </c>
      <c r="P21" s="30">
        <f>SUM($L$21:$O$21)</f>
        <v>14.609094059195488</v>
      </c>
      <c r="Q21" s="30">
        <f>'TE BE'!$Q$21*'TE BE'!$Q$57</f>
        <v>-41.480163163383168</v>
      </c>
      <c r="R21" s="30">
        <f>SUM($Q$21:$Q$21)</f>
        <v>-41.480163163383168</v>
      </c>
      <c r="S21" s="30">
        <f>'TE BE'!$S$21*'TE BE'!$S$57</f>
        <v>-0.46752293557447483</v>
      </c>
      <c r="T21" s="30">
        <f>'TE BE'!$T$21*'TE BE'!$T$57</f>
        <v>0.41864523794154163</v>
      </c>
      <c r="U21" s="30">
        <f>'TE BE'!$U$21*'TE BE'!$U$57</f>
        <v>0</v>
      </c>
      <c r="V21" s="30">
        <f>SUM($S$21:$U$21)</f>
        <v>-4.8877697632933204E-2</v>
      </c>
      <c r="W21" s="30">
        <f>'TE BE'!$AA$21*'TE BE'!$W$57</f>
        <v>0</v>
      </c>
      <c r="X21" s="30">
        <f>SUM($W$21:$W$21)</f>
        <v>0</v>
      </c>
      <c r="Y21" s="30">
        <f>'TE BE'!$Y$21*'TE BE'!$Y$57</f>
        <v>-1.0306838202669688</v>
      </c>
      <c r="Z21" s="30">
        <f>SUM($Y$21:$Y$21)</f>
        <v>-1.0306838202669688</v>
      </c>
      <c r="AA21" s="30">
        <f>SUMIF($L$4:$Z$4,"SUBTOTAL",$L$21:$Z$21)</f>
        <v>-27.95063062208758</v>
      </c>
    </row>
    <row r="22" spans="1:27" ht="11.25" customHeight="1" x14ac:dyDescent="0.25">
      <c r="A22" s="130"/>
      <c r="B22" s="130"/>
      <c r="C22" s="130"/>
      <c r="D22" s="38" t="s">
        <v>31</v>
      </c>
      <c r="E22" s="38" t="s">
        <v>25</v>
      </c>
      <c r="F22" s="38" t="s">
        <v>25</v>
      </c>
      <c r="G22" s="32" t="s">
        <v>94</v>
      </c>
      <c r="H22" s="32" t="s">
        <v>88</v>
      </c>
      <c r="I22" s="32">
        <f>'MERCADO TE'!$U$19</f>
        <v>7295.3609999999999</v>
      </c>
      <c r="J22" s="17"/>
      <c r="L22" s="30">
        <f>'TE BE'!$L$22*'TE BE'!$L$57</f>
        <v>3.3638533452100727E-4</v>
      </c>
      <c r="M22" s="30">
        <f>'TE BE'!$M$22*'TE BE'!$M$57</f>
        <v>14.755255598555658</v>
      </c>
      <c r="N22" s="30">
        <f>'TE BE'!$N$22*'TE BE'!$N$57</f>
        <v>0</v>
      </c>
      <c r="O22" s="30">
        <f>'TE BE'!$O$22*'TE BE'!$O$57</f>
        <v>-0.14649792469469042</v>
      </c>
      <c r="P22" s="30">
        <f>SUM($L$22:$O$22)</f>
        <v>14.609094059195488</v>
      </c>
      <c r="Q22" s="30">
        <f>'TE BE'!$Q$22*'TE BE'!$Q$57</f>
        <v>-41.480163163383168</v>
      </c>
      <c r="R22" s="30">
        <f>SUM($Q$22:$Q$22)</f>
        <v>-41.480163163383168</v>
      </c>
      <c r="S22" s="30">
        <f>'TE BE'!$S$22*'TE BE'!$S$57</f>
        <v>-0.46752293557447483</v>
      </c>
      <c r="T22" s="30">
        <f>'TE BE'!$T$22*'TE BE'!$T$57</f>
        <v>0.41864523794154163</v>
      </c>
      <c r="U22" s="30">
        <f>'TE BE'!$U$22*'TE BE'!$U$57</f>
        <v>0</v>
      </c>
      <c r="V22" s="30">
        <f>SUM($S$22:$U$22)</f>
        <v>-4.8877697632933204E-2</v>
      </c>
      <c r="W22" s="30">
        <f>'TE BE'!$AA$22*'TE BE'!$W$57</f>
        <v>0</v>
      </c>
      <c r="X22" s="30">
        <f>SUM($W$22:$W$22)</f>
        <v>0</v>
      </c>
      <c r="Y22" s="30">
        <f>'TE BE'!$Y$22*'TE BE'!$Y$57</f>
        <v>-1.0306838202669688</v>
      </c>
      <c r="Z22" s="30">
        <f>SUM($Y$22:$Y$22)</f>
        <v>-1.0306838202669688</v>
      </c>
      <c r="AA22" s="30">
        <f>SUMIF($L$4:$Z$4,"SUBTOTAL",$L$22:$Z$22)</f>
        <v>-27.95063062208758</v>
      </c>
    </row>
    <row r="23" spans="1:27" ht="11.25" customHeight="1" x14ac:dyDescent="0.25">
      <c r="A23" s="130"/>
      <c r="B23" s="130"/>
      <c r="C23" s="130"/>
      <c r="D23" s="38" t="s">
        <v>32</v>
      </c>
      <c r="E23" s="38" t="s">
        <v>25</v>
      </c>
      <c r="F23" s="38" t="s">
        <v>25</v>
      </c>
      <c r="G23" s="32" t="s">
        <v>94</v>
      </c>
      <c r="H23" s="32" t="s">
        <v>88</v>
      </c>
      <c r="I23" s="32">
        <f>'MERCADO TE'!$U$20</f>
        <v>2602.4059999999999</v>
      </c>
      <c r="J23" s="17"/>
      <c r="L23" s="30">
        <f>'TE BE'!$L$23*'TE BE'!$L$57</f>
        <v>3.3638533452100727E-4</v>
      </c>
      <c r="M23" s="30">
        <f>'TE BE'!$M$23*'TE BE'!$M$57</f>
        <v>14.755255598555658</v>
      </c>
      <c r="N23" s="30">
        <f>'TE BE'!$N$23*'TE BE'!$N$57</f>
        <v>0</v>
      </c>
      <c r="O23" s="30">
        <f>'TE BE'!$O$23*'TE BE'!$O$57</f>
        <v>-0.14649792469469042</v>
      </c>
      <c r="P23" s="30">
        <f>SUM($L$23:$O$23)</f>
        <v>14.609094059195488</v>
      </c>
      <c r="Q23" s="30">
        <f>'TE BE'!$Q$23*'TE BE'!$Q$57</f>
        <v>-41.480163163383168</v>
      </c>
      <c r="R23" s="30">
        <f>SUM($Q$23:$Q$23)</f>
        <v>-41.480163163383168</v>
      </c>
      <c r="S23" s="30">
        <f>'TE BE'!$S$23*'TE BE'!$S$57</f>
        <v>-0.46752293557447483</v>
      </c>
      <c r="T23" s="30">
        <f>'TE BE'!$T$23*'TE BE'!$T$57</f>
        <v>0.41864523794154163</v>
      </c>
      <c r="U23" s="30">
        <f>'TE BE'!$U$23*'TE BE'!$U$57</f>
        <v>0</v>
      </c>
      <c r="V23" s="30">
        <f>SUM($S$23:$U$23)</f>
        <v>-4.8877697632933204E-2</v>
      </c>
      <c r="W23" s="30">
        <f>'TE BE'!$AA$23*'TE BE'!$W$57</f>
        <v>0</v>
      </c>
      <c r="X23" s="30">
        <f>SUM($W$23:$W$23)</f>
        <v>0</v>
      </c>
      <c r="Y23" s="30">
        <f>'TE BE'!$Y$23*'TE BE'!$Y$57</f>
        <v>-1.0306838202669688</v>
      </c>
      <c r="Z23" s="30">
        <f>SUM($Y$23:$Y$23)</f>
        <v>-1.0306838202669688</v>
      </c>
      <c r="AA23" s="30">
        <f>SUMIF($L$4:$Z$4,"SUBTOTAL",$L$23:$Z$23)</f>
        <v>-27.95063062208758</v>
      </c>
    </row>
    <row r="24" spans="1:27" ht="11.25" customHeight="1" x14ac:dyDescent="0.25">
      <c r="A24" s="130"/>
      <c r="B24" s="130" t="s">
        <v>101</v>
      </c>
      <c r="C24" s="130" t="s">
        <v>24</v>
      </c>
      <c r="D24" s="38" t="s">
        <v>24</v>
      </c>
      <c r="E24" s="38" t="s">
        <v>25</v>
      </c>
      <c r="F24" s="38" t="s">
        <v>25</v>
      </c>
      <c r="G24" s="32" t="s">
        <v>94</v>
      </c>
      <c r="H24" s="32" t="s">
        <v>88</v>
      </c>
      <c r="I24" s="32">
        <f>'MERCADO TE'!$U$21</f>
        <v>0</v>
      </c>
      <c r="J24" s="17"/>
      <c r="L24" s="30">
        <f>'TE BE'!$L$24*'TE BE'!$L$57</f>
        <v>3.3638533452100727E-4</v>
      </c>
      <c r="M24" s="30">
        <f>'TE BE'!$M$24*'TE BE'!$M$57</f>
        <v>14.755255598555658</v>
      </c>
      <c r="N24" s="30">
        <f>'TE BE'!$N$24*'TE BE'!$N$57</f>
        <v>0</v>
      </c>
      <c r="O24" s="30">
        <f>'TE BE'!$O$24*'TE BE'!$O$57</f>
        <v>-0.14649792469469042</v>
      </c>
      <c r="P24" s="30">
        <f>SUM($L$24:$O$24)</f>
        <v>14.609094059195488</v>
      </c>
      <c r="Q24" s="30">
        <f>'TE BE'!$Q$24*'TE BE'!$Q$57</f>
        <v>-41.480163163383168</v>
      </c>
      <c r="R24" s="30">
        <f>SUM($Q$24:$Q$24)</f>
        <v>-41.480163163383168</v>
      </c>
      <c r="S24" s="30">
        <f>'TE BE'!$S$24*'TE BE'!$S$57</f>
        <v>-0.46752293557447483</v>
      </c>
      <c r="T24" s="30">
        <f>'TE BE'!$T$24*'TE BE'!$T$57</f>
        <v>0.41864523794154163</v>
      </c>
      <c r="U24" s="30">
        <f>'TE BE'!$U$24*'TE BE'!$U$57</f>
        <v>0</v>
      </c>
      <c r="V24" s="30">
        <f>SUM($S$24:$U$24)</f>
        <v>-4.8877697632933204E-2</v>
      </c>
      <c r="W24" s="30">
        <f>'TE BE'!$AA$24*'TE BE'!$W$57</f>
        <v>0</v>
      </c>
      <c r="X24" s="30">
        <f>SUM($W$24:$W$24)</f>
        <v>0</v>
      </c>
      <c r="Y24" s="30">
        <f>'TE BE'!$Y$24*'TE BE'!$Y$57</f>
        <v>-1.0306838202669688</v>
      </c>
      <c r="Z24" s="30">
        <f>SUM($Y$24:$Y$24)</f>
        <v>-1.0306838202669688</v>
      </c>
      <c r="AA24" s="30">
        <f>SUMIF($L$4:$Z$4,"SUBTOTAL",$L$24:$Z$24)</f>
        <v>-27.95063062208758</v>
      </c>
    </row>
    <row r="25" spans="1:27" ht="11.25" customHeight="1" x14ac:dyDescent="0.25">
      <c r="A25" s="130"/>
      <c r="B25" s="130"/>
      <c r="C25" s="130"/>
      <c r="D25" s="38" t="s">
        <v>29</v>
      </c>
      <c r="E25" s="38" t="s">
        <v>25</v>
      </c>
      <c r="F25" s="38" t="s">
        <v>25</v>
      </c>
      <c r="G25" s="32" t="s">
        <v>94</v>
      </c>
      <c r="H25" s="32" t="s">
        <v>88</v>
      </c>
      <c r="I25" s="32">
        <f>'MERCADO TE'!$U$22</f>
        <v>0</v>
      </c>
      <c r="J25" s="17"/>
      <c r="L25" s="30">
        <f>'TE BE'!$L$25*'TE BE'!$L$57</f>
        <v>3.3638533452100727E-4</v>
      </c>
      <c r="M25" s="30">
        <f>'TE BE'!$M$25*'TE BE'!$M$57</f>
        <v>14.755255598555658</v>
      </c>
      <c r="N25" s="30">
        <f>'TE BE'!$N$25*'TE BE'!$N$57</f>
        <v>0</v>
      </c>
      <c r="O25" s="30">
        <f>'TE BE'!$O$25*'TE BE'!$O$57</f>
        <v>-0.14649792469469042</v>
      </c>
      <c r="P25" s="30">
        <f>SUM($L$25:$O$25)</f>
        <v>14.609094059195488</v>
      </c>
      <c r="Q25" s="30">
        <f>'TE BE'!$Q$25*'TE BE'!$Q$57</f>
        <v>-41.480163163383168</v>
      </c>
      <c r="R25" s="30">
        <f>SUM($Q$25:$Q$25)</f>
        <v>-41.480163163383168</v>
      </c>
      <c r="S25" s="30">
        <f>'TE BE'!$S$25*'TE BE'!$S$57</f>
        <v>-0.46752293557447483</v>
      </c>
      <c r="T25" s="30">
        <f>'TE BE'!$T$25*'TE BE'!$T$57</f>
        <v>0.41864523794154163</v>
      </c>
      <c r="U25" s="30">
        <f>'TE BE'!$U$25*'TE BE'!$U$57</f>
        <v>0</v>
      </c>
      <c r="V25" s="30">
        <f>SUM($S$25:$U$25)</f>
        <v>-4.8877697632933204E-2</v>
      </c>
      <c r="W25" s="30">
        <f>'TE BE'!$AA$25*'TE BE'!$W$57</f>
        <v>0</v>
      </c>
      <c r="X25" s="30">
        <f>SUM($W$25:$W$25)</f>
        <v>0</v>
      </c>
      <c r="Y25" s="30">
        <f>'TE BE'!$Y$25*'TE BE'!$Y$57</f>
        <v>-1.0306838202669688</v>
      </c>
      <c r="Z25" s="30">
        <f>SUM($Y$25:$Y$25)</f>
        <v>-1.0306838202669688</v>
      </c>
      <c r="AA25" s="30">
        <f>SUMIF($L$4:$Z$4,"SUBTOTAL",$L$25:$Z$25)</f>
        <v>-27.95063062208758</v>
      </c>
    </row>
    <row r="26" spans="1:27" ht="11.25" customHeight="1" x14ac:dyDescent="0.25">
      <c r="A26" s="130"/>
      <c r="B26" s="130"/>
      <c r="C26" s="130"/>
      <c r="D26" s="38" t="s">
        <v>30</v>
      </c>
      <c r="E26" s="38" t="s">
        <v>25</v>
      </c>
      <c r="F26" s="38" t="s">
        <v>25</v>
      </c>
      <c r="G26" s="32" t="s">
        <v>94</v>
      </c>
      <c r="H26" s="32" t="s">
        <v>88</v>
      </c>
      <c r="I26" s="32">
        <f>'MERCADO TE'!$U$23</f>
        <v>0</v>
      </c>
      <c r="J26" s="17"/>
      <c r="L26" s="30">
        <f>'TE BE'!$L$26*'TE BE'!$L$57</f>
        <v>3.3638533452100727E-4</v>
      </c>
      <c r="M26" s="30">
        <f>'TE BE'!$M$26*'TE BE'!$M$57</f>
        <v>14.755255598555658</v>
      </c>
      <c r="N26" s="30">
        <f>'TE BE'!$N$26*'TE BE'!$N$57</f>
        <v>0</v>
      </c>
      <c r="O26" s="30">
        <f>'TE BE'!$O$26*'TE BE'!$O$57</f>
        <v>-0.14649792469469042</v>
      </c>
      <c r="P26" s="30">
        <f>SUM($L$26:$O$26)</f>
        <v>14.609094059195488</v>
      </c>
      <c r="Q26" s="30">
        <f>'TE BE'!$Q$26*'TE BE'!$Q$57</f>
        <v>-41.480163163383168</v>
      </c>
      <c r="R26" s="30">
        <f>SUM($Q$26:$Q$26)</f>
        <v>-41.480163163383168</v>
      </c>
      <c r="S26" s="30">
        <f>'TE BE'!$S$26*'TE BE'!$S$57</f>
        <v>-0.46752293557447483</v>
      </c>
      <c r="T26" s="30">
        <f>'TE BE'!$T$26*'TE BE'!$T$57</f>
        <v>0.41864523794154163</v>
      </c>
      <c r="U26" s="30">
        <f>'TE BE'!$U$26*'TE BE'!$U$57</f>
        <v>0</v>
      </c>
      <c r="V26" s="30">
        <f>SUM($S$26:$U$26)</f>
        <v>-4.8877697632933204E-2</v>
      </c>
      <c r="W26" s="30">
        <f>'TE BE'!$AA$26*'TE BE'!$W$57</f>
        <v>0</v>
      </c>
      <c r="X26" s="30">
        <f>SUM($W$26:$W$26)</f>
        <v>0</v>
      </c>
      <c r="Y26" s="30">
        <f>'TE BE'!$Y$26*'TE BE'!$Y$57</f>
        <v>-1.0306838202669688</v>
      </c>
      <c r="Z26" s="30">
        <f>SUM($Y$26:$Y$26)</f>
        <v>-1.0306838202669688</v>
      </c>
      <c r="AA26" s="30">
        <f>SUMIF($L$4:$Z$4,"SUBTOTAL",$L$26:$Z$26)</f>
        <v>-27.95063062208758</v>
      </c>
    </row>
    <row r="27" spans="1:27" ht="11.25" customHeight="1" x14ac:dyDescent="0.25">
      <c r="A27" s="130"/>
      <c r="B27" s="130"/>
      <c r="C27" s="130"/>
      <c r="D27" s="38" t="s">
        <v>31</v>
      </c>
      <c r="E27" s="38" t="s">
        <v>25</v>
      </c>
      <c r="F27" s="38" t="s">
        <v>25</v>
      </c>
      <c r="G27" s="32" t="s">
        <v>94</v>
      </c>
      <c r="H27" s="32" t="s">
        <v>88</v>
      </c>
      <c r="I27" s="32">
        <f>'MERCADO TE'!$U$24</f>
        <v>0</v>
      </c>
      <c r="J27" s="17"/>
      <c r="L27" s="30">
        <f>'TE BE'!$L$27*'TE BE'!$L$57</f>
        <v>3.3638533452100727E-4</v>
      </c>
      <c r="M27" s="30">
        <f>'TE BE'!$M$27*'TE BE'!$M$57</f>
        <v>14.755255598555658</v>
      </c>
      <c r="N27" s="30">
        <f>'TE BE'!$N$27*'TE BE'!$N$57</f>
        <v>0</v>
      </c>
      <c r="O27" s="30">
        <f>'TE BE'!$O$27*'TE BE'!$O$57</f>
        <v>-0.14649792469469042</v>
      </c>
      <c r="P27" s="30">
        <f>SUM($L$27:$O$27)</f>
        <v>14.609094059195488</v>
      </c>
      <c r="Q27" s="30">
        <f>'TE BE'!$Q$27*'TE BE'!$Q$57</f>
        <v>-41.480163163383168</v>
      </c>
      <c r="R27" s="30">
        <f>SUM($Q$27:$Q$27)</f>
        <v>-41.480163163383168</v>
      </c>
      <c r="S27" s="30">
        <f>'TE BE'!$S$27*'TE BE'!$S$57</f>
        <v>-0.46752293557447483</v>
      </c>
      <c r="T27" s="30">
        <f>'TE BE'!$T$27*'TE BE'!$T$57</f>
        <v>0.41864523794154163</v>
      </c>
      <c r="U27" s="30">
        <f>'TE BE'!$U$27*'TE BE'!$U$57</f>
        <v>0</v>
      </c>
      <c r="V27" s="30">
        <f>SUM($S$27:$U$27)</f>
        <v>-4.8877697632933204E-2</v>
      </c>
      <c r="W27" s="30">
        <f>'TE BE'!$AA$27*'TE BE'!$W$57</f>
        <v>0</v>
      </c>
      <c r="X27" s="30">
        <f>SUM($W$27:$W$27)</f>
        <v>0</v>
      </c>
      <c r="Y27" s="30">
        <f>'TE BE'!$Y$27*'TE BE'!$Y$57</f>
        <v>-1.0306838202669688</v>
      </c>
      <c r="Z27" s="30">
        <f>SUM($Y$27:$Y$27)</f>
        <v>-1.0306838202669688</v>
      </c>
      <c r="AA27" s="30">
        <f>SUMIF($L$4:$Z$4,"SUBTOTAL",$L$27:$Z$27)</f>
        <v>-27.95063062208758</v>
      </c>
    </row>
    <row r="28" spans="1:27" ht="11.25" customHeight="1" x14ac:dyDescent="0.25">
      <c r="A28" s="130"/>
      <c r="B28" s="130"/>
      <c r="C28" s="130"/>
      <c r="D28" s="38" t="s">
        <v>32</v>
      </c>
      <c r="E28" s="38" t="s">
        <v>25</v>
      </c>
      <c r="F28" s="38" t="s">
        <v>25</v>
      </c>
      <c r="G28" s="32" t="s">
        <v>94</v>
      </c>
      <c r="H28" s="32" t="s">
        <v>88</v>
      </c>
      <c r="I28" s="32">
        <f>'MERCADO TE'!$U$25</f>
        <v>0</v>
      </c>
      <c r="J28" s="17"/>
      <c r="L28" s="30">
        <f>'TE BE'!$L$28*'TE BE'!$L$57</f>
        <v>3.3638533452100727E-4</v>
      </c>
      <c r="M28" s="30">
        <f>'TE BE'!$M$28*'TE BE'!$M$57</f>
        <v>14.755255598555658</v>
      </c>
      <c r="N28" s="30">
        <f>'TE BE'!$N$28*'TE BE'!$N$57</f>
        <v>0</v>
      </c>
      <c r="O28" s="30">
        <f>'TE BE'!$O$28*'TE BE'!$O$57</f>
        <v>-0.14649792469469042</v>
      </c>
      <c r="P28" s="30">
        <f>SUM($L$28:$O$28)</f>
        <v>14.609094059195488</v>
      </c>
      <c r="Q28" s="30">
        <f>'TE BE'!$Q$28*'TE BE'!$Q$57</f>
        <v>-41.480163163383168</v>
      </c>
      <c r="R28" s="30">
        <f>SUM($Q$28:$Q$28)</f>
        <v>-41.480163163383168</v>
      </c>
      <c r="S28" s="30">
        <f>'TE BE'!$S$28*'TE BE'!$S$57</f>
        <v>-0.46752293557447483</v>
      </c>
      <c r="T28" s="30">
        <f>'TE BE'!$T$28*'TE BE'!$T$57</f>
        <v>0.41864523794154163</v>
      </c>
      <c r="U28" s="30">
        <f>'TE BE'!$U$28*'TE BE'!$U$57</f>
        <v>0</v>
      </c>
      <c r="V28" s="30">
        <f>SUM($S$28:$U$28)</f>
        <v>-4.8877697632933204E-2</v>
      </c>
      <c r="W28" s="30">
        <f>'TE BE'!$AA$28*'TE BE'!$W$57</f>
        <v>0</v>
      </c>
      <c r="X28" s="30">
        <f>SUM($W$28:$W$28)</f>
        <v>0</v>
      </c>
      <c r="Y28" s="30">
        <f>'TE BE'!$Y$28*'TE BE'!$Y$57</f>
        <v>-1.0306838202669688</v>
      </c>
      <c r="Z28" s="30">
        <f>SUM($Y$28:$Y$28)</f>
        <v>-1.0306838202669688</v>
      </c>
      <c r="AA28" s="30">
        <f>SUMIF($L$4:$Z$4,"SUBTOTAL",$L$28:$Z$28)</f>
        <v>-27.95063062208758</v>
      </c>
    </row>
    <row r="29" spans="1:27" ht="11.25" customHeight="1" x14ac:dyDescent="0.25">
      <c r="A29" s="130" t="s">
        <v>46</v>
      </c>
      <c r="B29" s="130" t="s">
        <v>87</v>
      </c>
      <c r="C29" s="130" t="s">
        <v>47</v>
      </c>
      <c r="D29" s="130" t="s">
        <v>25</v>
      </c>
      <c r="E29" s="130" t="s">
        <v>25</v>
      </c>
      <c r="F29" s="130" t="s">
        <v>25</v>
      </c>
      <c r="G29" s="32" t="s">
        <v>89</v>
      </c>
      <c r="H29" s="32" t="s">
        <v>88</v>
      </c>
      <c r="I29" s="32">
        <f>'MERCADO TE'!$U$26</f>
        <v>1.0549999999999999</v>
      </c>
      <c r="J29" s="17"/>
      <c r="L29" s="30">
        <f>'TE BE'!$L$29*'TE BE'!$L$57</f>
        <v>3.3638533452100727E-4</v>
      </c>
      <c r="M29" s="30">
        <f>'TE BE'!$M$29*'TE BE'!$M$57</f>
        <v>14.755255598555658</v>
      </c>
      <c r="N29" s="30">
        <f>'TE BE'!$N$29*'TE BE'!$N$57</f>
        <v>0</v>
      </c>
      <c r="O29" s="30">
        <f>'TE BE'!$O$29*'TE BE'!$O$57</f>
        <v>-0.14649792469469042</v>
      </c>
      <c r="P29" s="30">
        <f>SUM($L$29:$O$29)</f>
        <v>14.609094059195488</v>
      </c>
      <c r="Q29" s="30">
        <f>'TE BE'!$Q$29*'TE BE'!$Q$57</f>
        <v>-67.307434566999092</v>
      </c>
      <c r="R29" s="30">
        <f>SUM($Q$29:$Q$29)</f>
        <v>-67.307434566999092</v>
      </c>
      <c r="S29" s="30">
        <f>'TE BE'!$S$29*'TE BE'!$S$57</f>
        <v>-0.46752293557447483</v>
      </c>
      <c r="T29" s="30">
        <f>'TE BE'!$T$29*'TE BE'!$T$57</f>
        <v>0.41864523794154163</v>
      </c>
      <c r="U29" s="30">
        <f>'TE BE'!$U$29*'TE BE'!$U$57</f>
        <v>0</v>
      </c>
      <c r="V29" s="30">
        <f>SUM($S$29:$U$29)</f>
        <v>-4.8877697632933204E-2</v>
      </c>
      <c r="W29" s="30">
        <f>'TE BE'!$AA$29*'TE BE'!$W$57</f>
        <v>0</v>
      </c>
      <c r="X29" s="30">
        <f>SUM($W$29:$W$29)</f>
        <v>0</v>
      </c>
      <c r="Y29" s="30">
        <f>'TE BE'!$Y$29*'TE BE'!$Y$57</f>
        <v>-1.0306838202669688</v>
      </c>
      <c r="Z29" s="30">
        <f>SUM($Y$29:$Y$29)</f>
        <v>-1.0306838202669688</v>
      </c>
      <c r="AA29" s="30">
        <f>SUMIF($L$4:$Z$4,"SUBTOTAL",$L$29:$Z$29)</f>
        <v>-53.777902025703511</v>
      </c>
    </row>
    <row r="30" spans="1:27" ht="11.25" customHeight="1" x14ac:dyDescent="0.25">
      <c r="A30" s="130"/>
      <c r="B30" s="130"/>
      <c r="C30" s="130"/>
      <c r="D30" s="130"/>
      <c r="E30" s="130"/>
      <c r="F30" s="130"/>
      <c r="G30" s="32" t="s">
        <v>100</v>
      </c>
      <c r="H30" s="32" t="s">
        <v>88</v>
      </c>
      <c r="I30" s="32">
        <f>'MERCADO TE'!$U$27</f>
        <v>0.57700000000000007</v>
      </c>
      <c r="J30" s="17"/>
      <c r="L30" s="30">
        <f>'TE BE'!$L$30*'TE BE'!$L$57</f>
        <v>3.3638533452100727E-4</v>
      </c>
      <c r="M30" s="30">
        <f>'TE BE'!$M$30*'TE BE'!$M$57</f>
        <v>14.755255598555658</v>
      </c>
      <c r="N30" s="30">
        <f>'TE BE'!$N$30*'TE BE'!$N$57</f>
        <v>0</v>
      </c>
      <c r="O30" s="30">
        <f>'TE BE'!$O$30*'TE BE'!$O$57</f>
        <v>-0.14649792469469042</v>
      </c>
      <c r="P30" s="30">
        <f>SUM($L$30:$O$30)</f>
        <v>14.609094059195488</v>
      </c>
      <c r="Q30" s="30">
        <f>'TE BE'!$Q$30*'TE BE'!$Q$57</f>
        <v>-39.13222939941808</v>
      </c>
      <c r="R30" s="30">
        <f>SUM($Q$30:$Q$30)</f>
        <v>-39.13222939941808</v>
      </c>
      <c r="S30" s="30">
        <f>'TE BE'!$S$30*'TE BE'!$S$57</f>
        <v>-0.46752293557447483</v>
      </c>
      <c r="T30" s="30">
        <f>'TE BE'!$T$30*'TE BE'!$T$57</f>
        <v>0.41864523794154163</v>
      </c>
      <c r="U30" s="30">
        <f>'TE BE'!$U$30*'TE BE'!$U$57</f>
        <v>0</v>
      </c>
      <c r="V30" s="30">
        <f>SUM($S$30:$U$30)</f>
        <v>-4.8877697632933204E-2</v>
      </c>
      <c r="W30" s="30">
        <f>'TE BE'!$AA$30*'TE BE'!$W$57</f>
        <v>0</v>
      </c>
      <c r="X30" s="30">
        <f>SUM($W$30:$W$30)</f>
        <v>0</v>
      </c>
      <c r="Y30" s="30">
        <f>'TE BE'!$Y$30*'TE BE'!$Y$57</f>
        <v>-1.0306838202669688</v>
      </c>
      <c r="Z30" s="30">
        <f>SUM($Y$30:$Y$30)</f>
        <v>-1.0306838202669688</v>
      </c>
      <c r="AA30" s="30">
        <f>SUMIF($L$4:$Z$4,"SUBTOTAL",$L$30:$Z$30)</f>
        <v>-25.602696858122492</v>
      </c>
    </row>
    <row r="31" spans="1:27" ht="11.25" customHeight="1" x14ac:dyDescent="0.25">
      <c r="A31" s="130"/>
      <c r="B31" s="130"/>
      <c r="C31" s="130"/>
      <c r="D31" s="130"/>
      <c r="E31" s="130"/>
      <c r="F31" s="130"/>
      <c r="G31" s="32" t="s">
        <v>90</v>
      </c>
      <c r="H31" s="32" t="s">
        <v>88</v>
      </c>
      <c r="I31" s="32">
        <f>'MERCADO TE'!$U$28</f>
        <v>5.0120000000000005</v>
      </c>
      <c r="J31" s="17"/>
      <c r="L31" s="30">
        <f>'TE BE'!$L$31*'TE BE'!$L$57</f>
        <v>3.3638533452100727E-4</v>
      </c>
      <c r="M31" s="30">
        <f>'TE BE'!$M$31*'TE BE'!$M$57</f>
        <v>14.755255598555658</v>
      </c>
      <c r="N31" s="30">
        <f>'TE BE'!$N$31*'TE BE'!$N$57</f>
        <v>0</v>
      </c>
      <c r="O31" s="30">
        <f>'TE BE'!$O$31*'TE BE'!$O$57</f>
        <v>-0.14649792469469042</v>
      </c>
      <c r="P31" s="30">
        <f>SUM($L$31:$O$31)</f>
        <v>14.609094059195488</v>
      </c>
      <c r="Q31" s="30">
        <f>'TE BE'!$Q$31*'TE BE'!$Q$57</f>
        <v>-39.13222939941808</v>
      </c>
      <c r="R31" s="30">
        <f>SUM($Q$31:$Q$31)</f>
        <v>-39.13222939941808</v>
      </c>
      <c r="S31" s="30">
        <f>'TE BE'!$S$31*'TE BE'!$S$57</f>
        <v>-0.46752293557447483</v>
      </c>
      <c r="T31" s="30">
        <f>'TE BE'!$T$31*'TE BE'!$T$57</f>
        <v>0.41864523794154163</v>
      </c>
      <c r="U31" s="30">
        <f>'TE BE'!$U$31*'TE BE'!$U$57</f>
        <v>0</v>
      </c>
      <c r="V31" s="30">
        <f>SUM($S$31:$U$31)</f>
        <v>-4.8877697632933204E-2</v>
      </c>
      <c r="W31" s="30">
        <f>'TE BE'!$AA$31*'TE BE'!$W$57</f>
        <v>0</v>
      </c>
      <c r="X31" s="30">
        <f>SUM($W$31:$W$31)</f>
        <v>0</v>
      </c>
      <c r="Y31" s="30">
        <f>'TE BE'!$Y$31*'TE BE'!$Y$57</f>
        <v>-1.0306838202669688</v>
      </c>
      <c r="Z31" s="30">
        <f>SUM($Y$31:$Y$31)</f>
        <v>-1.0306838202669688</v>
      </c>
      <c r="AA31" s="30">
        <f>SUMIF($L$4:$Z$4,"SUBTOTAL",$L$31:$Z$31)</f>
        <v>-25.602696858122492</v>
      </c>
    </row>
    <row r="32" spans="1:27" ht="11.25" customHeight="1" x14ac:dyDescent="0.25">
      <c r="A32" s="130"/>
      <c r="B32" s="38" t="s">
        <v>96</v>
      </c>
      <c r="C32" s="38" t="s">
        <v>47</v>
      </c>
      <c r="D32" s="38" t="s">
        <v>25</v>
      </c>
      <c r="E32" s="38" t="s">
        <v>25</v>
      </c>
      <c r="F32" s="38" t="s">
        <v>25</v>
      </c>
      <c r="G32" s="32" t="s">
        <v>94</v>
      </c>
      <c r="H32" s="32" t="s">
        <v>88</v>
      </c>
      <c r="I32" s="32">
        <f>'MERCADO TE'!$U$29</f>
        <v>81638.005000000005</v>
      </c>
      <c r="J32" s="17"/>
      <c r="L32" s="30">
        <f>'TE BE'!$L$32*'TE BE'!$L$57</f>
        <v>3.3638533452100727E-4</v>
      </c>
      <c r="M32" s="30">
        <f>'TE BE'!$M$32*'TE BE'!$M$57</f>
        <v>14.755255598555658</v>
      </c>
      <c r="N32" s="30">
        <f>'TE BE'!$N$32*'TE BE'!$N$57</f>
        <v>0</v>
      </c>
      <c r="O32" s="30">
        <f>'TE BE'!$O$32*'TE BE'!$O$57</f>
        <v>-0.14649792469469042</v>
      </c>
      <c r="P32" s="30">
        <f>SUM($L$32:$O$32)</f>
        <v>14.609094059195488</v>
      </c>
      <c r="Q32" s="30">
        <f>'TE BE'!$Q$32*'TE BE'!$Q$57</f>
        <v>-41.480163163383168</v>
      </c>
      <c r="R32" s="30">
        <f>SUM($Q$32:$Q$32)</f>
        <v>-41.480163163383168</v>
      </c>
      <c r="S32" s="30">
        <f>'TE BE'!$S$32*'TE BE'!$S$57</f>
        <v>-0.46752293557447483</v>
      </c>
      <c r="T32" s="30">
        <f>'TE BE'!$T$32*'TE BE'!$T$57</f>
        <v>0.41864523794154163</v>
      </c>
      <c r="U32" s="30">
        <f>'TE BE'!$U$32*'TE BE'!$U$57</f>
        <v>0</v>
      </c>
      <c r="V32" s="30">
        <f>SUM($S$32:$U$32)</f>
        <v>-4.8877697632933204E-2</v>
      </c>
      <c r="W32" s="30">
        <f>'TE BE'!$AA$32*'TE BE'!$W$57</f>
        <v>0</v>
      </c>
      <c r="X32" s="30">
        <f>SUM($W$32:$W$32)</f>
        <v>0</v>
      </c>
      <c r="Y32" s="30">
        <f>'TE BE'!$Y$32*'TE BE'!$Y$57</f>
        <v>-1.0306838202669688</v>
      </c>
      <c r="Z32" s="30">
        <f>SUM($Y$32:$Y$32)</f>
        <v>-1.0306838202669688</v>
      </c>
      <c r="AA32" s="30">
        <f>SUMIF($L$4:$Z$4,"SUBTOTAL",$L$32:$Z$32)</f>
        <v>-27.95063062208758</v>
      </c>
    </row>
    <row r="33" spans="1:27" ht="11.25" customHeight="1" x14ac:dyDescent="0.25">
      <c r="A33" s="130"/>
      <c r="B33" s="130" t="s">
        <v>87</v>
      </c>
      <c r="C33" s="130" t="s">
        <v>47</v>
      </c>
      <c r="D33" s="130" t="s">
        <v>103</v>
      </c>
      <c r="E33" s="130" t="s">
        <v>25</v>
      </c>
      <c r="F33" s="130" t="s">
        <v>25</v>
      </c>
      <c r="G33" s="32" t="s">
        <v>89</v>
      </c>
      <c r="H33" s="32" t="s">
        <v>88</v>
      </c>
      <c r="I33" s="32">
        <f>'MERCADO TE'!$U$30</f>
        <v>0</v>
      </c>
      <c r="J33" s="17"/>
      <c r="L33" s="30">
        <f>'TE BE'!$L$33*'TE BE'!$L$57</f>
        <v>3.3638533452100727E-4</v>
      </c>
      <c r="M33" s="30">
        <f>'TE BE'!$M$33*'TE BE'!$M$57</f>
        <v>14.755255598555658</v>
      </c>
      <c r="N33" s="30">
        <f>'TE BE'!$N$33*'TE BE'!$N$57</f>
        <v>0</v>
      </c>
      <c r="O33" s="30">
        <f>'TE BE'!$O$33*'TE BE'!$O$57</f>
        <v>-0.14649792469469042</v>
      </c>
      <c r="P33" s="30">
        <f>SUM($L$33:$O$33)</f>
        <v>14.609094059195488</v>
      </c>
      <c r="Q33" s="30">
        <f>'TE BE'!$Q$33*'TE BE'!$Q$57</f>
        <v>-67.307434566999092</v>
      </c>
      <c r="R33" s="30">
        <f>SUM($Q$33:$Q$33)</f>
        <v>-67.307434566999092</v>
      </c>
      <c r="S33" s="30">
        <f>'TE BE'!$S$33*'TE BE'!$S$57</f>
        <v>-0.46752293557447483</v>
      </c>
      <c r="T33" s="30">
        <f>'TE BE'!$T$33*'TE BE'!$T$57</f>
        <v>0.41864523794154163</v>
      </c>
      <c r="U33" s="30">
        <f>'TE BE'!$U$33*'TE BE'!$U$57</f>
        <v>0</v>
      </c>
      <c r="V33" s="30">
        <f>SUM($S$33:$U$33)</f>
        <v>-4.8877697632933204E-2</v>
      </c>
      <c r="W33" s="30">
        <f>'TE BE'!$AA$33*'TE BE'!$W$57</f>
        <v>0</v>
      </c>
      <c r="X33" s="30">
        <f>SUM($W$33:$W$33)</f>
        <v>0</v>
      </c>
      <c r="Y33" s="30">
        <f>'TE BE'!$Y$33*'TE BE'!$Y$57</f>
        <v>-1.0306838202669688</v>
      </c>
      <c r="Z33" s="30">
        <f>SUM($Y$33:$Y$33)</f>
        <v>-1.0306838202669688</v>
      </c>
      <c r="AA33" s="30">
        <f>SUMIF($L$4:$Z$4,"SUBTOTAL",$L$33:$Z$33)</f>
        <v>-53.777902025703511</v>
      </c>
    </row>
    <row r="34" spans="1:27" ht="11.25" customHeight="1" x14ac:dyDescent="0.25">
      <c r="A34" s="130"/>
      <c r="B34" s="130"/>
      <c r="C34" s="130"/>
      <c r="D34" s="130"/>
      <c r="E34" s="130"/>
      <c r="F34" s="130"/>
      <c r="G34" s="32" t="s">
        <v>100</v>
      </c>
      <c r="H34" s="32" t="s">
        <v>88</v>
      </c>
      <c r="I34" s="32">
        <f>'MERCADO TE'!$U$31</f>
        <v>0</v>
      </c>
      <c r="J34" s="17"/>
      <c r="L34" s="30">
        <f>'TE BE'!$L$34*'TE BE'!$L$57</f>
        <v>3.3638533452100727E-4</v>
      </c>
      <c r="M34" s="30">
        <f>'TE BE'!$M$34*'TE BE'!$M$57</f>
        <v>14.755255598555658</v>
      </c>
      <c r="N34" s="30">
        <f>'TE BE'!$N$34*'TE BE'!$N$57</f>
        <v>0</v>
      </c>
      <c r="O34" s="30">
        <f>'TE BE'!$O$34*'TE BE'!$O$57</f>
        <v>-0.14649792469469042</v>
      </c>
      <c r="P34" s="30">
        <f>SUM($L$34:$O$34)</f>
        <v>14.609094059195488</v>
      </c>
      <c r="Q34" s="30">
        <f>'TE BE'!$Q$34*'TE BE'!$Q$57</f>
        <v>-39.13222939941808</v>
      </c>
      <c r="R34" s="30">
        <f>SUM($Q$34:$Q$34)</f>
        <v>-39.13222939941808</v>
      </c>
      <c r="S34" s="30">
        <f>'TE BE'!$S$34*'TE BE'!$S$57</f>
        <v>-0.46752293557447483</v>
      </c>
      <c r="T34" s="30">
        <f>'TE BE'!$T$34*'TE BE'!$T$57</f>
        <v>0.41864523794154163</v>
      </c>
      <c r="U34" s="30">
        <f>'TE BE'!$U$34*'TE BE'!$U$57</f>
        <v>0</v>
      </c>
      <c r="V34" s="30">
        <f>SUM($S$34:$U$34)</f>
        <v>-4.8877697632933204E-2</v>
      </c>
      <c r="W34" s="30">
        <f>'TE BE'!$AA$34*'TE BE'!$W$57</f>
        <v>0</v>
      </c>
      <c r="X34" s="30">
        <f>SUM($W$34:$W$34)</f>
        <v>0</v>
      </c>
      <c r="Y34" s="30">
        <f>'TE BE'!$Y$34*'TE BE'!$Y$57</f>
        <v>-1.0306838202669688</v>
      </c>
      <c r="Z34" s="30">
        <f>SUM($Y$34:$Y$34)</f>
        <v>-1.0306838202669688</v>
      </c>
      <c r="AA34" s="30">
        <f>SUMIF($L$4:$Z$4,"SUBTOTAL",$L$34:$Z$34)</f>
        <v>-25.602696858122492</v>
      </c>
    </row>
    <row r="35" spans="1:27" ht="11.25" customHeight="1" x14ac:dyDescent="0.25">
      <c r="A35" s="130"/>
      <c r="B35" s="130"/>
      <c r="C35" s="130"/>
      <c r="D35" s="130"/>
      <c r="E35" s="130"/>
      <c r="F35" s="130"/>
      <c r="G35" s="32" t="s">
        <v>90</v>
      </c>
      <c r="H35" s="32" t="s">
        <v>88</v>
      </c>
      <c r="I35" s="32">
        <f>'MERCADO TE'!$U$32</f>
        <v>0</v>
      </c>
      <c r="J35" s="17"/>
      <c r="L35" s="30">
        <f>'TE BE'!$L$35*'TE BE'!$L$57</f>
        <v>3.3638533452100727E-4</v>
      </c>
      <c r="M35" s="30">
        <f>'TE BE'!$M$35*'TE BE'!$M$57</f>
        <v>14.755255598555658</v>
      </c>
      <c r="N35" s="30">
        <f>'TE BE'!$N$35*'TE BE'!$N$57</f>
        <v>0</v>
      </c>
      <c r="O35" s="30">
        <f>'TE BE'!$O$35*'TE BE'!$O$57</f>
        <v>-0.14649792469469042</v>
      </c>
      <c r="P35" s="30">
        <f>SUM($L$35:$O$35)</f>
        <v>14.609094059195488</v>
      </c>
      <c r="Q35" s="30">
        <f>'TE BE'!$Q$35*'TE BE'!$Q$57</f>
        <v>-39.13222939941808</v>
      </c>
      <c r="R35" s="30">
        <f>SUM($Q$35:$Q$35)</f>
        <v>-39.13222939941808</v>
      </c>
      <c r="S35" s="30">
        <f>'TE BE'!$S$35*'TE BE'!$S$57</f>
        <v>-0.46752293557447483</v>
      </c>
      <c r="T35" s="30">
        <f>'TE BE'!$T$35*'TE BE'!$T$57</f>
        <v>0.41864523794154163</v>
      </c>
      <c r="U35" s="30">
        <f>'TE BE'!$U$35*'TE BE'!$U$57</f>
        <v>0</v>
      </c>
      <c r="V35" s="30">
        <f>SUM($S$35:$U$35)</f>
        <v>-4.8877697632933204E-2</v>
      </c>
      <c r="W35" s="30">
        <f>'TE BE'!$AA$35*'TE BE'!$W$57</f>
        <v>0</v>
      </c>
      <c r="X35" s="30">
        <f>SUM($W$35:$W$35)</f>
        <v>0</v>
      </c>
      <c r="Y35" s="30">
        <f>'TE BE'!$Y$35*'TE BE'!$Y$57</f>
        <v>-1.0306838202669688</v>
      </c>
      <c r="Z35" s="30">
        <f>SUM($Y$35:$Y$35)</f>
        <v>-1.0306838202669688</v>
      </c>
      <c r="AA35" s="30">
        <f>SUMIF($L$4:$Z$4,"SUBTOTAL",$L$35:$Z$35)</f>
        <v>-25.602696858122492</v>
      </c>
    </row>
    <row r="36" spans="1:27" ht="11.25" customHeight="1" x14ac:dyDescent="0.25">
      <c r="A36" s="130"/>
      <c r="B36" s="38" t="s">
        <v>96</v>
      </c>
      <c r="C36" s="38" t="s">
        <v>47</v>
      </c>
      <c r="D36" s="38" t="s">
        <v>103</v>
      </c>
      <c r="E36" s="38" t="s">
        <v>25</v>
      </c>
      <c r="F36" s="38" t="s">
        <v>25</v>
      </c>
      <c r="G36" s="32" t="s">
        <v>94</v>
      </c>
      <c r="H36" s="32" t="s">
        <v>88</v>
      </c>
      <c r="I36" s="32">
        <f>'MERCADO TE'!$U$33</f>
        <v>0</v>
      </c>
      <c r="J36" s="17"/>
      <c r="L36" s="30">
        <f>'TE BE'!$L$36*'TE BE'!$L$57</f>
        <v>3.3638533452100727E-4</v>
      </c>
      <c r="M36" s="30">
        <f>'TE BE'!$M$36*'TE BE'!$M$57</f>
        <v>14.755255598555658</v>
      </c>
      <c r="N36" s="30">
        <f>'TE BE'!$N$36*'TE BE'!$N$57</f>
        <v>0</v>
      </c>
      <c r="O36" s="30">
        <f>'TE BE'!$O$36*'TE BE'!$O$57</f>
        <v>-0.14649792469469042</v>
      </c>
      <c r="P36" s="30">
        <f>SUM($L$36:$O$36)</f>
        <v>14.609094059195488</v>
      </c>
      <c r="Q36" s="30">
        <f>'TE BE'!$Q$36*'TE BE'!$Q$57</f>
        <v>-41.480163163383168</v>
      </c>
      <c r="R36" s="30">
        <f>SUM($Q$36:$Q$36)</f>
        <v>-41.480163163383168</v>
      </c>
      <c r="S36" s="30">
        <f>'TE BE'!$S$36*'TE BE'!$S$57</f>
        <v>-0.46752293557447483</v>
      </c>
      <c r="T36" s="30">
        <f>'TE BE'!$T$36*'TE BE'!$T$57</f>
        <v>0.41864523794154163</v>
      </c>
      <c r="U36" s="30">
        <f>'TE BE'!$U$36*'TE BE'!$U$57</f>
        <v>0</v>
      </c>
      <c r="V36" s="30">
        <f>SUM($S$36:$U$36)</f>
        <v>-4.8877697632933204E-2</v>
      </c>
      <c r="W36" s="30">
        <f>'TE BE'!$AA$36*'TE BE'!$W$57</f>
        <v>0</v>
      </c>
      <c r="X36" s="30">
        <f>SUM($W$36:$W$36)</f>
        <v>0</v>
      </c>
      <c r="Y36" s="30">
        <f>'TE BE'!$Y$36*'TE BE'!$Y$57</f>
        <v>-1.0306838202669688</v>
      </c>
      <c r="Z36" s="30">
        <f>SUM($Y$36:$Y$36)</f>
        <v>-1.0306838202669688</v>
      </c>
      <c r="AA36" s="30">
        <f>SUMIF($L$4:$Z$4,"SUBTOTAL",$L$36:$Z$36)</f>
        <v>-27.95063062208758</v>
      </c>
    </row>
    <row r="37" spans="1:27" ht="11.25" customHeight="1" x14ac:dyDescent="0.25">
      <c r="A37" s="130"/>
      <c r="B37" s="130" t="s">
        <v>87</v>
      </c>
      <c r="C37" s="130" t="s">
        <v>47</v>
      </c>
      <c r="D37" s="130" t="s">
        <v>104</v>
      </c>
      <c r="E37" s="130" t="s">
        <v>25</v>
      </c>
      <c r="F37" s="130" t="s">
        <v>25</v>
      </c>
      <c r="G37" s="32" t="s">
        <v>89</v>
      </c>
      <c r="H37" s="32" t="s">
        <v>88</v>
      </c>
      <c r="I37" s="32">
        <f>'MERCADO TE'!$U$34</f>
        <v>0</v>
      </c>
      <c r="J37" s="17"/>
      <c r="L37" s="30">
        <f>'TE BE'!$L$37*'TE BE'!$L$57</f>
        <v>3.3638533452100727E-4</v>
      </c>
      <c r="M37" s="30">
        <f>'TE BE'!$M$37*'TE BE'!$M$57</f>
        <v>14.755255598555658</v>
      </c>
      <c r="N37" s="30">
        <f>'TE BE'!$N$37*'TE BE'!$N$57</f>
        <v>0</v>
      </c>
      <c r="O37" s="30">
        <f>'TE BE'!$O$37*'TE BE'!$O$57</f>
        <v>-0.14649792469469042</v>
      </c>
      <c r="P37" s="30">
        <f>SUM($L$37:$O$37)</f>
        <v>14.609094059195488</v>
      </c>
      <c r="Q37" s="30">
        <f>'TE BE'!$Q$37*'TE BE'!$Q$57</f>
        <v>-67.307434566999092</v>
      </c>
      <c r="R37" s="30">
        <f>SUM($Q$37:$Q$37)</f>
        <v>-67.307434566999092</v>
      </c>
      <c r="S37" s="30">
        <f>'TE BE'!$S$37*'TE BE'!$S$57</f>
        <v>-0.46752293557447483</v>
      </c>
      <c r="T37" s="30">
        <f>'TE BE'!$T$37*'TE BE'!$T$57</f>
        <v>0.41864523794154163</v>
      </c>
      <c r="U37" s="30">
        <f>'TE BE'!$U$37*'TE BE'!$U$57</f>
        <v>0</v>
      </c>
      <c r="V37" s="30">
        <f>SUM($S$37:$U$37)</f>
        <v>-4.8877697632933204E-2</v>
      </c>
      <c r="W37" s="30">
        <f>'TE BE'!$AA$37*'TE BE'!$W$57</f>
        <v>0</v>
      </c>
      <c r="X37" s="30">
        <f>SUM($W$37:$W$37)</f>
        <v>0</v>
      </c>
      <c r="Y37" s="30">
        <f>'TE BE'!$Y$37*'TE BE'!$Y$57</f>
        <v>-1.0306838202669688</v>
      </c>
      <c r="Z37" s="30">
        <f>SUM($Y$37:$Y$37)</f>
        <v>-1.0306838202669688</v>
      </c>
      <c r="AA37" s="30">
        <f>SUMIF($L$4:$Z$4,"SUBTOTAL",$L$37:$Z$37)</f>
        <v>-53.777902025703511</v>
      </c>
    </row>
    <row r="38" spans="1:27" ht="11.25" customHeight="1" x14ac:dyDescent="0.25">
      <c r="A38" s="130"/>
      <c r="B38" s="130"/>
      <c r="C38" s="130"/>
      <c r="D38" s="130"/>
      <c r="E38" s="130"/>
      <c r="F38" s="130"/>
      <c r="G38" s="32" t="s">
        <v>100</v>
      </c>
      <c r="H38" s="32" t="s">
        <v>88</v>
      </c>
      <c r="I38" s="32">
        <f>'MERCADO TE'!$U$35</f>
        <v>0</v>
      </c>
      <c r="J38" s="17"/>
      <c r="L38" s="30">
        <f>'TE BE'!$L$38*'TE BE'!$L$57</f>
        <v>3.3638533452100727E-4</v>
      </c>
      <c r="M38" s="30">
        <f>'TE BE'!$M$38*'TE BE'!$M$57</f>
        <v>14.755255598555658</v>
      </c>
      <c r="N38" s="30">
        <f>'TE BE'!$N$38*'TE BE'!$N$57</f>
        <v>0</v>
      </c>
      <c r="O38" s="30">
        <f>'TE BE'!$O$38*'TE BE'!$O$57</f>
        <v>-0.14649792469469042</v>
      </c>
      <c r="P38" s="30">
        <f>SUM($L$38:$O$38)</f>
        <v>14.609094059195488</v>
      </c>
      <c r="Q38" s="30">
        <f>'TE BE'!$Q$38*'TE BE'!$Q$57</f>
        <v>-39.13222939941808</v>
      </c>
      <c r="R38" s="30">
        <f>SUM($Q$38:$Q$38)</f>
        <v>-39.13222939941808</v>
      </c>
      <c r="S38" s="30">
        <f>'TE BE'!$S$38*'TE BE'!$S$57</f>
        <v>-0.46752293557447483</v>
      </c>
      <c r="T38" s="30">
        <f>'TE BE'!$T$38*'TE BE'!$T$57</f>
        <v>0.41864523794154163</v>
      </c>
      <c r="U38" s="30">
        <f>'TE BE'!$U$38*'TE BE'!$U$57</f>
        <v>0</v>
      </c>
      <c r="V38" s="30">
        <f>SUM($S$38:$U$38)</f>
        <v>-4.8877697632933204E-2</v>
      </c>
      <c r="W38" s="30">
        <f>'TE BE'!$AA$38*'TE BE'!$W$57</f>
        <v>0</v>
      </c>
      <c r="X38" s="30">
        <f>SUM($W$38:$W$38)</f>
        <v>0</v>
      </c>
      <c r="Y38" s="30">
        <f>'TE BE'!$Y$38*'TE BE'!$Y$57</f>
        <v>-1.0306838202669688</v>
      </c>
      <c r="Z38" s="30">
        <f>SUM($Y$38:$Y$38)</f>
        <v>-1.0306838202669688</v>
      </c>
      <c r="AA38" s="30">
        <f>SUMIF($L$4:$Z$4,"SUBTOTAL",$L$38:$Z$38)</f>
        <v>-25.602696858122492</v>
      </c>
    </row>
    <row r="39" spans="1:27" ht="11.25" customHeight="1" x14ac:dyDescent="0.25">
      <c r="A39" s="130"/>
      <c r="B39" s="130"/>
      <c r="C39" s="130"/>
      <c r="D39" s="130"/>
      <c r="E39" s="130"/>
      <c r="F39" s="130"/>
      <c r="G39" s="32" t="s">
        <v>90</v>
      </c>
      <c r="H39" s="32" t="s">
        <v>88</v>
      </c>
      <c r="I39" s="32">
        <f>'MERCADO TE'!$U$36</f>
        <v>0</v>
      </c>
      <c r="J39" s="17"/>
      <c r="L39" s="30">
        <f>'TE BE'!$L$39*'TE BE'!$L$57</f>
        <v>3.3638533452100727E-4</v>
      </c>
      <c r="M39" s="30">
        <f>'TE BE'!$M$39*'TE BE'!$M$57</f>
        <v>14.755255598555658</v>
      </c>
      <c r="N39" s="30">
        <f>'TE BE'!$N$39*'TE BE'!$N$57</f>
        <v>0</v>
      </c>
      <c r="O39" s="30">
        <f>'TE BE'!$O$39*'TE BE'!$O$57</f>
        <v>-0.14649792469469042</v>
      </c>
      <c r="P39" s="30">
        <f>SUM($L$39:$O$39)</f>
        <v>14.609094059195488</v>
      </c>
      <c r="Q39" s="30">
        <f>'TE BE'!$Q$39*'TE BE'!$Q$57</f>
        <v>-39.13222939941808</v>
      </c>
      <c r="R39" s="30">
        <f>SUM($Q$39:$Q$39)</f>
        <v>-39.13222939941808</v>
      </c>
      <c r="S39" s="30">
        <f>'TE BE'!$S$39*'TE BE'!$S$57</f>
        <v>-0.46752293557447483</v>
      </c>
      <c r="T39" s="30">
        <f>'TE BE'!$T$39*'TE BE'!$T$57</f>
        <v>0.41864523794154163</v>
      </c>
      <c r="U39" s="30">
        <f>'TE BE'!$U$39*'TE BE'!$U$57</f>
        <v>0</v>
      </c>
      <c r="V39" s="30">
        <f>SUM($S$39:$U$39)</f>
        <v>-4.8877697632933204E-2</v>
      </c>
      <c r="W39" s="30">
        <f>'TE BE'!$AA$39*'TE BE'!$W$57</f>
        <v>0</v>
      </c>
      <c r="X39" s="30">
        <f>SUM($W$39:$W$39)</f>
        <v>0</v>
      </c>
      <c r="Y39" s="30">
        <f>'TE BE'!$Y$39*'TE BE'!$Y$57</f>
        <v>-1.0306838202669688</v>
      </c>
      <c r="Z39" s="30">
        <f>SUM($Y$39:$Y$39)</f>
        <v>-1.0306838202669688</v>
      </c>
      <c r="AA39" s="30">
        <f>SUMIF($L$4:$Z$4,"SUBTOTAL",$L$39:$Z$39)</f>
        <v>-25.602696858122492</v>
      </c>
    </row>
    <row r="40" spans="1:27" ht="11.25" customHeight="1" x14ac:dyDescent="0.25">
      <c r="A40" s="130"/>
      <c r="B40" s="38" t="s">
        <v>96</v>
      </c>
      <c r="C40" s="38" t="s">
        <v>47</v>
      </c>
      <c r="D40" s="38" t="s">
        <v>104</v>
      </c>
      <c r="E40" s="38" t="s">
        <v>25</v>
      </c>
      <c r="F40" s="38" t="s">
        <v>25</v>
      </c>
      <c r="G40" s="32" t="s">
        <v>94</v>
      </c>
      <c r="H40" s="32" t="s">
        <v>88</v>
      </c>
      <c r="I40" s="32">
        <f>'MERCADO TE'!$U$37</f>
        <v>0</v>
      </c>
      <c r="J40" s="17"/>
      <c r="L40" s="30">
        <f>'TE BE'!$L$40*'TE BE'!$L$57</f>
        <v>3.3638533452100727E-4</v>
      </c>
      <c r="M40" s="30">
        <f>'TE BE'!$M$40*'TE BE'!$M$57</f>
        <v>14.755255598555658</v>
      </c>
      <c r="N40" s="30">
        <f>'TE BE'!$N$40*'TE BE'!$N$57</f>
        <v>0</v>
      </c>
      <c r="O40" s="30">
        <f>'TE BE'!$O$40*'TE BE'!$O$57</f>
        <v>-0.14649792469469042</v>
      </c>
      <c r="P40" s="30">
        <f>SUM($L$40:$O$40)</f>
        <v>14.609094059195488</v>
      </c>
      <c r="Q40" s="30">
        <f>'TE BE'!$Q$40*'TE BE'!$Q$57</f>
        <v>-41.480163163383168</v>
      </c>
      <c r="R40" s="30">
        <f>SUM($Q$40:$Q$40)</f>
        <v>-41.480163163383168</v>
      </c>
      <c r="S40" s="30">
        <f>'TE BE'!$S$40*'TE BE'!$S$57</f>
        <v>-0.46752293557447483</v>
      </c>
      <c r="T40" s="30">
        <f>'TE BE'!$T$40*'TE BE'!$T$57</f>
        <v>0.41864523794154163</v>
      </c>
      <c r="U40" s="30">
        <f>'TE BE'!$U$40*'TE BE'!$U$57</f>
        <v>0</v>
      </c>
      <c r="V40" s="30">
        <f>SUM($S$40:$U$40)</f>
        <v>-4.8877697632933204E-2</v>
      </c>
      <c r="W40" s="30">
        <f>'TE BE'!$AA$40*'TE BE'!$W$57</f>
        <v>0</v>
      </c>
      <c r="X40" s="30">
        <f>SUM($W$40:$W$40)</f>
        <v>0</v>
      </c>
      <c r="Y40" s="30">
        <f>'TE BE'!$Y$40*'TE BE'!$Y$57</f>
        <v>-1.0306838202669688</v>
      </c>
      <c r="Z40" s="30">
        <f>SUM($Y$40:$Y$40)</f>
        <v>-1.0306838202669688</v>
      </c>
      <c r="AA40" s="30">
        <f>SUMIF($L$4:$Z$4,"SUBTOTAL",$L$40:$Z$40)</f>
        <v>-27.95063062208758</v>
      </c>
    </row>
    <row r="41" spans="1:27" ht="11.25" customHeight="1" x14ac:dyDescent="0.25">
      <c r="A41" s="130"/>
      <c r="B41" s="130" t="s">
        <v>101</v>
      </c>
      <c r="C41" s="130" t="s">
        <v>47</v>
      </c>
      <c r="D41" s="38" t="s">
        <v>25</v>
      </c>
      <c r="E41" s="38" t="s">
        <v>25</v>
      </c>
      <c r="F41" s="38" t="s">
        <v>25</v>
      </c>
      <c r="G41" s="32" t="s">
        <v>94</v>
      </c>
      <c r="H41" s="32" t="s">
        <v>88</v>
      </c>
      <c r="I41" s="32">
        <f>'MERCADO TE'!$U$38</f>
        <v>0</v>
      </c>
      <c r="J41" s="17"/>
      <c r="L41" s="30">
        <f>'TE BE'!$L$41*'TE BE'!$L$57</f>
        <v>3.3638533452100727E-4</v>
      </c>
      <c r="M41" s="30">
        <f>'TE BE'!$M$41*'TE BE'!$M$57</f>
        <v>14.755255598555658</v>
      </c>
      <c r="N41" s="30">
        <f>'TE BE'!$N$41*'TE BE'!$N$57</f>
        <v>0</v>
      </c>
      <c r="O41" s="30">
        <f>'TE BE'!$O$41*'TE BE'!$O$57</f>
        <v>-0.14649792469469042</v>
      </c>
      <c r="P41" s="30">
        <f>SUM($L$41:$O$41)</f>
        <v>14.609094059195488</v>
      </c>
      <c r="Q41" s="30">
        <f>'TE BE'!$Q$41*'TE BE'!$Q$57</f>
        <v>-41.480163163383168</v>
      </c>
      <c r="R41" s="30">
        <f>SUM($Q$41:$Q$41)</f>
        <v>-41.480163163383168</v>
      </c>
      <c r="S41" s="30">
        <f>'TE BE'!$S$41*'TE BE'!$S$57</f>
        <v>-0.46752293557447483</v>
      </c>
      <c r="T41" s="30">
        <f>'TE BE'!$T$41*'TE BE'!$T$57</f>
        <v>0.41864523794154163</v>
      </c>
      <c r="U41" s="30">
        <f>'TE BE'!$U$41*'TE BE'!$U$57</f>
        <v>0</v>
      </c>
      <c r="V41" s="30">
        <f>SUM($S$41:$U$41)</f>
        <v>-4.8877697632933204E-2</v>
      </c>
      <c r="W41" s="30">
        <f>'TE BE'!$AA$41*'TE BE'!$W$57</f>
        <v>0</v>
      </c>
      <c r="X41" s="30">
        <f>SUM($W$41:$W$41)</f>
        <v>0</v>
      </c>
      <c r="Y41" s="30">
        <f>'TE BE'!$Y$41*'TE BE'!$Y$57</f>
        <v>-1.0306838202669688</v>
      </c>
      <c r="Z41" s="30">
        <f>SUM($Y$41:$Y$41)</f>
        <v>-1.0306838202669688</v>
      </c>
      <c r="AA41" s="30">
        <f>SUMIF($L$4:$Z$4,"SUBTOTAL",$L$41:$Z$41)</f>
        <v>-27.95063062208758</v>
      </c>
    </row>
    <row r="42" spans="1:27" ht="11.25" customHeight="1" x14ac:dyDescent="0.25">
      <c r="A42" s="130"/>
      <c r="B42" s="130"/>
      <c r="C42" s="130"/>
      <c r="D42" s="38" t="s">
        <v>103</v>
      </c>
      <c r="E42" s="38" t="s">
        <v>25</v>
      </c>
      <c r="F42" s="38" t="s">
        <v>25</v>
      </c>
      <c r="G42" s="32" t="s">
        <v>94</v>
      </c>
      <c r="H42" s="32" t="s">
        <v>88</v>
      </c>
      <c r="I42" s="32">
        <f>'MERCADO TE'!$U$39</f>
        <v>0</v>
      </c>
      <c r="J42" s="17"/>
      <c r="L42" s="30">
        <f>'TE BE'!$L$42*'TE BE'!$L$57</f>
        <v>3.3638533452100727E-4</v>
      </c>
      <c r="M42" s="30">
        <f>'TE BE'!$M$42*'TE BE'!$M$57</f>
        <v>14.755255598555658</v>
      </c>
      <c r="N42" s="30">
        <f>'TE BE'!$N$42*'TE BE'!$N$57</f>
        <v>0</v>
      </c>
      <c r="O42" s="30">
        <f>'TE BE'!$O$42*'TE BE'!$O$57</f>
        <v>-0.14649792469469042</v>
      </c>
      <c r="P42" s="30">
        <f>SUM($L$42:$O$42)</f>
        <v>14.609094059195488</v>
      </c>
      <c r="Q42" s="30">
        <f>'TE BE'!$Q$42*'TE BE'!$Q$57</f>
        <v>-41.480163163383168</v>
      </c>
      <c r="R42" s="30">
        <f>SUM($Q$42:$Q$42)</f>
        <v>-41.480163163383168</v>
      </c>
      <c r="S42" s="30">
        <f>'TE BE'!$S$42*'TE BE'!$S$57</f>
        <v>-0.46752293557447483</v>
      </c>
      <c r="T42" s="30">
        <f>'TE BE'!$T$42*'TE BE'!$T$57</f>
        <v>0.41864523794154163</v>
      </c>
      <c r="U42" s="30">
        <f>'TE BE'!$U$42*'TE BE'!$U$57</f>
        <v>0</v>
      </c>
      <c r="V42" s="30">
        <f>SUM($S$42:$U$42)</f>
        <v>-4.8877697632933204E-2</v>
      </c>
      <c r="W42" s="30">
        <f>'TE BE'!$AA$42*'TE BE'!$W$57</f>
        <v>0</v>
      </c>
      <c r="X42" s="30">
        <f>SUM($W$42:$W$42)</f>
        <v>0</v>
      </c>
      <c r="Y42" s="30">
        <f>'TE BE'!$Y$42*'TE BE'!$Y$57</f>
        <v>-1.0306838202669688</v>
      </c>
      <c r="Z42" s="30">
        <f>SUM($Y$42:$Y$42)</f>
        <v>-1.0306838202669688</v>
      </c>
      <c r="AA42" s="30">
        <f>SUMIF($L$4:$Z$4,"SUBTOTAL",$L$42:$Z$42)</f>
        <v>-27.95063062208758</v>
      </c>
    </row>
    <row r="43" spans="1:27" ht="11.25" customHeight="1" x14ac:dyDescent="0.25">
      <c r="A43" s="130"/>
      <c r="B43" s="130"/>
      <c r="C43" s="130"/>
      <c r="D43" s="38" t="s">
        <v>104</v>
      </c>
      <c r="E43" s="38" t="s">
        <v>25</v>
      </c>
      <c r="F43" s="38" t="s">
        <v>25</v>
      </c>
      <c r="G43" s="32" t="s">
        <v>94</v>
      </c>
      <c r="H43" s="32" t="s">
        <v>88</v>
      </c>
      <c r="I43" s="32">
        <f>'MERCADO TE'!$U$40</f>
        <v>0</v>
      </c>
      <c r="J43" s="17"/>
      <c r="L43" s="30">
        <f>'TE BE'!$L$43*'TE BE'!$L$57</f>
        <v>3.3638533452100727E-4</v>
      </c>
      <c r="M43" s="30">
        <f>'TE BE'!$M$43*'TE BE'!$M$57</f>
        <v>14.755255598555658</v>
      </c>
      <c r="N43" s="30">
        <f>'TE BE'!$N$43*'TE BE'!$N$57</f>
        <v>0</v>
      </c>
      <c r="O43" s="30">
        <f>'TE BE'!$O$43*'TE BE'!$O$57</f>
        <v>-0.14649792469469042</v>
      </c>
      <c r="P43" s="30">
        <f>SUM($L$43:$O$43)</f>
        <v>14.609094059195488</v>
      </c>
      <c r="Q43" s="30">
        <f>'TE BE'!$Q$43*'TE BE'!$Q$57</f>
        <v>-41.480163163383168</v>
      </c>
      <c r="R43" s="30">
        <f>SUM($Q$43:$Q$43)</f>
        <v>-41.480163163383168</v>
      </c>
      <c r="S43" s="30">
        <f>'TE BE'!$S$43*'TE BE'!$S$57</f>
        <v>-0.46752293557447483</v>
      </c>
      <c r="T43" s="30">
        <f>'TE BE'!$T$43*'TE BE'!$T$57</f>
        <v>0.41864523794154163</v>
      </c>
      <c r="U43" s="30">
        <f>'TE BE'!$U$43*'TE BE'!$U$57</f>
        <v>0</v>
      </c>
      <c r="V43" s="30">
        <f>SUM($S$43:$U$43)</f>
        <v>-4.8877697632933204E-2</v>
      </c>
      <c r="W43" s="30">
        <f>'TE BE'!$AA$43*'TE BE'!$W$57</f>
        <v>0</v>
      </c>
      <c r="X43" s="30">
        <f>SUM($W$43:$W$43)</f>
        <v>0</v>
      </c>
      <c r="Y43" s="30">
        <f>'TE BE'!$Y$43*'TE BE'!$Y$57</f>
        <v>-1.0306838202669688</v>
      </c>
      <c r="Z43" s="30">
        <f>SUM($Y$43:$Y$43)</f>
        <v>-1.0306838202669688</v>
      </c>
      <c r="AA43" s="30">
        <f>SUMIF($L$4:$Z$4,"SUBTOTAL",$L$43:$Z$43)</f>
        <v>-27.95063062208758</v>
      </c>
    </row>
    <row r="44" spans="1:27" ht="11.25" customHeight="1" x14ac:dyDescent="0.25">
      <c r="A44" s="130" t="s">
        <v>39</v>
      </c>
      <c r="B44" s="130" t="s">
        <v>87</v>
      </c>
      <c r="C44" s="130" t="s">
        <v>25</v>
      </c>
      <c r="D44" s="130" t="s">
        <v>25</v>
      </c>
      <c r="E44" s="130" t="s">
        <v>25</v>
      </c>
      <c r="F44" s="130" t="s">
        <v>25</v>
      </c>
      <c r="G44" s="32" t="s">
        <v>89</v>
      </c>
      <c r="H44" s="32" t="s">
        <v>88</v>
      </c>
      <c r="I44" s="32">
        <f>'MERCADO TE'!$U$41</f>
        <v>133.67100000000025</v>
      </c>
      <c r="J44" s="17"/>
      <c r="L44" s="30">
        <f>'TE BE'!$L$44*'TE BE'!$L$57</f>
        <v>3.3638533452100727E-4</v>
      </c>
      <c r="M44" s="30">
        <f>'TE BE'!$M$44*'TE BE'!$M$57</f>
        <v>14.755255598555658</v>
      </c>
      <c r="N44" s="30">
        <f>'TE BE'!$N$44*'TE BE'!$N$57</f>
        <v>0</v>
      </c>
      <c r="O44" s="30">
        <f>'TE BE'!$O$44*'TE BE'!$O$57</f>
        <v>-0.14649792469469042</v>
      </c>
      <c r="P44" s="30">
        <f>SUM($L$44:$O$44)</f>
        <v>14.609094059195488</v>
      </c>
      <c r="Q44" s="30">
        <f>'TE BE'!$Q$44*'TE BE'!$Q$57</f>
        <v>-67.307434566999092</v>
      </c>
      <c r="R44" s="30">
        <f>SUM($Q$44:$Q$44)</f>
        <v>-67.307434566999092</v>
      </c>
      <c r="S44" s="30">
        <f>'TE BE'!$S$44*'TE BE'!$S$57</f>
        <v>-0.46752293557447483</v>
      </c>
      <c r="T44" s="30">
        <f>'TE BE'!$T$44*'TE BE'!$T$57</f>
        <v>0.41864523794154163</v>
      </c>
      <c r="U44" s="30">
        <f>'TE BE'!$U$44*'TE BE'!$U$57</f>
        <v>0</v>
      </c>
      <c r="V44" s="30">
        <f>SUM($S$44:$U$44)</f>
        <v>-4.8877697632933204E-2</v>
      </c>
      <c r="W44" s="30">
        <f>'TE BE'!$AA$44*'TE BE'!$W$57</f>
        <v>0</v>
      </c>
      <c r="X44" s="30">
        <f>SUM($W$44:$W$44)</f>
        <v>0</v>
      </c>
      <c r="Y44" s="30">
        <f>'TE BE'!$Y$44*'TE BE'!$Y$57</f>
        <v>-1.0306838202669688</v>
      </c>
      <c r="Z44" s="30">
        <f>SUM($Y$44:$Y$44)</f>
        <v>-1.0306838202669688</v>
      </c>
      <c r="AA44" s="30">
        <f>SUMIF($L$4:$Z$4,"SUBTOTAL",$L$44:$Z$44)</f>
        <v>-53.777902025703511</v>
      </c>
    </row>
    <row r="45" spans="1:27" ht="11.25" customHeight="1" x14ac:dyDescent="0.25">
      <c r="A45" s="130"/>
      <c r="B45" s="130"/>
      <c r="C45" s="130"/>
      <c r="D45" s="130"/>
      <c r="E45" s="130"/>
      <c r="F45" s="130"/>
      <c r="G45" s="32" t="s">
        <v>100</v>
      </c>
      <c r="H45" s="32" t="s">
        <v>88</v>
      </c>
      <c r="I45" s="32">
        <f>'MERCADO TE'!$U$42</f>
        <v>52.353999999999928</v>
      </c>
      <c r="J45" s="17"/>
      <c r="L45" s="30">
        <f>'TE BE'!$L$45*'TE BE'!$L$57</f>
        <v>3.3638533452100727E-4</v>
      </c>
      <c r="M45" s="30">
        <f>'TE BE'!$M$45*'TE BE'!$M$57</f>
        <v>14.755255598555658</v>
      </c>
      <c r="N45" s="30">
        <f>'TE BE'!$N$45*'TE BE'!$N$57</f>
        <v>0</v>
      </c>
      <c r="O45" s="30">
        <f>'TE BE'!$O$45*'TE BE'!$O$57</f>
        <v>-0.14649792469469042</v>
      </c>
      <c r="P45" s="30">
        <f>SUM($L$45:$O$45)</f>
        <v>14.609094059195488</v>
      </c>
      <c r="Q45" s="30">
        <f>'TE BE'!$Q$45*'TE BE'!$Q$57</f>
        <v>-39.13222939941808</v>
      </c>
      <c r="R45" s="30">
        <f>SUM($Q$45:$Q$45)</f>
        <v>-39.13222939941808</v>
      </c>
      <c r="S45" s="30">
        <f>'TE BE'!$S$45*'TE BE'!$S$57</f>
        <v>-0.46752293557447483</v>
      </c>
      <c r="T45" s="30">
        <f>'TE BE'!$T$45*'TE BE'!$T$57</f>
        <v>0.41864523794154163</v>
      </c>
      <c r="U45" s="30">
        <f>'TE BE'!$U$45*'TE BE'!$U$57</f>
        <v>0</v>
      </c>
      <c r="V45" s="30">
        <f>SUM($S$45:$U$45)</f>
        <v>-4.8877697632933204E-2</v>
      </c>
      <c r="W45" s="30">
        <f>'TE BE'!$AA$45*'TE BE'!$W$57</f>
        <v>0</v>
      </c>
      <c r="X45" s="30">
        <f>SUM($W$45:$W$45)</f>
        <v>0</v>
      </c>
      <c r="Y45" s="30">
        <f>'TE BE'!$Y$45*'TE BE'!$Y$57</f>
        <v>-1.0306838202669688</v>
      </c>
      <c r="Z45" s="30">
        <f>SUM($Y$45:$Y$45)</f>
        <v>-1.0306838202669688</v>
      </c>
      <c r="AA45" s="30">
        <f>SUMIF($L$4:$Z$4,"SUBTOTAL",$L$45:$Z$45)</f>
        <v>-25.602696858122492</v>
      </c>
    </row>
    <row r="46" spans="1:27" ht="11.25" customHeight="1" x14ac:dyDescent="0.25">
      <c r="A46" s="130"/>
      <c r="B46" s="130"/>
      <c r="C46" s="130"/>
      <c r="D46" s="130"/>
      <c r="E46" s="130"/>
      <c r="F46" s="130"/>
      <c r="G46" s="32" t="s">
        <v>90</v>
      </c>
      <c r="H46" s="32" t="s">
        <v>88</v>
      </c>
      <c r="I46" s="32">
        <f>'MERCADO TE'!$U$43</f>
        <v>4172.1789999999992</v>
      </c>
      <c r="J46" s="17"/>
      <c r="L46" s="30">
        <f>'TE BE'!$L$46*'TE BE'!$L$57</f>
        <v>3.3638533452100727E-4</v>
      </c>
      <c r="M46" s="30">
        <f>'TE BE'!$M$46*'TE BE'!$M$57</f>
        <v>14.755255598555658</v>
      </c>
      <c r="N46" s="30">
        <f>'TE BE'!$N$46*'TE BE'!$N$57</f>
        <v>0</v>
      </c>
      <c r="O46" s="30">
        <f>'TE BE'!$O$46*'TE BE'!$O$57</f>
        <v>-0.14649792469469042</v>
      </c>
      <c r="P46" s="30">
        <f>SUM($L$46:$O$46)</f>
        <v>14.609094059195488</v>
      </c>
      <c r="Q46" s="30">
        <f>'TE BE'!$Q$46*'TE BE'!$Q$57</f>
        <v>-39.13222939941808</v>
      </c>
      <c r="R46" s="30">
        <f>SUM($Q$46:$Q$46)</f>
        <v>-39.13222939941808</v>
      </c>
      <c r="S46" s="30">
        <f>'TE BE'!$S$46*'TE BE'!$S$57</f>
        <v>-0.46752293557447483</v>
      </c>
      <c r="T46" s="30">
        <f>'TE BE'!$T$46*'TE BE'!$T$57</f>
        <v>0.41864523794154163</v>
      </c>
      <c r="U46" s="30">
        <f>'TE BE'!$U$46*'TE BE'!$U$57</f>
        <v>0</v>
      </c>
      <c r="V46" s="30">
        <f>SUM($S$46:$U$46)</f>
        <v>-4.8877697632933204E-2</v>
      </c>
      <c r="W46" s="30">
        <f>'TE BE'!$AA$46*'TE BE'!$W$57</f>
        <v>0</v>
      </c>
      <c r="X46" s="30">
        <f>SUM($W$46:$W$46)</f>
        <v>0</v>
      </c>
      <c r="Y46" s="30">
        <f>'TE BE'!$Y$46*'TE BE'!$Y$57</f>
        <v>-1.0306838202669688</v>
      </c>
      <c r="Z46" s="30">
        <f>SUM($Y$46:$Y$46)</f>
        <v>-1.0306838202669688</v>
      </c>
      <c r="AA46" s="30">
        <f>SUMIF($L$4:$Z$4,"SUBTOTAL",$L$46:$Z$46)</f>
        <v>-25.602696858122492</v>
      </c>
    </row>
    <row r="47" spans="1:27" ht="11.25" customHeight="1" x14ac:dyDescent="0.25">
      <c r="A47" s="130"/>
      <c r="B47" s="38" t="s">
        <v>96</v>
      </c>
      <c r="C47" s="38" t="s">
        <v>25</v>
      </c>
      <c r="D47" s="38" t="s">
        <v>25</v>
      </c>
      <c r="E47" s="38" t="s">
        <v>25</v>
      </c>
      <c r="F47" s="38" t="s">
        <v>25</v>
      </c>
      <c r="G47" s="32" t="s">
        <v>94</v>
      </c>
      <c r="H47" s="32" t="s">
        <v>88</v>
      </c>
      <c r="I47" s="32">
        <f>'MERCADO TE'!$U$44</f>
        <v>1033015.7139999998</v>
      </c>
      <c r="J47" s="17"/>
      <c r="L47" s="30">
        <f>'TE BE'!$L$47*'TE BE'!$L$57</f>
        <v>3.3638533452100727E-4</v>
      </c>
      <c r="M47" s="30">
        <f>'TE BE'!$M$47*'TE BE'!$M$57</f>
        <v>14.755255598555658</v>
      </c>
      <c r="N47" s="30">
        <f>'TE BE'!$N$47*'TE BE'!$N$57</f>
        <v>0</v>
      </c>
      <c r="O47" s="30">
        <f>'TE BE'!$O$47*'TE BE'!$O$57</f>
        <v>-0.14649792469469042</v>
      </c>
      <c r="P47" s="30">
        <f>SUM($L$47:$O$47)</f>
        <v>14.609094059195488</v>
      </c>
      <c r="Q47" s="30">
        <f>'TE BE'!$Q$47*'TE BE'!$Q$57</f>
        <v>-41.480163163383168</v>
      </c>
      <c r="R47" s="30">
        <f>SUM($Q$47:$Q$47)</f>
        <v>-41.480163163383168</v>
      </c>
      <c r="S47" s="30">
        <f>'TE BE'!$S$47*'TE BE'!$S$57</f>
        <v>-0.46752293557447483</v>
      </c>
      <c r="T47" s="30">
        <f>'TE BE'!$T$47*'TE BE'!$T$57</f>
        <v>0.41864523794154163</v>
      </c>
      <c r="U47" s="30">
        <f>'TE BE'!$U$47*'TE BE'!$U$57</f>
        <v>0</v>
      </c>
      <c r="V47" s="30">
        <f>SUM($S$47:$U$47)</f>
        <v>-4.8877697632933204E-2</v>
      </c>
      <c r="W47" s="30">
        <f>'TE BE'!$AA$47*'TE BE'!$W$57</f>
        <v>0</v>
      </c>
      <c r="X47" s="30">
        <f>SUM($W$47:$W$47)</f>
        <v>0</v>
      </c>
      <c r="Y47" s="30">
        <f>'TE BE'!$Y$47*'TE BE'!$Y$57</f>
        <v>-1.0306838202669688</v>
      </c>
      <c r="Z47" s="30">
        <f>SUM($Y$47:$Y$47)</f>
        <v>-1.0306838202669688</v>
      </c>
      <c r="AA47" s="30">
        <f>SUMIF($L$4:$Z$4,"SUBTOTAL",$L$47:$Z$47)</f>
        <v>-27.95063062208758</v>
      </c>
    </row>
    <row r="48" spans="1:27" ht="11.25" customHeight="1" x14ac:dyDescent="0.25">
      <c r="A48" s="130"/>
      <c r="B48" s="38" t="s">
        <v>101</v>
      </c>
      <c r="C48" s="38" t="s">
        <v>25</v>
      </c>
      <c r="D48" s="38" t="s">
        <v>25</v>
      </c>
      <c r="E48" s="38" t="s">
        <v>25</v>
      </c>
      <c r="F48" s="38" t="s">
        <v>25</v>
      </c>
      <c r="G48" s="32" t="s">
        <v>94</v>
      </c>
      <c r="H48" s="32" t="s">
        <v>88</v>
      </c>
      <c r="I48" s="32">
        <f>'MERCADO TE'!$U$45</f>
        <v>0</v>
      </c>
      <c r="J48" s="17"/>
      <c r="L48" s="30">
        <f>'TE BE'!$L$48*'TE BE'!$L$57</f>
        <v>3.3638533452100727E-4</v>
      </c>
      <c r="M48" s="30">
        <f>'TE BE'!$M$48*'TE BE'!$M$57</f>
        <v>14.755255598555658</v>
      </c>
      <c r="N48" s="30">
        <f>'TE BE'!$N$48*'TE BE'!$N$57</f>
        <v>0</v>
      </c>
      <c r="O48" s="30">
        <f>'TE BE'!$O$48*'TE BE'!$O$57</f>
        <v>-0.14649792469469042</v>
      </c>
      <c r="P48" s="30">
        <f>SUM($L$48:$O$48)</f>
        <v>14.609094059195488</v>
      </c>
      <c r="Q48" s="30">
        <f>'TE BE'!$Q$48*'TE BE'!$Q$57</f>
        <v>-41.480163163383168</v>
      </c>
      <c r="R48" s="30">
        <f>SUM($Q$48:$Q$48)</f>
        <v>-41.480163163383168</v>
      </c>
      <c r="S48" s="30">
        <f>'TE BE'!$S$48*'TE BE'!$S$57</f>
        <v>-0.46752293557447483</v>
      </c>
      <c r="T48" s="30">
        <f>'TE BE'!$T$48*'TE BE'!$T$57</f>
        <v>0.41864523794154163</v>
      </c>
      <c r="U48" s="30">
        <f>'TE BE'!$U$48*'TE BE'!$U$57</f>
        <v>0</v>
      </c>
      <c r="V48" s="30">
        <f>SUM($S$48:$U$48)</f>
        <v>-4.8877697632933204E-2</v>
      </c>
      <c r="W48" s="30">
        <f>'TE BE'!$AA$48*'TE BE'!$W$57</f>
        <v>0</v>
      </c>
      <c r="X48" s="30">
        <f>SUM($W$48:$W$48)</f>
        <v>0</v>
      </c>
      <c r="Y48" s="30">
        <f>'TE BE'!$Y$48*'TE BE'!$Y$57</f>
        <v>-1.0306838202669688</v>
      </c>
      <c r="Z48" s="30">
        <f>SUM($Y$48:$Y$48)</f>
        <v>-1.0306838202669688</v>
      </c>
      <c r="AA48" s="30">
        <f>SUMIF($L$4:$Z$4,"SUBTOTAL",$L$48:$Z$48)</f>
        <v>-27.95063062208758</v>
      </c>
    </row>
    <row r="49" spans="1:27" ht="11.25" customHeight="1" x14ac:dyDescent="0.25">
      <c r="A49" s="130" t="s">
        <v>49</v>
      </c>
      <c r="B49" s="130" t="s">
        <v>96</v>
      </c>
      <c r="C49" s="130" t="s">
        <v>50</v>
      </c>
      <c r="D49" s="38" t="s">
        <v>51</v>
      </c>
      <c r="E49" s="38" t="s">
        <v>25</v>
      </c>
      <c r="F49" s="38" t="s">
        <v>25</v>
      </c>
      <c r="G49" s="32" t="s">
        <v>94</v>
      </c>
      <c r="H49" s="32" t="s">
        <v>88</v>
      </c>
      <c r="I49" s="32">
        <f>'MERCADO TE'!$U$46</f>
        <v>418118.94</v>
      </c>
      <c r="J49" s="17"/>
      <c r="L49" s="30">
        <f>'TE BE'!$L$49*'TE BE'!$L$57</f>
        <v>1.8501193398655404E-4</v>
      </c>
      <c r="M49" s="30">
        <f>'TE BE'!$M$49*'TE BE'!$M$57</f>
        <v>8.1153905792056129</v>
      </c>
      <c r="N49" s="30">
        <f>'TE BE'!$N$49*'TE BE'!$N$57</f>
        <v>0</v>
      </c>
      <c r="O49" s="30">
        <f>'TE BE'!$O$49*'TE BE'!$O$57</f>
        <v>-8.0573858582079744E-2</v>
      </c>
      <c r="P49" s="30">
        <f>SUM($L$49:$O$49)</f>
        <v>8.0350017325575198</v>
      </c>
      <c r="Q49" s="30">
        <f>'TE BE'!$Q$49*'TE BE'!$Q$57</f>
        <v>-22.814089739860744</v>
      </c>
      <c r="R49" s="30">
        <f>SUM($Q$49:$Q$49)</f>
        <v>-22.814089739860744</v>
      </c>
      <c r="S49" s="30">
        <f>'TE BE'!$S$49*'TE BE'!$S$57</f>
        <v>-0.25713761456596118</v>
      </c>
      <c r="T49" s="30">
        <f>'TE BE'!$T$49*'TE BE'!$T$57</f>
        <v>0.23025488086784793</v>
      </c>
      <c r="U49" s="30">
        <f>'TE BE'!$U$49*'TE BE'!$U$57</f>
        <v>0</v>
      </c>
      <c r="V49" s="30">
        <f>SUM($S$49:$U$49)</f>
        <v>-2.6882733698113254E-2</v>
      </c>
      <c r="W49" s="30">
        <f>'TE BE'!$AA$49*'TE BE'!$W$57</f>
        <v>0</v>
      </c>
      <c r="X49" s="30">
        <f>SUM($W$49:$W$49)</f>
        <v>0</v>
      </c>
      <c r="Y49" s="30">
        <f>'TE BE'!$Y$49*'TE BE'!$Y$57</f>
        <v>-0.56687610114683296</v>
      </c>
      <c r="Z49" s="30">
        <f>SUM($Y$49:$Y$49)</f>
        <v>-0.56687610114683296</v>
      </c>
      <c r="AA49" s="30">
        <f>SUMIF($L$4:$Z$4,"SUBTOTAL",$L$49:$Z$49)</f>
        <v>-15.372846842148171</v>
      </c>
    </row>
    <row r="50" spans="1:27" ht="11.25" customHeight="1" x14ac:dyDescent="0.25">
      <c r="A50" s="130"/>
      <c r="B50" s="130"/>
      <c r="C50" s="130"/>
      <c r="D50" s="32" t="s">
        <v>105</v>
      </c>
      <c r="E50" s="32" t="s">
        <v>25</v>
      </c>
      <c r="F50" s="32" t="s">
        <v>25</v>
      </c>
      <c r="G50" s="32" t="s">
        <v>94</v>
      </c>
      <c r="H50" s="32" t="s">
        <v>88</v>
      </c>
      <c r="I50" s="32">
        <f>'MERCADO TE'!$U$47</f>
        <v>0</v>
      </c>
      <c r="J50" s="17"/>
      <c r="L50" s="30">
        <f>'TE BE'!$L$50*'TE BE'!$L$57</f>
        <v>2.0183120071260436E-4</v>
      </c>
      <c r="M50" s="30">
        <f>'TE BE'!$M$50*'TE BE'!$M$57</f>
        <v>8.853153359133394</v>
      </c>
      <c r="N50" s="30">
        <f>'TE BE'!$N$50*'TE BE'!$N$57</f>
        <v>0</v>
      </c>
      <c r="O50" s="30">
        <f>'TE BE'!$O$50*'TE BE'!$O$57</f>
        <v>-8.7898754816814251E-2</v>
      </c>
      <c r="P50" s="30">
        <f>SUM($L$50:$O$50)</f>
        <v>8.7654564355172919</v>
      </c>
      <c r="Q50" s="30">
        <f>'TE BE'!$Q$50*'TE BE'!$Q$57</f>
        <v>-24.888097898029898</v>
      </c>
      <c r="R50" s="30">
        <f>SUM($Q$50:$Q$50)</f>
        <v>-24.888097898029898</v>
      </c>
      <c r="S50" s="30">
        <f>'TE BE'!$S$50*'TE BE'!$S$57</f>
        <v>-0.28051376134468486</v>
      </c>
      <c r="T50" s="30">
        <f>'TE BE'!$T$50*'TE BE'!$T$57</f>
        <v>0.25118714276492499</v>
      </c>
      <c r="U50" s="30">
        <f>'TE BE'!$U$50*'TE BE'!$U$57</f>
        <v>0</v>
      </c>
      <c r="V50" s="30">
        <f>SUM($S$50:$U$50)</f>
        <v>-2.9326618579759878E-2</v>
      </c>
      <c r="W50" s="30">
        <f>'TE BE'!$AA$50*'TE BE'!$W$57</f>
        <v>0</v>
      </c>
      <c r="X50" s="30">
        <f>SUM($W$50:$W$50)</f>
        <v>0</v>
      </c>
      <c r="Y50" s="30">
        <f>'TE BE'!$Y$50*'TE BE'!$Y$57</f>
        <v>-0.61841029216018129</v>
      </c>
      <c r="Z50" s="30">
        <f>SUM($Y$50:$Y$50)</f>
        <v>-0.61841029216018129</v>
      </c>
      <c r="AA50" s="30">
        <f>SUMIF($L$4:$Z$4,"SUBTOTAL",$L$50:$Z$50)</f>
        <v>-16.770378373252544</v>
      </c>
    </row>
    <row r="52" spans="1:27" ht="11.25" customHeight="1" x14ac:dyDescent="0.25">
      <c r="K52" s="37" t="s">
        <v>1077</v>
      </c>
      <c r="L52" s="30">
        <f t="shared" ref="L52:AA52" si="0">SUMPRODUCT($I$5:$I$50,L$5:L$50)</f>
        <v>1733.6050900268201</v>
      </c>
      <c r="M52" s="30">
        <f t="shared" si="0"/>
        <v>76043107.666173711</v>
      </c>
      <c r="N52" s="30">
        <f t="shared" si="0"/>
        <v>0</v>
      </c>
      <c r="O52" s="30">
        <f t="shared" si="0"/>
        <v>-754995.89864914457</v>
      </c>
      <c r="P52" s="30">
        <f t="shared" si="0"/>
        <v>75289845.372614592</v>
      </c>
      <c r="Q52" s="30">
        <f t="shared" si="0"/>
        <v>-213945227.26810825</v>
      </c>
      <c r="R52" s="30">
        <f t="shared" si="0"/>
        <v>-213945227.26810825</v>
      </c>
      <c r="S52" s="30">
        <f t="shared" si="0"/>
        <v>-2409439.5850232132</v>
      </c>
      <c r="T52" s="30">
        <f t="shared" si="0"/>
        <v>2157542.0832314007</v>
      </c>
      <c r="U52" s="30">
        <f t="shared" si="0"/>
        <v>0</v>
      </c>
      <c r="V52" s="30">
        <f t="shared" si="0"/>
        <v>-251897.50179181233</v>
      </c>
      <c r="W52" s="30">
        <f t="shared" si="0"/>
        <v>0</v>
      </c>
      <c r="X52" s="30">
        <f t="shared" si="0"/>
        <v>0</v>
      </c>
      <c r="Y52" s="30">
        <f t="shared" si="0"/>
        <v>-5311761.6425442565</v>
      </c>
      <c r="Z52" s="30">
        <f t="shared" si="0"/>
        <v>-5311761.6425442565</v>
      </c>
      <c r="AA52" s="30">
        <f t="shared" si="0"/>
        <v>-144219041.03982973</v>
      </c>
    </row>
    <row r="53" spans="1:27" ht="11.25" customHeight="1" x14ac:dyDescent="0.25">
      <c r="K53" s="37" t="s">
        <v>998</v>
      </c>
      <c r="L53" s="30">
        <f>CUSTOS!$D$30</f>
        <v>12885056.963748746</v>
      </c>
      <c r="M53" s="30">
        <f>CUSTOS!$D$31</f>
        <v>62055958.389039129</v>
      </c>
      <c r="N53" s="30">
        <f>CUSTOS!$D$32</f>
        <v>0</v>
      </c>
      <c r="O53" s="30">
        <f>CUSTOS!$D$33</f>
        <v>9.9999999999999995E-7</v>
      </c>
      <c r="P53" s="30">
        <f>CUSTOS!$D$34</f>
        <v>74941015.35278888</v>
      </c>
      <c r="Q53" s="30">
        <f>CUSTOS!$D$35</f>
        <v>1205076078.106612</v>
      </c>
      <c r="R53" s="30">
        <f>CUSTOS!$D$36</f>
        <v>1205076078.106612</v>
      </c>
      <c r="S53" s="30">
        <f>CUSTOS!$D$37</f>
        <v>38962447.099574491</v>
      </c>
      <c r="T53" s="30">
        <f>CUSTOS!$D$38</f>
        <v>28663041.858749997</v>
      </c>
      <c r="U53" s="30">
        <f>CUSTOS!$D$39</f>
        <v>0</v>
      </c>
      <c r="V53" s="30">
        <f>CUSTOS!$D$40</f>
        <v>67625488.958324492</v>
      </c>
      <c r="W53" s="30">
        <f>CUSTOS!$D$41</f>
        <v>0</v>
      </c>
      <c r="X53" s="30">
        <f>CUSTOS!$D$42</f>
        <v>0</v>
      </c>
      <c r="Y53" s="30">
        <f>CUSTOS!$D$43</f>
        <v>29919231.991152462</v>
      </c>
      <c r="Z53" s="30">
        <f>CUSTOS!$D$44</f>
        <v>29919231.991152462</v>
      </c>
      <c r="AA53" s="30">
        <f>CUSTOS!$D$45</f>
        <v>1377561814.4088778</v>
      </c>
    </row>
    <row r="54" spans="1:27" ht="11.25" customHeight="1" x14ac:dyDescent="0.25">
      <c r="K54" s="37" t="s">
        <v>999</v>
      </c>
      <c r="L54" s="30">
        <f>CUSTOS!$E$30</f>
        <v>1733.6050900268199</v>
      </c>
      <c r="M54" s="30">
        <f>CUSTOS!$E$31</f>
        <v>76043107.666173726</v>
      </c>
      <c r="N54" s="30">
        <f>CUSTOS!$E$32</f>
        <v>0</v>
      </c>
      <c r="O54" s="30">
        <f>CUSTOS!$E$33</f>
        <v>-754995.89864914492</v>
      </c>
      <c r="P54" s="30">
        <f>CUSTOS!$E$34</f>
        <v>75289845.372614607</v>
      </c>
      <c r="Q54" s="30">
        <f>CUSTOS!$E$35</f>
        <v>-213945227.26810828</v>
      </c>
      <c r="R54" s="30">
        <f>CUSTOS!$E$36</f>
        <v>-213945227.26810828</v>
      </c>
      <c r="S54" s="30">
        <f>CUSTOS!$E$37</f>
        <v>-2409439.5850232132</v>
      </c>
      <c r="T54" s="30">
        <f>CUSTOS!$E$38</f>
        <v>2157542.0832314007</v>
      </c>
      <c r="U54" s="30">
        <f>CUSTOS!$E$39</f>
        <v>0</v>
      </c>
      <c r="V54" s="30">
        <f>CUSTOS!$E$40</f>
        <v>-251897.50179181248</v>
      </c>
      <c r="W54" s="30">
        <f>CUSTOS!$E$41</f>
        <v>0</v>
      </c>
      <c r="X54" s="30">
        <f>CUSTOS!$E$42</f>
        <v>0</v>
      </c>
      <c r="Y54" s="30">
        <f>CUSTOS!$E$43</f>
        <v>-5311761.6425442575</v>
      </c>
      <c r="Z54" s="30">
        <f>CUSTOS!$E$44</f>
        <v>-5311761.6425442575</v>
      </c>
      <c r="AA54" s="30">
        <f>CUSTOS!$E$45</f>
        <v>-144219041.03982976</v>
      </c>
    </row>
    <row r="55" spans="1:27" ht="11.25" customHeight="1" x14ac:dyDescent="0.25">
      <c r="K55" s="37" t="s">
        <v>1000</v>
      </c>
      <c r="L55" s="30">
        <f>CUSTOS!$F$30</f>
        <v>0</v>
      </c>
      <c r="M55" s="30">
        <f>CUSTOS!$F$31</f>
        <v>-66636027.845815107</v>
      </c>
      <c r="N55" s="30">
        <f>CUSTOS!$F$32</f>
        <v>0</v>
      </c>
      <c r="O55" s="30">
        <f>CUSTOS!$F$33</f>
        <v>-30115181.7788</v>
      </c>
      <c r="P55" s="30">
        <f>CUSTOS!$F$34</f>
        <v>-96751209.624615103</v>
      </c>
      <c r="Q55" s="30">
        <f>CUSTOS!$F$35</f>
        <v>108828866.61412276</v>
      </c>
      <c r="R55" s="30">
        <f>CUSTOS!$F$36</f>
        <v>108828866.61412276</v>
      </c>
      <c r="S55" s="30">
        <f>CUSTOS!$F$37</f>
        <v>3273819.5200053854</v>
      </c>
      <c r="T55" s="30">
        <f>CUSTOS!$F$38</f>
        <v>1333068.4447131678</v>
      </c>
      <c r="U55" s="30">
        <f>CUSTOS!$F$39</f>
        <v>0</v>
      </c>
      <c r="V55" s="30">
        <f>CUSTOS!$F$40</f>
        <v>4606887.9647185532</v>
      </c>
      <c r="W55" s="30">
        <f>CUSTOS!$F$41</f>
        <v>0</v>
      </c>
      <c r="X55" s="30">
        <f>CUSTOS!$F$42</f>
        <v>0</v>
      </c>
      <c r="Y55" s="30">
        <f>CUSTOS!$F$43</f>
        <v>2701967.2589285802</v>
      </c>
      <c r="Z55" s="30">
        <f>CUSTOS!$F$44</f>
        <v>2701967.2589285802</v>
      </c>
      <c r="AA55" s="30">
        <f>CUSTOS!$F$45</f>
        <v>19386512.213154793</v>
      </c>
    </row>
    <row r="56" spans="1:27" ht="11.25" customHeight="1" x14ac:dyDescent="0.25">
      <c r="K56" s="37" t="s">
        <v>1078</v>
      </c>
      <c r="L56" s="30">
        <f>'TR TE'!$L$56*L57</f>
        <v>0</v>
      </c>
      <c r="M56" s="30">
        <f>'TR TE'!$M$56*M57</f>
        <v>-12.929924264192657</v>
      </c>
      <c r="N56" s="30">
        <f>'TR TE'!$N$56*N57</f>
        <v>0</v>
      </c>
      <c r="O56" s="30">
        <f>'TR TE'!$O$56*O57</f>
        <v>0</v>
      </c>
      <c r="P56" s="30"/>
      <c r="Q56" s="30">
        <f>'TR TE'!$Q$56*Q57</f>
        <v>20.822232760240823</v>
      </c>
      <c r="R56" s="30"/>
      <c r="S56" s="30">
        <f>'TR TE'!$S$56*S57</f>
        <v>0.63524552433182913</v>
      </c>
      <c r="T56" s="30">
        <f>'TR TE'!$T$56*T57</f>
        <v>0.25866598875024099</v>
      </c>
      <c r="U56" s="30">
        <f>'TR TE'!$U$56*U57</f>
        <v>0</v>
      </c>
      <c r="V56" s="30"/>
      <c r="W56" s="30"/>
      <c r="X56" s="30"/>
      <c r="Y56" s="30">
        <f>'TR TE'!$Y$56*Y57</f>
        <v>0.52428443218601661</v>
      </c>
      <c r="Z56" s="30"/>
      <c r="AA56" s="30"/>
    </row>
    <row r="57" spans="1:27" ht="11.25" customHeight="1" x14ac:dyDescent="0.25">
      <c r="K57" s="37" t="s">
        <v>1073</v>
      </c>
      <c r="L57" s="30">
        <f>IF(L53&lt;&gt;0,L55/L53,0)</f>
        <v>0</v>
      </c>
      <c r="M57" s="30">
        <f>IF(M53&lt;&gt;0,M55/M53,0)</f>
        <v>-1.0738054745373968</v>
      </c>
      <c r="N57" s="30">
        <f>IF(N53&lt;&gt;0,N55/N53,0)</f>
        <v>0</v>
      </c>
      <c r="O57" s="30">
        <f>IF(O53&lt;&gt;0,O55/O53,0)</f>
        <v>-30115181778800</v>
      </c>
      <c r="P57" s="30"/>
      <c r="Q57" s="30">
        <f>IF(Q53&lt;&gt;0,Q55/Q53,0)</f>
        <v>9.0308710455120969E-2</v>
      </c>
      <c r="R57" s="30"/>
      <c r="S57" s="30">
        <f>IF(S53&lt;&gt;0,S55/S53,0)</f>
        <v>8.4024997496657206E-2</v>
      </c>
      <c r="T57" s="30">
        <f>IF(T53&lt;&gt;0,T55/T53,0)</f>
        <v>4.6508268427421659E-2</v>
      </c>
      <c r="U57" s="30">
        <f>IF(U53&lt;&gt;0,U55/U53,0)</f>
        <v>0</v>
      </c>
      <c r="V57" s="30"/>
      <c r="W57" s="30">
        <f>IF($AA53&lt;&gt;0,W55/($AA53-SUM('TR TE'!$L56:'TR TE'!$Z56)*0),0)</f>
        <v>0</v>
      </c>
      <c r="X57" s="30"/>
      <c r="Y57" s="30">
        <f>IF(Y53&lt;&gt;0,Y55/Y53,0)</f>
        <v>9.0308710455120969E-2</v>
      </c>
      <c r="Z57" s="30"/>
      <c r="AA57" s="30"/>
    </row>
    <row r="58" spans="1:27" ht="11.25" customHeight="1" x14ac:dyDescent="0.25"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</row>
  </sheetData>
  <mergeCells count="79">
    <mergeCell ref="Q3:R3"/>
    <mergeCell ref="S3:V3"/>
    <mergeCell ref="W3:X3"/>
    <mergeCell ref="A1:A4"/>
    <mergeCell ref="B1:B4"/>
    <mergeCell ref="C1:C4"/>
    <mergeCell ref="D1:D4"/>
    <mergeCell ref="E1:E4"/>
    <mergeCell ref="F1:F4"/>
    <mergeCell ref="F7:F8"/>
    <mergeCell ref="Y3:Z3"/>
    <mergeCell ref="AA3:AA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A1"/>
    <mergeCell ref="L2:AA2"/>
    <mergeCell ref="L3:P3"/>
    <mergeCell ref="A7:A9"/>
    <mergeCell ref="B7:B8"/>
    <mergeCell ref="C7:C8"/>
    <mergeCell ref="D7:D8"/>
    <mergeCell ref="E7:E8"/>
    <mergeCell ref="F13:F14"/>
    <mergeCell ref="A10:A12"/>
    <mergeCell ref="B10:B11"/>
    <mergeCell ref="C10:C11"/>
    <mergeCell ref="D10:D11"/>
    <mergeCell ref="E10:E11"/>
    <mergeCell ref="F10:F11"/>
    <mergeCell ref="A13:A15"/>
    <mergeCell ref="B13:B14"/>
    <mergeCell ref="C13:C14"/>
    <mergeCell ref="D13:D14"/>
    <mergeCell ref="E13:E14"/>
    <mergeCell ref="F16:F18"/>
    <mergeCell ref="B19:B23"/>
    <mergeCell ref="C19:C23"/>
    <mergeCell ref="B24:B28"/>
    <mergeCell ref="C24:C28"/>
    <mergeCell ref="A16:A28"/>
    <mergeCell ref="B16:B18"/>
    <mergeCell ref="C16:C18"/>
    <mergeCell ref="D16:D18"/>
    <mergeCell ref="E16:E18"/>
    <mergeCell ref="D37:D39"/>
    <mergeCell ref="E37:E39"/>
    <mergeCell ref="F37:F39"/>
    <mergeCell ref="D29:D31"/>
    <mergeCell ref="E29:E31"/>
    <mergeCell ref="F29:F31"/>
    <mergeCell ref="D33:D35"/>
    <mergeCell ref="E33:E35"/>
    <mergeCell ref="F33:F35"/>
    <mergeCell ref="B41:B43"/>
    <mergeCell ref="C41:C43"/>
    <mergeCell ref="A44:A48"/>
    <mergeCell ref="B44:B46"/>
    <mergeCell ref="C44:C46"/>
    <mergeCell ref="A29:A43"/>
    <mergeCell ref="B29:B31"/>
    <mergeCell ref="C29:C31"/>
    <mergeCell ref="B37:B39"/>
    <mergeCell ref="C37:C39"/>
    <mergeCell ref="B33:B35"/>
    <mergeCell ref="C33:C35"/>
    <mergeCell ref="E44:E46"/>
    <mergeCell ref="F44:F46"/>
    <mergeCell ref="A49:A50"/>
    <mergeCell ref="B49:B50"/>
    <mergeCell ref="C49:C50"/>
    <mergeCell ref="D44:D46"/>
  </mergeCells>
  <conditionalFormatting sqref="L52">
    <cfRule type="cellIs" dxfId="1441" priority="31" operator="notEqual">
      <formula>$L$54</formula>
    </cfRule>
    <cfRule type="cellIs" dxfId="1440" priority="32" operator="equal">
      <formula>$L$54</formula>
    </cfRule>
  </conditionalFormatting>
  <conditionalFormatting sqref="M52">
    <cfRule type="cellIs" dxfId="1439" priority="29" operator="notEqual">
      <formula>$M$54</formula>
    </cfRule>
    <cfRule type="cellIs" dxfId="1438" priority="30" operator="equal">
      <formula>$M$54</formula>
    </cfRule>
  </conditionalFormatting>
  <conditionalFormatting sqref="N52">
    <cfRule type="cellIs" dxfId="1437" priority="27" operator="notEqual">
      <formula>$N$54</formula>
    </cfRule>
    <cfRule type="cellIs" dxfId="1436" priority="28" operator="equal">
      <formula>$N$54</formula>
    </cfRule>
  </conditionalFormatting>
  <conditionalFormatting sqref="O52">
    <cfRule type="cellIs" dxfId="1435" priority="25" operator="notEqual">
      <formula>$O$54</formula>
    </cfRule>
    <cfRule type="cellIs" dxfId="1434" priority="26" operator="equal">
      <formula>$O$54</formula>
    </cfRule>
  </conditionalFormatting>
  <conditionalFormatting sqref="P52">
    <cfRule type="cellIs" dxfId="1433" priority="23" operator="notEqual">
      <formula>$P$54</formula>
    </cfRule>
    <cfRule type="cellIs" dxfId="1432" priority="24" operator="equal">
      <formula>$P$54</formula>
    </cfRule>
  </conditionalFormatting>
  <conditionalFormatting sqref="Q52">
    <cfRule type="cellIs" dxfId="1431" priority="21" operator="notEqual">
      <formula>$Q$54</formula>
    </cfRule>
    <cfRule type="cellIs" dxfId="1430" priority="22" operator="equal">
      <formula>$Q$54</formula>
    </cfRule>
  </conditionalFormatting>
  <conditionalFormatting sqref="R52">
    <cfRule type="cellIs" dxfId="1429" priority="19" operator="notEqual">
      <formula>$R$54</formula>
    </cfRule>
    <cfRule type="cellIs" dxfId="1428" priority="20" operator="equal">
      <formula>$R$54</formula>
    </cfRule>
  </conditionalFormatting>
  <conditionalFormatting sqref="S52">
    <cfRule type="cellIs" dxfId="1427" priority="17" operator="notEqual">
      <formula>$S$54</formula>
    </cfRule>
    <cfRule type="cellIs" dxfId="1426" priority="18" operator="equal">
      <formula>$S$54</formula>
    </cfRule>
  </conditionalFormatting>
  <conditionalFormatting sqref="T52">
    <cfRule type="cellIs" dxfId="1425" priority="15" operator="notEqual">
      <formula>$T$54</formula>
    </cfRule>
    <cfRule type="cellIs" dxfId="1424" priority="16" operator="equal">
      <formula>$T$54</formula>
    </cfRule>
  </conditionalFormatting>
  <conditionalFormatting sqref="U52">
    <cfRule type="cellIs" dxfId="1423" priority="13" operator="notEqual">
      <formula>$U$54</formula>
    </cfRule>
    <cfRule type="cellIs" dxfId="1422" priority="14" operator="equal">
      <formula>$U$54</formula>
    </cfRule>
  </conditionalFormatting>
  <conditionalFormatting sqref="V52">
    <cfRule type="cellIs" dxfId="1421" priority="11" operator="notEqual">
      <formula>$V$54</formula>
    </cfRule>
    <cfRule type="cellIs" dxfId="1420" priority="12" operator="equal">
      <formula>$V$54</formula>
    </cfRule>
  </conditionalFormatting>
  <conditionalFormatting sqref="W52">
    <cfRule type="cellIs" dxfId="1419" priority="9" operator="notEqual">
      <formula>$W$54</formula>
    </cfRule>
    <cfRule type="cellIs" dxfId="1418" priority="10" operator="equal">
      <formula>$W$54</formula>
    </cfRule>
  </conditionalFormatting>
  <conditionalFormatting sqref="X52">
    <cfRule type="cellIs" dxfId="1417" priority="7" operator="notEqual">
      <formula>$X$54</formula>
    </cfRule>
    <cfRule type="cellIs" dxfId="1416" priority="8" operator="equal">
      <formula>$X$54</formula>
    </cfRule>
  </conditionalFormatting>
  <conditionalFormatting sqref="Y52">
    <cfRule type="cellIs" dxfId="1415" priority="5" operator="notEqual">
      <formula>$Y$54</formula>
    </cfRule>
    <cfRule type="cellIs" dxfId="1414" priority="6" operator="equal">
      <formula>$Y$54</formula>
    </cfRule>
  </conditionalFormatting>
  <conditionalFormatting sqref="Z52">
    <cfRule type="cellIs" dxfId="1413" priority="3" operator="notEqual">
      <formula>$Z$54</formula>
    </cfRule>
    <cfRule type="cellIs" dxfId="1412" priority="4" operator="equal">
      <formula>$Z$54</formula>
    </cfRule>
  </conditionalFormatting>
  <conditionalFormatting sqref="AA52">
    <cfRule type="cellIs" dxfId="1411" priority="1" operator="notEqual">
      <formula>$AA$54</formula>
    </cfRule>
    <cfRule type="cellIs" dxfId="1410" priority="2" operator="equal">
      <formula>$AA$54</formula>
    </cfRule>
  </conditionalFormatting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68EC8-2469-479F-9CE5-B4513CAD8392}">
  <dimension ref="A1:AA58"/>
  <sheetViews>
    <sheetView showGridLines="0" topLeftCell="I34" workbookViewId="0">
      <selection activeCell="AA52" sqref="AA52"/>
    </sheetView>
  </sheetViews>
  <sheetFormatPr defaultColWidth="8.85546875" defaultRowHeight="11.25" customHeight="1" x14ac:dyDescent="0.25"/>
  <cols>
    <col min="1" max="1" width="9" style="9" bestFit="1" customWidth="1"/>
    <col min="2" max="2" width="24.7109375" style="9" bestFit="1" customWidth="1"/>
    <col min="3" max="3" width="12.7109375" style="9" bestFit="1" customWidth="1"/>
    <col min="4" max="4" width="23.140625" style="9" bestFit="1" customWidth="1"/>
    <col min="5" max="6" width="9.5703125" style="9" bestFit="1" customWidth="1"/>
    <col min="7" max="7" width="5.85546875" style="9" bestFit="1" customWidth="1"/>
    <col min="8" max="8" width="7.140625" style="9" bestFit="1" customWidth="1"/>
    <col min="9" max="9" width="9.140625" style="9" bestFit="1" customWidth="1"/>
    <col min="10" max="10" width="8.85546875" style="9"/>
    <col min="11" max="11" width="14.140625" style="9" bestFit="1" customWidth="1"/>
    <col min="12" max="12" width="9.85546875" style="9" bestFit="1" customWidth="1"/>
    <col min="13" max="13" width="10.28515625" style="9" bestFit="1" customWidth="1"/>
    <col min="14" max="14" width="9.140625" style="9" bestFit="1" customWidth="1"/>
    <col min="15" max="15" width="10.42578125" style="9" bestFit="1" customWidth="1"/>
    <col min="16" max="16" width="10.28515625" style="9" bestFit="1" customWidth="1"/>
    <col min="17" max="17" width="14.42578125" style="9" bestFit="1" customWidth="1"/>
    <col min="18" max="18" width="11.85546875" style="9" bestFit="1" customWidth="1"/>
    <col min="19" max="20" width="9.85546875" style="9" bestFit="1" customWidth="1"/>
    <col min="21" max="21" width="9.140625" style="9" bestFit="1" customWidth="1"/>
    <col min="22" max="22" width="9.85546875" style="9" bestFit="1" customWidth="1"/>
    <col min="23" max="23" width="7.7109375" style="9" bestFit="1" customWidth="1"/>
    <col min="24" max="24" width="8.5703125" style="9" bestFit="1" customWidth="1"/>
    <col min="25" max="25" width="10.5703125" style="9" bestFit="1" customWidth="1"/>
    <col min="26" max="26" width="9.85546875" style="9" bestFit="1" customWidth="1"/>
    <col min="27" max="27" width="11.85546875" style="9" bestFit="1" customWidth="1"/>
    <col min="28" max="16384" width="8.85546875" style="9"/>
  </cols>
  <sheetData>
    <row r="1" spans="1:27" ht="11.25" customHeight="1" x14ac:dyDescent="0.25">
      <c r="A1" s="129" t="s">
        <v>78</v>
      </c>
      <c r="B1" s="129" t="s">
        <v>79</v>
      </c>
      <c r="C1" s="129" t="s">
        <v>80</v>
      </c>
      <c r="D1" s="129" t="s">
        <v>81</v>
      </c>
      <c r="E1" s="129" t="s">
        <v>82</v>
      </c>
      <c r="F1" s="129" t="s">
        <v>15</v>
      </c>
      <c r="G1" s="129" t="s">
        <v>84</v>
      </c>
      <c r="H1" s="129" t="s">
        <v>85</v>
      </c>
      <c r="I1" s="129" t="s">
        <v>1055</v>
      </c>
      <c r="J1" s="112"/>
      <c r="L1" s="127" t="s">
        <v>1083</v>
      </c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</row>
    <row r="2" spans="1:27" ht="11.25" customHeight="1" x14ac:dyDescent="0.25">
      <c r="A2" s="129"/>
      <c r="B2" s="129"/>
      <c r="C2" s="129"/>
      <c r="D2" s="129"/>
      <c r="E2" s="129"/>
      <c r="F2" s="129"/>
      <c r="G2" s="129"/>
      <c r="H2" s="129"/>
      <c r="I2" s="129"/>
      <c r="J2" s="112"/>
      <c r="L2" s="127" t="s">
        <v>984</v>
      </c>
      <c r="M2" s="127"/>
      <c r="N2" s="127"/>
      <c r="O2" s="127"/>
      <c r="P2" s="127"/>
      <c r="Q2" s="127"/>
      <c r="R2" s="127"/>
      <c r="S2" s="127"/>
      <c r="T2" s="127"/>
      <c r="U2" s="127"/>
      <c r="V2" s="127"/>
      <c r="W2" s="127"/>
      <c r="X2" s="127"/>
      <c r="Y2" s="127"/>
      <c r="Z2" s="127"/>
      <c r="AA2" s="127"/>
    </row>
    <row r="3" spans="1:27" ht="11.25" customHeight="1" x14ac:dyDescent="0.25">
      <c r="A3" s="129"/>
      <c r="B3" s="129"/>
      <c r="C3" s="129"/>
      <c r="D3" s="129"/>
      <c r="E3" s="129"/>
      <c r="F3" s="129"/>
      <c r="G3" s="129"/>
      <c r="H3" s="129"/>
      <c r="I3" s="129"/>
      <c r="J3" s="112"/>
      <c r="L3" s="127" t="s">
        <v>956</v>
      </c>
      <c r="M3" s="127"/>
      <c r="N3" s="127"/>
      <c r="O3" s="127"/>
      <c r="P3" s="127"/>
      <c r="Q3" s="127" t="s">
        <v>988</v>
      </c>
      <c r="R3" s="127"/>
      <c r="S3" s="127" t="s">
        <v>966</v>
      </c>
      <c r="T3" s="127"/>
      <c r="U3" s="127"/>
      <c r="V3" s="127"/>
      <c r="W3" s="127" t="s">
        <v>976</v>
      </c>
      <c r="X3" s="127"/>
      <c r="Y3" s="127" t="s">
        <v>979</v>
      </c>
      <c r="Z3" s="127"/>
      <c r="AA3" s="127" t="s">
        <v>965</v>
      </c>
    </row>
    <row r="4" spans="1:27" ht="11.25" customHeight="1" x14ac:dyDescent="0.25">
      <c r="A4" s="129"/>
      <c r="B4" s="129"/>
      <c r="C4" s="129"/>
      <c r="D4" s="129"/>
      <c r="E4" s="129"/>
      <c r="F4" s="129"/>
      <c r="G4" s="129"/>
      <c r="H4" s="129"/>
      <c r="I4" s="129"/>
      <c r="J4" s="112"/>
      <c r="L4" s="36" t="s">
        <v>959</v>
      </c>
      <c r="M4" s="36" t="s">
        <v>985</v>
      </c>
      <c r="N4" s="36" t="s">
        <v>986</v>
      </c>
      <c r="O4" s="36" t="s">
        <v>987</v>
      </c>
      <c r="P4" s="36" t="s">
        <v>965</v>
      </c>
      <c r="Q4" s="36" t="s">
        <v>989</v>
      </c>
      <c r="R4" s="36" t="s">
        <v>965</v>
      </c>
      <c r="S4" s="36" t="s">
        <v>990</v>
      </c>
      <c r="T4" s="36" t="s">
        <v>991</v>
      </c>
      <c r="U4" s="36" t="s">
        <v>992</v>
      </c>
      <c r="V4" s="36" t="s">
        <v>965</v>
      </c>
      <c r="W4" s="36" t="s">
        <v>977</v>
      </c>
      <c r="X4" s="36" t="s">
        <v>965</v>
      </c>
      <c r="Y4" s="36" t="s">
        <v>993</v>
      </c>
      <c r="Z4" s="36" t="s">
        <v>965</v>
      </c>
      <c r="AA4" s="128"/>
    </row>
    <row r="5" spans="1:27" ht="11.25" customHeight="1" x14ac:dyDescent="0.25">
      <c r="A5" s="130" t="s">
        <v>43</v>
      </c>
      <c r="B5" s="130" t="s">
        <v>87</v>
      </c>
      <c r="C5" s="130" t="s">
        <v>25</v>
      </c>
      <c r="D5" s="130" t="s">
        <v>25</v>
      </c>
      <c r="E5" s="130" t="s">
        <v>25</v>
      </c>
      <c r="F5" s="130" t="s">
        <v>25</v>
      </c>
      <c r="G5" s="32" t="s">
        <v>89</v>
      </c>
      <c r="H5" s="32" t="s">
        <v>88</v>
      </c>
      <c r="I5" s="32">
        <f>'MERCADO TE'!$U$2</f>
        <v>6175.6710000000003</v>
      </c>
      <c r="J5" s="17"/>
      <c r="L5" s="30">
        <f>'TE BE'!$L$5*'TE BF'!$L$57</f>
        <v>0</v>
      </c>
      <c r="M5" s="30">
        <f>'TE BE'!$M$5*'TE BF'!$M$57</f>
        <v>-12.929924264192657</v>
      </c>
      <c r="N5" s="30">
        <f>'TE BE'!$N$5*'TE BF'!$N$57</f>
        <v>0</v>
      </c>
      <c r="O5" s="30">
        <f>'TE BE'!$O$5*'TE BF'!$O$57</f>
        <v>-5.843490859077864</v>
      </c>
      <c r="P5" s="30">
        <f>SUM($L$5:$O$5)</f>
        <v>-18.773415123270521</v>
      </c>
      <c r="Q5" s="30">
        <f>'TE BE'!$Q$5*'TE BF'!$Q$57</f>
        <v>34.237696779518849</v>
      </c>
      <c r="R5" s="30">
        <f>SUM($Q$5:$Q$5)</f>
        <v>34.237696779518849</v>
      </c>
      <c r="S5" s="30">
        <f>'TE BE'!$S$5*'TE BF'!$S$57</f>
        <v>0.63524552433182913</v>
      </c>
      <c r="T5" s="30">
        <f>'TE BE'!$T$5*'TE BF'!$T$57</f>
        <v>0.25866598875024099</v>
      </c>
      <c r="U5" s="30">
        <f>'TE BE'!$U$5*'TE BF'!$U$57</f>
        <v>0</v>
      </c>
      <c r="V5" s="30">
        <f>SUM($S$5:$U$5)</f>
        <v>0.89391151308207006</v>
      </c>
      <c r="W5" s="30">
        <f>'TE BE'!$AA$5*'TE BF'!$W$57</f>
        <v>0</v>
      </c>
      <c r="X5" s="30">
        <f>SUM($W$5:$W$5)</f>
        <v>0</v>
      </c>
      <c r="Y5" s="30">
        <f>'TE BE'!$Y$5*'TE BF'!$Y$57</f>
        <v>0.52428443218601661</v>
      </c>
      <c r="Z5" s="30">
        <f>SUM($Y$5:$Y$5)</f>
        <v>0.52428443218601661</v>
      </c>
      <c r="AA5" s="30">
        <f>SUMIF($L$4:$Z$4,"SUBTOTAL",$L$5:$Z$5)</f>
        <v>16.882477601516417</v>
      </c>
    </row>
    <row r="6" spans="1:27" ht="11.25" customHeight="1" x14ac:dyDescent="0.25">
      <c r="A6" s="130"/>
      <c r="B6" s="130"/>
      <c r="C6" s="130"/>
      <c r="D6" s="130"/>
      <c r="E6" s="130"/>
      <c r="F6" s="130"/>
      <c r="G6" s="32" t="s">
        <v>90</v>
      </c>
      <c r="H6" s="32" t="s">
        <v>88</v>
      </c>
      <c r="I6" s="32">
        <f>'MERCADO TE'!$U$3</f>
        <v>102148.342</v>
      </c>
      <c r="J6" s="17"/>
      <c r="L6" s="30">
        <f>'TE BE'!$L$6*'TE BF'!$L$57</f>
        <v>0</v>
      </c>
      <c r="M6" s="30">
        <f>'TE BE'!$M$6*'TE BF'!$M$57</f>
        <v>-12.929924264192657</v>
      </c>
      <c r="N6" s="30">
        <f>'TE BE'!$N$6*'TE BF'!$N$57</f>
        <v>0</v>
      </c>
      <c r="O6" s="30">
        <f>'TE BE'!$O$6*'TE BF'!$O$57</f>
        <v>-5.843490859077864</v>
      </c>
      <c r="P6" s="30">
        <f>SUM($L$6:$O$6)</f>
        <v>-18.773415123270521</v>
      </c>
      <c r="Q6" s="30">
        <f>'TE BE'!$Q$6*'TE BF'!$Q$57</f>
        <v>19.905637662510962</v>
      </c>
      <c r="R6" s="30">
        <f>SUM($Q$6:$Q$6)</f>
        <v>19.905637662510962</v>
      </c>
      <c r="S6" s="30">
        <f>'TE BE'!$S$6*'TE BF'!$S$57</f>
        <v>0.63524552433182913</v>
      </c>
      <c r="T6" s="30">
        <f>'TE BE'!$T$6*'TE BF'!$T$57</f>
        <v>0.25866598875024099</v>
      </c>
      <c r="U6" s="30">
        <f>'TE BE'!$U$6*'TE BF'!$U$57</f>
        <v>0</v>
      </c>
      <c r="V6" s="30">
        <f>SUM($S$6:$U$6)</f>
        <v>0.89391151308207006</v>
      </c>
      <c r="W6" s="30">
        <f>'TE BE'!$AA$6*'TE BF'!$W$57</f>
        <v>0</v>
      </c>
      <c r="X6" s="30">
        <f>SUM($W$6:$W$6)</f>
        <v>0</v>
      </c>
      <c r="Y6" s="30">
        <f>'TE BE'!$Y$6*'TE BF'!$Y$57</f>
        <v>0.52428443218601661</v>
      </c>
      <c r="Z6" s="30">
        <f>SUM($Y$6:$Y$6)</f>
        <v>0.52428443218601661</v>
      </c>
      <c r="AA6" s="30">
        <f>SUMIF($L$4:$Z$4,"SUBTOTAL",$L$6:$Z$6)</f>
        <v>2.550418484508528</v>
      </c>
    </row>
    <row r="7" spans="1:27" ht="11.25" customHeight="1" x14ac:dyDescent="0.25">
      <c r="A7" s="130" t="s">
        <v>45</v>
      </c>
      <c r="B7" s="130" t="s">
        <v>87</v>
      </c>
      <c r="C7" s="130" t="s">
        <v>25</v>
      </c>
      <c r="D7" s="130" t="s">
        <v>25</v>
      </c>
      <c r="E7" s="130" t="s">
        <v>25</v>
      </c>
      <c r="F7" s="130" t="s">
        <v>25</v>
      </c>
      <c r="G7" s="32" t="s">
        <v>89</v>
      </c>
      <c r="H7" s="32" t="s">
        <v>88</v>
      </c>
      <c r="I7" s="32">
        <f>'MERCADO TE'!$U$4</f>
        <v>3341.4459999999999</v>
      </c>
      <c r="J7" s="17"/>
      <c r="L7" s="30">
        <f>'TE BE'!$L$7*'TE BF'!$L$57</f>
        <v>0</v>
      </c>
      <c r="M7" s="30">
        <f>'TE BE'!$M$7*'TE BF'!$M$57</f>
        <v>-12.929924264192657</v>
      </c>
      <c r="N7" s="30">
        <f>'TE BE'!$N$7*'TE BF'!$N$57</f>
        <v>0</v>
      </c>
      <c r="O7" s="30">
        <f>'TE BE'!$O$7*'TE BF'!$O$57</f>
        <v>-5.843490859077864</v>
      </c>
      <c r="P7" s="30">
        <f>SUM($L$7:$O$7)</f>
        <v>-18.773415123270521</v>
      </c>
      <c r="Q7" s="30">
        <f>'TE BE'!$Q$7*'TE BF'!$Q$57</f>
        <v>34.237696779518849</v>
      </c>
      <c r="R7" s="30">
        <f>SUM($Q$7:$Q$7)</f>
        <v>34.237696779518849</v>
      </c>
      <c r="S7" s="30">
        <f>'TE BE'!$S$7*'TE BF'!$S$57</f>
        <v>0.63524552433182913</v>
      </c>
      <c r="T7" s="30">
        <f>'TE BE'!$T$7*'TE BF'!$T$57</f>
        <v>0.25866598875024099</v>
      </c>
      <c r="U7" s="30">
        <f>'TE BE'!$U$7*'TE BF'!$U$57</f>
        <v>0</v>
      </c>
      <c r="V7" s="30">
        <f>SUM($S$7:$U$7)</f>
        <v>0.89391151308207006</v>
      </c>
      <c r="W7" s="30">
        <f>'TE BE'!$AA$7*'TE BF'!$W$57</f>
        <v>0</v>
      </c>
      <c r="X7" s="30">
        <f>SUM($W$7:$W$7)</f>
        <v>0</v>
      </c>
      <c r="Y7" s="30">
        <f>'TE BE'!$Y$7*'TE BF'!$Y$57</f>
        <v>0.52428443218601661</v>
      </c>
      <c r="Z7" s="30">
        <f>SUM($Y$7:$Y$7)</f>
        <v>0.52428443218601661</v>
      </c>
      <c r="AA7" s="30">
        <f>SUMIF($L$4:$Z$4,"SUBTOTAL",$L$7:$Z$7)</f>
        <v>16.882477601516417</v>
      </c>
    </row>
    <row r="8" spans="1:27" ht="11.25" customHeight="1" x14ac:dyDescent="0.25">
      <c r="A8" s="130"/>
      <c r="B8" s="130"/>
      <c r="C8" s="130"/>
      <c r="D8" s="130"/>
      <c r="E8" s="130"/>
      <c r="F8" s="130"/>
      <c r="G8" s="32" t="s">
        <v>90</v>
      </c>
      <c r="H8" s="32" t="s">
        <v>88</v>
      </c>
      <c r="I8" s="32">
        <f>'MERCADO TE'!$U$5</f>
        <v>33041.942000000003</v>
      </c>
      <c r="J8" s="17"/>
      <c r="L8" s="30">
        <f>'TE BE'!$L$8*'TE BF'!$L$57</f>
        <v>0</v>
      </c>
      <c r="M8" s="30">
        <f>'TE BE'!$M$8*'TE BF'!$M$57</f>
        <v>-12.929924264192657</v>
      </c>
      <c r="N8" s="30">
        <f>'TE BE'!$N$8*'TE BF'!$N$57</f>
        <v>0</v>
      </c>
      <c r="O8" s="30">
        <f>'TE BE'!$O$8*'TE BF'!$O$57</f>
        <v>-5.843490859077864</v>
      </c>
      <c r="P8" s="30">
        <f>SUM($L$8:$O$8)</f>
        <v>-18.773415123270521</v>
      </c>
      <c r="Q8" s="30">
        <f>'TE BE'!$Q$8*'TE BF'!$Q$57</f>
        <v>19.905637662510962</v>
      </c>
      <c r="R8" s="30">
        <f>SUM($Q$8:$Q$8)</f>
        <v>19.905637662510962</v>
      </c>
      <c r="S8" s="30">
        <f>'TE BE'!$S$8*'TE BF'!$S$57</f>
        <v>0.63524552433182913</v>
      </c>
      <c r="T8" s="30">
        <f>'TE BE'!$T$8*'TE BF'!$T$57</f>
        <v>0.25866598875024099</v>
      </c>
      <c r="U8" s="30">
        <f>'TE BE'!$U$8*'TE BF'!$U$57</f>
        <v>0</v>
      </c>
      <c r="V8" s="30">
        <f>SUM($S$8:$U$8)</f>
        <v>0.89391151308207006</v>
      </c>
      <c r="W8" s="30">
        <f>'TE BE'!$AA$8*'TE BF'!$W$57</f>
        <v>0</v>
      </c>
      <c r="X8" s="30">
        <f>SUM($W$8:$W$8)</f>
        <v>0</v>
      </c>
      <c r="Y8" s="30">
        <f>'TE BE'!$Y$8*'TE BF'!$Y$57</f>
        <v>0.52428443218601661</v>
      </c>
      <c r="Z8" s="30">
        <f>SUM($Y$8:$Y$8)</f>
        <v>0.52428443218601661</v>
      </c>
      <c r="AA8" s="30">
        <f>SUMIF($L$4:$Z$4,"SUBTOTAL",$L$8:$Z$8)</f>
        <v>2.550418484508528</v>
      </c>
    </row>
    <row r="9" spans="1:27" ht="11.25" customHeight="1" x14ac:dyDescent="0.25">
      <c r="A9" s="130"/>
      <c r="B9" s="38" t="s">
        <v>96</v>
      </c>
      <c r="C9" s="38" t="s">
        <v>25</v>
      </c>
      <c r="D9" s="38" t="s">
        <v>25</v>
      </c>
      <c r="E9" s="38" t="s">
        <v>25</v>
      </c>
      <c r="F9" s="38" t="s">
        <v>25</v>
      </c>
      <c r="G9" s="32" t="s">
        <v>94</v>
      </c>
      <c r="H9" s="32" t="s">
        <v>88</v>
      </c>
      <c r="I9" s="32">
        <f>'MERCADO TE'!$U$6</f>
        <v>0</v>
      </c>
      <c r="J9" s="17"/>
      <c r="L9" s="30">
        <f>'TE BE'!$L$9*'TE BF'!$L$57</f>
        <v>0</v>
      </c>
      <c r="M9" s="30">
        <f>'TE BE'!$M$9*'TE BF'!$M$57</f>
        <v>-12.929924264192657</v>
      </c>
      <c r="N9" s="30">
        <f>'TE BE'!$N$9*'TE BF'!$N$57</f>
        <v>0</v>
      </c>
      <c r="O9" s="30">
        <f>'TE BE'!$O$9*'TE BF'!$O$57</f>
        <v>-5.843490859077864</v>
      </c>
      <c r="P9" s="30">
        <f>SUM($L$9:$O$9)</f>
        <v>-18.773415123270521</v>
      </c>
      <c r="Q9" s="30">
        <f>'TE BE'!$Q$9*'TE BF'!$Q$57</f>
        <v>21.099975922261621</v>
      </c>
      <c r="R9" s="30">
        <f>SUM($Q$9:$Q$9)</f>
        <v>21.099975922261621</v>
      </c>
      <c r="S9" s="30">
        <f>'TE BE'!$S$9*'TE BF'!$S$57</f>
        <v>0.63524552433182913</v>
      </c>
      <c r="T9" s="30">
        <f>'TE BE'!$T$9*'TE BF'!$T$57</f>
        <v>0.25866598875024099</v>
      </c>
      <c r="U9" s="30">
        <f>'TE BE'!$U$9*'TE BF'!$U$57</f>
        <v>0</v>
      </c>
      <c r="V9" s="30">
        <f>SUM($S$9:$U$9)</f>
        <v>0.89391151308207006</v>
      </c>
      <c r="W9" s="30">
        <f>'TE BE'!$AA$9*'TE BF'!$W$57</f>
        <v>0</v>
      </c>
      <c r="X9" s="30">
        <f>SUM($W$9:$W$9)</f>
        <v>0</v>
      </c>
      <c r="Y9" s="30">
        <f>'TE BE'!$Y$9*'TE BF'!$Y$57</f>
        <v>0.52428443218601661</v>
      </c>
      <c r="Z9" s="30">
        <f>SUM($Y$9:$Y$9)</f>
        <v>0.52428443218601661</v>
      </c>
      <c r="AA9" s="30">
        <f>SUMIF($L$4:$Z$4,"SUBTOTAL",$L$9:$Z$9)</f>
        <v>3.7447567442591865</v>
      </c>
    </row>
    <row r="10" spans="1:27" ht="11.25" customHeight="1" x14ac:dyDescent="0.25">
      <c r="A10" s="130" t="s">
        <v>33</v>
      </c>
      <c r="B10" s="130" t="s">
        <v>87</v>
      </c>
      <c r="C10" s="130" t="s">
        <v>25</v>
      </c>
      <c r="D10" s="130" t="s">
        <v>25</v>
      </c>
      <c r="E10" s="130" t="s">
        <v>25</v>
      </c>
      <c r="F10" s="130" t="s">
        <v>25</v>
      </c>
      <c r="G10" s="32" t="s">
        <v>89</v>
      </c>
      <c r="H10" s="32" t="s">
        <v>88</v>
      </c>
      <c r="I10" s="32">
        <f>'MERCADO TE'!$U$7</f>
        <v>84316.775000000023</v>
      </c>
      <c r="J10" s="17"/>
      <c r="L10" s="30">
        <f>'TE BE'!$L$10*'TE BF'!$L$57</f>
        <v>0</v>
      </c>
      <c r="M10" s="30">
        <f>'TE BE'!$M$10*'TE BF'!$M$57</f>
        <v>-12.929924264192657</v>
      </c>
      <c r="N10" s="30">
        <f>'TE BE'!$N$10*'TE BF'!$N$57</f>
        <v>0</v>
      </c>
      <c r="O10" s="30">
        <f>'TE BE'!$O$10*'TE BF'!$O$57</f>
        <v>-5.843490859077864</v>
      </c>
      <c r="P10" s="30">
        <f>SUM($L$10:$O$10)</f>
        <v>-18.773415123270521</v>
      </c>
      <c r="Q10" s="30">
        <f>'TE BE'!$Q$10*'TE BF'!$Q$57</f>
        <v>34.237696779518849</v>
      </c>
      <c r="R10" s="30">
        <f>SUM($Q$10:$Q$10)</f>
        <v>34.237696779518849</v>
      </c>
      <c r="S10" s="30">
        <f>'TE BE'!$S$10*'TE BF'!$S$57</f>
        <v>0.63524552433182913</v>
      </c>
      <c r="T10" s="30">
        <f>'TE BE'!$T$10*'TE BF'!$T$57</f>
        <v>0.25866598875024099</v>
      </c>
      <c r="U10" s="30">
        <f>'TE BE'!$U$10*'TE BF'!$U$57</f>
        <v>0</v>
      </c>
      <c r="V10" s="30">
        <f>SUM($S$10:$U$10)</f>
        <v>0.89391151308207006</v>
      </c>
      <c r="W10" s="30">
        <f>'TE BE'!$AA$10*'TE BF'!$W$57</f>
        <v>0</v>
      </c>
      <c r="X10" s="30">
        <f>SUM($W$10:$W$10)</f>
        <v>0</v>
      </c>
      <c r="Y10" s="30">
        <f>'TE BE'!$Y$10*'TE BF'!$Y$57</f>
        <v>0.52428443218601661</v>
      </c>
      <c r="Z10" s="30">
        <f>SUM($Y$10:$Y$10)</f>
        <v>0.52428443218601661</v>
      </c>
      <c r="AA10" s="30">
        <f>SUMIF($L$4:$Z$4,"SUBTOTAL",$L$10:$Z$10)</f>
        <v>16.882477601516417</v>
      </c>
    </row>
    <row r="11" spans="1:27" ht="11.25" customHeight="1" x14ac:dyDescent="0.25">
      <c r="A11" s="130"/>
      <c r="B11" s="130"/>
      <c r="C11" s="130"/>
      <c r="D11" s="130"/>
      <c r="E11" s="130"/>
      <c r="F11" s="130"/>
      <c r="G11" s="32" t="s">
        <v>90</v>
      </c>
      <c r="H11" s="32" t="s">
        <v>88</v>
      </c>
      <c r="I11" s="32">
        <f>'MERCADO TE'!$U$8</f>
        <v>857352.201</v>
      </c>
      <c r="J11" s="17"/>
      <c r="L11" s="30">
        <f>'TE BE'!$L$11*'TE BF'!$L$57</f>
        <v>0</v>
      </c>
      <c r="M11" s="30">
        <f>'TE BE'!$M$11*'TE BF'!$M$57</f>
        <v>-12.929924264192657</v>
      </c>
      <c r="N11" s="30">
        <f>'TE BE'!$N$11*'TE BF'!$N$57</f>
        <v>0</v>
      </c>
      <c r="O11" s="30">
        <f>'TE BE'!$O$11*'TE BF'!$O$57</f>
        <v>-5.843490859077864</v>
      </c>
      <c r="P11" s="30">
        <f>SUM($L$11:$O$11)</f>
        <v>-18.773415123270521</v>
      </c>
      <c r="Q11" s="30">
        <f>'TE BE'!$Q$11*'TE BF'!$Q$57</f>
        <v>19.905637662510962</v>
      </c>
      <c r="R11" s="30">
        <f>SUM($Q$11:$Q$11)</f>
        <v>19.905637662510962</v>
      </c>
      <c r="S11" s="30">
        <f>'TE BE'!$S$11*'TE BF'!$S$57</f>
        <v>0.63524552433182913</v>
      </c>
      <c r="T11" s="30">
        <f>'TE BE'!$T$11*'TE BF'!$T$57</f>
        <v>0.25866598875024099</v>
      </c>
      <c r="U11" s="30">
        <f>'TE BE'!$U$11*'TE BF'!$U$57</f>
        <v>0</v>
      </c>
      <c r="V11" s="30">
        <f>SUM($S$11:$U$11)</f>
        <v>0.89391151308207006</v>
      </c>
      <c r="W11" s="30">
        <f>'TE BE'!$AA$11*'TE BF'!$W$57</f>
        <v>0</v>
      </c>
      <c r="X11" s="30">
        <f>SUM($W$11:$W$11)</f>
        <v>0</v>
      </c>
      <c r="Y11" s="30">
        <f>'TE BE'!$Y$11*'TE BF'!$Y$57</f>
        <v>0.52428443218601661</v>
      </c>
      <c r="Z11" s="30">
        <f>SUM($Y$11:$Y$11)</f>
        <v>0.52428443218601661</v>
      </c>
      <c r="AA11" s="30">
        <f>SUMIF($L$4:$Z$4,"SUBTOTAL",$L$11:$Z$11)</f>
        <v>2.550418484508528</v>
      </c>
    </row>
    <row r="12" spans="1:27" ht="11.25" customHeight="1" x14ac:dyDescent="0.25">
      <c r="A12" s="130"/>
      <c r="B12" s="38" t="s">
        <v>96</v>
      </c>
      <c r="C12" s="38" t="s">
        <v>25</v>
      </c>
      <c r="D12" s="38" t="s">
        <v>25</v>
      </c>
      <c r="E12" s="38" t="s">
        <v>25</v>
      </c>
      <c r="F12" s="38" t="s">
        <v>25</v>
      </c>
      <c r="G12" s="32" t="s">
        <v>94</v>
      </c>
      <c r="H12" s="32" t="s">
        <v>88</v>
      </c>
      <c r="I12" s="32">
        <f>'MERCADO TE'!$U$9</f>
        <v>0</v>
      </c>
      <c r="J12" s="17"/>
      <c r="L12" s="30">
        <f>'TE BE'!$L$12*'TE BF'!$L$57</f>
        <v>0</v>
      </c>
      <c r="M12" s="30">
        <f>'TE BE'!$M$12*'TE BF'!$M$57</f>
        <v>-12.929924264192657</v>
      </c>
      <c r="N12" s="30">
        <f>'TE BE'!$N$12*'TE BF'!$N$57</f>
        <v>0</v>
      </c>
      <c r="O12" s="30">
        <f>'TE BE'!$O$12*'TE BF'!$O$57</f>
        <v>-5.843490859077864</v>
      </c>
      <c r="P12" s="30">
        <f>SUM($L$12:$O$12)</f>
        <v>-18.773415123270521</v>
      </c>
      <c r="Q12" s="30">
        <f>'TE BE'!$Q$12*'TE BF'!$Q$57</f>
        <v>21.099975922261621</v>
      </c>
      <c r="R12" s="30">
        <f>SUM($Q$12:$Q$12)</f>
        <v>21.099975922261621</v>
      </c>
      <c r="S12" s="30">
        <f>'TE BE'!$S$12*'TE BF'!$S$57</f>
        <v>0.63524552433182913</v>
      </c>
      <c r="T12" s="30">
        <f>'TE BE'!$T$12*'TE BF'!$T$57</f>
        <v>0.25866598875024099</v>
      </c>
      <c r="U12" s="30">
        <f>'TE BE'!$U$12*'TE BF'!$U$57</f>
        <v>0</v>
      </c>
      <c r="V12" s="30">
        <f>SUM($S$12:$U$12)</f>
        <v>0.89391151308207006</v>
      </c>
      <c r="W12" s="30">
        <f>'TE BE'!$AA$12*'TE BF'!$W$57</f>
        <v>0</v>
      </c>
      <c r="X12" s="30">
        <f>SUM($W$12:$W$12)</f>
        <v>0</v>
      </c>
      <c r="Y12" s="30">
        <f>'TE BE'!$Y$12*'TE BF'!$Y$57</f>
        <v>0.52428443218601661</v>
      </c>
      <c r="Z12" s="30">
        <f>SUM($Y$12:$Y$12)</f>
        <v>0.52428443218601661</v>
      </c>
      <c r="AA12" s="30">
        <f>SUMIF($L$4:$Z$4,"SUBTOTAL",$L$12:$Z$12)</f>
        <v>3.7447567442591865</v>
      </c>
    </row>
    <row r="13" spans="1:27" ht="11.25" customHeight="1" x14ac:dyDescent="0.25">
      <c r="A13" s="130" t="s">
        <v>44</v>
      </c>
      <c r="B13" s="130" t="s">
        <v>87</v>
      </c>
      <c r="C13" s="130" t="s">
        <v>25</v>
      </c>
      <c r="D13" s="130" t="s">
        <v>25</v>
      </c>
      <c r="E13" s="130" t="s">
        <v>25</v>
      </c>
      <c r="F13" s="130" t="s">
        <v>25</v>
      </c>
      <c r="G13" s="32" t="s">
        <v>89</v>
      </c>
      <c r="H13" s="32" t="s">
        <v>88</v>
      </c>
      <c r="I13" s="32">
        <f>'MERCADO TE'!$U$10</f>
        <v>34022.192000000003</v>
      </c>
      <c r="J13" s="17"/>
      <c r="L13" s="30">
        <f>'TE BE'!$L$13*'TE BF'!$L$57</f>
        <v>0</v>
      </c>
      <c r="M13" s="30">
        <f>'TE BE'!$M$13*'TE BF'!$M$57</f>
        <v>-12.929924264192657</v>
      </c>
      <c r="N13" s="30">
        <f>'TE BE'!$N$13*'TE BF'!$N$57</f>
        <v>0</v>
      </c>
      <c r="O13" s="30">
        <f>'TE BE'!$O$13*'TE BF'!$O$57</f>
        <v>-5.843490859077864</v>
      </c>
      <c r="P13" s="30">
        <f>SUM($L$13:$O$13)</f>
        <v>-18.773415123270521</v>
      </c>
      <c r="Q13" s="30">
        <f>'TE BE'!$Q$13*'TE BF'!$Q$57</f>
        <v>34.237696779518849</v>
      </c>
      <c r="R13" s="30">
        <f>SUM($Q$13:$Q$13)</f>
        <v>34.237696779518849</v>
      </c>
      <c r="S13" s="30">
        <f>'TE BE'!$S$13*'TE BF'!$S$57</f>
        <v>0.63524552433182913</v>
      </c>
      <c r="T13" s="30">
        <f>'TE BE'!$T$13*'TE BF'!$T$57</f>
        <v>0.25866598875024099</v>
      </c>
      <c r="U13" s="30">
        <f>'TE BE'!$U$13*'TE BF'!$U$57</f>
        <v>0</v>
      </c>
      <c r="V13" s="30">
        <f>SUM($S$13:$U$13)</f>
        <v>0.89391151308207006</v>
      </c>
      <c r="W13" s="30">
        <f>'TE BE'!$AA$13*'TE BF'!$W$57</f>
        <v>0</v>
      </c>
      <c r="X13" s="30">
        <f>SUM($W$13:$W$13)</f>
        <v>0</v>
      </c>
      <c r="Y13" s="30">
        <f>'TE BE'!$Y$13*'TE BF'!$Y$57</f>
        <v>0.52428443218601661</v>
      </c>
      <c r="Z13" s="30">
        <f>SUM($Y$13:$Y$13)</f>
        <v>0.52428443218601661</v>
      </c>
      <c r="AA13" s="30">
        <f>SUMIF($L$4:$Z$4,"SUBTOTAL",$L$13:$Z$13)</f>
        <v>16.882477601516417</v>
      </c>
    </row>
    <row r="14" spans="1:27" ht="11.25" customHeight="1" x14ac:dyDescent="0.25">
      <c r="A14" s="130"/>
      <c r="B14" s="130"/>
      <c r="C14" s="130"/>
      <c r="D14" s="130"/>
      <c r="E14" s="130"/>
      <c r="F14" s="130"/>
      <c r="G14" s="32" t="s">
        <v>90</v>
      </c>
      <c r="H14" s="32" t="s">
        <v>88</v>
      </c>
      <c r="I14" s="32">
        <f>'MERCADO TE'!$U$11</f>
        <v>338432.99999999994</v>
      </c>
      <c r="J14" s="17"/>
      <c r="L14" s="30">
        <f>'TE BE'!$L$14*'TE BF'!$L$57</f>
        <v>0</v>
      </c>
      <c r="M14" s="30">
        <f>'TE BE'!$M$14*'TE BF'!$M$57</f>
        <v>-12.929924264192657</v>
      </c>
      <c r="N14" s="30">
        <f>'TE BE'!$N$14*'TE BF'!$N$57</f>
        <v>0</v>
      </c>
      <c r="O14" s="30">
        <f>'TE BE'!$O$14*'TE BF'!$O$57</f>
        <v>-5.843490859077864</v>
      </c>
      <c r="P14" s="30">
        <f>SUM($L$14:$O$14)</f>
        <v>-18.773415123270521</v>
      </c>
      <c r="Q14" s="30">
        <f>'TE BE'!$Q$14*'TE BF'!$Q$57</f>
        <v>19.905637662510962</v>
      </c>
      <c r="R14" s="30">
        <f>SUM($Q$14:$Q$14)</f>
        <v>19.905637662510962</v>
      </c>
      <c r="S14" s="30">
        <f>'TE BE'!$S$14*'TE BF'!$S$57</f>
        <v>0.63524552433182913</v>
      </c>
      <c r="T14" s="30">
        <f>'TE BE'!$T$14*'TE BF'!$T$57</f>
        <v>0.25866598875024099</v>
      </c>
      <c r="U14" s="30">
        <f>'TE BE'!$U$14*'TE BF'!$U$57</f>
        <v>0</v>
      </c>
      <c r="V14" s="30">
        <f>SUM($S$14:$U$14)</f>
        <v>0.89391151308207006</v>
      </c>
      <c r="W14" s="30">
        <f>'TE BE'!$AA$14*'TE BF'!$W$57</f>
        <v>0</v>
      </c>
      <c r="X14" s="30">
        <f>SUM($W$14:$W$14)</f>
        <v>0</v>
      </c>
      <c r="Y14" s="30">
        <f>'TE BE'!$Y$14*'TE BF'!$Y$57</f>
        <v>0.52428443218601661</v>
      </c>
      <c r="Z14" s="30">
        <f>SUM($Y$14:$Y$14)</f>
        <v>0.52428443218601661</v>
      </c>
      <c r="AA14" s="30">
        <f>SUMIF($L$4:$Z$4,"SUBTOTAL",$L$14:$Z$14)</f>
        <v>2.550418484508528</v>
      </c>
    </row>
    <row r="15" spans="1:27" ht="11.25" customHeight="1" x14ac:dyDescent="0.25">
      <c r="A15" s="130"/>
      <c r="B15" s="38" t="s">
        <v>96</v>
      </c>
      <c r="C15" s="38" t="s">
        <v>25</v>
      </c>
      <c r="D15" s="38" t="s">
        <v>25</v>
      </c>
      <c r="E15" s="38" t="s">
        <v>25</v>
      </c>
      <c r="F15" s="38" t="s">
        <v>25</v>
      </c>
      <c r="G15" s="32" t="s">
        <v>94</v>
      </c>
      <c r="H15" s="32" t="s">
        <v>88</v>
      </c>
      <c r="I15" s="32">
        <f>'MERCADO TE'!$U$12</f>
        <v>0</v>
      </c>
      <c r="J15" s="17"/>
      <c r="L15" s="30">
        <f>'TE BE'!$L$15*'TE BF'!$L$57</f>
        <v>0</v>
      </c>
      <c r="M15" s="30">
        <f>'TE BE'!$M$15*'TE BF'!$M$57</f>
        <v>-12.929924264192657</v>
      </c>
      <c r="N15" s="30">
        <f>'TE BE'!$N$15*'TE BF'!$N$57</f>
        <v>0</v>
      </c>
      <c r="O15" s="30">
        <f>'TE BE'!$O$15*'TE BF'!$O$57</f>
        <v>-5.843490859077864</v>
      </c>
      <c r="P15" s="30">
        <f>SUM($L$15:$O$15)</f>
        <v>-18.773415123270521</v>
      </c>
      <c r="Q15" s="30">
        <f>'TE BE'!$Q$15*'TE BF'!$Q$57</f>
        <v>21.099975922261621</v>
      </c>
      <c r="R15" s="30">
        <f>SUM($Q$15:$Q$15)</f>
        <v>21.099975922261621</v>
      </c>
      <c r="S15" s="30">
        <f>'TE BE'!$S$15*'TE BF'!$S$57</f>
        <v>0.63524552433182913</v>
      </c>
      <c r="T15" s="30">
        <f>'TE BE'!$T$15*'TE BF'!$T$57</f>
        <v>0.25866598875024099</v>
      </c>
      <c r="U15" s="30">
        <f>'TE BE'!$U$15*'TE BF'!$U$57</f>
        <v>0</v>
      </c>
      <c r="V15" s="30">
        <f>SUM($S$15:$U$15)</f>
        <v>0.89391151308207006</v>
      </c>
      <c r="W15" s="30">
        <f>'TE BE'!$AA$15*'TE BF'!$W$57</f>
        <v>0</v>
      </c>
      <c r="X15" s="30">
        <f>SUM($W$15:$W$15)</f>
        <v>0</v>
      </c>
      <c r="Y15" s="30">
        <f>'TE BE'!$Y$15*'TE BF'!$Y$57</f>
        <v>0.52428443218601661</v>
      </c>
      <c r="Z15" s="30">
        <f>SUM($Y$15:$Y$15)</f>
        <v>0.52428443218601661</v>
      </c>
      <c r="AA15" s="30">
        <f>SUMIF($L$4:$Z$4,"SUBTOTAL",$L$15:$Z$15)</f>
        <v>3.7447567442591865</v>
      </c>
    </row>
    <row r="16" spans="1:27" ht="11.25" customHeight="1" x14ac:dyDescent="0.25">
      <c r="A16" s="130" t="s">
        <v>22</v>
      </c>
      <c r="B16" s="130" t="s">
        <v>87</v>
      </c>
      <c r="C16" s="130" t="s">
        <v>24</v>
      </c>
      <c r="D16" s="130" t="s">
        <v>24</v>
      </c>
      <c r="E16" s="130" t="s">
        <v>25</v>
      </c>
      <c r="F16" s="130" t="s">
        <v>25</v>
      </c>
      <c r="G16" s="32" t="s">
        <v>89</v>
      </c>
      <c r="H16" s="32" t="s">
        <v>88</v>
      </c>
      <c r="I16" s="32">
        <f>'MERCADO TE'!$U$13</f>
        <v>253.625</v>
      </c>
      <c r="J16" s="17"/>
      <c r="L16" s="30">
        <f>'TE BE'!$L$16*'TE BF'!$L$57</f>
        <v>0</v>
      </c>
      <c r="M16" s="30">
        <f>'TE BE'!$M$16*'TE BF'!$M$57</f>
        <v>-12.929924264192657</v>
      </c>
      <c r="N16" s="30">
        <f>'TE BE'!$N$16*'TE BF'!$N$57</f>
        <v>0</v>
      </c>
      <c r="O16" s="30">
        <f>'TE BE'!$O$16*'TE BF'!$O$57</f>
        <v>-5.843490859077864</v>
      </c>
      <c r="P16" s="30">
        <f>SUM($L$16:$O$16)</f>
        <v>-18.773415123270521</v>
      </c>
      <c r="Q16" s="30">
        <f>'TE BE'!$Q$16*'TE BF'!$Q$57</f>
        <v>34.237696779518849</v>
      </c>
      <c r="R16" s="30">
        <f>SUM($Q$16:$Q$16)</f>
        <v>34.237696779518849</v>
      </c>
      <c r="S16" s="30">
        <f>'TE BE'!$S$16*'TE BF'!$S$57</f>
        <v>0.63524552433182913</v>
      </c>
      <c r="T16" s="30">
        <f>'TE BE'!$T$16*'TE BF'!$T$57</f>
        <v>0.25866598875024099</v>
      </c>
      <c r="U16" s="30">
        <f>'TE BE'!$U$16*'TE BF'!$U$57</f>
        <v>0</v>
      </c>
      <c r="V16" s="30">
        <f>SUM($S$16:$U$16)</f>
        <v>0.89391151308207006</v>
      </c>
      <c r="W16" s="30">
        <f>'TE BE'!$AA$16*'TE BF'!$W$57</f>
        <v>0</v>
      </c>
      <c r="X16" s="30">
        <f>SUM($W$16:$W$16)</f>
        <v>0</v>
      </c>
      <c r="Y16" s="30">
        <f>'TE BE'!$Y$16*'TE BF'!$Y$57</f>
        <v>0.52428443218601661</v>
      </c>
      <c r="Z16" s="30">
        <f>SUM($Y$16:$Y$16)</f>
        <v>0.52428443218601661</v>
      </c>
      <c r="AA16" s="30">
        <f>SUMIF($L$4:$Z$4,"SUBTOTAL",$L$16:$Z$16)</f>
        <v>16.882477601516417</v>
      </c>
    </row>
    <row r="17" spans="1:27" ht="11.25" customHeight="1" x14ac:dyDescent="0.25">
      <c r="A17" s="130"/>
      <c r="B17" s="130"/>
      <c r="C17" s="130"/>
      <c r="D17" s="130"/>
      <c r="E17" s="130"/>
      <c r="F17" s="130"/>
      <c r="G17" s="32" t="s">
        <v>100</v>
      </c>
      <c r="H17" s="32" t="s">
        <v>88</v>
      </c>
      <c r="I17" s="32">
        <f>'MERCADO TE'!$U$14</f>
        <v>165.69400000000005</v>
      </c>
      <c r="J17" s="17"/>
      <c r="L17" s="30">
        <f>'TE BE'!$L$17*'TE BF'!$L$57</f>
        <v>0</v>
      </c>
      <c r="M17" s="30">
        <f>'TE BE'!$M$17*'TE BF'!$M$57</f>
        <v>-12.929924264192657</v>
      </c>
      <c r="N17" s="30">
        <f>'TE BE'!$N$17*'TE BF'!$N$57</f>
        <v>0</v>
      </c>
      <c r="O17" s="30">
        <f>'TE BE'!$O$17*'TE BF'!$O$57</f>
        <v>-5.843490859077864</v>
      </c>
      <c r="P17" s="30">
        <f>SUM($L$17:$O$17)</f>
        <v>-18.773415123270521</v>
      </c>
      <c r="Q17" s="30">
        <f>'TE BE'!$Q$17*'TE BF'!$Q$57</f>
        <v>19.905637662510962</v>
      </c>
      <c r="R17" s="30">
        <f>SUM($Q$17:$Q$17)</f>
        <v>19.905637662510962</v>
      </c>
      <c r="S17" s="30">
        <f>'TE BE'!$S$17*'TE BF'!$S$57</f>
        <v>0.63524552433182913</v>
      </c>
      <c r="T17" s="30">
        <f>'TE BE'!$T$17*'TE BF'!$T$57</f>
        <v>0.25866598875024099</v>
      </c>
      <c r="U17" s="30">
        <f>'TE BE'!$U$17*'TE BF'!$U$57</f>
        <v>0</v>
      </c>
      <c r="V17" s="30">
        <f>SUM($S$17:$U$17)</f>
        <v>0.89391151308207006</v>
      </c>
      <c r="W17" s="30">
        <f>'TE BE'!$AA$17*'TE BF'!$W$57</f>
        <v>0</v>
      </c>
      <c r="X17" s="30">
        <f>SUM($W$17:$W$17)</f>
        <v>0</v>
      </c>
      <c r="Y17" s="30">
        <f>'TE BE'!$Y$17*'TE BF'!$Y$57</f>
        <v>0.52428443218601661</v>
      </c>
      <c r="Z17" s="30">
        <f>SUM($Y$17:$Y$17)</f>
        <v>0.52428443218601661</v>
      </c>
      <c r="AA17" s="30">
        <f>SUMIF($L$4:$Z$4,"SUBTOTAL",$L$17:$Z$17)</f>
        <v>2.550418484508528</v>
      </c>
    </row>
    <row r="18" spans="1:27" ht="11.25" customHeight="1" x14ac:dyDescent="0.25">
      <c r="A18" s="130"/>
      <c r="B18" s="130"/>
      <c r="C18" s="130"/>
      <c r="D18" s="130"/>
      <c r="E18" s="130"/>
      <c r="F18" s="130"/>
      <c r="G18" s="32" t="s">
        <v>90</v>
      </c>
      <c r="H18" s="32" t="s">
        <v>88</v>
      </c>
      <c r="I18" s="32">
        <f>'MERCADO TE'!$U$15</f>
        <v>2116.5709999999999</v>
      </c>
      <c r="J18" s="17"/>
      <c r="L18" s="30">
        <f>'TE BE'!$L$18*'TE BF'!$L$57</f>
        <v>0</v>
      </c>
      <c r="M18" s="30">
        <f>'TE BE'!$M$18*'TE BF'!$M$57</f>
        <v>-12.929924264192657</v>
      </c>
      <c r="N18" s="30">
        <f>'TE BE'!$N$18*'TE BF'!$N$57</f>
        <v>0</v>
      </c>
      <c r="O18" s="30">
        <f>'TE BE'!$O$18*'TE BF'!$O$57</f>
        <v>-5.843490859077864</v>
      </c>
      <c r="P18" s="30">
        <f>SUM($L$18:$O$18)</f>
        <v>-18.773415123270521</v>
      </c>
      <c r="Q18" s="30">
        <f>'TE BE'!$Q$18*'TE BF'!$Q$57</f>
        <v>19.905637662510962</v>
      </c>
      <c r="R18" s="30">
        <f>SUM($Q$18:$Q$18)</f>
        <v>19.905637662510962</v>
      </c>
      <c r="S18" s="30">
        <f>'TE BE'!$S$18*'TE BF'!$S$57</f>
        <v>0.63524552433182913</v>
      </c>
      <c r="T18" s="30">
        <f>'TE BE'!$T$18*'TE BF'!$T$57</f>
        <v>0.25866598875024099</v>
      </c>
      <c r="U18" s="30">
        <f>'TE BE'!$U$18*'TE BF'!$U$57</f>
        <v>0</v>
      </c>
      <c r="V18" s="30">
        <f>SUM($S$18:$U$18)</f>
        <v>0.89391151308207006</v>
      </c>
      <c r="W18" s="30">
        <f>'TE BE'!$AA$18*'TE BF'!$W$57</f>
        <v>0</v>
      </c>
      <c r="X18" s="30">
        <f>SUM($W$18:$W$18)</f>
        <v>0</v>
      </c>
      <c r="Y18" s="30">
        <f>'TE BE'!$Y$18*'TE BF'!$Y$57</f>
        <v>0.52428443218601661</v>
      </c>
      <c r="Z18" s="30">
        <f>SUM($Y$18:$Y$18)</f>
        <v>0.52428443218601661</v>
      </c>
      <c r="AA18" s="30">
        <f>SUMIF($L$4:$Z$4,"SUBTOTAL",$L$18:$Z$18)</f>
        <v>2.550418484508528</v>
      </c>
    </row>
    <row r="19" spans="1:27" ht="11.25" customHeight="1" x14ac:dyDescent="0.25">
      <c r="A19" s="130"/>
      <c r="B19" s="130" t="s">
        <v>96</v>
      </c>
      <c r="C19" s="130" t="s">
        <v>24</v>
      </c>
      <c r="D19" s="38" t="s">
        <v>24</v>
      </c>
      <c r="E19" s="38" t="s">
        <v>25</v>
      </c>
      <c r="F19" s="38" t="s">
        <v>25</v>
      </c>
      <c r="G19" s="32" t="s">
        <v>94</v>
      </c>
      <c r="H19" s="32" t="s">
        <v>88</v>
      </c>
      <c r="I19" s="32">
        <f>'MERCADO TE'!$U$16</f>
        <v>2322476.7919999999</v>
      </c>
      <c r="J19" s="17"/>
      <c r="L19" s="30">
        <f>'TE BE'!$L$19*'TE BF'!$L$57</f>
        <v>0</v>
      </c>
      <c r="M19" s="30">
        <f>'TE BE'!$M$19*'TE BF'!$M$57</f>
        <v>-12.929924264192657</v>
      </c>
      <c r="N19" s="30">
        <f>'TE BE'!$N$19*'TE BF'!$N$57</f>
        <v>0</v>
      </c>
      <c r="O19" s="30">
        <f>'TE BE'!$O$19*'TE BF'!$O$57</f>
        <v>-5.843490859077864</v>
      </c>
      <c r="P19" s="30">
        <f>SUM($L$19:$O$19)</f>
        <v>-18.773415123270521</v>
      </c>
      <c r="Q19" s="30">
        <f>'TE BE'!$Q$19*'TE BF'!$Q$57</f>
        <v>21.099975922261621</v>
      </c>
      <c r="R19" s="30">
        <f>SUM($Q$19:$Q$19)</f>
        <v>21.099975922261621</v>
      </c>
      <c r="S19" s="30">
        <f>'TE BE'!$S$19*'TE BF'!$S$57</f>
        <v>0.63524552433182913</v>
      </c>
      <c r="T19" s="30">
        <f>'TE BE'!$T$19*'TE BF'!$T$57</f>
        <v>0.25866598875024099</v>
      </c>
      <c r="U19" s="30">
        <f>'TE BE'!$U$19*'TE BF'!$U$57</f>
        <v>0</v>
      </c>
      <c r="V19" s="30">
        <f>SUM($S$19:$U$19)</f>
        <v>0.89391151308207006</v>
      </c>
      <c r="W19" s="30">
        <f>'TE BE'!$AA$19*'TE BF'!$W$57</f>
        <v>0</v>
      </c>
      <c r="X19" s="30">
        <f>SUM($W$19:$W$19)</f>
        <v>0</v>
      </c>
      <c r="Y19" s="30">
        <f>'TE BE'!$Y$19*'TE BF'!$Y$57</f>
        <v>0.52428443218601661</v>
      </c>
      <c r="Z19" s="30">
        <f>SUM($Y$19:$Y$19)</f>
        <v>0.52428443218601661</v>
      </c>
      <c r="AA19" s="30">
        <f>SUMIF($L$4:$Z$4,"SUBTOTAL",$L$19:$Z$19)</f>
        <v>3.7447567442591865</v>
      </c>
    </row>
    <row r="20" spans="1:27" ht="11.25" customHeight="1" x14ac:dyDescent="0.25">
      <c r="A20" s="130"/>
      <c r="B20" s="130"/>
      <c r="C20" s="130"/>
      <c r="D20" s="38" t="s">
        <v>29</v>
      </c>
      <c r="E20" s="38" t="s">
        <v>25</v>
      </c>
      <c r="F20" s="38" t="s">
        <v>25</v>
      </c>
      <c r="G20" s="32" t="s">
        <v>94</v>
      </c>
      <c r="H20" s="32" t="s">
        <v>88</v>
      </c>
      <c r="I20" s="32">
        <f>'MERCADO TE'!$U$17</f>
        <v>3506.9700000000003</v>
      </c>
      <c r="J20" s="17"/>
      <c r="L20" s="30">
        <f>'TE BE'!$L$20*'TE BF'!$L$57</f>
        <v>0</v>
      </c>
      <c r="M20" s="30">
        <f>'TE BE'!$M$20*'TE BF'!$M$57</f>
        <v>-12.929924264192657</v>
      </c>
      <c r="N20" s="30">
        <f>'TE BE'!$N$20*'TE BF'!$N$57</f>
        <v>0</v>
      </c>
      <c r="O20" s="30">
        <f>'TE BE'!$O$20*'TE BF'!$O$57</f>
        <v>-5.843490859077864</v>
      </c>
      <c r="P20" s="30">
        <f>SUM($L$20:$O$20)</f>
        <v>-18.773415123270521</v>
      </c>
      <c r="Q20" s="30">
        <f>'TE BE'!$Q$20*'TE BF'!$Q$57</f>
        <v>21.099975922261621</v>
      </c>
      <c r="R20" s="30">
        <f>SUM($Q$20:$Q$20)</f>
        <v>21.099975922261621</v>
      </c>
      <c r="S20" s="30">
        <f>'TE BE'!$S$20*'TE BF'!$S$57</f>
        <v>0.63524552433182913</v>
      </c>
      <c r="T20" s="30">
        <f>'TE BE'!$T$20*'TE BF'!$T$57</f>
        <v>0.25866598875024099</v>
      </c>
      <c r="U20" s="30">
        <f>'TE BE'!$U$20*'TE BF'!$U$57</f>
        <v>0</v>
      </c>
      <c r="V20" s="30">
        <f>SUM($S$20:$U$20)</f>
        <v>0.89391151308207006</v>
      </c>
      <c r="W20" s="30">
        <f>'TE BE'!$AA$20*'TE BF'!$W$57</f>
        <v>0</v>
      </c>
      <c r="X20" s="30">
        <f>SUM($W$20:$W$20)</f>
        <v>0</v>
      </c>
      <c r="Y20" s="30">
        <f>'TE BE'!$Y$20*'TE BF'!$Y$57</f>
        <v>0.52428443218601661</v>
      </c>
      <c r="Z20" s="30">
        <f>SUM($Y$20:$Y$20)</f>
        <v>0.52428443218601661</v>
      </c>
      <c r="AA20" s="30">
        <f>SUMIF($L$4:$Z$4,"SUBTOTAL",$L$20:$Z$20)</f>
        <v>3.7447567442591865</v>
      </c>
    </row>
    <row r="21" spans="1:27" ht="11.25" customHeight="1" x14ac:dyDescent="0.25">
      <c r="A21" s="130"/>
      <c r="B21" s="130"/>
      <c r="C21" s="130"/>
      <c r="D21" s="38" t="s">
        <v>30</v>
      </c>
      <c r="E21" s="38" t="s">
        <v>25</v>
      </c>
      <c r="F21" s="38" t="s">
        <v>25</v>
      </c>
      <c r="G21" s="32" t="s">
        <v>94</v>
      </c>
      <c r="H21" s="32" t="s">
        <v>88</v>
      </c>
      <c r="I21" s="32">
        <f>'MERCADO TE'!$U$18</f>
        <v>7395.655999999999</v>
      </c>
      <c r="J21" s="17"/>
      <c r="L21" s="30">
        <f>'TE BE'!$L$21*'TE BF'!$L$57</f>
        <v>0</v>
      </c>
      <c r="M21" s="30">
        <f>'TE BE'!$M$21*'TE BF'!$M$57</f>
        <v>-12.929924264192657</v>
      </c>
      <c r="N21" s="30">
        <f>'TE BE'!$N$21*'TE BF'!$N$57</f>
        <v>0</v>
      </c>
      <c r="O21" s="30">
        <f>'TE BE'!$O$21*'TE BF'!$O$57</f>
        <v>-5.843490859077864</v>
      </c>
      <c r="P21" s="30">
        <f>SUM($L$21:$O$21)</f>
        <v>-18.773415123270521</v>
      </c>
      <c r="Q21" s="30">
        <f>'TE BE'!$Q$21*'TE BF'!$Q$57</f>
        <v>21.099975922261621</v>
      </c>
      <c r="R21" s="30">
        <f>SUM($Q$21:$Q$21)</f>
        <v>21.099975922261621</v>
      </c>
      <c r="S21" s="30">
        <f>'TE BE'!$S$21*'TE BF'!$S$57</f>
        <v>0.63524552433182913</v>
      </c>
      <c r="T21" s="30">
        <f>'TE BE'!$T$21*'TE BF'!$T$57</f>
        <v>0.25866598875024099</v>
      </c>
      <c r="U21" s="30">
        <f>'TE BE'!$U$21*'TE BF'!$U$57</f>
        <v>0</v>
      </c>
      <c r="V21" s="30">
        <f>SUM($S$21:$U$21)</f>
        <v>0.89391151308207006</v>
      </c>
      <c r="W21" s="30">
        <f>'TE BE'!$AA$21*'TE BF'!$W$57</f>
        <v>0</v>
      </c>
      <c r="X21" s="30">
        <f>SUM($W$21:$W$21)</f>
        <v>0</v>
      </c>
      <c r="Y21" s="30">
        <f>'TE BE'!$Y$21*'TE BF'!$Y$57</f>
        <v>0.52428443218601661</v>
      </c>
      <c r="Z21" s="30">
        <f>SUM($Y$21:$Y$21)</f>
        <v>0.52428443218601661</v>
      </c>
      <c r="AA21" s="30">
        <f>SUMIF($L$4:$Z$4,"SUBTOTAL",$L$21:$Z$21)</f>
        <v>3.7447567442591865</v>
      </c>
    </row>
    <row r="22" spans="1:27" ht="11.25" customHeight="1" x14ac:dyDescent="0.25">
      <c r="A22" s="130"/>
      <c r="B22" s="130"/>
      <c r="C22" s="130"/>
      <c r="D22" s="38" t="s">
        <v>31</v>
      </c>
      <c r="E22" s="38" t="s">
        <v>25</v>
      </c>
      <c r="F22" s="38" t="s">
        <v>25</v>
      </c>
      <c r="G22" s="32" t="s">
        <v>94</v>
      </c>
      <c r="H22" s="32" t="s">
        <v>88</v>
      </c>
      <c r="I22" s="32">
        <f>'MERCADO TE'!$U$19</f>
        <v>7295.3609999999999</v>
      </c>
      <c r="J22" s="17"/>
      <c r="L22" s="30">
        <f>'TE BE'!$L$22*'TE BF'!$L$57</f>
        <v>0</v>
      </c>
      <c r="M22" s="30">
        <f>'TE BE'!$M$22*'TE BF'!$M$57</f>
        <v>-12.929924264192657</v>
      </c>
      <c r="N22" s="30">
        <f>'TE BE'!$N$22*'TE BF'!$N$57</f>
        <v>0</v>
      </c>
      <c r="O22" s="30">
        <f>'TE BE'!$O$22*'TE BF'!$O$57</f>
        <v>-5.843490859077864</v>
      </c>
      <c r="P22" s="30">
        <f>SUM($L$22:$O$22)</f>
        <v>-18.773415123270521</v>
      </c>
      <c r="Q22" s="30">
        <f>'TE BE'!$Q$22*'TE BF'!$Q$57</f>
        <v>21.099975922261621</v>
      </c>
      <c r="R22" s="30">
        <f>SUM($Q$22:$Q$22)</f>
        <v>21.099975922261621</v>
      </c>
      <c r="S22" s="30">
        <f>'TE BE'!$S$22*'TE BF'!$S$57</f>
        <v>0.63524552433182913</v>
      </c>
      <c r="T22" s="30">
        <f>'TE BE'!$T$22*'TE BF'!$T$57</f>
        <v>0.25866598875024099</v>
      </c>
      <c r="U22" s="30">
        <f>'TE BE'!$U$22*'TE BF'!$U$57</f>
        <v>0</v>
      </c>
      <c r="V22" s="30">
        <f>SUM($S$22:$U$22)</f>
        <v>0.89391151308207006</v>
      </c>
      <c r="W22" s="30">
        <f>'TE BE'!$AA$22*'TE BF'!$W$57</f>
        <v>0</v>
      </c>
      <c r="X22" s="30">
        <f>SUM($W$22:$W$22)</f>
        <v>0</v>
      </c>
      <c r="Y22" s="30">
        <f>'TE BE'!$Y$22*'TE BF'!$Y$57</f>
        <v>0.52428443218601661</v>
      </c>
      <c r="Z22" s="30">
        <f>SUM($Y$22:$Y$22)</f>
        <v>0.52428443218601661</v>
      </c>
      <c r="AA22" s="30">
        <f>SUMIF($L$4:$Z$4,"SUBTOTAL",$L$22:$Z$22)</f>
        <v>3.7447567442591865</v>
      </c>
    </row>
    <row r="23" spans="1:27" ht="11.25" customHeight="1" x14ac:dyDescent="0.25">
      <c r="A23" s="130"/>
      <c r="B23" s="130"/>
      <c r="C23" s="130"/>
      <c r="D23" s="38" t="s">
        <v>32</v>
      </c>
      <c r="E23" s="38" t="s">
        <v>25</v>
      </c>
      <c r="F23" s="38" t="s">
        <v>25</v>
      </c>
      <c r="G23" s="32" t="s">
        <v>94</v>
      </c>
      <c r="H23" s="32" t="s">
        <v>88</v>
      </c>
      <c r="I23" s="32">
        <f>'MERCADO TE'!$U$20</f>
        <v>2602.4059999999999</v>
      </c>
      <c r="J23" s="17"/>
      <c r="L23" s="30">
        <f>'TE BE'!$L$23*'TE BF'!$L$57</f>
        <v>0</v>
      </c>
      <c r="M23" s="30">
        <f>'TE BE'!$M$23*'TE BF'!$M$57</f>
        <v>-12.929924264192657</v>
      </c>
      <c r="N23" s="30">
        <f>'TE BE'!$N$23*'TE BF'!$N$57</f>
        <v>0</v>
      </c>
      <c r="O23" s="30">
        <f>'TE BE'!$O$23*'TE BF'!$O$57</f>
        <v>-5.843490859077864</v>
      </c>
      <c r="P23" s="30">
        <f>SUM($L$23:$O$23)</f>
        <v>-18.773415123270521</v>
      </c>
      <c r="Q23" s="30">
        <f>'TE BE'!$Q$23*'TE BF'!$Q$57</f>
        <v>21.099975922261621</v>
      </c>
      <c r="R23" s="30">
        <f>SUM($Q$23:$Q$23)</f>
        <v>21.099975922261621</v>
      </c>
      <c r="S23" s="30">
        <f>'TE BE'!$S$23*'TE BF'!$S$57</f>
        <v>0.63524552433182913</v>
      </c>
      <c r="T23" s="30">
        <f>'TE BE'!$T$23*'TE BF'!$T$57</f>
        <v>0.25866598875024099</v>
      </c>
      <c r="U23" s="30">
        <f>'TE BE'!$U$23*'TE BF'!$U$57</f>
        <v>0</v>
      </c>
      <c r="V23" s="30">
        <f>SUM($S$23:$U$23)</f>
        <v>0.89391151308207006</v>
      </c>
      <c r="W23" s="30">
        <f>'TE BE'!$AA$23*'TE BF'!$W$57</f>
        <v>0</v>
      </c>
      <c r="X23" s="30">
        <f>SUM($W$23:$W$23)</f>
        <v>0</v>
      </c>
      <c r="Y23" s="30">
        <f>'TE BE'!$Y$23*'TE BF'!$Y$57</f>
        <v>0.52428443218601661</v>
      </c>
      <c r="Z23" s="30">
        <f>SUM($Y$23:$Y$23)</f>
        <v>0.52428443218601661</v>
      </c>
      <c r="AA23" s="30">
        <f>SUMIF($L$4:$Z$4,"SUBTOTAL",$L$23:$Z$23)</f>
        <v>3.7447567442591865</v>
      </c>
    </row>
    <row r="24" spans="1:27" ht="11.25" customHeight="1" x14ac:dyDescent="0.25">
      <c r="A24" s="130"/>
      <c r="B24" s="130" t="s">
        <v>101</v>
      </c>
      <c r="C24" s="130" t="s">
        <v>24</v>
      </c>
      <c r="D24" s="38" t="s">
        <v>24</v>
      </c>
      <c r="E24" s="38" t="s">
        <v>25</v>
      </c>
      <c r="F24" s="38" t="s">
        <v>25</v>
      </c>
      <c r="G24" s="32" t="s">
        <v>94</v>
      </c>
      <c r="H24" s="32" t="s">
        <v>88</v>
      </c>
      <c r="I24" s="32">
        <f>'MERCADO TE'!$U$21</f>
        <v>0</v>
      </c>
      <c r="J24" s="17"/>
      <c r="L24" s="30">
        <f>'TE BE'!$L$24*'TE BF'!$L$57</f>
        <v>0</v>
      </c>
      <c r="M24" s="30">
        <f>'TE BE'!$M$24*'TE BF'!$M$57</f>
        <v>-12.929924264192657</v>
      </c>
      <c r="N24" s="30">
        <f>'TE BE'!$N$24*'TE BF'!$N$57</f>
        <v>0</v>
      </c>
      <c r="O24" s="30">
        <f>'TE BE'!$O$24*'TE BF'!$O$57</f>
        <v>-5.843490859077864</v>
      </c>
      <c r="P24" s="30">
        <f>SUM($L$24:$O$24)</f>
        <v>-18.773415123270521</v>
      </c>
      <c r="Q24" s="30">
        <f>'TE BE'!$Q$24*'TE BF'!$Q$57</f>
        <v>21.099975922261621</v>
      </c>
      <c r="R24" s="30">
        <f>SUM($Q$24:$Q$24)</f>
        <v>21.099975922261621</v>
      </c>
      <c r="S24" s="30">
        <f>'TE BE'!$S$24*'TE BF'!$S$57</f>
        <v>0.63524552433182913</v>
      </c>
      <c r="T24" s="30">
        <f>'TE BE'!$T$24*'TE BF'!$T$57</f>
        <v>0.25866598875024099</v>
      </c>
      <c r="U24" s="30">
        <f>'TE BE'!$U$24*'TE BF'!$U$57</f>
        <v>0</v>
      </c>
      <c r="V24" s="30">
        <f>SUM($S$24:$U$24)</f>
        <v>0.89391151308207006</v>
      </c>
      <c r="W24" s="30">
        <f>'TE BE'!$AA$24*'TE BF'!$W$57</f>
        <v>0</v>
      </c>
      <c r="X24" s="30">
        <f>SUM($W$24:$W$24)</f>
        <v>0</v>
      </c>
      <c r="Y24" s="30">
        <f>'TE BE'!$Y$24*'TE BF'!$Y$57</f>
        <v>0.52428443218601661</v>
      </c>
      <c r="Z24" s="30">
        <f>SUM($Y$24:$Y$24)</f>
        <v>0.52428443218601661</v>
      </c>
      <c r="AA24" s="30">
        <f>SUMIF($L$4:$Z$4,"SUBTOTAL",$L$24:$Z$24)</f>
        <v>3.7447567442591865</v>
      </c>
    </row>
    <row r="25" spans="1:27" ht="11.25" customHeight="1" x14ac:dyDescent="0.25">
      <c r="A25" s="130"/>
      <c r="B25" s="130"/>
      <c r="C25" s="130"/>
      <c r="D25" s="38" t="s">
        <v>29</v>
      </c>
      <c r="E25" s="38" t="s">
        <v>25</v>
      </c>
      <c r="F25" s="38" t="s">
        <v>25</v>
      </c>
      <c r="G25" s="32" t="s">
        <v>94</v>
      </c>
      <c r="H25" s="32" t="s">
        <v>88</v>
      </c>
      <c r="I25" s="32">
        <f>'MERCADO TE'!$U$22</f>
        <v>0</v>
      </c>
      <c r="J25" s="17"/>
      <c r="L25" s="30">
        <f>'TE BE'!$L$25*'TE BF'!$L$57</f>
        <v>0</v>
      </c>
      <c r="M25" s="30">
        <f>'TE BE'!$M$25*'TE BF'!$M$57</f>
        <v>-12.929924264192657</v>
      </c>
      <c r="N25" s="30">
        <f>'TE BE'!$N$25*'TE BF'!$N$57</f>
        <v>0</v>
      </c>
      <c r="O25" s="30">
        <f>'TE BE'!$O$25*'TE BF'!$O$57</f>
        <v>-5.843490859077864</v>
      </c>
      <c r="P25" s="30">
        <f>SUM($L$25:$O$25)</f>
        <v>-18.773415123270521</v>
      </c>
      <c r="Q25" s="30">
        <f>'TE BE'!$Q$25*'TE BF'!$Q$57</f>
        <v>21.099975922261621</v>
      </c>
      <c r="R25" s="30">
        <f>SUM($Q$25:$Q$25)</f>
        <v>21.099975922261621</v>
      </c>
      <c r="S25" s="30">
        <f>'TE BE'!$S$25*'TE BF'!$S$57</f>
        <v>0.63524552433182913</v>
      </c>
      <c r="T25" s="30">
        <f>'TE BE'!$T$25*'TE BF'!$T$57</f>
        <v>0.25866598875024099</v>
      </c>
      <c r="U25" s="30">
        <f>'TE BE'!$U$25*'TE BF'!$U$57</f>
        <v>0</v>
      </c>
      <c r="V25" s="30">
        <f>SUM($S$25:$U$25)</f>
        <v>0.89391151308207006</v>
      </c>
      <c r="W25" s="30">
        <f>'TE BE'!$AA$25*'TE BF'!$W$57</f>
        <v>0</v>
      </c>
      <c r="X25" s="30">
        <f>SUM($W$25:$W$25)</f>
        <v>0</v>
      </c>
      <c r="Y25" s="30">
        <f>'TE BE'!$Y$25*'TE BF'!$Y$57</f>
        <v>0.52428443218601661</v>
      </c>
      <c r="Z25" s="30">
        <f>SUM($Y$25:$Y$25)</f>
        <v>0.52428443218601661</v>
      </c>
      <c r="AA25" s="30">
        <f>SUMIF($L$4:$Z$4,"SUBTOTAL",$L$25:$Z$25)</f>
        <v>3.7447567442591865</v>
      </c>
    </row>
    <row r="26" spans="1:27" ht="11.25" customHeight="1" x14ac:dyDescent="0.25">
      <c r="A26" s="130"/>
      <c r="B26" s="130"/>
      <c r="C26" s="130"/>
      <c r="D26" s="38" t="s">
        <v>30</v>
      </c>
      <c r="E26" s="38" t="s">
        <v>25</v>
      </c>
      <c r="F26" s="38" t="s">
        <v>25</v>
      </c>
      <c r="G26" s="32" t="s">
        <v>94</v>
      </c>
      <c r="H26" s="32" t="s">
        <v>88</v>
      </c>
      <c r="I26" s="32">
        <f>'MERCADO TE'!$U$23</f>
        <v>0</v>
      </c>
      <c r="J26" s="17"/>
      <c r="L26" s="30">
        <f>'TE BE'!$L$26*'TE BF'!$L$57</f>
        <v>0</v>
      </c>
      <c r="M26" s="30">
        <f>'TE BE'!$M$26*'TE BF'!$M$57</f>
        <v>-12.929924264192657</v>
      </c>
      <c r="N26" s="30">
        <f>'TE BE'!$N$26*'TE BF'!$N$57</f>
        <v>0</v>
      </c>
      <c r="O26" s="30">
        <f>'TE BE'!$O$26*'TE BF'!$O$57</f>
        <v>-5.843490859077864</v>
      </c>
      <c r="P26" s="30">
        <f>SUM($L$26:$O$26)</f>
        <v>-18.773415123270521</v>
      </c>
      <c r="Q26" s="30">
        <f>'TE BE'!$Q$26*'TE BF'!$Q$57</f>
        <v>21.099975922261621</v>
      </c>
      <c r="R26" s="30">
        <f>SUM($Q$26:$Q$26)</f>
        <v>21.099975922261621</v>
      </c>
      <c r="S26" s="30">
        <f>'TE BE'!$S$26*'TE BF'!$S$57</f>
        <v>0.63524552433182913</v>
      </c>
      <c r="T26" s="30">
        <f>'TE BE'!$T$26*'TE BF'!$T$57</f>
        <v>0.25866598875024099</v>
      </c>
      <c r="U26" s="30">
        <f>'TE BE'!$U$26*'TE BF'!$U$57</f>
        <v>0</v>
      </c>
      <c r="V26" s="30">
        <f>SUM($S$26:$U$26)</f>
        <v>0.89391151308207006</v>
      </c>
      <c r="W26" s="30">
        <f>'TE BE'!$AA$26*'TE BF'!$W$57</f>
        <v>0</v>
      </c>
      <c r="X26" s="30">
        <f>SUM($W$26:$W$26)</f>
        <v>0</v>
      </c>
      <c r="Y26" s="30">
        <f>'TE BE'!$Y$26*'TE BF'!$Y$57</f>
        <v>0.52428443218601661</v>
      </c>
      <c r="Z26" s="30">
        <f>SUM($Y$26:$Y$26)</f>
        <v>0.52428443218601661</v>
      </c>
      <c r="AA26" s="30">
        <f>SUMIF($L$4:$Z$4,"SUBTOTAL",$L$26:$Z$26)</f>
        <v>3.7447567442591865</v>
      </c>
    </row>
    <row r="27" spans="1:27" ht="11.25" customHeight="1" x14ac:dyDescent="0.25">
      <c r="A27" s="130"/>
      <c r="B27" s="130"/>
      <c r="C27" s="130"/>
      <c r="D27" s="38" t="s">
        <v>31</v>
      </c>
      <c r="E27" s="38" t="s">
        <v>25</v>
      </c>
      <c r="F27" s="38" t="s">
        <v>25</v>
      </c>
      <c r="G27" s="32" t="s">
        <v>94</v>
      </c>
      <c r="H27" s="32" t="s">
        <v>88</v>
      </c>
      <c r="I27" s="32">
        <f>'MERCADO TE'!$U$24</f>
        <v>0</v>
      </c>
      <c r="J27" s="17"/>
      <c r="L27" s="30">
        <f>'TE BE'!$L$27*'TE BF'!$L$57</f>
        <v>0</v>
      </c>
      <c r="M27" s="30">
        <f>'TE BE'!$M$27*'TE BF'!$M$57</f>
        <v>-12.929924264192657</v>
      </c>
      <c r="N27" s="30">
        <f>'TE BE'!$N$27*'TE BF'!$N$57</f>
        <v>0</v>
      </c>
      <c r="O27" s="30">
        <f>'TE BE'!$O$27*'TE BF'!$O$57</f>
        <v>-5.843490859077864</v>
      </c>
      <c r="P27" s="30">
        <f>SUM($L$27:$O$27)</f>
        <v>-18.773415123270521</v>
      </c>
      <c r="Q27" s="30">
        <f>'TE BE'!$Q$27*'TE BF'!$Q$57</f>
        <v>21.099975922261621</v>
      </c>
      <c r="R27" s="30">
        <f>SUM($Q$27:$Q$27)</f>
        <v>21.099975922261621</v>
      </c>
      <c r="S27" s="30">
        <f>'TE BE'!$S$27*'TE BF'!$S$57</f>
        <v>0.63524552433182913</v>
      </c>
      <c r="T27" s="30">
        <f>'TE BE'!$T$27*'TE BF'!$T$57</f>
        <v>0.25866598875024099</v>
      </c>
      <c r="U27" s="30">
        <f>'TE BE'!$U$27*'TE BF'!$U$57</f>
        <v>0</v>
      </c>
      <c r="V27" s="30">
        <f>SUM($S$27:$U$27)</f>
        <v>0.89391151308207006</v>
      </c>
      <c r="W27" s="30">
        <f>'TE BE'!$AA$27*'TE BF'!$W$57</f>
        <v>0</v>
      </c>
      <c r="X27" s="30">
        <f>SUM($W$27:$W$27)</f>
        <v>0</v>
      </c>
      <c r="Y27" s="30">
        <f>'TE BE'!$Y$27*'TE BF'!$Y$57</f>
        <v>0.52428443218601661</v>
      </c>
      <c r="Z27" s="30">
        <f>SUM($Y$27:$Y$27)</f>
        <v>0.52428443218601661</v>
      </c>
      <c r="AA27" s="30">
        <f>SUMIF($L$4:$Z$4,"SUBTOTAL",$L$27:$Z$27)</f>
        <v>3.7447567442591865</v>
      </c>
    </row>
    <row r="28" spans="1:27" ht="11.25" customHeight="1" x14ac:dyDescent="0.25">
      <c r="A28" s="130"/>
      <c r="B28" s="130"/>
      <c r="C28" s="130"/>
      <c r="D28" s="38" t="s">
        <v>32</v>
      </c>
      <c r="E28" s="38" t="s">
        <v>25</v>
      </c>
      <c r="F28" s="38" t="s">
        <v>25</v>
      </c>
      <c r="G28" s="32" t="s">
        <v>94</v>
      </c>
      <c r="H28" s="32" t="s">
        <v>88</v>
      </c>
      <c r="I28" s="32">
        <f>'MERCADO TE'!$U$25</f>
        <v>0</v>
      </c>
      <c r="J28" s="17"/>
      <c r="L28" s="30">
        <f>'TE BE'!$L$28*'TE BF'!$L$57</f>
        <v>0</v>
      </c>
      <c r="M28" s="30">
        <f>'TE BE'!$M$28*'TE BF'!$M$57</f>
        <v>-12.929924264192657</v>
      </c>
      <c r="N28" s="30">
        <f>'TE BE'!$N$28*'TE BF'!$N$57</f>
        <v>0</v>
      </c>
      <c r="O28" s="30">
        <f>'TE BE'!$O$28*'TE BF'!$O$57</f>
        <v>-5.843490859077864</v>
      </c>
      <c r="P28" s="30">
        <f>SUM($L$28:$O$28)</f>
        <v>-18.773415123270521</v>
      </c>
      <c r="Q28" s="30">
        <f>'TE BE'!$Q$28*'TE BF'!$Q$57</f>
        <v>21.099975922261621</v>
      </c>
      <c r="R28" s="30">
        <f>SUM($Q$28:$Q$28)</f>
        <v>21.099975922261621</v>
      </c>
      <c r="S28" s="30">
        <f>'TE BE'!$S$28*'TE BF'!$S$57</f>
        <v>0.63524552433182913</v>
      </c>
      <c r="T28" s="30">
        <f>'TE BE'!$T$28*'TE BF'!$T$57</f>
        <v>0.25866598875024099</v>
      </c>
      <c r="U28" s="30">
        <f>'TE BE'!$U$28*'TE BF'!$U$57</f>
        <v>0</v>
      </c>
      <c r="V28" s="30">
        <f>SUM($S$28:$U$28)</f>
        <v>0.89391151308207006</v>
      </c>
      <c r="W28" s="30">
        <f>'TE BE'!$AA$28*'TE BF'!$W$57</f>
        <v>0</v>
      </c>
      <c r="X28" s="30">
        <f>SUM($W$28:$W$28)</f>
        <v>0</v>
      </c>
      <c r="Y28" s="30">
        <f>'TE BE'!$Y$28*'TE BF'!$Y$57</f>
        <v>0.52428443218601661</v>
      </c>
      <c r="Z28" s="30">
        <f>SUM($Y$28:$Y$28)</f>
        <v>0.52428443218601661</v>
      </c>
      <c r="AA28" s="30">
        <f>SUMIF($L$4:$Z$4,"SUBTOTAL",$L$28:$Z$28)</f>
        <v>3.7447567442591865</v>
      </c>
    </row>
    <row r="29" spans="1:27" ht="11.25" customHeight="1" x14ac:dyDescent="0.25">
      <c r="A29" s="130" t="s">
        <v>46</v>
      </c>
      <c r="B29" s="130" t="s">
        <v>87</v>
      </c>
      <c r="C29" s="130" t="s">
        <v>47</v>
      </c>
      <c r="D29" s="130" t="s">
        <v>25</v>
      </c>
      <c r="E29" s="130" t="s">
        <v>25</v>
      </c>
      <c r="F29" s="130" t="s">
        <v>25</v>
      </c>
      <c r="G29" s="32" t="s">
        <v>89</v>
      </c>
      <c r="H29" s="32" t="s">
        <v>88</v>
      </c>
      <c r="I29" s="32">
        <f>'MERCADO TE'!$U$26</f>
        <v>1.0549999999999999</v>
      </c>
      <c r="J29" s="17"/>
      <c r="L29" s="30">
        <f>'TE BE'!$L$29*'TE BF'!$L$57</f>
        <v>0</v>
      </c>
      <c r="M29" s="30">
        <f>'TE BE'!$M$29*'TE BF'!$M$57</f>
        <v>-12.929924264192657</v>
      </c>
      <c r="N29" s="30">
        <f>'TE BE'!$N$29*'TE BF'!$N$57</f>
        <v>0</v>
      </c>
      <c r="O29" s="30">
        <f>'TE BE'!$O$29*'TE BF'!$O$57</f>
        <v>-5.843490859077864</v>
      </c>
      <c r="P29" s="30">
        <f>SUM($L$29:$O$29)</f>
        <v>-18.773415123270521</v>
      </c>
      <c r="Q29" s="30">
        <f>'TE BE'!$Q$29*'TE BF'!$Q$57</f>
        <v>34.237696779518849</v>
      </c>
      <c r="R29" s="30">
        <f>SUM($Q$29:$Q$29)</f>
        <v>34.237696779518849</v>
      </c>
      <c r="S29" s="30">
        <f>'TE BE'!$S$29*'TE BF'!$S$57</f>
        <v>0.63524552433182913</v>
      </c>
      <c r="T29" s="30">
        <f>'TE BE'!$T$29*'TE BF'!$T$57</f>
        <v>0.25866598875024099</v>
      </c>
      <c r="U29" s="30">
        <f>'TE BE'!$U$29*'TE BF'!$U$57</f>
        <v>0</v>
      </c>
      <c r="V29" s="30">
        <f>SUM($S$29:$U$29)</f>
        <v>0.89391151308207006</v>
      </c>
      <c r="W29" s="30">
        <f>'TE BE'!$AA$29*'TE BF'!$W$57</f>
        <v>0</v>
      </c>
      <c r="X29" s="30">
        <f>SUM($W$29:$W$29)</f>
        <v>0</v>
      </c>
      <c r="Y29" s="30">
        <f>'TE BE'!$Y$29*'TE BF'!$Y$57</f>
        <v>0.52428443218601661</v>
      </c>
      <c r="Z29" s="30">
        <f>SUM($Y$29:$Y$29)</f>
        <v>0.52428443218601661</v>
      </c>
      <c r="AA29" s="30">
        <f>SUMIF($L$4:$Z$4,"SUBTOTAL",$L$29:$Z$29)</f>
        <v>16.882477601516417</v>
      </c>
    </row>
    <row r="30" spans="1:27" ht="11.25" customHeight="1" x14ac:dyDescent="0.25">
      <c r="A30" s="130"/>
      <c r="B30" s="130"/>
      <c r="C30" s="130"/>
      <c r="D30" s="130"/>
      <c r="E30" s="130"/>
      <c r="F30" s="130"/>
      <c r="G30" s="32" t="s">
        <v>100</v>
      </c>
      <c r="H30" s="32" t="s">
        <v>88</v>
      </c>
      <c r="I30" s="32">
        <f>'MERCADO TE'!$U$27</f>
        <v>0.57700000000000007</v>
      </c>
      <c r="J30" s="17"/>
      <c r="L30" s="30">
        <f>'TE BE'!$L$30*'TE BF'!$L$57</f>
        <v>0</v>
      </c>
      <c r="M30" s="30">
        <f>'TE BE'!$M$30*'TE BF'!$M$57</f>
        <v>-12.929924264192657</v>
      </c>
      <c r="N30" s="30">
        <f>'TE BE'!$N$30*'TE BF'!$N$57</f>
        <v>0</v>
      </c>
      <c r="O30" s="30">
        <f>'TE BE'!$O$30*'TE BF'!$O$57</f>
        <v>-5.843490859077864</v>
      </c>
      <c r="P30" s="30">
        <f>SUM($L$30:$O$30)</f>
        <v>-18.773415123270521</v>
      </c>
      <c r="Q30" s="30">
        <f>'TE BE'!$Q$30*'TE BF'!$Q$57</f>
        <v>19.905637662510962</v>
      </c>
      <c r="R30" s="30">
        <f>SUM($Q$30:$Q$30)</f>
        <v>19.905637662510962</v>
      </c>
      <c r="S30" s="30">
        <f>'TE BE'!$S$30*'TE BF'!$S$57</f>
        <v>0.63524552433182913</v>
      </c>
      <c r="T30" s="30">
        <f>'TE BE'!$T$30*'TE BF'!$T$57</f>
        <v>0.25866598875024099</v>
      </c>
      <c r="U30" s="30">
        <f>'TE BE'!$U$30*'TE BF'!$U$57</f>
        <v>0</v>
      </c>
      <c r="V30" s="30">
        <f>SUM($S$30:$U$30)</f>
        <v>0.89391151308207006</v>
      </c>
      <c r="W30" s="30">
        <f>'TE BE'!$AA$30*'TE BF'!$W$57</f>
        <v>0</v>
      </c>
      <c r="X30" s="30">
        <f>SUM($W$30:$W$30)</f>
        <v>0</v>
      </c>
      <c r="Y30" s="30">
        <f>'TE BE'!$Y$30*'TE BF'!$Y$57</f>
        <v>0.52428443218601661</v>
      </c>
      <c r="Z30" s="30">
        <f>SUM($Y$30:$Y$30)</f>
        <v>0.52428443218601661</v>
      </c>
      <c r="AA30" s="30">
        <f>SUMIF($L$4:$Z$4,"SUBTOTAL",$L$30:$Z$30)</f>
        <v>2.550418484508528</v>
      </c>
    </row>
    <row r="31" spans="1:27" ht="11.25" customHeight="1" x14ac:dyDescent="0.25">
      <c r="A31" s="130"/>
      <c r="B31" s="130"/>
      <c r="C31" s="130"/>
      <c r="D31" s="130"/>
      <c r="E31" s="130"/>
      <c r="F31" s="130"/>
      <c r="G31" s="32" t="s">
        <v>90</v>
      </c>
      <c r="H31" s="32" t="s">
        <v>88</v>
      </c>
      <c r="I31" s="32">
        <f>'MERCADO TE'!$U$28</f>
        <v>5.0120000000000005</v>
      </c>
      <c r="J31" s="17"/>
      <c r="L31" s="30">
        <f>'TE BE'!$L$31*'TE BF'!$L$57</f>
        <v>0</v>
      </c>
      <c r="M31" s="30">
        <f>'TE BE'!$M$31*'TE BF'!$M$57</f>
        <v>-12.929924264192657</v>
      </c>
      <c r="N31" s="30">
        <f>'TE BE'!$N$31*'TE BF'!$N$57</f>
        <v>0</v>
      </c>
      <c r="O31" s="30">
        <f>'TE BE'!$O$31*'TE BF'!$O$57</f>
        <v>-5.843490859077864</v>
      </c>
      <c r="P31" s="30">
        <f>SUM($L$31:$O$31)</f>
        <v>-18.773415123270521</v>
      </c>
      <c r="Q31" s="30">
        <f>'TE BE'!$Q$31*'TE BF'!$Q$57</f>
        <v>19.905637662510962</v>
      </c>
      <c r="R31" s="30">
        <f>SUM($Q$31:$Q$31)</f>
        <v>19.905637662510962</v>
      </c>
      <c r="S31" s="30">
        <f>'TE BE'!$S$31*'TE BF'!$S$57</f>
        <v>0.63524552433182913</v>
      </c>
      <c r="T31" s="30">
        <f>'TE BE'!$T$31*'TE BF'!$T$57</f>
        <v>0.25866598875024099</v>
      </c>
      <c r="U31" s="30">
        <f>'TE BE'!$U$31*'TE BF'!$U$57</f>
        <v>0</v>
      </c>
      <c r="V31" s="30">
        <f>SUM($S$31:$U$31)</f>
        <v>0.89391151308207006</v>
      </c>
      <c r="W31" s="30">
        <f>'TE BE'!$AA$31*'TE BF'!$W$57</f>
        <v>0</v>
      </c>
      <c r="X31" s="30">
        <f>SUM($W$31:$W$31)</f>
        <v>0</v>
      </c>
      <c r="Y31" s="30">
        <f>'TE BE'!$Y$31*'TE BF'!$Y$57</f>
        <v>0.52428443218601661</v>
      </c>
      <c r="Z31" s="30">
        <f>SUM($Y$31:$Y$31)</f>
        <v>0.52428443218601661</v>
      </c>
      <c r="AA31" s="30">
        <f>SUMIF($L$4:$Z$4,"SUBTOTAL",$L$31:$Z$31)</f>
        <v>2.550418484508528</v>
      </c>
    </row>
    <row r="32" spans="1:27" ht="11.25" customHeight="1" x14ac:dyDescent="0.25">
      <c r="A32" s="130"/>
      <c r="B32" s="38" t="s">
        <v>96</v>
      </c>
      <c r="C32" s="38" t="s">
        <v>47</v>
      </c>
      <c r="D32" s="38" t="s">
        <v>25</v>
      </c>
      <c r="E32" s="38" t="s">
        <v>25</v>
      </c>
      <c r="F32" s="38" t="s">
        <v>25</v>
      </c>
      <c r="G32" s="32" t="s">
        <v>94</v>
      </c>
      <c r="H32" s="32" t="s">
        <v>88</v>
      </c>
      <c r="I32" s="32">
        <f>'MERCADO TE'!$U$29</f>
        <v>81638.005000000005</v>
      </c>
      <c r="J32" s="17"/>
      <c r="L32" s="30">
        <f>'TE BE'!$L$32*'TE BF'!$L$57</f>
        <v>0</v>
      </c>
      <c r="M32" s="30">
        <f>'TE BE'!$M$32*'TE BF'!$M$57</f>
        <v>-12.929924264192657</v>
      </c>
      <c r="N32" s="30">
        <f>'TE BE'!$N$32*'TE BF'!$N$57</f>
        <v>0</v>
      </c>
      <c r="O32" s="30">
        <f>'TE BE'!$O$32*'TE BF'!$O$57</f>
        <v>-5.843490859077864</v>
      </c>
      <c r="P32" s="30">
        <f>SUM($L$32:$O$32)</f>
        <v>-18.773415123270521</v>
      </c>
      <c r="Q32" s="30">
        <f>'TE BE'!$Q$32*'TE BF'!$Q$57</f>
        <v>21.099975922261621</v>
      </c>
      <c r="R32" s="30">
        <f>SUM($Q$32:$Q$32)</f>
        <v>21.099975922261621</v>
      </c>
      <c r="S32" s="30">
        <f>'TE BE'!$S$32*'TE BF'!$S$57</f>
        <v>0.63524552433182913</v>
      </c>
      <c r="T32" s="30">
        <f>'TE BE'!$T$32*'TE BF'!$T$57</f>
        <v>0.25866598875024099</v>
      </c>
      <c r="U32" s="30">
        <f>'TE BE'!$U$32*'TE BF'!$U$57</f>
        <v>0</v>
      </c>
      <c r="V32" s="30">
        <f>SUM($S$32:$U$32)</f>
        <v>0.89391151308207006</v>
      </c>
      <c r="W32" s="30">
        <f>'TE BE'!$AA$32*'TE BF'!$W$57</f>
        <v>0</v>
      </c>
      <c r="X32" s="30">
        <f>SUM($W$32:$W$32)</f>
        <v>0</v>
      </c>
      <c r="Y32" s="30">
        <f>'TE BE'!$Y$32*'TE BF'!$Y$57</f>
        <v>0.52428443218601661</v>
      </c>
      <c r="Z32" s="30">
        <f>SUM($Y$32:$Y$32)</f>
        <v>0.52428443218601661</v>
      </c>
      <c r="AA32" s="30">
        <f>SUMIF($L$4:$Z$4,"SUBTOTAL",$L$32:$Z$32)</f>
        <v>3.7447567442591865</v>
      </c>
    </row>
    <row r="33" spans="1:27" ht="11.25" customHeight="1" x14ac:dyDescent="0.25">
      <c r="A33" s="130"/>
      <c r="B33" s="130" t="s">
        <v>87</v>
      </c>
      <c r="C33" s="130" t="s">
        <v>47</v>
      </c>
      <c r="D33" s="130" t="s">
        <v>103</v>
      </c>
      <c r="E33" s="130" t="s">
        <v>25</v>
      </c>
      <c r="F33" s="130" t="s">
        <v>25</v>
      </c>
      <c r="G33" s="32" t="s">
        <v>89</v>
      </c>
      <c r="H33" s="32" t="s">
        <v>88</v>
      </c>
      <c r="I33" s="32">
        <f>'MERCADO TE'!$U$30</f>
        <v>0</v>
      </c>
      <c r="J33" s="17"/>
      <c r="L33" s="30">
        <f>'TE BE'!$L$33*'TE BF'!$L$57</f>
        <v>0</v>
      </c>
      <c r="M33" s="30">
        <f>'TE BE'!$M$33*'TE BF'!$M$57</f>
        <v>-12.929924264192657</v>
      </c>
      <c r="N33" s="30">
        <f>'TE BE'!$N$33*'TE BF'!$N$57</f>
        <v>0</v>
      </c>
      <c r="O33" s="30">
        <f>'TE BE'!$O$33*'TE BF'!$O$57</f>
        <v>-5.843490859077864</v>
      </c>
      <c r="P33" s="30">
        <f>SUM($L$33:$O$33)</f>
        <v>-18.773415123270521</v>
      </c>
      <c r="Q33" s="30">
        <f>'TE BE'!$Q$33*'TE BF'!$Q$57</f>
        <v>34.237696779518849</v>
      </c>
      <c r="R33" s="30">
        <f>SUM($Q$33:$Q$33)</f>
        <v>34.237696779518849</v>
      </c>
      <c r="S33" s="30">
        <f>'TE BE'!$S$33*'TE BF'!$S$57</f>
        <v>0.63524552433182913</v>
      </c>
      <c r="T33" s="30">
        <f>'TE BE'!$T$33*'TE BF'!$T$57</f>
        <v>0.25866598875024099</v>
      </c>
      <c r="U33" s="30">
        <f>'TE BE'!$U$33*'TE BF'!$U$57</f>
        <v>0</v>
      </c>
      <c r="V33" s="30">
        <f>SUM($S$33:$U$33)</f>
        <v>0.89391151308207006</v>
      </c>
      <c r="W33" s="30">
        <f>'TE BE'!$AA$33*'TE BF'!$W$57</f>
        <v>0</v>
      </c>
      <c r="X33" s="30">
        <f>SUM($W$33:$W$33)</f>
        <v>0</v>
      </c>
      <c r="Y33" s="30">
        <f>'TE BE'!$Y$33*'TE BF'!$Y$57</f>
        <v>0.52428443218601661</v>
      </c>
      <c r="Z33" s="30">
        <f>SUM($Y$33:$Y$33)</f>
        <v>0.52428443218601661</v>
      </c>
      <c r="AA33" s="30">
        <f>SUMIF($L$4:$Z$4,"SUBTOTAL",$L$33:$Z$33)</f>
        <v>16.882477601516417</v>
      </c>
    </row>
    <row r="34" spans="1:27" ht="11.25" customHeight="1" x14ac:dyDescent="0.25">
      <c r="A34" s="130"/>
      <c r="B34" s="130"/>
      <c r="C34" s="130"/>
      <c r="D34" s="130"/>
      <c r="E34" s="130"/>
      <c r="F34" s="130"/>
      <c r="G34" s="32" t="s">
        <v>100</v>
      </c>
      <c r="H34" s="32" t="s">
        <v>88</v>
      </c>
      <c r="I34" s="32">
        <f>'MERCADO TE'!$U$31</f>
        <v>0</v>
      </c>
      <c r="J34" s="17"/>
      <c r="L34" s="30">
        <f>'TE BE'!$L$34*'TE BF'!$L$57</f>
        <v>0</v>
      </c>
      <c r="M34" s="30">
        <f>'TE BE'!$M$34*'TE BF'!$M$57</f>
        <v>-12.929924264192657</v>
      </c>
      <c r="N34" s="30">
        <f>'TE BE'!$N$34*'TE BF'!$N$57</f>
        <v>0</v>
      </c>
      <c r="O34" s="30">
        <f>'TE BE'!$O$34*'TE BF'!$O$57</f>
        <v>-5.843490859077864</v>
      </c>
      <c r="P34" s="30">
        <f>SUM($L$34:$O$34)</f>
        <v>-18.773415123270521</v>
      </c>
      <c r="Q34" s="30">
        <f>'TE BE'!$Q$34*'TE BF'!$Q$57</f>
        <v>19.905637662510962</v>
      </c>
      <c r="R34" s="30">
        <f>SUM($Q$34:$Q$34)</f>
        <v>19.905637662510962</v>
      </c>
      <c r="S34" s="30">
        <f>'TE BE'!$S$34*'TE BF'!$S$57</f>
        <v>0.63524552433182913</v>
      </c>
      <c r="T34" s="30">
        <f>'TE BE'!$T$34*'TE BF'!$T$57</f>
        <v>0.25866598875024099</v>
      </c>
      <c r="U34" s="30">
        <f>'TE BE'!$U$34*'TE BF'!$U$57</f>
        <v>0</v>
      </c>
      <c r="V34" s="30">
        <f>SUM($S$34:$U$34)</f>
        <v>0.89391151308207006</v>
      </c>
      <c r="W34" s="30">
        <f>'TE BE'!$AA$34*'TE BF'!$W$57</f>
        <v>0</v>
      </c>
      <c r="X34" s="30">
        <f>SUM($W$34:$W$34)</f>
        <v>0</v>
      </c>
      <c r="Y34" s="30">
        <f>'TE BE'!$Y$34*'TE BF'!$Y$57</f>
        <v>0.52428443218601661</v>
      </c>
      <c r="Z34" s="30">
        <f>SUM($Y$34:$Y$34)</f>
        <v>0.52428443218601661</v>
      </c>
      <c r="AA34" s="30">
        <f>SUMIF($L$4:$Z$4,"SUBTOTAL",$L$34:$Z$34)</f>
        <v>2.550418484508528</v>
      </c>
    </row>
    <row r="35" spans="1:27" ht="11.25" customHeight="1" x14ac:dyDescent="0.25">
      <c r="A35" s="130"/>
      <c r="B35" s="130"/>
      <c r="C35" s="130"/>
      <c r="D35" s="130"/>
      <c r="E35" s="130"/>
      <c r="F35" s="130"/>
      <c r="G35" s="32" t="s">
        <v>90</v>
      </c>
      <c r="H35" s="32" t="s">
        <v>88</v>
      </c>
      <c r="I35" s="32">
        <f>'MERCADO TE'!$U$32</f>
        <v>0</v>
      </c>
      <c r="J35" s="17"/>
      <c r="L35" s="30">
        <f>'TE BE'!$L$35*'TE BF'!$L$57</f>
        <v>0</v>
      </c>
      <c r="M35" s="30">
        <f>'TE BE'!$M$35*'TE BF'!$M$57</f>
        <v>-12.929924264192657</v>
      </c>
      <c r="N35" s="30">
        <f>'TE BE'!$N$35*'TE BF'!$N$57</f>
        <v>0</v>
      </c>
      <c r="O35" s="30">
        <f>'TE BE'!$O$35*'TE BF'!$O$57</f>
        <v>-5.843490859077864</v>
      </c>
      <c r="P35" s="30">
        <f>SUM($L$35:$O$35)</f>
        <v>-18.773415123270521</v>
      </c>
      <c r="Q35" s="30">
        <f>'TE BE'!$Q$35*'TE BF'!$Q$57</f>
        <v>19.905637662510962</v>
      </c>
      <c r="R35" s="30">
        <f>SUM($Q$35:$Q$35)</f>
        <v>19.905637662510962</v>
      </c>
      <c r="S35" s="30">
        <f>'TE BE'!$S$35*'TE BF'!$S$57</f>
        <v>0.63524552433182913</v>
      </c>
      <c r="T35" s="30">
        <f>'TE BE'!$T$35*'TE BF'!$T$57</f>
        <v>0.25866598875024099</v>
      </c>
      <c r="U35" s="30">
        <f>'TE BE'!$U$35*'TE BF'!$U$57</f>
        <v>0</v>
      </c>
      <c r="V35" s="30">
        <f>SUM($S$35:$U$35)</f>
        <v>0.89391151308207006</v>
      </c>
      <c r="W35" s="30">
        <f>'TE BE'!$AA$35*'TE BF'!$W$57</f>
        <v>0</v>
      </c>
      <c r="X35" s="30">
        <f>SUM($W$35:$W$35)</f>
        <v>0</v>
      </c>
      <c r="Y35" s="30">
        <f>'TE BE'!$Y$35*'TE BF'!$Y$57</f>
        <v>0.52428443218601661</v>
      </c>
      <c r="Z35" s="30">
        <f>SUM($Y$35:$Y$35)</f>
        <v>0.52428443218601661</v>
      </c>
      <c r="AA35" s="30">
        <f>SUMIF($L$4:$Z$4,"SUBTOTAL",$L$35:$Z$35)</f>
        <v>2.550418484508528</v>
      </c>
    </row>
    <row r="36" spans="1:27" ht="11.25" customHeight="1" x14ac:dyDescent="0.25">
      <c r="A36" s="130"/>
      <c r="B36" s="38" t="s">
        <v>96</v>
      </c>
      <c r="C36" s="38" t="s">
        <v>47</v>
      </c>
      <c r="D36" s="38" t="s">
        <v>103</v>
      </c>
      <c r="E36" s="38" t="s">
        <v>25</v>
      </c>
      <c r="F36" s="38" t="s">
        <v>25</v>
      </c>
      <c r="G36" s="32" t="s">
        <v>94</v>
      </c>
      <c r="H36" s="32" t="s">
        <v>88</v>
      </c>
      <c r="I36" s="32">
        <f>'MERCADO TE'!$U$33</f>
        <v>0</v>
      </c>
      <c r="J36" s="17"/>
      <c r="L36" s="30">
        <f>'TE BE'!$L$36*'TE BF'!$L$57</f>
        <v>0</v>
      </c>
      <c r="M36" s="30">
        <f>'TE BE'!$M$36*'TE BF'!$M$57</f>
        <v>-12.929924264192657</v>
      </c>
      <c r="N36" s="30">
        <f>'TE BE'!$N$36*'TE BF'!$N$57</f>
        <v>0</v>
      </c>
      <c r="O36" s="30">
        <f>'TE BE'!$O$36*'TE BF'!$O$57</f>
        <v>-5.843490859077864</v>
      </c>
      <c r="P36" s="30">
        <f>SUM($L$36:$O$36)</f>
        <v>-18.773415123270521</v>
      </c>
      <c r="Q36" s="30">
        <f>'TE BE'!$Q$36*'TE BF'!$Q$57</f>
        <v>21.099975922261621</v>
      </c>
      <c r="R36" s="30">
        <f>SUM($Q$36:$Q$36)</f>
        <v>21.099975922261621</v>
      </c>
      <c r="S36" s="30">
        <f>'TE BE'!$S$36*'TE BF'!$S$57</f>
        <v>0.63524552433182913</v>
      </c>
      <c r="T36" s="30">
        <f>'TE BE'!$T$36*'TE BF'!$T$57</f>
        <v>0.25866598875024099</v>
      </c>
      <c r="U36" s="30">
        <f>'TE BE'!$U$36*'TE BF'!$U$57</f>
        <v>0</v>
      </c>
      <c r="V36" s="30">
        <f>SUM($S$36:$U$36)</f>
        <v>0.89391151308207006</v>
      </c>
      <c r="W36" s="30">
        <f>'TE BE'!$AA$36*'TE BF'!$W$57</f>
        <v>0</v>
      </c>
      <c r="X36" s="30">
        <f>SUM($W$36:$W$36)</f>
        <v>0</v>
      </c>
      <c r="Y36" s="30">
        <f>'TE BE'!$Y$36*'TE BF'!$Y$57</f>
        <v>0.52428443218601661</v>
      </c>
      <c r="Z36" s="30">
        <f>SUM($Y$36:$Y$36)</f>
        <v>0.52428443218601661</v>
      </c>
      <c r="AA36" s="30">
        <f>SUMIF($L$4:$Z$4,"SUBTOTAL",$L$36:$Z$36)</f>
        <v>3.7447567442591865</v>
      </c>
    </row>
    <row r="37" spans="1:27" ht="11.25" customHeight="1" x14ac:dyDescent="0.25">
      <c r="A37" s="130"/>
      <c r="B37" s="130" t="s">
        <v>87</v>
      </c>
      <c r="C37" s="130" t="s">
        <v>47</v>
      </c>
      <c r="D37" s="130" t="s">
        <v>104</v>
      </c>
      <c r="E37" s="130" t="s">
        <v>25</v>
      </c>
      <c r="F37" s="130" t="s">
        <v>25</v>
      </c>
      <c r="G37" s="32" t="s">
        <v>89</v>
      </c>
      <c r="H37" s="32" t="s">
        <v>88</v>
      </c>
      <c r="I37" s="32">
        <f>'MERCADO TE'!$U$34</f>
        <v>0</v>
      </c>
      <c r="J37" s="17"/>
      <c r="L37" s="30">
        <f>'TE BE'!$L$37*'TE BF'!$L$57</f>
        <v>0</v>
      </c>
      <c r="M37" s="30">
        <f>'TE BE'!$M$37*'TE BF'!$M$57</f>
        <v>-12.929924264192657</v>
      </c>
      <c r="N37" s="30">
        <f>'TE BE'!$N$37*'TE BF'!$N$57</f>
        <v>0</v>
      </c>
      <c r="O37" s="30">
        <f>'TE BE'!$O$37*'TE BF'!$O$57</f>
        <v>-5.843490859077864</v>
      </c>
      <c r="P37" s="30">
        <f>SUM($L$37:$O$37)</f>
        <v>-18.773415123270521</v>
      </c>
      <c r="Q37" s="30">
        <f>'TE BE'!$Q$37*'TE BF'!$Q$57</f>
        <v>34.237696779518849</v>
      </c>
      <c r="R37" s="30">
        <f>SUM($Q$37:$Q$37)</f>
        <v>34.237696779518849</v>
      </c>
      <c r="S37" s="30">
        <f>'TE BE'!$S$37*'TE BF'!$S$57</f>
        <v>0.63524552433182913</v>
      </c>
      <c r="T37" s="30">
        <f>'TE BE'!$T$37*'TE BF'!$T$57</f>
        <v>0.25866598875024099</v>
      </c>
      <c r="U37" s="30">
        <f>'TE BE'!$U$37*'TE BF'!$U$57</f>
        <v>0</v>
      </c>
      <c r="V37" s="30">
        <f>SUM($S$37:$U$37)</f>
        <v>0.89391151308207006</v>
      </c>
      <c r="W37" s="30">
        <f>'TE BE'!$AA$37*'TE BF'!$W$57</f>
        <v>0</v>
      </c>
      <c r="X37" s="30">
        <f>SUM($W$37:$W$37)</f>
        <v>0</v>
      </c>
      <c r="Y37" s="30">
        <f>'TE BE'!$Y$37*'TE BF'!$Y$57</f>
        <v>0.52428443218601661</v>
      </c>
      <c r="Z37" s="30">
        <f>SUM($Y$37:$Y$37)</f>
        <v>0.52428443218601661</v>
      </c>
      <c r="AA37" s="30">
        <f>SUMIF($L$4:$Z$4,"SUBTOTAL",$L$37:$Z$37)</f>
        <v>16.882477601516417</v>
      </c>
    </row>
    <row r="38" spans="1:27" ht="11.25" customHeight="1" x14ac:dyDescent="0.25">
      <c r="A38" s="130"/>
      <c r="B38" s="130"/>
      <c r="C38" s="130"/>
      <c r="D38" s="130"/>
      <c r="E38" s="130"/>
      <c r="F38" s="130"/>
      <c r="G38" s="32" t="s">
        <v>100</v>
      </c>
      <c r="H38" s="32" t="s">
        <v>88</v>
      </c>
      <c r="I38" s="32">
        <f>'MERCADO TE'!$U$35</f>
        <v>0</v>
      </c>
      <c r="J38" s="17"/>
      <c r="L38" s="30">
        <f>'TE BE'!$L$38*'TE BF'!$L$57</f>
        <v>0</v>
      </c>
      <c r="M38" s="30">
        <f>'TE BE'!$M$38*'TE BF'!$M$57</f>
        <v>-12.929924264192657</v>
      </c>
      <c r="N38" s="30">
        <f>'TE BE'!$N$38*'TE BF'!$N$57</f>
        <v>0</v>
      </c>
      <c r="O38" s="30">
        <f>'TE BE'!$O$38*'TE BF'!$O$57</f>
        <v>-5.843490859077864</v>
      </c>
      <c r="P38" s="30">
        <f>SUM($L$38:$O$38)</f>
        <v>-18.773415123270521</v>
      </c>
      <c r="Q38" s="30">
        <f>'TE BE'!$Q$38*'TE BF'!$Q$57</f>
        <v>19.905637662510962</v>
      </c>
      <c r="R38" s="30">
        <f>SUM($Q$38:$Q$38)</f>
        <v>19.905637662510962</v>
      </c>
      <c r="S38" s="30">
        <f>'TE BE'!$S$38*'TE BF'!$S$57</f>
        <v>0.63524552433182913</v>
      </c>
      <c r="T38" s="30">
        <f>'TE BE'!$T$38*'TE BF'!$T$57</f>
        <v>0.25866598875024099</v>
      </c>
      <c r="U38" s="30">
        <f>'TE BE'!$U$38*'TE BF'!$U$57</f>
        <v>0</v>
      </c>
      <c r="V38" s="30">
        <f>SUM($S$38:$U$38)</f>
        <v>0.89391151308207006</v>
      </c>
      <c r="W38" s="30">
        <f>'TE BE'!$AA$38*'TE BF'!$W$57</f>
        <v>0</v>
      </c>
      <c r="X38" s="30">
        <f>SUM($W$38:$W$38)</f>
        <v>0</v>
      </c>
      <c r="Y38" s="30">
        <f>'TE BE'!$Y$38*'TE BF'!$Y$57</f>
        <v>0.52428443218601661</v>
      </c>
      <c r="Z38" s="30">
        <f>SUM($Y$38:$Y$38)</f>
        <v>0.52428443218601661</v>
      </c>
      <c r="AA38" s="30">
        <f>SUMIF($L$4:$Z$4,"SUBTOTAL",$L$38:$Z$38)</f>
        <v>2.550418484508528</v>
      </c>
    </row>
    <row r="39" spans="1:27" ht="11.25" customHeight="1" x14ac:dyDescent="0.25">
      <c r="A39" s="130"/>
      <c r="B39" s="130"/>
      <c r="C39" s="130"/>
      <c r="D39" s="130"/>
      <c r="E39" s="130"/>
      <c r="F39" s="130"/>
      <c r="G39" s="32" t="s">
        <v>90</v>
      </c>
      <c r="H39" s="32" t="s">
        <v>88</v>
      </c>
      <c r="I39" s="32">
        <f>'MERCADO TE'!$U$36</f>
        <v>0</v>
      </c>
      <c r="J39" s="17"/>
      <c r="L39" s="30">
        <f>'TE BE'!$L$39*'TE BF'!$L$57</f>
        <v>0</v>
      </c>
      <c r="M39" s="30">
        <f>'TE BE'!$M$39*'TE BF'!$M$57</f>
        <v>-12.929924264192657</v>
      </c>
      <c r="N39" s="30">
        <f>'TE BE'!$N$39*'TE BF'!$N$57</f>
        <v>0</v>
      </c>
      <c r="O39" s="30">
        <f>'TE BE'!$O$39*'TE BF'!$O$57</f>
        <v>-5.843490859077864</v>
      </c>
      <c r="P39" s="30">
        <f>SUM($L$39:$O$39)</f>
        <v>-18.773415123270521</v>
      </c>
      <c r="Q39" s="30">
        <f>'TE BE'!$Q$39*'TE BF'!$Q$57</f>
        <v>19.905637662510962</v>
      </c>
      <c r="R39" s="30">
        <f>SUM($Q$39:$Q$39)</f>
        <v>19.905637662510962</v>
      </c>
      <c r="S39" s="30">
        <f>'TE BE'!$S$39*'TE BF'!$S$57</f>
        <v>0.63524552433182913</v>
      </c>
      <c r="T39" s="30">
        <f>'TE BE'!$T$39*'TE BF'!$T$57</f>
        <v>0.25866598875024099</v>
      </c>
      <c r="U39" s="30">
        <f>'TE BE'!$U$39*'TE BF'!$U$57</f>
        <v>0</v>
      </c>
      <c r="V39" s="30">
        <f>SUM($S$39:$U$39)</f>
        <v>0.89391151308207006</v>
      </c>
      <c r="W39" s="30">
        <f>'TE BE'!$AA$39*'TE BF'!$W$57</f>
        <v>0</v>
      </c>
      <c r="X39" s="30">
        <f>SUM($W$39:$W$39)</f>
        <v>0</v>
      </c>
      <c r="Y39" s="30">
        <f>'TE BE'!$Y$39*'TE BF'!$Y$57</f>
        <v>0.52428443218601661</v>
      </c>
      <c r="Z39" s="30">
        <f>SUM($Y$39:$Y$39)</f>
        <v>0.52428443218601661</v>
      </c>
      <c r="AA39" s="30">
        <f>SUMIF($L$4:$Z$4,"SUBTOTAL",$L$39:$Z$39)</f>
        <v>2.550418484508528</v>
      </c>
    </row>
    <row r="40" spans="1:27" ht="11.25" customHeight="1" x14ac:dyDescent="0.25">
      <c r="A40" s="130"/>
      <c r="B40" s="38" t="s">
        <v>96</v>
      </c>
      <c r="C40" s="38" t="s">
        <v>47</v>
      </c>
      <c r="D40" s="38" t="s">
        <v>104</v>
      </c>
      <c r="E40" s="38" t="s">
        <v>25</v>
      </c>
      <c r="F40" s="38" t="s">
        <v>25</v>
      </c>
      <c r="G40" s="32" t="s">
        <v>94</v>
      </c>
      <c r="H40" s="32" t="s">
        <v>88</v>
      </c>
      <c r="I40" s="32">
        <f>'MERCADO TE'!$U$37</f>
        <v>0</v>
      </c>
      <c r="J40" s="17"/>
      <c r="L40" s="30">
        <f>'TE BE'!$L$40*'TE BF'!$L$57</f>
        <v>0</v>
      </c>
      <c r="M40" s="30">
        <f>'TE BE'!$M$40*'TE BF'!$M$57</f>
        <v>-12.929924264192657</v>
      </c>
      <c r="N40" s="30">
        <f>'TE BE'!$N$40*'TE BF'!$N$57</f>
        <v>0</v>
      </c>
      <c r="O40" s="30">
        <f>'TE BE'!$O$40*'TE BF'!$O$57</f>
        <v>-5.843490859077864</v>
      </c>
      <c r="P40" s="30">
        <f>SUM($L$40:$O$40)</f>
        <v>-18.773415123270521</v>
      </c>
      <c r="Q40" s="30">
        <f>'TE BE'!$Q$40*'TE BF'!$Q$57</f>
        <v>21.099975922261621</v>
      </c>
      <c r="R40" s="30">
        <f>SUM($Q$40:$Q$40)</f>
        <v>21.099975922261621</v>
      </c>
      <c r="S40" s="30">
        <f>'TE BE'!$S$40*'TE BF'!$S$57</f>
        <v>0.63524552433182913</v>
      </c>
      <c r="T40" s="30">
        <f>'TE BE'!$T$40*'TE BF'!$T$57</f>
        <v>0.25866598875024099</v>
      </c>
      <c r="U40" s="30">
        <f>'TE BE'!$U$40*'TE BF'!$U$57</f>
        <v>0</v>
      </c>
      <c r="V40" s="30">
        <f>SUM($S$40:$U$40)</f>
        <v>0.89391151308207006</v>
      </c>
      <c r="W40" s="30">
        <f>'TE BE'!$AA$40*'TE BF'!$W$57</f>
        <v>0</v>
      </c>
      <c r="X40" s="30">
        <f>SUM($W$40:$W$40)</f>
        <v>0</v>
      </c>
      <c r="Y40" s="30">
        <f>'TE BE'!$Y$40*'TE BF'!$Y$57</f>
        <v>0.52428443218601661</v>
      </c>
      <c r="Z40" s="30">
        <f>SUM($Y$40:$Y$40)</f>
        <v>0.52428443218601661</v>
      </c>
      <c r="AA40" s="30">
        <f>SUMIF($L$4:$Z$4,"SUBTOTAL",$L$40:$Z$40)</f>
        <v>3.7447567442591865</v>
      </c>
    </row>
    <row r="41" spans="1:27" ht="11.25" customHeight="1" x14ac:dyDescent="0.25">
      <c r="A41" s="130"/>
      <c r="B41" s="130" t="s">
        <v>101</v>
      </c>
      <c r="C41" s="130" t="s">
        <v>47</v>
      </c>
      <c r="D41" s="38" t="s">
        <v>25</v>
      </c>
      <c r="E41" s="38" t="s">
        <v>25</v>
      </c>
      <c r="F41" s="38" t="s">
        <v>25</v>
      </c>
      <c r="G41" s="32" t="s">
        <v>94</v>
      </c>
      <c r="H41" s="32" t="s">
        <v>88</v>
      </c>
      <c r="I41" s="32">
        <f>'MERCADO TE'!$U$38</f>
        <v>0</v>
      </c>
      <c r="J41" s="17"/>
      <c r="L41" s="30">
        <f>'TE BE'!$L$41*'TE BF'!$L$57</f>
        <v>0</v>
      </c>
      <c r="M41" s="30">
        <f>'TE BE'!$M$41*'TE BF'!$M$57</f>
        <v>-12.929924264192657</v>
      </c>
      <c r="N41" s="30">
        <f>'TE BE'!$N$41*'TE BF'!$N$57</f>
        <v>0</v>
      </c>
      <c r="O41" s="30">
        <f>'TE BE'!$O$41*'TE BF'!$O$57</f>
        <v>-5.843490859077864</v>
      </c>
      <c r="P41" s="30">
        <f>SUM($L$41:$O$41)</f>
        <v>-18.773415123270521</v>
      </c>
      <c r="Q41" s="30">
        <f>'TE BE'!$Q$41*'TE BF'!$Q$57</f>
        <v>21.099975922261621</v>
      </c>
      <c r="R41" s="30">
        <f>SUM($Q$41:$Q$41)</f>
        <v>21.099975922261621</v>
      </c>
      <c r="S41" s="30">
        <f>'TE BE'!$S$41*'TE BF'!$S$57</f>
        <v>0.63524552433182913</v>
      </c>
      <c r="T41" s="30">
        <f>'TE BE'!$T$41*'TE BF'!$T$57</f>
        <v>0.25866598875024099</v>
      </c>
      <c r="U41" s="30">
        <f>'TE BE'!$U$41*'TE BF'!$U$57</f>
        <v>0</v>
      </c>
      <c r="V41" s="30">
        <f>SUM($S$41:$U$41)</f>
        <v>0.89391151308207006</v>
      </c>
      <c r="W41" s="30">
        <f>'TE BE'!$AA$41*'TE BF'!$W$57</f>
        <v>0</v>
      </c>
      <c r="X41" s="30">
        <f>SUM($W$41:$W$41)</f>
        <v>0</v>
      </c>
      <c r="Y41" s="30">
        <f>'TE BE'!$Y$41*'TE BF'!$Y$57</f>
        <v>0.52428443218601661</v>
      </c>
      <c r="Z41" s="30">
        <f>SUM($Y$41:$Y$41)</f>
        <v>0.52428443218601661</v>
      </c>
      <c r="AA41" s="30">
        <f>SUMIF($L$4:$Z$4,"SUBTOTAL",$L$41:$Z$41)</f>
        <v>3.7447567442591865</v>
      </c>
    </row>
    <row r="42" spans="1:27" ht="11.25" customHeight="1" x14ac:dyDescent="0.25">
      <c r="A42" s="130"/>
      <c r="B42" s="130"/>
      <c r="C42" s="130"/>
      <c r="D42" s="38" t="s">
        <v>103</v>
      </c>
      <c r="E42" s="38" t="s">
        <v>25</v>
      </c>
      <c r="F42" s="38" t="s">
        <v>25</v>
      </c>
      <c r="G42" s="32" t="s">
        <v>94</v>
      </c>
      <c r="H42" s="32" t="s">
        <v>88</v>
      </c>
      <c r="I42" s="32">
        <f>'MERCADO TE'!$U$39</f>
        <v>0</v>
      </c>
      <c r="J42" s="17"/>
      <c r="L42" s="30">
        <f>'TE BE'!$L$42*'TE BF'!$L$57</f>
        <v>0</v>
      </c>
      <c r="M42" s="30">
        <f>'TE BE'!$M$42*'TE BF'!$M$57</f>
        <v>-12.929924264192657</v>
      </c>
      <c r="N42" s="30">
        <f>'TE BE'!$N$42*'TE BF'!$N$57</f>
        <v>0</v>
      </c>
      <c r="O42" s="30">
        <f>'TE BE'!$O$42*'TE BF'!$O$57</f>
        <v>-5.843490859077864</v>
      </c>
      <c r="P42" s="30">
        <f>SUM($L$42:$O$42)</f>
        <v>-18.773415123270521</v>
      </c>
      <c r="Q42" s="30">
        <f>'TE BE'!$Q$42*'TE BF'!$Q$57</f>
        <v>21.099975922261621</v>
      </c>
      <c r="R42" s="30">
        <f>SUM($Q$42:$Q$42)</f>
        <v>21.099975922261621</v>
      </c>
      <c r="S42" s="30">
        <f>'TE BE'!$S$42*'TE BF'!$S$57</f>
        <v>0.63524552433182913</v>
      </c>
      <c r="T42" s="30">
        <f>'TE BE'!$T$42*'TE BF'!$T$57</f>
        <v>0.25866598875024099</v>
      </c>
      <c r="U42" s="30">
        <f>'TE BE'!$U$42*'TE BF'!$U$57</f>
        <v>0</v>
      </c>
      <c r="V42" s="30">
        <f>SUM($S$42:$U$42)</f>
        <v>0.89391151308207006</v>
      </c>
      <c r="W42" s="30">
        <f>'TE BE'!$AA$42*'TE BF'!$W$57</f>
        <v>0</v>
      </c>
      <c r="X42" s="30">
        <f>SUM($W$42:$W$42)</f>
        <v>0</v>
      </c>
      <c r="Y42" s="30">
        <f>'TE BE'!$Y$42*'TE BF'!$Y$57</f>
        <v>0.52428443218601661</v>
      </c>
      <c r="Z42" s="30">
        <f>SUM($Y$42:$Y$42)</f>
        <v>0.52428443218601661</v>
      </c>
      <c r="AA42" s="30">
        <f>SUMIF($L$4:$Z$4,"SUBTOTAL",$L$42:$Z$42)</f>
        <v>3.7447567442591865</v>
      </c>
    </row>
    <row r="43" spans="1:27" ht="11.25" customHeight="1" x14ac:dyDescent="0.25">
      <c r="A43" s="130"/>
      <c r="B43" s="130"/>
      <c r="C43" s="130"/>
      <c r="D43" s="38" t="s">
        <v>104</v>
      </c>
      <c r="E43" s="38" t="s">
        <v>25</v>
      </c>
      <c r="F43" s="38" t="s">
        <v>25</v>
      </c>
      <c r="G43" s="32" t="s">
        <v>94</v>
      </c>
      <c r="H43" s="32" t="s">
        <v>88</v>
      </c>
      <c r="I43" s="32">
        <f>'MERCADO TE'!$U$40</f>
        <v>0</v>
      </c>
      <c r="J43" s="17"/>
      <c r="L43" s="30">
        <f>'TE BE'!$L$43*'TE BF'!$L$57</f>
        <v>0</v>
      </c>
      <c r="M43" s="30">
        <f>'TE BE'!$M$43*'TE BF'!$M$57</f>
        <v>-12.929924264192657</v>
      </c>
      <c r="N43" s="30">
        <f>'TE BE'!$N$43*'TE BF'!$N$57</f>
        <v>0</v>
      </c>
      <c r="O43" s="30">
        <f>'TE BE'!$O$43*'TE BF'!$O$57</f>
        <v>-5.843490859077864</v>
      </c>
      <c r="P43" s="30">
        <f>SUM($L$43:$O$43)</f>
        <v>-18.773415123270521</v>
      </c>
      <c r="Q43" s="30">
        <f>'TE BE'!$Q$43*'TE BF'!$Q$57</f>
        <v>21.099975922261621</v>
      </c>
      <c r="R43" s="30">
        <f>SUM($Q$43:$Q$43)</f>
        <v>21.099975922261621</v>
      </c>
      <c r="S43" s="30">
        <f>'TE BE'!$S$43*'TE BF'!$S$57</f>
        <v>0.63524552433182913</v>
      </c>
      <c r="T43" s="30">
        <f>'TE BE'!$T$43*'TE BF'!$T$57</f>
        <v>0.25866598875024099</v>
      </c>
      <c r="U43" s="30">
        <f>'TE BE'!$U$43*'TE BF'!$U$57</f>
        <v>0</v>
      </c>
      <c r="V43" s="30">
        <f>SUM($S$43:$U$43)</f>
        <v>0.89391151308207006</v>
      </c>
      <c r="W43" s="30">
        <f>'TE BE'!$AA$43*'TE BF'!$W$57</f>
        <v>0</v>
      </c>
      <c r="X43" s="30">
        <f>SUM($W$43:$W$43)</f>
        <v>0</v>
      </c>
      <c r="Y43" s="30">
        <f>'TE BE'!$Y$43*'TE BF'!$Y$57</f>
        <v>0.52428443218601661</v>
      </c>
      <c r="Z43" s="30">
        <f>SUM($Y$43:$Y$43)</f>
        <v>0.52428443218601661</v>
      </c>
      <c r="AA43" s="30">
        <f>SUMIF($L$4:$Z$4,"SUBTOTAL",$L$43:$Z$43)</f>
        <v>3.7447567442591865</v>
      </c>
    </row>
    <row r="44" spans="1:27" ht="11.25" customHeight="1" x14ac:dyDescent="0.25">
      <c r="A44" s="130" t="s">
        <v>39</v>
      </c>
      <c r="B44" s="130" t="s">
        <v>87</v>
      </c>
      <c r="C44" s="130" t="s">
        <v>25</v>
      </c>
      <c r="D44" s="130" t="s">
        <v>25</v>
      </c>
      <c r="E44" s="130" t="s">
        <v>25</v>
      </c>
      <c r="F44" s="130" t="s">
        <v>25</v>
      </c>
      <c r="G44" s="32" t="s">
        <v>89</v>
      </c>
      <c r="H44" s="32" t="s">
        <v>88</v>
      </c>
      <c r="I44" s="32">
        <f>'MERCADO TE'!$U$41</f>
        <v>133.67100000000025</v>
      </c>
      <c r="J44" s="17"/>
      <c r="L44" s="30">
        <f>'TE BE'!$L$44*'TE BF'!$L$57</f>
        <v>0</v>
      </c>
      <c r="M44" s="30">
        <f>'TE BE'!$M$44*'TE BF'!$M$57</f>
        <v>-12.929924264192657</v>
      </c>
      <c r="N44" s="30">
        <f>'TE BE'!$N$44*'TE BF'!$N$57</f>
        <v>0</v>
      </c>
      <c r="O44" s="30">
        <f>'TE BE'!$O$44*'TE BF'!$O$57</f>
        <v>-5.843490859077864</v>
      </c>
      <c r="P44" s="30">
        <f>SUM($L$44:$O$44)</f>
        <v>-18.773415123270521</v>
      </c>
      <c r="Q44" s="30">
        <f>'TE BE'!$Q$44*'TE BF'!$Q$57</f>
        <v>34.237696779518849</v>
      </c>
      <c r="R44" s="30">
        <f>SUM($Q$44:$Q$44)</f>
        <v>34.237696779518849</v>
      </c>
      <c r="S44" s="30">
        <f>'TE BE'!$S$44*'TE BF'!$S$57</f>
        <v>0.63524552433182913</v>
      </c>
      <c r="T44" s="30">
        <f>'TE BE'!$T$44*'TE BF'!$T$57</f>
        <v>0.25866598875024099</v>
      </c>
      <c r="U44" s="30">
        <f>'TE BE'!$U$44*'TE BF'!$U$57</f>
        <v>0</v>
      </c>
      <c r="V44" s="30">
        <f>SUM($S$44:$U$44)</f>
        <v>0.89391151308207006</v>
      </c>
      <c r="W44" s="30">
        <f>'TE BE'!$AA$44*'TE BF'!$W$57</f>
        <v>0</v>
      </c>
      <c r="X44" s="30">
        <f>SUM($W$44:$W$44)</f>
        <v>0</v>
      </c>
      <c r="Y44" s="30">
        <f>'TE BE'!$Y$44*'TE BF'!$Y$57</f>
        <v>0.52428443218601661</v>
      </c>
      <c r="Z44" s="30">
        <f>SUM($Y$44:$Y$44)</f>
        <v>0.52428443218601661</v>
      </c>
      <c r="AA44" s="30">
        <f>SUMIF($L$4:$Z$4,"SUBTOTAL",$L$44:$Z$44)</f>
        <v>16.882477601516417</v>
      </c>
    </row>
    <row r="45" spans="1:27" ht="11.25" customHeight="1" x14ac:dyDescent="0.25">
      <c r="A45" s="130"/>
      <c r="B45" s="130"/>
      <c r="C45" s="130"/>
      <c r="D45" s="130"/>
      <c r="E45" s="130"/>
      <c r="F45" s="130"/>
      <c r="G45" s="32" t="s">
        <v>100</v>
      </c>
      <c r="H45" s="32" t="s">
        <v>88</v>
      </c>
      <c r="I45" s="32">
        <f>'MERCADO TE'!$U$42</f>
        <v>52.353999999999928</v>
      </c>
      <c r="J45" s="17"/>
      <c r="L45" s="30">
        <f>'TE BE'!$L$45*'TE BF'!$L$57</f>
        <v>0</v>
      </c>
      <c r="M45" s="30">
        <f>'TE BE'!$M$45*'TE BF'!$M$57</f>
        <v>-12.929924264192657</v>
      </c>
      <c r="N45" s="30">
        <f>'TE BE'!$N$45*'TE BF'!$N$57</f>
        <v>0</v>
      </c>
      <c r="O45" s="30">
        <f>'TE BE'!$O$45*'TE BF'!$O$57</f>
        <v>-5.843490859077864</v>
      </c>
      <c r="P45" s="30">
        <f>SUM($L$45:$O$45)</f>
        <v>-18.773415123270521</v>
      </c>
      <c r="Q45" s="30">
        <f>'TE BE'!$Q$45*'TE BF'!$Q$57</f>
        <v>19.905637662510962</v>
      </c>
      <c r="R45" s="30">
        <f>SUM($Q$45:$Q$45)</f>
        <v>19.905637662510962</v>
      </c>
      <c r="S45" s="30">
        <f>'TE BE'!$S$45*'TE BF'!$S$57</f>
        <v>0.63524552433182913</v>
      </c>
      <c r="T45" s="30">
        <f>'TE BE'!$T$45*'TE BF'!$T$57</f>
        <v>0.25866598875024099</v>
      </c>
      <c r="U45" s="30">
        <f>'TE BE'!$U$45*'TE BF'!$U$57</f>
        <v>0</v>
      </c>
      <c r="V45" s="30">
        <f>SUM($S$45:$U$45)</f>
        <v>0.89391151308207006</v>
      </c>
      <c r="W45" s="30">
        <f>'TE BE'!$AA$45*'TE BF'!$W$57</f>
        <v>0</v>
      </c>
      <c r="X45" s="30">
        <f>SUM($W$45:$W$45)</f>
        <v>0</v>
      </c>
      <c r="Y45" s="30">
        <f>'TE BE'!$Y$45*'TE BF'!$Y$57</f>
        <v>0.52428443218601661</v>
      </c>
      <c r="Z45" s="30">
        <f>SUM($Y$45:$Y$45)</f>
        <v>0.52428443218601661</v>
      </c>
      <c r="AA45" s="30">
        <f>SUMIF($L$4:$Z$4,"SUBTOTAL",$L$45:$Z$45)</f>
        <v>2.550418484508528</v>
      </c>
    </row>
    <row r="46" spans="1:27" ht="11.25" customHeight="1" x14ac:dyDescent="0.25">
      <c r="A46" s="130"/>
      <c r="B46" s="130"/>
      <c r="C46" s="130"/>
      <c r="D46" s="130"/>
      <c r="E46" s="130"/>
      <c r="F46" s="130"/>
      <c r="G46" s="32" t="s">
        <v>90</v>
      </c>
      <c r="H46" s="32" t="s">
        <v>88</v>
      </c>
      <c r="I46" s="32">
        <f>'MERCADO TE'!$U$43</f>
        <v>4172.1789999999992</v>
      </c>
      <c r="J46" s="17"/>
      <c r="L46" s="30">
        <f>'TE BE'!$L$46*'TE BF'!$L$57</f>
        <v>0</v>
      </c>
      <c r="M46" s="30">
        <f>'TE BE'!$M$46*'TE BF'!$M$57</f>
        <v>-12.929924264192657</v>
      </c>
      <c r="N46" s="30">
        <f>'TE BE'!$N$46*'TE BF'!$N$57</f>
        <v>0</v>
      </c>
      <c r="O46" s="30">
        <f>'TE BE'!$O$46*'TE BF'!$O$57</f>
        <v>-5.843490859077864</v>
      </c>
      <c r="P46" s="30">
        <f>SUM($L$46:$O$46)</f>
        <v>-18.773415123270521</v>
      </c>
      <c r="Q46" s="30">
        <f>'TE BE'!$Q$46*'TE BF'!$Q$57</f>
        <v>19.905637662510962</v>
      </c>
      <c r="R46" s="30">
        <f>SUM($Q$46:$Q$46)</f>
        <v>19.905637662510962</v>
      </c>
      <c r="S46" s="30">
        <f>'TE BE'!$S$46*'TE BF'!$S$57</f>
        <v>0.63524552433182913</v>
      </c>
      <c r="T46" s="30">
        <f>'TE BE'!$T$46*'TE BF'!$T$57</f>
        <v>0.25866598875024099</v>
      </c>
      <c r="U46" s="30">
        <f>'TE BE'!$U$46*'TE BF'!$U$57</f>
        <v>0</v>
      </c>
      <c r="V46" s="30">
        <f>SUM($S$46:$U$46)</f>
        <v>0.89391151308207006</v>
      </c>
      <c r="W46" s="30">
        <f>'TE BE'!$AA$46*'TE BF'!$W$57</f>
        <v>0</v>
      </c>
      <c r="X46" s="30">
        <f>SUM($W$46:$W$46)</f>
        <v>0</v>
      </c>
      <c r="Y46" s="30">
        <f>'TE BE'!$Y$46*'TE BF'!$Y$57</f>
        <v>0.52428443218601661</v>
      </c>
      <c r="Z46" s="30">
        <f>SUM($Y$46:$Y$46)</f>
        <v>0.52428443218601661</v>
      </c>
      <c r="AA46" s="30">
        <f>SUMIF($L$4:$Z$4,"SUBTOTAL",$L$46:$Z$46)</f>
        <v>2.550418484508528</v>
      </c>
    </row>
    <row r="47" spans="1:27" ht="11.25" customHeight="1" x14ac:dyDescent="0.25">
      <c r="A47" s="130"/>
      <c r="B47" s="38" t="s">
        <v>96</v>
      </c>
      <c r="C47" s="38" t="s">
        <v>25</v>
      </c>
      <c r="D47" s="38" t="s">
        <v>25</v>
      </c>
      <c r="E47" s="38" t="s">
        <v>25</v>
      </c>
      <c r="F47" s="38" t="s">
        <v>25</v>
      </c>
      <c r="G47" s="32" t="s">
        <v>94</v>
      </c>
      <c r="H47" s="32" t="s">
        <v>88</v>
      </c>
      <c r="I47" s="32">
        <f>'MERCADO TE'!$U$44</f>
        <v>1033015.7139999998</v>
      </c>
      <c r="J47" s="17"/>
      <c r="L47" s="30">
        <f>'TE BE'!$L$47*'TE BF'!$L$57</f>
        <v>0</v>
      </c>
      <c r="M47" s="30">
        <f>'TE BE'!$M$47*'TE BF'!$M$57</f>
        <v>-12.929924264192657</v>
      </c>
      <c r="N47" s="30">
        <f>'TE BE'!$N$47*'TE BF'!$N$57</f>
        <v>0</v>
      </c>
      <c r="O47" s="30">
        <f>'TE BE'!$O$47*'TE BF'!$O$57</f>
        <v>-5.843490859077864</v>
      </c>
      <c r="P47" s="30">
        <f>SUM($L$47:$O$47)</f>
        <v>-18.773415123270521</v>
      </c>
      <c r="Q47" s="30">
        <f>'TE BE'!$Q$47*'TE BF'!$Q$57</f>
        <v>21.099975922261621</v>
      </c>
      <c r="R47" s="30">
        <f>SUM($Q$47:$Q$47)</f>
        <v>21.099975922261621</v>
      </c>
      <c r="S47" s="30">
        <f>'TE BE'!$S$47*'TE BF'!$S$57</f>
        <v>0.63524552433182913</v>
      </c>
      <c r="T47" s="30">
        <f>'TE BE'!$T$47*'TE BF'!$T$57</f>
        <v>0.25866598875024099</v>
      </c>
      <c r="U47" s="30">
        <f>'TE BE'!$U$47*'TE BF'!$U$57</f>
        <v>0</v>
      </c>
      <c r="V47" s="30">
        <f>SUM($S$47:$U$47)</f>
        <v>0.89391151308207006</v>
      </c>
      <c r="W47" s="30">
        <f>'TE BE'!$AA$47*'TE BF'!$W$57</f>
        <v>0</v>
      </c>
      <c r="X47" s="30">
        <f>SUM($W$47:$W$47)</f>
        <v>0</v>
      </c>
      <c r="Y47" s="30">
        <f>'TE BE'!$Y$47*'TE BF'!$Y$57</f>
        <v>0.52428443218601661</v>
      </c>
      <c r="Z47" s="30">
        <f>SUM($Y$47:$Y$47)</f>
        <v>0.52428443218601661</v>
      </c>
      <c r="AA47" s="30">
        <f>SUMIF($L$4:$Z$4,"SUBTOTAL",$L$47:$Z$47)</f>
        <v>3.7447567442591865</v>
      </c>
    </row>
    <row r="48" spans="1:27" ht="11.25" customHeight="1" x14ac:dyDescent="0.25">
      <c r="A48" s="130"/>
      <c r="B48" s="38" t="s">
        <v>101</v>
      </c>
      <c r="C48" s="38" t="s">
        <v>25</v>
      </c>
      <c r="D48" s="38" t="s">
        <v>25</v>
      </c>
      <c r="E48" s="38" t="s">
        <v>25</v>
      </c>
      <c r="F48" s="38" t="s">
        <v>25</v>
      </c>
      <c r="G48" s="32" t="s">
        <v>94</v>
      </c>
      <c r="H48" s="32" t="s">
        <v>88</v>
      </c>
      <c r="I48" s="32">
        <f>'MERCADO TE'!$U$45</f>
        <v>0</v>
      </c>
      <c r="J48" s="17"/>
      <c r="L48" s="30">
        <f>'TE BE'!$L$48*'TE BF'!$L$57</f>
        <v>0</v>
      </c>
      <c r="M48" s="30">
        <f>'TE BE'!$M$48*'TE BF'!$M$57</f>
        <v>-12.929924264192657</v>
      </c>
      <c r="N48" s="30">
        <f>'TE BE'!$N$48*'TE BF'!$N$57</f>
        <v>0</v>
      </c>
      <c r="O48" s="30">
        <f>'TE BE'!$O$48*'TE BF'!$O$57</f>
        <v>-5.843490859077864</v>
      </c>
      <c r="P48" s="30">
        <f>SUM($L$48:$O$48)</f>
        <v>-18.773415123270521</v>
      </c>
      <c r="Q48" s="30">
        <f>'TE BE'!$Q$48*'TE BF'!$Q$57</f>
        <v>21.099975922261621</v>
      </c>
      <c r="R48" s="30">
        <f>SUM($Q$48:$Q$48)</f>
        <v>21.099975922261621</v>
      </c>
      <c r="S48" s="30">
        <f>'TE BE'!$S$48*'TE BF'!$S$57</f>
        <v>0.63524552433182913</v>
      </c>
      <c r="T48" s="30">
        <f>'TE BE'!$T$48*'TE BF'!$T$57</f>
        <v>0.25866598875024099</v>
      </c>
      <c r="U48" s="30">
        <f>'TE BE'!$U$48*'TE BF'!$U$57</f>
        <v>0</v>
      </c>
      <c r="V48" s="30">
        <f>SUM($S$48:$U$48)</f>
        <v>0.89391151308207006</v>
      </c>
      <c r="W48" s="30">
        <f>'TE BE'!$AA$48*'TE BF'!$W$57</f>
        <v>0</v>
      </c>
      <c r="X48" s="30">
        <f>SUM($W$48:$W$48)</f>
        <v>0</v>
      </c>
      <c r="Y48" s="30">
        <f>'TE BE'!$Y$48*'TE BF'!$Y$57</f>
        <v>0.52428443218601661</v>
      </c>
      <c r="Z48" s="30">
        <f>SUM($Y$48:$Y$48)</f>
        <v>0.52428443218601661</v>
      </c>
      <c r="AA48" s="30">
        <f>SUMIF($L$4:$Z$4,"SUBTOTAL",$L$48:$Z$48)</f>
        <v>3.7447567442591865</v>
      </c>
    </row>
    <row r="49" spans="1:27" ht="11.25" customHeight="1" x14ac:dyDescent="0.25">
      <c r="A49" s="130" t="s">
        <v>49</v>
      </c>
      <c r="B49" s="130" t="s">
        <v>96</v>
      </c>
      <c r="C49" s="130" t="s">
        <v>50</v>
      </c>
      <c r="D49" s="38" t="s">
        <v>51</v>
      </c>
      <c r="E49" s="38" t="s">
        <v>25</v>
      </c>
      <c r="F49" s="38" t="s">
        <v>25</v>
      </c>
      <c r="G49" s="32" t="s">
        <v>94</v>
      </c>
      <c r="H49" s="32" t="s">
        <v>88</v>
      </c>
      <c r="I49" s="32">
        <f>'MERCADO TE'!$U$46</f>
        <v>418118.94</v>
      </c>
      <c r="J49" s="17"/>
      <c r="L49" s="30">
        <f>'TE BE'!$L$49*'TE BF'!$L$57</f>
        <v>0</v>
      </c>
      <c r="M49" s="30">
        <f>'TE BE'!$M$49*'TE BF'!$M$57</f>
        <v>-7.1114583453059623</v>
      </c>
      <c r="N49" s="30">
        <f>'TE BE'!$N$49*'TE BF'!$N$57</f>
        <v>0</v>
      </c>
      <c r="O49" s="30">
        <f>'TE BE'!$O$49*'TE BF'!$O$57</f>
        <v>-3.2139199724928256</v>
      </c>
      <c r="P49" s="30">
        <f>SUM($L$49:$O$49)</f>
        <v>-10.325378317798787</v>
      </c>
      <c r="Q49" s="30">
        <f>'TE BE'!$Q$49*'TE BF'!$Q$57</f>
        <v>11.604986757243891</v>
      </c>
      <c r="R49" s="30">
        <f>SUM($Q$49:$Q$49)</f>
        <v>11.604986757243891</v>
      </c>
      <c r="S49" s="30">
        <f>'TE BE'!$S$49*'TE BF'!$S$57</f>
        <v>0.34938503838250601</v>
      </c>
      <c r="T49" s="30">
        <f>'TE BE'!$T$49*'TE BF'!$T$57</f>
        <v>0.14226629381263256</v>
      </c>
      <c r="U49" s="30">
        <f>'TE BE'!$U$49*'TE BF'!$U$57</f>
        <v>0</v>
      </c>
      <c r="V49" s="30">
        <f>SUM($S$49:$U$49)</f>
        <v>0.49165133219513857</v>
      </c>
      <c r="W49" s="30">
        <f>'TE BE'!$AA$49*'TE BF'!$W$57</f>
        <v>0</v>
      </c>
      <c r="X49" s="30">
        <f>SUM($W$49:$W$49)</f>
        <v>0</v>
      </c>
      <c r="Y49" s="30">
        <f>'TE BE'!$Y$49*'TE BF'!$Y$57</f>
        <v>0.28835643770230918</v>
      </c>
      <c r="Z49" s="30">
        <f>SUM($Y$49:$Y$49)</f>
        <v>0.28835643770230918</v>
      </c>
      <c r="AA49" s="30">
        <f>SUMIF($L$4:$Z$4,"SUBTOTAL",$L$49:$Z$49)</f>
        <v>2.0596162093425519</v>
      </c>
    </row>
    <row r="50" spans="1:27" ht="11.25" customHeight="1" x14ac:dyDescent="0.25">
      <c r="A50" s="130"/>
      <c r="B50" s="130"/>
      <c r="C50" s="130"/>
      <c r="D50" s="32" t="s">
        <v>105</v>
      </c>
      <c r="E50" s="32" t="s">
        <v>25</v>
      </c>
      <c r="F50" s="32" t="s">
        <v>25</v>
      </c>
      <c r="G50" s="32" t="s">
        <v>94</v>
      </c>
      <c r="H50" s="32" t="s">
        <v>88</v>
      </c>
      <c r="I50" s="32">
        <f>'MERCADO TE'!$U$47</f>
        <v>0</v>
      </c>
      <c r="J50" s="17"/>
      <c r="L50" s="30">
        <f>'TE BE'!$L$50*'TE BF'!$L$57</f>
        <v>0</v>
      </c>
      <c r="M50" s="30">
        <f>'TE BE'!$M$50*'TE BF'!$M$57</f>
        <v>-7.7579545585155936</v>
      </c>
      <c r="N50" s="30">
        <f>'TE BE'!$N$50*'TE BF'!$N$57</f>
        <v>0</v>
      </c>
      <c r="O50" s="30">
        <f>'TE BE'!$O$50*'TE BF'!$O$57</f>
        <v>-3.5060945154467182</v>
      </c>
      <c r="P50" s="30">
        <f>SUM($L$50:$O$50)</f>
        <v>-11.264049073962312</v>
      </c>
      <c r="Q50" s="30">
        <f>'TE BE'!$Q$50*'TE BF'!$Q$57</f>
        <v>12.65998555335697</v>
      </c>
      <c r="R50" s="30">
        <f>SUM($Q$50:$Q$50)</f>
        <v>12.65998555335697</v>
      </c>
      <c r="S50" s="30">
        <f>'TE BE'!$S$50*'TE BF'!$S$57</f>
        <v>0.3811473145990974</v>
      </c>
      <c r="T50" s="30">
        <f>'TE BE'!$T$50*'TE BF'!$T$57</f>
        <v>0.15519959325014457</v>
      </c>
      <c r="U50" s="30">
        <f>'TE BE'!$U$50*'TE BF'!$U$57</f>
        <v>0</v>
      </c>
      <c r="V50" s="30">
        <f>SUM($S$50:$U$50)</f>
        <v>0.53634690784924199</v>
      </c>
      <c r="W50" s="30">
        <f>'TE BE'!$AA$50*'TE BF'!$W$57</f>
        <v>0</v>
      </c>
      <c r="X50" s="30">
        <f>SUM($W$50:$W$50)</f>
        <v>0</v>
      </c>
      <c r="Y50" s="30">
        <f>'TE BE'!$Y$50*'TE BF'!$Y$57</f>
        <v>0.31457065931160993</v>
      </c>
      <c r="Z50" s="30">
        <f>SUM($Y$50:$Y$50)</f>
        <v>0.31457065931160993</v>
      </c>
      <c r="AA50" s="30">
        <f>SUMIF($L$4:$Z$4,"SUBTOTAL",$L$50:$Z$50)</f>
        <v>2.24685404655551</v>
      </c>
    </row>
    <row r="52" spans="1:27" ht="11.25" customHeight="1" x14ac:dyDescent="0.25">
      <c r="K52" s="37" t="s">
        <v>1077</v>
      </c>
      <c r="L52" s="30">
        <f t="shared" ref="L52:AA52" si="0">SUMPRODUCT($I$5:$I$50,L$5:L$50)</f>
        <v>0</v>
      </c>
      <c r="M52" s="30">
        <f t="shared" si="0"/>
        <v>-66636027.845815115</v>
      </c>
      <c r="N52" s="30">
        <f t="shared" si="0"/>
        <v>0</v>
      </c>
      <c r="O52" s="30">
        <f t="shared" si="0"/>
        <v>-30115181.778799996</v>
      </c>
      <c r="P52" s="30">
        <f t="shared" si="0"/>
        <v>-96751209.624615058</v>
      </c>
      <c r="Q52" s="30">
        <f t="shared" si="0"/>
        <v>108828866.61412276</v>
      </c>
      <c r="R52" s="30">
        <f t="shared" si="0"/>
        <v>108828866.61412276</v>
      </c>
      <c r="S52" s="30">
        <f t="shared" si="0"/>
        <v>3273819.5200053845</v>
      </c>
      <c r="T52" s="30">
        <f t="shared" si="0"/>
        <v>1333068.4447131678</v>
      </c>
      <c r="U52" s="30">
        <f t="shared" si="0"/>
        <v>0</v>
      </c>
      <c r="V52" s="30">
        <f t="shared" si="0"/>
        <v>4606887.9647185532</v>
      </c>
      <c r="W52" s="30">
        <f t="shared" si="0"/>
        <v>0</v>
      </c>
      <c r="X52" s="30">
        <f t="shared" si="0"/>
        <v>0</v>
      </c>
      <c r="Y52" s="30">
        <f t="shared" si="0"/>
        <v>2701967.2589285797</v>
      </c>
      <c r="Z52" s="30">
        <f t="shared" si="0"/>
        <v>2701967.2589285797</v>
      </c>
      <c r="AA52" s="30">
        <f t="shared" si="0"/>
        <v>19386512.2131548</v>
      </c>
    </row>
    <row r="53" spans="1:27" ht="11.25" customHeight="1" x14ac:dyDescent="0.25">
      <c r="K53" s="37" t="s">
        <v>998</v>
      </c>
      <c r="L53" s="30">
        <f>CUSTOS!$D$30</f>
        <v>12885056.963748746</v>
      </c>
      <c r="M53" s="30">
        <f>CUSTOS!$D$31</f>
        <v>62055958.389039129</v>
      </c>
      <c r="N53" s="30">
        <f>CUSTOS!$D$32</f>
        <v>0</v>
      </c>
      <c r="O53" s="30">
        <f>CUSTOS!$D$33</f>
        <v>9.9999999999999995E-7</v>
      </c>
      <c r="P53" s="30">
        <f>CUSTOS!$D$34</f>
        <v>74941015.35278888</v>
      </c>
      <c r="Q53" s="30">
        <f>CUSTOS!$D$35</f>
        <v>1205076078.106612</v>
      </c>
      <c r="R53" s="30">
        <f>CUSTOS!$D$36</f>
        <v>1205076078.106612</v>
      </c>
      <c r="S53" s="30">
        <f>CUSTOS!$D$37</f>
        <v>38962447.099574491</v>
      </c>
      <c r="T53" s="30">
        <f>CUSTOS!$D$38</f>
        <v>28663041.858749997</v>
      </c>
      <c r="U53" s="30">
        <f>CUSTOS!$D$39</f>
        <v>0</v>
      </c>
      <c r="V53" s="30">
        <f>CUSTOS!$D$40</f>
        <v>67625488.958324492</v>
      </c>
      <c r="W53" s="30">
        <f>CUSTOS!$D$41</f>
        <v>0</v>
      </c>
      <c r="X53" s="30">
        <f>CUSTOS!$D$42</f>
        <v>0</v>
      </c>
      <c r="Y53" s="30">
        <f>CUSTOS!$D$43</f>
        <v>29919231.991152462</v>
      </c>
      <c r="Z53" s="30">
        <f>CUSTOS!$D$44</f>
        <v>29919231.991152462</v>
      </c>
      <c r="AA53" s="30">
        <f>CUSTOS!$D$45</f>
        <v>1377561814.4088778</v>
      </c>
    </row>
    <row r="54" spans="1:27" ht="11.25" customHeight="1" x14ac:dyDescent="0.25">
      <c r="K54" s="37" t="s">
        <v>999</v>
      </c>
      <c r="L54" s="30">
        <f>CUSTOS!$E$30</f>
        <v>1733.6050900268199</v>
      </c>
      <c r="M54" s="30">
        <f>CUSTOS!$E$31</f>
        <v>76043107.666173726</v>
      </c>
      <c r="N54" s="30">
        <f>CUSTOS!$E$32</f>
        <v>0</v>
      </c>
      <c r="O54" s="30">
        <f>CUSTOS!$E$33</f>
        <v>-754995.89864914492</v>
      </c>
      <c r="P54" s="30">
        <f>CUSTOS!$E$34</f>
        <v>75289845.372614607</v>
      </c>
      <c r="Q54" s="30">
        <f>CUSTOS!$E$35</f>
        <v>-213945227.26810828</v>
      </c>
      <c r="R54" s="30">
        <f>CUSTOS!$E$36</f>
        <v>-213945227.26810828</v>
      </c>
      <c r="S54" s="30">
        <f>CUSTOS!$E$37</f>
        <v>-2409439.5850232132</v>
      </c>
      <c r="T54" s="30">
        <f>CUSTOS!$E$38</f>
        <v>2157542.0832314007</v>
      </c>
      <c r="U54" s="30">
        <f>CUSTOS!$E$39</f>
        <v>0</v>
      </c>
      <c r="V54" s="30">
        <f>CUSTOS!$E$40</f>
        <v>-251897.50179181248</v>
      </c>
      <c r="W54" s="30">
        <f>CUSTOS!$E$41</f>
        <v>0</v>
      </c>
      <c r="X54" s="30">
        <f>CUSTOS!$E$42</f>
        <v>0</v>
      </c>
      <c r="Y54" s="30">
        <f>CUSTOS!$E$43</f>
        <v>-5311761.6425442575</v>
      </c>
      <c r="Z54" s="30">
        <f>CUSTOS!$E$44</f>
        <v>-5311761.6425442575</v>
      </c>
      <c r="AA54" s="30">
        <f>CUSTOS!$E$45</f>
        <v>-144219041.03982976</v>
      </c>
    </row>
    <row r="55" spans="1:27" ht="11.25" customHeight="1" x14ac:dyDescent="0.25">
      <c r="K55" s="37" t="s">
        <v>1000</v>
      </c>
      <c r="L55" s="30">
        <f>CUSTOS!$F$30</f>
        <v>0</v>
      </c>
      <c r="M55" s="30">
        <f>CUSTOS!$F$31</f>
        <v>-66636027.845815107</v>
      </c>
      <c r="N55" s="30">
        <f>CUSTOS!$F$32</f>
        <v>0</v>
      </c>
      <c r="O55" s="30">
        <f>CUSTOS!$F$33</f>
        <v>-30115181.7788</v>
      </c>
      <c r="P55" s="30">
        <f>CUSTOS!$F$34</f>
        <v>-96751209.624615103</v>
      </c>
      <c r="Q55" s="30">
        <f>CUSTOS!$F$35</f>
        <v>108828866.61412276</v>
      </c>
      <c r="R55" s="30">
        <f>CUSTOS!$F$36</f>
        <v>108828866.61412276</v>
      </c>
      <c r="S55" s="30">
        <f>CUSTOS!$F$37</f>
        <v>3273819.5200053854</v>
      </c>
      <c r="T55" s="30">
        <f>CUSTOS!$F$38</f>
        <v>1333068.4447131678</v>
      </c>
      <c r="U55" s="30">
        <f>CUSTOS!$F$39</f>
        <v>0</v>
      </c>
      <c r="V55" s="30">
        <f>CUSTOS!$F$40</f>
        <v>4606887.9647185532</v>
      </c>
      <c r="W55" s="30">
        <f>CUSTOS!$F$41</f>
        <v>0</v>
      </c>
      <c r="X55" s="30">
        <f>CUSTOS!$F$42</f>
        <v>0</v>
      </c>
      <c r="Y55" s="30">
        <f>CUSTOS!$F$43</f>
        <v>2701967.2589285802</v>
      </c>
      <c r="Z55" s="30">
        <f>CUSTOS!$F$44</f>
        <v>2701967.2589285802</v>
      </c>
      <c r="AA55" s="30">
        <f>CUSTOS!$F$45</f>
        <v>19386512.213154793</v>
      </c>
    </row>
    <row r="56" spans="1:27" ht="11.25" customHeight="1" x14ac:dyDescent="0.25"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</row>
    <row r="57" spans="1:27" ht="11.25" customHeight="1" x14ac:dyDescent="0.25"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</row>
    <row r="58" spans="1:27" ht="11.25" customHeight="1" x14ac:dyDescent="0.25"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</row>
  </sheetData>
  <mergeCells count="79">
    <mergeCell ref="Q3:R3"/>
    <mergeCell ref="S3:V3"/>
    <mergeCell ref="W3:X3"/>
    <mergeCell ref="A1:A4"/>
    <mergeCell ref="B1:B4"/>
    <mergeCell ref="C1:C4"/>
    <mergeCell ref="D1:D4"/>
    <mergeCell ref="E1:E4"/>
    <mergeCell ref="F1:F4"/>
    <mergeCell ref="F7:F8"/>
    <mergeCell ref="Y3:Z3"/>
    <mergeCell ref="AA3:AA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A1"/>
    <mergeCell ref="L2:AA2"/>
    <mergeCell ref="L3:P3"/>
    <mergeCell ref="A7:A9"/>
    <mergeCell ref="B7:B8"/>
    <mergeCell ref="C7:C8"/>
    <mergeCell ref="D7:D8"/>
    <mergeCell ref="E7:E8"/>
    <mergeCell ref="F13:F14"/>
    <mergeCell ref="A10:A12"/>
    <mergeCell ref="B10:B11"/>
    <mergeCell ref="C10:C11"/>
    <mergeCell ref="D10:D11"/>
    <mergeCell ref="E10:E11"/>
    <mergeCell ref="F10:F11"/>
    <mergeCell ref="A13:A15"/>
    <mergeCell ref="B13:B14"/>
    <mergeCell ref="C13:C14"/>
    <mergeCell ref="D13:D14"/>
    <mergeCell ref="E13:E14"/>
    <mergeCell ref="F16:F18"/>
    <mergeCell ref="B19:B23"/>
    <mergeCell ref="C19:C23"/>
    <mergeCell ref="B24:B28"/>
    <mergeCell ref="C24:C28"/>
    <mergeCell ref="A16:A28"/>
    <mergeCell ref="B16:B18"/>
    <mergeCell ref="C16:C18"/>
    <mergeCell ref="D16:D18"/>
    <mergeCell ref="E16:E18"/>
    <mergeCell ref="D37:D39"/>
    <mergeCell ref="E37:E39"/>
    <mergeCell ref="F37:F39"/>
    <mergeCell ref="D29:D31"/>
    <mergeCell ref="E29:E31"/>
    <mergeCell ref="F29:F31"/>
    <mergeCell ref="D33:D35"/>
    <mergeCell ref="E33:E35"/>
    <mergeCell ref="F33:F35"/>
    <mergeCell ref="B41:B43"/>
    <mergeCell ref="C41:C43"/>
    <mergeCell ref="A44:A48"/>
    <mergeCell ref="B44:B46"/>
    <mergeCell ref="C44:C46"/>
    <mergeCell ref="A29:A43"/>
    <mergeCell ref="B29:B31"/>
    <mergeCell ref="C29:C31"/>
    <mergeCell ref="B37:B39"/>
    <mergeCell ref="C37:C39"/>
    <mergeCell ref="B33:B35"/>
    <mergeCell ref="C33:C35"/>
    <mergeCell ref="E44:E46"/>
    <mergeCell ref="F44:F46"/>
    <mergeCell ref="A49:A50"/>
    <mergeCell ref="B49:B50"/>
    <mergeCell ref="C49:C50"/>
    <mergeCell ref="D44:D46"/>
  </mergeCells>
  <conditionalFormatting sqref="L52">
    <cfRule type="cellIs" dxfId="1409" priority="31" operator="notEqual">
      <formula>$L$55</formula>
    </cfRule>
    <cfRule type="cellIs" dxfId="1408" priority="32" operator="equal">
      <formula>$L$55</formula>
    </cfRule>
  </conditionalFormatting>
  <conditionalFormatting sqref="M52">
    <cfRule type="cellIs" dxfId="1407" priority="29" operator="notEqual">
      <formula>$M$55</formula>
    </cfRule>
    <cfRule type="cellIs" dxfId="1406" priority="30" operator="equal">
      <formula>$M$55</formula>
    </cfRule>
  </conditionalFormatting>
  <conditionalFormatting sqref="N52">
    <cfRule type="cellIs" dxfId="1405" priority="27" operator="notEqual">
      <formula>$N$55</formula>
    </cfRule>
    <cfRule type="cellIs" dxfId="1404" priority="28" operator="equal">
      <formula>$N$55</formula>
    </cfRule>
  </conditionalFormatting>
  <conditionalFormatting sqref="O52">
    <cfRule type="cellIs" dxfId="1403" priority="25" operator="notEqual">
      <formula>$O$55</formula>
    </cfRule>
    <cfRule type="cellIs" dxfId="1402" priority="26" operator="equal">
      <formula>$O$55</formula>
    </cfRule>
  </conditionalFormatting>
  <conditionalFormatting sqref="P52">
    <cfRule type="cellIs" dxfId="1401" priority="23" operator="notEqual">
      <formula>$P$55</formula>
    </cfRule>
    <cfRule type="cellIs" dxfId="1400" priority="24" operator="equal">
      <formula>$P$55</formula>
    </cfRule>
  </conditionalFormatting>
  <conditionalFormatting sqref="Q52">
    <cfRule type="cellIs" dxfId="1399" priority="21" operator="notEqual">
      <formula>$Q$55</formula>
    </cfRule>
    <cfRule type="cellIs" dxfId="1398" priority="22" operator="equal">
      <formula>$Q$55</formula>
    </cfRule>
  </conditionalFormatting>
  <conditionalFormatting sqref="R52">
    <cfRule type="cellIs" dxfId="1397" priority="19" operator="notEqual">
      <formula>$R$55</formula>
    </cfRule>
    <cfRule type="cellIs" dxfId="1396" priority="20" operator="equal">
      <formula>$R$55</formula>
    </cfRule>
  </conditionalFormatting>
  <conditionalFormatting sqref="S52">
    <cfRule type="cellIs" dxfId="1395" priority="17" operator="notEqual">
      <formula>$S$55</formula>
    </cfRule>
    <cfRule type="cellIs" dxfId="1394" priority="18" operator="equal">
      <formula>$S$55</formula>
    </cfRule>
  </conditionalFormatting>
  <conditionalFormatting sqref="T52">
    <cfRule type="cellIs" dxfId="1393" priority="15" operator="notEqual">
      <formula>$T$55</formula>
    </cfRule>
    <cfRule type="cellIs" dxfId="1392" priority="16" operator="equal">
      <formula>$T$55</formula>
    </cfRule>
  </conditionalFormatting>
  <conditionalFormatting sqref="U52">
    <cfRule type="cellIs" dxfId="1391" priority="13" operator="notEqual">
      <formula>$U$55</formula>
    </cfRule>
    <cfRule type="cellIs" dxfId="1390" priority="14" operator="equal">
      <formula>$U$55</formula>
    </cfRule>
  </conditionalFormatting>
  <conditionalFormatting sqref="V52">
    <cfRule type="cellIs" dxfId="1389" priority="11" operator="notEqual">
      <formula>$V$55</formula>
    </cfRule>
    <cfRule type="cellIs" dxfId="1388" priority="12" operator="equal">
      <formula>$V$55</formula>
    </cfRule>
  </conditionalFormatting>
  <conditionalFormatting sqref="W52">
    <cfRule type="cellIs" dxfId="1387" priority="9" operator="notEqual">
      <formula>$W$55</formula>
    </cfRule>
    <cfRule type="cellIs" dxfId="1386" priority="10" operator="equal">
      <formula>$W$55</formula>
    </cfRule>
  </conditionalFormatting>
  <conditionalFormatting sqref="X52">
    <cfRule type="cellIs" dxfId="1385" priority="7" operator="notEqual">
      <formula>$X$55</formula>
    </cfRule>
    <cfRule type="cellIs" dxfId="1384" priority="8" operator="equal">
      <formula>$X$55</formula>
    </cfRule>
  </conditionalFormatting>
  <conditionalFormatting sqref="Y52">
    <cfRule type="cellIs" dxfId="1383" priority="5" operator="notEqual">
      <formula>$Y$55</formula>
    </cfRule>
    <cfRule type="cellIs" dxfId="1382" priority="6" operator="equal">
      <formula>$Y$55</formula>
    </cfRule>
  </conditionalFormatting>
  <conditionalFormatting sqref="Z52">
    <cfRule type="cellIs" dxfId="1381" priority="3" operator="notEqual">
      <formula>$Z$55</formula>
    </cfRule>
    <cfRule type="cellIs" dxfId="1380" priority="4" operator="equal">
      <formula>$Z$55</formula>
    </cfRule>
  </conditionalFormatting>
  <conditionalFormatting sqref="AA52">
    <cfRule type="cellIs" dxfId="1379" priority="1" operator="notEqual">
      <formula>$AA$55</formula>
    </cfRule>
    <cfRule type="cellIs" dxfId="1378" priority="2" operator="equal">
      <formula>$AA$55</formula>
    </cfRule>
  </conditionalFormatting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83728-A9E9-4F31-AF50-D2823C08A6E8}">
  <dimension ref="A1:AV2285"/>
  <sheetViews>
    <sheetView showGridLines="0" topLeftCell="AF1" workbookViewId="0">
      <selection sqref="A1:AG2285"/>
    </sheetView>
  </sheetViews>
  <sheetFormatPr defaultColWidth="8.85546875" defaultRowHeight="11.25" customHeight="1" x14ac:dyDescent="0.25"/>
  <cols>
    <col min="1" max="1" width="18" style="4" bestFit="1" customWidth="1"/>
    <col min="2" max="2" width="12.140625" style="4" bestFit="1" customWidth="1"/>
    <col min="3" max="3" width="13.5703125" style="4" bestFit="1" customWidth="1"/>
    <col min="4" max="4" width="12.7109375" style="4" bestFit="1" customWidth="1"/>
    <col min="5" max="5" width="23.140625" style="4" bestFit="1" customWidth="1"/>
    <col min="6" max="6" width="12.85546875" style="4" bestFit="1" customWidth="1"/>
    <col min="7" max="7" width="13.42578125" style="4" bestFit="1" customWidth="1"/>
    <col min="8" max="8" width="9.5703125" style="4" bestFit="1" customWidth="1"/>
    <col min="9" max="9" width="10.7109375" style="5" bestFit="1" customWidth="1"/>
    <col min="10" max="11" width="7.85546875" style="6" bestFit="1" customWidth="1"/>
    <col min="12" max="12" width="10.7109375" style="6" bestFit="1" customWidth="1"/>
    <col min="13" max="13" width="12.140625" style="6" bestFit="1" customWidth="1"/>
    <col min="14" max="14" width="8.7109375" style="6" bestFit="1" customWidth="1"/>
    <col min="15" max="15" width="10" style="6" bestFit="1" customWidth="1"/>
    <col min="16" max="16" width="7.85546875" style="6" bestFit="1" customWidth="1"/>
    <col min="17" max="17" width="10.7109375" style="4" bestFit="1" customWidth="1"/>
    <col min="18" max="18" width="12.42578125" style="4" bestFit="1" customWidth="1"/>
    <col min="19" max="19" width="21.85546875" style="4" bestFit="1" customWidth="1"/>
    <col min="20" max="20" width="23.28515625" style="4" bestFit="1" customWidth="1"/>
    <col min="21" max="21" width="21" style="4" bestFit="1" customWidth="1"/>
    <col min="22" max="22" width="14.85546875" style="4" bestFit="1" customWidth="1"/>
    <col min="23" max="23" width="16.28515625" style="4" bestFit="1" customWidth="1"/>
    <col min="24" max="24" width="14.140625" style="4" bestFit="1" customWidth="1"/>
    <col min="25" max="25" width="19.5703125" style="4" bestFit="1" customWidth="1"/>
    <col min="26" max="26" width="20.85546875" style="4" bestFit="1" customWidth="1"/>
    <col min="27" max="27" width="18.7109375" style="4" bestFit="1" customWidth="1"/>
    <col min="28" max="28" width="21.7109375" style="4" bestFit="1" customWidth="1"/>
    <col min="29" max="29" width="23" style="4" bestFit="1" customWidth="1"/>
    <col min="30" max="30" width="20.7109375" style="4" bestFit="1" customWidth="1"/>
    <col min="31" max="31" width="22.7109375" style="4" bestFit="1" customWidth="1"/>
    <col min="32" max="32" width="24" style="4" bestFit="1" customWidth="1"/>
    <col min="33" max="33" width="21.85546875" style="4" bestFit="1" customWidth="1"/>
    <col min="34" max="34" width="8.85546875" style="4"/>
    <col min="35" max="35" width="9" style="4" bestFit="1" customWidth="1"/>
    <col min="36" max="36" width="13.5703125" style="4" bestFit="1" customWidth="1"/>
    <col min="37" max="37" width="14.5703125" style="4" bestFit="1" customWidth="1"/>
    <col min="38" max="38" width="8.28515625" style="4" bestFit="1" customWidth="1"/>
    <col min="39" max="39" width="8.85546875" style="4"/>
    <col min="40" max="40" width="9" style="4" bestFit="1" customWidth="1"/>
    <col min="41" max="41" width="11.85546875" style="4" bestFit="1" customWidth="1"/>
    <col min="42" max="42" width="12.28515625" style="4" bestFit="1" customWidth="1"/>
    <col min="43" max="43" width="8.28515625" style="4" bestFit="1" customWidth="1"/>
    <col min="44" max="44" width="8.85546875" style="4"/>
    <col min="45" max="45" width="9" style="4" bestFit="1" customWidth="1"/>
    <col min="46" max="47" width="11.85546875" style="4" bestFit="1" customWidth="1"/>
    <col min="48" max="48" width="8.28515625" style="4" bestFit="1" customWidth="1"/>
    <col min="49" max="16384" width="8.85546875" style="4"/>
  </cols>
  <sheetData>
    <row r="1" spans="1:48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1100</v>
      </c>
      <c r="W1" s="1" t="s">
        <v>1101</v>
      </c>
      <c r="X1" s="1" t="s">
        <v>1102</v>
      </c>
      <c r="Y1" s="1" t="s">
        <v>1103</v>
      </c>
      <c r="Z1" s="1" t="s">
        <v>1104</v>
      </c>
      <c r="AA1" s="1" t="s">
        <v>1105</v>
      </c>
      <c r="AB1" s="1" t="s">
        <v>1118</v>
      </c>
      <c r="AC1" s="1" t="s">
        <v>1119</v>
      </c>
      <c r="AD1" s="1" t="s">
        <v>1120</v>
      </c>
      <c r="AE1" s="1" t="s">
        <v>1121</v>
      </c>
      <c r="AF1" s="1" t="s">
        <v>1122</v>
      </c>
      <c r="AG1" s="1" t="s">
        <v>1123</v>
      </c>
      <c r="AI1" s="52" t="s">
        <v>78</v>
      </c>
      <c r="AJ1" s="52" t="s">
        <v>1124</v>
      </c>
      <c r="AK1" s="52" t="s">
        <v>1125</v>
      </c>
      <c r="AL1" s="52" t="s">
        <v>1126</v>
      </c>
      <c r="AN1" s="52" t="s">
        <v>78</v>
      </c>
      <c r="AO1" s="52" t="s">
        <v>1127</v>
      </c>
      <c r="AP1" s="52" t="s">
        <v>1128</v>
      </c>
      <c r="AQ1" s="52" t="s">
        <v>1126</v>
      </c>
      <c r="AS1" s="52" t="s">
        <v>78</v>
      </c>
      <c r="AT1" s="52" t="s">
        <v>1129</v>
      </c>
      <c r="AU1" s="52" t="s">
        <v>1130</v>
      </c>
      <c r="AV1" s="52" t="s">
        <v>1126</v>
      </c>
    </row>
    <row r="2" spans="1:48" ht="11.25" customHeight="1" x14ac:dyDescent="0.25">
      <c r="A2" s="4" t="s">
        <v>21</v>
      </c>
      <c r="B2" s="4" t="s">
        <v>43</v>
      </c>
      <c r="C2" s="4" t="s">
        <v>41</v>
      </c>
      <c r="D2" s="4" t="s">
        <v>42</v>
      </c>
      <c r="E2" s="4" t="s">
        <v>25</v>
      </c>
      <c r="F2" s="4" t="s">
        <v>25</v>
      </c>
      <c r="G2" s="4" t="s">
        <v>25</v>
      </c>
      <c r="H2" s="4" t="s">
        <v>36</v>
      </c>
      <c r="I2" s="5">
        <v>43739</v>
      </c>
      <c r="J2" s="6">
        <v>900</v>
      </c>
      <c r="K2" s="6">
        <v>900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4" t="s">
        <v>26</v>
      </c>
      <c r="R2" s="4">
        <v>0</v>
      </c>
      <c r="S2" s="6">
        <v>2</v>
      </c>
      <c r="T2" s="6">
        <v>0</v>
      </c>
      <c r="U2" s="6">
        <v>0</v>
      </c>
      <c r="V2" s="6">
        <f>IF(ISERROR(VLOOKUP($S$2,'TAR FIN'!$A$1:$O$120,15,0)),0,VLOOKUP($S$2,'TAR FIN'!$A$1:$O$120,15,0))</f>
        <v>5.4</v>
      </c>
      <c r="W2" s="6">
        <f>IF(ISERROR(VLOOKUP($T$2,'TAR FIN'!$A$1:$O$120,15,0)),0,VLOOKUP($T$2,'TAR FIN'!$A$1:$O$120,15,0))</f>
        <v>0</v>
      </c>
      <c r="X2" s="6">
        <f>IF(ISERROR(VLOOKUP($U$2,'TAR FIN'!$A$1:$O$120,15,0)),0,VLOOKUP($U$2,'TAR FIN'!$A$1:$O$120,15,0))</f>
        <v>0</v>
      </c>
      <c r="Y2" s="6">
        <f ca="1">('TUSD BE'!$AM$6+'TUSD BF'!$AM$6+'TUSD CVA'!$AM$6)*1</f>
        <v>8.2823716907665279</v>
      </c>
      <c r="Z2" s="6">
        <f ca="1">('TUSD BE'!$AM$7+'TUSD BF'!$AM$7+'TUSD CVA'!$AM$7)*1</f>
        <v>64.02214134768171</v>
      </c>
      <c r="AA2" s="6">
        <f>('TE BE'!$AA$6+'TE BF'!$AA$6+'TE CVA'!$AA$6)*1</f>
        <v>230.83420940933817</v>
      </c>
      <c r="AB2" s="6">
        <f>$K$2*$V$2</f>
        <v>4860</v>
      </c>
      <c r="AC2" s="6">
        <f>$M$2*$W$2</f>
        <v>0</v>
      </c>
      <c r="AD2" s="6">
        <f>$O$2*$X$2</f>
        <v>0</v>
      </c>
      <c r="AE2" s="6">
        <f ca="1">$K$2*$Y$2</f>
        <v>7454.1345216898753</v>
      </c>
      <c r="AF2" s="6">
        <f ca="1">$M$2*$Z$2</f>
        <v>0</v>
      </c>
      <c r="AG2" s="6">
        <f>$O$2*$AA$2</f>
        <v>0</v>
      </c>
      <c r="AI2" s="53" t="s">
        <v>43</v>
      </c>
      <c r="AJ2" s="54">
        <f t="shared" ref="AJ2:AJ9" si="0">SUMIF($B$2:$B$2285,AI2,$AB$2:$AB$2285)+SUMIF($B$2:$B$2285,AI2,$AC$2:$AC$2285)</f>
        <v>52461785.756585985</v>
      </c>
      <c r="AK2" s="54">
        <f t="shared" ref="AK2:AK9" ca="1" si="1">SUMIF($B$2:$B$2285,AI2,$AE$2:$AE$2285)+SUMIF($B$2:$B$2285,AI2,$AF$2:$AF$2285)</f>
        <v>63719436.643515959</v>
      </c>
      <c r="AL2" s="55">
        <f t="shared" ref="AL2:AL12" ca="1" si="2">IF(AJ2&lt;&gt;0,AK2/AJ2-1,0)</f>
        <v>0.21458764173914346</v>
      </c>
      <c r="AN2" s="53" t="s">
        <v>43</v>
      </c>
      <c r="AO2" s="54">
        <f t="shared" ref="AO2:AO9" si="3">SUMIF($B$2:$B$2285,AN2,$AD$2:$AD$2285)</f>
        <v>25429270.829864398</v>
      </c>
      <c r="AP2" s="54">
        <f t="shared" ref="AP2:AP9" si="4">SUMIF($B$2:$B$2285,AN2,$AG$2:$AG$2285)</f>
        <v>23596401.453426439</v>
      </c>
      <c r="AQ2" s="55">
        <f t="shared" ref="AQ2:AQ12" si="5">IF(AO2&lt;&gt;0,AP2/AO2-1,0)</f>
        <v>-7.2077150332026774E-2</v>
      </c>
      <c r="AS2" s="53" t="s">
        <v>43</v>
      </c>
      <c r="AT2" s="54">
        <f t="shared" ref="AT2:AT9" si="6">SUMIF($B$2:$B$2285,AS2,$AB$2:$AB$2285)+SUMIF($B$2:$B$2285,AS2,$AC$2:$AC$2285)+SUMIF($B$2:$B$2285,AS2,$AD$2:$AD$2285)</f>
        <v>77891056.586450383</v>
      </c>
      <c r="AU2" s="54">
        <f t="shared" ref="AU2:AU9" ca="1" si="7">SUMIF($B$2:$B$2285,AS2,$AE$2:$AE$2285)+SUMIF($B$2:$B$2285,AS2,$AF$2:$AF$2285)+SUMIF($B$2:$B$2285,AS2,$AG$2:$AG$2285)</f>
        <v>87315838.096942395</v>
      </c>
      <c r="AV2" s="55">
        <f t="shared" ref="AV2:AV12" ca="1" si="8">IF(AT2&lt;&gt;0,AU2/AT2-1,0)</f>
        <v>0.12099953349626924</v>
      </c>
    </row>
    <row r="3" spans="1:48" ht="11.25" customHeight="1" x14ac:dyDescent="0.25">
      <c r="A3" s="4" t="s">
        <v>21</v>
      </c>
      <c r="B3" s="4" t="s">
        <v>43</v>
      </c>
      <c r="C3" s="4" t="s">
        <v>41</v>
      </c>
      <c r="D3" s="4" t="s">
        <v>42</v>
      </c>
      <c r="E3" s="4" t="s">
        <v>25</v>
      </c>
      <c r="F3" s="4" t="s">
        <v>25</v>
      </c>
      <c r="G3" s="4" t="s">
        <v>25</v>
      </c>
      <c r="H3" s="4" t="s">
        <v>36</v>
      </c>
      <c r="I3" s="5">
        <v>43770</v>
      </c>
      <c r="J3" s="6">
        <v>900</v>
      </c>
      <c r="K3" s="6">
        <v>900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4" t="s">
        <v>26</v>
      </c>
      <c r="R3" s="4">
        <v>0</v>
      </c>
      <c r="S3" s="6">
        <v>2</v>
      </c>
      <c r="T3" s="6">
        <v>0</v>
      </c>
      <c r="U3" s="6">
        <v>0</v>
      </c>
      <c r="V3" s="6">
        <f>IF(ISERROR(VLOOKUP($S$3,'TAR FIN'!$A$1:$O$120,15,0)),0,VLOOKUP($S$3,'TAR FIN'!$A$1:$O$120,15,0))</f>
        <v>5.4</v>
      </c>
      <c r="W3" s="6">
        <f>IF(ISERROR(VLOOKUP($T$3,'TAR FIN'!$A$1:$O$120,15,0)),0,VLOOKUP($T$3,'TAR FIN'!$A$1:$O$120,15,0))</f>
        <v>0</v>
      </c>
      <c r="X3" s="6">
        <f>IF(ISERROR(VLOOKUP($U$3,'TAR FIN'!$A$1:$O$120,15,0)),0,VLOOKUP($U$3,'TAR FIN'!$A$1:$O$120,15,0))</f>
        <v>0</v>
      </c>
      <c r="Y3" s="6">
        <f ca="1">('TUSD BE'!$AM$6+'TUSD BF'!$AM$6+'TUSD CVA'!$AM$6)*1</f>
        <v>8.2823716907665279</v>
      </c>
      <c r="Z3" s="6">
        <f ca="1">('TUSD BE'!$AM$7+'TUSD BF'!$AM$7+'TUSD CVA'!$AM$7)*1</f>
        <v>64.02214134768171</v>
      </c>
      <c r="AA3" s="6">
        <f>('TE BE'!$AA$6+'TE BF'!$AA$6+'TE CVA'!$AA$6)*1</f>
        <v>230.83420940933817</v>
      </c>
      <c r="AB3" s="6">
        <f>$K$3*$V$3</f>
        <v>4860</v>
      </c>
      <c r="AC3" s="6">
        <f>$M$3*$W$3</f>
        <v>0</v>
      </c>
      <c r="AD3" s="6">
        <f>$O$3*$X$3</f>
        <v>0</v>
      </c>
      <c r="AE3" s="6">
        <f ca="1">$K$3*$Y$3</f>
        <v>7454.1345216898753</v>
      </c>
      <c r="AF3" s="6">
        <f ca="1">$M$3*$Z$3</f>
        <v>0</v>
      </c>
      <c r="AG3" s="6">
        <f>$O$3*$AA$3</f>
        <v>0</v>
      </c>
      <c r="AI3" s="53" t="s">
        <v>45</v>
      </c>
      <c r="AJ3" s="54">
        <f t="shared" si="0"/>
        <v>7194689.5936127836</v>
      </c>
      <c r="AK3" s="54">
        <f t="shared" ca="1" si="1"/>
        <v>8175477.9009639341</v>
      </c>
      <c r="AL3" s="55">
        <f t="shared" ca="1" si="2"/>
        <v>0.13632114278034502</v>
      </c>
      <c r="AN3" s="53" t="s">
        <v>45</v>
      </c>
      <c r="AO3" s="54">
        <f t="shared" si="3"/>
        <v>8745750.3731536008</v>
      </c>
      <c r="AP3" s="54">
        <f t="shared" si="4"/>
        <v>8099259.4911882915</v>
      </c>
      <c r="AQ3" s="55">
        <f t="shared" si="5"/>
        <v>-7.3920573350665375E-2</v>
      </c>
      <c r="AS3" s="53" t="s">
        <v>45</v>
      </c>
      <c r="AT3" s="54">
        <f t="shared" si="6"/>
        <v>15940439.966766383</v>
      </c>
      <c r="AU3" s="54">
        <f t="shared" ca="1" si="7"/>
        <v>16274737.392152226</v>
      </c>
      <c r="AV3" s="55">
        <f t="shared" ca="1" si="8"/>
        <v>2.0971656120082338E-2</v>
      </c>
    </row>
    <row r="4" spans="1:48" ht="11.25" customHeight="1" x14ac:dyDescent="0.25">
      <c r="A4" s="4" t="s">
        <v>21</v>
      </c>
      <c r="B4" s="4" t="s">
        <v>43</v>
      </c>
      <c r="C4" s="4" t="s">
        <v>41</v>
      </c>
      <c r="D4" s="4" t="s">
        <v>42</v>
      </c>
      <c r="E4" s="4" t="s">
        <v>25</v>
      </c>
      <c r="F4" s="4" t="s">
        <v>25</v>
      </c>
      <c r="G4" s="4" t="s">
        <v>25</v>
      </c>
      <c r="H4" s="4" t="s">
        <v>36</v>
      </c>
      <c r="I4" s="5">
        <v>43800</v>
      </c>
      <c r="J4" s="6">
        <v>900</v>
      </c>
      <c r="K4" s="6">
        <v>900</v>
      </c>
      <c r="L4" s="6">
        <v>1.131</v>
      </c>
      <c r="M4" s="6">
        <v>1.131</v>
      </c>
      <c r="N4" s="6">
        <v>1.131</v>
      </c>
      <c r="O4" s="6">
        <v>1.131</v>
      </c>
      <c r="P4" s="6">
        <v>0</v>
      </c>
      <c r="Q4" s="4" t="s">
        <v>26</v>
      </c>
      <c r="R4" s="4">
        <v>0</v>
      </c>
      <c r="S4" s="6">
        <v>2</v>
      </c>
      <c r="T4" s="6">
        <v>3</v>
      </c>
      <c r="U4" s="6">
        <v>78</v>
      </c>
      <c r="V4" s="6">
        <f>IF(ISERROR(VLOOKUP($S$4,'TAR FIN'!$A$1:$O$120,15,0)),0,VLOOKUP($S$4,'TAR FIN'!$A$1:$O$120,15,0))</f>
        <v>5.4</v>
      </c>
      <c r="W4" s="6">
        <f>IF(ISERROR(VLOOKUP($T$4,'TAR FIN'!$A$1:$O$120,15,0)),0,VLOOKUP($T$4,'TAR FIN'!$A$1:$O$120,15,0))</f>
        <v>62.65</v>
      </c>
      <c r="X4" s="6">
        <f>IF(ISERROR(VLOOKUP($U$4,'TAR FIN'!$A$1:$O$120,15,0)),0,VLOOKUP($U$4,'TAR FIN'!$A$1:$O$120,15,0))</f>
        <v>256.38</v>
      </c>
      <c r="Y4" s="6">
        <f ca="1">('TUSD BE'!$AM$6+'TUSD BF'!$AM$6+'TUSD CVA'!$AM$6)*1</f>
        <v>8.2823716907665279</v>
      </c>
      <c r="Z4" s="6">
        <f ca="1">('TUSD BE'!$AM$7+'TUSD BF'!$AM$7+'TUSD CVA'!$AM$7)*1</f>
        <v>64.02214134768171</v>
      </c>
      <c r="AA4" s="6">
        <f>('TE BE'!$AA$6+'TE BF'!$AA$6+'TE CVA'!$AA$6)*1</f>
        <v>230.83420940933817</v>
      </c>
      <c r="AB4" s="6">
        <f>$K$4*$V$4</f>
        <v>4860</v>
      </c>
      <c r="AC4" s="6">
        <f>$M$4*$W$4</f>
        <v>70.857150000000004</v>
      </c>
      <c r="AD4" s="6">
        <f>$O$4*$X$4</f>
        <v>289.96578</v>
      </c>
      <c r="AE4" s="6">
        <f ca="1">$K$4*$Y$4</f>
        <v>7454.1345216898753</v>
      </c>
      <c r="AF4" s="6">
        <f ca="1">$M$4*$Z$4</f>
        <v>72.409041864228016</v>
      </c>
      <c r="AG4" s="6">
        <f>$O$4*$AA$4</f>
        <v>261.07349084196147</v>
      </c>
      <c r="AI4" s="53" t="s">
        <v>33</v>
      </c>
      <c r="AJ4" s="54">
        <f t="shared" si="0"/>
        <v>207697463.22717714</v>
      </c>
      <c r="AK4" s="54">
        <f t="shared" ca="1" si="1"/>
        <v>236066418.35373312</v>
      </c>
      <c r="AL4" s="55">
        <f t="shared" ca="1" si="2"/>
        <v>0.13658787491076074</v>
      </c>
      <c r="AN4" s="53" t="s">
        <v>33</v>
      </c>
      <c r="AO4" s="54">
        <f t="shared" si="3"/>
        <v>249616626.23824427</v>
      </c>
      <c r="AP4" s="54">
        <f t="shared" si="4"/>
        <v>224855758.87672386</v>
      </c>
      <c r="AQ4" s="55">
        <f t="shared" si="5"/>
        <v>-9.9195585384955987E-2</v>
      </c>
      <c r="AS4" s="53" t="s">
        <v>33</v>
      </c>
      <c r="AT4" s="54">
        <f t="shared" si="6"/>
        <v>457314089.46542144</v>
      </c>
      <c r="AU4" s="54">
        <f t="shared" ca="1" si="7"/>
        <v>460922177.23045695</v>
      </c>
      <c r="AV4" s="55">
        <f t="shared" ca="1" si="8"/>
        <v>7.8897367217642955E-3</v>
      </c>
    </row>
    <row r="5" spans="1:48" ht="11.25" customHeight="1" x14ac:dyDescent="0.25">
      <c r="A5" s="4" t="s">
        <v>21</v>
      </c>
      <c r="B5" s="4" t="s">
        <v>43</v>
      </c>
      <c r="C5" s="4" t="s">
        <v>41</v>
      </c>
      <c r="D5" s="4" t="s">
        <v>42</v>
      </c>
      <c r="E5" s="4" t="s">
        <v>25</v>
      </c>
      <c r="F5" s="4" t="s">
        <v>25</v>
      </c>
      <c r="G5" s="4" t="s">
        <v>25</v>
      </c>
      <c r="H5" s="4" t="s">
        <v>36</v>
      </c>
      <c r="I5" s="5">
        <v>43831</v>
      </c>
      <c r="J5" s="6">
        <v>900</v>
      </c>
      <c r="K5" s="6">
        <v>900</v>
      </c>
      <c r="L5" s="6">
        <v>29.771000000000001</v>
      </c>
      <c r="M5" s="6">
        <v>29.771000000000001</v>
      </c>
      <c r="N5" s="6">
        <v>29.771000000000001</v>
      </c>
      <c r="O5" s="6">
        <v>29.771000000000001</v>
      </c>
      <c r="P5" s="6">
        <v>0</v>
      </c>
      <c r="Q5" s="4" t="s">
        <v>26</v>
      </c>
      <c r="R5" s="4">
        <v>0</v>
      </c>
      <c r="S5" s="6">
        <v>2</v>
      </c>
      <c r="T5" s="6">
        <v>3</v>
      </c>
      <c r="U5" s="6">
        <v>78</v>
      </c>
      <c r="V5" s="6">
        <f>IF(ISERROR(VLOOKUP($S$5,'TAR FIN'!$A$1:$O$120,15,0)),0,VLOOKUP($S$5,'TAR FIN'!$A$1:$O$120,15,0))</f>
        <v>5.4</v>
      </c>
      <c r="W5" s="6">
        <f>IF(ISERROR(VLOOKUP($T$5,'TAR FIN'!$A$1:$O$120,15,0)),0,VLOOKUP($T$5,'TAR FIN'!$A$1:$O$120,15,0))</f>
        <v>62.65</v>
      </c>
      <c r="X5" s="6">
        <f>IF(ISERROR(VLOOKUP($U$5,'TAR FIN'!$A$1:$O$120,15,0)),0,VLOOKUP($U$5,'TAR FIN'!$A$1:$O$120,15,0))</f>
        <v>256.38</v>
      </c>
      <c r="Y5" s="6">
        <f ca="1">('TUSD BE'!$AM$6+'TUSD BF'!$AM$6+'TUSD CVA'!$AM$6)*1</f>
        <v>8.2823716907665279</v>
      </c>
      <c r="Z5" s="6">
        <f ca="1">('TUSD BE'!$AM$7+'TUSD BF'!$AM$7+'TUSD CVA'!$AM$7)*1</f>
        <v>64.02214134768171</v>
      </c>
      <c r="AA5" s="6">
        <f>('TE BE'!$AA$6+'TE BF'!$AA$6+'TE CVA'!$AA$6)*1</f>
        <v>230.83420940933817</v>
      </c>
      <c r="AB5" s="6">
        <f>$K$5*$V$5</f>
        <v>4860</v>
      </c>
      <c r="AC5" s="6">
        <f>$M$5*$W$5</f>
        <v>1865.1531500000001</v>
      </c>
      <c r="AD5" s="6">
        <f>$O$5*$X$5</f>
        <v>7632.6889799999999</v>
      </c>
      <c r="AE5" s="6">
        <f ca="1">$K$5*$Y$5</f>
        <v>7454.1345216898753</v>
      </c>
      <c r="AF5" s="6">
        <f ca="1">$M$5*$Z$5</f>
        <v>1906.0031700618322</v>
      </c>
      <c r="AG5" s="6">
        <f>$O$5*$AA$5</f>
        <v>6872.1652483254065</v>
      </c>
      <c r="AI5" s="53" t="s">
        <v>44</v>
      </c>
      <c r="AJ5" s="54">
        <f t="shared" si="0"/>
        <v>117215869.99946424</v>
      </c>
      <c r="AK5" s="54">
        <f t="shared" ca="1" si="1"/>
        <v>130869027.17786568</v>
      </c>
      <c r="AL5" s="55">
        <f t="shared" ca="1" si="2"/>
        <v>0.11647874283971826</v>
      </c>
      <c r="AN5" s="53" t="s">
        <v>44</v>
      </c>
      <c r="AO5" s="54">
        <f t="shared" si="3"/>
        <v>101426594.4070399</v>
      </c>
      <c r="AP5" s="54">
        <f t="shared" si="4"/>
        <v>90903772.636874005</v>
      </c>
      <c r="AQ5" s="55">
        <f t="shared" si="5"/>
        <v>-0.10374815236264612</v>
      </c>
      <c r="AS5" s="53" t="s">
        <v>44</v>
      </c>
      <c r="AT5" s="54">
        <f t="shared" si="6"/>
        <v>218642464.40650415</v>
      </c>
      <c r="AU5" s="54">
        <f t="shared" ca="1" si="7"/>
        <v>221772799.8147397</v>
      </c>
      <c r="AV5" s="55">
        <f t="shared" ca="1" si="8"/>
        <v>1.4317142906034919E-2</v>
      </c>
    </row>
    <row r="6" spans="1:48" ht="11.25" customHeight="1" x14ac:dyDescent="0.25">
      <c r="A6" s="4" t="s">
        <v>21</v>
      </c>
      <c r="B6" s="4" t="s">
        <v>43</v>
      </c>
      <c r="C6" s="4" t="s">
        <v>41</v>
      </c>
      <c r="D6" s="4" t="s">
        <v>42</v>
      </c>
      <c r="E6" s="4" t="s">
        <v>25</v>
      </c>
      <c r="F6" s="4" t="s">
        <v>25</v>
      </c>
      <c r="G6" s="4" t="s">
        <v>25</v>
      </c>
      <c r="H6" s="4" t="s">
        <v>36</v>
      </c>
      <c r="I6" s="5">
        <v>43862</v>
      </c>
      <c r="J6" s="6">
        <v>900</v>
      </c>
      <c r="K6" s="6">
        <v>900</v>
      </c>
      <c r="L6" s="6">
        <v>158.71</v>
      </c>
      <c r="M6" s="6">
        <v>158.71</v>
      </c>
      <c r="N6" s="6">
        <v>158.71</v>
      </c>
      <c r="O6" s="6">
        <v>158.71</v>
      </c>
      <c r="P6" s="6">
        <v>0</v>
      </c>
      <c r="Q6" s="4" t="s">
        <v>26</v>
      </c>
      <c r="R6" s="4">
        <v>0</v>
      </c>
      <c r="S6" s="6">
        <v>2</v>
      </c>
      <c r="T6" s="6">
        <v>3</v>
      </c>
      <c r="U6" s="6">
        <v>78</v>
      </c>
      <c r="V6" s="6">
        <f>IF(ISERROR(VLOOKUP($S$6,'TAR FIN'!$A$1:$O$120,15,0)),0,VLOOKUP($S$6,'TAR FIN'!$A$1:$O$120,15,0))</f>
        <v>5.4</v>
      </c>
      <c r="W6" s="6">
        <f>IF(ISERROR(VLOOKUP($T$6,'TAR FIN'!$A$1:$O$120,15,0)),0,VLOOKUP($T$6,'TAR FIN'!$A$1:$O$120,15,0))</f>
        <v>62.65</v>
      </c>
      <c r="X6" s="6">
        <f>IF(ISERROR(VLOOKUP($U$6,'TAR FIN'!$A$1:$O$120,15,0)),0,VLOOKUP($U$6,'TAR FIN'!$A$1:$O$120,15,0))</f>
        <v>256.38</v>
      </c>
      <c r="Y6" s="6">
        <f ca="1">('TUSD BE'!$AM$6+'TUSD BF'!$AM$6+'TUSD CVA'!$AM$6)*1</f>
        <v>8.2823716907665279</v>
      </c>
      <c r="Z6" s="6">
        <f ca="1">('TUSD BE'!$AM$7+'TUSD BF'!$AM$7+'TUSD CVA'!$AM$7)*1</f>
        <v>64.02214134768171</v>
      </c>
      <c r="AA6" s="6">
        <f>('TE BE'!$AA$6+'TE BF'!$AA$6+'TE CVA'!$AA$6)*1</f>
        <v>230.83420940933817</v>
      </c>
      <c r="AB6" s="6">
        <f>$K$6*$V$6</f>
        <v>4860</v>
      </c>
      <c r="AC6" s="6">
        <f>$M$6*$W$6</f>
        <v>9943.1815000000006</v>
      </c>
      <c r="AD6" s="6">
        <f>$O$6*$X$6</f>
        <v>40690.069800000005</v>
      </c>
      <c r="AE6" s="6">
        <f ca="1">$K$6*$Y$6</f>
        <v>7454.1345216898753</v>
      </c>
      <c r="AF6" s="6">
        <f ca="1">$M$6*$Z$6</f>
        <v>10160.954053290565</v>
      </c>
      <c r="AG6" s="6">
        <f>$O$6*$AA$6</f>
        <v>36635.69737535606</v>
      </c>
      <c r="AI6" s="53" t="s">
        <v>22</v>
      </c>
      <c r="AJ6" s="54">
        <f t="shared" si="0"/>
        <v>577158797.3617202</v>
      </c>
      <c r="AK6" s="54">
        <f t="shared" ca="1" si="1"/>
        <v>635005066.96561337</v>
      </c>
      <c r="AL6" s="55">
        <f t="shared" ca="1" si="2"/>
        <v>0.10022591679849135</v>
      </c>
      <c r="AN6" s="53" t="s">
        <v>22</v>
      </c>
      <c r="AO6" s="54">
        <f t="shared" si="3"/>
        <v>633918385.47743917</v>
      </c>
      <c r="AP6" s="54">
        <f t="shared" si="4"/>
        <v>568367939.13183618</v>
      </c>
      <c r="AQ6" s="55">
        <f t="shared" si="5"/>
        <v>-0.10340518250820774</v>
      </c>
      <c r="AS6" s="53" t="s">
        <v>22</v>
      </c>
      <c r="AT6" s="54">
        <f t="shared" si="6"/>
        <v>1211077182.8391595</v>
      </c>
      <c r="AU6" s="54">
        <f t="shared" ca="1" si="7"/>
        <v>1203373006.0974495</v>
      </c>
      <c r="AV6" s="55">
        <f t="shared" ca="1" si="8"/>
        <v>-6.3614250609931311E-3</v>
      </c>
    </row>
    <row r="7" spans="1:48" ht="11.25" customHeight="1" x14ac:dyDescent="0.25">
      <c r="A7" s="4" t="s">
        <v>21</v>
      </c>
      <c r="B7" s="4" t="s">
        <v>43</v>
      </c>
      <c r="C7" s="4" t="s">
        <v>41</v>
      </c>
      <c r="D7" s="4" t="s">
        <v>42</v>
      </c>
      <c r="E7" s="4" t="s">
        <v>25</v>
      </c>
      <c r="F7" s="4" t="s">
        <v>25</v>
      </c>
      <c r="G7" s="4" t="s">
        <v>25</v>
      </c>
      <c r="H7" s="4" t="s">
        <v>36</v>
      </c>
      <c r="I7" s="5">
        <v>43891</v>
      </c>
      <c r="J7" s="6">
        <v>900</v>
      </c>
      <c r="K7" s="6">
        <v>900</v>
      </c>
      <c r="L7" s="6">
        <v>146.56299999999999</v>
      </c>
      <c r="M7" s="6">
        <v>146.56299999999999</v>
      </c>
      <c r="N7" s="6">
        <v>146.56299999999999</v>
      </c>
      <c r="O7" s="6">
        <v>146.56299999999999</v>
      </c>
      <c r="P7" s="6">
        <v>0</v>
      </c>
      <c r="Q7" s="4" t="s">
        <v>26</v>
      </c>
      <c r="R7" s="4">
        <v>0</v>
      </c>
      <c r="S7" s="6">
        <v>2</v>
      </c>
      <c r="T7" s="6">
        <v>3</v>
      </c>
      <c r="U7" s="6">
        <v>78</v>
      </c>
      <c r="V7" s="6">
        <f>IF(ISERROR(VLOOKUP($S$7,'TAR FIN'!$A$1:$O$120,15,0)),0,VLOOKUP($S$7,'TAR FIN'!$A$1:$O$120,15,0))</f>
        <v>5.4</v>
      </c>
      <c r="W7" s="6">
        <f>IF(ISERROR(VLOOKUP($T$7,'TAR FIN'!$A$1:$O$120,15,0)),0,VLOOKUP($T$7,'TAR FIN'!$A$1:$O$120,15,0))</f>
        <v>62.65</v>
      </c>
      <c r="X7" s="6">
        <f>IF(ISERROR(VLOOKUP($U$7,'TAR FIN'!$A$1:$O$120,15,0)),0,VLOOKUP($U$7,'TAR FIN'!$A$1:$O$120,15,0))</f>
        <v>256.38</v>
      </c>
      <c r="Y7" s="6">
        <f ca="1">('TUSD BE'!$AM$6+'TUSD BF'!$AM$6+'TUSD CVA'!$AM$6)*1</f>
        <v>8.2823716907665279</v>
      </c>
      <c r="Z7" s="6">
        <f ca="1">('TUSD BE'!$AM$7+'TUSD BF'!$AM$7+'TUSD CVA'!$AM$7)*1</f>
        <v>64.02214134768171</v>
      </c>
      <c r="AA7" s="6">
        <f>('TE BE'!$AA$6+'TE BF'!$AA$6+'TE CVA'!$AA$6)*1</f>
        <v>230.83420940933817</v>
      </c>
      <c r="AB7" s="6">
        <f>$K$7*$V$7</f>
        <v>4860</v>
      </c>
      <c r="AC7" s="6">
        <f>$M$7*$W$7</f>
        <v>9182.1719499999999</v>
      </c>
      <c r="AD7" s="6">
        <f>$O$7*$X$7</f>
        <v>37575.821939999994</v>
      </c>
      <c r="AE7" s="6">
        <f ca="1">$K$7*$Y$7</f>
        <v>7454.1345216898753</v>
      </c>
      <c r="AF7" s="6">
        <f ca="1">$M$7*$Z$7</f>
        <v>9383.2771023402729</v>
      </c>
      <c r="AG7" s="6">
        <f>$O$7*$AA$7</f>
        <v>33831.754233660831</v>
      </c>
      <c r="AI7" s="53" t="s">
        <v>46</v>
      </c>
      <c r="AJ7" s="54">
        <f t="shared" si="0"/>
        <v>15321687.923836103</v>
      </c>
      <c r="AK7" s="54">
        <f t="shared" ca="1" si="1"/>
        <v>18189352.428485233</v>
      </c>
      <c r="AL7" s="55">
        <f t="shared" ca="1" si="2"/>
        <v>0.1871637458551727</v>
      </c>
      <c r="AN7" s="53" t="s">
        <v>46</v>
      </c>
      <c r="AO7" s="54">
        <f t="shared" si="3"/>
        <v>16799218.853930999</v>
      </c>
      <c r="AP7" s="54">
        <f t="shared" si="4"/>
        <v>16251151.109154833</v>
      </c>
      <c r="AQ7" s="55">
        <f t="shared" si="5"/>
        <v>-3.2624596985229348E-2</v>
      </c>
      <c r="AS7" s="53" t="s">
        <v>46</v>
      </c>
      <c r="AT7" s="54">
        <f t="shared" si="6"/>
        <v>32120906.777767099</v>
      </c>
      <c r="AU7" s="54">
        <f t="shared" ca="1" si="7"/>
        <v>34440503.537640065</v>
      </c>
      <c r="AV7" s="55">
        <f t="shared" ca="1" si="8"/>
        <v>7.2214547861970901E-2</v>
      </c>
    </row>
    <row r="8" spans="1:48" ht="11.25" customHeight="1" x14ac:dyDescent="0.25">
      <c r="A8" s="4" t="s">
        <v>21</v>
      </c>
      <c r="B8" s="4" t="s">
        <v>43</v>
      </c>
      <c r="C8" s="4" t="s">
        <v>41</v>
      </c>
      <c r="D8" s="4" t="s">
        <v>42</v>
      </c>
      <c r="E8" s="4" t="s">
        <v>25</v>
      </c>
      <c r="F8" s="4" t="s">
        <v>25</v>
      </c>
      <c r="G8" s="4" t="s">
        <v>25</v>
      </c>
      <c r="H8" s="4" t="s">
        <v>36</v>
      </c>
      <c r="I8" s="5">
        <v>43922</v>
      </c>
      <c r="J8" s="6">
        <v>900</v>
      </c>
      <c r="K8" s="6">
        <v>900</v>
      </c>
      <c r="L8" s="6">
        <v>148.726</v>
      </c>
      <c r="M8" s="6">
        <v>148.726</v>
      </c>
      <c r="N8" s="6">
        <v>148.726</v>
      </c>
      <c r="O8" s="6">
        <v>148.726</v>
      </c>
      <c r="P8" s="6">
        <v>0</v>
      </c>
      <c r="Q8" s="4" t="s">
        <v>26</v>
      </c>
      <c r="R8" s="4">
        <v>0</v>
      </c>
      <c r="S8" s="6">
        <v>2</v>
      </c>
      <c r="T8" s="6">
        <v>3</v>
      </c>
      <c r="U8" s="6">
        <v>78</v>
      </c>
      <c r="V8" s="6">
        <f>IF(ISERROR(VLOOKUP($S$8,'TAR FIN'!$A$1:$O$120,15,0)),0,VLOOKUP($S$8,'TAR FIN'!$A$1:$O$120,15,0))</f>
        <v>5.4</v>
      </c>
      <c r="W8" s="6">
        <f>IF(ISERROR(VLOOKUP($T$8,'TAR FIN'!$A$1:$O$120,15,0)),0,VLOOKUP($T$8,'TAR FIN'!$A$1:$O$120,15,0))</f>
        <v>62.65</v>
      </c>
      <c r="X8" s="6">
        <f>IF(ISERROR(VLOOKUP($U$8,'TAR FIN'!$A$1:$O$120,15,0)),0,VLOOKUP($U$8,'TAR FIN'!$A$1:$O$120,15,0))</f>
        <v>256.38</v>
      </c>
      <c r="Y8" s="6">
        <f ca="1">('TUSD BE'!$AM$6+'TUSD BF'!$AM$6+'TUSD CVA'!$AM$6)*1</f>
        <v>8.2823716907665279</v>
      </c>
      <c r="Z8" s="6">
        <f ca="1">('TUSD BE'!$AM$7+'TUSD BF'!$AM$7+'TUSD CVA'!$AM$7)*1</f>
        <v>64.02214134768171</v>
      </c>
      <c r="AA8" s="6">
        <f>('TE BE'!$AA$6+'TE BF'!$AA$6+'TE CVA'!$AA$6)*1</f>
        <v>230.83420940933817</v>
      </c>
      <c r="AB8" s="6">
        <f>$K$8*$V$8</f>
        <v>4860</v>
      </c>
      <c r="AC8" s="6">
        <f>$M$8*$W$8</f>
        <v>9317.6839</v>
      </c>
      <c r="AD8" s="6">
        <f>$O$8*$X$8</f>
        <v>38130.371879999999</v>
      </c>
      <c r="AE8" s="6">
        <f ca="1">$K$8*$Y$8</f>
        <v>7454.1345216898753</v>
      </c>
      <c r="AF8" s="6">
        <f ca="1">$M$8*$Z$8</f>
        <v>9521.7569940753092</v>
      </c>
      <c r="AG8" s="6">
        <f>$O$8*$AA$8</f>
        <v>34331.048628613229</v>
      </c>
      <c r="AI8" s="53" t="s">
        <v>39</v>
      </c>
      <c r="AJ8" s="54">
        <f t="shared" si="0"/>
        <v>255842870.19882953</v>
      </c>
      <c r="AK8" s="54">
        <f t="shared" ca="1" si="1"/>
        <v>281584325.57193655</v>
      </c>
      <c r="AL8" s="55">
        <f t="shared" ca="1" si="2"/>
        <v>0.10061431593970904</v>
      </c>
      <c r="AN8" s="53" t="s">
        <v>39</v>
      </c>
      <c r="AO8" s="54">
        <f t="shared" si="3"/>
        <v>280653236.59763503</v>
      </c>
      <c r="AP8" s="54">
        <f t="shared" si="4"/>
        <v>251714023.25137445</v>
      </c>
      <c r="AQ8" s="55">
        <f t="shared" si="5"/>
        <v>-0.10311377020657686</v>
      </c>
      <c r="AS8" s="53" t="s">
        <v>39</v>
      </c>
      <c r="AT8" s="54">
        <f t="shared" si="6"/>
        <v>536496106.79646456</v>
      </c>
      <c r="AU8" s="54">
        <f t="shared" ca="1" si="7"/>
        <v>533298348.82331097</v>
      </c>
      <c r="AV8" s="55">
        <f t="shared" ca="1" si="8"/>
        <v>-5.9604495403482449E-3</v>
      </c>
    </row>
    <row r="9" spans="1:48" ht="11.25" customHeight="1" x14ac:dyDescent="0.25">
      <c r="A9" s="4" t="s">
        <v>21</v>
      </c>
      <c r="B9" s="4" t="s">
        <v>43</v>
      </c>
      <c r="C9" s="4" t="s">
        <v>41</v>
      </c>
      <c r="D9" s="4" t="s">
        <v>42</v>
      </c>
      <c r="E9" s="4" t="s">
        <v>25</v>
      </c>
      <c r="F9" s="4" t="s">
        <v>25</v>
      </c>
      <c r="G9" s="4" t="s">
        <v>25</v>
      </c>
      <c r="H9" s="4" t="s">
        <v>36</v>
      </c>
      <c r="I9" s="5">
        <v>43952</v>
      </c>
      <c r="J9" s="6">
        <v>900</v>
      </c>
      <c r="K9" s="6">
        <v>900</v>
      </c>
      <c r="L9" s="6">
        <v>147.64099999999999</v>
      </c>
      <c r="M9" s="6">
        <v>147.64099999999999</v>
      </c>
      <c r="N9" s="6">
        <v>147.64099999999999</v>
      </c>
      <c r="O9" s="6">
        <v>147.64099999999999</v>
      </c>
      <c r="P9" s="6">
        <v>0</v>
      </c>
      <c r="Q9" s="4" t="s">
        <v>26</v>
      </c>
      <c r="R9" s="4">
        <v>0</v>
      </c>
      <c r="S9" s="6">
        <v>2</v>
      </c>
      <c r="T9" s="6">
        <v>3</v>
      </c>
      <c r="U9" s="6">
        <v>78</v>
      </c>
      <c r="V9" s="6">
        <f>IF(ISERROR(VLOOKUP($S$9,'TAR FIN'!$A$1:$O$120,15,0)),0,VLOOKUP($S$9,'TAR FIN'!$A$1:$O$120,15,0))</f>
        <v>5.4</v>
      </c>
      <c r="W9" s="6">
        <f>IF(ISERROR(VLOOKUP($T$9,'TAR FIN'!$A$1:$O$120,15,0)),0,VLOOKUP($T$9,'TAR FIN'!$A$1:$O$120,15,0))</f>
        <v>62.65</v>
      </c>
      <c r="X9" s="6">
        <f>IF(ISERROR(VLOOKUP($U$9,'TAR FIN'!$A$1:$O$120,15,0)),0,VLOOKUP($U$9,'TAR FIN'!$A$1:$O$120,15,0))</f>
        <v>256.38</v>
      </c>
      <c r="Y9" s="6">
        <f ca="1">('TUSD BE'!$AM$6+'TUSD BF'!$AM$6+'TUSD CVA'!$AM$6)*1</f>
        <v>8.2823716907665279</v>
      </c>
      <c r="Z9" s="6">
        <f ca="1">('TUSD BE'!$AM$7+'TUSD BF'!$AM$7+'TUSD CVA'!$AM$7)*1</f>
        <v>64.02214134768171</v>
      </c>
      <c r="AA9" s="6">
        <f>('TE BE'!$AA$6+'TE BF'!$AA$6+'TE CVA'!$AA$6)*1</f>
        <v>230.83420940933817</v>
      </c>
      <c r="AB9" s="6">
        <f>$K$9*$V$9</f>
        <v>4860</v>
      </c>
      <c r="AC9" s="6">
        <f>$M$9*$W$9</f>
        <v>9249.7086499999987</v>
      </c>
      <c r="AD9" s="6">
        <f>$O$9*$X$9</f>
        <v>37852.19958</v>
      </c>
      <c r="AE9" s="6">
        <f ca="1">$K$9*$Y$9</f>
        <v>7454.1345216898753</v>
      </c>
      <c r="AF9" s="6">
        <f ca="1">$M$9*$Z$9</f>
        <v>9452.2929707130752</v>
      </c>
      <c r="AG9" s="6">
        <f>$O$9*$AA$9</f>
        <v>34080.593511404099</v>
      </c>
      <c r="AI9" s="53" t="s">
        <v>49</v>
      </c>
      <c r="AJ9" s="54">
        <f t="shared" si="0"/>
        <v>56822363.946000002</v>
      </c>
      <c r="AK9" s="54">
        <f t="shared" ca="1" si="1"/>
        <v>62521817.330022588</v>
      </c>
      <c r="AL9" s="55">
        <f t="shared" ca="1" si="2"/>
        <v>0.10030299671162823</v>
      </c>
      <c r="AN9" s="53" t="s">
        <v>49</v>
      </c>
      <c r="AO9" s="54">
        <f t="shared" si="3"/>
        <v>62303903.249400005</v>
      </c>
      <c r="AP9" s="54">
        <f t="shared" si="4"/>
        <v>55859904.961660095</v>
      </c>
      <c r="AQ9" s="55">
        <f t="shared" si="5"/>
        <v>-0.10342848443932706</v>
      </c>
      <c r="AS9" s="53" t="s">
        <v>49</v>
      </c>
      <c r="AT9" s="54">
        <f t="shared" si="6"/>
        <v>119126267.1954</v>
      </c>
      <c r="AU9" s="54">
        <f t="shared" ca="1" si="7"/>
        <v>118381722.29168269</v>
      </c>
      <c r="AV9" s="55">
        <f t="shared" ca="1" si="8"/>
        <v>-6.2500481316689616E-3</v>
      </c>
    </row>
    <row r="10" spans="1:48" ht="11.25" customHeight="1" x14ac:dyDescent="0.25">
      <c r="A10" s="4" t="s">
        <v>21</v>
      </c>
      <c r="B10" s="4" t="s">
        <v>43</v>
      </c>
      <c r="C10" s="4" t="s">
        <v>41</v>
      </c>
      <c r="D10" s="4" t="s">
        <v>42</v>
      </c>
      <c r="E10" s="4" t="s">
        <v>25</v>
      </c>
      <c r="F10" s="4" t="s">
        <v>25</v>
      </c>
      <c r="G10" s="4" t="s">
        <v>25</v>
      </c>
      <c r="H10" s="4" t="s">
        <v>36</v>
      </c>
      <c r="I10" s="5">
        <v>43983</v>
      </c>
      <c r="J10" s="6">
        <v>900</v>
      </c>
      <c r="K10" s="6">
        <v>900</v>
      </c>
      <c r="L10" s="6">
        <v>159.095</v>
      </c>
      <c r="M10" s="6">
        <v>159.095</v>
      </c>
      <c r="N10" s="6">
        <v>159.095</v>
      </c>
      <c r="O10" s="6">
        <v>159.095</v>
      </c>
      <c r="P10" s="6">
        <v>0</v>
      </c>
      <c r="Q10" s="4" t="s">
        <v>26</v>
      </c>
      <c r="R10" s="4">
        <v>0</v>
      </c>
      <c r="S10" s="6">
        <v>2</v>
      </c>
      <c r="T10" s="6">
        <v>3</v>
      </c>
      <c r="U10" s="6">
        <v>78</v>
      </c>
      <c r="V10" s="6">
        <f>IF(ISERROR(VLOOKUP($S$10,'TAR FIN'!$A$1:$O$120,15,0)),0,VLOOKUP($S$10,'TAR FIN'!$A$1:$O$120,15,0))</f>
        <v>5.4</v>
      </c>
      <c r="W10" s="6">
        <f>IF(ISERROR(VLOOKUP($T$10,'TAR FIN'!$A$1:$O$120,15,0)),0,VLOOKUP($T$10,'TAR FIN'!$A$1:$O$120,15,0))</f>
        <v>62.65</v>
      </c>
      <c r="X10" s="6">
        <f>IF(ISERROR(VLOOKUP($U$10,'TAR FIN'!$A$1:$O$120,15,0)),0,VLOOKUP($U$10,'TAR FIN'!$A$1:$O$120,15,0))</f>
        <v>256.38</v>
      </c>
      <c r="Y10" s="6">
        <f ca="1">('TUSD BE'!$AM$6+'TUSD BF'!$AM$6+'TUSD CVA'!$AM$6)*1</f>
        <v>8.2823716907665279</v>
      </c>
      <c r="Z10" s="6">
        <f ca="1">('TUSD BE'!$AM$7+'TUSD BF'!$AM$7+'TUSD CVA'!$AM$7)*1</f>
        <v>64.02214134768171</v>
      </c>
      <c r="AA10" s="6">
        <f>('TE BE'!$AA$6+'TE BF'!$AA$6+'TE CVA'!$AA$6)*1</f>
        <v>230.83420940933817</v>
      </c>
      <c r="AB10" s="6">
        <f>$K$10*$V$10</f>
        <v>4860</v>
      </c>
      <c r="AC10" s="6">
        <f>$M$10*$W$10</f>
        <v>9967.3017500000005</v>
      </c>
      <c r="AD10" s="6">
        <f>$O$10*$X$10</f>
        <v>40788.776099999995</v>
      </c>
      <c r="AE10" s="6">
        <f ca="1">$K$10*$Y$10</f>
        <v>7454.1345216898753</v>
      </c>
      <c r="AF10" s="6">
        <f ca="1">$M$10*$Z$10</f>
        <v>10185.602577709422</v>
      </c>
      <c r="AG10" s="6">
        <f>$O$10*$AA$10</f>
        <v>36724.568545978655</v>
      </c>
      <c r="AI10" s="53" t="s">
        <v>1131</v>
      </c>
      <c r="AJ10" s="54">
        <f>+$AJ$2+$AJ$3+$AJ$4+$AJ$5</f>
        <v>384569808.57684016</v>
      </c>
      <c r="AK10" s="54">
        <f ca="1">+$AK$2+$AK$3+$AK$4+$AK$5</f>
        <v>438830360.07607871</v>
      </c>
      <c r="AL10" s="55">
        <f t="shared" ca="1" si="2"/>
        <v>0.14109415323069197</v>
      </c>
      <c r="AN10" s="53" t="s">
        <v>1131</v>
      </c>
      <c r="AO10" s="54">
        <f>+$AO$2+$AO$3+$AO$4+$AO$5</f>
        <v>385218241.84830213</v>
      </c>
      <c r="AP10" s="54">
        <f>+$AP$2+$AP$3+$AP$4+$AP$5</f>
        <v>347455192.45821261</v>
      </c>
      <c r="AQ10" s="55">
        <f t="shared" si="5"/>
        <v>-9.8030272940606178E-2</v>
      </c>
      <c r="AS10" s="53" t="s">
        <v>1131</v>
      </c>
      <c r="AT10" s="54">
        <f>+$AT$2+$AT$3+$AT$4+$AT$5</f>
        <v>769788050.42514241</v>
      </c>
      <c r="AU10" s="54">
        <f ca="1">+$AU$2+$AU$3+$AU$4+$AU$5</f>
        <v>786285552.53429127</v>
      </c>
      <c r="AV10" s="55">
        <f t="shared" ca="1" si="8"/>
        <v>2.1431226556501537E-2</v>
      </c>
    </row>
    <row r="11" spans="1:48" ht="11.25" customHeight="1" x14ac:dyDescent="0.25">
      <c r="A11" s="4" t="s">
        <v>21</v>
      </c>
      <c r="B11" s="4" t="s">
        <v>43</v>
      </c>
      <c r="C11" s="4" t="s">
        <v>41</v>
      </c>
      <c r="D11" s="4" t="s">
        <v>42</v>
      </c>
      <c r="E11" s="4" t="s">
        <v>25</v>
      </c>
      <c r="F11" s="4" t="s">
        <v>25</v>
      </c>
      <c r="G11" s="4" t="s">
        <v>25</v>
      </c>
      <c r="H11" s="4" t="s">
        <v>36</v>
      </c>
      <c r="I11" s="5">
        <v>44013</v>
      </c>
      <c r="J11" s="6">
        <v>900</v>
      </c>
      <c r="K11" s="6">
        <v>900</v>
      </c>
      <c r="L11" s="6">
        <v>141.6</v>
      </c>
      <c r="M11" s="6">
        <v>141.6</v>
      </c>
      <c r="N11" s="6">
        <v>141.6</v>
      </c>
      <c r="O11" s="6">
        <v>141.6</v>
      </c>
      <c r="P11" s="6">
        <v>0</v>
      </c>
      <c r="Q11" s="4" t="s">
        <v>26</v>
      </c>
      <c r="R11" s="4">
        <v>0</v>
      </c>
      <c r="S11" s="6">
        <v>2</v>
      </c>
      <c r="T11" s="6">
        <v>3</v>
      </c>
      <c r="U11" s="6">
        <v>78</v>
      </c>
      <c r="V11" s="6">
        <f>IF(ISERROR(VLOOKUP($S$11,'TAR FIN'!$A$1:$O$120,15,0)),0,VLOOKUP($S$11,'TAR FIN'!$A$1:$O$120,15,0))</f>
        <v>5.4</v>
      </c>
      <c r="W11" s="6">
        <f>IF(ISERROR(VLOOKUP($T$11,'TAR FIN'!$A$1:$O$120,15,0)),0,VLOOKUP($T$11,'TAR FIN'!$A$1:$O$120,15,0))</f>
        <v>62.65</v>
      </c>
      <c r="X11" s="6">
        <f>IF(ISERROR(VLOOKUP($U$11,'TAR FIN'!$A$1:$O$120,15,0)),0,VLOOKUP($U$11,'TAR FIN'!$A$1:$O$120,15,0))</f>
        <v>256.38</v>
      </c>
      <c r="Y11" s="6">
        <f ca="1">('TUSD BE'!$AM$6+'TUSD BF'!$AM$6+'TUSD CVA'!$AM$6)*1</f>
        <v>8.2823716907665279</v>
      </c>
      <c r="Z11" s="6">
        <f ca="1">('TUSD BE'!$AM$7+'TUSD BF'!$AM$7+'TUSD CVA'!$AM$7)*1</f>
        <v>64.02214134768171</v>
      </c>
      <c r="AA11" s="6">
        <f>('TE BE'!$AA$6+'TE BF'!$AA$6+'TE CVA'!$AA$6)*1</f>
        <v>230.83420940933817</v>
      </c>
      <c r="AB11" s="6">
        <f>$K$11*$V$11</f>
        <v>4860</v>
      </c>
      <c r="AC11" s="6">
        <f>$M$11*$W$11</f>
        <v>8871.24</v>
      </c>
      <c r="AD11" s="6">
        <f>$O$11*$X$11</f>
        <v>36303.407999999996</v>
      </c>
      <c r="AE11" s="6">
        <f ca="1">$K$11*$Y$11</f>
        <v>7454.1345216898753</v>
      </c>
      <c r="AF11" s="6">
        <f ca="1">$M$11*$Z$11</f>
        <v>9065.5352148317306</v>
      </c>
      <c r="AG11" s="6">
        <f>$O$11*$AA$11</f>
        <v>32686.124052362284</v>
      </c>
      <c r="AI11" s="53" t="s">
        <v>97</v>
      </c>
      <c r="AJ11" s="54">
        <f>+$AJ$6+$AJ$7+$AJ$8+$AJ$9</f>
        <v>905145719.43038583</v>
      </c>
      <c r="AK11" s="54">
        <f ca="1">+$AK$6+$AK$7+$AK$8+$AK$9</f>
        <v>997300562.2960577</v>
      </c>
      <c r="AL11" s="55">
        <f t="shared" ca="1" si="2"/>
        <v>0.10181216227113743</v>
      </c>
      <c r="AN11" s="53" t="s">
        <v>97</v>
      </c>
      <c r="AO11" s="54">
        <f>+$AO$6+$AO$7+$AO$8+$AO$9</f>
        <v>993674744.17840517</v>
      </c>
      <c r="AP11" s="54">
        <f>+$AP$6+$AP$7+$AP$8+$AP$9</f>
        <v>892193018.45402563</v>
      </c>
      <c r="AQ11" s="55">
        <f t="shared" si="5"/>
        <v>-0.10212770961416262</v>
      </c>
      <c r="AS11" s="53" t="s">
        <v>97</v>
      </c>
      <c r="AT11" s="54">
        <f>+$AT$6+$AT$7+$AT$8+$AT$9</f>
        <v>1898820463.6087911</v>
      </c>
      <c r="AU11" s="54">
        <f ca="1">+$AU$6+$AU$7+$AU$8+$AU$9</f>
        <v>1889493580.7500834</v>
      </c>
      <c r="AV11" s="55">
        <f t="shared" ca="1" si="8"/>
        <v>-4.9119350867862233E-3</v>
      </c>
    </row>
    <row r="12" spans="1:48" ht="11.25" customHeight="1" x14ac:dyDescent="0.25">
      <c r="A12" s="4" t="s">
        <v>21</v>
      </c>
      <c r="B12" s="4" t="s">
        <v>43</v>
      </c>
      <c r="C12" s="4" t="s">
        <v>41</v>
      </c>
      <c r="D12" s="4" t="s">
        <v>42</v>
      </c>
      <c r="E12" s="4" t="s">
        <v>25</v>
      </c>
      <c r="F12" s="4" t="s">
        <v>25</v>
      </c>
      <c r="G12" s="4" t="s">
        <v>25</v>
      </c>
      <c r="H12" s="4" t="s">
        <v>36</v>
      </c>
      <c r="I12" s="5">
        <v>44044</v>
      </c>
      <c r="J12" s="6">
        <v>900</v>
      </c>
      <c r="K12" s="6">
        <v>900</v>
      </c>
      <c r="L12" s="6">
        <v>77.769000000000005</v>
      </c>
      <c r="M12" s="6">
        <v>77.769000000000005</v>
      </c>
      <c r="N12" s="6">
        <v>77.769000000000005</v>
      </c>
      <c r="O12" s="6">
        <v>77.769000000000005</v>
      </c>
      <c r="P12" s="6">
        <v>0</v>
      </c>
      <c r="Q12" s="4" t="s">
        <v>26</v>
      </c>
      <c r="R12" s="4">
        <v>0</v>
      </c>
      <c r="S12" s="6">
        <v>2</v>
      </c>
      <c r="T12" s="6">
        <v>3</v>
      </c>
      <c r="U12" s="6">
        <v>78</v>
      </c>
      <c r="V12" s="6">
        <f>IF(ISERROR(VLOOKUP($S$12,'TAR FIN'!$A$1:$O$120,15,0)),0,VLOOKUP($S$12,'TAR FIN'!$A$1:$O$120,15,0))</f>
        <v>5.4</v>
      </c>
      <c r="W12" s="6">
        <f>IF(ISERROR(VLOOKUP($T$12,'TAR FIN'!$A$1:$O$120,15,0)),0,VLOOKUP($T$12,'TAR FIN'!$A$1:$O$120,15,0))</f>
        <v>62.65</v>
      </c>
      <c r="X12" s="6">
        <f>IF(ISERROR(VLOOKUP($U$12,'TAR FIN'!$A$1:$O$120,15,0)),0,VLOOKUP($U$12,'TAR FIN'!$A$1:$O$120,15,0))</f>
        <v>256.38</v>
      </c>
      <c r="Y12" s="6">
        <f ca="1">('TUSD BE'!$AM$6+'TUSD BF'!$AM$6+'TUSD CVA'!$AM$6)*1</f>
        <v>8.2823716907665279</v>
      </c>
      <c r="Z12" s="6">
        <f ca="1">('TUSD BE'!$AM$7+'TUSD BF'!$AM$7+'TUSD CVA'!$AM$7)*1</f>
        <v>64.02214134768171</v>
      </c>
      <c r="AA12" s="6">
        <f>('TE BE'!$AA$6+'TE BF'!$AA$6+'TE CVA'!$AA$6)*1</f>
        <v>230.83420940933817</v>
      </c>
      <c r="AB12" s="6">
        <f>$K$12*$V$12</f>
        <v>4860</v>
      </c>
      <c r="AC12" s="6">
        <f>$M$12*$W$12</f>
        <v>4872.2278500000002</v>
      </c>
      <c r="AD12" s="6">
        <f>$O$12*$X$12</f>
        <v>19938.416220000003</v>
      </c>
      <c r="AE12" s="6">
        <f ca="1">$K$12*$Y$12</f>
        <v>7454.1345216898753</v>
      </c>
      <c r="AF12" s="6">
        <f ca="1">$M$12*$Z$12</f>
        <v>4978.9379104678592</v>
      </c>
      <c r="AG12" s="6">
        <f>$O$12*$AA$12</f>
        <v>17951.745631554822</v>
      </c>
      <c r="AI12" s="53" t="s">
        <v>1132</v>
      </c>
      <c r="AJ12" s="54">
        <f>AJ11+AJ10</f>
        <v>1289715528.007226</v>
      </c>
      <c r="AK12" s="54">
        <f ca="1">AK11+AK10</f>
        <v>1436130922.3721364</v>
      </c>
      <c r="AL12" s="55">
        <f t="shared" ca="1" si="2"/>
        <v>0.1135253404222718</v>
      </c>
      <c r="AN12" s="53" t="s">
        <v>1132</v>
      </c>
      <c r="AO12" s="54">
        <f>AO11+AO10</f>
        <v>1378892986.0267072</v>
      </c>
      <c r="AP12" s="54">
        <f>AP11+AP10</f>
        <v>1239648210.9122381</v>
      </c>
      <c r="AQ12" s="55">
        <f t="shared" si="5"/>
        <v>-0.10098301791765885</v>
      </c>
      <c r="AS12" s="53" t="s">
        <v>1132</v>
      </c>
      <c r="AT12" s="54">
        <f>AT11+AT10</f>
        <v>2668608514.0339336</v>
      </c>
      <c r="AU12" s="54">
        <f ca="1">AU11+AU10</f>
        <v>2675779133.2843747</v>
      </c>
      <c r="AV12" s="55">
        <f t="shared" ca="1" si="8"/>
        <v>2.6870255463593562E-3</v>
      </c>
    </row>
    <row r="13" spans="1:48" ht="11.25" customHeight="1" x14ac:dyDescent="0.25">
      <c r="A13" s="4" t="s">
        <v>59</v>
      </c>
      <c r="B13" s="4" t="s">
        <v>43</v>
      </c>
      <c r="C13" s="4" t="s">
        <v>41</v>
      </c>
      <c r="D13" s="4" t="s">
        <v>42</v>
      </c>
      <c r="E13" s="4" t="s">
        <v>25</v>
      </c>
      <c r="F13" s="4" t="s">
        <v>25</v>
      </c>
      <c r="G13" s="4" t="s">
        <v>25</v>
      </c>
      <c r="H13" s="4" t="s">
        <v>36</v>
      </c>
      <c r="I13" s="5">
        <v>44075</v>
      </c>
      <c r="J13" s="6">
        <v>900</v>
      </c>
      <c r="K13" s="6">
        <v>900</v>
      </c>
      <c r="L13" s="6">
        <v>77.769000000000005</v>
      </c>
      <c r="M13" s="6">
        <v>77.769000000000005</v>
      </c>
      <c r="N13" s="6">
        <v>77.769000000000005</v>
      </c>
      <c r="O13" s="6">
        <v>77.769000000000005</v>
      </c>
      <c r="P13" s="6">
        <v>0</v>
      </c>
      <c r="Q13" s="4" t="s">
        <v>26</v>
      </c>
      <c r="R13" s="4">
        <v>0</v>
      </c>
      <c r="S13" s="6">
        <v>2</v>
      </c>
      <c r="T13" s="6">
        <v>3</v>
      </c>
      <c r="U13" s="6">
        <v>78</v>
      </c>
      <c r="V13" s="6">
        <f>IF(ISERROR(VLOOKUP($S$13,'TAR FIN'!$A$1:$O$120,15,0)),0,VLOOKUP($S$13,'TAR FIN'!$A$1:$O$120,15,0))</f>
        <v>5.4</v>
      </c>
      <c r="W13" s="6">
        <f>IF(ISERROR(VLOOKUP($T$13,'TAR FIN'!$A$1:$O$120,15,0)),0,VLOOKUP($T$13,'TAR FIN'!$A$1:$O$120,15,0))</f>
        <v>62.65</v>
      </c>
      <c r="X13" s="6">
        <f>IF(ISERROR(VLOOKUP($U$13,'TAR FIN'!$A$1:$O$120,15,0)),0,VLOOKUP($U$13,'TAR FIN'!$A$1:$O$120,15,0))</f>
        <v>256.38</v>
      </c>
      <c r="Y13" s="6">
        <f ca="1">('TUSD BE'!$AM$6+'TUSD BF'!$AM$6+'TUSD CVA'!$AM$6)*1</f>
        <v>8.2823716907665279</v>
      </c>
      <c r="Z13" s="6">
        <f ca="1">('TUSD BE'!$AM$7+'TUSD BF'!$AM$7+'TUSD CVA'!$AM$7)*1</f>
        <v>64.02214134768171</v>
      </c>
      <c r="AA13" s="6">
        <f>('TE BE'!$AA$6+'TE BF'!$AA$6+'TE CVA'!$AA$6)*1</f>
        <v>230.83420940933817</v>
      </c>
      <c r="AB13" s="6">
        <f>$K$13*$V$13</f>
        <v>4860</v>
      </c>
      <c r="AC13" s="6">
        <f>$M$13*$W$13</f>
        <v>4872.2278500000002</v>
      </c>
      <c r="AD13" s="6">
        <f>$O$13*$X$13</f>
        <v>19938.416220000003</v>
      </c>
      <c r="AE13" s="6">
        <f ca="1">$K$13*$Y$13</f>
        <v>7454.1345216898753</v>
      </c>
      <c r="AF13" s="6">
        <f ca="1">$M$13*$Z$13</f>
        <v>4978.9379104678592</v>
      </c>
      <c r="AG13" s="6">
        <f>$O$13*$AA$13</f>
        <v>17951.745631554822</v>
      </c>
    </row>
    <row r="14" spans="1:48" ht="11.25" customHeight="1" x14ac:dyDescent="0.25">
      <c r="A14" s="4" t="s">
        <v>21</v>
      </c>
      <c r="B14" s="4" t="s">
        <v>43</v>
      </c>
      <c r="C14" s="4" t="s">
        <v>41</v>
      </c>
      <c r="D14" s="4" t="s">
        <v>42</v>
      </c>
      <c r="E14" s="4" t="s">
        <v>25</v>
      </c>
      <c r="F14" s="4" t="s">
        <v>25</v>
      </c>
      <c r="G14" s="4" t="s">
        <v>25</v>
      </c>
      <c r="H14" s="4" t="s">
        <v>35</v>
      </c>
      <c r="I14" s="5">
        <v>43739</v>
      </c>
      <c r="J14" s="6">
        <v>900</v>
      </c>
      <c r="K14" s="6">
        <v>900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4" t="s">
        <v>26</v>
      </c>
      <c r="R14" s="4">
        <v>0</v>
      </c>
      <c r="S14" s="6">
        <v>1</v>
      </c>
      <c r="T14" s="6">
        <v>0</v>
      </c>
      <c r="U14" s="6">
        <v>0</v>
      </c>
      <c r="V14" s="6">
        <f>IF(ISERROR(VLOOKUP($S$14,'TAR FIN'!$A$1:$O$120,15,0)),0,VLOOKUP($S$14,'TAR FIN'!$A$1:$O$120,15,0))</f>
        <v>9.4700000000000006</v>
      </c>
      <c r="W14" s="6">
        <f>IF(ISERROR(VLOOKUP($T$14,'TAR FIN'!$A$1:$O$120,15,0)),0,VLOOKUP($T$14,'TAR FIN'!$A$1:$O$120,15,0))</f>
        <v>0</v>
      </c>
      <c r="X14" s="6">
        <f>IF(ISERROR(VLOOKUP($U$14,'TAR FIN'!$A$1:$O$120,15,0)),0,VLOOKUP($U$14,'TAR FIN'!$A$1:$O$120,15,0))</f>
        <v>0</v>
      </c>
      <c r="Y14" s="6">
        <f ca="1">('TUSD BE'!$AM$5+'TUSD BF'!$AM$5+'TUSD CVA'!$AM$5)*1</f>
        <v>13.276513797445094</v>
      </c>
      <c r="Z14" s="6">
        <f ca="1">('TUSD BE'!$AM$7+'TUSD BF'!$AM$7+'TUSD CVA'!$AM$7)*1</f>
        <v>64.02214134768171</v>
      </c>
      <c r="AA14" s="6">
        <f>('TE BE'!$AA$5+'TE BF'!$AA$5+'TE CVA'!$AA$5)*1</f>
        <v>375.69180268700768</v>
      </c>
      <c r="AB14" s="6">
        <f>$K$14*$V$14</f>
        <v>8523</v>
      </c>
      <c r="AC14" s="6">
        <f>$M$14*$W$14</f>
        <v>0</v>
      </c>
      <c r="AD14" s="6">
        <f>$O$14*$X$14</f>
        <v>0</v>
      </c>
      <c r="AE14" s="6">
        <f ca="1">$K$14*$Y$14</f>
        <v>11948.862417700586</v>
      </c>
      <c r="AF14" s="6">
        <f ca="1">$M$14*$Z$14</f>
        <v>0</v>
      </c>
      <c r="AG14" s="6">
        <f>$O$14*$AA$14</f>
        <v>0</v>
      </c>
    </row>
    <row r="15" spans="1:48" ht="11.25" customHeight="1" x14ac:dyDescent="0.25">
      <c r="A15" s="4" t="s">
        <v>21</v>
      </c>
      <c r="B15" s="4" t="s">
        <v>43</v>
      </c>
      <c r="C15" s="4" t="s">
        <v>41</v>
      </c>
      <c r="D15" s="4" t="s">
        <v>42</v>
      </c>
      <c r="E15" s="4" t="s">
        <v>25</v>
      </c>
      <c r="F15" s="4" t="s">
        <v>25</v>
      </c>
      <c r="G15" s="4" t="s">
        <v>25</v>
      </c>
      <c r="H15" s="4" t="s">
        <v>35</v>
      </c>
      <c r="I15" s="5">
        <v>43770</v>
      </c>
      <c r="J15" s="6">
        <v>900</v>
      </c>
      <c r="K15" s="6">
        <v>900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4" t="s">
        <v>26</v>
      </c>
      <c r="R15" s="4">
        <v>0</v>
      </c>
      <c r="S15" s="6">
        <v>1</v>
      </c>
      <c r="T15" s="6">
        <v>0</v>
      </c>
      <c r="U15" s="6">
        <v>0</v>
      </c>
      <c r="V15" s="6">
        <f>IF(ISERROR(VLOOKUP($S$15,'TAR FIN'!$A$1:$O$120,15,0)),0,VLOOKUP($S$15,'TAR FIN'!$A$1:$O$120,15,0))</f>
        <v>9.4700000000000006</v>
      </c>
      <c r="W15" s="6">
        <f>IF(ISERROR(VLOOKUP($T$15,'TAR FIN'!$A$1:$O$120,15,0)),0,VLOOKUP($T$15,'TAR FIN'!$A$1:$O$120,15,0))</f>
        <v>0</v>
      </c>
      <c r="X15" s="6">
        <f>IF(ISERROR(VLOOKUP($U$15,'TAR FIN'!$A$1:$O$120,15,0)),0,VLOOKUP($U$15,'TAR FIN'!$A$1:$O$120,15,0))</f>
        <v>0</v>
      </c>
      <c r="Y15" s="6">
        <f ca="1">('TUSD BE'!$AM$5+'TUSD BF'!$AM$5+'TUSD CVA'!$AM$5)*1</f>
        <v>13.276513797445094</v>
      </c>
      <c r="Z15" s="6">
        <f ca="1">('TUSD BE'!$AM$7+'TUSD BF'!$AM$7+'TUSD CVA'!$AM$7)*1</f>
        <v>64.02214134768171</v>
      </c>
      <c r="AA15" s="6">
        <f>('TE BE'!$AA$5+'TE BF'!$AA$5+'TE CVA'!$AA$5)*1</f>
        <v>375.69180268700768</v>
      </c>
      <c r="AB15" s="6">
        <f>$K$15*$V$15</f>
        <v>8523</v>
      </c>
      <c r="AC15" s="6">
        <f>$M$15*$W$15</f>
        <v>0</v>
      </c>
      <c r="AD15" s="6">
        <f>$O$15*$X$15</f>
        <v>0</v>
      </c>
      <c r="AE15" s="6">
        <f ca="1">$K$15*$Y$15</f>
        <v>11948.862417700586</v>
      </c>
      <c r="AF15" s="6">
        <f ca="1">$M$15*$Z$15</f>
        <v>0</v>
      </c>
      <c r="AG15" s="6">
        <f>$O$15*$AA$15</f>
        <v>0</v>
      </c>
    </row>
    <row r="16" spans="1:48" ht="11.25" customHeight="1" x14ac:dyDescent="0.25">
      <c r="A16" s="4" t="s">
        <v>21</v>
      </c>
      <c r="B16" s="4" t="s">
        <v>43</v>
      </c>
      <c r="C16" s="4" t="s">
        <v>41</v>
      </c>
      <c r="D16" s="4" t="s">
        <v>42</v>
      </c>
      <c r="E16" s="4" t="s">
        <v>25</v>
      </c>
      <c r="F16" s="4" t="s">
        <v>25</v>
      </c>
      <c r="G16" s="4" t="s">
        <v>25</v>
      </c>
      <c r="H16" s="4" t="s">
        <v>35</v>
      </c>
      <c r="I16" s="5">
        <v>43800</v>
      </c>
      <c r="J16" s="6">
        <v>900</v>
      </c>
      <c r="K16" s="6">
        <v>900</v>
      </c>
      <c r="L16" s="6">
        <v>0.161</v>
      </c>
      <c r="M16" s="6">
        <v>0.161</v>
      </c>
      <c r="N16" s="6">
        <v>0.161</v>
      </c>
      <c r="O16" s="6">
        <v>0.161</v>
      </c>
      <c r="P16" s="6">
        <v>0</v>
      </c>
      <c r="Q16" s="4" t="s">
        <v>26</v>
      </c>
      <c r="R16" s="4">
        <v>0</v>
      </c>
      <c r="S16" s="6">
        <v>1</v>
      </c>
      <c r="T16" s="6">
        <v>3</v>
      </c>
      <c r="U16" s="6">
        <v>77</v>
      </c>
      <c r="V16" s="6">
        <f>IF(ISERROR(VLOOKUP($S$16,'TAR FIN'!$A$1:$O$120,15,0)),0,VLOOKUP($S$16,'TAR FIN'!$A$1:$O$120,15,0))</f>
        <v>9.4700000000000006</v>
      </c>
      <c r="W16" s="6">
        <f>IF(ISERROR(VLOOKUP($T$16,'TAR FIN'!$A$1:$O$120,15,0)),0,VLOOKUP($T$16,'TAR FIN'!$A$1:$O$120,15,0))</f>
        <v>62.65</v>
      </c>
      <c r="X16" s="6">
        <f>IF(ISERROR(VLOOKUP($U$16,'TAR FIN'!$A$1:$O$120,15,0)),0,VLOOKUP($U$16,'TAR FIN'!$A$1:$O$120,15,0))</f>
        <v>430.87</v>
      </c>
      <c r="Y16" s="6">
        <f ca="1">('TUSD BE'!$AM$5+'TUSD BF'!$AM$5+'TUSD CVA'!$AM$5)*1</f>
        <v>13.276513797445094</v>
      </c>
      <c r="Z16" s="6">
        <f ca="1">('TUSD BE'!$AM$7+'TUSD BF'!$AM$7+'TUSD CVA'!$AM$7)*1</f>
        <v>64.02214134768171</v>
      </c>
      <c r="AA16" s="6">
        <f>('TE BE'!$AA$5+'TE BF'!$AA$5+'TE CVA'!$AA$5)*1</f>
        <v>375.69180268700768</v>
      </c>
      <c r="AB16" s="6">
        <f>$K$16*$V$16</f>
        <v>8523</v>
      </c>
      <c r="AC16" s="6">
        <f>$M$16*$W$16</f>
        <v>10.086650000000001</v>
      </c>
      <c r="AD16" s="6">
        <f>$O$16*$X$16</f>
        <v>69.370069999999998</v>
      </c>
      <c r="AE16" s="6">
        <f ca="1">$K$16*$Y$16</f>
        <v>11948.862417700586</v>
      </c>
      <c r="AF16" s="6">
        <f ca="1">$M$16*$Z$16</f>
        <v>10.307564756976756</v>
      </c>
      <c r="AG16" s="6">
        <f>$O$16*$AA$16</f>
        <v>60.486380232608241</v>
      </c>
    </row>
    <row r="17" spans="1:33" ht="11.25" customHeight="1" x14ac:dyDescent="0.25">
      <c r="A17" s="4" t="s">
        <v>21</v>
      </c>
      <c r="B17" s="4" t="s">
        <v>43</v>
      </c>
      <c r="C17" s="4" t="s">
        <v>41</v>
      </c>
      <c r="D17" s="4" t="s">
        <v>42</v>
      </c>
      <c r="E17" s="4" t="s">
        <v>25</v>
      </c>
      <c r="F17" s="4" t="s">
        <v>25</v>
      </c>
      <c r="G17" s="4" t="s">
        <v>25</v>
      </c>
      <c r="H17" s="4" t="s">
        <v>35</v>
      </c>
      <c r="I17" s="5">
        <v>43831</v>
      </c>
      <c r="J17" s="6">
        <v>900</v>
      </c>
      <c r="K17" s="6">
        <v>900</v>
      </c>
      <c r="L17" s="6">
        <v>5.4260000000000002</v>
      </c>
      <c r="M17" s="6">
        <v>5.4260000000000002</v>
      </c>
      <c r="N17" s="6">
        <v>5.4260000000000002</v>
      </c>
      <c r="O17" s="6">
        <v>5.4260000000000002</v>
      </c>
      <c r="P17" s="6">
        <v>0</v>
      </c>
      <c r="Q17" s="4" t="s">
        <v>26</v>
      </c>
      <c r="R17" s="4">
        <v>0</v>
      </c>
      <c r="S17" s="6">
        <v>1</v>
      </c>
      <c r="T17" s="6">
        <v>3</v>
      </c>
      <c r="U17" s="6">
        <v>77</v>
      </c>
      <c r="V17" s="6">
        <f>IF(ISERROR(VLOOKUP($S$17,'TAR FIN'!$A$1:$O$120,15,0)),0,VLOOKUP($S$17,'TAR FIN'!$A$1:$O$120,15,0))</f>
        <v>9.4700000000000006</v>
      </c>
      <c r="W17" s="6">
        <f>IF(ISERROR(VLOOKUP($T$17,'TAR FIN'!$A$1:$O$120,15,0)),0,VLOOKUP($T$17,'TAR FIN'!$A$1:$O$120,15,0))</f>
        <v>62.65</v>
      </c>
      <c r="X17" s="6">
        <f>IF(ISERROR(VLOOKUP($U$17,'TAR FIN'!$A$1:$O$120,15,0)),0,VLOOKUP($U$17,'TAR FIN'!$A$1:$O$120,15,0))</f>
        <v>430.87</v>
      </c>
      <c r="Y17" s="6">
        <f ca="1">('TUSD BE'!$AM$5+'TUSD BF'!$AM$5+'TUSD CVA'!$AM$5)*1</f>
        <v>13.276513797445094</v>
      </c>
      <c r="Z17" s="6">
        <f ca="1">('TUSD BE'!$AM$7+'TUSD BF'!$AM$7+'TUSD CVA'!$AM$7)*1</f>
        <v>64.02214134768171</v>
      </c>
      <c r="AA17" s="6">
        <f>('TE BE'!$AA$5+'TE BF'!$AA$5+'TE CVA'!$AA$5)*1</f>
        <v>375.69180268700768</v>
      </c>
      <c r="AB17" s="6">
        <f>$K$17*$V$17</f>
        <v>8523</v>
      </c>
      <c r="AC17" s="6">
        <f>$M$17*$W$17</f>
        <v>339.93889999999999</v>
      </c>
      <c r="AD17" s="6">
        <f>$O$17*$X$17</f>
        <v>2337.9006199999999</v>
      </c>
      <c r="AE17" s="6">
        <f ca="1">$K$17*$Y$17</f>
        <v>11948.862417700586</v>
      </c>
      <c r="AF17" s="6">
        <f ca="1">$M$17*$Z$17</f>
        <v>347.38413895252097</v>
      </c>
      <c r="AG17" s="6">
        <f>$O$17*$AA$17</f>
        <v>2038.5037213797036</v>
      </c>
    </row>
    <row r="18" spans="1:33" ht="11.25" customHeight="1" x14ac:dyDescent="0.25">
      <c r="A18" s="4" t="s">
        <v>21</v>
      </c>
      <c r="B18" s="4" t="s">
        <v>43</v>
      </c>
      <c r="C18" s="4" t="s">
        <v>41</v>
      </c>
      <c r="D18" s="4" t="s">
        <v>42</v>
      </c>
      <c r="E18" s="4" t="s">
        <v>25</v>
      </c>
      <c r="F18" s="4" t="s">
        <v>25</v>
      </c>
      <c r="G18" s="4" t="s">
        <v>25</v>
      </c>
      <c r="H18" s="4" t="s">
        <v>35</v>
      </c>
      <c r="I18" s="5">
        <v>43862</v>
      </c>
      <c r="J18" s="6">
        <v>900</v>
      </c>
      <c r="K18" s="6">
        <v>900</v>
      </c>
      <c r="L18" s="6">
        <v>20.609000000000002</v>
      </c>
      <c r="M18" s="6">
        <v>20.609000000000002</v>
      </c>
      <c r="N18" s="6">
        <v>20.609000000000002</v>
      </c>
      <c r="O18" s="6">
        <v>20.609000000000002</v>
      </c>
      <c r="P18" s="6">
        <v>0</v>
      </c>
      <c r="Q18" s="4" t="s">
        <v>26</v>
      </c>
      <c r="R18" s="4">
        <v>0</v>
      </c>
      <c r="S18" s="6">
        <v>1</v>
      </c>
      <c r="T18" s="6">
        <v>3</v>
      </c>
      <c r="U18" s="6">
        <v>77</v>
      </c>
      <c r="V18" s="6">
        <f>IF(ISERROR(VLOOKUP($S$18,'TAR FIN'!$A$1:$O$120,15,0)),0,VLOOKUP($S$18,'TAR FIN'!$A$1:$O$120,15,0))</f>
        <v>9.4700000000000006</v>
      </c>
      <c r="W18" s="6">
        <f>IF(ISERROR(VLOOKUP($T$18,'TAR FIN'!$A$1:$O$120,15,0)),0,VLOOKUP($T$18,'TAR FIN'!$A$1:$O$120,15,0))</f>
        <v>62.65</v>
      </c>
      <c r="X18" s="6">
        <f>IF(ISERROR(VLOOKUP($U$18,'TAR FIN'!$A$1:$O$120,15,0)),0,VLOOKUP($U$18,'TAR FIN'!$A$1:$O$120,15,0))</f>
        <v>430.87</v>
      </c>
      <c r="Y18" s="6">
        <f ca="1">('TUSD BE'!$AM$5+'TUSD BF'!$AM$5+'TUSD CVA'!$AM$5)*1</f>
        <v>13.276513797445094</v>
      </c>
      <c r="Z18" s="6">
        <f ca="1">('TUSD BE'!$AM$7+'TUSD BF'!$AM$7+'TUSD CVA'!$AM$7)*1</f>
        <v>64.02214134768171</v>
      </c>
      <c r="AA18" s="6">
        <f>('TE BE'!$AA$5+'TE BF'!$AA$5+'TE CVA'!$AA$5)*1</f>
        <v>375.69180268700768</v>
      </c>
      <c r="AB18" s="6">
        <f>$K$18*$V$18</f>
        <v>8523</v>
      </c>
      <c r="AC18" s="6">
        <f>$M$18*$W$18</f>
        <v>1291.1538500000001</v>
      </c>
      <c r="AD18" s="6">
        <f>$O$18*$X$18</f>
        <v>8879.7998300000017</v>
      </c>
      <c r="AE18" s="6">
        <f ca="1">$K$18*$Y$18</f>
        <v>11948.862417700586</v>
      </c>
      <c r="AF18" s="6">
        <f ca="1">$M$18*$Z$18</f>
        <v>1319.4323110343726</v>
      </c>
      <c r="AG18" s="6">
        <f>$O$18*$AA$18</f>
        <v>7742.6323615765423</v>
      </c>
    </row>
    <row r="19" spans="1:33" ht="11.25" customHeight="1" x14ac:dyDescent="0.25">
      <c r="A19" s="4" t="s">
        <v>21</v>
      </c>
      <c r="B19" s="4" t="s">
        <v>43</v>
      </c>
      <c r="C19" s="4" t="s">
        <v>41</v>
      </c>
      <c r="D19" s="4" t="s">
        <v>42</v>
      </c>
      <c r="E19" s="4" t="s">
        <v>25</v>
      </c>
      <c r="F19" s="4" t="s">
        <v>25</v>
      </c>
      <c r="G19" s="4" t="s">
        <v>25</v>
      </c>
      <c r="H19" s="4" t="s">
        <v>35</v>
      </c>
      <c r="I19" s="5">
        <v>43891</v>
      </c>
      <c r="J19" s="6">
        <v>900</v>
      </c>
      <c r="K19" s="6">
        <v>900</v>
      </c>
      <c r="L19" s="6">
        <v>22.637</v>
      </c>
      <c r="M19" s="6">
        <v>22.637</v>
      </c>
      <c r="N19" s="6">
        <v>22.637</v>
      </c>
      <c r="O19" s="6">
        <v>22.637</v>
      </c>
      <c r="P19" s="6">
        <v>0</v>
      </c>
      <c r="Q19" s="4" t="s">
        <v>26</v>
      </c>
      <c r="R19" s="4">
        <v>0</v>
      </c>
      <c r="S19" s="6">
        <v>1</v>
      </c>
      <c r="T19" s="6">
        <v>3</v>
      </c>
      <c r="U19" s="6">
        <v>77</v>
      </c>
      <c r="V19" s="6">
        <f>IF(ISERROR(VLOOKUP($S$19,'TAR FIN'!$A$1:$O$120,15,0)),0,VLOOKUP($S$19,'TAR FIN'!$A$1:$O$120,15,0))</f>
        <v>9.4700000000000006</v>
      </c>
      <c r="W19" s="6">
        <f>IF(ISERROR(VLOOKUP($T$19,'TAR FIN'!$A$1:$O$120,15,0)),0,VLOOKUP($T$19,'TAR FIN'!$A$1:$O$120,15,0))</f>
        <v>62.65</v>
      </c>
      <c r="X19" s="6">
        <f>IF(ISERROR(VLOOKUP($U$19,'TAR FIN'!$A$1:$O$120,15,0)),0,VLOOKUP($U$19,'TAR FIN'!$A$1:$O$120,15,0))</f>
        <v>430.87</v>
      </c>
      <c r="Y19" s="6">
        <f ca="1">('TUSD BE'!$AM$5+'TUSD BF'!$AM$5+'TUSD CVA'!$AM$5)*1</f>
        <v>13.276513797445094</v>
      </c>
      <c r="Z19" s="6">
        <f ca="1">('TUSD BE'!$AM$7+'TUSD BF'!$AM$7+'TUSD CVA'!$AM$7)*1</f>
        <v>64.02214134768171</v>
      </c>
      <c r="AA19" s="6">
        <f>('TE BE'!$AA$5+'TE BF'!$AA$5+'TE CVA'!$AA$5)*1</f>
        <v>375.69180268700768</v>
      </c>
      <c r="AB19" s="6">
        <f>$K$19*$V$19</f>
        <v>8523</v>
      </c>
      <c r="AC19" s="6">
        <f>$M$19*$W$19</f>
        <v>1418.20805</v>
      </c>
      <c r="AD19" s="6">
        <f>$O$19*$X$19</f>
        <v>9753.60419</v>
      </c>
      <c r="AE19" s="6">
        <f ca="1">$K$19*$Y$19</f>
        <v>11948.862417700586</v>
      </c>
      <c r="AF19" s="6">
        <f ca="1">$M$19*$Z$19</f>
        <v>1449.2692136874709</v>
      </c>
      <c r="AG19" s="6">
        <f>$O$19*$AA$19</f>
        <v>8504.5353374257938</v>
      </c>
    </row>
    <row r="20" spans="1:33" ht="11.25" customHeight="1" x14ac:dyDescent="0.25">
      <c r="A20" s="4" t="s">
        <v>21</v>
      </c>
      <c r="B20" s="4" t="s">
        <v>43</v>
      </c>
      <c r="C20" s="4" t="s">
        <v>41</v>
      </c>
      <c r="D20" s="4" t="s">
        <v>42</v>
      </c>
      <c r="E20" s="4" t="s">
        <v>25</v>
      </c>
      <c r="F20" s="4" t="s">
        <v>25</v>
      </c>
      <c r="G20" s="4" t="s">
        <v>25</v>
      </c>
      <c r="H20" s="4" t="s">
        <v>35</v>
      </c>
      <c r="I20" s="5">
        <v>43922</v>
      </c>
      <c r="J20" s="6">
        <v>900</v>
      </c>
      <c r="K20" s="6">
        <v>900</v>
      </c>
      <c r="L20" s="6">
        <v>21.684999999999999</v>
      </c>
      <c r="M20" s="6">
        <v>21.684999999999999</v>
      </c>
      <c r="N20" s="6">
        <v>21.684999999999999</v>
      </c>
      <c r="O20" s="6">
        <v>21.684999999999999</v>
      </c>
      <c r="P20" s="6">
        <v>0</v>
      </c>
      <c r="Q20" s="4" t="s">
        <v>26</v>
      </c>
      <c r="R20" s="4">
        <v>0</v>
      </c>
      <c r="S20" s="6">
        <v>1</v>
      </c>
      <c r="T20" s="6">
        <v>3</v>
      </c>
      <c r="U20" s="6">
        <v>77</v>
      </c>
      <c r="V20" s="6">
        <f>IF(ISERROR(VLOOKUP($S$20,'TAR FIN'!$A$1:$O$120,15,0)),0,VLOOKUP($S$20,'TAR FIN'!$A$1:$O$120,15,0))</f>
        <v>9.4700000000000006</v>
      </c>
      <c r="W20" s="6">
        <f>IF(ISERROR(VLOOKUP($T$20,'TAR FIN'!$A$1:$O$120,15,0)),0,VLOOKUP($T$20,'TAR FIN'!$A$1:$O$120,15,0))</f>
        <v>62.65</v>
      </c>
      <c r="X20" s="6">
        <f>IF(ISERROR(VLOOKUP($U$20,'TAR FIN'!$A$1:$O$120,15,0)),0,VLOOKUP($U$20,'TAR FIN'!$A$1:$O$120,15,0))</f>
        <v>430.87</v>
      </c>
      <c r="Y20" s="6">
        <f ca="1">('TUSD BE'!$AM$5+'TUSD BF'!$AM$5+'TUSD CVA'!$AM$5)*1</f>
        <v>13.276513797445094</v>
      </c>
      <c r="Z20" s="6">
        <f ca="1">('TUSD BE'!$AM$7+'TUSD BF'!$AM$7+'TUSD CVA'!$AM$7)*1</f>
        <v>64.02214134768171</v>
      </c>
      <c r="AA20" s="6">
        <f>('TE BE'!$AA$5+'TE BF'!$AA$5+'TE CVA'!$AA$5)*1</f>
        <v>375.69180268700768</v>
      </c>
      <c r="AB20" s="6">
        <f>$K$20*$V$20</f>
        <v>8523</v>
      </c>
      <c r="AC20" s="6">
        <f>$M$20*$W$20</f>
        <v>1358.5652499999999</v>
      </c>
      <c r="AD20" s="6">
        <f>$O$20*$X$20</f>
        <v>9343.4159499999987</v>
      </c>
      <c r="AE20" s="6">
        <f ca="1">$K$20*$Y$20</f>
        <v>11948.862417700586</v>
      </c>
      <c r="AF20" s="6">
        <f ca="1">$M$20*$Z$20</f>
        <v>1388.3201351244777</v>
      </c>
      <c r="AG20" s="6">
        <f>$O$20*$AA$20</f>
        <v>8146.8767412677607</v>
      </c>
    </row>
    <row r="21" spans="1:33" ht="11.25" customHeight="1" x14ac:dyDescent="0.25">
      <c r="A21" s="4" t="s">
        <v>21</v>
      </c>
      <c r="B21" s="4" t="s">
        <v>43</v>
      </c>
      <c r="C21" s="4" t="s">
        <v>41</v>
      </c>
      <c r="D21" s="4" t="s">
        <v>42</v>
      </c>
      <c r="E21" s="4" t="s">
        <v>25</v>
      </c>
      <c r="F21" s="4" t="s">
        <v>25</v>
      </c>
      <c r="G21" s="4" t="s">
        <v>25</v>
      </c>
      <c r="H21" s="4" t="s">
        <v>35</v>
      </c>
      <c r="I21" s="5">
        <v>43952</v>
      </c>
      <c r="J21" s="6">
        <v>900</v>
      </c>
      <c r="K21" s="6">
        <v>900</v>
      </c>
      <c r="L21" s="6">
        <v>20.315000000000001</v>
      </c>
      <c r="M21" s="6">
        <v>20.315000000000001</v>
      </c>
      <c r="N21" s="6">
        <v>20.315000000000001</v>
      </c>
      <c r="O21" s="6">
        <v>20.315000000000001</v>
      </c>
      <c r="P21" s="6">
        <v>0</v>
      </c>
      <c r="Q21" s="4" t="s">
        <v>26</v>
      </c>
      <c r="R21" s="4">
        <v>0</v>
      </c>
      <c r="S21" s="6">
        <v>1</v>
      </c>
      <c r="T21" s="6">
        <v>3</v>
      </c>
      <c r="U21" s="6">
        <v>77</v>
      </c>
      <c r="V21" s="6">
        <f>IF(ISERROR(VLOOKUP($S$21,'TAR FIN'!$A$1:$O$120,15,0)),0,VLOOKUP($S$21,'TAR FIN'!$A$1:$O$120,15,0))</f>
        <v>9.4700000000000006</v>
      </c>
      <c r="W21" s="6">
        <f>IF(ISERROR(VLOOKUP($T$21,'TAR FIN'!$A$1:$O$120,15,0)),0,VLOOKUP($T$21,'TAR FIN'!$A$1:$O$120,15,0))</f>
        <v>62.65</v>
      </c>
      <c r="X21" s="6">
        <f>IF(ISERROR(VLOOKUP($U$21,'TAR FIN'!$A$1:$O$120,15,0)),0,VLOOKUP($U$21,'TAR FIN'!$A$1:$O$120,15,0))</f>
        <v>430.87</v>
      </c>
      <c r="Y21" s="6">
        <f ca="1">('TUSD BE'!$AM$5+'TUSD BF'!$AM$5+'TUSD CVA'!$AM$5)*1</f>
        <v>13.276513797445094</v>
      </c>
      <c r="Z21" s="6">
        <f ca="1">('TUSD BE'!$AM$7+'TUSD BF'!$AM$7+'TUSD CVA'!$AM$7)*1</f>
        <v>64.02214134768171</v>
      </c>
      <c r="AA21" s="6">
        <f>('TE BE'!$AA$5+'TE BF'!$AA$5+'TE CVA'!$AA$5)*1</f>
        <v>375.69180268700768</v>
      </c>
      <c r="AB21" s="6">
        <f>$K$21*$V$21</f>
        <v>8523</v>
      </c>
      <c r="AC21" s="6">
        <f>$M$21*$W$21</f>
        <v>1272.7347500000001</v>
      </c>
      <c r="AD21" s="6">
        <f>$O$21*$X$21</f>
        <v>8753.1240500000004</v>
      </c>
      <c r="AE21" s="6">
        <f ca="1">$K$21*$Y$21</f>
        <v>11948.862417700586</v>
      </c>
      <c r="AF21" s="6">
        <f ca="1">$M$21*$Z$21</f>
        <v>1300.6098014781539</v>
      </c>
      <c r="AG21" s="6">
        <f>$O$21*$AA$21</f>
        <v>7632.1789715865616</v>
      </c>
    </row>
    <row r="22" spans="1:33" ht="11.25" customHeight="1" x14ac:dyDescent="0.25">
      <c r="A22" s="4" t="s">
        <v>21</v>
      </c>
      <c r="B22" s="4" t="s">
        <v>43</v>
      </c>
      <c r="C22" s="4" t="s">
        <v>41</v>
      </c>
      <c r="D22" s="4" t="s">
        <v>42</v>
      </c>
      <c r="E22" s="4" t="s">
        <v>25</v>
      </c>
      <c r="F22" s="4" t="s">
        <v>25</v>
      </c>
      <c r="G22" s="4" t="s">
        <v>25</v>
      </c>
      <c r="H22" s="4" t="s">
        <v>35</v>
      </c>
      <c r="I22" s="5">
        <v>43983</v>
      </c>
      <c r="J22" s="6">
        <v>900</v>
      </c>
      <c r="K22" s="6">
        <v>900</v>
      </c>
      <c r="L22" s="6">
        <v>20.888000000000002</v>
      </c>
      <c r="M22" s="6">
        <v>20.888000000000002</v>
      </c>
      <c r="N22" s="6">
        <v>20.888000000000002</v>
      </c>
      <c r="O22" s="6">
        <v>20.888000000000002</v>
      </c>
      <c r="P22" s="6">
        <v>0</v>
      </c>
      <c r="Q22" s="4" t="s">
        <v>26</v>
      </c>
      <c r="R22" s="4">
        <v>0</v>
      </c>
      <c r="S22" s="6">
        <v>1</v>
      </c>
      <c r="T22" s="6">
        <v>3</v>
      </c>
      <c r="U22" s="6">
        <v>77</v>
      </c>
      <c r="V22" s="6">
        <f>IF(ISERROR(VLOOKUP($S$22,'TAR FIN'!$A$1:$O$120,15,0)),0,VLOOKUP($S$22,'TAR FIN'!$A$1:$O$120,15,0))</f>
        <v>9.4700000000000006</v>
      </c>
      <c r="W22" s="6">
        <f>IF(ISERROR(VLOOKUP($T$22,'TAR FIN'!$A$1:$O$120,15,0)),0,VLOOKUP($T$22,'TAR FIN'!$A$1:$O$120,15,0))</f>
        <v>62.65</v>
      </c>
      <c r="X22" s="6">
        <f>IF(ISERROR(VLOOKUP($U$22,'TAR FIN'!$A$1:$O$120,15,0)),0,VLOOKUP($U$22,'TAR FIN'!$A$1:$O$120,15,0))</f>
        <v>430.87</v>
      </c>
      <c r="Y22" s="6">
        <f ca="1">('TUSD BE'!$AM$5+'TUSD BF'!$AM$5+'TUSD CVA'!$AM$5)*1</f>
        <v>13.276513797445094</v>
      </c>
      <c r="Z22" s="6">
        <f ca="1">('TUSD BE'!$AM$7+'TUSD BF'!$AM$7+'TUSD CVA'!$AM$7)*1</f>
        <v>64.02214134768171</v>
      </c>
      <c r="AA22" s="6">
        <f>('TE BE'!$AA$5+'TE BF'!$AA$5+'TE CVA'!$AA$5)*1</f>
        <v>375.69180268700768</v>
      </c>
      <c r="AB22" s="6">
        <f>$K$22*$V$22</f>
        <v>8523</v>
      </c>
      <c r="AC22" s="6">
        <f>$M$22*$W$22</f>
        <v>1308.6332</v>
      </c>
      <c r="AD22" s="6">
        <f>$O$22*$X$22</f>
        <v>9000.012560000001</v>
      </c>
      <c r="AE22" s="6">
        <f ca="1">$K$22*$Y$22</f>
        <v>11948.862417700586</v>
      </c>
      <c r="AF22" s="6">
        <f ca="1">$M$22*$Z$22</f>
        <v>1337.2944884703757</v>
      </c>
      <c r="AG22" s="6">
        <f>$O$22*$AA$22</f>
        <v>7847.4503745262173</v>
      </c>
    </row>
    <row r="23" spans="1:33" ht="11.25" customHeight="1" x14ac:dyDescent="0.25">
      <c r="A23" s="4" t="s">
        <v>21</v>
      </c>
      <c r="B23" s="4" t="s">
        <v>43</v>
      </c>
      <c r="C23" s="4" t="s">
        <v>41</v>
      </c>
      <c r="D23" s="4" t="s">
        <v>42</v>
      </c>
      <c r="E23" s="4" t="s">
        <v>25</v>
      </c>
      <c r="F23" s="4" t="s">
        <v>25</v>
      </c>
      <c r="G23" s="4" t="s">
        <v>25</v>
      </c>
      <c r="H23" s="4" t="s">
        <v>35</v>
      </c>
      <c r="I23" s="5">
        <v>44013</v>
      </c>
      <c r="J23" s="6">
        <v>900</v>
      </c>
      <c r="K23" s="6">
        <v>900</v>
      </c>
      <c r="L23" s="6">
        <v>21.486000000000001</v>
      </c>
      <c r="M23" s="6">
        <v>21.486000000000001</v>
      </c>
      <c r="N23" s="6">
        <v>21.486000000000001</v>
      </c>
      <c r="O23" s="6">
        <v>21.486000000000001</v>
      </c>
      <c r="P23" s="6">
        <v>0</v>
      </c>
      <c r="Q23" s="4" t="s">
        <v>26</v>
      </c>
      <c r="R23" s="4">
        <v>0</v>
      </c>
      <c r="S23" s="6">
        <v>1</v>
      </c>
      <c r="T23" s="6">
        <v>3</v>
      </c>
      <c r="U23" s="6">
        <v>77</v>
      </c>
      <c r="V23" s="6">
        <f>IF(ISERROR(VLOOKUP($S$23,'TAR FIN'!$A$1:$O$120,15,0)),0,VLOOKUP($S$23,'TAR FIN'!$A$1:$O$120,15,0))</f>
        <v>9.4700000000000006</v>
      </c>
      <c r="W23" s="6">
        <f>IF(ISERROR(VLOOKUP($T$23,'TAR FIN'!$A$1:$O$120,15,0)),0,VLOOKUP($T$23,'TAR FIN'!$A$1:$O$120,15,0))</f>
        <v>62.65</v>
      </c>
      <c r="X23" s="6">
        <f>IF(ISERROR(VLOOKUP($U$23,'TAR FIN'!$A$1:$O$120,15,0)),0,VLOOKUP($U$23,'TAR FIN'!$A$1:$O$120,15,0))</f>
        <v>430.87</v>
      </c>
      <c r="Y23" s="6">
        <f ca="1">('TUSD BE'!$AM$5+'TUSD BF'!$AM$5+'TUSD CVA'!$AM$5)*1</f>
        <v>13.276513797445094</v>
      </c>
      <c r="Z23" s="6">
        <f ca="1">('TUSD BE'!$AM$7+'TUSD BF'!$AM$7+'TUSD CVA'!$AM$7)*1</f>
        <v>64.02214134768171</v>
      </c>
      <c r="AA23" s="6">
        <f>('TE BE'!$AA$5+'TE BF'!$AA$5+'TE CVA'!$AA$5)*1</f>
        <v>375.69180268700768</v>
      </c>
      <c r="AB23" s="6">
        <f>$K$23*$V$23</f>
        <v>8523</v>
      </c>
      <c r="AC23" s="6">
        <f>$M$23*$W$23</f>
        <v>1346.0979</v>
      </c>
      <c r="AD23" s="6">
        <f>$O$23*$X$23</f>
        <v>9257.6728199999998</v>
      </c>
      <c r="AE23" s="6">
        <f ca="1">$K$23*$Y$23</f>
        <v>11948.862417700586</v>
      </c>
      <c r="AF23" s="6">
        <f ca="1">$M$23*$Z$23</f>
        <v>1375.5797289962893</v>
      </c>
      <c r="AG23" s="6">
        <f>$O$23*$AA$23</f>
        <v>8072.114072533047</v>
      </c>
    </row>
    <row r="24" spans="1:33" ht="11.25" customHeight="1" x14ac:dyDescent="0.25">
      <c r="A24" s="4" t="s">
        <v>21</v>
      </c>
      <c r="B24" s="4" t="s">
        <v>43</v>
      </c>
      <c r="C24" s="4" t="s">
        <v>41</v>
      </c>
      <c r="D24" s="4" t="s">
        <v>42</v>
      </c>
      <c r="E24" s="4" t="s">
        <v>25</v>
      </c>
      <c r="F24" s="4" t="s">
        <v>25</v>
      </c>
      <c r="G24" s="4" t="s">
        <v>25</v>
      </c>
      <c r="H24" s="4" t="s">
        <v>35</v>
      </c>
      <c r="I24" s="5">
        <v>44044</v>
      </c>
      <c r="J24" s="6">
        <v>900</v>
      </c>
      <c r="K24" s="6">
        <v>900</v>
      </c>
      <c r="L24" s="6">
        <v>11.099</v>
      </c>
      <c r="M24" s="6">
        <v>11.099</v>
      </c>
      <c r="N24" s="6">
        <v>11.099</v>
      </c>
      <c r="O24" s="6">
        <v>11.099</v>
      </c>
      <c r="P24" s="6">
        <v>0</v>
      </c>
      <c r="Q24" s="4" t="s">
        <v>26</v>
      </c>
      <c r="R24" s="4">
        <v>0</v>
      </c>
      <c r="S24" s="6">
        <v>1</v>
      </c>
      <c r="T24" s="6">
        <v>3</v>
      </c>
      <c r="U24" s="6">
        <v>77</v>
      </c>
      <c r="V24" s="6">
        <f>IF(ISERROR(VLOOKUP($S$24,'TAR FIN'!$A$1:$O$120,15,0)),0,VLOOKUP($S$24,'TAR FIN'!$A$1:$O$120,15,0))</f>
        <v>9.4700000000000006</v>
      </c>
      <c r="W24" s="6">
        <f>IF(ISERROR(VLOOKUP($T$24,'TAR FIN'!$A$1:$O$120,15,0)),0,VLOOKUP($T$24,'TAR FIN'!$A$1:$O$120,15,0))</f>
        <v>62.65</v>
      </c>
      <c r="X24" s="6">
        <f>IF(ISERROR(VLOOKUP($U$24,'TAR FIN'!$A$1:$O$120,15,0)),0,VLOOKUP($U$24,'TAR FIN'!$A$1:$O$120,15,0))</f>
        <v>430.87</v>
      </c>
      <c r="Y24" s="6">
        <f ca="1">('TUSD BE'!$AM$5+'TUSD BF'!$AM$5+'TUSD CVA'!$AM$5)*1</f>
        <v>13.276513797445094</v>
      </c>
      <c r="Z24" s="6">
        <f ca="1">('TUSD BE'!$AM$7+'TUSD BF'!$AM$7+'TUSD CVA'!$AM$7)*1</f>
        <v>64.02214134768171</v>
      </c>
      <c r="AA24" s="6">
        <f>('TE BE'!$AA$5+'TE BF'!$AA$5+'TE CVA'!$AA$5)*1</f>
        <v>375.69180268700768</v>
      </c>
      <c r="AB24" s="6">
        <f>$K$24*$V$24</f>
        <v>8523</v>
      </c>
      <c r="AC24" s="6">
        <f>$M$24*$W$24</f>
        <v>695.35235</v>
      </c>
      <c r="AD24" s="6">
        <f>$O$24*$X$24</f>
        <v>4782.22613</v>
      </c>
      <c r="AE24" s="6">
        <f ca="1">$K$24*$Y$24</f>
        <v>11948.862417700586</v>
      </c>
      <c r="AF24" s="6">
        <f ca="1">$M$24*$Z$24</f>
        <v>710.58174681791934</v>
      </c>
      <c r="AG24" s="6">
        <f>$O$24*$AA$24</f>
        <v>4169.8033180230987</v>
      </c>
    </row>
    <row r="25" spans="1:33" ht="11.25" customHeight="1" x14ac:dyDescent="0.25">
      <c r="A25" s="4" t="s">
        <v>59</v>
      </c>
      <c r="B25" s="4" t="s">
        <v>43</v>
      </c>
      <c r="C25" s="4" t="s">
        <v>41</v>
      </c>
      <c r="D25" s="4" t="s">
        <v>42</v>
      </c>
      <c r="E25" s="4" t="s">
        <v>25</v>
      </c>
      <c r="F25" s="4" t="s">
        <v>25</v>
      </c>
      <c r="G25" s="4" t="s">
        <v>25</v>
      </c>
      <c r="H25" s="4" t="s">
        <v>35</v>
      </c>
      <c r="I25" s="5">
        <v>44075</v>
      </c>
      <c r="J25" s="6">
        <v>900</v>
      </c>
      <c r="K25" s="6">
        <v>900</v>
      </c>
      <c r="L25" s="6">
        <v>11.099</v>
      </c>
      <c r="M25" s="6">
        <v>11.099</v>
      </c>
      <c r="N25" s="6">
        <v>11.099</v>
      </c>
      <c r="O25" s="6">
        <v>11.099</v>
      </c>
      <c r="P25" s="6">
        <v>0</v>
      </c>
      <c r="Q25" s="4" t="s">
        <v>26</v>
      </c>
      <c r="R25" s="4">
        <v>0</v>
      </c>
      <c r="S25" s="6">
        <v>1</v>
      </c>
      <c r="T25" s="6">
        <v>3</v>
      </c>
      <c r="U25" s="6">
        <v>77</v>
      </c>
      <c r="V25" s="6">
        <f>IF(ISERROR(VLOOKUP($S$25,'TAR FIN'!$A$1:$O$120,15,0)),0,VLOOKUP($S$25,'TAR FIN'!$A$1:$O$120,15,0))</f>
        <v>9.4700000000000006</v>
      </c>
      <c r="W25" s="6">
        <f>IF(ISERROR(VLOOKUP($T$25,'TAR FIN'!$A$1:$O$120,15,0)),0,VLOOKUP($T$25,'TAR FIN'!$A$1:$O$120,15,0))</f>
        <v>62.65</v>
      </c>
      <c r="X25" s="6">
        <f>IF(ISERROR(VLOOKUP($U$25,'TAR FIN'!$A$1:$O$120,15,0)),0,VLOOKUP($U$25,'TAR FIN'!$A$1:$O$120,15,0))</f>
        <v>430.87</v>
      </c>
      <c r="Y25" s="6">
        <f ca="1">('TUSD BE'!$AM$5+'TUSD BF'!$AM$5+'TUSD CVA'!$AM$5)*1</f>
        <v>13.276513797445094</v>
      </c>
      <c r="Z25" s="6">
        <f ca="1">('TUSD BE'!$AM$7+'TUSD BF'!$AM$7+'TUSD CVA'!$AM$7)*1</f>
        <v>64.02214134768171</v>
      </c>
      <c r="AA25" s="6">
        <f>('TE BE'!$AA$5+'TE BF'!$AA$5+'TE CVA'!$AA$5)*1</f>
        <v>375.69180268700768</v>
      </c>
      <c r="AB25" s="6">
        <f>$K$25*$V$25</f>
        <v>8523</v>
      </c>
      <c r="AC25" s="6">
        <f>$M$25*$W$25</f>
        <v>695.35235</v>
      </c>
      <c r="AD25" s="6">
        <f>$O$25*$X$25</f>
        <v>4782.22613</v>
      </c>
      <c r="AE25" s="6">
        <f ca="1">$K$25*$Y$25</f>
        <v>11948.862417700586</v>
      </c>
      <c r="AF25" s="6">
        <f ca="1">$M$25*$Z$25</f>
        <v>710.58174681791934</v>
      </c>
      <c r="AG25" s="6">
        <f>$O$25*$AA$25</f>
        <v>4169.8033180230987</v>
      </c>
    </row>
    <row r="26" spans="1:33" ht="11.25" customHeight="1" x14ac:dyDescent="0.25">
      <c r="A26" s="4" t="s">
        <v>21</v>
      </c>
      <c r="B26" s="4" t="s">
        <v>43</v>
      </c>
      <c r="C26" s="4" t="s">
        <v>41</v>
      </c>
      <c r="D26" s="4" t="s">
        <v>40</v>
      </c>
      <c r="E26" s="4" t="s">
        <v>25</v>
      </c>
      <c r="F26" s="4" t="s">
        <v>61</v>
      </c>
      <c r="G26" s="4" t="s">
        <v>25</v>
      </c>
      <c r="H26" s="4" t="s">
        <v>36</v>
      </c>
      <c r="I26" s="5">
        <v>43739</v>
      </c>
      <c r="J26" s="6">
        <v>20450</v>
      </c>
      <c r="K26" s="6">
        <v>20450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4" t="s">
        <v>62</v>
      </c>
      <c r="R26" s="4">
        <v>0</v>
      </c>
      <c r="S26" s="6">
        <v>2</v>
      </c>
      <c r="T26" s="6">
        <v>0</v>
      </c>
      <c r="U26" s="6">
        <v>0</v>
      </c>
      <c r="V26" s="6">
        <f>IF(ISERROR(VLOOKUP($S$26,'TAR FIN'!$A$1:$O$120,15,0)),0,VLOOKUP($S$26,'TAR FIN'!$A$1:$O$120,15,0))</f>
        <v>5.4</v>
      </c>
      <c r="W26" s="6">
        <f>IF(ISERROR(VLOOKUP($T$26,'TAR FIN'!$A$1:$O$120,15,0)),0,VLOOKUP($T$26,'TAR FIN'!$A$1:$O$120,15,0))</f>
        <v>0</v>
      </c>
      <c r="X26" s="6">
        <f>IF(ISERROR(VLOOKUP($U$26,'TAR FIN'!$A$1:$O$120,15,0)),0,VLOOKUP($U$26,'TAR FIN'!$A$1:$O$120,15,0))</f>
        <v>0</v>
      </c>
      <c r="Y26" s="6">
        <f ca="1">('TUSD BE'!$AM$6+'TUSD BF'!$AM$6+'TUSD CVA'!$AM$6)*1</f>
        <v>8.2823716907665279</v>
      </c>
      <c r="Z26" s="6">
        <f ca="1">('TUSD BE'!$AM$7+'TUSD BF'!$AM$7+'TUSD CVA'!$AM$7)*1</f>
        <v>64.02214134768171</v>
      </c>
      <c r="AA26" s="6"/>
      <c r="AB26" s="6">
        <f>$K$26*$V$26</f>
        <v>110430</v>
      </c>
      <c r="AC26" s="6">
        <f>$M$26*$W$26</f>
        <v>0</v>
      </c>
      <c r="AD26" s="6">
        <f>$O$26*$X$26</f>
        <v>0</v>
      </c>
      <c r="AE26" s="6">
        <f ca="1">$K$26*$Y$26</f>
        <v>169374.50107617548</v>
      </c>
      <c r="AF26" s="6">
        <f ca="1">$M$26*$Z$26</f>
        <v>0</v>
      </c>
      <c r="AG26" s="6">
        <f>$O$26*$AA$26</f>
        <v>0</v>
      </c>
    </row>
    <row r="27" spans="1:33" ht="11.25" customHeight="1" x14ac:dyDescent="0.25">
      <c r="A27" s="4" t="s">
        <v>21</v>
      </c>
      <c r="B27" s="4" t="s">
        <v>43</v>
      </c>
      <c r="C27" s="4" t="s">
        <v>41</v>
      </c>
      <c r="D27" s="4" t="s">
        <v>40</v>
      </c>
      <c r="E27" s="4" t="s">
        <v>25</v>
      </c>
      <c r="F27" s="4" t="s">
        <v>61</v>
      </c>
      <c r="G27" s="4" t="s">
        <v>25</v>
      </c>
      <c r="H27" s="4" t="s">
        <v>36</v>
      </c>
      <c r="I27" s="5">
        <v>43770</v>
      </c>
      <c r="J27" s="6">
        <v>20450</v>
      </c>
      <c r="K27" s="6">
        <v>20450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4" t="s">
        <v>62</v>
      </c>
      <c r="R27" s="4">
        <v>0</v>
      </c>
      <c r="S27" s="6">
        <v>2</v>
      </c>
      <c r="T27" s="6">
        <v>0</v>
      </c>
      <c r="U27" s="6">
        <v>0</v>
      </c>
      <c r="V27" s="6">
        <f>IF(ISERROR(VLOOKUP($S$27,'TAR FIN'!$A$1:$O$120,15,0)),0,VLOOKUP($S$27,'TAR FIN'!$A$1:$O$120,15,0))</f>
        <v>5.4</v>
      </c>
      <c r="W27" s="6">
        <f>IF(ISERROR(VLOOKUP($T$27,'TAR FIN'!$A$1:$O$120,15,0)),0,VLOOKUP($T$27,'TAR FIN'!$A$1:$O$120,15,0))</f>
        <v>0</v>
      </c>
      <c r="X27" s="6">
        <f>IF(ISERROR(VLOOKUP($U$27,'TAR FIN'!$A$1:$O$120,15,0)),0,VLOOKUP($U$27,'TAR FIN'!$A$1:$O$120,15,0))</f>
        <v>0</v>
      </c>
      <c r="Y27" s="6">
        <f ca="1">('TUSD BE'!$AM$6+'TUSD BF'!$AM$6+'TUSD CVA'!$AM$6)*1</f>
        <v>8.2823716907665279</v>
      </c>
      <c r="Z27" s="6">
        <f ca="1">('TUSD BE'!$AM$7+'TUSD BF'!$AM$7+'TUSD CVA'!$AM$7)*1</f>
        <v>64.02214134768171</v>
      </c>
      <c r="AA27" s="6"/>
      <c r="AB27" s="6">
        <f>$K$27*$V$27</f>
        <v>110430</v>
      </c>
      <c r="AC27" s="6">
        <f>$M$27*$W$27</f>
        <v>0</v>
      </c>
      <c r="AD27" s="6">
        <f>$O$27*$X$27</f>
        <v>0</v>
      </c>
      <c r="AE27" s="6">
        <f ca="1">$K$27*$Y$27</f>
        <v>169374.50107617548</v>
      </c>
      <c r="AF27" s="6">
        <f ca="1">$M$27*$Z$27</f>
        <v>0</v>
      </c>
      <c r="AG27" s="6">
        <f>$O$27*$AA$27</f>
        <v>0</v>
      </c>
    </row>
    <row r="28" spans="1:33" ht="11.25" customHeight="1" x14ac:dyDescent="0.25">
      <c r="A28" s="4" t="s">
        <v>21</v>
      </c>
      <c r="B28" s="4" t="s">
        <v>43</v>
      </c>
      <c r="C28" s="4" t="s">
        <v>41</v>
      </c>
      <c r="D28" s="4" t="s">
        <v>40</v>
      </c>
      <c r="E28" s="4" t="s">
        <v>25</v>
      </c>
      <c r="F28" s="4" t="s">
        <v>61</v>
      </c>
      <c r="G28" s="4" t="s">
        <v>25</v>
      </c>
      <c r="H28" s="4" t="s">
        <v>36</v>
      </c>
      <c r="I28" s="5">
        <v>43800</v>
      </c>
      <c r="J28" s="6">
        <v>20450</v>
      </c>
      <c r="K28" s="6">
        <v>20450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4" t="s">
        <v>62</v>
      </c>
      <c r="R28" s="4">
        <v>0</v>
      </c>
      <c r="S28" s="6">
        <v>2</v>
      </c>
      <c r="T28" s="6">
        <v>0</v>
      </c>
      <c r="U28" s="6">
        <v>0</v>
      </c>
      <c r="V28" s="6">
        <f>IF(ISERROR(VLOOKUP($S$28,'TAR FIN'!$A$1:$O$120,15,0)),0,VLOOKUP($S$28,'TAR FIN'!$A$1:$O$120,15,0))</f>
        <v>5.4</v>
      </c>
      <c r="W28" s="6">
        <f>IF(ISERROR(VLOOKUP($T$28,'TAR FIN'!$A$1:$O$120,15,0)),0,VLOOKUP($T$28,'TAR FIN'!$A$1:$O$120,15,0))</f>
        <v>0</v>
      </c>
      <c r="X28" s="6">
        <f>IF(ISERROR(VLOOKUP($U$28,'TAR FIN'!$A$1:$O$120,15,0)),0,VLOOKUP($U$28,'TAR FIN'!$A$1:$O$120,15,0))</f>
        <v>0</v>
      </c>
      <c r="Y28" s="6">
        <f ca="1">('TUSD BE'!$AM$6+'TUSD BF'!$AM$6+'TUSD CVA'!$AM$6)*1</f>
        <v>8.2823716907665279</v>
      </c>
      <c r="Z28" s="6">
        <f ca="1">('TUSD BE'!$AM$7+'TUSD BF'!$AM$7+'TUSD CVA'!$AM$7)*1</f>
        <v>64.02214134768171</v>
      </c>
      <c r="AA28" s="6"/>
      <c r="AB28" s="6">
        <f>$K$28*$V$28</f>
        <v>110430</v>
      </c>
      <c r="AC28" s="6">
        <f>$M$28*$W$28</f>
        <v>0</v>
      </c>
      <c r="AD28" s="6">
        <f>$O$28*$X$28</f>
        <v>0</v>
      </c>
      <c r="AE28" s="6">
        <f ca="1">$K$28*$Y$28</f>
        <v>169374.50107617548</v>
      </c>
      <c r="AF28" s="6">
        <f ca="1">$M$28*$Z$28</f>
        <v>0</v>
      </c>
      <c r="AG28" s="6">
        <f>$O$28*$AA$28</f>
        <v>0</v>
      </c>
    </row>
    <row r="29" spans="1:33" ht="11.25" customHeight="1" x14ac:dyDescent="0.25">
      <c r="A29" s="4" t="s">
        <v>21</v>
      </c>
      <c r="B29" s="4" t="s">
        <v>43</v>
      </c>
      <c r="C29" s="4" t="s">
        <v>41</v>
      </c>
      <c r="D29" s="4" t="s">
        <v>40</v>
      </c>
      <c r="E29" s="4" t="s">
        <v>25</v>
      </c>
      <c r="F29" s="4" t="s">
        <v>61</v>
      </c>
      <c r="G29" s="4" t="s">
        <v>25</v>
      </c>
      <c r="H29" s="4" t="s">
        <v>36</v>
      </c>
      <c r="I29" s="5">
        <v>43831</v>
      </c>
      <c r="J29" s="6">
        <v>20450</v>
      </c>
      <c r="K29" s="6">
        <v>20450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4" t="s">
        <v>62</v>
      </c>
      <c r="R29" s="4">
        <v>0</v>
      </c>
      <c r="S29" s="6">
        <v>2</v>
      </c>
      <c r="T29" s="6">
        <v>0</v>
      </c>
      <c r="U29" s="6">
        <v>0</v>
      </c>
      <c r="V29" s="6">
        <f>IF(ISERROR(VLOOKUP($S$29,'TAR FIN'!$A$1:$O$120,15,0)),0,VLOOKUP($S$29,'TAR FIN'!$A$1:$O$120,15,0))</f>
        <v>5.4</v>
      </c>
      <c r="W29" s="6">
        <f>IF(ISERROR(VLOOKUP($T$29,'TAR FIN'!$A$1:$O$120,15,0)),0,VLOOKUP($T$29,'TAR FIN'!$A$1:$O$120,15,0))</f>
        <v>0</v>
      </c>
      <c r="X29" s="6">
        <f>IF(ISERROR(VLOOKUP($U$29,'TAR FIN'!$A$1:$O$120,15,0)),0,VLOOKUP($U$29,'TAR FIN'!$A$1:$O$120,15,0))</f>
        <v>0</v>
      </c>
      <c r="Y29" s="6">
        <f ca="1">('TUSD BE'!$AM$6+'TUSD BF'!$AM$6+'TUSD CVA'!$AM$6)*1</f>
        <v>8.2823716907665279</v>
      </c>
      <c r="Z29" s="6">
        <f ca="1">('TUSD BE'!$AM$7+'TUSD BF'!$AM$7+'TUSD CVA'!$AM$7)*1</f>
        <v>64.02214134768171</v>
      </c>
      <c r="AA29" s="6"/>
      <c r="AB29" s="6">
        <f>$K$29*$V$29</f>
        <v>110430</v>
      </c>
      <c r="AC29" s="6">
        <f>$M$29*$W$29</f>
        <v>0</v>
      </c>
      <c r="AD29" s="6">
        <f>$O$29*$X$29</f>
        <v>0</v>
      </c>
      <c r="AE29" s="6">
        <f ca="1">$K$29*$Y$29</f>
        <v>169374.50107617548</v>
      </c>
      <c r="AF29" s="6">
        <f ca="1">$M$29*$Z$29</f>
        <v>0</v>
      </c>
      <c r="AG29" s="6">
        <f>$O$29*$AA$29</f>
        <v>0</v>
      </c>
    </row>
    <row r="30" spans="1:33" ht="11.25" customHeight="1" x14ac:dyDescent="0.25">
      <c r="A30" s="4" t="s">
        <v>21</v>
      </c>
      <c r="B30" s="4" t="s">
        <v>43</v>
      </c>
      <c r="C30" s="4" t="s">
        <v>41</v>
      </c>
      <c r="D30" s="4" t="s">
        <v>40</v>
      </c>
      <c r="E30" s="4" t="s">
        <v>25</v>
      </c>
      <c r="F30" s="4" t="s">
        <v>61</v>
      </c>
      <c r="G30" s="4" t="s">
        <v>25</v>
      </c>
      <c r="H30" s="4" t="s">
        <v>36</v>
      </c>
      <c r="I30" s="5">
        <v>43862</v>
      </c>
      <c r="J30" s="6">
        <v>20450</v>
      </c>
      <c r="K30" s="6">
        <v>20450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4" t="s">
        <v>62</v>
      </c>
      <c r="R30" s="4">
        <v>0</v>
      </c>
      <c r="S30" s="6">
        <v>2</v>
      </c>
      <c r="T30" s="6">
        <v>0</v>
      </c>
      <c r="U30" s="6">
        <v>0</v>
      </c>
      <c r="V30" s="6">
        <f>IF(ISERROR(VLOOKUP($S$30,'TAR FIN'!$A$1:$O$120,15,0)),0,VLOOKUP($S$30,'TAR FIN'!$A$1:$O$120,15,0))</f>
        <v>5.4</v>
      </c>
      <c r="W30" s="6">
        <f>IF(ISERROR(VLOOKUP($T$30,'TAR FIN'!$A$1:$O$120,15,0)),0,VLOOKUP($T$30,'TAR FIN'!$A$1:$O$120,15,0))</f>
        <v>0</v>
      </c>
      <c r="X30" s="6">
        <f>IF(ISERROR(VLOOKUP($U$30,'TAR FIN'!$A$1:$O$120,15,0)),0,VLOOKUP($U$30,'TAR FIN'!$A$1:$O$120,15,0))</f>
        <v>0</v>
      </c>
      <c r="Y30" s="6">
        <f ca="1">('TUSD BE'!$AM$6+'TUSD BF'!$AM$6+'TUSD CVA'!$AM$6)*1</f>
        <v>8.2823716907665279</v>
      </c>
      <c r="Z30" s="6">
        <f ca="1">('TUSD BE'!$AM$7+'TUSD BF'!$AM$7+'TUSD CVA'!$AM$7)*1</f>
        <v>64.02214134768171</v>
      </c>
      <c r="AA30" s="6"/>
      <c r="AB30" s="6">
        <f>$K$30*$V$30</f>
        <v>110430</v>
      </c>
      <c r="AC30" s="6">
        <f>$M$30*$W$30</f>
        <v>0</v>
      </c>
      <c r="AD30" s="6">
        <f>$O$30*$X$30</f>
        <v>0</v>
      </c>
      <c r="AE30" s="6">
        <f ca="1">$K$30*$Y$30</f>
        <v>169374.50107617548</v>
      </c>
      <c r="AF30" s="6">
        <f ca="1">$M$30*$Z$30</f>
        <v>0</v>
      </c>
      <c r="AG30" s="6">
        <f>$O$30*$AA$30</f>
        <v>0</v>
      </c>
    </row>
    <row r="31" spans="1:33" ht="11.25" customHeight="1" x14ac:dyDescent="0.25">
      <c r="A31" s="4" t="s">
        <v>21</v>
      </c>
      <c r="B31" s="4" t="s">
        <v>43</v>
      </c>
      <c r="C31" s="4" t="s">
        <v>41</v>
      </c>
      <c r="D31" s="4" t="s">
        <v>40</v>
      </c>
      <c r="E31" s="4" t="s">
        <v>25</v>
      </c>
      <c r="F31" s="4" t="s">
        <v>61</v>
      </c>
      <c r="G31" s="4" t="s">
        <v>25</v>
      </c>
      <c r="H31" s="4" t="s">
        <v>36</v>
      </c>
      <c r="I31" s="5">
        <v>43891</v>
      </c>
      <c r="J31" s="6">
        <v>20450</v>
      </c>
      <c r="K31" s="6">
        <v>20450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4" t="s">
        <v>62</v>
      </c>
      <c r="R31" s="4">
        <v>0</v>
      </c>
      <c r="S31" s="6">
        <v>2</v>
      </c>
      <c r="T31" s="6">
        <v>0</v>
      </c>
      <c r="U31" s="6">
        <v>0</v>
      </c>
      <c r="V31" s="6">
        <f>IF(ISERROR(VLOOKUP($S$31,'TAR FIN'!$A$1:$O$120,15,0)),0,VLOOKUP($S$31,'TAR FIN'!$A$1:$O$120,15,0))</f>
        <v>5.4</v>
      </c>
      <c r="W31" s="6">
        <f>IF(ISERROR(VLOOKUP($T$31,'TAR FIN'!$A$1:$O$120,15,0)),0,VLOOKUP($T$31,'TAR FIN'!$A$1:$O$120,15,0))</f>
        <v>0</v>
      </c>
      <c r="X31" s="6">
        <f>IF(ISERROR(VLOOKUP($U$31,'TAR FIN'!$A$1:$O$120,15,0)),0,VLOOKUP($U$31,'TAR FIN'!$A$1:$O$120,15,0))</f>
        <v>0</v>
      </c>
      <c r="Y31" s="6">
        <f ca="1">('TUSD BE'!$AM$6+'TUSD BF'!$AM$6+'TUSD CVA'!$AM$6)*1</f>
        <v>8.2823716907665279</v>
      </c>
      <c r="Z31" s="6">
        <f ca="1">('TUSD BE'!$AM$7+'TUSD BF'!$AM$7+'TUSD CVA'!$AM$7)*1</f>
        <v>64.02214134768171</v>
      </c>
      <c r="AA31" s="6"/>
      <c r="AB31" s="6">
        <f>$K$31*$V$31</f>
        <v>110430</v>
      </c>
      <c r="AC31" s="6">
        <f>$M$31*$W$31</f>
        <v>0</v>
      </c>
      <c r="AD31" s="6">
        <f>$O$31*$X$31</f>
        <v>0</v>
      </c>
      <c r="AE31" s="6">
        <f ca="1">$K$31*$Y$31</f>
        <v>169374.50107617548</v>
      </c>
      <c r="AF31" s="6">
        <f ca="1">$M$31*$Z$31</f>
        <v>0</v>
      </c>
      <c r="AG31" s="6">
        <f>$O$31*$AA$31</f>
        <v>0</v>
      </c>
    </row>
    <row r="32" spans="1:33" ht="11.25" customHeight="1" x14ac:dyDescent="0.25">
      <c r="A32" s="4" t="s">
        <v>21</v>
      </c>
      <c r="B32" s="4" t="s">
        <v>43</v>
      </c>
      <c r="C32" s="4" t="s">
        <v>41</v>
      </c>
      <c r="D32" s="4" t="s">
        <v>40</v>
      </c>
      <c r="E32" s="4" t="s">
        <v>25</v>
      </c>
      <c r="F32" s="4" t="s">
        <v>61</v>
      </c>
      <c r="G32" s="4" t="s">
        <v>25</v>
      </c>
      <c r="H32" s="4" t="s">
        <v>36</v>
      </c>
      <c r="I32" s="5">
        <v>43922</v>
      </c>
      <c r="J32" s="6">
        <v>20450</v>
      </c>
      <c r="K32" s="6">
        <v>20450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4" t="s">
        <v>62</v>
      </c>
      <c r="R32" s="4">
        <v>0</v>
      </c>
      <c r="S32" s="6">
        <v>2</v>
      </c>
      <c r="T32" s="6">
        <v>0</v>
      </c>
      <c r="U32" s="6">
        <v>0</v>
      </c>
      <c r="V32" s="6">
        <f>IF(ISERROR(VLOOKUP($S$32,'TAR FIN'!$A$1:$O$120,15,0)),0,VLOOKUP($S$32,'TAR FIN'!$A$1:$O$120,15,0))</f>
        <v>5.4</v>
      </c>
      <c r="W32" s="6">
        <f>IF(ISERROR(VLOOKUP($T$32,'TAR FIN'!$A$1:$O$120,15,0)),0,VLOOKUP($T$32,'TAR FIN'!$A$1:$O$120,15,0))</f>
        <v>0</v>
      </c>
      <c r="X32" s="6">
        <f>IF(ISERROR(VLOOKUP($U$32,'TAR FIN'!$A$1:$O$120,15,0)),0,VLOOKUP($U$32,'TAR FIN'!$A$1:$O$120,15,0))</f>
        <v>0</v>
      </c>
      <c r="Y32" s="6">
        <f ca="1">('TUSD BE'!$AM$6+'TUSD BF'!$AM$6+'TUSD CVA'!$AM$6)*1</f>
        <v>8.2823716907665279</v>
      </c>
      <c r="Z32" s="6">
        <f ca="1">('TUSD BE'!$AM$7+'TUSD BF'!$AM$7+'TUSD CVA'!$AM$7)*1</f>
        <v>64.02214134768171</v>
      </c>
      <c r="AA32" s="6"/>
      <c r="AB32" s="6">
        <f>$K$32*$V$32</f>
        <v>110430</v>
      </c>
      <c r="AC32" s="6">
        <f>$M$32*$W$32</f>
        <v>0</v>
      </c>
      <c r="AD32" s="6">
        <f>$O$32*$X$32</f>
        <v>0</v>
      </c>
      <c r="AE32" s="6">
        <f ca="1">$K$32*$Y$32</f>
        <v>169374.50107617548</v>
      </c>
      <c r="AF32" s="6">
        <f ca="1">$M$32*$Z$32</f>
        <v>0</v>
      </c>
      <c r="AG32" s="6">
        <f>$O$32*$AA$32</f>
        <v>0</v>
      </c>
    </row>
    <row r="33" spans="1:33" ht="11.25" customHeight="1" x14ac:dyDescent="0.25">
      <c r="A33" s="4" t="s">
        <v>21</v>
      </c>
      <c r="B33" s="4" t="s">
        <v>43</v>
      </c>
      <c r="C33" s="4" t="s">
        <v>41</v>
      </c>
      <c r="D33" s="4" t="s">
        <v>40</v>
      </c>
      <c r="E33" s="4" t="s">
        <v>25</v>
      </c>
      <c r="F33" s="4" t="s">
        <v>61</v>
      </c>
      <c r="G33" s="4" t="s">
        <v>25</v>
      </c>
      <c r="H33" s="4" t="s">
        <v>36</v>
      </c>
      <c r="I33" s="5">
        <v>43952</v>
      </c>
      <c r="J33" s="6">
        <v>20450</v>
      </c>
      <c r="K33" s="6">
        <v>20450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4" t="s">
        <v>62</v>
      </c>
      <c r="R33" s="4">
        <v>0</v>
      </c>
      <c r="S33" s="6">
        <v>2</v>
      </c>
      <c r="T33" s="6">
        <v>0</v>
      </c>
      <c r="U33" s="6">
        <v>0</v>
      </c>
      <c r="V33" s="6">
        <f>IF(ISERROR(VLOOKUP($S$33,'TAR FIN'!$A$1:$O$120,15,0)),0,VLOOKUP($S$33,'TAR FIN'!$A$1:$O$120,15,0))</f>
        <v>5.4</v>
      </c>
      <c r="W33" s="6">
        <f>IF(ISERROR(VLOOKUP($T$33,'TAR FIN'!$A$1:$O$120,15,0)),0,VLOOKUP($T$33,'TAR FIN'!$A$1:$O$120,15,0))</f>
        <v>0</v>
      </c>
      <c r="X33" s="6">
        <f>IF(ISERROR(VLOOKUP($U$33,'TAR FIN'!$A$1:$O$120,15,0)),0,VLOOKUP($U$33,'TAR FIN'!$A$1:$O$120,15,0))</f>
        <v>0</v>
      </c>
      <c r="Y33" s="6">
        <f ca="1">('TUSD BE'!$AM$6+'TUSD BF'!$AM$6+'TUSD CVA'!$AM$6)*1</f>
        <v>8.2823716907665279</v>
      </c>
      <c r="Z33" s="6">
        <f ca="1">('TUSD BE'!$AM$7+'TUSD BF'!$AM$7+'TUSD CVA'!$AM$7)*1</f>
        <v>64.02214134768171</v>
      </c>
      <c r="AA33" s="6"/>
      <c r="AB33" s="6">
        <f>$K$33*$V$33</f>
        <v>110430</v>
      </c>
      <c r="AC33" s="6">
        <f>$M$33*$W$33</f>
        <v>0</v>
      </c>
      <c r="AD33" s="6">
        <f>$O$33*$X$33</f>
        <v>0</v>
      </c>
      <c r="AE33" s="6">
        <f ca="1">$K$33*$Y$33</f>
        <v>169374.50107617548</v>
      </c>
      <c r="AF33" s="6">
        <f ca="1">$M$33*$Z$33</f>
        <v>0</v>
      </c>
      <c r="AG33" s="6">
        <f>$O$33*$AA$33</f>
        <v>0</v>
      </c>
    </row>
    <row r="34" spans="1:33" ht="11.25" customHeight="1" x14ac:dyDescent="0.25">
      <c r="A34" s="4" t="s">
        <v>21</v>
      </c>
      <c r="B34" s="4" t="s">
        <v>43</v>
      </c>
      <c r="C34" s="4" t="s">
        <v>41</v>
      </c>
      <c r="D34" s="4" t="s">
        <v>40</v>
      </c>
      <c r="E34" s="4" t="s">
        <v>25</v>
      </c>
      <c r="F34" s="4" t="s">
        <v>61</v>
      </c>
      <c r="G34" s="4" t="s">
        <v>25</v>
      </c>
      <c r="H34" s="4" t="s">
        <v>36</v>
      </c>
      <c r="I34" s="5">
        <v>43983</v>
      </c>
      <c r="J34" s="6">
        <v>20450</v>
      </c>
      <c r="K34" s="6">
        <v>20450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4" t="s">
        <v>62</v>
      </c>
      <c r="R34" s="4">
        <v>0</v>
      </c>
      <c r="S34" s="6">
        <v>2</v>
      </c>
      <c r="T34" s="6">
        <v>0</v>
      </c>
      <c r="U34" s="6">
        <v>0</v>
      </c>
      <c r="V34" s="6">
        <f>IF(ISERROR(VLOOKUP($S$34,'TAR FIN'!$A$1:$O$120,15,0)),0,VLOOKUP($S$34,'TAR FIN'!$A$1:$O$120,15,0))</f>
        <v>5.4</v>
      </c>
      <c r="W34" s="6">
        <f>IF(ISERROR(VLOOKUP($T$34,'TAR FIN'!$A$1:$O$120,15,0)),0,VLOOKUP($T$34,'TAR FIN'!$A$1:$O$120,15,0))</f>
        <v>0</v>
      </c>
      <c r="X34" s="6">
        <f>IF(ISERROR(VLOOKUP($U$34,'TAR FIN'!$A$1:$O$120,15,0)),0,VLOOKUP($U$34,'TAR FIN'!$A$1:$O$120,15,0))</f>
        <v>0</v>
      </c>
      <c r="Y34" s="6">
        <f ca="1">('TUSD BE'!$AM$6+'TUSD BF'!$AM$6+'TUSD CVA'!$AM$6)*1</f>
        <v>8.2823716907665279</v>
      </c>
      <c r="Z34" s="6">
        <f ca="1">('TUSD BE'!$AM$7+'TUSD BF'!$AM$7+'TUSD CVA'!$AM$7)*1</f>
        <v>64.02214134768171</v>
      </c>
      <c r="AA34" s="6"/>
      <c r="AB34" s="6">
        <f>$K$34*$V$34</f>
        <v>110430</v>
      </c>
      <c r="AC34" s="6">
        <f>$M$34*$W$34</f>
        <v>0</v>
      </c>
      <c r="AD34" s="6">
        <f>$O$34*$X$34</f>
        <v>0</v>
      </c>
      <c r="AE34" s="6">
        <f ca="1">$K$34*$Y$34</f>
        <v>169374.50107617548</v>
      </c>
      <c r="AF34" s="6">
        <f ca="1">$M$34*$Z$34</f>
        <v>0</v>
      </c>
      <c r="AG34" s="6">
        <f>$O$34*$AA$34</f>
        <v>0</v>
      </c>
    </row>
    <row r="35" spans="1:33" ht="11.25" customHeight="1" x14ac:dyDescent="0.25">
      <c r="A35" s="4" t="s">
        <v>21</v>
      </c>
      <c r="B35" s="4" t="s">
        <v>43</v>
      </c>
      <c r="C35" s="4" t="s">
        <v>41</v>
      </c>
      <c r="D35" s="4" t="s">
        <v>40</v>
      </c>
      <c r="E35" s="4" t="s">
        <v>25</v>
      </c>
      <c r="F35" s="4" t="s">
        <v>61</v>
      </c>
      <c r="G35" s="4" t="s">
        <v>25</v>
      </c>
      <c r="H35" s="4" t="s">
        <v>36</v>
      </c>
      <c r="I35" s="5">
        <v>44013</v>
      </c>
      <c r="J35" s="6">
        <v>20450</v>
      </c>
      <c r="K35" s="6">
        <v>20450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4" t="s">
        <v>62</v>
      </c>
      <c r="R35" s="4">
        <v>0</v>
      </c>
      <c r="S35" s="6">
        <v>2</v>
      </c>
      <c r="T35" s="6">
        <v>0</v>
      </c>
      <c r="U35" s="6">
        <v>0</v>
      </c>
      <c r="V35" s="6">
        <f>IF(ISERROR(VLOOKUP($S$35,'TAR FIN'!$A$1:$O$120,15,0)),0,VLOOKUP($S$35,'TAR FIN'!$A$1:$O$120,15,0))</f>
        <v>5.4</v>
      </c>
      <c r="W35" s="6">
        <f>IF(ISERROR(VLOOKUP($T$35,'TAR FIN'!$A$1:$O$120,15,0)),0,VLOOKUP($T$35,'TAR FIN'!$A$1:$O$120,15,0))</f>
        <v>0</v>
      </c>
      <c r="X35" s="6">
        <f>IF(ISERROR(VLOOKUP($U$35,'TAR FIN'!$A$1:$O$120,15,0)),0,VLOOKUP($U$35,'TAR FIN'!$A$1:$O$120,15,0))</f>
        <v>0</v>
      </c>
      <c r="Y35" s="6">
        <f ca="1">('TUSD BE'!$AM$6+'TUSD BF'!$AM$6+'TUSD CVA'!$AM$6)*1</f>
        <v>8.2823716907665279</v>
      </c>
      <c r="Z35" s="6">
        <f ca="1">('TUSD BE'!$AM$7+'TUSD BF'!$AM$7+'TUSD CVA'!$AM$7)*1</f>
        <v>64.02214134768171</v>
      </c>
      <c r="AA35" s="6"/>
      <c r="AB35" s="6">
        <f>$K$35*$V$35</f>
        <v>110430</v>
      </c>
      <c r="AC35" s="6">
        <f>$M$35*$W$35</f>
        <v>0</v>
      </c>
      <c r="AD35" s="6">
        <f>$O$35*$X$35</f>
        <v>0</v>
      </c>
      <c r="AE35" s="6">
        <f ca="1">$K$35*$Y$35</f>
        <v>169374.50107617548</v>
      </c>
      <c r="AF35" s="6">
        <f ca="1">$M$35*$Z$35</f>
        <v>0</v>
      </c>
      <c r="AG35" s="6">
        <f>$O$35*$AA$35</f>
        <v>0</v>
      </c>
    </row>
    <row r="36" spans="1:33" ht="11.25" customHeight="1" x14ac:dyDescent="0.25">
      <c r="A36" s="4" t="s">
        <v>21</v>
      </c>
      <c r="B36" s="4" t="s">
        <v>43</v>
      </c>
      <c r="C36" s="4" t="s">
        <v>41</v>
      </c>
      <c r="D36" s="4" t="s">
        <v>40</v>
      </c>
      <c r="E36" s="4" t="s">
        <v>25</v>
      </c>
      <c r="F36" s="4" t="s">
        <v>61</v>
      </c>
      <c r="G36" s="4" t="s">
        <v>25</v>
      </c>
      <c r="H36" s="4" t="s">
        <v>36</v>
      </c>
      <c r="I36" s="5">
        <v>44044</v>
      </c>
      <c r="J36" s="6">
        <v>20450</v>
      </c>
      <c r="K36" s="6">
        <v>20450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4" t="s">
        <v>62</v>
      </c>
      <c r="R36" s="4">
        <v>0</v>
      </c>
      <c r="S36" s="6">
        <v>2</v>
      </c>
      <c r="T36" s="6">
        <v>0</v>
      </c>
      <c r="U36" s="6">
        <v>0</v>
      </c>
      <c r="V36" s="6">
        <f>IF(ISERROR(VLOOKUP($S$36,'TAR FIN'!$A$1:$O$120,15,0)),0,VLOOKUP($S$36,'TAR FIN'!$A$1:$O$120,15,0))</f>
        <v>5.4</v>
      </c>
      <c r="W36" s="6">
        <f>IF(ISERROR(VLOOKUP($T$36,'TAR FIN'!$A$1:$O$120,15,0)),0,VLOOKUP($T$36,'TAR FIN'!$A$1:$O$120,15,0))</f>
        <v>0</v>
      </c>
      <c r="X36" s="6">
        <f>IF(ISERROR(VLOOKUP($U$36,'TAR FIN'!$A$1:$O$120,15,0)),0,VLOOKUP($U$36,'TAR FIN'!$A$1:$O$120,15,0))</f>
        <v>0</v>
      </c>
      <c r="Y36" s="6">
        <f ca="1">('TUSD BE'!$AM$6+'TUSD BF'!$AM$6+'TUSD CVA'!$AM$6)*1</f>
        <v>8.2823716907665279</v>
      </c>
      <c r="Z36" s="6">
        <f ca="1">('TUSD BE'!$AM$7+'TUSD BF'!$AM$7+'TUSD CVA'!$AM$7)*1</f>
        <v>64.02214134768171</v>
      </c>
      <c r="AA36" s="6"/>
      <c r="AB36" s="6">
        <f>$K$36*$V$36</f>
        <v>110430</v>
      </c>
      <c r="AC36" s="6">
        <f>$M$36*$W$36</f>
        <v>0</v>
      </c>
      <c r="AD36" s="6">
        <f>$O$36*$X$36</f>
        <v>0</v>
      </c>
      <c r="AE36" s="6">
        <f ca="1">$K$36*$Y$36</f>
        <v>169374.50107617548</v>
      </c>
      <c r="AF36" s="6">
        <f ca="1">$M$36*$Z$36</f>
        <v>0</v>
      </c>
      <c r="AG36" s="6">
        <f>$O$36*$AA$36</f>
        <v>0</v>
      </c>
    </row>
    <row r="37" spans="1:33" ht="11.25" customHeight="1" x14ac:dyDescent="0.25">
      <c r="A37" s="4" t="s">
        <v>59</v>
      </c>
      <c r="B37" s="4" t="s">
        <v>43</v>
      </c>
      <c r="C37" s="4" t="s">
        <v>41</v>
      </c>
      <c r="D37" s="4" t="s">
        <v>40</v>
      </c>
      <c r="E37" s="4" t="s">
        <v>25</v>
      </c>
      <c r="F37" s="4" t="s">
        <v>61</v>
      </c>
      <c r="G37" s="4" t="s">
        <v>25</v>
      </c>
      <c r="H37" s="4" t="s">
        <v>36</v>
      </c>
      <c r="I37" s="5">
        <v>44075</v>
      </c>
      <c r="J37" s="6">
        <v>20450</v>
      </c>
      <c r="K37" s="6">
        <v>20450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4" t="s">
        <v>62</v>
      </c>
      <c r="R37" s="4">
        <v>0</v>
      </c>
      <c r="S37" s="6">
        <v>2</v>
      </c>
      <c r="T37" s="6">
        <v>0</v>
      </c>
      <c r="U37" s="6">
        <v>0</v>
      </c>
      <c r="V37" s="6">
        <f>IF(ISERROR(VLOOKUP($S$37,'TAR FIN'!$A$1:$O$120,15,0)),0,VLOOKUP($S$37,'TAR FIN'!$A$1:$O$120,15,0))</f>
        <v>5.4</v>
      </c>
      <c r="W37" s="6">
        <f>IF(ISERROR(VLOOKUP($T$37,'TAR FIN'!$A$1:$O$120,15,0)),0,VLOOKUP($T$37,'TAR FIN'!$A$1:$O$120,15,0))</f>
        <v>0</v>
      </c>
      <c r="X37" s="6">
        <f>IF(ISERROR(VLOOKUP($U$37,'TAR FIN'!$A$1:$O$120,15,0)),0,VLOOKUP($U$37,'TAR FIN'!$A$1:$O$120,15,0))</f>
        <v>0</v>
      </c>
      <c r="Y37" s="6">
        <f ca="1">('TUSD BE'!$AM$6+'TUSD BF'!$AM$6+'TUSD CVA'!$AM$6)*1</f>
        <v>8.2823716907665279</v>
      </c>
      <c r="Z37" s="6">
        <f ca="1">('TUSD BE'!$AM$7+'TUSD BF'!$AM$7+'TUSD CVA'!$AM$7)*1</f>
        <v>64.02214134768171</v>
      </c>
      <c r="AA37" s="6"/>
      <c r="AB37" s="6">
        <f>$K$37*$V$37</f>
        <v>110430</v>
      </c>
      <c r="AC37" s="6">
        <f>$M$37*$W$37</f>
        <v>0</v>
      </c>
      <c r="AD37" s="6">
        <f>$O$37*$X$37</f>
        <v>0</v>
      </c>
      <c r="AE37" s="6">
        <f ca="1">$K$37*$Y$37</f>
        <v>169374.50107617548</v>
      </c>
      <c r="AF37" s="6">
        <f ca="1">$M$37*$Z$37</f>
        <v>0</v>
      </c>
      <c r="AG37" s="6">
        <f>$O$37*$AA$37</f>
        <v>0</v>
      </c>
    </row>
    <row r="38" spans="1:33" ht="11.25" customHeight="1" x14ac:dyDescent="0.25">
      <c r="A38" s="4" t="s">
        <v>21</v>
      </c>
      <c r="B38" s="4" t="s">
        <v>43</v>
      </c>
      <c r="C38" s="4" t="s">
        <v>41</v>
      </c>
      <c r="D38" s="4" t="s">
        <v>40</v>
      </c>
      <c r="E38" s="4" t="s">
        <v>25</v>
      </c>
      <c r="F38" s="4" t="s">
        <v>61</v>
      </c>
      <c r="G38" s="4" t="s">
        <v>25</v>
      </c>
      <c r="H38" s="4" t="s">
        <v>25</v>
      </c>
      <c r="I38" s="5">
        <v>43739</v>
      </c>
      <c r="J38" s="6">
        <v>0</v>
      </c>
      <c r="K38" s="6">
        <v>0</v>
      </c>
      <c r="L38" s="6">
        <v>9800.9699999999993</v>
      </c>
      <c r="M38" s="6">
        <v>9800.9699999999993</v>
      </c>
      <c r="N38" s="6">
        <v>0</v>
      </c>
      <c r="O38" s="6">
        <v>0</v>
      </c>
      <c r="P38" s="6">
        <v>1</v>
      </c>
      <c r="Q38" s="4" t="s">
        <v>62</v>
      </c>
      <c r="R38" s="4">
        <v>0</v>
      </c>
      <c r="S38" s="6">
        <v>0</v>
      </c>
      <c r="T38" s="6">
        <v>4</v>
      </c>
      <c r="U38" s="6">
        <v>0</v>
      </c>
      <c r="V38" s="6">
        <f>IF(ISERROR(VLOOKUP($S$38,'TAR FIN'!$A$1:$O$120,15,0)),0,VLOOKUP($S$38,'TAR FIN'!$A$1:$O$120,15,0))</f>
        <v>0</v>
      </c>
      <c r="W38" s="6">
        <f>IF(ISERROR(VLOOKUP($T$38,'TAR FIN'!$A$1:$O$120,15,0)),0,VLOOKUP($T$38,'TAR FIN'!$A$1:$O$120,15,0))</f>
        <v>9.98</v>
      </c>
      <c r="X38" s="6">
        <f>IF(ISERROR(VLOOKUP($U$38,'TAR FIN'!$A$1:$O$120,15,0)),0,VLOOKUP($U$38,'TAR FIN'!$A$1:$O$120,15,0))</f>
        <v>0</v>
      </c>
      <c r="Y38" s="6"/>
      <c r="Z38" s="6">
        <f ca="1">('TUSD BE'!$AM$8+'TUSD BF'!$AM$8+'TUSD CVA'!$AM$8)*1</f>
        <v>8.5807325036857538</v>
      </c>
      <c r="AA38" s="6"/>
      <c r="AB38" s="6">
        <f>$K$38*$V$38</f>
        <v>0</v>
      </c>
      <c r="AC38" s="6">
        <f>$M$38*$W$38</f>
        <v>97813.680599999992</v>
      </c>
      <c r="AD38" s="6">
        <f>$O$38*$X$38</f>
        <v>0</v>
      </c>
      <c r="AE38" s="6">
        <f>$K$38*$Y$38</f>
        <v>0</v>
      </c>
      <c r="AF38" s="6">
        <f ca="1">$M$38*$Z$38</f>
        <v>84099.501846648956</v>
      </c>
      <c r="AG38" s="6">
        <f>$O$38*$AA$38</f>
        <v>0</v>
      </c>
    </row>
    <row r="39" spans="1:33" ht="11.25" customHeight="1" x14ac:dyDescent="0.25">
      <c r="A39" s="4" t="s">
        <v>21</v>
      </c>
      <c r="B39" s="4" t="s">
        <v>43</v>
      </c>
      <c r="C39" s="4" t="s">
        <v>41</v>
      </c>
      <c r="D39" s="4" t="s">
        <v>40</v>
      </c>
      <c r="E39" s="4" t="s">
        <v>25</v>
      </c>
      <c r="F39" s="4" t="s">
        <v>61</v>
      </c>
      <c r="G39" s="4" t="s">
        <v>25</v>
      </c>
      <c r="H39" s="4" t="s">
        <v>25</v>
      </c>
      <c r="I39" s="5">
        <v>43770</v>
      </c>
      <c r="J39" s="6">
        <v>0</v>
      </c>
      <c r="K39" s="6">
        <v>0</v>
      </c>
      <c r="L39" s="6">
        <v>8939.2029999999995</v>
      </c>
      <c r="M39" s="6">
        <v>8939.2029999999995</v>
      </c>
      <c r="N39" s="6">
        <v>0</v>
      </c>
      <c r="O39" s="6">
        <v>0</v>
      </c>
      <c r="P39" s="6">
        <v>1</v>
      </c>
      <c r="Q39" s="4" t="s">
        <v>62</v>
      </c>
      <c r="R39" s="4">
        <v>0</v>
      </c>
      <c r="S39" s="6">
        <v>0</v>
      </c>
      <c r="T39" s="6">
        <v>4</v>
      </c>
      <c r="U39" s="6">
        <v>0</v>
      </c>
      <c r="V39" s="6">
        <f>IF(ISERROR(VLOOKUP($S$39,'TAR FIN'!$A$1:$O$120,15,0)),0,VLOOKUP($S$39,'TAR FIN'!$A$1:$O$120,15,0))</f>
        <v>0</v>
      </c>
      <c r="W39" s="6">
        <f>IF(ISERROR(VLOOKUP($T$39,'TAR FIN'!$A$1:$O$120,15,0)),0,VLOOKUP($T$39,'TAR FIN'!$A$1:$O$120,15,0))</f>
        <v>9.98</v>
      </c>
      <c r="X39" s="6">
        <f>IF(ISERROR(VLOOKUP($U$39,'TAR FIN'!$A$1:$O$120,15,0)),0,VLOOKUP($U$39,'TAR FIN'!$A$1:$O$120,15,0))</f>
        <v>0</v>
      </c>
      <c r="Y39" s="6"/>
      <c r="Z39" s="6">
        <f ca="1">('TUSD BE'!$AM$8+'TUSD BF'!$AM$8+'TUSD CVA'!$AM$8)*1</f>
        <v>8.5807325036857538</v>
      </c>
      <c r="AA39" s="6"/>
      <c r="AB39" s="6">
        <f>$K$39*$V$39</f>
        <v>0</v>
      </c>
      <c r="AC39" s="6">
        <f>$M$39*$W$39</f>
        <v>89213.245939999993</v>
      </c>
      <c r="AD39" s="6">
        <f>$O$39*$X$39</f>
        <v>0</v>
      </c>
      <c r="AE39" s="6">
        <f>$K$39*$Y$39</f>
        <v>0</v>
      </c>
      <c r="AF39" s="6">
        <f ca="1">$M$39*$Z$39</f>
        <v>76704.909739145194</v>
      </c>
      <c r="AG39" s="6">
        <f>$O$39*$AA$39</f>
        <v>0</v>
      </c>
    </row>
    <row r="40" spans="1:33" ht="11.25" customHeight="1" x14ac:dyDescent="0.25">
      <c r="A40" s="4" t="s">
        <v>21</v>
      </c>
      <c r="B40" s="4" t="s">
        <v>43</v>
      </c>
      <c r="C40" s="4" t="s">
        <v>41</v>
      </c>
      <c r="D40" s="4" t="s">
        <v>40</v>
      </c>
      <c r="E40" s="4" t="s">
        <v>25</v>
      </c>
      <c r="F40" s="4" t="s">
        <v>61</v>
      </c>
      <c r="G40" s="4" t="s">
        <v>25</v>
      </c>
      <c r="H40" s="4" t="s">
        <v>25</v>
      </c>
      <c r="I40" s="5">
        <v>43800</v>
      </c>
      <c r="J40" s="6">
        <v>0</v>
      </c>
      <c r="K40" s="6">
        <v>0</v>
      </c>
      <c r="L40" s="6">
        <v>9065.1810000000005</v>
      </c>
      <c r="M40" s="6">
        <v>9065.1810000000005</v>
      </c>
      <c r="N40" s="6">
        <v>0</v>
      </c>
      <c r="O40" s="6">
        <v>0</v>
      </c>
      <c r="P40" s="6">
        <v>1</v>
      </c>
      <c r="Q40" s="4" t="s">
        <v>62</v>
      </c>
      <c r="R40" s="4">
        <v>0</v>
      </c>
      <c r="S40" s="6">
        <v>0</v>
      </c>
      <c r="T40" s="6">
        <v>4</v>
      </c>
      <c r="U40" s="6">
        <v>0</v>
      </c>
      <c r="V40" s="6">
        <f>IF(ISERROR(VLOOKUP($S$40,'TAR FIN'!$A$1:$O$120,15,0)),0,VLOOKUP($S$40,'TAR FIN'!$A$1:$O$120,15,0))</f>
        <v>0</v>
      </c>
      <c r="W40" s="6">
        <f>IF(ISERROR(VLOOKUP($T$40,'TAR FIN'!$A$1:$O$120,15,0)),0,VLOOKUP($T$40,'TAR FIN'!$A$1:$O$120,15,0))</f>
        <v>9.98</v>
      </c>
      <c r="X40" s="6">
        <f>IF(ISERROR(VLOOKUP($U$40,'TAR FIN'!$A$1:$O$120,15,0)),0,VLOOKUP($U$40,'TAR FIN'!$A$1:$O$120,15,0))</f>
        <v>0</v>
      </c>
      <c r="Y40" s="6"/>
      <c r="Z40" s="6">
        <f ca="1">('TUSD BE'!$AM$8+'TUSD BF'!$AM$8+'TUSD CVA'!$AM$8)*1</f>
        <v>8.5807325036857538</v>
      </c>
      <c r="AA40" s="6"/>
      <c r="AB40" s="6">
        <f>$K$40*$V$40</f>
        <v>0</v>
      </c>
      <c r="AC40" s="6">
        <f>$M$40*$W$40</f>
        <v>90470.506380000006</v>
      </c>
      <c r="AD40" s="6">
        <f>$O$40*$X$40</f>
        <v>0</v>
      </c>
      <c r="AE40" s="6">
        <f>$K$40*$Y$40</f>
        <v>0</v>
      </c>
      <c r="AF40" s="6">
        <f ca="1">$M$40*$Z$40</f>
        <v>77785.893258494529</v>
      </c>
      <c r="AG40" s="6">
        <f>$O$40*$AA$40</f>
        <v>0</v>
      </c>
    </row>
    <row r="41" spans="1:33" ht="11.25" customHeight="1" x14ac:dyDescent="0.25">
      <c r="A41" s="4" t="s">
        <v>21</v>
      </c>
      <c r="B41" s="4" t="s">
        <v>43</v>
      </c>
      <c r="C41" s="4" t="s">
        <v>41</v>
      </c>
      <c r="D41" s="4" t="s">
        <v>40</v>
      </c>
      <c r="E41" s="4" t="s">
        <v>25</v>
      </c>
      <c r="F41" s="4" t="s">
        <v>61</v>
      </c>
      <c r="G41" s="4" t="s">
        <v>25</v>
      </c>
      <c r="H41" s="4" t="s">
        <v>25</v>
      </c>
      <c r="I41" s="5">
        <v>43831</v>
      </c>
      <c r="J41" s="6">
        <v>0</v>
      </c>
      <c r="K41" s="6">
        <v>0</v>
      </c>
      <c r="L41" s="6">
        <v>7829.5680000000002</v>
      </c>
      <c r="M41" s="6">
        <v>7829.5680000000002</v>
      </c>
      <c r="N41" s="6">
        <v>0</v>
      </c>
      <c r="O41" s="6">
        <v>0</v>
      </c>
      <c r="P41" s="6">
        <v>1</v>
      </c>
      <c r="Q41" s="4" t="s">
        <v>62</v>
      </c>
      <c r="R41" s="4">
        <v>0</v>
      </c>
      <c r="S41" s="6">
        <v>0</v>
      </c>
      <c r="T41" s="6">
        <v>4</v>
      </c>
      <c r="U41" s="6">
        <v>0</v>
      </c>
      <c r="V41" s="6">
        <f>IF(ISERROR(VLOOKUP($S$41,'TAR FIN'!$A$1:$O$120,15,0)),0,VLOOKUP($S$41,'TAR FIN'!$A$1:$O$120,15,0))</f>
        <v>0</v>
      </c>
      <c r="W41" s="6">
        <f>IF(ISERROR(VLOOKUP($T$41,'TAR FIN'!$A$1:$O$120,15,0)),0,VLOOKUP($T$41,'TAR FIN'!$A$1:$O$120,15,0))</f>
        <v>9.98</v>
      </c>
      <c r="X41" s="6">
        <f>IF(ISERROR(VLOOKUP($U$41,'TAR FIN'!$A$1:$O$120,15,0)),0,VLOOKUP($U$41,'TAR FIN'!$A$1:$O$120,15,0))</f>
        <v>0</v>
      </c>
      <c r="Y41" s="6"/>
      <c r="Z41" s="6">
        <f ca="1">('TUSD BE'!$AM$8+'TUSD BF'!$AM$8+'TUSD CVA'!$AM$8)*1</f>
        <v>8.5807325036857538</v>
      </c>
      <c r="AA41" s="6"/>
      <c r="AB41" s="6">
        <f>$K$41*$V$41</f>
        <v>0</v>
      </c>
      <c r="AC41" s="6">
        <f>$M$41*$W$41</f>
        <v>78139.088640000002</v>
      </c>
      <c r="AD41" s="6">
        <f>$O$41*$X$41</f>
        <v>0</v>
      </c>
      <c r="AE41" s="6">
        <f>$K$41*$Y$41</f>
        <v>0</v>
      </c>
      <c r="AF41" s="6">
        <f ca="1">$M$41*$Z$41</f>
        <v>67183.428627417859</v>
      </c>
      <c r="AG41" s="6">
        <f>$O$41*$AA$41</f>
        <v>0</v>
      </c>
    </row>
    <row r="42" spans="1:33" ht="11.25" customHeight="1" x14ac:dyDescent="0.25">
      <c r="A42" s="4" t="s">
        <v>21</v>
      </c>
      <c r="B42" s="4" t="s">
        <v>43</v>
      </c>
      <c r="C42" s="4" t="s">
        <v>41</v>
      </c>
      <c r="D42" s="4" t="s">
        <v>40</v>
      </c>
      <c r="E42" s="4" t="s">
        <v>25</v>
      </c>
      <c r="F42" s="4" t="s">
        <v>61</v>
      </c>
      <c r="G42" s="4" t="s">
        <v>25</v>
      </c>
      <c r="H42" s="4" t="s">
        <v>25</v>
      </c>
      <c r="I42" s="5">
        <v>43862</v>
      </c>
      <c r="J42" s="6">
        <v>0</v>
      </c>
      <c r="K42" s="6">
        <v>0</v>
      </c>
      <c r="L42" s="6">
        <v>6984.1360000000004</v>
      </c>
      <c r="M42" s="6">
        <v>6984.1360000000004</v>
      </c>
      <c r="N42" s="6">
        <v>0</v>
      </c>
      <c r="O42" s="6">
        <v>0</v>
      </c>
      <c r="P42" s="6">
        <v>1</v>
      </c>
      <c r="Q42" s="4" t="s">
        <v>62</v>
      </c>
      <c r="R42" s="4">
        <v>0</v>
      </c>
      <c r="S42" s="6">
        <v>0</v>
      </c>
      <c r="T42" s="6">
        <v>4</v>
      </c>
      <c r="U42" s="6">
        <v>0</v>
      </c>
      <c r="V42" s="6">
        <f>IF(ISERROR(VLOOKUP($S$42,'TAR FIN'!$A$1:$O$120,15,0)),0,VLOOKUP($S$42,'TAR FIN'!$A$1:$O$120,15,0))</f>
        <v>0</v>
      </c>
      <c r="W42" s="6">
        <f>IF(ISERROR(VLOOKUP($T$42,'TAR FIN'!$A$1:$O$120,15,0)),0,VLOOKUP($T$42,'TAR FIN'!$A$1:$O$120,15,0))</f>
        <v>9.98</v>
      </c>
      <c r="X42" s="6">
        <f>IF(ISERROR(VLOOKUP($U$42,'TAR FIN'!$A$1:$O$120,15,0)),0,VLOOKUP($U$42,'TAR FIN'!$A$1:$O$120,15,0))</f>
        <v>0</v>
      </c>
      <c r="Y42" s="6"/>
      <c r="Z42" s="6">
        <f ca="1">('TUSD BE'!$AM$8+'TUSD BF'!$AM$8+'TUSD CVA'!$AM$8)*1</f>
        <v>8.5807325036857538</v>
      </c>
      <c r="AA42" s="6"/>
      <c r="AB42" s="6">
        <f>$K$42*$V$42</f>
        <v>0</v>
      </c>
      <c r="AC42" s="6">
        <f>$M$42*$W$42</f>
        <v>69701.677280000004</v>
      </c>
      <c r="AD42" s="6">
        <f>$O$42*$X$42</f>
        <v>0</v>
      </c>
      <c r="AE42" s="6">
        <f>$K$42*$Y$42</f>
        <v>0</v>
      </c>
      <c r="AF42" s="6">
        <f ca="1">$M$42*$Z$42</f>
        <v>59929.002785361808</v>
      </c>
      <c r="AG42" s="6">
        <f>$O$42*$AA$42</f>
        <v>0</v>
      </c>
    </row>
    <row r="43" spans="1:33" ht="11.25" customHeight="1" x14ac:dyDescent="0.25">
      <c r="A43" s="4" t="s">
        <v>21</v>
      </c>
      <c r="B43" s="4" t="s">
        <v>43</v>
      </c>
      <c r="C43" s="4" t="s">
        <v>41</v>
      </c>
      <c r="D43" s="4" t="s">
        <v>40</v>
      </c>
      <c r="E43" s="4" t="s">
        <v>25</v>
      </c>
      <c r="F43" s="4" t="s">
        <v>61</v>
      </c>
      <c r="G43" s="4" t="s">
        <v>25</v>
      </c>
      <c r="H43" s="4" t="s">
        <v>25</v>
      </c>
      <c r="I43" s="5">
        <v>43891</v>
      </c>
      <c r="J43" s="6">
        <v>0</v>
      </c>
      <c r="K43" s="6">
        <v>0</v>
      </c>
      <c r="L43" s="6">
        <v>6610.5140000000001</v>
      </c>
      <c r="M43" s="6">
        <v>6610.5140000000001</v>
      </c>
      <c r="N43" s="6">
        <v>0</v>
      </c>
      <c r="O43" s="6">
        <v>0</v>
      </c>
      <c r="P43" s="6">
        <v>1</v>
      </c>
      <c r="Q43" s="4" t="s">
        <v>62</v>
      </c>
      <c r="R43" s="4">
        <v>0</v>
      </c>
      <c r="S43" s="6">
        <v>0</v>
      </c>
      <c r="T43" s="6">
        <v>4</v>
      </c>
      <c r="U43" s="6">
        <v>0</v>
      </c>
      <c r="V43" s="6">
        <f>IF(ISERROR(VLOOKUP($S$43,'TAR FIN'!$A$1:$O$120,15,0)),0,VLOOKUP($S$43,'TAR FIN'!$A$1:$O$120,15,0))</f>
        <v>0</v>
      </c>
      <c r="W43" s="6">
        <f>IF(ISERROR(VLOOKUP($T$43,'TAR FIN'!$A$1:$O$120,15,0)),0,VLOOKUP($T$43,'TAR FIN'!$A$1:$O$120,15,0))</f>
        <v>9.98</v>
      </c>
      <c r="X43" s="6">
        <f>IF(ISERROR(VLOOKUP($U$43,'TAR FIN'!$A$1:$O$120,15,0)),0,VLOOKUP($U$43,'TAR FIN'!$A$1:$O$120,15,0))</f>
        <v>0</v>
      </c>
      <c r="Y43" s="6"/>
      <c r="Z43" s="6">
        <f ca="1">('TUSD BE'!$AM$8+'TUSD BF'!$AM$8+'TUSD CVA'!$AM$8)*1</f>
        <v>8.5807325036857538</v>
      </c>
      <c r="AA43" s="6"/>
      <c r="AB43" s="6">
        <f>$K$43*$V$43</f>
        <v>0</v>
      </c>
      <c r="AC43" s="6">
        <f>$M$43*$W$43</f>
        <v>65972.92972</v>
      </c>
      <c r="AD43" s="6">
        <f>$O$43*$X$43</f>
        <v>0</v>
      </c>
      <c r="AE43" s="6">
        <f>$K$43*$Y$43</f>
        <v>0</v>
      </c>
      <c r="AF43" s="6">
        <f ca="1">$M$43*$Z$43</f>
        <v>56723.052345869728</v>
      </c>
      <c r="AG43" s="6">
        <f>$O$43*$AA$43</f>
        <v>0</v>
      </c>
    </row>
    <row r="44" spans="1:33" ht="11.25" customHeight="1" x14ac:dyDescent="0.25">
      <c r="A44" s="4" t="s">
        <v>21</v>
      </c>
      <c r="B44" s="4" t="s">
        <v>43</v>
      </c>
      <c r="C44" s="4" t="s">
        <v>41</v>
      </c>
      <c r="D44" s="4" t="s">
        <v>40</v>
      </c>
      <c r="E44" s="4" t="s">
        <v>25</v>
      </c>
      <c r="F44" s="4" t="s">
        <v>61</v>
      </c>
      <c r="G44" s="4" t="s">
        <v>25</v>
      </c>
      <c r="H44" s="4" t="s">
        <v>25</v>
      </c>
      <c r="I44" s="5">
        <v>43922</v>
      </c>
      <c r="J44" s="6">
        <v>0</v>
      </c>
      <c r="K44" s="6">
        <v>0</v>
      </c>
      <c r="L44" s="6">
        <v>8922.3040000000001</v>
      </c>
      <c r="M44" s="6">
        <v>8922.3040000000001</v>
      </c>
      <c r="N44" s="6">
        <v>0</v>
      </c>
      <c r="O44" s="6">
        <v>0</v>
      </c>
      <c r="P44" s="6">
        <v>1</v>
      </c>
      <c r="Q44" s="4" t="s">
        <v>62</v>
      </c>
      <c r="R44" s="4">
        <v>0</v>
      </c>
      <c r="S44" s="6">
        <v>0</v>
      </c>
      <c r="T44" s="6">
        <v>4</v>
      </c>
      <c r="U44" s="6">
        <v>0</v>
      </c>
      <c r="V44" s="6">
        <f>IF(ISERROR(VLOOKUP($S$44,'TAR FIN'!$A$1:$O$120,15,0)),0,VLOOKUP($S$44,'TAR FIN'!$A$1:$O$120,15,0))</f>
        <v>0</v>
      </c>
      <c r="W44" s="6">
        <f>IF(ISERROR(VLOOKUP($T$44,'TAR FIN'!$A$1:$O$120,15,0)),0,VLOOKUP($T$44,'TAR FIN'!$A$1:$O$120,15,0))</f>
        <v>9.98</v>
      </c>
      <c r="X44" s="6">
        <f>IF(ISERROR(VLOOKUP($U$44,'TAR FIN'!$A$1:$O$120,15,0)),0,VLOOKUP($U$44,'TAR FIN'!$A$1:$O$120,15,0))</f>
        <v>0</v>
      </c>
      <c r="Y44" s="6"/>
      <c r="Z44" s="6">
        <f ca="1">('TUSD BE'!$AM$8+'TUSD BF'!$AM$8+'TUSD CVA'!$AM$8)*1</f>
        <v>8.5807325036857538</v>
      </c>
      <c r="AA44" s="6"/>
      <c r="AB44" s="6">
        <f>$K$44*$V$44</f>
        <v>0</v>
      </c>
      <c r="AC44" s="6">
        <f>$M$44*$W$44</f>
        <v>89044.593919999999</v>
      </c>
      <c r="AD44" s="6">
        <f>$O$44*$X$44</f>
        <v>0</v>
      </c>
      <c r="AE44" s="6">
        <f>$K$44*$Y$44</f>
        <v>0</v>
      </c>
      <c r="AF44" s="6">
        <f ca="1">$M$44*$Z$44</f>
        <v>76559.903940565418</v>
      </c>
      <c r="AG44" s="6">
        <f>$O$44*$AA$44</f>
        <v>0</v>
      </c>
    </row>
    <row r="45" spans="1:33" ht="11.25" customHeight="1" x14ac:dyDescent="0.25">
      <c r="A45" s="4" t="s">
        <v>21</v>
      </c>
      <c r="B45" s="4" t="s">
        <v>43</v>
      </c>
      <c r="C45" s="4" t="s">
        <v>41</v>
      </c>
      <c r="D45" s="4" t="s">
        <v>40</v>
      </c>
      <c r="E45" s="4" t="s">
        <v>25</v>
      </c>
      <c r="F45" s="4" t="s">
        <v>61</v>
      </c>
      <c r="G45" s="4" t="s">
        <v>25</v>
      </c>
      <c r="H45" s="4" t="s">
        <v>25</v>
      </c>
      <c r="I45" s="5">
        <v>43952</v>
      </c>
      <c r="J45" s="6">
        <v>0</v>
      </c>
      <c r="K45" s="6">
        <v>0</v>
      </c>
      <c r="L45" s="6">
        <v>10643.983</v>
      </c>
      <c r="M45" s="6">
        <v>10643.983</v>
      </c>
      <c r="N45" s="6">
        <v>0</v>
      </c>
      <c r="O45" s="6">
        <v>0</v>
      </c>
      <c r="P45" s="6">
        <v>1</v>
      </c>
      <c r="Q45" s="4" t="s">
        <v>62</v>
      </c>
      <c r="R45" s="4">
        <v>0</v>
      </c>
      <c r="S45" s="6">
        <v>0</v>
      </c>
      <c r="T45" s="6">
        <v>4</v>
      </c>
      <c r="U45" s="6">
        <v>0</v>
      </c>
      <c r="V45" s="6">
        <f>IF(ISERROR(VLOOKUP($S$45,'TAR FIN'!$A$1:$O$120,15,0)),0,VLOOKUP($S$45,'TAR FIN'!$A$1:$O$120,15,0))</f>
        <v>0</v>
      </c>
      <c r="W45" s="6">
        <f>IF(ISERROR(VLOOKUP($T$45,'TAR FIN'!$A$1:$O$120,15,0)),0,VLOOKUP($T$45,'TAR FIN'!$A$1:$O$120,15,0))</f>
        <v>9.98</v>
      </c>
      <c r="X45" s="6">
        <f>IF(ISERROR(VLOOKUP($U$45,'TAR FIN'!$A$1:$O$120,15,0)),0,VLOOKUP($U$45,'TAR FIN'!$A$1:$O$120,15,0))</f>
        <v>0</v>
      </c>
      <c r="Y45" s="6"/>
      <c r="Z45" s="6">
        <f ca="1">('TUSD BE'!$AM$8+'TUSD BF'!$AM$8+'TUSD CVA'!$AM$8)*1</f>
        <v>8.5807325036857538</v>
      </c>
      <c r="AA45" s="6"/>
      <c r="AB45" s="6">
        <f>$K$45*$V$45</f>
        <v>0</v>
      </c>
      <c r="AC45" s="6">
        <f>$M$45*$W$45</f>
        <v>106226.95034000001</v>
      </c>
      <c r="AD45" s="6">
        <f>$O$45*$X$45</f>
        <v>0</v>
      </c>
      <c r="AE45" s="6">
        <f>$K$45*$Y$45</f>
        <v>0</v>
      </c>
      <c r="AF45" s="6">
        <f ca="1">$M$45*$Z$45</f>
        <v>91333.170896778596</v>
      </c>
      <c r="AG45" s="6">
        <f>$O$45*$AA$45</f>
        <v>0</v>
      </c>
    </row>
    <row r="46" spans="1:33" ht="11.25" customHeight="1" x14ac:dyDescent="0.25">
      <c r="A46" s="4" t="s">
        <v>21</v>
      </c>
      <c r="B46" s="4" t="s">
        <v>43</v>
      </c>
      <c r="C46" s="4" t="s">
        <v>41</v>
      </c>
      <c r="D46" s="4" t="s">
        <v>40</v>
      </c>
      <c r="E46" s="4" t="s">
        <v>25</v>
      </c>
      <c r="F46" s="4" t="s">
        <v>61</v>
      </c>
      <c r="G46" s="4" t="s">
        <v>25</v>
      </c>
      <c r="H46" s="4" t="s">
        <v>25</v>
      </c>
      <c r="I46" s="5">
        <v>43983</v>
      </c>
      <c r="J46" s="6">
        <v>0</v>
      </c>
      <c r="K46" s="6">
        <v>0</v>
      </c>
      <c r="L46" s="6">
        <v>10643.983</v>
      </c>
      <c r="M46" s="6">
        <v>10643.983</v>
      </c>
      <c r="N46" s="6">
        <v>0</v>
      </c>
      <c r="O46" s="6">
        <v>0</v>
      </c>
      <c r="P46" s="6">
        <v>1</v>
      </c>
      <c r="Q46" s="4" t="s">
        <v>62</v>
      </c>
      <c r="R46" s="4">
        <v>0</v>
      </c>
      <c r="S46" s="6">
        <v>0</v>
      </c>
      <c r="T46" s="6">
        <v>4</v>
      </c>
      <c r="U46" s="6">
        <v>0</v>
      </c>
      <c r="V46" s="6">
        <f>IF(ISERROR(VLOOKUP($S$46,'TAR FIN'!$A$1:$O$120,15,0)),0,VLOOKUP($S$46,'TAR FIN'!$A$1:$O$120,15,0))</f>
        <v>0</v>
      </c>
      <c r="W46" s="6">
        <f>IF(ISERROR(VLOOKUP($T$46,'TAR FIN'!$A$1:$O$120,15,0)),0,VLOOKUP($T$46,'TAR FIN'!$A$1:$O$120,15,0))</f>
        <v>9.98</v>
      </c>
      <c r="X46" s="6">
        <f>IF(ISERROR(VLOOKUP($U$46,'TAR FIN'!$A$1:$O$120,15,0)),0,VLOOKUP($U$46,'TAR FIN'!$A$1:$O$120,15,0))</f>
        <v>0</v>
      </c>
      <c r="Y46" s="6"/>
      <c r="Z46" s="6">
        <f ca="1">('TUSD BE'!$AM$8+'TUSD BF'!$AM$8+'TUSD CVA'!$AM$8)*1</f>
        <v>8.5807325036857538</v>
      </c>
      <c r="AA46" s="6"/>
      <c r="AB46" s="6">
        <f>$K$46*$V$46</f>
        <v>0</v>
      </c>
      <c r="AC46" s="6">
        <f>$M$46*$W$46</f>
        <v>106226.95034000001</v>
      </c>
      <c r="AD46" s="6">
        <f>$O$46*$X$46</f>
        <v>0</v>
      </c>
      <c r="AE46" s="6">
        <f>$K$46*$Y$46</f>
        <v>0</v>
      </c>
      <c r="AF46" s="6">
        <f ca="1">$M$46*$Z$46</f>
        <v>91333.170896778596</v>
      </c>
      <c r="AG46" s="6">
        <f>$O$46*$AA$46</f>
        <v>0</v>
      </c>
    </row>
    <row r="47" spans="1:33" ht="11.25" customHeight="1" x14ac:dyDescent="0.25">
      <c r="A47" s="4" t="s">
        <v>21</v>
      </c>
      <c r="B47" s="4" t="s">
        <v>43</v>
      </c>
      <c r="C47" s="4" t="s">
        <v>41</v>
      </c>
      <c r="D47" s="4" t="s">
        <v>40</v>
      </c>
      <c r="E47" s="4" t="s">
        <v>25</v>
      </c>
      <c r="F47" s="4" t="s">
        <v>61</v>
      </c>
      <c r="G47" s="4" t="s">
        <v>25</v>
      </c>
      <c r="H47" s="4" t="s">
        <v>25</v>
      </c>
      <c r="I47" s="5">
        <v>44013</v>
      </c>
      <c r="J47" s="6">
        <v>0</v>
      </c>
      <c r="K47" s="6">
        <v>0</v>
      </c>
      <c r="L47" s="6">
        <v>9905.6080000000002</v>
      </c>
      <c r="M47" s="6">
        <v>9905.6080000000002</v>
      </c>
      <c r="N47" s="6">
        <v>0</v>
      </c>
      <c r="O47" s="6">
        <v>0</v>
      </c>
      <c r="P47" s="6">
        <v>1</v>
      </c>
      <c r="Q47" s="4" t="s">
        <v>62</v>
      </c>
      <c r="R47" s="4">
        <v>0</v>
      </c>
      <c r="S47" s="6">
        <v>0</v>
      </c>
      <c r="T47" s="6">
        <v>4</v>
      </c>
      <c r="U47" s="6">
        <v>0</v>
      </c>
      <c r="V47" s="6">
        <f>IF(ISERROR(VLOOKUP($S$47,'TAR FIN'!$A$1:$O$120,15,0)),0,VLOOKUP($S$47,'TAR FIN'!$A$1:$O$120,15,0))</f>
        <v>0</v>
      </c>
      <c r="W47" s="6">
        <f>IF(ISERROR(VLOOKUP($T$47,'TAR FIN'!$A$1:$O$120,15,0)),0,VLOOKUP($T$47,'TAR FIN'!$A$1:$O$120,15,0))</f>
        <v>9.98</v>
      </c>
      <c r="X47" s="6">
        <f>IF(ISERROR(VLOOKUP($U$47,'TAR FIN'!$A$1:$O$120,15,0)),0,VLOOKUP($U$47,'TAR FIN'!$A$1:$O$120,15,0))</f>
        <v>0</v>
      </c>
      <c r="Y47" s="6"/>
      <c r="Z47" s="6">
        <f ca="1">('TUSD BE'!$AM$8+'TUSD BF'!$AM$8+'TUSD CVA'!$AM$8)*1</f>
        <v>8.5807325036857538</v>
      </c>
      <c r="AA47" s="6"/>
      <c r="AB47" s="6">
        <f>$K$47*$V$47</f>
        <v>0</v>
      </c>
      <c r="AC47" s="6">
        <f>$M$47*$W$47</f>
        <v>98857.967840000012</v>
      </c>
      <c r="AD47" s="6">
        <f>$O$47*$X$47</f>
        <v>0</v>
      </c>
      <c r="AE47" s="6">
        <f>$K$47*$Y$47</f>
        <v>0</v>
      </c>
      <c r="AF47" s="6">
        <f ca="1">$M$47*$Z$47</f>
        <v>84997.372534369628</v>
      </c>
      <c r="AG47" s="6">
        <f>$O$47*$AA$47</f>
        <v>0</v>
      </c>
    </row>
    <row r="48" spans="1:33" ht="11.25" customHeight="1" x14ac:dyDescent="0.25">
      <c r="A48" s="4" t="s">
        <v>21</v>
      </c>
      <c r="B48" s="4" t="s">
        <v>43</v>
      </c>
      <c r="C48" s="4" t="s">
        <v>41</v>
      </c>
      <c r="D48" s="4" t="s">
        <v>40</v>
      </c>
      <c r="E48" s="4" t="s">
        <v>25</v>
      </c>
      <c r="F48" s="4" t="s">
        <v>61</v>
      </c>
      <c r="G48" s="4" t="s">
        <v>25</v>
      </c>
      <c r="H48" s="4" t="s">
        <v>25</v>
      </c>
      <c r="I48" s="5">
        <v>44044</v>
      </c>
      <c r="J48" s="6">
        <v>0</v>
      </c>
      <c r="K48" s="6">
        <v>0</v>
      </c>
      <c r="L48" s="6">
        <v>10621.59</v>
      </c>
      <c r="M48" s="6">
        <v>10621.59</v>
      </c>
      <c r="N48" s="6">
        <v>0</v>
      </c>
      <c r="O48" s="6">
        <v>0</v>
      </c>
      <c r="P48" s="6">
        <v>1</v>
      </c>
      <c r="Q48" s="4" t="s">
        <v>62</v>
      </c>
      <c r="R48" s="4">
        <v>0</v>
      </c>
      <c r="S48" s="6">
        <v>0</v>
      </c>
      <c r="T48" s="6">
        <v>4</v>
      </c>
      <c r="U48" s="6">
        <v>0</v>
      </c>
      <c r="V48" s="6">
        <f>IF(ISERROR(VLOOKUP($S$48,'TAR FIN'!$A$1:$O$120,15,0)),0,VLOOKUP($S$48,'TAR FIN'!$A$1:$O$120,15,0))</f>
        <v>0</v>
      </c>
      <c r="W48" s="6">
        <f>IF(ISERROR(VLOOKUP($T$48,'TAR FIN'!$A$1:$O$120,15,0)),0,VLOOKUP($T$48,'TAR FIN'!$A$1:$O$120,15,0))</f>
        <v>9.98</v>
      </c>
      <c r="X48" s="6">
        <f>IF(ISERROR(VLOOKUP($U$48,'TAR FIN'!$A$1:$O$120,15,0)),0,VLOOKUP($U$48,'TAR FIN'!$A$1:$O$120,15,0))</f>
        <v>0</v>
      </c>
      <c r="Y48" s="6"/>
      <c r="Z48" s="6">
        <f ca="1">('TUSD BE'!$AM$8+'TUSD BF'!$AM$8+'TUSD CVA'!$AM$8)*1</f>
        <v>8.5807325036857538</v>
      </c>
      <c r="AA48" s="6"/>
      <c r="AB48" s="6">
        <f>$K$48*$V$48</f>
        <v>0</v>
      </c>
      <c r="AC48" s="6">
        <f>$M$48*$W$48</f>
        <v>106003.4682</v>
      </c>
      <c r="AD48" s="6">
        <f>$O$48*$X$48</f>
        <v>0</v>
      </c>
      <c r="AE48" s="6">
        <f>$K$48*$Y$48</f>
        <v>0</v>
      </c>
      <c r="AF48" s="6">
        <f ca="1">$M$48*$Z$48</f>
        <v>91141.022553823568</v>
      </c>
      <c r="AG48" s="6">
        <f>$O$48*$AA$48</f>
        <v>0</v>
      </c>
    </row>
    <row r="49" spans="1:33" ht="11.25" customHeight="1" x14ac:dyDescent="0.25">
      <c r="A49" s="4" t="s">
        <v>59</v>
      </c>
      <c r="B49" s="4" t="s">
        <v>43</v>
      </c>
      <c r="C49" s="4" t="s">
        <v>41</v>
      </c>
      <c r="D49" s="4" t="s">
        <v>40</v>
      </c>
      <c r="E49" s="4" t="s">
        <v>25</v>
      </c>
      <c r="F49" s="4" t="s">
        <v>61</v>
      </c>
      <c r="G49" s="4" t="s">
        <v>25</v>
      </c>
      <c r="H49" s="4" t="s">
        <v>25</v>
      </c>
      <c r="I49" s="5">
        <v>44075</v>
      </c>
      <c r="J49" s="6">
        <v>0</v>
      </c>
      <c r="K49" s="6">
        <v>0</v>
      </c>
      <c r="L49" s="6">
        <v>10621.59</v>
      </c>
      <c r="M49" s="6">
        <v>10621.59</v>
      </c>
      <c r="N49" s="6">
        <v>0</v>
      </c>
      <c r="O49" s="6">
        <v>0</v>
      </c>
      <c r="P49" s="6">
        <v>1</v>
      </c>
      <c r="Q49" s="4" t="s">
        <v>62</v>
      </c>
      <c r="R49" s="4">
        <v>0</v>
      </c>
      <c r="S49" s="6">
        <v>0</v>
      </c>
      <c r="T49" s="6">
        <v>4</v>
      </c>
      <c r="U49" s="6">
        <v>0</v>
      </c>
      <c r="V49" s="6">
        <f>IF(ISERROR(VLOOKUP($S$49,'TAR FIN'!$A$1:$O$120,15,0)),0,VLOOKUP($S$49,'TAR FIN'!$A$1:$O$120,15,0))</f>
        <v>0</v>
      </c>
      <c r="W49" s="6">
        <f>IF(ISERROR(VLOOKUP($T$49,'TAR FIN'!$A$1:$O$120,15,0)),0,VLOOKUP($T$49,'TAR FIN'!$A$1:$O$120,15,0))</f>
        <v>9.98</v>
      </c>
      <c r="X49" s="6">
        <f>IF(ISERROR(VLOOKUP($U$49,'TAR FIN'!$A$1:$O$120,15,0)),0,VLOOKUP($U$49,'TAR FIN'!$A$1:$O$120,15,0))</f>
        <v>0</v>
      </c>
      <c r="Y49" s="6"/>
      <c r="Z49" s="6">
        <f ca="1">('TUSD BE'!$AM$8+'TUSD BF'!$AM$8+'TUSD CVA'!$AM$8)*1</f>
        <v>8.5807325036857538</v>
      </c>
      <c r="AA49" s="6"/>
      <c r="AB49" s="6">
        <f>$K$49*$V$49</f>
        <v>0</v>
      </c>
      <c r="AC49" s="6">
        <f>$M$49*$W$49</f>
        <v>106003.4682</v>
      </c>
      <c r="AD49" s="6">
        <f>$O$49*$X$49</f>
        <v>0</v>
      </c>
      <c r="AE49" s="6">
        <f>$K$49*$Y$49</f>
        <v>0</v>
      </c>
      <c r="AF49" s="6">
        <f ca="1">$M$49*$Z$49</f>
        <v>91141.022553823568</v>
      </c>
      <c r="AG49" s="6">
        <f>$O$49*$AA$49</f>
        <v>0</v>
      </c>
    </row>
    <row r="50" spans="1:33" ht="11.25" customHeight="1" x14ac:dyDescent="0.25">
      <c r="A50" s="4" t="s">
        <v>21</v>
      </c>
      <c r="B50" s="4" t="s">
        <v>43</v>
      </c>
      <c r="C50" s="4" t="s">
        <v>41</v>
      </c>
      <c r="D50" s="4" t="s">
        <v>40</v>
      </c>
      <c r="E50" s="4" t="s">
        <v>25</v>
      </c>
      <c r="F50" s="4" t="s">
        <v>61</v>
      </c>
      <c r="G50" s="4" t="s">
        <v>25</v>
      </c>
      <c r="H50" s="4" t="s">
        <v>35</v>
      </c>
      <c r="I50" s="5">
        <v>43739</v>
      </c>
      <c r="J50" s="6">
        <v>5505</v>
      </c>
      <c r="K50" s="6">
        <v>5505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4" t="s">
        <v>62</v>
      </c>
      <c r="R50" s="4">
        <v>0</v>
      </c>
      <c r="S50" s="6">
        <v>1</v>
      </c>
      <c r="T50" s="6">
        <v>0</v>
      </c>
      <c r="U50" s="6">
        <v>0</v>
      </c>
      <c r="V50" s="6">
        <f>IF(ISERROR(VLOOKUP($S$50,'TAR FIN'!$A$1:$O$120,15,0)),0,VLOOKUP($S$50,'TAR FIN'!$A$1:$O$120,15,0))</f>
        <v>9.4700000000000006</v>
      </c>
      <c r="W50" s="6">
        <f>IF(ISERROR(VLOOKUP($T$50,'TAR FIN'!$A$1:$O$120,15,0)),0,VLOOKUP($T$50,'TAR FIN'!$A$1:$O$120,15,0))</f>
        <v>0</v>
      </c>
      <c r="X50" s="6">
        <f>IF(ISERROR(VLOOKUP($U$50,'TAR FIN'!$A$1:$O$120,15,0)),0,VLOOKUP($U$50,'TAR FIN'!$A$1:$O$120,15,0))</f>
        <v>0</v>
      </c>
      <c r="Y50" s="6">
        <f ca="1">('TUSD BE'!$AM$5+'TUSD BF'!$AM$5+'TUSD CVA'!$AM$5)*1</f>
        <v>13.276513797445094</v>
      </c>
      <c r="Z50" s="6">
        <f ca="1">('TUSD BE'!$AM$7+'TUSD BF'!$AM$7+'TUSD CVA'!$AM$7)*1</f>
        <v>64.02214134768171</v>
      </c>
      <c r="AA50" s="6"/>
      <c r="AB50" s="6">
        <f>$K$50*$V$50</f>
        <v>52132.350000000006</v>
      </c>
      <c r="AC50" s="6">
        <f>$M$50*$W$50</f>
        <v>0</v>
      </c>
      <c r="AD50" s="6">
        <f>$O$50*$X$50</f>
        <v>0</v>
      </c>
      <c r="AE50" s="6">
        <f ca="1">$K$50*$Y$50</f>
        <v>73087.208454935244</v>
      </c>
      <c r="AF50" s="6">
        <f ca="1">$M$50*$Z$50</f>
        <v>0</v>
      </c>
      <c r="AG50" s="6">
        <f>$O$50*$AA$50</f>
        <v>0</v>
      </c>
    </row>
    <row r="51" spans="1:33" ht="11.25" customHeight="1" x14ac:dyDescent="0.25">
      <c r="A51" s="4" t="s">
        <v>21</v>
      </c>
      <c r="B51" s="4" t="s">
        <v>43</v>
      </c>
      <c r="C51" s="4" t="s">
        <v>41</v>
      </c>
      <c r="D51" s="4" t="s">
        <v>40</v>
      </c>
      <c r="E51" s="4" t="s">
        <v>25</v>
      </c>
      <c r="F51" s="4" t="s">
        <v>61</v>
      </c>
      <c r="G51" s="4" t="s">
        <v>25</v>
      </c>
      <c r="H51" s="4" t="s">
        <v>35</v>
      </c>
      <c r="I51" s="5">
        <v>43770</v>
      </c>
      <c r="J51" s="6">
        <v>5505</v>
      </c>
      <c r="K51" s="6">
        <v>5505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4" t="s">
        <v>62</v>
      </c>
      <c r="R51" s="4">
        <v>0</v>
      </c>
      <c r="S51" s="6">
        <v>1</v>
      </c>
      <c r="T51" s="6">
        <v>0</v>
      </c>
      <c r="U51" s="6">
        <v>0</v>
      </c>
      <c r="V51" s="6">
        <f>IF(ISERROR(VLOOKUP($S$51,'TAR FIN'!$A$1:$O$120,15,0)),0,VLOOKUP($S$51,'TAR FIN'!$A$1:$O$120,15,0))</f>
        <v>9.4700000000000006</v>
      </c>
      <c r="W51" s="6">
        <f>IF(ISERROR(VLOOKUP($T$51,'TAR FIN'!$A$1:$O$120,15,0)),0,VLOOKUP($T$51,'TAR FIN'!$A$1:$O$120,15,0))</f>
        <v>0</v>
      </c>
      <c r="X51" s="6">
        <f>IF(ISERROR(VLOOKUP($U$51,'TAR FIN'!$A$1:$O$120,15,0)),0,VLOOKUP($U$51,'TAR FIN'!$A$1:$O$120,15,0))</f>
        <v>0</v>
      </c>
      <c r="Y51" s="6">
        <f ca="1">('TUSD BE'!$AM$5+'TUSD BF'!$AM$5+'TUSD CVA'!$AM$5)*1</f>
        <v>13.276513797445094</v>
      </c>
      <c r="Z51" s="6">
        <f ca="1">('TUSD BE'!$AM$7+'TUSD BF'!$AM$7+'TUSD CVA'!$AM$7)*1</f>
        <v>64.02214134768171</v>
      </c>
      <c r="AA51" s="6"/>
      <c r="AB51" s="6">
        <f>$K$51*$V$51</f>
        <v>52132.350000000006</v>
      </c>
      <c r="AC51" s="6">
        <f>$M$51*$W$51</f>
        <v>0</v>
      </c>
      <c r="AD51" s="6">
        <f>$O$51*$X$51</f>
        <v>0</v>
      </c>
      <c r="AE51" s="6">
        <f ca="1">$K$51*$Y$51</f>
        <v>73087.208454935244</v>
      </c>
      <c r="AF51" s="6">
        <f ca="1">$M$51*$Z$51</f>
        <v>0</v>
      </c>
      <c r="AG51" s="6">
        <f>$O$51*$AA$51</f>
        <v>0</v>
      </c>
    </row>
    <row r="52" spans="1:33" ht="11.25" customHeight="1" x14ac:dyDescent="0.25">
      <c r="A52" s="4" t="s">
        <v>21</v>
      </c>
      <c r="B52" s="4" t="s">
        <v>43</v>
      </c>
      <c r="C52" s="4" t="s">
        <v>41</v>
      </c>
      <c r="D52" s="4" t="s">
        <v>40</v>
      </c>
      <c r="E52" s="4" t="s">
        <v>25</v>
      </c>
      <c r="F52" s="4" t="s">
        <v>61</v>
      </c>
      <c r="G52" s="4" t="s">
        <v>25</v>
      </c>
      <c r="H52" s="4" t="s">
        <v>35</v>
      </c>
      <c r="I52" s="5">
        <v>43800</v>
      </c>
      <c r="J52" s="6">
        <v>5505</v>
      </c>
      <c r="K52" s="6">
        <v>5505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4" t="s">
        <v>62</v>
      </c>
      <c r="R52" s="4">
        <v>0</v>
      </c>
      <c r="S52" s="6">
        <v>1</v>
      </c>
      <c r="T52" s="6">
        <v>0</v>
      </c>
      <c r="U52" s="6">
        <v>0</v>
      </c>
      <c r="V52" s="6">
        <f>IF(ISERROR(VLOOKUP($S$52,'TAR FIN'!$A$1:$O$120,15,0)),0,VLOOKUP($S$52,'TAR FIN'!$A$1:$O$120,15,0))</f>
        <v>9.4700000000000006</v>
      </c>
      <c r="W52" s="6">
        <f>IF(ISERROR(VLOOKUP($T$52,'TAR FIN'!$A$1:$O$120,15,0)),0,VLOOKUP($T$52,'TAR FIN'!$A$1:$O$120,15,0))</f>
        <v>0</v>
      </c>
      <c r="X52" s="6">
        <f>IF(ISERROR(VLOOKUP($U$52,'TAR FIN'!$A$1:$O$120,15,0)),0,VLOOKUP($U$52,'TAR FIN'!$A$1:$O$120,15,0))</f>
        <v>0</v>
      </c>
      <c r="Y52" s="6">
        <f ca="1">('TUSD BE'!$AM$5+'TUSD BF'!$AM$5+'TUSD CVA'!$AM$5)*1</f>
        <v>13.276513797445094</v>
      </c>
      <c r="Z52" s="6">
        <f ca="1">('TUSD BE'!$AM$7+'TUSD BF'!$AM$7+'TUSD CVA'!$AM$7)*1</f>
        <v>64.02214134768171</v>
      </c>
      <c r="AA52" s="6"/>
      <c r="AB52" s="6">
        <f>$K$52*$V$52</f>
        <v>52132.350000000006</v>
      </c>
      <c r="AC52" s="6">
        <f>$M$52*$W$52</f>
        <v>0</v>
      </c>
      <c r="AD52" s="6">
        <f>$O$52*$X$52</f>
        <v>0</v>
      </c>
      <c r="AE52" s="6">
        <f ca="1">$K$52*$Y$52</f>
        <v>73087.208454935244</v>
      </c>
      <c r="AF52" s="6">
        <f ca="1">$M$52*$Z$52</f>
        <v>0</v>
      </c>
      <c r="AG52" s="6">
        <f>$O$52*$AA$52</f>
        <v>0</v>
      </c>
    </row>
    <row r="53" spans="1:33" ht="11.25" customHeight="1" x14ac:dyDescent="0.25">
      <c r="A53" s="4" t="s">
        <v>21</v>
      </c>
      <c r="B53" s="4" t="s">
        <v>43</v>
      </c>
      <c r="C53" s="4" t="s">
        <v>41</v>
      </c>
      <c r="D53" s="4" t="s">
        <v>40</v>
      </c>
      <c r="E53" s="4" t="s">
        <v>25</v>
      </c>
      <c r="F53" s="4" t="s">
        <v>61</v>
      </c>
      <c r="G53" s="4" t="s">
        <v>25</v>
      </c>
      <c r="H53" s="4" t="s">
        <v>35</v>
      </c>
      <c r="I53" s="5">
        <v>43831</v>
      </c>
      <c r="J53" s="6">
        <v>5505</v>
      </c>
      <c r="K53" s="6">
        <v>5505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4" t="s">
        <v>62</v>
      </c>
      <c r="R53" s="4">
        <v>0</v>
      </c>
      <c r="S53" s="6">
        <v>1</v>
      </c>
      <c r="T53" s="6">
        <v>0</v>
      </c>
      <c r="U53" s="6">
        <v>0</v>
      </c>
      <c r="V53" s="6">
        <f>IF(ISERROR(VLOOKUP($S$53,'TAR FIN'!$A$1:$O$120,15,0)),0,VLOOKUP($S$53,'TAR FIN'!$A$1:$O$120,15,0))</f>
        <v>9.4700000000000006</v>
      </c>
      <c r="W53" s="6">
        <f>IF(ISERROR(VLOOKUP($T$53,'TAR FIN'!$A$1:$O$120,15,0)),0,VLOOKUP($T$53,'TAR FIN'!$A$1:$O$120,15,0))</f>
        <v>0</v>
      </c>
      <c r="X53" s="6">
        <f>IF(ISERROR(VLOOKUP($U$53,'TAR FIN'!$A$1:$O$120,15,0)),0,VLOOKUP($U$53,'TAR FIN'!$A$1:$O$120,15,0))</f>
        <v>0</v>
      </c>
      <c r="Y53" s="6">
        <f ca="1">('TUSD BE'!$AM$5+'TUSD BF'!$AM$5+'TUSD CVA'!$AM$5)*1</f>
        <v>13.276513797445094</v>
      </c>
      <c r="Z53" s="6">
        <f ca="1">('TUSD BE'!$AM$7+'TUSD BF'!$AM$7+'TUSD CVA'!$AM$7)*1</f>
        <v>64.02214134768171</v>
      </c>
      <c r="AA53" s="6"/>
      <c r="AB53" s="6">
        <f>$K$53*$V$53</f>
        <v>52132.350000000006</v>
      </c>
      <c r="AC53" s="6">
        <f>$M$53*$W$53</f>
        <v>0</v>
      </c>
      <c r="AD53" s="6">
        <f>$O$53*$X$53</f>
        <v>0</v>
      </c>
      <c r="AE53" s="6">
        <f ca="1">$K$53*$Y$53</f>
        <v>73087.208454935244</v>
      </c>
      <c r="AF53" s="6">
        <f ca="1">$M$53*$Z$53</f>
        <v>0</v>
      </c>
      <c r="AG53" s="6">
        <f>$O$53*$AA$53</f>
        <v>0</v>
      </c>
    </row>
    <row r="54" spans="1:33" ht="11.25" customHeight="1" x14ac:dyDescent="0.25">
      <c r="A54" s="4" t="s">
        <v>21</v>
      </c>
      <c r="B54" s="4" t="s">
        <v>43</v>
      </c>
      <c r="C54" s="4" t="s">
        <v>41</v>
      </c>
      <c r="D54" s="4" t="s">
        <v>40</v>
      </c>
      <c r="E54" s="4" t="s">
        <v>25</v>
      </c>
      <c r="F54" s="4" t="s">
        <v>61</v>
      </c>
      <c r="G54" s="4" t="s">
        <v>25</v>
      </c>
      <c r="H54" s="4" t="s">
        <v>35</v>
      </c>
      <c r="I54" s="5">
        <v>43862</v>
      </c>
      <c r="J54" s="6">
        <v>5505</v>
      </c>
      <c r="K54" s="6">
        <v>5505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4" t="s">
        <v>62</v>
      </c>
      <c r="R54" s="4">
        <v>0</v>
      </c>
      <c r="S54" s="6">
        <v>1</v>
      </c>
      <c r="T54" s="6">
        <v>0</v>
      </c>
      <c r="U54" s="6">
        <v>0</v>
      </c>
      <c r="V54" s="6">
        <f>IF(ISERROR(VLOOKUP($S$54,'TAR FIN'!$A$1:$O$120,15,0)),0,VLOOKUP($S$54,'TAR FIN'!$A$1:$O$120,15,0))</f>
        <v>9.4700000000000006</v>
      </c>
      <c r="W54" s="6">
        <f>IF(ISERROR(VLOOKUP($T$54,'TAR FIN'!$A$1:$O$120,15,0)),0,VLOOKUP($T$54,'TAR FIN'!$A$1:$O$120,15,0))</f>
        <v>0</v>
      </c>
      <c r="X54" s="6">
        <f>IF(ISERROR(VLOOKUP($U$54,'TAR FIN'!$A$1:$O$120,15,0)),0,VLOOKUP($U$54,'TAR FIN'!$A$1:$O$120,15,0))</f>
        <v>0</v>
      </c>
      <c r="Y54" s="6">
        <f ca="1">('TUSD BE'!$AM$5+'TUSD BF'!$AM$5+'TUSD CVA'!$AM$5)*1</f>
        <v>13.276513797445094</v>
      </c>
      <c r="Z54" s="6">
        <f ca="1">('TUSD BE'!$AM$7+'TUSD BF'!$AM$7+'TUSD CVA'!$AM$7)*1</f>
        <v>64.02214134768171</v>
      </c>
      <c r="AA54" s="6"/>
      <c r="AB54" s="6">
        <f>$K$54*$V$54</f>
        <v>52132.350000000006</v>
      </c>
      <c r="AC54" s="6">
        <f>$M$54*$W$54</f>
        <v>0</v>
      </c>
      <c r="AD54" s="6">
        <f>$O$54*$X$54</f>
        <v>0</v>
      </c>
      <c r="AE54" s="6">
        <f ca="1">$K$54*$Y$54</f>
        <v>73087.208454935244</v>
      </c>
      <c r="AF54" s="6">
        <f ca="1">$M$54*$Z$54</f>
        <v>0</v>
      </c>
      <c r="AG54" s="6">
        <f>$O$54*$AA$54</f>
        <v>0</v>
      </c>
    </row>
    <row r="55" spans="1:33" ht="11.25" customHeight="1" x14ac:dyDescent="0.25">
      <c r="A55" s="4" t="s">
        <v>21</v>
      </c>
      <c r="B55" s="4" t="s">
        <v>43</v>
      </c>
      <c r="C55" s="4" t="s">
        <v>41</v>
      </c>
      <c r="D55" s="4" t="s">
        <v>40</v>
      </c>
      <c r="E55" s="4" t="s">
        <v>25</v>
      </c>
      <c r="F55" s="4" t="s">
        <v>61</v>
      </c>
      <c r="G55" s="4" t="s">
        <v>25</v>
      </c>
      <c r="H55" s="4" t="s">
        <v>35</v>
      </c>
      <c r="I55" s="5">
        <v>43891</v>
      </c>
      <c r="J55" s="6">
        <v>5505</v>
      </c>
      <c r="K55" s="6">
        <v>5505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4" t="s">
        <v>62</v>
      </c>
      <c r="R55" s="4">
        <v>0</v>
      </c>
      <c r="S55" s="6">
        <v>1</v>
      </c>
      <c r="T55" s="6">
        <v>0</v>
      </c>
      <c r="U55" s="6">
        <v>0</v>
      </c>
      <c r="V55" s="6">
        <f>IF(ISERROR(VLOOKUP($S$55,'TAR FIN'!$A$1:$O$120,15,0)),0,VLOOKUP($S$55,'TAR FIN'!$A$1:$O$120,15,0))</f>
        <v>9.4700000000000006</v>
      </c>
      <c r="W55" s="6">
        <f>IF(ISERROR(VLOOKUP($T$55,'TAR FIN'!$A$1:$O$120,15,0)),0,VLOOKUP($T$55,'TAR FIN'!$A$1:$O$120,15,0))</f>
        <v>0</v>
      </c>
      <c r="X55" s="6">
        <f>IF(ISERROR(VLOOKUP($U$55,'TAR FIN'!$A$1:$O$120,15,0)),0,VLOOKUP($U$55,'TAR FIN'!$A$1:$O$120,15,0))</f>
        <v>0</v>
      </c>
      <c r="Y55" s="6">
        <f ca="1">('TUSD BE'!$AM$5+'TUSD BF'!$AM$5+'TUSD CVA'!$AM$5)*1</f>
        <v>13.276513797445094</v>
      </c>
      <c r="Z55" s="6">
        <f ca="1">('TUSD BE'!$AM$7+'TUSD BF'!$AM$7+'TUSD CVA'!$AM$7)*1</f>
        <v>64.02214134768171</v>
      </c>
      <c r="AA55" s="6"/>
      <c r="AB55" s="6">
        <f>$K$55*$V$55</f>
        <v>52132.350000000006</v>
      </c>
      <c r="AC55" s="6">
        <f>$M$55*$W$55</f>
        <v>0</v>
      </c>
      <c r="AD55" s="6">
        <f>$O$55*$X$55</f>
        <v>0</v>
      </c>
      <c r="AE55" s="6">
        <f ca="1">$K$55*$Y$55</f>
        <v>73087.208454935244</v>
      </c>
      <c r="AF55" s="6">
        <f ca="1">$M$55*$Z$55</f>
        <v>0</v>
      </c>
      <c r="AG55" s="6">
        <f>$O$55*$AA$55</f>
        <v>0</v>
      </c>
    </row>
    <row r="56" spans="1:33" ht="11.25" customHeight="1" x14ac:dyDescent="0.25">
      <c r="A56" s="4" t="s">
        <v>21</v>
      </c>
      <c r="B56" s="4" t="s">
        <v>43</v>
      </c>
      <c r="C56" s="4" t="s">
        <v>41</v>
      </c>
      <c r="D56" s="4" t="s">
        <v>40</v>
      </c>
      <c r="E56" s="4" t="s">
        <v>25</v>
      </c>
      <c r="F56" s="4" t="s">
        <v>61</v>
      </c>
      <c r="G56" s="4" t="s">
        <v>25</v>
      </c>
      <c r="H56" s="4" t="s">
        <v>35</v>
      </c>
      <c r="I56" s="5">
        <v>43922</v>
      </c>
      <c r="J56" s="6">
        <v>5505</v>
      </c>
      <c r="K56" s="6">
        <v>5505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4" t="s">
        <v>62</v>
      </c>
      <c r="R56" s="4">
        <v>0</v>
      </c>
      <c r="S56" s="6">
        <v>1</v>
      </c>
      <c r="T56" s="6">
        <v>0</v>
      </c>
      <c r="U56" s="6">
        <v>0</v>
      </c>
      <c r="V56" s="6">
        <f>IF(ISERROR(VLOOKUP($S$56,'TAR FIN'!$A$1:$O$120,15,0)),0,VLOOKUP($S$56,'TAR FIN'!$A$1:$O$120,15,0))</f>
        <v>9.4700000000000006</v>
      </c>
      <c r="W56" s="6">
        <f>IF(ISERROR(VLOOKUP($T$56,'TAR FIN'!$A$1:$O$120,15,0)),0,VLOOKUP($T$56,'TAR FIN'!$A$1:$O$120,15,0))</f>
        <v>0</v>
      </c>
      <c r="X56" s="6">
        <f>IF(ISERROR(VLOOKUP($U$56,'TAR FIN'!$A$1:$O$120,15,0)),0,VLOOKUP($U$56,'TAR FIN'!$A$1:$O$120,15,0))</f>
        <v>0</v>
      </c>
      <c r="Y56" s="6">
        <f ca="1">('TUSD BE'!$AM$5+'TUSD BF'!$AM$5+'TUSD CVA'!$AM$5)*1</f>
        <v>13.276513797445094</v>
      </c>
      <c r="Z56" s="6">
        <f ca="1">('TUSD BE'!$AM$7+'TUSD BF'!$AM$7+'TUSD CVA'!$AM$7)*1</f>
        <v>64.02214134768171</v>
      </c>
      <c r="AA56" s="6"/>
      <c r="AB56" s="6">
        <f>$K$56*$V$56</f>
        <v>52132.350000000006</v>
      </c>
      <c r="AC56" s="6">
        <f>$M$56*$W$56</f>
        <v>0</v>
      </c>
      <c r="AD56" s="6">
        <f>$O$56*$X$56</f>
        <v>0</v>
      </c>
      <c r="AE56" s="6">
        <f ca="1">$K$56*$Y$56</f>
        <v>73087.208454935244</v>
      </c>
      <c r="AF56" s="6">
        <f ca="1">$M$56*$Z$56</f>
        <v>0</v>
      </c>
      <c r="AG56" s="6">
        <f>$O$56*$AA$56</f>
        <v>0</v>
      </c>
    </row>
    <row r="57" spans="1:33" ht="11.25" customHeight="1" x14ac:dyDescent="0.25">
      <c r="A57" s="4" t="s">
        <v>21</v>
      </c>
      <c r="B57" s="4" t="s">
        <v>43</v>
      </c>
      <c r="C57" s="4" t="s">
        <v>41</v>
      </c>
      <c r="D57" s="4" t="s">
        <v>40</v>
      </c>
      <c r="E57" s="4" t="s">
        <v>25</v>
      </c>
      <c r="F57" s="4" t="s">
        <v>61</v>
      </c>
      <c r="G57" s="4" t="s">
        <v>25</v>
      </c>
      <c r="H57" s="4" t="s">
        <v>35</v>
      </c>
      <c r="I57" s="5">
        <v>43952</v>
      </c>
      <c r="J57" s="6">
        <v>5505</v>
      </c>
      <c r="K57" s="6">
        <v>5505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4" t="s">
        <v>62</v>
      </c>
      <c r="R57" s="4">
        <v>0</v>
      </c>
      <c r="S57" s="6">
        <v>1</v>
      </c>
      <c r="T57" s="6">
        <v>0</v>
      </c>
      <c r="U57" s="6">
        <v>0</v>
      </c>
      <c r="V57" s="6">
        <f>IF(ISERROR(VLOOKUP($S$57,'TAR FIN'!$A$1:$O$120,15,0)),0,VLOOKUP($S$57,'TAR FIN'!$A$1:$O$120,15,0))</f>
        <v>9.4700000000000006</v>
      </c>
      <c r="W57" s="6">
        <f>IF(ISERROR(VLOOKUP($T$57,'TAR FIN'!$A$1:$O$120,15,0)),0,VLOOKUP($T$57,'TAR FIN'!$A$1:$O$120,15,0))</f>
        <v>0</v>
      </c>
      <c r="X57" s="6">
        <f>IF(ISERROR(VLOOKUP($U$57,'TAR FIN'!$A$1:$O$120,15,0)),0,VLOOKUP($U$57,'TAR FIN'!$A$1:$O$120,15,0))</f>
        <v>0</v>
      </c>
      <c r="Y57" s="6">
        <f ca="1">('TUSD BE'!$AM$5+'TUSD BF'!$AM$5+'TUSD CVA'!$AM$5)*1</f>
        <v>13.276513797445094</v>
      </c>
      <c r="Z57" s="6">
        <f ca="1">('TUSD BE'!$AM$7+'TUSD BF'!$AM$7+'TUSD CVA'!$AM$7)*1</f>
        <v>64.02214134768171</v>
      </c>
      <c r="AA57" s="6"/>
      <c r="AB57" s="6">
        <f>$K$57*$V$57</f>
        <v>52132.350000000006</v>
      </c>
      <c r="AC57" s="6">
        <f>$M$57*$W$57</f>
        <v>0</v>
      </c>
      <c r="AD57" s="6">
        <f>$O$57*$X$57</f>
        <v>0</v>
      </c>
      <c r="AE57" s="6">
        <f ca="1">$K$57*$Y$57</f>
        <v>73087.208454935244</v>
      </c>
      <c r="AF57" s="6">
        <f ca="1">$M$57*$Z$57</f>
        <v>0</v>
      </c>
      <c r="AG57" s="6">
        <f>$O$57*$AA$57</f>
        <v>0</v>
      </c>
    </row>
    <row r="58" spans="1:33" ht="11.25" customHeight="1" x14ac:dyDescent="0.25">
      <c r="A58" s="4" t="s">
        <v>21</v>
      </c>
      <c r="B58" s="4" t="s">
        <v>43</v>
      </c>
      <c r="C58" s="4" t="s">
        <v>41</v>
      </c>
      <c r="D58" s="4" t="s">
        <v>40</v>
      </c>
      <c r="E58" s="4" t="s">
        <v>25</v>
      </c>
      <c r="F58" s="4" t="s">
        <v>61</v>
      </c>
      <c r="G58" s="4" t="s">
        <v>25</v>
      </c>
      <c r="H58" s="4" t="s">
        <v>35</v>
      </c>
      <c r="I58" s="5">
        <v>43983</v>
      </c>
      <c r="J58" s="6">
        <v>5505</v>
      </c>
      <c r="K58" s="6">
        <v>5505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4" t="s">
        <v>62</v>
      </c>
      <c r="R58" s="4">
        <v>0</v>
      </c>
      <c r="S58" s="6">
        <v>1</v>
      </c>
      <c r="T58" s="6">
        <v>0</v>
      </c>
      <c r="U58" s="6">
        <v>0</v>
      </c>
      <c r="V58" s="6">
        <f>IF(ISERROR(VLOOKUP($S$58,'TAR FIN'!$A$1:$O$120,15,0)),0,VLOOKUP($S$58,'TAR FIN'!$A$1:$O$120,15,0))</f>
        <v>9.4700000000000006</v>
      </c>
      <c r="W58" s="6">
        <f>IF(ISERROR(VLOOKUP($T$58,'TAR FIN'!$A$1:$O$120,15,0)),0,VLOOKUP($T$58,'TAR FIN'!$A$1:$O$120,15,0))</f>
        <v>0</v>
      </c>
      <c r="X58" s="6">
        <f>IF(ISERROR(VLOOKUP($U$58,'TAR FIN'!$A$1:$O$120,15,0)),0,VLOOKUP($U$58,'TAR FIN'!$A$1:$O$120,15,0))</f>
        <v>0</v>
      </c>
      <c r="Y58" s="6">
        <f ca="1">('TUSD BE'!$AM$5+'TUSD BF'!$AM$5+'TUSD CVA'!$AM$5)*1</f>
        <v>13.276513797445094</v>
      </c>
      <c r="Z58" s="6">
        <f ca="1">('TUSD BE'!$AM$7+'TUSD BF'!$AM$7+'TUSD CVA'!$AM$7)*1</f>
        <v>64.02214134768171</v>
      </c>
      <c r="AA58" s="6"/>
      <c r="AB58" s="6">
        <f>$K$58*$V$58</f>
        <v>52132.350000000006</v>
      </c>
      <c r="AC58" s="6">
        <f>$M$58*$W$58</f>
        <v>0</v>
      </c>
      <c r="AD58" s="6">
        <f>$O$58*$X$58</f>
        <v>0</v>
      </c>
      <c r="AE58" s="6">
        <f ca="1">$K$58*$Y$58</f>
        <v>73087.208454935244</v>
      </c>
      <c r="AF58" s="6">
        <f ca="1">$M$58*$Z$58</f>
        <v>0</v>
      </c>
      <c r="AG58" s="6">
        <f>$O$58*$AA$58</f>
        <v>0</v>
      </c>
    </row>
    <row r="59" spans="1:33" ht="11.25" customHeight="1" x14ac:dyDescent="0.25">
      <c r="A59" s="4" t="s">
        <v>21</v>
      </c>
      <c r="B59" s="4" t="s">
        <v>43</v>
      </c>
      <c r="C59" s="4" t="s">
        <v>41</v>
      </c>
      <c r="D59" s="4" t="s">
        <v>40</v>
      </c>
      <c r="E59" s="4" t="s">
        <v>25</v>
      </c>
      <c r="F59" s="4" t="s">
        <v>61</v>
      </c>
      <c r="G59" s="4" t="s">
        <v>25</v>
      </c>
      <c r="H59" s="4" t="s">
        <v>35</v>
      </c>
      <c r="I59" s="5">
        <v>44013</v>
      </c>
      <c r="J59" s="6">
        <v>5505</v>
      </c>
      <c r="K59" s="6">
        <v>5505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4" t="s">
        <v>62</v>
      </c>
      <c r="R59" s="4">
        <v>0</v>
      </c>
      <c r="S59" s="6">
        <v>1</v>
      </c>
      <c r="T59" s="6">
        <v>0</v>
      </c>
      <c r="U59" s="6">
        <v>0</v>
      </c>
      <c r="V59" s="6">
        <f>IF(ISERROR(VLOOKUP($S$59,'TAR FIN'!$A$1:$O$120,15,0)),0,VLOOKUP($S$59,'TAR FIN'!$A$1:$O$120,15,0))</f>
        <v>9.4700000000000006</v>
      </c>
      <c r="W59" s="6">
        <f>IF(ISERROR(VLOOKUP($T$59,'TAR FIN'!$A$1:$O$120,15,0)),0,VLOOKUP($T$59,'TAR FIN'!$A$1:$O$120,15,0))</f>
        <v>0</v>
      </c>
      <c r="X59" s="6">
        <f>IF(ISERROR(VLOOKUP($U$59,'TAR FIN'!$A$1:$O$120,15,0)),0,VLOOKUP($U$59,'TAR FIN'!$A$1:$O$120,15,0))</f>
        <v>0</v>
      </c>
      <c r="Y59" s="6">
        <f ca="1">('TUSD BE'!$AM$5+'TUSD BF'!$AM$5+'TUSD CVA'!$AM$5)*1</f>
        <v>13.276513797445094</v>
      </c>
      <c r="Z59" s="6">
        <f ca="1">('TUSD BE'!$AM$7+'TUSD BF'!$AM$7+'TUSD CVA'!$AM$7)*1</f>
        <v>64.02214134768171</v>
      </c>
      <c r="AA59" s="6"/>
      <c r="AB59" s="6">
        <f>$K$59*$V$59</f>
        <v>52132.350000000006</v>
      </c>
      <c r="AC59" s="6">
        <f>$M$59*$W$59</f>
        <v>0</v>
      </c>
      <c r="AD59" s="6">
        <f>$O$59*$X$59</f>
        <v>0</v>
      </c>
      <c r="AE59" s="6">
        <f ca="1">$K$59*$Y$59</f>
        <v>73087.208454935244</v>
      </c>
      <c r="AF59" s="6">
        <f ca="1">$M$59*$Z$59</f>
        <v>0</v>
      </c>
      <c r="AG59" s="6">
        <f>$O$59*$AA$59</f>
        <v>0</v>
      </c>
    </row>
    <row r="60" spans="1:33" ht="11.25" customHeight="1" x14ac:dyDescent="0.25">
      <c r="A60" s="4" t="s">
        <v>21</v>
      </c>
      <c r="B60" s="4" t="s">
        <v>43</v>
      </c>
      <c r="C60" s="4" t="s">
        <v>41</v>
      </c>
      <c r="D60" s="4" t="s">
        <v>40</v>
      </c>
      <c r="E60" s="4" t="s">
        <v>25</v>
      </c>
      <c r="F60" s="4" t="s">
        <v>61</v>
      </c>
      <c r="G60" s="4" t="s">
        <v>25</v>
      </c>
      <c r="H60" s="4" t="s">
        <v>35</v>
      </c>
      <c r="I60" s="5">
        <v>44044</v>
      </c>
      <c r="J60" s="6">
        <v>5505</v>
      </c>
      <c r="K60" s="6">
        <v>5505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4" t="s">
        <v>62</v>
      </c>
      <c r="R60" s="4">
        <v>0</v>
      </c>
      <c r="S60" s="6">
        <v>1</v>
      </c>
      <c r="T60" s="6">
        <v>0</v>
      </c>
      <c r="U60" s="6">
        <v>0</v>
      </c>
      <c r="V60" s="6">
        <f>IF(ISERROR(VLOOKUP($S$60,'TAR FIN'!$A$1:$O$120,15,0)),0,VLOOKUP($S$60,'TAR FIN'!$A$1:$O$120,15,0))</f>
        <v>9.4700000000000006</v>
      </c>
      <c r="W60" s="6">
        <f>IF(ISERROR(VLOOKUP($T$60,'TAR FIN'!$A$1:$O$120,15,0)),0,VLOOKUP($T$60,'TAR FIN'!$A$1:$O$120,15,0))</f>
        <v>0</v>
      </c>
      <c r="X60" s="6">
        <f>IF(ISERROR(VLOOKUP($U$60,'TAR FIN'!$A$1:$O$120,15,0)),0,VLOOKUP($U$60,'TAR FIN'!$A$1:$O$120,15,0))</f>
        <v>0</v>
      </c>
      <c r="Y60" s="6">
        <f ca="1">('TUSD BE'!$AM$5+'TUSD BF'!$AM$5+'TUSD CVA'!$AM$5)*1</f>
        <v>13.276513797445094</v>
      </c>
      <c r="Z60" s="6">
        <f ca="1">('TUSD BE'!$AM$7+'TUSD BF'!$AM$7+'TUSD CVA'!$AM$7)*1</f>
        <v>64.02214134768171</v>
      </c>
      <c r="AA60" s="6"/>
      <c r="AB60" s="6">
        <f>$K$60*$V$60</f>
        <v>52132.350000000006</v>
      </c>
      <c r="AC60" s="6">
        <f>$M$60*$W$60</f>
        <v>0</v>
      </c>
      <c r="AD60" s="6">
        <f>$O$60*$X$60</f>
        <v>0</v>
      </c>
      <c r="AE60" s="6">
        <f ca="1">$K$60*$Y$60</f>
        <v>73087.208454935244</v>
      </c>
      <c r="AF60" s="6">
        <f ca="1">$M$60*$Z$60</f>
        <v>0</v>
      </c>
      <c r="AG60" s="6">
        <f>$O$60*$AA$60</f>
        <v>0</v>
      </c>
    </row>
    <row r="61" spans="1:33" ht="11.25" customHeight="1" x14ac:dyDescent="0.25">
      <c r="A61" s="4" t="s">
        <v>59</v>
      </c>
      <c r="B61" s="4" t="s">
        <v>43</v>
      </c>
      <c r="C61" s="4" t="s">
        <v>41</v>
      </c>
      <c r="D61" s="4" t="s">
        <v>40</v>
      </c>
      <c r="E61" s="4" t="s">
        <v>25</v>
      </c>
      <c r="F61" s="4" t="s">
        <v>61</v>
      </c>
      <c r="G61" s="4" t="s">
        <v>25</v>
      </c>
      <c r="H61" s="4" t="s">
        <v>35</v>
      </c>
      <c r="I61" s="5">
        <v>44075</v>
      </c>
      <c r="J61" s="6">
        <v>5505</v>
      </c>
      <c r="K61" s="6">
        <v>5505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4" t="s">
        <v>62</v>
      </c>
      <c r="R61" s="4">
        <v>0</v>
      </c>
      <c r="S61" s="6">
        <v>1</v>
      </c>
      <c r="T61" s="6">
        <v>0</v>
      </c>
      <c r="U61" s="6">
        <v>0</v>
      </c>
      <c r="V61" s="6">
        <f>IF(ISERROR(VLOOKUP($S$61,'TAR FIN'!$A$1:$O$120,15,0)),0,VLOOKUP($S$61,'TAR FIN'!$A$1:$O$120,15,0))</f>
        <v>9.4700000000000006</v>
      </c>
      <c r="W61" s="6">
        <f>IF(ISERROR(VLOOKUP($T$61,'TAR FIN'!$A$1:$O$120,15,0)),0,VLOOKUP($T$61,'TAR FIN'!$A$1:$O$120,15,0))</f>
        <v>0</v>
      </c>
      <c r="X61" s="6">
        <f>IF(ISERROR(VLOOKUP($U$61,'TAR FIN'!$A$1:$O$120,15,0)),0,VLOOKUP($U$61,'TAR FIN'!$A$1:$O$120,15,0))</f>
        <v>0</v>
      </c>
      <c r="Y61" s="6">
        <f ca="1">('TUSD BE'!$AM$5+'TUSD BF'!$AM$5+'TUSD CVA'!$AM$5)*1</f>
        <v>13.276513797445094</v>
      </c>
      <c r="Z61" s="6">
        <f ca="1">('TUSD BE'!$AM$7+'TUSD BF'!$AM$7+'TUSD CVA'!$AM$7)*1</f>
        <v>64.02214134768171</v>
      </c>
      <c r="AA61" s="6"/>
      <c r="AB61" s="6">
        <f>$K$61*$V$61</f>
        <v>52132.350000000006</v>
      </c>
      <c r="AC61" s="6">
        <f>$M$61*$W$61</f>
        <v>0</v>
      </c>
      <c r="AD61" s="6">
        <f>$O$61*$X$61</f>
        <v>0</v>
      </c>
      <c r="AE61" s="6">
        <f ca="1">$K$61*$Y$61</f>
        <v>73087.208454935244</v>
      </c>
      <c r="AF61" s="6">
        <f ca="1">$M$61*$Z$61</f>
        <v>0</v>
      </c>
      <c r="AG61" s="6">
        <f>$O$61*$AA$61</f>
        <v>0</v>
      </c>
    </row>
    <row r="62" spans="1:33" ht="11.25" customHeight="1" x14ac:dyDescent="0.25">
      <c r="A62" s="4" t="s">
        <v>21</v>
      </c>
      <c r="B62" s="4" t="s">
        <v>43</v>
      </c>
      <c r="C62" s="4" t="s">
        <v>41</v>
      </c>
      <c r="D62" s="4" t="s">
        <v>40</v>
      </c>
      <c r="E62" s="4" t="s">
        <v>25</v>
      </c>
      <c r="F62" s="4" t="s">
        <v>25</v>
      </c>
      <c r="G62" s="4" t="s">
        <v>25</v>
      </c>
      <c r="H62" s="4" t="s">
        <v>36</v>
      </c>
      <c r="I62" s="5">
        <v>43739</v>
      </c>
      <c r="J62" s="6">
        <v>52000</v>
      </c>
      <c r="K62" s="6">
        <v>52000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4" t="s">
        <v>60</v>
      </c>
      <c r="R62" s="4">
        <v>0</v>
      </c>
      <c r="S62" s="6">
        <v>2</v>
      </c>
      <c r="T62" s="6">
        <v>0</v>
      </c>
      <c r="U62" s="6">
        <v>0</v>
      </c>
      <c r="V62" s="6">
        <f>IF(ISERROR(VLOOKUP($S$62,'TAR FIN'!$A$1:$O$120,15,0)),0,VLOOKUP($S$62,'TAR FIN'!$A$1:$O$120,15,0))</f>
        <v>5.4</v>
      </c>
      <c r="W62" s="6">
        <f>IF(ISERROR(VLOOKUP($T$62,'TAR FIN'!$A$1:$O$120,15,0)),0,VLOOKUP($T$62,'TAR FIN'!$A$1:$O$120,15,0))</f>
        <v>0</v>
      </c>
      <c r="X62" s="6">
        <f>IF(ISERROR(VLOOKUP($U$62,'TAR FIN'!$A$1:$O$120,15,0)),0,VLOOKUP($U$62,'TAR FIN'!$A$1:$O$120,15,0))</f>
        <v>0</v>
      </c>
      <c r="Y62" s="6">
        <f ca="1">('TUSD BE'!$AM$6+'TUSD BF'!$AM$6+'TUSD CVA'!$AM$6)*1</f>
        <v>8.2823716907665279</v>
      </c>
      <c r="Z62" s="6">
        <f ca="1">('TUSD BE'!$AM$7+'TUSD BF'!$AM$7+'TUSD CVA'!$AM$7)*1</f>
        <v>64.02214134768171</v>
      </c>
      <c r="AA62" s="6"/>
      <c r="AB62" s="6">
        <f>$K$62*$V$62</f>
        <v>280800</v>
      </c>
      <c r="AC62" s="6">
        <f>$M$62*$W$62</f>
        <v>0</v>
      </c>
      <c r="AD62" s="6">
        <f>$O$62*$X$62</f>
        <v>0</v>
      </c>
      <c r="AE62" s="6">
        <f ca="1">$K$62*$Y$62</f>
        <v>430683.32791985944</v>
      </c>
      <c r="AF62" s="6">
        <f ca="1">$M$62*$Z$62</f>
        <v>0</v>
      </c>
      <c r="AG62" s="6">
        <f>$O$62*$AA$62</f>
        <v>0</v>
      </c>
    </row>
    <row r="63" spans="1:33" ht="11.25" customHeight="1" x14ac:dyDescent="0.25">
      <c r="A63" s="4" t="s">
        <v>21</v>
      </c>
      <c r="B63" s="4" t="s">
        <v>43</v>
      </c>
      <c r="C63" s="4" t="s">
        <v>41</v>
      </c>
      <c r="D63" s="4" t="s">
        <v>40</v>
      </c>
      <c r="E63" s="4" t="s">
        <v>25</v>
      </c>
      <c r="F63" s="4" t="s">
        <v>25</v>
      </c>
      <c r="G63" s="4" t="s">
        <v>25</v>
      </c>
      <c r="H63" s="4" t="s">
        <v>36</v>
      </c>
      <c r="I63" s="5">
        <v>43770</v>
      </c>
      <c r="J63" s="6">
        <v>52000</v>
      </c>
      <c r="K63" s="6">
        <v>52000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4" t="s">
        <v>60</v>
      </c>
      <c r="R63" s="4">
        <v>0</v>
      </c>
      <c r="S63" s="6">
        <v>2</v>
      </c>
      <c r="T63" s="6">
        <v>0</v>
      </c>
      <c r="U63" s="6">
        <v>0</v>
      </c>
      <c r="V63" s="6">
        <f>IF(ISERROR(VLOOKUP($S$63,'TAR FIN'!$A$1:$O$120,15,0)),0,VLOOKUP($S$63,'TAR FIN'!$A$1:$O$120,15,0))</f>
        <v>5.4</v>
      </c>
      <c r="W63" s="6">
        <f>IF(ISERROR(VLOOKUP($T$63,'TAR FIN'!$A$1:$O$120,15,0)),0,VLOOKUP($T$63,'TAR FIN'!$A$1:$O$120,15,0))</f>
        <v>0</v>
      </c>
      <c r="X63" s="6">
        <f>IF(ISERROR(VLOOKUP($U$63,'TAR FIN'!$A$1:$O$120,15,0)),0,VLOOKUP($U$63,'TAR FIN'!$A$1:$O$120,15,0))</f>
        <v>0</v>
      </c>
      <c r="Y63" s="6">
        <f ca="1">('TUSD BE'!$AM$6+'TUSD BF'!$AM$6+'TUSD CVA'!$AM$6)*1</f>
        <v>8.2823716907665279</v>
      </c>
      <c r="Z63" s="6">
        <f ca="1">('TUSD BE'!$AM$7+'TUSD BF'!$AM$7+'TUSD CVA'!$AM$7)*1</f>
        <v>64.02214134768171</v>
      </c>
      <c r="AA63" s="6"/>
      <c r="AB63" s="6">
        <f>$K$63*$V$63</f>
        <v>280800</v>
      </c>
      <c r="AC63" s="6">
        <f>$M$63*$W$63</f>
        <v>0</v>
      </c>
      <c r="AD63" s="6">
        <f>$O$63*$X$63</f>
        <v>0</v>
      </c>
      <c r="AE63" s="6">
        <f ca="1">$K$63*$Y$63</f>
        <v>430683.32791985944</v>
      </c>
      <c r="AF63" s="6">
        <f ca="1">$M$63*$Z$63</f>
        <v>0</v>
      </c>
      <c r="AG63" s="6">
        <f>$O$63*$AA$63</f>
        <v>0</v>
      </c>
    </row>
    <row r="64" spans="1:33" ht="11.25" customHeight="1" x14ac:dyDescent="0.25">
      <c r="A64" s="4" t="s">
        <v>21</v>
      </c>
      <c r="B64" s="4" t="s">
        <v>43</v>
      </c>
      <c r="C64" s="4" t="s">
        <v>41</v>
      </c>
      <c r="D64" s="4" t="s">
        <v>40</v>
      </c>
      <c r="E64" s="4" t="s">
        <v>25</v>
      </c>
      <c r="F64" s="4" t="s">
        <v>25</v>
      </c>
      <c r="G64" s="4" t="s">
        <v>25</v>
      </c>
      <c r="H64" s="4" t="s">
        <v>36</v>
      </c>
      <c r="I64" s="5">
        <v>43800</v>
      </c>
      <c r="J64" s="6">
        <v>52000</v>
      </c>
      <c r="K64" s="6">
        <v>52000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4" t="s">
        <v>60</v>
      </c>
      <c r="R64" s="4">
        <v>0</v>
      </c>
      <c r="S64" s="6">
        <v>2</v>
      </c>
      <c r="T64" s="6">
        <v>0</v>
      </c>
      <c r="U64" s="6">
        <v>0</v>
      </c>
      <c r="V64" s="6">
        <f>IF(ISERROR(VLOOKUP($S$64,'TAR FIN'!$A$1:$O$120,15,0)),0,VLOOKUP($S$64,'TAR FIN'!$A$1:$O$120,15,0))</f>
        <v>5.4</v>
      </c>
      <c r="W64" s="6">
        <f>IF(ISERROR(VLOOKUP($T$64,'TAR FIN'!$A$1:$O$120,15,0)),0,VLOOKUP($T$64,'TAR FIN'!$A$1:$O$120,15,0))</f>
        <v>0</v>
      </c>
      <c r="X64" s="6">
        <f>IF(ISERROR(VLOOKUP($U$64,'TAR FIN'!$A$1:$O$120,15,0)),0,VLOOKUP($U$64,'TAR FIN'!$A$1:$O$120,15,0))</f>
        <v>0</v>
      </c>
      <c r="Y64" s="6">
        <f ca="1">('TUSD BE'!$AM$6+'TUSD BF'!$AM$6+'TUSD CVA'!$AM$6)*1</f>
        <v>8.2823716907665279</v>
      </c>
      <c r="Z64" s="6">
        <f ca="1">('TUSD BE'!$AM$7+'TUSD BF'!$AM$7+'TUSD CVA'!$AM$7)*1</f>
        <v>64.02214134768171</v>
      </c>
      <c r="AA64" s="6"/>
      <c r="AB64" s="6">
        <f>$K$64*$V$64</f>
        <v>280800</v>
      </c>
      <c r="AC64" s="6">
        <f>$M$64*$W$64</f>
        <v>0</v>
      </c>
      <c r="AD64" s="6">
        <f>$O$64*$X$64</f>
        <v>0</v>
      </c>
      <c r="AE64" s="6">
        <f ca="1">$K$64*$Y$64</f>
        <v>430683.32791985944</v>
      </c>
      <c r="AF64" s="6">
        <f ca="1">$M$64*$Z$64</f>
        <v>0</v>
      </c>
      <c r="AG64" s="6">
        <f>$O$64*$AA$64</f>
        <v>0</v>
      </c>
    </row>
    <row r="65" spans="1:33" ht="11.25" customHeight="1" x14ac:dyDescent="0.25">
      <c r="A65" s="4" t="s">
        <v>21</v>
      </c>
      <c r="B65" s="4" t="s">
        <v>43</v>
      </c>
      <c r="C65" s="4" t="s">
        <v>41</v>
      </c>
      <c r="D65" s="4" t="s">
        <v>40</v>
      </c>
      <c r="E65" s="4" t="s">
        <v>25</v>
      </c>
      <c r="F65" s="4" t="s">
        <v>25</v>
      </c>
      <c r="G65" s="4" t="s">
        <v>25</v>
      </c>
      <c r="H65" s="4" t="s">
        <v>36</v>
      </c>
      <c r="I65" s="5">
        <v>43831</v>
      </c>
      <c r="J65" s="6">
        <v>52000</v>
      </c>
      <c r="K65" s="6">
        <v>52000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4" t="s">
        <v>60</v>
      </c>
      <c r="R65" s="4">
        <v>0</v>
      </c>
      <c r="S65" s="6">
        <v>2</v>
      </c>
      <c r="T65" s="6">
        <v>0</v>
      </c>
      <c r="U65" s="6">
        <v>0</v>
      </c>
      <c r="V65" s="6">
        <f>IF(ISERROR(VLOOKUP($S$65,'TAR FIN'!$A$1:$O$120,15,0)),0,VLOOKUP($S$65,'TAR FIN'!$A$1:$O$120,15,0))</f>
        <v>5.4</v>
      </c>
      <c r="W65" s="6">
        <f>IF(ISERROR(VLOOKUP($T$65,'TAR FIN'!$A$1:$O$120,15,0)),0,VLOOKUP($T$65,'TAR FIN'!$A$1:$O$120,15,0))</f>
        <v>0</v>
      </c>
      <c r="X65" s="6">
        <f>IF(ISERROR(VLOOKUP($U$65,'TAR FIN'!$A$1:$O$120,15,0)),0,VLOOKUP($U$65,'TAR FIN'!$A$1:$O$120,15,0))</f>
        <v>0</v>
      </c>
      <c r="Y65" s="6">
        <f ca="1">('TUSD BE'!$AM$6+'TUSD BF'!$AM$6+'TUSD CVA'!$AM$6)*1</f>
        <v>8.2823716907665279</v>
      </c>
      <c r="Z65" s="6">
        <f ca="1">('TUSD BE'!$AM$7+'TUSD BF'!$AM$7+'TUSD CVA'!$AM$7)*1</f>
        <v>64.02214134768171</v>
      </c>
      <c r="AA65" s="6"/>
      <c r="AB65" s="6">
        <f>$K$65*$V$65</f>
        <v>280800</v>
      </c>
      <c r="AC65" s="6">
        <f>$M$65*$W$65</f>
        <v>0</v>
      </c>
      <c r="AD65" s="6">
        <f>$O$65*$X$65</f>
        <v>0</v>
      </c>
      <c r="AE65" s="6">
        <f ca="1">$K$65*$Y$65</f>
        <v>430683.32791985944</v>
      </c>
      <c r="AF65" s="6">
        <f ca="1">$M$65*$Z$65</f>
        <v>0</v>
      </c>
      <c r="AG65" s="6">
        <f>$O$65*$AA$65</f>
        <v>0</v>
      </c>
    </row>
    <row r="66" spans="1:33" ht="11.25" customHeight="1" x14ac:dyDescent="0.25">
      <c r="A66" s="4" t="s">
        <v>21</v>
      </c>
      <c r="B66" s="4" t="s">
        <v>43</v>
      </c>
      <c r="C66" s="4" t="s">
        <v>41</v>
      </c>
      <c r="D66" s="4" t="s">
        <v>40</v>
      </c>
      <c r="E66" s="4" t="s">
        <v>25</v>
      </c>
      <c r="F66" s="4" t="s">
        <v>25</v>
      </c>
      <c r="G66" s="4" t="s">
        <v>25</v>
      </c>
      <c r="H66" s="4" t="s">
        <v>36</v>
      </c>
      <c r="I66" s="5">
        <v>43862</v>
      </c>
      <c r="J66" s="6">
        <v>52000</v>
      </c>
      <c r="K66" s="6">
        <v>52000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4" t="s">
        <v>60</v>
      </c>
      <c r="R66" s="4">
        <v>0</v>
      </c>
      <c r="S66" s="6">
        <v>2</v>
      </c>
      <c r="T66" s="6">
        <v>0</v>
      </c>
      <c r="U66" s="6">
        <v>0</v>
      </c>
      <c r="V66" s="6">
        <f>IF(ISERROR(VLOOKUP($S$66,'TAR FIN'!$A$1:$O$120,15,0)),0,VLOOKUP($S$66,'TAR FIN'!$A$1:$O$120,15,0))</f>
        <v>5.4</v>
      </c>
      <c r="W66" s="6">
        <f>IF(ISERROR(VLOOKUP($T$66,'TAR FIN'!$A$1:$O$120,15,0)),0,VLOOKUP($T$66,'TAR FIN'!$A$1:$O$120,15,0))</f>
        <v>0</v>
      </c>
      <c r="X66" s="6">
        <f>IF(ISERROR(VLOOKUP($U$66,'TAR FIN'!$A$1:$O$120,15,0)),0,VLOOKUP($U$66,'TAR FIN'!$A$1:$O$120,15,0))</f>
        <v>0</v>
      </c>
      <c r="Y66" s="6">
        <f ca="1">('TUSD BE'!$AM$6+'TUSD BF'!$AM$6+'TUSD CVA'!$AM$6)*1</f>
        <v>8.2823716907665279</v>
      </c>
      <c r="Z66" s="6">
        <f ca="1">('TUSD BE'!$AM$7+'TUSD BF'!$AM$7+'TUSD CVA'!$AM$7)*1</f>
        <v>64.02214134768171</v>
      </c>
      <c r="AA66" s="6"/>
      <c r="AB66" s="6">
        <f>$K$66*$V$66</f>
        <v>280800</v>
      </c>
      <c r="AC66" s="6">
        <f>$M$66*$W$66</f>
        <v>0</v>
      </c>
      <c r="AD66" s="6">
        <f>$O$66*$X$66</f>
        <v>0</v>
      </c>
      <c r="AE66" s="6">
        <f ca="1">$K$66*$Y$66</f>
        <v>430683.32791985944</v>
      </c>
      <c r="AF66" s="6">
        <f ca="1">$M$66*$Z$66</f>
        <v>0</v>
      </c>
      <c r="AG66" s="6">
        <f>$O$66*$AA$66</f>
        <v>0</v>
      </c>
    </row>
    <row r="67" spans="1:33" ht="11.25" customHeight="1" x14ac:dyDescent="0.25">
      <c r="A67" s="4" t="s">
        <v>21</v>
      </c>
      <c r="B67" s="4" t="s">
        <v>43</v>
      </c>
      <c r="C67" s="4" t="s">
        <v>41</v>
      </c>
      <c r="D67" s="4" t="s">
        <v>40</v>
      </c>
      <c r="E67" s="4" t="s">
        <v>25</v>
      </c>
      <c r="F67" s="4" t="s">
        <v>25</v>
      </c>
      <c r="G67" s="4" t="s">
        <v>25</v>
      </c>
      <c r="H67" s="4" t="s">
        <v>36</v>
      </c>
      <c r="I67" s="5">
        <v>43891</v>
      </c>
      <c r="J67" s="6">
        <v>52000</v>
      </c>
      <c r="K67" s="6">
        <v>52000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4" t="s">
        <v>60</v>
      </c>
      <c r="R67" s="4">
        <v>0</v>
      </c>
      <c r="S67" s="6">
        <v>2</v>
      </c>
      <c r="T67" s="6">
        <v>0</v>
      </c>
      <c r="U67" s="6">
        <v>0</v>
      </c>
      <c r="V67" s="6">
        <f>IF(ISERROR(VLOOKUP($S$67,'TAR FIN'!$A$1:$O$120,15,0)),0,VLOOKUP($S$67,'TAR FIN'!$A$1:$O$120,15,0))</f>
        <v>5.4</v>
      </c>
      <c r="W67" s="6">
        <f>IF(ISERROR(VLOOKUP($T$67,'TAR FIN'!$A$1:$O$120,15,0)),0,VLOOKUP($T$67,'TAR FIN'!$A$1:$O$120,15,0))</f>
        <v>0</v>
      </c>
      <c r="X67" s="6">
        <f>IF(ISERROR(VLOOKUP($U$67,'TAR FIN'!$A$1:$O$120,15,0)),0,VLOOKUP($U$67,'TAR FIN'!$A$1:$O$120,15,0))</f>
        <v>0</v>
      </c>
      <c r="Y67" s="6">
        <f ca="1">('TUSD BE'!$AM$6+'TUSD BF'!$AM$6+'TUSD CVA'!$AM$6)*1</f>
        <v>8.2823716907665279</v>
      </c>
      <c r="Z67" s="6">
        <f ca="1">('TUSD BE'!$AM$7+'TUSD BF'!$AM$7+'TUSD CVA'!$AM$7)*1</f>
        <v>64.02214134768171</v>
      </c>
      <c r="AA67" s="6"/>
      <c r="AB67" s="6">
        <f>$K$67*$V$67</f>
        <v>280800</v>
      </c>
      <c r="AC67" s="6">
        <f>$M$67*$W$67</f>
        <v>0</v>
      </c>
      <c r="AD67" s="6">
        <f>$O$67*$X$67</f>
        <v>0</v>
      </c>
      <c r="AE67" s="6">
        <f ca="1">$K$67*$Y$67</f>
        <v>430683.32791985944</v>
      </c>
      <c r="AF67" s="6">
        <f ca="1">$M$67*$Z$67</f>
        <v>0</v>
      </c>
      <c r="AG67" s="6">
        <f>$O$67*$AA$67</f>
        <v>0</v>
      </c>
    </row>
    <row r="68" spans="1:33" ht="11.25" customHeight="1" x14ac:dyDescent="0.25">
      <c r="A68" s="4" t="s">
        <v>21</v>
      </c>
      <c r="B68" s="4" t="s">
        <v>43</v>
      </c>
      <c r="C68" s="4" t="s">
        <v>41</v>
      </c>
      <c r="D68" s="4" t="s">
        <v>40</v>
      </c>
      <c r="E68" s="4" t="s">
        <v>25</v>
      </c>
      <c r="F68" s="4" t="s">
        <v>25</v>
      </c>
      <c r="G68" s="4" t="s">
        <v>25</v>
      </c>
      <c r="H68" s="4" t="s">
        <v>36</v>
      </c>
      <c r="I68" s="5">
        <v>43922</v>
      </c>
      <c r="J68" s="6">
        <v>52000</v>
      </c>
      <c r="K68" s="6">
        <v>52000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4" t="s">
        <v>60</v>
      </c>
      <c r="R68" s="4">
        <v>0</v>
      </c>
      <c r="S68" s="6">
        <v>2</v>
      </c>
      <c r="T68" s="6">
        <v>0</v>
      </c>
      <c r="U68" s="6">
        <v>0</v>
      </c>
      <c r="V68" s="6">
        <f>IF(ISERROR(VLOOKUP($S$68,'TAR FIN'!$A$1:$O$120,15,0)),0,VLOOKUP($S$68,'TAR FIN'!$A$1:$O$120,15,0))</f>
        <v>5.4</v>
      </c>
      <c r="W68" s="6">
        <f>IF(ISERROR(VLOOKUP($T$68,'TAR FIN'!$A$1:$O$120,15,0)),0,VLOOKUP($T$68,'TAR FIN'!$A$1:$O$120,15,0))</f>
        <v>0</v>
      </c>
      <c r="X68" s="6">
        <f>IF(ISERROR(VLOOKUP($U$68,'TAR FIN'!$A$1:$O$120,15,0)),0,VLOOKUP($U$68,'TAR FIN'!$A$1:$O$120,15,0))</f>
        <v>0</v>
      </c>
      <c r="Y68" s="6">
        <f ca="1">('TUSD BE'!$AM$6+'TUSD BF'!$AM$6+'TUSD CVA'!$AM$6)*1</f>
        <v>8.2823716907665279</v>
      </c>
      <c r="Z68" s="6">
        <f ca="1">('TUSD BE'!$AM$7+'TUSD BF'!$AM$7+'TUSD CVA'!$AM$7)*1</f>
        <v>64.02214134768171</v>
      </c>
      <c r="AA68" s="6"/>
      <c r="AB68" s="6">
        <f>$K$68*$V$68</f>
        <v>280800</v>
      </c>
      <c r="AC68" s="6">
        <f>$M$68*$W$68</f>
        <v>0</v>
      </c>
      <c r="AD68" s="6">
        <f>$O$68*$X$68</f>
        <v>0</v>
      </c>
      <c r="AE68" s="6">
        <f ca="1">$K$68*$Y$68</f>
        <v>430683.32791985944</v>
      </c>
      <c r="AF68" s="6">
        <f ca="1">$M$68*$Z$68</f>
        <v>0</v>
      </c>
      <c r="AG68" s="6">
        <f>$O$68*$AA$68</f>
        <v>0</v>
      </c>
    </row>
    <row r="69" spans="1:33" ht="11.25" customHeight="1" x14ac:dyDescent="0.25">
      <c r="A69" s="4" t="s">
        <v>21</v>
      </c>
      <c r="B69" s="4" t="s">
        <v>43</v>
      </c>
      <c r="C69" s="4" t="s">
        <v>41</v>
      </c>
      <c r="D69" s="4" t="s">
        <v>40</v>
      </c>
      <c r="E69" s="4" t="s">
        <v>25</v>
      </c>
      <c r="F69" s="4" t="s">
        <v>25</v>
      </c>
      <c r="G69" s="4" t="s">
        <v>25</v>
      </c>
      <c r="H69" s="4" t="s">
        <v>36</v>
      </c>
      <c r="I69" s="5">
        <v>43952</v>
      </c>
      <c r="J69" s="6">
        <v>52000</v>
      </c>
      <c r="K69" s="6">
        <v>52000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4" t="s">
        <v>60</v>
      </c>
      <c r="R69" s="4">
        <v>0</v>
      </c>
      <c r="S69" s="6">
        <v>2</v>
      </c>
      <c r="T69" s="6">
        <v>0</v>
      </c>
      <c r="U69" s="6">
        <v>0</v>
      </c>
      <c r="V69" s="6">
        <f>IF(ISERROR(VLOOKUP($S$69,'TAR FIN'!$A$1:$O$120,15,0)),0,VLOOKUP($S$69,'TAR FIN'!$A$1:$O$120,15,0))</f>
        <v>5.4</v>
      </c>
      <c r="W69" s="6">
        <f>IF(ISERROR(VLOOKUP($T$69,'TAR FIN'!$A$1:$O$120,15,0)),0,VLOOKUP($T$69,'TAR FIN'!$A$1:$O$120,15,0))</f>
        <v>0</v>
      </c>
      <c r="X69" s="6">
        <f>IF(ISERROR(VLOOKUP($U$69,'TAR FIN'!$A$1:$O$120,15,0)),0,VLOOKUP($U$69,'TAR FIN'!$A$1:$O$120,15,0))</f>
        <v>0</v>
      </c>
      <c r="Y69" s="6">
        <f ca="1">('TUSD BE'!$AM$6+'TUSD BF'!$AM$6+'TUSD CVA'!$AM$6)*1</f>
        <v>8.2823716907665279</v>
      </c>
      <c r="Z69" s="6">
        <f ca="1">('TUSD BE'!$AM$7+'TUSD BF'!$AM$7+'TUSD CVA'!$AM$7)*1</f>
        <v>64.02214134768171</v>
      </c>
      <c r="AA69" s="6"/>
      <c r="AB69" s="6">
        <f>$K$69*$V$69</f>
        <v>280800</v>
      </c>
      <c r="AC69" s="6">
        <f>$M$69*$W$69</f>
        <v>0</v>
      </c>
      <c r="AD69" s="6">
        <f>$O$69*$X$69</f>
        <v>0</v>
      </c>
      <c r="AE69" s="6">
        <f ca="1">$K$69*$Y$69</f>
        <v>430683.32791985944</v>
      </c>
      <c r="AF69" s="6">
        <f ca="1">$M$69*$Z$69</f>
        <v>0</v>
      </c>
      <c r="AG69" s="6">
        <f>$O$69*$AA$69</f>
        <v>0</v>
      </c>
    </row>
    <row r="70" spans="1:33" ht="11.25" customHeight="1" x14ac:dyDescent="0.25">
      <c r="A70" s="4" t="s">
        <v>21</v>
      </c>
      <c r="B70" s="4" t="s">
        <v>43</v>
      </c>
      <c r="C70" s="4" t="s">
        <v>41</v>
      </c>
      <c r="D70" s="4" t="s">
        <v>40</v>
      </c>
      <c r="E70" s="4" t="s">
        <v>25</v>
      </c>
      <c r="F70" s="4" t="s">
        <v>25</v>
      </c>
      <c r="G70" s="4" t="s">
        <v>25</v>
      </c>
      <c r="H70" s="4" t="s">
        <v>36</v>
      </c>
      <c r="I70" s="5">
        <v>43983</v>
      </c>
      <c r="J70" s="6">
        <v>52000</v>
      </c>
      <c r="K70" s="6">
        <v>52000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4" t="s">
        <v>60</v>
      </c>
      <c r="R70" s="4">
        <v>0</v>
      </c>
      <c r="S70" s="6">
        <v>2</v>
      </c>
      <c r="T70" s="6">
        <v>0</v>
      </c>
      <c r="U70" s="6">
        <v>0</v>
      </c>
      <c r="V70" s="6">
        <f>IF(ISERROR(VLOOKUP($S$70,'TAR FIN'!$A$1:$O$120,15,0)),0,VLOOKUP($S$70,'TAR FIN'!$A$1:$O$120,15,0))</f>
        <v>5.4</v>
      </c>
      <c r="W70" s="6">
        <f>IF(ISERROR(VLOOKUP($T$70,'TAR FIN'!$A$1:$O$120,15,0)),0,VLOOKUP($T$70,'TAR FIN'!$A$1:$O$120,15,0))</f>
        <v>0</v>
      </c>
      <c r="X70" s="6">
        <f>IF(ISERROR(VLOOKUP($U$70,'TAR FIN'!$A$1:$O$120,15,0)),0,VLOOKUP($U$70,'TAR FIN'!$A$1:$O$120,15,0))</f>
        <v>0</v>
      </c>
      <c r="Y70" s="6">
        <f ca="1">('TUSD BE'!$AM$6+'TUSD BF'!$AM$6+'TUSD CVA'!$AM$6)*1</f>
        <v>8.2823716907665279</v>
      </c>
      <c r="Z70" s="6">
        <f ca="1">('TUSD BE'!$AM$7+'TUSD BF'!$AM$7+'TUSD CVA'!$AM$7)*1</f>
        <v>64.02214134768171</v>
      </c>
      <c r="AA70" s="6"/>
      <c r="AB70" s="6">
        <f>$K$70*$V$70</f>
        <v>280800</v>
      </c>
      <c r="AC70" s="6">
        <f>$M$70*$W$70</f>
        <v>0</v>
      </c>
      <c r="AD70" s="6">
        <f>$O$70*$X$70</f>
        <v>0</v>
      </c>
      <c r="AE70" s="6">
        <f ca="1">$K$70*$Y$70</f>
        <v>430683.32791985944</v>
      </c>
      <c r="AF70" s="6">
        <f ca="1">$M$70*$Z$70</f>
        <v>0</v>
      </c>
      <c r="AG70" s="6">
        <f>$O$70*$AA$70</f>
        <v>0</v>
      </c>
    </row>
    <row r="71" spans="1:33" ht="11.25" customHeight="1" x14ac:dyDescent="0.25">
      <c r="A71" s="4" t="s">
        <v>21</v>
      </c>
      <c r="B71" s="4" t="s">
        <v>43</v>
      </c>
      <c r="C71" s="4" t="s">
        <v>41</v>
      </c>
      <c r="D71" s="4" t="s">
        <v>40</v>
      </c>
      <c r="E71" s="4" t="s">
        <v>25</v>
      </c>
      <c r="F71" s="4" t="s">
        <v>25</v>
      </c>
      <c r="G71" s="4" t="s">
        <v>25</v>
      </c>
      <c r="H71" s="4" t="s">
        <v>36</v>
      </c>
      <c r="I71" s="5">
        <v>44013</v>
      </c>
      <c r="J71" s="6">
        <v>52000</v>
      </c>
      <c r="K71" s="6">
        <v>52000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4" t="s">
        <v>60</v>
      </c>
      <c r="R71" s="4">
        <v>0</v>
      </c>
      <c r="S71" s="6">
        <v>2</v>
      </c>
      <c r="T71" s="6">
        <v>0</v>
      </c>
      <c r="U71" s="6">
        <v>0</v>
      </c>
      <c r="V71" s="6">
        <f>IF(ISERROR(VLOOKUP($S$71,'TAR FIN'!$A$1:$O$120,15,0)),0,VLOOKUP($S$71,'TAR FIN'!$A$1:$O$120,15,0))</f>
        <v>5.4</v>
      </c>
      <c r="W71" s="6">
        <f>IF(ISERROR(VLOOKUP($T$71,'TAR FIN'!$A$1:$O$120,15,0)),0,VLOOKUP($T$71,'TAR FIN'!$A$1:$O$120,15,0))</f>
        <v>0</v>
      </c>
      <c r="X71" s="6">
        <f>IF(ISERROR(VLOOKUP($U$71,'TAR FIN'!$A$1:$O$120,15,0)),0,VLOOKUP($U$71,'TAR FIN'!$A$1:$O$120,15,0))</f>
        <v>0</v>
      </c>
      <c r="Y71" s="6">
        <f ca="1">('TUSD BE'!$AM$6+'TUSD BF'!$AM$6+'TUSD CVA'!$AM$6)*1</f>
        <v>8.2823716907665279</v>
      </c>
      <c r="Z71" s="6">
        <f ca="1">('TUSD BE'!$AM$7+'TUSD BF'!$AM$7+'TUSD CVA'!$AM$7)*1</f>
        <v>64.02214134768171</v>
      </c>
      <c r="AA71" s="6"/>
      <c r="AB71" s="6">
        <f>$K$71*$V$71</f>
        <v>280800</v>
      </c>
      <c r="AC71" s="6">
        <f>$M$71*$W$71</f>
        <v>0</v>
      </c>
      <c r="AD71" s="6">
        <f>$O$71*$X$71</f>
        <v>0</v>
      </c>
      <c r="AE71" s="6">
        <f ca="1">$K$71*$Y$71</f>
        <v>430683.32791985944</v>
      </c>
      <c r="AF71" s="6">
        <f ca="1">$M$71*$Z$71</f>
        <v>0</v>
      </c>
      <c r="AG71" s="6">
        <f>$O$71*$AA$71</f>
        <v>0</v>
      </c>
    </row>
    <row r="72" spans="1:33" ht="11.25" customHeight="1" x14ac:dyDescent="0.25">
      <c r="A72" s="4" t="s">
        <v>21</v>
      </c>
      <c r="B72" s="4" t="s">
        <v>43</v>
      </c>
      <c r="C72" s="4" t="s">
        <v>41</v>
      </c>
      <c r="D72" s="4" t="s">
        <v>40</v>
      </c>
      <c r="E72" s="4" t="s">
        <v>25</v>
      </c>
      <c r="F72" s="4" t="s">
        <v>25</v>
      </c>
      <c r="G72" s="4" t="s">
        <v>25</v>
      </c>
      <c r="H72" s="4" t="s">
        <v>36</v>
      </c>
      <c r="I72" s="5">
        <v>44044</v>
      </c>
      <c r="J72" s="6">
        <v>52000</v>
      </c>
      <c r="K72" s="6">
        <v>52000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4" t="s">
        <v>60</v>
      </c>
      <c r="R72" s="4">
        <v>0</v>
      </c>
      <c r="S72" s="6">
        <v>2</v>
      </c>
      <c r="T72" s="6">
        <v>0</v>
      </c>
      <c r="U72" s="6">
        <v>0</v>
      </c>
      <c r="V72" s="6">
        <f>IF(ISERROR(VLOOKUP($S$72,'TAR FIN'!$A$1:$O$120,15,0)),0,VLOOKUP($S$72,'TAR FIN'!$A$1:$O$120,15,0))</f>
        <v>5.4</v>
      </c>
      <c r="W72" s="6">
        <f>IF(ISERROR(VLOOKUP($T$72,'TAR FIN'!$A$1:$O$120,15,0)),0,VLOOKUP($T$72,'TAR FIN'!$A$1:$O$120,15,0))</f>
        <v>0</v>
      </c>
      <c r="X72" s="6">
        <f>IF(ISERROR(VLOOKUP($U$72,'TAR FIN'!$A$1:$O$120,15,0)),0,VLOOKUP($U$72,'TAR FIN'!$A$1:$O$120,15,0))</f>
        <v>0</v>
      </c>
      <c r="Y72" s="6">
        <f ca="1">('TUSD BE'!$AM$6+'TUSD BF'!$AM$6+'TUSD CVA'!$AM$6)*1</f>
        <v>8.2823716907665279</v>
      </c>
      <c r="Z72" s="6">
        <f ca="1">('TUSD BE'!$AM$7+'TUSD BF'!$AM$7+'TUSD CVA'!$AM$7)*1</f>
        <v>64.02214134768171</v>
      </c>
      <c r="AA72" s="6"/>
      <c r="AB72" s="6">
        <f>$K$72*$V$72</f>
        <v>280800</v>
      </c>
      <c r="AC72" s="6">
        <f>$M$72*$W$72</f>
        <v>0</v>
      </c>
      <c r="AD72" s="6">
        <f>$O$72*$X$72</f>
        <v>0</v>
      </c>
      <c r="AE72" s="6">
        <f ca="1">$K$72*$Y$72</f>
        <v>430683.32791985944</v>
      </c>
      <c r="AF72" s="6">
        <f ca="1">$M$72*$Z$72</f>
        <v>0</v>
      </c>
      <c r="AG72" s="6">
        <f>$O$72*$AA$72</f>
        <v>0</v>
      </c>
    </row>
    <row r="73" spans="1:33" ht="11.25" customHeight="1" x14ac:dyDescent="0.25">
      <c r="A73" s="4" t="s">
        <v>59</v>
      </c>
      <c r="B73" s="4" t="s">
        <v>43</v>
      </c>
      <c r="C73" s="4" t="s">
        <v>41</v>
      </c>
      <c r="D73" s="4" t="s">
        <v>40</v>
      </c>
      <c r="E73" s="4" t="s">
        <v>25</v>
      </c>
      <c r="F73" s="4" t="s">
        <v>25</v>
      </c>
      <c r="G73" s="4" t="s">
        <v>25</v>
      </c>
      <c r="H73" s="4" t="s">
        <v>36</v>
      </c>
      <c r="I73" s="5">
        <v>44075</v>
      </c>
      <c r="J73" s="6">
        <v>52000</v>
      </c>
      <c r="K73" s="6">
        <v>52000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4" t="s">
        <v>60</v>
      </c>
      <c r="R73" s="4">
        <v>0</v>
      </c>
      <c r="S73" s="6">
        <v>2</v>
      </c>
      <c r="T73" s="6">
        <v>0</v>
      </c>
      <c r="U73" s="6">
        <v>0</v>
      </c>
      <c r="V73" s="6">
        <f>IF(ISERROR(VLOOKUP($S$73,'TAR FIN'!$A$1:$O$120,15,0)),0,VLOOKUP($S$73,'TAR FIN'!$A$1:$O$120,15,0))</f>
        <v>5.4</v>
      </c>
      <c r="W73" s="6">
        <f>IF(ISERROR(VLOOKUP($T$73,'TAR FIN'!$A$1:$O$120,15,0)),0,VLOOKUP($T$73,'TAR FIN'!$A$1:$O$120,15,0))</f>
        <v>0</v>
      </c>
      <c r="X73" s="6">
        <f>IF(ISERROR(VLOOKUP($U$73,'TAR FIN'!$A$1:$O$120,15,0)),0,VLOOKUP($U$73,'TAR FIN'!$A$1:$O$120,15,0))</f>
        <v>0</v>
      </c>
      <c r="Y73" s="6">
        <f ca="1">('TUSD BE'!$AM$6+'TUSD BF'!$AM$6+'TUSD CVA'!$AM$6)*1</f>
        <v>8.2823716907665279</v>
      </c>
      <c r="Z73" s="6">
        <f ca="1">('TUSD BE'!$AM$7+'TUSD BF'!$AM$7+'TUSD CVA'!$AM$7)*1</f>
        <v>64.02214134768171</v>
      </c>
      <c r="AA73" s="6"/>
      <c r="AB73" s="6">
        <f>$K$73*$V$73</f>
        <v>280800</v>
      </c>
      <c r="AC73" s="6">
        <f>$M$73*$W$73</f>
        <v>0</v>
      </c>
      <c r="AD73" s="6">
        <f>$O$73*$X$73</f>
        <v>0</v>
      </c>
      <c r="AE73" s="6">
        <f ca="1">$K$73*$Y$73</f>
        <v>430683.32791985944</v>
      </c>
      <c r="AF73" s="6">
        <f ca="1">$M$73*$Z$73</f>
        <v>0</v>
      </c>
      <c r="AG73" s="6">
        <f>$O$73*$AA$73</f>
        <v>0</v>
      </c>
    </row>
    <row r="74" spans="1:33" ht="11.25" customHeight="1" x14ac:dyDescent="0.25">
      <c r="A74" s="4" t="s">
        <v>21</v>
      </c>
      <c r="B74" s="4" t="s">
        <v>43</v>
      </c>
      <c r="C74" s="4" t="s">
        <v>41</v>
      </c>
      <c r="D74" s="4" t="s">
        <v>40</v>
      </c>
      <c r="E74" s="4" t="s">
        <v>25</v>
      </c>
      <c r="F74" s="4" t="s">
        <v>25</v>
      </c>
      <c r="G74" s="4" t="s">
        <v>25</v>
      </c>
      <c r="H74" s="4" t="s">
        <v>25</v>
      </c>
      <c r="I74" s="5">
        <v>43739</v>
      </c>
      <c r="J74" s="6">
        <v>0</v>
      </c>
      <c r="K74" s="6">
        <v>0</v>
      </c>
      <c r="L74" s="6">
        <v>20525.694</v>
      </c>
      <c r="M74" s="6">
        <v>20525.694</v>
      </c>
      <c r="N74" s="6">
        <v>0</v>
      </c>
      <c r="O74" s="6">
        <v>0</v>
      </c>
      <c r="P74" s="6">
        <v>1</v>
      </c>
      <c r="Q74" s="4" t="s">
        <v>60</v>
      </c>
      <c r="R74" s="4">
        <v>0</v>
      </c>
      <c r="S74" s="6">
        <v>0</v>
      </c>
      <c r="T74" s="6">
        <v>3</v>
      </c>
      <c r="U74" s="6">
        <v>0</v>
      </c>
      <c r="V74" s="6">
        <f>IF(ISERROR(VLOOKUP($S$74,'TAR FIN'!$A$1:$O$120,15,0)),0,VLOOKUP($S$74,'TAR FIN'!$A$1:$O$120,15,0))</f>
        <v>0</v>
      </c>
      <c r="W74" s="6">
        <f>IF(ISERROR(VLOOKUP($T$74,'TAR FIN'!$A$1:$O$120,15,0)),0,VLOOKUP($T$74,'TAR FIN'!$A$1:$O$120,15,0))</f>
        <v>62.65</v>
      </c>
      <c r="X74" s="6">
        <f>IF(ISERROR(VLOOKUP($U$74,'TAR FIN'!$A$1:$O$120,15,0)),0,VLOOKUP($U$74,'TAR FIN'!$A$1:$O$120,15,0))</f>
        <v>0</v>
      </c>
      <c r="Y74" s="6"/>
      <c r="Z74" s="6">
        <f ca="1">('TUSD BE'!$AM$7+'TUSD BF'!$AM$7+'TUSD CVA'!$AM$7)*1</f>
        <v>64.02214134768171</v>
      </c>
      <c r="AA74" s="6"/>
      <c r="AB74" s="6">
        <f>$K$74*$V$74</f>
        <v>0</v>
      </c>
      <c r="AC74" s="6">
        <f>$M$74*$W$74</f>
        <v>1285934.7290999999</v>
      </c>
      <c r="AD74" s="6">
        <f>$O$74*$X$74</f>
        <v>0</v>
      </c>
      <c r="AE74" s="6">
        <f>$K$74*$Y$74</f>
        <v>0</v>
      </c>
      <c r="AF74" s="6">
        <f ca="1">$M$74*$Z$74</f>
        <v>1314098.8825272624</v>
      </c>
      <c r="AG74" s="6">
        <f>$O$74*$AA$74</f>
        <v>0</v>
      </c>
    </row>
    <row r="75" spans="1:33" ht="11.25" customHeight="1" x14ac:dyDescent="0.25">
      <c r="A75" s="4" t="s">
        <v>21</v>
      </c>
      <c r="B75" s="4" t="s">
        <v>43</v>
      </c>
      <c r="C75" s="4" t="s">
        <v>41</v>
      </c>
      <c r="D75" s="4" t="s">
        <v>40</v>
      </c>
      <c r="E75" s="4" t="s">
        <v>25</v>
      </c>
      <c r="F75" s="4" t="s">
        <v>25</v>
      </c>
      <c r="G75" s="4" t="s">
        <v>25</v>
      </c>
      <c r="H75" s="4" t="s">
        <v>25</v>
      </c>
      <c r="I75" s="5">
        <v>43770</v>
      </c>
      <c r="J75" s="6">
        <v>0</v>
      </c>
      <c r="K75" s="6">
        <v>0</v>
      </c>
      <c r="L75" s="6">
        <v>20400.280999999999</v>
      </c>
      <c r="M75" s="6">
        <v>20400.280999999999</v>
      </c>
      <c r="N75" s="6">
        <v>0</v>
      </c>
      <c r="O75" s="6">
        <v>0</v>
      </c>
      <c r="P75" s="6">
        <v>1</v>
      </c>
      <c r="Q75" s="4" t="s">
        <v>60</v>
      </c>
      <c r="R75" s="4">
        <v>0</v>
      </c>
      <c r="S75" s="6">
        <v>0</v>
      </c>
      <c r="T75" s="6">
        <v>3</v>
      </c>
      <c r="U75" s="6">
        <v>0</v>
      </c>
      <c r="V75" s="6">
        <f>IF(ISERROR(VLOOKUP($S$75,'TAR FIN'!$A$1:$O$120,15,0)),0,VLOOKUP($S$75,'TAR FIN'!$A$1:$O$120,15,0))</f>
        <v>0</v>
      </c>
      <c r="W75" s="6">
        <f>IF(ISERROR(VLOOKUP($T$75,'TAR FIN'!$A$1:$O$120,15,0)),0,VLOOKUP($T$75,'TAR FIN'!$A$1:$O$120,15,0))</f>
        <v>62.65</v>
      </c>
      <c r="X75" s="6">
        <f>IF(ISERROR(VLOOKUP($U$75,'TAR FIN'!$A$1:$O$120,15,0)),0,VLOOKUP($U$75,'TAR FIN'!$A$1:$O$120,15,0))</f>
        <v>0</v>
      </c>
      <c r="Y75" s="6"/>
      <c r="Z75" s="6">
        <f ca="1">('TUSD BE'!$AM$7+'TUSD BF'!$AM$7+'TUSD CVA'!$AM$7)*1</f>
        <v>64.02214134768171</v>
      </c>
      <c r="AA75" s="6"/>
      <c r="AB75" s="6">
        <f>$K$75*$V$75</f>
        <v>0</v>
      </c>
      <c r="AC75" s="6">
        <f>$M$75*$W$75</f>
        <v>1278077.6046499999</v>
      </c>
      <c r="AD75" s="6">
        <f>$O$75*$X$75</f>
        <v>0</v>
      </c>
      <c r="AE75" s="6">
        <f>$K$75*$Y$75</f>
        <v>0</v>
      </c>
      <c r="AF75" s="6">
        <f ca="1">$M$75*$Z$75</f>
        <v>1306069.6737144254</v>
      </c>
      <c r="AG75" s="6">
        <f>$O$75*$AA$75</f>
        <v>0</v>
      </c>
    </row>
    <row r="76" spans="1:33" ht="11.25" customHeight="1" x14ac:dyDescent="0.25">
      <c r="A76" s="4" t="s">
        <v>21</v>
      </c>
      <c r="B76" s="4" t="s">
        <v>43</v>
      </c>
      <c r="C76" s="4" t="s">
        <v>41</v>
      </c>
      <c r="D76" s="4" t="s">
        <v>40</v>
      </c>
      <c r="E76" s="4" t="s">
        <v>25</v>
      </c>
      <c r="F76" s="4" t="s">
        <v>25</v>
      </c>
      <c r="G76" s="4" t="s">
        <v>25</v>
      </c>
      <c r="H76" s="4" t="s">
        <v>25</v>
      </c>
      <c r="I76" s="5">
        <v>43800</v>
      </c>
      <c r="J76" s="6">
        <v>0</v>
      </c>
      <c r="K76" s="6">
        <v>0</v>
      </c>
      <c r="L76" s="6">
        <v>19681.274000000001</v>
      </c>
      <c r="M76" s="6">
        <v>19681.274000000001</v>
      </c>
      <c r="N76" s="6">
        <v>0</v>
      </c>
      <c r="O76" s="6">
        <v>0</v>
      </c>
      <c r="P76" s="6">
        <v>1</v>
      </c>
      <c r="Q76" s="4" t="s">
        <v>60</v>
      </c>
      <c r="R76" s="4">
        <v>0</v>
      </c>
      <c r="S76" s="6">
        <v>0</v>
      </c>
      <c r="T76" s="6">
        <v>3</v>
      </c>
      <c r="U76" s="6">
        <v>0</v>
      </c>
      <c r="V76" s="6">
        <f>IF(ISERROR(VLOOKUP($S$76,'TAR FIN'!$A$1:$O$120,15,0)),0,VLOOKUP($S$76,'TAR FIN'!$A$1:$O$120,15,0))</f>
        <v>0</v>
      </c>
      <c r="W76" s="6">
        <f>IF(ISERROR(VLOOKUP($T$76,'TAR FIN'!$A$1:$O$120,15,0)),0,VLOOKUP($T$76,'TAR FIN'!$A$1:$O$120,15,0))</f>
        <v>62.65</v>
      </c>
      <c r="X76" s="6">
        <f>IF(ISERROR(VLOOKUP($U$76,'TAR FIN'!$A$1:$O$120,15,0)),0,VLOOKUP($U$76,'TAR FIN'!$A$1:$O$120,15,0))</f>
        <v>0</v>
      </c>
      <c r="Y76" s="6"/>
      <c r="Z76" s="6">
        <f ca="1">('TUSD BE'!$AM$7+'TUSD BF'!$AM$7+'TUSD CVA'!$AM$7)*1</f>
        <v>64.02214134768171</v>
      </c>
      <c r="AA76" s="6"/>
      <c r="AB76" s="6">
        <f>$K$76*$V$76</f>
        <v>0</v>
      </c>
      <c r="AC76" s="6">
        <f>$M$76*$W$76</f>
        <v>1233031.8160999999</v>
      </c>
      <c r="AD76" s="6">
        <f>$O$76*$X$76</f>
        <v>0</v>
      </c>
      <c r="AE76" s="6">
        <f>$K$76*$Y$76</f>
        <v>0</v>
      </c>
      <c r="AF76" s="6">
        <f ca="1">$M$76*$Z$76</f>
        <v>1260037.3059304531</v>
      </c>
      <c r="AG76" s="6">
        <f>$O$76*$AA$76</f>
        <v>0</v>
      </c>
    </row>
    <row r="77" spans="1:33" ht="11.25" customHeight="1" x14ac:dyDescent="0.25">
      <c r="A77" s="4" t="s">
        <v>21</v>
      </c>
      <c r="B77" s="4" t="s">
        <v>43</v>
      </c>
      <c r="C77" s="4" t="s">
        <v>41</v>
      </c>
      <c r="D77" s="4" t="s">
        <v>40</v>
      </c>
      <c r="E77" s="4" t="s">
        <v>25</v>
      </c>
      <c r="F77" s="4" t="s">
        <v>25</v>
      </c>
      <c r="G77" s="4" t="s">
        <v>25</v>
      </c>
      <c r="H77" s="4" t="s">
        <v>25</v>
      </c>
      <c r="I77" s="5">
        <v>43831</v>
      </c>
      <c r="J77" s="6">
        <v>0</v>
      </c>
      <c r="K77" s="6">
        <v>0</v>
      </c>
      <c r="L77" s="6">
        <v>20219.706999999999</v>
      </c>
      <c r="M77" s="6">
        <v>20219.706999999999</v>
      </c>
      <c r="N77" s="6">
        <v>0</v>
      </c>
      <c r="O77" s="6">
        <v>0</v>
      </c>
      <c r="P77" s="6">
        <v>1</v>
      </c>
      <c r="Q77" s="4" t="s">
        <v>60</v>
      </c>
      <c r="R77" s="4">
        <v>0</v>
      </c>
      <c r="S77" s="6">
        <v>0</v>
      </c>
      <c r="T77" s="6">
        <v>3</v>
      </c>
      <c r="U77" s="6">
        <v>0</v>
      </c>
      <c r="V77" s="6">
        <f>IF(ISERROR(VLOOKUP($S$77,'TAR FIN'!$A$1:$O$120,15,0)),0,VLOOKUP($S$77,'TAR FIN'!$A$1:$O$120,15,0))</f>
        <v>0</v>
      </c>
      <c r="W77" s="6">
        <f>IF(ISERROR(VLOOKUP($T$77,'TAR FIN'!$A$1:$O$120,15,0)),0,VLOOKUP($T$77,'TAR FIN'!$A$1:$O$120,15,0))</f>
        <v>62.65</v>
      </c>
      <c r="X77" s="6">
        <f>IF(ISERROR(VLOOKUP($U$77,'TAR FIN'!$A$1:$O$120,15,0)),0,VLOOKUP($U$77,'TAR FIN'!$A$1:$O$120,15,0))</f>
        <v>0</v>
      </c>
      <c r="Y77" s="6"/>
      <c r="Z77" s="6">
        <f ca="1">('TUSD BE'!$AM$7+'TUSD BF'!$AM$7+'TUSD CVA'!$AM$7)*1</f>
        <v>64.02214134768171</v>
      </c>
      <c r="AA77" s="6"/>
      <c r="AB77" s="6">
        <f>$K$77*$V$77</f>
        <v>0</v>
      </c>
      <c r="AC77" s="6">
        <f>$M$77*$W$77</f>
        <v>1266764.6435499999</v>
      </c>
      <c r="AD77" s="6">
        <f>$O$77*$X$77</f>
        <v>0</v>
      </c>
      <c r="AE77" s="6">
        <f>$K$77*$Y$77</f>
        <v>0</v>
      </c>
      <c r="AF77" s="6">
        <f ca="1">$M$77*$Z$77</f>
        <v>1294508.9395627093</v>
      </c>
      <c r="AG77" s="6">
        <f>$O$77*$AA$77</f>
        <v>0</v>
      </c>
    </row>
    <row r="78" spans="1:33" ht="11.25" customHeight="1" x14ac:dyDescent="0.25">
      <c r="A78" s="4" t="s">
        <v>21</v>
      </c>
      <c r="B78" s="4" t="s">
        <v>43</v>
      </c>
      <c r="C78" s="4" t="s">
        <v>41</v>
      </c>
      <c r="D78" s="4" t="s">
        <v>40</v>
      </c>
      <c r="E78" s="4" t="s">
        <v>25</v>
      </c>
      <c r="F78" s="4" t="s">
        <v>25</v>
      </c>
      <c r="G78" s="4" t="s">
        <v>25</v>
      </c>
      <c r="H78" s="4" t="s">
        <v>25</v>
      </c>
      <c r="I78" s="5">
        <v>43862</v>
      </c>
      <c r="J78" s="6">
        <v>0</v>
      </c>
      <c r="K78" s="6">
        <v>0</v>
      </c>
      <c r="L78" s="6">
        <v>19774.339</v>
      </c>
      <c r="M78" s="6">
        <v>19774.339</v>
      </c>
      <c r="N78" s="6">
        <v>0</v>
      </c>
      <c r="O78" s="6">
        <v>0</v>
      </c>
      <c r="P78" s="6">
        <v>1</v>
      </c>
      <c r="Q78" s="4" t="s">
        <v>60</v>
      </c>
      <c r="R78" s="4">
        <v>0</v>
      </c>
      <c r="S78" s="6">
        <v>0</v>
      </c>
      <c r="T78" s="6">
        <v>3</v>
      </c>
      <c r="U78" s="6">
        <v>0</v>
      </c>
      <c r="V78" s="6">
        <f>IF(ISERROR(VLOOKUP($S$78,'TAR FIN'!$A$1:$O$120,15,0)),0,VLOOKUP($S$78,'TAR FIN'!$A$1:$O$120,15,0))</f>
        <v>0</v>
      </c>
      <c r="W78" s="6">
        <f>IF(ISERROR(VLOOKUP($T$78,'TAR FIN'!$A$1:$O$120,15,0)),0,VLOOKUP($T$78,'TAR FIN'!$A$1:$O$120,15,0))</f>
        <v>62.65</v>
      </c>
      <c r="X78" s="6">
        <f>IF(ISERROR(VLOOKUP($U$78,'TAR FIN'!$A$1:$O$120,15,0)),0,VLOOKUP($U$78,'TAR FIN'!$A$1:$O$120,15,0))</f>
        <v>0</v>
      </c>
      <c r="Y78" s="6"/>
      <c r="Z78" s="6">
        <f ca="1">('TUSD BE'!$AM$7+'TUSD BF'!$AM$7+'TUSD CVA'!$AM$7)*1</f>
        <v>64.02214134768171</v>
      </c>
      <c r="AA78" s="6"/>
      <c r="AB78" s="6">
        <f>$K$78*$V$78</f>
        <v>0</v>
      </c>
      <c r="AC78" s="6">
        <f>$M$78*$W$78</f>
        <v>1238862.3383499999</v>
      </c>
      <c r="AD78" s="6">
        <f>$O$78*$X$78</f>
        <v>0</v>
      </c>
      <c r="AE78" s="6">
        <f>$K$78*$Y$78</f>
        <v>0</v>
      </c>
      <c r="AF78" s="6">
        <f ca="1">$M$78*$Z$78</f>
        <v>1265995.5265149749</v>
      </c>
      <c r="AG78" s="6">
        <f>$O$78*$AA$78</f>
        <v>0</v>
      </c>
    </row>
    <row r="79" spans="1:33" ht="11.25" customHeight="1" x14ac:dyDescent="0.25">
      <c r="A79" s="4" t="s">
        <v>21</v>
      </c>
      <c r="B79" s="4" t="s">
        <v>43</v>
      </c>
      <c r="C79" s="4" t="s">
        <v>41</v>
      </c>
      <c r="D79" s="4" t="s">
        <v>40</v>
      </c>
      <c r="E79" s="4" t="s">
        <v>25</v>
      </c>
      <c r="F79" s="4" t="s">
        <v>25</v>
      </c>
      <c r="G79" s="4" t="s">
        <v>25</v>
      </c>
      <c r="H79" s="4" t="s">
        <v>25</v>
      </c>
      <c r="I79" s="5">
        <v>43891</v>
      </c>
      <c r="J79" s="6">
        <v>0</v>
      </c>
      <c r="K79" s="6">
        <v>0</v>
      </c>
      <c r="L79" s="6">
        <v>21065.493999999999</v>
      </c>
      <c r="M79" s="6">
        <v>21065.493999999999</v>
      </c>
      <c r="N79" s="6">
        <v>0</v>
      </c>
      <c r="O79" s="6">
        <v>0</v>
      </c>
      <c r="P79" s="6">
        <v>1</v>
      </c>
      <c r="Q79" s="4" t="s">
        <v>60</v>
      </c>
      <c r="R79" s="4">
        <v>0</v>
      </c>
      <c r="S79" s="6">
        <v>0</v>
      </c>
      <c r="T79" s="6">
        <v>3</v>
      </c>
      <c r="U79" s="6">
        <v>0</v>
      </c>
      <c r="V79" s="6">
        <f>IF(ISERROR(VLOOKUP($S$79,'TAR FIN'!$A$1:$O$120,15,0)),0,VLOOKUP($S$79,'TAR FIN'!$A$1:$O$120,15,0))</f>
        <v>0</v>
      </c>
      <c r="W79" s="6">
        <f>IF(ISERROR(VLOOKUP($T$79,'TAR FIN'!$A$1:$O$120,15,0)),0,VLOOKUP($T$79,'TAR FIN'!$A$1:$O$120,15,0))</f>
        <v>62.65</v>
      </c>
      <c r="X79" s="6">
        <f>IF(ISERROR(VLOOKUP($U$79,'TAR FIN'!$A$1:$O$120,15,0)),0,VLOOKUP($U$79,'TAR FIN'!$A$1:$O$120,15,0))</f>
        <v>0</v>
      </c>
      <c r="Y79" s="6"/>
      <c r="Z79" s="6">
        <f ca="1">('TUSD BE'!$AM$7+'TUSD BF'!$AM$7+'TUSD CVA'!$AM$7)*1</f>
        <v>64.02214134768171</v>
      </c>
      <c r="AA79" s="6"/>
      <c r="AB79" s="6">
        <f>$K$79*$V$79</f>
        <v>0</v>
      </c>
      <c r="AC79" s="6">
        <f>$M$79*$W$79</f>
        <v>1319753.1990999999</v>
      </c>
      <c r="AD79" s="6">
        <f>$O$79*$X$79</f>
        <v>0</v>
      </c>
      <c r="AE79" s="6">
        <f>$K$79*$Y$79</f>
        <v>0</v>
      </c>
      <c r="AF79" s="6">
        <f ca="1">$M$79*$Z$79</f>
        <v>1348658.0344267408</v>
      </c>
      <c r="AG79" s="6">
        <f>$O$79*$AA$79</f>
        <v>0</v>
      </c>
    </row>
    <row r="80" spans="1:33" ht="11.25" customHeight="1" x14ac:dyDescent="0.25">
      <c r="A80" s="4" t="s">
        <v>21</v>
      </c>
      <c r="B80" s="4" t="s">
        <v>43</v>
      </c>
      <c r="C80" s="4" t="s">
        <v>41</v>
      </c>
      <c r="D80" s="4" t="s">
        <v>40</v>
      </c>
      <c r="E80" s="4" t="s">
        <v>25</v>
      </c>
      <c r="F80" s="4" t="s">
        <v>25</v>
      </c>
      <c r="G80" s="4" t="s">
        <v>25</v>
      </c>
      <c r="H80" s="4" t="s">
        <v>25</v>
      </c>
      <c r="I80" s="5">
        <v>43922</v>
      </c>
      <c r="J80" s="6">
        <v>0</v>
      </c>
      <c r="K80" s="6">
        <v>0</v>
      </c>
      <c r="L80" s="6">
        <v>15942.402</v>
      </c>
      <c r="M80" s="6">
        <v>15942.402</v>
      </c>
      <c r="N80" s="6">
        <v>0</v>
      </c>
      <c r="O80" s="6">
        <v>0</v>
      </c>
      <c r="P80" s="6">
        <v>1</v>
      </c>
      <c r="Q80" s="4" t="s">
        <v>60</v>
      </c>
      <c r="R80" s="4">
        <v>0</v>
      </c>
      <c r="S80" s="6">
        <v>0</v>
      </c>
      <c r="T80" s="6">
        <v>3</v>
      </c>
      <c r="U80" s="6">
        <v>0</v>
      </c>
      <c r="V80" s="6">
        <f>IF(ISERROR(VLOOKUP($S$80,'TAR FIN'!$A$1:$O$120,15,0)),0,VLOOKUP($S$80,'TAR FIN'!$A$1:$O$120,15,0))</f>
        <v>0</v>
      </c>
      <c r="W80" s="6">
        <f>IF(ISERROR(VLOOKUP($T$80,'TAR FIN'!$A$1:$O$120,15,0)),0,VLOOKUP($T$80,'TAR FIN'!$A$1:$O$120,15,0))</f>
        <v>62.65</v>
      </c>
      <c r="X80" s="6">
        <f>IF(ISERROR(VLOOKUP($U$80,'TAR FIN'!$A$1:$O$120,15,0)),0,VLOOKUP($U$80,'TAR FIN'!$A$1:$O$120,15,0))</f>
        <v>0</v>
      </c>
      <c r="Y80" s="6"/>
      <c r="Z80" s="6">
        <f ca="1">('TUSD BE'!$AM$7+'TUSD BF'!$AM$7+'TUSD CVA'!$AM$7)*1</f>
        <v>64.02214134768171</v>
      </c>
      <c r="AA80" s="6"/>
      <c r="AB80" s="6">
        <f>$K$80*$V$80</f>
        <v>0</v>
      </c>
      <c r="AC80" s="6">
        <f>$M$80*$W$80</f>
        <v>998791.48529999994</v>
      </c>
      <c r="AD80" s="6">
        <f>$O$80*$X$80</f>
        <v>0</v>
      </c>
      <c r="AE80" s="6">
        <f>$K$80*$Y$80</f>
        <v>0</v>
      </c>
      <c r="AF80" s="6">
        <f ca="1">$M$80*$Z$80</f>
        <v>1020666.7142655636</v>
      </c>
      <c r="AG80" s="6">
        <f>$O$80*$AA$80</f>
        <v>0</v>
      </c>
    </row>
    <row r="81" spans="1:33" ht="11.25" customHeight="1" x14ac:dyDescent="0.25">
      <c r="A81" s="4" t="s">
        <v>21</v>
      </c>
      <c r="B81" s="4" t="s">
        <v>43</v>
      </c>
      <c r="C81" s="4" t="s">
        <v>41</v>
      </c>
      <c r="D81" s="4" t="s">
        <v>40</v>
      </c>
      <c r="E81" s="4" t="s">
        <v>25</v>
      </c>
      <c r="F81" s="4" t="s">
        <v>25</v>
      </c>
      <c r="G81" s="4" t="s">
        <v>25</v>
      </c>
      <c r="H81" s="4" t="s">
        <v>25</v>
      </c>
      <c r="I81" s="5">
        <v>43952</v>
      </c>
      <c r="J81" s="6">
        <v>0</v>
      </c>
      <c r="K81" s="6">
        <v>0</v>
      </c>
      <c r="L81" s="6">
        <v>25292.248</v>
      </c>
      <c r="M81" s="6">
        <v>25292.248</v>
      </c>
      <c r="N81" s="6">
        <v>0</v>
      </c>
      <c r="O81" s="6">
        <v>0</v>
      </c>
      <c r="P81" s="6">
        <v>1</v>
      </c>
      <c r="Q81" s="4" t="s">
        <v>60</v>
      </c>
      <c r="R81" s="4">
        <v>0</v>
      </c>
      <c r="S81" s="6">
        <v>0</v>
      </c>
      <c r="T81" s="6">
        <v>3</v>
      </c>
      <c r="U81" s="6">
        <v>0</v>
      </c>
      <c r="V81" s="6">
        <f>IF(ISERROR(VLOOKUP($S$81,'TAR FIN'!$A$1:$O$120,15,0)),0,VLOOKUP($S$81,'TAR FIN'!$A$1:$O$120,15,0))</f>
        <v>0</v>
      </c>
      <c r="W81" s="6">
        <f>IF(ISERROR(VLOOKUP($T$81,'TAR FIN'!$A$1:$O$120,15,0)),0,VLOOKUP($T$81,'TAR FIN'!$A$1:$O$120,15,0))</f>
        <v>62.65</v>
      </c>
      <c r="X81" s="6">
        <f>IF(ISERROR(VLOOKUP($U$81,'TAR FIN'!$A$1:$O$120,15,0)),0,VLOOKUP($U$81,'TAR FIN'!$A$1:$O$120,15,0))</f>
        <v>0</v>
      </c>
      <c r="Y81" s="6"/>
      <c r="Z81" s="6">
        <f ca="1">('TUSD BE'!$AM$7+'TUSD BF'!$AM$7+'TUSD CVA'!$AM$7)*1</f>
        <v>64.02214134768171</v>
      </c>
      <c r="AA81" s="6"/>
      <c r="AB81" s="6">
        <f>$K$81*$V$81</f>
        <v>0</v>
      </c>
      <c r="AC81" s="6">
        <f>$M$81*$W$81</f>
        <v>1584559.3372</v>
      </c>
      <c r="AD81" s="6">
        <f>$O$81*$X$81</f>
        <v>0</v>
      </c>
      <c r="AE81" s="6">
        <f>$K$81*$Y$81</f>
        <v>0</v>
      </c>
      <c r="AF81" s="6">
        <f ca="1">$M$81*$Z$81</f>
        <v>1619263.8764566199</v>
      </c>
      <c r="AG81" s="6">
        <f>$O$81*$AA$81</f>
        <v>0</v>
      </c>
    </row>
    <row r="82" spans="1:33" ht="11.25" customHeight="1" x14ac:dyDescent="0.25">
      <c r="A82" s="4" t="s">
        <v>21</v>
      </c>
      <c r="B82" s="4" t="s">
        <v>43</v>
      </c>
      <c r="C82" s="4" t="s">
        <v>41</v>
      </c>
      <c r="D82" s="4" t="s">
        <v>40</v>
      </c>
      <c r="E82" s="4" t="s">
        <v>25</v>
      </c>
      <c r="F82" s="4" t="s">
        <v>25</v>
      </c>
      <c r="G82" s="4" t="s">
        <v>25</v>
      </c>
      <c r="H82" s="4" t="s">
        <v>25</v>
      </c>
      <c r="I82" s="5">
        <v>43983</v>
      </c>
      <c r="J82" s="6">
        <v>0</v>
      </c>
      <c r="K82" s="6">
        <v>0</v>
      </c>
      <c r="L82" s="6">
        <v>25292.248</v>
      </c>
      <c r="M82" s="6">
        <v>25292.248</v>
      </c>
      <c r="N82" s="6">
        <v>0</v>
      </c>
      <c r="O82" s="6">
        <v>0</v>
      </c>
      <c r="P82" s="6">
        <v>1</v>
      </c>
      <c r="Q82" s="4" t="s">
        <v>60</v>
      </c>
      <c r="R82" s="4">
        <v>0</v>
      </c>
      <c r="S82" s="6">
        <v>0</v>
      </c>
      <c r="T82" s="6">
        <v>3</v>
      </c>
      <c r="U82" s="6">
        <v>0</v>
      </c>
      <c r="V82" s="6">
        <f>IF(ISERROR(VLOOKUP($S$82,'TAR FIN'!$A$1:$O$120,15,0)),0,VLOOKUP($S$82,'TAR FIN'!$A$1:$O$120,15,0))</f>
        <v>0</v>
      </c>
      <c r="W82" s="6">
        <f>IF(ISERROR(VLOOKUP($T$82,'TAR FIN'!$A$1:$O$120,15,0)),0,VLOOKUP($T$82,'TAR FIN'!$A$1:$O$120,15,0))</f>
        <v>62.65</v>
      </c>
      <c r="X82" s="6">
        <f>IF(ISERROR(VLOOKUP($U$82,'TAR FIN'!$A$1:$O$120,15,0)),0,VLOOKUP($U$82,'TAR FIN'!$A$1:$O$120,15,0))</f>
        <v>0</v>
      </c>
      <c r="Y82" s="6"/>
      <c r="Z82" s="6">
        <f ca="1">('TUSD BE'!$AM$7+'TUSD BF'!$AM$7+'TUSD CVA'!$AM$7)*1</f>
        <v>64.02214134768171</v>
      </c>
      <c r="AA82" s="6"/>
      <c r="AB82" s="6">
        <f>$K$82*$V$82</f>
        <v>0</v>
      </c>
      <c r="AC82" s="6">
        <f>$M$82*$W$82</f>
        <v>1584559.3372</v>
      </c>
      <c r="AD82" s="6">
        <f>$O$82*$X$82</f>
        <v>0</v>
      </c>
      <c r="AE82" s="6">
        <f>$K$82*$Y$82</f>
        <v>0</v>
      </c>
      <c r="AF82" s="6">
        <f ca="1">$M$82*$Z$82</f>
        <v>1619263.8764566199</v>
      </c>
      <c r="AG82" s="6">
        <f>$O$82*$AA$82</f>
        <v>0</v>
      </c>
    </row>
    <row r="83" spans="1:33" ht="11.25" customHeight="1" x14ac:dyDescent="0.25">
      <c r="A83" s="4" t="s">
        <v>21</v>
      </c>
      <c r="B83" s="4" t="s">
        <v>43</v>
      </c>
      <c r="C83" s="4" t="s">
        <v>41</v>
      </c>
      <c r="D83" s="4" t="s">
        <v>40</v>
      </c>
      <c r="E83" s="4" t="s">
        <v>25</v>
      </c>
      <c r="F83" s="4" t="s">
        <v>25</v>
      </c>
      <c r="G83" s="4" t="s">
        <v>25</v>
      </c>
      <c r="H83" s="4" t="s">
        <v>25</v>
      </c>
      <c r="I83" s="5">
        <v>44013</v>
      </c>
      <c r="J83" s="6">
        <v>0</v>
      </c>
      <c r="K83" s="6">
        <v>0</v>
      </c>
      <c r="L83" s="6">
        <v>21961.101999999999</v>
      </c>
      <c r="M83" s="6">
        <v>21961.101999999999</v>
      </c>
      <c r="N83" s="6">
        <v>0</v>
      </c>
      <c r="O83" s="6">
        <v>0</v>
      </c>
      <c r="P83" s="6">
        <v>1</v>
      </c>
      <c r="Q83" s="4" t="s">
        <v>60</v>
      </c>
      <c r="R83" s="4">
        <v>0</v>
      </c>
      <c r="S83" s="6">
        <v>0</v>
      </c>
      <c r="T83" s="6">
        <v>3</v>
      </c>
      <c r="U83" s="6">
        <v>0</v>
      </c>
      <c r="V83" s="6">
        <f>IF(ISERROR(VLOOKUP($S$83,'TAR FIN'!$A$1:$O$120,15,0)),0,VLOOKUP($S$83,'TAR FIN'!$A$1:$O$120,15,0))</f>
        <v>0</v>
      </c>
      <c r="W83" s="6">
        <f>IF(ISERROR(VLOOKUP($T$83,'TAR FIN'!$A$1:$O$120,15,0)),0,VLOOKUP($T$83,'TAR FIN'!$A$1:$O$120,15,0))</f>
        <v>62.65</v>
      </c>
      <c r="X83" s="6">
        <f>IF(ISERROR(VLOOKUP($U$83,'TAR FIN'!$A$1:$O$120,15,0)),0,VLOOKUP($U$83,'TAR FIN'!$A$1:$O$120,15,0))</f>
        <v>0</v>
      </c>
      <c r="Y83" s="6"/>
      <c r="Z83" s="6">
        <f ca="1">('TUSD BE'!$AM$7+'TUSD BF'!$AM$7+'TUSD CVA'!$AM$7)*1</f>
        <v>64.02214134768171</v>
      </c>
      <c r="AA83" s="6"/>
      <c r="AB83" s="6">
        <f>$K$83*$V$83</f>
        <v>0</v>
      </c>
      <c r="AC83" s="6">
        <f>$M$83*$W$83</f>
        <v>1375863.0403</v>
      </c>
      <c r="AD83" s="6">
        <f>$O$83*$X$83</f>
        <v>0</v>
      </c>
      <c r="AE83" s="6">
        <f>$K$83*$Y$83</f>
        <v>0</v>
      </c>
      <c r="AF83" s="6">
        <f ca="1">$M$83*$Z$83</f>
        <v>1405996.7763948555</v>
      </c>
      <c r="AG83" s="6">
        <f>$O$83*$AA$83</f>
        <v>0</v>
      </c>
    </row>
    <row r="84" spans="1:33" ht="11.25" customHeight="1" x14ac:dyDescent="0.25">
      <c r="A84" s="4" t="s">
        <v>21</v>
      </c>
      <c r="B84" s="4" t="s">
        <v>43</v>
      </c>
      <c r="C84" s="4" t="s">
        <v>41</v>
      </c>
      <c r="D84" s="4" t="s">
        <v>40</v>
      </c>
      <c r="E84" s="4" t="s">
        <v>25</v>
      </c>
      <c r="F84" s="4" t="s">
        <v>25</v>
      </c>
      <c r="G84" s="4" t="s">
        <v>25</v>
      </c>
      <c r="H84" s="4" t="s">
        <v>25</v>
      </c>
      <c r="I84" s="5">
        <v>44044</v>
      </c>
      <c r="J84" s="6">
        <v>0</v>
      </c>
      <c r="K84" s="6">
        <v>0</v>
      </c>
      <c r="L84" s="6">
        <v>31556.446</v>
      </c>
      <c r="M84" s="6">
        <v>31556.446</v>
      </c>
      <c r="N84" s="6">
        <v>0</v>
      </c>
      <c r="O84" s="6">
        <v>0</v>
      </c>
      <c r="P84" s="6">
        <v>1</v>
      </c>
      <c r="Q84" s="4" t="s">
        <v>60</v>
      </c>
      <c r="R84" s="4">
        <v>0</v>
      </c>
      <c r="S84" s="6">
        <v>0</v>
      </c>
      <c r="T84" s="6">
        <v>3</v>
      </c>
      <c r="U84" s="6">
        <v>0</v>
      </c>
      <c r="V84" s="6">
        <f>IF(ISERROR(VLOOKUP($S$84,'TAR FIN'!$A$1:$O$120,15,0)),0,VLOOKUP($S$84,'TAR FIN'!$A$1:$O$120,15,0))</f>
        <v>0</v>
      </c>
      <c r="W84" s="6">
        <f>IF(ISERROR(VLOOKUP($T$84,'TAR FIN'!$A$1:$O$120,15,0)),0,VLOOKUP($T$84,'TAR FIN'!$A$1:$O$120,15,0))</f>
        <v>62.65</v>
      </c>
      <c r="X84" s="6">
        <f>IF(ISERROR(VLOOKUP($U$84,'TAR FIN'!$A$1:$O$120,15,0)),0,VLOOKUP($U$84,'TAR FIN'!$A$1:$O$120,15,0))</f>
        <v>0</v>
      </c>
      <c r="Y84" s="6"/>
      <c r="Z84" s="6">
        <f ca="1">('TUSD BE'!$AM$7+'TUSD BF'!$AM$7+'TUSD CVA'!$AM$7)*1</f>
        <v>64.02214134768171</v>
      </c>
      <c r="AA84" s="6"/>
      <c r="AB84" s="6">
        <f>$K$84*$V$84</f>
        <v>0</v>
      </c>
      <c r="AC84" s="6">
        <f>$M$84*$W$84</f>
        <v>1977011.3418999999</v>
      </c>
      <c r="AD84" s="6">
        <f>$O$84*$X$84</f>
        <v>0</v>
      </c>
      <c r="AE84" s="6">
        <f>$K$84*$Y$84</f>
        <v>0</v>
      </c>
      <c r="AF84" s="6">
        <f ca="1">$M$84*$Z$84</f>
        <v>2020311.246242485</v>
      </c>
      <c r="AG84" s="6">
        <f>$O$84*$AA$84</f>
        <v>0</v>
      </c>
    </row>
    <row r="85" spans="1:33" ht="11.25" customHeight="1" x14ac:dyDescent="0.25">
      <c r="A85" s="4" t="s">
        <v>59</v>
      </c>
      <c r="B85" s="4" t="s">
        <v>43</v>
      </c>
      <c r="C85" s="4" t="s">
        <v>41</v>
      </c>
      <c r="D85" s="4" t="s">
        <v>40</v>
      </c>
      <c r="E85" s="4" t="s">
        <v>25</v>
      </c>
      <c r="F85" s="4" t="s">
        <v>25</v>
      </c>
      <c r="G85" s="4" t="s">
        <v>25</v>
      </c>
      <c r="H85" s="4" t="s">
        <v>25</v>
      </c>
      <c r="I85" s="5">
        <v>44075</v>
      </c>
      <c r="J85" s="6">
        <v>0</v>
      </c>
      <c r="K85" s="6">
        <v>0</v>
      </c>
      <c r="L85" s="6">
        <v>31556.446</v>
      </c>
      <c r="M85" s="6">
        <v>31556.446</v>
      </c>
      <c r="N85" s="6">
        <v>0</v>
      </c>
      <c r="O85" s="6">
        <v>0</v>
      </c>
      <c r="P85" s="6">
        <v>1</v>
      </c>
      <c r="Q85" s="4" t="s">
        <v>60</v>
      </c>
      <c r="R85" s="4">
        <v>0</v>
      </c>
      <c r="S85" s="6">
        <v>0</v>
      </c>
      <c r="T85" s="6">
        <v>3</v>
      </c>
      <c r="U85" s="6">
        <v>0</v>
      </c>
      <c r="V85" s="6">
        <f>IF(ISERROR(VLOOKUP($S$85,'TAR FIN'!$A$1:$O$120,15,0)),0,VLOOKUP($S$85,'TAR FIN'!$A$1:$O$120,15,0))</f>
        <v>0</v>
      </c>
      <c r="W85" s="6">
        <f>IF(ISERROR(VLOOKUP($T$85,'TAR FIN'!$A$1:$O$120,15,0)),0,VLOOKUP($T$85,'TAR FIN'!$A$1:$O$120,15,0))</f>
        <v>62.65</v>
      </c>
      <c r="X85" s="6">
        <f>IF(ISERROR(VLOOKUP($U$85,'TAR FIN'!$A$1:$O$120,15,0)),0,VLOOKUP($U$85,'TAR FIN'!$A$1:$O$120,15,0))</f>
        <v>0</v>
      </c>
      <c r="Y85" s="6"/>
      <c r="Z85" s="6">
        <f ca="1">('TUSD BE'!$AM$7+'TUSD BF'!$AM$7+'TUSD CVA'!$AM$7)*1</f>
        <v>64.02214134768171</v>
      </c>
      <c r="AA85" s="6"/>
      <c r="AB85" s="6">
        <f>$K$85*$V$85</f>
        <v>0</v>
      </c>
      <c r="AC85" s="6">
        <f>$M$85*$W$85</f>
        <v>1977011.3418999999</v>
      </c>
      <c r="AD85" s="6">
        <f>$O$85*$X$85</f>
        <v>0</v>
      </c>
      <c r="AE85" s="6">
        <f>$K$85*$Y$85</f>
        <v>0</v>
      </c>
      <c r="AF85" s="6">
        <f ca="1">$M$85*$Z$85</f>
        <v>2020311.246242485</v>
      </c>
      <c r="AG85" s="6">
        <f>$O$85*$AA$85</f>
        <v>0</v>
      </c>
    </row>
    <row r="86" spans="1:33" ht="11.25" customHeight="1" x14ac:dyDescent="0.25">
      <c r="A86" s="4" t="s">
        <v>21</v>
      </c>
      <c r="B86" s="4" t="s">
        <v>43</v>
      </c>
      <c r="C86" s="4" t="s">
        <v>41</v>
      </c>
      <c r="D86" s="4" t="s">
        <v>40</v>
      </c>
      <c r="E86" s="4" t="s">
        <v>25</v>
      </c>
      <c r="F86" s="4" t="s">
        <v>25</v>
      </c>
      <c r="G86" s="4" t="s">
        <v>25</v>
      </c>
      <c r="H86" s="4" t="s">
        <v>35</v>
      </c>
      <c r="I86" s="5">
        <v>43739</v>
      </c>
      <c r="J86" s="6">
        <v>21000</v>
      </c>
      <c r="K86" s="6">
        <v>21000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4" t="s">
        <v>60</v>
      </c>
      <c r="R86" s="4">
        <v>0</v>
      </c>
      <c r="S86" s="6">
        <v>1</v>
      </c>
      <c r="T86" s="6">
        <v>0</v>
      </c>
      <c r="U86" s="6">
        <v>0</v>
      </c>
      <c r="V86" s="6">
        <f>IF(ISERROR(VLOOKUP($S$86,'TAR FIN'!$A$1:$O$120,15,0)),0,VLOOKUP($S$86,'TAR FIN'!$A$1:$O$120,15,0))</f>
        <v>9.4700000000000006</v>
      </c>
      <c r="W86" s="6">
        <f>IF(ISERROR(VLOOKUP($T$86,'TAR FIN'!$A$1:$O$120,15,0)),0,VLOOKUP($T$86,'TAR FIN'!$A$1:$O$120,15,0))</f>
        <v>0</v>
      </c>
      <c r="X86" s="6">
        <f>IF(ISERROR(VLOOKUP($U$86,'TAR FIN'!$A$1:$O$120,15,0)),0,VLOOKUP($U$86,'TAR FIN'!$A$1:$O$120,15,0))</f>
        <v>0</v>
      </c>
      <c r="Y86" s="6">
        <f ca="1">('TUSD BE'!$AM$5+'TUSD BF'!$AM$5+'TUSD CVA'!$AM$5)*1</f>
        <v>13.276513797445094</v>
      </c>
      <c r="Z86" s="6">
        <f ca="1">('TUSD BE'!$AM$7+'TUSD BF'!$AM$7+'TUSD CVA'!$AM$7)*1</f>
        <v>64.02214134768171</v>
      </c>
      <c r="AA86" s="6"/>
      <c r="AB86" s="6">
        <f>$K$86*$V$86</f>
        <v>198870</v>
      </c>
      <c r="AC86" s="6">
        <f>$M$86*$W$86</f>
        <v>0</v>
      </c>
      <c r="AD86" s="6">
        <f>$O$86*$X$86</f>
        <v>0</v>
      </c>
      <c r="AE86" s="6">
        <f ca="1">$K$86*$Y$86</f>
        <v>278806.789746347</v>
      </c>
      <c r="AF86" s="6">
        <f ca="1">$M$86*$Z$86</f>
        <v>0</v>
      </c>
      <c r="AG86" s="6">
        <f>$O$86*$AA$86</f>
        <v>0</v>
      </c>
    </row>
    <row r="87" spans="1:33" ht="11.25" customHeight="1" x14ac:dyDescent="0.25">
      <c r="A87" s="4" t="s">
        <v>21</v>
      </c>
      <c r="B87" s="4" t="s">
        <v>43</v>
      </c>
      <c r="C87" s="4" t="s">
        <v>41</v>
      </c>
      <c r="D87" s="4" t="s">
        <v>40</v>
      </c>
      <c r="E87" s="4" t="s">
        <v>25</v>
      </c>
      <c r="F87" s="4" t="s">
        <v>25</v>
      </c>
      <c r="G87" s="4" t="s">
        <v>25</v>
      </c>
      <c r="H87" s="4" t="s">
        <v>35</v>
      </c>
      <c r="I87" s="5">
        <v>43770</v>
      </c>
      <c r="J87" s="6">
        <v>21000</v>
      </c>
      <c r="K87" s="6">
        <v>21000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4" t="s">
        <v>60</v>
      </c>
      <c r="R87" s="4">
        <v>0</v>
      </c>
      <c r="S87" s="6">
        <v>1</v>
      </c>
      <c r="T87" s="6">
        <v>0</v>
      </c>
      <c r="U87" s="6">
        <v>0</v>
      </c>
      <c r="V87" s="6">
        <f>IF(ISERROR(VLOOKUP($S$87,'TAR FIN'!$A$1:$O$120,15,0)),0,VLOOKUP($S$87,'TAR FIN'!$A$1:$O$120,15,0))</f>
        <v>9.4700000000000006</v>
      </c>
      <c r="W87" s="6">
        <f>IF(ISERROR(VLOOKUP($T$87,'TAR FIN'!$A$1:$O$120,15,0)),0,VLOOKUP($T$87,'TAR FIN'!$A$1:$O$120,15,0))</f>
        <v>0</v>
      </c>
      <c r="X87" s="6">
        <f>IF(ISERROR(VLOOKUP($U$87,'TAR FIN'!$A$1:$O$120,15,0)),0,VLOOKUP($U$87,'TAR FIN'!$A$1:$O$120,15,0))</f>
        <v>0</v>
      </c>
      <c r="Y87" s="6">
        <f ca="1">('TUSD BE'!$AM$5+'TUSD BF'!$AM$5+'TUSD CVA'!$AM$5)*1</f>
        <v>13.276513797445094</v>
      </c>
      <c r="Z87" s="6">
        <f ca="1">('TUSD BE'!$AM$7+'TUSD BF'!$AM$7+'TUSD CVA'!$AM$7)*1</f>
        <v>64.02214134768171</v>
      </c>
      <c r="AA87" s="6"/>
      <c r="AB87" s="6">
        <f>$K$87*$V$87</f>
        <v>198870</v>
      </c>
      <c r="AC87" s="6">
        <f>$M$87*$W$87</f>
        <v>0</v>
      </c>
      <c r="AD87" s="6">
        <f>$O$87*$X$87</f>
        <v>0</v>
      </c>
      <c r="AE87" s="6">
        <f ca="1">$K$87*$Y$87</f>
        <v>278806.789746347</v>
      </c>
      <c r="AF87" s="6">
        <f ca="1">$M$87*$Z$87</f>
        <v>0</v>
      </c>
      <c r="AG87" s="6">
        <f>$O$87*$AA$87</f>
        <v>0</v>
      </c>
    </row>
    <row r="88" spans="1:33" ht="11.25" customHeight="1" x14ac:dyDescent="0.25">
      <c r="A88" s="4" t="s">
        <v>21</v>
      </c>
      <c r="B88" s="4" t="s">
        <v>43</v>
      </c>
      <c r="C88" s="4" t="s">
        <v>41</v>
      </c>
      <c r="D88" s="4" t="s">
        <v>40</v>
      </c>
      <c r="E88" s="4" t="s">
        <v>25</v>
      </c>
      <c r="F88" s="4" t="s">
        <v>25</v>
      </c>
      <c r="G88" s="4" t="s">
        <v>25</v>
      </c>
      <c r="H88" s="4" t="s">
        <v>35</v>
      </c>
      <c r="I88" s="5">
        <v>43800</v>
      </c>
      <c r="J88" s="6">
        <v>21000</v>
      </c>
      <c r="K88" s="6">
        <v>21000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4" t="s">
        <v>60</v>
      </c>
      <c r="R88" s="4">
        <v>0</v>
      </c>
      <c r="S88" s="6">
        <v>1</v>
      </c>
      <c r="T88" s="6">
        <v>0</v>
      </c>
      <c r="U88" s="6">
        <v>0</v>
      </c>
      <c r="V88" s="6">
        <f>IF(ISERROR(VLOOKUP($S$88,'TAR FIN'!$A$1:$O$120,15,0)),0,VLOOKUP($S$88,'TAR FIN'!$A$1:$O$120,15,0))</f>
        <v>9.4700000000000006</v>
      </c>
      <c r="W88" s="6">
        <f>IF(ISERROR(VLOOKUP($T$88,'TAR FIN'!$A$1:$O$120,15,0)),0,VLOOKUP($T$88,'TAR FIN'!$A$1:$O$120,15,0))</f>
        <v>0</v>
      </c>
      <c r="X88" s="6">
        <f>IF(ISERROR(VLOOKUP($U$88,'TAR FIN'!$A$1:$O$120,15,0)),0,VLOOKUP($U$88,'TAR FIN'!$A$1:$O$120,15,0))</f>
        <v>0</v>
      </c>
      <c r="Y88" s="6">
        <f ca="1">('TUSD BE'!$AM$5+'TUSD BF'!$AM$5+'TUSD CVA'!$AM$5)*1</f>
        <v>13.276513797445094</v>
      </c>
      <c r="Z88" s="6">
        <f ca="1">('TUSD BE'!$AM$7+'TUSD BF'!$AM$7+'TUSD CVA'!$AM$7)*1</f>
        <v>64.02214134768171</v>
      </c>
      <c r="AA88" s="6"/>
      <c r="AB88" s="6">
        <f>$K$88*$V$88</f>
        <v>198870</v>
      </c>
      <c r="AC88" s="6">
        <f>$M$88*$W$88</f>
        <v>0</v>
      </c>
      <c r="AD88" s="6">
        <f>$O$88*$X$88</f>
        <v>0</v>
      </c>
      <c r="AE88" s="6">
        <f ca="1">$K$88*$Y$88</f>
        <v>278806.789746347</v>
      </c>
      <c r="AF88" s="6">
        <f ca="1">$M$88*$Z$88</f>
        <v>0</v>
      </c>
      <c r="AG88" s="6">
        <f>$O$88*$AA$88</f>
        <v>0</v>
      </c>
    </row>
    <row r="89" spans="1:33" ht="11.25" customHeight="1" x14ac:dyDescent="0.25">
      <c r="A89" s="4" t="s">
        <v>21</v>
      </c>
      <c r="B89" s="4" t="s">
        <v>43</v>
      </c>
      <c r="C89" s="4" t="s">
        <v>41</v>
      </c>
      <c r="D89" s="4" t="s">
        <v>40</v>
      </c>
      <c r="E89" s="4" t="s">
        <v>25</v>
      </c>
      <c r="F89" s="4" t="s">
        <v>25</v>
      </c>
      <c r="G89" s="4" t="s">
        <v>25</v>
      </c>
      <c r="H89" s="4" t="s">
        <v>35</v>
      </c>
      <c r="I89" s="5">
        <v>43831</v>
      </c>
      <c r="J89" s="6">
        <v>21000</v>
      </c>
      <c r="K89" s="6">
        <v>21000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4" t="s">
        <v>60</v>
      </c>
      <c r="R89" s="4">
        <v>0</v>
      </c>
      <c r="S89" s="6">
        <v>1</v>
      </c>
      <c r="T89" s="6">
        <v>0</v>
      </c>
      <c r="U89" s="6">
        <v>0</v>
      </c>
      <c r="V89" s="6">
        <f>IF(ISERROR(VLOOKUP($S$89,'TAR FIN'!$A$1:$O$120,15,0)),0,VLOOKUP($S$89,'TAR FIN'!$A$1:$O$120,15,0))</f>
        <v>9.4700000000000006</v>
      </c>
      <c r="W89" s="6">
        <f>IF(ISERROR(VLOOKUP($T$89,'TAR FIN'!$A$1:$O$120,15,0)),0,VLOOKUP($T$89,'TAR FIN'!$A$1:$O$120,15,0))</f>
        <v>0</v>
      </c>
      <c r="X89" s="6">
        <f>IF(ISERROR(VLOOKUP($U$89,'TAR FIN'!$A$1:$O$120,15,0)),0,VLOOKUP($U$89,'TAR FIN'!$A$1:$O$120,15,0))</f>
        <v>0</v>
      </c>
      <c r="Y89" s="6">
        <f ca="1">('TUSD BE'!$AM$5+'TUSD BF'!$AM$5+'TUSD CVA'!$AM$5)*1</f>
        <v>13.276513797445094</v>
      </c>
      <c r="Z89" s="6">
        <f ca="1">('TUSD BE'!$AM$7+'TUSD BF'!$AM$7+'TUSD CVA'!$AM$7)*1</f>
        <v>64.02214134768171</v>
      </c>
      <c r="AA89" s="6"/>
      <c r="AB89" s="6">
        <f>$K$89*$V$89</f>
        <v>198870</v>
      </c>
      <c r="AC89" s="6">
        <f>$M$89*$W$89</f>
        <v>0</v>
      </c>
      <c r="AD89" s="6">
        <f>$O$89*$X$89</f>
        <v>0</v>
      </c>
      <c r="AE89" s="6">
        <f ca="1">$K$89*$Y$89</f>
        <v>278806.789746347</v>
      </c>
      <c r="AF89" s="6">
        <f ca="1">$M$89*$Z$89</f>
        <v>0</v>
      </c>
      <c r="AG89" s="6">
        <f>$O$89*$AA$89</f>
        <v>0</v>
      </c>
    </row>
    <row r="90" spans="1:33" ht="11.25" customHeight="1" x14ac:dyDescent="0.25">
      <c r="A90" s="4" t="s">
        <v>21</v>
      </c>
      <c r="B90" s="4" t="s">
        <v>43</v>
      </c>
      <c r="C90" s="4" t="s">
        <v>41</v>
      </c>
      <c r="D90" s="4" t="s">
        <v>40</v>
      </c>
      <c r="E90" s="4" t="s">
        <v>25</v>
      </c>
      <c r="F90" s="4" t="s">
        <v>25</v>
      </c>
      <c r="G90" s="4" t="s">
        <v>25</v>
      </c>
      <c r="H90" s="4" t="s">
        <v>35</v>
      </c>
      <c r="I90" s="5">
        <v>43862</v>
      </c>
      <c r="J90" s="6">
        <v>21000</v>
      </c>
      <c r="K90" s="6">
        <v>21000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4" t="s">
        <v>60</v>
      </c>
      <c r="R90" s="4">
        <v>0</v>
      </c>
      <c r="S90" s="6">
        <v>1</v>
      </c>
      <c r="T90" s="6">
        <v>0</v>
      </c>
      <c r="U90" s="6">
        <v>0</v>
      </c>
      <c r="V90" s="6">
        <f>IF(ISERROR(VLOOKUP($S$90,'TAR FIN'!$A$1:$O$120,15,0)),0,VLOOKUP($S$90,'TAR FIN'!$A$1:$O$120,15,0))</f>
        <v>9.4700000000000006</v>
      </c>
      <c r="W90" s="6">
        <f>IF(ISERROR(VLOOKUP($T$90,'TAR FIN'!$A$1:$O$120,15,0)),0,VLOOKUP($T$90,'TAR FIN'!$A$1:$O$120,15,0))</f>
        <v>0</v>
      </c>
      <c r="X90" s="6">
        <f>IF(ISERROR(VLOOKUP($U$90,'TAR FIN'!$A$1:$O$120,15,0)),0,VLOOKUP($U$90,'TAR FIN'!$A$1:$O$120,15,0))</f>
        <v>0</v>
      </c>
      <c r="Y90" s="6">
        <f ca="1">('TUSD BE'!$AM$5+'TUSD BF'!$AM$5+'TUSD CVA'!$AM$5)*1</f>
        <v>13.276513797445094</v>
      </c>
      <c r="Z90" s="6">
        <f ca="1">('TUSD BE'!$AM$7+'TUSD BF'!$AM$7+'TUSD CVA'!$AM$7)*1</f>
        <v>64.02214134768171</v>
      </c>
      <c r="AA90" s="6"/>
      <c r="AB90" s="6">
        <f>$K$90*$V$90</f>
        <v>198870</v>
      </c>
      <c r="AC90" s="6">
        <f>$M$90*$W$90</f>
        <v>0</v>
      </c>
      <c r="AD90" s="6">
        <f>$O$90*$X$90</f>
        <v>0</v>
      </c>
      <c r="AE90" s="6">
        <f ca="1">$K$90*$Y$90</f>
        <v>278806.789746347</v>
      </c>
      <c r="AF90" s="6">
        <f ca="1">$M$90*$Z$90</f>
        <v>0</v>
      </c>
      <c r="AG90" s="6">
        <f>$O$90*$AA$90</f>
        <v>0</v>
      </c>
    </row>
    <row r="91" spans="1:33" ht="11.25" customHeight="1" x14ac:dyDescent="0.25">
      <c r="A91" s="4" t="s">
        <v>21</v>
      </c>
      <c r="B91" s="4" t="s">
        <v>43</v>
      </c>
      <c r="C91" s="4" t="s">
        <v>41</v>
      </c>
      <c r="D91" s="4" t="s">
        <v>40</v>
      </c>
      <c r="E91" s="4" t="s">
        <v>25</v>
      </c>
      <c r="F91" s="4" t="s">
        <v>25</v>
      </c>
      <c r="G91" s="4" t="s">
        <v>25</v>
      </c>
      <c r="H91" s="4" t="s">
        <v>35</v>
      </c>
      <c r="I91" s="5">
        <v>43891</v>
      </c>
      <c r="J91" s="6">
        <v>21000</v>
      </c>
      <c r="K91" s="6">
        <v>21000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4" t="s">
        <v>60</v>
      </c>
      <c r="R91" s="4">
        <v>0</v>
      </c>
      <c r="S91" s="6">
        <v>1</v>
      </c>
      <c r="T91" s="6">
        <v>0</v>
      </c>
      <c r="U91" s="6">
        <v>0</v>
      </c>
      <c r="V91" s="6">
        <f>IF(ISERROR(VLOOKUP($S$91,'TAR FIN'!$A$1:$O$120,15,0)),0,VLOOKUP($S$91,'TAR FIN'!$A$1:$O$120,15,0))</f>
        <v>9.4700000000000006</v>
      </c>
      <c r="W91" s="6">
        <f>IF(ISERROR(VLOOKUP($T$91,'TAR FIN'!$A$1:$O$120,15,0)),0,VLOOKUP($T$91,'TAR FIN'!$A$1:$O$120,15,0))</f>
        <v>0</v>
      </c>
      <c r="X91" s="6">
        <f>IF(ISERROR(VLOOKUP($U$91,'TAR FIN'!$A$1:$O$120,15,0)),0,VLOOKUP($U$91,'TAR FIN'!$A$1:$O$120,15,0))</f>
        <v>0</v>
      </c>
      <c r="Y91" s="6">
        <f ca="1">('TUSD BE'!$AM$5+'TUSD BF'!$AM$5+'TUSD CVA'!$AM$5)*1</f>
        <v>13.276513797445094</v>
      </c>
      <c r="Z91" s="6">
        <f ca="1">('TUSD BE'!$AM$7+'TUSD BF'!$AM$7+'TUSD CVA'!$AM$7)*1</f>
        <v>64.02214134768171</v>
      </c>
      <c r="AA91" s="6"/>
      <c r="AB91" s="6">
        <f>$K$91*$V$91</f>
        <v>198870</v>
      </c>
      <c r="AC91" s="6">
        <f>$M$91*$W$91</f>
        <v>0</v>
      </c>
      <c r="AD91" s="6">
        <f>$O$91*$X$91</f>
        <v>0</v>
      </c>
      <c r="AE91" s="6">
        <f ca="1">$K$91*$Y$91</f>
        <v>278806.789746347</v>
      </c>
      <c r="AF91" s="6">
        <f ca="1">$M$91*$Z$91</f>
        <v>0</v>
      </c>
      <c r="AG91" s="6">
        <f>$O$91*$AA$91</f>
        <v>0</v>
      </c>
    </row>
    <row r="92" spans="1:33" ht="11.25" customHeight="1" x14ac:dyDescent="0.25">
      <c r="A92" s="4" t="s">
        <v>21</v>
      </c>
      <c r="B92" s="4" t="s">
        <v>43</v>
      </c>
      <c r="C92" s="4" t="s">
        <v>41</v>
      </c>
      <c r="D92" s="4" t="s">
        <v>40</v>
      </c>
      <c r="E92" s="4" t="s">
        <v>25</v>
      </c>
      <c r="F92" s="4" t="s">
        <v>25</v>
      </c>
      <c r="G92" s="4" t="s">
        <v>25</v>
      </c>
      <c r="H92" s="4" t="s">
        <v>35</v>
      </c>
      <c r="I92" s="5">
        <v>43922</v>
      </c>
      <c r="J92" s="6">
        <v>21000</v>
      </c>
      <c r="K92" s="6">
        <v>21000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4" t="s">
        <v>60</v>
      </c>
      <c r="R92" s="4">
        <v>0</v>
      </c>
      <c r="S92" s="6">
        <v>1</v>
      </c>
      <c r="T92" s="6">
        <v>0</v>
      </c>
      <c r="U92" s="6">
        <v>0</v>
      </c>
      <c r="V92" s="6">
        <f>IF(ISERROR(VLOOKUP($S$92,'TAR FIN'!$A$1:$O$120,15,0)),0,VLOOKUP($S$92,'TAR FIN'!$A$1:$O$120,15,0))</f>
        <v>9.4700000000000006</v>
      </c>
      <c r="W92" s="6">
        <f>IF(ISERROR(VLOOKUP($T$92,'TAR FIN'!$A$1:$O$120,15,0)),0,VLOOKUP($T$92,'TAR FIN'!$A$1:$O$120,15,0))</f>
        <v>0</v>
      </c>
      <c r="X92" s="6">
        <f>IF(ISERROR(VLOOKUP($U$92,'TAR FIN'!$A$1:$O$120,15,0)),0,VLOOKUP($U$92,'TAR FIN'!$A$1:$O$120,15,0))</f>
        <v>0</v>
      </c>
      <c r="Y92" s="6">
        <f ca="1">('TUSD BE'!$AM$5+'TUSD BF'!$AM$5+'TUSD CVA'!$AM$5)*1</f>
        <v>13.276513797445094</v>
      </c>
      <c r="Z92" s="6">
        <f ca="1">('TUSD BE'!$AM$7+'TUSD BF'!$AM$7+'TUSD CVA'!$AM$7)*1</f>
        <v>64.02214134768171</v>
      </c>
      <c r="AA92" s="6"/>
      <c r="AB92" s="6">
        <f>$K$92*$V$92</f>
        <v>198870</v>
      </c>
      <c r="AC92" s="6">
        <f>$M$92*$W$92</f>
        <v>0</v>
      </c>
      <c r="AD92" s="6">
        <f>$O$92*$X$92</f>
        <v>0</v>
      </c>
      <c r="AE92" s="6">
        <f ca="1">$K$92*$Y$92</f>
        <v>278806.789746347</v>
      </c>
      <c r="AF92" s="6">
        <f ca="1">$M$92*$Z$92</f>
        <v>0</v>
      </c>
      <c r="AG92" s="6">
        <f>$O$92*$AA$92</f>
        <v>0</v>
      </c>
    </row>
    <row r="93" spans="1:33" ht="11.25" customHeight="1" x14ac:dyDescent="0.25">
      <c r="A93" s="4" t="s">
        <v>21</v>
      </c>
      <c r="B93" s="4" t="s">
        <v>43</v>
      </c>
      <c r="C93" s="4" t="s">
        <v>41</v>
      </c>
      <c r="D93" s="4" t="s">
        <v>40</v>
      </c>
      <c r="E93" s="4" t="s">
        <v>25</v>
      </c>
      <c r="F93" s="4" t="s">
        <v>25</v>
      </c>
      <c r="G93" s="4" t="s">
        <v>25</v>
      </c>
      <c r="H93" s="4" t="s">
        <v>35</v>
      </c>
      <c r="I93" s="5">
        <v>43952</v>
      </c>
      <c r="J93" s="6">
        <v>21000</v>
      </c>
      <c r="K93" s="6">
        <v>21000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4" t="s">
        <v>60</v>
      </c>
      <c r="R93" s="4">
        <v>0</v>
      </c>
      <c r="S93" s="6">
        <v>1</v>
      </c>
      <c r="T93" s="6">
        <v>0</v>
      </c>
      <c r="U93" s="6">
        <v>0</v>
      </c>
      <c r="V93" s="6">
        <f>IF(ISERROR(VLOOKUP($S$93,'TAR FIN'!$A$1:$O$120,15,0)),0,VLOOKUP($S$93,'TAR FIN'!$A$1:$O$120,15,0))</f>
        <v>9.4700000000000006</v>
      </c>
      <c r="W93" s="6">
        <f>IF(ISERROR(VLOOKUP($T$93,'TAR FIN'!$A$1:$O$120,15,0)),0,VLOOKUP($T$93,'TAR FIN'!$A$1:$O$120,15,0))</f>
        <v>0</v>
      </c>
      <c r="X93" s="6">
        <f>IF(ISERROR(VLOOKUP($U$93,'TAR FIN'!$A$1:$O$120,15,0)),0,VLOOKUP($U$93,'TAR FIN'!$A$1:$O$120,15,0))</f>
        <v>0</v>
      </c>
      <c r="Y93" s="6">
        <f ca="1">('TUSD BE'!$AM$5+'TUSD BF'!$AM$5+'TUSD CVA'!$AM$5)*1</f>
        <v>13.276513797445094</v>
      </c>
      <c r="Z93" s="6">
        <f ca="1">('TUSD BE'!$AM$7+'TUSD BF'!$AM$7+'TUSD CVA'!$AM$7)*1</f>
        <v>64.02214134768171</v>
      </c>
      <c r="AA93" s="6"/>
      <c r="AB93" s="6">
        <f>$K$93*$V$93</f>
        <v>198870</v>
      </c>
      <c r="AC93" s="6">
        <f>$M$93*$W$93</f>
        <v>0</v>
      </c>
      <c r="AD93" s="6">
        <f>$O$93*$X$93</f>
        <v>0</v>
      </c>
      <c r="AE93" s="6">
        <f ca="1">$K$93*$Y$93</f>
        <v>278806.789746347</v>
      </c>
      <c r="AF93" s="6">
        <f ca="1">$M$93*$Z$93</f>
        <v>0</v>
      </c>
      <c r="AG93" s="6">
        <f>$O$93*$AA$93</f>
        <v>0</v>
      </c>
    </row>
    <row r="94" spans="1:33" ht="11.25" customHeight="1" x14ac:dyDescent="0.25">
      <c r="A94" s="4" t="s">
        <v>21</v>
      </c>
      <c r="B94" s="4" t="s">
        <v>43</v>
      </c>
      <c r="C94" s="4" t="s">
        <v>41</v>
      </c>
      <c r="D94" s="4" t="s">
        <v>40</v>
      </c>
      <c r="E94" s="4" t="s">
        <v>25</v>
      </c>
      <c r="F94" s="4" t="s">
        <v>25</v>
      </c>
      <c r="G94" s="4" t="s">
        <v>25</v>
      </c>
      <c r="H94" s="4" t="s">
        <v>35</v>
      </c>
      <c r="I94" s="5">
        <v>43983</v>
      </c>
      <c r="J94" s="6">
        <v>21000</v>
      </c>
      <c r="K94" s="6">
        <v>21000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4" t="s">
        <v>60</v>
      </c>
      <c r="R94" s="4">
        <v>0</v>
      </c>
      <c r="S94" s="6">
        <v>1</v>
      </c>
      <c r="T94" s="6">
        <v>0</v>
      </c>
      <c r="U94" s="6">
        <v>0</v>
      </c>
      <c r="V94" s="6">
        <f>IF(ISERROR(VLOOKUP($S$94,'TAR FIN'!$A$1:$O$120,15,0)),0,VLOOKUP($S$94,'TAR FIN'!$A$1:$O$120,15,0))</f>
        <v>9.4700000000000006</v>
      </c>
      <c r="W94" s="6">
        <f>IF(ISERROR(VLOOKUP($T$94,'TAR FIN'!$A$1:$O$120,15,0)),0,VLOOKUP($T$94,'TAR FIN'!$A$1:$O$120,15,0))</f>
        <v>0</v>
      </c>
      <c r="X94" s="6">
        <f>IF(ISERROR(VLOOKUP($U$94,'TAR FIN'!$A$1:$O$120,15,0)),0,VLOOKUP($U$94,'TAR FIN'!$A$1:$O$120,15,0))</f>
        <v>0</v>
      </c>
      <c r="Y94" s="6">
        <f ca="1">('TUSD BE'!$AM$5+'TUSD BF'!$AM$5+'TUSD CVA'!$AM$5)*1</f>
        <v>13.276513797445094</v>
      </c>
      <c r="Z94" s="6">
        <f ca="1">('TUSD BE'!$AM$7+'TUSD BF'!$AM$7+'TUSD CVA'!$AM$7)*1</f>
        <v>64.02214134768171</v>
      </c>
      <c r="AA94" s="6"/>
      <c r="AB94" s="6">
        <f>$K$94*$V$94</f>
        <v>198870</v>
      </c>
      <c r="AC94" s="6">
        <f>$M$94*$W$94</f>
        <v>0</v>
      </c>
      <c r="AD94" s="6">
        <f>$O$94*$X$94</f>
        <v>0</v>
      </c>
      <c r="AE94" s="6">
        <f ca="1">$K$94*$Y$94</f>
        <v>278806.789746347</v>
      </c>
      <c r="AF94" s="6">
        <f ca="1">$M$94*$Z$94</f>
        <v>0</v>
      </c>
      <c r="AG94" s="6">
        <f>$O$94*$AA$94</f>
        <v>0</v>
      </c>
    </row>
    <row r="95" spans="1:33" ht="11.25" customHeight="1" x14ac:dyDescent="0.25">
      <c r="A95" s="4" t="s">
        <v>21</v>
      </c>
      <c r="B95" s="4" t="s">
        <v>43</v>
      </c>
      <c r="C95" s="4" t="s">
        <v>41</v>
      </c>
      <c r="D95" s="4" t="s">
        <v>40</v>
      </c>
      <c r="E95" s="4" t="s">
        <v>25</v>
      </c>
      <c r="F95" s="4" t="s">
        <v>25</v>
      </c>
      <c r="G95" s="4" t="s">
        <v>25</v>
      </c>
      <c r="H95" s="4" t="s">
        <v>35</v>
      </c>
      <c r="I95" s="5">
        <v>44013</v>
      </c>
      <c r="J95" s="6">
        <v>21000</v>
      </c>
      <c r="K95" s="6">
        <v>21000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4" t="s">
        <v>60</v>
      </c>
      <c r="R95" s="4">
        <v>0</v>
      </c>
      <c r="S95" s="6">
        <v>1</v>
      </c>
      <c r="T95" s="6">
        <v>0</v>
      </c>
      <c r="U95" s="6">
        <v>0</v>
      </c>
      <c r="V95" s="6">
        <f>IF(ISERROR(VLOOKUP($S$95,'TAR FIN'!$A$1:$O$120,15,0)),0,VLOOKUP($S$95,'TAR FIN'!$A$1:$O$120,15,0))</f>
        <v>9.4700000000000006</v>
      </c>
      <c r="W95" s="6">
        <f>IF(ISERROR(VLOOKUP($T$95,'TAR FIN'!$A$1:$O$120,15,0)),0,VLOOKUP($T$95,'TAR FIN'!$A$1:$O$120,15,0))</f>
        <v>0</v>
      </c>
      <c r="X95" s="6">
        <f>IF(ISERROR(VLOOKUP($U$95,'TAR FIN'!$A$1:$O$120,15,0)),0,VLOOKUP($U$95,'TAR FIN'!$A$1:$O$120,15,0))</f>
        <v>0</v>
      </c>
      <c r="Y95" s="6">
        <f ca="1">('TUSD BE'!$AM$5+'TUSD BF'!$AM$5+'TUSD CVA'!$AM$5)*1</f>
        <v>13.276513797445094</v>
      </c>
      <c r="Z95" s="6">
        <f ca="1">('TUSD BE'!$AM$7+'TUSD BF'!$AM$7+'TUSD CVA'!$AM$7)*1</f>
        <v>64.02214134768171</v>
      </c>
      <c r="AA95" s="6"/>
      <c r="AB95" s="6">
        <f>$K$95*$V$95</f>
        <v>198870</v>
      </c>
      <c r="AC95" s="6">
        <f>$M$95*$W$95</f>
        <v>0</v>
      </c>
      <c r="AD95" s="6">
        <f>$O$95*$X$95</f>
        <v>0</v>
      </c>
      <c r="AE95" s="6">
        <f ca="1">$K$95*$Y$95</f>
        <v>278806.789746347</v>
      </c>
      <c r="AF95" s="6">
        <f ca="1">$M$95*$Z$95</f>
        <v>0</v>
      </c>
      <c r="AG95" s="6">
        <f>$O$95*$AA$95</f>
        <v>0</v>
      </c>
    </row>
    <row r="96" spans="1:33" ht="11.25" customHeight="1" x14ac:dyDescent="0.25">
      <c r="A96" s="4" t="s">
        <v>21</v>
      </c>
      <c r="B96" s="4" t="s">
        <v>43</v>
      </c>
      <c r="C96" s="4" t="s">
        <v>41</v>
      </c>
      <c r="D96" s="4" t="s">
        <v>40</v>
      </c>
      <c r="E96" s="4" t="s">
        <v>25</v>
      </c>
      <c r="F96" s="4" t="s">
        <v>25</v>
      </c>
      <c r="G96" s="4" t="s">
        <v>25</v>
      </c>
      <c r="H96" s="4" t="s">
        <v>35</v>
      </c>
      <c r="I96" s="5">
        <v>44044</v>
      </c>
      <c r="J96" s="6">
        <v>21000</v>
      </c>
      <c r="K96" s="6">
        <v>21000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4" t="s">
        <v>60</v>
      </c>
      <c r="R96" s="4">
        <v>0</v>
      </c>
      <c r="S96" s="6">
        <v>1</v>
      </c>
      <c r="T96" s="6">
        <v>0</v>
      </c>
      <c r="U96" s="6">
        <v>0</v>
      </c>
      <c r="V96" s="6">
        <f>IF(ISERROR(VLOOKUP($S$96,'TAR FIN'!$A$1:$O$120,15,0)),0,VLOOKUP($S$96,'TAR FIN'!$A$1:$O$120,15,0))</f>
        <v>9.4700000000000006</v>
      </c>
      <c r="W96" s="6">
        <f>IF(ISERROR(VLOOKUP($T$96,'TAR FIN'!$A$1:$O$120,15,0)),0,VLOOKUP($T$96,'TAR FIN'!$A$1:$O$120,15,0))</f>
        <v>0</v>
      </c>
      <c r="X96" s="6">
        <f>IF(ISERROR(VLOOKUP($U$96,'TAR FIN'!$A$1:$O$120,15,0)),0,VLOOKUP($U$96,'TAR FIN'!$A$1:$O$120,15,0))</f>
        <v>0</v>
      </c>
      <c r="Y96" s="6">
        <f ca="1">('TUSD BE'!$AM$5+'TUSD BF'!$AM$5+'TUSD CVA'!$AM$5)*1</f>
        <v>13.276513797445094</v>
      </c>
      <c r="Z96" s="6">
        <f ca="1">('TUSD BE'!$AM$7+'TUSD BF'!$AM$7+'TUSD CVA'!$AM$7)*1</f>
        <v>64.02214134768171</v>
      </c>
      <c r="AA96" s="6"/>
      <c r="AB96" s="6">
        <f>$K$96*$V$96</f>
        <v>198870</v>
      </c>
      <c r="AC96" s="6">
        <f>$M$96*$W$96</f>
        <v>0</v>
      </c>
      <c r="AD96" s="6">
        <f>$O$96*$X$96</f>
        <v>0</v>
      </c>
      <c r="AE96" s="6">
        <f ca="1">$K$96*$Y$96</f>
        <v>278806.789746347</v>
      </c>
      <c r="AF96" s="6">
        <f ca="1">$M$96*$Z$96</f>
        <v>0</v>
      </c>
      <c r="AG96" s="6">
        <f>$O$96*$AA$96</f>
        <v>0</v>
      </c>
    </row>
    <row r="97" spans="1:33" ht="11.25" customHeight="1" x14ac:dyDescent="0.25">
      <c r="A97" s="4" t="s">
        <v>59</v>
      </c>
      <c r="B97" s="4" t="s">
        <v>43</v>
      </c>
      <c r="C97" s="4" t="s">
        <v>41</v>
      </c>
      <c r="D97" s="4" t="s">
        <v>40</v>
      </c>
      <c r="E97" s="4" t="s">
        <v>25</v>
      </c>
      <c r="F97" s="4" t="s">
        <v>25</v>
      </c>
      <c r="G97" s="4" t="s">
        <v>25</v>
      </c>
      <c r="H97" s="4" t="s">
        <v>35</v>
      </c>
      <c r="I97" s="5">
        <v>44075</v>
      </c>
      <c r="J97" s="6">
        <v>21000</v>
      </c>
      <c r="K97" s="6">
        <v>21000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4" t="s">
        <v>60</v>
      </c>
      <c r="R97" s="4">
        <v>0</v>
      </c>
      <c r="S97" s="6">
        <v>1</v>
      </c>
      <c r="T97" s="6">
        <v>0</v>
      </c>
      <c r="U97" s="6">
        <v>0</v>
      </c>
      <c r="V97" s="6">
        <f>IF(ISERROR(VLOOKUP($S$97,'TAR FIN'!$A$1:$O$120,15,0)),0,VLOOKUP($S$97,'TAR FIN'!$A$1:$O$120,15,0))</f>
        <v>9.4700000000000006</v>
      </c>
      <c r="W97" s="6">
        <f>IF(ISERROR(VLOOKUP($T$97,'TAR FIN'!$A$1:$O$120,15,0)),0,VLOOKUP($T$97,'TAR FIN'!$A$1:$O$120,15,0))</f>
        <v>0</v>
      </c>
      <c r="X97" s="6">
        <f>IF(ISERROR(VLOOKUP($U$97,'TAR FIN'!$A$1:$O$120,15,0)),0,VLOOKUP($U$97,'TAR FIN'!$A$1:$O$120,15,0))</f>
        <v>0</v>
      </c>
      <c r="Y97" s="6">
        <f ca="1">('TUSD BE'!$AM$5+'TUSD BF'!$AM$5+'TUSD CVA'!$AM$5)*1</f>
        <v>13.276513797445094</v>
      </c>
      <c r="Z97" s="6">
        <f ca="1">('TUSD BE'!$AM$7+'TUSD BF'!$AM$7+'TUSD CVA'!$AM$7)*1</f>
        <v>64.02214134768171</v>
      </c>
      <c r="AA97" s="6"/>
      <c r="AB97" s="6">
        <f>$K$97*$V$97</f>
        <v>198870</v>
      </c>
      <c r="AC97" s="6">
        <f>$M$97*$W$97</f>
        <v>0</v>
      </c>
      <c r="AD97" s="6">
        <f>$O$97*$X$97</f>
        <v>0</v>
      </c>
      <c r="AE97" s="6">
        <f ca="1">$K$97*$Y$97</f>
        <v>278806.789746347</v>
      </c>
      <c r="AF97" s="6">
        <f ca="1">$M$97*$Z$97</f>
        <v>0</v>
      </c>
      <c r="AG97" s="6">
        <f>$O$97*$AA$97</f>
        <v>0</v>
      </c>
    </row>
    <row r="98" spans="1:33" ht="11.25" customHeight="1" x14ac:dyDescent="0.25">
      <c r="A98" s="4" t="s">
        <v>21</v>
      </c>
      <c r="B98" s="4" t="s">
        <v>43</v>
      </c>
      <c r="C98" s="4" t="s">
        <v>41</v>
      </c>
      <c r="D98" s="4" t="s">
        <v>52</v>
      </c>
      <c r="E98" s="4" t="s">
        <v>53</v>
      </c>
      <c r="F98" s="4" t="s">
        <v>25</v>
      </c>
      <c r="G98" s="4" t="s">
        <v>25</v>
      </c>
      <c r="H98" s="4" t="s">
        <v>36</v>
      </c>
      <c r="I98" s="5">
        <v>43739</v>
      </c>
      <c r="J98" s="6">
        <v>18850</v>
      </c>
      <c r="K98" s="70">
        <v>18850</v>
      </c>
      <c r="L98" s="6">
        <v>8505.9789999999994</v>
      </c>
      <c r="M98" s="71">
        <v>8505.9789999999994</v>
      </c>
      <c r="N98" s="6">
        <v>8505.9789999999994</v>
      </c>
      <c r="O98" s="71">
        <v>8505.9789999999994</v>
      </c>
      <c r="P98" s="6">
        <v>0</v>
      </c>
      <c r="Q98" s="4" t="s">
        <v>26</v>
      </c>
      <c r="R98" s="4">
        <v>0</v>
      </c>
      <c r="S98" s="6">
        <v>2</v>
      </c>
      <c r="T98" s="6">
        <v>3</v>
      </c>
      <c r="U98" s="6">
        <v>78</v>
      </c>
      <c r="V98" s="71">
        <f>IF(ISERROR(VLOOKUP($S$98,'TAR FIN'!$A$1:$O$120,15,0)),0,VLOOKUP($S$98,'TAR FIN'!$A$1:$O$120,15,0))*(1-0.12)</f>
        <v>4.7520000000000007</v>
      </c>
      <c r="W98" s="71">
        <f>IF(ISERROR(VLOOKUP($T$98,'TAR FIN'!$A$1:$O$120,15,0)),0,VLOOKUP($T$98,'TAR FIN'!$A$1:$O$120,15,0))*(1-0.12)</f>
        <v>55.131999999999998</v>
      </c>
      <c r="X98" s="71">
        <f>IF(ISERROR(VLOOKUP($U$98,'TAR FIN'!$A$1:$O$120,15,0)),0,VLOOKUP($U$98,'TAR FIN'!$A$1:$O$120,15,0))*(1-0.12)</f>
        <v>225.61439999999999</v>
      </c>
      <c r="Y98" s="71">
        <f ca="1">('TUSD BE'!$AM$6+'TUSD BF'!$AM$6+'TUSD CVA'!$AM$6)*1*(1-0.09)</f>
        <v>7.5369582385975402</v>
      </c>
      <c r="Z98" s="71">
        <f ca="1">('TUSD BE'!$AM$7+'TUSD BF'!$AM$7+'TUSD CVA'!$AM$7)*1*(1-0.09)</f>
        <v>58.260148626390361</v>
      </c>
      <c r="AA98" s="71">
        <f>('TE BE'!$AA$6+'TE BF'!$AA$6+'TE CVA'!$AA$6)*1*(1-0.09)</f>
        <v>210.05913056249776</v>
      </c>
      <c r="AB98" s="6">
        <f>$K$98*$V$98</f>
        <v>89575.200000000012</v>
      </c>
      <c r="AC98" s="6">
        <f>$M$98*$W$98</f>
        <v>468951.63422799995</v>
      </c>
      <c r="AD98" s="6">
        <f>$O$98*$X$98</f>
        <v>1919071.3484975998</v>
      </c>
      <c r="AE98" s="6">
        <f ca="1">$K$98*$Y$98</f>
        <v>142071.66279756362</v>
      </c>
      <c r="AF98" s="6">
        <f ca="1">$M$98*$Z$98</f>
        <v>495559.60075295524</v>
      </c>
      <c r="AG98" s="6">
        <f>$O$98*$AA$98</f>
        <v>1786758.553322864</v>
      </c>
    </row>
    <row r="99" spans="1:33" ht="11.25" customHeight="1" x14ac:dyDescent="0.25">
      <c r="A99" s="4" t="s">
        <v>21</v>
      </c>
      <c r="B99" s="4" t="s">
        <v>43</v>
      </c>
      <c r="C99" s="4" t="s">
        <v>41</v>
      </c>
      <c r="D99" s="4" t="s">
        <v>52</v>
      </c>
      <c r="E99" s="4" t="s">
        <v>53</v>
      </c>
      <c r="F99" s="4" t="s">
        <v>25</v>
      </c>
      <c r="G99" s="4" t="s">
        <v>25</v>
      </c>
      <c r="H99" s="4" t="s">
        <v>36</v>
      </c>
      <c r="I99" s="5">
        <v>43770</v>
      </c>
      <c r="J99" s="6">
        <v>18850</v>
      </c>
      <c r="K99" s="70">
        <v>18850</v>
      </c>
      <c r="L99" s="6">
        <v>8596.7639999999992</v>
      </c>
      <c r="M99" s="71">
        <v>8596.7639999999992</v>
      </c>
      <c r="N99" s="6">
        <v>8596.7639999999992</v>
      </c>
      <c r="O99" s="71">
        <v>8596.7639999999992</v>
      </c>
      <c r="P99" s="6">
        <v>0</v>
      </c>
      <c r="Q99" s="4" t="s">
        <v>26</v>
      </c>
      <c r="R99" s="4">
        <v>0</v>
      </c>
      <c r="S99" s="6">
        <v>2</v>
      </c>
      <c r="T99" s="6">
        <v>3</v>
      </c>
      <c r="U99" s="6">
        <v>78</v>
      </c>
      <c r="V99" s="71">
        <f>IF(ISERROR(VLOOKUP($S$99,'TAR FIN'!$A$1:$O$120,15,0)),0,VLOOKUP($S$99,'TAR FIN'!$A$1:$O$120,15,0))*(1-0.12)</f>
        <v>4.7520000000000007</v>
      </c>
      <c r="W99" s="71">
        <f>IF(ISERROR(VLOOKUP($T$99,'TAR FIN'!$A$1:$O$120,15,0)),0,VLOOKUP($T$99,'TAR FIN'!$A$1:$O$120,15,0))*(1-0.12)</f>
        <v>55.131999999999998</v>
      </c>
      <c r="X99" s="71">
        <f>IF(ISERROR(VLOOKUP($U$99,'TAR FIN'!$A$1:$O$120,15,0)),0,VLOOKUP($U$99,'TAR FIN'!$A$1:$O$120,15,0))*(1-0.12)</f>
        <v>225.61439999999999</v>
      </c>
      <c r="Y99" s="71">
        <f ca="1">('TUSD BE'!$AM$6+'TUSD BF'!$AM$6+'TUSD CVA'!$AM$6)*1*(1-0.09)</f>
        <v>7.5369582385975402</v>
      </c>
      <c r="Z99" s="71">
        <f ca="1">('TUSD BE'!$AM$7+'TUSD BF'!$AM$7+'TUSD CVA'!$AM$7)*1*(1-0.09)</f>
        <v>58.260148626390361</v>
      </c>
      <c r="AA99" s="71">
        <f>('TE BE'!$AA$6+'TE BF'!$AA$6+'TE CVA'!$AA$6)*1*(1-0.09)</f>
        <v>210.05913056249776</v>
      </c>
      <c r="AB99" s="6">
        <f>$K$99*$V$99</f>
        <v>89575.200000000012</v>
      </c>
      <c r="AC99" s="6">
        <f>$M$99*$W$99</f>
        <v>473956.79284799995</v>
      </c>
      <c r="AD99" s="6">
        <f>$O$99*$X$99</f>
        <v>1939553.7518015997</v>
      </c>
      <c r="AE99" s="6">
        <f ca="1">$K$99*$Y$99</f>
        <v>142071.66279756362</v>
      </c>
      <c r="AF99" s="6">
        <f ca="1">$M$99*$Z$99</f>
        <v>500848.74834600207</v>
      </c>
      <c r="AG99" s="6">
        <f>$O$99*$AA$99</f>
        <v>1805828.7714909804</v>
      </c>
    </row>
    <row r="100" spans="1:33" ht="11.25" customHeight="1" x14ac:dyDescent="0.25">
      <c r="A100" s="4" t="s">
        <v>21</v>
      </c>
      <c r="B100" s="4" t="s">
        <v>43</v>
      </c>
      <c r="C100" s="4" t="s">
        <v>41</v>
      </c>
      <c r="D100" s="4" t="s">
        <v>52</v>
      </c>
      <c r="E100" s="4" t="s">
        <v>53</v>
      </c>
      <c r="F100" s="4" t="s">
        <v>25</v>
      </c>
      <c r="G100" s="4" t="s">
        <v>25</v>
      </c>
      <c r="H100" s="4" t="s">
        <v>36</v>
      </c>
      <c r="I100" s="5">
        <v>43800</v>
      </c>
      <c r="J100" s="6">
        <v>18850</v>
      </c>
      <c r="K100" s="70">
        <v>18850</v>
      </c>
      <c r="L100" s="6">
        <v>8015.4359999999997</v>
      </c>
      <c r="M100" s="71">
        <v>8015.4359999999997</v>
      </c>
      <c r="N100" s="6">
        <v>8015.4359999999997</v>
      </c>
      <c r="O100" s="71">
        <v>8015.4359999999997</v>
      </c>
      <c r="P100" s="6">
        <v>0</v>
      </c>
      <c r="Q100" s="4" t="s">
        <v>26</v>
      </c>
      <c r="R100" s="4">
        <v>0</v>
      </c>
      <c r="S100" s="6">
        <v>2</v>
      </c>
      <c r="T100" s="6">
        <v>3</v>
      </c>
      <c r="U100" s="6">
        <v>78</v>
      </c>
      <c r="V100" s="71">
        <f>IF(ISERROR(VLOOKUP($S$100,'TAR FIN'!$A$1:$O$120,15,0)),0,VLOOKUP($S$100,'TAR FIN'!$A$1:$O$120,15,0))*(1-0.12)</f>
        <v>4.7520000000000007</v>
      </c>
      <c r="W100" s="71">
        <f>IF(ISERROR(VLOOKUP($T$100,'TAR FIN'!$A$1:$O$120,15,0)),0,VLOOKUP($T$100,'TAR FIN'!$A$1:$O$120,15,0))*(1-0.12)</f>
        <v>55.131999999999998</v>
      </c>
      <c r="X100" s="71">
        <f>IF(ISERROR(VLOOKUP($U$100,'TAR FIN'!$A$1:$O$120,15,0)),0,VLOOKUP($U$100,'TAR FIN'!$A$1:$O$120,15,0))*(1-0.12)</f>
        <v>225.61439999999999</v>
      </c>
      <c r="Y100" s="71">
        <f ca="1">('TUSD BE'!$AM$6+'TUSD BF'!$AM$6+'TUSD CVA'!$AM$6)*1*(1-0.09)</f>
        <v>7.5369582385975402</v>
      </c>
      <c r="Z100" s="71">
        <f ca="1">('TUSD BE'!$AM$7+'TUSD BF'!$AM$7+'TUSD CVA'!$AM$7)*1*(1-0.09)</f>
        <v>58.260148626390361</v>
      </c>
      <c r="AA100" s="71">
        <f>('TE BE'!$AA$6+'TE BF'!$AA$6+'TE CVA'!$AA$6)*1*(1-0.09)</f>
        <v>210.05913056249776</v>
      </c>
      <c r="AB100" s="6">
        <f>$K$100*$V$100</f>
        <v>89575.200000000012</v>
      </c>
      <c r="AC100" s="6">
        <f>$M$100*$W$100</f>
        <v>441907.01755199995</v>
      </c>
      <c r="AD100" s="6">
        <f>$O$100*$X$100</f>
        <v>1808397.7838783998</v>
      </c>
      <c r="AE100" s="6">
        <f ca="1">$K$100*$Y$100</f>
        <v>142071.66279756362</v>
      </c>
      <c r="AF100" s="6">
        <f ca="1">$M$100*$Z$100</f>
        <v>466980.49266531982</v>
      </c>
      <c r="AG100" s="6">
        <f>$O$100*$AA$100</f>
        <v>1683715.5172393448</v>
      </c>
    </row>
    <row r="101" spans="1:33" ht="11.25" customHeight="1" x14ac:dyDescent="0.25">
      <c r="A101" s="4" t="s">
        <v>21</v>
      </c>
      <c r="B101" s="4" t="s">
        <v>43</v>
      </c>
      <c r="C101" s="4" t="s">
        <v>41</v>
      </c>
      <c r="D101" s="4" t="s">
        <v>52</v>
      </c>
      <c r="E101" s="4" t="s">
        <v>53</v>
      </c>
      <c r="F101" s="4" t="s">
        <v>25</v>
      </c>
      <c r="G101" s="4" t="s">
        <v>25</v>
      </c>
      <c r="H101" s="4" t="s">
        <v>36</v>
      </c>
      <c r="I101" s="5">
        <v>43831</v>
      </c>
      <c r="J101" s="6">
        <v>18850</v>
      </c>
      <c r="K101" s="70">
        <v>18850</v>
      </c>
      <c r="L101" s="6">
        <v>8228.0519999999997</v>
      </c>
      <c r="M101" s="71">
        <v>8228.0519999999997</v>
      </c>
      <c r="N101" s="6">
        <v>8228.0519999999997</v>
      </c>
      <c r="O101" s="71">
        <v>8228.0519999999997</v>
      </c>
      <c r="P101" s="6">
        <v>0</v>
      </c>
      <c r="Q101" s="4" t="s">
        <v>26</v>
      </c>
      <c r="R101" s="4">
        <v>0</v>
      </c>
      <c r="S101" s="6">
        <v>2</v>
      </c>
      <c r="T101" s="6">
        <v>3</v>
      </c>
      <c r="U101" s="6">
        <v>78</v>
      </c>
      <c r="V101" s="71">
        <f>IF(ISERROR(VLOOKUP($S$101,'TAR FIN'!$A$1:$O$120,15,0)),0,VLOOKUP($S$101,'TAR FIN'!$A$1:$O$120,15,0))*(1-0.12)</f>
        <v>4.7520000000000007</v>
      </c>
      <c r="W101" s="71">
        <f>IF(ISERROR(VLOOKUP($T$101,'TAR FIN'!$A$1:$O$120,15,0)),0,VLOOKUP($T$101,'TAR FIN'!$A$1:$O$120,15,0))*(1-0.12)</f>
        <v>55.131999999999998</v>
      </c>
      <c r="X101" s="71">
        <f>IF(ISERROR(VLOOKUP($U$101,'TAR FIN'!$A$1:$O$120,15,0)),0,VLOOKUP($U$101,'TAR FIN'!$A$1:$O$120,15,0))*(1-0.12)</f>
        <v>225.61439999999999</v>
      </c>
      <c r="Y101" s="71">
        <f ca="1">('TUSD BE'!$AM$6+'TUSD BF'!$AM$6+'TUSD CVA'!$AM$6)*1*(1-0.09)</f>
        <v>7.5369582385975402</v>
      </c>
      <c r="Z101" s="71">
        <f ca="1">('TUSD BE'!$AM$7+'TUSD BF'!$AM$7+'TUSD CVA'!$AM$7)*1*(1-0.09)</f>
        <v>58.260148626390361</v>
      </c>
      <c r="AA101" s="71">
        <f>('TE BE'!$AA$6+'TE BF'!$AA$6+'TE CVA'!$AA$6)*1*(1-0.09)</f>
        <v>210.05913056249776</v>
      </c>
      <c r="AB101" s="6">
        <f>$K$101*$V$101</f>
        <v>89575.200000000012</v>
      </c>
      <c r="AC101" s="6">
        <f>$M$101*$W$101</f>
        <v>453628.96286399994</v>
      </c>
      <c r="AD101" s="6">
        <f>$O$101*$X$101</f>
        <v>1856367.0151487999</v>
      </c>
      <c r="AE101" s="6">
        <f ca="1">$K$101*$Y$101</f>
        <v>142071.66279756362</v>
      </c>
      <c r="AF101" s="6">
        <f ca="1">$M$101*$Z$101</f>
        <v>479367.53242566844</v>
      </c>
      <c r="AG101" s="6">
        <f>$O$101*$AA$101</f>
        <v>1728377.4493430208</v>
      </c>
    </row>
    <row r="102" spans="1:33" ht="11.25" customHeight="1" x14ac:dyDescent="0.25">
      <c r="A102" s="4" t="s">
        <v>21</v>
      </c>
      <c r="B102" s="4" t="s">
        <v>43</v>
      </c>
      <c r="C102" s="4" t="s">
        <v>41</v>
      </c>
      <c r="D102" s="4" t="s">
        <v>52</v>
      </c>
      <c r="E102" s="4" t="s">
        <v>53</v>
      </c>
      <c r="F102" s="4" t="s">
        <v>25</v>
      </c>
      <c r="G102" s="4" t="s">
        <v>25</v>
      </c>
      <c r="H102" s="4" t="s">
        <v>36</v>
      </c>
      <c r="I102" s="5">
        <v>43862</v>
      </c>
      <c r="J102" s="6">
        <v>18850</v>
      </c>
      <c r="K102" s="70">
        <v>18850</v>
      </c>
      <c r="L102" s="6">
        <v>8347.3130000000001</v>
      </c>
      <c r="M102" s="71">
        <v>8347.3130000000001</v>
      </c>
      <c r="N102" s="6">
        <v>8347.3130000000001</v>
      </c>
      <c r="O102" s="71">
        <v>8347.3130000000001</v>
      </c>
      <c r="P102" s="6">
        <v>0</v>
      </c>
      <c r="Q102" s="4" t="s">
        <v>26</v>
      </c>
      <c r="R102" s="4">
        <v>0</v>
      </c>
      <c r="S102" s="6">
        <v>2</v>
      </c>
      <c r="T102" s="6">
        <v>3</v>
      </c>
      <c r="U102" s="6">
        <v>78</v>
      </c>
      <c r="V102" s="71">
        <f>IF(ISERROR(VLOOKUP($S$102,'TAR FIN'!$A$1:$O$120,15,0)),0,VLOOKUP($S$102,'TAR FIN'!$A$1:$O$120,15,0))*(1-0.12)</f>
        <v>4.7520000000000007</v>
      </c>
      <c r="W102" s="71">
        <f>IF(ISERROR(VLOOKUP($T$102,'TAR FIN'!$A$1:$O$120,15,0)),0,VLOOKUP($T$102,'TAR FIN'!$A$1:$O$120,15,0))*(1-0.12)</f>
        <v>55.131999999999998</v>
      </c>
      <c r="X102" s="71">
        <f>IF(ISERROR(VLOOKUP($U$102,'TAR FIN'!$A$1:$O$120,15,0)),0,VLOOKUP($U$102,'TAR FIN'!$A$1:$O$120,15,0))*(1-0.12)</f>
        <v>225.61439999999999</v>
      </c>
      <c r="Y102" s="71">
        <f ca="1">('TUSD BE'!$AM$6+'TUSD BF'!$AM$6+'TUSD CVA'!$AM$6)*1*(1-0.09)</f>
        <v>7.5369582385975402</v>
      </c>
      <c r="Z102" s="71">
        <f ca="1">('TUSD BE'!$AM$7+'TUSD BF'!$AM$7+'TUSD CVA'!$AM$7)*1*(1-0.09)</f>
        <v>58.260148626390361</v>
      </c>
      <c r="AA102" s="71">
        <f>('TE BE'!$AA$6+'TE BF'!$AA$6+'TE CVA'!$AA$6)*1*(1-0.09)</f>
        <v>210.05913056249776</v>
      </c>
      <c r="AB102" s="6">
        <f>$K$102*$V$102</f>
        <v>89575.200000000012</v>
      </c>
      <c r="AC102" s="6">
        <f>$M$102*$W$102</f>
        <v>460204.06031599996</v>
      </c>
      <c r="AD102" s="6">
        <f>$O$102*$X$102</f>
        <v>1883274.0141071999</v>
      </c>
      <c r="AE102" s="6">
        <f ca="1">$K$102*$Y$102</f>
        <v>142071.66279756362</v>
      </c>
      <c r="AF102" s="6">
        <f ca="1">$M$102*$Z$102</f>
        <v>486315.69601100043</v>
      </c>
      <c r="AG102" s="6">
        <f>$O$102*$AA$102</f>
        <v>1753429.311313035</v>
      </c>
    </row>
    <row r="103" spans="1:33" ht="11.25" customHeight="1" x14ac:dyDescent="0.25">
      <c r="A103" s="4" t="s">
        <v>21</v>
      </c>
      <c r="B103" s="4" t="s">
        <v>43</v>
      </c>
      <c r="C103" s="4" t="s">
        <v>41</v>
      </c>
      <c r="D103" s="4" t="s">
        <v>52</v>
      </c>
      <c r="E103" s="4" t="s">
        <v>53</v>
      </c>
      <c r="F103" s="4" t="s">
        <v>25</v>
      </c>
      <c r="G103" s="4" t="s">
        <v>25</v>
      </c>
      <c r="H103" s="4" t="s">
        <v>36</v>
      </c>
      <c r="I103" s="5">
        <v>43891</v>
      </c>
      <c r="J103" s="6">
        <v>18850</v>
      </c>
      <c r="K103" s="70">
        <v>18850</v>
      </c>
      <c r="L103" s="6">
        <v>7813.8</v>
      </c>
      <c r="M103" s="71">
        <v>7813.8</v>
      </c>
      <c r="N103" s="6">
        <v>7813.8</v>
      </c>
      <c r="O103" s="71">
        <v>7813.8</v>
      </c>
      <c r="P103" s="6">
        <v>0</v>
      </c>
      <c r="Q103" s="4" t="s">
        <v>26</v>
      </c>
      <c r="R103" s="4">
        <v>0</v>
      </c>
      <c r="S103" s="6">
        <v>2</v>
      </c>
      <c r="T103" s="6">
        <v>3</v>
      </c>
      <c r="U103" s="6">
        <v>78</v>
      </c>
      <c r="V103" s="71">
        <f>IF(ISERROR(VLOOKUP($S$103,'TAR FIN'!$A$1:$O$120,15,0)),0,VLOOKUP($S$103,'TAR FIN'!$A$1:$O$120,15,0))*(1-0.12)</f>
        <v>4.7520000000000007</v>
      </c>
      <c r="W103" s="71">
        <f>IF(ISERROR(VLOOKUP($T$103,'TAR FIN'!$A$1:$O$120,15,0)),0,VLOOKUP($T$103,'TAR FIN'!$A$1:$O$120,15,0))*(1-0.12)</f>
        <v>55.131999999999998</v>
      </c>
      <c r="X103" s="71">
        <f>IF(ISERROR(VLOOKUP($U$103,'TAR FIN'!$A$1:$O$120,15,0)),0,VLOOKUP($U$103,'TAR FIN'!$A$1:$O$120,15,0))*(1-0.12)</f>
        <v>225.61439999999999</v>
      </c>
      <c r="Y103" s="71">
        <f ca="1">('TUSD BE'!$AM$6+'TUSD BF'!$AM$6+'TUSD CVA'!$AM$6)*1*(1-0.09)</f>
        <v>7.5369582385975402</v>
      </c>
      <c r="Z103" s="71">
        <f ca="1">('TUSD BE'!$AM$7+'TUSD BF'!$AM$7+'TUSD CVA'!$AM$7)*1*(1-0.09)</f>
        <v>58.260148626390361</v>
      </c>
      <c r="AA103" s="71">
        <f>('TE BE'!$AA$6+'TE BF'!$AA$6+'TE CVA'!$AA$6)*1*(1-0.09)</f>
        <v>210.05913056249776</v>
      </c>
      <c r="AB103" s="6">
        <f>$K$103*$V$103</f>
        <v>89575.200000000012</v>
      </c>
      <c r="AC103" s="6">
        <f>$M$103*$W$103</f>
        <v>430790.4216</v>
      </c>
      <c r="AD103" s="6">
        <f>$O$103*$X$103</f>
        <v>1762905.7987199998</v>
      </c>
      <c r="AE103" s="6">
        <f ca="1">$K$103*$Y$103</f>
        <v>142071.66279756362</v>
      </c>
      <c r="AF103" s="6">
        <f ca="1">$M$103*$Z$103</f>
        <v>455233.14933688904</v>
      </c>
      <c r="AG103" s="6">
        <f>$O$103*$AA$103</f>
        <v>1641360.0343892451</v>
      </c>
    </row>
    <row r="104" spans="1:33" ht="11.25" customHeight="1" x14ac:dyDescent="0.25">
      <c r="A104" s="4" t="s">
        <v>21</v>
      </c>
      <c r="B104" s="4" t="s">
        <v>43</v>
      </c>
      <c r="C104" s="4" t="s">
        <v>41</v>
      </c>
      <c r="D104" s="4" t="s">
        <v>52</v>
      </c>
      <c r="E104" s="4" t="s">
        <v>53</v>
      </c>
      <c r="F104" s="4" t="s">
        <v>25</v>
      </c>
      <c r="G104" s="4" t="s">
        <v>25</v>
      </c>
      <c r="H104" s="4" t="s">
        <v>36</v>
      </c>
      <c r="I104" s="5">
        <v>43922</v>
      </c>
      <c r="J104" s="6">
        <v>18850</v>
      </c>
      <c r="K104" s="70">
        <v>18850</v>
      </c>
      <c r="L104" s="6">
        <v>8628.2279999999992</v>
      </c>
      <c r="M104" s="71">
        <v>8628.2279999999992</v>
      </c>
      <c r="N104" s="6">
        <v>8628.2279999999992</v>
      </c>
      <c r="O104" s="71">
        <v>8628.2279999999992</v>
      </c>
      <c r="P104" s="6">
        <v>0</v>
      </c>
      <c r="Q104" s="4" t="s">
        <v>26</v>
      </c>
      <c r="R104" s="4">
        <v>0</v>
      </c>
      <c r="S104" s="6">
        <v>2</v>
      </c>
      <c r="T104" s="6">
        <v>3</v>
      </c>
      <c r="U104" s="6">
        <v>78</v>
      </c>
      <c r="V104" s="71">
        <f>IF(ISERROR(VLOOKUP($S$104,'TAR FIN'!$A$1:$O$120,15,0)),0,VLOOKUP($S$104,'TAR FIN'!$A$1:$O$120,15,0))*(1-0.12)</f>
        <v>4.7520000000000007</v>
      </c>
      <c r="W104" s="71">
        <f>IF(ISERROR(VLOOKUP($T$104,'TAR FIN'!$A$1:$O$120,15,0)),0,VLOOKUP($T$104,'TAR FIN'!$A$1:$O$120,15,0))*(1-0.12)</f>
        <v>55.131999999999998</v>
      </c>
      <c r="X104" s="71">
        <f>IF(ISERROR(VLOOKUP($U$104,'TAR FIN'!$A$1:$O$120,15,0)),0,VLOOKUP($U$104,'TAR FIN'!$A$1:$O$120,15,0))*(1-0.12)</f>
        <v>225.61439999999999</v>
      </c>
      <c r="Y104" s="71">
        <f ca="1">('TUSD BE'!$AM$6+'TUSD BF'!$AM$6+'TUSD CVA'!$AM$6)*1*(1-0.09)</f>
        <v>7.5369582385975402</v>
      </c>
      <c r="Z104" s="71">
        <f ca="1">('TUSD BE'!$AM$7+'TUSD BF'!$AM$7+'TUSD CVA'!$AM$7)*1*(1-0.09)</f>
        <v>58.260148626390361</v>
      </c>
      <c r="AA104" s="71">
        <f>('TE BE'!$AA$6+'TE BF'!$AA$6+'TE CVA'!$AA$6)*1*(1-0.09)</f>
        <v>210.05913056249776</v>
      </c>
      <c r="AB104" s="6">
        <f>$K$104*$V$104</f>
        <v>89575.200000000012</v>
      </c>
      <c r="AC104" s="6">
        <f>$M$104*$W$104</f>
        <v>475691.46609599993</v>
      </c>
      <c r="AD104" s="6">
        <f>$O$104*$X$104</f>
        <v>1946652.4832831996</v>
      </c>
      <c r="AE104" s="6">
        <f ca="1">$K$104*$Y$104</f>
        <v>142071.66279756362</v>
      </c>
      <c r="AF104" s="6">
        <f ca="1">$M$104*$Z$104</f>
        <v>502681.84566238278</v>
      </c>
      <c r="AG104" s="6">
        <f>$O$104*$AA$104</f>
        <v>1812438.0719749988</v>
      </c>
    </row>
    <row r="105" spans="1:33" ht="11.25" customHeight="1" x14ac:dyDescent="0.25">
      <c r="A105" s="4" t="s">
        <v>21</v>
      </c>
      <c r="B105" s="4" t="s">
        <v>43</v>
      </c>
      <c r="C105" s="4" t="s">
        <v>41</v>
      </c>
      <c r="D105" s="4" t="s">
        <v>52</v>
      </c>
      <c r="E105" s="4" t="s">
        <v>53</v>
      </c>
      <c r="F105" s="4" t="s">
        <v>25</v>
      </c>
      <c r="G105" s="4" t="s">
        <v>25</v>
      </c>
      <c r="H105" s="4" t="s">
        <v>36</v>
      </c>
      <c r="I105" s="5">
        <v>43952</v>
      </c>
      <c r="J105" s="6">
        <v>18850</v>
      </c>
      <c r="K105" s="70">
        <v>18850</v>
      </c>
      <c r="L105" s="6">
        <v>8050.3339999999998</v>
      </c>
      <c r="M105" s="71">
        <v>8050.3339999999998</v>
      </c>
      <c r="N105" s="6">
        <v>8050.3339999999998</v>
      </c>
      <c r="O105" s="71">
        <v>8050.3339999999998</v>
      </c>
      <c r="P105" s="6">
        <v>0</v>
      </c>
      <c r="Q105" s="4" t="s">
        <v>26</v>
      </c>
      <c r="R105" s="4">
        <v>0</v>
      </c>
      <c r="S105" s="6">
        <v>2</v>
      </c>
      <c r="T105" s="6">
        <v>3</v>
      </c>
      <c r="U105" s="6">
        <v>78</v>
      </c>
      <c r="V105" s="71">
        <f>IF(ISERROR(VLOOKUP($S$105,'TAR FIN'!$A$1:$O$120,15,0)),0,VLOOKUP($S$105,'TAR FIN'!$A$1:$O$120,15,0))*(1-0.12)</f>
        <v>4.7520000000000007</v>
      </c>
      <c r="W105" s="71">
        <f>IF(ISERROR(VLOOKUP($T$105,'TAR FIN'!$A$1:$O$120,15,0)),0,VLOOKUP($T$105,'TAR FIN'!$A$1:$O$120,15,0))*(1-0.12)</f>
        <v>55.131999999999998</v>
      </c>
      <c r="X105" s="71">
        <f>IF(ISERROR(VLOOKUP($U$105,'TAR FIN'!$A$1:$O$120,15,0)),0,VLOOKUP($U$105,'TAR FIN'!$A$1:$O$120,15,0))*(1-0.12)</f>
        <v>225.61439999999999</v>
      </c>
      <c r="Y105" s="71">
        <f ca="1">('TUSD BE'!$AM$6+'TUSD BF'!$AM$6+'TUSD CVA'!$AM$6)*1*(1-0.09)</f>
        <v>7.5369582385975402</v>
      </c>
      <c r="Z105" s="71">
        <f ca="1">('TUSD BE'!$AM$7+'TUSD BF'!$AM$7+'TUSD CVA'!$AM$7)*1*(1-0.09)</f>
        <v>58.260148626390361</v>
      </c>
      <c r="AA105" s="71">
        <f>('TE BE'!$AA$6+'TE BF'!$AA$6+'TE CVA'!$AA$6)*1*(1-0.09)</f>
        <v>210.05913056249776</v>
      </c>
      <c r="AB105" s="6">
        <f>$K$105*$V$105</f>
        <v>89575.200000000012</v>
      </c>
      <c r="AC105" s="6">
        <f>$M$105*$W$105</f>
        <v>443831.014088</v>
      </c>
      <c r="AD105" s="6">
        <f>$O$105*$X$105</f>
        <v>1816271.2752095999</v>
      </c>
      <c r="AE105" s="6">
        <f ca="1">$K$105*$Y$105</f>
        <v>142071.66279756362</v>
      </c>
      <c r="AF105" s="6">
        <f ca="1">$M$105*$Z$105</f>
        <v>469013.65533208364</v>
      </c>
      <c r="AG105" s="6">
        <f>$O$105*$AA$105</f>
        <v>1691046.1607777148</v>
      </c>
    </row>
    <row r="106" spans="1:33" ht="11.25" customHeight="1" x14ac:dyDescent="0.25">
      <c r="A106" s="4" t="s">
        <v>21</v>
      </c>
      <c r="B106" s="4" t="s">
        <v>43</v>
      </c>
      <c r="C106" s="4" t="s">
        <v>41</v>
      </c>
      <c r="D106" s="4" t="s">
        <v>52</v>
      </c>
      <c r="E106" s="4" t="s">
        <v>53</v>
      </c>
      <c r="F106" s="4" t="s">
        <v>25</v>
      </c>
      <c r="G106" s="4" t="s">
        <v>25</v>
      </c>
      <c r="H106" s="4" t="s">
        <v>36</v>
      </c>
      <c r="I106" s="5">
        <v>43983</v>
      </c>
      <c r="J106" s="6">
        <v>18850</v>
      </c>
      <c r="K106" s="70">
        <v>18850</v>
      </c>
      <c r="L106" s="6">
        <v>8458.0339999999997</v>
      </c>
      <c r="M106" s="71">
        <v>8458.0339999999997</v>
      </c>
      <c r="N106" s="6">
        <v>8458.0339999999997</v>
      </c>
      <c r="O106" s="71">
        <v>8458.0339999999997</v>
      </c>
      <c r="P106" s="6">
        <v>0</v>
      </c>
      <c r="Q106" s="4" t="s">
        <v>26</v>
      </c>
      <c r="R106" s="4">
        <v>0</v>
      </c>
      <c r="S106" s="6">
        <v>2</v>
      </c>
      <c r="T106" s="6">
        <v>3</v>
      </c>
      <c r="U106" s="6">
        <v>78</v>
      </c>
      <c r="V106" s="71">
        <f>IF(ISERROR(VLOOKUP($S$106,'TAR FIN'!$A$1:$O$120,15,0)),0,VLOOKUP($S$106,'TAR FIN'!$A$1:$O$120,15,0))*(1-0.12)</f>
        <v>4.7520000000000007</v>
      </c>
      <c r="W106" s="71">
        <f>IF(ISERROR(VLOOKUP($T$106,'TAR FIN'!$A$1:$O$120,15,0)),0,VLOOKUP($T$106,'TAR FIN'!$A$1:$O$120,15,0))*(1-0.12)</f>
        <v>55.131999999999998</v>
      </c>
      <c r="X106" s="71">
        <f>IF(ISERROR(VLOOKUP($U$106,'TAR FIN'!$A$1:$O$120,15,0)),0,VLOOKUP($U$106,'TAR FIN'!$A$1:$O$120,15,0))*(1-0.12)</f>
        <v>225.61439999999999</v>
      </c>
      <c r="Y106" s="71">
        <f ca="1">('TUSD BE'!$AM$6+'TUSD BF'!$AM$6+'TUSD CVA'!$AM$6)*1*(1-0.09)</f>
        <v>7.5369582385975402</v>
      </c>
      <c r="Z106" s="71">
        <f ca="1">('TUSD BE'!$AM$7+'TUSD BF'!$AM$7+'TUSD CVA'!$AM$7)*1*(1-0.09)</f>
        <v>58.260148626390361</v>
      </c>
      <c r="AA106" s="71">
        <f>('TE BE'!$AA$6+'TE BF'!$AA$6+'TE CVA'!$AA$6)*1*(1-0.09)</f>
        <v>210.05913056249776</v>
      </c>
      <c r="AB106" s="6">
        <f>$K$106*$V$106</f>
        <v>89575.200000000012</v>
      </c>
      <c r="AC106" s="6">
        <f>$M$106*$W$106</f>
        <v>466308.33048799995</v>
      </c>
      <c r="AD106" s="6">
        <f>$O$106*$X$106</f>
        <v>1908254.2660895998</v>
      </c>
      <c r="AE106" s="6">
        <f ca="1">$K$106*$Y$106</f>
        <v>142071.66279756362</v>
      </c>
      <c r="AF106" s="6">
        <f ca="1">$M$106*$Z$106</f>
        <v>492766.31792706298</v>
      </c>
      <c r="AG106" s="6">
        <f>$O$106*$AA$106</f>
        <v>1776687.2683080451</v>
      </c>
    </row>
    <row r="107" spans="1:33" ht="11.25" customHeight="1" x14ac:dyDescent="0.25">
      <c r="A107" s="4" t="s">
        <v>21</v>
      </c>
      <c r="B107" s="4" t="s">
        <v>43</v>
      </c>
      <c r="C107" s="4" t="s">
        <v>41</v>
      </c>
      <c r="D107" s="4" t="s">
        <v>52</v>
      </c>
      <c r="E107" s="4" t="s">
        <v>53</v>
      </c>
      <c r="F107" s="4" t="s">
        <v>25</v>
      </c>
      <c r="G107" s="4" t="s">
        <v>25</v>
      </c>
      <c r="H107" s="4" t="s">
        <v>36</v>
      </c>
      <c r="I107" s="5">
        <v>44013</v>
      </c>
      <c r="J107" s="6">
        <v>18850</v>
      </c>
      <c r="K107" s="70">
        <v>18850</v>
      </c>
      <c r="L107" s="6">
        <v>8418.7369999999992</v>
      </c>
      <c r="M107" s="71">
        <v>8418.7369999999992</v>
      </c>
      <c r="N107" s="6">
        <v>8418.7369999999992</v>
      </c>
      <c r="O107" s="71">
        <v>8418.7369999999992</v>
      </c>
      <c r="P107" s="6">
        <v>0</v>
      </c>
      <c r="Q107" s="4" t="s">
        <v>26</v>
      </c>
      <c r="R107" s="4">
        <v>0</v>
      </c>
      <c r="S107" s="6">
        <v>2</v>
      </c>
      <c r="T107" s="6">
        <v>3</v>
      </c>
      <c r="U107" s="6">
        <v>78</v>
      </c>
      <c r="V107" s="71">
        <f>IF(ISERROR(VLOOKUP($S$107,'TAR FIN'!$A$1:$O$120,15,0)),0,VLOOKUP($S$107,'TAR FIN'!$A$1:$O$120,15,0))*(1-0.12)</f>
        <v>4.7520000000000007</v>
      </c>
      <c r="W107" s="71">
        <f>IF(ISERROR(VLOOKUP($T$107,'TAR FIN'!$A$1:$O$120,15,0)),0,VLOOKUP($T$107,'TAR FIN'!$A$1:$O$120,15,0))*(1-0.12)</f>
        <v>55.131999999999998</v>
      </c>
      <c r="X107" s="71">
        <f>IF(ISERROR(VLOOKUP($U$107,'TAR FIN'!$A$1:$O$120,15,0)),0,VLOOKUP($U$107,'TAR FIN'!$A$1:$O$120,15,0))*(1-0.12)</f>
        <v>225.61439999999999</v>
      </c>
      <c r="Y107" s="71">
        <f ca="1">('TUSD BE'!$AM$6+'TUSD BF'!$AM$6+'TUSD CVA'!$AM$6)*1*(1-0.09)</f>
        <v>7.5369582385975402</v>
      </c>
      <c r="Z107" s="71">
        <f ca="1">('TUSD BE'!$AM$7+'TUSD BF'!$AM$7+'TUSD CVA'!$AM$7)*1*(1-0.09)</f>
        <v>58.260148626390361</v>
      </c>
      <c r="AA107" s="71">
        <f>('TE BE'!$AA$6+'TE BF'!$AA$6+'TE CVA'!$AA$6)*1*(1-0.09)</f>
        <v>210.05913056249776</v>
      </c>
      <c r="AB107" s="6">
        <f>$K$107*$V$107</f>
        <v>89575.200000000012</v>
      </c>
      <c r="AC107" s="6">
        <f>$M$107*$W$107</f>
        <v>464141.80828399991</v>
      </c>
      <c r="AD107" s="6">
        <f>$O$107*$X$107</f>
        <v>1899388.2970127997</v>
      </c>
      <c r="AE107" s="6">
        <f ca="1">$K$107*$Y$107</f>
        <v>142071.66279756362</v>
      </c>
      <c r="AF107" s="6">
        <f ca="1">$M$107*$Z$107</f>
        <v>490476.86886649166</v>
      </c>
      <c r="AG107" s="6">
        <f>$O$107*$AA$107</f>
        <v>1768432.5746543305</v>
      </c>
    </row>
    <row r="108" spans="1:33" ht="11.25" customHeight="1" x14ac:dyDescent="0.25">
      <c r="A108" s="4" t="s">
        <v>21</v>
      </c>
      <c r="B108" s="4" t="s">
        <v>43</v>
      </c>
      <c r="C108" s="4" t="s">
        <v>41</v>
      </c>
      <c r="D108" s="4" t="s">
        <v>52</v>
      </c>
      <c r="E108" s="4" t="s">
        <v>53</v>
      </c>
      <c r="F108" s="4" t="s">
        <v>25</v>
      </c>
      <c r="G108" s="4" t="s">
        <v>25</v>
      </c>
      <c r="H108" s="4" t="s">
        <v>36</v>
      </c>
      <c r="I108" s="5">
        <v>44044</v>
      </c>
      <c r="J108" s="6">
        <v>18850</v>
      </c>
      <c r="K108" s="70">
        <v>18850</v>
      </c>
      <c r="L108" s="6">
        <v>8998.4449999999997</v>
      </c>
      <c r="M108" s="71">
        <v>8998.4449999999997</v>
      </c>
      <c r="N108" s="6">
        <v>8998.4449999999997</v>
      </c>
      <c r="O108" s="71">
        <v>8998.4449999999997</v>
      </c>
      <c r="P108" s="6">
        <v>0</v>
      </c>
      <c r="Q108" s="4" t="s">
        <v>26</v>
      </c>
      <c r="R108" s="4">
        <v>0</v>
      </c>
      <c r="S108" s="6">
        <v>2</v>
      </c>
      <c r="T108" s="6">
        <v>3</v>
      </c>
      <c r="U108" s="6">
        <v>78</v>
      </c>
      <c r="V108" s="71">
        <f>IF(ISERROR(VLOOKUP($S$108,'TAR FIN'!$A$1:$O$120,15,0)),0,VLOOKUP($S$108,'TAR FIN'!$A$1:$O$120,15,0))*(1-0.12)</f>
        <v>4.7520000000000007</v>
      </c>
      <c r="W108" s="71">
        <f>IF(ISERROR(VLOOKUP($T$108,'TAR FIN'!$A$1:$O$120,15,0)),0,VLOOKUP($T$108,'TAR FIN'!$A$1:$O$120,15,0))*(1-0.12)</f>
        <v>55.131999999999998</v>
      </c>
      <c r="X108" s="71">
        <f>IF(ISERROR(VLOOKUP($U$108,'TAR FIN'!$A$1:$O$120,15,0)),0,VLOOKUP($U$108,'TAR FIN'!$A$1:$O$120,15,0))*(1-0.12)</f>
        <v>225.61439999999999</v>
      </c>
      <c r="Y108" s="71">
        <f ca="1">('TUSD BE'!$AM$6+'TUSD BF'!$AM$6+'TUSD CVA'!$AM$6)*1*(1-0.09)</f>
        <v>7.5369582385975402</v>
      </c>
      <c r="Z108" s="71">
        <f ca="1">('TUSD BE'!$AM$7+'TUSD BF'!$AM$7+'TUSD CVA'!$AM$7)*1*(1-0.09)</f>
        <v>58.260148626390361</v>
      </c>
      <c r="AA108" s="71">
        <f>('TE BE'!$AA$6+'TE BF'!$AA$6+'TE CVA'!$AA$6)*1*(1-0.09)</f>
        <v>210.05913056249776</v>
      </c>
      <c r="AB108" s="6">
        <f>$K$108*$V$108</f>
        <v>89575.200000000012</v>
      </c>
      <c r="AC108" s="6">
        <f>$M$108*$W$108</f>
        <v>496102.26973999996</v>
      </c>
      <c r="AD108" s="6">
        <f>$O$108*$X$108</f>
        <v>2030178.7696079998</v>
      </c>
      <c r="AE108" s="6">
        <f ca="1">$K$108*$Y$108</f>
        <v>142071.66279756362</v>
      </c>
      <c r="AF108" s="6">
        <f ca="1">$M$108*$Z$108</f>
        <v>524250.7431063992</v>
      </c>
      <c r="AG108" s="6">
        <f>$O$108*$AA$108</f>
        <v>1890205.5331144552</v>
      </c>
    </row>
    <row r="109" spans="1:33" ht="11.25" customHeight="1" x14ac:dyDescent="0.25">
      <c r="A109" s="4" t="s">
        <v>59</v>
      </c>
      <c r="B109" s="4" t="s">
        <v>43</v>
      </c>
      <c r="C109" s="4" t="s">
        <v>41</v>
      </c>
      <c r="D109" s="4" t="s">
        <v>52</v>
      </c>
      <c r="E109" s="4" t="s">
        <v>53</v>
      </c>
      <c r="F109" s="4" t="s">
        <v>25</v>
      </c>
      <c r="G109" s="4" t="s">
        <v>25</v>
      </c>
      <c r="H109" s="4" t="s">
        <v>36</v>
      </c>
      <c r="I109" s="5">
        <v>44075</v>
      </c>
      <c r="J109" s="6">
        <v>18850</v>
      </c>
      <c r="K109" s="70">
        <v>18850</v>
      </c>
      <c r="L109" s="6">
        <v>8998.4449999999997</v>
      </c>
      <c r="M109" s="71">
        <v>8998.4449999999997</v>
      </c>
      <c r="N109" s="6">
        <v>8998.4449999999997</v>
      </c>
      <c r="O109" s="71">
        <v>8998.4449999999997</v>
      </c>
      <c r="P109" s="6">
        <v>0</v>
      </c>
      <c r="Q109" s="4" t="s">
        <v>26</v>
      </c>
      <c r="R109" s="4">
        <v>0</v>
      </c>
      <c r="S109" s="6">
        <v>2</v>
      </c>
      <c r="T109" s="6">
        <v>3</v>
      </c>
      <c r="U109" s="6">
        <v>78</v>
      </c>
      <c r="V109" s="71">
        <f>IF(ISERROR(VLOOKUP($S$109,'TAR FIN'!$A$1:$O$120,15,0)),0,VLOOKUP($S$109,'TAR FIN'!$A$1:$O$120,15,0))*(1-0.12)</f>
        <v>4.7520000000000007</v>
      </c>
      <c r="W109" s="71">
        <f>IF(ISERROR(VLOOKUP($T$109,'TAR FIN'!$A$1:$O$120,15,0)),0,VLOOKUP($T$109,'TAR FIN'!$A$1:$O$120,15,0))*(1-0.12)</f>
        <v>55.131999999999998</v>
      </c>
      <c r="X109" s="71">
        <f>IF(ISERROR(VLOOKUP($U$109,'TAR FIN'!$A$1:$O$120,15,0)),0,VLOOKUP($U$109,'TAR FIN'!$A$1:$O$120,15,0))*(1-0.12)</f>
        <v>225.61439999999999</v>
      </c>
      <c r="Y109" s="71">
        <f ca="1">('TUSD BE'!$AM$6+'TUSD BF'!$AM$6+'TUSD CVA'!$AM$6)*1*(1-0.09)</f>
        <v>7.5369582385975402</v>
      </c>
      <c r="Z109" s="71">
        <f ca="1">('TUSD BE'!$AM$7+'TUSD BF'!$AM$7+'TUSD CVA'!$AM$7)*1*(1-0.09)</f>
        <v>58.260148626390361</v>
      </c>
      <c r="AA109" s="71">
        <f>('TE BE'!$AA$6+'TE BF'!$AA$6+'TE CVA'!$AA$6)*1*(1-0.09)</f>
        <v>210.05913056249776</v>
      </c>
      <c r="AB109" s="6">
        <f>$K$109*$V$109</f>
        <v>89575.200000000012</v>
      </c>
      <c r="AC109" s="6">
        <f>$M$109*$W$109</f>
        <v>496102.26973999996</v>
      </c>
      <c r="AD109" s="6">
        <f>$O$109*$X$109</f>
        <v>2030178.7696079998</v>
      </c>
      <c r="AE109" s="6">
        <f ca="1">$K$109*$Y$109</f>
        <v>142071.66279756362</v>
      </c>
      <c r="AF109" s="6">
        <f ca="1">$M$109*$Z$109</f>
        <v>524250.7431063992</v>
      </c>
      <c r="AG109" s="6">
        <f>$O$109*$AA$109</f>
        <v>1890205.5331144552</v>
      </c>
    </row>
    <row r="110" spans="1:33" ht="11.25" customHeight="1" x14ac:dyDescent="0.25">
      <c r="A110" s="4" t="s">
        <v>21</v>
      </c>
      <c r="B110" s="4" t="s">
        <v>43</v>
      </c>
      <c r="C110" s="4" t="s">
        <v>41</v>
      </c>
      <c r="D110" s="4" t="s">
        <v>52</v>
      </c>
      <c r="E110" s="4" t="s">
        <v>53</v>
      </c>
      <c r="F110" s="4" t="s">
        <v>25</v>
      </c>
      <c r="G110" s="4" t="s">
        <v>25</v>
      </c>
      <c r="H110" s="4" t="s">
        <v>35</v>
      </c>
      <c r="I110" s="5">
        <v>43739</v>
      </c>
      <c r="J110" s="6">
        <v>8035</v>
      </c>
      <c r="K110" s="70">
        <v>8035</v>
      </c>
      <c r="L110" s="6">
        <v>522.92200000000003</v>
      </c>
      <c r="M110" s="71">
        <v>522.92200000000003</v>
      </c>
      <c r="N110" s="6">
        <v>522.92200000000003</v>
      </c>
      <c r="O110" s="71">
        <v>522.92200000000003</v>
      </c>
      <c r="P110" s="6">
        <v>0</v>
      </c>
      <c r="Q110" s="4" t="s">
        <v>26</v>
      </c>
      <c r="R110" s="4">
        <v>0</v>
      </c>
      <c r="S110" s="6">
        <v>1</v>
      </c>
      <c r="T110" s="6">
        <v>3</v>
      </c>
      <c r="U110" s="6">
        <v>77</v>
      </c>
      <c r="V110" s="71">
        <f>IF(ISERROR(VLOOKUP($S$110,'TAR FIN'!$A$1:$O$120,15,0)),0,VLOOKUP($S$110,'TAR FIN'!$A$1:$O$120,15,0))*(1-0.12)</f>
        <v>8.3336000000000006</v>
      </c>
      <c r="W110" s="71">
        <f>IF(ISERROR(VLOOKUP($T$110,'TAR FIN'!$A$1:$O$120,15,0)),0,VLOOKUP($T$110,'TAR FIN'!$A$1:$O$120,15,0))*(1-0.12)</f>
        <v>55.131999999999998</v>
      </c>
      <c r="X110" s="71">
        <f>IF(ISERROR(VLOOKUP($U$110,'TAR FIN'!$A$1:$O$120,15,0)),0,VLOOKUP($U$110,'TAR FIN'!$A$1:$O$120,15,0))*(1-0.12)</f>
        <v>379.16559999999998</v>
      </c>
      <c r="Y110" s="71">
        <f ca="1">('TUSD BE'!$AM$5+'TUSD BF'!$AM$5+'TUSD CVA'!$AM$5)*1*(1-0.09)</f>
        <v>12.081627555675036</v>
      </c>
      <c r="Z110" s="71">
        <f ca="1">('TUSD BE'!$AM$7+'TUSD BF'!$AM$7+'TUSD CVA'!$AM$7)*1*(1-0.09)</f>
        <v>58.260148626390361</v>
      </c>
      <c r="AA110" s="71">
        <f>('TE BE'!$AA$5+'TE BF'!$AA$5+'TE CVA'!$AA$5)*1*(1-0.09)</f>
        <v>341.87954044517699</v>
      </c>
      <c r="AB110" s="6">
        <f>$K$110*$V$110</f>
        <v>66960.47600000001</v>
      </c>
      <c r="AC110" s="6">
        <f>$M$110*$W$110</f>
        <v>28829.735703999999</v>
      </c>
      <c r="AD110" s="6">
        <f>$O$110*$X$110</f>
        <v>198274.0338832</v>
      </c>
      <c r="AE110" s="6">
        <f ca="1">$K$110*$Y$110</f>
        <v>97075.877409848908</v>
      </c>
      <c r="AF110" s="6">
        <f ca="1">$M$110*$Z$110</f>
        <v>30465.513440009301</v>
      </c>
      <c r="AG110" s="6">
        <f>$O$110*$AA$110</f>
        <v>178776.33304867285</v>
      </c>
    </row>
    <row r="111" spans="1:33" ht="11.25" customHeight="1" x14ac:dyDescent="0.25">
      <c r="A111" s="4" t="s">
        <v>21</v>
      </c>
      <c r="B111" s="4" t="s">
        <v>43</v>
      </c>
      <c r="C111" s="4" t="s">
        <v>41</v>
      </c>
      <c r="D111" s="4" t="s">
        <v>52</v>
      </c>
      <c r="E111" s="4" t="s">
        <v>53</v>
      </c>
      <c r="F111" s="4" t="s">
        <v>25</v>
      </c>
      <c r="G111" s="4" t="s">
        <v>25</v>
      </c>
      <c r="H111" s="4" t="s">
        <v>35</v>
      </c>
      <c r="I111" s="5">
        <v>43770</v>
      </c>
      <c r="J111" s="6">
        <v>8006</v>
      </c>
      <c r="K111" s="70">
        <v>8006</v>
      </c>
      <c r="L111" s="6">
        <v>501.50900000000001</v>
      </c>
      <c r="M111" s="71">
        <v>501.50900000000001</v>
      </c>
      <c r="N111" s="6">
        <v>501.50900000000001</v>
      </c>
      <c r="O111" s="71">
        <v>501.50900000000001</v>
      </c>
      <c r="P111" s="6">
        <v>0</v>
      </c>
      <c r="Q111" s="4" t="s">
        <v>26</v>
      </c>
      <c r="R111" s="4">
        <v>0</v>
      </c>
      <c r="S111" s="6">
        <v>1</v>
      </c>
      <c r="T111" s="6">
        <v>3</v>
      </c>
      <c r="U111" s="6">
        <v>77</v>
      </c>
      <c r="V111" s="71">
        <f>IF(ISERROR(VLOOKUP($S$111,'TAR FIN'!$A$1:$O$120,15,0)),0,VLOOKUP($S$111,'TAR FIN'!$A$1:$O$120,15,0))*(1-0.12)</f>
        <v>8.3336000000000006</v>
      </c>
      <c r="W111" s="71">
        <f>IF(ISERROR(VLOOKUP($T$111,'TAR FIN'!$A$1:$O$120,15,0)),0,VLOOKUP($T$111,'TAR FIN'!$A$1:$O$120,15,0))*(1-0.12)</f>
        <v>55.131999999999998</v>
      </c>
      <c r="X111" s="71">
        <f>IF(ISERROR(VLOOKUP($U$111,'TAR FIN'!$A$1:$O$120,15,0)),0,VLOOKUP($U$111,'TAR FIN'!$A$1:$O$120,15,0))*(1-0.12)</f>
        <v>379.16559999999998</v>
      </c>
      <c r="Y111" s="71">
        <f ca="1">('TUSD BE'!$AM$5+'TUSD BF'!$AM$5+'TUSD CVA'!$AM$5)*1*(1-0.09)</f>
        <v>12.081627555675036</v>
      </c>
      <c r="Z111" s="71">
        <f ca="1">('TUSD BE'!$AM$7+'TUSD BF'!$AM$7+'TUSD CVA'!$AM$7)*1*(1-0.09)</f>
        <v>58.260148626390361</v>
      </c>
      <c r="AA111" s="71">
        <f>('TE BE'!$AA$5+'TE BF'!$AA$5+'TE CVA'!$AA$5)*1*(1-0.09)</f>
        <v>341.87954044517699</v>
      </c>
      <c r="AB111" s="6">
        <f>$K$111*$V$111</f>
        <v>66718.801600000006</v>
      </c>
      <c r="AC111" s="6">
        <f>$M$111*$W$111</f>
        <v>27649.194188000001</v>
      </c>
      <c r="AD111" s="6">
        <f>$O$111*$X$111</f>
        <v>190154.96089039999</v>
      </c>
      <c r="AE111" s="6">
        <f ca="1">$K$111*$Y$111</f>
        <v>96725.510210734341</v>
      </c>
      <c r="AF111" s="6">
        <f ca="1">$M$111*$Z$111</f>
        <v>29217.988877472406</v>
      </c>
      <c r="AG111" s="6">
        <f>$O$111*$AA$111</f>
        <v>171455.66644912027</v>
      </c>
    </row>
    <row r="112" spans="1:33" ht="11.25" customHeight="1" x14ac:dyDescent="0.25">
      <c r="A112" s="4" t="s">
        <v>21</v>
      </c>
      <c r="B112" s="4" t="s">
        <v>43</v>
      </c>
      <c r="C112" s="4" t="s">
        <v>41</v>
      </c>
      <c r="D112" s="4" t="s">
        <v>52</v>
      </c>
      <c r="E112" s="4" t="s">
        <v>53</v>
      </c>
      <c r="F112" s="4" t="s">
        <v>25</v>
      </c>
      <c r="G112" s="4" t="s">
        <v>25</v>
      </c>
      <c r="H112" s="4" t="s">
        <v>35</v>
      </c>
      <c r="I112" s="5">
        <v>43800</v>
      </c>
      <c r="J112" s="6">
        <v>8035</v>
      </c>
      <c r="K112" s="70">
        <v>8035</v>
      </c>
      <c r="L112" s="6">
        <v>498.63600000000002</v>
      </c>
      <c r="M112" s="71">
        <v>498.63600000000002</v>
      </c>
      <c r="N112" s="6">
        <v>498.63600000000002</v>
      </c>
      <c r="O112" s="71">
        <v>498.63600000000002</v>
      </c>
      <c r="P112" s="6">
        <v>0</v>
      </c>
      <c r="Q112" s="4" t="s">
        <v>26</v>
      </c>
      <c r="R112" s="4">
        <v>0</v>
      </c>
      <c r="S112" s="6">
        <v>1</v>
      </c>
      <c r="T112" s="6">
        <v>3</v>
      </c>
      <c r="U112" s="6">
        <v>77</v>
      </c>
      <c r="V112" s="71">
        <f>IF(ISERROR(VLOOKUP($S$112,'TAR FIN'!$A$1:$O$120,15,0)),0,VLOOKUP($S$112,'TAR FIN'!$A$1:$O$120,15,0))*(1-0.12)</f>
        <v>8.3336000000000006</v>
      </c>
      <c r="W112" s="71">
        <f>IF(ISERROR(VLOOKUP($T$112,'TAR FIN'!$A$1:$O$120,15,0)),0,VLOOKUP($T$112,'TAR FIN'!$A$1:$O$120,15,0))*(1-0.12)</f>
        <v>55.131999999999998</v>
      </c>
      <c r="X112" s="71">
        <f>IF(ISERROR(VLOOKUP($U$112,'TAR FIN'!$A$1:$O$120,15,0)),0,VLOOKUP($U$112,'TAR FIN'!$A$1:$O$120,15,0))*(1-0.12)</f>
        <v>379.16559999999998</v>
      </c>
      <c r="Y112" s="71">
        <f ca="1">('TUSD BE'!$AM$5+'TUSD BF'!$AM$5+'TUSD CVA'!$AM$5)*1*(1-0.09)</f>
        <v>12.081627555675036</v>
      </c>
      <c r="Z112" s="71">
        <f ca="1">('TUSD BE'!$AM$7+'TUSD BF'!$AM$7+'TUSD CVA'!$AM$7)*1*(1-0.09)</f>
        <v>58.260148626390361</v>
      </c>
      <c r="AA112" s="71">
        <f>('TE BE'!$AA$5+'TE BF'!$AA$5+'TE CVA'!$AA$5)*1*(1-0.09)</f>
        <v>341.87954044517699</v>
      </c>
      <c r="AB112" s="6">
        <f>$K$112*$V$112</f>
        <v>66960.47600000001</v>
      </c>
      <c r="AC112" s="6">
        <f>$M$112*$W$112</f>
        <v>27490.799952000001</v>
      </c>
      <c r="AD112" s="6">
        <f>$O$112*$X$112</f>
        <v>189065.61812160001</v>
      </c>
      <c r="AE112" s="6">
        <f ca="1">$K$112*$Y$112</f>
        <v>97075.877409848908</v>
      </c>
      <c r="AF112" s="6">
        <f ca="1">$M$112*$Z$112</f>
        <v>29050.607470468785</v>
      </c>
      <c r="AG112" s="6">
        <f>$O$112*$AA$112</f>
        <v>170473.44652942129</v>
      </c>
    </row>
    <row r="113" spans="1:33" ht="11.25" customHeight="1" x14ac:dyDescent="0.25">
      <c r="A113" s="4" t="s">
        <v>21</v>
      </c>
      <c r="B113" s="4" t="s">
        <v>43</v>
      </c>
      <c r="C113" s="4" t="s">
        <v>41</v>
      </c>
      <c r="D113" s="4" t="s">
        <v>52</v>
      </c>
      <c r="E113" s="4" t="s">
        <v>53</v>
      </c>
      <c r="F113" s="4" t="s">
        <v>25</v>
      </c>
      <c r="G113" s="4" t="s">
        <v>25</v>
      </c>
      <c r="H113" s="4" t="s">
        <v>35</v>
      </c>
      <c r="I113" s="5">
        <v>43831</v>
      </c>
      <c r="J113" s="6">
        <v>8035</v>
      </c>
      <c r="K113" s="70">
        <v>8035</v>
      </c>
      <c r="L113" s="6">
        <v>474.12700000000001</v>
      </c>
      <c r="M113" s="71">
        <v>474.12700000000001</v>
      </c>
      <c r="N113" s="6">
        <v>474.12700000000001</v>
      </c>
      <c r="O113" s="71">
        <v>474.12700000000001</v>
      </c>
      <c r="P113" s="6">
        <v>0</v>
      </c>
      <c r="Q113" s="4" t="s">
        <v>26</v>
      </c>
      <c r="R113" s="4">
        <v>0</v>
      </c>
      <c r="S113" s="6">
        <v>1</v>
      </c>
      <c r="T113" s="6">
        <v>3</v>
      </c>
      <c r="U113" s="6">
        <v>77</v>
      </c>
      <c r="V113" s="71">
        <f>IF(ISERROR(VLOOKUP($S$113,'TAR FIN'!$A$1:$O$120,15,0)),0,VLOOKUP($S$113,'TAR FIN'!$A$1:$O$120,15,0))*(1-0.12)</f>
        <v>8.3336000000000006</v>
      </c>
      <c r="W113" s="71">
        <f>IF(ISERROR(VLOOKUP($T$113,'TAR FIN'!$A$1:$O$120,15,0)),0,VLOOKUP($T$113,'TAR FIN'!$A$1:$O$120,15,0))*(1-0.12)</f>
        <v>55.131999999999998</v>
      </c>
      <c r="X113" s="71">
        <f>IF(ISERROR(VLOOKUP($U$113,'TAR FIN'!$A$1:$O$120,15,0)),0,VLOOKUP($U$113,'TAR FIN'!$A$1:$O$120,15,0))*(1-0.12)</f>
        <v>379.16559999999998</v>
      </c>
      <c r="Y113" s="71">
        <f ca="1">('TUSD BE'!$AM$5+'TUSD BF'!$AM$5+'TUSD CVA'!$AM$5)*1*(1-0.09)</f>
        <v>12.081627555675036</v>
      </c>
      <c r="Z113" s="71">
        <f ca="1">('TUSD BE'!$AM$7+'TUSD BF'!$AM$7+'TUSD CVA'!$AM$7)*1*(1-0.09)</f>
        <v>58.260148626390361</v>
      </c>
      <c r="AA113" s="71">
        <f>('TE BE'!$AA$5+'TE BF'!$AA$5+'TE CVA'!$AA$5)*1*(1-0.09)</f>
        <v>341.87954044517699</v>
      </c>
      <c r="AB113" s="6">
        <f>$K$113*$V$113</f>
        <v>66960.47600000001</v>
      </c>
      <c r="AC113" s="6">
        <f>$M$113*$W$113</f>
        <v>26139.569764</v>
      </c>
      <c r="AD113" s="6">
        <f>$O$113*$X$113</f>
        <v>179772.64843120001</v>
      </c>
      <c r="AE113" s="6">
        <f ca="1">$K$113*$Y$113</f>
        <v>97075.877409848908</v>
      </c>
      <c r="AF113" s="6">
        <f ca="1">$M$113*$Z$113</f>
        <v>27622.709487784585</v>
      </c>
      <c r="AG113" s="6">
        <f>$O$113*$AA$113</f>
        <v>162094.32087265042</v>
      </c>
    </row>
    <row r="114" spans="1:33" ht="11.25" customHeight="1" x14ac:dyDescent="0.25">
      <c r="A114" s="4" t="s">
        <v>21</v>
      </c>
      <c r="B114" s="4" t="s">
        <v>43</v>
      </c>
      <c r="C114" s="4" t="s">
        <v>41</v>
      </c>
      <c r="D114" s="4" t="s">
        <v>52</v>
      </c>
      <c r="E114" s="4" t="s">
        <v>53</v>
      </c>
      <c r="F114" s="4" t="s">
        <v>25</v>
      </c>
      <c r="G114" s="4" t="s">
        <v>25</v>
      </c>
      <c r="H114" s="4" t="s">
        <v>35</v>
      </c>
      <c r="I114" s="5">
        <v>43862</v>
      </c>
      <c r="J114" s="6">
        <v>8006</v>
      </c>
      <c r="K114" s="70">
        <v>8006</v>
      </c>
      <c r="L114" s="6">
        <v>525.01</v>
      </c>
      <c r="M114" s="71">
        <v>525.01</v>
      </c>
      <c r="N114" s="6">
        <v>525.01</v>
      </c>
      <c r="O114" s="71">
        <v>525.01</v>
      </c>
      <c r="P114" s="6">
        <v>0</v>
      </c>
      <c r="Q114" s="4" t="s">
        <v>26</v>
      </c>
      <c r="R114" s="4">
        <v>0</v>
      </c>
      <c r="S114" s="6">
        <v>1</v>
      </c>
      <c r="T114" s="6">
        <v>3</v>
      </c>
      <c r="U114" s="6">
        <v>77</v>
      </c>
      <c r="V114" s="71">
        <f>IF(ISERROR(VLOOKUP($S$114,'TAR FIN'!$A$1:$O$120,15,0)),0,VLOOKUP($S$114,'TAR FIN'!$A$1:$O$120,15,0))*(1-0.12)</f>
        <v>8.3336000000000006</v>
      </c>
      <c r="W114" s="71">
        <f>IF(ISERROR(VLOOKUP($T$114,'TAR FIN'!$A$1:$O$120,15,0)),0,VLOOKUP($T$114,'TAR FIN'!$A$1:$O$120,15,0))*(1-0.12)</f>
        <v>55.131999999999998</v>
      </c>
      <c r="X114" s="71">
        <f>IF(ISERROR(VLOOKUP($U$114,'TAR FIN'!$A$1:$O$120,15,0)),0,VLOOKUP($U$114,'TAR FIN'!$A$1:$O$120,15,0))*(1-0.12)</f>
        <v>379.16559999999998</v>
      </c>
      <c r="Y114" s="71">
        <f ca="1">('TUSD BE'!$AM$5+'TUSD BF'!$AM$5+'TUSD CVA'!$AM$5)*1*(1-0.09)</f>
        <v>12.081627555675036</v>
      </c>
      <c r="Z114" s="71">
        <f ca="1">('TUSD BE'!$AM$7+'TUSD BF'!$AM$7+'TUSD CVA'!$AM$7)*1*(1-0.09)</f>
        <v>58.260148626390361</v>
      </c>
      <c r="AA114" s="71">
        <f>('TE BE'!$AA$5+'TE BF'!$AA$5+'TE CVA'!$AA$5)*1*(1-0.09)</f>
        <v>341.87954044517699</v>
      </c>
      <c r="AB114" s="6">
        <f>$K$114*$V$114</f>
        <v>66718.801600000006</v>
      </c>
      <c r="AC114" s="6">
        <f>$M$114*$W$114</f>
        <v>28944.851319999998</v>
      </c>
      <c r="AD114" s="6">
        <f>$O$114*$X$114</f>
        <v>199065.73165599999</v>
      </c>
      <c r="AE114" s="6">
        <f ca="1">$K$114*$Y$114</f>
        <v>96725.510210734341</v>
      </c>
      <c r="AF114" s="6">
        <f ca="1">$M$114*$Z$114</f>
        <v>30587.160630341205</v>
      </c>
      <c r="AG114" s="6">
        <f>$O$114*$AA$114</f>
        <v>179490.17752912236</v>
      </c>
    </row>
    <row r="115" spans="1:33" ht="11.25" customHeight="1" x14ac:dyDescent="0.25">
      <c r="A115" s="4" t="s">
        <v>21</v>
      </c>
      <c r="B115" s="4" t="s">
        <v>43</v>
      </c>
      <c r="C115" s="4" t="s">
        <v>41</v>
      </c>
      <c r="D115" s="4" t="s">
        <v>52</v>
      </c>
      <c r="E115" s="4" t="s">
        <v>53</v>
      </c>
      <c r="F115" s="4" t="s">
        <v>25</v>
      </c>
      <c r="G115" s="4" t="s">
        <v>25</v>
      </c>
      <c r="H115" s="4" t="s">
        <v>35</v>
      </c>
      <c r="I115" s="5">
        <v>43891</v>
      </c>
      <c r="J115" s="6">
        <v>8006</v>
      </c>
      <c r="K115" s="70">
        <v>8006</v>
      </c>
      <c r="L115" s="6">
        <v>476.863</v>
      </c>
      <c r="M115" s="71">
        <v>476.863</v>
      </c>
      <c r="N115" s="6">
        <v>476.863</v>
      </c>
      <c r="O115" s="71">
        <v>476.863</v>
      </c>
      <c r="P115" s="6">
        <v>0</v>
      </c>
      <c r="Q115" s="4" t="s">
        <v>26</v>
      </c>
      <c r="R115" s="4">
        <v>0</v>
      </c>
      <c r="S115" s="6">
        <v>1</v>
      </c>
      <c r="T115" s="6">
        <v>3</v>
      </c>
      <c r="U115" s="6">
        <v>77</v>
      </c>
      <c r="V115" s="71">
        <f>IF(ISERROR(VLOOKUP($S$115,'TAR FIN'!$A$1:$O$120,15,0)),0,VLOOKUP($S$115,'TAR FIN'!$A$1:$O$120,15,0))*(1-0.12)</f>
        <v>8.3336000000000006</v>
      </c>
      <c r="W115" s="71">
        <f>IF(ISERROR(VLOOKUP($T$115,'TAR FIN'!$A$1:$O$120,15,0)),0,VLOOKUP($T$115,'TAR FIN'!$A$1:$O$120,15,0))*(1-0.12)</f>
        <v>55.131999999999998</v>
      </c>
      <c r="X115" s="71">
        <f>IF(ISERROR(VLOOKUP($U$115,'TAR FIN'!$A$1:$O$120,15,0)),0,VLOOKUP($U$115,'TAR FIN'!$A$1:$O$120,15,0))*(1-0.12)</f>
        <v>379.16559999999998</v>
      </c>
      <c r="Y115" s="71">
        <f ca="1">('TUSD BE'!$AM$5+'TUSD BF'!$AM$5+'TUSD CVA'!$AM$5)*1*(1-0.09)</f>
        <v>12.081627555675036</v>
      </c>
      <c r="Z115" s="71">
        <f ca="1">('TUSD BE'!$AM$7+'TUSD BF'!$AM$7+'TUSD CVA'!$AM$7)*1*(1-0.09)</f>
        <v>58.260148626390361</v>
      </c>
      <c r="AA115" s="71">
        <f>('TE BE'!$AA$5+'TE BF'!$AA$5+'TE CVA'!$AA$5)*1*(1-0.09)</f>
        <v>341.87954044517699</v>
      </c>
      <c r="AB115" s="6">
        <f>$K$115*$V$115</f>
        <v>66718.801600000006</v>
      </c>
      <c r="AC115" s="6">
        <f>$M$115*$W$115</f>
        <v>26290.410916000001</v>
      </c>
      <c r="AD115" s="6">
        <f>$O$115*$X$115</f>
        <v>180810.04551279999</v>
      </c>
      <c r="AE115" s="6">
        <f ca="1">$K$115*$Y$115</f>
        <v>96725.510210734341</v>
      </c>
      <c r="AF115" s="6">
        <f ca="1">$M$115*$Z$115</f>
        <v>27782.109254426388</v>
      </c>
      <c r="AG115" s="6">
        <f>$O$115*$AA$115</f>
        <v>163029.70329530843</v>
      </c>
    </row>
    <row r="116" spans="1:33" ht="11.25" customHeight="1" x14ac:dyDescent="0.25">
      <c r="A116" s="4" t="s">
        <v>21</v>
      </c>
      <c r="B116" s="4" t="s">
        <v>43</v>
      </c>
      <c r="C116" s="4" t="s">
        <v>41</v>
      </c>
      <c r="D116" s="4" t="s">
        <v>52</v>
      </c>
      <c r="E116" s="4" t="s">
        <v>53</v>
      </c>
      <c r="F116" s="4" t="s">
        <v>25</v>
      </c>
      <c r="G116" s="4" t="s">
        <v>25</v>
      </c>
      <c r="H116" s="4" t="s">
        <v>35</v>
      </c>
      <c r="I116" s="5">
        <v>43922</v>
      </c>
      <c r="J116" s="6">
        <v>8006</v>
      </c>
      <c r="K116" s="70">
        <v>8006</v>
      </c>
      <c r="L116" s="6">
        <v>501.44400000000002</v>
      </c>
      <c r="M116" s="71">
        <v>501.44400000000002</v>
      </c>
      <c r="N116" s="6">
        <v>501.44400000000002</v>
      </c>
      <c r="O116" s="71">
        <v>501.44400000000002</v>
      </c>
      <c r="P116" s="6">
        <v>0</v>
      </c>
      <c r="Q116" s="4" t="s">
        <v>26</v>
      </c>
      <c r="R116" s="4">
        <v>0</v>
      </c>
      <c r="S116" s="6">
        <v>1</v>
      </c>
      <c r="T116" s="6">
        <v>3</v>
      </c>
      <c r="U116" s="6">
        <v>77</v>
      </c>
      <c r="V116" s="71">
        <f>IF(ISERROR(VLOOKUP($S$116,'TAR FIN'!$A$1:$O$120,15,0)),0,VLOOKUP($S$116,'TAR FIN'!$A$1:$O$120,15,0))*(1-0.12)</f>
        <v>8.3336000000000006</v>
      </c>
      <c r="W116" s="71">
        <f>IF(ISERROR(VLOOKUP($T$116,'TAR FIN'!$A$1:$O$120,15,0)),0,VLOOKUP($T$116,'TAR FIN'!$A$1:$O$120,15,0))*(1-0.12)</f>
        <v>55.131999999999998</v>
      </c>
      <c r="X116" s="71">
        <f>IF(ISERROR(VLOOKUP($U$116,'TAR FIN'!$A$1:$O$120,15,0)),0,VLOOKUP($U$116,'TAR FIN'!$A$1:$O$120,15,0))*(1-0.12)</f>
        <v>379.16559999999998</v>
      </c>
      <c r="Y116" s="71">
        <f ca="1">('TUSD BE'!$AM$5+'TUSD BF'!$AM$5+'TUSD CVA'!$AM$5)*1*(1-0.09)</f>
        <v>12.081627555675036</v>
      </c>
      <c r="Z116" s="71">
        <f ca="1">('TUSD BE'!$AM$7+'TUSD BF'!$AM$7+'TUSD CVA'!$AM$7)*1*(1-0.09)</f>
        <v>58.260148626390361</v>
      </c>
      <c r="AA116" s="71">
        <f>('TE BE'!$AA$5+'TE BF'!$AA$5+'TE CVA'!$AA$5)*1*(1-0.09)</f>
        <v>341.87954044517699</v>
      </c>
      <c r="AB116" s="6">
        <f>$K$116*$V$116</f>
        <v>66718.801600000006</v>
      </c>
      <c r="AC116" s="6">
        <f>$M$116*$W$116</f>
        <v>27645.610607999999</v>
      </c>
      <c r="AD116" s="6">
        <f>$O$116*$X$116</f>
        <v>190130.3151264</v>
      </c>
      <c r="AE116" s="6">
        <f ca="1">$K$116*$Y$116</f>
        <v>96725.510210734341</v>
      </c>
      <c r="AF116" s="6">
        <f ca="1">$M$116*$Z$116</f>
        <v>29214.201967811689</v>
      </c>
      <c r="AG116" s="6">
        <f>$O$116*$AA$116</f>
        <v>171433.44427899134</v>
      </c>
    </row>
    <row r="117" spans="1:33" ht="11.25" customHeight="1" x14ac:dyDescent="0.25">
      <c r="A117" s="4" t="s">
        <v>21</v>
      </c>
      <c r="B117" s="4" t="s">
        <v>43</v>
      </c>
      <c r="C117" s="4" t="s">
        <v>41</v>
      </c>
      <c r="D117" s="4" t="s">
        <v>52</v>
      </c>
      <c r="E117" s="4" t="s">
        <v>53</v>
      </c>
      <c r="F117" s="4" t="s">
        <v>25</v>
      </c>
      <c r="G117" s="4" t="s">
        <v>25</v>
      </c>
      <c r="H117" s="4" t="s">
        <v>35</v>
      </c>
      <c r="I117" s="5">
        <v>43952</v>
      </c>
      <c r="J117" s="6">
        <v>8006</v>
      </c>
      <c r="K117" s="70">
        <v>8006</v>
      </c>
      <c r="L117" s="6">
        <v>453.55700000000002</v>
      </c>
      <c r="M117" s="71">
        <v>453.55700000000002</v>
      </c>
      <c r="N117" s="6">
        <v>453.55700000000002</v>
      </c>
      <c r="O117" s="71">
        <v>453.55700000000002</v>
      </c>
      <c r="P117" s="6">
        <v>0</v>
      </c>
      <c r="Q117" s="4" t="s">
        <v>26</v>
      </c>
      <c r="R117" s="4">
        <v>0</v>
      </c>
      <c r="S117" s="6">
        <v>1</v>
      </c>
      <c r="T117" s="6">
        <v>3</v>
      </c>
      <c r="U117" s="6">
        <v>77</v>
      </c>
      <c r="V117" s="71">
        <f>IF(ISERROR(VLOOKUP($S$117,'TAR FIN'!$A$1:$O$120,15,0)),0,VLOOKUP($S$117,'TAR FIN'!$A$1:$O$120,15,0))*(1-0.12)</f>
        <v>8.3336000000000006</v>
      </c>
      <c r="W117" s="71">
        <f>IF(ISERROR(VLOOKUP($T$117,'TAR FIN'!$A$1:$O$120,15,0)),0,VLOOKUP($T$117,'TAR FIN'!$A$1:$O$120,15,0))*(1-0.12)</f>
        <v>55.131999999999998</v>
      </c>
      <c r="X117" s="71">
        <f>IF(ISERROR(VLOOKUP($U$117,'TAR FIN'!$A$1:$O$120,15,0)),0,VLOOKUP($U$117,'TAR FIN'!$A$1:$O$120,15,0))*(1-0.12)</f>
        <v>379.16559999999998</v>
      </c>
      <c r="Y117" s="71">
        <f ca="1">('TUSD BE'!$AM$5+'TUSD BF'!$AM$5+'TUSD CVA'!$AM$5)*1*(1-0.09)</f>
        <v>12.081627555675036</v>
      </c>
      <c r="Z117" s="71">
        <f ca="1">('TUSD BE'!$AM$7+'TUSD BF'!$AM$7+'TUSD CVA'!$AM$7)*1*(1-0.09)</f>
        <v>58.260148626390361</v>
      </c>
      <c r="AA117" s="71">
        <f>('TE BE'!$AA$5+'TE BF'!$AA$5+'TE CVA'!$AA$5)*1*(1-0.09)</f>
        <v>341.87954044517699</v>
      </c>
      <c r="AB117" s="6">
        <f>$K$117*$V$117</f>
        <v>66718.801600000006</v>
      </c>
      <c r="AC117" s="6">
        <f>$M$117*$W$117</f>
        <v>25005.504524</v>
      </c>
      <c r="AD117" s="6">
        <f>$O$117*$X$117</f>
        <v>171973.21203920001</v>
      </c>
      <c r="AE117" s="6">
        <f ca="1">$K$117*$Y$117</f>
        <v>96725.510210734341</v>
      </c>
      <c r="AF117" s="6">
        <f ca="1">$M$117*$Z$117</f>
        <v>26424.298230539735</v>
      </c>
      <c r="AG117" s="6">
        <f>$O$117*$AA$117</f>
        <v>155061.85872569314</v>
      </c>
    </row>
    <row r="118" spans="1:33" ht="11.25" customHeight="1" x14ac:dyDescent="0.25">
      <c r="A118" s="4" t="s">
        <v>21</v>
      </c>
      <c r="B118" s="4" t="s">
        <v>43</v>
      </c>
      <c r="C118" s="4" t="s">
        <v>41</v>
      </c>
      <c r="D118" s="4" t="s">
        <v>52</v>
      </c>
      <c r="E118" s="4" t="s">
        <v>53</v>
      </c>
      <c r="F118" s="4" t="s">
        <v>25</v>
      </c>
      <c r="G118" s="4" t="s">
        <v>25</v>
      </c>
      <c r="H118" s="4" t="s">
        <v>35</v>
      </c>
      <c r="I118" s="5">
        <v>43983</v>
      </c>
      <c r="J118" s="6">
        <v>8000</v>
      </c>
      <c r="K118" s="70">
        <v>8000</v>
      </c>
      <c r="L118" s="6">
        <v>524.23900000000003</v>
      </c>
      <c r="M118" s="71">
        <v>524.23900000000003</v>
      </c>
      <c r="N118" s="6">
        <v>524.23900000000003</v>
      </c>
      <c r="O118" s="71">
        <v>524.23900000000003</v>
      </c>
      <c r="P118" s="6">
        <v>0</v>
      </c>
      <c r="Q118" s="4" t="s">
        <v>26</v>
      </c>
      <c r="R118" s="4">
        <v>0</v>
      </c>
      <c r="S118" s="6">
        <v>1</v>
      </c>
      <c r="T118" s="6">
        <v>3</v>
      </c>
      <c r="U118" s="6">
        <v>77</v>
      </c>
      <c r="V118" s="71">
        <f>IF(ISERROR(VLOOKUP($S$118,'TAR FIN'!$A$1:$O$120,15,0)),0,VLOOKUP($S$118,'TAR FIN'!$A$1:$O$120,15,0))*(1-0.12)</f>
        <v>8.3336000000000006</v>
      </c>
      <c r="W118" s="71">
        <f>IF(ISERROR(VLOOKUP($T$118,'TAR FIN'!$A$1:$O$120,15,0)),0,VLOOKUP($T$118,'TAR FIN'!$A$1:$O$120,15,0))*(1-0.12)</f>
        <v>55.131999999999998</v>
      </c>
      <c r="X118" s="71">
        <f>IF(ISERROR(VLOOKUP($U$118,'TAR FIN'!$A$1:$O$120,15,0)),0,VLOOKUP($U$118,'TAR FIN'!$A$1:$O$120,15,0))*(1-0.12)</f>
        <v>379.16559999999998</v>
      </c>
      <c r="Y118" s="71">
        <f ca="1">('TUSD BE'!$AM$5+'TUSD BF'!$AM$5+'TUSD CVA'!$AM$5)*1*(1-0.09)</f>
        <v>12.081627555675036</v>
      </c>
      <c r="Z118" s="71">
        <f ca="1">('TUSD BE'!$AM$7+'TUSD BF'!$AM$7+'TUSD CVA'!$AM$7)*1*(1-0.09)</f>
        <v>58.260148626390361</v>
      </c>
      <c r="AA118" s="71">
        <f>('TE BE'!$AA$5+'TE BF'!$AA$5+'TE CVA'!$AA$5)*1*(1-0.09)</f>
        <v>341.87954044517699</v>
      </c>
      <c r="AB118" s="6">
        <f>$K$118*$V$118</f>
        <v>66668.800000000003</v>
      </c>
      <c r="AC118" s="6">
        <f>$M$118*$W$118</f>
        <v>28902.344548000001</v>
      </c>
      <c r="AD118" s="6">
        <f>$O$118*$X$118</f>
        <v>198773.3949784</v>
      </c>
      <c r="AE118" s="6">
        <f ca="1">$K$118*$Y$118</f>
        <v>96653.020445400281</v>
      </c>
      <c r="AF118" s="6">
        <f ca="1">$M$118*$Z$118</f>
        <v>30542.242055750259</v>
      </c>
      <c r="AG118" s="6">
        <f>$O$118*$AA$118</f>
        <v>179226.58840343915</v>
      </c>
    </row>
    <row r="119" spans="1:33" ht="11.25" customHeight="1" x14ac:dyDescent="0.25">
      <c r="A119" s="4" t="s">
        <v>21</v>
      </c>
      <c r="B119" s="4" t="s">
        <v>43</v>
      </c>
      <c r="C119" s="4" t="s">
        <v>41</v>
      </c>
      <c r="D119" s="4" t="s">
        <v>52</v>
      </c>
      <c r="E119" s="4" t="s">
        <v>53</v>
      </c>
      <c r="F119" s="4" t="s">
        <v>25</v>
      </c>
      <c r="G119" s="4" t="s">
        <v>25</v>
      </c>
      <c r="H119" s="4" t="s">
        <v>35</v>
      </c>
      <c r="I119" s="5">
        <v>44013</v>
      </c>
      <c r="J119" s="6">
        <v>8006</v>
      </c>
      <c r="K119" s="70">
        <v>8006</v>
      </c>
      <c r="L119" s="6">
        <v>499.96100000000001</v>
      </c>
      <c r="M119" s="71">
        <v>499.96100000000001</v>
      </c>
      <c r="N119" s="6">
        <v>499.96100000000001</v>
      </c>
      <c r="O119" s="71">
        <v>499.96100000000001</v>
      </c>
      <c r="P119" s="6">
        <v>0</v>
      </c>
      <c r="Q119" s="4" t="s">
        <v>26</v>
      </c>
      <c r="R119" s="4">
        <v>0</v>
      </c>
      <c r="S119" s="6">
        <v>1</v>
      </c>
      <c r="T119" s="6">
        <v>3</v>
      </c>
      <c r="U119" s="6">
        <v>77</v>
      </c>
      <c r="V119" s="71">
        <f>IF(ISERROR(VLOOKUP($S$119,'TAR FIN'!$A$1:$O$120,15,0)),0,VLOOKUP($S$119,'TAR FIN'!$A$1:$O$120,15,0))*(1-0.12)</f>
        <v>8.3336000000000006</v>
      </c>
      <c r="W119" s="71">
        <f>IF(ISERROR(VLOOKUP($T$119,'TAR FIN'!$A$1:$O$120,15,0)),0,VLOOKUP($T$119,'TAR FIN'!$A$1:$O$120,15,0))*(1-0.12)</f>
        <v>55.131999999999998</v>
      </c>
      <c r="X119" s="71">
        <f>IF(ISERROR(VLOOKUP($U$119,'TAR FIN'!$A$1:$O$120,15,0)),0,VLOOKUP($U$119,'TAR FIN'!$A$1:$O$120,15,0))*(1-0.12)</f>
        <v>379.16559999999998</v>
      </c>
      <c r="Y119" s="71">
        <f ca="1">('TUSD BE'!$AM$5+'TUSD BF'!$AM$5+'TUSD CVA'!$AM$5)*1*(1-0.09)</f>
        <v>12.081627555675036</v>
      </c>
      <c r="Z119" s="71">
        <f ca="1">('TUSD BE'!$AM$7+'TUSD BF'!$AM$7+'TUSD CVA'!$AM$7)*1*(1-0.09)</f>
        <v>58.260148626390361</v>
      </c>
      <c r="AA119" s="71">
        <f>('TE BE'!$AA$5+'TE BF'!$AA$5+'TE CVA'!$AA$5)*1*(1-0.09)</f>
        <v>341.87954044517699</v>
      </c>
      <c r="AB119" s="6">
        <f>$K$119*$V$119</f>
        <v>66718.801600000006</v>
      </c>
      <c r="AC119" s="6">
        <f>$M$119*$W$119</f>
        <v>27563.849851999999</v>
      </c>
      <c r="AD119" s="6">
        <f>$O$119*$X$119</f>
        <v>189568.01254160001</v>
      </c>
      <c r="AE119" s="6">
        <f ca="1">$K$119*$Y$119</f>
        <v>96725.510210734341</v>
      </c>
      <c r="AF119" s="6">
        <f ca="1">$M$119*$Z$119</f>
        <v>29127.802167398753</v>
      </c>
      <c r="AG119" s="6">
        <f>$O$119*$AA$119</f>
        <v>170926.43692051113</v>
      </c>
    </row>
    <row r="120" spans="1:33" ht="11.25" customHeight="1" x14ac:dyDescent="0.25">
      <c r="A120" s="4" t="s">
        <v>21</v>
      </c>
      <c r="B120" s="4" t="s">
        <v>43</v>
      </c>
      <c r="C120" s="4" t="s">
        <v>41</v>
      </c>
      <c r="D120" s="4" t="s">
        <v>52</v>
      </c>
      <c r="E120" s="4" t="s">
        <v>53</v>
      </c>
      <c r="F120" s="4" t="s">
        <v>25</v>
      </c>
      <c r="G120" s="4" t="s">
        <v>25</v>
      </c>
      <c r="H120" s="4" t="s">
        <v>35</v>
      </c>
      <c r="I120" s="5">
        <v>44044</v>
      </c>
      <c r="J120" s="6">
        <v>8006</v>
      </c>
      <c r="K120" s="70">
        <v>8006</v>
      </c>
      <c r="L120" s="6">
        <v>520.99900000000002</v>
      </c>
      <c r="M120" s="71">
        <v>520.99900000000002</v>
      </c>
      <c r="N120" s="6">
        <v>520.99900000000002</v>
      </c>
      <c r="O120" s="71">
        <v>520.99900000000002</v>
      </c>
      <c r="P120" s="6">
        <v>0</v>
      </c>
      <c r="Q120" s="4" t="s">
        <v>26</v>
      </c>
      <c r="R120" s="4">
        <v>0</v>
      </c>
      <c r="S120" s="6">
        <v>1</v>
      </c>
      <c r="T120" s="6">
        <v>3</v>
      </c>
      <c r="U120" s="6">
        <v>77</v>
      </c>
      <c r="V120" s="71">
        <f>IF(ISERROR(VLOOKUP($S$120,'TAR FIN'!$A$1:$O$120,15,0)),0,VLOOKUP($S$120,'TAR FIN'!$A$1:$O$120,15,0))*(1-0.12)</f>
        <v>8.3336000000000006</v>
      </c>
      <c r="W120" s="71">
        <f>IF(ISERROR(VLOOKUP($T$120,'TAR FIN'!$A$1:$O$120,15,0)),0,VLOOKUP($T$120,'TAR FIN'!$A$1:$O$120,15,0))*(1-0.12)</f>
        <v>55.131999999999998</v>
      </c>
      <c r="X120" s="71">
        <f>IF(ISERROR(VLOOKUP($U$120,'TAR FIN'!$A$1:$O$120,15,0)),0,VLOOKUP($U$120,'TAR FIN'!$A$1:$O$120,15,0))*(1-0.12)</f>
        <v>379.16559999999998</v>
      </c>
      <c r="Y120" s="71">
        <f ca="1">('TUSD BE'!$AM$5+'TUSD BF'!$AM$5+'TUSD CVA'!$AM$5)*1*(1-0.09)</f>
        <v>12.081627555675036</v>
      </c>
      <c r="Z120" s="71">
        <f ca="1">('TUSD BE'!$AM$7+'TUSD BF'!$AM$7+'TUSD CVA'!$AM$7)*1*(1-0.09)</f>
        <v>58.260148626390361</v>
      </c>
      <c r="AA120" s="71">
        <f>('TE BE'!$AA$5+'TE BF'!$AA$5+'TE CVA'!$AA$5)*1*(1-0.09)</f>
        <v>341.87954044517699</v>
      </c>
      <c r="AB120" s="6">
        <f>$K$120*$V$120</f>
        <v>66718.801600000006</v>
      </c>
      <c r="AC120" s="6">
        <f>$M$120*$W$120</f>
        <v>28723.716868</v>
      </c>
      <c r="AD120" s="6">
        <f>$O$120*$X$120</f>
        <v>197544.89843440001</v>
      </c>
      <c r="AE120" s="6">
        <f ca="1">$K$120*$Y$120</f>
        <v>96725.510210734341</v>
      </c>
      <c r="AF120" s="6">
        <f ca="1">$M$120*$Z$120</f>
        <v>30353.479174200755</v>
      </c>
      <c r="AG120" s="6">
        <f>$O$120*$AA$120</f>
        <v>178118.89869239676</v>
      </c>
    </row>
    <row r="121" spans="1:33" ht="11.25" customHeight="1" x14ac:dyDescent="0.25">
      <c r="A121" s="4" t="s">
        <v>59</v>
      </c>
      <c r="B121" s="4" t="s">
        <v>43</v>
      </c>
      <c r="C121" s="4" t="s">
        <v>41</v>
      </c>
      <c r="D121" s="4" t="s">
        <v>52</v>
      </c>
      <c r="E121" s="4" t="s">
        <v>53</v>
      </c>
      <c r="F121" s="4" t="s">
        <v>25</v>
      </c>
      <c r="G121" s="4" t="s">
        <v>25</v>
      </c>
      <c r="H121" s="4" t="s">
        <v>35</v>
      </c>
      <c r="I121" s="5">
        <v>44075</v>
      </c>
      <c r="J121" s="6">
        <v>8006</v>
      </c>
      <c r="K121" s="70">
        <v>8006</v>
      </c>
      <c r="L121" s="6">
        <v>520.99900000000002</v>
      </c>
      <c r="M121" s="71">
        <v>520.99900000000002</v>
      </c>
      <c r="N121" s="6">
        <v>520.99900000000002</v>
      </c>
      <c r="O121" s="71">
        <v>520.99900000000002</v>
      </c>
      <c r="P121" s="6">
        <v>0</v>
      </c>
      <c r="Q121" s="4" t="s">
        <v>26</v>
      </c>
      <c r="R121" s="4">
        <v>0</v>
      </c>
      <c r="S121" s="6">
        <v>1</v>
      </c>
      <c r="T121" s="6">
        <v>3</v>
      </c>
      <c r="U121" s="6">
        <v>77</v>
      </c>
      <c r="V121" s="71">
        <f>IF(ISERROR(VLOOKUP($S$121,'TAR FIN'!$A$1:$O$120,15,0)),0,VLOOKUP($S$121,'TAR FIN'!$A$1:$O$120,15,0))*(1-0.12)</f>
        <v>8.3336000000000006</v>
      </c>
      <c r="W121" s="71">
        <f>IF(ISERROR(VLOOKUP($T$121,'TAR FIN'!$A$1:$O$120,15,0)),0,VLOOKUP($T$121,'TAR FIN'!$A$1:$O$120,15,0))*(1-0.12)</f>
        <v>55.131999999999998</v>
      </c>
      <c r="X121" s="71">
        <f>IF(ISERROR(VLOOKUP($U$121,'TAR FIN'!$A$1:$O$120,15,0)),0,VLOOKUP($U$121,'TAR FIN'!$A$1:$O$120,15,0))*(1-0.12)</f>
        <v>379.16559999999998</v>
      </c>
      <c r="Y121" s="71">
        <f ca="1">('TUSD BE'!$AM$5+'TUSD BF'!$AM$5+'TUSD CVA'!$AM$5)*1*(1-0.09)</f>
        <v>12.081627555675036</v>
      </c>
      <c r="Z121" s="71">
        <f ca="1">('TUSD BE'!$AM$7+'TUSD BF'!$AM$7+'TUSD CVA'!$AM$7)*1*(1-0.09)</f>
        <v>58.260148626390361</v>
      </c>
      <c r="AA121" s="71">
        <f>('TE BE'!$AA$5+'TE BF'!$AA$5+'TE CVA'!$AA$5)*1*(1-0.09)</f>
        <v>341.87954044517699</v>
      </c>
      <c r="AB121" s="6">
        <f>$K$121*$V$121</f>
        <v>66718.801600000006</v>
      </c>
      <c r="AC121" s="6">
        <f>$M$121*$W$121</f>
        <v>28723.716868</v>
      </c>
      <c r="AD121" s="6">
        <f>$O$121*$X$121</f>
        <v>197544.89843440001</v>
      </c>
      <c r="AE121" s="6">
        <f ca="1">$K$121*$Y$121</f>
        <v>96725.510210734341</v>
      </c>
      <c r="AF121" s="6">
        <f ca="1">$M$121*$Z$121</f>
        <v>30353.479174200755</v>
      </c>
      <c r="AG121" s="6">
        <f>$O$121*$AA$121</f>
        <v>178118.89869239676</v>
      </c>
    </row>
    <row r="122" spans="1:33" ht="11.25" customHeight="1" x14ac:dyDescent="0.25">
      <c r="A122" s="4" t="s">
        <v>21</v>
      </c>
      <c r="B122" s="4" t="s">
        <v>43</v>
      </c>
      <c r="C122" s="4" t="s">
        <v>67</v>
      </c>
      <c r="D122" s="4" t="s">
        <v>25</v>
      </c>
      <c r="E122" s="4" t="s">
        <v>25</v>
      </c>
      <c r="F122" s="4" t="s">
        <v>25</v>
      </c>
      <c r="G122" s="4" t="s">
        <v>68</v>
      </c>
      <c r="H122" s="4" t="s">
        <v>36</v>
      </c>
      <c r="I122" s="5">
        <v>43739</v>
      </c>
      <c r="J122" s="6">
        <v>62639</v>
      </c>
      <c r="K122" s="6">
        <v>62639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4" t="s">
        <v>69</v>
      </c>
      <c r="R122" s="4">
        <v>6072</v>
      </c>
      <c r="S122" s="6">
        <v>6</v>
      </c>
      <c r="T122" s="6">
        <v>0</v>
      </c>
      <c r="U122" s="6">
        <v>0</v>
      </c>
      <c r="V122" s="6">
        <f>IF(ISERROR(VLOOKUP($S$122,'TAR FIN'!$A$1:$O$120,15,0)),0,VLOOKUP($S$122,'TAR FIN'!$A$1:$O$120,15,0))</f>
        <v>5.4</v>
      </c>
      <c r="W122" s="6">
        <f>IF(ISERROR(VLOOKUP($T$122,'TAR FIN'!$A$1:$O$120,15,0)),0,VLOOKUP($T$122,'TAR FIN'!$A$1:$O$120,15,0))</f>
        <v>0</v>
      </c>
      <c r="X122" s="6">
        <f>IF(ISERROR(VLOOKUP($U$122,'TAR FIN'!$A$1:$O$120,15,0)),0,VLOOKUP($U$122,'TAR FIN'!$A$1:$O$120,15,0))</f>
        <v>0</v>
      </c>
      <c r="Y122" s="6">
        <f ca="1">('TUSD BE'!$AM$10+'TUSD BF'!$AM$10+'TUSD CVA'!$AM$10)*1</f>
        <v>8.2823716907665279</v>
      </c>
      <c r="Z122" s="6">
        <f ca="1">('TUSD BE'!$AM$11+'TUSD BF'!$AM$11+'TUSD CVA'!$AM$11)*1</f>
        <v>4.2693586300165443</v>
      </c>
      <c r="AA122" s="6"/>
      <c r="AB122" s="6">
        <f>$K$122*$V$122</f>
        <v>338250.60000000003</v>
      </c>
      <c r="AC122" s="6">
        <f>$M$122*$W$122</f>
        <v>0</v>
      </c>
      <c r="AD122" s="6">
        <f>$O$122*$X$122</f>
        <v>0</v>
      </c>
      <c r="AE122" s="6">
        <f ca="1">$K$122*$Y$122</f>
        <v>518799.48033792456</v>
      </c>
      <c r="AF122" s="6">
        <f ca="1">$M$122*$Z$122</f>
        <v>0</v>
      </c>
      <c r="AG122" s="6">
        <f>$O$122*$AA$122</f>
        <v>0</v>
      </c>
    </row>
    <row r="123" spans="1:33" ht="11.25" customHeight="1" x14ac:dyDescent="0.25">
      <c r="A123" s="4" t="s">
        <v>21</v>
      </c>
      <c r="B123" s="4" t="s">
        <v>43</v>
      </c>
      <c r="C123" s="4" t="s">
        <v>67</v>
      </c>
      <c r="D123" s="4" t="s">
        <v>25</v>
      </c>
      <c r="E123" s="4" t="s">
        <v>25</v>
      </c>
      <c r="F123" s="4" t="s">
        <v>25</v>
      </c>
      <c r="G123" s="4" t="s">
        <v>68</v>
      </c>
      <c r="H123" s="4" t="s">
        <v>36</v>
      </c>
      <c r="I123" s="5">
        <v>43770</v>
      </c>
      <c r="J123" s="6">
        <v>62639</v>
      </c>
      <c r="K123" s="6">
        <v>62639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4" t="s">
        <v>69</v>
      </c>
      <c r="R123" s="4">
        <v>6072</v>
      </c>
      <c r="S123" s="6">
        <v>6</v>
      </c>
      <c r="T123" s="6">
        <v>0</v>
      </c>
      <c r="U123" s="6">
        <v>0</v>
      </c>
      <c r="V123" s="6">
        <f>IF(ISERROR(VLOOKUP($S$123,'TAR FIN'!$A$1:$O$120,15,0)),0,VLOOKUP($S$123,'TAR FIN'!$A$1:$O$120,15,0))</f>
        <v>5.4</v>
      </c>
      <c r="W123" s="6">
        <f>IF(ISERROR(VLOOKUP($T$123,'TAR FIN'!$A$1:$O$120,15,0)),0,VLOOKUP($T$123,'TAR FIN'!$A$1:$O$120,15,0))</f>
        <v>0</v>
      </c>
      <c r="X123" s="6">
        <f>IF(ISERROR(VLOOKUP($U$123,'TAR FIN'!$A$1:$O$120,15,0)),0,VLOOKUP($U$123,'TAR FIN'!$A$1:$O$120,15,0))</f>
        <v>0</v>
      </c>
      <c r="Y123" s="6">
        <f ca="1">('TUSD BE'!$AM$10+'TUSD BF'!$AM$10+'TUSD CVA'!$AM$10)*1</f>
        <v>8.2823716907665279</v>
      </c>
      <c r="Z123" s="6">
        <f ca="1">('TUSD BE'!$AM$11+'TUSD BF'!$AM$11+'TUSD CVA'!$AM$11)*1</f>
        <v>4.2693586300165443</v>
      </c>
      <c r="AA123" s="6"/>
      <c r="AB123" s="6">
        <f>$K$123*$V$123</f>
        <v>338250.60000000003</v>
      </c>
      <c r="AC123" s="6">
        <f>$M$123*$W$123</f>
        <v>0</v>
      </c>
      <c r="AD123" s="6">
        <f>$O$123*$X$123</f>
        <v>0</v>
      </c>
      <c r="AE123" s="6">
        <f ca="1">$K$123*$Y$123</f>
        <v>518799.48033792456</v>
      </c>
      <c r="AF123" s="6">
        <f ca="1">$M$123*$Z$123</f>
        <v>0</v>
      </c>
      <c r="AG123" s="6">
        <f>$O$123*$AA$123</f>
        <v>0</v>
      </c>
    </row>
    <row r="124" spans="1:33" ht="11.25" customHeight="1" x14ac:dyDescent="0.25">
      <c r="A124" s="4" t="s">
        <v>21</v>
      </c>
      <c r="B124" s="4" t="s">
        <v>43</v>
      </c>
      <c r="C124" s="4" t="s">
        <v>67</v>
      </c>
      <c r="D124" s="4" t="s">
        <v>25</v>
      </c>
      <c r="E124" s="4" t="s">
        <v>25</v>
      </c>
      <c r="F124" s="4" t="s">
        <v>25</v>
      </c>
      <c r="G124" s="4" t="s">
        <v>68</v>
      </c>
      <c r="H124" s="4" t="s">
        <v>36</v>
      </c>
      <c r="I124" s="5">
        <v>43800</v>
      </c>
      <c r="J124" s="6">
        <v>62639</v>
      </c>
      <c r="K124" s="6">
        <v>62639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4" t="s">
        <v>69</v>
      </c>
      <c r="R124" s="4">
        <v>6072</v>
      </c>
      <c r="S124" s="6">
        <v>6</v>
      </c>
      <c r="T124" s="6">
        <v>0</v>
      </c>
      <c r="U124" s="6">
        <v>0</v>
      </c>
      <c r="V124" s="6">
        <f>IF(ISERROR(VLOOKUP($S$124,'TAR FIN'!$A$1:$O$120,15,0)),0,VLOOKUP($S$124,'TAR FIN'!$A$1:$O$120,15,0))</f>
        <v>5.4</v>
      </c>
      <c r="W124" s="6">
        <f>IF(ISERROR(VLOOKUP($T$124,'TAR FIN'!$A$1:$O$120,15,0)),0,VLOOKUP($T$124,'TAR FIN'!$A$1:$O$120,15,0))</f>
        <v>0</v>
      </c>
      <c r="X124" s="6">
        <f>IF(ISERROR(VLOOKUP($U$124,'TAR FIN'!$A$1:$O$120,15,0)),0,VLOOKUP($U$124,'TAR FIN'!$A$1:$O$120,15,0))</f>
        <v>0</v>
      </c>
      <c r="Y124" s="6">
        <f ca="1">('TUSD BE'!$AM$10+'TUSD BF'!$AM$10+'TUSD CVA'!$AM$10)*1</f>
        <v>8.2823716907665279</v>
      </c>
      <c r="Z124" s="6">
        <f ca="1">('TUSD BE'!$AM$11+'TUSD BF'!$AM$11+'TUSD CVA'!$AM$11)*1</f>
        <v>4.2693586300165443</v>
      </c>
      <c r="AA124" s="6"/>
      <c r="AB124" s="6">
        <f>$K$124*$V$124</f>
        <v>338250.60000000003</v>
      </c>
      <c r="AC124" s="6">
        <f>$M$124*$W$124</f>
        <v>0</v>
      </c>
      <c r="AD124" s="6">
        <f>$O$124*$X$124</f>
        <v>0</v>
      </c>
      <c r="AE124" s="6">
        <f ca="1">$K$124*$Y$124</f>
        <v>518799.48033792456</v>
      </c>
      <c r="AF124" s="6">
        <f ca="1">$M$124*$Z$124</f>
        <v>0</v>
      </c>
      <c r="AG124" s="6">
        <f>$O$124*$AA$124</f>
        <v>0</v>
      </c>
    </row>
    <row r="125" spans="1:33" ht="11.25" customHeight="1" x14ac:dyDescent="0.25">
      <c r="A125" s="4" t="s">
        <v>21</v>
      </c>
      <c r="B125" s="4" t="s">
        <v>43</v>
      </c>
      <c r="C125" s="4" t="s">
        <v>67</v>
      </c>
      <c r="D125" s="4" t="s">
        <v>25</v>
      </c>
      <c r="E125" s="4" t="s">
        <v>25</v>
      </c>
      <c r="F125" s="4" t="s">
        <v>25</v>
      </c>
      <c r="G125" s="4" t="s">
        <v>68</v>
      </c>
      <c r="H125" s="4" t="s">
        <v>36</v>
      </c>
      <c r="I125" s="5">
        <v>43831</v>
      </c>
      <c r="J125" s="6">
        <v>62639</v>
      </c>
      <c r="K125" s="6">
        <v>62639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4" t="s">
        <v>69</v>
      </c>
      <c r="R125" s="4">
        <v>6072</v>
      </c>
      <c r="S125" s="6">
        <v>6</v>
      </c>
      <c r="T125" s="6">
        <v>0</v>
      </c>
      <c r="U125" s="6">
        <v>0</v>
      </c>
      <c r="V125" s="6">
        <f>IF(ISERROR(VLOOKUP($S$125,'TAR FIN'!$A$1:$O$120,15,0)),0,VLOOKUP($S$125,'TAR FIN'!$A$1:$O$120,15,0))</f>
        <v>5.4</v>
      </c>
      <c r="W125" s="6">
        <f>IF(ISERROR(VLOOKUP($T$125,'TAR FIN'!$A$1:$O$120,15,0)),0,VLOOKUP($T$125,'TAR FIN'!$A$1:$O$120,15,0))</f>
        <v>0</v>
      </c>
      <c r="X125" s="6">
        <f>IF(ISERROR(VLOOKUP($U$125,'TAR FIN'!$A$1:$O$120,15,0)),0,VLOOKUP($U$125,'TAR FIN'!$A$1:$O$120,15,0))</f>
        <v>0</v>
      </c>
      <c r="Y125" s="6">
        <f ca="1">('TUSD BE'!$AM$10+'TUSD BF'!$AM$10+'TUSD CVA'!$AM$10)*1</f>
        <v>8.2823716907665279</v>
      </c>
      <c r="Z125" s="6">
        <f ca="1">('TUSD BE'!$AM$11+'TUSD BF'!$AM$11+'TUSD CVA'!$AM$11)*1</f>
        <v>4.2693586300165443</v>
      </c>
      <c r="AA125" s="6"/>
      <c r="AB125" s="6">
        <f>$K$125*$V$125</f>
        <v>338250.60000000003</v>
      </c>
      <c r="AC125" s="6">
        <f>$M$125*$W$125</f>
        <v>0</v>
      </c>
      <c r="AD125" s="6">
        <f>$O$125*$X$125</f>
        <v>0</v>
      </c>
      <c r="AE125" s="6">
        <f ca="1">$K$125*$Y$125</f>
        <v>518799.48033792456</v>
      </c>
      <c r="AF125" s="6">
        <f ca="1">$M$125*$Z$125</f>
        <v>0</v>
      </c>
      <c r="AG125" s="6">
        <f>$O$125*$AA$125</f>
        <v>0</v>
      </c>
    </row>
    <row r="126" spans="1:33" ht="11.25" customHeight="1" x14ac:dyDescent="0.25">
      <c r="A126" s="4" t="s">
        <v>21</v>
      </c>
      <c r="B126" s="4" t="s">
        <v>43</v>
      </c>
      <c r="C126" s="4" t="s">
        <v>67</v>
      </c>
      <c r="D126" s="4" t="s">
        <v>25</v>
      </c>
      <c r="E126" s="4" t="s">
        <v>25</v>
      </c>
      <c r="F126" s="4" t="s">
        <v>25</v>
      </c>
      <c r="G126" s="4" t="s">
        <v>68</v>
      </c>
      <c r="H126" s="4" t="s">
        <v>36</v>
      </c>
      <c r="I126" s="5">
        <v>43862</v>
      </c>
      <c r="J126" s="6">
        <v>62639</v>
      </c>
      <c r="K126" s="6">
        <v>62639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4" t="s">
        <v>69</v>
      </c>
      <c r="R126" s="4">
        <v>6072</v>
      </c>
      <c r="S126" s="6">
        <v>6</v>
      </c>
      <c r="T126" s="6">
        <v>0</v>
      </c>
      <c r="U126" s="6">
        <v>0</v>
      </c>
      <c r="V126" s="6">
        <f>IF(ISERROR(VLOOKUP($S$126,'TAR FIN'!$A$1:$O$120,15,0)),0,VLOOKUP($S$126,'TAR FIN'!$A$1:$O$120,15,0))</f>
        <v>5.4</v>
      </c>
      <c r="W126" s="6">
        <f>IF(ISERROR(VLOOKUP($T$126,'TAR FIN'!$A$1:$O$120,15,0)),0,VLOOKUP($T$126,'TAR FIN'!$A$1:$O$120,15,0))</f>
        <v>0</v>
      </c>
      <c r="X126" s="6">
        <f>IF(ISERROR(VLOOKUP($U$126,'TAR FIN'!$A$1:$O$120,15,0)),0,VLOOKUP($U$126,'TAR FIN'!$A$1:$O$120,15,0))</f>
        <v>0</v>
      </c>
      <c r="Y126" s="6">
        <f ca="1">('TUSD BE'!$AM$10+'TUSD BF'!$AM$10+'TUSD CVA'!$AM$10)*1</f>
        <v>8.2823716907665279</v>
      </c>
      <c r="Z126" s="6">
        <f ca="1">('TUSD BE'!$AM$11+'TUSD BF'!$AM$11+'TUSD CVA'!$AM$11)*1</f>
        <v>4.2693586300165443</v>
      </c>
      <c r="AA126" s="6"/>
      <c r="AB126" s="6">
        <f>$K$126*$V$126</f>
        <v>338250.60000000003</v>
      </c>
      <c r="AC126" s="6">
        <f>$M$126*$W$126</f>
        <v>0</v>
      </c>
      <c r="AD126" s="6">
        <f>$O$126*$X$126</f>
        <v>0</v>
      </c>
      <c r="AE126" s="6">
        <f ca="1">$K$126*$Y$126</f>
        <v>518799.48033792456</v>
      </c>
      <c r="AF126" s="6">
        <f ca="1">$M$126*$Z$126</f>
        <v>0</v>
      </c>
      <c r="AG126" s="6">
        <f>$O$126*$AA$126</f>
        <v>0</v>
      </c>
    </row>
    <row r="127" spans="1:33" ht="11.25" customHeight="1" x14ac:dyDescent="0.25">
      <c r="A127" s="4" t="s">
        <v>21</v>
      </c>
      <c r="B127" s="4" t="s">
        <v>43</v>
      </c>
      <c r="C127" s="4" t="s">
        <v>67</v>
      </c>
      <c r="D127" s="4" t="s">
        <v>25</v>
      </c>
      <c r="E127" s="4" t="s">
        <v>25</v>
      </c>
      <c r="F127" s="4" t="s">
        <v>25</v>
      </c>
      <c r="G127" s="4" t="s">
        <v>68</v>
      </c>
      <c r="H127" s="4" t="s">
        <v>36</v>
      </c>
      <c r="I127" s="5">
        <v>43891</v>
      </c>
      <c r="J127" s="6">
        <v>62639</v>
      </c>
      <c r="K127" s="6">
        <v>62639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4" t="s">
        <v>69</v>
      </c>
      <c r="R127" s="4">
        <v>6072</v>
      </c>
      <c r="S127" s="6">
        <v>6</v>
      </c>
      <c r="T127" s="6">
        <v>0</v>
      </c>
      <c r="U127" s="6">
        <v>0</v>
      </c>
      <c r="V127" s="6">
        <f>IF(ISERROR(VLOOKUP($S$127,'TAR FIN'!$A$1:$O$120,15,0)),0,VLOOKUP($S$127,'TAR FIN'!$A$1:$O$120,15,0))</f>
        <v>5.4</v>
      </c>
      <c r="W127" s="6">
        <f>IF(ISERROR(VLOOKUP($T$127,'TAR FIN'!$A$1:$O$120,15,0)),0,VLOOKUP($T$127,'TAR FIN'!$A$1:$O$120,15,0))</f>
        <v>0</v>
      </c>
      <c r="X127" s="6">
        <f>IF(ISERROR(VLOOKUP($U$127,'TAR FIN'!$A$1:$O$120,15,0)),0,VLOOKUP($U$127,'TAR FIN'!$A$1:$O$120,15,0))</f>
        <v>0</v>
      </c>
      <c r="Y127" s="6">
        <f ca="1">('TUSD BE'!$AM$10+'TUSD BF'!$AM$10+'TUSD CVA'!$AM$10)*1</f>
        <v>8.2823716907665279</v>
      </c>
      <c r="Z127" s="6">
        <f ca="1">('TUSD BE'!$AM$11+'TUSD BF'!$AM$11+'TUSD CVA'!$AM$11)*1</f>
        <v>4.2693586300165443</v>
      </c>
      <c r="AA127" s="6"/>
      <c r="AB127" s="6">
        <f>$K$127*$V$127</f>
        <v>338250.60000000003</v>
      </c>
      <c r="AC127" s="6">
        <f>$M$127*$W$127</f>
        <v>0</v>
      </c>
      <c r="AD127" s="6">
        <f>$O$127*$X$127</f>
        <v>0</v>
      </c>
      <c r="AE127" s="6">
        <f ca="1">$K$127*$Y$127</f>
        <v>518799.48033792456</v>
      </c>
      <c r="AF127" s="6">
        <f ca="1">$M$127*$Z$127</f>
        <v>0</v>
      </c>
      <c r="AG127" s="6">
        <f>$O$127*$AA$127</f>
        <v>0</v>
      </c>
    </row>
    <row r="128" spans="1:33" ht="11.25" customHeight="1" x14ac:dyDescent="0.25">
      <c r="A128" s="4" t="s">
        <v>21</v>
      </c>
      <c r="B128" s="4" t="s">
        <v>43</v>
      </c>
      <c r="C128" s="4" t="s">
        <v>67</v>
      </c>
      <c r="D128" s="4" t="s">
        <v>25</v>
      </c>
      <c r="E128" s="4" t="s">
        <v>25</v>
      </c>
      <c r="F128" s="4" t="s">
        <v>25</v>
      </c>
      <c r="G128" s="4" t="s">
        <v>68</v>
      </c>
      <c r="H128" s="4" t="s">
        <v>36</v>
      </c>
      <c r="I128" s="5">
        <v>43922</v>
      </c>
      <c r="J128" s="6">
        <v>62639</v>
      </c>
      <c r="K128" s="6">
        <v>62639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4" t="s">
        <v>69</v>
      </c>
      <c r="R128" s="4">
        <v>6072</v>
      </c>
      <c r="S128" s="6">
        <v>6</v>
      </c>
      <c r="T128" s="6">
        <v>0</v>
      </c>
      <c r="U128" s="6">
        <v>0</v>
      </c>
      <c r="V128" s="6">
        <f>IF(ISERROR(VLOOKUP($S$128,'TAR FIN'!$A$1:$O$120,15,0)),0,VLOOKUP($S$128,'TAR FIN'!$A$1:$O$120,15,0))</f>
        <v>5.4</v>
      </c>
      <c r="W128" s="6">
        <f>IF(ISERROR(VLOOKUP($T$128,'TAR FIN'!$A$1:$O$120,15,0)),0,VLOOKUP($T$128,'TAR FIN'!$A$1:$O$120,15,0))</f>
        <v>0</v>
      </c>
      <c r="X128" s="6">
        <f>IF(ISERROR(VLOOKUP($U$128,'TAR FIN'!$A$1:$O$120,15,0)),0,VLOOKUP($U$128,'TAR FIN'!$A$1:$O$120,15,0))</f>
        <v>0</v>
      </c>
      <c r="Y128" s="6">
        <f ca="1">('TUSD BE'!$AM$10+'TUSD BF'!$AM$10+'TUSD CVA'!$AM$10)*1</f>
        <v>8.2823716907665279</v>
      </c>
      <c r="Z128" s="6">
        <f ca="1">('TUSD BE'!$AM$11+'TUSD BF'!$AM$11+'TUSD CVA'!$AM$11)*1</f>
        <v>4.2693586300165443</v>
      </c>
      <c r="AA128" s="6"/>
      <c r="AB128" s="6">
        <f>$K$128*$V$128</f>
        <v>338250.60000000003</v>
      </c>
      <c r="AC128" s="6">
        <f>$M$128*$W$128</f>
        <v>0</v>
      </c>
      <c r="AD128" s="6">
        <f>$O$128*$X$128</f>
        <v>0</v>
      </c>
      <c r="AE128" s="6">
        <f ca="1">$K$128*$Y$128</f>
        <v>518799.48033792456</v>
      </c>
      <c r="AF128" s="6">
        <f ca="1">$M$128*$Z$128</f>
        <v>0</v>
      </c>
      <c r="AG128" s="6">
        <f>$O$128*$AA$128</f>
        <v>0</v>
      </c>
    </row>
    <row r="129" spans="1:33" ht="11.25" customHeight="1" x14ac:dyDescent="0.25">
      <c r="A129" s="4" t="s">
        <v>21</v>
      </c>
      <c r="B129" s="4" t="s">
        <v>43</v>
      </c>
      <c r="C129" s="4" t="s">
        <v>67</v>
      </c>
      <c r="D129" s="4" t="s">
        <v>25</v>
      </c>
      <c r="E129" s="4" t="s">
        <v>25</v>
      </c>
      <c r="F129" s="4" t="s">
        <v>25</v>
      </c>
      <c r="G129" s="4" t="s">
        <v>68</v>
      </c>
      <c r="H129" s="4" t="s">
        <v>36</v>
      </c>
      <c r="I129" s="5">
        <v>43952</v>
      </c>
      <c r="J129" s="6">
        <v>62639</v>
      </c>
      <c r="K129" s="6">
        <v>62639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4" t="s">
        <v>69</v>
      </c>
      <c r="R129" s="4">
        <v>6072</v>
      </c>
      <c r="S129" s="6">
        <v>6</v>
      </c>
      <c r="T129" s="6">
        <v>0</v>
      </c>
      <c r="U129" s="6">
        <v>0</v>
      </c>
      <c r="V129" s="6">
        <f>IF(ISERROR(VLOOKUP($S$129,'TAR FIN'!$A$1:$O$120,15,0)),0,VLOOKUP($S$129,'TAR FIN'!$A$1:$O$120,15,0))</f>
        <v>5.4</v>
      </c>
      <c r="W129" s="6">
        <f>IF(ISERROR(VLOOKUP($T$129,'TAR FIN'!$A$1:$O$120,15,0)),0,VLOOKUP($T$129,'TAR FIN'!$A$1:$O$120,15,0))</f>
        <v>0</v>
      </c>
      <c r="X129" s="6">
        <f>IF(ISERROR(VLOOKUP($U$129,'TAR FIN'!$A$1:$O$120,15,0)),0,VLOOKUP($U$129,'TAR FIN'!$A$1:$O$120,15,0))</f>
        <v>0</v>
      </c>
      <c r="Y129" s="6">
        <f ca="1">('TUSD BE'!$AM$10+'TUSD BF'!$AM$10+'TUSD CVA'!$AM$10)*1</f>
        <v>8.2823716907665279</v>
      </c>
      <c r="Z129" s="6">
        <f ca="1">('TUSD BE'!$AM$11+'TUSD BF'!$AM$11+'TUSD CVA'!$AM$11)*1</f>
        <v>4.2693586300165443</v>
      </c>
      <c r="AA129" s="6"/>
      <c r="AB129" s="6">
        <f>$K$129*$V$129</f>
        <v>338250.60000000003</v>
      </c>
      <c r="AC129" s="6">
        <f>$M$129*$W$129</f>
        <v>0</v>
      </c>
      <c r="AD129" s="6">
        <f>$O$129*$X$129</f>
        <v>0</v>
      </c>
      <c r="AE129" s="6">
        <f ca="1">$K$129*$Y$129</f>
        <v>518799.48033792456</v>
      </c>
      <c r="AF129" s="6">
        <f ca="1">$M$129*$Z$129</f>
        <v>0</v>
      </c>
      <c r="AG129" s="6">
        <f>$O$129*$AA$129</f>
        <v>0</v>
      </c>
    </row>
    <row r="130" spans="1:33" ht="11.25" customHeight="1" x14ac:dyDescent="0.25">
      <c r="A130" s="4" t="s">
        <v>21</v>
      </c>
      <c r="B130" s="4" t="s">
        <v>43</v>
      </c>
      <c r="C130" s="4" t="s">
        <v>67</v>
      </c>
      <c r="D130" s="4" t="s">
        <v>25</v>
      </c>
      <c r="E130" s="4" t="s">
        <v>25</v>
      </c>
      <c r="F130" s="4" t="s">
        <v>25</v>
      </c>
      <c r="G130" s="4" t="s">
        <v>68</v>
      </c>
      <c r="H130" s="4" t="s">
        <v>36</v>
      </c>
      <c r="I130" s="5">
        <v>43983</v>
      </c>
      <c r="J130" s="6">
        <v>62639</v>
      </c>
      <c r="K130" s="6">
        <v>62639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4" t="s">
        <v>69</v>
      </c>
      <c r="R130" s="4">
        <v>6072</v>
      </c>
      <c r="S130" s="6">
        <v>6</v>
      </c>
      <c r="T130" s="6">
        <v>0</v>
      </c>
      <c r="U130" s="6">
        <v>0</v>
      </c>
      <c r="V130" s="6">
        <f>IF(ISERROR(VLOOKUP($S$130,'TAR FIN'!$A$1:$O$120,15,0)),0,VLOOKUP($S$130,'TAR FIN'!$A$1:$O$120,15,0))</f>
        <v>5.4</v>
      </c>
      <c r="W130" s="6">
        <f>IF(ISERROR(VLOOKUP($T$130,'TAR FIN'!$A$1:$O$120,15,0)),0,VLOOKUP($T$130,'TAR FIN'!$A$1:$O$120,15,0))</f>
        <v>0</v>
      </c>
      <c r="X130" s="6">
        <f>IF(ISERROR(VLOOKUP($U$130,'TAR FIN'!$A$1:$O$120,15,0)),0,VLOOKUP($U$130,'TAR FIN'!$A$1:$O$120,15,0))</f>
        <v>0</v>
      </c>
      <c r="Y130" s="6">
        <f ca="1">('TUSD BE'!$AM$10+'TUSD BF'!$AM$10+'TUSD CVA'!$AM$10)*1</f>
        <v>8.2823716907665279</v>
      </c>
      <c r="Z130" s="6">
        <f ca="1">('TUSD BE'!$AM$11+'TUSD BF'!$AM$11+'TUSD CVA'!$AM$11)*1</f>
        <v>4.2693586300165443</v>
      </c>
      <c r="AA130" s="6"/>
      <c r="AB130" s="6">
        <f>$K$130*$V$130</f>
        <v>338250.60000000003</v>
      </c>
      <c r="AC130" s="6">
        <f>$M$130*$W$130</f>
        <v>0</v>
      </c>
      <c r="AD130" s="6">
        <f>$O$130*$X$130</f>
        <v>0</v>
      </c>
      <c r="AE130" s="6">
        <f ca="1">$K$130*$Y$130</f>
        <v>518799.48033792456</v>
      </c>
      <c r="AF130" s="6">
        <f ca="1">$M$130*$Z$130</f>
        <v>0</v>
      </c>
      <c r="AG130" s="6">
        <f>$O$130*$AA$130</f>
        <v>0</v>
      </c>
    </row>
    <row r="131" spans="1:33" ht="11.25" customHeight="1" x14ac:dyDescent="0.25">
      <c r="A131" s="4" t="s">
        <v>21</v>
      </c>
      <c r="B131" s="4" t="s">
        <v>43</v>
      </c>
      <c r="C131" s="4" t="s">
        <v>67</v>
      </c>
      <c r="D131" s="4" t="s">
        <v>25</v>
      </c>
      <c r="E131" s="4" t="s">
        <v>25</v>
      </c>
      <c r="F131" s="4" t="s">
        <v>25</v>
      </c>
      <c r="G131" s="4" t="s">
        <v>68</v>
      </c>
      <c r="H131" s="4" t="s">
        <v>36</v>
      </c>
      <c r="I131" s="5">
        <v>44013</v>
      </c>
      <c r="J131" s="6">
        <v>62639</v>
      </c>
      <c r="K131" s="6">
        <v>62639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4" t="s">
        <v>69</v>
      </c>
      <c r="R131" s="4">
        <v>6072</v>
      </c>
      <c r="S131" s="6">
        <v>6</v>
      </c>
      <c r="T131" s="6">
        <v>0</v>
      </c>
      <c r="U131" s="6">
        <v>0</v>
      </c>
      <c r="V131" s="6">
        <f>IF(ISERROR(VLOOKUP($S$131,'TAR FIN'!$A$1:$O$120,15,0)),0,VLOOKUP($S$131,'TAR FIN'!$A$1:$O$120,15,0))</f>
        <v>5.4</v>
      </c>
      <c r="W131" s="6">
        <f>IF(ISERROR(VLOOKUP($T$131,'TAR FIN'!$A$1:$O$120,15,0)),0,VLOOKUP($T$131,'TAR FIN'!$A$1:$O$120,15,0))</f>
        <v>0</v>
      </c>
      <c r="X131" s="6">
        <f>IF(ISERROR(VLOOKUP($U$131,'TAR FIN'!$A$1:$O$120,15,0)),0,VLOOKUP($U$131,'TAR FIN'!$A$1:$O$120,15,0))</f>
        <v>0</v>
      </c>
      <c r="Y131" s="6">
        <f ca="1">('TUSD BE'!$AM$10+'TUSD BF'!$AM$10+'TUSD CVA'!$AM$10)*1</f>
        <v>8.2823716907665279</v>
      </c>
      <c r="Z131" s="6">
        <f ca="1">('TUSD BE'!$AM$11+'TUSD BF'!$AM$11+'TUSD CVA'!$AM$11)*1</f>
        <v>4.2693586300165443</v>
      </c>
      <c r="AA131" s="6"/>
      <c r="AB131" s="6">
        <f>$K$131*$V$131</f>
        <v>338250.60000000003</v>
      </c>
      <c r="AC131" s="6">
        <f>$M$131*$W$131</f>
        <v>0</v>
      </c>
      <c r="AD131" s="6">
        <f>$O$131*$X$131</f>
        <v>0</v>
      </c>
      <c r="AE131" s="6">
        <f ca="1">$K$131*$Y$131</f>
        <v>518799.48033792456</v>
      </c>
      <c r="AF131" s="6">
        <f ca="1">$M$131*$Z$131</f>
        <v>0</v>
      </c>
      <c r="AG131" s="6">
        <f>$O$131*$AA$131</f>
        <v>0</v>
      </c>
    </row>
    <row r="132" spans="1:33" ht="11.25" customHeight="1" x14ac:dyDescent="0.25">
      <c r="A132" s="4" t="s">
        <v>21</v>
      </c>
      <c r="B132" s="4" t="s">
        <v>43</v>
      </c>
      <c r="C132" s="4" t="s">
        <v>67</v>
      </c>
      <c r="D132" s="4" t="s">
        <v>25</v>
      </c>
      <c r="E132" s="4" t="s">
        <v>25</v>
      </c>
      <c r="F132" s="4" t="s">
        <v>25</v>
      </c>
      <c r="G132" s="4" t="s">
        <v>68</v>
      </c>
      <c r="H132" s="4" t="s">
        <v>36</v>
      </c>
      <c r="I132" s="5">
        <v>44044</v>
      </c>
      <c r="J132" s="6">
        <v>62639</v>
      </c>
      <c r="K132" s="6">
        <v>62639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4" t="s">
        <v>69</v>
      </c>
      <c r="R132" s="4">
        <v>6072</v>
      </c>
      <c r="S132" s="6">
        <v>6</v>
      </c>
      <c r="T132" s="6">
        <v>0</v>
      </c>
      <c r="U132" s="6">
        <v>0</v>
      </c>
      <c r="V132" s="6">
        <f>IF(ISERROR(VLOOKUP($S$132,'TAR FIN'!$A$1:$O$120,15,0)),0,VLOOKUP($S$132,'TAR FIN'!$A$1:$O$120,15,0))</f>
        <v>5.4</v>
      </c>
      <c r="W132" s="6">
        <f>IF(ISERROR(VLOOKUP($T$132,'TAR FIN'!$A$1:$O$120,15,0)),0,VLOOKUP($T$132,'TAR FIN'!$A$1:$O$120,15,0))</f>
        <v>0</v>
      </c>
      <c r="X132" s="6">
        <f>IF(ISERROR(VLOOKUP($U$132,'TAR FIN'!$A$1:$O$120,15,0)),0,VLOOKUP($U$132,'TAR FIN'!$A$1:$O$120,15,0))</f>
        <v>0</v>
      </c>
      <c r="Y132" s="6">
        <f ca="1">('TUSD BE'!$AM$10+'TUSD BF'!$AM$10+'TUSD CVA'!$AM$10)*1</f>
        <v>8.2823716907665279</v>
      </c>
      <c r="Z132" s="6">
        <f ca="1">('TUSD BE'!$AM$11+'TUSD BF'!$AM$11+'TUSD CVA'!$AM$11)*1</f>
        <v>4.2693586300165443</v>
      </c>
      <c r="AA132" s="6"/>
      <c r="AB132" s="6">
        <f>$K$132*$V$132</f>
        <v>338250.60000000003</v>
      </c>
      <c r="AC132" s="6">
        <f>$M$132*$W$132</f>
        <v>0</v>
      </c>
      <c r="AD132" s="6">
        <f>$O$132*$X$132</f>
        <v>0</v>
      </c>
      <c r="AE132" s="6">
        <f ca="1">$K$132*$Y$132</f>
        <v>518799.48033792456</v>
      </c>
      <c r="AF132" s="6">
        <f ca="1">$M$132*$Z$132</f>
        <v>0</v>
      </c>
      <c r="AG132" s="6">
        <f>$O$132*$AA$132</f>
        <v>0</v>
      </c>
    </row>
    <row r="133" spans="1:33" ht="11.25" customHeight="1" x14ac:dyDescent="0.25">
      <c r="A133" s="4" t="s">
        <v>59</v>
      </c>
      <c r="B133" s="4" t="s">
        <v>43</v>
      </c>
      <c r="C133" s="4" t="s">
        <v>67</v>
      </c>
      <c r="D133" s="4" t="s">
        <v>25</v>
      </c>
      <c r="E133" s="4" t="s">
        <v>25</v>
      </c>
      <c r="F133" s="4" t="s">
        <v>25</v>
      </c>
      <c r="G133" s="4" t="s">
        <v>68</v>
      </c>
      <c r="H133" s="4" t="s">
        <v>36</v>
      </c>
      <c r="I133" s="5">
        <v>44075</v>
      </c>
      <c r="J133" s="6">
        <v>62639</v>
      </c>
      <c r="K133" s="6">
        <v>62639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4" t="s">
        <v>69</v>
      </c>
      <c r="R133" s="4">
        <v>6072</v>
      </c>
      <c r="S133" s="6">
        <v>6</v>
      </c>
      <c r="T133" s="6">
        <v>0</v>
      </c>
      <c r="U133" s="6">
        <v>0</v>
      </c>
      <c r="V133" s="6">
        <f>IF(ISERROR(VLOOKUP($S$133,'TAR FIN'!$A$1:$O$120,15,0)),0,VLOOKUP($S$133,'TAR FIN'!$A$1:$O$120,15,0))</f>
        <v>5.4</v>
      </c>
      <c r="W133" s="6">
        <f>IF(ISERROR(VLOOKUP($T$133,'TAR FIN'!$A$1:$O$120,15,0)),0,VLOOKUP($T$133,'TAR FIN'!$A$1:$O$120,15,0))</f>
        <v>0</v>
      </c>
      <c r="X133" s="6">
        <f>IF(ISERROR(VLOOKUP($U$133,'TAR FIN'!$A$1:$O$120,15,0)),0,VLOOKUP($U$133,'TAR FIN'!$A$1:$O$120,15,0))</f>
        <v>0</v>
      </c>
      <c r="Y133" s="6">
        <f ca="1">('TUSD BE'!$AM$10+'TUSD BF'!$AM$10+'TUSD CVA'!$AM$10)*1</f>
        <v>8.2823716907665279</v>
      </c>
      <c r="Z133" s="6">
        <f ca="1">('TUSD BE'!$AM$11+'TUSD BF'!$AM$11+'TUSD CVA'!$AM$11)*1</f>
        <v>4.2693586300165443</v>
      </c>
      <c r="AA133" s="6"/>
      <c r="AB133" s="6">
        <f>$K$133*$V$133</f>
        <v>338250.60000000003</v>
      </c>
      <c r="AC133" s="6">
        <f>$M$133*$W$133</f>
        <v>0</v>
      </c>
      <c r="AD133" s="6">
        <f>$O$133*$X$133</f>
        <v>0</v>
      </c>
      <c r="AE133" s="6">
        <f ca="1">$K$133*$Y$133</f>
        <v>518799.48033792456</v>
      </c>
      <c r="AF133" s="6">
        <f ca="1">$M$133*$Z$133</f>
        <v>0</v>
      </c>
      <c r="AG133" s="6">
        <f>$O$133*$AA$133</f>
        <v>0</v>
      </c>
    </row>
    <row r="134" spans="1:33" ht="11.25" customHeight="1" x14ac:dyDescent="0.25">
      <c r="A134" s="4" t="s">
        <v>21</v>
      </c>
      <c r="B134" s="4" t="s">
        <v>43</v>
      </c>
      <c r="C134" s="4" t="s">
        <v>67</v>
      </c>
      <c r="D134" s="4" t="s">
        <v>25</v>
      </c>
      <c r="E134" s="4" t="s">
        <v>25</v>
      </c>
      <c r="F134" s="4" t="s">
        <v>25</v>
      </c>
      <c r="G134" s="4" t="s">
        <v>68</v>
      </c>
      <c r="H134" s="4" t="s">
        <v>25</v>
      </c>
      <c r="I134" s="5">
        <v>43739</v>
      </c>
      <c r="J134" s="6">
        <v>0</v>
      </c>
      <c r="K134" s="6">
        <v>0</v>
      </c>
      <c r="L134" s="6">
        <v>32074.902999999998</v>
      </c>
      <c r="M134" s="6">
        <v>32074.902999999998</v>
      </c>
      <c r="N134" s="6">
        <v>0</v>
      </c>
      <c r="O134" s="6">
        <v>0</v>
      </c>
      <c r="P134" s="6">
        <v>0</v>
      </c>
      <c r="Q134" s="4" t="s">
        <v>69</v>
      </c>
      <c r="R134" s="4">
        <v>6072</v>
      </c>
      <c r="S134" s="6">
        <v>0</v>
      </c>
      <c r="T134" s="6">
        <v>7</v>
      </c>
      <c r="U134" s="6">
        <v>0</v>
      </c>
      <c r="V134" s="6">
        <f>IF(ISERROR(VLOOKUP($S$134,'TAR FIN'!$A$1:$O$120,15,0)),0,VLOOKUP($S$134,'TAR FIN'!$A$1:$O$120,15,0))</f>
        <v>0</v>
      </c>
      <c r="W134" s="6">
        <f>IF(ISERROR(VLOOKUP($T$134,'TAR FIN'!$A$1:$O$120,15,0)),0,VLOOKUP($T$134,'TAR FIN'!$A$1:$O$120,15,0))</f>
        <v>5.14</v>
      </c>
      <c r="X134" s="6">
        <f>IF(ISERROR(VLOOKUP($U$134,'TAR FIN'!$A$1:$O$120,15,0)),0,VLOOKUP($U$134,'TAR FIN'!$A$1:$O$120,15,0))</f>
        <v>0</v>
      </c>
      <c r="Y134" s="6">
        <f ca="1">0.72*('TUSD BE'!$AM$9+'TUSD BF'!$AM$9+'TUSD CVA'!$AM$9)*1+('TUSD BE'!$AM$10+'TUSD BF'!$AM$10+'TUSD CVA'!$AM$10)*1</f>
        <v>17.841461624926996</v>
      </c>
      <c r="Z134" s="6">
        <f ca="1">('TUSD BE'!$AM$11+'TUSD BF'!$AM$11+'TUSD CVA'!$AM$11)*1</f>
        <v>4.2693586300165443</v>
      </c>
      <c r="AA134" s="6"/>
      <c r="AB134" s="6">
        <f>$K$134*$V$134</f>
        <v>0</v>
      </c>
      <c r="AC134" s="6">
        <f>$M$134*$W$134</f>
        <v>164865.00141999999</v>
      </c>
      <c r="AD134" s="6">
        <f>$O$134*$X$134</f>
        <v>0</v>
      </c>
      <c r="AE134" s="6">
        <f ca="1">$K$134*$Y$134</f>
        <v>0</v>
      </c>
      <c r="AF134" s="6">
        <f ca="1">$M$134*$Z$134</f>
        <v>136939.26392999353</v>
      </c>
      <c r="AG134" s="6">
        <f>$O$134*$AA$134</f>
        <v>0</v>
      </c>
    </row>
    <row r="135" spans="1:33" ht="11.25" customHeight="1" x14ac:dyDescent="0.25">
      <c r="A135" s="4" t="s">
        <v>21</v>
      </c>
      <c r="B135" s="4" t="s">
        <v>43</v>
      </c>
      <c r="C135" s="4" t="s">
        <v>67</v>
      </c>
      <c r="D135" s="4" t="s">
        <v>25</v>
      </c>
      <c r="E135" s="4" t="s">
        <v>25</v>
      </c>
      <c r="F135" s="4" t="s">
        <v>25</v>
      </c>
      <c r="G135" s="4" t="s">
        <v>68</v>
      </c>
      <c r="H135" s="4" t="s">
        <v>25</v>
      </c>
      <c r="I135" s="5">
        <v>43770</v>
      </c>
      <c r="J135" s="6">
        <v>0</v>
      </c>
      <c r="K135" s="6">
        <v>0</v>
      </c>
      <c r="L135" s="6">
        <v>32074.902999999998</v>
      </c>
      <c r="M135" s="6">
        <v>32074.902999999998</v>
      </c>
      <c r="N135" s="6">
        <v>0</v>
      </c>
      <c r="O135" s="6">
        <v>0</v>
      </c>
      <c r="P135" s="6">
        <v>0</v>
      </c>
      <c r="Q135" s="4" t="s">
        <v>69</v>
      </c>
      <c r="R135" s="4">
        <v>6072</v>
      </c>
      <c r="S135" s="6">
        <v>0</v>
      </c>
      <c r="T135" s="6">
        <v>7</v>
      </c>
      <c r="U135" s="6">
        <v>0</v>
      </c>
      <c r="V135" s="6">
        <f>IF(ISERROR(VLOOKUP($S$135,'TAR FIN'!$A$1:$O$120,15,0)),0,VLOOKUP($S$135,'TAR FIN'!$A$1:$O$120,15,0))</f>
        <v>0</v>
      </c>
      <c r="W135" s="6">
        <f>IF(ISERROR(VLOOKUP($T$135,'TAR FIN'!$A$1:$O$120,15,0)),0,VLOOKUP($T$135,'TAR FIN'!$A$1:$O$120,15,0))</f>
        <v>5.14</v>
      </c>
      <c r="X135" s="6">
        <f>IF(ISERROR(VLOOKUP($U$135,'TAR FIN'!$A$1:$O$120,15,0)),0,VLOOKUP($U$135,'TAR FIN'!$A$1:$O$120,15,0))</f>
        <v>0</v>
      </c>
      <c r="Y135" s="6">
        <f ca="1">0.72*('TUSD BE'!$AM$9+'TUSD BF'!$AM$9+'TUSD CVA'!$AM$9)*1+('TUSD BE'!$AM$10+'TUSD BF'!$AM$10+'TUSD CVA'!$AM$10)*1</f>
        <v>17.841461624926996</v>
      </c>
      <c r="Z135" s="6">
        <f ca="1">('TUSD BE'!$AM$11+'TUSD BF'!$AM$11+'TUSD CVA'!$AM$11)*1</f>
        <v>4.2693586300165443</v>
      </c>
      <c r="AA135" s="6"/>
      <c r="AB135" s="6">
        <f>$K$135*$V$135</f>
        <v>0</v>
      </c>
      <c r="AC135" s="6">
        <f>$M$135*$W$135</f>
        <v>164865.00141999999</v>
      </c>
      <c r="AD135" s="6">
        <f>$O$135*$X$135</f>
        <v>0</v>
      </c>
      <c r="AE135" s="6">
        <f ca="1">$K$135*$Y$135</f>
        <v>0</v>
      </c>
      <c r="AF135" s="6">
        <f ca="1">$M$135*$Z$135</f>
        <v>136939.26392999353</v>
      </c>
      <c r="AG135" s="6">
        <f>$O$135*$AA$135</f>
        <v>0</v>
      </c>
    </row>
    <row r="136" spans="1:33" ht="11.25" customHeight="1" x14ac:dyDescent="0.25">
      <c r="A136" s="4" t="s">
        <v>21</v>
      </c>
      <c r="B136" s="4" t="s">
        <v>43</v>
      </c>
      <c r="C136" s="4" t="s">
        <v>67</v>
      </c>
      <c r="D136" s="4" t="s">
        <v>25</v>
      </c>
      <c r="E136" s="4" t="s">
        <v>25</v>
      </c>
      <c r="F136" s="4" t="s">
        <v>25</v>
      </c>
      <c r="G136" s="4" t="s">
        <v>68</v>
      </c>
      <c r="H136" s="4" t="s">
        <v>25</v>
      </c>
      <c r="I136" s="5">
        <v>43800</v>
      </c>
      <c r="J136" s="6">
        <v>0</v>
      </c>
      <c r="K136" s="6">
        <v>0</v>
      </c>
      <c r="L136" s="6">
        <v>20864.804</v>
      </c>
      <c r="M136" s="6">
        <v>20864.804</v>
      </c>
      <c r="N136" s="6">
        <v>0</v>
      </c>
      <c r="O136" s="6">
        <v>0</v>
      </c>
      <c r="P136" s="6">
        <v>0</v>
      </c>
      <c r="Q136" s="4" t="s">
        <v>69</v>
      </c>
      <c r="R136" s="4">
        <v>6072</v>
      </c>
      <c r="S136" s="6">
        <v>0</v>
      </c>
      <c r="T136" s="6">
        <v>7</v>
      </c>
      <c r="U136" s="6">
        <v>0</v>
      </c>
      <c r="V136" s="6">
        <f>IF(ISERROR(VLOOKUP($S$136,'TAR FIN'!$A$1:$O$120,15,0)),0,VLOOKUP($S$136,'TAR FIN'!$A$1:$O$120,15,0))</f>
        <v>0</v>
      </c>
      <c r="W136" s="6">
        <f>IF(ISERROR(VLOOKUP($T$136,'TAR FIN'!$A$1:$O$120,15,0)),0,VLOOKUP($T$136,'TAR FIN'!$A$1:$O$120,15,0))</f>
        <v>5.14</v>
      </c>
      <c r="X136" s="6">
        <f>IF(ISERROR(VLOOKUP($U$136,'TAR FIN'!$A$1:$O$120,15,0)),0,VLOOKUP($U$136,'TAR FIN'!$A$1:$O$120,15,0))</f>
        <v>0</v>
      </c>
      <c r="Y136" s="6">
        <f ca="1">0.72*('TUSD BE'!$AM$9+'TUSD BF'!$AM$9+'TUSD CVA'!$AM$9)*1+('TUSD BE'!$AM$10+'TUSD BF'!$AM$10+'TUSD CVA'!$AM$10)*1</f>
        <v>17.841461624926996</v>
      </c>
      <c r="Z136" s="6">
        <f ca="1">('TUSD BE'!$AM$11+'TUSD BF'!$AM$11+'TUSD CVA'!$AM$11)*1</f>
        <v>4.2693586300165443</v>
      </c>
      <c r="AA136" s="6"/>
      <c r="AB136" s="6">
        <f>$K$136*$V$136</f>
        <v>0</v>
      </c>
      <c r="AC136" s="6">
        <f>$M$136*$W$136</f>
        <v>107245.09255999999</v>
      </c>
      <c r="AD136" s="6">
        <f>$O$136*$X$136</f>
        <v>0</v>
      </c>
      <c r="AE136" s="6">
        <f ca="1">$K$136*$Y$136</f>
        <v>0</v>
      </c>
      <c r="AF136" s="6">
        <f ca="1">$M$136*$Z$136</f>
        <v>89079.331021003716</v>
      </c>
      <c r="AG136" s="6">
        <f>$O$136*$AA$136</f>
        <v>0</v>
      </c>
    </row>
    <row r="137" spans="1:33" ht="11.25" customHeight="1" x14ac:dyDescent="0.25">
      <c r="A137" s="4" t="s">
        <v>21</v>
      </c>
      <c r="B137" s="4" t="s">
        <v>43</v>
      </c>
      <c r="C137" s="4" t="s">
        <v>67</v>
      </c>
      <c r="D137" s="4" t="s">
        <v>25</v>
      </c>
      <c r="E137" s="4" t="s">
        <v>25</v>
      </c>
      <c r="F137" s="4" t="s">
        <v>25</v>
      </c>
      <c r="G137" s="4" t="s">
        <v>68</v>
      </c>
      <c r="H137" s="4" t="s">
        <v>25</v>
      </c>
      <c r="I137" s="5">
        <v>43831</v>
      </c>
      <c r="J137" s="6">
        <v>0</v>
      </c>
      <c r="K137" s="6">
        <v>0</v>
      </c>
      <c r="L137" s="6">
        <v>14886.808000000001</v>
      </c>
      <c r="M137" s="6">
        <v>14886.808000000001</v>
      </c>
      <c r="N137" s="6">
        <v>0</v>
      </c>
      <c r="O137" s="6">
        <v>0</v>
      </c>
      <c r="P137" s="6">
        <v>0</v>
      </c>
      <c r="Q137" s="4" t="s">
        <v>69</v>
      </c>
      <c r="R137" s="4">
        <v>6072</v>
      </c>
      <c r="S137" s="6">
        <v>0</v>
      </c>
      <c r="T137" s="6">
        <v>7</v>
      </c>
      <c r="U137" s="6">
        <v>0</v>
      </c>
      <c r="V137" s="6">
        <f>IF(ISERROR(VLOOKUP($S$137,'TAR FIN'!$A$1:$O$120,15,0)),0,VLOOKUP($S$137,'TAR FIN'!$A$1:$O$120,15,0))</f>
        <v>0</v>
      </c>
      <c r="W137" s="6">
        <f>IF(ISERROR(VLOOKUP($T$137,'TAR FIN'!$A$1:$O$120,15,0)),0,VLOOKUP($T$137,'TAR FIN'!$A$1:$O$120,15,0))</f>
        <v>5.14</v>
      </c>
      <c r="X137" s="6">
        <f>IF(ISERROR(VLOOKUP($U$137,'TAR FIN'!$A$1:$O$120,15,0)),0,VLOOKUP($U$137,'TAR FIN'!$A$1:$O$120,15,0))</f>
        <v>0</v>
      </c>
      <c r="Y137" s="6">
        <f ca="1">0.72*('TUSD BE'!$AM$9+'TUSD BF'!$AM$9+'TUSD CVA'!$AM$9)*1+('TUSD BE'!$AM$10+'TUSD BF'!$AM$10+'TUSD CVA'!$AM$10)*1</f>
        <v>17.841461624926996</v>
      </c>
      <c r="Z137" s="6">
        <f ca="1">('TUSD BE'!$AM$11+'TUSD BF'!$AM$11+'TUSD CVA'!$AM$11)*1</f>
        <v>4.2693586300165443</v>
      </c>
      <c r="AA137" s="6"/>
      <c r="AB137" s="6">
        <f>$K$137*$V$137</f>
        <v>0</v>
      </c>
      <c r="AC137" s="6">
        <f>$M$137*$W$137</f>
        <v>76518.193119999996</v>
      </c>
      <c r="AD137" s="6">
        <f>$O$137*$X$137</f>
        <v>0</v>
      </c>
      <c r="AE137" s="6">
        <f ca="1">$K$137*$Y$137</f>
        <v>0</v>
      </c>
      <c r="AF137" s="6">
        <f ca="1">$M$137*$Z$137</f>
        <v>63557.122208199333</v>
      </c>
      <c r="AG137" s="6">
        <f>$O$137*$AA$137</f>
        <v>0</v>
      </c>
    </row>
    <row r="138" spans="1:33" ht="11.25" customHeight="1" x14ac:dyDescent="0.25">
      <c r="A138" s="4" t="s">
        <v>21</v>
      </c>
      <c r="B138" s="4" t="s">
        <v>43</v>
      </c>
      <c r="C138" s="4" t="s">
        <v>67</v>
      </c>
      <c r="D138" s="4" t="s">
        <v>25</v>
      </c>
      <c r="E138" s="4" t="s">
        <v>25</v>
      </c>
      <c r="F138" s="4" t="s">
        <v>25</v>
      </c>
      <c r="G138" s="4" t="s">
        <v>68</v>
      </c>
      <c r="H138" s="4" t="s">
        <v>25</v>
      </c>
      <c r="I138" s="5">
        <v>43862</v>
      </c>
      <c r="J138" s="6">
        <v>0</v>
      </c>
      <c r="K138" s="6">
        <v>0</v>
      </c>
      <c r="L138" s="6">
        <v>8386.4240000000009</v>
      </c>
      <c r="M138" s="6">
        <v>8386.4240000000009</v>
      </c>
      <c r="N138" s="6">
        <v>0</v>
      </c>
      <c r="O138" s="6">
        <v>0</v>
      </c>
      <c r="P138" s="6">
        <v>0</v>
      </c>
      <c r="Q138" s="4" t="s">
        <v>69</v>
      </c>
      <c r="R138" s="4">
        <v>6072</v>
      </c>
      <c r="S138" s="6">
        <v>0</v>
      </c>
      <c r="T138" s="6">
        <v>7</v>
      </c>
      <c r="U138" s="6">
        <v>0</v>
      </c>
      <c r="V138" s="6">
        <f>IF(ISERROR(VLOOKUP($S$138,'TAR FIN'!$A$1:$O$120,15,0)),0,VLOOKUP($S$138,'TAR FIN'!$A$1:$O$120,15,0))</f>
        <v>0</v>
      </c>
      <c r="W138" s="6">
        <f>IF(ISERROR(VLOOKUP($T$138,'TAR FIN'!$A$1:$O$120,15,0)),0,VLOOKUP($T$138,'TAR FIN'!$A$1:$O$120,15,0))</f>
        <v>5.14</v>
      </c>
      <c r="X138" s="6">
        <f>IF(ISERROR(VLOOKUP($U$138,'TAR FIN'!$A$1:$O$120,15,0)),0,VLOOKUP($U$138,'TAR FIN'!$A$1:$O$120,15,0))</f>
        <v>0</v>
      </c>
      <c r="Y138" s="6">
        <f ca="1">0.72*('TUSD BE'!$AM$9+'TUSD BF'!$AM$9+'TUSD CVA'!$AM$9)*1+('TUSD BE'!$AM$10+'TUSD BF'!$AM$10+'TUSD CVA'!$AM$10)*1</f>
        <v>17.841461624926996</v>
      </c>
      <c r="Z138" s="6">
        <f ca="1">('TUSD BE'!$AM$11+'TUSD BF'!$AM$11+'TUSD CVA'!$AM$11)*1</f>
        <v>4.2693586300165443</v>
      </c>
      <c r="AA138" s="6"/>
      <c r="AB138" s="6">
        <f>$K$138*$V$138</f>
        <v>0</v>
      </c>
      <c r="AC138" s="6">
        <f>$M$138*$W$138</f>
        <v>43106.219360000003</v>
      </c>
      <c r="AD138" s="6">
        <f>$O$138*$X$138</f>
        <v>0</v>
      </c>
      <c r="AE138" s="6">
        <f ca="1">$K$138*$Y$138</f>
        <v>0</v>
      </c>
      <c r="AF138" s="6">
        <f ca="1">$M$138*$Z$138</f>
        <v>35804.651679377872</v>
      </c>
      <c r="AG138" s="6">
        <f>$O$138*$AA$138</f>
        <v>0</v>
      </c>
    </row>
    <row r="139" spans="1:33" ht="11.25" customHeight="1" x14ac:dyDescent="0.25">
      <c r="A139" s="4" t="s">
        <v>21</v>
      </c>
      <c r="B139" s="4" t="s">
        <v>43</v>
      </c>
      <c r="C139" s="4" t="s">
        <v>67</v>
      </c>
      <c r="D139" s="4" t="s">
        <v>25</v>
      </c>
      <c r="E139" s="4" t="s">
        <v>25</v>
      </c>
      <c r="F139" s="4" t="s">
        <v>25</v>
      </c>
      <c r="G139" s="4" t="s">
        <v>68</v>
      </c>
      <c r="H139" s="4" t="s">
        <v>25</v>
      </c>
      <c r="I139" s="5">
        <v>43891</v>
      </c>
      <c r="J139" s="6">
        <v>0</v>
      </c>
      <c r="K139" s="6">
        <v>0</v>
      </c>
      <c r="L139" s="6">
        <v>3540.107</v>
      </c>
      <c r="M139" s="6">
        <v>3540.107</v>
      </c>
      <c r="N139" s="6">
        <v>0</v>
      </c>
      <c r="O139" s="6">
        <v>0</v>
      </c>
      <c r="P139" s="6">
        <v>0</v>
      </c>
      <c r="Q139" s="4" t="s">
        <v>69</v>
      </c>
      <c r="R139" s="4">
        <v>6072</v>
      </c>
      <c r="S139" s="6">
        <v>0</v>
      </c>
      <c r="T139" s="6">
        <v>7</v>
      </c>
      <c r="U139" s="6">
        <v>0</v>
      </c>
      <c r="V139" s="6">
        <f>IF(ISERROR(VLOOKUP($S$139,'TAR FIN'!$A$1:$O$120,15,0)),0,VLOOKUP($S$139,'TAR FIN'!$A$1:$O$120,15,0))</f>
        <v>0</v>
      </c>
      <c r="W139" s="6">
        <f>IF(ISERROR(VLOOKUP($T$139,'TAR FIN'!$A$1:$O$120,15,0)),0,VLOOKUP($T$139,'TAR FIN'!$A$1:$O$120,15,0))</f>
        <v>5.14</v>
      </c>
      <c r="X139" s="6">
        <f>IF(ISERROR(VLOOKUP($U$139,'TAR FIN'!$A$1:$O$120,15,0)),0,VLOOKUP($U$139,'TAR FIN'!$A$1:$O$120,15,0))</f>
        <v>0</v>
      </c>
      <c r="Y139" s="6">
        <f ca="1">0.72*('TUSD BE'!$AM$9+'TUSD BF'!$AM$9+'TUSD CVA'!$AM$9)*1+('TUSD BE'!$AM$10+'TUSD BF'!$AM$10+'TUSD CVA'!$AM$10)*1</f>
        <v>17.841461624926996</v>
      </c>
      <c r="Z139" s="6">
        <f ca="1">('TUSD BE'!$AM$11+'TUSD BF'!$AM$11+'TUSD CVA'!$AM$11)*1</f>
        <v>4.2693586300165443</v>
      </c>
      <c r="AA139" s="6"/>
      <c r="AB139" s="6">
        <f>$K$139*$V$139</f>
        <v>0</v>
      </c>
      <c r="AC139" s="6">
        <f>$M$139*$W$139</f>
        <v>18196.149979999998</v>
      </c>
      <c r="AD139" s="6">
        <f>$O$139*$X$139</f>
        <v>0</v>
      </c>
      <c r="AE139" s="6">
        <f ca="1">$K$139*$Y$139</f>
        <v>0</v>
      </c>
      <c r="AF139" s="6">
        <f ca="1">$M$139*$Z$139</f>
        <v>15113.986371631978</v>
      </c>
      <c r="AG139" s="6">
        <f>$O$139*$AA$139</f>
        <v>0</v>
      </c>
    </row>
    <row r="140" spans="1:33" ht="11.25" customHeight="1" x14ac:dyDescent="0.25">
      <c r="A140" s="4" t="s">
        <v>21</v>
      </c>
      <c r="B140" s="4" t="s">
        <v>43</v>
      </c>
      <c r="C140" s="4" t="s">
        <v>67</v>
      </c>
      <c r="D140" s="4" t="s">
        <v>25</v>
      </c>
      <c r="E140" s="4" t="s">
        <v>25</v>
      </c>
      <c r="F140" s="4" t="s">
        <v>25</v>
      </c>
      <c r="G140" s="4" t="s">
        <v>68</v>
      </c>
      <c r="H140" s="4" t="s">
        <v>25</v>
      </c>
      <c r="I140" s="5">
        <v>43922</v>
      </c>
      <c r="J140" s="6">
        <v>0</v>
      </c>
      <c r="K140" s="6">
        <v>0</v>
      </c>
      <c r="L140" s="6">
        <v>6109.6610000000001</v>
      </c>
      <c r="M140" s="6">
        <v>6109.6610000000001</v>
      </c>
      <c r="N140" s="6">
        <v>0</v>
      </c>
      <c r="O140" s="6">
        <v>0</v>
      </c>
      <c r="P140" s="6">
        <v>0</v>
      </c>
      <c r="Q140" s="4" t="s">
        <v>69</v>
      </c>
      <c r="R140" s="4">
        <v>6072</v>
      </c>
      <c r="S140" s="6">
        <v>0</v>
      </c>
      <c r="T140" s="6">
        <v>7</v>
      </c>
      <c r="U140" s="6">
        <v>0</v>
      </c>
      <c r="V140" s="6">
        <f>IF(ISERROR(VLOOKUP($S$140,'TAR FIN'!$A$1:$O$120,15,0)),0,VLOOKUP($S$140,'TAR FIN'!$A$1:$O$120,15,0))</f>
        <v>0</v>
      </c>
      <c r="W140" s="6">
        <f>IF(ISERROR(VLOOKUP($T$140,'TAR FIN'!$A$1:$O$120,15,0)),0,VLOOKUP($T$140,'TAR FIN'!$A$1:$O$120,15,0))</f>
        <v>5.14</v>
      </c>
      <c r="X140" s="6">
        <f>IF(ISERROR(VLOOKUP($U$140,'TAR FIN'!$A$1:$O$120,15,0)),0,VLOOKUP($U$140,'TAR FIN'!$A$1:$O$120,15,0))</f>
        <v>0</v>
      </c>
      <c r="Y140" s="6">
        <f ca="1">0.72*('TUSD BE'!$AM$9+'TUSD BF'!$AM$9+'TUSD CVA'!$AM$9)*1+('TUSD BE'!$AM$10+'TUSD BF'!$AM$10+'TUSD CVA'!$AM$10)*1</f>
        <v>17.841461624926996</v>
      </c>
      <c r="Z140" s="6">
        <f ca="1">('TUSD BE'!$AM$11+'TUSD BF'!$AM$11+'TUSD CVA'!$AM$11)*1</f>
        <v>4.2693586300165443</v>
      </c>
      <c r="AA140" s="6"/>
      <c r="AB140" s="6">
        <f>$K$140*$V$140</f>
        <v>0</v>
      </c>
      <c r="AC140" s="6">
        <f>$M$140*$W$140</f>
        <v>31403.65754</v>
      </c>
      <c r="AD140" s="6">
        <f>$O$140*$X$140</f>
        <v>0</v>
      </c>
      <c r="AE140" s="6">
        <f ca="1">$K$140*$Y$140</f>
        <v>0</v>
      </c>
      <c r="AF140" s="6">
        <f ca="1">$M$140*$Z$140</f>
        <v>26084.333916825512</v>
      </c>
      <c r="AG140" s="6">
        <f>$O$140*$AA$140</f>
        <v>0</v>
      </c>
    </row>
    <row r="141" spans="1:33" ht="11.25" customHeight="1" x14ac:dyDescent="0.25">
      <c r="A141" s="4" t="s">
        <v>21</v>
      </c>
      <c r="B141" s="4" t="s">
        <v>43</v>
      </c>
      <c r="C141" s="4" t="s">
        <v>67</v>
      </c>
      <c r="D141" s="4" t="s">
        <v>25</v>
      </c>
      <c r="E141" s="4" t="s">
        <v>25</v>
      </c>
      <c r="F141" s="4" t="s">
        <v>25</v>
      </c>
      <c r="G141" s="4" t="s">
        <v>68</v>
      </c>
      <c r="H141" s="4" t="s">
        <v>25</v>
      </c>
      <c r="I141" s="5">
        <v>43952</v>
      </c>
      <c r="J141" s="6">
        <v>0</v>
      </c>
      <c r="K141" s="6">
        <v>0</v>
      </c>
      <c r="L141" s="6">
        <v>6109.6610000000001</v>
      </c>
      <c r="M141" s="6">
        <v>6109.6610000000001</v>
      </c>
      <c r="N141" s="6">
        <v>0</v>
      </c>
      <c r="O141" s="6">
        <v>0</v>
      </c>
      <c r="P141" s="6">
        <v>0</v>
      </c>
      <c r="Q141" s="4" t="s">
        <v>69</v>
      </c>
      <c r="R141" s="4">
        <v>6072</v>
      </c>
      <c r="S141" s="6">
        <v>0</v>
      </c>
      <c r="T141" s="6">
        <v>7</v>
      </c>
      <c r="U141" s="6">
        <v>0</v>
      </c>
      <c r="V141" s="6">
        <f>IF(ISERROR(VLOOKUP($S$141,'TAR FIN'!$A$1:$O$120,15,0)),0,VLOOKUP($S$141,'TAR FIN'!$A$1:$O$120,15,0))</f>
        <v>0</v>
      </c>
      <c r="W141" s="6">
        <f>IF(ISERROR(VLOOKUP($T$141,'TAR FIN'!$A$1:$O$120,15,0)),0,VLOOKUP($T$141,'TAR FIN'!$A$1:$O$120,15,0))</f>
        <v>5.14</v>
      </c>
      <c r="X141" s="6">
        <f>IF(ISERROR(VLOOKUP($U$141,'TAR FIN'!$A$1:$O$120,15,0)),0,VLOOKUP($U$141,'TAR FIN'!$A$1:$O$120,15,0))</f>
        <v>0</v>
      </c>
      <c r="Y141" s="6">
        <f ca="1">0.72*('TUSD BE'!$AM$9+'TUSD BF'!$AM$9+'TUSD CVA'!$AM$9)*1+('TUSD BE'!$AM$10+'TUSD BF'!$AM$10+'TUSD CVA'!$AM$10)*1</f>
        <v>17.841461624926996</v>
      </c>
      <c r="Z141" s="6">
        <f ca="1">('TUSD BE'!$AM$11+'TUSD BF'!$AM$11+'TUSD CVA'!$AM$11)*1</f>
        <v>4.2693586300165443</v>
      </c>
      <c r="AA141" s="6"/>
      <c r="AB141" s="6">
        <f>$K$141*$V$141</f>
        <v>0</v>
      </c>
      <c r="AC141" s="6">
        <f>$M$141*$W$141</f>
        <v>31403.65754</v>
      </c>
      <c r="AD141" s="6">
        <f>$O$141*$X$141</f>
        <v>0</v>
      </c>
      <c r="AE141" s="6">
        <f ca="1">$K$141*$Y$141</f>
        <v>0</v>
      </c>
      <c r="AF141" s="6">
        <f ca="1">$M$141*$Z$141</f>
        <v>26084.333916825512</v>
      </c>
      <c r="AG141" s="6">
        <f>$O$141*$AA$141</f>
        <v>0</v>
      </c>
    </row>
    <row r="142" spans="1:33" ht="11.25" customHeight="1" x14ac:dyDescent="0.25">
      <c r="A142" s="4" t="s">
        <v>21</v>
      </c>
      <c r="B142" s="4" t="s">
        <v>43</v>
      </c>
      <c r="C142" s="4" t="s">
        <v>67</v>
      </c>
      <c r="D142" s="4" t="s">
        <v>25</v>
      </c>
      <c r="E142" s="4" t="s">
        <v>25</v>
      </c>
      <c r="F142" s="4" t="s">
        <v>25</v>
      </c>
      <c r="G142" s="4" t="s">
        <v>68</v>
      </c>
      <c r="H142" s="4" t="s">
        <v>25</v>
      </c>
      <c r="I142" s="5">
        <v>43983</v>
      </c>
      <c r="J142" s="6">
        <v>0</v>
      </c>
      <c r="K142" s="6">
        <v>0</v>
      </c>
      <c r="L142" s="6">
        <v>6109.6610000000001</v>
      </c>
      <c r="M142" s="6">
        <v>6109.6610000000001</v>
      </c>
      <c r="N142" s="6">
        <v>0</v>
      </c>
      <c r="O142" s="6">
        <v>0</v>
      </c>
      <c r="P142" s="6">
        <v>0</v>
      </c>
      <c r="Q142" s="4" t="s">
        <v>69</v>
      </c>
      <c r="R142" s="4">
        <v>6072</v>
      </c>
      <c r="S142" s="6">
        <v>0</v>
      </c>
      <c r="T142" s="6">
        <v>7</v>
      </c>
      <c r="U142" s="6">
        <v>0</v>
      </c>
      <c r="V142" s="6">
        <f>IF(ISERROR(VLOOKUP($S$142,'TAR FIN'!$A$1:$O$120,15,0)),0,VLOOKUP($S$142,'TAR FIN'!$A$1:$O$120,15,0))</f>
        <v>0</v>
      </c>
      <c r="W142" s="6">
        <f>IF(ISERROR(VLOOKUP($T$142,'TAR FIN'!$A$1:$O$120,15,0)),0,VLOOKUP($T$142,'TAR FIN'!$A$1:$O$120,15,0))</f>
        <v>5.14</v>
      </c>
      <c r="X142" s="6">
        <f>IF(ISERROR(VLOOKUP($U$142,'TAR FIN'!$A$1:$O$120,15,0)),0,VLOOKUP($U$142,'TAR FIN'!$A$1:$O$120,15,0))</f>
        <v>0</v>
      </c>
      <c r="Y142" s="6">
        <f ca="1">0.72*('TUSD BE'!$AM$9+'TUSD BF'!$AM$9+'TUSD CVA'!$AM$9)*1+('TUSD BE'!$AM$10+'TUSD BF'!$AM$10+'TUSD CVA'!$AM$10)*1</f>
        <v>17.841461624926996</v>
      </c>
      <c r="Z142" s="6">
        <f ca="1">('TUSD BE'!$AM$11+'TUSD BF'!$AM$11+'TUSD CVA'!$AM$11)*1</f>
        <v>4.2693586300165443</v>
      </c>
      <c r="AA142" s="6"/>
      <c r="AB142" s="6">
        <f>$K$142*$V$142</f>
        <v>0</v>
      </c>
      <c r="AC142" s="6">
        <f>$M$142*$W$142</f>
        <v>31403.65754</v>
      </c>
      <c r="AD142" s="6">
        <f>$O$142*$X$142</f>
        <v>0</v>
      </c>
      <c r="AE142" s="6">
        <f ca="1">$K$142*$Y$142</f>
        <v>0</v>
      </c>
      <c r="AF142" s="6">
        <f ca="1">$M$142*$Z$142</f>
        <v>26084.333916825512</v>
      </c>
      <c r="AG142" s="6">
        <f>$O$142*$AA$142</f>
        <v>0</v>
      </c>
    </row>
    <row r="143" spans="1:33" ht="11.25" customHeight="1" x14ac:dyDescent="0.25">
      <c r="A143" s="4" t="s">
        <v>21</v>
      </c>
      <c r="B143" s="4" t="s">
        <v>43</v>
      </c>
      <c r="C143" s="4" t="s">
        <v>67</v>
      </c>
      <c r="D143" s="4" t="s">
        <v>25</v>
      </c>
      <c r="E143" s="4" t="s">
        <v>25</v>
      </c>
      <c r="F143" s="4" t="s">
        <v>25</v>
      </c>
      <c r="G143" s="4" t="s">
        <v>68</v>
      </c>
      <c r="H143" s="4" t="s">
        <v>25</v>
      </c>
      <c r="I143" s="5">
        <v>44013</v>
      </c>
      <c r="J143" s="6">
        <v>0</v>
      </c>
      <c r="K143" s="6">
        <v>0</v>
      </c>
      <c r="L143" s="6">
        <v>30352.023000000001</v>
      </c>
      <c r="M143" s="6">
        <v>30352.023000000001</v>
      </c>
      <c r="N143" s="6">
        <v>0</v>
      </c>
      <c r="O143" s="6">
        <v>0</v>
      </c>
      <c r="P143" s="6">
        <v>0</v>
      </c>
      <c r="Q143" s="4" t="s">
        <v>69</v>
      </c>
      <c r="R143" s="4">
        <v>6072</v>
      </c>
      <c r="S143" s="6">
        <v>0</v>
      </c>
      <c r="T143" s="6">
        <v>7</v>
      </c>
      <c r="U143" s="6">
        <v>0</v>
      </c>
      <c r="V143" s="6">
        <f>IF(ISERROR(VLOOKUP($S$143,'TAR FIN'!$A$1:$O$120,15,0)),0,VLOOKUP($S$143,'TAR FIN'!$A$1:$O$120,15,0))</f>
        <v>0</v>
      </c>
      <c r="W143" s="6">
        <f>IF(ISERROR(VLOOKUP($T$143,'TAR FIN'!$A$1:$O$120,15,0)),0,VLOOKUP($T$143,'TAR FIN'!$A$1:$O$120,15,0))</f>
        <v>5.14</v>
      </c>
      <c r="X143" s="6">
        <f>IF(ISERROR(VLOOKUP($U$143,'TAR FIN'!$A$1:$O$120,15,0)),0,VLOOKUP($U$143,'TAR FIN'!$A$1:$O$120,15,0))</f>
        <v>0</v>
      </c>
      <c r="Y143" s="6">
        <f ca="1">0.72*('TUSD BE'!$AM$9+'TUSD BF'!$AM$9+'TUSD CVA'!$AM$9)*1+('TUSD BE'!$AM$10+'TUSD BF'!$AM$10+'TUSD CVA'!$AM$10)*1</f>
        <v>17.841461624926996</v>
      </c>
      <c r="Z143" s="6">
        <f ca="1">('TUSD BE'!$AM$11+'TUSD BF'!$AM$11+'TUSD CVA'!$AM$11)*1</f>
        <v>4.2693586300165443</v>
      </c>
      <c r="AA143" s="6"/>
      <c r="AB143" s="6">
        <f>$K$143*$V$143</f>
        <v>0</v>
      </c>
      <c r="AC143" s="6">
        <f>$M$143*$W$143</f>
        <v>156009.39822</v>
      </c>
      <c r="AD143" s="6">
        <f>$O$143*$X$143</f>
        <v>0</v>
      </c>
      <c r="AE143" s="6">
        <f ca="1">$K$143*$Y$143</f>
        <v>0</v>
      </c>
      <c r="AF143" s="6">
        <f ca="1">$M$143*$Z$143</f>
        <v>129583.67133351065</v>
      </c>
      <c r="AG143" s="6">
        <f>$O$143*$AA$143</f>
        <v>0</v>
      </c>
    </row>
    <row r="144" spans="1:33" ht="11.25" customHeight="1" x14ac:dyDescent="0.25">
      <c r="A144" s="4" t="s">
        <v>21</v>
      </c>
      <c r="B144" s="4" t="s">
        <v>43</v>
      </c>
      <c r="C144" s="4" t="s">
        <v>67</v>
      </c>
      <c r="D144" s="4" t="s">
        <v>25</v>
      </c>
      <c r="E144" s="4" t="s">
        <v>25</v>
      </c>
      <c r="F144" s="4" t="s">
        <v>25</v>
      </c>
      <c r="G144" s="4" t="s">
        <v>68</v>
      </c>
      <c r="H144" s="4" t="s">
        <v>25</v>
      </c>
      <c r="I144" s="5">
        <v>44044</v>
      </c>
      <c r="J144" s="6">
        <v>0</v>
      </c>
      <c r="K144" s="6">
        <v>0</v>
      </c>
      <c r="L144" s="6">
        <v>6109.6610000000001</v>
      </c>
      <c r="M144" s="6">
        <v>6109.6610000000001</v>
      </c>
      <c r="N144" s="6">
        <v>0</v>
      </c>
      <c r="O144" s="6">
        <v>0</v>
      </c>
      <c r="P144" s="6">
        <v>0</v>
      </c>
      <c r="Q144" s="4" t="s">
        <v>69</v>
      </c>
      <c r="R144" s="4">
        <v>6072</v>
      </c>
      <c r="S144" s="6">
        <v>0</v>
      </c>
      <c r="T144" s="6">
        <v>7</v>
      </c>
      <c r="U144" s="6">
        <v>0</v>
      </c>
      <c r="V144" s="6">
        <f>IF(ISERROR(VLOOKUP($S$144,'TAR FIN'!$A$1:$O$120,15,0)),0,VLOOKUP($S$144,'TAR FIN'!$A$1:$O$120,15,0))</f>
        <v>0</v>
      </c>
      <c r="W144" s="6">
        <f>IF(ISERROR(VLOOKUP($T$144,'TAR FIN'!$A$1:$O$120,15,0)),0,VLOOKUP($T$144,'TAR FIN'!$A$1:$O$120,15,0))</f>
        <v>5.14</v>
      </c>
      <c r="X144" s="6">
        <f>IF(ISERROR(VLOOKUP($U$144,'TAR FIN'!$A$1:$O$120,15,0)),0,VLOOKUP($U$144,'TAR FIN'!$A$1:$O$120,15,0))</f>
        <v>0</v>
      </c>
      <c r="Y144" s="6">
        <f ca="1">0.72*('TUSD BE'!$AM$9+'TUSD BF'!$AM$9+'TUSD CVA'!$AM$9)*1+('TUSD BE'!$AM$10+'TUSD BF'!$AM$10+'TUSD CVA'!$AM$10)*1</f>
        <v>17.841461624926996</v>
      </c>
      <c r="Z144" s="6">
        <f ca="1">('TUSD BE'!$AM$11+'TUSD BF'!$AM$11+'TUSD CVA'!$AM$11)*1</f>
        <v>4.2693586300165443</v>
      </c>
      <c r="AA144" s="6"/>
      <c r="AB144" s="6">
        <f>$K$144*$V$144</f>
        <v>0</v>
      </c>
      <c r="AC144" s="6">
        <f>$M$144*$W$144</f>
        <v>31403.65754</v>
      </c>
      <c r="AD144" s="6">
        <f>$O$144*$X$144</f>
        <v>0</v>
      </c>
      <c r="AE144" s="6">
        <f ca="1">$K$144*$Y$144</f>
        <v>0</v>
      </c>
      <c r="AF144" s="6">
        <f ca="1">$M$144*$Z$144</f>
        <v>26084.333916825512</v>
      </c>
      <c r="AG144" s="6">
        <f>$O$144*$AA$144</f>
        <v>0</v>
      </c>
    </row>
    <row r="145" spans="1:33" ht="11.25" customHeight="1" x14ac:dyDescent="0.25">
      <c r="A145" s="4" t="s">
        <v>59</v>
      </c>
      <c r="B145" s="4" t="s">
        <v>43</v>
      </c>
      <c r="C145" s="4" t="s">
        <v>67</v>
      </c>
      <c r="D145" s="4" t="s">
        <v>25</v>
      </c>
      <c r="E145" s="4" t="s">
        <v>25</v>
      </c>
      <c r="F145" s="4" t="s">
        <v>25</v>
      </c>
      <c r="G145" s="4" t="s">
        <v>68</v>
      </c>
      <c r="H145" s="4" t="s">
        <v>25</v>
      </c>
      <c r="I145" s="5">
        <v>44075</v>
      </c>
      <c r="J145" s="6">
        <v>0</v>
      </c>
      <c r="K145" s="6">
        <v>0</v>
      </c>
      <c r="L145" s="6">
        <v>6109.6610000000001</v>
      </c>
      <c r="M145" s="6">
        <v>6109.6610000000001</v>
      </c>
      <c r="N145" s="6">
        <v>0</v>
      </c>
      <c r="O145" s="6">
        <v>0</v>
      </c>
      <c r="P145" s="6">
        <v>0</v>
      </c>
      <c r="Q145" s="4" t="s">
        <v>69</v>
      </c>
      <c r="R145" s="4">
        <v>6072</v>
      </c>
      <c r="S145" s="6">
        <v>0</v>
      </c>
      <c r="T145" s="6">
        <v>7</v>
      </c>
      <c r="U145" s="6">
        <v>0</v>
      </c>
      <c r="V145" s="6">
        <f>IF(ISERROR(VLOOKUP($S$145,'TAR FIN'!$A$1:$O$120,15,0)),0,VLOOKUP($S$145,'TAR FIN'!$A$1:$O$120,15,0))</f>
        <v>0</v>
      </c>
      <c r="W145" s="6">
        <f>IF(ISERROR(VLOOKUP($T$145,'TAR FIN'!$A$1:$O$120,15,0)),0,VLOOKUP($T$145,'TAR FIN'!$A$1:$O$120,15,0))</f>
        <v>5.14</v>
      </c>
      <c r="X145" s="6">
        <f>IF(ISERROR(VLOOKUP($U$145,'TAR FIN'!$A$1:$O$120,15,0)),0,VLOOKUP($U$145,'TAR FIN'!$A$1:$O$120,15,0))</f>
        <v>0</v>
      </c>
      <c r="Y145" s="6">
        <f ca="1">0.72*('TUSD BE'!$AM$9+'TUSD BF'!$AM$9+'TUSD CVA'!$AM$9)*1+('TUSD BE'!$AM$10+'TUSD BF'!$AM$10+'TUSD CVA'!$AM$10)*1</f>
        <v>17.841461624926996</v>
      </c>
      <c r="Z145" s="6">
        <f ca="1">('TUSD BE'!$AM$11+'TUSD BF'!$AM$11+'TUSD CVA'!$AM$11)*1</f>
        <v>4.2693586300165443</v>
      </c>
      <c r="AA145" s="6"/>
      <c r="AB145" s="6">
        <f>$K$145*$V$145</f>
        <v>0</v>
      </c>
      <c r="AC145" s="6">
        <f>$M$145*$W$145</f>
        <v>31403.65754</v>
      </c>
      <c r="AD145" s="6">
        <f>$O$145*$X$145</f>
        <v>0</v>
      </c>
      <c r="AE145" s="6">
        <f ca="1">$K$145*$Y$145</f>
        <v>0</v>
      </c>
      <c r="AF145" s="6">
        <f ca="1">$M$145*$Z$145</f>
        <v>26084.333916825512</v>
      </c>
      <c r="AG145" s="6">
        <f>$O$145*$AA$145</f>
        <v>0</v>
      </c>
    </row>
    <row r="146" spans="1:33" ht="11.25" customHeight="1" x14ac:dyDescent="0.25">
      <c r="A146" s="4" t="s">
        <v>21</v>
      </c>
      <c r="B146" s="4" t="s">
        <v>43</v>
      </c>
      <c r="C146" s="4" t="s">
        <v>67</v>
      </c>
      <c r="D146" s="4" t="s">
        <v>25</v>
      </c>
      <c r="E146" s="4" t="s">
        <v>25</v>
      </c>
      <c r="F146" s="4" t="s">
        <v>25</v>
      </c>
      <c r="G146" s="4" t="s">
        <v>68</v>
      </c>
      <c r="H146" s="4" t="s">
        <v>35</v>
      </c>
      <c r="I146" s="5">
        <v>43739</v>
      </c>
      <c r="J146" s="6">
        <v>54000</v>
      </c>
      <c r="K146" s="6">
        <v>54000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4" t="s">
        <v>69</v>
      </c>
      <c r="R146" s="4">
        <v>6072</v>
      </c>
      <c r="S146" s="6">
        <v>5</v>
      </c>
      <c r="T146" s="6">
        <v>0</v>
      </c>
      <c r="U146" s="6">
        <v>0</v>
      </c>
      <c r="V146" s="6">
        <f>IF(ISERROR(VLOOKUP($S$146,'TAR FIN'!$A$1:$O$120,15,0)),0,VLOOKUP($S$146,'TAR FIN'!$A$1:$O$120,15,0))</f>
        <v>9.4700000000000006</v>
      </c>
      <c r="W146" s="6">
        <f>IF(ISERROR(VLOOKUP($T$146,'TAR FIN'!$A$1:$O$120,15,0)),0,VLOOKUP($T$146,'TAR FIN'!$A$1:$O$120,15,0))</f>
        <v>0</v>
      </c>
      <c r="X146" s="6">
        <f>IF(ISERROR(VLOOKUP($U$146,'TAR FIN'!$A$1:$O$120,15,0)),0,VLOOKUP($U$146,'TAR FIN'!$A$1:$O$120,15,0))</f>
        <v>0</v>
      </c>
      <c r="Y146" s="6">
        <f ca="1">('TUSD BE'!$AM$9+'TUSD BF'!$AM$9+'TUSD CVA'!$AM$9)*1</f>
        <v>13.276513797445094</v>
      </c>
      <c r="Z146" s="6">
        <f ca="1">('TUSD BE'!$AM$11+'TUSD BF'!$AM$11+'TUSD CVA'!$AM$11)*1</f>
        <v>4.2693586300165443</v>
      </c>
      <c r="AA146" s="6"/>
      <c r="AB146" s="6">
        <f>$K$146*$V$146</f>
        <v>511380.00000000006</v>
      </c>
      <c r="AC146" s="6">
        <f>$M$146*$W$146</f>
        <v>0</v>
      </c>
      <c r="AD146" s="6">
        <f>$O$146*$X$146</f>
        <v>0</v>
      </c>
      <c r="AE146" s="6">
        <f ca="1">$K$146*$Y$146</f>
        <v>716931.74506203504</v>
      </c>
      <c r="AF146" s="6">
        <f ca="1">$M$146*$Z$146</f>
        <v>0</v>
      </c>
      <c r="AG146" s="6">
        <f>$O$146*$AA$146</f>
        <v>0</v>
      </c>
    </row>
    <row r="147" spans="1:33" ht="11.25" customHeight="1" x14ac:dyDescent="0.25">
      <c r="A147" s="4" t="s">
        <v>21</v>
      </c>
      <c r="B147" s="4" t="s">
        <v>43</v>
      </c>
      <c r="C147" s="4" t="s">
        <v>67</v>
      </c>
      <c r="D147" s="4" t="s">
        <v>25</v>
      </c>
      <c r="E147" s="4" t="s">
        <v>25</v>
      </c>
      <c r="F147" s="4" t="s">
        <v>25</v>
      </c>
      <c r="G147" s="4" t="s">
        <v>68</v>
      </c>
      <c r="H147" s="4" t="s">
        <v>35</v>
      </c>
      <c r="I147" s="5">
        <v>43770</v>
      </c>
      <c r="J147" s="6">
        <v>54000</v>
      </c>
      <c r="K147" s="6">
        <v>54000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4" t="s">
        <v>69</v>
      </c>
      <c r="R147" s="4">
        <v>6072</v>
      </c>
      <c r="S147" s="6">
        <v>5</v>
      </c>
      <c r="T147" s="6">
        <v>0</v>
      </c>
      <c r="U147" s="6">
        <v>0</v>
      </c>
      <c r="V147" s="6">
        <f>IF(ISERROR(VLOOKUP($S$147,'TAR FIN'!$A$1:$O$120,15,0)),0,VLOOKUP($S$147,'TAR FIN'!$A$1:$O$120,15,0))</f>
        <v>9.4700000000000006</v>
      </c>
      <c r="W147" s="6">
        <f>IF(ISERROR(VLOOKUP($T$147,'TAR FIN'!$A$1:$O$120,15,0)),0,VLOOKUP($T$147,'TAR FIN'!$A$1:$O$120,15,0))</f>
        <v>0</v>
      </c>
      <c r="X147" s="6">
        <f>IF(ISERROR(VLOOKUP($U$147,'TAR FIN'!$A$1:$O$120,15,0)),0,VLOOKUP($U$147,'TAR FIN'!$A$1:$O$120,15,0))</f>
        <v>0</v>
      </c>
      <c r="Y147" s="6">
        <f ca="1">('TUSD BE'!$AM$9+'TUSD BF'!$AM$9+'TUSD CVA'!$AM$9)*1</f>
        <v>13.276513797445094</v>
      </c>
      <c r="Z147" s="6">
        <f ca="1">('TUSD BE'!$AM$11+'TUSD BF'!$AM$11+'TUSD CVA'!$AM$11)*1</f>
        <v>4.2693586300165443</v>
      </c>
      <c r="AA147" s="6"/>
      <c r="AB147" s="6">
        <f>$K$147*$V$147</f>
        <v>511380.00000000006</v>
      </c>
      <c r="AC147" s="6">
        <f>$M$147*$W$147</f>
        <v>0</v>
      </c>
      <c r="AD147" s="6">
        <f>$O$147*$X$147</f>
        <v>0</v>
      </c>
      <c r="AE147" s="6">
        <f ca="1">$K$147*$Y$147</f>
        <v>716931.74506203504</v>
      </c>
      <c r="AF147" s="6">
        <f ca="1">$M$147*$Z$147</f>
        <v>0</v>
      </c>
      <c r="AG147" s="6">
        <f>$O$147*$AA$147</f>
        <v>0</v>
      </c>
    </row>
    <row r="148" spans="1:33" ht="11.25" customHeight="1" x14ac:dyDescent="0.25">
      <c r="A148" s="4" t="s">
        <v>21</v>
      </c>
      <c r="B148" s="4" t="s">
        <v>43</v>
      </c>
      <c r="C148" s="4" t="s">
        <v>67</v>
      </c>
      <c r="D148" s="4" t="s">
        <v>25</v>
      </c>
      <c r="E148" s="4" t="s">
        <v>25</v>
      </c>
      <c r="F148" s="4" t="s">
        <v>25</v>
      </c>
      <c r="G148" s="4" t="s">
        <v>68</v>
      </c>
      <c r="H148" s="4" t="s">
        <v>35</v>
      </c>
      <c r="I148" s="5">
        <v>43800</v>
      </c>
      <c r="J148" s="6">
        <v>54000</v>
      </c>
      <c r="K148" s="6">
        <v>54000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4" t="s">
        <v>69</v>
      </c>
      <c r="R148" s="4">
        <v>6072</v>
      </c>
      <c r="S148" s="6">
        <v>5</v>
      </c>
      <c r="T148" s="6">
        <v>0</v>
      </c>
      <c r="U148" s="6">
        <v>0</v>
      </c>
      <c r="V148" s="6">
        <f>IF(ISERROR(VLOOKUP($S$148,'TAR FIN'!$A$1:$O$120,15,0)),0,VLOOKUP($S$148,'TAR FIN'!$A$1:$O$120,15,0))</f>
        <v>9.4700000000000006</v>
      </c>
      <c r="W148" s="6">
        <f>IF(ISERROR(VLOOKUP($T$148,'TAR FIN'!$A$1:$O$120,15,0)),0,VLOOKUP($T$148,'TAR FIN'!$A$1:$O$120,15,0))</f>
        <v>0</v>
      </c>
      <c r="X148" s="6">
        <f>IF(ISERROR(VLOOKUP($U$148,'TAR FIN'!$A$1:$O$120,15,0)),0,VLOOKUP($U$148,'TAR FIN'!$A$1:$O$120,15,0))</f>
        <v>0</v>
      </c>
      <c r="Y148" s="6">
        <f ca="1">('TUSD BE'!$AM$9+'TUSD BF'!$AM$9+'TUSD CVA'!$AM$9)*1</f>
        <v>13.276513797445094</v>
      </c>
      <c r="Z148" s="6">
        <f ca="1">('TUSD BE'!$AM$11+'TUSD BF'!$AM$11+'TUSD CVA'!$AM$11)*1</f>
        <v>4.2693586300165443</v>
      </c>
      <c r="AA148" s="6"/>
      <c r="AB148" s="6">
        <f>$K$148*$V$148</f>
        <v>511380.00000000006</v>
      </c>
      <c r="AC148" s="6">
        <f>$M$148*$W$148</f>
        <v>0</v>
      </c>
      <c r="AD148" s="6">
        <f>$O$148*$X$148</f>
        <v>0</v>
      </c>
      <c r="AE148" s="6">
        <f ca="1">$K$148*$Y$148</f>
        <v>716931.74506203504</v>
      </c>
      <c r="AF148" s="6">
        <f ca="1">$M$148*$Z$148</f>
        <v>0</v>
      </c>
      <c r="AG148" s="6">
        <f>$O$148*$AA$148</f>
        <v>0</v>
      </c>
    </row>
    <row r="149" spans="1:33" ht="11.25" customHeight="1" x14ac:dyDescent="0.25">
      <c r="A149" s="4" t="s">
        <v>21</v>
      </c>
      <c r="B149" s="4" t="s">
        <v>43</v>
      </c>
      <c r="C149" s="4" t="s">
        <v>67</v>
      </c>
      <c r="D149" s="4" t="s">
        <v>25</v>
      </c>
      <c r="E149" s="4" t="s">
        <v>25</v>
      </c>
      <c r="F149" s="4" t="s">
        <v>25</v>
      </c>
      <c r="G149" s="4" t="s">
        <v>68</v>
      </c>
      <c r="H149" s="4" t="s">
        <v>35</v>
      </c>
      <c r="I149" s="5">
        <v>43831</v>
      </c>
      <c r="J149" s="6">
        <v>54000</v>
      </c>
      <c r="K149" s="6">
        <v>54000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4" t="s">
        <v>69</v>
      </c>
      <c r="R149" s="4">
        <v>6072</v>
      </c>
      <c r="S149" s="6">
        <v>5</v>
      </c>
      <c r="T149" s="6">
        <v>0</v>
      </c>
      <c r="U149" s="6">
        <v>0</v>
      </c>
      <c r="V149" s="6">
        <f>IF(ISERROR(VLOOKUP($S$149,'TAR FIN'!$A$1:$O$120,15,0)),0,VLOOKUP($S$149,'TAR FIN'!$A$1:$O$120,15,0))</f>
        <v>9.4700000000000006</v>
      </c>
      <c r="W149" s="6">
        <f>IF(ISERROR(VLOOKUP($T$149,'TAR FIN'!$A$1:$O$120,15,0)),0,VLOOKUP($T$149,'TAR FIN'!$A$1:$O$120,15,0))</f>
        <v>0</v>
      </c>
      <c r="X149" s="6">
        <f>IF(ISERROR(VLOOKUP($U$149,'TAR FIN'!$A$1:$O$120,15,0)),0,VLOOKUP($U$149,'TAR FIN'!$A$1:$O$120,15,0))</f>
        <v>0</v>
      </c>
      <c r="Y149" s="6">
        <f ca="1">('TUSD BE'!$AM$9+'TUSD BF'!$AM$9+'TUSD CVA'!$AM$9)*1</f>
        <v>13.276513797445094</v>
      </c>
      <c r="Z149" s="6">
        <f ca="1">('TUSD BE'!$AM$11+'TUSD BF'!$AM$11+'TUSD CVA'!$AM$11)*1</f>
        <v>4.2693586300165443</v>
      </c>
      <c r="AA149" s="6"/>
      <c r="AB149" s="6">
        <f>$K$149*$V$149</f>
        <v>511380.00000000006</v>
      </c>
      <c r="AC149" s="6">
        <f>$M$149*$W$149</f>
        <v>0</v>
      </c>
      <c r="AD149" s="6">
        <f>$O$149*$X$149</f>
        <v>0</v>
      </c>
      <c r="AE149" s="6">
        <f ca="1">$K$149*$Y$149</f>
        <v>716931.74506203504</v>
      </c>
      <c r="AF149" s="6">
        <f ca="1">$M$149*$Z$149</f>
        <v>0</v>
      </c>
      <c r="AG149" s="6">
        <f>$O$149*$AA$149</f>
        <v>0</v>
      </c>
    </row>
    <row r="150" spans="1:33" ht="11.25" customHeight="1" x14ac:dyDescent="0.25">
      <c r="A150" s="4" t="s">
        <v>21</v>
      </c>
      <c r="B150" s="4" t="s">
        <v>43</v>
      </c>
      <c r="C150" s="4" t="s">
        <v>67</v>
      </c>
      <c r="D150" s="4" t="s">
        <v>25</v>
      </c>
      <c r="E150" s="4" t="s">
        <v>25</v>
      </c>
      <c r="F150" s="4" t="s">
        <v>25</v>
      </c>
      <c r="G150" s="4" t="s">
        <v>68</v>
      </c>
      <c r="H150" s="4" t="s">
        <v>35</v>
      </c>
      <c r="I150" s="5">
        <v>43862</v>
      </c>
      <c r="J150" s="6">
        <v>54000</v>
      </c>
      <c r="K150" s="6">
        <v>54000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4" t="s">
        <v>69</v>
      </c>
      <c r="R150" s="4">
        <v>6072</v>
      </c>
      <c r="S150" s="6">
        <v>5</v>
      </c>
      <c r="T150" s="6">
        <v>0</v>
      </c>
      <c r="U150" s="6">
        <v>0</v>
      </c>
      <c r="V150" s="6">
        <f>IF(ISERROR(VLOOKUP($S$150,'TAR FIN'!$A$1:$O$120,15,0)),0,VLOOKUP($S$150,'TAR FIN'!$A$1:$O$120,15,0))</f>
        <v>9.4700000000000006</v>
      </c>
      <c r="W150" s="6">
        <f>IF(ISERROR(VLOOKUP($T$150,'TAR FIN'!$A$1:$O$120,15,0)),0,VLOOKUP($T$150,'TAR FIN'!$A$1:$O$120,15,0))</f>
        <v>0</v>
      </c>
      <c r="X150" s="6">
        <f>IF(ISERROR(VLOOKUP($U$150,'TAR FIN'!$A$1:$O$120,15,0)),0,VLOOKUP($U$150,'TAR FIN'!$A$1:$O$120,15,0))</f>
        <v>0</v>
      </c>
      <c r="Y150" s="6">
        <f ca="1">('TUSD BE'!$AM$9+'TUSD BF'!$AM$9+'TUSD CVA'!$AM$9)*1</f>
        <v>13.276513797445094</v>
      </c>
      <c r="Z150" s="6">
        <f ca="1">('TUSD BE'!$AM$11+'TUSD BF'!$AM$11+'TUSD CVA'!$AM$11)*1</f>
        <v>4.2693586300165443</v>
      </c>
      <c r="AA150" s="6"/>
      <c r="AB150" s="6">
        <f>$K$150*$V$150</f>
        <v>511380.00000000006</v>
      </c>
      <c r="AC150" s="6">
        <f>$M$150*$W$150</f>
        <v>0</v>
      </c>
      <c r="AD150" s="6">
        <f>$O$150*$X$150</f>
        <v>0</v>
      </c>
      <c r="AE150" s="6">
        <f ca="1">$K$150*$Y$150</f>
        <v>716931.74506203504</v>
      </c>
      <c r="AF150" s="6">
        <f ca="1">$M$150*$Z$150</f>
        <v>0</v>
      </c>
      <c r="AG150" s="6">
        <f>$O$150*$AA$150</f>
        <v>0</v>
      </c>
    </row>
    <row r="151" spans="1:33" ht="11.25" customHeight="1" x14ac:dyDescent="0.25">
      <c r="A151" s="4" t="s">
        <v>21</v>
      </c>
      <c r="B151" s="4" t="s">
        <v>43</v>
      </c>
      <c r="C151" s="4" t="s">
        <v>67</v>
      </c>
      <c r="D151" s="4" t="s">
        <v>25</v>
      </c>
      <c r="E151" s="4" t="s">
        <v>25</v>
      </c>
      <c r="F151" s="4" t="s">
        <v>25</v>
      </c>
      <c r="G151" s="4" t="s">
        <v>68</v>
      </c>
      <c r="H151" s="4" t="s">
        <v>35</v>
      </c>
      <c r="I151" s="5">
        <v>43891</v>
      </c>
      <c r="J151" s="6">
        <v>54000</v>
      </c>
      <c r="K151" s="6">
        <v>54000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4" t="s">
        <v>69</v>
      </c>
      <c r="R151" s="4">
        <v>6072</v>
      </c>
      <c r="S151" s="6">
        <v>5</v>
      </c>
      <c r="T151" s="6">
        <v>0</v>
      </c>
      <c r="U151" s="6">
        <v>0</v>
      </c>
      <c r="V151" s="6">
        <f>IF(ISERROR(VLOOKUP($S$151,'TAR FIN'!$A$1:$O$120,15,0)),0,VLOOKUP($S$151,'TAR FIN'!$A$1:$O$120,15,0))</f>
        <v>9.4700000000000006</v>
      </c>
      <c r="W151" s="6">
        <f>IF(ISERROR(VLOOKUP($T$151,'TAR FIN'!$A$1:$O$120,15,0)),0,VLOOKUP($T$151,'TAR FIN'!$A$1:$O$120,15,0))</f>
        <v>0</v>
      </c>
      <c r="X151" s="6">
        <f>IF(ISERROR(VLOOKUP($U$151,'TAR FIN'!$A$1:$O$120,15,0)),0,VLOOKUP($U$151,'TAR FIN'!$A$1:$O$120,15,0))</f>
        <v>0</v>
      </c>
      <c r="Y151" s="6">
        <f ca="1">('TUSD BE'!$AM$9+'TUSD BF'!$AM$9+'TUSD CVA'!$AM$9)*1</f>
        <v>13.276513797445094</v>
      </c>
      <c r="Z151" s="6">
        <f ca="1">('TUSD BE'!$AM$11+'TUSD BF'!$AM$11+'TUSD CVA'!$AM$11)*1</f>
        <v>4.2693586300165443</v>
      </c>
      <c r="AA151" s="6"/>
      <c r="AB151" s="6">
        <f>$K$151*$V$151</f>
        <v>511380.00000000006</v>
      </c>
      <c r="AC151" s="6">
        <f>$M$151*$W$151</f>
        <v>0</v>
      </c>
      <c r="AD151" s="6">
        <f>$O$151*$X$151</f>
        <v>0</v>
      </c>
      <c r="AE151" s="6">
        <f ca="1">$K$151*$Y$151</f>
        <v>716931.74506203504</v>
      </c>
      <c r="AF151" s="6">
        <f ca="1">$M$151*$Z$151</f>
        <v>0</v>
      </c>
      <c r="AG151" s="6">
        <f>$O$151*$AA$151</f>
        <v>0</v>
      </c>
    </row>
    <row r="152" spans="1:33" ht="11.25" customHeight="1" x14ac:dyDescent="0.25">
      <c r="A152" s="4" t="s">
        <v>21</v>
      </c>
      <c r="B152" s="4" t="s">
        <v>43</v>
      </c>
      <c r="C152" s="4" t="s">
        <v>67</v>
      </c>
      <c r="D152" s="4" t="s">
        <v>25</v>
      </c>
      <c r="E152" s="4" t="s">
        <v>25</v>
      </c>
      <c r="F152" s="4" t="s">
        <v>25</v>
      </c>
      <c r="G152" s="4" t="s">
        <v>68</v>
      </c>
      <c r="H152" s="4" t="s">
        <v>35</v>
      </c>
      <c r="I152" s="5">
        <v>43922</v>
      </c>
      <c r="J152" s="6">
        <v>54000</v>
      </c>
      <c r="K152" s="6">
        <v>54000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4" t="s">
        <v>69</v>
      </c>
      <c r="R152" s="4">
        <v>6072</v>
      </c>
      <c r="S152" s="6">
        <v>5</v>
      </c>
      <c r="T152" s="6">
        <v>0</v>
      </c>
      <c r="U152" s="6">
        <v>0</v>
      </c>
      <c r="V152" s="6">
        <f>IF(ISERROR(VLOOKUP($S$152,'TAR FIN'!$A$1:$O$120,15,0)),0,VLOOKUP($S$152,'TAR FIN'!$A$1:$O$120,15,0))</f>
        <v>9.4700000000000006</v>
      </c>
      <c r="W152" s="6">
        <f>IF(ISERROR(VLOOKUP($T$152,'TAR FIN'!$A$1:$O$120,15,0)),0,VLOOKUP($T$152,'TAR FIN'!$A$1:$O$120,15,0))</f>
        <v>0</v>
      </c>
      <c r="X152" s="6">
        <f>IF(ISERROR(VLOOKUP($U$152,'TAR FIN'!$A$1:$O$120,15,0)),0,VLOOKUP($U$152,'TAR FIN'!$A$1:$O$120,15,0))</f>
        <v>0</v>
      </c>
      <c r="Y152" s="6">
        <f ca="1">('TUSD BE'!$AM$9+'TUSD BF'!$AM$9+'TUSD CVA'!$AM$9)*1</f>
        <v>13.276513797445094</v>
      </c>
      <c r="Z152" s="6">
        <f ca="1">('TUSD BE'!$AM$11+'TUSD BF'!$AM$11+'TUSD CVA'!$AM$11)*1</f>
        <v>4.2693586300165443</v>
      </c>
      <c r="AA152" s="6"/>
      <c r="AB152" s="6">
        <f>$K$152*$V$152</f>
        <v>511380.00000000006</v>
      </c>
      <c r="AC152" s="6">
        <f>$M$152*$W$152</f>
        <v>0</v>
      </c>
      <c r="AD152" s="6">
        <f>$O$152*$X$152</f>
        <v>0</v>
      </c>
      <c r="AE152" s="6">
        <f ca="1">$K$152*$Y$152</f>
        <v>716931.74506203504</v>
      </c>
      <c r="AF152" s="6">
        <f ca="1">$M$152*$Z$152</f>
        <v>0</v>
      </c>
      <c r="AG152" s="6">
        <f>$O$152*$AA$152</f>
        <v>0</v>
      </c>
    </row>
    <row r="153" spans="1:33" ht="11.25" customHeight="1" x14ac:dyDescent="0.25">
      <c r="A153" s="4" t="s">
        <v>21</v>
      </c>
      <c r="B153" s="4" t="s">
        <v>43</v>
      </c>
      <c r="C153" s="4" t="s">
        <v>67</v>
      </c>
      <c r="D153" s="4" t="s">
        <v>25</v>
      </c>
      <c r="E153" s="4" t="s">
        <v>25</v>
      </c>
      <c r="F153" s="4" t="s">
        <v>25</v>
      </c>
      <c r="G153" s="4" t="s">
        <v>68</v>
      </c>
      <c r="H153" s="4" t="s">
        <v>35</v>
      </c>
      <c r="I153" s="5">
        <v>43952</v>
      </c>
      <c r="J153" s="6">
        <v>54000</v>
      </c>
      <c r="K153" s="6">
        <v>54000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4" t="s">
        <v>69</v>
      </c>
      <c r="R153" s="4">
        <v>6072</v>
      </c>
      <c r="S153" s="6">
        <v>5</v>
      </c>
      <c r="T153" s="6">
        <v>0</v>
      </c>
      <c r="U153" s="6">
        <v>0</v>
      </c>
      <c r="V153" s="6">
        <f>IF(ISERROR(VLOOKUP($S$153,'TAR FIN'!$A$1:$O$120,15,0)),0,VLOOKUP($S$153,'TAR FIN'!$A$1:$O$120,15,0))</f>
        <v>9.4700000000000006</v>
      </c>
      <c r="W153" s="6">
        <f>IF(ISERROR(VLOOKUP($T$153,'TAR FIN'!$A$1:$O$120,15,0)),0,VLOOKUP($T$153,'TAR FIN'!$A$1:$O$120,15,0))</f>
        <v>0</v>
      </c>
      <c r="X153" s="6">
        <f>IF(ISERROR(VLOOKUP($U$153,'TAR FIN'!$A$1:$O$120,15,0)),0,VLOOKUP($U$153,'TAR FIN'!$A$1:$O$120,15,0))</f>
        <v>0</v>
      </c>
      <c r="Y153" s="6">
        <f ca="1">('TUSD BE'!$AM$9+'TUSD BF'!$AM$9+'TUSD CVA'!$AM$9)*1</f>
        <v>13.276513797445094</v>
      </c>
      <c r="Z153" s="6">
        <f ca="1">('TUSD BE'!$AM$11+'TUSD BF'!$AM$11+'TUSD CVA'!$AM$11)*1</f>
        <v>4.2693586300165443</v>
      </c>
      <c r="AA153" s="6"/>
      <c r="AB153" s="6">
        <f>$K$153*$V$153</f>
        <v>511380.00000000006</v>
      </c>
      <c r="AC153" s="6">
        <f>$M$153*$W$153</f>
        <v>0</v>
      </c>
      <c r="AD153" s="6">
        <f>$O$153*$X$153</f>
        <v>0</v>
      </c>
      <c r="AE153" s="6">
        <f ca="1">$K$153*$Y$153</f>
        <v>716931.74506203504</v>
      </c>
      <c r="AF153" s="6">
        <f ca="1">$M$153*$Z$153</f>
        <v>0</v>
      </c>
      <c r="AG153" s="6">
        <f>$O$153*$AA$153</f>
        <v>0</v>
      </c>
    </row>
    <row r="154" spans="1:33" ht="11.25" customHeight="1" x14ac:dyDescent="0.25">
      <c r="A154" s="4" t="s">
        <v>21</v>
      </c>
      <c r="B154" s="4" t="s">
        <v>43</v>
      </c>
      <c r="C154" s="4" t="s">
        <v>67</v>
      </c>
      <c r="D154" s="4" t="s">
        <v>25</v>
      </c>
      <c r="E154" s="4" t="s">
        <v>25</v>
      </c>
      <c r="F154" s="4" t="s">
        <v>25</v>
      </c>
      <c r="G154" s="4" t="s">
        <v>68</v>
      </c>
      <c r="H154" s="4" t="s">
        <v>35</v>
      </c>
      <c r="I154" s="5">
        <v>43983</v>
      </c>
      <c r="J154" s="6">
        <v>54000</v>
      </c>
      <c r="K154" s="6">
        <v>54000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4" t="s">
        <v>69</v>
      </c>
      <c r="R154" s="4">
        <v>6072</v>
      </c>
      <c r="S154" s="6">
        <v>5</v>
      </c>
      <c r="T154" s="6">
        <v>0</v>
      </c>
      <c r="U154" s="6">
        <v>0</v>
      </c>
      <c r="V154" s="6">
        <f>IF(ISERROR(VLOOKUP($S$154,'TAR FIN'!$A$1:$O$120,15,0)),0,VLOOKUP($S$154,'TAR FIN'!$A$1:$O$120,15,0))</f>
        <v>9.4700000000000006</v>
      </c>
      <c r="W154" s="6">
        <f>IF(ISERROR(VLOOKUP($T$154,'TAR FIN'!$A$1:$O$120,15,0)),0,VLOOKUP($T$154,'TAR FIN'!$A$1:$O$120,15,0))</f>
        <v>0</v>
      </c>
      <c r="X154" s="6">
        <f>IF(ISERROR(VLOOKUP($U$154,'TAR FIN'!$A$1:$O$120,15,0)),0,VLOOKUP($U$154,'TAR FIN'!$A$1:$O$120,15,0))</f>
        <v>0</v>
      </c>
      <c r="Y154" s="6">
        <f ca="1">('TUSD BE'!$AM$9+'TUSD BF'!$AM$9+'TUSD CVA'!$AM$9)*1</f>
        <v>13.276513797445094</v>
      </c>
      <c r="Z154" s="6">
        <f ca="1">('TUSD BE'!$AM$11+'TUSD BF'!$AM$11+'TUSD CVA'!$AM$11)*1</f>
        <v>4.2693586300165443</v>
      </c>
      <c r="AA154" s="6"/>
      <c r="AB154" s="6">
        <f>$K$154*$V$154</f>
        <v>511380.00000000006</v>
      </c>
      <c r="AC154" s="6">
        <f>$M$154*$W$154</f>
        <v>0</v>
      </c>
      <c r="AD154" s="6">
        <f>$O$154*$X$154</f>
        <v>0</v>
      </c>
      <c r="AE154" s="6">
        <f ca="1">$K$154*$Y$154</f>
        <v>716931.74506203504</v>
      </c>
      <c r="AF154" s="6">
        <f ca="1">$M$154*$Z$154</f>
        <v>0</v>
      </c>
      <c r="AG154" s="6">
        <f>$O$154*$AA$154</f>
        <v>0</v>
      </c>
    </row>
    <row r="155" spans="1:33" ht="11.25" customHeight="1" x14ac:dyDescent="0.25">
      <c r="A155" s="4" t="s">
        <v>21</v>
      </c>
      <c r="B155" s="4" t="s">
        <v>43</v>
      </c>
      <c r="C155" s="4" t="s">
        <v>67</v>
      </c>
      <c r="D155" s="4" t="s">
        <v>25</v>
      </c>
      <c r="E155" s="4" t="s">
        <v>25</v>
      </c>
      <c r="F155" s="4" t="s">
        <v>25</v>
      </c>
      <c r="G155" s="4" t="s">
        <v>68</v>
      </c>
      <c r="H155" s="4" t="s">
        <v>35</v>
      </c>
      <c r="I155" s="5">
        <v>44013</v>
      </c>
      <c r="J155" s="6">
        <v>54000</v>
      </c>
      <c r="K155" s="6">
        <v>54000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4" t="s">
        <v>69</v>
      </c>
      <c r="R155" s="4">
        <v>6072</v>
      </c>
      <c r="S155" s="6">
        <v>5</v>
      </c>
      <c r="T155" s="6">
        <v>0</v>
      </c>
      <c r="U155" s="6">
        <v>0</v>
      </c>
      <c r="V155" s="6">
        <f>IF(ISERROR(VLOOKUP($S$155,'TAR FIN'!$A$1:$O$120,15,0)),0,VLOOKUP($S$155,'TAR FIN'!$A$1:$O$120,15,0))</f>
        <v>9.4700000000000006</v>
      </c>
      <c r="W155" s="6">
        <f>IF(ISERROR(VLOOKUP($T$155,'TAR FIN'!$A$1:$O$120,15,0)),0,VLOOKUP($T$155,'TAR FIN'!$A$1:$O$120,15,0))</f>
        <v>0</v>
      </c>
      <c r="X155" s="6">
        <f>IF(ISERROR(VLOOKUP($U$155,'TAR FIN'!$A$1:$O$120,15,0)),0,VLOOKUP($U$155,'TAR FIN'!$A$1:$O$120,15,0))</f>
        <v>0</v>
      </c>
      <c r="Y155" s="6">
        <f ca="1">('TUSD BE'!$AM$9+'TUSD BF'!$AM$9+'TUSD CVA'!$AM$9)*1</f>
        <v>13.276513797445094</v>
      </c>
      <c r="Z155" s="6">
        <f ca="1">('TUSD BE'!$AM$11+'TUSD BF'!$AM$11+'TUSD CVA'!$AM$11)*1</f>
        <v>4.2693586300165443</v>
      </c>
      <c r="AA155" s="6"/>
      <c r="AB155" s="6">
        <f>$K$155*$V$155</f>
        <v>511380.00000000006</v>
      </c>
      <c r="AC155" s="6">
        <f>$M$155*$W$155</f>
        <v>0</v>
      </c>
      <c r="AD155" s="6">
        <f>$O$155*$X$155</f>
        <v>0</v>
      </c>
      <c r="AE155" s="6">
        <f ca="1">$K$155*$Y$155</f>
        <v>716931.74506203504</v>
      </c>
      <c r="AF155" s="6">
        <f ca="1">$M$155*$Z$155</f>
        <v>0</v>
      </c>
      <c r="AG155" s="6">
        <f>$O$155*$AA$155</f>
        <v>0</v>
      </c>
    </row>
    <row r="156" spans="1:33" ht="11.25" customHeight="1" x14ac:dyDescent="0.25">
      <c r="A156" s="4" t="s">
        <v>21</v>
      </c>
      <c r="B156" s="4" t="s">
        <v>43</v>
      </c>
      <c r="C156" s="4" t="s">
        <v>67</v>
      </c>
      <c r="D156" s="4" t="s">
        <v>25</v>
      </c>
      <c r="E156" s="4" t="s">
        <v>25</v>
      </c>
      <c r="F156" s="4" t="s">
        <v>25</v>
      </c>
      <c r="G156" s="4" t="s">
        <v>68</v>
      </c>
      <c r="H156" s="4" t="s">
        <v>35</v>
      </c>
      <c r="I156" s="5">
        <v>44044</v>
      </c>
      <c r="J156" s="6">
        <v>54000</v>
      </c>
      <c r="K156" s="6">
        <v>54000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4" t="s">
        <v>69</v>
      </c>
      <c r="R156" s="4">
        <v>6072</v>
      </c>
      <c r="S156" s="6">
        <v>5</v>
      </c>
      <c r="T156" s="6">
        <v>0</v>
      </c>
      <c r="U156" s="6">
        <v>0</v>
      </c>
      <c r="V156" s="6">
        <f>IF(ISERROR(VLOOKUP($S$156,'TAR FIN'!$A$1:$O$120,15,0)),0,VLOOKUP($S$156,'TAR FIN'!$A$1:$O$120,15,0))</f>
        <v>9.4700000000000006</v>
      </c>
      <c r="W156" s="6">
        <f>IF(ISERROR(VLOOKUP($T$156,'TAR FIN'!$A$1:$O$120,15,0)),0,VLOOKUP($T$156,'TAR FIN'!$A$1:$O$120,15,0))</f>
        <v>0</v>
      </c>
      <c r="X156" s="6">
        <f>IF(ISERROR(VLOOKUP($U$156,'TAR FIN'!$A$1:$O$120,15,0)),0,VLOOKUP($U$156,'TAR FIN'!$A$1:$O$120,15,0))</f>
        <v>0</v>
      </c>
      <c r="Y156" s="6">
        <f ca="1">('TUSD BE'!$AM$9+'TUSD BF'!$AM$9+'TUSD CVA'!$AM$9)*1</f>
        <v>13.276513797445094</v>
      </c>
      <c r="Z156" s="6">
        <f ca="1">('TUSD BE'!$AM$11+'TUSD BF'!$AM$11+'TUSD CVA'!$AM$11)*1</f>
        <v>4.2693586300165443</v>
      </c>
      <c r="AA156" s="6"/>
      <c r="AB156" s="6">
        <f>$K$156*$V$156</f>
        <v>511380.00000000006</v>
      </c>
      <c r="AC156" s="6">
        <f>$M$156*$W$156</f>
        <v>0</v>
      </c>
      <c r="AD156" s="6">
        <f>$O$156*$X$156</f>
        <v>0</v>
      </c>
      <c r="AE156" s="6">
        <f ca="1">$K$156*$Y$156</f>
        <v>716931.74506203504</v>
      </c>
      <c r="AF156" s="6">
        <f ca="1">$M$156*$Z$156</f>
        <v>0</v>
      </c>
      <c r="AG156" s="6">
        <f>$O$156*$AA$156</f>
        <v>0</v>
      </c>
    </row>
    <row r="157" spans="1:33" ht="11.25" customHeight="1" x14ac:dyDescent="0.25">
      <c r="A157" s="4" t="s">
        <v>59</v>
      </c>
      <c r="B157" s="4" t="s">
        <v>43</v>
      </c>
      <c r="C157" s="4" t="s">
        <v>67</v>
      </c>
      <c r="D157" s="4" t="s">
        <v>25</v>
      </c>
      <c r="E157" s="4" t="s">
        <v>25</v>
      </c>
      <c r="F157" s="4" t="s">
        <v>25</v>
      </c>
      <c r="G157" s="4" t="s">
        <v>68</v>
      </c>
      <c r="H157" s="4" t="s">
        <v>35</v>
      </c>
      <c r="I157" s="5">
        <v>44075</v>
      </c>
      <c r="J157" s="6">
        <v>54000</v>
      </c>
      <c r="K157" s="6">
        <v>54000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4" t="s">
        <v>69</v>
      </c>
      <c r="R157" s="4">
        <v>6072</v>
      </c>
      <c r="S157" s="6">
        <v>5</v>
      </c>
      <c r="T157" s="6">
        <v>0</v>
      </c>
      <c r="U157" s="6">
        <v>0</v>
      </c>
      <c r="V157" s="6">
        <f>IF(ISERROR(VLOOKUP($S$157,'TAR FIN'!$A$1:$O$120,15,0)),0,VLOOKUP($S$157,'TAR FIN'!$A$1:$O$120,15,0))</f>
        <v>9.4700000000000006</v>
      </c>
      <c r="W157" s="6">
        <f>IF(ISERROR(VLOOKUP($T$157,'TAR FIN'!$A$1:$O$120,15,0)),0,VLOOKUP($T$157,'TAR FIN'!$A$1:$O$120,15,0))</f>
        <v>0</v>
      </c>
      <c r="X157" s="6">
        <f>IF(ISERROR(VLOOKUP($U$157,'TAR FIN'!$A$1:$O$120,15,0)),0,VLOOKUP($U$157,'TAR FIN'!$A$1:$O$120,15,0))</f>
        <v>0</v>
      </c>
      <c r="Y157" s="6">
        <f ca="1">('TUSD BE'!$AM$9+'TUSD BF'!$AM$9+'TUSD CVA'!$AM$9)*1</f>
        <v>13.276513797445094</v>
      </c>
      <c r="Z157" s="6">
        <f ca="1">('TUSD BE'!$AM$11+'TUSD BF'!$AM$11+'TUSD CVA'!$AM$11)*1</f>
        <v>4.2693586300165443</v>
      </c>
      <c r="AA157" s="6"/>
      <c r="AB157" s="6">
        <f>$K$157*$V$157</f>
        <v>511380.00000000006</v>
      </c>
      <c r="AC157" s="6">
        <f>$M$157*$W$157</f>
        <v>0</v>
      </c>
      <c r="AD157" s="6">
        <f>$O$157*$X$157</f>
        <v>0</v>
      </c>
      <c r="AE157" s="6">
        <f ca="1">$K$157*$Y$157</f>
        <v>716931.74506203504</v>
      </c>
      <c r="AF157" s="6">
        <f ca="1">$M$157*$Z$157</f>
        <v>0</v>
      </c>
      <c r="AG157" s="6">
        <f>$O$157*$AA$157</f>
        <v>0</v>
      </c>
    </row>
    <row r="158" spans="1:33" ht="11.25" customHeight="1" x14ac:dyDescent="0.25">
      <c r="A158" s="4" t="s">
        <v>21</v>
      </c>
      <c r="B158" s="4" t="s">
        <v>43</v>
      </c>
      <c r="C158" s="4" t="s">
        <v>64</v>
      </c>
      <c r="D158" s="4" t="s">
        <v>25</v>
      </c>
      <c r="E158" s="4" t="s">
        <v>25</v>
      </c>
      <c r="F158" s="4" t="s">
        <v>25</v>
      </c>
      <c r="G158" s="4" t="s">
        <v>70</v>
      </c>
      <c r="H158" s="4" t="s">
        <v>25</v>
      </c>
      <c r="I158" s="5">
        <v>43739</v>
      </c>
      <c r="J158" s="6">
        <v>124500</v>
      </c>
      <c r="K158" s="6">
        <v>124500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4" t="s">
        <v>66</v>
      </c>
      <c r="R158" s="4">
        <v>27795</v>
      </c>
      <c r="S158" s="6">
        <v>8</v>
      </c>
      <c r="T158" s="6">
        <v>0</v>
      </c>
      <c r="U158" s="6">
        <v>0</v>
      </c>
      <c r="V158" s="6">
        <f>IF(ISERROR(VLOOKUP($S$158,'TAR FIN'!$A$1:$O$120,15,0)),0,VLOOKUP($S$158,'TAR FIN'!$A$1:$O$120,15,0))</f>
        <v>3.09</v>
      </c>
      <c r="W158" s="6">
        <f>IF(ISERROR(VLOOKUP($T$158,'TAR FIN'!$A$1:$O$120,15,0)),0,VLOOKUP($T$158,'TAR FIN'!$A$1:$O$120,15,0))</f>
        <v>0</v>
      </c>
      <c r="X158" s="6">
        <f>IF(ISERROR(VLOOKUP($U$158,'TAR FIN'!$A$1:$O$120,15,0)),0,VLOOKUP($U$158,'TAR FIN'!$A$1:$O$120,15,0))</f>
        <v>0</v>
      </c>
      <c r="Y158" s="6">
        <f ca="1">('TUSD BE'!$AM$12+'TUSD BF'!$AM$12+'TUSD CVA'!$AM$12)*1</f>
        <v>3.6849092735444771</v>
      </c>
      <c r="Z158" s="6"/>
      <c r="AA158" s="6"/>
      <c r="AB158" s="6">
        <f>$K$158*$V$158</f>
        <v>384705</v>
      </c>
      <c r="AC158" s="6">
        <f>$M$158*$W$158</f>
        <v>0</v>
      </c>
      <c r="AD158" s="6">
        <f>$O$158*$X$158</f>
        <v>0</v>
      </c>
      <c r="AE158" s="6">
        <f ca="1">$K$158*$Y$158</f>
        <v>458771.20455628738</v>
      </c>
      <c r="AF158" s="6">
        <f>$M$158*$Z$158</f>
        <v>0</v>
      </c>
      <c r="AG158" s="6">
        <f>$O$158*$AA$158</f>
        <v>0</v>
      </c>
    </row>
    <row r="159" spans="1:33" ht="11.25" customHeight="1" x14ac:dyDescent="0.25">
      <c r="A159" s="4" t="s">
        <v>21</v>
      </c>
      <c r="B159" s="4" t="s">
        <v>43</v>
      </c>
      <c r="C159" s="4" t="s">
        <v>64</v>
      </c>
      <c r="D159" s="4" t="s">
        <v>25</v>
      </c>
      <c r="E159" s="4" t="s">
        <v>25</v>
      </c>
      <c r="F159" s="4" t="s">
        <v>25</v>
      </c>
      <c r="G159" s="4" t="s">
        <v>71</v>
      </c>
      <c r="H159" s="4" t="s">
        <v>25</v>
      </c>
      <c r="I159" s="5">
        <v>43739</v>
      </c>
      <c r="J159" s="6">
        <v>86500</v>
      </c>
      <c r="K159" s="6">
        <v>86500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4" t="s">
        <v>66</v>
      </c>
      <c r="R159" s="4">
        <v>28352</v>
      </c>
      <c r="S159" s="6">
        <v>9</v>
      </c>
      <c r="T159" s="6">
        <v>0</v>
      </c>
      <c r="U159" s="6">
        <v>0</v>
      </c>
      <c r="V159" s="6">
        <f>IF(ISERROR(VLOOKUP($S$159,'TAR FIN'!$A$1:$O$120,15,0)),0,VLOOKUP($S$159,'TAR FIN'!$A$1:$O$120,15,0))</f>
        <v>2.71</v>
      </c>
      <c r="W159" s="6">
        <f>IF(ISERROR(VLOOKUP($T$159,'TAR FIN'!$A$1:$O$120,15,0)),0,VLOOKUP($T$159,'TAR FIN'!$A$1:$O$120,15,0))</f>
        <v>0</v>
      </c>
      <c r="X159" s="6">
        <f>IF(ISERROR(VLOOKUP($U$159,'TAR FIN'!$A$1:$O$120,15,0)),0,VLOOKUP($U$159,'TAR FIN'!$A$1:$O$120,15,0))</f>
        <v>0</v>
      </c>
      <c r="Y159" s="6">
        <f ca="1">('TUSD BE'!$AM$13+'TUSD BF'!$AM$13+'TUSD CVA'!$AM$13)*1</f>
        <v>3.2397980177320211</v>
      </c>
      <c r="Z159" s="6"/>
      <c r="AA159" s="6"/>
      <c r="AB159" s="6">
        <f>$K$159*$V$159</f>
        <v>234415</v>
      </c>
      <c r="AC159" s="6">
        <f>$M$159*$W$159</f>
        <v>0</v>
      </c>
      <c r="AD159" s="6">
        <f>$O$159*$X$159</f>
        <v>0</v>
      </c>
      <c r="AE159" s="6">
        <f ca="1">$K$159*$Y$159</f>
        <v>280242.52853381983</v>
      </c>
      <c r="AF159" s="6">
        <f>$M$159*$Z$159</f>
        <v>0</v>
      </c>
      <c r="AG159" s="6">
        <f>$O$159*$AA$159</f>
        <v>0</v>
      </c>
    </row>
    <row r="160" spans="1:33" ht="11.25" customHeight="1" x14ac:dyDescent="0.25">
      <c r="A160" s="4" t="s">
        <v>21</v>
      </c>
      <c r="B160" s="4" t="s">
        <v>43</v>
      </c>
      <c r="C160" s="4" t="s">
        <v>64</v>
      </c>
      <c r="D160" s="4" t="s">
        <v>25</v>
      </c>
      <c r="E160" s="4" t="s">
        <v>25</v>
      </c>
      <c r="F160" s="4" t="s">
        <v>25</v>
      </c>
      <c r="G160" s="4" t="s">
        <v>70</v>
      </c>
      <c r="H160" s="4" t="s">
        <v>25</v>
      </c>
      <c r="I160" s="5">
        <v>43770</v>
      </c>
      <c r="J160" s="6">
        <v>124500</v>
      </c>
      <c r="K160" s="6">
        <v>124500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4" t="s">
        <v>66</v>
      </c>
      <c r="R160" s="4">
        <v>27795</v>
      </c>
      <c r="S160" s="6">
        <v>8</v>
      </c>
      <c r="T160" s="6">
        <v>0</v>
      </c>
      <c r="U160" s="6">
        <v>0</v>
      </c>
      <c r="V160" s="6">
        <f>IF(ISERROR(VLOOKUP($S$160,'TAR FIN'!$A$1:$O$120,15,0)),0,VLOOKUP($S$160,'TAR FIN'!$A$1:$O$120,15,0))</f>
        <v>3.09</v>
      </c>
      <c r="W160" s="6">
        <f>IF(ISERROR(VLOOKUP($T$160,'TAR FIN'!$A$1:$O$120,15,0)),0,VLOOKUP($T$160,'TAR FIN'!$A$1:$O$120,15,0))</f>
        <v>0</v>
      </c>
      <c r="X160" s="6">
        <f>IF(ISERROR(VLOOKUP($U$160,'TAR FIN'!$A$1:$O$120,15,0)),0,VLOOKUP($U$160,'TAR FIN'!$A$1:$O$120,15,0))</f>
        <v>0</v>
      </c>
      <c r="Y160" s="6">
        <f ca="1">('TUSD BE'!$AM$12+'TUSD BF'!$AM$12+'TUSD CVA'!$AM$12)*1</f>
        <v>3.6849092735444771</v>
      </c>
      <c r="Z160" s="6"/>
      <c r="AA160" s="6"/>
      <c r="AB160" s="6">
        <f>$K$160*$V$160</f>
        <v>384705</v>
      </c>
      <c r="AC160" s="6">
        <f>$M$160*$W$160</f>
        <v>0</v>
      </c>
      <c r="AD160" s="6">
        <f>$O$160*$X$160</f>
        <v>0</v>
      </c>
      <c r="AE160" s="6">
        <f ca="1">$K$160*$Y$160</f>
        <v>458771.20455628738</v>
      </c>
      <c r="AF160" s="6">
        <f>$M$160*$Z$160</f>
        <v>0</v>
      </c>
      <c r="AG160" s="6">
        <f>$O$160*$AA$160</f>
        <v>0</v>
      </c>
    </row>
    <row r="161" spans="1:33" ht="11.25" customHeight="1" x14ac:dyDescent="0.25">
      <c r="A161" s="4" t="s">
        <v>21</v>
      </c>
      <c r="B161" s="4" t="s">
        <v>43</v>
      </c>
      <c r="C161" s="4" t="s">
        <v>64</v>
      </c>
      <c r="D161" s="4" t="s">
        <v>25</v>
      </c>
      <c r="E161" s="4" t="s">
        <v>25</v>
      </c>
      <c r="F161" s="4" t="s">
        <v>25</v>
      </c>
      <c r="G161" s="4" t="s">
        <v>71</v>
      </c>
      <c r="H161" s="4" t="s">
        <v>25</v>
      </c>
      <c r="I161" s="5">
        <v>43770</v>
      </c>
      <c r="J161" s="6">
        <v>86500</v>
      </c>
      <c r="K161" s="6">
        <v>86500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4" t="s">
        <v>66</v>
      </c>
      <c r="R161" s="4">
        <v>28352</v>
      </c>
      <c r="S161" s="6">
        <v>9</v>
      </c>
      <c r="T161" s="6">
        <v>0</v>
      </c>
      <c r="U161" s="6">
        <v>0</v>
      </c>
      <c r="V161" s="6">
        <f>IF(ISERROR(VLOOKUP($S$161,'TAR FIN'!$A$1:$O$120,15,0)),0,VLOOKUP($S$161,'TAR FIN'!$A$1:$O$120,15,0))</f>
        <v>2.71</v>
      </c>
      <c r="W161" s="6">
        <f>IF(ISERROR(VLOOKUP($T$161,'TAR FIN'!$A$1:$O$120,15,0)),0,VLOOKUP($T$161,'TAR FIN'!$A$1:$O$120,15,0))</f>
        <v>0</v>
      </c>
      <c r="X161" s="6">
        <f>IF(ISERROR(VLOOKUP($U$161,'TAR FIN'!$A$1:$O$120,15,0)),0,VLOOKUP($U$161,'TAR FIN'!$A$1:$O$120,15,0))</f>
        <v>0</v>
      </c>
      <c r="Y161" s="6">
        <f ca="1">('TUSD BE'!$AM$13+'TUSD BF'!$AM$13+'TUSD CVA'!$AM$13)*1</f>
        <v>3.2397980177320211</v>
      </c>
      <c r="Z161" s="6"/>
      <c r="AA161" s="6"/>
      <c r="AB161" s="6">
        <f>$K$161*$V$161</f>
        <v>234415</v>
      </c>
      <c r="AC161" s="6">
        <f>$M$161*$W$161</f>
        <v>0</v>
      </c>
      <c r="AD161" s="6">
        <f>$O$161*$X$161</f>
        <v>0</v>
      </c>
      <c r="AE161" s="6">
        <f ca="1">$K$161*$Y$161</f>
        <v>280242.52853381983</v>
      </c>
      <c r="AF161" s="6">
        <f>$M$161*$Z$161</f>
        <v>0</v>
      </c>
      <c r="AG161" s="6">
        <f>$O$161*$AA$161</f>
        <v>0</v>
      </c>
    </row>
    <row r="162" spans="1:33" ht="11.25" customHeight="1" x14ac:dyDescent="0.25">
      <c r="A162" s="4" t="s">
        <v>21</v>
      </c>
      <c r="B162" s="4" t="s">
        <v>43</v>
      </c>
      <c r="C162" s="4" t="s">
        <v>64</v>
      </c>
      <c r="D162" s="4" t="s">
        <v>25</v>
      </c>
      <c r="E162" s="4" t="s">
        <v>25</v>
      </c>
      <c r="F162" s="4" t="s">
        <v>25</v>
      </c>
      <c r="G162" s="4" t="s">
        <v>70</v>
      </c>
      <c r="H162" s="4" t="s">
        <v>25</v>
      </c>
      <c r="I162" s="5">
        <v>43800</v>
      </c>
      <c r="J162" s="6">
        <v>124500</v>
      </c>
      <c r="K162" s="6">
        <v>124500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4" t="s">
        <v>66</v>
      </c>
      <c r="R162" s="4">
        <v>27795</v>
      </c>
      <c r="S162" s="6">
        <v>8</v>
      </c>
      <c r="T162" s="6">
        <v>0</v>
      </c>
      <c r="U162" s="6">
        <v>0</v>
      </c>
      <c r="V162" s="6">
        <f>IF(ISERROR(VLOOKUP($S$162,'TAR FIN'!$A$1:$O$120,15,0)),0,VLOOKUP($S$162,'TAR FIN'!$A$1:$O$120,15,0))</f>
        <v>3.09</v>
      </c>
      <c r="W162" s="6">
        <f>IF(ISERROR(VLOOKUP($T$162,'TAR FIN'!$A$1:$O$120,15,0)),0,VLOOKUP($T$162,'TAR FIN'!$A$1:$O$120,15,0))</f>
        <v>0</v>
      </c>
      <c r="X162" s="6">
        <f>IF(ISERROR(VLOOKUP($U$162,'TAR FIN'!$A$1:$O$120,15,0)),0,VLOOKUP($U$162,'TAR FIN'!$A$1:$O$120,15,0))</f>
        <v>0</v>
      </c>
      <c r="Y162" s="6">
        <f ca="1">('TUSD BE'!$AM$12+'TUSD BF'!$AM$12+'TUSD CVA'!$AM$12)*1</f>
        <v>3.6849092735444771</v>
      </c>
      <c r="Z162" s="6"/>
      <c r="AA162" s="6"/>
      <c r="AB162" s="6">
        <f>$K$162*$V$162</f>
        <v>384705</v>
      </c>
      <c r="AC162" s="6">
        <f>$M$162*$W$162</f>
        <v>0</v>
      </c>
      <c r="AD162" s="6">
        <f>$O$162*$X$162</f>
        <v>0</v>
      </c>
      <c r="AE162" s="6">
        <f ca="1">$K$162*$Y$162</f>
        <v>458771.20455628738</v>
      </c>
      <c r="AF162" s="6">
        <f>$M$162*$Z$162</f>
        <v>0</v>
      </c>
      <c r="AG162" s="6">
        <f>$O$162*$AA$162</f>
        <v>0</v>
      </c>
    </row>
    <row r="163" spans="1:33" ht="11.25" customHeight="1" x14ac:dyDescent="0.25">
      <c r="A163" s="4" t="s">
        <v>21</v>
      </c>
      <c r="B163" s="4" t="s">
        <v>43</v>
      </c>
      <c r="C163" s="4" t="s">
        <v>64</v>
      </c>
      <c r="D163" s="4" t="s">
        <v>25</v>
      </c>
      <c r="E163" s="4" t="s">
        <v>25</v>
      </c>
      <c r="F163" s="4" t="s">
        <v>25</v>
      </c>
      <c r="G163" s="4" t="s">
        <v>71</v>
      </c>
      <c r="H163" s="4" t="s">
        <v>25</v>
      </c>
      <c r="I163" s="5">
        <v>43800</v>
      </c>
      <c r="J163" s="6">
        <v>86500</v>
      </c>
      <c r="K163" s="6">
        <v>86500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4" t="s">
        <v>66</v>
      </c>
      <c r="R163" s="4">
        <v>28352</v>
      </c>
      <c r="S163" s="6">
        <v>9</v>
      </c>
      <c r="T163" s="6">
        <v>0</v>
      </c>
      <c r="U163" s="6">
        <v>0</v>
      </c>
      <c r="V163" s="6">
        <f>IF(ISERROR(VLOOKUP($S$163,'TAR FIN'!$A$1:$O$120,15,0)),0,VLOOKUP($S$163,'TAR FIN'!$A$1:$O$120,15,0))</f>
        <v>2.71</v>
      </c>
      <c r="W163" s="6">
        <f>IF(ISERROR(VLOOKUP($T$163,'TAR FIN'!$A$1:$O$120,15,0)),0,VLOOKUP($T$163,'TAR FIN'!$A$1:$O$120,15,0))</f>
        <v>0</v>
      </c>
      <c r="X163" s="6">
        <f>IF(ISERROR(VLOOKUP($U$163,'TAR FIN'!$A$1:$O$120,15,0)),0,VLOOKUP($U$163,'TAR FIN'!$A$1:$O$120,15,0))</f>
        <v>0</v>
      </c>
      <c r="Y163" s="6">
        <f ca="1">('TUSD BE'!$AM$13+'TUSD BF'!$AM$13+'TUSD CVA'!$AM$13)*1</f>
        <v>3.2397980177320211</v>
      </c>
      <c r="Z163" s="6"/>
      <c r="AA163" s="6"/>
      <c r="AB163" s="6">
        <f>$K$163*$V$163</f>
        <v>234415</v>
      </c>
      <c r="AC163" s="6">
        <f>$M$163*$W$163</f>
        <v>0</v>
      </c>
      <c r="AD163" s="6">
        <f>$O$163*$X$163</f>
        <v>0</v>
      </c>
      <c r="AE163" s="6">
        <f ca="1">$K$163*$Y$163</f>
        <v>280242.52853381983</v>
      </c>
      <c r="AF163" s="6">
        <f>$M$163*$Z$163</f>
        <v>0</v>
      </c>
      <c r="AG163" s="6">
        <f>$O$163*$AA$163</f>
        <v>0</v>
      </c>
    </row>
    <row r="164" spans="1:33" ht="11.25" customHeight="1" x14ac:dyDescent="0.25">
      <c r="A164" s="4" t="s">
        <v>21</v>
      </c>
      <c r="B164" s="4" t="s">
        <v>43</v>
      </c>
      <c r="C164" s="4" t="s">
        <v>64</v>
      </c>
      <c r="D164" s="4" t="s">
        <v>25</v>
      </c>
      <c r="E164" s="4" t="s">
        <v>25</v>
      </c>
      <c r="F164" s="4" t="s">
        <v>25</v>
      </c>
      <c r="G164" s="4" t="s">
        <v>70</v>
      </c>
      <c r="H164" s="4" t="s">
        <v>25</v>
      </c>
      <c r="I164" s="5">
        <v>43831</v>
      </c>
      <c r="J164" s="6">
        <v>124500</v>
      </c>
      <c r="K164" s="6">
        <v>124500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4" t="s">
        <v>66</v>
      </c>
      <c r="R164" s="4">
        <v>27795</v>
      </c>
      <c r="S164" s="6">
        <v>8</v>
      </c>
      <c r="T164" s="6">
        <v>0</v>
      </c>
      <c r="U164" s="6">
        <v>0</v>
      </c>
      <c r="V164" s="6">
        <f>IF(ISERROR(VLOOKUP($S$164,'TAR FIN'!$A$1:$O$120,15,0)),0,VLOOKUP($S$164,'TAR FIN'!$A$1:$O$120,15,0))</f>
        <v>3.09</v>
      </c>
      <c r="W164" s="6">
        <f>IF(ISERROR(VLOOKUP($T$164,'TAR FIN'!$A$1:$O$120,15,0)),0,VLOOKUP($T$164,'TAR FIN'!$A$1:$O$120,15,0))</f>
        <v>0</v>
      </c>
      <c r="X164" s="6">
        <f>IF(ISERROR(VLOOKUP($U$164,'TAR FIN'!$A$1:$O$120,15,0)),0,VLOOKUP($U$164,'TAR FIN'!$A$1:$O$120,15,0))</f>
        <v>0</v>
      </c>
      <c r="Y164" s="6">
        <f ca="1">('TUSD BE'!$AM$12+'TUSD BF'!$AM$12+'TUSD CVA'!$AM$12)*1</f>
        <v>3.6849092735444771</v>
      </c>
      <c r="Z164" s="6"/>
      <c r="AA164" s="6"/>
      <c r="AB164" s="6">
        <f>$K$164*$V$164</f>
        <v>384705</v>
      </c>
      <c r="AC164" s="6">
        <f>$M$164*$W$164</f>
        <v>0</v>
      </c>
      <c r="AD164" s="6">
        <f>$O$164*$X$164</f>
        <v>0</v>
      </c>
      <c r="AE164" s="6">
        <f ca="1">$K$164*$Y$164</f>
        <v>458771.20455628738</v>
      </c>
      <c r="AF164" s="6">
        <f>$M$164*$Z$164</f>
        <v>0</v>
      </c>
      <c r="AG164" s="6">
        <f>$O$164*$AA$164</f>
        <v>0</v>
      </c>
    </row>
    <row r="165" spans="1:33" ht="11.25" customHeight="1" x14ac:dyDescent="0.25">
      <c r="A165" s="4" t="s">
        <v>21</v>
      </c>
      <c r="B165" s="4" t="s">
        <v>43</v>
      </c>
      <c r="C165" s="4" t="s">
        <v>64</v>
      </c>
      <c r="D165" s="4" t="s">
        <v>25</v>
      </c>
      <c r="E165" s="4" t="s">
        <v>25</v>
      </c>
      <c r="F165" s="4" t="s">
        <v>25</v>
      </c>
      <c r="G165" s="4" t="s">
        <v>71</v>
      </c>
      <c r="H165" s="4" t="s">
        <v>25</v>
      </c>
      <c r="I165" s="5">
        <v>43831</v>
      </c>
      <c r="J165" s="6">
        <v>86500</v>
      </c>
      <c r="K165" s="6">
        <v>86500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4" t="s">
        <v>66</v>
      </c>
      <c r="R165" s="4">
        <v>28352</v>
      </c>
      <c r="S165" s="6">
        <v>9</v>
      </c>
      <c r="T165" s="6">
        <v>0</v>
      </c>
      <c r="U165" s="6">
        <v>0</v>
      </c>
      <c r="V165" s="6">
        <f>IF(ISERROR(VLOOKUP($S$165,'TAR FIN'!$A$1:$O$120,15,0)),0,VLOOKUP($S$165,'TAR FIN'!$A$1:$O$120,15,0))</f>
        <v>2.71</v>
      </c>
      <c r="W165" s="6">
        <f>IF(ISERROR(VLOOKUP($T$165,'TAR FIN'!$A$1:$O$120,15,0)),0,VLOOKUP($T$165,'TAR FIN'!$A$1:$O$120,15,0))</f>
        <v>0</v>
      </c>
      <c r="X165" s="6">
        <f>IF(ISERROR(VLOOKUP($U$165,'TAR FIN'!$A$1:$O$120,15,0)),0,VLOOKUP($U$165,'TAR FIN'!$A$1:$O$120,15,0))</f>
        <v>0</v>
      </c>
      <c r="Y165" s="6">
        <f ca="1">('TUSD BE'!$AM$13+'TUSD BF'!$AM$13+'TUSD CVA'!$AM$13)*1</f>
        <v>3.2397980177320211</v>
      </c>
      <c r="Z165" s="6"/>
      <c r="AA165" s="6"/>
      <c r="AB165" s="6">
        <f>$K$165*$V$165</f>
        <v>234415</v>
      </c>
      <c r="AC165" s="6">
        <f>$M$165*$W$165</f>
        <v>0</v>
      </c>
      <c r="AD165" s="6">
        <f>$O$165*$X$165</f>
        <v>0</v>
      </c>
      <c r="AE165" s="6">
        <f ca="1">$K$165*$Y$165</f>
        <v>280242.52853381983</v>
      </c>
      <c r="AF165" s="6">
        <f>$M$165*$Z$165</f>
        <v>0</v>
      </c>
      <c r="AG165" s="6">
        <f>$O$165*$AA$165</f>
        <v>0</v>
      </c>
    </row>
    <row r="166" spans="1:33" ht="11.25" customHeight="1" x14ac:dyDescent="0.25">
      <c r="A166" s="4" t="s">
        <v>21</v>
      </c>
      <c r="B166" s="4" t="s">
        <v>43</v>
      </c>
      <c r="C166" s="4" t="s">
        <v>64</v>
      </c>
      <c r="D166" s="4" t="s">
        <v>25</v>
      </c>
      <c r="E166" s="4" t="s">
        <v>25</v>
      </c>
      <c r="F166" s="4" t="s">
        <v>25</v>
      </c>
      <c r="G166" s="4" t="s">
        <v>70</v>
      </c>
      <c r="H166" s="4" t="s">
        <v>25</v>
      </c>
      <c r="I166" s="5">
        <v>43862</v>
      </c>
      <c r="J166" s="6">
        <v>124500</v>
      </c>
      <c r="K166" s="6">
        <v>124500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4" t="s">
        <v>66</v>
      </c>
      <c r="R166" s="4">
        <v>27795</v>
      </c>
      <c r="S166" s="6">
        <v>8</v>
      </c>
      <c r="T166" s="6">
        <v>0</v>
      </c>
      <c r="U166" s="6">
        <v>0</v>
      </c>
      <c r="V166" s="6">
        <f>IF(ISERROR(VLOOKUP($S$166,'TAR FIN'!$A$1:$O$120,15,0)),0,VLOOKUP($S$166,'TAR FIN'!$A$1:$O$120,15,0))</f>
        <v>3.09</v>
      </c>
      <c r="W166" s="6">
        <f>IF(ISERROR(VLOOKUP($T$166,'TAR FIN'!$A$1:$O$120,15,0)),0,VLOOKUP($T$166,'TAR FIN'!$A$1:$O$120,15,0))</f>
        <v>0</v>
      </c>
      <c r="X166" s="6">
        <f>IF(ISERROR(VLOOKUP($U$166,'TAR FIN'!$A$1:$O$120,15,0)),0,VLOOKUP($U$166,'TAR FIN'!$A$1:$O$120,15,0))</f>
        <v>0</v>
      </c>
      <c r="Y166" s="6">
        <f ca="1">('TUSD BE'!$AM$12+'TUSD BF'!$AM$12+'TUSD CVA'!$AM$12)*1</f>
        <v>3.6849092735444771</v>
      </c>
      <c r="Z166" s="6"/>
      <c r="AA166" s="6"/>
      <c r="AB166" s="6">
        <f>$K$166*$V$166</f>
        <v>384705</v>
      </c>
      <c r="AC166" s="6">
        <f>$M$166*$W$166</f>
        <v>0</v>
      </c>
      <c r="AD166" s="6">
        <f>$O$166*$X$166</f>
        <v>0</v>
      </c>
      <c r="AE166" s="6">
        <f ca="1">$K$166*$Y$166</f>
        <v>458771.20455628738</v>
      </c>
      <c r="AF166" s="6">
        <f>$M$166*$Z$166</f>
        <v>0</v>
      </c>
      <c r="AG166" s="6">
        <f>$O$166*$AA$166</f>
        <v>0</v>
      </c>
    </row>
    <row r="167" spans="1:33" ht="11.25" customHeight="1" x14ac:dyDescent="0.25">
      <c r="A167" s="4" t="s">
        <v>21</v>
      </c>
      <c r="B167" s="4" t="s">
        <v>43</v>
      </c>
      <c r="C167" s="4" t="s">
        <v>64</v>
      </c>
      <c r="D167" s="4" t="s">
        <v>25</v>
      </c>
      <c r="E167" s="4" t="s">
        <v>25</v>
      </c>
      <c r="F167" s="4" t="s">
        <v>25</v>
      </c>
      <c r="G167" s="4" t="s">
        <v>71</v>
      </c>
      <c r="H167" s="4" t="s">
        <v>25</v>
      </c>
      <c r="I167" s="5">
        <v>43862</v>
      </c>
      <c r="J167" s="6">
        <v>86500</v>
      </c>
      <c r="K167" s="6">
        <v>86500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4" t="s">
        <v>66</v>
      </c>
      <c r="R167" s="4">
        <v>28352</v>
      </c>
      <c r="S167" s="6">
        <v>9</v>
      </c>
      <c r="T167" s="6">
        <v>0</v>
      </c>
      <c r="U167" s="6">
        <v>0</v>
      </c>
      <c r="V167" s="6">
        <f>IF(ISERROR(VLOOKUP($S$167,'TAR FIN'!$A$1:$O$120,15,0)),0,VLOOKUP($S$167,'TAR FIN'!$A$1:$O$120,15,0))</f>
        <v>2.71</v>
      </c>
      <c r="W167" s="6">
        <f>IF(ISERROR(VLOOKUP($T$167,'TAR FIN'!$A$1:$O$120,15,0)),0,VLOOKUP($T$167,'TAR FIN'!$A$1:$O$120,15,0))</f>
        <v>0</v>
      </c>
      <c r="X167" s="6">
        <f>IF(ISERROR(VLOOKUP($U$167,'TAR FIN'!$A$1:$O$120,15,0)),0,VLOOKUP($U$167,'TAR FIN'!$A$1:$O$120,15,0))</f>
        <v>0</v>
      </c>
      <c r="Y167" s="6">
        <f ca="1">('TUSD BE'!$AM$13+'TUSD BF'!$AM$13+'TUSD CVA'!$AM$13)*1</f>
        <v>3.2397980177320211</v>
      </c>
      <c r="Z167" s="6"/>
      <c r="AA167" s="6"/>
      <c r="AB167" s="6">
        <f>$K$167*$V$167</f>
        <v>234415</v>
      </c>
      <c r="AC167" s="6">
        <f>$M$167*$W$167</f>
        <v>0</v>
      </c>
      <c r="AD167" s="6">
        <f>$O$167*$X$167</f>
        <v>0</v>
      </c>
      <c r="AE167" s="6">
        <f ca="1">$K$167*$Y$167</f>
        <v>280242.52853381983</v>
      </c>
      <c r="AF167" s="6">
        <f>$M$167*$Z$167</f>
        <v>0</v>
      </c>
      <c r="AG167" s="6">
        <f>$O$167*$AA$167</f>
        <v>0</v>
      </c>
    </row>
    <row r="168" spans="1:33" ht="11.25" customHeight="1" x14ac:dyDescent="0.25">
      <c r="A168" s="4" t="s">
        <v>21</v>
      </c>
      <c r="B168" s="4" t="s">
        <v>43</v>
      </c>
      <c r="C168" s="4" t="s">
        <v>64</v>
      </c>
      <c r="D168" s="4" t="s">
        <v>25</v>
      </c>
      <c r="E168" s="4" t="s">
        <v>25</v>
      </c>
      <c r="F168" s="4" t="s">
        <v>25</v>
      </c>
      <c r="G168" s="4" t="s">
        <v>70</v>
      </c>
      <c r="H168" s="4" t="s">
        <v>25</v>
      </c>
      <c r="I168" s="5">
        <v>43891</v>
      </c>
      <c r="J168" s="6">
        <v>124500</v>
      </c>
      <c r="K168" s="6">
        <v>124500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4" t="s">
        <v>66</v>
      </c>
      <c r="R168" s="4">
        <v>27795</v>
      </c>
      <c r="S168" s="6">
        <v>8</v>
      </c>
      <c r="T168" s="6">
        <v>0</v>
      </c>
      <c r="U168" s="6">
        <v>0</v>
      </c>
      <c r="V168" s="6">
        <f>IF(ISERROR(VLOOKUP($S$168,'TAR FIN'!$A$1:$O$120,15,0)),0,VLOOKUP($S$168,'TAR FIN'!$A$1:$O$120,15,0))</f>
        <v>3.09</v>
      </c>
      <c r="W168" s="6">
        <f>IF(ISERROR(VLOOKUP($T$168,'TAR FIN'!$A$1:$O$120,15,0)),0,VLOOKUP($T$168,'TAR FIN'!$A$1:$O$120,15,0))</f>
        <v>0</v>
      </c>
      <c r="X168" s="6">
        <f>IF(ISERROR(VLOOKUP($U$168,'TAR FIN'!$A$1:$O$120,15,0)),0,VLOOKUP($U$168,'TAR FIN'!$A$1:$O$120,15,0))</f>
        <v>0</v>
      </c>
      <c r="Y168" s="6">
        <f ca="1">('TUSD BE'!$AM$12+'TUSD BF'!$AM$12+'TUSD CVA'!$AM$12)*1</f>
        <v>3.6849092735444771</v>
      </c>
      <c r="Z168" s="6"/>
      <c r="AA168" s="6"/>
      <c r="AB168" s="6">
        <f>$K$168*$V$168</f>
        <v>384705</v>
      </c>
      <c r="AC168" s="6">
        <f>$M$168*$W$168</f>
        <v>0</v>
      </c>
      <c r="AD168" s="6">
        <f>$O$168*$X$168</f>
        <v>0</v>
      </c>
      <c r="AE168" s="6">
        <f ca="1">$K$168*$Y$168</f>
        <v>458771.20455628738</v>
      </c>
      <c r="AF168" s="6">
        <f>$M$168*$Z$168</f>
        <v>0</v>
      </c>
      <c r="AG168" s="6">
        <f>$O$168*$AA$168</f>
        <v>0</v>
      </c>
    </row>
    <row r="169" spans="1:33" ht="11.25" customHeight="1" x14ac:dyDescent="0.25">
      <c r="A169" s="4" t="s">
        <v>21</v>
      </c>
      <c r="B169" s="4" t="s">
        <v>43</v>
      </c>
      <c r="C169" s="4" t="s">
        <v>64</v>
      </c>
      <c r="D169" s="4" t="s">
        <v>25</v>
      </c>
      <c r="E169" s="4" t="s">
        <v>25</v>
      </c>
      <c r="F169" s="4" t="s">
        <v>25</v>
      </c>
      <c r="G169" s="4" t="s">
        <v>71</v>
      </c>
      <c r="H169" s="4" t="s">
        <v>25</v>
      </c>
      <c r="I169" s="5">
        <v>43891</v>
      </c>
      <c r="J169" s="6">
        <v>86500</v>
      </c>
      <c r="K169" s="6">
        <v>86500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4" t="s">
        <v>66</v>
      </c>
      <c r="R169" s="4">
        <v>28352</v>
      </c>
      <c r="S169" s="6">
        <v>9</v>
      </c>
      <c r="T169" s="6">
        <v>0</v>
      </c>
      <c r="U169" s="6">
        <v>0</v>
      </c>
      <c r="V169" s="6">
        <f>IF(ISERROR(VLOOKUP($S$169,'TAR FIN'!$A$1:$O$120,15,0)),0,VLOOKUP($S$169,'TAR FIN'!$A$1:$O$120,15,0))</f>
        <v>2.71</v>
      </c>
      <c r="W169" s="6">
        <f>IF(ISERROR(VLOOKUP($T$169,'TAR FIN'!$A$1:$O$120,15,0)),0,VLOOKUP($T$169,'TAR FIN'!$A$1:$O$120,15,0))</f>
        <v>0</v>
      </c>
      <c r="X169" s="6">
        <f>IF(ISERROR(VLOOKUP($U$169,'TAR FIN'!$A$1:$O$120,15,0)),0,VLOOKUP($U$169,'TAR FIN'!$A$1:$O$120,15,0))</f>
        <v>0</v>
      </c>
      <c r="Y169" s="6">
        <f ca="1">('TUSD BE'!$AM$13+'TUSD BF'!$AM$13+'TUSD CVA'!$AM$13)*1</f>
        <v>3.2397980177320211</v>
      </c>
      <c r="Z169" s="6"/>
      <c r="AA169" s="6"/>
      <c r="AB169" s="6">
        <f>$K$169*$V$169</f>
        <v>234415</v>
      </c>
      <c r="AC169" s="6">
        <f>$M$169*$W$169</f>
        <v>0</v>
      </c>
      <c r="AD169" s="6">
        <f>$O$169*$X$169</f>
        <v>0</v>
      </c>
      <c r="AE169" s="6">
        <f ca="1">$K$169*$Y$169</f>
        <v>280242.52853381983</v>
      </c>
      <c r="AF169" s="6">
        <f>$M$169*$Z$169</f>
        <v>0</v>
      </c>
      <c r="AG169" s="6">
        <f>$O$169*$AA$169</f>
        <v>0</v>
      </c>
    </row>
    <row r="170" spans="1:33" ht="11.25" customHeight="1" x14ac:dyDescent="0.25">
      <c r="A170" s="4" t="s">
        <v>21</v>
      </c>
      <c r="B170" s="4" t="s">
        <v>43</v>
      </c>
      <c r="C170" s="4" t="s">
        <v>64</v>
      </c>
      <c r="D170" s="4" t="s">
        <v>25</v>
      </c>
      <c r="E170" s="4" t="s">
        <v>25</v>
      </c>
      <c r="F170" s="4" t="s">
        <v>25</v>
      </c>
      <c r="G170" s="4" t="s">
        <v>70</v>
      </c>
      <c r="H170" s="4" t="s">
        <v>25</v>
      </c>
      <c r="I170" s="5">
        <v>43922</v>
      </c>
      <c r="J170" s="6">
        <v>124500</v>
      </c>
      <c r="K170" s="6">
        <v>124500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  <c r="Q170" s="4" t="s">
        <v>66</v>
      </c>
      <c r="R170" s="4">
        <v>27795</v>
      </c>
      <c r="S170" s="6">
        <v>8</v>
      </c>
      <c r="T170" s="6">
        <v>0</v>
      </c>
      <c r="U170" s="6">
        <v>0</v>
      </c>
      <c r="V170" s="6">
        <f>IF(ISERROR(VLOOKUP($S$170,'TAR FIN'!$A$1:$O$120,15,0)),0,VLOOKUP($S$170,'TAR FIN'!$A$1:$O$120,15,0))</f>
        <v>3.09</v>
      </c>
      <c r="W170" s="6">
        <f>IF(ISERROR(VLOOKUP($T$170,'TAR FIN'!$A$1:$O$120,15,0)),0,VLOOKUP($T$170,'TAR FIN'!$A$1:$O$120,15,0))</f>
        <v>0</v>
      </c>
      <c r="X170" s="6">
        <f>IF(ISERROR(VLOOKUP($U$170,'TAR FIN'!$A$1:$O$120,15,0)),0,VLOOKUP($U$170,'TAR FIN'!$A$1:$O$120,15,0))</f>
        <v>0</v>
      </c>
      <c r="Y170" s="6">
        <f ca="1">('TUSD BE'!$AM$12+'TUSD BF'!$AM$12+'TUSD CVA'!$AM$12)*1</f>
        <v>3.6849092735444771</v>
      </c>
      <c r="Z170" s="6"/>
      <c r="AA170" s="6"/>
      <c r="AB170" s="6">
        <f>$K$170*$V$170</f>
        <v>384705</v>
      </c>
      <c r="AC170" s="6">
        <f>$M$170*$W$170</f>
        <v>0</v>
      </c>
      <c r="AD170" s="6">
        <f>$O$170*$X$170</f>
        <v>0</v>
      </c>
      <c r="AE170" s="6">
        <f ca="1">$K$170*$Y$170</f>
        <v>458771.20455628738</v>
      </c>
      <c r="AF170" s="6">
        <f>$M$170*$Z$170</f>
        <v>0</v>
      </c>
      <c r="AG170" s="6">
        <f>$O$170*$AA$170</f>
        <v>0</v>
      </c>
    </row>
    <row r="171" spans="1:33" ht="11.25" customHeight="1" x14ac:dyDescent="0.25">
      <c r="A171" s="4" t="s">
        <v>21</v>
      </c>
      <c r="B171" s="4" t="s">
        <v>43</v>
      </c>
      <c r="C171" s="4" t="s">
        <v>64</v>
      </c>
      <c r="D171" s="4" t="s">
        <v>25</v>
      </c>
      <c r="E171" s="4" t="s">
        <v>25</v>
      </c>
      <c r="F171" s="4" t="s">
        <v>25</v>
      </c>
      <c r="G171" s="4" t="s">
        <v>71</v>
      </c>
      <c r="H171" s="4" t="s">
        <v>25</v>
      </c>
      <c r="I171" s="5">
        <v>43922</v>
      </c>
      <c r="J171" s="6">
        <v>86500</v>
      </c>
      <c r="K171" s="6">
        <v>86500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4" t="s">
        <v>66</v>
      </c>
      <c r="R171" s="4">
        <v>28352</v>
      </c>
      <c r="S171" s="6">
        <v>9</v>
      </c>
      <c r="T171" s="6">
        <v>0</v>
      </c>
      <c r="U171" s="6">
        <v>0</v>
      </c>
      <c r="V171" s="6">
        <f>IF(ISERROR(VLOOKUP($S$171,'TAR FIN'!$A$1:$O$120,15,0)),0,VLOOKUP($S$171,'TAR FIN'!$A$1:$O$120,15,0))</f>
        <v>2.71</v>
      </c>
      <c r="W171" s="6">
        <f>IF(ISERROR(VLOOKUP($T$171,'TAR FIN'!$A$1:$O$120,15,0)),0,VLOOKUP($T$171,'TAR FIN'!$A$1:$O$120,15,0))</f>
        <v>0</v>
      </c>
      <c r="X171" s="6">
        <f>IF(ISERROR(VLOOKUP($U$171,'TAR FIN'!$A$1:$O$120,15,0)),0,VLOOKUP($U$171,'TAR FIN'!$A$1:$O$120,15,0))</f>
        <v>0</v>
      </c>
      <c r="Y171" s="6">
        <f ca="1">('TUSD BE'!$AM$13+'TUSD BF'!$AM$13+'TUSD CVA'!$AM$13)*1</f>
        <v>3.2397980177320211</v>
      </c>
      <c r="Z171" s="6"/>
      <c r="AA171" s="6"/>
      <c r="AB171" s="6">
        <f>$K$171*$V$171</f>
        <v>234415</v>
      </c>
      <c r="AC171" s="6">
        <f>$M$171*$W$171</f>
        <v>0</v>
      </c>
      <c r="AD171" s="6">
        <f>$O$171*$X$171</f>
        <v>0</v>
      </c>
      <c r="AE171" s="6">
        <f ca="1">$K$171*$Y$171</f>
        <v>280242.52853381983</v>
      </c>
      <c r="AF171" s="6">
        <f>$M$171*$Z$171</f>
        <v>0</v>
      </c>
      <c r="AG171" s="6">
        <f>$O$171*$AA$171</f>
        <v>0</v>
      </c>
    </row>
    <row r="172" spans="1:33" ht="11.25" customHeight="1" x14ac:dyDescent="0.25">
      <c r="A172" s="4" t="s">
        <v>21</v>
      </c>
      <c r="B172" s="4" t="s">
        <v>43</v>
      </c>
      <c r="C172" s="4" t="s">
        <v>64</v>
      </c>
      <c r="D172" s="4" t="s">
        <v>25</v>
      </c>
      <c r="E172" s="4" t="s">
        <v>25</v>
      </c>
      <c r="F172" s="4" t="s">
        <v>25</v>
      </c>
      <c r="G172" s="4" t="s">
        <v>70</v>
      </c>
      <c r="H172" s="4" t="s">
        <v>25</v>
      </c>
      <c r="I172" s="5">
        <v>43952</v>
      </c>
      <c r="J172" s="6">
        <v>124500</v>
      </c>
      <c r="K172" s="6">
        <v>124500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4" t="s">
        <v>66</v>
      </c>
      <c r="R172" s="4">
        <v>27795</v>
      </c>
      <c r="S172" s="6">
        <v>8</v>
      </c>
      <c r="T172" s="6">
        <v>0</v>
      </c>
      <c r="U172" s="6">
        <v>0</v>
      </c>
      <c r="V172" s="6">
        <f>IF(ISERROR(VLOOKUP($S$172,'TAR FIN'!$A$1:$O$120,15,0)),0,VLOOKUP($S$172,'TAR FIN'!$A$1:$O$120,15,0))</f>
        <v>3.09</v>
      </c>
      <c r="W172" s="6">
        <f>IF(ISERROR(VLOOKUP($T$172,'TAR FIN'!$A$1:$O$120,15,0)),0,VLOOKUP($T$172,'TAR FIN'!$A$1:$O$120,15,0))</f>
        <v>0</v>
      </c>
      <c r="X172" s="6">
        <f>IF(ISERROR(VLOOKUP($U$172,'TAR FIN'!$A$1:$O$120,15,0)),0,VLOOKUP($U$172,'TAR FIN'!$A$1:$O$120,15,0))</f>
        <v>0</v>
      </c>
      <c r="Y172" s="6">
        <f ca="1">('TUSD BE'!$AM$12+'TUSD BF'!$AM$12+'TUSD CVA'!$AM$12)*1</f>
        <v>3.6849092735444771</v>
      </c>
      <c r="Z172" s="6"/>
      <c r="AA172" s="6"/>
      <c r="AB172" s="6">
        <f>$K$172*$V$172</f>
        <v>384705</v>
      </c>
      <c r="AC172" s="6">
        <f>$M$172*$W$172</f>
        <v>0</v>
      </c>
      <c r="AD172" s="6">
        <f>$O$172*$X$172</f>
        <v>0</v>
      </c>
      <c r="AE172" s="6">
        <f ca="1">$K$172*$Y$172</f>
        <v>458771.20455628738</v>
      </c>
      <c r="AF172" s="6">
        <f>$M$172*$Z$172</f>
        <v>0</v>
      </c>
      <c r="AG172" s="6">
        <f>$O$172*$AA$172</f>
        <v>0</v>
      </c>
    </row>
    <row r="173" spans="1:33" ht="11.25" customHeight="1" x14ac:dyDescent="0.25">
      <c r="A173" s="4" t="s">
        <v>21</v>
      </c>
      <c r="B173" s="4" t="s">
        <v>43</v>
      </c>
      <c r="C173" s="4" t="s">
        <v>64</v>
      </c>
      <c r="D173" s="4" t="s">
        <v>25</v>
      </c>
      <c r="E173" s="4" t="s">
        <v>25</v>
      </c>
      <c r="F173" s="4" t="s">
        <v>25</v>
      </c>
      <c r="G173" s="4" t="s">
        <v>71</v>
      </c>
      <c r="H173" s="4" t="s">
        <v>25</v>
      </c>
      <c r="I173" s="5">
        <v>43952</v>
      </c>
      <c r="J173" s="6">
        <v>86500</v>
      </c>
      <c r="K173" s="6">
        <v>86500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4" t="s">
        <v>66</v>
      </c>
      <c r="R173" s="4">
        <v>28352</v>
      </c>
      <c r="S173" s="6">
        <v>9</v>
      </c>
      <c r="T173" s="6">
        <v>0</v>
      </c>
      <c r="U173" s="6">
        <v>0</v>
      </c>
      <c r="V173" s="6">
        <f>IF(ISERROR(VLOOKUP($S$173,'TAR FIN'!$A$1:$O$120,15,0)),0,VLOOKUP($S$173,'TAR FIN'!$A$1:$O$120,15,0))</f>
        <v>2.71</v>
      </c>
      <c r="W173" s="6">
        <f>IF(ISERROR(VLOOKUP($T$173,'TAR FIN'!$A$1:$O$120,15,0)),0,VLOOKUP($T$173,'TAR FIN'!$A$1:$O$120,15,0))</f>
        <v>0</v>
      </c>
      <c r="X173" s="6">
        <f>IF(ISERROR(VLOOKUP($U$173,'TAR FIN'!$A$1:$O$120,15,0)),0,VLOOKUP($U$173,'TAR FIN'!$A$1:$O$120,15,0))</f>
        <v>0</v>
      </c>
      <c r="Y173" s="6">
        <f ca="1">('TUSD BE'!$AM$13+'TUSD BF'!$AM$13+'TUSD CVA'!$AM$13)*1</f>
        <v>3.2397980177320211</v>
      </c>
      <c r="Z173" s="6"/>
      <c r="AA173" s="6"/>
      <c r="AB173" s="6">
        <f>$K$173*$V$173</f>
        <v>234415</v>
      </c>
      <c r="AC173" s="6">
        <f>$M$173*$W$173</f>
        <v>0</v>
      </c>
      <c r="AD173" s="6">
        <f>$O$173*$X$173</f>
        <v>0</v>
      </c>
      <c r="AE173" s="6">
        <f ca="1">$K$173*$Y$173</f>
        <v>280242.52853381983</v>
      </c>
      <c r="AF173" s="6">
        <f>$M$173*$Z$173</f>
        <v>0</v>
      </c>
      <c r="AG173" s="6">
        <f>$O$173*$AA$173</f>
        <v>0</v>
      </c>
    </row>
    <row r="174" spans="1:33" ht="11.25" customHeight="1" x14ac:dyDescent="0.25">
      <c r="A174" s="4" t="s">
        <v>21</v>
      </c>
      <c r="B174" s="4" t="s">
        <v>43</v>
      </c>
      <c r="C174" s="4" t="s">
        <v>64</v>
      </c>
      <c r="D174" s="4" t="s">
        <v>25</v>
      </c>
      <c r="E174" s="4" t="s">
        <v>25</v>
      </c>
      <c r="F174" s="4" t="s">
        <v>25</v>
      </c>
      <c r="G174" s="4" t="s">
        <v>70</v>
      </c>
      <c r="H174" s="4" t="s">
        <v>25</v>
      </c>
      <c r="I174" s="5">
        <v>43983</v>
      </c>
      <c r="J174" s="6">
        <v>124500</v>
      </c>
      <c r="K174" s="6">
        <v>124500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4" t="s">
        <v>66</v>
      </c>
      <c r="R174" s="4">
        <v>27795</v>
      </c>
      <c r="S174" s="6">
        <v>8</v>
      </c>
      <c r="T174" s="6">
        <v>0</v>
      </c>
      <c r="U174" s="6">
        <v>0</v>
      </c>
      <c r="V174" s="6">
        <f>IF(ISERROR(VLOOKUP($S$174,'TAR FIN'!$A$1:$O$120,15,0)),0,VLOOKUP($S$174,'TAR FIN'!$A$1:$O$120,15,0))</f>
        <v>3.09</v>
      </c>
      <c r="W174" s="6">
        <f>IF(ISERROR(VLOOKUP($T$174,'TAR FIN'!$A$1:$O$120,15,0)),0,VLOOKUP($T$174,'TAR FIN'!$A$1:$O$120,15,0))</f>
        <v>0</v>
      </c>
      <c r="X174" s="6">
        <f>IF(ISERROR(VLOOKUP($U$174,'TAR FIN'!$A$1:$O$120,15,0)),0,VLOOKUP($U$174,'TAR FIN'!$A$1:$O$120,15,0))</f>
        <v>0</v>
      </c>
      <c r="Y174" s="6">
        <f ca="1">('TUSD BE'!$AM$12+'TUSD BF'!$AM$12+'TUSD CVA'!$AM$12)*1</f>
        <v>3.6849092735444771</v>
      </c>
      <c r="Z174" s="6"/>
      <c r="AA174" s="6"/>
      <c r="AB174" s="6">
        <f>$K$174*$V$174</f>
        <v>384705</v>
      </c>
      <c r="AC174" s="6">
        <f>$M$174*$W$174</f>
        <v>0</v>
      </c>
      <c r="AD174" s="6">
        <f>$O$174*$X$174</f>
        <v>0</v>
      </c>
      <c r="AE174" s="6">
        <f ca="1">$K$174*$Y$174</f>
        <v>458771.20455628738</v>
      </c>
      <c r="AF174" s="6">
        <f>$M$174*$Z$174</f>
        <v>0</v>
      </c>
      <c r="AG174" s="6">
        <f>$O$174*$AA$174</f>
        <v>0</v>
      </c>
    </row>
    <row r="175" spans="1:33" ht="11.25" customHeight="1" x14ac:dyDescent="0.25">
      <c r="A175" s="4" t="s">
        <v>21</v>
      </c>
      <c r="B175" s="4" t="s">
        <v>43</v>
      </c>
      <c r="C175" s="4" t="s">
        <v>64</v>
      </c>
      <c r="D175" s="4" t="s">
        <v>25</v>
      </c>
      <c r="E175" s="4" t="s">
        <v>25</v>
      </c>
      <c r="F175" s="4" t="s">
        <v>25</v>
      </c>
      <c r="G175" s="4" t="s">
        <v>71</v>
      </c>
      <c r="H175" s="4" t="s">
        <v>25</v>
      </c>
      <c r="I175" s="5">
        <v>43983</v>
      </c>
      <c r="J175" s="6">
        <v>86500</v>
      </c>
      <c r="K175" s="6">
        <v>86500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4" t="s">
        <v>66</v>
      </c>
      <c r="R175" s="4">
        <v>28352</v>
      </c>
      <c r="S175" s="6">
        <v>9</v>
      </c>
      <c r="T175" s="6">
        <v>0</v>
      </c>
      <c r="U175" s="6">
        <v>0</v>
      </c>
      <c r="V175" s="6">
        <f>IF(ISERROR(VLOOKUP($S$175,'TAR FIN'!$A$1:$O$120,15,0)),0,VLOOKUP($S$175,'TAR FIN'!$A$1:$O$120,15,0))</f>
        <v>2.71</v>
      </c>
      <c r="W175" s="6">
        <f>IF(ISERROR(VLOOKUP($T$175,'TAR FIN'!$A$1:$O$120,15,0)),0,VLOOKUP($T$175,'TAR FIN'!$A$1:$O$120,15,0))</f>
        <v>0</v>
      </c>
      <c r="X175" s="6">
        <f>IF(ISERROR(VLOOKUP($U$175,'TAR FIN'!$A$1:$O$120,15,0)),0,VLOOKUP($U$175,'TAR FIN'!$A$1:$O$120,15,0))</f>
        <v>0</v>
      </c>
      <c r="Y175" s="6">
        <f ca="1">('TUSD BE'!$AM$13+'TUSD BF'!$AM$13+'TUSD CVA'!$AM$13)*1</f>
        <v>3.2397980177320211</v>
      </c>
      <c r="Z175" s="6"/>
      <c r="AA175" s="6"/>
      <c r="AB175" s="6">
        <f>$K$175*$V$175</f>
        <v>234415</v>
      </c>
      <c r="AC175" s="6">
        <f>$M$175*$W$175</f>
        <v>0</v>
      </c>
      <c r="AD175" s="6">
        <f>$O$175*$X$175</f>
        <v>0</v>
      </c>
      <c r="AE175" s="6">
        <f ca="1">$K$175*$Y$175</f>
        <v>280242.52853381983</v>
      </c>
      <c r="AF175" s="6">
        <f>$M$175*$Z$175</f>
        <v>0</v>
      </c>
      <c r="AG175" s="6">
        <f>$O$175*$AA$175</f>
        <v>0</v>
      </c>
    </row>
    <row r="176" spans="1:33" ht="11.25" customHeight="1" x14ac:dyDescent="0.25">
      <c r="A176" s="4" t="s">
        <v>21</v>
      </c>
      <c r="B176" s="4" t="s">
        <v>43</v>
      </c>
      <c r="C176" s="4" t="s">
        <v>64</v>
      </c>
      <c r="D176" s="4" t="s">
        <v>25</v>
      </c>
      <c r="E176" s="4" t="s">
        <v>25</v>
      </c>
      <c r="F176" s="4" t="s">
        <v>25</v>
      </c>
      <c r="G176" s="4" t="s">
        <v>70</v>
      </c>
      <c r="H176" s="4" t="s">
        <v>25</v>
      </c>
      <c r="I176" s="5">
        <v>44013</v>
      </c>
      <c r="J176" s="6">
        <v>124500</v>
      </c>
      <c r="K176" s="6">
        <v>124500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4" t="s">
        <v>66</v>
      </c>
      <c r="R176" s="4">
        <v>27795</v>
      </c>
      <c r="S176" s="6">
        <v>8</v>
      </c>
      <c r="T176" s="6">
        <v>0</v>
      </c>
      <c r="U176" s="6">
        <v>0</v>
      </c>
      <c r="V176" s="6">
        <f>IF(ISERROR(VLOOKUP($S$176,'TAR FIN'!$A$1:$O$120,15,0)),0,VLOOKUP($S$176,'TAR FIN'!$A$1:$O$120,15,0))</f>
        <v>3.09</v>
      </c>
      <c r="W176" s="6">
        <f>IF(ISERROR(VLOOKUP($T$176,'TAR FIN'!$A$1:$O$120,15,0)),0,VLOOKUP($T$176,'TAR FIN'!$A$1:$O$120,15,0))</f>
        <v>0</v>
      </c>
      <c r="X176" s="6">
        <f>IF(ISERROR(VLOOKUP($U$176,'TAR FIN'!$A$1:$O$120,15,0)),0,VLOOKUP($U$176,'TAR FIN'!$A$1:$O$120,15,0))</f>
        <v>0</v>
      </c>
      <c r="Y176" s="6">
        <f ca="1">('TUSD BE'!$AM$12+'TUSD BF'!$AM$12+'TUSD CVA'!$AM$12)*1</f>
        <v>3.6849092735444771</v>
      </c>
      <c r="Z176" s="6"/>
      <c r="AA176" s="6"/>
      <c r="AB176" s="6">
        <f>$K$176*$V$176</f>
        <v>384705</v>
      </c>
      <c r="AC176" s="6">
        <f>$M$176*$W$176</f>
        <v>0</v>
      </c>
      <c r="AD176" s="6">
        <f>$O$176*$X$176</f>
        <v>0</v>
      </c>
      <c r="AE176" s="6">
        <f ca="1">$K$176*$Y$176</f>
        <v>458771.20455628738</v>
      </c>
      <c r="AF176" s="6">
        <f>$M$176*$Z$176</f>
        <v>0</v>
      </c>
      <c r="AG176" s="6">
        <f>$O$176*$AA$176</f>
        <v>0</v>
      </c>
    </row>
    <row r="177" spans="1:33" ht="11.25" customHeight="1" x14ac:dyDescent="0.25">
      <c r="A177" s="4" t="s">
        <v>21</v>
      </c>
      <c r="B177" s="4" t="s">
        <v>43</v>
      </c>
      <c r="C177" s="4" t="s">
        <v>64</v>
      </c>
      <c r="D177" s="4" t="s">
        <v>25</v>
      </c>
      <c r="E177" s="4" t="s">
        <v>25</v>
      </c>
      <c r="F177" s="4" t="s">
        <v>25</v>
      </c>
      <c r="G177" s="4" t="s">
        <v>71</v>
      </c>
      <c r="H177" s="4" t="s">
        <v>25</v>
      </c>
      <c r="I177" s="5">
        <v>44013</v>
      </c>
      <c r="J177" s="6">
        <v>86500</v>
      </c>
      <c r="K177" s="6">
        <v>86500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4" t="s">
        <v>66</v>
      </c>
      <c r="R177" s="4">
        <v>28352</v>
      </c>
      <c r="S177" s="6">
        <v>9</v>
      </c>
      <c r="T177" s="6">
        <v>0</v>
      </c>
      <c r="U177" s="6">
        <v>0</v>
      </c>
      <c r="V177" s="6">
        <f>IF(ISERROR(VLOOKUP($S$177,'TAR FIN'!$A$1:$O$120,15,0)),0,VLOOKUP($S$177,'TAR FIN'!$A$1:$O$120,15,0))</f>
        <v>2.71</v>
      </c>
      <c r="W177" s="6">
        <f>IF(ISERROR(VLOOKUP($T$177,'TAR FIN'!$A$1:$O$120,15,0)),0,VLOOKUP($T$177,'TAR FIN'!$A$1:$O$120,15,0))</f>
        <v>0</v>
      </c>
      <c r="X177" s="6">
        <f>IF(ISERROR(VLOOKUP($U$177,'TAR FIN'!$A$1:$O$120,15,0)),0,VLOOKUP($U$177,'TAR FIN'!$A$1:$O$120,15,0))</f>
        <v>0</v>
      </c>
      <c r="Y177" s="6">
        <f ca="1">('TUSD BE'!$AM$13+'TUSD BF'!$AM$13+'TUSD CVA'!$AM$13)*1</f>
        <v>3.2397980177320211</v>
      </c>
      <c r="Z177" s="6"/>
      <c r="AA177" s="6"/>
      <c r="AB177" s="6">
        <f>$K$177*$V$177</f>
        <v>234415</v>
      </c>
      <c r="AC177" s="6">
        <f>$M$177*$W$177</f>
        <v>0</v>
      </c>
      <c r="AD177" s="6">
        <f>$O$177*$X$177</f>
        <v>0</v>
      </c>
      <c r="AE177" s="6">
        <f ca="1">$K$177*$Y$177</f>
        <v>280242.52853381983</v>
      </c>
      <c r="AF177" s="6">
        <f>$M$177*$Z$177</f>
        <v>0</v>
      </c>
      <c r="AG177" s="6">
        <f>$O$177*$AA$177</f>
        <v>0</v>
      </c>
    </row>
    <row r="178" spans="1:33" ht="11.25" customHeight="1" x14ac:dyDescent="0.25">
      <c r="A178" s="4" t="s">
        <v>21</v>
      </c>
      <c r="B178" s="4" t="s">
        <v>43</v>
      </c>
      <c r="C178" s="4" t="s">
        <v>64</v>
      </c>
      <c r="D178" s="4" t="s">
        <v>25</v>
      </c>
      <c r="E178" s="4" t="s">
        <v>25</v>
      </c>
      <c r="F178" s="4" t="s">
        <v>25</v>
      </c>
      <c r="G178" s="4" t="s">
        <v>70</v>
      </c>
      <c r="H178" s="4" t="s">
        <v>25</v>
      </c>
      <c r="I178" s="5">
        <v>44044</v>
      </c>
      <c r="J178" s="6">
        <v>124500</v>
      </c>
      <c r="K178" s="6">
        <v>124500</v>
      </c>
      <c r="L178" s="6">
        <v>0</v>
      </c>
      <c r="M178" s="6">
        <v>0</v>
      </c>
      <c r="N178" s="6">
        <v>0</v>
      </c>
      <c r="O178" s="6">
        <v>0</v>
      </c>
      <c r="P178" s="6">
        <v>0</v>
      </c>
      <c r="Q178" s="4" t="s">
        <v>66</v>
      </c>
      <c r="R178" s="4">
        <v>27795</v>
      </c>
      <c r="S178" s="6">
        <v>8</v>
      </c>
      <c r="T178" s="6">
        <v>0</v>
      </c>
      <c r="U178" s="6">
        <v>0</v>
      </c>
      <c r="V178" s="6">
        <f>IF(ISERROR(VLOOKUP($S$178,'TAR FIN'!$A$1:$O$120,15,0)),0,VLOOKUP($S$178,'TAR FIN'!$A$1:$O$120,15,0))</f>
        <v>3.09</v>
      </c>
      <c r="W178" s="6">
        <f>IF(ISERROR(VLOOKUP($T$178,'TAR FIN'!$A$1:$O$120,15,0)),0,VLOOKUP($T$178,'TAR FIN'!$A$1:$O$120,15,0))</f>
        <v>0</v>
      </c>
      <c r="X178" s="6">
        <f>IF(ISERROR(VLOOKUP($U$178,'TAR FIN'!$A$1:$O$120,15,0)),0,VLOOKUP($U$178,'TAR FIN'!$A$1:$O$120,15,0))</f>
        <v>0</v>
      </c>
      <c r="Y178" s="6">
        <f ca="1">('TUSD BE'!$AM$12+'TUSD BF'!$AM$12+'TUSD CVA'!$AM$12)*1</f>
        <v>3.6849092735444771</v>
      </c>
      <c r="Z178" s="6"/>
      <c r="AA178" s="6"/>
      <c r="AB178" s="6">
        <f>$K$178*$V$178</f>
        <v>384705</v>
      </c>
      <c r="AC178" s="6">
        <f>$M$178*$W$178</f>
        <v>0</v>
      </c>
      <c r="AD178" s="6">
        <f>$O$178*$X$178</f>
        <v>0</v>
      </c>
      <c r="AE178" s="6">
        <f ca="1">$K$178*$Y$178</f>
        <v>458771.20455628738</v>
      </c>
      <c r="AF178" s="6">
        <f>$M$178*$Z$178</f>
        <v>0</v>
      </c>
      <c r="AG178" s="6">
        <f>$O$178*$AA$178</f>
        <v>0</v>
      </c>
    </row>
    <row r="179" spans="1:33" ht="11.25" customHeight="1" x14ac:dyDescent="0.25">
      <c r="A179" s="4" t="s">
        <v>21</v>
      </c>
      <c r="B179" s="4" t="s">
        <v>43</v>
      </c>
      <c r="C179" s="4" t="s">
        <v>64</v>
      </c>
      <c r="D179" s="4" t="s">
        <v>25</v>
      </c>
      <c r="E179" s="4" t="s">
        <v>25</v>
      </c>
      <c r="F179" s="4" t="s">
        <v>25</v>
      </c>
      <c r="G179" s="4" t="s">
        <v>71</v>
      </c>
      <c r="H179" s="4" t="s">
        <v>25</v>
      </c>
      <c r="I179" s="5">
        <v>44044</v>
      </c>
      <c r="J179" s="6">
        <v>86500</v>
      </c>
      <c r="K179" s="6">
        <v>86500</v>
      </c>
      <c r="L179" s="6">
        <v>0</v>
      </c>
      <c r="M179" s="6">
        <v>0</v>
      </c>
      <c r="N179" s="6">
        <v>0</v>
      </c>
      <c r="O179" s="6">
        <v>0</v>
      </c>
      <c r="P179" s="6">
        <v>0</v>
      </c>
      <c r="Q179" s="4" t="s">
        <v>66</v>
      </c>
      <c r="R179" s="4">
        <v>28352</v>
      </c>
      <c r="S179" s="6">
        <v>9</v>
      </c>
      <c r="T179" s="6">
        <v>0</v>
      </c>
      <c r="U179" s="6">
        <v>0</v>
      </c>
      <c r="V179" s="6">
        <f>IF(ISERROR(VLOOKUP($S$179,'TAR FIN'!$A$1:$O$120,15,0)),0,VLOOKUP($S$179,'TAR FIN'!$A$1:$O$120,15,0))</f>
        <v>2.71</v>
      </c>
      <c r="W179" s="6">
        <f>IF(ISERROR(VLOOKUP($T$179,'TAR FIN'!$A$1:$O$120,15,0)),0,VLOOKUP($T$179,'TAR FIN'!$A$1:$O$120,15,0))</f>
        <v>0</v>
      </c>
      <c r="X179" s="6">
        <f>IF(ISERROR(VLOOKUP($U$179,'TAR FIN'!$A$1:$O$120,15,0)),0,VLOOKUP($U$179,'TAR FIN'!$A$1:$O$120,15,0))</f>
        <v>0</v>
      </c>
      <c r="Y179" s="6">
        <f ca="1">('TUSD BE'!$AM$13+'TUSD BF'!$AM$13+'TUSD CVA'!$AM$13)*1</f>
        <v>3.2397980177320211</v>
      </c>
      <c r="Z179" s="6"/>
      <c r="AA179" s="6"/>
      <c r="AB179" s="6">
        <f>$K$179*$V$179</f>
        <v>234415</v>
      </c>
      <c r="AC179" s="6">
        <f>$M$179*$W$179</f>
        <v>0</v>
      </c>
      <c r="AD179" s="6">
        <f>$O$179*$X$179</f>
        <v>0</v>
      </c>
      <c r="AE179" s="6">
        <f ca="1">$K$179*$Y$179</f>
        <v>280242.52853381983</v>
      </c>
      <c r="AF179" s="6">
        <f>$M$179*$Z$179</f>
        <v>0</v>
      </c>
      <c r="AG179" s="6">
        <f>$O$179*$AA$179</f>
        <v>0</v>
      </c>
    </row>
    <row r="180" spans="1:33" ht="11.25" customHeight="1" x14ac:dyDescent="0.25">
      <c r="A180" s="4" t="s">
        <v>59</v>
      </c>
      <c r="B180" s="4" t="s">
        <v>43</v>
      </c>
      <c r="C180" s="4" t="s">
        <v>64</v>
      </c>
      <c r="D180" s="4" t="s">
        <v>25</v>
      </c>
      <c r="E180" s="4" t="s">
        <v>25</v>
      </c>
      <c r="F180" s="4" t="s">
        <v>25</v>
      </c>
      <c r="G180" s="4" t="s">
        <v>70</v>
      </c>
      <c r="H180" s="4" t="s">
        <v>25</v>
      </c>
      <c r="I180" s="5">
        <v>44075</v>
      </c>
      <c r="J180" s="6">
        <v>124500</v>
      </c>
      <c r="K180" s="6">
        <v>124500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4" t="s">
        <v>66</v>
      </c>
      <c r="R180" s="4">
        <v>27795</v>
      </c>
      <c r="S180" s="6">
        <v>8</v>
      </c>
      <c r="T180" s="6">
        <v>0</v>
      </c>
      <c r="U180" s="6">
        <v>0</v>
      </c>
      <c r="V180" s="6">
        <f>IF(ISERROR(VLOOKUP($S$180,'TAR FIN'!$A$1:$O$120,15,0)),0,VLOOKUP($S$180,'TAR FIN'!$A$1:$O$120,15,0))</f>
        <v>3.09</v>
      </c>
      <c r="W180" s="6">
        <f>IF(ISERROR(VLOOKUP($T$180,'TAR FIN'!$A$1:$O$120,15,0)),0,VLOOKUP($T$180,'TAR FIN'!$A$1:$O$120,15,0))</f>
        <v>0</v>
      </c>
      <c r="X180" s="6">
        <f>IF(ISERROR(VLOOKUP($U$180,'TAR FIN'!$A$1:$O$120,15,0)),0,VLOOKUP($U$180,'TAR FIN'!$A$1:$O$120,15,0))</f>
        <v>0</v>
      </c>
      <c r="Y180" s="6">
        <f ca="1">('TUSD BE'!$AM$12+'TUSD BF'!$AM$12+'TUSD CVA'!$AM$12)*1</f>
        <v>3.6849092735444771</v>
      </c>
      <c r="Z180" s="6"/>
      <c r="AA180" s="6"/>
      <c r="AB180" s="6">
        <f>$K$180*$V$180</f>
        <v>384705</v>
      </c>
      <c r="AC180" s="6">
        <f>$M$180*$W$180</f>
        <v>0</v>
      </c>
      <c r="AD180" s="6">
        <f>$O$180*$X$180</f>
        <v>0</v>
      </c>
      <c r="AE180" s="6">
        <f ca="1">$K$180*$Y$180</f>
        <v>458771.20455628738</v>
      </c>
      <c r="AF180" s="6">
        <f>$M$180*$Z$180</f>
        <v>0</v>
      </c>
      <c r="AG180" s="6">
        <f>$O$180*$AA$180</f>
        <v>0</v>
      </c>
    </row>
    <row r="181" spans="1:33" ht="11.25" customHeight="1" x14ac:dyDescent="0.25">
      <c r="A181" s="4" t="s">
        <v>59</v>
      </c>
      <c r="B181" s="4" t="s">
        <v>43</v>
      </c>
      <c r="C181" s="4" t="s">
        <v>64</v>
      </c>
      <c r="D181" s="4" t="s">
        <v>25</v>
      </c>
      <c r="E181" s="4" t="s">
        <v>25</v>
      </c>
      <c r="F181" s="4" t="s">
        <v>25</v>
      </c>
      <c r="G181" s="4" t="s">
        <v>71</v>
      </c>
      <c r="H181" s="4" t="s">
        <v>25</v>
      </c>
      <c r="I181" s="5">
        <v>44075</v>
      </c>
      <c r="J181" s="6">
        <v>86500</v>
      </c>
      <c r="K181" s="6">
        <v>86500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4" t="s">
        <v>66</v>
      </c>
      <c r="R181" s="4">
        <v>28352</v>
      </c>
      <c r="S181" s="6">
        <v>9</v>
      </c>
      <c r="T181" s="6">
        <v>0</v>
      </c>
      <c r="U181" s="6">
        <v>0</v>
      </c>
      <c r="V181" s="6">
        <f>IF(ISERROR(VLOOKUP($S$181,'TAR FIN'!$A$1:$O$120,15,0)),0,VLOOKUP($S$181,'TAR FIN'!$A$1:$O$120,15,0))</f>
        <v>2.71</v>
      </c>
      <c r="W181" s="6">
        <f>IF(ISERROR(VLOOKUP($T$181,'TAR FIN'!$A$1:$O$120,15,0)),0,VLOOKUP($T$181,'TAR FIN'!$A$1:$O$120,15,0))</f>
        <v>0</v>
      </c>
      <c r="X181" s="6">
        <f>IF(ISERROR(VLOOKUP($U$181,'TAR FIN'!$A$1:$O$120,15,0)),0,VLOOKUP($U$181,'TAR FIN'!$A$1:$O$120,15,0))</f>
        <v>0</v>
      </c>
      <c r="Y181" s="6">
        <f ca="1">('TUSD BE'!$AM$13+'TUSD BF'!$AM$13+'TUSD CVA'!$AM$13)*1</f>
        <v>3.2397980177320211</v>
      </c>
      <c r="Z181" s="6"/>
      <c r="AA181" s="6"/>
      <c r="AB181" s="6">
        <f>$K$181*$V$181</f>
        <v>234415</v>
      </c>
      <c r="AC181" s="6">
        <f>$M$181*$W$181</f>
        <v>0</v>
      </c>
      <c r="AD181" s="6">
        <f>$O$181*$X$181</f>
        <v>0</v>
      </c>
      <c r="AE181" s="6">
        <f ca="1">$K$181*$Y$181</f>
        <v>280242.52853381983</v>
      </c>
      <c r="AF181" s="6">
        <f>$M$181*$Z$181</f>
        <v>0</v>
      </c>
      <c r="AG181" s="6">
        <f>$O$181*$AA$181</f>
        <v>0</v>
      </c>
    </row>
    <row r="182" spans="1:33" ht="11.25" customHeight="1" x14ac:dyDescent="0.25">
      <c r="A182" s="4" t="s">
        <v>21</v>
      </c>
      <c r="B182" s="4" t="s">
        <v>45</v>
      </c>
      <c r="C182" s="4" t="s">
        <v>41</v>
      </c>
      <c r="D182" s="4" t="s">
        <v>40</v>
      </c>
      <c r="E182" s="4" t="s">
        <v>25</v>
      </c>
      <c r="F182" s="4" t="s">
        <v>63</v>
      </c>
      <c r="G182" s="4" t="s">
        <v>25</v>
      </c>
      <c r="H182" s="4" t="s">
        <v>36</v>
      </c>
      <c r="I182" s="5">
        <v>43739</v>
      </c>
      <c r="J182" s="6">
        <v>3400</v>
      </c>
      <c r="K182" s="6">
        <v>2130.1447779999999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4" t="s">
        <v>60</v>
      </c>
      <c r="R182" s="4">
        <v>0</v>
      </c>
      <c r="S182" s="6">
        <v>12</v>
      </c>
      <c r="T182" s="6">
        <v>0</v>
      </c>
      <c r="U182" s="6">
        <v>0</v>
      </c>
      <c r="V182" s="6">
        <f>IF(ISERROR(VLOOKUP($S$182,'TAR FIN'!$A$1:$O$120,15,0)),0,VLOOKUP($S$182,'TAR FIN'!$A$1:$O$120,15,0))</f>
        <v>8.81</v>
      </c>
      <c r="W182" s="6">
        <f>IF(ISERROR(VLOOKUP($T$182,'TAR FIN'!$A$1:$O$120,15,0)),0,VLOOKUP($T$182,'TAR FIN'!$A$1:$O$120,15,0))</f>
        <v>0</v>
      </c>
      <c r="X182" s="6">
        <f>IF(ISERROR(VLOOKUP($U$182,'TAR FIN'!$A$1:$O$120,15,0)),0,VLOOKUP($U$182,'TAR FIN'!$A$1:$O$120,15,0))</f>
        <v>0</v>
      </c>
      <c r="Y182" s="6">
        <f ca="1">('TUSD BE'!$AM$16+'TUSD BF'!$AM$16+'TUSD CVA'!$AM$16)*1</f>
        <v>11.452356648653195</v>
      </c>
      <c r="Z182" s="6">
        <f ca="1">('TUSD BE'!$AM$17+'TUSD BF'!$AM$17+'TUSD CVA'!$AM$17)*1</f>
        <v>87.519361965254689</v>
      </c>
      <c r="AA182" s="6"/>
      <c r="AB182" s="6">
        <f>$K$182*$V$182</f>
        <v>18766.575494180001</v>
      </c>
      <c r="AC182" s="6">
        <f>$M$182*$W$182</f>
        <v>0</v>
      </c>
      <c r="AD182" s="6">
        <f>$O$182*$X$182</f>
        <v>0</v>
      </c>
      <c r="AE182" s="6">
        <f ca="1">$K$182*$Y$182</f>
        <v>24395.177710922184</v>
      </c>
      <c r="AF182" s="6">
        <f ca="1">$M$182*$Z$182</f>
        <v>0</v>
      </c>
      <c r="AG182" s="6">
        <f>$O$182*$AA$182</f>
        <v>0</v>
      </c>
    </row>
    <row r="183" spans="1:33" ht="11.25" customHeight="1" x14ac:dyDescent="0.25">
      <c r="A183" s="4" t="s">
        <v>21</v>
      </c>
      <c r="B183" s="4" t="s">
        <v>45</v>
      </c>
      <c r="C183" s="4" t="s">
        <v>41</v>
      </c>
      <c r="D183" s="4" t="s">
        <v>40</v>
      </c>
      <c r="E183" s="4" t="s">
        <v>25</v>
      </c>
      <c r="F183" s="4" t="s">
        <v>63</v>
      </c>
      <c r="G183" s="4" t="s">
        <v>25</v>
      </c>
      <c r="H183" s="4" t="s">
        <v>36</v>
      </c>
      <c r="I183" s="5">
        <v>43770</v>
      </c>
      <c r="J183" s="6">
        <v>3400</v>
      </c>
      <c r="K183" s="6">
        <v>2133.9733139999998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4" t="s">
        <v>60</v>
      </c>
      <c r="R183" s="4">
        <v>0</v>
      </c>
      <c r="S183" s="6">
        <v>12</v>
      </c>
      <c r="T183" s="6">
        <v>0</v>
      </c>
      <c r="U183" s="6">
        <v>0</v>
      </c>
      <c r="V183" s="6">
        <f>IF(ISERROR(VLOOKUP($S$183,'TAR FIN'!$A$1:$O$120,15,0)),0,VLOOKUP($S$183,'TAR FIN'!$A$1:$O$120,15,0))</f>
        <v>8.81</v>
      </c>
      <c r="W183" s="6">
        <f>IF(ISERROR(VLOOKUP($T$183,'TAR FIN'!$A$1:$O$120,15,0)),0,VLOOKUP($T$183,'TAR FIN'!$A$1:$O$120,15,0))</f>
        <v>0</v>
      </c>
      <c r="X183" s="6">
        <f>IF(ISERROR(VLOOKUP($U$183,'TAR FIN'!$A$1:$O$120,15,0)),0,VLOOKUP($U$183,'TAR FIN'!$A$1:$O$120,15,0))</f>
        <v>0</v>
      </c>
      <c r="Y183" s="6">
        <f ca="1">('TUSD BE'!$AM$16+'TUSD BF'!$AM$16+'TUSD CVA'!$AM$16)*1</f>
        <v>11.452356648653195</v>
      </c>
      <c r="Z183" s="6">
        <f ca="1">('TUSD BE'!$AM$17+'TUSD BF'!$AM$17+'TUSD CVA'!$AM$17)*1</f>
        <v>87.519361965254689</v>
      </c>
      <c r="AA183" s="6"/>
      <c r="AB183" s="6">
        <f>$K$183*$V$183</f>
        <v>18800.30489634</v>
      </c>
      <c r="AC183" s="6">
        <f>$M$183*$W$183</f>
        <v>0</v>
      </c>
      <c r="AD183" s="6">
        <f>$O$183*$X$183</f>
        <v>0</v>
      </c>
      <c r="AE183" s="6">
        <f ca="1">$K$183*$Y$183</f>
        <v>24439.023470636392</v>
      </c>
      <c r="AF183" s="6">
        <f ca="1">$M$183*$Z$183</f>
        <v>0</v>
      </c>
      <c r="AG183" s="6">
        <f>$O$183*$AA$183</f>
        <v>0</v>
      </c>
    </row>
    <row r="184" spans="1:33" ht="11.25" customHeight="1" x14ac:dyDescent="0.25">
      <c r="A184" s="4" t="s">
        <v>21</v>
      </c>
      <c r="B184" s="4" t="s">
        <v>45</v>
      </c>
      <c r="C184" s="4" t="s">
        <v>41</v>
      </c>
      <c r="D184" s="4" t="s">
        <v>40</v>
      </c>
      <c r="E184" s="4" t="s">
        <v>25</v>
      </c>
      <c r="F184" s="4" t="s">
        <v>63</v>
      </c>
      <c r="G184" s="4" t="s">
        <v>25</v>
      </c>
      <c r="H184" s="4" t="s">
        <v>36</v>
      </c>
      <c r="I184" s="5">
        <v>43800</v>
      </c>
      <c r="J184" s="6">
        <v>3400</v>
      </c>
      <c r="K184" s="6">
        <v>2140.7922859999999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4" t="s">
        <v>60</v>
      </c>
      <c r="R184" s="4">
        <v>0</v>
      </c>
      <c r="S184" s="6">
        <v>12</v>
      </c>
      <c r="T184" s="6">
        <v>0</v>
      </c>
      <c r="U184" s="6">
        <v>0</v>
      </c>
      <c r="V184" s="6">
        <f>IF(ISERROR(VLOOKUP($S$184,'TAR FIN'!$A$1:$O$120,15,0)),0,VLOOKUP($S$184,'TAR FIN'!$A$1:$O$120,15,0))</f>
        <v>8.81</v>
      </c>
      <c r="W184" s="6">
        <f>IF(ISERROR(VLOOKUP($T$184,'TAR FIN'!$A$1:$O$120,15,0)),0,VLOOKUP($T$184,'TAR FIN'!$A$1:$O$120,15,0))</f>
        <v>0</v>
      </c>
      <c r="X184" s="6">
        <f>IF(ISERROR(VLOOKUP($U$184,'TAR FIN'!$A$1:$O$120,15,0)),0,VLOOKUP($U$184,'TAR FIN'!$A$1:$O$120,15,0))</f>
        <v>0</v>
      </c>
      <c r="Y184" s="6">
        <f ca="1">('TUSD BE'!$AM$16+'TUSD BF'!$AM$16+'TUSD CVA'!$AM$16)*1</f>
        <v>11.452356648653195</v>
      </c>
      <c r="Z184" s="6">
        <f ca="1">('TUSD BE'!$AM$17+'TUSD BF'!$AM$17+'TUSD CVA'!$AM$17)*1</f>
        <v>87.519361965254689</v>
      </c>
      <c r="AA184" s="6"/>
      <c r="AB184" s="6">
        <f>$K$184*$V$184</f>
        <v>18860.380039660002</v>
      </c>
      <c r="AC184" s="6">
        <f>$M$184*$W$184</f>
        <v>0</v>
      </c>
      <c r="AD184" s="6">
        <f>$O$184*$X$184</f>
        <v>0</v>
      </c>
      <c r="AE184" s="6">
        <f ca="1">$K$184*$Y$184</f>
        <v>24517.116769957571</v>
      </c>
      <c r="AF184" s="6">
        <f ca="1">$M$184*$Z$184</f>
        <v>0</v>
      </c>
      <c r="AG184" s="6">
        <f>$O$184*$AA$184</f>
        <v>0</v>
      </c>
    </row>
    <row r="185" spans="1:33" ht="11.25" customHeight="1" x14ac:dyDescent="0.25">
      <c r="A185" s="4" t="s">
        <v>21</v>
      </c>
      <c r="B185" s="4" t="s">
        <v>45</v>
      </c>
      <c r="C185" s="4" t="s">
        <v>41</v>
      </c>
      <c r="D185" s="4" t="s">
        <v>40</v>
      </c>
      <c r="E185" s="4" t="s">
        <v>25</v>
      </c>
      <c r="F185" s="4" t="s">
        <v>63</v>
      </c>
      <c r="G185" s="4" t="s">
        <v>25</v>
      </c>
      <c r="H185" s="4" t="s">
        <v>36</v>
      </c>
      <c r="I185" s="5">
        <v>43831</v>
      </c>
      <c r="J185" s="6">
        <v>3400</v>
      </c>
      <c r="K185" s="6">
        <v>2119.139318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4" t="s">
        <v>60</v>
      </c>
      <c r="R185" s="4">
        <v>0</v>
      </c>
      <c r="S185" s="6">
        <v>12</v>
      </c>
      <c r="T185" s="6">
        <v>0</v>
      </c>
      <c r="U185" s="6">
        <v>0</v>
      </c>
      <c r="V185" s="6">
        <f>IF(ISERROR(VLOOKUP($S$185,'TAR FIN'!$A$1:$O$120,15,0)),0,VLOOKUP($S$185,'TAR FIN'!$A$1:$O$120,15,0))</f>
        <v>8.81</v>
      </c>
      <c r="W185" s="6">
        <f>IF(ISERROR(VLOOKUP($T$185,'TAR FIN'!$A$1:$O$120,15,0)),0,VLOOKUP($T$185,'TAR FIN'!$A$1:$O$120,15,0))</f>
        <v>0</v>
      </c>
      <c r="X185" s="6">
        <f>IF(ISERROR(VLOOKUP($U$185,'TAR FIN'!$A$1:$O$120,15,0)),0,VLOOKUP($U$185,'TAR FIN'!$A$1:$O$120,15,0))</f>
        <v>0</v>
      </c>
      <c r="Y185" s="6">
        <f ca="1">('TUSD BE'!$AM$16+'TUSD BF'!$AM$16+'TUSD CVA'!$AM$16)*1</f>
        <v>11.452356648653195</v>
      </c>
      <c r="Z185" s="6">
        <f ca="1">('TUSD BE'!$AM$17+'TUSD BF'!$AM$17+'TUSD CVA'!$AM$17)*1</f>
        <v>87.519361965254689</v>
      </c>
      <c r="AA185" s="6"/>
      <c r="AB185" s="6">
        <f>$K$185*$V$185</f>
        <v>18669.617391580003</v>
      </c>
      <c r="AC185" s="6">
        <f>$M$185*$W$185</f>
        <v>0</v>
      </c>
      <c r="AD185" s="6">
        <f>$O$185*$X$185</f>
        <v>0</v>
      </c>
      <c r="AE185" s="6">
        <f ca="1">$K$185*$Y$185</f>
        <v>24269.139257919698</v>
      </c>
      <c r="AF185" s="6">
        <f ca="1">$M$185*$Z$185</f>
        <v>0</v>
      </c>
      <c r="AG185" s="6">
        <f>$O$185*$AA$185</f>
        <v>0</v>
      </c>
    </row>
    <row r="186" spans="1:33" ht="11.25" customHeight="1" x14ac:dyDescent="0.25">
      <c r="A186" s="4" t="s">
        <v>21</v>
      </c>
      <c r="B186" s="4" t="s">
        <v>45</v>
      </c>
      <c r="C186" s="4" t="s">
        <v>41</v>
      </c>
      <c r="D186" s="4" t="s">
        <v>40</v>
      </c>
      <c r="E186" s="4" t="s">
        <v>25</v>
      </c>
      <c r="F186" s="4" t="s">
        <v>63</v>
      </c>
      <c r="G186" s="4" t="s">
        <v>25</v>
      </c>
      <c r="H186" s="4" t="s">
        <v>36</v>
      </c>
      <c r="I186" s="5">
        <v>43862</v>
      </c>
      <c r="J186" s="6">
        <v>3400</v>
      </c>
      <c r="K186" s="6">
        <v>2118.5003900000002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4" t="s">
        <v>60</v>
      </c>
      <c r="R186" s="4">
        <v>0</v>
      </c>
      <c r="S186" s="6">
        <v>12</v>
      </c>
      <c r="T186" s="6">
        <v>0</v>
      </c>
      <c r="U186" s="6">
        <v>0</v>
      </c>
      <c r="V186" s="6">
        <f>IF(ISERROR(VLOOKUP($S$186,'TAR FIN'!$A$1:$O$120,15,0)),0,VLOOKUP($S$186,'TAR FIN'!$A$1:$O$120,15,0))</f>
        <v>8.81</v>
      </c>
      <c r="W186" s="6">
        <f>IF(ISERROR(VLOOKUP($T$186,'TAR FIN'!$A$1:$O$120,15,0)),0,VLOOKUP($T$186,'TAR FIN'!$A$1:$O$120,15,0))</f>
        <v>0</v>
      </c>
      <c r="X186" s="6">
        <f>IF(ISERROR(VLOOKUP($U$186,'TAR FIN'!$A$1:$O$120,15,0)),0,VLOOKUP($U$186,'TAR FIN'!$A$1:$O$120,15,0))</f>
        <v>0</v>
      </c>
      <c r="Y186" s="6">
        <f ca="1">('TUSD BE'!$AM$16+'TUSD BF'!$AM$16+'TUSD CVA'!$AM$16)*1</f>
        <v>11.452356648653195</v>
      </c>
      <c r="Z186" s="6">
        <f ca="1">('TUSD BE'!$AM$17+'TUSD BF'!$AM$17+'TUSD CVA'!$AM$17)*1</f>
        <v>87.519361965254689</v>
      </c>
      <c r="AA186" s="6"/>
      <c r="AB186" s="6">
        <f>$K$186*$V$186</f>
        <v>18663.988435900003</v>
      </c>
      <c r="AC186" s="6">
        <f>$M$186*$W$186</f>
        <v>0</v>
      </c>
      <c r="AD186" s="6">
        <f>$O$186*$X$186</f>
        <v>0</v>
      </c>
      <c r="AE186" s="6">
        <f ca="1">$K$186*$Y$186</f>
        <v>24261.822026590889</v>
      </c>
      <c r="AF186" s="6">
        <f ca="1">$M$186*$Z$186</f>
        <v>0</v>
      </c>
      <c r="AG186" s="6">
        <f>$O$186*$AA$186</f>
        <v>0</v>
      </c>
    </row>
    <row r="187" spans="1:33" ht="11.25" customHeight="1" x14ac:dyDescent="0.25">
      <c r="A187" s="4" t="s">
        <v>21</v>
      </c>
      <c r="B187" s="4" t="s">
        <v>45</v>
      </c>
      <c r="C187" s="4" t="s">
        <v>41</v>
      </c>
      <c r="D187" s="4" t="s">
        <v>40</v>
      </c>
      <c r="E187" s="4" t="s">
        <v>25</v>
      </c>
      <c r="F187" s="4" t="s">
        <v>63</v>
      </c>
      <c r="G187" s="4" t="s">
        <v>25</v>
      </c>
      <c r="H187" s="4" t="s">
        <v>36</v>
      </c>
      <c r="I187" s="5">
        <v>43891</v>
      </c>
      <c r="J187" s="6">
        <v>3400</v>
      </c>
      <c r="K187" s="6">
        <v>2784.7143759999999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4" t="s">
        <v>60</v>
      </c>
      <c r="R187" s="4">
        <v>0</v>
      </c>
      <c r="S187" s="6">
        <v>12</v>
      </c>
      <c r="T187" s="6">
        <v>0</v>
      </c>
      <c r="U187" s="6">
        <v>0</v>
      </c>
      <c r="V187" s="6">
        <f>IF(ISERROR(VLOOKUP($S$187,'TAR FIN'!$A$1:$O$120,15,0)),0,VLOOKUP($S$187,'TAR FIN'!$A$1:$O$120,15,0))</f>
        <v>8.81</v>
      </c>
      <c r="W187" s="6">
        <f>IF(ISERROR(VLOOKUP($T$187,'TAR FIN'!$A$1:$O$120,15,0)),0,VLOOKUP($T$187,'TAR FIN'!$A$1:$O$120,15,0))</f>
        <v>0</v>
      </c>
      <c r="X187" s="6">
        <f>IF(ISERROR(VLOOKUP($U$187,'TAR FIN'!$A$1:$O$120,15,0)),0,VLOOKUP($U$187,'TAR FIN'!$A$1:$O$120,15,0))</f>
        <v>0</v>
      </c>
      <c r="Y187" s="6">
        <f ca="1">('TUSD BE'!$AM$16+'TUSD BF'!$AM$16+'TUSD CVA'!$AM$16)*1</f>
        <v>11.452356648653195</v>
      </c>
      <c r="Z187" s="6">
        <f ca="1">('TUSD BE'!$AM$17+'TUSD BF'!$AM$17+'TUSD CVA'!$AM$17)*1</f>
        <v>87.519361965254689</v>
      </c>
      <c r="AA187" s="6"/>
      <c r="AB187" s="6">
        <f>$K$187*$V$187</f>
        <v>24533.333652559999</v>
      </c>
      <c r="AC187" s="6">
        <f>$M$187*$W$187</f>
        <v>0</v>
      </c>
      <c r="AD187" s="6">
        <f>$O$187*$X$187</f>
        <v>0</v>
      </c>
      <c r="AE187" s="6">
        <f ca="1">$K$187*$Y$187</f>
        <v>31891.542198583731</v>
      </c>
      <c r="AF187" s="6">
        <f ca="1">$M$187*$Z$187</f>
        <v>0</v>
      </c>
      <c r="AG187" s="6">
        <f>$O$187*$AA$187</f>
        <v>0</v>
      </c>
    </row>
    <row r="188" spans="1:33" ht="11.25" customHeight="1" x14ac:dyDescent="0.25">
      <c r="A188" s="4" t="s">
        <v>21</v>
      </c>
      <c r="B188" s="4" t="s">
        <v>45</v>
      </c>
      <c r="C188" s="4" t="s">
        <v>41</v>
      </c>
      <c r="D188" s="4" t="s">
        <v>40</v>
      </c>
      <c r="E188" s="4" t="s">
        <v>25</v>
      </c>
      <c r="F188" s="4" t="s">
        <v>63</v>
      </c>
      <c r="G188" s="4" t="s">
        <v>25</v>
      </c>
      <c r="H188" s="4" t="s">
        <v>36</v>
      </c>
      <c r="I188" s="5">
        <v>43922</v>
      </c>
      <c r="J188" s="6">
        <v>3400</v>
      </c>
      <c r="K188" s="6">
        <v>3400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4" t="s">
        <v>60</v>
      </c>
      <c r="R188" s="4">
        <v>0</v>
      </c>
      <c r="S188" s="6">
        <v>12</v>
      </c>
      <c r="T188" s="6">
        <v>0</v>
      </c>
      <c r="U188" s="6">
        <v>0</v>
      </c>
      <c r="V188" s="6">
        <f>IF(ISERROR(VLOOKUP($S$188,'TAR FIN'!$A$1:$O$120,15,0)),0,VLOOKUP($S$188,'TAR FIN'!$A$1:$O$120,15,0))</f>
        <v>8.81</v>
      </c>
      <c r="W188" s="6">
        <f>IF(ISERROR(VLOOKUP($T$188,'TAR FIN'!$A$1:$O$120,15,0)),0,VLOOKUP($T$188,'TAR FIN'!$A$1:$O$120,15,0))</f>
        <v>0</v>
      </c>
      <c r="X188" s="6">
        <f>IF(ISERROR(VLOOKUP($U$188,'TAR FIN'!$A$1:$O$120,15,0)),0,VLOOKUP($U$188,'TAR FIN'!$A$1:$O$120,15,0))</f>
        <v>0</v>
      </c>
      <c r="Y188" s="6">
        <f ca="1">('TUSD BE'!$AM$16+'TUSD BF'!$AM$16+'TUSD CVA'!$AM$16)*1</f>
        <v>11.452356648653195</v>
      </c>
      <c r="Z188" s="6">
        <f ca="1">('TUSD BE'!$AM$17+'TUSD BF'!$AM$17+'TUSD CVA'!$AM$17)*1</f>
        <v>87.519361965254689</v>
      </c>
      <c r="AA188" s="6"/>
      <c r="AB188" s="6">
        <f>$K$188*$V$188</f>
        <v>29954</v>
      </c>
      <c r="AC188" s="6">
        <f>$M$188*$W$188</f>
        <v>0</v>
      </c>
      <c r="AD188" s="6">
        <f>$O$188*$X$188</f>
        <v>0</v>
      </c>
      <c r="AE188" s="6">
        <f ca="1">$K$188*$Y$188</f>
        <v>38938.012605420867</v>
      </c>
      <c r="AF188" s="6">
        <f ca="1">$M$188*$Z$188</f>
        <v>0</v>
      </c>
      <c r="AG188" s="6">
        <f>$O$188*$AA$188</f>
        <v>0</v>
      </c>
    </row>
    <row r="189" spans="1:33" ht="11.25" customHeight="1" x14ac:dyDescent="0.25">
      <c r="A189" s="4" t="s">
        <v>21</v>
      </c>
      <c r="B189" s="4" t="s">
        <v>45</v>
      </c>
      <c r="C189" s="4" t="s">
        <v>41</v>
      </c>
      <c r="D189" s="4" t="s">
        <v>40</v>
      </c>
      <c r="E189" s="4" t="s">
        <v>25</v>
      </c>
      <c r="F189" s="4" t="s">
        <v>63</v>
      </c>
      <c r="G189" s="4" t="s">
        <v>25</v>
      </c>
      <c r="H189" s="4" t="s">
        <v>36</v>
      </c>
      <c r="I189" s="5">
        <v>43952</v>
      </c>
      <c r="J189" s="6">
        <v>3400</v>
      </c>
      <c r="K189" s="6">
        <v>3400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4" t="s">
        <v>60</v>
      </c>
      <c r="R189" s="4">
        <v>0</v>
      </c>
      <c r="S189" s="6">
        <v>12</v>
      </c>
      <c r="T189" s="6">
        <v>0</v>
      </c>
      <c r="U189" s="6">
        <v>0</v>
      </c>
      <c r="V189" s="6">
        <f>IF(ISERROR(VLOOKUP($S$189,'TAR FIN'!$A$1:$O$120,15,0)),0,VLOOKUP($S$189,'TAR FIN'!$A$1:$O$120,15,0))</f>
        <v>8.81</v>
      </c>
      <c r="W189" s="6">
        <f>IF(ISERROR(VLOOKUP($T$189,'TAR FIN'!$A$1:$O$120,15,0)),0,VLOOKUP($T$189,'TAR FIN'!$A$1:$O$120,15,0))</f>
        <v>0</v>
      </c>
      <c r="X189" s="6">
        <f>IF(ISERROR(VLOOKUP($U$189,'TAR FIN'!$A$1:$O$120,15,0)),0,VLOOKUP($U$189,'TAR FIN'!$A$1:$O$120,15,0))</f>
        <v>0</v>
      </c>
      <c r="Y189" s="6">
        <f ca="1">('TUSD BE'!$AM$16+'TUSD BF'!$AM$16+'TUSD CVA'!$AM$16)*1</f>
        <v>11.452356648653195</v>
      </c>
      <c r="Z189" s="6">
        <f ca="1">('TUSD BE'!$AM$17+'TUSD BF'!$AM$17+'TUSD CVA'!$AM$17)*1</f>
        <v>87.519361965254689</v>
      </c>
      <c r="AA189" s="6"/>
      <c r="AB189" s="6">
        <f>$K$189*$V$189</f>
        <v>29954</v>
      </c>
      <c r="AC189" s="6">
        <f>$M$189*$W$189</f>
        <v>0</v>
      </c>
      <c r="AD189" s="6">
        <f>$O$189*$X$189</f>
        <v>0</v>
      </c>
      <c r="AE189" s="6">
        <f ca="1">$K$189*$Y$189</f>
        <v>38938.012605420867</v>
      </c>
      <c r="AF189" s="6">
        <f ca="1">$M$189*$Z$189</f>
        <v>0</v>
      </c>
      <c r="AG189" s="6">
        <f>$O$189*$AA$189</f>
        <v>0</v>
      </c>
    </row>
    <row r="190" spans="1:33" ht="11.25" customHeight="1" x14ac:dyDescent="0.25">
      <c r="A190" s="4" t="s">
        <v>21</v>
      </c>
      <c r="B190" s="4" t="s">
        <v>45</v>
      </c>
      <c r="C190" s="4" t="s">
        <v>41</v>
      </c>
      <c r="D190" s="4" t="s">
        <v>40</v>
      </c>
      <c r="E190" s="4" t="s">
        <v>25</v>
      </c>
      <c r="F190" s="4" t="s">
        <v>63</v>
      </c>
      <c r="G190" s="4" t="s">
        <v>25</v>
      </c>
      <c r="H190" s="4" t="s">
        <v>36</v>
      </c>
      <c r="I190" s="5">
        <v>43983</v>
      </c>
      <c r="J190" s="6">
        <v>3400</v>
      </c>
      <c r="K190" s="6">
        <v>3400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4" t="s">
        <v>60</v>
      </c>
      <c r="R190" s="4">
        <v>0</v>
      </c>
      <c r="S190" s="6">
        <v>12</v>
      </c>
      <c r="T190" s="6">
        <v>0</v>
      </c>
      <c r="U190" s="6">
        <v>0</v>
      </c>
      <c r="V190" s="6">
        <f>IF(ISERROR(VLOOKUP($S$190,'TAR FIN'!$A$1:$O$120,15,0)),0,VLOOKUP($S$190,'TAR FIN'!$A$1:$O$120,15,0))</f>
        <v>8.81</v>
      </c>
      <c r="W190" s="6">
        <f>IF(ISERROR(VLOOKUP($T$190,'TAR FIN'!$A$1:$O$120,15,0)),0,VLOOKUP($T$190,'TAR FIN'!$A$1:$O$120,15,0))</f>
        <v>0</v>
      </c>
      <c r="X190" s="6">
        <f>IF(ISERROR(VLOOKUP($U$190,'TAR FIN'!$A$1:$O$120,15,0)),0,VLOOKUP($U$190,'TAR FIN'!$A$1:$O$120,15,0))</f>
        <v>0</v>
      </c>
      <c r="Y190" s="6">
        <f ca="1">('TUSD BE'!$AM$16+'TUSD BF'!$AM$16+'TUSD CVA'!$AM$16)*1</f>
        <v>11.452356648653195</v>
      </c>
      <c r="Z190" s="6">
        <f ca="1">('TUSD BE'!$AM$17+'TUSD BF'!$AM$17+'TUSD CVA'!$AM$17)*1</f>
        <v>87.519361965254689</v>
      </c>
      <c r="AA190" s="6"/>
      <c r="AB190" s="6">
        <f>$K$190*$V$190</f>
        <v>29954</v>
      </c>
      <c r="AC190" s="6">
        <f>$M$190*$W$190</f>
        <v>0</v>
      </c>
      <c r="AD190" s="6">
        <f>$O$190*$X$190</f>
        <v>0</v>
      </c>
      <c r="AE190" s="6">
        <f ca="1">$K$190*$Y$190</f>
        <v>38938.012605420867</v>
      </c>
      <c r="AF190" s="6">
        <f ca="1">$M$190*$Z$190</f>
        <v>0</v>
      </c>
      <c r="AG190" s="6">
        <f>$O$190*$AA$190</f>
        <v>0</v>
      </c>
    </row>
    <row r="191" spans="1:33" ht="11.25" customHeight="1" x14ac:dyDescent="0.25">
      <c r="A191" s="4" t="s">
        <v>21</v>
      </c>
      <c r="B191" s="4" t="s">
        <v>45</v>
      </c>
      <c r="C191" s="4" t="s">
        <v>41</v>
      </c>
      <c r="D191" s="4" t="s">
        <v>40</v>
      </c>
      <c r="E191" s="4" t="s">
        <v>25</v>
      </c>
      <c r="F191" s="4" t="s">
        <v>63</v>
      </c>
      <c r="G191" s="4" t="s">
        <v>25</v>
      </c>
      <c r="H191" s="4" t="s">
        <v>36</v>
      </c>
      <c r="I191" s="5">
        <v>44013</v>
      </c>
      <c r="J191" s="6">
        <v>3400</v>
      </c>
      <c r="K191" s="6">
        <v>3400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4" t="s">
        <v>60</v>
      </c>
      <c r="R191" s="4">
        <v>0</v>
      </c>
      <c r="S191" s="6">
        <v>12</v>
      </c>
      <c r="T191" s="6">
        <v>0</v>
      </c>
      <c r="U191" s="6">
        <v>0</v>
      </c>
      <c r="V191" s="6">
        <f>IF(ISERROR(VLOOKUP($S$191,'TAR FIN'!$A$1:$O$120,15,0)),0,VLOOKUP($S$191,'TAR FIN'!$A$1:$O$120,15,0))</f>
        <v>8.81</v>
      </c>
      <c r="W191" s="6">
        <f>IF(ISERROR(VLOOKUP($T$191,'TAR FIN'!$A$1:$O$120,15,0)),0,VLOOKUP($T$191,'TAR FIN'!$A$1:$O$120,15,0))</f>
        <v>0</v>
      </c>
      <c r="X191" s="6">
        <f>IF(ISERROR(VLOOKUP($U$191,'TAR FIN'!$A$1:$O$120,15,0)),0,VLOOKUP($U$191,'TAR FIN'!$A$1:$O$120,15,0))</f>
        <v>0</v>
      </c>
      <c r="Y191" s="6">
        <f ca="1">('TUSD BE'!$AM$16+'TUSD BF'!$AM$16+'TUSD CVA'!$AM$16)*1</f>
        <v>11.452356648653195</v>
      </c>
      <c r="Z191" s="6">
        <f ca="1">('TUSD BE'!$AM$17+'TUSD BF'!$AM$17+'TUSD CVA'!$AM$17)*1</f>
        <v>87.519361965254689</v>
      </c>
      <c r="AA191" s="6"/>
      <c r="AB191" s="6">
        <f>$K$191*$V$191</f>
        <v>29954</v>
      </c>
      <c r="AC191" s="6">
        <f>$M$191*$W$191</f>
        <v>0</v>
      </c>
      <c r="AD191" s="6">
        <f>$O$191*$X$191</f>
        <v>0</v>
      </c>
      <c r="AE191" s="6">
        <f ca="1">$K$191*$Y$191</f>
        <v>38938.012605420867</v>
      </c>
      <c r="AF191" s="6">
        <f ca="1">$M$191*$Z$191</f>
        <v>0</v>
      </c>
      <c r="AG191" s="6">
        <f>$O$191*$AA$191</f>
        <v>0</v>
      </c>
    </row>
    <row r="192" spans="1:33" ht="11.25" customHeight="1" x14ac:dyDescent="0.25">
      <c r="A192" s="4" t="s">
        <v>21</v>
      </c>
      <c r="B192" s="4" t="s">
        <v>45</v>
      </c>
      <c r="C192" s="4" t="s">
        <v>41</v>
      </c>
      <c r="D192" s="4" t="s">
        <v>40</v>
      </c>
      <c r="E192" s="4" t="s">
        <v>25</v>
      </c>
      <c r="F192" s="4" t="s">
        <v>63</v>
      </c>
      <c r="G192" s="4" t="s">
        <v>25</v>
      </c>
      <c r="H192" s="4" t="s">
        <v>36</v>
      </c>
      <c r="I192" s="5">
        <v>44044</v>
      </c>
      <c r="J192" s="6">
        <v>3400</v>
      </c>
      <c r="K192" s="6">
        <v>3400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4" t="s">
        <v>60</v>
      </c>
      <c r="R192" s="4">
        <v>0</v>
      </c>
      <c r="S192" s="6">
        <v>12</v>
      </c>
      <c r="T192" s="6">
        <v>0</v>
      </c>
      <c r="U192" s="6">
        <v>0</v>
      </c>
      <c r="V192" s="6">
        <f>IF(ISERROR(VLOOKUP($S$192,'TAR FIN'!$A$1:$O$120,15,0)),0,VLOOKUP($S$192,'TAR FIN'!$A$1:$O$120,15,0))</f>
        <v>8.81</v>
      </c>
      <c r="W192" s="6">
        <f>IF(ISERROR(VLOOKUP($T$192,'TAR FIN'!$A$1:$O$120,15,0)),0,VLOOKUP($T$192,'TAR FIN'!$A$1:$O$120,15,0))</f>
        <v>0</v>
      </c>
      <c r="X192" s="6">
        <f>IF(ISERROR(VLOOKUP($U$192,'TAR FIN'!$A$1:$O$120,15,0)),0,VLOOKUP($U$192,'TAR FIN'!$A$1:$O$120,15,0))</f>
        <v>0</v>
      </c>
      <c r="Y192" s="6">
        <f ca="1">('TUSD BE'!$AM$16+'TUSD BF'!$AM$16+'TUSD CVA'!$AM$16)*1</f>
        <v>11.452356648653195</v>
      </c>
      <c r="Z192" s="6">
        <f ca="1">('TUSD BE'!$AM$17+'TUSD BF'!$AM$17+'TUSD CVA'!$AM$17)*1</f>
        <v>87.519361965254689</v>
      </c>
      <c r="AA192" s="6"/>
      <c r="AB192" s="6">
        <f>$K$192*$V$192</f>
        <v>29954</v>
      </c>
      <c r="AC192" s="6">
        <f>$M$192*$W$192</f>
        <v>0</v>
      </c>
      <c r="AD192" s="6">
        <f>$O$192*$X$192</f>
        <v>0</v>
      </c>
      <c r="AE192" s="6">
        <f ca="1">$K$192*$Y$192</f>
        <v>38938.012605420867</v>
      </c>
      <c r="AF192" s="6">
        <f ca="1">$M$192*$Z$192</f>
        <v>0</v>
      </c>
      <c r="AG192" s="6">
        <f>$O$192*$AA$192</f>
        <v>0</v>
      </c>
    </row>
    <row r="193" spans="1:33" ht="11.25" customHeight="1" x14ac:dyDescent="0.25">
      <c r="A193" s="4" t="s">
        <v>59</v>
      </c>
      <c r="B193" s="4" t="s">
        <v>45</v>
      </c>
      <c r="C193" s="4" t="s">
        <v>41</v>
      </c>
      <c r="D193" s="4" t="s">
        <v>40</v>
      </c>
      <c r="E193" s="4" t="s">
        <v>25</v>
      </c>
      <c r="F193" s="4" t="s">
        <v>63</v>
      </c>
      <c r="G193" s="4" t="s">
        <v>25</v>
      </c>
      <c r="H193" s="4" t="s">
        <v>36</v>
      </c>
      <c r="I193" s="5">
        <v>44075</v>
      </c>
      <c r="J193" s="6">
        <v>3400</v>
      </c>
      <c r="K193" s="6">
        <v>3400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4" t="s">
        <v>60</v>
      </c>
      <c r="R193" s="4">
        <v>0</v>
      </c>
      <c r="S193" s="6">
        <v>12</v>
      </c>
      <c r="T193" s="6">
        <v>0</v>
      </c>
      <c r="U193" s="6">
        <v>0</v>
      </c>
      <c r="V193" s="6">
        <f>IF(ISERROR(VLOOKUP($S$193,'TAR FIN'!$A$1:$O$120,15,0)),0,VLOOKUP($S$193,'TAR FIN'!$A$1:$O$120,15,0))</f>
        <v>8.81</v>
      </c>
      <c r="W193" s="6">
        <f>IF(ISERROR(VLOOKUP($T$193,'TAR FIN'!$A$1:$O$120,15,0)),0,VLOOKUP($T$193,'TAR FIN'!$A$1:$O$120,15,0))</f>
        <v>0</v>
      </c>
      <c r="X193" s="6">
        <f>IF(ISERROR(VLOOKUP($U$193,'TAR FIN'!$A$1:$O$120,15,0)),0,VLOOKUP($U$193,'TAR FIN'!$A$1:$O$120,15,0))</f>
        <v>0</v>
      </c>
      <c r="Y193" s="6">
        <f ca="1">('TUSD BE'!$AM$16+'TUSD BF'!$AM$16+'TUSD CVA'!$AM$16)*1</f>
        <v>11.452356648653195</v>
      </c>
      <c r="Z193" s="6">
        <f ca="1">('TUSD BE'!$AM$17+'TUSD BF'!$AM$17+'TUSD CVA'!$AM$17)*1</f>
        <v>87.519361965254689</v>
      </c>
      <c r="AA193" s="6"/>
      <c r="AB193" s="6">
        <f>$K$193*$V$193</f>
        <v>29954</v>
      </c>
      <c r="AC193" s="6">
        <f>$M$193*$W$193</f>
        <v>0</v>
      </c>
      <c r="AD193" s="6">
        <f>$O$193*$X$193</f>
        <v>0</v>
      </c>
      <c r="AE193" s="6">
        <f ca="1">$K$193*$Y$193</f>
        <v>38938.012605420867</v>
      </c>
      <c r="AF193" s="6">
        <f ca="1">$M$193*$Z$193</f>
        <v>0</v>
      </c>
      <c r="AG193" s="6">
        <f>$O$193*$AA$193</f>
        <v>0</v>
      </c>
    </row>
    <row r="194" spans="1:33" ht="11.25" customHeight="1" x14ac:dyDescent="0.25">
      <c r="A194" s="4" t="s">
        <v>21</v>
      </c>
      <c r="B194" s="4" t="s">
        <v>45</v>
      </c>
      <c r="C194" s="4" t="s">
        <v>41</v>
      </c>
      <c r="D194" s="4" t="s">
        <v>40</v>
      </c>
      <c r="E194" s="4" t="s">
        <v>25</v>
      </c>
      <c r="F194" s="4" t="s">
        <v>63</v>
      </c>
      <c r="G194" s="4" t="s">
        <v>25</v>
      </c>
      <c r="H194" s="4" t="s">
        <v>25</v>
      </c>
      <c r="I194" s="5">
        <v>43739</v>
      </c>
      <c r="J194" s="6">
        <v>0</v>
      </c>
      <c r="K194" s="6">
        <v>0</v>
      </c>
      <c r="L194" s="6">
        <v>1071.8520000000001</v>
      </c>
      <c r="M194" s="6">
        <v>1071.8520000000001</v>
      </c>
      <c r="N194" s="6">
        <v>0</v>
      </c>
      <c r="O194" s="6">
        <v>0</v>
      </c>
      <c r="P194" s="6">
        <v>1</v>
      </c>
      <c r="Q194" s="4" t="s">
        <v>60</v>
      </c>
      <c r="R194" s="4">
        <v>0</v>
      </c>
      <c r="S194" s="6">
        <v>0</v>
      </c>
      <c r="T194" s="6">
        <v>13</v>
      </c>
      <c r="U194" s="6">
        <v>0</v>
      </c>
      <c r="V194" s="6">
        <f>IF(ISERROR(VLOOKUP($S$194,'TAR FIN'!$A$1:$O$120,15,0)),0,VLOOKUP($S$194,'TAR FIN'!$A$1:$O$120,15,0))</f>
        <v>0</v>
      </c>
      <c r="W194" s="6">
        <f>IF(ISERROR(VLOOKUP($T$194,'TAR FIN'!$A$1:$O$120,15,0)),0,VLOOKUP($T$194,'TAR FIN'!$A$1:$O$120,15,0))</f>
        <v>84.45</v>
      </c>
      <c r="X194" s="6">
        <f>IF(ISERROR(VLOOKUP($U$194,'TAR FIN'!$A$1:$O$120,15,0)),0,VLOOKUP($U$194,'TAR FIN'!$A$1:$O$120,15,0))</f>
        <v>0</v>
      </c>
      <c r="Y194" s="6"/>
      <c r="Z194" s="6">
        <f ca="1">('TUSD BE'!$AM$17+'TUSD BF'!$AM$17+'TUSD CVA'!$AM$17)*1</f>
        <v>87.519361965254689</v>
      </c>
      <c r="AA194" s="6"/>
      <c r="AB194" s="6">
        <f>$K$194*$V$194</f>
        <v>0</v>
      </c>
      <c r="AC194" s="6">
        <f>$M$194*$W$194</f>
        <v>90517.901400000017</v>
      </c>
      <c r="AD194" s="6">
        <f>$O$194*$X$194</f>
        <v>0</v>
      </c>
      <c r="AE194" s="6">
        <f>$K$194*$Y$194</f>
        <v>0</v>
      </c>
      <c r="AF194" s="6">
        <f ca="1">$M$194*$Z$194</f>
        <v>93807.803161182179</v>
      </c>
      <c r="AG194" s="6">
        <f>$O$194*$AA$194</f>
        <v>0</v>
      </c>
    </row>
    <row r="195" spans="1:33" ht="11.25" customHeight="1" x14ac:dyDescent="0.25">
      <c r="A195" s="4" t="s">
        <v>21</v>
      </c>
      <c r="B195" s="4" t="s">
        <v>45</v>
      </c>
      <c r="C195" s="4" t="s">
        <v>41</v>
      </c>
      <c r="D195" s="4" t="s">
        <v>40</v>
      </c>
      <c r="E195" s="4" t="s">
        <v>25</v>
      </c>
      <c r="F195" s="4" t="s">
        <v>63</v>
      </c>
      <c r="G195" s="4" t="s">
        <v>25</v>
      </c>
      <c r="H195" s="4" t="s">
        <v>25</v>
      </c>
      <c r="I195" s="5">
        <v>43770</v>
      </c>
      <c r="J195" s="6">
        <v>0</v>
      </c>
      <c r="K195" s="6">
        <v>0</v>
      </c>
      <c r="L195" s="6">
        <v>1063.0340000000001</v>
      </c>
      <c r="M195" s="6">
        <v>1063.0340000000001</v>
      </c>
      <c r="N195" s="6">
        <v>0</v>
      </c>
      <c r="O195" s="6">
        <v>0</v>
      </c>
      <c r="P195" s="6">
        <v>1</v>
      </c>
      <c r="Q195" s="4" t="s">
        <v>60</v>
      </c>
      <c r="R195" s="4">
        <v>0</v>
      </c>
      <c r="S195" s="6">
        <v>0</v>
      </c>
      <c r="T195" s="6">
        <v>13</v>
      </c>
      <c r="U195" s="6">
        <v>0</v>
      </c>
      <c r="V195" s="6">
        <f>IF(ISERROR(VLOOKUP($S$195,'TAR FIN'!$A$1:$O$120,15,0)),0,VLOOKUP($S$195,'TAR FIN'!$A$1:$O$120,15,0))</f>
        <v>0</v>
      </c>
      <c r="W195" s="6">
        <f>IF(ISERROR(VLOOKUP($T$195,'TAR FIN'!$A$1:$O$120,15,0)),0,VLOOKUP($T$195,'TAR FIN'!$A$1:$O$120,15,0))</f>
        <v>84.45</v>
      </c>
      <c r="X195" s="6">
        <f>IF(ISERROR(VLOOKUP($U$195,'TAR FIN'!$A$1:$O$120,15,0)),0,VLOOKUP($U$195,'TAR FIN'!$A$1:$O$120,15,0))</f>
        <v>0</v>
      </c>
      <c r="Y195" s="6"/>
      <c r="Z195" s="6">
        <f ca="1">('TUSD BE'!$AM$17+'TUSD BF'!$AM$17+'TUSD CVA'!$AM$17)*1</f>
        <v>87.519361965254689</v>
      </c>
      <c r="AA195" s="6"/>
      <c r="AB195" s="6">
        <f>$K$195*$V$195</f>
        <v>0</v>
      </c>
      <c r="AC195" s="6">
        <f>$M$195*$W$195</f>
        <v>89773.221300000005</v>
      </c>
      <c r="AD195" s="6">
        <f>$O$195*$X$195</f>
        <v>0</v>
      </c>
      <c r="AE195" s="6">
        <f>$K$195*$Y$195</f>
        <v>0</v>
      </c>
      <c r="AF195" s="6">
        <f ca="1">$M$195*$Z$195</f>
        <v>93036.057427372565</v>
      </c>
      <c r="AG195" s="6">
        <f>$O$195*$AA$195</f>
        <v>0</v>
      </c>
    </row>
    <row r="196" spans="1:33" ht="11.25" customHeight="1" x14ac:dyDescent="0.25">
      <c r="A196" s="4" t="s">
        <v>21</v>
      </c>
      <c r="B196" s="4" t="s">
        <v>45</v>
      </c>
      <c r="C196" s="4" t="s">
        <v>41</v>
      </c>
      <c r="D196" s="4" t="s">
        <v>40</v>
      </c>
      <c r="E196" s="4" t="s">
        <v>25</v>
      </c>
      <c r="F196" s="4" t="s">
        <v>63</v>
      </c>
      <c r="G196" s="4" t="s">
        <v>25</v>
      </c>
      <c r="H196" s="4" t="s">
        <v>25</v>
      </c>
      <c r="I196" s="5">
        <v>43800</v>
      </c>
      <c r="J196" s="6">
        <v>0</v>
      </c>
      <c r="K196" s="6">
        <v>0</v>
      </c>
      <c r="L196" s="6">
        <v>1100.308</v>
      </c>
      <c r="M196" s="6">
        <v>1100.308</v>
      </c>
      <c r="N196" s="6">
        <v>0</v>
      </c>
      <c r="O196" s="6">
        <v>0</v>
      </c>
      <c r="P196" s="6">
        <v>1</v>
      </c>
      <c r="Q196" s="4" t="s">
        <v>60</v>
      </c>
      <c r="R196" s="4">
        <v>0</v>
      </c>
      <c r="S196" s="6">
        <v>0</v>
      </c>
      <c r="T196" s="6">
        <v>13</v>
      </c>
      <c r="U196" s="6">
        <v>0</v>
      </c>
      <c r="V196" s="6">
        <f>IF(ISERROR(VLOOKUP($S$196,'TAR FIN'!$A$1:$O$120,15,0)),0,VLOOKUP($S$196,'TAR FIN'!$A$1:$O$120,15,0))</f>
        <v>0</v>
      </c>
      <c r="W196" s="6">
        <f>IF(ISERROR(VLOOKUP($T$196,'TAR FIN'!$A$1:$O$120,15,0)),0,VLOOKUP($T$196,'TAR FIN'!$A$1:$O$120,15,0))</f>
        <v>84.45</v>
      </c>
      <c r="X196" s="6">
        <f>IF(ISERROR(VLOOKUP($U$196,'TAR FIN'!$A$1:$O$120,15,0)),0,VLOOKUP($U$196,'TAR FIN'!$A$1:$O$120,15,0))</f>
        <v>0</v>
      </c>
      <c r="Y196" s="6"/>
      <c r="Z196" s="6">
        <f ca="1">('TUSD BE'!$AM$17+'TUSD BF'!$AM$17+'TUSD CVA'!$AM$17)*1</f>
        <v>87.519361965254689</v>
      </c>
      <c r="AA196" s="6"/>
      <c r="AB196" s="6">
        <f>$K$196*$V$196</f>
        <v>0</v>
      </c>
      <c r="AC196" s="6">
        <f>$M$196*$W$196</f>
        <v>92921.010600000009</v>
      </c>
      <c r="AD196" s="6">
        <f>$O$196*$X$196</f>
        <v>0</v>
      </c>
      <c r="AE196" s="6">
        <f>$K$196*$Y$196</f>
        <v>0</v>
      </c>
      <c r="AF196" s="6">
        <f ca="1">$M$196*$Z$196</f>
        <v>96298.254125265448</v>
      </c>
      <c r="AG196" s="6">
        <f>$O$196*$AA$196</f>
        <v>0</v>
      </c>
    </row>
    <row r="197" spans="1:33" ht="11.25" customHeight="1" x14ac:dyDescent="0.25">
      <c r="A197" s="4" t="s">
        <v>21</v>
      </c>
      <c r="B197" s="4" t="s">
        <v>45</v>
      </c>
      <c r="C197" s="4" t="s">
        <v>41</v>
      </c>
      <c r="D197" s="4" t="s">
        <v>40</v>
      </c>
      <c r="E197" s="4" t="s">
        <v>25</v>
      </c>
      <c r="F197" s="4" t="s">
        <v>63</v>
      </c>
      <c r="G197" s="4" t="s">
        <v>25</v>
      </c>
      <c r="H197" s="4" t="s">
        <v>25</v>
      </c>
      <c r="I197" s="5">
        <v>43831</v>
      </c>
      <c r="J197" s="6">
        <v>0</v>
      </c>
      <c r="K197" s="6">
        <v>0</v>
      </c>
      <c r="L197" s="6">
        <v>1052.951</v>
      </c>
      <c r="M197" s="6">
        <v>1052.951</v>
      </c>
      <c r="N197" s="6">
        <v>0</v>
      </c>
      <c r="O197" s="6">
        <v>0</v>
      </c>
      <c r="P197" s="6">
        <v>1</v>
      </c>
      <c r="Q197" s="4" t="s">
        <v>60</v>
      </c>
      <c r="R197" s="4">
        <v>0</v>
      </c>
      <c r="S197" s="6">
        <v>0</v>
      </c>
      <c r="T197" s="6">
        <v>13</v>
      </c>
      <c r="U197" s="6">
        <v>0</v>
      </c>
      <c r="V197" s="6">
        <f>IF(ISERROR(VLOOKUP($S$197,'TAR FIN'!$A$1:$O$120,15,0)),0,VLOOKUP($S$197,'TAR FIN'!$A$1:$O$120,15,0))</f>
        <v>0</v>
      </c>
      <c r="W197" s="6">
        <f>IF(ISERROR(VLOOKUP($T$197,'TAR FIN'!$A$1:$O$120,15,0)),0,VLOOKUP($T$197,'TAR FIN'!$A$1:$O$120,15,0))</f>
        <v>84.45</v>
      </c>
      <c r="X197" s="6">
        <f>IF(ISERROR(VLOOKUP($U$197,'TAR FIN'!$A$1:$O$120,15,0)),0,VLOOKUP($U$197,'TAR FIN'!$A$1:$O$120,15,0))</f>
        <v>0</v>
      </c>
      <c r="Y197" s="6"/>
      <c r="Z197" s="6">
        <f ca="1">('TUSD BE'!$AM$17+'TUSD BF'!$AM$17+'TUSD CVA'!$AM$17)*1</f>
        <v>87.519361965254689</v>
      </c>
      <c r="AA197" s="6"/>
      <c r="AB197" s="6">
        <f>$K$197*$V$197</f>
        <v>0</v>
      </c>
      <c r="AC197" s="6">
        <f>$M$197*$W$197</f>
        <v>88921.711950000012</v>
      </c>
      <c r="AD197" s="6">
        <f>$O$197*$X$197</f>
        <v>0</v>
      </c>
      <c r="AE197" s="6">
        <f>$K$197*$Y$197</f>
        <v>0</v>
      </c>
      <c r="AF197" s="6">
        <f ca="1">$M$197*$Z$197</f>
        <v>92153.599700676888</v>
      </c>
      <c r="AG197" s="6">
        <f>$O$197*$AA$197</f>
        <v>0</v>
      </c>
    </row>
    <row r="198" spans="1:33" ht="11.25" customHeight="1" x14ac:dyDescent="0.25">
      <c r="A198" s="4" t="s">
        <v>21</v>
      </c>
      <c r="B198" s="4" t="s">
        <v>45</v>
      </c>
      <c r="C198" s="4" t="s">
        <v>41</v>
      </c>
      <c r="D198" s="4" t="s">
        <v>40</v>
      </c>
      <c r="E198" s="4" t="s">
        <v>25</v>
      </c>
      <c r="F198" s="4" t="s">
        <v>63</v>
      </c>
      <c r="G198" s="4" t="s">
        <v>25</v>
      </c>
      <c r="H198" s="4" t="s">
        <v>25</v>
      </c>
      <c r="I198" s="5">
        <v>43862</v>
      </c>
      <c r="J198" s="6">
        <v>0</v>
      </c>
      <c r="K198" s="6">
        <v>0</v>
      </c>
      <c r="L198" s="6">
        <v>967.19500000000005</v>
      </c>
      <c r="M198" s="6">
        <v>967.19500000000005</v>
      </c>
      <c r="N198" s="6">
        <v>0</v>
      </c>
      <c r="O198" s="6">
        <v>0</v>
      </c>
      <c r="P198" s="6">
        <v>1</v>
      </c>
      <c r="Q198" s="4" t="s">
        <v>60</v>
      </c>
      <c r="R198" s="4">
        <v>0</v>
      </c>
      <c r="S198" s="6">
        <v>0</v>
      </c>
      <c r="T198" s="6">
        <v>13</v>
      </c>
      <c r="U198" s="6">
        <v>0</v>
      </c>
      <c r="V198" s="6">
        <f>IF(ISERROR(VLOOKUP($S$198,'TAR FIN'!$A$1:$O$120,15,0)),0,VLOOKUP($S$198,'TAR FIN'!$A$1:$O$120,15,0))</f>
        <v>0</v>
      </c>
      <c r="W198" s="6">
        <f>IF(ISERROR(VLOOKUP($T$198,'TAR FIN'!$A$1:$O$120,15,0)),0,VLOOKUP($T$198,'TAR FIN'!$A$1:$O$120,15,0))</f>
        <v>84.45</v>
      </c>
      <c r="X198" s="6">
        <f>IF(ISERROR(VLOOKUP($U$198,'TAR FIN'!$A$1:$O$120,15,0)),0,VLOOKUP($U$198,'TAR FIN'!$A$1:$O$120,15,0))</f>
        <v>0</v>
      </c>
      <c r="Y198" s="6"/>
      <c r="Z198" s="6">
        <f ca="1">('TUSD BE'!$AM$17+'TUSD BF'!$AM$17+'TUSD CVA'!$AM$17)*1</f>
        <v>87.519361965254689</v>
      </c>
      <c r="AA198" s="6"/>
      <c r="AB198" s="6">
        <f>$K$198*$V$198</f>
        <v>0</v>
      </c>
      <c r="AC198" s="6">
        <f>$M$198*$W$198</f>
        <v>81679.617750000005</v>
      </c>
      <c r="AD198" s="6">
        <f>$O$198*$X$198</f>
        <v>0</v>
      </c>
      <c r="AE198" s="6">
        <f>$K$198*$Y$198</f>
        <v>0</v>
      </c>
      <c r="AF198" s="6">
        <f ca="1">$M$198*$Z$198</f>
        <v>84648.289295984519</v>
      </c>
      <c r="AG198" s="6">
        <f>$O$198*$AA$198</f>
        <v>0</v>
      </c>
    </row>
    <row r="199" spans="1:33" ht="11.25" customHeight="1" x14ac:dyDescent="0.25">
      <c r="A199" s="4" t="s">
        <v>21</v>
      </c>
      <c r="B199" s="4" t="s">
        <v>45</v>
      </c>
      <c r="C199" s="4" t="s">
        <v>41</v>
      </c>
      <c r="D199" s="4" t="s">
        <v>40</v>
      </c>
      <c r="E199" s="4" t="s">
        <v>25</v>
      </c>
      <c r="F199" s="4" t="s">
        <v>63</v>
      </c>
      <c r="G199" s="4" t="s">
        <v>25</v>
      </c>
      <c r="H199" s="4" t="s">
        <v>25</v>
      </c>
      <c r="I199" s="5">
        <v>43891</v>
      </c>
      <c r="J199" s="6">
        <v>0</v>
      </c>
      <c r="K199" s="6">
        <v>0</v>
      </c>
      <c r="L199" s="6">
        <v>714.73500000000001</v>
      </c>
      <c r="M199" s="6">
        <v>714.73500000000001</v>
      </c>
      <c r="N199" s="6">
        <v>0</v>
      </c>
      <c r="O199" s="6">
        <v>0</v>
      </c>
      <c r="P199" s="6">
        <v>1</v>
      </c>
      <c r="Q199" s="4" t="s">
        <v>60</v>
      </c>
      <c r="R199" s="4">
        <v>0</v>
      </c>
      <c r="S199" s="6">
        <v>0</v>
      </c>
      <c r="T199" s="6">
        <v>13</v>
      </c>
      <c r="U199" s="6">
        <v>0</v>
      </c>
      <c r="V199" s="6">
        <f>IF(ISERROR(VLOOKUP($S$199,'TAR FIN'!$A$1:$O$120,15,0)),0,VLOOKUP($S$199,'TAR FIN'!$A$1:$O$120,15,0))</f>
        <v>0</v>
      </c>
      <c r="W199" s="6">
        <f>IF(ISERROR(VLOOKUP($T$199,'TAR FIN'!$A$1:$O$120,15,0)),0,VLOOKUP($T$199,'TAR FIN'!$A$1:$O$120,15,0))</f>
        <v>84.45</v>
      </c>
      <c r="X199" s="6">
        <f>IF(ISERROR(VLOOKUP($U$199,'TAR FIN'!$A$1:$O$120,15,0)),0,VLOOKUP($U$199,'TAR FIN'!$A$1:$O$120,15,0))</f>
        <v>0</v>
      </c>
      <c r="Y199" s="6"/>
      <c r="Z199" s="6">
        <f ca="1">('TUSD BE'!$AM$17+'TUSD BF'!$AM$17+'TUSD CVA'!$AM$17)*1</f>
        <v>87.519361965254689</v>
      </c>
      <c r="AA199" s="6"/>
      <c r="AB199" s="6">
        <f>$K$199*$V$199</f>
        <v>0</v>
      </c>
      <c r="AC199" s="6">
        <f>$M$199*$W$199</f>
        <v>60359.370750000002</v>
      </c>
      <c r="AD199" s="6">
        <f>$O$199*$X$199</f>
        <v>0</v>
      </c>
      <c r="AE199" s="6">
        <f>$K$199*$Y$199</f>
        <v>0</v>
      </c>
      <c r="AF199" s="6">
        <f ca="1">$M$199*$Z$199</f>
        <v>62553.151174236315</v>
      </c>
      <c r="AG199" s="6">
        <f>$O$199*$AA$199</f>
        <v>0</v>
      </c>
    </row>
    <row r="200" spans="1:33" ht="11.25" customHeight="1" x14ac:dyDescent="0.25">
      <c r="A200" s="4" t="s">
        <v>21</v>
      </c>
      <c r="B200" s="4" t="s">
        <v>45</v>
      </c>
      <c r="C200" s="4" t="s">
        <v>41</v>
      </c>
      <c r="D200" s="4" t="s">
        <v>40</v>
      </c>
      <c r="E200" s="4" t="s">
        <v>25</v>
      </c>
      <c r="F200" s="4" t="s">
        <v>63</v>
      </c>
      <c r="G200" s="4" t="s">
        <v>25</v>
      </c>
      <c r="H200" s="4" t="s">
        <v>25</v>
      </c>
      <c r="I200" s="5">
        <v>43922</v>
      </c>
      <c r="J200" s="6">
        <v>0</v>
      </c>
      <c r="K200" s="6">
        <v>0</v>
      </c>
      <c r="L200" s="6">
        <v>290.52100000000002</v>
      </c>
      <c r="M200" s="6">
        <v>290.52100000000002</v>
      </c>
      <c r="N200" s="6">
        <v>0</v>
      </c>
      <c r="O200" s="6">
        <v>0</v>
      </c>
      <c r="P200" s="6">
        <v>1</v>
      </c>
      <c r="Q200" s="4" t="s">
        <v>60</v>
      </c>
      <c r="R200" s="4">
        <v>0</v>
      </c>
      <c r="S200" s="6">
        <v>0</v>
      </c>
      <c r="T200" s="6">
        <v>13</v>
      </c>
      <c r="U200" s="6">
        <v>0</v>
      </c>
      <c r="V200" s="6">
        <f>IF(ISERROR(VLOOKUP($S$200,'TAR FIN'!$A$1:$O$120,15,0)),0,VLOOKUP($S$200,'TAR FIN'!$A$1:$O$120,15,0))</f>
        <v>0</v>
      </c>
      <c r="W200" s="6">
        <f>IF(ISERROR(VLOOKUP($T$200,'TAR FIN'!$A$1:$O$120,15,0)),0,VLOOKUP($T$200,'TAR FIN'!$A$1:$O$120,15,0))</f>
        <v>84.45</v>
      </c>
      <c r="X200" s="6">
        <f>IF(ISERROR(VLOOKUP($U$200,'TAR FIN'!$A$1:$O$120,15,0)),0,VLOOKUP($U$200,'TAR FIN'!$A$1:$O$120,15,0))</f>
        <v>0</v>
      </c>
      <c r="Y200" s="6"/>
      <c r="Z200" s="6">
        <f ca="1">('TUSD BE'!$AM$17+'TUSD BF'!$AM$17+'TUSD CVA'!$AM$17)*1</f>
        <v>87.519361965254689</v>
      </c>
      <c r="AA200" s="6"/>
      <c r="AB200" s="6">
        <f>$K$200*$V$200</f>
        <v>0</v>
      </c>
      <c r="AC200" s="6">
        <f>$M$200*$W$200</f>
        <v>24534.498450000003</v>
      </c>
      <c r="AD200" s="6">
        <f>$O$200*$X$200</f>
        <v>0</v>
      </c>
      <c r="AE200" s="6">
        <f>$K$200*$Y$200</f>
        <v>0</v>
      </c>
      <c r="AF200" s="6">
        <f ca="1">$M$200*$Z$200</f>
        <v>25426.212557507759</v>
      </c>
      <c r="AG200" s="6">
        <f>$O$200*$AA$200</f>
        <v>0</v>
      </c>
    </row>
    <row r="201" spans="1:33" ht="11.25" customHeight="1" x14ac:dyDescent="0.25">
      <c r="A201" s="4" t="s">
        <v>21</v>
      </c>
      <c r="B201" s="4" t="s">
        <v>45</v>
      </c>
      <c r="C201" s="4" t="s">
        <v>41</v>
      </c>
      <c r="D201" s="4" t="s">
        <v>40</v>
      </c>
      <c r="E201" s="4" t="s">
        <v>25</v>
      </c>
      <c r="F201" s="4" t="s">
        <v>63</v>
      </c>
      <c r="G201" s="4" t="s">
        <v>25</v>
      </c>
      <c r="H201" s="4" t="s">
        <v>25</v>
      </c>
      <c r="I201" s="5">
        <v>43952</v>
      </c>
      <c r="J201" s="6">
        <v>0</v>
      </c>
      <c r="K201" s="6">
        <v>0</v>
      </c>
      <c r="L201" s="6">
        <v>385.88499999999999</v>
      </c>
      <c r="M201" s="6">
        <v>385.88499999999999</v>
      </c>
      <c r="N201" s="6">
        <v>0</v>
      </c>
      <c r="O201" s="6">
        <v>0</v>
      </c>
      <c r="P201" s="6">
        <v>1</v>
      </c>
      <c r="Q201" s="4" t="s">
        <v>60</v>
      </c>
      <c r="R201" s="4">
        <v>0</v>
      </c>
      <c r="S201" s="6">
        <v>0</v>
      </c>
      <c r="T201" s="6">
        <v>13</v>
      </c>
      <c r="U201" s="6">
        <v>0</v>
      </c>
      <c r="V201" s="6">
        <f>IF(ISERROR(VLOOKUP($S$201,'TAR FIN'!$A$1:$O$120,15,0)),0,VLOOKUP($S$201,'TAR FIN'!$A$1:$O$120,15,0))</f>
        <v>0</v>
      </c>
      <c r="W201" s="6">
        <f>IF(ISERROR(VLOOKUP($T$201,'TAR FIN'!$A$1:$O$120,15,0)),0,VLOOKUP($T$201,'TAR FIN'!$A$1:$O$120,15,0))</f>
        <v>84.45</v>
      </c>
      <c r="X201" s="6">
        <f>IF(ISERROR(VLOOKUP($U$201,'TAR FIN'!$A$1:$O$120,15,0)),0,VLOOKUP($U$201,'TAR FIN'!$A$1:$O$120,15,0))</f>
        <v>0</v>
      </c>
      <c r="Y201" s="6"/>
      <c r="Z201" s="6">
        <f ca="1">('TUSD BE'!$AM$17+'TUSD BF'!$AM$17+'TUSD CVA'!$AM$17)*1</f>
        <v>87.519361965254689</v>
      </c>
      <c r="AA201" s="6"/>
      <c r="AB201" s="6">
        <f>$K$201*$V$201</f>
        <v>0</v>
      </c>
      <c r="AC201" s="6">
        <f>$M$201*$W$201</f>
        <v>32587.988249999999</v>
      </c>
      <c r="AD201" s="6">
        <f>$O$201*$X$201</f>
        <v>0</v>
      </c>
      <c r="AE201" s="6">
        <f>$K$201*$Y$201</f>
        <v>0</v>
      </c>
      <c r="AF201" s="6">
        <f ca="1">$M$201*$Z$201</f>
        <v>33772.408991962307</v>
      </c>
      <c r="AG201" s="6">
        <f>$O$201*$AA$201</f>
        <v>0</v>
      </c>
    </row>
    <row r="202" spans="1:33" ht="11.25" customHeight="1" x14ac:dyDescent="0.25">
      <c r="A202" s="4" t="s">
        <v>21</v>
      </c>
      <c r="B202" s="4" t="s">
        <v>45</v>
      </c>
      <c r="C202" s="4" t="s">
        <v>41</v>
      </c>
      <c r="D202" s="4" t="s">
        <v>40</v>
      </c>
      <c r="E202" s="4" t="s">
        <v>25</v>
      </c>
      <c r="F202" s="4" t="s">
        <v>63</v>
      </c>
      <c r="G202" s="4" t="s">
        <v>25</v>
      </c>
      <c r="H202" s="4" t="s">
        <v>25</v>
      </c>
      <c r="I202" s="5">
        <v>43983</v>
      </c>
      <c r="J202" s="6">
        <v>0</v>
      </c>
      <c r="K202" s="6">
        <v>0</v>
      </c>
      <c r="L202" s="6">
        <v>385.88499999999999</v>
      </c>
      <c r="M202" s="6">
        <v>385.88499999999999</v>
      </c>
      <c r="N202" s="6">
        <v>0</v>
      </c>
      <c r="O202" s="6">
        <v>0</v>
      </c>
      <c r="P202" s="6">
        <v>1</v>
      </c>
      <c r="Q202" s="4" t="s">
        <v>60</v>
      </c>
      <c r="R202" s="4">
        <v>0</v>
      </c>
      <c r="S202" s="6">
        <v>0</v>
      </c>
      <c r="T202" s="6">
        <v>13</v>
      </c>
      <c r="U202" s="6">
        <v>0</v>
      </c>
      <c r="V202" s="6">
        <f>IF(ISERROR(VLOOKUP($S$202,'TAR FIN'!$A$1:$O$120,15,0)),0,VLOOKUP($S$202,'TAR FIN'!$A$1:$O$120,15,0))</f>
        <v>0</v>
      </c>
      <c r="W202" s="6">
        <f>IF(ISERROR(VLOOKUP($T$202,'TAR FIN'!$A$1:$O$120,15,0)),0,VLOOKUP($T$202,'TAR FIN'!$A$1:$O$120,15,0))</f>
        <v>84.45</v>
      </c>
      <c r="X202" s="6">
        <f>IF(ISERROR(VLOOKUP($U$202,'TAR FIN'!$A$1:$O$120,15,0)),0,VLOOKUP($U$202,'TAR FIN'!$A$1:$O$120,15,0))</f>
        <v>0</v>
      </c>
      <c r="Y202" s="6"/>
      <c r="Z202" s="6">
        <f ca="1">('TUSD BE'!$AM$17+'TUSD BF'!$AM$17+'TUSD CVA'!$AM$17)*1</f>
        <v>87.519361965254689</v>
      </c>
      <c r="AA202" s="6"/>
      <c r="AB202" s="6">
        <f>$K$202*$V$202</f>
        <v>0</v>
      </c>
      <c r="AC202" s="6">
        <f>$M$202*$W$202</f>
        <v>32587.988249999999</v>
      </c>
      <c r="AD202" s="6">
        <f>$O$202*$X$202</f>
        <v>0</v>
      </c>
      <c r="AE202" s="6">
        <f>$K$202*$Y$202</f>
        <v>0</v>
      </c>
      <c r="AF202" s="6">
        <f ca="1">$M$202*$Z$202</f>
        <v>33772.408991962307</v>
      </c>
      <c r="AG202" s="6">
        <f>$O$202*$AA$202</f>
        <v>0</v>
      </c>
    </row>
    <row r="203" spans="1:33" ht="11.25" customHeight="1" x14ac:dyDescent="0.25">
      <c r="A203" s="4" t="s">
        <v>21</v>
      </c>
      <c r="B203" s="4" t="s">
        <v>45</v>
      </c>
      <c r="C203" s="4" t="s">
        <v>41</v>
      </c>
      <c r="D203" s="4" t="s">
        <v>40</v>
      </c>
      <c r="E203" s="4" t="s">
        <v>25</v>
      </c>
      <c r="F203" s="4" t="s">
        <v>63</v>
      </c>
      <c r="G203" s="4" t="s">
        <v>25</v>
      </c>
      <c r="H203" s="4" t="s">
        <v>25</v>
      </c>
      <c r="I203" s="5">
        <v>44013</v>
      </c>
      <c r="J203" s="6">
        <v>0</v>
      </c>
      <c r="K203" s="6">
        <v>0</v>
      </c>
      <c r="L203" s="6">
        <v>887.96100000000001</v>
      </c>
      <c r="M203" s="6">
        <v>887.96100000000001</v>
      </c>
      <c r="N203" s="6">
        <v>0</v>
      </c>
      <c r="O203" s="6">
        <v>0</v>
      </c>
      <c r="P203" s="6">
        <v>1</v>
      </c>
      <c r="Q203" s="4" t="s">
        <v>60</v>
      </c>
      <c r="R203" s="4">
        <v>0</v>
      </c>
      <c r="S203" s="6">
        <v>0</v>
      </c>
      <c r="T203" s="6">
        <v>13</v>
      </c>
      <c r="U203" s="6">
        <v>0</v>
      </c>
      <c r="V203" s="6">
        <f>IF(ISERROR(VLOOKUP($S$203,'TAR FIN'!$A$1:$O$120,15,0)),0,VLOOKUP($S$203,'TAR FIN'!$A$1:$O$120,15,0))</f>
        <v>0</v>
      </c>
      <c r="W203" s="6">
        <f>IF(ISERROR(VLOOKUP($T$203,'TAR FIN'!$A$1:$O$120,15,0)),0,VLOOKUP($T$203,'TAR FIN'!$A$1:$O$120,15,0))</f>
        <v>84.45</v>
      </c>
      <c r="X203" s="6">
        <f>IF(ISERROR(VLOOKUP($U$203,'TAR FIN'!$A$1:$O$120,15,0)),0,VLOOKUP($U$203,'TAR FIN'!$A$1:$O$120,15,0))</f>
        <v>0</v>
      </c>
      <c r="Y203" s="6"/>
      <c r="Z203" s="6">
        <f ca="1">('TUSD BE'!$AM$17+'TUSD BF'!$AM$17+'TUSD CVA'!$AM$17)*1</f>
        <v>87.519361965254689</v>
      </c>
      <c r="AA203" s="6"/>
      <c r="AB203" s="6">
        <f>$K$203*$V$203</f>
        <v>0</v>
      </c>
      <c r="AC203" s="6">
        <f>$M$203*$W$203</f>
        <v>74988.306450000004</v>
      </c>
      <c r="AD203" s="6">
        <f>$O$203*$X$203</f>
        <v>0</v>
      </c>
      <c r="AE203" s="6">
        <f>$K$203*$Y$203</f>
        <v>0</v>
      </c>
      <c r="AF203" s="6">
        <f ca="1">$M$203*$Z$203</f>
        <v>77713.780170029524</v>
      </c>
      <c r="AG203" s="6">
        <f>$O$203*$AA$203</f>
        <v>0</v>
      </c>
    </row>
    <row r="204" spans="1:33" ht="11.25" customHeight="1" x14ac:dyDescent="0.25">
      <c r="A204" s="4" t="s">
        <v>21</v>
      </c>
      <c r="B204" s="4" t="s">
        <v>45</v>
      </c>
      <c r="C204" s="4" t="s">
        <v>41</v>
      </c>
      <c r="D204" s="4" t="s">
        <v>40</v>
      </c>
      <c r="E204" s="4" t="s">
        <v>25</v>
      </c>
      <c r="F204" s="4" t="s">
        <v>63</v>
      </c>
      <c r="G204" s="4" t="s">
        <v>25</v>
      </c>
      <c r="H204" s="4" t="s">
        <v>25</v>
      </c>
      <c r="I204" s="5">
        <v>44044</v>
      </c>
      <c r="J204" s="6">
        <v>0</v>
      </c>
      <c r="K204" s="6">
        <v>0</v>
      </c>
      <c r="L204" s="6">
        <v>729.46400000000006</v>
      </c>
      <c r="M204" s="6">
        <v>729.46400000000006</v>
      </c>
      <c r="N204" s="6">
        <v>0</v>
      </c>
      <c r="O204" s="6">
        <v>0</v>
      </c>
      <c r="P204" s="6">
        <v>1</v>
      </c>
      <c r="Q204" s="4" t="s">
        <v>60</v>
      </c>
      <c r="R204" s="4">
        <v>0</v>
      </c>
      <c r="S204" s="6">
        <v>0</v>
      </c>
      <c r="T204" s="6">
        <v>13</v>
      </c>
      <c r="U204" s="6">
        <v>0</v>
      </c>
      <c r="V204" s="6">
        <f>IF(ISERROR(VLOOKUP($S$204,'TAR FIN'!$A$1:$O$120,15,0)),0,VLOOKUP($S$204,'TAR FIN'!$A$1:$O$120,15,0))</f>
        <v>0</v>
      </c>
      <c r="W204" s="6">
        <f>IF(ISERROR(VLOOKUP($T$204,'TAR FIN'!$A$1:$O$120,15,0)),0,VLOOKUP($T$204,'TAR FIN'!$A$1:$O$120,15,0))</f>
        <v>84.45</v>
      </c>
      <c r="X204" s="6">
        <f>IF(ISERROR(VLOOKUP($U$204,'TAR FIN'!$A$1:$O$120,15,0)),0,VLOOKUP($U$204,'TAR FIN'!$A$1:$O$120,15,0))</f>
        <v>0</v>
      </c>
      <c r="Y204" s="6"/>
      <c r="Z204" s="6">
        <f ca="1">('TUSD BE'!$AM$17+'TUSD BF'!$AM$17+'TUSD CVA'!$AM$17)*1</f>
        <v>87.519361965254689</v>
      </c>
      <c r="AA204" s="6"/>
      <c r="AB204" s="6">
        <f>$K$204*$V$204</f>
        <v>0</v>
      </c>
      <c r="AC204" s="6">
        <f>$M$204*$W$204</f>
        <v>61603.234800000006</v>
      </c>
      <c r="AD204" s="6">
        <f>$O$204*$X$204</f>
        <v>0</v>
      </c>
      <c r="AE204" s="6">
        <f>$K$204*$Y$204</f>
        <v>0</v>
      </c>
      <c r="AF204" s="6">
        <f ca="1">$M$204*$Z$204</f>
        <v>63842.22385662255</v>
      </c>
      <c r="AG204" s="6">
        <f>$O$204*$AA$204</f>
        <v>0</v>
      </c>
    </row>
    <row r="205" spans="1:33" ht="11.25" customHeight="1" x14ac:dyDescent="0.25">
      <c r="A205" s="4" t="s">
        <v>59</v>
      </c>
      <c r="B205" s="4" t="s">
        <v>45</v>
      </c>
      <c r="C205" s="4" t="s">
        <v>41</v>
      </c>
      <c r="D205" s="4" t="s">
        <v>40</v>
      </c>
      <c r="E205" s="4" t="s">
        <v>25</v>
      </c>
      <c r="F205" s="4" t="s">
        <v>63</v>
      </c>
      <c r="G205" s="4" t="s">
        <v>25</v>
      </c>
      <c r="H205" s="4" t="s">
        <v>25</v>
      </c>
      <c r="I205" s="5">
        <v>44075</v>
      </c>
      <c r="J205" s="6">
        <v>0</v>
      </c>
      <c r="K205" s="6">
        <v>0</v>
      </c>
      <c r="L205" s="6">
        <v>729.46400000000006</v>
      </c>
      <c r="M205" s="6">
        <v>729.46400000000006</v>
      </c>
      <c r="N205" s="6">
        <v>0</v>
      </c>
      <c r="O205" s="6">
        <v>0</v>
      </c>
      <c r="P205" s="6">
        <v>1</v>
      </c>
      <c r="Q205" s="4" t="s">
        <v>60</v>
      </c>
      <c r="R205" s="4">
        <v>0</v>
      </c>
      <c r="S205" s="6">
        <v>0</v>
      </c>
      <c r="T205" s="6">
        <v>13</v>
      </c>
      <c r="U205" s="6">
        <v>0</v>
      </c>
      <c r="V205" s="6">
        <f>IF(ISERROR(VLOOKUP($S$205,'TAR FIN'!$A$1:$O$120,15,0)),0,VLOOKUP($S$205,'TAR FIN'!$A$1:$O$120,15,0))</f>
        <v>0</v>
      </c>
      <c r="W205" s="6">
        <f>IF(ISERROR(VLOOKUP($T$205,'TAR FIN'!$A$1:$O$120,15,0)),0,VLOOKUP($T$205,'TAR FIN'!$A$1:$O$120,15,0))</f>
        <v>84.45</v>
      </c>
      <c r="X205" s="6">
        <f>IF(ISERROR(VLOOKUP($U$205,'TAR FIN'!$A$1:$O$120,15,0)),0,VLOOKUP($U$205,'TAR FIN'!$A$1:$O$120,15,0))</f>
        <v>0</v>
      </c>
      <c r="Y205" s="6"/>
      <c r="Z205" s="6">
        <f ca="1">('TUSD BE'!$AM$17+'TUSD BF'!$AM$17+'TUSD CVA'!$AM$17)*1</f>
        <v>87.519361965254689</v>
      </c>
      <c r="AA205" s="6"/>
      <c r="AB205" s="6">
        <f>$K$205*$V$205</f>
        <v>0</v>
      </c>
      <c r="AC205" s="6">
        <f>$M$205*$W$205</f>
        <v>61603.234800000006</v>
      </c>
      <c r="AD205" s="6">
        <f>$O$205*$X$205</f>
        <v>0</v>
      </c>
      <c r="AE205" s="6">
        <f>$K$205*$Y$205</f>
        <v>0</v>
      </c>
      <c r="AF205" s="6">
        <f ca="1">$M$205*$Z$205</f>
        <v>63842.22385662255</v>
      </c>
      <c r="AG205" s="6">
        <f>$O$205*$AA$205</f>
        <v>0</v>
      </c>
    </row>
    <row r="206" spans="1:33" ht="11.25" customHeight="1" x14ac:dyDescent="0.25">
      <c r="A206" s="4" t="s">
        <v>21</v>
      </c>
      <c r="B206" s="4" t="s">
        <v>45</v>
      </c>
      <c r="C206" s="4" t="s">
        <v>41</v>
      </c>
      <c r="D206" s="4" t="s">
        <v>40</v>
      </c>
      <c r="E206" s="4" t="s">
        <v>25</v>
      </c>
      <c r="F206" s="4" t="s">
        <v>63</v>
      </c>
      <c r="G206" s="4" t="s">
        <v>25</v>
      </c>
      <c r="H206" s="4" t="s">
        <v>35</v>
      </c>
      <c r="I206" s="5">
        <v>43739</v>
      </c>
      <c r="J206" s="6">
        <v>3300</v>
      </c>
      <c r="K206" s="6">
        <v>2067.4934280000002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4" t="s">
        <v>60</v>
      </c>
      <c r="R206" s="4">
        <v>0</v>
      </c>
      <c r="S206" s="6">
        <v>11</v>
      </c>
      <c r="T206" s="6">
        <v>0</v>
      </c>
      <c r="U206" s="6">
        <v>0</v>
      </c>
      <c r="V206" s="6">
        <f>IF(ISERROR(VLOOKUP($S$206,'TAR FIN'!$A$1:$O$120,15,0)),0,VLOOKUP($S$206,'TAR FIN'!$A$1:$O$120,15,0))</f>
        <v>22.94</v>
      </c>
      <c r="W206" s="6">
        <f>IF(ISERROR(VLOOKUP($T$206,'TAR FIN'!$A$1:$O$120,15,0)),0,VLOOKUP($T$206,'TAR FIN'!$A$1:$O$120,15,0))</f>
        <v>0</v>
      </c>
      <c r="X206" s="6">
        <f>IF(ISERROR(VLOOKUP($U$206,'TAR FIN'!$A$1:$O$120,15,0)),0,VLOOKUP($U$206,'TAR FIN'!$A$1:$O$120,15,0))</f>
        <v>0</v>
      </c>
      <c r="Y206" s="6">
        <f ca="1">('TUSD BE'!$AM$15+'TUSD BF'!$AM$15+'TUSD CVA'!$AM$15)*1</f>
        <v>27.216283196676113</v>
      </c>
      <c r="Z206" s="6">
        <f ca="1">('TUSD BE'!$AM$17+'TUSD BF'!$AM$17+'TUSD CVA'!$AM$17)*1</f>
        <v>87.519361965254689</v>
      </c>
      <c r="AA206" s="6"/>
      <c r="AB206" s="6">
        <f>$K$206*$V$206</f>
        <v>47428.299238320011</v>
      </c>
      <c r="AC206" s="6">
        <f>$M$206*$W$206</f>
        <v>0</v>
      </c>
      <c r="AD206" s="6">
        <f>$O$206*$X$206</f>
        <v>0</v>
      </c>
      <c r="AE206" s="6">
        <f ca="1">$K$206*$Y$206</f>
        <v>56269.486643714699</v>
      </c>
      <c r="AF206" s="6">
        <f ca="1">$M$206*$Z$206</f>
        <v>0</v>
      </c>
      <c r="AG206" s="6">
        <f>$O$206*$AA$206</f>
        <v>0</v>
      </c>
    </row>
    <row r="207" spans="1:33" ht="11.25" customHeight="1" x14ac:dyDescent="0.25">
      <c r="A207" s="4" t="s">
        <v>21</v>
      </c>
      <c r="B207" s="4" t="s">
        <v>45</v>
      </c>
      <c r="C207" s="4" t="s">
        <v>41</v>
      </c>
      <c r="D207" s="4" t="s">
        <v>40</v>
      </c>
      <c r="E207" s="4" t="s">
        <v>25</v>
      </c>
      <c r="F207" s="4" t="s">
        <v>63</v>
      </c>
      <c r="G207" s="4" t="s">
        <v>25</v>
      </c>
      <c r="H207" s="4" t="s">
        <v>35</v>
      </c>
      <c r="I207" s="5">
        <v>43770</v>
      </c>
      <c r="J207" s="6">
        <v>3300</v>
      </c>
      <c r="K207" s="6">
        <v>2071.2097229999999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4" t="s">
        <v>60</v>
      </c>
      <c r="R207" s="4">
        <v>0</v>
      </c>
      <c r="S207" s="6">
        <v>11</v>
      </c>
      <c r="T207" s="6">
        <v>0</v>
      </c>
      <c r="U207" s="6">
        <v>0</v>
      </c>
      <c r="V207" s="6">
        <f>IF(ISERROR(VLOOKUP($S$207,'TAR FIN'!$A$1:$O$120,15,0)),0,VLOOKUP($S$207,'TAR FIN'!$A$1:$O$120,15,0))</f>
        <v>22.94</v>
      </c>
      <c r="W207" s="6">
        <f>IF(ISERROR(VLOOKUP($T$207,'TAR FIN'!$A$1:$O$120,15,0)),0,VLOOKUP($T$207,'TAR FIN'!$A$1:$O$120,15,0))</f>
        <v>0</v>
      </c>
      <c r="X207" s="6">
        <f>IF(ISERROR(VLOOKUP($U$207,'TAR FIN'!$A$1:$O$120,15,0)),0,VLOOKUP($U$207,'TAR FIN'!$A$1:$O$120,15,0))</f>
        <v>0</v>
      </c>
      <c r="Y207" s="6">
        <f ca="1">('TUSD BE'!$AM$15+'TUSD BF'!$AM$15+'TUSD CVA'!$AM$15)*1</f>
        <v>27.216283196676113</v>
      </c>
      <c r="Z207" s="6">
        <f ca="1">('TUSD BE'!$AM$17+'TUSD BF'!$AM$17+'TUSD CVA'!$AM$17)*1</f>
        <v>87.519361965254689</v>
      </c>
      <c r="AA207" s="6"/>
      <c r="AB207" s="6">
        <f>$K$207*$V$207</f>
        <v>47513.551045619999</v>
      </c>
      <c r="AC207" s="6">
        <f>$M$207*$W$207</f>
        <v>0</v>
      </c>
      <c r="AD207" s="6">
        <f>$O$207*$X$207</f>
        <v>0</v>
      </c>
      <c r="AE207" s="6">
        <f ca="1">$K$207*$Y$207</f>
        <v>56370.630380877083</v>
      </c>
      <c r="AF207" s="6">
        <f ca="1">$M$207*$Z$207</f>
        <v>0</v>
      </c>
      <c r="AG207" s="6">
        <f>$O$207*$AA$207</f>
        <v>0</v>
      </c>
    </row>
    <row r="208" spans="1:33" ht="11.25" customHeight="1" x14ac:dyDescent="0.25">
      <c r="A208" s="4" t="s">
        <v>21</v>
      </c>
      <c r="B208" s="4" t="s">
        <v>45</v>
      </c>
      <c r="C208" s="4" t="s">
        <v>41</v>
      </c>
      <c r="D208" s="4" t="s">
        <v>40</v>
      </c>
      <c r="E208" s="4" t="s">
        <v>25</v>
      </c>
      <c r="F208" s="4" t="s">
        <v>63</v>
      </c>
      <c r="G208" s="4" t="s">
        <v>25</v>
      </c>
      <c r="H208" s="4" t="s">
        <v>35</v>
      </c>
      <c r="I208" s="5">
        <v>43800</v>
      </c>
      <c r="J208" s="6">
        <v>3300</v>
      </c>
      <c r="K208" s="6">
        <v>2077.8276420000002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4" t="s">
        <v>60</v>
      </c>
      <c r="R208" s="4">
        <v>0</v>
      </c>
      <c r="S208" s="6">
        <v>11</v>
      </c>
      <c r="T208" s="6">
        <v>0</v>
      </c>
      <c r="U208" s="6">
        <v>0</v>
      </c>
      <c r="V208" s="6">
        <f>IF(ISERROR(VLOOKUP($S$208,'TAR FIN'!$A$1:$O$120,15,0)),0,VLOOKUP($S$208,'TAR FIN'!$A$1:$O$120,15,0))</f>
        <v>22.94</v>
      </c>
      <c r="W208" s="6">
        <f>IF(ISERROR(VLOOKUP($T$208,'TAR FIN'!$A$1:$O$120,15,0)),0,VLOOKUP($T$208,'TAR FIN'!$A$1:$O$120,15,0))</f>
        <v>0</v>
      </c>
      <c r="X208" s="6">
        <f>IF(ISERROR(VLOOKUP($U$208,'TAR FIN'!$A$1:$O$120,15,0)),0,VLOOKUP($U$208,'TAR FIN'!$A$1:$O$120,15,0))</f>
        <v>0</v>
      </c>
      <c r="Y208" s="6">
        <f ca="1">('TUSD BE'!$AM$15+'TUSD BF'!$AM$15+'TUSD CVA'!$AM$15)*1</f>
        <v>27.216283196676113</v>
      </c>
      <c r="Z208" s="6">
        <f ca="1">('TUSD BE'!$AM$17+'TUSD BF'!$AM$17+'TUSD CVA'!$AM$17)*1</f>
        <v>87.519361965254689</v>
      </c>
      <c r="AA208" s="6"/>
      <c r="AB208" s="6">
        <f>$K$208*$V$208</f>
        <v>47665.366107480004</v>
      </c>
      <c r="AC208" s="6">
        <f>$M$208*$W$208</f>
        <v>0</v>
      </c>
      <c r="AD208" s="6">
        <f>$O$208*$X$208</f>
        <v>0</v>
      </c>
      <c r="AE208" s="6">
        <f ca="1">$K$208*$Y$208</f>
        <v>56550.745538553754</v>
      </c>
      <c r="AF208" s="6">
        <f ca="1">$M$208*$Z$208</f>
        <v>0</v>
      </c>
      <c r="AG208" s="6">
        <f>$O$208*$AA$208</f>
        <v>0</v>
      </c>
    </row>
    <row r="209" spans="1:33" ht="11.25" customHeight="1" x14ac:dyDescent="0.25">
      <c r="A209" s="4" t="s">
        <v>21</v>
      </c>
      <c r="B209" s="4" t="s">
        <v>45</v>
      </c>
      <c r="C209" s="4" t="s">
        <v>41</v>
      </c>
      <c r="D209" s="4" t="s">
        <v>40</v>
      </c>
      <c r="E209" s="4" t="s">
        <v>25</v>
      </c>
      <c r="F209" s="4" t="s">
        <v>63</v>
      </c>
      <c r="G209" s="4" t="s">
        <v>25</v>
      </c>
      <c r="H209" s="4" t="s">
        <v>35</v>
      </c>
      <c r="I209" s="5">
        <v>43831</v>
      </c>
      <c r="J209" s="6">
        <v>3300</v>
      </c>
      <c r="K209" s="6">
        <v>2056.8119219999999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4" t="s">
        <v>60</v>
      </c>
      <c r="R209" s="4">
        <v>0</v>
      </c>
      <c r="S209" s="6">
        <v>11</v>
      </c>
      <c r="T209" s="6">
        <v>0</v>
      </c>
      <c r="U209" s="6">
        <v>0</v>
      </c>
      <c r="V209" s="6">
        <f>IF(ISERROR(VLOOKUP($S$209,'TAR FIN'!$A$1:$O$120,15,0)),0,VLOOKUP($S$209,'TAR FIN'!$A$1:$O$120,15,0))</f>
        <v>22.94</v>
      </c>
      <c r="W209" s="6">
        <f>IF(ISERROR(VLOOKUP($T$209,'TAR FIN'!$A$1:$O$120,15,0)),0,VLOOKUP($T$209,'TAR FIN'!$A$1:$O$120,15,0))</f>
        <v>0</v>
      </c>
      <c r="X209" s="6">
        <f>IF(ISERROR(VLOOKUP($U$209,'TAR FIN'!$A$1:$O$120,15,0)),0,VLOOKUP($U$209,'TAR FIN'!$A$1:$O$120,15,0))</f>
        <v>0</v>
      </c>
      <c r="Y209" s="6">
        <f ca="1">('TUSD BE'!$AM$15+'TUSD BF'!$AM$15+'TUSD CVA'!$AM$15)*1</f>
        <v>27.216283196676113</v>
      </c>
      <c r="Z209" s="6">
        <f ca="1">('TUSD BE'!$AM$17+'TUSD BF'!$AM$17+'TUSD CVA'!$AM$17)*1</f>
        <v>87.519361965254689</v>
      </c>
      <c r="AA209" s="6"/>
      <c r="AB209" s="6">
        <f>$K$209*$V$209</f>
        <v>47183.265490680002</v>
      </c>
      <c r="AC209" s="6">
        <f>$M$209*$W$209</f>
        <v>0</v>
      </c>
      <c r="AD209" s="6">
        <f>$O$209*$X$209</f>
        <v>0</v>
      </c>
      <c r="AE209" s="6">
        <f ca="1">$K$209*$Y$209</f>
        <v>55978.775751451692</v>
      </c>
      <c r="AF209" s="6">
        <f ca="1">$M$209*$Z$209</f>
        <v>0</v>
      </c>
      <c r="AG209" s="6">
        <f>$O$209*$AA$209</f>
        <v>0</v>
      </c>
    </row>
    <row r="210" spans="1:33" ht="11.25" customHeight="1" x14ac:dyDescent="0.25">
      <c r="A210" s="4" t="s">
        <v>21</v>
      </c>
      <c r="B210" s="4" t="s">
        <v>45</v>
      </c>
      <c r="C210" s="4" t="s">
        <v>41</v>
      </c>
      <c r="D210" s="4" t="s">
        <v>40</v>
      </c>
      <c r="E210" s="4" t="s">
        <v>25</v>
      </c>
      <c r="F210" s="4" t="s">
        <v>63</v>
      </c>
      <c r="G210" s="4" t="s">
        <v>25</v>
      </c>
      <c r="H210" s="4" t="s">
        <v>35</v>
      </c>
      <c r="I210" s="5">
        <v>43862</v>
      </c>
      <c r="J210" s="6">
        <v>3300</v>
      </c>
      <c r="K210" s="6">
        <v>2056.1918850000002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4" t="s">
        <v>60</v>
      </c>
      <c r="R210" s="4">
        <v>0</v>
      </c>
      <c r="S210" s="6">
        <v>11</v>
      </c>
      <c r="T210" s="6">
        <v>0</v>
      </c>
      <c r="U210" s="6">
        <v>0</v>
      </c>
      <c r="V210" s="6">
        <f>IF(ISERROR(VLOOKUP($S$210,'TAR FIN'!$A$1:$O$120,15,0)),0,VLOOKUP($S$210,'TAR FIN'!$A$1:$O$120,15,0))</f>
        <v>22.94</v>
      </c>
      <c r="W210" s="6">
        <f>IF(ISERROR(VLOOKUP($T$210,'TAR FIN'!$A$1:$O$120,15,0)),0,VLOOKUP($T$210,'TAR FIN'!$A$1:$O$120,15,0))</f>
        <v>0</v>
      </c>
      <c r="X210" s="6">
        <f>IF(ISERROR(VLOOKUP($U$210,'TAR FIN'!$A$1:$O$120,15,0)),0,VLOOKUP($U$210,'TAR FIN'!$A$1:$O$120,15,0))</f>
        <v>0</v>
      </c>
      <c r="Y210" s="6">
        <f ca="1">('TUSD BE'!$AM$15+'TUSD BF'!$AM$15+'TUSD CVA'!$AM$15)*1</f>
        <v>27.216283196676113</v>
      </c>
      <c r="Z210" s="6">
        <f ca="1">('TUSD BE'!$AM$17+'TUSD BF'!$AM$17+'TUSD CVA'!$AM$17)*1</f>
        <v>87.519361965254689</v>
      </c>
      <c r="AA210" s="6"/>
      <c r="AB210" s="6">
        <f>$K$210*$V$210</f>
        <v>47169.041841900005</v>
      </c>
      <c r="AC210" s="6">
        <f>$M$210*$W$210</f>
        <v>0</v>
      </c>
      <c r="AD210" s="6">
        <f>$O$210*$X$210</f>
        <v>0</v>
      </c>
      <c r="AE210" s="6">
        <f ca="1">$K$210*$Y$210</f>
        <v>55961.900648867289</v>
      </c>
      <c r="AF210" s="6">
        <f ca="1">$M$210*$Z$210</f>
        <v>0</v>
      </c>
      <c r="AG210" s="6">
        <f>$O$210*$AA$210</f>
        <v>0</v>
      </c>
    </row>
    <row r="211" spans="1:33" ht="11.25" customHeight="1" x14ac:dyDescent="0.25">
      <c r="A211" s="4" t="s">
        <v>21</v>
      </c>
      <c r="B211" s="4" t="s">
        <v>45</v>
      </c>
      <c r="C211" s="4" t="s">
        <v>41</v>
      </c>
      <c r="D211" s="4" t="s">
        <v>40</v>
      </c>
      <c r="E211" s="4" t="s">
        <v>25</v>
      </c>
      <c r="F211" s="4" t="s">
        <v>63</v>
      </c>
      <c r="G211" s="4" t="s">
        <v>25</v>
      </c>
      <c r="H211" s="4" t="s">
        <v>35</v>
      </c>
      <c r="I211" s="5">
        <v>43891</v>
      </c>
      <c r="J211" s="6">
        <v>3300</v>
      </c>
      <c r="K211" s="6">
        <v>2702.81088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4" t="s">
        <v>60</v>
      </c>
      <c r="R211" s="4">
        <v>0</v>
      </c>
      <c r="S211" s="6">
        <v>11</v>
      </c>
      <c r="T211" s="6">
        <v>0</v>
      </c>
      <c r="U211" s="6">
        <v>0</v>
      </c>
      <c r="V211" s="6">
        <f>IF(ISERROR(VLOOKUP($S$211,'TAR FIN'!$A$1:$O$120,15,0)),0,VLOOKUP($S$211,'TAR FIN'!$A$1:$O$120,15,0))</f>
        <v>22.94</v>
      </c>
      <c r="W211" s="6">
        <f>IF(ISERROR(VLOOKUP($T$211,'TAR FIN'!$A$1:$O$120,15,0)),0,VLOOKUP($T$211,'TAR FIN'!$A$1:$O$120,15,0))</f>
        <v>0</v>
      </c>
      <c r="X211" s="6">
        <f>IF(ISERROR(VLOOKUP($U$211,'TAR FIN'!$A$1:$O$120,15,0)),0,VLOOKUP($U$211,'TAR FIN'!$A$1:$O$120,15,0))</f>
        <v>0</v>
      </c>
      <c r="Y211" s="6">
        <f ca="1">('TUSD BE'!$AM$15+'TUSD BF'!$AM$15+'TUSD CVA'!$AM$15)*1</f>
        <v>27.216283196676113</v>
      </c>
      <c r="Z211" s="6">
        <f ca="1">('TUSD BE'!$AM$17+'TUSD BF'!$AM$17+'TUSD CVA'!$AM$17)*1</f>
        <v>87.519361965254689</v>
      </c>
      <c r="AA211" s="6"/>
      <c r="AB211" s="6">
        <f>$K$211*$V$211</f>
        <v>62002.481587200004</v>
      </c>
      <c r="AC211" s="6">
        <f>$M$211*$W$211</f>
        <v>0</v>
      </c>
      <c r="AD211" s="6">
        <f>$O$211*$X$211</f>
        <v>0</v>
      </c>
      <c r="AE211" s="6">
        <f ca="1">$K$211*$Y$211</f>
        <v>73560.466337137375</v>
      </c>
      <c r="AF211" s="6">
        <f ca="1">$M$211*$Z$211</f>
        <v>0</v>
      </c>
      <c r="AG211" s="6">
        <f>$O$211*$AA$211</f>
        <v>0</v>
      </c>
    </row>
    <row r="212" spans="1:33" ht="11.25" customHeight="1" x14ac:dyDescent="0.25">
      <c r="A212" s="4" t="s">
        <v>21</v>
      </c>
      <c r="B212" s="4" t="s">
        <v>45</v>
      </c>
      <c r="C212" s="4" t="s">
        <v>41</v>
      </c>
      <c r="D212" s="4" t="s">
        <v>40</v>
      </c>
      <c r="E212" s="4" t="s">
        <v>25</v>
      </c>
      <c r="F212" s="4" t="s">
        <v>63</v>
      </c>
      <c r="G212" s="4" t="s">
        <v>25</v>
      </c>
      <c r="H212" s="4" t="s">
        <v>35</v>
      </c>
      <c r="I212" s="5">
        <v>43922</v>
      </c>
      <c r="J212" s="6">
        <v>3300</v>
      </c>
      <c r="K212" s="6">
        <v>3300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4" t="s">
        <v>60</v>
      </c>
      <c r="R212" s="4">
        <v>0</v>
      </c>
      <c r="S212" s="6">
        <v>11</v>
      </c>
      <c r="T212" s="6">
        <v>0</v>
      </c>
      <c r="U212" s="6">
        <v>0</v>
      </c>
      <c r="V212" s="6">
        <f>IF(ISERROR(VLOOKUP($S$212,'TAR FIN'!$A$1:$O$120,15,0)),0,VLOOKUP($S$212,'TAR FIN'!$A$1:$O$120,15,0))</f>
        <v>22.94</v>
      </c>
      <c r="W212" s="6">
        <f>IF(ISERROR(VLOOKUP($T$212,'TAR FIN'!$A$1:$O$120,15,0)),0,VLOOKUP($T$212,'TAR FIN'!$A$1:$O$120,15,0))</f>
        <v>0</v>
      </c>
      <c r="X212" s="6">
        <f>IF(ISERROR(VLOOKUP($U$212,'TAR FIN'!$A$1:$O$120,15,0)),0,VLOOKUP($U$212,'TAR FIN'!$A$1:$O$120,15,0))</f>
        <v>0</v>
      </c>
      <c r="Y212" s="6">
        <f ca="1">('TUSD BE'!$AM$15+'TUSD BF'!$AM$15+'TUSD CVA'!$AM$15)*1</f>
        <v>27.216283196676113</v>
      </c>
      <c r="Z212" s="6">
        <f ca="1">('TUSD BE'!$AM$17+'TUSD BF'!$AM$17+'TUSD CVA'!$AM$17)*1</f>
        <v>87.519361965254689</v>
      </c>
      <c r="AA212" s="6"/>
      <c r="AB212" s="6">
        <f>$K$212*$V$212</f>
        <v>75702</v>
      </c>
      <c r="AC212" s="6">
        <f>$M$212*$W$212</f>
        <v>0</v>
      </c>
      <c r="AD212" s="6">
        <f>$O$212*$X$212</f>
        <v>0</v>
      </c>
      <c r="AE212" s="6">
        <f ca="1">$K$212*$Y$212</f>
        <v>89813.734549031171</v>
      </c>
      <c r="AF212" s="6">
        <f ca="1">$M$212*$Z$212</f>
        <v>0</v>
      </c>
      <c r="AG212" s="6">
        <f>$O$212*$AA$212</f>
        <v>0</v>
      </c>
    </row>
    <row r="213" spans="1:33" ht="11.25" customHeight="1" x14ac:dyDescent="0.25">
      <c r="A213" s="4" t="s">
        <v>21</v>
      </c>
      <c r="B213" s="4" t="s">
        <v>45</v>
      </c>
      <c r="C213" s="4" t="s">
        <v>41</v>
      </c>
      <c r="D213" s="4" t="s">
        <v>40</v>
      </c>
      <c r="E213" s="4" t="s">
        <v>25</v>
      </c>
      <c r="F213" s="4" t="s">
        <v>63</v>
      </c>
      <c r="G213" s="4" t="s">
        <v>25</v>
      </c>
      <c r="H213" s="4" t="s">
        <v>35</v>
      </c>
      <c r="I213" s="5">
        <v>43952</v>
      </c>
      <c r="J213" s="6">
        <v>3300</v>
      </c>
      <c r="K213" s="6">
        <v>3300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4" t="s">
        <v>60</v>
      </c>
      <c r="R213" s="4">
        <v>0</v>
      </c>
      <c r="S213" s="6">
        <v>11</v>
      </c>
      <c r="T213" s="6">
        <v>0</v>
      </c>
      <c r="U213" s="6">
        <v>0</v>
      </c>
      <c r="V213" s="6">
        <f>IF(ISERROR(VLOOKUP($S$213,'TAR FIN'!$A$1:$O$120,15,0)),0,VLOOKUP($S$213,'TAR FIN'!$A$1:$O$120,15,0))</f>
        <v>22.94</v>
      </c>
      <c r="W213" s="6">
        <f>IF(ISERROR(VLOOKUP($T$213,'TAR FIN'!$A$1:$O$120,15,0)),0,VLOOKUP($T$213,'TAR FIN'!$A$1:$O$120,15,0))</f>
        <v>0</v>
      </c>
      <c r="X213" s="6">
        <f>IF(ISERROR(VLOOKUP($U$213,'TAR FIN'!$A$1:$O$120,15,0)),0,VLOOKUP($U$213,'TAR FIN'!$A$1:$O$120,15,0))</f>
        <v>0</v>
      </c>
      <c r="Y213" s="6">
        <f ca="1">('TUSD BE'!$AM$15+'TUSD BF'!$AM$15+'TUSD CVA'!$AM$15)*1</f>
        <v>27.216283196676113</v>
      </c>
      <c r="Z213" s="6">
        <f ca="1">('TUSD BE'!$AM$17+'TUSD BF'!$AM$17+'TUSD CVA'!$AM$17)*1</f>
        <v>87.519361965254689</v>
      </c>
      <c r="AA213" s="6"/>
      <c r="AB213" s="6">
        <f>$K$213*$V$213</f>
        <v>75702</v>
      </c>
      <c r="AC213" s="6">
        <f>$M$213*$W$213</f>
        <v>0</v>
      </c>
      <c r="AD213" s="6">
        <f>$O$213*$X$213</f>
        <v>0</v>
      </c>
      <c r="AE213" s="6">
        <f ca="1">$K$213*$Y$213</f>
        <v>89813.734549031171</v>
      </c>
      <c r="AF213" s="6">
        <f ca="1">$M$213*$Z$213</f>
        <v>0</v>
      </c>
      <c r="AG213" s="6">
        <f>$O$213*$AA$213</f>
        <v>0</v>
      </c>
    </row>
    <row r="214" spans="1:33" ht="11.25" customHeight="1" x14ac:dyDescent="0.25">
      <c r="A214" s="4" t="s">
        <v>21</v>
      </c>
      <c r="B214" s="4" t="s">
        <v>45</v>
      </c>
      <c r="C214" s="4" t="s">
        <v>41</v>
      </c>
      <c r="D214" s="4" t="s">
        <v>40</v>
      </c>
      <c r="E214" s="4" t="s">
        <v>25</v>
      </c>
      <c r="F214" s="4" t="s">
        <v>63</v>
      </c>
      <c r="G214" s="4" t="s">
        <v>25</v>
      </c>
      <c r="H214" s="4" t="s">
        <v>35</v>
      </c>
      <c r="I214" s="5">
        <v>43983</v>
      </c>
      <c r="J214" s="6">
        <v>3300</v>
      </c>
      <c r="K214" s="6">
        <v>3300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4" t="s">
        <v>60</v>
      </c>
      <c r="R214" s="4">
        <v>0</v>
      </c>
      <c r="S214" s="6">
        <v>11</v>
      </c>
      <c r="T214" s="6">
        <v>0</v>
      </c>
      <c r="U214" s="6">
        <v>0</v>
      </c>
      <c r="V214" s="6">
        <f>IF(ISERROR(VLOOKUP($S$214,'TAR FIN'!$A$1:$O$120,15,0)),0,VLOOKUP($S$214,'TAR FIN'!$A$1:$O$120,15,0))</f>
        <v>22.94</v>
      </c>
      <c r="W214" s="6">
        <f>IF(ISERROR(VLOOKUP($T$214,'TAR FIN'!$A$1:$O$120,15,0)),0,VLOOKUP($T$214,'TAR FIN'!$A$1:$O$120,15,0))</f>
        <v>0</v>
      </c>
      <c r="X214" s="6">
        <f>IF(ISERROR(VLOOKUP($U$214,'TAR FIN'!$A$1:$O$120,15,0)),0,VLOOKUP($U$214,'TAR FIN'!$A$1:$O$120,15,0))</f>
        <v>0</v>
      </c>
      <c r="Y214" s="6">
        <f ca="1">('TUSD BE'!$AM$15+'TUSD BF'!$AM$15+'TUSD CVA'!$AM$15)*1</f>
        <v>27.216283196676113</v>
      </c>
      <c r="Z214" s="6">
        <f ca="1">('TUSD BE'!$AM$17+'TUSD BF'!$AM$17+'TUSD CVA'!$AM$17)*1</f>
        <v>87.519361965254689</v>
      </c>
      <c r="AA214" s="6"/>
      <c r="AB214" s="6">
        <f>$K$214*$V$214</f>
        <v>75702</v>
      </c>
      <c r="AC214" s="6">
        <f>$M$214*$W$214</f>
        <v>0</v>
      </c>
      <c r="AD214" s="6">
        <f>$O$214*$X$214</f>
        <v>0</v>
      </c>
      <c r="AE214" s="6">
        <f ca="1">$K$214*$Y$214</f>
        <v>89813.734549031171</v>
      </c>
      <c r="AF214" s="6">
        <f ca="1">$M$214*$Z$214</f>
        <v>0</v>
      </c>
      <c r="AG214" s="6">
        <f>$O$214*$AA$214</f>
        <v>0</v>
      </c>
    </row>
    <row r="215" spans="1:33" ht="11.25" customHeight="1" x14ac:dyDescent="0.25">
      <c r="A215" s="4" t="s">
        <v>21</v>
      </c>
      <c r="B215" s="4" t="s">
        <v>45</v>
      </c>
      <c r="C215" s="4" t="s">
        <v>41</v>
      </c>
      <c r="D215" s="4" t="s">
        <v>40</v>
      </c>
      <c r="E215" s="4" t="s">
        <v>25</v>
      </c>
      <c r="F215" s="4" t="s">
        <v>63</v>
      </c>
      <c r="G215" s="4" t="s">
        <v>25</v>
      </c>
      <c r="H215" s="4" t="s">
        <v>35</v>
      </c>
      <c r="I215" s="5">
        <v>44013</v>
      </c>
      <c r="J215" s="6">
        <v>3300</v>
      </c>
      <c r="K215" s="6">
        <v>3300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4" t="s">
        <v>60</v>
      </c>
      <c r="R215" s="4">
        <v>0</v>
      </c>
      <c r="S215" s="6">
        <v>11</v>
      </c>
      <c r="T215" s="6">
        <v>0</v>
      </c>
      <c r="U215" s="6">
        <v>0</v>
      </c>
      <c r="V215" s="6">
        <f>IF(ISERROR(VLOOKUP($S$215,'TAR FIN'!$A$1:$O$120,15,0)),0,VLOOKUP($S$215,'TAR FIN'!$A$1:$O$120,15,0))</f>
        <v>22.94</v>
      </c>
      <c r="W215" s="6">
        <f>IF(ISERROR(VLOOKUP($T$215,'TAR FIN'!$A$1:$O$120,15,0)),0,VLOOKUP($T$215,'TAR FIN'!$A$1:$O$120,15,0))</f>
        <v>0</v>
      </c>
      <c r="X215" s="6">
        <f>IF(ISERROR(VLOOKUP($U$215,'TAR FIN'!$A$1:$O$120,15,0)),0,VLOOKUP($U$215,'TAR FIN'!$A$1:$O$120,15,0))</f>
        <v>0</v>
      </c>
      <c r="Y215" s="6">
        <f ca="1">('TUSD BE'!$AM$15+'TUSD BF'!$AM$15+'TUSD CVA'!$AM$15)*1</f>
        <v>27.216283196676113</v>
      </c>
      <c r="Z215" s="6">
        <f ca="1">('TUSD BE'!$AM$17+'TUSD BF'!$AM$17+'TUSD CVA'!$AM$17)*1</f>
        <v>87.519361965254689</v>
      </c>
      <c r="AA215" s="6"/>
      <c r="AB215" s="6">
        <f>$K$215*$V$215</f>
        <v>75702</v>
      </c>
      <c r="AC215" s="6">
        <f>$M$215*$W$215</f>
        <v>0</v>
      </c>
      <c r="AD215" s="6">
        <f>$O$215*$X$215</f>
        <v>0</v>
      </c>
      <c r="AE215" s="6">
        <f ca="1">$K$215*$Y$215</f>
        <v>89813.734549031171</v>
      </c>
      <c r="AF215" s="6">
        <f ca="1">$M$215*$Z$215</f>
        <v>0</v>
      </c>
      <c r="AG215" s="6">
        <f>$O$215*$AA$215</f>
        <v>0</v>
      </c>
    </row>
    <row r="216" spans="1:33" ht="11.25" customHeight="1" x14ac:dyDescent="0.25">
      <c r="A216" s="4" t="s">
        <v>21</v>
      </c>
      <c r="B216" s="4" t="s">
        <v>45</v>
      </c>
      <c r="C216" s="4" t="s">
        <v>41</v>
      </c>
      <c r="D216" s="4" t="s">
        <v>40</v>
      </c>
      <c r="E216" s="4" t="s">
        <v>25</v>
      </c>
      <c r="F216" s="4" t="s">
        <v>63</v>
      </c>
      <c r="G216" s="4" t="s">
        <v>25</v>
      </c>
      <c r="H216" s="4" t="s">
        <v>35</v>
      </c>
      <c r="I216" s="5">
        <v>44044</v>
      </c>
      <c r="J216" s="6">
        <v>3300</v>
      </c>
      <c r="K216" s="6">
        <v>3300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4" t="s">
        <v>60</v>
      </c>
      <c r="R216" s="4">
        <v>0</v>
      </c>
      <c r="S216" s="6">
        <v>11</v>
      </c>
      <c r="T216" s="6">
        <v>0</v>
      </c>
      <c r="U216" s="6">
        <v>0</v>
      </c>
      <c r="V216" s="6">
        <f>IF(ISERROR(VLOOKUP($S$216,'TAR FIN'!$A$1:$O$120,15,0)),0,VLOOKUP($S$216,'TAR FIN'!$A$1:$O$120,15,0))</f>
        <v>22.94</v>
      </c>
      <c r="W216" s="6">
        <f>IF(ISERROR(VLOOKUP($T$216,'TAR FIN'!$A$1:$O$120,15,0)),0,VLOOKUP($T$216,'TAR FIN'!$A$1:$O$120,15,0))</f>
        <v>0</v>
      </c>
      <c r="X216" s="6">
        <f>IF(ISERROR(VLOOKUP($U$216,'TAR FIN'!$A$1:$O$120,15,0)),0,VLOOKUP($U$216,'TAR FIN'!$A$1:$O$120,15,0))</f>
        <v>0</v>
      </c>
      <c r="Y216" s="6">
        <f ca="1">('TUSD BE'!$AM$15+'TUSD BF'!$AM$15+'TUSD CVA'!$AM$15)*1</f>
        <v>27.216283196676113</v>
      </c>
      <c r="Z216" s="6">
        <f ca="1">('TUSD BE'!$AM$17+'TUSD BF'!$AM$17+'TUSD CVA'!$AM$17)*1</f>
        <v>87.519361965254689</v>
      </c>
      <c r="AA216" s="6"/>
      <c r="AB216" s="6">
        <f>$K$216*$V$216</f>
        <v>75702</v>
      </c>
      <c r="AC216" s="6">
        <f>$M$216*$W$216</f>
        <v>0</v>
      </c>
      <c r="AD216" s="6">
        <f>$O$216*$X$216</f>
        <v>0</v>
      </c>
      <c r="AE216" s="6">
        <f ca="1">$K$216*$Y$216</f>
        <v>89813.734549031171</v>
      </c>
      <c r="AF216" s="6">
        <f ca="1">$M$216*$Z$216</f>
        <v>0</v>
      </c>
      <c r="AG216" s="6">
        <f>$O$216*$AA$216</f>
        <v>0</v>
      </c>
    </row>
    <row r="217" spans="1:33" ht="11.25" customHeight="1" x14ac:dyDescent="0.25">
      <c r="A217" s="4" t="s">
        <v>59</v>
      </c>
      <c r="B217" s="4" t="s">
        <v>45</v>
      </c>
      <c r="C217" s="4" t="s">
        <v>41</v>
      </c>
      <c r="D217" s="4" t="s">
        <v>40</v>
      </c>
      <c r="E217" s="4" t="s">
        <v>25</v>
      </c>
      <c r="F217" s="4" t="s">
        <v>63</v>
      </c>
      <c r="G217" s="4" t="s">
        <v>25</v>
      </c>
      <c r="H217" s="4" t="s">
        <v>35</v>
      </c>
      <c r="I217" s="5">
        <v>44075</v>
      </c>
      <c r="J217" s="6">
        <v>3300</v>
      </c>
      <c r="K217" s="6">
        <v>3300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4" t="s">
        <v>60</v>
      </c>
      <c r="R217" s="4">
        <v>0</v>
      </c>
      <c r="S217" s="6">
        <v>11</v>
      </c>
      <c r="T217" s="6">
        <v>0</v>
      </c>
      <c r="U217" s="6">
        <v>0</v>
      </c>
      <c r="V217" s="6">
        <f>IF(ISERROR(VLOOKUP($S$217,'TAR FIN'!$A$1:$O$120,15,0)),0,VLOOKUP($S$217,'TAR FIN'!$A$1:$O$120,15,0))</f>
        <v>22.94</v>
      </c>
      <c r="W217" s="6">
        <f>IF(ISERROR(VLOOKUP($T$217,'TAR FIN'!$A$1:$O$120,15,0)),0,VLOOKUP($T$217,'TAR FIN'!$A$1:$O$120,15,0))</f>
        <v>0</v>
      </c>
      <c r="X217" s="6">
        <f>IF(ISERROR(VLOOKUP($U$217,'TAR FIN'!$A$1:$O$120,15,0)),0,VLOOKUP($U$217,'TAR FIN'!$A$1:$O$120,15,0))</f>
        <v>0</v>
      </c>
      <c r="Y217" s="6">
        <f ca="1">('TUSD BE'!$AM$15+'TUSD BF'!$AM$15+'TUSD CVA'!$AM$15)*1</f>
        <v>27.216283196676113</v>
      </c>
      <c r="Z217" s="6">
        <f ca="1">('TUSD BE'!$AM$17+'TUSD BF'!$AM$17+'TUSD CVA'!$AM$17)*1</f>
        <v>87.519361965254689</v>
      </c>
      <c r="AA217" s="6"/>
      <c r="AB217" s="6">
        <f>$K$217*$V$217</f>
        <v>75702</v>
      </c>
      <c r="AC217" s="6">
        <f>$M$217*$W$217</f>
        <v>0</v>
      </c>
      <c r="AD217" s="6">
        <f>$O$217*$X$217</f>
        <v>0</v>
      </c>
      <c r="AE217" s="6">
        <f ca="1">$K$217*$Y$217</f>
        <v>89813.734549031171</v>
      </c>
      <c r="AF217" s="6">
        <f ca="1">$M$217*$Z$217</f>
        <v>0</v>
      </c>
      <c r="AG217" s="6">
        <f>$O$217*$AA$217</f>
        <v>0</v>
      </c>
    </row>
    <row r="218" spans="1:33" ht="11.25" customHeight="1" x14ac:dyDescent="0.25">
      <c r="A218" s="4" t="s">
        <v>21</v>
      </c>
      <c r="B218" s="4" t="s">
        <v>45</v>
      </c>
      <c r="C218" s="4" t="s">
        <v>41</v>
      </c>
      <c r="D218" s="4" t="s">
        <v>52</v>
      </c>
      <c r="E218" s="4" t="s">
        <v>53</v>
      </c>
      <c r="F218" s="4" t="s">
        <v>25</v>
      </c>
      <c r="G218" s="4" t="s">
        <v>25</v>
      </c>
      <c r="H218" s="4" t="s">
        <v>36</v>
      </c>
      <c r="I218" s="5">
        <v>43739</v>
      </c>
      <c r="J218" s="6">
        <v>4867</v>
      </c>
      <c r="K218" s="70">
        <v>4867</v>
      </c>
      <c r="L218" s="6">
        <v>2039.0350000000001</v>
      </c>
      <c r="M218" s="71">
        <v>2039.0350000000001</v>
      </c>
      <c r="N218" s="6">
        <v>2039.0350000000001</v>
      </c>
      <c r="O218" s="71">
        <v>2039.0350000000001</v>
      </c>
      <c r="P218" s="6">
        <v>0</v>
      </c>
      <c r="Q218" s="4" t="s">
        <v>26</v>
      </c>
      <c r="R218" s="4">
        <v>0</v>
      </c>
      <c r="S218" s="6">
        <v>12</v>
      </c>
      <c r="T218" s="6">
        <v>13</v>
      </c>
      <c r="U218" s="6">
        <v>80</v>
      </c>
      <c r="V218" s="71">
        <f>IF(ISERROR(VLOOKUP($S$218,'TAR FIN'!$A$1:$O$120,15,0)),0,VLOOKUP($S$218,'TAR FIN'!$A$1:$O$120,15,0))*(1-0.12)</f>
        <v>7.7528000000000006</v>
      </c>
      <c r="W218" s="71">
        <f>IF(ISERROR(VLOOKUP($T$218,'TAR FIN'!$A$1:$O$120,15,0)),0,VLOOKUP($T$218,'TAR FIN'!$A$1:$O$120,15,0))*(1-0.12)</f>
        <v>74.316000000000003</v>
      </c>
      <c r="X218" s="71">
        <f>IF(ISERROR(VLOOKUP($U$218,'TAR FIN'!$A$1:$O$120,15,0)),0,VLOOKUP($U$218,'TAR FIN'!$A$1:$O$120,15,0))*(1-0.12)</f>
        <v>225.61439999999999</v>
      </c>
      <c r="Y218" s="71">
        <f ca="1">('TUSD BE'!$AM$16+'TUSD BF'!$AM$16+'TUSD CVA'!$AM$16)*1*(1-0.09)</f>
        <v>10.421644550274408</v>
      </c>
      <c r="Z218" s="71">
        <f ca="1">('TUSD BE'!$AM$17+'TUSD BF'!$AM$17+'TUSD CVA'!$AM$17)*1*(1-0.09)</f>
        <v>79.642619388381775</v>
      </c>
      <c r="AA218" s="71">
        <f>('TE BE'!$AA$8+'TE BF'!$AA$8+'TE CVA'!$AA$8)*1*(1-0.09)</f>
        <v>210.05913056249776</v>
      </c>
      <c r="AB218" s="6">
        <f>$K$218*$V$218</f>
        <v>37732.8776</v>
      </c>
      <c r="AC218" s="6">
        <f>$M$218*$W$218</f>
        <v>151532.92506000001</v>
      </c>
      <c r="AD218" s="6">
        <f>$O$218*$X$218</f>
        <v>460035.65810399997</v>
      </c>
      <c r="AE218" s="6">
        <f ca="1">$K$218*$Y$218</f>
        <v>50722.144026185546</v>
      </c>
      <c r="AF218" s="6">
        <f ca="1">$M$218*$Z$218</f>
        <v>162394.08842458905</v>
      </c>
      <c r="AG218" s="6">
        <f>$O$218*$AA$218</f>
        <v>428317.91928650264</v>
      </c>
    </row>
    <row r="219" spans="1:33" ht="11.25" customHeight="1" x14ac:dyDescent="0.25">
      <c r="A219" s="4" t="s">
        <v>21</v>
      </c>
      <c r="B219" s="4" t="s">
        <v>45</v>
      </c>
      <c r="C219" s="4" t="s">
        <v>41</v>
      </c>
      <c r="D219" s="4" t="s">
        <v>52</v>
      </c>
      <c r="E219" s="4" t="s">
        <v>53</v>
      </c>
      <c r="F219" s="4" t="s">
        <v>25</v>
      </c>
      <c r="G219" s="4" t="s">
        <v>25</v>
      </c>
      <c r="H219" s="4" t="s">
        <v>36</v>
      </c>
      <c r="I219" s="5">
        <v>43770</v>
      </c>
      <c r="J219" s="6">
        <v>4896</v>
      </c>
      <c r="K219" s="70">
        <v>4896</v>
      </c>
      <c r="L219" s="6">
        <v>2322.2570000000001</v>
      </c>
      <c r="M219" s="71">
        <v>2322.2570000000001</v>
      </c>
      <c r="N219" s="6">
        <v>2322.2570000000001</v>
      </c>
      <c r="O219" s="71">
        <v>2322.2570000000001</v>
      </c>
      <c r="P219" s="6">
        <v>0</v>
      </c>
      <c r="Q219" s="4" t="s">
        <v>26</v>
      </c>
      <c r="R219" s="4">
        <v>0</v>
      </c>
      <c r="S219" s="6">
        <v>12</v>
      </c>
      <c r="T219" s="6">
        <v>13</v>
      </c>
      <c r="U219" s="6">
        <v>80</v>
      </c>
      <c r="V219" s="71">
        <f>IF(ISERROR(VLOOKUP($S$219,'TAR FIN'!$A$1:$O$120,15,0)),0,VLOOKUP($S$219,'TAR FIN'!$A$1:$O$120,15,0))*(1-0.12)</f>
        <v>7.7528000000000006</v>
      </c>
      <c r="W219" s="71">
        <f>IF(ISERROR(VLOOKUP($T$219,'TAR FIN'!$A$1:$O$120,15,0)),0,VLOOKUP($T$219,'TAR FIN'!$A$1:$O$120,15,0))*(1-0.12)</f>
        <v>74.316000000000003</v>
      </c>
      <c r="X219" s="71">
        <f>IF(ISERROR(VLOOKUP($U$219,'TAR FIN'!$A$1:$O$120,15,0)),0,VLOOKUP($U$219,'TAR FIN'!$A$1:$O$120,15,0))*(1-0.12)</f>
        <v>225.61439999999999</v>
      </c>
      <c r="Y219" s="71">
        <f ca="1">('TUSD BE'!$AM$16+'TUSD BF'!$AM$16+'TUSD CVA'!$AM$16)*1*(1-0.09)</f>
        <v>10.421644550274408</v>
      </c>
      <c r="Z219" s="71">
        <f ca="1">('TUSD BE'!$AM$17+'TUSD BF'!$AM$17+'TUSD CVA'!$AM$17)*1*(1-0.09)</f>
        <v>79.642619388381775</v>
      </c>
      <c r="AA219" s="71">
        <f>('TE BE'!$AA$8+'TE BF'!$AA$8+'TE CVA'!$AA$8)*1*(1-0.09)</f>
        <v>210.05913056249776</v>
      </c>
      <c r="AB219" s="6">
        <f>$K$219*$V$219</f>
        <v>37957.7088</v>
      </c>
      <c r="AC219" s="6">
        <f>$M$219*$W$219</f>
        <v>172580.85121200001</v>
      </c>
      <c r="AD219" s="6">
        <f>$O$219*$X$219</f>
        <v>523934.61970079999</v>
      </c>
      <c r="AE219" s="6">
        <f ca="1">$K$219*$Y$219</f>
        <v>51024.371718143499</v>
      </c>
      <c r="AF219" s="6">
        <f ca="1">$M$219*$Z$219</f>
        <v>184950.63037300529</v>
      </c>
      <c r="AG219" s="6">
        <f>$O$219*$AA$219</f>
        <v>487811.28636267438</v>
      </c>
    </row>
    <row r="220" spans="1:33" ht="11.25" customHeight="1" x14ac:dyDescent="0.25">
      <c r="A220" s="4" t="s">
        <v>21</v>
      </c>
      <c r="B220" s="4" t="s">
        <v>45</v>
      </c>
      <c r="C220" s="4" t="s">
        <v>41</v>
      </c>
      <c r="D220" s="4" t="s">
        <v>52</v>
      </c>
      <c r="E220" s="4" t="s">
        <v>53</v>
      </c>
      <c r="F220" s="4" t="s">
        <v>25</v>
      </c>
      <c r="G220" s="4" t="s">
        <v>25</v>
      </c>
      <c r="H220" s="4" t="s">
        <v>36</v>
      </c>
      <c r="I220" s="5">
        <v>43800</v>
      </c>
      <c r="J220" s="6">
        <v>4819</v>
      </c>
      <c r="K220" s="70">
        <v>4819</v>
      </c>
      <c r="L220" s="6">
        <v>2181.991</v>
      </c>
      <c r="M220" s="71">
        <v>2181.991</v>
      </c>
      <c r="N220" s="6">
        <v>2181.991</v>
      </c>
      <c r="O220" s="71">
        <v>2181.991</v>
      </c>
      <c r="P220" s="6">
        <v>0</v>
      </c>
      <c r="Q220" s="4" t="s">
        <v>26</v>
      </c>
      <c r="R220" s="4">
        <v>0</v>
      </c>
      <c r="S220" s="6">
        <v>12</v>
      </c>
      <c r="T220" s="6">
        <v>13</v>
      </c>
      <c r="U220" s="6">
        <v>80</v>
      </c>
      <c r="V220" s="71">
        <f>IF(ISERROR(VLOOKUP($S$220,'TAR FIN'!$A$1:$O$120,15,0)),0,VLOOKUP($S$220,'TAR FIN'!$A$1:$O$120,15,0))*(1-0.12)</f>
        <v>7.7528000000000006</v>
      </c>
      <c r="W220" s="71">
        <f>IF(ISERROR(VLOOKUP($T$220,'TAR FIN'!$A$1:$O$120,15,0)),0,VLOOKUP($T$220,'TAR FIN'!$A$1:$O$120,15,0))*(1-0.12)</f>
        <v>74.316000000000003</v>
      </c>
      <c r="X220" s="71">
        <f>IF(ISERROR(VLOOKUP($U$220,'TAR FIN'!$A$1:$O$120,15,0)),0,VLOOKUP($U$220,'TAR FIN'!$A$1:$O$120,15,0))*(1-0.12)</f>
        <v>225.61439999999999</v>
      </c>
      <c r="Y220" s="71">
        <f ca="1">('TUSD BE'!$AM$16+'TUSD BF'!$AM$16+'TUSD CVA'!$AM$16)*1*(1-0.09)</f>
        <v>10.421644550274408</v>
      </c>
      <c r="Z220" s="71">
        <f ca="1">('TUSD BE'!$AM$17+'TUSD BF'!$AM$17+'TUSD CVA'!$AM$17)*1*(1-0.09)</f>
        <v>79.642619388381775</v>
      </c>
      <c r="AA220" s="71">
        <f>('TE BE'!$AA$8+'TE BF'!$AA$8+'TE CVA'!$AA$8)*1*(1-0.09)</f>
        <v>210.05913056249776</v>
      </c>
      <c r="AB220" s="6">
        <f>$K$220*$V$220</f>
        <v>37360.743200000004</v>
      </c>
      <c r="AC220" s="6">
        <f>$M$220*$W$220</f>
        <v>162156.84315600002</v>
      </c>
      <c r="AD220" s="6">
        <f>$O$220*$X$220</f>
        <v>492288.59027039999</v>
      </c>
      <c r="AE220" s="6">
        <f ca="1">$K$220*$Y$220</f>
        <v>50221.905087772371</v>
      </c>
      <c r="AF220" s="6">
        <f ca="1">$M$220*$Z$220</f>
        <v>173779.47872187453</v>
      </c>
      <c r="AG220" s="6">
        <f>$O$220*$AA$220</f>
        <v>458347.13235519506</v>
      </c>
    </row>
    <row r="221" spans="1:33" ht="11.25" customHeight="1" x14ac:dyDescent="0.25">
      <c r="A221" s="4" t="s">
        <v>21</v>
      </c>
      <c r="B221" s="4" t="s">
        <v>45</v>
      </c>
      <c r="C221" s="4" t="s">
        <v>41</v>
      </c>
      <c r="D221" s="4" t="s">
        <v>52</v>
      </c>
      <c r="E221" s="4" t="s">
        <v>53</v>
      </c>
      <c r="F221" s="4" t="s">
        <v>25</v>
      </c>
      <c r="G221" s="4" t="s">
        <v>25</v>
      </c>
      <c r="H221" s="4" t="s">
        <v>36</v>
      </c>
      <c r="I221" s="5">
        <v>43831</v>
      </c>
      <c r="J221" s="6">
        <v>4867</v>
      </c>
      <c r="K221" s="70">
        <v>4867</v>
      </c>
      <c r="L221" s="6">
        <v>1996.2909999999999</v>
      </c>
      <c r="M221" s="71">
        <v>1996.2909999999999</v>
      </c>
      <c r="N221" s="6">
        <v>1996.2909999999999</v>
      </c>
      <c r="O221" s="71">
        <v>1996.2909999999999</v>
      </c>
      <c r="P221" s="6">
        <v>0</v>
      </c>
      <c r="Q221" s="4" t="s">
        <v>26</v>
      </c>
      <c r="R221" s="4">
        <v>0</v>
      </c>
      <c r="S221" s="6">
        <v>12</v>
      </c>
      <c r="T221" s="6">
        <v>13</v>
      </c>
      <c r="U221" s="6">
        <v>80</v>
      </c>
      <c r="V221" s="71">
        <f>IF(ISERROR(VLOOKUP($S$221,'TAR FIN'!$A$1:$O$120,15,0)),0,VLOOKUP($S$221,'TAR FIN'!$A$1:$O$120,15,0))*(1-0.12)</f>
        <v>7.7528000000000006</v>
      </c>
      <c r="W221" s="71">
        <f>IF(ISERROR(VLOOKUP($T$221,'TAR FIN'!$A$1:$O$120,15,0)),0,VLOOKUP($T$221,'TAR FIN'!$A$1:$O$120,15,0))*(1-0.12)</f>
        <v>74.316000000000003</v>
      </c>
      <c r="X221" s="71">
        <f>IF(ISERROR(VLOOKUP($U$221,'TAR FIN'!$A$1:$O$120,15,0)),0,VLOOKUP($U$221,'TAR FIN'!$A$1:$O$120,15,0))*(1-0.12)</f>
        <v>225.61439999999999</v>
      </c>
      <c r="Y221" s="71">
        <f ca="1">('TUSD BE'!$AM$16+'TUSD BF'!$AM$16+'TUSD CVA'!$AM$16)*1*(1-0.09)</f>
        <v>10.421644550274408</v>
      </c>
      <c r="Z221" s="71">
        <f ca="1">('TUSD BE'!$AM$17+'TUSD BF'!$AM$17+'TUSD CVA'!$AM$17)*1*(1-0.09)</f>
        <v>79.642619388381775</v>
      </c>
      <c r="AA221" s="71">
        <f>('TE BE'!$AA$8+'TE BF'!$AA$8+'TE CVA'!$AA$8)*1*(1-0.09)</f>
        <v>210.05913056249776</v>
      </c>
      <c r="AB221" s="6">
        <f>$K$221*$V$221</f>
        <v>37732.8776</v>
      </c>
      <c r="AC221" s="6">
        <f>$M$221*$W$221</f>
        <v>148356.36195600001</v>
      </c>
      <c r="AD221" s="6">
        <f>$O$221*$X$221</f>
        <v>450391.99619039998</v>
      </c>
      <c r="AE221" s="6">
        <f ca="1">$K$221*$Y$221</f>
        <v>50722.144026185546</v>
      </c>
      <c r="AF221" s="6">
        <f ca="1">$M$221*$Z$221</f>
        <v>158989.84430145205</v>
      </c>
      <c r="AG221" s="6">
        <f>$O$221*$AA$221</f>
        <v>419339.15180973918</v>
      </c>
    </row>
    <row r="222" spans="1:33" ht="11.25" customHeight="1" x14ac:dyDescent="0.25">
      <c r="A222" s="4" t="s">
        <v>21</v>
      </c>
      <c r="B222" s="4" t="s">
        <v>45</v>
      </c>
      <c r="C222" s="4" t="s">
        <v>41</v>
      </c>
      <c r="D222" s="4" t="s">
        <v>52</v>
      </c>
      <c r="E222" s="4" t="s">
        <v>53</v>
      </c>
      <c r="F222" s="4" t="s">
        <v>25</v>
      </c>
      <c r="G222" s="4" t="s">
        <v>25</v>
      </c>
      <c r="H222" s="4" t="s">
        <v>36</v>
      </c>
      <c r="I222" s="5">
        <v>43862</v>
      </c>
      <c r="J222" s="6">
        <v>4877</v>
      </c>
      <c r="K222" s="70">
        <v>4877</v>
      </c>
      <c r="L222" s="6">
        <v>2130.134</v>
      </c>
      <c r="M222" s="71">
        <v>2130.134</v>
      </c>
      <c r="N222" s="6">
        <v>2130.134</v>
      </c>
      <c r="O222" s="71">
        <v>2130.134</v>
      </c>
      <c r="P222" s="6">
        <v>0</v>
      </c>
      <c r="Q222" s="4" t="s">
        <v>26</v>
      </c>
      <c r="R222" s="4">
        <v>0</v>
      </c>
      <c r="S222" s="6">
        <v>12</v>
      </c>
      <c r="T222" s="6">
        <v>13</v>
      </c>
      <c r="U222" s="6">
        <v>80</v>
      </c>
      <c r="V222" s="71">
        <f>IF(ISERROR(VLOOKUP($S$222,'TAR FIN'!$A$1:$O$120,15,0)),0,VLOOKUP($S$222,'TAR FIN'!$A$1:$O$120,15,0))*(1-0.12)</f>
        <v>7.7528000000000006</v>
      </c>
      <c r="W222" s="71">
        <f>IF(ISERROR(VLOOKUP($T$222,'TAR FIN'!$A$1:$O$120,15,0)),0,VLOOKUP($T$222,'TAR FIN'!$A$1:$O$120,15,0))*(1-0.12)</f>
        <v>74.316000000000003</v>
      </c>
      <c r="X222" s="71">
        <f>IF(ISERROR(VLOOKUP($U$222,'TAR FIN'!$A$1:$O$120,15,0)),0,VLOOKUP($U$222,'TAR FIN'!$A$1:$O$120,15,0))*(1-0.12)</f>
        <v>225.61439999999999</v>
      </c>
      <c r="Y222" s="71">
        <f ca="1">('TUSD BE'!$AM$16+'TUSD BF'!$AM$16+'TUSD CVA'!$AM$16)*1*(1-0.09)</f>
        <v>10.421644550274408</v>
      </c>
      <c r="Z222" s="71">
        <f ca="1">('TUSD BE'!$AM$17+'TUSD BF'!$AM$17+'TUSD CVA'!$AM$17)*1*(1-0.09)</f>
        <v>79.642619388381775</v>
      </c>
      <c r="AA222" s="71">
        <f>('TE BE'!$AA$8+'TE BF'!$AA$8+'TE CVA'!$AA$8)*1*(1-0.09)</f>
        <v>210.05913056249776</v>
      </c>
      <c r="AB222" s="6">
        <f>$K$222*$V$222</f>
        <v>37810.405600000006</v>
      </c>
      <c r="AC222" s="6">
        <f>$M$222*$W$222</f>
        <v>158303.038344</v>
      </c>
      <c r="AD222" s="6">
        <f>$O$222*$X$222</f>
        <v>480588.90432959999</v>
      </c>
      <c r="AE222" s="6">
        <f ca="1">$K$222*$Y$222</f>
        <v>50826.360471688291</v>
      </c>
      <c r="AF222" s="6">
        <f ca="1">$M$222*$Z$222</f>
        <v>169649.45140825122</v>
      </c>
      <c r="AG222" s="6">
        <f>$O$222*$AA$222</f>
        <v>447454.09602161561</v>
      </c>
    </row>
    <row r="223" spans="1:33" ht="11.25" customHeight="1" x14ac:dyDescent="0.25">
      <c r="A223" s="4" t="s">
        <v>21</v>
      </c>
      <c r="B223" s="4" t="s">
        <v>45</v>
      </c>
      <c r="C223" s="4" t="s">
        <v>41</v>
      </c>
      <c r="D223" s="4" t="s">
        <v>52</v>
      </c>
      <c r="E223" s="4" t="s">
        <v>53</v>
      </c>
      <c r="F223" s="4" t="s">
        <v>25</v>
      </c>
      <c r="G223" s="4" t="s">
        <v>25</v>
      </c>
      <c r="H223" s="4" t="s">
        <v>36</v>
      </c>
      <c r="I223" s="5">
        <v>43891</v>
      </c>
      <c r="J223" s="6">
        <v>4906</v>
      </c>
      <c r="K223" s="70">
        <v>4906</v>
      </c>
      <c r="L223" s="6">
        <v>2010.1510000000001</v>
      </c>
      <c r="M223" s="71">
        <v>2010.1510000000001</v>
      </c>
      <c r="N223" s="6">
        <v>2010.1510000000001</v>
      </c>
      <c r="O223" s="71">
        <v>2010.1510000000001</v>
      </c>
      <c r="P223" s="6">
        <v>0</v>
      </c>
      <c r="Q223" s="4" t="s">
        <v>26</v>
      </c>
      <c r="R223" s="4">
        <v>0</v>
      </c>
      <c r="S223" s="6">
        <v>12</v>
      </c>
      <c r="T223" s="6">
        <v>13</v>
      </c>
      <c r="U223" s="6">
        <v>80</v>
      </c>
      <c r="V223" s="71">
        <f>IF(ISERROR(VLOOKUP($S$223,'TAR FIN'!$A$1:$O$120,15,0)),0,VLOOKUP($S$223,'TAR FIN'!$A$1:$O$120,15,0))*(1-0.12)</f>
        <v>7.7528000000000006</v>
      </c>
      <c r="W223" s="71">
        <f>IF(ISERROR(VLOOKUP($T$223,'TAR FIN'!$A$1:$O$120,15,0)),0,VLOOKUP($T$223,'TAR FIN'!$A$1:$O$120,15,0))*(1-0.12)</f>
        <v>74.316000000000003</v>
      </c>
      <c r="X223" s="71">
        <f>IF(ISERROR(VLOOKUP($U$223,'TAR FIN'!$A$1:$O$120,15,0)),0,VLOOKUP($U$223,'TAR FIN'!$A$1:$O$120,15,0))*(1-0.12)</f>
        <v>225.61439999999999</v>
      </c>
      <c r="Y223" s="71">
        <f ca="1">('TUSD BE'!$AM$16+'TUSD BF'!$AM$16+'TUSD CVA'!$AM$16)*1*(1-0.09)</f>
        <v>10.421644550274408</v>
      </c>
      <c r="Z223" s="71">
        <f ca="1">('TUSD BE'!$AM$17+'TUSD BF'!$AM$17+'TUSD CVA'!$AM$17)*1*(1-0.09)</f>
        <v>79.642619388381775</v>
      </c>
      <c r="AA223" s="71">
        <f>('TE BE'!$AA$8+'TE BF'!$AA$8+'TE CVA'!$AA$8)*1*(1-0.09)</f>
        <v>210.05913056249776</v>
      </c>
      <c r="AB223" s="6">
        <f>$K$223*$V$223</f>
        <v>38035.236800000006</v>
      </c>
      <c r="AC223" s="6">
        <f>$M$223*$W$223</f>
        <v>149386.381716</v>
      </c>
      <c r="AD223" s="6">
        <f>$O$223*$X$223</f>
        <v>453519.01177440002</v>
      </c>
      <c r="AE223" s="6">
        <f ca="1">$K$223*$Y$223</f>
        <v>51128.588163646244</v>
      </c>
      <c r="AF223" s="6">
        <f ca="1">$M$223*$Z$223</f>
        <v>160093.69100617501</v>
      </c>
      <c r="AG223" s="6">
        <f>$O$223*$AA$223</f>
        <v>422250.57135933544</v>
      </c>
    </row>
    <row r="224" spans="1:33" ht="11.25" customHeight="1" x14ac:dyDescent="0.25">
      <c r="A224" s="4" t="s">
        <v>21</v>
      </c>
      <c r="B224" s="4" t="s">
        <v>45</v>
      </c>
      <c r="C224" s="4" t="s">
        <v>41</v>
      </c>
      <c r="D224" s="4" t="s">
        <v>52</v>
      </c>
      <c r="E224" s="4" t="s">
        <v>53</v>
      </c>
      <c r="F224" s="4" t="s">
        <v>25</v>
      </c>
      <c r="G224" s="4" t="s">
        <v>25</v>
      </c>
      <c r="H224" s="4" t="s">
        <v>36</v>
      </c>
      <c r="I224" s="5">
        <v>43922</v>
      </c>
      <c r="J224" s="6">
        <v>4906</v>
      </c>
      <c r="K224" s="70">
        <v>4906</v>
      </c>
      <c r="L224" s="6">
        <v>2322.9340000000002</v>
      </c>
      <c r="M224" s="71">
        <v>2322.9340000000002</v>
      </c>
      <c r="N224" s="6">
        <v>2322.9340000000002</v>
      </c>
      <c r="O224" s="71">
        <v>2322.9340000000002</v>
      </c>
      <c r="P224" s="6">
        <v>0</v>
      </c>
      <c r="Q224" s="4" t="s">
        <v>26</v>
      </c>
      <c r="R224" s="4">
        <v>0</v>
      </c>
      <c r="S224" s="6">
        <v>12</v>
      </c>
      <c r="T224" s="6">
        <v>13</v>
      </c>
      <c r="U224" s="6">
        <v>80</v>
      </c>
      <c r="V224" s="71">
        <f>IF(ISERROR(VLOOKUP($S$224,'TAR FIN'!$A$1:$O$120,15,0)),0,VLOOKUP($S$224,'TAR FIN'!$A$1:$O$120,15,0))*(1-0.12)</f>
        <v>7.7528000000000006</v>
      </c>
      <c r="W224" s="71">
        <f>IF(ISERROR(VLOOKUP($T$224,'TAR FIN'!$A$1:$O$120,15,0)),0,VLOOKUP($T$224,'TAR FIN'!$A$1:$O$120,15,0))*(1-0.12)</f>
        <v>74.316000000000003</v>
      </c>
      <c r="X224" s="71">
        <f>IF(ISERROR(VLOOKUP($U$224,'TAR FIN'!$A$1:$O$120,15,0)),0,VLOOKUP($U$224,'TAR FIN'!$A$1:$O$120,15,0))*(1-0.12)</f>
        <v>225.61439999999999</v>
      </c>
      <c r="Y224" s="71">
        <f ca="1">('TUSD BE'!$AM$16+'TUSD BF'!$AM$16+'TUSD CVA'!$AM$16)*1*(1-0.09)</f>
        <v>10.421644550274408</v>
      </c>
      <c r="Z224" s="71">
        <f ca="1">('TUSD BE'!$AM$17+'TUSD BF'!$AM$17+'TUSD CVA'!$AM$17)*1*(1-0.09)</f>
        <v>79.642619388381775</v>
      </c>
      <c r="AA224" s="71">
        <f>('TE BE'!$AA$8+'TE BF'!$AA$8+'TE CVA'!$AA$8)*1*(1-0.09)</f>
        <v>210.05913056249776</v>
      </c>
      <c r="AB224" s="6">
        <f>$K$224*$V$224</f>
        <v>38035.236800000006</v>
      </c>
      <c r="AC224" s="6">
        <f>$M$224*$W$224</f>
        <v>172631.16314400002</v>
      </c>
      <c r="AD224" s="6">
        <f>$O$224*$X$224</f>
        <v>524087.36064960004</v>
      </c>
      <c r="AE224" s="6">
        <f ca="1">$K$224*$Y$224</f>
        <v>51128.588163646244</v>
      </c>
      <c r="AF224" s="6">
        <f ca="1">$M$224*$Z$224</f>
        <v>185004.54842633125</v>
      </c>
      <c r="AG224" s="6">
        <f>$O$224*$AA$224</f>
        <v>487953.49639406521</v>
      </c>
    </row>
    <row r="225" spans="1:33" ht="11.25" customHeight="1" x14ac:dyDescent="0.25">
      <c r="A225" s="4" t="s">
        <v>21</v>
      </c>
      <c r="B225" s="4" t="s">
        <v>45</v>
      </c>
      <c r="C225" s="4" t="s">
        <v>41</v>
      </c>
      <c r="D225" s="4" t="s">
        <v>52</v>
      </c>
      <c r="E225" s="4" t="s">
        <v>53</v>
      </c>
      <c r="F225" s="4" t="s">
        <v>25</v>
      </c>
      <c r="G225" s="4" t="s">
        <v>25</v>
      </c>
      <c r="H225" s="4" t="s">
        <v>36</v>
      </c>
      <c r="I225" s="5">
        <v>43952</v>
      </c>
      <c r="J225" s="6">
        <v>4810</v>
      </c>
      <c r="K225" s="70">
        <v>4810</v>
      </c>
      <c r="L225" s="6">
        <v>2311.558</v>
      </c>
      <c r="M225" s="71">
        <v>2311.558</v>
      </c>
      <c r="N225" s="6">
        <v>2311.558</v>
      </c>
      <c r="O225" s="71">
        <v>2311.558</v>
      </c>
      <c r="P225" s="6">
        <v>0</v>
      </c>
      <c r="Q225" s="4" t="s">
        <v>26</v>
      </c>
      <c r="R225" s="4">
        <v>0</v>
      </c>
      <c r="S225" s="6">
        <v>12</v>
      </c>
      <c r="T225" s="6">
        <v>13</v>
      </c>
      <c r="U225" s="6">
        <v>80</v>
      </c>
      <c r="V225" s="71">
        <f>IF(ISERROR(VLOOKUP($S$225,'TAR FIN'!$A$1:$O$120,15,0)),0,VLOOKUP($S$225,'TAR FIN'!$A$1:$O$120,15,0))*(1-0.12)</f>
        <v>7.7528000000000006</v>
      </c>
      <c r="W225" s="71">
        <f>IF(ISERROR(VLOOKUP($T$225,'TAR FIN'!$A$1:$O$120,15,0)),0,VLOOKUP($T$225,'TAR FIN'!$A$1:$O$120,15,0))*(1-0.12)</f>
        <v>74.316000000000003</v>
      </c>
      <c r="X225" s="71">
        <f>IF(ISERROR(VLOOKUP($U$225,'TAR FIN'!$A$1:$O$120,15,0)),0,VLOOKUP($U$225,'TAR FIN'!$A$1:$O$120,15,0))*(1-0.12)</f>
        <v>225.61439999999999</v>
      </c>
      <c r="Y225" s="71">
        <f ca="1">('TUSD BE'!$AM$16+'TUSD BF'!$AM$16+'TUSD CVA'!$AM$16)*1*(1-0.09)</f>
        <v>10.421644550274408</v>
      </c>
      <c r="Z225" s="71">
        <f ca="1">('TUSD BE'!$AM$17+'TUSD BF'!$AM$17+'TUSD CVA'!$AM$17)*1*(1-0.09)</f>
        <v>79.642619388381775</v>
      </c>
      <c r="AA225" s="71">
        <f>('TE BE'!$AA$8+'TE BF'!$AA$8+'TE CVA'!$AA$8)*1*(1-0.09)</f>
        <v>210.05913056249776</v>
      </c>
      <c r="AB225" s="6">
        <f>$K$225*$V$225</f>
        <v>37290.968000000001</v>
      </c>
      <c r="AC225" s="6">
        <f>$M$225*$W$225</f>
        <v>171785.744328</v>
      </c>
      <c r="AD225" s="6">
        <f>$O$225*$X$225</f>
        <v>521520.77123519999</v>
      </c>
      <c r="AE225" s="6">
        <f ca="1">$K$225*$Y$225</f>
        <v>50128.110286819901</v>
      </c>
      <c r="AF225" s="6">
        <f ca="1">$M$225*$Z$225</f>
        <v>184098.53398816899</v>
      </c>
      <c r="AG225" s="6">
        <f>$O$225*$AA$225</f>
        <v>485563.86372478621</v>
      </c>
    </row>
    <row r="226" spans="1:33" ht="11.25" customHeight="1" x14ac:dyDescent="0.25">
      <c r="A226" s="4" t="s">
        <v>21</v>
      </c>
      <c r="B226" s="4" t="s">
        <v>45</v>
      </c>
      <c r="C226" s="4" t="s">
        <v>41</v>
      </c>
      <c r="D226" s="4" t="s">
        <v>52</v>
      </c>
      <c r="E226" s="4" t="s">
        <v>53</v>
      </c>
      <c r="F226" s="4" t="s">
        <v>25</v>
      </c>
      <c r="G226" s="4" t="s">
        <v>25</v>
      </c>
      <c r="H226" s="4" t="s">
        <v>36</v>
      </c>
      <c r="I226" s="5">
        <v>43983</v>
      </c>
      <c r="J226" s="6">
        <v>4848</v>
      </c>
      <c r="K226" s="70">
        <v>4848</v>
      </c>
      <c r="L226" s="6">
        <v>2535.71</v>
      </c>
      <c r="M226" s="71">
        <v>2535.71</v>
      </c>
      <c r="N226" s="6">
        <v>2535.71</v>
      </c>
      <c r="O226" s="71">
        <v>2535.71</v>
      </c>
      <c r="P226" s="6">
        <v>0</v>
      </c>
      <c r="Q226" s="4" t="s">
        <v>26</v>
      </c>
      <c r="R226" s="4">
        <v>0</v>
      </c>
      <c r="S226" s="6">
        <v>12</v>
      </c>
      <c r="T226" s="6">
        <v>13</v>
      </c>
      <c r="U226" s="6">
        <v>80</v>
      </c>
      <c r="V226" s="71">
        <f>IF(ISERROR(VLOOKUP($S$226,'TAR FIN'!$A$1:$O$120,15,0)),0,VLOOKUP($S$226,'TAR FIN'!$A$1:$O$120,15,0))*(1-0.12)</f>
        <v>7.7528000000000006</v>
      </c>
      <c r="W226" s="71">
        <f>IF(ISERROR(VLOOKUP($T$226,'TAR FIN'!$A$1:$O$120,15,0)),0,VLOOKUP($T$226,'TAR FIN'!$A$1:$O$120,15,0))*(1-0.12)</f>
        <v>74.316000000000003</v>
      </c>
      <c r="X226" s="71">
        <f>IF(ISERROR(VLOOKUP($U$226,'TAR FIN'!$A$1:$O$120,15,0)),0,VLOOKUP($U$226,'TAR FIN'!$A$1:$O$120,15,0))*(1-0.12)</f>
        <v>225.61439999999999</v>
      </c>
      <c r="Y226" s="71">
        <f ca="1">('TUSD BE'!$AM$16+'TUSD BF'!$AM$16+'TUSD CVA'!$AM$16)*1*(1-0.09)</f>
        <v>10.421644550274408</v>
      </c>
      <c r="Z226" s="71">
        <f ca="1">('TUSD BE'!$AM$17+'TUSD BF'!$AM$17+'TUSD CVA'!$AM$17)*1*(1-0.09)</f>
        <v>79.642619388381775</v>
      </c>
      <c r="AA226" s="71">
        <f>('TE BE'!$AA$8+'TE BF'!$AA$8+'TE CVA'!$AA$8)*1*(1-0.09)</f>
        <v>210.05913056249776</v>
      </c>
      <c r="AB226" s="6">
        <f>$K$226*$V$226</f>
        <v>37585.574400000005</v>
      </c>
      <c r="AC226" s="6">
        <f>$M$226*$W$226</f>
        <v>188443.82436</v>
      </c>
      <c r="AD226" s="6">
        <f>$O$226*$X$226</f>
        <v>572092.69022400002</v>
      </c>
      <c r="AE226" s="6">
        <f ca="1">$K$226*$Y$226</f>
        <v>50524.132779730331</v>
      </c>
      <c r="AF226" s="6">
        <f ca="1">$M$226*$Z$226</f>
        <v>201950.58640931355</v>
      </c>
      <c r="AG226" s="6">
        <f>$O$226*$AA$226</f>
        <v>532649.03795863118</v>
      </c>
    </row>
    <row r="227" spans="1:33" ht="11.25" customHeight="1" x14ac:dyDescent="0.25">
      <c r="A227" s="4" t="s">
        <v>21</v>
      </c>
      <c r="B227" s="4" t="s">
        <v>45</v>
      </c>
      <c r="C227" s="4" t="s">
        <v>41</v>
      </c>
      <c r="D227" s="4" t="s">
        <v>52</v>
      </c>
      <c r="E227" s="4" t="s">
        <v>53</v>
      </c>
      <c r="F227" s="4" t="s">
        <v>25</v>
      </c>
      <c r="G227" s="4" t="s">
        <v>25</v>
      </c>
      <c r="H227" s="4" t="s">
        <v>36</v>
      </c>
      <c r="I227" s="5">
        <v>44013</v>
      </c>
      <c r="J227" s="6">
        <v>4867</v>
      </c>
      <c r="K227" s="70">
        <v>4867</v>
      </c>
      <c r="L227" s="6">
        <v>2454.13</v>
      </c>
      <c r="M227" s="71">
        <v>2454.13</v>
      </c>
      <c r="N227" s="6">
        <v>2454.13</v>
      </c>
      <c r="O227" s="71">
        <v>2454.13</v>
      </c>
      <c r="P227" s="6">
        <v>0</v>
      </c>
      <c r="Q227" s="4" t="s">
        <v>26</v>
      </c>
      <c r="R227" s="4">
        <v>0</v>
      </c>
      <c r="S227" s="6">
        <v>12</v>
      </c>
      <c r="T227" s="6">
        <v>13</v>
      </c>
      <c r="U227" s="6">
        <v>80</v>
      </c>
      <c r="V227" s="71">
        <f>IF(ISERROR(VLOOKUP($S$227,'TAR FIN'!$A$1:$O$120,15,0)),0,VLOOKUP($S$227,'TAR FIN'!$A$1:$O$120,15,0))*(1-0.12)</f>
        <v>7.7528000000000006</v>
      </c>
      <c r="W227" s="71">
        <f>IF(ISERROR(VLOOKUP($T$227,'TAR FIN'!$A$1:$O$120,15,0)),0,VLOOKUP($T$227,'TAR FIN'!$A$1:$O$120,15,0))*(1-0.12)</f>
        <v>74.316000000000003</v>
      </c>
      <c r="X227" s="71">
        <f>IF(ISERROR(VLOOKUP($U$227,'TAR FIN'!$A$1:$O$120,15,0)),0,VLOOKUP($U$227,'TAR FIN'!$A$1:$O$120,15,0))*(1-0.12)</f>
        <v>225.61439999999999</v>
      </c>
      <c r="Y227" s="71">
        <f ca="1">('TUSD BE'!$AM$16+'TUSD BF'!$AM$16+'TUSD CVA'!$AM$16)*1*(1-0.09)</f>
        <v>10.421644550274408</v>
      </c>
      <c r="Z227" s="71">
        <f ca="1">('TUSD BE'!$AM$17+'TUSD BF'!$AM$17+'TUSD CVA'!$AM$17)*1*(1-0.09)</f>
        <v>79.642619388381775</v>
      </c>
      <c r="AA227" s="71">
        <f>('TE BE'!$AA$8+'TE BF'!$AA$8+'TE CVA'!$AA$8)*1*(1-0.09)</f>
        <v>210.05913056249776</v>
      </c>
      <c r="AB227" s="6">
        <f>$K$227*$V$227</f>
        <v>37732.8776</v>
      </c>
      <c r="AC227" s="6">
        <f>$M$227*$W$227</f>
        <v>182381.12508000003</v>
      </c>
      <c r="AD227" s="6">
        <f>$O$227*$X$227</f>
        <v>553687.06747200002</v>
      </c>
      <c r="AE227" s="6">
        <f ca="1">$K$227*$Y$227</f>
        <v>50722.144026185546</v>
      </c>
      <c r="AF227" s="6">
        <f ca="1">$M$227*$Z$227</f>
        <v>195453.34151960938</v>
      </c>
      <c r="AG227" s="6">
        <f>$O$227*$AA$227</f>
        <v>515512.41408734262</v>
      </c>
    </row>
    <row r="228" spans="1:33" ht="11.25" customHeight="1" x14ac:dyDescent="0.25">
      <c r="A228" s="4" t="s">
        <v>21</v>
      </c>
      <c r="B228" s="4" t="s">
        <v>45</v>
      </c>
      <c r="C228" s="4" t="s">
        <v>41</v>
      </c>
      <c r="D228" s="4" t="s">
        <v>52</v>
      </c>
      <c r="E228" s="4" t="s">
        <v>53</v>
      </c>
      <c r="F228" s="4" t="s">
        <v>25</v>
      </c>
      <c r="G228" s="4" t="s">
        <v>25</v>
      </c>
      <c r="H228" s="4" t="s">
        <v>36</v>
      </c>
      <c r="I228" s="5">
        <v>44044</v>
      </c>
      <c r="J228" s="6">
        <v>4858</v>
      </c>
      <c r="K228" s="70">
        <v>4858</v>
      </c>
      <c r="L228" s="6">
        <v>2414.172</v>
      </c>
      <c r="M228" s="71">
        <v>2414.172</v>
      </c>
      <c r="N228" s="6">
        <v>2414.172</v>
      </c>
      <c r="O228" s="71">
        <v>2414.172</v>
      </c>
      <c r="P228" s="6">
        <v>0</v>
      </c>
      <c r="Q228" s="4" t="s">
        <v>26</v>
      </c>
      <c r="R228" s="4">
        <v>0</v>
      </c>
      <c r="S228" s="6">
        <v>12</v>
      </c>
      <c r="T228" s="6">
        <v>13</v>
      </c>
      <c r="U228" s="6">
        <v>80</v>
      </c>
      <c r="V228" s="71">
        <f>IF(ISERROR(VLOOKUP($S$228,'TAR FIN'!$A$1:$O$120,15,0)),0,VLOOKUP($S$228,'TAR FIN'!$A$1:$O$120,15,0))*(1-0.12)</f>
        <v>7.7528000000000006</v>
      </c>
      <c r="W228" s="71">
        <f>IF(ISERROR(VLOOKUP($T$228,'TAR FIN'!$A$1:$O$120,15,0)),0,VLOOKUP($T$228,'TAR FIN'!$A$1:$O$120,15,0))*(1-0.12)</f>
        <v>74.316000000000003</v>
      </c>
      <c r="X228" s="71">
        <f>IF(ISERROR(VLOOKUP($U$228,'TAR FIN'!$A$1:$O$120,15,0)),0,VLOOKUP($U$228,'TAR FIN'!$A$1:$O$120,15,0))*(1-0.12)</f>
        <v>225.61439999999999</v>
      </c>
      <c r="Y228" s="71">
        <f ca="1">('TUSD BE'!$AM$16+'TUSD BF'!$AM$16+'TUSD CVA'!$AM$16)*1*(1-0.09)</f>
        <v>10.421644550274408</v>
      </c>
      <c r="Z228" s="71">
        <f ca="1">('TUSD BE'!$AM$17+'TUSD BF'!$AM$17+'TUSD CVA'!$AM$17)*1*(1-0.09)</f>
        <v>79.642619388381775</v>
      </c>
      <c r="AA228" s="71">
        <f>('TE BE'!$AA$8+'TE BF'!$AA$8+'TE CVA'!$AA$8)*1*(1-0.09)</f>
        <v>210.05913056249776</v>
      </c>
      <c r="AB228" s="6">
        <f>$K$228*$V$228</f>
        <v>37663.102400000003</v>
      </c>
      <c r="AC228" s="6">
        <f>$M$228*$W$228</f>
        <v>179411.606352</v>
      </c>
      <c r="AD228" s="6">
        <f>$O$228*$X$228</f>
        <v>544671.96727679996</v>
      </c>
      <c r="AE228" s="6">
        <f ca="1">$K$228*$Y$228</f>
        <v>50628.349225233076</v>
      </c>
      <c r="AF228" s="6">
        <f ca="1">$M$228*$Z$228</f>
        <v>192270.98173408842</v>
      </c>
      <c r="AG228" s="6">
        <f>$O$228*$AA$228</f>
        <v>507118.87134832633</v>
      </c>
    </row>
    <row r="229" spans="1:33" ht="11.25" customHeight="1" x14ac:dyDescent="0.25">
      <c r="A229" s="4" t="s">
        <v>59</v>
      </c>
      <c r="B229" s="4" t="s">
        <v>45</v>
      </c>
      <c r="C229" s="4" t="s">
        <v>41</v>
      </c>
      <c r="D229" s="4" t="s">
        <v>52</v>
      </c>
      <c r="E229" s="4" t="s">
        <v>53</v>
      </c>
      <c r="F229" s="4" t="s">
        <v>25</v>
      </c>
      <c r="G229" s="4" t="s">
        <v>25</v>
      </c>
      <c r="H229" s="4" t="s">
        <v>36</v>
      </c>
      <c r="I229" s="5">
        <v>44075</v>
      </c>
      <c r="J229" s="6">
        <v>4858</v>
      </c>
      <c r="K229" s="70">
        <v>4858</v>
      </c>
      <c r="L229" s="6">
        <v>2414.172</v>
      </c>
      <c r="M229" s="71">
        <v>2414.172</v>
      </c>
      <c r="N229" s="6">
        <v>2414.172</v>
      </c>
      <c r="O229" s="71">
        <v>2414.172</v>
      </c>
      <c r="P229" s="6">
        <v>0</v>
      </c>
      <c r="Q229" s="4" t="s">
        <v>26</v>
      </c>
      <c r="R229" s="4">
        <v>0</v>
      </c>
      <c r="S229" s="6">
        <v>12</v>
      </c>
      <c r="T229" s="6">
        <v>13</v>
      </c>
      <c r="U229" s="6">
        <v>80</v>
      </c>
      <c r="V229" s="71">
        <f>IF(ISERROR(VLOOKUP($S$229,'TAR FIN'!$A$1:$O$120,15,0)),0,VLOOKUP($S$229,'TAR FIN'!$A$1:$O$120,15,0))*(1-0.12)</f>
        <v>7.7528000000000006</v>
      </c>
      <c r="W229" s="71">
        <f>IF(ISERROR(VLOOKUP($T$229,'TAR FIN'!$A$1:$O$120,15,0)),0,VLOOKUP($T$229,'TAR FIN'!$A$1:$O$120,15,0))*(1-0.12)</f>
        <v>74.316000000000003</v>
      </c>
      <c r="X229" s="71">
        <f>IF(ISERROR(VLOOKUP($U$229,'TAR FIN'!$A$1:$O$120,15,0)),0,VLOOKUP($U$229,'TAR FIN'!$A$1:$O$120,15,0))*(1-0.12)</f>
        <v>225.61439999999999</v>
      </c>
      <c r="Y229" s="71">
        <f ca="1">('TUSD BE'!$AM$16+'TUSD BF'!$AM$16+'TUSD CVA'!$AM$16)*1*(1-0.09)</f>
        <v>10.421644550274408</v>
      </c>
      <c r="Z229" s="71">
        <f ca="1">('TUSD BE'!$AM$17+'TUSD BF'!$AM$17+'TUSD CVA'!$AM$17)*1*(1-0.09)</f>
        <v>79.642619388381775</v>
      </c>
      <c r="AA229" s="71">
        <f>('TE BE'!$AA$8+'TE BF'!$AA$8+'TE CVA'!$AA$8)*1*(1-0.09)</f>
        <v>210.05913056249776</v>
      </c>
      <c r="AB229" s="6">
        <f>$K$229*$V$229</f>
        <v>37663.102400000003</v>
      </c>
      <c r="AC229" s="6">
        <f>$M$229*$W$229</f>
        <v>179411.606352</v>
      </c>
      <c r="AD229" s="6">
        <f>$O$229*$X$229</f>
        <v>544671.96727679996</v>
      </c>
      <c r="AE229" s="6">
        <f ca="1">$K$229*$Y$229</f>
        <v>50628.349225233076</v>
      </c>
      <c r="AF229" s="6">
        <f ca="1">$M$229*$Z$229</f>
        <v>192270.98173408842</v>
      </c>
      <c r="AG229" s="6">
        <f>$O$229*$AA$229</f>
        <v>507118.87134832633</v>
      </c>
    </row>
    <row r="230" spans="1:33" ht="11.25" customHeight="1" x14ac:dyDescent="0.25">
      <c r="A230" s="4" t="s">
        <v>21</v>
      </c>
      <c r="B230" s="4" t="s">
        <v>45</v>
      </c>
      <c r="C230" s="4" t="s">
        <v>41</v>
      </c>
      <c r="D230" s="4" t="s">
        <v>52</v>
      </c>
      <c r="E230" s="4" t="s">
        <v>53</v>
      </c>
      <c r="F230" s="4" t="s">
        <v>25</v>
      </c>
      <c r="G230" s="4" t="s">
        <v>25</v>
      </c>
      <c r="H230" s="4" t="s">
        <v>35</v>
      </c>
      <c r="I230" s="5">
        <v>43739</v>
      </c>
      <c r="J230" s="6">
        <v>3800</v>
      </c>
      <c r="K230" s="70">
        <v>3800</v>
      </c>
      <c r="L230" s="6">
        <v>212.26300000000001</v>
      </c>
      <c r="M230" s="71">
        <v>212.26300000000001</v>
      </c>
      <c r="N230" s="6">
        <v>212.26300000000001</v>
      </c>
      <c r="O230" s="71">
        <v>212.26300000000001</v>
      </c>
      <c r="P230" s="6">
        <v>0</v>
      </c>
      <c r="Q230" s="4" t="s">
        <v>26</v>
      </c>
      <c r="R230" s="4">
        <v>0</v>
      </c>
      <c r="S230" s="6">
        <v>11</v>
      </c>
      <c r="T230" s="6">
        <v>13</v>
      </c>
      <c r="U230" s="6">
        <v>79</v>
      </c>
      <c r="V230" s="71">
        <f>IF(ISERROR(VLOOKUP($S$230,'TAR FIN'!$A$1:$O$120,15,0)),0,VLOOKUP($S$230,'TAR FIN'!$A$1:$O$120,15,0))*(1-0.12)</f>
        <v>20.187200000000001</v>
      </c>
      <c r="W230" s="71">
        <f>IF(ISERROR(VLOOKUP($T$230,'TAR FIN'!$A$1:$O$120,15,0)),0,VLOOKUP($T$230,'TAR FIN'!$A$1:$O$120,15,0))*(1-0.12)</f>
        <v>74.316000000000003</v>
      </c>
      <c r="X230" s="71">
        <f>IF(ISERROR(VLOOKUP($U$230,'TAR FIN'!$A$1:$O$120,15,0)),0,VLOOKUP($U$230,'TAR FIN'!$A$1:$O$120,15,0))*(1-0.12)</f>
        <v>379.16559999999998</v>
      </c>
      <c r="Y230" s="71">
        <f ca="1">('TUSD BE'!$AM$15+'TUSD BF'!$AM$15+'TUSD CVA'!$AM$15)*1*(1-0.09)</f>
        <v>24.766817708975264</v>
      </c>
      <c r="Z230" s="71">
        <f ca="1">('TUSD BE'!$AM$17+'TUSD BF'!$AM$17+'TUSD CVA'!$AM$17)*1*(1-0.09)</f>
        <v>79.642619388381775</v>
      </c>
      <c r="AA230" s="71">
        <f>('TE BE'!$AA$7+'TE BF'!$AA$7+'TE CVA'!$AA$7)*1*(1-0.09)</f>
        <v>341.87954044517699</v>
      </c>
      <c r="AB230" s="6">
        <f>$K$230*$V$230</f>
        <v>76711.360000000001</v>
      </c>
      <c r="AC230" s="6">
        <f>$M$230*$W$230</f>
        <v>15774.537108</v>
      </c>
      <c r="AD230" s="6">
        <f>$O$230*$X$230</f>
        <v>80482.827752800004</v>
      </c>
      <c r="AE230" s="6">
        <f ca="1">$K$230*$Y$230</f>
        <v>94113.907294106</v>
      </c>
      <c r="AF230" s="6">
        <f ca="1">$M$230*$Z$230</f>
        <v>16905.181319236082</v>
      </c>
      <c r="AG230" s="6">
        <f>$O$230*$AA$230</f>
        <v>72568.376893514607</v>
      </c>
    </row>
    <row r="231" spans="1:33" ht="11.25" customHeight="1" x14ac:dyDescent="0.25">
      <c r="A231" s="4" t="s">
        <v>21</v>
      </c>
      <c r="B231" s="4" t="s">
        <v>45</v>
      </c>
      <c r="C231" s="4" t="s">
        <v>41</v>
      </c>
      <c r="D231" s="4" t="s">
        <v>52</v>
      </c>
      <c r="E231" s="4" t="s">
        <v>53</v>
      </c>
      <c r="F231" s="4" t="s">
        <v>25</v>
      </c>
      <c r="G231" s="4" t="s">
        <v>25</v>
      </c>
      <c r="H231" s="4" t="s">
        <v>35</v>
      </c>
      <c r="I231" s="5">
        <v>43770</v>
      </c>
      <c r="J231" s="6">
        <v>3800</v>
      </c>
      <c r="K231" s="70">
        <v>3800</v>
      </c>
      <c r="L231" s="6">
        <v>249.39599999999999</v>
      </c>
      <c r="M231" s="71">
        <v>249.39599999999999</v>
      </c>
      <c r="N231" s="6">
        <v>249.39599999999999</v>
      </c>
      <c r="O231" s="71">
        <v>249.39599999999999</v>
      </c>
      <c r="P231" s="6">
        <v>0</v>
      </c>
      <c r="Q231" s="4" t="s">
        <v>26</v>
      </c>
      <c r="R231" s="4">
        <v>0</v>
      </c>
      <c r="S231" s="6">
        <v>11</v>
      </c>
      <c r="T231" s="6">
        <v>13</v>
      </c>
      <c r="U231" s="6">
        <v>79</v>
      </c>
      <c r="V231" s="71">
        <f>IF(ISERROR(VLOOKUP($S$231,'TAR FIN'!$A$1:$O$120,15,0)),0,VLOOKUP($S$231,'TAR FIN'!$A$1:$O$120,15,0))*(1-0.12)</f>
        <v>20.187200000000001</v>
      </c>
      <c r="W231" s="71">
        <f>IF(ISERROR(VLOOKUP($T$231,'TAR FIN'!$A$1:$O$120,15,0)),0,VLOOKUP($T$231,'TAR FIN'!$A$1:$O$120,15,0))*(1-0.12)</f>
        <v>74.316000000000003</v>
      </c>
      <c r="X231" s="71">
        <f>IF(ISERROR(VLOOKUP($U$231,'TAR FIN'!$A$1:$O$120,15,0)),0,VLOOKUP($U$231,'TAR FIN'!$A$1:$O$120,15,0))*(1-0.12)</f>
        <v>379.16559999999998</v>
      </c>
      <c r="Y231" s="71">
        <f ca="1">('TUSD BE'!$AM$15+'TUSD BF'!$AM$15+'TUSD CVA'!$AM$15)*1*(1-0.09)</f>
        <v>24.766817708975264</v>
      </c>
      <c r="Z231" s="71">
        <f ca="1">('TUSD BE'!$AM$17+'TUSD BF'!$AM$17+'TUSD CVA'!$AM$17)*1*(1-0.09)</f>
        <v>79.642619388381775</v>
      </c>
      <c r="AA231" s="71">
        <f>('TE BE'!$AA$7+'TE BF'!$AA$7+'TE CVA'!$AA$7)*1*(1-0.09)</f>
        <v>341.87954044517699</v>
      </c>
      <c r="AB231" s="6">
        <f>$K$231*$V$231</f>
        <v>76711.360000000001</v>
      </c>
      <c r="AC231" s="6">
        <f>$M$231*$W$231</f>
        <v>18534.113136</v>
      </c>
      <c r="AD231" s="6">
        <f>$O$231*$X$231</f>
        <v>94562.383977599995</v>
      </c>
      <c r="AE231" s="6">
        <f ca="1">$K$231*$Y$231</f>
        <v>94113.907294106</v>
      </c>
      <c r="AF231" s="6">
        <f ca="1">$M$231*$Z$231</f>
        <v>19862.55070498486</v>
      </c>
      <c r="AG231" s="6">
        <f>$O$231*$AA$231</f>
        <v>85263.389868865357</v>
      </c>
    </row>
    <row r="232" spans="1:33" ht="11.25" customHeight="1" x14ac:dyDescent="0.25">
      <c r="A232" s="4" t="s">
        <v>21</v>
      </c>
      <c r="B232" s="4" t="s">
        <v>45</v>
      </c>
      <c r="C232" s="4" t="s">
        <v>41</v>
      </c>
      <c r="D232" s="4" t="s">
        <v>52</v>
      </c>
      <c r="E232" s="4" t="s">
        <v>53</v>
      </c>
      <c r="F232" s="4" t="s">
        <v>25</v>
      </c>
      <c r="G232" s="4" t="s">
        <v>25</v>
      </c>
      <c r="H232" s="4" t="s">
        <v>35</v>
      </c>
      <c r="I232" s="5">
        <v>43800</v>
      </c>
      <c r="J232" s="6">
        <v>3936</v>
      </c>
      <c r="K232" s="70">
        <v>3936</v>
      </c>
      <c r="L232" s="6">
        <v>217.93199999999999</v>
      </c>
      <c r="M232" s="71">
        <v>217.93199999999999</v>
      </c>
      <c r="N232" s="6">
        <v>217.93199999999999</v>
      </c>
      <c r="O232" s="71">
        <v>217.93199999999999</v>
      </c>
      <c r="P232" s="6">
        <v>0</v>
      </c>
      <c r="Q232" s="4" t="s">
        <v>26</v>
      </c>
      <c r="R232" s="4">
        <v>0</v>
      </c>
      <c r="S232" s="6">
        <v>11</v>
      </c>
      <c r="T232" s="6">
        <v>13</v>
      </c>
      <c r="U232" s="6">
        <v>79</v>
      </c>
      <c r="V232" s="71">
        <f>IF(ISERROR(VLOOKUP($S$232,'TAR FIN'!$A$1:$O$120,15,0)),0,VLOOKUP($S$232,'TAR FIN'!$A$1:$O$120,15,0))*(1-0.12)</f>
        <v>20.187200000000001</v>
      </c>
      <c r="W232" s="71">
        <f>IF(ISERROR(VLOOKUP($T$232,'TAR FIN'!$A$1:$O$120,15,0)),0,VLOOKUP($T$232,'TAR FIN'!$A$1:$O$120,15,0))*(1-0.12)</f>
        <v>74.316000000000003</v>
      </c>
      <c r="X232" s="71">
        <f>IF(ISERROR(VLOOKUP($U$232,'TAR FIN'!$A$1:$O$120,15,0)),0,VLOOKUP($U$232,'TAR FIN'!$A$1:$O$120,15,0))*(1-0.12)</f>
        <v>379.16559999999998</v>
      </c>
      <c r="Y232" s="71">
        <f ca="1">('TUSD BE'!$AM$15+'TUSD BF'!$AM$15+'TUSD CVA'!$AM$15)*1*(1-0.09)</f>
        <v>24.766817708975264</v>
      </c>
      <c r="Z232" s="71">
        <f ca="1">('TUSD BE'!$AM$17+'TUSD BF'!$AM$17+'TUSD CVA'!$AM$17)*1*(1-0.09)</f>
        <v>79.642619388381775</v>
      </c>
      <c r="AA232" s="71">
        <f>('TE BE'!$AA$7+'TE BF'!$AA$7+'TE CVA'!$AA$7)*1*(1-0.09)</f>
        <v>341.87954044517699</v>
      </c>
      <c r="AB232" s="6">
        <f>$K$232*$V$232</f>
        <v>79456.819199999998</v>
      </c>
      <c r="AC232" s="6">
        <f>$M$232*$W$232</f>
        <v>16195.834511999999</v>
      </c>
      <c r="AD232" s="6">
        <f>$O$232*$X$232</f>
        <v>82632.317539199998</v>
      </c>
      <c r="AE232" s="6">
        <f ca="1">$K$232*$Y$232</f>
        <v>97482.194502526632</v>
      </c>
      <c r="AF232" s="6">
        <f ca="1">$M$232*$Z$232</f>
        <v>17356.675328548816</v>
      </c>
      <c r="AG232" s="6">
        <f>$O$232*$AA$232</f>
        <v>74506.492008298301</v>
      </c>
    </row>
    <row r="233" spans="1:33" ht="11.25" customHeight="1" x14ac:dyDescent="0.25">
      <c r="A233" s="4" t="s">
        <v>21</v>
      </c>
      <c r="B233" s="4" t="s">
        <v>45</v>
      </c>
      <c r="C233" s="4" t="s">
        <v>41</v>
      </c>
      <c r="D233" s="4" t="s">
        <v>52</v>
      </c>
      <c r="E233" s="4" t="s">
        <v>53</v>
      </c>
      <c r="F233" s="4" t="s">
        <v>25</v>
      </c>
      <c r="G233" s="4" t="s">
        <v>25</v>
      </c>
      <c r="H233" s="4" t="s">
        <v>35</v>
      </c>
      <c r="I233" s="5">
        <v>43831</v>
      </c>
      <c r="J233" s="6">
        <v>3800</v>
      </c>
      <c r="K233" s="70">
        <v>3800</v>
      </c>
      <c r="L233" s="6">
        <v>183.30699999999999</v>
      </c>
      <c r="M233" s="71">
        <v>183.30699999999999</v>
      </c>
      <c r="N233" s="6">
        <v>183.30699999999999</v>
      </c>
      <c r="O233" s="71">
        <v>183.30699999999999</v>
      </c>
      <c r="P233" s="6">
        <v>0</v>
      </c>
      <c r="Q233" s="4" t="s">
        <v>26</v>
      </c>
      <c r="R233" s="4">
        <v>0</v>
      </c>
      <c r="S233" s="6">
        <v>11</v>
      </c>
      <c r="T233" s="6">
        <v>13</v>
      </c>
      <c r="U233" s="6">
        <v>79</v>
      </c>
      <c r="V233" s="71">
        <f>IF(ISERROR(VLOOKUP($S$233,'TAR FIN'!$A$1:$O$120,15,0)),0,VLOOKUP($S$233,'TAR FIN'!$A$1:$O$120,15,0))*(1-0.12)</f>
        <v>20.187200000000001</v>
      </c>
      <c r="W233" s="71">
        <f>IF(ISERROR(VLOOKUP($T$233,'TAR FIN'!$A$1:$O$120,15,0)),0,VLOOKUP($T$233,'TAR FIN'!$A$1:$O$120,15,0))*(1-0.12)</f>
        <v>74.316000000000003</v>
      </c>
      <c r="X233" s="71">
        <f>IF(ISERROR(VLOOKUP($U$233,'TAR FIN'!$A$1:$O$120,15,0)),0,VLOOKUP($U$233,'TAR FIN'!$A$1:$O$120,15,0))*(1-0.12)</f>
        <v>379.16559999999998</v>
      </c>
      <c r="Y233" s="71">
        <f ca="1">('TUSD BE'!$AM$15+'TUSD BF'!$AM$15+'TUSD CVA'!$AM$15)*1*(1-0.09)</f>
        <v>24.766817708975264</v>
      </c>
      <c r="Z233" s="71">
        <f ca="1">('TUSD BE'!$AM$17+'TUSD BF'!$AM$17+'TUSD CVA'!$AM$17)*1*(1-0.09)</f>
        <v>79.642619388381775</v>
      </c>
      <c r="AA233" s="71">
        <f>('TE BE'!$AA$7+'TE BF'!$AA$7+'TE CVA'!$AA$7)*1*(1-0.09)</f>
        <v>341.87954044517699</v>
      </c>
      <c r="AB233" s="6">
        <f>$K$233*$V$233</f>
        <v>76711.360000000001</v>
      </c>
      <c r="AC233" s="6">
        <f>$M$233*$W$233</f>
        <v>13622.643012</v>
      </c>
      <c r="AD233" s="6">
        <f>$O$233*$X$233</f>
        <v>69503.708639199991</v>
      </c>
      <c r="AE233" s="6">
        <f ca="1">$K$233*$Y$233</f>
        <v>94113.907294106</v>
      </c>
      <c r="AF233" s="6">
        <f ca="1">$M$233*$Z$233</f>
        <v>14599.049632226097</v>
      </c>
      <c r="AG233" s="6">
        <f>$O$233*$AA$233</f>
        <v>62668.912920384057</v>
      </c>
    </row>
    <row r="234" spans="1:33" ht="11.25" customHeight="1" x14ac:dyDescent="0.25">
      <c r="A234" s="4" t="s">
        <v>21</v>
      </c>
      <c r="B234" s="4" t="s">
        <v>45</v>
      </c>
      <c r="C234" s="4" t="s">
        <v>41</v>
      </c>
      <c r="D234" s="4" t="s">
        <v>52</v>
      </c>
      <c r="E234" s="4" t="s">
        <v>53</v>
      </c>
      <c r="F234" s="4" t="s">
        <v>25</v>
      </c>
      <c r="G234" s="4" t="s">
        <v>25</v>
      </c>
      <c r="H234" s="4" t="s">
        <v>35</v>
      </c>
      <c r="I234" s="5">
        <v>43862</v>
      </c>
      <c r="J234" s="6">
        <v>3888</v>
      </c>
      <c r="K234" s="70">
        <v>3888</v>
      </c>
      <c r="L234" s="6">
        <v>233.4</v>
      </c>
      <c r="M234" s="71">
        <v>233.4</v>
      </c>
      <c r="N234" s="6">
        <v>233.4</v>
      </c>
      <c r="O234" s="71">
        <v>233.4</v>
      </c>
      <c r="P234" s="6">
        <v>0</v>
      </c>
      <c r="Q234" s="4" t="s">
        <v>26</v>
      </c>
      <c r="R234" s="4">
        <v>0</v>
      </c>
      <c r="S234" s="6">
        <v>11</v>
      </c>
      <c r="T234" s="6">
        <v>13</v>
      </c>
      <c r="U234" s="6">
        <v>79</v>
      </c>
      <c r="V234" s="71">
        <f>IF(ISERROR(VLOOKUP($S$234,'TAR FIN'!$A$1:$O$120,15,0)),0,VLOOKUP($S$234,'TAR FIN'!$A$1:$O$120,15,0))*(1-0.12)</f>
        <v>20.187200000000001</v>
      </c>
      <c r="W234" s="71">
        <f>IF(ISERROR(VLOOKUP($T$234,'TAR FIN'!$A$1:$O$120,15,0)),0,VLOOKUP($T$234,'TAR FIN'!$A$1:$O$120,15,0))*(1-0.12)</f>
        <v>74.316000000000003</v>
      </c>
      <c r="X234" s="71">
        <f>IF(ISERROR(VLOOKUP($U$234,'TAR FIN'!$A$1:$O$120,15,0)),0,VLOOKUP($U$234,'TAR FIN'!$A$1:$O$120,15,0))*(1-0.12)</f>
        <v>379.16559999999998</v>
      </c>
      <c r="Y234" s="71">
        <f ca="1">('TUSD BE'!$AM$15+'TUSD BF'!$AM$15+'TUSD CVA'!$AM$15)*1*(1-0.09)</f>
        <v>24.766817708975264</v>
      </c>
      <c r="Z234" s="71">
        <f ca="1">('TUSD BE'!$AM$17+'TUSD BF'!$AM$17+'TUSD CVA'!$AM$17)*1*(1-0.09)</f>
        <v>79.642619388381775</v>
      </c>
      <c r="AA234" s="71">
        <f>('TE BE'!$AA$7+'TE BF'!$AA$7+'TE CVA'!$AA$7)*1*(1-0.09)</f>
        <v>341.87954044517699</v>
      </c>
      <c r="AB234" s="6">
        <f>$K$234*$V$234</f>
        <v>78487.833599999998</v>
      </c>
      <c r="AC234" s="6">
        <f>$M$234*$W$234</f>
        <v>17345.3544</v>
      </c>
      <c r="AD234" s="6">
        <f>$O$234*$X$234</f>
        <v>88497.251040000003</v>
      </c>
      <c r="AE234" s="6">
        <f ca="1">$K$234*$Y$234</f>
        <v>96293.387252495828</v>
      </c>
      <c r="AF234" s="6">
        <f ca="1">$M$234*$Z$234</f>
        <v>18588.587365248306</v>
      </c>
      <c r="AG234" s="6">
        <f>$O$234*$AA$234</f>
        <v>79794.684739904304</v>
      </c>
    </row>
    <row r="235" spans="1:33" ht="11.25" customHeight="1" x14ac:dyDescent="0.25">
      <c r="A235" s="4" t="s">
        <v>21</v>
      </c>
      <c r="B235" s="4" t="s">
        <v>45</v>
      </c>
      <c r="C235" s="4" t="s">
        <v>41</v>
      </c>
      <c r="D235" s="4" t="s">
        <v>52</v>
      </c>
      <c r="E235" s="4" t="s">
        <v>53</v>
      </c>
      <c r="F235" s="4" t="s">
        <v>25</v>
      </c>
      <c r="G235" s="4" t="s">
        <v>25</v>
      </c>
      <c r="H235" s="4" t="s">
        <v>35</v>
      </c>
      <c r="I235" s="5">
        <v>43891</v>
      </c>
      <c r="J235" s="6">
        <v>3888</v>
      </c>
      <c r="K235" s="70">
        <v>3888</v>
      </c>
      <c r="L235" s="6">
        <v>195.57400000000001</v>
      </c>
      <c r="M235" s="71">
        <v>195.57400000000001</v>
      </c>
      <c r="N235" s="6">
        <v>195.57400000000001</v>
      </c>
      <c r="O235" s="71">
        <v>195.57400000000001</v>
      </c>
      <c r="P235" s="6">
        <v>0</v>
      </c>
      <c r="Q235" s="4" t="s">
        <v>26</v>
      </c>
      <c r="R235" s="4">
        <v>0</v>
      </c>
      <c r="S235" s="6">
        <v>11</v>
      </c>
      <c r="T235" s="6">
        <v>13</v>
      </c>
      <c r="U235" s="6">
        <v>79</v>
      </c>
      <c r="V235" s="71">
        <f>IF(ISERROR(VLOOKUP($S$235,'TAR FIN'!$A$1:$O$120,15,0)),0,VLOOKUP($S$235,'TAR FIN'!$A$1:$O$120,15,0))*(1-0.12)</f>
        <v>20.187200000000001</v>
      </c>
      <c r="W235" s="71">
        <f>IF(ISERROR(VLOOKUP($T$235,'TAR FIN'!$A$1:$O$120,15,0)),0,VLOOKUP($T$235,'TAR FIN'!$A$1:$O$120,15,0))*(1-0.12)</f>
        <v>74.316000000000003</v>
      </c>
      <c r="X235" s="71">
        <f>IF(ISERROR(VLOOKUP($U$235,'TAR FIN'!$A$1:$O$120,15,0)),0,VLOOKUP($U$235,'TAR FIN'!$A$1:$O$120,15,0))*(1-0.12)</f>
        <v>379.16559999999998</v>
      </c>
      <c r="Y235" s="71">
        <f ca="1">('TUSD BE'!$AM$15+'TUSD BF'!$AM$15+'TUSD CVA'!$AM$15)*1*(1-0.09)</f>
        <v>24.766817708975264</v>
      </c>
      <c r="Z235" s="71">
        <f ca="1">('TUSD BE'!$AM$17+'TUSD BF'!$AM$17+'TUSD CVA'!$AM$17)*1*(1-0.09)</f>
        <v>79.642619388381775</v>
      </c>
      <c r="AA235" s="71">
        <f>('TE BE'!$AA$7+'TE BF'!$AA$7+'TE CVA'!$AA$7)*1*(1-0.09)</f>
        <v>341.87954044517699</v>
      </c>
      <c r="AB235" s="6">
        <f>$K$235*$V$235</f>
        <v>78487.833599999998</v>
      </c>
      <c r="AC235" s="6">
        <f>$M$235*$W$235</f>
        <v>14534.277384000001</v>
      </c>
      <c r="AD235" s="6">
        <f>$O$235*$X$235</f>
        <v>74154.933054399997</v>
      </c>
      <c r="AE235" s="6">
        <f ca="1">$K$235*$Y$235</f>
        <v>96293.387252495828</v>
      </c>
      <c r="AF235" s="6">
        <f ca="1">$M$235*$Z$235</f>
        <v>15576.025644263378</v>
      </c>
      <c r="AG235" s="6">
        <f>$O$235*$AA$235</f>
        <v>66862.749243025042</v>
      </c>
    </row>
    <row r="236" spans="1:33" ht="11.25" customHeight="1" x14ac:dyDescent="0.25">
      <c r="A236" s="4" t="s">
        <v>21</v>
      </c>
      <c r="B236" s="4" t="s">
        <v>45</v>
      </c>
      <c r="C236" s="4" t="s">
        <v>41</v>
      </c>
      <c r="D236" s="4" t="s">
        <v>52</v>
      </c>
      <c r="E236" s="4" t="s">
        <v>53</v>
      </c>
      <c r="F236" s="4" t="s">
        <v>25</v>
      </c>
      <c r="G236" s="4" t="s">
        <v>25</v>
      </c>
      <c r="H236" s="4" t="s">
        <v>35</v>
      </c>
      <c r="I236" s="5">
        <v>43922</v>
      </c>
      <c r="J236" s="6">
        <v>3878</v>
      </c>
      <c r="K236" s="70">
        <v>3878</v>
      </c>
      <c r="L236" s="6">
        <v>198.732</v>
      </c>
      <c r="M236" s="71">
        <v>198.732</v>
      </c>
      <c r="N236" s="6">
        <v>198.732</v>
      </c>
      <c r="O236" s="71">
        <v>198.732</v>
      </c>
      <c r="P236" s="6">
        <v>0</v>
      </c>
      <c r="Q236" s="4" t="s">
        <v>26</v>
      </c>
      <c r="R236" s="4">
        <v>0</v>
      </c>
      <c r="S236" s="6">
        <v>11</v>
      </c>
      <c r="T236" s="6">
        <v>13</v>
      </c>
      <c r="U236" s="6">
        <v>79</v>
      </c>
      <c r="V236" s="71">
        <f>IF(ISERROR(VLOOKUP($S$236,'TAR FIN'!$A$1:$O$120,15,0)),0,VLOOKUP($S$236,'TAR FIN'!$A$1:$O$120,15,0))*(1-0.12)</f>
        <v>20.187200000000001</v>
      </c>
      <c r="W236" s="71">
        <f>IF(ISERROR(VLOOKUP($T$236,'TAR FIN'!$A$1:$O$120,15,0)),0,VLOOKUP($T$236,'TAR FIN'!$A$1:$O$120,15,0))*(1-0.12)</f>
        <v>74.316000000000003</v>
      </c>
      <c r="X236" s="71">
        <f>IF(ISERROR(VLOOKUP($U$236,'TAR FIN'!$A$1:$O$120,15,0)),0,VLOOKUP($U$236,'TAR FIN'!$A$1:$O$120,15,0))*(1-0.12)</f>
        <v>379.16559999999998</v>
      </c>
      <c r="Y236" s="71">
        <f ca="1">('TUSD BE'!$AM$15+'TUSD BF'!$AM$15+'TUSD CVA'!$AM$15)*1*(1-0.09)</f>
        <v>24.766817708975264</v>
      </c>
      <c r="Z236" s="71">
        <f ca="1">('TUSD BE'!$AM$17+'TUSD BF'!$AM$17+'TUSD CVA'!$AM$17)*1*(1-0.09)</f>
        <v>79.642619388381775</v>
      </c>
      <c r="AA236" s="71">
        <f>('TE BE'!$AA$7+'TE BF'!$AA$7+'TE CVA'!$AA$7)*1*(1-0.09)</f>
        <v>341.87954044517699</v>
      </c>
      <c r="AB236" s="6">
        <f>$K$236*$V$236</f>
        <v>78285.96160000001</v>
      </c>
      <c r="AC236" s="6">
        <f>$M$236*$W$236</f>
        <v>14768.967312000001</v>
      </c>
      <c r="AD236" s="6">
        <f>$O$236*$X$236</f>
        <v>75352.33801919999</v>
      </c>
      <c r="AE236" s="6">
        <f ca="1">$K$236*$Y$236</f>
        <v>96045.719075406072</v>
      </c>
      <c r="AF236" s="6">
        <f ca="1">$M$236*$Z$236</f>
        <v>15827.537036291887</v>
      </c>
      <c r="AG236" s="6">
        <f>$O$236*$AA$236</f>
        <v>67942.404831750915</v>
      </c>
    </row>
    <row r="237" spans="1:33" ht="11.25" customHeight="1" x14ac:dyDescent="0.25">
      <c r="A237" s="4" t="s">
        <v>21</v>
      </c>
      <c r="B237" s="4" t="s">
        <v>45</v>
      </c>
      <c r="C237" s="4" t="s">
        <v>41</v>
      </c>
      <c r="D237" s="4" t="s">
        <v>52</v>
      </c>
      <c r="E237" s="4" t="s">
        <v>53</v>
      </c>
      <c r="F237" s="4" t="s">
        <v>25</v>
      </c>
      <c r="G237" s="4" t="s">
        <v>25</v>
      </c>
      <c r="H237" s="4" t="s">
        <v>35</v>
      </c>
      <c r="I237" s="5">
        <v>43952</v>
      </c>
      <c r="J237" s="6">
        <v>3859</v>
      </c>
      <c r="K237" s="70">
        <v>3859</v>
      </c>
      <c r="L237" s="6">
        <v>212.70500000000001</v>
      </c>
      <c r="M237" s="71">
        <v>212.70500000000001</v>
      </c>
      <c r="N237" s="6">
        <v>212.70500000000001</v>
      </c>
      <c r="O237" s="71">
        <v>212.70500000000001</v>
      </c>
      <c r="P237" s="6">
        <v>0</v>
      </c>
      <c r="Q237" s="4" t="s">
        <v>26</v>
      </c>
      <c r="R237" s="4">
        <v>0</v>
      </c>
      <c r="S237" s="6">
        <v>11</v>
      </c>
      <c r="T237" s="6">
        <v>13</v>
      </c>
      <c r="U237" s="6">
        <v>79</v>
      </c>
      <c r="V237" s="71">
        <f>IF(ISERROR(VLOOKUP($S$237,'TAR FIN'!$A$1:$O$120,15,0)),0,VLOOKUP($S$237,'TAR FIN'!$A$1:$O$120,15,0))*(1-0.12)</f>
        <v>20.187200000000001</v>
      </c>
      <c r="W237" s="71">
        <f>IF(ISERROR(VLOOKUP($T$237,'TAR FIN'!$A$1:$O$120,15,0)),0,VLOOKUP($T$237,'TAR FIN'!$A$1:$O$120,15,0))*(1-0.12)</f>
        <v>74.316000000000003</v>
      </c>
      <c r="X237" s="71">
        <f>IF(ISERROR(VLOOKUP($U$237,'TAR FIN'!$A$1:$O$120,15,0)),0,VLOOKUP($U$237,'TAR FIN'!$A$1:$O$120,15,0))*(1-0.12)</f>
        <v>379.16559999999998</v>
      </c>
      <c r="Y237" s="71">
        <f ca="1">('TUSD BE'!$AM$15+'TUSD BF'!$AM$15+'TUSD CVA'!$AM$15)*1*(1-0.09)</f>
        <v>24.766817708975264</v>
      </c>
      <c r="Z237" s="71">
        <f ca="1">('TUSD BE'!$AM$17+'TUSD BF'!$AM$17+'TUSD CVA'!$AM$17)*1*(1-0.09)</f>
        <v>79.642619388381775</v>
      </c>
      <c r="AA237" s="71">
        <f>('TE BE'!$AA$7+'TE BF'!$AA$7+'TE CVA'!$AA$7)*1*(1-0.09)</f>
        <v>341.87954044517699</v>
      </c>
      <c r="AB237" s="6">
        <f>$K$237*$V$237</f>
        <v>77902.404800000004</v>
      </c>
      <c r="AC237" s="6">
        <f>$M$237*$W$237</f>
        <v>15807.384780000002</v>
      </c>
      <c r="AD237" s="6">
        <f>$O$237*$X$237</f>
        <v>80650.418948000006</v>
      </c>
      <c r="AE237" s="6">
        <f ca="1">$K$237*$Y$237</f>
        <v>95575.14953893554</v>
      </c>
      <c r="AF237" s="6">
        <f ca="1">$M$237*$Z$237</f>
        <v>16940.383357005747</v>
      </c>
      <c r="AG237" s="6">
        <f>$O$237*$AA$237</f>
        <v>72719.487650391369</v>
      </c>
    </row>
    <row r="238" spans="1:33" ht="11.25" customHeight="1" x14ac:dyDescent="0.25">
      <c r="A238" s="4" t="s">
        <v>21</v>
      </c>
      <c r="B238" s="4" t="s">
        <v>45</v>
      </c>
      <c r="C238" s="4" t="s">
        <v>41</v>
      </c>
      <c r="D238" s="4" t="s">
        <v>52</v>
      </c>
      <c r="E238" s="4" t="s">
        <v>53</v>
      </c>
      <c r="F238" s="4" t="s">
        <v>25</v>
      </c>
      <c r="G238" s="4" t="s">
        <v>25</v>
      </c>
      <c r="H238" s="4" t="s">
        <v>35</v>
      </c>
      <c r="I238" s="5">
        <v>43983</v>
      </c>
      <c r="J238" s="6">
        <v>3869</v>
      </c>
      <c r="K238" s="70">
        <v>3869</v>
      </c>
      <c r="L238" s="6">
        <v>235.36600000000001</v>
      </c>
      <c r="M238" s="71">
        <v>235.36600000000001</v>
      </c>
      <c r="N238" s="6">
        <v>235.36600000000001</v>
      </c>
      <c r="O238" s="71">
        <v>235.36600000000001</v>
      </c>
      <c r="P238" s="6">
        <v>0</v>
      </c>
      <c r="Q238" s="4" t="s">
        <v>26</v>
      </c>
      <c r="R238" s="4">
        <v>0</v>
      </c>
      <c r="S238" s="6">
        <v>11</v>
      </c>
      <c r="T238" s="6">
        <v>13</v>
      </c>
      <c r="U238" s="6">
        <v>79</v>
      </c>
      <c r="V238" s="71">
        <f>IF(ISERROR(VLOOKUP($S$238,'TAR FIN'!$A$1:$O$120,15,0)),0,VLOOKUP($S$238,'TAR FIN'!$A$1:$O$120,15,0))*(1-0.12)</f>
        <v>20.187200000000001</v>
      </c>
      <c r="W238" s="71">
        <f>IF(ISERROR(VLOOKUP($T$238,'TAR FIN'!$A$1:$O$120,15,0)),0,VLOOKUP($T$238,'TAR FIN'!$A$1:$O$120,15,0))*(1-0.12)</f>
        <v>74.316000000000003</v>
      </c>
      <c r="X238" s="71">
        <f>IF(ISERROR(VLOOKUP($U$238,'TAR FIN'!$A$1:$O$120,15,0)),0,VLOOKUP($U$238,'TAR FIN'!$A$1:$O$120,15,0))*(1-0.12)</f>
        <v>379.16559999999998</v>
      </c>
      <c r="Y238" s="71">
        <f ca="1">('TUSD BE'!$AM$15+'TUSD BF'!$AM$15+'TUSD CVA'!$AM$15)*1*(1-0.09)</f>
        <v>24.766817708975264</v>
      </c>
      <c r="Z238" s="71">
        <f ca="1">('TUSD BE'!$AM$17+'TUSD BF'!$AM$17+'TUSD CVA'!$AM$17)*1*(1-0.09)</f>
        <v>79.642619388381775</v>
      </c>
      <c r="AA238" s="71">
        <f>('TE BE'!$AA$7+'TE BF'!$AA$7+'TE CVA'!$AA$7)*1*(1-0.09)</f>
        <v>341.87954044517699</v>
      </c>
      <c r="AB238" s="6">
        <f>$K$238*$V$238</f>
        <v>78104.276800000007</v>
      </c>
      <c r="AC238" s="6">
        <f>$M$238*$W$238</f>
        <v>17491.459656000003</v>
      </c>
      <c r="AD238" s="6">
        <f>$O$238*$X$238</f>
        <v>89242.690609600002</v>
      </c>
      <c r="AE238" s="6">
        <f ca="1">$K$238*$Y$238</f>
        <v>95822.817716025296</v>
      </c>
      <c r="AF238" s="6">
        <f ca="1">$M$238*$Z$238</f>
        <v>18745.164754965866</v>
      </c>
      <c r="AG238" s="6">
        <f>$O$238*$AA$238</f>
        <v>80466.819916419525</v>
      </c>
    </row>
    <row r="239" spans="1:33" ht="11.25" customHeight="1" x14ac:dyDescent="0.25">
      <c r="A239" s="4" t="s">
        <v>21</v>
      </c>
      <c r="B239" s="4" t="s">
        <v>45</v>
      </c>
      <c r="C239" s="4" t="s">
        <v>41</v>
      </c>
      <c r="D239" s="4" t="s">
        <v>52</v>
      </c>
      <c r="E239" s="4" t="s">
        <v>53</v>
      </c>
      <c r="F239" s="4" t="s">
        <v>25</v>
      </c>
      <c r="G239" s="4" t="s">
        <v>25</v>
      </c>
      <c r="H239" s="4" t="s">
        <v>35</v>
      </c>
      <c r="I239" s="5">
        <v>44013</v>
      </c>
      <c r="J239" s="6">
        <v>3869</v>
      </c>
      <c r="K239" s="70">
        <v>3869</v>
      </c>
      <c r="L239" s="6">
        <v>234.86600000000001</v>
      </c>
      <c r="M239" s="71">
        <v>234.86600000000001</v>
      </c>
      <c r="N239" s="6">
        <v>234.86600000000001</v>
      </c>
      <c r="O239" s="71">
        <v>234.86600000000001</v>
      </c>
      <c r="P239" s="6">
        <v>0</v>
      </c>
      <c r="Q239" s="4" t="s">
        <v>26</v>
      </c>
      <c r="R239" s="4">
        <v>0</v>
      </c>
      <c r="S239" s="6">
        <v>11</v>
      </c>
      <c r="T239" s="6">
        <v>13</v>
      </c>
      <c r="U239" s="6">
        <v>79</v>
      </c>
      <c r="V239" s="71">
        <f>IF(ISERROR(VLOOKUP($S$239,'TAR FIN'!$A$1:$O$120,15,0)),0,VLOOKUP($S$239,'TAR FIN'!$A$1:$O$120,15,0))*(1-0.12)</f>
        <v>20.187200000000001</v>
      </c>
      <c r="W239" s="71">
        <f>IF(ISERROR(VLOOKUP($T$239,'TAR FIN'!$A$1:$O$120,15,0)),0,VLOOKUP($T$239,'TAR FIN'!$A$1:$O$120,15,0))*(1-0.12)</f>
        <v>74.316000000000003</v>
      </c>
      <c r="X239" s="71">
        <f>IF(ISERROR(VLOOKUP($U$239,'TAR FIN'!$A$1:$O$120,15,0)),0,VLOOKUP($U$239,'TAR FIN'!$A$1:$O$120,15,0))*(1-0.12)</f>
        <v>379.16559999999998</v>
      </c>
      <c r="Y239" s="71">
        <f ca="1">('TUSD BE'!$AM$15+'TUSD BF'!$AM$15+'TUSD CVA'!$AM$15)*1*(1-0.09)</f>
        <v>24.766817708975264</v>
      </c>
      <c r="Z239" s="71">
        <f ca="1">('TUSD BE'!$AM$17+'TUSD BF'!$AM$17+'TUSD CVA'!$AM$17)*1*(1-0.09)</f>
        <v>79.642619388381775</v>
      </c>
      <c r="AA239" s="71">
        <f>('TE BE'!$AA$7+'TE BF'!$AA$7+'TE CVA'!$AA$7)*1*(1-0.09)</f>
        <v>341.87954044517699</v>
      </c>
      <c r="AB239" s="6">
        <f>$K$239*$V$239</f>
        <v>78104.276800000007</v>
      </c>
      <c r="AC239" s="6">
        <f>$M$239*$W$239</f>
        <v>17454.301656000003</v>
      </c>
      <c r="AD239" s="6">
        <f>$O$239*$X$239</f>
        <v>89053.107809599998</v>
      </c>
      <c r="AE239" s="6">
        <f ca="1">$K$239*$Y$239</f>
        <v>95822.817716025296</v>
      </c>
      <c r="AF239" s="6">
        <f ca="1">$M$239*$Z$239</f>
        <v>18705.343445271676</v>
      </c>
      <c r="AG239" s="6">
        <f>$O$239*$AA$239</f>
        <v>80295.880146196941</v>
      </c>
    </row>
    <row r="240" spans="1:33" ht="11.25" customHeight="1" x14ac:dyDescent="0.25">
      <c r="A240" s="4" t="s">
        <v>21</v>
      </c>
      <c r="B240" s="4" t="s">
        <v>45</v>
      </c>
      <c r="C240" s="4" t="s">
        <v>41</v>
      </c>
      <c r="D240" s="4" t="s">
        <v>52</v>
      </c>
      <c r="E240" s="4" t="s">
        <v>53</v>
      </c>
      <c r="F240" s="4" t="s">
        <v>25</v>
      </c>
      <c r="G240" s="4" t="s">
        <v>25</v>
      </c>
      <c r="H240" s="4" t="s">
        <v>35</v>
      </c>
      <c r="I240" s="5">
        <v>44044</v>
      </c>
      <c r="J240" s="6">
        <v>3878</v>
      </c>
      <c r="K240" s="70">
        <v>3878</v>
      </c>
      <c r="L240" s="6">
        <v>259.03699999999998</v>
      </c>
      <c r="M240" s="71">
        <v>259.03699999999998</v>
      </c>
      <c r="N240" s="6">
        <v>259.03699999999998</v>
      </c>
      <c r="O240" s="71">
        <v>259.03699999999998</v>
      </c>
      <c r="P240" s="6">
        <v>0</v>
      </c>
      <c r="Q240" s="4" t="s">
        <v>26</v>
      </c>
      <c r="R240" s="4">
        <v>0</v>
      </c>
      <c r="S240" s="6">
        <v>11</v>
      </c>
      <c r="T240" s="6">
        <v>13</v>
      </c>
      <c r="U240" s="6">
        <v>79</v>
      </c>
      <c r="V240" s="71">
        <f>IF(ISERROR(VLOOKUP($S$240,'TAR FIN'!$A$1:$O$120,15,0)),0,VLOOKUP($S$240,'TAR FIN'!$A$1:$O$120,15,0))*(1-0.12)</f>
        <v>20.187200000000001</v>
      </c>
      <c r="W240" s="71">
        <f>IF(ISERROR(VLOOKUP($T$240,'TAR FIN'!$A$1:$O$120,15,0)),0,VLOOKUP($T$240,'TAR FIN'!$A$1:$O$120,15,0))*(1-0.12)</f>
        <v>74.316000000000003</v>
      </c>
      <c r="X240" s="71">
        <f>IF(ISERROR(VLOOKUP($U$240,'TAR FIN'!$A$1:$O$120,15,0)),0,VLOOKUP($U$240,'TAR FIN'!$A$1:$O$120,15,0))*(1-0.12)</f>
        <v>379.16559999999998</v>
      </c>
      <c r="Y240" s="71">
        <f ca="1">('TUSD BE'!$AM$15+'TUSD BF'!$AM$15+'TUSD CVA'!$AM$15)*1*(1-0.09)</f>
        <v>24.766817708975264</v>
      </c>
      <c r="Z240" s="71">
        <f ca="1">('TUSD BE'!$AM$17+'TUSD BF'!$AM$17+'TUSD CVA'!$AM$17)*1*(1-0.09)</f>
        <v>79.642619388381775</v>
      </c>
      <c r="AA240" s="71">
        <f>('TE BE'!$AA$7+'TE BF'!$AA$7+'TE CVA'!$AA$7)*1*(1-0.09)</f>
        <v>341.87954044517699</v>
      </c>
      <c r="AB240" s="6">
        <f>$K$240*$V$240</f>
        <v>78285.96160000001</v>
      </c>
      <c r="AC240" s="6">
        <f>$M$240*$W$240</f>
        <v>19250.593691999999</v>
      </c>
      <c r="AD240" s="6">
        <f>$O$240*$X$240</f>
        <v>98217.919527199992</v>
      </c>
      <c r="AE240" s="6">
        <f ca="1">$K$240*$Y$240</f>
        <v>96045.719075406072</v>
      </c>
      <c r="AF240" s="6">
        <f ca="1">$M$240*$Z$240</f>
        <v>20630.385198508247</v>
      </c>
      <c r="AG240" s="6">
        <f>$O$240*$AA$240</f>
        <v>88559.450518297308</v>
      </c>
    </row>
    <row r="241" spans="1:33" ht="11.25" customHeight="1" x14ac:dyDescent="0.25">
      <c r="A241" s="4" t="s">
        <v>59</v>
      </c>
      <c r="B241" s="4" t="s">
        <v>45</v>
      </c>
      <c r="C241" s="4" t="s">
        <v>41</v>
      </c>
      <c r="D241" s="4" t="s">
        <v>52</v>
      </c>
      <c r="E241" s="4" t="s">
        <v>53</v>
      </c>
      <c r="F241" s="4" t="s">
        <v>25</v>
      </c>
      <c r="G241" s="4" t="s">
        <v>25</v>
      </c>
      <c r="H241" s="4" t="s">
        <v>35</v>
      </c>
      <c r="I241" s="5">
        <v>44075</v>
      </c>
      <c r="J241" s="6">
        <v>3878</v>
      </c>
      <c r="K241" s="70">
        <v>3878</v>
      </c>
      <c r="L241" s="6">
        <v>259.03699999999998</v>
      </c>
      <c r="M241" s="71">
        <v>259.03699999999998</v>
      </c>
      <c r="N241" s="6">
        <v>259.03699999999998</v>
      </c>
      <c r="O241" s="71">
        <v>259.03699999999998</v>
      </c>
      <c r="P241" s="6">
        <v>0</v>
      </c>
      <c r="Q241" s="4" t="s">
        <v>26</v>
      </c>
      <c r="R241" s="4">
        <v>0</v>
      </c>
      <c r="S241" s="6">
        <v>11</v>
      </c>
      <c r="T241" s="6">
        <v>13</v>
      </c>
      <c r="U241" s="6">
        <v>79</v>
      </c>
      <c r="V241" s="71">
        <f>IF(ISERROR(VLOOKUP($S$241,'TAR FIN'!$A$1:$O$120,15,0)),0,VLOOKUP($S$241,'TAR FIN'!$A$1:$O$120,15,0))*(1-0.12)</f>
        <v>20.187200000000001</v>
      </c>
      <c r="W241" s="71">
        <f>IF(ISERROR(VLOOKUP($T$241,'TAR FIN'!$A$1:$O$120,15,0)),0,VLOOKUP($T$241,'TAR FIN'!$A$1:$O$120,15,0))*(1-0.12)</f>
        <v>74.316000000000003</v>
      </c>
      <c r="X241" s="71">
        <f>IF(ISERROR(VLOOKUP($U$241,'TAR FIN'!$A$1:$O$120,15,0)),0,VLOOKUP($U$241,'TAR FIN'!$A$1:$O$120,15,0))*(1-0.12)</f>
        <v>379.16559999999998</v>
      </c>
      <c r="Y241" s="71">
        <f ca="1">('TUSD BE'!$AM$15+'TUSD BF'!$AM$15+'TUSD CVA'!$AM$15)*1*(1-0.09)</f>
        <v>24.766817708975264</v>
      </c>
      <c r="Z241" s="71">
        <f ca="1">('TUSD BE'!$AM$17+'TUSD BF'!$AM$17+'TUSD CVA'!$AM$17)*1*(1-0.09)</f>
        <v>79.642619388381775</v>
      </c>
      <c r="AA241" s="71">
        <f>('TE BE'!$AA$7+'TE BF'!$AA$7+'TE CVA'!$AA$7)*1*(1-0.09)</f>
        <v>341.87954044517699</v>
      </c>
      <c r="AB241" s="6">
        <f>$K$241*$V$241</f>
        <v>78285.96160000001</v>
      </c>
      <c r="AC241" s="6">
        <f>$M$241*$W$241</f>
        <v>19250.593691999999</v>
      </c>
      <c r="AD241" s="6">
        <f>$O$241*$X$241</f>
        <v>98217.919527199992</v>
      </c>
      <c r="AE241" s="6">
        <f ca="1">$K$241*$Y$241</f>
        <v>96045.719075406072</v>
      </c>
      <c r="AF241" s="6">
        <f ca="1">$M$241*$Z$241</f>
        <v>20630.385198508247</v>
      </c>
      <c r="AG241" s="6">
        <f>$O$241*$AA$241</f>
        <v>88559.450518297308</v>
      </c>
    </row>
    <row r="242" spans="1:33" ht="11.25" customHeight="1" x14ac:dyDescent="0.25">
      <c r="A242" s="4" t="s">
        <v>21</v>
      </c>
      <c r="B242" s="4" t="s">
        <v>45</v>
      </c>
      <c r="C242" s="4" t="s">
        <v>64</v>
      </c>
      <c r="D242" s="4" t="s">
        <v>25</v>
      </c>
      <c r="E242" s="4" t="s">
        <v>25</v>
      </c>
      <c r="F242" s="4" t="s">
        <v>25</v>
      </c>
      <c r="G242" s="4" t="s">
        <v>65</v>
      </c>
      <c r="H242" s="4" t="s">
        <v>25</v>
      </c>
      <c r="I242" s="5">
        <v>43739</v>
      </c>
      <c r="J242" s="6">
        <v>24000</v>
      </c>
      <c r="K242" s="6">
        <v>15036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4" t="s">
        <v>66</v>
      </c>
      <c r="R242" s="4">
        <v>1975</v>
      </c>
      <c r="S242" s="6">
        <v>15</v>
      </c>
      <c r="T242" s="6">
        <v>0</v>
      </c>
      <c r="U242" s="6">
        <v>0</v>
      </c>
      <c r="V242" s="6">
        <f>IF(ISERROR(VLOOKUP($S$242,'TAR FIN'!$A$1:$O$120,15,0)),0,VLOOKUP($S$242,'TAR FIN'!$A$1:$O$120,15,0))</f>
        <v>3.6</v>
      </c>
      <c r="W242" s="6">
        <f>IF(ISERROR(VLOOKUP($T$242,'TAR FIN'!$A$1:$O$120,15,0)),0,VLOOKUP($T$242,'TAR FIN'!$A$1:$O$120,15,0))</f>
        <v>0</v>
      </c>
      <c r="X242" s="6">
        <f>IF(ISERROR(VLOOKUP($U$242,'TAR FIN'!$A$1:$O$120,15,0)),0,VLOOKUP($U$242,'TAR FIN'!$A$1:$O$120,15,0))</f>
        <v>0</v>
      </c>
      <c r="Y242" s="6">
        <f ca="1">('TUSD BE'!$AM$19+'TUSD BF'!$AM$19+'TUSD CVA'!$AM$19)*1</f>
        <v>3.7060942662492113</v>
      </c>
      <c r="Z242" s="6"/>
      <c r="AA242" s="6"/>
      <c r="AB242" s="6">
        <f>$K$242*$V$242</f>
        <v>54129.599999999999</v>
      </c>
      <c r="AC242" s="6">
        <f>$M$242*$W$242</f>
        <v>0</v>
      </c>
      <c r="AD242" s="6">
        <f>$O$242*$X$242</f>
        <v>0</v>
      </c>
      <c r="AE242" s="6">
        <f ca="1">$K$242*$Y$242</f>
        <v>55724.833387323139</v>
      </c>
      <c r="AF242" s="6">
        <f>$M$242*$Z$242</f>
        <v>0</v>
      </c>
      <c r="AG242" s="6">
        <f>$O$242*$AA$242</f>
        <v>0</v>
      </c>
    </row>
    <row r="243" spans="1:33" ht="11.25" customHeight="1" x14ac:dyDescent="0.25">
      <c r="A243" s="4" t="s">
        <v>21</v>
      </c>
      <c r="B243" s="4" t="s">
        <v>45</v>
      </c>
      <c r="C243" s="4" t="s">
        <v>64</v>
      </c>
      <c r="D243" s="4" t="s">
        <v>25</v>
      </c>
      <c r="E243" s="4" t="s">
        <v>25</v>
      </c>
      <c r="F243" s="4" t="s">
        <v>25</v>
      </c>
      <c r="G243" s="4" t="s">
        <v>65</v>
      </c>
      <c r="H243" s="4" t="s">
        <v>25</v>
      </c>
      <c r="I243" s="5">
        <v>43770</v>
      </c>
      <c r="J243" s="6">
        <v>24000</v>
      </c>
      <c r="K243" s="6">
        <v>13956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4" t="s">
        <v>66</v>
      </c>
      <c r="R243" s="4">
        <v>1975</v>
      </c>
      <c r="S243" s="6">
        <v>15</v>
      </c>
      <c r="T243" s="6">
        <v>0</v>
      </c>
      <c r="U243" s="6">
        <v>0</v>
      </c>
      <c r="V243" s="6">
        <f>IF(ISERROR(VLOOKUP($S$243,'TAR FIN'!$A$1:$O$120,15,0)),0,VLOOKUP($S$243,'TAR FIN'!$A$1:$O$120,15,0))</f>
        <v>3.6</v>
      </c>
      <c r="W243" s="6">
        <f>IF(ISERROR(VLOOKUP($T$243,'TAR FIN'!$A$1:$O$120,15,0)),0,VLOOKUP($T$243,'TAR FIN'!$A$1:$O$120,15,0))</f>
        <v>0</v>
      </c>
      <c r="X243" s="6">
        <f>IF(ISERROR(VLOOKUP($U$243,'TAR FIN'!$A$1:$O$120,15,0)),0,VLOOKUP($U$243,'TAR FIN'!$A$1:$O$120,15,0))</f>
        <v>0</v>
      </c>
      <c r="Y243" s="6">
        <f ca="1">('TUSD BE'!$AM$19+'TUSD BF'!$AM$19+'TUSD CVA'!$AM$19)*1</f>
        <v>3.7060942662492113</v>
      </c>
      <c r="Z243" s="6"/>
      <c r="AA243" s="6"/>
      <c r="AB243" s="6">
        <f>$K$243*$V$243</f>
        <v>50241.599999999999</v>
      </c>
      <c r="AC243" s="6">
        <f>$M$243*$W$243</f>
        <v>0</v>
      </c>
      <c r="AD243" s="6">
        <f>$O$243*$X$243</f>
        <v>0</v>
      </c>
      <c r="AE243" s="6">
        <f ca="1">$K$243*$Y$243</f>
        <v>51722.251579773991</v>
      </c>
      <c r="AF243" s="6">
        <f>$M$243*$Z$243</f>
        <v>0</v>
      </c>
      <c r="AG243" s="6">
        <f>$O$243*$AA$243</f>
        <v>0</v>
      </c>
    </row>
    <row r="244" spans="1:33" ht="11.25" customHeight="1" x14ac:dyDescent="0.25">
      <c r="A244" s="4" t="s">
        <v>21</v>
      </c>
      <c r="B244" s="4" t="s">
        <v>45</v>
      </c>
      <c r="C244" s="4" t="s">
        <v>64</v>
      </c>
      <c r="D244" s="4" t="s">
        <v>25</v>
      </c>
      <c r="E244" s="4" t="s">
        <v>25</v>
      </c>
      <c r="F244" s="4" t="s">
        <v>25</v>
      </c>
      <c r="G244" s="4" t="s">
        <v>65</v>
      </c>
      <c r="H244" s="4" t="s">
        <v>25</v>
      </c>
      <c r="I244" s="5">
        <v>43800</v>
      </c>
      <c r="J244" s="6">
        <v>24000</v>
      </c>
      <c r="K244" s="6">
        <v>14023.2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4" t="s">
        <v>66</v>
      </c>
      <c r="R244" s="4">
        <v>1975</v>
      </c>
      <c r="S244" s="6">
        <v>15</v>
      </c>
      <c r="T244" s="6">
        <v>0</v>
      </c>
      <c r="U244" s="6">
        <v>0</v>
      </c>
      <c r="V244" s="6">
        <f>IF(ISERROR(VLOOKUP($S$244,'TAR FIN'!$A$1:$O$120,15,0)),0,VLOOKUP($S$244,'TAR FIN'!$A$1:$O$120,15,0))</f>
        <v>3.6</v>
      </c>
      <c r="W244" s="6">
        <f>IF(ISERROR(VLOOKUP($T$244,'TAR FIN'!$A$1:$O$120,15,0)),0,VLOOKUP($T$244,'TAR FIN'!$A$1:$O$120,15,0))</f>
        <v>0</v>
      </c>
      <c r="X244" s="6">
        <f>IF(ISERROR(VLOOKUP($U$244,'TAR FIN'!$A$1:$O$120,15,0)),0,VLOOKUP($U$244,'TAR FIN'!$A$1:$O$120,15,0))</f>
        <v>0</v>
      </c>
      <c r="Y244" s="6">
        <f ca="1">('TUSD BE'!$AM$19+'TUSD BF'!$AM$19+'TUSD CVA'!$AM$19)*1</f>
        <v>3.7060942662492113</v>
      </c>
      <c r="Z244" s="6"/>
      <c r="AA244" s="6"/>
      <c r="AB244" s="6">
        <f>$K$244*$V$244</f>
        <v>50483.520000000004</v>
      </c>
      <c r="AC244" s="6">
        <f>$M$244*$W$244</f>
        <v>0</v>
      </c>
      <c r="AD244" s="6">
        <f>$O$244*$X$244</f>
        <v>0</v>
      </c>
      <c r="AE244" s="6">
        <f ca="1">$K$244*$Y$244</f>
        <v>51971.301114465947</v>
      </c>
      <c r="AF244" s="6">
        <f>$M$244*$Z$244</f>
        <v>0</v>
      </c>
      <c r="AG244" s="6">
        <f>$O$244*$AA$244</f>
        <v>0</v>
      </c>
    </row>
    <row r="245" spans="1:33" ht="11.25" customHeight="1" x14ac:dyDescent="0.25">
      <c r="A245" s="4" t="s">
        <v>21</v>
      </c>
      <c r="B245" s="4" t="s">
        <v>45</v>
      </c>
      <c r="C245" s="4" t="s">
        <v>64</v>
      </c>
      <c r="D245" s="4" t="s">
        <v>25</v>
      </c>
      <c r="E245" s="4" t="s">
        <v>25</v>
      </c>
      <c r="F245" s="4" t="s">
        <v>25</v>
      </c>
      <c r="G245" s="4" t="s">
        <v>65</v>
      </c>
      <c r="H245" s="4" t="s">
        <v>25</v>
      </c>
      <c r="I245" s="5">
        <v>43831</v>
      </c>
      <c r="J245" s="6">
        <v>24000</v>
      </c>
      <c r="K245" s="6">
        <v>13870.8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4" t="s">
        <v>66</v>
      </c>
      <c r="R245" s="4">
        <v>1975</v>
      </c>
      <c r="S245" s="6">
        <v>15</v>
      </c>
      <c r="T245" s="6">
        <v>0</v>
      </c>
      <c r="U245" s="6">
        <v>0</v>
      </c>
      <c r="V245" s="6">
        <f>IF(ISERROR(VLOOKUP($S$245,'TAR FIN'!$A$1:$O$120,15,0)),0,VLOOKUP($S$245,'TAR FIN'!$A$1:$O$120,15,0))</f>
        <v>3.6</v>
      </c>
      <c r="W245" s="6">
        <f>IF(ISERROR(VLOOKUP($T$245,'TAR FIN'!$A$1:$O$120,15,0)),0,VLOOKUP($T$245,'TAR FIN'!$A$1:$O$120,15,0))</f>
        <v>0</v>
      </c>
      <c r="X245" s="6">
        <f>IF(ISERROR(VLOOKUP($U$245,'TAR FIN'!$A$1:$O$120,15,0)),0,VLOOKUP($U$245,'TAR FIN'!$A$1:$O$120,15,0))</f>
        <v>0</v>
      </c>
      <c r="Y245" s="6">
        <f ca="1">('TUSD BE'!$AM$19+'TUSD BF'!$AM$19+'TUSD CVA'!$AM$19)*1</f>
        <v>3.7060942662492113</v>
      </c>
      <c r="Z245" s="6"/>
      <c r="AA245" s="6"/>
      <c r="AB245" s="6">
        <f>$K$245*$V$245</f>
        <v>49934.879999999997</v>
      </c>
      <c r="AC245" s="6">
        <f>$M$245*$W$245</f>
        <v>0</v>
      </c>
      <c r="AD245" s="6">
        <f>$O$245*$X$245</f>
        <v>0</v>
      </c>
      <c r="AE245" s="6">
        <f ca="1">$K$245*$Y$245</f>
        <v>51406.492348289561</v>
      </c>
      <c r="AF245" s="6">
        <f>$M$245*$Z$245</f>
        <v>0</v>
      </c>
      <c r="AG245" s="6">
        <f>$O$245*$AA$245</f>
        <v>0</v>
      </c>
    </row>
    <row r="246" spans="1:33" ht="11.25" customHeight="1" x14ac:dyDescent="0.25">
      <c r="A246" s="4" t="s">
        <v>21</v>
      </c>
      <c r="B246" s="4" t="s">
        <v>45</v>
      </c>
      <c r="C246" s="4" t="s">
        <v>64</v>
      </c>
      <c r="D246" s="4" t="s">
        <v>25</v>
      </c>
      <c r="E246" s="4" t="s">
        <v>25</v>
      </c>
      <c r="F246" s="4" t="s">
        <v>25</v>
      </c>
      <c r="G246" s="4" t="s">
        <v>65</v>
      </c>
      <c r="H246" s="4" t="s">
        <v>25</v>
      </c>
      <c r="I246" s="5">
        <v>43862</v>
      </c>
      <c r="J246" s="6">
        <v>24000</v>
      </c>
      <c r="K246" s="6">
        <v>13872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4" t="s">
        <v>66</v>
      </c>
      <c r="R246" s="4">
        <v>1975</v>
      </c>
      <c r="S246" s="6">
        <v>15</v>
      </c>
      <c r="T246" s="6">
        <v>0</v>
      </c>
      <c r="U246" s="6">
        <v>0</v>
      </c>
      <c r="V246" s="6">
        <f>IF(ISERROR(VLOOKUP($S$246,'TAR FIN'!$A$1:$O$120,15,0)),0,VLOOKUP($S$246,'TAR FIN'!$A$1:$O$120,15,0))</f>
        <v>3.6</v>
      </c>
      <c r="W246" s="6">
        <f>IF(ISERROR(VLOOKUP($T$246,'TAR FIN'!$A$1:$O$120,15,0)),0,VLOOKUP($T$246,'TAR FIN'!$A$1:$O$120,15,0))</f>
        <v>0</v>
      </c>
      <c r="X246" s="6">
        <f>IF(ISERROR(VLOOKUP($U$246,'TAR FIN'!$A$1:$O$120,15,0)),0,VLOOKUP($U$246,'TAR FIN'!$A$1:$O$120,15,0))</f>
        <v>0</v>
      </c>
      <c r="Y246" s="6">
        <f ca="1">('TUSD BE'!$AM$19+'TUSD BF'!$AM$19+'TUSD CVA'!$AM$19)*1</f>
        <v>3.7060942662492113</v>
      </c>
      <c r="Z246" s="6"/>
      <c r="AA246" s="6"/>
      <c r="AB246" s="6">
        <f>$K$246*$V$246</f>
        <v>49939.200000000004</v>
      </c>
      <c r="AC246" s="6">
        <f>$M$246*$W$246</f>
        <v>0</v>
      </c>
      <c r="AD246" s="6">
        <f>$O$246*$X$246</f>
        <v>0</v>
      </c>
      <c r="AE246" s="6">
        <f ca="1">$K$246*$Y$246</f>
        <v>51410.939661409058</v>
      </c>
      <c r="AF246" s="6">
        <f>$M$246*$Z$246</f>
        <v>0</v>
      </c>
      <c r="AG246" s="6">
        <f>$O$246*$AA$246</f>
        <v>0</v>
      </c>
    </row>
    <row r="247" spans="1:33" ht="11.25" customHeight="1" x14ac:dyDescent="0.25">
      <c r="A247" s="4" t="s">
        <v>21</v>
      </c>
      <c r="B247" s="4" t="s">
        <v>45</v>
      </c>
      <c r="C247" s="4" t="s">
        <v>64</v>
      </c>
      <c r="D247" s="4" t="s">
        <v>25</v>
      </c>
      <c r="E247" s="4" t="s">
        <v>25</v>
      </c>
      <c r="F247" s="4" t="s">
        <v>25</v>
      </c>
      <c r="G247" s="4" t="s">
        <v>65</v>
      </c>
      <c r="H247" s="4" t="s">
        <v>25</v>
      </c>
      <c r="I247" s="5">
        <v>43891</v>
      </c>
      <c r="J247" s="6">
        <v>24000</v>
      </c>
      <c r="K247" s="6">
        <v>13851.6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4" t="s">
        <v>66</v>
      </c>
      <c r="R247" s="4">
        <v>1975</v>
      </c>
      <c r="S247" s="6">
        <v>15</v>
      </c>
      <c r="T247" s="6">
        <v>0</v>
      </c>
      <c r="U247" s="6">
        <v>0</v>
      </c>
      <c r="V247" s="6">
        <f>IF(ISERROR(VLOOKUP($S$247,'TAR FIN'!$A$1:$O$120,15,0)),0,VLOOKUP($S$247,'TAR FIN'!$A$1:$O$120,15,0))</f>
        <v>3.6</v>
      </c>
      <c r="W247" s="6">
        <f>IF(ISERROR(VLOOKUP($T$247,'TAR FIN'!$A$1:$O$120,15,0)),0,VLOOKUP($T$247,'TAR FIN'!$A$1:$O$120,15,0))</f>
        <v>0</v>
      </c>
      <c r="X247" s="6">
        <f>IF(ISERROR(VLOOKUP($U$247,'TAR FIN'!$A$1:$O$120,15,0)),0,VLOOKUP($U$247,'TAR FIN'!$A$1:$O$120,15,0))</f>
        <v>0</v>
      </c>
      <c r="Y247" s="6">
        <f ca="1">('TUSD BE'!$AM$19+'TUSD BF'!$AM$19+'TUSD CVA'!$AM$19)*1</f>
        <v>3.7060942662492113</v>
      </c>
      <c r="Z247" s="6"/>
      <c r="AA247" s="6"/>
      <c r="AB247" s="6">
        <f>$K$247*$V$247</f>
        <v>49865.760000000002</v>
      </c>
      <c r="AC247" s="6">
        <f>$M$247*$W$247</f>
        <v>0</v>
      </c>
      <c r="AD247" s="6">
        <f>$O$247*$X$247</f>
        <v>0</v>
      </c>
      <c r="AE247" s="6">
        <f ca="1">$K$247*$Y$247</f>
        <v>51335.335338377576</v>
      </c>
      <c r="AF247" s="6">
        <f>$M$247*$Z$247</f>
        <v>0</v>
      </c>
      <c r="AG247" s="6">
        <f>$O$247*$AA$247</f>
        <v>0</v>
      </c>
    </row>
    <row r="248" spans="1:33" ht="11.25" customHeight="1" x14ac:dyDescent="0.25">
      <c r="A248" s="4" t="s">
        <v>21</v>
      </c>
      <c r="B248" s="4" t="s">
        <v>45</v>
      </c>
      <c r="C248" s="4" t="s">
        <v>64</v>
      </c>
      <c r="D248" s="4" t="s">
        <v>25</v>
      </c>
      <c r="E248" s="4" t="s">
        <v>25</v>
      </c>
      <c r="F248" s="4" t="s">
        <v>25</v>
      </c>
      <c r="G248" s="4" t="s">
        <v>65</v>
      </c>
      <c r="H248" s="4" t="s">
        <v>25</v>
      </c>
      <c r="I248" s="5">
        <v>43922</v>
      </c>
      <c r="J248" s="6">
        <v>24000</v>
      </c>
      <c r="K248" s="6">
        <v>13862.4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4" t="s">
        <v>66</v>
      </c>
      <c r="R248" s="4">
        <v>1975</v>
      </c>
      <c r="S248" s="6">
        <v>15</v>
      </c>
      <c r="T248" s="6">
        <v>0</v>
      </c>
      <c r="U248" s="6">
        <v>0</v>
      </c>
      <c r="V248" s="6">
        <f>IF(ISERROR(VLOOKUP($S$248,'TAR FIN'!$A$1:$O$120,15,0)),0,VLOOKUP($S$248,'TAR FIN'!$A$1:$O$120,15,0))</f>
        <v>3.6</v>
      </c>
      <c r="W248" s="6">
        <f>IF(ISERROR(VLOOKUP($T$248,'TAR FIN'!$A$1:$O$120,15,0)),0,VLOOKUP($T$248,'TAR FIN'!$A$1:$O$120,15,0))</f>
        <v>0</v>
      </c>
      <c r="X248" s="6">
        <f>IF(ISERROR(VLOOKUP($U$248,'TAR FIN'!$A$1:$O$120,15,0)),0,VLOOKUP($U$248,'TAR FIN'!$A$1:$O$120,15,0))</f>
        <v>0</v>
      </c>
      <c r="Y248" s="6">
        <f ca="1">('TUSD BE'!$AM$19+'TUSD BF'!$AM$19+'TUSD CVA'!$AM$19)*1</f>
        <v>3.7060942662492113</v>
      </c>
      <c r="Z248" s="6"/>
      <c r="AA248" s="6"/>
      <c r="AB248" s="6">
        <f>$K$248*$V$248</f>
        <v>49904.639999999999</v>
      </c>
      <c r="AC248" s="6">
        <f>$M$248*$W$248</f>
        <v>0</v>
      </c>
      <c r="AD248" s="6">
        <f>$O$248*$X$248</f>
        <v>0</v>
      </c>
      <c r="AE248" s="6">
        <f ca="1">$K$248*$Y$248</f>
        <v>51375.361156453066</v>
      </c>
      <c r="AF248" s="6">
        <f>$M$248*$Z$248</f>
        <v>0</v>
      </c>
      <c r="AG248" s="6">
        <f>$O$248*$AA$248</f>
        <v>0</v>
      </c>
    </row>
    <row r="249" spans="1:33" ht="11.25" customHeight="1" x14ac:dyDescent="0.25">
      <c r="A249" s="4" t="s">
        <v>21</v>
      </c>
      <c r="B249" s="4" t="s">
        <v>45</v>
      </c>
      <c r="C249" s="4" t="s">
        <v>64</v>
      </c>
      <c r="D249" s="4" t="s">
        <v>25</v>
      </c>
      <c r="E249" s="4" t="s">
        <v>25</v>
      </c>
      <c r="F249" s="4" t="s">
        <v>25</v>
      </c>
      <c r="G249" s="4" t="s">
        <v>65</v>
      </c>
      <c r="H249" s="4" t="s">
        <v>25</v>
      </c>
      <c r="I249" s="5">
        <v>43952</v>
      </c>
      <c r="J249" s="6">
        <v>24000</v>
      </c>
      <c r="K249" s="6">
        <v>13870.8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4" t="s">
        <v>66</v>
      </c>
      <c r="R249" s="4">
        <v>1975</v>
      </c>
      <c r="S249" s="6">
        <v>15</v>
      </c>
      <c r="T249" s="6">
        <v>0</v>
      </c>
      <c r="U249" s="6">
        <v>0</v>
      </c>
      <c r="V249" s="6">
        <f>IF(ISERROR(VLOOKUP($S$249,'TAR FIN'!$A$1:$O$120,15,0)),0,VLOOKUP($S$249,'TAR FIN'!$A$1:$O$120,15,0))</f>
        <v>3.6</v>
      </c>
      <c r="W249" s="6">
        <f>IF(ISERROR(VLOOKUP($T$249,'TAR FIN'!$A$1:$O$120,15,0)),0,VLOOKUP($T$249,'TAR FIN'!$A$1:$O$120,15,0))</f>
        <v>0</v>
      </c>
      <c r="X249" s="6">
        <f>IF(ISERROR(VLOOKUP($U$249,'TAR FIN'!$A$1:$O$120,15,0)),0,VLOOKUP($U$249,'TAR FIN'!$A$1:$O$120,15,0))</f>
        <v>0</v>
      </c>
      <c r="Y249" s="6">
        <f ca="1">('TUSD BE'!$AM$19+'TUSD BF'!$AM$19+'TUSD CVA'!$AM$19)*1</f>
        <v>3.7060942662492113</v>
      </c>
      <c r="Z249" s="6"/>
      <c r="AA249" s="6"/>
      <c r="AB249" s="6">
        <f>$K$249*$V$249</f>
        <v>49934.879999999997</v>
      </c>
      <c r="AC249" s="6">
        <f>$M$249*$W$249</f>
        <v>0</v>
      </c>
      <c r="AD249" s="6">
        <f>$O$249*$X$249</f>
        <v>0</v>
      </c>
      <c r="AE249" s="6">
        <f ca="1">$K$249*$Y$249</f>
        <v>51406.492348289561</v>
      </c>
      <c r="AF249" s="6">
        <f>$M$249*$Z$249</f>
        <v>0</v>
      </c>
      <c r="AG249" s="6">
        <f>$O$249*$AA$249</f>
        <v>0</v>
      </c>
    </row>
    <row r="250" spans="1:33" ht="11.25" customHeight="1" x14ac:dyDescent="0.25">
      <c r="A250" s="4" t="s">
        <v>21</v>
      </c>
      <c r="B250" s="4" t="s">
        <v>45</v>
      </c>
      <c r="C250" s="4" t="s">
        <v>64</v>
      </c>
      <c r="D250" s="4" t="s">
        <v>25</v>
      </c>
      <c r="E250" s="4" t="s">
        <v>25</v>
      </c>
      <c r="F250" s="4" t="s">
        <v>25</v>
      </c>
      <c r="G250" s="4" t="s">
        <v>65</v>
      </c>
      <c r="H250" s="4" t="s">
        <v>25</v>
      </c>
      <c r="I250" s="5">
        <v>43983</v>
      </c>
      <c r="J250" s="6">
        <v>24000</v>
      </c>
      <c r="K250" s="6">
        <v>13812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4" t="s">
        <v>66</v>
      </c>
      <c r="R250" s="4">
        <v>1975</v>
      </c>
      <c r="S250" s="6">
        <v>15</v>
      </c>
      <c r="T250" s="6">
        <v>0</v>
      </c>
      <c r="U250" s="6">
        <v>0</v>
      </c>
      <c r="V250" s="6">
        <f>IF(ISERROR(VLOOKUP($S$250,'TAR FIN'!$A$1:$O$120,15,0)),0,VLOOKUP($S$250,'TAR FIN'!$A$1:$O$120,15,0))</f>
        <v>3.6</v>
      </c>
      <c r="W250" s="6">
        <f>IF(ISERROR(VLOOKUP($T$250,'TAR FIN'!$A$1:$O$120,15,0)),0,VLOOKUP($T$250,'TAR FIN'!$A$1:$O$120,15,0))</f>
        <v>0</v>
      </c>
      <c r="X250" s="6">
        <f>IF(ISERROR(VLOOKUP($U$250,'TAR FIN'!$A$1:$O$120,15,0)),0,VLOOKUP($U$250,'TAR FIN'!$A$1:$O$120,15,0))</f>
        <v>0</v>
      </c>
      <c r="Y250" s="6">
        <f ca="1">('TUSD BE'!$AM$19+'TUSD BF'!$AM$19+'TUSD CVA'!$AM$19)*1</f>
        <v>3.7060942662492113</v>
      </c>
      <c r="Z250" s="6"/>
      <c r="AA250" s="6"/>
      <c r="AB250" s="6">
        <f>$K$250*$V$250</f>
        <v>49723.200000000004</v>
      </c>
      <c r="AC250" s="6">
        <f>$M$250*$W$250</f>
        <v>0</v>
      </c>
      <c r="AD250" s="6">
        <f>$O$250*$X$250</f>
        <v>0</v>
      </c>
      <c r="AE250" s="6">
        <f ca="1">$K$250*$Y$250</f>
        <v>51188.574005434108</v>
      </c>
      <c r="AF250" s="6">
        <f>$M$250*$Z$250</f>
        <v>0</v>
      </c>
      <c r="AG250" s="6">
        <f>$O$250*$AA$250</f>
        <v>0</v>
      </c>
    </row>
    <row r="251" spans="1:33" ht="11.25" customHeight="1" x14ac:dyDescent="0.25">
      <c r="A251" s="4" t="s">
        <v>21</v>
      </c>
      <c r="B251" s="4" t="s">
        <v>45</v>
      </c>
      <c r="C251" s="4" t="s">
        <v>64</v>
      </c>
      <c r="D251" s="4" t="s">
        <v>25</v>
      </c>
      <c r="E251" s="4" t="s">
        <v>25</v>
      </c>
      <c r="F251" s="4" t="s">
        <v>25</v>
      </c>
      <c r="G251" s="4" t="s">
        <v>65</v>
      </c>
      <c r="H251" s="4" t="s">
        <v>25</v>
      </c>
      <c r="I251" s="5">
        <v>44013</v>
      </c>
      <c r="J251" s="6">
        <v>24000</v>
      </c>
      <c r="K251" s="6">
        <v>13790.4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4" t="s">
        <v>66</v>
      </c>
      <c r="R251" s="4">
        <v>1975</v>
      </c>
      <c r="S251" s="6">
        <v>15</v>
      </c>
      <c r="T251" s="6">
        <v>0</v>
      </c>
      <c r="U251" s="6">
        <v>0</v>
      </c>
      <c r="V251" s="6">
        <f>IF(ISERROR(VLOOKUP($S$251,'TAR FIN'!$A$1:$O$120,15,0)),0,VLOOKUP($S$251,'TAR FIN'!$A$1:$O$120,15,0))</f>
        <v>3.6</v>
      </c>
      <c r="W251" s="6">
        <f>IF(ISERROR(VLOOKUP($T$251,'TAR FIN'!$A$1:$O$120,15,0)),0,VLOOKUP($T$251,'TAR FIN'!$A$1:$O$120,15,0))</f>
        <v>0</v>
      </c>
      <c r="X251" s="6">
        <f>IF(ISERROR(VLOOKUP($U$251,'TAR FIN'!$A$1:$O$120,15,0)),0,VLOOKUP($U$251,'TAR FIN'!$A$1:$O$120,15,0))</f>
        <v>0</v>
      </c>
      <c r="Y251" s="6">
        <f ca="1">('TUSD BE'!$AM$19+'TUSD BF'!$AM$19+'TUSD CVA'!$AM$19)*1</f>
        <v>3.7060942662492113</v>
      </c>
      <c r="Z251" s="6"/>
      <c r="AA251" s="6"/>
      <c r="AB251" s="6">
        <f>$K$251*$V$251</f>
        <v>49645.440000000002</v>
      </c>
      <c r="AC251" s="6">
        <f>$M$251*$W$251</f>
        <v>0</v>
      </c>
      <c r="AD251" s="6">
        <f>$O$251*$X$251</f>
        <v>0</v>
      </c>
      <c r="AE251" s="6">
        <f ca="1">$K$251*$Y$251</f>
        <v>51108.52236928312</v>
      </c>
      <c r="AF251" s="6">
        <f>$M$251*$Z$251</f>
        <v>0</v>
      </c>
      <c r="AG251" s="6">
        <f>$O$251*$AA$251</f>
        <v>0</v>
      </c>
    </row>
    <row r="252" spans="1:33" ht="11.25" customHeight="1" x14ac:dyDescent="0.25">
      <c r="A252" s="4" t="s">
        <v>21</v>
      </c>
      <c r="B252" s="4" t="s">
        <v>45</v>
      </c>
      <c r="C252" s="4" t="s">
        <v>64</v>
      </c>
      <c r="D252" s="4" t="s">
        <v>25</v>
      </c>
      <c r="E252" s="4" t="s">
        <v>25</v>
      </c>
      <c r="F252" s="4" t="s">
        <v>25</v>
      </c>
      <c r="G252" s="4" t="s">
        <v>65</v>
      </c>
      <c r="H252" s="4" t="s">
        <v>25</v>
      </c>
      <c r="I252" s="5">
        <v>44044</v>
      </c>
      <c r="J252" s="6">
        <v>24000</v>
      </c>
      <c r="K252" s="6">
        <v>13778.4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4" t="s">
        <v>66</v>
      </c>
      <c r="R252" s="4">
        <v>1975</v>
      </c>
      <c r="S252" s="6">
        <v>15</v>
      </c>
      <c r="T252" s="6">
        <v>0</v>
      </c>
      <c r="U252" s="6">
        <v>0</v>
      </c>
      <c r="V252" s="6">
        <f>IF(ISERROR(VLOOKUP($S$252,'TAR FIN'!$A$1:$O$120,15,0)),0,VLOOKUP($S$252,'TAR FIN'!$A$1:$O$120,15,0))</f>
        <v>3.6</v>
      </c>
      <c r="W252" s="6">
        <f>IF(ISERROR(VLOOKUP($T$252,'TAR FIN'!$A$1:$O$120,15,0)),0,VLOOKUP($T$252,'TAR FIN'!$A$1:$O$120,15,0))</f>
        <v>0</v>
      </c>
      <c r="X252" s="6">
        <f>IF(ISERROR(VLOOKUP($U$252,'TAR FIN'!$A$1:$O$120,15,0)),0,VLOOKUP($U$252,'TAR FIN'!$A$1:$O$120,15,0))</f>
        <v>0</v>
      </c>
      <c r="Y252" s="6">
        <f ca="1">('TUSD BE'!$AM$19+'TUSD BF'!$AM$19+'TUSD CVA'!$AM$19)*1</f>
        <v>3.7060942662492113</v>
      </c>
      <c r="Z252" s="6"/>
      <c r="AA252" s="6"/>
      <c r="AB252" s="6">
        <f>$K$252*$V$252</f>
        <v>49602.239999999998</v>
      </c>
      <c r="AC252" s="6">
        <f>$M$252*$W$252</f>
        <v>0</v>
      </c>
      <c r="AD252" s="6">
        <f>$O$252*$X$252</f>
        <v>0</v>
      </c>
      <c r="AE252" s="6">
        <f ca="1">$K$252*$Y$252</f>
        <v>51064.049238088133</v>
      </c>
      <c r="AF252" s="6">
        <f>$M$252*$Z$252</f>
        <v>0</v>
      </c>
      <c r="AG252" s="6">
        <f>$O$252*$AA$252</f>
        <v>0</v>
      </c>
    </row>
    <row r="253" spans="1:33" ht="11.25" customHeight="1" x14ac:dyDescent="0.25">
      <c r="A253" s="4" t="s">
        <v>59</v>
      </c>
      <c r="B253" s="4" t="s">
        <v>45</v>
      </c>
      <c r="C253" s="4" t="s">
        <v>64</v>
      </c>
      <c r="D253" s="4" t="s">
        <v>25</v>
      </c>
      <c r="E253" s="4" t="s">
        <v>25</v>
      </c>
      <c r="F253" s="4" t="s">
        <v>25</v>
      </c>
      <c r="G253" s="4" t="s">
        <v>65</v>
      </c>
      <c r="H253" s="4" t="s">
        <v>25</v>
      </c>
      <c r="I253" s="5">
        <v>44075</v>
      </c>
      <c r="J253" s="6">
        <v>24000</v>
      </c>
      <c r="K253" s="6">
        <v>13778.4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4" t="s">
        <v>66</v>
      </c>
      <c r="R253" s="4">
        <v>1975</v>
      </c>
      <c r="S253" s="6">
        <v>15</v>
      </c>
      <c r="T253" s="6">
        <v>0</v>
      </c>
      <c r="U253" s="6">
        <v>0</v>
      </c>
      <c r="V253" s="6">
        <f>IF(ISERROR(VLOOKUP($S$253,'TAR FIN'!$A$1:$O$120,15,0)),0,VLOOKUP($S$253,'TAR FIN'!$A$1:$O$120,15,0))</f>
        <v>3.6</v>
      </c>
      <c r="W253" s="6">
        <f>IF(ISERROR(VLOOKUP($T$253,'TAR FIN'!$A$1:$O$120,15,0)),0,VLOOKUP($T$253,'TAR FIN'!$A$1:$O$120,15,0))</f>
        <v>0</v>
      </c>
      <c r="X253" s="6">
        <f>IF(ISERROR(VLOOKUP($U$253,'TAR FIN'!$A$1:$O$120,15,0)),0,VLOOKUP($U$253,'TAR FIN'!$A$1:$O$120,15,0))</f>
        <v>0</v>
      </c>
      <c r="Y253" s="6">
        <f ca="1">('TUSD BE'!$AM$19+'TUSD BF'!$AM$19+'TUSD CVA'!$AM$19)*1</f>
        <v>3.7060942662492113</v>
      </c>
      <c r="Z253" s="6"/>
      <c r="AA253" s="6"/>
      <c r="AB253" s="6">
        <f>$K$253*$V$253</f>
        <v>49602.239999999998</v>
      </c>
      <c r="AC253" s="6">
        <f>$M$253*$W$253</f>
        <v>0</v>
      </c>
      <c r="AD253" s="6">
        <f>$O$253*$X$253</f>
        <v>0</v>
      </c>
      <c r="AE253" s="6">
        <f ca="1">$K$253*$Y$253</f>
        <v>51064.049238088133</v>
      </c>
      <c r="AF253" s="6">
        <f>$M$253*$Z$253</f>
        <v>0</v>
      </c>
      <c r="AG253" s="6">
        <f>$O$253*$AA$253</f>
        <v>0</v>
      </c>
    </row>
    <row r="254" spans="1:33" ht="11.25" customHeight="1" x14ac:dyDescent="0.25">
      <c r="A254" s="4" t="s">
        <v>21</v>
      </c>
      <c r="B254" s="4" t="s">
        <v>45</v>
      </c>
      <c r="C254" s="4" t="s">
        <v>34</v>
      </c>
      <c r="D254" s="4" t="s">
        <v>42</v>
      </c>
      <c r="E254" s="4" t="s">
        <v>25</v>
      </c>
      <c r="F254" s="4" t="s">
        <v>25</v>
      </c>
      <c r="G254" s="4" t="s">
        <v>25</v>
      </c>
      <c r="H254" s="4" t="s">
        <v>36</v>
      </c>
      <c r="I254" s="5">
        <v>43739</v>
      </c>
      <c r="J254" s="6">
        <v>0</v>
      </c>
      <c r="K254" s="6">
        <v>0</v>
      </c>
      <c r="L254" s="6">
        <v>39.167000000000002</v>
      </c>
      <c r="M254" s="6">
        <v>39.167000000000002</v>
      </c>
      <c r="N254" s="6">
        <v>39.167000000000002</v>
      </c>
      <c r="O254" s="6">
        <v>39.167000000000002</v>
      </c>
      <c r="P254" s="6">
        <v>0</v>
      </c>
      <c r="Q254" s="4" t="s">
        <v>26</v>
      </c>
      <c r="R254" s="4">
        <v>0</v>
      </c>
      <c r="S254" s="6">
        <v>0</v>
      </c>
      <c r="T254" s="6">
        <v>18</v>
      </c>
      <c r="U254" s="6">
        <v>80</v>
      </c>
      <c r="V254" s="6">
        <f>IF(ISERROR(VLOOKUP($S$254,'TAR FIN'!$A$1:$O$120,15,0)),0,VLOOKUP($S$254,'TAR FIN'!$A$1:$O$120,15,0))</f>
        <v>0</v>
      </c>
      <c r="W254" s="6">
        <f>IF(ISERROR(VLOOKUP($T$254,'TAR FIN'!$A$1:$O$120,15,0)),0,VLOOKUP($T$254,'TAR FIN'!$A$1:$O$120,15,0))</f>
        <v>84.45</v>
      </c>
      <c r="X254" s="6">
        <f>IF(ISERROR(VLOOKUP($U$254,'TAR FIN'!$A$1:$O$120,15,0)),0,VLOOKUP($U$254,'TAR FIN'!$A$1:$O$120,15,0))</f>
        <v>256.38</v>
      </c>
      <c r="Y254" s="6"/>
      <c r="Z254" s="6">
        <f ca="1">('TUSD BE'!$AM$22+'TUSD BF'!$AM$22+'TUSD CVA'!$AM$22)*1</f>
        <v>87.519361965254689</v>
      </c>
      <c r="AA254" s="6">
        <f>('TE BE'!$AA$8+'TE BF'!$AA$8+'TE CVA'!$AA$8)*1</f>
        <v>230.83420940933817</v>
      </c>
      <c r="AB254" s="6">
        <f>$K$254*$V$254</f>
        <v>0</v>
      </c>
      <c r="AC254" s="6">
        <f>$M$254*$W$254</f>
        <v>3307.6531500000001</v>
      </c>
      <c r="AD254" s="6">
        <f>$O$254*$X$254</f>
        <v>10041.63546</v>
      </c>
      <c r="AE254" s="6">
        <f>$K$254*$Y$254</f>
        <v>0</v>
      </c>
      <c r="AF254" s="6">
        <f ca="1">$M$254*$Z$254</f>
        <v>3427.8708500931307</v>
      </c>
      <c r="AG254" s="6">
        <f>$O$254*$AA$254</f>
        <v>9041.0834799355489</v>
      </c>
    </row>
    <row r="255" spans="1:33" ht="11.25" customHeight="1" x14ac:dyDescent="0.25">
      <c r="A255" s="4" t="s">
        <v>27</v>
      </c>
      <c r="B255" s="4" t="s">
        <v>45</v>
      </c>
      <c r="C255" s="4" t="s">
        <v>34</v>
      </c>
      <c r="D255" s="4" t="s">
        <v>42</v>
      </c>
      <c r="E255" s="4" t="s">
        <v>25</v>
      </c>
      <c r="F255" s="4" t="s">
        <v>25</v>
      </c>
      <c r="G255" s="4" t="s">
        <v>25</v>
      </c>
      <c r="H255" s="4" t="s">
        <v>36</v>
      </c>
      <c r="I255" s="5">
        <v>43739</v>
      </c>
      <c r="J255" s="6">
        <v>0</v>
      </c>
      <c r="K255" s="6">
        <v>0</v>
      </c>
      <c r="L255" s="6">
        <v>24.533000000000001</v>
      </c>
      <c r="M255" s="6">
        <v>24.533000000000001</v>
      </c>
      <c r="N255" s="6">
        <v>24.533000000000001</v>
      </c>
      <c r="O255" s="6">
        <v>24.533000000000001</v>
      </c>
      <c r="P255" s="6">
        <v>0</v>
      </c>
      <c r="Q255" s="4" t="s">
        <v>26</v>
      </c>
      <c r="R255" s="4">
        <v>0</v>
      </c>
      <c r="S255" s="6">
        <v>0</v>
      </c>
      <c r="T255" s="6">
        <v>18</v>
      </c>
      <c r="U255" s="6">
        <v>80</v>
      </c>
      <c r="V255" s="6">
        <f>IF(ISERROR(VLOOKUP($S$255,'TAR FIN'!$A$1:$O$120,15,0)),0,VLOOKUP($S$255,'TAR FIN'!$A$1:$O$120,15,0))</f>
        <v>0</v>
      </c>
      <c r="W255" s="6">
        <f>IF(ISERROR(VLOOKUP($T$255,'TAR FIN'!$A$1:$O$120,15,0)),0,VLOOKUP($T$255,'TAR FIN'!$A$1:$O$120,15,0))</f>
        <v>84.45</v>
      </c>
      <c r="X255" s="6">
        <f>IF(ISERROR(VLOOKUP($U$255,'TAR FIN'!$A$1:$O$120,15,0)),0,VLOOKUP($U$255,'TAR FIN'!$A$1:$O$120,15,0))</f>
        <v>256.38</v>
      </c>
      <c r="Y255" s="6"/>
      <c r="Z255" s="6">
        <f ca="1">('TUSD BE'!$AM$22+'TUSD BF'!$AM$22+'TUSD CVA'!$AM$22)*1</f>
        <v>87.519361965254689</v>
      </c>
      <c r="AA255" s="6">
        <f>('TE BE'!$AA$8+'TE BF'!$AA$8+'TE CVA'!$AA$8)*1</f>
        <v>230.83420940933817</v>
      </c>
      <c r="AB255" s="6">
        <f>$K$255*$V$255</f>
        <v>0</v>
      </c>
      <c r="AC255" s="6">
        <f>$M$255*$W$255</f>
        <v>2071.81185</v>
      </c>
      <c r="AD255" s="6">
        <f>$O$255*$X$255</f>
        <v>6289.7705400000004</v>
      </c>
      <c r="AE255" s="6">
        <f>$K$255*$Y$255</f>
        <v>0</v>
      </c>
      <c r="AF255" s="6">
        <f ca="1">$M$255*$Z$255</f>
        <v>2147.1125070935932</v>
      </c>
      <c r="AG255" s="6">
        <f>$O$255*$AA$255</f>
        <v>5663.0556594392938</v>
      </c>
    </row>
    <row r="256" spans="1:33" ht="11.25" customHeight="1" x14ac:dyDescent="0.25">
      <c r="A256" s="4" t="s">
        <v>21</v>
      </c>
      <c r="B256" s="4" t="s">
        <v>45</v>
      </c>
      <c r="C256" s="4" t="s">
        <v>34</v>
      </c>
      <c r="D256" s="4" t="s">
        <v>42</v>
      </c>
      <c r="E256" s="4" t="s">
        <v>25</v>
      </c>
      <c r="F256" s="4" t="s">
        <v>25</v>
      </c>
      <c r="G256" s="4" t="s">
        <v>25</v>
      </c>
      <c r="H256" s="4" t="s">
        <v>36</v>
      </c>
      <c r="I256" s="5">
        <v>43770</v>
      </c>
      <c r="J256" s="6">
        <v>0</v>
      </c>
      <c r="K256" s="6">
        <v>0</v>
      </c>
      <c r="L256" s="6">
        <v>68.495999999999995</v>
      </c>
      <c r="M256" s="6">
        <v>68.495999999999995</v>
      </c>
      <c r="N256" s="6">
        <v>68.495999999999995</v>
      </c>
      <c r="O256" s="6">
        <v>68.495999999999995</v>
      </c>
      <c r="P256" s="6">
        <v>0</v>
      </c>
      <c r="Q256" s="4" t="s">
        <v>26</v>
      </c>
      <c r="R256" s="4">
        <v>0</v>
      </c>
      <c r="S256" s="6">
        <v>0</v>
      </c>
      <c r="T256" s="6">
        <v>18</v>
      </c>
      <c r="U256" s="6">
        <v>80</v>
      </c>
      <c r="V256" s="6">
        <f>IF(ISERROR(VLOOKUP($S$256,'TAR FIN'!$A$1:$O$120,15,0)),0,VLOOKUP($S$256,'TAR FIN'!$A$1:$O$120,15,0))</f>
        <v>0</v>
      </c>
      <c r="W256" s="6">
        <f>IF(ISERROR(VLOOKUP($T$256,'TAR FIN'!$A$1:$O$120,15,0)),0,VLOOKUP($T$256,'TAR FIN'!$A$1:$O$120,15,0))</f>
        <v>84.45</v>
      </c>
      <c r="X256" s="6">
        <f>IF(ISERROR(VLOOKUP($U$256,'TAR FIN'!$A$1:$O$120,15,0)),0,VLOOKUP($U$256,'TAR FIN'!$A$1:$O$120,15,0))</f>
        <v>256.38</v>
      </c>
      <c r="Y256" s="6"/>
      <c r="Z256" s="6">
        <f ca="1">('TUSD BE'!$AM$22+'TUSD BF'!$AM$22+'TUSD CVA'!$AM$22)*1</f>
        <v>87.519361965254689</v>
      </c>
      <c r="AA256" s="6">
        <f>('TE BE'!$AA$8+'TE BF'!$AA$8+'TE CVA'!$AA$8)*1</f>
        <v>230.83420940933817</v>
      </c>
      <c r="AB256" s="6">
        <f>$K$256*$V$256</f>
        <v>0</v>
      </c>
      <c r="AC256" s="6">
        <f>$M$256*$W$256</f>
        <v>5784.4871999999996</v>
      </c>
      <c r="AD256" s="6">
        <f>$O$256*$X$256</f>
        <v>17561.00448</v>
      </c>
      <c r="AE256" s="6">
        <f>$K$256*$Y$256</f>
        <v>0</v>
      </c>
      <c r="AF256" s="6">
        <f ca="1">$M$256*$Z$256</f>
        <v>5994.7262171720849</v>
      </c>
      <c r="AG256" s="6">
        <f>$O$256*$AA$256</f>
        <v>15811.220007702026</v>
      </c>
    </row>
    <row r="257" spans="1:33" ht="11.25" customHeight="1" x14ac:dyDescent="0.25">
      <c r="A257" s="4" t="s">
        <v>21</v>
      </c>
      <c r="B257" s="4" t="s">
        <v>45</v>
      </c>
      <c r="C257" s="4" t="s">
        <v>34</v>
      </c>
      <c r="D257" s="4" t="s">
        <v>42</v>
      </c>
      <c r="E257" s="4" t="s">
        <v>25</v>
      </c>
      <c r="F257" s="4" t="s">
        <v>25</v>
      </c>
      <c r="G257" s="4" t="s">
        <v>25</v>
      </c>
      <c r="H257" s="4" t="s">
        <v>36</v>
      </c>
      <c r="I257" s="5">
        <v>43800</v>
      </c>
      <c r="J257" s="6">
        <v>0</v>
      </c>
      <c r="K257" s="6">
        <v>0</v>
      </c>
      <c r="L257" s="6">
        <v>65.436999999999998</v>
      </c>
      <c r="M257" s="6">
        <v>65.436999999999998</v>
      </c>
      <c r="N257" s="6">
        <v>65.436999999999998</v>
      </c>
      <c r="O257" s="6">
        <v>65.436999999999998</v>
      </c>
      <c r="P257" s="6">
        <v>0</v>
      </c>
      <c r="Q257" s="4" t="s">
        <v>26</v>
      </c>
      <c r="R257" s="4">
        <v>0</v>
      </c>
      <c r="S257" s="6">
        <v>0</v>
      </c>
      <c r="T257" s="6">
        <v>18</v>
      </c>
      <c r="U257" s="6">
        <v>80</v>
      </c>
      <c r="V257" s="6">
        <f>IF(ISERROR(VLOOKUP($S$257,'TAR FIN'!$A$1:$O$120,15,0)),0,VLOOKUP($S$257,'TAR FIN'!$A$1:$O$120,15,0))</f>
        <v>0</v>
      </c>
      <c r="W257" s="6">
        <f>IF(ISERROR(VLOOKUP($T$257,'TAR FIN'!$A$1:$O$120,15,0)),0,VLOOKUP($T$257,'TAR FIN'!$A$1:$O$120,15,0))</f>
        <v>84.45</v>
      </c>
      <c r="X257" s="6">
        <f>IF(ISERROR(VLOOKUP($U$257,'TAR FIN'!$A$1:$O$120,15,0)),0,VLOOKUP($U$257,'TAR FIN'!$A$1:$O$120,15,0))</f>
        <v>256.38</v>
      </c>
      <c r="Y257" s="6"/>
      <c r="Z257" s="6">
        <f ca="1">('TUSD BE'!$AM$22+'TUSD BF'!$AM$22+'TUSD CVA'!$AM$22)*1</f>
        <v>87.519361965254689</v>
      </c>
      <c r="AA257" s="6">
        <f>('TE BE'!$AA$8+'TE BF'!$AA$8+'TE CVA'!$AA$8)*1</f>
        <v>230.83420940933817</v>
      </c>
      <c r="AB257" s="6">
        <f>$K$257*$V$257</f>
        <v>0</v>
      </c>
      <c r="AC257" s="6">
        <f>$M$257*$W$257</f>
        <v>5526.1546500000004</v>
      </c>
      <c r="AD257" s="6">
        <f>$O$257*$X$257</f>
        <v>16776.73806</v>
      </c>
      <c r="AE257" s="6">
        <f>$K$257*$Y$257</f>
        <v>0</v>
      </c>
      <c r="AF257" s="6">
        <f ca="1">$M$257*$Z$257</f>
        <v>5727.0044889203709</v>
      </c>
      <c r="AG257" s="6">
        <f>$O$257*$AA$257</f>
        <v>15105.098161118862</v>
      </c>
    </row>
    <row r="258" spans="1:33" ht="11.25" customHeight="1" x14ac:dyDescent="0.25">
      <c r="A258" s="4" t="s">
        <v>21</v>
      </c>
      <c r="B258" s="4" t="s">
        <v>45</v>
      </c>
      <c r="C258" s="4" t="s">
        <v>34</v>
      </c>
      <c r="D258" s="4" t="s">
        <v>42</v>
      </c>
      <c r="E258" s="4" t="s">
        <v>25</v>
      </c>
      <c r="F258" s="4" t="s">
        <v>25</v>
      </c>
      <c r="G258" s="4" t="s">
        <v>25</v>
      </c>
      <c r="H258" s="4" t="s">
        <v>36</v>
      </c>
      <c r="I258" s="5">
        <v>43831</v>
      </c>
      <c r="J258" s="6">
        <v>0</v>
      </c>
      <c r="K258" s="6">
        <v>0</v>
      </c>
      <c r="L258" s="6">
        <v>70.266999999999996</v>
      </c>
      <c r="M258" s="6">
        <v>70.266999999999996</v>
      </c>
      <c r="N258" s="6">
        <v>70.266999999999996</v>
      </c>
      <c r="O258" s="6">
        <v>70.266999999999996</v>
      </c>
      <c r="P258" s="6">
        <v>0</v>
      </c>
      <c r="Q258" s="4" t="s">
        <v>26</v>
      </c>
      <c r="R258" s="4">
        <v>0</v>
      </c>
      <c r="S258" s="6">
        <v>0</v>
      </c>
      <c r="T258" s="6">
        <v>18</v>
      </c>
      <c r="U258" s="6">
        <v>80</v>
      </c>
      <c r="V258" s="6">
        <f>IF(ISERROR(VLOOKUP($S$258,'TAR FIN'!$A$1:$O$120,15,0)),0,VLOOKUP($S$258,'TAR FIN'!$A$1:$O$120,15,0))</f>
        <v>0</v>
      </c>
      <c r="W258" s="6">
        <f>IF(ISERROR(VLOOKUP($T$258,'TAR FIN'!$A$1:$O$120,15,0)),0,VLOOKUP($T$258,'TAR FIN'!$A$1:$O$120,15,0))</f>
        <v>84.45</v>
      </c>
      <c r="X258" s="6">
        <f>IF(ISERROR(VLOOKUP($U$258,'TAR FIN'!$A$1:$O$120,15,0)),0,VLOOKUP($U$258,'TAR FIN'!$A$1:$O$120,15,0))</f>
        <v>256.38</v>
      </c>
      <c r="Y258" s="6"/>
      <c r="Z258" s="6">
        <f ca="1">('TUSD BE'!$AM$22+'TUSD BF'!$AM$22+'TUSD CVA'!$AM$22)*1</f>
        <v>87.519361965254689</v>
      </c>
      <c r="AA258" s="6">
        <f>('TE BE'!$AA$8+'TE BF'!$AA$8+'TE CVA'!$AA$8)*1</f>
        <v>230.83420940933817</v>
      </c>
      <c r="AB258" s="6">
        <f>$K$258*$V$258</f>
        <v>0</v>
      </c>
      <c r="AC258" s="6">
        <f>$M$258*$W$258</f>
        <v>5934.0481499999996</v>
      </c>
      <c r="AD258" s="6">
        <f>$O$258*$X$258</f>
        <v>18015.053459999999</v>
      </c>
      <c r="AE258" s="6">
        <f>$K$258*$Y$258</f>
        <v>0</v>
      </c>
      <c r="AF258" s="6">
        <f ca="1">$M$258*$Z$258</f>
        <v>6149.7230072125512</v>
      </c>
      <c r="AG258" s="6">
        <f>$O$258*$AA$258</f>
        <v>16220.027392565964</v>
      </c>
    </row>
    <row r="259" spans="1:33" ht="11.25" customHeight="1" x14ac:dyDescent="0.25">
      <c r="A259" s="4" t="s">
        <v>21</v>
      </c>
      <c r="B259" s="4" t="s">
        <v>45</v>
      </c>
      <c r="C259" s="4" t="s">
        <v>34</v>
      </c>
      <c r="D259" s="4" t="s">
        <v>42</v>
      </c>
      <c r="E259" s="4" t="s">
        <v>25</v>
      </c>
      <c r="F259" s="4" t="s">
        <v>25</v>
      </c>
      <c r="G259" s="4" t="s">
        <v>25</v>
      </c>
      <c r="H259" s="4" t="s">
        <v>36</v>
      </c>
      <c r="I259" s="5">
        <v>43862</v>
      </c>
      <c r="J259" s="6">
        <v>0</v>
      </c>
      <c r="K259" s="6">
        <v>0</v>
      </c>
      <c r="L259" s="6">
        <v>74.709000000000003</v>
      </c>
      <c r="M259" s="6">
        <v>74.709000000000003</v>
      </c>
      <c r="N259" s="6">
        <v>74.709000000000003</v>
      </c>
      <c r="O259" s="6">
        <v>74.709000000000003</v>
      </c>
      <c r="P259" s="6">
        <v>0</v>
      </c>
      <c r="Q259" s="4" t="s">
        <v>26</v>
      </c>
      <c r="R259" s="4">
        <v>0</v>
      </c>
      <c r="S259" s="6">
        <v>0</v>
      </c>
      <c r="T259" s="6">
        <v>18</v>
      </c>
      <c r="U259" s="6">
        <v>80</v>
      </c>
      <c r="V259" s="6">
        <f>IF(ISERROR(VLOOKUP($S$259,'TAR FIN'!$A$1:$O$120,15,0)),0,VLOOKUP($S$259,'TAR FIN'!$A$1:$O$120,15,0))</f>
        <v>0</v>
      </c>
      <c r="W259" s="6">
        <f>IF(ISERROR(VLOOKUP($T$259,'TAR FIN'!$A$1:$O$120,15,0)),0,VLOOKUP($T$259,'TAR FIN'!$A$1:$O$120,15,0))</f>
        <v>84.45</v>
      </c>
      <c r="X259" s="6">
        <f>IF(ISERROR(VLOOKUP($U$259,'TAR FIN'!$A$1:$O$120,15,0)),0,VLOOKUP($U$259,'TAR FIN'!$A$1:$O$120,15,0))</f>
        <v>256.38</v>
      </c>
      <c r="Y259" s="6"/>
      <c r="Z259" s="6">
        <f ca="1">('TUSD BE'!$AM$22+'TUSD BF'!$AM$22+'TUSD CVA'!$AM$22)*1</f>
        <v>87.519361965254689</v>
      </c>
      <c r="AA259" s="6">
        <f>('TE BE'!$AA$8+'TE BF'!$AA$8+'TE CVA'!$AA$8)*1</f>
        <v>230.83420940933817</v>
      </c>
      <c r="AB259" s="6">
        <f>$K$259*$V$259</f>
        <v>0</v>
      </c>
      <c r="AC259" s="6">
        <f>$M$259*$W$259</f>
        <v>6309.1750500000007</v>
      </c>
      <c r="AD259" s="6">
        <f>$O$259*$X$259</f>
        <v>19153.89342</v>
      </c>
      <c r="AE259" s="6">
        <f>$K$259*$Y$259</f>
        <v>0</v>
      </c>
      <c r="AF259" s="6">
        <f ca="1">$M$259*$Z$259</f>
        <v>6538.4840130622124</v>
      </c>
      <c r="AG259" s="6">
        <f>$O$259*$AA$259</f>
        <v>17245.392950762245</v>
      </c>
    </row>
    <row r="260" spans="1:33" ht="11.25" customHeight="1" x14ac:dyDescent="0.25">
      <c r="A260" s="4" t="s">
        <v>21</v>
      </c>
      <c r="B260" s="4" t="s">
        <v>45</v>
      </c>
      <c r="C260" s="4" t="s">
        <v>34</v>
      </c>
      <c r="D260" s="4" t="s">
        <v>42</v>
      </c>
      <c r="E260" s="4" t="s">
        <v>25</v>
      </c>
      <c r="F260" s="4" t="s">
        <v>25</v>
      </c>
      <c r="G260" s="4" t="s">
        <v>25</v>
      </c>
      <c r="H260" s="4" t="s">
        <v>36</v>
      </c>
      <c r="I260" s="5">
        <v>43891</v>
      </c>
      <c r="J260" s="6">
        <v>0</v>
      </c>
      <c r="K260" s="6">
        <v>0</v>
      </c>
      <c r="L260" s="6">
        <v>63.081000000000003</v>
      </c>
      <c r="M260" s="6">
        <v>63.081000000000003</v>
      </c>
      <c r="N260" s="6">
        <v>63.081000000000003</v>
      </c>
      <c r="O260" s="6">
        <v>63.081000000000003</v>
      </c>
      <c r="P260" s="6">
        <v>0</v>
      </c>
      <c r="Q260" s="4" t="s">
        <v>26</v>
      </c>
      <c r="R260" s="4">
        <v>0</v>
      </c>
      <c r="S260" s="6">
        <v>0</v>
      </c>
      <c r="T260" s="6">
        <v>18</v>
      </c>
      <c r="U260" s="6">
        <v>80</v>
      </c>
      <c r="V260" s="6">
        <f>IF(ISERROR(VLOOKUP($S$260,'TAR FIN'!$A$1:$O$120,15,0)),0,VLOOKUP($S$260,'TAR FIN'!$A$1:$O$120,15,0))</f>
        <v>0</v>
      </c>
      <c r="W260" s="6">
        <f>IF(ISERROR(VLOOKUP($T$260,'TAR FIN'!$A$1:$O$120,15,0)),0,VLOOKUP($T$260,'TAR FIN'!$A$1:$O$120,15,0))</f>
        <v>84.45</v>
      </c>
      <c r="X260" s="6">
        <f>IF(ISERROR(VLOOKUP($U$260,'TAR FIN'!$A$1:$O$120,15,0)),0,VLOOKUP($U$260,'TAR FIN'!$A$1:$O$120,15,0))</f>
        <v>256.38</v>
      </c>
      <c r="Y260" s="6"/>
      <c r="Z260" s="6">
        <f ca="1">('TUSD BE'!$AM$22+'TUSD BF'!$AM$22+'TUSD CVA'!$AM$22)*1</f>
        <v>87.519361965254689</v>
      </c>
      <c r="AA260" s="6">
        <f>('TE BE'!$AA$8+'TE BF'!$AA$8+'TE CVA'!$AA$8)*1</f>
        <v>230.83420940933817</v>
      </c>
      <c r="AB260" s="6">
        <f>$K$260*$V$260</f>
        <v>0</v>
      </c>
      <c r="AC260" s="6">
        <f>$M$260*$W$260</f>
        <v>5327.1904500000001</v>
      </c>
      <c r="AD260" s="6">
        <f>$O$260*$X$260</f>
        <v>16172.70678</v>
      </c>
      <c r="AE260" s="6">
        <f>$K$260*$Y$260</f>
        <v>0</v>
      </c>
      <c r="AF260" s="6">
        <f ca="1">$M$260*$Z$260</f>
        <v>5520.8088721302311</v>
      </c>
      <c r="AG260" s="6">
        <f>$O$260*$AA$260</f>
        <v>14561.252763750463</v>
      </c>
    </row>
    <row r="261" spans="1:33" ht="11.25" customHeight="1" x14ac:dyDescent="0.25">
      <c r="A261" s="4" t="s">
        <v>21</v>
      </c>
      <c r="B261" s="4" t="s">
        <v>45</v>
      </c>
      <c r="C261" s="4" t="s">
        <v>34</v>
      </c>
      <c r="D261" s="4" t="s">
        <v>42</v>
      </c>
      <c r="E261" s="4" t="s">
        <v>25</v>
      </c>
      <c r="F261" s="4" t="s">
        <v>25</v>
      </c>
      <c r="G261" s="4" t="s">
        <v>25</v>
      </c>
      <c r="H261" s="4" t="s">
        <v>36</v>
      </c>
      <c r="I261" s="5">
        <v>43922</v>
      </c>
      <c r="J261" s="6">
        <v>0</v>
      </c>
      <c r="K261" s="6">
        <v>0</v>
      </c>
      <c r="L261" s="6">
        <v>25.588000000000001</v>
      </c>
      <c r="M261" s="6">
        <v>25.588000000000001</v>
      </c>
      <c r="N261" s="6">
        <v>25.588000000000001</v>
      </c>
      <c r="O261" s="6">
        <v>25.588000000000001</v>
      </c>
      <c r="P261" s="6">
        <v>0</v>
      </c>
      <c r="Q261" s="4" t="s">
        <v>26</v>
      </c>
      <c r="R261" s="4">
        <v>0</v>
      </c>
      <c r="S261" s="6">
        <v>0</v>
      </c>
      <c r="T261" s="6">
        <v>18</v>
      </c>
      <c r="U261" s="6">
        <v>80</v>
      </c>
      <c r="V261" s="6">
        <f>IF(ISERROR(VLOOKUP($S$261,'TAR FIN'!$A$1:$O$120,15,0)),0,VLOOKUP($S$261,'TAR FIN'!$A$1:$O$120,15,0))</f>
        <v>0</v>
      </c>
      <c r="W261" s="6">
        <f>IF(ISERROR(VLOOKUP($T$261,'TAR FIN'!$A$1:$O$120,15,0)),0,VLOOKUP($T$261,'TAR FIN'!$A$1:$O$120,15,0))</f>
        <v>84.45</v>
      </c>
      <c r="X261" s="6">
        <f>IF(ISERROR(VLOOKUP($U$261,'TAR FIN'!$A$1:$O$120,15,0)),0,VLOOKUP($U$261,'TAR FIN'!$A$1:$O$120,15,0))</f>
        <v>256.38</v>
      </c>
      <c r="Y261" s="6"/>
      <c r="Z261" s="6">
        <f ca="1">('TUSD BE'!$AM$22+'TUSD BF'!$AM$22+'TUSD CVA'!$AM$22)*1</f>
        <v>87.519361965254689</v>
      </c>
      <c r="AA261" s="6">
        <f>('TE BE'!$AA$8+'TE BF'!$AA$8+'TE CVA'!$AA$8)*1</f>
        <v>230.83420940933817</v>
      </c>
      <c r="AB261" s="6">
        <f>$K$261*$V$261</f>
        <v>0</v>
      </c>
      <c r="AC261" s="6">
        <f>$M$261*$W$261</f>
        <v>2160.9066000000003</v>
      </c>
      <c r="AD261" s="6">
        <f>$O$261*$X$261</f>
        <v>6560.25144</v>
      </c>
      <c r="AE261" s="6">
        <f>$K$261*$Y$261</f>
        <v>0</v>
      </c>
      <c r="AF261" s="6">
        <f ca="1">$M$261*$Z$261</f>
        <v>2239.4454339669369</v>
      </c>
      <c r="AG261" s="6">
        <f>$O$261*$AA$261</f>
        <v>5906.5857503661455</v>
      </c>
    </row>
    <row r="262" spans="1:33" ht="11.25" customHeight="1" x14ac:dyDescent="0.25">
      <c r="A262" s="4" t="s">
        <v>21</v>
      </c>
      <c r="B262" s="4" t="s">
        <v>45</v>
      </c>
      <c r="C262" s="4" t="s">
        <v>34</v>
      </c>
      <c r="D262" s="4" t="s">
        <v>42</v>
      </c>
      <c r="E262" s="4" t="s">
        <v>25</v>
      </c>
      <c r="F262" s="4" t="s">
        <v>25</v>
      </c>
      <c r="G262" s="4" t="s">
        <v>25</v>
      </c>
      <c r="H262" s="4" t="s">
        <v>36</v>
      </c>
      <c r="I262" s="5">
        <v>43952</v>
      </c>
      <c r="J262" s="6">
        <v>0</v>
      </c>
      <c r="K262" s="6">
        <v>0</v>
      </c>
      <c r="L262" s="6">
        <v>22.812000000000001</v>
      </c>
      <c r="M262" s="6">
        <v>22.812000000000001</v>
      </c>
      <c r="N262" s="6">
        <v>22.812000000000001</v>
      </c>
      <c r="O262" s="6">
        <v>22.812000000000001</v>
      </c>
      <c r="P262" s="6">
        <v>0</v>
      </c>
      <c r="Q262" s="4" t="s">
        <v>26</v>
      </c>
      <c r="R262" s="4">
        <v>0</v>
      </c>
      <c r="S262" s="6">
        <v>0</v>
      </c>
      <c r="T262" s="6">
        <v>18</v>
      </c>
      <c r="U262" s="6">
        <v>80</v>
      </c>
      <c r="V262" s="6">
        <f>IF(ISERROR(VLOOKUP($S$262,'TAR FIN'!$A$1:$O$120,15,0)),0,VLOOKUP($S$262,'TAR FIN'!$A$1:$O$120,15,0))</f>
        <v>0</v>
      </c>
      <c r="W262" s="6">
        <f>IF(ISERROR(VLOOKUP($T$262,'TAR FIN'!$A$1:$O$120,15,0)),0,VLOOKUP($T$262,'TAR FIN'!$A$1:$O$120,15,0))</f>
        <v>84.45</v>
      </c>
      <c r="X262" s="6">
        <f>IF(ISERROR(VLOOKUP($U$262,'TAR FIN'!$A$1:$O$120,15,0)),0,VLOOKUP($U$262,'TAR FIN'!$A$1:$O$120,15,0))</f>
        <v>256.38</v>
      </c>
      <c r="Y262" s="6"/>
      <c r="Z262" s="6">
        <f ca="1">('TUSD BE'!$AM$22+'TUSD BF'!$AM$22+'TUSD CVA'!$AM$22)*1</f>
        <v>87.519361965254689</v>
      </c>
      <c r="AA262" s="6">
        <f>('TE BE'!$AA$8+'TE BF'!$AA$8+'TE CVA'!$AA$8)*1</f>
        <v>230.83420940933817</v>
      </c>
      <c r="AB262" s="6">
        <f>$K$262*$V$262</f>
        <v>0</v>
      </c>
      <c r="AC262" s="6">
        <f>$M$262*$W$262</f>
        <v>1926.4734000000001</v>
      </c>
      <c r="AD262" s="6">
        <f>$O$262*$X$262</f>
        <v>5848.5405600000004</v>
      </c>
      <c r="AE262" s="6">
        <f>$K$262*$Y$262</f>
        <v>0</v>
      </c>
      <c r="AF262" s="6">
        <f ca="1">$M$262*$Z$262</f>
        <v>1996.4916851513901</v>
      </c>
      <c r="AG262" s="6">
        <f>$O$262*$AA$262</f>
        <v>5265.7899850458225</v>
      </c>
    </row>
    <row r="263" spans="1:33" ht="11.25" customHeight="1" x14ac:dyDescent="0.25">
      <c r="A263" s="4" t="s">
        <v>21</v>
      </c>
      <c r="B263" s="4" t="s">
        <v>45</v>
      </c>
      <c r="C263" s="4" t="s">
        <v>34</v>
      </c>
      <c r="D263" s="4" t="s">
        <v>42</v>
      </c>
      <c r="E263" s="4" t="s">
        <v>25</v>
      </c>
      <c r="F263" s="4" t="s">
        <v>25</v>
      </c>
      <c r="G263" s="4" t="s">
        <v>25</v>
      </c>
      <c r="H263" s="4" t="s">
        <v>36</v>
      </c>
      <c r="I263" s="5">
        <v>43983</v>
      </c>
      <c r="J263" s="6">
        <v>0</v>
      </c>
      <c r="K263" s="6">
        <v>0</v>
      </c>
      <c r="L263" s="6">
        <v>30.798999999999999</v>
      </c>
      <c r="M263" s="6">
        <v>30.798999999999999</v>
      </c>
      <c r="N263" s="6">
        <v>30.798999999999999</v>
      </c>
      <c r="O263" s="6">
        <v>30.798999999999999</v>
      </c>
      <c r="P263" s="6">
        <v>0</v>
      </c>
      <c r="Q263" s="4" t="s">
        <v>26</v>
      </c>
      <c r="R263" s="4">
        <v>0</v>
      </c>
      <c r="S263" s="6">
        <v>0</v>
      </c>
      <c r="T263" s="6">
        <v>18</v>
      </c>
      <c r="U263" s="6">
        <v>80</v>
      </c>
      <c r="V263" s="6">
        <f>IF(ISERROR(VLOOKUP($S$263,'TAR FIN'!$A$1:$O$120,15,0)),0,VLOOKUP($S$263,'TAR FIN'!$A$1:$O$120,15,0))</f>
        <v>0</v>
      </c>
      <c r="W263" s="6">
        <f>IF(ISERROR(VLOOKUP($T$263,'TAR FIN'!$A$1:$O$120,15,0)),0,VLOOKUP($T$263,'TAR FIN'!$A$1:$O$120,15,0))</f>
        <v>84.45</v>
      </c>
      <c r="X263" s="6">
        <f>IF(ISERROR(VLOOKUP($U$263,'TAR FIN'!$A$1:$O$120,15,0)),0,VLOOKUP($U$263,'TAR FIN'!$A$1:$O$120,15,0))</f>
        <v>256.38</v>
      </c>
      <c r="Y263" s="6"/>
      <c r="Z263" s="6">
        <f ca="1">('TUSD BE'!$AM$22+'TUSD BF'!$AM$22+'TUSD CVA'!$AM$22)*1</f>
        <v>87.519361965254689</v>
      </c>
      <c r="AA263" s="6">
        <f>('TE BE'!$AA$8+'TE BF'!$AA$8+'TE CVA'!$AA$8)*1</f>
        <v>230.83420940933817</v>
      </c>
      <c r="AB263" s="6">
        <f>$K$263*$V$263</f>
        <v>0</v>
      </c>
      <c r="AC263" s="6">
        <f>$M$263*$W$263</f>
        <v>2600.9755500000001</v>
      </c>
      <c r="AD263" s="6">
        <f>$O$263*$X$263</f>
        <v>7896.2476200000001</v>
      </c>
      <c r="AE263" s="6">
        <f>$K$263*$Y$263</f>
        <v>0</v>
      </c>
      <c r="AF263" s="6">
        <f ca="1">$M$263*$Z$263</f>
        <v>2695.508829167879</v>
      </c>
      <c r="AG263" s="6">
        <f>$O$263*$AA$263</f>
        <v>7109.4628155982064</v>
      </c>
    </row>
    <row r="264" spans="1:33" ht="11.25" customHeight="1" x14ac:dyDescent="0.25">
      <c r="A264" s="4" t="s">
        <v>21</v>
      </c>
      <c r="B264" s="4" t="s">
        <v>45</v>
      </c>
      <c r="C264" s="4" t="s">
        <v>34</v>
      </c>
      <c r="D264" s="4" t="s">
        <v>42</v>
      </c>
      <c r="E264" s="4" t="s">
        <v>25</v>
      </c>
      <c r="F264" s="4" t="s">
        <v>25</v>
      </c>
      <c r="G264" s="4" t="s">
        <v>25</v>
      </c>
      <c r="H264" s="4" t="s">
        <v>36</v>
      </c>
      <c r="I264" s="5">
        <v>44013</v>
      </c>
      <c r="J264" s="6">
        <v>0</v>
      </c>
      <c r="K264" s="6">
        <v>0</v>
      </c>
      <c r="L264" s="6">
        <v>33.555</v>
      </c>
      <c r="M264" s="6">
        <v>33.555</v>
      </c>
      <c r="N264" s="6">
        <v>33.555</v>
      </c>
      <c r="O264" s="6">
        <v>33.555</v>
      </c>
      <c r="P264" s="6">
        <v>0</v>
      </c>
      <c r="Q264" s="4" t="s">
        <v>26</v>
      </c>
      <c r="R264" s="4">
        <v>0</v>
      </c>
      <c r="S264" s="6">
        <v>0</v>
      </c>
      <c r="T264" s="6">
        <v>18</v>
      </c>
      <c r="U264" s="6">
        <v>80</v>
      </c>
      <c r="V264" s="6">
        <f>IF(ISERROR(VLOOKUP($S$264,'TAR FIN'!$A$1:$O$120,15,0)),0,VLOOKUP($S$264,'TAR FIN'!$A$1:$O$120,15,0))</f>
        <v>0</v>
      </c>
      <c r="W264" s="6">
        <f>IF(ISERROR(VLOOKUP($T$264,'TAR FIN'!$A$1:$O$120,15,0)),0,VLOOKUP($T$264,'TAR FIN'!$A$1:$O$120,15,0))</f>
        <v>84.45</v>
      </c>
      <c r="X264" s="6">
        <f>IF(ISERROR(VLOOKUP($U$264,'TAR FIN'!$A$1:$O$120,15,0)),0,VLOOKUP($U$264,'TAR FIN'!$A$1:$O$120,15,0))</f>
        <v>256.38</v>
      </c>
      <c r="Y264" s="6"/>
      <c r="Z264" s="6">
        <f ca="1">('TUSD BE'!$AM$22+'TUSD BF'!$AM$22+'TUSD CVA'!$AM$22)*1</f>
        <v>87.519361965254689</v>
      </c>
      <c r="AA264" s="6">
        <f>('TE BE'!$AA$8+'TE BF'!$AA$8+'TE CVA'!$AA$8)*1</f>
        <v>230.83420940933817</v>
      </c>
      <c r="AB264" s="6">
        <f>$K$264*$V$264</f>
        <v>0</v>
      </c>
      <c r="AC264" s="6">
        <f>$M$264*$W$264</f>
        <v>2833.7197500000002</v>
      </c>
      <c r="AD264" s="6">
        <f>$O$264*$X$264</f>
        <v>8602.830899999999</v>
      </c>
      <c r="AE264" s="6">
        <f>$K$264*$Y$264</f>
        <v>0</v>
      </c>
      <c r="AF264" s="6">
        <f ca="1">$M$264*$Z$264</f>
        <v>2936.712190744121</v>
      </c>
      <c r="AG264" s="6">
        <f>$O$264*$AA$264</f>
        <v>7745.6418967303425</v>
      </c>
    </row>
    <row r="265" spans="1:33" ht="11.25" customHeight="1" x14ac:dyDescent="0.25">
      <c r="A265" s="4" t="s">
        <v>21</v>
      </c>
      <c r="B265" s="4" t="s">
        <v>45</v>
      </c>
      <c r="C265" s="4" t="s">
        <v>34</v>
      </c>
      <c r="D265" s="4" t="s">
        <v>42</v>
      </c>
      <c r="E265" s="4" t="s">
        <v>25</v>
      </c>
      <c r="F265" s="4" t="s">
        <v>25</v>
      </c>
      <c r="G265" s="4" t="s">
        <v>25</v>
      </c>
      <c r="H265" s="4" t="s">
        <v>36</v>
      </c>
      <c r="I265" s="5">
        <v>44044</v>
      </c>
      <c r="J265" s="6">
        <v>0</v>
      </c>
      <c r="K265" s="6">
        <v>0</v>
      </c>
      <c r="L265" s="6">
        <v>43.896999999999998</v>
      </c>
      <c r="M265" s="6">
        <v>43.896999999999998</v>
      </c>
      <c r="N265" s="6">
        <v>43.896999999999998</v>
      </c>
      <c r="O265" s="6">
        <v>43.896999999999998</v>
      </c>
      <c r="P265" s="6">
        <v>0</v>
      </c>
      <c r="Q265" s="4" t="s">
        <v>26</v>
      </c>
      <c r="R265" s="4">
        <v>0</v>
      </c>
      <c r="S265" s="6">
        <v>0</v>
      </c>
      <c r="T265" s="6">
        <v>18</v>
      </c>
      <c r="U265" s="6">
        <v>80</v>
      </c>
      <c r="V265" s="6">
        <f>IF(ISERROR(VLOOKUP($S$265,'TAR FIN'!$A$1:$O$120,15,0)),0,VLOOKUP($S$265,'TAR FIN'!$A$1:$O$120,15,0))</f>
        <v>0</v>
      </c>
      <c r="W265" s="6">
        <f>IF(ISERROR(VLOOKUP($T$265,'TAR FIN'!$A$1:$O$120,15,0)),0,VLOOKUP($T$265,'TAR FIN'!$A$1:$O$120,15,0))</f>
        <v>84.45</v>
      </c>
      <c r="X265" s="6">
        <f>IF(ISERROR(VLOOKUP($U$265,'TAR FIN'!$A$1:$O$120,15,0)),0,VLOOKUP($U$265,'TAR FIN'!$A$1:$O$120,15,0))</f>
        <v>256.38</v>
      </c>
      <c r="Y265" s="6"/>
      <c r="Z265" s="6">
        <f ca="1">('TUSD BE'!$AM$22+'TUSD BF'!$AM$22+'TUSD CVA'!$AM$22)*1</f>
        <v>87.519361965254689</v>
      </c>
      <c r="AA265" s="6">
        <f>('TE BE'!$AA$8+'TE BF'!$AA$8+'TE CVA'!$AA$8)*1</f>
        <v>230.83420940933817</v>
      </c>
      <c r="AB265" s="6">
        <f>$K$265*$V$265</f>
        <v>0</v>
      </c>
      <c r="AC265" s="6">
        <f>$M$265*$W$265</f>
        <v>3707.1016500000001</v>
      </c>
      <c r="AD265" s="6">
        <f>$O$265*$X$265</f>
        <v>11254.31286</v>
      </c>
      <c r="AE265" s="6">
        <f>$K$265*$Y$265</f>
        <v>0</v>
      </c>
      <c r="AF265" s="6">
        <f ca="1">$M$265*$Z$265</f>
        <v>3841.837432188785</v>
      </c>
      <c r="AG265" s="6">
        <f>$O$265*$AA$265</f>
        <v>10132.929290441718</v>
      </c>
    </row>
    <row r="266" spans="1:33" ht="11.25" customHeight="1" x14ac:dyDescent="0.25">
      <c r="A266" s="4" t="s">
        <v>59</v>
      </c>
      <c r="B266" s="4" t="s">
        <v>45</v>
      </c>
      <c r="C266" s="4" t="s">
        <v>34</v>
      </c>
      <c r="D266" s="4" t="s">
        <v>42</v>
      </c>
      <c r="E266" s="4" t="s">
        <v>25</v>
      </c>
      <c r="F266" s="4" t="s">
        <v>25</v>
      </c>
      <c r="G266" s="4" t="s">
        <v>25</v>
      </c>
      <c r="H266" s="4" t="s">
        <v>36</v>
      </c>
      <c r="I266" s="5">
        <v>44075</v>
      </c>
      <c r="J266" s="6">
        <v>0</v>
      </c>
      <c r="K266" s="6">
        <v>0</v>
      </c>
      <c r="L266" s="6">
        <v>43.896999999999998</v>
      </c>
      <c r="M266" s="6">
        <v>43.896999999999998</v>
      </c>
      <c r="N266" s="6">
        <v>43.896999999999998</v>
      </c>
      <c r="O266" s="6">
        <v>43.896999999999998</v>
      </c>
      <c r="P266" s="6">
        <v>0</v>
      </c>
      <c r="Q266" s="4" t="s">
        <v>26</v>
      </c>
      <c r="R266" s="4">
        <v>0</v>
      </c>
      <c r="S266" s="6">
        <v>0</v>
      </c>
      <c r="T266" s="6">
        <v>18</v>
      </c>
      <c r="U266" s="6">
        <v>80</v>
      </c>
      <c r="V266" s="6">
        <f>IF(ISERROR(VLOOKUP($S$266,'TAR FIN'!$A$1:$O$120,15,0)),0,VLOOKUP($S$266,'TAR FIN'!$A$1:$O$120,15,0))</f>
        <v>0</v>
      </c>
      <c r="W266" s="6">
        <f>IF(ISERROR(VLOOKUP($T$266,'TAR FIN'!$A$1:$O$120,15,0)),0,VLOOKUP($T$266,'TAR FIN'!$A$1:$O$120,15,0))</f>
        <v>84.45</v>
      </c>
      <c r="X266" s="6">
        <f>IF(ISERROR(VLOOKUP($U$266,'TAR FIN'!$A$1:$O$120,15,0)),0,VLOOKUP($U$266,'TAR FIN'!$A$1:$O$120,15,0))</f>
        <v>256.38</v>
      </c>
      <c r="Y266" s="6"/>
      <c r="Z266" s="6">
        <f ca="1">('TUSD BE'!$AM$22+'TUSD BF'!$AM$22+'TUSD CVA'!$AM$22)*1</f>
        <v>87.519361965254689</v>
      </c>
      <c r="AA266" s="6">
        <f>('TE BE'!$AA$8+'TE BF'!$AA$8+'TE CVA'!$AA$8)*1</f>
        <v>230.83420940933817</v>
      </c>
      <c r="AB266" s="6">
        <f>$K$266*$V$266</f>
        <v>0</v>
      </c>
      <c r="AC266" s="6">
        <f>$M$266*$W$266</f>
        <v>3707.1016500000001</v>
      </c>
      <c r="AD266" s="6">
        <f>$O$266*$X$266</f>
        <v>11254.31286</v>
      </c>
      <c r="AE266" s="6">
        <f>$K$266*$Y$266</f>
        <v>0</v>
      </c>
      <c r="AF266" s="6">
        <f ca="1">$M$266*$Z$266</f>
        <v>3841.837432188785</v>
      </c>
      <c r="AG266" s="6">
        <f>$O$266*$AA$266</f>
        <v>10132.929290441718</v>
      </c>
    </row>
    <row r="267" spans="1:33" ht="11.25" customHeight="1" x14ac:dyDescent="0.25">
      <c r="A267" s="4" t="s">
        <v>21</v>
      </c>
      <c r="B267" s="4" t="s">
        <v>45</v>
      </c>
      <c r="C267" s="4" t="s">
        <v>34</v>
      </c>
      <c r="D267" s="4" t="s">
        <v>42</v>
      </c>
      <c r="E267" s="4" t="s">
        <v>25</v>
      </c>
      <c r="F267" s="4" t="s">
        <v>25</v>
      </c>
      <c r="G267" s="4" t="s">
        <v>25</v>
      </c>
      <c r="H267" s="4" t="s">
        <v>25</v>
      </c>
      <c r="I267" s="5">
        <v>43739</v>
      </c>
      <c r="J267" s="6">
        <v>272</v>
      </c>
      <c r="K267" s="6">
        <v>272</v>
      </c>
      <c r="L267" s="6">
        <v>0</v>
      </c>
      <c r="M267" s="6">
        <v>0</v>
      </c>
      <c r="N267" s="6">
        <v>0</v>
      </c>
      <c r="O267" s="6">
        <v>0</v>
      </c>
      <c r="P267" s="6">
        <v>2</v>
      </c>
      <c r="Q267" s="4" t="s">
        <v>26</v>
      </c>
      <c r="R267" s="4">
        <v>0</v>
      </c>
      <c r="S267" s="6">
        <v>16</v>
      </c>
      <c r="T267" s="6">
        <v>0</v>
      </c>
      <c r="U267" s="6">
        <v>0</v>
      </c>
      <c r="V267" s="6">
        <f>IF(ISERROR(VLOOKUP($S$267,'TAR FIN'!$A$1:$O$120,15,0)),0,VLOOKUP($S$267,'TAR FIN'!$A$1:$O$120,15,0))</f>
        <v>8.81</v>
      </c>
      <c r="W267" s="6">
        <f>IF(ISERROR(VLOOKUP($T$267,'TAR FIN'!$A$1:$O$120,15,0)),0,VLOOKUP($T$267,'TAR FIN'!$A$1:$O$120,15,0))</f>
        <v>0</v>
      </c>
      <c r="X267" s="6">
        <f>IF(ISERROR(VLOOKUP($U$267,'TAR FIN'!$A$1:$O$120,15,0)),0,VLOOKUP($U$267,'TAR FIN'!$A$1:$O$120,15,0))</f>
        <v>0</v>
      </c>
      <c r="Y267" s="6">
        <f ca="1">('TUSD BE'!$AM$20+'TUSD BF'!$AM$20+'TUSD CVA'!$AM$20)*1</f>
        <v>11.452356648653195</v>
      </c>
      <c r="Z267" s="6"/>
      <c r="AA267" s="6"/>
      <c r="AB267" s="6">
        <f>$K$267*$V$267</f>
        <v>2396.3200000000002</v>
      </c>
      <c r="AC267" s="6">
        <f>$M$267*$W$267</f>
        <v>0</v>
      </c>
      <c r="AD267" s="6">
        <f>$O$267*$X$267</f>
        <v>0</v>
      </c>
      <c r="AE267" s="6">
        <f ca="1">$K$267*$Y$267</f>
        <v>3115.041008433669</v>
      </c>
      <c r="AF267" s="6">
        <f>$M$267*$Z$267</f>
        <v>0</v>
      </c>
      <c r="AG267" s="6">
        <f>$O$267*$AA$267</f>
        <v>0</v>
      </c>
    </row>
    <row r="268" spans="1:33" ht="11.25" customHeight="1" x14ac:dyDescent="0.25">
      <c r="A268" s="4" t="s">
        <v>27</v>
      </c>
      <c r="B268" s="4" t="s">
        <v>45</v>
      </c>
      <c r="C268" s="4" t="s">
        <v>34</v>
      </c>
      <c r="D268" s="4" t="s">
        <v>42</v>
      </c>
      <c r="E268" s="4" t="s">
        <v>25</v>
      </c>
      <c r="F268" s="4" t="s">
        <v>25</v>
      </c>
      <c r="G268" s="4" t="s">
        <v>25</v>
      </c>
      <c r="H268" s="4" t="s">
        <v>25</v>
      </c>
      <c r="I268" s="5">
        <v>43739</v>
      </c>
      <c r="J268" s="6">
        <v>150</v>
      </c>
      <c r="K268" s="6">
        <v>150</v>
      </c>
      <c r="L268" s="6">
        <v>0</v>
      </c>
      <c r="M268" s="6">
        <v>0</v>
      </c>
      <c r="N268" s="6">
        <v>0</v>
      </c>
      <c r="O268" s="6">
        <v>0</v>
      </c>
      <c r="P268" s="6">
        <v>1</v>
      </c>
      <c r="Q268" s="4" t="s">
        <v>26</v>
      </c>
      <c r="R268" s="4">
        <v>0</v>
      </c>
      <c r="S268" s="6">
        <v>16</v>
      </c>
      <c r="T268" s="6">
        <v>0</v>
      </c>
      <c r="U268" s="6">
        <v>0</v>
      </c>
      <c r="V268" s="6">
        <f>IF(ISERROR(VLOOKUP($S$268,'TAR FIN'!$A$1:$O$120,15,0)),0,VLOOKUP($S$268,'TAR FIN'!$A$1:$O$120,15,0))</f>
        <v>8.81</v>
      </c>
      <c r="W268" s="6">
        <f>IF(ISERROR(VLOOKUP($T$268,'TAR FIN'!$A$1:$O$120,15,0)),0,VLOOKUP($T$268,'TAR FIN'!$A$1:$O$120,15,0))</f>
        <v>0</v>
      </c>
      <c r="X268" s="6">
        <f>IF(ISERROR(VLOOKUP($U$268,'TAR FIN'!$A$1:$O$120,15,0)),0,VLOOKUP($U$268,'TAR FIN'!$A$1:$O$120,15,0))</f>
        <v>0</v>
      </c>
      <c r="Y268" s="6">
        <f ca="1">('TUSD BE'!$AM$20+'TUSD BF'!$AM$20+'TUSD CVA'!$AM$20)*1</f>
        <v>11.452356648653195</v>
      </c>
      <c r="Z268" s="6"/>
      <c r="AA268" s="6"/>
      <c r="AB268" s="6">
        <f>$K$268*$V$268</f>
        <v>1321.5</v>
      </c>
      <c r="AC268" s="6">
        <f>$M$268*$W$268</f>
        <v>0</v>
      </c>
      <c r="AD268" s="6">
        <f>$O$268*$X$268</f>
        <v>0</v>
      </c>
      <c r="AE268" s="6">
        <f ca="1">$K$268*$Y$268</f>
        <v>1717.8534972979792</v>
      </c>
      <c r="AF268" s="6">
        <f>$M$268*$Z$268</f>
        <v>0</v>
      </c>
      <c r="AG268" s="6">
        <f>$O$268*$AA$268</f>
        <v>0</v>
      </c>
    </row>
    <row r="269" spans="1:33" ht="11.25" customHeight="1" x14ac:dyDescent="0.25">
      <c r="A269" s="4" t="s">
        <v>21</v>
      </c>
      <c r="B269" s="4" t="s">
        <v>45</v>
      </c>
      <c r="C269" s="4" t="s">
        <v>34</v>
      </c>
      <c r="D269" s="4" t="s">
        <v>42</v>
      </c>
      <c r="E269" s="4" t="s">
        <v>25</v>
      </c>
      <c r="F269" s="4" t="s">
        <v>25</v>
      </c>
      <c r="G269" s="4" t="s">
        <v>25</v>
      </c>
      <c r="H269" s="4" t="s">
        <v>25</v>
      </c>
      <c r="I269" s="5">
        <v>43770</v>
      </c>
      <c r="J269" s="6">
        <v>422</v>
      </c>
      <c r="K269" s="6">
        <v>422</v>
      </c>
      <c r="L269" s="6">
        <v>0</v>
      </c>
      <c r="M269" s="6">
        <v>0</v>
      </c>
      <c r="N269" s="6">
        <v>0</v>
      </c>
      <c r="O269" s="6">
        <v>0</v>
      </c>
      <c r="P269" s="6">
        <v>3</v>
      </c>
      <c r="Q269" s="4" t="s">
        <v>26</v>
      </c>
      <c r="R269" s="4">
        <v>0</v>
      </c>
      <c r="S269" s="6">
        <v>16</v>
      </c>
      <c r="T269" s="6">
        <v>0</v>
      </c>
      <c r="U269" s="6">
        <v>0</v>
      </c>
      <c r="V269" s="6">
        <f>IF(ISERROR(VLOOKUP($S$269,'TAR FIN'!$A$1:$O$120,15,0)),0,VLOOKUP($S$269,'TAR FIN'!$A$1:$O$120,15,0))</f>
        <v>8.81</v>
      </c>
      <c r="W269" s="6">
        <f>IF(ISERROR(VLOOKUP($T$269,'TAR FIN'!$A$1:$O$120,15,0)),0,VLOOKUP($T$269,'TAR FIN'!$A$1:$O$120,15,0))</f>
        <v>0</v>
      </c>
      <c r="X269" s="6">
        <f>IF(ISERROR(VLOOKUP($U$269,'TAR FIN'!$A$1:$O$120,15,0)),0,VLOOKUP($U$269,'TAR FIN'!$A$1:$O$120,15,0))</f>
        <v>0</v>
      </c>
      <c r="Y269" s="6">
        <f ca="1">('TUSD BE'!$AM$20+'TUSD BF'!$AM$20+'TUSD CVA'!$AM$20)*1</f>
        <v>11.452356648653195</v>
      </c>
      <c r="Z269" s="6"/>
      <c r="AA269" s="6"/>
      <c r="AB269" s="6">
        <f>$K$269*$V$269</f>
        <v>3717.82</v>
      </c>
      <c r="AC269" s="6">
        <f>$M$269*$W$269</f>
        <v>0</v>
      </c>
      <c r="AD269" s="6">
        <f>$O$269*$X$269</f>
        <v>0</v>
      </c>
      <c r="AE269" s="6">
        <f ca="1">$K$269*$Y$269</f>
        <v>4832.8945057316487</v>
      </c>
      <c r="AF269" s="6">
        <f>$M$269*$Z$269</f>
        <v>0</v>
      </c>
      <c r="AG269" s="6">
        <f>$O$269*$AA$269</f>
        <v>0</v>
      </c>
    </row>
    <row r="270" spans="1:33" ht="11.25" customHeight="1" x14ac:dyDescent="0.25">
      <c r="A270" s="4" t="s">
        <v>21</v>
      </c>
      <c r="B270" s="4" t="s">
        <v>45</v>
      </c>
      <c r="C270" s="4" t="s">
        <v>34</v>
      </c>
      <c r="D270" s="4" t="s">
        <v>42</v>
      </c>
      <c r="E270" s="4" t="s">
        <v>25</v>
      </c>
      <c r="F270" s="4" t="s">
        <v>25</v>
      </c>
      <c r="G270" s="4" t="s">
        <v>25</v>
      </c>
      <c r="H270" s="4" t="s">
        <v>25</v>
      </c>
      <c r="I270" s="5">
        <v>43800</v>
      </c>
      <c r="J270" s="6">
        <v>422</v>
      </c>
      <c r="K270" s="6">
        <v>422</v>
      </c>
      <c r="L270" s="6">
        <v>0</v>
      </c>
      <c r="M270" s="6">
        <v>0</v>
      </c>
      <c r="N270" s="6">
        <v>0</v>
      </c>
      <c r="O270" s="6">
        <v>0</v>
      </c>
      <c r="P270" s="6">
        <v>3</v>
      </c>
      <c r="Q270" s="4" t="s">
        <v>26</v>
      </c>
      <c r="R270" s="4">
        <v>0</v>
      </c>
      <c r="S270" s="6">
        <v>16</v>
      </c>
      <c r="T270" s="6">
        <v>0</v>
      </c>
      <c r="U270" s="6">
        <v>0</v>
      </c>
      <c r="V270" s="6">
        <f>IF(ISERROR(VLOOKUP($S$270,'TAR FIN'!$A$1:$O$120,15,0)),0,VLOOKUP($S$270,'TAR FIN'!$A$1:$O$120,15,0))</f>
        <v>8.81</v>
      </c>
      <c r="W270" s="6">
        <f>IF(ISERROR(VLOOKUP($T$270,'TAR FIN'!$A$1:$O$120,15,0)),0,VLOOKUP($T$270,'TAR FIN'!$A$1:$O$120,15,0))</f>
        <v>0</v>
      </c>
      <c r="X270" s="6">
        <f>IF(ISERROR(VLOOKUP($U$270,'TAR FIN'!$A$1:$O$120,15,0)),0,VLOOKUP($U$270,'TAR FIN'!$A$1:$O$120,15,0))</f>
        <v>0</v>
      </c>
      <c r="Y270" s="6">
        <f ca="1">('TUSD BE'!$AM$20+'TUSD BF'!$AM$20+'TUSD CVA'!$AM$20)*1</f>
        <v>11.452356648653195</v>
      </c>
      <c r="Z270" s="6"/>
      <c r="AA270" s="6"/>
      <c r="AB270" s="6">
        <f>$K$270*$V$270</f>
        <v>3717.82</v>
      </c>
      <c r="AC270" s="6">
        <f>$M$270*$W$270</f>
        <v>0</v>
      </c>
      <c r="AD270" s="6">
        <f>$O$270*$X$270</f>
        <v>0</v>
      </c>
      <c r="AE270" s="6">
        <f ca="1">$K$270*$Y$270</f>
        <v>4832.8945057316487</v>
      </c>
      <c r="AF270" s="6">
        <f>$M$270*$Z$270</f>
        <v>0</v>
      </c>
      <c r="AG270" s="6">
        <f>$O$270*$AA$270</f>
        <v>0</v>
      </c>
    </row>
    <row r="271" spans="1:33" ht="11.25" customHeight="1" x14ac:dyDescent="0.25">
      <c r="A271" s="4" t="s">
        <v>21</v>
      </c>
      <c r="B271" s="4" t="s">
        <v>45</v>
      </c>
      <c r="C271" s="4" t="s">
        <v>34</v>
      </c>
      <c r="D271" s="4" t="s">
        <v>42</v>
      </c>
      <c r="E271" s="4" t="s">
        <v>25</v>
      </c>
      <c r="F271" s="4" t="s">
        <v>25</v>
      </c>
      <c r="G271" s="4" t="s">
        <v>25</v>
      </c>
      <c r="H271" s="4" t="s">
        <v>25</v>
      </c>
      <c r="I271" s="5">
        <v>43831</v>
      </c>
      <c r="J271" s="6">
        <v>422</v>
      </c>
      <c r="K271" s="6">
        <v>422</v>
      </c>
      <c r="L271" s="6">
        <v>0</v>
      </c>
      <c r="M271" s="6">
        <v>0</v>
      </c>
      <c r="N271" s="6">
        <v>0</v>
      </c>
      <c r="O271" s="6">
        <v>0</v>
      </c>
      <c r="P271" s="6">
        <v>3</v>
      </c>
      <c r="Q271" s="4" t="s">
        <v>26</v>
      </c>
      <c r="R271" s="4">
        <v>0</v>
      </c>
      <c r="S271" s="6">
        <v>16</v>
      </c>
      <c r="T271" s="6">
        <v>0</v>
      </c>
      <c r="U271" s="6">
        <v>0</v>
      </c>
      <c r="V271" s="6">
        <f>IF(ISERROR(VLOOKUP($S$271,'TAR FIN'!$A$1:$O$120,15,0)),0,VLOOKUP($S$271,'TAR FIN'!$A$1:$O$120,15,0))</f>
        <v>8.81</v>
      </c>
      <c r="W271" s="6">
        <f>IF(ISERROR(VLOOKUP($T$271,'TAR FIN'!$A$1:$O$120,15,0)),0,VLOOKUP($T$271,'TAR FIN'!$A$1:$O$120,15,0))</f>
        <v>0</v>
      </c>
      <c r="X271" s="6">
        <f>IF(ISERROR(VLOOKUP($U$271,'TAR FIN'!$A$1:$O$120,15,0)),0,VLOOKUP($U$271,'TAR FIN'!$A$1:$O$120,15,0))</f>
        <v>0</v>
      </c>
      <c r="Y271" s="6">
        <f ca="1">('TUSD BE'!$AM$20+'TUSD BF'!$AM$20+'TUSD CVA'!$AM$20)*1</f>
        <v>11.452356648653195</v>
      </c>
      <c r="Z271" s="6"/>
      <c r="AA271" s="6"/>
      <c r="AB271" s="6">
        <f>$K$271*$V$271</f>
        <v>3717.82</v>
      </c>
      <c r="AC271" s="6">
        <f>$M$271*$W$271</f>
        <v>0</v>
      </c>
      <c r="AD271" s="6">
        <f>$O$271*$X$271</f>
        <v>0</v>
      </c>
      <c r="AE271" s="6">
        <f ca="1">$K$271*$Y$271</f>
        <v>4832.8945057316487</v>
      </c>
      <c r="AF271" s="6">
        <f>$M$271*$Z$271</f>
        <v>0</v>
      </c>
      <c r="AG271" s="6">
        <f>$O$271*$AA$271</f>
        <v>0</v>
      </c>
    </row>
    <row r="272" spans="1:33" ht="11.25" customHeight="1" x14ac:dyDescent="0.25">
      <c r="A272" s="4" t="s">
        <v>21</v>
      </c>
      <c r="B272" s="4" t="s">
        <v>45</v>
      </c>
      <c r="C272" s="4" t="s">
        <v>34</v>
      </c>
      <c r="D272" s="4" t="s">
        <v>42</v>
      </c>
      <c r="E272" s="4" t="s">
        <v>25</v>
      </c>
      <c r="F272" s="4" t="s">
        <v>25</v>
      </c>
      <c r="G272" s="4" t="s">
        <v>25</v>
      </c>
      <c r="H272" s="4" t="s">
        <v>25</v>
      </c>
      <c r="I272" s="5">
        <v>43862</v>
      </c>
      <c r="J272" s="6">
        <v>422</v>
      </c>
      <c r="K272" s="6">
        <v>422</v>
      </c>
      <c r="L272" s="6">
        <v>0</v>
      </c>
      <c r="M272" s="6">
        <v>0</v>
      </c>
      <c r="N272" s="6">
        <v>0</v>
      </c>
      <c r="O272" s="6">
        <v>0</v>
      </c>
      <c r="P272" s="6">
        <v>3</v>
      </c>
      <c r="Q272" s="4" t="s">
        <v>26</v>
      </c>
      <c r="R272" s="4">
        <v>0</v>
      </c>
      <c r="S272" s="6">
        <v>16</v>
      </c>
      <c r="T272" s="6">
        <v>0</v>
      </c>
      <c r="U272" s="6">
        <v>0</v>
      </c>
      <c r="V272" s="6">
        <f>IF(ISERROR(VLOOKUP($S$272,'TAR FIN'!$A$1:$O$120,15,0)),0,VLOOKUP($S$272,'TAR FIN'!$A$1:$O$120,15,0))</f>
        <v>8.81</v>
      </c>
      <c r="W272" s="6">
        <f>IF(ISERROR(VLOOKUP($T$272,'TAR FIN'!$A$1:$O$120,15,0)),0,VLOOKUP($T$272,'TAR FIN'!$A$1:$O$120,15,0))</f>
        <v>0</v>
      </c>
      <c r="X272" s="6">
        <f>IF(ISERROR(VLOOKUP($U$272,'TAR FIN'!$A$1:$O$120,15,0)),0,VLOOKUP($U$272,'TAR FIN'!$A$1:$O$120,15,0))</f>
        <v>0</v>
      </c>
      <c r="Y272" s="6">
        <f ca="1">('TUSD BE'!$AM$20+'TUSD BF'!$AM$20+'TUSD CVA'!$AM$20)*1</f>
        <v>11.452356648653195</v>
      </c>
      <c r="Z272" s="6"/>
      <c r="AA272" s="6"/>
      <c r="AB272" s="6">
        <f>$K$272*$V$272</f>
        <v>3717.82</v>
      </c>
      <c r="AC272" s="6">
        <f>$M$272*$W$272</f>
        <v>0</v>
      </c>
      <c r="AD272" s="6">
        <f>$O$272*$X$272</f>
        <v>0</v>
      </c>
      <c r="AE272" s="6">
        <f ca="1">$K$272*$Y$272</f>
        <v>4832.8945057316487</v>
      </c>
      <c r="AF272" s="6">
        <f>$M$272*$Z$272</f>
        <v>0</v>
      </c>
      <c r="AG272" s="6">
        <f>$O$272*$AA$272</f>
        <v>0</v>
      </c>
    </row>
    <row r="273" spans="1:33" ht="11.25" customHeight="1" x14ac:dyDescent="0.25">
      <c r="A273" s="4" t="s">
        <v>21</v>
      </c>
      <c r="B273" s="4" t="s">
        <v>45</v>
      </c>
      <c r="C273" s="4" t="s">
        <v>34</v>
      </c>
      <c r="D273" s="4" t="s">
        <v>42</v>
      </c>
      <c r="E273" s="4" t="s">
        <v>25</v>
      </c>
      <c r="F273" s="4" t="s">
        <v>25</v>
      </c>
      <c r="G273" s="4" t="s">
        <v>25</v>
      </c>
      <c r="H273" s="4" t="s">
        <v>25</v>
      </c>
      <c r="I273" s="5">
        <v>43891</v>
      </c>
      <c r="J273" s="6">
        <v>422</v>
      </c>
      <c r="K273" s="6">
        <v>422</v>
      </c>
      <c r="L273" s="6">
        <v>0</v>
      </c>
      <c r="M273" s="6">
        <v>0</v>
      </c>
      <c r="N273" s="6">
        <v>0</v>
      </c>
      <c r="O273" s="6">
        <v>0</v>
      </c>
      <c r="P273" s="6">
        <v>3</v>
      </c>
      <c r="Q273" s="4" t="s">
        <v>26</v>
      </c>
      <c r="R273" s="4">
        <v>0</v>
      </c>
      <c r="S273" s="6">
        <v>16</v>
      </c>
      <c r="T273" s="6">
        <v>0</v>
      </c>
      <c r="U273" s="6">
        <v>0</v>
      </c>
      <c r="V273" s="6">
        <f>IF(ISERROR(VLOOKUP($S$273,'TAR FIN'!$A$1:$O$120,15,0)),0,VLOOKUP($S$273,'TAR FIN'!$A$1:$O$120,15,0))</f>
        <v>8.81</v>
      </c>
      <c r="W273" s="6">
        <f>IF(ISERROR(VLOOKUP($T$273,'TAR FIN'!$A$1:$O$120,15,0)),0,VLOOKUP($T$273,'TAR FIN'!$A$1:$O$120,15,0))</f>
        <v>0</v>
      </c>
      <c r="X273" s="6">
        <f>IF(ISERROR(VLOOKUP($U$273,'TAR FIN'!$A$1:$O$120,15,0)),0,VLOOKUP($U$273,'TAR FIN'!$A$1:$O$120,15,0))</f>
        <v>0</v>
      </c>
      <c r="Y273" s="6">
        <f ca="1">('TUSD BE'!$AM$20+'TUSD BF'!$AM$20+'TUSD CVA'!$AM$20)*1</f>
        <v>11.452356648653195</v>
      </c>
      <c r="Z273" s="6"/>
      <c r="AA273" s="6"/>
      <c r="AB273" s="6">
        <f>$K$273*$V$273</f>
        <v>3717.82</v>
      </c>
      <c r="AC273" s="6">
        <f>$M$273*$W$273</f>
        <v>0</v>
      </c>
      <c r="AD273" s="6">
        <f>$O$273*$X$273</f>
        <v>0</v>
      </c>
      <c r="AE273" s="6">
        <f ca="1">$K$273*$Y$273</f>
        <v>4832.8945057316487</v>
      </c>
      <c r="AF273" s="6">
        <f>$M$273*$Z$273</f>
        <v>0</v>
      </c>
      <c r="AG273" s="6">
        <f>$O$273*$AA$273</f>
        <v>0</v>
      </c>
    </row>
    <row r="274" spans="1:33" ht="11.25" customHeight="1" x14ac:dyDescent="0.25">
      <c r="A274" s="4" t="s">
        <v>21</v>
      </c>
      <c r="B274" s="4" t="s">
        <v>45</v>
      </c>
      <c r="C274" s="4" t="s">
        <v>34</v>
      </c>
      <c r="D274" s="4" t="s">
        <v>42</v>
      </c>
      <c r="E274" s="4" t="s">
        <v>25</v>
      </c>
      <c r="F274" s="4" t="s">
        <v>25</v>
      </c>
      <c r="G274" s="4" t="s">
        <v>25</v>
      </c>
      <c r="H274" s="4" t="s">
        <v>25</v>
      </c>
      <c r="I274" s="5">
        <v>43922</v>
      </c>
      <c r="J274" s="6">
        <v>422</v>
      </c>
      <c r="K274" s="6">
        <v>422</v>
      </c>
      <c r="L274" s="6">
        <v>0</v>
      </c>
      <c r="M274" s="6">
        <v>0</v>
      </c>
      <c r="N274" s="6">
        <v>0</v>
      </c>
      <c r="O274" s="6">
        <v>0</v>
      </c>
      <c r="P274" s="6">
        <v>3</v>
      </c>
      <c r="Q274" s="4" t="s">
        <v>26</v>
      </c>
      <c r="R274" s="4">
        <v>0</v>
      </c>
      <c r="S274" s="6">
        <v>16</v>
      </c>
      <c r="T274" s="6">
        <v>0</v>
      </c>
      <c r="U274" s="6">
        <v>0</v>
      </c>
      <c r="V274" s="6">
        <f>IF(ISERROR(VLOOKUP($S$274,'TAR FIN'!$A$1:$O$120,15,0)),0,VLOOKUP($S$274,'TAR FIN'!$A$1:$O$120,15,0))</f>
        <v>8.81</v>
      </c>
      <c r="W274" s="6">
        <f>IF(ISERROR(VLOOKUP($T$274,'TAR FIN'!$A$1:$O$120,15,0)),0,VLOOKUP($T$274,'TAR FIN'!$A$1:$O$120,15,0))</f>
        <v>0</v>
      </c>
      <c r="X274" s="6">
        <f>IF(ISERROR(VLOOKUP($U$274,'TAR FIN'!$A$1:$O$120,15,0)),0,VLOOKUP($U$274,'TAR FIN'!$A$1:$O$120,15,0))</f>
        <v>0</v>
      </c>
      <c r="Y274" s="6">
        <f ca="1">('TUSD BE'!$AM$20+'TUSD BF'!$AM$20+'TUSD CVA'!$AM$20)*1</f>
        <v>11.452356648653195</v>
      </c>
      <c r="Z274" s="6"/>
      <c r="AA274" s="6"/>
      <c r="AB274" s="6">
        <f>$K$274*$V$274</f>
        <v>3717.82</v>
      </c>
      <c r="AC274" s="6">
        <f>$M$274*$W$274</f>
        <v>0</v>
      </c>
      <c r="AD274" s="6">
        <f>$O$274*$X$274</f>
        <v>0</v>
      </c>
      <c r="AE274" s="6">
        <f ca="1">$K$274*$Y$274</f>
        <v>4832.8945057316487</v>
      </c>
      <c r="AF274" s="6">
        <f>$M$274*$Z$274</f>
        <v>0</v>
      </c>
      <c r="AG274" s="6">
        <f>$O$274*$AA$274</f>
        <v>0</v>
      </c>
    </row>
    <row r="275" spans="1:33" ht="11.25" customHeight="1" x14ac:dyDescent="0.25">
      <c r="A275" s="4" t="s">
        <v>21</v>
      </c>
      <c r="B275" s="4" t="s">
        <v>45</v>
      </c>
      <c r="C275" s="4" t="s">
        <v>34</v>
      </c>
      <c r="D275" s="4" t="s">
        <v>42</v>
      </c>
      <c r="E275" s="4" t="s">
        <v>25</v>
      </c>
      <c r="F275" s="4" t="s">
        <v>25</v>
      </c>
      <c r="G275" s="4" t="s">
        <v>25</v>
      </c>
      <c r="H275" s="4" t="s">
        <v>25</v>
      </c>
      <c r="I275" s="5">
        <v>43952</v>
      </c>
      <c r="J275" s="6">
        <v>422</v>
      </c>
      <c r="K275" s="6">
        <v>422</v>
      </c>
      <c r="L275" s="6">
        <v>0</v>
      </c>
      <c r="M275" s="6">
        <v>0</v>
      </c>
      <c r="N275" s="6">
        <v>0</v>
      </c>
      <c r="O275" s="6">
        <v>0</v>
      </c>
      <c r="P275" s="6">
        <v>3</v>
      </c>
      <c r="Q275" s="4" t="s">
        <v>26</v>
      </c>
      <c r="R275" s="4">
        <v>0</v>
      </c>
      <c r="S275" s="6">
        <v>16</v>
      </c>
      <c r="T275" s="6">
        <v>0</v>
      </c>
      <c r="U275" s="6">
        <v>0</v>
      </c>
      <c r="V275" s="6">
        <f>IF(ISERROR(VLOOKUP($S$275,'TAR FIN'!$A$1:$O$120,15,0)),0,VLOOKUP($S$275,'TAR FIN'!$A$1:$O$120,15,0))</f>
        <v>8.81</v>
      </c>
      <c r="W275" s="6">
        <f>IF(ISERROR(VLOOKUP($T$275,'TAR FIN'!$A$1:$O$120,15,0)),0,VLOOKUP($T$275,'TAR FIN'!$A$1:$O$120,15,0))</f>
        <v>0</v>
      </c>
      <c r="X275" s="6">
        <f>IF(ISERROR(VLOOKUP($U$275,'TAR FIN'!$A$1:$O$120,15,0)),0,VLOOKUP($U$275,'TAR FIN'!$A$1:$O$120,15,0))</f>
        <v>0</v>
      </c>
      <c r="Y275" s="6">
        <f ca="1">('TUSD BE'!$AM$20+'TUSD BF'!$AM$20+'TUSD CVA'!$AM$20)*1</f>
        <v>11.452356648653195</v>
      </c>
      <c r="Z275" s="6"/>
      <c r="AA275" s="6"/>
      <c r="AB275" s="6">
        <f>$K$275*$V$275</f>
        <v>3717.82</v>
      </c>
      <c r="AC275" s="6">
        <f>$M$275*$W$275</f>
        <v>0</v>
      </c>
      <c r="AD275" s="6">
        <f>$O$275*$X$275</f>
        <v>0</v>
      </c>
      <c r="AE275" s="6">
        <f ca="1">$K$275*$Y$275</f>
        <v>4832.8945057316487</v>
      </c>
      <c r="AF275" s="6">
        <f>$M$275*$Z$275</f>
        <v>0</v>
      </c>
      <c r="AG275" s="6">
        <f>$O$275*$AA$275</f>
        <v>0</v>
      </c>
    </row>
    <row r="276" spans="1:33" ht="11.25" customHeight="1" x14ac:dyDescent="0.25">
      <c r="A276" s="4" t="s">
        <v>21</v>
      </c>
      <c r="B276" s="4" t="s">
        <v>45</v>
      </c>
      <c r="C276" s="4" t="s">
        <v>34</v>
      </c>
      <c r="D276" s="4" t="s">
        <v>42</v>
      </c>
      <c r="E276" s="4" t="s">
        <v>25</v>
      </c>
      <c r="F276" s="4" t="s">
        <v>25</v>
      </c>
      <c r="G276" s="4" t="s">
        <v>25</v>
      </c>
      <c r="H276" s="4" t="s">
        <v>25</v>
      </c>
      <c r="I276" s="5">
        <v>43983</v>
      </c>
      <c r="J276" s="6">
        <v>422</v>
      </c>
      <c r="K276" s="6">
        <v>422</v>
      </c>
      <c r="L276" s="6">
        <v>0</v>
      </c>
      <c r="M276" s="6">
        <v>0</v>
      </c>
      <c r="N276" s="6">
        <v>0</v>
      </c>
      <c r="O276" s="6">
        <v>0</v>
      </c>
      <c r="P276" s="6">
        <v>3</v>
      </c>
      <c r="Q276" s="4" t="s">
        <v>26</v>
      </c>
      <c r="R276" s="4">
        <v>0</v>
      </c>
      <c r="S276" s="6">
        <v>16</v>
      </c>
      <c r="T276" s="6">
        <v>0</v>
      </c>
      <c r="U276" s="6">
        <v>0</v>
      </c>
      <c r="V276" s="6">
        <f>IF(ISERROR(VLOOKUP($S$276,'TAR FIN'!$A$1:$O$120,15,0)),0,VLOOKUP($S$276,'TAR FIN'!$A$1:$O$120,15,0))</f>
        <v>8.81</v>
      </c>
      <c r="W276" s="6">
        <f>IF(ISERROR(VLOOKUP($T$276,'TAR FIN'!$A$1:$O$120,15,0)),0,VLOOKUP($T$276,'TAR FIN'!$A$1:$O$120,15,0))</f>
        <v>0</v>
      </c>
      <c r="X276" s="6">
        <f>IF(ISERROR(VLOOKUP($U$276,'TAR FIN'!$A$1:$O$120,15,0)),0,VLOOKUP($U$276,'TAR FIN'!$A$1:$O$120,15,0))</f>
        <v>0</v>
      </c>
      <c r="Y276" s="6">
        <f ca="1">('TUSD BE'!$AM$20+'TUSD BF'!$AM$20+'TUSD CVA'!$AM$20)*1</f>
        <v>11.452356648653195</v>
      </c>
      <c r="Z276" s="6"/>
      <c r="AA276" s="6"/>
      <c r="AB276" s="6">
        <f>$K$276*$V$276</f>
        <v>3717.82</v>
      </c>
      <c r="AC276" s="6">
        <f>$M$276*$W$276</f>
        <v>0</v>
      </c>
      <c r="AD276" s="6">
        <f>$O$276*$X$276</f>
        <v>0</v>
      </c>
      <c r="AE276" s="6">
        <f ca="1">$K$276*$Y$276</f>
        <v>4832.8945057316487</v>
      </c>
      <c r="AF276" s="6">
        <f>$M$276*$Z$276</f>
        <v>0</v>
      </c>
      <c r="AG276" s="6">
        <f>$O$276*$AA$276</f>
        <v>0</v>
      </c>
    </row>
    <row r="277" spans="1:33" ht="11.25" customHeight="1" x14ac:dyDescent="0.25">
      <c r="A277" s="4" t="s">
        <v>21</v>
      </c>
      <c r="B277" s="4" t="s">
        <v>45</v>
      </c>
      <c r="C277" s="4" t="s">
        <v>34</v>
      </c>
      <c r="D277" s="4" t="s">
        <v>42</v>
      </c>
      <c r="E277" s="4" t="s">
        <v>25</v>
      </c>
      <c r="F277" s="4" t="s">
        <v>25</v>
      </c>
      <c r="G277" s="4" t="s">
        <v>25</v>
      </c>
      <c r="H277" s="4" t="s">
        <v>25</v>
      </c>
      <c r="I277" s="5">
        <v>44013</v>
      </c>
      <c r="J277" s="6">
        <v>422</v>
      </c>
      <c r="K277" s="6">
        <v>422</v>
      </c>
      <c r="L277" s="6">
        <v>0</v>
      </c>
      <c r="M277" s="6">
        <v>0</v>
      </c>
      <c r="N277" s="6">
        <v>0</v>
      </c>
      <c r="O277" s="6">
        <v>0</v>
      </c>
      <c r="P277" s="6">
        <v>3</v>
      </c>
      <c r="Q277" s="4" t="s">
        <v>26</v>
      </c>
      <c r="R277" s="4">
        <v>0</v>
      </c>
      <c r="S277" s="6">
        <v>16</v>
      </c>
      <c r="T277" s="6">
        <v>0</v>
      </c>
      <c r="U277" s="6">
        <v>0</v>
      </c>
      <c r="V277" s="6">
        <f>IF(ISERROR(VLOOKUP($S$277,'TAR FIN'!$A$1:$O$120,15,0)),0,VLOOKUP($S$277,'TAR FIN'!$A$1:$O$120,15,0))</f>
        <v>8.81</v>
      </c>
      <c r="W277" s="6">
        <f>IF(ISERROR(VLOOKUP($T$277,'TAR FIN'!$A$1:$O$120,15,0)),0,VLOOKUP($T$277,'TAR FIN'!$A$1:$O$120,15,0))</f>
        <v>0</v>
      </c>
      <c r="X277" s="6">
        <f>IF(ISERROR(VLOOKUP($U$277,'TAR FIN'!$A$1:$O$120,15,0)),0,VLOOKUP($U$277,'TAR FIN'!$A$1:$O$120,15,0))</f>
        <v>0</v>
      </c>
      <c r="Y277" s="6">
        <f ca="1">('TUSD BE'!$AM$20+'TUSD BF'!$AM$20+'TUSD CVA'!$AM$20)*1</f>
        <v>11.452356648653195</v>
      </c>
      <c r="Z277" s="6"/>
      <c r="AA277" s="6"/>
      <c r="AB277" s="6">
        <f>$K$277*$V$277</f>
        <v>3717.82</v>
      </c>
      <c r="AC277" s="6">
        <f>$M$277*$W$277</f>
        <v>0</v>
      </c>
      <c r="AD277" s="6">
        <f>$O$277*$X$277</f>
        <v>0</v>
      </c>
      <c r="AE277" s="6">
        <f ca="1">$K$277*$Y$277</f>
        <v>4832.8945057316487</v>
      </c>
      <c r="AF277" s="6">
        <f>$M$277*$Z$277</f>
        <v>0</v>
      </c>
      <c r="AG277" s="6">
        <f>$O$277*$AA$277</f>
        <v>0</v>
      </c>
    </row>
    <row r="278" spans="1:33" ht="11.25" customHeight="1" x14ac:dyDescent="0.25">
      <c r="A278" s="4" t="s">
        <v>21</v>
      </c>
      <c r="B278" s="4" t="s">
        <v>45</v>
      </c>
      <c r="C278" s="4" t="s">
        <v>34</v>
      </c>
      <c r="D278" s="4" t="s">
        <v>42</v>
      </c>
      <c r="E278" s="4" t="s">
        <v>25</v>
      </c>
      <c r="F278" s="4" t="s">
        <v>25</v>
      </c>
      <c r="G278" s="4" t="s">
        <v>25</v>
      </c>
      <c r="H278" s="4" t="s">
        <v>25</v>
      </c>
      <c r="I278" s="5">
        <v>44044</v>
      </c>
      <c r="J278" s="6">
        <v>422</v>
      </c>
      <c r="K278" s="6">
        <v>422</v>
      </c>
      <c r="L278" s="6">
        <v>0</v>
      </c>
      <c r="M278" s="6">
        <v>0</v>
      </c>
      <c r="N278" s="6">
        <v>0</v>
      </c>
      <c r="O278" s="6">
        <v>0</v>
      </c>
      <c r="P278" s="6">
        <v>3</v>
      </c>
      <c r="Q278" s="4" t="s">
        <v>26</v>
      </c>
      <c r="R278" s="4">
        <v>0</v>
      </c>
      <c r="S278" s="6">
        <v>16</v>
      </c>
      <c r="T278" s="6">
        <v>0</v>
      </c>
      <c r="U278" s="6">
        <v>0</v>
      </c>
      <c r="V278" s="6">
        <f>IF(ISERROR(VLOOKUP($S$278,'TAR FIN'!$A$1:$O$120,15,0)),0,VLOOKUP($S$278,'TAR FIN'!$A$1:$O$120,15,0))</f>
        <v>8.81</v>
      </c>
      <c r="W278" s="6">
        <f>IF(ISERROR(VLOOKUP($T$278,'TAR FIN'!$A$1:$O$120,15,0)),0,VLOOKUP($T$278,'TAR FIN'!$A$1:$O$120,15,0))</f>
        <v>0</v>
      </c>
      <c r="X278" s="6">
        <f>IF(ISERROR(VLOOKUP($U$278,'TAR FIN'!$A$1:$O$120,15,0)),0,VLOOKUP($U$278,'TAR FIN'!$A$1:$O$120,15,0))</f>
        <v>0</v>
      </c>
      <c r="Y278" s="6">
        <f ca="1">('TUSD BE'!$AM$20+'TUSD BF'!$AM$20+'TUSD CVA'!$AM$20)*1</f>
        <v>11.452356648653195</v>
      </c>
      <c r="Z278" s="6"/>
      <c r="AA278" s="6"/>
      <c r="AB278" s="6">
        <f>$K$278*$V$278</f>
        <v>3717.82</v>
      </c>
      <c r="AC278" s="6">
        <f>$M$278*$W$278</f>
        <v>0</v>
      </c>
      <c r="AD278" s="6">
        <f>$O$278*$X$278</f>
        <v>0</v>
      </c>
      <c r="AE278" s="6">
        <f ca="1">$K$278*$Y$278</f>
        <v>4832.8945057316487</v>
      </c>
      <c r="AF278" s="6">
        <f>$M$278*$Z$278</f>
        <v>0</v>
      </c>
      <c r="AG278" s="6">
        <f>$O$278*$AA$278</f>
        <v>0</v>
      </c>
    </row>
    <row r="279" spans="1:33" ht="11.25" customHeight="1" x14ac:dyDescent="0.25">
      <c r="A279" s="4" t="s">
        <v>59</v>
      </c>
      <c r="B279" s="4" t="s">
        <v>45</v>
      </c>
      <c r="C279" s="4" t="s">
        <v>34</v>
      </c>
      <c r="D279" s="4" t="s">
        <v>42</v>
      </c>
      <c r="E279" s="4" t="s">
        <v>25</v>
      </c>
      <c r="F279" s="4" t="s">
        <v>25</v>
      </c>
      <c r="G279" s="4" t="s">
        <v>25</v>
      </c>
      <c r="H279" s="4" t="s">
        <v>25</v>
      </c>
      <c r="I279" s="5">
        <v>44075</v>
      </c>
      <c r="J279" s="6">
        <v>422</v>
      </c>
      <c r="K279" s="6">
        <v>422</v>
      </c>
      <c r="L279" s="6">
        <v>0</v>
      </c>
      <c r="M279" s="6">
        <v>0</v>
      </c>
      <c r="N279" s="6">
        <v>0</v>
      </c>
      <c r="O279" s="6">
        <v>0</v>
      </c>
      <c r="P279" s="6">
        <v>3</v>
      </c>
      <c r="Q279" s="4" t="s">
        <v>26</v>
      </c>
      <c r="R279" s="4">
        <v>0</v>
      </c>
      <c r="S279" s="6">
        <v>16</v>
      </c>
      <c r="T279" s="6">
        <v>0</v>
      </c>
      <c r="U279" s="6">
        <v>0</v>
      </c>
      <c r="V279" s="6">
        <f>IF(ISERROR(VLOOKUP($S$279,'TAR FIN'!$A$1:$O$120,15,0)),0,VLOOKUP($S$279,'TAR FIN'!$A$1:$O$120,15,0))</f>
        <v>8.81</v>
      </c>
      <c r="W279" s="6">
        <f>IF(ISERROR(VLOOKUP($T$279,'TAR FIN'!$A$1:$O$120,15,0)),0,VLOOKUP($T$279,'TAR FIN'!$A$1:$O$120,15,0))</f>
        <v>0</v>
      </c>
      <c r="X279" s="6">
        <f>IF(ISERROR(VLOOKUP($U$279,'TAR FIN'!$A$1:$O$120,15,0)),0,VLOOKUP($U$279,'TAR FIN'!$A$1:$O$120,15,0))</f>
        <v>0</v>
      </c>
      <c r="Y279" s="6">
        <f ca="1">('TUSD BE'!$AM$20+'TUSD BF'!$AM$20+'TUSD CVA'!$AM$20)*1</f>
        <v>11.452356648653195</v>
      </c>
      <c r="Z279" s="6"/>
      <c r="AA279" s="6"/>
      <c r="AB279" s="6">
        <f>$K$279*$V$279</f>
        <v>3717.82</v>
      </c>
      <c r="AC279" s="6">
        <f>$M$279*$W$279</f>
        <v>0</v>
      </c>
      <c r="AD279" s="6">
        <f>$O$279*$X$279</f>
        <v>0</v>
      </c>
      <c r="AE279" s="6">
        <f ca="1">$K$279*$Y$279</f>
        <v>4832.8945057316487</v>
      </c>
      <c r="AF279" s="6">
        <f>$M$279*$Z$279</f>
        <v>0</v>
      </c>
      <c r="AG279" s="6">
        <f>$O$279*$AA$279</f>
        <v>0</v>
      </c>
    </row>
    <row r="280" spans="1:33" ht="11.25" customHeight="1" x14ac:dyDescent="0.25">
      <c r="A280" s="4" t="s">
        <v>21</v>
      </c>
      <c r="B280" s="4" t="s">
        <v>45</v>
      </c>
      <c r="C280" s="4" t="s">
        <v>34</v>
      </c>
      <c r="D280" s="4" t="s">
        <v>42</v>
      </c>
      <c r="E280" s="4" t="s">
        <v>25</v>
      </c>
      <c r="F280" s="4" t="s">
        <v>25</v>
      </c>
      <c r="G280" s="4" t="s">
        <v>25</v>
      </c>
      <c r="H280" s="4" t="s">
        <v>35</v>
      </c>
      <c r="I280" s="5">
        <v>43739</v>
      </c>
      <c r="J280" s="6">
        <v>0</v>
      </c>
      <c r="K280" s="6">
        <v>0</v>
      </c>
      <c r="L280" s="6">
        <v>5.6459999999999999</v>
      </c>
      <c r="M280" s="6">
        <v>5.6459999999999999</v>
      </c>
      <c r="N280" s="6">
        <v>5.6459999999999999</v>
      </c>
      <c r="O280" s="6">
        <v>5.6459999999999999</v>
      </c>
      <c r="P280" s="6">
        <v>0</v>
      </c>
      <c r="Q280" s="4" t="s">
        <v>26</v>
      </c>
      <c r="R280" s="4">
        <v>0</v>
      </c>
      <c r="S280" s="6">
        <v>0</v>
      </c>
      <c r="T280" s="6">
        <v>17</v>
      </c>
      <c r="U280" s="6">
        <v>79</v>
      </c>
      <c r="V280" s="6">
        <f>IF(ISERROR(VLOOKUP($S$280,'TAR FIN'!$A$1:$O$120,15,0)),0,VLOOKUP($S$280,'TAR FIN'!$A$1:$O$120,15,0))</f>
        <v>0</v>
      </c>
      <c r="W280" s="6">
        <f>IF(ISERROR(VLOOKUP($T$280,'TAR FIN'!$A$1:$O$120,15,0)),0,VLOOKUP($T$280,'TAR FIN'!$A$1:$O$120,15,0))</f>
        <v>641.99</v>
      </c>
      <c r="X280" s="6">
        <f>IF(ISERROR(VLOOKUP($U$280,'TAR FIN'!$A$1:$O$120,15,0)),0,VLOOKUP($U$280,'TAR FIN'!$A$1:$O$120,15,0))</f>
        <v>430.87</v>
      </c>
      <c r="Y280" s="6"/>
      <c r="Z280" s="6">
        <f ca="1">('TUSD BE'!$AM$21+'TUSD BF'!$AM$21+'TUSD CVA'!$AM$21)*1</f>
        <v>747.73363518028248</v>
      </c>
      <c r="AA280" s="6">
        <f>('TE BE'!$AA$7+'TE BF'!$AA$7+'TE CVA'!$AA$7)*1</f>
        <v>375.69180268700768</v>
      </c>
      <c r="AB280" s="6">
        <f>$K$280*$V$280</f>
        <v>0</v>
      </c>
      <c r="AC280" s="6">
        <f>$M$280*$W$280</f>
        <v>3624.6755400000002</v>
      </c>
      <c r="AD280" s="6">
        <f>$O$280*$X$280</f>
        <v>2432.69202</v>
      </c>
      <c r="AE280" s="6">
        <f>$K$280*$Y$280</f>
        <v>0</v>
      </c>
      <c r="AF280" s="6">
        <f ca="1">$M$280*$Z$280</f>
        <v>4221.7041042278752</v>
      </c>
      <c r="AG280" s="6">
        <f>$O$280*$AA$280</f>
        <v>2121.1559179708452</v>
      </c>
    </row>
    <row r="281" spans="1:33" ht="11.25" customHeight="1" x14ac:dyDescent="0.25">
      <c r="A281" s="4" t="s">
        <v>27</v>
      </c>
      <c r="B281" s="4" t="s">
        <v>45</v>
      </c>
      <c r="C281" s="4" t="s">
        <v>34</v>
      </c>
      <c r="D281" s="4" t="s">
        <v>42</v>
      </c>
      <c r="E281" s="4" t="s">
        <v>25</v>
      </c>
      <c r="F281" s="4" t="s">
        <v>25</v>
      </c>
      <c r="G281" s="4" t="s">
        <v>25</v>
      </c>
      <c r="H281" s="4" t="s">
        <v>35</v>
      </c>
      <c r="I281" s="5">
        <v>43739</v>
      </c>
      <c r="J281" s="6">
        <v>0</v>
      </c>
      <c r="K281" s="6">
        <v>0</v>
      </c>
      <c r="L281" s="6">
        <v>4.6500000000000004</v>
      </c>
      <c r="M281" s="6">
        <v>4.6500000000000004</v>
      </c>
      <c r="N281" s="6">
        <v>4.6500000000000004</v>
      </c>
      <c r="O281" s="6">
        <v>4.6500000000000004</v>
      </c>
      <c r="P281" s="6">
        <v>0</v>
      </c>
      <c r="Q281" s="4" t="s">
        <v>26</v>
      </c>
      <c r="R281" s="4">
        <v>0</v>
      </c>
      <c r="S281" s="6">
        <v>0</v>
      </c>
      <c r="T281" s="6">
        <v>17</v>
      </c>
      <c r="U281" s="6">
        <v>79</v>
      </c>
      <c r="V281" s="6">
        <f>IF(ISERROR(VLOOKUP($S$281,'TAR FIN'!$A$1:$O$120,15,0)),0,VLOOKUP($S$281,'TAR FIN'!$A$1:$O$120,15,0))</f>
        <v>0</v>
      </c>
      <c r="W281" s="6">
        <f>IF(ISERROR(VLOOKUP($T$281,'TAR FIN'!$A$1:$O$120,15,0)),0,VLOOKUP($T$281,'TAR FIN'!$A$1:$O$120,15,0))</f>
        <v>641.99</v>
      </c>
      <c r="X281" s="6">
        <f>IF(ISERROR(VLOOKUP($U$281,'TAR FIN'!$A$1:$O$120,15,0)),0,VLOOKUP($U$281,'TAR FIN'!$A$1:$O$120,15,0))</f>
        <v>430.87</v>
      </c>
      <c r="Y281" s="6"/>
      <c r="Z281" s="6">
        <f ca="1">('TUSD BE'!$AM$21+'TUSD BF'!$AM$21+'TUSD CVA'!$AM$21)*1</f>
        <v>747.73363518028248</v>
      </c>
      <c r="AA281" s="6">
        <f>('TE BE'!$AA$7+'TE BF'!$AA$7+'TE CVA'!$AA$7)*1</f>
        <v>375.69180268700768</v>
      </c>
      <c r="AB281" s="6">
        <f>$K$281*$V$281</f>
        <v>0</v>
      </c>
      <c r="AC281" s="6">
        <f>$M$281*$W$281</f>
        <v>2985.2535000000003</v>
      </c>
      <c r="AD281" s="6">
        <f>$O$281*$X$281</f>
        <v>2003.5455000000002</v>
      </c>
      <c r="AE281" s="6">
        <f>$K$281*$Y$281</f>
        <v>0</v>
      </c>
      <c r="AF281" s="6">
        <f ca="1">$M$281*$Z$281</f>
        <v>3476.9614035883137</v>
      </c>
      <c r="AG281" s="6">
        <f>$O$281*$AA$281</f>
        <v>1746.9668824945859</v>
      </c>
    </row>
    <row r="282" spans="1:33" ht="11.25" customHeight="1" x14ac:dyDescent="0.25">
      <c r="A282" s="4" t="s">
        <v>21</v>
      </c>
      <c r="B282" s="4" t="s">
        <v>45</v>
      </c>
      <c r="C282" s="4" t="s">
        <v>34</v>
      </c>
      <c r="D282" s="4" t="s">
        <v>42</v>
      </c>
      <c r="E282" s="4" t="s">
        <v>25</v>
      </c>
      <c r="F282" s="4" t="s">
        <v>25</v>
      </c>
      <c r="G282" s="4" t="s">
        <v>25</v>
      </c>
      <c r="H282" s="4" t="s">
        <v>35</v>
      </c>
      <c r="I282" s="5">
        <v>43770</v>
      </c>
      <c r="J282" s="6">
        <v>0</v>
      </c>
      <c r="K282" s="6">
        <v>0</v>
      </c>
      <c r="L282" s="6">
        <v>12.007999999999999</v>
      </c>
      <c r="M282" s="6">
        <v>12.007999999999999</v>
      </c>
      <c r="N282" s="6">
        <v>12.007999999999999</v>
      </c>
      <c r="O282" s="6">
        <v>12.007999999999999</v>
      </c>
      <c r="P282" s="6">
        <v>0</v>
      </c>
      <c r="Q282" s="4" t="s">
        <v>26</v>
      </c>
      <c r="R282" s="4">
        <v>0</v>
      </c>
      <c r="S282" s="6">
        <v>0</v>
      </c>
      <c r="T282" s="6">
        <v>17</v>
      </c>
      <c r="U282" s="6">
        <v>79</v>
      </c>
      <c r="V282" s="6">
        <f>IF(ISERROR(VLOOKUP($S$282,'TAR FIN'!$A$1:$O$120,15,0)),0,VLOOKUP($S$282,'TAR FIN'!$A$1:$O$120,15,0))</f>
        <v>0</v>
      </c>
      <c r="W282" s="6">
        <f>IF(ISERROR(VLOOKUP($T$282,'TAR FIN'!$A$1:$O$120,15,0)),0,VLOOKUP($T$282,'TAR FIN'!$A$1:$O$120,15,0))</f>
        <v>641.99</v>
      </c>
      <c r="X282" s="6">
        <f>IF(ISERROR(VLOOKUP($U$282,'TAR FIN'!$A$1:$O$120,15,0)),0,VLOOKUP($U$282,'TAR FIN'!$A$1:$O$120,15,0))</f>
        <v>430.87</v>
      </c>
      <c r="Y282" s="6"/>
      <c r="Z282" s="6">
        <f ca="1">('TUSD BE'!$AM$21+'TUSD BF'!$AM$21+'TUSD CVA'!$AM$21)*1</f>
        <v>747.73363518028248</v>
      </c>
      <c r="AA282" s="6">
        <f>('TE BE'!$AA$7+'TE BF'!$AA$7+'TE CVA'!$AA$7)*1</f>
        <v>375.69180268700768</v>
      </c>
      <c r="AB282" s="6">
        <f>$K$282*$V$282</f>
        <v>0</v>
      </c>
      <c r="AC282" s="6">
        <f>$M$282*$W$282</f>
        <v>7709.0159199999998</v>
      </c>
      <c r="AD282" s="6">
        <f>$O$282*$X$282</f>
        <v>5173.8869599999998</v>
      </c>
      <c r="AE282" s="6">
        <f>$K$282*$Y$282</f>
        <v>0</v>
      </c>
      <c r="AF282" s="6">
        <f ca="1">$M$282*$Z$282</f>
        <v>8978.7854912448311</v>
      </c>
      <c r="AG282" s="6">
        <f>$O$282*$AA$282</f>
        <v>4511.3071666655878</v>
      </c>
    </row>
    <row r="283" spans="1:33" ht="11.25" customHeight="1" x14ac:dyDescent="0.25">
      <c r="A283" s="4" t="s">
        <v>21</v>
      </c>
      <c r="B283" s="4" t="s">
        <v>45</v>
      </c>
      <c r="C283" s="4" t="s">
        <v>34</v>
      </c>
      <c r="D283" s="4" t="s">
        <v>42</v>
      </c>
      <c r="E283" s="4" t="s">
        <v>25</v>
      </c>
      <c r="F283" s="4" t="s">
        <v>25</v>
      </c>
      <c r="G283" s="4" t="s">
        <v>25</v>
      </c>
      <c r="H283" s="4" t="s">
        <v>35</v>
      </c>
      <c r="I283" s="5">
        <v>43800</v>
      </c>
      <c r="J283" s="6">
        <v>0</v>
      </c>
      <c r="K283" s="6">
        <v>0</v>
      </c>
      <c r="L283" s="6">
        <v>10.971</v>
      </c>
      <c r="M283" s="6">
        <v>10.971</v>
      </c>
      <c r="N283" s="6">
        <v>10.971</v>
      </c>
      <c r="O283" s="6">
        <v>10.971</v>
      </c>
      <c r="P283" s="6">
        <v>0</v>
      </c>
      <c r="Q283" s="4" t="s">
        <v>26</v>
      </c>
      <c r="R283" s="4">
        <v>0</v>
      </c>
      <c r="S283" s="6">
        <v>0</v>
      </c>
      <c r="T283" s="6">
        <v>17</v>
      </c>
      <c r="U283" s="6">
        <v>79</v>
      </c>
      <c r="V283" s="6">
        <f>IF(ISERROR(VLOOKUP($S$283,'TAR FIN'!$A$1:$O$120,15,0)),0,VLOOKUP($S$283,'TAR FIN'!$A$1:$O$120,15,0))</f>
        <v>0</v>
      </c>
      <c r="W283" s="6">
        <f>IF(ISERROR(VLOOKUP($T$283,'TAR FIN'!$A$1:$O$120,15,0)),0,VLOOKUP($T$283,'TAR FIN'!$A$1:$O$120,15,0))</f>
        <v>641.99</v>
      </c>
      <c r="X283" s="6">
        <f>IF(ISERROR(VLOOKUP($U$283,'TAR FIN'!$A$1:$O$120,15,0)),0,VLOOKUP($U$283,'TAR FIN'!$A$1:$O$120,15,0))</f>
        <v>430.87</v>
      </c>
      <c r="Y283" s="6"/>
      <c r="Z283" s="6">
        <f ca="1">('TUSD BE'!$AM$21+'TUSD BF'!$AM$21+'TUSD CVA'!$AM$21)*1</f>
        <v>747.73363518028248</v>
      </c>
      <c r="AA283" s="6">
        <f>('TE BE'!$AA$7+'TE BF'!$AA$7+'TE CVA'!$AA$7)*1</f>
        <v>375.69180268700768</v>
      </c>
      <c r="AB283" s="6">
        <f>$K$283*$V$283</f>
        <v>0</v>
      </c>
      <c r="AC283" s="6">
        <f>$M$283*$W$283</f>
        <v>7043.2722899999999</v>
      </c>
      <c r="AD283" s="6">
        <f>$O$283*$X$283</f>
        <v>4727.0747700000002</v>
      </c>
      <c r="AE283" s="6">
        <f>$K$283*$Y$283</f>
        <v>0</v>
      </c>
      <c r="AF283" s="6">
        <f ca="1">$M$283*$Z$283</f>
        <v>8203.3857115628798</v>
      </c>
      <c r="AG283" s="6">
        <f>$O$283*$AA$283</f>
        <v>4121.7147672791616</v>
      </c>
    </row>
    <row r="284" spans="1:33" ht="11.25" customHeight="1" x14ac:dyDescent="0.25">
      <c r="A284" s="4" t="s">
        <v>21</v>
      </c>
      <c r="B284" s="4" t="s">
        <v>45</v>
      </c>
      <c r="C284" s="4" t="s">
        <v>34</v>
      </c>
      <c r="D284" s="4" t="s">
        <v>42</v>
      </c>
      <c r="E284" s="4" t="s">
        <v>25</v>
      </c>
      <c r="F284" s="4" t="s">
        <v>25</v>
      </c>
      <c r="G284" s="4" t="s">
        <v>25</v>
      </c>
      <c r="H284" s="4" t="s">
        <v>35</v>
      </c>
      <c r="I284" s="5">
        <v>43831</v>
      </c>
      <c r="J284" s="6">
        <v>0</v>
      </c>
      <c r="K284" s="6">
        <v>0</v>
      </c>
      <c r="L284" s="6">
        <v>10.223000000000001</v>
      </c>
      <c r="M284" s="6">
        <v>10.223000000000001</v>
      </c>
      <c r="N284" s="6">
        <v>10.223000000000001</v>
      </c>
      <c r="O284" s="6">
        <v>10.223000000000001</v>
      </c>
      <c r="P284" s="6">
        <v>0</v>
      </c>
      <c r="Q284" s="4" t="s">
        <v>26</v>
      </c>
      <c r="R284" s="4">
        <v>0</v>
      </c>
      <c r="S284" s="6">
        <v>0</v>
      </c>
      <c r="T284" s="6">
        <v>17</v>
      </c>
      <c r="U284" s="6">
        <v>79</v>
      </c>
      <c r="V284" s="6">
        <f>IF(ISERROR(VLOOKUP($S$284,'TAR FIN'!$A$1:$O$120,15,0)),0,VLOOKUP($S$284,'TAR FIN'!$A$1:$O$120,15,0))</f>
        <v>0</v>
      </c>
      <c r="W284" s="6">
        <f>IF(ISERROR(VLOOKUP($T$284,'TAR FIN'!$A$1:$O$120,15,0)),0,VLOOKUP($T$284,'TAR FIN'!$A$1:$O$120,15,0))</f>
        <v>641.99</v>
      </c>
      <c r="X284" s="6">
        <f>IF(ISERROR(VLOOKUP($U$284,'TAR FIN'!$A$1:$O$120,15,0)),0,VLOOKUP($U$284,'TAR FIN'!$A$1:$O$120,15,0))</f>
        <v>430.87</v>
      </c>
      <c r="Y284" s="6"/>
      <c r="Z284" s="6">
        <f ca="1">('TUSD BE'!$AM$21+'TUSD BF'!$AM$21+'TUSD CVA'!$AM$21)*1</f>
        <v>747.73363518028248</v>
      </c>
      <c r="AA284" s="6">
        <f>('TE BE'!$AA$7+'TE BF'!$AA$7+'TE CVA'!$AA$7)*1</f>
        <v>375.69180268700768</v>
      </c>
      <c r="AB284" s="6">
        <f>$K$284*$V$284</f>
        <v>0</v>
      </c>
      <c r="AC284" s="6">
        <f>$M$284*$W$284</f>
        <v>6563.0637700000007</v>
      </c>
      <c r="AD284" s="6">
        <f>$O$284*$X$284</f>
        <v>4404.7840100000003</v>
      </c>
      <c r="AE284" s="6">
        <f>$K$284*$Y$284</f>
        <v>0</v>
      </c>
      <c r="AF284" s="6">
        <f ca="1">$M$284*$Z$284</f>
        <v>7644.0809524480283</v>
      </c>
      <c r="AG284" s="6">
        <f>$O$284*$AA$284</f>
        <v>3840.6972988692796</v>
      </c>
    </row>
    <row r="285" spans="1:33" ht="11.25" customHeight="1" x14ac:dyDescent="0.25">
      <c r="A285" s="4" t="s">
        <v>21</v>
      </c>
      <c r="B285" s="4" t="s">
        <v>45</v>
      </c>
      <c r="C285" s="4" t="s">
        <v>34</v>
      </c>
      <c r="D285" s="4" t="s">
        <v>42</v>
      </c>
      <c r="E285" s="4" t="s">
        <v>25</v>
      </c>
      <c r="F285" s="4" t="s">
        <v>25</v>
      </c>
      <c r="G285" s="4" t="s">
        <v>25</v>
      </c>
      <c r="H285" s="4" t="s">
        <v>35</v>
      </c>
      <c r="I285" s="5">
        <v>43862</v>
      </c>
      <c r="J285" s="6">
        <v>0</v>
      </c>
      <c r="K285" s="6">
        <v>0</v>
      </c>
      <c r="L285" s="6">
        <v>13.21</v>
      </c>
      <c r="M285" s="6">
        <v>13.21</v>
      </c>
      <c r="N285" s="6">
        <v>13.21</v>
      </c>
      <c r="O285" s="6">
        <v>13.21</v>
      </c>
      <c r="P285" s="6">
        <v>0</v>
      </c>
      <c r="Q285" s="4" t="s">
        <v>26</v>
      </c>
      <c r="R285" s="4">
        <v>0</v>
      </c>
      <c r="S285" s="6">
        <v>0</v>
      </c>
      <c r="T285" s="6">
        <v>17</v>
      </c>
      <c r="U285" s="6">
        <v>79</v>
      </c>
      <c r="V285" s="6">
        <f>IF(ISERROR(VLOOKUP($S$285,'TAR FIN'!$A$1:$O$120,15,0)),0,VLOOKUP($S$285,'TAR FIN'!$A$1:$O$120,15,0))</f>
        <v>0</v>
      </c>
      <c r="W285" s="6">
        <f>IF(ISERROR(VLOOKUP($T$285,'TAR FIN'!$A$1:$O$120,15,0)),0,VLOOKUP($T$285,'TAR FIN'!$A$1:$O$120,15,0))</f>
        <v>641.99</v>
      </c>
      <c r="X285" s="6">
        <f>IF(ISERROR(VLOOKUP($U$285,'TAR FIN'!$A$1:$O$120,15,0)),0,VLOOKUP($U$285,'TAR FIN'!$A$1:$O$120,15,0))</f>
        <v>430.87</v>
      </c>
      <c r="Y285" s="6"/>
      <c r="Z285" s="6">
        <f ca="1">('TUSD BE'!$AM$21+'TUSD BF'!$AM$21+'TUSD CVA'!$AM$21)*1</f>
        <v>747.73363518028248</v>
      </c>
      <c r="AA285" s="6">
        <f>('TE BE'!$AA$7+'TE BF'!$AA$7+'TE CVA'!$AA$7)*1</f>
        <v>375.69180268700768</v>
      </c>
      <c r="AB285" s="6">
        <f>$K$285*$V$285</f>
        <v>0</v>
      </c>
      <c r="AC285" s="6">
        <f>$M$285*$W$285</f>
        <v>8480.6879000000008</v>
      </c>
      <c r="AD285" s="6">
        <f>$O$285*$X$285</f>
        <v>5691.7927000000009</v>
      </c>
      <c r="AE285" s="6">
        <f>$K$285*$Y$285</f>
        <v>0</v>
      </c>
      <c r="AF285" s="6">
        <f ca="1">$M$285*$Z$285</f>
        <v>9877.5613207315328</v>
      </c>
      <c r="AG285" s="6">
        <f>$O$285*$AA$285</f>
        <v>4962.888713495372</v>
      </c>
    </row>
    <row r="286" spans="1:33" ht="11.25" customHeight="1" x14ac:dyDescent="0.25">
      <c r="A286" s="4" t="s">
        <v>21</v>
      </c>
      <c r="B286" s="4" t="s">
        <v>45</v>
      </c>
      <c r="C286" s="4" t="s">
        <v>34</v>
      </c>
      <c r="D286" s="4" t="s">
        <v>42</v>
      </c>
      <c r="E286" s="4" t="s">
        <v>25</v>
      </c>
      <c r="F286" s="4" t="s">
        <v>25</v>
      </c>
      <c r="G286" s="4" t="s">
        <v>25</v>
      </c>
      <c r="H286" s="4" t="s">
        <v>35</v>
      </c>
      <c r="I286" s="5">
        <v>43891</v>
      </c>
      <c r="J286" s="6">
        <v>0</v>
      </c>
      <c r="K286" s="6">
        <v>0</v>
      </c>
      <c r="L286" s="6">
        <v>10.962</v>
      </c>
      <c r="M286" s="6">
        <v>10.962</v>
      </c>
      <c r="N286" s="6">
        <v>10.962</v>
      </c>
      <c r="O286" s="6">
        <v>10.962</v>
      </c>
      <c r="P286" s="6">
        <v>0</v>
      </c>
      <c r="Q286" s="4" t="s">
        <v>26</v>
      </c>
      <c r="R286" s="4">
        <v>0</v>
      </c>
      <c r="S286" s="6">
        <v>0</v>
      </c>
      <c r="T286" s="6">
        <v>17</v>
      </c>
      <c r="U286" s="6">
        <v>79</v>
      </c>
      <c r="V286" s="6">
        <f>IF(ISERROR(VLOOKUP($S$286,'TAR FIN'!$A$1:$O$120,15,0)),0,VLOOKUP($S$286,'TAR FIN'!$A$1:$O$120,15,0))</f>
        <v>0</v>
      </c>
      <c r="W286" s="6">
        <f>IF(ISERROR(VLOOKUP($T$286,'TAR FIN'!$A$1:$O$120,15,0)),0,VLOOKUP($T$286,'TAR FIN'!$A$1:$O$120,15,0))</f>
        <v>641.99</v>
      </c>
      <c r="X286" s="6">
        <f>IF(ISERROR(VLOOKUP($U$286,'TAR FIN'!$A$1:$O$120,15,0)),0,VLOOKUP($U$286,'TAR FIN'!$A$1:$O$120,15,0))</f>
        <v>430.87</v>
      </c>
      <c r="Y286" s="6"/>
      <c r="Z286" s="6">
        <f ca="1">('TUSD BE'!$AM$21+'TUSD BF'!$AM$21+'TUSD CVA'!$AM$21)*1</f>
        <v>747.73363518028248</v>
      </c>
      <c r="AA286" s="6">
        <f>('TE BE'!$AA$7+'TE BF'!$AA$7+'TE CVA'!$AA$7)*1</f>
        <v>375.69180268700768</v>
      </c>
      <c r="AB286" s="6">
        <f>$K$286*$V$286</f>
        <v>0</v>
      </c>
      <c r="AC286" s="6">
        <f>$M$286*$W$286</f>
        <v>7037.4943800000001</v>
      </c>
      <c r="AD286" s="6">
        <f>$O$286*$X$286</f>
        <v>4723.1969399999998</v>
      </c>
      <c r="AE286" s="6">
        <f>$K$286*$Y$286</f>
        <v>0</v>
      </c>
      <c r="AF286" s="6">
        <f ca="1">$M$286*$Z$286</f>
        <v>8196.6561088462568</v>
      </c>
      <c r="AG286" s="6">
        <f>$O$286*$AA$286</f>
        <v>4118.333541054978</v>
      </c>
    </row>
    <row r="287" spans="1:33" ht="11.25" customHeight="1" x14ac:dyDescent="0.25">
      <c r="A287" s="4" t="s">
        <v>21</v>
      </c>
      <c r="B287" s="4" t="s">
        <v>45</v>
      </c>
      <c r="C287" s="4" t="s">
        <v>34</v>
      </c>
      <c r="D287" s="4" t="s">
        <v>42</v>
      </c>
      <c r="E287" s="4" t="s">
        <v>25</v>
      </c>
      <c r="F287" s="4" t="s">
        <v>25</v>
      </c>
      <c r="G287" s="4" t="s">
        <v>25</v>
      </c>
      <c r="H287" s="4" t="s">
        <v>35</v>
      </c>
      <c r="I287" s="5">
        <v>43922</v>
      </c>
      <c r="J287" s="6">
        <v>0</v>
      </c>
      <c r="K287" s="6">
        <v>0</v>
      </c>
      <c r="L287" s="6">
        <v>2.8740000000000001</v>
      </c>
      <c r="M287" s="6">
        <v>2.8740000000000001</v>
      </c>
      <c r="N287" s="6">
        <v>2.8740000000000001</v>
      </c>
      <c r="O287" s="6">
        <v>2.8740000000000001</v>
      </c>
      <c r="P287" s="6">
        <v>0</v>
      </c>
      <c r="Q287" s="4" t="s">
        <v>26</v>
      </c>
      <c r="R287" s="4">
        <v>0</v>
      </c>
      <c r="S287" s="6">
        <v>0</v>
      </c>
      <c r="T287" s="6">
        <v>17</v>
      </c>
      <c r="U287" s="6">
        <v>79</v>
      </c>
      <c r="V287" s="6">
        <f>IF(ISERROR(VLOOKUP($S$287,'TAR FIN'!$A$1:$O$120,15,0)),0,VLOOKUP($S$287,'TAR FIN'!$A$1:$O$120,15,0))</f>
        <v>0</v>
      </c>
      <c r="W287" s="6">
        <f>IF(ISERROR(VLOOKUP($T$287,'TAR FIN'!$A$1:$O$120,15,0)),0,VLOOKUP($T$287,'TAR FIN'!$A$1:$O$120,15,0))</f>
        <v>641.99</v>
      </c>
      <c r="X287" s="6">
        <f>IF(ISERROR(VLOOKUP($U$287,'TAR FIN'!$A$1:$O$120,15,0)),0,VLOOKUP($U$287,'TAR FIN'!$A$1:$O$120,15,0))</f>
        <v>430.87</v>
      </c>
      <c r="Y287" s="6"/>
      <c r="Z287" s="6">
        <f ca="1">('TUSD BE'!$AM$21+'TUSD BF'!$AM$21+'TUSD CVA'!$AM$21)*1</f>
        <v>747.73363518028248</v>
      </c>
      <c r="AA287" s="6">
        <f>('TE BE'!$AA$7+'TE BF'!$AA$7+'TE CVA'!$AA$7)*1</f>
        <v>375.69180268700768</v>
      </c>
      <c r="AB287" s="6">
        <f>$K$287*$V$287</f>
        <v>0</v>
      </c>
      <c r="AC287" s="6">
        <f>$M$287*$W$287</f>
        <v>1845.0792600000002</v>
      </c>
      <c r="AD287" s="6">
        <f>$O$287*$X$287</f>
        <v>1238.3203800000001</v>
      </c>
      <c r="AE287" s="6">
        <f>$K$287*$Y$287</f>
        <v>0</v>
      </c>
      <c r="AF287" s="6">
        <f ca="1">$M$287*$Z$287</f>
        <v>2148.9864675081321</v>
      </c>
      <c r="AG287" s="6">
        <f>$O$287*$AA$287</f>
        <v>1079.7382409224601</v>
      </c>
    </row>
    <row r="288" spans="1:33" ht="11.25" customHeight="1" x14ac:dyDescent="0.25">
      <c r="A288" s="4" t="s">
        <v>21</v>
      </c>
      <c r="B288" s="4" t="s">
        <v>45</v>
      </c>
      <c r="C288" s="4" t="s">
        <v>34</v>
      </c>
      <c r="D288" s="4" t="s">
        <v>42</v>
      </c>
      <c r="E288" s="4" t="s">
        <v>25</v>
      </c>
      <c r="F288" s="4" t="s">
        <v>25</v>
      </c>
      <c r="G288" s="4" t="s">
        <v>25</v>
      </c>
      <c r="H288" s="4" t="s">
        <v>35</v>
      </c>
      <c r="I288" s="5">
        <v>43952</v>
      </c>
      <c r="J288" s="6">
        <v>0</v>
      </c>
      <c r="K288" s="6">
        <v>0</v>
      </c>
      <c r="L288" s="6">
        <v>2.3769999999999998</v>
      </c>
      <c r="M288" s="6">
        <v>2.3769999999999998</v>
      </c>
      <c r="N288" s="6">
        <v>2.3769999999999998</v>
      </c>
      <c r="O288" s="6">
        <v>2.3769999999999998</v>
      </c>
      <c r="P288" s="6">
        <v>0</v>
      </c>
      <c r="Q288" s="4" t="s">
        <v>26</v>
      </c>
      <c r="R288" s="4">
        <v>0</v>
      </c>
      <c r="S288" s="6">
        <v>0</v>
      </c>
      <c r="T288" s="6">
        <v>17</v>
      </c>
      <c r="U288" s="6">
        <v>79</v>
      </c>
      <c r="V288" s="6">
        <f>IF(ISERROR(VLOOKUP($S$288,'TAR FIN'!$A$1:$O$120,15,0)),0,VLOOKUP($S$288,'TAR FIN'!$A$1:$O$120,15,0))</f>
        <v>0</v>
      </c>
      <c r="W288" s="6">
        <f>IF(ISERROR(VLOOKUP($T$288,'TAR FIN'!$A$1:$O$120,15,0)),0,VLOOKUP($T$288,'TAR FIN'!$A$1:$O$120,15,0))</f>
        <v>641.99</v>
      </c>
      <c r="X288" s="6">
        <f>IF(ISERROR(VLOOKUP($U$288,'TAR FIN'!$A$1:$O$120,15,0)),0,VLOOKUP($U$288,'TAR FIN'!$A$1:$O$120,15,0))</f>
        <v>430.87</v>
      </c>
      <c r="Y288" s="6"/>
      <c r="Z288" s="6">
        <f ca="1">('TUSD BE'!$AM$21+'TUSD BF'!$AM$21+'TUSD CVA'!$AM$21)*1</f>
        <v>747.73363518028248</v>
      </c>
      <c r="AA288" s="6">
        <f>('TE BE'!$AA$7+'TE BF'!$AA$7+'TE CVA'!$AA$7)*1</f>
        <v>375.69180268700768</v>
      </c>
      <c r="AB288" s="6">
        <f>$K$288*$V$288</f>
        <v>0</v>
      </c>
      <c r="AC288" s="6">
        <f>$M$288*$W$288</f>
        <v>1526.0102299999999</v>
      </c>
      <c r="AD288" s="6">
        <f>$O$288*$X$288</f>
        <v>1024.1779899999999</v>
      </c>
      <c r="AE288" s="6">
        <f>$K$288*$Y$288</f>
        <v>0</v>
      </c>
      <c r="AF288" s="6">
        <f ca="1">$M$288*$Z$288</f>
        <v>1777.3628508235313</v>
      </c>
      <c r="AG288" s="6">
        <f>$O$288*$AA$288</f>
        <v>893.01941498701717</v>
      </c>
    </row>
    <row r="289" spans="1:33" ht="11.25" customHeight="1" x14ac:dyDescent="0.25">
      <c r="A289" s="4" t="s">
        <v>21</v>
      </c>
      <c r="B289" s="4" t="s">
        <v>45</v>
      </c>
      <c r="C289" s="4" t="s">
        <v>34</v>
      </c>
      <c r="D289" s="4" t="s">
        <v>42</v>
      </c>
      <c r="E289" s="4" t="s">
        <v>25</v>
      </c>
      <c r="F289" s="4" t="s">
        <v>25</v>
      </c>
      <c r="G289" s="4" t="s">
        <v>25</v>
      </c>
      <c r="H289" s="4" t="s">
        <v>35</v>
      </c>
      <c r="I289" s="5">
        <v>43983</v>
      </c>
      <c r="J289" s="6">
        <v>0</v>
      </c>
      <c r="K289" s="6">
        <v>0</v>
      </c>
      <c r="L289" s="6">
        <v>5.5190000000000001</v>
      </c>
      <c r="M289" s="6">
        <v>5.5190000000000001</v>
      </c>
      <c r="N289" s="6">
        <v>5.5190000000000001</v>
      </c>
      <c r="O289" s="6">
        <v>5.5190000000000001</v>
      </c>
      <c r="P289" s="6">
        <v>0</v>
      </c>
      <c r="Q289" s="4" t="s">
        <v>26</v>
      </c>
      <c r="R289" s="4">
        <v>0</v>
      </c>
      <c r="S289" s="6">
        <v>0</v>
      </c>
      <c r="T289" s="6">
        <v>17</v>
      </c>
      <c r="U289" s="6">
        <v>79</v>
      </c>
      <c r="V289" s="6">
        <f>IF(ISERROR(VLOOKUP($S$289,'TAR FIN'!$A$1:$O$120,15,0)),0,VLOOKUP($S$289,'TAR FIN'!$A$1:$O$120,15,0))</f>
        <v>0</v>
      </c>
      <c r="W289" s="6">
        <f>IF(ISERROR(VLOOKUP($T$289,'TAR FIN'!$A$1:$O$120,15,0)),0,VLOOKUP($T$289,'TAR FIN'!$A$1:$O$120,15,0))</f>
        <v>641.99</v>
      </c>
      <c r="X289" s="6">
        <f>IF(ISERROR(VLOOKUP($U$289,'TAR FIN'!$A$1:$O$120,15,0)),0,VLOOKUP($U$289,'TAR FIN'!$A$1:$O$120,15,0))</f>
        <v>430.87</v>
      </c>
      <c r="Y289" s="6"/>
      <c r="Z289" s="6">
        <f ca="1">('TUSD BE'!$AM$21+'TUSD BF'!$AM$21+'TUSD CVA'!$AM$21)*1</f>
        <v>747.73363518028248</v>
      </c>
      <c r="AA289" s="6">
        <f>('TE BE'!$AA$7+'TE BF'!$AA$7+'TE CVA'!$AA$7)*1</f>
        <v>375.69180268700768</v>
      </c>
      <c r="AB289" s="6">
        <f>$K$289*$V$289</f>
        <v>0</v>
      </c>
      <c r="AC289" s="6">
        <f>$M$289*$W$289</f>
        <v>3543.1428100000003</v>
      </c>
      <c r="AD289" s="6">
        <f>$O$289*$X$289</f>
        <v>2377.9715300000003</v>
      </c>
      <c r="AE289" s="6">
        <f>$K$289*$Y$289</f>
        <v>0</v>
      </c>
      <c r="AF289" s="6">
        <f ca="1">$M$289*$Z$289</f>
        <v>4126.7419325599794</v>
      </c>
      <c r="AG289" s="6">
        <f>$O$289*$AA$289</f>
        <v>2073.4430590295956</v>
      </c>
    </row>
    <row r="290" spans="1:33" ht="11.25" customHeight="1" x14ac:dyDescent="0.25">
      <c r="A290" s="4" t="s">
        <v>21</v>
      </c>
      <c r="B290" s="4" t="s">
        <v>45</v>
      </c>
      <c r="C290" s="4" t="s">
        <v>34</v>
      </c>
      <c r="D290" s="4" t="s">
        <v>42</v>
      </c>
      <c r="E290" s="4" t="s">
        <v>25</v>
      </c>
      <c r="F290" s="4" t="s">
        <v>25</v>
      </c>
      <c r="G290" s="4" t="s">
        <v>25</v>
      </c>
      <c r="H290" s="4" t="s">
        <v>35</v>
      </c>
      <c r="I290" s="5">
        <v>44013</v>
      </c>
      <c r="J290" s="6">
        <v>0</v>
      </c>
      <c r="K290" s="6">
        <v>0</v>
      </c>
      <c r="L290" s="6">
        <v>7.3559999999999999</v>
      </c>
      <c r="M290" s="6">
        <v>7.3559999999999999</v>
      </c>
      <c r="N290" s="6">
        <v>7.3559999999999999</v>
      </c>
      <c r="O290" s="6">
        <v>7.3559999999999999</v>
      </c>
      <c r="P290" s="6">
        <v>0</v>
      </c>
      <c r="Q290" s="4" t="s">
        <v>26</v>
      </c>
      <c r="R290" s="4">
        <v>0</v>
      </c>
      <c r="S290" s="6">
        <v>0</v>
      </c>
      <c r="T290" s="6">
        <v>17</v>
      </c>
      <c r="U290" s="6">
        <v>79</v>
      </c>
      <c r="V290" s="6">
        <f>IF(ISERROR(VLOOKUP($S$290,'TAR FIN'!$A$1:$O$120,15,0)),0,VLOOKUP($S$290,'TAR FIN'!$A$1:$O$120,15,0))</f>
        <v>0</v>
      </c>
      <c r="W290" s="6">
        <f>IF(ISERROR(VLOOKUP($T$290,'TAR FIN'!$A$1:$O$120,15,0)),0,VLOOKUP($T$290,'TAR FIN'!$A$1:$O$120,15,0))</f>
        <v>641.99</v>
      </c>
      <c r="X290" s="6">
        <f>IF(ISERROR(VLOOKUP($U$290,'TAR FIN'!$A$1:$O$120,15,0)),0,VLOOKUP($U$290,'TAR FIN'!$A$1:$O$120,15,0))</f>
        <v>430.87</v>
      </c>
      <c r="Y290" s="6"/>
      <c r="Z290" s="6">
        <f ca="1">('TUSD BE'!$AM$21+'TUSD BF'!$AM$21+'TUSD CVA'!$AM$21)*1</f>
        <v>747.73363518028248</v>
      </c>
      <c r="AA290" s="6">
        <f>('TE BE'!$AA$7+'TE BF'!$AA$7+'TE CVA'!$AA$7)*1</f>
        <v>375.69180268700768</v>
      </c>
      <c r="AB290" s="6">
        <f>$K$290*$V$290</f>
        <v>0</v>
      </c>
      <c r="AC290" s="6">
        <f>$M$290*$W$290</f>
        <v>4722.4784399999999</v>
      </c>
      <c r="AD290" s="6">
        <f>$O$290*$X$290</f>
        <v>3169.4797199999998</v>
      </c>
      <c r="AE290" s="6">
        <f>$K$290*$Y$290</f>
        <v>0</v>
      </c>
      <c r="AF290" s="6">
        <f ca="1">$M$290*$Z$290</f>
        <v>5500.328620386158</v>
      </c>
      <c r="AG290" s="6">
        <f>$O$290*$AA$290</f>
        <v>2763.5889005656286</v>
      </c>
    </row>
    <row r="291" spans="1:33" ht="11.25" customHeight="1" x14ac:dyDescent="0.25">
      <c r="A291" s="4" t="s">
        <v>21</v>
      </c>
      <c r="B291" s="4" t="s">
        <v>45</v>
      </c>
      <c r="C291" s="4" t="s">
        <v>34</v>
      </c>
      <c r="D291" s="4" t="s">
        <v>42</v>
      </c>
      <c r="E291" s="4" t="s">
        <v>25</v>
      </c>
      <c r="F291" s="4" t="s">
        <v>25</v>
      </c>
      <c r="G291" s="4" t="s">
        <v>25</v>
      </c>
      <c r="H291" s="4" t="s">
        <v>35</v>
      </c>
      <c r="I291" s="5">
        <v>44044</v>
      </c>
      <c r="J291" s="6">
        <v>0</v>
      </c>
      <c r="K291" s="6">
        <v>0</v>
      </c>
      <c r="L291" s="6">
        <v>9.32</v>
      </c>
      <c r="M291" s="6">
        <v>9.32</v>
      </c>
      <c r="N291" s="6">
        <v>9.32</v>
      </c>
      <c r="O291" s="6">
        <v>9.32</v>
      </c>
      <c r="P291" s="6">
        <v>0</v>
      </c>
      <c r="Q291" s="4" t="s">
        <v>26</v>
      </c>
      <c r="R291" s="4">
        <v>0</v>
      </c>
      <c r="S291" s="6">
        <v>0</v>
      </c>
      <c r="T291" s="6">
        <v>17</v>
      </c>
      <c r="U291" s="6">
        <v>79</v>
      </c>
      <c r="V291" s="6">
        <f>IF(ISERROR(VLOOKUP($S$291,'TAR FIN'!$A$1:$O$120,15,0)),0,VLOOKUP($S$291,'TAR FIN'!$A$1:$O$120,15,0))</f>
        <v>0</v>
      </c>
      <c r="W291" s="6">
        <f>IF(ISERROR(VLOOKUP($T$291,'TAR FIN'!$A$1:$O$120,15,0)),0,VLOOKUP($T$291,'TAR FIN'!$A$1:$O$120,15,0))</f>
        <v>641.99</v>
      </c>
      <c r="X291" s="6">
        <f>IF(ISERROR(VLOOKUP($U$291,'TAR FIN'!$A$1:$O$120,15,0)),0,VLOOKUP($U$291,'TAR FIN'!$A$1:$O$120,15,0))</f>
        <v>430.87</v>
      </c>
      <c r="Y291" s="6"/>
      <c r="Z291" s="6">
        <f ca="1">('TUSD BE'!$AM$21+'TUSD BF'!$AM$21+'TUSD CVA'!$AM$21)*1</f>
        <v>747.73363518028248</v>
      </c>
      <c r="AA291" s="6">
        <f>('TE BE'!$AA$7+'TE BF'!$AA$7+'TE CVA'!$AA$7)*1</f>
        <v>375.69180268700768</v>
      </c>
      <c r="AB291" s="6">
        <f>$K$291*$V$291</f>
        <v>0</v>
      </c>
      <c r="AC291" s="6">
        <f>$M$291*$W$291</f>
        <v>5983.3468000000003</v>
      </c>
      <c r="AD291" s="6">
        <f>$O$291*$X$291</f>
        <v>4015.7084</v>
      </c>
      <c r="AE291" s="6">
        <f>$K$291*$Y$291</f>
        <v>0</v>
      </c>
      <c r="AF291" s="6">
        <f ca="1">$M$291*$Z$291</f>
        <v>6968.8774798802333</v>
      </c>
      <c r="AG291" s="6">
        <f>$O$291*$AA$291</f>
        <v>3501.4476010429116</v>
      </c>
    </row>
    <row r="292" spans="1:33" ht="11.25" customHeight="1" x14ac:dyDescent="0.25">
      <c r="A292" s="4" t="s">
        <v>59</v>
      </c>
      <c r="B292" s="4" t="s">
        <v>45</v>
      </c>
      <c r="C292" s="4" t="s">
        <v>34</v>
      </c>
      <c r="D292" s="4" t="s">
        <v>42</v>
      </c>
      <c r="E292" s="4" t="s">
        <v>25</v>
      </c>
      <c r="F292" s="4" t="s">
        <v>25</v>
      </c>
      <c r="G292" s="4" t="s">
        <v>25</v>
      </c>
      <c r="H292" s="4" t="s">
        <v>35</v>
      </c>
      <c r="I292" s="5">
        <v>44075</v>
      </c>
      <c r="J292" s="6">
        <v>0</v>
      </c>
      <c r="K292" s="6">
        <v>0</v>
      </c>
      <c r="L292" s="6">
        <v>9.32</v>
      </c>
      <c r="M292" s="6">
        <v>9.32</v>
      </c>
      <c r="N292" s="6">
        <v>9.32</v>
      </c>
      <c r="O292" s="6">
        <v>9.32</v>
      </c>
      <c r="P292" s="6">
        <v>0</v>
      </c>
      <c r="Q292" s="4" t="s">
        <v>26</v>
      </c>
      <c r="R292" s="4">
        <v>0</v>
      </c>
      <c r="S292" s="6">
        <v>0</v>
      </c>
      <c r="T292" s="6">
        <v>17</v>
      </c>
      <c r="U292" s="6">
        <v>79</v>
      </c>
      <c r="V292" s="6">
        <f>IF(ISERROR(VLOOKUP($S$292,'TAR FIN'!$A$1:$O$120,15,0)),0,VLOOKUP($S$292,'TAR FIN'!$A$1:$O$120,15,0))</f>
        <v>0</v>
      </c>
      <c r="W292" s="6">
        <f>IF(ISERROR(VLOOKUP($T$292,'TAR FIN'!$A$1:$O$120,15,0)),0,VLOOKUP($T$292,'TAR FIN'!$A$1:$O$120,15,0))</f>
        <v>641.99</v>
      </c>
      <c r="X292" s="6">
        <f>IF(ISERROR(VLOOKUP($U$292,'TAR FIN'!$A$1:$O$120,15,0)),0,VLOOKUP($U$292,'TAR FIN'!$A$1:$O$120,15,0))</f>
        <v>430.87</v>
      </c>
      <c r="Y292" s="6"/>
      <c r="Z292" s="6">
        <f ca="1">('TUSD BE'!$AM$21+'TUSD BF'!$AM$21+'TUSD CVA'!$AM$21)*1</f>
        <v>747.73363518028248</v>
      </c>
      <c r="AA292" s="6">
        <f>('TE BE'!$AA$7+'TE BF'!$AA$7+'TE CVA'!$AA$7)*1</f>
        <v>375.69180268700768</v>
      </c>
      <c r="AB292" s="6">
        <f>$K$292*$V$292</f>
        <v>0</v>
      </c>
      <c r="AC292" s="6">
        <f>$M$292*$W$292</f>
        <v>5983.3468000000003</v>
      </c>
      <c r="AD292" s="6">
        <f>$O$292*$X$292</f>
        <v>4015.7084</v>
      </c>
      <c r="AE292" s="6">
        <f>$K$292*$Y$292</f>
        <v>0</v>
      </c>
      <c r="AF292" s="6">
        <f ca="1">$M$292*$Z$292</f>
        <v>6968.8774798802333</v>
      </c>
      <c r="AG292" s="6">
        <f>$O$292*$AA$292</f>
        <v>3501.4476010429116</v>
      </c>
    </row>
    <row r="293" spans="1:33" ht="11.25" customHeight="1" x14ac:dyDescent="0.25">
      <c r="A293" s="4" t="s">
        <v>21</v>
      </c>
      <c r="B293" s="4" t="s">
        <v>45</v>
      </c>
      <c r="C293" s="4" t="s">
        <v>34</v>
      </c>
      <c r="D293" s="4" t="s">
        <v>40</v>
      </c>
      <c r="E293" s="4" t="s">
        <v>25</v>
      </c>
      <c r="F293" s="4" t="s">
        <v>63</v>
      </c>
      <c r="G293" s="4" t="s">
        <v>25</v>
      </c>
      <c r="H293" s="4" t="s">
        <v>36</v>
      </c>
      <c r="I293" s="5">
        <v>43739</v>
      </c>
      <c r="J293" s="6">
        <v>0</v>
      </c>
      <c r="K293" s="6">
        <v>0</v>
      </c>
      <c r="L293" s="6">
        <v>120.919</v>
      </c>
      <c r="M293" s="6">
        <v>120.919</v>
      </c>
      <c r="N293" s="6">
        <v>0</v>
      </c>
      <c r="O293" s="6">
        <v>0</v>
      </c>
      <c r="P293" s="6">
        <v>0</v>
      </c>
      <c r="Q293" s="4" t="s">
        <v>60</v>
      </c>
      <c r="R293" s="4">
        <v>0</v>
      </c>
      <c r="S293" s="6">
        <v>0</v>
      </c>
      <c r="T293" s="6">
        <v>18</v>
      </c>
      <c r="U293" s="6">
        <v>0</v>
      </c>
      <c r="V293" s="6">
        <f>IF(ISERROR(VLOOKUP($S$293,'TAR FIN'!$A$1:$O$120,15,0)),0,VLOOKUP($S$293,'TAR FIN'!$A$1:$O$120,15,0))</f>
        <v>0</v>
      </c>
      <c r="W293" s="6">
        <f>IF(ISERROR(VLOOKUP($T$293,'TAR FIN'!$A$1:$O$120,15,0)),0,VLOOKUP($T$293,'TAR FIN'!$A$1:$O$120,15,0))</f>
        <v>84.45</v>
      </c>
      <c r="X293" s="6">
        <f>IF(ISERROR(VLOOKUP($U$293,'TAR FIN'!$A$1:$O$120,15,0)),0,VLOOKUP($U$293,'TAR FIN'!$A$1:$O$120,15,0))</f>
        <v>0</v>
      </c>
      <c r="Y293" s="6"/>
      <c r="Z293" s="6">
        <f ca="1">('TUSD BE'!$AM$22+'TUSD BF'!$AM$22+'TUSD CVA'!$AM$22)*1</f>
        <v>87.519361965254689</v>
      </c>
      <c r="AA293" s="6"/>
      <c r="AB293" s="6">
        <f>$K$293*$V$293</f>
        <v>0</v>
      </c>
      <c r="AC293" s="6">
        <f>$M$293*$W$293</f>
        <v>10211.609549999999</v>
      </c>
      <c r="AD293" s="6">
        <f>$O$293*$X$293</f>
        <v>0</v>
      </c>
      <c r="AE293" s="6">
        <f>$K$293*$Y$293</f>
        <v>0</v>
      </c>
      <c r="AF293" s="6">
        <f ca="1">$M$293*$Z$293</f>
        <v>10582.753729476632</v>
      </c>
      <c r="AG293" s="6">
        <f>$O$293*$AA$293</f>
        <v>0</v>
      </c>
    </row>
    <row r="294" spans="1:33" ht="11.25" customHeight="1" x14ac:dyDescent="0.25">
      <c r="A294" s="4" t="s">
        <v>21</v>
      </c>
      <c r="B294" s="4" t="s">
        <v>45</v>
      </c>
      <c r="C294" s="4" t="s">
        <v>34</v>
      </c>
      <c r="D294" s="4" t="s">
        <v>40</v>
      </c>
      <c r="E294" s="4" t="s">
        <v>25</v>
      </c>
      <c r="F294" s="4" t="s">
        <v>63</v>
      </c>
      <c r="G294" s="4" t="s">
        <v>25</v>
      </c>
      <c r="H294" s="4" t="s">
        <v>36</v>
      </c>
      <c r="I294" s="5">
        <v>43770</v>
      </c>
      <c r="J294" s="6">
        <v>0</v>
      </c>
      <c r="K294" s="6">
        <v>0</v>
      </c>
      <c r="L294" s="6">
        <v>117.059</v>
      </c>
      <c r="M294" s="6">
        <v>117.059</v>
      </c>
      <c r="N294" s="6">
        <v>0</v>
      </c>
      <c r="O294" s="6">
        <v>0</v>
      </c>
      <c r="P294" s="6">
        <v>0</v>
      </c>
      <c r="Q294" s="4" t="s">
        <v>60</v>
      </c>
      <c r="R294" s="4">
        <v>0</v>
      </c>
      <c r="S294" s="6">
        <v>0</v>
      </c>
      <c r="T294" s="6">
        <v>18</v>
      </c>
      <c r="U294" s="6">
        <v>0</v>
      </c>
      <c r="V294" s="6">
        <f>IF(ISERROR(VLOOKUP($S$294,'TAR FIN'!$A$1:$O$120,15,0)),0,VLOOKUP($S$294,'TAR FIN'!$A$1:$O$120,15,0))</f>
        <v>0</v>
      </c>
      <c r="W294" s="6">
        <f>IF(ISERROR(VLOOKUP($T$294,'TAR FIN'!$A$1:$O$120,15,0)),0,VLOOKUP($T$294,'TAR FIN'!$A$1:$O$120,15,0))</f>
        <v>84.45</v>
      </c>
      <c r="X294" s="6">
        <f>IF(ISERROR(VLOOKUP($U$294,'TAR FIN'!$A$1:$O$120,15,0)),0,VLOOKUP($U$294,'TAR FIN'!$A$1:$O$120,15,0))</f>
        <v>0</v>
      </c>
      <c r="Y294" s="6"/>
      <c r="Z294" s="6">
        <f ca="1">('TUSD BE'!$AM$22+'TUSD BF'!$AM$22+'TUSD CVA'!$AM$22)*1</f>
        <v>87.519361965254689</v>
      </c>
      <c r="AA294" s="6"/>
      <c r="AB294" s="6">
        <f>$K$294*$V$294</f>
        <v>0</v>
      </c>
      <c r="AC294" s="6">
        <f>$M$294*$W$294</f>
        <v>9885.6325500000003</v>
      </c>
      <c r="AD294" s="6">
        <f>$O$294*$X$294</f>
        <v>0</v>
      </c>
      <c r="AE294" s="6">
        <f>$K$294*$Y$294</f>
        <v>0</v>
      </c>
      <c r="AF294" s="6">
        <f ca="1">$M$294*$Z$294</f>
        <v>10244.928992290748</v>
      </c>
      <c r="AG294" s="6">
        <f>$O$294*$AA$294</f>
        <v>0</v>
      </c>
    </row>
    <row r="295" spans="1:33" ht="11.25" customHeight="1" x14ac:dyDescent="0.25">
      <c r="A295" s="4" t="s">
        <v>21</v>
      </c>
      <c r="B295" s="4" t="s">
        <v>45</v>
      </c>
      <c r="C295" s="4" t="s">
        <v>34</v>
      </c>
      <c r="D295" s="4" t="s">
        <v>40</v>
      </c>
      <c r="E295" s="4" t="s">
        <v>25</v>
      </c>
      <c r="F295" s="4" t="s">
        <v>63</v>
      </c>
      <c r="G295" s="4" t="s">
        <v>25</v>
      </c>
      <c r="H295" s="4" t="s">
        <v>36</v>
      </c>
      <c r="I295" s="5">
        <v>43800</v>
      </c>
      <c r="J295" s="6">
        <v>0</v>
      </c>
      <c r="K295" s="6">
        <v>0</v>
      </c>
      <c r="L295" s="6">
        <v>118.559</v>
      </c>
      <c r="M295" s="6">
        <v>118.559</v>
      </c>
      <c r="N295" s="6">
        <v>0</v>
      </c>
      <c r="O295" s="6">
        <v>0</v>
      </c>
      <c r="P295" s="6">
        <v>0</v>
      </c>
      <c r="Q295" s="4" t="s">
        <v>60</v>
      </c>
      <c r="R295" s="4">
        <v>0</v>
      </c>
      <c r="S295" s="6">
        <v>0</v>
      </c>
      <c r="T295" s="6">
        <v>18</v>
      </c>
      <c r="U295" s="6">
        <v>0</v>
      </c>
      <c r="V295" s="6">
        <f>IF(ISERROR(VLOOKUP($S$295,'TAR FIN'!$A$1:$O$120,15,0)),0,VLOOKUP($S$295,'TAR FIN'!$A$1:$O$120,15,0))</f>
        <v>0</v>
      </c>
      <c r="W295" s="6">
        <f>IF(ISERROR(VLOOKUP($T$295,'TAR FIN'!$A$1:$O$120,15,0)),0,VLOOKUP($T$295,'TAR FIN'!$A$1:$O$120,15,0))</f>
        <v>84.45</v>
      </c>
      <c r="X295" s="6">
        <f>IF(ISERROR(VLOOKUP($U$295,'TAR FIN'!$A$1:$O$120,15,0)),0,VLOOKUP($U$295,'TAR FIN'!$A$1:$O$120,15,0))</f>
        <v>0</v>
      </c>
      <c r="Y295" s="6"/>
      <c r="Z295" s="6">
        <f ca="1">('TUSD BE'!$AM$22+'TUSD BF'!$AM$22+'TUSD CVA'!$AM$22)*1</f>
        <v>87.519361965254689</v>
      </c>
      <c r="AA295" s="6"/>
      <c r="AB295" s="6">
        <f>$K$295*$V$295</f>
        <v>0</v>
      </c>
      <c r="AC295" s="6">
        <f>$M$295*$W$295</f>
        <v>10012.30755</v>
      </c>
      <c r="AD295" s="6">
        <f>$O$295*$X$295</f>
        <v>0</v>
      </c>
      <c r="AE295" s="6">
        <f>$K$295*$Y$295</f>
        <v>0</v>
      </c>
      <c r="AF295" s="6">
        <f ca="1">$M$295*$Z$295</f>
        <v>10376.208035238631</v>
      </c>
      <c r="AG295" s="6">
        <f>$O$295*$AA$295</f>
        <v>0</v>
      </c>
    </row>
    <row r="296" spans="1:33" ht="11.25" customHeight="1" x14ac:dyDescent="0.25">
      <c r="A296" s="4" t="s">
        <v>21</v>
      </c>
      <c r="B296" s="4" t="s">
        <v>45</v>
      </c>
      <c r="C296" s="4" t="s">
        <v>34</v>
      </c>
      <c r="D296" s="4" t="s">
        <v>40</v>
      </c>
      <c r="E296" s="4" t="s">
        <v>25</v>
      </c>
      <c r="F296" s="4" t="s">
        <v>63</v>
      </c>
      <c r="G296" s="4" t="s">
        <v>25</v>
      </c>
      <c r="H296" s="4" t="s">
        <v>36</v>
      </c>
      <c r="I296" s="5">
        <v>43831</v>
      </c>
      <c r="J296" s="6">
        <v>0</v>
      </c>
      <c r="K296" s="6">
        <v>0</v>
      </c>
      <c r="L296" s="6">
        <v>119.437</v>
      </c>
      <c r="M296" s="6">
        <v>119.437</v>
      </c>
      <c r="N296" s="6">
        <v>0</v>
      </c>
      <c r="O296" s="6">
        <v>0</v>
      </c>
      <c r="P296" s="6">
        <v>0</v>
      </c>
      <c r="Q296" s="4" t="s">
        <v>60</v>
      </c>
      <c r="R296" s="4">
        <v>0</v>
      </c>
      <c r="S296" s="6">
        <v>0</v>
      </c>
      <c r="T296" s="6">
        <v>18</v>
      </c>
      <c r="U296" s="6">
        <v>0</v>
      </c>
      <c r="V296" s="6">
        <f>IF(ISERROR(VLOOKUP($S$296,'TAR FIN'!$A$1:$O$120,15,0)),0,VLOOKUP($S$296,'TAR FIN'!$A$1:$O$120,15,0))</f>
        <v>0</v>
      </c>
      <c r="W296" s="6">
        <f>IF(ISERROR(VLOOKUP($T$296,'TAR FIN'!$A$1:$O$120,15,0)),0,VLOOKUP($T$296,'TAR FIN'!$A$1:$O$120,15,0))</f>
        <v>84.45</v>
      </c>
      <c r="X296" s="6">
        <f>IF(ISERROR(VLOOKUP($U$296,'TAR FIN'!$A$1:$O$120,15,0)),0,VLOOKUP($U$296,'TAR FIN'!$A$1:$O$120,15,0))</f>
        <v>0</v>
      </c>
      <c r="Y296" s="6"/>
      <c r="Z296" s="6">
        <f ca="1">('TUSD BE'!$AM$22+'TUSD BF'!$AM$22+'TUSD CVA'!$AM$22)*1</f>
        <v>87.519361965254689</v>
      </c>
      <c r="AA296" s="6"/>
      <c r="AB296" s="6">
        <f>$K$296*$V$296</f>
        <v>0</v>
      </c>
      <c r="AC296" s="6">
        <f>$M$296*$W$296</f>
        <v>10086.45465</v>
      </c>
      <c r="AD296" s="6">
        <f>$O$296*$X$296</f>
        <v>0</v>
      </c>
      <c r="AE296" s="6">
        <f>$K$296*$Y$296</f>
        <v>0</v>
      </c>
      <c r="AF296" s="6">
        <f ca="1">$M$296*$Z$296</f>
        <v>10453.050035044123</v>
      </c>
      <c r="AG296" s="6">
        <f>$O$296*$AA$296</f>
        <v>0</v>
      </c>
    </row>
    <row r="297" spans="1:33" ht="11.25" customHeight="1" x14ac:dyDescent="0.25">
      <c r="A297" s="4" t="s">
        <v>21</v>
      </c>
      <c r="B297" s="4" t="s">
        <v>45</v>
      </c>
      <c r="C297" s="4" t="s">
        <v>34</v>
      </c>
      <c r="D297" s="4" t="s">
        <v>40</v>
      </c>
      <c r="E297" s="4" t="s">
        <v>25</v>
      </c>
      <c r="F297" s="4" t="s">
        <v>63</v>
      </c>
      <c r="G297" s="4" t="s">
        <v>25</v>
      </c>
      <c r="H297" s="4" t="s">
        <v>36</v>
      </c>
      <c r="I297" s="5">
        <v>43862</v>
      </c>
      <c r="J297" s="6">
        <v>0</v>
      </c>
      <c r="K297" s="6">
        <v>0</v>
      </c>
      <c r="L297" s="6">
        <v>108.58199999999999</v>
      </c>
      <c r="M297" s="6">
        <v>108.58199999999999</v>
      </c>
      <c r="N297" s="6">
        <v>0</v>
      </c>
      <c r="O297" s="6">
        <v>0</v>
      </c>
      <c r="P297" s="6">
        <v>0</v>
      </c>
      <c r="Q297" s="4" t="s">
        <v>60</v>
      </c>
      <c r="R297" s="4">
        <v>0</v>
      </c>
      <c r="S297" s="6">
        <v>0</v>
      </c>
      <c r="T297" s="6">
        <v>18</v>
      </c>
      <c r="U297" s="6">
        <v>0</v>
      </c>
      <c r="V297" s="6">
        <f>IF(ISERROR(VLOOKUP($S$297,'TAR FIN'!$A$1:$O$120,15,0)),0,VLOOKUP($S$297,'TAR FIN'!$A$1:$O$120,15,0))</f>
        <v>0</v>
      </c>
      <c r="W297" s="6">
        <f>IF(ISERROR(VLOOKUP($T$297,'TAR FIN'!$A$1:$O$120,15,0)),0,VLOOKUP($T$297,'TAR FIN'!$A$1:$O$120,15,0))</f>
        <v>84.45</v>
      </c>
      <c r="X297" s="6">
        <f>IF(ISERROR(VLOOKUP($U$297,'TAR FIN'!$A$1:$O$120,15,0)),0,VLOOKUP($U$297,'TAR FIN'!$A$1:$O$120,15,0))</f>
        <v>0</v>
      </c>
      <c r="Y297" s="6"/>
      <c r="Z297" s="6">
        <f ca="1">('TUSD BE'!$AM$22+'TUSD BF'!$AM$22+'TUSD CVA'!$AM$22)*1</f>
        <v>87.519361965254689</v>
      </c>
      <c r="AA297" s="6"/>
      <c r="AB297" s="6">
        <f>$K$297*$V$297</f>
        <v>0</v>
      </c>
      <c r="AC297" s="6">
        <f>$M$297*$W$297</f>
        <v>9169.7498999999989</v>
      </c>
      <c r="AD297" s="6">
        <f>$O$297*$X$297</f>
        <v>0</v>
      </c>
      <c r="AE297" s="6">
        <f>$K$297*$Y$297</f>
        <v>0</v>
      </c>
      <c r="AF297" s="6">
        <f ca="1">$M$297*$Z$297</f>
        <v>9503.0273609112846</v>
      </c>
      <c r="AG297" s="6">
        <f>$O$297*$AA$297</f>
        <v>0</v>
      </c>
    </row>
    <row r="298" spans="1:33" ht="11.25" customHeight="1" x14ac:dyDescent="0.25">
      <c r="A298" s="4" t="s">
        <v>21</v>
      </c>
      <c r="B298" s="4" t="s">
        <v>45</v>
      </c>
      <c r="C298" s="4" t="s">
        <v>34</v>
      </c>
      <c r="D298" s="4" t="s">
        <v>40</v>
      </c>
      <c r="E298" s="4" t="s">
        <v>25</v>
      </c>
      <c r="F298" s="4" t="s">
        <v>63</v>
      </c>
      <c r="G298" s="4" t="s">
        <v>25</v>
      </c>
      <c r="H298" s="4" t="s">
        <v>36</v>
      </c>
      <c r="I298" s="5">
        <v>43891</v>
      </c>
      <c r="J298" s="6">
        <v>0</v>
      </c>
      <c r="K298" s="6">
        <v>0</v>
      </c>
      <c r="L298" s="6">
        <v>62.996000000000002</v>
      </c>
      <c r="M298" s="6">
        <v>62.996000000000002</v>
      </c>
      <c r="N298" s="6">
        <v>0</v>
      </c>
      <c r="O298" s="6">
        <v>0</v>
      </c>
      <c r="P298" s="6">
        <v>0</v>
      </c>
      <c r="Q298" s="4" t="s">
        <v>60</v>
      </c>
      <c r="R298" s="4">
        <v>0</v>
      </c>
      <c r="S298" s="6">
        <v>0</v>
      </c>
      <c r="T298" s="6">
        <v>18</v>
      </c>
      <c r="U298" s="6">
        <v>0</v>
      </c>
      <c r="V298" s="6">
        <f>IF(ISERROR(VLOOKUP($S$298,'TAR FIN'!$A$1:$O$120,15,0)),0,VLOOKUP($S$298,'TAR FIN'!$A$1:$O$120,15,0))</f>
        <v>0</v>
      </c>
      <c r="W298" s="6">
        <f>IF(ISERROR(VLOOKUP($T$298,'TAR FIN'!$A$1:$O$120,15,0)),0,VLOOKUP($T$298,'TAR FIN'!$A$1:$O$120,15,0))</f>
        <v>84.45</v>
      </c>
      <c r="X298" s="6">
        <f>IF(ISERROR(VLOOKUP($U$298,'TAR FIN'!$A$1:$O$120,15,0)),0,VLOOKUP($U$298,'TAR FIN'!$A$1:$O$120,15,0))</f>
        <v>0</v>
      </c>
      <c r="Y298" s="6"/>
      <c r="Z298" s="6">
        <f ca="1">('TUSD BE'!$AM$22+'TUSD BF'!$AM$22+'TUSD CVA'!$AM$22)*1</f>
        <v>87.519361965254689</v>
      </c>
      <c r="AA298" s="6"/>
      <c r="AB298" s="6">
        <f>$K$298*$V$298</f>
        <v>0</v>
      </c>
      <c r="AC298" s="6">
        <f>$M$298*$W$298</f>
        <v>5320.0122000000001</v>
      </c>
      <c r="AD298" s="6">
        <f>$O$298*$X$298</f>
        <v>0</v>
      </c>
      <c r="AE298" s="6">
        <f>$K$298*$Y$298</f>
        <v>0</v>
      </c>
      <c r="AF298" s="6">
        <f ca="1">$M$298*$Z$298</f>
        <v>5513.3697263631848</v>
      </c>
      <c r="AG298" s="6">
        <f>$O$298*$AA$298</f>
        <v>0</v>
      </c>
    </row>
    <row r="299" spans="1:33" ht="11.25" customHeight="1" x14ac:dyDescent="0.25">
      <c r="A299" s="4" t="s">
        <v>21</v>
      </c>
      <c r="B299" s="4" t="s">
        <v>45</v>
      </c>
      <c r="C299" s="4" t="s">
        <v>34</v>
      </c>
      <c r="D299" s="4" t="s">
        <v>40</v>
      </c>
      <c r="E299" s="4" t="s">
        <v>25</v>
      </c>
      <c r="F299" s="4" t="s">
        <v>63</v>
      </c>
      <c r="G299" s="4" t="s">
        <v>25</v>
      </c>
      <c r="H299" s="4" t="s">
        <v>36</v>
      </c>
      <c r="I299" s="5">
        <v>43922</v>
      </c>
      <c r="J299" s="6">
        <v>0</v>
      </c>
      <c r="K299" s="6">
        <v>0</v>
      </c>
      <c r="L299" s="6">
        <v>10.845000000000001</v>
      </c>
      <c r="M299" s="6">
        <v>10.845000000000001</v>
      </c>
      <c r="N299" s="6">
        <v>0</v>
      </c>
      <c r="O299" s="6">
        <v>0</v>
      </c>
      <c r="P299" s="6">
        <v>0</v>
      </c>
      <c r="Q299" s="4" t="s">
        <v>60</v>
      </c>
      <c r="R299" s="4">
        <v>0</v>
      </c>
      <c r="S299" s="6">
        <v>0</v>
      </c>
      <c r="T299" s="6">
        <v>18</v>
      </c>
      <c r="U299" s="6">
        <v>0</v>
      </c>
      <c r="V299" s="6">
        <f>IF(ISERROR(VLOOKUP($S$299,'TAR FIN'!$A$1:$O$120,15,0)),0,VLOOKUP($S$299,'TAR FIN'!$A$1:$O$120,15,0))</f>
        <v>0</v>
      </c>
      <c r="W299" s="6">
        <f>IF(ISERROR(VLOOKUP($T$299,'TAR FIN'!$A$1:$O$120,15,0)),0,VLOOKUP($T$299,'TAR FIN'!$A$1:$O$120,15,0))</f>
        <v>84.45</v>
      </c>
      <c r="X299" s="6">
        <f>IF(ISERROR(VLOOKUP($U$299,'TAR FIN'!$A$1:$O$120,15,0)),0,VLOOKUP($U$299,'TAR FIN'!$A$1:$O$120,15,0))</f>
        <v>0</v>
      </c>
      <c r="Y299" s="6"/>
      <c r="Z299" s="6">
        <f ca="1">('TUSD BE'!$AM$22+'TUSD BF'!$AM$22+'TUSD CVA'!$AM$22)*1</f>
        <v>87.519361965254689</v>
      </c>
      <c r="AA299" s="6"/>
      <c r="AB299" s="6">
        <f>$K$299*$V$299</f>
        <v>0</v>
      </c>
      <c r="AC299" s="6">
        <f>$M$299*$W$299</f>
        <v>915.86025000000006</v>
      </c>
      <c r="AD299" s="6">
        <f>$O$299*$X$299</f>
        <v>0</v>
      </c>
      <c r="AE299" s="6">
        <f>$K$299*$Y$299</f>
        <v>0</v>
      </c>
      <c r="AF299" s="6">
        <f ca="1">$M$299*$Z$299</f>
        <v>949.14748051318713</v>
      </c>
      <c r="AG299" s="6">
        <f>$O$299*$AA$299</f>
        <v>0</v>
      </c>
    </row>
    <row r="300" spans="1:33" ht="11.25" customHeight="1" x14ac:dyDescent="0.25">
      <c r="A300" s="4" t="s">
        <v>21</v>
      </c>
      <c r="B300" s="4" t="s">
        <v>45</v>
      </c>
      <c r="C300" s="4" t="s">
        <v>34</v>
      </c>
      <c r="D300" s="4" t="s">
        <v>40</v>
      </c>
      <c r="E300" s="4" t="s">
        <v>25</v>
      </c>
      <c r="F300" s="4" t="s">
        <v>63</v>
      </c>
      <c r="G300" s="4" t="s">
        <v>25</v>
      </c>
      <c r="H300" s="4" t="s">
        <v>36</v>
      </c>
      <c r="I300" s="5">
        <v>43952</v>
      </c>
      <c r="J300" s="6">
        <v>0</v>
      </c>
      <c r="K300" s="6">
        <v>0</v>
      </c>
      <c r="L300" s="6">
        <v>22.18</v>
      </c>
      <c r="M300" s="6">
        <v>22.18</v>
      </c>
      <c r="N300" s="6">
        <v>0</v>
      </c>
      <c r="O300" s="6">
        <v>0</v>
      </c>
      <c r="P300" s="6">
        <v>0</v>
      </c>
      <c r="Q300" s="4" t="s">
        <v>60</v>
      </c>
      <c r="R300" s="4">
        <v>0</v>
      </c>
      <c r="S300" s="6">
        <v>0</v>
      </c>
      <c r="T300" s="6">
        <v>18</v>
      </c>
      <c r="U300" s="6">
        <v>0</v>
      </c>
      <c r="V300" s="6">
        <f>IF(ISERROR(VLOOKUP($S$300,'TAR FIN'!$A$1:$O$120,15,0)),0,VLOOKUP($S$300,'TAR FIN'!$A$1:$O$120,15,0))</f>
        <v>0</v>
      </c>
      <c r="W300" s="6">
        <f>IF(ISERROR(VLOOKUP($T$300,'TAR FIN'!$A$1:$O$120,15,0)),0,VLOOKUP($T$300,'TAR FIN'!$A$1:$O$120,15,0))</f>
        <v>84.45</v>
      </c>
      <c r="X300" s="6">
        <f>IF(ISERROR(VLOOKUP($U$300,'TAR FIN'!$A$1:$O$120,15,0)),0,VLOOKUP($U$300,'TAR FIN'!$A$1:$O$120,15,0))</f>
        <v>0</v>
      </c>
      <c r="Y300" s="6"/>
      <c r="Z300" s="6">
        <f ca="1">('TUSD BE'!$AM$22+'TUSD BF'!$AM$22+'TUSD CVA'!$AM$22)*1</f>
        <v>87.519361965254689</v>
      </c>
      <c r="AA300" s="6"/>
      <c r="AB300" s="6">
        <f>$K$300*$V$300</f>
        <v>0</v>
      </c>
      <c r="AC300" s="6">
        <f>$M$300*$W$300</f>
        <v>1873.1010000000001</v>
      </c>
      <c r="AD300" s="6">
        <f>$O$300*$X$300</f>
        <v>0</v>
      </c>
      <c r="AE300" s="6">
        <f>$K$300*$Y$300</f>
        <v>0</v>
      </c>
      <c r="AF300" s="6">
        <f ca="1">$M$300*$Z$300</f>
        <v>1941.1794483893489</v>
      </c>
      <c r="AG300" s="6">
        <f>$O$300*$AA$300</f>
        <v>0</v>
      </c>
    </row>
    <row r="301" spans="1:33" ht="11.25" customHeight="1" x14ac:dyDescent="0.25">
      <c r="A301" s="4" t="s">
        <v>21</v>
      </c>
      <c r="B301" s="4" t="s">
        <v>45</v>
      </c>
      <c r="C301" s="4" t="s">
        <v>34</v>
      </c>
      <c r="D301" s="4" t="s">
        <v>40</v>
      </c>
      <c r="E301" s="4" t="s">
        <v>25</v>
      </c>
      <c r="F301" s="4" t="s">
        <v>63</v>
      </c>
      <c r="G301" s="4" t="s">
        <v>25</v>
      </c>
      <c r="H301" s="4" t="s">
        <v>36</v>
      </c>
      <c r="I301" s="5">
        <v>43983</v>
      </c>
      <c r="J301" s="6">
        <v>0</v>
      </c>
      <c r="K301" s="6">
        <v>0</v>
      </c>
      <c r="L301" s="6">
        <v>22.18</v>
      </c>
      <c r="M301" s="6">
        <v>22.18</v>
      </c>
      <c r="N301" s="6">
        <v>0</v>
      </c>
      <c r="O301" s="6">
        <v>0</v>
      </c>
      <c r="P301" s="6">
        <v>0</v>
      </c>
      <c r="Q301" s="4" t="s">
        <v>60</v>
      </c>
      <c r="R301" s="4">
        <v>0</v>
      </c>
      <c r="S301" s="6">
        <v>0</v>
      </c>
      <c r="T301" s="6">
        <v>18</v>
      </c>
      <c r="U301" s="6">
        <v>0</v>
      </c>
      <c r="V301" s="6">
        <f>IF(ISERROR(VLOOKUP($S$301,'TAR FIN'!$A$1:$O$120,15,0)),0,VLOOKUP($S$301,'TAR FIN'!$A$1:$O$120,15,0))</f>
        <v>0</v>
      </c>
      <c r="W301" s="6">
        <f>IF(ISERROR(VLOOKUP($T$301,'TAR FIN'!$A$1:$O$120,15,0)),0,VLOOKUP($T$301,'TAR FIN'!$A$1:$O$120,15,0))</f>
        <v>84.45</v>
      </c>
      <c r="X301" s="6">
        <f>IF(ISERROR(VLOOKUP($U$301,'TAR FIN'!$A$1:$O$120,15,0)),0,VLOOKUP($U$301,'TAR FIN'!$A$1:$O$120,15,0))</f>
        <v>0</v>
      </c>
      <c r="Y301" s="6"/>
      <c r="Z301" s="6">
        <f ca="1">('TUSD BE'!$AM$22+'TUSD BF'!$AM$22+'TUSD CVA'!$AM$22)*1</f>
        <v>87.519361965254689</v>
      </c>
      <c r="AA301" s="6"/>
      <c r="AB301" s="6">
        <f>$K$301*$V$301</f>
        <v>0</v>
      </c>
      <c r="AC301" s="6">
        <f>$M$301*$W$301</f>
        <v>1873.1010000000001</v>
      </c>
      <c r="AD301" s="6">
        <f>$O$301*$X$301</f>
        <v>0</v>
      </c>
      <c r="AE301" s="6">
        <f>$K$301*$Y$301</f>
        <v>0</v>
      </c>
      <c r="AF301" s="6">
        <f ca="1">$M$301*$Z$301</f>
        <v>1941.1794483893489</v>
      </c>
      <c r="AG301" s="6">
        <f>$O$301*$AA$301</f>
        <v>0</v>
      </c>
    </row>
    <row r="302" spans="1:33" ht="11.25" customHeight="1" x14ac:dyDescent="0.25">
      <c r="A302" s="4" t="s">
        <v>21</v>
      </c>
      <c r="B302" s="4" t="s">
        <v>45</v>
      </c>
      <c r="C302" s="4" t="s">
        <v>34</v>
      </c>
      <c r="D302" s="4" t="s">
        <v>40</v>
      </c>
      <c r="E302" s="4" t="s">
        <v>25</v>
      </c>
      <c r="F302" s="4" t="s">
        <v>63</v>
      </c>
      <c r="G302" s="4" t="s">
        <v>25</v>
      </c>
      <c r="H302" s="4" t="s">
        <v>36</v>
      </c>
      <c r="I302" s="5">
        <v>44013</v>
      </c>
      <c r="J302" s="6">
        <v>0</v>
      </c>
      <c r="K302" s="6">
        <v>0</v>
      </c>
      <c r="L302" s="6">
        <v>55.78</v>
      </c>
      <c r="M302" s="6">
        <v>55.78</v>
      </c>
      <c r="N302" s="6">
        <v>0</v>
      </c>
      <c r="O302" s="6">
        <v>0</v>
      </c>
      <c r="P302" s="6">
        <v>0</v>
      </c>
      <c r="Q302" s="4" t="s">
        <v>60</v>
      </c>
      <c r="R302" s="4">
        <v>0</v>
      </c>
      <c r="S302" s="6">
        <v>0</v>
      </c>
      <c r="T302" s="6">
        <v>18</v>
      </c>
      <c r="U302" s="6">
        <v>0</v>
      </c>
      <c r="V302" s="6">
        <f>IF(ISERROR(VLOOKUP($S$302,'TAR FIN'!$A$1:$O$120,15,0)),0,VLOOKUP($S$302,'TAR FIN'!$A$1:$O$120,15,0))</f>
        <v>0</v>
      </c>
      <c r="W302" s="6">
        <f>IF(ISERROR(VLOOKUP($T$302,'TAR FIN'!$A$1:$O$120,15,0)),0,VLOOKUP($T$302,'TAR FIN'!$A$1:$O$120,15,0))</f>
        <v>84.45</v>
      </c>
      <c r="X302" s="6">
        <f>IF(ISERROR(VLOOKUP($U$302,'TAR FIN'!$A$1:$O$120,15,0)),0,VLOOKUP($U$302,'TAR FIN'!$A$1:$O$120,15,0))</f>
        <v>0</v>
      </c>
      <c r="Y302" s="6"/>
      <c r="Z302" s="6">
        <f ca="1">('TUSD BE'!$AM$22+'TUSD BF'!$AM$22+'TUSD CVA'!$AM$22)*1</f>
        <v>87.519361965254689</v>
      </c>
      <c r="AA302" s="6"/>
      <c r="AB302" s="6">
        <f>$K$302*$V$302</f>
        <v>0</v>
      </c>
      <c r="AC302" s="6">
        <f>$M$302*$W$302</f>
        <v>4710.6210000000001</v>
      </c>
      <c r="AD302" s="6">
        <f>$O$302*$X$302</f>
        <v>0</v>
      </c>
      <c r="AE302" s="6">
        <f>$K$302*$Y$302</f>
        <v>0</v>
      </c>
      <c r="AF302" s="6">
        <f ca="1">$M$302*$Z$302</f>
        <v>4881.830010421907</v>
      </c>
      <c r="AG302" s="6">
        <f>$O$302*$AA$302</f>
        <v>0</v>
      </c>
    </row>
    <row r="303" spans="1:33" ht="11.25" customHeight="1" x14ac:dyDescent="0.25">
      <c r="A303" s="4" t="s">
        <v>21</v>
      </c>
      <c r="B303" s="4" t="s">
        <v>45</v>
      </c>
      <c r="C303" s="4" t="s">
        <v>34</v>
      </c>
      <c r="D303" s="4" t="s">
        <v>40</v>
      </c>
      <c r="E303" s="4" t="s">
        <v>25</v>
      </c>
      <c r="F303" s="4" t="s">
        <v>63</v>
      </c>
      <c r="G303" s="4" t="s">
        <v>25</v>
      </c>
      <c r="H303" s="4" t="s">
        <v>36</v>
      </c>
      <c r="I303" s="5">
        <v>44044</v>
      </c>
      <c r="J303" s="6">
        <v>0</v>
      </c>
      <c r="K303" s="6">
        <v>0</v>
      </c>
      <c r="L303" s="6">
        <v>61.387999999999998</v>
      </c>
      <c r="M303" s="6">
        <v>61.387999999999998</v>
      </c>
      <c r="N303" s="6">
        <v>0</v>
      </c>
      <c r="O303" s="6">
        <v>0</v>
      </c>
      <c r="P303" s="6">
        <v>0</v>
      </c>
      <c r="Q303" s="4" t="s">
        <v>60</v>
      </c>
      <c r="R303" s="4">
        <v>0</v>
      </c>
      <c r="S303" s="6">
        <v>0</v>
      </c>
      <c r="T303" s="6">
        <v>18</v>
      </c>
      <c r="U303" s="6">
        <v>0</v>
      </c>
      <c r="V303" s="6">
        <f>IF(ISERROR(VLOOKUP($S$303,'TAR FIN'!$A$1:$O$120,15,0)),0,VLOOKUP($S$303,'TAR FIN'!$A$1:$O$120,15,0))</f>
        <v>0</v>
      </c>
      <c r="W303" s="6">
        <f>IF(ISERROR(VLOOKUP($T$303,'TAR FIN'!$A$1:$O$120,15,0)),0,VLOOKUP($T$303,'TAR FIN'!$A$1:$O$120,15,0))</f>
        <v>84.45</v>
      </c>
      <c r="X303" s="6">
        <f>IF(ISERROR(VLOOKUP($U$303,'TAR FIN'!$A$1:$O$120,15,0)),0,VLOOKUP($U$303,'TAR FIN'!$A$1:$O$120,15,0))</f>
        <v>0</v>
      </c>
      <c r="Y303" s="6"/>
      <c r="Z303" s="6">
        <f ca="1">('TUSD BE'!$AM$22+'TUSD BF'!$AM$22+'TUSD CVA'!$AM$22)*1</f>
        <v>87.519361965254689</v>
      </c>
      <c r="AA303" s="6"/>
      <c r="AB303" s="6">
        <f>$K$303*$V$303</f>
        <v>0</v>
      </c>
      <c r="AC303" s="6">
        <f>$M$303*$W$303</f>
        <v>5184.2165999999997</v>
      </c>
      <c r="AD303" s="6">
        <f>$O$303*$X$303</f>
        <v>0</v>
      </c>
      <c r="AE303" s="6">
        <f>$K$303*$Y$303</f>
        <v>0</v>
      </c>
      <c r="AF303" s="6">
        <f ca="1">$M$303*$Z$303</f>
        <v>5372.6385923230546</v>
      </c>
      <c r="AG303" s="6">
        <f>$O$303*$AA$303</f>
        <v>0</v>
      </c>
    </row>
    <row r="304" spans="1:33" ht="11.25" customHeight="1" x14ac:dyDescent="0.25">
      <c r="A304" s="4" t="s">
        <v>59</v>
      </c>
      <c r="B304" s="4" t="s">
        <v>45</v>
      </c>
      <c r="C304" s="4" t="s">
        <v>34</v>
      </c>
      <c r="D304" s="4" t="s">
        <v>40</v>
      </c>
      <c r="E304" s="4" t="s">
        <v>25</v>
      </c>
      <c r="F304" s="4" t="s">
        <v>63</v>
      </c>
      <c r="G304" s="4" t="s">
        <v>25</v>
      </c>
      <c r="H304" s="4" t="s">
        <v>36</v>
      </c>
      <c r="I304" s="5">
        <v>44075</v>
      </c>
      <c r="J304" s="6">
        <v>0</v>
      </c>
      <c r="K304" s="6">
        <v>0</v>
      </c>
      <c r="L304" s="6">
        <v>61.387999999999998</v>
      </c>
      <c r="M304" s="6">
        <v>61.387999999999998</v>
      </c>
      <c r="N304" s="6">
        <v>0</v>
      </c>
      <c r="O304" s="6">
        <v>0</v>
      </c>
      <c r="P304" s="6">
        <v>0</v>
      </c>
      <c r="Q304" s="4" t="s">
        <v>60</v>
      </c>
      <c r="R304" s="4">
        <v>0</v>
      </c>
      <c r="S304" s="6">
        <v>0</v>
      </c>
      <c r="T304" s="6">
        <v>18</v>
      </c>
      <c r="U304" s="6">
        <v>0</v>
      </c>
      <c r="V304" s="6">
        <f>IF(ISERROR(VLOOKUP($S$304,'TAR FIN'!$A$1:$O$120,15,0)),0,VLOOKUP($S$304,'TAR FIN'!$A$1:$O$120,15,0))</f>
        <v>0</v>
      </c>
      <c r="W304" s="6">
        <f>IF(ISERROR(VLOOKUP($T$304,'TAR FIN'!$A$1:$O$120,15,0)),0,VLOOKUP($T$304,'TAR FIN'!$A$1:$O$120,15,0))</f>
        <v>84.45</v>
      </c>
      <c r="X304" s="6">
        <f>IF(ISERROR(VLOOKUP($U$304,'TAR FIN'!$A$1:$O$120,15,0)),0,VLOOKUP($U$304,'TAR FIN'!$A$1:$O$120,15,0))</f>
        <v>0</v>
      </c>
      <c r="Y304" s="6"/>
      <c r="Z304" s="6">
        <f ca="1">('TUSD BE'!$AM$22+'TUSD BF'!$AM$22+'TUSD CVA'!$AM$22)*1</f>
        <v>87.519361965254689</v>
      </c>
      <c r="AA304" s="6"/>
      <c r="AB304" s="6">
        <f>$K$304*$V$304</f>
        <v>0</v>
      </c>
      <c r="AC304" s="6">
        <f>$M$304*$W$304</f>
        <v>5184.2165999999997</v>
      </c>
      <c r="AD304" s="6">
        <f>$O$304*$X$304</f>
        <v>0</v>
      </c>
      <c r="AE304" s="6">
        <f>$K$304*$Y$304</f>
        <v>0</v>
      </c>
      <c r="AF304" s="6">
        <f ca="1">$M$304*$Z$304</f>
        <v>5372.6385923230546</v>
      </c>
      <c r="AG304" s="6">
        <f>$O$304*$AA$304</f>
        <v>0</v>
      </c>
    </row>
    <row r="305" spans="1:33" ht="11.25" customHeight="1" x14ac:dyDescent="0.25">
      <c r="A305" s="4" t="s">
        <v>21</v>
      </c>
      <c r="B305" s="4" t="s">
        <v>45</v>
      </c>
      <c r="C305" s="4" t="s">
        <v>34</v>
      </c>
      <c r="D305" s="4" t="s">
        <v>40</v>
      </c>
      <c r="E305" s="4" t="s">
        <v>25</v>
      </c>
      <c r="F305" s="4" t="s">
        <v>63</v>
      </c>
      <c r="G305" s="4" t="s">
        <v>25</v>
      </c>
      <c r="H305" s="4" t="s">
        <v>25</v>
      </c>
      <c r="I305" s="5">
        <v>43739</v>
      </c>
      <c r="J305" s="6">
        <v>670</v>
      </c>
      <c r="K305" s="6">
        <v>419.85302100000001</v>
      </c>
      <c r="L305" s="6">
        <v>0</v>
      </c>
      <c r="M305" s="6">
        <v>0</v>
      </c>
      <c r="N305" s="6">
        <v>0</v>
      </c>
      <c r="O305" s="6">
        <v>0</v>
      </c>
      <c r="P305" s="6">
        <v>3</v>
      </c>
      <c r="Q305" s="4" t="s">
        <v>60</v>
      </c>
      <c r="R305" s="4">
        <v>0</v>
      </c>
      <c r="S305" s="6">
        <v>16</v>
      </c>
      <c r="T305" s="6">
        <v>0</v>
      </c>
      <c r="U305" s="6">
        <v>0</v>
      </c>
      <c r="V305" s="6">
        <f>IF(ISERROR(VLOOKUP($S$305,'TAR FIN'!$A$1:$O$120,15,0)),0,VLOOKUP($S$305,'TAR FIN'!$A$1:$O$120,15,0))</f>
        <v>8.81</v>
      </c>
      <c r="W305" s="6">
        <f>IF(ISERROR(VLOOKUP($T$305,'TAR FIN'!$A$1:$O$120,15,0)),0,VLOOKUP($T$305,'TAR FIN'!$A$1:$O$120,15,0))</f>
        <v>0</v>
      </c>
      <c r="X305" s="6">
        <f>IF(ISERROR(VLOOKUP($U$305,'TAR FIN'!$A$1:$O$120,15,0)),0,VLOOKUP($U$305,'TAR FIN'!$A$1:$O$120,15,0))</f>
        <v>0</v>
      </c>
      <c r="Y305" s="6">
        <f ca="1">('TUSD BE'!$AM$20+'TUSD BF'!$AM$20+'TUSD CVA'!$AM$20)*1</f>
        <v>11.452356648653195</v>
      </c>
      <c r="Z305" s="6"/>
      <c r="AA305" s="6"/>
      <c r="AB305" s="6">
        <f>$K$305*$V$305</f>
        <v>3698.9051150100004</v>
      </c>
      <c r="AC305" s="6">
        <f>$M$305*$W$305</f>
        <v>0</v>
      </c>
      <c r="AD305" s="6">
        <f>$O$305*$X$305</f>
        <v>0</v>
      </c>
      <c r="AE305" s="6">
        <f ca="1">$K$305*$Y$305</f>
        <v>4808.3065365064795</v>
      </c>
      <c r="AF305" s="6">
        <f>$M$305*$Z$305</f>
        <v>0</v>
      </c>
      <c r="AG305" s="6">
        <f>$O$305*$AA$305</f>
        <v>0</v>
      </c>
    </row>
    <row r="306" spans="1:33" ht="11.25" customHeight="1" x14ac:dyDescent="0.25">
      <c r="A306" s="4" t="s">
        <v>21</v>
      </c>
      <c r="B306" s="4" t="s">
        <v>45</v>
      </c>
      <c r="C306" s="4" t="s">
        <v>34</v>
      </c>
      <c r="D306" s="4" t="s">
        <v>40</v>
      </c>
      <c r="E306" s="4" t="s">
        <v>25</v>
      </c>
      <c r="F306" s="4" t="s">
        <v>63</v>
      </c>
      <c r="G306" s="4" t="s">
        <v>25</v>
      </c>
      <c r="H306" s="4" t="s">
        <v>25</v>
      </c>
      <c r="I306" s="5">
        <v>43770</v>
      </c>
      <c r="J306" s="6">
        <v>670</v>
      </c>
      <c r="K306" s="6">
        <v>421.90370339999998</v>
      </c>
      <c r="L306" s="6">
        <v>0</v>
      </c>
      <c r="M306" s="6">
        <v>0</v>
      </c>
      <c r="N306" s="6">
        <v>0</v>
      </c>
      <c r="O306" s="6">
        <v>0</v>
      </c>
      <c r="P306" s="6">
        <v>3</v>
      </c>
      <c r="Q306" s="4" t="s">
        <v>60</v>
      </c>
      <c r="R306" s="4">
        <v>0</v>
      </c>
      <c r="S306" s="6">
        <v>16</v>
      </c>
      <c r="T306" s="6">
        <v>0</v>
      </c>
      <c r="U306" s="6">
        <v>0</v>
      </c>
      <c r="V306" s="6">
        <f>IF(ISERROR(VLOOKUP($S$306,'TAR FIN'!$A$1:$O$120,15,0)),0,VLOOKUP($S$306,'TAR FIN'!$A$1:$O$120,15,0))</f>
        <v>8.81</v>
      </c>
      <c r="W306" s="6">
        <f>IF(ISERROR(VLOOKUP($T$306,'TAR FIN'!$A$1:$O$120,15,0)),0,VLOOKUP($T$306,'TAR FIN'!$A$1:$O$120,15,0))</f>
        <v>0</v>
      </c>
      <c r="X306" s="6">
        <f>IF(ISERROR(VLOOKUP($U$306,'TAR FIN'!$A$1:$O$120,15,0)),0,VLOOKUP($U$306,'TAR FIN'!$A$1:$O$120,15,0))</f>
        <v>0</v>
      </c>
      <c r="Y306" s="6">
        <f ca="1">('TUSD BE'!$AM$20+'TUSD BF'!$AM$20+'TUSD CVA'!$AM$20)*1</f>
        <v>11.452356648653195</v>
      </c>
      <c r="Z306" s="6"/>
      <c r="AA306" s="6"/>
      <c r="AB306" s="6">
        <f>$K$306*$V$306</f>
        <v>3716.9716269539999</v>
      </c>
      <c r="AC306" s="6">
        <f>$M$306*$W$306</f>
        <v>0</v>
      </c>
      <c r="AD306" s="6">
        <f>$O$306*$X$306</f>
        <v>0</v>
      </c>
      <c r="AE306" s="6">
        <f ca="1">$K$306*$Y$306</f>
        <v>4831.7916827243953</v>
      </c>
      <c r="AF306" s="6">
        <f>$M$306*$Z$306</f>
        <v>0</v>
      </c>
      <c r="AG306" s="6">
        <f>$O$306*$AA$306</f>
        <v>0</v>
      </c>
    </row>
    <row r="307" spans="1:33" ht="11.25" customHeight="1" x14ac:dyDescent="0.25">
      <c r="A307" s="4" t="s">
        <v>21</v>
      </c>
      <c r="B307" s="4" t="s">
        <v>45</v>
      </c>
      <c r="C307" s="4" t="s">
        <v>34</v>
      </c>
      <c r="D307" s="4" t="s">
        <v>40</v>
      </c>
      <c r="E307" s="4" t="s">
        <v>25</v>
      </c>
      <c r="F307" s="4" t="s">
        <v>63</v>
      </c>
      <c r="G307" s="4" t="s">
        <v>25</v>
      </c>
      <c r="H307" s="4" t="s">
        <v>25</v>
      </c>
      <c r="I307" s="5">
        <v>43800</v>
      </c>
      <c r="J307" s="6">
        <v>670</v>
      </c>
      <c r="K307" s="6">
        <v>425.12383060000002</v>
      </c>
      <c r="L307" s="6">
        <v>0</v>
      </c>
      <c r="M307" s="6">
        <v>0</v>
      </c>
      <c r="N307" s="6">
        <v>0</v>
      </c>
      <c r="O307" s="6">
        <v>0</v>
      </c>
      <c r="P307" s="6">
        <v>3</v>
      </c>
      <c r="Q307" s="4" t="s">
        <v>60</v>
      </c>
      <c r="R307" s="4">
        <v>0</v>
      </c>
      <c r="S307" s="6">
        <v>16</v>
      </c>
      <c r="T307" s="6">
        <v>0</v>
      </c>
      <c r="U307" s="6">
        <v>0</v>
      </c>
      <c r="V307" s="6">
        <f>IF(ISERROR(VLOOKUP($S$307,'TAR FIN'!$A$1:$O$120,15,0)),0,VLOOKUP($S$307,'TAR FIN'!$A$1:$O$120,15,0))</f>
        <v>8.81</v>
      </c>
      <c r="W307" s="6">
        <f>IF(ISERROR(VLOOKUP($T$307,'TAR FIN'!$A$1:$O$120,15,0)),0,VLOOKUP($T$307,'TAR FIN'!$A$1:$O$120,15,0))</f>
        <v>0</v>
      </c>
      <c r="X307" s="6">
        <f>IF(ISERROR(VLOOKUP($U$307,'TAR FIN'!$A$1:$O$120,15,0)),0,VLOOKUP($U$307,'TAR FIN'!$A$1:$O$120,15,0))</f>
        <v>0</v>
      </c>
      <c r="Y307" s="6">
        <f ca="1">('TUSD BE'!$AM$20+'TUSD BF'!$AM$20+'TUSD CVA'!$AM$20)*1</f>
        <v>11.452356648653195</v>
      </c>
      <c r="Z307" s="6"/>
      <c r="AA307" s="6"/>
      <c r="AB307" s="6">
        <f>$K$307*$V$307</f>
        <v>3745.3409475860003</v>
      </c>
      <c r="AC307" s="6">
        <f>$M$307*$W$307</f>
        <v>0</v>
      </c>
      <c r="AD307" s="6">
        <f>$O$307*$X$307</f>
        <v>0</v>
      </c>
      <c r="AE307" s="6">
        <f ca="1">$K$307*$Y$307</f>
        <v>4868.6697278728252</v>
      </c>
      <c r="AF307" s="6">
        <f>$M$307*$Z$307</f>
        <v>0</v>
      </c>
      <c r="AG307" s="6">
        <f>$O$307*$AA$307</f>
        <v>0</v>
      </c>
    </row>
    <row r="308" spans="1:33" ht="11.25" customHeight="1" x14ac:dyDescent="0.25">
      <c r="A308" s="4" t="s">
        <v>21</v>
      </c>
      <c r="B308" s="4" t="s">
        <v>45</v>
      </c>
      <c r="C308" s="4" t="s">
        <v>34</v>
      </c>
      <c r="D308" s="4" t="s">
        <v>40</v>
      </c>
      <c r="E308" s="4" t="s">
        <v>25</v>
      </c>
      <c r="F308" s="4" t="s">
        <v>63</v>
      </c>
      <c r="G308" s="4" t="s">
        <v>25</v>
      </c>
      <c r="H308" s="4" t="s">
        <v>25</v>
      </c>
      <c r="I308" s="5">
        <v>43831</v>
      </c>
      <c r="J308" s="6">
        <v>670</v>
      </c>
      <c r="K308" s="6">
        <v>424.60471460000002</v>
      </c>
      <c r="L308" s="6">
        <v>0</v>
      </c>
      <c r="M308" s="6">
        <v>0</v>
      </c>
      <c r="N308" s="6">
        <v>0</v>
      </c>
      <c r="O308" s="6">
        <v>0</v>
      </c>
      <c r="P308" s="6">
        <v>3</v>
      </c>
      <c r="Q308" s="4" t="s">
        <v>60</v>
      </c>
      <c r="R308" s="4">
        <v>0</v>
      </c>
      <c r="S308" s="6">
        <v>16</v>
      </c>
      <c r="T308" s="6">
        <v>0</v>
      </c>
      <c r="U308" s="6">
        <v>0</v>
      </c>
      <c r="V308" s="6">
        <f>IF(ISERROR(VLOOKUP($S$308,'TAR FIN'!$A$1:$O$120,15,0)),0,VLOOKUP($S$308,'TAR FIN'!$A$1:$O$120,15,0))</f>
        <v>8.81</v>
      </c>
      <c r="W308" s="6">
        <f>IF(ISERROR(VLOOKUP($T$308,'TAR FIN'!$A$1:$O$120,15,0)),0,VLOOKUP($T$308,'TAR FIN'!$A$1:$O$120,15,0))</f>
        <v>0</v>
      </c>
      <c r="X308" s="6">
        <f>IF(ISERROR(VLOOKUP($U$308,'TAR FIN'!$A$1:$O$120,15,0)),0,VLOOKUP($U$308,'TAR FIN'!$A$1:$O$120,15,0))</f>
        <v>0</v>
      </c>
      <c r="Y308" s="6">
        <f ca="1">('TUSD BE'!$AM$20+'TUSD BF'!$AM$20+'TUSD CVA'!$AM$20)*1</f>
        <v>11.452356648653195</v>
      </c>
      <c r="Z308" s="6"/>
      <c r="AA308" s="6"/>
      <c r="AB308" s="6">
        <f>$K$308*$V$308</f>
        <v>3740.7675356260006</v>
      </c>
      <c r="AC308" s="6">
        <f>$M$308*$W$308</f>
        <v>0</v>
      </c>
      <c r="AD308" s="6">
        <f>$O$308*$X$308</f>
        <v>0</v>
      </c>
      <c r="AE308" s="6">
        <f ca="1">$K$308*$Y$308</f>
        <v>4862.7246262988028</v>
      </c>
      <c r="AF308" s="6">
        <f>$M$308*$Z$308</f>
        <v>0</v>
      </c>
      <c r="AG308" s="6">
        <f>$O$308*$AA$308</f>
        <v>0</v>
      </c>
    </row>
    <row r="309" spans="1:33" ht="11.25" customHeight="1" x14ac:dyDescent="0.25">
      <c r="A309" s="4" t="s">
        <v>21</v>
      </c>
      <c r="B309" s="4" t="s">
        <v>45</v>
      </c>
      <c r="C309" s="4" t="s">
        <v>34</v>
      </c>
      <c r="D309" s="4" t="s">
        <v>40</v>
      </c>
      <c r="E309" s="4" t="s">
        <v>25</v>
      </c>
      <c r="F309" s="4" t="s">
        <v>63</v>
      </c>
      <c r="G309" s="4" t="s">
        <v>25</v>
      </c>
      <c r="H309" s="4" t="s">
        <v>25</v>
      </c>
      <c r="I309" s="5">
        <v>43862</v>
      </c>
      <c r="J309" s="6">
        <v>670</v>
      </c>
      <c r="K309" s="6">
        <v>420.11772459999997</v>
      </c>
      <c r="L309" s="6">
        <v>0</v>
      </c>
      <c r="M309" s="6">
        <v>0</v>
      </c>
      <c r="N309" s="6">
        <v>0</v>
      </c>
      <c r="O309" s="6">
        <v>0</v>
      </c>
      <c r="P309" s="6">
        <v>3</v>
      </c>
      <c r="Q309" s="4" t="s">
        <v>60</v>
      </c>
      <c r="R309" s="4">
        <v>0</v>
      </c>
      <c r="S309" s="6">
        <v>16</v>
      </c>
      <c r="T309" s="6">
        <v>0</v>
      </c>
      <c r="U309" s="6">
        <v>0</v>
      </c>
      <c r="V309" s="6">
        <f>IF(ISERROR(VLOOKUP($S$309,'TAR FIN'!$A$1:$O$120,15,0)),0,VLOOKUP($S$309,'TAR FIN'!$A$1:$O$120,15,0))</f>
        <v>8.81</v>
      </c>
      <c r="W309" s="6">
        <f>IF(ISERROR(VLOOKUP($T$309,'TAR FIN'!$A$1:$O$120,15,0)),0,VLOOKUP($T$309,'TAR FIN'!$A$1:$O$120,15,0))</f>
        <v>0</v>
      </c>
      <c r="X309" s="6">
        <f>IF(ISERROR(VLOOKUP($U$309,'TAR FIN'!$A$1:$O$120,15,0)),0,VLOOKUP($U$309,'TAR FIN'!$A$1:$O$120,15,0))</f>
        <v>0</v>
      </c>
      <c r="Y309" s="6">
        <f ca="1">('TUSD BE'!$AM$20+'TUSD BF'!$AM$20+'TUSD CVA'!$AM$20)*1</f>
        <v>11.452356648653195</v>
      </c>
      <c r="Z309" s="6"/>
      <c r="AA309" s="6"/>
      <c r="AB309" s="6">
        <f>$K$309*$V$309</f>
        <v>3701.2371537260001</v>
      </c>
      <c r="AC309" s="6">
        <f>$M$309*$W$309</f>
        <v>0</v>
      </c>
      <c r="AD309" s="6">
        <f>$O$309*$X$309</f>
        <v>0</v>
      </c>
      <c r="AE309" s="6">
        <f ca="1">$K$309*$Y$309</f>
        <v>4811.3380165398621</v>
      </c>
      <c r="AF309" s="6">
        <f>$M$309*$Z$309</f>
        <v>0</v>
      </c>
      <c r="AG309" s="6">
        <f>$O$309*$AA$309</f>
        <v>0</v>
      </c>
    </row>
    <row r="310" spans="1:33" ht="11.25" customHeight="1" x14ac:dyDescent="0.25">
      <c r="A310" s="4" t="s">
        <v>21</v>
      </c>
      <c r="B310" s="4" t="s">
        <v>45</v>
      </c>
      <c r="C310" s="4" t="s">
        <v>34</v>
      </c>
      <c r="D310" s="4" t="s">
        <v>40</v>
      </c>
      <c r="E310" s="4" t="s">
        <v>25</v>
      </c>
      <c r="F310" s="4" t="s">
        <v>63</v>
      </c>
      <c r="G310" s="4" t="s">
        <v>25</v>
      </c>
      <c r="H310" s="4" t="s">
        <v>25</v>
      </c>
      <c r="I310" s="5">
        <v>43891</v>
      </c>
      <c r="J310" s="6">
        <v>670</v>
      </c>
      <c r="K310" s="6">
        <v>418.96188080000002</v>
      </c>
      <c r="L310" s="6">
        <v>0</v>
      </c>
      <c r="M310" s="6">
        <v>0</v>
      </c>
      <c r="N310" s="6">
        <v>0</v>
      </c>
      <c r="O310" s="6">
        <v>0</v>
      </c>
      <c r="P310" s="6">
        <v>3</v>
      </c>
      <c r="Q310" s="4" t="s">
        <v>60</v>
      </c>
      <c r="R310" s="4">
        <v>0</v>
      </c>
      <c r="S310" s="6">
        <v>16</v>
      </c>
      <c r="T310" s="6">
        <v>0</v>
      </c>
      <c r="U310" s="6">
        <v>0</v>
      </c>
      <c r="V310" s="6">
        <f>IF(ISERROR(VLOOKUP($S$310,'TAR FIN'!$A$1:$O$120,15,0)),0,VLOOKUP($S$310,'TAR FIN'!$A$1:$O$120,15,0))</f>
        <v>8.81</v>
      </c>
      <c r="W310" s="6">
        <f>IF(ISERROR(VLOOKUP($T$310,'TAR FIN'!$A$1:$O$120,15,0)),0,VLOOKUP($T$310,'TAR FIN'!$A$1:$O$120,15,0))</f>
        <v>0</v>
      </c>
      <c r="X310" s="6">
        <f>IF(ISERROR(VLOOKUP($U$310,'TAR FIN'!$A$1:$O$120,15,0)),0,VLOOKUP($U$310,'TAR FIN'!$A$1:$O$120,15,0))</f>
        <v>0</v>
      </c>
      <c r="Y310" s="6">
        <f ca="1">('TUSD BE'!$AM$20+'TUSD BF'!$AM$20+'TUSD CVA'!$AM$20)*1</f>
        <v>11.452356648653195</v>
      </c>
      <c r="Z310" s="6"/>
      <c r="AA310" s="6"/>
      <c r="AB310" s="6">
        <f>$K$310*$V$310</f>
        <v>3691.0541698480006</v>
      </c>
      <c r="AC310" s="6">
        <f>$M$310*$W$310</f>
        <v>0</v>
      </c>
      <c r="AD310" s="6">
        <f>$O$310*$X$310</f>
        <v>0</v>
      </c>
      <c r="AE310" s="6">
        <f ca="1">$K$310*$Y$310</f>
        <v>4798.1008811121274</v>
      </c>
      <c r="AF310" s="6">
        <f>$M$310*$Z$310</f>
        <v>0</v>
      </c>
      <c r="AG310" s="6">
        <f>$O$310*$AA$310</f>
        <v>0</v>
      </c>
    </row>
    <row r="311" spans="1:33" ht="11.25" customHeight="1" x14ac:dyDescent="0.25">
      <c r="A311" s="4" t="s">
        <v>21</v>
      </c>
      <c r="B311" s="4" t="s">
        <v>45</v>
      </c>
      <c r="C311" s="4" t="s">
        <v>34</v>
      </c>
      <c r="D311" s="4" t="s">
        <v>40</v>
      </c>
      <c r="E311" s="4" t="s">
        <v>25</v>
      </c>
      <c r="F311" s="4" t="s">
        <v>63</v>
      </c>
      <c r="G311" s="4" t="s">
        <v>25</v>
      </c>
      <c r="H311" s="4" t="s">
        <v>25</v>
      </c>
      <c r="I311" s="5">
        <v>43922</v>
      </c>
      <c r="J311" s="6">
        <v>670</v>
      </c>
      <c r="K311" s="6">
        <v>419.41134360000001</v>
      </c>
      <c r="L311" s="6">
        <v>0</v>
      </c>
      <c r="M311" s="6">
        <v>0</v>
      </c>
      <c r="N311" s="6">
        <v>0</v>
      </c>
      <c r="O311" s="6">
        <v>0</v>
      </c>
      <c r="P311" s="6">
        <v>3</v>
      </c>
      <c r="Q311" s="4" t="s">
        <v>60</v>
      </c>
      <c r="R311" s="4">
        <v>0</v>
      </c>
      <c r="S311" s="6">
        <v>16</v>
      </c>
      <c r="T311" s="6">
        <v>0</v>
      </c>
      <c r="U311" s="6">
        <v>0</v>
      </c>
      <c r="V311" s="6">
        <f>IF(ISERROR(VLOOKUP($S$311,'TAR FIN'!$A$1:$O$120,15,0)),0,VLOOKUP($S$311,'TAR FIN'!$A$1:$O$120,15,0))</f>
        <v>8.81</v>
      </c>
      <c r="W311" s="6">
        <f>IF(ISERROR(VLOOKUP($T$311,'TAR FIN'!$A$1:$O$120,15,0)),0,VLOOKUP($T$311,'TAR FIN'!$A$1:$O$120,15,0))</f>
        <v>0</v>
      </c>
      <c r="X311" s="6">
        <f>IF(ISERROR(VLOOKUP($U$311,'TAR FIN'!$A$1:$O$120,15,0)),0,VLOOKUP($U$311,'TAR FIN'!$A$1:$O$120,15,0))</f>
        <v>0</v>
      </c>
      <c r="Y311" s="6">
        <f ca="1">('TUSD BE'!$AM$20+'TUSD BF'!$AM$20+'TUSD CVA'!$AM$20)*1</f>
        <v>11.452356648653195</v>
      </c>
      <c r="Z311" s="6"/>
      <c r="AA311" s="6"/>
      <c r="AB311" s="6">
        <f>$K$311*$V$311</f>
        <v>3695.0139371160003</v>
      </c>
      <c r="AC311" s="6">
        <f>$M$311*$W$311</f>
        <v>0</v>
      </c>
      <c r="AD311" s="6">
        <f>$O$311*$X$311</f>
        <v>0</v>
      </c>
      <c r="AE311" s="6">
        <f ca="1">$K$311*$Y$311</f>
        <v>4803.2482893980296</v>
      </c>
      <c r="AF311" s="6">
        <f>$M$311*$Z$311</f>
        <v>0</v>
      </c>
      <c r="AG311" s="6">
        <f>$O$311*$AA$311</f>
        <v>0</v>
      </c>
    </row>
    <row r="312" spans="1:33" ht="11.25" customHeight="1" x14ac:dyDescent="0.25">
      <c r="A312" s="4" t="s">
        <v>21</v>
      </c>
      <c r="B312" s="4" t="s">
        <v>45</v>
      </c>
      <c r="C312" s="4" t="s">
        <v>34</v>
      </c>
      <c r="D312" s="4" t="s">
        <v>40</v>
      </c>
      <c r="E312" s="4" t="s">
        <v>25</v>
      </c>
      <c r="F312" s="4" t="s">
        <v>63</v>
      </c>
      <c r="G312" s="4" t="s">
        <v>25</v>
      </c>
      <c r="H312" s="4" t="s">
        <v>25</v>
      </c>
      <c r="I312" s="5">
        <v>43952</v>
      </c>
      <c r="J312" s="6">
        <v>670</v>
      </c>
      <c r="K312" s="6">
        <v>418.4460545</v>
      </c>
      <c r="L312" s="6">
        <v>0</v>
      </c>
      <c r="M312" s="6">
        <v>0</v>
      </c>
      <c r="N312" s="6">
        <v>0</v>
      </c>
      <c r="O312" s="6">
        <v>0</v>
      </c>
      <c r="P312" s="6">
        <v>3</v>
      </c>
      <c r="Q312" s="4" t="s">
        <v>60</v>
      </c>
      <c r="R312" s="4">
        <v>0</v>
      </c>
      <c r="S312" s="6">
        <v>16</v>
      </c>
      <c r="T312" s="6">
        <v>0</v>
      </c>
      <c r="U312" s="6">
        <v>0</v>
      </c>
      <c r="V312" s="6">
        <f>IF(ISERROR(VLOOKUP($S$312,'TAR FIN'!$A$1:$O$120,15,0)),0,VLOOKUP($S$312,'TAR FIN'!$A$1:$O$120,15,0))</f>
        <v>8.81</v>
      </c>
      <c r="W312" s="6">
        <f>IF(ISERROR(VLOOKUP($T$312,'TAR FIN'!$A$1:$O$120,15,0)),0,VLOOKUP($T$312,'TAR FIN'!$A$1:$O$120,15,0))</f>
        <v>0</v>
      </c>
      <c r="X312" s="6">
        <f>IF(ISERROR(VLOOKUP($U$312,'TAR FIN'!$A$1:$O$120,15,0)),0,VLOOKUP($U$312,'TAR FIN'!$A$1:$O$120,15,0))</f>
        <v>0</v>
      </c>
      <c r="Y312" s="6">
        <f ca="1">('TUSD BE'!$AM$20+'TUSD BF'!$AM$20+'TUSD CVA'!$AM$20)*1</f>
        <v>11.452356648653195</v>
      </c>
      <c r="Z312" s="6"/>
      <c r="AA312" s="6"/>
      <c r="AB312" s="6">
        <f>$K$312*$V$312</f>
        <v>3686.5097401450003</v>
      </c>
      <c r="AC312" s="6">
        <f>$M$312*$W$312</f>
        <v>0</v>
      </c>
      <c r="AD312" s="6">
        <f>$O$312*$X$312</f>
        <v>0</v>
      </c>
      <c r="AE312" s="6">
        <f ca="1">$K$312*$Y$312</f>
        <v>4792.1934543557727</v>
      </c>
      <c r="AF312" s="6">
        <f>$M$312*$Z$312</f>
        <v>0</v>
      </c>
      <c r="AG312" s="6">
        <f>$O$312*$AA$312</f>
        <v>0</v>
      </c>
    </row>
    <row r="313" spans="1:33" ht="11.25" customHeight="1" x14ac:dyDescent="0.25">
      <c r="A313" s="4" t="s">
        <v>21</v>
      </c>
      <c r="B313" s="4" t="s">
        <v>45</v>
      </c>
      <c r="C313" s="4" t="s">
        <v>34</v>
      </c>
      <c r="D313" s="4" t="s">
        <v>40</v>
      </c>
      <c r="E313" s="4" t="s">
        <v>25</v>
      </c>
      <c r="F313" s="4" t="s">
        <v>63</v>
      </c>
      <c r="G313" s="4" t="s">
        <v>25</v>
      </c>
      <c r="H313" s="4" t="s">
        <v>25</v>
      </c>
      <c r="I313" s="5">
        <v>43983</v>
      </c>
      <c r="J313" s="6">
        <v>670</v>
      </c>
      <c r="K313" s="6">
        <v>419.22425279999999</v>
      </c>
      <c r="L313" s="6">
        <v>0</v>
      </c>
      <c r="M313" s="6">
        <v>0</v>
      </c>
      <c r="N313" s="6">
        <v>0</v>
      </c>
      <c r="O313" s="6">
        <v>0</v>
      </c>
      <c r="P313" s="6">
        <v>3</v>
      </c>
      <c r="Q313" s="4" t="s">
        <v>60</v>
      </c>
      <c r="R313" s="4">
        <v>0</v>
      </c>
      <c r="S313" s="6">
        <v>16</v>
      </c>
      <c r="T313" s="6">
        <v>0</v>
      </c>
      <c r="U313" s="6">
        <v>0</v>
      </c>
      <c r="V313" s="6">
        <f>IF(ISERROR(VLOOKUP($S$313,'TAR FIN'!$A$1:$O$120,15,0)),0,VLOOKUP($S$313,'TAR FIN'!$A$1:$O$120,15,0))</f>
        <v>8.81</v>
      </c>
      <c r="W313" s="6">
        <f>IF(ISERROR(VLOOKUP($T$313,'TAR FIN'!$A$1:$O$120,15,0)),0,VLOOKUP($T$313,'TAR FIN'!$A$1:$O$120,15,0))</f>
        <v>0</v>
      </c>
      <c r="X313" s="6">
        <f>IF(ISERROR(VLOOKUP($U$313,'TAR FIN'!$A$1:$O$120,15,0)),0,VLOOKUP($U$313,'TAR FIN'!$A$1:$O$120,15,0))</f>
        <v>0</v>
      </c>
      <c r="Y313" s="6">
        <f ca="1">('TUSD BE'!$AM$20+'TUSD BF'!$AM$20+'TUSD CVA'!$AM$20)*1</f>
        <v>11.452356648653195</v>
      </c>
      <c r="Z313" s="6"/>
      <c r="AA313" s="6"/>
      <c r="AB313" s="6">
        <f>$K$313*$V$313</f>
        <v>3693.3656671680001</v>
      </c>
      <c r="AC313" s="6">
        <f>$M$313*$W$313</f>
        <v>0</v>
      </c>
      <c r="AD313" s="6">
        <f>$O$313*$X$313</f>
        <v>0</v>
      </c>
      <c r="AE313" s="6">
        <f ca="1">$K$313*$Y$313</f>
        <v>4801.1056588307474</v>
      </c>
      <c r="AF313" s="6">
        <f>$M$313*$Z$313</f>
        <v>0</v>
      </c>
      <c r="AG313" s="6">
        <f>$O$313*$AA$313</f>
        <v>0</v>
      </c>
    </row>
    <row r="314" spans="1:33" ht="11.25" customHeight="1" x14ac:dyDescent="0.25">
      <c r="A314" s="4" t="s">
        <v>21</v>
      </c>
      <c r="B314" s="4" t="s">
        <v>45</v>
      </c>
      <c r="C314" s="4" t="s">
        <v>34</v>
      </c>
      <c r="D314" s="4" t="s">
        <v>40</v>
      </c>
      <c r="E314" s="4" t="s">
        <v>25</v>
      </c>
      <c r="F314" s="4" t="s">
        <v>63</v>
      </c>
      <c r="G314" s="4" t="s">
        <v>25</v>
      </c>
      <c r="H314" s="4" t="s">
        <v>25</v>
      </c>
      <c r="I314" s="5">
        <v>44013</v>
      </c>
      <c r="J314" s="6">
        <v>420</v>
      </c>
      <c r="K314" s="6">
        <v>273.46222260000002</v>
      </c>
      <c r="L314" s="6">
        <v>0</v>
      </c>
      <c r="M314" s="6">
        <v>0</v>
      </c>
      <c r="N314" s="6">
        <v>0</v>
      </c>
      <c r="O314" s="6">
        <v>0</v>
      </c>
      <c r="P314" s="6">
        <v>2</v>
      </c>
      <c r="Q314" s="4" t="s">
        <v>60</v>
      </c>
      <c r="R314" s="4">
        <v>0</v>
      </c>
      <c r="S314" s="6">
        <v>16</v>
      </c>
      <c r="T314" s="6">
        <v>0</v>
      </c>
      <c r="U314" s="6">
        <v>0</v>
      </c>
      <c r="V314" s="6">
        <f>IF(ISERROR(VLOOKUP($S$314,'TAR FIN'!$A$1:$O$120,15,0)),0,VLOOKUP($S$314,'TAR FIN'!$A$1:$O$120,15,0))</f>
        <v>8.81</v>
      </c>
      <c r="W314" s="6">
        <f>IF(ISERROR(VLOOKUP($T$314,'TAR FIN'!$A$1:$O$120,15,0)),0,VLOOKUP($T$314,'TAR FIN'!$A$1:$O$120,15,0))</f>
        <v>0</v>
      </c>
      <c r="X314" s="6">
        <f>IF(ISERROR(VLOOKUP($U$314,'TAR FIN'!$A$1:$O$120,15,0)),0,VLOOKUP($U$314,'TAR FIN'!$A$1:$O$120,15,0))</f>
        <v>0</v>
      </c>
      <c r="Y314" s="6">
        <f ca="1">('TUSD BE'!$AM$20+'TUSD BF'!$AM$20+'TUSD CVA'!$AM$20)*1</f>
        <v>11.452356648653195</v>
      </c>
      <c r="Z314" s="6"/>
      <c r="AA314" s="6"/>
      <c r="AB314" s="6">
        <f>$K$314*$V$314</f>
        <v>2409.2021811060004</v>
      </c>
      <c r="AC314" s="6">
        <f>$M$314*$W$314</f>
        <v>0</v>
      </c>
      <c r="AD314" s="6">
        <f>$O$314*$X$314</f>
        <v>0</v>
      </c>
      <c r="AE314" s="6">
        <f ca="1">$K$314*$Y$314</f>
        <v>3131.7869031485902</v>
      </c>
      <c r="AF314" s="6">
        <f>$M$314*$Z$314</f>
        <v>0</v>
      </c>
      <c r="AG314" s="6">
        <f>$O$314*$AA$314</f>
        <v>0</v>
      </c>
    </row>
    <row r="315" spans="1:33" ht="11.25" customHeight="1" x14ac:dyDescent="0.25">
      <c r="A315" s="4" t="s">
        <v>21</v>
      </c>
      <c r="B315" s="4" t="s">
        <v>45</v>
      </c>
      <c r="C315" s="4" t="s">
        <v>34</v>
      </c>
      <c r="D315" s="4" t="s">
        <v>40</v>
      </c>
      <c r="E315" s="4" t="s">
        <v>25</v>
      </c>
      <c r="F315" s="4" t="s">
        <v>63</v>
      </c>
      <c r="G315" s="4" t="s">
        <v>25</v>
      </c>
      <c r="H315" s="4" t="s">
        <v>25</v>
      </c>
      <c r="I315" s="5">
        <v>44044</v>
      </c>
      <c r="J315" s="6">
        <v>670</v>
      </c>
      <c r="K315" s="6">
        <v>415.4</v>
      </c>
      <c r="L315" s="6">
        <v>0</v>
      </c>
      <c r="M315" s="6">
        <v>0</v>
      </c>
      <c r="N315" s="6">
        <v>0</v>
      </c>
      <c r="O315" s="6">
        <v>0</v>
      </c>
      <c r="P315" s="6">
        <v>3</v>
      </c>
      <c r="Q315" s="4" t="s">
        <v>60</v>
      </c>
      <c r="R315" s="4">
        <v>0</v>
      </c>
      <c r="S315" s="6">
        <v>16</v>
      </c>
      <c r="T315" s="6">
        <v>0</v>
      </c>
      <c r="U315" s="6">
        <v>0</v>
      </c>
      <c r="V315" s="6">
        <f>IF(ISERROR(VLOOKUP($S$315,'TAR FIN'!$A$1:$O$120,15,0)),0,VLOOKUP($S$315,'TAR FIN'!$A$1:$O$120,15,0))</f>
        <v>8.81</v>
      </c>
      <c r="W315" s="6">
        <f>IF(ISERROR(VLOOKUP($T$315,'TAR FIN'!$A$1:$O$120,15,0)),0,VLOOKUP($T$315,'TAR FIN'!$A$1:$O$120,15,0))</f>
        <v>0</v>
      </c>
      <c r="X315" s="6">
        <f>IF(ISERROR(VLOOKUP($U$315,'TAR FIN'!$A$1:$O$120,15,0)),0,VLOOKUP($U$315,'TAR FIN'!$A$1:$O$120,15,0))</f>
        <v>0</v>
      </c>
      <c r="Y315" s="6">
        <f ca="1">('TUSD BE'!$AM$20+'TUSD BF'!$AM$20+'TUSD CVA'!$AM$20)*1</f>
        <v>11.452356648653195</v>
      </c>
      <c r="Z315" s="6"/>
      <c r="AA315" s="6"/>
      <c r="AB315" s="6">
        <f>$K$315*$V$315</f>
        <v>3659.674</v>
      </c>
      <c r="AC315" s="6">
        <f>$M$315*$W$315</f>
        <v>0</v>
      </c>
      <c r="AD315" s="6">
        <f>$O$315*$X$315</f>
        <v>0</v>
      </c>
      <c r="AE315" s="6">
        <f ca="1">$K$315*$Y$315</f>
        <v>4757.3089518505367</v>
      </c>
      <c r="AF315" s="6">
        <f>$M$315*$Z$315</f>
        <v>0</v>
      </c>
      <c r="AG315" s="6">
        <f>$O$315*$AA$315</f>
        <v>0</v>
      </c>
    </row>
    <row r="316" spans="1:33" ht="11.25" customHeight="1" x14ac:dyDescent="0.25">
      <c r="A316" s="4" t="s">
        <v>59</v>
      </c>
      <c r="B316" s="4" t="s">
        <v>45</v>
      </c>
      <c r="C316" s="4" t="s">
        <v>34</v>
      </c>
      <c r="D316" s="4" t="s">
        <v>40</v>
      </c>
      <c r="E316" s="4" t="s">
        <v>25</v>
      </c>
      <c r="F316" s="4" t="s">
        <v>63</v>
      </c>
      <c r="G316" s="4" t="s">
        <v>25</v>
      </c>
      <c r="H316" s="4" t="s">
        <v>25</v>
      </c>
      <c r="I316" s="5">
        <v>44075</v>
      </c>
      <c r="J316" s="6">
        <v>670</v>
      </c>
      <c r="K316" s="6">
        <v>415.4</v>
      </c>
      <c r="L316" s="6">
        <v>0</v>
      </c>
      <c r="M316" s="6">
        <v>0</v>
      </c>
      <c r="N316" s="6">
        <v>0</v>
      </c>
      <c r="O316" s="6">
        <v>0</v>
      </c>
      <c r="P316" s="6">
        <v>3</v>
      </c>
      <c r="Q316" s="4" t="s">
        <v>60</v>
      </c>
      <c r="R316" s="4">
        <v>0</v>
      </c>
      <c r="S316" s="6">
        <v>16</v>
      </c>
      <c r="T316" s="6">
        <v>0</v>
      </c>
      <c r="U316" s="6">
        <v>0</v>
      </c>
      <c r="V316" s="6">
        <f>IF(ISERROR(VLOOKUP($S$316,'TAR FIN'!$A$1:$O$120,15,0)),0,VLOOKUP($S$316,'TAR FIN'!$A$1:$O$120,15,0))</f>
        <v>8.81</v>
      </c>
      <c r="W316" s="6">
        <f>IF(ISERROR(VLOOKUP($T$316,'TAR FIN'!$A$1:$O$120,15,0)),0,VLOOKUP($T$316,'TAR FIN'!$A$1:$O$120,15,0))</f>
        <v>0</v>
      </c>
      <c r="X316" s="6">
        <f>IF(ISERROR(VLOOKUP($U$316,'TAR FIN'!$A$1:$O$120,15,0)),0,VLOOKUP($U$316,'TAR FIN'!$A$1:$O$120,15,0))</f>
        <v>0</v>
      </c>
      <c r="Y316" s="6">
        <f ca="1">('TUSD BE'!$AM$20+'TUSD BF'!$AM$20+'TUSD CVA'!$AM$20)*1</f>
        <v>11.452356648653195</v>
      </c>
      <c r="Z316" s="6"/>
      <c r="AA316" s="6"/>
      <c r="AB316" s="6">
        <f>$K$316*$V$316</f>
        <v>3659.674</v>
      </c>
      <c r="AC316" s="6">
        <f>$M$316*$W$316</f>
        <v>0</v>
      </c>
      <c r="AD316" s="6">
        <f>$O$316*$X$316</f>
        <v>0</v>
      </c>
      <c r="AE316" s="6">
        <f ca="1">$K$316*$Y$316</f>
        <v>4757.3089518505367</v>
      </c>
      <c r="AF316" s="6">
        <f>$M$316*$Z$316</f>
        <v>0</v>
      </c>
      <c r="AG316" s="6">
        <f>$O$316*$AA$316</f>
        <v>0</v>
      </c>
    </row>
    <row r="317" spans="1:33" ht="11.25" customHeight="1" x14ac:dyDescent="0.25">
      <c r="A317" s="4" t="s">
        <v>21</v>
      </c>
      <c r="B317" s="4" t="s">
        <v>45</v>
      </c>
      <c r="C317" s="4" t="s">
        <v>34</v>
      </c>
      <c r="D317" s="4" t="s">
        <v>40</v>
      </c>
      <c r="E317" s="4" t="s">
        <v>25</v>
      </c>
      <c r="F317" s="4" t="s">
        <v>63</v>
      </c>
      <c r="G317" s="4" t="s">
        <v>25</v>
      </c>
      <c r="H317" s="4" t="s">
        <v>35</v>
      </c>
      <c r="I317" s="5">
        <v>43739</v>
      </c>
      <c r="J317" s="6">
        <v>0</v>
      </c>
      <c r="K317" s="6">
        <v>0</v>
      </c>
      <c r="L317" s="6">
        <v>21.872</v>
      </c>
      <c r="M317" s="6">
        <v>14.80330008592</v>
      </c>
      <c r="N317" s="6">
        <v>0</v>
      </c>
      <c r="O317" s="6">
        <v>0</v>
      </c>
      <c r="P317" s="6">
        <v>0</v>
      </c>
      <c r="Q317" s="4" t="s">
        <v>60</v>
      </c>
      <c r="R317" s="4">
        <v>0</v>
      </c>
      <c r="S317" s="6">
        <v>0</v>
      </c>
      <c r="T317" s="6">
        <v>17</v>
      </c>
      <c r="U317" s="6">
        <v>0</v>
      </c>
      <c r="V317" s="6">
        <f>IF(ISERROR(VLOOKUP($S$317,'TAR FIN'!$A$1:$O$120,15,0)),0,VLOOKUP($S$317,'TAR FIN'!$A$1:$O$120,15,0))</f>
        <v>0</v>
      </c>
      <c r="W317" s="6">
        <f>IF(ISERROR(VLOOKUP($T$317,'TAR FIN'!$A$1:$O$120,15,0)),0,VLOOKUP($T$317,'TAR FIN'!$A$1:$O$120,15,0))</f>
        <v>641.99</v>
      </c>
      <c r="X317" s="6">
        <f>IF(ISERROR(VLOOKUP($U$317,'TAR FIN'!$A$1:$O$120,15,0)),0,VLOOKUP($U$317,'TAR FIN'!$A$1:$O$120,15,0))</f>
        <v>0</v>
      </c>
      <c r="Y317" s="6"/>
      <c r="Z317" s="6">
        <f ca="1">('TUSD BE'!$AM$21+'TUSD BF'!$AM$21+'TUSD CVA'!$AM$21)*1</f>
        <v>747.73363518028248</v>
      </c>
      <c r="AA317" s="6"/>
      <c r="AB317" s="6">
        <f>$K$317*$V$317</f>
        <v>0</v>
      </c>
      <c r="AC317" s="6">
        <f>$M$317*$W$317</f>
        <v>9503.5706221597811</v>
      </c>
      <c r="AD317" s="6">
        <f>$O$317*$X$317</f>
        <v>0</v>
      </c>
      <c r="AE317" s="6">
        <f>$K$317*$Y$317</f>
        <v>0</v>
      </c>
      <c r="AF317" s="6">
        <f ca="1">$M$317*$Z$317</f>
        <v>11068.92538590955</v>
      </c>
      <c r="AG317" s="6">
        <f>$O$317*$AA$317</f>
        <v>0</v>
      </c>
    </row>
    <row r="318" spans="1:33" ht="11.25" customHeight="1" x14ac:dyDescent="0.25">
      <c r="A318" s="4" t="s">
        <v>21</v>
      </c>
      <c r="B318" s="4" t="s">
        <v>45</v>
      </c>
      <c r="C318" s="4" t="s">
        <v>34</v>
      </c>
      <c r="D318" s="4" t="s">
        <v>40</v>
      </c>
      <c r="E318" s="4" t="s">
        <v>25</v>
      </c>
      <c r="F318" s="4" t="s">
        <v>63</v>
      </c>
      <c r="G318" s="4" t="s">
        <v>25</v>
      </c>
      <c r="H318" s="4" t="s">
        <v>35</v>
      </c>
      <c r="I318" s="5">
        <v>43770</v>
      </c>
      <c r="J318" s="6">
        <v>0</v>
      </c>
      <c r="K318" s="6">
        <v>0</v>
      </c>
      <c r="L318" s="6">
        <v>18.177</v>
      </c>
      <c r="M318" s="6">
        <v>12.33908618451</v>
      </c>
      <c r="N318" s="6">
        <v>0</v>
      </c>
      <c r="O318" s="6">
        <v>0</v>
      </c>
      <c r="P318" s="6">
        <v>0</v>
      </c>
      <c r="Q318" s="4" t="s">
        <v>60</v>
      </c>
      <c r="R318" s="4">
        <v>0</v>
      </c>
      <c r="S318" s="6">
        <v>0</v>
      </c>
      <c r="T318" s="6">
        <v>17</v>
      </c>
      <c r="U318" s="6">
        <v>0</v>
      </c>
      <c r="V318" s="6">
        <f>IF(ISERROR(VLOOKUP($S$318,'TAR FIN'!$A$1:$O$120,15,0)),0,VLOOKUP($S$318,'TAR FIN'!$A$1:$O$120,15,0))</f>
        <v>0</v>
      </c>
      <c r="W318" s="6">
        <f>IF(ISERROR(VLOOKUP($T$318,'TAR FIN'!$A$1:$O$120,15,0)),0,VLOOKUP($T$318,'TAR FIN'!$A$1:$O$120,15,0))</f>
        <v>641.99</v>
      </c>
      <c r="X318" s="6">
        <f>IF(ISERROR(VLOOKUP($U$318,'TAR FIN'!$A$1:$O$120,15,0)),0,VLOOKUP($U$318,'TAR FIN'!$A$1:$O$120,15,0))</f>
        <v>0</v>
      </c>
      <c r="Y318" s="6"/>
      <c r="Z318" s="6">
        <f ca="1">('TUSD BE'!$AM$21+'TUSD BF'!$AM$21+'TUSD CVA'!$AM$21)*1</f>
        <v>747.73363518028248</v>
      </c>
      <c r="AA318" s="6"/>
      <c r="AB318" s="6">
        <f>$K$318*$V$318</f>
        <v>0</v>
      </c>
      <c r="AC318" s="6">
        <f>$M$318*$W$318</f>
        <v>7921.5699395935753</v>
      </c>
      <c r="AD318" s="6">
        <f>$O$318*$X$318</f>
        <v>0</v>
      </c>
      <c r="AE318" s="6">
        <f>$K$318*$Y$318</f>
        <v>0</v>
      </c>
      <c r="AF318" s="6">
        <f ca="1">$M$318*$Z$318</f>
        <v>9226.3497675464641</v>
      </c>
      <c r="AG318" s="6">
        <f>$O$318*$AA$318</f>
        <v>0</v>
      </c>
    </row>
    <row r="319" spans="1:33" ht="11.25" customHeight="1" x14ac:dyDescent="0.25">
      <c r="A319" s="4" t="s">
        <v>21</v>
      </c>
      <c r="B319" s="4" t="s">
        <v>45</v>
      </c>
      <c r="C319" s="4" t="s">
        <v>34</v>
      </c>
      <c r="D319" s="4" t="s">
        <v>40</v>
      </c>
      <c r="E319" s="4" t="s">
        <v>25</v>
      </c>
      <c r="F319" s="4" t="s">
        <v>63</v>
      </c>
      <c r="G319" s="4" t="s">
        <v>25</v>
      </c>
      <c r="H319" s="4" t="s">
        <v>35</v>
      </c>
      <c r="I319" s="5">
        <v>43800</v>
      </c>
      <c r="J319" s="6">
        <v>0</v>
      </c>
      <c r="K319" s="6">
        <v>0</v>
      </c>
      <c r="L319" s="6">
        <v>17.957000000000001</v>
      </c>
      <c r="M319" s="6">
        <v>12.27281885329</v>
      </c>
      <c r="N319" s="6">
        <v>0</v>
      </c>
      <c r="O319" s="6">
        <v>0</v>
      </c>
      <c r="P319" s="6">
        <v>0</v>
      </c>
      <c r="Q319" s="4" t="s">
        <v>60</v>
      </c>
      <c r="R319" s="4">
        <v>0</v>
      </c>
      <c r="S319" s="6">
        <v>0</v>
      </c>
      <c r="T319" s="6">
        <v>17</v>
      </c>
      <c r="U319" s="6">
        <v>0</v>
      </c>
      <c r="V319" s="6">
        <f>IF(ISERROR(VLOOKUP($S$319,'TAR FIN'!$A$1:$O$120,15,0)),0,VLOOKUP($S$319,'TAR FIN'!$A$1:$O$120,15,0))</f>
        <v>0</v>
      </c>
      <c r="W319" s="6">
        <f>IF(ISERROR(VLOOKUP($T$319,'TAR FIN'!$A$1:$O$120,15,0)),0,VLOOKUP($T$319,'TAR FIN'!$A$1:$O$120,15,0))</f>
        <v>641.99</v>
      </c>
      <c r="X319" s="6">
        <f>IF(ISERROR(VLOOKUP($U$319,'TAR FIN'!$A$1:$O$120,15,0)),0,VLOOKUP($U$319,'TAR FIN'!$A$1:$O$120,15,0))</f>
        <v>0</v>
      </c>
      <c r="Y319" s="6"/>
      <c r="Z319" s="6">
        <f ca="1">('TUSD BE'!$AM$21+'TUSD BF'!$AM$21+'TUSD CVA'!$AM$21)*1</f>
        <v>747.73363518028248</v>
      </c>
      <c r="AA319" s="6"/>
      <c r="AB319" s="6">
        <f>$K$319*$V$319</f>
        <v>0</v>
      </c>
      <c r="AC319" s="6">
        <f>$M$319*$W$319</f>
        <v>7879.0269756236466</v>
      </c>
      <c r="AD319" s="6">
        <f>$O$319*$X$319</f>
        <v>0</v>
      </c>
      <c r="AE319" s="6">
        <f>$K$319*$Y$319</f>
        <v>0</v>
      </c>
      <c r="AF319" s="6">
        <f ca="1">$M$319*$Z$319</f>
        <v>9176.7994550796375</v>
      </c>
      <c r="AG319" s="6">
        <f>$O$319*$AA$319</f>
        <v>0</v>
      </c>
    </row>
    <row r="320" spans="1:33" ht="11.25" customHeight="1" x14ac:dyDescent="0.25">
      <c r="A320" s="4" t="s">
        <v>21</v>
      </c>
      <c r="B320" s="4" t="s">
        <v>45</v>
      </c>
      <c r="C320" s="4" t="s">
        <v>34</v>
      </c>
      <c r="D320" s="4" t="s">
        <v>40</v>
      </c>
      <c r="E320" s="4" t="s">
        <v>25</v>
      </c>
      <c r="F320" s="4" t="s">
        <v>63</v>
      </c>
      <c r="G320" s="4" t="s">
        <v>25</v>
      </c>
      <c r="H320" s="4" t="s">
        <v>35</v>
      </c>
      <c r="I320" s="5">
        <v>43831</v>
      </c>
      <c r="J320" s="6">
        <v>0</v>
      </c>
      <c r="K320" s="6">
        <v>0</v>
      </c>
      <c r="L320" s="6">
        <v>20.297999999999998</v>
      </c>
      <c r="M320" s="6">
        <v>13.883729089139999</v>
      </c>
      <c r="N320" s="6">
        <v>0</v>
      </c>
      <c r="O320" s="6">
        <v>0</v>
      </c>
      <c r="P320" s="6">
        <v>0</v>
      </c>
      <c r="Q320" s="4" t="s">
        <v>60</v>
      </c>
      <c r="R320" s="4">
        <v>0</v>
      </c>
      <c r="S320" s="6">
        <v>0</v>
      </c>
      <c r="T320" s="6">
        <v>17</v>
      </c>
      <c r="U320" s="6">
        <v>0</v>
      </c>
      <c r="V320" s="6">
        <f>IF(ISERROR(VLOOKUP($S$320,'TAR FIN'!$A$1:$O$120,15,0)),0,VLOOKUP($S$320,'TAR FIN'!$A$1:$O$120,15,0))</f>
        <v>0</v>
      </c>
      <c r="W320" s="6">
        <f>IF(ISERROR(VLOOKUP($T$320,'TAR FIN'!$A$1:$O$120,15,0)),0,VLOOKUP($T$320,'TAR FIN'!$A$1:$O$120,15,0))</f>
        <v>641.99</v>
      </c>
      <c r="X320" s="6">
        <f>IF(ISERROR(VLOOKUP($U$320,'TAR FIN'!$A$1:$O$120,15,0)),0,VLOOKUP($U$320,'TAR FIN'!$A$1:$O$120,15,0))</f>
        <v>0</v>
      </c>
      <c r="Y320" s="6"/>
      <c r="Z320" s="6">
        <f ca="1">('TUSD BE'!$AM$21+'TUSD BF'!$AM$21+'TUSD CVA'!$AM$21)*1</f>
        <v>747.73363518028248</v>
      </c>
      <c r="AA320" s="6"/>
      <c r="AB320" s="6">
        <f>$K$320*$V$320</f>
        <v>0</v>
      </c>
      <c r="AC320" s="6">
        <f>$M$320*$W$320</f>
        <v>8913.2152379369891</v>
      </c>
      <c r="AD320" s="6">
        <f>$O$320*$X$320</f>
        <v>0</v>
      </c>
      <c r="AE320" s="6">
        <f>$K$320*$Y$320</f>
        <v>0</v>
      </c>
      <c r="AF320" s="6">
        <f ca="1">$M$320*$Z$320</f>
        <v>10381.331221680884</v>
      </c>
      <c r="AG320" s="6">
        <f>$O$320*$AA$320</f>
        <v>0</v>
      </c>
    </row>
    <row r="321" spans="1:33" ht="11.25" customHeight="1" x14ac:dyDescent="0.25">
      <c r="A321" s="4" t="s">
        <v>21</v>
      </c>
      <c r="B321" s="4" t="s">
        <v>45</v>
      </c>
      <c r="C321" s="4" t="s">
        <v>34</v>
      </c>
      <c r="D321" s="4" t="s">
        <v>40</v>
      </c>
      <c r="E321" s="4" t="s">
        <v>25</v>
      </c>
      <c r="F321" s="4" t="s">
        <v>63</v>
      </c>
      <c r="G321" s="4" t="s">
        <v>25</v>
      </c>
      <c r="H321" s="4" t="s">
        <v>35</v>
      </c>
      <c r="I321" s="5">
        <v>43862</v>
      </c>
      <c r="J321" s="6">
        <v>0</v>
      </c>
      <c r="K321" s="6">
        <v>0</v>
      </c>
      <c r="L321" s="6">
        <v>16.643000000000001</v>
      </c>
      <c r="M321" s="6">
        <v>11.26438332987</v>
      </c>
      <c r="N321" s="6">
        <v>0</v>
      </c>
      <c r="O321" s="6">
        <v>0</v>
      </c>
      <c r="P321" s="6">
        <v>0</v>
      </c>
      <c r="Q321" s="4" t="s">
        <v>60</v>
      </c>
      <c r="R321" s="4">
        <v>0</v>
      </c>
      <c r="S321" s="6">
        <v>0</v>
      </c>
      <c r="T321" s="6">
        <v>17</v>
      </c>
      <c r="U321" s="6">
        <v>0</v>
      </c>
      <c r="V321" s="6">
        <f>IF(ISERROR(VLOOKUP($S$321,'TAR FIN'!$A$1:$O$120,15,0)),0,VLOOKUP($S$321,'TAR FIN'!$A$1:$O$120,15,0))</f>
        <v>0</v>
      </c>
      <c r="W321" s="6">
        <f>IF(ISERROR(VLOOKUP($T$321,'TAR FIN'!$A$1:$O$120,15,0)),0,VLOOKUP($T$321,'TAR FIN'!$A$1:$O$120,15,0))</f>
        <v>641.99</v>
      </c>
      <c r="X321" s="6">
        <f>IF(ISERROR(VLOOKUP($U$321,'TAR FIN'!$A$1:$O$120,15,0)),0,VLOOKUP($U$321,'TAR FIN'!$A$1:$O$120,15,0))</f>
        <v>0</v>
      </c>
      <c r="Y321" s="6"/>
      <c r="Z321" s="6">
        <f ca="1">('TUSD BE'!$AM$21+'TUSD BF'!$AM$21+'TUSD CVA'!$AM$21)*1</f>
        <v>747.73363518028248</v>
      </c>
      <c r="AA321" s="6"/>
      <c r="AB321" s="6">
        <f>$K$321*$V$321</f>
        <v>0</v>
      </c>
      <c r="AC321" s="6">
        <f>$M$321*$W$321</f>
        <v>7231.6214539432412</v>
      </c>
      <c r="AD321" s="6">
        <f>$O$321*$X$321</f>
        <v>0</v>
      </c>
      <c r="AE321" s="6">
        <f>$K$321*$Y$321</f>
        <v>0</v>
      </c>
      <c r="AF321" s="6">
        <f ca="1">$M$321*$Z$321</f>
        <v>8422.7582953078709</v>
      </c>
      <c r="AG321" s="6">
        <f>$O$321*$AA$321</f>
        <v>0</v>
      </c>
    </row>
    <row r="322" spans="1:33" ht="11.25" customHeight="1" x14ac:dyDescent="0.25">
      <c r="A322" s="4" t="s">
        <v>21</v>
      </c>
      <c r="B322" s="4" t="s">
        <v>45</v>
      </c>
      <c r="C322" s="4" t="s">
        <v>34</v>
      </c>
      <c r="D322" s="4" t="s">
        <v>40</v>
      </c>
      <c r="E322" s="4" t="s">
        <v>25</v>
      </c>
      <c r="F322" s="4" t="s">
        <v>63</v>
      </c>
      <c r="G322" s="4" t="s">
        <v>25</v>
      </c>
      <c r="H322" s="4" t="s">
        <v>35</v>
      </c>
      <c r="I322" s="5">
        <v>43891</v>
      </c>
      <c r="J322" s="6">
        <v>0</v>
      </c>
      <c r="K322" s="6">
        <v>0</v>
      </c>
      <c r="L322" s="6">
        <v>10.343999999999999</v>
      </c>
      <c r="M322" s="6">
        <v>6.9809970962400003</v>
      </c>
      <c r="N322" s="6">
        <v>0</v>
      </c>
      <c r="O322" s="6">
        <v>0</v>
      </c>
      <c r="P322" s="6">
        <v>0</v>
      </c>
      <c r="Q322" s="4" t="s">
        <v>60</v>
      </c>
      <c r="R322" s="4">
        <v>0</v>
      </c>
      <c r="S322" s="6">
        <v>0</v>
      </c>
      <c r="T322" s="6">
        <v>17</v>
      </c>
      <c r="U322" s="6">
        <v>0</v>
      </c>
      <c r="V322" s="6">
        <f>IF(ISERROR(VLOOKUP($S$322,'TAR FIN'!$A$1:$O$120,15,0)),0,VLOOKUP($S$322,'TAR FIN'!$A$1:$O$120,15,0))</f>
        <v>0</v>
      </c>
      <c r="W322" s="6">
        <f>IF(ISERROR(VLOOKUP($T$322,'TAR FIN'!$A$1:$O$120,15,0)),0,VLOOKUP($T$322,'TAR FIN'!$A$1:$O$120,15,0))</f>
        <v>641.99</v>
      </c>
      <c r="X322" s="6">
        <f>IF(ISERROR(VLOOKUP($U$322,'TAR FIN'!$A$1:$O$120,15,0)),0,VLOOKUP($U$322,'TAR FIN'!$A$1:$O$120,15,0))</f>
        <v>0</v>
      </c>
      <c r="Y322" s="6"/>
      <c r="Z322" s="6">
        <f ca="1">('TUSD BE'!$AM$21+'TUSD BF'!$AM$21+'TUSD CVA'!$AM$21)*1</f>
        <v>747.73363518028248</v>
      </c>
      <c r="AA322" s="6"/>
      <c r="AB322" s="6">
        <f>$K$322*$V$322</f>
        <v>0</v>
      </c>
      <c r="AC322" s="6">
        <f>$M$322*$W$322</f>
        <v>4481.7303258151178</v>
      </c>
      <c r="AD322" s="6">
        <f>$O$322*$X$322</f>
        <v>0</v>
      </c>
      <c r="AE322" s="6">
        <f>$K$322*$Y$322</f>
        <v>0</v>
      </c>
      <c r="AF322" s="6">
        <f ca="1">$M$322*$Z$322</f>
        <v>5219.9263359545321</v>
      </c>
      <c r="AG322" s="6">
        <f>$O$322*$AA$322</f>
        <v>0</v>
      </c>
    </row>
    <row r="323" spans="1:33" ht="11.25" customHeight="1" x14ac:dyDescent="0.25">
      <c r="A323" s="4" t="s">
        <v>21</v>
      </c>
      <c r="B323" s="4" t="s">
        <v>45</v>
      </c>
      <c r="C323" s="4" t="s">
        <v>34</v>
      </c>
      <c r="D323" s="4" t="s">
        <v>40</v>
      </c>
      <c r="E323" s="4" t="s">
        <v>25</v>
      </c>
      <c r="F323" s="4" t="s">
        <v>63</v>
      </c>
      <c r="G323" s="4" t="s">
        <v>25</v>
      </c>
      <c r="H323" s="4" t="s">
        <v>35</v>
      </c>
      <c r="I323" s="5">
        <v>43922</v>
      </c>
      <c r="J323" s="6">
        <v>0</v>
      </c>
      <c r="K323" s="6">
        <v>0</v>
      </c>
      <c r="L323" s="6">
        <v>0.98399999999999999</v>
      </c>
      <c r="M323" s="6">
        <v>0.66464254416000002</v>
      </c>
      <c r="N323" s="6">
        <v>0</v>
      </c>
      <c r="O323" s="6">
        <v>0</v>
      </c>
      <c r="P323" s="6">
        <v>0</v>
      </c>
      <c r="Q323" s="4" t="s">
        <v>60</v>
      </c>
      <c r="R323" s="4">
        <v>0</v>
      </c>
      <c r="S323" s="6">
        <v>0</v>
      </c>
      <c r="T323" s="6">
        <v>17</v>
      </c>
      <c r="U323" s="6">
        <v>0</v>
      </c>
      <c r="V323" s="6">
        <f>IF(ISERROR(VLOOKUP($S$323,'TAR FIN'!$A$1:$O$120,15,0)),0,VLOOKUP($S$323,'TAR FIN'!$A$1:$O$120,15,0))</f>
        <v>0</v>
      </c>
      <c r="W323" s="6">
        <f>IF(ISERROR(VLOOKUP($T$323,'TAR FIN'!$A$1:$O$120,15,0)),0,VLOOKUP($T$323,'TAR FIN'!$A$1:$O$120,15,0))</f>
        <v>641.99</v>
      </c>
      <c r="X323" s="6">
        <f>IF(ISERROR(VLOOKUP($U$323,'TAR FIN'!$A$1:$O$120,15,0)),0,VLOOKUP($U$323,'TAR FIN'!$A$1:$O$120,15,0))</f>
        <v>0</v>
      </c>
      <c r="Y323" s="6"/>
      <c r="Z323" s="6">
        <f ca="1">('TUSD BE'!$AM$21+'TUSD BF'!$AM$21+'TUSD CVA'!$AM$21)*1</f>
        <v>747.73363518028248</v>
      </c>
      <c r="AA323" s="6"/>
      <c r="AB323" s="6">
        <f>$K$323*$V$323</f>
        <v>0</v>
      </c>
      <c r="AC323" s="6">
        <f>$M$323*$W$323</f>
        <v>426.69386692527843</v>
      </c>
      <c r="AD323" s="6">
        <f>$O$323*$X$323</f>
        <v>0</v>
      </c>
      <c r="AE323" s="6">
        <f>$K$323*$Y$323</f>
        <v>0</v>
      </c>
      <c r="AF323" s="6">
        <f ca="1">$M$323*$Z$323</f>
        <v>496.97558564022825</v>
      </c>
      <c r="AG323" s="6">
        <f>$O$323*$AA$323</f>
        <v>0</v>
      </c>
    </row>
    <row r="324" spans="1:33" ht="11.25" customHeight="1" x14ac:dyDescent="0.25">
      <c r="A324" s="4" t="s">
        <v>21</v>
      </c>
      <c r="B324" s="4" t="s">
        <v>45</v>
      </c>
      <c r="C324" s="4" t="s">
        <v>34</v>
      </c>
      <c r="D324" s="4" t="s">
        <v>40</v>
      </c>
      <c r="E324" s="4" t="s">
        <v>25</v>
      </c>
      <c r="F324" s="4" t="s">
        <v>63</v>
      </c>
      <c r="G324" s="4" t="s">
        <v>25</v>
      </c>
      <c r="H324" s="4" t="s">
        <v>35</v>
      </c>
      <c r="I324" s="5">
        <v>43952</v>
      </c>
      <c r="J324" s="6">
        <v>0</v>
      </c>
      <c r="K324" s="6">
        <v>0</v>
      </c>
      <c r="L324" s="6">
        <v>1.915</v>
      </c>
      <c r="M324" s="6">
        <v>1.290534203</v>
      </c>
      <c r="N324" s="6">
        <v>0</v>
      </c>
      <c r="O324" s="6">
        <v>0</v>
      </c>
      <c r="P324" s="6">
        <v>0</v>
      </c>
      <c r="Q324" s="4" t="s">
        <v>60</v>
      </c>
      <c r="R324" s="4">
        <v>0</v>
      </c>
      <c r="S324" s="6">
        <v>0</v>
      </c>
      <c r="T324" s="6">
        <v>17</v>
      </c>
      <c r="U324" s="6">
        <v>0</v>
      </c>
      <c r="V324" s="6">
        <f>IF(ISERROR(VLOOKUP($S$324,'TAR FIN'!$A$1:$O$120,15,0)),0,VLOOKUP($S$324,'TAR FIN'!$A$1:$O$120,15,0))</f>
        <v>0</v>
      </c>
      <c r="W324" s="6">
        <f>IF(ISERROR(VLOOKUP($T$324,'TAR FIN'!$A$1:$O$120,15,0)),0,VLOOKUP($T$324,'TAR FIN'!$A$1:$O$120,15,0))</f>
        <v>641.99</v>
      </c>
      <c r="X324" s="6">
        <f>IF(ISERROR(VLOOKUP($U$324,'TAR FIN'!$A$1:$O$120,15,0)),0,VLOOKUP($U$324,'TAR FIN'!$A$1:$O$120,15,0))</f>
        <v>0</v>
      </c>
      <c r="Y324" s="6"/>
      <c r="Z324" s="6">
        <f ca="1">('TUSD BE'!$AM$21+'TUSD BF'!$AM$21+'TUSD CVA'!$AM$21)*1</f>
        <v>747.73363518028248</v>
      </c>
      <c r="AA324" s="6"/>
      <c r="AB324" s="6">
        <f>$K$324*$V$324</f>
        <v>0</v>
      </c>
      <c r="AC324" s="6">
        <f>$M$324*$W$324</f>
        <v>828.51005298397001</v>
      </c>
      <c r="AD324" s="6">
        <f>$O$324*$X$324</f>
        <v>0</v>
      </c>
      <c r="AE324" s="6">
        <f>$K$324*$Y$324</f>
        <v>0</v>
      </c>
      <c r="AF324" s="6">
        <f ca="1">$M$324*$Z$324</f>
        <v>964.97583093367859</v>
      </c>
      <c r="AG324" s="6">
        <f>$O$324*$AA$324</f>
        <v>0</v>
      </c>
    </row>
    <row r="325" spans="1:33" ht="11.25" customHeight="1" x14ac:dyDescent="0.25">
      <c r="A325" s="4" t="s">
        <v>21</v>
      </c>
      <c r="B325" s="4" t="s">
        <v>45</v>
      </c>
      <c r="C325" s="4" t="s">
        <v>34</v>
      </c>
      <c r="D325" s="4" t="s">
        <v>40</v>
      </c>
      <c r="E325" s="4" t="s">
        <v>25</v>
      </c>
      <c r="F325" s="4" t="s">
        <v>63</v>
      </c>
      <c r="G325" s="4" t="s">
        <v>25</v>
      </c>
      <c r="H325" s="4" t="s">
        <v>35</v>
      </c>
      <c r="I325" s="5">
        <v>43983</v>
      </c>
      <c r="J325" s="6">
        <v>0</v>
      </c>
      <c r="K325" s="6">
        <v>0</v>
      </c>
      <c r="L325" s="6">
        <v>1.915</v>
      </c>
      <c r="M325" s="6">
        <v>1.2913289663</v>
      </c>
      <c r="N325" s="6">
        <v>0</v>
      </c>
      <c r="O325" s="6">
        <v>0</v>
      </c>
      <c r="P325" s="6">
        <v>0</v>
      </c>
      <c r="Q325" s="4" t="s">
        <v>60</v>
      </c>
      <c r="R325" s="4">
        <v>0</v>
      </c>
      <c r="S325" s="6">
        <v>0</v>
      </c>
      <c r="T325" s="6">
        <v>17</v>
      </c>
      <c r="U325" s="6">
        <v>0</v>
      </c>
      <c r="V325" s="6">
        <f>IF(ISERROR(VLOOKUP($S$325,'TAR FIN'!$A$1:$O$120,15,0)),0,VLOOKUP($S$325,'TAR FIN'!$A$1:$O$120,15,0))</f>
        <v>0</v>
      </c>
      <c r="W325" s="6">
        <f>IF(ISERROR(VLOOKUP($T$325,'TAR FIN'!$A$1:$O$120,15,0)),0,VLOOKUP($T$325,'TAR FIN'!$A$1:$O$120,15,0))</f>
        <v>641.99</v>
      </c>
      <c r="X325" s="6">
        <f>IF(ISERROR(VLOOKUP($U$325,'TAR FIN'!$A$1:$O$120,15,0)),0,VLOOKUP($U$325,'TAR FIN'!$A$1:$O$120,15,0))</f>
        <v>0</v>
      </c>
      <c r="Y325" s="6"/>
      <c r="Z325" s="6">
        <f ca="1">('TUSD BE'!$AM$21+'TUSD BF'!$AM$21+'TUSD CVA'!$AM$21)*1</f>
        <v>747.73363518028248</v>
      </c>
      <c r="AA325" s="6"/>
      <c r="AB325" s="6">
        <f>$K$325*$V$325</f>
        <v>0</v>
      </c>
      <c r="AC325" s="6">
        <f>$M$325*$W$325</f>
        <v>829.02028307493708</v>
      </c>
      <c r="AD325" s="6">
        <f>$O$325*$X$325</f>
        <v>0</v>
      </c>
      <c r="AE325" s="6">
        <f>$K$325*$Y$325</f>
        <v>0</v>
      </c>
      <c r="AF325" s="6">
        <f ca="1">$M$325*$Z$325</f>
        <v>965.57010218509549</v>
      </c>
      <c r="AG325" s="6">
        <f>$O$325*$AA$325</f>
        <v>0</v>
      </c>
    </row>
    <row r="326" spans="1:33" ht="11.25" customHeight="1" x14ac:dyDescent="0.25">
      <c r="A326" s="4" t="s">
        <v>21</v>
      </c>
      <c r="B326" s="4" t="s">
        <v>45</v>
      </c>
      <c r="C326" s="4" t="s">
        <v>34</v>
      </c>
      <c r="D326" s="4" t="s">
        <v>40</v>
      </c>
      <c r="E326" s="4" t="s">
        <v>25</v>
      </c>
      <c r="F326" s="4" t="s">
        <v>63</v>
      </c>
      <c r="G326" s="4" t="s">
        <v>25</v>
      </c>
      <c r="H326" s="4" t="s">
        <v>35</v>
      </c>
      <c r="I326" s="5">
        <v>44013</v>
      </c>
      <c r="J326" s="6">
        <v>0</v>
      </c>
      <c r="K326" s="6">
        <v>0</v>
      </c>
      <c r="L326" s="6">
        <v>10.974</v>
      </c>
      <c r="M326" s="6">
        <v>7.6265878306800001</v>
      </c>
      <c r="N326" s="6">
        <v>0</v>
      </c>
      <c r="O326" s="6">
        <v>0</v>
      </c>
      <c r="P326" s="6">
        <v>0</v>
      </c>
      <c r="Q326" s="4" t="s">
        <v>60</v>
      </c>
      <c r="R326" s="4">
        <v>0</v>
      </c>
      <c r="S326" s="6">
        <v>0</v>
      </c>
      <c r="T326" s="6">
        <v>17</v>
      </c>
      <c r="U326" s="6">
        <v>0</v>
      </c>
      <c r="V326" s="6">
        <f>IF(ISERROR(VLOOKUP($S$326,'TAR FIN'!$A$1:$O$120,15,0)),0,VLOOKUP($S$326,'TAR FIN'!$A$1:$O$120,15,0))</f>
        <v>0</v>
      </c>
      <c r="W326" s="6">
        <f>IF(ISERROR(VLOOKUP($T$326,'TAR FIN'!$A$1:$O$120,15,0)),0,VLOOKUP($T$326,'TAR FIN'!$A$1:$O$120,15,0))</f>
        <v>641.99</v>
      </c>
      <c r="X326" s="6">
        <f>IF(ISERROR(VLOOKUP($U$326,'TAR FIN'!$A$1:$O$120,15,0)),0,VLOOKUP($U$326,'TAR FIN'!$A$1:$O$120,15,0))</f>
        <v>0</v>
      </c>
      <c r="Y326" s="6"/>
      <c r="Z326" s="6">
        <f ca="1">('TUSD BE'!$AM$21+'TUSD BF'!$AM$21+'TUSD CVA'!$AM$21)*1</f>
        <v>747.73363518028248</v>
      </c>
      <c r="AA326" s="6"/>
      <c r="AB326" s="6">
        <f>$K$326*$V$326</f>
        <v>0</v>
      </c>
      <c r="AC326" s="6">
        <f>$M$326*$W$326</f>
        <v>4896.1931214182532</v>
      </c>
      <c r="AD326" s="6">
        <f>$O$326*$X$326</f>
        <v>0</v>
      </c>
      <c r="AE326" s="6">
        <f>$K$326*$Y$326</f>
        <v>0</v>
      </c>
      <c r="AF326" s="6">
        <f ca="1">$M$326*$Z$326</f>
        <v>5702.6562426560613</v>
      </c>
      <c r="AG326" s="6">
        <f>$O$326*$AA$326</f>
        <v>0</v>
      </c>
    </row>
    <row r="327" spans="1:33" ht="11.25" customHeight="1" x14ac:dyDescent="0.25">
      <c r="A327" s="4" t="s">
        <v>21</v>
      </c>
      <c r="B327" s="4" t="s">
        <v>45</v>
      </c>
      <c r="C327" s="4" t="s">
        <v>34</v>
      </c>
      <c r="D327" s="4" t="s">
        <v>40</v>
      </c>
      <c r="E327" s="4" t="s">
        <v>25</v>
      </c>
      <c r="F327" s="4" t="s">
        <v>63</v>
      </c>
      <c r="G327" s="4" t="s">
        <v>25</v>
      </c>
      <c r="H327" s="4" t="s">
        <v>35</v>
      </c>
      <c r="I327" s="5">
        <v>44044</v>
      </c>
      <c r="J327" s="6">
        <v>0</v>
      </c>
      <c r="K327" s="6">
        <v>0</v>
      </c>
      <c r="L327" s="6">
        <v>10.456</v>
      </c>
      <c r="M327" s="6">
        <v>7.0055199999999997</v>
      </c>
      <c r="N327" s="6">
        <v>0</v>
      </c>
      <c r="O327" s="6">
        <v>0</v>
      </c>
      <c r="P327" s="6">
        <v>0</v>
      </c>
      <c r="Q327" s="4" t="s">
        <v>60</v>
      </c>
      <c r="R327" s="4">
        <v>0</v>
      </c>
      <c r="S327" s="6">
        <v>0</v>
      </c>
      <c r="T327" s="6">
        <v>17</v>
      </c>
      <c r="U327" s="6">
        <v>0</v>
      </c>
      <c r="V327" s="6">
        <f>IF(ISERROR(VLOOKUP($S$327,'TAR FIN'!$A$1:$O$120,15,0)),0,VLOOKUP($S$327,'TAR FIN'!$A$1:$O$120,15,0))</f>
        <v>0</v>
      </c>
      <c r="W327" s="6">
        <f>IF(ISERROR(VLOOKUP($T$327,'TAR FIN'!$A$1:$O$120,15,0)),0,VLOOKUP($T$327,'TAR FIN'!$A$1:$O$120,15,0))</f>
        <v>641.99</v>
      </c>
      <c r="X327" s="6">
        <f>IF(ISERROR(VLOOKUP($U$327,'TAR FIN'!$A$1:$O$120,15,0)),0,VLOOKUP($U$327,'TAR FIN'!$A$1:$O$120,15,0))</f>
        <v>0</v>
      </c>
      <c r="Y327" s="6"/>
      <c r="Z327" s="6">
        <f ca="1">('TUSD BE'!$AM$21+'TUSD BF'!$AM$21+'TUSD CVA'!$AM$21)*1</f>
        <v>747.73363518028248</v>
      </c>
      <c r="AA327" s="6"/>
      <c r="AB327" s="6">
        <f>$K$327*$V$327</f>
        <v>0</v>
      </c>
      <c r="AC327" s="6">
        <f>$M$327*$W$327</f>
        <v>4497.4737847999995</v>
      </c>
      <c r="AD327" s="6">
        <f>$O$327*$X$327</f>
        <v>0</v>
      </c>
      <c r="AE327" s="6">
        <f>$K$327*$Y$327</f>
        <v>0</v>
      </c>
      <c r="AF327" s="6">
        <f ca="1">$M$327*$Z$327</f>
        <v>5238.2629359281727</v>
      </c>
      <c r="AG327" s="6">
        <f>$O$327*$AA$327</f>
        <v>0</v>
      </c>
    </row>
    <row r="328" spans="1:33" ht="11.25" customHeight="1" x14ac:dyDescent="0.25">
      <c r="A328" s="4" t="s">
        <v>59</v>
      </c>
      <c r="B328" s="4" t="s">
        <v>45</v>
      </c>
      <c r="C328" s="4" t="s">
        <v>34</v>
      </c>
      <c r="D328" s="4" t="s">
        <v>40</v>
      </c>
      <c r="E328" s="4" t="s">
        <v>25</v>
      </c>
      <c r="F328" s="4" t="s">
        <v>63</v>
      </c>
      <c r="G328" s="4" t="s">
        <v>25</v>
      </c>
      <c r="H328" s="4" t="s">
        <v>35</v>
      </c>
      <c r="I328" s="5">
        <v>44075</v>
      </c>
      <c r="J328" s="6">
        <v>0</v>
      </c>
      <c r="K328" s="6">
        <v>0</v>
      </c>
      <c r="L328" s="6">
        <v>10.456</v>
      </c>
      <c r="M328" s="6">
        <v>7.0055199999999997</v>
      </c>
      <c r="N328" s="6">
        <v>0</v>
      </c>
      <c r="O328" s="6">
        <v>0</v>
      </c>
      <c r="P328" s="6">
        <v>0</v>
      </c>
      <c r="Q328" s="4" t="s">
        <v>60</v>
      </c>
      <c r="R328" s="4">
        <v>0</v>
      </c>
      <c r="S328" s="6">
        <v>0</v>
      </c>
      <c r="T328" s="6">
        <v>17</v>
      </c>
      <c r="U328" s="6">
        <v>0</v>
      </c>
      <c r="V328" s="6">
        <f>IF(ISERROR(VLOOKUP($S$328,'TAR FIN'!$A$1:$O$120,15,0)),0,VLOOKUP($S$328,'TAR FIN'!$A$1:$O$120,15,0))</f>
        <v>0</v>
      </c>
      <c r="W328" s="6">
        <f>IF(ISERROR(VLOOKUP($T$328,'TAR FIN'!$A$1:$O$120,15,0)),0,VLOOKUP($T$328,'TAR FIN'!$A$1:$O$120,15,0))</f>
        <v>641.99</v>
      </c>
      <c r="X328" s="6">
        <f>IF(ISERROR(VLOOKUP($U$328,'TAR FIN'!$A$1:$O$120,15,0)),0,VLOOKUP($U$328,'TAR FIN'!$A$1:$O$120,15,0))</f>
        <v>0</v>
      </c>
      <c r="Y328" s="6"/>
      <c r="Z328" s="6">
        <f ca="1">('TUSD BE'!$AM$21+'TUSD BF'!$AM$21+'TUSD CVA'!$AM$21)*1</f>
        <v>747.73363518028248</v>
      </c>
      <c r="AA328" s="6"/>
      <c r="AB328" s="6">
        <f>$K$328*$V$328</f>
        <v>0</v>
      </c>
      <c r="AC328" s="6">
        <f>$M$328*$W$328</f>
        <v>4497.4737847999995</v>
      </c>
      <c r="AD328" s="6">
        <f>$O$328*$X$328</f>
        <v>0</v>
      </c>
      <c r="AE328" s="6">
        <f>$K$328*$Y$328</f>
        <v>0</v>
      </c>
      <c r="AF328" s="6">
        <f ca="1">$M$328*$Z$328</f>
        <v>5238.2629359281727</v>
      </c>
      <c r="AG328" s="6">
        <f>$O$328*$AA$328</f>
        <v>0</v>
      </c>
    </row>
    <row r="329" spans="1:33" ht="11.25" customHeight="1" x14ac:dyDescent="0.25">
      <c r="A329" s="4" t="s">
        <v>21</v>
      </c>
      <c r="B329" s="4" t="s">
        <v>45</v>
      </c>
      <c r="C329" s="4" t="s">
        <v>34</v>
      </c>
      <c r="D329" s="4" t="s">
        <v>52</v>
      </c>
      <c r="E329" s="4" t="s">
        <v>53</v>
      </c>
      <c r="F329" s="4" t="s">
        <v>25</v>
      </c>
      <c r="G329" s="4" t="s">
        <v>25</v>
      </c>
      <c r="H329" s="4" t="s">
        <v>36</v>
      </c>
      <c r="I329" s="5">
        <v>43739</v>
      </c>
      <c r="J329" s="6">
        <v>0</v>
      </c>
      <c r="K329" s="71">
        <v>0</v>
      </c>
      <c r="L329" s="6">
        <v>466.53899999999999</v>
      </c>
      <c r="M329" s="71">
        <v>466.53899999999999</v>
      </c>
      <c r="N329" s="6">
        <v>466.53899999999999</v>
      </c>
      <c r="O329" s="71">
        <v>466.53899999999999</v>
      </c>
      <c r="P329" s="6">
        <v>0</v>
      </c>
      <c r="Q329" s="4" t="s">
        <v>26</v>
      </c>
      <c r="R329" s="4">
        <v>0</v>
      </c>
      <c r="S329" s="6">
        <v>0</v>
      </c>
      <c r="T329" s="6">
        <v>18</v>
      </c>
      <c r="U329" s="6">
        <v>80</v>
      </c>
      <c r="V329" s="71">
        <f>IF(ISERROR(VLOOKUP($S$329,'TAR FIN'!$A$1:$O$120,15,0)),0,VLOOKUP($S$329,'TAR FIN'!$A$1:$O$120,15,0))</f>
        <v>0</v>
      </c>
      <c r="W329" s="71">
        <f>IF(ISERROR(VLOOKUP($T$329,'TAR FIN'!$A$1:$O$120,15,0)),0,VLOOKUP($T$329,'TAR FIN'!$A$1:$O$120,15,0))*(1-0.12)</f>
        <v>74.316000000000003</v>
      </c>
      <c r="X329" s="71">
        <f>IF(ISERROR(VLOOKUP($U$329,'TAR FIN'!$A$1:$O$120,15,0)),0,VLOOKUP($U$329,'TAR FIN'!$A$1:$O$120,15,0))*(1-0.12)</f>
        <v>225.61439999999999</v>
      </c>
      <c r="Y329" s="71"/>
      <c r="Z329" s="71">
        <f ca="1">('TUSD BE'!$AM$22+'TUSD BF'!$AM$22+'TUSD CVA'!$AM$22)*1*(1-0.09)</f>
        <v>79.642619388381775</v>
      </c>
      <c r="AA329" s="71">
        <f>('TE BE'!$AA$8+'TE BF'!$AA$8+'TE CVA'!$AA$8)*1*(1-0.09)</f>
        <v>210.05913056249776</v>
      </c>
      <c r="AB329" s="6">
        <f>$K$329*$V$329</f>
        <v>0</v>
      </c>
      <c r="AC329" s="6">
        <f>$M$329*$W$329</f>
        <v>34671.312323999999</v>
      </c>
      <c r="AD329" s="6">
        <f>$O$329*$X$329</f>
        <v>105257.9165616</v>
      </c>
      <c r="AE329" s="6">
        <f>$K$329*$Y$329</f>
        <v>0</v>
      </c>
      <c r="AF329" s="6">
        <f ca="1">$M$329*$Z$329</f>
        <v>37156.388006836241</v>
      </c>
      <c r="AG329" s="6">
        <f>$O$329*$AA$329</f>
        <v>98000.776713497136</v>
      </c>
    </row>
    <row r="330" spans="1:33" ht="11.25" customHeight="1" x14ac:dyDescent="0.25">
      <c r="A330" s="4" t="s">
        <v>21</v>
      </c>
      <c r="B330" s="4" t="s">
        <v>45</v>
      </c>
      <c r="C330" s="4" t="s">
        <v>34</v>
      </c>
      <c r="D330" s="4" t="s">
        <v>52</v>
      </c>
      <c r="E330" s="4" t="s">
        <v>53</v>
      </c>
      <c r="F330" s="4" t="s">
        <v>25</v>
      </c>
      <c r="G330" s="4" t="s">
        <v>25</v>
      </c>
      <c r="H330" s="4" t="s">
        <v>36</v>
      </c>
      <c r="I330" s="5">
        <v>43770</v>
      </c>
      <c r="J330" s="6">
        <v>0</v>
      </c>
      <c r="K330" s="71">
        <v>0</v>
      </c>
      <c r="L330" s="6">
        <v>473.21</v>
      </c>
      <c r="M330" s="71">
        <v>473.21</v>
      </c>
      <c r="N330" s="6">
        <v>473.21</v>
      </c>
      <c r="O330" s="71">
        <v>473.21</v>
      </c>
      <c r="P330" s="6">
        <v>0</v>
      </c>
      <c r="Q330" s="4" t="s">
        <v>26</v>
      </c>
      <c r="R330" s="4">
        <v>0</v>
      </c>
      <c r="S330" s="6">
        <v>0</v>
      </c>
      <c r="T330" s="6">
        <v>18</v>
      </c>
      <c r="U330" s="6">
        <v>80</v>
      </c>
      <c r="V330" s="71">
        <f>IF(ISERROR(VLOOKUP($S$330,'TAR FIN'!$A$1:$O$120,15,0)),0,VLOOKUP($S$330,'TAR FIN'!$A$1:$O$120,15,0))</f>
        <v>0</v>
      </c>
      <c r="W330" s="71">
        <f>IF(ISERROR(VLOOKUP($T$330,'TAR FIN'!$A$1:$O$120,15,0)),0,VLOOKUP($T$330,'TAR FIN'!$A$1:$O$120,15,0))*(1-0.12)</f>
        <v>74.316000000000003</v>
      </c>
      <c r="X330" s="71">
        <f>IF(ISERROR(VLOOKUP($U$330,'TAR FIN'!$A$1:$O$120,15,0)),0,VLOOKUP($U$330,'TAR FIN'!$A$1:$O$120,15,0))*(1-0.12)</f>
        <v>225.61439999999999</v>
      </c>
      <c r="Y330" s="71"/>
      <c r="Z330" s="71">
        <f ca="1">('TUSD BE'!$AM$22+'TUSD BF'!$AM$22+'TUSD CVA'!$AM$22)*1*(1-0.09)</f>
        <v>79.642619388381775</v>
      </c>
      <c r="AA330" s="71">
        <f>('TE BE'!$AA$8+'TE BF'!$AA$8+'TE CVA'!$AA$8)*1*(1-0.09)</f>
        <v>210.05913056249776</v>
      </c>
      <c r="AB330" s="6">
        <f>$K$330*$V$330</f>
        <v>0</v>
      </c>
      <c r="AC330" s="6">
        <f>$M$330*$W$330</f>
        <v>35167.074359999999</v>
      </c>
      <c r="AD330" s="6">
        <f>$O$330*$X$330</f>
        <v>106762.99022399999</v>
      </c>
      <c r="AE330" s="6">
        <f>$K$330*$Y$330</f>
        <v>0</v>
      </c>
      <c r="AF330" s="6">
        <f ca="1">$M$330*$Z$330</f>
        <v>37687.683920776137</v>
      </c>
      <c r="AG330" s="6">
        <f>$O$330*$AA$330</f>
        <v>99402.081173479557</v>
      </c>
    </row>
    <row r="331" spans="1:33" ht="11.25" customHeight="1" x14ac:dyDescent="0.25">
      <c r="A331" s="4" t="s">
        <v>21</v>
      </c>
      <c r="B331" s="4" t="s">
        <v>45</v>
      </c>
      <c r="C331" s="4" t="s">
        <v>34</v>
      </c>
      <c r="D331" s="4" t="s">
        <v>52</v>
      </c>
      <c r="E331" s="4" t="s">
        <v>53</v>
      </c>
      <c r="F331" s="4" t="s">
        <v>25</v>
      </c>
      <c r="G331" s="4" t="s">
        <v>25</v>
      </c>
      <c r="H331" s="4" t="s">
        <v>36</v>
      </c>
      <c r="I331" s="5">
        <v>43800</v>
      </c>
      <c r="J331" s="6">
        <v>0</v>
      </c>
      <c r="K331" s="71">
        <v>0</v>
      </c>
      <c r="L331" s="6">
        <v>459.21100000000001</v>
      </c>
      <c r="M331" s="71">
        <v>459.21100000000001</v>
      </c>
      <c r="N331" s="6">
        <v>459.21100000000001</v>
      </c>
      <c r="O331" s="71">
        <v>459.21100000000001</v>
      </c>
      <c r="P331" s="6">
        <v>0</v>
      </c>
      <c r="Q331" s="4" t="s">
        <v>26</v>
      </c>
      <c r="R331" s="4">
        <v>0</v>
      </c>
      <c r="S331" s="6">
        <v>0</v>
      </c>
      <c r="T331" s="6">
        <v>18</v>
      </c>
      <c r="U331" s="6">
        <v>80</v>
      </c>
      <c r="V331" s="71">
        <f>IF(ISERROR(VLOOKUP($S$331,'TAR FIN'!$A$1:$O$120,15,0)),0,VLOOKUP($S$331,'TAR FIN'!$A$1:$O$120,15,0))</f>
        <v>0</v>
      </c>
      <c r="W331" s="71">
        <f>IF(ISERROR(VLOOKUP($T$331,'TAR FIN'!$A$1:$O$120,15,0)),0,VLOOKUP($T$331,'TAR FIN'!$A$1:$O$120,15,0))*(1-0.12)</f>
        <v>74.316000000000003</v>
      </c>
      <c r="X331" s="71">
        <f>IF(ISERROR(VLOOKUP($U$331,'TAR FIN'!$A$1:$O$120,15,0)),0,VLOOKUP($U$331,'TAR FIN'!$A$1:$O$120,15,0))*(1-0.12)</f>
        <v>225.61439999999999</v>
      </c>
      <c r="Y331" s="71"/>
      <c r="Z331" s="71">
        <f ca="1">('TUSD BE'!$AM$22+'TUSD BF'!$AM$22+'TUSD CVA'!$AM$22)*1*(1-0.09)</f>
        <v>79.642619388381775</v>
      </c>
      <c r="AA331" s="71">
        <f>('TE BE'!$AA$8+'TE BF'!$AA$8+'TE CVA'!$AA$8)*1*(1-0.09)</f>
        <v>210.05913056249776</v>
      </c>
      <c r="AB331" s="6">
        <f>$K$331*$V$331</f>
        <v>0</v>
      </c>
      <c r="AC331" s="6">
        <f>$M$331*$W$331</f>
        <v>34126.724676000005</v>
      </c>
      <c r="AD331" s="6">
        <f>$O$331*$X$331</f>
        <v>103604.6142384</v>
      </c>
      <c r="AE331" s="6">
        <f>$K$331*$Y$331</f>
        <v>0</v>
      </c>
      <c r="AF331" s="6">
        <f ca="1">$M$331*$Z$331</f>
        <v>36572.766891958185</v>
      </c>
      <c r="AG331" s="6">
        <f>$O$331*$AA$331</f>
        <v>96461.463404735157</v>
      </c>
    </row>
    <row r="332" spans="1:33" ht="11.25" customHeight="1" x14ac:dyDescent="0.25">
      <c r="A332" s="4" t="s">
        <v>21</v>
      </c>
      <c r="B332" s="4" t="s">
        <v>45</v>
      </c>
      <c r="C332" s="4" t="s">
        <v>34</v>
      </c>
      <c r="D332" s="4" t="s">
        <v>52</v>
      </c>
      <c r="E332" s="4" t="s">
        <v>53</v>
      </c>
      <c r="F332" s="4" t="s">
        <v>25</v>
      </c>
      <c r="G332" s="4" t="s">
        <v>25</v>
      </c>
      <c r="H332" s="4" t="s">
        <v>36</v>
      </c>
      <c r="I332" s="5">
        <v>43831</v>
      </c>
      <c r="J332" s="6">
        <v>0</v>
      </c>
      <c r="K332" s="71">
        <v>0</v>
      </c>
      <c r="L332" s="6">
        <v>478.49099999999999</v>
      </c>
      <c r="M332" s="71">
        <v>478.49099999999999</v>
      </c>
      <c r="N332" s="6">
        <v>478.49099999999999</v>
      </c>
      <c r="O332" s="71">
        <v>478.49099999999999</v>
      </c>
      <c r="P332" s="6">
        <v>0</v>
      </c>
      <c r="Q332" s="4" t="s">
        <v>26</v>
      </c>
      <c r="R332" s="4">
        <v>0</v>
      </c>
      <c r="S332" s="6">
        <v>0</v>
      </c>
      <c r="T332" s="6">
        <v>18</v>
      </c>
      <c r="U332" s="6">
        <v>80</v>
      </c>
      <c r="V332" s="71">
        <f>IF(ISERROR(VLOOKUP($S$332,'TAR FIN'!$A$1:$O$120,15,0)),0,VLOOKUP($S$332,'TAR FIN'!$A$1:$O$120,15,0))</f>
        <v>0</v>
      </c>
      <c r="W332" s="71">
        <f>IF(ISERROR(VLOOKUP($T$332,'TAR FIN'!$A$1:$O$120,15,0)),0,VLOOKUP($T$332,'TAR FIN'!$A$1:$O$120,15,0))*(1-0.12)</f>
        <v>74.316000000000003</v>
      </c>
      <c r="X332" s="71">
        <f>IF(ISERROR(VLOOKUP($U$332,'TAR FIN'!$A$1:$O$120,15,0)),0,VLOOKUP($U$332,'TAR FIN'!$A$1:$O$120,15,0))*(1-0.12)</f>
        <v>225.61439999999999</v>
      </c>
      <c r="Y332" s="71"/>
      <c r="Z332" s="71">
        <f ca="1">('TUSD BE'!$AM$22+'TUSD BF'!$AM$22+'TUSD CVA'!$AM$22)*1*(1-0.09)</f>
        <v>79.642619388381775</v>
      </c>
      <c r="AA332" s="71">
        <f>('TE BE'!$AA$8+'TE BF'!$AA$8+'TE CVA'!$AA$8)*1*(1-0.09)</f>
        <v>210.05913056249776</v>
      </c>
      <c r="AB332" s="6">
        <f>$K$332*$V$332</f>
        <v>0</v>
      </c>
      <c r="AC332" s="6">
        <f>$M$332*$W$332</f>
        <v>35559.537155999999</v>
      </c>
      <c r="AD332" s="6">
        <f>$O$332*$X$332</f>
        <v>107954.45987039999</v>
      </c>
      <c r="AE332" s="6">
        <f>$K$332*$Y$332</f>
        <v>0</v>
      </c>
      <c r="AF332" s="6">
        <f ca="1">$M$332*$Z$332</f>
        <v>38108.276593766182</v>
      </c>
      <c r="AG332" s="6">
        <f>$O$332*$AA$332</f>
        <v>100511.40344198012</v>
      </c>
    </row>
    <row r="333" spans="1:33" ht="11.25" customHeight="1" x14ac:dyDescent="0.25">
      <c r="A333" s="4" t="s">
        <v>21</v>
      </c>
      <c r="B333" s="4" t="s">
        <v>45</v>
      </c>
      <c r="C333" s="4" t="s">
        <v>34</v>
      </c>
      <c r="D333" s="4" t="s">
        <v>52</v>
      </c>
      <c r="E333" s="4" t="s">
        <v>53</v>
      </c>
      <c r="F333" s="4" t="s">
        <v>25</v>
      </c>
      <c r="G333" s="4" t="s">
        <v>25</v>
      </c>
      <c r="H333" s="4" t="s">
        <v>36</v>
      </c>
      <c r="I333" s="5">
        <v>43862</v>
      </c>
      <c r="J333" s="6">
        <v>0</v>
      </c>
      <c r="K333" s="71">
        <v>0</v>
      </c>
      <c r="L333" s="6">
        <v>469.49799999999999</v>
      </c>
      <c r="M333" s="71">
        <v>469.49799999999999</v>
      </c>
      <c r="N333" s="6">
        <v>469.49799999999999</v>
      </c>
      <c r="O333" s="71">
        <v>469.49799999999999</v>
      </c>
      <c r="P333" s="6">
        <v>0</v>
      </c>
      <c r="Q333" s="4" t="s">
        <v>26</v>
      </c>
      <c r="R333" s="4">
        <v>0</v>
      </c>
      <c r="S333" s="6">
        <v>0</v>
      </c>
      <c r="T333" s="6">
        <v>18</v>
      </c>
      <c r="U333" s="6">
        <v>80</v>
      </c>
      <c r="V333" s="71">
        <f>IF(ISERROR(VLOOKUP($S$333,'TAR FIN'!$A$1:$O$120,15,0)),0,VLOOKUP($S$333,'TAR FIN'!$A$1:$O$120,15,0))</f>
        <v>0</v>
      </c>
      <c r="W333" s="71">
        <f>IF(ISERROR(VLOOKUP($T$333,'TAR FIN'!$A$1:$O$120,15,0)),0,VLOOKUP($T$333,'TAR FIN'!$A$1:$O$120,15,0))*(1-0.12)</f>
        <v>74.316000000000003</v>
      </c>
      <c r="X333" s="71">
        <f>IF(ISERROR(VLOOKUP($U$333,'TAR FIN'!$A$1:$O$120,15,0)),0,VLOOKUP($U$333,'TAR FIN'!$A$1:$O$120,15,0))*(1-0.12)</f>
        <v>225.61439999999999</v>
      </c>
      <c r="Y333" s="71"/>
      <c r="Z333" s="71">
        <f ca="1">('TUSD BE'!$AM$22+'TUSD BF'!$AM$22+'TUSD CVA'!$AM$22)*1*(1-0.09)</f>
        <v>79.642619388381775</v>
      </c>
      <c r="AA333" s="71">
        <f>('TE BE'!$AA$8+'TE BF'!$AA$8+'TE CVA'!$AA$8)*1*(1-0.09)</f>
        <v>210.05913056249776</v>
      </c>
      <c r="AB333" s="6">
        <f>$K$333*$V$333</f>
        <v>0</v>
      </c>
      <c r="AC333" s="6">
        <f>$M$333*$W$333</f>
        <v>34891.213367999997</v>
      </c>
      <c r="AD333" s="6">
        <f>$O$333*$X$333</f>
        <v>105925.50957119999</v>
      </c>
      <c r="AE333" s="6">
        <f>$K$333*$Y$333</f>
        <v>0</v>
      </c>
      <c r="AF333" s="6">
        <f ca="1">$M$333*$Z$333</f>
        <v>37392.050517606469</v>
      </c>
      <c r="AG333" s="6">
        <f>$O$333*$AA$333</f>
        <v>98622.341680831567</v>
      </c>
    </row>
    <row r="334" spans="1:33" ht="11.25" customHeight="1" x14ac:dyDescent="0.25">
      <c r="A334" s="4" t="s">
        <v>21</v>
      </c>
      <c r="B334" s="4" t="s">
        <v>45</v>
      </c>
      <c r="C334" s="4" t="s">
        <v>34</v>
      </c>
      <c r="D334" s="4" t="s">
        <v>52</v>
      </c>
      <c r="E334" s="4" t="s">
        <v>53</v>
      </c>
      <c r="F334" s="4" t="s">
        <v>25</v>
      </c>
      <c r="G334" s="4" t="s">
        <v>25</v>
      </c>
      <c r="H334" s="4" t="s">
        <v>36</v>
      </c>
      <c r="I334" s="5">
        <v>43891</v>
      </c>
      <c r="J334" s="6">
        <v>0</v>
      </c>
      <c r="K334" s="71">
        <v>0</v>
      </c>
      <c r="L334" s="6">
        <v>399.048</v>
      </c>
      <c r="M334" s="71">
        <v>399.048</v>
      </c>
      <c r="N334" s="6">
        <v>399.048</v>
      </c>
      <c r="O334" s="71">
        <v>399.048</v>
      </c>
      <c r="P334" s="6">
        <v>0</v>
      </c>
      <c r="Q334" s="4" t="s">
        <v>26</v>
      </c>
      <c r="R334" s="4">
        <v>0</v>
      </c>
      <c r="S334" s="6">
        <v>0</v>
      </c>
      <c r="T334" s="6">
        <v>18</v>
      </c>
      <c r="U334" s="6">
        <v>80</v>
      </c>
      <c r="V334" s="71">
        <f>IF(ISERROR(VLOOKUP($S$334,'TAR FIN'!$A$1:$O$120,15,0)),0,VLOOKUP($S$334,'TAR FIN'!$A$1:$O$120,15,0))</f>
        <v>0</v>
      </c>
      <c r="W334" s="71">
        <f>IF(ISERROR(VLOOKUP($T$334,'TAR FIN'!$A$1:$O$120,15,0)),0,VLOOKUP($T$334,'TAR FIN'!$A$1:$O$120,15,0))*(1-0.12)</f>
        <v>74.316000000000003</v>
      </c>
      <c r="X334" s="71">
        <f>IF(ISERROR(VLOOKUP($U$334,'TAR FIN'!$A$1:$O$120,15,0)),0,VLOOKUP($U$334,'TAR FIN'!$A$1:$O$120,15,0))*(1-0.12)</f>
        <v>225.61439999999999</v>
      </c>
      <c r="Y334" s="71"/>
      <c r="Z334" s="71">
        <f ca="1">('TUSD BE'!$AM$22+'TUSD BF'!$AM$22+'TUSD CVA'!$AM$22)*1*(1-0.09)</f>
        <v>79.642619388381775</v>
      </c>
      <c r="AA334" s="71">
        <f>('TE BE'!$AA$8+'TE BF'!$AA$8+'TE CVA'!$AA$8)*1*(1-0.09)</f>
        <v>210.05913056249776</v>
      </c>
      <c r="AB334" s="6">
        <f>$K$334*$V$334</f>
        <v>0</v>
      </c>
      <c r="AC334" s="6">
        <f>$M$334*$W$334</f>
        <v>29655.651168</v>
      </c>
      <c r="AD334" s="6">
        <f>$O$334*$X$334</f>
        <v>90030.975091200002</v>
      </c>
      <c r="AE334" s="6">
        <f>$K$334*$Y$334</f>
        <v>0</v>
      </c>
      <c r="AF334" s="6">
        <f ca="1">$M$334*$Z$334</f>
        <v>31781.22798169497</v>
      </c>
      <c r="AG334" s="6">
        <f>$O$334*$AA$334</f>
        <v>83823.675932703598</v>
      </c>
    </row>
    <row r="335" spans="1:33" ht="11.25" customHeight="1" x14ac:dyDescent="0.25">
      <c r="A335" s="4" t="s">
        <v>21</v>
      </c>
      <c r="B335" s="4" t="s">
        <v>45</v>
      </c>
      <c r="C335" s="4" t="s">
        <v>34</v>
      </c>
      <c r="D335" s="4" t="s">
        <v>52</v>
      </c>
      <c r="E335" s="4" t="s">
        <v>53</v>
      </c>
      <c r="F335" s="4" t="s">
        <v>25</v>
      </c>
      <c r="G335" s="4" t="s">
        <v>25</v>
      </c>
      <c r="H335" s="4" t="s">
        <v>36</v>
      </c>
      <c r="I335" s="5">
        <v>43922</v>
      </c>
      <c r="J335" s="6">
        <v>0</v>
      </c>
      <c r="K335" s="71">
        <v>0</v>
      </c>
      <c r="L335" s="6">
        <v>423.98899999999998</v>
      </c>
      <c r="M335" s="71">
        <v>423.98899999999998</v>
      </c>
      <c r="N335" s="6">
        <v>423.98899999999998</v>
      </c>
      <c r="O335" s="71">
        <v>423.98899999999998</v>
      </c>
      <c r="P335" s="6">
        <v>0</v>
      </c>
      <c r="Q335" s="4" t="s">
        <v>26</v>
      </c>
      <c r="R335" s="4">
        <v>0</v>
      </c>
      <c r="S335" s="6">
        <v>0</v>
      </c>
      <c r="T335" s="6">
        <v>18</v>
      </c>
      <c r="U335" s="6">
        <v>80</v>
      </c>
      <c r="V335" s="71">
        <f>IF(ISERROR(VLOOKUP($S$335,'TAR FIN'!$A$1:$O$120,15,0)),0,VLOOKUP($S$335,'TAR FIN'!$A$1:$O$120,15,0))</f>
        <v>0</v>
      </c>
      <c r="W335" s="71">
        <f>IF(ISERROR(VLOOKUP($T$335,'TAR FIN'!$A$1:$O$120,15,0)),0,VLOOKUP($T$335,'TAR FIN'!$A$1:$O$120,15,0))*(1-0.12)</f>
        <v>74.316000000000003</v>
      </c>
      <c r="X335" s="71">
        <f>IF(ISERROR(VLOOKUP($U$335,'TAR FIN'!$A$1:$O$120,15,0)),0,VLOOKUP($U$335,'TAR FIN'!$A$1:$O$120,15,0))*(1-0.12)</f>
        <v>225.61439999999999</v>
      </c>
      <c r="Y335" s="71"/>
      <c r="Z335" s="71">
        <f ca="1">('TUSD BE'!$AM$22+'TUSD BF'!$AM$22+'TUSD CVA'!$AM$22)*1*(1-0.09)</f>
        <v>79.642619388381775</v>
      </c>
      <c r="AA335" s="71">
        <f>('TE BE'!$AA$8+'TE BF'!$AA$8+'TE CVA'!$AA$8)*1*(1-0.09)</f>
        <v>210.05913056249776</v>
      </c>
      <c r="AB335" s="6">
        <f>$K$335*$V$335</f>
        <v>0</v>
      </c>
      <c r="AC335" s="6">
        <f>$M$335*$W$335</f>
        <v>31509.166524</v>
      </c>
      <c r="AD335" s="6">
        <f>$O$335*$X$335</f>
        <v>95658.023841599992</v>
      </c>
      <c r="AE335" s="6">
        <f>$K$335*$Y$335</f>
        <v>0</v>
      </c>
      <c r="AF335" s="6">
        <f ca="1">$M$335*$Z$335</f>
        <v>33767.594551860595</v>
      </c>
      <c r="AG335" s="6">
        <f>$O$335*$AA$335</f>
        <v>89062.760708062851</v>
      </c>
    </row>
    <row r="336" spans="1:33" ht="11.25" customHeight="1" x14ac:dyDescent="0.25">
      <c r="A336" s="4" t="s">
        <v>21</v>
      </c>
      <c r="B336" s="4" t="s">
        <v>45</v>
      </c>
      <c r="C336" s="4" t="s">
        <v>34</v>
      </c>
      <c r="D336" s="4" t="s">
        <v>52</v>
      </c>
      <c r="E336" s="4" t="s">
        <v>53</v>
      </c>
      <c r="F336" s="4" t="s">
        <v>25</v>
      </c>
      <c r="G336" s="4" t="s">
        <v>25</v>
      </c>
      <c r="H336" s="4" t="s">
        <v>36</v>
      </c>
      <c r="I336" s="5">
        <v>43952</v>
      </c>
      <c r="J336" s="6">
        <v>0</v>
      </c>
      <c r="K336" s="71">
        <v>0</v>
      </c>
      <c r="L336" s="6">
        <v>393.7</v>
      </c>
      <c r="M336" s="71">
        <v>393.7</v>
      </c>
      <c r="N336" s="6">
        <v>393.7</v>
      </c>
      <c r="O336" s="71">
        <v>393.7</v>
      </c>
      <c r="P336" s="6">
        <v>0</v>
      </c>
      <c r="Q336" s="4" t="s">
        <v>26</v>
      </c>
      <c r="R336" s="4">
        <v>0</v>
      </c>
      <c r="S336" s="6">
        <v>0</v>
      </c>
      <c r="T336" s="6">
        <v>18</v>
      </c>
      <c r="U336" s="6">
        <v>80</v>
      </c>
      <c r="V336" s="71">
        <f>IF(ISERROR(VLOOKUP($S$336,'TAR FIN'!$A$1:$O$120,15,0)),0,VLOOKUP($S$336,'TAR FIN'!$A$1:$O$120,15,0))</f>
        <v>0</v>
      </c>
      <c r="W336" s="71">
        <f>IF(ISERROR(VLOOKUP($T$336,'TAR FIN'!$A$1:$O$120,15,0)),0,VLOOKUP($T$336,'TAR FIN'!$A$1:$O$120,15,0))*(1-0.12)</f>
        <v>74.316000000000003</v>
      </c>
      <c r="X336" s="71">
        <f>IF(ISERROR(VLOOKUP($U$336,'TAR FIN'!$A$1:$O$120,15,0)),0,VLOOKUP($U$336,'TAR FIN'!$A$1:$O$120,15,0))*(1-0.12)</f>
        <v>225.61439999999999</v>
      </c>
      <c r="Y336" s="71"/>
      <c r="Z336" s="71">
        <f ca="1">('TUSD BE'!$AM$22+'TUSD BF'!$AM$22+'TUSD CVA'!$AM$22)*1*(1-0.09)</f>
        <v>79.642619388381775</v>
      </c>
      <c r="AA336" s="71">
        <f>('TE BE'!$AA$8+'TE BF'!$AA$8+'TE CVA'!$AA$8)*1*(1-0.09)</f>
        <v>210.05913056249776</v>
      </c>
      <c r="AB336" s="6">
        <f>$K$336*$V$336</f>
        <v>0</v>
      </c>
      <c r="AC336" s="6">
        <f>$M$336*$W$336</f>
        <v>29258.209200000001</v>
      </c>
      <c r="AD336" s="6">
        <f>$O$336*$X$336</f>
        <v>88824.389279999989</v>
      </c>
      <c r="AE336" s="6">
        <f>$K$336*$Y$336</f>
        <v>0</v>
      </c>
      <c r="AF336" s="6">
        <f ca="1">$M$336*$Z$336</f>
        <v>31355.299253205903</v>
      </c>
      <c r="AG336" s="6">
        <f>$O$336*$AA$336</f>
        <v>82700.279702455358</v>
      </c>
    </row>
    <row r="337" spans="1:33" ht="11.25" customHeight="1" x14ac:dyDescent="0.25">
      <c r="A337" s="4" t="s">
        <v>21</v>
      </c>
      <c r="B337" s="4" t="s">
        <v>45</v>
      </c>
      <c r="C337" s="4" t="s">
        <v>34</v>
      </c>
      <c r="D337" s="4" t="s">
        <v>52</v>
      </c>
      <c r="E337" s="4" t="s">
        <v>53</v>
      </c>
      <c r="F337" s="4" t="s">
        <v>25</v>
      </c>
      <c r="G337" s="4" t="s">
        <v>25</v>
      </c>
      <c r="H337" s="4" t="s">
        <v>36</v>
      </c>
      <c r="I337" s="5">
        <v>43983</v>
      </c>
      <c r="J337" s="6">
        <v>0</v>
      </c>
      <c r="K337" s="71">
        <v>0</v>
      </c>
      <c r="L337" s="6">
        <v>434.92599999999999</v>
      </c>
      <c r="M337" s="71">
        <v>434.92599999999999</v>
      </c>
      <c r="N337" s="6">
        <v>434.92599999999999</v>
      </c>
      <c r="O337" s="71">
        <v>434.92599999999999</v>
      </c>
      <c r="P337" s="6">
        <v>0</v>
      </c>
      <c r="Q337" s="4" t="s">
        <v>26</v>
      </c>
      <c r="R337" s="4">
        <v>0</v>
      </c>
      <c r="S337" s="6">
        <v>0</v>
      </c>
      <c r="T337" s="6">
        <v>18</v>
      </c>
      <c r="U337" s="6">
        <v>80</v>
      </c>
      <c r="V337" s="71">
        <f>IF(ISERROR(VLOOKUP($S$337,'TAR FIN'!$A$1:$O$120,15,0)),0,VLOOKUP($S$337,'TAR FIN'!$A$1:$O$120,15,0))</f>
        <v>0</v>
      </c>
      <c r="W337" s="71">
        <f>IF(ISERROR(VLOOKUP($T$337,'TAR FIN'!$A$1:$O$120,15,0)),0,VLOOKUP($T$337,'TAR FIN'!$A$1:$O$120,15,0))*(1-0.12)</f>
        <v>74.316000000000003</v>
      </c>
      <c r="X337" s="71">
        <f>IF(ISERROR(VLOOKUP($U$337,'TAR FIN'!$A$1:$O$120,15,0)),0,VLOOKUP($U$337,'TAR FIN'!$A$1:$O$120,15,0))*(1-0.12)</f>
        <v>225.61439999999999</v>
      </c>
      <c r="Y337" s="71"/>
      <c r="Z337" s="71">
        <f ca="1">('TUSD BE'!$AM$22+'TUSD BF'!$AM$22+'TUSD CVA'!$AM$22)*1*(1-0.09)</f>
        <v>79.642619388381775</v>
      </c>
      <c r="AA337" s="71">
        <f>('TE BE'!$AA$8+'TE BF'!$AA$8+'TE CVA'!$AA$8)*1*(1-0.09)</f>
        <v>210.05913056249776</v>
      </c>
      <c r="AB337" s="6">
        <f>$K$337*$V$337</f>
        <v>0</v>
      </c>
      <c r="AC337" s="6">
        <f>$M$337*$W$337</f>
        <v>32321.960616</v>
      </c>
      <c r="AD337" s="6">
        <f>$O$337*$X$337</f>
        <v>98125.568534399994</v>
      </c>
      <c r="AE337" s="6">
        <f>$K$337*$Y$337</f>
        <v>0</v>
      </c>
      <c r="AF337" s="6">
        <f ca="1">$M$337*$Z$337</f>
        <v>34638.645880111333</v>
      </c>
      <c r="AG337" s="6">
        <f>$O$337*$AA$337</f>
        <v>91360.177419024898</v>
      </c>
    </row>
    <row r="338" spans="1:33" ht="11.25" customHeight="1" x14ac:dyDescent="0.25">
      <c r="A338" s="4" t="s">
        <v>21</v>
      </c>
      <c r="B338" s="4" t="s">
        <v>45</v>
      </c>
      <c r="C338" s="4" t="s">
        <v>34</v>
      </c>
      <c r="D338" s="4" t="s">
        <v>52</v>
      </c>
      <c r="E338" s="4" t="s">
        <v>53</v>
      </c>
      <c r="F338" s="4" t="s">
        <v>25</v>
      </c>
      <c r="G338" s="4" t="s">
        <v>25</v>
      </c>
      <c r="H338" s="4" t="s">
        <v>36</v>
      </c>
      <c r="I338" s="5">
        <v>44013</v>
      </c>
      <c r="J338" s="6">
        <v>0</v>
      </c>
      <c r="K338" s="71">
        <v>0</v>
      </c>
      <c r="L338" s="6">
        <v>439.71300000000002</v>
      </c>
      <c r="M338" s="71">
        <v>439.71300000000002</v>
      </c>
      <c r="N338" s="6">
        <v>439.71300000000002</v>
      </c>
      <c r="O338" s="71">
        <v>439.71300000000002</v>
      </c>
      <c r="P338" s="6">
        <v>0</v>
      </c>
      <c r="Q338" s="4" t="s">
        <v>26</v>
      </c>
      <c r="R338" s="4">
        <v>0</v>
      </c>
      <c r="S338" s="6">
        <v>0</v>
      </c>
      <c r="T338" s="6">
        <v>18</v>
      </c>
      <c r="U338" s="6">
        <v>80</v>
      </c>
      <c r="V338" s="71">
        <f>IF(ISERROR(VLOOKUP($S$338,'TAR FIN'!$A$1:$O$120,15,0)),0,VLOOKUP($S$338,'TAR FIN'!$A$1:$O$120,15,0))</f>
        <v>0</v>
      </c>
      <c r="W338" s="71">
        <f>IF(ISERROR(VLOOKUP($T$338,'TAR FIN'!$A$1:$O$120,15,0)),0,VLOOKUP($T$338,'TAR FIN'!$A$1:$O$120,15,0))*(1-0.12)</f>
        <v>74.316000000000003</v>
      </c>
      <c r="X338" s="71">
        <f>IF(ISERROR(VLOOKUP($U$338,'TAR FIN'!$A$1:$O$120,15,0)),0,VLOOKUP($U$338,'TAR FIN'!$A$1:$O$120,15,0))*(1-0.12)</f>
        <v>225.61439999999999</v>
      </c>
      <c r="Y338" s="71"/>
      <c r="Z338" s="71">
        <f ca="1">('TUSD BE'!$AM$22+'TUSD BF'!$AM$22+'TUSD CVA'!$AM$22)*1*(1-0.09)</f>
        <v>79.642619388381775</v>
      </c>
      <c r="AA338" s="71">
        <f>('TE BE'!$AA$8+'TE BF'!$AA$8+'TE CVA'!$AA$8)*1*(1-0.09)</f>
        <v>210.05913056249776</v>
      </c>
      <c r="AB338" s="6">
        <f>$K$338*$V$338</f>
        <v>0</v>
      </c>
      <c r="AC338" s="6">
        <f>$M$338*$W$338</f>
        <v>32677.711308000002</v>
      </c>
      <c r="AD338" s="6">
        <f>$O$338*$X$338</f>
        <v>99205.584667200004</v>
      </c>
      <c r="AE338" s="6">
        <f>$K$338*$Y$338</f>
        <v>0</v>
      </c>
      <c r="AF338" s="6">
        <f ca="1">$M$338*$Z$338</f>
        <v>35019.895099123518</v>
      </c>
      <c r="AG338" s="6">
        <f>$O$338*$AA$338</f>
        <v>92365.73047702758</v>
      </c>
    </row>
    <row r="339" spans="1:33" ht="11.25" customHeight="1" x14ac:dyDescent="0.25">
      <c r="A339" s="4" t="s">
        <v>21</v>
      </c>
      <c r="B339" s="4" t="s">
        <v>45</v>
      </c>
      <c r="C339" s="4" t="s">
        <v>34</v>
      </c>
      <c r="D339" s="4" t="s">
        <v>52</v>
      </c>
      <c r="E339" s="4" t="s">
        <v>53</v>
      </c>
      <c r="F339" s="4" t="s">
        <v>25</v>
      </c>
      <c r="G339" s="4" t="s">
        <v>25</v>
      </c>
      <c r="H339" s="4" t="s">
        <v>36</v>
      </c>
      <c r="I339" s="5">
        <v>44044</v>
      </c>
      <c r="J339" s="6">
        <v>0</v>
      </c>
      <c r="K339" s="71">
        <v>0</v>
      </c>
      <c r="L339" s="6">
        <v>432.42200000000003</v>
      </c>
      <c r="M339" s="71">
        <v>432.42200000000003</v>
      </c>
      <c r="N339" s="6">
        <v>432.42200000000003</v>
      </c>
      <c r="O339" s="71">
        <v>432.42200000000003</v>
      </c>
      <c r="P339" s="6">
        <v>0</v>
      </c>
      <c r="Q339" s="4" t="s">
        <v>26</v>
      </c>
      <c r="R339" s="4">
        <v>0</v>
      </c>
      <c r="S339" s="6">
        <v>0</v>
      </c>
      <c r="T339" s="6">
        <v>18</v>
      </c>
      <c r="U339" s="6">
        <v>80</v>
      </c>
      <c r="V339" s="71">
        <f>IF(ISERROR(VLOOKUP($S$339,'TAR FIN'!$A$1:$O$120,15,0)),0,VLOOKUP($S$339,'TAR FIN'!$A$1:$O$120,15,0))</f>
        <v>0</v>
      </c>
      <c r="W339" s="71">
        <f>IF(ISERROR(VLOOKUP($T$339,'TAR FIN'!$A$1:$O$120,15,0)),0,VLOOKUP($T$339,'TAR FIN'!$A$1:$O$120,15,0))*(1-0.12)</f>
        <v>74.316000000000003</v>
      </c>
      <c r="X339" s="71">
        <f>IF(ISERROR(VLOOKUP($U$339,'TAR FIN'!$A$1:$O$120,15,0)),0,VLOOKUP($U$339,'TAR FIN'!$A$1:$O$120,15,0))*(1-0.12)</f>
        <v>225.61439999999999</v>
      </c>
      <c r="Y339" s="71"/>
      <c r="Z339" s="71">
        <f ca="1">('TUSD BE'!$AM$22+'TUSD BF'!$AM$22+'TUSD CVA'!$AM$22)*1*(1-0.09)</f>
        <v>79.642619388381775</v>
      </c>
      <c r="AA339" s="71">
        <f>('TE BE'!$AA$8+'TE BF'!$AA$8+'TE CVA'!$AA$8)*1*(1-0.09)</f>
        <v>210.05913056249776</v>
      </c>
      <c r="AB339" s="6">
        <f>$K$339*$V$339</f>
        <v>0</v>
      </c>
      <c r="AC339" s="6">
        <f>$M$339*$W$339</f>
        <v>32135.873352000002</v>
      </c>
      <c r="AD339" s="6">
        <f>$O$339*$X$339</f>
        <v>97560.630076800007</v>
      </c>
      <c r="AE339" s="6">
        <f>$K$339*$Y$339</f>
        <v>0</v>
      </c>
      <c r="AF339" s="6">
        <f ca="1">$M$339*$Z$339</f>
        <v>34439.220761162826</v>
      </c>
      <c r="AG339" s="6">
        <f>$O$339*$AA$339</f>
        <v>90834.189356096409</v>
      </c>
    </row>
    <row r="340" spans="1:33" ht="11.25" customHeight="1" x14ac:dyDescent="0.25">
      <c r="A340" s="4" t="s">
        <v>59</v>
      </c>
      <c r="B340" s="4" t="s">
        <v>45</v>
      </c>
      <c r="C340" s="4" t="s">
        <v>34</v>
      </c>
      <c r="D340" s="4" t="s">
        <v>52</v>
      </c>
      <c r="E340" s="4" t="s">
        <v>53</v>
      </c>
      <c r="F340" s="4" t="s">
        <v>25</v>
      </c>
      <c r="G340" s="4" t="s">
        <v>25</v>
      </c>
      <c r="H340" s="4" t="s">
        <v>36</v>
      </c>
      <c r="I340" s="5">
        <v>44075</v>
      </c>
      <c r="J340" s="6">
        <v>0</v>
      </c>
      <c r="K340" s="71">
        <v>0</v>
      </c>
      <c r="L340" s="6">
        <v>432.42200000000003</v>
      </c>
      <c r="M340" s="71">
        <v>432.42200000000003</v>
      </c>
      <c r="N340" s="6">
        <v>432.42200000000003</v>
      </c>
      <c r="O340" s="71">
        <v>432.42200000000003</v>
      </c>
      <c r="P340" s="6">
        <v>0</v>
      </c>
      <c r="Q340" s="4" t="s">
        <v>26</v>
      </c>
      <c r="R340" s="4">
        <v>0</v>
      </c>
      <c r="S340" s="6">
        <v>0</v>
      </c>
      <c r="T340" s="6">
        <v>18</v>
      </c>
      <c r="U340" s="6">
        <v>80</v>
      </c>
      <c r="V340" s="71">
        <f>IF(ISERROR(VLOOKUP($S$340,'TAR FIN'!$A$1:$O$120,15,0)),0,VLOOKUP($S$340,'TAR FIN'!$A$1:$O$120,15,0))</f>
        <v>0</v>
      </c>
      <c r="W340" s="71">
        <f>IF(ISERROR(VLOOKUP($T$340,'TAR FIN'!$A$1:$O$120,15,0)),0,VLOOKUP($T$340,'TAR FIN'!$A$1:$O$120,15,0))*(1-0.12)</f>
        <v>74.316000000000003</v>
      </c>
      <c r="X340" s="71">
        <f>IF(ISERROR(VLOOKUP($U$340,'TAR FIN'!$A$1:$O$120,15,0)),0,VLOOKUP($U$340,'TAR FIN'!$A$1:$O$120,15,0))*(1-0.12)</f>
        <v>225.61439999999999</v>
      </c>
      <c r="Y340" s="71"/>
      <c r="Z340" s="71">
        <f ca="1">('TUSD BE'!$AM$22+'TUSD BF'!$AM$22+'TUSD CVA'!$AM$22)*1*(1-0.09)</f>
        <v>79.642619388381775</v>
      </c>
      <c r="AA340" s="71">
        <f>('TE BE'!$AA$8+'TE BF'!$AA$8+'TE CVA'!$AA$8)*1*(1-0.09)</f>
        <v>210.05913056249776</v>
      </c>
      <c r="AB340" s="6">
        <f>$K$340*$V$340</f>
        <v>0</v>
      </c>
      <c r="AC340" s="6">
        <f>$M$340*$W$340</f>
        <v>32135.873352000002</v>
      </c>
      <c r="AD340" s="6">
        <f>$O$340*$X$340</f>
        <v>97560.630076800007</v>
      </c>
      <c r="AE340" s="6">
        <f>$K$340*$Y$340</f>
        <v>0</v>
      </c>
      <c r="AF340" s="6">
        <f ca="1">$M$340*$Z$340</f>
        <v>34439.220761162826</v>
      </c>
      <c r="AG340" s="6">
        <f>$O$340*$AA$340</f>
        <v>90834.189356096409</v>
      </c>
    </row>
    <row r="341" spans="1:33" ht="11.25" customHeight="1" x14ac:dyDescent="0.25">
      <c r="A341" s="4" t="s">
        <v>21</v>
      </c>
      <c r="B341" s="4" t="s">
        <v>45</v>
      </c>
      <c r="C341" s="4" t="s">
        <v>34</v>
      </c>
      <c r="D341" s="4" t="s">
        <v>52</v>
      </c>
      <c r="E341" s="4" t="s">
        <v>53</v>
      </c>
      <c r="F341" s="4" t="s">
        <v>25</v>
      </c>
      <c r="G341" s="4" t="s">
        <v>25</v>
      </c>
      <c r="H341" s="4" t="s">
        <v>25</v>
      </c>
      <c r="I341" s="5">
        <v>43739</v>
      </c>
      <c r="J341" s="6">
        <v>1130</v>
      </c>
      <c r="K341" s="70">
        <v>1130</v>
      </c>
      <c r="L341" s="6">
        <v>0</v>
      </c>
      <c r="M341" s="71">
        <v>0</v>
      </c>
      <c r="N341" s="6">
        <v>0</v>
      </c>
      <c r="O341" s="71">
        <v>0</v>
      </c>
      <c r="P341" s="6">
        <v>1</v>
      </c>
      <c r="Q341" s="4" t="s">
        <v>26</v>
      </c>
      <c r="R341" s="4">
        <v>0</v>
      </c>
      <c r="S341" s="6">
        <v>16</v>
      </c>
      <c r="T341" s="6">
        <v>0</v>
      </c>
      <c r="U341" s="6">
        <v>0</v>
      </c>
      <c r="V341" s="71">
        <f>IF(ISERROR(VLOOKUP($S$341,'TAR FIN'!$A$1:$O$120,15,0)),0,VLOOKUP($S$341,'TAR FIN'!$A$1:$O$120,15,0))*(1-0.12)</f>
        <v>7.7528000000000006</v>
      </c>
      <c r="W341" s="71">
        <f>IF(ISERROR(VLOOKUP($T$341,'TAR FIN'!$A$1:$O$120,15,0)),0,VLOOKUP($T$341,'TAR FIN'!$A$1:$O$120,15,0))</f>
        <v>0</v>
      </c>
      <c r="X341" s="71">
        <f>IF(ISERROR(VLOOKUP($U$341,'TAR FIN'!$A$1:$O$120,15,0)),0,VLOOKUP($U$341,'TAR FIN'!$A$1:$O$120,15,0))</f>
        <v>0</v>
      </c>
      <c r="Y341" s="71">
        <f ca="1">('TUSD BE'!$AM$20+'TUSD BF'!$AM$20+'TUSD CVA'!$AM$20)*1*(1-0.09)</f>
        <v>10.421644550274408</v>
      </c>
      <c r="Z341" s="71"/>
      <c r="AA341" s="71"/>
      <c r="AB341" s="6">
        <f>$K$341*$V$341</f>
        <v>8760.6640000000007</v>
      </c>
      <c r="AC341" s="6">
        <f>$M$341*$W$341</f>
        <v>0</v>
      </c>
      <c r="AD341" s="6">
        <f>$O$341*$X$341</f>
        <v>0</v>
      </c>
      <c r="AE341" s="6">
        <f ca="1">$K$341*$Y$341</f>
        <v>11776.458341810081</v>
      </c>
      <c r="AF341" s="6">
        <f>$M$341*$Z$341</f>
        <v>0</v>
      </c>
      <c r="AG341" s="6">
        <f>$O$341*$AA$341</f>
        <v>0</v>
      </c>
    </row>
    <row r="342" spans="1:33" ht="11.25" customHeight="1" x14ac:dyDescent="0.25">
      <c r="A342" s="4" t="s">
        <v>21</v>
      </c>
      <c r="B342" s="4" t="s">
        <v>45</v>
      </c>
      <c r="C342" s="4" t="s">
        <v>34</v>
      </c>
      <c r="D342" s="4" t="s">
        <v>52</v>
      </c>
      <c r="E342" s="4" t="s">
        <v>53</v>
      </c>
      <c r="F342" s="4" t="s">
        <v>25</v>
      </c>
      <c r="G342" s="4" t="s">
        <v>25</v>
      </c>
      <c r="H342" s="4" t="s">
        <v>25</v>
      </c>
      <c r="I342" s="5">
        <v>43770</v>
      </c>
      <c r="J342" s="6">
        <v>1168</v>
      </c>
      <c r="K342" s="70">
        <v>1168</v>
      </c>
      <c r="L342" s="6">
        <v>0</v>
      </c>
      <c r="M342" s="71">
        <v>0</v>
      </c>
      <c r="N342" s="6">
        <v>0</v>
      </c>
      <c r="O342" s="71">
        <v>0</v>
      </c>
      <c r="P342" s="6">
        <v>1</v>
      </c>
      <c r="Q342" s="4" t="s">
        <v>26</v>
      </c>
      <c r="R342" s="4">
        <v>0</v>
      </c>
      <c r="S342" s="6">
        <v>16</v>
      </c>
      <c r="T342" s="6">
        <v>0</v>
      </c>
      <c r="U342" s="6">
        <v>0</v>
      </c>
      <c r="V342" s="71">
        <f>IF(ISERROR(VLOOKUP($S$342,'TAR FIN'!$A$1:$O$120,15,0)),0,VLOOKUP($S$342,'TAR FIN'!$A$1:$O$120,15,0))*(1-0.12)</f>
        <v>7.7528000000000006</v>
      </c>
      <c r="W342" s="71">
        <f>IF(ISERROR(VLOOKUP($T$342,'TAR FIN'!$A$1:$O$120,15,0)),0,VLOOKUP($T$342,'TAR FIN'!$A$1:$O$120,15,0))</f>
        <v>0</v>
      </c>
      <c r="X342" s="71">
        <f>IF(ISERROR(VLOOKUP($U$342,'TAR FIN'!$A$1:$O$120,15,0)),0,VLOOKUP($U$342,'TAR FIN'!$A$1:$O$120,15,0))</f>
        <v>0</v>
      </c>
      <c r="Y342" s="71">
        <f ca="1">('TUSD BE'!$AM$20+'TUSD BF'!$AM$20+'TUSD CVA'!$AM$20)*1*(1-0.09)</f>
        <v>10.421644550274408</v>
      </c>
      <c r="Z342" s="71"/>
      <c r="AA342" s="71"/>
      <c r="AB342" s="6">
        <f>$K$342*$V$342</f>
        <v>9055.2704000000012</v>
      </c>
      <c r="AC342" s="6">
        <f>$M$342*$W$342</f>
        <v>0</v>
      </c>
      <c r="AD342" s="6">
        <f>$O$342*$X$342</f>
        <v>0</v>
      </c>
      <c r="AE342" s="6">
        <f ca="1">$K$342*$Y$342</f>
        <v>12172.480834720509</v>
      </c>
      <c r="AF342" s="6">
        <f>$M$342*$Z$342</f>
        <v>0</v>
      </c>
      <c r="AG342" s="6">
        <f>$O$342*$AA$342</f>
        <v>0</v>
      </c>
    </row>
    <row r="343" spans="1:33" ht="11.25" customHeight="1" x14ac:dyDescent="0.25">
      <c r="A343" s="4" t="s">
        <v>21</v>
      </c>
      <c r="B343" s="4" t="s">
        <v>45</v>
      </c>
      <c r="C343" s="4" t="s">
        <v>34</v>
      </c>
      <c r="D343" s="4" t="s">
        <v>52</v>
      </c>
      <c r="E343" s="4" t="s">
        <v>53</v>
      </c>
      <c r="F343" s="4" t="s">
        <v>25</v>
      </c>
      <c r="G343" s="4" t="s">
        <v>25</v>
      </c>
      <c r="H343" s="4" t="s">
        <v>25</v>
      </c>
      <c r="I343" s="5">
        <v>43800</v>
      </c>
      <c r="J343" s="6">
        <v>1084</v>
      </c>
      <c r="K343" s="70">
        <v>1084</v>
      </c>
      <c r="L343" s="6">
        <v>0</v>
      </c>
      <c r="M343" s="71">
        <v>0</v>
      </c>
      <c r="N343" s="6">
        <v>0</v>
      </c>
      <c r="O343" s="71">
        <v>0</v>
      </c>
      <c r="P343" s="6">
        <v>1</v>
      </c>
      <c r="Q343" s="4" t="s">
        <v>26</v>
      </c>
      <c r="R343" s="4">
        <v>0</v>
      </c>
      <c r="S343" s="6">
        <v>16</v>
      </c>
      <c r="T343" s="6">
        <v>0</v>
      </c>
      <c r="U343" s="6">
        <v>0</v>
      </c>
      <c r="V343" s="71">
        <f>IF(ISERROR(VLOOKUP($S$343,'TAR FIN'!$A$1:$O$120,15,0)),0,VLOOKUP($S$343,'TAR FIN'!$A$1:$O$120,15,0))*(1-0.12)</f>
        <v>7.7528000000000006</v>
      </c>
      <c r="W343" s="71">
        <f>IF(ISERROR(VLOOKUP($T$343,'TAR FIN'!$A$1:$O$120,15,0)),0,VLOOKUP($T$343,'TAR FIN'!$A$1:$O$120,15,0))</f>
        <v>0</v>
      </c>
      <c r="X343" s="71">
        <f>IF(ISERROR(VLOOKUP($U$343,'TAR FIN'!$A$1:$O$120,15,0)),0,VLOOKUP($U$343,'TAR FIN'!$A$1:$O$120,15,0))</f>
        <v>0</v>
      </c>
      <c r="Y343" s="71">
        <f ca="1">('TUSD BE'!$AM$20+'TUSD BF'!$AM$20+'TUSD CVA'!$AM$20)*1*(1-0.09)</f>
        <v>10.421644550274408</v>
      </c>
      <c r="Z343" s="71"/>
      <c r="AA343" s="71"/>
      <c r="AB343" s="6">
        <f>$K$343*$V$343</f>
        <v>8404.0352000000003</v>
      </c>
      <c r="AC343" s="6">
        <f>$M$343*$W$343</f>
        <v>0</v>
      </c>
      <c r="AD343" s="6">
        <f>$O$343*$X$343</f>
        <v>0</v>
      </c>
      <c r="AE343" s="6">
        <f ca="1">$K$343*$Y$343</f>
        <v>11297.062692497459</v>
      </c>
      <c r="AF343" s="6">
        <f>$M$343*$Z$343</f>
        <v>0</v>
      </c>
      <c r="AG343" s="6">
        <f>$O$343*$AA$343</f>
        <v>0</v>
      </c>
    </row>
    <row r="344" spans="1:33" ht="11.25" customHeight="1" x14ac:dyDescent="0.25">
      <c r="A344" s="4" t="s">
        <v>21</v>
      </c>
      <c r="B344" s="4" t="s">
        <v>45</v>
      </c>
      <c r="C344" s="4" t="s">
        <v>34</v>
      </c>
      <c r="D344" s="4" t="s">
        <v>52</v>
      </c>
      <c r="E344" s="4" t="s">
        <v>53</v>
      </c>
      <c r="F344" s="4" t="s">
        <v>25</v>
      </c>
      <c r="G344" s="4" t="s">
        <v>25</v>
      </c>
      <c r="H344" s="4" t="s">
        <v>25</v>
      </c>
      <c r="I344" s="5">
        <v>43831</v>
      </c>
      <c r="J344" s="6">
        <v>1076</v>
      </c>
      <c r="K344" s="70">
        <v>1076</v>
      </c>
      <c r="L344" s="6">
        <v>0</v>
      </c>
      <c r="M344" s="71">
        <v>0</v>
      </c>
      <c r="N344" s="6">
        <v>0</v>
      </c>
      <c r="O344" s="71">
        <v>0</v>
      </c>
      <c r="P344" s="6">
        <v>1</v>
      </c>
      <c r="Q344" s="4" t="s">
        <v>26</v>
      </c>
      <c r="R344" s="4">
        <v>0</v>
      </c>
      <c r="S344" s="6">
        <v>16</v>
      </c>
      <c r="T344" s="6">
        <v>0</v>
      </c>
      <c r="U344" s="6">
        <v>0</v>
      </c>
      <c r="V344" s="71">
        <f>IF(ISERROR(VLOOKUP($S$344,'TAR FIN'!$A$1:$O$120,15,0)),0,VLOOKUP($S$344,'TAR FIN'!$A$1:$O$120,15,0))*(1-0.12)</f>
        <v>7.7528000000000006</v>
      </c>
      <c r="W344" s="71">
        <f>IF(ISERROR(VLOOKUP($T$344,'TAR FIN'!$A$1:$O$120,15,0)),0,VLOOKUP($T$344,'TAR FIN'!$A$1:$O$120,15,0))</f>
        <v>0</v>
      </c>
      <c r="X344" s="71">
        <f>IF(ISERROR(VLOOKUP($U$344,'TAR FIN'!$A$1:$O$120,15,0)),0,VLOOKUP($U$344,'TAR FIN'!$A$1:$O$120,15,0))</f>
        <v>0</v>
      </c>
      <c r="Y344" s="71">
        <f ca="1">('TUSD BE'!$AM$20+'TUSD BF'!$AM$20+'TUSD CVA'!$AM$20)*1*(1-0.09)</f>
        <v>10.421644550274408</v>
      </c>
      <c r="Z344" s="71"/>
      <c r="AA344" s="71"/>
      <c r="AB344" s="6">
        <f>$K$344*$V$344</f>
        <v>8342.0128000000004</v>
      </c>
      <c r="AC344" s="6">
        <f>$M$344*$W$344</f>
        <v>0</v>
      </c>
      <c r="AD344" s="6">
        <f>$O$344*$X$344</f>
        <v>0</v>
      </c>
      <c r="AE344" s="6">
        <f ca="1">$K$344*$Y$344</f>
        <v>11213.689536095262</v>
      </c>
      <c r="AF344" s="6">
        <f>$M$344*$Z$344</f>
        <v>0</v>
      </c>
      <c r="AG344" s="6">
        <f>$O$344*$AA$344</f>
        <v>0</v>
      </c>
    </row>
    <row r="345" spans="1:33" ht="11.25" customHeight="1" x14ac:dyDescent="0.25">
      <c r="A345" s="4" t="s">
        <v>21</v>
      </c>
      <c r="B345" s="4" t="s">
        <v>45</v>
      </c>
      <c r="C345" s="4" t="s">
        <v>34</v>
      </c>
      <c r="D345" s="4" t="s">
        <v>52</v>
      </c>
      <c r="E345" s="4" t="s">
        <v>53</v>
      </c>
      <c r="F345" s="4" t="s">
        <v>25</v>
      </c>
      <c r="G345" s="4" t="s">
        <v>25</v>
      </c>
      <c r="H345" s="4" t="s">
        <v>25</v>
      </c>
      <c r="I345" s="5">
        <v>43862</v>
      </c>
      <c r="J345" s="6">
        <v>1064</v>
      </c>
      <c r="K345" s="70">
        <v>1064</v>
      </c>
      <c r="L345" s="6">
        <v>0</v>
      </c>
      <c r="M345" s="71">
        <v>0</v>
      </c>
      <c r="N345" s="6">
        <v>0</v>
      </c>
      <c r="O345" s="71">
        <v>0</v>
      </c>
      <c r="P345" s="6">
        <v>1</v>
      </c>
      <c r="Q345" s="4" t="s">
        <v>26</v>
      </c>
      <c r="R345" s="4">
        <v>0</v>
      </c>
      <c r="S345" s="6">
        <v>16</v>
      </c>
      <c r="T345" s="6">
        <v>0</v>
      </c>
      <c r="U345" s="6">
        <v>0</v>
      </c>
      <c r="V345" s="71">
        <f>IF(ISERROR(VLOOKUP($S$345,'TAR FIN'!$A$1:$O$120,15,0)),0,VLOOKUP($S$345,'TAR FIN'!$A$1:$O$120,15,0))*(1-0.12)</f>
        <v>7.7528000000000006</v>
      </c>
      <c r="W345" s="71">
        <f>IF(ISERROR(VLOOKUP($T$345,'TAR FIN'!$A$1:$O$120,15,0)),0,VLOOKUP($T$345,'TAR FIN'!$A$1:$O$120,15,0))</f>
        <v>0</v>
      </c>
      <c r="X345" s="71">
        <f>IF(ISERROR(VLOOKUP($U$345,'TAR FIN'!$A$1:$O$120,15,0)),0,VLOOKUP($U$345,'TAR FIN'!$A$1:$O$120,15,0))</f>
        <v>0</v>
      </c>
      <c r="Y345" s="71">
        <f ca="1">('TUSD BE'!$AM$20+'TUSD BF'!$AM$20+'TUSD CVA'!$AM$20)*1*(1-0.09)</f>
        <v>10.421644550274408</v>
      </c>
      <c r="Z345" s="71"/>
      <c r="AA345" s="71"/>
      <c r="AB345" s="6">
        <f>$K$345*$V$345</f>
        <v>8248.9791999999998</v>
      </c>
      <c r="AC345" s="6">
        <f>$M$345*$W$345</f>
        <v>0</v>
      </c>
      <c r="AD345" s="6">
        <f>$O$345*$X$345</f>
        <v>0</v>
      </c>
      <c r="AE345" s="6">
        <f ca="1">$K$345*$Y$345</f>
        <v>11088.62980149197</v>
      </c>
      <c r="AF345" s="6">
        <f>$M$345*$Z$345</f>
        <v>0</v>
      </c>
      <c r="AG345" s="6">
        <f>$O$345*$AA$345</f>
        <v>0</v>
      </c>
    </row>
    <row r="346" spans="1:33" ht="11.25" customHeight="1" x14ac:dyDescent="0.25">
      <c r="A346" s="4" t="s">
        <v>21</v>
      </c>
      <c r="B346" s="4" t="s">
        <v>45</v>
      </c>
      <c r="C346" s="4" t="s">
        <v>34</v>
      </c>
      <c r="D346" s="4" t="s">
        <v>52</v>
      </c>
      <c r="E346" s="4" t="s">
        <v>53</v>
      </c>
      <c r="F346" s="4" t="s">
        <v>25</v>
      </c>
      <c r="G346" s="4" t="s">
        <v>25</v>
      </c>
      <c r="H346" s="4" t="s">
        <v>25</v>
      </c>
      <c r="I346" s="5">
        <v>43891</v>
      </c>
      <c r="J346" s="6">
        <v>903</v>
      </c>
      <c r="K346" s="70">
        <v>903</v>
      </c>
      <c r="L346" s="6">
        <v>0</v>
      </c>
      <c r="M346" s="71">
        <v>0</v>
      </c>
      <c r="N346" s="6">
        <v>0</v>
      </c>
      <c r="O346" s="71">
        <v>0</v>
      </c>
      <c r="P346" s="6">
        <v>1</v>
      </c>
      <c r="Q346" s="4" t="s">
        <v>26</v>
      </c>
      <c r="R346" s="4">
        <v>0</v>
      </c>
      <c r="S346" s="6">
        <v>16</v>
      </c>
      <c r="T346" s="6">
        <v>0</v>
      </c>
      <c r="U346" s="6">
        <v>0</v>
      </c>
      <c r="V346" s="71">
        <f>IF(ISERROR(VLOOKUP($S$346,'TAR FIN'!$A$1:$O$120,15,0)),0,VLOOKUP($S$346,'TAR FIN'!$A$1:$O$120,15,0))*(1-0.12)</f>
        <v>7.7528000000000006</v>
      </c>
      <c r="W346" s="71">
        <f>IF(ISERROR(VLOOKUP($T$346,'TAR FIN'!$A$1:$O$120,15,0)),0,VLOOKUP($T$346,'TAR FIN'!$A$1:$O$120,15,0))</f>
        <v>0</v>
      </c>
      <c r="X346" s="71">
        <f>IF(ISERROR(VLOOKUP($U$346,'TAR FIN'!$A$1:$O$120,15,0)),0,VLOOKUP($U$346,'TAR FIN'!$A$1:$O$120,15,0))</f>
        <v>0</v>
      </c>
      <c r="Y346" s="71">
        <f ca="1">('TUSD BE'!$AM$20+'TUSD BF'!$AM$20+'TUSD CVA'!$AM$20)*1*(1-0.09)</f>
        <v>10.421644550274408</v>
      </c>
      <c r="Z346" s="71"/>
      <c r="AA346" s="71"/>
      <c r="AB346" s="6">
        <f>$K$346*$V$346</f>
        <v>7000.7784000000001</v>
      </c>
      <c r="AC346" s="6">
        <f>$M$346*$W$346</f>
        <v>0</v>
      </c>
      <c r="AD346" s="6">
        <f>$O$346*$X$346</f>
        <v>0</v>
      </c>
      <c r="AE346" s="6">
        <f ca="1">$K$346*$Y$346</f>
        <v>9410.7450288977907</v>
      </c>
      <c r="AF346" s="6">
        <f>$M$346*$Z$346</f>
        <v>0</v>
      </c>
      <c r="AG346" s="6">
        <f>$O$346*$AA$346</f>
        <v>0</v>
      </c>
    </row>
    <row r="347" spans="1:33" ht="11.25" customHeight="1" x14ac:dyDescent="0.25">
      <c r="A347" s="4" t="s">
        <v>21</v>
      </c>
      <c r="B347" s="4" t="s">
        <v>45</v>
      </c>
      <c r="C347" s="4" t="s">
        <v>34</v>
      </c>
      <c r="D347" s="4" t="s">
        <v>52</v>
      </c>
      <c r="E347" s="4" t="s">
        <v>53</v>
      </c>
      <c r="F347" s="4" t="s">
        <v>25</v>
      </c>
      <c r="G347" s="4" t="s">
        <v>25</v>
      </c>
      <c r="H347" s="4" t="s">
        <v>25</v>
      </c>
      <c r="I347" s="5">
        <v>43922</v>
      </c>
      <c r="J347" s="6">
        <v>1004</v>
      </c>
      <c r="K347" s="70">
        <v>1004</v>
      </c>
      <c r="L347" s="6">
        <v>0</v>
      </c>
      <c r="M347" s="71">
        <v>0</v>
      </c>
      <c r="N347" s="6">
        <v>0</v>
      </c>
      <c r="O347" s="71">
        <v>0</v>
      </c>
      <c r="P347" s="6">
        <v>1</v>
      </c>
      <c r="Q347" s="4" t="s">
        <v>26</v>
      </c>
      <c r="R347" s="4">
        <v>0</v>
      </c>
      <c r="S347" s="6">
        <v>16</v>
      </c>
      <c r="T347" s="6">
        <v>0</v>
      </c>
      <c r="U347" s="6">
        <v>0</v>
      </c>
      <c r="V347" s="71">
        <f>IF(ISERROR(VLOOKUP($S$347,'TAR FIN'!$A$1:$O$120,15,0)),0,VLOOKUP($S$347,'TAR FIN'!$A$1:$O$120,15,0))*(1-0.12)</f>
        <v>7.7528000000000006</v>
      </c>
      <c r="W347" s="71">
        <f>IF(ISERROR(VLOOKUP($T$347,'TAR FIN'!$A$1:$O$120,15,0)),0,VLOOKUP($T$347,'TAR FIN'!$A$1:$O$120,15,0))</f>
        <v>0</v>
      </c>
      <c r="X347" s="71">
        <f>IF(ISERROR(VLOOKUP($U$347,'TAR FIN'!$A$1:$O$120,15,0)),0,VLOOKUP($U$347,'TAR FIN'!$A$1:$O$120,15,0))</f>
        <v>0</v>
      </c>
      <c r="Y347" s="71">
        <f ca="1">('TUSD BE'!$AM$20+'TUSD BF'!$AM$20+'TUSD CVA'!$AM$20)*1*(1-0.09)</f>
        <v>10.421644550274408</v>
      </c>
      <c r="Z347" s="71"/>
      <c r="AA347" s="71"/>
      <c r="AB347" s="6">
        <f>$K$347*$V$347</f>
        <v>7783.811200000001</v>
      </c>
      <c r="AC347" s="6">
        <f>$M$347*$W$347</f>
        <v>0</v>
      </c>
      <c r="AD347" s="6">
        <f>$O$347*$X$347</f>
        <v>0</v>
      </c>
      <c r="AE347" s="6">
        <f ca="1">$K$347*$Y$347</f>
        <v>10463.331128475505</v>
      </c>
      <c r="AF347" s="6">
        <f>$M$347*$Z$347</f>
        <v>0</v>
      </c>
      <c r="AG347" s="6">
        <f>$O$347*$AA$347</f>
        <v>0</v>
      </c>
    </row>
    <row r="348" spans="1:33" ht="11.25" customHeight="1" x14ac:dyDescent="0.25">
      <c r="A348" s="4" t="s">
        <v>21</v>
      </c>
      <c r="B348" s="4" t="s">
        <v>45</v>
      </c>
      <c r="C348" s="4" t="s">
        <v>34</v>
      </c>
      <c r="D348" s="4" t="s">
        <v>52</v>
      </c>
      <c r="E348" s="4" t="s">
        <v>53</v>
      </c>
      <c r="F348" s="4" t="s">
        <v>25</v>
      </c>
      <c r="G348" s="4" t="s">
        <v>25</v>
      </c>
      <c r="H348" s="4" t="s">
        <v>25</v>
      </c>
      <c r="I348" s="5">
        <v>43952</v>
      </c>
      <c r="J348" s="6">
        <v>785</v>
      </c>
      <c r="K348" s="70">
        <v>785</v>
      </c>
      <c r="L348" s="6">
        <v>0</v>
      </c>
      <c r="M348" s="71">
        <v>0</v>
      </c>
      <c r="N348" s="6">
        <v>0</v>
      </c>
      <c r="O348" s="71">
        <v>0</v>
      </c>
      <c r="P348" s="6">
        <v>1</v>
      </c>
      <c r="Q348" s="4" t="s">
        <v>26</v>
      </c>
      <c r="R348" s="4">
        <v>0</v>
      </c>
      <c r="S348" s="6">
        <v>16</v>
      </c>
      <c r="T348" s="6">
        <v>0</v>
      </c>
      <c r="U348" s="6">
        <v>0</v>
      </c>
      <c r="V348" s="71">
        <f>IF(ISERROR(VLOOKUP($S$348,'TAR FIN'!$A$1:$O$120,15,0)),0,VLOOKUP($S$348,'TAR FIN'!$A$1:$O$120,15,0))*(1-0.12)</f>
        <v>7.7528000000000006</v>
      </c>
      <c r="W348" s="71">
        <f>IF(ISERROR(VLOOKUP($T$348,'TAR FIN'!$A$1:$O$120,15,0)),0,VLOOKUP($T$348,'TAR FIN'!$A$1:$O$120,15,0))</f>
        <v>0</v>
      </c>
      <c r="X348" s="71">
        <f>IF(ISERROR(VLOOKUP($U$348,'TAR FIN'!$A$1:$O$120,15,0)),0,VLOOKUP($U$348,'TAR FIN'!$A$1:$O$120,15,0))</f>
        <v>0</v>
      </c>
      <c r="Y348" s="71">
        <f ca="1">('TUSD BE'!$AM$20+'TUSD BF'!$AM$20+'TUSD CVA'!$AM$20)*1*(1-0.09)</f>
        <v>10.421644550274408</v>
      </c>
      <c r="Z348" s="71"/>
      <c r="AA348" s="71"/>
      <c r="AB348" s="6">
        <f>$K$348*$V$348</f>
        <v>6085.9480000000003</v>
      </c>
      <c r="AC348" s="6">
        <f>$M$348*$W$348</f>
        <v>0</v>
      </c>
      <c r="AD348" s="6">
        <f>$O$348*$X$348</f>
        <v>0</v>
      </c>
      <c r="AE348" s="6">
        <f ca="1">$K$348*$Y$348</f>
        <v>8180.9909719654106</v>
      </c>
      <c r="AF348" s="6">
        <f>$M$348*$Z$348</f>
        <v>0</v>
      </c>
      <c r="AG348" s="6">
        <f>$O$348*$AA$348</f>
        <v>0</v>
      </c>
    </row>
    <row r="349" spans="1:33" ht="11.25" customHeight="1" x14ac:dyDescent="0.25">
      <c r="A349" s="4" t="s">
        <v>21</v>
      </c>
      <c r="B349" s="4" t="s">
        <v>45</v>
      </c>
      <c r="C349" s="4" t="s">
        <v>34</v>
      </c>
      <c r="D349" s="4" t="s">
        <v>52</v>
      </c>
      <c r="E349" s="4" t="s">
        <v>53</v>
      </c>
      <c r="F349" s="4" t="s">
        <v>25</v>
      </c>
      <c r="G349" s="4" t="s">
        <v>25</v>
      </c>
      <c r="H349" s="4" t="s">
        <v>25</v>
      </c>
      <c r="I349" s="5">
        <v>43983</v>
      </c>
      <c r="J349" s="6">
        <v>1150</v>
      </c>
      <c r="K349" s="70">
        <v>1150</v>
      </c>
      <c r="L349" s="6">
        <v>0</v>
      </c>
      <c r="M349" s="71">
        <v>0</v>
      </c>
      <c r="N349" s="6">
        <v>0</v>
      </c>
      <c r="O349" s="71">
        <v>0</v>
      </c>
      <c r="P349" s="6">
        <v>1</v>
      </c>
      <c r="Q349" s="4" t="s">
        <v>26</v>
      </c>
      <c r="R349" s="4">
        <v>0</v>
      </c>
      <c r="S349" s="6">
        <v>16</v>
      </c>
      <c r="T349" s="6">
        <v>0</v>
      </c>
      <c r="U349" s="6">
        <v>0</v>
      </c>
      <c r="V349" s="71">
        <f>IF(ISERROR(VLOOKUP($S$349,'TAR FIN'!$A$1:$O$120,15,0)),0,VLOOKUP($S$349,'TAR FIN'!$A$1:$O$120,15,0))*(1-0.12)</f>
        <v>7.7528000000000006</v>
      </c>
      <c r="W349" s="71">
        <f>IF(ISERROR(VLOOKUP($T$349,'TAR FIN'!$A$1:$O$120,15,0)),0,VLOOKUP($T$349,'TAR FIN'!$A$1:$O$120,15,0))</f>
        <v>0</v>
      </c>
      <c r="X349" s="71">
        <f>IF(ISERROR(VLOOKUP($U$349,'TAR FIN'!$A$1:$O$120,15,0)),0,VLOOKUP($U$349,'TAR FIN'!$A$1:$O$120,15,0))</f>
        <v>0</v>
      </c>
      <c r="Y349" s="71">
        <f ca="1">('TUSD BE'!$AM$20+'TUSD BF'!$AM$20+'TUSD CVA'!$AM$20)*1*(1-0.09)</f>
        <v>10.421644550274408</v>
      </c>
      <c r="Z349" s="71"/>
      <c r="AA349" s="71"/>
      <c r="AB349" s="6">
        <f>$K$349*$V$349</f>
        <v>8915.7200000000012</v>
      </c>
      <c r="AC349" s="6">
        <f>$M$349*$W$349</f>
        <v>0</v>
      </c>
      <c r="AD349" s="6">
        <f>$O$349*$X$349</f>
        <v>0</v>
      </c>
      <c r="AE349" s="6">
        <f ca="1">$K$349*$Y$349</f>
        <v>11984.891232815569</v>
      </c>
      <c r="AF349" s="6">
        <f>$M$349*$Z$349</f>
        <v>0</v>
      </c>
      <c r="AG349" s="6">
        <f>$O$349*$AA$349</f>
        <v>0</v>
      </c>
    </row>
    <row r="350" spans="1:33" ht="11.25" customHeight="1" x14ac:dyDescent="0.25">
      <c r="A350" s="4" t="s">
        <v>21</v>
      </c>
      <c r="B350" s="4" t="s">
        <v>45</v>
      </c>
      <c r="C350" s="4" t="s">
        <v>34</v>
      </c>
      <c r="D350" s="4" t="s">
        <v>52</v>
      </c>
      <c r="E350" s="4" t="s">
        <v>53</v>
      </c>
      <c r="F350" s="4" t="s">
        <v>25</v>
      </c>
      <c r="G350" s="4" t="s">
        <v>25</v>
      </c>
      <c r="H350" s="4" t="s">
        <v>25</v>
      </c>
      <c r="I350" s="5">
        <v>44013</v>
      </c>
      <c r="J350" s="6">
        <v>1150</v>
      </c>
      <c r="K350" s="70">
        <v>1150</v>
      </c>
      <c r="L350" s="6">
        <v>0</v>
      </c>
      <c r="M350" s="71">
        <v>0</v>
      </c>
      <c r="N350" s="6">
        <v>0</v>
      </c>
      <c r="O350" s="71">
        <v>0</v>
      </c>
      <c r="P350" s="6">
        <v>1</v>
      </c>
      <c r="Q350" s="4" t="s">
        <v>26</v>
      </c>
      <c r="R350" s="4">
        <v>0</v>
      </c>
      <c r="S350" s="6">
        <v>16</v>
      </c>
      <c r="T350" s="6">
        <v>0</v>
      </c>
      <c r="U350" s="6">
        <v>0</v>
      </c>
      <c r="V350" s="71">
        <f>IF(ISERROR(VLOOKUP($S$350,'TAR FIN'!$A$1:$O$120,15,0)),0,VLOOKUP($S$350,'TAR FIN'!$A$1:$O$120,15,0))*(1-0.12)</f>
        <v>7.7528000000000006</v>
      </c>
      <c r="W350" s="71">
        <f>IF(ISERROR(VLOOKUP($T$350,'TAR FIN'!$A$1:$O$120,15,0)),0,VLOOKUP($T$350,'TAR FIN'!$A$1:$O$120,15,0))</f>
        <v>0</v>
      </c>
      <c r="X350" s="71">
        <f>IF(ISERROR(VLOOKUP($U$350,'TAR FIN'!$A$1:$O$120,15,0)),0,VLOOKUP($U$350,'TAR FIN'!$A$1:$O$120,15,0))</f>
        <v>0</v>
      </c>
      <c r="Y350" s="71">
        <f ca="1">('TUSD BE'!$AM$20+'TUSD BF'!$AM$20+'TUSD CVA'!$AM$20)*1*(1-0.09)</f>
        <v>10.421644550274408</v>
      </c>
      <c r="Z350" s="71"/>
      <c r="AA350" s="71"/>
      <c r="AB350" s="6">
        <f>$K$350*$V$350</f>
        <v>8915.7200000000012</v>
      </c>
      <c r="AC350" s="6">
        <f>$M$350*$W$350</f>
        <v>0</v>
      </c>
      <c r="AD350" s="6">
        <f>$O$350*$X$350</f>
        <v>0</v>
      </c>
      <c r="AE350" s="6">
        <f ca="1">$K$350*$Y$350</f>
        <v>11984.891232815569</v>
      </c>
      <c r="AF350" s="6">
        <f>$M$350*$Z$350</f>
        <v>0</v>
      </c>
      <c r="AG350" s="6">
        <f>$O$350*$AA$350</f>
        <v>0</v>
      </c>
    </row>
    <row r="351" spans="1:33" ht="11.25" customHeight="1" x14ac:dyDescent="0.25">
      <c r="A351" s="4" t="s">
        <v>21</v>
      </c>
      <c r="B351" s="4" t="s">
        <v>45</v>
      </c>
      <c r="C351" s="4" t="s">
        <v>34</v>
      </c>
      <c r="D351" s="4" t="s">
        <v>52</v>
      </c>
      <c r="E351" s="4" t="s">
        <v>53</v>
      </c>
      <c r="F351" s="4" t="s">
        <v>25</v>
      </c>
      <c r="G351" s="4" t="s">
        <v>25</v>
      </c>
      <c r="H351" s="4" t="s">
        <v>25</v>
      </c>
      <c r="I351" s="5">
        <v>44044</v>
      </c>
      <c r="J351" s="6">
        <v>1150</v>
      </c>
      <c r="K351" s="70">
        <v>1150</v>
      </c>
      <c r="L351" s="6">
        <v>0</v>
      </c>
      <c r="M351" s="71">
        <v>0</v>
      </c>
      <c r="N351" s="6">
        <v>0</v>
      </c>
      <c r="O351" s="71">
        <v>0</v>
      </c>
      <c r="P351" s="6">
        <v>1</v>
      </c>
      <c r="Q351" s="4" t="s">
        <v>26</v>
      </c>
      <c r="R351" s="4">
        <v>0</v>
      </c>
      <c r="S351" s="6">
        <v>16</v>
      </c>
      <c r="T351" s="6">
        <v>0</v>
      </c>
      <c r="U351" s="6">
        <v>0</v>
      </c>
      <c r="V351" s="71">
        <f>IF(ISERROR(VLOOKUP($S$351,'TAR FIN'!$A$1:$O$120,15,0)),0,VLOOKUP($S$351,'TAR FIN'!$A$1:$O$120,15,0))*(1-0.12)</f>
        <v>7.7528000000000006</v>
      </c>
      <c r="W351" s="71">
        <f>IF(ISERROR(VLOOKUP($T$351,'TAR FIN'!$A$1:$O$120,15,0)),0,VLOOKUP($T$351,'TAR FIN'!$A$1:$O$120,15,0))</f>
        <v>0</v>
      </c>
      <c r="X351" s="71">
        <f>IF(ISERROR(VLOOKUP($U$351,'TAR FIN'!$A$1:$O$120,15,0)),0,VLOOKUP($U$351,'TAR FIN'!$A$1:$O$120,15,0))</f>
        <v>0</v>
      </c>
      <c r="Y351" s="71">
        <f ca="1">('TUSD BE'!$AM$20+'TUSD BF'!$AM$20+'TUSD CVA'!$AM$20)*1*(1-0.09)</f>
        <v>10.421644550274408</v>
      </c>
      <c r="Z351" s="71"/>
      <c r="AA351" s="71"/>
      <c r="AB351" s="6">
        <f>$K$351*$V$351</f>
        <v>8915.7200000000012</v>
      </c>
      <c r="AC351" s="6">
        <f>$M$351*$W$351</f>
        <v>0</v>
      </c>
      <c r="AD351" s="6">
        <f>$O$351*$X$351</f>
        <v>0</v>
      </c>
      <c r="AE351" s="6">
        <f ca="1">$K$351*$Y$351</f>
        <v>11984.891232815569</v>
      </c>
      <c r="AF351" s="6">
        <f>$M$351*$Z$351</f>
        <v>0</v>
      </c>
      <c r="AG351" s="6">
        <f>$O$351*$AA$351</f>
        <v>0</v>
      </c>
    </row>
    <row r="352" spans="1:33" ht="11.25" customHeight="1" x14ac:dyDescent="0.25">
      <c r="A352" s="4" t="s">
        <v>59</v>
      </c>
      <c r="B352" s="4" t="s">
        <v>45</v>
      </c>
      <c r="C352" s="4" t="s">
        <v>34</v>
      </c>
      <c r="D352" s="4" t="s">
        <v>52</v>
      </c>
      <c r="E352" s="4" t="s">
        <v>53</v>
      </c>
      <c r="F352" s="4" t="s">
        <v>25</v>
      </c>
      <c r="G352" s="4" t="s">
        <v>25</v>
      </c>
      <c r="H352" s="4" t="s">
        <v>25</v>
      </c>
      <c r="I352" s="5">
        <v>44075</v>
      </c>
      <c r="J352" s="6">
        <v>1150</v>
      </c>
      <c r="K352" s="70">
        <v>1150</v>
      </c>
      <c r="L352" s="6">
        <v>0</v>
      </c>
      <c r="M352" s="71">
        <v>0</v>
      </c>
      <c r="N352" s="6">
        <v>0</v>
      </c>
      <c r="O352" s="71">
        <v>0</v>
      </c>
      <c r="P352" s="6">
        <v>1</v>
      </c>
      <c r="Q352" s="4" t="s">
        <v>26</v>
      </c>
      <c r="R352" s="4">
        <v>0</v>
      </c>
      <c r="S352" s="6">
        <v>16</v>
      </c>
      <c r="T352" s="6">
        <v>0</v>
      </c>
      <c r="U352" s="6">
        <v>0</v>
      </c>
      <c r="V352" s="71">
        <f>IF(ISERROR(VLOOKUP($S$352,'TAR FIN'!$A$1:$O$120,15,0)),0,VLOOKUP($S$352,'TAR FIN'!$A$1:$O$120,15,0))*(1-0.12)</f>
        <v>7.7528000000000006</v>
      </c>
      <c r="W352" s="71">
        <f>IF(ISERROR(VLOOKUP($T$352,'TAR FIN'!$A$1:$O$120,15,0)),0,VLOOKUP($T$352,'TAR FIN'!$A$1:$O$120,15,0))</f>
        <v>0</v>
      </c>
      <c r="X352" s="71">
        <f>IF(ISERROR(VLOOKUP($U$352,'TAR FIN'!$A$1:$O$120,15,0)),0,VLOOKUP($U$352,'TAR FIN'!$A$1:$O$120,15,0))</f>
        <v>0</v>
      </c>
      <c r="Y352" s="71">
        <f ca="1">('TUSD BE'!$AM$20+'TUSD BF'!$AM$20+'TUSD CVA'!$AM$20)*1*(1-0.09)</f>
        <v>10.421644550274408</v>
      </c>
      <c r="Z352" s="71"/>
      <c r="AA352" s="71"/>
      <c r="AB352" s="6">
        <f>$K$352*$V$352</f>
        <v>8915.7200000000012</v>
      </c>
      <c r="AC352" s="6">
        <f>$M$352*$W$352</f>
        <v>0</v>
      </c>
      <c r="AD352" s="6">
        <f>$O$352*$X$352</f>
        <v>0</v>
      </c>
      <c r="AE352" s="6">
        <f ca="1">$K$352*$Y$352</f>
        <v>11984.891232815569</v>
      </c>
      <c r="AF352" s="6">
        <f>$M$352*$Z$352</f>
        <v>0</v>
      </c>
      <c r="AG352" s="6">
        <f>$O$352*$AA$352</f>
        <v>0</v>
      </c>
    </row>
    <row r="353" spans="1:33" ht="11.25" customHeight="1" x14ac:dyDescent="0.25">
      <c r="A353" s="4" t="s">
        <v>21</v>
      </c>
      <c r="B353" s="4" t="s">
        <v>45</v>
      </c>
      <c r="C353" s="4" t="s">
        <v>34</v>
      </c>
      <c r="D353" s="4" t="s">
        <v>52</v>
      </c>
      <c r="E353" s="4" t="s">
        <v>53</v>
      </c>
      <c r="F353" s="4" t="s">
        <v>25</v>
      </c>
      <c r="G353" s="4" t="s">
        <v>25</v>
      </c>
      <c r="H353" s="4" t="s">
        <v>35</v>
      </c>
      <c r="I353" s="5">
        <v>43739</v>
      </c>
      <c r="J353" s="6">
        <v>0</v>
      </c>
      <c r="K353" s="71">
        <v>0</v>
      </c>
      <c r="L353" s="6">
        <v>46.58</v>
      </c>
      <c r="M353" s="71">
        <v>46.58</v>
      </c>
      <c r="N353" s="6">
        <v>46.58</v>
      </c>
      <c r="O353" s="71">
        <v>46.58</v>
      </c>
      <c r="P353" s="6">
        <v>0</v>
      </c>
      <c r="Q353" s="4" t="s">
        <v>26</v>
      </c>
      <c r="R353" s="4">
        <v>0</v>
      </c>
      <c r="S353" s="6">
        <v>0</v>
      </c>
      <c r="T353" s="6">
        <v>17</v>
      </c>
      <c r="U353" s="6">
        <v>79</v>
      </c>
      <c r="V353" s="71">
        <f>IF(ISERROR(VLOOKUP($S$353,'TAR FIN'!$A$1:$O$120,15,0)),0,VLOOKUP($S$353,'TAR FIN'!$A$1:$O$120,15,0))</f>
        <v>0</v>
      </c>
      <c r="W353" s="71">
        <f>IF(ISERROR(VLOOKUP($T$353,'TAR FIN'!$A$1:$O$120,15,0)),0,VLOOKUP($T$353,'TAR FIN'!$A$1:$O$120,15,0))*(1-0.12)</f>
        <v>564.95119999999997</v>
      </c>
      <c r="X353" s="71">
        <f>IF(ISERROR(VLOOKUP($U$353,'TAR FIN'!$A$1:$O$120,15,0)),0,VLOOKUP($U$353,'TAR FIN'!$A$1:$O$120,15,0))*(1-0.12)</f>
        <v>379.16559999999998</v>
      </c>
      <c r="Y353" s="71"/>
      <c r="Z353" s="71">
        <f ca="1">('TUSD BE'!$AM$21+'TUSD BF'!$AM$21+'TUSD CVA'!$AM$21)*1*(1-0.09)</f>
        <v>680.4376080140571</v>
      </c>
      <c r="AA353" s="71">
        <f>('TE BE'!$AA$7+'TE BF'!$AA$7+'TE CVA'!$AA$7)*1*(1-0.09)</f>
        <v>341.87954044517699</v>
      </c>
      <c r="AB353" s="6">
        <f>$K$353*$V$353</f>
        <v>0</v>
      </c>
      <c r="AC353" s="6">
        <f>$M$353*$W$353</f>
        <v>26315.426895999997</v>
      </c>
      <c r="AD353" s="6">
        <f>$O$353*$X$353</f>
        <v>17661.533647999997</v>
      </c>
      <c r="AE353" s="6">
        <f>$K$353*$Y$353</f>
        <v>0</v>
      </c>
      <c r="AF353" s="6">
        <f ca="1">$M$353*$Z$353</f>
        <v>31694.78378129478</v>
      </c>
      <c r="AG353" s="6">
        <f>$O$353*$AA$353</f>
        <v>15924.748993936344</v>
      </c>
    </row>
    <row r="354" spans="1:33" ht="11.25" customHeight="1" x14ac:dyDescent="0.25">
      <c r="A354" s="4" t="s">
        <v>21</v>
      </c>
      <c r="B354" s="4" t="s">
        <v>45</v>
      </c>
      <c r="C354" s="4" t="s">
        <v>34</v>
      </c>
      <c r="D354" s="4" t="s">
        <v>52</v>
      </c>
      <c r="E354" s="4" t="s">
        <v>53</v>
      </c>
      <c r="F354" s="4" t="s">
        <v>25</v>
      </c>
      <c r="G354" s="4" t="s">
        <v>25</v>
      </c>
      <c r="H354" s="4" t="s">
        <v>35</v>
      </c>
      <c r="I354" s="5">
        <v>43770</v>
      </c>
      <c r="J354" s="6">
        <v>0</v>
      </c>
      <c r="K354" s="71">
        <v>0</v>
      </c>
      <c r="L354" s="6">
        <v>50.598999999999997</v>
      </c>
      <c r="M354" s="71">
        <v>50.598999999999997</v>
      </c>
      <c r="N354" s="6">
        <v>50.598999999999997</v>
      </c>
      <c r="O354" s="71">
        <v>50.598999999999997</v>
      </c>
      <c r="P354" s="6">
        <v>0</v>
      </c>
      <c r="Q354" s="4" t="s">
        <v>26</v>
      </c>
      <c r="R354" s="4">
        <v>0</v>
      </c>
      <c r="S354" s="6">
        <v>0</v>
      </c>
      <c r="T354" s="6">
        <v>17</v>
      </c>
      <c r="U354" s="6">
        <v>79</v>
      </c>
      <c r="V354" s="71">
        <f>IF(ISERROR(VLOOKUP($S$354,'TAR FIN'!$A$1:$O$120,15,0)),0,VLOOKUP($S$354,'TAR FIN'!$A$1:$O$120,15,0))</f>
        <v>0</v>
      </c>
      <c r="W354" s="71">
        <f>IF(ISERROR(VLOOKUP($T$354,'TAR FIN'!$A$1:$O$120,15,0)),0,VLOOKUP($T$354,'TAR FIN'!$A$1:$O$120,15,0))*(1-0.12)</f>
        <v>564.95119999999997</v>
      </c>
      <c r="X354" s="71">
        <f>IF(ISERROR(VLOOKUP($U$354,'TAR FIN'!$A$1:$O$120,15,0)),0,VLOOKUP($U$354,'TAR FIN'!$A$1:$O$120,15,0))*(1-0.12)</f>
        <v>379.16559999999998</v>
      </c>
      <c r="Y354" s="71"/>
      <c r="Z354" s="71">
        <f ca="1">('TUSD BE'!$AM$21+'TUSD BF'!$AM$21+'TUSD CVA'!$AM$21)*1*(1-0.09)</f>
        <v>680.4376080140571</v>
      </c>
      <c r="AA354" s="71">
        <f>('TE BE'!$AA$7+'TE BF'!$AA$7+'TE CVA'!$AA$7)*1*(1-0.09)</f>
        <v>341.87954044517699</v>
      </c>
      <c r="AB354" s="6">
        <f>$K$354*$V$354</f>
        <v>0</v>
      </c>
      <c r="AC354" s="6">
        <f>$M$354*$W$354</f>
        <v>28585.965768799997</v>
      </c>
      <c r="AD354" s="6">
        <f>$O$354*$X$354</f>
        <v>19185.400194399997</v>
      </c>
      <c r="AE354" s="6">
        <f>$K$354*$Y$354</f>
        <v>0</v>
      </c>
      <c r="AF354" s="6">
        <f ca="1">$M$354*$Z$354</f>
        <v>34429.46252790327</v>
      </c>
      <c r="AG354" s="6">
        <f>$O$354*$AA$354</f>
        <v>17298.762866985508</v>
      </c>
    </row>
    <row r="355" spans="1:33" ht="11.25" customHeight="1" x14ac:dyDescent="0.25">
      <c r="A355" s="4" t="s">
        <v>21</v>
      </c>
      <c r="B355" s="4" t="s">
        <v>45</v>
      </c>
      <c r="C355" s="4" t="s">
        <v>34</v>
      </c>
      <c r="D355" s="4" t="s">
        <v>52</v>
      </c>
      <c r="E355" s="4" t="s">
        <v>53</v>
      </c>
      <c r="F355" s="4" t="s">
        <v>25</v>
      </c>
      <c r="G355" s="4" t="s">
        <v>25</v>
      </c>
      <c r="H355" s="4" t="s">
        <v>35</v>
      </c>
      <c r="I355" s="5">
        <v>43800</v>
      </c>
      <c r="J355" s="6">
        <v>0</v>
      </c>
      <c r="K355" s="71">
        <v>0</v>
      </c>
      <c r="L355" s="6">
        <v>44.917999999999999</v>
      </c>
      <c r="M355" s="71">
        <v>44.917999999999999</v>
      </c>
      <c r="N355" s="6">
        <v>44.917999999999999</v>
      </c>
      <c r="O355" s="71">
        <v>44.917999999999999</v>
      </c>
      <c r="P355" s="6">
        <v>0</v>
      </c>
      <c r="Q355" s="4" t="s">
        <v>26</v>
      </c>
      <c r="R355" s="4">
        <v>0</v>
      </c>
      <c r="S355" s="6">
        <v>0</v>
      </c>
      <c r="T355" s="6">
        <v>17</v>
      </c>
      <c r="U355" s="6">
        <v>79</v>
      </c>
      <c r="V355" s="71">
        <f>IF(ISERROR(VLOOKUP($S$355,'TAR FIN'!$A$1:$O$120,15,0)),0,VLOOKUP($S$355,'TAR FIN'!$A$1:$O$120,15,0))</f>
        <v>0</v>
      </c>
      <c r="W355" s="71">
        <f>IF(ISERROR(VLOOKUP($T$355,'TAR FIN'!$A$1:$O$120,15,0)),0,VLOOKUP($T$355,'TAR FIN'!$A$1:$O$120,15,0))*(1-0.12)</f>
        <v>564.95119999999997</v>
      </c>
      <c r="X355" s="71">
        <f>IF(ISERROR(VLOOKUP($U$355,'TAR FIN'!$A$1:$O$120,15,0)),0,VLOOKUP($U$355,'TAR FIN'!$A$1:$O$120,15,0))*(1-0.12)</f>
        <v>379.16559999999998</v>
      </c>
      <c r="Y355" s="71"/>
      <c r="Z355" s="71">
        <f ca="1">('TUSD BE'!$AM$21+'TUSD BF'!$AM$21+'TUSD CVA'!$AM$21)*1*(1-0.09)</f>
        <v>680.4376080140571</v>
      </c>
      <c r="AA355" s="71">
        <f>('TE BE'!$AA$7+'TE BF'!$AA$7+'TE CVA'!$AA$7)*1*(1-0.09)</f>
        <v>341.87954044517699</v>
      </c>
      <c r="AB355" s="6">
        <f>$K$355*$V$355</f>
        <v>0</v>
      </c>
      <c r="AC355" s="6">
        <f>$M$355*$W$355</f>
        <v>25376.478001599997</v>
      </c>
      <c r="AD355" s="6">
        <f>$O$355*$X$355</f>
        <v>17031.3604208</v>
      </c>
      <c r="AE355" s="6">
        <f>$K$355*$Y$355</f>
        <v>0</v>
      </c>
      <c r="AF355" s="6">
        <f ca="1">$M$355*$Z$355</f>
        <v>30563.896476775415</v>
      </c>
      <c r="AG355" s="6">
        <f>$O$355*$AA$355</f>
        <v>15356.545197716459</v>
      </c>
    </row>
    <row r="356" spans="1:33" ht="11.25" customHeight="1" x14ac:dyDescent="0.25">
      <c r="A356" s="4" t="s">
        <v>21</v>
      </c>
      <c r="B356" s="4" t="s">
        <v>45</v>
      </c>
      <c r="C356" s="4" t="s">
        <v>34</v>
      </c>
      <c r="D356" s="4" t="s">
        <v>52</v>
      </c>
      <c r="E356" s="4" t="s">
        <v>53</v>
      </c>
      <c r="F356" s="4" t="s">
        <v>25</v>
      </c>
      <c r="G356" s="4" t="s">
        <v>25</v>
      </c>
      <c r="H356" s="4" t="s">
        <v>35</v>
      </c>
      <c r="I356" s="5">
        <v>43831</v>
      </c>
      <c r="J356" s="6">
        <v>0</v>
      </c>
      <c r="K356" s="71">
        <v>0</v>
      </c>
      <c r="L356" s="6">
        <v>46.936999999999998</v>
      </c>
      <c r="M356" s="71">
        <v>46.936999999999998</v>
      </c>
      <c r="N356" s="6">
        <v>46.936999999999998</v>
      </c>
      <c r="O356" s="71">
        <v>46.936999999999998</v>
      </c>
      <c r="P356" s="6">
        <v>0</v>
      </c>
      <c r="Q356" s="4" t="s">
        <v>26</v>
      </c>
      <c r="R356" s="4">
        <v>0</v>
      </c>
      <c r="S356" s="6">
        <v>0</v>
      </c>
      <c r="T356" s="6">
        <v>17</v>
      </c>
      <c r="U356" s="6">
        <v>79</v>
      </c>
      <c r="V356" s="71">
        <f>IF(ISERROR(VLOOKUP($S$356,'TAR FIN'!$A$1:$O$120,15,0)),0,VLOOKUP($S$356,'TAR FIN'!$A$1:$O$120,15,0))</f>
        <v>0</v>
      </c>
      <c r="W356" s="71">
        <f>IF(ISERROR(VLOOKUP($T$356,'TAR FIN'!$A$1:$O$120,15,0)),0,VLOOKUP($T$356,'TAR FIN'!$A$1:$O$120,15,0))*(1-0.12)</f>
        <v>564.95119999999997</v>
      </c>
      <c r="X356" s="71">
        <f>IF(ISERROR(VLOOKUP($U$356,'TAR FIN'!$A$1:$O$120,15,0)),0,VLOOKUP($U$356,'TAR FIN'!$A$1:$O$120,15,0))*(1-0.12)</f>
        <v>379.16559999999998</v>
      </c>
      <c r="Y356" s="71"/>
      <c r="Z356" s="71">
        <f ca="1">('TUSD BE'!$AM$21+'TUSD BF'!$AM$21+'TUSD CVA'!$AM$21)*1*(1-0.09)</f>
        <v>680.4376080140571</v>
      </c>
      <c r="AA356" s="71">
        <f>('TE BE'!$AA$7+'TE BF'!$AA$7+'TE CVA'!$AA$7)*1*(1-0.09)</f>
        <v>341.87954044517699</v>
      </c>
      <c r="AB356" s="6">
        <f>$K$356*$V$356</f>
        <v>0</v>
      </c>
      <c r="AC356" s="6">
        <f>$M$356*$W$356</f>
        <v>26517.114474399998</v>
      </c>
      <c r="AD356" s="6">
        <f>$O$356*$X$356</f>
        <v>17796.8957672</v>
      </c>
      <c r="AE356" s="6">
        <f>$K$356*$Y$356</f>
        <v>0</v>
      </c>
      <c r="AF356" s="6">
        <f ca="1">$M$356*$Z$356</f>
        <v>31937.700007355797</v>
      </c>
      <c r="AG356" s="6">
        <f>$O$356*$AA$356</f>
        <v>16046.799989875271</v>
      </c>
    </row>
    <row r="357" spans="1:33" ht="11.25" customHeight="1" x14ac:dyDescent="0.25">
      <c r="A357" s="4" t="s">
        <v>21</v>
      </c>
      <c r="B357" s="4" t="s">
        <v>45</v>
      </c>
      <c r="C357" s="4" t="s">
        <v>34</v>
      </c>
      <c r="D357" s="4" t="s">
        <v>52</v>
      </c>
      <c r="E357" s="4" t="s">
        <v>53</v>
      </c>
      <c r="F357" s="4" t="s">
        <v>25</v>
      </c>
      <c r="G357" s="4" t="s">
        <v>25</v>
      </c>
      <c r="H357" s="4" t="s">
        <v>35</v>
      </c>
      <c r="I357" s="5">
        <v>43862</v>
      </c>
      <c r="J357" s="6">
        <v>0</v>
      </c>
      <c r="K357" s="71">
        <v>0</v>
      </c>
      <c r="L357" s="6">
        <v>51.484000000000002</v>
      </c>
      <c r="M357" s="71">
        <v>51.484000000000002</v>
      </c>
      <c r="N357" s="6">
        <v>51.484000000000002</v>
      </c>
      <c r="O357" s="71">
        <v>51.484000000000002</v>
      </c>
      <c r="P357" s="6">
        <v>0</v>
      </c>
      <c r="Q357" s="4" t="s">
        <v>26</v>
      </c>
      <c r="R357" s="4">
        <v>0</v>
      </c>
      <c r="S357" s="6">
        <v>0</v>
      </c>
      <c r="T357" s="6">
        <v>17</v>
      </c>
      <c r="U357" s="6">
        <v>79</v>
      </c>
      <c r="V357" s="71">
        <f>IF(ISERROR(VLOOKUP($S$357,'TAR FIN'!$A$1:$O$120,15,0)),0,VLOOKUP($S$357,'TAR FIN'!$A$1:$O$120,15,0))</f>
        <v>0</v>
      </c>
      <c r="W357" s="71">
        <f>IF(ISERROR(VLOOKUP($T$357,'TAR FIN'!$A$1:$O$120,15,0)),0,VLOOKUP($T$357,'TAR FIN'!$A$1:$O$120,15,0))*(1-0.12)</f>
        <v>564.95119999999997</v>
      </c>
      <c r="X357" s="71">
        <f>IF(ISERROR(VLOOKUP($U$357,'TAR FIN'!$A$1:$O$120,15,0)),0,VLOOKUP($U$357,'TAR FIN'!$A$1:$O$120,15,0))*(1-0.12)</f>
        <v>379.16559999999998</v>
      </c>
      <c r="Y357" s="71"/>
      <c r="Z357" s="71">
        <f ca="1">('TUSD BE'!$AM$21+'TUSD BF'!$AM$21+'TUSD CVA'!$AM$21)*1*(1-0.09)</f>
        <v>680.4376080140571</v>
      </c>
      <c r="AA357" s="71">
        <f>('TE BE'!$AA$7+'TE BF'!$AA$7+'TE CVA'!$AA$7)*1*(1-0.09)</f>
        <v>341.87954044517699</v>
      </c>
      <c r="AB357" s="6">
        <f>$K$357*$V$357</f>
        <v>0</v>
      </c>
      <c r="AC357" s="6">
        <f>$M$357*$W$357</f>
        <v>29085.947580799999</v>
      </c>
      <c r="AD357" s="6">
        <f>$O$357*$X$357</f>
        <v>19520.961750400002</v>
      </c>
      <c r="AE357" s="6">
        <f>$K$357*$Y$357</f>
        <v>0</v>
      </c>
      <c r="AF357" s="6">
        <f ca="1">$M$357*$Z$357</f>
        <v>35031.649810995717</v>
      </c>
      <c r="AG357" s="6">
        <f>$O$357*$AA$357</f>
        <v>17601.326260279493</v>
      </c>
    </row>
    <row r="358" spans="1:33" ht="11.25" customHeight="1" x14ac:dyDescent="0.25">
      <c r="A358" s="4" t="s">
        <v>21</v>
      </c>
      <c r="B358" s="4" t="s">
        <v>45</v>
      </c>
      <c r="C358" s="4" t="s">
        <v>34</v>
      </c>
      <c r="D358" s="4" t="s">
        <v>52</v>
      </c>
      <c r="E358" s="4" t="s">
        <v>53</v>
      </c>
      <c r="F358" s="4" t="s">
        <v>25</v>
      </c>
      <c r="G358" s="4" t="s">
        <v>25</v>
      </c>
      <c r="H358" s="4" t="s">
        <v>35</v>
      </c>
      <c r="I358" s="5">
        <v>43891</v>
      </c>
      <c r="J358" s="6">
        <v>0</v>
      </c>
      <c r="K358" s="71">
        <v>0</v>
      </c>
      <c r="L358" s="6">
        <v>38.881</v>
      </c>
      <c r="M358" s="71">
        <v>38.881</v>
      </c>
      <c r="N358" s="6">
        <v>38.881</v>
      </c>
      <c r="O358" s="71">
        <v>38.881</v>
      </c>
      <c r="P358" s="6">
        <v>0</v>
      </c>
      <c r="Q358" s="4" t="s">
        <v>26</v>
      </c>
      <c r="R358" s="4">
        <v>0</v>
      </c>
      <c r="S358" s="6">
        <v>0</v>
      </c>
      <c r="T358" s="6">
        <v>17</v>
      </c>
      <c r="U358" s="6">
        <v>79</v>
      </c>
      <c r="V358" s="71">
        <f>IF(ISERROR(VLOOKUP($S$358,'TAR FIN'!$A$1:$O$120,15,0)),0,VLOOKUP($S$358,'TAR FIN'!$A$1:$O$120,15,0))</f>
        <v>0</v>
      </c>
      <c r="W358" s="71">
        <f>IF(ISERROR(VLOOKUP($T$358,'TAR FIN'!$A$1:$O$120,15,0)),0,VLOOKUP($T$358,'TAR FIN'!$A$1:$O$120,15,0))*(1-0.12)</f>
        <v>564.95119999999997</v>
      </c>
      <c r="X358" s="71">
        <f>IF(ISERROR(VLOOKUP($U$358,'TAR FIN'!$A$1:$O$120,15,0)),0,VLOOKUP($U$358,'TAR FIN'!$A$1:$O$120,15,0))*(1-0.12)</f>
        <v>379.16559999999998</v>
      </c>
      <c r="Y358" s="71"/>
      <c r="Z358" s="71">
        <f ca="1">('TUSD BE'!$AM$21+'TUSD BF'!$AM$21+'TUSD CVA'!$AM$21)*1*(1-0.09)</f>
        <v>680.4376080140571</v>
      </c>
      <c r="AA358" s="71">
        <f>('TE BE'!$AA$7+'TE BF'!$AA$7+'TE CVA'!$AA$7)*1*(1-0.09)</f>
        <v>341.87954044517699</v>
      </c>
      <c r="AB358" s="6">
        <f>$K$358*$V$358</f>
        <v>0</v>
      </c>
      <c r="AC358" s="6">
        <f>$M$358*$W$358</f>
        <v>21965.867607199998</v>
      </c>
      <c r="AD358" s="6">
        <f>$O$358*$X$358</f>
        <v>14742.337693599999</v>
      </c>
      <c r="AE358" s="6">
        <f>$K$358*$Y$358</f>
        <v>0</v>
      </c>
      <c r="AF358" s="6">
        <f ca="1">$M$358*$Z$358</f>
        <v>26456.094637194554</v>
      </c>
      <c r="AG358" s="6">
        <f>$O$358*$AA$358</f>
        <v>13292.618412048927</v>
      </c>
    </row>
    <row r="359" spans="1:33" ht="11.25" customHeight="1" x14ac:dyDescent="0.25">
      <c r="A359" s="4" t="s">
        <v>21</v>
      </c>
      <c r="B359" s="4" t="s">
        <v>45</v>
      </c>
      <c r="C359" s="4" t="s">
        <v>34</v>
      </c>
      <c r="D359" s="4" t="s">
        <v>52</v>
      </c>
      <c r="E359" s="4" t="s">
        <v>53</v>
      </c>
      <c r="F359" s="4" t="s">
        <v>25</v>
      </c>
      <c r="G359" s="4" t="s">
        <v>25</v>
      </c>
      <c r="H359" s="4" t="s">
        <v>35</v>
      </c>
      <c r="I359" s="5">
        <v>43922</v>
      </c>
      <c r="J359" s="6">
        <v>0</v>
      </c>
      <c r="K359" s="71">
        <v>0</v>
      </c>
      <c r="L359" s="6">
        <v>38.920999999999999</v>
      </c>
      <c r="M359" s="71">
        <v>38.920999999999999</v>
      </c>
      <c r="N359" s="6">
        <v>38.920999999999999</v>
      </c>
      <c r="O359" s="71">
        <v>38.920999999999999</v>
      </c>
      <c r="P359" s="6">
        <v>0</v>
      </c>
      <c r="Q359" s="4" t="s">
        <v>26</v>
      </c>
      <c r="R359" s="4">
        <v>0</v>
      </c>
      <c r="S359" s="6">
        <v>0</v>
      </c>
      <c r="T359" s="6">
        <v>17</v>
      </c>
      <c r="U359" s="6">
        <v>79</v>
      </c>
      <c r="V359" s="71">
        <f>IF(ISERROR(VLOOKUP($S$359,'TAR FIN'!$A$1:$O$120,15,0)),0,VLOOKUP($S$359,'TAR FIN'!$A$1:$O$120,15,0))</f>
        <v>0</v>
      </c>
      <c r="W359" s="71">
        <f>IF(ISERROR(VLOOKUP($T$359,'TAR FIN'!$A$1:$O$120,15,0)),0,VLOOKUP($T$359,'TAR FIN'!$A$1:$O$120,15,0))*(1-0.12)</f>
        <v>564.95119999999997</v>
      </c>
      <c r="X359" s="71">
        <f>IF(ISERROR(VLOOKUP($U$359,'TAR FIN'!$A$1:$O$120,15,0)),0,VLOOKUP($U$359,'TAR FIN'!$A$1:$O$120,15,0))*(1-0.12)</f>
        <v>379.16559999999998</v>
      </c>
      <c r="Y359" s="71"/>
      <c r="Z359" s="71">
        <f ca="1">('TUSD BE'!$AM$21+'TUSD BF'!$AM$21+'TUSD CVA'!$AM$21)*1*(1-0.09)</f>
        <v>680.4376080140571</v>
      </c>
      <c r="AA359" s="71">
        <f>('TE BE'!$AA$7+'TE BF'!$AA$7+'TE CVA'!$AA$7)*1*(1-0.09)</f>
        <v>341.87954044517699</v>
      </c>
      <c r="AB359" s="6">
        <f>$K$359*$V$359</f>
        <v>0</v>
      </c>
      <c r="AC359" s="6">
        <f>$M$359*$W$359</f>
        <v>21988.465655199998</v>
      </c>
      <c r="AD359" s="6">
        <f>$O$359*$X$359</f>
        <v>14757.5043176</v>
      </c>
      <c r="AE359" s="6">
        <f>$K$359*$Y$359</f>
        <v>0</v>
      </c>
      <c r="AF359" s="6">
        <f ca="1">$M$359*$Z$359</f>
        <v>26483.312141515114</v>
      </c>
      <c r="AG359" s="6">
        <f>$O$359*$AA$359</f>
        <v>13306.293593666733</v>
      </c>
    </row>
    <row r="360" spans="1:33" ht="11.25" customHeight="1" x14ac:dyDescent="0.25">
      <c r="A360" s="4" t="s">
        <v>21</v>
      </c>
      <c r="B360" s="4" t="s">
        <v>45</v>
      </c>
      <c r="C360" s="4" t="s">
        <v>34</v>
      </c>
      <c r="D360" s="4" t="s">
        <v>52</v>
      </c>
      <c r="E360" s="4" t="s">
        <v>53</v>
      </c>
      <c r="F360" s="4" t="s">
        <v>25</v>
      </c>
      <c r="G360" s="4" t="s">
        <v>25</v>
      </c>
      <c r="H360" s="4" t="s">
        <v>35</v>
      </c>
      <c r="I360" s="5">
        <v>43952</v>
      </c>
      <c r="J360" s="6">
        <v>0</v>
      </c>
      <c r="K360" s="71">
        <v>0</v>
      </c>
      <c r="L360" s="6">
        <v>43.56</v>
      </c>
      <c r="M360" s="71">
        <v>43.56</v>
      </c>
      <c r="N360" s="6">
        <v>43.56</v>
      </c>
      <c r="O360" s="71">
        <v>43.56</v>
      </c>
      <c r="P360" s="6">
        <v>0</v>
      </c>
      <c r="Q360" s="4" t="s">
        <v>26</v>
      </c>
      <c r="R360" s="4">
        <v>0</v>
      </c>
      <c r="S360" s="6">
        <v>0</v>
      </c>
      <c r="T360" s="6">
        <v>17</v>
      </c>
      <c r="U360" s="6">
        <v>79</v>
      </c>
      <c r="V360" s="71">
        <f>IF(ISERROR(VLOOKUP($S$360,'TAR FIN'!$A$1:$O$120,15,0)),0,VLOOKUP($S$360,'TAR FIN'!$A$1:$O$120,15,0))</f>
        <v>0</v>
      </c>
      <c r="W360" s="71">
        <f>IF(ISERROR(VLOOKUP($T$360,'TAR FIN'!$A$1:$O$120,15,0)),0,VLOOKUP($T$360,'TAR FIN'!$A$1:$O$120,15,0))*(1-0.12)</f>
        <v>564.95119999999997</v>
      </c>
      <c r="X360" s="71">
        <f>IF(ISERROR(VLOOKUP($U$360,'TAR FIN'!$A$1:$O$120,15,0)),0,VLOOKUP($U$360,'TAR FIN'!$A$1:$O$120,15,0))*(1-0.12)</f>
        <v>379.16559999999998</v>
      </c>
      <c r="Y360" s="71"/>
      <c r="Z360" s="71">
        <f ca="1">('TUSD BE'!$AM$21+'TUSD BF'!$AM$21+'TUSD CVA'!$AM$21)*1*(1-0.09)</f>
        <v>680.4376080140571</v>
      </c>
      <c r="AA360" s="71">
        <f>('TE BE'!$AA$7+'TE BF'!$AA$7+'TE CVA'!$AA$7)*1*(1-0.09)</f>
        <v>341.87954044517699</v>
      </c>
      <c r="AB360" s="6">
        <f>$K$360*$V$360</f>
        <v>0</v>
      </c>
      <c r="AC360" s="6">
        <f>$M$360*$W$360</f>
        <v>24609.274271999999</v>
      </c>
      <c r="AD360" s="6">
        <f>$O$360*$X$360</f>
        <v>16516.453536000001</v>
      </c>
      <c r="AE360" s="6">
        <f>$K$360*$Y$360</f>
        <v>0</v>
      </c>
      <c r="AF360" s="6">
        <f ca="1">$M$360*$Z$360</f>
        <v>29639.86220509233</v>
      </c>
      <c r="AG360" s="6">
        <f>$O$360*$AA$360</f>
        <v>14892.272781791909</v>
      </c>
    </row>
    <row r="361" spans="1:33" ht="11.25" customHeight="1" x14ac:dyDescent="0.25">
      <c r="A361" s="4" t="s">
        <v>21</v>
      </c>
      <c r="B361" s="4" t="s">
        <v>45</v>
      </c>
      <c r="C361" s="4" t="s">
        <v>34</v>
      </c>
      <c r="D361" s="4" t="s">
        <v>52</v>
      </c>
      <c r="E361" s="4" t="s">
        <v>53</v>
      </c>
      <c r="F361" s="4" t="s">
        <v>25</v>
      </c>
      <c r="G361" s="4" t="s">
        <v>25</v>
      </c>
      <c r="H361" s="4" t="s">
        <v>35</v>
      </c>
      <c r="I361" s="5">
        <v>43983</v>
      </c>
      <c r="J361" s="6">
        <v>0</v>
      </c>
      <c r="K361" s="71">
        <v>0</v>
      </c>
      <c r="L361" s="6">
        <v>42.173000000000002</v>
      </c>
      <c r="M361" s="71">
        <v>42.173000000000002</v>
      </c>
      <c r="N361" s="6">
        <v>42.173000000000002</v>
      </c>
      <c r="O361" s="71">
        <v>42.173000000000002</v>
      </c>
      <c r="P361" s="6">
        <v>0</v>
      </c>
      <c r="Q361" s="4" t="s">
        <v>26</v>
      </c>
      <c r="R361" s="4">
        <v>0</v>
      </c>
      <c r="S361" s="6">
        <v>0</v>
      </c>
      <c r="T361" s="6">
        <v>17</v>
      </c>
      <c r="U361" s="6">
        <v>79</v>
      </c>
      <c r="V361" s="71">
        <f>IF(ISERROR(VLOOKUP($S$361,'TAR FIN'!$A$1:$O$120,15,0)),0,VLOOKUP($S$361,'TAR FIN'!$A$1:$O$120,15,0))</f>
        <v>0</v>
      </c>
      <c r="W361" s="71">
        <f>IF(ISERROR(VLOOKUP($T$361,'TAR FIN'!$A$1:$O$120,15,0)),0,VLOOKUP($T$361,'TAR FIN'!$A$1:$O$120,15,0))*(1-0.12)</f>
        <v>564.95119999999997</v>
      </c>
      <c r="X361" s="71">
        <f>IF(ISERROR(VLOOKUP($U$361,'TAR FIN'!$A$1:$O$120,15,0)),0,VLOOKUP($U$361,'TAR FIN'!$A$1:$O$120,15,0))*(1-0.12)</f>
        <v>379.16559999999998</v>
      </c>
      <c r="Y361" s="71"/>
      <c r="Z361" s="71">
        <f ca="1">('TUSD BE'!$AM$21+'TUSD BF'!$AM$21+'TUSD CVA'!$AM$21)*1*(1-0.09)</f>
        <v>680.4376080140571</v>
      </c>
      <c r="AA361" s="71">
        <f>('TE BE'!$AA$7+'TE BF'!$AA$7+'TE CVA'!$AA$7)*1*(1-0.09)</f>
        <v>341.87954044517699</v>
      </c>
      <c r="AB361" s="6">
        <f>$K$361*$V$361</f>
        <v>0</v>
      </c>
      <c r="AC361" s="6">
        <f>$M$361*$W$361</f>
        <v>23825.686957599999</v>
      </c>
      <c r="AD361" s="6">
        <f>$O$361*$X$361</f>
        <v>15990.5508488</v>
      </c>
      <c r="AE361" s="6">
        <f>$K$361*$Y$361</f>
        <v>0</v>
      </c>
      <c r="AF361" s="6">
        <f ca="1">$M$361*$Z$361</f>
        <v>28696.095242776832</v>
      </c>
      <c r="AG361" s="6">
        <f>$O$361*$AA$361</f>
        <v>14418.085859194449</v>
      </c>
    </row>
    <row r="362" spans="1:33" ht="11.25" customHeight="1" x14ac:dyDescent="0.25">
      <c r="A362" s="4" t="s">
        <v>21</v>
      </c>
      <c r="B362" s="4" t="s">
        <v>45</v>
      </c>
      <c r="C362" s="4" t="s">
        <v>34</v>
      </c>
      <c r="D362" s="4" t="s">
        <v>52</v>
      </c>
      <c r="E362" s="4" t="s">
        <v>53</v>
      </c>
      <c r="F362" s="4" t="s">
        <v>25</v>
      </c>
      <c r="G362" s="4" t="s">
        <v>25</v>
      </c>
      <c r="H362" s="4" t="s">
        <v>35</v>
      </c>
      <c r="I362" s="5">
        <v>44013</v>
      </c>
      <c r="J362" s="6">
        <v>0</v>
      </c>
      <c r="K362" s="71">
        <v>0</v>
      </c>
      <c r="L362" s="6">
        <v>44.671999999999997</v>
      </c>
      <c r="M362" s="71">
        <v>44.671999999999997</v>
      </c>
      <c r="N362" s="6">
        <v>44.671999999999997</v>
      </c>
      <c r="O362" s="71">
        <v>44.671999999999997</v>
      </c>
      <c r="P362" s="6">
        <v>0</v>
      </c>
      <c r="Q362" s="4" t="s">
        <v>26</v>
      </c>
      <c r="R362" s="4">
        <v>0</v>
      </c>
      <c r="S362" s="6">
        <v>0</v>
      </c>
      <c r="T362" s="6">
        <v>17</v>
      </c>
      <c r="U362" s="6">
        <v>79</v>
      </c>
      <c r="V362" s="71">
        <f>IF(ISERROR(VLOOKUP($S$362,'TAR FIN'!$A$1:$O$120,15,0)),0,VLOOKUP($S$362,'TAR FIN'!$A$1:$O$120,15,0))</f>
        <v>0</v>
      </c>
      <c r="W362" s="71">
        <f>IF(ISERROR(VLOOKUP($T$362,'TAR FIN'!$A$1:$O$120,15,0)),0,VLOOKUP($T$362,'TAR FIN'!$A$1:$O$120,15,0))*(1-0.12)</f>
        <v>564.95119999999997</v>
      </c>
      <c r="X362" s="71">
        <f>IF(ISERROR(VLOOKUP($U$362,'TAR FIN'!$A$1:$O$120,15,0)),0,VLOOKUP($U$362,'TAR FIN'!$A$1:$O$120,15,0))*(1-0.12)</f>
        <v>379.16559999999998</v>
      </c>
      <c r="Y362" s="71"/>
      <c r="Z362" s="71">
        <f ca="1">('TUSD BE'!$AM$21+'TUSD BF'!$AM$21+'TUSD CVA'!$AM$21)*1*(1-0.09)</f>
        <v>680.4376080140571</v>
      </c>
      <c r="AA362" s="71">
        <f>('TE BE'!$AA$7+'TE BF'!$AA$7+'TE CVA'!$AA$7)*1*(1-0.09)</f>
        <v>341.87954044517699</v>
      </c>
      <c r="AB362" s="6">
        <f>$K$362*$V$362</f>
        <v>0</v>
      </c>
      <c r="AC362" s="6">
        <f>$M$362*$W$362</f>
        <v>25237.500006399998</v>
      </c>
      <c r="AD362" s="6">
        <f>$O$362*$X$362</f>
        <v>16938.085683199999</v>
      </c>
      <c r="AE362" s="6">
        <f>$K$362*$Y$362</f>
        <v>0</v>
      </c>
      <c r="AF362" s="6">
        <f ca="1">$M$362*$Z$362</f>
        <v>30396.508825203957</v>
      </c>
      <c r="AG362" s="6">
        <f>$O$362*$AA$362</f>
        <v>15272.442830766946</v>
      </c>
    </row>
    <row r="363" spans="1:33" ht="11.25" customHeight="1" x14ac:dyDescent="0.25">
      <c r="A363" s="4" t="s">
        <v>21</v>
      </c>
      <c r="B363" s="4" t="s">
        <v>45</v>
      </c>
      <c r="C363" s="4" t="s">
        <v>34</v>
      </c>
      <c r="D363" s="4" t="s">
        <v>52</v>
      </c>
      <c r="E363" s="4" t="s">
        <v>53</v>
      </c>
      <c r="F363" s="4" t="s">
        <v>25</v>
      </c>
      <c r="G363" s="4" t="s">
        <v>25</v>
      </c>
      <c r="H363" s="4" t="s">
        <v>35</v>
      </c>
      <c r="I363" s="5">
        <v>44044</v>
      </c>
      <c r="J363" s="6">
        <v>0</v>
      </c>
      <c r="K363" s="71">
        <v>0</v>
      </c>
      <c r="L363" s="6">
        <v>48.335000000000001</v>
      </c>
      <c r="M363" s="71">
        <v>48.335000000000001</v>
      </c>
      <c r="N363" s="6">
        <v>48.335000000000001</v>
      </c>
      <c r="O363" s="71">
        <v>48.335000000000001</v>
      </c>
      <c r="P363" s="6">
        <v>0</v>
      </c>
      <c r="Q363" s="4" t="s">
        <v>26</v>
      </c>
      <c r="R363" s="4">
        <v>0</v>
      </c>
      <c r="S363" s="6">
        <v>0</v>
      </c>
      <c r="T363" s="6">
        <v>17</v>
      </c>
      <c r="U363" s="6">
        <v>79</v>
      </c>
      <c r="V363" s="71">
        <f>IF(ISERROR(VLOOKUP($S$363,'TAR FIN'!$A$1:$O$120,15,0)),0,VLOOKUP($S$363,'TAR FIN'!$A$1:$O$120,15,0))</f>
        <v>0</v>
      </c>
      <c r="W363" s="71">
        <f>IF(ISERROR(VLOOKUP($T$363,'TAR FIN'!$A$1:$O$120,15,0)),0,VLOOKUP($T$363,'TAR FIN'!$A$1:$O$120,15,0))*(1-0.12)</f>
        <v>564.95119999999997</v>
      </c>
      <c r="X363" s="71">
        <f>IF(ISERROR(VLOOKUP($U$363,'TAR FIN'!$A$1:$O$120,15,0)),0,VLOOKUP($U$363,'TAR FIN'!$A$1:$O$120,15,0))*(1-0.12)</f>
        <v>379.16559999999998</v>
      </c>
      <c r="Y363" s="71"/>
      <c r="Z363" s="71">
        <f ca="1">('TUSD BE'!$AM$21+'TUSD BF'!$AM$21+'TUSD CVA'!$AM$21)*1*(1-0.09)</f>
        <v>680.4376080140571</v>
      </c>
      <c r="AA363" s="71">
        <f>('TE BE'!$AA$7+'TE BF'!$AA$7+'TE CVA'!$AA$7)*1*(1-0.09)</f>
        <v>341.87954044517699</v>
      </c>
      <c r="AB363" s="6">
        <f>$K$363*$V$363</f>
        <v>0</v>
      </c>
      <c r="AC363" s="6">
        <f>$M$363*$W$363</f>
        <v>27306.916251999999</v>
      </c>
      <c r="AD363" s="6">
        <f>$O$363*$X$363</f>
        <v>18326.969276</v>
      </c>
      <c r="AE363" s="6">
        <f>$K$363*$Y$363</f>
        <v>0</v>
      </c>
      <c r="AF363" s="6">
        <f ca="1">$M$363*$Z$363</f>
        <v>32888.951783359451</v>
      </c>
      <c r="AG363" s="6">
        <f>$O$363*$AA$363</f>
        <v>16524.747587417631</v>
      </c>
    </row>
    <row r="364" spans="1:33" ht="11.25" customHeight="1" x14ac:dyDescent="0.25">
      <c r="A364" s="4" t="s">
        <v>59</v>
      </c>
      <c r="B364" s="4" t="s">
        <v>45</v>
      </c>
      <c r="C364" s="4" t="s">
        <v>34</v>
      </c>
      <c r="D364" s="4" t="s">
        <v>52</v>
      </c>
      <c r="E364" s="4" t="s">
        <v>53</v>
      </c>
      <c r="F364" s="4" t="s">
        <v>25</v>
      </c>
      <c r="G364" s="4" t="s">
        <v>25</v>
      </c>
      <c r="H364" s="4" t="s">
        <v>35</v>
      </c>
      <c r="I364" s="5">
        <v>44075</v>
      </c>
      <c r="J364" s="6">
        <v>0</v>
      </c>
      <c r="K364" s="71">
        <v>0</v>
      </c>
      <c r="L364" s="6">
        <v>48.335000000000001</v>
      </c>
      <c r="M364" s="71">
        <v>48.335000000000001</v>
      </c>
      <c r="N364" s="6">
        <v>48.335000000000001</v>
      </c>
      <c r="O364" s="71">
        <v>48.335000000000001</v>
      </c>
      <c r="P364" s="6">
        <v>0</v>
      </c>
      <c r="Q364" s="4" t="s">
        <v>26</v>
      </c>
      <c r="R364" s="4">
        <v>0</v>
      </c>
      <c r="S364" s="6">
        <v>0</v>
      </c>
      <c r="T364" s="6">
        <v>17</v>
      </c>
      <c r="U364" s="6">
        <v>79</v>
      </c>
      <c r="V364" s="71">
        <f>IF(ISERROR(VLOOKUP($S$364,'TAR FIN'!$A$1:$O$120,15,0)),0,VLOOKUP($S$364,'TAR FIN'!$A$1:$O$120,15,0))</f>
        <v>0</v>
      </c>
      <c r="W364" s="71">
        <f>IF(ISERROR(VLOOKUP($T$364,'TAR FIN'!$A$1:$O$120,15,0)),0,VLOOKUP($T$364,'TAR FIN'!$A$1:$O$120,15,0))*(1-0.12)</f>
        <v>564.95119999999997</v>
      </c>
      <c r="X364" s="71">
        <f>IF(ISERROR(VLOOKUP($U$364,'TAR FIN'!$A$1:$O$120,15,0)),0,VLOOKUP($U$364,'TAR FIN'!$A$1:$O$120,15,0))*(1-0.12)</f>
        <v>379.16559999999998</v>
      </c>
      <c r="Y364" s="71"/>
      <c r="Z364" s="71">
        <f ca="1">('TUSD BE'!$AM$21+'TUSD BF'!$AM$21+'TUSD CVA'!$AM$21)*1*(1-0.09)</f>
        <v>680.4376080140571</v>
      </c>
      <c r="AA364" s="71">
        <f>('TE BE'!$AA$7+'TE BF'!$AA$7+'TE CVA'!$AA$7)*1*(1-0.09)</f>
        <v>341.87954044517699</v>
      </c>
      <c r="AB364" s="6">
        <f>$K$364*$V$364</f>
        <v>0</v>
      </c>
      <c r="AC364" s="6">
        <f>$M$364*$W$364</f>
        <v>27306.916251999999</v>
      </c>
      <c r="AD364" s="6">
        <f>$O$364*$X$364</f>
        <v>18326.969276</v>
      </c>
      <c r="AE364" s="6">
        <f>$K$364*$Y$364</f>
        <v>0</v>
      </c>
      <c r="AF364" s="6">
        <f ca="1">$M$364*$Z$364</f>
        <v>32888.951783359451</v>
      </c>
      <c r="AG364" s="6">
        <f>$O$364*$AA$364</f>
        <v>16524.747587417631</v>
      </c>
    </row>
    <row r="365" spans="1:33" ht="11.25" customHeight="1" x14ac:dyDescent="0.25">
      <c r="A365" s="4" t="s">
        <v>21</v>
      </c>
      <c r="B365" s="4" t="s">
        <v>33</v>
      </c>
      <c r="C365" s="4" t="s">
        <v>41</v>
      </c>
      <c r="D365" s="4" t="s">
        <v>42</v>
      </c>
      <c r="E365" s="4" t="s">
        <v>25</v>
      </c>
      <c r="F365" s="4" t="s">
        <v>25</v>
      </c>
      <c r="G365" s="4" t="s">
        <v>25</v>
      </c>
      <c r="H365" s="4" t="s">
        <v>36</v>
      </c>
      <c r="I365" s="5">
        <v>43739</v>
      </c>
      <c r="J365" s="6">
        <v>45023</v>
      </c>
      <c r="K365" s="6">
        <v>45023</v>
      </c>
      <c r="L365" s="6">
        <v>15558.128000000001</v>
      </c>
      <c r="M365" s="6">
        <v>15558.128000000001</v>
      </c>
      <c r="N365" s="6">
        <v>15558.128000000001</v>
      </c>
      <c r="O365" s="6">
        <v>15558.128000000001</v>
      </c>
      <c r="P365" s="6">
        <v>0</v>
      </c>
      <c r="Q365" s="4" t="s">
        <v>26</v>
      </c>
      <c r="R365" s="4">
        <v>0</v>
      </c>
      <c r="S365" s="6">
        <v>22</v>
      </c>
      <c r="T365" s="6">
        <v>23</v>
      </c>
      <c r="U365" s="6">
        <v>82</v>
      </c>
      <c r="V365" s="6">
        <f>IF(ISERROR(VLOOKUP($S$365,'TAR FIN'!$A$1:$O$120,15,0)),0,VLOOKUP($S$365,'TAR FIN'!$A$1:$O$120,15,0))</f>
        <v>8.81</v>
      </c>
      <c r="W365" s="6">
        <f>IF(ISERROR(VLOOKUP($T$365,'TAR FIN'!$A$1:$O$120,15,0)),0,VLOOKUP($T$365,'TAR FIN'!$A$1:$O$120,15,0))</f>
        <v>84.45</v>
      </c>
      <c r="X365" s="6">
        <f>IF(ISERROR(VLOOKUP($U$365,'TAR FIN'!$A$1:$O$120,15,0)),0,VLOOKUP($U$365,'TAR FIN'!$A$1:$O$120,15,0))</f>
        <v>256.38</v>
      </c>
      <c r="Y365" s="6">
        <f ca="1">('TUSD BE'!$AM$28+'TUSD BF'!$AM$28+'TUSD CVA'!$AM$28)*1</f>
        <v>11.452356648653195</v>
      </c>
      <c r="Z365" s="6">
        <f ca="1">('TUSD BE'!$AM$29+'TUSD BF'!$AM$29+'TUSD CVA'!$AM$29)*1</f>
        <v>87.519361965254689</v>
      </c>
      <c r="AA365" s="6">
        <f>('TE BE'!$AA$11+'TE BF'!$AA$11+'TE CVA'!$AA$11)*1</f>
        <v>230.83420940933817</v>
      </c>
      <c r="AB365" s="6">
        <f>$K$365*$V$365</f>
        <v>396652.63</v>
      </c>
      <c r="AC365" s="6">
        <f>$M$365*$W$365</f>
        <v>1313883.9096000001</v>
      </c>
      <c r="AD365" s="6">
        <f>$O$365*$X$365</f>
        <v>3988792.8566399999</v>
      </c>
      <c r="AE365" s="6">
        <f ca="1">$K$365*$Y$365</f>
        <v>515619.4533923128</v>
      </c>
      <c r="AF365" s="6">
        <f ca="1">$M$365*$Z$365</f>
        <v>1361637.4359337641</v>
      </c>
      <c r="AG365" s="6">
        <f>$O$365*$AA$365</f>
        <v>3591348.1767692878</v>
      </c>
    </row>
    <row r="366" spans="1:33" ht="11.25" customHeight="1" x14ac:dyDescent="0.25">
      <c r="A366" s="4" t="s">
        <v>27</v>
      </c>
      <c r="B366" s="4" t="s">
        <v>33</v>
      </c>
      <c r="C366" s="4" t="s">
        <v>41</v>
      </c>
      <c r="D366" s="4" t="s">
        <v>42</v>
      </c>
      <c r="E366" s="4" t="s">
        <v>25</v>
      </c>
      <c r="F366" s="4" t="s">
        <v>25</v>
      </c>
      <c r="G366" s="4" t="s">
        <v>25</v>
      </c>
      <c r="H366" s="4" t="s">
        <v>36</v>
      </c>
      <c r="I366" s="5">
        <v>43739</v>
      </c>
      <c r="J366" s="6">
        <v>89</v>
      </c>
      <c r="K366" s="6">
        <v>89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4" t="s">
        <v>26</v>
      </c>
      <c r="R366" s="4">
        <v>0</v>
      </c>
      <c r="S366" s="6">
        <v>22</v>
      </c>
      <c r="T366" s="6">
        <v>0</v>
      </c>
      <c r="U366" s="6">
        <v>0</v>
      </c>
      <c r="V366" s="6">
        <f>IF(ISERROR(VLOOKUP($S$366,'TAR FIN'!$A$1:$O$120,15,0)),0,VLOOKUP($S$366,'TAR FIN'!$A$1:$O$120,15,0))</f>
        <v>8.81</v>
      </c>
      <c r="W366" s="6">
        <f>IF(ISERROR(VLOOKUP($T$366,'TAR FIN'!$A$1:$O$120,15,0)),0,VLOOKUP($T$366,'TAR FIN'!$A$1:$O$120,15,0))</f>
        <v>0</v>
      </c>
      <c r="X366" s="6">
        <f>IF(ISERROR(VLOOKUP($U$366,'TAR FIN'!$A$1:$O$120,15,0)),0,VLOOKUP($U$366,'TAR FIN'!$A$1:$O$120,15,0))</f>
        <v>0</v>
      </c>
      <c r="Y366" s="6">
        <f ca="1">('TUSD BE'!$AM$28+'TUSD BF'!$AM$28+'TUSD CVA'!$AM$28)*1</f>
        <v>11.452356648653195</v>
      </c>
      <c r="Z366" s="6">
        <f ca="1">('TUSD BE'!$AM$29+'TUSD BF'!$AM$29+'TUSD CVA'!$AM$29)*1</f>
        <v>87.519361965254689</v>
      </c>
      <c r="AA366" s="6">
        <f>('TE BE'!$AA$11+'TE BF'!$AA$11+'TE CVA'!$AA$11)*1</f>
        <v>230.83420940933817</v>
      </c>
      <c r="AB366" s="6">
        <f>$K$366*$V$366</f>
        <v>784.09</v>
      </c>
      <c r="AC366" s="6">
        <f>$M$366*$W$366</f>
        <v>0</v>
      </c>
      <c r="AD366" s="6">
        <f>$O$366*$X$366</f>
        <v>0</v>
      </c>
      <c r="AE366" s="6">
        <f ca="1">$K$366*$Y$366</f>
        <v>1019.2597417301344</v>
      </c>
      <c r="AF366" s="6">
        <f ca="1">$M$366*$Z$366</f>
        <v>0</v>
      </c>
      <c r="AG366" s="6">
        <f>$O$366*$AA$366</f>
        <v>0</v>
      </c>
    </row>
    <row r="367" spans="1:33" ht="11.25" customHeight="1" x14ac:dyDescent="0.25">
      <c r="A367" s="4" t="s">
        <v>28</v>
      </c>
      <c r="B367" s="4" t="s">
        <v>33</v>
      </c>
      <c r="C367" s="4" t="s">
        <v>41</v>
      </c>
      <c r="D367" s="4" t="s">
        <v>42</v>
      </c>
      <c r="E367" s="4" t="s">
        <v>25</v>
      </c>
      <c r="F367" s="4" t="s">
        <v>25</v>
      </c>
      <c r="G367" s="4" t="s">
        <v>25</v>
      </c>
      <c r="H367" s="4" t="s">
        <v>36</v>
      </c>
      <c r="I367" s="5">
        <v>43739</v>
      </c>
      <c r="J367" s="6">
        <v>550</v>
      </c>
      <c r="K367" s="6">
        <v>550</v>
      </c>
      <c r="L367" s="6">
        <v>105.108</v>
      </c>
      <c r="M367" s="6">
        <v>105.108</v>
      </c>
      <c r="N367" s="6">
        <v>105.108</v>
      </c>
      <c r="O367" s="6">
        <v>105.108</v>
      </c>
      <c r="P367" s="6">
        <v>0</v>
      </c>
      <c r="Q367" s="4" t="s">
        <v>26</v>
      </c>
      <c r="R367" s="4">
        <v>0</v>
      </c>
      <c r="S367" s="6">
        <v>22</v>
      </c>
      <c r="T367" s="6">
        <v>23</v>
      </c>
      <c r="U367" s="6">
        <v>82</v>
      </c>
      <c r="V367" s="6">
        <f>IF(ISERROR(VLOOKUP($S$367,'TAR FIN'!$A$1:$O$120,15,0)),0,VLOOKUP($S$367,'TAR FIN'!$A$1:$O$120,15,0))</f>
        <v>8.81</v>
      </c>
      <c r="W367" s="6">
        <f>IF(ISERROR(VLOOKUP($T$367,'TAR FIN'!$A$1:$O$120,15,0)),0,VLOOKUP($T$367,'TAR FIN'!$A$1:$O$120,15,0))</f>
        <v>84.45</v>
      </c>
      <c r="X367" s="6">
        <f>IF(ISERROR(VLOOKUP($U$367,'TAR FIN'!$A$1:$O$120,15,0)),0,VLOOKUP($U$367,'TAR FIN'!$A$1:$O$120,15,0))</f>
        <v>256.38</v>
      </c>
      <c r="Y367" s="6">
        <f ca="1">('TUSD BE'!$AM$28+'TUSD BF'!$AM$28+'TUSD CVA'!$AM$28)*1</f>
        <v>11.452356648653195</v>
      </c>
      <c r="Z367" s="6">
        <f ca="1">('TUSD BE'!$AM$29+'TUSD BF'!$AM$29+'TUSD CVA'!$AM$29)*1</f>
        <v>87.519361965254689</v>
      </c>
      <c r="AA367" s="6">
        <f>('TE BE'!$AA$11+'TE BF'!$AA$11+'TE CVA'!$AA$11)*1</f>
        <v>230.83420940933817</v>
      </c>
      <c r="AB367" s="6">
        <f>$K$367*$V$367</f>
        <v>4845.5</v>
      </c>
      <c r="AC367" s="6">
        <f>$M$367*$W$367</f>
        <v>8876.3706000000002</v>
      </c>
      <c r="AD367" s="6">
        <f>$O$367*$X$367</f>
        <v>26947.589039999999</v>
      </c>
      <c r="AE367" s="6">
        <f ca="1">$K$367*$Y$367</f>
        <v>6298.7961567592574</v>
      </c>
      <c r="AF367" s="6">
        <f ca="1">$M$367*$Z$367</f>
        <v>9198.9850974439905</v>
      </c>
      <c r="AG367" s="6">
        <f>$O$367*$AA$367</f>
        <v>24262.522082596719</v>
      </c>
    </row>
    <row r="368" spans="1:33" ht="11.25" customHeight="1" x14ac:dyDescent="0.25">
      <c r="A368" s="4" t="s">
        <v>21</v>
      </c>
      <c r="B368" s="4" t="s">
        <v>33</v>
      </c>
      <c r="C368" s="4" t="s">
        <v>41</v>
      </c>
      <c r="D368" s="4" t="s">
        <v>42</v>
      </c>
      <c r="E368" s="4" t="s">
        <v>25</v>
      </c>
      <c r="F368" s="4" t="s">
        <v>25</v>
      </c>
      <c r="G368" s="4" t="s">
        <v>25</v>
      </c>
      <c r="H368" s="4" t="s">
        <v>36</v>
      </c>
      <c r="I368" s="5">
        <v>43770</v>
      </c>
      <c r="J368" s="6">
        <v>46149</v>
      </c>
      <c r="K368" s="6">
        <v>46149</v>
      </c>
      <c r="L368" s="6">
        <v>16619.807000000001</v>
      </c>
      <c r="M368" s="6">
        <v>16619.807000000001</v>
      </c>
      <c r="N368" s="6">
        <v>16619.807000000001</v>
      </c>
      <c r="O368" s="6">
        <v>16619.807000000001</v>
      </c>
      <c r="P368" s="6">
        <v>0</v>
      </c>
      <c r="Q368" s="4" t="s">
        <v>26</v>
      </c>
      <c r="R368" s="4">
        <v>0</v>
      </c>
      <c r="S368" s="6">
        <v>22</v>
      </c>
      <c r="T368" s="6">
        <v>23</v>
      </c>
      <c r="U368" s="6">
        <v>82</v>
      </c>
      <c r="V368" s="6">
        <f>IF(ISERROR(VLOOKUP($S$368,'TAR FIN'!$A$1:$O$120,15,0)),0,VLOOKUP($S$368,'TAR FIN'!$A$1:$O$120,15,0))</f>
        <v>8.81</v>
      </c>
      <c r="W368" s="6">
        <f>IF(ISERROR(VLOOKUP($T$368,'TAR FIN'!$A$1:$O$120,15,0)),0,VLOOKUP($T$368,'TAR FIN'!$A$1:$O$120,15,0))</f>
        <v>84.45</v>
      </c>
      <c r="X368" s="6">
        <f>IF(ISERROR(VLOOKUP($U$368,'TAR FIN'!$A$1:$O$120,15,0)),0,VLOOKUP($U$368,'TAR FIN'!$A$1:$O$120,15,0))</f>
        <v>256.38</v>
      </c>
      <c r="Y368" s="6">
        <f ca="1">('TUSD BE'!$AM$28+'TUSD BF'!$AM$28+'TUSD CVA'!$AM$28)*1</f>
        <v>11.452356648653195</v>
      </c>
      <c r="Z368" s="6">
        <f ca="1">('TUSD BE'!$AM$29+'TUSD BF'!$AM$29+'TUSD CVA'!$AM$29)*1</f>
        <v>87.519361965254689</v>
      </c>
      <c r="AA368" s="6">
        <f>('TE BE'!$AA$11+'TE BF'!$AA$11+'TE CVA'!$AA$11)*1</f>
        <v>230.83420940933817</v>
      </c>
      <c r="AB368" s="6">
        <f>$K$368*$V$368</f>
        <v>406572.69</v>
      </c>
      <c r="AC368" s="6">
        <f>$M$368*$W$368</f>
        <v>1403542.7011500001</v>
      </c>
      <c r="AD368" s="6">
        <f>$O$368*$X$368</f>
        <v>4260986.1186600002</v>
      </c>
      <c r="AE368" s="6">
        <f ca="1">$K$368*$Y$368</f>
        <v>528514.80697869626</v>
      </c>
      <c r="AF368" s="6">
        <f ca="1">$M$368*$Z$368</f>
        <v>1454554.9046256738</v>
      </c>
      <c r="AG368" s="6">
        <f>$O$368*$AA$368</f>
        <v>3836420.0093807844</v>
      </c>
    </row>
    <row r="369" spans="1:33" ht="11.25" customHeight="1" x14ac:dyDescent="0.25">
      <c r="A369" s="4" t="s">
        <v>27</v>
      </c>
      <c r="B369" s="4" t="s">
        <v>33</v>
      </c>
      <c r="C369" s="4" t="s">
        <v>41</v>
      </c>
      <c r="D369" s="4" t="s">
        <v>42</v>
      </c>
      <c r="E369" s="4" t="s">
        <v>25</v>
      </c>
      <c r="F369" s="4" t="s">
        <v>25</v>
      </c>
      <c r="G369" s="4" t="s">
        <v>25</v>
      </c>
      <c r="H369" s="4" t="s">
        <v>36</v>
      </c>
      <c r="I369" s="5">
        <v>43770</v>
      </c>
      <c r="J369" s="6">
        <v>80</v>
      </c>
      <c r="K369" s="6">
        <v>80</v>
      </c>
      <c r="L369" s="6">
        <v>23.853000000000002</v>
      </c>
      <c r="M369" s="6">
        <v>23.853000000000002</v>
      </c>
      <c r="N369" s="6">
        <v>23.853000000000002</v>
      </c>
      <c r="O369" s="6">
        <v>23.853000000000002</v>
      </c>
      <c r="P369" s="6">
        <v>0</v>
      </c>
      <c r="Q369" s="4" t="s">
        <v>26</v>
      </c>
      <c r="R369" s="4">
        <v>0</v>
      </c>
      <c r="S369" s="6">
        <v>22</v>
      </c>
      <c r="T369" s="6">
        <v>23</v>
      </c>
      <c r="U369" s="6">
        <v>82</v>
      </c>
      <c r="V369" s="6">
        <f>IF(ISERROR(VLOOKUP($S$369,'TAR FIN'!$A$1:$O$120,15,0)),0,VLOOKUP($S$369,'TAR FIN'!$A$1:$O$120,15,0))</f>
        <v>8.81</v>
      </c>
      <c r="W369" s="6">
        <f>IF(ISERROR(VLOOKUP($T$369,'TAR FIN'!$A$1:$O$120,15,0)),0,VLOOKUP($T$369,'TAR FIN'!$A$1:$O$120,15,0))</f>
        <v>84.45</v>
      </c>
      <c r="X369" s="6">
        <f>IF(ISERROR(VLOOKUP($U$369,'TAR FIN'!$A$1:$O$120,15,0)),0,VLOOKUP($U$369,'TAR FIN'!$A$1:$O$120,15,0))</f>
        <v>256.38</v>
      </c>
      <c r="Y369" s="6">
        <f ca="1">('TUSD BE'!$AM$28+'TUSD BF'!$AM$28+'TUSD CVA'!$AM$28)*1</f>
        <v>11.452356648653195</v>
      </c>
      <c r="Z369" s="6">
        <f ca="1">('TUSD BE'!$AM$29+'TUSD BF'!$AM$29+'TUSD CVA'!$AM$29)*1</f>
        <v>87.519361965254689</v>
      </c>
      <c r="AA369" s="6">
        <f>('TE BE'!$AA$11+'TE BF'!$AA$11+'TE CVA'!$AA$11)*1</f>
        <v>230.83420940933817</v>
      </c>
      <c r="AB369" s="6">
        <f>$K$369*$V$369</f>
        <v>704.80000000000007</v>
      </c>
      <c r="AC369" s="6">
        <f>$M$369*$W$369</f>
        <v>2014.3858500000001</v>
      </c>
      <c r="AD369" s="6">
        <f>$O$369*$X$369</f>
        <v>6115.4321399999999</v>
      </c>
      <c r="AE369" s="6">
        <f ca="1">$K$369*$Y$369</f>
        <v>916.18853189225558</v>
      </c>
      <c r="AF369" s="6">
        <f ca="1">$M$369*$Z$369</f>
        <v>2087.5993409572202</v>
      </c>
      <c r="AG369" s="6">
        <f>$O$369*$AA$369</f>
        <v>5506.0883970409441</v>
      </c>
    </row>
    <row r="370" spans="1:33" ht="11.25" customHeight="1" x14ac:dyDescent="0.25">
      <c r="A370" s="4" t="s">
        <v>28</v>
      </c>
      <c r="B370" s="4" t="s">
        <v>33</v>
      </c>
      <c r="C370" s="4" t="s">
        <v>41</v>
      </c>
      <c r="D370" s="4" t="s">
        <v>42</v>
      </c>
      <c r="E370" s="4" t="s">
        <v>25</v>
      </c>
      <c r="F370" s="4" t="s">
        <v>25</v>
      </c>
      <c r="G370" s="4" t="s">
        <v>25</v>
      </c>
      <c r="H370" s="4" t="s">
        <v>36</v>
      </c>
      <c r="I370" s="5">
        <v>43770</v>
      </c>
      <c r="J370" s="6">
        <v>550</v>
      </c>
      <c r="K370" s="6">
        <v>550</v>
      </c>
      <c r="L370" s="6">
        <v>105.979</v>
      </c>
      <c r="M370" s="6">
        <v>105.979</v>
      </c>
      <c r="N370" s="6">
        <v>105.979</v>
      </c>
      <c r="O370" s="6">
        <v>105.979</v>
      </c>
      <c r="P370" s="6">
        <v>0</v>
      </c>
      <c r="Q370" s="4" t="s">
        <v>26</v>
      </c>
      <c r="R370" s="4">
        <v>0</v>
      </c>
      <c r="S370" s="6">
        <v>22</v>
      </c>
      <c r="T370" s="6">
        <v>23</v>
      </c>
      <c r="U370" s="6">
        <v>82</v>
      </c>
      <c r="V370" s="6">
        <f>IF(ISERROR(VLOOKUP($S$370,'TAR FIN'!$A$1:$O$120,15,0)),0,VLOOKUP($S$370,'TAR FIN'!$A$1:$O$120,15,0))</f>
        <v>8.81</v>
      </c>
      <c r="W370" s="6">
        <f>IF(ISERROR(VLOOKUP($T$370,'TAR FIN'!$A$1:$O$120,15,0)),0,VLOOKUP($T$370,'TAR FIN'!$A$1:$O$120,15,0))</f>
        <v>84.45</v>
      </c>
      <c r="X370" s="6">
        <f>IF(ISERROR(VLOOKUP($U$370,'TAR FIN'!$A$1:$O$120,15,0)),0,VLOOKUP($U$370,'TAR FIN'!$A$1:$O$120,15,0))</f>
        <v>256.38</v>
      </c>
      <c r="Y370" s="6">
        <f ca="1">('TUSD BE'!$AM$28+'TUSD BF'!$AM$28+'TUSD CVA'!$AM$28)*1</f>
        <v>11.452356648653195</v>
      </c>
      <c r="Z370" s="6">
        <f ca="1">('TUSD BE'!$AM$29+'TUSD BF'!$AM$29+'TUSD CVA'!$AM$29)*1</f>
        <v>87.519361965254689</v>
      </c>
      <c r="AA370" s="6">
        <f>('TE BE'!$AA$11+'TE BF'!$AA$11+'TE CVA'!$AA$11)*1</f>
        <v>230.83420940933817</v>
      </c>
      <c r="AB370" s="6">
        <f>$K$370*$V$370</f>
        <v>4845.5</v>
      </c>
      <c r="AC370" s="6">
        <f>$M$370*$W$370</f>
        <v>8949.9265500000001</v>
      </c>
      <c r="AD370" s="6">
        <f>$O$370*$X$370</f>
        <v>27170.89602</v>
      </c>
      <c r="AE370" s="6">
        <f ca="1">$K$370*$Y$370</f>
        <v>6298.7961567592574</v>
      </c>
      <c r="AF370" s="6">
        <f ca="1">$M$370*$Z$370</f>
        <v>9275.2144617157264</v>
      </c>
      <c r="AG370" s="6">
        <f>$O$370*$AA$370</f>
        <v>24463.578678992249</v>
      </c>
    </row>
    <row r="371" spans="1:33" ht="11.25" customHeight="1" x14ac:dyDescent="0.25">
      <c r="A371" s="4" t="s">
        <v>21</v>
      </c>
      <c r="B371" s="4" t="s">
        <v>33</v>
      </c>
      <c r="C371" s="4" t="s">
        <v>41</v>
      </c>
      <c r="D371" s="4" t="s">
        <v>42</v>
      </c>
      <c r="E371" s="4" t="s">
        <v>25</v>
      </c>
      <c r="F371" s="4" t="s">
        <v>25</v>
      </c>
      <c r="G371" s="4" t="s">
        <v>25</v>
      </c>
      <c r="H371" s="4" t="s">
        <v>36</v>
      </c>
      <c r="I371" s="5">
        <v>43800</v>
      </c>
      <c r="J371" s="6">
        <v>44760</v>
      </c>
      <c r="K371" s="6">
        <v>44760</v>
      </c>
      <c r="L371" s="6">
        <v>15770.097</v>
      </c>
      <c r="M371" s="6">
        <v>15770.097</v>
      </c>
      <c r="N371" s="6">
        <v>15770.097</v>
      </c>
      <c r="O371" s="6">
        <v>15770.097</v>
      </c>
      <c r="P371" s="6">
        <v>0</v>
      </c>
      <c r="Q371" s="4" t="s">
        <v>26</v>
      </c>
      <c r="R371" s="4">
        <v>0</v>
      </c>
      <c r="S371" s="6">
        <v>22</v>
      </c>
      <c r="T371" s="6">
        <v>23</v>
      </c>
      <c r="U371" s="6">
        <v>82</v>
      </c>
      <c r="V371" s="6">
        <f>IF(ISERROR(VLOOKUP($S$371,'TAR FIN'!$A$1:$O$120,15,0)),0,VLOOKUP($S$371,'TAR FIN'!$A$1:$O$120,15,0))</f>
        <v>8.81</v>
      </c>
      <c r="W371" s="6">
        <f>IF(ISERROR(VLOOKUP($T$371,'TAR FIN'!$A$1:$O$120,15,0)),0,VLOOKUP($T$371,'TAR FIN'!$A$1:$O$120,15,0))</f>
        <v>84.45</v>
      </c>
      <c r="X371" s="6">
        <f>IF(ISERROR(VLOOKUP($U$371,'TAR FIN'!$A$1:$O$120,15,0)),0,VLOOKUP($U$371,'TAR FIN'!$A$1:$O$120,15,0))</f>
        <v>256.38</v>
      </c>
      <c r="Y371" s="6">
        <f ca="1">('TUSD BE'!$AM$28+'TUSD BF'!$AM$28+'TUSD CVA'!$AM$28)*1</f>
        <v>11.452356648653195</v>
      </c>
      <c r="Z371" s="6">
        <f ca="1">('TUSD BE'!$AM$29+'TUSD BF'!$AM$29+'TUSD CVA'!$AM$29)*1</f>
        <v>87.519361965254689</v>
      </c>
      <c r="AA371" s="6">
        <f>('TE BE'!$AA$11+'TE BF'!$AA$11+'TE CVA'!$AA$11)*1</f>
        <v>230.83420940933817</v>
      </c>
      <c r="AB371" s="6">
        <f>$K$371*$V$371</f>
        <v>394335.60000000003</v>
      </c>
      <c r="AC371" s="6">
        <f>$M$371*$W$371</f>
        <v>1331784.6916499999</v>
      </c>
      <c r="AD371" s="6">
        <f>$O$371*$X$371</f>
        <v>4043137.4688599999</v>
      </c>
      <c r="AE371" s="6">
        <f ca="1">$K$371*$Y$371</f>
        <v>512607.48359371704</v>
      </c>
      <c r="AF371" s="6">
        <f ca="1">$M$371*$Z$371</f>
        <v>1380188.8275701771</v>
      </c>
      <c r="AG371" s="6">
        <f>$O$371*$AA$371</f>
        <v>3640277.8733035754</v>
      </c>
    </row>
    <row r="372" spans="1:33" ht="11.25" customHeight="1" x14ac:dyDescent="0.25">
      <c r="A372" s="4" t="s">
        <v>28</v>
      </c>
      <c r="B372" s="4" t="s">
        <v>33</v>
      </c>
      <c r="C372" s="4" t="s">
        <v>41</v>
      </c>
      <c r="D372" s="4" t="s">
        <v>42</v>
      </c>
      <c r="E372" s="4" t="s">
        <v>25</v>
      </c>
      <c r="F372" s="4" t="s">
        <v>25</v>
      </c>
      <c r="G372" s="4" t="s">
        <v>25</v>
      </c>
      <c r="H372" s="4" t="s">
        <v>36</v>
      </c>
      <c r="I372" s="5">
        <v>43800</v>
      </c>
      <c r="J372" s="6">
        <v>550</v>
      </c>
      <c r="K372" s="6">
        <v>550</v>
      </c>
      <c r="L372" s="6">
        <v>109.997</v>
      </c>
      <c r="M372" s="6">
        <v>109.997</v>
      </c>
      <c r="N372" s="6">
        <v>109.997</v>
      </c>
      <c r="O372" s="6">
        <v>109.997</v>
      </c>
      <c r="P372" s="6">
        <v>0</v>
      </c>
      <c r="Q372" s="4" t="s">
        <v>26</v>
      </c>
      <c r="R372" s="4">
        <v>0</v>
      </c>
      <c r="S372" s="6">
        <v>22</v>
      </c>
      <c r="T372" s="6">
        <v>23</v>
      </c>
      <c r="U372" s="6">
        <v>82</v>
      </c>
      <c r="V372" s="6">
        <f>IF(ISERROR(VLOOKUP($S$372,'TAR FIN'!$A$1:$O$120,15,0)),0,VLOOKUP($S$372,'TAR FIN'!$A$1:$O$120,15,0))</f>
        <v>8.81</v>
      </c>
      <c r="W372" s="6">
        <f>IF(ISERROR(VLOOKUP($T$372,'TAR FIN'!$A$1:$O$120,15,0)),0,VLOOKUP($T$372,'TAR FIN'!$A$1:$O$120,15,0))</f>
        <v>84.45</v>
      </c>
      <c r="X372" s="6">
        <f>IF(ISERROR(VLOOKUP($U$372,'TAR FIN'!$A$1:$O$120,15,0)),0,VLOOKUP($U$372,'TAR FIN'!$A$1:$O$120,15,0))</f>
        <v>256.38</v>
      </c>
      <c r="Y372" s="6">
        <f ca="1">('TUSD BE'!$AM$28+'TUSD BF'!$AM$28+'TUSD CVA'!$AM$28)*1</f>
        <v>11.452356648653195</v>
      </c>
      <c r="Z372" s="6">
        <f ca="1">('TUSD BE'!$AM$29+'TUSD BF'!$AM$29+'TUSD CVA'!$AM$29)*1</f>
        <v>87.519361965254689</v>
      </c>
      <c r="AA372" s="6">
        <f>('TE BE'!$AA$11+'TE BF'!$AA$11+'TE CVA'!$AA$11)*1</f>
        <v>230.83420940933817</v>
      </c>
      <c r="AB372" s="6">
        <f>$K$372*$V$372</f>
        <v>4845.5</v>
      </c>
      <c r="AC372" s="6">
        <f>$M$372*$W$372</f>
        <v>9289.246650000001</v>
      </c>
      <c r="AD372" s="6">
        <f>$O$372*$X$372</f>
        <v>28201.030859999999</v>
      </c>
      <c r="AE372" s="6">
        <f ca="1">$K$372*$Y$372</f>
        <v>6298.7961567592574</v>
      </c>
      <c r="AF372" s="6">
        <f ca="1">$M$372*$Z$372</f>
        <v>9626.8672580921193</v>
      </c>
      <c r="AG372" s="6">
        <f>$O$372*$AA$372</f>
        <v>25391.070532398971</v>
      </c>
    </row>
    <row r="373" spans="1:33" ht="11.25" customHeight="1" x14ac:dyDescent="0.25">
      <c r="A373" s="4" t="s">
        <v>21</v>
      </c>
      <c r="B373" s="4" t="s">
        <v>33</v>
      </c>
      <c r="C373" s="4" t="s">
        <v>41</v>
      </c>
      <c r="D373" s="4" t="s">
        <v>42</v>
      </c>
      <c r="E373" s="4" t="s">
        <v>25</v>
      </c>
      <c r="F373" s="4" t="s">
        <v>25</v>
      </c>
      <c r="G373" s="4" t="s">
        <v>25</v>
      </c>
      <c r="H373" s="4" t="s">
        <v>36</v>
      </c>
      <c r="I373" s="5">
        <v>43831</v>
      </c>
      <c r="J373" s="6">
        <v>44492</v>
      </c>
      <c r="K373" s="6">
        <v>44492</v>
      </c>
      <c r="L373" s="6">
        <v>15994.291999999999</v>
      </c>
      <c r="M373" s="6">
        <v>15994.291999999999</v>
      </c>
      <c r="N373" s="6">
        <v>15994.291999999999</v>
      </c>
      <c r="O373" s="6">
        <v>15994.291999999999</v>
      </c>
      <c r="P373" s="6">
        <v>0</v>
      </c>
      <c r="Q373" s="4" t="s">
        <v>26</v>
      </c>
      <c r="R373" s="4">
        <v>0</v>
      </c>
      <c r="S373" s="6">
        <v>22</v>
      </c>
      <c r="T373" s="6">
        <v>23</v>
      </c>
      <c r="U373" s="6">
        <v>82</v>
      </c>
      <c r="V373" s="6">
        <f>IF(ISERROR(VLOOKUP($S$373,'TAR FIN'!$A$1:$O$120,15,0)),0,VLOOKUP($S$373,'TAR FIN'!$A$1:$O$120,15,0))</f>
        <v>8.81</v>
      </c>
      <c r="W373" s="6">
        <f>IF(ISERROR(VLOOKUP($T$373,'TAR FIN'!$A$1:$O$120,15,0)),0,VLOOKUP($T$373,'TAR FIN'!$A$1:$O$120,15,0))</f>
        <v>84.45</v>
      </c>
      <c r="X373" s="6">
        <f>IF(ISERROR(VLOOKUP($U$373,'TAR FIN'!$A$1:$O$120,15,0)),0,VLOOKUP($U$373,'TAR FIN'!$A$1:$O$120,15,0))</f>
        <v>256.38</v>
      </c>
      <c r="Y373" s="6">
        <f ca="1">('TUSD BE'!$AM$28+'TUSD BF'!$AM$28+'TUSD CVA'!$AM$28)*1</f>
        <v>11.452356648653195</v>
      </c>
      <c r="Z373" s="6">
        <f ca="1">('TUSD BE'!$AM$29+'TUSD BF'!$AM$29+'TUSD CVA'!$AM$29)*1</f>
        <v>87.519361965254689</v>
      </c>
      <c r="AA373" s="6">
        <f>('TE BE'!$AA$11+'TE BF'!$AA$11+'TE CVA'!$AA$11)*1</f>
        <v>230.83420940933817</v>
      </c>
      <c r="AB373" s="6">
        <f>$K$373*$V$373</f>
        <v>391974.52</v>
      </c>
      <c r="AC373" s="6">
        <f>$M$373*$W$373</f>
        <v>1350717.9594000001</v>
      </c>
      <c r="AD373" s="6">
        <f>$O$373*$X$373</f>
        <v>4100616.5829599998</v>
      </c>
      <c r="AE373" s="6">
        <f ca="1">$K$373*$Y$373</f>
        <v>509538.25201187795</v>
      </c>
      <c r="AF373" s="6">
        <f ca="1">$M$373*$Z$373</f>
        <v>1399810.2309259772</v>
      </c>
      <c r="AG373" s="6">
        <f>$O$373*$AA$373</f>
        <v>3692029.7488821023</v>
      </c>
    </row>
    <row r="374" spans="1:33" ht="11.25" customHeight="1" x14ac:dyDescent="0.25">
      <c r="A374" s="4" t="s">
        <v>27</v>
      </c>
      <c r="B374" s="4" t="s">
        <v>33</v>
      </c>
      <c r="C374" s="4" t="s">
        <v>41</v>
      </c>
      <c r="D374" s="4" t="s">
        <v>42</v>
      </c>
      <c r="E374" s="4" t="s">
        <v>25</v>
      </c>
      <c r="F374" s="4" t="s">
        <v>25</v>
      </c>
      <c r="G374" s="4" t="s">
        <v>25</v>
      </c>
      <c r="H374" s="4" t="s">
        <v>36</v>
      </c>
      <c r="I374" s="5">
        <v>43831</v>
      </c>
      <c r="J374" s="6">
        <v>279</v>
      </c>
      <c r="K374" s="6">
        <v>279</v>
      </c>
      <c r="L374" s="6">
        <v>127.05200000000001</v>
      </c>
      <c r="M374" s="6">
        <v>127.05200000000001</v>
      </c>
      <c r="N374" s="6">
        <v>127.05200000000001</v>
      </c>
      <c r="O374" s="6">
        <v>127.05200000000001</v>
      </c>
      <c r="P374" s="6">
        <v>0</v>
      </c>
      <c r="Q374" s="4" t="s">
        <v>26</v>
      </c>
      <c r="R374" s="4">
        <v>0</v>
      </c>
      <c r="S374" s="6">
        <v>22</v>
      </c>
      <c r="T374" s="6">
        <v>23</v>
      </c>
      <c r="U374" s="6">
        <v>82</v>
      </c>
      <c r="V374" s="6">
        <f>IF(ISERROR(VLOOKUP($S$374,'TAR FIN'!$A$1:$O$120,15,0)),0,VLOOKUP($S$374,'TAR FIN'!$A$1:$O$120,15,0))</f>
        <v>8.81</v>
      </c>
      <c r="W374" s="6">
        <f>IF(ISERROR(VLOOKUP($T$374,'TAR FIN'!$A$1:$O$120,15,0)),0,VLOOKUP($T$374,'TAR FIN'!$A$1:$O$120,15,0))</f>
        <v>84.45</v>
      </c>
      <c r="X374" s="6">
        <f>IF(ISERROR(VLOOKUP($U$374,'TAR FIN'!$A$1:$O$120,15,0)),0,VLOOKUP($U$374,'TAR FIN'!$A$1:$O$120,15,0))</f>
        <v>256.38</v>
      </c>
      <c r="Y374" s="6">
        <f ca="1">('TUSD BE'!$AM$28+'TUSD BF'!$AM$28+'TUSD CVA'!$AM$28)*1</f>
        <v>11.452356648653195</v>
      </c>
      <c r="Z374" s="6">
        <f ca="1">('TUSD BE'!$AM$29+'TUSD BF'!$AM$29+'TUSD CVA'!$AM$29)*1</f>
        <v>87.519361965254689</v>
      </c>
      <c r="AA374" s="6">
        <f>('TE BE'!$AA$11+'TE BF'!$AA$11+'TE CVA'!$AA$11)*1</f>
        <v>230.83420940933817</v>
      </c>
      <c r="AB374" s="6">
        <f>$K$374*$V$374</f>
        <v>2457.9900000000002</v>
      </c>
      <c r="AC374" s="6">
        <f>$M$374*$W$374</f>
        <v>10729.5414</v>
      </c>
      <c r="AD374" s="6">
        <f>$O$374*$X$374</f>
        <v>32573.591759999999</v>
      </c>
      <c r="AE374" s="6">
        <f ca="1">$K$374*$Y$374</f>
        <v>3195.2075049742416</v>
      </c>
      <c r="AF374" s="6">
        <f ca="1">$M$374*$Z$374</f>
        <v>11119.509976409539</v>
      </c>
      <c r="AG374" s="6">
        <f>$O$374*$AA$374</f>
        <v>29327.947973875234</v>
      </c>
    </row>
    <row r="375" spans="1:33" ht="11.25" customHeight="1" x14ac:dyDescent="0.25">
      <c r="A375" s="4" t="s">
        <v>28</v>
      </c>
      <c r="B375" s="4" t="s">
        <v>33</v>
      </c>
      <c r="C375" s="4" t="s">
        <v>41</v>
      </c>
      <c r="D375" s="4" t="s">
        <v>42</v>
      </c>
      <c r="E375" s="4" t="s">
        <v>25</v>
      </c>
      <c r="F375" s="4" t="s">
        <v>25</v>
      </c>
      <c r="G375" s="4" t="s">
        <v>25</v>
      </c>
      <c r="H375" s="4" t="s">
        <v>36</v>
      </c>
      <c r="I375" s="5">
        <v>43831</v>
      </c>
      <c r="J375" s="6">
        <v>550</v>
      </c>
      <c r="K375" s="6">
        <v>550</v>
      </c>
      <c r="L375" s="6">
        <v>88.43</v>
      </c>
      <c r="M375" s="6">
        <v>88.43</v>
      </c>
      <c r="N375" s="6">
        <v>88.43</v>
      </c>
      <c r="O375" s="6">
        <v>88.43</v>
      </c>
      <c r="P375" s="6">
        <v>0</v>
      </c>
      <c r="Q375" s="4" t="s">
        <v>26</v>
      </c>
      <c r="R375" s="4">
        <v>0</v>
      </c>
      <c r="S375" s="6">
        <v>22</v>
      </c>
      <c r="T375" s="6">
        <v>23</v>
      </c>
      <c r="U375" s="6">
        <v>82</v>
      </c>
      <c r="V375" s="6">
        <f>IF(ISERROR(VLOOKUP($S$375,'TAR FIN'!$A$1:$O$120,15,0)),0,VLOOKUP($S$375,'TAR FIN'!$A$1:$O$120,15,0))</f>
        <v>8.81</v>
      </c>
      <c r="W375" s="6">
        <f>IF(ISERROR(VLOOKUP($T$375,'TAR FIN'!$A$1:$O$120,15,0)),0,VLOOKUP($T$375,'TAR FIN'!$A$1:$O$120,15,0))</f>
        <v>84.45</v>
      </c>
      <c r="X375" s="6">
        <f>IF(ISERROR(VLOOKUP($U$375,'TAR FIN'!$A$1:$O$120,15,0)),0,VLOOKUP($U$375,'TAR FIN'!$A$1:$O$120,15,0))</f>
        <v>256.38</v>
      </c>
      <c r="Y375" s="6">
        <f ca="1">('TUSD BE'!$AM$28+'TUSD BF'!$AM$28+'TUSD CVA'!$AM$28)*1</f>
        <v>11.452356648653195</v>
      </c>
      <c r="Z375" s="6">
        <f ca="1">('TUSD BE'!$AM$29+'TUSD BF'!$AM$29+'TUSD CVA'!$AM$29)*1</f>
        <v>87.519361965254689</v>
      </c>
      <c r="AA375" s="6">
        <f>('TE BE'!$AA$11+'TE BF'!$AA$11+'TE CVA'!$AA$11)*1</f>
        <v>230.83420940933817</v>
      </c>
      <c r="AB375" s="6">
        <f>$K$375*$V$375</f>
        <v>4845.5</v>
      </c>
      <c r="AC375" s="6">
        <f>$M$375*$W$375</f>
        <v>7467.9135000000006</v>
      </c>
      <c r="AD375" s="6">
        <f>$O$375*$X$375</f>
        <v>22671.683400000002</v>
      </c>
      <c r="AE375" s="6">
        <f ca="1">$K$375*$Y$375</f>
        <v>6298.7961567592574</v>
      </c>
      <c r="AF375" s="6">
        <f ca="1">$M$375*$Z$375</f>
        <v>7739.3371785874724</v>
      </c>
      <c r="AG375" s="6">
        <f>$O$375*$AA$375</f>
        <v>20412.669138067777</v>
      </c>
    </row>
    <row r="376" spans="1:33" ht="11.25" customHeight="1" x14ac:dyDescent="0.25">
      <c r="A376" s="4" t="s">
        <v>21</v>
      </c>
      <c r="B376" s="4" t="s">
        <v>33</v>
      </c>
      <c r="C376" s="4" t="s">
        <v>41</v>
      </c>
      <c r="D376" s="4" t="s">
        <v>42</v>
      </c>
      <c r="E376" s="4" t="s">
        <v>25</v>
      </c>
      <c r="F376" s="4" t="s">
        <v>25</v>
      </c>
      <c r="G376" s="4" t="s">
        <v>25</v>
      </c>
      <c r="H376" s="4" t="s">
        <v>36</v>
      </c>
      <c r="I376" s="5">
        <v>43862</v>
      </c>
      <c r="J376" s="6">
        <v>43519</v>
      </c>
      <c r="K376" s="6">
        <v>43519</v>
      </c>
      <c r="L376" s="6">
        <v>15695.977999999999</v>
      </c>
      <c r="M376" s="6">
        <v>15695.977999999999</v>
      </c>
      <c r="N376" s="6">
        <v>15695.977999999999</v>
      </c>
      <c r="O376" s="6">
        <v>15695.977999999999</v>
      </c>
      <c r="P376" s="6">
        <v>0</v>
      </c>
      <c r="Q376" s="4" t="s">
        <v>26</v>
      </c>
      <c r="R376" s="4">
        <v>0</v>
      </c>
      <c r="S376" s="6">
        <v>22</v>
      </c>
      <c r="T376" s="6">
        <v>23</v>
      </c>
      <c r="U376" s="6">
        <v>82</v>
      </c>
      <c r="V376" s="6">
        <f>IF(ISERROR(VLOOKUP($S$376,'TAR FIN'!$A$1:$O$120,15,0)),0,VLOOKUP($S$376,'TAR FIN'!$A$1:$O$120,15,0))</f>
        <v>8.81</v>
      </c>
      <c r="W376" s="6">
        <f>IF(ISERROR(VLOOKUP($T$376,'TAR FIN'!$A$1:$O$120,15,0)),0,VLOOKUP($T$376,'TAR FIN'!$A$1:$O$120,15,0))</f>
        <v>84.45</v>
      </c>
      <c r="X376" s="6">
        <f>IF(ISERROR(VLOOKUP($U$376,'TAR FIN'!$A$1:$O$120,15,0)),0,VLOOKUP($U$376,'TAR FIN'!$A$1:$O$120,15,0))</f>
        <v>256.38</v>
      </c>
      <c r="Y376" s="6">
        <f ca="1">('TUSD BE'!$AM$28+'TUSD BF'!$AM$28+'TUSD CVA'!$AM$28)*1</f>
        <v>11.452356648653195</v>
      </c>
      <c r="Z376" s="6">
        <f ca="1">('TUSD BE'!$AM$29+'TUSD BF'!$AM$29+'TUSD CVA'!$AM$29)*1</f>
        <v>87.519361965254689</v>
      </c>
      <c r="AA376" s="6">
        <f>('TE BE'!$AA$11+'TE BF'!$AA$11+'TE CVA'!$AA$11)*1</f>
        <v>230.83420940933817</v>
      </c>
      <c r="AB376" s="6">
        <f>$K$376*$V$376</f>
        <v>383402.39</v>
      </c>
      <c r="AC376" s="6">
        <f>$M$376*$W$376</f>
        <v>1325525.3421</v>
      </c>
      <c r="AD376" s="6">
        <f>$O$376*$X$376</f>
        <v>4024134.8396399999</v>
      </c>
      <c r="AE376" s="6">
        <f ca="1">$K$376*$Y$376</f>
        <v>498395.10899273842</v>
      </c>
      <c r="AF376" s="6">
        <f ca="1">$M$376*$Z$376</f>
        <v>1373701.9799806743</v>
      </c>
      <c r="AG376" s="6">
        <f>$O$376*$AA$376</f>
        <v>3623168.6725363648</v>
      </c>
    </row>
    <row r="377" spans="1:33" ht="11.25" customHeight="1" x14ac:dyDescent="0.25">
      <c r="A377" s="4" t="s">
        <v>27</v>
      </c>
      <c r="B377" s="4" t="s">
        <v>33</v>
      </c>
      <c r="C377" s="4" t="s">
        <v>41</v>
      </c>
      <c r="D377" s="4" t="s">
        <v>42</v>
      </c>
      <c r="E377" s="4" t="s">
        <v>25</v>
      </c>
      <c r="F377" s="4" t="s">
        <v>25</v>
      </c>
      <c r="G377" s="4" t="s">
        <v>25</v>
      </c>
      <c r="H377" s="4" t="s">
        <v>36</v>
      </c>
      <c r="I377" s="5">
        <v>43862</v>
      </c>
      <c r="J377" s="6">
        <v>221</v>
      </c>
      <c r="K377" s="6">
        <v>221</v>
      </c>
      <c r="L377" s="6">
        <v>109.68</v>
      </c>
      <c r="M377" s="6">
        <v>109.68</v>
      </c>
      <c r="N377" s="6">
        <v>109.68</v>
      </c>
      <c r="O377" s="6">
        <v>109.68</v>
      </c>
      <c r="P377" s="6">
        <v>0</v>
      </c>
      <c r="Q377" s="4" t="s">
        <v>26</v>
      </c>
      <c r="R377" s="4">
        <v>0</v>
      </c>
      <c r="S377" s="6">
        <v>22</v>
      </c>
      <c r="T377" s="6">
        <v>23</v>
      </c>
      <c r="U377" s="6">
        <v>82</v>
      </c>
      <c r="V377" s="6">
        <f>IF(ISERROR(VLOOKUP($S$377,'TAR FIN'!$A$1:$O$120,15,0)),0,VLOOKUP($S$377,'TAR FIN'!$A$1:$O$120,15,0))</f>
        <v>8.81</v>
      </c>
      <c r="W377" s="6">
        <f>IF(ISERROR(VLOOKUP($T$377,'TAR FIN'!$A$1:$O$120,15,0)),0,VLOOKUP($T$377,'TAR FIN'!$A$1:$O$120,15,0))</f>
        <v>84.45</v>
      </c>
      <c r="X377" s="6">
        <f>IF(ISERROR(VLOOKUP($U$377,'TAR FIN'!$A$1:$O$120,15,0)),0,VLOOKUP($U$377,'TAR FIN'!$A$1:$O$120,15,0))</f>
        <v>256.38</v>
      </c>
      <c r="Y377" s="6">
        <f ca="1">('TUSD BE'!$AM$28+'TUSD BF'!$AM$28+'TUSD CVA'!$AM$28)*1</f>
        <v>11.452356648653195</v>
      </c>
      <c r="Z377" s="6">
        <f ca="1">('TUSD BE'!$AM$29+'TUSD BF'!$AM$29+'TUSD CVA'!$AM$29)*1</f>
        <v>87.519361965254689</v>
      </c>
      <c r="AA377" s="6">
        <f>('TE BE'!$AA$11+'TE BF'!$AA$11+'TE CVA'!$AA$11)*1</f>
        <v>230.83420940933817</v>
      </c>
      <c r="AB377" s="6">
        <f>$K$377*$V$377</f>
        <v>1947.0100000000002</v>
      </c>
      <c r="AC377" s="6">
        <f>$M$377*$W$377</f>
        <v>9262.4760000000006</v>
      </c>
      <c r="AD377" s="6">
        <f>$O$377*$X$377</f>
        <v>28119.758400000002</v>
      </c>
      <c r="AE377" s="6">
        <f ca="1">$K$377*$Y$377</f>
        <v>2530.9708193523561</v>
      </c>
      <c r="AF377" s="6">
        <f ca="1">$M$377*$Z$377</f>
        <v>9599.1236203491353</v>
      </c>
      <c r="AG377" s="6">
        <f>$O$377*$AA$377</f>
        <v>25317.896088016212</v>
      </c>
    </row>
    <row r="378" spans="1:33" ht="11.25" customHeight="1" x14ac:dyDescent="0.25">
      <c r="A378" s="4" t="s">
        <v>28</v>
      </c>
      <c r="B378" s="4" t="s">
        <v>33</v>
      </c>
      <c r="C378" s="4" t="s">
        <v>41</v>
      </c>
      <c r="D378" s="4" t="s">
        <v>42</v>
      </c>
      <c r="E378" s="4" t="s">
        <v>25</v>
      </c>
      <c r="F378" s="4" t="s">
        <v>25</v>
      </c>
      <c r="G378" s="4" t="s">
        <v>25</v>
      </c>
      <c r="H378" s="4" t="s">
        <v>36</v>
      </c>
      <c r="I378" s="5">
        <v>43862</v>
      </c>
      <c r="J378" s="6">
        <v>550</v>
      </c>
      <c r="K378" s="6">
        <v>550</v>
      </c>
      <c r="L378" s="6">
        <v>97.055000000000007</v>
      </c>
      <c r="M378" s="6">
        <v>97.055000000000007</v>
      </c>
      <c r="N378" s="6">
        <v>97.055000000000007</v>
      </c>
      <c r="O378" s="6">
        <v>97.055000000000007</v>
      </c>
      <c r="P378" s="6">
        <v>0</v>
      </c>
      <c r="Q378" s="4" t="s">
        <v>26</v>
      </c>
      <c r="R378" s="4">
        <v>0</v>
      </c>
      <c r="S378" s="6">
        <v>22</v>
      </c>
      <c r="T378" s="6">
        <v>23</v>
      </c>
      <c r="U378" s="6">
        <v>82</v>
      </c>
      <c r="V378" s="6">
        <f>IF(ISERROR(VLOOKUP($S$378,'TAR FIN'!$A$1:$O$120,15,0)),0,VLOOKUP($S$378,'TAR FIN'!$A$1:$O$120,15,0))</f>
        <v>8.81</v>
      </c>
      <c r="W378" s="6">
        <f>IF(ISERROR(VLOOKUP($T$378,'TAR FIN'!$A$1:$O$120,15,0)),0,VLOOKUP($T$378,'TAR FIN'!$A$1:$O$120,15,0))</f>
        <v>84.45</v>
      </c>
      <c r="X378" s="6">
        <f>IF(ISERROR(VLOOKUP($U$378,'TAR FIN'!$A$1:$O$120,15,0)),0,VLOOKUP($U$378,'TAR FIN'!$A$1:$O$120,15,0))</f>
        <v>256.38</v>
      </c>
      <c r="Y378" s="6">
        <f ca="1">('TUSD BE'!$AM$28+'TUSD BF'!$AM$28+'TUSD CVA'!$AM$28)*1</f>
        <v>11.452356648653195</v>
      </c>
      <c r="Z378" s="6">
        <f ca="1">('TUSD BE'!$AM$29+'TUSD BF'!$AM$29+'TUSD CVA'!$AM$29)*1</f>
        <v>87.519361965254689</v>
      </c>
      <c r="AA378" s="6">
        <f>('TE BE'!$AA$11+'TE BF'!$AA$11+'TE CVA'!$AA$11)*1</f>
        <v>230.83420940933817</v>
      </c>
      <c r="AB378" s="6">
        <f>$K$378*$V$378</f>
        <v>4845.5</v>
      </c>
      <c r="AC378" s="6">
        <f>$M$378*$W$378</f>
        <v>8196.2947500000009</v>
      </c>
      <c r="AD378" s="6">
        <f>$O$378*$X$378</f>
        <v>24882.960900000002</v>
      </c>
      <c r="AE378" s="6">
        <f ca="1">$K$378*$Y$378</f>
        <v>6298.7961567592574</v>
      </c>
      <c r="AF378" s="6">
        <f ca="1">$M$378*$Z$378</f>
        <v>8494.1916755377952</v>
      </c>
      <c r="AG378" s="6">
        <f>$O$378*$AA$378</f>
        <v>22403.614194223319</v>
      </c>
    </row>
    <row r="379" spans="1:33" ht="11.25" customHeight="1" x14ac:dyDescent="0.25">
      <c r="A379" s="4" t="s">
        <v>21</v>
      </c>
      <c r="B379" s="4" t="s">
        <v>33</v>
      </c>
      <c r="C379" s="4" t="s">
        <v>41</v>
      </c>
      <c r="D379" s="4" t="s">
        <v>42</v>
      </c>
      <c r="E379" s="4" t="s">
        <v>25</v>
      </c>
      <c r="F379" s="4" t="s">
        <v>25</v>
      </c>
      <c r="G379" s="4" t="s">
        <v>25</v>
      </c>
      <c r="H379" s="4" t="s">
        <v>36</v>
      </c>
      <c r="I379" s="5">
        <v>43891</v>
      </c>
      <c r="J379" s="6">
        <v>43793</v>
      </c>
      <c r="K379" s="6">
        <v>43793</v>
      </c>
      <c r="L379" s="6">
        <v>14700.697</v>
      </c>
      <c r="M379" s="6">
        <v>14700.697</v>
      </c>
      <c r="N379" s="6">
        <v>14700.697</v>
      </c>
      <c r="O379" s="6">
        <v>14700.697</v>
      </c>
      <c r="P379" s="6">
        <v>0</v>
      </c>
      <c r="Q379" s="4" t="s">
        <v>26</v>
      </c>
      <c r="R379" s="4">
        <v>0</v>
      </c>
      <c r="S379" s="6">
        <v>22</v>
      </c>
      <c r="T379" s="6">
        <v>23</v>
      </c>
      <c r="U379" s="6">
        <v>82</v>
      </c>
      <c r="V379" s="6">
        <f>IF(ISERROR(VLOOKUP($S$379,'TAR FIN'!$A$1:$O$120,15,0)),0,VLOOKUP($S$379,'TAR FIN'!$A$1:$O$120,15,0))</f>
        <v>8.81</v>
      </c>
      <c r="W379" s="6">
        <f>IF(ISERROR(VLOOKUP($T$379,'TAR FIN'!$A$1:$O$120,15,0)),0,VLOOKUP($T$379,'TAR FIN'!$A$1:$O$120,15,0))</f>
        <v>84.45</v>
      </c>
      <c r="X379" s="6">
        <f>IF(ISERROR(VLOOKUP($U$379,'TAR FIN'!$A$1:$O$120,15,0)),0,VLOOKUP($U$379,'TAR FIN'!$A$1:$O$120,15,0))</f>
        <v>256.38</v>
      </c>
      <c r="Y379" s="6">
        <f ca="1">('TUSD BE'!$AM$28+'TUSD BF'!$AM$28+'TUSD CVA'!$AM$28)*1</f>
        <v>11.452356648653195</v>
      </c>
      <c r="Z379" s="6">
        <f ca="1">('TUSD BE'!$AM$29+'TUSD BF'!$AM$29+'TUSD CVA'!$AM$29)*1</f>
        <v>87.519361965254689</v>
      </c>
      <c r="AA379" s="6">
        <f>('TE BE'!$AA$11+'TE BF'!$AA$11+'TE CVA'!$AA$11)*1</f>
        <v>230.83420940933817</v>
      </c>
      <c r="AB379" s="6">
        <f>$K$379*$V$379</f>
        <v>385816.33</v>
      </c>
      <c r="AC379" s="6">
        <f>$M$379*$W$379</f>
        <v>1241473.8616500001</v>
      </c>
      <c r="AD379" s="6">
        <f>$O$379*$X$379</f>
        <v>3768964.69686</v>
      </c>
      <c r="AE379" s="6">
        <f ca="1">$K$379*$Y$379</f>
        <v>501533.05471446936</v>
      </c>
      <c r="AF379" s="6">
        <f ca="1">$M$379*$Z$379</f>
        <v>1286595.6218845337</v>
      </c>
      <c r="AG379" s="6">
        <f>$O$379*$AA$379</f>
        <v>3393423.7697612294</v>
      </c>
    </row>
    <row r="380" spans="1:33" ht="11.25" customHeight="1" x14ac:dyDescent="0.25">
      <c r="A380" s="4" t="s">
        <v>28</v>
      </c>
      <c r="B380" s="4" t="s">
        <v>33</v>
      </c>
      <c r="C380" s="4" t="s">
        <v>41</v>
      </c>
      <c r="D380" s="4" t="s">
        <v>42</v>
      </c>
      <c r="E380" s="4" t="s">
        <v>25</v>
      </c>
      <c r="F380" s="4" t="s">
        <v>25</v>
      </c>
      <c r="G380" s="4" t="s">
        <v>25</v>
      </c>
      <c r="H380" s="4" t="s">
        <v>36</v>
      </c>
      <c r="I380" s="5">
        <v>43891</v>
      </c>
      <c r="J380" s="6">
        <v>550</v>
      </c>
      <c r="K380" s="6">
        <v>550</v>
      </c>
      <c r="L380" s="6">
        <v>93.591999999999999</v>
      </c>
      <c r="M380" s="6">
        <v>93.591999999999999</v>
      </c>
      <c r="N380" s="6">
        <v>93.591999999999999</v>
      </c>
      <c r="O380" s="6">
        <v>93.591999999999999</v>
      </c>
      <c r="P380" s="6">
        <v>0</v>
      </c>
      <c r="Q380" s="4" t="s">
        <v>26</v>
      </c>
      <c r="R380" s="4">
        <v>0</v>
      </c>
      <c r="S380" s="6">
        <v>22</v>
      </c>
      <c r="T380" s="6">
        <v>23</v>
      </c>
      <c r="U380" s="6">
        <v>82</v>
      </c>
      <c r="V380" s="6">
        <f>IF(ISERROR(VLOOKUP($S$380,'TAR FIN'!$A$1:$O$120,15,0)),0,VLOOKUP($S$380,'TAR FIN'!$A$1:$O$120,15,0))</f>
        <v>8.81</v>
      </c>
      <c r="W380" s="6">
        <f>IF(ISERROR(VLOOKUP($T$380,'TAR FIN'!$A$1:$O$120,15,0)),0,VLOOKUP($T$380,'TAR FIN'!$A$1:$O$120,15,0))</f>
        <v>84.45</v>
      </c>
      <c r="X380" s="6">
        <f>IF(ISERROR(VLOOKUP($U$380,'TAR FIN'!$A$1:$O$120,15,0)),0,VLOOKUP($U$380,'TAR FIN'!$A$1:$O$120,15,0))</f>
        <v>256.38</v>
      </c>
      <c r="Y380" s="6">
        <f ca="1">('TUSD BE'!$AM$28+'TUSD BF'!$AM$28+'TUSD CVA'!$AM$28)*1</f>
        <v>11.452356648653195</v>
      </c>
      <c r="Z380" s="6">
        <f ca="1">('TUSD BE'!$AM$29+'TUSD BF'!$AM$29+'TUSD CVA'!$AM$29)*1</f>
        <v>87.519361965254689</v>
      </c>
      <c r="AA380" s="6">
        <f>('TE BE'!$AA$11+'TE BF'!$AA$11+'TE CVA'!$AA$11)*1</f>
        <v>230.83420940933817</v>
      </c>
      <c r="AB380" s="6">
        <f>$K$380*$V$380</f>
        <v>4845.5</v>
      </c>
      <c r="AC380" s="6">
        <f>$M$380*$W$380</f>
        <v>7903.8444</v>
      </c>
      <c r="AD380" s="6">
        <f>$O$380*$X$380</f>
        <v>23995.116959999999</v>
      </c>
      <c r="AE380" s="6">
        <f ca="1">$K$380*$Y$380</f>
        <v>6298.7961567592574</v>
      </c>
      <c r="AF380" s="6">
        <f ca="1">$M$380*$Z$380</f>
        <v>8191.1121250521164</v>
      </c>
      <c r="AG380" s="6">
        <f>$O$380*$AA$380</f>
        <v>21604.235327038779</v>
      </c>
    </row>
    <row r="381" spans="1:33" ht="11.25" customHeight="1" x14ac:dyDescent="0.25">
      <c r="A381" s="4" t="s">
        <v>21</v>
      </c>
      <c r="B381" s="4" t="s">
        <v>33</v>
      </c>
      <c r="C381" s="4" t="s">
        <v>41</v>
      </c>
      <c r="D381" s="4" t="s">
        <v>42</v>
      </c>
      <c r="E381" s="4" t="s">
        <v>25</v>
      </c>
      <c r="F381" s="4" t="s">
        <v>25</v>
      </c>
      <c r="G381" s="4" t="s">
        <v>25</v>
      </c>
      <c r="H381" s="4" t="s">
        <v>36</v>
      </c>
      <c r="I381" s="5">
        <v>43922</v>
      </c>
      <c r="J381" s="6">
        <v>43743</v>
      </c>
      <c r="K381" s="6">
        <v>43743</v>
      </c>
      <c r="L381" s="6">
        <v>15249.904</v>
      </c>
      <c r="M381" s="6">
        <v>15249.904</v>
      </c>
      <c r="N381" s="6">
        <v>15249.904</v>
      </c>
      <c r="O381" s="6">
        <v>15249.904</v>
      </c>
      <c r="P381" s="6">
        <v>0</v>
      </c>
      <c r="Q381" s="4" t="s">
        <v>26</v>
      </c>
      <c r="R381" s="4">
        <v>0</v>
      </c>
      <c r="S381" s="6">
        <v>22</v>
      </c>
      <c r="T381" s="6">
        <v>23</v>
      </c>
      <c r="U381" s="6">
        <v>82</v>
      </c>
      <c r="V381" s="6">
        <f>IF(ISERROR(VLOOKUP($S$381,'TAR FIN'!$A$1:$O$120,15,0)),0,VLOOKUP($S$381,'TAR FIN'!$A$1:$O$120,15,0))</f>
        <v>8.81</v>
      </c>
      <c r="W381" s="6">
        <f>IF(ISERROR(VLOOKUP($T$381,'TAR FIN'!$A$1:$O$120,15,0)),0,VLOOKUP($T$381,'TAR FIN'!$A$1:$O$120,15,0))</f>
        <v>84.45</v>
      </c>
      <c r="X381" s="6">
        <f>IF(ISERROR(VLOOKUP($U$381,'TAR FIN'!$A$1:$O$120,15,0)),0,VLOOKUP($U$381,'TAR FIN'!$A$1:$O$120,15,0))</f>
        <v>256.38</v>
      </c>
      <c r="Y381" s="6">
        <f ca="1">('TUSD BE'!$AM$28+'TUSD BF'!$AM$28+'TUSD CVA'!$AM$28)*1</f>
        <v>11.452356648653195</v>
      </c>
      <c r="Z381" s="6">
        <f ca="1">('TUSD BE'!$AM$29+'TUSD BF'!$AM$29+'TUSD CVA'!$AM$29)*1</f>
        <v>87.519361965254689</v>
      </c>
      <c r="AA381" s="6">
        <f>('TE BE'!$AA$11+'TE BF'!$AA$11+'TE CVA'!$AA$11)*1</f>
        <v>230.83420940933817</v>
      </c>
      <c r="AB381" s="6">
        <f>$K$381*$V$381</f>
        <v>385375.83</v>
      </c>
      <c r="AC381" s="6">
        <f>$M$381*$W$381</f>
        <v>1287854.3928</v>
      </c>
      <c r="AD381" s="6">
        <f>$O$381*$X$381</f>
        <v>3909770.3875199999</v>
      </c>
      <c r="AE381" s="6">
        <f ca="1">$K$381*$Y$381</f>
        <v>500960.43688203674</v>
      </c>
      <c r="AF381" s="6">
        <f ca="1">$M$381*$Z$381</f>
        <v>1334661.8681113853</v>
      </c>
      <c r="AG381" s="6">
        <f>$O$381*$AA$381</f>
        <v>3520199.5334083037</v>
      </c>
    </row>
    <row r="382" spans="1:33" ht="11.25" customHeight="1" x14ac:dyDescent="0.25">
      <c r="A382" s="4" t="s">
        <v>27</v>
      </c>
      <c r="B382" s="4" t="s">
        <v>33</v>
      </c>
      <c r="C382" s="4" t="s">
        <v>41</v>
      </c>
      <c r="D382" s="4" t="s">
        <v>42</v>
      </c>
      <c r="E382" s="4" t="s">
        <v>25</v>
      </c>
      <c r="F382" s="4" t="s">
        <v>25</v>
      </c>
      <c r="G382" s="4" t="s">
        <v>25</v>
      </c>
      <c r="H382" s="4" t="s">
        <v>36</v>
      </c>
      <c r="I382" s="5">
        <v>43922</v>
      </c>
      <c r="J382" s="6">
        <v>50</v>
      </c>
      <c r="K382" s="6">
        <v>50</v>
      </c>
      <c r="L382" s="6">
        <v>6.64</v>
      </c>
      <c r="M382" s="6">
        <v>6.64</v>
      </c>
      <c r="N382" s="6">
        <v>6.64</v>
      </c>
      <c r="O382" s="6">
        <v>6.64</v>
      </c>
      <c r="P382" s="6">
        <v>0</v>
      </c>
      <c r="Q382" s="4" t="s">
        <v>26</v>
      </c>
      <c r="R382" s="4">
        <v>0</v>
      </c>
      <c r="S382" s="6">
        <v>22</v>
      </c>
      <c r="T382" s="6">
        <v>23</v>
      </c>
      <c r="U382" s="6">
        <v>82</v>
      </c>
      <c r="V382" s="6">
        <f>IF(ISERROR(VLOOKUP($S$382,'TAR FIN'!$A$1:$O$120,15,0)),0,VLOOKUP($S$382,'TAR FIN'!$A$1:$O$120,15,0))</f>
        <v>8.81</v>
      </c>
      <c r="W382" s="6">
        <f>IF(ISERROR(VLOOKUP($T$382,'TAR FIN'!$A$1:$O$120,15,0)),0,VLOOKUP($T$382,'TAR FIN'!$A$1:$O$120,15,0))</f>
        <v>84.45</v>
      </c>
      <c r="X382" s="6">
        <f>IF(ISERROR(VLOOKUP($U$382,'TAR FIN'!$A$1:$O$120,15,0)),0,VLOOKUP($U$382,'TAR FIN'!$A$1:$O$120,15,0))</f>
        <v>256.38</v>
      </c>
      <c r="Y382" s="6">
        <f ca="1">('TUSD BE'!$AM$28+'TUSD BF'!$AM$28+'TUSD CVA'!$AM$28)*1</f>
        <v>11.452356648653195</v>
      </c>
      <c r="Z382" s="6">
        <f ca="1">('TUSD BE'!$AM$29+'TUSD BF'!$AM$29+'TUSD CVA'!$AM$29)*1</f>
        <v>87.519361965254689</v>
      </c>
      <c r="AA382" s="6">
        <f>('TE BE'!$AA$11+'TE BF'!$AA$11+'TE CVA'!$AA$11)*1</f>
        <v>230.83420940933817</v>
      </c>
      <c r="AB382" s="6">
        <f>$K$382*$V$382</f>
        <v>440.5</v>
      </c>
      <c r="AC382" s="6">
        <f>$M$382*$W$382</f>
        <v>560.74800000000005</v>
      </c>
      <c r="AD382" s="6">
        <f>$O$382*$X$382</f>
        <v>1702.3631999999998</v>
      </c>
      <c r="AE382" s="6">
        <f ca="1">$K$382*$Y$382</f>
        <v>572.61783243265972</v>
      </c>
      <c r="AF382" s="6">
        <f ca="1">$M$382*$Z$382</f>
        <v>581.12856344929105</v>
      </c>
      <c r="AG382" s="6">
        <f>$O$382*$AA$382</f>
        <v>1532.7391504780053</v>
      </c>
    </row>
    <row r="383" spans="1:33" ht="11.25" customHeight="1" x14ac:dyDescent="0.25">
      <c r="A383" s="4" t="s">
        <v>28</v>
      </c>
      <c r="B383" s="4" t="s">
        <v>33</v>
      </c>
      <c r="C383" s="4" t="s">
        <v>41</v>
      </c>
      <c r="D383" s="4" t="s">
        <v>42</v>
      </c>
      <c r="E383" s="4" t="s">
        <v>25</v>
      </c>
      <c r="F383" s="4" t="s">
        <v>25</v>
      </c>
      <c r="G383" s="4" t="s">
        <v>25</v>
      </c>
      <c r="H383" s="4" t="s">
        <v>36</v>
      </c>
      <c r="I383" s="5">
        <v>43922</v>
      </c>
      <c r="J383" s="6">
        <v>550</v>
      </c>
      <c r="K383" s="6">
        <v>550</v>
      </c>
      <c r="L383" s="6">
        <v>58.206000000000003</v>
      </c>
      <c r="M383" s="6">
        <v>58.206000000000003</v>
      </c>
      <c r="N383" s="6">
        <v>58.206000000000003</v>
      </c>
      <c r="O383" s="6">
        <v>58.206000000000003</v>
      </c>
      <c r="P383" s="6">
        <v>0</v>
      </c>
      <c r="Q383" s="4" t="s">
        <v>26</v>
      </c>
      <c r="R383" s="4">
        <v>0</v>
      </c>
      <c r="S383" s="6">
        <v>22</v>
      </c>
      <c r="T383" s="6">
        <v>23</v>
      </c>
      <c r="U383" s="6">
        <v>82</v>
      </c>
      <c r="V383" s="6">
        <f>IF(ISERROR(VLOOKUP($S$383,'TAR FIN'!$A$1:$O$120,15,0)),0,VLOOKUP($S$383,'TAR FIN'!$A$1:$O$120,15,0))</f>
        <v>8.81</v>
      </c>
      <c r="W383" s="6">
        <f>IF(ISERROR(VLOOKUP($T$383,'TAR FIN'!$A$1:$O$120,15,0)),0,VLOOKUP($T$383,'TAR FIN'!$A$1:$O$120,15,0))</f>
        <v>84.45</v>
      </c>
      <c r="X383" s="6">
        <f>IF(ISERROR(VLOOKUP($U$383,'TAR FIN'!$A$1:$O$120,15,0)),0,VLOOKUP($U$383,'TAR FIN'!$A$1:$O$120,15,0))</f>
        <v>256.38</v>
      </c>
      <c r="Y383" s="6">
        <f ca="1">('TUSD BE'!$AM$28+'TUSD BF'!$AM$28+'TUSD CVA'!$AM$28)*1</f>
        <v>11.452356648653195</v>
      </c>
      <c r="Z383" s="6">
        <f ca="1">('TUSD BE'!$AM$29+'TUSD BF'!$AM$29+'TUSD CVA'!$AM$29)*1</f>
        <v>87.519361965254689</v>
      </c>
      <c r="AA383" s="6">
        <f>('TE BE'!$AA$11+'TE BF'!$AA$11+'TE CVA'!$AA$11)*1</f>
        <v>230.83420940933817</v>
      </c>
      <c r="AB383" s="6">
        <f>$K$383*$V$383</f>
        <v>4845.5</v>
      </c>
      <c r="AC383" s="6">
        <f>$M$383*$W$383</f>
        <v>4915.4967000000006</v>
      </c>
      <c r="AD383" s="6">
        <f>$O$383*$X$383</f>
        <v>14922.854280000001</v>
      </c>
      <c r="AE383" s="6">
        <f ca="1">$K$383*$Y$383</f>
        <v>6298.7961567592574</v>
      </c>
      <c r="AF383" s="6">
        <f ca="1">$M$383*$Z$383</f>
        <v>5094.1519825496143</v>
      </c>
      <c r="AG383" s="6">
        <f>$O$383*$AA$383</f>
        <v>13435.935992879939</v>
      </c>
    </row>
    <row r="384" spans="1:33" ht="11.25" customHeight="1" x14ac:dyDescent="0.25">
      <c r="A384" s="4" t="s">
        <v>21</v>
      </c>
      <c r="B384" s="4" t="s">
        <v>33</v>
      </c>
      <c r="C384" s="4" t="s">
        <v>41</v>
      </c>
      <c r="D384" s="4" t="s">
        <v>42</v>
      </c>
      <c r="E384" s="4" t="s">
        <v>25</v>
      </c>
      <c r="F384" s="4" t="s">
        <v>25</v>
      </c>
      <c r="G384" s="4" t="s">
        <v>25</v>
      </c>
      <c r="H384" s="4" t="s">
        <v>36</v>
      </c>
      <c r="I384" s="5">
        <v>43952</v>
      </c>
      <c r="J384" s="6">
        <v>41983</v>
      </c>
      <c r="K384" s="6">
        <v>41983</v>
      </c>
      <c r="L384" s="6">
        <v>13435.352999999999</v>
      </c>
      <c r="M384" s="6">
        <v>13435.352999999999</v>
      </c>
      <c r="N384" s="6">
        <v>13435.352999999999</v>
      </c>
      <c r="O384" s="6">
        <v>13435.352999999999</v>
      </c>
      <c r="P384" s="6">
        <v>0</v>
      </c>
      <c r="Q384" s="4" t="s">
        <v>26</v>
      </c>
      <c r="R384" s="4">
        <v>0</v>
      </c>
      <c r="S384" s="6">
        <v>22</v>
      </c>
      <c r="T384" s="6">
        <v>23</v>
      </c>
      <c r="U384" s="6">
        <v>82</v>
      </c>
      <c r="V384" s="6">
        <f>IF(ISERROR(VLOOKUP($S$384,'TAR FIN'!$A$1:$O$120,15,0)),0,VLOOKUP($S$384,'TAR FIN'!$A$1:$O$120,15,0))</f>
        <v>8.81</v>
      </c>
      <c r="W384" s="6">
        <f>IF(ISERROR(VLOOKUP($T$384,'TAR FIN'!$A$1:$O$120,15,0)),0,VLOOKUP($T$384,'TAR FIN'!$A$1:$O$120,15,0))</f>
        <v>84.45</v>
      </c>
      <c r="X384" s="6">
        <f>IF(ISERROR(VLOOKUP($U$384,'TAR FIN'!$A$1:$O$120,15,0)),0,VLOOKUP($U$384,'TAR FIN'!$A$1:$O$120,15,0))</f>
        <v>256.38</v>
      </c>
      <c r="Y384" s="6">
        <f ca="1">('TUSD BE'!$AM$28+'TUSD BF'!$AM$28+'TUSD CVA'!$AM$28)*1</f>
        <v>11.452356648653195</v>
      </c>
      <c r="Z384" s="6">
        <f ca="1">('TUSD BE'!$AM$29+'TUSD BF'!$AM$29+'TUSD CVA'!$AM$29)*1</f>
        <v>87.519361965254689</v>
      </c>
      <c r="AA384" s="6">
        <f>('TE BE'!$AA$11+'TE BF'!$AA$11+'TE CVA'!$AA$11)*1</f>
        <v>230.83420940933817</v>
      </c>
      <c r="AB384" s="6">
        <f>$K$384*$V$384</f>
        <v>369870.23000000004</v>
      </c>
      <c r="AC384" s="6">
        <f>$M$384*$W$384</f>
        <v>1134615.56085</v>
      </c>
      <c r="AD384" s="6">
        <f>$O$384*$X$384</f>
        <v>3444555.8021399998</v>
      </c>
      <c r="AE384" s="6">
        <f ca="1">$K$384*$Y$384</f>
        <v>480804.28918040707</v>
      </c>
      <c r="AF384" s="6">
        <f ca="1">$M$384*$Z$384</f>
        <v>1175853.5223379703</v>
      </c>
      <c r="AG384" s="6">
        <f>$O$384*$AA$384</f>
        <v>3101339.0878903796</v>
      </c>
    </row>
    <row r="385" spans="1:33" ht="11.25" customHeight="1" x14ac:dyDescent="0.25">
      <c r="A385" s="4" t="s">
        <v>27</v>
      </c>
      <c r="B385" s="4" t="s">
        <v>33</v>
      </c>
      <c r="C385" s="4" t="s">
        <v>41</v>
      </c>
      <c r="D385" s="4" t="s">
        <v>42</v>
      </c>
      <c r="E385" s="4" t="s">
        <v>25</v>
      </c>
      <c r="F385" s="4" t="s">
        <v>25</v>
      </c>
      <c r="G385" s="4" t="s">
        <v>25</v>
      </c>
      <c r="H385" s="4" t="s">
        <v>36</v>
      </c>
      <c r="I385" s="5">
        <v>43952</v>
      </c>
      <c r="J385" s="6">
        <v>941</v>
      </c>
      <c r="K385" s="6">
        <v>941</v>
      </c>
      <c r="L385" s="6">
        <v>310.375</v>
      </c>
      <c r="M385" s="6">
        <v>310.375</v>
      </c>
      <c r="N385" s="6">
        <v>310.375</v>
      </c>
      <c r="O385" s="6">
        <v>310.375</v>
      </c>
      <c r="P385" s="6">
        <v>0</v>
      </c>
      <c r="Q385" s="4" t="s">
        <v>26</v>
      </c>
      <c r="R385" s="4">
        <v>0</v>
      </c>
      <c r="S385" s="6">
        <v>22</v>
      </c>
      <c r="T385" s="6">
        <v>23</v>
      </c>
      <c r="U385" s="6">
        <v>82</v>
      </c>
      <c r="V385" s="6">
        <f>IF(ISERROR(VLOOKUP($S$385,'TAR FIN'!$A$1:$O$120,15,0)),0,VLOOKUP($S$385,'TAR FIN'!$A$1:$O$120,15,0))</f>
        <v>8.81</v>
      </c>
      <c r="W385" s="6">
        <f>IF(ISERROR(VLOOKUP($T$385,'TAR FIN'!$A$1:$O$120,15,0)),0,VLOOKUP($T$385,'TAR FIN'!$A$1:$O$120,15,0))</f>
        <v>84.45</v>
      </c>
      <c r="X385" s="6">
        <f>IF(ISERROR(VLOOKUP($U$385,'TAR FIN'!$A$1:$O$120,15,0)),0,VLOOKUP($U$385,'TAR FIN'!$A$1:$O$120,15,0))</f>
        <v>256.38</v>
      </c>
      <c r="Y385" s="6">
        <f ca="1">('TUSD BE'!$AM$28+'TUSD BF'!$AM$28+'TUSD CVA'!$AM$28)*1</f>
        <v>11.452356648653195</v>
      </c>
      <c r="Z385" s="6">
        <f ca="1">('TUSD BE'!$AM$29+'TUSD BF'!$AM$29+'TUSD CVA'!$AM$29)*1</f>
        <v>87.519361965254689</v>
      </c>
      <c r="AA385" s="6">
        <f>('TE BE'!$AA$11+'TE BF'!$AA$11+'TE CVA'!$AA$11)*1</f>
        <v>230.83420940933817</v>
      </c>
      <c r="AB385" s="6">
        <f>$K$385*$V$385</f>
        <v>8290.2100000000009</v>
      </c>
      <c r="AC385" s="6">
        <f>$M$385*$W$385</f>
        <v>26211.168750000001</v>
      </c>
      <c r="AD385" s="6">
        <f>$O$385*$X$385</f>
        <v>79573.942500000005</v>
      </c>
      <c r="AE385" s="6">
        <f ca="1">$K$385*$Y$385</f>
        <v>10776.667606382656</v>
      </c>
      <c r="AF385" s="6">
        <f ca="1">$M$385*$Z$385</f>
        <v>27163.821969965924</v>
      </c>
      <c r="AG385" s="6">
        <f>$O$385*$AA$385</f>
        <v>71645.167745423329</v>
      </c>
    </row>
    <row r="386" spans="1:33" ht="11.25" customHeight="1" x14ac:dyDescent="0.25">
      <c r="A386" s="4" t="s">
        <v>28</v>
      </c>
      <c r="B386" s="4" t="s">
        <v>33</v>
      </c>
      <c r="C386" s="4" t="s">
        <v>41</v>
      </c>
      <c r="D386" s="4" t="s">
        <v>42</v>
      </c>
      <c r="E386" s="4" t="s">
        <v>25</v>
      </c>
      <c r="F386" s="4" t="s">
        <v>25</v>
      </c>
      <c r="G386" s="4" t="s">
        <v>25</v>
      </c>
      <c r="H386" s="4" t="s">
        <v>36</v>
      </c>
      <c r="I386" s="5">
        <v>43952</v>
      </c>
      <c r="J386" s="6">
        <v>550</v>
      </c>
      <c r="K386" s="6">
        <v>550</v>
      </c>
      <c r="L386" s="6">
        <v>44.973999999999997</v>
      </c>
      <c r="M386" s="6">
        <v>44.973999999999997</v>
      </c>
      <c r="N386" s="6">
        <v>44.973999999999997</v>
      </c>
      <c r="O386" s="6">
        <v>44.973999999999997</v>
      </c>
      <c r="P386" s="6">
        <v>0</v>
      </c>
      <c r="Q386" s="4" t="s">
        <v>26</v>
      </c>
      <c r="R386" s="4">
        <v>0</v>
      </c>
      <c r="S386" s="6">
        <v>22</v>
      </c>
      <c r="T386" s="6">
        <v>23</v>
      </c>
      <c r="U386" s="6">
        <v>82</v>
      </c>
      <c r="V386" s="6">
        <f>IF(ISERROR(VLOOKUP($S$386,'TAR FIN'!$A$1:$O$120,15,0)),0,VLOOKUP($S$386,'TAR FIN'!$A$1:$O$120,15,0))</f>
        <v>8.81</v>
      </c>
      <c r="W386" s="6">
        <f>IF(ISERROR(VLOOKUP($T$386,'TAR FIN'!$A$1:$O$120,15,0)),0,VLOOKUP($T$386,'TAR FIN'!$A$1:$O$120,15,0))</f>
        <v>84.45</v>
      </c>
      <c r="X386" s="6">
        <f>IF(ISERROR(VLOOKUP($U$386,'TAR FIN'!$A$1:$O$120,15,0)),0,VLOOKUP($U$386,'TAR FIN'!$A$1:$O$120,15,0))</f>
        <v>256.38</v>
      </c>
      <c r="Y386" s="6">
        <f ca="1">('TUSD BE'!$AM$28+'TUSD BF'!$AM$28+'TUSD CVA'!$AM$28)*1</f>
        <v>11.452356648653195</v>
      </c>
      <c r="Z386" s="6">
        <f ca="1">('TUSD BE'!$AM$29+'TUSD BF'!$AM$29+'TUSD CVA'!$AM$29)*1</f>
        <v>87.519361965254689</v>
      </c>
      <c r="AA386" s="6">
        <f>('TE BE'!$AA$11+'TE BF'!$AA$11+'TE CVA'!$AA$11)*1</f>
        <v>230.83420940933817</v>
      </c>
      <c r="AB386" s="6">
        <f>$K$386*$V$386</f>
        <v>4845.5</v>
      </c>
      <c r="AC386" s="6">
        <f>$M$386*$W$386</f>
        <v>3798.0542999999998</v>
      </c>
      <c r="AD386" s="6">
        <f>$O$386*$X$386</f>
        <v>11530.434119999998</v>
      </c>
      <c r="AE386" s="6">
        <f ca="1">$K$386*$Y$386</f>
        <v>6298.7961567592574</v>
      </c>
      <c r="AF386" s="6">
        <f ca="1">$M$386*$Z$386</f>
        <v>3936.095785025364</v>
      </c>
      <c r="AG386" s="6">
        <f>$O$386*$AA$386</f>
        <v>10381.537733975574</v>
      </c>
    </row>
    <row r="387" spans="1:33" ht="11.25" customHeight="1" x14ac:dyDescent="0.25">
      <c r="A387" s="4" t="s">
        <v>21</v>
      </c>
      <c r="B387" s="4" t="s">
        <v>33</v>
      </c>
      <c r="C387" s="4" t="s">
        <v>41</v>
      </c>
      <c r="D387" s="4" t="s">
        <v>42</v>
      </c>
      <c r="E387" s="4" t="s">
        <v>25</v>
      </c>
      <c r="F387" s="4" t="s">
        <v>25</v>
      </c>
      <c r="G387" s="4" t="s">
        <v>25</v>
      </c>
      <c r="H387" s="4" t="s">
        <v>36</v>
      </c>
      <c r="I387" s="5">
        <v>43983</v>
      </c>
      <c r="J387" s="6">
        <v>41519</v>
      </c>
      <c r="K387" s="6">
        <v>41519</v>
      </c>
      <c r="L387" s="6">
        <v>13369.016</v>
      </c>
      <c r="M387" s="6">
        <v>13369.016</v>
      </c>
      <c r="N387" s="6">
        <v>13369.016</v>
      </c>
      <c r="O387" s="6">
        <v>13369.016</v>
      </c>
      <c r="P387" s="6">
        <v>0</v>
      </c>
      <c r="Q387" s="4" t="s">
        <v>26</v>
      </c>
      <c r="R387" s="4">
        <v>0</v>
      </c>
      <c r="S387" s="6">
        <v>22</v>
      </c>
      <c r="T387" s="6">
        <v>23</v>
      </c>
      <c r="U387" s="6">
        <v>82</v>
      </c>
      <c r="V387" s="6">
        <f>IF(ISERROR(VLOOKUP($S$387,'TAR FIN'!$A$1:$O$120,15,0)),0,VLOOKUP($S$387,'TAR FIN'!$A$1:$O$120,15,0))</f>
        <v>8.81</v>
      </c>
      <c r="W387" s="6">
        <f>IF(ISERROR(VLOOKUP($T$387,'TAR FIN'!$A$1:$O$120,15,0)),0,VLOOKUP($T$387,'TAR FIN'!$A$1:$O$120,15,0))</f>
        <v>84.45</v>
      </c>
      <c r="X387" s="6">
        <f>IF(ISERROR(VLOOKUP($U$387,'TAR FIN'!$A$1:$O$120,15,0)),0,VLOOKUP($U$387,'TAR FIN'!$A$1:$O$120,15,0))</f>
        <v>256.38</v>
      </c>
      <c r="Y387" s="6">
        <f ca="1">('TUSD BE'!$AM$28+'TUSD BF'!$AM$28+'TUSD CVA'!$AM$28)*1</f>
        <v>11.452356648653195</v>
      </c>
      <c r="Z387" s="6">
        <f ca="1">('TUSD BE'!$AM$29+'TUSD BF'!$AM$29+'TUSD CVA'!$AM$29)*1</f>
        <v>87.519361965254689</v>
      </c>
      <c r="AA387" s="6">
        <f>('TE BE'!$AA$11+'TE BF'!$AA$11+'TE CVA'!$AA$11)*1</f>
        <v>230.83420940933817</v>
      </c>
      <c r="AB387" s="6">
        <f>$K$387*$V$387</f>
        <v>365782.39</v>
      </c>
      <c r="AC387" s="6">
        <f>$M$387*$W$387</f>
        <v>1129013.4012</v>
      </c>
      <c r="AD387" s="6">
        <f>$O$387*$X$387</f>
        <v>3427548.3220799998</v>
      </c>
      <c r="AE387" s="6">
        <f ca="1">$K$387*$Y$387</f>
        <v>475490.39569543203</v>
      </c>
      <c r="AF387" s="6">
        <f ca="1">$M$387*$Z$387</f>
        <v>1170047.7504232815</v>
      </c>
      <c r="AG387" s="6">
        <f>$O$387*$AA$387</f>
        <v>3086026.2389407926</v>
      </c>
    </row>
    <row r="388" spans="1:33" ht="11.25" customHeight="1" x14ac:dyDescent="0.25">
      <c r="A388" s="4" t="s">
        <v>27</v>
      </c>
      <c r="B388" s="4" t="s">
        <v>33</v>
      </c>
      <c r="C388" s="4" t="s">
        <v>41</v>
      </c>
      <c r="D388" s="4" t="s">
        <v>42</v>
      </c>
      <c r="E388" s="4" t="s">
        <v>25</v>
      </c>
      <c r="F388" s="4" t="s">
        <v>25</v>
      </c>
      <c r="G388" s="4" t="s">
        <v>25</v>
      </c>
      <c r="H388" s="4" t="s">
        <v>36</v>
      </c>
      <c r="I388" s="5">
        <v>43983</v>
      </c>
      <c r="J388" s="6">
        <v>561</v>
      </c>
      <c r="K388" s="6">
        <v>561</v>
      </c>
      <c r="L388" s="6">
        <v>125.38</v>
      </c>
      <c r="M388" s="6">
        <v>125.38</v>
      </c>
      <c r="N388" s="6">
        <v>125.38</v>
      </c>
      <c r="O388" s="6">
        <v>125.38</v>
      </c>
      <c r="P388" s="6">
        <v>0</v>
      </c>
      <c r="Q388" s="4" t="s">
        <v>26</v>
      </c>
      <c r="R388" s="4">
        <v>0</v>
      </c>
      <c r="S388" s="6">
        <v>22</v>
      </c>
      <c r="T388" s="6">
        <v>23</v>
      </c>
      <c r="U388" s="6">
        <v>82</v>
      </c>
      <c r="V388" s="6">
        <f>IF(ISERROR(VLOOKUP($S$388,'TAR FIN'!$A$1:$O$120,15,0)),0,VLOOKUP($S$388,'TAR FIN'!$A$1:$O$120,15,0))</f>
        <v>8.81</v>
      </c>
      <c r="W388" s="6">
        <f>IF(ISERROR(VLOOKUP($T$388,'TAR FIN'!$A$1:$O$120,15,0)),0,VLOOKUP($T$388,'TAR FIN'!$A$1:$O$120,15,0))</f>
        <v>84.45</v>
      </c>
      <c r="X388" s="6">
        <f>IF(ISERROR(VLOOKUP($U$388,'TAR FIN'!$A$1:$O$120,15,0)),0,VLOOKUP($U$388,'TAR FIN'!$A$1:$O$120,15,0))</f>
        <v>256.38</v>
      </c>
      <c r="Y388" s="6">
        <f ca="1">('TUSD BE'!$AM$28+'TUSD BF'!$AM$28+'TUSD CVA'!$AM$28)*1</f>
        <v>11.452356648653195</v>
      </c>
      <c r="Z388" s="6">
        <f ca="1">('TUSD BE'!$AM$29+'TUSD BF'!$AM$29+'TUSD CVA'!$AM$29)*1</f>
        <v>87.519361965254689</v>
      </c>
      <c r="AA388" s="6">
        <f>('TE BE'!$AA$11+'TE BF'!$AA$11+'TE CVA'!$AA$11)*1</f>
        <v>230.83420940933817</v>
      </c>
      <c r="AB388" s="6">
        <f>$K$388*$V$388</f>
        <v>4942.41</v>
      </c>
      <c r="AC388" s="6">
        <f>$M$388*$W$388</f>
        <v>10588.341</v>
      </c>
      <c r="AD388" s="6">
        <f>$O$388*$X$388</f>
        <v>32144.9244</v>
      </c>
      <c r="AE388" s="6">
        <f ca="1">$K$388*$Y$388</f>
        <v>6424.7720798944429</v>
      </c>
      <c r="AF388" s="6">
        <f ca="1">$M$388*$Z$388</f>
        <v>10973.177603203632</v>
      </c>
      <c r="AG388" s="6">
        <f>$O$388*$AA$388</f>
        <v>28941.99317574282</v>
      </c>
    </row>
    <row r="389" spans="1:33" ht="11.25" customHeight="1" x14ac:dyDescent="0.25">
      <c r="A389" s="4" t="s">
        <v>28</v>
      </c>
      <c r="B389" s="4" t="s">
        <v>33</v>
      </c>
      <c r="C389" s="4" t="s">
        <v>41</v>
      </c>
      <c r="D389" s="4" t="s">
        <v>42</v>
      </c>
      <c r="E389" s="4" t="s">
        <v>25</v>
      </c>
      <c r="F389" s="4" t="s">
        <v>25</v>
      </c>
      <c r="G389" s="4" t="s">
        <v>25</v>
      </c>
      <c r="H389" s="4" t="s">
        <v>36</v>
      </c>
      <c r="I389" s="5">
        <v>43983</v>
      </c>
      <c r="J389" s="6">
        <v>550</v>
      </c>
      <c r="K389" s="6">
        <v>550</v>
      </c>
      <c r="L389" s="6">
        <v>41.387999999999998</v>
      </c>
      <c r="M389" s="6">
        <v>41.387999999999998</v>
      </c>
      <c r="N389" s="6">
        <v>41.387999999999998</v>
      </c>
      <c r="O389" s="6">
        <v>41.387999999999998</v>
      </c>
      <c r="P389" s="6">
        <v>0</v>
      </c>
      <c r="Q389" s="4" t="s">
        <v>26</v>
      </c>
      <c r="R389" s="4">
        <v>0</v>
      </c>
      <c r="S389" s="6">
        <v>22</v>
      </c>
      <c r="T389" s="6">
        <v>23</v>
      </c>
      <c r="U389" s="6">
        <v>82</v>
      </c>
      <c r="V389" s="6">
        <f>IF(ISERROR(VLOOKUP($S$389,'TAR FIN'!$A$1:$O$120,15,0)),0,VLOOKUP($S$389,'TAR FIN'!$A$1:$O$120,15,0))</f>
        <v>8.81</v>
      </c>
      <c r="W389" s="6">
        <f>IF(ISERROR(VLOOKUP($T$389,'TAR FIN'!$A$1:$O$120,15,0)),0,VLOOKUP($T$389,'TAR FIN'!$A$1:$O$120,15,0))</f>
        <v>84.45</v>
      </c>
      <c r="X389" s="6">
        <f>IF(ISERROR(VLOOKUP($U$389,'TAR FIN'!$A$1:$O$120,15,0)),0,VLOOKUP($U$389,'TAR FIN'!$A$1:$O$120,15,0))</f>
        <v>256.38</v>
      </c>
      <c r="Y389" s="6">
        <f ca="1">('TUSD BE'!$AM$28+'TUSD BF'!$AM$28+'TUSD CVA'!$AM$28)*1</f>
        <v>11.452356648653195</v>
      </c>
      <c r="Z389" s="6">
        <f ca="1">('TUSD BE'!$AM$29+'TUSD BF'!$AM$29+'TUSD CVA'!$AM$29)*1</f>
        <v>87.519361965254689</v>
      </c>
      <c r="AA389" s="6">
        <f>('TE BE'!$AA$11+'TE BF'!$AA$11+'TE CVA'!$AA$11)*1</f>
        <v>230.83420940933817</v>
      </c>
      <c r="AB389" s="6">
        <f>$K$389*$V$389</f>
        <v>4845.5</v>
      </c>
      <c r="AC389" s="6">
        <f>$M$389*$W$389</f>
        <v>3495.2165999999997</v>
      </c>
      <c r="AD389" s="6">
        <f>$O$389*$X$389</f>
        <v>10611.05544</v>
      </c>
      <c r="AE389" s="6">
        <f ca="1">$K$389*$Y$389</f>
        <v>6298.7961567592574</v>
      </c>
      <c r="AF389" s="6">
        <f ca="1">$M$389*$Z$389</f>
        <v>3622.2513530179608</v>
      </c>
      <c r="AG389" s="6">
        <f>$O$389*$AA$389</f>
        <v>9553.7662590336877</v>
      </c>
    </row>
    <row r="390" spans="1:33" ht="11.25" customHeight="1" x14ac:dyDescent="0.25">
      <c r="A390" s="4" t="s">
        <v>21</v>
      </c>
      <c r="B390" s="4" t="s">
        <v>33</v>
      </c>
      <c r="C390" s="4" t="s">
        <v>41</v>
      </c>
      <c r="D390" s="4" t="s">
        <v>42</v>
      </c>
      <c r="E390" s="4" t="s">
        <v>25</v>
      </c>
      <c r="F390" s="4" t="s">
        <v>25</v>
      </c>
      <c r="G390" s="4" t="s">
        <v>25</v>
      </c>
      <c r="H390" s="4" t="s">
        <v>36</v>
      </c>
      <c r="I390" s="5">
        <v>44013</v>
      </c>
      <c r="J390" s="6">
        <v>42508</v>
      </c>
      <c r="K390" s="6">
        <v>42508</v>
      </c>
      <c r="L390" s="6">
        <v>12987.578</v>
      </c>
      <c r="M390" s="6">
        <v>12987.578</v>
      </c>
      <c r="N390" s="6">
        <v>12987.578</v>
      </c>
      <c r="O390" s="6">
        <v>12987.578</v>
      </c>
      <c r="P390" s="6">
        <v>0</v>
      </c>
      <c r="Q390" s="4" t="s">
        <v>26</v>
      </c>
      <c r="R390" s="4">
        <v>0</v>
      </c>
      <c r="S390" s="6">
        <v>22</v>
      </c>
      <c r="T390" s="6">
        <v>23</v>
      </c>
      <c r="U390" s="6">
        <v>82</v>
      </c>
      <c r="V390" s="6">
        <f>IF(ISERROR(VLOOKUP($S$390,'TAR FIN'!$A$1:$O$120,15,0)),0,VLOOKUP($S$390,'TAR FIN'!$A$1:$O$120,15,0))</f>
        <v>8.81</v>
      </c>
      <c r="W390" s="6">
        <f>IF(ISERROR(VLOOKUP($T$390,'TAR FIN'!$A$1:$O$120,15,0)),0,VLOOKUP($T$390,'TAR FIN'!$A$1:$O$120,15,0))</f>
        <v>84.45</v>
      </c>
      <c r="X390" s="6">
        <f>IF(ISERROR(VLOOKUP($U$390,'TAR FIN'!$A$1:$O$120,15,0)),0,VLOOKUP($U$390,'TAR FIN'!$A$1:$O$120,15,0))</f>
        <v>256.38</v>
      </c>
      <c r="Y390" s="6">
        <f ca="1">('TUSD BE'!$AM$28+'TUSD BF'!$AM$28+'TUSD CVA'!$AM$28)*1</f>
        <v>11.452356648653195</v>
      </c>
      <c r="Z390" s="6">
        <f ca="1">('TUSD BE'!$AM$29+'TUSD BF'!$AM$29+'TUSD CVA'!$AM$29)*1</f>
        <v>87.519361965254689</v>
      </c>
      <c r="AA390" s="6">
        <f>('TE BE'!$AA$11+'TE BF'!$AA$11+'TE CVA'!$AA$11)*1</f>
        <v>230.83420940933817</v>
      </c>
      <c r="AB390" s="6">
        <f>$K$390*$V$390</f>
        <v>374495.48000000004</v>
      </c>
      <c r="AC390" s="6">
        <f>$M$390*$W$390</f>
        <v>1096800.9620999999</v>
      </c>
      <c r="AD390" s="6">
        <f>$O$390*$X$390</f>
        <v>3329755.2476399997</v>
      </c>
      <c r="AE390" s="6">
        <f ca="1">$K$390*$Y$390</f>
        <v>486816.77642095002</v>
      </c>
      <c r="AF390" s="6">
        <f ca="1">$M$390*$Z$390</f>
        <v>1136664.5400339784</v>
      </c>
      <c r="AG390" s="6">
        <f>$O$390*$AA$390</f>
        <v>2997977.2997721131</v>
      </c>
    </row>
    <row r="391" spans="1:33" ht="11.25" customHeight="1" x14ac:dyDescent="0.25">
      <c r="A391" s="4" t="s">
        <v>28</v>
      </c>
      <c r="B391" s="4" t="s">
        <v>33</v>
      </c>
      <c r="C391" s="4" t="s">
        <v>41</v>
      </c>
      <c r="D391" s="4" t="s">
        <v>42</v>
      </c>
      <c r="E391" s="4" t="s">
        <v>25</v>
      </c>
      <c r="F391" s="4" t="s">
        <v>25</v>
      </c>
      <c r="G391" s="4" t="s">
        <v>25</v>
      </c>
      <c r="H391" s="4" t="s">
        <v>36</v>
      </c>
      <c r="I391" s="5">
        <v>44013</v>
      </c>
      <c r="J391" s="6">
        <v>550</v>
      </c>
      <c r="K391" s="6">
        <v>550</v>
      </c>
      <c r="L391" s="6">
        <v>37.082999999999998</v>
      </c>
      <c r="M391" s="6">
        <v>37.082999999999998</v>
      </c>
      <c r="N391" s="6">
        <v>37.082999999999998</v>
      </c>
      <c r="O391" s="6">
        <v>37.082999999999998</v>
      </c>
      <c r="P391" s="6">
        <v>0</v>
      </c>
      <c r="Q391" s="4" t="s">
        <v>26</v>
      </c>
      <c r="R391" s="4">
        <v>0</v>
      </c>
      <c r="S391" s="6">
        <v>22</v>
      </c>
      <c r="T391" s="6">
        <v>23</v>
      </c>
      <c r="U391" s="6">
        <v>82</v>
      </c>
      <c r="V391" s="6">
        <f>IF(ISERROR(VLOOKUP($S$391,'TAR FIN'!$A$1:$O$120,15,0)),0,VLOOKUP($S$391,'TAR FIN'!$A$1:$O$120,15,0))</f>
        <v>8.81</v>
      </c>
      <c r="W391" s="6">
        <f>IF(ISERROR(VLOOKUP($T$391,'TAR FIN'!$A$1:$O$120,15,0)),0,VLOOKUP($T$391,'TAR FIN'!$A$1:$O$120,15,0))</f>
        <v>84.45</v>
      </c>
      <c r="X391" s="6">
        <f>IF(ISERROR(VLOOKUP($U$391,'TAR FIN'!$A$1:$O$120,15,0)),0,VLOOKUP($U$391,'TAR FIN'!$A$1:$O$120,15,0))</f>
        <v>256.38</v>
      </c>
      <c r="Y391" s="6">
        <f ca="1">('TUSD BE'!$AM$28+'TUSD BF'!$AM$28+'TUSD CVA'!$AM$28)*1</f>
        <v>11.452356648653195</v>
      </c>
      <c r="Z391" s="6">
        <f ca="1">('TUSD BE'!$AM$29+'TUSD BF'!$AM$29+'TUSD CVA'!$AM$29)*1</f>
        <v>87.519361965254689</v>
      </c>
      <c r="AA391" s="6">
        <f>('TE BE'!$AA$11+'TE BF'!$AA$11+'TE CVA'!$AA$11)*1</f>
        <v>230.83420940933817</v>
      </c>
      <c r="AB391" s="6">
        <f>$K$391*$V$391</f>
        <v>4845.5</v>
      </c>
      <c r="AC391" s="6">
        <f>$M$391*$W$391</f>
        <v>3131.6593499999999</v>
      </c>
      <c r="AD391" s="6">
        <f>$O$391*$X$391</f>
        <v>9507.339539999999</v>
      </c>
      <c r="AE391" s="6">
        <f ca="1">$K$391*$Y$391</f>
        <v>6298.7961567592574</v>
      </c>
      <c r="AF391" s="6">
        <f ca="1">$M$391*$Z$391</f>
        <v>3245.4804997575393</v>
      </c>
      <c r="AG391" s="6">
        <f>$O$391*$AA$391</f>
        <v>8560.0249875264872</v>
      </c>
    </row>
    <row r="392" spans="1:33" ht="11.25" customHeight="1" x14ac:dyDescent="0.25">
      <c r="A392" s="4" t="s">
        <v>21</v>
      </c>
      <c r="B392" s="4" t="s">
        <v>33</v>
      </c>
      <c r="C392" s="4" t="s">
        <v>41</v>
      </c>
      <c r="D392" s="4" t="s">
        <v>42</v>
      </c>
      <c r="E392" s="4" t="s">
        <v>25</v>
      </c>
      <c r="F392" s="4" t="s">
        <v>25</v>
      </c>
      <c r="G392" s="4" t="s">
        <v>25</v>
      </c>
      <c r="H392" s="4" t="s">
        <v>36</v>
      </c>
      <c r="I392" s="5">
        <v>44044</v>
      </c>
      <c r="J392" s="6">
        <v>42443</v>
      </c>
      <c r="K392" s="6">
        <v>42443</v>
      </c>
      <c r="L392" s="6">
        <v>13246.81</v>
      </c>
      <c r="M392" s="6">
        <v>13246.81</v>
      </c>
      <c r="N392" s="6">
        <v>13246.81</v>
      </c>
      <c r="O392" s="6">
        <v>13246.81</v>
      </c>
      <c r="P392" s="6">
        <v>0</v>
      </c>
      <c r="Q392" s="4" t="s">
        <v>26</v>
      </c>
      <c r="R392" s="4">
        <v>0</v>
      </c>
      <c r="S392" s="6">
        <v>22</v>
      </c>
      <c r="T392" s="6">
        <v>23</v>
      </c>
      <c r="U392" s="6">
        <v>82</v>
      </c>
      <c r="V392" s="6">
        <f>IF(ISERROR(VLOOKUP($S$392,'TAR FIN'!$A$1:$O$120,15,0)),0,VLOOKUP($S$392,'TAR FIN'!$A$1:$O$120,15,0))</f>
        <v>8.81</v>
      </c>
      <c r="W392" s="6">
        <f>IF(ISERROR(VLOOKUP($T$392,'TAR FIN'!$A$1:$O$120,15,0)),0,VLOOKUP($T$392,'TAR FIN'!$A$1:$O$120,15,0))</f>
        <v>84.45</v>
      </c>
      <c r="X392" s="6">
        <f>IF(ISERROR(VLOOKUP($U$392,'TAR FIN'!$A$1:$O$120,15,0)),0,VLOOKUP($U$392,'TAR FIN'!$A$1:$O$120,15,0))</f>
        <v>256.38</v>
      </c>
      <c r="Y392" s="6">
        <f ca="1">('TUSD BE'!$AM$28+'TUSD BF'!$AM$28+'TUSD CVA'!$AM$28)*1</f>
        <v>11.452356648653195</v>
      </c>
      <c r="Z392" s="6">
        <f ca="1">('TUSD BE'!$AM$29+'TUSD BF'!$AM$29+'TUSD CVA'!$AM$29)*1</f>
        <v>87.519361965254689</v>
      </c>
      <c r="AA392" s="6">
        <f>('TE BE'!$AA$11+'TE BF'!$AA$11+'TE CVA'!$AA$11)*1</f>
        <v>230.83420940933817</v>
      </c>
      <c r="AB392" s="6">
        <f>$K$392*$V$392</f>
        <v>373922.83</v>
      </c>
      <c r="AC392" s="6">
        <f>$M$392*$W$392</f>
        <v>1118693.1044999999</v>
      </c>
      <c r="AD392" s="6">
        <f>$O$392*$X$392</f>
        <v>3396217.1477999999</v>
      </c>
      <c r="AE392" s="6">
        <f ca="1">$K$392*$Y$392</f>
        <v>486072.37323878758</v>
      </c>
      <c r="AF392" s="6">
        <f ca="1">$M$392*$Z$392</f>
        <v>1159352.3592749555</v>
      </c>
      <c r="AG392" s="6">
        <f>$O$392*$AA$392</f>
        <v>3057816.9135457147</v>
      </c>
    </row>
    <row r="393" spans="1:33" ht="11.25" customHeight="1" x14ac:dyDescent="0.25">
      <c r="A393" s="4" t="s">
        <v>28</v>
      </c>
      <c r="B393" s="4" t="s">
        <v>33</v>
      </c>
      <c r="C393" s="4" t="s">
        <v>41</v>
      </c>
      <c r="D393" s="4" t="s">
        <v>42</v>
      </c>
      <c r="E393" s="4" t="s">
        <v>25</v>
      </c>
      <c r="F393" s="4" t="s">
        <v>25</v>
      </c>
      <c r="G393" s="4" t="s">
        <v>25</v>
      </c>
      <c r="H393" s="4" t="s">
        <v>36</v>
      </c>
      <c r="I393" s="5">
        <v>44044</v>
      </c>
      <c r="J393" s="6">
        <v>550</v>
      </c>
      <c r="K393" s="6">
        <v>550</v>
      </c>
      <c r="L393" s="6">
        <v>40.664999999999999</v>
      </c>
      <c r="M393" s="6">
        <v>40.664999999999999</v>
      </c>
      <c r="N393" s="6">
        <v>40.664999999999999</v>
      </c>
      <c r="O393" s="6">
        <v>40.664999999999999</v>
      </c>
      <c r="P393" s="6">
        <v>0</v>
      </c>
      <c r="Q393" s="4" t="s">
        <v>26</v>
      </c>
      <c r="R393" s="4">
        <v>0</v>
      </c>
      <c r="S393" s="6">
        <v>22</v>
      </c>
      <c r="T393" s="6">
        <v>23</v>
      </c>
      <c r="U393" s="6">
        <v>82</v>
      </c>
      <c r="V393" s="6">
        <f>IF(ISERROR(VLOOKUP($S$393,'TAR FIN'!$A$1:$O$120,15,0)),0,VLOOKUP($S$393,'TAR FIN'!$A$1:$O$120,15,0))</f>
        <v>8.81</v>
      </c>
      <c r="W393" s="6">
        <f>IF(ISERROR(VLOOKUP($T$393,'TAR FIN'!$A$1:$O$120,15,0)),0,VLOOKUP($T$393,'TAR FIN'!$A$1:$O$120,15,0))</f>
        <v>84.45</v>
      </c>
      <c r="X393" s="6">
        <f>IF(ISERROR(VLOOKUP($U$393,'TAR FIN'!$A$1:$O$120,15,0)),0,VLOOKUP($U$393,'TAR FIN'!$A$1:$O$120,15,0))</f>
        <v>256.38</v>
      </c>
      <c r="Y393" s="6">
        <f ca="1">('TUSD BE'!$AM$28+'TUSD BF'!$AM$28+'TUSD CVA'!$AM$28)*1</f>
        <v>11.452356648653195</v>
      </c>
      <c r="Z393" s="6">
        <f ca="1">('TUSD BE'!$AM$29+'TUSD BF'!$AM$29+'TUSD CVA'!$AM$29)*1</f>
        <v>87.519361965254689</v>
      </c>
      <c r="AA393" s="6">
        <f>('TE BE'!$AA$11+'TE BF'!$AA$11+'TE CVA'!$AA$11)*1</f>
        <v>230.83420940933817</v>
      </c>
      <c r="AB393" s="6">
        <f>$K$393*$V$393</f>
        <v>4845.5</v>
      </c>
      <c r="AC393" s="6">
        <f>$M$393*$W$393</f>
        <v>3434.1592500000002</v>
      </c>
      <c r="AD393" s="6">
        <f>$O$393*$X$393</f>
        <v>10425.6927</v>
      </c>
      <c r="AE393" s="6">
        <f ca="1">$K$393*$Y$393</f>
        <v>6298.7961567592574</v>
      </c>
      <c r="AF393" s="6">
        <f ca="1">$M$393*$Z$393</f>
        <v>3558.9748543170817</v>
      </c>
      <c r="AG393" s="6">
        <f>$O$393*$AA$393</f>
        <v>9386.8731256307365</v>
      </c>
    </row>
    <row r="394" spans="1:33" ht="11.25" customHeight="1" x14ac:dyDescent="0.25">
      <c r="A394" s="4" t="s">
        <v>59</v>
      </c>
      <c r="B394" s="4" t="s">
        <v>33</v>
      </c>
      <c r="C394" s="4" t="s">
        <v>41</v>
      </c>
      <c r="D394" s="4" t="s">
        <v>42</v>
      </c>
      <c r="E394" s="4" t="s">
        <v>25</v>
      </c>
      <c r="F394" s="4" t="s">
        <v>25</v>
      </c>
      <c r="G394" s="4" t="s">
        <v>25</v>
      </c>
      <c r="H394" s="4" t="s">
        <v>36</v>
      </c>
      <c r="I394" s="5">
        <v>44075</v>
      </c>
      <c r="J394" s="6">
        <v>42443</v>
      </c>
      <c r="K394" s="6">
        <v>42443</v>
      </c>
      <c r="L394" s="6">
        <v>13246.81</v>
      </c>
      <c r="M394" s="6">
        <v>13246.81</v>
      </c>
      <c r="N394" s="6">
        <v>13246.81</v>
      </c>
      <c r="O394" s="6">
        <v>13246.81</v>
      </c>
      <c r="P394" s="6">
        <v>0</v>
      </c>
      <c r="Q394" s="4" t="s">
        <v>26</v>
      </c>
      <c r="R394" s="4">
        <v>0</v>
      </c>
      <c r="S394" s="6">
        <v>22</v>
      </c>
      <c r="T394" s="6">
        <v>23</v>
      </c>
      <c r="U394" s="6">
        <v>82</v>
      </c>
      <c r="V394" s="6">
        <f>IF(ISERROR(VLOOKUP($S$394,'TAR FIN'!$A$1:$O$120,15,0)),0,VLOOKUP($S$394,'TAR FIN'!$A$1:$O$120,15,0))</f>
        <v>8.81</v>
      </c>
      <c r="W394" s="6">
        <f>IF(ISERROR(VLOOKUP($T$394,'TAR FIN'!$A$1:$O$120,15,0)),0,VLOOKUP($T$394,'TAR FIN'!$A$1:$O$120,15,0))</f>
        <v>84.45</v>
      </c>
      <c r="X394" s="6">
        <f>IF(ISERROR(VLOOKUP($U$394,'TAR FIN'!$A$1:$O$120,15,0)),0,VLOOKUP($U$394,'TAR FIN'!$A$1:$O$120,15,0))</f>
        <v>256.38</v>
      </c>
      <c r="Y394" s="6">
        <f ca="1">('TUSD BE'!$AM$28+'TUSD BF'!$AM$28+'TUSD CVA'!$AM$28)*1</f>
        <v>11.452356648653195</v>
      </c>
      <c r="Z394" s="6">
        <f ca="1">('TUSD BE'!$AM$29+'TUSD BF'!$AM$29+'TUSD CVA'!$AM$29)*1</f>
        <v>87.519361965254689</v>
      </c>
      <c r="AA394" s="6">
        <f>('TE BE'!$AA$11+'TE BF'!$AA$11+'TE CVA'!$AA$11)*1</f>
        <v>230.83420940933817</v>
      </c>
      <c r="AB394" s="6">
        <f>$K$394*$V$394</f>
        <v>373922.83</v>
      </c>
      <c r="AC394" s="6">
        <f>$M$394*$W$394</f>
        <v>1118693.1044999999</v>
      </c>
      <c r="AD394" s="6">
        <f>$O$394*$X$394</f>
        <v>3396217.1477999999</v>
      </c>
      <c r="AE394" s="6">
        <f ca="1">$K$394*$Y$394</f>
        <v>486072.37323878758</v>
      </c>
      <c r="AF394" s="6">
        <f ca="1">$M$394*$Z$394</f>
        <v>1159352.3592749555</v>
      </c>
      <c r="AG394" s="6">
        <f>$O$394*$AA$394</f>
        <v>3057816.9135457147</v>
      </c>
    </row>
    <row r="395" spans="1:33" ht="11.25" customHeight="1" x14ac:dyDescent="0.25">
      <c r="A395" s="4" t="s">
        <v>59</v>
      </c>
      <c r="B395" s="4" t="s">
        <v>33</v>
      </c>
      <c r="C395" s="4" t="s">
        <v>41</v>
      </c>
      <c r="D395" s="4" t="s">
        <v>42</v>
      </c>
      <c r="E395" s="4" t="s">
        <v>25</v>
      </c>
      <c r="F395" s="4" t="s">
        <v>25</v>
      </c>
      <c r="G395" s="4" t="s">
        <v>25</v>
      </c>
      <c r="H395" s="4" t="s">
        <v>36</v>
      </c>
      <c r="I395" s="5">
        <v>44075</v>
      </c>
      <c r="J395" s="6">
        <v>550</v>
      </c>
      <c r="K395" s="6">
        <v>550</v>
      </c>
      <c r="L395" s="6">
        <v>40.664999999999999</v>
      </c>
      <c r="M395" s="6">
        <v>40.664999999999999</v>
      </c>
      <c r="N395" s="6">
        <v>40.664999999999999</v>
      </c>
      <c r="O395" s="6">
        <v>40.664999999999999</v>
      </c>
      <c r="P395" s="6">
        <v>0</v>
      </c>
      <c r="Q395" s="4" t="s">
        <v>26</v>
      </c>
      <c r="R395" s="4">
        <v>0</v>
      </c>
      <c r="S395" s="6">
        <v>22</v>
      </c>
      <c r="T395" s="6">
        <v>23</v>
      </c>
      <c r="U395" s="6">
        <v>82</v>
      </c>
      <c r="V395" s="6">
        <f>IF(ISERROR(VLOOKUP($S$395,'TAR FIN'!$A$1:$O$120,15,0)),0,VLOOKUP($S$395,'TAR FIN'!$A$1:$O$120,15,0))</f>
        <v>8.81</v>
      </c>
      <c r="W395" s="6">
        <f>IF(ISERROR(VLOOKUP($T$395,'TAR FIN'!$A$1:$O$120,15,0)),0,VLOOKUP($T$395,'TAR FIN'!$A$1:$O$120,15,0))</f>
        <v>84.45</v>
      </c>
      <c r="X395" s="6">
        <f>IF(ISERROR(VLOOKUP($U$395,'TAR FIN'!$A$1:$O$120,15,0)),0,VLOOKUP($U$395,'TAR FIN'!$A$1:$O$120,15,0))</f>
        <v>256.38</v>
      </c>
      <c r="Y395" s="6">
        <f ca="1">('TUSD BE'!$AM$28+'TUSD BF'!$AM$28+'TUSD CVA'!$AM$28)*1</f>
        <v>11.452356648653195</v>
      </c>
      <c r="Z395" s="6">
        <f ca="1">('TUSD BE'!$AM$29+'TUSD BF'!$AM$29+'TUSD CVA'!$AM$29)*1</f>
        <v>87.519361965254689</v>
      </c>
      <c r="AA395" s="6">
        <f>('TE BE'!$AA$11+'TE BF'!$AA$11+'TE CVA'!$AA$11)*1</f>
        <v>230.83420940933817</v>
      </c>
      <c r="AB395" s="6">
        <f>$K$395*$V$395</f>
        <v>4845.5</v>
      </c>
      <c r="AC395" s="6">
        <f>$M$395*$W$395</f>
        <v>3434.1592500000002</v>
      </c>
      <c r="AD395" s="6">
        <f>$O$395*$X$395</f>
        <v>10425.6927</v>
      </c>
      <c r="AE395" s="6">
        <f ca="1">$K$395*$Y$395</f>
        <v>6298.7961567592574</v>
      </c>
      <c r="AF395" s="6">
        <f ca="1">$M$395*$Z$395</f>
        <v>3558.9748543170817</v>
      </c>
      <c r="AG395" s="6">
        <f>$O$395*$AA$395</f>
        <v>9386.8731256307365</v>
      </c>
    </row>
    <row r="396" spans="1:33" ht="11.25" customHeight="1" x14ac:dyDescent="0.25">
      <c r="A396" s="4" t="s">
        <v>21</v>
      </c>
      <c r="B396" s="4" t="s">
        <v>33</v>
      </c>
      <c r="C396" s="4" t="s">
        <v>41</v>
      </c>
      <c r="D396" s="4" t="s">
        <v>42</v>
      </c>
      <c r="E396" s="4" t="s">
        <v>25</v>
      </c>
      <c r="F396" s="4" t="s">
        <v>25</v>
      </c>
      <c r="G396" s="4" t="s">
        <v>25</v>
      </c>
      <c r="H396" s="4" t="s">
        <v>35</v>
      </c>
      <c r="I396" s="5">
        <v>43739</v>
      </c>
      <c r="J396" s="6">
        <v>41276</v>
      </c>
      <c r="K396" s="6">
        <v>41276</v>
      </c>
      <c r="L396" s="6">
        <v>1621.7840000000001</v>
      </c>
      <c r="M396" s="6">
        <v>1621.7840000000001</v>
      </c>
      <c r="N396" s="6">
        <v>1621.7840000000001</v>
      </c>
      <c r="O396" s="6">
        <v>1621.7840000000001</v>
      </c>
      <c r="P396" s="6">
        <v>0</v>
      </c>
      <c r="Q396" s="4" t="s">
        <v>26</v>
      </c>
      <c r="R396" s="4">
        <v>0</v>
      </c>
      <c r="S396" s="6">
        <v>21</v>
      </c>
      <c r="T396" s="6">
        <v>23</v>
      </c>
      <c r="U396" s="6">
        <v>81</v>
      </c>
      <c r="V396" s="6">
        <f>IF(ISERROR(VLOOKUP($S$396,'TAR FIN'!$A$1:$O$120,15,0)),0,VLOOKUP($S$396,'TAR FIN'!$A$1:$O$120,15,0))</f>
        <v>22.94</v>
      </c>
      <c r="W396" s="6">
        <f>IF(ISERROR(VLOOKUP($T$396,'TAR FIN'!$A$1:$O$120,15,0)),0,VLOOKUP($T$396,'TAR FIN'!$A$1:$O$120,15,0))</f>
        <v>84.45</v>
      </c>
      <c r="X396" s="6">
        <f>IF(ISERROR(VLOOKUP($U$396,'TAR FIN'!$A$1:$O$120,15,0)),0,VLOOKUP($U$396,'TAR FIN'!$A$1:$O$120,15,0))</f>
        <v>430.87</v>
      </c>
      <c r="Y396" s="6">
        <f ca="1">('TUSD BE'!$AM$27+'TUSD BF'!$AM$27+'TUSD CVA'!$AM$27)*1</f>
        <v>27.216283196676113</v>
      </c>
      <c r="Z396" s="6">
        <f ca="1">('TUSD BE'!$AM$29+'TUSD BF'!$AM$29+'TUSD CVA'!$AM$29)*1</f>
        <v>87.519361965254689</v>
      </c>
      <c r="AA396" s="6">
        <f>('TE BE'!$AA$10+'TE BF'!$AA$10+'TE CVA'!$AA$10)*1</f>
        <v>375.69180268700768</v>
      </c>
      <c r="AB396" s="6">
        <f>$K$396*$V$396</f>
        <v>946871.44000000006</v>
      </c>
      <c r="AC396" s="6">
        <f>$M$396*$W$396</f>
        <v>136959.6588</v>
      </c>
      <c r="AD396" s="6">
        <f>$O$396*$X$396</f>
        <v>698778.07208000007</v>
      </c>
      <c r="AE396" s="6">
        <f ca="1">$K$396*$Y$396</f>
        <v>1123379.3052260033</v>
      </c>
      <c r="AF396" s="6">
        <f ca="1">$M$396*$Z$396</f>
        <v>141937.50092545862</v>
      </c>
      <c r="AG396" s="6">
        <f>$O$396*$AA$396</f>
        <v>609290.95452894608</v>
      </c>
    </row>
    <row r="397" spans="1:33" ht="11.25" customHeight="1" x14ac:dyDescent="0.25">
      <c r="A397" s="4" t="s">
        <v>27</v>
      </c>
      <c r="B397" s="4" t="s">
        <v>33</v>
      </c>
      <c r="C397" s="4" t="s">
        <v>41</v>
      </c>
      <c r="D397" s="4" t="s">
        <v>42</v>
      </c>
      <c r="E397" s="4" t="s">
        <v>25</v>
      </c>
      <c r="F397" s="4" t="s">
        <v>25</v>
      </c>
      <c r="G397" s="4" t="s">
        <v>25</v>
      </c>
      <c r="H397" s="4" t="s">
        <v>35</v>
      </c>
      <c r="I397" s="5">
        <v>43739</v>
      </c>
      <c r="J397" s="6">
        <v>89</v>
      </c>
      <c r="K397" s="6">
        <v>89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4" t="s">
        <v>26</v>
      </c>
      <c r="R397" s="4">
        <v>0</v>
      </c>
      <c r="S397" s="6">
        <v>21</v>
      </c>
      <c r="T397" s="6">
        <v>0</v>
      </c>
      <c r="U397" s="6">
        <v>0</v>
      </c>
      <c r="V397" s="6">
        <f>IF(ISERROR(VLOOKUP($S$397,'TAR FIN'!$A$1:$O$120,15,0)),0,VLOOKUP($S$397,'TAR FIN'!$A$1:$O$120,15,0))</f>
        <v>22.94</v>
      </c>
      <c r="W397" s="6">
        <f>IF(ISERROR(VLOOKUP($T$397,'TAR FIN'!$A$1:$O$120,15,0)),0,VLOOKUP($T$397,'TAR FIN'!$A$1:$O$120,15,0))</f>
        <v>0</v>
      </c>
      <c r="X397" s="6">
        <f>IF(ISERROR(VLOOKUP($U$397,'TAR FIN'!$A$1:$O$120,15,0)),0,VLOOKUP($U$397,'TAR FIN'!$A$1:$O$120,15,0))</f>
        <v>0</v>
      </c>
      <c r="Y397" s="6">
        <f ca="1">('TUSD BE'!$AM$27+'TUSD BF'!$AM$27+'TUSD CVA'!$AM$27)*1</f>
        <v>27.216283196676113</v>
      </c>
      <c r="Z397" s="6">
        <f ca="1">('TUSD BE'!$AM$29+'TUSD BF'!$AM$29+'TUSD CVA'!$AM$29)*1</f>
        <v>87.519361965254689</v>
      </c>
      <c r="AA397" s="6">
        <f>('TE BE'!$AA$10+'TE BF'!$AA$10+'TE CVA'!$AA$10)*1</f>
        <v>375.69180268700768</v>
      </c>
      <c r="AB397" s="6">
        <f>$K$397*$V$397</f>
        <v>2041.66</v>
      </c>
      <c r="AC397" s="6">
        <f>$M$397*$W$397</f>
        <v>0</v>
      </c>
      <c r="AD397" s="6">
        <f>$O$397*$X$397</f>
        <v>0</v>
      </c>
      <c r="AE397" s="6">
        <f ca="1">$K$397*$Y$397</f>
        <v>2422.249204504174</v>
      </c>
      <c r="AF397" s="6">
        <f ca="1">$M$397*$Z$397</f>
        <v>0</v>
      </c>
      <c r="AG397" s="6">
        <f>$O$397*$AA$397</f>
        <v>0</v>
      </c>
    </row>
    <row r="398" spans="1:33" ht="11.25" customHeight="1" x14ac:dyDescent="0.25">
      <c r="A398" s="4" t="s">
        <v>28</v>
      </c>
      <c r="B398" s="4" t="s">
        <v>33</v>
      </c>
      <c r="C398" s="4" t="s">
        <v>41</v>
      </c>
      <c r="D398" s="4" t="s">
        <v>42</v>
      </c>
      <c r="E398" s="4" t="s">
        <v>25</v>
      </c>
      <c r="F398" s="4" t="s">
        <v>25</v>
      </c>
      <c r="G398" s="4" t="s">
        <v>25</v>
      </c>
      <c r="H398" s="4" t="s">
        <v>35</v>
      </c>
      <c r="I398" s="5">
        <v>43739</v>
      </c>
      <c r="J398" s="6">
        <v>550</v>
      </c>
      <c r="K398" s="6">
        <v>550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4" t="s">
        <v>26</v>
      </c>
      <c r="R398" s="4">
        <v>0</v>
      </c>
      <c r="S398" s="6">
        <v>21</v>
      </c>
      <c r="T398" s="6">
        <v>0</v>
      </c>
      <c r="U398" s="6">
        <v>0</v>
      </c>
      <c r="V398" s="6">
        <f>IF(ISERROR(VLOOKUP($S$398,'TAR FIN'!$A$1:$O$120,15,0)),0,VLOOKUP($S$398,'TAR FIN'!$A$1:$O$120,15,0))</f>
        <v>22.94</v>
      </c>
      <c r="W398" s="6">
        <f>IF(ISERROR(VLOOKUP($T$398,'TAR FIN'!$A$1:$O$120,15,0)),0,VLOOKUP($T$398,'TAR FIN'!$A$1:$O$120,15,0))</f>
        <v>0</v>
      </c>
      <c r="X398" s="6">
        <f>IF(ISERROR(VLOOKUP($U$398,'TAR FIN'!$A$1:$O$120,15,0)),0,VLOOKUP($U$398,'TAR FIN'!$A$1:$O$120,15,0))</f>
        <v>0</v>
      </c>
      <c r="Y398" s="6">
        <f ca="1">('TUSD BE'!$AM$27+'TUSD BF'!$AM$27+'TUSD CVA'!$AM$27)*1</f>
        <v>27.216283196676113</v>
      </c>
      <c r="Z398" s="6">
        <f ca="1">('TUSD BE'!$AM$29+'TUSD BF'!$AM$29+'TUSD CVA'!$AM$29)*1</f>
        <v>87.519361965254689</v>
      </c>
      <c r="AA398" s="6">
        <f>('TE BE'!$AA$10+'TE BF'!$AA$10+'TE CVA'!$AA$10)*1</f>
        <v>375.69180268700768</v>
      </c>
      <c r="AB398" s="6">
        <f>$K$398*$V$398</f>
        <v>12617</v>
      </c>
      <c r="AC398" s="6">
        <f>$M$398*$W$398</f>
        <v>0</v>
      </c>
      <c r="AD398" s="6">
        <f>$O$398*$X$398</f>
        <v>0</v>
      </c>
      <c r="AE398" s="6">
        <f ca="1">$K$398*$Y$398</f>
        <v>14968.955758171862</v>
      </c>
      <c r="AF398" s="6">
        <f ca="1">$M$398*$Z$398</f>
        <v>0</v>
      </c>
      <c r="AG398" s="6">
        <f>$O$398*$AA$398</f>
        <v>0</v>
      </c>
    </row>
    <row r="399" spans="1:33" ht="11.25" customHeight="1" x14ac:dyDescent="0.25">
      <c r="A399" s="4" t="s">
        <v>21</v>
      </c>
      <c r="B399" s="4" t="s">
        <v>33</v>
      </c>
      <c r="C399" s="4" t="s">
        <v>41</v>
      </c>
      <c r="D399" s="4" t="s">
        <v>42</v>
      </c>
      <c r="E399" s="4" t="s">
        <v>25</v>
      </c>
      <c r="F399" s="4" t="s">
        <v>25</v>
      </c>
      <c r="G399" s="4" t="s">
        <v>25</v>
      </c>
      <c r="H399" s="4" t="s">
        <v>35</v>
      </c>
      <c r="I399" s="5">
        <v>43770</v>
      </c>
      <c r="J399" s="6">
        <v>41874</v>
      </c>
      <c r="K399" s="6">
        <v>41874</v>
      </c>
      <c r="L399" s="6">
        <v>1753.117</v>
      </c>
      <c r="M399" s="6">
        <v>1753.117</v>
      </c>
      <c r="N399" s="6">
        <v>1753.117</v>
      </c>
      <c r="O399" s="6">
        <v>1753.117</v>
      </c>
      <c r="P399" s="6">
        <v>0</v>
      </c>
      <c r="Q399" s="4" t="s">
        <v>26</v>
      </c>
      <c r="R399" s="4">
        <v>0</v>
      </c>
      <c r="S399" s="6">
        <v>21</v>
      </c>
      <c r="T399" s="6">
        <v>23</v>
      </c>
      <c r="U399" s="6">
        <v>81</v>
      </c>
      <c r="V399" s="6">
        <f>IF(ISERROR(VLOOKUP($S$399,'TAR FIN'!$A$1:$O$120,15,0)),0,VLOOKUP($S$399,'TAR FIN'!$A$1:$O$120,15,0))</f>
        <v>22.94</v>
      </c>
      <c r="W399" s="6">
        <f>IF(ISERROR(VLOOKUP($T$399,'TAR FIN'!$A$1:$O$120,15,0)),0,VLOOKUP($T$399,'TAR FIN'!$A$1:$O$120,15,0))</f>
        <v>84.45</v>
      </c>
      <c r="X399" s="6">
        <f>IF(ISERROR(VLOOKUP($U$399,'TAR FIN'!$A$1:$O$120,15,0)),0,VLOOKUP($U$399,'TAR FIN'!$A$1:$O$120,15,0))</f>
        <v>430.87</v>
      </c>
      <c r="Y399" s="6">
        <f ca="1">('TUSD BE'!$AM$27+'TUSD BF'!$AM$27+'TUSD CVA'!$AM$27)*1</f>
        <v>27.216283196676113</v>
      </c>
      <c r="Z399" s="6">
        <f ca="1">('TUSD BE'!$AM$29+'TUSD BF'!$AM$29+'TUSD CVA'!$AM$29)*1</f>
        <v>87.519361965254689</v>
      </c>
      <c r="AA399" s="6">
        <f>('TE BE'!$AA$10+'TE BF'!$AA$10+'TE CVA'!$AA$10)*1</f>
        <v>375.69180268700768</v>
      </c>
      <c r="AB399" s="6">
        <f>$K$399*$V$399</f>
        <v>960589.56</v>
      </c>
      <c r="AC399" s="6">
        <f>$M$399*$W$399</f>
        <v>148050.73065000001</v>
      </c>
      <c r="AD399" s="6">
        <f>$O$399*$X$399</f>
        <v>755365.52179000003</v>
      </c>
      <c r="AE399" s="6">
        <f ca="1">$K$399*$Y$399</f>
        <v>1139654.6425776156</v>
      </c>
      <c r="AF399" s="6">
        <f ca="1">$M$399*$Z$399</f>
        <v>153431.6812904414</v>
      </c>
      <c r="AG399" s="6">
        <f>$O$399*$AA$399</f>
        <v>658631.68605123879</v>
      </c>
    </row>
    <row r="400" spans="1:33" ht="11.25" customHeight="1" x14ac:dyDescent="0.25">
      <c r="A400" s="4" t="s">
        <v>27</v>
      </c>
      <c r="B400" s="4" t="s">
        <v>33</v>
      </c>
      <c r="C400" s="4" t="s">
        <v>41</v>
      </c>
      <c r="D400" s="4" t="s">
        <v>42</v>
      </c>
      <c r="E400" s="4" t="s">
        <v>25</v>
      </c>
      <c r="F400" s="4" t="s">
        <v>25</v>
      </c>
      <c r="G400" s="4" t="s">
        <v>25</v>
      </c>
      <c r="H400" s="4" t="s">
        <v>35</v>
      </c>
      <c r="I400" s="5">
        <v>43770</v>
      </c>
      <c r="J400" s="6">
        <v>75</v>
      </c>
      <c r="K400" s="6">
        <v>75</v>
      </c>
      <c r="L400" s="6">
        <v>2.5419999999999998</v>
      </c>
      <c r="M400" s="6">
        <v>2.5419999999999998</v>
      </c>
      <c r="N400" s="6">
        <v>2.5419999999999998</v>
      </c>
      <c r="O400" s="6">
        <v>2.5419999999999998</v>
      </c>
      <c r="P400" s="6">
        <v>0</v>
      </c>
      <c r="Q400" s="4" t="s">
        <v>26</v>
      </c>
      <c r="R400" s="4">
        <v>0</v>
      </c>
      <c r="S400" s="6">
        <v>21</v>
      </c>
      <c r="T400" s="6">
        <v>23</v>
      </c>
      <c r="U400" s="6">
        <v>81</v>
      </c>
      <c r="V400" s="6">
        <f>IF(ISERROR(VLOOKUP($S$400,'TAR FIN'!$A$1:$O$120,15,0)),0,VLOOKUP($S$400,'TAR FIN'!$A$1:$O$120,15,0))</f>
        <v>22.94</v>
      </c>
      <c r="W400" s="6">
        <f>IF(ISERROR(VLOOKUP($T$400,'TAR FIN'!$A$1:$O$120,15,0)),0,VLOOKUP($T$400,'TAR FIN'!$A$1:$O$120,15,0))</f>
        <v>84.45</v>
      </c>
      <c r="X400" s="6">
        <f>IF(ISERROR(VLOOKUP($U$400,'TAR FIN'!$A$1:$O$120,15,0)),0,VLOOKUP($U$400,'TAR FIN'!$A$1:$O$120,15,0))</f>
        <v>430.87</v>
      </c>
      <c r="Y400" s="6">
        <f ca="1">('TUSD BE'!$AM$27+'TUSD BF'!$AM$27+'TUSD CVA'!$AM$27)*1</f>
        <v>27.216283196676113</v>
      </c>
      <c r="Z400" s="6">
        <f ca="1">('TUSD BE'!$AM$29+'TUSD BF'!$AM$29+'TUSD CVA'!$AM$29)*1</f>
        <v>87.519361965254689</v>
      </c>
      <c r="AA400" s="6">
        <f>('TE BE'!$AA$10+'TE BF'!$AA$10+'TE CVA'!$AA$10)*1</f>
        <v>375.69180268700768</v>
      </c>
      <c r="AB400" s="6">
        <f>$K$400*$V$400</f>
        <v>1720.5</v>
      </c>
      <c r="AC400" s="6">
        <f>$M$400*$W$400</f>
        <v>214.67189999999999</v>
      </c>
      <c r="AD400" s="6">
        <f>$O$400*$X$400</f>
        <v>1095.27154</v>
      </c>
      <c r="AE400" s="6">
        <f ca="1">$K$400*$Y$400</f>
        <v>2041.2212397507085</v>
      </c>
      <c r="AF400" s="6">
        <f ca="1">$M$400*$Z$400</f>
        <v>222.47421811567739</v>
      </c>
      <c r="AG400" s="6">
        <f>$O$400*$AA$400</f>
        <v>955.00856243037344</v>
      </c>
    </row>
    <row r="401" spans="1:33" ht="11.25" customHeight="1" x14ac:dyDescent="0.25">
      <c r="A401" s="4" t="s">
        <v>28</v>
      </c>
      <c r="B401" s="4" t="s">
        <v>33</v>
      </c>
      <c r="C401" s="4" t="s">
        <v>41</v>
      </c>
      <c r="D401" s="4" t="s">
        <v>42</v>
      </c>
      <c r="E401" s="4" t="s">
        <v>25</v>
      </c>
      <c r="F401" s="4" t="s">
        <v>25</v>
      </c>
      <c r="G401" s="4" t="s">
        <v>25</v>
      </c>
      <c r="H401" s="4" t="s">
        <v>35</v>
      </c>
      <c r="I401" s="5">
        <v>43770</v>
      </c>
      <c r="J401" s="6">
        <v>550</v>
      </c>
      <c r="K401" s="6">
        <v>550</v>
      </c>
      <c r="L401" s="6">
        <v>29.882000000000001</v>
      </c>
      <c r="M401" s="6">
        <v>29.882000000000001</v>
      </c>
      <c r="N401" s="6">
        <v>29.882000000000001</v>
      </c>
      <c r="O401" s="6">
        <v>29.882000000000001</v>
      </c>
      <c r="P401" s="6">
        <v>0</v>
      </c>
      <c r="Q401" s="4" t="s">
        <v>26</v>
      </c>
      <c r="R401" s="4">
        <v>0</v>
      </c>
      <c r="S401" s="6">
        <v>21</v>
      </c>
      <c r="T401" s="6">
        <v>23</v>
      </c>
      <c r="U401" s="6">
        <v>81</v>
      </c>
      <c r="V401" s="6">
        <f>IF(ISERROR(VLOOKUP($S$401,'TAR FIN'!$A$1:$O$120,15,0)),0,VLOOKUP($S$401,'TAR FIN'!$A$1:$O$120,15,0))</f>
        <v>22.94</v>
      </c>
      <c r="W401" s="6">
        <f>IF(ISERROR(VLOOKUP($T$401,'TAR FIN'!$A$1:$O$120,15,0)),0,VLOOKUP($T$401,'TAR FIN'!$A$1:$O$120,15,0))</f>
        <v>84.45</v>
      </c>
      <c r="X401" s="6">
        <f>IF(ISERROR(VLOOKUP($U$401,'TAR FIN'!$A$1:$O$120,15,0)),0,VLOOKUP($U$401,'TAR FIN'!$A$1:$O$120,15,0))</f>
        <v>430.87</v>
      </c>
      <c r="Y401" s="6">
        <f ca="1">('TUSD BE'!$AM$27+'TUSD BF'!$AM$27+'TUSD CVA'!$AM$27)*1</f>
        <v>27.216283196676113</v>
      </c>
      <c r="Z401" s="6">
        <f ca="1">('TUSD BE'!$AM$29+'TUSD BF'!$AM$29+'TUSD CVA'!$AM$29)*1</f>
        <v>87.519361965254689</v>
      </c>
      <c r="AA401" s="6">
        <f>('TE BE'!$AA$10+'TE BF'!$AA$10+'TE CVA'!$AA$10)*1</f>
        <v>375.69180268700768</v>
      </c>
      <c r="AB401" s="6">
        <f>$K$401*$V$401</f>
        <v>12617</v>
      </c>
      <c r="AC401" s="6">
        <f>$M$401*$W$401</f>
        <v>2523.5349000000001</v>
      </c>
      <c r="AD401" s="6">
        <f>$O$401*$X$401</f>
        <v>12875.25734</v>
      </c>
      <c r="AE401" s="6">
        <f ca="1">$K$401*$Y$401</f>
        <v>14968.955758171862</v>
      </c>
      <c r="AF401" s="6">
        <f ca="1">$M$401*$Z$401</f>
        <v>2615.2535742457408</v>
      </c>
      <c r="AG401" s="6">
        <f>$O$401*$AA$401</f>
        <v>11226.422447893165</v>
      </c>
    </row>
    <row r="402" spans="1:33" ht="11.25" customHeight="1" x14ac:dyDescent="0.25">
      <c r="A402" s="4" t="s">
        <v>21</v>
      </c>
      <c r="B402" s="4" t="s">
        <v>33</v>
      </c>
      <c r="C402" s="4" t="s">
        <v>41</v>
      </c>
      <c r="D402" s="4" t="s">
        <v>42</v>
      </c>
      <c r="E402" s="4" t="s">
        <v>25</v>
      </c>
      <c r="F402" s="4" t="s">
        <v>25</v>
      </c>
      <c r="G402" s="4" t="s">
        <v>25</v>
      </c>
      <c r="H402" s="4" t="s">
        <v>35</v>
      </c>
      <c r="I402" s="5">
        <v>43800</v>
      </c>
      <c r="J402" s="6">
        <v>41129</v>
      </c>
      <c r="K402" s="6">
        <v>41129</v>
      </c>
      <c r="L402" s="6">
        <v>1579.46</v>
      </c>
      <c r="M402" s="6">
        <v>1579.46</v>
      </c>
      <c r="N402" s="6">
        <v>1579.46</v>
      </c>
      <c r="O402" s="6">
        <v>1579.46</v>
      </c>
      <c r="P402" s="6">
        <v>0</v>
      </c>
      <c r="Q402" s="4" t="s">
        <v>26</v>
      </c>
      <c r="R402" s="4">
        <v>0</v>
      </c>
      <c r="S402" s="6">
        <v>21</v>
      </c>
      <c r="T402" s="6">
        <v>23</v>
      </c>
      <c r="U402" s="6">
        <v>81</v>
      </c>
      <c r="V402" s="6">
        <f>IF(ISERROR(VLOOKUP($S$402,'TAR FIN'!$A$1:$O$120,15,0)),0,VLOOKUP($S$402,'TAR FIN'!$A$1:$O$120,15,0))</f>
        <v>22.94</v>
      </c>
      <c r="W402" s="6">
        <f>IF(ISERROR(VLOOKUP($T$402,'TAR FIN'!$A$1:$O$120,15,0)),0,VLOOKUP($T$402,'TAR FIN'!$A$1:$O$120,15,0))</f>
        <v>84.45</v>
      </c>
      <c r="X402" s="6">
        <f>IF(ISERROR(VLOOKUP($U$402,'TAR FIN'!$A$1:$O$120,15,0)),0,VLOOKUP($U$402,'TAR FIN'!$A$1:$O$120,15,0))</f>
        <v>430.87</v>
      </c>
      <c r="Y402" s="6">
        <f ca="1">('TUSD BE'!$AM$27+'TUSD BF'!$AM$27+'TUSD CVA'!$AM$27)*1</f>
        <v>27.216283196676113</v>
      </c>
      <c r="Z402" s="6">
        <f ca="1">('TUSD BE'!$AM$29+'TUSD BF'!$AM$29+'TUSD CVA'!$AM$29)*1</f>
        <v>87.519361965254689</v>
      </c>
      <c r="AA402" s="6">
        <f>('TE BE'!$AA$10+'TE BF'!$AA$10+'TE CVA'!$AA$10)*1</f>
        <v>375.69180268700768</v>
      </c>
      <c r="AB402" s="6">
        <f>$K$402*$V$402</f>
        <v>943499.26</v>
      </c>
      <c r="AC402" s="6">
        <f>$M$402*$W$402</f>
        <v>133385.397</v>
      </c>
      <c r="AD402" s="6">
        <f>$O$402*$X$402</f>
        <v>680541.93020000006</v>
      </c>
      <c r="AE402" s="6">
        <f ca="1">$K$402*$Y$402</f>
        <v>1119378.5115960918</v>
      </c>
      <c r="AF402" s="6">
        <f ca="1">$M$402*$Z$402</f>
        <v>138233.33144964118</v>
      </c>
      <c r="AG402" s="6">
        <f>$O$402*$AA$402</f>
        <v>593390.17467202118</v>
      </c>
    </row>
    <row r="403" spans="1:33" ht="11.25" customHeight="1" x14ac:dyDescent="0.25">
      <c r="A403" s="4" t="s">
        <v>28</v>
      </c>
      <c r="B403" s="4" t="s">
        <v>33</v>
      </c>
      <c r="C403" s="4" t="s">
        <v>41</v>
      </c>
      <c r="D403" s="4" t="s">
        <v>42</v>
      </c>
      <c r="E403" s="4" t="s">
        <v>25</v>
      </c>
      <c r="F403" s="4" t="s">
        <v>25</v>
      </c>
      <c r="G403" s="4" t="s">
        <v>25</v>
      </c>
      <c r="H403" s="4" t="s">
        <v>35</v>
      </c>
      <c r="I403" s="5">
        <v>43800</v>
      </c>
      <c r="J403" s="6">
        <v>550</v>
      </c>
      <c r="K403" s="6">
        <v>550</v>
      </c>
      <c r="L403" s="6">
        <v>26.567</v>
      </c>
      <c r="M403" s="6">
        <v>26.567</v>
      </c>
      <c r="N403" s="6">
        <v>26.567</v>
      </c>
      <c r="O403" s="6">
        <v>26.567</v>
      </c>
      <c r="P403" s="6">
        <v>0</v>
      </c>
      <c r="Q403" s="4" t="s">
        <v>26</v>
      </c>
      <c r="R403" s="4">
        <v>0</v>
      </c>
      <c r="S403" s="6">
        <v>21</v>
      </c>
      <c r="T403" s="6">
        <v>23</v>
      </c>
      <c r="U403" s="6">
        <v>81</v>
      </c>
      <c r="V403" s="6">
        <f>IF(ISERROR(VLOOKUP($S$403,'TAR FIN'!$A$1:$O$120,15,0)),0,VLOOKUP($S$403,'TAR FIN'!$A$1:$O$120,15,0))</f>
        <v>22.94</v>
      </c>
      <c r="W403" s="6">
        <f>IF(ISERROR(VLOOKUP($T$403,'TAR FIN'!$A$1:$O$120,15,0)),0,VLOOKUP($T$403,'TAR FIN'!$A$1:$O$120,15,0))</f>
        <v>84.45</v>
      </c>
      <c r="X403" s="6">
        <f>IF(ISERROR(VLOOKUP($U$403,'TAR FIN'!$A$1:$O$120,15,0)),0,VLOOKUP($U$403,'TAR FIN'!$A$1:$O$120,15,0))</f>
        <v>430.87</v>
      </c>
      <c r="Y403" s="6">
        <f ca="1">('TUSD BE'!$AM$27+'TUSD BF'!$AM$27+'TUSD CVA'!$AM$27)*1</f>
        <v>27.216283196676113</v>
      </c>
      <c r="Z403" s="6">
        <f ca="1">('TUSD BE'!$AM$29+'TUSD BF'!$AM$29+'TUSD CVA'!$AM$29)*1</f>
        <v>87.519361965254689</v>
      </c>
      <c r="AA403" s="6">
        <f>('TE BE'!$AA$10+'TE BF'!$AA$10+'TE CVA'!$AA$10)*1</f>
        <v>375.69180268700768</v>
      </c>
      <c r="AB403" s="6">
        <f>$K$403*$V$403</f>
        <v>12617</v>
      </c>
      <c r="AC403" s="6">
        <f>$M$403*$W$403</f>
        <v>2243.5831499999999</v>
      </c>
      <c r="AD403" s="6">
        <f>$O$403*$X$403</f>
        <v>11446.923290000001</v>
      </c>
      <c r="AE403" s="6">
        <f ca="1">$K$403*$Y$403</f>
        <v>14968.955758171862</v>
      </c>
      <c r="AF403" s="6">
        <f ca="1">$M$403*$Z$403</f>
        <v>2325.1268893309211</v>
      </c>
      <c r="AG403" s="6">
        <f>$O$403*$AA$403</f>
        <v>9981.0041219857339</v>
      </c>
    </row>
    <row r="404" spans="1:33" ht="11.25" customHeight="1" x14ac:dyDescent="0.25">
      <c r="A404" s="4" t="s">
        <v>21</v>
      </c>
      <c r="B404" s="4" t="s">
        <v>33</v>
      </c>
      <c r="C404" s="4" t="s">
        <v>41</v>
      </c>
      <c r="D404" s="4" t="s">
        <v>42</v>
      </c>
      <c r="E404" s="4" t="s">
        <v>25</v>
      </c>
      <c r="F404" s="4" t="s">
        <v>25</v>
      </c>
      <c r="G404" s="4" t="s">
        <v>25</v>
      </c>
      <c r="H404" s="4" t="s">
        <v>35</v>
      </c>
      <c r="I404" s="5">
        <v>43831</v>
      </c>
      <c r="J404" s="6">
        <v>40666</v>
      </c>
      <c r="K404" s="6">
        <v>40666</v>
      </c>
      <c r="L404" s="6">
        <v>1530.6759999999999</v>
      </c>
      <c r="M404" s="6">
        <v>1530.6759999999999</v>
      </c>
      <c r="N404" s="6">
        <v>1530.6759999999999</v>
      </c>
      <c r="O404" s="6">
        <v>1530.6759999999999</v>
      </c>
      <c r="P404" s="6">
        <v>0</v>
      </c>
      <c r="Q404" s="4" t="s">
        <v>26</v>
      </c>
      <c r="R404" s="4">
        <v>0</v>
      </c>
      <c r="S404" s="6">
        <v>21</v>
      </c>
      <c r="T404" s="6">
        <v>23</v>
      </c>
      <c r="U404" s="6">
        <v>81</v>
      </c>
      <c r="V404" s="6">
        <f>IF(ISERROR(VLOOKUP($S$404,'TAR FIN'!$A$1:$O$120,15,0)),0,VLOOKUP($S$404,'TAR FIN'!$A$1:$O$120,15,0))</f>
        <v>22.94</v>
      </c>
      <c r="W404" s="6">
        <f>IF(ISERROR(VLOOKUP($T$404,'TAR FIN'!$A$1:$O$120,15,0)),0,VLOOKUP($T$404,'TAR FIN'!$A$1:$O$120,15,0))</f>
        <v>84.45</v>
      </c>
      <c r="X404" s="6">
        <f>IF(ISERROR(VLOOKUP($U$404,'TAR FIN'!$A$1:$O$120,15,0)),0,VLOOKUP($U$404,'TAR FIN'!$A$1:$O$120,15,0))</f>
        <v>430.87</v>
      </c>
      <c r="Y404" s="6">
        <f ca="1">('TUSD BE'!$AM$27+'TUSD BF'!$AM$27+'TUSD CVA'!$AM$27)*1</f>
        <v>27.216283196676113</v>
      </c>
      <c r="Z404" s="6">
        <f ca="1">('TUSD BE'!$AM$29+'TUSD BF'!$AM$29+'TUSD CVA'!$AM$29)*1</f>
        <v>87.519361965254689</v>
      </c>
      <c r="AA404" s="6">
        <f>('TE BE'!$AA$10+'TE BF'!$AA$10+'TE CVA'!$AA$10)*1</f>
        <v>375.69180268700768</v>
      </c>
      <c r="AB404" s="6">
        <f>$K$404*$V$404</f>
        <v>932878.04</v>
      </c>
      <c r="AC404" s="6">
        <f>$M$404*$W$404</f>
        <v>129265.5882</v>
      </c>
      <c r="AD404" s="6">
        <f>$O$404*$X$404</f>
        <v>659522.36812</v>
      </c>
      <c r="AE404" s="6">
        <f ca="1">$K$404*$Y$404</f>
        <v>1106777.3724760308</v>
      </c>
      <c r="AF404" s="6">
        <f ca="1">$M$404*$Z$404</f>
        <v>133963.78689552817</v>
      </c>
      <c r="AG404" s="6">
        <f>$O$404*$AA$404</f>
        <v>575062.42576973815</v>
      </c>
    </row>
    <row r="405" spans="1:33" ht="11.25" customHeight="1" x14ac:dyDescent="0.25">
      <c r="A405" s="4" t="s">
        <v>27</v>
      </c>
      <c r="B405" s="4" t="s">
        <v>33</v>
      </c>
      <c r="C405" s="4" t="s">
        <v>41</v>
      </c>
      <c r="D405" s="4" t="s">
        <v>42</v>
      </c>
      <c r="E405" s="4" t="s">
        <v>25</v>
      </c>
      <c r="F405" s="4" t="s">
        <v>25</v>
      </c>
      <c r="G405" s="4" t="s">
        <v>25</v>
      </c>
      <c r="H405" s="4" t="s">
        <v>35</v>
      </c>
      <c r="I405" s="5">
        <v>43831</v>
      </c>
      <c r="J405" s="6">
        <v>269</v>
      </c>
      <c r="K405" s="6">
        <v>269</v>
      </c>
      <c r="L405" s="6">
        <v>13.717000000000001</v>
      </c>
      <c r="M405" s="6">
        <v>13.717000000000001</v>
      </c>
      <c r="N405" s="6">
        <v>13.717000000000001</v>
      </c>
      <c r="O405" s="6">
        <v>13.717000000000001</v>
      </c>
      <c r="P405" s="6">
        <v>0</v>
      </c>
      <c r="Q405" s="4" t="s">
        <v>26</v>
      </c>
      <c r="R405" s="4">
        <v>0</v>
      </c>
      <c r="S405" s="6">
        <v>21</v>
      </c>
      <c r="T405" s="6">
        <v>23</v>
      </c>
      <c r="U405" s="6">
        <v>81</v>
      </c>
      <c r="V405" s="6">
        <f>IF(ISERROR(VLOOKUP($S$405,'TAR FIN'!$A$1:$O$120,15,0)),0,VLOOKUP($S$405,'TAR FIN'!$A$1:$O$120,15,0))</f>
        <v>22.94</v>
      </c>
      <c r="W405" s="6">
        <f>IF(ISERROR(VLOOKUP($T$405,'TAR FIN'!$A$1:$O$120,15,0)),0,VLOOKUP($T$405,'TAR FIN'!$A$1:$O$120,15,0))</f>
        <v>84.45</v>
      </c>
      <c r="X405" s="6">
        <f>IF(ISERROR(VLOOKUP($U$405,'TAR FIN'!$A$1:$O$120,15,0)),0,VLOOKUP($U$405,'TAR FIN'!$A$1:$O$120,15,0))</f>
        <v>430.87</v>
      </c>
      <c r="Y405" s="6">
        <f ca="1">('TUSD BE'!$AM$27+'TUSD BF'!$AM$27+'TUSD CVA'!$AM$27)*1</f>
        <v>27.216283196676113</v>
      </c>
      <c r="Z405" s="6">
        <f ca="1">('TUSD BE'!$AM$29+'TUSD BF'!$AM$29+'TUSD CVA'!$AM$29)*1</f>
        <v>87.519361965254689</v>
      </c>
      <c r="AA405" s="6">
        <f>('TE BE'!$AA$10+'TE BF'!$AA$10+'TE CVA'!$AA$10)*1</f>
        <v>375.69180268700768</v>
      </c>
      <c r="AB405" s="6">
        <f>$K$405*$V$405</f>
        <v>6170.8600000000006</v>
      </c>
      <c r="AC405" s="6">
        <f>$M$405*$W$405</f>
        <v>1158.40065</v>
      </c>
      <c r="AD405" s="6">
        <f>$O$405*$X$405</f>
        <v>5910.2437900000004</v>
      </c>
      <c r="AE405" s="6">
        <f ca="1">$K$405*$Y$405</f>
        <v>7321.180179905874</v>
      </c>
      <c r="AF405" s="6">
        <f ca="1">$M$405*$Z$405</f>
        <v>1200.5030880773986</v>
      </c>
      <c r="AG405" s="6">
        <f>$O$405*$AA$405</f>
        <v>5153.3644574576847</v>
      </c>
    </row>
    <row r="406" spans="1:33" ht="11.25" customHeight="1" x14ac:dyDescent="0.25">
      <c r="A406" s="4" t="s">
        <v>28</v>
      </c>
      <c r="B406" s="4" t="s">
        <v>33</v>
      </c>
      <c r="C406" s="4" t="s">
        <v>41</v>
      </c>
      <c r="D406" s="4" t="s">
        <v>42</v>
      </c>
      <c r="E406" s="4" t="s">
        <v>25</v>
      </c>
      <c r="F406" s="4" t="s">
        <v>25</v>
      </c>
      <c r="G406" s="4" t="s">
        <v>25</v>
      </c>
      <c r="H406" s="4" t="s">
        <v>35</v>
      </c>
      <c r="I406" s="5">
        <v>43831</v>
      </c>
      <c r="J406" s="6">
        <v>550</v>
      </c>
      <c r="K406" s="6">
        <v>550</v>
      </c>
      <c r="L406" s="6">
        <v>22.585000000000001</v>
      </c>
      <c r="M406" s="6">
        <v>22.585000000000001</v>
      </c>
      <c r="N406" s="6">
        <v>22.585000000000001</v>
      </c>
      <c r="O406" s="6">
        <v>22.585000000000001</v>
      </c>
      <c r="P406" s="6">
        <v>0</v>
      </c>
      <c r="Q406" s="4" t="s">
        <v>26</v>
      </c>
      <c r="R406" s="4">
        <v>0</v>
      </c>
      <c r="S406" s="6">
        <v>21</v>
      </c>
      <c r="T406" s="6">
        <v>23</v>
      </c>
      <c r="U406" s="6">
        <v>81</v>
      </c>
      <c r="V406" s="6">
        <f>IF(ISERROR(VLOOKUP($S$406,'TAR FIN'!$A$1:$O$120,15,0)),0,VLOOKUP($S$406,'TAR FIN'!$A$1:$O$120,15,0))</f>
        <v>22.94</v>
      </c>
      <c r="W406" s="6">
        <f>IF(ISERROR(VLOOKUP($T$406,'TAR FIN'!$A$1:$O$120,15,0)),0,VLOOKUP($T$406,'TAR FIN'!$A$1:$O$120,15,0))</f>
        <v>84.45</v>
      </c>
      <c r="X406" s="6">
        <f>IF(ISERROR(VLOOKUP($U$406,'TAR FIN'!$A$1:$O$120,15,0)),0,VLOOKUP($U$406,'TAR FIN'!$A$1:$O$120,15,0))</f>
        <v>430.87</v>
      </c>
      <c r="Y406" s="6">
        <f ca="1">('TUSD BE'!$AM$27+'TUSD BF'!$AM$27+'TUSD CVA'!$AM$27)*1</f>
        <v>27.216283196676113</v>
      </c>
      <c r="Z406" s="6">
        <f ca="1">('TUSD BE'!$AM$29+'TUSD BF'!$AM$29+'TUSD CVA'!$AM$29)*1</f>
        <v>87.519361965254689</v>
      </c>
      <c r="AA406" s="6">
        <f>('TE BE'!$AA$10+'TE BF'!$AA$10+'TE CVA'!$AA$10)*1</f>
        <v>375.69180268700768</v>
      </c>
      <c r="AB406" s="6">
        <f>$K$406*$V$406</f>
        <v>12617</v>
      </c>
      <c r="AC406" s="6">
        <f>$M$406*$W$406</f>
        <v>1907.3032500000002</v>
      </c>
      <c r="AD406" s="6">
        <f>$O$406*$X$406</f>
        <v>9731.19895</v>
      </c>
      <c r="AE406" s="6">
        <f ca="1">$K$406*$Y$406</f>
        <v>14968.955758171862</v>
      </c>
      <c r="AF406" s="6">
        <f ca="1">$M$406*$Z$406</f>
        <v>1976.6247899852772</v>
      </c>
      <c r="AG406" s="6">
        <f>$O$406*$AA$406</f>
        <v>8484.999363686069</v>
      </c>
    </row>
    <row r="407" spans="1:33" ht="11.25" customHeight="1" x14ac:dyDescent="0.25">
      <c r="A407" s="4" t="s">
        <v>21</v>
      </c>
      <c r="B407" s="4" t="s">
        <v>33</v>
      </c>
      <c r="C407" s="4" t="s">
        <v>41</v>
      </c>
      <c r="D407" s="4" t="s">
        <v>42</v>
      </c>
      <c r="E407" s="4" t="s">
        <v>25</v>
      </c>
      <c r="F407" s="4" t="s">
        <v>25</v>
      </c>
      <c r="G407" s="4" t="s">
        <v>25</v>
      </c>
      <c r="H407" s="4" t="s">
        <v>35</v>
      </c>
      <c r="I407" s="5">
        <v>43862</v>
      </c>
      <c r="J407" s="6">
        <v>39960</v>
      </c>
      <c r="K407" s="6">
        <v>39960</v>
      </c>
      <c r="L407" s="6">
        <v>1613.5989999999999</v>
      </c>
      <c r="M407" s="6">
        <v>1613.5989999999999</v>
      </c>
      <c r="N407" s="6">
        <v>1613.5989999999999</v>
      </c>
      <c r="O407" s="6">
        <v>1613.5989999999999</v>
      </c>
      <c r="P407" s="6">
        <v>0</v>
      </c>
      <c r="Q407" s="4" t="s">
        <v>26</v>
      </c>
      <c r="R407" s="4">
        <v>0</v>
      </c>
      <c r="S407" s="6">
        <v>21</v>
      </c>
      <c r="T407" s="6">
        <v>23</v>
      </c>
      <c r="U407" s="6">
        <v>81</v>
      </c>
      <c r="V407" s="6">
        <f>IF(ISERROR(VLOOKUP($S$407,'TAR FIN'!$A$1:$O$120,15,0)),0,VLOOKUP($S$407,'TAR FIN'!$A$1:$O$120,15,0))</f>
        <v>22.94</v>
      </c>
      <c r="W407" s="6">
        <f>IF(ISERROR(VLOOKUP($T$407,'TAR FIN'!$A$1:$O$120,15,0)),0,VLOOKUP($T$407,'TAR FIN'!$A$1:$O$120,15,0))</f>
        <v>84.45</v>
      </c>
      <c r="X407" s="6">
        <f>IF(ISERROR(VLOOKUP($U$407,'TAR FIN'!$A$1:$O$120,15,0)),0,VLOOKUP($U$407,'TAR FIN'!$A$1:$O$120,15,0))</f>
        <v>430.87</v>
      </c>
      <c r="Y407" s="6">
        <f ca="1">('TUSD BE'!$AM$27+'TUSD BF'!$AM$27+'TUSD CVA'!$AM$27)*1</f>
        <v>27.216283196676113</v>
      </c>
      <c r="Z407" s="6">
        <f ca="1">('TUSD BE'!$AM$29+'TUSD BF'!$AM$29+'TUSD CVA'!$AM$29)*1</f>
        <v>87.519361965254689</v>
      </c>
      <c r="AA407" s="6">
        <f>('TE BE'!$AA$10+'TE BF'!$AA$10+'TE CVA'!$AA$10)*1</f>
        <v>375.69180268700768</v>
      </c>
      <c r="AB407" s="6">
        <f>$K$407*$V$407</f>
        <v>916682.4</v>
      </c>
      <c r="AC407" s="6">
        <f>$M$407*$W$407</f>
        <v>136268.43554999999</v>
      </c>
      <c r="AD407" s="6">
        <f>$O$407*$X$407</f>
        <v>695251.40113000001</v>
      </c>
      <c r="AE407" s="6">
        <f ca="1">$K$407*$Y$407</f>
        <v>1087562.6765391775</v>
      </c>
      <c r="AF407" s="6">
        <f ca="1">$M$407*$Z$407</f>
        <v>141221.154947773</v>
      </c>
      <c r="AG407" s="6">
        <f>$O$407*$AA$407</f>
        <v>606215.91712395288</v>
      </c>
    </row>
    <row r="408" spans="1:33" ht="11.25" customHeight="1" x14ac:dyDescent="0.25">
      <c r="A408" s="4" t="s">
        <v>27</v>
      </c>
      <c r="B408" s="4" t="s">
        <v>33</v>
      </c>
      <c r="C408" s="4" t="s">
        <v>41</v>
      </c>
      <c r="D408" s="4" t="s">
        <v>42</v>
      </c>
      <c r="E408" s="4" t="s">
        <v>25</v>
      </c>
      <c r="F408" s="4" t="s">
        <v>25</v>
      </c>
      <c r="G408" s="4" t="s">
        <v>25</v>
      </c>
      <c r="H408" s="4" t="s">
        <v>35</v>
      </c>
      <c r="I408" s="5">
        <v>43862</v>
      </c>
      <c r="J408" s="6">
        <v>213</v>
      </c>
      <c r="K408" s="6">
        <v>213</v>
      </c>
      <c r="L408" s="6">
        <v>12.025</v>
      </c>
      <c r="M408" s="6">
        <v>12.025</v>
      </c>
      <c r="N408" s="6">
        <v>12.025</v>
      </c>
      <c r="O408" s="6">
        <v>12.025</v>
      </c>
      <c r="P408" s="6">
        <v>0</v>
      </c>
      <c r="Q408" s="4" t="s">
        <v>26</v>
      </c>
      <c r="R408" s="4">
        <v>0</v>
      </c>
      <c r="S408" s="6">
        <v>21</v>
      </c>
      <c r="T408" s="6">
        <v>23</v>
      </c>
      <c r="U408" s="6">
        <v>81</v>
      </c>
      <c r="V408" s="6">
        <f>IF(ISERROR(VLOOKUP($S$408,'TAR FIN'!$A$1:$O$120,15,0)),0,VLOOKUP($S$408,'TAR FIN'!$A$1:$O$120,15,0))</f>
        <v>22.94</v>
      </c>
      <c r="W408" s="6">
        <f>IF(ISERROR(VLOOKUP($T$408,'TAR FIN'!$A$1:$O$120,15,0)),0,VLOOKUP($T$408,'TAR FIN'!$A$1:$O$120,15,0))</f>
        <v>84.45</v>
      </c>
      <c r="X408" s="6">
        <f>IF(ISERROR(VLOOKUP($U$408,'TAR FIN'!$A$1:$O$120,15,0)),0,VLOOKUP($U$408,'TAR FIN'!$A$1:$O$120,15,0))</f>
        <v>430.87</v>
      </c>
      <c r="Y408" s="6">
        <f ca="1">('TUSD BE'!$AM$27+'TUSD BF'!$AM$27+'TUSD CVA'!$AM$27)*1</f>
        <v>27.216283196676113</v>
      </c>
      <c r="Z408" s="6">
        <f ca="1">('TUSD BE'!$AM$29+'TUSD BF'!$AM$29+'TUSD CVA'!$AM$29)*1</f>
        <v>87.519361965254689</v>
      </c>
      <c r="AA408" s="6">
        <f>('TE BE'!$AA$10+'TE BF'!$AA$10+'TE CVA'!$AA$10)*1</f>
        <v>375.69180268700768</v>
      </c>
      <c r="AB408" s="6">
        <f>$K$408*$V$408</f>
        <v>4886.22</v>
      </c>
      <c r="AC408" s="6">
        <f>$M$408*$W$408</f>
        <v>1015.51125</v>
      </c>
      <c r="AD408" s="6">
        <f>$O$408*$X$408</f>
        <v>5181.2117500000004</v>
      </c>
      <c r="AE408" s="6">
        <f ca="1">$K$408*$Y$408</f>
        <v>5797.0683208920118</v>
      </c>
      <c r="AF408" s="6">
        <f ca="1">$M$408*$Z$408</f>
        <v>1052.4203276321878</v>
      </c>
      <c r="AG408" s="6">
        <f>$O$408*$AA$408</f>
        <v>4517.6939273112675</v>
      </c>
    </row>
    <row r="409" spans="1:33" ht="11.25" customHeight="1" x14ac:dyDescent="0.25">
      <c r="A409" s="4" t="s">
        <v>28</v>
      </c>
      <c r="B409" s="4" t="s">
        <v>33</v>
      </c>
      <c r="C409" s="4" t="s">
        <v>41</v>
      </c>
      <c r="D409" s="4" t="s">
        <v>42</v>
      </c>
      <c r="E409" s="4" t="s">
        <v>25</v>
      </c>
      <c r="F409" s="4" t="s">
        <v>25</v>
      </c>
      <c r="G409" s="4" t="s">
        <v>25</v>
      </c>
      <c r="H409" s="4" t="s">
        <v>35</v>
      </c>
      <c r="I409" s="5">
        <v>43862</v>
      </c>
      <c r="J409" s="6">
        <v>550</v>
      </c>
      <c r="K409" s="6">
        <v>550</v>
      </c>
      <c r="L409" s="6">
        <v>25.530999999999999</v>
      </c>
      <c r="M409" s="6">
        <v>25.530999999999999</v>
      </c>
      <c r="N409" s="6">
        <v>25.530999999999999</v>
      </c>
      <c r="O409" s="6">
        <v>25.530999999999999</v>
      </c>
      <c r="P409" s="6">
        <v>0</v>
      </c>
      <c r="Q409" s="4" t="s">
        <v>26</v>
      </c>
      <c r="R409" s="4">
        <v>0</v>
      </c>
      <c r="S409" s="6">
        <v>21</v>
      </c>
      <c r="T409" s="6">
        <v>23</v>
      </c>
      <c r="U409" s="6">
        <v>81</v>
      </c>
      <c r="V409" s="6">
        <f>IF(ISERROR(VLOOKUP($S$409,'TAR FIN'!$A$1:$O$120,15,0)),0,VLOOKUP($S$409,'TAR FIN'!$A$1:$O$120,15,0))</f>
        <v>22.94</v>
      </c>
      <c r="W409" s="6">
        <f>IF(ISERROR(VLOOKUP($T$409,'TAR FIN'!$A$1:$O$120,15,0)),0,VLOOKUP($T$409,'TAR FIN'!$A$1:$O$120,15,0))</f>
        <v>84.45</v>
      </c>
      <c r="X409" s="6">
        <f>IF(ISERROR(VLOOKUP($U$409,'TAR FIN'!$A$1:$O$120,15,0)),0,VLOOKUP($U$409,'TAR FIN'!$A$1:$O$120,15,0))</f>
        <v>430.87</v>
      </c>
      <c r="Y409" s="6">
        <f ca="1">('TUSD BE'!$AM$27+'TUSD BF'!$AM$27+'TUSD CVA'!$AM$27)*1</f>
        <v>27.216283196676113</v>
      </c>
      <c r="Z409" s="6">
        <f ca="1">('TUSD BE'!$AM$29+'TUSD BF'!$AM$29+'TUSD CVA'!$AM$29)*1</f>
        <v>87.519361965254689</v>
      </c>
      <c r="AA409" s="6">
        <f>('TE BE'!$AA$10+'TE BF'!$AA$10+'TE CVA'!$AA$10)*1</f>
        <v>375.69180268700768</v>
      </c>
      <c r="AB409" s="6">
        <f>$K$409*$V$409</f>
        <v>12617</v>
      </c>
      <c r="AC409" s="6">
        <f>$M$409*$W$409</f>
        <v>2156.0929499999997</v>
      </c>
      <c r="AD409" s="6">
        <f>$O$409*$X$409</f>
        <v>11000.54197</v>
      </c>
      <c r="AE409" s="6">
        <f ca="1">$K$409*$Y$409</f>
        <v>14968.955758171862</v>
      </c>
      <c r="AF409" s="6">
        <f ca="1">$M$409*$Z$409</f>
        <v>2234.4568303349174</v>
      </c>
      <c r="AG409" s="6">
        <f>$O$409*$AA$409</f>
        <v>9591.7874144019934</v>
      </c>
    </row>
    <row r="410" spans="1:33" ht="11.25" customHeight="1" x14ac:dyDescent="0.25">
      <c r="A410" s="4" t="s">
        <v>21</v>
      </c>
      <c r="B410" s="4" t="s">
        <v>33</v>
      </c>
      <c r="C410" s="4" t="s">
        <v>41</v>
      </c>
      <c r="D410" s="4" t="s">
        <v>42</v>
      </c>
      <c r="E410" s="4" t="s">
        <v>25</v>
      </c>
      <c r="F410" s="4" t="s">
        <v>25</v>
      </c>
      <c r="G410" s="4" t="s">
        <v>25</v>
      </c>
      <c r="H410" s="4" t="s">
        <v>35</v>
      </c>
      <c r="I410" s="5">
        <v>43891</v>
      </c>
      <c r="J410" s="6">
        <v>40133</v>
      </c>
      <c r="K410" s="6">
        <v>40133</v>
      </c>
      <c r="L410" s="6">
        <v>1442.02</v>
      </c>
      <c r="M410" s="6">
        <v>1442.02</v>
      </c>
      <c r="N410" s="6">
        <v>1442.02</v>
      </c>
      <c r="O410" s="6">
        <v>1442.02</v>
      </c>
      <c r="P410" s="6">
        <v>0</v>
      </c>
      <c r="Q410" s="4" t="s">
        <v>26</v>
      </c>
      <c r="R410" s="4">
        <v>0</v>
      </c>
      <c r="S410" s="6">
        <v>21</v>
      </c>
      <c r="T410" s="6">
        <v>23</v>
      </c>
      <c r="U410" s="6">
        <v>81</v>
      </c>
      <c r="V410" s="6">
        <f>IF(ISERROR(VLOOKUP($S$410,'TAR FIN'!$A$1:$O$120,15,0)),0,VLOOKUP($S$410,'TAR FIN'!$A$1:$O$120,15,0))</f>
        <v>22.94</v>
      </c>
      <c r="W410" s="6">
        <f>IF(ISERROR(VLOOKUP($T$410,'TAR FIN'!$A$1:$O$120,15,0)),0,VLOOKUP($T$410,'TAR FIN'!$A$1:$O$120,15,0))</f>
        <v>84.45</v>
      </c>
      <c r="X410" s="6">
        <f>IF(ISERROR(VLOOKUP($U$410,'TAR FIN'!$A$1:$O$120,15,0)),0,VLOOKUP($U$410,'TAR FIN'!$A$1:$O$120,15,0))</f>
        <v>430.87</v>
      </c>
      <c r="Y410" s="6">
        <f ca="1">('TUSD BE'!$AM$27+'TUSD BF'!$AM$27+'TUSD CVA'!$AM$27)*1</f>
        <v>27.216283196676113</v>
      </c>
      <c r="Z410" s="6">
        <f ca="1">('TUSD BE'!$AM$29+'TUSD BF'!$AM$29+'TUSD CVA'!$AM$29)*1</f>
        <v>87.519361965254689</v>
      </c>
      <c r="AA410" s="6">
        <f>('TE BE'!$AA$10+'TE BF'!$AA$10+'TE CVA'!$AA$10)*1</f>
        <v>375.69180268700768</v>
      </c>
      <c r="AB410" s="6">
        <f>$K$410*$V$410</f>
        <v>920651.02</v>
      </c>
      <c r="AC410" s="6">
        <f>$M$410*$W$410</f>
        <v>121778.58900000001</v>
      </c>
      <c r="AD410" s="6">
        <f>$O$410*$X$410</f>
        <v>621323.15740000003</v>
      </c>
      <c r="AE410" s="6">
        <f ca="1">$K$410*$Y$410</f>
        <v>1092271.0935322025</v>
      </c>
      <c r="AF410" s="6">
        <f ca="1">$M$410*$Z$410</f>
        <v>126204.67034113656</v>
      </c>
      <c r="AG410" s="6">
        <f>$O$410*$AA$410</f>
        <v>541755.09331071877</v>
      </c>
    </row>
    <row r="411" spans="1:33" ht="11.25" customHeight="1" x14ac:dyDescent="0.25">
      <c r="A411" s="4" t="s">
        <v>28</v>
      </c>
      <c r="B411" s="4" t="s">
        <v>33</v>
      </c>
      <c r="C411" s="4" t="s">
        <v>41</v>
      </c>
      <c r="D411" s="4" t="s">
        <v>42</v>
      </c>
      <c r="E411" s="4" t="s">
        <v>25</v>
      </c>
      <c r="F411" s="4" t="s">
        <v>25</v>
      </c>
      <c r="G411" s="4" t="s">
        <v>25</v>
      </c>
      <c r="H411" s="4" t="s">
        <v>35</v>
      </c>
      <c r="I411" s="5">
        <v>43891</v>
      </c>
      <c r="J411" s="6">
        <v>550</v>
      </c>
      <c r="K411" s="6">
        <v>550</v>
      </c>
      <c r="L411" s="6">
        <v>22.544</v>
      </c>
      <c r="M411" s="6">
        <v>22.544</v>
      </c>
      <c r="N411" s="6">
        <v>22.544</v>
      </c>
      <c r="O411" s="6">
        <v>22.544</v>
      </c>
      <c r="P411" s="6">
        <v>0</v>
      </c>
      <c r="Q411" s="4" t="s">
        <v>26</v>
      </c>
      <c r="R411" s="4">
        <v>0</v>
      </c>
      <c r="S411" s="6">
        <v>21</v>
      </c>
      <c r="T411" s="6">
        <v>23</v>
      </c>
      <c r="U411" s="6">
        <v>81</v>
      </c>
      <c r="V411" s="6">
        <f>IF(ISERROR(VLOOKUP($S$411,'TAR FIN'!$A$1:$O$120,15,0)),0,VLOOKUP($S$411,'TAR FIN'!$A$1:$O$120,15,0))</f>
        <v>22.94</v>
      </c>
      <c r="W411" s="6">
        <f>IF(ISERROR(VLOOKUP($T$411,'TAR FIN'!$A$1:$O$120,15,0)),0,VLOOKUP($T$411,'TAR FIN'!$A$1:$O$120,15,0))</f>
        <v>84.45</v>
      </c>
      <c r="X411" s="6">
        <f>IF(ISERROR(VLOOKUP($U$411,'TAR FIN'!$A$1:$O$120,15,0)),0,VLOOKUP($U$411,'TAR FIN'!$A$1:$O$120,15,0))</f>
        <v>430.87</v>
      </c>
      <c r="Y411" s="6">
        <f ca="1">('TUSD BE'!$AM$27+'TUSD BF'!$AM$27+'TUSD CVA'!$AM$27)*1</f>
        <v>27.216283196676113</v>
      </c>
      <c r="Z411" s="6">
        <f ca="1">('TUSD BE'!$AM$29+'TUSD BF'!$AM$29+'TUSD CVA'!$AM$29)*1</f>
        <v>87.519361965254689</v>
      </c>
      <c r="AA411" s="6">
        <f>('TE BE'!$AA$10+'TE BF'!$AA$10+'TE CVA'!$AA$10)*1</f>
        <v>375.69180268700768</v>
      </c>
      <c r="AB411" s="6">
        <f>$K$411*$V$411</f>
        <v>12617</v>
      </c>
      <c r="AC411" s="6">
        <f>$M$411*$W$411</f>
        <v>1903.8408000000002</v>
      </c>
      <c r="AD411" s="6">
        <f>$O$411*$X$411</f>
        <v>9713.5332799999996</v>
      </c>
      <c r="AE411" s="6">
        <f ca="1">$K$411*$Y$411</f>
        <v>14968.955758171862</v>
      </c>
      <c r="AF411" s="6">
        <f ca="1">$M$411*$Z$411</f>
        <v>1973.0364961447017</v>
      </c>
      <c r="AG411" s="6">
        <f>$O$411*$AA$411</f>
        <v>8469.5959997759019</v>
      </c>
    </row>
    <row r="412" spans="1:33" ht="11.25" customHeight="1" x14ac:dyDescent="0.25">
      <c r="A412" s="4" t="s">
        <v>21</v>
      </c>
      <c r="B412" s="4" t="s">
        <v>33</v>
      </c>
      <c r="C412" s="4" t="s">
        <v>41</v>
      </c>
      <c r="D412" s="4" t="s">
        <v>42</v>
      </c>
      <c r="E412" s="4" t="s">
        <v>25</v>
      </c>
      <c r="F412" s="4" t="s">
        <v>25</v>
      </c>
      <c r="G412" s="4" t="s">
        <v>25</v>
      </c>
      <c r="H412" s="4" t="s">
        <v>35</v>
      </c>
      <c r="I412" s="5">
        <v>43922</v>
      </c>
      <c r="J412" s="6">
        <v>40048</v>
      </c>
      <c r="K412" s="6">
        <v>40048</v>
      </c>
      <c r="L412" s="6">
        <v>1510.826</v>
      </c>
      <c r="M412" s="6">
        <v>1510.826</v>
      </c>
      <c r="N412" s="6">
        <v>1510.826</v>
      </c>
      <c r="O412" s="6">
        <v>1510.826</v>
      </c>
      <c r="P412" s="6">
        <v>0</v>
      </c>
      <c r="Q412" s="4" t="s">
        <v>26</v>
      </c>
      <c r="R412" s="4">
        <v>0</v>
      </c>
      <c r="S412" s="6">
        <v>21</v>
      </c>
      <c r="T412" s="6">
        <v>23</v>
      </c>
      <c r="U412" s="6">
        <v>81</v>
      </c>
      <c r="V412" s="6">
        <f>IF(ISERROR(VLOOKUP($S$412,'TAR FIN'!$A$1:$O$120,15,0)),0,VLOOKUP($S$412,'TAR FIN'!$A$1:$O$120,15,0))</f>
        <v>22.94</v>
      </c>
      <c r="W412" s="6">
        <f>IF(ISERROR(VLOOKUP($T$412,'TAR FIN'!$A$1:$O$120,15,0)),0,VLOOKUP($T$412,'TAR FIN'!$A$1:$O$120,15,0))</f>
        <v>84.45</v>
      </c>
      <c r="X412" s="6">
        <f>IF(ISERROR(VLOOKUP($U$412,'TAR FIN'!$A$1:$O$120,15,0)),0,VLOOKUP($U$412,'TAR FIN'!$A$1:$O$120,15,0))</f>
        <v>430.87</v>
      </c>
      <c r="Y412" s="6">
        <f ca="1">('TUSD BE'!$AM$27+'TUSD BF'!$AM$27+'TUSD CVA'!$AM$27)*1</f>
        <v>27.216283196676113</v>
      </c>
      <c r="Z412" s="6">
        <f ca="1">('TUSD BE'!$AM$29+'TUSD BF'!$AM$29+'TUSD CVA'!$AM$29)*1</f>
        <v>87.519361965254689</v>
      </c>
      <c r="AA412" s="6">
        <f>('TE BE'!$AA$10+'TE BF'!$AA$10+'TE CVA'!$AA$10)*1</f>
        <v>375.69180268700768</v>
      </c>
      <c r="AB412" s="6">
        <f>$K$412*$V$412</f>
        <v>918701.12</v>
      </c>
      <c r="AC412" s="6">
        <f>$M$412*$W$412</f>
        <v>127589.25570000001</v>
      </c>
      <c r="AD412" s="6">
        <f>$O$412*$X$412</f>
        <v>650969.59862000006</v>
      </c>
      <c r="AE412" s="6">
        <f ca="1">$K$412*$Y$412</f>
        <v>1089957.709460485</v>
      </c>
      <c r="AF412" s="6">
        <f ca="1">$M$412*$Z$412</f>
        <v>132226.52756051789</v>
      </c>
      <c r="AG412" s="6">
        <f>$O$412*$AA$412</f>
        <v>567604.94348640111</v>
      </c>
    </row>
    <row r="413" spans="1:33" ht="11.25" customHeight="1" x14ac:dyDescent="0.25">
      <c r="A413" s="4" t="s">
        <v>27</v>
      </c>
      <c r="B413" s="4" t="s">
        <v>33</v>
      </c>
      <c r="C413" s="4" t="s">
        <v>41</v>
      </c>
      <c r="D413" s="4" t="s">
        <v>42</v>
      </c>
      <c r="E413" s="4" t="s">
        <v>25</v>
      </c>
      <c r="F413" s="4" t="s">
        <v>25</v>
      </c>
      <c r="G413" s="4" t="s">
        <v>25</v>
      </c>
      <c r="H413" s="4" t="s">
        <v>35</v>
      </c>
      <c r="I413" s="5">
        <v>43922</v>
      </c>
      <c r="J413" s="6">
        <v>30</v>
      </c>
      <c r="K413" s="6">
        <v>30</v>
      </c>
      <c r="L413" s="6">
        <v>0.48</v>
      </c>
      <c r="M413" s="6">
        <v>0.48</v>
      </c>
      <c r="N413" s="6">
        <v>0.48</v>
      </c>
      <c r="O413" s="6">
        <v>0.48</v>
      </c>
      <c r="P413" s="6">
        <v>0</v>
      </c>
      <c r="Q413" s="4" t="s">
        <v>26</v>
      </c>
      <c r="R413" s="4">
        <v>0</v>
      </c>
      <c r="S413" s="6">
        <v>21</v>
      </c>
      <c r="T413" s="6">
        <v>23</v>
      </c>
      <c r="U413" s="6">
        <v>81</v>
      </c>
      <c r="V413" s="6">
        <f>IF(ISERROR(VLOOKUP($S$413,'TAR FIN'!$A$1:$O$120,15,0)),0,VLOOKUP($S$413,'TAR FIN'!$A$1:$O$120,15,0))</f>
        <v>22.94</v>
      </c>
      <c r="W413" s="6">
        <f>IF(ISERROR(VLOOKUP($T$413,'TAR FIN'!$A$1:$O$120,15,0)),0,VLOOKUP($T$413,'TAR FIN'!$A$1:$O$120,15,0))</f>
        <v>84.45</v>
      </c>
      <c r="X413" s="6">
        <f>IF(ISERROR(VLOOKUP($U$413,'TAR FIN'!$A$1:$O$120,15,0)),0,VLOOKUP($U$413,'TAR FIN'!$A$1:$O$120,15,0))</f>
        <v>430.87</v>
      </c>
      <c r="Y413" s="6">
        <f ca="1">('TUSD BE'!$AM$27+'TUSD BF'!$AM$27+'TUSD CVA'!$AM$27)*1</f>
        <v>27.216283196676113</v>
      </c>
      <c r="Z413" s="6">
        <f ca="1">('TUSD BE'!$AM$29+'TUSD BF'!$AM$29+'TUSD CVA'!$AM$29)*1</f>
        <v>87.519361965254689</v>
      </c>
      <c r="AA413" s="6">
        <f>('TE BE'!$AA$10+'TE BF'!$AA$10+'TE CVA'!$AA$10)*1</f>
        <v>375.69180268700768</v>
      </c>
      <c r="AB413" s="6">
        <f>$K$413*$V$413</f>
        <v>688.2</v>
      </c>
      <c r="AC413" s="6">
        <f>$M$413*$W$413</f>
        <v>40.536000000000001</v>
      </c>
      <c r="AD413" s="6">
        <f>$O$413*$X$413</f>
        <v>206.8176</v>
      </c>
      <c r="AE413" s="6">
        <f ca="1">$K$413*$Y$413</f>
        <v>816.4884959002834</v>
      </c>
      <c r="AF413" s="6">
        <f ca="1">$M$413*$Z$413</f>
        <v>42.009293743322246</v>
      </c>
      <c r="AG413" s="6">
        <f>$O$413*$AA$413</f>
        <v>180.33206528976368</v>
      </c>
    </row>
    <row r="414" spans="1:33" ht="11.25" customHeight="1" x14ac:dyDescent="0.25">
      <c r="A414" s="4" t="s">
        <v>28</v>
      </c>
      <c r="B414" s="4" t="s">
        <v>33</v>
      </c>
      <c r="C414" s="4" t="s">
        <v>41</v>
      </c>
      <c r="D414" s="4" t="s">
        <v>42</v>
      </c>
      <c r="E414" s="4" t="s">
        <v>25</v>
      </c>
      <c r="F414" s="4" t="s">
        <v>25</v>
      </c>
      <c r="G414" s="4" t="s">
        <v>25</v>
      </c>
      <c r="H414" s="4" t="s">
        <v>35</v>
      </c>
      <c r="I414" s="5">
        <v>43922</v>
      </c>
      <c r="J414" s="6">
        <v>550</v>
      </c>
      <c r="K414" s="6">
        <v>550</v>
      </c>
      <c r="L414" s="6">
        <v>16.998000000000001</v>
      </c>
      <c r="M414" s="6">
        <v>16.998000000000001</v>
      </c>
      <c r="N414" s="6">
        <v>16.998000000000001</v>
      </c>
      <c r="O414" s="6">
        <v>16.998000000000001</v>
      </c>
      <c r="P414" s="6">
        <v>0</v>
      </c>
      <c r="Q414" s="4" t="s">
        <v>26</v>
      </c>
      <c r="R414" s="4">
        <v>0</v>
      </c>
      <c r="S414" s="6">
        <v>21</v>
      </c>
      <c r="T414" s="6">
        <v>23</v>
      </c>
      <c r="U414" s="6">
        <v>81</v>
      </c>
      <c r="V414" s="6">
        <f>IF(ISERROR(VLOOKUP($S$414,'TAR FIN'!$A$1:$O$120,15,0)),0,VLOOKUP($S$414,'TAR FIN'!$A$1:$O$120,15,0))</f>
        <v>22.94</v>
      </c>
      <c r="W414" s="6">
        <f>IF(ISERROR(VLOOKUP($T$414,'TAR FIN'!$A$1:$O$120,15,0)),0,VLOOKUP($T$414,'TAR FIN'!$A$1:$O$120,15,0))</f>
        <v>84.45</v>
      </c>
      <c r="X414" s="6">
        <f>IF(ISERROR(VLOOKUP($U$414,'TAR FIN'!$A$1:$O$120,15,0)),0,VLOOKUP($U$414,'TAR FIN'!$A$1:$O$120,15,0))</f>
        <v>430.87</v>
      </c>
      <c r="Y414" s="6">
        <f ca="1">('TUSD BE'!$AM$27+'TUSD BF'!$AM$27+'TUSD CVA'!$AM$27)*1</f>
        <v>27.216283196676113</v>
      </c>
      <c r="Z414" s="6">
        <f ca="1">('TUSD BE'!$AM$29+'TUSD BF'!$AM$29+'TUSD CVA'!$AM$29)*1</f>
        <v>87.519361965254689</v>
      </c>
      <c r="AA414" s="6">
        <f>('TE BE'!$AA$10+'TE BF'!$AA$10+'TE CVA'!$AA$10)*1</f>
        <v>375.69180268700768</v>
      </c>
      <c r="AB414" s="6">
        <f>$K$414*$V$414</f>
        <v>12617</v>
      </c>
      <c r="AC414" s="6">
        <f>$M$414*$W$414</f>
        <v>1435.4811000000002</v>
      </c>
      <c r="AD414" s="6">
        <f>$O$414*$X$414</f>
        <v>7323.9282600000006</v>
      </c>
      <c r="AE414" s="6">
        <f ca="1">$K$414*$Y$414</f>
        <v>14968.955758171862</v>
      </c>
      <c r="AF414" s="6">
        <f ca="1">$M$414*$Z$414</f>
        <v>1487.6541146853992</v>
      </c>
      <c r="AG414" s="6">
        <f>$O$414*$AA$414</f>
        <v>6386.0092620737569</v>
      </c>
    </row>
    <row r="415" spans="1:33" ht="11.25" customHeight="1" x14ac:dyDescent="0.25">
      <c r="A415" s="4" t="s">
        <v>21</v>
      </c>
      <c r="B415" s="4" t="s">
        <v>33</v>
      </c>
      <c r="C415" s="4" t="s">
        <v>41</v>
      </c>
      <c r="D415" s="4" t="s">
        <v>42</v>
      </c>
      <c r="E415" s="4" t="s">
        <v>25</v>
      </c>
      <c r="F415" s="4" t="s">
        <v>25</v>
      </c>
      <c r="G415" s="4" t="s">
        <v>25</v>
      </c>
      <c r="H415" s="4" t="s">
        <v>35</v>
      </c>
      <c r="I415" s="5">
        <v>43952</v>
      </c>
      <c r="J415" s="6">
        <v>38707</v>
      </c>
      <c r="K415" s="6">
        <v>38707</v>
      </c>
      <c r="L415" s="6">
        <v>1251.26</v>
      </c>
      <c r="M415" s="6">
        <v>1251.26</v>
      </c>
      <c r="N415" s="6">
        <v>1251.26</v>
      </c>
      <c r="O415" s="6">
        <v>1251.26</v>
      </c>
      <c r="P415" s="6">
        <v>0</v>
      </c>
      <c r="Q415" s="4" t="s">
        <v>26</v>
      </c>
      <c r="R415" s="4">
        <v>0</v>
      </c>
      <c r="S415" s="6">
        <v>21</v>
      </c>
      <c r="T415" s="6">
        <v>23</v>
      </c>
      <c r="U415" s="6">
        <v>81</v>
      </c>
      <c r="V415" s="6">
        <f>IF(ISERROR(VLOOKUP($S$415,'TAR FIN'!$A$1:$O$120,15,0)),0,VLOOKUP($S$415,'TAR FIN'!$A$1:$O$120,15,0))</f>
        <v>22.94</v>
      </c>
      <c r="W415" s="6">
        <f>IF(ISERROR(VLOOKUP($T$415,'TAR FIN'!$A$1:$O$120,15,0)),0,VLOOKUP($T$415,'TAR FIN'!$A$1:$O$120,15,0))</f>
        <v>84.45</v>
      </c>
      <c r="X415" s="6">
        <f>IF(ISERROR(VLOOKUP($U$415,'TAR FIN'!$A$1:$O$120,15,0)),0,VLOOKUP($U$415,'TAR FIN'!$A$1:$O$120,15,0))</f>
        <v>430.87</v>
      </c>
      <c r="Y415" s="6">
        <f ca="1">('TUSD BE'!$AM$27+'TUSD BF'!$AM$27+'TUSD CVA'!$AM$27)*1</f>
        <v>27.216283196676113</v>
      </c>
      <c r="Z415" s="6">
        <f ca="1">('TUSD BE'!$AM$29+'TUSD BF'!$AM$29+'TUSD CVA'!$AM$29)*1</f>
        <v>87.519361965254689</v>
      </c>
      <c r="AA415" s="6">
        <f>('TE BE'!$AA$10+'TE BF'!$AA$10+'TE CVA'!$AA$10)*1</f>
        <v>375.69180268700768</v>
      </c>
      <c r="AB415" s="6">
        <f>$K$415*$V$415</f>
        <v>887938.58000000007</v>
      </c>
      <c r="AC415" s="6">
        <f>$M$415*$W$415</f>
        <v>105668.90700000001</v>
      </c>
      <c r="AD415" s="6">
        <f>$O$415*$X$415</f>
        <v>539130.39619999996</v>
      </c>
      <c r="AE415" s="6">
        <f ca="1">$K$415*$Y$415</f>
        <v>1053460.6736937424</v>
      </c>
      <c r="AF415" s="6">
        <f ca="1">$M$415*$Z$415</f>
        <v>109509.47685264458</v>
      </c>
      <c r="AG415" s="6">
        <f>$O$415*$AA$415</f>
        <v>470088.12503014522</v>
      </c>
    </row>
    <row r="416" spans="1:33" ht="11.25" customHeight="1" x14ac:dyDescent="0.25">
      <c r="A416" s="4" t="s">
        <v>27</v>
      </c>
      <c r="B416" s="4" t="s">
        <v>33</v>
      </c>
      <c r="C416" s="4" t="s">
        <v>41</v>
      </c>
      <c r="D416" s="4" t="s">
        <v>42</v>
      </c>
      <c r="E416" s="4" t="s">
        <v>25</v>
      </c>
      <c r="F416" s="4" t="s">
        <v>25</v>
      </c>
      <c r="G416" s="4" t="s">
        <v>25</v>
      </c>
      <c r="H416" s="4" t="s">
        <v>35</v>
      </c>
      <c r="I416" s="5">
        <v>43952</v>
      </c>
      <c r="J416" s="6">
        <v>793</v>
      </c>
      <c r="K416" s="6">
        <v>793</v>
      </c>
      <c r="L416" s="6">
        <v>38.277999999999999</v>
      </c>
      <c r="M416" s="6">
        <v>38.277999999999999</v>
      </c>
      <c r="N416" s="6">
        <v>38.277999999999999</v>
      </c>
      <c r="O416" s="6">
        <v>38.277999999999999</v>
      </c>
      <c r="P416" s="6">
        <v>0</v>
      </c>
      <c r="Q416" s="4" t="s">
        <v>26</v>
      </c>
      <c r="R416" s="4">
        <v>0</v>
      </c>
      <c r="S416" s="6">
        <v>21</v>
      </c>
      <c r="T416" s="6">
        <v>23</v>
      </c>
      <c r="U416" s="6">
        <v>81</v>
      </c>
      <c r="V416" s="6">
        <f>IF(ISERROR(VLOOKUP($S$416,'TAR FIN'!$A$1:$O$120,15,0)),0,VLOOKUP($S$416,'TAR FIN'!$A$1:$O$120,15,0))</f>
        <v>22.94</v>
      </c>
      <c r="W416" s="6">
        <f>IF(ISERROR(VLOOKUP($T$416,'TAR FIN'!$A$1:$O$120,15,0)),0,VLOOKUP($T$416,'TAR FIN'!$A$1:$O$120,15,0))</f>
        <v>84.45</v>
      </c>
      <c r="X416" s="6">
        <f>IF(ISERROR(VLOOKUP($U$416,'TAR FIN'!$A$1:$O$120,15,0)),0,VLOOKUP($U$416,'TAR FIN'!$A$1:$O$120,15,0))</f>
        <v>430.87</v>
      </c>
      <c r="Y416" s="6">
        <f ca="1">('TUSD BE'!$AM$27+'TUSD BF'!$AM$27+'TUSD CVA'!$AM$27)*1</f>
        <v>27.216283196676113</v>
      </c>
      <c r="Z416" s="6">
        <f ca="1">('TUSD BE'!$AM$29+'TUSD BF'!$AM$29+'TUSD CVA'!$AM$29)*1</f>
        <v>87.519361965254689</v>
      </c>
      <c r="AA416" s="6">
        <f>('TE BE'!$AA$10+'TE BF'!$AA$10+'TE CVA'!$AA$10)*1</f>
        <v>375.69180268700768</v>
      </c>
      <c r="AB416" s="6">
        <f>$K$416*$V$416</f>
        <v>18191.420000000002</v>
      </c>
      <c r="AC416" s="6">
        <f>$M$416*$W$416</f>
        <v>3232.5771</v>
      </c>
      <c r="AD416" s="6">
        <f>$O$416*$X$416</f>
        <v>16492.84186</v>
      </c>
      <c r="AE416" s="6">
        <f ca="1">$K$416*$Y$416</f>
        <v>21582.512574964156</v>
      </c>
      <c r="AF416" s="6">
        <f ca="1">$M$416*$Z$416</f>
        <v>3350.0661373060188</v>
      </c>
      <c r="AG416" s="6">
        <f>$O$416*$AA$416</f>
        <v>14380.73082325328</v>
      </c>
    </row>
    <row r="417" spans="1:33" ht="11.25" customHeight="1" x14ac:dyDescent="0.25">
      <c r="A417" s="4" t="s">
        <v>28</v>
      </c>
      <c r="B417" s="4" t="s">
        <v>33</v>
      </c>
      <c r="C417" s="4" t="s">
        <v>41</v>
      </c>
      <c r="D417" s="4" t="s">
        <v>42</v>
      </c>
      <c r="E417" s="4" t="s">
        <v>25</v>
      </c>
      <c r="F417" s="4" t="s">
        <v>25</v>
      </c>
      <c r="G417" s="4" t="s">
        <v>25</v>
      </c>
      <c r="H417" s="4" t="s">
        <v>35</v>
      </c>
      <c r="I417" s="5">
        <v>43952</v>
      </c>
      <c r="J417" s="6">
        <v>550</v>
      </c>
      <c r="K417" s="6">
        <v>550</v>
      </c>
      <c r="L417" s="6">
        <v>11.62</v>
      </c>
      <c r="M417" s="6">
        <v>11.62</v>
      </c>
      <c r="N417" s="6">
        <v>11.62</v>
      </c>
      <c r="O417" s="6">
        <v>11.62</v>
      </c>
      <c r="P417" s="6">
        <v>0</v>
      </c>
      <c r="Q417" s="4" t="s">
        <v>26</v>
      </c>
      <c r="R417" s="4">
        <v>0</v>
      </c>
      <c r="S417" s="6">
        <v>21</v>
      </c>
      <c r="T417" s="6">
        <v>23</v>
      </c>
      <c r="U417" s="6">
        <v>81</v>
      </c>
      <c r="V417" s="6">
        <f>IF(ISERROR(VLOOKUP($S$417,'TAR FIN'!$A$1:$O$120,15,0)),0,VLOOKUP($S$417,'TAR FIN'!$A$1:$O$120,15,0))</f>
        <v>22.94</v>
      </c>
      <c r="W417" s="6">
        <f>IF(ISERROR(VLOOKUP($T$417,'TAR FIN'!$A$1:$O$120,15,0)),0,VLOOKUP($T$417,'TAR FIN'!$A$1:$O$120,15,0))</f>
        <v>84.45</v>
      </c>
      <c r="X417" s="6">
        <f>IF(ISERROR(VLOOKUP($U$417,'TAR FIN'!$A$1:$O$120,15,0)),0,VLOOKUP($U$417,'TAR FIN'!$A$1:$O$120,15,0))</f>
        <v>430.87</v>
      </c>
      <c r="Y417" s="6">
        <f ca="1">('TUSD BE'!$AM$27+'TUSD BF'!$AM$27+'TUSD CVA'!$AM$27)*1</f>
        <v>27.216283196676113</v>
      </c>
      <c r="Z417" s="6">
        <f ca="1">('TUSD BE'!$AM$29+'TUSD BF'!$AM$29+'TUSD CVA'!$AM$29)*1</f>
        <v>87.519361965254689</v>
      </c>
      <c r="AA417" s="6">
        <f>('TE BE'!$AA$10+'TE BF'!$AA$10+'TE CVA'!$AA$10)*1</f>
        <v>375.69180268700768</v>
      </c>
      <c r="AB417" s="6">
        <f>$K$417*$V$417</f>
        <v>12617</v>
      </c>
      <c r="AC417" s="6">
        <f>$M$417*$W$417</f>
        <v>981.30899999999997</v>
      </c>
      <c r="AD417" s="6">
        <f>$O$417*$X$417</f>
        <v>5006.7093999999997</v>
      </c>
      <c r="AE417" s="6">
        <f ca="1">$K$417*$Y$417</f>
        <v>14968.955758171862</v>
      </c>
      <c r="AF417" s="6">
        <f ca="1">$M$417*$Z$417</f>
        <v>1016.9749860362595</v>
      </c>
      <c r="AG417" s="6">
        <f>$O$417*$AA$417</f>
        <v>4365.5387472230286</v>
      </c>
    </row>
    <row r="418" spans="1:33" ht="11.25" customHeight="1" x14ac:dyDescent="0.25">
      <c r="A418" s="4" t="s">
        <v>21</v>
      </c>
      <c r="B418" s="4" t="s">
        <v>33</v>
      </c>
      <c r="C418" s="4" t="s">
        <v>41</v>
      </c>
      <c r="D418" s="4" t="s">
        <v>42</v>
      </c>
      <c r="E418" s="4" t="s">
        <v>25</v>
      </c>
      <c r="F418" s="4" t="s">
        <v>25</v>
      </c>
      <c r="G418" s="4" t="s">
        <v>25</v>
      </c>
      <c r="H418" s="4" t="s">
        <v>35</v>
      </c>
      <c r="I418" s="5">
        <v>43983</v>
      </c>
      <c r="J418" s="6">
        <v>38054</v>
      </c>
      <c r="K418" s="6">
        <v>38054</v>
      </c>
      <c r="L418" s="6">
        <v>1285.4390000000001</v>
      </c>
      <c r="M418" s="6">
        <v>1285.4390000000001</v>
      </c>
      <c r="N418" s="6">
        <v>1285.4390000000001</v>
      </c>
      <c r="O418" s="6">
        <v>1285.4390000000001</v>
      </c>
      <c r="P418" s="6">
        <v>0</v>
      </c>
      <c r="Q418" s="4" t="s">
        <v>26</v>
      </c>
      <c r="R418" s="4">
        <v>0</v>
      </c>
      <c r="S418" s="6">
        <v>21</v>
      </c>
      <c r="T418" s="6">
        <v>23</v>
      </c>
      <c r="U418" s="6">
        <v>81</v>
      </c>
      <c r="V418" s="6">
        <f>IF(ISERROR(VLOOKUP($S$418,'TAR FIN'!$A$1:$O$120,15,0)),0,VLOOKUP($S$418,'TAR FIN'!$A$1:$O$120,15,0))</f>
        <v>22.94</v>
      </c>
      <c r="W418" s="6">
        <f>IF(ISERROR(VLOOKUP($T$418,'TAR FIN'!$A$1:$O$120,15,0)),0,VLOOKUP($T$418,'TAR FIN'!$A$1:$O$120,15,0))</f>
        <v>84.45</v>
      </c>
      <c r="X418" s="6">
        <f>IF(ISERROR(VLOOKUP($U$418,'TAR FIN'!$A$1:$O$120,15,0)),0,VLOOKUP($U$418,'TAR FIN'!$A$1:$O$120,15,0))</f>
        <v>430.87</v>
      </c>
      <c r="Y418" s="6">
        <f ca="1">('TUSD BE'!$AM$27+'TUSD BF'!$AM$27+'TUSD CVA'!$AM$27)*1</f>
        <v>27.216283196676113</v>
      </c>
      <c r="Z418" s="6">
        <f ca="1">('TUSD BE'!$AM$29+'TUSD BF'!$AM$29+'TUSD CVA'!$AM$29)*1</f>
        <v>87.519361965254689</v>
      </c>
      <c r="AA418" s="6">
        <f>('TE BE'!$AA$10+'TE BF'!$AA$10+'TE CVA'!$AA$10)*1</f>
        <v>375.69180268700768</v>
      </c>
      <c r="AB418" s="6">
        <f>$K$418*$V$418</f>
        <v>872958.76</v>
      </c>
      <c r="AC418" s="6">
        <f>$M$418*$W$418</f>
        <v>108555.32355000002</v>
      </c>
      <c r="AD418" s="6">
        <f>$O$418*$X$418</f>
        <v>553857.10193</v>
      </c>
      <c r="AE418" s="6">
        <f ca="1">$K$418*$Y$418</f>
        <v>1035688.4407663128</v>
      </c>
      <c r="AF418" s="6">
        <f ca="1">$M$418*$Z$418</f>
        <v>112500.80112525504</v>
      </c>
      <c r="AG418" s="6">
        <f>$O$418*$AA$418</f>
        <v>482928.89515418449</v>
      </c>
    </row>
    <row r="419" spans="1:33" ht="11.25" customHeight="1" x14ac:dyDescent="0.25">
      <c r="A419" s="4" t="s">
        <v>27</v>
      </c>
      <c r="B419" s="4" t="s">
        <v>33</v>
      </c>
      <c r="C419" s="4" t="s">
        <v>41</v>
      </c>
      <c r="D419" s="4" t="s">
        <v>42</v>
      </c>
      <c r="E419" s="4" t="s">
        <v>25</v>
      </c>
      <c r="F419" s="4" t="s">
        <v>25</v>
      </c>
      <c r="G419" s="4" t="s">
        <v>25</v>
      </c>
      <c r="H419" s="4" t="s">
        <v>35</v>
      </c>
      <c r="I419" s="5">
        <v>43983</v>
      </c>
      <c r="J419" s="6">
        <v>574</v>
      </c>
      <c r="K419" s="6">
        <v>574</v>
      </c>
      <c r="L419" s="6">
        <v>15.385999999999999</v>
      </c>
      <c r="M419" s="6">
        <v>15.385999999999999</v>
      </c>
      <c r="N419" s="6">
        <v>15.385999999999999</v>
      </c>
      <c r="O419" s="6">
        <v>15.385999999999999</v>
      </c>
      <c r="P419" s="6">
        <v>0</v>
      </c>
      <c r="Q419" s="4" t="s">
        <v>26</v>
      </c>
      <c r="R419" s="4">
        <v>0</v>
      </c>
      <c r="S419" s="6">
        <v>21</v>
      </c>
      <c r="T419" s="6">
        <v>23</v>
      </c>
      <c r="U419" s="6">
        <v>81</v>
      </c>
      <c r="V419" s="6">
        <f>IF(ISERROR(VLOOKUP($S$419,'TAR FIN'!$A$1:$O$120,15,0)),0,VLOOKUP($S$419,'TAR FIN'!$A$1:$O$120,15,0))</f>
        <v>22.94</v>
      </c>
      <c r="W419" s="6">
        <f>IF(ISERROR(VLOOKUP($T$419,'TAR FIN'!$A$1:$O$120,15,0)),0,VLOOKUP($T$419,'TAR FIN'!$A$1:$O$120,15,0))</f>
        <v>84.45</v>
      </c>
      <c r="X419" s="6">
        <f>IF(ISERROR(VLOOKUP($U$419,'TAR FIN'!$A$1:$O$120,15,0)),0,VLOOKUP($U$419,'TAR FIN'!$A$1:$O$120,15,0))</f>
        <v>430.87</v>
      </c>
      <c r="Y419" s="6">
        <f ca="1">('TUSD BE'!$AM$27+'TUSD BF'!$AM$27+'TUSD CVA'!$AM$27)*1</f>
        <v>27.216283196676113</v>
      </c>
      <c r="Z419" s="6">
        <f ca="1">('TUSD BE'!$AM$29+'TUSD BF'!$AM$29+'TUSD CVA'!$AM$29)*1</f>
        <v>87.519361965254689</v>
      </c>
      <c r="AA419" s="6">
        <f>('TE BE'!$AA$10+'TE BF'!$AA$10+'TE CVA'!$AA$10)*1</f>
        <v>375.69180268700768</v>
      </c>
      <c r="AB419" s="6">
        <f>$K$419*$V$419</f>
        <v>13167.560000000001</v>
      </c>
      <c r="AC419" s="6">
        <f>$M$419*$W$419</f>
        <v>1299.3477</v>
      </c>
      <c r="AD419" s="6">
        <f>$O$419*$X$419</f>
        <v>6629.36582</v>
      </c>
      <c r="AE419" s="6">
        <f ca="1">$K$419*$Y$419</f>
        <v>15622.146554892088</v>
      </c>
      <c r="AF419" s="6">
        <f ca="1">$M$419*$Z$419</f>
        <v>1346.5729031974086</v>
      </c>
      <c r="AG419" s="6">
        <f>$O$419*$AA$419</f>
        <v>5780.3940761423</v>
      </c>
    </row>
    <row r="420" spans="1:33" ht="11.25" customHeight="1" x14ac:dyDescent="0.25">
      <c r="A420" s="4" t="s">
        <v>28</v>
      </c>
      <c r="B420" s="4" t="s">
        <v>33</v>
      </c>
      <c r="C420" s="4" t="s">
        <v>41</v>
      </c>
      <c r="D420" s="4" t="s">
        <v>42</v>
      </c>
      <c r="E420" s="4" t="s">
        <v>25</v>
      </c>
      <c r="F420" s="4" t="s">
        <v>25</v>
      </c>
      <c r="G420" s="4" t="s">
        <v>25</v>
      </c>
      <c r="H420" s="4" t="s">
        <v>35</v>
      </c>
      <c r="I420" s="5">
        <v>43983</v>
      </c>
      <c r="J420" s="6">
        <v>550</v>
      </c>
      <c r="K420" s="6">
        <v>550</v>
      </c>
      <c r="L420" s="6">
        <v>11.984</v>
      </c>
      <c r="M420" s="6">
        <v>11.984</v>
      </c>
      <c r="N420" s="6">
        <v>11.984</v>
      </c>
      <c r="O420" s="6">
        <v>11.984</v>
      </c>
      <c r="P420" s="6">
        <v>0</v>
      </c>
      <c r="Q420" s="4" t="s">
        <v>26</v>
      </c>
      <c r="R420" s="4">
        <v>0</v>
      </c>
      <c r="S420" s="6">
        <v>21</v>
      </c>
      <c r="T420" s="6">
        <v>23</v>
      </c>
      <c r="U420" s="6">
        <v>81</v>
      </c>
      <c r="V420" s="6">
        <f>IF(ISERROR(VLOOKUP($S$420,'TAR FIN'!$A$1:$O$120,15,0)),0,VLOOKUP($S$420,'TAR FIN'!$A$1:$O$120,15,0))</f>
        <v>22.94</v>
      </c>
      <c r="W420" s="6">
        <f>IF(ISERROR(VLOOKUP($T$420,'TAR FIN'!$A$1:$O$120,15,0)),0,VLOOKUP($T$420,'TAR FIN'!$A$1:$O$120,15,0))</f>
        <v>84.45</v>
      </c>
      <c r="X420" s="6">
        <f>IF(ISERROR(VLOOKUP($U$420,'TAR FIN'!$A$1:$O$120,15,0)),0,VLOOKUP($U$420,'TAR FIN'!$A$1:$O$120,15,0))</f>
        <v>430.87</v>
      </c>
      <c r="Y420" s="6">
        <f ca="1">('TUSD BE'!$AM$27+'TUSD BF'!$AM$27+'TUSD CVA'!$AM$27)*1</f>
        <v>27.216283196676113</v>
      </c>
      <c r="Z420" s="6">
        <f ca="1">('TUSD BE'!$AM$29+'TUSD BF'!$AM$29+'TUSD CVA'!$AM$29)*1</f>
        <v>87.519361965254689</v>
      </c>
      <c r="AA420" s="6">
        <f>('TE BE'!$AA$10+'TE BF'!$AA$10+'TE CVA'!$AA$10)*1</f>
        <v>375.69180268700768</v>
      </c>
      <c r="AB420" s="6">
        <f>$K$420*$V$420</f>
        <v>12617</v>
      </c>
      <c r="AC420" s="6">
        <f>$M$420*$W$420</f>
        <v>1012.0488</v>
      </c>
      <c r="AD420" s="6">
        <f>$O$420*$X$420</f>
        <v>5163.5460800000001</v>
      </c>
      <c r="AE420" s="6">
        <f ca="1">$K$420*$Y$420</f>
        <v>14968.955758171862</v>
      </c>
      <c r="AF420" s="6">
        <f ca="1">$M$420*$Z$420</f>
        <v>1048.8320337916123</v>
      </c>
      <c r="AG420" s="6">
        <f>$O$420*$AA$420</f>
        <v>4502.2905634011004</v>
      </c>
    </row>
    <row r="421" spans="1:33" ht="11.25" customHeight="1" x14ac:dyDescent="0.25">
      <c r="A421" s="4" t="s">
        <v>21</v>
      </c>
      <c r="B421" s="4" t="s">
        <v>33</v>
      </c>
      <c r="C421" s="4" t="s">
        <v>41</v>
      </c>
      <c r="D421" s="4" t="s">
        <v>42</v>
      </c>
      <c r="E421" s="4" t="s">
        <v>25</v>
      </c>
      <c r="F421" s="4" t="s">
        <v>25</v>
      </c>
      <c r="G421" s="4" t="s">
        <v>25</v>
      </c>
      <c r="H421" s="4" t="s">
        <v>35</v>
      </c>
      <c r="I421" s="5">
        <v>44013</v>
      </c>
      <c r="J421" s="6">
        <v>39322</v>
      </c>
      <c r="K421" s="6">
        <v>39322</v>
      </c>
      <c r="L421" s="6">
        <v>1273.614</v>
      </c>
      <c r="M421" s="6">
        <v>1273.614</v>
      </c>
      <c r="N421" s="6">
        <v>1273.614</v>
      </c>
      <c r="O421" s="6">
        <v>1273.614</v>
      </c>
      <c r="P421" s="6">
        <v>0</v>
      </c>
      <c r="Q421" s="4" t="s">
        <v>26</v>
      </c>
      <c r="R421" s="4">
        <v>0</v>
      </c>
      <c r="S421" s="6">
        <v>21</v>
      </c>
      <c r="T421" s="6">
        <v>23</v>
      </c>
      <c r="U421" s="6">
        <v>81</v>
      </c>
      <c r="V421" s="6">
        <f>IF(ISERROR(VLOOKUP($S$421,'TAR FIN'!$A$1:$O$120,15,0)),0,VLOOKUP($S$421,'TAR FIN'!$A$1:$O$120,15,0))</f>
        <v>22.94</v>
      </c>
      <c r="W421" s="6">
        <f>IF(ISERROR(VLOOKUP($T$421,'TAR FIN'!$A$1:$O$120,15,0)),0,VLOOKUP($T$421,'TAR FIN'!$A$1:$O$120,15,0))</f>
        <v>84.45</v>
      </c>
      <c r="X421" s="6">
        <f>IF(ISERROR(VLOOKUP($U$421,'TAR FIN'!$A$1:$O$120,15,0)),0,VLOOKUP($U$421,'TAR FIN'!$A$1:$O$120,15,0))</f>
        <v>430.87</v>
      </c>
      <c r="Y421" s="6">
        <f ca="1">('TUSD BE'!$AM$27+'TUSD BF'!$AM$27+'TUSD CVA'!$AM$27)*1</f>
        <v>27.216283196676113</v>
      </c>
      <c r="Z421" s="6">
        <f ca="1">('TUSD BE'!$AM$29+'TUSD BF'!$AM$29+'TUSD CVA'!$AM$29)*1</f>
        <v>87.519361965254689</v>
      </c>
      <c r="AA421" s="6">
        <f>('TE BE'!$AA$10+'TE BF'!$AA$10+'TE CVA'!$AA$10)*1</f>
        <v>375.69180268700768</v>
      </c>
      <c r="AB421" s="6">
        <f>$K$421*$V$421</f>
        <v>902046.68</v>
      </c>
      <c r="AC421" s="6">
        <f>$M$421*$W$421</f>
        <v>107556.7023</v>
      </c>
      <c r="AD421" s="6">
        <f>$O$421*$X$421</f>
        <v>548762.06417999999</v>
      </c>
      <c r="AE421" s="6">
        <f ca="1">$K$421*$Y$421</f>
        <v>1070198.6878596982</v>
      </c>
      <c r="AF421" s="6">
        <f ca="1">$M$421*$Z$421</f>
        <v>111465.88467001589</v>
      </c>
      <c r="AG421" s="6">
        <f>$O$421*$AA$421</f>
        <v>478486.33958741062</v>
      </c>
    </row>
    <row r="422" spans="1:33" ht="11.25" customHeight="1" x14ac:dyDescent="0.25">
      <c r="A422" s="4" t="s">
        <v>28</v>
      </c>
      <c r="B422" s="4" t="s">
        <v>33</v>
      </c>
      <c r="C422" s="4" t="s">
        <v>41</v>
      </c>
      <c r="D422" s="4" t="s">
        <v>42</v>
      </c>
      <c r="E422" s="4" t="s">
        <v>25</v>
      </c>
      <c r="F422" s="4" t="s">
        <v>25</v>
      </c>
      <c r="G422" s="4" t="s">
        <v>25</v>
      </c>
      <c r="H422" s="4" t="s">
        <v>35</v>
      </c>
      <c r="I422" s="5">
        <v>44013</v>
      </c>
      <c r="J422" s="6">
        <v>550</v>
      </c>
      <c r="K422" s="6">
        <v>550</v>
      </c>
      <c r="L422" s="6">
        <v>12.045999999999999</v>
      </c>
      <c r="M422" s="6">
        <v>12.045999999999999</v>
      </c>
      <c r="N422" s="6">
        <v>12.045999999999999</v>
      </c>
      <c r="O422" s="6">
        <v>12.045999999999999</v>
      </c>
      <c r="P422" s="6">
        <v>0</v>
      </c>
      <c r="Q422" s="4" t="s">
        <v>26</v>
      </c>
      <c r="R422" s="4">
        <v>0</v>
      </c>
      <c r="S422" s="6">
        <v>21</v>
      </c>
      <c r="T422" s="6">
        <v>23</v>
      </c>
      <c r="U422" s="6">
        <v>81</v>
      </c>
      <c r="V422" s="6">
        <f>IF(ISERROR(VLOOKUP($S$422,'TAR FIN'!$A$1:$O$120,15,0)),0,VLOOKUP($S$422,'TAR FIN'!$A$1:$O$120,15,0))</f>
        <v>22.94</v>
      </c>
      <c r="W422" s="6">
        <f>IF(ISERROR(VLOOKUP($T$422,'TAR FIN'!$A$1:$O$120,15,0)),0,VLOOKUP($T$422,'TAR FIN'!$A$1:$O$120,15,0))</f>
        <v>84.45</v>
      </c>
      <c r="X422" s="6">
        <f>IF(ISERROR(VLOOKUP($U$422,'TAR FIN'!$A$1:$O$120,15,0)),0,VLOOKUP($U$422,'TAR FIN'!$A$1:$O$120,15,0))</f>
        <v>430.87</v>
      </c>
      <c r="Y422" s="6">
        <f ca="1">('TUSD BE'!$AM$27+'TUSD BF'!$AM$27+'TUSD CVA'!$AM$27)*1</f>
        <v>27.216283196676113</v>
      </c>
      <c r="Z422" s="6">
        <f ca="1">('TUSD BE'!$AM$29+'TUSD BF'!$AM$29+'TUSD CVA'!$AM$29)*1</f>
        <v>87.519361965254689</v>
      </c>
      <c r="AA422" s="6">
        <f>('TE BE'!$AA$10+'TE BF'!$AA$10+'TE CVA'!$AA$10)*1</f>
        <v>375.69180268700768</v>
      </c>
      <c r="AB422" s="6">
        <f>$K$422*$V$422</f>
        <v>12617</v>
      </c>
      <c r="AC422" s="6">
        <f>$M$422*$W$422</f>
        <v>1017.2846999999999</v>
      </c>
      <c r="AD422" s="6">
        <f>$O$422*$X$422</f>
        <v>5190.2600199999997</v>
      </c>
      <c r="AE422" s="6">
        <f ca="1">$K$422*$Y$422</f>
        <v>14968.955758171862</v>
      </c>
      <c r="AF422" s="6">
        <f ca="1">$M$422*$Z$422</f>
        <v>1054.2582342334579</v>
      </c>
      <c r="AG422" s="6">
        <f>$O$422*$AA$422</f>
        <v>4525.5834551676944</v>
      </c>
    </row>
    <row r="423" spans="1:33" ht="11.25" customHeight="1" x14ac:dyDescent="0.25">
      <c r="A423" s="4" t="s">
        <v>21</v>
      </c>
      <c r="B423" s="4" t="s">
        <v>33</v>
      </c>
      <c r="C423" s="4" t="s">
        <v>41</v>
      </c>
      <c r="D423" s="4" t="s">
        <v>42</v>
      </c>
      <c r="E423" s="4" t="s">
        <v>25</v>
      </c>
      <c r="F423" s="4" t="s">
        <v>25</v>
      </c>
      <c r="G423" s="4" t="s">
        <v>25</v>
      </c>
      <c r="H423" s="4" t="s">
        <v>35</v>
      </c>
      <c r="I423" s="5">
        <v>44044</v>
      </c>
      <c r="J423" s="6">
        <v>39404</v>
      </c>
      <c r="K423" s="6">
        <v>39404</v>
      </c>
      <c r="L423" s="6">
        <v>1343.49</v>
      </c>
      <c r="M423" s="6">
        <v>1343.49</v>
      </c>
      <c r="N423" s="6">
        <v>1343.49</v>
      </c>
      <c r="O423" s="6">
        <v>1343.49</v>
      </c>
      <c r="P423" s="6">
        <v>0</v>
      </c>
      <c r="Q423" s="4" t="s">
        <v>26</v>
      </c>
      <c r="R423" s="4">
        <v>0</v>
      </c>
      <c r="S423" s="6">
        <v>21</v>
      </c>
      <c r="T423" s="6">
        <v>23</v>
      </c>
      <c r="U423" s="6">
        <v>81</v>
      </c>
      <c r="V423" s="6">
        <f>IF(ISERROR(VLOOKUP($S$423,'TAR FIN'!$A$1:$O$120,15,0)),0,VLOOKUP($S$423,'TAR FIN'!$A$1:$O$120,15,0))</f>
        <v>22.94</v>
      </c>
      <c r="W423" s="6">
        <f>IF(ISERROR(VLOOKUP($T$423,'TAR FIN'!$A$1:$O$120,15,0)),0,VLOOKUP($T$423,'TAR FIN'!$A$1:$O$120,15,0))</f>
        <v>84.45</v>
      </c>
      <c r="X423" s="6">
        <f>IF(ISERROR(VLOOKUP($U$423,'TAR FIN'!$A$1:$O$120,15,0)),0,VLOOKUP($U$423,'TAR FIN'!$A$1:$O$120,15,0))</f>
        <v>430.87</v>
      </c>
      <c r="Y423" s="6">
        <f ca="1">('TUSD BE'!$AM$27+'TUSD BF'!$AM$27+'TUSD CVA'!$AM$27)*1</f>
        <v>27.216283196676113</v>
      </c>
      <c r="Z423" s="6">
        <f ca="1">('TUSD BE'!$AM$29+'TUSD BF'!$AM$29+'TUSD CVA'!$AM$29)*1</f>
        <v>87.519361965254689</v>
      </c>
      <c r="AA423" s="6">
        <f>('TE BE'!$AA$10+'TE BF'!$AA$10+'TE CVA'!$AA$10)*1</f>
        <v>375.69180268700768</v>
      </c>
      <c r="AB423" s="6">
        <f>$K$423*$V$423</f>
        <v>903927.76</v>
      </c>
      <c r="AC423" s="6">
        <f>$M$423*$W$423</f>
        <v>113457.73050000001</v>
      </c>
      <c r="AD423" s="6">
        <f>$O$423*$X$423</f>
        <v>578869.53630000004</v>
      </c>
      <c r="AE423" s="6">
        <f ca="1">$K$423*$Y$423</f>
        <v>1072430.4230818255</v>
      </c>
      <c r="AF423" s="6">
        <f ca="1">$M$423*$Z$423</f>
        <v>117581.38760670002</v>
      </c>
      <c r="AG423" s="6">
        <f>$O$423*$AA$423</f>
        <v>504738.17999196798</v>
      </c>
    </row>
    <row r="424" spans="1:33" ht="11.25" customHeight="1" x14ac:dyDescent="0.25">
      <c r="A424" s="4" t="s">
        <v>28</v>
      </c>
      <c r="B424" s="4" t="s">
        <v>33</v>
      </c>
      <c r="C424" s="4" t="s">
        <v>41</v>
      </c>
      <c r="D424" s="4" t="s">
        <v>42</v>
      </c>
      <c r="E424" s="4" t="s">
        <v>25</v>
      </c>
      <c r="F424" s="4" t="s">
        <v>25</v>
      </c>
      <c r="G424" s="4" t="s">
        <v>25</v>
      </c>
      <c r="H424" s="4" t="s">
        <v>35</v>
      </c>
      <c r="I424" s="5">
        <v>44044</v>
      </c>
      <c r="J424" s="6">
        <v>550</v>
      </c>
      <c r="K424" s="6">
        <v>550</v>
      </c>
      <c r="L424" s="6">
        <v>16.231000000000002</v>
      </c>
      <c r="M424" s="6">
        <v>16.231000000000002</v>
      </c>
      <c r="N424" s="6">
        <v>16.231000000000002</v>
      </c>
      <c r="O424" s="6">
        <v>16.231000000000002</v>
      </c>
      <c r="P424" s="6">
        <v>0</v>
      </c>
      <c r="Q424" s="4" t="s">
        <v>26</v>
      </c>
      <c r="R424" s="4">
        <v>0</v>
      </c>
      <c r="S424" s="6">
        <v>21</v>
      </c>
      <c r="T424" s="6">
        <v>23</v>
      </c>
      <c r="U424" s="6">
        <v>81</v>
      </c>
      <c r="V424" s="6">
        <f>IF(ISERROR(VLOOKUP($S$424,'TAR FIN'!$A$1:$O$120,15,0)),0,VLOOKUP($S$424,'TAR FIN'!$A$1:$O$120,15,0))</f>
        <v>22.94</v>
      </c>
      <c r="W424" s="6">
        <f>IF(ISERROR(VLOOKUP($T$424,'TAR FIN'!$A$1:$O$120,15,0)),0,VLOOKUP($T$424,'TAR FIN'!$A$1:$O$120,15,0))</f>
        <v>84.45</v>
      </c>
      <c r="X424" s="6">
        <f>IF(ISERROR(VLOOKUP($U$424,'TAR FIN'!$A$1:$O$120,15,0)),0,VLOOKUP($U$424,'TAR FIN'!$A$1:$O$120,15,0))</f>
        <v>430.87</v>
      </c>
      <c r="Y424" s="6">
        <f ca="1">('TUSD BE'!$AM$27+'TUSD BF'!$AM$27+'TUSD CVA'!$AM$27)*1</f>
        <v>27.216283196676113</v>
      </c>
      <c r="Z424" s="6">
        <f ca="1">('TUSD BE'!$AM$29+'TUSD BF'!$AM$29+'TUSD CVA'!$AM$29)*1</f>
        <v>87.519361965254689</v>
      </c>
      <c r="AA424" s="6">
        <f>('TE BE'!$AA$10+'TE BF'!$AA$10+'TE CVA'!$AA$10)*1</f>
        <v>375.69180268700768</v>
      </c>
      <c r="AB424" s="6">
        <f>$K$424*$V$424</f>
        <v>12617</v>
      </c>
      <c r="AC424" s="6">
        <f>$M$424*$W$424</f>
        <v>1370.7079500000002</v>
      </c>
      <c r="AD424" s="6">
        <f>$O$424*$X$424</f>
        <v>6993.4509700000008</v>
      </c>
      <c r="AE424" s="6">
        <f ca="1">$K$424*$Y$424</f>
        <v>14968.955758171862</v>
      </c>
      <c r="AF424" s="6">
        <f ca="1">$M$424*$Z$424</f>
        <v>1420.5267640580489</v>
      </c>
      <c r="AG424" s="6">
        <f>$O$424*$AA$424</f>
        <v>6097.8536494128221</v>
      </c>
    </row>
    <row r="425" spans="1:33" ht="11.25" customHeight="1" x14ac:dyDescent="0.25">
      <c r="A425" s="4" t="s">
        <v>59</v>
      </c>
      <c r="B425" s="4" t="s">
        <v>33</v>
      </c>
      <c r="C425" s="4" t="s">
        <v>41</v>
      </c>
      <c r="D425" s="4" t="s">
        <v>42</v>
      </c>
      <c r="E425" s="4" t="s">
        <v>25</v>
      </c>
      <c r="F425" s="4" t="s">
        <v>25</v>
      </c>
      <c r="G425" s="4" t="s">
        <v>25</v>
      </c>
      <c r="H425" s="4" t="s">
        <v>35</v>
      </c>
      <c r="I425" s="5">
        <v>44075</v>
      </c>
      <c r="J425" s="6">
        <v>39404</v>
      </c>
      <c r="K425" s="6">
        <v>39404</v>
      </c>
      <c r="L425" s="6">
        <v>1343.49</v>
      </c>
      <c r="M425" s="6">
        <v>1343.49</v>
      </c>
      <c r="N425" s="6">
        <v>1343.49</v>
      </c>
      <c r="O425" s="6">
        <v>1343.49</v>
      </c>
      <c r="P425" s="6">
        <v>0</v>
      </c>
      <c r="Q425" s="4" t="s">
        <v>26</v>
      </c>
      <c r="R425" s="4">
        <v>0</v>
      </c>
      <c r="S425" s="6">
        <v>21</v>
      </c>
      <c r="T425" s="6">
        <v>23</v>
      </c>
      <c r="U425" s="6">
        <v>81</v>
      </c>
      <c r="V425" s="6">
        <f>IF(ISERROR(VLOOKUP($S$425,'TAR FIN'!$A$1:$O$120,15,0)),0,VLOOKUP($S$425,'TAR FIN'!$A$1:$O$120,15,0))</f>
        <v>22.94</v>
      </c>
      <c r="W425" s="6">
        <f>IF(ISERROR(VLOOKUP($T$425,'TAR FIN'!$A$1:$O$120,15,0)),0,VLOOKUP($T$425,'TAR FIN'!$A$1:$O$120,15,0))</f>
        <v>84.45</v>
      </c>
      <c r="X425" s="6">
        <f>IF(ISERROR(VLOOKUP($U$425,'TAR FIN'!$A$1:$O$120,15,0)),0,VLOOKUP($U$425,'TAR FIN'!$A$1:$O$120,15,0))</f>
        <v>430.87</v>
      </c>
      <c r="Y425" s="6">
        <f ca="1">('TUSD BE'!$AM$27+'TUSD BF'!$AM$27+'TUSD CVA'!$AM$27)*1</f>
        <v>27.216283196676113</v>
      </c>
      <c r="Z425" s="6">
        <f ca="1">('TUSD BE'!$AM$29+'TUSD BF'!$AM$29+'TUSD CVA'!$AM$29)*1</f>
        <v>87.519361965254689</v>
      </c>
      <c r="AA425" s="6">
        <f>('TE BE'!$AA$10+'TE BF'!$AA$10+'TE CVA'!$AA$10)*1</f>
        <v>375.69180268700768</v>
      </c>
      <c r="AB425" s="6">
        <f>$K$425*$V$425</f>
        <v>903927.76</v>
      </c>
      <c r="AC425" s="6">
        <f>$M$425*$W$425</f>
        <v>113457.73050000001</v>
      </c>
      <c r="AD425" s="6">
        <f>$O$425*$X$425</f>
        <v>578869.53630000004</v>
      </c>
      <c r="AE425" s="6">
        <f ca="1">$K$425*$Y$425</f>
        <v>1072430.4230818255</v>
      </c>
      <c r="AF425" s="6">
        <f ca="1">$M$425*$Z$425</f>
        <v>117581.38760670002</v>
      </c>
      <c r="AG425" s="6">
        <f>$O$425*$AA$425</f>
        <v>504738.17999196798</v>
      </c>
    </row>
    <row r="426" spans="1:33" ht="11.25" customHeight="1" x14ac:dyDescent="0.25">
      <c r="A426" s="4" t="s">
        <v>59</v>
      </c>
      <c r="B426" s="4" t="s">
        <v>33</v>
      </c>
      <c r="C426" s="4" t="s">
        <v>41</v>
      </c>
      <c r="D426" s="4" t="s">
        <v>42</v>
      </c>
      <c r="E426" s="4" t="s">
        <v>25</v>
      </c>
      <c r="F426" s="4" t="s">
        <v>25</v>
      </c>
      <c r="G426" s="4" t="s">
        <v>25</v>
      </c>
      <c r="H426" s="4" t="s">
        <v>35</v>
      </c>
      <c r="I426" s="5">
        <v>44075</v>
      </c>
      <c r="J426" s="6">
        <v>550</v>
      </c>
      <c r="K426" s="6">
        <v>550</v>
      </c>
      <c r="L426" s="6">
        <v>16.231000000000002</v>
      </c>
      <c r="M426" s="6">
        <v>16.231000000000002</v>
      </c>
      <c r="N426" s="6">
        <v>16.231000000000002</v>
      </c>
      <c r="O426" s="6">
        <v>16.231000000000002</v>
      </c>
      <c r="P426" s="6">
        <v>0</v>
      </c>
      <c r="Q426" s="4" t="s">
        <v>26</v>
      </c>
      <c r="R426" s="4">
        <v>0</v>
      </c>
      <c r="S426" s="6">
        <v>21</v>
      </c>
      <c r="T426" s="6">
        <v>23</v>
      </c>
      <c r="U426" s="6">
        <v>81</v>
      </c>
      <c r="V426" s="6">
        <f>IF(ISERROR(VLOOKUP($S$426,'TAR FIN'!$A$1:$O$120,15,0)),0,VLOOKUP($S$426,'TAR FIN'!$A$1:$O$120,15,0))</f>
        <v>22.94</v>
      </c>
      <c r="W426" s="6">
        <f>IF(ISERROR(VLOOKUP($T$426,'TAR FIN'!$A$1:$O$120,15,0)),0,VLOOKUP($T$426,'TAR FIN'!$A$1:$O$120,15,0))</f>
        <v>84.45</v>
      </c>
      <c r="X426" s="6">
        <f>IF(ISERROR(VLOOKUP($U$426,'TAR FIN'!$A$1:$O$120,15,0)),0,VLOOKUP($U$426,'TAR FIN'!$A$1:$O$120,15,0))</f>
        <v>430.87</v>
      </c>
      <c r="Y426" s="6">
        <f ca="1">('TUSD BE'!$AM$27+'TUSD BF'!$AM$27+'TUSD CVA'!$AM$27)*1</f>
        <v>27.216283196676113</v>
      </c>
      <c r="Z426" s="6">
        <f ca="1">('TUSD BE'!$AM$29+'TUSD BF'!$AM$29+'TUSD CVA'!$AM$29)*1</f>
        <v>87.519361965254689</v>
      </c>
      <c r="AA426" s="6">
        <f>('TE BE'!$AA$10+'TE BF'!$AA$10+'TE CVA'!$AA$10)*1</f>
        <v>375.69180268700768</v>
      </c>
      <c r="AB426" s="6">
        <f>$K$426*$V$426</f>
        <v>12617</v>
      </c>
      <c r="AC426" s="6">
        <f>$M$426*$W$426</f>
        <v>1370.7079500000002</v>
      </c>
      <c r="AD426" s="6">
        <f>$O$426*$X$426</f>
        <v>6993.4509700000008</v>
      </c>
      <c r="AE426" s="6">
        <f ca="1">$K$426*$Y$426</f>
        <v>14968.955758171862</v>
      </c>
      <c r="AF426" s="6">
        <f ca="1">$M$426*$Z$426</f>
        <v>1420.5267640580489</v>
      </c>
      <c r="AG426" s="6">
        <f>$O$426*$AA$426</f>
        <v>6097.8536494128221</v>
      </c>
    </row>
    <row r="427" spans="1:33" ht="11.25" customHeight="1" x14ac:dyDescent="0.25">
      <c r="A427" s="4" t="s">
        <v>21</v>
      </c>
      <c r="B427" s="4" t="s">
        <v>33</v>
      </c>
      <c r="C427" s="4" t="s">
        <v>41</v>
      </c>
      <c r="D427" s="4" t="s">
        <v>40</v>
      </c>
      <c r="E427" s="4" t="s">
        <v>25</v>
      </c>
      <c r="F427" s="4" t="s">
        <v>63</v>
      </c>
      <c r="G427" s="4" t="s">
        <v>25</v>
      </c>
      <c r="H427" s="4" t="s">
        <v>36</v>
      </c>
      <c r="I427" s="5">
        <v>43739</v>
      </c>
      <c r="J427" s="6">
        <v>44514</v>
      </c>
      <c r="K427" s="6">
        <v>32208.162123059999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4" t="s">
        <v>60</v>
      </c>
      <c r="R427" s="4">
        <v>0</v>
      </c>
      <c r="S427" s="6">
        <v>22</v>
      </c>
      <c r="T427" s="6">
        <v>0</v>
      </c>
      <c r="U427" s="6">
        <v>0</v>
      </c>
      <c r="V427" s="6">
        <f>IF(ISERROR(VLOOKUP($S$427,'TAR FIN'!$A$1:$O$120,15,0)),0,VLOOKUP($S$427,'TAR FIN'!$A$1:$O$120,15,0))</f>
        <v>8.81</v>
      </c>
      <c r="W427" s="6">
        <f>IF(ISERROR(VLOOKUP($T$427,'TAR FIN'!$A$1:$O$120,15,0)),0,VLOOKUP($T$427,'TAR FIN'!$A$1:$O$120,15,0))</f>
        <v>0</v>
      </c>
      <c r="X427" s="6">
        <f>IF(ISERROR(VLOOKUP($U$427,'TAR FIN'!$A$1:$O$120,15,0)),0,VLOOKUP($U$427,'TAR FIN'!$A$1:$O$120,15,0))</f>
        <v>0</v>
      </c>
      <c r="Y427" s="6">
        <f ca="1">('TUSD BE'!$AM$28+'TUSD BF'!$AM$28+'TUSD CVA'!$AM$28)*1</f>
        <v>11.452356648653195</v>
      </c>
      <c r="Z427" s="6">
        <f ca="1">('TUSD BE'!$AM$29+'TUSD BF'!$AM$29+'TUSD CVA'!$AM$29)*1</f>
        <v>87.519361965254689</v>
      </c>
      <c r="AA427" s="6"/>
      <c r="AB427" s="6">
        <f>$K$427*$V$427</f>
        <v>283753.9083041586</v>
      </c>
      <c r="AC427" s="6">
        <f>$M$427*$W$427</f>
        <v>0</v>
      </c>
      <c r="AD427" s="6">
        <f>$O$427*$X$427</f>
        <v>0</v>
      </c>
      <c r="AE427" s="6">
        <f ca="1">$K$427*$Y$427</f>
        <v>368859.35963092622</v>
      </c>
      <c r="AF427" s="6">
        <f ca="1">$M$427*$Z$427</f>
        <v>0</v>
      </c>
      <c r="AG427" s="6">
        <f>$O$427*$AA$427</f>
        <v>0</v>
      </c>
    </row>
    <row r="428" spans="1:33" ht="11.25" customHeight="1" x14ac:dyDescent="0.25">
      <c r="A428" s="4" t="s">
        <v>21</v>
      </c>
      <c r="B428" s="4" t="s">
        <v>33</v>
      </c>
      <c r="C428" s="4" t="s">
        <v>41</v>
      </c>
      <c r="D428" s="4" t="s">
        <v>40</v>
      </c>
      <c r="E428" s="4" t="s">
        <v>25</v>
      </c>
      <c r="F428" s="4" t="s">
        <v>63</v>
      </c>
      <c r="G428" s="4" t="s">
        <v>25</v>
      </c>
      <c r="H428" s="4" t="s">
        <v>36</v>
      </c>
      <c r="I428" s="5">
        <v>43770</v>
      </c>
      <c r="J428" s="6">
        <v>45464</v>
      </c>
      <c r="K428" s="6">
        <v>32887.834701599997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4" t="s">
        <v>60</v>
      </c>
      <c r="R428" s="4">
        <v>0</v>
      </c>
      <c r="S428" s="6">
        <v>22</v>
      </c>
      <c r="T428" s="6">
        <v>0</v>
      </c>
      <c r="U428" s="6">
        <v>0</v>
      </c>
      <c r="V428" s="6">
        <f>IF(ISERROR(VLOOKUP($S$428,'TAR FIN'!$A$1:$O$120,15,0)),0,VLOOKUP($S$428,'TAR FIN'!$A$1:$O$120,15,0))</f>
        <v>8.81</v>
      </c>
      <c r="W428" s="6">
        <f>IF(ISERROR(VLOOKUP($T$428,'TAR FIN'!$A$1:$O$120,15,0)),0,VLOOKUP($T$428,'TAR FIN'!$A$1:$O$120,15,0))</f>
        <v>0</v>
      </c>
      <c r="X428" s="6">
        <f>IF(ISERROR(VLOOKUP($U$428,'TAR FIN'!$A$1:$O$120,15,0)),0,VLOOKUP($U$428,'TAR FIN'!$A$1:$O$120,15,0))</f>
        <v>0</v>
      </c>
      <c r="Y428" s="6">
        <f ca="1">('TUSD BE'!$AM$28+'TUSD BF'!$AM$28+'TUSD CVA'!$AM$28)*1</f>
        <v>11.452356648653195</v>
      </c>
      <c r="Z428" s="6">
        <f ca="1">('TUSD BE'!$AM$29+'TUSD BF'!$AM$29+'TUSD CVA'!$AM$29)*1</f>
        <v>87.519361965254689</v>
      </c>
      <c r="AA428" s="6"/>
      <c r="AB428" s="6">
        <f>$K$428*$V$428</f>
        <v>289741.82372109598</v>
      </c>
      <c r="AC428" s="6">
        <f>$M$428*$W$428</f>
        <v>0</v>
      </c>
      <c r="AD428" s="6">
        <f>$O$428*$X$428</f>
        <v>0</v>
      </c>
      <c r="AE428" s="6">
        <f ca="1">$K$428*$Y$428</f>
        <v>376643.21240467601</v>
      </c>
      <c r="AF428" s="6">
        <f ca="1">$M$428*$Z$428</f>
        <v>0</v>
      </c>
      <c r="AG428" s="6">
        <f>$O$428*$AA$428</f>
        <v>0</v>
      </c>
    </row>
    <row r="429" spans="1:33" ht="11.25" customHeight="1" x14ac:dyDescent="0.25">
      <c r="A429" s="4" t="s">
        <v>21</v>
      </c>
      <c r="B429" s="4" t="s">
        <v>33</v>
      </c>
      <c r="C429" s="4" t="s">
        <v>41</v>
      </c>
      <c r="D429" s="4" t="s">
        <v>40</v>
      </c>
      <c r="E429" s="4" t="s">
        <v>25</v>
      </c>
      <c r="F429" s="4" t="s">
        <v>63</v>
      </c>
      <c r="G429" s="4" t="s">
        <v>25</v>
      </c>
      <c r="H429" s="4" t="s">
        <v>36</v>
      </c>
      <c r="I429" s="5">
        <v>43800</v>
      </c>
      <c r="J429" s="6">
        <v>45464</v>
      </c>
      <c r="K429" s="6">
        <v>32994.665554159998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4" t="s">
        <v>60</v>
      </c>
      <c r="R429" s="4">
        <v>0</v>
      </c>
      <c r="S429" s="6">
        <v>22</v>
      </c>
      <c r="T429" s="6">
        <v>0</v>
      </c>
      <c r="U429" s="6">
        <v>0</v>
      </c>
      <c r="V429" s="6">
        <f>IF(ISERROR(VLOOKUP($S$429,'TAR FIN'!$A$1:$O$120,15,0)),0,VLOOKUP($S$429,'TAR FIN'!$A$1:$O$120,15,0))</f>
        <v>8.81</v>
      </c>
      <c r="W429" s="6">
        <f>IF(ISERROR(VLOOKUP($T$429,'TAR FIN'!$A$1:$O$120,15,0)),0,VLOOKUP($T$429,'TAR FIN'!$A$1:$O$120,15,0))</f>
        <v>0</v>
      </c>
      <c r="X429" s="6">
        <f>IF(ISERROR(VLOOKUP($U$429,'TAR FIN'!$A$1:$O$120,15,0)),0,VLOOKUP($U$429,'TAR FIN'!$A$1:$O$120,15,0))</f>
        <v>0</v>
      </c>
      <c r="Y429" s="6">
        <f ca="1">('TUSD BE'!$AM$28+'TUSD BF'!$AM$28+'TUSD CVA'!$AM$28)*1</f>
        <v>11.452356648653195</v>
      </c>
      <c r="Z429" s="6">
        <f ca="1">('TUSD BE'!$AM$29+'TUSD BF'!$AM$29+'TUSD CVA'!$AM$29)*1</f>
        <v>87.519361965254689</v>
      </c>
      <c r="AA429" s="6"/>
      <c r="AB429" s="6">
        <f>$K$429*$V$429</f>
        <v>290683.0035321496</v>
      </c>
      <c r="AC429" s="6">
        <f>$M$429*$W$429</f>
        <v>0</v>
      </c>
      <c r="AD429" s="6">
        <f>$O$429*$X$429</f>
        <v>0</v>
      </c>
      <c r="AE429" s="6">
        <f ca="1">$K$429*$Y$429</f>
        <v>377866.67742927279</v>
      </c>
      <c r="AF429" s="6">
        <f ca="1">$M$429*$Z$429</f>
        <v>0</v>
      </c>
      <c r="AG429" s="6">
        <f>$O$429*$AA$429</f>
        <v>0</v>
      </c>
    </row>
    <row r="430" spans="1:33" ht="11.25" customHeight="1" x14ac:dyDescent="0.25">
      <c r="A430" s="4" t="s">
        <v>21</v>
      </c>
      <c r="B430" s="4" t="s">
        <v>33</v>
      </c>
      <c r="C430" s="4" t="s">
        <v>41</v>
      </c>
      <c r="D430" s="4" t="s">
        <v>40</v>
      </c>
      <c r="E430" s="4" t="s">
        <v>25</v>
      </c>
      <c r="F430" s="4" t="s">
        <v>63</v>
      </c>
      <c r="G430" s="4" t="s">
        <v>25</v>
      </c>
      <c r="H430" s="4" t="s">
        <v>36</v>
      </c>
      <c r="I430" s="5">
        <v>43831</v>
      </c>
      <c r="J430" s="6">
        <v>46480</v>
      </c>
      <c r="K430" s="6">
        <v>33682.745263999997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4" t="s">
        <v>60</v>
      </c>
      <c r="R430" s="4">
        <v>0</v>
      </c>
      <c r="S430" s="6">
        <v>22</v>
      </c>
      <c r="T430" s="6">
        <v>0</v>
      </c>
      <c r="U430" s="6">
        <v>0</v>
      </c>
      <c r="V430" s="6">
        <f>IF(ISERROR(VLOOKUP($S$430,'TAR FIN'!$A$1:$O$120,15,0)),0,VLOOKUP($S$430,'TAR FIN'!$A$1:$O$120,15,0))</f>
        <v>8.81</v>
      </c>
      <c r="W430" s="6">
        <f>IF(ISERROR(VLOOKUP($T$430,'TAR FIN'!$A$1:$O$120,15,0)),0,VLOOKUP($T$430,'TAR FIN'!$A$1:$O$120,15,0))</f>
        <v>0</v>
      </c>
      <c r="X430" s="6">
        <f>IF(ISERROR(VLOOKUP($U$430,'TAR FIN'!$A$1:$O$120,15,0)),0,VLOOKUP($U$430,'TAR FIN'!$A$1:$O$120,15,0))</f>
        <v>0</v>
      </c>
      <c r="Y430" s="6">
        <f ca="1">('TUSD BE'!$AM$28+'TUSD BF'!$AM$28+'TUSD CVA'!$AM$28)*1</f>
        <v>11.452356648653195</v>
      </c>
      <c r="Z430" s="6">
        <f ca="1">('TUSD BE'!$AM$29+'TUSD BF'!$AM$29+'TUSD CVA'!$AM$29)*1</f>
        <v>87.519361965254689</v>
      </c>
      <c r="AA430" s="6"/>
      <c r="AB430" s="6">
        <f>$K$430*$V$430</f>
        <v>296744.98577584</v>
      </c>
      <c r="AC430" s="6">
        <f>$M$430*$W$430</f>
        <v>0</v>
      </c>
      <c r="AD430" s="6">
        <f>$O$430*$X$430</f>
        <v>0</v>
      </c>
      <c r="AE430" s="6">
        <f ca="1">$K$430*$Y$430</f>
        <v>385746.8116690623</v>
      </c>
      <c r="AF430" s="6">
        <f ca="1">$M$430*$Z$430</f>
        <v>0</v>
      </c>
      <c r="AG430" s="6">
        <f>$O$430*$AA$430</f>
        <v>0</v>
      </c>
    </row>
    <row r="431" spans="1:33" ht="11.25" customHeight="1" x14ac:dyDescent="0.25">
      <c r="A431" s="4" t="s">
        <v>21</v>
      </c>
      <c r="B431" s="4" t="s">
        <v>33</v>
      </c>
      <c r="C431" s="4" t="s">
        <v>41</v>
      </c>
      <c r="D431" s="4" t="s">
        <v>40</v>
      </c>
      <c r="E431" s="4" t="s">
        <v>25</v>
      </c>
      <c r="F431" s="4" t="s">
        <v>63</v>
      </c>
      <c r="G431" s="4" t="s">
        <v>25</v>
      </c>
      <c r="H431" s="4" t="s">
        <v>36</v>
      </c>
      <c r="I431" s="5">
        <v>43862</v>
      </c>
      <c r="J431" s="6">
        <v>46780</v>
      </c>
      <c r="K431" s="6">
        <v>33733.502877799998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4" t="s">
        <v>60</v>
      </c>
      <c r="R431" s="4">
        <v>0</v>
      </c>
      <c r="S431" s="6">
        <v>22</v>
      </c>
      <c r="T431" s="6">
        <v>0</v>
      </c>
      <c r="U431" s="6">
        <v>0</v>
      </c>
      <c r="V431" s="6">
        <f>IF(ISERROR(VLOOKUP($S$431,'TAR FIN'!$A$1:$O$120,15,0)),0,VLOOKUP($S$431,'TAR FIN'!$A$1:$O$120,15,0))</f>
        <v>8.81</v>
      </c>
      <c r="W431" s="6">
        <f>IF(ISERROR(VLOOKUP($T$431,'TAR FIN'!$A$1:$O$120,15,0)),0,VLOOKUP($T$431,'TAR FIN'!$A$1:$O$120,15,0))</f>
        <v>0</v>
      </c>
      <c r="X431" s="6">
        <f>IF(ISERROR(VLOOKUP($U$431,'TAR FIN'!$A$1:$O$120,15,0)),0,VLOOKUP($U$431,'TAR FIN'!$A$1:$O$120,15,0))</f>
        <v>0</v>
      </c>
      <c r="Y431" s="6">
        <f ca="1">('TUSD BE'!$AM$28+'TUSD BF'!$AM$28+'TUSD CVA'!$AM$28)*1</f>
        <v>11.452356648653195</v>
      </c>
      <c r="Z431" s="6">
        <f ca="1">('TUSD BE'!$AM$29+'TUSD BF'!$AM$29+'TUSD CVA'!$AM$29)*1</f>
        <v>87.519361965254689</v>
      </c>
      <c r="AA431" s="6"/>
      <c r="AB431" s="6">
        <f>$K$431*$V$431</f>
        <v>297192.16035341797</v>
      </c>
      <c r="AC431" s="6">
        <f>$M$431*$W$431</f>
        <v>0</v>
      </c>
      <c r="AD431" s="6">
        <f>$O$431*$X$431</f>
        <v>0</v>
      </c>
      <c r="AE431" s="6">
        <f ca="1">$K$431*$Y$431</f>
        <v>386328.10596493451</v>
      </c>
      <c r="AF431" s="6">
        <f ca="1">$M$431*$Z$431</f>
        <v>0</v>
      </c>
      <c r="AG431" s="6">
        <f>$O$431*$AA$431</f>
        <v>0</v>
      </c>
    </row>
    <row r="432" spans="1:33" ht="11.25" customHeight="1" x14ac:dyDescent="0.25">
      <c r="A432" s="4" t="s">
        <v>21</v>
      </c>
      <c r="B432" s="4" t="s">
        <v>33</v>
      </c>
      <c r="C432" s="4" t="s">
        <v>41</v>
      </c>
      <c r="D432" s="4" t="s">
        <v>40</v>
      </c>
      <c r="E432" s="4" t="s">
        <v>25</v>
      </c>
      <c r="F432" s="4" t="s">
        <v>63</v>
      </c>
      <c r="G432" s="4" t="s">
        <v>25</v>
      </c>
      <c r="H432" s="4" t="s">
        <v>36</v>
      </c>
      <c r="I432" s="5">
        <v>43891</v>
      </c>
      <c r="J432" s="6">
        <v>46293</v>
      </c>
      <c r="K432" s="6">
        <v>35032.826318489999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4" t="s">
        <v>60</v>
      </c>
      <c r="R432" s="4">
        <v>0</v>
      </c>
      <c r="S432" s="6">
        <v>22</v>
      </c>
      <c r="T432" s="6">
        <v>0</v>
      </c>
      <c r="U432" s="6">
        <v>0</v>
      </c>
      <c r="V432" s="6">
        <f>IF(ISERROR(VLOOKUP($S$432,'TAR FIN'!$A$1:$O$120,15,0)),0,VLOOKUP($S$432,'TAR FIN'!$A$1:$O$120,15,0))</f>
        <v>8.81</v>
      </c>
      <c r="W432" s="6">
        <f>IF(ISERROR(VLOOKUP($T$432,'TAR FIN'!$A$1:$O$120,15,0)),0,VLOOKUP($T$432,'TAR FIN'!$A$1:$O$120,15,0))</f>
        <v>0</v>
      </c>
      <c r="X432" s="6">
        <f>IF(ISERROR(VLOOKUP($U$432,'TAR FIN'!$A$1:$O$120,15,0)),0,VLOOKUP($U$432,'TAR FIN'!$A$1:$O$120,15,0))</f>
        <v>0</v>
      </c>
      <c r="Y432" s="6">
        <f ca="1">('TUSD BE'!$AM$28+'TUSD BF'!$AM$28+'TUSD CVA'!$AM$28)*1</f>
        <v>11.452356648653195</v>
      </c>
      <c r="Z432" s="6">
        <f ca="1">('TUSD BE'!$AM$29+'TUSD BF'!$AM$29+'TUSD CVA'!$AM$29)*1</f>
        <v>87.519361965254689</v>
      </c>
      <c r="AA432" s="6"/>
      <c r="AB432" s="6">
        <f>$K$432*$V$432</f>
        <v>308639.1998658969</v>
      </c>
      <c r="AC432" s="6">
        <f>$M$432*$W$432</f>
        <v>0</v>
      </c>
      <c r="AD432" s="6">
        <f>$O$432*$X$432</f>
        <v>0</v>
      </c>
      <c r="AE432" s="6">
        <f ca="1">$K$432*$Y$432</f>
        <v>401208.4214096716</v>
      </c>
      <c r="AF432" s="6">
        <f ca="1">$M$432*$Z$432</f>
        <v>0</v>
      </c>
      <c r="AG432" s="6">
        <f>$O$432*$AA$432</f>
        <v>0</v>
      </c>
    </row>
    <row r="433" spans="1:33" ht="11.25" customHeight="1" x14ac:dyDescent="0.25">
      <c r="A433" s="4" t="s">
        <v>21</v>
      </c>
      <c r="B433" s="4" t="s">
        <v>33</v>
      </c>
      <c r="C433" s="4" t="s">
        <v>41</v>
      </c>
      <c r="D433" s="4" t="s">
        <v>40</v>
      </c>
      <c r="E433" s="4" t="s">
        <v>25</v>
      </c>
      <c r="F433" s="4" t="s">
        <v>63</v>
      </c>
      <c r="G433" s="4" t="s">
        <v>25</v>
      </c>
      <c r="H433" s="4" t="s">
        <v>36</v>
      </c>
      <c r="I433" s="5">
        <v>43922</v>
      </c>
      <c r="J433" s="6">
        <v>46409</v>
      </c>
      <c r="K433" s="6">
        <v>34877.248983719997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4" t="s">
        <v>60</v>
      </c>
      <c r="R433" s="4">
        <v>0</v>
      </c>
      <c r="S433" s="6">
        <v>22</v>
      </c>
      <c r="T433" s="6">
        <v>0</v>
      </c>
      <c r="U433" s="6">
        <v>0</v>
      </c>
      <c r="V433" s="6">
        <f>IF(ISERROR(VLOOKUP($S$433,'TAR FIN'!$A$1:$O$120,15,0)),0,VLOOKUP($S$433,'TAR FIN'!$A$1:$O$120,15,0))</f>
        <v>8.81</v>
      </c>
      <c r="W433" s="6">
        <f>IF(ISERROR(VLOOKUP($T$433,'TAR FIN'!$A$1:$O$120,15,0)),0,VLOOKUP($T$433,'TAR FIN'!$A$1:$O$120,15,0))</f>
        <v>0</v>
      </c>
      <c r="X433" s="6">
        <f>IF(ISERROR(VLOOKUP($U$433,'TAR FIN'!$A$1:$O$120,15,0)),0,VLOOKUP($U$433,'TAR FIN'!$A$1:$O$120,15,0))</f>
        <v>0</v>
      </c>
      <c r="Y433" s="6">
        <f ca="1">('TUSD BE'!$AM$28+'TUSD BF'!$AM$28+'TUSD CVA'!$AM$28)*1</f>
        <v>11.452356648653195</v>
      </c>
      <c r="Z433" s="6">
        <f ca="1">('TUSD BE'!$AM$29+'TUSD BF'!$AM$29+'TUSD CVA'!$AM$29)*1</f>
        <v>87.519361965254689</v>
      </c>
      <c r="AA433" s="6"/>
      <c r="AB433" s="6">
        <f>$K$433*$V$433</f>
        <v>307268.56354657322</v>
      </c>
      <c r="AC433" s="6">
        <f>$M$433*$W$433</f>
        <v>0</v>
      </c>
      <c r="AD433" s="6">
        <f>$O$433*$X$433</f>
        <v>0</v>
      </c>
      <c r="AE433" s="6">
        <f ca="1">$K$433*$Y$433</f>
        <v>399426.69428543863</v>
      </c>
      <c r="AF433" s="6">
        <f ca="1">$M$433*$Z$433</f>
        <v>0</v>
      </c>
      <c r="AG433" s="6">
        <f>$O$433*$AA$433</f>
        <v>0</v>
      </c>
    </row>
    <row r="434" spans="1:33" ht="11.25" customHeight="1" x14ac:dyDescent="0.25">
      <c r="A434" s="4" t="s">
        <v>21</v>
      </c>
      <c r="B434" s="4" t="s">
        <v>33</v>
      </c>
      <c r="C434" s="4" t="s">
        <v>41</v>
      </c>
      <c r="D434" s="4" t="s">
        <v>40</v>
      </c>
      <c r="E434" s="4" t="s">
        <v>25</v>
      </c>
      <c r="F434" s="4" t="s">
        <v>63</v>
      </c>
      <c r="G434" s="4" t="s">
        <v>25</v>
      </c>
      <c r="H434" s="4" t="s">
        <v>36</v>
      </c>
      <c r="I434" s="5">
        <v>43952</v>
      </c>
      <c r="J434" s="6">
        <v>41910</v>
      </c>
      <c r="K434" s="6">
        <v>31494.346587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4" t="s">
        <v>60</v>
      </c>
      <c r="R434" s="4">
        <v>0</v>
      </c>
      <c r="S434" s="6">
        <v>22</v>
      </c>
      <c r="T434" s="6">
        <v>0</v>
      </c>
      <c r="U434" s="6">
        <v>0</v>
      </c>
      <c r="V434" s="6">
        <f>IF(ISERROR(VLOOKUP($S$434,'TAR FIN'!$A$1:$O$120,15,0)),0,VLOOKUP($S$434,'TAR FIN'!$A$1:$O$120,15,0))</f>
        <v>8.81</v>
      </c>
      <c r="W434" s="6">
        <f>IF(ISERROR(VLOOKUP($T$434,'TAR FIN'!$A$1:$O$120,15,0)),0,VLOOKUP($T$434,'TAR FIN'!$A$1:$O$120,15,0))</f>
        <v>0</v>
      </c>
      <c r="X434" s="6">
        <f>IF(ISERROR(VLOOKUP($U$434,'TAR FIN'!$A$1:$O$120,15,0)),0,VLOOKUP($U$434,'TAR FIN'!$A$1:$O$120,15,0))</f>
        <v>0</v>
      </c>
      <c r="Y434" s="6">
        <f ca="1">('TUSD BE'!$AM$28+'TUSD BF'!$AM$28+'TUSD CVA'!$AM$28)*1</f>
        <v>11.452356648653195</v>
      </c>
      <c r="Z434" s="6">
        <f ca="1">('TUSD BE'!$AM$29+'TUSD BF'!$AM$29+'TUSD CVA'!$AM$29)*1</f>
        <v>87.519361965254689</v>
      </c>
      <c r="AA434" s="6"/>
      <c r="AB434" s="6">
        <f>$K$434*$V$434</f>
        <v>277465.19343147002</v>
      </c>
      <c r="AC434" s="6">
        <f>$M$434*$W$434</f>
        <v>0</v>
      </c>
      <c r="AD434" s="6">
        <f>$O$434*$X$434</f>
        <v>0</v>
      </c>
      <c r="AE434" s="6">
        <f ca="1">$K$434*$Y$434</f>
        <v>360684.48953061749</v>
      </c>
      <c r="AF434" s="6">
        <f ca="1">$M$434*$Z$434</f>
        <v>0</v>
      </c>
      <c r="AG434" s="6">
        <f>$O$434*$AA$434</f>
        <v>0</v>
      </c>
    </row>
    <row r="435" spans="1:33" ht="11.25" customHeight="1" x14ac:dyDescent="0.25">
      <c r="A435" s="4" t="s">
        <v>21</v>
      </c>
      <c r="B435" s="4" t="s">
        <v>33</v>
      </c>
      <c r="C435" s="4" t="s">
        <v>41</v>
      </c>
      <c r="D435" s="4" t="s">
        <v>40</v>
      </c>
      <c r="E435" s="4" t="s">
        <v>25</v>
      </c>
      <c r="F435" s="4" t="s">
        <v>63</v>
      </c>
      <c r="G435" s="4" t="s">
        <v>25</v>
      </c>
      <c r="H435" s="4" t="s">
        <v>36</v>
      </c>
      <c r="I435" s="5">
        <v>43983</v>
      </c>
      <c r="J435" s="6">
        <v>41910</v>
      </c>
      <c r="K435" s="6">
        <v>30967.857241199999</v>
      </c>
      <c r="L435" s="6">
        <v>0</v>
      </c>
      <c r="M435" s="6">
        <v>0</v>
      </c>
      <c r="N435" s="6">
        <v>0</v>
      </c>
      <c r="O435" s="6">
        <v>0</v>
      </c>
      <c r="P435" s="6">
        <v>0</v>
      </c>
      <c r="Q435" s="4" t="s">
        <v>60</v>
      </c>
      <c r="R435" s="4">
        <v>0</v>
      </c>
      <c r="S435" s="6">
        <v>22</v>
      </c>
      <c r="T435" s="6">
        <v>0</v>
      </c>
      <c r="U435" s="6">
        <v>0</v>
      </c>
      <c r="V435" s="6">
        <f>IF(ISERROR(VLOOKUP($S$435,'TAR FIN'!$A$1:$O$120,15,0)),0,VLOOKUP($S$435,'TAR FIN'!$A$1:$O$120,15,0))</f>
        <v>8.81</v>
      </c>
      <c r="W435" s="6">
        <f>IF(ISERROR(VLOOKUP($T$435,'TAR FIN'!$A$1:$O$120,15,0)),0,VLOOKUP($T$435,'TAR FIN'!$A$1:$O$120,15,0))</f>
        <v>0</v>
      </c>
      <c r="X435" s="6">
        <f>IF(ISERROR(VLOOKUP($U$435,'TAR FIN'!$A$1:$O$120,15,0)),0,VLOOKUP($U$435,'TAR FIN'!$A$1:$O$120,15,0))</f>
        <v>0</v>
      </c>
      <c r="Y435" s="6">
        <f ca="1">('TUSD BE'!$AM$28+'TUSD BF'!$AM$28+'TUSD CVA'!$AM$28)*1</f>
        <v>11.452356648653195</v>
      </c>
      <c r="Z435" s="6">
        <f ca="1">('TUSD BE'!$AM$29+'TUSD BF'!$AM$29+'TUSD CVA'!$AM$29)*1</f>
        <v>87.519361965254689</v>
      </c>
      <c r="AA435" s="6"/>
      <c r="AB435" s="6">
        <f>$K$435*$V$435</f>
        <v>272826.82229497202</v>
      </c>
      <c r="AC435" s="6">
        <f>$M$435*$W$435</f>
        <v>0</v>
      </c>
      <c r="AD435" s="6">
        <f>$O$435*$X$435</f>
        <v>0</v>
      </c>
      <c r="AE435" s="6">
        <f ca="1">$K$435*$Y$435</f>
        <v>354654.94577079982</v>
      </c>
      <c r="AF435" s="6">
        <f ca="1">$M$435*$Z$435</f>
        <v>0</v>
      </c>
      <c r="AG435" s="6">
        <f>$O$435*$AA$435</f>
        <v>0</v>
      </c>
    </row>
    <row r="436" spans="1:33" ht="11.25" customHeight="1" x14ac:dyDescent="0.25">
      <c r="A436" s="4" t="s">
        <v>21</v>
      </c>
      <c r="B436" s="4" t="s">
        <v>33</v>
      </c>
      <c r="C436" s="4" t="s">
        <v>41</v>
      </c>
      <c r="D436" s="4" t="s">
        <v>40</v>
      </c>
      <c r="E436" s="4" t="s">
        <v>25</v>
      </c>
      <c r="F436" s="4" t="s">
        <v>63</v>
      </c>
      <c r="G436" s="4" t="s">
        <v>25</v>
      </c>
      <c r="H436" s="4" t="s">
        <v>36</v>
      </c>
      <c r="I436" s="5">
        <v>44013</v>
      </c>
      <c r="J436" s="6">
        <v>44011</v>
      </c>
      <c r="K436" s="6">
        <v>32106.63053147</v>
      </c>
      <c r="L436" s="6">
        <v>0</v>
      </c>
      <c r="M436" s="6">
        <v>0</v>
      </c>
      <c r="N436" s="6">
        <v>0</v>
      </c>
      <c r="O436" s="6">
        <v>0</v>
      </c>
      <c r="P436" s="6">
        <v>0</v>
      </c>
      <c r="Q436" s="4" t="s">
        <v>60</v>
      </c>
      <c r="R436" s="4">
        <v>0</v>
      </c>
      <c r="S436" s="6">
        <v>22</v>
      </c>
      <c r="T436" s="6">
        <v>0</v>
      </c>
      <c r="U436" s="6">
        <v>0</v>
      </c>
      <c r="V436" s="6">
        <f>IF(ISERROR(VLOOKUP($S$436,'TAR FIN'!$A$1:$O$120,15,0)),0,VLOOKUP($S$436,'TAR FIN'!$A$1:$O$120,15,0))</f>
        <v>8.81</v>
      </c>
      <c r="W436" s="6">
        <f>IF(ISERROR(VLOOKUP($T$436,'TAR FIN'!$A$1:$O$120,15,0)),0,VLOOKUP($T$436,'TAR FIN'!$A$1:$O$120,15,0))</f>
        <v>0</v>
      </c>
      <c r="X436" s="6">
        <f>IF(ISERROR(VLOOKUP($U$436,'TAR FIN'!$A$1:$O$120,15,0)),0,VLOOKUP($U$436,'TAR FIN'!$A$1:$O$120,15,0))</f>
        <v>0</v>
      </c>
      <c r="Y436" s="6">
        <f ca="1">('TUSD BE'!$AM$28+'TUSD BF'!$AM$28+'TUSD CVA'!$AM$28)*1</f>
        <v>11.452356648653195</v>
      </c>
      <c r="Z436" s="6">
        <f ca="1">('TUSD BE'!$AM$29+'TUSD BF'!$AM$29+'TUSD CVA'!$AM$29)*1</f>
        <v>87.519361965254689</v>
      </c>
      <c r="AA436" s="6"/>
      <c r="AB436" s="6">
        <f>$K$436*$V$436</f>
        <v>282859.41498225072</v>
      </c>
      <c r="AC436" s="6">
        <f>$M$436*$W$436</f>
        <v>0</v>
      </c>
      <c r="AD436" s="6">
        <f>$O$436*$X$436</f>
        <v>0</v>
      </c>
      <c r="AE436" s="6">
        <f ca="1">$K$436*$Y$436</f>
        <v>367696.5836329321</v>
      </c>
      <c r="AF436" s="6">
        <f ca="1">$M$436*$Z$436</f>
        <v>0</v>
      </c>
      <c r="AG436" s="6">
        <f>$O$436*$AA$436</f>
        <v>0</v>
      </c>
    </row>
    <row r="437" spans="1:33" ht="11.25" customHeight="1" x14ac:dyDescent="0.25">
      <c r="A437" s="4" t="s">
        <v>21</v>
      </c>
      <c r="B437" s="4" t="s">
        <v>33</v>
      </c>
      <c r="C437" s="4" t="s">
        <v>41</v>
      </c>
      <c r="D437" s="4" t="s">
        <v>40</v>
      </c>
      <c r="E437" s="4" t="s">
        <v>25</v>
      </c>
      <c r="F437" s="4" t="s">
        <v>63</v>
      </c>
      <c r="G437" s="4" t="s">
        <v>25</v>
      </c>
      <c r="H437" s="4" t="s">
        <v>36</v>
      </c>
      <c r="I437" s="5">
        <v>44044</v>
      </c>
      <c r="J437" s="6">
        <v>44798</v>
      </c>
      <c r="K437" s="6">
        <v>33598.5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4" t="s">
        <v>60</v>
      </c>
      <c r="R437" s="4">
        <v>0</v>
      </c>
      <c r="S437" s="6">
        <v>22</v>
      </c>
      <c r="T437" s="6">
        <v>0</v>
      </c>
      <c r="U437" s="6">
        <v>0</v>
      </c>
      <c r="V437" s="6">
        <f>IF(ISERROR(VLOOKUP($S$437,'TAR FIN'!$A$1:$O$120,15,0)),0,VLOOKUP($S$437,'TAR FIN'!$A$1:$O$120,15,0))</f>
        <v>8.81</v>
      </c>
      <c r="W437" s="6">
        <f>IF(ISERROR(VLOOKUP($T$437,'TAR FIN'!$A$1:$O$120,15,0)),0,VLOOKUP($T$437,'TAR FIN'!$A$1:$O$120,15,0))</f>
        <v>0</v>
      </c>
      <c r="X437" s="6">
        <f>IF(ISERROR(VLOOKUP($U$437,'TAR FIN'!$A$1:$O$120,15,0)),0,VLOOKUP($U$437,'TAR FIN'!$A$1:$O$120,15,0))</f>
        <v>0</v>
      </c>
      <c r="Y437" s="6">
        <f ca="1">('TUSD BE'!$AM$28+'TUSD BF'!$AM$28+'TUSD CVA'!$AM$28)*1</f>
        <v>11.452356648653195</v>
      </c>
      <c r="Z437" s="6">
        <f ca="1">('TUSD BE'!$AM$29+'TUSD BF'!$AM$29+'TUSD CVA'!$AM$29)*1</f>
        <v>87.519361965254689</v>
      </c>
      <c r="AA437" s="6"/>
      <c r="AB437" s="6">
        <f>$K$437*$V$437</f>
        <v>296002.78500000003</v>
      </c>
      <c r="AC437" s="6">
        <f>$M$437*$W$437</f>
        <v>0</v>
      </c>
      <c r="AD437" s="6">
        <f>$O$437*$X$437</f>
        <v>0</v>
      </c>
      <c r="AE437" s="6">
        <f ca="1">$K$437*$Y$437</f>
        <v>384782.00485977437</v>
      </c>
      <c r="AF437" s="6">
        <f ca="1">$M$437*$Z$437</f>
        <v>0</v>
      </c>
      <c r="AG437" s="6">
        <f>$O$437*$AA$437</f>
        <v>0</v>
      </c>
    </row>
    <row r="438" spans="1:33" ht="11.25" customHeight="1" x14ac:dyDescent="0.25">
      <c r="A438" s="4" t="s">
        <v>59</v>
      </c>
      <c r="B438" s="4" t="s">
        <v>33</v>
      </c>
      <c r="C438" s="4" t="s">
        <v>41</v>
      </c>
      <c r="D438" s="4" t="s">
        <v>40</v>
      </c>
      <c r="E438" s="4" t="s">
        <v>25</v>
      </c>
      <c r="F438" s="4" t="s">
        <v>63</v>
      </c>
      <c r="G438" s="4" t="s">
        <v>25</v>
      </c>
      <c r="H438" s="4" t="s">
        <v>36</v>
      </c>
      <c r="I438" s="5">
        <v>44075</v>
      </c>
      <c r="J438" s="6">
        <v>44798</v>
      </c>
      <c r="K438" s="6">
        <v>33598.5</v>
      </c>
      <c r="L438" s="6">
        <v>0</v>
      </c>
      <c r="M438" s="6">
        <v>0</v>
      </c>
      <c r="N438" s="6">
        <v>0</v>
      </c>
      <c r="O438" s="6">
        <v>0</v>
      </c>
      <c r="P438" s="6">
        <v>0</v>
      </c>
      <c r="Q438" s="4" t="s">
        <v>60</v>
      </c>
      <c r="R438" s="4">
        <v>0</v>
      </c>
      <c r="S438" s="6">
        <v>22</v>
      </c>
      <c r="T438" s="6">
        <v>0</v>
      </c>
      <c r="U438" s="6">
        <v>0</v>
      </c>
      <c r="V438" s="6">
        <f>IF(ISERROR(VLOOKUP($S$438,'TAR FIN'!$A$1:$O$120,15,0)),0,VLOOKUP($S$438,'TAR FIN'!$A$1:$O$120,15,0))</f>
        <v>8.81</v>
      </c>
      <c r="W438" s="6">
        <f>IF(ISERROR(VLOOKUP($T$438,'TAR FIN'!$A$1:$O$120,15,0)),0,VLOOKUP($T$438,'TAR FIN'!$A$1:$O$120,15,0))</f>
        <v>0</v>
      </c>
      <c r="X438" s="6">
        <f>IF(ISERROR(VLOOKUP($U$438,'TAR FIN'!$A$1:$O$120,15,0)),0,VLOOKUP($U$438,'TAR FIN'!$A$1:$O$120,15,0))</f>
        <v>0</v>
      </c>
      <c r="Y438" s="6">
        <f ca="1">('TUSD BE'!$AM$28+'TUSD BF'!$AM$28+'TUSD CVA'!$AM$28)*1</f>
        <v>11.452356648653195</v>
      </c>
      <c r="Z438" s="6">
        <f ca="1">('TUSD BE'!$AM$29+'TUSD BF'!$AM$29+'TUSD CVA'!$AM$29)*1</f>
        <v>87.519361965254689</v>
      </c>
      <c r="AA438" s="6"/>
      <c r="AB438" s="6">
        <f>$K$438*$V$438</f>
        <v>296002.78500000003</v>
      </c>
      <c r="AC438" s="6">
        <f>$M$438*$W$438</f>
        <v>0</v>
      </c>
      <c r="AD438" s="6">
        <f>$O$438*$X$438</f>
        <v>0</v>
      </c>
      <c r="AE438" s="6">
        <f ca="1">$K$438*$Y$438</f>
        <v>384782.00485977437</v>
      </c>
      <c r="AF438" s="6">
        <f ca="1">$M$438*$Z$438</f>
        <v>0</v>
      </c>
      <c r="AG438" s="6">
        <f>$O$438*$AA$438</f>
        <v>0</v>
      </c>
    </row>
    <row r="439" spans="1:33" ht="11.25" customHeight="1" x14ac:dyDescent="0.25">
      <c r="A439" s="4" t="s">
        <v>21</v>
      </c>
      <c r="B439" s="4" t="s">
        <v>33</v>
      </c>
      <c r="C439" s="4" t="s">
        <v>41</v>
      </c>
      <c r="D439" s="4" t="s">
        <v>40</v>
      </c>
      <c r="E439" s="4" t="s">
        <v>25</v>
      </c>
      <c r="F439" s="4" t="s">
        <v>63</v>
      </c>
      <c r="G439" s="4" t="s">
        <v>25</v>
      </c>
      <c r="H439" s="4" t="s">
        <v>25</v>
      </c>
      <c r="I439" s="5">
        <v>43739</v>
      </c>
      <c r="J439" s="6">
        <v>0</v>
      </c>
      <c r="K439" s="6">
        <v>0</v>
      </c>
      <c r="L439" s="6">
        <v>20287.528999999999</v>
      </c>
      <c r="M439" s="6">
        <v>20287.528999999999</v>
      </c>
      <c r="N439" s="6">
        <v>0</v>
      </c>
      <c r="O439" s="6">
        <v>0</v>
      </c>
      <c r="P439" s="6">
        <v>45</v>
      </c>
      <c r="Q439" s="4" t="s">
        <v>60</v>
      </c>
      <c r="R439" s="4">
        <v>0</v>
      </c>
      <c r="S439" s="6">
        <v>0</v>
      </c>
      <c r="T439" s="6">
        <v>23</v>
      </c>
      <c r="U439" s="6">
        <v>0</v>
      </c>
      <c r="V439" s="6">
        <f>IF(ISERROR(VLOOKUP($S$439,'TAR FIN'!$A$1:$O$120,15,0)),0,VLOOKUP($S$439,'TAR FIN'!$A$1:$O$120,15,0))</f>
        <v>0</v>
      </c>
      <c r="W439" s="6">
        <f>IF(ISERROR(VLOOKUP($T$439,'TAR FIN'!$A$1:$O$120,15,0)),0,VLOOKUP($T$439,'TAR FIN'!$A$1:$O$120,15,0))</f>
        <v>84.45</v>
      </c>
      <c r="X439" s="6">
        <f>IF(ISERROR(VLOOKUP($U$439,'TAR FIN'!$A$1:$O$120,15,0)),0,VLOOKUP($U$439,'TAR FIN'!$A$1:$O$120,15,0))</f>
        <v>0</v>
      </c>
      <c r="Y439" s="6"/>
      <c r="Z439" s="6">
        <f ca="1">('TUSD BE'!$AM$29+'TUSD BF'!$AM$29+'TUSD CVA'!$AM$29)*1</f>
        <v>87.519361965254689</v>
      </c>
      <c r="AA439" s="6"/>
      <c r="AB439" s="6">
        <f>$K$439*$V$439</f>
        <v>0</v>
      </c>
      <c r="AC439" s="6">
        <f>$M$439*$W$439</f>
        <v>1713281.8240499999</v>
      </c>
      <c r="AD439" s="6">
        <f>$O$439*$X$439</f>
        <v>0</v>
      </c>
      <c r="AE439" s="6">
        <f>$K$439*$Y$439</f>
        <v>0</v>
      </c>
      <c r="AF439" s="6">
        <f ca="1">$M$439*$Z$439</f>
        <v>1775551.5939316014</v>
      </c>
      <c r="AG439" s="6">
        <f>$O$439*$AA$439</f>
        <v>0</v>
      </c>
    </row>
    <row r="440" spans="1:33" ht="11.25" customHeight="1" x14ac:dyDescent="0.25">
      <c r="A440" s="4" t="s">
        <v>21</v>
      </c>
      <c r="B440" s="4" t="s">
        <v>33</v>
      </c>
      <c r="C440" s="4" t="s">
        <v>41</v>
      </c>
      <c r="D440" s="4" t="s">
        <v>40</v>
      </c>
      <c r="E440" s="4" t="s">
        <v>25</v>
      </c>
      <c r="F440" s="4" t="s">
        <v>63</v>
      </c>
      <c r="G440" s="4" t="s">
        <v>25</v>
      </c>
      <c r="H440" s="4" t="s">
        <v>25</v>
      </c>
      <c r="I440" s="5">
        <v>43770</v>
      </c>
      <c r="J440" s="6">
        <v>0</v>
      </c>
      <c r="K440" s="6">
        <v>0</v>
      </c>
      <c r="L440" s="6">
        <v>19718.810000000001</v>
      </c>
      <c r="M440" s="6">
        <v>19718.810000000001</v>
      </c>
      <c r="N440" s="6">
        <v>0</v>
      </c>
      <c r="O440" s="6">
        <v>0</v>
      </c>
      <c r="P440" s="6">
        <v>48</v>
      </c>
      <c r="Q440" s="4" t="s">
        <v>60</v>
      </c>
      <c r="R440" s="4">
        <v>0</v>
      </c>
      <c r="S440" s="6">
        <v>0</v>
      </c>
      <c r="T440" s="6">
        <v>23</v>
      </c>
      <c r="U440" s="6">
        <v>0</v>
      </c>
      <c r="V440" s="6">
        <f>IF(ISERROR(VLOOKUP($S$440,'TAR FIN'!$A$1:$O$120,15,0)),0,VLOOKUP($S$440,'TAR FIN'!$A$1:$O$120,15,0))</f>
        <v>0</v>
      </c>
      <c r="W440" s="6">
        <f>IF(ISERROR(VLOOKUP($T$440,'TAR FIN'!$A$1:$O$120,15,0)),0,VLOOKUP($T$440,'TAR FIN'!$A$1:$O$120,15,0))</f>
        <v>84.45</v>
      </c>
      <c r="X440" s="6">
        <f>IF(ISERROR(VLOOKUP($U$440,'TAR FIN'!$A$1:$O$120,15,0)),0,VLOOKUP($U$440,'TAR FIN'!$A$1:$O$120,15,0))</f>
        <v>0</v>
      </c>
      <c r="Y440" s="6"/>
      <c r="Z440" s="6">
        <f ca="1">('TUSD BE'!$AM$29+'TUSD BF'!$AM$29+'TUSD CVA'!$AM$29)*1</f>
        <v>87.519361965254689</v>
      </c>
      <c r="AA440" s="6"/>
      <c r="AB440" s="6">
        <f>$K$440*$V$440</f>
        <v>0</v>
      </c>
      <c r="AC440" s="6">
        <f>$M$440*$W$440</f>
        <v>1665253.5045000003</v>
      </c>
      <c r="AD440" s="6">
        <f>$O$440*$X$440</f>
        <v>0</v>
      </c>
      <c r="AE440" s="6">
        <f>$K$440*$Y$440</f>
        <v>0</v>
      </c>
      <c r="AF440" s="6">
        <f ca="1">$M$440*$Z$440</f>
        <v>1725777.669914084</v>
      </c>
      <c r="AG440" s="6">
        <f>$O$440*$AA$440</f>
        <v>0</v>
      </c>
    </row>
    <row r="441" spans="1:33" ht="11.25" customHeight="1" x14ac:dyDescent="0.25">
      <c r="A441" s="4" t="s">
        <v>21</v>
      </c>
      <c r="B441" s="4" t="s">
        <v>33</v>
      </c>
      <c r="C441" s="4" t="s">
        <v>41</v>
      </c>
      <c r="D441" s="4" t="s">
        <v>40</v>
      </c>
      <c r="E441" s="4" t="s">
        <v>25</v>
      </c>
      <c r="F441" s="4" t="s">
        <v>63</v>
      </c>
      <c r="G441" s="4" t="s">
        <v>25</v>
      </c>
      <c r="H441" s="4" t="s">
        <v>25</v>
      </c>
      <c r="I441" s="5">
        <v>43800</v>
      </c>
      <c r="J441" s="6">
        <v>0</v>
      </c>
      <c r="K441" s="6">
        <v>0</v>
      </c>
      <c r="L441" s="6">
        <v>19907.462</v>
      </c>
      <c r="M441" s="6">
        <v>19907.462</v>
      </c>
      <c r="N441" s="6">
        <v>0</v>
      </c>
      <c r="O441" s="6">
        <v>0</v>
      </c>
      <c r="P441" s="6">
        <v>48</v>
      </c>
      <c r="Q441" s="4" t="s">
        <v>60</v>
      </c>
      <c r="R441" s="4">
        <v>0</v>
      </c>
      <c r="S441" s="6">
        <v>0</v>
      </c>
      <c r="T441" s="6">
        <v>23</v>
      </c>
      <c r="U441" s="6">
        <v>0</v>
      </c>
      <c r="V441" s="6">
        <f>IF(ISERROR(VLOOKUP($S$441,'TAR FIN'!$A$1:$O$120,15,0)),0,VLOOKUP($S$441,'TAR FIN'!$A$1:$O$120,15,0))</f>
        <v>0</v>
      </c>
      <c r="W441" s="6">
        <f>IF(ISERROR(VLOOKUP($T$441,'TAR FIN'!$A$1:$O$120,15,0)),0,VLOOKUP($T$441,'TAR FIN'!$A$1:$O$120,15,0))</f>
        <v>84.45</v>
      </c>
      <c r="X441" s="6">
        <f>IF(ISERROR(VLOOKUP($U$441,'TAR FIN'!$A$1:$O$120,15,0)),0,VLOOKUP($U$441,'TAR FIN'!$A$1:$O$120,15,0))</f>
        <v>0</v>
      </c>
      <c r="Y441" s="6"/>
      <c r="Z441" s="6">
        <f ca="1">('TUSD BE'!$AM$29+'TUSD BF'!$AM$29+'TUSD CVA'!$AM$29)*1</f>
        <v>87.519361965254689</v>
      </c>
      <c r="AA441" s="6"/>
      <c r="AB441" s="6">
        <f>$K$441*$V$441</f>
        <v>0</v>
      </c>
      <c r="AC441" s="6">
        <f>$M$441*$W$441</f>
        <v>1681185.1658999999</v>
      </c>
      <c r="AD441" s="6">
        <f>$O$441*$X$441</f>
        <v>0</v>
      </c>
      <c r="AE441" s="6">
        <f>$K$441*$Y$441</f>
        <v>0</v>
      </c>
      <c r="AF441" s="6">
        <f ca="1">$M$441*$Z$441</f>
        <v>1742288.372587553</v>
      </c>
      <c r="AG441" s="6">
        <f>$O$441*$AA$441</f>
        <v>0</v>
      </c>
    </row>
    <row r="442" spans="1:33" ht="11.25" customHeight="1" x14ac:dyDescent="0.25">
      <c r="A442" s="4" t="s">
        <v>21</v>
      </c>
      <c r="B442" s="4" t="s">
        <v>33</v>
      </c>
      <c r="C442" s="4" t="s">
        <v>41</v>
      </c>
      <c r="D442" s="4" t="s">
        <v>40</v>
      </c>
      <c r="E442" s="4" t="s">
        <v>25</v>
      </c>
      <c r="F442" s="4" t="s">
        <v>63</v>
      </c>
      <c r="G442" s="4" t="s">
        <v>25</v>
      </c>
      <c r="H442" s="4" t="s">
        <v>25</v>
      </c>
      <c r="I442" s="5">
        <v>43831</v>
      </c>
      <c r="J442" s="6">
        <v>0</v>
      </c>
      <c r="K442" s="6">
        <v>0</v>
      </c>
      <c r="L442" s="6">
        <v>20952.216</v>
      </c>
      <c r="M442" s="6">
        <v>20952.216</v>
      </c>
      <c r="N442" s="6">
        <v>0</v>
      </c>
      <c r="O442" s="6">
        <v>0</v>
      </c>
      <c r="P442" s="6">
        <v>50</v>
      </c>
      <c r="Q442" s="4" t="s">
        <v>60</v>
      </c>
      <c r="R442" s="4">
        <v>0</v>
      </c>
      <c r="S442" s="6">
        <v>0</v>
      </c>
      <c r="T442" s="6">
        <v>23</v>
      </c>
      <c r="U442" s="6">
        <v>0</v>
      </c>
      <c r="V442" s="6">
        <f>IF(ISERROR(VLOOKUP($S$442,'TAR FIN'!$A$1:$O$120,15,0)),0,VLOOKUP($S$442,'TAR FIN'!$A$1:$O$120,15,0))</f>
        <v>0</v>
      </c>
      <c r="W442" s="6">
        <f>IF(ISERROR(VLOOKUP($T$442,'TAR FIN'!$A$1:$O$120,15,0)),0,VLOOKUP($T$442,'TAR FIN'!$A$1:$O$120,15,0))</f>
        <v>84.45</v>
      </c>
      <c r="X442" s="6">
        <f>IF(ISERROR(VLOOKUP($U$442,'TAR FIN'!$A$1:$O$120,15,0)),0,VLOOKUP($U$442,'TAR FIN'!$A$1:$O$120,15,0))</f>
        <v>0</v>
      </c>
      <c r="Y442" s="6"/>
      <c r="Z442" s="6">
        <f ca="1">('TUSD BE'!$AM$29+'TUSD BF'!$AM$29+'TUSD CVA'!$AM$29)*1</f>
        <v>87.519361965254689</v>
      </c>
      <c r="AA442" s="6"/>
      <c r="AB442" s="6">
        <f>$K$442*$V$442</f>
        <v>0</v>
      </c>
      <c r="AC442" s="6">
        <f>$M$442*$W$442</f>
        <v>1769414.6412000002</v>
      </c>
      <c r="AD442" s="6">
        <f>$O$442*$X$442</f>
        <v>0</v>
      </c>
      <c r="AE442" s="6">
        <f>$K$442*$Y$442</f>
        <v>0</v>
      </c>
      <c r="AF442" s="6">
        <f ca="1">$M$442*$Z$442</f>
        <v>1833724.5760782007</v>
      </c>
      <c r="AG442" s="6">
        <f>$O$442*$AA$442</f>
        <v>0</v>
      </c>
    </row>
    <row r="443" spans="1:33" ht="11.25" customHeight="1" x14ac:dyDescent="0.25">
      <c r="A443" s="4" t="s">
        <v>21</v>
      </c>
      <c r="B443" s="4" t="s">
        <v>33</v>
      </c>
      <c r="C443" s="4" t="s">
        <v>41</v>
      </c>
      <c r="D443" s="4" t="s">
        <v>40</v>
      </c>
      <c r="E443" s="4" t="s">
        <v>25</v>
      </c>
      <c r="F443" s="4" t="s">
        <v>63</v>
      </c>
      <c r="G443" s="4" t="s">
        <v>25</v>
      </c>
      <c r="H443" s="4" t="s">
        <v>25</v>
      </c>
      <c r="I443" s="5">
        <v>43862</v>
      </c>
      <c r="J443" s="6">
        <v>0</v>
      </c>
      <c r="K443" s="6">
        <v>0</v>
      </c>
      <c r="L443" s="6">
        <v>19422.186000000002</v>
      </c>
      <c r="M443" s="6">
        <v>19422.186000000002</v>
      </c>
      <c r="N443" s="6">
        <v>0</v>
      </c>
      <c r="O443" s="6">
        <v>0</v>
      </c>
      <c r="P443" s="6">
        <v>50</v>
      </c>
      <c r="Q443" s="4" t="s">
        <v>60</v>
      </c>
      <c r="R443" s="4">
        <v>0</v>
      </c>
      <c r="S443" s="6">
        <v>0</v>
      </c>
      <c r="T443" s="6">
        <v>23</v>
      </c>
      <c r="U443" s="6">
        <v>0</v>
      </c>
      <c r="V443" s="6">
        <f>IF(ISERROR(VLOOKUP($S$443,'TAR FIN'!$A$1:$O$120,15,0)),0,VLOOKUP($S$443,'TAR FIN'!$A$1:$O$120,15,0))</f>
        <v>0</v>
      </c>
      <c r="W443" s="6">
        <f>IF(ISERROR(VLOOKUP($T$443,'TAR FIN'!$A$1:$O$120,15,0)),0,VLOOKUP($T$443,'TAR FIN'!$A$1:$O$120,15,0))</f>
        <v>84.45</v>
      </c>
      <c r="X443" s="6">
        <f>IF(ISERROR(VLOOKUP($U$443,'TAR FIN'!$A$1:$O$120,15,0)),0,VLOOKUP($U$443,'TAR FIN'!$A$1:$O$120,15,0))</f>
        <v>0</v>
      </c>
      <c r="Y443" s="6"/>
      <c r="Z443" s="6">
        <f ca="1">('TUSD BE'!$AM$29+'TUSD BF'!$AM$29+'TUSD CVA'!$AM$29)*1</f>
        <v>87.519361965254689</v>
      </c>
      <c r="AA443" s="6"/>
      <c r="AB443" s="6">
        <f>$K$443*$V$443</f>
        <v>0</v>
      </c>
      <c r="AC443" s="6">
        <f>$M$443*$W$443</f>
        <v>1640203.6077000003</v>
      </c>
      <c r="AD443" s="6">
        <f>$O$443*$X$443</f>
        <v>0</v>
      </c>
      <c r="AE443" s="6">
        <f>$K$443*$Y$443</f>
        <v>0</v>
      </c>
      <c r="AF443" s="6">
        <f ca="1">$M$443*$Z$443</f>
        <v>1699817.3266905022</v>
      </c>
      <c r="AG443" s="6">
        <f>$O$443*$AA$443</f>
        <v>0</v>
      </c>
    </row>
    <row r="444" spans="1:33" ht="11.25" customHeight="1" x14ac:dyDescent="0.25">
      <c r="A444" s="4" t="s">
        <v>21</v>
      </c>
      <c r="B444" s="4" t="s">
        <v>33</v>
      </c>
      <c r="C444" s="4" t="s">
        <v>41</v>
      </c>
      <c r="D444" s="4" t="s">
        <v>40</v>
      </c>
      <c r="E444" s="4" t="s">
        <v>25</v>
      </c>
      <c r="F444" s="4" t="s">
        <v>63</v>
      </c>
      <c r="G444" s="4" t="s">
        <v>25</v>
      </c>
      <c r="H444" s="4" t="s">
        <v>25</v>
      </c>
      <c r="I444" s="5">
        <v>43891</v>
      </c>
      <c r="J444" s="6">
        <v>0</v>
      </c>
      <c r="K444" s="6">
        <v>0</v>
      </c>
      <c r="L444" s="6">
        <v>19378.527999999998</v>
      </c>
      <c r="M444" s="6">
        <v>19378.527999999998</v>
      </c>
      <c r="N444" s="6">
        <v>0</v>
      </c>
      <c r="O444" s="6">
        <v>0</v>
      </c>
      <c r="P444" s="6">
        <v>50</v>
      </c>
      <c r="Q444" s="4" t="s">
        <v>60</v>
      </c>
      <c r="R444" s="4">
        <v>0</v>
      </c>
      <c r="S444" s="6">
        <v>0</v>
      </c>
      <c r="T444" s="6">
        <v>23</v>
      </c>
      <c r="U444" s="6">
        <v>0</v>
      </c>
      <c r="V444" s="6">
        <f>IF(ISERROR(VLOOKUP($S$444,'TAR FIN'!$A$1:$O$120,15,0)),0,VLOOKUP($S$444,'TAR FIN'!$A$1:$O$120,15,0))</f>
        <v>0</v>
      </c>
      <c r="W444" s="6">
        <f>IF(ISERROR(VLOOKUP($T$444,'TAR FIN'!$A$1:$O$120,15,0)),0,VLOOKUP($T$444,'TAR FIN'!$A$1:$O$120,15,0))</f>
        <v>84.45</v>
      </c>
      <c r="X444" s="6">
        <f>IF(ISERROR(VLOOKUP($U$444,'TAR FIN'!$A$1:$O$120,15,0)),0,VLOOKUP($U$444,'TAR FIN'!$A$1:$O$120,15,0))</f>
        <v>0</v>
      </c>
      <c r="Y444" s="6"/>
      <c r="Z444" s="6">
        <f ca="1">('TUSD BE'!$AM$29+'TUSD BF'!$AM$29+'TUSD CVA'!$AM$29)*1</f>
        <v>87.519361965254689</v>
      </c>
      <c r="AA444" s="6"/>
      <c r="AB444" s="6">
        <f>$K$444*$V$444</f>
        <v>0</v>
      </c>
      <c r="AC444" s="6">
        <f>$M$444*$W$444</f>
        <v>1636516.6895999999</v>
      </c>
      <c r="AD444" s="6">
        <f>$O$444*$X$444</f>
        <v>0</v>
      </c>
      <c r="AE444" s="6">
        <f>$K$444*$Y$444</f>
        <v>0</v>
      </c>
      <c r="AF444" s="6">
        <f ca="1">$M$444*$Z$444</f>
        <v>1695996.4063858229</v>
      </c>
      <c r="AG444" s="6">
        <f>$O$444*$AA$444</f>
        <v>0</v>
      </c>
    </row>
    <row r="445" spans="1:33" ht="11.25" customHeight="1" x14ac:dyDescent="0.25">
      <c r="A445" s="4" t="s">
        <v>21</v>
      </c>
      <c r="B445" s="4" t="s">
        <v>33</v>
      </c>
      <c r="C445" s="4" t="s">
        <v>41</v>
      </c>
      <c r="D445" s="4" t="s">
        <v>40</v>
      </c>
      <c r="E445" s="4" t="s">
        <v>25</v>
      </c>
      <c r="F445" s="4" t="s">
        <v>63</v>
      </c>
      <c r="G445" s="4" t="s">
        <v>25</v>
      </c>
      <c r="H445" s="4" t="s">
        <v>25</v>
      </c>
      <c r="I445" s="5">
        <v>43922</v>
      </c>
      <c r="J445" s="6">
        <v>0</v>
      </c>
      <c r="K445" s="6">
        <v>0</v>
      </c>
      <c r="L445" s="6">
        <v>14852.009</v>
      </c>
      <c r="M445" s="6">
        <v>14852.009</v>
      </c>
      <c r="N445" s="6">
        <v>0</v>
      </c>
      <c r="O445" s="6">
        <v>0</v>
      </c>
      <c r="P445" s="6">
        <v>51</v>
      </c>
      <c r="Q445" s="4" t="s">
        <v>60</v>
      </c>
      <c r="R445" s="4">
        <v>0</v>
      </c>
      <c r="S445" s="6">
        <v>0</v>
      </c>
      <c r="T445" s="6">
        <v>23</v>
      </c>
      <c r="U445" s="6">
        <v>0</v>
      </c>
      <c r="V445" s="6">
        <f>IF(ISERROR(VLOOKUP($S$445,'TAR FIN'!$A$1:$O$120,15,0)),0,VLOOKUP($S$445,'TAR FIN'!$A$1:$O$120,15,0))</f>
        <v>0</v>
      </c>
      <c r="W445" s="6">
        <f>IF(ISERROR(VLOOKUP($T$445,'TAR FIN'!$A$1:$O$120,15,0)),0,VLOOKUP($T$445,'TAR FIN'!$A$1:$O$120,15,0))</f>
        <v>84.45</v>
      </c>
      <c r="X445" s="6">
        <f>IF(ISERROR(VLOOKUP($U$445,'TAR FIN'!$A$1:$O$120,15,0)),0,VLOOKUP($U$445,'TAR FIN'!$A$1:$O$120,15,0))</f>
        <v>0</v>
      </c>
      <c r="Y445" s="6"/>
      <c r="Z445" s="6">
        <f ca="1">('TUSD BE'!$AM$29+'TUSD BF'!$AM$29+'TUSD CVA'!$AM$29)*1</f>
        <v>87.519361965254689</v>
      </c>
      <c r="AA445" s="6"/>
      <c r="AB445" s="6">
        <f>$K$445*$V$445</f>
        <v>0</v>
      </c>
      <c r="AC445" s="6">
        <f>$M$445*$W$445</f>
        <v>1254252.1600500001</v>
      </c>
      <c r="AD445" s="6">
        <f>$O$445*$X$445</f>
        <v>0</v>
      </c>
      <c r="AE445" s="6">
        <f>$K$445*$Y$445</f>
        <v>0</v>
      </c>
      <c r="AF445" s="6">
        <f ca="1">$M$445*$Z$445</f>
        <v>1299838.3515822203</v>
      </c>
      <c r="AG445" s="6">
        <f>$O$445*$AA$445</f>
        <v>0</v>
      </c>
    </row>
    <row r="446" spans="1:33" ht="11.25" customHeight="1" x14ac:dyDescent="0.25">
      <c r="A446" s="4" t="s">
        <v>21</v>
      </c>
      <c r="B446" s="4" t="s">
        <v>33</v>
      </c>
      <c r="C446" s="4" t="s">
        <v>41</v>
      </c>
      <c r="D446" s="4" t="s">
        <v>40</v>
      </c>
      <c r="E446" s="4" t="s">
        <v>25</v>
      </c>
      <c r="F446" s="4" t="s">
        <v>63</v>
      </c>
      <c r="G446" s="4" t="s">
        <v>25</v>
      </c>
      <c r="H446" s="4" t="s">
        <v>25</v>
      </c>
      <c r="I446" s="5">
        <v>43952</v>
      </c>
      <c r="J446" s="6">
        <v>0</v>
      </c>
      <c r="K446" s="6">
        <v>0</v>
      </c>
      <c r="L446" s="6">
        <v>16108.739</v>
      </c>
      <c r="M446" s="6">
        <v>16108.739</v>
      </c>
      <c r="N446" s="6">
        <v>0</v>
      </c>
      <c r="O446" s="6">
        <v>0</v>
      </c>
      <c r="P446" s="6">
        <v>55</v>
      </c>
      <c r="Q446" s="4" t="s">
        <v>60</v>
      </c>
      <c r="R446" s="4">
        <v>0</v>
      </c>
      <c r="S446" s="6">
        <v>0</v>
      </c>
      <c r="T446" s="6">
        <v>23</v>
      </c>
      <c r="U446" s="6">
        <v>0</v>
      </c>
      <c r="V446" s="6">
        <f>IF(ISERROR(VLOOKUP($S$446,'TAR FIN'!$A$1:$O$120,15,0)),0,VLOOKUP($S$446,'TAR FIN'!$A$1:$O$120,15,0))</f>
        <v>0</v>
      </c>
      <c r="W446" s="6">
        <f>IF(ISERROR(VLOOKUP($T$446,'TAR FIN'!$A$1:$O$120,15,0)),0,VLOOKUP($T$446,'TAR FIN'!$A$1:$O$120,15,0))</f>
        <v>84.45</v>
      </c>
      <c r="X446" s="6">
        <f>IF(ISERROR(VLOOKUP($U$446,'TAR FIN'!$A$1:$O$120,15,0)),0,VLOOKUP($U$446,'TAR FIN'!$A$1:$O$120,15,0))</f>
        <v>0</v>
      </c>
      <c r="Y446" s="6"/>
      <c r="Z446" s="6">
        <f ca="1">('TUSD BE'!$AM$29+'TUSD BF'!$AM$29+'TUSD CVA'!$AM$29)*1</f>
        <v>87.519361965254689</v>
      </c>
      <c r="AA446" s="6"/>
      <c r="AB446" s="6">
        <f>$K$446*$V$446</f>
        <v>0</v>
      </c>
      <c r="AC446" s="6">
        <f>$M$446*$W$446</f>
        <v>1360383.0085499999</v>
      </c>
      <c r="AD446" s="6">
        <f>$O$446*$X$446</f>
        <v>0</v>
      </c>
      <c r="AE446" s="6">
        <f>$K$446*$Y$446</f>
        <v>0</v>
      </c>
      <c r="AF446" s="6">
        <f ca="1">$M$446*$Z$446</f>
        <v>1409826.5593448149</v>
      </c>
      <c r="AG446" s="6">
        <f>$O$446*$AA$446</f>
        <v>0</v>
      </c>
    </row>
    <row r="447" spans="1:33" ht="11.25" customHeight="1" x14ac:dyDescent="0.25">
      <c r="A447" s="4" t="s">
        <v>21</v>
      </c>
      <c r="B447" s="4" t="s">
        <v>33</v>
      </c>
      <c r="C447" s="4" t="s">
        <v>41</v>
      </c>
      <c r="D447" s="4" t="s">
        <v>40</v>
      </c>
      <c r="E447" s="4" t="s">
        <v>25</v>
      </c>
      <c r="F447" s="4" t="s">
        <v>63</v>
      </c>
      <c r="G447" s="4" t="s">
        <v>25</v>
      </c>
      <c r="H447" s="4" t="s">
        <v>25</v>
      </c>
      <c r="I447" s="5">
        <v>43983</v>
      </c>
      <c r="J447" s="6">
        <v>0</v>
      </c>
      <c r="K447" s="6">
        <v>0</v>
      </c>
      <c r="L447" s="6">
        <v>16108.739</v>
      </c>
      <c r="M447" s="6">
        <v>16108.739</v>
      </c>
      <c r="N447" s="6">
        <v>0</v>
      </c>
      <c r="O447" s="6">
        <v>0</v>
      </c>
      <c r="P447" s="6">
        <v>55</v>
      </c>
      <c r="Q447" s="4" t="s">
        <v>60</v>
      </c>
      <c r="R447" s="4">
        <v>0</v>
      </c>
      <c r="S447" s="6">
        <v>0</v>
      </c>
      <c r="T447" s="6">
        <v>23</v>
      </c>
      <c r="U447" s="6">
        <v>0</v>
      </c>
      <c r="V447" s="6">
        <f>IF(ISERROR(VLOOKUP($S$447,'TAR FIN'!$A$1:$O$120,15,0)),0,VLOOKUP($S$447,'TAR FIN'!$A$1:$O$120,15,0))</f>
        <v>0</v>
      </c>
      <c r="W447" s="6">
        <f>IF(ISERROR(VLOOKUP($T$447,'TAR FIN'!$A$1:$O$120,15,0)),0,VLOOKUP($T$447,'TAR FIN'!$A$1:$O$120,15,0))</f>
        <v>84.45</v>
      </c>
      <c r="X447" s="6">
        <f>IF(ISERROR(VLOOKUP($U$447,'TAR FIN'!$A$1:$O$120,15,0)),0,VLOOKUP($U$447,'TAR FIN'!$A$1:$O$120,15,0))</f>
        <v>0</v>
      </c>
      <c r="Y447" s="6"/>
      <c r="Z447" s="6">
        <f ca="1">('TUSD BE'!$AM$29+'TUSD BF'!$AM$29+'TUSD CVA'!$AM$29)*1</f>
        <v>87.519361965254689</v>
      </c>
      <c r="AA447" s="6"/>
      <c r="AB447" s="6">
        <f>$K$447*$V$447</f>
        <v>0</v>
      </c>
      <c r="AC447" s="6">
        <f>$M$447*$W$447</f>
        <v>1360383.0085499999</v>
      </c>
      <c r="AD447" s="6">
        <f>$O$447*$X$447</f>
        <v>0</v>
      </c>
      <c r="AE447" s="6">
        <f>$K$447*$Y$447</f>
        <v>0</v>
      </c>
      <c r="AF447" s="6">
        <f ca="1">$M$447*$Z$447</f>
        <v>1409826.5593448149</v>
      </c>
      <c r="AG447" s="6">
        <f>$O$447*$AA$447</f>
        <v>0</v>
      </c>
    </row>
    <row r="448" spans="1:33" ht="11.25" customHeight="1" x14ac:dyDescent="0.25">
      <c r="A448" s="4" t="s">
        <v>21</v>
      </c>
      <c r="B448" s="4" t="s">
        <v>33</v>
      </c>
      <c r="C448" s="4" t="s">
        <v>41</v>
      </c>
      <c r="D448" s="4" t="s">
        <v>40</v>
      </c>
      <c r="E448" s="4" t="s">
        <v>25</v>
      </c>
      <c r="F448" s="4" t="s">
        <v>63</v>
      </c>
      <c r="G448" s="4" t="s">
        <v>25</v>
      </c>
      <c r="H448" s="4" t="s">
        <v>25</v>
      </c>
      <c r="I448" s="5">
        <v>44013</v>
      </c>
      <c r="J448" s="6">
        <v>0</v>
      </c>
      <c r="K448" s="6">
        <v>0</v>
      </c>
      <c r="L448" s="6">
        <v>17346.935000000001</v>
      </c>
      <c r="M448" s="6">
        <v>17346.935000000001</v>
      </c>
      <c r="N448" s="6">
        <v>0</v>
      </c>
      <c r="O448" s="6">
        <v>0</v>
      </c>
      <c r="P448" s="6">
        <v>41</v>
      </c>
      <c r="Q448" s="4" t="s">
        <v>60</v>
      </c>
      <c r="R448" s="4">
        <v>0</v>
      </c>
      <c r="S448" s="6">
        <v>0</v>
      </c>
      <c r="T448" s="6">
        <v>23</v>
      </c>
      <c r="U448" s="6">
        <v>0</v>
      </c>
      <c r="V448" s="6">
        <f>IF(ISERROR(VLOOKUP($S$448,'TAR FIN'!$A$1:$O$120,15,0)),0,VLOOKUP($S$448,'TAR FIN'!$A$1:$O$120,15,0))</f>
        <v>0</v>
      </c>
      <c r="W448" s="6">
        <f>IF(ISERROR(VLOOKUP($T$448,'TAR FIN'!$A$1:$O$120,15,0)),0,VLOOKUP($T$448,'TAR FIN'!$A$1:$O$120,15,0))</f>
        <v>84.45</v>
      </c>
      <c r="X448" s="6">
        <f>IF(ISERROR(VLOOKUP($U$448,'TAR FIN'!$A$1:$O$120,15,0)),0,VLOOKUP($U$448,'TAR FIN'!$A$1:$O$120,15,0))</f>
        <v>0</v>
      </c>
      <c r="Y448" s="6"/>
      <c r="Z448" s="6">
        <f ca="1">('TUSD BE'!$AM$29+'TUSD BF'!$AM$29+'TUSD CVA'!$AM$29)*1</f>
        <v>87.519361965254689</v>
      </c>
      <c r="AA448" s="6"/>
      <c r="AB448" s="6">
        <f>$K$448*$V$448</f>
        <v>0</v>
      </c>
      <c r="AC448" s="6">
        <f>$M$448*$W$448</f>
        <v>1464948.6607500003</v>
      </c>
      <c r="AD448" s="6">
        <f>$O$448*$X$448</f>
        <v>0</v>
      </c>
      <c r="AE448" s="6">
        <f>$K$448*$Y$448</f>
        <v>0</v>
      </c>
      <c r="AF448" s="6">
        <f ca="1">$M$448*$Z$448</f>
        <v>1518192.6832527455</v>
      </c>
      <c r="AG448" s="6">
        <f>$O$448*$AA$448</f>
        <v>0</v>
      </c>
    </row>
    <row r="449" spans="1:33" ht="11.25" customHeight="1" x14ac:dyDescent="0.25">
      <c r="A449" s="4" t="s">
        <v>21</v>
      </c>
      <c r="B449" s="4" t="s">
        <v>33</v>
      </c>
      <c r="C449" s="4" t="s">
        <v>41</v>
      </c>
      <c r="D449" s="4" t="s">
        <v>40</v>
      </c>
      <c r="E449" s="4" t="s">
        <v>25</v>
      </c>
      <c r="F449" s="4" t="s">
        <v>63</v>
      </c>
      <c r="G449" s="4" t="s">
        <v>25</v>
      </c>
      <c r="H449" s="4" t="s">
        <v>25</v>
      </c>
      <c r="I449" s="5">
        <v>44044</v>
      </c>
      <c r="J449" s="6">
        <v>0</v>
      </c>
      <c r="K449" s="6">
        <v>0</v>
      </c>
      <c r="L449" s="6">
        <v>19937.614000000001</v>
      </c>
      <c r="M449" s="6">
        <v>19937.614000000001</v>
      </c>
      <c r="N449" s="6">
        <v>0</v>
      </c>
      <c r="O449" s="6">
        <v>0</v>
      </c>
      <c r="P449" s="6">
        <v>56</v>
      </c>
      <c r="Q449" s="4" t="s">
        <v>60</v>
      </c>
      <c r="R449" s="4">
        <v>0</v>
      </c>
      <c r="S449" s="6">
        <v>0</v>
      </c>
      <c r="T449" s="6">
        <v>23</v>
      </c>
      <c r="U449" s="6">
        <v>0</v>
      </c>
      <c r="V449" s="6">
        <f>IF(ISERROR(VLOOKUP($S$449,'TAR FIN'!$A$1:$O$120,15,0)),0,VLOOKUP($S$449,'TAR FIN'!$A$1:$O$120,15,0))</f>
        <v>0</v>
      </c>
      <c r="W449" s="6">
        <f>IF(ISERROR(VLOOKUP($T$449,'TAR FIN'!$A$1:$O$120,15,0)),0,VLOOKUP($T$449,'TAR FIN'!$A$1:$O$120,15,0))</f>
        <v>84.45</v>
      </c>
      <c r="X449" s="6">
        <f>IF(ISERROR(VLOOKUP($U$449,'TAR FIN'!$A$1:$O$120,15,0)),0,VLOOKUP($U$449,'TAR FIN'!$A$1:$O$120,15,0))</f>
        <v>0</v>
      </c>
      <c r="Y449" s="6"/>
      <c r="Z449" s="6">
        <f ca="1">('TUSD BE'!$AM$29+'TUSD BF'!$AM$29+'TUSD CVA'!$AM$29)*1</f>
        <v>87.519361965254689</v>
      </c>
      <c r="AA449" s="6"/>
      <c r="AB449" s="6">
        <f>$K$449*$V$449</f>
        <v>0</v>
      </c>
      <c r="AC449" s="6">
        <f>$M$449*$W$449</f>
        <v>1683731.5023000003</v>
      </c>
      <c r="AD449" s="6">
        <f>$O$449*$X$449</f>
        <v>0</v>
      </c>
      <c r="AE449" s="6">
        <f>$K$449*$Y$449</f>
        <v>0</v>
      </c>
      <c r="AF449" s="6">
        <f ca="1">$M$449*$Z$449</f>
        <v>1744927.2563895294</v>
      </c>
      <c r="AG449" s="6">
        <f>$O$449*$AA$449</f>
        <v>0</v>
      </c>
    </row>
    <row r="450" spans="1:33" ht="11.25" customHeight="1" x14ac:dyDescent="0.25">
      <c r="A450" s="4" t="s">
        <v>59</v>
      </c>
      <c r="B450" s="4" t="s">
        <v>33</v>
      </c>
      <c r="C450" s="4" t="s">
        <v>41</v>
      </c>
      <c r="D450" s="4" t="s">
        <v>40</v>
      </c>
      <c r="E450" s="4" t="s">
        <v>25</v>
      </c>
      <c r="F450" s="4" t="s">
        <v>63</v>
      </c>
      <c r="G450" s="4" t="s">
        <v>25</v>
      </c>
      <c r="H450" s="4" t="s">
        <v>25</v>
      </c>
      <c r="I450" s="5">
        <v>44075</v>
      </c>
      <c r="J450" s="6">
        <v>0</v>
      </c>
      <c r="K450" s="6">
        <v>0</v>
      </c>
      <c r="L450" s="6">
        <v>19937.614000000001</v>
      </c>
      <c r="M450" s="6">
        <v>19937.614000000001</v>
      </c>
      <c r="N450" s="6">
        <v>0</v>
      </c>
      <c r="O450" s="6">
        <v>0</v>
      </c>
      <c r="P450" s="6">
        <v>56</v>
      </c>
      <c r="Q450" s="4" t="s">
        <v>60</v>
      </c>
      <c r="R450" s="4">
        <v>0</v>
      </c>
      <c r="S450" s="6">
        <v>0</v>
      </c>
      <c r="T450" s="6">
        <v>23</v>
      </c>
      <c r="U450" s="6">
        <v>0</v>
      </c>
      <c r="V450" s="6">
        <f>IF(ISERROR(VLOOKUP($S$450,'TAR FIN'!$A$1:$O$120,15,0)),0,VLOOKUP($S$450,'TAR FIN'!$A$1:$O$120,15,0))</f>
        <v>0</v>
      </c>
      <c r="W450" s="6">
        <f>IF(ISERROR(VLOOKUP($T$450,'TAR FIN'!$A$1:$O$120,15,0)),0,VLOOKUP($T$450,'TAR FIN'!$A$1:$O$120,15,0))</f>
        <v>84.45</v>
      </c>
      <c r="X450" s="6">
        <f>IF(ISERROR(VLOOKUP($U$450,'TAR FIN'!$A$1:$O$120,15,0)),0,VLOOKUP($U$450,'TAR FIN'!$A$1:$O$120,15,0))</f>
        <v>0</v>
      </c>
      <c r="Y450" s="6"/>
      <c r="Z450" s="6">
        <f ca="1">('TUSD BE'!$AM$29+'TUSD BF'!$AM$29+'TUSD CVA'!$AM$29)*1</f>
        <v>87.519361965254689</v>
      </c>
      <c r="AA450" s="6"/>
      <c r="AB450" s="6">
        <f>$K$450*$V$450</f>
        <v>0</v>
      </c>
      <c r="AC450" s="6">
        <f>$M$450*$W$450</f>
        <v>1683731.5023000003</v>
      </c>
      <c r="AD450" s="6">
        <f>$O$450*$X$450</f>
        <v>0</v>
      </c>
      <c r="AE450" s="6">
        <f>$K$450*$Y$450</f>
        <v>0</v>
      </c>
      <c r="AF450" s="6">
        <f ca="1">$M$450*$Z$450</f>
        <v>1744927.2563895294</v>
      </c>
      <c r="AG450" s="6">
        <f>$O$450*$AA$450</f>
        <v>0</v>
      </c>
    </row>
    <row r="451" spans="1:33" ht="11.25" customHeight="1" x14ac:dyDescent="0.25">
      <c r="A451" s="4" t="s">
        <v>21</v>
      </c>
      <c r="B451" s="4" t="s">
        <v>33</v>
      </c>
      <c r="C451" s="4" t="s">
        <v>41</v>
      </c>
      <c r="D451" s="4" t="s">
        <v>40</v>
      </c>
      <c r="E451" s="4" t="s">
        <v>25</v>
      </c>
      <c r="F451" s="4" t="s">
        <v>63</v>
      </c>
      <c r="G451" s="4" t="s">
        <v>25</v>
      </c>
      <c r="H451" s="4" t="s">
        <v>35</v>
      </c>
      <c r="I451" s="5">
        <v>43739</v>
      </c>
      <c r="J451" s="6">
        <v>38961</v>
      </c>
      <c r="K451" s="6">
        <v>28005.293033639999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4" t="s">
        <v>60</v>
      </c>
      <c r="R451" s="4">
        <v>0</v>
      </c>
      <c r="S451" s="6">
        <v>21</v>
      </c>
      <c r="T451" s="6">
        <v>0</v>
      </c>
      <c r="U451" s="6">
        <v>0</v>
      </c>
      <c r="V451" s="6">
        <f>IF(ISERROR(VLOOKUP($S$451,'TAR FIN'!$A$1:$O$120,15,0)),0,VLOOKUP($S$451,'TAR FIN'!$A$1:$O$120,15,0))</f>
        <v>22.94</v>
      </c>
      <c r="W451" s="6">
        <f>IF(ISERROR(VLOOKUP($T$451,'TAR FIN'!$A$1:$O$120,15,0)),0,VLOOKUP($T$451,'TAR FIN'!$A$1:$O$120,15,0))</f>
        <v>0</v>
      </c>
      <c r="X451" s="6">
        <f>IF(ISERROR(VLOOKUP($U$451,'TAR FIN'!$A$1:$O$120,15,0)),0,VLOOKUP($U$451,'TAR FIN'!$A$1:$O$120,15,0))</f>
        <v>0</v>
      </c>
      <c r="Y451" s="6">
        <f ca="1">('TUSD BE'!$AM$27+'TUSD BF'!$AM$27+'TUSD CVA'!$AM$27)*1</f>
        <v>27.216283196676113</v>
      </c>
      <c r="Z451" s="6">
        <f ca="1">('TUSD BE'!$AM$29+'TUSD BF'!$AM$29+'TUSD CVA'!$AM$29)*1</f>
        <v>87.519361965254689</v>
      </c>
      <c r="AA451" s="6"/>
      <c r="AB451" s="6">
        <f>$K$451*$V$451</f>
        <v>642441.4221917016</v>
      </c>
      <c r="AC451" s="6">
        <f>$M$451*$W$451</f>
        <v>0</v>
      </c>
      <c r="AD451" s="6">
        <f>$O$451*$X$451</f>
        <v>0</v>
      </c>
      <c r="AE451" s="6">
        <f ca="1">$K$451*$Y$451</f>
        <v>762199.98620944691</v>
      </c>
      <c r="AF451" s="6">
        <f ca="1">$M$451*$Z$451</f>
        <v>0</v>
      </c>
      <c r="AG451" s="6">
        <f>$O$451*$AA$451</f>
        <v>0</v>
      </c>
    </row>
    <row r="452" spans="1:33" ht="11.25" customHeight="1" x14ac:dyDescent="0.25">
      <c r="A452" s="4" t="s">
        <v>21</v>
      </c>
      <c r="B452" s="4" t="s">
        <v>33</v>
      </c>
      <c r="C452" s="4" t="s">
        <v>41</v>
      </c>
      <c r="D452" s="4" t="s">
        <v>40</v>
      </c>
      <c r="E452" s="4" t="s">
        <v>25</v>
      </c>
      <c r="F452" s="4" t="s">
        <v>63</v>
      </c>
      <c r="G452" s="4" t="s">
        <v>25</v>
      </c>
      <c r="H452" s="4" t="s">
        <v>35</v>
      </c>
      <c r="I452" s="5">
        <v>43770</v>
      </c>
      <c r="J452" s="6">
        <v>39880</v>
      </c>
      <c r="K452" s="6">
        <v>28676.253576399999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4" t="s">
        <v>60</v>
      </c>
      <c r="R452" s="4">
        <v>0</v>
      </c>
      <c r="S452" s="6">
        <v>21</v>
      </c>
      <c r="T452" s="6">
        <v>0</v>
      </c>
      <c r="U452" s="6">
        <v>0</v>
      </c>
      <c r="V452" s="6">
        <f>IF(ISERROR(VLOOKUP($S$452,'TAR FIN'!$A$1:$O$120,15,0)),0,VLOOKUP($S$452,'TAR FIN'!$A$1:$O$120,15,0))</f>
        <v>22.94</v>
      </c>
      <c r="W452" s="6">
        <f>IF(ISERROR(VLOOKUP($T$452,'TAR FIN'!$A$1:$O$120,15,0)),0,VLOOKUP($T$452,'TAR FIN'!$A$1:$O$120,15,0))</f>
        <v>0</v>
      </c>
      <c r="X452" s="6">
        <f>IF(ISERROR(VLOOKUP($U$452,'TAR FIN'!$A$1:$O$120,15,0)),0,VLOOKUP($U$452,'TAR FIN'!$A$1:$O$120,15,0))</f>
        <v>0</v>
      </c>
      <c r="Y452" s="6">
        <f ca="1">('TUSD BE'!$AM$27+'TUSD BF'!$AM$27+'TUSD CVA'!$AM$27)*1</f>
        <v>27.216283196676113</v>
      </c>
      <c r="Z452" s="6">
        <f ca="1">('TUSD BE'!$AM$29+'TUSD BF'!$AM$29+'TUSD CVA'!$AM$29)*1</f>
        <v>87.519361965254689</v>
      </c>
      <c r="AA452" s="6"/>
      <c r="AB452" s="6">
        <f>$K$452*$V$452</f>
        <v>657833.25704261602</v>
      </c>
      <c r="AC452" s="6">
        <f>$M$452*$W$452</f>
        <v>0</v>
      </c>
      <c r="AD452" s="6">
        <f>$O$452*$X$452</f>
        <v>0</v>
      </c>
      <c r="AE452" s="6">
        <f ca="1">$K$452*$Y$452</f>
        <v>780461.03835499857</v>
      </c>
      <c r="AF452" s="6">
        <f ca="1">$M$452*$Z$452</f>
        <v>0</v>
      </c>
      <c r="AG452" s="6">
        <f>$O$452*$AA$452</f>
        <v>0</v>
      </c>
    </row>
    <row r="453" spans="1:33" ht="11.25" customHeight="1" x14ac:dyDescent="0.25">
      <c r="A453" s="4" t="s">
        <v>21</v>
      </c>
      <c r="B453" s="4" t="s">
        <v>33</v>
      </c>
      <c r="C453" s="4" t="s">
        <v>41</v>
      </c>
      <c r="D453" s="4" t="s">
        <v>40</v>
      </c>
      <c r="E453" s="4" t="s">
        <v>25</v>
      </c>
      <c r="F453" s="4" t="s">
        <v>63</v>
      </c>
      <c r="G453" s="4" t="s">
        <v>25</v>
      </c>
      <c r="H453" s="4" t="s">
        <v>35</v>
      </c>
      <c r="I453" s="5">
        <v>43800</v>
      </c>
      <c r="J453" s="6">
        <v>39880</v>
      </c>
      <c r="K453" s="6">
        <v>28760.635668399998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4" t="s">
        <v>60</v>
      </c>
      <c r="R453" s="4">
        <v>0</v>
      </c>
      <c r="S453" s="6">
        <v>21</v>
      </c>
      <c r="T453" s="6">
        <v>0</v>
      </c>
      <c r="U453" s="6">
        <v>0</v>
      </c>
      <c r="V453" s="6">
        <f>IF(ISERROR(VLOOKUP($S$453,'TAR FIN'!$A$1:$O$120,15,0)),0,VLOOKUP($S$453,'TAR FIN'!$A$1:$O$120,15,0))</f>
        <v>22.94</v>
      </c>
      <c r="W453" s="6">
        <f>IF(ISERROR(VLOOKUP($T$453,'TAR FIN'!$A$1:$O$120,15,0)),0,VLOOKUP($T$453,'TAR FIN'!$A$1:$O$120,15,0))</f>
        <v>0</v>
      </c>
      <c r="X453" s="6">
        <f>IF(ISERROR(VLOOKUP($U$453,'TAR FIN'!$A$1:$O$120,15,0)),0,VLOOKUP($U$453,'TAR FIN'!$A$1:$O$120,15,0))</f>
        <v>0</v>
      </c>
      <c r="Y453" s="6">
        <f ca="1">('TUSD BE'!$AM$27+'TUSD BF'!$AM$27+'TUSD CVA'!$AM$27)*1</f>
        <v>27.216283196676113</v>
      </c>
      <c r="Z453" s="6">
        <f ca="1">('TUSD BE'!$AM$29+'TUSD BF'!$AM$29+'TUSD CVA'!$AM$29)*1</f>
        <v>87.519361965254689</v>
      </c>
      <c r="AA453" s="6"/>
      <c r="AB453" s="6">
        <f>$K$453*$V$453</f>
        <v>659768.98223309603</v>
      </c>
      <c r="AC453" s="6">
        <f>$M$453*$W$453</f>
        <v>0</v>
      </c>
      <c r="AD453" s="6">
        <f>$O$453*$X$453</f>
        <v>0</v>
      </c>
      <c r="AE453" s="6">
        <f ca="1">$K$453*$Y$453</f>
        <v>782757.60526759853</v>
      </c>
      <c r="AF453" s="6">
        <f ca="1">$M$453*$Z$453</f>
        <v>0</v>
      </c>
      <c r="AG453" s="6">
        <f>$O$453*$AA$453</f>
        <v>0</v>
      </c>
    </row>
    <row r="454" spans="1:33" ht="11.25" customHeight="1" x14ac:dyDescent="0.25">
      <c r="A454" s="4" t="s">
        <v>21</v>
      </c>
      <c r="B454" s="4" t="s">
        <v>33</v>
      </c>
      <c r="C454" s="4" t="s">
        <v>41</v>
      </c>
      <c r="D454" s="4" t="s">
        <v>40</v>
      </c>
      <c r="E454" s="4" t="s">
        <v>25</v>
      </c>
      <c r="F454" s="4" t="s">
        <v>63</v>
      </c>
      <c r="G454" s="4" t="s">
        <v>25</v>
      </c>
      <c r="H454" s="4" t="s">
        <v>35</v>
      </c>
      <c r="I454" s="5">
        <v>43831</v>
      </c>
      <c r="J454" s="6">
        <v>41163</v>
      </c>
      <c r="K454" s="6">
        <v>29609.906337150001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4" t="s">
        <v>60</v>
      </c>
      <c r="R454" s="4">
        <v>0</v>
      </c>
      <c r="S454" s="6">
        <v>21</v>
      </c>
      <c r="T454" s="6">
        <v>0</v>
      </c>
      <c r="U454" s="6">
        <v>0</v>
      </c>
      <c r="V454" s="6">
        <f>IF(ISERROR(VLOOKUP($S$454,'TAR FIN'!$A$1:$O$120,15,0)),0,VLOOKUP($S$454,'TAR FIN'!$A$1:$O$120,15,0))</f>
        <v>22.94</v>
      </c>
      <c r="W454" s="6">
        <f>IF(ISERROR(VLOOKUP($T$454,'TAR FIN'!$A$1:$O$120,15,0)),0,VLOOKUP($T$454,'TAR FIN'!$A$1:$O$120,15,0))</f>
        <v>0</v>
      </c>
      <c r="X454" s="6">
        <f>IF(ISERROR(VLOOKUP($U$454,'TAR FIN'!$A$1:$O$120,15,0)),0,VLOOKUP($U$454,'TAR FIN'!$A$1:$O$120,15,0))</f>
        <v>0</v>
      </c>
      <c r="Y454" s="6">
        <f ca="1">('TUSD BE'!$AM$27+'TUSD BF'!$AM$27+'TUSD CVA'!$AM$27)*1</f>
        <v>27.216283196676113</v>
      </c>
      <c r="Z454" s="6">
        <f ca="1">('TUSD BE'!$AM$29+'TUSD BF'!$AM$29+'TUSD CVA'!$AM$29)*1</f>
        <v>87.519361965254689</v>
      </c>
      <c r="AA454" s="6"/>
      <c r="AB454" s="6">
        <f>$K$454*$V$454</f>
        <v>679251.25137422106</v>
      </c>
      <c r="AC454" s="6">
        <f>$M$454*$W$454</f>
        <v>0</v>
      </c>
      <c r="AD454" s="6">
        <f>$O$454*$X$454</f>
        <v>0</v>
      </c>
      <c r="AE454" s="6">
        <f ca="1">$K$454*$Y$454</f>
        <v>805871.59629892907</v>
      </c>
      <c r="AF454" s="6">
        <f ca="1">$M$454*$Z$454</f>
        <v>0</v>
      </c>
      <c r="AG454" s="6">
        <f>$O$454*$AA$454</f>
        <v>0</v>
      </c>
    </row>
    <row r="455" spans="1:33" ht="11.25" customHeight="1" x14ac:dyDescent="0.25">
      <c r="A455" s="4" t="s">
        <v>21</v>
      </c>
      <c r="B455" s="4" t="s">
        <v>33</v>
      </c>
      <c r="C455" s="4" t="s">
        <v>41</v>
      </c>
      <c r="D455" s="4" t="s">
        <v>40</v>
      </c>
      <c r="E455" s="4" t="s">
        <v>25</v>
      </c>
      <c r="F455" s="4" t="s">
        <v>63</v>
      </c>
      <c r="G455" s="4" t="s">
        <v>25</v>
      </c>
      <c r="H455" s="4" t="s">
        <v>35</v>
      </c>
      <c r="I455" s="5">
        <v>43862</v>
      </c>
      <c r="J455" s="6">
        <v>41245</v>
      </c>
      <c r="K455" s="6">
        <v>29544.820500500002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4" t="s">
        <v>60</v>
      </c>
      <c r="R455" s="4">
        <v>0</v>
      </c>
      <c r="S455" s="6">
        <v>21</v>
      </c>
      <c r="T455" s="6">
        <v>0</v>
      </c>
      <c r="U455" s="6">
        <v>0</v>
      </c>
      <c r="V455" s="6">
        <f>IF(ISERROR(VLOOKUP($S$455,'TAR FIN'!$A$1:$O$120,15,0)),0,VLOOKUP($S$455,'TAR FIN'!$A$1:$O$120,15,0))</f>
        <v>22.94</v>
      </c>
      <c r="W455" s="6">
        <f>IF(ISERROR(VLOOKUP($T$455,'TAR FIN'!$A$1:$O$120,15,0)),0,VLOOKUP($T$455,'TAR FIN'!$A$1:$O$120,15,0))</f>
        <v>0</v>
      </c>
      <c r="X455" s="6">
        <f>IF(ISERROR(VLOOKUP($U$455,'TAR FIN'!$A$1:$O$120,15,0)),0,VLOOKUP($U$455,'TAR FIN'!$A$1:$O$120,15,0))</f>
        <v>0</v>
      </c>
      <c r="Y455" s="6">
        <f ca="1">('TUSD BE'!$AM$27+'TUSD BF'!$AM$27+'TUSD CVA'!$AM$27)*1</f>
        <v>27.216283196676113</v>
      </c>
      <c r="Z455" s="6">
        <f ca="1">('TUSD BE'!$AM$29+'TUSD BF'!$AM$29+'TUSD CVA'!$AM$29)*1</f>
        <v>87.519361965254689</v>
      </c>
      <c r="AA455" s="6"/>
      <c r="AB455" s="6">
        <f>$K$455*$V$455</f>
        <v>677758.18228147004</v>
      </c>
      <c r="AC455" s="6">
        <f>$M$455*$W$455</f>
        <v>0</v>
      </c>
      <c r="AD455" s="6">
        <f>$O$455*$X$455</f>
        <v>0</v>
      </c>
      <c r="AE455" s="6">
        <f ca="1">$K$455*$Y$455</f>
        <v>804100.2017365701</v>
      </c>
      <c r="AF455" s="6">
        <f ca="1">$M$455*$Z$455</f>
        <v>0</v>
      </c>
      <c r="AG455" s="6">
        <f>$O$455*$AA$455</f>
        <v>0</v>
      </c>
    </row>
    <row r="456" spans="1:33" ht="11.25" customHeight="1" x14ac:dyDescent="0.25">
      <c r="A456" s="4" t="s">
        <v>21</v>
      </c>
      <c r="B456" s="4" t="s">
        <v>33</v>
      </c>
      <c r="C456" s="4" t="s">
        <v>41</v>
      </c>
      <c r="D456" s="4" t="s">
        <v>40</v>
      </c>
      <c r="E456" s="4" t="s">
        <v>25</v>
      </c>
      <c r="F456" s="4" t="s">
        <v>63</v>
      </c>
      <c r="G456" s="4" t="s">
        <v>25</v>
      </c>
      <c r="H456" s="4" t="s">
        <v>35</v>
      </c>
      <c r="I456" s="5">
        <v>43891</v>
      </c>
      <c r="J456" s="6">
        <v>40820</v>
      </c>
      <c r="K456" s="6">
        <v>30565.040401999999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4" t="s">
        <v>60</v>
      </c>
      <c r="R456" s="4">
        <v>0</v>
      </c>
      <c r="S456" s="6">
        <v>21</v>
      </c>
      <c r="T456" s="6">
        <v>0</v>
      </c>
      <c r="U456" s="6">
        <v>0</v>
      </c>
      <c r="V456" s="6">
        <f>IF(ISERROR(VLOOKUP($S$456,'TAR FIN'!$A$1:$O$120,15,0)),0,VLOOKUP($S$456,'TAR FIN'!$A$1:$O$120,15,0))</f>
        <v>22.94</v>
      </c>
      <c r="W456" s="6">
        <f>IF(ISERROR(VLOOKUP($T$456,'TAR FIN'!$A$1:$O$120,15,0)),0,VLOOKUP($T$456,'TAR FIN'!$A$1:$O$120,15,0))</f>
        <v>0</v>
      </c>
      <c r="X456" s="6">
        <f>IF(ISERROR(VLOOKUP($U$456,'TAR FIN'!$A$1:$O$120,15,0)),0,VLOOKUP($U$456,'TAR FIN'!$A$1:$O$120,15,0))</f>
        <v>0</v>
      </c>
      <c r="Y456" s="6">
        <f ca="1">('TUSD BE'!$AM$27+'TUSD BF'!$AM$27+'TUSD CVA'!$AM$27)*1</f>
        <v>27.216283196676113</v>
      </c>
      <c r="Z456" s="6">
        <f ca="1">('TUSD BE'!$AM$29+'TUSD BF'!$AM$29+'TUSD CVA'!$AM$29)*1</f>
        <v>87.519361965254689</v>
      </c>
      <c r="AA456" s="6"/>
      <c r="AB456" s="6">
        <f>$K$456*$V$456</f>
        <v>701162.02682188002</v>
      </c>
      <c r="AC456" s="6">
        <f>$M$456*$W$456</f>
        <v>0</v>
      </c>
      <c r="AD456" s="6">
        <f>$O$456*$X$456</f>
        <v>0</v>
      </c>
      <c r="AE456" s="6">
        <f ca="1">$K$456*$Y$456</f>
        <v>831866.79549867904</v>
      </c>
      <c r="AF456" s="6">
        <f ca="1">$M$456*$Z$456</f>
        <v>0</v>
      </c>
      <c r="AG456" s="6">
        <f>$O$456*$AA$456</f>
        <v>0</v>
      </c>
    </row>
    <row r="457" spans="1:33" ht="11.25" customHeight="1" x14ac:dyDescent="0.25">
      <c r="A457" s="4" t="s">
        <v>21</v>
      </c>
      <c r="B457" s="4" t="s">
        <v>33</v>
      </c>
      <c r="C457" s="4" t="s">
        <v>41</v>
      </c>
      <c r="D457" s="4" t="s">
        <v>40</v>
      </c>
      <c r="E457" s="4" t="s">
        <v>25</v>
      </c>
      <c r="F457" s="4" t="s">
        <v>63</v>
      </c>
      <c r="G457" s="4" t="s">
        <v>25</v>
      </c>
      <c r="H457" s="4" t="s">
        <v>35</v>
      </c>
      <c r="I457" s="5">
        <v>43922</v>
      </c>
      <c r="J457" s="6">
        <v>41032</v>
      </c>
      <c r="K457" s="6">
        <v>30479.30899664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4" t="s">
        <v>60</v>
      </c>
      <c r="R457" s="4">
        <v>0</v>
      </c>
      <c r="S457" s="6">
        <v>21</v>
      </c>
      <c r="T457" s="6">
        <v>0</v>
      </c>
      <c r="U457" s="6">
        <v>0</v>
      </c>
      <c r="V457" s="6">
        <f>IF(ISERROR(VLOOKUP($S$457,'TAR FIN'!$A$1:$O$120,15,0)),0,VLOOKUP($S$457,'TAR FIN'!$A$1:$O$120,15,0))</f>
        <v>22.94</v>
      </c>
      <c r="W457" s="6">
        <f>IF(ISERROR(VLOOKUP($T$457,'TAR FIN'!$A$1:$O$120,15,0)),0,VLOOKUP($T$457,'TAR FIN'!$A$1:$O$120,15,0))</f>
        <v>0</v>
      </c>
      <c r="X457" s="6">
        <f>IF(ISERROR(VLOOKUP($U$457,'TAR FIN'!$A$1:$O$120,15,0)),0,VLOOKUP($U$457,'TAR FIN'!$A$1:$O$120,15,0))</f>
        <v>0</v>
      </c>
      <c r="Y457" s="6">
        <f ca="1">('TUSD BE'!$AM$27+'TUSD BF'!$AM$27+'TUSD CVA'!$AM$27)*1</f>
        <v>27.216283196676113</v>
      </c>
      <c r="Z457" s="6">
        <f ca="1">('TUSD BE'!$AM$29+'TUSD BF'!$AM$29+'TUSD CVA'!$AM$29)*1</f>
        <v>87.519361965254689</v>
      </c>
      <c r="AA457" s="6"/>
      <c r="AB457" s="6">
        <f>$K$457*$V$457</f>
        <v>699195.34838292166</v>
      </c>
      <c r="AC457" s="6">
        <f>$M$457*$W$457</f>
        <v>0</v>
      </c>
      <c r="AD457" s="6">
        <f>$O$457*$X$457</f>
        <v>0</v>
      </c>
      <c r="AE457" s="6">
        <f ca="1">$K$457*$Y$457</f>
        <v>829533.50529155228</v>
      </c>
      <c r="AF457" s="6">
        <f ca="1">$M$457*$Z$457</f>
        <v>0</v>
      </c>
      <c r="AG457" s="6">
        <f>$O$457*$AA$457</f>
        <v>0</v>
      </c>
    </row>
    <row r="458" spans="1:33" ht="11.25" customHeight="1" x14ac:dyDescent="0.25">
      <c r="A458" s="4" t="s">
        <v>21</v>
      </c>
      <c r="B458" s="4" t="s">
        <v>33</v>
      </c>
      <c r="C458" s="4" t="s">
        <v>41</v>
      </c>
      <c r="D458" s="4" t="s">
        <v>40</v>
      </c>
      <c r="E458" s="4" t="s">
        <v>25</v>
      </c>
      <c r="F458" s="4" t="s">
        <v>63</v>
      </c>
      <c r="G458" s="4" t="s">
        <v>25</v>
      </c>
      <c r="H458" s="4" t="s">
        <v>35</v>
      </c>
      <c r="I458" s="5">
        <v>43952</v>
      </c>
      <c r="J458" s="6">
        <v>36728</v>
      </c>
      <c r="K458" s="6">
        <v>27284.50508744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4" t="s">
        <v>60</v>
      </c>
      <c r="R458" s="4">
        <v>0</v>
      </c>
      <c r="S458" s="6">
        <v>21</v>
      </c>
      <c r="T458" s="6">
        <v>0</v>
      </c>
      <c r="U458" s="6">
        <v>0</v>
      </c>
      <c r="V458" s="6">
        <f>IF(ISERROR(VLOOKUP($S$458,'TAR FIN'!$A$1:$O$120,15,0)),0,VLOOKUP($S$458,'TAR FIN'!$A$1:$O$120,15,0))</f>
        <v>22.94</v>
      </c>
      <c r="W458" s="6">
        <f>IF(ISERROR(VLOOKUP($T$458,'TAR FIN'!$A$1:$O$120,15,0)),0,VLOOKUP($T$458,'TAR FIN'!$A$1:$O$120,15,0))</f>
        <v>0</v>
      </c>
      <c r="X458" s="6">
        <f>IF(ISERROR(VLOOKUP($U$458,'TAR FIN'!$A$1:$O$120,15,0)),0,VLOOKUP($U$458,'TAR FIN'!$A$1:$O$120,15,0))</f>
        <v>0</v>
      </c>
      <c r="Y458" s="6">
        <f ca="1">('TUSD BE'!$AM$27+'TUSD BF'!$AM$27+'TUSD CVA'!$AM$27)*1</f>
        <v>27.216283196676113</v>
      </c>
      <c r="Z458" s="6">
        <f ca="1">('TUSD BE'!$AM$29+'TUSD BF'!$AM$29+'TUSD CVA'!$AM$29)*1</f>
        <v>87.519361965254689</v>
      </c>
      <c r="AA458" s="6"/>
      <c r="AB458" s="6">
        <f>$K$458*$V$458</f>
        <v>625906.54670587368</v>
      </c>
      <c r="AC458" s="6">
        <f>$M$458*$W$458</f>
        <v>0</v>
      </c>
      <c r="AD458" s="6">
        <f>$O$458*$X$458</f>
        <v>0</v>
      </c>
      <c r="AE458" s="6">
        <f ca="1">$K$458*$Y$458</f>
        <v>742582.81734091719</v>
      </c>
      <c r="AF458" s="6">
        <f ca="1">$M$458*$Z$458</f>
        <v>0</v>
      </c>
      <c r="AG458" s="6">
        <f>$O$458*$AA$458</f>
        <v>0</v>
      </c>
    </row>
    <row r="459" spans="1:33" ht="11.25" customHeight="1" x14ac:dyDescent="0.25">
      <c r="A459" s="4" t="s">
        <v>21</v>
      </c>
      <c r="B459" s="4" t="s">
        <v>33</v>
      </c>
      <c r="C459" s="4" t="s">
        <v>41</v>
      </c>
      <c r="D459" s="4" t="s">
        <v>40</v>
      </c>
      <c r="E459" s="4" t="s">
        <v>25</v>
      </c>
      <c r="F459" s="4" t="s">
        <v>63</v>
      </c>
      <c r="G459" s="4" t="s">
        <v>25</v>
      </c>
      <c r="H459" s="4" t="s">
        <v>35</v>
      </c>
      <c r="I459" s="5">
        <v>43983</v>
      </c>
      <c r="J459" s="6">
        <v>36728</v>
      </c>
      <c r="K459" s="6">
        <v>26828.53541488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4" t="s">
        <v>60</v>
      </c>
      <c r="R459" s="4">
        <v>0</v>
      </c>
      <c r="S459" s="6">
        <v>21</v>
      </c>
      <c r="T459" s="6">
        <v>0</v>
      </c>
      <c r="U459" s="6">
        <v>0</v>
      </c>
      <c r="V459" s="6">
        <f>IF(ISERROR(VLOOKUP($S$459,'TAR FIN'!$A$1:$O$120,15,0)),0,VLOOKUP($S$459,'TAR FIN'!$A$1:$O$120,15,0))</f>
        <v>22.94</v>
      </c>
      <c r="W459" s="6">
        <f>IF(ISERROR(VLOOKUP($T$459,'TAR FIN'!$A$1:$O$120,15,0)),0,VLOOKUP($T$459,'TAR FIN'!$A$1:$O$120,15,0))</f>
        <v>0</v>
      </c>
      <c r="X459" s="6">
        <f>IF(ISERROR(VLOOKUP($U$459,'TAR FIN'!$A$1:$O$120,15,0)),0,VLOOKUP($U$459,'TAR FIN'!$A$1:$O$120,15,0))</f>
        <v>0</v>
      </c>
      <c r="Y459" s="6">
        <f ca="1">('TUSD BE'!$AM$27+'TUSD BF'!$AM$27+'TUSD CVA'!$AM$27)*1</f>
        <v>27.216283196676113</v>
      </c>
      <c r="Z459" s="6">
        <f ca="1">('TUSD BE'!$AM$29+'TUSD BF'!$AM$29+'TUSD CVA'!$AM$29)*1</f>
        <v>87.519361965254689</v>
      </c>
      <c r="AA459" s="6"/>
      <c r="AB459" s="6">
        <f>$K$459*$V$459</f>
        <v>615446.60241734725</v>
      </c>
      <c r="AC459" s="6">
        <f>$M$459*$W$459</f>
        <v>0</v>
      </c>
      <c r="AD459" s="6">
        <f>$O$459*$X$459</f>
        <v>0</v>
      </c>
      <c r="AE459" s="6">
        <f ca="1">$K$459*$Y$459</f>
        <v>730173.01760342857</v>
      </c>
      <c r="AF459" s="6">
        <f ca="1">$M$459*$Z$459</f>
        <v>0</v>
      </c>
      <c r="AG459" s="6">
        <f>$O$459*$AA$459</f>
        <v>0</v>
      </c>
    </row>
    <row r="460" spans="1:33" ht="11.25" customHeight="1" x14ac:dyDescent="0.25">
      <c r="A460" s="4" t="s">
        <v>21</v>
      </c>
      <c r="B460" s="4" t="s">
        <v>33</v>
      </c>
      <c r="C460" s="4" t="s">
        <v>41</v>
      </c>
      <c r="D460" s="4" t="s">
        <v>40</v>
      </c>
      <c r="E460" s="4" t="s">
        <v>25</v>
      </c>
      <c r="F460" s="4" t="s">
        <v>63</v>
      </c>
      <c r="G460" s="4" t="s">
        <v>25</v>
      </c>
      <c r="H460" s="4" t="s">
        <v>35</v>
      </c>
      <c r="I460" s="5">
        <v>44013</v>
      </c>
      <c r="J460" s="6">
        <v>38585</v>
      </c>
      <c r="K460" s="6">
        <v>27811.329868950001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4" t="s">
        <v>60</v>
      </c>
      <c r="R460" s="4">
        <v>0</v>
      </c>
      <c r="S460" s="6">
        <v>21</v>
      </c>
      <c r="T460" s="6">
        <v>0</v>
      </c>
      <c r="U460" s="6">
        <v>0</v>
      </c>
      <c r="V460" s="6">
        <f>IF(ISERROR(VLOOKUP($S$460,'TAR FIN'!$A$1:$O$120,15,0)),0,VLOOKUP($S$460,'TAR FIN'!$A$1:$O$120,15,0))</f>
        <v>22.94</v>
      </c>
      <c r="W460" s="6">
        <f>IF(ISERROR(VLOOKUP($T$460,'TAR FIN'!$A$1:$O$120,15,0)),0,VLOOKUP($T$460,'TAR FIN'!$A$1:$O$120,15,0))</f>
        <v>0</v>
      </c>
      <c r="X460" s="6">
        <f>IF(ISERROR(VLOOKUP($U$460,'TAR FIN'!$A$1:$O$120,15,0)),0,VLOOKUP($U$460,'TAR FIN'!$A$1:$O$120,15,0))</f>
        <v>0</v>
      </c>
      <c r="Y460" s="6">
        <f ca="1">('TUSD BE'!$AM$27+'TUSD BF'!$AM$27+'TUSD CVA'!$AM$27)*1</f>
        <v>27.216283196676113</v>
      </c>
      <c r="Z460" s="6">
        <f ca="1">('TUSD BE'!$AM$29+'TUSD BF'!$AM$29+'TUSD CVA'!$AM$29)*1</f>
        <v>87.519361965254689</v>
      </c>
      <c r="AA460" s="6"/>
      <c r="AB460" s="6">
        <f>$K$460*$V$460</f>
        <v>637991.90719371301</v>
      </c>
      <c r="AC460" s="6">
        <f>$M$460*$W$460</f>
        <v>0</v>
      </c>
      <c r="AD460" s="6">
        <f>$O$460*$X$460</f>
        <v>0</v>
      </c>
      <c r="AE460" s="6">
        <f ca="1">$K$460*$Y$460</f>
        <v>756921.02978952043</v>
      </c>
      <c r="AF460" s="6">
        <f ca="1">$M$460*$Z$460</f>
        <v>0</v>
      </c>
      <c r="AG460" s="6">
        <f>$O$460*$AA$460</f>
        <v>0</v>
      </c>
    </row>
    <row r="461" spans="1:33" ht="11.25" customHeight="1" x14ac:dyDescent="0.25">
      <c r="A461" s="4" t="s">
        <v>21</v>
      </c>
      <c r="B461" s="4" t="s">
        <v>33</v>
      </c>
      <c r="C461" s="4" t="s">
        <v>41</v>
      </c>
      <c r="D461" s="4" t="s">
        <v>40</v>
      </c>
      <c r="E461" s="4" t="s">
        <v>25</v>
      </c>
      <c r="F461" s="4" t="s">
        <v>63</v>
      </c>
      <c r="G461" s="4" t="s">
        <v>25</v>
      </c>
      <c r="H461" s="4" t="s">
        <v>35</v>
      </c>
      <c r="I461" s="5">
        <v>44044</v>
      </c>
      <c r="J461" s="6">
        <v>40321</v>
      </c>
      <c r="K461" s="6">
        <v>29837.54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4" t="s">
        <v>60</v>
      </c>
      <c r="R461" s="4">
        <v>0</v>
      </c>
      <c r="S461" s="6">
        <v>21</v>
      </c>
      <c r="T461" s="6">
        <v>0</v>
      </c>
      <c r="U461" s="6">
        <v>0</v>
      </c>
      <c r="V461" s="6">
        <f>IF(ISERROR(VLOOKUP($S$461,'TAR FIN'!$A$1:$O$120,15,0)),0,VLOOKUP($S$461,'TAR FIN'!$A$1:$O$120,15,0))</f>
        <v>22.94</v>
      </c>
      <c r="W461" s="6">
        <f>IF(ISERROR(VLOOKUP($T$461,'TAR FIN'!$A$1:$O$120,15,0)),0,VLOOKUP($T$461,'TAR FIN'!$A$1:$O$120,15,0))</f>
        <v>0</v>
      </c>
      <c r="X461" s="6">
        <f>IF(ISERROR(VLOOKUP($U$461,'TAR FIN'!$A$1:$O$120,15,0)),0,VLOOKUP($U$461,'TAR FIN'!$A$1:$O$120,15,0))</f>
        <v>0</v>
      </c>
      <c r="Y461" s="6">
        <f ca="1">('TUSD BE'!$AM$27+'TUSD BF'!$AM$27+'TUSD CVA'!$AM$27)*1</f>
        <v>27.216283196676113</v>
      </c>
      <c r="Z461" s="6">
        <f ca="1">('TUSD BE'!$AM$29+'TUSD BF'!$AM$29+'TUSD CVA'!$AM$29)*1</f>
        <v>87.519361965254689</v>
      </c>
      <c r="AA461" s="6"/>
      <c r="AB461" s="6">
        <f>$K$461*$V$461</f>
        <v>684473.16760000004</v>
      </c>
      <c r="AC461" s="6">
        <f>$M$461*$W$461</f>
        <v>0</v>
      </c>
      <c r="AD461" s="6">
        <f>$O$461*$X$461</f>
        <v>0</v>
      </c>
      <c r="AE461" s="6">
        <f ca="1">$K$461*$Y$461</f>
        <v>812066.9385321514</v>
      </c>
      <c r="AF461" s="6">
        <f ca="1">$M$461*$Z$461</f>
        <v>0</v>
      </c>
      <c r="AG461" s="6">
        <f>$O$461*$AA$461</f>
        <v>0</v>
      </c>
    </row>
    <row r="462" spans="1:33" ht="11.25" customHeight="1" x14ac:dyDescent="0.25">
      <c r="A462" s="4" t="s">
        <v>59</v>
      </c>
      <c r="B462" s="4" t="s">
        <v>33</v>
      </c>
      <c r="C462" s="4" t="s">
        <v>41</v>
      </c>
      <c r="D462" s="4" t="s">
        <v>40</v>
      </c>
      <c r="E462" s="4" t="s">
        <v>25</v>
      </c>
      <c r="F462" s="4" t="s">
        <v>63</v>
      </c>
      <c r="G462" s="4" t="s">
        <v>25</v>
      </c>
      <c r="H462" s="4" t="s">
        <v>35</v>
      </c>
      <c r="I462" s="5">
        <v>44075</v>
      </c>
      <c r="J462" s="6">
        <v>40321</v>
      </c>
      <c r="K462" s="6">
        <v>29837.54</v>
      </c>
      <c r="L462" s="6">
        <v>0</v>
      </c>
      <c r="M462" s="6">
        <v>0</v>
      </c>
      <c r="N462" s="6">
        <v>0</v>
      </c>
      <c r="O462" s="6">
        <v>0</v>
      </c>
      <c r="P462" s="6">
        <v>0</v>
      </c>
      <c r="Q462" s="4" t="s">
        <v>60</v>
      </c>
      <c r="R462" s="4">
        <v>0</v>
      </c>
      <c r="S462" s="6">
        <v>21</v>
      </c>
      <c r="T462" s="6">
        <v>0</v>
      </c>
      <c r="U462" s="6">
        <v>0</v>
      </c>
      <c r="V462" s="6">
        <f>IF(ISERROR(VLOOKUP($S$462,'TAR FIN'!$A$1:$O$120,15,0)),0,VLOOKUP($S$462,'TAR FIN'!$A$1:$O$120,15,0))</f>
        <v>22.94</v>
      </c>
      <c r="W462" s="6">
        <f>IF(ISERROR(VLOOKUP($T$462,'TAR FIN'!$A$1:$O$120,15,0)),0,VLOOKUP($T$462,'TAR FIN'!$A$1:$O$120,15,0))</f>
        <v>0</v>
      </c>
      <c r="X462" s="6">
        <f>IF(ISERROR(VLOOKUP($U$462,'TAR FIN'!$A$1:$O$120,15,0)),0,VLOOKUP($U$462,'TAR FIN'!$A$1:$O$120,15,0))</f>
        <v>0</v>
      </c>
      <c r="Y462" s="6">
        <f ca="1">('TUSD BE'!$AM$27+'TUSD BF'!$AM$27+'TUSD CVA'!$AM$27)*1</f>
        <v>27.216283196676113</v>
      </c>
      <c r="Z462" s="6">
        <f ca="1">('TUSD BE'!$AM$29+'TUSD BF'!$AM$29+'TUSD CVA'!$AM$29)*1</f>
        <v>87.519361965254689</v>
      </c>
      <c r="AA462" s="6"/>
      <c r="AB462" s="6">
        <f>$K$462*$V$462</f>
        <v>684473.16760000004</v>
      </c>
      <c r="AC462" s="6">
        <f>$M$462*$W$462</f>
        <v>0</v>
      </c>
      <c r="AD462" s="6">
        <f>$O$462*$X$462</f>
        <v>0</v>
      </c>
      <c r="AE462" s="6">
        <f ca="1">$K$462*$Y$462</f>
        <v>812066.9385321514</v>
      </c>
      <c r="AF462" s="6">
        <f ca="1">$M$462*$Z$462</f>
        <v>0</v>
      </c>
      <c r="AG462" s="6">
        <f>$O$462*$AA$462</f>
        <v>0</v>
      </c>
    </row>
    <row r="463" spans="1:33" ht="11.25" customHeight="1" x14ac:dyDescent="0.25">
      <c r="A463" s="4" t="s">
        <v>21</v>
      </c>
      <c r="B463" s="4" t="s">
        <v>33</v>
      </c>
      <c r="C463" s="4" t="s">
        <v>41</v>
      </c>
      <c r="D463" s="4" t="s">
        <v>40</v>
      </c>
      <c r="E463" s="4" t="s">
        <v>25</v>
      </c>
      <c r="F463" s="4" t="s">
        <v>25</v>
      </c>
      <c r="G463" s="4" t="s">
        <v>25</v>
      </c>
      <c r="H463" s="4" t="s">
        <v>36</v>
      </c>
      <c r="I463" s="5">
        <v>43739</v>
      </c>
      <c r="J463" s="6">
        <v>2438</v>
      </c>
      <c r="K463" s="6">
        <v>2438</v>
      </c>
      <c r="L463" s="6">
        <v>513.66300000000001</v>
      </c>
      <c r="M463" s="6">
        <v>513.66300000000001</v>
      </c>
      <c r="N463" s="6">
        <v>513.66300000000001</v>
      </c>
      <c r="O463" s="6">
        <v>513.66300000000001</v>
      </c>
      <c r="P463" s="6">
        <v>0</v>
      </c>
      <c r="Q463" s="4" t="s">
        <v>26</v>
      </c>
      <c r="R463" s="4">
        <v>0</v>
      </c>
      <c r="S463" s="6">
        <v>22</v>
      </c>
      <c r="T463" s="6">
        <v>23</v>
      </c>
      <c r="U463" s="6">
        <v>82</v>
      </c>
      <c r="V463" s="6">
        <f>IF(ISERROR(VLOOKUP($S$463,'TAR FIN'!$A$1:$O$120,15,0)),0,VLOOKUP($S$463,'TAR FIN'!$A$1:$O$120,15,0))</f>
        <v>8.81</v>
      </c>
      <c r="W463" s="6">
        <f>IF(ISERROR(VLOOKUP($T$463,'TAR FIN'!$A$1:$O$120,15,0)),0,VLOOKUP($T$463,'TAR FIN'!$A$1:$O$120,15,0))</f>
        <v>84.45</v>
      </c>
      <c r="X463" s="6">
        <f>IF(ISERROR(VLOOKUP($U$463,'TAR FIN'!$A$1:$O$120,15,0)),0,VLOOKUP($U$463,'TAR FIN'!$A$1:$O$120,15,0))</f>
        <v>256.38</v>
      </c>
      <c r="Y463" s="6">
        <f ca="1">('TUSD BE'!$AM$28+'TUSD BF'!$AM$28+'TUSD CVA'!$AM$28)*1</f>
        <v>11.452356648653195</v>
      </c>
      <c r="Z463" s="6">
        <f ca="1">('TUSD BE'!$AM$29+'TUSD BF'!$AM$29+'TUSD CVA'!$AM$29)*1</f>
        <v>87.519361965254689</v>
      </c>
      <c r="AA463" s="6">
        <f>('TE BE'!$AA$11+'TE BF'!$AA$11+'TE CVA'!$AA$11)*1</f>
        <v>230.83420940933817</v>
      </c>
      <c r="AB463" s="6">
        <f>$K$463*$V$463</f>
        <v>21478.780000000002</v>
      </c>
      <c r="AC463" s="6">
        <f>$M$463*$W$463</f>
        <v>43378.840350000006</v>
      </c>
      <c r="AD463" s="6">
        <f>$O$463*$X$463</f>
        <v>131692.91993999999</v>
      </c>
      <c r="AE463" s="6">
        <f ca="1">$K$463*$Y$463</f>
        <v>27920.845509416489</v>
      </c>
      <c r="AF463" s="6">
        <f ca="1">$M$463*$Z$463</f>
        <v>44955.458025158623</v>
      </c>
      <c r="AG463" s="6">
        <f>$O$463*$AA$463</f>
        <v>118570.99250782888</v>
      </c>
    </row>
    <row r="464" spans="1:33" ht="11.25" customHeight="1" x14ac:dyDescent="0.25">
      <c r="A464" s="4" t="s">
        <v>21</v>
      </c>
      <c r="B464" s="4" t="s">
        <v>33</v>
      </c>
      <c r="C464" s="4" t="s">
        <v>41</v>
      </c>
      <c r="D464" s="4" t="s">
        <v>40</v>
      </c>
      <c r="E464" s="4" t="s">
        <v>25</v>
      </c>
      <c r="F464" s="4" t="s">
        <v>25</v>
      </c>
      <c r="G464" s="4" t="s">
        <v>25</v>
      </c>
      <c r="H464" s="4" t="s">
        <v>36</v>
      </c>
      <c r="I464" s="5">
        <v>43770</v>
      </c>
      <c r="J464" s="6">
        <v>2512</v>
      </c>
      <c r="K464" s="6">
        <v>2512</v>
      </c>
      <c r="L464" s="6">
        <v>571.21299999999997</v>
      </c>
      <c r="M464" s="6">
        <v>571.21299999999997</v>
      </c>
      <c r="N464" s="6">
        <v>571.21299999999997</v>
      </c>
      <c r="O464" s="6">
        <v>571.21299999999997</v>
      </c>
      <c r="P464" s="6">
        <v>0</v>
      </c>
      <c r="Q464" s="4" t="s">
        <v>26</v>
      </c>
      <c r="R464" s="4">
        <v>0</v>
      </c>
      <c r="S464" s="6">
        <v>22</v>
      </c>
      <c r="T464" s="6">
        <v>23</v>
      </c>
      <c r="U464" s="6">
        <v>82</v>
      </c>
      <c r="V464" s="6">
        <f>IF(ISERROR(VLOOKUP($S$464,'TAR FIN'!$A$1:$O$120,15,0)),0,VLOOKUP($S$464,'TAR FIN'!$A$1:$O$120,15,0))</f>
        <v>8.81</v>
      </c>
      <c r="W464" s="6">
        <f>IF(ISERROR(VLOOKUP($T$464,'TAR FIN'!$A$1:$O$120,15,0)),0,VLOOKUP($T$464,'TAR FIN'!$A$1:$O$120,15,0))</f>
        <v>84.45</v>
      </c>
      <c r="X464" s="6">
        <f>IF(ISERROR(VLOOKUP($U$464,'TAR FIN'!$A$1:$O$120,15,0)),0,VLOOKUP($U$464,'TAR FIN'!$A$1:$O$120,15,0))</f>
        <v>256.38</v>
      </c>
      <c r="Y464" s="6">
        <f ca="1">('TUSD BE'!$AM$28+'TUSD BF'!$AM$28+'TUSD CVA'!$AM$28)*1</f>
        <v>11.452356648653195</v>
      </c>
      <c r="Z464" s="6">
        <f ca="1">('TUSD BE'!$AM$29+'TUSD BF'!$AM$29+'TUSD CVA'!$AM$29)*1</f>
        <v>87.519361965254689</v>
      </c>
      <c r="AA464" s="6">
        <f>('TE BE'!$AA$11+'TE BF'!$AA$11+'TE CVA'!$AA$11)*1</f>
        <v>230.83420940933817</v>
      </c>
      <c r="AB464" s="6">
        <f>$K$464*$V$464</f>
        <v>22130.720000000001</v>
      </c>
      <c r="AC464" s="6">
        <f>$M$464*$W$464</f>
        <v>48238.937850000002</v>
      </c>
      <c r="AD464" s="6">
        <f>$O$464*$X$464</f>
        <v>146447.58893999999</v>
      </c>
      <c r="AE464" s="6">
        <f ca="1">$K$464*$Y$464</f>
        <v>28768.319901416828</v>
      </c>
      <c r="AF464" s="6">
        <f ca="1">$M$464*$Z$464</f>
        <v>49992.197306259026</v>
      </c>
      <c r="AG464" s="6">
        <f>$O$464*$AA$464</f>
        <v>131855.50125933628</v>
      </c>
    </row>
    <row r="465" spans="1:33" ht="11.25" customHeight="1" x14ac:dyDescent="0.25">
      <c r="A465" s="4" t="s">
        <v>21</v>
      </c>
      <c r="B465" s="4" t="s">
        <v>33</v>
      </c>
      <c r="C465" s="4" t="s">
        <v>41</v>
      </c>
      <c r="D465" s="4" t="s">
        <v>40</v>
      </c>
      <c r="E465" s="4" t="s">
        <v>25</v>
      </c>
      <c r="F465" s="4" t="s">
        <v>25</v>
      </c>
      <c r="G465" s="4" t="s">
        <v>25</v>
      </c>
      <c r="H465" s="4" t="s">
        <v>36</v>
      </c>
      <c r="I465" s="5">
        <v>43800</v>
      </c>
      <c r="J465" s="6">
        <v>2556</v>
      </c>
      <c r="K465" s="6">
        <v>2556</v>
      </c>
      <c r="L465" s="6">
        <v>529.96600000000001</v>
      </c>
      <c r="M465" s="6">
        <v>529.96600000000001</v>
      </c>
      <c r="N465" s="6">
        <v>529.96600000000001</v>
      </c>
      <c r="O465" s="6">
        <v>529.96600000000001</v>
      </c>
      <c r="P465" s="6">
        <v>0</v>
      </c>
      <c r="Q465" s="4" t="s">
        <v>26</v>
      </c>
      <c r="R465" s="4">
        <v>0</v>
      </c>
      <c r="S465" s="6">
        <v>22</v>
      </c>
      <c r="T465" s="6">
        <v>23</v>
      </c>
      <c r="U465" s="6">
        <v>82</v>
      </c>
      <c r="V465" s="6">
        <f>IF(ISERROR(VLOOKUP($S$465,'TAR FIN'!$A$1:$O$120,15,0)),0,VLOOKUP($S$465,'TAR FIN'!$A$1:$O$120,15,0))</f>
        <v>8.81</v>
      </c>
      <c r="W465" s="6">
        <f>IF(ISERROR(VLOOKUP($T$465,'TAR FIN'!$A$1:$O$120,15,0)),0,VLOOKUP($T$465,'TAR FIN'!$A$1:$O$120,15,0))</f>
        <v>84.45</v>
      </c>
      <c r="X465" s="6">
        <f>IF(ISERROR(VLOOKUP($U$465,'TAR FIN'!$A$1:$O$120,15,0)),0,VLOOKUP($U$465,'TAR FIN'!$A$1:$O$120,15,0))</f>
        <v>256.38</v>
      </c>
      <c r="Y465" s="6">
        <f ca="1">('TUSD BE'!$AM$28+'TUSD BF'!$AM$28+'TUSD CVA'!$AM$28)*1</f>
        <v>11.452356648653195</v>
      </c>
      <c r="Z465" s="6">
        <f ca="1">('TUSD BE'!$AM$29+'TUSD BF'!$AM$29+'TUSD CVA'!$AM$29)*1</f>
        <v>87.519361965254689</v>
      </c>
      <c r="AA465" s="6">
        <f>('TE BE'!$AA$11+'TE BF'!$AA$11+'TE CVA'!$AA$11)*1</f>
        <v>230.83420940933817</v>
      </c>
      <c r="AB465" s="6">
        <f>$K$465*$V$465</f>
        <v>22518.36</v>
      </c>
      <c r="AC465" s="6">
        <f>$M$465*$W$465</f>
        <v>44755.628700000001</v>
      </c>
      <c r="AD465" s="6">
        <f>$O$465*$X$465</f>
        <v>135872.68307999999</v>
      </c>
      <c r="AE465" s="6">
        <f ca="1">$K$465*$Y$465</f>
        <v>29272.223593957566</v>
      </c>
      <c r="AF465" s="6">
        <f ca="1">$M$465*$Z$465</f>
        <v>46382.286183278164</v>
      </c>
      <c r="AG465" s="6">
        <f>$O$465*$AA$465</f>
        <v>122334.28262382932</v>
      </c>
    </row>
    <row r="466" spans="1:33" ht="11.25" customHeight="1" x14ac:dyDescent="0.25">
      <c r="A466" s="4" t="s">
        <v>21</v>
      </c>
      <c r="B466" s="4" t="s">
        <v>33</v>
      </c>
      <c r="C466" s="4" t="s">
        <v>41</v>
      </c>
      <c r="D466" s="4" t="s">
        <v>40</v>
      </c>
      <c r="E466" s="4" t="s">
        <v>25</v>
      </c>
      <c r="F466" s="4" t="s">
        <v>25</v>
      </c>
      <c r="G466" s="4" t="s">
        <v>25</v>
      </c>
      <c r="H466" s="4" t="s">
        <v>36</v>
      </c>
      <c r="I466" s="5">
        <v>43831</v>
      </c>
      <c r="J466" s="6">
        <v>2532</v>
      </c>
      <c r="K466" s="6">
        <v>2532</v>
      </c>
      <c r="L466" s="6">
        <v>510.15300000000002</v>
      </c>
      <c r="M466" s="6">
        <v>510.15300000000002</v>
      </c>
      <c r="N466" s="6">
        <v>510.15300000000002</v>
      </c>
      <c r="O466" s="6">
        <v>510.15300000000002</v>
      </c>
      <c r="P466" s="6">
        <v>0</v>
      </c>
      <c r="Q466" s="4" t="s">
        <v>26</v>
      </c>
      <c r="R466" s="4">
        <v>0</v>
      </c>
      <c r="S466" s="6">
        <v>22</v>
      </c>
      <c r="T466" s="6">
        <v>23</v>
      </c>
      <c r="U466" s="6">
        <v>82</v>
      </c>
      <c r="V466" s="6">
        <f>IF(ISERROR(VLOOKUP($S$466,'TAR FIN'!$A$1:$O$120,15,0)),0,VLOOKUP($S$466,'TAR FIN'!$A$1:$O$120,15,0))</f>
        <v>8.81</v>
      </c>
      <c r="W466" s="6">
        <f>IF(ISERROR(VLOOKUP($T$466,'TAR FIN'!$A$1:$O$120,15,0)),0,VLOOKUP($T$466,'TAR FIN'!$A$1:$O$120,15,0))</f>
        <v>84.45</v>
      </c>
      <c r="X466" s="6">
        <f>IF(ISERROR(VLOOKUP($U$466,'TAR FIN'!$A$1:$O$120,15,0)),0,VLOOKUP($U$466,'TAR FIN'!$A$1:$O$120,15,0))</f>
        <v>256.38</v>
      </c>
      <c r="Y466" s="6">
        <f ca="1">('TUSD BE'!$AM$28+'TUSD BF'!$AM$28+'TUSD CVA'!$AM$28)*1</f>
        <v>11.452356648653195</v>
      </c>
      <c r="Z466" s="6">
        <f ca="1">('TUSD BE'!$AM$29+'TUSD BF'!$AM$29+'TUSD CVA'!$AM$29)*1</f>
        <v>87.519361965254689</v>
      </c>
      <c r="AA466" s="6">
        <f>('TE BE'!$AA$11+'TE BF'!$AA$11+'TE CVA'!$AA$11)*1</f>
        <v>230.83420940933817</v>
      </c>
      <c r="AB466" s="6">
        <f>$K$466*$V$466</f>
        <v>22306.920000000002</v>
      </c>
      <c r="AC466" s="6">
        <f>$M$466*$W$466</f>
        <v>43082.420850000002</v>
      </c>
      <c r="AD466" s="6">
        <f>$O$466*$X$466</f>
        <v>130793.02614</v>
      </c>
      <c r="AE466" s="6">
        <f ca="1">$K$466*$Y$466</f>
        <v>28997.367034389888</v>
      </c>
      <c r="AF466" s="6">
        <f ca="1">$M$466*$Z$466</f>
        <v>44648.265064660576</v>
      </c>
      <c r="AG466" s="6">
        <f>$O$466*$AA$466</f>
        <v>117760.7644328021</v>
      </c>
    </row>
    <row r="467" spans="1:33" ht="11.25" customHeight="1" x14ac:dyDescent="0.25">
      <c r="A467" s="4" t="s">
        <v>21</v>
      </c>
      <c r="B467" s="4" t="s">
        <v>33</v>
      </c>
      <c r="C467" s="4" t="s">
        <v>41</v>
      </c>
      <c r="D467" s="4" t="s">
        <v>40</v>
      </c>
      <c r="E467" s="4" t="s">
        <v>25</v>
      </c>
      <c r="F467" s="4" t="s">
        <v>25</v>
      </c>
      <c r="G467" s="4" t="s">
        <v>25</v>
      </c>
      <c r="H467" s="4" t="s">
        <v>36</v>
      </c>
      <c r="I467" s="5">
        <v>43862</v>
      </c>
      <c r="J467" s="6">
        <v>2740</v>
      </c>
      <c r="K467" s="6">
        <v>2740</v>
      </c>
      <c r="L467" s="6">
        <v>526.95399999999995</v>
      </c>
      <c r="M467" s="6">
        <v>526.95399999999995</v>
      </c>
      <c r="N467" s="6">
        <v>526.95399999999995</v>
      </c>
      <c r="O467" s="6">
        <v>526.95399999999995</v>
      </c>
      <c r="P467" s="6">
        <v>0</v>
      </c>
      <c r="Q467" s="4" t="s">
        <v>26</v>
      </c>
      <c r="R467" s="4">
        <v>0</v>
      </c>
      <c r="S467" s="6">
        <v>22</v>
      </c>
      <c r="T467" s="6">
        <v>23</v>
      </c>
      <c r="U467" s="6">
        <v>82</v>
      </c>
      <c r="V467" s="6">
        <f>IF(ISERROR(VLOOKUP($S$467,'TAR FIN'!$A$1:$O$120,15,0)),0,VLOOKUP($S$467,'TAR FIN'!$A$1:$O$120,15,0))</f>
        <v>8.81</v>
      </c>
      <c r="W467" s="6">
        <f>IF(ISERROR(VLOOKUP($T$467,'TAR FIN'!$A$1:$O$120,15,0)),0,VLOOKUP($T$467,'TAR FIN'!$A$1:$O$120,15,0))</f>
        <v>84.45</v>
      </c>
      <c r="X467" s="6">
        <f>IF(ISERROR(VLOOKUP($U$467,'TAR FIN'!$A$1:$O$120,15,0)),0,VLOOKUP($U$467,'TAR FIN'!$A$1:$O$120,15,0))</f>
        <v>256.38</v>
      </c>
      <c r="Y467" s="6">
        <f ca="1">('TUSD BE'!$AM$28+'TUSD BF'!$AM$28+'TUSD CVA'!$AM$28)*1</f>
        <v>11.452356648653195</v>
      </c>
      <c r="Z467" s="6">
        <f ca="1">('TUSD BE'!$AM$29+'TUSD BF'!$AM$29+'TUSD CVA'!$AM$29)*1</f>
        <v>87.519361965254689</v>
      </c>
      <c r="AA467" s="6">
        <f>('TE BE'!$AA$11+'TE BF'!$AA$11+'TE CVA'!$AA$11)*1</f>
        <v>230.83420940933817</v>
      </c>
      <c r="AB467" s="6">
        <f>$K$467*$V$467</f>
        <v>24139.4</v>
      </c>
      <c r="AC467" s="6">
        <f>$M$467*$W$467</f>
        <v>44501.265299999999</v>
      </c>
      <c r="AD467" s="6">
        <f>$O$467*$X$467</f>
        <v>135100.46651999999</v>
      </c>
      <c r="AE467" s="6">
        <f ca="1">$K$467*$Y$467</f>
        <v>31379.457217309755</v>
      </c>
      <c r="AF467" s="6">
        <f ca="1">$M$467*$Z$467</f>
        <v>46118.677865038815</v>
      </c>
      <c r="AG467" s="6">
        <f>$O$467*$AA$467</f>
        <v>121639.00998508837</v>
      </c>
    </row>
    <row r="468" spans="1:33" ht="11.25" customHeight="1" x14ac:dyDescent="0.25">
      <c r="A468" s="4" t="s">
        <v>21</v>
      </c>
      <c r="B468" s="4" t="s">
        <v>33</v>
      </c>
      <c r="C468" s="4" t="s">
        <v>41</v>
      </c>
      <c r="D468" s="4" t="s">
        <v>40</v>
      </c>
      <c r="E468" s="4" t="s">
        <v>25</v>
      </c>
      <c r="F468" s="4" t="s">
        <v>25</v>
      </c>
      <c r="G468" s="4" t="s">
        <v>25</v>
      </c>
      <c r="H468" s="4" t="s">
        <v>36</v>
      </c>
      <c r="I468" s="5">
        <v>43891</v>
      </c>
      <c r="J468" s="6">
        <v>2737</v>
      </c>
      <c r="K468" s="6">
        <v>2737</v>
      </c>
      <c r="L468" s="6">
        <v>471.13099999999997</v>
      </c>
      <c r="M468" s="6">
        <v>471.13099999999997</v>
      </c>
      <c r="N468" s="6">
        <v>471.13099999999997</v>
      </c>
      <c r="O468" s="6">
        <v>471.13099999999997</v>
      </c>
      <c r="P468" s="6">
        <v>0</v>
      </c>
      <c r="Q468" s="4" t="s">
        <v>26</v>
      </c>
      <c r="R468" s="4">
        <v>0</v>
      </c>
      <c r="S468" s="6">
        <v>22</v>
      </c>
      <c r="T468" s="6">
        <v>23</v>
      </c>
      <c r="U468" s="6">
        <v>82</v>
      </c>
      <c r="V468" s="6">
        <f>IF(ISERROR(VLOOKUP($S$468,'TAR FIN'!$A$1:$O$120,15,0)),0,VLOOKUP($S$468,'TAR FIN'!$A$1:$O$120,15,0))</f>
        <v>8.81</v>
      </c>
      <c r="W468" s="6">
        <f>IF(ISERROR(VLOOKUP($T$468,'TAR FIN'!$A$1:$O$120,15,0)),0,VLOOKUP($T$468,'TAR FIN'!$A$1:$O$120,15,0))</f>
        <v>84.45</v>
      </c>
      <c r="X468" s="6">
        <f>IF(ISERROR(VLOOKUP($U$468,'TAR FIN'!$A$1:$O$120,15,0)),0,VLOOKUP($U$468,'TAR FIN'!$A$1:$O$120,15,0))</f>
        <v>256.38</v>
      </c>
      <c r="Y468" s="6">
        <f ca="1">('TUSD BE'!$AM$28+'TUSD BF'!$AM$28+'TUSD CVA'!$AM$28)*1</f>
        <v>11.452356648653195</v>
      </c>
      <c r="Z468" s="6">
        <f ca="1">('TUSD BE'!$AM$29+'TUSD BF'!$AM$29+'TUSD CVA'!$AM$29)*1</f>
        <v>87.519361965254689</v>
      </c>
      <c r="AA468" s="6">
        <f>('TE BE'!$AA$11+'TE BF'!$AA$11+'TE CVA'!$AA$11)*1</f>
        <v>230.83420940933817</v>
      </c>
      <c r="AB468" s="6">
        <f>$K$468*$V$468</f>
        <v>24112.97</v>
      </c>
      <c r="AC468" s="6">
        <f>$M$468*$W$468</f>
        <v>39787.012949999997</v>
      </c>
      <c r="AD468" s="6">
        <f>$O$468*$X$468</f>
        <v>120788.56577999999</v>
      </c>
      <c r="AE468" s="6">
        <f ca="1">$K$468*$Y$468</f>
        <v>31345.100147363795</v>
      </c>
      <c r="AF468" s="6">
        <f ca="1">$M$468*$Z$468</f>
        <v>41233.084522052406</v>
      </c>
      <c r="AG468" s="6">
        <f>$O$468*$AA$468</f>
        <v>108753.15191323089</v>
      </c>
    </row>
    <row r="469" spans="1:33" ht="11.25" customHeight="1" x14ac:dyDescent="0.25">
      <c r="A469" s="4" t="s">
        <v>21</v>
      </c>
      <c r="B469" s="4" t="s">
        <v>33</v>
      </c>
      <c r="C469" s="4" t="s">
        <v>41</v>
      </c>
      <c r="D469" s="4" t="s">
        <v>40</v>
      </c>
      <c r="E469" s="4" t="s">
        <v>25</v>
      </c>
      <c r="F469" s="4" t="s">
        <v>25</v>
      </c>
      <c r="G469" s="4" t="s">
        <v>25</v>
      </c>
      <c r="H469" s="4" t="s">
        <v>36</v>
      </c>
      <c r="I469" s="5">
        <v>43922</v>
      </c>
      <c r="J469" s="6">
        <v>2723</v>
      </c>
      <c r="K469" s="6">
        <v>2723</v>
      </c>
      <c r="L469" s="6">
        <v>465.16699999999997</v>
      </c>
      <c r="M469" s="6">
        <v>465.16699999999997</v>
      </c>
      <c r="N469" s="6">
        <v>465.16699999999997</v>
      </c>
      <c r="O469" s="6">
        <v>465.16699999999997</v>
      </c>
      <c r="P469" s="6">
        <v>0</v>
      </c>
      <c r="Q469" s="4" t="s">
        <v>26</v>
      </c>
      <c r="R469" s="4">
        <v>0</v>
      </c>
      <c r="S469" s="6">
        <v>22</v>
      </c>
      <c r="T469" s="6">
        <v>23</v>
      </c>
      <c r="U469" s="6">
        <v>82</v>
      </c>
      <c r="V469" s="6">
        <f>IF(ISERROR(VLOOKUP($S$469,'TAR FIN'!$A$1:$O$120,15,0)),0,VLOOKUP($S$469,'TAR FIN'!$A$1:$O$120,15,0))</f>
        <v>8.81</v>
      </c>
      <c r="W469" s="6">
        <f>IF(ISERROR(VLOOKUP($T$469,'TAR FIN'!$A$1:$O$120,15,0)),0,VLOOKUP($T$469,'TAR FIN'!$A$1:$O$120,15,0))</f>
        <v>84.45</v>
      </c>
      <c r="X469" s="6">
        <f>IF(ISERROR(VLOOKUP($U$469,'TAR FIN'!$A$1:$O$120,15,0)),0,VLOOKUP($U$469,'TAR FIN'!$A$1:$O$120,15,0))</f>
        <v>256.38</v>
      </c>
      <c r="Y469" s="6">
        <f ca="1">('TUSD BE'!$AM$28+'TUSD BF'!$AM$28+'TUSD CVA'!$AM$28)*1</f>
        <v>11.452356648653195</v>
      </c>
      <c r="Z469" s="6">
        <f ca="1">('TUSD BE'!$AM$29+'TUSD BF'!$AM$29+'TUSD CVA'!$AM$29)*1</f>
        <v>87.519361965254689</v>
      </c>
      <c r="AA469" s="6">
        <f>('TE BE'!$AA$11+'TE BF'!$AA$11+'TE CVA'!$AA$11)*1</f>
        <v>230.83420940933817</v>
      </c>
      <c r="AB469" s="6">
        <f>$K$469*$V$469</f>
        <v>23989.63</v>
      </c>
      <c r="AC469" s="6">
        <f>$M$469*$W$469</f>
        <v>39283.353150000003</v>
      </c>
      <c r="AD469" s="6">
        <f>$O$469*$X$469</f>
        <v>119259.51546</v>
      </c>
      <c r="AE469" s="6">
        <f ca="1">$K$469*$Y$469</f>
        <v>31184.76715428265</v>
      </c>
      <c r="AF469" s="6">
        <f ca="1">$M$469*$Z$469</f>
        <v>40711.119047291628</v>
      </c>
      <c r="AG469" s="6">
        <f>$O$469*$AA$469</f>
        <v>107376.4566883136</v>
      </c>
    </row>
    <row r="470" spans="1:33" ht="11.25" customHeight="1" x14ac:dyDescent="0.25">
      <c r="A470" s="4" t="s">
        <v>21</v>
      </c>
      <c r="B470" s="4" t="s">
        <v>33</v>
      </c>
      <c r="C470" s="4" t="s">
        <v>41</v>
      </c>
      <c r="D470" s="4" t="s">
        <v>40</v>
      </c>
      <c r="E470" s="4" t="s">
        <v>25</v>
      </c>
      <c r="F470" s="4" t="s">
        <v>25</v>
      </c>
      <c r="G470" s="4" t="s">
        <v>25</v>
      </c>
      <c r="H470" s="4" t="s">
        <v>36</v>
      </c>
      <c r="I470" s="5">
        <v>43952</v>
      </c>
      <c r="J470" s="6">
        <v>2758</v>
      </c>
      <c r="K470" s="6">
        <v>2758</v>
      </c>
      <c r="L470" s="6">
        <v>387.69900000000001</v>
      </c>
      <c r="M470" s="6">
        <v>387.69900000000001</v>
      </c>
      <c r="N470" s="6">
        <v>387.69900000000001</v>
      </c>
      <c r="O470" s="6">
        <v>387.69900000000001</v>
      </c>
      <c r="P470" s="6">
        <v>0</v>
      </c>
      <c r="Q470" s="4" t="s">
        <v>26</v>
      </c>
      <c r="R470" s="4">
        <v>0</v>
      </c>
      <c r="S470" s="6">
        <v>22</v>
      </c>
      <c r="T470" s="6">
        <v>23</v>
      </c>
      <c r="U470" s="6">
        <v>82</v>
      </c>
      <c r="V470" s="6">
        <f>IF(ISERROR(VLOOKUP($S$470,'TAR FIN'!$A$1:$O$120,15,0)),0,VLOOKUP($S$470,'TAR FIN'!$A$1:$O$120,15,0))</f>
        <v>8.81</v>
      </c>
      <c r="W470" s="6">
        <f>IF(ISERROR(VLOOKUP($T$470,'TAR FIN'!$A$1:$O$120,15,0)),0,VLOOKUP($T$470,'TAR FIN'!$A$1:$O$120,15,0))</f>
        <v>84.45</v>
      </c>
      <c r="X470" s="6">
        <f>IF(ISERROR(VLOOKUP($U$470,'TAR FIN'!$A$1:$O$120,15,0)),0,VLOOKUP($U$470,'TAR FIN'!$A$1:$O$120,15,0))</f>
        <v>256.38</v>
      </c>
      <c r="Y470" s="6">
        <f ca="1">('TUSD BE'!$AM$28+'TUSD BF'!$AM$28+'TUSD CVA'!$AM$28)*1</f>
        <v>11.452356648653195</v>
      </c>
      <c r="Z470" s="6">
        <f ca="1">('TUSD BE'!$AM$29+'TUSD BF'!$AM$29+'TUSD CVA'!$AM$29)*1</f>
        <v>87.519361965254689</v>
      </c>
      <c r="AA470" s="6">
        <f>('TE BE'!$AA$11+'TE BF'!$AA$11+'TE CVA'!$AA$11)*1</f>
        <v>230.83420940933817</v>
      </c>
      <c r="AB470" s="6">
        <f>$K$470*$V$470</f>
        <v>24297.98</v>
      </c>
      <c r="AC470" s="6">
        <f>$M$470*$W$470</f>
        <v>32741.180550000001</v>
      </c>
      <c r="AD470" s="6">
        <f>$O$470*$X$470</f>
        <v>99398.269620000006</v>
      </c>
      <c r="AE470" s="6">
        <f ca="1">$K$470*$Y$470</f>
        <v>31585.599636985513</v>
      </c>
      <c r="AF470" s="6">
        <f ca="1">$M$470*$Z$470</f>
        <v>33931.169114567281</v>
      </c>
      <c r="AG470" s="6">
        <f>$O$470*$AA$470</f>
        <v>89494.192153791009</v>
      </c>
    </row>
    <row r="471" spans="1:33" ht="11.25" customHeight="1" x14ac:dyDescent="0.25">
      <c r="A471" s="4" t="s">
        <v>21</v>
      </c>
      <c r="B471" s="4" t="s">
        <v>33</v>
      </c>
      <c r="C471" s="4" t="s">
        <v>41</v>
      </c>
      <c r="D471" s="4" t="s">
        <v>40</v>
      </c>
      <c r="E471" s="4" t="s">
        <v>25</v>
      </c>
      <c r="F471" s="4" t="s">
        <v>25</v>
      </c>
      <c r="G471" s="4" t="s">
        <v>25</v>
      </c>
      <c r="H471" s="4" t="s">
        <v>36</v>
      </c>
      <c r="I471" s="5">
        <v>43983</v>
      </c>
      <c r="J471" s="6">
        <v>2789</v>
      </c>
      <c r="K471" s="6">
        <v>2789</v>
      </c>
      <c r="L471" s="6">
        <v>431.923</v>
      </c>
      <c r="M471" s="6">
        <v>431.923</v>
      </c>
      <c r="N471" s="6">
        <v>431.923</v>
      </c>
      <c r="O471" s="6">
        <v>431.923</v>
      </c>
      <c r="P471" s="6">
        <v>0</v>
      </c>
      <c r="Q471" s="4" t="s">
        <v>26</v>
      </c>
      <c r="R471" s="4">
        <v>0</v>
      </c>
      <c r="S471" s="6">
        <v>22</v>
      </c>
      <c r="T471" s="6">
        <v>23</v>
      </c>
      <c r="U471" s="6">
        <v>82</v>
      </c>
      <c r="V471" s="6">
        <f>IF(ISERROR(VLOOKUP($S$471,'TAR FIN'!$A$1:$O$120,15,0)),0,VLOOKUP($S$471,'TAR FIN'!$A$1:$O$120,15,0))</f>
        <v>8.81</v>
      </c>
      <c r="W471" s="6">
        <f>IF(ISERROR(VLOOKUP($T$471,'TAR FIN'!$A$1:$O$120,15,0)),0,VLOOKUP($T$471,'TAR FIN'!$A$1:$O$120,15,0))</f>
        <v>84.45</v>
      </c>
      <c r="X471" s="6">
        <f>IF(ISERROR(VLOOKUP($U$471,'TAR FIN'!$A$1:$O$120,15,0)),0,VLOOKUP($U$471,'TAR FIN'!$A$1:$O$120,15,0))</f>
        <v>256.38</v>
      </c>
      <c r="Y471" s="6">
        <f ca="1">('TUSD BE'!$AM$28+'TUSD BF'!$AM$28+'TUSD CVA'!$AM$28)*1</f>
        <v>11.452356648653195</v>
      </c>
      <c r="Z471" s="6">
        <f ca="1">('TUSD BE'!$AM$29+'TUSD BF'!$AM$29+'TUSD CVA'!$AM$29)*1</f>
        <v>87.519361965254689</v>
      </c>
      <c r="AA471" s="6">
        <f>('TE BE'!$AA$11+'TE BF'!$AA$11+'TE CVA'!$AA$11)*1</f>
        <v>230.83420940933817</v>
      </c>
      <c r="AB471" s="6">
        <f>$K$471*$V$471</f>
        <v>24571.09</v>
      </c>
      <c r="AC471" s="6">
        <f>$M$471*$W$471</f>
        <v>36475.897349999999</v>
      </c>
      <c r="AD471" s="6">
        <f>$O$471*$X$471</f>
        <v>110736.41873999999</v>
      </c>
      <c r="AE471" s="6">
        <f ca="1">$K$471*$Y$471</f>
        <v>31940.622693093763</v>
      </c>
      <c r="AF471" s="6">
        <f ca="1">$M$471*$Z$471</f>
        <v>37801.625378118704</v>
      </c>
      <c r="AG471" s="6">
        <f>$O$471*$AA$471</f>
        <v>99702.604230709578</v>
      </c>
    </row>
    <row r="472" spans="1:33" ht="11.25" customHeight="1" x14ac:dyDescent="0.25">
      <c r="A472" s="4" t="s">
        <v>21</v>
      </c>
      <c r="B472" s="4" t="s">
        <v>33</v>
      </c>
      <c r="C472" s="4" t="s">
        <v>41</v>
      </c>
      <c r="D472" s="4" t="s">
        <v>40</v>
      </c>
      <c r="E472" s="4" t="s">
        <v>25</v>
      </c>
      <c r="F472" s="4" t="s">
        <v>25</v>
      </c>
      <c r="G472" s="4" t="s">
        <v>25</v>
      </c>
      <c r="H472" s="4" t="s">
        <v>36</v>
      </c>
      <c r="I472" s="5">
        <v>44013</v>
      </c>
      <c r="J472" s="6">
        <v>2811</v>
      </c>
      <c r="K472" s="6">
        <v>2811</v>
      </c>
      <c r="L472" s="6">
        <v>428.92899999999997</v>
      </c>
      <c r="M472" s="6">
        <v>428.92899999999997</v>
      </c>
      <c r="N472" s="6">
        <v>428.92899999999997</v>
      </c>
      <c r="O472" s="6">
        <v>428.92899999999997</v>
      </c>
      <c r="P472" s="6">
        <v>0</v>
      </c>
      <c r="Q472" s="4" t="s">
        <v>26</v>
      </c>
      <c r="R472" s="4">
        <v>0</v>
      </c>
      <c r="S472" s="6">
        <v>22</v>
      </c>
      <c r="T472" s="6">
        <v>23</v>
      </c>
      <c r="U472" s="6">
        <v>82</v>
      </c>
      <c r="V472" s="6">
        <f>IF(ISERROR(VLOOKUP($S$472,'TAR FIN'!$A$1:$O$120,15,0)),0,VLOOKUP($S$472,'TAR FIN'!$A$1:$O$120,15,0))</f>
        <v>8.81</v>
      </c>
      <c r="W472" s="6">
        <f>IF(ISERROR(VLOOKUP($T$472,'TAR FIN'!$A$1:$O$120,15,0)),0,VLOOKUP($T$472,'TAR FIN'!$A$1:$O$120,15,0))</f>
        <v>84.45</v>
      </c>
      <c r="X472" s="6">
        <f>IF(ISERROR(VLOOKUP($U$472,'TAR FIN'!$A$1:$O$120,15,0)),0,VLOOKUP($U$472,'TAR FIN'!$A$1:$O$120,15,0))</f>
        <v>256.38</v>
      </c>
      <c r="Y472" s="6">
        <f ca="1">('TUSD BE'!$AM$28+'TUSD BF'!$AM$28+'TUSD CVA'!$AM$28)*1</f>
        <v>11.452356648653195</v>
      </c>
      <c r="Z472" s="6">
        <f ca="1">('TUSD BE'!$AM$29+'TUSD BF'!$AM$29+'TUSD CVA'!$AM$29)*1</f>
        <v>87.519361965254689</v>
      </c>
      <c r="AA472" s="6">
        <f>('TE BE'!$AA$11+'TE BF'!$AA$11+'TE CVA'!$AA$11)*1</f>
        <v>230.83420940933817</v>
      </c>
      <c r="AB472" s="6">
        <f>$K$472*$V$472</f>
        <v>24764.91</v>
      </c>
      <c r="AC472" s="6">
        <f>$M$472*$W$472</f>
        <v>36223.054049999999</v>
      </c>
      <c r="AD472" s="6">
        <f>$O$472*$X$472</f>
        <v>109968.81701999999</v>
      </c>
      <c r="AE472" s="6">
        <f ca="1">$K$472*$Y$472</f>
        <v>32192.57453936413</v>
      </c>
      <c r="AF472" s="6">
        <f ca="1">$M$472*$Z$472</f>
        <v>37539.592408394725</v>
      </c>
      <c r="AG472" s="6">
        <f>$O$472*$AA$472</f>
        <v>99011.486607738014</v>
      </c>
    </row>
    <row r="473" spans="1:33" ht="11.25" customHeight="1" x14ac:dyDescent="0.25">
      <c r="A473" s="4" t="s">
        <v>21</v>
      </c>
      <c r="B473" s="4" t="s">
        <v>33</v>
      </c>
      <c r="C473" s="4" t="s">
        <v>41</v>
      </c>
      <c r="D473" s="4" t="s">
        <v>40</v>
      </c>
      <c r="E473" s="4" t="s">
        <v>25</v>
      </c>
      <c r="F473" s="4" t="s">
        <v>25</v>
      </c>
      <c r="G473" s="4" t="s">
        <v>25</v>
      </c>
      <c r="H473" s="4" t="s">
        <v>36</v>
      </c>
      <c r="I473" s="5">
        <v>44044</v>
      </c>
      <c r="J473" s="6">
        <v>2670</v>
      </c>
      <c r="K473" s="6">
        <v>2670</v>
      </c>
      <c r="L473" s="6">
        <v>405.21300000000002</v>
      </c>
      <c r="M473" s="6">
        <v>405.21300000000002</v>
      </c>
      <c r="N473" s="6">
        <v>405.21300000000002</v>
      </c>
      <c r="O473" s="6">
        <v>405.21300000000002</v>
      </c>
      <c r="P473" s="6">
        <v>0</v>
      </c>
      <c r="Q473" s="4" t="s">
        <v>26</v>
      </c>
      <c r="R473" s="4">
        <v>0</v>
      </c>
      <c r="S473" s="6">
        <v>22</v>
      </c>
      <c r="T473" s="6">
        <v>23</v>
      </c>
      <c r="U473" s="6">
        <v>82</v>
      </c>
      <c r="V473" s="6">
        <f>IF(ISERROR(VLOOKUP($S$473,'TAR FIN'!$A$1:$O$120,15,0)),0,VLOOKUP($S$473,'TAR FIN'!$A$1:$O$120,15,0))</f>
        <v>8.81</v>
      </c>
      <c r="W473" s="6">
        <f>IF(ISERROR(VLOOKUP($T$473,'TAR FIN'!$A$1:$O$120,15,0)),0,VLOOKUP($T$473,'TAR FIN'!$A$1:$O$120,15,0))</f>
        <v>84.45</v>
      </c>
      <c r="X473" s="6">
        <f>IF(ISERROR(VLOOKUP($U$473,'TAR FIN'!$A$1:$O$120,15,0)),0,VLOOKUP($U$473,'TAR FIN'!$A$1:$O$120,15,0))</f>
        <v>256.38</v>
      </c>
      <c r="Y473" s="6">
        <f ca="1">('TUSD BE'!$AM$28+'TUSD BF'!$AM$28+'TUSD CVA'!$AM$28)*1</f>
        <v>11.452356648653195</v>
      </c>
      <c r="Z473" s="6">
        <f ca="1">('TUSD BE'!$AM$29+'TUSD BF'!$AM$29+'TUSD CVA'!$AM$29)*1</f>
        <v>87.519361965254689</v>
      </c>
      <c r="AA473" s="6">
        <f>('TE BE'!$AA$11+'TE BF'!$AA$11+'TE CVA'!$AA$11)*1</f>
        <v>230.83420940933817</v>
      </c>
      <c r="AB473" s="6">
        <f>$K$473*$V$473</f>
        <v>23522.7</v>
      </c>
      <c r="AC473" s="6">
        <f>$M$473*$W$473</f>
        <v>34220.237850000005</v>
      </c>
      <c r="AD473" s="6">
        <f>$O$473*$X$473</f>
        <v>103888.50894</v>
      </c>
      <c r="AE473" s="6">
        <f ca="1">$K$473*$Y$473</f>
        <v>30577.792251904029</v>
      </c>
      <c r="AF473" s="6">
        <f ca="1">$M$473*$Z$473</f>
        <v>35463.983220026748</v>
      </c>
      <c r="AG473" s="6">
        <f>$O$473*$AA$473</f>
        <v>93537.022497386148</v>
      </c>
    </row>
    <row r="474" spans="1:33" ht="11.25" customHeight="1" x14ac:dyDescent="0.25">
      <c r="A474" s="4" t="s">
        <v>27</v>
      </c>
      <c r="B474" s="4" t="s">
        <v>33</v>
      </c>
      <c r="C474" s="4" t="s">
        <v>41</v>
      </c>
      <c r="D474" s="4" t="s">
        <v>40</v>
      </c>
      <c r="E474" s="4" t="s">
        <v>25</v>
      </c>
      <c r="F474" s="4" t="s">
        <v>25</v>
      </c>
      <c r="G474" s="4" t="s">
        <v>25</v>
      </c>
      <c r="H474" s="4" t="s">
        <v>36</v>
      </c>
      <c r="I474" s="5">
        <v>44044</v>
      </c>
      <c r="J474" s="6">
        <v>150</v>
      </c>
      <c r="K474" s="6">
        <v>150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4" t="s">
        <v>26</v>
      </c>
      <c r="R474" s="4">
        <v>0</v>
      </c>
      <c r="S474" s="6">
        <v>22</v>
      </c>
      <c r="T474" s="6">
        <v>0</v>
      </c>
      <c r="U474" s="6">
        <v>0</v>
      </c>
      <c r="V474" s="6">
        <f>IF(ISERROR(VLOOKUP($S$474,'TAR FIN'!$A$1:$O$120,15,0)),0,VLOOKUP($S$474,'TAR FIN'!$A$1:$O$120,15,0))</f>
        <v>8.81</v>
      </c>
      <c r="W474" s="6">
        <f>IF(ISERROR(VLOOKUP($T$474,'TAR FIN'!$A$1:$O$120,15,0)),0,VLOOKUP($T$474,'TAR FIN'!$A$1:$O$120,15,0))</f>
        <v>0</v>
      </c>
      <c r="X474" s="6">
        <f>IF(ISERROR(VLOOKUP($U$474,'TAR FIN'!$A$1:$O$120,15,0)),0,VLOOKUP($U$474,'TAR FIN'!$A$1:$O$120,15,0))</f>
        <v>0</v>
      </c>
      <c r="Y474" s="6">
        <f ca="1">('TUSD BE'!$AM$28+'TUSD BF'!$AM$28+'TUSD CVA'!$AM$28)*1</f>
        <v>11.452356648653195</v>
      </c>
      <c r="Z474" s="6">
        <f ca="1">('TUSD BE'!$AM$29+'TUSD BF'!$AM$29+'TUSD CVA'!$AM$29)*1</f>
        <v>87.519361965254689</v>
      </c>
      <c r="AA474" s="6">
        <f>('TE BE'!$AA$11+'TE BF'!$AA$11+'TE CVA'!$AA$11)*1</f>
        <v>230.83420940933817</v>
      </c>
      <c r="AB474" s="6">
        <f>$K$474*$V$474</f>
        <v>1321.5</v>
      </c>
      <c r="AC474" s="6">
        <f>$M$474*$W$474</f>
        <v>0</v>
      </c>
      <c r="AD474" s="6">
        <f>$O$474*$X$474</f>
        <v>0</v>
      </c>
      <c r="AE474" s="6">
        <f ca="1">$K$474*$Y$474</f>
        <v>1717.8534972979792</v>
      </c>
      <c r="AF474" s="6">
        <f ca="1">$M$474*$Z$474</f>
        <v>0</v>
      </c>
      <c r="AG474" s="6">
        <f>$O$474*$AA$474</f>
        <v>0</v>
      </c>
    </row>
    <row r="475" spans="1:33" ht="11.25" customHeight="1" x14ac:dyDescent="0.25">
      <c r="A475" s="4" t="s">
        <v>59</v>
      </c>
      <c r="B475" s="4" t="s">
        <v>33</v>
      </c>
      <c r="C475" s="4" t="s">
        <v>41</v>
      </c>
      <c r="D475" s="4" t="s">
        <v>40</v>
      </c>
      <c r="E475" s="4" t="s">
        <v>25</v>
      </c>
      <c r="F475" s="4" t="s">
        <v>25</v>
      </c>
      <c r="G475" s="4" t="s">
        <v>25</v>
      </c>
      <c r="H475" s="4" t="s">
        <v>36</v>
      </c>
      <c r="I475" s="5">
        <v>44075</v>
      </c>
      <c r="J475" s="6">
        <v>2670</v>
      </c>
      <c r="K475" s="6">
        <v>2670</v>
      </c>
      <c r="L475" s="6">
        <v>405.21300000000002</v>
      </c>
      <c r="M475" s="6">
        <v>405.21300000000002</v>
      </c>
      <c r="N475" s="6">
        <v>405.21300000000002</v>
      </c>
      <c r="O475" s="6">
        <v>405.21300000000002</v>
      </c>
      <c r="P475" s="6">
        <v>0</v>
      </c>
      <c r="Q475" s="4" t="s">
        <v>26</v>
      </c>
      <c r="R475" s="4">
        <v>0</v>
      </c>
      <c r="S475" s="6">
        <v>22</v>
      </c>
      <c r="T475" s="6">
        <v>23</v>
      </c>
      <c r="U475" s="6">
        <v>82</v>
      </c>
      <c r="V475" s="6">
        <f>IF(ISERROR(VLOOKUP($S$475,'TAR FIN'!$A$1:$O$120,15,0)),0,VLOOKUP($S$475,'TAR FIN'!$A$1:$O$120,15,0))</f>
        <v>8.81</v>
      </c>
      <c r="W475" s="6">
        <f>IF(ISERROR(VLOOKUP($T$475,'TAR FIN'!$A$1:$O$120,15,0)),0,VLOOKUP($T$475,'TAR FIN'!$A$1:$O$120,15,0))</f>
        <v>84.45</v>
      </c>
      <c r="X475" s="6">
        <f>IF(ISERROR(VLOOKUP($U$475,'TAR FIN'!$A$1:$O$120,15,0)),0,VLOOKUP($U$475,'TAR FIN'!$A$1:$O$120,15,0))</f>
        <v>256.38</v>
      </c>
      <c r="Y475" s="6">
        <f ca="1">('TUSD BE'!$AM$28+'TUSD BF'!$AM$28+'TUSD CVA'!$AM$28)*1</f>
        <v>11.452356648653195</v>
      </c>
      <c r="Z475" s="6">
        <f ca="1">('TUSD BE'!$AM$29+'TUSD BF'!$AM$29+'TUSD CVA'!$AM$29)*1</f>
        <v>87.519361965254689</v>
      </c>
      <c r="AA475" s="6">
        <f>('TE BE'!$AA$11+'TE BF'!$AA$11+'TE CVA'!$AA$11)*1</f>
        <v>230.83420940933817</v>
      </c>
      <c r="AB475" s="6">
        <f>$K$475*$V$475</f>
        <v>23522.7</v>
      </c>
      <c r="AC475" s="6">
        <f>$M$475*$W$475</f>
        <v>34220.237850000005</v>
      </c>
      <c r="AD475" s="6">
        <f>$O$475*$X$475</f>
        <v>103888.50894</v>
      </c>
      <c r="AE475" s="6">
        <f ca="1">$K$475*$Y$475</f>
        <v>30577.792251904029</v>
      </c>
      <c r="AF475" s="6">
        <f ca="1">$M$475*$Z$475</f>
        <v>35463.983220026748</v>
      </c>
      <c r="AG475" s="6">
        <f>$O$475*$AA$475</f>
        <v>93537.022497386148</v>
      </c>
    </row>
    <row r="476" spans="1:33" ht="11.25" customHeight="1" x14ac:dyDescent="0.25">
      <c r="A476" s="4" t="s">
        <v>59</v>
      </c>
      <c r="B476" s="4" t="s">
        <v>33</v>
      </c>
      <c r="C476" s="4" t="s">
        <v>41</v>
      </c>
      <c r="D476" s="4" t="s">
        <v>40</v>
      </c>
      <c r="E476" s="4" t="s">
        <v>25</v>
      </c>
      <c r="F476" s="4" t="s">
        <v>25</v>
      </c>
      <c r="G476" s="4" t="s">
        <v>25</v>
      </c>
      <c r="H476" s="4" t="s">
        <v>36</v>
      </c>
      <c r="I476" s="5">
        <v>44075</v>
      </c>
      <c r="J476" s="6">
        <v>150</v>
      </c>
      <c r="K476" s="6">
        <v>150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4" t="s">
        <v>26</v>
      </c>
      <c r="R476" s="4">
        <v>0</v>
      </c>
      <c r="S476" s="6">
        <v>22</v>
      </c>
      <c r="T476" s="6">
        <v>0</v>
      </c>
      <c r="U476" s="6">
        <v>0</v>
      </c>
      <c r="V476" s="6">
        <f>IF(ISERROR(VLOOKUP($S$476,'TAR FIN'!$A$1:$O$120,15,0)),0,VLOOKUP($S$476,'TAR FIN'!$A$1:$O$120,15,0))</f>
        <v>8.81</v>
      </c>
      <c r="W476" s="6">
        <f>IF(ISERROR(VLOOKUP($T$476,'TAR FIN'!$A$1:$O$120,15,0)),0,VLOOKUP($T$476,'TAR FIN'!$A$1:$O$120,15,0))</f>
        <v>0</v>
      </c>
      <c r="X476" s="6">
        <f>IF(ISERROR(VLOOKUP($U$476,'TAR FIN'!$A$1:$O$120,15,0)),0,VLOOKUP($U$476,'TAR FIN'!$A$1:$O$120,15,0))</f>
        <v>0</v>
      </c>
      <c r="Y476" s="6">
        <f ca="1">('TUSD BE'!$AM$28+'TUSD BF'!$AM$28+'TUSD CVA'!$AM$28)*1</f>
        <v>11.452356648653195</v>
      </c>
      <c r="Z476" s="6">
        <f ca="1">('TUSD BE'!$AM$29+'TUSD BF'!$AM$29+'TUSD CVA'!$AM$29)*1</f>
        <v>87.519361965254689</v>
      </c>
      <c r="AA476" s="6">
        <f>('TE BE'!$AA$11+'TE BF'!$AA$11+'TE CVA'!$AA$11)*1</f>
        <v>230.83420940933817</v>
      </c>
      <c r="AB476" s="6">
        <f>$K$476*$V$476</f>
        <v>1321.5</v>
      </c>
      <c r="AC476" s="6">
        <f>$M$476*$W$476</f>
        <v>0</v>
      </c>
      <c r="AD476" s="6">
        <f>$O$476*$X$476</f>
        <v>0</v>
      </c>
      <c r="AE476" s="6">
        <f ca="1">$K$476*$Y$476</f>
        <v>1717.8534972979792</v>
      </c>
      <c r="AF476" s="6">
        <f ca="1">$M$476*$Z$476</f>
        <v>0</v>
      </c>
      <c r="AG476" s="6">
        <f>$O$476*$AA$476</f>
        <v>0</v>
      </c>
    </row>
    <row r="477" spans="1:33" ht="11.25" customHeight="1" x14ac:dyDescent="0.25">
      <c r="A477" s="4" t="s">
        <v>21</v>
      </c>
      <c r="B477" s="4" t="s">
        <v>33</v>
      </c>
      <c r="C477" s="4" t="s">
        <v>41</v>
      </c>
      <c r="D477" s="4" t="s">
        <v>40</v>
      </c>
      <c r="E477" s="4" t="s">
        <v>25</v>
      </c>
      <c r="F477" s="4" t="s">
        <v>25</v>
      </c>
      <c r="G477" s="4" t="s">
        <v>25</v>
      </c>
      <c r="H477" s="4" t="s">
        <v>35</v>
      </c>
      <c r="I477" s="5">
        <v>43739</v>
      </c>
      <c r="J477" s="6">
        <v>1212</v>
      </c>
      <c r="K477" s="6">
        <v>1212</v>
      </c>
      <c r="L477" s="6">
        <v>40.665999999999997</v>
      </c>
      <c r="M477" s="6">
        <v>40.665999999999997</v>
      </c>
      <c r="N477" s="6">
        <v>40.665999999999997</v>
      </c>
      <c r="O477" s="6">
        <v>40.665999999999997</v>
      </c>
      <c r="P477" s="6">
        <v>0</v>
      </c>
      <c r="Q477" s="4" t="s">
        <v>26</v>
      </c>
      <c r="R477" s="4">
        <v>0</v>
      </c>
      <c r="S477" s="6">
        <v>21</v>
      </c>
      <c r="T477" s="6">
        <v>23</v>
      </c>
      <c r="U477" s="6">
        <v>81</v>
      </c>
      <c r="V477" s="6">
        <f>IF(ISERROR(VLOOKUP($S$477,'TAR FIN'!$A$1:$O$120,15,0)),0,VLOOKUP($S$477,'TAR FIN'!$A$1:$O$120,15,0))</f>
        <v>22.94</v>
      </c>
      <c r="W477" s="6">
        <f>IF(ISERROR(VLOOKUP($T$477,'TAR FIN'!$A$1:$O$120,15,0)),0,VLOOKUP($T$477,'TAR FIN'!$A$1:$O$120,15,0))</f>
        <v>84.45</v>
      </c>
      <c r="X477" s="6">
        <f>IF(ISERROR(VLOOKUP($U$477,'TAR FIN'!$A$1:$O$120,15,0)),0,VLOOKUP($U$477,'TAR FIN'!$A$1:$O$120,15,0))</f>
        <v>430.87</v>
      </c>
      <c r="Y477" s="6">
        <f ca="1">('TUSD BE'!$AM$27+'TUSD BF'!$AM$27+'TUSD CVA'!$AM$27)*1</f>
        <v>27.216283196676113</v>
      </c>
      <c r="Z477" s="6">
        <f ca="1">('TUSD BE'!$AM$29+'TUSD BF'!$AM$29+'TUSD CVA'!$AM$29)*1</f>
        <v>87.519361965254689</v>
      </c>
      <c r="AA477" s="6">
        <f>('TE BE'!$AA$10+'TE BF'!$AA$10+'TE CVA'!$AA$10)*1</f>
        <v>375.69180268700768</v>
      </c>
      <c r="AB477" s="6">
        <f>$K$477*$V$477</f>
        <v>27803.280000000002</v>
      </c>
      <c r="AC477" s="6">
        <f>$M$477*$W$477</f>
        <v>3434.2437</v>
      </c>
      <c r="AD477" s="6">
        <f>$O$477*$X$477</f>
        <v>17521.759419999998</v>
      </c>
      <c r="AE477" s="6">
        <f ca="1">$K$477*$Y$477</f>
        <v>32986.135234371446</v>
      </c>
      <c r="AF477" s="6">
        <f ca="1">$M$477*$Z$477</f>
        <v>3559.0623736790467</v>
      </c>
      <c r="AG477" s="6">
        <f>$O$477*$AA$477</f>
        <v>15277.882848069854</v>
      </c>
    </row>
    <row r="478" spans="1:33" ht="11.25" customHeight="1" x14ac:dyDescent="0.25">
      <c r="A478" s="4" t="s">
        <v>21</v>
      </c>
      <c r="B478" s="4" t="s">
        <v>33</v>
      </c>
      <c r="C478" s="4" t="s">
        <v>41</v>
      </c>
      <c r="D478" s="4" t="s">
        <v>40</v>
      </c>
      <c r="E478" s="4" t="s">
        <v>25</v>
      </c>
      <c r="F478" s="4" t="s">
        <v>25</v>
      </c>
      <c r="G478" s="4" t="s">
        <v>25</v>
      </c>
      <c r="H478" s="4" t="s">
        <v>35</v>
      </c>
      <c r="I478" s="5">
        <v>43770</v>
      </c>
      <c r="J478" s="6">
        <v>1235</v>
      </c>
      <c r="K478" s="6">
        <v>1235</v>
      </c>
      <c r="L478" s="6">
        <v>46.005000000000003</v>
      </c>
      <c r="M478" s="6">
        <v>46.005000000000003</v>
      </c>
      <c r="N478" s="6">
        <v>46.005000000000003</v>
      </c>
      <c r="O478" s="6">
        <v>46.005000000000003</v>
      </c>
      <c r="P478" s="6">
        <v>0</v>
      </c>
      <c r="Q478" s="4" t="s">
        <v>26</v>
      </c>
      <c r="R478" s="4">
        <v>0</v>
      </c>
      <c r="S478" s="6">
        <v>21</v>
      </c>
      <c r="T478" s="6">
        <v>23</v>
      </c>
      <c r="U478" s="6">
        <v>81</v>
      </c>
      <c r="V478" s="6">
        <f>IF(ISERROR(VLOOKUP($S$478,'TAR FIN'!$A$1:$O$120,15,0)),0,VLOOKUP($S$478,'TAR FIN'!$A$1:$O$120,15,0))</f>
        <v>22.94</v>
      </c>
      <c r="W478" s="6">
        <f>IF(ISERROR(VLOOKUP($T$478,'TAR FIN'!$A$1:$O$120,15,0)),0,VLOOKUP($T$478,'TAR FIN'!$A$1:$O$120,15,0))</f>
        <v>84.45</v>
      </c>
      <c r="X478" s="6">
        <f>IF(ISERROR(VLOOKUP($U$478,'TAR FIN'!$A$1:$O$120,15,0)),0,VLOOKUP($U$478,'TAR FIN'!$A$1:$O$120,15,0))</f>
        <v>430.87</v>
      </c>
      <c r="Y478" s="6">
        <f ca="1">('TUSD BE'!$AM$27+'TUSD BF'!$AM$27+'TUSD CVA'!$AM$27)*1</f>
        <v>27.216283196676113</v>
      </c>
      <c r="Z478" s="6">
        <f ca="1">('TUSD BE'!$AM$29+'TUSD BF'!$AM$29+'TUSD CVA'!$AM$29)*1</f>
        <v>87.519361965254689</v>
      </c>
      <c r="AA478" s="6">
        <f>('TE BE'!$AA$10+'TE BF'!$AA$10+'TE CVA'!$AA$10)*1</f>
        <v>375.69180268700768</v>
      </c>
      <c r="AB478" s="6">
        <f>$K$478*$V$478</f>
        <v>28330.9</v>
      </c>
      <c r="AC478" s="6">
        <f>$M$478*$W$478</f>
        <v>3885.1222500000003</v>
      </c>
      <c r="AD478" s="6">
        <f>$O$478*$X$478</f>
        <v>19822.174350000001</v>
      </c>
      <c r="AE478" s="6">
        <f ca="1">$K$478*$Y$478</f>
        <v>33612.109747894996</v>
      </c>
      <c r="AF478" s="6">
        <f ca="1">$M$478*$Z$478</f>
        <v>4026.328247211542</v>
      </c>
      <c r="AG478" s="6">
        <f>$O$478*$AA$478</f>
        <v>17283.701382615789</v>
      </c>
    </row>
    <row r="479" spans="1:33" ht="11.25" customHeight="1" x14ac:dyDescent="0.25">
      <c r="A479" s="4" t="s">
        <v>21</v>
      </c>
      <c r="B479" s="4" t="s">
        <v>33</v>
      </c>
      <c r="C479" s="4" t="s">
        <v>41</v>
      </c>
      <c r="D479" s="4" t="s">
        <v>40</v>
      </c>
      <c r="E479" s="4" t="s">
        <v>25</v>
      </c>
      <c r="F479" s="4" t="s">
        <v>25</v>
      </c>
      <c r="G479" s="4" t="s">
        <v>25</v>
      </c>
      <c r="H479" s="4" t="s">
        <v>35</v>
      </c>
      <c r="I479" s="5">
        <v>43800</v>
      </c>
      <c r="J479" s="6">
        <v>1272</v>
      </c>
      <c r="K479" s="6">
        <v>1272</v>
      </c>
      <c r="L479" s="6">
        <v>39.320999999999998</v>
      </c>
      <c r="M479" s="6">
        <v>39.320999999999998</v>
      </c>
      <c r="N479" s="6">
        <v>39.320999999999998</v>
      </c>
      <c r="O479" s="6">
        <v>39.320999999999998</v>
      </c>
      <c r="P479" s="6">
        <v>0</v>
      </c>
      <c r="Q479" s="4" t="s">
        <v>26</v>
      </c>
      <c r="R479" s="4">
        <v>0</v>
      </c>
      <c r="S479" s="6">
        <v>21</v>
      </c>
      <c r="T479" s="6">
        <v>23</v>
      </c>
      <c r="U479" s="6">
        <v>81</v>
      </c>
      <c r="V479" s="6">
        <f>IF(ISERROR(VLOOKUP($S$479,'TAR FIN'!$A$1:$O$120,15,0)),0,VLOOKUP($S$479,'TAR FIN'!$A$1:$O$120,15,0))</f>
        <v>22.94</v>
      </c>
      <c r="W479" s="6">
        <f>IF(ISERROR(VLOOKUP($T$479,'TAR FIN'!$A$1:$O$120,15,0)),0,VLOOKUP($T$479,'TAR FIN'!$A$1:$O$120,15,0))</f>
        <v>84.45</v>
      </c>
      <c r="X479" s="6">
        <f>IF(ISERROR(VLOOKUP($U$479,'TAR FIN'!$A$1:$O$120,15,0)),0,VLOOKUP($U$479,'TAR FIN'!$A$1:$O$120,15,0))</f>
        <v>430.87</v>
      </c>
      <c r="Y479" s="6">
        <f ca="1">('TUSD BE'!$AM$27+'TUSD BF'!$AM$27+'TUSD CVA'!$AM$27)*1</f>
        <v>27.216283196676113</v>
      </c>
      <c r="Z479" s="6">
        <f ca="1">('TUSD BE'!$AM$29+'TUSD BF'!$AM$29+'TUSD CVA'!$AM$29)*1</f>
        <v>87.519361965254689</v>
      </c>
      <c r="AA479" s="6">
        <f>('TE BE'!$AA$10+'TE BF'!$AA$10+'TE CVA'!$AA$10)*1</f>
        <v>375.69180268700768</v>
      </c>
      <c r="AB479" s="6">
        <f>$K$479*$V$479</f>
        <v>29179.68</v>
      </c>
      <c r="AC479" s="6">
        <f>$M$479*$W$479</f>
        <v>3320.6584499999999</v>
      </c>
      <c r="AD479" s="6">
        <f>$O$479*$X$479</f>
        <v>16942.239269999998</v>
      </c>
      <c r="AE479" s="6">
        <f ca="1">$K$479*$Y$479</f>
        <v>34619.112226172016</v>
      </c>
      <c r="AF479" s="6">
        <f ca="1">$M$479*$Z$479</f>
        <v>3441.3488318357795</v>
      </c>
      <c r="AG479" s="6">
        <f>$O$479*$AA$479</f>
        <v>14772.577373455828</v>
      </c>
    </row>
    <row r="480" spans="1:33" ht="11.25" customHeight="1" x14ac:dyDescent="0.25">
      <c r="A480" s="4" t="s">
        <v>21</v>
      </c>
      <c r="B480" s="4" t="s">
        <v>33</v>
      </c>
      <c r="C480" s="4" t="s">
        <v>41</v>
      </c>
      <c r="D480" s="4" t="s">
        <v>40</v>
      </c>
      <c r="E480" s="4" t="s">
        <v>25</v>
      </c>
      <c r="F480" s="4" t="s">
        <v>25</v>
      </c>
      <c r="G480" s="4" t="s">
        <v>25</v>
      </c>
      <c r="H480" s="4" t="s">
        <v>35</v>
      </c>
      <c r="I480" s="5">
        <v>43831</v>
      </c>
      <c r="J480" s="6">
        <v>1230</v>
      </c>
      <c r="K480" s="6">
        <v>1230</v>
      </c>
      <c r="L480" s="6">
        <v>36.475000000000001</v>
      </c>
      <c r="M480" s="6">
        <v>36.475000000000001</v>
      </c>
      <c r="N480" s="6">
        <v>36.475000000000001</v>
      </c>
      <c r="O480" s="6">
        <v>36.475000000000001</v>
      </c>
      <c r="P480" s="6">
        <v>0</v>
      </c>
      <c r="Q480" s="4" t="s">
        <v>26</v>
      </c>
      <c r="R480" s="4">
        <v>0</v>
      </c>
      <c r="S480" s="6">
        <v>21</v>
      </c>
      <c r="T480" s="6">
        <v>23</v>
      </c>
      <c r="U480" s="6">
        <v>81</v>
      </c>
      <c r="V480" s="6">
        <f>IF(ISERROR(VLOOKUP($S$480,'TAR FIN'!$A$1:$O$120,15,0)),0,VLOOKUP($S$480,'TAR FIN'!$A$1:$O$120,15,0))</f>
        <v>22.94</v>
      </c>
      <c r="W480" s="6">
        <f>IF(ISERROR(VLOOKUP($T$480,'TAR FIN'!$A$1:$O$120,15,0)),0,VLOOKUP($T$480,'TAR FIN'!$A$1:$O$120,15,0))</f>
        <v>84.45</v>
      </c>
      <c r="X480" s="6">
        <f>IF(ISERROR(VLOOKUP($U$480,'TAR FIN'!$A$1:$O$120,15,0)),0,VLOOKUP($U$480,'TAR FIN'!$A$1:$O$120,15,0))</f>
        <v>430.87</v>
      </c>
      <c r="Y480" s="6">
        <f ca="1">('TUSD BE'!$AM$27+'TUSD BF'!$AM$27+'TUSD CVA'!$AM$27)*1</f>
        <v>27.216283196676113</v>
      </c>
      <c r="Z480" s="6">
        <f ca="1">('TUSD BE'!$AM$29+'TUSD BF'!$AM$29+'TUSD CVA'!$AM$29)*1</f>
        <v>87.519361965254689</v>
      </c>
      <c r="AA480" s="6">
        <f>('TE BE'!$AA$10+'TE BF'!$AA$10+'TE CVA'!$AA$10)*1</f>
        <v>375.69180268700768</v>
      </c>
      <c r="AB480" s="6">
        <f>$K$480*$V$480</f>
        <v>28216.2</v>
      </c>
      <c r="AC480" s="6">
        <f>$M$480*$W$480</f>
        <v>3080.3137500000003</v>
      </c>
      <c r="AD480" s="6">
        <f>$O$480*$X$480</f>
        <v>15715.983250000001</v>
      </c>
      <c r="AE480" s="6">
        <f ca="1">$K$480*$Y$480</f>
        <v>33476.028331911621</v>
      </c>
      <c r="AF480" s="6">
        <f ca="1">$M$480*$Z$480</f>
        <v>3192.268727682665</v>
      </c>
      <c r="AG480" s="6">
        <f>$O$480*$AA$480</f>
        <v>13703.358503008605</v>
      </c>
    </row>
    <row r="481" spans="1:33" ht="11.25" customHeight="1" x14ac:dyDescent="0.25">
      <c r="A481" s="4" t="s">
        <v>21</v>
      </c>
      <c r="B481" s="4" t="s">
        <v>33</v>
      </c>
      <c r="C481" s="4" t="s">
        <v>41</v>
      </c>
      <c r="D481" s="4" t="s">
        <v>40</v>
      </c>
      <c r="E481" s="4" t="s">
        <v>25</v>
      </c>
      <c r="F481" s="4" t="s">
        <v>25</v>
      </c>
      <c r="G481" s="4" t="s">
        <v>25</v>
      </c>
      <c r="H481" s="4" t="s">
        <v>35</v>
      </c>
      <c r="I481" s="5">
        <v>43862</v>
      </c>
      <c r="J481" s="6">
        <v>1456</v>
      </c>
      <c r="K481" s="6">
        <v>1456</v>
      </c>
      <c r="L481" s="6">
        <v>38.963999999999999</v>
      </c>
      <c r="M481" s="6">
        <v>38.963999999999999</v>
      </c>
      <c r="N481" s="6">
        <v>38.963999999999999</v>
      </c>
      <c r="O481" s="6">
        <v>38.963999999999999</v>
      </c>
      <c r="P481" s="6">
        <v>0</v>
      </c>
      <c r="Q481" s="4" t="s">
        <v>26</v>
      </c>
      <c r="R481" s="4">
        <v>0</v>
      </c>
      <c r="S481" s="6">
        <v>21</v>
      </c>
      <c r="T481" s="6">
        <v>23</v>
      </c>
      <c r="U481" s="6">
        <v>81</v>
      </c>
      <c r="V481" s="6">
        <f>IF(ISERROR(VLOOKUP($S$481,'TAR FIN'!$A$1:$O$120,15,0)),0,VLOOKUP($S$481,'TAR FIN'!$A$1:$O$120,15,0))</f>
        <v>22.94</v>
      </c>
      <c r="W481" s="6">
        <f>IF(ISERROR(VLOOKUP($T$481,'TAR FIN'!$A$1:$O$120,15,0)),0,VLOOKUP($T$481,'TAR FIN'!$A$1:$O$120,15,0))</f>
        <v>84.45</v>
      </c>
      <c r="X481" s="6">
        <f>IF(ISERROR(VLOOKUP($U$481,'TAR FIN'!$A$1:$O$120,15,0)),0,VLOOKUP($U$481,'TAR FIN'!$A$1:$O$120,15,0))</f>
        <v>430.87</v>
      </c>
      <c r="Y481" s="6">
        <f ca="1">('TUSD BE'!$AM$27+'TUSD BF'!$AM$27+'TUSD CVA'!$AM$27)*1</f>
        <v>27.216283196676113</v>
      </c>
      <c r="Z481" s="6">
        <f ca="1">('TUSD BE'!$AM$29+'TUSD BF'!$AM$29+'TUSD CVA'!$AM$29)*1</f>
        <v>87.519361965254689</v>
      </c>
      <c r="AA481" s="6">
        <f>('TE BE'!$AA$10+'TE BF'!$AA$10+'TE CVA'!$AA$10)*1</f>
        <v>375.69180268700768</v>
      </c>
      <c r="AB481" s="6">
        <f>$K$481*$V$481</f>
        <v>33400.639999999999</v>
      </c>
      <c r="AC481" s="6">
        <f>$M$481*$W$481</f>
        <v>3290.5097999999998</v>
      </c>
      <c r="AD481" s="6">
        <f>$O$481*$X$481</f>
        <v>16788.418679999999</v>
      </c>
      <c r="AE481" s="6">
        <f ca="1">$K$481*$Y$481</f>
        <v>39626.908334360422</v>
      </c>
      <c r="AF481" s="6">
        <f ca="1">$M$481*$Z$481</f>
        <v>3410.1044196141834</v>
      </c>
      <c r="AG481" s="6">
        <f>$O$481*$AA$481</f>
        <v>14638.455399896568</v>
      </c>
    </row>
    <row r="482" spans="1:33" ht="11.25" customHeight="1" x14ac:dyDescent="0.25">
      <c r="A482" s="4" t="s">
        <v>21</v>
      </c>
      <c r="B482" s="4" t="s">
        <v>33</v>
      </c>
      <c r="C482" s="4" t="s">
        <v>41</v>
      </c>
      <c r="D482" s="4" t="s">
        <v>40</v>
      </c>
      <c r="E482" s="4" t="s">
        <v>25</v>
      </c>
      <c r="F482" s="4" t="s">
        <v>25</v>
      </c>
      <c r="G482" s="4" t="s">
        <v>25</v>
      </c>
      <c r="H482" s="4" t="s">
        <v>35</v>
      </c>
      <c r="I482" s="5">
        <v>43891</v>
      </c>
      <c r="J482" s="6">
        <v>1434</v>
      </c>
      <c r="K482" s="6">
        <v>1434</v>
      </c>
      <c r="L482" s="6">
        <v>34.579000000000001</v>
      </c>
      <c r="M482" s="6">
        <v>34.579000000000001</v>
      </c>
      <c r="N482" s="6">
        <v>34.579000000000001</v>
      </c>
      <c r="O482" s="6">
        <v>34.579000000000001</v>
      </c>
      <c r="P482" s="6">
        <v>0</v>
      </c>
      <c r="Q482" s="4" t="s">
        <v>26</v>
      </c>
      <c r="R482" s="4">
        <v>0</v>
      </c>
      <c r="S482" s="6">
        <v>21</v>
      </c>
      <c r="T482" s="6">
        <v>23</v>
      </c>
      <c r="U482" s="6">
        <v>81</v>
      </c>
      <c r="V482" s="6">
        <f>IF(ISERROR(VLOOKUP($S$482,'TAR FIN'!$A$1:$O$120,15,0)),0,VLOOKUP($S$482,'TAR FIN'!$A$1:$O$120,15,0))</f>
        <v>22.94</v>
      </c>
      <c r="W482" s="6">
        <f>IF(ISERROR(VLOOKUP($T$482,'TAR FIN'!$A$1:$O$120,15,0)),0,VLOOKUP($T$482,'TAR FIN'!$A$1:$O$120,15,0))</f>
        <v>84.45</v>
      </c>
      <c r="X482" s="6">
        <f>IF(ISERROR(VLOOKUP($U$482,'TAR FIN'!$A$1:$O$120,15,0)),0,VLOOKUP($U$482,'TAR FIN'!$A$1:$O$120,15,0))</f>
        <v>430.87</v>
      </c>
      <c r="Y482" s="6">
        <f ca="1">('TUSD BE'!$AM$27+'TUSD BF'!$AM$27+'TUSD CVA'!$AM$27)*1</f>
        <v>27.216283196676113</v>
      </c>
      <c r="Z482" s="6">
        <f ca="1">('TUSD BE'!$AM$29+'TUSD BF'!$AM$29+'TUSD CVA'!$AM$29)*1</f>
        <v>87.519361965254689</v>
      </c>
      <c r="AA482" s="6">
        <f>('TE BE'!$AA$10+'TE BF'!$AA$10+'TE CVA'!$AA$10)*1</f>
        <v>375.69180268700768</v>
      </c>
      <c r="AB482" s="6">
        <f>$K$482*$V$482</f>
        <v>32895.96</v>
      </c>
      <c r="AC482" s="6">
        <f>$M$482*$W$482</f>
        <v>2920.1965500000001</v>
      </c>
      <c r="AD482" s="6">
        <f>$O$482*$X$482</f>
        <v>14899.05373</v>
      </c>
      <c r="AE482" s="6">
        <f ca="1">$K$482*$Y$482</f>
        <v>39028.150104033542</v>
      </c>
      <c r="AF482" s="6">
        <f ca="1">$M$482*$Z$482</f>
        <v>3026.3320173965421</v>
      </c>
      <c r="AG482" s="6">
        <f>$O$482*$AA$482</f>
        <v>12991.046845114039</v>
      </c>
    </row>
    <row r="483" spans="1:33" ht="11.25" customHeight="1" x14ac:dyDescent="0.25">
      <c r="A483" s="4" t="s">
        <v>21</v>
      </c>
      <c r="B483" s="4" t="s">
        <v>33</v>
      </c>
      <c r="C483" s="4" t="s">
        <v>41</v>
      </c>
      <c r="D483" s="4" t="s">
        <v>40</v>
      </c>
      <c r="E483" s="4" t="s">
        <v>25</v>
      </c>
      <c r="F483" s="4" t="s">
        <v>25</v>
      </c>
      <c r="G483" s="4" t="s">
        <v>25</v>
      </c>
      <c r="H483" s="4" t="s">
        <v>35</v>
      </c>
      <c r="I483" s="5">
        <v>43922</v>
      </c>
      <c r="J483" s="6">
        <v>1454</v>
      </c>
      <c r="K483" s="6">
        <v>1454</v>
      </c>
      <c r="L483" s="6">
        <v>34.479999999999997</v>
      </c>
      <c r="M483" s="6">
        <v>34.479999999999997</v>
      </c>
      <c r="N483" s="6">
        <v>34.479999999999997</v>
      </c>
      <c r="O483" s="6">
        <v>34.479999999999997</v>
      </c>
      <c r="P483" s="6">
        <v>0</v>
      </c>
      <c r="Q483" s="4" t="s">
        <v>26</v>
      </c>
      <c r="R483" s="4">
        <v>0</v>
      </c>
      <c r="S483" s="6">
        <v>21</v>
      </c>
      <c r="T483" s="6">
        <v>23</v>
      </c>
      <c r="U483" s="6">
        <v>81</v>
      </c>
      <c r="V483" s="6">
        <f>IF(ISERROR(VLOOKUP($S$483,'TAR FIN'!$A$1:$O$120,15,0)),0,VLOOKUP($S$483,'TAR FIN'!$A$1:$O$120,15,0))</f>
        <v>22.94</v>
      </c>
      <c r="W483" s="6">
        <f>IF(ISERROR(VLOOKUP($T$483,'TAR FIN'!$A$1:$O$120,15,0)),0,VLOOKUP($T$483,'TAR FIN'!$A$1:$O$120,15,0))</f>
        <v>84.45</v>
      </c>
      <c r="X483" s="6">
        <f>IF(ISERROR(VLOOKUP($U$483,'TAR FIN'!$A$1:$O$120,15,0)),0,VLOOKUP($U$483,'TAR FIN'!$A$1:$O$120,15,0))</f>
        <v>430.87</v>
      </c>
      <c r="Y483" s="6">
        <f ca="1">('TUSD BE'!$AM$27+'TUSD BF'!$AM$27+'TUSD CVA'!$AM$27)*1</f>
        <v>27.216283196676113</v>
      </c>
      <c r="Z483" s="6">
        <f ca="1">('TUSD BE'!$AM$29+'TUSD BF'!$AM$29+'TUSD CVA'!$AM$29)*1</f>
        <v>87.519361965254689</v>
      </c>
      <c r="AA483" s="6">
        <f>('TE BE'!$AA$10+'TE BF'!$AA$10+'TE CVA'!$AA$10)*1</f>
        <v>375.69180268700768</v>
      </c>
      <c r="AB483" s="6">
        <f>$K$483*$V$483</f>
        <v>33354.76</v>
      </c>
      <c r="AC483" s="6">
        <f>$M$483*$W$483</f>
        <v>2911.8359999999998</v>
      </c>
      <c r="AD483" s="6">
        <f>$O$483*$X$483</f>
        <v>14856.397599999998</v>
      </c>
      <c r="AE483" s="6">
        <f ca="1">$K$483*$Y$483</f>
        <v>39572.475767967066</v>
      </c>
      <c r="AF483" s="6">
        <f ca="1">$M$483*$Z$483</f>
        <v>3017.6676005619815</v>
      </c>
      <c r="AG483" s="6">
        <f>$O$483*$AA$483</f>
        <v>12953.853356648024</v>
      </c>
    </row>
    <row r="484" spans="1:33" ht="11.25" customHeight="1" x14ac:dyDescent="0.25">
      <c r="A484" s="4" t="s">
        <v>21</v>
      </c>
      <c r="B484" s="4" t="s">
        <v>33</v>
      </c>
      <c r="C484" s="4" t="s">
        <v>41</v>
      </c>
      <c r="D484" s="4" t="s">
        <v>40</v>
      </c>
      <c r="E484" s="4" t="s">
        <v>25</v>
      </c>
      <c r="F484" s="4" t="s">
        <v>25</v>
      </c>
      <c r="G484" s="4" t="s">
        <v>25</v>
      </c>
      <c r="H484" s="4" t="s">
        <v>35</v>
      </c>
      <c r="I484" s="5">
        <v>43952</v>
      </c>
      <c r="J484" s="6">
        <v>1479</v>
      </c>
      <c r="K484" s="6">
        <v>1479</v>
      </c>
      <c r="L484" s="6">
        <v>28.73</v>
      </c>
      <c r="M484" s="6">
        <v>28.73</v>
      </c>
      <c r="N484" s="6">
        <v>28.73</v>
      </c>
      <c r="O484" s="6">
        <v>28.73</v>
      </c>
      <c r="P484" s="6">
        <v>0</v>
      </c>
      <c r="Q484" s="4" t="s">
        <v>26</v>
      </c>
      <c r="R484" s="4">
        <v>0</v>
      </c>
      <c r="S484" s="6">
        <v>21</v>
      </c>
      <c r="T484" s="6">
        <v>23</v>
      </c>
      <c r="U484" s="6">
        <v>81</v>
      </c>
      <c r="V484" s="6">
        <f>IF(ISERROR(VLOOKUP($S$484,'TAR FIN'!$A$1:$O$120,15,0)),0,VLOOKUP($S$484,'TAR FIN'!$A$1:$O$120,15,0))</f>
        <v>22.94</v>
      </c>
      <c r="W484" s="6">
        <f>IF(ISERROR(VLOOKUP($T$484,'TAR FIN'!$A$1:$O$120,15,0)),0,VLOOKUP($T$484,'TAR FIN'!$A$1:$O$120,15,0))</f>
        <v>84.45</v>
      </c>
      <c r="X484" s="6">
        <f>IF(ISERROR(VLOOKUP($U$484,'TAR FIN'!$A$1:$O$120,15,0)),0,VLOOKUP($U$484,'TAR FIN'!$A$1:$O$120,15,0))</f>
        <v>430.87</v>
      </c>
      <c r="Y484" s="6">
        <f ca="1">('TUSD BE'!$AM$27+'TUSD BF'!$AM$27+'TUSD CVA'!$AM$27)*1</f>
        <v>27.216283196676113</v>
      </c>
      <c r="Z484" s="6">
        <f ca="1">('TUSD BE'!$AM$29+'TUSD BF'!$AM$29+'TUSD CVA'!$AM$29)*1</f>
        <v>87.519361965254689</v>
      </c>
      <c r="AA484" s="6">
        <f>('TE BE'!$AA$10+'TE BF'!$AA$10+'TE CVA'!$AA$10)*1</f>
        <v>375.69180268700768</v>
      </c>
      <c r="AB484" s="6">
        <f>$K$484*$V$484</f>
        <v>33928.26</v>
      </c>
      <c r="AC484" s="6">
        <f>$M$484*$W$484</f>
        <v>2426.2485000000001</v>
      </c>
      <c r="AD484" s="6">
        <f>$O$484*$X$484</f>
        <v>12378.8951</v>
      </c>
      <c r="AE484" s="6">
        <f ca="1">$K$484*$Y$484</f>
        <v>40252.882847883971</v>
      </c>
      <c r="AF484" s="6">
        <f ca="1">$M$484*$Z$484</f>
        <v>2514.4312692617673</v>
      </c>
      <c r="AG484" s="6">
        <f>$O$484*$AA$484</f>
        <v>10793.62549119773</v>
      </c>
    </row>
    <row r="485" spans="1:33" ht="11.25" customHeight="1" x14ac:dyDescent="0.25">
      <c r="A485" s="4" t="s">
        <v>21</v>
      </c>
      <c r="B485" s="4" t="s">
        <v>33</v>
      </c>
      <c r="C485" s="4" t="s">
        <v>41</v>
      </c>
      <c r="D485" s="4" t="s">
        <v>40</v>
      </c>
      <c r="E485" s="4" t="s">
        <v>25</v>
      </c>
      <c r="F485" s="4" t="s">
        <v>25</v>
      </c>
      <c r="G485" s="4" t="s">
        <v>25</v>
      </c>
      <c r="H485" s="4" t="s">
        <v>35</v>
      </c>
      <c r="I485" s="5">
        <v>43983</v>
      </c>
      <c r="J485" s="6">
        <v>1529</v>
      </c>
      <c r="K485" s="6">
        <v>1529</v>
      </c>
      <c r="L485" s="6">
        <v>29.91</v>
      </c>
      <c r="M485" s="6">
        <v>29.91</v>
      </c>
      <c r="N485" s="6">
        <v>29.91</v>
      </c>
      <c r="O485" s="6">
        <v>29.91</v>
      </c>
      <c r="P485" s="6">
        <v>0</v>
      </c>
      <c r="Q485" s="4" t="s">
        <v>26</v>
      </c>
      <c r="R485" s="4">
        <v>0</v>
      </c>
      <c r="S485" s="6">
        <v>21</v>
      </c>
      <c r="T485" s="6">
        <v>23</v>
      </c>
      <c r="U485" s="6">
        <v>81</v>
      </c>
      <c r="V485" s="6">
        <f>IF(ISERROR(VLOOKUP($S$485,'TAR FIN'!$A$1:$O$120,15,0)),0,VLOOKUP($S$485,'TAR FIN'!$A$1:$O$120,15,0))</f>
        <v>22.94</v>
      </c>
      <c r="W485" s="6">
        <f>IF(ISERROR(VLOOKUP($T$485,'TAR FIN'!$A$1:$O$120,15,0)),0,VLOOKUP($T$485,'TAR FIN'!$A$1:$O$120,15,0))</f>
        <v>84.45</v>
      </c>
      <c r="X485" s="6">
        <f>IF(ISERROR(VLOOKUP($U$485,'TAR FIN'!$A$1:$O$120,15,0)),0,VLOOKUP($U$485,'TAR FIN'!$A$1:$O$120,15,0))</f>
        <v>430.87</v>
      </c>
      <c r="Y485" s="6">
        <f ca="1">('TUSD BE'!$AM$27+'TUSD BF'!$AM$27+'TUSD CVA'!$AM$27)*1</f>
        <v>27.216283196676113</v>
      </c>
      <c r="Z485" s="6">
        <f ca="1">('TUSD BE'!$AM$29+'TUSD BF'!$AM$29+'TUSD CVA'!$AM$29)*1</f>
        <v>87.519361965254689</v>
      </c>
      <c r="AA485" s="6">
        <f>('TE BE'!$AA$10+'TE BF'!$AA$10+'TE CVA'!$AA$10)*1</f>
        <v>375.69180268700768</v>
      </c>
      <c r="AB485" s="6">
        <f>$K$485*$V$485</f>
        <v>35075.26</v>
      </c>
      <c r="AC485" s="6">
        <f>$M$485*$W$485</f>
        <v>2525.8995</v>
      </c>
      <c r="AD485" s="6">
        <f>$O$485*$X$485</f>
        <v>12887.3217</v>
      </c>
      <c r="AE485" s="6">
        <f ca="1">$K$485*$Y$485</f>
        <v>41613.697007717776</v>
      </c>
      <c r="AF485" s="6">
        <f ca="1">$M$485*$Z$485</f>
        <v>2617.7041163807676</v>
      </c>
      <c r="AG485" s="6">
        <f>$O$485*$AA$485</f>
        <v>11236.941818368399</v>
      </c>
    </row>
    <row r="486" spans="1:33" ht="11.25" customHeight="1" x14ac:dyDescent="0.25">
      <c r="A486" s="4" t="s">
        <v>21</v>
      </c>
      <c r="B486" s="4" t="s">
        <v>33</v>
      </c>
      <c r="C486" s="4" t="s">
        <v>41</v>
      </c>
      <c r="D486" s="4" t="s">
        <v>40</v>
      </c>
      <c r="E486" s="4" t="s">
        <v>25</v>
      </c>
      <c r="F486" s="4" t="s">
        <v>25</v>
      </c>
      <c r="G486" s="4" t="s">
        <v>25</v>
      </c>
      <c r="H486" s="4" t="s">
        <v>35</v>
      </c>
      <c r="I486" s="5">
        <v>44013</v>
      </c>
      <c r="J486" s="6">
        <v>1561</v>
      </c>
      <c r="K486" s="6">
        <v>1561</v>
      </c>
      <c r="L486" s="6">
        <v>32.420999999999999</v>
      </c>
      <c r="M486" s="6">
        <v>32.420999999999999</v>
      </c>
      <c r="N486" s="6">
        <v>32.420999999999999</v>
      </c>
      <c r="O486" s="6">
        <v>32.420999999999999</v>
      </c>
      <c r="P486" s="6">
        <v>0</v>
      </c>
      <c r="Q486" s="4" t="s">
        <v>26</v>
      </c>
      <c r="R486" s="4">
        <v>0</v>
      </c>
      <c r="S486" s="6">
        <v>21</v>
      </c>
      <c r="T486" s="6">
        <v>23</v>
      </c>
      <c r="U486" s="6">
        <v>81</v>
      </c>
      <c r="V486" s="6">
        <f>IF(ISERROR(VLOOKUP($S$486,'TAR FIN'!$A$1:$O$120,15,0)),0,VLOOKUP($S$486,'TAR FIN'!$A$1:$O$120,15,0))</f>
        <v>22.94</v>
      </c>
      <c r="W486" s="6">
        <f>IF(ISERROR(VLOOKUP($T$486,'TAR FIN'!$A$1:$O$120,15,0)),0,VLOOKUP($T$486,'TAR FIN'!$A$1:$O$120,15,0))</f>
        <v>84.45</v>
      </c>
      <c r="X486" s="6">
        <f>IF(ISERROR(VLOOKUP($U$486,'TAR FIN'!$A$1:$O$120,15,0)),0,VLOOKUP($U$486,'TAR FIN'!$A$1:$O$120,15,0))</f>
        <v>430.87</v>
      </c>
      <c r="Y486" s="6">
        <f ca="1">('TUSD BE'!$AM$27+'TUSD BF'!$AM$27+'TUSD CVA'!$AM$27)*1</f>
        <v>27.216283196676113</v>
      </c>
      <c r="Z486" s="6">
        <f ca="1">('TUSD BE'!$AM$29+'TUSD BF'!$AM$29+'TUSD CVA'!$AM$29)*1</f>
        <v>87.519361965254689</v>
      </c>
      <c r="AA486" s="6">
        <f>('TE BE'!$AA$10+'TE BF'!$AA$10+'TE CVA'!$AA$10)*1</f>
        <v>375.69180268700768</v>
      </c>
      <c r="AB486" s="6">
        <f>$K$486*$V$486</f>
        <v>35809.340000000004</v>
      </c>
      <c r="AC486" s="6">
        <f>$M$486*$W$486</f>
        <v>2737.95345</v>
      </c>
      <c r="AD486" s="6">
        <f>$O$486*$X$486</f>
        <v>13969.236269999999</v>
      </c>
      <c r="AE486" s="6">
        <f ca="1">$K$486*$Y$486</f>
        <v>42484.618070011413</v>
      </c>
      <c r="AF486" s="6">
        <f ca="1">$M$486*$Z$486</f>
        <v>2837.4652342755221</v>
      </c>
      <c r="AG486" s="6">
        <f>$O$486*$AA$486</f>
        <v>12180.303934915475</v>
      </c>
    </row>
    <row r="487" spans="1:33" ht="11.25" customHeight="1" x14ac:dyDescent="0.25">
      <c r="A487" s="4" t="s">
        <v>21</v>
      </c>
      <c r="B487" s="4" t="s">
        <v>33</v>
      </c>
      <c r="C487" s="4" t="s">
        <v>41</v>
      </c>
      <c r="D487" s="4" t="s">
        <v>40</v>
      </c>
      <c r="E487" s="4" t="s">
        <v>25</v>
      </c>
      <c r="F487" s="4" t="s">
        <v>25</v>
      </c>
      <c r="G487" s="4" t="s">
        <v>25</v>
      </c>
      <c r="H487" s="4" t="s">
        <v>35</v>
      </c>
      <c r="I487" s="5">
        <v>44044</v>
      </c>
      <c r="J487" s="6">
        <v>1458</v>
      </c>
      <c r="K487" s="6">
        <v>1458</v>
      </c>
      <c r="L487" s="6">
        <v>27.067</v>
      </c>
      <c r="M487" s="6">
        <v>27.067</v>
      </c>
      <c r="N487" s="6">
        <v>27.067</v>
      </c>
      <c r="O487" s="6">
        <v>27.067</v>
      </c>
      <c r="P487" s="6">
        <v>0</v>
      </c>
      <c r="Q487" s="4" t="s">
        <v>26</v>
      </c>
      <c r="R487" s="4">
        <v>0</v>
      </c>
      <c r="S487" s="6">
        <v>21</v>
      </c>
      <c r="T487" s="6">
        <v>23</v>
      </c>
      <c r="U487" s="6">
        <v>81</v>
      </c>
      <c r="V487" s="6">
        <f>IF(ISERROR(VLOOKUP($S$487,'TAR FIN'!$A$1:$O$120,15,0)),0,VLOOKUP($S$487,'TAR FIN'!$A$1:$O$120,15,0))</f>
        <v>22.94</v>
      </c>
      <c r="W487" s="6">
        <f>IF(ISERROR(VLOOKUP($T$487,'TAR FIN'!$A$1:$O$120,15,0)),0,VLOOKUP($T$487,'TAR FIN'!$A$1:$O$120,15,0))</f>
        <v>84.45</v>
      </c>
      <c r="X487" s="6">
        <f>IF(ISERROR(VLOOKUP($U$487,'TAR FIN'!$A$1:$O$120,15,0)),0,VLOOKUP($U$487,'TAR FIN'!$A$1:$O$120,15,0))</f>
        <v>430.87</v>
      </c>
      <c r="Y487" s="6">
        <f ca="1">('TUSD BE'!$AM$27+'TUSD BF'!$AM$27+'TUSD CVA'!$AM$27)*1</f>
        <v>27.216283196676113</v>
      </c>
      <c r="Z487" s="6">
        <f ca="1">('TUSD BE'!$AM$29+'TUSD BF'!$AM$29+'TUSD CVA'!$AM$29)*1</f>
        <v>87.519361965254689</v>
      </c>
      <c r="AA487" s="6">
        <f>('TE BE'!$AA$10+'TE BF'!$AA$10+'TE CVA'!$AA$10)*1</f>
        <v>375.69180268700768</v>
      </c>
      <c r="AB487" s="6">
        <f>$K$487*$V$487</f>
        <v>33446.520000000004</v>
      </c>
      <c r="AC487" s="6">
        <f>$M$487*$W$487</f>
        <v>2285.8081500000003</v>
      </c>
      <c r="AD487" s="6">
        <f>$O$487*$X$487</f>
        <v>11662.35829</v>
      </c>
      <c r="AE487" s="6">
        <f ca="1">$K$487*$Y$487</f>
        <v>39681.34090075377</v>
      </c>
      <c r="AF487" s="6">
        <f ca="1">$M$487*$Z$487</f>
        <v>2368.8865703135489</v>
      </c>
      <c r="AG487" s="6">
        <f>$O$487*$AA$487</f>
        <v>10168.850023329236</v>
      </c>
    </row>
    <row r="488" spans="1:33" ht="11.25" customHeight="1" x14ac:dyDescent="0.25">
      <c r="A488" s="4" t="s">
        <v>27</v>
      </c>
      <c r="B488" s="4" t="s">
        <v>33</v>
      </c>
      <c r="C488" s="4" t="s">
        <v>41</v>
      </c>
      <c r="D488" s="4" t="s">
        <v>40</v>
      </c>
      <c r="E488" s="4" t="s">
        <v>25</v>
      </c>
      <c r="F488" s="4" t="s">
        <v>25</v>
      </c>
      <c r="G488" s="4" t="s">
        <v>25</v>
      </c>
      <c r="H488" s="4" t="s">
        <v>35</v>
      </c>
      <c r="I488" s="5">
        <v>44044</v>
      </c>
      <c r="J488" s="6">
        <v>150</v>
      </c>
      <c r="K488" s="6">
        <v>150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4" t="s">
        <v>26</v>
      </c>
      <c r="R488" s="4">
        <v>0</v>
      </c>
      <c r="S488" s="6">
        <v>21</v>
      </c>
      <c r="T488" s="6">
        <v>0</v>
      </c>
      <c r="U488" s="6">
        <v>0</v>
      </c>
      <c r="V488" s="6">
        <f>IF(ISERROR(VLOOKUP($S$488,'TAR FIN'!$A$1:$O$120,15,0)),0,VLOOKUP($S$488,'TAR FIN'!$A$1:$O$120,15,0))</f>
        <v>22.94</v>
      </c>
      <c r="W488" s="6">
        <f>IF(ISERROR(VLOOKUP($T$488,'TAR FIN'!$A$1:$O$120,15,0)),0,VLOOKUP($T$488,'TAR FIN'!$A$1:$O$120,15,0))</f>
        <v>0</v>
      </c>
      <c r="X488" s="6">
        <f>IF(ISERROR(VLOOKUP($U$488,'TAR FIN'!$A$1:$O$120,15,0)),0,VLOOKUP($U$488,'TAR FIN'!$A$1:$O$120,15,0))</f>
        <v>0</v>
      </c>
      <c r="Y488" s="6">
        <f ca="1">('TUSD BE'!$AM$27+'TUSD BF'!$AM$27+'TUSD CVA'!$AM$27)*1</f>
        <v>27.216283196676113</v>
      </c>
      <c r="Z488" s="6">
        <f ca="1">('TUSD BE'!$AM$29+'TUSD BF'!$AM$29+'TUSD CVA'!$AM$29)*1</f>
        <v>87.519361965254689</v>
      </c>
      <c r="AA488" s="6">
        <f>('TE BE'!$AA$10+'TE BF'!$AA$10+'TE CVA'!$AA$10)*1</f>
        <v>375.69180268700768</v>
      </c>
      <c r="AB488" s="6">
        <f>$K$488*$V$488</f>
        <v>3441</v>
      </c>
      <c r="AC488" s="6">
        <f>$M$488*$W$488</f>
        <v>0</v>
      </c>
      <c r="AD488" s="6">
        <f>$O$488*$X$488</f>
        <v>0</v>
      </c>
      <c r="AE488" s="6">
        <f ca="1">$K$488*$Y$488</f>
        <v>4082.442479501417</v>
      </c>
      <c r="AF488" s="6">
        <f ca="1">$M$488*$Z$488</f>
        <v>0</v>
      </c>
      <c r="AG488" s="6">
        <f>$O$488*$AA$488</f>
        <v>0</v>
      </c>
    </row>
    <row r="489" spans="1:33" ht="11.25" customHeight="1" x14ac:dyDescent="0.25">
      <c r="A489" s="4" t="s">
        <v>59</v>
      </c>
      <c r="B489" s="4" t="s">
        <v>33</v>
      </c>
      <c r="C489" s="4" t="s">
        <v>41</v>
      </c>
      <c r="D489" s="4" t="s">
        <v>40</v>
      </c>
      <c r="E489" s="4" t="s">
        <v>25</v>
      </c>
      <c r="F489" s="4" t="s">
        <v>25</v>
      </c>
      <c r="G489" s="4" t="s">
        <v>25</v>
      </c>
      <c r="H489" s="4" t="s">
        <v>35</v>
      </c>
      <c r="I489" s="5">
        <v>44075</v>
      </c>
      <c r="J489" s="6">
        <v>1458</v>
      </c>
      <c r="K489" s="6">
        <v>1458</v>
      </c>
      <c r="L489" s="6">
        <v>27.067</v>
      </c>
      <c r="M489" s="6">
        <v>27.067</v>
      </c>
      <c r="N489" s="6">
        <v>27.067</v>
      </c>
      <c r="O489" s="6">
        <v>27.067</v>
      </c>
      <c r="P489" s="6">
        <v>0</v>
      </c>
      <c r="Q489" s="4" t="s">
        <v>26</v>
      </c>
      <c r="R489" s="4">
        <v>0</v>
      </c>
      <c r="S489" s="6">
        <v>21</v>
      </c>
      <c r="T489" s="6">
        <v>23</v>
      </c>
      <c r="U489" s="6">
        <v>81</v>
      </c>
      <c r="V489" s="6">
        <f>IF(ISERROR(VLOOKUP($S$489,'TAR FIN'!$A$1:$O$120,15,0)),0,VLOOKUP($S$489,'TAR FIN'!$A$1:$O$120,15,0))</f>
        <v>22.94</v>
      </c>
      <c r="W489" s="6">
        <f>IF(ISERROR(VLOOKUP($T$489,'TAR FIN'!$A$1:$O$120,15,0)),0,VLOOKUP($T$489,'TAR FIN'!$A$1:$O$120,15,0))</f>
        <v>84.45</v>
      </c>
      <c r="X489" s="6">
        <f>IF(ISERROR(VLOOKUP($U$489,'TAR FIN'!$A$1:$O$120,15,0)),0,VLOOKUP($U$489,'TAR FIN'!$A$1:$O$120,15,0))</f>
        <v>430.87</v>
      </c>
      <c r="Y489" s="6">
        <f ca="1">('TUSD BE'!$AM$27+'TUSD BF'!$AM$27+'TUSD CVA'!$AM$27)*1</f>
        <v>27.216283196676113</v>
      </c>
      <c r="Z489" s="6">
        <f ca="1">('TUSD BE'!$AM$29+'TUSD BF'!$AM$29+'TUSD CVA'!$AM$29)*1</f>
        <v>87.519361965254689</v>
      </c>
      <c r="AA489" s="6">
        <f>('TE BE'!$AA$10+'TE BF'!$AA$10+'TE CVA'!$AA$10)*1</f>
        <v>375.69180268700768</v>
      </c>
      <c r="AB489" s="6">
        <f>$K$489*$V$489</f>
        <v>33446.520000000004</v>
      </c>
      <c r="AC489" s="6">
        <f>$M$489*$W$489</f>
        <v>2285.8081500000003</v>
      </c>
      <c r="AD489" s="6">
        <f>$O$489*$X$489</f>
        <v>11662.35829</v>
      </c>
      <c r="AE489" s="6">
        <f ca="1">$K$489*$Y$489</f>
        <v>39681.34090075377</v>
      </c>
      <c r="AF489" s="6">
        <f ca="1">$M$489*$Z$489</f>
        <v>2368.8865703135489</v>
      </c>
      <c r="AG489" s="6">
        <f>$O$489*$AA$489</f>
        <v>10168.850023329236</v>
      </c>
    </row>
    <row r="490" spans="1:33" ht="11.25" customHeight="1" x14ac:dyDescent="0.25">
      <c r="A490" s="4" t="s">
        <v>59</v>
      </c>
      <c r="B490" s="4" t="s">
        <v>33</v>
      </c>
      <c r="C490" s="4" t="s">
        <v>41</v>
      </c>
      <c r="D490" s="4" t="s">
        <v>40</v>
      </c>
      <c r="E490" s="4" t="s">
        <v>25</v>
      </c>
      <c r="F490" s="4" t="s">
        <v>25</v>
      </c>
      <c r="G490" s="4" t="s">
        <v>25</v>
      </c>
      <c r="H490" s="4" t="s">
        <v>35</v>
      </c>
      <c r="I490" s="5">
        <v>44075</v>
      </c>
      <c r="J490" s="6">
        <v>150</v>
      </c>
      <c r="K490" s="6">
        <v>150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4" t="s">
        <v>26</v>
      </c>
      <c r="R490" s="4">
        <v>0</v>
      </c>
      <c r="S490" s="6">
        <v>21</v>
      </c>
      <c r="T490" s="6">
        <v>0</v>
      </c>
      <c r="U490" s="6">
        <v>0</v>
      </c>
      <c r="V490" s="6">
        <f>IF(ISERROR(VLOOKUP($S$490,'TAR FIN'!$A$1:$O$120,15,0)),0,VLOOKUP($S$490,'TAR FIN'!$A$1:$O$120,15,0))</f>
        <v>22.94</v>
      </c>
      <c r="W490" s="6">
        <f>IF(ISERROR(VLOOKUP($T$490,'TAR FIN'!$A$1:$O$120,15,0)),0,VLOOKUP($T$490,'TAR FIN'!$A$1:$O$120,15,0))</f>
        <v>0</v>
      </c>
      <c r="X490" s="6">
        <f>IF(ISERROR(VLOOKUP($U$490,'TAR FIN'!$A$1:$O$120,15,0)),0,VLOOKUP($U$490,'TAR FIN'!$A$1:$O$120,15,0))</f>
        <v>0</v>
      </c>
      <c r="Y490" s="6">
        <f ca="1">('TUSD BE'!$AM$27+'TUSD BF'!$AM$27+'TUSD CVA'!$AM$27)*1</f>
        <v>27.216283196676113</v>
      </c>
      <c r="Z490" s="6">
        <f ca="1">('TUSD BE'!$AM$29+'TUSD BF'!$AM$29+'TUSD CVA'!$AM$29)*1</f>
        <v>87.519361965254689</v>
      </c>
      <c r="AA490" s="6">
        <f>('TE BE'!$AA$10+'TE BF'!$AA$10+'TE CVA'!$AA$10)*1</f>
        <v>375.69180268700768</v>
      </c>
      <c r="AB490" s="6">
        <f>$K$490*$V$490</f>
        <v>3441</v>
      </c>
      <c r="AC490" s="6">
        <f>$M$490*$W$490</f>
        <v>0</v>
      </c>
      <c r="AD490" s="6">
        <f>$O$490*$X$490</f>
        <v>0</v>
      </c>
      <c r="AE490" s="6">
        <f ca="1">$K$490*$Y$490</f>
        <v>4082.442479501417</v>
      </c>
      <c r="AF490" s="6">
        <f ca="1">$M$490*$Z$490</f>
        <v>0</v>
      </c>
      <c r="AG490" s="6">
        <f>$O$490*$AA$490</f>
        <v>0</v>
      </c>
    </row>
    <row r="491" spans="1:33" ht="11.25" customHeight="1" x14ac:dyDescent="0.25">
      <c r="A491" s="4" t="s">
        <v>21</v>
      </c>
      <c r="B491" s="4" t="s">
        <v>33</v>
      </c>
      <c r="C491" s="4" t="s">
        <v>41</v>
      </c>
      <c r="D491" s="4" t="s">
        <v>48</v>
      </c>
      <c r="E491" s="4" t="s">
        <v>25</v>
      </c>
      <c r="F491" s="4" t="s">
        <v>25</v>
      </c>
      <c r="G491" s="4" t="s">
        <v>25</v>
      </c>
      <c r="H491" s="4" t="s">
        <v>36</v>
      </c>
      <c r="I491" s="5">
        <v>43739</v>
      </c>
      <c r="J491" s="6">
        <v>24692</v>
      </c>
      <c r="K491" s="6">
        <v>24692</v>
      </c>
      <c r="L491" s="6">
        <v>6664.5429999999997</v>
      </c>
      <c r="M491" s="6">
        <v>6664.5429999999997</v>
      </c>
      <c r="N491" s="6">
        <v>6664.5429999999997</v>
      </c>
      <c r="O491" s="6">
        <v>6664.5429999999997</v>
      </c>
      <c r="P491" s="6">
        <v>0</v>
      </c>
      <c r="Q491" s="4" t="s">
        <v>26</v>
      </c>
      <c r="R491" s="4">
        <v>0</v>
      </c>
      <c r="S491" s="6">
        <v>22</v>
      </c>
      <c r="T491" s="6">
        <v>23</v>
      </c>
      <c r="U491" s="6">
        <v>82</v>
      </c>
      <c r="V491" s="6">
        <f>IF(ISERROR(VLOOKUP($S$491,'TAR FIN'!$A$1:$O$120,15,0)),0,VLOOKUP($S$491,'TAR FIN'!$A$1:$O$120,15,0))</f>
        <v>8.81</v>
      </c>
      <c r="W491" s="6">
        <f>IF(ISERROR(VLOOKUP($T$491,'TAR FIN'!$A$1:$O$120,15,0)),0,VLOOKUP($T$491,'TAR FIN'!$A$1:$O$120,15,0))</f>
        <v>84.45</v>
      </c>
      <c r="X491" s="6">
        <f>IF(ISERROR(VLOOKUP($U$491,'TAR FIN'!$A$1:$O$120,15,0)),0,VLOOKUP($U$491,'TAR FIN'!$A$1:$O$120,15,0))</f>
        <v>256.38</v>
      </c>
      <c r="Y491" s="6">
        <f ca="1">('TUSD BE'!$AM$28+'TUSD BF'!$AM$28+'TUSD CVA'!$AM$28)*1</f>
        <v>11.452356648653195</v>
      </c>
      <c r="Z491" s="6">
        <f ca="1">('TUSD BE'!$AM$29+'TUSD BF'!$AM$29+'TUSD CVA'!$AM$29)*1</f>
        <v>87.519361965254689</v>
      </c>
      <c r="AA491" s="6">
        <f>('TE BE'!$AA$11+'TE BF'!$AA$11+'TE CVA'!$AA$11)*1</f>
        <v>230.83420940933817</v>
      </c>
      <c r="AB491" s="6">
        <f>$K$491*$V$491</f>
        <v>217536.52000000002</v>
      </c>
      <c r="AC491" s="6">
        <f>$M$491*$W$491</f>
        <v>562820.65634999995</v>
      </c>
      <c r="AD491" s="6">
        <f>$O$491*$X$491</f>
        <v>1708655.5343399998</v>
      </c>
      <c r="AE491" s="6">
        <f ca="1">$K$491*$Y$491</f>
        <v>282781.59036854468</v>
      </c>
      <c r="AF491" s="6">
        <f ca="1">$M$491*$Z$491</f>
        <v>583276.55115000438</v>
      </c>
      <c r="AG491" s="6">
        <f>$O$491*$AA$491</f>
        <v>1538404.5144795387</v>
      </c>
    </row>
    <row r="492" spans="1:33" ht="11.25" customHeight="1" x14ac:dyDescent="0.25">
      <c r="A492" s="4" t="s">
        <v>28</v>
      </c>
      <c r="B492" s="4" t="s">
        <v>33</v>
      </c>
      <c r="C492" s="4" t="s">
        <v>41</v>
      </c>
      <c r="D492" s="4" t="s">
        <v>48</v>
      </c>
      <c r="E492" s="4" t="s">
        <v>25</v>
      </c>
      <c r="F492" s="4" t="s">
        <v>25</v>
      </c>
      <c r="G492" s="4" t="s">
        <v>25</v>
      </c>
      <c r="H492" s="4" t="s">
        <v>36</v>
      </c>
      <c r="I492" s="5">
        <v>43739</v>
      </c>
      <c r="J492" s="6">
        <v>4000</v>
      </c>
      <c r="K492" s="6">
        <v>4000</v>
      </c>
      <c r="L492" s="6">
        <v>1713.5429999999999</v>
      </c>
      <c r="M492" s="6">
        <v>1713.5429999999999</v>
      </c>
      <c r="N492" s="6">
        <v>1713.5429999999999</v>
      </c>
      <c r="O492" s="6">
        <v>1713.5429999999999</v>
      </c>
      <c r="P492" s="6">
        <v>0</v>
      </c>
      <c r="Q492" s="4" t="s">
        <v>26</v>
      </c>
      <c r="R492" s="4">
        <v>0</v>
      </c>
      <c r="S492" s="6">
        <v>22</v>
      </c>
      <c r="T492" s="6">
        <v>23</v>
      </c>
      <c r="U492" s="6">
        <v>82</v>
      </c>
      <c r="V492" s="6">
        <f>IF(ISERROR(VLOOKUP($S$492,'TAR FIN'!$A$1:$O$120,15,0)),0,VLOOKUP($S$492,'TAR FIN'!$A$1:$O$120,15,0))</f>
        <v>8.81</v>
      </c>
      <c r="W492" s="6">
        <f>IF(ISERROR(VLOOKUP($T$492,'TAR FIN'!$A$1:$O$120,15,0)),0,VLOOKUP($T$492,'TAR FIN'!$A$1:$O$120,15,0))</f>
        <v>84.45</v>
      </c>
      <c r="X492" s="6">
        <f>IF(ISERROR(VLOOKUP($U$492,'TAR FIN'!$A$1:$O$120,15,0)),0,VLOOKUP($U$492,'TAR FIN'!$A$1:$O$120,15,0))</f>
        <v>256.38</v>
      </c>
      <c r="Y492" s="6">
        <f ca="1">('TUSD BE'!$AM$28+'TUSD BF'!$AM$28+'TUSD CVA'!$AM$28)*1</f>
        <v>11.452356648653195</v>
      </c>
      <c r="Z492" s="6">
        <f ca="1">('TUSD BE'!$AM$29+'TUSD BF'!$AM$29+'TUSD CVA'!$AM$29)*1</f>
        <v>87.519361965254689</v>
      </c>
      <c r="AA492" s="6">
        <f>('TE BE'!$AA$11+'TE BF'!$AA$11+'TE CVA'!$AA$11)*1</f>
        <v>230.83420940933817</v>
      </c>
      <c r="AB492" s="6">
        <f>$K$492*$V$492</f>
        <v>35240</v>
      </c>
      <c r="AC492" s="6">
        <f>$M$492*$W$492</f>
        <v>144708.70634999999</v>
      </c>
      <c r="AD492" s="6">
        <f>$O$492*$X$492</f>
        <v>439318.15433999995</v>
      </c>
      <c r="AE492" s="6">
        <f ca="1">$K$492*$Y$492</f>
        <v>45809.426594612778</v>
      </c>
      <c r="AF492" s="6">
        <f ca="1">$M$492*$Z$492</f>
        <v>149968.1900600284</v>
      </c>
      <c r="AG492" s="6">
        <f>$O$492*$AA$492</f>
        <v>395544.34369390551</v>
      </c>
    </row>
    <row r="493" spans="1:33" ht="11.25" customHeight="1" x14ac:dyDescent="0.25">
      <c r="A493" s="4" t="s">
        <v>21</v>
      </c>
      <c r="B493" s="4" t="s">
        <v>33</v>
      </c>
      <c r="C493" s="4" t="s">
        <v>41</v>
      </c>
      <c r="D493" s="4" t="s">
        <v>48</v>
      </c>
      <c r="E493" s="4" t="s">
        <v>25</v>
      </c>
      <c r="F493" s="4" t="s">
        <v>25</v>
      </c>
      <c r="G493" s="4" t="s">
        <v>25</v>
      </c>
      <c r="H493" s="4" t="s">
        <v>36</v>
      </c>
      <c r="I493" s="5">
        <v>43770</v>
      </c>
      <c r="J493" s="6">
        <v>24508</v>
      </c>
      <c r="K493" s="6">
        <v>24508</v>
      </c>
      <c r="L493" s="6">
        <v>7382.4979999999996</v>
      </c>
      <c r="M493" s="6">
        <v>7382.4979999999996</v>
      </c>
      <c r="N493" s="6">
        <v>7382.4979999999996</v>
      </c>
      <c r="O493" s="6">
        <v>7382.4979999999996</v>
      </c>
      <c r="P493" s="6">
        <v>0</v>
      </c>
      <c r="Q493" s="4" t="s">
        <v>26</v>
      </c>
      <c r="R493" s="4">
        <v>0</v>
      </c>
      <c r="S493" s="6">
        <v>22</v>
      </c>
      <c r="T493" s="6">
        <v>23</v>
      </c>
      <c r="U493" s="6">
        <v>82</v>
      </c>
      <c r="V493" s="6">
        <f>IF(ISERROR(VLOOKUP($S$493,'TAR FIN'!$A$1:$O$120,15,0)),0,VLOOKUP($S$493,'TAR FIN'!$A$1:$O$120,15,0))</f>
        <v>8.81</v>
      </c>
      <c r="W493" s="6">
        <f>IF(ISERROR(VLOOKUP($T$493,'TAR FIN'!$A$1:$O$120,15,0)),0,VLOOKUP($T$493,'TAR FIN'!$A$1:$O$120,15,0))</f>
        <v>84.45</v>
      </c>
      <c r="X493" s="6">
        <f>IF(ISERROR(VLOOKUP($U$493,'TAR FIN'!$A$1:$O$120,15,0)),0,VLOOKUP($U$493,'TAR FIN'!$A$1:$O$120,15,0))</f>
        <v>256.38</v>
      </c>
      <c r="Y493" s="6">
        <f ca="1">('TUSD BE'!$AM$28+'TUSD BF'!$AM$28+'TUSD CVA'!$AM$28)*1</f>
        <v>11.452356648653195</v>
      </c>
      <c r="Z493" s="6">
        <f ca="1">('TUSD BE'!$AM$29+'TUSD BF'!$AM$29+'TUSD CVA'!$AM$29)*1</f>
        <v>87.519361965254689</v>
      </c>
      <c r="AA493" s="6">
        <f>('TE BE'!$AA$11+'TE BF'!$AA$11+'TE CVA'!$AA$11)*1</f>
        <v>230.83420940933817</v>
      </c>
      <c r="AB493" s="6">
        <f>$K$493*$V$493</f>
        <v>215915.48</v>
      </c>
      <c r="AC493" s="6">
        <f>$M$493*$W$493</f>
        <v>623451.95609999995</v>
      </c>
      <c r="AD493" s="6">
        <f>$O$493*$X$493</f>
        <v>1892724.8372399998</v>
      </c>
      <c r="AE493" s="6">
        <f ca="1">$K$493*$Y$493</f>
        <v>280674.35674519249</v>
      </c>
      <c r="AF493" s="6">
        <f ca="1">$M$493*$Z$493</f>
        <v>646111.51466976875</v>
      </c>
      <c r="AG493" s="6">
        <f>$O$493*$AA$493</f>
        <v>1704133.0892960201</v>
      </c>
    </row>
    <row r="494" spans="1:33" ht="11.25" customHeight="1" x14ac:dyDescent="0.25">
      <c r="A494" s="4" t="s">
        <v>28</v>
      </c>
      <c r="B494" s="4" t="s">
        <v>33</v>
      </c>
      <c r="C494" s="4" t="s">
        <v>41</v>
      </c>
      <c r="D494" s="4" t="s">
        <v>48</v>
      </c>
      <c r="E494" s="4" t="s">
        <v>25</v>
      </c>
      <c r="F494" s="4" t="s">
        <v>25</v>
      </c>
      <c r="G494" s="4" t="s">
        <v>25</v>
      </c>
      <c r="H494" s="4" t="s">
        <v>36</v>
      </c>
      <c r="I494" s="5">
        <v>43770</v>
      </c>
      <c r="J494" s="6">
        <v>4000</v>
      </c>
      <c r="K494" s="6">
        <v>4000</v>
      </c>
      <c r="L494" s="6">
        <v>1868.4690000000001</v>
      </c>
      <c r="M494" s="6">
        <v>1868.4690000000001</v>
      </c>
      <c r="N494" s="6">
        <v>1868.4690000000001</v>
      </c>
      <c r="O494" s="6">
        <v>1868.4690000000001</v>
      </c>
      <c r="P494" s="6">
        <v>0</v>
      </c>
      <c r="Q494" s="4" t="s">
        <v>26</v>
      </c>
      <c r="R494" s="4">
        <v>0</v>
      </c>
      <c r="S494" s="6">
        <v>22</v>
      </c>
      <c r="T494" s="6">
        <v>23</v>
      </c>
      <c r="U494" s="6">
        <v>82</v>
      </c>
      <c r="V494" s="6">
        <f>IF(ISERROR(VLOOKUP($S$494,'TAR FIN'!$A$1:$O$120,15,0)),0,VLOOKUP($S$494,'TAR FIN'!$A$1:$O$120,15,0))</f>
        <v>8.81</v>
      </c>
      <c r="W494" s="6">
        <f>IF(ISERROR(VLOOKUP($T$494,'TAR FIN'!$A$1:$O$120,15,0)),0,VLOOKUP($T$494,'TAR FIN'!$A$1:$O$120,15,0))</f>
        <v>84.45</v>
      </c>
      <c r="X494" s="6">
        <f>IF(ISERROR(VLOOKUP($U$494,'TAR FIN'!$A$1:$O$120,15,0)),0,VLOOKUP($U$494,'TAR FIN'!$A$1:$O$120,15,0))</f>
        <v>256.38</v>
      </c>
      <c r="Y494" s="6">
        <f ca="1">('TUSD BE'!$AM$28+'TUSD BF'!$AM$28+'TUSD CVA'!$AM$28)*1</f>
        <v>11.452356648653195</v>
      </c>
      <c r="Z494" s="6">
        <f ca="1">('TUSD BE'!$AM$29+'TUSD BF'!$AM$29+'TUSD CVA'!$AM$29)*1</f>
        <v>87.519361965254689</v>
      </c>
      <c r="AA494" s="6">
        <f>('TE BE'!$AA$11+'TE BF'!$AA$11+'TE CVA'!$AA$11)*1</f>
        <v>230.83420940933817</v>
      </c>
      <c r="AB494" s="6">
        <f>$K$494*$V$494</f>
        <v>35240</v>
      </c>
      <c r="AC494" s="6">
        <f>$M$494*$W$494</f>
        <v>157792.20705</v>
      </c>
      <c r="AD494" s="6">
        <f>$O$494*$X$494</f>
        <v>479038.08221999998</v>
      </c>
      <c r="AE494" s="6">
        <f ca="1">$K$494*$Y$494</f>
        <v>45809.426594612778</v>
      </c>
      <c r="AF494" s="6">
        <f ca="1">$M$494*$Z$494</f>
        <v>163527.21473185747</v>
      </c>
      <c r="AG494" s="6">
        <f>$O$494*$AA$494</f>
        <v>431306.56442085671</v>
      </c>
    </row>
    <row r="495" spans="1:33" ht="11.25" customHeight="1" x14ac:dyDescent="0.25">
      <c r="A495" s="4" t="s">
        <v>21</v>
      </c>
      <c r="B495" s="4" t="s">
        <v>33</v>
      </c>
      <c r="C495" s="4" t="s">
        <v>41</v>
      </c>
      <c r="D495" s="4" t="s">
        <v>48</v>
      </c>
      <c r="E495" s="4" t="s">
        <v>25</v>
      </c>
      <c r="F495" s="4" t="s">
        <v>25</v>
      </c>
      <c r="G495" s="4" t="s">
        <v>25</v>
      </c>
      <c r="H495" s="4" t="s">
        <v>36</v>
      </c>
      <c r="I495" s="5">
        <v>43800</v>
      </c>
      <c r="J495" s="6">
        <v>24637</v>
      </c>
      <c r="K495" s="6">
        <v>24637</v>
      </c>
      <c r="L495" s="6">
        <v>6728.192</v>
      </c>
      <c r="M495" s="6">
        <v>6728.192</v>
      </c>
      <c r="N495" s="6">
        <v>6728.192</v>
      </c>
      <c r="O495" s="6">
        <v>6728.192</v>
      </c>
      <c r="P495" s="6">
        <v>0</v>
      </c>
      <c r="Q495" s="4" t="s">
        <v>26</v>
      </c>
      <c r="R495" s="4">
        <v>0</v>
      </c>
      <c r="S495" s="6">
        <v>22</v>
      </c>
      <c r="T495" s="6">
        <v>23</v>
      </c>
      <c r="U495" s="6">
        <v>82</v>
      </c>
      <c r="V495" s="6">
        <f>IF(ISERROR(VLOOKUP($S$495,'TAR FIN'!$A$1:$O$120,15,0)),0,VLOOKUP($S$495,'TAR FIN'!$A$1:$O$120,15,0))</f>
        <v>8.81</v>
      </c>
      <c r="W495" s="6">
        <f>IF(ISERROR(VLOOKUP($T$495,'TAR FIN'!$A$1:$O$120,15,0)),0,VLOOKUP($T$495,'TAR FIN'!$A$1:$O$120,15,0))</f>
        <v>84.45</v>
      </c>
      <c r="X495" s="6">
        <f>IF(ISERROR(VLOOKUP($U$495,'TAR FIN'!$A$1:$O$120,15,0)),0,VLOOKUP($U$495,'TAR FIN'!$A$1:$O$120,15,0))</f>
        <v>256.38</v>
      </c>
      <c r="Y495" s="6">
        <f ca="1">('TUSD BE'!$AM$28+'TUSD BF'!$AM$28+'TUSD CVA'!$AM$28)*1</f>
        <v>11.452356648653195</v>
      </c>
      <c r="Z495" s="6">
        <f ca="1">('TUSD BE'!$AM$29+'TUSD BF'!$AM$29+'TUSD CVA'!$AM$29)*1</f>
        <v>87.519361965254689</v>
      </c>
      <c r="AA495" s="6">
        <f>('TE BE'!$AA$11+'TE BF'!$AA$11+'TE CVA'!$AA$11)*1</f>
        <v>230.83420940933817</v>
      </c>
      <c r="AB495" s="6">
        <f>$K$495*$V$495</f>
        <v>217051.97</v>
      </c>
      <c r="AC495" s="6">
        <f>$M$495*$W$495</f>
        <v>568195.81440000003</v>
      </c>
      <c r="AD495" s="6">
        <f>$O$495*$X$495</f>
        <v>1724973.8649599999</v>
      </c>
      <c r="AE495" s="6">
        <f ca="1">$K$495*$Y$495</f>
        <v>282151.71075286879</v>
      </c>
      <c r="AF495" s="6">
        <f ca="1">$M$495*$Z$495</f>
        <v>588847.07101973088</v>
      </c>
      <c r="AG495" s="6">
        <f>$O$495*$AA$495</f>
        <v>1553096.8810742339</v>
      </c>
    </row>
    <row r="496" spans="1:33" ht="11.25" customHeight="1" x14ac:dyDescent="0.25">
      <c r="A496" s="4" t="s">
        <v>28</v>
      </c>
      <c r="B496" s="4" t="s">
        <v>33</v>
      </c>
      <c r="C496" s="4" t="s">
        <v>41</v>
      </c>
      <c r="D496" s="4" t="s">
        <v>48</v>
      </c>
      <c r="E496" s="4" t="s">
        <v>25</v>
      </c>
      <c r="F496" s="4" t="s">
        <v>25</v>
      </c>
      <c r="G496" s="4" t="s">
        <v>25</v>
      </c>
      <c r="H496" s="4" t="s">
        <v>36</v>
      </c>
      <c r="I496" s="5">
        <v>43800</v>
      </c>
      <c r="J496" s="6">
        <v>4000</v>
      </c>
      <c r="K496" s="6">
        <v>4000</v>
      </c>
      <c r="L496" s="6">
        <v>1684.7750000000001</v>
      </c>
      <c r="M496" s="6">
        <v>1684.7750000000001</v>
      </c>
      <c r="N496" s="6">
        <v>1684.7750000000001</v>
      </c>
      <c r="O496" s="6">
        <v>1684.7750000000001</v>
      </c>
      <c r="P496" s="6">
        <v>0</v>
      </c>
      <c r="Q496" s="4" t="s">
        <v>26</v>
      </c>
      <c r="R496" s="4">
        <v>0</v>
      </c>
      <c r="S496" s="6">
        <v>22</v>
      </c>
      <c r="T496" s="6">
        <v>23</v>
      </c>
      <c r="U496" s="6">
        <v>82</v>
      </c>
      <c r="V496" s="6">
        <f>IF(ISERROR(VLOOKUP($S$496,'TAR FIN'!$A$1:$O$120,15,0)),0,VLOOKUP($S$496,'TAR FIN'!$A$1:$O$120,15,0))</f>
        <v>8.81</v>
      </c>
      <c r="W496" s="6">
        <f>IF(ISERROR(VLOOKUP($T$496,'TAR FIN'!$A$1:$O$120,15,0)),0,VLOOKUP($T$496,'TAR FIN'!$A$1:$O$120,15,0))</f>
        <v>84.45</v>
      </c>
      <c r="X496" s="6">
        <f>IF(ISERROR(VLOOKUP($U$496,'TAR FIN'!$A$1:$O$120,15,0)),0,VLOOKUP($U$496,'TAR FIN'!$A$1:$O$120,15,0))</f>
        <v>256.38</v>
      </c>
      <c r="Y496" s="6">
        <f ca="1">('TUSD BE'!$AM$28+'TUSD BF'!$AM$28+'TUSD CVA'!$AM$28)*1</f>
        <v>11.452356648653195</v>
      </c>
      <c r="Z496" s="6">
        <f ca="1">('TUSD BE'!$AM$29+'TUSD BF'!$AM$29+'TUSD CVA'!$AM$29)*1</f>
        <v>87.519361965254689</v>
      </c>
      <c r="AA496" s="6">
        <f>('TE BE'!$AA$11+'TE BF'!$AA$11+'TE CVA'!$AA$11)*1</f>
        <v>230.83420940933817</v>
      </c>
      <c r="AB496" s="6">
        <f>$K$496*$V$496</f>
        <v>35240</v>
      </c>
      <c r="AC496" s="6">
        <f>$M$496*$W$496</f>
        <v>142279.24875</v>
      </c>
      <c r="AD496" s="6">
        <f>$O$496*$X$496</f>
        <v>431942.61450000003</v>
      </c>
      <c r="AE496" s="6">
        <f ca="1">$K$496*$Y$496</f>
        <v>45809.426594612778</v>
      </c>
      <c r="AF496" s="6">
        <f ca="1">$M$496*$Z$496</f>
        <v>147450.43305501196</v>
      </c>
      <c r="AG496" s="6">
        <f>$O$496*$AA$496</f>
        <v>388903.70515761775</v>
      </c>
    </row>
    <row r="497" spans="1:33" ht="11.25" customHeight="1" x14ac:dyDescent="0.25">
      <c r="A497" s="4" t="s">
        <v>21</v>
      </c>
      <c r="B497" s="4" t="s">
        <v>33</v>
      </c>
      <c r="C497" s="4" t="s">
        <v>41</v>
      </c>
      <c r="D497" s="4" t="s">
        <v>48</v>
      </c>
      <c r="E497" s="4" t="s">
        <v>25</v>
      </c>
      <c r="F497" s="4" t="s">
        <v>25</v>
      </c>
      <c r="G497" s="4" t="s">
        <v>25</v>
      </c>
      <c r="H497" s="4" t="s">
        <v>36</v>
      </c>
      <c r="I497" s="5">
        <v>43831</v>
      </c>
      <c r="J497" s="6">
        <v>23704</v>
      </c>
      <c r="K497" s="6">
        <v>23704</v>
      </c>
      <c r="L497" s="6">
        <v>6559.5330000000004</v>
      </c>
      <c r="M497" s="6">
        <v>6559.5330000000004</v>
      </c>
      <c r="N497" s="6">
        <v>6559.5330000000004</v>
      </c>
      <c r="O497" s="6">
        <v>6559.5330000000004</v>
      </c>
      <c r="P497" s="6">
        <v>0</v>
      </c>
      <c r="Q497" s="4" t="s">
        <v>26</v>
      </c>
      <c r="R497" s="4">
        <v>0</v>
      </c>
      <c r="S497" s="6">
        <v>22</v>
      </c>
      <c r="T497" s="6">
        <v>23</v>
      </c>
      <c r="U497" s="6">
        <v>82</v>
      </c>
      <c r="V497" s="6">
        <f>IF(ISERROR(VLOOKUP($S$497,'TAR FIN'!$A$1:$O$120,15,0)),0,VLOOKUP($S$497,'TAR FIN'!$A$1:$O$120,15,0))</f>
        <v>8.81</v>
      </c>
      <c r="W497" s="6">
        <f>IF(ISERROR(VLOOKUP($T$497,'TAR FIN'!$A$1:$O$120,15,0)),0,VLOOKUP($T$497,'TAR FIN'!$A$1:$O$120,15,0))</f>
        <v>84.45</v>
      </c>
      <c r="X497" s="6">
        <f>IF(ISERROR(VLOOKUP($U$497,'TAR FIN'!$A$1:$O$120,15,0)),0,VLOOKUP($U$497,'TAR FIN'!$A$1:$O$120,15,0))</f>
        <v>256.38</v>
      </c>
      <c r="Y497" s="6">
        <f ca="1">('TUSD BE'!$AM$28+'TUSD BF'!$AM$28+'TUSD CVA'!$AM$28)*1</f>
        <v>11.452356648653195</v>
      </c>
      <c r="Z497" s="6">
        <f ca="1">('TUSD BE'!$AM$29+'TUSD BF'!$AM$29+'TUSD CVA'!$AM$29)*1</f>
        <v>87.519361965254689</v>
      </c>
      <c r="AA497" s="6">
        <f>('TE BE'!$AA$11+'TE BF'!$AA$11+'TE CVA'!$AA$11)*1</f>
        <v>230.83420940933817</v>
      </c>
      <c r="AB497" s="6">
        <f>$K$497*$V$497</f>
        <v>208832.24000000002</v>
      </c>
      <c r="AC497" s="6">
        <f>$M$497*$W$497</f>
        <v>553952.56185000006</v>
      </c>
      <c r="AD497" s="6">
        <f>$O$497*$X$497</f>
        <v>1681733.07054</v>
      </c>
      <c r="AE497" s="6">
        <f ca="1">$K$497*$Y$497</f>
        <v>271466.66199967533</v>
      </c>
      <c r="AF497" s="6">
        <f ca="1">$M$497*$Z$497</f>
        <v>574086.14295003307</v>
      </c>
      <c r="AG497" s="6">
        <f>$O$497*$AA$497</f>
        <v>1514164.6141494643</v>
      </c>
    </row>
    <row r="498" spans="1:33" ht="11.25" customHeight="1" x14ac:dyDescent="0.25">
      <c r="A498" s="4" t="s">
        <v>28</v>
      </c>
      <c r="B498" s="4" t="s">
        <v>33</v>
      </c>
      <c r="C498" s="4" t="s">
        <v>41</v>
      </c>
      <c r="D498" s="4" t="s">
        <v>48</v>
      </c>
      <c r="E498" s="4" t="s">
        <v>25</v>
      </c>
      <c r="F498" s="4" t="s">
        <v>25</v>
      </c>
      <c r="G498" s="4" t="s">
        <v>25</v>
      </c>
      <c r="H498" s="4" t="s">
        <v>36</v>
      </c>
      <c r="I498" s="5">
        <v>43831</v>
      </c>
      <c r="J498" s="6">
        <v>4000</v>
      </c>
      <c r="K498" s="6">
        <v>4000</v>
      </c>
      <c r="L498" s="6">
        <v>1367.8489999999999</v>
      </c>
      <c r="M498" s="6">
        <v>1367.8489999999999</v>
      </c>
      <c r="N498" s="6">
        <v>1367.8489999999999</v>
      </c>
      <c r="O498" s="6">
        <v>1367.8489999999999</v>
      </c>
      <c r="P498" s="6">
        <v>0</v>
      </c>
      <c r="Q498" s="4" t="s">
        <v>26</v>
      </c>
      <c r="R498" s="4">
        <v>0</v>
      </c>
      <c r="S498" s="6">
        <v>22</v>
      </c>
      <c r="T498" s="6">
        <v>23</v>
      </c>
      <c r="U498" s="6">
        <v>82</v>
      </c>
      <c r="V498" s="6">
        <f>IF(ISERROR(VLOOKUP($S$498,'TAR FIN'!$A$1:$O$120,15,0)),0,VLOOKUP($S$498,'TAR FIN'!$A$1:$O$120,15,0))</f>
        <v>8.81</v>
      </c>
      <c r="W498" s="6">
        <f>IF(ISERROR(VLOOKUP($T$498,'TAR FIN'!$A$1:$O$120,15,0)),0,VLOOKUP($T$498,'TAR FIN'!$A$1:$O$120,15,0))</f>
        <v>84.45</v>
      </c>
      <c r="X498" s="6">
        <f>IF(ISERROR(VLOOKUP($U$498,'TAR FIN'!$A$1:$O$120,15,0)),0,VLOOKUP($U$498,'TAR FIN'!$A$1:$O$120,15,0))</f>
        <v>256.38</v>
      </c>
      <c r="Y498" s="6">
        <f ca="1">('TUSD BE'!$AM$28+'TUSD BF'!$AM$28+'TUSD CVA'!$AM$28)*1</f>
        <v>11.452356648653195</v>
      </c>
      <c r="Z498" s="6">
        <f ca="1">('TUSD BE'!$AM$29+'TUSD BF'!$AM$29+'TUSD CVA'!$AM$29)*1</f>
        <v>87.519361965254689</v>
      </c>
      <c r="AA498" s="6">
        <f>('TE BE'!$AA$11+'TE BF'!$AA$11+'TE CVA'!$AA$11)*1</f>
        <v>230.83420940933817</v>
      </c>
      <c r="AB498" s="6">
        <f>$K$498*$V$498</f>
        <v>35240</v>
      </c>
      <c r="AC498" s="6">
        <f>$M$498*$W$498</f>
        <v>115514.84805</v>
      </c>
      <c r="AD498" s="6">
        <f>$O$498*$X$498</f>
        <v>350689.12662</v>
      </c>
      <c r="AE498" s="6">
        <f ca="1">$K$498*$Y$498</f>
        <v>45809.426594612778</v>
      </c>
      <c r="AF498" s="6">
        <f ca="1">$M$498*$Z$498</f>
        <v>119713.27174481166</v>
      </c>
      <c r="AG498" s="6">
        <f>$O$498*$AA$498</f>
        <v>315746.3425063538</v>
      </c>
    </row>
    <row r="499" spans="1:33" ht="11.25" customHeight="1" x14ac:dyDescent="0.25">
      <c r="A499" s="4" t="s">
        <v>21</v>
      </c>
      <c r="B499" s="4" t="s">
        <v>33</v>
      </c>
      <c r="C499" s="4" t="s">
        <v>41</v>
      </c>
      <c r="D499" s="4" t="s">
        <v>48</v>
      </c>
      <c r="E499" s="4" t="s">
        <v>25</v>
      </c>
      <c r="F499" s="4" t="s">
        <v>25</v>
      </c>
      <c r="G499" s="4" t="s">
        <v>25</v>
      </c>
      <c r="H499" s="4" t="s">
        <v>36</v>
      </c>
      <c r="I499" s="5">
        <v>43862</v>
      </c>
      <c r="J499" s="6">
        <v>24054</v>
      </c>
      <c r="K499" s="6">
        <v>24054</v>
      </c>
      <c r="L499" s="6">
        <v>6612.0349999999999</v>
      </c>
      <c r="M499" s="6">
        <v>6612.0349999999999</v>
      </c>
      <c r="N499" s="6">
        <v>6612.0349999999999</v>
      </c>
      <c r="O499" s="6">
        <v>6612.0349999999999</v>
      </c>
      <c r="P499" s="6">
        <v>0</v>
      </c>
      <c r="Q499" s="4" t="s">
        <v>26</v>
      </c>
      <c r="R499" s="4">
        <v>0</v>
      </c>
      <c r="S499" s="6">
        <v>22</v>
      </c>
      <c r="T499" s="6">
        <v>23</v>
      </c>
      <c r="U499" s="6">
        <v>82</v>
      </c>
      <c r="V499" s="6">
        <f>IF(ISERROR(VLOOKUP($S$499,'TAR FIN'!$A$1:$O$120,15,0)),0,VLOOKUP($S$499,'TAR FIN'!$A$1:$O$120,15,0))</f>
        <v>8.81</v>
      </c>
      <c r="W499" s="6">
        <f>IF(ISERROR(VLOOKUP($T$499,'TAR FIN'!$A$1:$O$120,15,0)),0,VLOOKUP($T$499,'TAR FIN'!$A$1:$O$120,15,0))</f>
        <v>84.45</v>
      </c>
      <c r="X499" s="6">
        <f>IF(ISERROR(VLOOKUP($U$499,'TAR FIN'!$A$1:$O$120,15,0)),0,VLOOKUP($U$499,'TAR FIN'!$A$1:$O$120,15,0))</f>
        <v>256.38</v>
      </c>
      <c r="Y499" s="6">
        <f ca="1">('TUSD BE'!$AM$28+'TUSD BF'!$AM$28+'TUSD CVA'!$AM$28)*1</f>
        <v>11.452356648653195</v>
      </c>
      <c r="Z499" s="6">
        <f ca="1">('TUSD BE'!$AM$29+'TUSD BF'!$AM$29+'TUSD CVA'!$AM$29)*1</f>
        <v>87.519361965254689</v>
      </c>
      <c r="AA499" s="6">
        <f>('TE BE'!$AA$11+'TE BF'!$AA$11+'TE CVA'!$AA$11)*1</f>
        <v>230.83420940933817</v>
      </c>
      <c r="AB499" s="6">
        <f>$K$499*$V$499</f>
        <v>211915.74000000002</v>
      </c>
      <c r="AC499" s="6">
        <f>$M$499*$W$499</f>
        <v>558386.35574999999</v>
      </c>
      <c r="AD499" s="6">
        <f>$O$499*$X$499</f>
        <v>1695193.5333</v>
      </c>
      <c r="AE499" s="6">
        <f ca="1">$K$499*$Y$499</f>
        <v>275474.98682670394</v>
      </c>
      <c r="AF499" s="6">
        <f ca="1">$M$499*$Z$499</f>
        <v>578681.08449193276</v>
      </c>
      <c r="AG499" s="6">
        <f>$O$499*$AA$499</f>
        <v>1526283.8718118733</v>
      </c>
    </row>
    <row r="500" spans="1:33" ht="11.25" customHeight="1" x14ac:dyDescent="0.25">
      <c r="A500" s="4" t="s">
        <v>28</v>
      </c>
      <c r="B500" s="4" t="s">
        <v>33</v>
      </c>
      <c r="C500" s="4" t="s">
        <v>41</v>
      </c>
      <c r="D500" s="4" t="s">
        <v>48</v>
      </c>
      <c r="E500" s="4" t="s">
        <v>25</v>
      </c>
      <c r="F500" s="4" t="s">
        <v>25</v>
      </c>
      <c r="G500" s="4" t="s">
        <v>25</v>
      </c>
      <c r="H500" s="4" t="s">
        <v>36</v>
      </c>
      <c r="I500" s="5">
        <v>43862</v>
      </c>
      <c r="J500" s="6">
        <v>4000</v>
      </c>
      <c r="K500" s="6">
        <v>4000</v>
      </c>
      <c r="L500" s="6">
        <v>1541.8330000000001</v>
      </c>
      <c r="M500" s="6">
        <v>1541.8330000000001</v>
      </c>
      <c r="N500" s="6">
        <v>1541.8330000000001</v>
      </c>
      <c r="O500" s="6">
        <v>1541.8330000000001</v>
      </c>
      <c r="P500" s="6">
        <v>0</v>
      </c>
      <c r="Q500" s="4" t="s">
        <v>26</v>
      </c>
      <c r="R500" s="4">
        <v>0</v>
      </c>
      <c r="S500" s="6">
        <v>22</v>
      </c>
      <c r="T500" s="6">
        <v>23</v>
      </c>
      <c r="U500" s="6">
        <v>82</v>
      </c>
      <c r="V500" s="6">
        <f>IF(ISERROR(VLOOKUP($S$500,'TAR FIN'!$A$1:$O$120,15,0)),0,VLOOKUP($S$500,'TAR FIN'!$A$1:$O$120,15,0))</f>
        <v>8.81</v>
      </c>
      <c r="W500" s="6">
        <f>IF(ISERROR(VLOOKUP($T$500,'TAR FIN'!$A$1:$O$120,15,0)),0,VLOOKUP($T$500,'TAR FIN'!$A$1:$O$120,15,0))</f>
        <v>84.45</v>
      </c>
      <c r="X500" s="6">
        <f>IF(ISERROR(VLOOKUP($U$500,'TAR FIN'!$A$1:$O$120,15,0)),0,VLOOKUP($U$500,'TAR FIN'!$A$1:$O$120,15,0))</f>
        <v>256.38</v>
      </c>
      <c r="Y500" s="6">
        <f ca="1">('TUSD BE'!$AM$28+'TUSD BF'!$AM$28+'TUSD CVA'!$AM$28)*1</f>
        <v>11.452356648653195</v>
      </c>
      <c r="Z500" s="6">
        <f ca="1">('TUSD BE'!$AM$29+'TUSD BF'!$AM$29+'TUSD CVA'!$AM$29)*1</f>
        <v>87.519361965254689</v>
      </c>
      <c r="AA500" s="6">
        <f>('TE BE'!$AA$11+'TE BF'!$AA$11+'TE CVA'!$AA$11)*1</f>
        <v>230.83420940933817</v>
      </c>
      <c r="AB500" s="6">
        <f>$K$500*$V$500</f>
        <v>35240</v>
      </c>
      <c r="AC500" s="6">
        <f>$M$500*$W$500</f>
        <v>130207.79685000001</v>
      </c>
      <c r="AD500" s="6">
        <f>$O$500*$X$500</f>
        <v>395295.14454000001</v>
      </c>
      <c r="AE500" s="6">
        <f ca="1">$K$500*$Y$500</f>
        <v>45809.426594612778</v>
      </c>
      <c r="AF500" s="6">
        <f ca="1">$M$500*$Z$500</f>
        <v>134940.24041697453</v>
      </c>
      <c r="AG500" s="6">
        <f>$O$500*$AA$500</f>
        <v>355907.80159622815</v>
      </c>
    </row>
    <row r="501" spans="1:33" ht="11.25" customHeight="1" x14ac:dyDescent="0.25">
      <c r="A501" s="4" t="s">
        <v>21</v>
      </c>
      <c r="B501" s="4" t="s">
        <v>33</v>
      </c>
      <c r="C501" s="4" t="s">
        <v>41</v>
      </c>
      <c r="D501" s="4" t="s">
        <v>48</v>
      </c>
      <c r="E501" s="4" t="s">
        <v>25</v>
      </c>
      <c r="F501" s="4" t="s">
        <v>25</v>
      </c>
      <c r="G501" s="4" t="s">
        <v>25</v>
      </c>
      <c r="H501" s="4" t="s">
        <v>36</v>
      </c>
      <c r="I501" s="5">
        <v>43891</v>
      </c>
      <c r="J501" s="6">
        <v>23971</v>
      </c>
      <c r="K501" s="6">
        <v>23971</v>
      </c>
      <c r="L501" s="6">
        <v>6198.7209999999995</v>
      </c>
      <c r="M501" s="6">
        <v>6198.7209999999995</v>
      </c>
      <c r="N501" s="6">
        <v>6198.7209999999995</v>
      </c>
      <c r="O501" s="6">
        <v>6198.7209999999995</v>
      </c>
      <c r="P501" s="6">
        <v>0</v>
      </c>
      <c r="Q501" s="4" t="s">
        <v>26</v>
      </c>
      <c r="R501" s="4">
        <v>0</v>
      </c>
      <c r="S501" s="6">
        <v>22</v>
      </c>
      <c r="T501" s="6">
        <v>23</v>
      </c>
      <c r="U501" s="6">
        <v>82</v>
      </c>
      <c r="V501" s="6">
        <f>IF(ISERROR(VLOOKUP($S$501,'TAR FIN'!$A$1:$O$120,15,0)),0,VLOOKUP($S$501,'TAR FIN'!$A$1:$O$120,15,0))</f>
        <v>8.81</v>
      </c>
      <c r="W501" s="6">
        <f>IF(ISERROR(VLOOKUP($T$501,'TAR FIN'!$A$1:$O$120,15,0)),0,VLOOKUP($T$501,'TAR FIN'!$A$1:$O$120,15,0))</f>
        <v>84.45</v>
      </c>
      <c r="X501" s="6">
        <f>IF(ISERROR(VLOOKUP($U$501,'TAR FIN'!$A$1:$O$120,15,0)),0,VLOOKUP($U$501,'TAR FIN'!$A$1:$O$120,15,0))</f>
        <v>256.38</v>
      </c>
      <c r="Y501" s="6">
        <f ca="1">('TUSD BE'!$AM$28+'TUSD BF'!$AM$28+'TUSD CVA'!$AM$28)*1</f>
        <v>11.452356648653195</v>
      </c>
      <c r="Z501" s="6">
        <f ca="1">('TUSD BE'!$AM$29+'TUSD BF'!$AM$29+'TUSD CVA'!$AM$29)*1</f>
        <v>87.519361965254689</v>
      </c>
      <c r="AA501" s="6">
        <f>('TE BE'!$AA$11+'TE BF'!$AA$11+'TE CVA'!$AA$11)*1</f>
        <v>230.83420940933817</v>
      </c>
      <c r="AB501" s="6">
        <f>$K$501*$V$501</f>
        <v>211184.51</v>
      </c>
      <c r="AC501" s="6">
        <f>$M$501*$W$501</f>
        <v>523481.98845</v>
      </c>
      <c r="AD501" s="6">
        <f>$O$501*$X$501</f>
        <v>1589228.0899799999</v>
      </c>
      <c r="AE501" s="6">
        <f ca="1">$K$501*$Y$501</f>
        <v>274524.44122486573</v>
      </c>
      <c r="AF501" s="6">
        <f ca="1">$M$501*$Z$501</f>
        <v>542508.10692062543</v>
      </c>
      <c r="AG501" s="6">
        <f>$O$501*$AA$501</f>
        <v>1430876.8613840621</v>
      </c>
    </row>
    <row r="502" spans="1:33" ht="11.25" customHeight="1" x14ac:dyDescent="0.25">
      <c r="A502" s="4" t="s">
        <v>28</v>
      </c>
      <c r="B502" s="4" t="s">
        <v>33</v>
      </c>
      <c r="C502" s="4" t="s">
        <v>41</v>
      </c>
      <c r="D502" s="4" t="s">
        <v>48</v>
      </c>
      <c r="E502" s="4" t="s">
        <v>25</v>
      </c>
      <c r="F502" s="4" t="s">
        <v>25</v>
      </c>
      <c r="G502" s="4" t="s">
        <v>25</v>
      </c>
      <c r="H502" s="4" t="s">
        <v>36</v>
      </c>
      <c r="I502" s="5">
        <v>43891</v>
      </c>
      <c r="J502" s="6">
        <v>4000</v>
      </c>
      <c r="K502" s="6">
        <v>4000</v>
      </c>
      <c r="L502" s="6">
        <v>1372.7639999999999</v>
      </c>
      <c r="M502" s="6">
        <v>1372.7639999999999</v>
      </c>
      <c r="N502" s="6">
        <v>1372.7639999999999</v>
      </c>
      <c r="O502" s="6">
        <v>1372.7639999999999</v>
      </c>
      <c r="P502" s="6">
        <v>0</v>
      </c>
      <c r="Q502" s="4" t="s">
        <v>26</v>
      </c>
      <c r="R502" s="4">
        <v>0</v>
      </c>
      <c r="S502" s="6">
        <v>22</v>
      </c>
      <c r="T502" s="6">
        <v>23</v>
      </c>
      <c r="U502" s="6">
        <v>82</v>
      </c>
      <c r="V502" s="6">
        <f>IF(ISERROR(VLOOKUP($S$502,'TAR FIN'!$A$1:$O$120,15,0)),0,VLOOKUP($S$502,'TAR FIN'!$A$1:$O$120,15,0))</f>
        <v>8.81</v>
      </c>
      <c r="W502" s="6">
        <f>IF(ISERROR(VLOOKUP($T$502,'TAR FIN'!$A$1:$O$120,15,0)),0,VLOOKUP($T$502,'TAR FIN'!$A$1:$O$120,15,0))</f>
        <v>84.45</v>
      </c>
      <c r="X502" s="6">
        <f>IF(ISERROR(VLOOKUP($U$502,'TAR FIN'!$A$1:$O$120,15,0)),0,VLOOKUP($U$502,'TAR FIN'!$A$1:$O$120,15,0))</f>
        <v>256.38</v>
      </c>
      <c r="Y502" s="6">
        <f ca="1">('TUSD BE'!$AM$28+'TUSD BF'!$AM$28+'TUSD CVA'!$AM$28)*1</f>
        <v>11.452356648653195</v>
      </c>
      <c r="Z502" s="6">
        <f ca="1">('TUSD BE'!$AM$29+'TUSD BF'!$AM$29+'TUSD CVA'!$AM$29)*1</f>
        <v>87.519361965254689</v>
      </c>
      <c r="AA502" s="6">
        <f>('TE BE'!$AA$11+'TE BF'!$AA$11+'TE CVA'!$AA$11)*1</f>
        <v>230.83420940933817</v>
      </c>
      <c r="AB502" s="6">
        <f>$K$502*$V$502</f>
        <v>35240</v>
      </c>
      <c r="AC502" s="6">
        <f>$M$502*$W$502</f>
        <v>115929.91979999999</v>
      </c>
      <c r="AD502" s="6">
        <f>$O$502*$X$502</f>
        <v>351949.23431999999</v>
      </c>
      <c r="AE502" s="6">
        <f ca="1">$K$502*$Y$502</f>
        <v>45809.426594612778</v>
      </c>
      <c r="AF502" s="6">
        <f ca="1">$M$502*$Z$502</f>
        <v>120143.42940887088</v>
      </c>
      <c r="AG502" s="6">
        <f>$O$502*$AA$502</f>
        <v>316880.89264560066</v>
      </c>
    </row>
    <row r="503" spans="1:33" ht="11.25" customHeight="1" x14ac:dyDescent="0.25">
      <c r="A503" s="4" t="s">
        <v>21</v>
      </c>
      <c r="B503" s="4" t="s">
        <v>33</v>
      </c>
      <c r="C503" s="4" t="s">
        <v>41</v>
      </c>
      <c r="D503" s="4" t="s">
        <v>48</v>
      </c>
      <c r="E503" s="4" t="s">
        <v>25</v>
      </c>
      <c r="F503" s="4" t="s">
        <v>25</v>
      </c>
      <c r="G503" s="4" t="s">
        <v>25</v>
      </c>
      <c r="H503" s="4" t="s">
        <v>36</v>
      </c>
      <c r="I503" s="5">
        <v>43922</v>
      </c>
      <c r="J503" s="6">
        <v>22776</v>
      </c>
      <c r="K503" s="6">
        <v>22776</v>
      </c>
      <c r="L503" s="6">
        <v>6163.0720000000001</v>
      </c>
      <c r="M503" s="6">
        <v>6163.0720000000001</v>
      </c>
      <c r="N503" s="6">
        <v>6163.0720000000001</v>
      </c>
      <c r="O503" s="6">
        <v>6163.0720000000001</v>
      </c>
      <c r="P503" s="6">
        <v>0</v>
      </c>
      <c r="Q503" s="4" t="s">
        <v>26</v>
      </c>
      <c r="R503" s="4">
        <v>0</v>
      </c>
      <c r="S503" s="6">
        <v>22</v>
      </c>
      <c r="T503" s="6">
        <v>23</v>
      </c>
      <c r="U503" s="6">
        <v>82</v>
      </c>
      <c r="V503" s="6">
        <f>IF(ISERROR(VLOOKUP($S$503,'TAR FIN'!$A$1:$O$120,15,0)),0,VLOOKUP($S$503,'TAR FIN'!$A$1:$O$120,15,0))</f>
        <v>8.81</v>
      </c>
      <c r="W503" s="6">
        <f>IF(ISERROR(VLOOKUP($T$503,'TAR FIN'!$A$1:$O$120,15,0)),0,VLOOKUP($T$503,'TAR FIN'!$A$1:$O$120,15,0))</f>
        <v>84.45</v>
      </c>
      <c r="X503" s="6">
        <f>IF(ISERROR(VLOOKUP($U$503,'TAR FIN'!$A$1:$O$120,15,0)),0,VLOOKUP($U$503,'TAR FIN'!$A$1:$O$120,15,0))</f>
        <v>256.38</v>
      </c>
      <c r="Y503" s="6">
        <f ca="1">('TUSD BE'!$AM$28+'TUSD BF'!$AM$28+'TUSD CVA'!$AM$28)*1</f>
        <v>11.452356648653195</v>
      </c>
      <c r="Z503" s="6">
        <f ca="1">('TUSD BE'!$AM$29+'TUSD BF'!$AM$29+'TUSD CVA'!$AM$29)*1</f>
        <v>87.519361965254689</v>
      </c>
      <c r="AA503" s="6">
        <f>('TE BE'!$AA$11+'TE BF'!$AA$11+'TE CVA'!$AA$11)*1</f>
        <v>230.83420940933817</v>
      </c>
      <c r="AB503" s="6">
        <f>$K$503*$V$503</f>
        <v>200656.56</v>
      </c>
      <c r="AC503" s="6">
        <f>$M$503*$W$503</f>
        <v>520471.43040000001</v>
      </c>
      <c r="AD503" s="6">
        <f>$O$503*$X$503</f>
        <v>1580088.3993599999</v>
      </c>
      <c r="AE503" s="6">
        <f ca="1">$K$503*$Y$503</f>
        <v>260838.87502972517</v>
      </c>
      <c r="AF503" s="6">
        <f ca="1">$M$503*$Z$503</f>
        <v>539388.12918592617</v>
      </c>
      <c r="AG503" s="6">
        <f>$O$503*$AA$503</f>
        <v>1422647.8526528287</v>
      </c>
    </row>
    <row r="504" spans="1:33" ht="11.25" customHeight="1" x14ac:dyDescent="0.25">
      <c r="A504" s="4" t="s">
        <v>28</v>
      </c>
      <c r="B504" s="4" t="s">
        <v>33</v>
      </c>
      <c r="C504" s="4" t="s">
        <v>41</v>
      </c>
      <c r="D504" s="4" t="s">
        <v>48</v>
      </c>
      <c r="E504" s="4" t="s">
        <v>25</v>
      </c>
      <c r="F504" s="4" t="s">
        <v>25</v>
      </c>
      <c r="G504" s="4" t="s">
        <v>25</v>
      </c>
      <c r="H504" s="4" t="s">
        <v>36</v>
      </c>
      <c r="I504" s="5">
        <v>43922</v>
      </c>
      <c r="J504" s="6">
        <v>4000</v>
      </c>
      <c r="K504" s="6">
        <v>4000</v>
      </c>
      <c r="L504" s="6">
        <v>1169.8630000000001</v>
      </c>
      <c r="M504" s="6">
        <v>1169.8630000000001</v>
      </c>
      <c r="N504" s="6">
        <v>1169.8630000000001</v>
      </c>
      <c r="O504" s="6">
        <v>1169.8630000000001</v>
      </c>
      <c r="P504" s="6">
        <v>0</v>
      </c>
      <c r="Q504" s="4" t="s">
        <v>26</v>
      </c>
      <c r="R504" s="4">
        <v>0</v>
      </c>
      <c r="S504" s="6">
        <v>22</v>
      </c>
      <c r="T504" s="6">
        <v>23</v>
      </c>
      <c r="U504" s="6">
        <v>82</v>
      </c>
      <c r="V504" s="6">
        <f>IF(ISERROR(VLOOKUP($S$504,'TAR FIN'!$A$1:$O$120,15,0)),0,VLOOKUP($S$504,'TAR FIN'!$A$1:$O$120,15,0))</f>
        <v>8.81</v>
      </c>
      <c r="W504" s="6">
        <f>IF(ISERROR(VLOOKUP($T$504,'TAR FIN'!$A$1:$O$120,15,0)),0,VLOOKUP($T$504,'TAR FIN'!$A$1:$O$120,15,0))</f>
        <v>84.45</v>
      </c>
      <c r="X504" s="6">
        <f>IF(ISERROR(VLOOKUP($U$504,'TAR FIN'!$A$1:$O$120,15,0)),0,VLOOKUP($U$504,'TAR FIN'!$A$1:$O$120,15,0))</f>
        <v>256.38</v>
      </c>
      <c r="Y504" s="6">
        <f ca="1">('TUSD BE'!$AM$28+'TUSD BF'!$AM$28+'TUSD CVA'!$AM$28)*1</f>
        <v>11.452356648653195</v>
      </c>
      <c r="Z504" s="6">
        <f ca="1">('TUSD BE'!$AM$29+'TUSD BF'!$AM$29+'TUSD CVA'!$AM$29)*1</f>
        <v>87.519361965254689</v>
      </c>
      <c r="AA504" s="6">
        <f>('TE BE'!$AA$11+'TE BF'!$AA$11+'TE CVA'!$AA$11)*1</f>
        <v>230.83420940933817</v>
      </c>
      <c r="AB504" s="6">
        <f>$K$504*$V$504</f>
        <v>35240</v>
      </c>
      <c r="AC504" s="6">
        <f>$M$504*$W$504</f>
        <v>98794.93035000001</v>
      </c>
      <c r="AD504" s="6">
        <f>$O$504*$X$504</f>
        <v>299929.47594000003</v>
      </c>
      <c r="AE504" s="6">
        <f ca="1">$K$504*$Y$504</f>
        <v>45809.426594612778</v>
      </c>
      <c r="AF504" s="6">
        <f ca="1">$M$504*$Z$504</f>
        <v>102385.66334675875</v>
      </c>
      <c r="AG504" s="6">
        <f>$O$504*$AA$504</f>
        <v>270044.40072223661</v>
      </c>
    </row>
    <row r="505" spans="1:33" ht="11.25" customHeight="1" x14ac:dyDescent="0.25">
      <c r="A505" s="4" t="s">
        <v>21</v>
      </c>
      <c r="B505" s="4" t="s">
        <v>33</v>
      </c>
      <c r="C505" s="4" t="s">
        <v>41</v>
      </c>
      <c r="D505" s="4" t="s">
        <v>48</v>
      </c>
      <c r="E505" s="4" t="s">
        <v>25</v>
      </c>
      <c r="F505" s="4" t="s">
        <v>25</v>
      </c>
      <c r="G505" s="4" t="s">
        <v>25</v>
      </c>
      <c r="H505" s="4" t="s">
        <v>36</v>
      </c>
      <c r="I505" s="5">
        <v>43952</v>
      </c>
      <c r="J505" s="6">
        <v>23110</v>
      </c>
      <c r="K505" s="6">
        <v>23110</v>
      </c>
      <c r="L505" s="6">
        <v>5718.9880000000003</v>
      </c>
      <c r="M505" s="6">
        <v>5718.9880000000003</v>
      </c>
      <c r="N505" s="6">
        <v>5718.9880000000003</v>
      </c>
      <c r="O505" s="6">
        <v>5718.9880000000003</v>
      </c>
      <c r="P505" s="6">
        <v>0</v>
      </c>
      <c r="Q505" s="4" t="s">
        <v>26</v>
      </c>
      <c r="R505" s="4">
        <v>0</v>
      </c>
      <c r="S505" s="6">
        <v>22</v>
      </c>
      <c r="T505" s="6">
        <v>23</v>
      </c>
      <c r="U505" s="6">
        <v>82</v>
      </c>
      <c r="V505" s="6">
        <f>IF(ISERROR(VLOOKUP($S$505,'TAR FIN'!$A$1:$O$120,15,0)),0,VLOOKUP($S$505,'TAR FIN'!$A$1:$O$120,15,0))</f>
        <v>8.81</v>
      </c>
      <c r="W505" s="6">
        <f>IF(ISERROR(VLOOKUP($T$505,'TAR FIN'!$A$1:$O$120,15,0)),0,VLOOKUP($T$505,'TAR FIN'!$A$1:$O$120,15,0))</f>
        <v>84.45</v>
      </c>
      <c r="X505" s="6">
        <f>IF(ISERROR(VLOOKUP($U$505,'TAR FIN'!$A$1:$O$120,15,0)),0,VLOOKUP($U$505,'TAR FIN'!$A$1:$O$120,15,0))</f>
        <v>256.38</v>
      </c>
      <c r="Y505" s="6">
        <f ca="1">('TUSD BE'!$AM$28+'TUSD BF'!$AM$28+'TUSD CVA'!$AM$28)*1</f>
        <v>11.452356648653195</v>
      </c>
      <c r="Z505" s="6">
        <f ca="1">('TUSD BE'!$AM$29+'TUSD BF'!$AM$29+'TUSD CVA'!$AM$29)*1</f>
        <v>87.519361965254689</v>
      </c>
      <c r="AA505" s="6">
        <f>('TE BE'!$AA$11+'TE BF'!$AA$11+'TE CVA'!$AA$11)*1</f>
        <v>230.83420940933817</v>
      </c>
      <c r="AB505" s="6">
        <f>$K$505*$V$505</f>
        <v>203599.1</v>
      </c>
      <c r="AC505" s="6">
        <f>$M$505*$W$505</f>
        <v>482968.53660000005</v>
      </c>
      <c r="AD505" s="6">
        <f>$O$505*$X$505</f>
        <v>1466234.14344</v>
      </c>
      <c r="AE505" s="6">
        <f ca="1">$K$505*$Y$505</f>
        <v>264663.96215037536</v>
      </c>
      <c r="AF505" s="6">
        <f ca="1">$M$505*$Z$505</f>
        <v>500522.180846948</v>
      </c>
      <c r="AG505" s="6">
        <f>$O$505*$AA$505</f>
        <v>1320138.0736014922</v>
      </c>
    </row>
    <row r="506" spans="1:33" ht="11.25" customHeight="1" x14ac:dyDescent="0.25">
      <c r="A506" s="4" t="s">
        <v>28</v>
      </c>
      <c r="B506" s="4" t="s">
        <v>33</v>
      </c>
      <c r="C506" s="4" t="s">
        <v>41</v>
      </c>
      <c r="D506" s="4" t="s">
        <v>48</v>
      </c>
      <c r="E506" s="4" t="s">
        <v>25</v>
      </c>
      <c r="F506" s="4" t="s">
        <v>25</v>
      </c>
      <c r="G506" s="4" t="s">
        <v>25</v>
      </c>
      <c r="H506" s="4" t="s">
        <v>36</v>
      </c>
      <c r="I506" s="5">
        <v>43952</v>
      </c>
      <c r="J506" s="6">
        <v>4000</v>
      </c>
      <c r="K506" s="6">
        <v>4000</v>
      </c>
      <c r="L506" s="6">
        <v>922.45799999999997</v>
      </c>
      <c r="M506" s="6">
        <v>922.45799999999997</v>
      </c>
      <c r="N506" s="6">
        <v>922.45799999999997</v>
      </c>
      <c r="O506" s="6">
        <v>922.45799999999997</v>
      </c>
      <c r="P506" s="6">
        <v>0</v>
      </c>
      <c r="Q506" s="4" t="s">
        <v>26</v>
      </c>
      <c r="R506" s="4">
        <v>0</v>
      </c>
      <c r="S506" s="6">
        <v>22</v>
      </c>
      <c r="T506" s="6">
        <v>23</v>
      </c>
      <c r="U506" s="6">
        <v>82</v>
      </c>
      <c r="V506" s="6">
        <f>IF(ISERROR(VLOOKUP($S$506,'TAR FIN'!$A$1:$O$120,15,0)),0,VLOOKUP($S$506,'TAR FIN'!$A$1:$O$120,15,0))</f>
        <v>8.81</v>
      </c>
      <c r="W506" s="6">
        <f>IF(ISERROR(VLOOKUP($T$506,'TAR FIN'!$A$1:$O$120,15,0)),0,VLOOKUP($T$506,'TAR FIN'!$A$1:$O$120,15,0))</f>
        <v>84.45</v>
      </c>
      <c r="X506" s="6">
        <f>IF(ISERROR(VLOOKUP($U$506,'TAR FIN'!$A$1:$O$120,15,0)),0,VLOOKUP($U$506,'TAR FIN'!$A$1:$O$120,15,0))</f>
        <v>256.38</v>
      </c>
      <c r="Y506" s="6">
        <f ca="1">('TUSD BE'!$AM$28+'TUSD BF'!$AM$28+'TUSD CVA'!$AM$28)*1</f>
        <v>11.452356648653195</v>
      </c>
      <c r="Z506" s="6">
        <f ca="1">('TUSD BE'!$AM$29+'TUSD BF'!$AM$29+'TUSD CVA'!$AM$29)*1</f>
        <v>87.519361965254689</v>
      </c>
      <c r="AA506" s="6">
        <f>('TE BE'!$AA$11+'TE BF'!$AA$11+'TE CVA'!$AA$11)*1</f>
        <v>230.83420940933817</v>
      </c>
      <c r="AB506" s="6">
        <f>$K$506*$V$506</f>
        <v>35240</v>
      </c>
      <c r="AC506" s="6">
        <f>$M$506*$W$506</f>
        <v>77901.578099999999</v>
      </c>
      <c r="AD506" s="6">
        <f>$O$506*$X$506</f>
        <v>236499.78203999999</v>
      </c>
      <c r="AE506" s="6">
        <f ca="1">$K$506*$Y$506</f>
        <v>45809.426594612778</v>
      </c>
      <c r="AF506" s="6">
        <f ca="1">$M$506*$Z$506</f>
        <v>80732.935599744902</v>
      </c>
      <c r="AG506" s="6">
        <f>$O$506*$AA$506</f>
        <v>212934.86314331926</v>
      </c>
    </row>
    <row r="507" spans="1:33" ht="11.25" customHeight="1" x14ac:dyDescent="0.25">
      <c r="A507" s="4" t="s">
        <v>21</v>
      </c>
      <c r="B507" s="4" t="s">
        <v>33</v>
      </c>
      <c r="C507" s="4" t="s">
        <v>41</v>
      </c>
      <c r="D507" s="4" t="s">
        <v>48</v>
      </c>
      <c r="E507" s="4" t="s">
        <v>25</v>
      </c>
      <c r="F507" s="4" t="s">
        <v>25</v>
      </c>
      <c r="G507" s="4" t="s">
        <v>25</v>
      </c>
      <c r="H507" s="4" t="s">
        <v>36</v>
      </c>
      <c r="I507" s="5">
        <v>43983</v>
      </c>
      <c r="J507" s="6">
        <v>20895</v>
      </c>
      <c r="K507" s="6">
        <v>20895</v>
      </c>
      <c r="L507" s="6">
        <v>4849.9889999999996</v>
      </c>
      <c r="M507" s="6">
        <v>4849.9889999999996</v>
      </c>
      <c r="N507" s="6">
        <v>4849.9889999999996</v>
      </c>
      <c r="O507" s="6">
        <v>4849.9889999999996</v>
      </c>
      <c r="P507" s="6">
        <v>0</v>
      </c>
      <c r="Q507" s="4" t="s">
        <v>26</v>
      </c>
      <c r="R507" s="4">
        <v>0</v>
      </c>
      <c r="S507" s="6">
        <v>22</v>
      </c>
      <c r="T507" s="6">
        <v>23</v>
      </c>
      <c r="U507" s="6">
        <v>82</v>
      </c>
      <c r="V507" s="6">
        <f>IF(ISERROR(VLOOKUP($S$507,'TAR FIN'!$A$1:$O$120,15,0)),0,VLOOKUP($S$507,'TAR FIN'!$A$1:$O$120,15,0))</f>
        <v>8.81</v>
      </c>
      <c r="W507" s="6">
        <f>IF(ISERROR(VLOOKUP($T$507,'TAR FIN'!$A$1:$O$120,15,0)),0,VLOOKUP($T$507,'TAR FIN'!$A$1:$O$120,15,0))</f>
        <v>84.45</v>
      </c>
      <c r="X507" s="6">
        <f>IF(ISERROR(VLOOKUP($U$507,'TAR FIN'!$A$1:$O$120,15,0)),0,VLOOKUP($U$507,'TAR FIN'!$A$1:$O$120,15,0))</f>
        <v>256.38</v>
      </c>
      <c r="Y507" s="6">
        <f ca="1">('TUSD BE'!$AM$28+'TUSD BF'!$AM$28+'TUSD CVA'!$AM$28)*1</f>
        <v>11.452356648653195</v>
      </c>
      <c r="Z507" s="6">
        <f ca="1">('TUSD BE'!$AM$29+'TUSD BF'!$AM$29+'TUSD CVA'!$AM$29)*1</f>
        <v>87.519361965254689</v>
      </c>
      <c r="AA507" s="6">
        <f>('TE BE'!$AA$11+'TE BF'!$AA$11+'TE CVA'!$AA$11)*1</f>
        <v>230.83420940933817</v>
      </c>
      <c r="AB507" s="6">
        <f>$K$507*$V$507</f>
        <v>184084.95</v>
      </c>
      <c r="AC507" s="6">
        <f>$M$507*$W$507</f>
        <v>409581.57104999997</v>
      </c>
      <c r="AD507" s="6">
        <f>$O$507*$X$507</f>
        <v>1243440.17982</v>
      </c>
      <c r="AE507" s="6">
        <f ca="1">$K$507*$Y$507</f>
        <v>239296.99217360851</v>
      </c>
      <c r="AF507" s="6">
        <f ca="1">$M$507*$Z$507</f>
        <v>424467.94281850359</v>
      </c>
      <c r="AG507" s="6">
        <f>$O$507*$AA$507</f>
        <v>1119543.3764589864</v>
      </c>
    </row>
    <row r="508" spans="1:33" ht="11.25" customHeight="1" x14ac:dyDescent="0.25">
      <c r="A508" s="4" t="s">
        <v>28</v>
      </c>
      <c r="B508" s="4" t="s">
        <v>33</v>
      </c>
      <c r="C508" s="4" t="s">
        <v>41</v>
      </c>
      <c r="D508" s="4" t="s">
        <v>48</v>
      </c>
      <c r="E508" s="4" t="s">
        <v>25</v>
      </c>
      <c r="F508" s="4" t="s">
        <v>25</v>
      </c>
      <c r="G508" s="4" t="s">
        <v>25</v>
      </c>
      <c r="H508" s="4" t="s">
        <v>36</v>
      </c>
      <c r="I508" s="5">
        <v>43983</v>
      </c>
      <c r="J508" s="6">
        <v>4000</v>
      </c>
      <c r="K508" s="6">
        <v>4000</v>
      </c>
      <c r="L508" s="6">
        <v>905.51099999999997</v>
      </c>
      <c r="M508" s="6">
        <v>905.51099999999997</v>
      </c>
      <c r="N508" s="6">
        <v>905.51099999999997</v>
      </c>
      <c r="O508" s="6">
        <v>905.51099999999997</v>
      </c>
      <c r="P508" s="6">
        <v>0</v>
      </c>
      <c r="Q508" s="4" t="s">
        <v>26</v>
      </c>
      <c r="R508" s="4">
        <v>0</v>
      </c>
      <c r="S508" s="6">
        <v>22</v>
      </c>
      <c r="T508" s="6">
        <v>23</v>
      </c>
      <c r="U508" s="6">
        <v>82</v>
      </c>
      <c r="V508" s="6">
        <f>IF(ISERROR(VLOOKUP($S$508,'TAR FIN'!$A$1:$O$120,15,0)),0,VLOOKUP($S$508,'TAR FIN'!$A$1:$O$120,15,0))</f>
        <v>8.81</v>
      </c>
      <c r="W508" s="6">
        <f>IF(ISERROR(VLOOKUP($T$508,'TAR FIN'!$A$1:$O$120,15,0)),0,VLOOKUP($T$508,'TAR FIN'!$A$1:$O$120,15,0))</f>
        <v>84.45</v>
      </c>
      <c r="X508" s="6">
        <f>IF(ISERROR(VLOOKUP($U$508,'TAR FIN'!$A$1:$O$120,15,0)),0,VLOOKUP($U$508,'TAR FIN'!$A$1:$O$120,15,0))</f>
        <v>256.38</v>
      </c>
      <c r="Y508" s="6">
        <f ca="1">('TUSD BE'!$AM$28+'TUSD BF'!$AM$28+'TUSD CVA'!$AM$28)*1</f>
        <v>11.452356648653195</v>
      </c>
      <c r="Z508" s="6">
        <f ca="1">('TUSD BE'!$AM$29+'TUSD BF'!$AM$29+'TUSD CVA'!$AM$29)*1</f>
        <v>87.519361965254689</v>
      </c>
      <c r="AA508" s="6">
        <f>('TE BE'!$AA$11+'TE BF'!$AA$11+'TE CVA'!$AA$11)*1</f>
        <v>230.83420940933817</v>
      </c>
      <c r="AB508" s="6">
        <f>$K$508*$V$508</f>
        <v>35240</v>
      </c>
      <c r="AC508" s="6">
        <f>$M$508*$W$508</f>
        <v>76470.403949999993</v>
      </c>
      <c r="AD508" s="6">
        <f>$O$508*$X$508</f>
        <v>232154.91017999998</v>
      </c>
      <c r="AE508" s="6">
        <f ca="1">$K$508*$Y$508</f>
        <v>45809.426594612778</v>
      </c>
      <c r="AF508" s="6">
        <f ca="1">$M$508*$Z$508</f>
        <v>79249.744972519737</v>
      </c>
      <c r="AG508" s="6">
        <f>$O$508*$AA$508</f>
        <v>209022.91579645922</v>
      </c>
    </row>
    <row r="509" spans="1:33" ht="11.25" customHeight="1" x14ac:dyDescent="0.25">
      <c r="A509" s="4" t="s">
        <v>21</v>
      </c>
      <c r="B509" s="4" t="s">
        <v>33</v>
      </c>
      <c r="C509" s="4" t="s">
        <v>41</v>
      </c>
      <c r="D509" s="4" t="s">
        <v>48</v>
      </c>
      <c r="E509" s="4" t="s">
        <v>25</v>
      </c>
      <c r="F509" s="4" t="s">
        <v>25</v>
      </c>
      <c r="G509" s="4" t="s">
        <v>25</v>
      </c>
      <c r="H509" s="4" t="s">
        <v>36</v>
      </c>
      <c r="I509" s="5">
        <v>44013</v>
      </c>
      <c r="J509" s="6">
        <v>20990</v>
      </c>
      <c r="K509" s="6">
        <v>20990</v>
      </c>
      <c r="L509" s="6">
        <v>4534.7700000000004</v>
      </c>
      <c r="M509" s="6">
        <v>4534.7700000000004</v>
      </c>
      <c r="N509" s="6">
        <v>4534.7700000000004</v>
      </c>
      <c r="O509" s="6">
        <v>4534.7700000000004</v>
      </c>
      <c r="P509" s="6">
        <v>0</v>
      </c>
      <c r="Q509" s="4" t="s">
        <v>26</v>
      </c>
      <c r="R509" s="4">
        <v>0</v>
      </c>
      <c r="S509" s="6">
        <v>22</v>
      </c>
      <c r="T509" s="6">
        <v>23</v>
      </c>
      <c r="U509" s="6">
        <v>82</v>
      </c>
      <c r="V509" s="6">
        <f>IF(ISERROR(VLOOKUP($S$509,'TAR FIN'!$A$1:$O$120,15,0)),0,VLOOKUP($S$509,'TAR FIN'!$A$1:$O$120,15,0))</f>
        <v>8.81</v>
      </c>
      <c r="W509" s="6">
        <f>IF(ISERROR(VLOOKUP($T$509,'TAR FIN'!$A$1:$O$120,15,0)),0,VLOOKUP($T$509,'TAR FIN'!$A$1:$O$120,15,0))</f>
        <v>84.45</v>
      </c>
      <c r="X509" s="6">
        <f>IF(ISERROR(VLOOKUP($U$509,'TAR FIN'!$A$1:$O$120,15,0)),0,VLOOKUP($U$509,'TAR FIN'!$A$1:$O$120,15,0))</f>
        <v>256.38</v>
      </c>
      <c r="Y509" s="6">
        <f ca="1">('TUSD BE'!$AM$28+'TUSD BF'!$AM$28+'TUSD CVA'!$AM$28)*1</f>
        <v>11.452356648653195</v>
      </c>
      <c r="Z509" s="6">
        <f ca="1">('TUSD BE'!$AM$29+'TUSD BF'!$AM$29+'TUSD CVA'!$AM$29)*1</f>
        <v>87.519361965254689</v>
      </c>
      <c r="AA509" s="6">
        <f>('TE BE'!$AA$11+'TE BF'!$AA$11+'TE CVA'!$AA$11)*1</f>
        <v>230.83420940933817</v>
      </c>
      <c r="AB509" s="6">
        <f>$K$509*$V$509</f>
        <v>184921.90000000002</v>
      </c>
      <c r="AC509" s="6">
        <f>$M$509*$W$509</f>
        <v>382961.32650000002</v>
      </c>
      <c r="AD509" s="6">
        <f>$O$509*$X$509</f>
        <v>1162624.3326000001</v>
      </c>
      <c r="AE509" s="6">
        <f ca="1">$K$509*$Y$509</f>
        <v>240384.96605523056</v>
      </c>
      <c r="AF509" s="6">
        <f ca="1">$M$509*$Z$509</f>
        <v>396880.17705917807</v>
      </c>
      <c r="AG509" s="6">
        <f>$O$509*$AA$509</f>
        <v>1046780.0478031846</v>
      </c>
    </row>
    <row r="510" spans="1:33" ht="11.25" customHeight="1" x14ac:dyDescent="0.25">
      <c r="A510" s="4" t="s">
        <v>28</v>
      </c>
      <c r="B510" s="4" t="s">
        <v>33</v>
      </c>
      <c r="C510" s="4" t="s">
        <v>41</v>
      </c>
      <c r="D510" s="4" t="s">
        <v>48</v>
      </c>
      <c r="E510" s="4" t="s">
        <v>25</v>
      </c>
      <c r="F510" s="4" t="s">
        <v>25</v>
      </c>
      <c r="G510" s="4" t="s">
        <v>25</v>
      </c>
      <c r="H510" s="4" t="s">
        <v>36</v>
      </c>
      <c r="I510" s="5">
        <v>44013</v>
      </c>
      <c r="J510" s="6">
        <v>4000</v>
      </c>
      <c r="K510" s="6">
        <v>4000</v>
      </c>
      <c r="L510" s="6">
        <v>827.35599999999999</v>
      </c>
      <c r="M510" s="6">
        <v>827.35599999999999</v>
      </c>
      <c r="N510" s="6">
        <v>827.35599999999999</v>
      </c>
      <c r="O510" s="6">
        <v>827.35599999999999</v>
      </c>
      <c r="P510" s="6">
        <v>0</v>
      </c>
      <c r="Q510" s="4" t="s">
        <v>26</v>
      </c>
      <c r="R510" s="4">
        <v>0</v>
      </c>
      <c r="S510" s="6">
        <v>22</v>
      </c>
      <c r="T510" s="6">
        <v>23</v>
      </c>
      <c r="U510" s="6">
        <v>82</v>
      </c>
      <c r="V510" s="6">
        <f>IF(ISERROR(VLOOKUP($S$510,'TAR FIN'!$A$1:$O$120,15,0)),0,VLOOKUP($S$510,'TAR FIN'!$A$1:$O$120,15,0))</f>
        <v>8.81</v>
      </c>
      <c r="W510" s="6">
        <f>IF(ISERROR(VLOOKUP($T$510,'TAR FIN'!$A$1:$O$120,15,0)),0,VLOOKUP($T$510,'TAR FIN'!$A$1:$O$120,15,0))</f>
        <v>84.45</v>
      </c>
      <c r="X510" s="6">
        <f>IF(ISERROR(VLOOKUP($U$510,'TAR FIN'!$A$1:$O$120,15,0)),0,VLOOKUP($U$510,'TAR FIN'!$A$1:$O$120,15,0))</f>
        <v>256.38</v>
      </c>
      <c r="Y510" s="6">
        <f ca="1">('TUSD BE'!$AM$28+'TUSD BF'!$AM$28+'TUSD CVA'!$AM$28)*1</f>
        <v>11.452356648653195</v>
      </c>
      <c r="Z510" s="6">
        <f ca="1">('TUSD BE'!$AM$29+'TUSD BF'!$AM$29+'TUSD CVA'!$AM$29)*1</f>
        <v>87.519361965254689</v>
      </c>
      <c r="AA510" s="6">
        <f>('TE BE'!$AA$11+'TE BF'!$AA$11+'TE CVA'!$AA$11)*1</f>
        <v>230.83420940933817</v>
      </c>
      <c r="AB510" s="6">
        <f>$K$510*$V$510</f>
        <v>35240</v>
      </c>
      <c r="AC510" s="6">
        <f>$M$510*$W$510</f>
        <v>69870.214200000002</v>
      </c>
      <c r="AD510" s="6">
        <f>$O$510*$X$510</f>
        <v>212117.53128</v>
      </c>
      <c r="AE510" s="6">
        <f ca="1">$K$510*$Y$510</f>
        <v>45809.426594612778</v>
      </c>
      <c r="AF510" s="6">
        <f ca="1">$M$510*$Z$510</f>
        <v>72409.669238125251</v>
      </c>
      <c r="AG510" s="6">
        <f>$O$510*$AA$510</f>
        <v>190982.06816007241</v>
      </c>
    </row>
    <row r="511" spans="1:33" ht="11.25" customHeight="1" x14ac:dyDescent="0.25">
      <c r="A511" s="4" t="s">
        <v>21</v>
      </c>
      <c r="B511" s="4" t="s">
        <v>33</v>
      </c>
      <c r="C511" s="4" t="s">
        <v>41</v>
      </c>
      <c r="D511" s="4" t="s">
        <v>48</v>
      </c>
      <c r="E511" s="4" t="s">
        <v>25</v>
      </c>
      <c r="F511" s="4" t="s">
        <v>25</v>
      </c>
      <c r="G511" s="4" t="s">
        <v>25</v>
      </c>
      <c r="H511" s="4" t="s">
        <v>36</v>
      </c>
      <c r="I511" s="5">
        <v>44044</v>
      </c>
      <c r="J511" s="6">
        <v>21718</v>
      </c>
      <c r="K511" s="6">
        <v>21718</v>
      </c>
      <c r="L511" s="6">
        <v>4912.1769999999997</v>
      </c>
      <c r="M511" s="6">
        <v>4912.1769999999997</v>
      </c>
      <c r="N511" s="6">
        <v>4912.1769999999997</v>
      </c>
      <c r="O511" s="6">
        <v>4912.1769999999997</v>
      </c>
      <c r="P511" s="6">
        <v>0</v>
      </c>
      <c r="Q511" s="4" t="s">
        <v>26</v>
      </c>
      <c r="R511" s="4">
        <v>0</v>
      </c>
      <c r="S511" s="6">
        <v>22</v>
      </c>
      <c r="T511" s="6">
        <v>23</v>
      </c>
      <c r="U511" s="6">
        <v>82</v>
      </c>
      <c r="V511" s="6">
        <f>IF(ISERROR(VLOOKUP($S$511,'TAR FIN'!$A$1:$O$120,15,0)),0,VLOOKUP($S$511,'TAR FIN'!$A$1:$O$120,15,0))</f>
        <v>8.81</v>
      </c>
      <c r="W511" s="6">
        <f>IF(ISERROR(VLOOKUP($T$511,'TAR FIN'!$A$1:$O$120,15,0)),0,VLOOKUP($T$511,'TAR FIN'!$A$1:$O$120,15,0))</f>
        <v>84.45</v>
      </c>
      <c r="X511" s="6">
        <f>IF(ISERROR(VLOOKUP($U$511,'TAR FIN'!$A$1:$O$120,15,0)),0,VLOOKUP($U$511,'TAR FIN'!$A$1:$O$120,15,0))</f>
        <v>256.38</v>
      </c>
      <c r="Y511" s="6">
        <f ca="1">('TUSD BE'!$AM$28+'TUSD BF'!$AM$28+'TUSD CVA'!$AM$28)*1</f>
        <v>11.452356648653195</v>
      </c>
      <c r="Z511" s="6">
        <f ca="1">('TUSD BE'!$AM$29+'TUSD BF'!$AM$29+'TUSD CVA'!$AM$29)*1</f>
        <v>87.519361965254689</v>
      </c>
      <c r="AA511" s="6">
        <f>('TE BE'!$AA$11+'TE BF'!$AA$11+'TE CVA'!$AA$11)*1</f>
        <v>230.83420940933817</v>
      </c>
      <c r="AB511" s="6">
        <f>$K$511*$V$511</f>
        <v>191335.58000000002</v>
      </c>
      <c r="AC511" s="6">
        <f>$M$511*$W$511</f>
        <v>414833.34765000001</v>
      </c>
      <c r="AD511" s="6">
        <f>$O$511*$X$511</f>
        <v>1259383.9392599999</v>
      </c>
      <c r="AE511" s="6">
        <f ca="1">$K$511*$Y$511</f>
        <v>248722.2816954501</v>
      </c>
      <c r="AF511" s="6">
        <f ca="1">$M$511*$Z$511</f>
        <v>429910.59690039884</v>
      </c>
      <c r="AG511" s="6">
        <f>$O$511*$AA$511</f>
        <v>1133898.4942737345</v>
      </c>
    </row>
    <row r="512" spans="1:33" ht="11.25" customHeight="1" x14ac:dyDescent="0.25">
      <c r="A512" s="4" t="s">
        <v>28</v>
      </c>
      <c r="B512" s="4" t="s">
        <v>33</v>
      </c>
      <c r="C512" s="4" t="s">
        <v>41</v>
      </c>
      <c r="D512" s="4" t="s">
        <v>48</v>
      </c>
      <c r="E512" s="4" t="s">
        <v>25</v>
      </c>
      <c r="F512" s="4" t="s">
        <v>25</v>
      </c>
      <c r="G512" s="4" t="s">
        <v>25</v>
      </c>
      <c r="H512" s="4" t="s">
        <v>36</v>
      </c>
      <c r="I512" s="5">
        <v>44044</v>
      </c>
      <c r="J512" s="6">
        <v>4000</v>
      </c>
      <c r="K512" s="6">
        <v>4000</v>
      </c>
      <c r="L512" s="6">
        <v>869.70100000000002</v>
      </c>
      <c r="M512" s="6">
        <v>869.70100000000002</v>
      </c>
      <c r="N512" s="6">
        <v>869.70100000000002</v>
      </c>
      <c r="O512" s="6">
        <v>869.70100000000002</v>
      </c>
      <c r="P512" s="6">
        <v>0</v>
      </c>
      <c r="Q512" s="4" t="s">
        <v>26</v>
      </c>
      <c r="R512" s="4">
        <v>0</v>
      </c>
      <c r="S512" s="6">
        <v>22</v>
      </c>
      <c r="T512" s="6">
        <v>23</v>
      </c>
      <c r="U512" s="6">
        <v>82</v>
      </c>
      <c r="V512" s="6">
        <f>IF(ISERROR(VLOOKUP($S$512,'TAR FIN'!$A$1:$O$120,15,0)),0,VLOOKUP($S$512,'TAR FIN'!$A$1:$O$120,15,0))</f>
        <v>8.81</v>
      </c>
      <c r="W512" s="6">
        <f>IF(ISERROR(VLOOKUP($T$512,'TAR FIN'!$A$1:$O$120,15,0)),0,VLOOKUP($T$512,'TAR FIN'!$A$1:$O$120,15,0))</f>
        <v>84.45</v>
      </c>
      <c r="X512" s="6">
        <f>IF(ISERROR(VLOOKUP($U$512,'TAR FIN'!$A$1:$O$120,15,0)),0,VLOOKUP($U$512,'TAR FIN'!$A$1:$O$120,15,0))</f>
        <v>256.38</v>
      </c>
      <c r="Y512" s="6">
        <f ca="1">('TUSD BE'!$AM$28+'TUSD BF'!$AM$28+'TUSD CVA'!$AM$28)*1</f>
        <v>11.452356648653195</v>
      </c>
      <c r="Z512" s="6">
        <f ca="1">('TUSD BE'!$AM$29+'TUSD BF'!$AM$29+'TUSD CVA'!$AM$29)*1</f>
        <v>87.519361965254689</v>
      </c>
      <c r="AA512" s="6">
        <f>('TE BE'!$AA$11+'TE BF'!$AA$11+'TE CVA'!$AA$11)*1</f>
        <v>230.83420940933817</v>
      </c>
      <c r="AB512" s="6">
        <f>$K$512*$V$512</f>
        <v>35240</v>
      </c>
      <c r="AC512" s="6">
        <f>$M$512*$W$512</f>
        <v>73446.249450000003</v>
      </c>
      <c r="AD512" s="6">
        <f>$O$512*$X$512</f>
        <v>222973.94237999999</v>
      </c>
      <c r="AE512" s="6">
        <f ca="1">$K$512*$Y$512</f>
        <v>45809.426594612778</v>
      </c>
      <c r="AF512" s="6">
        <f ca="1">$M$512*$Z$512</f>
        <v>76115.676620543964</v>
      </c>
      <c r="AG512" s="6">
        <f>$O$512*$AA$512</f>
        <v>200756.74275751083</v>
      </c>
    </row>
    <row r="513" spans="1:33" ht="11.25" customHeight="1" x14ac:dyDescent="0.25">
      <c r="A513" s="4" t="s">
        <v>59</v>
      </c>
      <c r="B513" s="4" t="s">
        <v>33</v>
      </c>
      <c r="C513" s="4" t="s">
        <v>41</v>
      </c>
      <c r="D513" s="4" t="s">
        <v>48</v>
      </c>
      <c r="E513" s="4" t="s">
        <v>25</v>
      </c>
      <c r="F513" s="4" t="s">
        <v>25</v>
      </c>
      <c r="G513" s="4" t="s">
        <v>25</v>
      </c>
      <c r="H513" s="4" t="s">
        <v>36</v>
      </c>
      <c r="I513" s="5">
        <v>44075</v>
      </c>
      <c r="J513" s="6">
        <v>21718</v>
      </c>
      <c r="K513" s="6">
        <v>21718</v>
      </c>
      <c r="L513" s="6">
        <v>4912.1769999999997</v>
      </c>
      <c r="M513" s="6">
        <v>4912.1769999999997</v>
      </c>
      <c r="N513" s="6">
        <v>4912.1769999999997</v>
      </c>
      <c r="O513" s="6">
        <v>4912.1769999999997</v>
      </c>
      <c r="P513" s="6">
        <v>0</v>
      </c>
      <c r="Q513" s="4" t="s">
        <v>26</v>
      </c>
      <c r="R513" s="4">
        <v>0</v>
      </c>
      <c r="S513" s="6">
        <v>22</v>
      </c>
      <c r="T513" s="6">
        <v>23</v>
      </c>
      <c r="U513" s="6">
        <v>82</v>
      </c>
      <c r="V513" s="6">
        <f>IF(ISERROR(VLOOKUP($S$513,'TAR FIN'!$A$1:$O$120,15,0)),0,VLOOKUP($S$513,'TAR FIN'!$A$1:$O$120,15,0))</f>
        <v>8.81</v>
      </c>
      <c r="W513" s="6">
        <f>IF(ISERROR(VLOOKUP($T$513,'TAR FIN'!$A$1:$O$120,15,0)),0,VLOOKUP($T$513,'TAR FIN'!$A$1:$O$120,15,0))</f>
        <v>84.45</v>
      </c>
      <c r="X513" s="6">
        <f>IF(ISERROR(VLOOKUP($U$513,'TAR FIN'!$A$1:$O$120,15,0)),0,VLOOKUP($U$513,'TAR FIN'!$A$1:$O$120,15,0))</f>
        <v>256.38</v>
      </c>
      <c r="Y513" s="6">
        <f ca="1">('TUSD BE'!$AM$28+'TUSD BF'!$AM$28+'TUSD CVA'!$AM$28)*1</f>
        <v>11.452356648653195</v>
      </c>
      <c r="Z513" s="6">
        <f ca="1">('TUSD BE'!$AM$29+'TUSD BF'!$AM$29+'TUSD CVA'!$AM$29)*1</f>
        <v>87.519361965254689</v>
      </c>
      <c r="AA513" s="6">
        <f>('TE BE'!$AA$11+'TE BF'!$AA$11+'TE CVA'!$AA$11)*1</f>
        <v>230.83420940933817</v>
      </c>
      <c r="AB513" s="6">
        <f>$K$513*$V$513</f>
        <v>191335.58000000002</v>
      </c>
      <c r="AC513" s="6">
        <f>$M$513*$W$513</f>
        <v>414833.34765000001</v>
      </c>
      <c r="AD513" s="6">
        <f>$O$513*$X$513</f>
        <v>1259383.9392599999</v>
      </c>
      <c r="AE513" s="6">
        <f ca="1">$K$513*$Y$513</f>
        <v>248722.2816954501</v>
      </c>
      <c r="AF513" s="6">
        <f ca="1">$M$513*$Z$513</f>
        <v>429910.59690039884</v>
      </c>
      <c r="AG513" s="6">
        <f>$O$513*$AA$513</f>
        <v>1133898.4942737345</v>
      </c>
    </row>
    <row r="514" spans="1:33" ht="11.25" customHeight="1" x14ac:dyDescent="0.25">
      <c r="A514" s="4" t="s">
        <v>59</v>
      </c>
      <c r="B514" s="4" t="s">
        <v>33</v>
      </c>
      <c r="C514" s="4" t="s">
        <v>41</v>
      </c>
      <c r="D514" s="4" t="s">
        <v>48</v>
      </c>
      <c r="E514" s="4" t="s">
        <v>25</v>
      </c>
      <c r="F514" s="4" t="s">
        <v>25</v>
      </c>
      <c r="G514" s="4" t="s">
        <v>25</v>
      </c>
      <c r="H514" s="4" t="s">
        <v>36</v>
      </c>
      <c r="I514" s="5">
        <v>44075</v>
      </c>
      <c r="J514" s="6">
        <v>4000</v>
      </c>
      <c r="K514" s="6">
        <v>4000</v>
      </c>
      <c r="L514" s="6">
        <v>869.70100000000002</v>
      </c>
      <c r="M514" s="6">
        <v>869.70100000000002</v>
      </c>
      <c r="N514" s="6">
        <v>869.70100000000002</v>
      </c>
      <c r="O514" s="6">
        <v>869.70100000000002</v>
      </c>
      <c r="P514" s="6">
        <v>0</v>
      </c>
      <c r="Q514" s="4" t="s">
        <v>26</v>
      </c>
      <c r="R514" s="4">
        <v>0</v>
      </c>
      <c r="S514" s="6">
        <v>22</v>
      </c>
      <c r="T514" s="6">
        <v>23</v>
      </c>
      <c r="U514" s="6">
        <v>82</v>
      </c>
      <c r="V514" s="6">
        <f>IF(ISERROR(VLOOKUP($S$514,'TAR FIN'!$A$1:$O$120,15,0)),0,VLOOKUP($S$514,'TAR FIN'!$A$1:$O$120,15,0))</f>
        <v>8.81</v>
      </c>
      <c r="W514" s="6">
        <f>IF(ISERROR(VLOOKUP($T$514,'TAR FIN'!$A$1:$O$120,15,0)),0,VLOOKUP($T$514,'TAR FIN'!$A$1:$O$120,15,0))</f>
        <v>84.45</v>
      </c>
      <c r="X514" s="6">
        <f>IF(ISERROR(VLOOKUP($U$514,'TAR FIN'!$A$1:$O$120,15,0)),0,VLOOKUP($U$514,'TAR FIN'!$A$1:$O$120,15,0))</f>
        <v>256.38</v>
      </c>
      <c r="Y514" s="6">
        <f ca="1">('TUSD BE'!$AM$28+'TUSD BF'!$AM$28+'TUSD CVA'!$AM$28)*1</f>
        <v>11.452356648653195</v>
      </c>
      <c r="Z514" s="6">
        <f ca="1">('TUSD BE'!$AM$29+'TUSD BF'!$AM$29+'TUSD CVA'!$AM$29)*1</f>
        <v>87.519361965254689</v>
      </c>
      <c r="AA514" s="6">
        <f>('TE BE'!$AA$11+'TE BF'!$AA$11+'TE CVA'!$AA$11)*1</f>
        <v>230.83420940933817</v>
      </c>
      <c r="AB514" s="6">
        <f>$K$514*$V$514</f>
        <v>35240</v>
      </c>
      <c r="AC514" s="6">
        <f>$M$514*$W$514</f>
        <v>73446.249450000003</v>
      </c>
      <c r="AD514" s="6">
        <f>$O$514*$X$514</f>
        <v>222973.94237999999</v>
      </c>
      <c r="AE514" s="6">
        <f ca="1">$K$514*$Y$514</f>
        <v>45809.426594612778</v>
      </c>
      <c r="AF514" s="6">
        <f ca="1">$M$514*$Z$514</f>
        <v>76115.676620543964</v>
      </c>
      <c r="AG514" s="6">
        <f>$O$514*$AA$514</f>
        <v>200756.74275751083</v>
      </c>
    </row>
    <row r="515" spans="1:33" ht="11.25" customHeight="1" x14ac:dyDescent="0.25">
      <c r="A515" s="4" t="s">
        <v>21</v>
      </c>
      <c r="B515" s="4" t="s">
        <v>33</v>
      </c>
      <c r="C515" s="4" t="s">
        <v>41</v>
      </c>
      <c r="D515" s="4" t="s">
        <v>48</v>
      </c>
      <c r="E515" s="4" t="s">
        <v>25</v>
      </c>
      <c r="F515" s="4" t="s">
        <v>25</v>
      </c>
      <c r="G515" s="4" t="s">
        <v>25</v>
      </c>
      <c r="H515" s="4" t="s">
        <v>35</v>
      </c>
      <c r="I515" s="5">
        <v>43739</v>
      </c>
      <c r="J515" s="6">
        <v>18092</v>
      </c>
      <c r="K515" s="6">
        <v>18092</v>
      </c>
      <c r="L515" s="6">
        <v>699.43499999999995</v>
      </c>
      <c r="M515" s="6">
        <v>699.43499999999995</v>
      </c>
      <c r="N515" s="6">
        <v>699.43499999999995</v>
      </c>
      <c r="O515" s="6">
        <v>699.43499999999995</v>
      </c>
      <c r="P515" s="6">
        <v>0</v>
      </c>
      <c r="Q515" s="4" t="s">
        <v>26</v>
      </c>
      <c r="R515" s="4">
        <v>0</v>
      </c>
      <c r="S515" s="6">
        <v>21</v>
      </c>
      <c r="T515" s="6">
        <v>23</v>
      </c>
      <c r="U515" s="6">
        <v>81</v>
      </c>
      <c r="V515" s="6">
        <f>IF(ISERROR(VLOOKUP($S$515,'TAR FIN'!$A$1:$O$120,15,0)),0,VLOOKUP($S$515,'TAR FIN'!$A$1:$O$120,15,0))</f>
        <v>22.94</v>
      </c>
      <c r="W515" s="6">
        <f>IF(ISERROR(VLOOKUP($T$515,'TAR FIN'!$A$1:$O$120,15,0)),0,VLOOKUP($T$515,'TAR FIN'!$A$1:$O$120,15,0))</f>
        <v>84.45</v>
      </c>
      <c r="X515" s="6">
        <f>IF(ISERROR(VLOOKUP($U$515,'TAR FIN'!$A$1:$O$120,15,0)),0,VLOOKUP($U$515,'TAR FIN'!$A$1:$O$120,15,0))</f>
        <v>430.87</v>
      </c>
      <c r="Y515" s="6">
        <f ca="1">('TUSD BE'!$AM$27+'TUSD BF'!$AM$27+'TUSD CVA'!$AM$27)*1</f>
        <v>27.216283196676113</v>
      </c>
      <c r="Z515" s="6">
        <f ca="1">('TUSD BE'!$AM$29+'TUSD BF'!$AM$29+'TUSD CVA'!$AM$29)*1</f>
        <v>87.519361965254689</v>
      </c>
      <c r="AA515" s="6">
        <f>('TE BE'!$AA$10+'TE BF'!$AA$10+'TE CVA'!$AA$10)*1</f>
        <v>375.69180268700768</v>
      </c>
      <c r="AB515" s="6">
        <f>$K$515*$V$515</f>
        <v>415030.48000000004</v>
      </c>
      <c r="AC515" s="6">
        <f>$M$515*$W$515</f>
        <v>59067.285749999995</v>
      </c>
      <c r="AD515" s="6">
        <f>$O$515*$X$515</f>
        <v>301365.55844999995</v>
      </c>
      <c r="AE515" s="6">
        <f ca="1">$K$515*$Y$515</f>
        <v>492396.99559426424</v>
      </c>
      <c r="AF515" s="6">
        <f ca="1">$M$515*$Z$515</f>
        <v>61214.104936167911</v>
      </c>
      <c r="AG515" s="6">
        <f>$O$515*$AA$515</f>
        <v>262771.99601238722</v>
      </c>
    </row>
    <row r="516" spans="1:33" ht="11.25" customHeight="1" x14ac:dyDescent="0.25">
      <c r="A516" s="4" t="s">
        <v>28</v>
      </c>
      <c r="B516" s="4" t="s">
        <v>33</v>
      </c>
      <c r="C516" s="4" t="s">
        <v>41</v>
      </c>
      <c r="D516" s="4" t="s">
        <v>48</v>
      </c>
      <c r="E516" s="4" t="s">
        <v>25</v>
      </c>
      <c r="F516" s="4" t="s">
        <v>25</v>
      </c>
      <c r="G516" s="4" t="s">
        <v>25</v>
      </c>
      <c r="H516" s="4" t="s">
        <v>35</v>
      </c>
      <c r="I516" s="5">
        <v>43739</v>
      </c>
      <c r="J516" s="6">
        <v>2850</v>
      </c>
      <c r="K516" s="6">
        <v>2850</v>
      </c>
      <c r="L516" s="6">
        <v>0</v>
      </c>
      <c r="M516" s="6">
        <v>0</v>
      </c>
      <c r="N516" s="6">
        <v>0</v>
      </c>
      <c r="O516" s="6">
        <v>0</v>
      </c>
      <c r="P516" s="6">
        <v>0</v>
      </c>
      <c r="Q516" s="4" t="s">
        <v>26</v>
      </c>
      <c r="R516" s="4">
        <v>0</v>
      </c>
      <c r="S516" s="6">
        <v>21</v>
      </c>
      <c r="T516" s="6">
        <v>0</v>
      </c>
      <c r="U516" s="6">
        <v>0</v>
      </c>
      <c r="V516" s="6">
        <f>IF(ISERROR(VLOOKUP($S$516,'TAR FIN'!$A$1:$O$120,15,0)),0,VLOOKUP($S$516,'TAR FIN'!$A$1:$O$120,15,0))</f>
        <v>22.94</v>
      </c>
      <c r="W516" s="6">
        <f>IF(ISERROR(VLOOKUP($T$516,'TAR FIN'!$A$1:$O$120,15,0)),0,VLOOKUP($T$516,'TAR FIN'!$A$1:$O$120,15,0))</f>
        <v>0</v>
      </c>
      <c r="X516" s="6">
        <f>IF(ISERROR(VLOOKUP($U$516,'TAR FIN'!$A$1:$O$120,15,0)),0,VLOOKUP($U$516,'TAR FIN'!$A$1:$O$120,15,0))</f>
        <v>0</v>
      </c>
      <c r="Y516" s="6">
        <f ca="1">('TUSD BE'!$AM$27+'TUSD BF'!$AM$27+'TUSD CVA'!$AM$27)*1</f>
        <v>27.216283196676113</v>
      </c>
      <c r="Z516" s="6">
        <f ca="1">('TUSD BE'!$AM$29+'TUSD BF'!$AM$29+'TUSD CVA'!$AM$29)*1</f>
        <v>87.519361965254689</v>
      </c>
      <c r="AA516" s="6">
        <f>('TE BE'!$AA$10+'TE BF'!$AA$10+'TE CVA'!$AA$10)*1</f>
        <v>375.69180268700768</v>
      </c>
      <c r="AB516" s="6">
        <f>$K$516*$V$516</f>
        <v>65379.000000000007</v>
      </c>
      <c r="AC516" s="6">
        <f>$M$516*$W$516</f>
        <v>0</v>
      </c>
      <c r="AD516" s="6">
        <f>$O$516*$X$516</f>
        <v>0</v>
      </c>
      <c r="AE516" s="6">
        <f ca="1">$K$516*$Y$516</f>
        <v>77566.407110526925</v>
      </c>
      <c r="AF516" s="6">
        <f ca="1">$M$516*$Z$516</f>
        <v>0</v>
      </c>
      <c r="AG516" s="6">
        <f>$O$516*$AA$516</f>
        <v>0</v>
      </c>
    </row>
    <row r="517" spans="1:33" ht="11.25" customHeight="1" x14ac:dyDescent="0.25">
      <c r="A517" s="4" t="s">
        <v>21</v>
      </c>
      <c r="B517" s="4" t="s">
        <v>33</v>
      </c>
      <c r="C517" s="4" t="s">
        <v>41</v>
      </c>
      <c r="D517" s="4" t="s">
        <v>48</v>
      </c>
      <c r="E517" s="4" t="s">
        <v>25</v>
      </c>
      <c r="F517" s="4" t="s">
        <v>25</v>
      </c>
      <c r="G517" s="4" t="s">
        <v>25</v>
      </c>
      <c r="H517" s="4" t="s">
        <v>35</v>
      </c>
      <c r="I517" s="5">
        <v>43770</v>
      </c>
      <c r="J517" s="6">
        <v>18162</v>
      </c>
      <c r="K517" s="6">
        <v>18162</v>
      </c>
      <c r="L517" s="6">
        <v>747.22299999999996</v>
      </c>
      <c r="M517" s="6">
        <v>747.22299999999996</v>
      </c>
      <c r="N517" s="6">
        <v>747.22299999999996</v>
      </c>
      <c r="O517" s="6">
        <v>747.22299999999996</v>
      </c>
      <c r="P517" s="6">
        <v>0</v>
      </c>
      <c r="Q517" s="4" t="s">
        <v>26</v>
      </c>
      <c r="R517" s="4">
        <v>0</v>
      </c>
      <c r="S517" s="6">
        <v>21</v>
      </c>
      <c r="T517" s="6">
        <v>23</v>
      </c>
      <c r="U517" s="6">
        <v>81</v>
      </c>
      <c r="V517" s="6">
        <f>IF(ISERROR(VLOOKUP($S$517,'TAR FIN'!$A$1:$O$120,15,0)),0,VLOOKUP($S$517,'TAR FIN'!$A$1:$O$120,15,0))</f>
        <v>22.94</v>
      </c>
      <c r="W517" s="6">
        <f>IF(ISERROR(VLOOKUP($T$517,'TAR FIN'!$A$1:$O$120,15,0)),0,VLOOKUP($T$517,'TAR FIN'!$A$1:$O$120,15,0))</f>
        <v>84.45</v>
      </c>
      <c r="X517" s="6">
        <f>IF(ISERROR(VLOOKUP($U$517,'TAR FIN'!$A$1:$O$120,15,0)),0,VLOOKUP($U$517,'TAR FIN'!$A$1:$O$120,15,0))</f>
        <v>430.87</v>
      </c>
      <c r="Y517" s="6">
        <f ca="1">('TUSD BE'!$AM$27+'TUSD BF'!$AM$27+'TUSD CVA'!$AM$27)*1</f>
        <v>27.216283196676113</v>
      </c>
      <c r="Z517" s="6">
        <f ca="1">('TUSD BE'!$AM$29+'TUSD BF'!$AM$29+'TUSD CVA'!$AM$29)*1</f>
        <v>87.519361965254689</v>
      </c>
      <c r="AA517" s="6">
        <f>('TE BE'!$AA$10+'TE BF'!$AA$10+'TE CVA'!$AA$10)*1</f>
        <v>375.69180268700768</v>
      </c>
      <c r="AB517" s="6">
        <f>$K$517*$V$517</f>
        <v>416636.28</v>
      </c>
      <c r="AC517" s="6">
        <f>$M$517*$W$517</f>
        <v>63102.982349999998</v>
      </c>
      <c r="AD517" s="6">
        <f>$O$517*$X$517</f>
        <v>321955.97401000001</v>
      </c>
      <c r="AE517" s="6">
        <f ca="1">$K$517*$Y$517</f>
        <v>494302.13541803154</v>
      </c>
      <c r="AF517" s="6">
        <f ca="1">$M$517*$Z$517</f>
        <v>65396.480205763502</v>
      </c>
      <c r="AG517" s="6">
        <f>$O$517*$AA$517</f>
        <v>280725.55587919394</v>
      </c>
    </row>
    <row r="518" spans="1:33" ht="11.25" customHeight="1" x14ac:dyDescent="0.25">
      <c r="A518" s="4" t="s">
        <v>28</v>
      </c>
      <c r="B518" s="4" t="s">
        <v>33</v>
      </c>
      <c r="C518" s="4" t="s">
        <v>41</v>
      </c>
      <c r="D518" s="4" t="s">
        <v>48</v>
      </c>
      <c r="E518" s="4" t="s">
        <v>25</v>
      </c>
      <c r="F518" s="4" t="s">
        <v>25</v>
      </c>
      <c r="G518" s="4" t="s">
        <v>25</v>
      </c>
      <c r="H518" s="4" t="s">
        <v>35</v>
      </c>
      <c r="I518" s="5">
        <v>43770</v>
      </c>
      <c r="J518" s="6">
        <v>2850</v>
      </c>
      <c r="K518" s="6">
        <v>2850</v>
      </c>
      <c r="L518" s="6">
        <v>214.26499999999999</v>
      </c>
      <c r="M518" s="6">
        <v>214.26499999999999</v>
      </c>
      <c r="N518" s="6">
        <v>214.26499999999999</v>
      </c>
      <c r="O518" s="6">
        <v>214.26499999999999</v>
      </c>
      <c r="P518" s="6">
        <v>0</v>
      </c>
      <c r="Q518" s="4" t="s">
        <v>26</v>
      </c>
      <c r="R518" s="4">
        <v>0</v>
      </c>
      <c r="S518" s="6">
        <v>21</v>
      </c>
      <c r="T518" s="6">
        <v>23</v>
      </c>
      <c r="U518" s="6">
        <v>81</v>
      </c>
      <c r="V518" s="6">
        <f>IF(ISERROR(VLOOKUP($S$518,'TAR FIN'!$A$1:$O$120,15,0)),0,VLOOKUP($S$518,'TAR FIN'!$A$1:$O$120,15,0))</f>
        <v>22.94</v>
      </c>
      <c r="W518" s="6">
        <f>IF(ISERROR(VLOOKUP($T$518,'TAR FIN'!$A$1:$O$120,15,0)),0,VLOOKUP($T$518,'TAR FIN'!$A$1:$O$120,15,0))</f>
        <v>84.45</v>
      </c>
      <c r="X518" s="6">
        <f>IF(ISERROR(VLOOKUP($U$518,'TAR FIN'!$A$1:$O$120,15,0)),0,VLOOKUP($U$518,'TAR FIN'!$A$1:$O$120,15,0))</f>
        <v>430.87</v>
      </c>
      <c r="Y518" s="6">
        <f ca="1">('TUSD BE'!$AM$27+'TUSD BF'!$AM$27+'TUSD CVA'!$AM$27)*1</f>
        <v>27.216283196676113</v>
      </c>
      <c r="Z518" s="6">
        <f ca="1">('TUSD BE'!$AM$29+'TUSD BF'!$AM$29+'TUSD CVA'!$AM$29)*1</f>
        <v>87.519361965254689</v>
      </c>
      <c r="AA518" s="6">
        <f>('TE BE'!$AA$10+'TE BF'!$AA$10+'TE CVA'!$AA$10)*1</f>
        <v>375.69180268700768</v>
      </c>
      <c r="AB518" s="6">
        <f>$K$518*$V$518</f>
        <v>65379.000000000007</v>
      </c>
      <c r="AC518" s="6">
        <f>$M$518*$W$518</f>
        <v>18094.679250000001</v>
      </c>
      <c r="AD518" s="6">
        <f>$O$518*$X$518</f>
        <v>92320.360549999998</v>
      </c>
      <c r="AE518" s="6">
        <f ca="1">$K$518*$Y$518</f>
        <v>77566.407110526925</v>
      </c>
      <c r="AF518" s="6">
        <f ca="1">$M$518*$Z$518</f>
        <v>18752.336091485293</v>
      </c>
      <c r="AG518" s="6">
        <f>$O$518*$AA$518</f>
        <v>80497.604102731697</v>
      </c>
    </row>
    <row r="519" spans="1:33" ht="11.25" customHeight="1" x14ac:dyDescent="0.25">
      <c r="A519" s="4" t="s">
        <v>21</v>
      </c>
      <c r="B519" s="4" t="s">
        <v>33</v>
      </c>
      <c r="C519" s="4" t="s">
        <v>41</v>
      </c>
      <c r="D519" s="4" t="s">
        <v>48</v>
      </c>
      <c r="E519" s="4" t="s">
        <v>25</v>
      </c>
      <c r="F519" s="4" t="s">
        <v>25</v>
      </c>
      <c r="G519" s="4" t="s">
        <v>25</v>
      </c>
      <c r="H519" s="4" t="s">
        <v>35</v>
      </c>
      <c r="I519" s="5">
        <v>43800</v>
      </c>
      <c r="J519" s="6">
        <v>17926</v>
      </c>
      <c r="K519" s="6">
        <v>17926</v>
      </c>
      <c r="L519" s="6">
        <v>651.02800000000002</v>
      </c>
      <c r="M519" s="6">
        <v>651.02800000000002</v>
      </c>
      <c r="N519" s="6">
        <v>651.02800000000002</v>
      </c>
      <c r="O519" s="6">
        <v>651.02800000000002</v>
      </c>
      <c r="P519" s="6">
        <v>0</v>
      </c>
      <c r="Q519" s="4" t="s">
        <v>26</v>
      </c>
      <c r="R519" s="4">
        <v>0</v>
      </c>
      <c r="S519" s="6">
        <v>21</v>
      </c>
      <c r="T519" s="6">
        <v>23</v>
      </c>
      <c r="U519" s="6">
        <v>81</v>
      </c>
      <c r="V519" s="6">
        <f>IF(ISERROR(VLOOKUP($S$519,'TAR FIN'!$A$1:$O$120,15,0)),0,VLOOKUP($S$519,'TAR FIN'!$A$1:$O$120,15,0))</f>
        <v>22.94</v>
      </c>
      <c r="W519" s="6">
        <f>IF(ISERROR(VLOOKUP($T$519,'TAR FIN'!$A$1:$O$120,15,0)),0,VLOOKUP($T$519,'TAR FIN'!$A$1:$O$120,15,0))</f>
        <v>84.45</v>
      </c>
      <c r="X519" s="6">
        <f>IF(ISERROR(VLOOKUP($U$519,'TAR FIN'!$A$1:$O$120,15,0)),0,VLOOKUP($U$519,'TAR FIN'!$A$1:$O$120,15,0))</f>
        <v>430.87</v>
      </c>
      <c r="Y519" s="6">
        <f ca="1">('TUSD BE'!$AM$27+'TUSD BF'!$AM$27+'TUSD CVA'!$AM$27)*1</f>
        <v>27.216283196676113</v>
      </c>
      <c r="Z519" s="6">
        <f ca="1">('TUSD BE'!$AM$29+'TUSD BF'!$AM$29+'TUSD CVA'!$AM$29)*1</f>
        <v>87.519361965254689</v>
      </c>
      <c r="AA519" s="6">
        <f>('TE BE'!$AA$10+'TE BF'!$AA$10+'TE CVA'!$AA$10)*1</f>
        <v>375.69180268700768</v>
      </c>
      <c r="AB519" s="6">
        <f>$K$519*$V$519</f>
        <v>411222.44</v>
      </c>
      <c r="AC519" s="6">
        <f>$M$519*$W$519</f>
        <v>54979.314600000005</v>
      </c>
      <c r="AD519" s="6">
        <f>$O$519*$X$519</f>
        <v>280508.43436000001</v>
      </c>
      <c r="AE519" s="6">
        <f ca="1">$K$519*$Y$519</f>
        <v>487879.09258361597</v>
      </c>
      <c r="AF519" s="6">
        <f ca="1">$M$519*$Z$519</f>
        <v>56977.555181515832</v>
      </c>
      <c r="AG519" s="6">
        <f>$O$519*$AA$519</f>
        <v>244585.88291971723</v>
      </c>
    </row>
    <row r="520" spans="1:33" ht="11.25" customHeight="1" x14ac:dyDescent="0.25">
      <c r="A520" s="4" t="s">
        <v>28</v>
      </c>
      <c r="B520" s="4" t="s">
        <v>33</v>
      </c>
      <c r="C520" s="4" t="s">
        <v>41</v>
      </c>
      <c r="D520" s="4" t="s">
        <v>48</v>
      </c>
      <c r="E520" s="4" t="s">
        <v>25</v>
      </c>
      <c r="F520" s="4" t="s">
        <v>25</v>
      </c>
      <c r="G520" s="4" t="s">
        <v>25</v>
      </c>
      <c r="H520" s="4" t="s">
        <v>35</v>
      </c>
      <c r="I520" s="5">
        <v>43800</v>
      </c>
      <c r="J520" s="6">
        <v>2850</v>
      </c>
      <c r="K520" s="6">
        <v>2850</v>
      </c>
      <c r="L520" s="6">
        <v>182.221</v>
      </c>
      <c r="M520" s="6">
        <v>182.221</v>
      </c>
      <c r="N520" s="6">
        <v>182.221</v>
      </c>
      <c r="O520" s="6">
        <v>182.221</v>
      </c>
      <c r="P520" s="6">
        <v>0</v>
      </c>
      <c r="Q520" s="4" t="s">
        <v>26</v>
      </c>
      <c r="R520" s="4">
        <v>0</v>
      </c>
      <c r="S520" s="6">
        <v>21</v>
      </c>
      <c r="T520" s="6">
        <v>23</v>
      </c>
      <c r="U520" s="6">
        <v>81</v>
      </c>
      <c r="V520" s="6">
        <f>IF(ISERROR(VLOOKUP($S$520,'TAR FIN'!$A$1:$O$120,15,0)),0,VLOOKUP($S$520,'TAR FIN'!$A$1:$O$120,15,0))</f>
        <v>22.94</v>
      </c>
      <c r="W520" s="6">
        <f>IF(ISERROR(VLOOKUP($T$520,'TAR FIN'!$A$1:$O$120,15,0)),0,VLOOKUP($T$520,'TAR FIN'!$A$1:$O$120,15,0))</f>
        <v>84.45</v>
      </c>
      <c r="X520" s="6">
        <f>IF(ISERROR(VLOOKUP($U$520,'TAR FIN'!$A$1:$O$120,15,0)),0,VLOOKUP($U$520,'TAR FIN'!$A$1:$O$120,15,0))</f>
        <v>430.87</v>
      </c>
      <c r="Y520" s="6">
        <f ca="1">('TUSD BE'!$AM$27+'TUSD BF'!$AM$27+'TUSD CVA'!$AM$27)*1</f>
        <v>27.216283196676113</v>
      </c>
      <c r="Z520" s="6">
        <f ca="1">('TUSD BE'!$AM$29+'TUSD BF'!$AM$29+'TUSD CVA'!$AM$29)*1</f>
        <v>87.519361965254689</v>
      </c>
      <c r="AA520" s="6">
        <f>('TE BE'!$AA$10+'TE BF'!$AA$10+'TE CVA'!$AA$10)*1</f>
        <v>375.69180268700768</v>
      </c>
      <c r="AB520" s="6">
        <f>$K$520*$V$520</f>
        <v>65379.000000000007</v>
      </c>
      <c r="AC520" s="6">
        <f>$M$520*$W$520</f>
        <v>15388.563450000001</v>
      </c>
      <c r="AD520" s="6">
        <f>$O$520*$X$520</f>
        <v>78513.562270000009</v>
      </c>
      <c r="AE520" s="6">
        <f ca="1">$K$520*$Y$520</f>
        <v>77566.407110526925</v>
      </c>
      <c r="AF520" s="6">
        <f ca="1">$M$520*$Z$520</f>
        <v>15947.865656670674</v>
      </c>
      <c r="AG520" s="6">
        <f>$O$520*$AA$520</f>
        <v>68458.935977429224</v>
      </c>
    </row>
    <row r="521" spans="1:33" ht="11.25" customHeight="1" x14ac:dyDescent="0.25">
      <c r="A521" s="4" t="s">
        <v>21</v>
      </c>
      <c r="B521" s="4" t="s">
        <v>33</v>
      </c>
      <c r="C521" s="4" t="s">
        <v>41</v>
      </c>
      <c r="D521" s="4" t="s">
        <v>48</v>
      </c>
      <c r="E521" s="4" t="s">
        <v>25</v>
      </c>
      <c r="F521" s="4" t="s">
        <v>25</v>
      </c>
      <c r="G521" s="4" t="s">
        <v>25</v>
      </c>
      <c r="H521" s="4" t="s">
        <v>35</v>
      </c>
      <c r="I521" s="5">
        <v>43831</v>
      </c>
      <c r="J521" s="6">
        <v>17988</v>
      </c>
      <c r="K521" s="6">
        <v>17988</v>
      </c>
      <c r="L521" s="6">
        <v>619.58100000000002</v>
      </c>
      <c r="M521" s="6">
        <v>619.58100000000002</v>
      </c>
      <c r="N521" s="6">
        <v>619.58100000000002</v>
      </c>
      <c r="O521" s="6">
        <v>619.58100000000002</v>
      </c>
      <c r="P521" s="6">
        <v>0</v>
      </c>
      <c r="Q521" s="4" t="s">
        <v>26</v>
      </c>
      <c r="R521" s="4">
        <v>0</v>
      </c>
      <c r="S521" s="6">
        <v>21</v>
      </c>
      <c r="T521" s="6">
        <v>23</v>
      </c>
      <c r="U521" s="6">
        <v>81</v>
      </c>
      <c r="V521" s="6">
        <f>IF(ISERROR(VLOOKUP($S$521,'TAR FIN'!$A$1:$O$120,15,0)),0,VLOOKUP($S$521,'TAR FIN'!$A$1:$O$120,15,0))</f>
        <v>22.94</v>
      </c>
      <c r="W521" s="6">
        <f>IF(ISERROR(VLOOKUP($T$521,'TAR FIN'!$A$1:$O$120,15,0)),0,VLOOKUP($T$521,'TAR FIN'!$A$1:$O$120,15,0))</f>
        <v>84.45</v>
      </c>
      <c r="X521" s="6">
        <f>IF(ISERROR(VLOOKUP($U$521,'TAR FIN'!$A$1:$O$120,15,0)),0,VLOOKUP($U$521,'TAR FIN'!$A$1:$O$120,15,0))</f>
        <v>430.87</v>
      </c>
      <c r="Y521" s="6">
        <f ca="1">('TUSD BE'!$AM$27+'TUSD BF'!$AM$27+'TUSD CVA'!$AM$27)*1</f>
        <v>27.216283196676113</v>
      </c>
      <c r="Z521" s="6">
        <f ca="1">('TUSD BE'!$AM$29+'TUSD BF'!$AM$29+'TUSD CVA'!$AM$29)*1</f>
        <v>87.519361965254689</v>
      </c>
      <c r="AA521" s="6">
        <f>('TE BE'!$AA$10+'TE BF'!$AA$10+'TE CVA'!$AA$10)*1</f>
        <v>375.69180268700768</v>
      </c>
      <c r="AB521" s="6">
        <f>$K$521*$V$521</f>
        <v>412644.72000000003</v>
      </c>
      <c r="AC521" s="6">
        <f>$M$521*$W$521</f>
        <v>52323.615450000005</v>
      </c>
      <c r="AD521" s="6">
        <f>$O$521*$X$521</f>
        <v>266958.86547000002</v>
      </c>
      <c r="AE521" s="6">
        <f ca="1">$K$521*$Y$521</f>
        <v>489566.50214180991</v>
      </c>
      <c r="AF521" s="6">
        <f ca="1">$M$521*$Z$521</f>
        <v>54225.333805794464</v>
      </c>
      <c r="AG521" s="6">
        <f>$O$521*$AA$521</f>
        <v>232771.50280061891</v>
      </c>
    </row>
    <row r="522" spans="1:33" ht="11.25" customHeight="1" x14ac:dyDescent="0.25">
      <c r="A522" s="4" t="s">
        <v>28</v>
      </c>
      <c r="B522" s="4" t="s">
        <v>33</v>
      </c>
      <c r="C522" s="4" t="s">
        <v>41</v>
      </c>
      <c r="D522" s="4" t="s">
        <v>48</v>
      </c>
      <c r="E522" s="4" t="s">
        <v>25</v>
      </c>
      <c r="F522" s="4" t="s">
        <v>25</v>
      </c>
      <c r="G522" s="4" t="s">
        <v>25</v>
      </c>
      <c r="H522" s="4" t="s">
        <v>35</v>
      </c>
      <c r="I522" s="5">
        <v>43831</v>
      </c>
      <c r="J522" s="6">
        <v>2850</v>
      </c>
      <c r="K522" s="6">
        <v>2850</v>
      </c>
      <c r="L522" s="6">
        <v>121.217</v>
      </c>
      <c r="M522" s="6">
        <v>121.217</v>
      </c>
      <c r="N522" s="6">
        <v>121.217</v>
      </c>
      <c r="O522" s="6">
        <v>121.217</v>
      </c>
      <c r="P522" s="6">
        <v>0</v>
      </c>
      <c r="Q522" s="4" t="s">
        <v>26</v>
      </c>
      <c r="R522" s="4">
        <v>0</v>
      </c>
      <c r="S522" s="6">
        <v>21</v>
      </c>
      <c r="T522" s="6">
        <v>23</v>
      </c>
      <c r="U522" s="6">
        <v>81</v>
      </c>
      <c r="V522" s="6">
        <f>IF(ISERROR(VLOOKUP($S$522,'TAR FIN'!$A$1:$O$120,15,0)),0,VLOOKUP($S$522,'TAR FIN'!$A$1:$O$120,15,0))</f>
        <v>22.94</v>
      </c>
      <c r="W522" s="6">
        <f>IF(ISERROR(VLOOKUP($T$522,'TAR FIN'!$A$1:$O$120,15,0)),0,VLOOKUP($T$522,'TAR FIN'!$A$1:$O$120,15,0))</f>
        <v>84.45</v>
      </c>
      <c r="X522" s="6">
        <f>IF(ISERROR(VLOOKUP($U$522,'TAR FIN'!$A$1:$O$120,15,0)),0,VLOOKUP($U$522,'TAR FIN'!$A$1:$O$120,15,0))</f>
        <v>430.87</v>
      </c>
      <c r="Y522" s="6">
        <f ca="1">('TUSD BE'!$AM$27+'TUSD BF'!$AM$27+'TUSD CVA'!$AM$27)*1</f>
        <v>27.216283196676113</v>
      </c>
      <c r="Z522" s="6">
        <f ca="1">('TUSD BE'!$AM$29+'TUSD BF'!$AM$29+'TUSD CVA'!$AM$29)*1</f>
        <v>87.519361965254689</v>
      </c>
      <c r="AA522" s="6">
        <f>('TE BE'!$AA$10+'TE BF'!$AA$10+'TE CVA'!$AA$10)*1</f>
        <v>375.69180268700768</v>
      </c>
      <c r="AB522" s="6">
        <f>$K$522*$V$522</f>
        <v>65379.000000000007</v>
      </c>
      <c r="AC522" s="6">
        <f>$M$522*$W$522</f>
        <v>10236.77565</v>
      </c>
      <c r="AD522" s="6">
        <f>$O$522*$X$522</f>
        <v>52228.768790000002</v>
      </c>
      <c r="AE522" s="6">
        <f ca="1">$K$522*$Y$522</f>
        <v>77566.407110526925</v>
      </c>
      <c r="AF522" s="6">
        <f ca="1">$M$522*$Z$522</f>
        <v>10608.834499342278</v>
      </c>
      <c r="AG522" s="6">
        <f>$O$522*$AA$522</f>
        <v>45540.233246311007</v>
      </c>
    </row>
    <row r="523" spans="1:33" ht="11.25" customHeight="1" x14ac:dyDescent="0.25">
      <c r="A523" s="4" t="s">
        <v>21</v>
      </c>
      <c r="B523" s="4" t="s">
        <v>33</v>
      </c>
      <c r="C523" s="4" t="s">
        <v>41</v>
      </c>
      <c r="D523" s="4" t="s">
        <v>48</v>
      </c>
      <c r="E523" s="4" t="s">
        <v>25</v>
      </c>
      <c r="F523" s="4" t="s">
        <v>25</v>
      </c>
      <c r="G523" s="4" t="s">
        <v>25</v>
      </c>
      <c r="H523" s="4" t="s">
        <v>35</v>
      </c>
      <c r="I523" s="5">
        <v>43862</v>
      </c>
      <c r="J523" s="6">
        <v>18234</v>
      </c>
      <c r="K523" s="6">
        <v>18234</v>
      </c>
      <c r="L523" s="6">
        <v>661.69299999999998</v>
      </c>
      <c r="M523" s="6">
        <v>661.69299999999998</v>
      </c>
      <c r="N523" s="6">
        <v>661.69299999999998</v>
      </c>
      <c r="O523" s="6">
        <v>661.69299999999998</v>
      </c>
      <c r="P523" s="6">
        <v>0</v>
      </c>
      <c r="Q523" s="4" t="s">
        <v>26</v>
      </c>
      <c r="R523" s="4">
        <v>0</v>
      </c>
      <c r="S523" s="6">
        <v>21</v>
      </c>
      <c r="T523" s="6">
        <v>23</v>
      </c>
      <c r="U523" s="6">
        <v>81</v>
      </c>
      <c r="V523" s="6">
        <f>IF(ISERROR(VLOOKUP($S$523,'TAR FIN'!$A$1:$O$120,15,0)),0,VLOOKUP($S$523,'TAR FIN'!$A$1:$O$120,15,0))</f>
        <v>22.94</v>
      </c>
      <c r="W523" s="6">
        <f>IF(ISERROR(VLOOKUP($T$523,'TAR FIN'!$A$1:$O$120,15,0)),0,VLOOKUP($T$523,'TAR FIN'!$A$1:$O$120,15,0))</f>
        <v>84.45</v>
      </c>
      <c r="X523" s="6">
        <f>IF(ISERROR(VLOOKUP($U$523,'TAR FIN'!$A$1:$O$120,15,0)),0,VLOOKUP($U$523,'TAR FIN'!$A$1:$O$120,15,0))</f>
        <v>430.87</v>
      </c>
      <c r="Y523" s="6">
        <f ca="1">('TUSD BE'!$AM$27+'TUSD BF'!$AM$27+'TUSD CVA'!$AM$27)*1</f>
        <v>27.216283196676113</v>
      </c>
      <c r="Z523" s="6">
        <f ca="1">('TUSD BE'!$AM$29+'TUSD BF'!$AM$29+'TUSD CVA'!$AM$29)*1</f>
        <v>87.519361965254689</v>
      </c>
      <c r="AA523" s="6">
        <f>('TE BE'!$AA$10+'TE BF'!$AA$10+'TE CVA'!$AA$10)*1</f>
        <v>375.69180268700768</v>
      </c>
      <c r="AB523" s="6">
        <f>$K$523*$V$523</f>
        <v>418287.96</v>
      </c>
      <c r="AC523" s="6">
        <f>$M$523*$W$523</f>
        <v>55879.973850000002</v>
      </c>
      <c r="AD523" s="6">
        <f>$O$523*$X$523</f>
        <v>285103.66291000001</v>
      </c>
      <c r="AE523" s="6">
        <f ca="1">$K$523*$Y$523</f>
        <v>496261.70780819224</v>
      </c>
      <c r="AF523" s="6">
        <f ca="1">$M$523*$Z$523</f>
        <v>57910.94917687527</v>
      </c>
      <c r="AG523" s="6">
        <f>$O$523*$AA$523</f>
        <v>248592.63599537418</v>
      </c>
    </row>
    <row r="524" spans="1:33" ht="11.25" customHeight="1" x14ac:dyDescent="0.25">
      <c r="A524" s="4" t="s">
        <v>28</v>
      </c>
      <c r="B524" s="4" t="s">
        <v>33</v>
      </c>
      <c r="C524" s="4" t="s">
        <v>41</v>
      </c>
      <c r="D524" s="4" t="s">
        <v>48</v>
      </c>
      <c r="E524" s="4" t="s">
        <v>25</v>
      </c>
      <c r="F524" s="4" t="s">
        <v>25</v>
      </c>
      <c r="G524" s="4" t="s">
        <v>25</v>
      </c>
      <c r="H524" s="4" t="s">
        <v>35</v>
      </c>
      <c r="I524" s="5">
        <v>43862</v>
      </c>
      <c r="J524" s="6">
        <v>2850</v>
      </c>
      <c r="K524" s="6">
        <v>2850</v>
      </c>
      <c r="L524" s="6">
        <v>157.667</v>
      </c>
      <c r="M524" s="6">
        <v>157.667</v>
      </c>
      <c r="N524" s="6">
        <v>157.667</v>
      </c>
      <c r="O524" s="6">
        <v>157.667</v>
      </c>
      <c r="P524" s="6">
        <v>0</v>
      </c>
      <c r="Q524" s="4" t="s">
        <v>26</v>
      </c>
      <c r="R524" s="4">
        <v>0</v>
      </c>
      <c r="S524" s="6">
        <v>21</v>
      </c>
      <c r="T524" s="6">
        <v>23</v>
      </c>
      <c r="U524" s="6">
        <v>81</v>
      </c>
      <c r="V524" s="6">
        <f>IF(ISERROR(VLOOKUP($S$524,'TAR FIN'!$A$1:$O$120,15,0)),0,VLOOKUP($S$524,'TAR FIN'!$A$1:$O$120,15,0))</f>
        <v>22.94</v>
      </c>
      <c r="W524" s="6">
        <f>IF(ISERROR(VLOOKUP($T$524,'TAR FIN'!$A$1:$O$120,15,0)),0,VLOOKUP($T$524,'TAR FIN'!$A$1:$O$120,15,0))</f>
        <v>84.45</v>
      </c>
      <c r="X524" s="6">
        <f>IF(ISERROR(VLOOKUP($U$524,'TAR FIN'!$A$1:$O$120,15,0)),0,VLOOKUP($U$524,'TAR FIN'!$A$1:$O$120,15,0))</f>
        <v>430.87</v>
      </c>
      <c r="Y524" s="6">
        <f ca="1">('TUSD BE'!$AM$27+'TUSD BF'!$AM$27+'TUSD CVA'!$AM$27)*1</f>
        <v>27.216283196676113</v>
      </c>
      <c r="Z524" s="6">
        <f ca="1">('TUSD BE'!$AM$29+'TUSD BF'!$AM$29+'TUSD CVA'!$AM$29)*1</f>
        <v>87.519361965254689</v>
      </c>
      <c r="AA524" s="6">
        <f>('TE BE'!$AA$10+'TE BF'!$AA$10+'TE CVA'!$AA$10)*1</f>
        <v>375.69180268700768</v>
      </c>
      <c r="AB524" s="6">
        <f>$K$524*$V$524</f>
        <v>65379.000000000007</v>
      </c>
      <c r="AC524" s="6">
        <f>$M$524*$W$524</f>
        <v>13314.978150000001</v>
      </c>
      <c r="AD524" s="6">
        <f>$O$524*$X$524</f>
        <v>67933.980290000007</v>
      </c>
      <c r="AE524" s="6">
        <f ca="1">$K$524*$Y$524</f>
        <v>77566.407110526925</v>
      </c>
      <c r="AF524" s="6">
        <f ca="1">$M$524*$Z$524</f>
        <v>13798.915242975811</v>
      </c>
      <c r="AG524" s="6">
        <f>$O$524*$AA$524</f>
        <v>59234.199454252441</v>
      </c>
    </row>
    <row r="525" spans="1:33" ht="11.25" customHeight="1" x14ac:dyDescent="0.25">
      <c r="A525" s="4" t="s">
        <v>21</v>
      </c>
      <c r="B525" s="4" t="s">
        <v>33</v>
      </c>
      <c r="C525" s="4" t="s">
        <v>41</v>
      </c>
      <c r="D525" s="4" t="s">
        <v>48</v>
      </c>
      <c r="E525" s="4" t="s">
        <v>25</v>
      </c>
      <c r="F525" s="4" t="s">
        <v>25</v>
      </c>
      <c r="G525" s="4" t="s">
        <v>25</v>
      </c>
      <c r="H525" s="4" t="s">
        <v>35</v>
      </c>
      <c r="I525" s="5">
        <v>43891</v>
      </c>
      <c r="J525" s="6">
        <v>17725</v>
      </c>
      <c r="K525" s="6">
        <v>17725</v>
      </c>
      <c r="L525" s="6">
        <v>598.202</v>
      </c>
      <c r="M525" s="6">
        <v>598.202</v>
      </c>
      <c r="N525" s="6">
        <v>598.202</v>
      </c>
      <c r="O525" s="6">
        <v>598.202</v>
      </c>
      <c r="P525" s="6">
        <v>0</v>
      </c>
      <c r="Q525" s="4" t="s">
        <v>26</v>
      </c>
      <c r="R525" s="4">
        <v>0</v>
      </c>
      <c r="S525" s="6">
        <v>21</v>
      </c>
      <c r="T525" s="6">
        <v>23</v>
      </c>
      <c r="U525" s="6">
        <v>81</v>
      </c>
      <c r="V525" s="6">
        <f>IF(ISERROR(VLOOKUP($S$525,'TAR FIN'!$A$1:$O$120,15,0)),0,VLOOKUP($S$525,'TAR FIN'!$A$1:$O$120,15,0))</f>
        <v>22.94</v>
      </c>
      <c r="W525" s="6">
        <f>IF(ISERROR(VLOOKUP($T$525,'TAR FIN'!$A$1:$O$120,15,0)),0,VLOOKUP($T$525,'TAR FIN'!$A$1:$O$120,15,0))</f>
        <v>84.45</v>
      </c>
      <c r="X525" s="6">
        <f>IF(ISERROR(VLOOKUP($U$525,'TAR FIN'!$A$1:$O$120,15,0)),0,VLOOKUP($U$525,'TAR FIN'!$A$1:$O$120,15,0))</f>
        <v>430.87</v>
      </c>
      <c r="Y525" s="6">
        <f ca="1">('TUSD BE'!$AM$27+'TUSD BF'!$AM$27+'TUSD CVA'!$AM$27)*1</f>
        <v>27.216283196676113</v>
      </c>
      <c r="Z525" s="6">
        <f ca="1">('TUSD BE'!$AM$29+'TUSD BF'!$AM$29+'TUSD CVA'!$AM$29)*1</f>
        <v>87.519361965254689</v>
      </c>
      <c r="AA525" s="6">
        <f>('TE BE'!$AA$10+'TE BF'!$AA$10+'TE CVA'!$AA$10)*1</f>
        <v>375.69180268700768</v>
      </c>
      <c r="AB525" s="6">
        <f>$K$525*$V$525</f>
        <v>406611.5</v>
      </c>
      <c r="AC525" s="6">
        <f>$M$525*$W$525</f>
        <v>50518.158900000002</v>
      </c>
      <c r="AD525" s="6">
        <f>$O$525*$X$525</f>
        <v>257747.29574</v>
      </c>
      <c r="AE525" s="6">
        <f ca="1">$K$525*$Y$525</f>
        <v>482408.61966108409</v>
      </c>
      <c r="AF525" s="6">
        <f ca="1">$M$525*$Z$525</f>
        <v>52354.257366339283</v>
      </c>
      <c r="AG525" s="6">
        <f>$O$525*$AA$525</f>
        <v>224739.58775097335</v>
      </c>
    </row>
    <row r="526" spans="1:33" ht="11.25" customHeight="1" x14ac:dyDescent="0.25">
      <c r="A526" s="4" t="s">
        <v>28</v>
      </c>
      <c r="B526" s="4" t="s">
        <v>33</v>
      </c>
      <c r="C526" s="4" t="s">
        <v>41</v>
      </c>
      <c r="D526" s="4" t="s">
        <v>48</v>
      </c>
      <c r="E526" s="4" t="s">
        <v>25</v>
      </c>
      <c r="F526" s="4" t="s">
        <v>25</v>
      </c>
      <c r="G526" s="4" t="s">
        <v>25</v>
      </c>
      <c r="H526" s="4" t="s">
        <v>35</v>
      </c>
      <c r="I526" s="5">
        <v>43891</v>
      </c>
      <c r="J526" s="6">
        <v>2850</v>
      </c>
      <c r="K526" s="6">
        <v>2850</v>
      </c>
      <c r="L526" s="6">
        <v>134.505</v>
      </c>
      <c r="M526" s="6">
        <v>134.505</v>
      </c>
      <c r="N526" s="6">
        <v>134.505</v>
      </c>
      <c r="O526" s="6">
        <v>134.505</v>
      </c>
      <c r="P526" s="6">
        <v>0</v>
      </c>
      <c r="Q526" s="4" t="s">
        <v>26</v>
      </c>
      <c r="R526" s="4">
        <v>0</v>
      </c>
      <c r="S526" s="6">
        <v>21</v>
      </c>
      <c r="T526" s="6">
        <v>23</v>
      </c>
      <c r="U526" s="6">
        <v>81</v>
      </c>
      <c r="V526" s="6">
        <f>IF(ISERROR(VLOOKUP($S$526,'TAR FIN'!$A$1:$O$120,15,0)),0,VLOOKUP($S$526,'TAR FIN'!$A$1:$O$120,15,0))</f>
        <v>22.94</v>
      </c>
      <c r="W526" s="6">
        <f>IF(ISERROR(VLOOKUP($T$526,'TAR FIN'!$A$1:$O$120,15,0)),0,VLOOKUP($T$526,'TAR FIN'!$A$1:$O$120,15,0))</f>
        <v>84.45</v>
      </c>
      <c r="X526" s="6">
        <f>IF(ISERROR(VLOOKUP($U$526,'TAR FIN'!$A$1:$O$120,15,0)),0,VLOOKUP($U$526,'TAR FIN'!$A$1:$O$120,15,0))</f>
        <v>430.87</v>
      </c>
      <c r="Y526" s="6">
        <f ca="1">('TUSD BE'!$AM$27+'TUSD BF'!$AM$27+'TUSD CVA'!$AM$27)*1</f>
        <v>27.216283196676113</v>
      </c>
      <c r="Z526" s="6">
        <f ca="1">('TUSD BE'!$AM$29+'TUSD BF'!$AM$29+'TUSD CVA'!$AM$29)*1</f>
        <v>87.519361965254689</v>
      </c>
      <c r="AA526" s="6">
        <f>('TE BE'!$AA$10+'TE BF'!$AA$10+'TE CVA'!$AA$10)*1</f>
        <v>375.69180268700768</v>
      </c>
      <c r="AB526" s="6">
        <f>$K$526*$V$526</f>
        <v>65379.000000000007</v>
      </c>
      <c r="AC526" s="6">
        <f>$M$526*$W$526</f>
        <v>11358.947249999999</v>
      </c>
      <c r="AD526" s="6">
        <f>$O$526*$X$526</f>
        <v>57954.169349999996</v>
      </c>
      <c r="AE526" s="6">
        <f ca="1">$K$526*$Y$526</f>
        <v>77566.407110526925</v>
      </c>
      <c r="AF526" s="6">
        <f ca="1">$M$526*$Z$526</f>
        <v>11771.791781136582</v>
      </c>
      <c r="AG526" s="6">
        <f>$O$526*$AA$526</f>
        <v>50532.425920415968</v>
      </c>
    </row>
    <row r="527" spans="1:33" ht="11.25" customHeight="1" x14ac:dyDescent="0.25">
      <c r="A527" s="4" t="s">
        <v>21</v>
      </c>
      <c r="B527" s="4" t="s">
        <v>33</v>
      </c>
      <c r="C527" s="4" t="s">
        <v>41</v>
      </c>
      <c r="D527" s="4" t="s">
        <v>48</v>
      </c>
      <c r="E527" s="4" t="s">
        <v>25</v>
      </c>
      <c r="F527" s="4" t="s">
        <v>25</v>
      </c>
      <c r="G527" s="4" t="s">
        <v>25</v>
      </c>
      <c r="H527" s="4" t="s">
        <v>35</v>
      </c>
      <c r="I527" s="5">
        <v>43922</v>
      </c>
      <c r="J527" s="6">
        <v>16958</v>
      </c>
      <c r="K527" s="6">
        <v>16958</v>
      </c>
      <c r="L527" s="6">
        <v>613.08199999999999</v>
      </c>
      <c r="M527" s="6">
        <v>613.08199999999999</v>
      </c>
      <c r="N527" s="6">
        <v>613.08199999999999</v>
      </c>
      <c r="O527" s="6">
        <v>613.08199999999999</v>
      </c>
      <c r="P527" s="6">
        <v>0</v>
      </c>
      <c r="Q527" s="4" t="s">
        <v>26</v>
      </c>
      <c r="R527" s="4">
        <v>0</v>
      </c>
      <c r="S527" s="6">
        <v>21</v>
      </c>
      <c r="T527" s="6">
        <v>23</v>
      </c>
      <c r="U527" s="6">
        <v>81</v>
      </c>
      <c r="V527" s="6">
        <f>IF(ISERROR(VLOOKUP($S$527,'TAR FIN'!$A$1:$O$120,15,0)),0,VLOOKUP($S$527,'TAR FIN'!$A$1:$O$120,15,0))</f>
        <v>22.94</v>
      </c>
      <c r="W527" s="6">
        <f>IF(ISERROR(VLOOKUP($T$527,'TAR FIN'!$A$1:$O$120,15,0)),0,VLOOKUP($T$527,'TAR FIN'!$A$1:$O$120,15,0))</f>
        <v>84.45</v>
      </c>
      <c r="X527" s="6">
        <f>IF(ISERROR(VLOOKUP($U$527,'TAR FIN'!$A$1:$O$120,15,0)),0,VLOOKUP($U$527,'TAR FIN'!$A$1:$O$120,15,0))</f>
        <v>430.87</v>
      </c>
      <c r="Y527" s="6">
        <f ca="1">('TUSD BE'!$AM$27+'TUSD BF'!$AM$27+'TUSD CVA'!$AM$27)*1</f>
        <v>27.216283196676113</v>
      </c>
      <c r="Z527" s="6">
        <f ca="1">('TUSD BE'!$AM$29+'TUSD BF'!$AM$29+'TUSD CVA'!$AM$29)*1</f>
        <v>87.519361965254689</v>
      </c>
      <c r="AA527" s="6">
        <f>('TE BE'!$AA$10+'TE BF'!$AA$10+'TE CVA'!$AA$10)*1</f>
        <v>375.69180268700768</v>
      </c>
      <c r="AB527" s="6">
        <f>$K$527*$V$527</f>
        <v>389016.52</v>
      </c>
      <c r="AC527" s="6">
        <f>$M$527*$W$527</f>
        <v>51774.774900000004</v>
      </c>
      <c r="AD527" s="6">
        <f>$O$527*$X$527</f>
        <v>264158.64133999997</v>
      </c>
      <c r="AE527" s="6">
        <f ca="1">$K$527*$Y$527</f>
        <v>461533.7304492335</v>
      </c>
      <c r="AF527" s="6">
        <f ca="1">$M$527*$Z$527</f>
        <v>53656.545472382277</v>
      </c>
      <c r="AG527" s="6">
        <f>$O$527*$AA$527</f>
        <v>230329.88177495604</v>
      </c>
    </row>
    <row r="528" spans="1:33" ht="11.25" customHeight="1" x14ac:dyDescent="0.25">
      <c r="A528" s="4" t="s">
        <v>28</v>
      </c>
      <c r="B528" s="4" t="s">
        <v>33</v>
      </c>
      <c r="C528" s="4" t="s">
        <v>41</v>
      </c>
      <c r="D528" s="4" t="s">
        <v>48</v>
      </c>
      <c r="E528" s="4" t="s">
        <v>25</v>
      </c>
      <c r="F528" s="4" t="s">
        <v>25</v>
      </c>
      <c r="G528" s="4" t="s">
        <v>25</v>
      </c>
      <c r="H528" s="4" t="s">
        <v>35</v>
      </c>
      <c r="I528" s="5">
        <v>43922</v>
      </c>
      <c r="J528" s="6">
        <v>2850</v>
      </c>
      <c r="K528" s="6">
        <v>2850</v>
      </c>
      <c r="L528" s="6">
        <v>122.187</v>
      </c>
      <c r="M528" s="6">
        <v>122.187</v>
      </c>
      <c r="N528" s="6">
        <v>122.187</v>
      </c>
      <c r="O528" s="6">
        <v>122.187</v>
      </c>
      <c r="P528" s="6">
        <v>0</v>
      </c>
      <c r="Q528" s="4" t="s">
        <v>26</v>
      </c>
      <c r="R528" s="4">
        <v>0</v>
      </c>
      <c r="S528" s="6">
        <v>21</v>
      </c>
      <c r="T528" s="6">
        <v>23</v>
      </c>
      <c r="U528" s="6">
        <v>81</v>
      </c>
      <c r="V528" s="6">
        <f>IF(ISERROR(VLOOKUP($S$528,'TAR FIN'!$A$1:$O$120,15,0)),0,VLOOKUP($S$528,'TAR FIN'!$A$1:$O$120,15,0))</f>
        <v>22.94</v>
      </c>
      <c r="W528" s="6">
        <f>IF(ISERROR(VLOOKUP($T$528,'TAR FIN'!$A$1:$O$120,15,0)),0,VLOOKUP($T$528,'TAR FIN'!$A$1:$O$120,15,0))</f>
        <v>84.45</v>
      </c>
      <c r="X528" s="6">
        <f>IF(ISERROR(VLOOKUP($U$528,'TAR FIN'!$A$1:$O$120,15,0)),0,VLOOKUP($U$528,'TAR FIN'!$A$1:$O$120,15,0))</f>
        <v>430.87</v>
      </c>
      <c r="Y528" s="6">
        <f ca="1">('TUSD BE'!$AM$27+'TUSD BF'!$AM$27+'TUSD CVA'!$AM$27)*1</f>
        <v>27.216283196676113</v>
      </c>
      <c r="Z528" s="6">
        <f ca="1">('TUSD BE'!$AM$29+'TUSD BF'!$AM$29+'TUSD CVA'!$AM$29)*1</f>
        <v>87.519361965254689</v>
      </c>
      <c r="AA528" s="6">
        <f>('TE BE'!$AA$10+'TE BF'!$AA$10+'TE CVA'!$AA$10)*1</f>
        <v>375.69180268700768</v>
      </c>
      <c r="AB528" s="6">
        <f>$K$528*$V$528</f>
        <v>65379.000000000007</v>
      </c>
      <c r="AC528" s="6">
        <f>$M$528*$W$528</f>
        <v>10318.692150000001</v>
      </c>
      <c r="AD528" s="6">
        <f>$O$528*$X$528</f>
        <v>52646.71269</v>
      </c>
      <c r="AE528" s="6">
        <f ca="1">$K$528*$Y$528</f>
        <v>77566.407110526925</v>
      </c>
      <c r="AF528" s="6">
        <f ca="1">$M$528*$Z$528</f>
        <v>10693.728280448575</v>
      </c>
      <c r="AG528" s="6">
        <f>$O$528*$AA$528</f>
        <v>45904.654294917404</v>
      </c>
    </row>
    <row r="529" spans="1:33" ht="11.25" customHeight="1" x14ac:dyDescent="0.25">
      <c r="A529" s="4" t="s">
        <v>21</v>
      </c>
      <c r="B529" s="4" t="s">
        <v>33</v>
      </c>
      <c r="C529" s="4" t="s">
        <v>41</v>
      </c>
      <c r="D529" s="4" t="s">
        <v>48</v>
      </c>
      <c r="E529" s="4" t="s">
        <v>25</v>
      </c>
      <c r="F529" s="4" t="s">
        <v>25</v>
      </c>
      <c r="G529" s="4" t="s">
        <v>25</v>
      </c>
      <c r="H529" s="4" t="s">
        <v>35</v>
      </c>
      <c r="I529" s="5">
        <v>43952</v>
      </c>
      <c r="J529" s="6">
        <v>17429</v>
      </c>
      <c r="K529" s="6">
        <v>17429</v>
      </c>
      <c r="L529" s="6">
        <v>546.54600000000005</v>
      </c>
      <c r="M529" s="6">
        <v>546.54600000000005</v>
      </c>
      <c r="N529" s="6">
        <v>546.54600000000005</v>
      </c>
      <c r="O529" s="6">
        <v>546.54600000000005</v>
      </c>
      <c r="P529" s="6">
        <v>0</v>
      </c>
      <c r="Q529" s="4" t="s">
        <v>26</v>
      </c>
      <c r="R529" s="4">
        <v>0</v>
      </c>
      <c r="S529" s="6">
        <v>21</v>
      </c>
      <c r="T529" s="6">
        <v>23</v>
      </c>
      <c r="U529" s="6">
        <v>81</v>
      </c>
      <c r="V529" s="6">
        <f>IF(ISERROR(VLOOKUP($S$529,'TAR FIN'!$A$1:$O$120,15,0)),0,VLOOKUP($S$529,'TAR FIN'!$A$1:$O$120,15,0))</f>
        <v>22.94</v>
      </c>
      <c r="W529" s="6">
        <f>IF(ISERROR(VLOOKUP($T$529,'TAR FIN'!$A$1:$O$120,15,0)),0,VLOOKUP($T$529,'TAR FIN'!$A$1:$O$120,15,0))</f>
        <v>84.45</v>
      </c>
      <c r="X529" s="6">
        <f>IF(ISERROR(VLOOKUP($U$529,'TAR FIN'!$A$1:$O$120,15,0)),0,VLOOKUP($U$529,'TAR FIN'!$A$1:$O$120,15,0))</f>
        <v>430.87</v>
      </c>
      <c r="Y529" s="6">
        <f ca="1">('TUSD BE'!$AM$27+'TUSD BF'!$AM$27+'TUSD CVA'!$AM$27)*1</f>
        <v>27.216283196676113</v>
      </c>
      <c r="Z529" s="6">
        <f ca="1">('TUSD BE'!$AM$29+'TUSD BF'!$AM$29+'TUSD CVA'!$AM$29)*1</f>
        <v>87.519361965254689</v>
      </c>
      <c r="AA529" s="6">
        <f>('TE BE'!$AA$10+'TE BF'!$AA$10+'TE CVA'!$AA$10)*1</f>
        <v>375.69180268700768</v>
      </c>
      <c r="AB529" s="6">
        <f>$K$529*$V$529</f>
        <v>399821.26</v>
      </c>
      <c r="AC529" s="6">
        <f>$M$529*$W$529</f>
        <v>46155.809700000005</v>
      </c>
      <c r="AD529" s="6">
        <f>$O$529*$X$529</f>
        <v>235490.27502000003</v>
      </c>
      <c r="AE529" s="6">
        <f ca="1">$K$529*$Y$529</f>
        <v>474352.59983486799</v>
      </c>
      <c r="AF529" s="6">
        <f ca="1">$M$529*$Z$529</f>
        <v>47833.35720466209</v>
      </c>
      <c r="AG529" s="6">
        <f>$O$529*$AA$529</f>
        <v>205332.85199137332</v>
      </c>
    </row>
    <row r="530" spans="1:33" ht="11.25" customHeight="1" x14ac:dyDescent="0.25">
      <c r="A530" s="4" t="s">
        <v>28</v>
      </c>
      <c r="B530" s="4" t="s">
        <v>33</v>
      </c>
      <c r="C530" s="4" t="s">
        <v>41</v>
      </c>
      <c r="D530" s="4" t="s">
        <v>48</v>
      </c>
      <c r="E530" s="4" t="s">
        <v>25</v>
      </c>
      <c r="F530" s="4" t="s">
        <v>25</v>
      </c>
      <c r="G530" s="4" t="s">
        <v>25</v>
      </c>
      <c r="H530" s="4" t="s">
        <v>35</v>
      </c>
      <c r="I530" s="5">
        <v>43952</v>
      </c>
      <c r="J530" s="6">
        <v>2850</v>
      </c>
      <c r="K530" s="6">
        <v>2850</v>
      </c>
      <c r="L530" s="6">
        <v>89.007999999999996</v>
      </c>
      <c r="M530" s="6">
        <v>89.007999999999996</v>
      </c>
      <c r="N530" s="6">
        <v>89.007999999999996</v>
      </c>
      <c r="O530" s="6">
        <v>89.007999999999996</v>
      </c>
      <c r="P530" s="6">
        <v>0</v>
      </c>
      <c r="Q530" s="4" t="s">
        <v>26</v>
      </c>
      <c r="R530" s="4">
        <v>0</v>
      </c>
      <c r="S530" s="6">
        <v>21</v>
      </c>
      <c r="T530" s="6">
        <v>23</v>
      </c>
      <c r="U530" s="6">
        <v>81</v>
      </c>
      <c r="V530" s="6">
        <f>IF(ISERROR(VLOOKUP($S$530,'TAR FIN'!$A$1:$O$120,15,0)),0,VLOOKUP($S$530,'TAR FIN'!$A$1:$O$120,15,0))</f>
        <v>22.94</v>
      </c>
      <c r="W530" s="6">
        <f>IF(ISERROR(VLOOKUP($T$530,'TAR FIN'!$A$1:$O$120,15,0)),0,VLOOKUP($T$530,'TAR FIN'!$A$1:$O$120,15,0))</f>
        <v>84.45</v>
      </c>
      <c r="X530" s="6">
        <f>IF(ISERROR(VLOOKUP($U$530,'TAR FIN'!$A$1:$O$120,15,0)),0,VLOOKUP($U$530,'TAR FIN'!$A$1:$O$120,15,0))</f>
        <v>430.87</v>
      </c>
      <c r="Y530" s="6">
        <f ca="1">('TUSD BE'!$AM$27+'TUSD BF'!$AM$27+'TUSD CVA'!$AM$27)*1</f>
        <v>27.216283196676113</v>
      </c>
      <c r="Z530" s="6">
        <f ca="1">('TUSD BE'!$AM$29+'TUSD BF'!$AM$29+'TUSD CVA'!$AM$29)*1</f>
        <v>87.519361965254689</v>
      </c>
      <c r="AA530" s="6">
        <f>('TE BE'!$AA$10+'TE BF'!$AA$10+'TE CVA'!$AA$10)*1</f>
        <v>375.69180268700768</v>
      </c>
      <c r="AB530" s="6">
        <f>$K$530*$V$530</f>
        <v>65379.000000000007</v>
      </c>
      <c r="AC530" s="6">
        <f>$M$530*$W$530</f>
        <v>7516.7255999999998</v>
      </c>
      <c r="AD530" s="6">
        <f>$O$530*$X$530</f>
        <v>38350.876960000001</v>
      </c>
      <c r="AE530" s="6">
        <f ca="1">$K$530*$Y$530</f>
        <v>77566.407110526925</v>
      </c>
      <c r="AF530" s="6">
        <f ca="1">$M$530*$Z$530</f>
        <v>7789.9233698033886</v>
      </c>
      <c r="AG530" s="6">
        <f>$O$530*$AA$530</f>
        <v>33439.575973565181</v>
      </c>
    </row>
    <row r="531" spans="1:33" ht="11.25" customHeight="1" x14ac:dyDescent="0.25">
      <c r="A531" s="4" t="s">
        <v>21</v>
      </c>
      <c r="B531" s="4" t="s">
        <v>33</v>
      </c>
      <c r="C531" s="4" t="s">
        <v>41</v>
      </c>
      <c r="D531" s="4" t="s">
        <v>48</v>
      </c>
      <c r="E531" s="4" t="s">
        <v>25</v>
      </c>
      <c r="F531" s="4" t="s">
        <v>25</v>
      </c>
      <c r="G531" s="4" t="s">
        <v>25</v>
      </c>
      <c r="H531" s="4" t="s">
        <v>35</v>
      </c>
      <c r="I531" s="5">
        <v>43983</v>
      </c>
      <c r="J531" s="6">
        <v>15365</v>
      </c>
      <c r="K531" s="6">
        <v>15365</v>
      </c>
      <c r="L531" s="6">
        <v>495.63</v>
      </c>
      <c r="M531" s="6">
        <v>495.63</v>
      </c>
      <c r="N531" s="6">
        <v>495.63</v>
      </c>
      <c r="O531" s="6">
        <v>495.63</v>
      </c>
      <c r="P531" s="6">
        <v>0</v>
      </c>
      <c r="Q531" s="4" t="s">
        <v>26</v>
      </c>
      <c r="R531" s="4">
        <v>0</v>
      </c>
      <c r="S531" s="6">
        <v>21</v>
      </c>
      <c r="T531" s="6">
        <v>23</v>
      </c>
      <c r="U531" s="6">
        <v>81</v>
      </c>
      <c r="V531" s="6">
        <f>IF(ISERROR(VLOOKUP($S$531,'TAR FIN'!$A$1:$O$120,15,0)),0,VLOOKUP($S$531,'TAR FIN'!$A$1:$O$120,15,0))</f>
        <v>22.94</v>
      </c>
      <c r="W531" s="6">
        <f>IF(ISERROR(VLOOKUP($T$531,'TAR FIN'!$A$1:$O$120,15,0)),0,VLOOKUP($T$531,'TAR FIN'!$A$1:$O$120,15,0))</f>
        <v>84.45</v>
      </c>
      <c r="X531" s="6">
        <f>IF(ISERROR(VLOOKUP($U$531,'TAR FIN'!$A$1:$O$120,15,0)),0,VLOOKUP($U$531,'TAR FIN'!$A$1:$O$120,15,0))</f>
        <v>430.87</v>
      </c>
      <c r="Y531" s="6">
        <f ca="1">('TUSD BE'!$AM$27+'TUSD BF'!$AM$27+'TUSD CVA'!$AM$27)*1</f>
        <v>27.216283196676113</v>
      </c>
      <c r="Z531" s="6">
        <f ca="1">('TUSD BE'!$AM$29+'TUSD BF'!$AM$29+'TUSD CVA'!$AM$29)*1</f>
        <v>87.519361965254689</v>
      </c>
      <c r="AA531" s="6">
        <f>('TE BE'!$AA$10+'TE BF'!$AA$10+'TE CVA'!$AA$10)*1</f>
        <v>375.69180268700768</v>
      </c>
      <c r="AB531" s="6">
        <f>$K$531*$V$531</f>
        <v>352473.10000000003</v>
      </c>
      <c r="AC531" s="6">
        <f>$M$531*$W$531</f>
        <v>41855.953500000003</v>
      </c>
      <c r="AD531" s="6">
        <f>$O$531*$X$531</f>
        <v>213552.0981</v>
      </c>
      <c r="AE531" s="6">
        <f ca="1">$K$531*$Y$531</f>
        <v>418178.19131692848</v>
      </c>
      <c r="AF531" s="6">
        <f ca="1">$M$531*$Z$531</f>
        <v>43377.221370839179</v>
      </c>
      <c r="AG531" s="6">
        <f>$O$531*$AA$531</f>
        <v>186204.12816576162</v>
      </c>
    </row>
    <row r="532" spans="1:33" ht="11.25" customHeight="1" x14ac:dyDescent="0.25">
      <c r="A532" s="4" t="s">
        <v>28</v>
      </c>
      <c r="B532" s="4" t="s">
        <v>33</v>
      </c>
      <c r="C532" s="4" t="s">
        <v>41</v>
      </c>
      <c r="D532" s="4" t="s">
        <v>48</v>
      </c>
      <c r="E532" s="4" t="s">
        <v>25</v>
      </c>
      <c r="F532" s="4" t="s">
        <v>25</v>
      </c>
      <c r="G532" s="4" t="s">
        <v>25</v>
      </c>
      <c r="H532" s="4" t="s">
        <v>35</v>
      </c>
      <c r="I532" s="5">
        <v>43983</v>
      </c>
      <c r="J532" s="6">
        <v>2850</v>
      </c>
      <c r="K532" s="6">
        <v>2850</v>
      </c>
      <c r="L532" s="6">
        <v>99.540999999999997</v>
      </c>
      <c r="M532" s="6">
        <v>99.540999999999997</v>
      </c>
      <c r="N532" s="6">
        <v>99.540999999999997</v>
      </c>
      <c r="O532" s="6">
        <v>99.540999999999997</v>
      </c>
      <c r="P532" s="6">
        <v>0</v>
      </c>
      <c r="Q532" s="4" t="s">
        <v>26</v>
      </c>
      <c r="R532" s="4">
        <v>0</v>
      </c>
      <c r="S532" s="6">
        <v>21</v>
      </c>
      <c r="T532" s="6">
        <v>23</v>
      </c>
      <c r="U532" s="6">
        <v>81</v>
      </c>
      <c r="V532" s="6">
        <f>IF(ISERROR(VLOOKUP($S$532,'TAR FIN'!$A$1:$O$120,15,0)),0,VLOOKUP($S$532,'TAR FIN'!$A$1:$O$120,15,0))</f>
        <v>22.94</v>
      </c>
      <c r="W532" s="6">
        <f>IF(ISERROR(VLOOKUP($T$532,'TAR FIN'!$A$1:$O$120,15,0)),0,VLOOKUP($T$532,'TAR FIN'!$A$1:$O$120,15,0))</f>
        <v>84.45</v>
      </c>
      <c r="X532" s="6">
        <f>IF(ISERROR(VLOOKUP($U$532,'TAR FIN'!$A$1:$O$120,15,0)),0,VLOOKUP($U$532,'TAR FIN'!$A$1:$O$120,15,0))</f>
        <v>430.87</v>
      </c>
      <c r="Y532" s="6">
        <f ca="1">('TUSD BE'!$AM$27+'TUSD BF'!$AM$27+'TUSD CVA'!$AM$27)*1</f>
        <v>27.216283196676113</v>
      </c>
      <c r="Z532" s="6">
        <f ca="1">('TUSD BE'!$AM$29+'TUSD BF'!$AM$29+'TUSD CVA'!$AM$29)*1</f>
        <v>87.519361965254689</v>
      </c>
      <c r="AA532" s="6">
        <f>('TE BE'!$AA$10+'TE BF'!$AA$10+'TE CVA'!$AA$10)*1</f>
        <v>375.69180268700768</v>
      </c>
      <c r="AB532" s="6">
        <f>$K$532*$V$532</f>
        <v>65379.000000000007</v>
      </c>
      <c r="AC532" s="6">
        <f>$M$532*$W$532</f>
        <v>8406.2374500000005</v>
      </c>
      <c r="AD532" s="6">
        <f>$O$532*$X$532</f>
        <v>42889.230669999997</v>
      </c>
      <c r="AE532" s="6">
        <f ca="1">$K$532*$Y$532</f>
        <v>77566.407110526925</v>
      </c>
      <c r="AF532" s="6">
        <f ca="1">$M$532*$Z$532</f>
        <v>8711.7648093834159</v>
      </c>
      <c r="AG532" s="6">
        <f>$O$532*$AA$532</f>
        <v>37396.737731267429</v>
      </c>
    </row>
    <row r="533" spans="1:33" ht="11.25" customHeight="1" x14ac:dyDescent="0.25">
      <c r="A533" s="4" t="s">
        <v>21</v>
      </c>
      <c r="B533" s="4" t="s">
        <v>33</v>
      </c>
      <c r="C533" s="4" t="s">
        <v>41</v>
      </c>
      <c r="D533" s="4" t="s">
        <v>48</v>
      </c>
      <c r="E533" s="4" t="s">
        <v>25</v>
      </c>
      <c r="F533" s="4" t="s">
        <v>25</v>
      </c>
      <c r="G533" s="4" t="s">
        <v>25</v>
      </c>
      <c r="H533" s="4" t="s">
        <v>35</v>
      </c>
      <c r="I533" s="5">
        <v>44013</v>
      </c>
      <c r="J533" s="6">
        <v>15401</v>
      </c>
      <c r="K533" s="6">
        <v>15401</v>
      </c>
      <c r="L533" s="6">
        <v>467.98599999999999</v>
      </c>
      <c r="M533" s="6">
        <v>467.98599999999999</v>
      </c>
      <c r="N533" s="6">
        <v>467.98599999999999</v>
      </c>
      <c r="O533" s="6">
        <v>467.98599999999999</v>
      </c>
      <c r="P533" s="6">
        <v>0</v>
      </c>
      <c r="Q533" s="4" t="s">
        <v>26</v>
      </c>
      <c r="R533" s="4">
        <v>0</v>
      </c>
      <c r="S533" s="6">
        <v>21</v>
      </c>
      <c r="T533" s="6">
        <v>23</v>
      </c>
      <c r="U533" s="6">
        <v>81</v>
      </c>
      <c r="V533" s="6">
        <f>IF(ISERROR(VLOOKUP($S$533,'TAR FIN'!$A$1:$O$120,15,0)),0,VLOOKUP($S$533,'TAR FIN'!$A$1:$O$120,15,0))</f>
        <v>22.94</v>
      </c>
      <c r="W533" s="6">
        <f>IF(ISERROR(VLOOKUP($T$533,'TAR FIN'!$A$1:$O$120,15,0)),0,VLOOKUP($T$533,'TAR FIN'!$A$1:$O$120,15,0))</f>
        <v>84.45</v>
      </c>
      <c r="X533" s="6">
        <f>IF(ISERROR(VLOOKUP($U$533,'TAR FIN'!$A$1:$O$120,15,0)),0,VLOOKUP($U$533,'TAR FIN'!$A$1:$O$120,15,0))</f>
        <v>430.87</v>
      </c>
      <c r="Y533" s="6">
        <f ca="1">('TUSD BE'!$AM$27+'TUSD BF'!$AM$27+'TUSD CVA'!$AM$27)*1</f>
        <v>27.216283196676113</v>
      </c>
      <c r="Z533" s="6">
        <f ca="1">('TUSD BE'!$AM$29+'TUSD BF'!$AM$29+'TUSD CVA'!$AM$29)*1</f>
        <v>87.519361965254689</v>
      </c>
      <c r="AA533" s="6">
        <f>('TE BE'!$AA$10+'TE BF'!$AA$10+'TE CVA'!$AA$10)*1</f>
        <v>375.69180268700768</v>
      </c>
      <c r="AB533" s="6">
        <f>$K$533*$V$533</f>
        <v>353298.94</v>
      </c>
      <c r="AC533" s="6">
        <f>$M$533*$W$533</f>
        <v>39521.417699999998</v>
      </c>
      <c r="AD533" s="6">
        <f>$O$533*$X$533</f>
        <v>201641.12781999999</v>
      </c>
      <c r="AE533" s="6">
        <f ca="1">$K$533*$Y$533</f>
        <v>419157.9775120088</v>
      </c>
      <c r="AF533" s="6">
        <f ca="1">$M$533*$Z$533</f>
        <v>40957.836128671683</v>
      </c>
      <c r="AG533" s="6">
        <f>$O$533*$AA$533</f>
        <v>175818.50397228196</v>
      </c>
    </row>
    <row r="534" spans="1:33" ht="11.25" customHeight="1" x14ac:dyDescent="0.25">
      <c r="A534" s="4" t="s">
        <v>28</v>
      </c>
      <c r="B534" s="4" t="s">
        <v>33</v>
      </c>
      <c r="C534" s="4" t="s">
        <v>41</v>
      </c>
      <c r="D534" s="4" t="s">
        <v>48</v>
      </c>
      <c r="E534" s="4" t="s">
        <v>25</v>
      </c>
      <c r="F534" s="4" t="s">
        <v>25</v>
      </c>
      <c r="G534" s="4" t="s">
        <v>25</v>
      </c>
      <c r="H534" s="4" t="s">
        <v>35</v>
      </c>
      <c r="I534" s="5">
        <v>44013</v>
      </c>
      <c r="J534" s="6">
        <v>2850</v>
      </c>
      <c r="K534" s="6">
        <v>2850</v>
      </c>
      <c r="L534" s="6">
        <v>91.08</v>
      </c>
      <c r="M534" s="6">
        <v>91.08</v>
      </c>
      <c r="N534" s="6">
        <v>91.08</v>
      </c>
      <c r="O534" s="6">
        <v>91.08</v>
      </c>
      <c r="P534" s="6">
        <v>0</v>
      </c>
      <c r="Q534" s="4" t="s">
        <v>26</v>
      </c>
      <c r="R534" s="4">
        <v>0</v>
      </c>
      <c r="S534" s="6">
        <v>21</v>
      </c>
      <c r="T534" s="6">
        <v>23</v>
      </c>
      <c r="U534" s="6">
        <v>81</v>
      </c>
      <c r="V534" s="6">
        <f>IF(ISERROR(VLOOKUP($S$534,'TAR FIN'!$A$1:$O$120,15,0)),0,VLOOKUP($S$534,'TAR FIN'!$A$1:$O$120,15,0))</f>
        <v>22.94</v>
      </c>
      <c r="W534" s="6">
        <f>IF(ISERROR(VLOOKUP($T$534,'TAR FIN'!$A$1:$O$120,15,0)),0,VLOOKUP($T$534,'TAR FIN'!$A$1:$O$120,15,0))</f>
        <v>84.45</v>
      </c>
      <c r="X534" s="6">
        <f>IF(ISERROR(VLOOKUP($U$534,'TAR FIN'!$A$1:$O$120,15,0)),0,VLOOKUP($U$534,'TAR FIN'!$A$1:$O$120,15,0))</f>
        <v>430.87</v>
      </c>
      <c r="Y534" s="6">
        <f ca="1">('TUSD BE'!$AM$27+'TUSD BF'!$AM$27+'TUSD CVA'!$AM$27)*1</f>
        <v>27.216283196676113</v>
      </c>
      <c r="Z534" s="6">
        <f ca="1">('TUSD BE'!$AM$29+'TUSD BF'!$AM$29+'TUSD CVA'!$AM$29)*1</f>
        <v>87.519361965254689</v>
      </c>
      <c r="AA534" s="6">
        <f>('TE BE'!$AA$10+'TE BF'!$AA$10+'TE CVA'!$AA$10)*1</f>
        <v>375.69180268700768</v>
      </c>
      <c r="AB534" s="6">
        <f>$K$534*$V$534</f>
        <v>65379.000000000007</v>
      </c>
      <c r="AC534" s="6">
        <f>$M$534*$W$534</f>
        <v>7691.7060000000001</v>
      </c>
      <c r="AD534" s="6">
        <f>$O$534*$X$534</f>
        <v>39243.639600000002</v>
      </c>
      <c r="AE534" s="6">
        <f ca="1">$K$534*$Y$534</f>
        <v>77566.407110526925</v>
      </c>
      <c r="AF534" s="6">
        <f ca="1">$M$534*$Z$534</f>
        <v>7971.2634877953969</v>
      </c>
      <c r="AG534" s="6">
        <f>$O$534*$AA$534</f>
        <v>34218.009388732658</v>
      </c>
    </row>
    <row r="535" spans="1:33" ht="11.25" customHeight="1" x14ac:dyDescent="0.25">
      <c r="A535" s="4" t="s">
        <v>21</v>
      </c>
      <c r="B535" s="4" t="s">
        <v>33</v>
      </c>
      <c r="C535" s="4" t="s">
        <v>41</v>
      </c>
      <c r="D535" s="4" t="s">
        <v>48</v>
      </c>
      <c r="E535" s="4" t="s">
        <v>25</v>
      </c>
      <c r="F535" s="4" t="s">
        <v>25</v>
      </c>
      <c r="G535" s="4" t="s">
        <v>25</v>
      </c>
      <c r="H535" s="4" t="s">
        <v>35</v>
      </c>
      <c r="I535" s="5">
        <v>44044</v>
      </c>
      <c r="J535" s="6">
        <v>16120</v>
      </c>
      <c r="K535" s="6">
        <v>16120</v>
      </c>
      <c r="L535" s="6">
        <v>526.04200000000003</v>
      </c>
      <c r="M535" s="6">
        <v>526.04200000000003</v>
      </c>
      <c r="N535" s="6">
        <v>526.04200000000003</v>
      </c>
      <c r="O535" s="6">
        <v>526.04200000000003</v>
      </c>
      <c r="P535" s="6">
        <v>0</v>
      </c>
      <c r="Q535" s="4" t="s">
        <v>26</v>
      </c>
      <c r="R535" s="4">
        <v>0</v>
      </c>
      <c r="S535" s="6">
        <v>21</v>
      </c>
      <c r="T535" s="6">
        <v>23</v>
      </c>
      <c r="U535" s="6">
        <v>81</v>
      </c>
      <c r="V535" s="6">
        <f>IF(ISERROR(VLOOKUP($S$535,'TAR FIN'!$A$1:$O$120,15,0)),0,VLOOKUP($S$535,'TAR FIN'!$A$1:$O$120,15,0))</f>
        <v>22.94</v>
      </c>
      <c r="W535" s="6">
        <f>IF(ISERROR(VLOOKUP($T$535,'TAR FIN'!$A$1:$O$120,15,0)),0,VLOOKUP($T$535,'TAR FIN'!$A$1:$O$120,15,0))</f>
        <v>84.45</v>
      </c>
      <c r="X535" s="6">
        <f>IF(ISERROR(VLOOKUP($U$535,'TAR FIN'!$A$1:$O$120,15,0)),0,VLOOKUP($U$535,'TAR FIN'!$A$1:$O$120,15,0))</f>
        <v>430.87</v>
      </c>
      <c r="Y535" s="6">
        <f ca="1">('TUSD BE'!$AM$27+'TUSD BF'!$AM$27+'TUSD CVA'!$AM$27)*1</f>
        <v>27.216283196676113</v>
      </c>
      <c r="Z535" s="6">
        <f ca="1">('TUSD BE'!$AM$29+'TUSD BF'!$AM$29+'TUSD CVA'!$AM$29)*1</f>
        <v>87.519361965254689</v>
      </c>
      <c r="AA535" s="6">
        <f>('TE BE'!$AA$10+'TE BF'!$AA$10+'TE CVA'!$AA$10)*1</f>
        <v>375.69180268700768</v>
      </c>
      <c r="AB535" s="6">
        <f>$K$535*$V$535</f>
        <v>369792.80000000005</v>
      </c>
      <c r="AC535" s="6">
        <f>$M$535*$W$535</f>
        <v>44424.246900000006</v>
      </c>
      <c r="AD535" s="6">
        <f>$O$535*$X$535</f>
        <v>226655.71654000002</v>
      </c>
      <c r="AE535" s="6">
        <f ca="1">$K$535*$Y$535</f>
        <v>438726.48513041891</v>
      </c>
      <c r="AF535" s="6">
        <f ca="1">$M$535*$Z$535</f>
        <v>46038.860206926511</v>
      </c>
      <c r="AG535" s="6">
        <f>$O$535*$AA$535</f>
        <v>197629.6672690789</v>
      </c>
    </row>
    <row r="536" spans="1:33" ht="11.25" customHeight="1" x14ac:dyDescent="0.25">
      <c r="A536" s="4" t="s">
        <v>28</v>
      </c>
      <c r="B536" s="4" t="s">
        <v>33</v>
      </c>
      <c r="C536" s="4" t="s">
        <v>41</v>
      </c>
      <c r="D536" s="4" t="s">
        <v>48</v>
      </c>
      <c r="E536" s="4" t="s">
        <v>25</v>
      </c>
      <c r="F536" s="4" t="s">
        <v>25</v>
      </c>
      <c r="G536" s="4" t="s">
        <v>25</v>
      </c>
      <c r="H536" s="4" t="s">
        <v>35</v>
      </c>
      <c r="I536" s="5">
        <v>44044</v>
      </c>
      <c r="J536" s="6">
        <v>2850</v>
      </c>
      <c r="K536" s="6">
        <v>2850</v>
      </c>
      <c r="L536" s="6">
        <v>101.96599999999999</v>
      </c>
      <c r="M536" s="6">
        <v>101.96599999999999</v>
      </c>
      <c r="N536" s="6">
        <v>101.96599999999999</v>
      </c>
      <c r="O536" s="6">
        <v>101.96599999999999</v>
      </c>
      <c r="P536" s="6">
        <v>0</v>
      </c>
      <c r="Q536" s="4" t="s">
        <v>26</v>
      </c>
      <c r="R536" s="4">
        <v>0</v>
      </c>
      <c r="S536" s="6">
        <v>21</v>
      </c>
      <c r="T536" s="6">
        <v>23</v>
      </c>
      <c r="U536" s="6">
        <v>81</v>
      </c>
      <c r="V536" s="6">
        <f>IF(ISERROR(VLOOKUP($S$536,'TAR FIN'!$A$1:$O$120,15,0)),0,VLOOKUP($S$536,'TAR FIN'!$A$1:$O$120,15,0))</f>
        <v>22.94</v>
      </c>
      <c r="W536" s="6">
        <f>IF(ISERROR(VLOOKUP($T$536,'TAR FIN'!$A$1:$O$120,15,0)),0,VLOOKUP($T$536,'TAR FIN'!$A$1:$O$120,15,0))</f>
        <v>84.45</v>
      </c>
      <c r="X536" s="6">
        <f>IF(ISERROR(VLOOKUP($U$536,'TAR FIN'!$A$1:$O$120,15,0)),0,VLOOKUP($U$536,'TAR FIN'!$A$1:$O$120,15,0))</f>
        <v>430.87</v>
      </c>
      <c r="Y536" s="6">
        <f ca="1">('TUSD BE'!$AM$27+'TUSD BF'!$AM$27+'TUSD CVA'!$AM$27)*1</f>
        <v>27.216283196676113</v>
      </c>
      <c r="Z536" s="6">
        <f ca="1">('TUSD BE'!$AM$29+'TUSD BF'!$AM$29+'TUSD CVA'!$AM$29)*1</f>
        <v>87.519361965254689</v>
      </c>
      <c r="AA536" s="6">
        <f>('TE BE'!$AA$10+'TE BF'!$AA$10+'TE CVA'!$AA$10)*1</f>
        <v>375.69180268700768</v>
      </c>
      <c r="AB536" s="6">
        <f>$K$536*$V$536</f>
        <v>65379.000000000007</v>
      </c>
      <c r="AC536" s="6">
        <f>$M$536*$W$536</f>
        <v>8611.0286999999989</v>
      </c>
      <c r="AD536" s="6">
        <f>$O$536*$X$536</f>
        <v>43934.09042</v>
      </c>
      <c r="AE536" s="6">
        <f ca="1">$K$536*$Y$536</f>
        <v>77566.407110526925</v>
      </c>
      <c r="AF536" s="6">
        <f ca="1">$M$536*$Z$536</f>
        <v>8923.9992621491583</v>
      </c>
      <c r="AG536" s="6">
        <f>$O$536*$AA$536</f>
        <v>38307.790352783421</v>
      </c>
    </row>
    <row r="537" spans="1:33" ht="11.25" customHeight="1" x14ac:dyDescent="0.25">
      <c r="A537" s="4" t="s">
        <v>59</v>
      </c>
      <c r="B537" s="4" t="s">
        <v>33</v>
      </c>
      <c r="C537" s="4" t="s">
        <v>41</v>
      </c>
      <c r="D537" s="4" t="s">
        <v>48</v>
      </c>
      <c r="E537" s="4" t="s">
        <v>25</v>
      </c>
      <c r="F537" s="4" t="s">
        <v>25</v>
      </c>
      <c r="G537" s="4" t="s">
        <v>25</v>
      </c>
      <c r="H537" s="4" t="s">
        <v>35</v>
      </c>
      <c r="I537" s="5">
        <v>44075</v>
      </c>
      <c r="J537" s="6">
        <v>16120</v>
      </c>
      <c r="K537" s="6">
        <v>16120</v>
      </c>
      <c r="L537" s="6">
        <v>526.04200000000003</v>
      </c>
      <c r="M537" s="6">
        <v>526.04200000000003</v>
      </c>
      <c r="N537" s="6">
        <v>526.04200000000003</v>
      </c>
      <c r="O537" s="6">
        <v>526.04200000000003</v>
      </c>
      <c r="P537" s="6">
        <v>0</v>
      </c>
      <c r="Q537" s="4" t="s">
        <v>26</v>
      </c>
      <c r="R537" s="4">
        <v>0</v>
      </c>
      <c r="S537" s="6">
        <v>21</v>
      </c>
      <c r="T537" s="6">
        <v>23</v>
      </c>
      <c r="U537" s="6">
        <v>81</v>
      </c>
      <c r="V537" s="6">
        <f>IF(ISERROR(VLOOKUP($S$537,'TAR FIN'!$A$1:$O$120,15,0)),0,VLOOKUP($S$537,'TAR FIN'!$A$1:$O$120,15,0))</f>
        <v>22.94</v>
      </c>
      <c r="W537" s="6">
        <f>IF(ISERROR(VLOOKUP($T$537,'TAR FIN'!$A$1:$O$120,15,0)),0,VLOOKUP($T$537,'TAR FIN'!$A$1:$O$120,15,0))</f>
        <v>84.45</v>
      </c>
      <c r="X537" s="6">
        <f>IF(ISERROR(VLOOKUP($U$537,'TAR FIN'!$A$1:$O$120,15,0)),0,VLOOKUP($U$537,'TAR FIN'!$A$1:$O$120,15,0))</f>
        <v>430.87</v>
      </c>
      <c r="Y537" s="6">
        <f ca="1">('TUSD BE'!$AM$27+'TUSD BF'!$AM$27+'TUSD CVA'!$AM$27)*1</f>
        <v>27.216283196676113</v>
      </c>
      <c r="Z537" s="6">
        <f ca="1">('TUSD BE'!$AM$29+'TUSD BF'!$AM$29+'TUSD CVA'!$AM$29)*1</f>
        <v>87.519361965254689</v>
      </c>
      <c r="AA537" s="6">
        <f>('TE BE'!$AA$10+'TE BF'!$AA$10+'TE CVA'!$AA$10)*1</f>
        <v>375.69180268700768</v>
      </c>
      <c r="AB537" s="6">
        <f>$K$537*$V$537</f>
        <v>369792.80000000005</v>
      </c>
      <c r="AC537" s="6">
        <f>$M$537*$W$537</f>
        <v>44424.246900000006</v>
      </c>
      <c r="AD537" s="6">
        <f>$O$537*$X$537</f>
        <v>226655.71654000002</v>
      </c>
      <c r="AE537" s="6">
        <f ca="1">$K$537*$Y$537</f>
        <v>438726.48513041891</v>
      </c>
      <c r="AF537" s="6">
        <f ca="1">$M$537*$Z$537</f>
        <v>46038.860206926511</v>
      </c>
      <c r="AG537" s="6">
        <f>$O$537*$AA$537</f>
        <v>197629.6672690789</v>
      </c>
    </row>
    <row r="538" spans="1:33" ht="11.25" customHeight="1" x14ac:dyDescent="0.25">
      <c r="A538" s="4" t="s">
        <v>59</v>
      </c>
      <c r="B538" s="4" t="s">
        <v>33</v>
      </c>
      <c r="C538" s="4" t="s">
        <v>41</v>
      </c>
      <c r="D538" s="4" t="s">
        <v>48</v>
      </c>
      <c r="E538" s="4" t="s">
        <v>25</v>
      </c>
      <c r="F538" s="4" t="s">
        <v>25</v>
      </c>
      <c r="G538" s="4" t="s">
        <v>25</v>
      </c>
      <c r="H538" s="4" t="s">
        <v>35</v>
      </c>
      <c r="I538" s="5">
        <v>44075</v>
      </c>
      <c r="J538" s="6">
        <v>2850</v>
      </c>
      <c r="K538" s="6">
        <v>2850</v>
      </c>
      <c r="L538" s="6">
        <v>101.96599999999999</v>
      </c>
      <c r="M538" s="6">
        <v>101.96599999999999</v>
      </c>
      <c r="N538" s="6">
        <v>101.96599999999999</v>
      </c>
      <c r="O538" s="6">
        <v>101.96599999999999</v>
      </c>
      <c r="P538" s="6">
        <v>0</v>
      </c>
      <c r="Q538" s="4" t="s">
        <v>26</v>
      </c>
      <c r="R538" s="4">
        <v>0</v>
      </c>
      <c r="S538" s="6">
        <v>21</v>
      </c>
      <c r="T538" s="6">
        <v>23</v>
      </c>
      <c r="U538" s="6">
        <v>81</v>
      </c>
      <c r="V538" s="6">
        <f>IF(ISERROR(VLOOKUP($S$538,'TAR FIN'!$A$1:$O$120,15,0)),0,VLOOKUP($S$538,'TAR FIN'!$A$1:$O$120,15,0))</f>
        <v>22.94</v>
      </c>
      <c r="W538" s="6">
        <f>IF(ISERROR(VLOOKUP($T$538,'TAR FIN'!$A$1:$O$120,15,0)),0,VLOOKUP($T$538,'TAR FIN'!$A$1:$O$120,15,0))</f>
        <v>84.45</v>
      </c>
      <c r="X538" s="6">
        <f>IF(ISERROR(VLOOKUP($U$538,'TAR FIN'!$A$1:$O$120,15,0)),0,VLOOKUP($U$538,'TAR FIN'!$A$1:$O$120,15,0))</f>
        <v>430.87</v>
      </c>
      <c r="Y538" s="6">
        <f ca="1">('TUSD BE'!$AM$27+'TUSD BF'!$AM$27+'TUSD CVA'!$AM$27)*1</f>
        <v>27.216283196676113</v>
      </c>
      <c r="Z538" s="6">
        <f ca="1">('TUSD BE'!$AM$29+'TUSD BF'!$AM$29+'TUSD CVA'!$AM$29)*1</f>
        <v>87.519361965254689</v>
      </c>
      <c r="AA538" s="6">
        <f>('TE BE'!$AA$10+'TE BF'!$AA$10+'TE CVA'!$AA$10)*1</f>
        <v>375.69180268700768</v>
      </c>
      <c r="AB538" s="6">
        <f>$K$538*$V$538</f>
        <v>65379.000000000007</v>
      </c>
      <c r="AC538" s="6">
        <f>$M$538*$W$538</f>
        <v>8611.0286999999989</v>
      </c>
      <c r="AD538" s="6">
        <f>$O$538*$X$538</f>
        <v>43934.09042</v>
      </c>
      <c r="AE538" s="6">
        <f ca="1">$K$538*$Y$538</f>
        <v>77566.407110526925</v>
      </c>
      <c r="AF538" s="6">
        <f ca="1">$M$538*$Z$538</f>
        <v>8923.9992621491583</v>
      </c>
      <c r="AG538" s="6">
        <f>$O$538*$AA$538</f>
        <v>38307.790352783421</v>
      </c>
    </row>
    <row r="539" spans="1:33" ht="11.25" customHeight="1" x14ac:dyDescent="0.25">
      <c r="A539" s="4" t="s">
        <v>21</v>
      </c>
      <c r="B539" s="4" t="s">
        <v>33</v>
      </c>
      <c r="C539" s="4" t="s">
        <v>41</v>
      </c>
      <c r="D539" s="4" t="s">
        <v>47</v>
      </c>
      <c r="E539" s="4" t="s">
        <v>25</v>
      </c>
      <c r="F539" s="4" t="s">
        <v>25</v>
      </c>
      <c r="G539" s="4" t="s">
        <v>25</v>
      </c>
      <c r="H539" s="4" t="s">
        <v>36</v>
      </c>
      <c r="I539" s="5">
        <v>43739</v>
      </c>
      <c r="J539" s="6">
        <v>781</v>
      </c>
      <c r="K539" s="71">
        <v>781</v>
      </c>
      <c r="L539" s="6">
        <v>352.00299999999999</v>
      </c>
      <c r="M539" s="71">
        <v>352.00299999999999</v>
      </c>
      <c r="N539" s="6">
        <v>352.00299999999999</v>
      </c>
      <c r="O539" s="71">
        <v>352.00299999999999</v>
      </c>
      <c r="P539" s="6">
        <v>0</v>
      </c>
      <c r="Q539" s="4" t="s">
        <v>26</v>
      </c>
      <c r="R539" s="4">
        <v>0</v>
      </c>
      <c r="S539" s="6">
        <v>22</v>
      </c>
      <c r="T539" s="6">
        <v>23</v>
      </c>
      <c r="U539" s="6">
        <v>82</v>
      </c>
      <c r="V539" s="71">
        <f>IF(ISERROR(VLOOKUP($S$539,'TAR FIN'!$A$1:$O$120,15,0)),0,VLOOKUP($S$539,'TAR FIN'!$A$1:$O$120,15,0))*(1-0.08)</f>
        <v>8.1052</v>
      </c>
      <c r="W539" s="71">
        <f>IF(ISERROR(VLOOKUP($T$539,'TAR FIN'!$A$1:$O$120,15,0)),0,VLOOKUP($T$539,'TAR FIN'!$A$1:$O$120,15,0))*(1-0.08)</f>
        <v>77.694000000000003</v>
      </c>
      <c r="X539" s="71">
        <f>IF(ISERROR(VLOOKUP($U$539,'TAR FIN'!$A$1:$O$120,15,0)),0,VLOOKUP($U$539,'TAR FIN'!$A$1:$O$120,15,0))*(1-0.08)</f>
        <v>235.86960000000002</v>
      </c>
      <c r="Y539" s="71">
        <f ca="1">('TUSD BE'!$AM$28+'TUSD BF'!$AM$28+'TUSD CVA'!$AM$28)*1*(1-0.06)</f>
        <v>10.765215249734004</v>
      </c>
      <c r="Z539" s="71">
        <f ca="1">('TUSD BE'!$AM$29+'TUSD BF'!$AM$29+'TUSD CVA'!$AM$29)*1*(1-0.06)</f>
        <v>82.268200247339408</v>
      </c>
      <c r="AA539" s="71">
        <f>('TE BE'!$AA$11+'TE BF'!$AA$11+'TE CVA'!$AA$11)*1*(1-0.06)</f>
        <v>216.98415684477786</v>
      </c>
      <c r="AB539" s="6">
        <f>$K$539*$V$539</f>
        <v>6330.1611999999996</v>
      </c>
      <c r="AC539" s="6">
        <f>$M$539*$W$539</f>
        <v>27348.521081999999</v>
      </c>
      <c r="AD539" s="6">
        <f>$O$539*$X$539</f>
        <v>83026.8068088</v>
      </c>
      <c r="AE539" s="6">
        <f ca="1">$K$539*$Y$539</f>
        <v>8407.6331100422576</v>
      </c>
      <c r="AF539" s="6">
        <f ca="1">$M$539*$Z$539</f>
        <v>28958.653291664214</v>
      </c>
      <c r="AG539" s="6">
        <f>$O$539*$AA$539</f>
        <v>76379.074161832337</v>
      </c>
    </row>
    <row r="540" spans="1:33" ht="11.25" customHeight="1" x14ac:dyDescent="0.25">
      <c r="A540" s="4" t="s">
        <v>21</v>
      </c>
      <c r="B540" s="4" t="s">
        <v>33</v>
      </c>
      <c r="C540" s="4" t="s">
        <v>41</v>
      </c>
      <c r="D540" s="4" t="s">
        <v>47</v>
      </c>
      <c r="E540" s="4" t="s">
        <v>25</v>
      </c>
      <c r="F540" s="4" t="s">
        <v>25</v>
      </c>
      <c r="G540" s="4" t="s">
        <v>25</v>
      </c>
      <c r="H540" s="4" t="s">
        <v>36</v>
      </c>
      <c r="I540" s="5">
        <v>43770</v>
      </c>
      <c r="J540" s="6">
        <v>779</v>
      </c>
      <c r="K540" s="71">
        <v>779</v>
      </c>
      <c r="L540" s="6">
        <v>325.995</v>
      </c>
      <c r="M540" s="71">
        <v>325.995</v>
      </c>
      <c r="N540" s="6">
        <v>325.995</v>
      </c>
      <c r="O540" s="71">
        <v>325.995</v>
      </c>
      <c r="P540" s="6">
        <v>0</v>
      </c>
      <c r="Q540" s="4" t="s">
        <v>26</v>
      </c>
      <c r="R540" s="4">
        <v>0</v>
      </c>
      <c r="S540" s="6">
        <v>22</v>
      </c>
      <c r="T540" s="6">
        <v>23</v>
      </c>
      <c r="U540" s="6">
        <v>82</v>
      </c>
      <c r="V540" s="71">
        <f>IF(ISERROR(VLOOKUP($S$540,'TAR FIN'!$A$1:$O$120,15,0)),0,VLOOKUP($S$540,'TAR FIN'!$A$1:$O$120,15,0))*(1-0.08)</f>
        <v>8.1052</v>
      </c>
      <c r="W540" s="71">
        <f>IF(ISERROR(VLOOKUP($T$540,'TAR FIN'!$A$1:$O$120,15,0)),0,VLOOKUP($T$540,'TAR FIN'!$A$1:$O$120,15,0))*(1-0.08)</f>
        <v>77.694000000000003</v>
      </c>
      <c r="X540" s="71">
        <f>IF(ISERROR(VLOOKUP($U$540,'TAR FIN'!$A$1:$O$120,15,0)),0,VLOOKUP($U$540,'TAR FIN'!$A$1:$O$120,15,0))*(1-0.08)</f>
        <v>235.86960000000002</v>
      </c>
      <c r="Y540" s="71">
        <f ca="1">('TUSD BE'!$AM$28+'TUSD BF'!$AM$28+'TUSD CVA'!$AM$28)*1*(1-0.06)</f>
        <v>10.765215249734004</v>
      </c>
      <c r="Z540" s="71">
        <f ca="1">('TUSD BE'!$AM$29+'TUSD BF'!$AM$29+'TUSD CVA'!$AM$29)*1*(1-0.06)</f>
        <v>82.268200247339408</v>
      </c>
      <c r="AA540" s="71">
        <f>('TE BE'!$AA$11+'TE BF'!$AA$11+'TE CVA'!$AA$11)*1*(1-0.06)</f>
        <v>216.98415684477786</v>
      </c>
      <c r="AB540" s="6">
        <f>$K$540*$V$540</f>
        <v>6313.9507999999996</v>
      </c>
      <c r="AC540" s="6">
        <f>$M$540*$W$540</f>
        <v>25327.855530000001</v>
      </c>
      <c r="AD540" s="6">
        <f>$O$540*$X$540</f>
        <v>76892.31025200001</v>
      </c>
      <c r="AE540" s="6">
        <f ca="1">$K$540*$Y$540</f>
        <v>8386.1026795427897</v>
      </c>
      <c r="AF540" s="6">
        <f ca="1">$M$540*$Z$540</f>
        <v>26819.02193963141</v>
      </c>
      <c r="AG540" s="6">
        <f>$O$540*$AA$540</f>
        <v>70735.750210613362</v>
      </c>
    </row>
    <row r="541" spans="1:33" ht="11.25" customHeight="1" x14ac:dyDescent="0.25">
      <c r="A541" s="4" t="s">
        <v>21</v>
      </c>
      <c r="B541" s="4" t="s">
        <v>33</v>
      </c>
      <c r="C541" s="4" t="s">
        <v>41</v>
      </c>
      <c r="D541" s="4" t="s">
        <v>47</v>
      </c>
      <c r="E541" s="4" t="s">
        <v>25</v>
      </c>
      <c r="F541" s="4" t="s">
        <v>25</v>
      </c>
      <c r="G541" s="4" t="s">
        <v>25</v>
      </c>
      <c r="H541" s="4" t="s">
        <v>36</v>
      </c>
      <c r="I541" s="5">
        <v>43800</v>
      </c>
      <c r="J541" s="6">
        <v>733</v>
      </c>
      <c r="K541" s="71">
        <v>733</v>
      </c>
      <c r="L541" s="6">
        <v>297.36099999999999</v>
      </c>
      <c r="M541" s="71">
        <v>297.36099999999999</v>
      </c>
      <c r="N541" s="6">
        <v>297.36099999999999</v>
      </c>
      <c r="O541" s="71">
        <v>297.36099999999999</v>
      </c>
      <c r="P541" s="6">
        <v>0</v>
      </c>
      <c r="Q541" s="4" t="s">
        <v>26</v>
      </c>
      <c r="R541" s="4">
        <v>0</v>
      </c>
      <c r="S541" s="6">
        <v>22</v>
      </c>
      <c r="T541" s="6">
        <v>23</v>
      </c>
      <c r="U541" s="6">
        <v>82</v>
      </c>
      <c r="V541" s="71">
        <f>IF(ISERROR(VLOOKUP($S$541,'TAR FIN'!$A$1:$O$120,15,0)),0,VLOOKUP($S$541,'TAR FIN'!$A$1:$O$120,15,0))*(1-0.08)</f>
        <v>8.1052</v>
      </c>
      <c r="W541" s="71">
        <f>IF(ISERROR(VLOOKUP($T$541,'TAR FIN'!$A$1:$O$120,15,0)),0,VLOOKUP($T$541,'TAR FIN'!$A$1:$O$120,15,0))*(1-0.08)</f>
        <v>77.694000000000003</v>
      </c>
      <c r="X541" s="71">
        <f>IF(ISERROR(VLOOKUP($U$541,'TAR FIN'!$A$1:$O$120,15,0)),0,VLOOKUP($U$541,'TAR FIN'!$A$1:$O$120,15,0))*(1-0.08)</f>
        <v>235.86960000000002</v>
      </c>
      <c r="Y541" s="71">
        <f ca="1">('TUSD BE'!$AM$28+'TUSD BF'!$AM$28+'TUSD CVA'!$AM$28)*1*(1-0.06)</f>
        <v>10.765215249734004</v>
      </c>
      <c r="Z541" s="71">
        <f ca="1">('TUSD BE'!$AM$29+'TUSD BF'!$AM$29+'TUSD CVA'!$AM$29)*1*(1-0.06)</f>
        <v>82.268200247339408</v>
      </c>
      <c r="AA541" s="71">
        <f>('TE BE'!$AA$11+'TE BF'!$AA$11+'TE CVA'!$AA$11)*1*(1-0.06)</f>
        <v>216.98415684477786</v>
      </c>
      <c r="AB541" s="6">
        <f>$K$541*$V$541</f>
        <v>5941.1116000000002</v>
      </c>
      <c r="AC541" s="6">
        <f>$M$541*$W$541</f>
        <v>23103.165534</v>
      </c>
      <c r="AD541" s="6">
        <f>$O$541*$X$541</f>
        <v>70138.420125600009</v>
      </c>
      <c r="AE541" s="6">
        <f ca="1">$K$541*$Y$541</f>
        <v>7890.902778055025</v>
      </c>
      <c r="AF541" s="6">
        <f ca="1">$M$541*$Z$541</f>
        <v>24463.354293749093</v>
      </c>
      <c r="AG541" s="6">
        <f>$O$541*$AA$541</f>
        <v>64522.625863519985</v>
      </c>
    </row>
    <row r="542" spans="1:33" ht="11.25" customHeight="1" x14ac:dyDescent="0.25">
      <c r="A542" s="4" t="s">
        <v>21</v>
      </c>
      <c r="B542" s="4" t="s">
        <v>33</v>
      </c>
      <c r="C542" s="4" t="s">
        <v>41</v>
      </c>
      <c r="D542" s="4" t="s">
        <v>47</v>
      </c>
      <c r="E542" s="4" t="s">
        <v>25</v>
      </c>
      <c r="F542" s="4" t="s">
        <v>25</v>
      </c>
      <c r="G542" s="4" t="s">
        <v>25</v>
      </c>
      <c r="H542" s="4" t="s">
        <v>36</v>
      </c>
      <c r="I542" s="5">
        <v>43831</v>
      </c>
      <c r="J542" s="6">
        <v>722</v>
      </c>
      <c r="K542" s="71">
        <v>722</v>
      </c>
      <c r="L542" s="6">
        <v>328.46</v>
      </c>
      <c r="M542" s="71">
        <v>328.46</v>
      </c>
      <c r="N542" s="6">
        <v>328.46</v>
      </c>
      <c r="O542" s="71">
        <v>328.46</v>
      </c>
      <c r="P542" s="6">
        <v>0</v>
      </c>
      <c r="Q542" s="4" t="s">
        <v>26</v>
      </c>
      <c r="R542" s="4">
        <v>0</v>
      </c>
      <c r="S542" s="6">
        <v>22</v>
      </c>
      <c r="T542" s="6">
        <v>23</v>
      </c>
      <c r="U542" s="6">
        <v>82</v>
      </c>
      <c r="V542" s="71">
        <f>IF(ISERROR(VLOOKUP($S$542,'TAR FIN'!$A$1:$O$120,15,0)),0,VLOOKUP($S$542,'TAR FIN'!$A$1:$O$120,15,0))*(1-0.08)</f>
        <v>8.1052</v>
      </c>
      <c r="W542" s="71">
        <f>IF(ISERROR(VLOOKUP($T$542,'TAR FIN'!$A$1:$O$120,15,0)),0,VLOOKUP($T$542,'TAR FIN'!$A$1:$O$120,15,0))*(1-0.08)</f>
        <v>77.694000000000003</v>
      </c>
      <c r="X542" s="71">
        <f>IF(ISERROR(VLOOKUP($U$542,'TAR FIN'!$A$1:$O$120,15,0)),0,VLOOKUP($U$542,'TAR FIN'!$A$1:$O$120,15,0))*(1-0.08)</f>
        <v>235.86960000000002</v>
      </c>
      <c r="Y542" s="71">
        <f ca="1">('TUSD BE'!$AM$28+'TUSD BF'!$AM$28+'TUSD CVA'!$AM$28)*1*(1-0.06)</f>
        <v>10.765215249734004</v>
      </c>
      <c r="Z542" s="71">
        <f ca="1">('TUSD BE'!$AM$29+'TUSD BF'!$AM$29+'TUSD CVA'!$AM$29)*1*(1-0.06)</f>
        <v>82.268200247339408</v>
      </c>
      <c r="AA542" s="71">
        <f>('TE BE'!$AA$11+'TE BF'!$AA$11+'TE CVA'!$AA$11)*1*(1-0.06)</f>
        <v>216.98415684477786</v>
      </c>
      <c r="AB542" s="6">
        <f>$K$542*$V$542</f>
        <v>5851.9543999999996</v>
      </c>
      <c r="AC542" s="6">
        <f>$M$542*$W$542</f>
        <v>25519.37124</v>
      </c>
      <c r="AD542" s="6">
        <f>$O$542*$X$542</f>
        <v>77473.728816000003</v>
      </c>
      <c r="AE542" s="6">
        <f ca="1">$K$542*$Y$542</f>
        <v>7772.4854103079506</v>
      </c>
      <c r="AF542" s="6">
        <f ca="1">$M$542*$Z$542</f>
        <v>27021.813053241101</v>
      </c>
      <c r="AG542" s="6">
        <f>$O$542*$AA$542</f>
        <v>71270.616157235723</v>
      </c>
    </row>
    <row r="543" spans="1:33" ht="11.25" customHeight="1" x14ac:dyDescent="0.25">
      <c r="A543" s="4" t="s">
        <v>21</v>
      </c>
      <c r="B543" s="4" t="s">
        <v>33</v>
      </c>
      <c r="C543" s="4" t="s">
        <v>41</v>
      </c>
      <c r="D543" s="4" t="s">
        <v>47</v>
      </c>
      <c r="E543" s="4" t="s">
        <v>25</v>
      </c>
      <c r="F543" s="4" t="s">
        <v>25</v>
      </c>
      <c r="G543" s="4" t="s">
        <v>25</v>
      </c>
      <c r="H543" s="4" t="s">
        <v>36</v>
      </c>
      <c r="I543" s="5">
        <v>43862</v>
      </c>
      <c r="J543" s="6">
        <v>777</v>
      </c>
      <c r="K543" s="71">
        <v>777</v>
      </c>
      <c r="L543" s="6">
        <v>318.10399999999998</v>
      </c>
      <c r="M543" s="71">
        <v>318.10399999999998</v>
      </c>
      <c r="N543" s="6">
        <v>318.10399999999998</v>
      </c>
      <c r="O543" s="71">
        <v>318.10399999999998</v>
      </c>
      <c r="P543" s="6">
        <v>0</v>
      </c>
      <c r="Q543" s="4" t="s">
        <v>26</v>
      </c>
      <c r="R543" s="4">
        <v>0</v>
      </c>
      <c r="S543" s="6">
        <v>22</v>
      </c>
      <c r="T543" s="6">
        <v>23</v>
      </c>
      <c r="U543" s="6">
        <v>82</v>
      </c>
      <c r="V543" s="71">
        <f>IF(ISERROR(VLOOKUP($S$543,'TAR FIN'!$A$1:$O$120,15,0)),0,VLOOKUP($S$543,'TAR FIN'!$A$1:$O$120,15,0))*(1-0.08)</f>
        <v>8.1052</v>
      </c>
      <c r="W543" s="71">
        <f>IF(ISERROR(VLOOKUP($T$543,'TAR FIN'!$A$1:$O$120,15,0)),0,VLOOKUP($T$543,'TAR FIN'!$A$1:$O$120,15,0))*(1-0.08)</f>
        <v>77.694000000000003</v>
      </c>
      <c r="X543" s="71">
        <f>IF(ISERROR(VLOOKUP($U$543,'TAR FIN'!$A$1:$O$120,15,0)),0,VLOOKUP($U$543,'TAR FIN'!$A$1:$O$120,15,0))*(1-0.08)</f>
        <v>235.86960000000002</v>
      </c>
      <c r="Y543" s="71">
        <f ca="1">('TUSD BE'!$AM$28+'TUSD BF'!$AM$28+'TUSD CVA'!$AM$28)*1*(1-0.06)</f>
        <v>10.765215249734004</v>
      </c>
      <c r="Z543" s="71">
        <f ca="1">('TUSD BE'!$AM$29+'TUSD BF'!$AM$29+'TUSD CVA'!$AM$29)*1*(1-0.06)</f>
        <v>82.268200247339408</v>
      </c>
      <c r="AA543" s="71">
        <f>('TE BE'!$AA$11+'TE BF'!$AA$11+'TE CVA'!$AA$11)*1*(1-0.06)</f>
        <v>216.98415684477786</v>
      </c>
      <c r="AB543" s="6">
        <f>$K$543*$V$543</f>
        <v>6297.7403999999997</v>
      </c>
      <c r="AC543" s="6">
        <f>$M$543*$W$543</f>
        <v>24714.772175999999</v>
      </c>
      <c r="AD543" s="6">
        <f>$O$543*$X$543</f>
        <v>75031.063238400006</v>
      </c>
      <c r="AE543" s="6">
        <f ca="1">$K$543*$Y$543</f>
        <v>8364.57224904332</v>
      </c>
      <c r="AF543" s="6">
        <f ca="1">$M$543*$Z$543</f>
        <v>26169.843571479654</v>
      </c>
      <c r="AG543" s="6">
        <f>$O$543*$AA$543</f>
        <v>69023.528228951211</v>
      </c>
    </row>
    <row r="544" spans="1:33" ht="11.25" customHeight="1" x14ac:dyDescent="0.25">
      <c r="A544" s="4" t="s">
        <v>21</v>
      </c>
      <c r="B544" s="4" t="s">
        <v>33</v>
      </c>
      <c r="C544" s="4" t="s">
        <v>41</v>
      </c>
      <c r="D544" s="4" t="s">
        <v>47</v>
      </c>
      <c r="E544" s="4" t="s">
        <v>25</v>
      </c>
      <c r="F544" s="4" t="s">
        <v>25</v>
      </c>
      <c r="G544" s="4" t="s">
        <v>25</v>
      </c>
      <c r="H544" s="4" t="s">
        <v>36</v>
      </c>
      <c r="I544" s="5">
        <v>43891</v>
      </c>
      <c r="J544" s="6">
        <v>825</v>
      </c>
      <c r="K544" s="71">
        <v>825</v>
      </c>
      <c r="L544" s="6">
        <v>318.88499999999999</v>
      </c>
      <c r="M544" s="71">
        <v>318.88499999999999</v>
      </c>
      <c r="N544" s="6">
        <v>318.88499999999999</v>
      </c>
      <c r="O544" s="71">
        <v>318.88499999999999</v>
      </c>
      <c r="P544" s="6">
        <v>0</v>
      </c>
      <c r="Q544" s="4" t="s">
        <v>26</v>
      </c>
      <c r="R544" s="4">
        <v>0</v>
      </c>
      <c r="S544" s="6">
        <v>22</v>
      </c>
      <c r="T544" s="6">
        <v>23</v>
      </c>
      <c r="U544" s="6">
        <v>82</v>
      </c>
      <c r="V544" s="71">
        <f>IF(ISERROR(VLOOKUP($S$544,'TAR FIN'!$A$1:$O$120,15,0)),0,VLOOKUP($S$544,'TAR FIN'!$A$1:$O$120,15,0))*(1-0.08)</f>
        <v>8.1052</v>
      </c>
      <c r="W544" s="71">
        <f>IF(ISERROR(VLOOKUP($T$544,'TAR FIN'!$A$1:$O$120,15,0)),0,VLOOKUP($T$544,'TAR FIN'!$A$1:$O$120,15,0))*(1-0.08)</f>
        <v>77.694000000000003</v>
      </c>
      <c r="X544" s="71">
        <f>IF(ISERROR(VLOOKUP($U$544,'TAR FIN'!$A$1:$O$120,15,0)),0,VLOOKUP($U$544,'TAR FIN'!$A$1:$O$120,15,0))*(1-0.08)</f>
        <v>235.86960000000002</v>
      </c>
      <c r="Y544" s="71">
        <f ca="1">('TUSD BE'!$AM$28+'TUSD BF'!$AM$28+'TUSD CVA'!$AM$28)*1*(1-0.06)</f>
        <v>10.765215249734004</v>
      </c>
      <c r="Z544" s="71">
        <f ca="1">('TUSD BE'!$AM$29+'TUSD BF'!$AM$29+'TUSD CVA'!$AM$29)*1*(1-0.06)</f>
        <v>82.268200247339408</v>
      </c>
      <c r="AA544" s="71">
        <f>('TE BE'!$AA$11+'TE BF'!$AA$11+'TE CVA'!$AA$11)*1*(1-0.06)</f>
        <v>216.98415684477786</v>
      </c>
      <c r="AB544" s="6">
        <f>$K$544*$V$544</f>
        <v>6686.79</v>
      </c>
      <c r="AC544" s="6">
        <f>$M$544*$W$544</f>
        <v>24775.45119</v>
      </c>
      <c r="AD544" s="6">
        <f>$O$544*$X$544</f>
        <v>75215.277396000005</v>
      </c>
      <c r="AE544" s="6">
        <f ca="1">$K$544*$Y$544</f>
        <v>8881.3025810305535</v>
      </c>
      <c r="AF544" s="6">
        <f ca="1">$M$544*$Z$544</f>
        <v>26234.095035872826</v>
      </c>
      <c r="AG544" s="6">
        <f>$O$544*$AA$544</f>
        <v>69192.992855446981</v>
      </c>
    </row>
    <row r="545" spans="1:33" ht="11.25" customHeight="1" x14ac:dyDescent="0.25">
      <c r="A545" s="4" t="s">
        <v>21</v>
      </c>
      <c r="B545" s="4" t="s">
        <v>33</v>
      </c>
      <c r="C545" s="4" t="s">
        <v>41</v>
      </c>
      <c r="D545" s="4" t="s">
        <v>47</v>
      </c>
      <c r="E545" s="4" t="s">
        <v>25</v>
      </c>
      <c r="F545" s="4" t="s">
        <v>25</v>
      </c>
      <c r="G545" s="4" t="s">
        <v>25</v>
      </c>
      <c r="H545" s="4" t="s">
        <v>36</v>
      </c>
      <c r="I545" s="5">
        <v>43922</v>
      </c>
      <c r="J545" s="6">
        <v>773</v>
      </c>
      <c r="K545" s="71">
        <v>773</v>
      </c>
      <c r="L545" s="6">
        <v>327.36700000000002</v>
      </c>
      <c r="M545" s="71">
        <v>327.36700000000002</v>
      </c>
      <c r="N545" s="6">
        <v>327.36700000000002</v>
      </c>
      <c r="O545" s="71">
        <v>327.36700000000002</v>
      </c>
      <c r="P545" s="6">
        <v>0</v>
      </c>
      <c r="Q545" s="4" t="s">
        <v>26</v>
      </c>
      <c r="R545" s="4">
        <v>0</v>
      </c>
      <c r="S545" s="6">
        <v>22</v>
      </c>
      <c r="T545" s="6">
        <v>23</v>
      </c>
      <c r="U545" s="6">
        <v>82</v>
      </c>
      <c r="V545" s="71">
        <f>IF(ISERROR(VLOOKUP($S$545,'TAR FIN'!$A$1:$O$120,15,0)),0,VLOOKUP($S$545,'TAR FIN'!$A$1:$O$120,15,0))*(1-0.08)</f>
        <v>8.1052</v>
      </c>
      <c r="W545" s="71">
        <f>IF(ISERROR(VLOOKUP($T$545,'TAR FIN'!$A$1:$O$120,15,0)),0,VLOOKUP($T$545,'TAR FIN'!$A$1:$O$120,15,0))*(1-0.08)</f>
        <v>77.694000000000003</v>
      </c>
      <c r="X545" s="71">
        <f>IF(ISERROR(VLOOKUP($U$545,'TAR FIN'!$A$1:$O$120,15,0)),0,VLOOKUP($U$545,'TAR FIN'!$A$1:$O$120,15,0))*(1-0.08)</f>
        <v>235.86960000000002</v>
      </c>
      <c r="Y545" s="71">
        <f ca="1">('TUSD BE'!$AM$28+'TUSD BF'!$AM$28+'TUSD CVA'!$AM$28)*1*(1-0.06)</f>
        <v>10.765215249734004</v>
      </c>
      <c r="Z545" s="71">
        <f ca="1">('TUSD BE'!$AM$29+'TUSD BF'!$AM$29+'TUSD CVA'!$AM$29)*1*(1-0.06)</f>
        <v>82.268200247339408</v>
      </c>
      <c r="AA545" s="71">
        <f>('TE BE'!$AA$11+'TE BF'!$AA$11+'TE CVA'!$AA$11)*1*(1-0.06)</f>
        <v>216.98415684477786</v>
      </c>
      <c r="AB545" s="6">
        <f>$K$545*$V$545</f>
        <v>6265.3195999999998</v>
      </c>
      <c r="AC545" s="6">
        <f>$M$545*$W$545</f>
        <v>25434.451698000001</v>
      </c>
      <c r="AD545" s="6">
        <f>$O$545*$X$545</f>
        <v>77215.923343200004</v>
      </c>
      <c r="AE545" s="6">
        <f ca="1">$K$545*$Y$545</f>
        <v>8321.5113880443841</v>
      </c>
      <c r="AF545" s="6">
        <f ca="1">$M$545*$Z$545</f>
        <v>26931.89391037076</v>
      </c>
      <c r="AG545" s="6">
        <f>$O$545*$AA$545</f>
        <v>71033.452473804398</v>
      </c>
    </row>
    <row r="546" spans="1:33" ht="11.25" customHeight="1" x14ac:dyDescent="0.25">
      <c r="A546" s="4" t="s">
        <v>21</v>
      </c>
      <c r="B546" s="4" t="s">
        <v>33</v>
      </c>
      <c r="C546" s="4" t="s">
        <v>41</v>
      </c>
      <c r="D546" s="4" t="s">
        <v>47</v>
      </c>
      <c r="E546" s="4" t="s">
        <v>25</v>
      </c>
      <c r="F546" s="4" t="s">
        <v>25</v>
      </c>
      <c r="G546" s="4" t="s">
        <v>25</v>
      </c>
      <c r="H546" s="4" t="s">
        <v>36</v>
      </c>
      <c r="I546" s="5">
        <v>43952</v>
      </c>
      <c r="J546" s="6">
        <v>775</v>
      </c>
      <c r="K546" s="71">
        <v>775</v>
      </c>
      <c r="L546" s="6">
        <v>275.20100000000002</v>
      </c>
      <c r="M546" s="71">
        <v>275.20100000000002</v>
      </c>
      <c r="N546" s="6">
        <v>275.20100000000002</v>
      </c>
      <c r="O546" s="71">
        <v>275.20100000000002</v>
      </c>
      <c r="P546" s="6">
        <v>0</v>
      </c>
      <c r="Q546" s="4" t="s">
        <v>26</v>
      </c>
      <c r="R546" s="4">
        <v>0</v>
      </c>
      <c r="S546" s="6">
        <v>22</v>
      </c>
      <c r="T546" s="6">
        <v>23</v>
      </c>
      <c r="U546" s="6">
        <v>82</v>
      </c>
      <c r="V546" s="71">
        <f>IF(ISERROR(VLOOKUP($S$546,'TAR FIN'!$A$1:$O$120,15,0)),0,VLOOKUP($S$546,'TAR FIN'!$A$1:$O$120,15,0))*(1-0.08)</f>
        <v>8.1052</v>
      </c>
      <c r="W546" s="71">
        <f>IF(ISERROR(VLOOKUP($T$546,'TAR FIN'!$A$1:$O$120,15,0)),0,VLOOKUP($T$546,'TAR FIN'!$A$1:$O$120,15,0))*(1-0.08)</f>
        <v>77.694000000000003</v>
      </c>
      <c r="X546" s="71">
        <f>IF(ISERROR(VLOOKUP($U$546,'TAR FIN'!$A$1:$O$120,15,0)),0,VLOOKUP($U$546,'TAR FIN'!$A$1:$O$120,15,0))*(1-0.08)</f>
        <v>235.86960000000002</v>
      </c>
      <c r="Y546" s="71">
        <f ca="1">('TUSD BE'!$AM$28+'TUSD BF'!$AM$28+'TUSD CVA'!$AM$28)*1*(1-0.06)</f>
        <v>10.765215249734004</v>
      </c>
      <c r="Z546" s="71">
        <f ca="1">('TUSD BE'!$AM$29+'TUSD BF'!$AM$29+'TUSD CVA'!$AM$29)*1*(1-0.06)</f>
        <v>82.268200247339408</v>
      </c>
      <c r="AA546" s="71">
        <f>('TE BE'!$AA$11+'TE BF'!$AA$11+'TE CVA'!$AA$11)*1*(1-0.06)</f>
        <v>216.98415684477786</v>
      </c>
      <c r="AB546" s="6">
        <f>$K$546*$V$546</f>
        <v>6281.53</v>
      </c>
      <c r="AC546" s="6">
        <f>$M$546*$W$546</f>
        <v>21381.466494000004</v>
      </c>
      <c r="AD546" s="6">
        <f>$O$546*$X$546</f>
        <v>64911.549789600009</v>
      </c>
      <c r="AE546" s="6">
        <f ca="1">$K$546*$Y$546</f>
        <v>8343.0418185438521</v>
      </c>
      <c r="AF546" s="6">
        <f ca="1">$M$546*$Z$546</f>
        <v>22640.290976268054</v>
      </c>
      <c r="AG546" s="6">
        <f>$O$546*$AA$546</f>
        <v>59714.256947839713</v>
      </c>
    </row>
    <row r="547" spans="1:33" ht="11.25" customHeight="1" x14ac:dyDescent="0.25">
      <c r="A547" s="4" t="s">
        <v>21</v>
      </c>
      <c r="B547" s="4" t="s">
        <v>33</v>
      </c>
      <c r="C547" s="4" t="s">
        <v>41</v>
      </c>
      <c r="D547" s="4" t="s">
        <v>47</v>
      </c>
      <c r="E547" s="4" t="s">
        <v>25</v>
      </c>
      <c r="F547" s="4" t="s">
        <v>25</v>
      </c>
      <c r="G547" s="4" t="s">
        <v>25</v>
      </c>
      <c r="H547" s="4" t="s">
        <v>36</v>
      </c>
      <c r="I547" s="5">
        <v>43983</v>
      </c>
      <c r="J547" s="6">
        <v>798</v>
      </c>
      <c r="K547" s="71">
        <v>798</v>
      </c>
      <c r="L547" s="6">
        <v>329.52300000000002</v>
      </c>
      <c r="M547" s="71">
        <v>329.52300000000002</v>
      </c>
      <c r="N547" s="6">
        <v>329.52300000000002</v>
      </c>
      <c r="O547" s="71">
        <v>329.52300000000002</v>
      </c>
      <c r="P547" s="6">
        <v>0</v>
      </c>
      <c r="Q547" s="4" t="s">
        <v>26</v>
      </c>
      <c r="R547" s="4">
        <v>0</v>
      </c>
      <c r="S547" s="6">
        <v>22</v>
      </c>
      <c r="T547" s="6">
        <v>23</v>
      </c>
      <c r="U547" s="6">
        <v>82</v>
      </c>
      <c r="V547" s="71">
        <f>IF(ISERROR(VLOOKUP($S$547,'TAR FIN'!$A$1:$O$120,15,0)),0,VLOOKUP($S$547,'TAR FIN'!$A$1:$O$120,15,0))*(1-0.08)</f>
        <v>8.1052</v>
      </c>
      <c r="W547" s="71">
        <f>IF(ISERROR(VLOOKUP($T$547,'TAR FIN'!$A$1:$O$120,15,0)),0,VLOOKUP($T$547,'TAR FIN'!$A$1:$O$120,15,0))*(1-0.08)</f>
        <v>77.694000000000003</v>
      </c>
      <c r="X547" s="71">
        <f>IF(ISERROR(VLOOKUP($U$547,'TAR FIN'!$A$1:$O$120,15,0)),0,VLOOKUP($U$547,'TAR FIN'!$A$1:$O$120,15,0))*(1-0.08)</f>
        <v>235.86960000000002</v>
      </c>
      <c r="Y547" s="71">
        <f ca="1">('TUSD BE'!$AM$28+'TUSD BF'!$AM$28+'TUSD CVA'!$AM$28)*1*(1-0.06)</f>
        <v>10.765215249734004</v>
      </c>
      <c r="Z547" s="71">
        <f ca="1">('TUSD BE'!$AM$29+'TUSD BF'!$AM$29+'TUSD CVA'!$AM$29)*1*(1-0.06)</f>
        <v>82.268200247339408</v>
      </c>
      <c r="AA547" s="71">
        <f>('TE BE'!$AA$11+'TE BF'!$AA$11+'TE CVA'!$AA$11)*1*(1-0.06)</f>
        <v>216.98415684477786</v>
      </c>
      <c r="AB547" s="6">
        <f>$K$547*$V$547</f>
        <v>6467.9495999999999</v>
      </c>
      <c r="AC547" s="6">
        <f>$M$547*$W$547</f>
        <v>25601.959962000004</v>
      </c>
      <c r="AD547" s="6">
        <f>$O$547*$X$547</f>
        <v>77724.458200800014</v>
      </c>
      <c r="AE547" s="6">
        <f ca="1">$K$547*$Y$547</f>
        <v>8590.6417692877349</v>
      </c>
      <c r="AF547" s="6">
        <f ca="1">$M$547*$Z$547</f>
        <v>27109.264150104027</v>
      </c>
      <c r="AG547" s="6">
        <f>$O$547*$AA$547</f>
        <v>71501.270315961738</v>
      </c>
    </row>
    <row r="548" spans="1:33" ht="11.25" customHeight="1" x14ac:dyDescent="0.25">
      <c r="A548" s="4" t="s">
        <v>21</v>
      </c>
      <c r="B548" s="4" t="s">
        <v>33</v>
      </c>
      <c r="C548" s="4" t="s">
        <v>41</v>
      </c>
      <c r="D548" s="4" t="s">
        <v>47</v>
      </c>
      <c r="E548" s="4" t="s">
        <v>25</v>
      </c>
      <c r="F548" s="4" t="s">
        <v>25</v>
      </c>
      <c r="G548" s="4" t="s">
        <v>25</v>
      </c>
      <c r="H548" s="4" t="s">
        <v>36</v>
      </c>
      <c r="I548" s="5">
        <v>44013</v>
      </c>
      <c r="J548" s="6">
        <v>606</v>
      </c>
      <c r="K548" s="71">
        <v>606</v>
      </c>
      <c r="L548" s="6">
        <v>215.73699999999999</v>
      </c>
      <c r="M548" s="71">
        <v>215.73699999999999</v>
      </c>
      <c r="N548" s="6">
        <v>215.73699999999999</v>
      </c>
      <c r="O548" s="71">
        <v>215.73699999999999</v>
      </c>
      <c r="P548" s="6">
        <v>0</v>
      </c>
      <c r="Q548" s="4" t="s">
        <v>26</v>
      </c>
      <c r="R548" s="4">
        <v>0</v>
      </c>
      <c r="S548" s="6">
        <v>22</v>
      </c>
      <c r="T548" s="6">
        <v>23</v>
      </c>
      <c r="U548" s="6">
        <v>82</v>
      </c>
      <c r="V548" s="71">
        <f>IF(ISERROR(VLOOKUP($S$548,'TAR FIN'!$A$1:$O$120,15,0)),0,VLOOKUP($S$548,'TAR FIN'!$A$1:$O$120,15,0))*(1-0.08)</f>
        <v>8.1052</v>
      </c>
      <c r="W548" s="71">
        <f>IF(ISERROR(VLOOKUP($T$548,'TAR FIN'!$A$1:$O$120,15,0)),0,VLOOKUP($T$548,'TAR FIN'!$A$1:$O$120,15,0))*(1-0.08)</f>
        <v>77.694000000000003</v>
      </c>
      <c r="X548" s="71">
        <f>IF(ISERROR(VLOOKUP($U$548,'TAR FIN'!$A$1:$O$120,15,0)),0,VLOOKUP($U$548,'TAR FIN'!$A$1:$O$120,15,0))*(1-0.08)</f>
        <v>235.86960000000002</v>
      </c>
      <c r="Y548" s="71">
        <f ca="1">('TUSD BE'!$AM$28+'TUSD BF'!$AM$28+'TUSD CVA'!$AM$28)*1*(1-0.06)</f>
        <v>10.765215249734004</v>
      </c>
      <c r="Z548" s="71">
        <f ca="1">('TUSD BE'!$AM$29+'TUSD BF'!$AM$29+'TUSD CVA'!$AM$29)*1*(1-0.06)</f>
        <v>82.268200247339408</v>
      </c>
      <c r="AA548" s="71">
        <f>('TE BE'!$AA$11+'TE BF'!$AA$11+'TE CVA'!$AA$11)*1*(1-0.06)</f>
        <v>216.98415684477786</v>
      </c>
      <c r="AB548" s="6">
        <f>$K$548*$V$548</f>
        <v>4911.7511999999997</v>
      </c>
      <c r="AC548" s="6">
        <f>$M$548*$W$548</f>
        <v>16761.470477999999</v>
      </c>
      <c r="AD548" s="6">
        <f>$O$548*$X$548</f>
        <v>50885.799895200005</v>
      </c>
      <c r="AE548" s="6">
        <f ca="1">$K$548*$Y$548</f>
        <v>6523.7204413388063</v>
      </c>
      <c r="AF548" s="6">
        <f ca="1">$M$548*$Z$548</f>
        <v>17748.294716760262</v>
      </c>
      <c r="AG548" s="6">
        <f>$O$548*$AA$548</f>
        <v>46811.511045221836</v>
      </c>
    </row>
    <row r="549" spans="1:33" ht="11.25" customHeight="1" x14ac:dyDescent="0.25">
      <c r="A549" s="4" t="s">
        <v>27</v>
      </c>
      <c r="B549" s="4" t="s">
        <v>33</v>
      </c>
      <c r="C549" s="4" t="s">
        <v>41</v>
      </c>
      <c r="D549" s="4" t="s">
        <v>47</v>
      </c>
      <c r="E549" s="4" t="s">
        <v>25</v>
      </c>
      <c r="F549" s="4" t="s">
        <v>25</v>
      </c>
      <c r="G549" s="4" t="s">
        <v>25</v>
      </c>
      <c r="H549" s="4" t="s">
        <v>36</v>
      </c>
      <c r="I549" s="5">
        <v>44013</v>
      </c>
      <c r="J549" s="6">
        <v>245</v>
      </c>
      <c r="K549" s="71">
        <v>245</v>
      </c>
      <c r="L549" s="6">
        <v>0</v>
      </c>
      <c r="M549" s="71">
        <v>0</v>
      </c>
      <c r="N549" s="6">
        <v>0</v>
      </c>
      <c r="O549" s="71">
        <v>0</v>
      </c>
      <c r="P549" s="6">
        <v>0</v>
      </c>
      <c r="Q549" s="4" t="s">
        <v>26</v>
      </c>
      <c r="R549" s="4">
        <v>0</v>
      </c>
      <c r="S549" s="6">
        <v>22</v>
      </c>
      <c r="T549" s="6">
        <v>0</v>
      </c>
      <c r="U549" s="6">
        <v>0</v>
      </c>
      <c r="V549" s="71">
        <f>IF(ISERROR(VLOOKUP($S$549,'TAR FIN'!$A$1:$O$120,15,0)),0,VLOOKUP($S$549,'TAR FIN'!$A$1:$O$120,15,0))*(1-0.08)</f>
        <v>8.1052</v>
      </c>
      <c r="W549" s="71">
        <f>IF(ISERROR(VLOOKUP($T$549,'TAR FIN'!$A$1:$O$120,15,0)),0,VLOOKUP($T$549,'TAR FIN'!$A$1:$O$120,15,0))*(1-0.08)</f>
        <v>0</v>
      </c>
      <c r="X549" s="71">
        <f>IF(ISERROR(VLOOKUP($U$549,'TAR FIN'!$A$1:$O$120,15,0)),0,VLOOKUP($U$549,'TAR FIN'!$A$1:$O$120,15,0))*(1-0.08)</f>
        <v>0</v>
      </c>
      <c r="Y549" s="71">
        <f ca="1">('TUSD BE'!$AM$28+'TUSD BF'!$AM$28+'TUSD CVA'!$AM$28)*1*(1-0.06)</f>
        <v>10.765215249734004</v>
      </c>
      <c r="Z549" s="71">
        <f ca="1">('TUSD BE'!$AM$29+'TUSD BF'!$AM$29+'TUSD CVA'!$AM$29)*1*(1-0.06)</f>
        <v>82.268200247339408</v>
      </c>
      <c r="AA549" s="71">
        <f>('TE BE'!$AA$11+'TE BF'!$AA$11+'TE CVA'!$AA$11)*1*(1-0.06)</f>
        <v>216.98415684477786</v>
      </c>
      <c r="AB549" s="6">
        <f>$K$549*$V$549</f>
        <v>1985.7739999999999</v>
      </c>
      <c r="AC549" s="6">
        <f>$M$549*$W$549</f>
        <v>0</v>
      </c>
      <c r="AD549" s="6">
        <f>$O$549*$X$549</f>
        <v>0</v>
      </c>
      <c r="AE549" s="6">
        <f ca="1">$K$549*$Y$549</f>
        <v>2637.477736184831</v>
      </c>
      <c r="AF549" s="6">
        <f ca="1">$M$549*$Z$549</f>
        <v>0</v>
      </c>
      <c r="AG549" s="6">
        <f>$O$549*$AA$549</f>
        <v>0</v>
      </c>
    </row>
    <row r="550" spans="1:33" ht="11.25" customHeight="1" x14ac:dyDescent="0.25">
      <c r="A550" s="4" t="s">
        <v>21</v>
      </c>
      <c r="B550" s="4" t="s">
        <v>33</v>
      </c>
      <c r="C550" s="4" t="s">
        <v>41</v>
      </c>
      <c r="D550" s="4" t="s">
        <v>47</v>
      </c>
      <c r="E550" s="4" t="s">
        <v>25</v>
      </c>
      <c r="F550" s="4" t="s">
        <v>25</v>
      </c>
      <c r="G550" s="4" t="s">
        <v>25</v>
      </c>
      <c r="H550" s="4" t="s">
        <v>36</v>
      </c>
      <c r="I550" s="5">
        <v>44044</v>
      </c>
      <c r="J550" s="6">
        <v>876</v>
      </c>
      <c r="K550" s="71">
        <v>876</v>
      </c>
      <c r="L550" s="6">
        <v>368.00900000000001</v>
      </c>
      <c r="M550" s="71">
        <v>368.00900000000001</v>
      </c>
      <c r="N550" s="6">
        <v>368.00900000000001</v>
      </c>
      <c r="O550" s="71">
        <v>368.00900000000001</v>
      </c>
      <c r="P550" s="6">
        <v>0</v>
      </c>
      <c r="Q550" s="4" t="s">
        <v>26</v>
      </c>
      <c r="R550" s="4">
        <v>0</v>
      </c>
      <c r="S550" s="6">
        <v>22</v>
      </c>
      <c r="T550" s="6">
        <v>23</v>
      </c>
      <c r="U550" s="6">
        <v>82</v>
      </c>
      <c r="V550" s="71">
        <f>IF(ISERROR(VLOOKUP($S$550,'TAR FIN'!$A$1:$O$120,15,0)),0,VLOOKUP($S$550,'TAR FIN'!$A$1:$O$120,15,0))*(1-0.08)</f>
        <v>8.1052</v>
      </c>
      <c r="W550" s="71">
        <f>IF(ISERROR(VLOOKUP($T$550,'TAR FIN'!$A$1:$O$120,15,0)),0,VLOOKUP($T$550,'TAR FIN'!$A$1:$O$120,15,0))*(1-0.08)</f>
        <v>77.694000000000003</v>
      </c>
      <c r="X550" s="71">
        <f>IF(ISERROR(VLOOKUP($U$550,'TAR FIN'!$A$1:$O$120,15,0)),0,VLOOKUP($U$550,'TAR FIN'!$A$1:$O$120,15,0))*(1-0.08)</f>
        <v>235.86960000000002</v>
      </c>
      <c r="Y550" s="71">
        <f ca="1">('TUSD BE'!$AM$28+'TUSD BF'!$AM$28+'TUSD CVA'!$AM$28)*1*(1-0.06)</f>
        <v>10.765215249734004</v>
      </c>
      <c r="Z550" s="71">
        <f ca="1">('TUSD BE'!$AM$29+'TUSD BF'!$AM$29+'TUSD CVA'!$AM$29)*1*(1-0.06)</f>
        <v>82.268200247339408</v>
      </c>
      <c r="AA550" s="71">
        <f>('TE BE'!$AA$11+'TE BF'!$AA$11+'TE CVA'!$AA$11)*1*(1-0.06)</f>
        <v>216.98415684477786</v>
      </c>
      <c r="AB550" s="6">
        <f>$K$550*$V$550</f>
        <v>7100.1552000000001</v>
      </c>
      <c r="AC550" s="6">
        <f>$M$550*$W$550</f>
        <v>28592.091246000004</v>
      </c>
      <c r="AD550" s="6">
        <f>$O$550*$X$550</f>
        <v>86802.135626400006</v>
      </c>
      <c r="AE550" s="6">
        <f ca="1">$K$550*$Y$550</f>
        <v>9430.328558766987</v>
      </c>
      <c r="AF550" s="6">
        <f ca="1">$M$550*$Z$550</f>
        <v>30275.43810482313</v>
      </c>
      <c r="AG550" s="6">
        <f>$O$550*$AA$550</f>
        <v>79852.122576289854</v>
      </c>
    </row>
    <row r="551" spans="1:33" ht="11.25" customHeight="1" x14ac:dyDescent="0.25">
      <c r="A551" s="4" t="s">
        <v>59</v>
      </c>
      <c r="B551" s="4" t="s">
        <v>33</v>
      </c>
      <c r="C551" s="4" t="s">
        <v>41</v>
      </c>
      <c r="D551" s="4" t="s">
        <v>47</v>
      </c>
      <c r="E551" s="4" t="s">
        <v>25</v>
      </c>
      <c r="F551" s="4" t="s">
        <v>25</v>
      </c>
      <c r="G551" s="4" t="s">
        <v>25</v>
      </c>
      <c r="H551" s="4" t="s">
        <v>36</v>
      </c>
      <c r="I551" s="5">
        <v>44075</v>
      </c>
      <c r="J551" s="6">
        <v>876</v>
      </c>
      <c r="K551" s="71">
        <v>876</v>
      </c>
      <c r="L551" s="6">
        <v>368.00900000000001</v>
      </c>
      <c r="M551" s="71">
        <v>368.00900000000001</v>
      </c>
      <c r="N551" s="6">
        <v>368.00900000000001</v>
      </c>
      <c r="O551" s="71">
        <v>368.00900000000001</v>
      </c>
      <c r="P551" s="6">
        <v>0</v>
      </c>
      <c r="Q551" s="4" t="s">
        <v>26</v>
      </c>
      <c r="R551" s="4">
        <v>0</v>
      </c>
      <c r="S551" s="6">
        <v>22</v>
      </c>
      <c r="T551" s="6">
        <v>23</v>
      </c>
      <c r="U551" s="6">
        <v>82</v>
      </c>
      <c r="V551" s="71">
        <f>IF(ISERROR(VLOOKUP($S$551,'TAR FIN'!$A$1:$O$120,15,0)),0,VLOOKUP($S$551,'TAR FIN'!$A$1:$O$120,15,0))*(1-0.08)</f>
        <v>8.1052</v>
      </c>
      <c r="W551" s="71">
        <f>IF(ISERROR(VLOOKUP($T$551,'TAR FIN'!$A$1:$O$120,15,0)),0,VLOOKUP($T$551,'TAR FIN'!$A$1:$O$120,15,0))*(1-0.08)</f>
        <v>77.694000000000003</v>
      </c>
      <c r="X551" s="71">
        <f>IF(ISERROR(VLOOKUP($U$551,'TAR FIN'!$A$1:$O$120,15,0)),0,VLOOKUP($U$551,'TAR FIN'!$A$1:$O$120,15,0))*(1-0.08)</f>
        <v>235.86960000000002</v>
      </c>
      <c r="Y551" s="71">
        <f ca="1">('TUSD BE'!$AM$28+'TUSD BF'!$AM$28+'TUSD CVA'!$AM$28)*1*(1-0.06)</f>
        <v>10.765215249734004</v>
      </c>
      <c r="Z551" s="71">
        <f ca="1">('TUSD BE'!$AM$29+'TUSD BF'!$AM$29+'TUSD CVA'!$AM$29)*1*(1-0.06)</f>
        <v>82.268200247339408</v>
      </c>
      <c r="AA551" s="71">
        <f>('TE BE'!$AA$11+'TE BF'!$AA$11+'TE CVA'!$AA$11)*1*(1-0.06)</f>
        <v>216.98415684477786</v>
      </c>
      <c r="AB551" s="6">
        <f>$K$551*$V$551</f>
        <v>7100.1552000000001</v>
      </c>
      <c r="AC551" s="6">
        <f>$M$551*$W$551</f>
        <v>28592.091246000004</v>
      </c>
      <c r="AD551" s="6">
        <f>$O$551*$X$551</f>
        <v>86802.135626400006</v>
      </c>
      <c r="AE551" s="6">
        <f ca="1">$K$551*$Y$551</f>
        <v>9430.328558766987</v>
      </c>
      <c r="AF551" s="6">
        <f ca="1">$M$551*$Z$551</f>
        <v>30275.43810482313</v>
      </c>
      <c r="AG551" s="6">
        <f>$O$551*$AA$551</f>
        <v>79852.122576289854</v>
      </c>
    </row>
    <row r="552" spans="1:33" ht="11.25" customHeight="1" x14ac:dyDescent="0.25">
      <c r="A552" s="4" t="s">
        <v>21</v>
      </c>
      <c r="B552" s="4" t="s">
        <v>33</v>
      </c>
      <c r="C552" s="4" t="s">
        <v>41</v>
      </c>
      <c r="D552" s="4" t="s">
        <v>47</v>
      </c>
      <c r="E552" s="4" t="s">
        <v>25</v>
      </c>
      <c r="F552" s="4" t="s">
        <v>25</v>
      </c>
      <c r="G552" s="4" t="s">
        <v>25</v>
      </c>
      <c r="H552" s="4" t="s">
        <v>35</v>
      </c>
      <c r="I552" s="5">
        <v>43739</v>
      </c>
      <c r="J552" s="6">
        <v>704</v>
      </c>
      <c r="K552" s="71">
        <v>704</v>
      </c>
      <c r="L552" s="6">
        <v>34.075000000000003</v>
      </c>
      <c r="M552" s="71">
        <v>34.075000000000003</v>
      </c>
      <c r="N552" s="6">
        <v>34.075000000000003</v>
      </c>
      <c r="O552" s="71">
        <v>34.075000000000003</v>
      </c>
      <c r="P552" s="6">
        <v>0</v>
      </c>
      <c r="Q552" s="4" t="s">
        <v>26</v>
      </c>
      <c r="R552" s="4">
        <v>0</v>
      </c>
      <c r="S552" s="6">
        <v>21</v>
      </c>
      <c r="T552" s="6">
        <v>23</v>
      </c>
      <c r="U552" s="6">
        <v>81</v>
      </c>
      <c r="V552" s="71">
        <f>IF(ISERROR(VLOOKUP($S$552,'TAR FIN'!$A$1:$O$120,15,0)),0,VLOOKUP($S$552,'TAR FIN'!$A$1:$O$120,15,0))*(1-0.08)</f>
        <v>21.104800000000001</v>
      </c>
      <c r="W552" s="71">
        <f>IF(ISERROR(VLOOKUP($T$552,'TAR FIN'!$A$1:$O$120,15,0)),0,VLOOKUP($T$552,'TAR FIN'!$A$1:$O$120,15,0))*(1-0.08)</f>
        <v>77.694000000000003</v>
      </c>
      <c r="X552" s="71">
        <f>IF(ISERROR(VLOOKUP($U$552,'TAR FIN'!$A$1:$O$120,15,0)),0,VLOOKUP($U$552,'TAR FIN'!$A$1:$O$120,15,0))*(1-0.08)</f>
        <v>396.40040000000005</v>
      </c>
      <c r="Y552" s="71">
        <f ca="1">('TUSD BE'!$AM$27+'TUSD BF'!$AM$27+'TUSD CVA'!$AM$27)*1*(1-0.06)</f>
        <v>25.583306204875544</v>
      </c>
      <c r="Z552" s="71">
        <f ca="1">('TUSD BE'!$AM$29+'TUSD BF'!$AM$29+'TUSD CVA'!$AM$29)*1*(1-0.06)</f>
        <v>82.268200247339408</v>
      </c>
      <c r="AA552" s="71">
        <f>('TE BE'!$AA$10+'TE BF'!$AA$10+'TE CVA'!$AA$10)*1*(1-0.06)</f>
        <v>353.15029452578722</v>
      </c>
      <c r="AB552" s="6">
        <f>$K$552*$V$552</f>
        <v>14857.779200000001</v>
      </c>
      <c r="AC552" s="6">
        <f>$M$552*$W$552</f>
        <v>2647.4230500000003</v>
      </c>
      <c r="AD552" s="6">
        <f>$O$552*$X$552</f>
        <v>13507.343630000003</v>
      </c>
      <c r="AE552" s="6">
        <f ca="1">$K$552*$Y$552</f>
        <v>18010.647568232383</v>
      </c>
      <c r="AF552" s="6">
        <f ca="1">$M$552*$Z$552</f>
        <v>2803.2889234280906</v>
      </c>
      <c r="AG552" s="6">
        <f>$O$552*$AA$552</f>
        <v>12033.596285966201</v>
      </c>
    </row>
    <row r="553" spans="1:33" ht="11.25" customHeight="1" x14ac:dyDescent="0.25">
      <c r="A553" s="4" t="s">
        <v>21</v>
      </c>
      <c r="B553" s="4" t="s">
        <v>33</v>
      </c>
      <c r="C553" s="4" t="s">
        <v>41</v>
      </c>
      <c r="D553" s="4" t="s">
        <v>47</v>
      </c>
      <c r="E553" s="4" t="s">
        <v>25</v>
      </c>
      <c r="F553" s="4" t="s">
        <v>25</v>
      </c>
      <c r="G553" s="4" t="s">
        <v>25</v>
      </c>
      <c r="H553" s="4" t="s">
        <v>35</v>
      </c>
      <c r="I553" s="5">
        <v>43770</v>
      </c>
      <c r="J553" s="6">
        <v>720</v>
      </c>
      <c r="K553" s="71">
        <v>720</v>
      </c>
      <c r="L553" s="6">
        <v>32.393000000000001</v>
      </c>
      <c r="M553" s="71">
        <v>32.393000000000001</v>
      </c>
      <c r="N553" s="6">
        <v>32.393000000000001</v>
      </c>
      <c r="O553" s="71">
        <v>32.393000000000001</v>
      </c>
      <c r="P553" s="6">
        <v>0</v>
      </c>
      <c r="Q553" s="4" t="s">
        <v>26</v>
      </c>
      <c r="R553" s="4">
        <v>0</v>
      </c>
      <c r="S553" s="6">
        <v>21</v>
      </c>
      <c r="T553" s="6">
        <v>23</v>
      </c>
      <c r="U553" s="6">
        <v>81</v>
      </c>
      <c r="V553" s="71">
        <f>IF(ISERROR(VLOOKUP($S$553,'TAR FIN'!$A$1:$O$120,15,0)),0,VLOOKUP($S$553,'TAR FIN'!$A$1:$O$120,15,0))*(1-0.08)</f>
        <v>21.104800000000001</v>
      </c>
      <c r="W553" s="71">
        <f>IF(ISERROR(VLOOKUP($T$553,'TAR FIN'!$A$1:$O$120,15,0)),0,VLOOKUP($T$553,'TAR FIN'!$A$1:$O$120,15,0))*(1-0.08)</f>
        <v>77.694000000000003</v>
      </c>
      <c r="X553" s="71">
        <f>IF(ISERROR(VLOOKUP($U$553,'TAR FIN'!$A$1:$O$120,15,0)),0,VLOOKUP($U$553,'TAR FIN'!$A$1:$O$120,15,0))*(1-0.08)</f>
        <v>396.40040000000005</v>
      </c>
      <c r="Y553" s="71">
        <f ca="1">('TUSD BE'!$AM$27+'TUSD BF'!$AM$27+'TUSD CVA'!$AM$27)*1*(1-0.06)</f>
        <v>25.583306204875544</v>
      </c>
      <c r="Z553" s="71">
        <f ca="1">('TUSD BE'!$AM$29+'TUSD BF'!$AM$29+'TUSD CVA'!$AM$29)*1*(1-0.06)</f>
        <v>82.268200247339408</v>
      </c>
      <c r="AA553" s="71">
        <f>('TE BE'!$AA$10+'TE BF'!$AA$10+'TE CVA'!$AA$10)*1*(1-0.06)</f>
        <v>353.15029452578722</v>
      </c>
      <c r="AB553" s="6">
        <f>$K$553*$V$553</f>
        <v>15195.456</v>
      </c>
      <c r="AC553" s="6">
        <f>$M$553*$W$553</f>
        <v>2516.7417420000002</v>
      </c>
      <c r="AD553" s="6">
        <f>$O$553*$X$553</f>
        <v>12840.598157200002</v>
      </c>
      <c r="AE553" s="6">
        <f ca="1">$K$553*$Y$553</f>
        <v>18419.980467510391</v>
      </c>
      <c r="AF553" s="6">
        <f ca="1">$M$553*$Z$553</f>
        <v>2664.9138106120654</v>
      </c>
      <c r="AG553" s="6">
        <f>$O$553*$AA$553</f>
        <v>11439.597490573826</v>
      </c>
    </row>
    <row r="554" spans="1:33" ht="11.25" customHeight="1" x14ac:dyDescent="0.25">
      <c r="A554" s="4" t="s">
        <v>21</v>
      </c>
      <c r="B554" s="4" t="s">
        <v>33</v>
      </c>
      <c r="C554" s="4" t="s">
        <v>41</v>
      </c>
      <c r="D554" s="4" t="s">
        <v>47</v>
      </c>
      <c r="E554" s="4" t="s">
        <v>25</v>
      </c>
      <c r="F554" s="4" t="s">
        <v>25</v>
      </c>
      <c r="G554" s="4" t="s">
        <v>25</v>
      </c>
      <c r="H554" s="4" t="s">
        <v>35</v>
      </c>
      <c r="I554" s="5">
        <v>43800</v>
      </c>
      <c r="J554" s="6">
        <v>630</v>
      </c>
      <c r="K554" s="71">
        <v>630</v>
      </c>
      <c r="L554" s="6">
        <v>29.05</v>
      </c>
      <c r="M554" s="71">
        <v>29.05</v>
      </c>
      <c r="N554" s="6">
        <v>29.05</v>
      </c>
      <c r="O554" s="71">
        <v>29.05</v>
      </c>
      <c r="P554" s="6">
        <v>0</v>
      </c>
      <c r="Q554" s="4" t="s">
        <v>26</v>
      </c>
      <c r="R554" s="4">
        <v>0</v>
      </c>
      <c r="S554" s="6">
        <v>21</v>
      </c>
      <c r="T554" s="6">
        <v>23</v>
      </c>
      <c r="U554" s="6">
        <v>81</v>
      </c>
      <c r="V554" s="71">
        <f>IF(ISERROR(VLOOKUP($S$554,'TAR FIN'!$A$1:$O$120,15,0)),0,VLOOKUP($S$554,'TAR FIN'!$A$1:$O$120,15,0))*(1-0.08)</f>
        <v>21.104800000000001</v>
      </c>
      <c r="W554" s="71">
        <f>IF(ISERROR(VLOOKUP($T$554,'TAR FIN'!$A$1:$O$120,15,0)),0,VLOOKUP($T$554,'TAR FIN'!$A$1:$O$120,15,0))*(1-0.08)</f>
        <v>77.694000000000003</v>
      </c>
      <c r="X554" s="71">
        <f>IF(ISERROR(VLOOKUP($U$554,'TAR FIN'!$A$1:$O$120,15,0)),0,VLOOKUP($U$554,'TAR FIN'!$A$1:$O$120,15,0))*(1-0.08)</f>
        <v>396.40040000000005</v>
      </c>
      <c r="Y554" s="71">
        <f ca="1">('TUSD BE'!$AM$27+'TUSD BF'!$AM$27+'TUSD CVA'!$AM$27)*1*(1-0.06)</f>
        <v>25.583306204875544</v>
      </c>
      <c r="Z554" s="71">
        <f ca="1">('TUSD BE'!$AM$29+'TUSD BF'!$AM$29+'TUSD CVA'!$AM$29)*1*(1-0.06)</f>
        <v>82.268200247339408</v>
      </c>
      <c r="AA554" s="71">
        <f>('TE BE'!$AA$10+'TE BF'!$AA$10+'TE CVA'!$AA$10)*1*(1-0.06)</f>
        <v>353.15029452578722</v>
      </c>
      <c r="AB554" s="6">
        <f>$K$554*$V$554</f>
        <v>13296.024000000001</v>
      </c>
      <c r="AC554" s="6">
        <f>$M$554*$W$554</f>
        <v>2257.0107000000003</v>
      </c>
      <c r="AD554" s="6">
        <f>$O$554*$X$554</f>
        <v>11515.431620000001</v>
      </c>
      <c r="AE554" s="6">
        <f ca="1">$K$554*$Y$554</f>
        <v>16117.482909071592</v>
      </c>
      <c r="AF554" s="6">
        <f ca="1">$M$554*$Z$554</f>
        <v>2389.8912171852098</v>
      </c>
      <c r="AG554" s="6">
        <f>$O$554*$AA$554</f>
        <v>10259.01605597412</v>
      </c>
    </row>
    <row r="555" spans="1:33" ht="11.25" customHeight="1" x14ac:dyDescent="0.25">
      <c r="A555" s="4" t="s">
        <v>21</v>
      </c>
      <c r="B555" s="4" t="s">
        <v>33</v>
      </c>
      <c r="C555" s="4" t="s">
        <v>41</v>
      </c>
      <c r="D555" s="4" t="s">
        <v>47</v>
      </c>
      <c r="E555" s="4" t="s">
        <v>25</v>
      </c>
      <c r="F555" s="4" t="s">
        <v>25</v>
      </c>
      <c r="G555" s="4" t="s">
        <v>25</v>
      </c>
      <c r="H555" s="4" t="s">
        <v>35</v>
      </c>
      <c r="I555" s="5">
        <v>43831</v>
      </c>
      <c r="J555" s="6">
        <v>659</v>
      </c>
      <c r="K555" s="71">
        <v>659</v>
      </c>
      <c r="L555" s="6">
        <v>29.417000000000002</v>
      </c>
      <c r="M555" s="71">
        <v>29.417000000000002</v>
      </c>
      <c r="N555" s="6">
        <v>29.417000000000002</v>
      </c>
      <c r="O555" s="71">
        <v>29.417000000000002</v>
      </c>
      <c r="P555" s="6">
        <v>0</v>
      </c>
      <c r="Q555" s="4" t="s">
        <v>26</v>
      </c>
      <c r="R555" s="4">
        <v>0</v>
      </c>
      <c r="S555" s="6">
        <v>21</v>
      </c>
      <c r="T555" s="6">
        <v>23</v>
      </c>
      <c r="U555" s="6">
        <v>81</v>
      </c>
      <c r="V555" s="71">
        <f>IF(ISERROR(VLOOKUP($S$555,'TAR FIN'!$A$1:$O$120,15,0)),0,VLOOKUP($S$555,'TAR FIN'!$A$1:$O$120,15,0))*(1-0.08)</f>
        <v>21.104800000000001</v>
      </c>
      <c r="W555" s="71">
        <f>IF(ISERROR(VLOOKUP($T$555,'TAR FIN'!$A$1:$O$120,15,0)),0,VLOOKUP($T$555,'TAR FIN'!$A$1:$O$120,15,0))*(1-0.08)</f>
        <v>77.694000000000003</v>
      </c>
      <c r="X555" s="71">
        <f>IF(ISERROR(VLOOKUP($U$555,'TAR FIN'!$A$1:$O$120,15,0)),0,VLOOKUP($U$555,'TAR FIN'!$A$1:$O$120,15,0))*(1-0.08)</f>
        <v>396.40040000000005</v>
      </c>
      <c r="Y555" s="71">
        <f ca="1">('TUSD BE'!$AM$27+'TUSD BF'!$AM$27+'TUSD CVA'!$AM$27)*1*(1-0.06)</f>
        <v>25.583306204875544</v>
      </c>
      <c r="Z555" s="71">
        <f ca="1">('TUSD BE'!$AM$29+'TUSD BF'!$AM$29+'TUSD CVA'!$AM$29)*1*(1-0.06)</f>
        <v>82.268200247339408</v>
      </c>
      <c r="AA555" s="71">
        <f>('TE BE'!$AA$10+'TE BF'!$AA$10+'TE CVA'!$AA$10)*1*(1-0.06)</f>
        <v>353.15029452578722</v>
      </c>
      <c r="AB555" s="6">
        <f>$K$555*$V$555</f>
        <v>13908.063200000001</v>
      </c>
      <c r="AC555" s="6">
        <f>$M$555*$W$555</f>
        <v>2285.524398</v>
      </c>
      <c r="AD555" s="6">
        <f>$O$555*$X$555</f>
        <v>11660.910566800003</v>
      </c>
      <c r="AE555" s="6">
        <f ca="1">$K$555*$Y$555</f>
        <v>16859.398789012983</v>
      </c>
      <c r="AF555" s="6">
        <f ca="1">$M$555*$Z$555</f>
        <v>2420.0836466759833</v>
      </c>
      <c r="AG555" s="6">
        <f>$O$555*$AA$555</f>
        <v>10388.622214065083</v>
      </c>
    </row>
    <row r="556" spans="1:33" ht="11.25" customHeight="1" x14ac:dyDescent="0.25">
      <c r="A556" s="4" t="s">
        <v>21</v>
      </c>
      <c r="B556" s="4" t="s">
        <v>33</v>
      </c>
      <c r="C556" s="4" t="s">
        <v>41</v>
      </c>
      <c r="D556" s="4" t="s">
        <v>47</v>
      </c>
      <c r="E556" s="4" t="s">
        <v>25</v>
      </c>
      <c r="F556" s="4" t="s">
        <v>25</v>
      </c>
      <c r="G556" s="4" t="s">
        <v>25</v>
      </c>
      <c r="H556" s="4" t="s">
        <v>35</v>
      </c>
      <c r="I556" s="5">
        <v>43862</v>
      </c>
      <c r="J556" s="6">
        <v>677</v>
      </c>
      <c r="K556" s="71">
        <v>677</v>
      </c>
      <c r="L556" s="6">
        <v>30.206</v>
      </c>
      <c r="M556" s="71">
        <v>30.206</v>
      </c>
      <c r="N556" s="6">
        <v>30.206</v>
      </c>
      <c r="O556" s="71">
        <v>30.206</v>
      </c>
      <c r="P556" s="6">
        <v>0</v>
      </c>
      <c r="Q556" s="4" t="s">
        <v>26</v>
      </c>
      <c r="R556" s="4">
        <v>0</v>
      </c>
      <c r="S556" s="6">
        <v>21</v>
      </c>
      <c r="T556" s="6">
        <v>23</v>
      </c>
      <c r="U556" s="6">
        <v>81</v>
      </c>
      <c r="V556" s="71">
        <f>IF(ISERROR(VLOOKUP($S$556,'TAR FIN'!$A$1:$O$120,15,0)),0,VLOOKUP($S$556,'TAR FIN'!$A$1:$O$120,15,0))*(1-0.08)</f>
        <v>21.104800000000001</v>
      </c>
      <c r="W556" s="71">
        <f>IF(ISERROR(VLOOKUP($T$556,'TAR FIN'!$A$1:$O$120,15,0)),0,VLOOKUP($T$556,'TAR FIN'!$A$1:$O$120,15,0))*(1-0.08)</f>
        <v>77.694000000000003</v>
      </c>
      <c r="X556" s="71">
        <f>IF(ISERROR(VLOOKUP($U$556,'TAR FIN'!$A$1:$O$120,15,0)),0,VLOOKUP($U$556,'TAR FIN'!$A$1:$O$120,15,0))*(1-0.08)</f>
        <v>396.40040000000005</v>
      </c>
      <c r="Y556" s="71">
        <f ca="1">('TUSD BE'!$AM$27+'TUSD BF'!$AM$27+'TUSD CVA'!$AM$27)*1*(1-0.06)</f>
        <v>25.583306204875544</v>
      </c>
      <c r="Z556" s="71">
        <f ca="1">('TUSD BE'!$AM$29+'TUSD BF'!$AM$29+'TUSD CVA'!$AM$29)*1*(1-0.06)</f>
        <v>82.268200247339408</v>
      </c>
      <c r="AA556" s="71">
        <f>('TE BE'!$AA$10+'TE BF'!$AA$10+'TE CVA'!$AA$10)*1*(1-0.06)</f>
        <v>353.15029452578722</v>
      </c>
      <c r="AB556" s="6">
        <f>$K$556*$V$556</f>
        <v>14287.9496</v>
      </c>
      <c r="AC556" s="6">
        <f>$M$556*$W$556</f>
        <v>2346.8249639999999</v>
      </c>
      <c r="AD556" s="6">
        <f>$O$556*$X$556</f>
        <v>11973.670482400001</v>
      </c>
      <c r="AE556" s="6">
        <f ca="1">$K$556*$Y$556</f>
        <v>17319.898300700745</v>
      </c>
      <c r="AF556" s="6">
        <f ca="1">$M$556*$Z$556</f>
        <v>2484.9932566711341</v>
      </c>
      <c r="AG556" s="6">
        <f>$O$556*$AA$556</f>
        <v>10667.257796445929</v>
      </c>
    </row>
    <row r="557" spans="1:33" ht="11.25" customHeight="1" x14ac:dyDescent="0.25">
      <c r="A557" s="4" t="s">
        <v>21</v>
      </c>
      <c r="B557" s="4" t="s">
        <v>33</v>
      </c>
      <c r="C557" s="4" t="s">
        <v>41</v>
      </c>
      <c r="D557" s="4" t="s">
        <v>47</v>
      </c>
      <c r="E557" s="4" t="s">
        <v>25</v>
      </c>
      <c r="F557" s="4" t="s">
        <v>25</v>
      </c>
      <c r="G557" s="4" t="s">
        <v>25</v>
      </c>
      <c r="H557" s="4" t="s">
        <v>35</v>
      </c>
      <c r="I557" s="5">
        <v>43891</v>
      </c>
      <c r="J557" s="6">
        <v>680</v>
      </c>
      <c r="K557" s="71">
        <v>680</v>
      </c>
      <c r="L557" s="6">
        <v>30.259</v>
      </c>
      <c r="M557" s="71">
        <v>30.259</v>
      </c>
      <c r="N557" s="6">
        <v>30.259</v>
      </c>
      <c r="O557" s="71">
        <v>30.259</v>
      </c>
      <c r="P557" s="6">
        <v>0</v>
      </c>
      <c r="Q557" s="4" t="s">
        <v>26</v>
      </c>
      <c r="R557" s="4">
        <v>0</v>
      </c>
      <c r="S557" s="6">
        <v>21</v>
      </c>
      <c r="T557" s="6">
        <v>23</v>
      </c>
      <c r="U557" s="6">
        <v>81</v>
      </c>
      <c r="V557" s="71">
        <f>IF(ISERROR(VLOOKUP($S$557,'TAR FIN'!$A$1:$O$120,15,0)),0,VLOOKUP($S$557,'TAR FIN'!$A$1:$O$120,15,0))*(1-0.08)</f>
        <v>21.104800000000001</v>
      </c>
      <c r="W557" s="71">
        <f>IF(ISERROR(VLOOKUP($T$557,'TAR FIN'!$A$1:$O$120,15,0)),0,VLOOKUP($T$557,'TAR FIN'!$A$1:$O$120,15,0))*(1-0.08)</f>
        <v>77.694000000000003</v>
      </c>
      <c r="X557" s="71">
        <f>IF(ISERROR(VLOOKUP($U$557,'TAR FIN'!$A$1:$O$120,15,0)),0,VLOOKUP($U$557,'TAR FIN'!$A$1:$O$120,15,0))*(1-0.08)</f>
        <v>396.40040000000005</v>
      </c>
      <c r="Y557" s="71">
        <f ca="1">('TUSD BE'!$AM$27+'TUSD BF'!$AM$27+'TUSD CVA'!$AM$27)*1*(1-0.06)</f>
        <v>25.583306204875544</v>
      </c>
      <c r="Z557" s="71">
        <f ca="1">('TUSD BE'!$AM$29+'TUSD BF'!$AM$29+'TUSD CVA'!$AM$29)*1*(1-0.06)</f>
        <v>82.268200247339408</v>
      </c>
      <c r="AA557" s="71">
        <f>('TE BE'!$AA$10+'TE BF'!$AA$10+'TE CVA'!$AA$10)*1*(1-0.06)</f>
        <v>353.15029452578722</v>
      </c>
      <c r="AB557" s="6">
        <f>$K$557*$V$557</f>
        <v>14351.264000000001</v>
      </c>
      <c r="AC557" s="6">
        <f>$M$557*$W$557</f>
        <v>2350.9427460000002</v>
      </c>
      <c r="AD557" s="6">
        <f>$O$557*$X$557</f>
        <v>11994.679703600001</v>
      </c>
      <c r="AE557" s="6">
        <f ca="1">$K$557*$Y$557</f>
        <v>17396.648219315372</v>
      </c>
      <c r="AF557" s="6">
        <f ca="1">$M$557*$Z$557</f>
        <v>2489.3534712842434</v>
      </c>
      <c r="AG557" s="6">
        <f>$O$557*$AA$557</f>
        <v>10685.974762055796</v>
      </c>
    </row>
    <row r="558" spans="1:33" ht="11.25" customHeight="1" x14ac:dyDescent="0.25">
      <c r="A558" s="4" t="s">
        <v>21</v>
      </c>
      <c r="B558" s="4" t="s">
        <v>33</v>
      </c>
      <c r="C558" s="4" t="s">
        <v>41</v>
      </c>
      <c r="D558" s="4" t="s">
        <v>47</v>
      </c>
      <c r="E558" s="4" t="s">
        <v>25</v>
      </c>
      <c r="F558" s="4" t="s">
        <v>25</v>
      </c>
      <c r="G558" s="4" t="s">
        <v>25</v>
      </c>
      <c r="H558" s="4" t="s">
        <v>35</v>
      </c>
      <c r="I558" s="5">
        <v>43922</v>
      </c>
      <c r="J558" s="6">
        <v>660</v>
      </c>
      <c r="K558" s="71">
        <v>660</v>
      </c>
      <c r="L558" s="6">
        <v>29.832999999999998</v>
      </c>
      <c r="M558" s="71">
        <v>29.832999999999998</v>
      </c>
      <c r="N558" s="6">
        <v>29.832999999999998</v>
      </c>
      <c r="O558" s="71">
        <v>29.832999999999998</v>
      </c>
      <c r="P558" s="6">
        <v>0</v>
      </c>
      <c r="Q558" s="4" t="s">
        <v>26</v>
      </c>
      <c r="R558" s="4">
        <v>0</v>
      </c>
      <c r="S558" s="6">
        <v>21</v>
      </c>
      <c r="T558" s="6">
        <v>23</v>
      </c>
      <c r="U558" s="6">
        <v>81</v>
      </c>
      <c r="V558" s="71">
        <f>IF(ISERROR(VLOOKUP($S$558,'TAR FIN'!$A$1:$O$120,15,0)),0,VLOOKUP($S$558,'TAR FIN'!$A$1:$O$120,15,0))*(1-0.08)</f>
        <v>21.104800000000001</v>
      </c>
      <c r="W558" s="71">
        <f>IF(ISERROR(VLOOKUP($T$558,'TAR FIN'!$A$1:$O$120,15,0)),0,VLOOKUP($T$558,'TAR FIN'!$A$1:$O$120,15,0))*(1-0.08)</f>
        <v>77.694000000000003</v>
      </c>
      <c r="X558" s="71">
        <f>IF(ISERROR(VLOOKUP($U$558,'TAR FIN'!$A$1:$O$120,15,0)),0,VLOOKUP($U$558,'TAR FIN'!$A$1:$O$120,15,0))*(1-0.08)</f>
        <v>396.40040000000005</v>
      </c>
      <c r="Y558" s="71">
        <f ca="1">('TUSD BE'!$AM$27+'TUSD BF'!$AM$27+'TUSD CVA'!$AM$27)*1*(1-0.06)</f>
        <v>25.583306204875544</v>
      </c>
      <c r="Z558" s="71">
        <f ca="1">('TUSD BE'!$AM$29+'TUSD BF'!$AM$29+'TUSD CVA'!$AM$29)*1*(1-0.06)</f>
        <v>82.268200247339408</v>
      </c>
      <c r="AA558" s="71">
        <f>('TE BE'!$AA$10+'TE BF'!$AA$10+'TE CVA'!$AA$10)*1*(1-0.06)</f>
        <v>353.15029452578722</v>
      </c>
      <c r="AB558" s="6">
        <f>$K$558*$V$558</f>
        <v>13929.168000000001</v>
      </c>
      <c r="AC558" s="6">
        <f>$M$558*$W$558</f>
        <v>2317.8451019999998</v>
      </c>
      <c r="AD558" s="6">
        <f>$O$558*$X$558</f>
        <v>11825.813133200001</v>
      </c>
      <c r="AE558" s="6">
        <f ca="1">$K$558*$Y$558</f>
        <v>16884.98209521786</v>
      </c>
      <c r="AF558" s="6">
        <f ca="1">$M$558*$Z$558</f>
        <v>2454.3072179788765</v>
      </c>
      <c r="AG558" s="6">
        <f>$O$558*$AA$558</f>
        <v>10535.532736587809</v>
      </c>
    </row>
    <row r="559" spans="1:33" ht="11.25" customHeight="1" x14ac:dyDescent="0.25">
      <c r="A559" s="4" t="s">
        <v>21</v>
      </c>
      <c r="B559" s="4" t="s">
        <v>33</v>
      </c>
      <c r="C559" s="4" t="s">
        <v>41</v>
      </c>
      <c r="D559" s="4" t="s">
        <v>47</v>
      </c>
      <c r="E559" s="4" t="s">
        <v>25</v>
      </c>
      <c r="F559" s="4" t="s">
        <v>25</v>
      </c>
      <c r="G559" s="4" t="s">
        <v>25</v>
      </c>
      <c r="H559" s="4" t="s">
        <v>35</v>
      </c>
      <c r="I559" s="5">
        <v>43952</v>
      </c>
      <c r="J559" s="6">
        <v>661</v>
      </c>
      <c r="K559" s="71">
        <v>661</v>
      </c>
      <c r="L559" s="6">
        <v>25.033000000000001</v>
      </c>
      <c r="M559" s="71">
        <v>25.033000000000001</v>
      </c>
      <c r="N559" s="6">
        <v>25.033000000000001</v>
      </c>
      <c r="O559" s="71">
        <v>25.033000000000001</v>
      </c>
      <c r="P559" s="6">
        <v>0</v>
      </c>
      <c r="Q559" s="4" t="s">
        <v>26</v>
      </c>
      <c r="R559" s="4">
        <v>0</v>
      </c>
      <c r="S559" s="6">
        <v>21</v>
      </c>
      <c r="T559" s="6">
        <v>23</v>
      </c>
      <c r="U559" s="6">
        <v>81</v>
      </c>
      <c r="V559" s="71">
        <f>IF(ISERROR(VLOOKUP($S$559,'TAR FIN'!$A$1:$O$120,15,0)),0,VLOOKUP($S$559,'TAR FIN'!$A$1:$O$120,15,0))*(1-0.08)</f>
        <v>21.104800000000001</v>
      </c>
      <c r="W559" s="71">
        <f>IF(ISERROR(VLOOKUP($T$559,'TAR FIN'!$A$1:$O$120,15,0)),0,VLOOKUP($T$559,'TAR FIN'!$A$1:$O$120,15,0))*(1-0.08)</f>
        <v>77.694000000000003</v>
      </c>
      <c r="X559" s="71">
        <f>IF(ISERROR(VLOOKUP($U$559,'TAR FIN'!$A$1:$O$120,15,0)),0,VLOOKUP($U$559,'TAR FIN'!$A$1:$O$120,15,0))*(1-0.08)</f>
        <v>396.40040000000005</v>
      </c>
      <c r="Y559" s="71">
        <f ca="1">('TUSD BE'!$AM$27+'TUSD BF'!$AM$27+'TUSD CVA'!$AM$27)*1*(1-0.06)</f>
        <v>25.583306204875544</v>
      </c>
      <c r="Z559" s="71">
        <f ca="1">('TUSD BE'!$AM$29+'TUSD BF'!$AM$29+'TUSD CVA'!$AM$29)*1*(1-0.06)</f>
        <v>82.268200247339408</v>
      </c>
      <c r="AA559" s="71">
        <f>('TE BE'!$AA$10+'TE BF'!$AA$10+'TE CVA'!$AA$10)*1*(1-0.06)</f>
        <v>353.15029452578722</v>
      </c>
      <c r="AB559" s="6">
        <f>$K$559*$V$559</f>
        <v>13950.272800000001</v>
      </c>
      <c r="AC559" s="6">
        <f>$M$559*$W$559</f>
        <v>1944.9139020000002</v>
      </c>
      <c r="AD559" s="6">
        <f>$O$559*$X$559</f>
        <v>9923.0912132000012</v>
      </c>
      <c r="AE559" s="6">
        <f ca="1">$K$559*$Y$559</f>
        <v>16910.565401422737</v>
      </c>
      <c r="AF559" s="6">
        <f ca="1">$M$559*$Z$559</f>
        <v>2059.4198567916474</v>
      </c>
      <c r="AG559" s="6">
        <f>$O$559*$AA$559</f>
        <v>8840.4113228640326</v>
      </c>
    </row>
    <row r="560" spans="1:33" ht="11.25" customHeight="1" x14ac:dyDescent="0.25">
      <c r="A560" s="4" t="s">
        <v>21</v>
      </c>
      <c r="B560" s="4" t="s">
        <v>33</v>
      </c>
      <c r="C560" s="4" t="s">
        <v>41</v>
      </c>
      <c r="D560" s="4" t="s">
        <v>47</v>
      </c>
      <c r="E560" s="4" t="s">
        <v>25</v>
      </c>
      <c r="F560" s="4" t="s">
        <v>25</v>
      </c>
      <c r="G560" s="4" t="s">
        <v>25</v>
      </c>
      <c r="H560" s="4" t="s">
        <v>35</v>
      </c>
      <c r="I560" s="5">
        <v>43983</v>
      </c>
      <c r="J560" s="6">
        <v>712</v>
      </c>
      <c r="K560" s="71">
        <v>712</v>
      </c>
      <c r="L560" s="6">
        <v>31.492000000000001</v>
      </c>
      <c r="M560" s="71">
        <v>31.492000000000001</v>
      </c>
      <c r="N560" s="6">
        <v>31.492000000000001</v>
      </c>
      <c r="O560" s="71">
        <v>31.492000000000001</v>
      </c>
      <c r="P560" s="6">
        <v>0</v>
      </c>
      <c r="Q560" s="4" t="s">
        <v>26</v>
      </c>
      <c r="R560" s="4">
        <v>0</v>
      </c>
      <c r="S560" s="6">
        <v>21</v>
      </c>
      <c r="T560" s="6">
        <v>23</v>
      </c>
      <c r="U560" s="6">
        <v>81</v>
      </c>
      <c r="V560" s="71">
        <f>IF(ISERROR(VLOOKUP($S$560,'TAR FIN'!$A$1:$O$120,15,0)),0,VLOOKUP($S$560,'TAR FIN'!$A$1:$O$120,15,0))*(1-0.08)</f>
        <v>21.104800000000001</v>
      </c>
      <c r="W560" s="71">
        <f>IF(ISERROR(VLOOKUP($T$560,'TAR FIN'!$A$1:$O$120,15,0)),0,VLOOKUP($T$560,'TAR FIN'!$A$1:$O$120,15,0))*(1-0.08)</f>
        <v>77.694000000000003</v>
      </c>
      <c r="X560" s="71">
        <f>IF(ISERROR(VLOOKUP($U$560,'TAR FIN'!$A$1:$O$120,15,0)),0,VLOOKUP($U$560,'TAR FIN'!$A$1:$O$120,15,0))*(1-0.08)</f>
        <v>396.40040000000005</v>
      </c>
      <c r="Y560" s="71">
        <f ca="1">('TUSD BE'!$AM$27+'TUSD BF'!$AM$27+'TUSD CVA'!$AM$27)*1*(1-0.06)</f>
        <v>25.583306204875544</v>
      </c>
      <c r="Z560" s="71">
        <f ca="1">('TUSD BE'!$AM$29+'TUSD BF'!$AM$29+'TUSD CVA'!$AM$29)*1*(1-0.06)</f>
        <v>82.268200247339408</v>
      </c>
      <c r="AA560" s="71">
        <f>('TE BE'!$AA$10+'TE BF'!$AA$10+'TE CVA'!$AA$10)*1*(1-0.06)</f>
        <v>353.15029452578722</v>
      </c>
      <c r="AB560" s="6">
        <f>$K$560*$V$560</f>
        <v>15026.617600000001</v>
      </c>
      <c r="AC560" s="6">
        <f>$M$560*$W$560</f>
        <v>2446.7394480000003</v>
      </c>
      <c r="AD560" s="6">
        <f>$O$560*$X$560</f>
        <v>12483.441396800003</v>
      </c>
      <c r="AE560" s="6">
        <f ca="1">$K$560*$Y$560</f>
        <v>18215.314017871387</v>
      </c>
      <c r="AF560" s="6">
        <f ca="1">$M$560*$Z$560</f>
        <v>2590.7901621892129</v>
      </c>
      <c r="AG560" s="6">
        <f>$O$560*$AA$560</f>
        <v>11121.409075206091</v>
      </c>
    </row>
    <row r="561" spans="1:33" ht="11.25" customHeight="1" x14ac:dyDescent="0.25">
      <c r="A561" s="4" t="s">
        <v>21</v>
      </c>
      <c r="B561" s="4" t="s">
        <v>33</v>
      </c>
      <c r="C561" s="4" t="s">
        <v>41</v>
      </c>
      <c r="D561" s="4" t="s">
        <v>47</v>
      </c>
      <c r="E561" s="4" t="s">
        <v>25</v>
      </c>
      <c r="F561" s="4" t="s">
        <v>25</v>
      </c>
      <c r="G561" s="4" t="s">
        <v>25</v>
      </c>
      <c r="H561" s="4" t="s">
        <v>35</v>
      </c>
      <c r="I561" s="5">
        <v>44013</v>
      </c>
      <c r="J561" s="6">
        <v>439</v>
      </c>
      <c r="K561" s="71">
        <v>439</v>
      </c>
      <c r="L561" s="6">
        <v>18.164000000000001</v>
      </c>
      <c r="M561" s="71">
        <v>18.164000000000001</v>
      </c>
      <c r="N561" s="6">
        <v>18.164000000000001</v>
      </c>
      <c r="O561" s="71">
        <v>18.164000000000001</v>
      </c>
      <c r="P561" s="6">
        <v>0</v>
      </c>
      <c r="Q561" s="4" t="s">
        <v>26</v>
      </c>
      <c r="R561" s="4">
        <v>0</v>
      </c>
      <c r="S561" s="6">
        <v>21</v>
      </c>
      <c r="T561" s="6">
        <v>23</v>
      </c>
      <c r="U561" s="6">
        <v>81</v>
      </c>
      <c r="V561" s="71">
        <f>IF(ISERROR(VLOOKUP($S$561,'TAR FIN'!$A$1:$O$120,15,0)),0,VLOOKUP($S$561,'TAR FIN'!$A$1:$O$120,15,0))*(1-0.08)</f>
        <v>21.104800000000001</v>
      </c>
      <c r="W561" s="71">
        <f>IF(ISERROR(VLOOKUP($T$561,'TAR FIN'!$A$1:$O$120,15,0)),0,VLOOKUP($T$561,'TAR FIN'!$A$1:$O$120,15,0))*(1-0.08)</f>
        <v>77.694000000000003</v>
      </c>
      <c r="X561" s="71">
        <f>IF(ISERROR(VLOOKUP($U$561,'TAR FIN'!$A$1:$O$120,15,0)),0,VLOOKUP($U$561,'TAR FIN'!$A$1:$O$120,15,0))*(1-0.08)</f>
        <v>396.40040000000005</v>
      </c>
      <c r="Y561" s="71">
        <f ca="1">('TUSD BE'!$AM$27+'TUSD BF'!$AM$27+'TUSD CVA'!$AM$27)*1*(1-0.06)</f>
        <v>25.583306204875544</v>
      </c>
      <c r="Z561" s="71">
        <f ca="1">('TUSD BE'!$AM$29+'TUSD BF'!$AM$29+'TUSD CVA'!$AM$29)*1*(1-0.06)</f>
        <v>82.268200247339408</v>
      </c>
      <c r="AA561" s="71">
        <f>('TE BE'!$AA$10+'TE BF'!$AA$10+'TE CVA'!$AA$10)*1*(1-0.06)</f>
        <v>353.15029452578722</v>
      </c>
      <c r="AB561" s="6">
        <f>$K$561*$V$561</f>
        <v>9265.0072</v>
      </c>
      <c r="AC561" s="6">
        <f>$M$561*$W$561</f>
        <v>1411.2338160000002</v>
      </c>
      <c r="AD561" s="6">
        <f>$O$561*$X$561</f>
        <v>7200.2168656000013</v>
      </c>
      <c r="AE561" s="6">
        <f ca="1">$K$561*$Y$561</f>
        <v>11231.071423940364</v>
      </c>
      <c r="AF561" s="6">
        <f ca="1">$M$561*$Z$561</f>
        <v>1494.3195892926731</v>
      </c>
      <c r="AG561" s="6">
        <f>$O$561*$AA$561</f>
        <v>6414.6219497663997</v>
      </c>
    </row>
    <row r="562" spans="1:33" ht="11.25" customHeight="1" x14ac:dyDescent="0.25">
      <c r="A562" s="4" t="s">
        <v>27</v>
      </c>
      <c r="B562" s="4" t="s">
        <v>33</v>
      </c>
      <c r="C562" s="4" t="s">
        <v>41</v>
      </c>
      <c r="D562" s="4" t="s">
        <v>47</v>
      </c>
      <c r="E562" s="4" t="s">
        <v>25</v>
      </c>
      <c r="F562" s="4" t="s">
        <v>25</v>
      </c>
      <c r="G562" s="4" t="s">
        <v>25</v>
      </c>
      <c r="H562" s="4" t="s">
        <v>35</v>
      </c>
      <c r="I562" s="5">
        <v>44013</v>
      </c>
      <c r="J562" s="6">
        <v>245</v>
      </c>
      <c r="K562" s="71">
        <v>245</v>
      </c>
      <c r="L562" s="6">
        <v>0</v>
      </c>
      <c r="M562" s="71">
        <v>0</v>
      </c>
      <c r="N562" s="6">
        <v>0</v>
      </c>
      <c r="O562" s="71">
        <v>0</v>
      </c>
      <c r="P562" s="6">
        <v>0</v>
      </c>
      <c r="Q562" s="4" t="s">
        <v>26</v>
      </c>
      <c r="R562" s="4">
        <v>0</v>
      </c>
      <c r="S562" s="6">
        <v>21</v>
      </c>
      <c r="T562" s="6">
        <v>0</v>
      </c>
      <c r="U562" s="6">
        <v>0</v>
      </c>
      <c r="V562" s="71">
        <f>IF(ISERROR(VLOOKUP($S$562,'TAR FIN'!$A$1:$O$120,15,0)),0,VLOOKUP($S$562,'TAR FIN'!$A$1:$O$120,15,0))*(1-0.08)</f>
        <v>21.104800000000001</v>
      </c>
      <c r="W562" s="71">
        <f>IF(ISERROR(VLOOKUP($T$562,'TAR FIN'!$A$1:$O$120,15,0)),0,VLOOKUP($T$562,'TAR FIN'!$A$1:$O$120,15,0))*(1-0.08)</f>
        <v>0</v>
      </c>
      <c r="X562" s="71">
        <f>IF(ISERROR(VLOOKUP($U$562,'TAR FIN'!$A$1:$O$120,15,0)),0,VLOOKUP($U$562,'TAR FIN'!$A$1:$O$120,15,0))*(1-0.08)</f>
        <v>0</v>
      </c>
      <c r="Y562" s="71">
        <f ca="1">('TUSD BE'!$AM$27+'TUSD BF'!$AM$27+'TUSD CVA'!$AM$27)*1*(1-0.06)</f>
        <v>25.583306204875544</v>
      </c>
      <c r="Z562" s="71">
        <f ca="1">('TUSD BE'!$AM$29+'TUSD BF'!$AM$29+'TUSD CVA'!$AM$29)*1*(1-0.06)</f>
        <v>82.268200247339408</v>
      </c>
      <c r="AA562" s="71">
        <f>('TE BE'!$AA$10+'TE BF'!$AA$10+'TE CVA'!$AA$10)*1*(1-0.06)</f>
        <v>353.15029452578722</v>
      </c>
      <c r="AB562" s="6">
        <f>$K$562*$V$562</f>
        <v>5170.6760000000004</v>
      </c>
      <c r="AC562" s="6">
        <f>$M$562*$W$562</f>
        <v>0</v>
      </c>
      <c r="AD562" s="6">
        <f>$O$562*$X$562</f>
        <v>0</v>
      </c>
      <c r="AE562" s="6">
        <f ca="1">$K$562*$Y$562</f>
        <v>6267.9100201945084</v>
      </c>
      <c r="AF562" s="6">
        <f ca="1">$M$562*$Z$562</f>
        <v>0</v>
      </c>
      <c r="AG562" s="6">
        <f>$O$562*$AA$562</f>
        <v>0</v>
      </c>
    </row>
    <row r="563" spans="1:33" ht="11.25" customHeight="1" x14ac:dyDescent="0.25">
      <c r="A563" s="4" t="s">
        <v>21</v>
      </c>
      <c r="B563" s="4" t="s">
        <v>33</v>
      </c>
      <c r="C563" s="4" t="s">
        <v>41</v>
      </c>
      <c r="D563" s="4" t="s">
        <v>47</v>
      </c>
      <c r="E563" s="4" t="s">
        <v>25</v>
      </c>
      <c r="F563" s="4" t="s">
        <v>25</v>
      </c>
      <c r="G563" s="4" t="s">
        <v>25</v>
      </c>
      <c r="H563" s="4" t="s">
        <v>35</v>
      </c>
      <c r="I563" s="5">
        <v>44044</v>
      </c>
      <c r="J563" s="6">
        <v>779</v>
      </c>
      <c r="K563" s="71">
        <v>779</v>
      </c>
      <c r="L563" s="6">
        <v>38.588999999999999</v>
      </c>
      <c r="M563" s="71">
        <v>38.588999999999999</v>
      </c>
      <c r="N563" s="6">
        <v>38.588999999999999</v>
      </c>
      <c r="O563" s="71">
        <v>38.588999999999999</v>
      </c>
      <c r="P563" s="6">
        <v>0</v>
      </c>
      <c r="Q563" s="4" t="s">
        <v>26</v>
      </c>
      <c r="R563" s="4">
        <v>0</v>
      </c>
      <c r="S563" s="6">
        <v>21</v>
      </c>
      <c r="T563" s="6">
        <v>23</v>
      </c>
      <c r="U563" s="6">
        <v>81</v>
      </c>
      <c r="V563" s="71">
        <f>IF(ISERROR(VLOOKUP($S$563,'TAR FIN'!$A$1:$O$120,15,0)),0,VLOOKUP($S$563,'TAR FIN'!$A$1:$O$120,15,0))*(1-0.08)</f>
        <v>21.104800000000001</v>
      </c>
      <c r="W563" s="71">
        <f>IF(ISERROR(VLOOKUP($T$563,'TAR FIN'!$A$1:$O$120,15,0)),0,VLOOKUP($T$563,'TAR FIN'!$A$1:$O$120,15,0))*(1-0.08)</f>
        <v>77.694000000000003</v>
      </c>
      <c r="X563" s="71">
        <f>IF(ISERROR(VLOOKUP($U$563,'TAR FIN'!$A$1:$O$120,15,0)),0,VLOOKUP($U$563,'TAR FIN'!$A$1:$O$120,15,0))*(1-0.08)</f>
        <v>396.40040000000005</v>
      </c>
      <c r="Y563" s="71">
        <f ca="1">('TUSD BE'!$AM$27+'TUSD BF'!$AM$27+'TUSD CVA'!$AM$27)*1*(1-0.06)</f>
        <v>25.583306204875544</v>
      </c>
      <c r="Z563" s="71">
        <f ca="1">('TUSD BE'!$AM$29+'TUSD BF'!$AM$29+'TUSD CVA'!$AM$29)*1*(1-0.06)</f>
        <v>82.268200247339408</v>
      </c>
      <c r="AA563" s="71">
        <f>('TE BE'!$AA$10+'TE BF'!$AA$10+'TE CVA'!$AA$10)*1*(1-0.06)</f>
        <v>353.15029452578722</v>
      </c>
      <c r="AB563" s="6">
        <f>$K$563*$V$563</f>
        <v>16440.639200000001</v>
      </c>
      <c r="AC563" s="6">
        <f>$M$563*$W$563</f>
        <v>2998.1337659999999</v>
      </c>
      <c r="AD563" s="6">
        <f>$O$563*$X$563</f>
        <v>15296.695035600002</v>
      </c>
      <c r="AE563" s="6">
        <f ca="1">$K$563*$Y$563</f>
        <v>19929.39553359805</v>
      </c>
      <c r="AF563" s="6">
        <f ca="1">$M$563*$Z$563</f>
        <v>3174.6475793445802</v>
      </c>
      <c r="AG563" s="6">
        <f>$O$563*$AA$563</f>
        <v>13627.716715455603</v>
      </c>
    </row>
    <row r="564" spans="1:33" ht="11.25" customHeight="1" x14ac:dyDescent="0.25">
      <c r="A564" s="4" t="s">
        <v>59</v>
      </c>
      <c r="B564" s="4" t="s">
        <v>33</v>
      </c>
      <c r="C564" s="4" t="s">
        <v>41</v>
      </c>
      <c r="D564" s="4" t="s">
        <v>47</v>
      </c>
      <c r="E564" s="4" t="s">
        <v>25</v>
      </c>
      <c r="F564" s="4" t="s">
        <v>25</v>
      </c>
      <c r="G564" s="4" t="s">
        <v>25</v>
      </c>
      <c r="H564" s="4" t="s">
        <v>35</v>
      </c>
      <c r="I564" s="5">
        <v>44075</v>
      </c>
      <c r="J564" s="6">
        <v>779</v>
      </c>
      <c r="K564" s="71">
        <v>779</v>
      </c>
      <c r="L564" s="6">
        <v>38.588999999999999</v>
      </c>
      <c r="M564" s="71">
        <v>38.588999999999999</v>
      </c>
      <c r="N564" s="6">
        <v>38.588999999999999</v>
      </c>
      <c r="O564" s="71">
        <v>38.588999999999999</v>
      </c>
      <c r="P564" s="6">
        <v>0</v>
      </c>
      <c r="Q564" s="4" t="s">
        <v>26</v>
      </c>
      <c r="R564" s="4">
        <v>0</v>
      </c>
      <c r="S564" s="6">
        <v>21</v>
      </c>
      <c r="T564" s="6">
        <v>23</v>
      </c>
      <c r="U564" s="6">
        <v>81</v>
      </c>
      <c r="V564" s="71">
        <f>IF(ISERROR(VLOOKUP($S$564,'TAR FIN'!$A$1:$O$120,15,0)),0,VLOOKUP($S$564,'TAR FIN'!$A$1:$O$120,15,0))*(1-0.08)</f>
        <v>21.104800000000001</v>
      </c>
      <c r="W564" s="71">
        <f>IF(ISERROR(VLOOKUP($T$564,'TAR FIN'!$A$1:$O$120,15,0)),0,VLOOKUP($T$564,'TAR FIN'!$A$1:$O$120,15,0))*(1-0.08)</f>
        <v>77.694000000000003</v>
      </c>
      <c r="X564" s="71">
        <f>IF(ISERROR(VLOOKUP($U$564,'TAR FIN'!$A$1:$O$120,15,0)),0,VLOOKUP($U$564,'TAR FIN'!$A$1:$O$120,15,0))*(1-0.08)</f>
        <v>396.40040000000005</v>
      </c>
      <c r="Y564" s="71">
        <f ca="1">('TUSD BE'!$AM$27+'TUSD BF'!$AM$27+'TUSD CVA'!$AM$27)*1*(1-0.06)</f>
        <v>25.583306204875544</v>
      </c>
      <c r="Z564" s="71">
        <f ca="1">('TUSD BE'!$AM$29+'TUSD BF'!$AM$29+'TUSD CVA'!$AM$29)*1*(1-0.06)</f>
        <v>82.268200247339408</v>
      </c>
      <c r="AA564" s="71">
        <f>('TE BE'!$AA$10+'TE BF'!$AA$10+'TE CVA'!$AA$10)*1*(1-0.06)</f>
        <v>353.15029452578722</v>
      </c>
      <c r="AB564" s="6">
        <f>$K$564*$V$564</f>
        <v>16440.639200000001</v>
      </c>
      <c r="AC564" s="6">
        <f>$M$564*$W$564</f>
        <v>2998.1337659999999</v>
      </c>
      <c r="AD564" s="6">
        <f>$O$564*$X$564</f>
        <v>15296.695035600002</v>
      </c>
      <c r="AE564" s="6">
        <f ca="1">$K$564*$Y$564</f>
        <v>19929.39553359805</v>
      </c>
      <c r="AF564" s="6">
        <f ca="1">$M$564*$Z$564</f>
        <v>3174.6475793445802</v>
      </c>
      <c r="AG564" s="6">
        <f>$O$564*$AA$564</f>
        <v>13627.716715455603</v>
      </c>
    </row>
    <row r="565" spans="1:33" ht="11.25" customHeight="1" x14ac:dyDescent="0.25">
      <c r="A565" s="4" t="s">
        <v>21</v>
      </c>
      <c r="B565" s="4" t="s">
        <v>33</v>
      </c>
      <c r="C565" s="4" t="s">
        <v>41</v>
      </c>
      <c r="D565" s="4" t="s">
        <v>52</v>
      </c>
      <c r="E565" s="4" t="s">
        <v>53</v>
      </c>
      <c r="F565" s="4" t="s">
        <v>25</v>
      </c>
      <c r="G565" s="4" t="s">
        <v>25</v>
      </c>
      <c r="H565" s="4" t="s">
        <v>36</v>
      </c>
      <c r="I565" s="5">
        <v>43739</v>
      </c>
      <c r="J565" s="6">
        <v>9800</v>
      </c>
      <c r="K565" s="70">
        <v>9800</v>
      </c>
      <c r="L565" s="6">
        <v>4514.2240000000002</v>
      </c>
      <c r="M565" s="71">
        <v>4514.2240000000002</v>
      </c>
      <c r="N565" s="6">
        <v>4514.2240000000002</v>
      </c>
      <c r="O565" s="71">
        <v>4514.2240000000002</v>
      </c>
      <c r="P565" s="6">
        <v>0</v>
      </c>
      <c r="Q565" s="4" t="s">
        <v>26</v>
      </c>
      <c r="R565" s="4">
        <v>0</v>
      </c>
      <c r="S565" s="6">
        <v>22</v>
      </c>
      <c r="T565" s="6">
        <v>23</v>
      </c>
      <c r="U565" s="6">
        <v>82</v>
      </c>
      <c r="V565" s="71">
        <f>IF(ISERROR(VLOOKUP($S$565,'TAR FIN'!$A$1:$O$120,15,0)),0,VLOOKUP($S$565,'TAR FIN'!$A$1:$O$120,15,0))*(1-0.12)</f>
        <v>7.7528000000000006</v>
      </c>
      <c r="W565" s="71">
        <f>IF(ISERROR(VLOOKUP($T$565,'TAR FIN'!$A$1:$O$120,15,0)),0,VLOOKUP($T$565,'TAR FIN'!$A$1:$O$120,15,0))*(1-0.12)</f>
        <v>74.316000000000003</v>
      </c>
      <c r="X565" s="71">
        <f>IF(ISERROR(VLOOKUP($U$565,'TAR FIN'!$A$1:$O$120,15,0)),0,VLOOKUP($U$565,'TAR FIN'!$A$1:$O$120,15,0))*(1-0.12)</f>
        <v>225.61439999999999</v>
      </c>
      <c r="Y565" s="71">
        <f ca="1">('TUSD BE'!$AM$28+'TUSD BF'!$AM$28+'TUSD CVA'!$AM$28)*1*(1-0.09)</f>
        <v>10.421644550274408</v>
      </c>
      <c r="Z565" s="71">
        <f ca="1">('TUSD BE'!$AM$29+'TUSD BF'!$AM$29+'TUSD CVA'!$AM$29)*1*(1-0.09)</f>
        <v>79.642619388381775</v>
      </c>
      <c r="AA565" s="71">
        <f>('TE BE'!$AA$11+'TE BF'!$AA$11+'TE CVA'!$AA$11)*1*(1-0.09)</f>
        <v>210.05913056249776</v>
      </c>
      <c r="AB565" s="6">
        <f>$K$565*$V$565</f>
        <v>75977.440000000002</v>
      </c>
      <c r="AC565" s="6">
        <f>$M$565*$W$565</f>
        <v>335479.07078400004</v>
      </c>
      <c r="AD565" s="6">
        <f>$O$565*$X$565</f>
        <v>1018473.9392256</v>
      </c>
      <c r="AE565" s="6">
        <f ca="1">$K$565*$Y$565</f>
        <v>102132.1165926892</v>
      </c>
      <c r="AF565" s="6">
        <f ca="1">$M$565*$Z$565</f>
        <v>359524.62386589835</v>
      </c>
      <c r="AG565" s="6">
        <f>$O$565*$AA$565</f>
        <v>948253.96860436094</v>
      </c>
    </row>
    <row r="566" spans="1:33" ht="11.25" customHeight="1" x14ac:dyDescent="0.25">
      <c r="A566" s="4" t="s">
        <v>21</v>
      </c>
      <c r="B566" s="4" t="s">
        <v>33</v>
      </c>
      <c r="C566" s="4" t="s">
        <v>41</v>
      </c>
      <c r="D566" s="4" t="s">
        <v>52</v>
      </c>
      <c r="E566" s="4" t="s">
        <v>53</v>
      </c>
      <c r="F566" s="4" t="s">
        <v>25</v>
      </c>
      <c r="G566" s="4" t="s">
        <v>25</v>
      </c>
      <c r="H566" s="4" t="s">
        <v>36</v>
      </c>
      <c r="I566" s="5">
        <v>43770</v>
      </c>
      <c r="J566" s="6">
        <v>9795</v>
      </c>
      <c r="K566" s="70">
        <v>9795</v>
      </c>
      <c r="L566" s="6">
        <v>4572.0990000000002</v>
      </c>
      <c r="M566" s="71">
        <v>4572.0990000000002</v>
      </c>
      <c r="N566" s="6">
        <v>4572.0990000000002</v>
      </c>
      <c r="O566" s="71">
        <v>4572.0990000000002</v>
      </c>
      <c r="P566" s="6">
        <v>0</v>
      </c>
      <c r="Q566" s="4" t="s">
        <v>26</v>
      </c>
      <c r="R566" s="4">
        <v>0</v>
      </c>
      <c r="S566" s="6">
        <v>22</v>
      </c>
      <c r="T566" s="6">
        <v>23</v>
      </c>
      <c r="U566" s="6">
        <v>82</v>
      </c>
      <c r="V566" s="71">
        <f>IF(ISERROR(VLOOKUP($S$566,'TAR FIN'!$A$1:$O$120,15,0)),0,VLOOKUP($S$566,'TAR FIN'!$A$1:$O$120,15,0))*(1-0.12)</f>
        <v>7.7528000000000006</v>
      </c>
      <c r="W566" s="71">
        <f>IF(ISERROR(VLOOKUP($T$566,'TAR FIN'!$A$1:$O$120,15,0)),0,VLOOKUP($T$566,'TAR FIN'!$A$1:$O$120,15,0))*(1-0.12)</f>
        <v>74.316000000000003</v>
      </c>
      <c r="X566" s="71">
        <f>IF(ISERROR(VLOOKUP($U$566,'TAR FIN'!$A$1:$O$120,15,0)),0,VLOOKUP($U$566,'TAR FIN'!$A$1:$O$120,15,0))*(1-0.12)</f>
        <v>225.61439999999999</v>
      </c>
      <c r="Y566" s="71">
        <f ca="1">('TUSD BE'!$AM$28+'TUSD BF'!$AM$28+'TUSD CVA'!$AM$28)*1*(1-0.09)</f>
        <v>10.421644550274408</v>
      </c>
      <c r="Z566" s="71">
        <f ca="1">('TUSD BE'!$AM$29+'TUSD BF'!$AM$29+'TUSD CVA'!$AM$29)*1*(1-0.09)</f>
        <v>79.642619388381775</v>
      </c>
      <c r="AA566" s="71">
        <f>('TE BE'!$AA$11+'TE BF'!$AA$11+'TE CVA'!$AA$11)*1*(1-0.09)</f>
        <v>210.05913056249776</v>
      </c>
      <c r="AB566" s="6">
        <f>$K$566*$V$566</f>
        <v>75938.676000000007</v>
      </c>
      <c r="AC566" s="6">
        <f>$M$566*$W$566</f>
        <v>339780.10928400001</v>
      </c>
      <c r="AD566" s="6">
        <f>$O$566*$X$566</f>
        <v>1031531.3726256</v>
      </c>
      <c r="AE566" s="6">
        <f ca="1">$K$566*$Y$566</f>
        <v>102080.00836993783</v>
      </c>
      <c r="AF566" s="6">
        <f ca="1">$M$566*$Z$566</f>
        <v>364133.94046300091</v>
      </c>
      <c r="AG566" s="6">
        <f>$O$566*$AA$566</f>
        <v>960411.14078566548</v>
      </c>
    </row>
    <row r="567" spans="1:33" ht="11.25" customHeight="1" x14ac:dyDescent="0.25">
      <c r="A567" s="4" t="s">
        <v>21</v>
      </c>
      <c r="B567" s="4" t="s">
        <v>33</v>
      </c>
      <c r="C567" s="4" t="s">
        <v>41</v>
      </c>
      <c r="D567" s="4" t="s">
        <v>52</v>
      </c>
      <c r="E567" s="4" t="s">
        <v>53</v>
      </c>
      <c r="F567" s="4" t="s">
        <v>25</v>
      </c>
      <c r="G567" s="4" t="s">
        <v>25</v>
      </c>
      <c r="H567" s="4" t="s">
        <v>36</v>
      </c>
      <c r="I567" s="5">
        <v>43800</v>
      </c>
      <c r="J567" s="6">
        <v>9831</v>
      </c>
      <c r="K567" s="70">
        <v>9831</v>
      </c>
      <c r="L567" s="6">
        <v>4345.348</v>
      </c>
      <c r="M567" s="71">
        <v>4345.348</v>
      </c>
      <c r="N567" s="6">
        <v>4345.348</v>
      </c>
      <c r="O567" s="71">
        <v>4345.348</v>
      </c>
      <c r="P567" s="6">
        <v>0</v>
      </c>
      <c r="Q567" s="4" t="s">
        <v>26</v>
      </c>
      <c r="R567" s="4">
        <v>0</v>
      </c>
      <c r="S567" s="6">
        <v>22</v>
      </c>
      <c r="T567" s="6">
        <v>23</v>
      </c>
      <c r="U567" s="6">
        <v>82</v>
      </c>
      <c r="V567" s="71">
        <f>IF(ISERROR(VLOOKUP($S$567,'TAR FIN'!$A$1:$O$120,15,0)),0,VLOOKUP($S$567,'TAR FIN'!$A$1:$O$120,15,0))*(1-0.12)</f>
        <v>7.7528000000000006</v>
      </c>
      <c r="W567" s="71">
        <f>IF(ISERROR(VLOOKUP($T$567,'TAR FIN'!$A$1:$O$120,15,0)),0,VLOOKUP($T$567,'TAR FIN'!$A$1:$O$120,15,0))*(1-0.12)</f>
        <v>74.316000000000003</v>
      </c>
      <c r="X567" s="71">
        <f>IF(ISERROR(VLOOKUP($U$567,'TAR FIN'!$A$1:$O$120,15,0)),0,VLOOKUP($U$567,'TAR FIN'!$A$1:$O$120,15,0))*(1-0.12)</f>
        <v>225.61439999999999</v>
      </c>
      <c r="Y567" s="71">
        <f ca="1">('TUSD BE'!$AM$28+'TUSD BF'!$AM$28+'TUSD CVA'!$AM$28)*1*(1-0.09)</f>
        <v>10.421644550274408</v>
      </c>
      <c r="Z567" s="71">
        <f ca="1">('TUSD BE'!$AM$29+'TUSD BF'!$AM$29+'TUSD CVA'!$AM$29)*1*(1-0.09)</f>
        <v>79.642619388381775</v>
      </c>
      <c r="AA567" s="71">
        <f>('TE BE'!$AA$11+'TE BF'!$AA$11+'TE CVA'!$AA$11)*1*(1-0.09)</f>
        <v>210.05913056249776</v>
      </c>
      <c r="AB567" s="6">
        <f>$K$567*$V$567</f>
        <v>76217.776800000007</v>
      </c>
      <c r="AC567" s="6">
        <f>$M$567*$W$567</f>
        <v>322928.88196800003</v>
      </c>
      <c r="AD567" s="6">
        <f>$O$567*$X$567</f>
        <v>980373.0818111999</v>
      </c>
      <c r="AE567" s="6">
        <f ca="1">$K$567*$Y$567</f>
        <v>102455.18757374771</v>
      </c>
      <c r="AF567" s="6">
        <f ca="1">$M$567*$Z$567</f>
        <v>346074.89687406598</v>
      </c>
      <c r="AG567" s="6">
        <f>$O$567*$AA$567</f>
        <v>912780.02287148847</v>
      </c>
    </row>
    <row r="568" spans="1:33" ht="11.25" customHeight="1" x14ac:dyDescent="0.25">
      <c r="A568" s="4" t="s">
        <v>21</v>
      </c>
      <c r="B568" s="4" t="s">
        <v>33</v>
      </c>
      <c r="C568" s="4" t="s">
        <v>41</v>
      </c>
      <c r="D568" s="4" t="s">
        <v>52</v>
      </c>
      <c r="E568" s="4" t="s">
        <v>53</v>
      </c>
      <c r="F568" s="4" t="s">
        <v>25</v>
      </c>
      <c r="G568" s="4" t="s">
        <v>25</v>
      </c>
      <c r="H568" s="4" t="s">
        <v>36</v>
      </c>
      <c r="I568" s="5">
        <v>43831</v>
      </c>
      <c r="J568" s="6">
        <v>9808</v>
      </c>
      <c r="K568" s="70">
        <v>9808</v>
      </c>
      <c r="L568" s="6">
        <v>4575.3519999999999</v>
      </c>
      <c r="M568" s="71">
        <v>4575.3519999999999</v>
      </c>
      <c r="N568" s="6">
        <v>4575.3519999999999</v>
      </c>
      <c r="O568" s="71">
        <v>4575.3519999999999</v>
      </c>
      <c r="P568" s="6">
        <v>0</v>
      </c>
      <c r="Q568" s="4" t="s">
        <v>26</v>
      </c>
      <c r="R568" s="4">
        <v>0</v>
      </c>
      <c r="S568" s="6">
        <v>22</v>
      </c>
      <c r="T568" s="6">
        <v>23</v>
      </c>
      <c r="U568" s="6">
        <v>82</v>
      </c>
      <c r="V568" s="71">
        <f>IF(ISERROR(VLOOKUP($S$568,'TAR FIN'!$A$1:$O$120,15,0)),0,VLOOKUP($S$568,'TAR FIN'!$A$1:$O$120,15,0))*(1-0.12)</f>
        <v>7.7528000000000006</v>
      </c>
      <c r="W568" s="71">
        <f>IF(ISERROR(VLOOKUP($T$568,'TAR FIN'!$A$1:$O$120,15,0)),0,VLOOKUP($T$568,'TAR FIN'!$A$1:$O$120,15,0))*(1-0.12)</f>
        <v>74.316000000000003</v>
      </c>
      <c r="X568" s="71">
        <f>IF(ISERROR(VLOOKUP($U$568,'TAR FIN'!$A$1:$O$120,15,0)),0,VLOOKUP($U$568,'TAR FIN'!$A$1:$O$120,15,0))*(1-0.12)</f>
        <v>225.61439999999999</v>
      </c>
      <c r="Y568" s="71">
        <f ca="1">('TUSD BE'!$AM$28+'TUSD BF'!$AM$28+'TUSD CVA'!$AM$28)*1*(1-0.09)</f>
        <v>10.421644550274408</v>
      </c>
      <c r="Z568" s="71">
        <f ca="1">('TUSD BE'!$AM$29+'TUSD BF'!$AM$29+'TUSD CVA'!$AM$29)*1*(1-0.09)</f>
        <v>79.642619388381775</v>
      </c>
      <c r="AA568" s="71">
        <f>('TE BE'!$AA$11+'TE BF'!$AA$11+'TE CVA'!$AA$11)*1*(1-0.09)</f>
        <v>210.05913056249776</v>
      </c>
      <c r="AB568" s="6">
        <f>$K$568*$V$568</f>
        <v>76039.462400000004</v>
      </c>
      <c r="AC568" s="6">
        <f>$M$568*$W$568</f>
        <v>340021.85923200002</v>
      </c>
      <c r="AD568" s="6">
        <f>$O$568*$X$568</f>
        <v>1032265.2962687999</v>
      </c>
      <c r="AE568" s="6">
        <f ca="1">$K$568*$Y$568</f>
        <v>102215.48974909139</v>
      </c>
      <c r="AF568" s="6">
        <f ca="1">$M$568*$Z$568</f>
        <v>364393.01790387131</v>
      </c>
      <c r="AG568" s="6">
        <f>$O$568*$AA$568</f>
        <v>961094.4631373852</v>
      </c>
    </row>
    <row r="569" spans="1:33" ht="11.25" customHeight="1" x14ac:dyDescent="0.25">
      <c r="A569" s="4" t="s">
        <v>21</v>
      </c>
      <c r="B569" s="4" t="s">
        <v>33</v>
      </c>
      <c r="C569" s="4" t="s">
        <v>41</v>
      </c>
      <c r="D569" s="4" t="s">
        <v>52</v>
      </c>
      <c r="E569" s="4" t="s">
        <v>53</v>
      </c>
      <c r="F569" s="4" t="s">
        <v>25</v>
      </c>
      <c r="G569" s="4" t="s">
        <v>25</v>
      </c>
      <c r="H569" s="4" t="s">
        <v>36</v>
      </c>
      <c r="I569" s="5">
        <v>43862</v>
      </c>
      <c r="J569" s="6">
        <v>9853</v>
      </c>
      <c r="K569" s="70">
        <v>9853</v>
      </c>
      <c r="L569" s="6">
        <v>4766.9369999999999</v>
      </c>
      <c r="M569" s="71">
        <v>4766.9369999999999</v>
      </c>
      <c r="N569" s="6">
        <v>4766.9369999999999</v>
      </c>
      <c r="O569" s="71">
        <v>4766.9369999999999</v>
      </c>
      <c r="P569" s="6">
        <v>0</v>
      </c>
      <c r="Q569" s="4" t="s">
        <v>26</v>
      </c>
      <c r="R569" s="4">
        <v>0</v>
      </c>
      <c r="S569" s="6">
        <v>22</v>
      </c>
      <c r="T569" s="6">
        <v>23</v>
      </c>
      <c r="U569" s="6">
        <v>82</v>
      </c>
      <c r="V569" s="71">
        <f>IF(ISERROR(VLOOKUP($S$569,'TAR FIN'!$A$1:$O$120,15,0)),0,VLOOKUP($S$569,'TAR FIN'!$A$1:$O$120,15,0))*(1-0.12)</f>
        <v>7.7528000000000006</v>
      </c>
      <c r="W569" s="71">
        <f>IF(ISERROR(VLOOKUP($T$569,'TAR FIN'!$A$1:$O$120,15,0)),0,VLOOKUP($T$569,'TAR FIN'!$A$1:$O$120,15,0))*(1-0.12)</f>
        <v>74.316000000000003</v>
      </c>
      <c r="X569" s="71">
        <f>IF(ISERROR(VLOOKUP($U$569,'TAR FIN'!$A$1:$O$120,15,0)),0,VLOOKUP($U$569,'TAR FIN'!$A$1:$O$120,15,0))*(1-0.12)</f>
        <v>225.61439999999999</v>
      </c>
      <c r="Y569" s="71">
        <f ca="1">('TUSD BE'!$AM$28+'TUSD BF'!$AM$28+'TUSD CVA'!$AM$28)*1*(1-0.09)</f>
        <v>10.421644550274408</v>
      </c>
      <c r="Z569" s="71">
        <f ca="1">('TUSD BE'!$AM$29+'TUSD BF'!$AM$29+'TUSD CVA'!$AM$29)*1*(1-0.09)</f>
        <v>79.642619388381775</v>
      </c>
      <c r="AA569" s="71">
        <f>('TE BE'!$AA$11+'TE BF'!$AA$11+'TE CVA'!$AA$11)*1*(1-0.09)</f>
        <v>210.05913056249776</v>
      </c>
      <c r="AB569" s="6">
        <f>$K$569*$V$569</f>
        <v>76388.338400000008</v>
      </c>
      <c r="AC569" s="6">
        <f>$M$569*$W$569</f>
        <v>354259.690092</v>
      </c>
      <c r="AD569" s="6">
        <f>$O$569*$X$569</f>
        <v>1075489.6310927998</v>
      </c>
      <c r="AE569" s="6">
        <f ca="1">$K$569*$Y$569</f>
        <v>102684.46375385374</v>
      </c>
      <c r="AF569" s="6">
        <f ca="1">$M$569*$Z$569</f>
        <v>379651.34913939447</v>
      </c>
      <c r="AG569" s="6">
        <f>$O$569*$AA$569</f>
        <v>1001338.6416662013</v>
      </c>
    </row>
    <row r="570" spans="1:33" ht="11.25" customHeight="1" x14ac:dyDescent="0.25">
      <c r="A570" s="4" t="s">
        <v>21</v>
      </c>
      <c r="B570" s="4" t="s">
        <v>33</v>
      </c>
      <c r="C570" s="4" t="s">
        <v>41</v>
      </c>
      <c r="D570" s="4" t="s">
        <v>52</v>
      </c>
      <c r="E570" s="4" t="s">
        <v>53</v>
      </c>
      <c r="F570" s="4" t="s">
        <v>25</v>
      </c>
      <c r="G570" s="4" t="s">
        <v>25</v>
      </c>
      <c r="H570" s="4" t="s">
        <v>36</v>
      </c>
      <c r="I570" s="5">
        <v>43891</v>
      </c>
      <c r="J570" s="6">
        <v>9871</v>
      </c>
      <c r="K570" s="70">
        <v>9871</v>
      </c>
      <c r="L570" s="6">
        <v>4457.8869999999997</v>
      </c>
      <c r="M570" s="71">
        <v>4457.8869999999997</v>
      </c>
      <c r="N570" s="6">
        <v>4457.8869999999997</v>
      </c>
      <c r="O570" s="71">
        <v>4457.8869999999997</v>
      </c>
      <c r="P570" s="6">
        <v>0</v>
      </c>
      <c r="Q570" s="4" t="s">
        <v>26</v>
      </c>
      <c r="R570" s="4">
        <v>0</v>
      </c>
      <c r="S570" s="6">
        <v>22</v>
      </c>
      <c r="T570" s="6">
        <v>23</v>
      </c>
      <c r="U570" s="6">
        <v>82</v>
      </c>
      <c r="V570" s="71">
        <f>IF(ISERROR(VLOOKUP($S$570,'TAR FIN'!$A$1:$O$120,15,0)),0,VLOOKUP($S$570,'TAR FIN'!$A$1:$O$120,15,0))*(1-0.12)</f>
        <v>7.7528000000000006</v>
      </c>
      <c r="W570" s="71">
        <f>IF(ISERROR(VLOOKUP($T$570,'TAR FIN'!$A$1:$O$120,15,0)),0,VLOOKUP($T$570,'TAR FIN'!$A$1:$O$120,15,0))*(1-0.12)</f>
        <v>74.316000000000003</v>
      </c>
      <c r="X570" s="71">
        <f>IF(ISERROR(VLOOKUP($U$570,'TAR FIN'!$A$1:$O$120,15,0)),0,VLOOKUP($U$570,'TAR FIN'!$A$1:$O$120,15,0))*(1-0.12)</f>
        <v>225.61439999999999</v>
      </c>
      <c r="Y570" s="71">
        <f ca="1">('TUSD BE'!$AM$28+'TUSD BF'!$AM$28+'TUSD CVA'!$AM$28)*1*(1-0.09)</f>
        <v>10.421644550274408</v>
      </c>
      <c r="Z570" s="71">
        <f ca="1">('TUSD BE'!$AM$29+'TUSD BF'!$AM$29+'TUSD CVA'!$AM$29)*1*(1-0.09)</f>
        <v>79.642619388381775</v>
      </c>
      <c r="AA570" s="71">
        <f>('TE BE'!$AA$11+'TE BF'!$AA$11+'TE CVA'!$AA$11)*1*(1-0.09)</f>
        <v>210.05913056249776</v>
      </c>
      <c r="AB570" s="6">
        <f>$K$570*$V$570</f>
        <v>76527.888800000001</v>
      </c>
      <c r="AC570" s="6">
        <f>$M$570*$W$570</f>
        <v>331292.33029199997</v>
      </c>
      <c r="AD570" s="6">
        <f>$O$570*$X$570</f>
        <v>1005763.5007727998</v>
      </c>
      <c r="AE570" s="6">
        <f ca="1">$K$570*$Y$570</f>
        <v>102872.05335575868</v>
      </c>
      <c r="AF570" s="6">
        <f ca="1">$M$570*$Z$570</f>
        <v>355037.79761741502</v>
      </c>
      <c r="AG570" s="6">
        <f>$O$570*$AA$570</f>
        <v>936419.86736586143</v>
      </c>
    </row>
    <row r="571" spans="1:33" ht="11.25" customHeight="1" x14ac:dyDescent="0.25">
      <c r="A571" s="4" t="s">
        <v>21</v>
      </c>
      <c r="B571" s="4" t="s">
        <v>33</v>
      </c>
      <c r="C571" s="4" t="s">
        <v>41</v>
      </c>
      <c r="D571" s="4" t="s">
        <v>52</v>
      </c>
      <c r="E571" s="4" t="s">
        <v>53</v>
      </c>
      <c r="F571" s="4" t="s">
        <v>25</v>
      </c>
      <c r="G571" s="4" t="s">
        <v>25</v>
      </c>
      <c r="H571" s="4" t="s">
        <v>36</v>
      </c>
      <c r="I571" s="5">
        <v>43922</v>
      </c>
      <c r="J571" s="6">
        <v>9861</v>
      </c>
      <c r="K571" s="70">
        <v>9861</v>
      </c>
      <c r="L571" s="6">
        <v>4824.7709999999997</v>
      </c>
      <c r="M571" s="71">
        <v>4824.7709999999997</v>
      </c>
      <c r="N571" s="6">
        <v>4824.7709999999997</v>
      </c>
      <c r="O571" s="71">
        <v>4824.7709999999997</v>
      </c>
      <c r="P571" s="6">
        <v>0</v>
      </c>
      <c r="Q571" s="4" t="s">
        <v>26</v>
      </c>
      <c r="R571" s="4">
        <v>0</v>
      </c>
      <c r="S571" s="6">
        <v>22</v>
      </c>
      <c r="T571" s="6">
        <v>23</v>
      </c>
      <c r="U571" s="6">
        <v>82</v>
      </c>
      <c r="V571" s="71">
        <f>IF(ISERROR(VLOOKUP($S$571,'TAR FIN'!$A$1:$O$120,15,0)),0,VLOOKUP($S$571,'TAR FIN'!$A$1:$O$120,15,0))*(1-0.12)</f>
        <v>7.7528000000000006</v>
      </c>
      <c r="W571" s="71">
        <f>IF(ISERROR(VLOOKUP($T$571,'TAR FIN'!$A$1:$O$120,15,0)),0,VLOOKUP($T$571,'TAR FIN'!$A$1:$O$120,15,0))*(1-0.12)</f>
        <v>74.316000000000003</v>
      </c>
      <c r="X571" s="71">
        <f>IF(ISERROR(VLOOKUP($U$571,'TAR FIN'!$A$1:$O$120,15,0)),0,VLOOKUP($U$571,'TAR FIN'!$A$1:$O$120,15,0))*(1-0.12)</f>
        <v>225.61439999999999</v>
      </c>
      <c r="Y571" s="71">
        <f ca="1">('TUSD BE'!$AM$28+'TUSD BF'!$AM$28+'TUSD CVA'!$AM$28)*1*(1-0.09)</f>
        <v>10.421644550274408</v>
      </c>
      <c r="Z571" s="71">
        <f ca="1">('TUSD BE'!$AM$29+'TUSD BF'!$AM$29+'TUSD CVA'!$AM$29)*1*(1-0.09)</f>
        <v>79.642619388381775</v>
      </c>
      <c r="AA571" s="71">
        <f>('TE BE'!$AA$11+'TE BF'!$AA$11+'TE CVA'!$AA$11)*1*(1-0.09)</f>
        <v>210.05913056249776</v>
      </c>
      <c r="AB571" s="6">
        <f>$K$571*$V$571</f>
        <v>76450.360800000009</v>
      </c>
      <c r="AC571" s="6">
        <f>$M$571*$W$571</f>
        <v>358557.68163599999</v>
      </c>
      <c r="AD571" s="6">
        <f>$O$571*$X$571</f>
        <v>1088537.8143024</v>
      </c>
      <c r="AE571" s="6">
        <f ca="1">$K$571*$Y$571</f>
        <v>102767.83691025594</v>
      </c>
      <c r="AF571" s="6">
        <f ca="1">$M$571*$Z$571</f>
        <v>384257.40038910211</v>
      </c>
      <c r="AG571" s="6">
        <f>$O$571*$AA$571</f>
        <v>1013487.2014231528</v>
      </c>
    </row>
    <row r="572" spans="1:33" ht="11.25" customHeight="1" x14ac:dyDescent="0.25">
      <c r="A572" s="4" t="s">
        <v>21</v>
      </c>
      <c r="B572" s="4" t="s">
        <v>33</v>
      </c>
      <c r="C572" s="4" t="s">
        <v>41</v>
      </c>
      <c r="D572" s="4" t="s">
        <v>52</v>
      </c>
      <c r="E572" s="4" t="s">
        <v>53</v>
      </c>
      <c r="F572" s="4" t="s">
        <v>25</v>
      </c>
      <c r="G572" s="4" t="s">
        <v>25</v>
      </c>
      <c r="H572" s="4" t="s">
        <v>36</v>
      </c>
      <c r="I572" s="5">
        <v>43952</v>
      </c>
      <c r="J572" s="6">
        <v>9845</v>
      </c>
      <c r="K572" s="70">
        <v>9845</v>
      </c>
      <c r="L572" s="6">
        <v>4612.7529999999997</v>
      </c>
      <c r="M572" s="71">
        <v>4612.7529999999997</v>
      </c>
      <c r="N572" s="6">
        <v>4612.7529999999997</v>
      </c>
      <c r="O572" s="71">
        <v>4612.7529999999997</v>
      </c>
      <c r="P572" s="6">
        <v>0</v>
      </c>
      <c r="Q572" s="4" t="s">
        <v>26</v>
      </c>
      <c r="R572" s="4">
        <v>0</v>
      </c>
      <c r="S572" s="6">
        <v>22</v>
      </c>
      <c r="T572" s="6">
        <v>23</v>
      </c>
      <c r="U572" s="6">
        <v>82</v>
      </c>
      <c r="V572" s="71">
        <f>IF(ISERROR(VLOOKUP($S$572,'TAR FIN'!$A$1:$O$120,15,0)),0,VLOOKUP($S$572,'TAR FIN'!$A$1:$O$120,15,0))*(1-0.12)</f>
        <v>7.7528000000000006</v>
      </c>
      <c r="W572" s="71">
        <f>IF(ISERROR(VLOOKUP($T$572,'TAR FIN'!$A$1:$O$120,15,0)),0,VLOOKUP($T$572,'TAR FIN'!$A$1:$O$120,15,0))*(1-0.12)</f>
        <v>74.316000000000003</v>
      </c>
      <c r="X572" s="71">
        <f>IF(ISERROR(VLOOKUP($U$572,'TAR FIN'!$A$1:$O$120,15,0)),0,VLOOKUP($U$572,'TAR FIN'!$A$1:$O$120,15,0))*(1-0.12)</f>
        <v>225.61439999999999</v>
      </c>
      <c r="Y572" s="71">
        <f ca="1">('TUSD BE'!$AM$28+'TUSD BF'!$AM$28+'TUSD CVA'!$AM$28)*1*(1-0.09)</f>
        <v>10.421644550274408</v>
      </c>
      <c r="Z572" s="71">
        <f ca="1">('TUSD BE'!$AM$29+'TUSD BF'!$AM$29+'TUSD CVA'!$AM$29)*1*(1-0.09)</f>
        <v>79.642619388381775</v>
      </c>
      <c r="AA572" s="71">
        <f>('TE BE'!$AA$11+'TE BF'!$AA$11+'TE CVA'!$AA$11)*1*(1-0.09)</f>
        <v>210.05913056249776</v>
      </c>
      <c r="AB572" s="6">
        <f>$K$572*$V$572</f>
        <v>76326.316000000006</v>
      </c>
      <c r="AC572" s="6">
        <f>$M$572*$W$572</f>
        <v>342801.35194799997</v>
      </c>
      <c r="AD572" s="6">
        <f>$O$572*$X$572</f>
        <v>1040703.5004431999</v>
      </c>
      <c r="AE572" s="6">
        <f ca="1">$K$572*$Y$572</f>
        <v>102601.09059745155</v>
      </c>
      <c r="AF572" s="6">
        <f ca="1">$M$572*$Z$572</f>
        <v>367371.73151161615</v>
      </c>
      <c r="AG572" s="6">
        <f>$O$572*$AA$572</f>
        <v>968950.8846795531</v>
      </c>
    </row>
    <row r="573" spans="1:33" ht="11.25" customHeight="1" x14ac:dyDescent="0.25">
      <c r="A573" s="4" t="s">
        <v>21</v>
      </c>
      <c r="B573" s="4" t="s">
        <v>33</v>
      </c>
      <c r="C573" s="4" t="s">
        <v>41</v>
      </c>
      <c r="D573" s="4" t="s">
        <v>52</v>
      </c>
      <c r="E573" s="4" t="s">
        <v>53</v>
      </c>
      <c r="F573" s="4" t="s">
        <v>25</v>
      </c>
      <c r="G573" s="4" t="s">
        <v>25</v>
      </c>
      <c r="H573" s="4" t="s">
        <v>36</v>
      </c>
      <c r="I573" s="5">
        <v>43983</v>
      </c>
      <c r="J573" s="6">
        <v>9867</v>
      </c>
      <c r="K573" s="70">
        <v>9867</v>
      </c>
      <c r="L573" s="6">
        <v>4701.09</v>
      </c>
      <c r="M573" s="71">
        <v>4701.09</v>
      </c>
      <c r="N573" s="6">
        <v>4701.09</v>
      </c>
      <c r="O573" s="71">
        <v>4701.09</v>
      </c>
      <c r="P573" s="6">
        <v>0</v>
      </c>
      <c r="Q573" s="4" t="s">
        <v>26</v>
      </c>
      <c r="R573" s="4">
        <v>0</v>
      </c>
      <c r="S573" s="6">
        <v>22</v>
      </c>
      <c r="T573" s="6">
        <v>23</v>
      </c>
      <c r="U573" s="6">
        <v>82</v>
      </c>
      <c r="V573" s="71">
        <f>IF(ISERROR(VLOOKUP($S$573,'TAR FIN'!$A$1:$O$120,15,0)),0,VLOOKUP($S$573,'TAR FIN'!$A$1:$O$120,15,0))*(1-0.12)</f>
        <v>7.7528000000000006</v>
      </c>
      <c r="W573" s="71">
        <f>IF(ISERROR(VLOOKUP($T$573,'TAR FIN'!$A$1:$O$120,15,0)),0,VLOOKUP($T$573,'TAR FIN'!$A$1:$O$120,15,0))*(1-0.12)</f>
        <v>74.316000000000003</v>
      </c>
      <c r="X573" s="71">
        <f>IF(ISERROR(VLOOKUP($U$573,'TAR FIN'!$A$1:$O$120,15,0)),0,VLOOKUP($U$573,'TAR FIN'!$A$1:$O$120,15,0))*(1-0.12)</f>
        <v>225.61439999999999</v>
      </c>
      <c r="Y573" s="71">
        <f ca="1">('TUSD BE'!$AM$28+'TUSD BF'!$AM$28+'TUSD CVA'!$AM$28)*1*(1-0.09)</f>
        <v>10.421644550274408</v>
      </c>
      <c r="Z573" s="71">
        <f ca="1">('TUSD BE'!$AM$29+'TUSD BF'!$AM$29+'TUSD CVA'!$AM$29)*1*(1-0.09)</f>
        <v>79.642619388381775</v>
      </c>
      <c r="AA573" s="71">
        <f>('TE BE'!$AA$11+'TE BF'!$AA$11+'TE CVA'!$AA$11)*1*(1-0.09)</f>
        <v>210.05913056249776</v>
      </c>
      <c r="AB573" s="6">
        <f>$K$573*$V$573</f>
        <v>76496.877600000007</v>
      </c>
      <c r="AC573" s="6">
        <f>$M$573*$W$573</f>
        <v>349366.20444</v>
      </c>
      <c r="AD573" s="6">
        <f>$O$573*$X$573</f>
        <v>1060633.5996959999</v>
      </c>
      <c r="AE573" s="6">
        <f ca="1">$K$573*$Y$573</f>
        <v>102830.36677755759</v>
      </c>
      <c r="AF573" s="6">
        <f ca="1">$M$573*$Z$573</f>
        <v>374407.12158052769</v>
      </c>
      <c r="AG573" s="6">
        <f>$O$573*$AA$573</f>
        <v>987506.87809605256</v>
      </c>
    </row>
    <row r="574" spans="1:33" ht="11.25" customHeight="1" x14ac:dyDescent="0.25">
      <c r="A574" s="4" t="s">
        <v>21</v>
      </c>
      <c r="B574" s="4" t="s">
        <v>33</v>
      </c>
      <c r="C574" s="4" t="s">
        <v>41</v>
      </c>
      <c r="D574" s="4" t="s">
        <v>52</v>
      </c>
      <c r="E574" s="4" t="s">
        <v>53</v>
      </c>
      <c r="F574" s="4" t="s">
        <v>25</v>
      </c>
      <c r="G574" s="4" t="s">
        <v>25</v>
      </c>
      <c r="H574" s="4" t="s">
        <v>36</v>
      </c>
      <c r="I574" s="5">
        <v>44013</v>
      </c>
      <c r="J574" s="6">
        <v>9817</v>
      </c>
      <c r="K574" s="70">
        <v>9817</v>
      </c>
      <c r="L574" s="6">
        <v>4510.7780000000002</v>
      </c>
      <c r="M574" s="71">
        <v>4510.7780000000002</v>
      </c>
      <c r="N574" s="6">
        <v>4510.7780000000002</v>
      </c>
      <c r="O574" s="71">
        <v>4510.7780000000002</v>
      </c>
      <c r="P574" s="6">
        <v>0</v>
      </c>
      <c r="Q574" s="4" t="s">
        <v>26</v>
      </c>
      <c r="R574" s="4">
        <v>0</v>
      </c>
      <c r="S574" s="6">
        <v>22</v>
      </c>
      <c r="T574" s="6">
        <v>23</v>
      </c>
      <c r="U574" s="6">
        <v>82</v>
      </c>
      <c r="V574" s="71">
        <f>IF(ISERROR(VLOOKUP($S$574,'TAR FIN'!$A$1:$O$120,15,0)),0,VLOOKUP($S$574,'TAR FIN'!$A$1:$O$120,15,0))*(1-0.12)</f>
        <v>7.7528000000000006</v>
      </c>
      <c r="W574" s="71">
        <f>IF(ISERROR(VLOOKUP($T$574,'TAR FIN'!$A$1:$O$120,15,0)),0,VLOOKUP($T$574,'TAR FIN'!$A$1:$O$120,15,0))*(1-0.12)</f>
        <v>74.316000000000003</v>
      </c>
      <c r="X574" s="71">
        <f>IF(ISERROR(VLOOKUP($U$574,'TAR FIN'!$A$1:$O$120,15,0)),0,VLOOKUP($U$574,'TAR FIN'!$A$1:$O$120,15,0))*(1-0.12)</f>
        <v>225.61439999999999</v>
      </c>
      <c r="Y574" s="71">
        <f ca="1">('TUSD BE'!$AM$28+'TUSD BF'!$AM$28+'TUSD CVA'!$AM$28)*1*(1-0.09)</f>
        <v>10.421644550274408</v>
      </c>
      <c r="Z574" s="71">
        <f ca="1">('TUSD BE'!$AM$29+'TUSD BF'!$AM$29+'TUSD CVA'!$AM$29)*1*(1-0.09)</f>
        <v>79.642619388381775</v>
      </c>
      <c r="AA574" s="71">
        <f>('TE BE'!$AA$11+'TE BF'!$AA$11+'TE CVA'!$AA$11)*1*(1-0.09)</f>
        <v>210.05913056249776</v>
      </c>
      <c r="AB574" s="6">
        <f>$K$574*$V$574</f>
        <v>76109.237600000008</v>
      </c>
      <c r="AC574" s="6">
        <f>$M$574*$W$574</f>
        <v>335222.97784800001</v>
      </c>
      <c r="AD574" s="6">
        <f>$O$574*$X$574</f>
        <v>1017696.4720032</v>
      </c>
      <c r="AE574" s="6">
        <f ca="1">$K$574*$Y$574</f>
        <v>102309.28455004386</v>
      </c>
      <c r="AF574" s="6">
        <f ca="1">$M$574*$Z$574</f>
        <v>359250.17539948598</v>
      </c>
      <c r="AG574" s="6">
        <f>$O$574*$AA$574</f>
        <v>947530.10484044254</v>
      </c>
    </row>
    <row r="575" spans="1:33" ht="11.25" customHeight="1" x14ac:dyDescent="0.25">
      <c r="A575" s="4" t="s">
        <v>21</v>
      </c>
      <c r="B575" s="4" t="s">
        <v>33</v>
      </c>
      <c r="C575" s="4" t="s">
        <v>41</v>
      </c>
      <c r="D575" s="4" t="s">
        <v>52</v>
      </c>
      <c r="E575" s="4" t="s">
        <v>53</v>
      </c>
      <c r="F575" s="4" t="s">
        <v>25</v>
      </c>
      <c r="G575" s="4" t="s">
        <v>25</v>
      </c>
      <c r="H575" s="4" t="s">
        <v>36</v>
      </c>
      <c r="I575" s="5">
        <v>44044</v>
      </c>
      <c r="J575" s="6">
        <v>9822</v>
      </c>
      <c r="K575" s="70">
        <v>9822</v>
      </c>
      <c r="L575" s="6">
        <v>4519.3159999999998</v>
      </c>
      <c r="M575" s="71">
        <v>4519.3159999999998</v>
      </c>
      <c r="N575" s="6">
        <v>4519.3159999999998</v>
      </c>
      <c r="O575" s="71">
        <v>4519.3159999999998</v>
      </c>
      <c r="P575" s="6">
        <v>0</v>
      </c>
      <c r="Q575" s="4" t="s">
        <v>26</v>
      </c>
      <c r="R575" s="4">
        <v>0</v>
      </c>
      <c r="S575" s="6">
        <v>22</v>
      </c>
      <c r="T575" s="6">
        <v>23</v>
      </c>
      <c r="U575" s="6">
        <v>82</v>
      </c>
      <c r="V575" s="71">
        <f>IF(ISERROR(VLOOKUP($S$575,'TAR FIN'!$A$1:$O$120,15,0)),0,VLOOKUP($S$575,'TAR FIN'!$A$1:$O$120,15,0))*(1-0.12)</f>
        <v>7.7528000000000006</v>
      </c>
      <c r="W575" s="71">
        <f>IF(ISERROR(VLOOKUP($T$575,'TAR FIN'!$A$1:$O$120,15,0)),0,VLOOKUP($T$575,'TAR FIN'!$A$1:$O$120,15,0))*(1-0.12)</f>
        <v>74.316000000000003</v>
      </c>
      <c r="X575" s="71">
        <f>IF(ISERROR(VLOOKUP($U$575,'TAR FIN'!$A$1:$O$120,15,0)),0,VLOOKUP($U$575,'TAR FIN'!$A$1:$O$120,15,0))*(1-0.12)</f>
        <v>225.61439999999999</v>
      </c>
      <c r="Y575" s="71">
        <f ca="1">('TUSD BE'!$AM$28+'TUSD BF'!$AM$28+'TUSD CVA'!$AM$28)*1*(1-0.09)</f>
        <v>10.421644550274408</v>
      </c>
      <c r="Z575" s="71">
        <f ca="1">('TUSD BE'!$AM$29+'TUSD BF'!$AM$29+'TUSD CVA'!$AM$29)*1*(1-0.09)</f>
        <v>79.642619388381775</v>
      </c>
      <c r="AA575" s="71">
        <f>('TE BE'!$AA$11+'TE BF'!$AA$11+'TE CVA'!$AA$11)*1*(1-0.09)</f>
        <v>210.05913056249776</v>
      </c>
      <c r="AB575" s="6">
        <f>$K$575*$V$575</f>
        <v>76148.001600000003</v>
      </c>
      <c r="AC575" s="6">
        <f>$M$575*$W$575</f>
        <v>335857.48785600002</v>
      </c>
      <c r="AD575" s="6">
        <f>$O$575*$X$575</f>
        <v>1019622.7677503999</v>
      </c>
      <c r="AE575" s="6">
        <f ca="1">$K$575*$Y$575</f>
        <v>102361.39277279524</v>
      </c>
      <c r="AF575" s="6">
        <f ca="1">$M$575*$Z$575</f>
        <v>359930.16408382397</v>
      </c>
      <c r="AG575" s="6">
        <f>$O$575*$AA$575</f>
        <v>949323.58969718509</v>
      </c>
    </row>
    <row r="576" spans="1:33" ht="11.25" customHeight="1" x14ac:dyDescent="0.25">
      <c r="A576" s="4" t="s">
        <v>59</v>
      </c>
      <c r="B576" s="4" t="s">
        <v>33</v>
      </c>
      <c r="C576" s="4" t="s">
        <v>41</v>
      </c>
      <c r="D576" s="4" t="s">
        <v>52</v>
      </c>
      <c r="E576" s="4" t="s">
        <v>53</v>
      </c>
      <c r="F576" s="4" t="s">
        <v>25</v>
      </c>
      <c r="G576" s="4" t="s">
        <v>25</v>
      </c>
      <c r="H576" s="4" t="s">
        <v>36</v>
      </c>
      <c r="I576" s="5">
        <v>44075</v>
      </c>
      <c r="J576" s="6">
        <v>9822</v>
      </c>
      <c r="K576" s="70">
        <v>9822</v>
      </c>
      <c r="L576" s="6">
        <v>4519.3159999999998</v>
      </c>
      <c r="M576" s="71">
        <v>4519.3159999999998</v>
      </c>
      <c r="N576" s="6">
        <v>4519.3159999999998</v>
      </c>
      <c r="O576" s="71">
        <v>4519.3159999999998</v>
      </c>
      <c r="P576" s="6">
        <v>0</v>
      </c>
      <c r="Q576" s="4" t="s">
        <v>26</v>
      </c>
      <c r="R576" s="4">
        <v>0</v>
      </c>
      <c r="S576" s="6">
        <v>22</v>
      </c>
      <c r="T576" s="6">
        <v>23</v>
      </c>
      <c r="U576" s="6">
        <v>82</v>
      </c>
      <c r="V576" s="71">
        <f>IF(ISERROR(VLOOKUP($S$576,'TAR FIN'!$A$1:$O$120,15,0)),0,VLOOKUP($S$576,'TAR FIN'!$A$1:$O$120,15,0))*(1-0.12)</f>
        <v>7.7528000000000006</v>
      </c>
      <c r="W576" s="71">
        <f>IF(ISERROR(VLOOKUP($T$576,'TAR FIN'!$A$1:$O$120,15,0)),0,VLOOKUP($T$576,'TAR FIN'!$A$1:$O$120,15,0))*(1-0.12)</f>
        <v>74.316000000000003</v>
      </c>
      <c r="X576" s="71">
        <f>IF(ISERROR(VLOOKUP($U$576,'TAR FIN'!$A$1:$O$120,15,0)),0,VLOOKUP($U$576,'TAR FIN'!$A$1:$O$120,15,0))*(1-0.12)</f>
        <v>225.61439999999999</v>
      </c>
      <c r="Y576" s="71">
        <f ca="1">('TUSD BE'!$AM$28+'TUSD BF'!$AM$28+'TUSD CVA'!$AM$28)*1*(1-0.09)</f>
        <v>10.421644550274408</v>
      </c>
      <c r="Z576" s="71">
        <f ca="1">('TUSD BE'!$AM$29+'TUSD BF'!$AM$29+'TUSD CVA'!$AM$29)*1*(1-0.09)</f>
        <v>79.642619388381775</v>
      </c>
      <c r="AA576" s="71">
        <f>('TE BE'!$AA$11+'TE BF'!$AA$11+'TE CVA'!$AA$11)*1*(1-0.09)</f>
        <v>210.05913056249776</v>
      </c>
      <c r="AB576" s="6">
        <f>$K$576*$V$576</f>
        <v>76148.001600000003</v>
      </c>
      <c r="AC576" s="6">
        <f>$M$576*$W$576</f>
        <v>335857.48785600002</v>
      </c>
      <c r="AD576" s="6">
        <f>$O$576*$X$576</f>
        <v>1019622.7677503999</v>
      </c>
      <c r="AE576" s="6">
        <f ca="1">$K$576*$Y$576</f>
        <v>102361.39277279524</v>
      </c>
      <c r="AF576" s="6">
        <f ca="1">$M$576*$Z$576</f>
        <v>359930.16408382397</v>
      </c>
      <c r="AG576" s="6">
        <f>$O$576*$AA$576</f>
        <v>949323.58969718509</v>
      </c>
    </row>
    <row r="577" spans="1:33" ht="11.25" customHeight="1" x14ac:dyDescent="0.25">
      <c r="A577" s="4" t="s">
        <v>21</v>
      </c>
      <c r="B577" s="4" t="s">
        <v>33</v>
      </c>
      <c r="C577" s="4" t="s">
        <v>41</v>
      </c>
      <c r="D577" s="4" t="s">
        <v>52</v>
      </c>
      <c r="E577" s="4" t="s">
        <v>53</v>
      </c>
      <c r="F577" s="4" t="s">
        <v>25</v>
      </c>
      <c r="G577" s="4" t="s">
        <v>25</v>
      </c>
      <c r="H577" s="4" t="s">
        <v>35</v>
      </c>
      <c r="I577" s="5">
        <v>43739</v>
      </c>
      <c r="J577" s="6">
        <v>7945</v>
      </c>
      <c r="K577" s="70">
        <v>7945</v>
      </c>
      <c r="L577" s="6">
        <v>389.94</v>
      </c>
      <c r="M577" s="71">
        <v>389.94</v>
      </c>
      <c r="N577" s="6">
        <v>389.94</v>
      </c>
      <c r="O577" s="71">
        <v>389.94</v>
      </c>
      <c r="P577" s="6">
        <v>0</v>
      </c>
      <c r="Q577" s="4" t="s">
        <v>26</v>
      </c>
      <c r="R577" s="4">
        <v>0</v>
      </c>
      <c r="S577" s="6">
        <v>21</v>
      </c>
      <c r="T577" s="6">
        <v>23</v>
      </c>
      <c r="U577" s="6">
        <v>81</v>
      </c>
      <c r="V577" s="71">
        <f>IF(ISERROR(VLOOKUP($S$577,'TAR FIN'!$A$1:$O$120,15,0)),0,VLOOKUP($S$577,'TAR FIN'!$A$1:$O$120,15,0))*(1-0.12)</f>
        <v>20.187200000000001</v>
      </c>
      <c r="W577" s="71">
        <f>IF(ISERROR(VLOOKUP($T$577,'TAR FIN'!$A$1:$O$120,15,0)),0,VLOOKUP($T$577,'TAR FIN'!$A$1:$O$120,15,0))*(1-0.12)</f>
        <v>74.316000000000003</v>
      </c>
      <c r="X577" s="71">
        <f>IF(ISERROR(VLOOKUP($U$577,'TAR FIN'!$A$1:$O$120,15,0)),0,VLOOKUP($U$577,'TAR FIN'!$A$1:$O$120,15,0))*(1-0.12)</f>
        <v>379.16559999999998</v>
      </c>
      <c r="Y577" s="71">
        <f ca="1">('TUSD BE'!$AM$27+'TUSD BF'!$AM$27+'TUSD CVA'!$AM$27)*1*(1-0.09)</f>
        <v>24.766817708975264</v>
      </c>
      <c r="Z577" s="71">
        <f ca="1">('TUSD BE'!$AM$29+'TUSD BF'!$AM$29+'TUSD CVA'!$AM$29)*1*(1-0.09)</f>
        <v>79.642619388381775</v>
      </c>
      <c r="AA577" s="71">
        <f>('TE BE'!$AA$10+'TE BF'!$AA$10+'TE CVA'!$AA$10)*1*(1-0.09)</f>
        <v>341.87954044517699</v>
      </c>
      <c r="AB577" s="6">
        <f>$K$577*$V$577</f>
        <v>160387.304</v>
      </c>
      <c r="AC577" s="6">
        <f>$M$577*$W$577</f>
        <v>28978.781040000002</v>
      </c>
      <c r="AD577" s="6">
        <f>$O$577*$X$577</f>
        <v>147851.834064</v>
      </c>
      <c r="AE577" s="6">
        <f ca="1">$K$577*$Y$577</f>
        <v>196772.36669780847</v>
      </c>
      <c r="AF577" s="6">
        <f ca="1">$M$577*$Z$577</f>
        <v>31055.843004305589</v>
      </c>
      <c r="AG577" s="6">
        <f>$O$577*$AA$577</f>
        <v>133312.50800119233</v>
      </c>
    </row>
    <row r="578" spans="1:33" ht="11.25" customHeight="1" x14ac:dyDescent="0.25">
      <c r="A578" s="4" t="s">
        <v>21</v>
      </c>
      <c r="B578" s="4" t="s">
        <v>33</v>
      </c>
      <c r="C578" s="4" t="s">
        <v>41</v>
      </c>
      <c r="D578" s="4" t="s">
        <v>52</v>
      </c>
      <c r="E578" s="4" t="s">
        <v>53</v>
      </c>
      <c r="F578" s="4" t="s">
        <v>25</v>
      </c>
      <c r="G578" s="4" t="s">
        <v>25</v>
      </c>
      <c r="H578" s="4" t="s">
        <v>35</v>
      </c>
      <c r="I578" s="5">
        <v>43770</v>
      </c>
      <c r="J578" s="6">
        <v>7973</v>
      </c>
      <c r="K578" s="70">
        <v>7973</v>
      </c>
      <c r="L578" s="6">
        <v>407.637</v>
      </c>
      <c r="M578" s="71">
        <v>407.637</v>
      </c>
      <c r="N578" s="6">
        <v>407.637</v>
      </c>
      <c r="O578" s="71">
        <v>407.637</v>
      </c>
      <c r="P578" s="6">
        <v>0</v>
      </c>
      <c r="Q578" s="4" t="s">
        <v>26</v>
      </c>
      <c r="R578" s="4">
        <v>0</v>
      </c>
      <c r="S578" s="6">
        <v>21</v>
      </c>
      <c r="T578" s="6">
        <v>23</v>
      </c>
      <c r="U578" s="6">
        <v>81</v>
      </c>
      <c r="V578" s="71">
        <f>IF(ISERROR(VLOOKUP($S$578,'TAR FIN'!$A$1:$O$120,15,0)),0,VLOOKUP($S$578,'TAR FIN'!$A$1:$O$120,15,0))*(1-0.12)</f>
        <v>20.187200000000001</v>
      </c>
      <c r="W578" s="71">
        <f>IF(ISERROR(VLOOKUP($T$578,'TAR FIN'!$A$1:$O$120,15,0)),0,VLOOKUP($T$578,'TAR FIN'!$A$1:$O$120,15,0))*(1-0.12)</f>
        <v>74.316000000000003</v>
      </c>
      <c r="X578" s="71">
        <f>IF(ISERROR(VLOOKUP($U$578,'TAR FIN'!$A$1:$O$120,15,0)),0,VLOOKUP($U$578,'TAR FIN'!$A$1:$O$120,15,0))*(1-0.12)</f>
        <v>379.16559999999998</v>
      </c>
      <c r="Y578" s="71">
        <f ca="1">('TUSD BE'!$AM$27+'TUSD BF'!$AM$27+'TUSD CVA'!$AM$27)*1*(1-0.09)</f>
        <v>24.766817708975264</v>
      </c>
      <c r="Z578" s="71">
        <f ca="1">('TUSD BE'!$AM$29+'TUSD BF'!$AM$29+'TUSD CVA'!$AM$29)*1*(1-0.09)</f>
        <v>79.642619388381775</v>
      </c>
      <c r="AA578" s="71">
        <f>('TE BE'!$AA$10+'TE BF'!$AA$10+'TE CVA'!$AA$10)*1*(1-0.09)</f>
        <v>341.87954044517699</v>
      </c>
      <c r="AB578" s="6">
        <f>$K$578*$V$578</f>
        <v>160952.54560000001</v>
      </c>
      <c r="AC578" s="6">
        <f>$M$578*$W$578</f>
        <v>30293.951292000002</v>
      </c>
      <c r="AD578" s="6">
        <f>$O$578*$X$578</f>
        <v>154561.92768719999</v>
      </c>
      <c r="AE578" s="6">
        <f ca="1">$K$578*$Y$578</f>
        <v>197465.83759365979</v>
      </c>
      <c r="AF578" s="6">
        <f ca="1">$M$578*$Z$578</f>
        <v>32465.278439621783</v>
      </c>
      <c r="AG578" s="6">
        <f>$O$578*$AA$578</f>
        <v>139362.7502284506</v>
      </c>
    </row>
    <row r="579" spans="1:33" ht="11.25" customHeight="1" x14ac:dyDescent="0.25">
      <c r="A579" s="4" t="s">
        <v>21</v>
      </c>
      <c r="B579" s="4" t="s">
        <v>33</v>
      </c>
      <c r="C579" s="4" t="s">
        <v>41</v>
      </c>
      <c r="D579" s="4" t="s">
        <v>52</v>
      </c>
      <c r="E579" s="4" t="s">
        <v>53</v>
      </c>
      <c r="F579" s="4" t="s">
        <v>25</v>
      </c>
      <c r="G579" s="4" t="s">
        <v>25</v>
      </c>
      <c r="H579" s="4" t="s">
        <v>35</v>
      </c>
      <c r="I579" s="5">
        <v>43800</v>
      </c>
      <c r="J579" s="6">
        <v>7941</v>
      </c>
      <c r="K579" s="70">
        <v>7941</v>
      </c>
      <c r="L579" s="6">
        <v>362.37299999999999</v>
      </c>
      <c r="M579" s="71">
        <v>362.37299999999999</v>
      </c>
      <c r="N579" s="6">
        <v>362.37299999999999</v>
      </c>
      <c r="O579" s="71">
        <v>362.37299999999999</v>
      </c>
      <c r="P579" s="6">
        <v>0</v>
      </c>
      <c r="Q579" s="4" t="s">
        <v>26</v>
      </c>
      <c r="R579" s="4">
        <v>0</v>
      </c>
      <c r="S579" s="6">
        <v>21</v>
      </c>
      <c r="T579" s="6">
        <v>23</v>
      </c>
      <c r="U579" s="6">
        <v>81</v>
      </c>
      <c r="V579" s="71">
        <f>IF(ISERROR(VLOOKUP($S$579,'TAR FIN'!$A$1:$O$120,15,0)),0,VLOOKUP($S$579,'TAR FIN'!$A$1:$O$120,15,0))*(1-0.12)</f>
        <v>20.187200000000001</v>
      </c>
      <c r="W579" s="71">
        <f>IF(ISERROR(VLOOKUP($T$579,'TAR FIN'!$A$1:$O$120,15,0)),0,VLOOKUP($T$579,'TAR FIN'!$A$1:$O$120,15,0))*(1-0.12)</f>
        <v>74.316000000000003</v>
      </c>
      <c r="X579" s="71">
        <f>IF(ISERROR(VLOOKUP($U$579,'TAR FIN'!$A$1:$O$120,15,0)),0,VLOOKUP($U$579,'TAR FIN'!$A$1:$O$120,15,0))*(1-0.12)</f>
        <v>379.16559999999998</v>
      </c>
      <c r="Y579" s="71">
        <f ca="1">('TUSD BE'!$AM$27+'TUSD BF'!$AM$27+'TUSD CVA'!$AM$27)*1*(1-0.09)</f>
        <v>24.766817708975264</v>
      </c>
      <c r="Z579" s="71">
        <f ca="1">('TUSD BE'!$AM$29+'TUSD BF'!$AM$29+'TUSD CVA'!$AM$29)*1*(1-0.09)</f>
        <v>79.642619388381775</v>
      </c>
      <c r="AA579" s="71">
        <f>('TE BE'!$AA$10+'TE BF'!$AA$10+'TE CVA'!$AA$10)*1*(1-0.09)</f>
        <v>341.87954044517699</v>
      </c>
      <c r="AB579" s="6">
        <f>$K$579*$V$579</f>
        <v>160306.5552</v>
      </c>
      <c r="AC579" s="6">
        <f>$M$579*$W$579</f>
        <v>26930.111868</v>
      </c>
      <c r="AD579" s="6">
        <f>$O$579*$X$579</f>
        <v>137399.37596879998</v>
      </c>
      <c r="AE579" s="6">
        <f ca="1">$K$579*$Y$579</f>
        <v>196673.29942697258</v>
      </c>
      <c r="AF579" s="6">
        <f ca="1">$M$579*$Z$579</f>
        <v>28860.334915626067</v>
      </c>
      <c r="AG579" s="6">
        <f>$O$579*$AA$579</f>
        <v>123887.91470974011</v>
      </c>
    </row>
    <row r="580" spans="1:33" ht="11.25" customHeight="1" x14ac:dyDescent="0.25">
      <c r="A580" s="4" t="s">
        <v>21</v>
      </c>
      <c r="B580" s="4" t="s">
        <v>33</v>
      </c>
      <c r="C580" s="4" t="s">
        <v>41</v>
      </c>
      <c r="D580" s="4" t="s">
        <v>52</v>
      </c>
      <c r="E580" s="4" t="s">
        <v>53</v>
      </c>
      <c r="F580" s="4" t="s">
        <v>25</v>
      </c>
      <c r="G580" s="4" t="s">
        <v>25</v>
      </c>
      <c r="H580" s="4" t="s">
        <v>35</v>
      </c>
      <c r="I580" s="5">
        <v>43831</v>
      </c>
      <c r="J580" s="6">
        <v>7921</v>
      </c>
      <c r="K580" s="70">
        <v>7921</v>
      </c>
      <c r="L580" s="6">
        <v>378.95400000000001</v>
      </c>
      <c r="M580" s="71">
        <v>378.95400000000001</v>
      </c>
      <c r="N580" s="6">
        <v>378.95400000000001</v>
      </c>
      <c r="O580" s="71">
        <v>378.95400000000001</v>
      </c>
      <c r="P580" s="6">
        <v>0</v>
      </c>
      <c r="Q580" s="4" t="s">
        <v>26</v>
      </c>
      <c r="R580" s="4">
        <v>0</v>
      </c>
      <c r="S580" s="6">
        <v>21</v>
      </c>
      <c r="T580" s="6">
        <v>23</v>
      </c>
      <c r="U580" s="6">
        <v>81</v>
      </c>
      <c r="V580" s="71">
        <f>IF(ISERROR(VLOOKUP($S$580,'TAR FIN'!$A$1:$O$120,15,0)),0,VLOOKUP($S$580,'TAR FIN'!$A$1:$O$120,15,0))*(1-0.12)</f>
        <v>20.187200000000001</v>
      </c>
      <c r="W580" s="71">
        <f>IF(ISERROR(VLOOKUP($T$580,'TAR FIN'!$A$1:$O$120,15,0)),0,VLOOKUP($T$580,'TAR FIN'!$A$1:$O$120,15,0))*(1-0.12)</f>
        <v>74.316000000000003</v>
      </c>
      <c r="X580" s="71">
        <f>IF(ISERROR(VLOOKUP($U$580,'TAR FIN'!$A$1:$O$120,15,0)),0,VLOOKUP($U$580,'TAR FIN'!$A$1:$O$120,15,0))*(1-0.12)</f>
        <v>379.16559999999998</v>
      </c>
      <c r="Y580" s="71">
        <f ca="1">('TUSD BE'!$AM$27+'TUSD BF'!$AM$27+'TUSD CVA'!$AM$27)*1*(1-0.09)</f>
        <v>24.766817708975264</v>
      </c>
      <c r="Z580" s="71">
        <f ca="1">('TUSD BE'!$AM$29+'TUSD BF'!$AM$29+'TUSD CVA'!$AM$29)*1*(1-0.09)</f>
        <v>79.642619388381775</v>
      </c>
      <c r="AA580" s="71">
        <f>('TE BE'!$AA$10+'TE BF'!$AA$10+'TE CVA'!$AA$10)*1*(1-0.09)</f>
        <v>341.87954044517699</v>
      </c>
      <c r="AB580" s="6">
        <f>$K$580*$V$580</f>
        <v>159902.8112</v>
      </c>
      <c r="AC580" s="6">
        <f>$M$580*$W$580</f>
        <v>28162.345464000002</v>
      </c>
      <c r="AD580" s="6">
        <f>$O$580*$X$580</f>
        <v>143686.3207824</v>
      </c>
      <c r="AE580" s="6">
        <f ca="1">$K$580*$Y$580</f>
        <v>196177.96307279306</v>
      </c>
      <c r="AF580" s="6">
        <f ca="1">$M$580*$Z$580</f>
        <v>30180.889187704826</v>
      </c>
      <c r="AG580" s="6">
        <f>$O$580*$AA$580</f>
        <v>129556.6193698616</v>
      </c>
    </row>
    <row r="581" spans="1:33" ht="11.25" customHeight="1" x14ac:dyDescent="0.25">
      <c r="A581" s="4" t="s">
        <v>21</v>
      </c>
      <c r="B581" s="4" t="s">
        <v>33</v>
      </c>
      <c r="C581" s="4" t="s">
        <v>41</v>
      </c>
      <c r="D581" s="4" t="s">
        <v>52</v>
      </c>
      <c r="E581" s="4" t="s">
        <v>53</v>
      </c>
      <c r="F581" s="4" t="s">
        <v>25</v>
      </c>
      <c r="G581" s="4" t="s">
        <v>25</v>
      </c>
      <c r="H581" s="4" t="s">
        <v>35</v>
      </c>
      <c r="I581" s="5">
        <v>43862</v>
      </c>
      <c r="J581" s="6">
        <v>7899</v>
      </c>
      <c r="K581" s="70">
        <v>7899</v>
      </c>
      <c r="L581" s="6">
        <v>402.07499999999999</v>
      </c>
      <c r="M581" s="71">
        <v>402.07499999999999</v>
      </c>
      <c r="N581" s="6">
        <v>402.07499999999999</v>
      </c>
      <c r="O581" s="71">
        <v>402.07499999999999</v>
      </c>
      <c r="P581" s="6">
        <v>0</v>
      </c>
      <c r="Q581" s="4" t="s">
        <v>26</v>
      </c>
      <c r="R581" s="4">
        <v>0</v>
      </c>
      <c r="S581" s="6">
        <v>21</v>
      </c>
      <c r="T581" s="6">
        <v>23</v>
      </c>
      <c r="U581" s="6">
        <v>81</v>
      </c>
      <c r="V581" s="71">
        <f>IF(ISERROR(VLOOKUP($S$581,'TAR FIN'!$A$1:$O$120,15,0)),0,VLOOKUP($S$581,'TAR FIN'!$A$1:$O$120,15,0))*(1-0.12)</f>
        <v>20.187200000000001</v>
      </c>
      <c r="W581" s="71">
        <f>IF(ISERROR(VLOOKUP($T$581,'TAR FIN'!$A$1:$O$120,15,0)),0,VLOOKUP($T$581,'TAR FIN'!$A$1:$O$120,15,0))*(1-0.12)</f>
        <v>74.316000000000003</v>
      </c>
      <c r="X581" s="71">
        <f>IF(ISERROR(VLOOKUP($U$581,'TAR FIN'!$A$1:$O$120,15,0)),0,VLOOKUP($U$581,'TAR FIN'!$A$1:$O$120,15,0))*(1-0.12)</f>
        <v>379.16559999999998</v>
      </c>
      <c r="Y581" s="71">
        <f ca="1">('TUSD BE'!$AM$27+'TUSD BF'!$AM$27+'TUSD CVA'!$AM$27)*1*(1-0.09)</f>
        <v>24.766817708975264</v>
      </c>
      <c r="Z581" s="71">
        <f ca="1">('TUSD BE'!$AM$29+'TUSD BF'!$AM$29+'TUSD CVA'!$AM$29)*1*(1-0.09)</f>
        <v>79.642619388381775</v>
      </c>
      <c r="AA581" s="71">
        <f>('TE BE'!$AA$10+'TE BF'!$AA$10+'TE CVA'!$AA$10)*1*(1-0.09)</f>
        <v>341.87954044517699</v>
      </c>
      <c r="AB581" s="6">
        <f>$K$581*$V$581</f>
        <v>159458.69280000002</v>
      </c>
      <c r="AC581" s="6">
        <f>$M$581*$W$581</f>
        <v>29880.6057</v>
      </c>
      <c r="AD581" s="6">
        <f>$O$581*$X$581</f>
        <v>152453.00861999998</v>
      </c>
      <c r="AE581" s="6">
        <f ca="1">$K$581*$Y$581</f>
        <v>195633.09308319562</v>
      </c>
      <c r="AF581" s="6">
        <f ca="1">$M$581*$Z$581</f>
        <v>32022.3061905836</v>
      </c>
      <c r="AG581" s="6">
        <f>$O$581*$AA$581</f>
        <v>137461.21622449454</v>
      </c>
    </row>
    <row r="582" spans="1:33" ht="11.25" customHeight="1" x14ac:dyDescent="0.25">
      <c r="A582" s="4" t="s">
        <v>21</v>
      </c>
      <c r="B582" s="4" t="s">
        <v>33</v>
      </c>
      <c r="C582" s="4" t="s">
        <v>41</v>
      </c>
      <c r="D582" s="4" t="s">
        <v>52</v>
      </c>
      <c r="E582" s="4" t="s">
        <v>53</v>
      </c>
      <c r="F582" s="4" t="s">
        <v>25</v>
      </c>
      <c r="G582" s="4" t="s">
        <v>25</v>
      </c>
      <c r="H582" s="4" t="s">
        <v>35</v>
      </c>
      <c r="I582" s="5">
        <v>43891</v>
      </c>
      <c r="J582" s="6">
        <v>7933</v>
      </c>
      <c r="K582" s="70">
        <v>7933</v>
      </c>
      <c r="L582" s="6">
        <v>366.37299999999999</v>
      </c>
      <c r="M582" s="71">
        <v>366.37299999999999</v>
      </c>
      <c r="N582" s="6">
        <v>366.37299999999999</v>
      </c>
      <c r="O582" s="71">
        <v>366.37299999999999</v>
      </c>
      <c r="P582" s="6">
        <v>0</v>
      </c>
      <c r="Q582" s="4" t="s">
        <v>26</v>
      </c>
      <c r="R582" s="4">
        <v>0</v>
      </c>
      <c r="S582" s="6">
        <v>21</v>
      </c>
      <c r="T582" s="6">
        <v>23</v>
      </c>
      <c r="U582" s="6">
        <v>81</v>
      </c>
      <c r="V582" s="71">
        <f>IF(ISERROR(VLOOKUP($S$582,'TAR FIN'!$A$1:$O$120,15,0)),0,VLOOKUP($S$582,'TAR FIN'!$A$1:$O$120,15,0))*(1-0.12)</f>
        <v>20.187200000000001</v>
      </c>
      <c r="W582" s="71">
        <f>IF(ISERROR(VLOOKUP($T$582,'TAR FIN'!$A$1:$O$120,15,0)),0,VLOOKUP($T$582,'TAR FIN'!$A$1:$O$120,15,0))*(1-0.12)</f>
        <v>74.316000000000003</v>
      </c>
      <c r="X582" s="71">
        <f>IF(ISERROR(VLOOKUP($U$582,'TAR FIN'!$A$1:$O$120,15,0)),0,VLOOKUP($U$582,'TAR FIN'!$A$1:$O$120,15,0))*(1-0.12)</f>
        <v>379.16559999999998</v>
      </c>
      <c r="Y582" s="71">
        <f ca="1">('TUSD BE'!$AM$27+'TUSD BF'!$AM$27+'TUSD CVA'!$AM$27)*1*(1-0.09)</f>
        <v>24.766817708975264</v>
      </c>
      <c r="Z582" s="71">
        <f ca="1">('TUSD BE'!$AM$29+'TUSD BF'!$AM$29+'TUSD CVA'!$AM$29)*1*(1-0.09)</f>
        <v>79.642619388381775</v>
      </c>
      <c r="AA582" s="71">
        <f>('TE BE'!$AA$10+'TE BF'!$AA$10+'TE CVA'!$AA$10)*1*(1-0.09)</f>
        <v>341.87954044517699</v>
      </c>
      <c r="AB582" s="6">
        <f>$K$582*$V$582</f>
        <v>160145.0576</v>
      </c>
      <c r="AC582" s="6">
        <f>$M$582*$W$582</f>
        <v>27227.375867999999</v>
      </c>
      <c r="AD582" s="6">
        <f>$O$582*$X$582</f>
        <v>138916.03836879999</v>
      </c>
      <c r="AE582" s="6">
        <f ca="1">$K$582*$Y$582</f>
        <v>196475.16488530076</v>
      </c>
      <c r="AF582" s="6">
        <f ca="1">$M$582*$Z$582</f>
        <v>29178.905393179593</v>
      </c>
      <c r="AG582" s="6">
        <f>$O$582*$AA$582</f>
        <v>125255.43287152082</v>
      </c>
    </row>
    <row r="583" spans="1:33" ht="11.25" customHeight="1" x14ac:dyDescent="0.25">
      <c r="A583" s="4" t="s">
        <v>21</v>
      </c>
      <c r="B583" s="4" t="s">
        <v>33</v>
      </c>
      <c r="C583" s="4" t="s">
        <v>41</v>
      </c>
      <c r="D583" s="4" t="s">
        <v>52</v>
      </c>
      <c r="E583" s="4" t="s">
        <v>53</v>
      </c>
      <c r="F583" s="4" t="s">
        <v>25</v>
      </c>
      <c r="G583" s="4" t="s">
        <v>25</v>
      </c>
      <c r="H583" s="4" t="s">
        <v>35</v>
      </c>
      <c r="I583" s="5">
        <v>43922</v>
      </c>
      <c r="J583" s="6">
        <v>7955</v>
      </c>
      <c r="K583" s="70">
        <v>7955</v>
      </c>
      <c r="L583" s="6">
        <v>416.745</v>
      </c>
      <c r="M583" s="71">
        <v>416.745</v>
      </c>
      <c r="N583" s="6">
        <v>416.745</v>
      </c>
      <c r="O583" s="71">
        <v>416.745</v>
      </c>
      <c r="P583" s="6">
        <v>0</v>
      </c>
      <c r="Q583" s="4" t="s">
        <v>26</v>
      </c>
      <c r="R583" s="4">
        <v>0</v>
      </c>
      <c r="S583" s="6">
        <v>21</v>
      </c>
      <c r="T583" s="6">
        <v>23</v>
      </c>
      <c r="U583" s="6">
        <v>81</v>
      </c>
      <c r="V583" s="71">
        <f>IF(ISERROR(VLOOKUP($S$583,'TAR FIN'!$A$1:$O$120,15,0)),0,VLOOKUP($S$583,'TAR FIN'!$A$1:$O$120,15,0))*(1-0.12)</f>
        <v>20.187200000000001</v>
      </c>
      <c r="W583" s="71">
        <f>IF(ISERROR(VLOOKUP($T$583,'TAR FIN'!$A$1:$O$120,15,0)),0,VLOOKUP($T$583,'TAR FIN'!$A$1:$O$120,15,0))*(1-0.12)</f>
        <v>74.316000000000003</v>
      </c>
      <c r="X583" s="71">
        <f>IF(ISERROR(VLOOKUP($U$583,'TAR FIN'!$A$1:$O$120,15,0)),0,VLOOKUP($U$583,'TAR FIN'!$A$1:$O$120,15,0))*(1-0.12)</f>
        <v>379.16559999999998</v>
      </c>
      <c r="Y583" s="71">
        <f ca="1">('TUSD BE'!$AM$27+'TUSD BF'!$AM$27+'TUSD CVA'!$AM$27)*1*(1-0.09)</f>
        <v>24.766817708975264</v>
      </c>
      <c r="Z583" s="71">
        <f ca="1">('TUSD BE'!$AM$29+'TUSD BF'!$AM$29+'TUSD CVA'!$AM$29)*1*(1-0.09)</f>
        <v>79.642619388381775</v>
      </c>
      <c r="AA583" s="71">
        <f>('TE BE'!$AA$10+'TE BF'!$AA$10+'TE CVA'!$AA$10)*1*(1-0.09)</f>
        <v>341.87954044517699</v>
      </c>
      <c r="AB583" s="6">
        <f>$K$583*$V$583</f>
        <v>160589.17600000001</v>
      </c>
      <c r="AC583" s="6">
        <f>$M$583*$W$583</f>
        <v>30970.82142</v>
      </c>
      <c r="AD583" s="6">
        <f>$O$583*$X$583</f>
        <v>158015.36797200001</v>
      </c>
      <c r="AE583" s="6">
        <f ca="1">$K$583*$Y$583</f>
        <v>197020.03487489824</v>
      </c>
      <c r="AF583" s="6">
        <f ca="1">$M$583*$Z$583</f>
        <v>33190.663417011165</v>
      </c>
      <c r="AG583" s="6">
        <f>$O$583*$AA$583</f>
        <v>142476.58908282529</v>
      </c>
    </row>
    <row r="584" spans="1:33" ht="11.25" customHeight="1" x14ac:dyDescent="0.25">
      <c r="A584" s="4" t="s">
        <v>21</v>
      </c>
      <c r="B584" s="4" t="s">
        <v>33</v>
      </c>
      <c r="C584" s="4" t="s">
        <v>41</v>
      </c>
      <c r="D584" s="4" t="s">
        <v>52</v>
      </c>
      <c r="E584" s="4" t="s">
        <v>53</v>
      </c>
      <c r="F584" s="4" t="s">
        <v>25</v>
      </c>
      <c r="G584" s="4" t="s">
        <v>25</v>
      </c>
      <c r="H584" s="4" t="s">
        <v>35</v>
      </c>
      <c r="I584" s="5">
        <v>43952</v>
      </c>
      <c r="J584" s="6">
        <v>7917</v>
      </c>
      <c r="K584" s="70">
        <v>7917</v>
      </c>
      <c r="L584" s="6">
        <v>359.61</v>
      </c>
      <c r="M584" s="71">
        <v>359.61</v>
      </c>
      <c r="N584" s="6">
        <v>359.61</v>
      </c>
      <c r="O584" s="71">
        <v>359.61</v>
      </c>
      <c r="P584" s="6">
        <v>0</v>
      </c>
      <c r="Q584" s="4" t="s">
        <v>26</v>
      </c>
      <c r="R584" s="4">
        <v>0</v>
      </c>
      <c r="S584" s="6">
        <v>21</v>
      </c>
      <c r="T584" s="6">
        <v>23</v>
      </c>
      <c r="U584" s="6">
        <v>81</v>
      </c>
      <c r="V584" s="71">
        <f>IF(ISERROR(VLOOKUP($S$584,'TAR FIN'!$A$1:$O$120,15,0)),0,VLOOKUP($S$584,'TAR FIN'!$A$1:$O$120,15,0))*(1-0.12)</f>
        <v>20.187200000000001</v>
      </c>
      <c r="W584" s="71">
        <f>IF(ISERROR(VLOOKUP($T$584,'TAR FIN'!$A$1:$O$120,15,0)),0,VLOOKUP($T$584,'TAR FIN'!$A$1:$O$120,15,0))*(1-0.12)</f>
        <v>74.316000000000003</v>
      </c>
      <c r="X584" s="71">
        <f>IF(ISERROR(VLOOKUP($U$584,'TAR FIN'!$A$1:$O$120,15,0)),0,VLOOKUP($U$584,'TAR FIN'!$A$1:$O$120,15,0))*(1-0.12)</f>
        <v>379.16559999999998</v>
      </c>
      <c r="Y584" s="71">
        <f ca="1">('TUSD BE'!$AM$27+'TUSD BF'!$AM$27+'TUSD CVA'!$AM$27)*1*(1-0.09)</f>
        <v>24.766817708975264</v>
      </c>
      <c r="Z584" s="71">
        <f ca="1">('TUSD BE'!$AM$29+'TUSD BF'!$AM$29+'TUSD CVA'!$AM$29)*1*(1-0.09)</f>
        <v>79.642619388381775</v>
      </c>
      <c r="AA584" s="71">
        <f>('TE BE'!$AA$10+'TE BF'!$AA$10+'TE CVA'!$AA$10)*1*(1-0.09)</f>
        <v>341.87954044517699</v>
      </c>
      <c r="AB584" s="6">
        <f>$K$584*$V$584</f>
        <v>159822.0624</v>
      </c>
      <c r="AC584" s="6">
        <f>$M$584*$W$584</f>
        <v>26724.776760000001</v>
      </c>
      <c r="AD584" s="6">
        <f>$O$584*$X$584</f>
        <v>136351.741416</v>
      </c>
      <c r="AE584" s="6">
        <f ca="1">$K$584*$Y$584</f>
        <v>196078.89580195717</v>
      </c>
      <c r="AF584" s="6">
        <f ca="1">$M$584*$Z$584</f>
        <v>28640.282358255972</v>
      </c>
      <c r="AG584" s="6">
        <f>$O$584*$AA$584</f>
        <v>122943.3015394901</v>
      </c>
    </row>
    <row r="585" spans="1:33" ht="11.25" customHeight="1" x14ac:dyDescent="0.25">
      <c r="A585" s="4" t="s">
        <v>21</v>
      </c>
      <c r="B585" s="4" t="s">
        <v>33</v>
      </c>
      <c r="C585" s="4" t="s">
        <v>41</v>
      </c>
      <c r="D585" s="4" t="s">
        <v>52</v>
      </c>
      <c r="E585" s="4" t="s">
        <v>53</v>
      </c>
      <c r="F585" s="4" t="s">
        <v>25</v>
      </c>
      <c r="G585" s="4" t="s">
        <v>25</v>
      </c>
      <c r="H585" s="4" t="s">
        <v>35</v>
      </c>
      <c r="I585" s="5">
        <v>43983</v>
      </c>
      <c r="J585" s="6">
        <v>7920</v>
      </c>
      <c r="K585" s="70">
        <v>7920</v>
      </c>
      <c r="L585" s="6">
        <v>396.50599999999997</v>
      </c>
      <c r="M585" s="71">
        <v>396.50599999999997</v>
      </c>
      <c r="N585" s="6">
        <v>396.50599999999997</v>
      </c>
      <c r="O585" s="71">
        <v>396.50599999999997</v>
      </c>
      <c r="P585" s="6">
        <v>0</v>
      </c>
      <c r="Q585" s="4" t="s">
        <v>26</v>
      </c>
      <c r="R585" s="4">
        <v>0</v>
      </c>
      <c r="S585" s="6">
        <v>21</v>
      </c>
      <c r="T585" s="6">
        <v>23</v>
      </c>
      <c r="U585" s="6">
        <v>81</v>
      </c>
      <c r="V585" s="71">
        <f>IF(ISERROR(VLOOKUP($S$585,'TAR FIN'!$A$1:$O$120,15,0)),0,VLOOKUP($S$585,'TAR FIN'!$A$1:$O$120,15,0))*(1-0.12)</f>
        <v>20.187200000000001</v>
      </c>
      <c r="W585" s="71">
        <f>IF(ISERROR(VLOOKUP($T$585,'TAR FIN'!$A$1:$O$120,15,0)),0,VLOOKUP($T$585,'TAR FIN'!$A$1:$O$120,15,0))*(1-0.12)</f>
        <v>74.316000000000003</v>
      </c>
      <c r="X585" s="71">
        <f>IF(ISERROR(VLOOKUP($U$585,'TAR FIN'!$A$1:$O$120,15,0)),0,VLOOKUP($U$585,'TAR FIN'!$A$1:$O$120,15,0))*(1-0.12)</f>
        <v>379.16559999999998</v>
      </c>
      <c r="Y585" s="71">
        <f ca="1">('TUSD BE'!$AM$27+'TUSD BF'!$AM$27+'TUSD CVA'!$AM$27)*1*(1-0.09)</f>
        <v>24.766817708975264</v>
      </c>
      <c r="Z585" s="71">
        <f ca="1">('TUSD BE'!$AM$29+'TUSD BF'!$AM$29+'TUSD CVA'!$AM$29)*1*(1-0.09)</f>
        <v>79.642619388381775</v>
      </c>
      <c r="AA585" s="71">
        <f>('TE BE'!$AA$10+'TE BF'!$AA$10+'TE CVA'!$AA$10)*1*(1-0.09)</f>
        <v>341.87954044517699</v>
      </c>
      <c r="AB585" s="6">
        <f>$K$585*$V$585</f>
        <v>159882.62400000001</v>
      </c>
      <c r="AC585" s="6">
        <f>$M$585*$W$585</f>
        <v>29466.739895999999</v>
      </c>
      <c r="AD585" s="6">
        <f>$O$585*$X$585</f>
        <v>150341.4353936</v>
      </c>
      <c r="AE585" s="6">
        <f ca="1">$K$585*$Y$585</f>
        <v>196153.1962550841</v>
      </c>
      <c r="AF585" s="6">
        <f ca="1">$M$585*$Z$585</f>
        <v>31578.776443209703</v>
      </c>
      <c r="AG585" s="6">
        <f>$O$585*$AA$585</f>
        <v>135557.28906375534</v>
      </c>
    </row>
    <row r="586" spans="1:33" ht="11.25" customHeight="1" x14ac:dyDescent="0.25">
      <c r="A586" s="4" t="s">
        <v>21</v>
      </c>
      <c r="B586" s="4" t="s">
        <v>33</v>
      </c>
      <c r="C586" s="4" t="s">
        <v>41</v>
      </c>
      <c r="D586" s="4" t="s">
        <v>52</v>
      </c>
      <c r="E586" s="4" t="s">
        <v>53</v>
      </c>
      <c r="F586" s="4" t="s">
        <v>25</v>
      </c>
      <c r="G586" s="4" t="s">
        <v>25</v>
      </c>
      <c r="H586" s="4" t="s">
        <v>35</v>
      </c>
      <c r="I586" s="5">
        <v>44013</v>
      </c>
      <c r="J586" s="6">
        <v>7912</v>
      </c>
      <c r="K586" s="70">
        <v>7912</v>
      </c>
      <c r="L586" s="6">
        <v>393.71199999999999</v>
      </c>
      <c r="M586" s="71">
        <v>393.71199999999999</v>
      </c>
      <c r="N586" s="6">
        <v>393.71199999999999</v>
      </c>
      <c r="O586" s="71">
        <v>393.71199999999999</v>
      </c>
      <c r="P586" s="6">
        <v>0</v>
      </c>
      <c r="Q586" s="4" t="s">
        <v>26</v>
      </c>
      <c r="R586" s="4">
        <v>0</v>
      </c>
      <c r="S586" s="6">
        <v>21</v>
      </c>
      <c r="T586" s="6">
        <v>23</v>
      </c>
      <c r="U586" s="6">
        <v>81</v>
      </c>
      <c r="V586" s="71">
        <f>IF(ISERROR(VLOOKUP($S$586,'TAR FIN'!$A$1:$O$120,15,0)),0,VLOOKUP($S$586,'TAR FIN'!$A$1:$O$120,15,0))*(1-0.12)</f>
        <v>20.187200000000001</v>
      </c>
      <c r="W586" s="71">
        <f>IF(ISERROR(VLOOKUP($T$586,'TAR FIN'!$A$1:$O$120,15,0)),0,VLOOKUP($T$586,'TAR FIN'!$A$1:$O$120,15,0))*(1-0.12)</f>
        <v>74.316000000000003</v>
      </c>
      <c r="X586" s="71">
        <f>IF(ISERROR(VLOOKUP($U$586,'TAR FIN'!$A$1:$O$120,15,0)),0,VLOOKUP($U$586,'TAR FIN'!$A$1:$O$120,15,0))*(1-0.12)</f>
        <v>379.16559999999998</v>
      </c>
      <c r="Y586" s="71">
        <f ca="1">('TUSD BE'!$AM$27+'TUSD BF'!$AM$27+'TUSD CVA'!$AM$27)*1*(1-0.09)</f>
        <v>24.766817708975264</v>
      </c>
      <c r="Z586" s="71">
        <f ca="1">('TUSD BE'!$AM$29+'TUSD BF'!$AM$29+'TUSD CVA'!$AM$29)*1*(1-0.09)</f>
        <v>79.642619388381775</v>
      </c>
      <c r="AA586" s="71">
        <f>('TE BE'!$AA$10+'TE BF'!$AA$10+'TE CVA'!$AA$10)*1*(1-0.09)</f>
        <v>341.87954044517699</v>
      </c>
      <c r="AB586" s="6">
        <f>$K$586*$V$586</f>
        <v>159721.12640000001</v>
      </c>
      <c r="AC586" s="6">
        <f>$M$586*$W$586</f>
        <v>29259.100992</v>
      </c>
      <c r="AD586" s="6">
        <f>$O$586*$X$586</f>
        <v>149282.0467072</v>
      </c>
      <c r="AE586" s="6">
        <f ca="1">$K$586*$Y$586</f>
        <v>195955.06171341229</v>
      </c>
      <c r="AF586" s="6">
        <f ca="1">$M$586*$Z$586</f>
        <v>31356.254964638563</v>
      </c>
      <c r="AG586" s="6">
        <f>$O$586*$AA$586</f>
        <v>134602.07762775151</v>
      </c>
    </row>
    <row r="587" spans="1:33" ht="11.25" customHeight="1" x14ac:dyDescent="0.25">
      <c r="A587" s="4" t="s">
        <v>21</v>
      </c>
      <c r="B587" s="4" t="s">
        <v>33</v>
      </c>
      <c r="C587" s="4" t="s">
        <v>41</v>
      </c>
      <c r="D587" s="4" t="s">
        <v>52</v>
      </c>
      <c r="E587" s="4" t="s">
        <v>53</v>
      </c>
      <c r="F587" s="4" t="s">
        <v>25</v>
      </c>
      <c r="G587" s="4" t="s">
        <v>25</v>
      </c>
      <c r="H587" s="4" t="s">
        <v>35</v>
      </c>
      <c r="I587" s="5">
        <v>44044</v>
      </c>
      <c r="J587" s="6">
        <v>7908</v>
      </c>
      <c r="K587" s="70">
        <v>7908</v>
      </c>
      <c r="L587" s="6">
        <v>394.91699999999997</v>
      </c>
      <c r="M587" s="71">
        <v>394.91699999999997</v>
      </c>
      <c r="N587" s="6">
        <v>394.91699999999997</v>
      </c>
      <c r="O587" s="71">
        <v>394.91699999999997</v>
      </c>
      <c r="P587" s="6">
        <v>0</v>
      </c>
      <c r="Q587" s="4" t="s">
        <v>26</v>
      </c>
      <c r="R587" s="4">
        <v>0</v>
      </c>
      <c r="S587" s="6">
        <v>21</v>
      </c>
      <c r="T587" s="6">
        <v>23</v>
      </c>
      <c r="U587" s="6">
        <v>81</v>
      </c>
      <c r="V587" s="71">
        <f>IF(ISERROR(VLOOKUP($S$587,'TAR FIN'!$A$1:$O$120,15,0)),0,VLOOKUP($S$587,'TAR FIN'!$A$1:$O$120,15,0))*(1-0.12)</f>
        <v>20.187200000000001</v>
      </c>
      <c r="W587" s="71">
        <f>IF(ISERROR(VLOOKUP($T$587,'TAR FIN'!$A$1:$O$120,15,0)),0,VLOOKUP($T$587,'TAR FIN'!$A$1:$O$120,15,0))*(1-0.12)</f>
        <v>74.316000000000003</v>
      </c>
      <c r="X587" s="71">
        <f>IF(ISERROR(VLOOKUP($U$587,'TAR FIN'!$A$1:$O$120,15,0)),0,VLOOKUP($U$587,'TAR FIN'!$A$1:$O$120,15,0))*(1-0.12)</f>
        <v>379.16559999999998</v>
      </c>
      <c r="Y587" s="71">
        <f ca="1">('TUSD BE'!$AM$27+'TUSD BF'!$AM$27+'TUSD CVA'!$AM$27)*1*(1-0.09)</f>
        <v>24.766817708975264</v>
      </c>
      <c r="Z587" s="71">
        <f ca="1">('TUSD BE'!$AM$29+'TUSD BF'!$AM$29+'TUSD CVA'!$AM$29)*1*(1-0.09)</f>
        <v>79.642619388381775</v>
      </c>
      <c r="AA587" s="71">
        <f>('TE BE'!$AA$10+'TE BF'!$AA$10+'TE CVA'!$AA$10)*1*(1-0.09)</f>
        <v>341.87954044517699</v>
      </c>
      <c r="AB587" s="6">
        <f>$K$587*$V$587</f>
        <v>159640.37760000001</v>
      </c>
      <c r="AC587" s="6">
        <f>$M$587*$W$587</f>
        <v>29348.651771999997</v>
      </c>
      <c r="AD587" s="6">
        <f>$O$587*$X$587</f>
        <v>149738.94125519998</v>
      </c>
      <c r="AE587" s="6">
        <f ca="1">$K$587*$Y$587</f>
        <v>195855.9944425764</v>
      </c>
      <c r="AF587" s="6">
        <f ca="1">$M$587*$Z$587</f>
        <v>31452.224321001562</v>
      </c>
      <c r="AG587" s="6">
        <f>$O$587*$AA$587</f>
        <v>135014.04247398794</v>
      </c>
    </row>
    <row r="588" spans="1:33" ht="11.25" customHeight="1" x14ac:dyDescent="0.25">
      <c r="A588" s="4" t="s">
        <v>59</v>
      </c>
      <c r="B588" s="4" t="s">
        <v>33</v>
      </c>
      <c r="C588" s="4" t="s">
        <v>41</v>
      </c>
      <c r="D588" s="4" t="s">
        <v>52</v>
      </c>
      <c r="E588" s="4" t="s">
        <v>53</v>
      </c>
      <c r="F588" s="4" t="s">
        <v>25</v>
      </c>
      <c r="G588" s="4" t="s">
        <v>25</v>
      </c>
      <c r="H588" s="4" t="s">
        <v>35</v>
      </c>
      <c r="I588" s="5">
        <v>44075</v>
      </c>
      <c r="J588" s="6">
        <v>7908</v>
      </c>
      <c r="K588" s="70">
        <v>7908</v>
      </c>
      <c r="L588" s="6">
        <v>394.91699999999997</v>
      </c>
      <c r="M588" s="71">
        <v>394.91699999999997</v>
      </c>
      <c r="N588" s="6">
        <v>394.91699999999997</v>
      </c>
      <c r="O588" s="71">
        <v>394.91699999999997</v>
      </c>
      <c r="P588" s="6">
        <v>0</v>
      </c>
      <c r="Q588" s="4" t="s">
        <v>26</v>
      </c>
      <c r="R588" s="4">
        <v>0</v>
      </c>
      <c r="S588" s="6">
        <v>21</v>
      </c>
      <c r="T588" s="6">
        <v>23</v>
      </c>
      <c r="U588" s="6">
        <v>81</v>
      </c>
      <c r="V588" s="71">
        <f>IF(ISERROR(VLOOKUP($S$588,'TAR FIN'!$A$1:$O$120,15,0)),0,VLOOKUP($S$588,'TAR FIN'!$A$1:$O$120,15,0))*(1-0.12)</f>
        <v>20.187200000000001</v>
      </c>
      <c r="W588" s="71">
        <f>IF(ISERROR(VLOOKUP($T$588,'TAR FIN'!$A$1:$O$120,15,0)),0,VLOOKUP($T$588,'TAR FIN'!$A$1:$O$120,15,0))*(1-0.12)</f>
        <v>74.316000000000003</v>
      </c>
      <c r="X588" s="71">
        <f>IF(ISERROR(VLOOKUP($U$588,'TAR FIN'!$A$1:$O$120,15,0)),0,VLOOKUP($U$588,'TAR FIN'!$A$1:$O$120,15,0))*(1-0.12)</f>
        <v>379.16559999999998</v>
      </c>
      <c r="Y588" s="71">
        <f ca="1">('TUSD BE'!$AM$27+'TUSD BF'!$AM$27+'TUSD CVA'!$AM$27)*1*(1-0.09)</f>
        <v>24.766817708975264</v>
      </c>
      <c r="Z588" s="71">
        <f ca="1">('TUSD BE'!$AM$29+'TUSD BF'!$AM$29+'TUSD CVA'!$AM$29)*1*(1-0.09)</f>
        <v>79.642619388381775</v>
      </c>
      <c r="AA588" s="71">
        <f>('TE BE'!$AA$10+'TE BF'!$AA$10+'TE CVA'!$AA$10)*1*(1-0.09)</f>
        <v>341.87954044517699</v>
      </c>
      <c r="AB588" s="6">
        <f>$K$588*$V$588</f>
        <v>159640.37760000001</v>
      </c>
      <c r="AC588" s="6">
        <f>$M$588*$W$588</f>
        <v>29348.651771999997</v>
      </c>
      <c r="AD588" s="6">
        <f>$O$588*$X$588</f>
        <v>149738.94125519998</v>
      </c>
      <c r="AE588" s="6">
        <f ca="1">$K$588*$Y$588</f>
        <v>195855.9944425764</v>
      </c>
      <c r="AF588" s="6">
        <f ca="1">$M$588*$Z$588</f>
        <v>31452.224321001562</v>
      </c>
      <c r="AG588" s="6">
        <f>$O$588*$AA$588</f>
        <v>135014.04247398794</v>
      </c>
    </row>
    <row r="589" spans="1:33" ht="11.25" customHeight="1" x14ac:dyDescent="0.25">
      <c r="A589" s="4" t="s">
        <v>21</v>
      </c>
      <c r="B589" s="4" t="s">
        <v>33</v>
      </c>
      <c r="C589" s="4" t="s">
        <v>41</v>
      </c>
      <c r="D589" s="4" t="s">
        <v>52</v>
      </c>
      <c r="E589" s="4" t="s">
        <v>58</v>
      </c>
      <c r="F589" s="4" t="s">
        <v>25</v>
      </c>
      <c r="G589" s="4" t="s">
        <v>25</v>
      </c>
      <c r="H589" s="4" t="s">
        <v>36</v>
      </c>
      <c r="I589" s="5">
        <v>43770</v>
      </c>
      <c r="J589" s="6">
        <v>34507</v>
      </c>
      <c r="K589" s="6">
        <v>34507</v>
      </c>
      <c r="L589" s="6">
        <v>8656.357</v>
      </c>
      <c r="M589" s="6">
        <v>8656.357</v>
      </c>
      <c r="N589" s="6">
        <v>8656.357</v>
      </c>
      <c r="O589" s="6">
        <v>8656.357</v>
      </c>
      <c r="P589" s="6">
        <v>0</v>
      </c>
      <c r="Q589" s="4" t="s">
        <v>26</v>
      </c>
      <c r="R589" s="4">
        <v>0</v>
      </c>
      <c r="S589" s="6">
        <v>22</v>
      </c>
      <c r="T589" s="6">
        <v>23</v>
      </c>
      <c r="U589" s="6">
        <v>82</v>
      </c>
      <c r="V589" s="6">
        <f>IF(ISERROR(VLOOKUP($S$589,'TAR FIN'!$A$1:$O$120,15,0)),0,VLOOKUP($S$589,'TAR FIN'!$A$1:$O$120,15,0))</f>
        <v>8.81</v>
      </c>
      <c r="W589" s="6">
        <f>IF(ISERROR(VLOOKUP($T$589,'TAR FIN'!$A$1:$O$120,15,0)),0,VLOOKUP($T$589,'TAR FIN'!$A$1:$O$120,15,0))</f>
        <v>84.45</v>
      </c>
      <c r="X589" s="6">
        <f>IF(ISERROR(VLOOKUP($U$589,'TAR FIN'!$A$1:$O$120,15,0)),0,VLOOKUP($U$589,'TAR FIN'!$A$1:$O$120,15,0))</f>
        <v>256.38</v>
      </c>
      <c r="Y589" s="6">
        <f ca="1">('TUSD BE'!$AM$28+'TUSD BF'!$AM$28+'TUSD CVA'!$AM$28)*1</f>
        <v>11.452356648653195</v>
      </c>
      <c r="Z589" s="6">
        <f ca="1">('TUSD BE'!$AM$29+'TUSD BF'!$AM$29+'TUSD CVA'!$AM$29)*1</f>
        <v>87.519361965254689</v>
      </c>
      <c r="AA589" s="6">
        <f>('TE BE'!$AA$11+'TE BF'!$AA$11+'TE CVA'!$AA$11)*1</f>
        <v>230.83420940933817</v>
      </c>
      <c r="AB589" s="6">
        <f>$K$589*$V$589</f>
        <v>304006.67000000004</v>
      </c>
      <c r="AC589" s="6">
        <f>$M$589*$W$589</f>
        <v>731029.34865000006</v>
      </c>
      <c r="AD589" s="6">
        <f>$O$589*$X$589</f>
        <v>2219316.8076599999</v>
      </c>
      <c r="AE589" s="6">
        <f ca="1">$K$589*$Y$589</f>
        <v>395186.47087507579</v>
      </c>
      <c r="AF589" s="6">
        <f ca="1">$M$589*$Z$589</f>
        <v>757598.84158346616</v>
      </c>
      <c r="AG589" s="6">
        <f>$O$589*$AA$589</f>
        <v>1998183.3244599903</v>
      </c>
    </row>
    <row r="590" spans="1:33" ht="11.25" customHeight="1" x14ac:dyDescent="0.25">
      <c r="A590" s="4" t="s">
        <v>21</v>
      </c>
      <c r="B590" s="4" t="s">
        <v>33</v>
      </c>
      <c r="C590" s="4" t="s">
        <v>41</v>
      </c>
      <c r="D590" s="4" t="s">
        <v>52</v>
      </c>
      <c r="E590" s="4" t="s">
        <v>58</v>
      </c>
      <c r="F590" s="4" t="s">
        <v>25</v>
      </c>
      <c r="G590" s="4" t="s">
        <v>25</v>
      </c>
      <c r="H590" s="4" t="s">
        <v>36</v>
      </c>
      <c r="I590" s="5">
        <v>43800</v>
      </c>
      <c r="J590" s="6">
        <v>15595</v>
      </c>
      <c r="K590" s="6">
        <v>15595</v>
      </c>
      <c r="L590" s="6">
        <v>4114.5879999999997</v>
      </c>
      <c r="M590" s="6">
        <v>4114.5879999999997</v>
      </c>
      <c r="N590" s="6">
        <v>4114.5879999999997</v>
      </c>
      <c r="O590" s="6">
        <v>4114.5879999999997</v>
      </c>
      <c r="P590" s="6">
        <v>0</v>
      </c>
      <c r="Q590" s="4" t="s">
        <v>26</v>
      </c>
      <c r="R590" s="4">
        <v>0</v>
      </c>
      <c r="S590" s="6">
        <v>22</v>
      </c>
      <c r="T590" s="6">
        <v>23</v>
      </c>
      <c r="U590" s="6">
        <v>82</v>
      </c>
      <c r="V590" s="6">
        <f>IF(ISERROR(VLOOKUP($S$590,'TAR FIN'!$A$1:$O$120,15,0)),0,VLOOKUP($S$590,'TAR FIN'!$A$1:$O$120,15,0))</f>
        <v>8.81</v>
      </c>
      <c r="W590" s="6">
        <f>IF(ISERROR(VLOOKUP($T$590,'TAR FIN'!$A$1:$O$120,15,0)),0,VLOOKUP($T$590,'TAR FIN'!$A$1:$O$120,15,0))</f>
        <v>84.45</v>
      </c>
      <c r="X590" s="6">
        <f>IF(ISERROR(VLOOKUP($U$590,'TAR FIN'!$A$1:$O$120,15,0)),0,VLOOKUP($U$590,'TAR FIN'!$A$1:$O$120,15,0))</f>
        <v>256.38</v>
      </c>
      <c r="Y590" s="6">
        <f ca="1">('TUSD BE'!$AM$28+'TUSD BF'!$AM$28+'TUSD CVA'!$AM$28)*1</f>
        <v>11.452356648653195</v>
      </c>
      <c r="Z590" s="6">
        <f ca="1">('TUSD BE'!$AM$29+'TUSD BF'!$AM$29+'TUSD CVA'!$AM$29)*1</f>
        <v>87.519361965254689</v>
      </c>
      <c r="AA590" s="6">
        <f>('TE BE'!$AA$11+'TE BF'!$AA$11+'TE CVA'!$AA$11)*1</f>
        <v>230.83420940933817</v>
      </c>
      <c r="AB590" s="6">
        <f>$K$590*$V$590</f>
        <v>137391.95000000001</v>
      </c>
      <c r="AC590" s="6">
        <f>$M$590*$W$590</f>
        <v>347476.95659999998</v>
      </c>
      <c r="AD590" s="6">
        <f>$O$590*$X$590</f>
        <v>1054898.0714399999</v>
      </c>
      <c r="AE590" s="6">
        <f ca="1">$K$590*$Y$590</f>
        <v>178599.50193574658</v>
      </c>
      <c r="AF590" s="6">
        <f ca="1">$M$590*$Z$590</f>
        <v>360106.11650989333</v>
      </c>
      <c r="AG590" s="6">
        <f>$O$590*$AA$590</f>
        <v>949787.66802514985</v>
      </c>
    </row>
    <row r="591" spans="1:33" ht="11.25" customHeight="1" x14ac:dyDescent="0.25">
      <c r="A591" s="4" t="s">
        <v>21</v>
      </c>
      <c r="B591" s="4" t="s">
        <v>33</v>
      </c>
      <c r="C591" s="4" t="s">
        <v>41</v>
      </c>
      <c r="D591" s="4" t="s">
        <v>52</v>
      </c>
      <c r="E591" s="4" t="s">
        <v>58</v>
      </c>
      <c r="F591" s="4" t="s">
        <v>25</v>
      </c>
      <c r="G591" s="4" t="s">
        <v>25</v>
      </c>
      <c r="H591" s="4" t="s">
        <v>36</v>
      </c>
      <c r="I591" s="5">
        <v>43831</v>
      </c>
      <c r="J591" s="6">
        <v>14842</v>
      </c>
      <c r="K591" s="6">
        <v>14842</v>
      </c>
      <c r="L591" s="6">
        <v>3825.1509999999998</v>
      </c>
      <c r="M591" s="6">
        <v>3825.1509999999998</v>
      </c>
      <c r="N591" s="6">
        <v>3825.1509999999998</v>
      </c>
      <c r="O591" s="6">
        <v>3825.1509999999998</v>
      </c>
      <c r="P591" s="6">
        <v>0</v>
      </c>
      <c r="Q591" s="4" t="s">
        <v>26</v>
      </c>
      <c r="R591" s="4">
        <v>0</v>
      </c>
      <c r="S591" s="6">
        <v>22</v>
      </c>
      <c r="T591" s="6">
        <v>23</v>
      </c>
      <c r="U591" s="6">
        <v>82</v>
      </c>
      <c r="V591" s="6">
        <f>IF(ISERROR(VLOOKUP($S$591,'TAR FIN'!$A$1:$O$120,15,0)),0,VLOOKUP($S$591,'TAR FIN'!$A$1:$O$120,15,0))</f>
        <v>8.81</v>
      </c>
      <c r="W591" s="6">
        <f>IF(ISERROR(VLOOKUP($T$591,'TAR FIN'!$A$1:$O$120,15,0)),0,VLOOKUP($T$591,'TAR FIN'!$A$1:$O$120,15,0))</f>
        <v>84.45</v>
      </c>
      <c r="X591" s="6">
        <f>IF(ISERROR(VLOOKUP($U$591,'TAR FIN'!$A$1:$O$120,15,0)),0,VLOOKUP($U$591,'TAR FIN'!$A$1:$O$120,15,0))</f>
        <v>256.38</v>
      </c>
      <c r="Y591" s="6">
        <f ca="1">('TUSD BE'!$AM$28+'TUSD BF'!$AM$28+'TUSD CVA'!$AM$28)*1</f>
        <v>11.452356648653195</v>
      </c>
      <c r="Z591" s="6">
        <f ca="1">('TUSD BE'!$AM$29+'TUSD BF'!$AM$29+'TUSD CVA'!$AM$29)*1</f>
        <v>87.519361965254689</v>
      </c>
      <c r="AA591" s="6">
        <f>('TE BE'!$AA$11+'TE BF'!$AA$11+'TE CVA'!$AA$11)*1</f>
        <v>230.83420940933817</v>
      </c>
      <c r="AB591" s="6">
        <f>$K$591*$V$591</f>
        <v>130758.02</v>
      </c>
      <c r="AC591" s="6">
        <f>$M$591*$W$591</f>
        <v>323034.00195000001</v>
      </c>
      <c r="AD591" s="6">
        <f>$O$591*$X$591</f>
        <v>980692.21337999997</v>
      </c>
      <c r="AE591" s="6">
        <f ca="1">$K$591*$Y$591</f>
        <v>169975.87737931072</v>
      </c>
      <c r="AF591" s="6">
        <f ca="1">$M$591*$Z$591</f>
        <v>334774.77494075592</v>
      </c>
      <c r="AG591" s="6">
        <f>$O$591*$AA$591</f>
        <v>882975.7069563393</v>
      </c>
    </row>
    <row r="592" spans="1:33" ht="11.25" customHeight="1" x14ac:dyDescent="0.25">
      <c r="A592" s="4" t="s">
        <v>21</v>
      </c>
      <c r="B592" s="4" t="s">
        <v>33</v>
      </c>
      <c r="C592" s="4" t="s">
        <v>41</v>
      </c>
      <c r="D592" s="4" t="s">
        <v>52</v>
      </c>
      <c r="E592" s="4" t="s">
        <v>58</v>
      </c>
      <c r="F592" s="4" t="s">
        <v>25</v>
      </c>
      <c r="G592" s="4" t="s">
        <v>25</v>
      </c>
      <c r="H592" s="4" t="s">
        <v>36</v>
      </c>
      <c r="I592" s="5">
        <v>43862</v>
      </c>
      <c r="J592" s="6">
        <v>16226</v>
      </c>
      <c r="K592" s="6">
        <v>16226</v>
      </c>
      <c r="L592" s="6">
        <v>4156.759</v>
      </c>
      <c r="M592" s="6">
        <v>4156.759</v>
      </c>
      <c r="N592" s="6">
        <v>4156.759</v>
      </c>
      <c r="O592" s="6">
        <v>4156.759</v>
      </c>
      <c r="P592" s="6">
        <v>0</v>
      </c>
      <c r="Q592" s="4" t="s">
        <v>26</v>
      </c>
      <c r="R592" s="4">
        <v>0</v>
      </c>
      <c r="S592" s="6">
        <v>22</v>
      </c>
      <c r="T592" s="6">
        <v>23</v>
      </c>
      <c r="U592" s="6">
        <v>82</v>
      </c>
      <c r="V592" s="6">
        <f>IF(ISERROR(VLOOKUP($S$592,'TAR FIN'!$A$1:$O$120,15,0)),0,VLOOKUP($S$592,'TAR FIN'!$A$1:$O$120,15,0))</f>
        <v>8.81</v>
      </c>
      <c r="W592" s="6">
        <f>IF(ISERROR(VLOOKUP($T$592,'TAR FIN'!$A$1:$O$120,15,0)),0,VLOOKUP($T$592,'TAR FIN'!$A$1:$O$120,15,0))</f>
        <v>84.45</v>
      </c>
      <c r="X592" s="6">
        <f>IF(ISERROR(VLOOKUP($U$592,'TAR FIN'!$A$1:$O$120,15,0)),0,VLOOKUP($U$592,'TAR FIN'!$A$1:$O$120,15,0))</f>
        <v>256.38</v>
      </c>
      <c r="Y592" s="6">
        <f ca="1">('TUSD BE'!$AM$28+'TUSD BF'!$AM$28+'TUSD CVA'!$AM$28)*1</f>
        <v>11.452356648653195</v>
      </c>
      <c r="Z592" s="6">
        <f ca="1">('TUSD BE'!$AM$29+'TUSD BF'!$AM$29+'TUSD CVA'!$AM$29)*1</f>
        <v>87.519361965254689</v>
      </c>
      <c r="AA592" s="6">
        <f>('TE BE'!$AA$11+'TE BF'!$AA$11+'TE CVA'!$AA$11)*1</f>
        <v>230.83420940933817</v>
      </c>
      <c r="AB592" s="6">
        <f>$K$592*$V$592</f>
        <v>142951.06</v>
      </c>
      <c r="AC592" s="6">
        <f>$M$592*$W$592</f>
        <v>351038.29755000002</v>
      </c>
      <c r="AD592" s="6">
        <f>$O$592*$X$592</f>
        <v>1065709.8724199999</v>
      </c>
      <c r="AE592" s="6">
        <f ca="1">$K$592*$Y$592</f>
        <v>185825.93898104675</v>
      </c>
      <c r="AF592" s="6">
        <f ca="1">$M$592*$Z$592</f>
        <v>363796.89552333014</v>
      </c>
      <c r="AG592" s="6">
        <f>$O$592*$AA$592</f>
        <v>959522.1774701511</v>
      </c>
    </row>
    <row r="593" spans="1:33" ht="11.25" customHeight="1" x14ac:dyDescent="0.25">
      <c r="A593" s="4" t="s">
        <v>21</v>
      </c>
      <c r="B593" s="4" t="s">
        <v>33</v>
      </c>
      <c r="C593" s="4" t="s">
        <v>41</v>
      </c>
      <c r="D593" s="4" t="s">
        <v>52</v>
      </c>
      <c r="E593" s="4" t="s">
        <v>58</v>
      </c>
      <c r="F593" s="4" t="s">
        <v>25</v>
      </c>
      <c r="G593" s="4" t="s">
        <v>25</v>
      </c>
      <c r="H593" s="4" t="s">
        <v>36</v>
      </c>
      <c r="I593" s="5">
        <v>43891</v>
      </c>
      <c r="J593" s="6">
        <v>14981</v>
      </c>
      <c r="K593" s="6">
        <v>14981</v>
      </c>
      <c r="L593" s="6">
        <v>4017.6410000000001</v>
      </c>
      <c r="M593" s="6">
        <v>4017.6410000000001</v>
      </c>
      <c r="N593" s="6">
        <v>4017.6410000000001</v>
      </c>
      <c r="O593" s="6">
        <v>4017.6410000000001</v>
      </c>
      <c r="P593" s="6">
        <v>0</v>
      </c>
      <c r="Q593" s="4" t="s">
        <v>26</v>
      </c>
      <c r="R593" s="4">
        <v>0</v>
      </c>
      <c r="S593" s="6">
        <v>22</v>
      </c>
      <c r="T593" s="6">
        <v>23</v>
      </c>
      <c r="U593" s="6">
        <v>82</v>
      </c>
      <c r="V593" s="6">
        <f>IF(ISERROR(VLOOKUP($S$593,'TAR FIN'!$A$1:$O$120,15,0)),0,VLOOKUP($S$593,'TAR FIN'!$A$1:$O$120,15,0))</f>
        <v>8.81</v>
      </c>
      <c r="W593" s="6">
        <f>IF(ISERROR(VLOOKUP($T$593,'TAR FIN'!$A$1:$O$120,15,0)),0,VLOOKUP($T$593,'TAR FIN'!$A$1:$O$120,15,0))</f>
        <v>84.45</v>
      </c>
      <c r="X593" s="6">
        <f>IF(ISERROR(VLOOKUP($U$593,'TAR FIN'!$A$1:$O$120,15,0)),0,VLOOKUP($U$593,'TAR FIN'!$A$1:$O$120,15,0))</f>
        <v>256.38</v>
      </c>
      <c r="Y593" s="6">
        <f ca="1">('TUSD BE'!$AM$28+'TUSD BF'!$AM$28+'TUSD CVA'!$AM$28)*1</f>
        <v>11.452356648653195</v>
      </c>
      <c r="Z593" s="6">
        <f ca="1">('TUSD BE'!$AM$29+'TUSD BF'!$AM$29+'TUSD CVA'!$AM$29)*1</f>
        <v>87.519361965254689</v>
      </c>
      <c r="AA593" s="6">
        <f>('TE BE'!$AA$11+'TE BF'!$AA$11+'TE CVA'!$AA$11)*1</f>
        <v>230.83420940933817</v>
      </c>
      <c r="AB593" s="6">
        <f>$K$593*$V$593</f>
        <v>131982.61000000002</v>
      </c>
      <c r="AC593" s="6">
        <f>$M$593*$W$593</f>
        <v>339289.78245</v>
      </c>
      <c r="AD593" s="6">
        <f>$O$593*$X$593</f>
        <v>1030042.79958</v>
      </c>
      <c r="AE593" s="6">
        <f ca="1">$K$593*$Y$593</f>
        <v>171567.75495347352</v>
      </c>
      <c r="AF593" s="6">
        <f ca="1">$M$593*$Z$593</f>
        <v>351621.37692544784</v>
      </c>
      <c r="AG593" s="6">
        <f>$O$593*$AA$593</f>
        <v>927408.98392554279</v>
      </c>
    </row>
    <row r="594" spans="1:33" ht="11.25" customHeight="1" x14ac:dyDescent="0.25">
      <c r="A594" s="4" t="s">
        <v>21</v>
      </c>
      <c r="B594" s="4" t="s">
        <v>33</v>
      </c>
      <c r="C594" s="4" t="s">
        <v>41</v>
      </c>
      <c r="D594" s="4" t="s">
        <v>52</v>
      </c>
      <c r="E594" s="4" t="s">
        <v>58</v>
      </c>
      <c r="F594" s="4" t="s">
        <v>25</v>
      </c>
      <c r="G594" s="4" t="s">
        <v>25</v>
      </c>
      <c r="H594" s="4" t="s">
        <v>36</v>
      </c>
      <c r="I594" s="5">
        <v>43922</v>
      </c>
      <c r="J594" s="6">
        <v>14881</v>
      </c>
      <c r="K594" s="6">
        <v>14881</v>
      </c>
      <c r="L594" s="6">
        <v>3952.3679999999999</v>
      </c>
      <c r="M594" s="6">
        <v>3952.3679999999999</v>
      </c>
      <c r="N594" s="6">
        <v>3952.3679999999999</v>
      </c>
      <c r="O594" s="6">
        <v>3952.3679999999999</v>
      </c>
      <c r="P594" s="6">
        <v>0</v>
      </c>
      <c r="Q594" s="4" t="s">
        <v>26</v>
      </c>
      <c r="R594" s="4">
        <v>0</v>
      </c>
      <c r="S594" s="6">
        <v>22</v>
      </c>
      <c r="T594" s="6">
        <v>23</v>
      </c>
      <c r="U594" s="6">
        <v>82</v>
      </c>
      <c r="V594" s="6">
        <f>IF(ISERROR(VLOOKUP($S$594,'TAR FIN'!$A$1:$O$120,15,0)),0,VLOOKUP($S$594,'TAR FIN'!$A$1:$O$120,15,0))</f>
        <v>8.81</v>
      </c>
      <c r="W594" s="6">
        <f>IF(ISERROR(VLOOKUP($T$594,'TAR FIN'!$A$1:$O$120,15,0)),0,VLOOKUP($T$594,'TAR FIN'!$A$1:$O$120,15,0))</f>
        <v>84.45</v>
      </c>
      <c r="X594" s="6">
        <f>IF(ISERROR(VLOOKUP($U$594,'TAR FIN'!$A$1:$O$120,15,0)),0,VLOOKUP($U$594,'TAR FIN'!$A$1:$O$120,15,0))</f>
        <v>256.38</v>
      </c>
      <c r="Y594" s="6">
        <f ca="1">('TUSD BE'!$AM$28+'TUSD BF'!$AM$28+'TUSD CVA'!$AM$28)*1</f>
        <v>11.452356648653195</v>
      </c>
      <c r="Z594" s="6">
        <f ca="1">('TUSD BE'!$AM$29+'TUSD BF'!$AM$29+'TUSD CVA'!$AM$29)*1</f>
        <v>87.519361965254689</v>
      </c>
      <c r="AA594" s="6">
        <f>('TE BE'!$AA$11+'TE BF'!$AA$11+'TE CVA'!$AA$11)*1</f>
        <v>230.83420940933817</v>
      </c>
      <c r="AB594" s="6">
        <f>$K$594*$V$594</f>
        <v>131101.61000000002</v>
      </c>
      <c r="AC594" s="6">
        <f>$M$594*$W$594</f>
        <v>333777.47759999998</v>
      </c>
      <c r="AD594" s="6">
        <f>$O$594*$X$594</f>
        <v>1013308.10784</v>
      </c>
      <c r="AE594" s="6">
        <f ca="1">$K$594*$Y$594</f>
        <v>170422.51928860819</v>
      </c>
      <c r="AF594" s="6">
        <f ca="1">$M$594*$Z$594</f>
        <v>345908.72561188973</v>
      </c>
      <c r="AG594" s="6">
        <f>$O$594*$AA$594</f>
        <v>912341.74257476709</v>
      </c>
    </row>
    <row r="595" spans="1:33" ht="11.25" customHeight="1" x14ac:dyDescent="0.25">
      <c r="A595" s="4" t="s">
        <v>21</v>
      </c>
      <c r="B595" s="4" t="s">
        <v>33</v>
      </c>
      <c r="C595" s="4" t="s">
        <v>41</v>
      </c>
      <c r="D595" s="4" t="s">
        <v>52</v>
      </c>
      <c r="E595" s="4" t="s">
        <v>58</v>
      </c>
      <c r="F595" s="4" t="s">
        <v>25</v>
      </c>
      <c r="G595" s="4" t="s">
        <v>25</v>
      </c>
      <c r="H595" s="4" t="s">
        <v>36</v>
      </c>
      <c r="I595" s="5">
        <v>43952</v>
      </c>
      <c r="J595" s="6">
        <v>14496</v>
      </c>
      <c r="K595" s="6">
        <v>14496</v>
      </c>
      <c r="L595" s="6">
        <v>3580.4560000000001</v>
      </c>
      <c r="M595" s="6">
        <v>3580.4560000000001</v>
      </c>
      <c r="N595" s="6">
        <v>3580.4560000000001</v>
      </c>
      <c r="O595" s="6">
        <v>3580.4560000000001</v>
      </c>
      <c r="P595" s="6">
        <v>0</v>
      </c>
      <c r="Q595" s="4" t="s">
        <v>26</v>
      </c>
      <c r="R595" s="4">
        <v>0</v>
      </c>
      <c r="S595" s="6">
        <v>22</v>
      </c>
      <c r="T595" s="6">
        <v>23</v>
      </c>
      <c r="U595" s="6">
        <v>82</v>
      </c>
      <c r="V595" s="6">
        <f>IF(ISERROR(VLOOKUP($S$595,'TAR FIN'!$A$1:$O$120,15,0)),0,VLOOKUP($S$595,'TAR FIN'!$A$1:$O$120,15,0))</f>
        <v>8.81</v>
      </c>
      <c r="W595" s="6">
        <f>IF(ISERROR(VLOOKUP($T$595,'TAR FIN'!$A$1:$O$120,15,0)),0,VLOOKUP($T$595,'TAR FIN'!$A$1:$O$120,15,0))</f>
        <v>84.45</v>
      </c>
      <c r="X595" s="6">
        <f>IF(ISERROR(VLOOKUP($U$595,'TAR FIN'!$A$1:$O$120,15,0)),0,VLOOKUP($U$595,'TAR FIN'!$A$1:$O$120,15,0))</f>
        <v>256.38</v>
      </c>
      <c r="Y595" s="6">
        <f ca="1">('TUSD BE'!$AM$28+'TUSD BF'!$AM$28+'TUSD CVA'!$AM$28)*1</f>
        <v>11.452356648653195</v>
      </c>
      <c r="Z595" s="6">
        <f ca="1">('TUSD BE'!$AM$29+'TUSD BF'!$AM$29+'TUSD CVA'!$AM$29)*1</f>
        <v>87.519361965254689</v>
      </c>
      <c r="AA595" s="6">
        <f>('TE BE'!$AA$11+'TE BF'!$AA$11+'TE CVA'!$AA$11)*1</f>
        <v>230.83420940933817</v>
      </c>
      <c r="AB595" s="6">
        <f>$K$595*$V$595</f>
        <v>127709.76000000001</v>
      </c>
      <c r="AC595" s="6">
        <f>$M$595*$W$595</f>
        <v>302369.50920000003</v>
      </c>
      <c r="AD595" s="6">
        <f>$O$595*$X$595</f>
        <v>917957.30928000004</v>
      </c>
      <c r="AE595" s="6">
        <f ca="1">$K$595*$Y$595</f>
        <v>166013.36197887672</v>
      </c>
      <c r="AF595" s="6">
        <f ca="1">$M$595*$Z$595</f>
        <v>313359.22466466797</v>
      </c>
      <c r="AG595" s="6">
        <f>$O$595*$AA$595</f>
        <v>826491.73008492135</v>
      </c>
    </row>
    <row r="596" spans="1:33" ht="11.25" customHeight="1" x14ac:dyDescent="0.25">
      <c r="A596" s="4" t="s">
        <v>21</v>
      </c>
      <c r="B596" s="4" t="s">
        <v>33</v>
      </c>
      <c r="C596" s="4" t="s">
        <v>41</v>
      </c>
      <c r="D596" s="4" t="s">
        <v>52</v>
      </c>
      <c r="E596" s="4" t="s">
        <v>58</v>
      </c>
      <c r="F596" s="4" t="s">
        <v>25</v>
      </c>
      <c r="G596" s="4" t="s">
        <v>25</v>
      </c>
      <c r="H596" s="4" t="s">
        <v>36</v>
      </c>
      <c r="I596" s="5">
        <v>43983</v>
      </c>
      <c r="J596" s="6">
        <v>15510</v>
      </c>
      <c r="K596" s="6">
        <v>15510</v>
      </c>
      <c r="L596" s="6">
        <v>3817.1149999999998</v>
      </c>
      <c r="M596" s="6">
        <v>3817.1149999999998</v>
      </c>
      <c r="N596" s="6">
        <v>3817.1149999999998</v>
      </c>
      <c r="O596" s="6">
        <v>3817.1149999999998</v>
      </c>
      <c r="P596" s="6">
        <v>0</v>
      </c>
      <c r="Q596" s="4" t="s">
        <v>26</v>
      </c>
      <c r="R596" s="4">
        <v>0</v>
      </c>
      <c r="S596" s="6">
        <v>22</v>
      </c>
      <c r="T596" s="6">
        <v>23</v>
      </c>
      <c r="U596" s="6">
        <v>82</v>
      </c>
      <c r="V596" s="6">
        <f>IF(ISERROR(VLOOKUP($S$596,'TAR FIN'!$A$1:$O$120,15,0)),0,VLOOKUP($S$596,'TAR FIN'!$A$1:$O$120,15,0))</f>
        <v>8.81</v>
      </c>
      <c r="W596" s="6">
        <f>IF(ISERROR(VLOOKUP($T$596,'TAR FIN'!$A$1:$O$120,15,0)),0,VLOOKUP($T$596,'TAR FIN'!$A$1:$O$120,15,0))</f>
        <v>84.45</v>
      </c>
      <c r="X596" s="6">
        <f>IF(ISERROR(VLOOKUP($U$596,'TAR FIN'!$A$1:$O$120,15,0)),0,VLOOKUP($U$596,'TAR FIN'!$A$1:$O$120,15,0))</f>
        <v>256.38</v>
      </c>
      <c r="Y596" s="6">
        <f ca="1">('TUSD BE'!$AM$28+'TUSD BF'!$AM$28+'TUSD CVA'!$AM$28)*1</f>
        <v>11.452356648653195</v>
      </c>
      <c r="Z596" s="6">
        <f ca="1">('TUSD BE'!$AM$29+'TUSD BF'!$AM$29+'TUSD CVA'!$AM$29)*1</f>
        <v>87.519361965254689</v>
      </c>
      <c r="AA596" s="6">
        <f>('TE BE'!$AA$11+'TE BF'!$AA$11+'TE CVA'!$AA$11)*1</f>
        <v>230.83420940933817</v>
      </c>
      <c r="AB596" s="6">
        <f>$K$596*$V$596</f>
        <v>136643.1</v>
      </c>
      <c r="AC596" s="6">
        <f>$M$596*$W$596</f>
        <v>322355.36174999998</v>
      </c>
      <c r="AD596" s="6">
        <f>$O$596*$X$596</f>
        <v>978631.94369999995</v>
      </c>
      <c r="AE596" s="6">
        <f ca="1">$K$596*$Y$596</f>
        <v>177626.05162061105</v>
      </c>
      <c r="AF596" s="6">
        <f ca="1">$M$596*$Z$596</f>
        <v>334071.46934800316</v>
      </c>
      <c r="AG596" s="6">
        <f>$O$596*$AA$596</f>
        <v>881120.72324952588</v>
      </c>
    </row>
    <row r="597" spans="1:33" ht="11.25" customHeight="1" x14ac:dyDescent="0.25">
      <c r="A597" s="4" t="s">
        <v>21</v>
      </c>
      <c r="B597" s="4" t="s">
        <v>33</v>
      </c>
      <c r="C597" s="4" t="s">
        <v>41</v>
      </c>
      <c r="D597" s="4" t="s">
        <v>52</v>
      </c>
      <c r="E597" s="4" t="s">
        <v>58</v>
      </c>
      <c r="F597" s="4" t="s">
        <v>25</v>
      </c>
      <c r="G597" s="4" t="s">
        <v>25</v>
      </c>
      <c r="H597" s="4" t="s">
        <v>36</v>
      </c>
      <c r="I597" s="5">
        <v>44013</v>
      </c>
      <c r="J597" s="6">
        <v>17366</v>
      </c>
      <c r="K597" s="6">
        <v>17366</v>
      </c>
      <c r="L597" s="6">
        <v>3773.7860000000001</v>
      </c>
      <c r="M597" s="6">
        <v>3773.7860000000001</v>
      </c>
      <c r="N597" s="6">
        <v>3773.7860000000001</v>
      </c>
      <c r="O597" s="6">
        <v>3773.7860000000001</v>
      </c>
      <c r="P597" s="6">
        <v>0</v>
      </c>
      <c r="Q597" s="4" t="s">
        <v>26</v>
      </c>
      <c r="R597" s="4">
        <v>0</v>
      </c>
      <c r="S597" s="6">
        <v>22</v>
      </c>
      <c r="T597" s="6">
        <v>23</v>
      </c>
      <c r="U597" s="6">
        <v>82</v>
      </c>
      <c r="V597" s="6">
        <f>IF(ISERROR(VLOOKUP($S$597,'TAR FIN'!$A$1:$O$120,15,0)),0,VLOOKUP($S$597,'TAR FIN'!$A$1:$O$120,15,0))</f>
        <v>8.81</v>
      </c>
      <c r="W597" s="6">
        <f>IF(ISERROR(VLOOKUP($T$597,'TAR FIN'!$A$1:$O$120,15,0)),0,VLOOKUP($T$597,'TAR FIN'!$A$1:$O$120,15,0))</f>
        <v>84.45</v>
      </c>
      <c r="X597" s="6">
        <f>IF(ISERROR(VLOOKUP($U$597,'TAR FIN'!$A$1:$O$120,15,0)),0,VLOOKUP($U$597,'TAR FIN'!$A$1:$O$120,15,0))</f>
        <v>256.38</v>
      </c>
      <c r="Y597" s="6">
        <f ca="1">('TUSD BE'!$AM$28+'TUSD BF'!$AM$28+'TUSD CVA'!$AM$28)*1</f>
        <v>11.452356648653195</v>
      </c>
      <c r="Z597" s="6">
        <f ca="1">('TUSD BE'!$AM$29+'TUSD BF'!$AM$29+'TUSD CVA'!$AM$29)*1</f>
        <v>87.519361965254689</v>
      </c>
      <c r="AA597" s="6">
        <f>('TE BE'!$AA$11+'TE BF'!$AA$11+'TE CVA'!$AA$11)*1</f>
        <v>230.83420940933817</v>
      </c>
      <c r="AB597" s="6">
        <f>$K$597*$V$597</f>
        <v>152994.46000000002</v>
      </c>
      <c r="AC597" s="6">
        <f>$M$597*$W$597</f>
        <v>318696.22769999999</v>
      </c>
      <c r="AD597" s="6">
        <f>$O$597*$X$597</f>
        <v>967523.25468000001</v>
      </c>
      <c r="AE597" s="6">
        <f ca="1">$K$597*$Y$597</f>
        <v>198881.6255605114</v>
      </c>
      <c r="AF597" s="6">
        <f ca="1">$M$597*$Z$597</f>
        <v>330279.34291341063</v>
      </c>
      <c r="AG597" s="6">
        <f>$O$597*$AA$597</f>
        <v>871118.90779002872</v>
      </c>
    </row>
    <row r="598" spans="1:33" ht="11.25" customHeight="1" x14ac:dyDescent="0.25">
      <c r="A598" s="4" t="s">
        <v>21</v>
      </c>
      <c r="B598" s="4" t="s">
        <v>33</v>
      </c>
      <c r="C598" s="4" t="s">
        <v>41</v>
      </c>
      <c r="D598" s="4" t="s">
        <v>52</v>
      </c>
      <c r="E598" s="4" t="s">
        <v>58</v>
      </c>
      <c r="F598" s="4" t="s">
        <v>25</v>
      </c>
      <c r="G598" s="4" t="s">
        <v>25</v>
      </c>
      <c r="H598" s="4" t="s">
        <v>36</v>
      </c>
      <c r="I598" s="5">
        <v>44044</v>
      </c>
      <c r="J598" s="6">
        <v>16363</v>
      </c>
      <c r="K598" s="6">
        <v>16363</v>
      </c>
      <c r="L598" s="6">
        <v>3955.5949999999998</v>
      </c>
      <c r="M598" s="6">
        <v>3955.5949999999998</v>
      </c>
      <c r="N598" s="6">
        <v>3955.5949999999998</v>
      </c>
      <c r="O598" s="6">
        <v>3955.5949999999998</v>
      </c>
      <c r="P598" s="6">
        <v>0</v>
      </c>
      <c r="Q598" s="4" t="s">
        <v>26</v>
      </c>
      <c r="R598" s="4">
        <v>0</v>
      </c>
      <c r="S598" s="6">
        <v>22</v>
      </c>
      <c r="T598" s="6">
        <v>23</v>
      </c>
      <c r="U598" s="6">
        <v>82</v>
      </c>
      <c r="V598" s="6">
        <f>IF(ISERROR(VLOOKUP($S$598,'TAR FIN'!$A$1:$O$120,15,0)),0,VLOOKUP($S$598,'TAR FIN'!$A$1:$O$120,15,0))</f>
        <v>8.81</v>
      </c>
      <c r="W598" s="6">
        <f>IF(ISERROR(VLOOKUP($T$598,'TAR FIN'!$A$1:$O$120,15,0)),0,VLOOKUP($T$598,'TAR FIN'!$A$1:$O$120,15,0))</f>
        <v>84.45</v>
      </c>
      <c r="X598" s="6">
        <f>IF(ISERROR(VLOOKUP($U$598,'TAR FIN'!$A$1:$O$120,15,0)),0,VLOOKUP($U$598,'TAR FIN'!$A$1:$O$120,15,0))</f>
        <v>256.38</v>
      </c>
      <c r="Y598" s="6">
        <f ca="1">('TUSD BE'!$AM$28+'TUSD BF'!$AM$28+'TUSD CVA'!$AM$28)*1</f>
        <v>11.452356648653195</v>
      </c>
      <c r="Z598" s="6">
        <f ca="1">('TUSD BE'!$AM$29+'TUSD BF'!$AM$29+'TUSD CVA'!$AM$29)*1</f>
        <v>87.519361965254689</v>
      </c>
      <c r="AA598" s="6">
        <f>('TE BE'!$AA$11+'TE BF'!$AA$11+'TE CVA'!$AA$11)*1</f>
        <v>230.83420940933817</v>
      </c>
      <c r="AB598" s="6">
        <f>$K$598*$V$598</f>
        <v>144158.03</v>
      </c>
      <c r="AC598" s="6">
        <f>$M$598*$W$598</f>
        <v>334049.99774999998</v>
      </c>
      <c r="AD598" s="6">
        <f>$O$598*$X$598</f>
        <v>1014135.4460999999</v>
      </c>
      <c r="AE598" s="6">
        <f ca="1">$K$598*$Y$598</f>
        <v>187394.91184191222</v>
      </c>
      <c r="AF598" s="6">
        <f ca="1">$M$598*$Z$598</f>
        <v>346191.15059295163</v>
      </c>
      <c r="AG598" s="6">
        <f>$O$598*$AA$598</f>
        <v>913086.64456853096</v>
      </c>
    </row>
    <row r="599" spans="1:33" ht="11.25" customHeight="1" x14ac:dyDescent="0.25">
      <c r="A599" s="4" t="s">
        <v>59</v>
      </c>
      <c r="B599" s="4" t="s">
        <v>33</v>
      </c>
      <c r="C599" s="4" t="s">
        <v>41</v>
      </c>
      <c r="D599" s="4" t="s">
        <v>52</v>
      </c>
      <c r="E599" s="4" t="s">
        <v>58</v>
      </c>
      <c r="F599" s="4" t="s">
        <v>25</v>
      </c>
      <c r="G599" s="4" t="s">
        <v>25</v>
      </c>
      <c r="H599" s="4" t="s">
        <v>36</v>
      </c>
      <c r="I599" s="5">
        <v>44075</v>
      </c>
      <c r="J599" s="6">
        <v>16363</v>
      </c>
      <c r="K599" s="6">
        <v>16363</v>
      </c>
      <c r="L599" s="6">
        <v>3955.5949999999998</v>
      </c>
      <c r="M599" s="6">
        <v>3955.5949999999998</v>
      </c>
      <c r="N599" s="6">
        <v>3955.5949999999998</v>
      </c>
      <c r="O599" s="6">
        <v>3955.5949999999998</v>
      </c>
      <c r="P599" s="6">
        <v>0</v>
      </c>
      <c r="Q599" s="4" t="s">
        <v>26</v>
      </c>
      <c r="R599" s="4">
        <v>0</v>
      </c>
      <c r="S599" s="6">
        <v>22</v>
      </c>
      <c r="T599" s="6">
        <v>23</v>
      </c>
      <c r="U599" s="6">
        <v>82</v>
      </c>
      <c r="V599" s="6">
        <f>IF(ISERROR(VLOOKUP($S$599,'TAR FIN'!$A$1:$O$120,15,0)),0,VLOOKUP($S$599,'TAR FIN'!$A$1:$O$120,15,0))</f>
        <v>8.81</v>
      </c>
      <c r="W599" s="6">
        <f>IF(ISERROR(VLOOKUP($T$599,'TAR FIN'!$A$1:$O$120,15,0)),0,VLOOKUP($T$599,'TAR FIN'!$A$1:$O$120,15,0))</f>
        <v>84.45</v>
      </c>
      <c r="X599" s="6">
        <f>IF(ISERROR(VLOOKUP($U$599,'TAR FIN'!$A$1:$O$120,15,0)),0,VLOOKUP($U$599,'TAR FIN'!$A$1:$O$120,15,0))</f>
        <v>256.38</v>
      </c>
      <c r="Y599" s="6">
        <f ca="1">('TUSD BE'!$AM$28+'TUSD BF'!$AM$28+'TUSD CVA'!$AM$28)*1</f>
        <v>11.452356648653195</v>
      </c>
      <c r="Z599" s="6">
        <f ca="1">('TUSD BE'!$AM$29+'TUSD BF'!$AM$29+'TUSD CVA'!$AM$29)*1</f>
        <v>87.519361965254689</v>
      </c>
      <c r="AA599" s="6">
        <f>('TE BE'!$AA$11+'TE BF'!$AA$11+'TE CVA'!$AA$11)*1</f>
        <v>230.83420940933817</v>
      </c>
      <c r="AB599" s="6">
        <f>$K$599*$V$599</f>
        <v>144158.03</v>
      </c>
      <c r="AC599" s="6">
        <f>$M$599*$W$599</f>
        <v>334049.99774999998</v>
      </c>
      <c r="AD599" s="6">
        <f>$O$599*$X$599</f>
        <v>1014135.4460999999</v>
      </c>
      <c r="AE599" s="6">
        <f ca="1">$K$599*$Y$599</f>
        <v>187394.91184191222</v>
      </c>
      <c r="AF599" s="6">
        <f ca="1">$M$599*$Z$599</f>
        <v>346191.15059295163</v>
      </c>
      <c r="AG599" s="6">
        <f>$O$599*$AA$599</f>
        <v>913086.64456853096</v>
      </c>
    </row>
    <row r="600" spans="1:33" ht="11.25" customHeight="1" x14ac:dyDescent="0.25">
      <c r="A600" s="4" t="s">
        <v>21</v>
      </c>
      <c r="B600" s="4" t="s">
        <v>33</v>
      </c>
      <c r="C600" s="4" t="s">
        <v>41</v>
      </c>
      <c r="D600" s="4" t="s">
        <v>52</v>
      </c>
      <c r="E600" s="4" t="s">
        <v>58</v>
      </c>
      <c r="F600" s="4" t="s">
        <v>25</v>
      </c>
      <c r="G600" s="4" t="s">
        <v>25</v>
      </c>
      <c r="H600" s="4" t="s">
        <v>35</v>
      </c>
      <c r="I600" s="5">
        <v>43770</v>
      </c>
      <c r="J600" s="6">
        <v>31218</v>
      </c>
      <c r="K600" s="6">
        <v>31218</v>
      </c>
      <c r="L600" s="6">
        <v>1465.2829999999999</v>
      </c>
      <c r="M600" s="6">
        <v>1465.2829999999999</v>
      </c>
      <c r="N600" s="6">
        <v>1465.2829999999999</v>
      </c>
      <c r="O600" s="6">
        <v>1465.2829999999999</v>
      </c>
      <c r="P600" s="6">
        <v>0</v>
      </c>
      <c r="Q600" s="4" t="s">
        <v>26</v>
      </c>
      <c r="R600" s="4">
        <v>0</v>
      </c>
      <c r="S600" s="6">
        <v>21</v>
      </c>
      <c r="T600" s="6">
        <v>23</v>
      </c>
      <c r="U600" s="6">
        <v>81</v>
      </c>
      <c r="V600" s="6">
        <f>IF(ISERROR(VLOOKUP($S$600,'TAR FIN'!$A$1:$O$120,15,0)),0,VLOOKUP($S$600,'TAR FIN'!$A$1:$O$120,15,0))</f>
        <v>22.94</v>
      </c>
      <c r="W600" s="6">
        <f>IF(ISERROR(VLOOKUP($T$600,'TAR FIN'!$A$1:$O$120,15,0)),0,VLOOKUP($T$600,'TAR FIN'!$A$1:$O$120,15,0))</f>
        <v>84.45</v>
      </c>
      <c r="X600" s="6">
        <f>IF(ISERROR(VLOOKUP($U$600,'TAR FIN'!$A$1:$O$120,15,0)),0,VLOOKUP($U$600,'TAR FIN'!$A$1:$O$120,15,0))</f>
        <v>430.87</v>
      </c>
      <c r="Y600" s="6">
        <f ca="1">('TUSD BE'!$AM$27+'TUSD BF'!$AM$27+'TUSD CVA'!$AM$27)*1</f>
        <v>27.216283196676113</v>
      </c>
      <c r="Z600" s="6">
        <f ca="1">('TUSD BE'!$AM$29+'TUSD BF'!$AM$29+'TUSD CVA'!$AM$29)*1</f>
        <v>87.519361965254689</v>
      </c>
      <c r="AA600" s="6">
        <f>('TE BE'!$AA$10+'TE BF'!$AA$10+'TE CVA'!$AA$10)*1</f>
        <v>375.69180268700768</v>
      </c>
      <c r="AB600" s="6">
        <f>$K$600*$V$600</f>
        <v>716140.92</v>
      </c>
      <c r="AC600" s="6">
        <f>$M$600*$W$600</f>
        <v>123743.14934999999</v>
      </c>
      <c r="AD600" s="6">
        <f>$O$600*$X$600</f>
        <v>631346.48621</v>
      </c>
      <c r="AE600" s="6">
        <f ca="1">$K$600*$Y$600</f>
        <v>849637.92883383483</v>
      </c>
      <c r="AF600" s="6">
        <f ca="1">$M$600*$Z$600</f>
        <v>128240.63325853428</v>
      </c>
      <c r="AG600" s="6">
        <f>$O$600*$AA$600</f>
        <v>550494.81171662663</v>
      </c>
    </row>
    <row r="601" spans="1:33" ht="11.25" customHeight="1" x14ac:dyDescent="0.25">
      <c r="A601" s="4" t="s">
        <v>21</v>
      </c>
      <c r="B601" s="4" t="s">
        <v>33</v>
      </c>
      <c r="C601" s="4" t="s">
        <v>41</v>
      </c>
      <c r="D601" s="4" t="s">
        <v>52</v>
      </c>
      <c r="E601" s="4" t="s">
        <v>58</v>
      </c>
      <c r="F601" s="4" t="s">
        <v>25</v>
      </c>
      <c r="G601" s="4" t="s">
        <v>25</v>
      </c>
      <c r="H601" s="4" t="s">
        <v>35</v>
      </c>
      <c r="I601" s="5">
        <v>43800</v>
      </c>
      <c r="J601" s="6">
        <v>16228</v>
      </c>
      <c r="K601" s="6">
        <v>16228</v>
      </c>
      <c r="L601" s="6">
        <v>684.26300000000003</v>
      </c>
      <c r="M601" s="6">
        <v>684.26300000000003</v>
      </c>
      <c r="N601" s="6">
        <v>684.26300000000003</v>
      </c>
      <c r="O601" s="6">
        <v>684.26300000000003</v>
      </c>
      <c r="P601" s="6">
        <v>0</v>
      </c>
      <c r="Q601" s="4" t="s">
        <v>26</v>
      </c>
      <c r="R601" s="4">
        <v>0</v>
      </c>
      <c r="S601" s="6">
        <v>21</v>
      </c>
      <c r="T601" s="6">
        <v>23</v>
      </c>
      <c r="U601" s="6">
        <v>81</v>
      </c>
      <c r="V601" s="6">
        <f>IF(ISERROR(VLOOKUP($S$601,'TAR FIN'!$A$1:$O$120,15,0)),0,VLOOKUP($S$601,'TAR FIN'!$A$1:$O$120,15,0))</f>
        <v>22.94</v>
      </c>
      <c r="W601" s="6">
        <f>IF(ISERROR(VLOOKUP($T$601,'TAR FIN'!$A$1:$O$120,15,0)),0,VLOOKUP($T$601,'TAR FIN'!$A$1:$O$120,15,0))</f>
        <v>84.45</v>
      </c>
      <c r="X601" s="6">
        <f>IF(ISERROR(VLOOKUP($U$601,'TAR FIN'!$A$1:$O$120,15,0)),0,VLOOKUP($U$601,'TAR FIN'!$A$1:$O$120,15,0))</f>
        <v>430.87</v>
      </c>
      <c r="Y601" s="6">
        <f ca="1">('TUSD BE'!$AM$27+'TUSD BF'!$AM$27+'TUSD CVA'!$AM$27)*1</f>
        <v>27.216283196676113</v>
      </c>
      <c r="Z601" s="6">
        <f ca="1">('TUSD BE'!$AM$29+'TUSD BF'!$AM$29+'TUSD CVA'!$AM$29)*1</f>
        <v>87.519361965254689</v>
      </c>
      <c r="AA601" s="6">
        <f>('TE BE'!$AA$10+'TE BF'!$AA$10+'TE CVA'!$AA$10)*1</f>
        <v>375.69180268700768</v>
      </c>
      <c r="AB601" s="6">
        <f>$K$601*$V$601</f>
        <v>372270.32</v>
      </c>
      <c r="AC601" s="6">
        <f>$M$601*$W$601</f>
        <v>57786.010350000004</v>
      </c>
      <c r="AD601" s="6">
        <f>$O$601*$X$601</f>
        <v>294828.39881000004</v>
      </c>
      <c r="AE601" s="6">
        <f ca="1">$K$601*$Y$601</f>
        <v>441665.84371565992</v>
      </c>
      <c r="AF601" s="6">
        <f ca="1">$M$601*$Z$601</f>
        <v>59886.261176431071</v>
      </c>
      <c r="AG601" s="6">
        <f>$O$601*$AA$601</f>
        <v>257071.99998201994</v>
      </c>
    </row>
    <row r="602" spans="1:33" ht="11.25" customHeight="1" x14ac:dyDescent="0.25">
      <c r="A602" s="4" t="s">
        <v>21</v>
      </c>
      <c r="B602" s="4" t="s">
        <v>33</v>
      </c>
      <c r="C602" s="4" t="s">
        <v>41</v>
      </c>
      <c r="D602" s="4" t="s">
        <v>52</v>
      </c>
      <c r="E602" s="4" t="s">
        <v>58</v>
      </c>
      <c r="F602" s="4" t="s">
        <v>25</v>
      </c>
      <c r="G602" s="4" t="s">
        <v>25</v>
      </c>
      <c r="H602" s="4" t="s">
        <v>35</v>
      </c>
      <c r="I602" s="5">
        <v>43831</v>
      </c>
      <c r="J602" s="6">
        <v>15053</v>
      </c>
      <c r="K602" s="6">
        <v>15053</v>
      </c>
      <c r="L602" s="6">
        <v>576.70100000000002</v>
      </c>
      <c r="M602" s="6">
        <v>576.70100000000002</v>
      </c>
      <c r="N602" s="6">
        <v>576.70100000000002</v>
      </c>
      <c r="O602" s="6">
        <v>576.70100000000002</v>
      </c>
      <c r="P602" s="6">
        <v>0</v>
      </c>
      <c r="Q602" s="4" t="s">
        <v>26</v>
      </c>
      <c r="R602" s="4">
        <v>0</v>
      </c>
      <c r="S602" s="6">
        <v>21</v>
      </c>
      <c r="T602" s="6">
        <v>23</v>
      </c>
      <c r="U602" s="6">
        <v>81</v>
      </c>
      <c r="V602" s="6">
        <f>IF(ISERROR(VLOOKUP($S$602,'TAR FIN'!$A$1:$O$120,15,0)),0,VLOOKUP($S$602,'TAR FIN'!$A$1:$O$120,15,0))</f>
        <v>22.94</v>
      </c>
      <c r="W602" s="6">
        <f>IF(ISERROR(VLOOKUP($T$602,'TAR FIN'!$A$1:$O$120,15,0)),0,VLOOKUP($T$602,'TAR FIN'!$A$1:$O$120,15,0))</f>
        <v>84.45</v>
      </c>
      <c r="X602" s="6">
        <f>IF(ISERROR(VLOOKUP($U$602,'TAR FIN'!$A$1:$O$120,15,0)),0,VLOOKUP($U$602,'TAR FIN'!$A$1:$O$120,15,0))</f>
        <v>430.87</v>
      </c>
      <c r="Y602" s="6">
        <f ca="1">('TUSD BE'!$AM$27+'TUSD BF'!$AM$27+'TUSD CVA'!$AM$27)*1</f>
        <v>27.216283196676113</v>
      </c>
      <c r="Z602" s="6">
        <f ca="1">('TUSD BE'!$AM$29+'TUSD BF'!$AM$29+'TUSD CVA'!$AM$29)*1</f>
        <v>87.519361965254689</v>
      </c>
      <c r="AA602" s="6">
        <f>('TE BE'!$AA$10+'TE BF'!$AA$10+'TE CVA'!$AA$10)*1</f>
        <v>375.69180268700768</v>
      </c>
      <c r="AB602" s="6">
        <f>$K$602*$V$602</f>
        <v>345315.82</v>
      </c>
      <c r="AC602" s="6">
        <f>$M$602*$W$602</f>
        <v>48702.399450000004</v>
      </c>
      <c r="AD602" s="6">
        <f>$O$602*$X$602</f>
        <v>248483.15987</v>
      </c>
      <c r="AE602" s="6">
        <f ca="1">$K$602*$Y$602</f>
        <v>409686.71095956553</v>
      </c>
      <c r="AF602" s="6">
        <f ca="1">$M$602*$Z$602</f>
        <v>50472.503564724349</v>
      </c>
      <c r="AG602" s="6">
        <f>$O$602*$AA$602</f>
        <v>216661.83830140001</v>
      </c>
    </row>
    <row r="603" spans="1:33" ht="11.25" customHeight="1" x14ac:dyDescent="0.25">
      <c r="A603" s="4" t="s">
        <v>21</v>
      </c>
      <c r="B603" s="4" t="s">
        <v>33</v>
      </c>
      <c r="C603" s="4" t="s">
        <v>41</v>
      </c>
      <c r="D603" s="4" t="s">
        <v>52</v>
      </c>
      <c r="E603" s="4" t="s">
        <v>58</v>
      </c>
      <c r="F603" s="4" t="s">
        <v>25</v>
      </c>
      <c r="G603" s="4" t="s">
        <v>25</v>
      </c>
      <c r="H603" s="4" t="s">
        <v>35</v>
      </c>
      <c r="I603" s="5">
        <v>43862</v>
      </c>
      <c r="J603" s="6">
        <v>14853</v>
      </c>
      <c r="K603" s="6">
        <v>14853</v>
      </c>
      <c r="L603" s="6">
        <v>719.96699999999998</v>
      </c>
      <c r="M603" s="6">
        <v>719.96699999999998</v>
      </c>
      <c r="N603" s="6">
        <v>719.96699999999998</v>
      </c>
      <c r="O603" s="6">
        <v>719.96699999999998</v>
      </c>
      <c r="P603" s="6">
        <v>0</v>
      </c>
      <c r="Q603" s="4" t="s">
        <v>26</v>
      </c>
      <c r="R603" s="4">
        <v>0</v>
      </c>
      <c r="S603" s="6">
        <v>21</v>
      </c>
      <c r="T603" s="6">
        <v>23</v>
      </c>
      <c r="U603" s="6">
        <v>81</v>
      </c>
      <c r="V603" s="6">
        <f>IF(ISERROR(VLOOKUP($S$603,'TAR FIN'!$A$1:$O$120,15,0)),0,VLOOKUP($S$603,'TAR FIN'!$A$1:$O$120,15,0))</f>
        <v>22.94</v>
      </c>
      <c r="W603" s="6">
        <f>IF(ISERROR(VLOOKUP($T$603,'TAR FIN'!$A$1:$O$120,15,0)),0,VLOOKUP($T$603,'TAR FIN'!$A$1:$O$120,15,0))</f>
        <v>84.45</v>
      </c>
      <c r="X603" s="6">
        <f>IF(ISERROR(VLOOKUP($U$603,'TAR FIN'!$A$1:$O$120,15,0)),0,VLOOKUP($U$603,'TAR FIN'!$A$1:$O$120,15,0))</f>
        <v>430.87</v>
      </c>
      <c r="Y603" s="6">
        <f ca="1">('TUSD BE'!$AM$27+'TUSD BF'!$AM$27+'TUSD CVA'!$AM$27)*1</f>
        <v>27.216283196676113</v>
      </c>
      <c r="Z603" s="6">
        <f ca="1">('TUSD BE'!$AM$29+'TUSD BF'!$AM$29+'TUSD CVA'!$AM$29)*1</f>
        <v>87.519361965254689</v>
      </c>
      <c r="AA603" s="6">
        <f>('TE BE'!$AA$10+'TE BF'!$AA$10+'TE CVA'!$AA$10)*1</f>
        <v>375.69180268700768</v>
      </c>
      <c r="AB603" s="6">
        <f>$K$603*$V$603</f>
        <v>340727.82</v>
      </c>
      <c r="AC603" s="6">
        <f>$M$603*$W$603</f>
        <v>60801.213150000003</v>
      </c>
      <c r="AD603" s="6">
        <f>$O$603*$X$603</f>
        <v>310212.18128999998</v>
      </c>
      <c r="AE603" s="6">
        <f ca="1">$K$603*$Y$603</f>
        <v>404243.45432023029</v>
      </c>
      <c r="AF603" s="6">
        <f ca="1">$M$603*$Z$603</f>
        <v>63011.052476038523</v>
      </c>
      <c r="AG603" s="6">
        <f>$O$603*$AA$603</f>
        <v>270485.70010515687</v>
      </c>
    </row>
    <row r="604" spans="1:33" ht="11.25" customHeight="1" x14ac:dyDescent="0.25">
      <c r="A604" s="4" t="s">
        <v>21</v>
      </c>
      <c r="B604" s="4" t="s">
        <v>33</v>
      </c>
      <c r="C604" s="4" t="s">
        <v>41</v>
      </c>
      <c r="D604" s="4" t="s">
        <v>52</v>
      </c>
      <c r="E604" s="4" t="s">
        <v>58</v>
      </c>
      <c r="F604" s="4" t="s">
        <v>25</v>
      </c>
      <c r="G604" s="4" t="s">
        <v>25</v>
      </c>
      <c r="H604" s="4" t="s">
        <v>35</v>
      </c>
      <c r="I604" s="5">
        <v>43891</v>
      </c>
      <c r="J604" s="6">
        <v>15266</v>
      </c>
      <c r="K604" s="6">
        <v>15266</v>
      </c>
      <c r="L604" s="6">
        <v>652.98299999999995</v>
      </c>
      <c r="M604" s="6">
        <v>652.98299999999995</v>
      </c>
      <c r="N604" s="6">
        <v>652.98299999999995</v>
      </c>
      <c r="O604" s="6">
        <v>652.98299999999995</v>
      </c>
      <c r="P604" s="6">
        <v>0</v>
      </c>
      <c r="Q604" s="4" t="s">
        <v>26</v>
      </c>
      <c r="R604" s="4">
        <v>0</v>
      </c>
      <c r="S604" s="6">
        <v>21</v>
      </c>
      <c r="T604" s="6">
        <v>23</v>
      </c>
      <c r="U604" s="6">
        <v>81</v>
      </c>
      <c r="V604" s="6">
        <f>IF(ISERROR(VLOOKUP($S$604,'TAR FIN'!$A$1:$O$120,15,0)),0,VLOOKUP($S$604,'TAR FIN'!$A$1:$O$120,15,0))</f>
        <v>22.94</v>
      </c>
      <c r="W604" s="6">
        <f>IF(ISERROR(VLOOKUP($T$604,'TAR FIN'!$A$1:$O$120,15,0)),0,VLOOKUP($T$604,'TAR FIN'!$A$1:$O$120,15,0))</f>
        <v>84.45</v>
      </c>
      <c r="X604" s="6">
        <f>IF(ISERROR(VLOOKUP($U$604,'TAR FIN'!$A$1:$O$120,15,0)),0,VLOOKUP($U$604,'TAR FIN'!$A$1:$O$120,15,0))</f>
        <v>430.87</v>
      </c>
      <c r="Y604" s="6">
        <f ca="1">('TUSD BE'!$AM$27+'TUSD BF'!$AM$27+'TUSD CVA'!$AM$27)*1</f>
        <v>27.216283196676113</v>
      </c>
      <c r="Z604" s="6">
        <f ca="1">('TUSD BE'!$AM$29+'TUSD BF'!$AM$29+'TUSD CVA'!$AM$29)*1</f>
        <v>87.519361965254689</v>
      </c>
      <c r="AA604" s="6">
        <f>('TE BE'!$AA$10+'TE BF'!$AA$10+'TE CVA'!$AA$10)*1</f>
        <v>375.69180268700768</v>
      </c>
      <c r="AB604" s="6">
        <f>$K$604*$V$604</f>
        <v>350202.04000000004</v>
      </c>
      <c r="AC604" s="6">
        <f>$M$604*$W$604</f>
        <v>55144.414349999999</v>
      </c>
      <c r="AD604" s="6">
        <f>$O$604*$X$604</f>
        <v>281350.78521</v>
      </c>
      <c r="AE604" s="6">
        <f ca="1">$K$604*$Y$604</f>
        <v>415483.77928045753</v>
      </c>
      <c r="AF604" s="6">
        <f ca="1">$M$604*$Z$604</f>
        <v>57148.655534157901</v>
      </c>
      <c r="AG604" s="6">
        <f>$O$604*$AA$604</f>
        <v>245320.3603939703</v>
      </c>
    </row>
    <row r="605" spans="1:33" ht="11.25" customHeight="1" x14ac:dyDescent="0.25">
      <c r="A605" s="4" t="s">
        <v>21</v>
      </c>
      <c r="B605" s="4" t="s">
        <v>33</v>
      </c>
      <c r="C605" s="4" t="s">
        <v>41</v>
      </c>
      <c r="D605" s="4" t="s">
        <v>52</v>
      </c>
      <c r="E605" s="4" t="s">
        <v>58</v>
      </c>
      <c r="F605" s="4" t="s">
        <v>25</v>
      </c>
      <c r="G605" s="4" t="s">
        <v>25</v>
      </c>
      <c r="H605" s="4" t="s">
        <v>35</v>
      </c>
      <c r="I605" s="5">
        <v>43922</v>
      </c>
      <c r="J605" s="6">
        <v>14608</v>
      </c>
      <c r="K605" s="6">
        <v>14608</v>
      </c>
      <c r="L605" s="6">
        <v>631.4</v>
      </c>
      <c r="M605" s="6">
        <v>631.4</v>
      </c>
      <c r="N605" s="6">
        <v>631.4</v>
      </c>
      <c r="O605" s="6">
        <v>631.4</v>
      </c>
      <c r="P605" s="6">
        <v>0</v>
      </c>
      <c r="Q605" s="4" t="s">
        <v>26</v>
      </c>
      <c r="R605" s="4">
        <v>0</v>
      </c>
      <c r="S605" s="6">
        <v>21</v>
      </c>
      <c r="T605" s="6">
        <v>23</v>
      </c>
      <c r="U605" s="6">
        <v>81</v>
      </c>
      <c r="V605" s="6">
        <f>IF(ISERROR(VLOOKUP($S$605,'TAR FIN'!$A$1:$O$120,15,0)),0,VLOOKUP($S$605,'TAR FIN'!$A$1:$O$120,15,0))</f>
        <v>22.94</v>
      </c>
      <c r="W605" s="6">
        <f>IF(ISERROR(VLOOKUP($T$605,'TAR FIN'!$A$1:$O$120,15,0)),0,VLOOKUP($T$605,'TAR FIN'!$A$1:$O$120,15,0))</f>
        <v>84.45</v>
      </c>
      <c r="X605" s="6">
        <f>IF(ISERROR(VLOOKUP($U$605,'TAR FIN'!$A$1:$O$120,15,0)),0,VLOOKUP($U$605,'TAR FIN'!$A$1:$O$120,15,0))</f>
        <v>430.87</v>
      </c>
      <c r="Y605" s="6">
        <f ca="1">('TUSD BE'!$AM$27+'TUSD BF'!$AM$27+'TUSD CVA'!$AM$27)*1</f>
        <v>27.216283196676113</v>
      </c>
      <c r="Z605" s="6">
        <f ca="1">('TUSD BE'!$AM$29+'TUSD BF'!$AM$29+'TUSD CVA'!$AM$29)*1</f>
        <v>87.519361965254689</v>
      </c>
      <c r="AA605" s="6">
        <f>('TE BE'!$AA$10+'TE BF'!$AA$10+'TE CVA'!$AA$10)*1</f>
        <v>375.69180268700768</v>
      </c>
      <c r="AB605" s="6">
        <f>$K$605*$V$605</f>
        <v>335107.52</v>
      </c>
      <c r="AC605" s="6">
        <f>$M$605*$W$605</f>
        <v>53321.73</v>
      </c>
      <c r="AD605" s="6">
        <f>$O$605*$X$605</f>
        <v>272051.31799999997</v>
      </c>
      <c r="AE605" s="6">
        <f ca="1">$K$605*$Y$605</f>
        <v>397575.46493704466</v>
      </c>
      <c r="AF605" s="6">
        <f ca="1">$M$605*$Z$605</f>
        <v>55259.725144861812</v>
      </c>
      <c r="AG605" s="6">
        <f>$O$605*$AA$605</f>
        <v>237211.80421657665</v>
      </c>
    </row>
    <row r="606" spans="1:33" ht="11.25" customHeight="1" x14ac:dyDescent="0.25">
      <c r="A606" s="4" t="s">
        <v>21</v>
      </c>
      <c r="B606" s="4" t="s">
        <v>33</v>
      </c>
      <c r="C606" s="4" t="s">
        <v>41</v>
      </c>
      <c r="D606" s="4" t="s">
        <v>52</v>
      </c>
      <c r="E606" s="4" t="s">
        <v>58</v>
      </c>
      <c r="F606" s="4" t="s">
        <v>25</v>
      </c>
      <c r="G606" s="4" t="s">
        <v>25</v>
      </c>
      <c r="H606" s="4" t="s">
        <v>35</v>
      </c>
      <c r="I606" s="5">
        <v>43952</v>
      </c>
      <c r="J606" s="6">
        <v>14133</v>
      </c>
      <c r="K606" s="6">
        <v>14133</v>
      </c>
      <c r="L606" s="6">
        <v>609.83299999999997</v>
      </c>
      <c r="M606" s="6">
        <v>609.83299999999997</v>
      </c>
      <c r="N606" s="6">
        <v>609.83299999999997</v>
      </c>
      <c r="O606" s="6">
        <v>609.83299999999997</v>
      </c>
      <c r="P606" s="6">
        <v>0</v>
      </c>
      <c r="Q606" s="4" t="s">
        <v>26</v>
      </c>
      <c r="R606" s="4">
        <v>0</v>
      </c>
      <c r="S606" s="6">
        <v>21</v>
      </c>
      <c r="T606" s="6">
        <v>23</v>
      </c>
      <c r="U606" s="6">
        <v>81</v>
      </c>
      <c r="V606" s="6">
        <f>IF(ISERROR(VLOOKUP($S$606,'TAR FIN'!$A$1:$O$120,15,0)),0,VLOOKUP($S$606,'TAR FIN'!$A$1:$O$120,15,0))</f>
        <v>22.94</v>
      </c>
      <c r="W606" s="6">
        <f>IF(ISERROR(VLOOKUP($T$606,'TAR FIN'!$A$1:$O$120,15,0)),0,VLOOKUP($T$606,'TAR FIN'!$A$1:$O$120,15,0))</f>
        <v>84.45</v>
      </c>
      <c r="X606" s="6">
        <f>IF(ISERROR(VLOOKUP($U$606,'TAR FIN'!$A$1:$O$120,15,0)),0,VLOOKUP($U$606,'TAR FIN'!$A$1:$O$120,15,0))</f>
        <v>430.87</v>
      </c>
      <c r="Y606" s="6">
        <f ca="1">('TUSD BE'!$AM$27+'TUSD BF'!$AM$27+'TUSD CVA'!$AM$27)*1</f>
        <v>27.216283196676113</v>
      </c>
      <c r="Z606" s="6">
        <f ca="1">('TUSD BE'!$AM$29+'TUSD BF'!$AM$29+'TUSD CVA'!$AM$29)*1</f>
        <v>87.519361965254689</v>
      </c>
      <c r="AA606" s="6">
        <f>('TE BE'!$AA$10+'TE BF'!$AA$10+'TE CVA'!$AA$10)*1</f>
        <v>375.69180268700768</v>
      </c>
      <c r="AB606" s="6">
        <f>$K$606*$V$606</f>
        <v>324211.02</v>
      </c>
      <c r="AC606" s="6">
        <f>$M$606*$W$606</f>
        <v>51500.396849999997</v>
      </c>
      <c r="AD606" s="6">
        <f>$O$606*$X$606</f>
        <v>262758.74471</v>
      </c>
      <c r="AE606" s="6">
        <f ca="1">$K$606*$Y$606</f>
        <v>384647.73041862348</v>
      </c>
      <c r="AF606" s="6">
        <f ca="1">$M$606*$Z$606</f>
        <v>53372.195065357162</v>
      </c>
      <c r="AG606" s="6">
        <f>$O$606*$AA$606</f>
        <v>229109.25910802593</v>
      </c>
    </row>
    <row r="607" spans="1:33" ht="11.25" customHeight="1" x14ac:dyDescent="0.25">
      <c r="A607" s="4" t="s">
        <v>21</v>
      </c>
      <c r="B607" s="4" t="s">
        <v>33</v>
      </c>
      <c r="C607" s="4" t="s">
        <v>41</v>
      </c>
      <c r="D607" s="4" t="s">
        <v>52</v>
      </c>
      <c r="E607" s="4" t="s">
        <v>58</v>
      </c>
      <c r="F607" s="4" t="s">
        <v>25</v>
      </c>
      <c r="G607" s="4" t="s">
        <v>25</v>
      </c>
      <c r="H607" s="4" t="s">
        <v>35</v>
      </c>
      <c r="I607" s="5">
        <v>43983</v>
      </c>
      <c r="J607" s="6">
        <v>16520</v>
      </c>
      <c r="K607" s="6">
        <v>16520</v>
      </c>
      <c r="L607" s="6">
        <v>662.77300000000002</v>
      </c>
      <c r="M607" s="6">
        <v>662.77300000000002</v>
      </c>
      <c r="N607" s="6">
        <v>662.77300000000002</v>
      </c>
      <c r="O607" s="6">
        <v>662.77300000000002</v>
      </c>
      <c r="P607" s="6">
        <v>0</v>
      </c>
      <c r="Q607" s="4" t="s">
        <v>26</v>
      </c>
      <c r="R607" s="4">
        <v>0</v>
      </c>
      <c r="S607" s="6">
        <v>21</v>
      </c>
      <c r="T607" s="6">
        <v>23</v>
      </c>
      <c r="U607" s="6">
        <v>81</v>
      </c>
      <c r="V607" s="6">
        <f>IF(ISERROR(VLOOKUP($S$607,'TAR FIN'!$A$1:$O$120,15,0)),0,VLOOKUP($S$607,'TAR FIN'!$A$1:$O$120,15,0))</f>
        <v>22.94</v>
      </c>
      <c r="W607" s="6">
        <f>IF(ISERROR(VLOOKUP($T$607,'TAR FIN'!$A$1:$O$120,15,0)),0,VLOOKUP($T$607,'TAR FIN'!$A$1:$O$120,15,0))</f>
        <v>84.45</v>
      </c>
      <c r="X607" s="6">
        <f>IF(ISERROR(VLOOKUP($U$607,'TAR FIN'!$A$1:$O$120,15,0)),0,VLOOKUP($U$607,'TAR FIN'!$A$1:$O$120,15,0))</f>
        <v>430.87</v>
      </c>
      <c r="Y607" s="6">
        <f ca="1">('TUSD BE'!$AM$27+'TUSD BF'!$AM$27+'TUSD CVA'!$AM$27)*1</f>
        <v>27.216283196676113</v>
      </c>
      <c r="Z607" s="6">
        <f ca="1">('TUSD BE'!$AM$29+'TUSD BF'!$AM$29+'TUSD CVA'!$AM$29)*1</f>
        <v>87.519361965254689</v>
      </c>
      <c r="AA607" s="6">
        <f>('TE BE'!$AA$10+'TE BF'!$AA$10+'TE CVA'!$AA$10)*1</f>
        <v>375.69180268700768</v>
      </c>
      <c r="AB607" s="6">
        <f>$K$607*$V$607</f>
        <v>378968.80000000005</v>
      </c>
      <c r="AC607" s="6">
        <f>$M$607*$W$607</f>
        <v>55971.17985</v>
      </c>
      <c r="AD607" s="6">
        <f>$O$607*$X$607</f>
        <v>285569.00251000002</v>
      </c>
      <c r="AE607" s="6">
        <f ca="1">$K$607*$Y$607</f>
        <v>449612.9984090894</v>
      </c>
      <c r="AF607" s="6">
        <f ca="1">$M$607*$Z$607</f>
        <v>58005.470087797745</v>
      </c>
      <c r="AG607" s="6">
        <f>$O$607*$AA$607</f>
        <v>248998.38314227614</v>
      </c>
    </row>
    <row r="608" spans="1:33" ht="11.25" customHeight="1" x14ac:dyDescent="0.25">
      <c r="A608" s="4" t="s">
        <v>21</v>
      </c>
      <c r="B608" s="4" t="s">
        <v>33</v>
      </c>
      <c r="C608" s="4" t="s">
        <v>41</v>
      </c>
      <c r="D608" s="4" t="s">
        <v>52</v>
      </c>
      <c r="E608" s="4" t="s">
        <v>58</v>
      </c>
      <c r="F608" s="4" t="s">
        <v>25</v>
      </c>
      <c r="G608" s="4" t="s">
        <v>25</v>
      </c>
      <c r="H608" s="4" t="s">
        <v>35</v>
      </c>
      <c r="I608" s="5">
        <v>44013</v>
      </c>
      <c r="J608" s="6">
        <v>20365</v>
      </c>
      <c r="K608" s="6">
        <v>20365</v>
      </c>
      <c r="L608" s="6">
        <v>667.98500000000001</v>
      </c>
      <c r="M608" s="6">
        <v>667.98500000000001</v>
      </c>
      <c r="N608" s="6">
        <v>667.98500000000001</v>
      </c>
      <c r="O608" s="6">
        <v>667.98500000000001</v>
      </c>
      <c r="P608" s="6">
        <v>0</v>
      </c>
      <c r="Q608" s="4" t="s">
        <v>26</v>
      </c>
      <c r="R608" s="4">
        <v>0</v>
      </c>
      <c r="S608" s="6">
        <v>21</v>
      </c>
      <c r="T608" s="6">
        <v>23</v>
      </c>
      <c r="U608" s="6">
        <v>81</v>
      </c>
      <c r="V608" s="6">
        <f>IF(ISERROR(VLOOKUP($S$608,'TAR FIN'!$A$1:$O$120,15,0)),0,VLOOKUP($S$608,'TAR FIN'!$A$1:$O$120,15,0))</f>
        <v>22.94</v>
      </c>
      <c r="W608" s="6">
        <f>IF(ISERROR(VLOOKUP($T$608,'TAR FIN'!$A$1:$O$120,15,0)),0,VLOOKUP($T$608,'TAR FIN'!$A$1:$O$120,15,0))</f>
        <v>84.45</v>
      </c>
      <c r="X608" s="6">
        <f>IF(ISERROR(VLOOKUP($U$608,'TAR FIN'!$A$1:$O$120,15,0)),0,VLOOKUP($U$608,'TAR FIN'!$A$1:$O$120,15,0))</f>
        <v>430.87</v>
      </c>
      <c r="Y608" s="6">
        <f ca="1">('TUSD BE'!$AM$27+'TUSD BF'!$AM$27+'TUSD CVA'!$AM$27)*1</f>
        <v>27.216283196676113</v>
      </c>
      <c r="Z608" s="6">
        <f ca="1">('TUSD BE'!$AM$29+'TUSD BF'!$AM$29+'TUSD CVA'!$AM$29)*1</f>
        <v>87.519361965254689</v>
      </c>
      <c r="AA608" s="6">
        <f>('TE BE'!$AA$10+'TE BF'!$AA$10+'TE CVA'!$AA$10)*1</f>
        <v>375.69180268700768</v>
      </c>
      <c r="AB608" s="6">
        <f>$K$608*$V$608</f>
        <v>467173.10000000003</v>
      </c>
      <c r="AC608" s="6">
        <f>$M$608*$W$608</f>
        <v>56411.333250000003</v>
      </c>
      <c r="AD608" s="6">
        <f>$O$608*$X$608</f>
        <v>287814.69695000001</v>
      </c>
      <c r="AE608" s="6">
        <f ca="1">$K$608*$Y$608</f>
        <v>554259.607300309</v>
      </c>
      <c r="AF608" s="6">
        <f ca="1">$M$608*$Z$608</f>
        <v>58461.621002360655</v>
      </c>
      <c r="AG608" s="6">
        <f>$O$608*$AA$608</f>
        <v>250956.48881788083</v>
      </c>
    </row>
    <row r="609" spans="1:33" ht="11.25" customHeight="1" x14ac:dyDescent="0.25">
      <c r="A609" s="4" t="s">
        <v>21</v>
      </c>
      <c r="B609" s="4" t="s">
        <v>33</v>
      </c>
      <c r="C609" s="4" t="s">
        <v>41</v>
      </c>
      <c r="D609" s="4" t="s">
        <v>52</v>
      </c>
      <c r="E609" s="4" t="s">
        <v>58</v>
      </c>
      <c r="F609" s="4" t="s">
        <v>25</v>
      </c>
      <c r="G609" s="4" t="s">
        <v>25</v>
      </c>
      <c r="H609" s="4" t="s">
        <v>35</v>
      </c>
      <c r="I609" s="5">
        <v>44044</v>
      </c>
      <c r="J609" s="6">
        <v>16858</v>
      </c>
      <c r="K609" s="6">
        <v>16858</v>
      </c>
      <c r="L609" s="6">
        <v>723.49599999999998</v>
      </c>
      <c r="M609" s="6">
        <v>723.49599999999998</v>
      </c>
      <c r="N609" s="6">
        <v>723.49599999999998</v>
      </c>
      <c r="O609" s="6">
        <v>723.49599999999998</v>
      </c>
      <c r="P609" s="6">
        <v>0</v>
      </c>
      <c r="Q609" s="4" t="s">
        <v>26</v>
      </c>
      <c r="R609" s="4">
        <v>0</v>
      </c>
      <c r="S609" s="6">
        <v>21</v>
      </c>
      <c r="T609" s="6">
        <v>23</v>
      </c>
      <c r="U609" s="6">
        <v>81</v>
      </c>
      <c r="V609" s="6">
        <f>IF(ISERROR(VLOOKUP($S$609,'TAR FIN'!$A$1:$O$120,15,0)),0,VLOOKUP($S$609,'TAR FIN'!$A$1:$O$120,15,0))</f>
        <v>22.94</v>
      </c>
      <c r="W609" s="6">
        <f>IF(ISERROR(VLOOKUP($T$609,'TAR FIN'!$A$1:$O$120,15,0)),0,VLOOKUP($T$609,'TAR FIN'!$A$1:$O$120,15,0))</f>
        <v>84.45</v>
      </c>
      <c r="X609" s="6">
        <f>IF(ISERROR(VLOOKUP($U$609,'TAR FIN'!$A$1:$O$120,15,0)),0,VLOOKUP($U$609,'TAR FIN'!$A$1:$O$120,15,0))</f>
        <v>430.87</v>
      </c>
      <c r="Y609" s="6">
        <f ca="1">('TUSD BE'!$AM$27+'TUSD BF'!$AM$27+'TUSD CVA'!$AM$27)*1</f>
        <v>27.216283196676113</v>
      </c>
      <c r="Z609" s="6">
        <f ca="1">('TUSD BE'!$AM$29+'TUSD BF'!$AM$29+'TUSD CVA'!$AM$29)*1</f>
        <v>87.519361965254689</v>
      </c>
      <c r="AA609" s="6">
        <f>('TE BE'!$AA$10+'TE BF'!$AA$10+'TE CVA'!$AA$10)*1</f>
        <v>375.69180268700768</v>
      </c>
      <c r="AB609" s="6">
        <f>$K$609*$V$609</f>
        <v>386722.52</v>
      </c>
      <c r="AC609" s="6">
        <f>$M$609*$W$609</f>
        <v>61099.237200000003</v>
      </c>
      <c r="AD609" s="6">
        <f>$O$609*$X$609</f>
        <v>311732.72152000002</v>
      </c>
      <c r="AE609" s="6">
        <f ca="1">$K$609*$Y$609</f>
        <v>458812.1021295659</v>
      </c>
      <c r="AF609" s="6">
        <f ca="1">$M$609*$Z$609</f>
        <v>63319.908304413904</v>
      </c>
      <c r="AG609" s="6">
        <f>$O$609*$AA$609</f>
        <v>271811.51647683932</v>
      </c>
    </row>
    <row r="610" spans="1:33" ht="11.25" customHeight="1" x14ac:dyDescent="0.25">
      <c r="A610" s="4" t="s">
        <v>59</v>
      </c>
      <c r="B610" s="4" t="s">
        <v>33</v>
      </c>
      <c r="C610" s="4" t="s">
        <v>41</v>
      </c>
      <c r="D610" s="4" t="s">
        <v>52</v>
      </c>
      <c r="E610" s="4" t="s">
        <v>58</v>
      </c>
      <c r="F610" s="4" t="s">
        <v>25</v>
      </c>
      <c r="G610" s="4" t="s">
        <v>25</v>
      </c>
      <c r="H610" s="4" t="s">
        <v>35</v>
      </c>
      <c r="I610" s="5">
        <v>44075</v>
      </c>
      <c r="J610" s="6">
        <v>16858</v>
      </c>
      <c r="K610" s="6">
        <v>16858</v>
      </c>
      <c r="L610" s="6">
        <v>723.49599999999998</v>
      </c>
      <c r="M610" s="6">
        <v>723.49599999999998</v>
      </c>
      <c r="N610" s="6">
        <v>723.49599999999998</v>
      </c>
      <c r="O610" s="6">
        <v>723.49599999999998</v>
      </c>
      <c r="P610" s="6">
        <v>0</v>
      </c>
      <c r="Q610" s="4" t="s">
        <v>26</v>
      </c>
      <c r="R610" s="4">
        <v>0</v>
      </c>
      <c r="S610" s="6">
        <v>21</v>
      </c>
      <c r="T610" s="6">
        <v>23</v>
      </c>
      <c r="U610" s="6">
        <v>81</v>
      </c>
      <c r="V610" s="6">
        <f>IF(ISERROR(VLOOKUP($S$610,'TAR FIN'!$A$1:$O$120,15,0)),0,VLOOKUP($S$610,'TAR FIN'!$A$1:$O$120,15,0))</f>
        <v>22.94</v>
      </c>
      <c r="W610" s="6">
        <f>IF(ISERROR(VLOOKUP($T$610,'TAR FIN'!$A$1:$O$120,15,0)),0,VLOOKUP($T$610,'TAR FIN'!$A$1:$O$120,15,0))</f>
        <v>84.45</v>
      </c>
      <c r="X610" s="6">
        <f>IF(ISERROR(VLOOKUP($U$610,'TAR FIN'!$A$1:$O$120,15,0)),0,VLOOKUP($U$610,'TAR FIN'!$A$1:$O$120,15,0))</f>
        <v>430.87</v>
      </c>
      <c r="Y610" s="6">
        <f ca="1">('TUSD BE'!$AM$27+'TUSD BF'!$AM$27+'TUSD CVA'!$AM$27)*1</f>
        <v>27.216283196676113</v>
      </c>
      <c r="Z610" s="6">
        <f ca="1">('TUSD BE'!$AM$29+'TUSD BF'!$AM$29+'TUSD CVA'!$AM$29)*1</f>
        <v>87.519361965254689</v>
      </c>
      <c r="AA610" s="6">
        <f>('TE BE'!$AA$10+'TE BF'!$AA$10+'TE CVA'!$AA$10)*1</f>
        <v>375.69180268700768</v>
      </c>
      <c r="AB610" s="6">
        <f>$K$610*$V$610</f>
        <v>386722.52</v>
      </c>
      <c r="AC610" s="6">
        <f>$M$610*$W$610</f>
        <v>61099.237200000003</v>
      </c>
      <c r="AD610" s="6">
        <f>$O$610*$X$610</f>
        <v>311732.72152000002</v>
      </c>
      <c r="AE610" s="6">
        <f ca="1">$K$610*$Y$610</f>
        <v>458812.1021295659</v>
      </c>
      <c r="AF610" s="6">
        <f ca="1">$M$610*$Z$610</f>
        <v>63319.908304413904</v>
      </c>
      <c r="AG610" s="6">
        <f>$O$610*$AA$610</f>
        <v>271811.51647683932</v>
      </c>
    </row>
    <row r="611" spans="1:33" ht="11.25" customHeight="1" x14ac:dyDescent="0.25">
      <c r="A611" s="4" t="s">
        <v>21</v>
      </c>
      <c r="B611" s="4" t="s">
        <v>33</v>
      </c>
      <c r="C611" s="4" t="s">
        <v>34</v>
      </c>
      <c r="D611" s="4" t="s">
        <v>42</v>
      </c>
      <c r="E611" s="4" t="s">
        <v>25</v>
      </c>
      <c r="F611" s="4" t="s">
        <v>25</v>
      </c>
      <c r="G611" s="4" t="s">
        <v>25</v>
      </c>
      <c r="H611" s="4" t="s">
        <v>36</v>
      </c>
      <c r="I611" s="5">
        <v>43739</v>
      </c>
      <c r="J611" s="6">
        <v>0</v>
      </c>
      <c r="K611" s="6">
        <v>0</v>
      </c>
      <c r="L611" s="6">
        <v>22604.132000000001</v>
      </c>
      <c r="M611" s="6">
        <v>22604.132000000001</v>
      </c>
      <c r="N611" s="6">
        <v>22604.132000000001</v>
      </c>
      <c r="O611" s="6">
        <v>22604.132000000001</v>
      </c>
      <c r="P611" s="6">
        <v>0</v>
      </c>
      <c r="Q611" s="4" t="s">
        <v>26</v>
      </c>
      <c r="R611" s="4">
        <v>0</v>
      </c>
      <c r="S611" s="6">
        <v>0</v>
      </c>
      <c r="T611" s="6">
        <v>28</v>
      </c>
      <c r="U611" s="6">
        <v>82</v>
      </c>
      <c r="V611" s="6">
        <f>IF(ISERROR(VLOOKUP($S$611,'TAR FIN'!$A$1:$O$120,15,0)),0,VLOOKUP($S$611,'TAR FIN'!$A$1:$O$120,15,0))</f>
        <v>0</v>
      </c>
      <c r="W611" s="6">
        <f>IF(ISERROR(VLOOKUP($T$611,'TAR FIN'!$A$1:$O$120,15,0)),0,VLOOKUP($T$611,'TAR FIN'!$A$1:$O$120,15,0))</f>
        <v>84.45</v>
      </c>
      <c r="X611" s="6">
        <f>IF(ISERROR(VLOOKUP($U$611,'TAR FIN'!$A$1:$O$120,15,0)),0,VLOOKUP($U$611,'TAR FIN'!$A$1:$O$120,15,0))</f>
        <v>256.38</v>
      </c>
      <c r="Y611" s="6"/>
      <c r="Z611" s="6">
        <f ca="1">('TUSD BE'!$AM$34+'TUSD BF'!$AM$34+'TUSD CVA'!$AM$34)*1</f>
        <v>87.519361965254689</v>
      </c>
      <c r="AA611" s="6">
        <f>('TE BE'!$AA$11+'TE BF'!$AA$11+'TE CVA'!$AA$11)*1</f>
        <v>230.83420940933817</v>
      </c>
      <c r="AB611" s="6">
        <f>$K$611*$V$611</f>
        <v>0</v>
      </c>
      <c r="AC611" s="6">
        <f>$M$611*$W$611</f>
        <v>1908918.9474000002</v>
      </c>
      <c r="AD611" s="6">
        <f>$O$611*$X$611</f>
        <v>5795247.36216</v>
      </c>
      <c r="AE611" s="6">
        <f>$K$611*$Y$611</f>
        <v>0</v>
      </c>
      <c r="AF611" s="6">
        <f ca="1">$M$611*$Z$611</f>
        <v>1978299.2104183966</v>
      </c>
      <c r="AG611" s="6">
        <f>$O$611*$AA$611</f>
        <v>5217806.9396043224</v>
      </c>
    </row>
    <row r="612" spans="1:33" ht="11.25" customHeight="1" x14ac:dyDescent="0.25">
      <c r="A612" s="4" t="s">
        <v>27</v>
      </c>
      <c r="B612" s="4" t="s">
        <v>33</v>
      </c>
      <c r="C612" s="4" t="s">
        <v>34</v>
      </c>
      <c r="D612" s="4" t="s">
        <v>42</v>
      </c>
      <c r="E612" s="4" t="s">
        <v>25</v>
      </c>
      <c r="F612" s="4" t="s">
        <v>25</v>
      </c>
      <c r="G612" s="4" t="s">
        <v>25</v>
      </c>
      <c r="H612" s="4" t="s">
        <v>36</v>
      </c>
      <c r="I612" s="5">
        <v>43739</v>
      </c>
      <c r="J612" s="6">
        <v>0</v>
      </c>
      <c r="K612" s="6">
        <v>0</v>
      </c>
      <c r="L612" s="6">
        <v>103.14400000000001</v>
      </c>
      <c r="M612" s="6">
        <v>103.14400000000001</v>
      </c>
      <c r="N612" s="6">
        <v>103.14400000000001</v>
      </c>
      <c r="O612" s="6">
        <v>103.14400000000001</v>
      </c>
      <c r="P612" s="6">
        <v>0</v>
      </c>
      <c r="Q612" s="4" t="s">
        <v>26</v>
      </c>
      <c r="R612" s="4">
        <v>0</v>
      </c>
      <c r="S612" s="6">
        <v>0</v>
      </c>
      <c r="T612" s="6">
        <v>28</v>
      </c>
      <c r="U612" s="6">
        <v>82</v>
      </c>
      <c r="V612" s="6">
        <f>IF(ISERROR(VLOOKUP($S$612,'TAR FIN'!$A$1:$O$120,15,0)),0,VLOOKUP($S$612,'TAR FIN'!$A$1:$O$120,15,0))</f>
        <v>0</v>
      </c>
      <c r="W612" s="6">
        <f>IF(ISERROR(VLOOKUP($T$612,'TAR FIN'!$A$1:$O$120,15,0)),0,VLOOKUP($T$612,'TAR FIN'!$A$1:$O$120,15,0))</f>
        <v>84.45</v>
      </c>
      <c r="X612" s="6">
        <f>IF(ISERROR(VLOOKUP($U$612,'TAR FIN'!$A$1:$O$120,15,0)),0,VLOOKUP($U$612,'TAR FIN'!$A$1:$O$120,15,0))</f>
        <v>256.38</v>
      </c>
      <c r="Y612" s="6"/>
      <c r="Z612" s="6">
        <f ca="1">('TUSD BE'!$AM$34+'TUSD BF'!$AM$34+'TUSD CVA'!$AM$34)*1</f>
        <v>87.519361965254689</v>
      </c>
      <c r="AA612" s="6">
        <f>('TE BE'!$AA$11+'TE BF'!$AA$11+'TE CVA'!$AA$11)*1</f>
        <v>230.83420940933817</v>
      </c>
      <c r="AB612" s="6">
        <f>$K$612*$V$612</f>
        <v>0</v>
      </c>
      <c r="AC612" s="6">
        <f>$M$612*$W$612</f>
        <v>8710.5108</v>
      </c>
      <c r="AD612" s="6">
        <f>$O$612*$X$612</f>
        <v>26444.058720000001</v>
      </c>
      <c r="AE612" s="6">
        <f>$K$612*$Y$612</f>
        <v>0</v>
      </c>
      <c r="AF612" s="6">
        <f ca="1">$M$612*$Z$612</f>
        <v>9027.0970705442305</v>
      </c>
      <c r="AG612" s="6">
        <f>$O$612*$AA$612</f>
        <v>23809.163695316776</v>
      </c>
    </row>
    <row r="613" spans="1:33" ht="11.25" customHeight="1" x14ac:dyDescent="0.25">
      <c r="A613" s="4" t="s">
        <v>28</v>
      </c>
      <c r="B613" s="4" t="s">
        <v>33</v>
      </c>
      <c r="C613" s="4" t="s">
        <v>34</v>
      </c>
      <c r="D613" s="4" t="s">
        <v>42</v>
      </c>
      <c r="E613" s="4" t="s">
        <v>25</v>
      </c>
      <c r="F613" s="4" t="s">
        <v>25</v>
      </c>
      <c r="G613" s="4" t="s">
        <v>25</v>
      </c>
      <c r="H613" s="4" t="s">
        <v>36</v>
      </c>
      <c r="I613" s="5">
        <v>43739</v>
      </c>
      <c r="J613" s="6">
        <v>0</v>
      </c>
      <c r="K613" s="6">
        <v>0</v>
      </c>
      <c r="L613" s="6">
        <v>843.99800000000005</v>
      </c>
      <c r="M613" s="6">
        <v>843.99800000000005</v>
      </c>
      <c r="N613" s="6">
        <v>843.99800000000005</v>
      </c>
      <c r="O613" s="6">
        <v>843.99800000000005</v>
      </c>
      <c r="P613" s="6">
        <v>0</v>
      </c>
      <c r="Q613" s="4" t="s">
        <v>26</v>
      </c>
      <c r="R613" s="4">
        <v>0</v>
      </c>
      <c r="S613" s="6">
        <v>0</v>
      </c>
      <c r="T613" s="6">
        <v>28</v>
      </c>
      <c r="U613" s="6">
        <v>82</v>
      </c>
      <c r="V613" s="6">
        <f>IF(ISERROR(VLOOKUP($S$613,'TAR FIN'!$A$1:$O$120,15,0)),0,VLOOKUP($S$613,'TAR FIN'!$A$1:$O$120,15,0))</f>
        <v>0</v>
      </c>
      <c r="W613" s="6">
        <f>IF(ISERROR(VLOOKUP($T$613,'TAR FIN'!$A$1:$O$120,15,0)),0,VLOOKUP($T$613,'TAR FIN'!$A$1:$O$120,15,0))</f>
        <v>84.45</v>
      </c>
      <c r="X613" s="6">
        <f>IF(ISERROR(VLOOKUP($U$613,'TAR FIN'!$A$1:$O$120,15,0)),0,VLOOKUP($U$613,'TAR FIN'!$A$1:$O$120,15,0))</f>
        <v>256.38</v>
      </c>
      <c r="Y613" s="6"/>
      <c r="Z613" s="6">
        <f ca="1">('TUSD BE'!$AM$34+'TUSD BF'!$AM$34+'TUSD CVA'!$AM$34)*1</f>
        <v>87.519361965254689</v>
      </c>
      <c r="AA613" s="6">
        <f>('TE BE'!$AA$11+'TE BF'!$AA$11+'TE CVA'!$AA$11)*1</f>
        <v>230.83420940933817</v>
      </c>
      <c r="AB613" s="6">
        <f>$K$613*$V$613</f>
        <v>0</v>
      </c>
      <c r="AC613" s="6">
        <f>$M$613*$W$613</f>
        <v>71275.631100000013</v>
      </c>
      <c r="AD613" s="6">
        <f>$O$613*$X$613</f>
        <v>216384.20724000002</v>
      </c>
      <c r="AE613" s="6">
        <f>$K$613*$Y$613</f>
        <v>0</v>
      </c>
      <c r="AF613" s="6">
        <f ca="1">$M$613*$Z$613</f>
        <v>73866.166459951026</v>
      </c>
      <c r="AG613" s="6">
        <f>$O$613*$AA$613</f>
        <v>194823.61107306261</v>
      </c>
    </row>
    <row r="614" spans="1:33" ht="11.25" customHeight="1" x14ac:dyDescent="0.25">
      <c r="A614" s="4" t="s">
        <v>21</v>
      </c>
      <c r="B614" s="4" t="s">
        <v>33</v>
      </c>
      <c r="C614" s="4" t="s">
        <v>34</v>
      </c>
      <c r="D614" s="4" t="s">
        <v>42</v>
      </c>
      <c r="E614" s="4" t="s">
        <v>25</v>
      </c>
      <c r="F614" s="4" t="s">
        <v>25</v>
      </c>
      <c r="G614" s="4" t="s">
        <v>25</v>
      </c>
      <c r="H614" s="4" t="s">
        <v>36</v>
      </c>
      <c r="I614" s="5">
        <v>43770</v>
      </c>
      <c r="J614" s="6">
        <v>0</v>
      </c>
      <c r="K614" s="6">
        <v>0</v>
      </c>
      <c r="L614" s="6">
        <v>23964.532999999999</v>
      </c>
      <c r="M614" s="6">
        <v>23964.532999999999</v>
      </c>
      <c r="N614" s="6">
        <v>23964.532999999999</v>
      </c>
      <c r="O614" s="6">
        <v>23964.532999999999</v>
      </c>
      <c r="P614" s="6">
        <v>0</v>
      </c>
      <c r="Q614" s="4" t="s">
        <v>26</v>
      </c>
      <c r="R614" s="4">
        <v>0</v>
      </c>
      <c r="S614" s="6">
        <v>0</v>
      </c>
      <c r="T614" s="6">
        <v>28</v>
      </c>
      <c r="U614" s="6">
        <v>82</v>
      </c>
      <c r="V614" s="6">
        <f>IF(ISERROR(VLOOKUP($S$614,'TAR FIN'!$A$1:$O$120,15,0)),0,VLOOKUP($S$614,'TAR FIN'!$A$1:$O$120,15,0))</f>
        <v>0</v>
      </c>
      <c r="W614" s="6">
        <f>IF(ISERROR(VLOOKUP($T$614,'TAR FIN'!$A$1:$O$120,15,0)),0,VLOOKUP($T$614,'TAR FIN'!$A$1:$O$120,15,0))</f>
        <v>84.45</v>
      </c>
      <c r="X614" s="6">
        <f>IF(ISERROR(VLOOKUP($U$614,'TAR FIN'!$A$1:$O$120,15,0)),0,VLOOKUP($U$614,'TAR FIN'!$A$1:$O$120,15,0))</f>
        <v>256.38</v>
      </c>
      <c r="Y614" s="6"/>
      <c r="Z614" s="6">
        <f ca="1">('TUSD BE'!$AM$34+'TUSD BF'!$AM$34+'TUSD CVA'!$AM$34)*1</f>
        <v>87.519361965254689</v>
      </c>
      <c r="AA614" s="6">
        <f>('TE BE'!$AA$11+'TE BF'!$AA$11+'TE CVA'!$AA$11)*1</f>
        <v>230.83420940933817</v>
      </c>
      <c r="AB614" s="6">
        <f>$K$614*$V$614</f>
        <v>0</v>
      </c>
      <c r="AC614" s="6">
        <f>$M$614*$W$614</f>
        <v>2023804.8118499999</v>
      </c>
      <c r="AD614" s="6">
        <f>$O$614*$X$614</f>
        <v>6144026.9705400001</v>
      </c>
      <c r="AE614" s="6">
        <f>$K$614*$Y$614</f>
        <v>0</v>
      </c>
      <c r="AF614" s="6">
        <f ca="1">$M$614*$Z$614</f>
        <v>2097360.6379552907</v>
      </c>
      <c r="AG614" s="6">
        <f>$O$614*$AA$614</f>
        <v>5531834.0289189946</v>
      </c>
    </row>
    <row r="615" spans="1:33" ht="11.25" customHeight="1" x14ac:dyDescent="0.25">
      <c r="A615" s="4" t="s">
        <v>27</v>
      </c>
      <c r="B615" s="4" t="s">
        <v>33</v>
      </c>
      <c r="C615" s="4" t="s">
        <v>34</v>
      </c>
      <c r="D615" s="4" t="s">
        <v>42</v>
      </c>
      <c r="E615" s="4" t="s">
        <v>25</v>
      </c>
      <c r="F615" s="4" t="s">
        <v>25</v>
      </c>
      <c r="G615" s="4" t="s">
        <v>25</v>
      </c>
      <c r="H615" s="4" t="s">
        <v>36</v>
      </c>
      <c r="I615" s="5">
        <v>43770</v>
      </c>
      <c r="J615" s="6">
        <v>0</v>
      </c>
      <c r="K615" s="6">
        <v>0</v>
      </c>
      <c r="L615" s="6">
        <v>7.8029999999999999</v>
      </c>
      <c r="M615" s="6">
        <v>7.8029999999999999</v>
      </c>
      <c r="N615" s="6">
        <v>7.8029999999999999</v>
      </c>
      <c r="O615" s="6">
        <v>7.8029999999999999</v>
      </c>
      <c r="P615" s="6">
        <v>0</v>
      </c>
      <c r="Q615" s="4" t="s">
        <v>26</v>
      </c>
      <c r="R615" s="4">
        <v>0</v>
      </c>
      <c r="S615" s="6">
        <v>0</v>
      </c>
      <c r="T615" s="6">
        <v>28</v>
      </c>
      <c r="U615" s="6">
        <v>82</v>
      </c>
      <c r="V615" s="6">
        <f>IF(ISERROR(VLOOKUP($S$615,'TAR FIN'!$A$1:$O$120,15,0)),0,VLOOKUP($S$615,'TAR FIN'!$A$1:$O$120,15,0))</f>
        <v>0</v>
      </c>
      <c r="W615" s="6">
        <f>IF(ISERROR(VLOOKUP($T$615,'TAR FIN'!$A$1:$O$120,15,0)),0,VLOOKUP($T$615,'TAR FIN'!$A$1:$O$120,15,0))</f>
        <v>84.45</v>
      </c>
      <c r="X615" s="6">
        <f>IF(ISERROR(VLOOKUP($U$615,'TAR FIN'!$A$1:$O$120,15,0)),0,VLOOKUP($U$615,'TAR FIN'!$A$1:$O$120,15,0))</f>
        <v>256.38</v>
      </c>
      <c r="Y615" s="6"/>
      <c r="Z615" s="6">
        <f ca="1">('TUSD BE'!$AM$34+'TUSD BF'!$AM$34+'TUSD CVA'!$AM$34)*1</f>
        <v>87.519361965254689</v>
      </c>
      <c r="AA615" s="6">
        <f>('TE BE'!$AA$11+'TE BF'!$AA$11+'TE CVA'!$AA$11)*1</f>
        <v>230.83420940933817</v>
      </c>
      <c r="AB615" s="6">
        <f>$K$615*$V$615</f>
        <v>0</v>
      </c>
      <c r="AC615" s="6">
        <f>$M$615*$W$615</f>
        <v>658.96334999999999</v>
      </c>
      <c r="AD615" s="6">
        <f>$O$615*$X$615</f>
        <v>2000.53314</v>
      </c>
      <c r="AE615" s="6">
        <f>$K$615*$Y$615</f>
        <v>0</v>
      </c>
      <c r="AF615" s="6">
        <f ca="1">$M$615*$Z$615</f>
        <v>682.91358141488229</v>
      </c>
      <c r="AG615" s="6">
        <f>$O$615*$AA$615</f>
        <v>1801.1993360210658</v>
      </c>
    </row>
    <row r="616" spans="1:33" ht="11.25" customHeight="1" x14ac:dyDescent="0.25">
      <c r="A616" s="4" t="s">
        <v>28</v>
      </c>
      <c r="B616" s="4" t="s">
        <v>33</v>
      </c>
      <c r="C616" s="4" t="s">
        <v>34</v>
      </c>
      <c r="D616" s="4" t="s">
        <v>42</v>
      </c>
      <c r="E616" s="4" t="s">
        <v>25</v>
      </c>
      <c r="F616" s="4" t="s">
        <v>25</v>
      </c>
      <c r="G616" s="4" t="s">
        <v>25</v>
      </c>
      <c r="H616" s="4" t="s">
        <v>36</v>
      </c>
      <c r="I616" s="5">
        <v>43770</v>
      </c>
      <c r="J616" s="6">
        <v>0</v>
      </c>
      <c r="K616" s="6">
        <v>0</v>
      </c>
      <c r="L616" s="6">
        <v>866.86</v>
      </c>
      <c r="M616" s="6">
        <v>866.86</v>
      </c>
      <c r="N616" s="6">
        <v>866.86</v>
      </c>
      <c r="O616" s="6">
        <v>866.86</v>
      </c>
      <c r="P616" s="6">
        <v>0</v>
      </c>
      <c r="Q616" s="4" t="s">
        <v>26</v>
      </c>
      <c r="R616" s="4">
        <v>0</v>
      </c>
      <c r="S616" s="6">
        <v>0</v>
      </c>
      <c r="T616" s="6">
        <v>28</v>
      </c>
      <c r="U616" s="6">
        <v>82</v>
      </c>
      <c r="V616" s="6">
        <f>IF(ISERROR(VLOOKUP($S$616,'TAR FIN'!$A$1:$O$120,15,0)),0,VLOOKUP($S$616,'TAR FIN'!$A$1:$O$120,15,0))</f>
        <v>0</v>
      </c>
      <c r="W616" s="6">
        <f>IF(ISERROR(VLOOKUP($T$616,'TAR FIN'!$A$1:$O$120,15,0)),0,VLOOKUP($T$616,'TAR FIN'!$A$1:$O$120,15,0))</f>
        <v>84.45</v>
      </c>
      <c r="X616" s="6">
        <f>IF(ISERROR(VLOOKUP($U$616,'TAR FIN'!$A$1:$O$120,15,0)),0,VLOOKUP($U$616,'TAR FIN'!$A$1:$O$120,15,0))</f>
        <v>256.38</v>
      </c>
      <c r="Y616" s="6"/>
      <c r="Z616" s="6">
        <f ca="1">('TUSD BE'!$AM$34+'TUSD BF'!$AM$34+'TUSD CVA'!$AM$34)*1</f>
        <v>87.519361965254689</v>
      </c>
      <c r="AA616" s="6">
        <f>('TE BE'!$AA$11+'TE BF'!$AA$11+'TE CVA'!$AA$11)*1</f>
        <v>230.83420940933817</v>
      </c>
      <c r="AB616" s="6">
        <f>$K$616*$V$616</f>
        <v>0</v>
      </c>
      <c r="AC616" s="6">
        <f>$M$616*$W$616</f>
        <v>73206.327000000005</v>
      </c>
      <c r="AD616" s="6">
        <f>$O$616*$X$616</f>
        <v>222245.5668</v>
      </c>
      <c r="AE616" s="6">
        <f>$K$616*$Y$616</f>
        <v>0</v>
      </c>
      <c r="AF616" s="6">
        <f ca="1">$M$616*$Z$616</f>
        <v>75867.034113200687</v>
      </c>
      <c r="AG616" s="6">
        <f>$O$616*$AA$616</f>
        <v>200100.94276857888</v>
      </c>
    </row>
    <row r="617" spans="1:33" ht="11.25" customHeight="1" x14ac:dyDescent="0.25">
      <c r="A617" s="4" t="s">
        <v>21</v>
      </c>
      <c r="B617" s="4" t="s">
        <v>33</v>
      </c>
      <c r="C617" s="4" t="s">
        <v>34</v>
      </c>
      <c r="D617" s="4" t="s">
        <v>42</v>
      </c>
      <c r="E617" s="4" t="s">
        <v>25</v>
      </c>
      <c r="F617" s="4" t="s">
        <v>25</v>
      </c>
      <c r="G617" s="4" t="s">
        <v>25</v>
      </c>
      <c r="H617" s="4" t="s">
        <v>36</v>
      </c>
      <c r="I617" s="5">
        <v>43800</v>
      </c>
      <c r="J617" s="6">
        <v>0</v>
      </c>
      <c r="K617" s="6">
        <v>0</v>
      </c>
      <c r="L617" s="6">
        <v>21865.151999999998</v>
      </c>
      <c r="M617" s="6">
        <v>21865.151999999998</v>
      </c>
      <c r="N617" s="6">
        <v>21865.151999999998</v>
      </c>
      <c r="O617" s="6">
        <v>21865.151999999998</v>
      </c>
      <c r="P617" s="6">
        <v>0</v>
      </c>
      <c r="Q617" s="4" t="s">
        <v>26</v>
      </c>
      <c r="R617" s="4">
        <v>0</v>
      </c>
      <c r="S617" s="6">
        <v>0</v>
      </c>
      <c r="T617" s="6">
        <v>28</v>
      </c>
      <c r="U617" s="6">
        <v>82</v>
      </c>
      <c r="V617" s="6">
        <f>IF(ISERROR(VLOOKUP($S$617,'TAR FIN'!$A$1:$O$120,15,0)),0,VLOOKUP($S$617,'TAR FIN'!$A$1:$O$120,15,0))</f>
        <v>0</v>
      </c>
      <c r="W617" s="6">
        <f>IF(ISERROR(VLOOKUP($T$617,'TAR FIN'!$A$1:$O$120,15,0)),0,VLOOKUP($T$617,'TAR FIN'!$A$1:$O$120,15,0))</f>
        <v>84.45</v>
      </c>
      <c r="X617" s="6">
        <f>IF(ISERROR(VLOOKUP($U$617,'TAR FIN'!$A$1:$O$120,15,0)),0,VLOOKUP($U$617,'TAR FIN'!$A$1:$O$120,15,0))</f>
        <v>256.38</v>
      </c>
      <c r="Y617" s="6"/>
      <c r="Z617" s="6">
        <f ca="1">('TUSD BE'!$AM$34+'TUSD BF'!$AM$34+'TUSD CVA'!$AM$34)*1</f>
        <v>87.519361965254689</v>
      </c>
      <c r="AA617" s="6">
        <f>('TE BE'!$AA$11+'TE BF'!$AA$11+'TE CVA'!$AA$11)*1</f>
        <v>230.83420940933817</v>
      </c>
      <c r="AB617" s="6">
        <f>$K$617*$V$617</f>
        <v>0</v>
      </c>
      <c r="AC617" s="6">
        <f>$M$617*$W$617</f>
        <v>1846512.0863999999</v>
      </c>
      <c r="AD617" s="6">
        <f>$O$617*$X$617</f>
        <v>5605787.669759999</v>
      </c>
      <c r="AE617" s="6">
        <f>$K$617*$Y$617</f>
        <v>0</v>
      </c>
      <c r="AF617" s="6">
        <f ca="1">$M$617*$Z$617</f>
        <v>1913624.1523133123</v>
      </c>
      <c r="AG617" s="6">
        <f>$O$617*$AA$617</f>
        <v>5047225.0755350087</v>
      </c>
    </row>
    <row r="618" spans="1:33" ht="11.25" customHeight="1" x14ac:dyDescent="0.25">
      <c r="A618" s="4" t="s">
        <v>27</v>
      </c>
      <c r="B618" s="4" t="s">
        <v>33</v>
      </c>
      <c r="C618" s="4" t="s">
        <v>34</v>
      </c>
      <c r="D618" s="4" t="s">
        <v>42</v>
      </c>
      <c r="E618" s="4" t="s">
        <v>25</v>
      </c>
      <c r="F618" s="4" t="s">
        <v>25</v>
      </c>
      <c r="G618" s="4" t="s">
        <v>25</v>
      </c>
      <c r="H618" s="4" t="s">
        <v>36</v>
      </c>
      <c r="I618" s="5">
        <v>43800</v>
      </c>
      <c r="J618" s="6">
        <v>0</v>
      </c>
      <c r="K618" s="6">
        <v>0</v>
      </c>
      <c r="L618" s="6">
        <v>30.341999999999999</v>
      </c>
      <c r="M618" s="6">
        <v>30.341999999999999</v>
      </c>
      <c r="N618" s="6">
        <v>30.341999999999999</v>
      </c>
      <c r="O618" s="6">
        <v>30.341999999999999</v>
      </c>
      <c r="P618" s="6">
        <v>0</v>
      </c>
      <c r="Q618" s="4" t="s">
        <v>26</v>
      </c>
      <c r="R618" s="4">
        <v>0</v>
      </c>
      <c r="S618" s="6">
        <v>0</v>
      </c>
      <c r="T618" s="6">
        <v>28</v>
      </c>
      <c r="U618" s="6">
        <v>82</v>
      </c>
      <c r="V618" s="6">
        <f>IF(ISERROR(VLOOKUP($S$618,'TAR FIN'!$A$1:$O$120,15,0)),0,VLOOKUP($S$618,'TAR FIN'!$A$1:$O$120,15,0))</f>
        <v>0</v>
      </c>
      <c r="W618" s="6">
        <f>IF(ISERROR(VLOOKUP($T$618,'TAR FIN'!$A$1:$O$120,15,0)),0,VLOOKUP($T$618,'TAR FIN'!$A$1:$O$120,15,0))</f>
        <v>84.45</v>
      </c>
      <c r="X618" s="6">
        <f>IF(ISERROR(VLOOKUP($U$618,'TAR FIN'!$A$1:$O$120,15,0)),0,VLOOKUP($U$618,'TAR FIN'!$A$1:$O$120,15,0))</f>
        <v>256.38</v>
      </c>
      <c r="Y618" s="6"/>
      <c r="Z618" s="6">
        <f ca="1">('TUSD BE'!$AM$34+'TUSD BF'!$AM$34+'TUSD CVA'!$AM$34)*1</f>
        <v>87.519361965254689</v>
      </c>
      <c r="AA618" s="6">
        <f>('TE BE'!$AA$11+'TE BF'!$AA$11+'TE CVA'!$AA$11)*1</f>
        <v>230.83420940933817</v>
      </c>
      <c r="AB618" s="6">
        <f>$K$618*$V$618</f>
        <v>0</v>
      </c>
      <c r="AC618" s="6">
        <f>$M$618*$W$618</f>
        <v>2562.3818999999999</v>
      </c>
      <c r="AD618" s="6">
        <f>$O$618*$X$618</f>
        <v>7779.0819599999995</v>
      </c>
      <c r="AE618" s="6">
        <f>$K$618*$Y$618</f>
        <v>0</v>
      </c>
      <c r="AF618" s="6">
        <f ca="1">$M$618*$Z$618</f>
        <v>2655.5124807497577</v>
      </c>
      <c r="AG618" s="6">
        <f>$O$618*$AA$618</f>
        <v>7003.9715818981385</v>
      </c>
    </row>
    <row r="619" spans="1:33" ht="11.25" customHeight="1" x14ac:dyDescent="0.25">
      <c r="A619" s="4" t="s">
        <v>28</v>
      </c>
      <c r="B619" s="4" t="s">
        <v>33</v>
      </c>
      <c r="C619" s="4" t="s">
        <v>34</v>
      </c>
      <c r="D619" s="4" t="s">
        <v>42</v>
      </c>
      <c r="E619" s="4" t="s">
        <v>25</v>
      </c>
      <c r="F619" s="4" t="s">
        <v>25</v>
      </c>
      <c r="G619" s="4" t="s">
        <v>25</v>
      </c>
      <c r="H619" s="4" t="s">
        <v>36</v>
      </c>
      <c r="I619" s="5">
        <v>43800</v>
      </c>
      <c r="J619" s="6">
        <v>0</v>
      </c>
      <c r="K619" s="6">
        <v>0</v>
      </c>
      <c r="L619" s="6">
        <v>822.12199999999996</v>
      </c>
      <c r="M619" s="6">
        <v>822.12199999999996</v>
      </c>
      <c r="N619" s="6">
        <v>822.12199999999996</v>
      </c>
      <c r="O619" s="6">
        <v>822.12199999999996</v>
      </c>
      <c r="P619" s="6">
        <v>0</v>
      </c>
      <c r="Q619" s="4" t="s">
        <v>26</v>
      </c>
      <c r="R619" s="4">
        <v>0</v>
      </c>
      <c r="S619" s="6">
        <v>0</v>
      </c>
      <c r="T619" s="6">
        <v>28</v>
      </c>
      <c r="U619" s="6">
        <v>82</v>
      </c>
      <c r="V619" s="6">
        <f>IF(ISERROR(VLOOKUP($S$619,'TAR FIN'!$A$1:$O$120,15,0)),0,VLOOKUP($S$619,'TAR FIN'!$A$1:$O$120,15,0))</f>
        <v>0</v>
      </c>
      <c r="W619" s="6">
        <f>IF(ISERROR(VLOOKUP($T$619,'TAR FIN'!$A$1:$O$120,15,0)),0,VLOOKUP($T$619,'TAR FIN'!$A$1:$O$120,15,0))</f>
        <v>84.45</v>
      </c>
      <c r="X619" s="6">
        <f>IF(ISERROR(VLOOKUP($U$619,'TAR FIN'!$A$1:$O$120,15,0)),0,VLOOKUP($U$619,'TAR FIN'!$A$1:$O$120,15,0))</f>
        <v>256.38</v>
      </c>
      <c r="Y619" s="6"/>
      <c r="Z619" s="6">
        <f ca="1">('TUSD BE'!$AM$34+'TUSD BF'!$AM$34+'TUSD CVA'!$AM$34)*1</f>
        <v>87.519361965254689</v>
      </c>
      <c r="AA619" s="6">
        <f>('TE BE'!$AA$11+'TE BF'!$AA$11+'TE CVA'!$AA$11)*1</f>
        <v>230.83420940933817</v>
      </c>
      <c r="AB619" s="6">
        <f>$K$619*$V$619</f>
        <v>0</v>
      </c>
      <c r="AC619" s="6">
        <f>$M$619*$W$619</f>
        <v>69428.202900000004</v>
      </c>
      <c r="AD619" s="6">
        <f>$O$619*$X$619</f>
        <v>210775.63835999998</v>
      </c>
      <c r="AE619" s="6">
        <f>$K$619*$Y$619</f>
        <v>0</v>
      </c>
      <c r="AF619" s="6">
        <f ca="1">$M$619*$Z$619</f>
        <v>71951.592897599112</v>
      </c>
      <c r="AG619" s="6">
        <f>$O$619*$AA$619</f>
        <v>189773.8819080239</v>
      </c>
    </row>
    <row r="620" spans="1:33" ht="11.25" customHeight="1" x14ac:dyDescent="0.25">
      <c r="A620" s="4" t="s">
        <v>21</v>
      </c>
      <c r="B620" s="4" t="s">
        <v>33</v>
      </c>
      <c r="C620" s="4" t="s">
        <v>34</v>
      </c>
      <c r="D620" s="4" t="s">
        <v>42</v>
      </c>
      <c r="E620" s="4" t="s">
        <v>25</v>
      </c>
      <c r="F620" s="4" t="s">
        <v>25</v>
      </c>
      <c r="G620" s="4" t="s">
        <v>25</v>
      </c>
      <c r="H620" s="4" t="s">
        <v>36</v>
      </c>
      <c r="I620" s="5">
        <v>43831</v>
      </c>
      <c r="J620" s="6">
        <v>0</v>
      </c>
      <c r="K620" s="6">
        <v>0</v>
      </c>
      <c r="L620" s="6">
        <v>20665.629000000001</v>
      </c>
      <c r="M620" s="6">
        <v>20665.629000000001</v>
      </c>
      <c r="N620" s="6">
        <v>20665.629000000001</v>
      </c>
      <c r="O620" s="6">
        <v>20665.629000000001</v>
      </c>
      <c r="P620" s="6">
        <v>0</v>
      </c>
      <c r="Q620" s="4" t="s">
        <v>26</v>
      </c>
      <c r="R620" s="4">
        <v>0</v>
      </c>
      <c r="S620" s="6">
        <v>0</v>
      </c>
      <c r="T620" s="6">
        <v>28</v>
      </c>
      <c r="U620" s="6">
        <v>82</v>
      </c>
      <c r="V620" s="6">
        <f>IF(ISERROR(VLOOKUP($S$620,'TAR FIN'!$A$1:$O$120,15,0)),0,VLOOKUP($S$620,'TAR FIN'!$A$1:$O$120,15,0))</f>
        <v>0</v>
      </c>
      <c r="W620" s="6">
        <f>IF(ISERROR(VLOOKUP($T$620,'TAR FIN'!$A$1:$O$120,15,0)),0,VLOOKUP($T$620,'TAR FIN'!$A$1:$O$120,15,0))</f>
        <v>84.45</v>
      </c>
      <c r="X620" s="6">
        <f>IF(ISERROR(VLOOKUP($U$620,'TAR FIN'!$A$1:$O$120,15,0)),0,VLOOKUP($U$620,'TAR FIN'!$A$1:$O$120,15,0))</f>
        <v>256.38</v>
      </c>
      <c r="Y620" s="6"/>
      <c r="Z620" s="6">
        <f ca="1">('TUSD BE'!$AM$34+'TUSD BF'!$AM$34+'TUSD CVA'!$AM$34)*1</f>
        <v>87.519361965254689</v>
      </c>
      <c r="AA620" s="6">
        <f>('TE BE'!$AA$11+'TE BF'!$AA$11+'TE CVA'!$AA$11)*1</f>
        <v>230.83420940933817</v>
      </c>
      <c r="AB620" s="6">
        <f>$K$620*$V$620</f>
        <v>0</v>
      </c>
      <c r="AC620" s="6">
        <f>$M$620*$W$620</f>
        <v>1745212.3690500001</v>
      </c>
      <c r="AD620" s="6">
        <f>$O$620*$X$620</f>
        <v>5298253.9630199997</v>
      </c>
      <c r="AE620" s="6">
        <f>$K$620*$Y$620</f>
        <v>0</v>
      </c>
      <c r="AF620" s="6">
        <f ca="1">$M$620*$Z$620</f>
        <v>1808642.6646906643</v>
      </c>
      <c r="AG620" s="6">
        <f>$O$620*$AA$620</f>
        <v>4770334.1321616918</v>
      </c>
    </row>
    <row r="621" spans="1:33" ht="11.25" customHeight="1" x14ac:dyDescent="0.25">
      <c r="A621" s="4" t="s">
        <v>27</v>
      </c>
      <c r="B621" s="4" t="s">
        <v>33</v>
      </c>
      <c r="C621" s="4" t="s">
        <v>34</v>
      </c>
      <c r="D621" s="4" t="s">
        <v>42</v>
      </c>
      <c r="E621" s="4" t="s">
        <v>25</v>
      </c>
      <c r="F621" s="4" t="s">
        <v>25</v>
      </c>
      <c r="G621" s="4" t="s">
        <v>25</v>
      </c>
      <c r="H621" s="4" t="s">
        <v>36</v>
      </c>
      <c r="I621" s="5">
        <v>43831</v>
      </c>
      <c r="J621" s="6">
        <v>0</v>
      </c>
      <c r="K621" s="6">
        <v>0</v>
      </c>
      <c r="L621" s="6">
        <v>42.61</v>
      </c>
      <c r="M621" s="6">
        <v>42.61</v>
      </c>
      <c r="N621" s="6">
        <v>42.61</v>
      </c>
      <c r="O621" s="6">
        <v>42.61</v>
      </c>
      <c r="P621" s="6">
        <v>0</v>
      </c>
      <c r="Q621" s="4" t="s">
        <v>26</v>
      </c>
      <c r="R621" s="4">
        <v>0</v>
      </c>
      <c r="S621" s="6">
        <v>0</v>
      </c>
      <c r="T621" s="6">
        <v>28</v>
      </c>
      <c r="U621" s="6">
        <v>82</v>
      </c>
      <c r="V621" s="6">
        <f>IF(ISERROR(VLOOKUP($S$621,'TAR FIN'!$A$1:$O$120,15,0)),0,VLOOKUP($S$621,'TAR FIN'!$A$1:$O$120,15,0))</f>
        <v>0</v>
      </c>
      <c r="W621" s="6">
        <f>IF(ISERROR(VLOOKUP($T$621,'TAR FIN'!$A$1:$O$120,15,0)),0,VLOOKUP($T$621,'TAR FIN'!$A$1:$O$120,15,0))</f>
        <v>84.45</v>
      </c>
      <c r="X621" s="6">
        <f>IF(ISERROR(VLOOKUP($U$621,'TAR FIN'!$A$1:$O$120,15,0)),0,VLOOKUP($U$621,'TAR FIN'!$A$1:$O$120,15,0))</f>
        <v>256.38</v>
      </c>
      <c r="Y621" s="6"/>
      <c r="Z621" s="6">
        <f ca="1">('TUSD BE'!$AM$34+'TUSD BF'!$AM$34+'TUSD CVA'!$AM$34)*1</f>
        <v>87.519361965254689</v>
      </c>
      <c r="AA621" s="6">
        <f>('TE BE'!$AA$11+'TE BF'!$AA$11+'TE CVA'!$AA$11)*1</f>
        <v>230.83420940933817</v>
      </c>
      <c r="AB621" s="6">
        <f>$K$621*$V$621</f>
        <v>0</v>
      </c>
      <c r="AC621" s="6">
        <f>$M$621*$W$621</f>
        <v>3598.4144999999999</v>
      </c>
      <c r="AD621" s="6">
        <f>$O$621*$X$621</f>
        <v>10924.3518</v>
      </c>
      <c r="AE621" s="6">
        <f>$K$621*$Y$621</f>
        <v>0</v>
      </c>
      <c r="AF621" s="6">
        <f ca="1">$M$621*$Z$621</f>
        <v>3729.2000133395022</v>
      </c>
      <c r="AG621" s="6">
        <f>$O$621*$AA$621</f>
        <v>9835.8456629318989</v>
      </c>
    </row>
    <row r="622" spans="1:33" ht="11.25" customHeight="1" x14ac:dyDescent="0.25">
      <c r="A622" s="4" t="s">
        <v>28</v>
      </c>
      <c r="B622" s="4" t="s">
        <v>33</v>
      </c>
      <c r="C622" s="4" t="s">
        <v>34</v>
      </c>
      <c r="D622" s="4" t="s">
        <v>42</v>
      </c>
      <c r="E622" s="4" t="s">
        <v>25</v>
      </c>
      <c r="F622" s="4" t="s">
        <v>25</v>
      </c>
      <c r="G622" s="4" t="s">
        <v>25</v>
      </c>
      <c r="H622" s="4" t="s">
        <v>36</v>
      </c>
      <c r="I622" s="5">
        <v>43831</v>
      </c>
      <c r="J622" s="6">
        <v>0</v>
      </c>
      <c r="K622" s="6">
        <v>0</v>
      </c>
      <c r="L622" s="6">
        <v>617.13300000000004</v>
      </c>
      <c r="M622" s="6">
        <v>617.13300000000004</v>
      </c>
      <c r="N622" s="6">
        <v>617.13300000000004</v>
      </c>
      <c r="O622" s="6">
        <v>617.13300000000004</v>
      </c>
      <c r="P622" s="6">
        <v>0</v>
      </c>
      <c r="Q622" s="4" t="s">
        <v>26</v>
      </c>
      <c r="R622" s="4">
        <v>0</v>
      </c>
      <c r="S622" s="6">
        <v>0</v>
      </c>
      <c r="T622" s="6">
        <v>28</v>
      </c>
      <c r="U622" s="6">
        <v>82</v>
      </c>
      <c r="V622" s="6">
        <f>IF(ISERROR(VLOOKUP($S$622,'TAR FIN'!$A$1:$O$120,15,0)),0,VLOOKUP($S$622,'TAR FIN'!$A$1:$O$120,15,0))</f>
        <v>0</v>
      </c>
      <c r="W622" s="6">
        <f>IF(ISERROR(VLOOKUP($T$622,'TAR FIN'!$A$1:$O$120,15,0)),0,VLOOKUP($T$622,'TAR FIN'!$A$1:$O$120,15,0))</f>
        <v>84.45</v>
      </c>
      <c r="X622" s="6">
        <f>IF(ISERROR(VLOOKUP($U$622,'TAR FIN'!$A$1:$O$120,15,0)),0,VLOOKUP($U$622,'TAR FIN'!$A$1:$O$120,15,0))</f>
        <v>256.38</v>
      </c>
      <c r="Y622" s="6"/>
      <c r="Z622" s="6">
        <f ca="1">('TUSD BE'!$AM$34+'TUSD BF'!$AM$34+'TUSD CVA'!$AM$34)*1</f>
        <v>87.519361965254689</v>
      </c>
      <c r="AA622" s="6">
        <f>('TE BE'!$AA$11+'TE BF'!$AA$11+'TE CVA'!$AA$11)*1</f>
        <v>230.83420940933817</v>
      </c>
      <c r="AB622" s="6">
        <f>$K$622*$V$622</f>
        <v>0</v>
      </c>
      <c r="AC622" s="6">
        <f>$M$622*$W$622</f>
        <v>52116.881850000005</v>
      </c>
      <c r="AD622" s="6">
        <f>$O$622*$X$622</f>
        <v>158220.55854</v>
      </c>
      <c r="AE622" s="6">
        <f>$K$622*$Y$622</f>
        <v>0</v>
      </c>
      <c r="AF622" s="6">
        <f ca="1">$M$622*$Z$622</f>
        <v>54011.086407703522</v>
      </c>
      <c r="AG622" s="6">
        <f>$O$622*$AA$622</f>
        <v>142455.40815541311</v>
      </c>
    </row>
    <row r="623" spans="1:33" ht="11.25" customHeight="1" x14ac:dyDescent="0.25">
      <c r="A623" s="4" t="s">
        <v>21</v>
      </c>
      <c r="B623" s="4" t="s">
        <v>33</v>
      </c>
      <c r="C623" s="4" t="s">
        <v>34</v>
      </c>
      <c r="D623" s="4" t="s">
        <v>42</v>
      </c>
      <c r="E623" s="4" t="s">
        <v>25</v>
      </c>
      <c r="F623" s="4" t="s">
        <v>25</v>
      </c>
      <c r="G623" s="4" t="s">
        <v>25</v>
      </c>
      <c r="H623" s="4" t="s">
        <v>36</v>
      </c>
      <c r="I623" s="5">
        <v>43862</v>
      </c>
      <c r="J623" s="6">
        <v>0</v>
      </c>
      <c r="K623" s="6">
        <v>0</v>
      </c>
      <c r="L623" s="6">
        <v>21804.061000000002</v>
      </c>
      <c r="M623" s="6">
        <v>21804.061000000002</v>
      </c>
      <c r="N623" s="6">
        <v>21804.061000000002</v>
      </c>
      <c r="O623" s="6">
        <v>21804.061000000002</v>
      </c>
      <c r="P623" s="6">
        <v>0</v>
      </c>
      <c r="Q623" s="4" t="s">
        <v>26</v>
      </c>
      <c r="R623" s="4">
        <v>0</v>
      </c>
      <c r="S623" s="6">
        <v>0</v>
      </c>
      <c r="T623" s="6">
        <v>28</v>
      </c>
      <c r="U623" s="6">
        <v>82</v>
      </c>
      <c r="V623" s="6">
        <f>IF(ISERROR(VLOOKUP($S$623,'TAR FIN'!$A$1:$O$120,15,0)),0,VLOOKUP($S$623,'TAR FIN'!$A$1:$O$120,15,0))</f>
        <v>0</v>
      </c>
      <c r="W623" s="6">
        <f>IF(ISERROR(VLOOKUP($T$623,'TAR FIN'!$A$1:$O$120,15,0)),0,VLOOKUP($T$623,'TAR FIN'!$A$1:$O$120,15,0))</f>
        <v>84.45</v>
      </c>
      <c r="X623" s="6">
        <f>IF(ISERROR(VLOOKUP($U$623,'TAR FIN'!$A$1:$O$120,15,0)),0,VLOOKUP($U$623,'TAR FIN'!$A$1:$O$120,15,0))</f>
        <v>256.38</v>
      </c>
      <c r="Y623" s="6"/>
      <c r="Z623" s="6">
        <f ca="1">('TUSD BE'!$AM$34+'TUSD BF'!$AM$34+'TUSD CVA'!$AM$34)*1</f>
        <v>87.519361965254689</v>
      </c>
      <c r="AA623" s="6">
        <f>('TE BE'!$AA$11+'TE BF'!$AA$11+'TE CVA'!$AA$11)*1</f>
        <v>230.83420940933817</v>
      </c>
      <c r="AB623" s="6">
        <f>$K$623*$V$623</f>
        <v>0</v>
      </c>
      <c r="AC623" s="6">
        <f>$M$623*$W$623</f>
        <v>1841352.9514500003</v>
      </c>
      <c r="AD623" s="6">
        <f>$O$623*$X$623</f>
        <v>5590125.1591800004</v>
      </c>
      <c r="AE623" s="6">
        <f>$K$623*$Y$623</f>
        <v>0</v>
      </c>
      <c r="AF623" s="6">
        <f ca="1">$M$623*$Z$623</f>
        <v>1908277.5069714931</v>
      </c>
      <c r="AG623" s="6">
        <f>$O$623*$AA$623</f>
        <v>5033123.1828479841</v>
      </c>
    </row>
    <row r="624" spans="1:33" ht="11.25" customHeight="1" x14ac:dyDescent="0.25">
      <c r="A624" s="4" t="s">
        <v>27</v>
      </c>
      <c r="B624" s="4" t="s">
        <v>33</v>
      </c>
      <c r="C624" s="4" t="s">
        <v>34</v>
      </c>
      <c r="D624" s="4" t="s">
        <v>42</v>
      </c>
      <c r="E624" s="4" t="s">
        <v>25</v>
      </c>
      <c r="F624" s="4" t="s">
        <v>25</v>
      </c>
      <c r="G624" s="4" t="s">
        <v>25</v>
      </c>
      <c r="H624" s="4" t="s">
        <v>36</v>
      </c>
      <c r="I624" s="5">
        <v>43862</v>
      </c>
      <c r="J624" s="6">
        <v>0</v>
      </c>
      <c r="K624" s="6">
        <v>0</v>
      </c>
      <c r="L624" s="6">
        <v>105.18</v>
      </c>
      <c r="M624" s="6">
        <v>105.18</v>
      </c>
      <c r="N624" s="6">
        <v>105.18</v>
      </c>
      <c r="O624" s="6">
        <v>105.18</v>
      </c>
      <c r="P624" s="6">
        <v>0</v>
      </c>
      <c r="Q624" s="4" t="s">
        <v>26</v>
      </c>
      <c r="R624" s="4">
        <v>0</v>
      </c>
      <c r="S624" s="6">
        <v>0</v>
      </c>
      <c r="T624" s="6">
        <v>28</v>
      </c>
      <c r="U624" s="6">
        <v>82</v>
      </c>
      <c r="V624" s="6">
        <f>IF(ISERROR(VLOOKUP($S$624,'TAR FIN'!$A$1:$O$120,15,0)),0,VLOOKUP($S$624,'TAR FIN'!$A$1:$O$120,15,0))</f>
        <v>0</v>
      </c>
      <c r="W624" s="6">
        <f>IF(ISERROR(VLOOKUP($T$624,'TAR FIN'!$A$1:$O$120,15,0)),0,VLOOKUP($T$624,'TAR FIN'!$A$1:$O$120,15,0))</f>
        <v>84.45</v>
      </c>
      <c r="X624" s="6">
        <f>IF(ISERROR(VLOOKUP($U$624,'TAR FIN'!$A$1:$O$120,15,0)),0,VLOOKUP($U$624,'TAR FIN'!$A$1:$O$120,15,0))</f>
        <v>256.38</v>
      </c>
      <c r="Y624" s="6"/>
      <c r="Z624" s="6">
        <f ca="1">('TUSD BE'!$AM$34+'TUSD BF'!$AM$34+'TUSD CVA'!$AM$34)*1</f>
        <v>87.519361965254689</v>
      </c>
      <c r="AA624" s="6">
        <f>('TE BE'!$AA$11+'TE BF'!$AA$11+'TE CVA'!$AA$11)*1</f>
        <v>230.83420940933817</v>
      </c>
      <c r="AB624" s="6">
        <f>$K$624*$V$624</f>
        <v>0</v>
      </c>
      <c r="AC624" s="6">
        <f>$M$624*$W$624</f>
        <v>8882.4510000000009</v>
      </c>
      <c r="AD624" s="6">
        <f>$O$624*$X$624</f>
        <v>26966.0484</v>
      </c>
      <c r="AE624" s="6">
        <f>$K$624*$Y$624</f>
        <v>0</v>
      </c>
      <c r="AF624" s="6">
        <f ca="1">$M$624*$Z$624</f>
        <v>9205.2864915054888</v>
      </c>
      <c r="AG624" s="6">
        <f>$O$624*$AA$624</f>
        <v>24279.142145674192</v>
      </c>
    </row>
    <row r="625" spans="1:33" ht="11.25" customHeight="1" x14ac:dyDescent="0.25">
      <c r="A625" s="4" t="s">
        <v>28</v>
      </c>
      <c r="B625" s="4" t="s">
        <v>33</v>
      </c>
      <c r="C625" s="4" t="s">
        <v>34</v>
      </c>
      <c r="D625" s="4" t="s">
        <v>42</v>
      </c>
      <c r="E625" s="4" t="s">
        <v>25</v>
      </c>
      <c r="F625" s="4" t="s">
        <v>25</v>
      </c>
      <c r="G625" s="4" t="s">
        <v>25</v>
      </c>
      <c r="H625" s="4" t="s">
        <v>36</v>
      </c>
      <c r="I625" s="5">
        <v>43862</v>
      </c>
      <c r="J625" s="6">
        <v>0</v>
      </c>
      <c r="K625" s="6">
        <v>0</v>
      </c>
      <c r="L625" s="6">
        <v>672.19299999999998</v>
      </c>
      <c r="M625" s="6">
        <v>672.19299999999998</v>
      </c>
      <c r="N625" s="6">
        <v>672.19299999999998</v>
      </c>
      <c r="O625" s="6">
        <v>672.19299999999998</v>
      </c>
      <c r="P625" s="6">
        <v>0</v>
      </c>
      <c r="Q625" s="4" t="s">
        <v>26</v>
      </c>
      <c r="R625" s="4">
        <v>0</v>
      </c>
      <c r="S625" s="6">
        <v>0</v>
      </c>
      <c r="T625" s="6">
        <v>28</v>
      </c>
      <c r="U625" s="6">
        <v>82</v>
      </c>
      <c r="V625" s="6">
        <f>IF(ISERROR(VLOOKUP($S$625,'TAR FIN'!$A$1:$O$120,15,0)),0,VLOOKUP($S$625,'TAR FIN'!$A$1:$O$120,15,0))</f>
        <v>0</v>
      </c>
      <c r="W625" s="6">
        <f>IF(ISERROR(VLOOKUP($T$625,'TAR FIN'!$A$1:$O$120,15,0)),0,VLOOKUP($T$625,'TAR FIN'!$A$1:$O$120,15,0))</f>
        <v>84.45</v>
      </c>
      <c r="X625" s="6">
        <f>IF(ISERROR(VLOOKUP($U$625,'TAR FIN'!$A$1:$O$120,15,0)),0,VLOOKUP($U$625,'TAR FIN'!$A$1:$O$120,15,0))</f>
        <v>256.38</v>
      </c>
      <c r="Y625" s="6"/>
      <c r="Z625" s="6">
        <f ca="1">('TUSD BE'!$AM$34+'TUSD BF'!$AM$34+'TUSD CVA'!$AM$34)*1</f>
        <v>87.519361965254689</v>
      </c>
      <c r="AA625" s="6">
        <f>('TE BE'!$AA$11+'TE BF'!$AA$11+'TE CVA'!$AA$11)*1</f>
        <v>230.83420940933817</v>
      </c>
      <c r="AB625" s="6">
        <f>$K$625*$V$625</f>
        <v>0</v>
      </c>
      <c r="AC625" s="6">
        <f>$M$625*$W$625</f>
        <v>56766.698850000001</v>
      </c>
      <c r="AD625" s="6">
        <f>$O$625*$X$625</f>
        <v>172336.84133999998</v>
      </c>
      <c r="AE625" s="6">
        <f>$K$625*$Y$625</f>
        <v>0</v>
      </c>
      <c r="AF625" s="6">
        <f ca="1">$M$625*$Z$625</f>
        <v>58829.902477510441</v>
      </c>
      <c r="AG625" s="6">
        <f>$O$625*$AA$625</f>
        <v>155165.13972549126</v>
      </c>
    </row>
    <row r="626" spans="1:33" ht="11.25" customHeight="1" x14ac:dyDescent="0.25">
      <c r="A626" s="4" t="s">
        <v>21</v>
      </c>
      <c r="B626" s="4" t="s">
        <v>33</v>
      </c>
      <c r="C626" s="4" t="s">
        <v>34</v>
      </c>
      <c r="D626" s="4" t="s">
        <v>42</v>
      </c>
      <c r="E626" s="4" t="s">
        <v>25</v>
      </c>
      <c r="F626" s="4" t="s">
        <v>25</v>
      </c>
      <c r="G626" s="4" t="s">
        <v>25</v>
      </c>
      <c r="H626" s="4" t="s">
        <v>36</v>
      </c>
      <c r="I626" s="5">
        <v>43891</v>
      </c>
      <c r="J626" s="6">
        <v>0</v>
      </c>
      <c r="K626" s="6">
        <v>0</v>
      </c>
      <c r="L626" s="6">
        <v>19869.427</v>
      </c>
      <c r="M626" s="6">
        <v>19869.427</v>
      </c>
      <c r="N626" s="6">
        <v>19869.427</v>
      </c>
      <c r="O626" s="6">
        <v>19869.427</v>
      </c>
      <c r="P626" s="6">
        <v>0</v>
      </c>
      <c r="Q626" s="4" t="s">
        <v>26</v>
      </c>
      <c r="R626" s="4">
        <v>0</v>
      </c>
      <c r="S626" s="6">
        <v>0</v>
      </c>
      <c r="T626" s="6">
        <v>28</v>
      </c>
      <c r="U626" s="6">
        <v>82</v>
      </c>
      <c r="V626" s="6">
        <f>IF(ISERROR(VLOOKUP($S$626,'TAR FIN'!$A$1:$O$120,15,0)),0,VLOOKUP($S$626,'TAR FIN'!$A$1:$O$120,15,0))</f>
        <v>0</v>
      </c>
      <c r="W626" s="6">
        <f>IF(ISERROR(VLOOKUP($T$626,'TAR FIN'!$A$1:$O$120,15,0)),0,VLOOKUP($T$626,'TAR FIN'!$A$1:$O$120,15,0))</f>
        <v>84.45</v>
      </c>
      <c r="X626" s="6">
        <f>IF(ISERROR(VLOOKUP($U$626,'TAR FIN'!$A$1:$O$120,15,0)),0,VLOOKUP($U$626,'TAR FIN'!$A$1:$O$120,15,0))</f>
        <v>256.38</v>
      </c>
      <c r="Y626" s="6"/>
      <c r="Z626" s="6">
        <f ca="1">('TUSD BE'!$AM$34+'TUSD BF'!$AM$34+'TUSD CVA'!$AM$34)*1</f>
        <v>87.519361965254689</v>
      </c>
      <c r="AA626" s="6">
        <f>('TE BE'!$AA$11+'TE BF'!$AA$11+'TE CVA'!$AA$11)*1</f>
        <v>230.83420940933817</v>
      </c>
      <c r="AB626" s="6">
        <f>$K$626*$V$626</f>
        <v>0</v>
      </c>
      <c r="AC626" s="6">
        <f>$M$626*$W$626</f>
        <v>1677973.1101500001</v>
      </c>
      <c r="AD626" s="6">
        <f>$O$626*$X$626</f>
        <v>5094123.6942600003</v>
      </c>
      <c r="AE626" s="6">
        <f>$K$626*$Y$626</f>
        <v>0</v>
      </c>
      <c r="AF626" s="6">
        <f ca="1">$M$626*$Z$626</f>
        <v>1738959.5736552046</v>
      </c>
      <c r="AG626" s="6">
        <f>$O$626*$AA$626</f>
        <v>4586543.472961558</v>
      </c>
    </row>
    <row r="627" spans="1:33" ht="11.25" customHeight="1" x14ac:dyDescent="0.25">
      <c r="A627" s="4" t="s">
        <v>27</v>
      </c>
      <c r="B627" s="4" t="s">
        <v>33</v>
      </c>
      <c r="C627" s="4" t="s">
        <v>34</v>
      </c>
      <c r="D627" s="4" t="s">
        <v>42</v>
      </c>
      <c r="E627" s="4" t="s">
        <v>25</v>
      </c>
      <c r="F627" s="4" t="s">
        <v>25</v>
      </c>
      <c r="G627" s="4" t="s">
        <v>25</v>
      </c>
      <c r="H627" s="4" t="s">
        <v>36</v>
      </c>
      <c r="I627" s="5">
        <v>43891</v>
      </c>
      <c r="J627" s="6">
        <v>0</v>
      </c>
      <c r="K627" s="6">
        <v>0</v>
      </c>
      <c r="L627" s="6">
        <v>93.224999999999994</v>
      </c>
      <c r="M627" s="6">
        <v>93.224999999999994</v>
      </c>
      <c r="N627" s="6">
        <v>93.224999999999994</v>
      </c>
      <c r="O627" s="6">
        <v>93.224999999999994</v>
      </c>
      <c r="P627" s="6">
        <v>0</v>
      </c>
      <c r="Q627" s="4" t="s">
        <v>26</v>
      </c>
      <c r="R627" s="4">
        <v>0</v>
      </c>
      <c r="S627" s="6">
        <v>0</v>
      </c>
      <c r="T627" s="6">
        <v>28</v>
      </c>
      <c r="U627" s="6">
        <v>82</v>
      </c>
      <c r="V627" s="6">
        <f>IF(ISERROR(VLOOKUP($S$627,'TAR FIN'!$A$1:$O$120,15,0)),0,VLOOKUP($S$627,'TAR FIN'!$A$1:$O$120,15,0))</f>
        <v>0</v>
      </c>
      <c r="W627" s="6">
        <f>IF(ISERROR(VLOOKUP($T$627,'TAR FIN'!$A$1:$O$120,15,0)),0,VLOOKUP($T$627,'TAR FIN'!$A$1:$O$120,15,0))</f>
        <v>84.45</v>
      </c>
      <c r="X627" s="6">
        <f>IF(ISERROR(VLOOKUP($U$627,'TAR FIN'!$A$1:$O$120,15,0)),0,VLOOKUP($U$627,'TAR FIN'!$A$1:$O$120,15,0))</f>
        <v>256.38</v>
      </c>
      <c r="Y627" s="6"/>
      <c r="Z627" s="6">
        <f ca="1">('TUSD BE'!$AM$34+'TUSD BF'!$AM$34+'TUSD CVA'!$AM$34)*1</f>
        <v>87.519361965254689</v>
      </c>
      <c r="AA627" s="6">
        <f>('TE BE'!$AA$11+'TE BF'!$AA$11+'TE CVA'!$AA$11)*1</f>
        <v>230.83420940933817</v>
      </c>
      <c r="AB627" s="6">
        <f>$K$627*$V$627</f>
        <v>0</v>
      </c>
      <c r="AC627" s="6">
        <f>$M$627*$W$627</f>
        <v>7872.8512499999997</v>
      </c>
      <c r="AD627" s="6">
        <f>$O$627*$X$627</f>
        <v>23901.0255</v>
      </c>
      <c r="AE627" s="6">
        <f>$K$627*$Y$627</f>
        <v>0</v>
      </c>
      <c r="AF627" s="6">
        <f ca="1">$M$627*$Z$627</f>
        <v>8158.9925192108676</v>
      </c>
      <c r="AG627" s="6">
        <f>$O$627*$AA$627</f>
        <v>21519.519172185548</v>
      </c>
    </row>
    <row r="628" spans="1:33" ht="11.25" customHeight="1" x14ac:dyDescent="0.25">
      <c r="A628" s="4" t="s">
        <v>28</v>
      </c>
      <c r="B628" s="4" t="s">
        <v>33</v>
      </c>
      <c r="C628" s="4" t="s">
        <v>34</v>
      </c>
      <c r="D628" s="4" t="s">
        <v>42</v>
      </c>
      <c r="E628" s="4" t="s">
        <v>25</v>
      </c>
      <c r="F628" s="4" t="s">
        <v>25</v>
      </c>
      <c r="G628" s="4" t="s">
        <v>25</v>
      </c>
      <c r="H628" s="4" t="s">
        <v>36</v>
      </c>
      <c r="I628" s="5">
        <v>43891</v>
      </c>
      <c r="J628" s="6">
        <v>0</v>
      </c>
      <c r="K628" s="6">
        <v>0</v>
      </c>
      <c r="L628" s="6">
        <v>703.63199999999995</v>
      </c>
      <c r="M628" s="6">
        <v>703.63199999999995</v>
      </c>
      <c r="N628" s="6">
        <v>703.63199999999995</v>
      </c>
      <c r="O628" s="6">
        <v>703.63199999999995</v>
      </c>
      <c r="P628" s="6">
        <v>0</v>
      </c>
      <c r="Q628" s="4" t="s">
        <v>26</v>
      </c>
      <c r="R628" s="4">
        <v>0</v>
      </c>
      <c r="S628" s="6">
        <v>0</v>
      </c>
      <c r="T628" s="6">
        <v>28</v>
      </c>
      <c r="U628" s="6">
        <v>82</v>
      </c>
      <c r="V628" s="6">
        <f>IF(ISERROR(VLOOKUP($S$628,'TAR FIN'!$A$1:$O$120,15,0)),0,VLOOKUP($S$628,'TAR FIN'!$A$1:$O$120,15,0))</f>
        <v>0</v>
      </c>
      <c r="W628" s="6">
        <f>IF(ISERROR(VLOOKUP($T$628,'TAR FIN'!$A$1:$O$120,15,0)),0,VLOOKUP($T$628,'TAR FIN'!$A$1:$O$120,15,0))</f>
        <v>84.45</v>
      </c>
      <c r="X628" s="6">
        <f>IF(ISERROR(VLOOKUP($U$628,'TAR FIN'!$A$1:$O$120,15,0)),0,VLOOKUP($U$628,'TAR FIN'!$A$1:$O$120,15,0))</f>
        <v>256.38</v>
      </c>
      <c r="Y628" s="6"/>
      <c r="Z628" s="6">
        <f ca="1">('TUSD BE'!$AM$34+'TUSD BF'!$AM$34+'TUSD CVA'!$AM$34)*1</f>
        <v>87.519361965254689</v>
      </c>
      <c r="AA628" s="6">
        <f>('TE BE'!$AA$11+'TE BF'!$AA$11+'TE CVA'!$AA$11)*1</f>
        <v>230.83420940933817</v>
      </c>
      <c r="AB628" s="6">
        <f>$K$628*$V$628</f>
        <v>0</v>
      </c>
      <c r="AC628" s="6">
        <f>$M$628*$W$628</f>
        <v>59421.722399999999</v>
      </c>
      <c r="AD628" s="6">
        <f>$O$628*$X$628</f>
        <v>180397.17215999999</v>
      </c>
      <c r="AE628" s="6">
        <f>$K$628*$Y$628</f>
        <v>0</v>
      </c>
      <c r="AF628" s="6">
        <f ca="1">$M$628*$Z$628</f>
        <v>61581.423698336082</v>
      </c>
      <c r="AG628" s="6">
        <f>$O$628*$AA$628</f>
        <v>162422.33643511141</v>
      </c>
    </row>
    <row r="629" spans="1:33" ht="11.25" customHeight="1" x14ac:dyDescent="0.25">
      <c r="A629" s="4" t="s">
        <v>21</v>
      </c>
      <c r="B629" s="4" t="s">
        <v>33</v>
      </c>
      <c r="C629" s="4" t="s">
        <v>34</v>
      </c>
      <c r="D629" s="4" t="s">
        <v>42</v>
      </c>
      <c r="E629" s="4" t="s">
        <v>25</v>
      </c>
      <c r="F629" s="4" t="s">
        <v>25</v>
      </c>
      <c r="G629" s="4" t="s">
        <v>25</v>
      </c>
      <c r="H629" s="4" t="s">
        <v>36</v>
      </c>
      <c r="I629" s="5">
        <v>43922</v>
      </c>
      <c r="J629" s="6">
        <v>0</v>
      </c>
      <c r="K629" s="6">
        <v>0</v>
      </c>
      <c r="L629" s="6">
        <v>18943.346000000001</v>
      </c>
      <c r="M629" s="6">
        <v>18943.346000000001</v>
      </c>
      <c r="N629" s="6">
        <v>18943.346000000001</v>
      </c>
      <c r="O629" s="6">
        <v>18943.346000000001</v>
      </c>
      <c r="P629" s="6">
        <v>0</v>
      </c>
      <c r="Q629" s="4" t="s">
        <v>26</v>
      </c>
      <c r="R629" s="4">
        <v>0</v>
      </c>
      <c r="S629" s="6">
        <v>0</v>
      </c>
      <c r="T629" s="6">
        <v>28</v>
      </c>
      <c r="U629" s="6">
        <v>82</v>
      </c>
      <c r="V629" s="6">
        <f>IF(ISERROR(VLOOKUP($S$629,'TAR FIN'!$A$1:$O$120,15,0)),0,VLOOKUP($S$629,'TAR FIN'!$A$1:$O$120,15,0))</f>
        <v>0</v>
      </c>
      <c r="W629" s="6">
        <f>IF(ISERROR(VLOOKUP($T$629,'TAR FIN'!$A$1:$O$120,15,0)),0,VLOOKUP($T$629,'TAR FIN'!$A$1:$O$120,15,0))</f>
        <v>84.45</v>
      </c>
      <c r="X629" s="6">
        <f>IF(ISERROR(VLOOKUP($U$629,'TAR FIN'!$A$1:$O$120,15,0)),0,VLOOKUP($U$629,'TAR FIN'!$A$1:$O$120,15,0))</f>
        <v>256.38</v>
      </c>
      <c r="Y629" s="6"/>
      <c r="Z629" s="6">
        <f ca="1">('TUSD BE'!$AM$34+'TUSD BF'!$AM$34+'TUSD CVA'!$AM$34)*1</f>
        <v>87.519361965254689</v>
      </c>
      <c r="AA629" s="6">
        <f>('TE BE'!$AA$11+'TE BF'!$AA$11+'TE CVA'!$AA$11)*1</f>
        <v>230.83420940933817</v>
      </c>
      <c r="AB629" s="6">
        <f>$K$629*$V$629</f>
        <v>0</v>
      </c>
      <c r="AC629" s="6">
        <f>$M$629*$W$629</f>
        <v>1599765.5697000001</v>
      </c>
      <c r="AD629" s="6">
        <f>$O$629*$X$629</f>
        <v>4856695.0474800002</v>
      </c>
      <c r="AE629" s="6">
        <f>$K$629*$Y$629</f>
        <v>0</v>
      </c>
      <c r="AF629" s="6">
        <f ca="1">$M$629*$Z$629</f>
        <v>1657909.5554070596</v>
      </c>
      <c r="AG629" s="6">
        <f>$O$629*$AA$629</f>
        <v>4372772.2974775489</v>
      </c>
    </row>
    <row r="630" spans="1:33" ht="11.25" customHeight="1" x14ac:dyDescent="0.25">
      <c r="A630" s="4" t="s">
        <v>27</v>
      </c>
      <c r="B630" s="4" t="s">
        <v>33</v>
      </c>
      <c r="C630" s="4" t="s">
        <v>34</v>
      </c>
      <c r="D630" s="4" t="s">
        <v>42</v>
      </c>
      <c r="E630" s="4" t="s">
        <v>25</v>
      </c>
      <c r="F630" s="4" t="s">
        <v>25</v>
      </c>
      <c r="G630" s="4" t="s">
        <v>25</v>
      </c>
      <c r="H630" s="4" t="s">
        <v>36</v>
      </c>
      <c r="I630" s="5">
        <v>43922</v>
      </c>
      <c r="J630" s="6">
        <v>0</v>
      </c>
      <c r="K630" s="6">
        <v>0</v>
      </c>
      <c r="L630" s="6">
        <v>13.167999999999999</v>
      </c>
      <c r="M630" s="6">
        <v>13.167999999999999</v>
      </c>
      <c r="N630" s="6">
        <v>13.167999999999999</v>
      </c>
      <c r="O630" s="6">
        <v>13.167999999999999</v>
      </c>
      <c r="P630" s="6">
        <v>0</v>
      </c>
      <c r="Q630" s="4" t="s">
        <v>26</v>
      </c>
      <c r="R630" s="4">
        <v>0</v>
      </c>
      <c r="S630" s="6">
        <v>0</v>
      </c>
      <c r="T630" s="6">
        <v>28</v>
      </c>
      <c r="U630" s="6">
        <v>82</v>
      </c>
      <c r="V630" s="6">
        <f>IF(ISERROR(VLOOKUP($S$630,'TAR FIN'!$A$1:$O$120,15,0)),0,VLOOKUP($S$630,'TAR FIN'!$A$1:$O$120,15,0))</f>
        <v>0</v>
      </c>
      <c r="W630" s="6">
        <f>IF(ISERROR(VLOOKUP($T$630,'TAR FIN'!$A$1:$O$120,15,0)),0,VLOOKUP($T$630,'TAR FIN'!$A$1:$O$120,15,0))</f>
        <v>84.45</v>
      </c>
      <c r="X630" s="6">
        <f>IF(ISERROR(VLOOKUP($U$630,'TAR FIN'!$A$1:$O$120,15,0)),0,VLOOKUP($U$630,'TAR FIN'!$A$1:$O$120,15,0))</f>
        <v>256.38</v>
      </c>
      <c r="Y630" s="6"/>
      <c r="Z630" s="6">
        <f ca="1">('TUSD BE'!$AM$34+'TUSD BF'!$AM$34+'TUSD CVA'!$AM$34)*1</f>
        <v>87.519361965254689</v>
      </c>
      <c r="AA630" s="6">
        <f>('TE BE'!$AA$11+'TE BF'!$AA$11+'TE CVA'!$AA$11)*1</f>
        <v>230.83420940933817</v>
      </c>
      <c r="AB630" s="6">
        <f>$K$630*$V$630</f>
        <v>0</v>
      </c>
      <c r="AC630" s="6">
        <f>$M$630*$W$630</f>
        <v>1112.0375999999999</v>
      </c>
      <c r="AD630" s="6">
        <f>$O$630*$X$630</f>
        <v>3376.0118399999997</v>
      </c>
      <c r="AE630" s="6">
        <f>$K$630*$Y$630</f>
        <v>0</v>
      </c>
      <c r="AF630" s="6">
        <f ca="1">$M$630*$Z$630</f>
        <v>1152.4549583584737</v>
      </c>
      <c r="AG630" s="6">
        <f>$O$630*$AA$630</f>
        <v>3039.624869502165</v>
      </c>
    </row>
    <row r="631" spans="1:33" ht="11.25" customHeight="1" x14ac:dyDescent="0.25">
      <c r="A631" s="4" t="s">
        <v>28</v>
      </c>
      <c r="B631" s="4" t="s">
        <v>33</v>
      </c>
      <c r="C631" s="4" t="s">
        <v>34</v>
      </c>
      <c r="D631" s="4" t="s">
        <v>42</v>
      </c>
      <c r="E631" s="4" t="s">
        <v>25</v>
      </c>
      <c r="F631" s="4" t="s">
        <v>25</v>
      </c>
      <c r="G631" s="4" t="s">
        <v>25</v>
      </c>
      <c r="H631" s="4" t="s">
        <v>36</v>
      </c>
      <c r="I631" s="5">
        <v>43922</v>
      </c>
      <c r="J631" s="6">
        <v>0</v>
      </c>
      <c r="K631" s="6">
        <v>0</v>
      </c>
      <c r="L631" s="6">
        <v>744.57299999999998</v>
      </c>
      <c r="M631" s="6">
        <v>744.57299999999998</v>
      </c>
      <c r="N631" s="6">
        <v>744.57299999999998</v>
      </c>
      <c r="O631" s="6">
        <v>744.57299999999998</v>
      </c>
      <c r="P631" s="6">
        <v>0</v>
      </c>
      <c r="Q631" s="4" t="s">
        <v>26</v>
      </c>
      <c r="R631" s="4">
        <v>0</v>
      </c>
      <c r="S631" s="6">
        <v>0</v>
      </c>
      <c r="T631" s="6">
        <v>28</v>
      </c>
      <c r="U631" s="6">
        <v>82</v>
      </c>
      <c r="V631" s="6">
        <f>IF(ISERROR(VLOOKUP($S$631,'TAR FIN'!$A$1:$O$120,15,0)),0,VLOOKUP($S$631,'TAR FIN'!$A$1:$O$120,15,0))</f>
        <v>0</v>
      </c>
      <c r="W631" s="6">
        <f>IF(ISERROR(VLOOKUP($T$631,'TAR FIN'!$A$1:$O$120,15,0)),0,VLOOKUP($T$631,'TAR FIN'!$A$1:$O$120,15,0))</f>
        <v>84.45</v>
      </c>
      <c r="X631" s="6">
        <f>IF(ISERROR(VLOOKUP($U$631,'TAR FIN'!$A$1:$O$120,15,0)),0,VLOOKUP($U$631,'TAR FIN'!$A$1:$O$120,15,0))</f>
        <v>256.38</v>
      </c>
      <c r="Y631" s="6"/>
      <c r="Z631" s="6">
        <f ca="1">('TUSD BE'!$AM$34+'TUSD BF'!$AM$34+'TUSD CVA'!$AM$34)*1</f>
        <v>87.519361965254689</v>
      </c>
      <c r="AA631" s="6">
        <f>('TE BE'!$AA$11+'TE BF'!$AA$11+'TE CVA'!$AA$11)*1</f>
        <v>230.83420940933817</v>
      </c>
      <c r="AB631" s="6">
        <f>$K$631*$V$631</f>
        <v>0</v>
      </c>
      <c r="AC631" s="6">
        <f>$M$631*$W$631</f>
        <v>62879.189850000002</v>
      </c>
      <c r="AD631" s="6">
        <f>$O$631*$X$631</f>
        <v>190893.62573999999</v>
      </c>
      <c r="AE631" s="6">
        <f>$K$631*$Y$631</f>
        <v>0</v>
      </c>
      <c r="AF631" s="6">
        <f ca="1">$M$631*$Z$631</f>
        <v>65164.553896555575</v>
      </c>
      <c r="AG631" s="6">
        <f>$O$631*$AA$631</f>
        <v>171872.91980253914</v>
      </c>
    </row>
    <row r="632" spans="1:33" ht="11.25" customHeight="1" x14ac:dyDescent="0.25">
      <c r="A632" s="4" t="s">
        <v>21</v>
      </c>
      <c r="B632" s="4" t="s">
        <v>33</v>
      </c>
      <c r="C632" s="4" t="s">
        <v>34</v>
      </c>
      <c r="D632" s="4" t="s">
        <v>42</v>
      </c>
      <c r="E632" s="4" t="s">
        <v>25</v>
      </c>
      <c r="F632" s="4" t="s">
        <v>25</v>
      </c>
      <c r="G632" s="4" t="s">
        <v>25</v>
      </c>
      <c r="H632" s="4" t="s">
        <v>36</v>
      </c>
      <c r="I632" s="5">
        <v>43952</v>
      </c>
      <c r="J632" s="6">
        <v>0</v>
      </c>
      <c r="K632" s="6">
        <v>0</v>
      </c>
      <c r="L632" s="6">
        <v>15401.210999999999</v>
      </c>
      <c r="M632" s="6">
        <v>15401.210999999999</v>
      </c>
      <c r="N632" s="6">
        <v>15401.210999999999</v>
      </c>
      <c r="O632" s="6">
        <v>15401.210999999999</v>
      </c>
      <c r="P632" s="6">
        <v>0</v>
      </c>
      <c r="Q632" s="4" t="s">
        <v>26</v>
      </c>
      <c r="R632" s="4">
        <v>0</v>
      </c>
      <c r="S632" s="6">
        <v>0</v>
      </c>
      <c r="T632" s="6">
        <v>28</v>
      </c>
      <c r="U632" s="6">
        <v>82</v>
      </c>
      <c r="V632" s="6">
        <f>IF(ISERROR(VLOOKUP($S$632,'TAR FIN'!$A$1:$O$120,15,0)),0,VLOOKUP($S$632,'TAR FIN'!$A$1:$O$120,15,0))</f>
        <v>0</v>
      </c>
      <c r="W632" s="6">
        <f>IF(ISERROR(VLOOKUP($T$632,'TAR FIN'!$A$1:$O$120,15,0)),0,VLOOKUP($T$632,'TAR FIN'!$A$1:$O$120,15,0))</f>
        <v>84.45</v>
      </c>
      <c r="X632" s="6">
        <f>IF(ISERROR(VLOOKUP($U$632,'TAR FIN'!$A$1:$O$120,15,0)),0,VLOOKUP($U$632,'TAR FIN'!$A$1:$O$120,15,0))</f>
        <v>256.38</v>
      </c>
      <c r="Y632" s="6"/>
      <c r="Z632" s="6">
        <f ca="1">('TUSD BE'!$AM$34+'TUSD BF'!$AM$34+'TUSD CVA'!$AM$34)*1</f>
        <v>87.519361965254689</v>
      </c>
      <c r="AA632" s="6">
        <f>('TE BE'!$AA$11+'TE BF'!$AA$11+'TE CVA'!$AA$11)*1</f>
        <v>230.83420940933817</v>
      </c>
      <c r="AB632" s="6">
        <f>$K$632*$V$632</f>
        <v>0</v>
      </c>
      <c r="AC632" s="6">
        <f>$M$632*$W$632</f>
        <v>1300632.2689499999</v>
      </c>
      <c r="AD632" s="6">
        <f>$O$632*$X$632</f>
        <v>3948562.4761799998</v>
      </c>
      <c r="AE632" s="6">
        <f>$K$632*$Y$632</f>
        <v>0</v>
      </c>
      <c r="AF632" s="6">
        <f ca="1">$M$632*$Z$632</f>
        <v>1347904.1602122621</v>
      </c>
      <c r="AG632" s="6">
        <f>$O$632*$AA$632</f>
        <v>3555126.3651314024</v>
      </c>
    </row>
    <row r="633" spans="1:33" ht="11.25" customHeight="1" x14ac:dyDescent="0.25">
      <c r="A633" s="4" t="s">
        <v>27</v>
      </c>
      <c r="B633" s="4" t="s">
        <v>33</v>
      </c>
      <c r="C633" s="4" t="s">
        <v>34</v>
      </c>
      <c r="D633" s="4" t="s">
        <v>42</v>
      </c>
      <c r="E633" s="4" t="s">
        <v>25</v>
      </c>
      <c r="F633" s="4" t="s">
        <v>25</v>
      </c>
      <c r="G633" s="4" t="s">
        <v>25</v>
      </c>
      <c r="H633" s="4" t="s">
        <v>36</v>
      </c>
      <c r="I633" s="5">
        <v>43952</v>
      </c>
      <c r="J633" s="6">
        <v>0</v>
      </c>
      <c r="K633" s="6">
        <v>0</v>
      </c>
      <c r="L633" s="6">
        <v>12.983000000000001</v>
      </c>
      <c r="M633" s="6">
        <v>12.983000000000001</v>
      </c>
      <c r="N633" s="6">
        <v>12.983000000000001</v>
      </c>
      <c r="O633" s="6">
        <v>12.983000000000001</v>
      </c>
      <c r="P633" s="6">
        <v>0</v>
      </c>
      <c r="Q633" s="4" t="s">
        <v>26</v>
      </c>
      <c r="R633" s="4">
        <v>0</v>
      </c>
      <c r="S633" s="6">
        <v>0</v>
      </c>
      <c r="T633" s="6">
        <v>28</v>
      </c>
      <c r="U633" s="6">
        <v>82</v>
      </c>
      <c r="V633" s="6">
        <f>IF(ISERROR(VLOOKUP($S$633,'TAR FIN'!$A$1:$O$120,15,0)),0,VLOOKUP($S$633,'TAR FIN'!$A$1:$O$120,15,0))</f>
        <v>0</v>
      </c>
      <c r="W633" s="6">
        <f>IF(ISERROR(VLOOKUP($T$633,'TAR FIN'!$A$1:$O$120,15,0)),0,VLOOKUP($T$633,'TAR FIN'!$A$1:$O$120,15,0))</f>
        <v>84.45</v>
      </c>
      <c r="X633" s="6">
        <f>IF(ISERROR(VLOOKUP($U$633,'TAR FIN'!$A$1:$O$120,15,0)),0,VLOOKUP($U$633,'TAR FIN'!$A$1:$O$120,15,0))</f>
        <v>256.38</v>
      </c>
      <c r="Y633" s="6"/>
      <c r="Z633" s="6">
        <f ca="1">('TUSD BE'!$AM$34+'TUSD BF'!$AM$34+'TUSD CVA'!$AM$34)*1</f>
        <v>87.519361965254689</v>
      </c>
      <c r="AA633" s="6">
        <f>('TE BE'!$AA$11+'TE BF'!$AA$11+'TE CVA'!$AA$11)*1</f>
        <v>230.83420940933817</v>
      </c>
      <c r="AB633" s="6">
        <f>$K$633*$V$633</f>
        <v>0</v>
      </c>
      <c r="AC633" s="6">
        <f>$M$633*$W$633</f>
        <v>1096.41435</v>
      </c>
      <c r="AD633" s="6">
        <f>$O$633*$X$633</f>
        <v>3328.5815400000001</v>
      </c>
      <c r="AE633" s="6">
        <f>$K$633*$Y$633</f>
        <v>0</v>
      </c>
      <c r="AF633" s="6">
        <f ca="1">$M$633*$Z$633</f>
        <v>1136.2638763949017</v>
      </c>
      <c r="AG633" s="6">
        <f>$O$633*$AA$633</f>
        <v>2996.9205407614377</v>
      </c>
    </row>
    <row r="634" spans="1:33" ht="11.25" customHeight="1" x14ac:dyDescent="0.25">
      <c r="A634" s="4" t="s">
        <v>28</v>
      </c>
      <c r="B634" s="4" t="s">
        <v>33</v>
      </c>
      <c r="C634" s="4" t="s">
        <v>34</v>
      </c>
      <c r="D634" s="4" t="s">
        <v>42</v>
      </c>
      <c r="E634" s="4" t="s">
        <v>25</v>
      </c>
      <c r="F634" s="4" t="s">
        <v>25</v>
      </c>
      <c r="G634" s="4" t="s">
        <v>25</v>
      </c>
      <c r="H634" s="4" t="s">
        <v>36</v>
      </c>
      <c r="I634" s="5">
        <v>43952</v>
      </c>
      <c r="J634" s="6">
        <v>0</v>
      </c>
      <c r="K634" s="6">
        <v>0</v>
      </c>
      <c r="L634" s="6">
        <v>623.43299999999999</v>
      </c>
      <c r="M634" s="6">
        <v>623.43299999999999</v>
      </c>
      <c r="N634" s="6">
        <v>623.43299999999999</v>
      </c>
      <c r="O634" s="6">
        <v>623.43299999999999</v>
      </c>
      <c r="P634" s="6">
        <v>0</v>
      </c>
      <c r="Q634" s="4" t="s">
        <v>26</v>
      </c>
      <c r="R634" s="4">
        <v>0</v>
      </c>
      <c r="S634" s="6">
        <v>0</v>
      </c>
      <c r="T634" s="6">
        <v>28</v>
      </c>
      <c r="U634" s="6">
        <v>82</v>
      </c>
      <c r="V634" s="6">
        <f>IF(ISERROR(VLOOKUP($S$634,'TAR FIN'!$A$1:$O$120,15,0)),0,VLOOKUP($S$634,'TAR FIN'!$A$1:$O$120,15,0))</f>
        <v>0</v>
      </c>
      <c r="W634" s="6">
        <f>IF(ISERROR(VLOOKUP($T$634,'TAR FIN'!$A$1:$O$120,15,0)),0,VLOOKUP($T$634,'TAR FIN'!$A$1:$O$120,15,0))</f>
        <v>84.45</v>
      </c>
      <c r="X634" s="6">
        <f>IF(ISERROR(VLOOKUP($U$634,'TAR FIN'!$A$1:$O$120,15,0)),0,VLOOKUP($U$634,'TAR FIN'!$A$1:$O$120,15,0))</f>
        <v>256.38</v>
      </c>
      <c r="Y634" s="6"/>
      <c r="Z634" s="6">
        <f ca="1">('TUSD BE'!$AM$34+'TUSD BF'!$AM$34+'TUSD CVA'!$AM$34)*1</f>
        <v>87.519361965254689</v>
      </c>
      <c r="AA634" s="6">
        <f>('TE BE'!$AA$11+'TE BF'!$AA$11+'TE CVA'!$AA$11)*1</f>
        <v>230.83420940933817</v>
      </c>
      <c r="AB634" s="6">
        <f>$K$634*$V$634</f>
        <v>0</v>
      </c>
      <c r="AC634" s="6">
        <f>$M$634*$W$634</f>
        <v>52648.916850000001</v>
      </c>
      <c r="AD634" s="6">
        <f>$O$634*$X$634</f>
        <v>159835.75253999999</v>
      </c>
      <c r="AE634" s="6">
        <f>$K$634*$Y$634</f>
        <v>0</v>
      </c>
      <c r="AF634" s="6">
        <f ca="1">$M$634*$Z$634</f>
        <v>54562.458388084626</v>
      </c>
      <c r="AG634" s="6">
        <f>$O$634*$AA$634</f>
        <v>143909.66367469192</v>
      </c>
    </row>
    <row r="635" spans="1:33" ht="11.25" customHeight="1" x14ac:dyDescent="0.25">
      <c r="A635" s="4" t="s">
        <v>21</v>
      </c>
      <c r="B635" s="4" t="s">
        <v>33</v>
      </c>
      <c r="C635" s="4" t="s">
        <v>34</v>
      </c>
      <c r="D635" s="4" t="s">
        <v>42</v>
      </c>
      <c r="E635" s="4" t="s">
        <v>25</v>
      </c>
      <c r="F635" s="4" t="s">
        <v>25</v>
      </c>
      <c r="G635" s="4" t="s">
        <v>25</v>
      </c>
      <c r="H635" s="4" t="s">
        <v>36</v>
      </c>
      <c r="I635" s="5">
        <v>43983</v>
      </c>
      <c r="J635" s="6">
        <v>0</v>
      </c>
      <c r="K635" s="6">
        <v>0</v>
      </c>
      <c r="L635" s="6">
        <v>15555.379000000001</v>
      </c>
      <c r="M635" s="6">
        <v>15555.379000000001</v>
      </c>
      <c r="N635" s="6">
        <v>15555.379000000001</v>
      </c>
      <c r="O635" s="6">
        <v>15555.379000000001</v>
      </c>
      <c r="P635" s="6">
        <v>0</v>
      </c>
      <c r="Q635" s="4" t="s">
        <v>26</v>
      </c>
      <c r="R635" s="4">
        <v>0</v>
      </c>
      <c r="S635" s="6">
        <v>0</v>
      </c>
      <c r="T635" s="6">
        <v>28</v>
      </c>
      <c r="U635" s="6">
        <v>82</v>
      </c>
      <c r="V635" s="6">
        <f>IF(ISERROR(VLOOKUP($S$635,'TAR FIN'!$A$1:$O$120,15,0)),0,VLOOKUP($S$635,'TAR FIN'!$A$1:$O$120,15,0))</f>
        <v>0</v>
      </c>
      <c r="W635" s="6">
        <f>IF(ISERROR(VLOOKUP($T$635,'TAR FIN'!$A$1:$O$120,15,0)),0,VLOOKUP($T$635,'TAR FIN'!$A$1:$O$120,15,0))</f>
        <v>84.45</v>
      </c>
      <c r="X635" s="6">
        <f>IF(ISERROR(VLOOKUP($U$635,'TAR FIN'!$A$1:$O$120,15,0)),0,VLOOKUP($U$635,'TAR FIN'!$A$1:$O$120,15,0))</f>
        <v>256.38</v>
      </c>
      <c r="Y635" s="6"/>
      <c r="Z635" s="6">
        <f ca="1">('TUSD BE'!$AM$34+'TUSD BF'!$AM$34+'TUSD CVA'!$AM$34)*1</f>
        <v>87.519361965254689</v>
      </c>
      <c r="AA635" s="6">
        <f>('TE BE'!$AA$11+'TE BF'!$AA$11+'TE CVA'!$AA$11)*1</f>
        <v>230.83420940933817</v>
      </c>
      <c r="AB635" s="6">
        <f>$K$635*$V$635</f>
        <v>0</v>
      </c>
      <c r="AC635" s="6">
        <f>$M$635*$W$635</f>
        <v>1313651.75655</v>
      </c>
      <c r="AD635" s="6">
        <f>$O$635*$X$635</f>
        <v>3988088.0680200001</v>
      </c>
      <c r="AE635" s="6">
        <f>$K$635*$Y$635</f>
        <v>0</v>
      </c>
      <c r="AF635" s="6">
        <f ca="1">$M$635*$Z$635</f>
        <v>1361396.8452077217</v>
      </c>
      <c r="AG635" s="6">
        <f>$O$635*$AA$635</f>
        <v>3590713.6135276216</v>
      </c>
    </row>
    <row r="636" spans="1:33" ht="11.25" customHeight="1" x14ac:dyDescent="0.25">
      <c r="A636" s="4" t="s">
        <v>27</v>
      </c>
      <c r="B636" s="4" t="s">
        <v>33</v>
      </c>
      <c r="C636" s="4" t="s">
        <v>34</v>
      </c>
      <c r="D636" s="4" t="s">
        <v>42</v>
      </c>
      <c r="E636" s="4" t="s">
        <v>25</v>
      </c>
      <c r="F636" s="4" t="s">
        <v>25</v>
      </c>
      <c r="G636" s="4" t="s">
        <v>25</v>
      </c>
      <c r="H636" s="4" t="s">
        <v>36</v>
      </c>
      <c r="I636" s="5">
        <v>43983</v>
      </c>
      <c r="J636" s="6">
        <v>0</v>
      </c>
      <c r="K636" s="6">
        <v>0</v>
      </c>
      <c r="L636" s="6">
        <v>12.406000000000001</v>
      </c>
      <c r="M636" s="6">
        <v>12.406000000000001</v>
      </c>
      <c r="N636" s="6">
        <v>12.406000000000001</v>
      </c>
      <c r="O636" s="6">
        <v>12.406000000000001</v>
      </c>
      <c r="P636" s="6">
        <v>0</v>
      </c>
      <c r="Q636" s="4" t="s">
        <v>26</v>
      </c>
      <c r="R636" s="4">
        <v>0</v>
      </c>
      <c r="S636" s="6">
        <v>0</v>
      </c>
      <c r="T636" s="6">
        <v>28</v>
      </c>
      <c r="U636" s="6">
        <v>82</v>
      </c>
      <c r="V636" s="6">
        <f>IF(ISERROR(VLOOKUP($S$636,'TAR FIN'!$A$1:$O$120,15,0)),0,VLOOKUP($S$636,'TAR FIN'!$A$1:$O$120,15,0))</f>
        <v>0</v>
      </c>
      <c r="W636" s="6">
        <f>IF(ISERROR(VLOOKUP($T$636,'TAR FIN'!$A$1:$O$120,15,0)),0,VLOOKUP($T$636,'TAR FIN'!$A$1:$O$120,15,0))</f>
        <v>84.45</v>
      </c>
      <c r="X636" s="6">
        <f>IF(ISERROR(VLOOKUP($U$636,'TAR FIN'!$A$1:$O$120,15,0)),0,VLOOKUP($U$636,'TAR FIN'!$A$1:$O$120,15,0))</f>
        <v>256.38</v>
      </c>
      <c r="Y636" s="6"/>
      <c r="Z636" s="6">
        <f ca="1">('TUSD BE'!$AM$34+'TUSD BF'!$AM$34+'TUSD CVA'!$AM$34)*1</f>
        <v>87.519361965254689</v>
      </c>
      <c r="AA636" s="6">
        <f>('TE BE'!$AA$11+'TE BF'!$AA$11+'TE CVA'!$AA$11)*1</f>
        <v>230.83420940933817</v>
      </c>
      <c r="AB636" s="6">
        <f>$K$636*$V$636</f>
        <v>0</v>
      </c>
      <c r="AC636" s="6">
        <f>$M$636*$W$636</f>
        <v>1047.6867</v>
      </c>
      <c r="AD636" s="6">
        <f>$O$636*$X$636</f>
        <v>3180.6502800000003</v>
      </c>
      <c r="AE636" s="6">
        <f>$K$636*$Y$636</f>
        <v>0</v>
      </c>
      <c r="AF636" s="6">
        <f ca="1">$M$636*$Z$636</f>
        <v>1085.7652045409498</v>
      </c>
      <c r="AG636" s="6">
        <f>$O$636*$AA$636</f>
        <v>2863.7292019322495</v>
      </c>
    </row>
    <row r="637" spans="1:33" ht="11.25" customHeight="1" x14ac:dyDescent="0.25">
      <c r="A637" s="4" t="s">
        <v>28</v>
      </c>
      <c r="B637" s="4" t="s">
        <v>33</v>
      </c>
      <c r="C637" s="4" t="s">
        <v>34</v>
      </c>
      <c r="D637" s="4" t="s">
        <v>42</v>
      </c>
      <c r="E637" s="4" t="s">
        <v>25</v>
      </c>
      <c r="F637" s="4" t="s">
        <v>25</v>
      </c>
      <c r="G637" s="4" t="s">
        <v>25</v>
      </c>
      <c r="H637" s="4" t="s">
        <v>36</v>
      </c>
      <c r="I637" s="5">
        <v>43983</v>
      </c>
      <c r="J637" s="6">
        <v>0</v>
      </c>
      <c r="K637" s="6">
        <v>0</v>
      </c>
      <c r="L637" s="6">
        <v>244.191</v>
      </c>
      <c r="M637" s="6">
        <v>244.191</v>
      </c>
      <c r="N637" s="6">
        <v>244.191</v>
      </c>
      <c r="O637" s="6">
        <v>244.191</v>
      </c>
      <c r="P637" s="6">
        <v>0</v>
      </c>
      <c r="Q637" s="4" t="s">
        <v>26</v>
      </c>
      <c r="R637" s="4">
        <v>0</v>
      </c>
      <c r="S637" s="6">
        <v>0</v>
      </c>
      <c r="T637" s="6">
        <v>28</v>
      </c>
      <c r="U637" s="6">
        <v>82</v>
      </c>
      <c r="V637" s="6">
        <f>IF(ISERROR(VLOOKUP($S$637,'TAR FIN'!$A$1:$O$120,15,0)),0,VLOOKUP($S$637,'TAR FIN'!$A$1:$O$120,15,0))</f>
        <v>0</v>
      </c>
      <c r="W637" s="6">
        <f>IF(ISERROR(VLOOKUP($T$637,'TAR FIN'!$A$1:$O$120,15,0)),0,VLOOKUP($T$637,'TAR FIN'!$A$1:$O$120,15,0))</f>
        <v>84.45</v>
      </c>
      <c r="X637" s="6">
        <f>IF(ISERROR(VLOOKUP($U$637,'TAR FIN'!$A$1:$O$120,15,0)),0,VLOOKUP($U$637,'TAR FIN'!$A$1:$O$120,15,0))</f>
        <v>256.38</v>
      </c>
      <c r="Y637" s="6"/>
      <c r="Z637" s="6">
        <f ca="1">('TUSD BE'!$AM$34+'TUSD BF'!$AM$34+'TUSD CVA'!$AM$34)*1</f>
        <v>87.519361965254689</v>
      </c>
      <c r="AA637" s="6">
        <f>('TE BE'!$AA$11+'TE BF'!$AA$11+'TE CVA'!$AA$11)*1</f>
        <v>230.83420940933817</v>
      </c>
      <c r="AB637" s="6">
        <f>$K$637*$V$637</f>
        <v>0</v>
      </c>
      <c r="AC637" s="6">
        <f>$M$637*$W$637</f>
        <v>20621.929950000002</v>
      </c>
      <c r="AD637" s="6">
        <f>$O$637*$X$637</f>
        <v>62605.688580000002</v>
      </c>
      <c r="AE637" s="6">
        <f>$K$637*$Y$637</f>
        <v>0</v>
      </c>
      <c r="AF637" s="6">
        <f ca="1">$M$637*$Z$637</f>
        <v>21371.440517657509</v>
      </c>
      <c r="AG637" s="6">
        <f>$O$637*$AA$637</f>
        <v>56367.636429875696</v>
      </c>
    </row>
    <row r="638" spans="1:33" ht="11.25" customHeight="1" x14ac:dyDescent="0.25">
      <c r="A638" s="4" t="s">
        <v>21</v>
      </c>
      <c r="B638" s="4" t="s">
        <v>33</v>
      </c>
      <c r="C638" s="4" t="s">
        <v>34</v>
      </c>
      <c r="D638" s="4" t="s">
        <v>42</v>
      </c>
      <c r="E638" s="4" t="s">
        <v>25</v>
      </c>
      <c r="F638" s="4" t="s">
        <v>25</v>
      </c>
      <c r="G638" s="4" t="s">
        <v>25</v>
      </c>
      <c r="H638" s="4" t="s">
        <v>36</v>
      </c>
      <c r="I638" s="5">
        <v>44013</v>
      </c>
      <c r="J638" s="6">
        <v>0</v>
      </c>
      <c r="K638" s="6">
        <v>0</v>
      </c>
      <c r="L638" s="6">
        <v>15117.457</v>
      </c>
      <c r="M638" s="6">
        <v>15117.457</v>
      </c>
      <c r="N638" s="6">
        <v>15117.457</v>
      </c>
      <c r="O638" s="6">
        <v>15117.457</v>
      </c>
      <c r="P638" s="6">
        <v>0</v>
      </c>
      <c r="Q638" s="4" t="s">
        <v>26</v>
      </c>
      <c r="R638" s="4">
        <v>0</v>
      </c>
      <c r="S638" s="6">
        <v>0</v>
      </c>
      <c r="T638" s="6">
        <v>28</v>
      </c>
      <c r="U638" s="6">
        <v>82</v>
      </c>
      <c r="V638" s="6">
        <f>IF(ISERROR(VLOOKUP($S$638,'TAR FIN'!$A$1:$O$120,15,0)),0,VLOOKUP($S$638,'TAR FIN'!$A$1:$O$120,15,0))</f>
        <v>0</v>
      </c>
      <c r="W638" s="6">
        <f>IF(ISERROR(VLOOKUP($T$638,'TAR FIN'!$A$1:$O$120,15,0)),0,VLOOKUP($T$638,'TAR FIN'!$A$1:$O$120,15,0))</f>
        <v>84.45</v>
      </c>
      <c r="X638" s="6">
        <f>IF(ISERROR(VLOOKUP($U$638,'TAR FIN'!$A$1:$O$120,15,0)),0,VLOOKUP($U$638,'TAR FIN'!$A$1:$O$120,15,0))</f>
        <v>256.38</v>
      </c>
      <c r="Y638" s="6"/>
      <c r="Z638" s="6">
        <f ca="1">('TUSD BE'!$AM$34+'TUSD BF'!$AM$34+'TUSD CVA'!$AM$34)*1</f>
        <v>87.519361965254689</v>
      </c>
      <c r="AA638" s="6">
        <f>('TE BE'!$AA$11+'TE BF'!$AA$11+'TE CVA'!$AA$11)*1</f>
        <v>230.83420940933817</v>
      </c>
      <c r="AB638" s="6">
        <f>$K$638*$V$638</f>
        <v>0</v>
      </c>
      <c r="AC638" s="6">
        <f>$M$638*$W$638</f>
        <v>1276669.2436500001</v>
      </c>
      <c r="AD638" s="6">
        <f>$O$638*$X$638</f>
        <v>3875813.6256599999</v>
      </c>
      <c r="AE638" s="6">
        <f>$K$638*$Y$638</f>
        <v>0</v>
      </c>
      <c r="AF638" s="6">
        <f ca="1">$M$638*$Z$638</f>
        <v>1323070.1911771733</v>
      </c>
      <c r="AG638" s="6">
        <f>$O$638*$AA$638</f>
        <v>3489626.2348746653</v>
      </c>
    </row>
    <row r="639" spans="1:33" ht="11.25" customHeight="1" x14ac:dyDescent="0.25">
      <c r="A639" s="4" t="s">
        <v>27</v>
      </c>
      <c r="B639" s="4" t="s">
        <v>33</v>
      </c>
      <c r="C639" s="4" t="s">
        <v>34</v>
      </c>
      <c r="D639" s="4" t="s">
        <v>42</v>
      </c>
      <c r="E639" s="4" t="s">
        <v>25</v>
      </c>
      <c r="F639" s="4" t="s">
        <v>25</v>
      </c>
      <c r="G639" s="4" t="s">
        <v>25</v>
      </c>
      <c r="H639" s="4" t="s">
        <v>36</v>
      </c>
      <c r="I639" s="5">
        <v>44013</v>
      </c>
      <c r="J639" s="6">
        <v>0</v>
      </c>
      <c r="K639" s="6">
        <v>0</v>
      </c>
      <c r="L639" s="6">
        <v>35.244</v>
      </c>
      <c r="M639" s="6">
        <v>35.244</v>
      </c>
      <c r="N639" s="6">
        <v>35.244</v>
      </c>
      <c r="O639" s="6">
        <v>35.244</v>
      </c>
      <c r="P639" s="6">
        <v>0</v>
      </c>
      <c r="Q639" s="4" t="s">
        <v>26</v>
      </c>
      <c r="R639" s="4">
        <v>0</v>
      </c>
      <c r="S639" s="6">
        <v>0</v>
      </c>
      <c r="T639" s="6">
        <v>28</v>
      </c>
      <c r="U639" s="6">
        <v>82</v>
      </c>
      <c r="V639" s="6">
        <f>IF(ISERROR(VLOOKUP($S$639,'TAR FIN'!$A$1:$O$120,15,0)),0,VLOOKUP($S$639,'TAR FIN'!$A$1:$O$120,15,0))</f>
        <v>0</v>
      </c>
      <c r="W639" s="6">
        <f>IF(ISERROR(VLOOKUP($T$639,'TAR FIN'!$A$1:$O$120,15,0)),0,VLOOKUP($T$639,'TAR FIN'!$A$1:$O$120,15,0))</f>
        <v>84.45</v>
      </c>
      <c r="X639" s="6">
        <f>IF(ISERROR(VLOOKUP($U$639,'TAR FIN'!$A$1:$O$120,15,0)),0,VLOOKUP($U$639,'TAR FIN'!$A$1:$O$120,15,0))</f>
        <v>256.38</v>
      </c>
      <c r="Y639" s="6"/>
      <c r="Z639" s="6">
        <f ca="1">('TUSD BE'!$AM$34+'TUSD BF'!$AM$34+'TUSD CVA'!$AM$34)*1</f>
        <v>87.519361965254689</v>
      </c>
      <c r="AA639" s="6">
        <f>('TE BE'!$AA$11+'TE BF'!$AA$11+'TE CVA'!$AA$11)*1</f>
        <v>230.83420940933817</v>
      </c>
      <c r="AB639" s="6">
        <f>$K$639*$V$639</f>
        <v>0</v>
      </c>
      <c r="AC639" s="6">
        <f>$M$639*$W$639</f>
        <v>2976.3558000000003</v>
      </c>
      <c r="AD639" s="6">
        <f>$O$639*$X$639</f>
        <v>9035.8567199999998</v>
      </c>
      <c r="AE639" s="6">
        <f>$K$639*$Y$639</f>
        <v>0</v>
      </c>
      <c r="AF639" s="6">
        <f ca="1">$M$639*$Z$639</f>
        <v>3084.5323931034363</v>
      </c>
      <c r="AG639" s="6">
        <f>$O$639*$AA$639</f>
        <v>8135.5208764227145</v>
      </c>
    </row>
    <row r="640" spans="1:33" ht="11.25" customHeight="1" x14ac:dyDescent="0.25">
      <c r="A640" s="4" t="s">
        <v>28</v>
      </c>
      <c r="B640" s="4" t="s">
        <v>33</v>
      </c>
      <c r="C640" s="4" t="s">
        <v>34</v>
      </c>
      <c r="D640" s="4" t="s">
        <v>42</v>
      </c>
      <c r="E640" s="4" t="s">
        <v>25</v>
      </c>
      <c r="F640" s="4" t="s">
        <v>25</v>
      </c>
      <c r="G640" s="4" t="s">
        <v>25</v>
      </c>
      <c r="H640" s="4" t="s">
        <v>36</v>
      </c>
      <c r="I640" s="5">
        <v>44013</v>
      </c>
      <c r="J640" s="6">
        <v>0</v>
      </c>
      <c r="K640" s="6">
        <v>0</v>
      </c>
      <c r="L640" s="6">
        <v>236.15199999999999</v>
      </c>
      <c r="M640" s="6">
        <v>236.15199999999999</v>
      </c>
      <c r="N640" s="6">
        <v>236.15199999999999</v>
      </c>
      <c r="O640" s="6">
        <v>236.15199999999999</v>
      </c>
      <c r="P640" s="6">
        <v>0</v>
      </c>
      <c r="Q640" s="4" t="s">
        <v>26</v>
      </c>
      <c r="R640" s="4">
        <v>0</v>
      </c>
      <c r="S640" s="6">
        <v>0</v>
      </c>
      <c r="T640" s="6">
        <v>28</v>
      </c>
      <c r="U640" s="6">
        <v>82</v>
      </c>
      <c r="V640" s="6">
        <f>IF(ISERROR(VLOOKUP($S$640,'TAR FIN'!$A$1:$O$120,15,0)),0,VLOOKUP($S$640,'TAR FIN'!$A$1:$O$120,15,0))</f>
        <v>0</v>
      </c>
      <c r="W640" s="6">
        <f>IF(ISERROR(VLOOKUP($T$640,'TAR FIN'!$A$1:$O$120,15,0)),0,VLOOKUP($T$640,'TAR FIN'!$A$1:$O$120,15,0))</f>
        <v>84.45</v>
      </c>
      <c r="X640" s="6">
        <f>IF(ISERROR(VLOOKUP($U$640,'TAR FIN'!$A$1:$O$120,15,0)),0,VLOOKUP($U$640,'TAR FIN'!$A$1:$O$120,15,0))</f>
        <v>256.38</v>
      </c>
      <c r="Y640" s="6"/>
      <c r="Z640" s="6">
        <f ca="1">('TUSD BE'!$AM$34+'TUSD BF'!$AM$34+'TUSD CVA'!$AM$34)*1</f>
        <v>87.519361965254689</v>
      </c>
      <c r="AA640" s="6">
        <f>('TE BE'!$AA$11+'TE BF'!$AA$11+'TE CVA'!$AA$11)*1</f>
        <v>230.83420940933817</v>
      </c>
      <c r="AB640" s="6">
        <f>$K$640*$V$640</f>
        <v>0</v>
      </c>
      <c r="AC640" s="6">
        <f>$M$640*$W$640</f>
        <v>19943.036400000001</v>
      </c>
      <c r="AD640" s="6">
        <f>$O$640*$X$640</f>
        <v>60544.649759999993</v>
      </c>
      <c r="AE640" s="6">
        <f>$K$640*$Y$640</f>
        <v>0</v>
      </c>
      <c r="AF640" s="6">
        <f ca="1">$M$640*$Z$640</f>
        <v>20667.872366818825</v>
      </c>
      <c r="AG640" s="6">
        <f>$O$640*$AA$640</f>
        <v>54511.960220434026</v>
      </c>
    </row>
    <row r="641" spans="1:33" ht="11.25" customHeight="1" x14ac:dyDescent="0.25">
      <c r="A641" s="4" t="s">
        <v>21</v>
      </c>
      <c r="B641" s="4" t="s">
        <v>33</v>
      </c>
      <c r="C641" s="4" t="s">
        <v>34</v>
      </c>
      <c r="D641" s="4" t="s">
        <v>42</v>
      </c>
      <c r="E641" s="4" t="s">
        <v>25</v>
      </c>
      <c r="F641" s="4" t="s">
        <v>25</v>
      </c>
      <c r="G641" s="4" t="s">
        <v>25</v>
      </c>
      <c r="H641" s="4" t="s">
        <v>36</v>
      </c>
      <c r="I641" s="5">
        <v>44044</v>
      </c>
      <c r="J641" s="6">
        <v>0</v>
      </c>
      <c r="K641" s="6">
        <v>0</v>
      </c>
      <c r="L641" s="6">
        <v>16325.962</v>
      </c>
      <c r="M641" s="6">
        <v>16325.962</v>
      </c>
      <c r="N641" s="6">
        <v>16325.962</v>
      </c>
      <c r="O641" s="6">
        <v>16325.962</v>
      </c>
      <c r="P641" s="6">
        <v>0</v>
      </c>
      <c r="Q641" s="4" t="s">
        <v>26</v>
      </c>
      <c r="R641" s="4">
        <v>0</v>
      </c>
      <c r="S641" s="6">
        <v>0</v>
      </c>
      <c r="T641" s="6">
        <v>28</v>
      </c>
      <c r="U641" s="6">
        <v>82</v>
      </c>
      <c r="V641" s="6">
        <f>IF(ISERROR(VLOOKUP($S$641,'TAR FIN'!$A$1:$O$120,15,0)),0,VLOOKUP($S$641,'TAR FIN'!$A$1:$O$120,15,0))</f>
        <v>0</v>
      </c>
      <c r="W641" s="6">
        <f>IF(ISERROR(VLOOKUP($T$641,'TAR FIN'!$A$1:$O$120,15,0)),0,VLOOKUP($T$641,'TAR FIN'!$A$1:$O$120,15,0))</f>
        <v>84.45</v>
      </c>
      <c r="X641" s="6">
        <f>IF(ISERROR(VLOOKUP($U$641,'TAR FIN'!$A$1:$O$120,15,0)),0,VLOOKUP($U$641,'TAR FIN'!$A$1:$O$120,15,0))</f>
        <v>256.38</v>
      </c>
      <c r="Y641" s="6"/>
      <c r="Z641" s="6">
        <f ca="1">('TUSD BE'!$AM$34+'TUSD BF'!$AM$34+'TUSD CVA'!$AM$34)*1</f>
        <v>87.519361965254689</v>
      </c>
      <c r="AA641" s="6">
        <f>('TE BE'!$AA$11+'TE BF'!$AA$11+'TE CVA'!$AA$11)*1</f>
        <v>230.83420940933817</v>
      </c>
      <c r="AB641" s="6">
        <f>$K$641*$V$641</f>
        <v>0</v>
      </c>
      <c r="AC641" s="6">
        <f>$M$641*$W$641</f>
        <v>1378727.4909000001</v>
      </c>
      <c r="AD641" s="6">
        <f>$O$641*$X$641</f>
        <v>4185650.1375599997</v>
      </c>
      <c r="AE641" s="6">
        <f>$K$641*$Y$641</f>
        <v>0</v>
      </c>
      <c r="AF641" s="6">
        <f ca="1">$M$641*$Z$641</f>
        <v>1428837.7777089933</v>
      </c>
      <c r="AG641" s="6">
        <f>$O$641*$AA$641</f>
        <v>3768590.5311168972</v>
      </c>
    </row>
    <row r="642" spans="1:33" ht="11.25" customHeight="1" x14ac:dyDescent="0.25">
      <c r="A642" s="4" t="s">
        <v>27</v>
      </c>
      <c r="B642" s="4" t="s">
        <v>33</v>
      </c>
      <c r="C642" s="4" t="s">
        <v>34</v>
      </c>
      <c r="D642" s="4" t="s">
        <v>42</v>
      </c>
      <c r="E642" s="4" t="s">
        <v>25</v>
      </c>
      <c r="F642" s="4" t="s">
        <v>25</v>
      </c>
      <c r="G642" s="4" t="s">
        <v>25</v>
      </c>
      <c r="H642" s="4" t="s">
        <v>36</v>
      </c>
      <c r="I642" s="5">
        <v>44044</v>
      </c>
      <c r="J642" s="6">
        <v>0</v>
      </c>
      <c r="K642" s="6">
        <v>0</v>
      </c>
      <c r="L642" s="6">
        <v>0.41199999999999998</v>
      </c>
      <c r="M642" s="6">
        <v>0.41199999999999998</v>
      </c>
      <c r="N642" s="6">
        <v>0.41199999999999998</v>
      </c>
      <c r="O642" s="6">
        <v>0.41199999999999998</v>
      </c>
      <c r="P642" s="6">
        <v>0</v>
      </c>
      <c r="Q642" s="4" t="s">
        <v>26</v>
      </c>
      <c r="R642" s="4">
        <v>0</v>
      </c>
      <c r="S642" s="6">
        <v>0</v>
      </c>
      <c r="T642" s="6">
        <v>28</v>
      </c>
      <c r="U642" s="6">
        <v>82</v>
      </c>
      <c r="V642" s="6">
        <f>IF(ISERROR(VLOOKUP($S$642,'TAR FIN'!$A$1:$O$120,15,0)),0,VLOOKUP($S$642,'TAR FIN'!$A$1:$O$120,15,0))</f>
        <v>0</v>
      </c>
      <c r="W642" s="6">
        <f>IF(ISERROR(VLOOKUP($T$642,'TAR FIN'!$A$1:$O$120,15,0)),0,VLOOKUP($T$642,'TAR FIN'!$A$1:$O$120,15,0))</f>
        <v>84.45</v>
      </c>
      <c r="X642" s="6">
        <f>IF(ISERROR(VLOOKUP($U$642,'TAR FIN'!$A$1:$O$120,15,0)),0,VLOOKUP($U$642,'TAR FIN'!$A$1:$O$120,15,0))</f>
        <v>256.38</v>
      </c>
      <c r="Y642" s="6"/>
      <c r="Z642" s="6">
        <f ca="1">('TUSD BE'!$AM$34+'TUSD BF'!$AM$34+'TUSD CVA'!$AM$34)*1</f>
        <v>87.519361965254689</v>
      </c>
      <c r="AA642" s="6">
        <f>('TE BE'!$AA$11+'TE BF'!$AA$11+'TE CVA'!$AA$11)*1</f>
        <v>230.83420940933817</v>
      </c>
      <c r="AB642" s="6">
        <f>$K$642*$V$642</f>
        <v>0</v>
      </c>
      <c r="AC642" s="6">
        <f>$M$642*$W$642</f>
        <v>34.793399999999998</v>
      </c>
      <c r="AD642" s="6">
        <f>$O$642*$X$642</f>
        <v>105.62855999999999</v>
      </c>
      <c r="AE642" s="6">
        <f>$K$642*$Y$642</f>
        <v>0</v>
      </c>
      <c r="AF642" s="6">
        <f ca="1">$M$642*$Z$642</f>
        <v>36.057977129684929</v>
      </c>
      <c r="AG642" s="6">
        <f>$O$642*$AA$642</f>
        <v>95.103694276647317</v>
      </c>
    </row>
    <row r="643" spans="1:33" ht="11.25" customHeight="1" x14ac:dyDescent="0.25">
      <c r="A643" s="4" t="s">
        <v>28</v>
      </c>
      <c r="B643" s="4" t="s">
        <v>33</v>
      </c>
      <c r="C643" s="4" t="s">
        <v>34</v>
      </c>
      <c r="D643" s="4" t="s">
        <v>42</v>
      </c>
      <c r="E643" s="4" t="s">
        <v>25</v>
      </c>
      <c r="F643" s="4" t="s">
        <v>25</v>
      </c>
      <c r="G643" s="4" t="s">
        <v>25</v>
      </c>
      <c r="H643" s="4" t="s">
        <v>36</v>
      </c>
      <c r="I643" s="5">
        <v>44044</v>
      </c>
      <c r="J643" s="6">
        <v>0</v>
      </c>
      <c r="K643" s="6">
        <v>0</v>
      </c>
      <c r="L643" s="6">
        <v>352.51299999999998</v>
      </c>
      <c r="M643" s="6">
        <v>352.51299999999998</v>
      </c>
      <c r="N643" s="6">
        <v>352.51299999999998</v>
      </c>
      <c r="O643" s="6">
        <v>352.51299999999998</v>
      </c>
      <c r="P643" s="6">
        <v>0</v>
      </c>
      <c r="Q643" s="4" t="s">
        <v>26</v>
      </c>
      <c r="R643" s="4">
        <v>0</v>
      </c>
      <c r="S643" s="6">
        <v>0</v>
      </c>
      <c r="T643" s="6">
        <v>28</v>
      </c>
      <c r="U643" s="6">
        <v>82</v>
      </c>
      <c r="V643" s="6">
        <f>IF(ISERROR(VLOOKUP($S$643,'TAR FIN'!$A$1:$O$120,15,0)),0,VLOOKUP($S$643,'TAR FIN'!$A$1:$O$120,15,0))</f>
        <v>0</v>
      </c>
      <c r="W643" s="6">
        <f>IF(ISERROR(VLOOKUP($T$643,'TAR FIN'!$A$1:$O$120,15,0)),0,VLOOKUP($T$643,'TAR FIN'!$A$1:$O$120,15,0))</f>
        <v>84.45</v>
      </c>
      <c r="X643" s="6">
        <f>IF(ISERROR(VLOOKUP($U$643,'TAR FIN'!$A$1:$O$120,15,0)),0,VLOOKUP($U$643,'TAR FIN'!$A$1:$O$120,15,0))</f>
        <v>256.38</v>
      </c>
      <c r="Y643" s="6"/>
      <c r="Z643" s="6">
        <f ca="1">('TUSD BE'!$AM$34+'TUSD BF'!$AM$34+'TUSD CVA'!$AM$34)*1</f>
        <v>87.519361965254689</v>
      </c>
      <c r="AA643" s="6">
        <f>('TE BE'!$AA$11+'TE BF'!$AA$11+'TE CVA'!$AA$11)*1</f>
        <v>230.83420940933817</v>
      </c>
      <c r="AB643" s="6">
        <f>$K$643*$V$643</f>
        <v>0</v>
      </c>
      <c r="AC643" s="6">
        <f>$M$643*$W$643</f>
        <v>29769.722849999998</v>
      </c>
      <c r="AD643" s="6">
        <f>$O$643*$X$643</f>
        <v>90377.28293999999</v>
      </c>
      <c r="AE643" s="6">
        <f>$K$643*$Y$643</f>
        <v>0</v>
      </c>
      <c r="AF643" s="6">
        <f ca="1">$M$643*$Z$643</f>
        <v>30851.712844457823</v>
      </c>
      <c r="AG643" s="6">
        <f>$O$643*$AA$643</f>
        <v>81372.059661514024</v>
      </c>
    </row>
    <row r="644" spans="1:33" ht="11.25" customHeight="1" x14ac:dyDescent="0.25">
      <c r="A644" s="4" t="s">
        <v>59</v>
      </c>
      <c r="B644" s="4" t="s">
        <v>33</v>
      </c>
      <c r="C644" s="4" t="s">
        <v>34</v>
      </c>
      <c r="D644" s="4" t="s">
        <v>42</v>
      </c>
      <c r="E644" s="4" t="s">
        <v>25</v>
      </c>
      <c r="F644" s="4" t="s">
        <v>25</v>
      </c>
      <c r="G644" s="4" t="s">
        <v>25</v>
      </c>
      <c r="H644" s="4" t="s">
        <v>36</v>
      </c>
      <c r="I644" s="5">
        <v>44075</v>
      </c>
      <c r="J644" s="6">
        <v>0</v>
      </c>
      <c r="K644" s="6">
        <v>0</v>
      </c>
      <c r="L644" s="6">
        <v>16325.962</v>
      </c>
      <c r="M644" s="6">
        <v>16325.962</v>
      </c>
      <c r="N644" s="6">
        <v>16325.962</v>
      </c>
      <c r="O644" s="6">
        <v>16325.962</v>
      </c>
      <c r="P644" s="6">
        <v>0</v>
      </c>
      <c r="Q644" s="4" t="s">
        <v>26</v>
      </c>
      <c r="R644" s="4">
        <v>0</v>
      </c>
      <c r="S644" s="6">
        <v>0</v>
      </c>
      <c r="T644" s="6">
        <v>28</v>
      </c>
      <c r="U644" s="6">
        <v>82</v>
      </c>
      <c r="V644" s="6">
        <f>IF(ISERROR(VLOOKUP($S$644,'TAR FIN'!$A$1:$O$120,15,0)),0,VLOOKUP($S$644,'TAR FIN'!$A$1:$O$120,15,0))</f>
        <v>0</v>
      </c>
      <c r="W644" s="6">
        <f>IF(ISERROR(VLOOKUP($T$644,'TAR FIN'!$A$1:$O$120,15,0)),0,VLOOKUP($T$644,'TAR FIN'!$A$1:$O$120,15,0))</f>
        <v>84.45</v>
      </c>
      <c r="X644" s="6">
        <f>IF(ISERROR(VLOOKUP($U$644,'TAR FIN'!$A$1:$O$120,15,0)),0,VLOOKUP($U$644,'TAR FIN'!$A$1:$O$120,15,0))</f>
        <v>256.38</v>
      </c>
      <c r="Y644" s="6"/>
      <c r="Z644" s="6">
        <f ca="1">('TUSD BE'!$AM$34+'TUSD BF'!$AM$34+'TUSD CVA'!$AM$34)*1</f>
        <v>87.519361965254689</v>
      </c>
      <c r="AA644" s="6">
        <f>('TE BE'!$AA$11+'TE BF'!$AA$11+'TE CVA'!$AA$11)*1</f>
        <v>230.83420940933817</v>
      </c>
      <c r="AB644" s="6">
        <f>$K$644*$V$644</f>
        <v>0</v>
      </c>
      <c r="AC644" s="6">
        <f>$M$644*$W$644</f>
        <v>1378727.4909000001</v>
      </c>
      <c r="AD644" s="6">
        <f>$O$644*$X$644</f>
        <v>4185650.1375599997</v>
      </c>
      <c r="AE644" s="6">
        <f>$K$644*$Y$644</f>
        <v>0</v>
      </c>
      <c r="AF644" s="6">
        <f ca="1">$M$644*$Z$644</f>
        <v>1428837.7777089933</v>
      </c>
      <c r="AG644" s="6">
        <f>$O$644*$AA$644</f>
        <v>3768590.5311168972</v>
      </c>
    </row>
    <row r="645" spans="1:33" ht="11.25" customHeight="1" x14ac:dyDescent="0.25">
      <c r="A645" s="4" t="s">
        <v>59</v>
      </c>
      <c r="B645" s="4" t="s">
        <v>33</v>
      </c>
      <c r="C645" s="4" t="s">
        <v>34</v>
      </c>
      <c r="D645" s="4" t="s">
        <v>42</v>
      </c>
      <c r="E645" s="4" t="s">
        <v>25</v>
      </c>
      <c r="F645" s="4" t="s">
        <v>25</v>
      </c>
      <c r="G645" s="4" t="s">
        <v>25</v>
      </c>
      <c r="H645" s="4" t="s">
        <v>36</v>
      </c>
      <c r="I645" s="5">
        <v>44075</v>
      </c>
      <c r="J645" s="6">
        <v>0</v>
      </c>
      <c r="K645" s="6">
        <v>0</v>
      </c>
      <c r="L645" s="6">
        <v>0.41199999999999998</v>
      </c>
      <c r="M645" s="6">
        <v>0.41199999999999998</v>
      </c>
      <c r="N645" s="6">
        <v>0.41199999999999998</v>
      </c>
      <c r="O645" s="6">
        <v>0.41199999999999998</v>
      </c>
      <c r="P645" s="6">
        <v>0</v>
      </c>
      <c r="Q645" s="4" t="s">
        <v>26</v>
      </c>
      <c r="R645" s="4">
        <v>0</v>
      </c>
      <c r="S645" s="6">
        <v>0</v>
      </c>
      <c r="T645" s="6">
        <v>28</v>
      </c>
      <c r="U645" s="6">
        <v>82</v>
      </c>
      <c r="V645" s="6">
        <f>IF(ISERROR(VLOOKUP($S$645,'TAR FIN'!$A$1:$O$120,15,0)),0,VLOOKUP($S$645,'TAR FIN'!$A$1:$O$120,15,0))</f>
        <v>0</v>
      </c>
      <c r="W645" s="6">
        <f>IF(ISERROR(VLOOKUP($T$645,'TAR FIN'!$A$1:$O$120,15,0)),0,VLOOKUP($T$645,'TAR FIN'!$A$1:$O$120,15,0))</f>
        <v>84.45</v>
      </c>
      <c r="X645" s="6">
        <f>IF(ISERROR(VLOOKUP($U$645,'TAR FIN'!$A$1:$O$120,15,0)),0,VLOOKUP($U$645,'TAR FIN'!$A$1:$O$120,15,0))</f>
        <v>256.38</v>
      </c>
      <c r="Y645" s="6"/>
      <c r="Z645" s="6">
        <f ca="1">('TUSD BE'!$AM$34+'TUSD BF'!$AM$34+'TUSD CVA'!$AM$34)*1</f>
        <v>87.519361965254689</v>
      </c>
      <c r="AA645" s="6">
        <f>('TE BE'!$AA$11+'TE BF'!$AA$11+'TE CVA'!$AA$11)*1</f>
        <v>230.83420940933817</v>
      </c>
      <c r="AB645" s="6">
        <f>$K$645*$V$645</f>
        <v>0</v>
      </c>
      <c r="AC645" s="6">
        <f>$M$645*$W$645</f>
        <v>34.793399999999998</v>
      </c>
      <c r="AD645" s="6">
        <f>$O$645*$X$645</f>
        <v>105.62855999999999</v>
      </c>
      <c r="AE645" s="6">
        <f>$K$645*$Y$645</f>
        <v>0</v>
      </c>
      <c r="AF645" s="6">
        <f ca="1">$M$645*$Z$645</f>
        <v>36.057977129684929</v>
      </c>
      <c r="AG645" s="6">
        <f>$O$645*$AA$645</f>
        <v>95.103694276647317</v>
      </c>
    </row>
    <row r="646" spans="1:33" ht="11.25" customHeight="1" x14ac:dyDescent="0.25">
      <c r="A646" s="4" t="s">
        <v>59</v>
      </c>
      <c r="B646" s="4" t="s">
        <v>33</v>
      </c>
      <c r="C646" s="4" t="s">
        <v>34</v>
      </c>
      <c r="D646" s="4" t="s">
        <v>42</v>
      </c>
      <c r="E646" s="4" t="s">
        <v>25</v>
      </c>
      <c r="F646" s="4" t="s">
        <v>25</v>
      </c>
      <c r="G646" s="4" t="s">
        <v>25</v>
      </c>
      <c r="H646" s="4" t="s">
        <v>36</v>
      </c>
      <c r="I646" s="5">
        <v>44075</v>
      </c>
      <c r="J646" s="6">
        <v>0</v>
      </c>
      <c r="K646" s="6">
        <v>0</v>
      </c>
      <c r="L646" s="6">
        <v>352.51299999999998</v>
      </c>
      <c r="M646" s="6">
        <v>352.51299999999998</v>
      </c>
      <c r="N646" s="6">
        <v>352.51299999999998</v>
      </c>
      <c r="O646" s="6">
        <v>352.51299999999998</v>
      </c>
      <c r="P646" s="6">
        <v>0</v>
      </c>
      <c r="Q646" s="4" t="s">
        <v>26</v>
      </c>
      <c r="R646" s="4">
        <v>0</v>
      </c>
      <c r="S646" s="6">
        <v>0</v>
      </c>
      <c r="T646" s="6">
        <v>28</v>
      </c>
      <c r="U646" s="6">
        <v>82</v>
      </c>
      <c r="V646" s="6">
        <f>IF(ISERROR(VLOOKUP($S$646,'TAR FIN'!$A$1:$O$120,15,0)),0,VLOOKUP($S$646,'TAR FIN'!$A$1:$O$120,15,0))</f>
        <v>0</v>
      </c>
      <c r="W646" s="6">
        <f>IF(ISERROR(VLOOKUP($T$646,'TAR FIN'!$A$1:$O$120,15,0)),0,VLOOKUP($T$646,'TAR FIN'!$A$1:$O$120,15,0))</f>
        <v>84.45</v>
      </c>
      <c r="X646" s="6">
        <f>IF(ISERROR(VLOOKUP($U$646,'TAR FIN'!$A$1:$O$120,15,0)),0,VLOOKUP($U$646,'TAR FIN'!$A$1:$O$120,15,0))</f>
        <v>256.38</v>
      </c>
      <c r="Y646" s="6"/>
      <c r="Z646" s="6">
        <f ca="1">('TUSD BE'!$AM$34+'TUSD BF'!$AM$34+'TUSD CVA'!$AM$34)*1</f>
        <v>87.519361965254689</v>
      </c>
      <c r="AA646" s="6">
        <f>('TE BE'!$AA$11+'TE BF'!$AA$11+'TE CVA'!$AA$11)*1</f>
        <v>230.83420940933817</v>
      </c>
      <c r="AB646" s="6">
        <f>$K$646*$V$646</f>
        <v>0</v>
      </c>
      <c r="AC646" s="6">
        <f>$M$646*$W$646</f>
        <v>29769.722849999998</v>
      </c>
      <c r="AD646" s="6">
        <f>$O$646*$X$646</f>
        <v>90377.28293999999</v>
      </c>
      <c r="AE646" s="6">
        <f>$K$646*$Y$646</f>
        <v>0</v>
      </c>
      <c r="AF646" s="6">
        <f ca="1">$M$646*$Z$646</f>
        <v>30851.712844457823</v>
      </c>
      <c r="AG646" s="6">
        <f>$O$646*$AA$646</f>
        <v>81372.059661514024</v>
      </c>
    </row>
    <row r="647" spans="1:33" ht="11.25" customHeight="1" x14ac:dyDescent="0.25">
      <c r="A647" s="4" t="s">
        <v>21</v>
      </c>
      <c r="B647" s="4" t="s">
        <v>33</v>
      </c>
      <c r="C647" s="4" t="s">
        <v>34</v>
      </c>
      <c r="D647" s="4" t="s">
        <v>42</v>
      </c>
      <c r="E647" s="4" t="s">
        <v>25</v>
      </c>
      <c r="F647" s="4" t="s">
        <v>25</v>
      </c>
      <c r="G647" s="4" t="s">
        <v>25</v>
      </c>
      <c r="H647" s="4" t="s">
        <v>25</v>
      </c>
      <c r="I647" s="5">
        <v>43739</v>
      </c>
      <c r="J647" s="6">
        <v>123787</v>
      </c>
      <c r="K647" s="6">
        <v>123787</v>
      </c>
      <c r="L647" s="6">
        <v>0</v>
      </c>
      <c r="M647" s="6">
        <v>0</v>
      </c>
      <c r="N647" s="6">
        <v>0</v>
      </c>
      <c r="O647" s="6">
        <v>0</v>
      </c>
      <c r="P647" s="6">
        <v>911</v>
      </c>
      <c r="Q647" s="4" t="s">
        <v>26</v>
      </c>
      <c r="R647" s="4">
        <v>0</v>
      </c>
      <c r="S647" s="6">
        <v>26</v>
      </c>
      <c r="T647" s="6">
        <v>0</v>
      </c>
      <c r="U647" s="6">
        <v>0</v>
      </c>
      <c r="V647" s="6">
        <f>IF(ISERROR(VLOOKUP($S$647,'TAR FIN'!$A$1:$O$120,15,0)),0,VLOOKUP($S$647,'TAR FIN'!$A$1:$O$120,15,0))</f>
        <v>8.81</v>
      </c>
      <c r="W647" s="6">
        <f>IF(ISERROR(VLOOKUP($T$647,'TAR FIN'!$A$1:$O$120,15,0)),0,VLOOKUP($T$647,'TAR FIN'!$A$1:$O$120,15,0))</f>
        <v>0</v>
      </c>
      <c r="X647" s="6">
        <f>IF(ISERROR(VLOOKUP($U$647,'TAR FIN'!$A$1:$O$120,15,0)),0,VLOOKUP($U$647,'TAR FIN'!$A$1:$O$120,15,0))</f>
        <v>0</v>
      </c>
      <c r="Y647" s="6">
        <f ca="1">('TUSD BE'!$AM$32+'TUSD BF'!$AM$32+'TUSD CVA'!$AM$32)*1</f>
        <v>11.452356648653195</v>
      </c>
      <c r="Z647" s="6"/>
      <c r="AA647" s="6"/>
      <c r="AB647" s="6">
        <f>$K$647*$V$647</f>
        <v>1090563.47</v>
      </c>
      <c r="AC647" s="6">
        <f>$M$647*$W$647</f>
        <v>0</v>
      </c>
      <c r="AD647" s="6">
        <f>$O$647*$X$647</f>
        <v>0</v>
      </c>
      <c r="AE647" s="6">
        <f ca="1">$K$647*$Y$647</f>
        <v>1417652.8724668331</v>
      </c>
      <c r="AF647" s="6">
        <f>$M$647*$Z$647</f>
        <v>0</v>
      </c>
      <c r="AG647" s="6">
        <f>$O$647*$AA$647</f>
        <v>0</v>
      </c>
    </row>
    <row r="648" spans="1:33" ht="11.25" customHeight="1" x14ac:dyDescent="0.25">
      <c r="A648" s="4" t="s">
        <v>27</v>
      </c>
      <c r="B648" s="4" t="s">
        <v>33</v>
      </c>
      <c r="C648" s="4" t="s">
        <v>34</v>
      </c>
      <c r="D648" s="4" t="s">
        <v>42</v>
      </c>
      <c r="E648" s="4" t="s">
        <v>25</v>
      </c>
      <c r="F648" s="4" t="s">
        <v>25</v>
      </c>
      <c r="G648" s="4" t="s">
        <v>25</v>
      </c>
      <c r="H648" s="4" t="s">
        <v>25</v>
      </c>
      <c r="I648" s="5">
        <v>43739</v>
      </c>
      <c r="J648" s="6">
        <v>274</v>
      </c>
      <c r="K648" s="6">
        <v>274</v>
      </c>
      <c r="L648" s="6">
        <v>0</v>
      </c>
      <c r="M648" s="6">
        <v>0</v>
      </c>
      <c r="N648" s="6">
        <v>0</v>
      </c>
      <c r="O648" s="6">
        <v>0</v>
      </c>
      <c r="P648" s="6">
        <v>2</v>
      </c>
      <c r="Q648" s="4" t="s">
        <v>26</v>
      </c>
      <c r="R648" s="4">
        <v>0</v>
      </c>
      <c r="S648" s="6">
        <v>26</v>
      </c>
      <c r="T648" s="6">
        <v>0</v>
      </c>
      <c r="U648" s="6">
        <v>0</v>
      </c>
      <c r="V648" s="6">
        <f>IF(ISERROR(VLOOKUP($S$648,'TAR FIN'!$A$1:$O$120,15,0)),0,VLOOKUP($S$648,'TAR FIN'!$A$1:$O$120,15,0))</f>
        <v>8.81</v>
      </c>
      <c r="W648" s="6">
        <f>IF(ISERROR(VLOOKUP($T$648,'TAR FIN'!$A$1:$O$120,15,0)),0,VLOOKUP($T$648,'TAR FIN'!$A$1:$O$120,15,0))</f>
        <v>0</v>
      </c>
      <c r="X648" s="6">
        <f>IF(ISERROR(VLOOKUP($U$648,'TAR FIN'!$A$1:$O$120,15,0)),0,VLOOKUP($U$648,'TAR FIN'!$A$1:$O$120,15,0))</f>
        <v>0</v>
      </c>
      <c r="Y648" s="6">
        <f ca="1">('TUSD BE'!$AM$32+'TUSD BF'!$AM$32+'TUSD CVA'!$AM$32)*1</f>
        <v>11.452356648653195</v>
      </c>
      <c r="Z648" s="6"/>
      <c r="AA648" s="6"/>
      <c r="AB648" s="6">
        <f>$K$648*$V$648</f>
        <v>2413.94</v>
      </c>
      <c r="AC648" s="6">
        <f>$M$648*$W$648</f>
        <v>0</v>
      </c>
      <c r="AD648" s="6">
        <f>$O$648*$X$648</f>
        <v>0</v>
      </c>
      <c r="AE648" s="6">
        <f ca="1">$K$648*$Y$648</f>
        <v>3137.9457217309755</v>
      </c>
      <c r="AF648" s="6">
        <f>$M$648*$Z$648</f>
        <v>0</v>
      </c>
      <c r="AG648" s="6">
        <f>$O$648*$AA$648</f>
        <v>0</v>
      </c>
    </row>
    <row r="649" spans="1:33" ht="11.25" customHeight="1" x14ac:dyDescent="0.25">
      <c r="A649" s="4" t="s">
        <v>28</v>
      </c>
      <c r="B649" s="4" t="s">
        <v>33</v>
      </c>
      <c r="C649" s="4" t="s">
        <v>34</v>
      </c>
      <c r="D649" s="4" t="s">
        <v>42</v>
      </c>
      <c r="E649" s="4" t="s">
        <v>25</v>
      </c>
      <c r="F649" s="4" t="s">
        <v>25</v>
      </c>
      <c r="G649" s="4" t="s">
        <v>25</v>
      </c>
      <c r="H649" s="4" t="s">
        <v>25</v>
      </c>
      <c r="I649" s="5">
        <v>43739</v>
      </c>
      <c r="J649" s="6">
        <v>11024</v>
      </c>
      <c r="K649" s="6">
        <v>11024</v>
      </c>
      <c r="L649" s="6">
        <v>0</v>
      </c>
      <c r="M649" s="6">
        <v>0</v>
      </c>
      <c r="N649" s="6">
        <v>0</v>
      </c>
      <c r="O649" s="6">
        <v>0</v>
      </c>
      <c r="P649" s="6">
        <v>43</v>
      </c>
      <c r="Q649" s="4" t="s">
        <v>26</v>
      </c>
      <c r="R649" s="4">
        <v>0</v>
      </c>
      <c r="S649" s="6">
        <v>26</v>
      </c>
      <c r="T649" s="6">
        <v>0</v>
      </c>
      <c r="U649" s="6">
        <v>0</v>
      </c>
      <c r="V649" s="6">
        <f>IF(ISERROR(VLOOKUP($S$649,'TAR FIN'!$A$1:$O$120,15,0)),0,VLOOKUP($S$649,'TAR FIN'!$A$1:$O$120,15,0))</f>
        <v>8.81</v>
      </c>
      <c r="W649" s="6">
        <f>IF(ISERROR(VLOOKUP($T$649,'TAR FIN'!$A$1:$O$120,15,0)),0,VLOOKUP($T$649,'TAR FIN'!$A$1:$O$120,15,0))</f>
        <v>0</v>
      </c>
      <c r="X649" s="6">
        <f>IF(ISERROR(VLOOKUP($U$649,'TAR FIN'!$A$1:$O$120,15,0)),0,VLOOKUP($U$649,'TAR FIN'!$A$1:$O$120,15,0))</f>
        <v>0</v>
      </c>
      <c r="Y649" s="6">
        <f ca="1">('TUSD BE'!$AM$32+'TUSD BF'!$AM$32+'TUSD CVA'!$AM$32)*1</f>
        <v>11.452356648653195</v>
      </c>
      <c r="Z649" s="6"/>
      <c r="AA649" s="6"/>
      <c r="AB649" s="6">
        <f>$K$649*$V$649</f>
        <v>97121.44</v>
      </c>
      <c r="AC649" s="6">
        <f>$M$649*$W$649</f>
        <v>0</v>
      </c>
      <c r="AD649" s="6">
        <f>$O$649*$X$649</f>
        <v>0</v>
      </c>
      <c r="AE649" s="6">
        <f ca="1">$K$649*$Y$649</f>
        <v>126250.77969475283</v>
      </c>
      <c r="AF649" s="6">
        <f>$M$649*$Z$649</f>
        <v>0</v>
      </c>
      <c r="AG649" s="6">
        <f>$O$649*$AA$649</f>
        <v>0</v>
      </c>
    </row>
    <row r="650" spans="1:33" ht="11.25" customHeight="1" x14ac:dyDescent="0.25">
      <c r="A650" s="4" t="s">
        <v>21</v>
      </c>
      <c r="B650" s="4" t="s">
        <v>33</v>
      </c>
      <c r="C650" s="4" t="s">
        <v>34</v>
      </c>
      <c r="D650" s="4" t="s">
        <v>42</v>
      </c>
      <c r="E650" s="4" t="s">
        <v>25</v>
      </c>
      <c r="F650" s="4" t="s">
        <v>25</v>
      </c>
      <c r="G650" s="4" t="s">
        <v>25</v>
      </c>
      <c r="H650" s="4" t="s">
        <v>25</v>
      </c>
      <c r="I650" s="5">
        <v>43770</v>
      </c>
      <c r="J650" s="6">
        <v>124583</v>
      </c>
      <c r="K650" s="6">
        <v>124583</v>
      </c>
      <c r="L650" s="6">
        <v>0</v>
      </c>
      <c r="M650" s="6">
        <v>0</v>
      </c>
      <c r="N650" s="6">
        <v>0</v>
      </c>
      <c r="O650" s="6">
        <v>0</v>
      </c>
      <c r="P650" s="6">
        <v>908</v>
      </c>
      <c r="Q650" s="4" t="s">
        <v>26</v>
      </c>
      <c r="R650" s="4">
        <v>0</v>
      </c>
      <c r="S650" s="6">
        <v>26</v>
      </c>
      <c r="T650" s="6">
        <v>0</v>
      </c>
      <c r="U650" s="6">
        <v>0</v>
      </c>
      <c r="V650" s="6">
        <f>IF(ISERROR(VLOOKUP($S$650,'TAR FIN'!$A$1:$O$120,15,0)),0,VLOOKUP($S$650,'TAR FIN'!$A$1:$O$120,15,0))</f>
        <v>8.81</v>
      </c>
      <c r="W650" s="6">
        <f>IF(ISERROR(VLOOKUP($T$650,'TAR FIN'!$A$1:$O$120,15,0)),0,VLOOKUP($T$650,'TAR FIN'!$A$1:$O$120,15,0))</f>
        <v>0</v>
      </c>
      <c r="X650" s="6">
        <f>IF(ISERROR(VLOOKUP($U$650,'TAR FIN'!$A$1:$O$120,15,0)),0,VLOOKUP($U$650,'TAR FIN'!$A$1:$O$120,15,0))</f>
        <v>0</v>
      </c>
      <c r="Y650" s="6">
        <f ca="1">('TUSD BE'!$AM$32+'TUSD BF'!$AM$32+'TUSD CVA'!$AM$32)*1</f>
        <v>11.452356648653195</v>
      </c>
      <c r="Z650" s="6"/>
      <c r="AA650" s="6"/>
      <c r="AB650" s="6">
        <f>$K$650*$V$650</f>
        <v>1097576.23</v>
      </c>
      <c r="AC650" s="6">
        <f>$M$650*$W$650</f>
        <v>0</v>
      </c>
      <c r="AD650" s="6">
        <f>$O$650*$X$650</f>
        <v>0</v>
      </c>
      <c r="AE650" s="6">
        <f ca="1">$K$650*$Y$650</f>
        <v>1426768.9483591609</v>
      </c>
      <c r="AF650" s="6">
        <f>$M$650*$Z$650</f>
        <v>0</v>
      </c>
      <c r="AG650" s="6">
        <f>$O$650*$AA$650</f>
        <v>0</v>
      </c>
    </row>
    <row r="651" spans="1:33" ht="11.25" customHeight="1" x14ac:dyDescent="0.25">
      <c r="A651" s="4" t="s">
        <v>27</v>
      </c>
      <c r="B651" s="4" t="s">
        <v>33</v>
      </c>
      <c r="C651" s="4" t="s">
        <v>34</v>
      </c>
      <c r="D651" s="4" t="s">
        <v>42</v>
      </c>
      <c r="E651" s="4" t="s">
        <v>25</v>
      </c>
      <c r="F651" s="4" t="s">
        <v>25</v>
      </c>
      <c r="G651" s="4" t="s">
        <v>25</v>
      </c>
      <c r="H651" s="4" t="s">
        <v>25</v>
      </c>
      <c r="I651" s="5">
        <v>43770</v>
      </c>
      <c r="J651" s="6">
        <v>80</v>
      </c>
      <c r="K651" s="6">
        <v>80</v>
      </c>
      <c r="L651" s="6">
        <v>0</v>
      </c>
      <c r="M651" s="6">
        <v>0</v>
      </c>
      <c r="N651" s="6">
        <v>0</v>
      </c>
      <c r="O651" s="6">
        <v>0</v>
      </c>
      <c r="P651" s="6">
        <v>1</v>
      </c>
      <c r="Q651" s="4" t="s">
        <v>26</v>
      </c>
      <c r="R651" s="4">
        <v>0</v>
      </c>
      <c r="S651" s="6">
        <v>26</v>
      </c>
      <c r="T651" s="6">
        <v>0</v>
      </c>
      <c r="U651" s="6">
        <v>0</v>
      </c>
      <c r="V651" s="6">
        <f>IF(ISERROR(VLOOKUP($S$651,'TAR FIN'!$A$1:$O$120,15,0)),0,VLOOKUP($S$651,'TAR FIN'!$A$1:$O$120,15,0))</f>
        <v>8.81</v>
      </c>
      <c r="W651" s="6">
        <f>IF(ISERROR(VLOOKUP($T$651,'TAR FIN'!$A$1:$O$120,15,0)),0,VLOOKUP($T$651,'TAR FIN'!$A$1:$O$120,15,0))</f>
        <v>0</v>
      </c>
      <c r="X651" s="6">
        <f>IF(ISERROR(VLOOKUP($U$651,'TAR FIN'!$A$1:$O$120,15,0)),0,VLOOKUP($U$651,'TAR FIN'!$A$1:$O$120,15,0))</f>
        <v>0</v>
      </c>
      <c r="Y651" s="6">
        <f ca="1">('TUSD BE'!$AM$32+'TUSD BF'!$AM$32+'TUSD CVA'!$AM$32)*1</f>
        <v>11.452356648653195</v>
      </c>
      <c r="Z651" s="6"/>
      <c r="AA651" s="6"/>
      <c r="AB651" s="6">
        <f>$K$651*$V$651</f>
        <v>704.80000000000007</v>
      </c>
      <c r="AC651" s="6">
        <f>$M$651*$W$651</f>
        <v>0</v>
      </c>
      <c r="AD651" s="6">
        <f>$O$651*$X$651</f>
        <v>0</v>
      </c>
      <c r="AE651" s="6">
        <f ca="1">$K$651*$Y$651</f>
        <v>916.18853189225558</v>
      </c>
      <c r="AF651" s="6">
        <f>$M$651*$Z$651</f>
        <v>0</v>
      </c>
      <c r="AG651" s="6">
        <f>$O$651*$AA$651</f>
        <v>0</v>
      </c>
    </row>
    <row r="652" spans="1:33" ht="11.25" customHeight="1" x14ac:dyDescent="0.25">
      <c r="A652" s="4" t="s">
        <v>28</v>
      </c>
      <c r="B652" s="4" t="s">
        <v>33</v>
      </c>
      <c r="C652" s="4" t="s">
        <v>34</v>
      </c>
      <c r="D652" s="4" t="s">
        <v>42</v>
      </c>
      <c r="E652" s="4" t="s">
        <v>25</v>
      </c>
      <c r="F652" s="4" t="s">
        <v>25</v>
      </c>
      <c r="G652" s="4" t="s">
        <v>25</v>
      </c>
      <c r="H652" s="4" t="s">
        <v>25</v>
      </c>
      <c r="I652" s="5">
        <v>43770</v>
      </c>
      <c r="J652" s="6">
        <v>11024</v>
      </c>
      <c r="K652" s="6">
        <v>11024</v>
      </c>
      <c r="L652" s="6">
        <v>0</v>
      </c>
      <c r="M652" s="6">
        <v>0</v>
      </c>
      <c r="N652" s="6">
        <v>0</v>
      </c>
      <c r="O652" s="6">
        <v>0</v>
      </c>
      <c r="P652" s="6">
        <v>43</v>
      </c>
      <c r="Q652" s="4" t="s">
        <v>26</v>
      </c>
      <c r="R652" s="4">
        <v>0</v>
      </c>
      <c r="S652" s="6">
        <v>26</v>
      </c>
      <c r="T652" s="6">
        <v>0</v>
      </c>
      <c r="U652" s="6">
        <v>0</v>
      </c>
      <c r="V652" s="6">
        <f>IF(ISERROR(VLOOKUP($S$652,'TAR FIN'!$A$1:$O$120,15,0)),0,VLOOKUP($S$652,'TAR FIN'!$A$1:$O$120,15,0))</f>
        <v>8.81</v>
      </c>
      <c r="W652" s="6">
        <f>IF(ISERROR(VLOOKUP($T$652,'TAR FIN'!$A$1:$O$120,15,0)),0,VLOOKUP($T$652,'TAR FIN'!$A$1:$O$120,15,0))</f>
        <v>0</v>
      </c>
      <c r="X652" s="6">
        <f>IF(ISERROR(VLOOKUP($U$652,'TAR FIN'!$A$1:$O$120,15,0)),0,VLOOKUP($U$652,'TAR FIN'!$A$1:$O$120,15,0))</f>
        <v>0</v>
      </c>
      <c r="Y652" s="6">
        <f ca="1">('TUSD BE'!$AM$32+'TUSD BF'!$AM$32+'TUSD CVA'!$AM$32)*1</f>
        <v>11.452356648653195</v>
      </c>
      <c r="Z652" s="6"/>
      <c r="AA652" s="6"/>
      <c r="AB652" s="6">
        <f>$K$652*$V$652</f>
        <v>97121.44</v>
      </c>
      <c r="AC652" s="6">
        <f>$M$652*$W$652</f>
        <v>0</v>
      </c>
      <c r="AD652" s="6">
        <f>$O$652*$X$652</f>
        <v>0</v>
      </c>
      <c r="AE652" s="6">
        <f ca="1">$K$652*$Y$652</f>
        <v>126250.77969475283</v>
      </c>
      <c r="AF652" s="6">
        <f>$M$652*$Z$652</f>
        <v>0</v>
      </c>
      <c r="AG652" s="6">
        <f>$O$652*$AA$652</f>
        <v>0</v>
      </c>
    </row>
    <row r="653" spans="1:33" ht="11.25" customHeight="1" x14ac:dyDescent="0.25">
      <c r="A653" s="4" t="s">
        <v>21</v>
      </c>
      <c r="B653" s="4" t="s">
        <v>33</v>
      </c>
      <c r="C653" s="4" t="s">
        <v>34</v>
      </c>
      <c r="D653" s="4" t="s">
        <v>42</v>
      </c>
      <c r="E653" s="4" t="s">
        <v>25</v>
      </c>
      <c r="F653" s="4" t="s">
        <v>25</v>
      </c>
      <c r="G653" s="4" t="s">
        <v>25</v>
      </c>
      <c r="H653" s="4" t="s">
        <v>25</v>
      </c>
      <c r="I653" s="5">
        <v>43800</v>
      </c>
      <c r="J653" s="6">
        <v>122024</v>
      </c>
      <c r="K653" s="6">
        <v>122024</v>
      </c>
      <c r="L653" s="6">
        <v>0</v>
      </c>
      <c r="M653" s="6">
        <v>0</v>
      </c>
      <c r="N653" s="6">
        <v>0</v>
      </c>
      <c r="O653" s="6">
        <v>0</v>
      </c>
      <c r="P653" s="6">
        <v>902</v>
      </c>
      <c r="Q653" s="4" t="s">
        <v>26</v>
      </c>
      <c r="R653" s="4">
        <v>0</v>
      </c>
      <c r="S653" s="6">
        <v>26</v>
      </c>
      <c r="T653" s="6">
        <v>0</v>
      </c>
      <c r="U653" s="6">
        <v>0</v>
      </c>
      <c r="V653" s="6">
        <f>IF(ISERROR(VLOOKUP($S$653,'TAR FIN'!$A$1:$O$120,15,0)),0,VLOOKUP($S$653,'TAR FIN'!$A$1:$O$120,15,0))</f>
        <v>8.81</v>
      </c>
      <c r="W653" s="6">
        <f>IF(ISERROR(VLOOKUP($T$653,'TAR FIN'!$A$1:$O$120,15,0)),0,VLOOKUP($T$653,'TAR FIN'!$A$1:$O$120,15,0))</f>
        <v>0</v>
      </c>
      <c r="X653" s="6">
        <f>IF(ISERROR(VLOOKUP($U$653,'TAR FIN'!$A$1:$O$120,15,0)),0,VLOOKUP($U$653,'TAR FIN'!$A$1:$O$120,15,0))</f>
        <v>0</v>
      </c>
      <c r="Y653" s="6">
        <f ca="1">('TUSD BE'!$AM$32+'TUSD BF'!$AM$32+'TUSD CVA'!$AM$32)*1</f>
        <v>11.452356648653195</v>
      </c>
      <c r="Z653" s="6"/>
      <c r="AA653" s="6"/>
      <c r="AB653" s="6">
        <f>$K$653*$V$653</f>
        <v>1075031.4400000002</v>
      </c>
      <c r="AC653" s="6">
        <f>$M$653*$W$653</f>
        <v>0</v>
      </c>
      <c r="AD653" s="6">
        <f>$O$653*$X$653</f>
        <v>0</v>
      </c>
      <c r="AE653" s="6">
        <f ca="1">$K$653*$Y$653</f>
        <v>1397462.3676952575</v>
      </c>
      <c r="AF653" s="6">
        <f>$M$653*$Z$653</f>
        <v>0</v>
      </c>
      <c r="AG653" s="6">
        <f>$O$653*$AA$653</f>
        <v>0</v>
      </c>
    </row>
    <row r="654" spans="1:33" ht="11.25" customHeight="1" x14ac:dyDescent="0.25">
      <c r="A654" s="4" t="s">
        <v>27</v>
      </c>
      <c r="B654" s="4" t="s">
        <v>33</v>
      </c>
      <c r="C654" s="4" t="s">
        <v>34</v>
      </c>
      <c r="D654" s="4" t="s">
        <v>42</v>
      </c>
      <c r="E654" s="4" t="s">
        <v>25</v>
      </c>
      <c r="F654" s="4" t="s">
        <v>25</v>
      </c>
      <c r="G654" s="4" t="s">
        <v>25</v>
      </c>
      <c r="H654" s="4" t="s">
        <v>25</v>
      </c>
      <c r="I654" s="5">
        <v>43800</v>
      </c>
      <c r="J654" s="6">
        <v>230</v>
      </c>
      <c r="K654" s="6">
        <v>230</v>
      </c>
      <c r="L654" s="6">
        <v>0</v>
      </c>
      <c r="M654" s="6">
        <v>0</v>
      </c>
      <c r="N654" s="6">
        <v>0</v>
      </c>
      <c r="O654" s="6">
        <v>0</v>
      </c>
      <c r="P654" s="6">
        <v>2</v>
      </c>
      <c r="Q654" s="4" t="s">
        <v>26</v>
      </c>
      <c r="R654" s="4">
        <v>0</v>
      </c>
      <c r="S654" s="6">
        <v>26</v>
      </c>
      <c r="T654" s="6">
        <v>0</v>
      </c>
      <c r="U654" s="6">
        <v>0</v>
      </c>
      <c r="V654" s="6">
        <f>IF(ISERROR(VLOOKUP($S$654,'TAR FIN'!$A$1:$O$120,15,0)),0,VLOOKUP($S$654,'TAR FIN'!$A$1:$O$120,15,0))</f>
        <v>8.81</v>
      </c>
      <c r="W654" s="6">
        <f>IF(ISERROR(VLOOKUP($T$654,'TAR FIN'!$A$1:$O$120,15,0)),0,VLOOKUP($T$654,'TAR FIN'!$A$1:$O$120,15,0))</f>
        <v>0</v>
      </c>
      <c r="X654" s="6">
        <f>IF(ISERROR(VLOOKUP($U$654,'TAR FIN'!$A$1:$O$120,15,0)),0,VLOOKUP($U$654,'TAR FIN'!$A$1:$O$120,15,0))</f>
        <v>0</v>
      </c>
      <c r="Y654" s="6">
        <f ca="1">('TUSD BE'!$AM$32+'TUSD BF'!$AM$32+'TUSD CVA'!$AM$32)*1</f>
        <v>11.452356648653195</v>
      </c>
      <c r="Z654" s="6"/>
      <c r="AA654" s="6"/>
      <c r="AB654" s="6">
        <f>$K$654*$V$654</f>
        <v>2026.3000000000002</v>
      </c>
      <c r="AC654" s="6">
        <f>$M$654*$W$654</f>
        <v>0</v>
      </c>
      <c r="AD654" s="6">
        <f>$O$654*$X$654</f>
        <v>0</v>
      </c>
      <c r="AE654" s="6">
        <f ca="1">$K$654*$Y$654</f>
        <v>2634.0420291902351</v>
      </c>
      <c r="AF654" s="6">
        <f>$M$654*$Z$654</f>
        <v>0</v>
      </c>
      <c r="AG654" s="6">
        <f>$O$654*$AA$654</f>
        <v>0</v>
      </c>
    </row>
    <row r="655" spans="1:33" ht="11.25" customHeight="1" x14ac:dyDescent="0.25">
      <c r="A655" s="4" t="s">
        <v>28</v>
      </c>
      <c r="B655" s="4" t="s">
        <v>33</v>
      </c>
      <c r="C655" s="4" t="s">
        <v>34</v>
      </c>
      <c r="D655" s="4" t="s">
        <v>42</v>
      </c>
      <c r="E655" s="4" t="s">
        <v>25</v>
      </c>
      <c r="F655" s="4" t="s">
        <v>25</v>
      </c>
      <c r="G655" s="4" t="s">
        <v>25</v>
      </c>
      <c r="H655" s="4" t="s">
        <v>25</v>
      </c>
      <c r="I655" s="5">
        <v>43800</v>
      </c>
      <c r="J655" s="6">
        <v>11604</v>
      </c>
      <c r="K655" s="6">
        <v>11604</v>
      </c>
      <c r="L655" s="6">
        <v>0</v>
      </c>
      <c r="M655" s="6">
        <v>0</v>
      </c>
      <c r="N655" s="6">
        <v>0</v>
      </c>
      <c r="O655" s="6">
        <v>0</v>
      </c>
      <c r="P655" s="6">
        <v>46</v>
      </c>
      <c r="Q655" s="4" t="s">
        <v>26</v>
      </c>
      <c r="R655" s="4">
        <v>0</v>
      </c>
      <c r="S655" s="6">
        <v>26</v>
      </c>
      <c r="T655" s="6">
        <v>0</v>
      </c>
      <c r="U655" s="6">
        <v>0</v>
      </c>
      <c r="V655" s="6">
        <f>IF(ISERROR(VLOOKUP($S$655,'TAR FIN'!$A$1:$O$120,15,0)),0,VLOOKUP($S$655,'TAR FIN'!$A$1:$O$120,15,0))</f>
        <v>8.81</v>
      </c>
      <c r="W655" s="6">
        <f>IF(ISERROR(VLOOKUP($T$655,'TAR FIN'!$A$1:$O$120,15,0)),0,VLOOKUP($T$655,'TAR FIN'!$A$1:$O$120,15,0))</f>
        <v>0</v>
      </c>
      <c r="X655" s="6">
        <f>IF(ISERROR(VLOOKUP($U$655,'TAR FIN'!$A$1:$O$120,15,0)),0,VLOOKUP($U$655,'TAR FIN'!$A$1:$O$120,15,0))</f>
        <v>0</v>
      </c>
      <c r="Y655" s="6">
        <f ca="1">('TUSD BE'!$AM$32+'TUSD BF'!$AM$32+'TUSD CVA'!$AM$32)*1</f>
        <v>11.452356648653195</v>
      </c>
      <c r="Z655" s="6"/>
      <c r="AA655" s="6"/>
      <c r="AB655" s="6">
        <f>$K$655*$V$655</f>
        <v>102231.24</v>
      </c>
      <c r="AC655" s="6">
        <f>$M$655*$W$655</f>
        <v>0</v>
      </c>
      <c r="AD655" s="6">
        <f>$O$655*$X$655</f>
        <v>0</v>
      </c>
      <c r="AE655" s="6">
        <f ca="1">$K$655*$Y$655</f>
        <v>132893.14655097167</v>
      </c>
      <c r="AF655" s="6">
        <f>$M$655*$Z$655</f>
        <v>0</v>
      </c>
      <c r="AG655" s="6">
        <f>$O$655*$AA$655</f>
        <v>0</v>
      </c>
    </row>
    <row r="656" spans="1:33" ht="11.25" customHeight="1" x14ac:dyDescent="0.25">
      <c r="A656" s="4" t="s">
        <v>21</v>
      </c>
      <c r="B656" s="4" t="s">
        <v>33</v>
      </c>
      <c r="C656" s="4" t="s">
        <v>34</v>
      </c>
      <c r="D656" s="4" t="s">
        <v>42</v>
      </c>
      <c r="E656" s="4" t="s">
        <v>25</v>
      </c>
      <c r="F656" s="4" t="s">
        <v>25</v>
      </c>
      <c r="G656" s="4" t="s">
        <v>25</v>
      </c>
      <c r="H656" s="4" t="s">
        <v>25</v>
      </c>
      <c r="I656" s="5">
        <v>43831</v>
      </c>
      <c r="J656" s="6">
        <v>120702</v>
      </c>
      <c r="K656" s="6">
        <v>120702</v>
      </c>
      <c r="L656" s="6">
        <v>0</v>
      </c>
      <c r="M656" s="6">
        <v>0</v>
      </c>
      <c r="N656" s="6">
        <v>0</v>
      </c>
      <c r="O656" s="6">
        <v>0</v>
      </c>
      <c r="P656" s="6">
        <v>901</v>
      </c>
      <c r="Q656" s="4" t="s">
        <v>26</v>
      </c>
      <c r="R656" s="4">
        <v>0</v>
      </c>
      <c r="S656" s="6">
        <v>26</v>
      </c>
      <c r="T656" s="6">
        <v>0</v>
      </c>
      <c r="U656" s="6">
        <v>0</v>
      </c>
      <c r="V656" s="6">
        <f>IF(ISERROR(VLOOKUP($S$656,'TAR FIN'!$A$1:$O$120,15,0)),0,VLOOKUP($S$656,'TAR FIN'!$A$1:$O$120,15,0))</f>
        <v>8.81</v>
      </c>
      <c r="W656" s="6">
        <f>IF(ISERROR(VLOOKUP($T$656,'TAR FIN'!$A$1:$O$120,15,0)),0,VLOOKUP($T$656,'TAR FIN'!$A$1:$O$120,15,0))</f>
        <v>0</v>
      </c>
      <c r="X656" s="6">
        <f>IF(ISERROR(VLOOKUP($U$656,'TAR FIN'!$A$1:$O$120,15,0)),0,VLOOKUP($U$656,'TAR FIN'!$A$1:$O$120,15,0))</f>
        <v>0</v>
      </c>
      <c r="Y656" s="6">
        <f ca="1">('TUSD BE'!$AM$32+'TUSD BF'!$AM$32+'TUSD CVA'!$AM$32)*1</f>
        <v>11.452356648653195</v>
      </c>
      <c r="Z656" s="6"/>
      <c r="AA656" s="6"/>
      <c r="AB656" s="6">
        <f>$K$656*$V$656</f>
        <v>1063384.6200000001</v>
      </c>
      <c r="AC656" s="6">
        <f>$M$656*$W$656</f>
        <v>0</v>
      </c>
      <c r="AD656" s="6">
        <f>$O$656*$X$656</f>
        <v>0</v>
      </c>
      <c r="AE656" s="6">
        <f ca="1">$K$656*$Y$656</f>
        <v>1382322.352205738</v>
      </c>
      <c r="AF656" s="6">
        <f>$M$656*$Z$656</f>
        <v>0</v>
      </c>
      <c r="AG656" s="6">
        <f>$O$656*$AA$656</f>
        <v>0</v>
      </c>
    </row>
    <row r="657" spans="1:33" ht="11.25" customHeight="1" x14ac:dyDescent="0.25">
      <c r="A657" s="4" t="s">
        <v>27</v>
      </c>
      <c r="B657" s="4" t="s">
        <v>33</v>
      </c>
      <c r="C657" s="4" t="s">
        <v>34</v>
      </c>
      <c r="D657" s="4" t="s">
        <v>42</v>
      </c>
      <c r="E657" s="4" t="s">
        <v>25</v>
      </c>
      <c r="F657" s="4" t="s">
        <v>25</v>
      </c>
      <c r="G657" s="4" t="s">
        <v>25</v>
      </c>
      <c r="H657" s="4" t="s">
        <v>25</v>
      </c>
      <c r="I657" s="5">
        <v>43831</v>
      </c>
      <c r="J657" s="6">
        <v>266</v>
      </c>
      <c r="K657" s="6">
        <v>266</v>
      </c>
      <c r="L657" s="6">
        <v>0</v>
      </c>
      <c r="M657" s="6">
        <v>0</v>
      </c>
      <c r="N657" s="6">
        <v>0</v>
      </c>
      <c r="O657" s="6">
        <v>0</v>
      </c>
      <c r="P657" s="6">
        <v>3</v>
      </c>
      <c r="Q657" s="4" t="s">
        <v>26</v>
      </c>
      <c r="R657" s="4">
        <v>0</v>
      </c>
      <c r="S657" s="6">
        <v>26</v>
      </c>
      <c r="T657" s="6">
        <v>0</v>
      </c>
      <c r="U657" s="6">
        <v>0</v>
      </c>
      <c r="V657" s="6">
        <f>IF(ISERROR(VLOOKUP($S$657,'TAR FIN'!$A$1:$O$120,15,0)),0,VLOOKUP($S$657,'TAR FIN'!$A$1:$O$120,15,0))</f>
        <v>8.81</v>
      </c>
      <c r="W657" s="6">
        <f>IF(ISERROR(VLOOKUP($T$657,'TAR FIN'!$A$1:$O$120,15,0)),0,VLOOKUP($T$657,'TAR FIN'!$A$1:$O$120,15,0))</f>
        <v>0</v>
      </c>
      <c r="X657" s="6">
        <f>IF(ISERROR(VLOOKUP($U$657,'TAR FIN'!$A$1:$O$120,15,0)),0,VLOOKUP($U$657,'TAR FIN'!$A$1:$O$120,15,0))</f>
        <v>0</v>
      </c>
      <c r="Y657" s="6">
        <f ca="1">('TUSD BE'!$AM$32+'TUSD BF'!$AM$32+'TUSD CVA'!$AM$32)*1</f>
        <v>11.452356648653195</v>
      </c>
      <c r="Z657" s="6"/>
      <c r="AA657" s="6"/>
      <c r="AB657" s="6">
        <f>$K$657*$V$657</f>
        <v>2343.46</v>
      </c>
      <c r="AC657" s="6">
        <f>$M$657*$W$657</f>
        <v>0</v>
      </c>
      <c r="AD657" s="6">
        <f>$O$657*$X$657</f>
        <v>0</v>
      </c>
      <c r="AE657" s="6">
        <f ca="1">$K$657*$Y$657</f>
        <v>3046.3268685417497</v>
      </c>
      <c r="AF657" s="6">
        <f>$M$657*$Z$657</f>
        <v>0</v>
      </c>
      <c r="AG657" s="6">
        <f>$O$657*$AA$657</f>
        <v>0</v>
      </c>
    </row>
    <row r="658" spans="1:33" ht="11.25" customHeight="1" x14ac:dyDescent="0.25">
      <c r="A658" s="4" t="s">
        <v>28</v>
      </c>
      <c r="B658" s="4" t="s">
        <v>33</v>
      </c>
      <c r="C658" s="4" t="s">
        <v>34</v>
      </c>
      <c r="D658" s="4" t="s">
        <v>42</v>
      </c>
      <c r="E658" s="4" t="s">
        <v>25</v>
      </c>
      <c r="F658" s="4" t="s">
        <v>25</v>
      </c>
      <c r="G658" s="4" t="s">
        <v>25</v>
      </c>
      <c r="H658" s="4" t="s">
        <v>25</v>
      </c>
      <c r="I658" s="5">
        <v>43831</v>
      </c>
      <c r="J658" s="6">
        <v>11654</v>
      </c>
      <c r="K658" s="6">
        <v>11654</v>
      </c>
      <c r="L658" s="6">
        <v>0</v>
      </c>
      <c r="M658" s="6">
        <v>0</v>
      </c>
      <c r="N658" s="6">
        <v>0</v>
      </c>
      <c r="O658" s="6">
        <v>0</v>
      </c>
      <c r="P658" s="6">
        <v>46</v>
      </c>
      <c r="Q658" s="4" t="s">
        <v>26</v>
      </c>
      <c r="R658" s="4">
        <v>0</v>
      </c>
      <c r="S658" s="6">
        <v>26</v>
      </c>
      <c r="T658" s="6">
        <v>0</v>
      </c>
      <c r="U658" s="6">
        <v>0</v>
      </c>
      <c r="V658" s="6">
        <f>IF(ISERROR(VLOOKUP($S$658,'TAR FIN'!$A$1:$O$120,15,0)),0,VLOOKUP($S$658,'TAR FIN'!$A$1:$O$120,15,0))</f>
        <v>8.81</v>
      </c>
      <c r="W658" s="6">
        <f>IF(ISERROR(VLOOKUP($T$658,'TAR FIN'!$A$1:$O$120,15,0)),0,VLOOKUP($T$658,'TAR FIN'!$A$1:$O$120,15,0))</f>
        <v>0</v>
      </c>
      <c r="X658" s="6">
        <f>IF(ISERROR(VLOOKUP($U$658,'TAR FIN'!$A$1:$O$120,15,0)),0,VLOOKUP($U$658,'TAR FIN'!$A$1:$O$120,15,0))</f>
        <v>0</v>
      </c>
      <c r="Y658" s="6">
        <f ca="1">('TUSD BE'!$AM$32+'TUSD BF'!$AM$32+'TUSD CVA'!$AM$32)*1</f>
        <v>11.452356648653195</v>
      </c>
      <c r="Z658" s="6"/>
      <c r="AA658" s="6"/>
      <c r="AB658" s="6">
        <f>$K$658*$V$658</f>
        <v>102671.74</v>
      </c>
      <c r="AC658" s="6">
        <f>$M$658*$W$658</f>
        <v>0</v>
      </c>
      <c r="AD658" s="6">
        <f>$O$658*$X$658</f>
        <v>0</v>
      </c>
      <c r="AE658" s="6">
        <f ca="1">$K$658*$Y$658</f>
        <v>133465.76438340434</v>
      </c>
      <c r="AF658" s="6">
        <f>$M$658*$Z$658</f>
        <v>0</v>
      </c>
      <c r="AG658" s="6">
        <f>$O$658*$AA$658</f>
        <v>0</v>
      </c>
    </row>
    <row r="659" spans="1:33" ht="11.25" customHeight="1" x14ac:dyDescent="0.25">
      <c r="A659" s="4" t="s">
        <v>21</v>
      </c>
      <c r="B659" s="4" t="s">
        <v>33</v>
      </c>
      <c r="C659" s="4" t="s">
        <v>34</v>
      </c>
      <c r="D659" s="4" t="s">
        <v>42</v>
      </c>
      <c r="E659" s="4" t="s">
        <v>25</v>
      </c>
      <c r="F659" s="4" t="s">
        <v>25</v>
      </c>
      <c r="G659" s="4" t="s">
        <v>25</v>
      </c>
      <c r="H659" s="4" t="s">
        <v>25</v>
      </c>
      <c r="I659" s="5">
        <v>43862</v>
      </c>
      <c r="J659" s="6">
        <v>121439</v>
      </c>
      <c r="K659" s="6">
        <v>121439</v>
      </c>
      <c r="L659" s="6">
        <v>0</v>
      </c>
      <c r="M659" s="6">
        <v>0</v>
      </c>
      <c r="N659" s="6">
        <v>0</v>
      </c>
      <c r="O659" s="6">
        <v>0</v>
      </c>
      <c r="P659" s="6">
        <v>908</v>
      </c>
      <c r="Q659" s="4" t="s">
        <v>26</v>
      </c>
      <c r="R659" s="4">
        <v>0</v>
      </c>
      <c r="S659" s="6">
        <v>26</v>
      </c>
      <c r="T659" s="6">
        <v>0</v>
      </c>
      <c r="U659" s="6">
        <v>0</v>
      </c>
      <c r="V659" s="6">
        <f>IF(ISERROR(VLOOKUP($S$659,'TAR FIN'!$A$1:$O$120,15,0)),0,VLOOKUP($S$659,'TAR FIN'!$A$1:$O$120,15,0))</f>
        <v>8.81</v>
      </c>
      <c r="W659" s="6">
        <f>IF(ISERROR(VLOOKUP($T$659,'TAR FIN'!$A$1:$O$120,15,0)),0,VLOOKUP($T$659,'TAR FIN'!$A$1:$O$120,15,0))</f>
        <v>0</v>
      </c>
      <c r="X659" s="6">
        <f>IF(ISERROR(VLOOKUP($U$659,'TAR FIN'!$A$1:$O$120,15,0)),0,VLOOKUP($U$659,'TAR FIN'!$A$1:$O$120,15,0))</f>
        <v>0</v>
      </c>
      <c r="Y659" s="6">
        <f ca="1">('TUSD BE'!$AM$32+'TUSD BF'!$AM$32+'TUSD CVA'!$AM$32)*1</f>
        <v>11.452356648653195</v>
      </c>
      <c r="Z659" s="6"/>
      <c r="AA659" s="6"/>
      <c r="AB659" s="6">
        <f>$K$659*$V$659</f>
        <v>1069877.5900000001</v>
      </c>
      <c r="AC659" s="6">
        <f>$M$659*$W$659</f>
        <v>0</v>
      </c>
      <c r="AD659" s="6">
        <f>$O$659*$X$659</f>
        <v>0</v>
      </c>
      <c r="AE659" s="6">
        <f ca="1">$K$659*$Y$659</f>
        <v>1390762.7390557954</v>
      </c>
      <c r="AF659" s="6">
        <f>$M$659*$Z$659</f>
        <v>0</v>
      </c>
      <c r="AG659" s="6">
        <f>$O$659*$AA$659</f>
        <v>0</v>
      </c>
    </row>
    <row r="660" spans="1:33" ht="11.25" customHeight="1" x14ac:dyDescent="0.25">
      <c r="A660" s="4" t="s">
        <v>27</v>
      </c>
      <c r="B660" s="4" t="s">
        <v>33</v>
      </c>
      <c r="C660" s="4" t="s">
        <v>34</v>
      </c>
      <c r="D660" s="4" t="s">
        <v>42</v>
      </c>
      <c r="E660" s="4" t="s">
        <v>25</v>
      </c>
      <c r="F660" s="4" t="s">
        <v>25</v>
      </c>
      <c r="G660" s="4" t="s">
        <v>25</v>
      </c>
      <c r="H660" s="4" t="s">
        <v>25</v>
      </c>
      <c r="I660" s="5">
        <v>43862</v>
      </c>
      <c r="J660" s="6">
        <v>370</v>
      </c>
      <c r="K660" s="6">
        <v>370</v>
      </c>
      <c r="L660" s="6">
        <v>0</v>
      </c>
      <c r="M660" s="6">
        <v>0</v>
      </c>
      <c r="N660" s="6">
        <v>0</v>
      </c>
      <c r="O660" s="6">
        <v>0</v>
      </c>
      <c r="P660" s="6">
        <v>3</v>
      </c>
      <c r="Q660" s="4" t="s">
        <v>26</v>
      </c>
      <c r="R660" s="4">
        <v>0</v>
      </c>
      <c r="S660" s="6">
        <v>26</v>
      </c>
      <c r="T660" s="6">
        <v>0</v>
      </c>
      <c r="U660" s="6">
        <v>0</v>
      </c>
      <c r="V660" s="6">
        <f>IF(ISERROR(VLOOKUP($S$660,'TAR FIN'!$A$1:$O$120,15,0)),0,VLOOKUP($S$660,'TAR FIN'!$A$1:$O$120,15,0))</f>
        <v>8.81</v>
      </c>
      <c r="W660" s="6">
        <f>IF(ISERROR(VLOOKUP($T$660,'TAR FIN'!$A$1:$O$120,15,0)),0,VLOOKUP($T$660,'TAR FIN'!$A$1:$O$120,15,0))</f>
        <v>0</v>
      </c>
      <c r="X660" s="6">
        <f>IF(ISERROR(VLOOKUP($U$660,'TAR FIN'!$A$1:$O$120,15,0)),0,VLOOKUP($U$660,'TAR FIN'!$A$1:$O$120,15,0))</f>
        <v>0</v>
      </c>
      <c r="Y660" s="6">
        <f ca="1">('TUSD BE'!$AM$32+'TUSD BF'!$AM$32+'TUSD CVA'!$AM$32)*1</f>
        <v>11.452356648653195</v>
      </c>
      <c r="Z660" s="6"/>
      <c r="AA660" s="6"/>
      <c r="AB660" s="6">
        <f>$K$660*$V$660</f>
        <v>3259.7000000000003</v>
      </c>
      <c r="AC660" s="6">
        <f>$M$660*$W$660</f>
        <v>0</v>
      </c>
      <c r="AD660" s="6">
        <f>$O$660*$X$660</f>
        <v>0</v>
      </c>
      <c r="AE660" s="6">
        <f ca="1">$K$660*$Y$660</f>
        <v>4237.3719600016821</v>
      </c>
      <c r="AF660" s="6">
        <f>$M$660*$Z$660</f>
        <v>0</v>
      </c>
      <c r="AG660" s="6">
        <f>$O$660*$AA$660</f>
        <v>0</v>
      </c>
    </row>
    <row r="661" spans="1:33" ht="11.25" customHeight="1" x14ac:dyDescent="0.25">
      <c r="A661" s="4" t="s">
        <v>28</v>
      </c>
      <c r="B661" s="4" t="s">
        <v>33</v>
      </c>
      <c r="C661" s="4" t="s">
        <v>34</v>
      </c>
      <c r="D661" s="4" t="s">
        <v>42</v>
      </c>
      <c r="E661" s="4" t="s">
        <v>25</v>
      </c>
      <c r="F661" s="4" t="s">
        <v>25</v>
      </c>
      <c r="G661" s="4" t="s">
        <v>25</v>
      </c>
      <c r="H661" s="4" t="s">
        <v>25</v>
      </c>
      <c r="I661" s="5">
        <v>43862</v>
      </c>
      <c r="J661" s="6">
        <v>11754</v>
      </c>
      <c r="K661" s="6">
        <v>11754</v>
      </c>
      <c r="L661" s="6">
        <v>0</v>
      </c>
      <c r="M661" s="6">
        <v>0</v>
      </c>
      <c r="N661" s="6">
        <v>0</v>
      </c>
      <c r="O661" s="6">
        <v>0</v>
      </c>
      <c r="P661" s="6">
        <v>47</v>
      </c>
      <c r="Q661" s="4" t="s">
        <v>26</v>
      </c>
      <c r="R661" s="4">
        <v>0</v>
      </c>
      <c r="S661" s="6">
        <v>26</v>
      </c>
      <c r="T661" s="6">
        <v>0</v>
      </c>
      <c r="U661" s="6">
        <v>0</v>
      </c>
      <c r="V661" s="6">
        <f>IF(ISERROR(VLOOKUP($S$661,'TAR FIN'!$A$1:$O$120,15,0)),0,VLOOKUP($S$661,'TAR FIN'!$A$1:$O$120,15,0))</f>
        <v>8.81</v>
      </c>
      <c r="W661" s="6">
        <f>IF(ISERROR(VLOOKUP($T$661,'TAR FIN'!$A$1:$O$120,15,0)),0,VLOOKUP($T$661,'TAR FIN'!$A$1:$O$120,15,0))</f>
        <v>0</v>
      </c>
      <c r="X661" s="6">
        <f>IF(ISERROR(VLOOKUP($U$661,'TAR FIN'!$A$1:$O$120,15,0)),0,VLOOKUP($U$661,'TAR FIN'!$A$1:$O$120,15,0))</f>
        <v>0</v>
      </c>
      <c r="Y661" s="6">
        <f ca="1">('TUSD BE'!$AM$32+'TUSD BF'!$AM$32+'TUSD CVA'!$AM$32)*1</f>
        <v>11.452356648653195</v>
      </c>
      <c r="Z661" s="6"/>
      <c r="AA661" s="6"/>
      <c r="AB661" s="6">
        <f>$K$661*$V$661</f>
        <v>103552.74</v>
      </c>
      <c r="AC661" s="6">
        <f>$M$661*$W$661</f>
        <v>0</v>
      </c>
      <c r="AD661" s="6">
        <f>$O$661*$X$661</f>
        <v>0</v>
      </c>
      <c r="AE661" s="6">
        <f ca="1">$K$661*$Y$661</f>
        <v>134611.00004826966</v>
      </c>
      <c r="AF661" s="6">
        <f>$M$661*$Z$661</f>
        <v>0</v>
      </c>
      <c r="AG661" s="6">
        <f>$O$661*$AA$661</f>
        <v>0</v>
      </c>
    </row>
    <row r="662" spans="1:33" ht="11.25" customHeight="1" x14ac:dyDescent="0.25">
      <c r="A662" s="4" t="s">
        <v>21</v>
      </c>
      <c r="B662" s="4" t="s">
        <v>33</v>
      </c>
      <c r="C662" s="4" t="s">
        <v>34</v>
      </c>
      <c r="D662" s="4" t="s">
        <v>42</v>
      </c>
      <c r="E662" s="4" t="s">
        <v>25</v>
      </c>
      <c r="F662" s="4" t="s">
        <v>25</v>
      </c>
      <c r="G662" s="4" t="s">
        <v>25</v>
      </c>
      <c r="H662" s="4" t="s">
        <v>25</v>
      </c>
      <c r="I662" s="5">
        <v>43891</v>
      </c>
      <c r="J662" s="6">
        <v>117567</v>
      </c>
      <c r="K662" s="6">
        <v>117567</v>
      </c>
      <c r="L662" s="6">
        <v>0</v>
      </c>
      <c r="M662" s="6">
        <v>0</v>
      </c>
      <c r="N662" s="6">
        <v>0</v>
      </c>
      <c r="O662" s="6">
        <v>0</v>
      </c>
      <c r="P662" s="6">
        <v>909</v>
      </c>
      <c r="Q662" s="4" t="s">
        <v>26</v>
      </c>
      <c r="R662" s="4">
        <v>0</v>
      </c>
      <c r="S662" s="6">
        <v>26</v>
      </c>
      <c r="T662" s="6">
        <v>0</v>
      </c>
      <c r="U662" s="6">
        <v>0</v>
      </c>
      <c r="V662" s="6">
        <f>IF(ISERROR(VLOOKUP($S$662,'TAR FIN'!$A$1:$O$120,15,0)),0,VLOOKUP($S$662,'TAR FIN'!$A$1:$O$120,15,0))</f>
        <v>8.81</v>
      </c>
      <c r="W662" s="6">
        <f>IF(ISERROR(VLOOKUP($T$662,'TAR FIN'!$A$1:$O$120,15,0)),0,VLOOKUP($T$662,'TAR FIN'!$A$1:$O$120,15,0))</f>
        <v>0</v>
      </c>
      <c r="X662" s="6">
        <f>IF(ISERROR(VLOOKUP($U$662,'TAR FIN'!$A$1:$O$120,15,0)),0,VLOOKUP($U$662,'TAR FIN'!$A$1:$O$120,15,0))</f>
        <v>0</v>
      </c>
      <c r="Y662" s="6">
        <f ca="1">('TUSD BE'!$AM$32+'TUSD BF'!$AM$32+'TUSD CVA'!$AM$32)*1</f>
        <v>11.452356648653195</v>
      </c>
      <c r="Z662" s="6"/>
      <c r="AA662" s="6"/>
      <c r="AB662" s="6">
        <f>$K$662*$V$662</f>
        <v>1035765.27</v>
      </c>
      <c r="AC662" s="6">
        <f>$M$662*$W$662</f>
        <v>0</v>
      </c>
      <c r="AD662" s="6">
        <f>$O$662*$X$662</f>
        <v>0</v>
      </c>
      <c r="AE662" s="6">
        <f ca="1">$K$662*$Y$662</f>
        <v>1346419.2141122101</v>
      </c>
      <c r="AF662" s="6">
        <f>$M$662*$Z$662</f>
        <v>0</v>
      </c>
      <c r="AG662" s="6">
        <f>$O$662*$AA$662</f>
        <v>0</v>
      </c>
    </row>
    <row r="663" spans="1:33" ht="11.25" customHeight="1" x14ac:dyDescent="0.25">
      <c r="A663" s="4" t="s">
        <v>27</v>
      </c>
      <c r="B663" s="4" t="s">
        <v>33</v>
      </c>
      <c r="C663" s="4" t="s">
        <v>34</v>
      </c>
      <c r="D663" s="4" t="s">
        <v>42</v>
      </c>
      <c r="E663" s="4" t="s">
        <v>25</v>
      </c>
      <c r="F663" s="4" t="s">
        <v>25</v>
      </c>
      <c r="G663" s="4" t="s">
        <v>25</v>
      </c>
      <c r="H663" s="4" t="s">
        <v>25</v>
      </c>
      <c r="I663" s="5">
        <v>43891</v>
      </c>
      <c r="J663" s="6">
        <v>2315</v>
      </c>
      <c r="K663" s="6">
        <v>2315</v>
      </c>
      <c r="L663" s="6">
        <v>0</v>
      </c>
      <c r="M663" s="6">
        <v>0</v>
      </c>
      <c r="N663" s="6">
        <v>0</v>
      </c>
      <c r="O663" s="6">
        <v>0</v>
      </c>
      <c r="P663" s="6">
        <v>4</v>
      </c>
      <c r="Q663" s="4" t="s">
        <v>26</v>
      </c>
      <c r="R663" s="4">
        <v>0</v>
      </c>
      <c r="S663" s="6">
        <v>26</v>
      </c>
      <c r="T663" s="6">
        <v>0</v>
      </c>
      <c r="U663" s="6">
        <v>0</v>
      </c>
      <c r="V663" s="6">
        <f>IF(ISERROR(VLOOKUP($S$663,'TAR FIN'!$A$1:$O$120,15,0)),0,VLOOKUP($S$663,'TAR FIN'!$A$1:$O$120,15,0))</f>
        <v>8.81</v>
      </c>
      <c r="W663" s="6">
        <f>IF(ISERROR(VLOOKUP($T$663,'TAR FIN'!$A$1:$O$120,15,0)),0,VLOOKUP($T$663,'TAR FIN'!$A$1:$O$120,15,0))</f>
        <v>0</v>
      </c>
      <c r="X663" s="6">
        <f>IF(ISERROR(VLOOKUP($U$663,'TAR FIN'!$A$1:$O$120,15,0)),0,VLOOKUP($U$663,'TAR FIN'!$A$1:$O$120,15,0))</f>
        <v>0</v>
      </c>
      <c r="Y663" s="6">
        <f ca="1">('TUSD BE'!$AM$32+'TUSD BF'!$AM$32+'TUSD CVA'!$AM$32)*1</f>
        <v>11.452356648653195</v>
      </c>
      <c r="Z663" s="6"/>
      <c r="AA663" s="6"/>
      <c r="AB663" s="6">
        <f>$K$663*$V$663</f>
        <v>20395.150000000001</v>
      </c>
      <c r="AC663" s="6">
        <f>$M$663*$W$663</f>
        <v>0</v>
      </c>
      <c r="AD663" s="6">
        <f>$O$663*$X$663</f>
        <v>0</v>
      </c>
      <c r="AE663" s="6">
        <f ca="1">$K$663*$Y$663</f>
        <v>26512.205641632147</v>
      </c>
      <c r="AF663" s="6">
        <f>$M$663*$Z$663</f>
        <v>0</v>
      </c>
      <c r="AG663" s="6">
        <f>$O$663*$AA$663</f>
        <v>0</v>
      </c>
    </row>
    <row r="664" spans="1:33" ht="11.25" customHeight="1" x14ac:dyDescent="0.25">
      <c r="A664" s="4" t="s">
        <v>28</v>
      </c>
      <c r="B664" s="4" t="s">
        <v>33</v>
      </c>
      <c r="C664" s="4" t="s">
        <v>34</v>
      </c>
      <c r="D664" s="4" t="s">
        <v>42</v>
      </c>
      <c r="E664" s="4" t="s">
        <v>25</v>
      </c>
      <c r="F664" s="4" t="s">
        <v>25</v>
      </c>
      <c r="G664" s="4" t="s">
        <v>25</v>
      </c>
      <c r="H664" s="4" t="s">
        <v>25</v>
      </c>
      <c r="I664" s="5">
        <v>43891</v>
      </c>
      <c r="J664" s="6">
        <v>12978</v>
      </c>
      <c r="K664" s="6">
        <v>12978</v>
      </c>
      <c r="L664" s="6">
        <v>0</v>
      </c>
      <c r="M664" s="6">
        <v>0</v>
      </c>
      <c r="N664" s="6">
        <v>0</v>
      </c>
      <c r="O664" s="6">
        <v>0</v>
      </c>
      <c r="P664" s="6">
        <v>49</v>
      </c>
      <c r="Q664" s="4" t="s">
        <v>26</v>
      </c>
      <c r="R664" s="4">
        <v>0</v>
      </c>
      <c r="S664" s="6">
        <v>26</v>
      </c>
      <c r="T664" s="6">
        <v>0</v>
      </c>
      <c r="U664" s="6">
        <v>0</v>
      </c>
      <c r="V664" s="6">
        <f>IF(ISERROR(VLOOKUP($S$664,'TAR FIN'!$A$1:$O$120,15,0)),0,VLOOKUP($S$664,'TAR FIN'!$A$1:$O$120,15,0))</f>
        <v>8.81</v>
      </c>
      <c r="W664" s="6">
        <f>IF(ISERROR(VLOOKUP($T$664,'TAR FIN'!$A$1:$O$120,15,0)),0,VLOOKUP($T$664,'TAR FIN'!$A$1:$O$120,15,0))</f>
        <v>0</v>
      </c>
      <c r="X664" s="6">
        <f>IF(ISERROR(VLOOKUP($U$664,'TAR FIN'!$A$1:$O$120,15,0)),0,VLOOKUP($U$664,'TAR FIN'!$A$1:$O$120,15,0))</f>
        <v>0</v>
      </c>
      <c r="Y664" s="6">
        <f ca="1">('TUSD BE'!$AM$32+'TUSD BF'!$AM$32+'TUSD CVA'!$AM$32)*1</f>
        <v>11.452356648653195</v>
      </c>
      <c r="Z664" s="6"/>
      <c r="AA664" s="6"/>
      <c r="AB664" s="6">
        <f>$K$664*$V$664</f>
        <v>114336.18000000001</v>
      </c>
      <c r="AC664" s="6">
        <f>$M$664*$W$664</f>
        <v>0</v>
      </c>
      <c r="AD664" s="6">
        <f>$O$664*$X$664</f>
        <v>0</v>
      </c>
      <c r="AE664" s="6">
        <f ca="1">$K$664*$Y$664</f>
        <v>148628.68458622118</v>
      </c>
      <c r="AF664" s="6">
        <f>$M$664*$Z$664</f>
        <v>0</v>
      </c>
      <c r="AG664" s="6">
        <f>$O$664*$AA$664</f>
        <v>0</v>
      </c>
    </row>
    <row r="665" spans="1:33" ht="11.25" customHeight="1" x14ac:dyDescent="0.25">
      <c r="A665" s="4" t="s">
        <v>21</v>
      </c>
      <c r="B665" s="4" t="s">
        <v>33</v>
      </c>
      <c r="C665" s="4" t="s">
        <v>34</v>
      </c>
      <c r="D665" s="4" t="s">
        <v>42</v>
      </c>
      <c r="E665" s="4" t="s">
        <v>25</v>
      </c>
      <c r="F665" s="4" t="s">
        <v>25</v>
      </c>
      <c r="G665" s="4" t="s">
        <v>25</v>
      </c>
      <c r="H665" s="4" t="s">
        <v>25</v>
      </c>
      <c r="I665" s="5">
        <v>43922</v>
      </c>
      <c r="J665" s="6">
        <v>120048</v>
      </c>
      <c r="K665" s="6">
        <v>120048</v>
      </c>
      <c r="L665" s="6">
        <v>0</v>
      </c>
      <c r="M665" s="6">
        <v>0</v>
      </c>
      <c r="N665" s="6">
        <v>0</v>
      </c>
      <c r="O665" s="6">
        <v>0</v>
      </c>
      <c r="P665" s="6">
        <v>912</v>
      </c>
      <c r="Q665" s="4" t="s">
        <v>26</v>
      </c>
      <c r="R665" s="4">
        <v>0</v>
      </c>
      <c r="S665" s="6">
        <v>26</v>
      </c>
      <c r="T665" s="6">
        <v>0</v>
      </c>
      <c r="U665" s="6">
        <v>0</v>
      </c>
      <c r="V665" s="6">
        <f>IF(ISERROR(VLOOKUP($S$665,'TAR FIN'!$A$1:$O$120,15,0)),0,VLOOKUP($S$665,'TAR FIN'!$A$1:$O$120,15,0))</f>
        <v>8.81</v>
      </c>
      <c r="W665" s="6">
        <f>IF(ISERROR(VLOOKUP($T$665,'TAR FIN'!$A$1:$O$120,15,0)),0,VLOOKUP($T$665,'TAR FIN'!$A$1:$O$120,15,0))</f>
        <v>0</v>
      </c>
      <c r="X665" s="6">
        <f>IF(ISERROR(VLOOKUP($U$665,'TAR FIN'!$A$1:$O$120,15,0)),0,VLOOKUP($U$665,'TAR FIN'!$A$1:$O$120,15,0))</f>
        <v>0</v>
      </c>
      <c r="Y665" s="6">
        <f ca="1">('TUSD BE'!$AM$32+'TUSD BF'!$AM$32+'TUSD CVA'!$AM$32)*1</f>
        <v>11.452356648653195</v>
      </c>
      <c r="Z665" s="6"/>
      <c r="AA665" s="6"/>
      <c r="AB665" s="6">
        <f>$K$665*$V$665</f>
        <v>1057622.8800000001</v>
      </c>
      <c r="AC665" s="6">
        <f>$M$665*$W$665</f>
        <v>0</v>
      </c>
      <c r="AD665" s="6">
        <f>$O$665*$X$665</f>
        <v>0</v>
      </c>
      <c r="AE665" s="6">
        <f ca="1">$K$665*$Y$665</f>
        <v>1374832.5109575188</v>
      </c>
      <c r="AF665" s="6">
        <f>$M$665*$Z$665</f>
        <v>0</v>
      </c>
      <c r="AG665" s="6">
        <f>$O$665*$AA$665</f>
        <v>0</v>
      </c>
    </row>
    <row r="666" spans="1:33" ht="11.25" customHeight="1" x14ac:dyDescent="0.25">
      <c r="A666" s="4" t="s">
        <v>27</v>
      </c>
      <c r="B666" s="4" t="s">
        <v>33</v>
      </c>
      <c r="C666" s="4" t="s">
        <v>34</v>
      </c>
      <c r="D666" s="4" t="s">
        <v>42</v>
      </c>
      <c r="E666" s="4" t="s">
        <v>25</v>
      </c>
      <c r="F666" s="4" t="s">
        <v>25</v>
      </c>
      <c r="G666" s="4" t="s">
        <v>25</v>
      </c>
      <c r="H666" s="4" t="s">
        <v>25</v>
      </c>
      <c r="I666" s="5">
        <v>43922</v>
      </c>
      <c r="J666" s="6">
        <v>170</v>
      </c>
      <c r="K666" s="6">
        <v>170</v>
      </c>
      <c r="L666" s="6">
        <v>0</v>
      </c>
      <c r="M666" s="6">
        <v>0</v>
      </c>
      <c r="N666" s="6">
        <v>0</v>
      </c>
      <c r="O666" s="6">
        <v>0</v>
      </c>
      <c r="P666" s="6">
        <v>1</v>
      </c>
      <c r="Q666" s="4" t="s">
        <v>26</v>
      </c>
      <c r="R666" s="4">
        <v>0</v>
      </c>
      <c r="S666" s="6">
        <v>26</v>
      </c>
      <c r="T666" s="6">
        <v>0</v>
      </c>
      <c r="U666" s="6">
        <v>0</v>
      </c>
      <c r="V666" s="6">
        <f>IF(ISERROR(VLOOKUP($S$666,'TAR FIN'!$A$1:$O$120,15,0)),0,VLOOKUP($S$666,'TAR FIN'!$A$1:$O$120,15,0))</f>
        <v>8.81</v>
      </c>
      <c r="W666" s="6">
        <f>IF(ISERROR(VLOOKUP($T$666,'TAR FIN'!$A$1:$O$120,15,0)),0,VLOOKUP($T$666,'TAR FIN'!$A$1:$O$120,15,0))</f>
        <v>0</v>
      </c>
      <c r="X666" s="6">
        <f>IF(ISERROR(VLOOKUP($U$666,'TAR FIN'!$A$1:$O$120,15,0)),0,VLOOKUP($U$666,'TAR FIN'!$A$1:$O$120,15,0))</f>
        <v>0</v>
      </c>
      <c r="Y666" s="6">
        <f ca="1">('TUSD BE'!$AM$32+'TUSD BF'!$AM$32+'TUSD CVA'!$AM$32)*1</f>
        <v>11.452356648653195</v>
      </c>
      <c r="Z666" s="6"/>
      <c r="AA666" s="6"/>
      <c r="AB666" s="6">
        <f>$K$666*$V$666</f>
        <v>1497.7</v>
      </c>
      <c r="AC666" s="6">
        <f>$M$666*$W$666</f>
        <v>0</v>
      </c>
      <c r="AD666" s="6">
        <f>$O$666*$X$666</f>
        <v>0</v>
      </c>
      <c r="AE666" s="6">
        <f ca="1">$K$666*$Y$666</f>
        <v>1946.9006302710432</v>
      </c>
      <c r="AF666" s="6">
        <f>$M$666*$Z$666</f>
        <v>0</v>
      </c>
      <c r="AG666" s="6">
        <f>$O$666*$AA$666</f>
        <v>0</v>
      </c>
    </row>
    <row r="667" spans="1:33" ht="11.25" customHeight="1" x14ac:dyDescent="0.25">
      <c r="A667" s="4" t="s">
        <v>28</v>
      </c>
      <c r="B667" s="4" t="s">
        <v>33</v>
      </c>
      <c r="C667" s="4" t="s">
        <v>34</v>
      </c>
      <c r="D667" s="4" t="s">
        <v>42</v>
      </c>
      <c r="E667" s="4" t="s">
        <v>25</v>
      </c>
      <c r="F667" s="4" t="s">
        <v>25</v>
      </c>
      <c r="G667" s="4" t="s">
        <v>25</v>
      </c>
      <c r="H667" s="4" t="s">
        <v>25</v>
      </c>
      <c r="I667" s="5">
        <v>43922</v>
      </c>
      <c r="J667" s="6">
        <v>13688</v>
      </c>
      <c r="K667" s="6">
        <v>13688</v>
      </c>
      <c r="L667" s="6">
        <v>0</v>
      </c>
      <c r="M667" s="6">
        <v>0</v>
      </c>
      <c r="N667" s="6">
        <v>0</v>
      </c>
      <c r="O667" s="6">
        <v>0</v>
      </c>
      <c r="P667" s="6">
        <v>51</v>
      </c>
      <c r="Q667" s="4" t="s">
        <v>26</v>
      </c>
      <c r="R667" s="4">
        <v>0</v>
      </c>
      <c r="S667" s="6">
        <v>26</v>
      </c>
      <c r="T667" s="6">
        <v>0</v>
      </c>
      <c r="U667" s="6">
        <v>0</v>
      </c>
      <c r="V667" s="6">
        <f>IF(ISERROR(VLOOKUP($S$667,'TAR FIN'!$A$1:$O$120,15,0)),0,VLOOKUP($S$667,'TAR FIN'!$A$1:$O$120,15,0))</f>
        <v>8.81</v>
      </c>
      <c r="W667" s="6">
        <f>IF(ISERROR(VLOOKUP($T$667,'TAR FIN'!$A$1:$O$120,15,0)),0,VLOOKUP($T$667,'TAR FIN'!$A$1:$O$120,15,0))</f>
        <v>0</v>
      </c>
      <c r="X667" s="6">
        <f>IF(ISERROR(VLOOKUP($U$667,'TAR FIN'!$A$1:$O$120,15,0)),0,VLOOKUP($U$667,'TAR FIN'!$A$1:$O$120,15,0))</f>
        <v>0</v>
      </c>
      <c r="Y667" s="6">
        <f ca="1">('TUSD BE'!$AM$32+'TUSD BF'!$AM$32+'TUSD CVA'!$AM$32)*1</f>
        <v>11.452356648653195</v>
      </c>
      <c r="Z667" s="6"/>
      <c r="AA667" s="6"/>
      <c r="AB667" s="6">
        <f>$K$667*$V$667</f>
        <v>120591.28000000001</v>
      </c>
      <c r="AC667" s="6">
        <f>$M$667*$W$667</f>
        <v>0</v>
      </c>
      <c r="AD667" s="6">
        <f>$O$667*$X$667</f>
        <v>0</v>
      </c>
      <c r="AE667" s="6">
        <f ca="1">$K$667*$Y$667</f>
        <v>156759.85780676492</v>
      </c>
      <c r="AF667" s="6">
        <f>$M$667*$Z$667</f>
        <v>0</v>
      </c>
      <c r="AG667" s="6">
        <f>$O$667*$AA$667</f>
        <v>0</v>
      </c>
    </row>
    <row r="668" spans="1:33" ht="11.25" customHeight="1" x14ac:dyDescent="0.25">
      <c r="A668" s="4" t="s">
        <v>21</v>
      </c>
      <c r="B668" s="4" t="s">
        <v>33</v>
      </c>
      <c r="C668" s="4" t="s">
        <v>34</v>
      </c>
      <c r="D668" s="4" t="s">
        <v>42</v>
      </c>
      <c r="E668" s="4" t="s">
        <v>25</v>
      </c>
      <c r="F668" s="4" t="s">
        <v>25</v>
      </c>
      <c r="G668" s="4" t="s">
        <v>25</v>
      </c>
      <c r="H668" s="4" t="s">
        <v>25</v>
      </c>
      <c r="I668" s="5">
        <v>43952</v>
      </c>
      <c r="J668" s="6">
        <v>116145</v>
      </c>
      <c r="K668" s="6">
        <v>116145</v>
      </c>
      <c r="L668" s="6">
        <v>0</v>
      </c>
      <c r="M668" s="6">
        <v>0</v>
      </c>
      <c r="N668" s="6">
        <v>0</v>
      </c>
      <c r="O668" s="6">
        <v>0</v>
      </c>
      <c r="P668" s="6">
        <v>899</v>
      </c>
      <c r="Q668" s="4" t="s">
        <v>26</v>
      </c>
      <c r="R668" s="4">
        <v>0</v>
      </c>
      <c r="S668" s="6">
        <v>26</v>
      </c>
      <c r="T668" s="6">
        <v>0</v>
      </c>
      <c r="U668" s="6">
        <v>0</v>
      </c>
      <c r="V668" s="6">
        <f>IF(ISERROR(VLOOKUP($S$668,'TAR FIN'!$A$1:$O$120,15,0)),0,VLOOKUP($S$668,'TAR FIN'!$A$1:$O$120,15,0))</f>
        <v>8.81</v>
      </c>
      <c r="W668" s="6">
        <f>IF(ISERROR(VLOOKUP($T$668,'TAR FIN'!$A$1:$O$120,15,0)),0,VLOOKUP($T$668,'TAR FIN'!$A$1:$O$120,15,0))</f>
        <v>0</v>
      </c>
      <c r="X668" s="6">
        <f>IF(ISERROR(VLOOKUP($U$668,'TAR FIN'!$A$1:$O$120,15,0)),0,VLOOKUP($U$668,'TAR FIN'!$A$1:$O$120,15,0))</f>
        <v>0</v>
      </c>
      <c r="Y668" s="6">
        <f ca="1">('TUSD BE'!$AM$32+'TUSD BF'!$AM$32+'TUSD CVA'!$AM$32)*1</f>
        <v>11.452356648653195</v>
      </c>
      <c r="Z668" s="6"/>
      <c r="AA668" s="6"/>
      <c r="AB668" s="6">
        <f>$K$668*$V$668</f>
        <v>1023237.4500000001</v>
      </c>
      <c r="AC668" s="6">
        <f>$M$668*$W$668</f>
        <v>0</v>
      </c>
      <c r="AD668" s="6">
        <f>$O$668*$X$668</f>
        <v>0</v>
      </c>
      <c r="AE668" s="6">
        <f ca="1">$K$668*$Y$668</f>
        <v>1330133.9629578253</v>
      </c>
      <c r="AF668" s="6">
        <f>$M$668*$Z$668</f>
        <v>0</v>
      </c>
      <c r="AG668" s="6">
        <f>$O$668*$AA$668</f>
        <v>0</v>
      </c>
    </row>
    <row r="669" spans="1:33" ht="11.25" customHeight="1" x14ac:dyDescent="0.25">
      <c r="A669" s="4" t="s">
        <v>27</v>
      </c>
      <c r="B669" s="4" t="s">
        <v>33</v>
      </c>
      <c r="C669" s="4" t="s">
        <v>34</v>
      </c>
      <c r="D669" s="4" t="s">
        <v>42</v>
      </c>
      <c r="E669" s="4" t="s">
        <v>25</v>
      </c>
      <c r="F669" s="4" t="s">
        <v>25</v>
      </c>
      <c r="G669" s="4" t="s">
        <v>25</v>
      </c>
      <c r="H669" s="4" t="s">
        <v>25</v>
      </c>
      <c r="I669" s="5">
        <v>43952</v>
      </c>
      <c r="J669" s="6">
        <v>1310</v>
      </c>
      <c r="K669" s="6">
        <v>1310</v>
      </c>
      <c r="L669" s="6">
        <v>0</v>
      </c>
      <c r="M669" s="6">
        <v>0</v>
      </c>
      <c r="N669" s="6">
        <v>0</v>
      </c>
      <c r="O669" s="6">
        <v>0</v>
      </c>
      <c r="P669" s="6">
        <v>3</v>
      </c>
      <c r="Q669" s="4" t="s">
        <v>26</v>
      </c>
      <c r="R669" s="4">
        <v>0</v>
      </c>
      <c r="S669" s="6">
        <v>26</v>
      </c>
      <c r="T669" s="6">
        <v>0</v>
      </c>
      <c r="U669" s="6">
        <v>0</v>
      </c>
      <c r="V669" s="6">
        <f>IF(ISERROR(VLOOKUP($S$669,'TAR FIN'!$A$1:$O$120,15,0)),0,VLOOKUP($S$669,'TAR FIN'!$A$1:$O$120,15,0))</f>
        <v>8.81</v>
      </c>
      <c r="W669" s="6">
        <f>IF(ISERROR(VLOOKUP($T$669,'TAR FIN'!$A$1:$O$120,15,0)),0,VLOOKUP($T$669,'TAR FIN'!$A$1:$O$120,15,0))</f>
        <v>0</v>
      </c>
      <c r="X669" s="6">
        <f>IF(ISERROR(VLOOKUP($U$669,'TAR FIN'!$A$1:$O$120,15,0)),0,VLOOKUP($U$669,'TAR FIN'!$A$1:$O$120,15,0))</f>
        <v>0</v>
      </c>
      <c r="Y669" s="6">
        <f ca="1">('TUSD BE'!$AM$32+'TUSD BF'!$AM$32+'TUSD CVA'!$AM$32)*1</f>
        <v>11.452356648653195</v>
      </c>
      <c r="Z669" s="6"/>
      <c r="AA669" s="6"/>
      <c r="AB669" s="6">
        <f>$K$669*$V$669</f>
        <v>11541.1</v>
      </c>
      <c r="AC669" s="6">
        <f>$M$669*$W$669</f>
        <v>0</v>
      </c>
      <c r="AD669" s="6">
        <f>$O$669*$X$669</f>
        <v>0</v>
      </c>
      <c r="AE669" s="6">
        <f ca="1">$K$669*$Y$669</f>
        <v>15002.587209735686</v>
      </c>
      <c r="AF669" s="6">
        <f>$M$669*$Z$669</f>
        <v>0</v>
      </c>
      <c r="AG669" s="6">
        <f>$O$669*$AA$669</f>
        <v>0</v>
      </c>
    </row>
    <row r="670" spans="1:33" ht="11.25" customHeight="1" x14ac:dyDescent="0.25">
      <c r="A670" s="4" t="s">
        <v>28</v>
      </c>
      <c r="B670" s="4" t="s">
        <v>33</v>
      </c>
      <c r="C670" s="4" t="s">
        <v>34</v>
      </c>
      <c r="D670" s="4" t="s">
        <v>42</v>
      </c>
      <c r="E670" s="4" t="s">
        <v>25</v>
      </c>
      <c r="F670" s="4" t="s">
        <v>25</v>
      </c>
      <c r="G670" s="4" t="s">
        <v>25</v>
      </c>
      <c r="H670" s="4" t="s">
        <v>25</v>
      </c>
      <c r="I670" s="5">
        <v>43952</v>
      </c>
      <c r="J670" s="6">
        <v>15613</v>
      </c>
      <c r="K670" s="6">
        <v>15613</v>
      </c>
      <c r="L670" s="6">
        <v>0</v>
      </c>
      <c r="M670" s="6">
        <v>0</v>
      </c>
      <c r="N670" s="6">
        <v>0</v>
      </c>
      <c r="O670" s="6">
        <v>0</v>
      </c>
      <c r="P670" s="6">
        <v>54</v>
      </c>
      <c r="Q670" s="4" t="s">
        <v>26</v>
      </c>
      <c r="R670" s="4">
        <v>0</v>
      </c>
      <c r="S670" s="6">
        <v>26</v>
      </c>
      <c r="T670" s="6">
        <v>0</v>
      </c>
      <c r="U670" s="6">
        <v>0</v>
      </c>
      <c r="V670" s="6">
        <f>IF(ISERROR(VLOOKUP($S$670,'TAR FIN'!$A$1:$O$120,15,0)),0,VLOOKUP($S$670,'TAR FIN'!$A$1:$O$120,15,0))</f>
        <v>8.81</v>
      </c>
      <c r="W670" s="6">
        <f>IF(ISERROR(VLOOKUP($T$670,'TAR FIN'!$A$1:$O$120,15,0)),0,VLOOKUP($T$670,'TAR FIN'!$A$1:$O$120,15,0))</f>
        <v>0</v>
      </c>
      <c r="X670" s="6">
        <f>IF(ISERROR(VLOOKUP($U$670,'TAR FIN'!$A$1:$O$120,15,0)),0,VLOOKUP($U$670,'TAR FIN'!$A$1:$O$120,15,0))</f>
        <v>0</v>
      </c>
      <c r="Y670" s="6">
        <f ca="1">('TUSD BE'!$AM$32+'TUSD BF'!$AM$32+'TUSD CVA'!$AM$32)*1</f>
        <v>11.452356648653195</v>
      </c>
      <c r="Z670" s="6"/>
      <c r="AA670" s="6"/>
      <c r="AB670" s="6">
        <f>$K$670*$V$670</f>
        <v>137550.53</v>
      </c>
      <c r="AC670" s="6">
        <f>$M$670*$W$670</f>
        <v>0</v>
      </c>
      <c r="AD670" s="6">
        <f>$O$670*$X$670</f>
        <v>0</v>
      </c>
      <c r="AE670" s="6">
        <f ca="1">$K$670*$Y$670</f>
        <v>178805.64435542232</v>
      </c>
      <c r="AF670" s="6">
        <f>$M$670*$Z$670</f>
        <v>0</v>
      </c>
      <c r="AG670" s="6">
        <f>$O$670*$AA$670</f>
        <v>0</v>
      </c>
    </row>
    <row r="671" spans="1:33" ht="11.25" customHeight="1" x14ac:dyDescent="0.25">
      <c r="A671" s="4" t="s">
        <v>21</v>
      </c>
      <c r="B671" s="4" t="s">
        <v>33</v>
      </c>
      <c r="C671" s="4" t="s">
        <v>34</v>
      </c>
      <c r="D671" s="4" t="s">
        <v>42</v>
      </c>
      <c r="E671" s="4" t="s">
        <v>25</v>
      </c>
      <c r="F671" s="4" t="s">
        <v>25</v>
      </c>
      <c r="G671" s="4" t="s">
        <v>25</v>
      </c>
      <c r="H671" s="4" t="s">
        <v>25</v>
      </c>
      <c r="I671" s="5">
        <v>43983</v>
      </c>
      <c r="J671" s="6">
        <v>114549</v>
      </c>
      <c r="K671" s="6">
        <v>114549</v>
      </c>
      <c r="L671" s="6">
        <v>0</v>
      </c>
      <c r="M671" s="6">
        <v>0</v>
      </c>
      <c r="N671" s="6">
        <v>0</v>
      </c>
      <c r="O671" s="6">
        <v>0</v>
      </c>
      <c r="P671" s="6">
        <v>906</v>
      </c>
      <c r="Q671" s="4" t="s">
        <v>26</v>
      </c>
      <c r="R671" s="4">
        <v>0</v>
      </c>
      <c r="S671" s="6">
        <v>26</v>
      </c>
      <c r="T671" s="6">
        <v>0</v>
      </c>
      <c r="U671" s="6">
        <v>0</v>
      </c>
      <c r="V671" s="6">
        <f>IF(ISERROR(VLOOKUP($S$671,'TAR FIN'!$A$1:$O$120,15,0)),0,VLOOKUP($S$671,'TAR FIN'!$A$1:$O$120,15,0))</f>
        <v>8.81</v>
      </c>
      <c r="W671" s="6">
        <f>IF(ISERROR(VLOOKUP($T$671,'TAR FIN'!$A$1:$O$120,15,0)),0,VLOOKUP($T$671,'TAR FIN'!$A$1:$O$120,15,0))</f>
        <v>0</v>
      </c>
      <c r="X671" s="6">
        <f>IF(ISERROR(VLOOKUP($U$671,'TAR FIN'!$A$1:$O$120,15,0)),0,VLOOKUP($U$671,'TAR FIN'!$A$1:$O$120,15,0))</f>
        <v>0</v>
      </c>
      <c r="Y671" s="6">
        <f ca="1">('TUSD BE'!$AM$32+'TUSD BF'!$AM$32+'TUSD CVA'!$AM$32)*1</f>
        <v>11.452356648653195</v>
      </c>
      <c r="Z671" s="6"/>
      <c r="AA671" s="6"/>
      <c r="AB671" s="6">
        <f>$K$671*$V$671</f>
        <v>1009176.6900000001</v>
      </c>
      <c r="AC671" s="6">
        <f>$M$671*$W$671</f>
        <v>0</v>
      </c>
      <c r="AD671" s="6">
        <f>$O$671*$X$671</f>
        <v>0</v>
      </c>
      <c r="AE671" s="6">
        <f ca="1">$K$671*$Y$671</f>
        <v>1311856.0017465749</v>
      </c>
      <c r="AF671" s="6">
        <f>$M$671*$Z$671</f>
        <v>0</v>
      </c>
      <c r="AG671" s="6">
        <f>$O$671*$AA$671</f>
        <v>0</v>
      </c>
    </row>
    <row r="672" spans="1:33" ht="11.25" customHeight="1" x14ac:dyDescent="0.25">
      <c r="A672" s="4" t="s">
        <v>27</v>
      </c>
      <c r="B672" s="4" t="s">
        <v>33</v>
      </c>
      <c r="C672" s="4" t="s">
        <v>34</v>
      </c>
      <c r="D672" s="4" t="s">
        <v>42</v>
      </c>
      <c r="E672" s="4" t="s">
        <v>25</v>
      </c>
      <c r="F672" s="4" t="s">
        <v>25</v>
      </c>
      <c r="G672" s="4" t="s">
        <v>25</v>
      </c>
      <c r="H672" s="4" t="s">
        <v>25</v>
      </c>
      <c r="I672" s="5">
        <v>43983</v>
      </c>
      <c r="J672" s="6">
        <v>1140</v>
      </c>
      <c r="K672" s="6">
        <v>1140</v>
      </c>
      <c r="L672" s="6">
        <v>0</v>
      </c>
      <c r="M672" s="6">
        <v>0</v>
      </c>
      <c r="N672" s="6">
        <v>0</v>
      </c>
      <c r="O672" s="6">
        <v>0</v>
      </c>
      <c r="P672" s="6">
        <v>4</v>
      </c>
      <c r="Q672" s="4" t="s">
        <v>26</v>
      </c>
      <c r="R672" s="4">
        <v>0</v>
      </c>
      <c r="S672" s="6">
        <v>26</v>
      </c>
      <c r="T672" s="6">
        <v>0</v>
      </c>
      <c r="U672" s="6">
        <v>0</v>
      </c>
      <c r="V672" s="6">
        <f>IF(ISERROR(VLOOKUP($S$672,'TAR FIN'!$A$1:$O$120,15,0)),0,VLOOKUP($S$672,'TAR FIN'!$A$1:$O$120,15,0))</f>
        <v>8.81</v>
      </c>
      <c r="W672" s="6">
        <f>IF(ISERROR(VLOOKUP($T$672,'TAR FIN'!$A$1:$O$120,15,0)),0,VLOOKUP($T$672,'TAR FIN'!$A$1:$O$120,15,0))</f>
        <v>0</v>
      </c>
      <c r="X672" s="6">
        <f>IF(ISERROR(VLOOKUP($U$672,'TAR FIN'!$A$1:$O$120,15,0)),0,VLOOKUP($U$672,'TAR FIN'!$A$1:$O$120,15,0))</f>
        <v>0</v>
      </c>
      <c r="Y672" s="6">
        <f ca="1">('TUSD BE'!$AM$32+'TUSD BF'!$AM$32+'TUSD CVA'!$AM$32)*1</f>
        <v>11.452356648653195</v>
      </c>
      <c r="Z672" s="6"/>
      <c r="AA672" s="6"/>
      <c r="AB672" s="6">
        <f>$K$672*$V$672</f>
        <v>10043.400000000001</v>
      </c>
      <c r="AC672" s="6">
        <f>$M$672*$W$672</f>
        <v>0</v>
      </c>
      <c r="AD672" s="6">
        <f>$O$672*$X$672</f>
        <v>0</v>
      </c>
      <c r="AE672" s="6">
        <f ca="1">$K$672*$Y$672</f>
        <v>13055.686579464642</v>
      </c>
      <c r="AF672" s="6">
        <f>$M$672*$Z$672</f>
        <v>0</v>
      </c>
      <c r="AG672" s="6">
        <f>$O$672*$AA$672</f>
        <v>0</v>
      </c>
    </row>
    <row r="673" spans="1:33" ht="11.25" customHeight="1" x14ac:dyDescent="0.25">
      <c r="A673" s="4" t="s">
        <v>28</v>
      </c>
      <c r="B673" s="4" t="s">
        <v>33</v>
      </c>
      <c r="C673" s="4" t="s">
        <v>34</v>
      </c>
      <c r="D673" s="4" t="s">
        <v>42</v>
      </c>
      <c r="E673" s="4" t="s">
        <v>25</v>
      </c>
      <c r="F673" s="4" t="s">
        <v>25</v>
      </c>
      <c r="G673" s="4" t="s">
        <v>25</v>
      </c>
      <c r="H673" s="4" t="s">
        <v>25</v>
      </c>
      <c r="I673" s="5">
        <v>43983</v>
      </c>
      <c r="J673" s="6">
        <v>6530</v>
      </c>
      <c r="K673" s="6">
        <v>6530</v>
      </c>
      <c r="L673" s="6">
        <v>0</v>
      </c>
      <c r="M673" s="6">
        <v>0</v>
      </c>
      <c r="N673" s="6">
        <v>0</v>
      </c>
      <c r="O673" s="6">
        <v>0</v>
      </c>
      <c r="P673" s="6">
        <v>29</v>
      </c>
      <c r="Q673" s="4" t="s">
        <v>26</v>
      </c>
      <c r="R673" s="4">
        <v>0</v>
      </c>
      <c r="S673" s="6">
        <v>26</v>
      </c>
      <c r="T673" s="6">
        <v>0</v>
      </c>
      <c r="U673" s="6">
        <v>0</v>
      </c>
      <c r="V673" s="6">
        <f>IF(ISERROR(VLOOKUP($S$673,'TAR FIN'!$A$1:$O$120,15,0)),0,VLOOKUP($S$673,'TAR FIN'!$A$1:$O$120,15,0))</f>
        <v>8.81</v>
      </c>
      <c r="W673" s="6">
        <f>IF(ISERROR(VLOOKUP($T$673,'TAR FIN'!$A$1:$O$120,15,0)),0,VLOOKUP($T$673,'TAR FIN'!$A$1:$O$120,15,0))</f>
        <v>0</v>
      </c>
      <c r="X673" s="6">
        <f>IF(ISERROR(VLOOKUP($U$673,'TAR FIN'!$A$1:$O$120,15,0)),0,VLOOKUP($U$673,'TAR FIN'!$A$1:$O$120,15,0))</f>
        <v>0</v>
      </c>
      <c r="Y673" s="6">
        <f ca="1">('TUSD BE'!$AM$32+'TUSD BF'!$AM$32+'TUSD CVA'!$AM$32)*1</f>
        <v>11.452356648653195</v>
      </c>
      <c r="Z673" s="6"/>
      <c r="AA673" s="6"/>
      <c r="AB673" s="6">
        <f>$K$673*$V$673</f>
        <v>57529.3</v>
      </c>
      <c r="AC673" s="6">
        <f>$M$673*$W$673</f>
        <v>0</v>
      </c>
      <c r="AD673" s="6">
        <f>$O$673*$X$673</f>
        <v>0</v>
      </c>
      <c r="AE673" s="6">
        <f ca="1">$K$673*$Y$673</f>
        <v>74783.888915705364</v>
      </c>
      <c r="AF673" s="6">
        <f>$M$673*$Z$673</f>
        <v>0</v>
      </c>
      <c r="AG673" s="6">
        <f>$O$673*$AA$673</f>
        <v>0</v>
      </c>
    </row>
    <row r="674" spans="1:33" ht="11.25" customHeight="1" x14ac:dyDescent="0.25">
      <c r="A674" s="4" t="s">
        <v>21</v>
      </c>
      <c r="B674" s="4" t="s">
        <v>33</v>
      </c>
      <c r="C674" s="4" t="s">
        <v>34</v>
      </c>
      <c r="D674" s="4" t="s">
        <v>42</v>
      </c>
      <c r="E674" s="4" t="s">
        <v>25</v>
      </c>
      <c r="F674" s="4" t="s">
        <v>25</v>
      </c>
      <c r="G674" s="4" t="s">
        <v>25</v>
      </c>
      <c r="H674" s="4" t="s">
        <v>25</v>
      </c>
      <c r="I674" s="5">
        <v>44013</v>
      </c>
      <c r="J674" s="6">
        <v>119745</v>
      </c>
      <c r="K674" s="6">
        <v>119745</v>
      </c>
      <c r="L674" s="6">
        <v>0</v>
      </c>
      <c r="M674" s="6">
        <v>0</v>
      </c>
      <c r="N674" s="6">
        <v>0</v>
      </c>
      <c r="O674" s="6">
        <v>0</v>
      </c>
      <c r="P674" s="6">
        <v>899</v>
      </c>
      <c r="Q674" s="4" t="s">
        <v>26</v>
      </c>
      <c r="R674" s="4">
        <v>0</v>
      </c>
      <c r="S674" s="6">
        <v>26</v>
      </c>
      <c r="T674" s="6">
        <v>0</v>
      </c>
      <c r="U674" s="6">
        <v>0</v>
      </c>
      <c r="V674" s="6">
        <f>IF(ISERROR(VLOOKUP($S$674,'TAR FIN'!$A$1:$O$120,15,0)),0,VLOOKUP($S$674,'TAR FIN'!$A$1:$O$120,15,0))</f>
        <v>8.81</v>
      </c>
      <c r="W674" s="6">
        <f>IF(ISERROR(VLOOKUP($T$674,'TAR FIN'!$A$1:$O$120,15,0)),0,VLOOKUP($T$674,'TAR FIN'!$A$1:$O$120,15,0))</f>
        <v>0</v>
      </c>
      <c r="X674" s="6">
        <f>IF(ISERROR(VLOOKUP($U$674,'TAR FIN'!$A$1:$O$120,15,0)),0,VLOOKUP($U$674,'TAR FIN'!$A$1:$O$120,15,0))</f>
        <v>0</v>
      </c>
      <c r="Y674" s="6">
        <f ca="1">('TUSD BE'!$AM$32+'TUSD BF'!$AM$32+'TUSD CVA'!$AM$32)*1</f>
        <v>11.452356648653195</v>
      </c>
      <c r="Z674" s="6"/>
      <c r="AA674" s="6"/>
      <c r="AB674" s="6">
        <f>$K$674*$V$674</f>
        <v>1054953.45</v>
      </c>
      <c r="AC674" s="6">
        <f>$M$674*$W$674</f>
        <v>0</v>
      </c>
      <c r="AD674" s="6">
        <f>$O$674*$X$674</f>
        <v>0</v>
      </c>
      <c r="AE674" s="6">
        <f ca="1">$K$674*$Y$674</f>
        <v>1371362.4468929768</v>
      </c>
      <c r="AF674" s="6">
        <f>$M$674*$Z$674</f>
        <v>0</v>
      </c>
      <c r="AG674" s="6">
        <f>$O$674*$AA$674</f>
        <v>0</v>
      </c>
    </row>
    <row r="675" spans="1:33" ht="11.25" customHeight="1" x14ac:dyDescent="0.25">
      <c r="A675" s="4" t="s">
        <v>27</v>
      </c>
      <c r="B675" s="4" t="s">
        <v>33</v>
      </c>
      <c r="C675" s="4" t="s">
        <v>34</v>
      </c>
      <c r="D675" s="4" t="s">
        <v>42</v>
      </c>
      <c r="E675" s="4" t="s">
        <v>25</v>
      </c>
      <c r="F675" s="4" t="s">
        <v>25</v>
      </c>
      <c r="G675" s="4" t="s">
        <v>25</v>
      </c>
      <c r="H675" s="4" t="s">
        <v>25</v>
      </c>
      <c r="I675" s="5">
        <v>44013</v>
      </c>
      <c r="J675" s="6">
        <v>324</v>
      </c>
      <c r="K675" s="6">
        <v>324</v>
      </c>
      <c r="L675" s="6">
        <v>0</v>
      </c>
      <c r="M675" s="6">
        <v>0</v>
      </c>
      <c r="N675" s="6">
        <v>0</v>
      </c>
      <c r="O675" s="6">
        <v>0</v>
      </c>
      <c r="P675" s="6">
        <v>3</v>
      </c>
      <c r="Q675" s="4" t="s">
        <v>26</v>
      </c>
      <c r="R675" s="4">
        <v>0</v>
      </c>
      <c r="S675" s="6">
        <v>26</v>
      </c>
      <c r="T675" s="6">
        <v>0</v>
      </c>
      <c r="U675" s="6">
        <v>0</v>
      </c>
      <c r="V675" s="6">
        <f>IF(ISERROR(VLOOKUP($S$675,'TAR FIN'!$A$1:$O$120,15,0)),0,VLOOKUP($S$675,'TAR FIN'!$A$1:$O$120,15,0))</f>
        <v>8.81</v>
      </c>
      <c r="W675" s="6">
        <f>IF(ISERROR(VLOOKUP($T$675,'TAR FIN'!$A$1:$O$120,15,0)),0,VLOOKUP($T$675,'TAR FIN'!$A$1:$O$120,15,0))</f>
        <v>0</v>
      </c>
      <c r="X675" s="6">
        <f>IF(ISERROR(VLOOKUP($U$675,'TAR FIN'!$A$1:$O$120,15,0)),0,VLOOKUP($U$675,'TAR FIN'!$A$1:$O$120,15,0))</f>
        <v>0</v>
      </c>
      <c r="Y675" s="6">
        <f ca="1">('TUSD BE'!$AM$32+'TUSD BF'!$AM$32+'TUSD CVA'!$AM$32)*1</f>
        <v>11.452356648653195</v>
      </c>
      <c r="Z675" s="6"/>
      <c r="AA675" s="6"/>
      <c r="AB675" s="6">
        <f>$K$675*$V$675</f>
        <v>2854.44</v>
      </c>
      <c r="AC675" s="6">
        <f>$M$675*$W$675</f>
        <v>0</v>
      </c>
      <c r="AD675" s="6">
        <f>$O$675*$X$675</f>
        <v>0</v>
      </c>
      <c r="AE675" s="6">
        <f ca="1">$K$675*$Y$675</f>
        <v>3710.5635541636352</v>
      </c>
      <c r="AF675" s="6">
        <f>$M$675*$Z$675</f>
        <v>0</v>
      </c>
      <c r="AG675" s="6">
        <f>$O$675*$AA$675</f>
        <v>0</v>
      </c>
    </row>
    <row r="676" spans="1:33" ht="11.25" customHeight="1" x14ac:dyDescent="0.25">
      <c r="A676" s="4" t="s">
        <v>28</v>
      </c>
      <c r="B676" s="4" t="s">
        <v>33</v>
      </c>
      <c r="C676" s="4" t="s">
        <v>34</v>
      </c>
      <c r="D676" s="4" t="s">
        <v>42</v>
      </c>
      <c r="E676" s="4" t="s">
        <v>25</v>
      </c>
      <c r="F676" s="4" t="s">
        <v>25</v>
      </c>
      <c r="G676" s="4" t="s">
        <v>25</v>
      </c>
      <c r="H676" s="4" t="s">
        <v>25</v>
      </c>
      <c r="I676" s="5">
        <v>44013</v>
      </c>
      <c r="J676" s="6">
        <v>6794</v>
      </c>
      <c r="K676" s="6">
        <v>6794</v>
      </c>
      <c r="L676" s="6">
        <v>0</v>
      </c>
      <c r="M676" s="6">
        <v>0</v>
      </c>
      <c r="N676" s="6">
        <v>0</v>
      </c>
      <c r="O676" s="6">
        <v>0</v>
      </c>
      <c r="P676" s="6">
        <v>29</v>
      </c>
      <c r="Q676" s="4" t="s">
        <v>26</v>
      </c>
      <c r="R676" s="4">
        <v>0</v>
      </c>
      <c r="S676" s="6">
        <v>26</v>
      </c>
      <c r="T676" s="6">
        <v>0</v>
      </c>
      <c r="U676" s="6">
        <v>0</v>
      </c>
      <c r="V676" s="6">
        <f>IF(ISERROR(VLOOKUP($S$676,'TAR FIN'!$A$1:$O$120,15,0)),0,VLOOKUP($S$676,'TAR FIN'!$A$1:$O$120,15,0))</f>
        <v>8.81</v>
      </c>
      <c r="W676" s="6">
        <f>IF(ISERROR(VLOOKUP($T$676,'TAR FIN'!$A$1:$O$120,15,0)),0,VLOOKUP($T$676,'TAR FIN'!$A$1:$O$120,15,0))</f>
        <v>0</v>
      </c>
      <c r="X676" s="6">
        <f>IF(ISERROR(VLOOKUP($U$676,'TAR FIN'!$A$1:$O$120,15,0)),0,VLOOKUP($U$676,'TAR FIN'!$A$1:$O$120,15,0))</f>
        <v>0</v>
      </c>
      <c r="Y676" s="6">
        <f ca="1">('TUSD BE'!$AM$32+'TUSD BF'!$AM$32+'TUSD CVA'!$AM$32)*1</f>
        <v>11.452356648653195</v>
      </c>
      <c r="Z676" s="6"/>
      <c r="AA676" s="6"/>
      <c r="AB676" s="6">
        <f>$K$676*$V$676</f>
        <v>59855.140000000007</v>
      </c>
      <c r="AC676" s="6">
        <f>$M$676*$W$676</f>
        <v>0</v>
      </c>
      <c r="AD676" s="6">
        <f>$O$676*$X$676</f>
        <v>0</v>
      </c>
      <c r="AE676" s="6">
        <f ca="1">$K$676*$Y$676</f>
        <v>77807.311070949814</v>
      </c>
      <c r="AF676" s="6">
        <f>$M$676*$Z$676</f>
        <v>0</v>
      </c>
      <c r="AG676" s="6">
        <f>$O$676*$AA$676</f>
        <v>0</v>
      </c>
    </row>
    <row r="677" spans="1:33" ht="11.25" customHeight="1" x14ac:dyDescent="0.25">
      <c r="A677" s="4" t="s">
        <v>21</v>
      </c>
      <c r="B677" s="4" t="s">
        <v>33</v>
      </c>
      <c r="C677" s="4" t="s">
        <v>34</v>
      </c>
      <c r="D677" s="4" t="s">
        <v>42</v>
      </c>
      <c r="E677" s="4" t="s">
        <v>25</v>
      </c>
      <c r="F677" s="4" t="s">
        <v>25</v>
      </c>
      <c r="G677" s="4" t="s">
        <v>25</v>
      </c>
      <c r="H677" s="4" t="s">
        <v>25</v>
      </c>
      <c r="I677" s="5">
        <v>44044</v>
      </c>
      <c r="J677" s="6">
        <v>115872</v>
      </c>
      <c r="K677" s="6">
        <v>115872</v>
      </c>
      <c r="L677" s="6">
        <v>0</v>
      </c>
      <c r="M677" s="6">
        <v>0</v>
      </c>
      <c r="N677" s="6">
        <v>0</v>
      </c>
      <c r="O677" s="6">
        <v>0</v>
      </c>
      <c r="P677" s="6">
        <v>915</v>
      </c>
      <c r="Q677" s="4" t="s">
        <v>26</v>
      </c>
      <c r="R677" s="4">
        <v>0</v>
      </c>
      <c r="S677" s="6">
        <v>26</v>
      </c>
      <c r="T677" s="6">
        <v>0</v>
      </c>
      <c r="U677" s="6">
        <v>0</v>
      </c>
      <c r="V677" s="6">
        <f>IF(ISERROR(VLOOKUP($S$677,'TAR FIN'!$A$1:$O$120,15,0)),0,VLOOKUP($S$677,'TAR FIN'!$A$1:$O$120,15,0))</f>
        <v>8.81</v>
      </c>
      <c r="W677" s="6">
        <f>IF(ISERROR(VLOOKUP($T$677,'TAR FIN'!$A$1:$O$120,15,0)),0,VLOOKUP($T$677,'TAR FIN'!$A$1:$O$120,15,0))</f>
        <v>0</v>
      </c>
      <c r="X677" s="6">
        <f>IF(ISERROR(VLOOKUP($U$677,'TAR FIN'!$A$1:$O$120,15,0)),0,VLOOKUP($U$677,'TAR FIN'!$A$1:$O$120,15,0))</f>
        <v>0</v>
      </c>
      <c r="Y677" s="6">
        <f ca="1">('TUSD BE'!$AM$32+'TUSD BF'!$AM$32+'TUSD CVA'!$AM$32)*1</f>
        <v>11.452356648653195</v>
      </c>
      <c r="Z677" s="6"/>
      <c r="AA677" s="6"/>
      <c r="AB677" s="6">
        <f>$K$677*$V$677</f>
        <v>1020832.3200000001</v>
      </c>
      <c r="AC677" s="6">
        <f>$M$677*$W$677</f>
        <v>0</v>
      </c>
      <c r="AD677" s="6">
        <f>$O$677*$X$677</f>
        <v>0</v>
      </c>
      <c r="AE677" s="6">
        <f ca="1">$K$677*$Y$677</f>
        <v>1327007.4695927431</v>
      </c>
      <c r="AF677" s="6">
        <f>$M$677*$Z$677</f>
        <v>0</v>
      </c>
      <c r="AG677" s="6">
        <f>$O$677*$AA$677</f>
        <v>0</v>
      </c>
    </row>
    <row r="678" spans="1:33" ht="11.25" customHeight="1" x14ac:dyDescent="0.25">
      <c r="A678" s="4" t="s">
        <v>27</v>
      </c>
      <c r="B678" s="4" t="s">
        <v>33</v>
      </c>
      <c r="C678" s="4" t="s">
        <v>34</v>
      </c>
      <c r="D678" s="4" t="s">
        <v>42</v>
      </c>
      <c r="E678" s="4" t="s">
        <v>25</v>
      </c>
      <c r="F678" s="4" t="s">
        <v>25</v>
      </c>
      <c r="G678" s="4" t="s">
        <v>25</v>
      </c>
      <c r="H678" s="4" t="s">
        <v>25</v>
      </c>
      <c r="I678" s="5">
        <v>44044</v>
      </c>
      <c r="J678" s="6">
        <v>335</v>
      </c>
      <c r="K678" s="6">
        <v>335</v>
      </c>
      <c r="L678" s="6">
        <v>0</v>
      </c>
      <c r="M678" s="6">
        <v>0</v>
      </c>
      <c r="N678" s="6">
        <v>0</v>
      </c>
      <c r="O678" s="6">
        <v>0</v>
      </c>
      <c r="P678" s="6">
        <v>3</v>
      </c>
      <c r="Q678" s="4" t="s">
        <v>26</v>
      </c>
      <c r="R678" s="4">
        <v>0</v>
      </c>
      <c r="S678" s="6">
        <v>26</v>
      </c>
      <c r="T678" s="6">
        <v>0</v>
      </c>
      <c r="U678" s="6">
        <v>0</v>
      </c>
      <c r="V678" s="6">
        <f>IF(ISERROR(VLOOKUP($S$678,'TAR FIN'!$A$1:$O$120,15,0)),0,VLOOKUP($S$678,'TAR FIN'!$A$1:$O$120,15,0))</f>
        <v>8.81</v>
      </c>
      <c r="W678" s="6">
        <f>IF(ISERROR(VLOOKUP($T$678,'TAR FIN'!$A$1:$O$120,15,0)),0,VLOOKUP($T$678,'TAR FIN'!$A$1:$O$120,15,0))</f>
        <v>0</v>
      </c>
      <c r="X678" s="6">
        <f>IF(ISERROR(VLOOKUP($U$678,'TAR FIN'!$A$1:$O$120,15,0)),0,VLOOKUP($U$678,'TAR FIN'!$A$1:$O$120,15,0))</f>
        <v>0</v>
      </c>
      <c r="Y678" s="6">
        <f ca="1">('TUSD BE'!$AM$32+'TUSD BF'!$AM$32+'TUSD CVA'!$AM$32)*1</f>
        <v>11.452356648653195</v>
      </c>
      <c r="Z678" s="6"/>
      <c r="AA678" s="6"/>
      <c r="AB678" s="6">
        <f>$K$678*$V$678</f>
        <v>2951.3500000000004</v>
      </c>
      <c r="AC678" s="6">
        <f>$M$678*$W$678</f>
        <v>0</v>
      </c>
      <c r="AD678" s="6">
        <f>$O$678*$X$678</f>
        <v>0</v>
      </c>
      <c r="AE678" s="6">
        <f ca="1">$K$678*$Y$678</f>
        <v>3836.5394772988202</v>
      </c>
      <c r="AF678" s="6">
        <f>$M$678*$Z$678</f>
        <v>0</v>
      </c>
      <c r="AG678" s="6">
        <f>$O$678*$AA$678</f>
        <v>0</v>
      </c>
    </row>
    <row r="679" spans="1:33" ht="11.25" customHeight="1" x14ac:dyDescent="0.25">
      <c r="A679" s="4" t="s">
        <v>28</v>
      </c>
      <c r="B679" s="4" t="s">
        <v>33</v>
      </c>
      <c r="C679" s="4" t="s">
        <v>34</v>
      </c>
      <c r="D679" s="4" t="s">
        <v>42</v>
      </c>
      <c r="E679" s="4" t="s">
        <v>25</v>
      </c>
      <c r="F679" s="4" t="s">
        <v>25</v>
      </c>
      <c r="G679" s="4" t="s">
        <v>25</v>
      </c>
      <c r="H679" s="4" t="s">
        <v>25</v>
      </c>
      <c r="I679" s="5">
        <v>44044</v>
      </c>
      <c r="J679" s="6">
        <v>19642</v>
      </c>
      <c r="K679" s="6">
        <v>19642</v>
      </c>
      <c r="L679" s="6">
        <v>0</v>
      </c>
      <c r="M679" s="6">
        <v>0</v>
      </c>
      <c r="N679" s="6">
        <v>0</v>
      </c>
      <c r="O679" s="6">
        <v>0</v>
      </c>
      <c r="P679" s="6">
        <v>61</v>
      </c>
      <c r="Q679" s="4" t="s">
        <v>26</v>
      </c>
      <c r="R679" s="4">
        <v>0</v>
      </c>
      <c r="S679" s="6">
        <v>26</v>
      </c>
      <c r="T679" s="6">
        <v>0</v>
      </c>
      <c r="U679" s="6">
        <v>0</v>
      </c>
      <c r="V679" s="6">
        <f>IF(ISERROR(VLOOKUP($S$679,'TAR FIN'!$A$1:$O$120,15,0)),0,VLOOKUP($S$679,'TAR FIN'!$A$1:$O$120,15,0))</f>
        <v>8.81</v>
      </c>
      <c r="W679" s="6">
        <f>IF(ISERROR(VLOOKUP($T$679,'TAR FIN'!$A$1:$O$120,15,0)),0,VLOOKUP($T$679,'TAR FIN'!$A$1:$O$120,15,0))</f>
        <v>0</v>
      </c>
      <c r="X679" s="6">
        <f>IF(ISERROR(VLOOKUP($U$679,'TAR FIN'!$A$1:$O$120,15,0)),0,VLOOKUP($U$679,'TAR FIN'!$A$1:$O$120,15,0))</f>
        <v>0</v>
      </c>
      <c r="Y679" s="6">
        <f ca="1">('TUSD BE'!$AM$32+'TUSD BF'!$AM$32+'TUSD CVA'!$AM$32)*1</f>
        <v>11.452356648653195</v>
      </c>
      <c r="Z679" s="6"/>
      <c r="AA679" s="6"/>
      <c r="AB679" s="6">
        <f>$K$679*$V$679</f>
        <v>173046.02000000002</v>
      </c>
      <c r="AC679" s="6">
        <f>$M$679*$W$679</f>
        <v>0</v>
      </c>
      <c r="AD679" s="6">
        <f>$O$679*$X$679</f>
        <v>0</v>
      </c>
      <c r="AE679" s="6">
        <f ca="1">$K$679*$Y$679</f>
        <v>224947.18929284607</v>
      </c>
      <c r="AF679" s="6">
        <f>$M$679*$Z$679</f>
        <v>0</v>
      </c>
      <c r="AG679" s="6">
        <f>$O$679*$AA$679</f>
        <v>0</v>
      </c>
    </row>
    <row r="680" spans="1:33" ht="11.25" customHeight="1" x14ac:dyDescent="0.25">
      <c r="A680" s="4" t="s">
        <v>59</v>
      </c>
      <c r="B680" s="4" t="s">
        <v>33</v>
      </c>
      <c r="C680" s="4" t="s">
        <v>34</v>
      </c>
      <c r="D680" s="4" t="s">
        <v>42</v>
      </c>
      <c r="E680" s="4" t="s">
        <v>25</v>
      </c>
      <c r="F680" s="4" t="s">
        <v>25</v>
      </c>
      <c r="G680" s="4" t="s">
        <v>25</v>
      </c>
      <c r="H680" s="4" t="s">
        <v>25</v>
      </c>
      <c r="I680" s="5">
        <v>44075</v>
      </c>
      <c r="J680" s="6">
        <v>115872</v>
      </c>
      <c r="K680" s="6">
        <v>115872</v>
      </c>
      <c r="L680" s="6">
        <v>0</v>
      </c>
      <c r="M680" s="6">
        <v>0</v>
      </c>
      <c r="N680" s="6">
        <v>0</v>
      </c>
      <c r="O680" s="6">
        <v>0</v>
      </c>
      <c r="P680" s="6">
        <v>915</v>
      </c>
      <c r="Q680" s="4" t="s">
        <v>26</v>
      </c>
      <c r="R680" s="4">
        <v>0</v>
      </c>
      <c r="S680" s="6">
        <v>26</v>
      </c>
      <c r="T680" s="6">
        <v>0</v>
      </c>
      <c r="U680" s="6">
        <v>0</v>
      </c>
      <c r="V680" s="6">
        <f>IF(ISERROR(VLOOKUP($S$680,'TAR FIN'!$A$1:$O$120,15,0)),0,VLOOKUP($S$680,'TAR FIN'!$A$1:$O$120,15,0))</f>
        <v>8.81</v>
      </c>
      <c r="W680" s="6">
        <f>IF(ISERROR(VLOOKUP($T$680,'TAR FIN'!$A$1:$O$120,15,0)),0,VLOOKUP($T$680,'TAR FIN'!$A$1:$O$120,15,0))</f>
        <v>0</v>
      </c>
      <c r="X680" s="6">
        <f>IF(ISERROR(VLOOKUP($U$680,'TAR FIN'!$A$1:$O$120,15,0)),0,VLOOKUP($U$680,'TAR FIN'!$A$1:$O$120,15,0))</f>
        <v>0</v>
      </c>
      <c r="Y680" s="6">
        <f ca="1">('TUSD BE'!$AM$32+'TUSD BF'!$AM$32+'TUSD CVA'!$AM$32)*1</f>
        <v>11.452356648653195</v>
      </c>
      <c r="Z680" s="6"/>
      <c r="AA680" s="6"/>
      <c r="AB680" s="6">
        <f>$K$680*$V$680</f>
        <v>1020832.3200000001</v>
      </c>
      <c r="AC680" s="6">
        <f>$M$680*$W$680</f>
        <v>0</v>
      </c>
      <c r="AD680" s="6">
        <f>$O$680*$X$680</f>
        <v>0</v>
      </c>
      <c r="AE680" s="6">
        <f ca="1">$K$680*$Y$680</f>
        <v>1327007.4695927431</v>
      </c>
      <c r="AF680" s="6">
        <f>$M$680*$Z$680</f>
        <v>0</v>
      </c>
      <c r="AG680" s="6">
        <f>$O$680*$AA$680</f>
        <v>0</v>
      </c>
    </row>
    <row r="681" spans="1:33" ht="11.25" customHeight="1" x14ac:dyDescent="0.25">
      <c r="A681" s="4" t="s">
        <v>59</v>
      </c>
      <c r="B681" s="4" t="s">
        <v>33</v>
      </c>
      <c r="C681" s="4" t="s">
        <v>34</v>
      </c>
      <c r="D681" s="4" t="s">
        <v>42</v>
      </c>
      <c r="E681" s="4" t="s">
        <v>25</v>
      </c>
      <c r="F681" s="4" t="s">
        <v>25</v>
      </c>
      <c r="G681" s="4" t="s">
        <v>25</v>
      </c>
      <c r="H681" s="4" t="s">
        <v>25</v>
      </c>
      <c r="I681" s="5">
        <v>44075</v>
      </c>
      <c r="J681" s="6">
        <v>335</v>
      </c>
      <c r="K681" s="6">
        <v>335</v>
      </c>
      <c r="L681" s="6">
        <v>0</v>
      </c>
      <c r="M681" s="6">
        <v>0</v>
      </c>
      <c r="N681" s="6">
        <v>0</v>
      </c>
      <c r="O681" s="6">
        <v>0</v>
      </c>
      <c r="P681" s="6">
        <v>3</v>
      </c>
      <c r="Q681" s="4" t="s">
        <v>26</v>
      </c>
      <c r="R681" s="4">
        <v>0</v>
      </c>
      <c r="S681" s="6">
        <v>26</v>
      </c>
      <c r="T681" s="6">
        <v>0</v>
      </c>
      <c r="U681" s="6">
        <v>0</v>
      </c>
      <c r="V681" s="6">
        <f>IF(ISERROR(VLOOKUP($S$681,'TAR FIN'!$A$1:$O$120,15,0)),0,VLOOKUP($S$681,'TAR FIN'!$A$1:$O$120,15,0))</f>
        <v>8.81</v>
      </c>
      <c r="W681" s="6">
        <f>IF(ISERROR(VLOOKUP($T$681,'TAR FIN'!$A$1:$O$120,15,0)),0,VLOOKUP($T$681,'TAR FIN'!$A$1:$O$120,15,0))</f>
        <v>0</v>
      </c>
      <c r="X681" s="6">
        <f>IF(ISERROR(VLOOKUP($U$681,'TAR FIN'!$A$1:$O$120,15,0)),0,VLOOKUP($U$681,'TAR FIN'!$A$1:$O$120,15,0))</f>
        <v>0</v>
      </c>
      <c r="Y681" s="6">
        <f ca="1">('TUSD BE'!$AM$32+'TUSD BF'!$AM$32+'TUSD CVA'!$AM$32)*1</f>
        <v>11.452356648653195</v>
      </c>
      <c r="Z681" s="6"/>
      <c r="AA681" s="6"/>
      <c r="AB681" s="6">
        <f>$K$681*$V$681</f>
        <v>2951.3500000000004</v>
      </c>
      <c r="AC681" s="6">
        <f>$M$681*$W$681</f>
        <v>0</v>
      </c>
      <c r="AD681" s="6">
        <f>$O$681*$X$681</f>
        <v>0</v>
      </c>
      <c r="AE681" s="6">
        <f ca="1">$K$681*$Y$681</f>
        <v>3836.5394772988202</v>
      </c>
      <c r="AF681" s="6">
        <f>$M$681*$Z$681</f>
        <v>0</v>
      </c>
      <c r="AG681" s="6">
        <f>$O$681*$AA$681</f>
        <v>0</v>
      </c>
    </row>
    <row r="682" spans="1:33" ht="11.25" customHeight="1" x14ac:dyDescent="0.25">
      <c r="A682" s="4" t="s">
        <v>59</v>
      </c>
      <c r="B682" s="4" t="s">
        <v>33</v>
      </c>
      <c r="C682" s="4" t="s">
        <v>34</v>
      </c>
      <c r="D682" s="4" t="s">
        <v>42</v>
      </c>
      <c r="E682" s="4" t="s">
        <v>25</v>
      </c>
      <c r="F682" s="4" t="s">
        <v>25</v>
      </c>
      <c r="G682" s="4" t="s">
        <v>25</v>
      </c>
      <c r="H682" s="4" t="s">
        <v>25</v>
      </c>
      <c r="I682" s="5">
        <v>44075</v>
      </c>
      <c r="J682" s="6">
        <v>19642</v>
      </c>
      <c r="K682" s="6">
        <v>19642</v>
      </c>
      <c r="L682" s="6">
        <v>0</v>
      </c>
      <c r="M682" s="6">
        <v>0</v>
      </c>
      <c r="N682" s="6">
        <v>0</v>
      </c>
      <c r="O682" s="6">
        <v>0</v>
      </c>
      <c r="P682" s="6">
        <v>61</v>
      </c>
      <c r="Q682" s="4" t="s">
        <v>26</v>
      </c>
      <c r="R682" s="4">
        <v>0</v>
      </c>
      <c r="S682" s="6">
        <v>26</v>
      </c>
      <c r="T682" s="6">
        <v>0</v>
      </c>
      <c r="U682" s="6">
        <v>0</v>
      </c>
      <c r="V682" s="6">
        <f>IF(ISERROR(VLOOKUP($S$682,'TAR FIN'!$A$1:$O$120,15,0)),0,VLOOKUP($S$682,'TAR FIN'!$A$1:$O$120,15,0))</f>
        <v>8.81</v>
      </c>
      <c r="W682" s="6">
        <f>IF(ISERROR(VLOOKUP($T$682,'TAR FIN'!$A$1:$O$120,15,0)),0,VLOOKUP($T$682,'TAR FIN'!$A$1:$O$120,15,0))</f>
        <v>0</v>
      </c>
      <c r="X682" s="6">
        <f>IF(ISERROR(VLOOKUP($U$682,'TAR FIN'!$A$1:$O$120,15,0)),0,VLOOKUP($U$682,'TAR FIN'!$A$1:$O$120,15,0))</f>
        <v>0</v>
      </c>
      <c r="Y682" s="6">
        <f ca="1">('TUSD BE'!$AM$32+'TUSD BF'!$AM$32+'TUSD CVA'!$AM$32)*1</f>
        <v>11.452356648653195</v>
      </c>
      <c r="Z682" s="6"/>
      <c r="AA682" s="6"/>
      <c r="AB682" s="6">
        <f>$K$682*$V$682</f>
        <v>173046.02000000002</v>
      </c>
      <c r="AC682" s="6">
        <f>$M$682*$W$682</f>
        <v>0</v>
      </c>
      <c r="AD682" s="6">
        <f>$O$682*$X$682</f>
        <v>0</v>
      </c>
      <c r="AE682" s="6">
        <f ca="1">$K$682*$Y$682</f>
        <v>224947.18929284607</v>
      </c>
      <c r="AF682" s="6">
        <f>$M$682*$Z$682</f>
        <v>0</v>
      </c>
      <c r="AG682" s="6">
        <f>$O$682*$AA$682</f>
        <v>0</v>
      </c>
    </row>
    <row r="683" spans="1:33" ht="11.25" customHeight="1" x14ac:dyDescent="0.25">
      <c r="A683" s="4" t="s">
        <v>21</v>
      </c>
      <c r="B683" s="4" t="s">
        <v>33</v>
      </c>
      <c r="C683" s="4" t="s">
        <v>34</v>
      </c>
      <c r="D683" s="4" t="s">
        <v>42</v>
      </c>
      <c r="E683" s="4" t="s">
        <v>25</v>
      </c>
      <c r="F683" s="4" t="s">
        <v>25</v>
      </c>
      <c r="G683" s="4" t="s">
        <v>25</v>
      </c>
      <c r="H683" s="4" t="s">
        <v>35</v>
      </c>
      <c r="I683" s="5">
        <v>43739</v>
      </c>
      <c r="J683" s="6">
        <v>0</v>
      </c>
      <c r="K683" s="6">
        <v>0</v>
      </c>
      <c r="L683" s="6">
        <v>2340.2860000000001</v>
      </c>
      <c r="M683" s="6">
        <v>2340.2860000000001</v>
      </c>
      <c r="N683" s="6">
        <v>2340.2860000000001</v>
      </c>
      <c r="O683" s="6">
        <v>2340.2860000000001</v>
      </c>
      <c r="P683" s="6">
        <v>0</v>
      </c>
      <c r="Q683" s="4" t="s">
        <v>26</v>
      </c>
      <c r="R683" s="4">
        <v>0</v>
      </c>
      <c r="S683" s="6">
        <v>0</v>
      </c>
      <c r="T683" s="6">
        <v>27</v>
      </c>
      <c r="U683" s="6">
        <v>81</v>
      </c>
      <c r="V683" s="6">
        <f>IF(ISERROR(VLOOKUP($S$683,'TAR FIN'!$A$1:$O$120,15,0)),0,VLOOKUP($S$683,'TAR FIN'!$A$1:$O$120,15,0))</f>
        <v>0</v>
      </c>
      <c r="W683" s="6">
        <f>IF(ISERROR(VLOOKUP($T$683,'TAR FIN'!$A$1:$O$120,15,0)),0,VLOOKUP($T$683,'TAR FIN'!$A$1:$O$120,15,0))</f>
        <v>641.99</v>
      </c>
      <c r="X683" s="6">
        <f>IF(ISERROR(VLOOKUP($U$683,'TAR FIN'!$A$1:$O$120,15,0)),0,VLOOKUP($U$683,'TAR FIN'!$A$1:$O$120,15,0))</f>
        <v>430.87</v>
      </c>
      <c r="Y683" s="6"/>
      <c r="Z683" s="6">
        <f ca="1">('TUSD BE'!$AM$33+'TUSD BF'!$AM$33+'TUSD CVA'!$AM$33)*1</f>
        <v>747.73363518028248</v>
      </c>
      <c r="AA683" s="6">
        <f>('TE BE'!$AA$10+'TE BF'!$AA$10+'TE CVA'!$AA$10)*1</f>
        <v>375.69180268700768</v>
      </c>
      <c r="AB683" s="6">
        <f>$K$683*$V$683</f>
        <v>0</v>
      </c>
      <c r="AC683" s="6">
        <f>$M$683*$W$683</f>
        <v>1502440.2091400002</v>
      </c>
      <c r="AD683" s="6">
        <f>$O$683*$X$683</f>
        <v>1008359.02882</v>
      </c>
      <c r="AE683" s="6">
        <f>$K$683*$Y$683</f>
        <v>0</v>
      </c>
      <c r="AF683" s="6">
        <f ca="1">$M$683*$Z$683</f>
        <v>1749910.5581415226</v>
      </c>
      <c r="AG683" s="6">
        <f>$O$683*$AA$683</f>
        <v>879226.26614316646</v>
      </c>
    </row>
    <row r="684" spans="1:33" ht="11.25" customHeight="1" x14ac:dyDescent="0.25">
      <c r="A684" s="4" t="s">
        <v>27</v>
      </c>
      <c r="B684" s="4" t="s">
        <v>33</v>
      </c>
      <c r="C684" s="4" t="s">
        <v>34</v>
      </c>
      <c r="D684" s="4" t="s">
        <v>42</v>
      </c>
      <c r="E684" s="4" t="s">
        <v>25</v>
      </c>
      <c r="F684" s="4" t="s">
        <v>25</v>
      </c>
      <c r="G684" s="4" t="s">
        <v>25</v>
      </c>
      <c r="H684" s="4" t="s">
        <v>35</v>
      </c>
      <c r="I684" s="5">
        <v>43739</v>
      </c>
      <c r="J684" s="6">
        <v>0</v>
      </c>
      <c r="K684" s="6">
        <v>0</v>
      </c>
      <c r="L684" s="6">
        <v>10.191000000000001</v>
      </c>
      <c r="M684" s="6">
        <v>10.191000000000001</v>
      </c>
      <c r="N684" s="6">
        <v>10.191000000000001</v>
      </c>
      <c r="O684" s="6">
        <v>10.191000000000001</v>
      </c>
      <c r="P684" s="6">
        <v>0</v>
      </c>
      <c r="Q684" s="4" t="s">
        <v>26</v>
      </c>
      <c r="R684" s="4">
        <v>0</v>
      </c>
      <c r="S684" s="6">
        <v>0</v>
      </c>
      <c r="T684" s="6">
        <v>27</v>
      </c>
      <c r="U684" s="6">
        <v>81</v>
      </c>
      <c r="V684" s="6">
        <f>IF(ISERROR(VLOOKUP($S$684,'TAR FIN'!$A$1:$O$120,15,0)),0,VLOOKUP($S$684,'TAR FIN'!$A$1:$O$120,15,0))</f>
        <v>0</v>
      </c>
      <c r="W684" s="6">
        <f>IF(ISERROR(VLOOKUP($T$684,'TAR FIN'!$A$1:$O$120,15,0)),0,VLOOKUP($T$684,'TAR FIN'!$A$1:$O$120,15,0))</f>
        <v>641.99</v>
      </c>
      <c r="X684" s="6">
        <f>IF(ISERROR(VLOOKUP($U$684,'TAR FIN'!$A$1:$O$120,15,0)),0,VLOOKUP($U$684,'TAR FIN'!$A$1:$O$120,15,0))</f>
        <v>430.87</v>
      </c>
      <c r="Y684" s="6"/>
      <c r="Z684" s="6">
        <f ca="1">('TUSD BE'!$AM$33+'TUSD BF'!$AM$33+'TUSD CVA'!$AM$33)*1</f>
        <v>747.73363518028248</v>
      </c>
      <c r="AA684" s="6">
        <f>('TE BE'!$AA$10+'TE BF'!$AA$10+'TE CVA'!$AA$10)*1</f>
        <v>375.69180268700768</v>
      </c>
      <c r="AB684" s="6">
        <f>$K$684*$V$684</f>
        <v>0</v>
      </c>
      <c r="AC684" s="6">
        <f>$M$684*$W$684</f>
        <v>6542.5200900000009</v>
      </c>
      <c r="AD684" s="6">
        <f>$O$684*$X$684</f>
        <v>4390.9961700000003</v>
      </c>
      <c r="AE684" s="6">
        <f>$K$684*$Y$684</f>
        <v>0</v>
      </c>
      <c r="AF684" s="6">
        <f ca="1">$M$684*$Z$684</f>
        <v>7620.1534761222592</v>
      </c>
      <c r="AG684" s="6">
        <f>$O$684*$AA$684</f>
        <v>3828.6751611832956</v>
      </c>
    </row>
    <row r="685" spans="1:33" ht="11.25" customHeight="1" x14ac:dyDescent="0.25">
      <c r="A685" s="4" t="s">
        <v>21</v>
      </c>
      <c r="B685" s="4" t="s">
        <v>33</v>
      </c>
      <c r="C685" s="4" t="s">
        <v>34</v>
      </c>
      <c r="D685" s="4" t="s">
        <v>42</v>
      </c>
      <c r="E685" s="4" t="s">
        <v>25</v>
      </c>
      <c r="F685" s="4" t="s">
        <v>25</v>
      </c>
      <c r="G685" s="4" t="s">
        <v>25</v>
      </c>
      <c r="H685" s="4" t="s">
        <v>35</v>
      </c>
      <c r="I685" s="5">
        <v>43770</v>
      </c>
      <c r="J685" s="6">
        <v>0</v>
      </c>
      <c r="K685" s="6">
        <v>0</v>
      </c>
      <c r="L685" s="6">
        <v>2463.3490000000002</v>
      </c>
      <c r="M685" s="6">
        <v>2463.3490000000002</v>
      </c>
      <c r="N685" s="6">
        <v>2463.3490000000002</v>
      </c>
      <c r="O685" s="6">
        <v>2463.3490000000002</v>
      </c>
      <c r="P685" s="6">
        <v>0</v>
      </c>
      <c r="Q685" s="4" t="s">
        <v>26</v>
      </c>
      <c r="R685" s="4">
        <v>0</v>
      </c>
      <c r="S685" s="6">
        <v>0</v>
      </c>
      <c r="T685" s="6">
        <v>27</v>
      </c>
      <c r="U685" s="6">
        <v>81</v>
      </c>
      <c r="V685" s="6">
        <f>IF(ISERROR(VLOOKUP($S$685,'TAR FIN'!$A$1:$O$120,15,0)),0,VLOOKUP($S$685,'TAR FIN'!$A$1:$O$120,15,0))</f>
        <v>0</v>
      </c>
      <c r="W685" s="6">
        <f>IF(ISERROR(VLOOKUP($T$685,'TAR FIN'!$A$1:$O$120,15,0)),0,VLOOKUP($T$685,'TAR FIN'!$A$1:$O$120,15,0))</f>
        <v>641.99</v>
      </c>
      <c r="X685" s="6">
        <f>IF(ISERROR(VLOOKUP($U$685,'TAR FIN'!$A$1:$O$120,15,0)),0,VLOOKUP($U$685,'TAR FIN'!$A$1:$O$120,15,0))</f>
        <v>430.87</v>
      </c>
      <c r="Y685" s="6"/>
      <c r="Z685" s="6">
        <f ca="1">('TUSD BE'!$AM$33+'TUSD BF'!$AM$33+'TUSD CVA'!$AM$33)*1</f>
        <v>747.73363518028248</v>
      </c>
      <c r="AA685" s="6">
        <f>('TE BE'!$AA$10+'TE BF'!$AA$10+'TE CVA'!$AA$10)*1</f>
        <v>375.69180268700768</v>
      </c>
      <c r="AB685" s="6">
        <f>$K$685*$V$685</f>
        <v>0</v>
      </c>
      <c r="AC685" s="6">
        <f>$M$685*$W$685</f>
        <v>1581445.42451</v>
      </c>
      <c r="AD685" s="6">
        <f>$O$685*$X$685</f>
        <v>1061383.1836300001</v>
      </c>
      <c r="AE685" s="6">
        <f>$K$685*$Y$685</f>
        <v>0</v>
      </c>
      <c r="AF685" s="6">
        <f ca="1">$M$685*$Z$685</f>
        <v>1841928.9024877138</v>
      </c>
      <c r="AG685" s="6">
        <f>$O$685*$AA$685</f>
        <v>925460.02645723778</v>
      </c>
    </row>
    <row r="686" spans="1:33" ht="11.25" customHeight="1" x14ac:dyDescent="0.25">
      <c r="A686" s="4" t="s">
        <v>27</v>
      </c>
      <c r="B686" s="4" t="s">
        <v>33</v>
      </c>
      <c r="C686" s="4" t="s">
        <v>34</v>
      </c>
      <c r="D686" s="4" t="s">
        <v>42</v>
      </c>
      <c r="E686" s="4" t="s">
        <v>25</v>
      </c>
      <c r="F686" s="4" t="s">
        <v>25</v>
      </c>
      <c r="G686" s="4" t="s">
        <v>25</v>
      </c>
      <c r="H686" s="4" t="s">
        <v>35</v>
      </c>
      <c r="I686" s="5">
        <v>43770</v>
      </c>
      <c r="J686" s="6">
        <v>0</v>
      </c>
      <c r="K686" s="6">
        <v>0</v>
      </c>
      <c r="L686" s="6">
        <v>0.82299999999999995</v>
      </c>
      <c r="M686" s="6">
        <v>0.82299999999999995</v>
      </c>
      <c r="N686" s="6">
        <v>0.82299999999999995</v>
      </c>
      <c r="O686" s="6">
        <v>0.82299999999999995</v>
      </c>
      <c r="P686" s="6">
        <v>0</v>
      </c>
      <c r="Q686" s="4" t="s">
        <v>26</v>
      </c>
      <c r="R686" s="4">
        <v>0</v>
      </c>
      <c r="S686" s="6">
        <v>0</v>
      </c>
      <c r="T686" s="6">
        <v>27</v>
      </c>
      <c r="U686" s="6">
        <v>81</v>
      </c>
      <c r="V686" s="6">
        <f>IF(ISERROR(VLOOKUP($S$686,'TAR FIN'!$A$1:$O$120,15,0)),0,VLOOKUP($S$686,'TAR FIN'!$A$1:$O$120,15,0))</f>
        <v>0</v>
      </c>
      <c r="W686" s="6">
        <f>IF(ISERROR(VLOOKUP($T$686,'TAR FIN'!$A$1:$O$120,15,0)),0,VLOOKUP($T$686,'TAR FIN'!$A$1:$O$120,15,0))</f>
        <v>641.99</v>
      </c>
      <c r="X686" s="6">
        <f>IF(ISERROR(VLOOKUP($U$686,'TAR FIN'!$A$1:$O$120,15,0)),0,VLOOKUP($U$686,'TAR FIN'!$A$1:$O$120,15,0))</f>
        <v>430.87</v>
      </c>
      <c r="Y686" s="6"/>
      <c r="Z686" s="6">
        <f ca="1">('TUSD BE'!$AM$33+'TUSD BF'!$AM$33+'TUSD CVA'!$AM$33)*1</f>
        <v>747.73363518028248</v>
      </c>
      <c r="AA686" s="6">
        <f>('TE BE'!$AA$10+'TE BF'!$AA$10+'TE CVA'!$AA$10)*1</f>
        <v>375.69180268700768</v>
      </c>
      <c r="AB686" s="6">
        <f>$K$686*$V$686</f>
        <v>0</v>
      </c>
      <c r="AC686" s="6">
        <f>$M$686*$W$686</f>
        <v>528.35776999999996</v>
      </c>
      <c r="AD686" s="6">
        <f>$O$686*$X$686</f>
        <v>354.60600999999997</v>
      </c>
      <c r="AE686" s="6">
        <f>$K$686*$Y$686</f>
        <v>0</v>
      </c>
      <c r="AF686" s="6">
        <f ca="1">$M$686*$Z$686</f>
        <v>615.38478175337241</v>
      </c>
      <c r="AG686" s="6">
        <f>$O$686*$AA$686</f>
        <v>309.19435361140728</v>
      </c>
    </row>
    <row r="687" spans="1:33" ht="11.25" customHeight="1" x14ac:dyDescent="0.25">
      <c r="A687" s="4" t="s">
        <v>28</v>
      </c>
      <c r="B687" s="4" t="s">
        <v>33</v>
      </c>
      <c r="C687" s="4" t="s">
        <v>34</v>
      </c>
      <c r="D687" s="4" t="s">
        <v>42</v>
      </c>
      <c r="E687" s="4" t="s">
        <v>25</v>
      </c>
      <c r="F687" s="4" t="s">
        <v>25</v>
      </c>
      <c r="G687" s="4" t="s">
        <v>25</v>
      </c>
      <c r="H687" s="4" t="s">
        <v>35</v>
      </c>
      <c r="I687" s="5">
        <v>43770</v>
      </c>
      <c r="J687" s="6">
        <v>0</v>
      </c>
      <c r="K687" s="6">
        <v>0</v>
      </c>
      <c r="L687" s="6">
        <v>142.47300000000001</v>
      </c>
      <c r="M687" s="6">
        <v>142.47300000000001</v>
      </c>
      <c r="N687" s="6">
        <v>142.47300000000001</v>
      </c>
      <c r="O687" s="6">
        <v>142.47300000000001</v>
      </c>
      <c r="P687" s="6">
        <v>0</v>
      </c>
      <c r="Q687" s="4" t="s">
        <v>26</v>
      </c>
      <c r="R687" s="4">
        <v>0</v>
      </c>
      <c r="S687" s="6">
        <v>0</v>
      </c>
      <c r="T687" s="6">
        <v>27</v>
      </c>
      <c r="U687" s="6">
        <v>81</v>
      </c>
      <c r="V687" s="6">
        <f>IF(ISERROR(VLOOKUP($S$687,'TAR FIN'!$A$1:$O$120,15,0)),0,VLOOKUP($S$687,'TAR FIN'!$A$1:$O$120,15,0))</f>
        <v>0</v>
      </c>
      <c r="W687" s="6">
        <f>IF(ISERROR(VLOOKUP($T$687,'TAR FIN'!$A$1:$O$120,15,0)),0,VLOOKUP($T$687,'TAR FIN'!$A$1:$O$120,15,0))</f>
        <v>641.99</v>
      </c>
      <c r="X687" s="6">
        <f>IF(ISERROR(VLOOKUP($U$687,'TAR FIN'!$A$1:$O$120,15,0)),0,VLOOKUP($U$687,'TAR FIN'!$A$1:$O$120,15,0))</f>
        <v>430.87</v>
      </c>
      <c r="Y687" s="6"/>
      <c r="Z687" s="6">
        <f ca="1">('TUSD BE'!$AM$33+'TUSD BF'!$AM$33+'TUSD CVA'!$AM$33)*1</f>
        <v>747.73363518028248</v>
      </c>
      <c r="AA687" s="6">
        <f>('TE BE'!$AA$10+'TE BF'!$AA$10+'TE CVA'!$AA$10)*1</f>
        <v>375.69180268700768</v>
      </c>
      <c r="AB687" s="6">
        <f>$K$687*$V$687</f>
        <v>0</v>
      </c>
      <c r="AC687" s="6">
        <f>$M$687*$W$687</f>
        <v>91466.241270000013</v>
      </c>
      <c r="AD687" s="6">
        <f>$O$687*$X$687</f>
        <v>61387.341510000006</v>
      </c>
      <c r="AE687" s="6">
        <f>$K$687*$Y$687</f>
        <v>0</v>
      </c>
      <c r="AF687" s="6">
        <f ca="1">$M$687*$Z$687</f>
        <v>106531.85420504039</v>
      </c>
      <c r="AG687" s="6">
        <f>$O$687*$AA$687</f>
        <v>53525.938204226048</v>
      </c>
    </row>
    <row r="688" spans="1:33" ht="11.25" customHeight="1" x14ac:dyDescent="0.25">
      <c r="A688" s="4" t="s">
        <v>21</v>
      </c>
      <c r="B688" s="4" t="s">
        <v>33</v>
      </c>
      <c r="C688" s="4" t="s">
        <v>34</v>
      </c>
      <c r="D688" s="4" t="s">
        <v>42</v>
      </c>
      <c r="E688" s="4" t="s">
        <v>25</v>
      </c>
      <c r="F688" s="4" t="s">
        <v>25</v>
      </c>
      <c r="G688" s="4" t="s">
        <v>25</v>
      </c>
      <c r="H688" s="4" t="s">
        <v>35</v>
      </c>
      <c r="I688" s="5">
        <v>43800</v>
      </c>
      <c r="J688" s="6">
        <v>0</v>
      </c>
      <c r="K688" s="6">
        <v>0</v>
      </c>
      <c r="L688" s="6">
        <v>2136.114</v>
      </c>
      <c r="M688" s="6">
        <v>2136.114</v>
      </c>
      <c r="N688" s="6">
        <v>2136.114</v>
      </c>
      <c r="O688" s="6">
        <v>2136.114</v>
      </c>
      <c r="P688" s="6">
        <v>0</v>
      </c>
      <c r="Q688" s="4" t="s">
        <v>26</v>
      </c>
      <c r="R688" s="4">
        <v>0</v>
      </c>
      <c r="S688" s="6">
        <v>0</v>
      </c>
      <c r="T688" s="6">
        <v>27</v>
      </c>
      <c r="U688" s="6">
        <v>81</v>
      </c>
      <c r="V688" s="6">
        <f>IF(ISERROR(VLOOKUP($S$688,'TAR FIN'!$A$1:$O$120,15,0)),0,VLOOKUP($S$688,'TAR FIN'!$A$1:$O$120,15,0))</f>
        <v>0</v>
      </c>
      <c r="W688" s="6">
        <f>IF(ISERROR(VLOOKUP($T$688,'TAR FIN'!$A$1:$O$120,15,0)),0,VLOOKUP($T$688,'TAR FIN'!$A$1:$O$120,15,0))</f>
        <v>641.99</v>
      </c>
      <c r="X688" s="6">
        <f>IF(ISERROR(VLOOKUP($U$688,'TAR FIN'!$A$1:$O$120,15,0)),0,VLOOKUP($U$688,'TAR FIN'!$A$1:$O$120,15,0))</f>
        <v>430.87</v>
      </c>
      <c r="Y688" s="6"/>
      <c r="Z688" s="6">
        <f ca="1">('TUSD BE'!$AM$33+'TUSD BF'!$AM$33+'TUSD CVA'!$AM$33)*1</f>
        <v>747.73363518028248</v>
      </c>
      <c r="AA688" s="6">
        <f>('TE BE'!$AA$10+'TE BF'!$AA$10+'TE CVA'!$AA$10)*1</f>
        <v>375.69180268700768</v>
      </c>
      <c r="AB688" s="6">
        <f>$K$688*$V$688</f>
        <v>0</v>
      </c>
      <c r="AC688" s="6">
        <f>$M$688*$W$688</f>
        <v>1371363.8268600001</v>
      </c>
      <c r="AD688" s="6">
        <f>$O$688*$X$688</f>
        <v>920387.43917999999</v>
      </c>
      <c r="AE688" s="6">
        <f>$K$688*$Y$688</f>
        <v>0</v>
      </c>
      <c r="AF688" s="6">
        <f ca="1">$M$688*$Z$688</f>
        <v>1597244.286379494</v>
      </c>
      <c r="AG688" s="6">
        <f>$O$688*$AA$688</f>
        <v>802520.51940495474</v>
      </c>
    </row>
    <row r="689" spans="1:33" ht="11.25" customHeight="1" x14ac:dyDescent="0.25">
      <c r="A689" s="4" t="s">
        <v>27</v>
      </c>
      <c r="B689" s="4" t="s">
        <v>33</v>
      </c>
      <c r="C689" s="4" t="s">
        <v>34</v>
      </c>
      <c r="D689" s="4" t="s">
        <v>42</v>
      </c>
      <c r="E689" s="4" t="s">
        <v>25</v>
      </c>
      <c r="F689" s="4" t="s">
        <v>25</v>
      </c>
      <c r="G689" s="4" t="s">
        <v>25</v>
      </c>
      <c r="H689" s="4" t="s">
        <v>35</v>
      </c>
      <c r="I689" s="5">
        <v>43800</v>
      </c>
      <c r="J689" s="6">
        <v>0</v>
      </c>
      <c r="K689" s="6">
        <v>0</v>
      </c>
      <c r="L689" s="6">
        <v>0.95</v>
      </c>
      <c r="M689" s="6">
        <v>0.95</v>
      </c>
      <c r="N689" s="6">
        <v>0.95</v>
      </c>
      <c r="O689" s="6">
        <v>0.95</v>
      </c>
      <c r="P689" s="6">
        <v>0</v>
      </c>
      <c r="Q689" s="4" t="s">
        <v>26</v>
      </c>
      <c r="R689" s="4">
        <v>0</v>
      </c>
      <c r="S689" s="6">
        <v>0</v>
      </c>
      <c r="T689" s="6">
        <v>27</v>
      </c>
      <c r="U689" s="6">
        <v>81</v>
      </c>
      <c r="V689" s="6">
        <f>IF(ISERROR(VLOOKUP($S$689,'TAR FIN'!$A$1:$O$120,15,0)),0,VLOOKUP($S$689,'TAR FIN'!$A$1:$O$120,15,0))</f>
        <v>0</v>
      </c>
      <c r="W689" s="6">
        <f>IF(ISERROR(VLOOKUP($T$689,'TAR FIN'!$A$1:$O$120,15,0)),0,VLOOKUP($T$689,'TAR FIN'!$A$1:$O$120,15,0))</f>
        <v>641.99</v>
      </c>
      <c r="X689" s="6">
        <f>IF(ISERROR(VLOOKUP($U$689,'TAR FIN'!$A$1:$O$120,15,0)),0,VLOOKUP($U$689,'TAR FIN'!$A$1:$O$120,15,0))</f>
        <v>430.87</v>
      </c>
      <c r="Y689" s="6"/>
      <c r="Z689" s="6">
        <f ca="1">('TUSD BE'!$AM$33+'TUSD BF'!$AM$33+'TUSD CVA'!$AM$33)*1</f>
        <v>747.73363518028248</v>
      </c>
      <c r="AA689" s="6">
        <f>('TE BE'!$AA$10+'TE BF'!$AA$10+'TE CVA'!$AA$10)*1</f>
        <v>375.69180268700768</v>
      </c>
      <c r="AB689" s="6">
        <f>$K$689*$V$689</f>
        <v>0</v>
      </c>
      <c r="AC689" s="6">
        <f>$M$689*$W$689</f>
        <v>609.89049999999997</v>
      </c>
      <c r="AD689" s="6">
        <f>$O$689*$X$689</f>
        <v>409.32650000000001</v>
      </c>
      <c r="AE689" s="6">
        <f>$K$689*$Y$689</f>
        <v>0</v>
      </c>
      <c r="AF689" s="6">
        <f ca="1">$M$689*$Z$689</f>
        <v>710.34695342126827</v>
      </c>
      <c r="AG689" s="6">
        <f>$O$689*$AA$689</f>
        <v>356.90721255265726</v>
      </c>
    </row>
    <row r="690" spans="1:33" ht="11.25" customHeight="1" x14ac:dyDescent="0.25">
      <c r="A690" s="4" t="s">
        <v>28</v>
      </c>
      <c r="B690" s="4" t="s">
        <v>33</v>
      </c>
      <c r="C690" s="4" t="s">
        <v>34</v>
      </c>
      <c r="D690" s="4" t="s">
        <v>42</v>
      </c>
      <c r="E690" s="4" t="s">
        <v>25</v>
      </c>
      <c r="F690" s="4" t="s">
        <v>25</v>
      </c>
      <c r="G690" s="4" t="s">
        <v>25</v>
      </c>
      <c r="H690" s="4" t="s">
        <v>35</v>
      </c>
      <c r="I690" s="5">
        <v>43800</v>
      </c>
      <c r="J690" s="6">
        <v>0</v>
      </c>
      <c r="K690" s="6">
        <v>0</v>
      </c>
      <c r="L690" s="6">
        <v>130.702</v>
      </c>
      <c r="M690" s="6">
        <v>130.702</v>
      </c>
      <c r="N690" s="6">
        <v>130.702</v>
      </c>
      <c r="O690" s="6">
        <v>130.702</v>
      </c>
      <c r="P690" s="6">
        <v>0</v>
      </c>
      <c r="Q690" s="4" t="s">
        <v>26</v>
      </c>
      <c r="R690" s="4">
        <v>0</v>
      </c>
      <c r="S690" s="6">
        <v>0</v>
      </c>
      <c r="T690" s="6">
        <v>27</v>
      </c>
      <c r="U690" s="6">
        <v>81</v>
      </c>
      <c r="V690" s="6">
        <f>IF(ISERROR(VLOOKUP($S$690,'TAR FIN'!$A$1:$O$120,15,0)),0,VLOOKUP($S$690,'TAR FIN'!$A$1:$O$120,15,0))</f>
        <v>0</v>
      </c>
      <c r="W690" s="6">
        <f>IF(ISERROR(VLOOKUP($T$690,'TAR FIN'!$A$1:$O$120,15,0)),0,VLOOKUP($T$690,'TAR FIN'!$A$1:$O$120,15,0))</f>
        <v>641.99</v>
      </c>
      <c r="X690" s="6">
        <f>IF(ISERROR(VLOOKUP($U$690,'TAR FIN'!$A$1:$O$120,15,0)),0,VLOOKUP($U$690,'TAR FIN'!$A$1:$O$120,15,0))</f>
        <v>430.87</v>
      </c>
      <c r="Y690" s="6"/>
      <c r="Z690" s="6">
        <f ca="1">('TUSD BE'!$AM$33+'TUSD BF'!$AM$33+'TUSD CVA'!$AM$33)*1</f>
        <v>747.73363518028248</v>
      </c>
      <c r="AA690" s="6">
        <f>('TE BE'!$AA$10+'TE BF'!$AA$10+'TE CVA'!$AA$10)*1</f>
        <v>375.69180268700768</v>
      </c>
      <c r="AB690" s="6">
        <f>$K$690*$V$690</f>
        <v>0</v>
      </c>
      <c r="AC690" s="6">
        <f>$M$690*$W$690</f>
        <v>83909.376980000001</v>
      </c>
      <c r="AD690" s="6">
        <f>$O$690*$X$690</f>
        <v>56315.570740000003</v>
      </c>
      <c r="AE690" s="6">
        <f>$K$690*$Y$690</f>
        <v>0</v>
      </c>
      <c r="AF690" s="6">
        <f ca="1">$M$690*$Z$690</f>
        <v>97730.281585333272</v>
      </c>
      <c r="AG690" s="6">
        <f>$O$690*$AA$690</f>
        <v>49103.669994797274</v>
      </c>
    </row>
    <row r="691" spans="1:33" ht="11.25" customHeight="1" x14ac:dyDescent="0.25">
      <c r="A691" s="4" t="s">
        <v>21</v>
      </c>
      <c r="B691" s="4" t="s">
        <v>33</v>
      </c>
      <c r="C691" s="4" t="s">
        <v>34</v>
      </c>
      <c r="D691" s="4" t="s">
        <v>42</v>
      </c>
      <c r="E691" s="4" t="s">
        <v>25</v>
      </c>
      <c r="F691" s="4" t="s">
        <v>25</v>
      </c>
      <c r="G691" s="4" t="s">
        <v>25</v>
      </c>
      <c r="H691" s="4" t="s">
        <v>35</v>
      </c>
      <c r="I691" s="5">
        <v>43831</v>
      </c>
      <c r="J691" s="6">
        <v>0</v>
      </c>
      <c r="K691" s="6">
        <v>0</v>
      </c>
      <c r="L691" s="6">
        <v>1951.8019999999999</v>
      </c>
      <c r="M691" s="6">
        <v>1951.8019999999999</v>
      </c>
      <c r="N691" s="6">
        <v>1951.8019999999999</v>
      </c>
      <c r="O691" s="6">
        <v>1951.8019999999999</v>
      </c>
      <c r="P691" s="6">
        <v>0</v>
      </c>
      <c r="Q691" s="4" t="s">
        <v>26</v>
      </c>
      <c r="R691" s="4">
        <v>0</v>
      </c>
      <c r="S691" s="6">
        <v>0</v>
      </c>
      <c r="T691" s="6">
        <v>27</v>
      </c>
      <c r="U691" s="6">
        <v>81</v>
      </c>
      <c r="V691" s="6">
        <f>IF(ISERROR(VLOOKUP($S$691,'TAR FIN'!$A$1:$O$120,15,0)),0,VLOOKUP($S$691,'TAR FIN'!$A$1:$O$120,15,0))</f>
        <v>0</v>
      </c>
      <c r="W691" s="6">
        <f>IF(ISERROR(VLOOKUP($T$691,'TAR FIN'!$A$1:$O$120,15,0)),0,VLOOKUP($T$691,'TAR FIN'!$A$1:$O$120,15,0))</f>
        <v>641.99</v>
      </c>
      <c r="X691" s="6">
        <f>IF(ISERROR(VLOOKUP($U$691,'TAR FIN'!$A$1:$O$120,15,0)),0,VLOOKUP($U$691,'TAR FIN'!$A$1:$O$120,15,0))</f>
        <v>430.87</v>
      </c>
      <c r="Y691" s="6"/>
      <c r="Z691" s="6">
        <f ca="1">('TUSD BE'!$AM$33+'TUSD BF'!$AM$33+'TUSD CVA'!$AM$33)*1</f>
        <v>747.73363518028248</v>
      </c>
      <c r="AA691" s="6">
        <f>('TE BE'!$AA$10+'TE BF'!$AA$10+'TE CVA'!$AA$10)*1</f>
        <v>375.69180268700768</v>
      </c>
      <c r="AB691" s="6">
        <f>$K$691*$V$691</f>
        <v>0</v>
      </c>
      <c r="AC691" s="6">
        <f>$M$691*$W$691</f>
        <v>1253037.36598</v>
      </c>
      <c r="AD691" s="6">
        <f>$O$691*$X$691</f>
        <v>840972.92773999996</v>
      </c>
      <c r="AE691" s="6">
        <f>$K$691*$Y$691</f>
        <v>0</v>
      </c>
      <c r="AF691" s="6">
        <f ca="1">$M$691*$Z$691</f>
        <v>1459428.0046121457</v>
      </c>
      <c r="AG691" s="6">
        <f>$O$691*$AA$691</f>
        <v>733276.0118681069</v>
      </c>
    </row>
    <row r="692" spans="1:33" ht="11.25" customHeight="1" x14ac:dyDescent="0.25">
      <c r="A692" s="4" t="s">
        <v>27</v>
      </c>
      <c r="B692" s="4" t="s">
        <v>33</v>
      </c>
      <c r="C692" s="4" t="s">
        <v>34</v>
      </c>
      <c r="D692" s="4" t="s">
        <v>42</v>
      </c>
      <c r="E692" s="4" t="s">
        <v>25</v>
      </c>
      <c r="F692" s="4" t="s">
        <v>25</v>
      </c>
      <c r="G692" s="4" t="s">
        <v>25</v>
      </c>
      <c r="H692" s="4" t="s">
        <v>35</v>
      </c>
      <c r="I692" s="5">
        <v>43831</v>
      </c>
      <c r="J692" s="6">
        <v>0</v>
      </c>
      <c r="K692" s="6">
        <v>0</v>
      </c>
      <c r="L692" s="6">
        <v>5.22</v>
      </c>
      <c r="M692" s="6">
        <v>5.22</v>
      </c>
      <c r="N692" s="6">
        <v>5.22</v>
      </c>
      <c r="O692" s="6">
        <v>5.22</v>
      </c>
      <c r="P692" s="6">
        <v>0</v>
      </c>
      <c r="Q692" s="4" t="s">
        <v>26</v>
      </c>
      <c r="R692" s="4">
        <v>0</v>
      </c>
      <c r="S692" s="6">
        <v>0</v>
      </c>
      <c r="T692" s="6">
        <v>27</v>
      </c>
      <c r="U692" s="6">
        <v>81</v>
      </c>
      <c r="V692" s="6">
        <f>IF(ISERROR(VLOOKUP($S$692,'TAR FIN'!$A$1:$O$120,15,0)),0,VLOOKUP($S$692,'TAR FIN'!$A$1:$O$120,15,0))</f>
        <v>0</v>
      </c>
      <c r="W692" s="6">
        <f>IF(ISERROR(VLOOKUP($T$692,'TAR FIN'!$A$1:$O$120,15,0)),0,VLOOKUP($T$692,'TAR FIN'!$A$1:$O$120,15,0))</f>
        <v>641.99</v>
      </c>
      <c r="X692" s="6">
        <f>IF(ISERROR(VLOOKUP($U$692,'TAR FIN'!$A$1:$O$120,15,0)),0,VLOOKUP($U$692,'TAR FIN'!$A$1:$O$120,15,0))</f>
        <v>430.87</v>
      </c>
      <c r="Y692" s="6"/>
      <c r="Z692" s="6">
        <f ca="1">('TUSD BE'!$AM$33+'TUSD BF'!$AM$33+'TUSD CVA'!$AM$33)*1</f>
        <v>747.73363518028248</v>
      </c>
      <c r="AA692" s="6">
        <f>('TE BE'!$AA$10+'TE BF'!$AA$10+'TE CVA'!$AA$10)*1</f>
        <v>375.69180268700768</v>
      </c>
      <c r="AB692" s="6">
        <f>$K$692*$V$692</f>
        <v>0</v>
      </c>
      <c r="AC692" s="6">
        <f>$M$692*$W$692</f>
        <v>3351.1877999999997</v>
      </c>
      <c r="AD692" s="6">
        <f>$O$692*$X$692</f>
        <v>2249.1414</v>
      </c>
      <c r="AE692" s="6">
        <f>$K$692*$Y$692</f>
        <v>0</v>
      </c>
      <c r="AF692" s="6">
        <f ca="1">$M$692*$Z$692</f>
        <v>3903.1695756410745</v>
      </c>
      <c r="AG692" s="6">
        <f>$O$692*$AA$692</f>
        <v>1961.1112100261801</v>
      </c>
    </row>
    <row r="693" spans="1:33" ht="11.25" customHeight="1" x14ac:dyDescent="0.25">
      <c r="A693" s="4" t="s">
        <v>28</v>
      </c>
      <c r="B693" s="4" t="s">
        <v>33</v>
      </c>
      <c r="C693" s="4" t="s">
        <v>34</v>
      </c>
      <c r="D693" s="4" t="s">
        <v>42</v>
      </c>
      <c r="E693" s="4" t="s">
        <v>25</v>
      </c>
      <c r="F693" s="4" t="s">
        <v>25</v>
      </c>
      <c r="G693" s="4" t="s">
        <v>25</v>
      </c>
      <c r="H693" s="4" t="s">
        <v>35</v>
      </c>
      <c r="I693" s="5">
        <v>43831</v>
      </c>
      <c r="J693" s="6">
        <v>0</v>
      </c>
      <c r="K693" s="6">
        <v>0</v>
      </c>
      <c r="L693" s="6">
        <v>83.9</v>
      </c>
      <c r="M693" s="6">
        <v>83.9</v>
      </c>
      <c r="N693" s="6">
        <v>83.9</v>
      </c>
      <c r="O693" s="6">
        <v>83.9</v>
      </c>
      <c r="P693" s="6">
        <v>0</v>
      </c>
      <c r="Q693" s="4" t="s">
        <v>26</v>
      </c>
      <c r="R693" s="4">
        <v>0</v>
      </c>
      <c r="S693" s="6">
        <v>0</v>
      </c>
      <c r="T693" s="6">
        <v>27</v>
      </c>
      <c r="U693" s="6">
        <v>81</v>
      </c>
      <c r="V693" s="6">
        <f>IF(ISERROR(VLOOKUP($S$693,'TAR FIN'!$A$1:$O$120,15,0)),0,VLOOKUP($S$693,'TAR FIN'!$A$1:$O$120,15,0))</f>
        <v>0</v>
      </c>
      <c r="W693" s="6">
        <f>IF(ISERROR(VLOOKUP($T$693,'TAR FIN'!$A$1:$O$120,15,0)),0,VLOOKUP($T$693,'TAR FIN'!$A$1:$O$120,15,0))</f>
        <v>641.99</v>
      </c>
      <c r="X693" s="6">
        <f>IF(ISERROR(VLOOKUP($U$693,'TAR FIN'!$A$1:$O$120,15,0)),0,VLOOKUP($U$693,'TAR FIN'!$A$1:$O$120,15,0))</f>
        <v>430.87</v>
      </c>
      <c r="Y693" s="6"/>
      <c r="Z693" s="6">
        <f ca="1">('TUSD BE'!$AM$33+'TUSD BF'!$AM$33+'TUSD CVA'!$AM$33)*1</f>
        <v>747.73363518028248</v>
      </c>
      <c r="AA693" s="6">
        <f>('TE BE'!$AA$10+'TE BF'!$AA$10+'TE CVA'!$AA$10)*1</f>
        <v>375.69180268700768</v>
      </c>
      <c r="AB693" s="6">
        <f>$K$693*$V$693</f>
        <v>0</v>
      </c>
      <c r="AC693" s="6">
        <f>$M$693*$W$693</f>
        <v>53862.961000000003</v>
      </c>
      <c r="AD693" s="6">
        <f>$O$693*$X$693</f>
        <v>36149.993000000002</v>
      </c>
      <c r="AE693" s="6">
        <f>$K$693*$Y$693</f>
        <v>0</v>
      </c>
      <c r="AF693" s="6">
        <f ca="1">$M$693*$Z$693</f>
        <v>62734.851991625706</v>
      </c>
      <c r="AG693" s="6">
        <f>$O$693*$AA$693</f>
        <v>31520.542245439945</v>
      </c>
    </row>
    <row r="694" spans="1:33" ht="11.25" customHeight="1" x14ac:dyDescent="0.25">
      <c r="A694" s="4" t="s">
        <v>21</v>
      </c>
      <c r="B694" s="4" t="s">
        <v>33</v>
      </c>
      <c r="C694" s="4" t="s">
        <v>34</v>
      </c>
      <c r="D694" s="4" t="s">
        <v>42</v>
      </c>
      <c r="E694" s="4" t="s">
        <v>25</v>
      </c>
      <c r="F694" s="4" t="s">
        <v>25</v>
      </c>
      <c r="G694" s="4" t="s">
        <v>25</v>
      </c>
      <c r="H694" s="4" t="s">
        <v>35</v>
      </c>
      <c r="I694" s="5">
        <v>43862</v>
      </c>
      <c r="J694" s="6">
        <v>0</v>
      </c>
      <c r="K694" s="6">
        <v>0</v>
      </c>
      <c r="L694" s="6">
        <v>2127.277</v>
      </c>
      <c r="M694" s="6">
        <v>2127.277</v>
      </c>
      <c r="N694" s="6">
        <v>2127.277</v>
      </c>
      <c r="O694" s="6">
        <v>2127.277</v>
      </c>
      <c r="P694" s="6">
        <v>0</v>
      </c>
      <c r="Q694" s="4" t="s">
        <v>26</v>
      </c>
      <c r="R694" s="4">
        <v>0</v>
      </c>
      <c r="S694" s="6">
        <v>0</v>
      </c>
      <c r="T694" s="6">
        <v>27</v>
      </c>
      <c r="U694" s="6">
        <v>81</v>
      </c>
      <c r="V694" s="6">
        <f>IF(ISERROR(VLOOKUP($S$694,'TAR FIN'!$A$1:$O$120,15,0)),0,VLOOKUP($S$694,'TAR FIN'!$A$1:$O$120,15,0))</f>
        <v>0</v>
      </c>
      <c r="W694" s="6">
        <f>IF(ISERROR(VLOOKUP($T$694,'TAR FIN'!$A$1:$O$120,15,0)),0,VLOOKUP($T$694,'TAR FIN'!$A$1:$O$120,15,0))</f>
        <v>641.99</v>
      </c>
      <c r="X694" s="6">
        <f>IF(ISERROR(VLOOKUP($U$694,'TAR FIN'!$A$1:$O$120,15,0)),0,VLOOKUP($U$694,'TAR FIN'!$A$1:$O$120,15,0))</f>
        <v>430.87</v>
      </c>
      <c r="Y694" s="6"/>
      <c r="Z694" s="6">
        <f ca="1">('TUSD BE'!$AM$33+'TUSD BF'!$AM$33+'TUSD CVA'!$AM$33)*1</f>
        <v>747.73363518028248</v>
      </c>
      <c r="AA694" s="6">
        <f>('TE BE'!$AA$10+'TE BF'!$AA$10+'TE CVA'!$AA$10)*1</f>
        <v>375.69180268700768</v>
      </c>
      <c r="AB694" s="6">
        <f>$K$694*$V$694</f>
        <v>0</v>
      </c>
      <c r="AC694" s="6">
        <f>$M$694*$W$694</f>
        <v>1365690.5612300001</v>
      </c>
      <c r="AD694" s="6">
        <f>$O$694*$X$694</f>
        <v>916579.84099000006</v>
      </c>
      <c r="AE694" s="6">
        <f>$K$694*$Y$694</f>
        <v>0</v>
      </c>
      <c r="AF694" s="6">
        <f ca="1">$M$694*$Z$694</f>
        <v>1590636.5642454058</v>
      </c>
      <c r="AG694" s="6">
        <f>$O$694*$AA$694</f>
        <v>799200.53094460967</v>
      </c>
    </row>
    <row r="695" spans="1:33" ht="11.25" customHeight="1" x14ac:dyDescent="0.25">
      <c r="A695" s="4" t="s">
        <v>27</v>
      </c>
      <c r="B695" s="4" t="s">
        <v>33</v>
      </c>
      <c r="C695" s="4" t="s">
        <v>34</v>
      </c>
      <c r="D695" s="4" t="s">
        <v>42</v>
      </c>
      <c r="E695" s="4" t="s">
        <v>25</v>
      </c>
      <c r="F695" s="4" t="s">
        <v>25</v>
      </c>
      <c r="G695" s="4" t="s">
        <v>25</v>
      </c>
      <c r="H695" s="4" t="s">
        <v>35</v>
      </c>
      <c r="I695" s="5">
        <v>43862</v>
      </c>
      <c r="J695" s="6">
        <v>0</v>
      </c>
      <c r="K695" s="6">
        <v>0</v>
      </c>
      <c r="L695" s="6">
        <v>6.593</v>
      </c>
      <c r="M695" s="6">
        <v>6.593</v>
      </c>
      <c r="N695" s="6">
        <v>6.593</v>
      </c>
      <c r="O695" s="6">
        <v>6.593</v>
      </c>
      <c r="P695" s="6">
        <v>0</v>
      </c>
      <c r="Q695" s="4" t="s">
        <v>26</v>
      </c>
      <c r="R695" s="4">
        <v>0</v>
      </c>
      <c r="S695" s="6">
        <v>0</v>
      </c>
      <c r="T695" s="6">
        <v>27</v>
      </c>
      <c r="U695" s="6">
        <v>81</v>
      </c>
      <c r="V695" s="6">
        <f>IF(ISERROR(VLOOKUP($S$695,'TAR FIN'!$A$1:$O$120,15,0)),0,VLOOKUP($S$695,'TAR FIN'!$A$1:$O$120,15,0))</f>
        <v>0</v>
      </c>
      <c r="W695" s="6">
        <f>IF(ISERROR(VLOOKUP($T$695,'TAR FIN'!$A$1:$O$120,15,0)),0,VLOOKUP($T$695,'TAR FIN'!$A$1:$O$120,15,0))</f>
        <v>641.99</v>
      </c>
      <c r="X695" s="6">
        <f>IF(ISERROR(VLOOKUP($U$695,'TAR FIN'!$A$1:$O$120,15,0)),0,VLOOKUP($U$695,'TAR FIN'!$A$1:$O$120,15,0))</f>
        <v>430.87</v>
      </c>
      <c r="Y695" s="6"/>
      <c r="Z695" s="6">
        <f ca="1">('TUSD BE'!$AM$33+'TUSD BF'!$AM$33+'TUSD CVA'!$AM$33)*1</f>
        <v>747.73363518028248</v>
      </c>
      <c r="AA695" s="6">
        <f>('TE BE'!$AA$10+'TE BF'!$AA$10+'TE CVA'!$AA$10)*1</f>
        <v>375.69180268700768</v>
      </c>
      <c r="AB695" s="6">
        <f>$K$695*$V$695</f>
        <v>0</v>
      </c>
      <c r="AC695" s="6">
        <f>$M$695*$W$695</f>
        <v>4232.6400700000004</v>
      </c>
      <c r="AD695" s="6">
        <f>$O$695*$X$695</f>
        <v>2840.7259100000001</v>
      </c>
      <c r="AE695" s="6">
        <f>$K$695*$Y$695</f>
        <v>0</v>
      </c>
      <c r="AF695" s="6">
        <f ca="1">$M$695*$Z$695</f>
        <v>4929.8078567436023</v>
      </c>
      <c r="AG695" s="6">
        <f>$O$695*$AA$695</f>
        <v>2476.9360551154418</v>
      </c>
    </row>
    <row r="696" spans="1:33" ht="11.25" customHeight="1" x14ac:dyDescent="0.25">
      <c r="A696" s="4" t="s">
        <v>28</v>
      </c>
      <c r="B696" s="4" t="s">
        <v>33</v>
      </c>
      <c r="C696" s="4" t="s">
        <v>34</v>
      </c>
      <c r="D696" s="4" t="s">
        <v>42</v>
      </c>
      <c r="E696" s="4" t="s">
        <v>25</v>
      </c>
      <c r="F696" s="4" t="s">
        <v>25</v>
      </c>
      <c r="G696" s="4" t="s">
        <v>25</v>
      </c>
      <c r="H696" s="4" t="s">
        <v>35</v>
      </c>
      <c r="I696" s="5">
        <v>43862</v>
      </c>
      <c r="J696" s="6">
        <v>0</v>
      </c>
      <c r="K696" s="6">
        <v>0</v>
      </c>
      <c r="L696" s="6">
        <v>90.881</v>
      </c>
      <c r="M696" s="6">
        <v>90.881</v>
      </c>
      <c r="N696" s="6">
        <v>90.881</v>
      </c>
      <c r="O696" s="6">
        <v>90.881</v>
      </c>
      <c r="P696" s="6">
        <v>0</v>
      </c>
      <c r="Q696" s="4" t="s">
        <v>26</v>
      </c>
      <c r="R696" s="4">
        <v>0</v>
      </c>
      <c r="S696" s="6">
        <v>0</v>
      </c>
      <c r="T696" s="6">
        <v>27</v>
      </c>
      <c r="U696" s="6">
        <v>81</v>
      </c>
      <c r="V696" s="6">
        <f>IF(ISERROR(VLOOKUP($S$696,'TAR FIN'!$A$1:$O$120,15,0)),0,VLOOKUP($S$696,'TAR FIN'!$A$1:$O$120,15,0))</f>
        <v>0</v>
      </c>
      <c r="W696" s="6">
        <f>IF(ISERROR(VLOOKUP($T$696,'TAR FIN'!$A$1:$O$120,15,0)),0,VLOOKUP($T$696,'TAR FIN'!$A$1:$O$120,15,0))</f>
        <v>641.99</v>
      </c>
      <c r="X696" s="6">
        <f>IF(ISERROR(VLOOKUP($U$696,'TAR FIN'!$A$1:$O$120,15,0)),0,VLOOKUP($U$696,'TAR FIN'!$A$1:$O$120,15,0))</f>
        <v>430.87</v>
      </c>
      <c r="Y696" s="6"/>
      <c r="Z696" s="6">
        <f ca="1">('TUSD BE'!$AM$33+'TUSD BF'!$AM$33+'TUSD CVA'!$AM$33)*1</f>
        <v>747.73363518028248</v>
      </c>
      <c r="AA696" s="6">
        <f>('TE BE'!$AA$10+'TE BF'!$AA$10+'TE CVA'!$AA$10)*1</f>
        <v>375.69180268700768</v>
      </c>
      <c r="AB696" s="6">
        <f>$K$696*$V$696</f>
        <v>0</v>
      </c>
      <c r="AC696" s="6">
        <f>$M$696*$W$696</f>
        <v>58344.693189999998</v>
      </c>
      <c r="AD696" s="6">
        <f>$O$696*$X$696</f>
        <v>39157.89647</v>
      </c>
      <c r="AE696" s="6">
        <f>$K$696*$Y$696</f>
        <v>0</v>
      </c>
      <c r="AF696" s="6">
        <f ca="1">$M$696*$Z$696</f>
        <v>67954.780498819251</v>
      </c>
      <c r="AG696" s="6">
        <f>$O$696*$AA$696</f>
        <v>34143.246719997944</v>
      </c>
    </row>
    <row r="697" spans="1:33" ht="11.25" customHeight="1" x14ac:dyDescent="0.25">
      <c r="A697" s="4" t="s">
        <v>21</v>
      </c>
      <c r="B697" s="4" t="s">
        <v>33</v>
      </c>
      <c r="C697" s="4" t="s">
        <v>34</v>
      </c>
      <c r="D697" s="4" t="s">
        <v>42</v>
      </c>
      <c r="E697" s="4" t="s">
        <v>25</v>
      </c>
      <c r="F697" s="4" t="s">
        <v>25</v>
      </c>
      <c r="G697" s="4" t="s">
        <v>25</v>
      </c>
      <c r="H697" s="4" t="s">
        <v>35</v>
      </c>
      <c r="I697" s="5">
        <v>43891</v>
      </c>
      <c r="J697" s="6">
        <v>0</v>
      </c>
      <c r="K697" s="6">
        <v>0</v>
      </c>
      <c r="L697" s="6">
        <v>1930.4290000000001</v>
      </c>
      <c r="M697" s="6">
        <v>1930.4290000000001</v>
      </c>
      <c r="N697" s="6">
        <v>1930.4290000000001</v>
      </c>
      <c r="O697" s="6">
        <v>1930.4290000000001</v>
      </c>
      <c r="P697" s="6">
        <v>0</v>
      </c>
      <c r="Q697" s="4" t="s">
        <v>26</v>
      </c>
      <c r="R697" s="4">
        <v>0</v>
      </c>
      <c r="S697" s="6">
        <v>0</v>
      </c>
      <c r="T697" s="6">
        <v>27</v>
      </c>
      <c r="U697" s="6">
        <v>81</v>
      </c>
      <c r="V697" s="6">
        <f>IF(ISERROR(VLOOKUP($S$697,'TAR FIN'!$A$1:$O$120,15,0)),0,VLOOKUP($S$697,'TAR FIN'!$A$1:$O$120,15,0))</f>
        <v>0</v>
      </c>
      <c r="W697" s="6">
        <f>IF(ISERROR(VLOOKUP($T$697,'TAR FIN'!$A$1:$O$120,15,0)),0,VLOOKUP($T$697,'TAR FIN'!$A$1:$O$120,15,0))</f>
        <v>641.99</v>
      </c>
      <c r="X697" s="6">
        <f>IF(ISERROR(VLOOKUP($U$697,'TAR FIN'!$A$1:$O$120,15,0)),0,VLOOKUP($U$697,'TAR FIN'!$A$1:$O$120,15,0))</f>
        <v>430.87</v>
      </c>
      <c r="Y697" s="6"/>
      <c r="Z697" s="6">
        <f ca="1">('TUSD BE'!$AM$33+'TUSD BF'!$AM$33+'TUSD CVA'!$AM$33)*1</f>
        <v>747.73363518028248</v>
      </c>
      <c r="AA697" s="6">
        <f>('TE BE'!$AA$10+'TE BF'!$AA$10+'TE CVA'!$AA$10)*1</f>
        <v>375.69180268700768</v>
      </c>
      <c r="AB697" s="6">
        <f>$K$697*$V$697</f>
        <v>0</v>
      </c>
      <c r="AC697" s="6">
        <f>$M$697*$W$697</f>
        <v>1239316.1137100002</v>
      </c>
      <c r="AD697" s="6">
        <f>$O$697*$X$697</f>
        <v>831763.94323000009</v>
      </c>
      <c r="AE697" s="6">
        <f>$K$697*$Y$697</f>
        <v>0</v>
      </c>
      <c r="AF697" s="6">
        <f ca="1">$M$697*$Z$697</f>
        <v>1443446.6936274376</v>
      </c>
      <c r="AG697" s="6">
        <f>$O$697*$AA$697</f>
        <v>725246.35096927756</v>
      </c>
    </row>
    <row r="698" spans="1:33" ht="11.25" customHeight="1" x14ac:dyDescent="0.25">
      <c r="A698" s="4" t="s">
        <v>27</v>
      </c>
      <c r="B698" s="4" t="s">
        <v>33</v>
      </c>
      <c r="C698" s="4" t="s">
        <v>34</v>
      </c>
      <c r="D698" s="4" t="s">
        <v>42</v>
      </c>
      <c r="E698" s="4" t="s">
        <v>25</v>
      </c>
      <c r="F698" s="4" t="s">
        <v>25</v>
      </c>
      <c r="G698" s="4" t="s">
        <v>25</v>
      </c>
      <c r="H698" s="4" t="s">
        <v>35</v>
      </c>
      <c r="I698" s="5">
        <v>43891</v>
      </c>
      <c r="J698" s="6">
        <v>0</v>
      </c>
      <c r="K698" s="6">
        <v>0</v>
      </c>
      <c r="L698" s="6">
        <v>11.579000000000001</v>
      </c>
      <c r="M698" s="6">
        <v>11.579000000000001</v>
      </c>
      <c r="N698" s="6">
        <v>11.579000000000001</v>
      </c>
      <c r="O698" s="6">
        <v>11.579000000000001</v>
      </c>
      <c r="P698" s="6">
        <v>0</v>
      </c>
      <c r="Q698" s="4" t="s">
        <v>26</v>
      </c>
      <c r="R698" s="4">
        <v>0</v>
      </c>
      <c r="S698" s="6">
        <v>0</v>
      </c>
      <c r="T698" s="6">
        <v>27</v>
      </c>
      <c r="U698" s="6">
        <v>81</v>
      </c>
      <c r="V698" s="6">
        <f>IF(ISERROR(VLOOKUP($S$698,'TAR FIN'!$A$1:$O$120,15,0)),0,VLOOKUP($S$698,'TAR FIN'!$A$1:$O$120,15,0))</f>
        <v>0</v>
      </c>
      <c r="W698" s="6">
        <f>IF(ISERROR(VLOOKUP($T$698,'TAR FIN'!$A$1:$O$120,15,0)),0,VLOOKUP($T$698,'TAR FIN'!$A$1:$O$120,15,0))</f>
        <v>641.99</v>
      </c>
      <c r="X698" s="6">
        <f>IF(ISERROR(VLOOKUP($U$698,'TAR FIN'!$A$1:$O$120,15,0)),0,VLOOKUP($U$698,'TAR FIN'!$A$1:$O$120,15,0))</f>
        <v>430.87</v>
      </c>
      <c r="Y698" s="6"/>
      <c r="Z698" s="6">
        <f ca="1">('TUSD BE'!$AM$33+'TUSD BF'!$AM$33+'TUSD CVA'!$AM$33)*1</f>
        <v>747.73363518028248</v>
      </c>
      <c r="AA698" s="6">
        <f>('TE BE'!$AA$10+'TE BF'!$AA$10+'TE CVA'!$AA$10)*1</f>
        <v>375.69180268700768</v>
      </c>
      <c r="AB698" s="6">
        <f>$K$698*$V$698</f>
        <v>0</v>
      </c>
      <c r="AC698" s="6">
        <f>$M$698*$W$698</f>
        <v>7433.6022100000009</v>
      </c>
      <c r="AD698" s="6">
        <f>$O$698*$X$698</f>
        <v>4989.0437300000003</v>
      </c>
      <c r="AE698" s="6">
        <f>$K$698*$Y$698</f>
        <v>0</v>
      </c>
      <c r="AF698" s="6">
        <f ca="1">$M$698*$Z$698</f>
        <v>8658.0077617524912</v>
      </c>
      <c r="AG698" s="6">
        <f>$O$698*$AA$698</f>
        <v>4350.1353833128624</v>
      </c>
    </row>
    <row r="699" spans="1:33" ht="11.25" customHeight="1" x14ac:dyDescent="0.25">
      <c r="A699" s="4" t="s">
        <v>28</v>
      </c>
      <c r="B699" s="4" t="s">
        <v>33</v>
      </c>
      <c r="C699" s="4" t="s">
        <v>34</v>
      </c>
      <c r="D699" s="4" t="s">
        <v>42</v>
      </c>
      <c r="E699" s="4" t="s">
        <v>25</v>
      </c>
      <c r="F699" s="4" t="s">
        <v>25</v>
      </c>
      <c r="G699" s="4" t="s">
        <v>25</v>
      </c>
      <c r="H699" s="4" t="s">
        <v>35</v>
      </c>
      <c r="I699" s="5">
        <v>43891</v>
      </c>
      <c r="J699" s="6">
        <v>0</v>
      </c>
      <c r="K699" s="6">
        <v>0</v>
      </c>
      <c r="L699" s="6">
        <v>106.008</v>
      </c>
      <c r="M699" s="6">
        <v>106.008</v>
      </c>
      <c r="N699" s="6">
        <v>106.008</v>
      </c>
      <c r="O699" s="6">
        <v>106.008</v>
      </c>
      <c r="P699" s="6">
        <v>0</v>
      </c>
      <c r="Q699" s="4" t="s">
        <v>26</v>
      </c>
      <c r="R699" s="4">
        <v>0</v>
      </c>
      <c r="S699" s="6">
        <v>0</v>
      </c>
      <c r="T699" s="6">
        <v>27</v>
      </c>
      <c r="U699" s="6">
        <v>81</v>
      </c>
      <c r="V699" s="6">
        <f>IF(ISERROR(VLOOKUP($S$699,'TAR FIN'!$A$1:$O$120,15,0)),0,VLOOKUP($S$699,'TAR FIN'!$A$1:$O$120,15,0))</f>
        <v>0</v>
      </c>
      <c r="W699" s="6">
        <f>IF(ISERROR(VLOOKUP($T$699,'TAR FIN'!$A$1:$O$120,15,0)),0,VLOOKUP($T$699,'TAR FIN'!$A$1:$O$120,15,0))</f>
        <v>641.99</v>
      </c>
      <c r="X699" s="6">
        <f>IF(ISERROR(VLOOKUP($U$699,'TAR FIN'!$A$1:$O$120,15,0)),0,VLOOKUP($U$699,'TAR FIN'!$A$1:$O$120,15,0))</f>
        <v>430.87</v>
      </c>
      <c r="Y699" s="6"/>
      <c r="Z699" s="6">
        <f ca="1">('TUSD BE'!$AM$33+'TUSD BF'!$AM$33+'TUSD CVA'!$AM$33)*1</f>
        <v>747.73363518028248</v>
      </c>
      <c r="AA699" s="6">
        <f>('TE BE'!$AA$10+'TE BF'!$AA$10+'TE CVA'!$AA$10)*1</f>
        <v>375.69180268700768</v>
      </c>
      <c r="AB699" s="6">
        <f>$K$699*$V$699</f>
        <v>0</v>
      </c>
      <c r="AC699" s="6">
        <f>$M$699*$W$699</f>
        <v>68056.075920000003</v>
      </c>
      <c r="AD699" s="6">
        <f>$O$699*$X$699</f>
        <v>45675.666959999995</v>
      </c>
      <c r="AE699" s="6">
        <f>$K$699*$Y$699</f>
        <v>0</v>
      </c>
      <c r="AF699" s="6">
        <f ca="1">$M$699*$Z$699</f>
        <v>79265.747198191384</v>
      </c>
      <c r="AG699" s="6">
        <f>$O$699*$AA$699</f>
        <v>39826.336619244306</v>
      </c>
    </row>
    <row r="700" spans="1:33" ht="11.25" customHeight="1" x14ac:dyDescent="0.25">
      <c r="A700" s="4" t="s">
        <v>21</v>
      </c>
      <c r="B700" s="4" t="s">
        <v>33</v>
      </c>
      <c r="C700" s="4" t="s">
        <v>34</v>
      </c>
      <c r="D700" s="4" t="s">
        <v>42</v>
      </c>
      <c r="E700" s="4" t="s">
        <v>25</v>
      </c>
      <c r="F700" s="4" t="s">
        <v>25</v>
      </c>
      <c r="G700" s="4" t="s">
        <v>25</v>
      </c>
      <c r="H700" s="4" t="s">
        <v>35</v>
      </c>
      <c r="I700" s="5">
        <v>43922</v>
      </c>
      <c r="J700" s="6">
        <v>0</v>
      </c>
      <c r="K700" s="6">
        <v>0</v>
      </c>
      <c r="L700" s="6">
        <v>1828.424</v>
      </c>
      <c r="M700" s="6">
        <v>1828.424</v>
      </c>
      <c r="N700" s="6">
        <v>1828.424</v>
      </c>
      <c r="O700" s="6">
        <v>1828.424</v>
      </c>
      <c r="P700" s="6">
        <v>0</v>
      </c>
      <c r="Q700" s="4" t="s">
        <v>26</v>
      </c>
      <c r="R700" s="4">
        <v>0</v>
      </c>
      <c r="S700" s="6">
        <v>0</v>
      </c>
      <c r="T700" s="6">
        <v>27</v>
      </c>
      <c r="U700" s="6">
        <v>81</v>
      </c>
      <c r="V700" s="6">
        <f>IF(ISERROR(VLOOKUP($S$700,'TAR FIN'!$A$1:$O$120,15,0)),0,VLOOKUP($S$700,'TAR FIN'!$A$1:$O$120,15,0))</f>
        <v>0</v>
      </c>
      <c r="W700" s="6">
        <f>IF(ISERROR(VLOOKUP($T$700,'TAR FIN'!$A$1:$O$120,15,0)),0,VLOOKUP($T$700,'TAR FIN'!$A$1:$O$120,15,0))</f>
        <v>641.99</v>
      </c>
      <c r="X700" s="6">
        <f>IF(ISERROR(VLOOKUP($U$700,'TAR FIN'!$A$1:$O$120,15,0)),0,VLOOKUP($U$700,'TAR FIN'!$A$1:$O$120,15,0))</f>
        <v>430.87</v>
      </c>
      <c r="Y700" s="6"/>
      <c r="Z700" s="6">
        <f ca="1">('TUSD BE'!$AM$33+'TUSD BF'!$AM$33+'TUSD CVA'!$AM$33)*1</f>
        <v>747.73363518028248</v>
      </c>
      <c r="AA700" s="6">
        <f>('TE BE'!$AA$10+'TE BF'!$AA$10+'TE CVA'!$AA$10)*1</f>
        <v>375.69180268700768</v>
      </c>
      <c r="AB700" s="6">
        <f>$K$700*$V$700</f>
        <v>0</v>
      </c>
      <c r="AC700" s="6">
        <f>$M$700*$W$700</f>
        <v>1173829.9237599999</v>
      </c>
      <c r="AD700" s="6">
        <f>$O$700*$X$700</f>
        <v>787813.04888000002</v>
      </c>
      <c r="AE700" s="6">
        <f>$K$700*$Y$700</f>
        <v>0</v>
      </c>
      <c r="AF700" s="6">
        <f ca="1">$M$700*$Z$700</f>
        <v>1367174.1241708728</v>
      </c>
      <c r="AG700" s="6">
        <f>$O$700*$AA$700</f>
        <v>686923.9086361893</v>
      </c>
    </row>
    <row r="701" spans="1:33" ht="11.25" customHeight="1" x14ac:dyDescent="0.25">
      <c r="A701" s="4" t="s">
        <v>27</v>
      </c>
      <c r="B701" s="4" t="s">
        <v>33</v>
      </c>
      <c r="C701" s="4" t="s">
        <v>34</v>
      </c>
      <c r="D701" s="4" t="s">
        <v>42</v>
      </c>
      <c r="E701" s="4" t="s">
        <v>25</v>
      </c>
      <c r="F701" s="4" t="s">
        <v>25</v>
      </c>
      <c r="G701" s="4" t="s">
        <v>25</v>
      </c>
      <c r="H701" s="4" t="s">
        <v>35</v>
      </c>
      <c r="I701" s="5">
        <v>43922</v>
      </c>
      <c r="J701" s="6">
        <v>0</v>
      </c>
      <c r="K701" s="6">
        <v>0</v>
      </c>
      <c r="L701" s="6">
        <v>2.597</v>
      </c>
      <c r="M701" s="6">
        <v>2.597</v>
      </c>
      <c r="N701" s="6">
        <v>2.597</v>
      </c>
      <c r="O701" s="6">
        <v>2.597</v>
      </c>
      <c r="P701" s="6">
        <v>0</v>
      </c>
      <c r="Q701" s="4" t="s">
        <v>26</v>
      </c>
      <c r="R701" s="4">
        <v>0</v>
      </c>
      <c r="S701" s="6">
        <v>0</v>
      </c>
      <c r="T701" s="6">
        <v>27</v>
      </c>
      <c r="U701" s="6">
        <v>81</v>
      </c>
      <c r="V701" s="6">
        <f>IF(ISERROR(VLOOKUP($S$701,'TAR FIN'!$A$1:$O$120,15,0)),0,VLOOKUP($S$701,'TAR FIN'!$A$1:$O$120,15,0))</f>
        <v>0</v>
      </c>
      <c r="W701" s="6">
        <f>IF(ISERROR(VLOOKUP($T$701,'TAR FIN'!$A$1:$O$120,15,0)),0,VLOOKUP($T$701,'TAR FIN'!$A$1:$O$120,15,0))</f>
        <v>641.99</v>
      </c>
      <c r="X701" s="6">
        <f>IF(ISERROR(VLOOKUP($U$701,'TAR FIN'!$A$1:$O$120,15,0)),0,VLOOKUP($U$701,'TAR FIN'!$A$1:$O$120,15,0))</f>
        <v>430.87</v>
      </c>
      <c r="Y701" s="6"/>
      <c r="Z701" s="6">
        <f ca="1">('TUSD BE'!$AM$33+'TUSD BF'!$AM$33+'TUSD CVA'!$AM$33)*1</f>
        <v>747.73363518028248</v>
      </c>
      <c r="AA701" s="6">
        <f>('TE BE'!$AA$10+'TE BF'!$AA$10+'TE CVA'!$AA$10)*1</f>
        <v>375.69180268700768</v>
      </c>
      <c r="AB701" s="6">
        <f>$K$701*$V$701</f>
        <v>0</v>
      </c>
      <c r="AC701" s="6">
        <f>$M$701*$W$701</f>
        <v>1667.24803</v>
      </c>
      <c r="AD701" s="6">
        <f>$O$701*$X$701</f>
        <v>1118.96939</v>
      </c>
      <c r="AE701" s="6">
        <f>$K$701*$Y$701</f>
        <v>0</v>
      </c>
      <c r="AF701" s="6">
        <f ca="1">$M$701*$Z$701</f>
        <v>1941.8642505631935</v>
      </c>
      <c r="AG701" s="6">
        <f>$O$701*$AA$701</f>
        <v>975.67161157815895</v>
      </c>
    </row>
    <row r="702" spans="1:33" ht="11.25" customHeight="1" x14ac:dyDescent="0.25">
      <c r="A702" s="4" t="s">
        <v>28</v>
      </c>
      <c r="B702" s="4" t="s">
        <v>33</v>
      </c>
      <c r="C702" s="4" t="s">
        <v>34</v>
      </c>
      <c r="D702" s="4" t="s">
        <v>42</v>
      </c>
      <c r="E702" s="4" t="s">
        <v>25</v>
      </c>
      <c r="F702" s="4" t="s">
        <v>25</v>
      </c>
      <c r="G702" s="4" t="s">
        <v>25</v>
      </c>
      <c r="H702" s="4" t="s">
        <v>35</v>
      </c>
      <c r="I702" s="5">
        <v>43922</v>
      </c>
      <c r="J702" s="6">
        <v>0</v>
      </c>
      <c r="K702" s="6">
        <v>0</v>
      </c>
      <c r="L702" s="6">
        <v>109.21</v>
      </c>
      <c r="M702" s="6">
        <v>109.21</v>
      </c>
      <c r="N702" s="6">
        <v>109.21</v>
      </c>
      <c r="O702" s="6">
        <v>109.21</v>
      </c>
      <c r="P702" s="6">
        <v>0</v>
      </c>
      <c r="Q702" s="4" t="s">
        <v>26</v>
      </c>
      <c r="R702" s="4">
        <v>0</v>
      </c>
      <c r="S702" s="6">
        <v>0</v>
      </c>
      <c r="T702" s="6">
        <v>27</v>
      </c>
      <c r="U702" s="6">
        <v>81</v>
      </c>
      <c r="V702" s="6">
        <f>IF(ISERROR(VLOOKUP($S$702,'TAR FIN'!$A$1:$O$120,15,0)),0,VLOOKUP($S$702,'TAR FIN'!$A$1:$O$120,15,0))</f>
        <v>0</v>
      </c>
      <c r="W702" s="6">
        <f>IF(ISERROR(VLOOKUP($T$702,'TAR FIN'!$A$1:$O$120,15,0)),0,VLOOKUP($T$702,'TAR FIN'!$A$1:$O$120,15,0))</f>
        <v>641.99</v>
      </c>
      <c r="X702" s="6">
        <f>IF(ISERROR(VLOOKUP($U$702,'TAR FIN'!$A$1:$O$120,15,0)),0,VLOOKUP($U$702,'TAR FIN'!$A$1:$O$120,15,0))</f>
        <v>430.87</v>
      </c>
      <c r="Y702" s="6"/>
      <c r="Z702" s="6">
        <f ca="1">('TUSD BE'!$AM$33+'TUSD BF'!$AM$33+'TUSD CVA'!$AM$33)*1</f>
        <v>747.73363518028248</v>
      </c>
      <c r="AA702" s="6">
        <f>('TE BE'!$AA$10+'TE BF'!$AA$10+'TE CVA'!$AA$10)*1</f>
        <v>375.69180268700768</v>
      </c>
      <c r="AB702" s="6">
        <f>$K$702*$V$702</f>
        <v>0</v>
      </c>
      <c r="AC702" s="6">
        <f>$M$702*$W$702</f>
        <v>70111.727899999998</v>
      </c>
      <c r="AD702" s="6">
        <f>$O$702*$X$702</f>
        <v>47055.312699999995</v>
      </c>
      <c r="AE702" s="6">
        <f>$K$702*$Y$702</f>
        <v>0</v>
      </c>
      <c r="AF702" s="6">
        <f ca="1">$M$702*$Z$702</f>
        <v>81659.99029803864</v>
      </c>
      <c r="AG702" s="6">
        <f>$O$702*$AA$702</f>
        <v>41029.301771448103</v>
      </c>
    </row>
    <row r="703" spans="1:33" ht="11.25" customHeight="1" x14ac:dyDescent="0.25">
      <c r="A703" s="4" t="s">
        <v>21</v>
      </c>
      <c r="B703" s="4" t="s">
        <v>33</v>
      </c>
      <c r="C703" s="4" t="s">
        <v>34</v>
      </c>
      <c r="D703" s="4" t="s">
        <v>42</v>
      </c>
      <c r="E703" s="4" t="s">
        <v>25</v>
      </c>
      <c r="F703" s="4" t="s">
        <v>25</v>
      </c>
      <c r="G703" s="4" t="s">
        <v>25</v>
      </c>
      <c r="H703" s="4" t="s">
        <v>35</v>
      </c>
      <c r="I703" s="5">
        <v>43952</v>
      </c>
      <c r="J703" s="6">
        <v>0</v>
      </c>
      <c r="K703" s="6">
        <v>0</v>
      </c>
      <c r="L703" s="6">
        <v>1336.4469999999999</v>
      </c>
      <c r="M703" s="6">
        <v>1336.4469999999999</v>
      </c>
      <c r="N703" s="6">
        <v>1336.4469999999999</v>
      </c>
      <c r="O703" s="6">
        <v>1336.4469999999999</v>
      </c>
      <c r="P703" s="6">
        <v>0</v>
      </c>
      <c r="Q703" s="4" t="s">
        <v>26</v>
      </c>
      <c r="R703" s="4">
        <v>0</v>
      </c>
      <c r="S703" s="6">
        <v>0</v>
      </c>
      <c r="T703" s="6">
        <v>27</v>
      </c>
      <c r="U703" s="6">
        <v>81</v>
      </c>
      <c r="V703" s="6">
        <f>IF(ISERROR(VLOOKUP($S$703,'TAR FIN'!$A$1:$O$120,15,0)),0,VLOOKUP($S$703,'TAR FIN'!$A$1:$O$120,15,0))</f>
        <v>0</v>
      </c>
      <c r="W703" s="6">
        <f>IF(ISERROR(VLOOKUP($T$703,'TAR FIN'!$A$1:$O$120,15,0)),0,VLOOKUP($T$703,'TAR FIN'!$A$1:$O$120,15,0))</f>
        <v>641.99</v>
      </c>
      <c r="X703" s="6">
        <f>IF(ISERROR(VLOOKUP($U$703,'TAR FIN'!$A$1:$O$120,15,0)),0,VLOOKUP($U$703,'TAR FIN'!$A$1:$O$120,15,0))</f>
        <v>430.87</v>
      </c>
      <c r="Y703" s="6"/>
      <c r="Z703" s="6">
        <f ca="1">('TUSD BE'!$AM$33+'TUSD BF'!$AM$33+'TUSD CVA'!$AM$33)*1</f>
        <v>747.73363518028248</v>
      </c>
      <c r="AA703" s="6">
        <f>('TE BE'!$AA$10+'TE BF'!$AA$10+'TE CVA'!$AA$10)*1</f>
        <v>375.69180268700768</v>
      </c>
      <c r="AB703" s="6">
        <f>$K$703*$V$703</f>
        <v>0</v>
      </c>
      <c r="AC703" s="6">
        <f>$M$703*$W$703</f>
        <v>857985.6095299999</v>
      </c>
      <c r="AD703" s="6">
        <f>$O$703*$X$703</f>
        <v>575834.91888999997</v>
      </c>
      <c r="AE703" s="6">
        <f>$K$703*$Y$703</f>
        <v>0</v>
      </c>
      <c r="AF703" s="6">
        <f ca="1">$M$703*$Z$703</f>
        <v>999306.37353578291</v>
      </c>
      <c r="AG703" s="6">
        <f>$O$703*$AA$703</f>
        <v>502092.18262564333</v>
      </c>
    </row>
    <row r="704" spans="1:33" ht="11.25" customHeight="1" x14ac:dyDescent="0.25">
      <c r="A704" s="4" t="s">
        <v>27</v>
      </c>
      <c r="B704" s="4" t="s">
        <v>33</v>
      </c>
      <c r="C704" s="4" t="s">
        <v>34</v>
      </c>
      <c r="D704" s="4" t="s">
        <v>42</v>
      </c>
      <c r="E704" s="4" t="s">
        <v>25</v>
      </c>
      <c r="F704" s="4" t="s">
        <v>25</v>
      </c>
      <c r="G704" s="4" t="s">
        <v>25</v>
      </c>
      <c r="H704" s="4" t="s">
        <v>35</v>
      </c>
      <c r="I704" s="5">
        <v>43952</v>
      </c>
      <c r="J704" s="6">
        <v>0</v>
      </c>
      <c r="K704" s="6">
        <v>0</v>
      </c>
      <c r="L704" s="6">
        <v>1.0720000000000001</v>
      </c>
      <c r="M704" s="6">
        <v>1.0720000000000001</v>
      </c>
      <c r="N704" s="6">
        <v>1.0720000000000001</v>
      </c>
      <c r="O704" s="6">
        <v>1.0720000000000001</v>
      </c>
      <c r="P704" s="6">
        <v>0</v>
      </c>
      <c r="Q704" s="4" t="s">
        <v>26</v>
      </c>
      <c r="R704" s="4">
        <v>0</v>
      </c>
      <c r="S704" s="6">
        <v>0</v>
      </c>
      <c r="T704" s="6">
        <v>27</v>
      </c>
      <c r="U704" s="6">
        <v>81</v>
      </c>
      <c r="V704" s="6">
        <f>IF(ISERROR(VLOOKUP($S$704,'TAR FIN'!$A$1:$O$120,15,0)),0,VLOOKUP($S$704,'TAR FIN'!$A$1:$O$120,15,0))</f>
        <v>0</v>
      </c>
      <c r="W704" s="6">
        <f>IF(ISERROR(VLOOKUP($T$704,'TAR FIN'!$A$1:$O$120,15,0)),0,VLOOKUP($T$704,'TAR FIN'!$A$1:$O$120,15,0))</f>
        <v>641.99</v>
      </c>
      <c r="X704" s="6">
        <f>IF(ISERROR(VLOOKUP($U$704,'TAR FIN'!$A$1:$O$120,15,0)),0,VLOOKUP($U$704,'TAR FIN'!$A$1:$O$120,15,0))</f>
        <v>430.87</v>
      </c>
      <c r="Y704" s="6"/>
      <c r="Z704" s="6">
        <f ca="1">('TUSD BE'!$AM$33+'TUSD BF'!$AM$33+'TUSD CVA'!$AM$33)*1</f>
        <v>747.73363518028248</v>
      </c>
      <c r="AA704" s="6">
        <f>('TE BE'!$AA$10+'TE BF'!$AA$10+'TE CVA'!$AA$10)*1</f>
        <v>375.69180268700768</v>
      </c>
      <c r="AB704" s="6">
        <f>$K$704*$V$704</f>
        <v>0</v>
      </c>
      <c r="AC704" s="6">
        <f>$M$704*$W$704</f>
        <v>688.21328000000005</v>
      </c>
      <c r="AD704" s="6">
        <f>$O$704*$X$704</f>
        <v>461.89264000000003</v>
      </c>
      <c r="AE704" s="6">
        <f>$K$704*$Y$704</f>
        <v>0</v>
      </c>
      <c r="AF704" s="6">
        <f ca="1">$M$704*$Z$704</f>
        <v>801.57045691326289</v>
      </c>
      <c r="AG704" s="6">
        <f>$O$704*$AA$704</f>
        <v>402.74161248047227</v>
      </c>
    </row>
    <row r="705" spans="1:33" ht="11.25" customHeight="1" x14ac:dyDescent="0.25">
      <c r="A705" s="4" t="s">
        <v>28</v>
      </c>
      <c r="B705" s="4" t="s">
        <v>33</v>
      </c>
      <c r="C705" s="4" t="s">
        <v>34</v>
      </c>
      <c r="D705" s="4" t="s">
        <v>42</v>
      </c>
      <c r="E705" s="4" t="s">
        <v>25</v>
      </c>
      <c r="F705" s="4" t="s">
        <v>25</v>
      </c>
      <c r="G705" s="4" t="s">
        <v>25</v>
      </c>
      <c r="H705" s="4" t="s">
        <v>35</v>
      </c>
      <c r="I705" s="5">
        <v>43952</v>
      </c>
      <c r="J705" s="6">
        <v>0</v>
      </c>
      <c r="K705" s="6">
        <v>0</v>
      </c>
      <c r="L705" s="6">
        <v>63.174999999999997</v>
      </c>
      <c r="M705" s="6">
        <v>63.174999999999997</v>
      </c>
      <c r="N705" s="6">
        <v>63.174999999999997</v>
      </c>
      <c r="O705" s="6">
        <v>63.174999999999997</v>
      </c>
      <c r="P705" s="6">
        <v>0</v>
      </c>
      <c r="Q705" s="4" t="s">
        <v>26</v>
      </c>
      <c r="R705" s="4">
        <v>0</v>
      </c>
      <c r="S705" s="6">
        <v>0</v>
      </c>
      <c r="T705" s="6">
        <v>27</v>
      </c>
      <c r="U705" s="6">
        <v>81</v>
      </c>
      <c r="V705" s="6">
        <f>IF(ISERROR(VLOOKUP($S$705,'TAR FIN'!$A$1:$O$120,15,0)),0,VLOOKUP($S$705,'TAR FIN'!$A$1:$O$120,15,0))</f>
        <v>0</v>
      </c>
      <c r="W705" s="6">
        <f>IF(ISERROR(VLOOKUP($T$705,'TAR FIN'!$A$1:$O$120,15,0)),0,VLOOKUP($T$705,'TAR FIN'!$A$1:$O$120,15,0))</f>
        <v>641.99</v>
      </c>
      <c r="X705" s="6">
        <f>IF(ISERROR(VLOOKUP($U$705,'TAR FIN'!$A$1:$O$120,15,0)),0,VLOOKUP($U$705,'TAR FIN'!$A$1:$O$120,15,0))</f>
        <v>430.87</v>
      </c>
      <c r="Y705" s="6"/>
      <c r="Z705" s="6">
        <f ca="1">('TUSD BE'!$AM$33+'TUSD BF'!$AM$33+'TUSD CVA'!$AM$33)*1</f>
        <v>747.73363518028248</v>
      </c>
      <c r="AA705" s="6">
        <f>('TE BE'!$AA$10+'TE BF'!$AA$10+'TE CVA'!$AA$10)*1</f>
        <v>375.69180268700768</v>
      </c>
      <c r="AB705" s="6">
        <f>$K$705*$V$705</f>
        <v>0</v>
      </c>
      <c r="AC705" s="6">
        <f>$M$705*$W$705</f>
        <v>40557.718249999998</v>
      </c>
      <c r="AD705" s="6">
        <f>$O$705*$X$705</f>
        <v>27220.21225</v>
      </c>
      <c r="AE705" s="6">
        <f>$K$705*$Y$705</f>
        <v>0</v>
      </c>
      <c r="AF705" s="6">
        <f ca="1">$M$705*$Z$705</f>
        <v>47238.072402514343</v>
      </c>
      <c r="AG705" s="6">
        <f>$O$705*$AA$705</f>
        <v>23734.32963475171</v>
      </c>
    </row>
    <row r="706" spans="1:33" ht="11.25" customHeight="1" x14ac:dyDescent="0.25">
      <c r="A706" s="4" t="s">
        <v>21</v>
      </c>
      <c r="B706" s="4" t="s">
        <v>33</v>
      </c>
      <c r="C706" s="4" t="s">
        <v>34</v>
      </c>
      <c r="D706" s="4" t="s">
        <v>42</v>
      </c>
      <c r="E706" s="4" t="s">
        <v>25</v>
      </c>
      <c r="F706" s="4" t="s">
        <v>25</v>
      </c>
      <c r="G706" s="4" t="s">
        <v>25</v>
      </c>
      <c r="H706" s="4" t="s">
        <v>35</v>
      </c>
      <c r="I706" s="5">
        <v>43983</v>
      </c>
      <c r="J706" s="6">
        <v>0</v>
      </c>
      <c r="K706" s="6">
        <v>0</v>
      </c>
      <c r="L706" s="6">
        <v>1410.038</v>
      </c>
      <c r="M706" s="6">
        <v>1410.038</v>
      </c>
      <c r="N706" s="6">
        <v>1410.038</v>
      </c>
      <c r="O706" s="6">
        <v>1410.038</v>
      </c>
      <c r="P706" s="6">
        <v>0</v>
      </c>
      <c r="Q706" s="4" t="s">
        <v>26</v>
      </c>
      <c r="R706" s="4">
        <v>0</v>
      </c>
      <c r="S706" s="6">
        <v>0</v>
      </c>
      <c r="T706" s="6">
        <v>27</v>
      </c>
      <c r="U706" s="6">
        <v>81</v>
      </c>
      <c r="V706" s="6">
        <f>IF(ISERROR(VLOOKUP($S$706,'TAR FIN'!$A$1:$O$120,15,0)),0,VLOOKUP($S$706,'TAR FIN'!$A$1:$O$120,15,0))</f>
        <v>0</v>
      </c>
      <c r="W706" s="6">
        <f>IF(ISERROR(VLOOKUP($T$706,'TAR FIN'!$A$1:$O$120,15,0)),0,VLOOKUP($T$706,'TAR FIN'!$A$1:$O$120,15,0))</f>
        <v>641.99</v>
      </c>
      <c r="X706" s="6">
        <f>IF(ISERROR(VLOOKUP($U$706,'TAR FIN'!$A$1:$O$120,15,0)),0,VLOOKUP($U$706,'TAR FIN'!$A$1:$O$120,15,0))</f>
        <v>430.87</v>
      </c>
      <c r="Y706" s="6"/>
      <c r="Z706" s="6">
        <f ca="1">('TUSD BE'!$AM$33+'TUSD BF'!$AM$33+'TUSD CVA'!$AM$33)*1</f>
        <v>747.73363518028248</v>
      </c>
      <c r="AA706" s="6">
        <f>('TE BE'!$AA$10+'TE BF'!$AA$10+'TE CVA'!$AA$10)*1</f>
        <v>375.69180268700768</v>
      </c>
      <c r="AB706" s="6">
        <f>$K$706*$V$706</f>
        <v>0</v>
      </c>
      <c r="AC706" s="6">
        <f>$M$706*$W$706</f>
        <v>905230.29561999999</v>
      </c>
      <c r="AD706" s="6">
        <f>$O$706*$X$706</f>
        <v>607543.07305999997</v>
      </c>
      <c r="AE706" s="6">
        <f>$K$706*$Y$706</f>
        <v>0</v>
      </c>
      <c r="AF706" s="6">
        <f ca="1">$M$706*$Z$706</f>
        <v>1054332.8394823351</v>
      </c>
      <c r="AG706" s="6">
        <f>$O$706*$AA$706</f>
        <v>529739.71807718289</v>
      </c>
    </row>
    <row r="707" spans="1:33" ht="11.25" customHeight="1" x14ac:dyDescent="0.25">
      <c r="A707" s="4" t="s">
        <v>27</v>
      </c>
      <c r="B707" s="4" t="s">
        <v>33</v>
      </c>
      <c r="C707" s="4" t="s">
        <v>34</v>
      </c>
      <c r="D707" s="4" t="s">
        <v>42</v>
      </c>
      <c r="E707" s="4" t="s">
        <v>25</v>
      </c>
      <c r="F707" s="4" t="s">
        <v>25</v>
      </c>
      <c r="G707" s="4" t="s">
        <v>25</v>
      </c>
      <c r="H707" s="4" t="s">
        <v>35</v>
      </c>
      <c r="I707" s="5">
        <v>43983</v>
      </c>
      <c r="J707" s="6">
        <v>0</v>
      </c>
      <c r="K707" s="6">
        <v>0</v>
      </c>
      <c r="L707" s="6">
        <v>2.5390000000000001</v>
      </c>
      <c r="M707" s="6">
        <v>2.5390000000000001</v>
      </c>
      <c r="N707" s="6">
        <v>2.5390000000000001</v>
      </c>
      <c r="O707" s="6">
        <v>2.5390000000000001</v>
      </c>
      <c r="P707" s="6">
        <v>0</v>
      </c>
      <c r="Q707" s="4" t="s">
        <v>26</v>
      </c>
      <c r="R707" s="4">
        <v>0</v>
      </c>
      <c r="S707" s="6">
        <v>0</v>
      </c>
      <c r="T707" s="6">
        <v>27</v>
      </c>
      <c r="U707" s="6">
        <v>81</v>
      </c>
      <c r="V707" s="6">
        <f>IF(ISERROR(VLOOKUP($S$707,'TAR FIN'!$A$1:$O$120,15,0)),0,VLOOKUP($S$707,'TAR FIN'!$A$1:$O$120,15,0))</f>
        <v>0</v>
      </c>
      <c r="W707" s="6">
        <f>IF(ISERROR(VLOOKUP($T$707,'TAR FIN'!$A$1:$O$120,15,0)),0,VLOOKUP($T$707,'TAR FIN'!$A$1:$O$120,15,0))</f>
        <v>641.99</v>
      </c>
      <c r="X707" s="6">
        <f>IF(ISERROR(VLOOKUP($U$707,'TAR FIN'!$A$1:$O$120,15,0)),0,VLOOKUP($U$707,'TAR FIN'!$A$1:$O$120,15,0))</f>
        <v>430.87</v>
      </c>
      <c r="Y707" s="6"/>
      <c r="Z707" s="6">
        <f ca="1">('TUSD BE'!$AM$33+'TUSD BF'!$AM$33+'TUSD CVA'!$AM$33)*1</f>
        <v>747.73363518028248</v>
      </c>
      <c r="AA707" s="6">
        <f>('TE BE'!$AA$10+'TE BF'!$AA$10+'TE CVA'!$AA$10)*1</f>
        <v>375.69180268700768</v>
      </c>
      <c r="AB707" s="6">
        <f>$K$707*$V$707</f>
        <v>0</v>
      </c>
      <c r="AC707" s="6">
        <f>$M$707*$W$707</f>
        <v>1630.0126100000002</v>
      </c>
      <c r="AD707" s="6">
        <f>$O$707*$X$707</f>
        <v>1093.97893</v>
      </c>
      <c r="AE707" s="6">
        <f>$K$707*$Y$707</f>
        <v>0</v>
      </c>
      <c r="AF707" s="6">
        <f ca="1">$M$707*$Z$707</f>
        <v>1898.4956997227373</v>
      </c>
      <c r="AG707" s="6">
        <f>$O$707*$AA$707</f>
        <v>953.88148702231251</v>
      </c>
    </row>
    <row r="708" spans="1:33" ht="11.25" customHeight="1" x14ac:dyDescent="0.25">
      <c r="A708" s="4" t="s">
        <v>28</v>
      </c>
      <c r="B708" s="4" t="s">
        <v>33</v>
      </c>
      <c r="C708" s="4" t="s">
        <v>34</v>
      </c>
      <c r="D708" s="4" t="s">
        <v>42</v>
      </c>
      <c r="E708" s="4" t="s">
        <v>25</v>
      </c>
      <c r="F708" s="4" t="s">
        <v>25</v>
      </c>
      <c r="G708" s="4" t="s">
        <v>25</v>
      </c>
      <c r="H708" s="4" t="s">
        <v>35</v>
      </c>
      <c r="I708" s="5">
        <v>43983</v>
      </c>
      <c r="J708" s="6">
        <v>0</v>
      </c>
      <c r="K708" s="6">
        <v>0</v>
      </c>
      <c r="L708" s="6">
        <v>33.520000000000003</v>
      </c>
      <c r="M708" s="6">
        <v>33.520000000000003</v>
      </c>
      <c r="N708" s="6">
        <v>33.520000000000003</v>
      </c>
      <c r="O708" s="6">
        <v>33.520000000000003</v>
      </c>
      <c r="P708" s="6">
        <v>0</v>
      </c>
      <c r="Q708" s="4" t="s">
        <v>26</v>
      </c>
      <c r="R708" s="4">
        <v>0</v>
      </c>
      <c r="S708" s="6">
        <v>0</v>
      </c>
      <c r="T708" s="6">
        <v>27</v>
      </c>
      <c r="U708" s="6">
        <v>81</v>
      </c>
      <c r="V708" s="6">
        <f>IF(ISERROR(VLOOKUP($S$708,'TAR FIN'!$A$1:$O$120,15,0)),0,VLOOKUP($S$708,'TAR FIN'!$A$1:$O$120,15,0))</f>
        <v>0</v>
      </c>
      <c r="W708" s="6">
        <f>IF(ISERROR(VLOOKUP($T$708,'TAR FIN'!$A$1:$O$120,15,0)),0,VLOOKUP($T$708,'TAR FIN'!$A$1:$O$120,15,0))</f>
        <v>641.99</v>
      </c>
      <c r="X708" s="6">
        <f>IF(ISERROR(VLOOKUP($U$708,'TAR FIN'!$A$1:$O$120,15,0)),0,VLOOKUP($U$708,'TAR FIN'!$A$1:$O$120,15,0))</f>
        <v>430.87</v>
      </c>
      <c r="Y708" s="6"/>
      <c r="Z708" s="6">
        <f ca="1">('TUSD BE'!$AM$33+'TUSD BF'!$AM$33+'TUSD CVA'!$AM$33)*1</f>
        <v>747.73363518028248</v>
      </c>
      <c r="AA708" s="6">
        <f>('TE BE'!$AA$10+'TE BF'!$AA$10+'TE CVA'!$AA$10)*1</f>
        <v>375.69180268700768</v>
      </c>
      <c r="AB708" s="6">
        <f>$K$708*$V$708</f>
        <v>0</v>
      </c>
      <c r="AC708" s="6">
        <f>$M$708*$W$708</f>
        <v>21519.504800000002</v>
      </c>
      <c r="AD708" s="6">
        <f>$O$708*$X$708</f>
        <v>14442.762400000001</v>
      </c>
      <c r="AE708" s="6">
        <f>$K$708*$Y$708</f>
        <v>0</v>
      </c>
      <c r="AF708" s="6">
        <f ca="1">$M$708*$Z$708</f>
        <v>25064.03145124307</v>
      </c>
      <c r="AG708" s="6">
        <f>$O$708*$AA$708</f>
        <v>12593.189226068498</v>
      </c>
    </row>
    <row r="709" spans="1:33" ht="11.25" customHeight="1" x14ac:dyDescent="0.25">
      <c r="A709" s="4" t="s">
        <v>21</v>
      </c>
      <c r="B709" s="4" t="s">
        <v>33</v>
      </c>
      <c r="C709" s="4" t="s">
        <v>34</v>
      </c>
      <c r="D709" s="4" t="s">
        <v>42</v>
      </c>
      <c r="E709" s="4" t="s">
        <v>25</v>
      </c>
      <c r="F709" s="4" t="s">
        <v>25</v>
      </c>
      <c r="G709" s="4" t="s">
        <v>25</v>
      </c>
      <c r="H709" s="4" t="s">
        <v>35</v>
      </c>
      <c r="I709" s="5">
        <v>44013</v>
      </c>
      <c r="J709" s="6">
        <v>0</v>
      </c>
      <c r="K709" s="6">
        <v>0</v>
      </c>
      <c r="L709" s="6">
        <v>1402.9770000000001</v>
      </c>
      <c r="M709" s="6">
        <v>1402.9770000000001</v>
      </c>
      <c r="N709" s="6">
        <v>1402.9770000000001</v>
      </c>
      <c r="O709" s="6">
        <v>1402.9770000000001</v>
      </c>
      <c r="P709" s="6">
        <v>0</v>
      </c>
      <c r="Q709" s="4" t="s">
        <v>26</v>
      </c>
      <c r="R709" s="4">
        <v>0</v>
      </c>
      <c r="S709" s="6">
        <v>0</v>
      </c>
      <c r="T709" s="6">
        <v>27</v>
      </c>
      <c r="U709" s="6">
        <v>81</v>
      </c>
      <c r="V709" s="6">
        <f>IF(ISERROR(VLOOKUP($S$709,'TAR FIN'!$A$1:$O$120,15,0)),0,VLOOKUP($S$709,'TAR FIN'!$A$1:$O$120,15,0))</f>
        <v>0</v>
      </c>
      <c r="W709" s="6">
        <f>IF(ISERROR(VLOOKUP($T$709,'TAR FIN'!$A$1:$O$120,15,0)),0,VLOOKUP($T$709,'TAR FIN'!$A$1:$O$120,15,0))</f>
        <v>641.99</v>
      </c>
      <c r="X709" s="6">
        <f>IF(ISERROR(VLOOKUP($U$709,'TAR FIN'!$A$1:$O$120,15,0)),0,VLOOKUP($U$709,'TAR FIN'!$A$1:$O$120,15,0))</f>
        <v>430.87</v>
      </c>
      <c r="Y709" s="6"/>
      <c r="Z709" s="6">
        <f ca="1">('TUSD BE'!$AM$33+'TUSD BF'!$AM$33+'TUSD CVA'!$AM$33)*1</f>
        <v>747.73363518028248</v>
      </c>
      <c r="AA709" s="6">
        <f>('TE BE'!$AA$10+'TE BF'!$AA$10+'TE CVA'!$AA$10)*1</f>
        <v>375.69180268700768</v>
      </c>
      <c r="AB709" s="6">
        <f>$K$709*$V$709</f>
        <v>0</v>
      </c>
      <c r="AC709" s="6">
        <f>$M$709*$W$709</f>
        <v>900697.20423000003</v>
      </c>
      <c r="AD709" s="6">
        <f>$O$709*$X$709</f>
        <v>604500.69998999999</v>
      </c>
      <c r="AE709" s="6">
        <f>$K$709*$Y$709</f>
        <v>0</v>
      </c>
      <c r="AF709" s="6">
        <f ca="1">$M$709*$Z$709</f>
        <v>1049053.0922843271</v>
      </c>
      <c r="AG709" s="6">
        <f>$O$709*$AA$709</f>
        <v>527086.95825840998</v>
      </c>
    </row>
    <row r="710" spans="1:33" ht="11.25" customHeight="1" x14ac:dyDescent="0.25">
      <c r="A710" s="4" t="s">
        <v>27</v>
      </c>
      <c r="B710" s="4" t="s">
        <v>33</v>
      </c>
      <c r="C710" s="4" t="s">
        <v>34</v>
      </c>
      <c r="D710" s="4" t="s">
        <v>42</v>
      </c>
      <c r="E710" s="4" t="s">
        <v>25</v>
      </c>
      <c r="F710" s="4" t="s">
        <v>25</v>
      </c>
      <c r="G710" s="4" t="s">
        <v>25</v>
      </c>
      <c r="H710" s="4" t="s">
        <v>35</v>
      </c>
      <c r="I710" s="5">
        <v>44013</v>
      </c>
      <c r="J710" s="6">
        <v>0</v>
      </c>
      <c r="K710" s="6">
        <v>0</v>
      </c>
      <c r="L710" s="6">
        <v>4.0949999999999998</v>
      </c>
      <c r="M710" s="6">
        <v>4.0949999999999998</v>
      </c>
      <c r="N710" s="6">
        <v>4.0949999999999998</v>
      </c>
      <c r="O710" s="6">
        <v>4.0949999999999998</v>
      </c>
      <c r="P710" s="6">
        <v>0</v>
      </c>
      <c r="Q710" s="4" t="s">
        <v>26</v>
      </c>
      <c r="R710" s="4">
        <v>0</v>
      </c>
      <c r="S710" s="6">
        <v>0</v>
      </c>
      <c r="T710" s="6">
        <v>27</v>
      </c>
      <c r="U710" s="6">
        <v>81</v>
      </c>
      <c r="V710" s="6">
        <f>IF(ISERROR(VLOOKUP($S$710,'TAR FIN'!$A$1:$O$120,15,0)),0,VLOOKUP($S$710,'TAR FIN'!$A$1:$O$120,15,0))</f>
        <v>0</v>
      </c>
      <c r="W710" s="6">
        <f>IF(ISERROR(VLOOKUP($T$710,'TAR FIN'!$A$1:$O$120,15,0)),0,VLOOKUP($T$710,'TAR FIN'!$A$1:$O$120,15,0))</f>
        <v>641.99</v>
      </c>
      <c r="X710" s="6">
        <f>IF(ISERROR(VLOOKUP($U$710,'TAR FIN'!$A$1:$O$120,15,0)),0,VLOOKUP($U$710,'TAR FIN'!$A$1:$O$120,15,0))</f>
        <v>430.87</v>
      </c>
      <c r="Y710" s="6"/>
      <c r="Z710" s="6">
        <f ca="1">('TUSD BE'!$AM$33+'TUSD BF'!$AM$33+'TUSD CVA'!$AM$33)*1</f>
        <v>747.73363518028248</v>
      </c>
      <c r="AA710" s="6">
        <f>('TE BE'!$AA$10+'TE BF'!$AA$10+'TE CVA'!$AA$10)*1</f>
        <v>375.69180268700768</v>
      </c>
      <c r="AB710" s="6">
        <f>$K$710*$V$710</f>
        <v>0</v>
      </c>
      <c r="AC710" s="6">
        <f>$M$710*$W$710</f>
        <v>2628.9490499999997</v>
      </c>
      <c r="AD710" s="6">
        <f>$O$710*$X$710</f>
        <v>1764.41265</v>
      </c>
      <c r="AE710" s="6">
        <f>$K$710*$Y$710</f>
        <v>0</v>
      </c>
      <c r="AF710" s="6">
        <f ca="1">$M$710*$Z$710</f>
        <v>3061.9692360632566</v>
      </c>
      <c r="AG710" s="6">
        <f>$O$710*$AA$710</f>
        <v>1538.4579320032963</v>
      </c>
    </row>
    <row r="711" spans="1:33" ht="11.25" customHeight="1" x14ac:dyDescent="0.25">
      <c r="A711" s="4" t="s">
        <v>28</v>
      </c>
      <c r="B711" s="4" t="s">
        <v>33</v>
      </c>
      <c r="C711" s="4" t="s">
        <v>34</v>
      </c>
      <c r="D711" s="4" t="s">
        <v>42</v>
      </c>
      <c r="E711" s="4" t="s">
        <v>25</v>
      </c>
      <c r="F711" s="4" t="s">
        <v>25</v>
      </c>
      <c r="G711" s="4" t="s">
        <v>25</v>
      </c>
      <c r="H711" s="4" t="s">
        <v>35</v>
      </c>
      <c r="I711" s="5">
        <v>44013</v>
      </c>
      <c r="J711" s="6">
        <v>0</v>
      </c>
      <c r="K711" s="6">
        <v>0</v>
      </c>
      <c r="L711" s="6">
        <v>32.686</v>
      </c>
      <c r="M711" s="6">
        <v>32.686</v>
      </c>
      <c r="N711" s="6">
        <v>32.686</v>
      </c>
      <c r="O711" s="6">
        <v>32.686</v>
      </c>
      <c r="P711" s="6">
        <v>0</v>
      </c>
      <c r="Q711" s="4" t="s">
        <v>26</v>
      </c>
      <c r="R711" s="4">
        <v>0</v>
      </c>
      <c r="S711" s="6">
        <v>0</v>
      </c>
      <c r="T711" s="6">
        <v>27</v>
      </c>
      <c r="U711" s="6">
        <v>81</v>
      </c>
      <c r="V711" s="6">
        <f>IF(ISERROR(VLOOKUP($S$711,'TAR FIN'!$A$1:$O$120,15,0)),0,VLOOKUP($S$711,'TAR FIN'!$A$1:$O$120,15,0))</f>
        <v>0</v>
      </c>
      <c r="W711" s="6">
        <f>IF(ISERROR(VLOOKUP($T$711,'TAR FIN'!$A$1:$O$120,15,0)),0,VLOOKUP($T$711,'TAR FIN'!$A$1:$O$120,15,0))</f>
        <v>641.99</v>
      </c>
      <c r="X711" s="6">
        <f>IF(ISERROR(VLOOKUP($U$711,'TAR FIN'!$A$1:$O$120,15,0)),0,VLOOKUP($U$711,'TAR FIN'!$A$1:$O$120,15,0))</f>
        <v>430.87</v>
      </c>
      <c r="Y711" s="6"/>
      <c r="Z711" s="6">
        <f ca="1">('TUSD BE'!$AM$33+'TUSD BF'!$AM$33+'TUSD CVA'!$AM$33)*1</f>
        <v>747.73363518028248</v>
      </c>
      <c r="AA711" s="6">
        <f>('TE BE'!$AA$10+'TE BF'!$AA$10+'TE CVA'!$AA$10)*1</f>
        <v>375.69180268700768</v>
      </c>
      <c r="AB711" s="6">
        <f>$K$711*$V$711</f>
        <v>0</v>
      </c>
      <c r="AC711" s="6">
        <f>$M$711*$W$711</f>
        <v>20984.085139999999</v>
      </c>
      <c r="AD711" s="6">
        <f>$O$711*$X$711</f>
        <v>14083.41682</v>
      </c>
      <c r="AE711" s="6">
        <f>$K$711*$Y$711</f>
        <v>0</v>
      </c>
      <c r="AF711" s="6">
        <f ca="1">$M$711*$Z$711</f>
        <v>24440.421599502712</v>
      </c>
      <c r="AG711" s="6">
        <f>$O$711*$AA$711</f>
        <v>12279.862262627534</v>
      </c>
    </row>
    <row r="712" spans="1:33" ht="11.25" customHeight="1" x14ac:dyDescent="0.25">
      <c r="A712" s="4" t="s">
        <v>21</v>
      </c>
      <c r="B712" s="4" t="s">
        <v>33</v>
      </c>
      <c r="C712" s="4" t="s">
        <v>34</v>
      </c>
      <c r="D712" s="4" t="s">
        <v>42</v>
      </c>
      <c r="E712" s="4" t="s">
        <v>25</v>
      </c>
      <c r="F712" s="4" t="s">
        <v>25</v>
      </c>
      <c r="G712" s="4" t="s">
        <v>25</v>
      </c>
      <c r="H712" s="4" t="s">
        <v>35</v>
      </c>
      <c r="I712" s="5">
        <v>44044</v>
      </c>
      <c r="J712" s="6">
        <v>0</v>
      </c>
      <c r="K712" s="6">
        <v>0</v>
      </c>
      <c r="L712" s="6">
        <v>1567.9880000000001</v>
      </c>
      <c r="M712" s="6">
        <v>1567.9880000000001</v>
      </c>
      <c r="N712" s="6">
        <v>1567.9880000000001</v>
      </c>
      <c r="O712" s="6">
        <v>1567.9880000000001</v>
      </c>
      <c r="P712" s="6">
        <v>0</v>
      </c>
      <c r="Q712" s="4" t="s">
        <v>26</v>
      </c>
      <c r="R712" s="4">
        <v>0</v>
      </c>
      <c r="S712" s="6">
        <v>0</v>
      </c>
      <c r="T712" s="6">
        <v>27</v>
      </c>
      <c r="U712" s="6">
        <v>81</v>
      </c>
      <c r="V712" s="6">
        <f>IF(ISERROR(VLOOKUP($S$712,'TAR FIN'!$A$1:$O$120,15,0)),0,VLOOKUP($S$712,'TAR FIN'!$A$1:$O$120,15,0))</f>
        <v>0</v>
      </c>
      <c r="W712" s="6">
        <f>IF(ISERROR(VLOOKUP($T$712,'TAR FIN'!$A$1:$O$120,15,0)),0,VLOOKUP($T$712,'TAR FIN'!$A$1:$O$120,15,0))</f>
        <v>641.99</v>
      </c>
      <c r="X712" s="6">
        <f>IF(ISERROR(VLOOKUP($U$712,'TAR FIN'!$A$1:$O$120,15,0)),0,VLOOKUP($U$712,'TAR FIN'!$A$1:$O$120,15,0))</f>
        <v>430.87</v>
      </c>
      <c r="Y712" s="6"/>
      <c r="Z712" s="6">
        <f ca="1">('TUSD BE'!$AM$33+'TUSD BF'!$AM$33+'TUSD CVA'!$AM$33)*1</f>
        <v>747.73363518028248</v>
      </c>
      <c r="AA712" s="6">
        <f>('TE BE'!$AA$10+'TE BF'!$AA$10+'TE CVA'!$AA$10)*1</f>
        <v>375.69180268700768</v>
      </c>
      <c r="AB712" s="6">
        <f>$K$712*$V$712</f>
        <v>0</v>
      </c>
      <c r="AC712" s="6">
        <f>$M$712*$W$712</f>
        <v>1006632.61612</v>
      </c>
      <c r="AD712" s="6">
        <f>$O$712*$X$712</f>
        <v>675598.98956000002</v>
      </c>
      <c r="AE712" s="6">
        <f>$K$712*$Y$712</f>
        <v>0</v>
      </c>
      <c r="AF712" s="6">
        <f ca="1">$M$712*$Z$712</f>
        <v>1172437.3671590609</v>
      </c>
      <c r="AG712" s="6">
        <f>$O$712*$AA$712</f>
        <v>589080.23831159587</v>
      </c>
    </row>
    <row r="713" spans="1:33" ht="11.25" customHeight="1" x14ac:dyDescent="0.25">
      <c r="A713" s="4" t="s">
        <v>27</v>
      </c>
      <c r="B713" s="4" t="s">
        <v>33</v>
      </c>
      <c r="C713" s="4" t="s">
        <v>34</v>
      </c>
      <c r="D713" s="4" t="s">
        <v>42</v>
      </c>
      <c r="E713" s="4" t="s">
        <v>25</v>
      </c>
      <c r="F713" s="4" t="s">
        <v>25</v>
      </c>
      <c r="G713" s="4" t="s">
        <v>25</v>
      </c>
      <c r="H713" s="4" t="s">
        <v>35</v>
      </c>
      <c r="I713" s="5">
        <v>44044</v>
      </c>
      <c r="J713" s="6">
        <v>0</v>
      </c>
      <c r="K713" s="6">
        <v>0</v>
      </c>
      <c r="L713" s="6">
        <v>0.104</v>
      </c>
      <c r="M713" s="6">
        <v>0.104</v>
      </c>
      <c r="N713" s="6">
        <v>0.104</v>
      </c>
      <c r="O713" s="6">
        <v>0.104</v>
      </c>
      <c r="P713" s="6">
        <v>0</v>
      </c>
      <c r="Q713" s="4" t="s">
        <v>26</v>
      </c>
      <c r="R713" s="4">
        <v>0</v>
      </c>
      <c r="S713" s="6">
        <v>0</v>
      </c>
      <c r="T713" s="6">
        <v>27</v>
      </c>
      <c r="U713" s="6">
        <v>81</v>
      </c>
      <c r="V713" s="6">
        <f>IF(ISERROR(VLOOKUP($S$713,'TAR FIN'!$A$1:$O$120,15,0)),0,VLOOKUP($S$713,'TAR FIN'!$A$1:$O$120,15,0))</f>
        <v>0</v>
      </c>
      <c r="W713" s="6">
        <f>IF(ISERROR(VLOOKUP($T$713,'TAR FIN'!$A$1:$O$120,15,0)),0,VLOOKUP($T$713,'TAR FIN'!$A$1:$O$120,15,0))</f>
        <v>641.99</v>
      </c>
      <c r="X713" s="6">
        <f>IF(ISERROR(VLOOKUP($U$713,'TAR FIN'!$A$1:$O$120,15,0)),0,VLOOKUP($U$713,'TAR FIN'!$A$1:$O$120,15,0))</f>
        <v>430.87</v>
      </c>
      <c r="Y713" s="6"/>
      <c r="Z713" s="6">
        <f ca="1">('TUSD BE'!$AM$33+'TUSD BF'!$AM$33+'TUSD CVA'!$AM$33)*1</f>
        <v>747.73363518028248</v>
      </c>
      <c r="AA713" s="6">
        <f>('TE BE'!$AA$10+'TE BF'!$AA$10+'TE CVA'!$AA$10)*1</f>
        <v>375.69180268700768</v>
      </c>
      <c r="AB713" s="6">
        <f>$K$713*$V$713</f>
        <v>0</v>
      </c>
      <c r="AC713" s="6">
        <f>$M$713*$W$713</f>
        <v>66.766959999999997</v>
      </c>
      <c r="AD713" s="6">
        <f>$O$713*$X$713</f>
        <v>44.810479999999998</v>
      </c>
      <c r="AE713" s="6">
        <f>$K$713*$Y$713</f>
        <v>0</v>
      </c>
      <c r="AF713" s="6">
        <f ca="1">$M$713*$Z$713</f>
        <v>77.764298058749375</v>
      </c>
      <c r="AG713" s="6">
        <f>$O$713*$AA$713</f>
        <v>39.071947479448795</v>
      </c>
    </row>
    <row r="714" spans="1:33" ht="11.25" customHeight="1" x14ac:dyDescent="0.25">
      <c r="A714" s="4" t="s">
        <v>28</v>
      </c>
      <c r="B714" s="4" t="s">
        <v>33</v>
      </c>
      <c r="C714" s="4" t="s">
        <v>34</v>
      </c>
      <c r="D714" s="4" t="s">
        <v>42</v>
      </c>
      <c r="E714" s="4" t="s">
        <v>25</v>
      </c>
      <c r="F714" s="4" t="s">
        <v>25</v>
      </c>
      <c r="G714" s="4" t="s">
        <v>25</v>
      </c>
      <c r="H714" s="4" t="s">
        <v>35</v>
      </c>
      <c r="I714" s="5">
        <v>44044</v>
      </c>
      <c r="J714" s="6">
        <v>0</v>
      </c>
      <c r="K714" s="6">
        <v>0</v>
      </c>
      <c r="L714" s="6">
        <v>53.747999999999998</v>
      </c>
      <c r="M714" s="6">
        <v>53.747999999999998</v>
      </c>
      <c r="N714" s="6">
        <v>53.747999999999998</v>
      </c>
      <c r="O714" s="6">
        <v>53.747999999999998</v>
      </c>
      <c r="P714" s="6">
        <v>0</v>
      </c>
      <c r="Q714" s="4" t="s">
        <v>26</v>
      </c>
      <c r="R714" s="4">
        <v>0</v>
      </c>
      <c r="S714" s="6">
        <v>0</v>
      </c>
      <c r="T714" s="6">
        <v>27</v>
      </c>
      <c r="U714" s="6">
        <v>81</v>
      </c>
      <c r="V714" s="6">
        <f>IF(ISERROR(VLOOKUP($S$714,'TAR FIN'!$A$1:$O$120,15,0)),0,VLOOKUP($S$714,'TAR FIN'!$A$1:$O$120,15,0))</f>
        <v>0</v>
      </c>
      <c r="W714" s="6">
        <f>IF(ISERROR(VLOOKUP($T$714,'TAR FIN'!$A$1:$O$120,15,0)),0,VLOOKUP($T$714,'TAR FIN'!$A$1:$O$120,15,0))</f>
        <v>641.99</v>
      </c>
      <c r="X714" s="6">
        <f>IF(ISERROR(VLOOKUP($U$714,'TAR FIN'!$A$1:$O$120,15,0)),0,VLOOKUP($U$714,'TAR FIN'!$A$1:$O$120,15,0))</f>
        <v>430.87</v>
      </c>
      <c r="Y714" s="6"/>
      <c r="Z714" s="6">
        <f ca="1">('TUSD BE'!$AM$33+'TUSD BF'!$AM$33+'TUSD CVA'!$AM$33)*1</f>
        <v>747.73363518028248</v>
      </c>
      <c r="AA714" s="6">
        <f>('TE BE'!$AA$10+'TE BF'!$AA$10+'TE CVA'!$AA$10)*1</f>
        <v>375.69180268700768</v>
      </c>
      <c r="AB714" s="6">
        <f>$K$714*$V$714</f>
        <v>0</v>
      </c>
      <c r="AC714" s="6">
        <f>$M$714*$W$714</f>
        <v>34505.678520000001</v>
      </c>
      <c r="AD714" s="6">
        <f>$O$714*$X$714</f>
        <v>23158.40076</v>
      </c>
      <c r="AE714" s="6">
        <f>$K$714*$Y$714</f>
        <v>0</v>
      </c>
      <c r="AF714" s="6">
        <f ca="1">$M$714*$Z$714</f>
        <v>40189.18742366982</v>
      </c>
      <c r="AG714" s="6">
        <f>$O$714*$AA$714</f>
        <v>20192.683010821289</v>
      </c>
    </row>
    <row r="715" spans="1:33" ht="11.25" customHeight="1" x14ac:dyDescent="0.25">
      <c r="A715" s="4" t="s">
        <v>59</v>
      </c>
      <c r="B715" s="4" t="s">
        <v>33</v>
      </c>
      <c r="C715" s="4" t="s">
        <v>34</v>
      </c>
      <c r="D715" s="4" t="s">
        <v>42</v>
      </c>
      <c r="E715" s="4" t="s">
        <v>25</v>
      </c>
      <c r="F715" s="4" t="s">
        <v>25</v>
      </c>
      <c r="G715" s="4" t="s">
        <v>25</v>
      </c>
      <c r="H715" s="4" t="s">
        <v>35</v>
      </c>
      <c r="I715" s="5">
        <v>44075</v>
      </c>
      <c r="J715" s="6">
        <v>0</v>
      </c>
      <c r="K715" s="6">
        <v>0</v>
      </c>
      <c r="L715" s="6">
        <v>1567.9880000000001</v>
      </c>
      <c r="M715" s="6">
        <v>1567.9880000000001</v>
      </c>
      <c r="N715" s="6">
        <v>1567.9880000000001</v>
      </c>
      <c r="O715" s="6">
        <v>1567.9880000000001</v>
      </c>
      <c r="P715" s="6">
        <v>0</v>
      </c>
      <c r="Q715" s="4" t="s">
        <v>26</v>
      </c>
      <c r="R715" s="4">
        <v>0</v>
      </c>
      <c r="S715" s="6">
        <v>0</v>
      </c>
      <c r="T715" s="6">
        <v>27</v>
      </c>
      <c r="U715" s="6">
        <v>81</v>
      </c>
      <c r="V715" s="6">
        <f>IF(ISERROR(VLOOKUP($S$715,'TAR FIN'!$A$1:$O$120,15,0)),0,VLOOKUP($S$715,'TAR FIN'!$A$1:$O$120,15,0))</f>
        <v>0</v>
      </c>
      <c r="W715" s="6">
        <f>IF(ISERROR(VLOOKUP($T$715,'TAR FIN'!$A$1:$O$120,15,0)),0,VLOOKUP($T$715,'TAR FIN'!$A$1:$O$120,15,0))</f>
        <v>641.99</v>
      </c>
      <c r="X715" s="6">
        <f>IF(ISERROR(VLOOKUP($U$715,'TAR FIN'!$A$1:$O$120,15,0)),0,VLOOKUP($U$715,'TAR FIN'!$A$1:$O$120,15,0))</f>
        <v>430.87</v>
      </c>
      <c r="Y715" s="6"/>
      <c r="Z715" s="6">
        <f ca="1">('TUSD BE'!$AM$33+'TUSD BF'!$AM$33+'TUSD CVA'!$AM$33)*1</f>
        <v>747.73363518028248</v>
      </c>
      <c r="AA715" s="6">
        <f>('TE BE'!$AA$10+'TE BF'!$AA$10+'TE CVA'!$AA$10)*1</f>
        <v>375.69180268700768</v>
      </c>
      <c r="AB715" s="6">
        <f>$K$715*$V$715</f>
        <v>0</v>
      </c>
      <c r="AC715" s="6">
        <f>$M$715*$W$715</f>
        <v>1006632.61612</v>
      </c>
      <c r="AD715" s="6">
        <f>$O$715*$X$715</f>
        <v>675598.98956000002</v>
      </c>
      <c r="AE715" s="6">
        <f>$K$715*$Y$715</f>
        <v>0</v>
      </c>
      <c r="AF715" s="6">
        <f ca="1">$M$715*$Z$715</f>
        <v>1172437.3671590609</v>
      </c>
      <c r="AG715" s="6">
        <f>$O$715*$AA$715</f>
        <v>589080.23831159587</v>
      </c>
    </row>
    <row r="716" spans="1:33" ht="11.25" customHeight="1" x14ac:dyDescent="0.25">
      <c r="A716" s="4" t="s">
        <v>59</v>
      </c>
      <c r="B716" s="4" t="s">
        <v>33</v>
      </c>
      <c r="C716" s="4" t="s">
        <v>34</v>
      </c>
      <c r="D716" s="4" t="s">
        <v>42</v>
      </c>
      <c r="E716" s="4" t="s">
        <v>25</v>
      </c>
      <c r="F716" s="4" t="s">
        <v>25</v>
      </c>
      <c r="G716" s="4" t="s">
        <v>25</v>
      </c>
      <c r="H716" s="4" t="s">
        <v>35</v>
      </c>
      <c r="I716" s="5">
        <v>44075</v>
      </c>
      <c r="J716" s="6">
        <v>0</v>
      </c>
      <c r="K716" s="6">
        <v>0</v>
      </c>
      <c r="L716" s="6">
        <v>0.104</v>
      </c>
      <c r="M716" s="6">
        <v>0.104</v>
      </c>
      <c r="N716" s="6">
        <v>0.104</v>
      </c>
      <c r="O716" s="6">
        <v>0.104</v>
      </c>
      <c r="P716" s="6">
        <v>0</v>
      </c>
      <c r="Q716" s="4" t="s">
        <v>26</v>
      </c>
      <c r="R716" s="4">
        <v>0</v>
      </c>
      <c r="S716" s="6">
        <v>0</v>
      </c>
      <c r="T716" s="6">
        <v>27</v>
      </c>
      <c r="U716" s="6">
        <v>81</v>
      </c>
      <c r="V716" s="6">
        <f>IF(ISERROR(VLOOKUP($S$716,'TAR FIN'!$A$1:$O$120,15,0)),0,VLOOKUP($S$716,'TAR FIN'!$A$1:$O$120,15,0))</f>
        <v>0</v>
      </c>
      <c r="W716" s="6">
        <f>IF(ISERROR(VLOOKUP($T$716,'TAR FIN'!$A$1:$O$120,15,0)),0,VLOOKUP($T$716,'TAR FIN'!$A$1:$O$120,15,0))</f>
        <v>641.99</v>
      </c>
      <c r="X716" s="6">
        <f>IF(ISERROR(VLOOKUP($U$716,'TAR FIN'!$A$1:$O$120,15,0)),0,VLOOKUP($U$716,'TAR FIN'!$A$1:$O$120,15,0))</f>
        <v>430.87</v>
      </c>
      <c r="Y716" s="6"/>
      <c r="Z716" s="6">
        <f ca="1">('TUSD BE'!$AM$33+'TUSD BF'!$AM$33+'TUSD CVA'!$AM$33)*1</f>
        <v>747.73363518028248</v>
      </c>
      <c r="AA716" s="6">
        <f>('TE BE'!$AA$10+'TE BF'!$AA$10+'TE CVA'!$AA$10)*1</f>
        <v>375.69180268700768</v>
      </c>
      <c r="AB716" s="6">
        <f>$K$716*$V$716</f>
        <v>0</v>
      </c>
      <c r="AC716" s="6">
        <f>$M$716*$W$716</f>
        <v>66.766959999999997</v>
      </c>
      <c r="AD716" s="6">
        <f>$O$716*$X$716</f>
        <v>44.810479999999998</v>
      </c>
      <c r="AE716" s="6">
        <f>$K$716*$Y$716</f>
        <v>0</v>
      </c>
      <c r="AF716" s="6">
        <f ca="1">$M$716*$Z$716</f>
        <v>77.764298058749375</v>
      </c>
      <c r="AG716" s="6">
        <f>$O$716*$AA$716</f>
        <v>39.071947479448795</v>
      </c>
    </row>
    <row r="717" spans="1:33" ht="11.25" customHeight="1" x14ac:dyDescent="0.25">
      <c r="A717" s="4" t="s">
        <v>59</v>
      </c>
      <c r="B717" s="4" t="s">
        <v>33</v>
      </c>
      <c r="C717" s="4" t="s">
        <v>34</v>
      </c>
      <c r="D717" s="4" t="s">
        <v>42</v>
      </c>
      <c r="E717" s="4" t="s">
        <v>25</v>
      </c>
      <c r="F717" s="4" t="s">
        <v>25</v>
      </c>
      <c r="G717" s="4" t="s">
        <v>25</v>
      </c>
      <c r="H717" s="4" t="s">
        <v>35</v>
      </c>
      <c r="I717" s="5">
        <v>44075</v>
      </c>
      <c r="J717" s="6">
        <v>0</v>
      </c>
      <c r="K717" s="6">
        <v>0</v>
      </c>
      <c r="L717" s="6">
        <v>53.747999999999998</v>
      </c>
      <c r="M717" s="6">
        <v>53.747999999999998</v>
      </c>
      <c r="N717" s="6">
        <v>53.747999999999998</v>
      </c>
      <c r="O717" s="6">
        <v>53.747999999999998</v>
      </c>
      <c r="P717" s="6">
        <v>0</v>
      </c>
      <c r="Q717" s="4" t="s">
        <v>26</v>
      </c>
      <c r="R717" s="4">
        <v>0</v>
      </c>
      <c r="S717" s="6">
        <v>0</v>
      </c>
      <c r="T717" s="6">
        <v>27</v>
      </c>
      <c r="U717" s="6">
        <v>81</v>
      </c>
      <c r="V717" s="6">
        <f>IF(ISERROR(VLOOKUP($S$717,'TAR FIN'!$A$1:$O$120,15,0)),0,VLOOKUP($S$717,'TAR FIN'!$A$1:$O$120,15,0))</f>
        <v>0</v>
      </c>
      <c r="W717" s="6">
        <f>IF(ISERROR(VLOOKUP($T$717,'TAR FIN'!$A$1:$O$120,15,0)),0,VLOOKUP($T$717,'TAR FIN'!$A$1:$O$120,15,0))</f>
        <v>641.99</v>
      </c>
      <c r="X717" s="6">
        <f>IF(ISERROR(VLOOKUP($U$717,'TAR FIN'!$A$1:$O$120,15,0)),0,VLOOKUP($U$717,'TAR FIN'!$A$1:$O$120,15,0))</f>
        <v>430.87</v>
      </c>
      <c r="Y717" s="6"/>
      <c r="Z717" s="6">
        <f ca="1">('TUSD BE'!$AM$33+'TUSD BF'!$AM$33+'TUSD CVA'!$AM$33)*1</f>
        <v>747.73363518028248</v>
      </c>
      <c r="AA717" s="6">
        <f>('TE BE'!$AA$10+'TE BF'!$AA$10+'TE CVA'!$AA$10)*1</f>
        <v>375.69180268700768</v>
      </c>
      <c r="AB717" s="6">
        <f>$K$717*$V$717</f>
        <v>0</v>
      </c>
      <c r="AC717" s="6">
        <f>$M$717*$W$717</f>
        <v>34505.678520000001</v>
      </c>
      <c r="AD717" s="6">
        <f>$O$717*$X$717</f>
        <v>23158.40076</v>
      </c>
      <c r="AE717" s="6">
        <f>$K$717*$Y$717</f>
        <v>0</v>
      </c>
      <c r="AF717" s="6">
        <f ca="1">$M$717*$Z$717</f>
        <v>40189.18742366982</v>
      </c>
      <c r="AG717" s="6">
        <f>$O$717*$AA$717</f>
        <v>20192.683010821289</v>
      </c>
    </row>
    <row r="718" spans="1:33" ht="11.25" customHeight="1" x14ac:dyDescent="0.25">
      <c r="A718" s="4" t="s">
        <v>21</v>
      </c>
      <c r="B718" s="4" t="s">
        <v>33</v>
      </c>
      <c r="C718" s="4" t="s">
        <v>34</v>
      </c>
      <c r="D718" s="4" t="s">
        <v>40</v>
      </c>
      <c r="E718" s="4" t="s">
        <v>25</v>
      </c>
      <c r="F718" s="4" t="s">
        <v>63</v>
      </c>
      <c r="G718" s="4" t="s">
        <v>25</v>
      </c>
      <c r="H718" s="4" t="s">
        <v>36</v>
      </c>
      <c r="I718" s="5">
        <v>43739</v>
      </c>
      <c r="J718" s="6">
        <v>0</v>
      </c>
      <c r="K718" s="6">
        <v>0</v>
      </c>
      <c r="L718" s="6">
        <v>9522.5750000000007</v>
      </c>
      <c r="M718" s="6">
        <v>9522.5750000000007</v>
      </c>
      <c r="N718" s="6">
        <v>0</v>
      </c>
      <c r="O718" s="6">
        <v>0</v>
      </c>
      <c r="P718" s="6">
        <v>0</v>
      </c>
      <c r="Q718" s="4" t="s">
        <v>60</v>
      </c>
      <c r="R718" s="4">
        <v>0</v>
      </c>
      <c r="S718" s="6">
        <v>0</v>
      </c>
      <c r="T718" s="6">
        <v>28</v>
      </c>
      <c r="U718" s="6">
        <v>0</v>
      </c>
      <c r="V718" s="6">
        <f>IF(ISERROR(VLOOKUP($S$718,'TAR FIN'!$A$1:$O$120,15,0)),0,VLOOKUP($S$718,'TAR FIN'!$A$1:$O$120,15,0))</f>
        <v>0</v>
      </c>
      <c r="W718" s="6">
        <f>IF(ISERROR(VLOOKUP($T$718,'TAR FIN'!$A$1:$O$120,15,0)),0,VLOOKUP($T$718,'TAR FIN'!$A$1:$O$120,15,0))</f>
        <v>84.45</v>
      </c>
      <c r="X718" s="6">
        <f>IF(ISERROR(VLOOKUP($U$718,'TAR FIN'!$A$1:$O$120,15,0)),0,VLOOKUP($U$718,'TAR FIN'!$A$1:$O$120,15,0))</f>
        <v>0</v>
      </c>
      <c r="Y718" s="6"/>
      <c r="Z718" s="6">
        <f ca="1">('TUSD BE'!$AM$34+'TUSD BF'!$AM$34+'TUSD CVA'!$AM$34)*1</f>
        <v>87.519361965254689</v>
      </c>
      <c r="AA718" s="6"/>
      <c r="AB718" s="6">
        <f>$K$718*$V$718</f>
        <v>0</v>
      </c>
      <c r="AC718" s="6">
        <f>$M$718*$W$718</f>
        <v>804181.45875000011</v>
      </c>
      <c r="AD718" s="6">
        <f>$O$718*$X$718</f>
        <v>0</v>
      </c>
      <c r="AE718" s="6">
        <f>$K$718*$Y$718</f>
        <v>0</v>
      </c>
      <c r="AF718" s="6">
        <f ca="1">$M$718*$Z$718</f>
        <v>833409.68826628523</v>
      </c>
      <c r="AG718" s="6">
        <f>$O$718*$AA$718</f>
        <v>0</v>
      </c>
    </row>
    <row r="719" spans="1:33" ht="11.25" customHeight="1" x14ac:dyDescent="0.25">
      <c r="A719" s="4" t="s">
        <v>21</v>
      </c>
      <c r="B719" s="4" t="s">
        <v>33</v>
      </c>
      <c r="C719" s="4" t="s">
        <v>34</v>
      </c>
      <c r="D719" s="4" t="s">
        <v>40</v>
      </c>
      <c r="E719" s="4" t="s">
        <v>25</v>
      </c>
      <c r="F719" s="4" t="s">
        <v>63</v>
      </c>
      <c r="G719" s="4" t="s">
        <v>25</v>
      </c>
      <c r="H719" s="4" t="s">
        <v>36</v>
      </c>
      <c r="I719" s="5">
        <v>43770</v>
      </c>
      <c r="J719" s="6">
        <v>0</v>
      </c>
      <c r="K719" s="6">
        <v>0</v>
      </c>
      <c r="L719" s="6">
        <v>9113.6360000000004</v>
      </c>
      <c r="M719" s="6">
        <v>9113.6360000000004</v>
      </c>
      <c r="N719" s="6">
        <v>0</v>
      </c>
      <c r="O719" s="6">
        <v>0</v>
      </c>
      <c r="P719" s="6">
        <v>0</v>
      </c>
      <c r="Q719" s="4" t="s">
        <v>60</v>
      </c>
      <c r="R719" s="4">
        <v>0</v>
      </c>
      <c r="S719" s="6">
        <v>0</v>
      </c>
      <c r="T719" s="6">
        <v>28</v>
      </c>
      <c r="U719" s="6">
        <v>0</v>
      </c>
      <c r="V719" s="6">
        <f>IF(ISERROR(VLOOKUP($S$719,'TAR FIN'!$A$1:$O$120,15,0)),0,VLOOKUP($S$719,'TAR FIN'!$A$1:$O$120,15,0))</f>
        <v>0</v>
      </c>
      <c r="W719" s="6">
        <f>IF(ISERROR(VLOOKUP($T$719,'TAR FIN'!$A$1:$O$120,15,0)),0,VLOOKUP($T$719,'TAR FIN'!$A$1:$O$120,15,0))</f>
        <v>84.45</v>
      </c>
      <c r="X719" s="6">
        <f>IF(ISERROR(VLOOKUP($U$719,'TAR FIN'!$A$1:$O$120,15,0)),0,VLOOKUP($U$719,'TAR FIN'!$A$1:$O$120,15,0))</f>
        <v>0</v>
      </c>
      <c r="Y719" s="6"/>
      <c r="Z719" s="6">
        <f ca="1">('TUSD BE'!$AM$34+'TUSD BF'!$AM$34+'TUSD CVA'!$AM$34)*1</f>
        <v>87.519361965254689</v>
      </c>
      <c r="AA719" s="6"/>
      <c r="AB719" s="6">
        <f>$K$719*$V$719</f>
        <v>0</v>
      </c>
      <c r="AC719" s="6">
        <f>$M$719*$W$719</f>
        <v>769646.56020000007</v>
      </c>
      <c r="AD719" s="6">
        <f>$O$719*$X$719</f>
        <v>0</v>
      </c>
      <c r="AE719" s="6">
        <f>$K$719*$Y$719</f>
        <v>0</v>
      </c>
      <c r="AF719" s="6">
        <f ca="1">$M$719*$Z$719</f>
        <v>797619.60790357587</v>
      </c>
      <c r="AG719" s="6">
        <f>$O$719*$AA$719</f>
        <v>0</v>
      </c>
    </row>
    <row r="720" spans="1:33" ht="11.25" customHeight="1" x14ac:dyDescent="0.25">
      <c r="A720" s="4" t="s">
        <v>21</v>
      </c>
      <c r="B720" s="4" t="s">
        <v>33</v>
      </c>
      <c r="C720" s="4" t="s">
        <v>34</v>
      </c>
      <c r="D720" s="4" t="s">
        <v>40</v>
      </c>
      <c r="E720" s="4" t="s">
        <v>25</v>
      </c>
      <c r="F720" s="4" t="s">
        <v>63</v>
      </c>
      <c r="G720" s="4" t="s">
        <v>25</v>
      </c>
      <c r="H720" s="4" t="s">
        <v>36</v>
      </c>
      <c r="I720" s="5">
        <v>43800</v>
      </c>
      <c r="J720" s="6">
        <v>0</v>
      </c>
      <c r="K720" s="6">
        <v>0</v>
      </c>
      <c r="L720" s="6">
        <v>9277.1280000000006</v>
      </c>
      <c r="M720" s="6">
        <v>9277.1280000000006</v>
      </c>
      <c r="N720" s="6">
        <v>0</v>
      </c>
      <c r="O720" s="6">
        <v>0</v>
      </c>
      <c r="P720" s="6">
        <v>0</v>
      </c>
      <c r="Q720" s="4" t="s">
        <v>60</v>
      </c>
      <c r="R720" s="4">
        <v>0</v>
      </c>
      <c r="S720" s="6">
        <v>0</v>
      </c>
      <c r="T720" s="6">
        <v>28</v>
      </c>
      <c r="U720" s="6">
        <v>0</v>
      </c>
      <c r="V720" s="6">
        <f>IF(ISERROR(VLOOKUP($S$720,'TAR FIN'!$A$1:$O$120,15,0)),0,VLOOKUP($S$720,'TAR FIN'!$A$1:$O$120,15,0))</f>
        <v>0</v>
      </c>
      <c r="W720" s="6">
        <f>IF(ISERROR(VLOOKUP($T$720,'TAR FIN'!$A$1:$O$120,15,0)),0,VLOOKUP($T$720,'TAR FIN'!$A$1:$O$120,15,0))</f>
        <v>84.45</v>
      </c>
      <c r="X720" s="6">
        <f>IF(ISERROR(VLOOKUP($U$720,'TAR FIN'!$A$1:$O$120,15,0)),0,VLOOKUP($U$720,'TAR FIN'!$A$1:$O$120,15,0))</f>
        <v>0</v>
      </c>
      <c r="Y720" s="6"/>
      <c r="Z720" s="6">
        <f ca="1">('TUSD BE'!$AM$34+'TUSD BF'!$AM$34+'TUSD CVA'!$AM$34)*1</f>
        <v>87.519361965254689</v>
      </c>
      <c r="AA720" s="6"/>
      <c r="AB720" s="6">
        <f>$K$720*$V$720</f>
        <v>0</v>
      </c>
      <c r="AC720" s="6">
        <f>$M$720*$W$720</f>
        <v>783453.45960000006</v>
      </c>
      <c r="AD720" s="6">
        <f>$O$720*$X$720</f>
        <v>0</v>
      </c>
      <c r="AE720" s="6">
        <f>$K$720*$Y$720</f>
        <v>0</v>
      </c>
      <c r="AF720" s="6">
        <f ca="1">$M$720*$Z$720</f>
        <v>811928.32342999941</v>
      </c>
      <c r="AG720" s="6">
        <f>$O$720*$AA$720</f>
        <v>0</v>
      </c>
    </row>
    <row r="721" spans="1:33" ht="11.25" customHeight="1" x14ac:dyDescent="0.25">
      <c r="A721" s="4" t="s">
        <v>21</v>
      </c>
      <c r="B721" s="4" t="s">
        <v>33</v>
      </c>
      <c r="C721" s="4" t="s">
        <v>34</v>
      </c>
      <c r="D721" s="4" t="s">
        <v>40</v>
      </c>
      <c r="E721" s="4" t="s">
        <v>25</v>
      </c>
      <c r="F721" s="4" t="s">
        <v>63</v>
      </c>
      <c r="G721" s="4" t="s">
        <v>25</v>
      </c>
      <c r="H721" s="4" t="s">
        <v>36</v>
      </c>
      <c r="I721" s="5">
        <v>43831</v>
      </c>
      <c r="J721" s="6">
        <v>0</v>
      </c>
      <c r="K721" s="6">
        <v>0</v>
      </c>
      <c r="L721" s="6">
        <v>9105.9320000000007</v>
      </c>
      <c r="M721" s="6">
        <v>9105.9320000000007</v>
      </c>
      <c r="N721" s="6">
        <v>0</v>
      </c>
      <c r="O721" s="6">
        <v>0</v>
      </c>
      <c r="P721" s="6">
        <v>0</v>
      </c>
      <c r="Q721" s="4" t="s">
        <v>60</v>
      </c>
      <c r="R721" s="4">
        <v>0</v>
      </c>
      <c r="S721" s="6">
        <v>0</v>
      </c>
      <c r="T721" s="6">
        <v>28</v>
      </c>
      <c r="U721" s="6">
        <v>0</v>
      </c>
      <c r="V721" s="6">
        <f>IF(ISERROR(VLOOKUP($S$721,'TAR FIN'!$A$1:$O$120,15,0)),0,VLOOKUP($S$721,'TAR FIN'!$A$1:$O$120,15,0))</f>
        <v>0</v>
      </c>
      <c r="W721" s="6">
        <f>IF(ISERROR(VLOOKUP($T$721,'TAR FIN'!$A$1:$O$120,15,0)),0,VLOOKUP($T$721,'TAR FIN'!$A$1:$O$120,15,0))</f>
        <v>84.45</v>
      </c>
      <c r="X721" s="6">
        <f>IF(ISERROR(VLOOKUP($U$721,'TAR FIN'!$A$1:$O$120,15,0)),0,VLOOKUP($U$721,'TAR FIN'!$A$1:$O$120,15,0))</f>
        <v>0</v>
      </c>
      <c r="Y721" s="6"/>
      <c r="Z721" s="6">
        <f ca="1">('TUSD BE'!$AM$34+'TUSD BF'!$AM$34+'TUSD CVA'!$AM$34)*1</f>
        <v>87.519361965254689</v>
      </c>
      <c r="AA721" s="6"/>
      <c r="AB721" s="6">
        <f>$K$721*$V$721</f>
        <v>0</v>
      </c>
      <c r="AC721" s="6">
        <f>$M$721*$W$721</f>
        <v>768995.95740000007</v>
      </c>
      <c r="AD721" s="6">
        <f>$O$721*$X$721</f>
        <v>0</v>
      </c>
      <c r="AE721" s="6">
        <f>$K$721*$Y$721</f>
        <v>0</v>
      </c>
      <c r="AF721" s="6">
        <f ca="1">$M$721*$Z$721</f>
        <v>796945.35873899562</v>
      </c>
      <c r="AG721" s="6">
        <f>$O$721*$AA$721</f>
        <v>0</v>
      </c>
    </row>
    <row r="722" spans="1:33" ht="11.25" customHeight="1" x14ac:dyDescent="0.25">
      <c r="A722" s="4" t="s">
        <v>21</v>
      </c>
      <c r="B722" s="4" t="s">
        <v>33</v>
      </c>
      <c r="C722" s="4" t="s">
        <v>34</v>
      </c>
      <c r="D722" s="4" t="s">
        <v>40</v>
      </c>
      <c r="E722" s="4" t="s">
        <v>25</v>
      </c>
      <c r="F722" s="4" t="s">
        <v>63</v>
      </c>
      <c r="G722" s="4" t="s">
        <v>25</v>
      </c>
      <c r="H722" s="4" t="s">
        <v>36</v>
      </c>
      <c r="I722" s="5">
        <v>43862</v>
      </c>
      <c r="J722" s="6">
        <v>0</v>
      </c>
      <c r="K722" s="6">
        <v>0</v>
      </c>
      <c r="L722" s="6">
        <v>8777.8739999999998</v>
      </c>
      <c r="M722" s="6">
        <v>8777.8739999999998</v>
      </c>
      <c r="N722" s="6">
        <v>0</v>
      </c>
      <c r="O722" s="6">
        <v>0</v>
      </c>
      <c r="P722" s="6">
        <v>0</v>
      </c>
      <c r="Q722" s="4" t="s">
        <v>60</v>
      </c>
      <c r="R722" s="4">
        <v>0</v>
      </c>
      <c r="S722" s="6">
        <v>0</v>
      </c>
      <c r="T722" s="6">
        <v>28</v>
      </c>
      <c r="U722" s="6">
        <v>0</v>
      </c>
      <c r="V722" s="6">
        <f>IF(ISERROR(VLOOKUP($S$722,'TAR FIN'!$A$1:$O$120,15,0)),0,VLOOKUP($S$722,'TAR FIN'!$A$1:$O$120,15,0))</f>
        <v>0</v>
      </c>
      <c r="W722" s="6">
        <f>IF(ISERROR(VLOOKUP($T$722,'TAR FIN'!$A$1:$O$120,15,0)),0,VLOOKUP($T$722,'TAR FIN'!$A$1:$O$120,15,0))</f>
        <v>84.45</v>
      </c>
      <c r="X722" s="6">
        <f>IF(ISERROR(VLOOKUP($U$722,'TAR FIN'!$A$1:$O$120,15,0)),0,VLOOKUP($U$722,'TAR FIN'!$A$1:$O$120,15,0))</f>
        <v>0</v>
      </c>
      <c r="Y722" s="6"/>
      <c r="Z722" s="6">
        <f ca="1">('TUSD BE'!$AM$34+'TUSD BF'!$AM$34+'TUSD CVA'!$AM$34)*1</f>
        <v>87.519361965254689</v>
      </c>
      <c r="AA722" s="6"/>
      <c r="AB722" s="6">
        <f>$K$722*$V$722</f>
        <v>0</v>
      </c>
      <c r="AC722" s="6">
        <f>$M$722*$W$722</f>
        <v>741291.45929999999</v>
      </c>
      <c r="AD722" s="6">
        <f>$O$722*$X$722</f>
        <v>0</v>
      </c>
      <c r="AE722" s="6">
        <f>$K$722*$Y$722</f>
        <v>0</v>
      </c>
      <c r="AF722" s="6">
        <f ca="1">$M$722*$Z$722</f>
        <v>768233.93189139804</v>
      </c>
      <c r="AG722" s="6">
        <f>$O$722*$AA$722</f>
        <v>0</v>
      </c>
    </row>
    <row r="723" spans="1:33" ht="11.25" customHeight="1" x14ac:dyDescent="0.25">
      <c r="A723" s="4" t="s">
        <v>21</v>
      </c>
      <c r="B723" s="4" t="s">
        <v>33</v>
      </c>
      <c r="C723" s="4" t="s">
        <v>34</v>
      </c>
      <c r="D723" s="4" t="s">
        <v>40</v>
      </c>
      <c r="E723" s="4" t="s">
        <v>25</v>
      </c>
      <c r="F723" s="4" t="s">
        <v>63</v>
      </c>
      <c r="G723" s="4" t="s">
        <v>25</v>
      </c>
      <c r="H723" s="4" t="s">
        <v>36</v>
      </c>
      <c r="I723" s="5">
        <v>43891</v>
      </c>
      <c r="J723" s="6">
        <v>0</v>
      </c>
      <c r="K723" s="6">
        <v>0</v>
      </c>
      <c r="L723" s="6">
        <v>9129.2980000000007</v>
      </c>
      <c r="M723" s="6">
        <v>9129.2980000000007</v>
      </c>
      <c r="N723" s="6">
        <v>0</v>
      </c>
      <c r="O723" s="6">
        <v>0</v>
      </c>
      <c r="P723" s="6">
        <v>0</v>
      </c>
      <c r="Q723" s="4" t="s">
        <v>60</v>
      </c>
      <c r="R723" s="4">
        <v>0</v>
      </c>
      <c r="S723" s="6">
        <v>0</v>
      </c>
      <c r="T723" s="6">
        <v>28</v>
      </c>
      <c r="U723" s="6">
        <v>0</v>
      </c>
      <c r="V723" s="6">
        <f>IF(ISERROR(VLOOKUP($S$723,'TAR FIN'!$A$1:$O$120,15,0)),0,VLOOKUP($S$723,'TAR FIN'!$A$1:$O$120,15,0))</f>
        <v>0</v>
      </c>
      <c r="W723" s="6">
        <f>IF(ISERROR(VLOOKUP($T$723,'TAR FIN'!$A$1:$O$120,15,0)),0,VLOOKUP($T$723,'TAR FIN'!$A$1:$O$120,15,0))</f>
        <v>84.45</v>
      </c>
      <c r="X723" s="6">
        <f>IF(ISERROR(VLOOKUP($U$723,'TAR FIN'!$A$1:$O$120,15,0)),0,VLOOKUP($U$723,'TAR FIN'!$A$1:$O$120,15,0))</f>
        <v>0</v>
      </c>
      <c r="Y723" s="6"/>
      <c r="Z723" s="6">
        <f ca="1">('TUSD BE'!$AM$34+'TUSD BF'!$AM$34+'TUSD CVA'!$AM$34)*1</f>
        <v>87.519361965254689</v>
      </c>
      <c r="AA723" s="6"/>
      <c r="AB723" s="6">
        <f>$K$723*$V$723</f>
        <v>0</v>
      </c>
      <c r="AC723" s="6">
        <f>$M$723*$W$723</f>
        <v>770969.21610000008</v>
      </c>
      <c r="AD723" s="6">
        <f>$O$723*$X$723</f>
        <v>0</v>
      </c>
      <c r="AE723" s="6">
        <f>$K$723*$Y$723</f>
        <v>0</v>
      </c>
      <c r="AF723" s="6">
        <f ca="1">$M$723*$Z$723</f>
        <v>798990.33615067578</v>
      </c>
      <c r="AG723" s="6">
        <f>$O$723*$AA$723</f>
        <v>0</v>
      </c>
    </row>
    <row r="724" spans="1:33" ht="11.25" customHeight="1" x14ac:dyDescent="0.25">
      <c r="A724" s="4" t="s">
        <v>21</v>
      </c>
      <c r="B724" s="4" t="s">
        <v>33</v>
      </c>
      <c r="C724" s="4" t="s">
        <v>34</v>
      </c>
      <c r="D724" s="4" t="s">
        <v>40</v>
      </c>
      <c r="E724" s="4" t="s">
        <v>25</v>
      </c>
      <c r="F724" s="4" t="s">
        <v>63</v>
      </c>
      <c r="G724" s="4" t="s">
        <v>25</v>
      </c>
      <c r="H724" s="4" t="s">
        <v>36</v>
      </c>
      <c r="I724" s="5">
        <v>43922</v>
      </c>
      <c r="J724" s="6">
        <v>0</v>
      </c>
      <c r="K724" s="6">
        <v>0</v>
      </c>
      <c r="L724" s="6">
        <v>8006.4009999999998</v>
      </c>
      <c r="M724" s="6">
        <v>8006.4009999999998</v>
      </c>
      <c r="N724" s="6">
        <v>0</v>
      </c>
      <c r="O724" s="6">
        <v>0</v>
      </c>
      <c r="P724" s="6">
        <v>0</v>
      </c>
      <c r="Q724" s="4" t="s">
        <v>60</v>
      </c>
      <c r="R724" s="4">
        <v>0</v>
      </c>
      <c r="S724" s="6">
        <v>0</v>
      </c>
      <c r="T724" s="6">
        <v>28</v>
      </c>
      <c r="U724" s="6">
        <v>0</v>
      </c>
      <c r="V724" s="6">
        <f>IF(ISERROR(VLOOKUP($S$724,'TAR FIN'!$A$1:$O$120,15,0)),0,VLOOKUP($S$724,'TAR FIN'!$A$1:$O$120,15,0))</f>
        <v>0</v>
      </c>
      <c r="W724" s="6">
        <f>IF(ISERROR(VLOOKUP($T$724,'TAR FIN'!$A$1:$O$120,15,0)),0,VLOOKUP($T$724,'TAR FIN'!$A$1:$O$120,15,0))</f>
        <v>84.45</v>
      </c>
      <c r="X724" s="6">
        <f>IF(ISERROR(VLOOKUP($U$724,'TAR FIN'!$A$1:$O$120,15,0)),0,VLOOKUP($U$724,'TAR FIN'!$A$1:$O$120,15,0))</f>
        <v>0</v>
      </c>
      <c r="Y724" s="6"/>
      <c r="Z724" s="6">
        <f ca="1">('TUSD BE'!$AM$34+'TUSD BF'!$AM$34+'TUSD CVA'!$AM$34)*1</f>
        <v>87.519361965254689</v>
      </c>
      <c r="AA724" s="6"/>
      <c r="AB724" s="6">
        <f>$K$724*$V$724</f>
        <v>0</v>
      </c>
      <c r="AC724" s="6">
        <f>$M$724*$W$724</f>
        <v>676140.56445000006</v>
      </c>
      <c r="AD724" s="6">
        <f>$O$724*$X$724</f>
        <v>0</v>
      </c>
      <c r="AE724" s="6">
        <f>$K$724*$Y$724</f>
        <v>0</v>
      </c>
      <c r="AF724" s="6">
        <f ca="1">$M$724*$Z$724</f>
        <v>700715.10715797707</v>
      </c>
      <c r="AG724" s="6">
        <f>$O$724*$AA$724</f>
        <v>0</v>
      </c>
    </row>
    <row r="725" spans="1:33" ht="11.25" customHeight="1" x14ac:dyDescent="0.25">
      <c r="A725" s="4" t="s">
        <v>21</v>
      </c>
      <c r="B725" s="4" t="s">
        <v>33</v>
      </c>
      <c r="C725" s="4" t="s">
        <v>34</v>
      </c>
      <c r="D725" s="4" t="s">
        <v>40</v>
      </c>
      <c r="E725" s="4" t="s">
        <v>25</v>
      </c>
      <c r="F725" s="4" t="s">
        <v>63</v>
      </c>
      <c r="G725" s="4" t="s">
        <v>25</v>
      </c>
      <c r="H725" s="4" t="s">
        <v>36</v>
      </c>
      <c r="I725" s="5">
        <v>43952</v>
      </c>
      <c r="J725" s="6">
        <v>0</v>
      </c>
      <c r="K725" s="6">
        <v>0</v>
      </c>
      <c r="L725" s="6">
        <v>8153.3289999999997</v>
      </c>
      <c r="M725" s="6">
        <v>8153.3289999999997</v>
      </c>
      <c r="N725" s="6">
        <v>0</v>
      </c>
      <c r="O725" s="6">
        <v>0</v>
      </c>
      <c r="P725" s="6">
        <v>0</v>
      </c>
      <c r="Q725" s="4" t="s">
        <v>60</v>
      </c>
      <c r="R725" s="4">
        <v>0</v>
      </c>
      <c r="S725" s="6">
        <v>0</v>
      </c>
      <c r="T725" s="6">
        <v>28</v>
      </c>
      <c r="U725" s="6">
        <v>0</v>
      </c>
      <c r="V725" s="6">
        <f>IF(ISERROR(VLOOKUP($S$725,'TAR FIN'!$A$1:$O$120,15,0)),0,VLOOKUP($S$725,'TAR FIN'!$A$1:$O$120,15,0))</f>
        <v>0</v>
      </c>
      <c r="W725" s="6">
        <f>IF(ISERROR(VLOOKUP($T$725,'TAR FIN'!$A$1:$O$120,15,0)),0,VLOOKUP($T$725,'TAR FIN'!$A$1:$O$120,15,0))</f>
        <v>84.45</v>
      </c>
      <c r="X725" s="6">
        <f>IF(ISERROR(VLOOKUP($U$725,'TAR FIN'!$A$1:$O$120,15,0)),0,VLOOKUP($U$725,'TAR FIN'!$A$1:$O$120,15,0))</f>
        <v>0</v>
      </c>
      <c r="Y725" s="6"/>
      <c r="Z725" s="6">
        <f ca="1">('TUSD BE'!$AM$34+'TUSD BF'!$AM$34+'TUSD CVA'!$AM$34)*1</f>
        <v>87.519361965254689</v>
      </c>
      <c r="AA725" s="6"/>
      <c r="AB725" s="6">
        <f>$K$725*$V$725</f>
        <v>0</v>
      </c>
      <c r="AC725" s="6">
        <f>$M$725*$W$725</f>
        <v>688548.63404999999</v>
      </c>
      <c r="AD725" s="6">
        <f>$O$725*$X$725</f>
        <v>0</v>
      </c>
      <c r="AE725" s="6">
        <f>$K$725*$Y$725</f>
        <v>0</v>
      </c>
      <c r="AF725" s="6">
        <f ca="1">$M$725*$Z$725</f>
        <v>713574.15197280806</v>
      </c>
      <c r="AG725" s="6">
        <f>$O$725*$AA$725</f>
        <v>0</v>
      </c>
    </row>
    <row r="726" spans="1:33" ht="11.25" customHeight="1" x14ac:dyDescent="0.25">
      <c r="A726" s="4" t="s">
        <v>21</v>
      </c>
      <c r="B726" s="4" t="s">
        <v>33</v>
      </c>
      <c r="C726" s="4" t="s">
        <v>34</v>
      </c>
      <c r="D726" s="4" t="s">
        <v>40</v>
      </c>
      <c r="E726" s="4" t="s">
        <v>25</v>
      </c>
      <c r="F726" s="4" t="s">
        <v>63</v>
      </c>
      <c r="G726" s="4" t="s">
        <v>25</v>
      </c>
      <c r="H726" s="4" t="s">
        <v>36</v>
      </c>
      <c r="I726" s="5">
        <v>43983</v>
      </c>
      <c r="J726" s="6">
        <v>0</v>
      </c>
      <c r="K726" s="6">
        <v>0</v>
      </c>
      <c r="L726" s="6">
        <v>8153.3289999999997</v>
      </c>
      <c r="M726" s="6">
        <v>8153.3289999999997</v>
      </c>
      <c r="N726" s="6">
        <v>0</v>
      </c>
      <c r="O726" s="6">
        <v>0</v>
      </c>
      <c r="P726" s="6">
        <v>0</v>
      </c>
      <c r="Q726" s="4" t="s">
        <v>60</v>
      </c>
      <c r="R726" s="4">
        <v>0</v>
      </c>
      <c r="S726" s="6">
        <v>0</v>
      </c>
      <c r="T726" s="6">
        <v>28</v>
      </c>
      <c r="U726" s="6">
        <v>0</v>
      </c>
      <c r="V726" s="6">
        <f>IF(ISERROR(VLOOKUP($S$726,'TAR FIN'!$A$1:$O$120,15,0)),0,VLOOKUP($S$726,'TAR FIN'!$A$1:$O$120,15,0))</f>
        <v>0</v>
      </c>
      <c r="W726" s="6">
        <f>IF(ISERROR(VLOOKUP($T$726,'TAR FIN'!$A$1:$O$120,15,0)),0,VLOOKUP($T$726,'TAR FIN'!$A$1:$O$120,15,0))</f>
        <v>84.45</v>
      </c>
      <c r="X726" s="6">
        <f>IF(ISERROR(VLOOKUP($U$726,'TAR FIN'!$A$1:$O$120,15,0)),0,VLOOKUP($U$726,'TAR FIN'!$A$1:$O$120,15,0))</f>
        <v>0</v>
      </c>
      <c r="Y726" s="6"/>
      <c r="Z726" s="6">
        <f ca="1">('TUSD BE'!$AM$34+'TUSD BF'!$AM$34+'TUSD CVA'!$AM$34)*1</f>
        <v>87.519361965254689</v>
      </c>
      <c r="AA726" s="6"/>
      <c r="AB726" s="6">
        <f>$K$726*$V$726</f>
        <v>0</v>
      </c>
      <c r="AC726" s="6">
        <f>$M$726*$W$726</f>
        <v>688548.63404999999</v>
      </c>
      <c r="AD726" s="6">
        <f>$O$726*$X$726</f>
        <v>0</v>
      </c>
      <c r="AE726" s="6">
        <f>$K$726*$Y$726</f>
        <v>0</v>
      </c>
      <c r="AF726" s="6">
        <f ca="1">$M$726*$Z$726</f>
        <v>713574.15197280806</v>
      </c>
      <c r="AG726" s="6">
        <f>$O$726*$AA$726</f>
        <v>0</v>
      </c>
    </row>
    <row r="727" spans="1:33" ht="11.25" customHeight="1" x14ac:dyDescent="0.25">
      <c r="A727" s="4" t="s">
        <v>21</v>
      </c>
      <c r="B727" s="4" t="s">
        <v>33</v>
      </c>
      <c r="C727" s="4" t="s">
        <v>34</v>
      </c>
      <c r="D727" s="4" t="s">
        <v>40</v>
      </c>
      <c r="E727" s="4" t="s">
        <v>25</v>
      </c>
      <c r="F727" s="4" t="s">
        <v>63</v>
      </c>
      <c r="G727" s="4" t="s">
        <v>25</v>
      </c>
      <c r="H727" s="4" t="s">
        <v>36</v>
      </c>
      <c r="I727" s="5">
        <v>44013</v>
      </c>
      <c r="J727" s="6">
        <v>0</v>
      </c>
      <c r="K727" s="6">
        <v>0</v>
      </c>
      <c r="L727" s="6">
        <v>7304.66</v>
      </c>
      <c r="M727" s="6">
        <v>7304.66</v>
      </c>
      <c r="N727" s="6">
        <v>0</v>
      </c>
      <c r="O727" s="6">
        <v>0</v>
      </c>
      <c r="P727" s="6">
        <v>0</v>
      </c>
      <c r="Q727" s="4" t="s">
        <v>60</v>
      </c>
      <c r="R727" s="4">
        <v>0</v>
      </c>
      <c r="S727" s="6">
        <v>0</v>
      </c>
      <c r="T727" s="6">
        <v>28</v>
      </c>
      <c r="U727" s="6">
        <v>0</v>
      </c>
      <c r="V727" s="6">
        <f>IF(ISERROR(VLOOKUP($S$727,'TAR FIN'!$A$1:$O$120,15,0)),0,VLOOKUP($S$727,'TAR FIN'!$A$1:$O$120,15,0))</f>
        <v>0</v>
      </c>
      <c r="W727" s="6">
        <f>IF(ISERROR(VLOOKUP($T$727,'TAR FIN'!$A$1:$O$120,15,0)),0,VLOOKUP($T$727,'TAR FIN'!$A$1:$O$120,15,0))</f>
        <v>84.45</v>
      </c>
      <c r="X727" s="6">
        <f>IF(ISERROR(VLOOKUP($U$727,'TAR FIN'!$A$1:$O$120,15,0)),0,VLOOKUP($U$727,'TAR FIN'!$A$1:$O$120,15,0))</f>
        <v>0</v>
      </c>
      <c r="Y727" s="6"/>
      <c r="Z727" s="6">
        <f ca="1">('TUSD BE'!$AM$34+'TUSD BF'!$AM$34+'TUSD CVA'!$AM$34)*1</f>
        <v>87.519361965254689</v>
      </c>
      <c r="AA727" s="6"/>
      <c r="AB727" s="6">
        <f>$K$727*$V$727</f>
        <v>0</v>
      </c>
      <c r="AC727" s="6">
        <f>$M$727*$W$727</f>
        <v>616878.53700000001</v>
      </c>
      <c r="AD727" s="6">
        <f>$O$727*$X$727</f>
        <v>0</v>
      </c>
      <c r="AE727" s="6">
        <f>$K$727*$Y$727</f>
        <v>0</v>
      </c>
      <c r="AF727" s="6">
        <f ca="1">$M$727*$Z$727</f>
        <v>639299.18257311732</v>
      </c>
      <c r="AG727" s="6">
        <f>$O$727*$AA$727</f>
        <v>0</v>
      </c>
    </row>
    <row r="728" spans="1:33" ht="11.25" customHeight="1" x14ac:dyDescent="0.25">
      <c r="A728" s="4" t="s">
        <v>21</v>
      </c>
      <c r="B728" s="4" t="s">
        <v>33</v>
      </c>
      <c r="C728" s="4" t="s">
        <v>34</v>
      </c>
      <c r="D728" s="4" t="s">
        <v>40</v>
      </c>
      <c r="E728" s="4" t="s">
        <v>25</v>
      </c>
      <c r="F728" s="4" t="s">
        <v>63</v>
      </c>
      <c r="G728" s="4" t="s">
        <v>25</v>
      </c>
      <c r="H728" s="4" t="s">
        <v>36</v>
      </c>
      <c r="I728" s="5">
        <v>44044</v>
      </c>
      <c r="J728" s="6">
        <v>0</v>
      </c>
      <c r="K728" s="6">
        <v>0</v>
      </c>
      <c r="L728" s="6">
        <v>8652.2639999999992</v>
      </c>
      <c r="M728" s="6">
        <v>8652.2639999999992</v>
      </c>
      <c r="N728" s="6">
        <v>0</v>
      </c>
      <c r="O728" s="6">
        <v>0</v>
      </c>
      <c r="P728" s="6">
        <v>0</v>
      </c>
      <c r="Q728" s="4" t="s">
        <v>60</v>
      </c>
      <c r="R728" s="4">
        <v>0</v>
      </c>
      <c r="S728" s="6">
        <v>0</v>
      </c>
      <c r="T728" s="6">
        <v>28</v>
      </c>
      <c r="U728" s="6">
        <v>0</v>
      </c>
      <c r="V728" s="6">
        <f>IF(ISERROR(VLOOKUP($S$728,'TAR FIN'!$A$1:$O$120,15,0)),0,VLOOKUP($S$728,'TAR FIN'!$A$1:$O$120,15,0))</f>
        <v>0</v>
      </c>
      <c r="W728" s="6">
        <f>IF(ISERROR(VLOOKUP($T$728,'TAR FIN'!$A$1:$O$120,15,0)),0,VLOOKUP($T$728,'TAR FIN'!$A$1:$O$120,15,0))</f>
        <v>84.45</v>
      </c>
      <c r="X728" s="6">
        <f>IF(ISERROR(VLOOKUP($U$728,'TAR FIN'!$A$1:$O$120,15,0)),0,VLOOKUP($U$728,'TAR FIN'!$A$1:$O$120,15,0))</f>
        <v>0</v>
      </c>
      <c r="Y728" s="6"/>
      <c r="Z728" s="6">
        <f ca="1">('TUSD BE'!$AM$34+'TUSD BF'!$AM$34+'TUSD CVA'!$AM$34)*1</f>
        <v>87.519361965254689</v>
      </c>
      <c r="AA728" s="6"/>
      <c r="AB728" s="6">
        <f>$K$728*$V$728</f>
        <v>0</v>
      </c>
      <c r="AC728" s="6">
        <f>$M$728*$W$728</f>
        <v>730683.69479999994</v>
      </c>
      <c r="AD728" s="6">
        <f>$O$728*$X$728</f>
        <v>0</v>
      </c>
      <c r="AE728" s="6">
        <f>$K$728*$Y$728</f>
        <v>0</v>
      </c>
      <c r="AF728" s="6">
        <f ca="1">$M$728*$Z$728</f>
        <v>757240.62483494228</v>
      </c>
      <c r="AG728" s="6">
        <f>$O$728*$AA$728</f>
        <v>0</v>
      </c>
    </row>
    <row r="729" spans="1:33" ht="11.25" customHeight="1" x14ac:dyDescent="0.25">
      <c r="A729" s="4" t="s">
        <v>59</v>
      </c>
      <c r="B729" s="4" t="s">
        <v>33</v>
      </c>
      <c r="C729" s="4" t="s">
        <v>34</v>
      </c>
      <c r="D729" s="4" t="s">
        <v>40</v>
      </c>
      <c r="E729" s="4" t="s">
        <v>25</v>
      </c>
      <c r="F729" s="4" t="s">
        <v>63</v>
      </c>
      <c r="G729" s="4" t="s">
        <v>25</v>
      </c>
      <c r="H729" s="4" t="s">
        <v>36</v>
      </c>
      <c r="I729" s="5">
        <v>44075</v>
      </c>
      <c r="J729" s="6">
        <v>0</v>
      </c>
      <c r="K729" s="6">
        <v>0</v>
      </c>
      <c r="L729" s="6">
        <v>8652.2639999999992</v>
      </c>
      <c r="M729" s="6">
        <v>8652.2639999999992</v>
      </c>
      <c r="N729" s="6">
        <v>0</v>
      </c>
      <c r="O729" s="6">
        <v>0</v>
      </c>
      <c r="P729" s="6">
        <v>0</v>
      </c>
      <c r="Q729" s="4" t="s">
        <v>60</v>
      </c>
      <c r="R729" s="4">
        <v>0</v>
      </c>
      <c r="S729" s="6">
        <v>0</v>
      </c>
      <c r="T729" s="6">
        <v>28</v>
      </c>
      <c r="U729" s="6">
        <v>0</v>
      </c>
      <c r="V729" s="6">
        <f>IF(ISERROR(VLOOKUP($S$729,'TAR FIN'!$A$1:$O$120,15,0)),0,VLOOKUP($S$729,'TAR FIN'!$A$1:$O$120,15,0))</f>
        <v>0</v>
      </c>
      <c r="W729" s="6">
        <f>IF(ISERROR(VLOOKUP($T$729,'TAR FIN'!$A$1:$O$120,15,0)),0,VLOOKUP($T$729,'TAR FIN'!$A$1:$O$120,15,0))</f>
        <v>84.45</v>
      </c>
      <c r="X729" s="6">
        <f>IF(ISERROR(VLOOKUP($U$729,'TAR FIN'!$A$1:$O$120,15,0)),0,VLOOKUP($U$729,'TAR FIN'!$A$1:$O$120,15,0))</f>
        <v>0</v>
      </c>
      <c r="Y729" s="6"/>
      <c r="Z729" s="6">
        <f ca="1">('TUSD BE'!$AM$34+'TUSD BF'!$AM$34+'TUSD CVA'!$AM$34)*1</f>
        <v>87.519361965254689</v>
      </c>
      <c r="AA729" s="6"/>
      <c r="AB729" s="6">
        <f>$K$729*$V$729</f>
        <v>0</v>
      </c>
      <c r="AC729" s="6">
        <f>$M$729*$W$729</f>
        <v>730683.69479999994</v>
      </c>
      <c r="AD729" s="6">
        <f>$O$729*$X$729</f>
        <v>0</v>
      </c>
      <c r="AE729" s="6">
        <f>$K$729*$Y$729</f>
        <v>0</v>
      </c>
      <c r="AF729" s="6">
        <f ca="1">$M$729*$Z$729</f>
        <v>757240.62483494228</v>
      </c>
      <c r="AG729" s="6">
        <f>$O$729*$AA$729</f>
        <v>0</v>
      </c>
    </row>
    <row r="730" spans="1:33" ht="11.25" customHeight="1" x14ac:dyDescent="0.25">
      <c r="A730" s="4" t="s">
        <v>21</v>
      </c>
      <c r="B730" s="4" t="s">
        <v>33</v>
      </c>
      <c r="C730" s="4" t="s">
        <v>34</v>
      </c>
      <c r="D730" s="4" t="s">
        <v>40</v>
      </c>
      <c r="E730" s="4" t="s">
        <v>25</v>
      </c>
      <c r="F730" s="4" t="s">
        <v>63</v>
      </c>
      <c r="G730" s="4" t="s">
        <v>25</v>
      </c>
      <c r="H730" s="4" t="s">
        <v>25</v>
      </c>
      <c r="I730" s="5">
        <v>43739</v>
      </c>
      <c r="J730" s="6">
        <v>28658</v>
      </c>
      <c r="K730" s="6">
        <v>18105.797125640001</v>
      </c>
      <c r="L730" s="6">
        <v>0</v>
      </c>
      <c r="M730" s="6">
        <v>0</v>
      </c>
      <c r="N730" s="6">
        <v>0</v>
      </c>
      <c r="O730" s="6">
        <v>0</v>
      </c>
      <c r="P730" s="6">
        <v>38</v>
      </c>
      <c r="Q730" s="4" t="s">
        <v>60</v>
      </c>
      <c r="R730" s="4">
        <v>0</v>
      </c>
      <c r="S730" s="6">
        <v>26</v>
      </c>
      <c r="T730" s="6">
        <v>0</v>
      </c>
      <c r="U730" s="6">
        <v>0</v>
      </c>
      <c r="V730" s="6">
        <f>IF(ISERROR(VLOOKUP($S$730,'TAR FIN'!$A$1:$O$120,15,0)),0,VLOOKUP($S$730,'TAR FIN'!$A$1:$O$120,15,0))</f>
        <v>8.81</v>
      </c>
      <c r="W730" s="6">
        <f>IF(ISERROR(VLOOKUP($T$730,'TAR FIN'!$A$1:$O$120,15,0)),0,VLOOKUP($T$730,'TAR FIN'!$A$1:$O$120,15,0))</f>
        <v>0</v>
      </c>
      <c r="X730" s="6">
        <f>IF(ISERROR(VLOOKUP($U$730,'TAR FIN'!$A$1:$O$120,15,0)),0,VLOOKUP($U$730,'TAR FIN'!$A$1:$O$120,15,0))</f>
        <v>0</v>
      </c>
      <c r="Y730" s="6">
        <f ca="1">('TUSD BE'!$AM$32+'TUSD BF'!$AM$32+'TUSD CVA'!$AM$32)*1</f>
        <v>11.452356648653195</v>
      </c>
      <c r="Z730" s="6"/>
      <c r="AA730" s="6"/>
      <c r="AB730" s="6">
        <f>$K$730*$V$730</f>
        <v>159512.07267688843</v>
      </c>
      <c r="AC730" s="6">
        <f>$M$730*$W$730</f>
        <v>0</v>
      </c>
      <c r="AD730" s="6">
        <f>$O$730*$X$730</f>
        <v>0</v>
      </c>
      <c r="AE730" s="6">
        <f ca="1">$K$730*$Y$730</f>
        <v>207354.04609098917</v>
      </c>
      <c r="AF730" s="6">
        <f>$M$730*$Z$730</f>
        <v>0</v>
      </c>
      <c r="AG730" s="6">
        <f>$O$730*$AA$730</f>
        <v>0</v>
      </c>
    </row>
    <row r="731" spans="1:33" ht="11.25" customHeight="1" x14ac:dyDescent="0.25">
      <c r="A731" s="4" t="s">
        <v>21</v>
      </c>
      <c r="B731" s="4" t="s">
        <v>33</v>
      </c>
      <c r="C731" s="4" t="s">
        <v>34</v>
      </c>
      <c r="D731" s="4" t="s">
        <v>40</v>
      </c>
      <c r="E731" s="4" t="s">
        <v>25</v>
      </c>
      <c r="F731" s="4" t="s">
        <v>63</v>
      </c>
      <c r="G731" s="4" t="s">
        <v>25</v>
      </c>
      <c r="H731" s="4" t="s">
        <v>25</v>
      </c>
      <c r="I731" s="5">
        <v>43770</v>
      </c>
      <c r="J731" s="6">
        <v>28818</v>
      </c>
      <c r="K731" s="6">
        <v>19538.206887960001</v>
      </c>
      <c r="L731" s="6">
        <v>0</v>
      </c>
      <c r="M731" s="6">
        <v>0</v>
      </c>
      <c r="N731" s="6">
        <v>0</v>
      </c>
      <c r="O731" s="6">
        <v>0</v>
      </c>
      <c r="P731" s="6">
        <v>39</v>
      </c>
      <c r="Q731" s="4" t="s">
        <v>60</v>
      </c>
      <c r="R731" s="4">
        <v>0</v>
      </c>
      <c r="S731" s="6">
        <v>26</v>
      </c>
      <c r="T731" s="6">
        <v>0</v>
      </c>
      <c r="U731" s="6">
        <v>0</v>
      </c>
      <c r="V731" s="6">
        <f>IF(ISERROR(VLOOKUP($S$731,'TAR FIN'!$A$1:$O$120,15,0)),0,VLOOKUP($S$731,'TAR FIN'!$A$1:$O$120,15,0))</f>
        <v>8.81</v>
      </c>
      <c r="W731" s="6">
        <f>IF(ISERROR(VLOOKUP($T$731,'TAR FIN'!$A$1:$O$120,15,0)),0,VLOOKUP($T$731,'TAR FIN'!$A$1:$O$120,15,0))</f>
        <v>0</v>
      </c>
      <c r="X731" s="6">
        <f>IF(ISERROR(VLOOKUP($U$731,'TAR FIN'!$A$1:$O$120,15,0)),0,VLOOKUP($U$731,'TAR FIN'!$A$1:$O$120,15,0))</f>
        <v>0</v>
      </c>
      <c r="Y731" s="6">
        <f ca="1">('TUSD BE'!$AM$32+'TUSD BF'!$AM$32+'TUSD CVA'!$AM$32)*1</f>
        <v>11.452356648653195</v>
      </c>
      <c r="Z731" s="6"/>
      <c r="AA731" s="6"/>
      <c r="AB731" s="6">
        <f>$K$731*$V$731</f>
        <v>172131.60268292762</v>
      </c>
      <c r="AC731" s="6">
        <f>$M$731*$W$731</f>
        <v>0</v>
      </c>
      <c r="AD731" s="6">
        <f>$O$731*$X$731</f>
        <v>0</v>
      </c>
      <c r="AE731" s="6">
        <f ca="1">$K$731*$Y$731</f>
        <v>223758.51355609036</v>
      </c>
      <c r="AF731" s="6">
        <f>$M$731*$Z$731</f>
        <v>0</v>
      </c>
      <c r="AG731" s="6">
        <f>$O$731*$AA$731</f>
        <v>0</v>
      </c>
    </row>
    <row r="732" spans="1:33" ht="11.25" customHeight="1" x14ac:dyDescent="0.25">
      <c r="A732" s="4" t="s">
        <v>21</v>
      </c>
      <c r="B732" s="4" t="s">
        <v>33</v>
      </c>
      <c r="C732" s="4" t="s">
        <v>34</v>
      </c>
      <c r="D732" s="4" t="s">
        <v>40</v>
      </c>
      <c r="E732" s="4" t="s">
        <v>25</v>
      </c>
      <c r="F732" s="4" t="s">
        <v>63</v>
      </c>
      <c r="G732" s="4" t="s">
        <v>25</v>
      </c>
      <c r="H732" s="4" t="s">
        <v>25</v>
      </c>
      <c r="I732" s="5">
        <v>43800</v>
      </c>
      <c r="J732" s="6">
        <v>28738</v>
      </c>
      <c r="K732" s="6">
        <v>18304.5297207</v>
      </c>
      <c r="L732" s="6">
        <v>0</v>
      </c>
      <c r="M732" s="6">
        <v>0</v>
      </c>
      <c r="N732" s="6">
        <v>0</v>
      </c>
      <c r="O732" s="6">
        <v>0</v>
      </c>
      <c r="P732" s="6">
        <v>39</v>
      </c>
      <c r="Q732" s="4" t="s">
        <v>60</v>
      </c>
      <c r="R732" s="4">
        <v>0</v>
      </c>
      <c r="S732" s="6">
        <v>26</v>
      </c>
      <c r="T732" s="6">
        <v>0</v>
      </c>
      <c r="U732" s="6">
        <v>0</v>
      </c>
      <c r="V732" s="6">
        <f>IF(ISERROR(VLOOKUP($S$732,'TAR FIN'!$A$1:$O$120,15,0)),0,VLOOKUP($S$732,'TAR FIN'!$A$1:$O$120,15,0))</f>
        <v>8.81</v>
      </c>
      <c r="W732" s="6">
        <f>IF(ISERROR(VLOOKUP($T$732,'TAR FIN'!$A$1:$O$120,15,0)),0,VLOOKUP($T$732,'TAR FIN'!$A$1:$O$120,15,0))</f>
        <v>0</v>
      </c>
      <c r="X732" s="6">
        <f>IF(ISERROR(VLOOKUP($U$732,'TAR FIN'!$A$1:$O$120,15,0)),0,VLOOKUP($U$732,'TAR FIN'!$A$1:$O$120,15,0))</f>
        <v>0</v>
      </c>
      <c r="Y732" s="6">
        <f ca="1">('TUSD BE'!$AM$32+'TUSD BF'!$AM$32+'TUSD CVA'!$AM$32)*1</f>
        <v>11.452356648653195</v>
      </c>
      <c r="Z732" s="6"/>
      <c r="AA732" s="6"/>
      <c r="AB732" s="6">
        <f>$K$732*$V$732</f>
        <v>161262.906839367</v>
      </c>
      <c r="AC732" s="6">
        <f>$M$732*$W$732</f>
        <v>0</v>
      </c>
      <c r="AD732" s="6">
        <f>$O$732*$X$732</f>
        <v>0</v>
      </c>
      <c r="AE732" s="6">
        <f ca="1">$K$732*$Y$732</f>
        <v>209630.00264732866</v>
      </c>
      <c r="AF732" s="6">
        <f>$M$732*$Z$732</f>
        <v>0</v>
      </c>
      <c r="AG732" s="6">
        <f>$O$732*$AA$732</f>
        <v>0</v>
      </c>
    </row>
    <row r="733" spans="1:33" ht="11.25" customHeight="1" x14ac:dyDescent="0.25">
      <c r="A733" s="4" t="s">
        <v>21</v>
      </c>
      <c r="B733" s="4" t="s">
        <v>33</v>
      </c>
      <c r="C733" s="4" t="s">
        <v>34</v>
      </c>
      <c r="D733" s="4" t="s">
        <v>40</v>
      </c>
      <c r="E733" s="4" t="s">
        <v>25</v>
      </c>
      <c r="F733" s="4" t="s">
        <v>63</v>
      </c>
      <c r="G733" s="4" t="s">
        <v>25</v>
      </c>
      <c r="H733" s="4" t="s">
        <v>25</v>
      </c>
      <c r="I733" s="5">
        <v>43831</v>
      </c>
      <c r="J733" s="6">
        <v>30386</v>
      </c>
      <c r="K733" s="6">
        <v>19479.92555236</v>
      </c>
      <c r="L733" s="6">
        <v>0</v>
      </c>
      <c r="M733" s="6">
        <v>0</v>
      </c>
      <c r="N733" s="6">
        <v>0</v>
      </c>
      <c r="O733" s="6">
        <v>0</v>
      </c>
      <c r="P733" s="6">
        <v>42</v>
      </c>
      <c r="Q733" s="4" t="s">
        <v>60</v>
      </c>
      <c r="R733" s="4">
        <v>0</v>
      </c>
      <c r="S733" s="6">
        <v>26</v>
      </c>
      <c r="T733" s="6">
        <v>0</v>
      </c>
      <c r="U733" s="6">
        <v>0</v>
      </c>
      <c r="V733" s="6">
        <f>IF(ISERROR(VLOOKUP($S$733,'TAR FIN'!$A$1:$O$120,15,0)),0,VLOOKUP($S$733,'TAR FIN'!$A$1:$O$120,15,0))</f>
        <v>8.81</v>
      </c>
      <c r="W733" s="6">
        <f>IF(ISERROR(VLOOKUP($T$733,'TAR FIN'!$A$1:$O$120,15,0)),0,VLOOKUP($T$733,'TAR FIN'!$A$1:$O$120,15,0))</f>
        <v>0</v>
      </c>
      <c r="X733" s="6">
        <f>IF(ISERROR(VLOOKUP($U$733,'TAR FIN'!$A$1:$O$120,15,0)),0,VLOOKUP($U$733,'TAR FIN'!$A$1:$O$120,15,0))</f>
        <v>0</v>
      </c>
      <c r="Y733" s="6">
        <f ca="1">('TUSD BE'!$AM$32+'TUSD BF'!$AM$32+'TUSD CVA'!$AM$32)*1</f>
        <v>11.452356648653195</v>
      </c>
      <c r="Z733" s="6"/>
      <c r="AA733" s="6"/>
      <c r="AB733" s="6">
        <f>$K$733*$V$733</f>
        <v>171618.1441162916</v>
      </c>
      <c r="AC733" s="6">
        <f>$M$733*$W$733</f>
        <v>0</v>
      </c>
      <c r="AD733" s="6">
        <f>$O$733*$X$733</f>
        <v>0</v>
      </c>
      <c r="AE733" s="6">
        <f ca="1">$K$733*$Y$733</f>
        <v>223091.0549148393</v>
      </c>
      <c r="AF733" s="6">
        <f>$M$733*$Z$733</f>
        <v>0</v>
      </c>
      <c r="AG733" s="6">
        <f>$O$733*$AA$733</f>
        <v>0</v>
      </c>
    </row>
    <row r="734" spans="1:33" ht="11.25" customHeight="1" x14ac:dyDescent="0.25">
      <c r="A734" s="4" t="s">
        <v>21</v>
      </c>
      <c r="B734" s="4" t="s">
        <v>33</v>
      </c>
      <c r="C734" s="4" t="s">
        <v>34</v>
      </c>
      <c r="D734" s="4" t="s">
        <v>40</v>
      </c>
      <c r="E734" s="4" t="s">
        <v>25</v>
      </c>
      <c r="F734" s="4" t="s">
        <v>63</v>
      </c>
      <c r="G734" s="4" t="s">
        <v>25</v>
      </c>
      <c r="H734" s="4" t="s">
        <v>25</v>
      </c>
      <c r="I734" s="5">
        <v>43862</v>
      </c>
      <c r="J734" s="6">
        <v>30729</v>
      </c>
      <c r="K734" s="6">
        <v>19578.240551940002</v>
      </c>
      <c r="L734" s="6">
        <v>0</v>
      </c>
      <c r="M734" s="6">
        <v>0</v>
      </c>
      <c r="N734" s="6">
        <v>0</v>
      </c>
      <c r="O734" s="6">
        <v>0</v>
      </c>
      <c r="P734" s="6">
        <v>43</v>
      </c>
      <c r="Q734" s="4" t="s">
        <v>60</v>
      </c>
      <c r="R734" s="4">
        <v>0</v>
      </c>
      <c r="S734" s="6">
        <v>26</v>
      </c>
      <c r="T734" s="6">
        <v>0</v>
      </c>
      <c r="U734" s="6">
        <v>0</v>
      </c>
      <c r="V734" s="6">
        <f>IF(ISERROR(VLOOKUP($S$734,'TAR FIN'!$A$1:$O$120,15,0)),0,VLOOKUP($S$734,'TAR FIN'!$A$1:$O$120,15,0))</f>
        <v>8.81</v>
      </c>
      <c r="W734" s="6">
        <f>IF(ISERROR(VLOOKUP($T$734,'TAR FIN'!$A$1:$O$120,15,0)),0,VLOOKUP($T$734,'TAR FIN'!$A$1:$O$120,15,0))</f>
        <v>0</v>
      </c>
      <c r="X734" s="6">
        <f>IF(ISERROR(VLOOKUP($U$734,'TAR FIN'!$A$1:$O$120,15,0)),0,VLOOKUP($U$734,'TAR FIN'!$A$1:$O$120,15,0))</f>
        <v>0</v>
      </c>
      <c r="Y734" s="6">
        <f ca="1">('TUSD BE'!$AM$32+'TUSD BF'!$AM$32+'TUSD CVA'!$AM$32)*1</f>
        <v>11.452356648653195</v>
      </c>
      <c r="Z734" s="6"/>
      <c r="AA734" s="6"/>
      <c r="AB734" s="6">
        <f>$K$734*$V$734</f>
        <v>172484.29926259143</v>
      </c>
      <c r="AC734" s="6">
        <f>$M$734*$W$734</f>
        <v>0</v>
      </c>
      <c r="AD734" s="6">
        <f>$O$734*$X$734</f>
        <v>0</v>
      </c>
      <c r="AE734" s="6">
        <f ca="1">$K$734*$Y$734</f>
        <v>224216.99335394168</v>
      </c>
      <c r="AF734" s="6">
        <f>$M$734*$Z$734</f>
        <v>0</v>
      </c>
      <c r="AG734" s="6">
        <f>$O$734*$AA$734</f>
        <v>0</v>
      </c>
    </row>
    <row r="735" spans="1:33" ht="11.25" customHeight="1" x14ac:dyDescent="0.25">
      <c r="A735" s="4" t="s">
        <v>21</v>
      </c>
      <c r="B735" s="4" t="s">
        <v>33</v>
      </c>
      <c r="C735" s="4" t="s">
        <v>34</v>
      </c>
      <c r="D735" s="4" t="s">
        <v>40</v>
      </c>
      <c r="E735" s="4" t="s">
        <v>25</v>
      </c>
      <c r="F735" s="4" t="s">
        <v>63</v>
      </c>
      <c r="G735" s="4" t="s">
        <v>25</v>
      </c>
      <c r="H735" s="4" t="s">
        <v>25</v>
      </c>
      <c r="I735" s="5">
        <v>43891</v>
      </c>
      <c r="J735" s="6">
        <v>30674</v>
      </c>
      <c r="K735" s="6">
        <v>20339.552416539998</v>
      </c>
      <c r="L735" s="6">
        <v>0</v>
      </c>
      <c r="M735" s="6">
        <v>0</v>
      </c>
      <c r="N735" s="6">
        <v>0</v>
      </c>
      <c r="O735" s="6">
        <v>0</v>
      </c>
      <c r="P735" s="6">
        <v>44</v>
      </c>
      <c r="Q735" s="4" t="s">
        <v>60</v>
      </c>
      <c r="R735" s="4">
        <v>0</v>
      </c>
      <c r="S735" s="6">
        <v>26</v>
      </c>
      <c r="T735" s="6">
        <v>0</v>
      </c>
      <c r="U735" s="6">
        <v>0</v>
      </c>
      <c r="V735" s="6">
        <f>IF(ISERROR(VLOOKUP($S$735,'TAR FIN'!$A$1:$O$120,15,0)),0,VLOOKUP($S$735,'TAR FIN'!$A$1:$O$120,15,0))</f>
        <v>8.81</v>
      </c>
      <c r="W735" s="6">
        <f>IF(ISERROR(VLOOKUP($T$735,'TAR FIN'!$A$1:$O$120,15,0)),0,VLOOKUP($T$735,'TAR FIN'!$A$1:$O$120,15,0))</f>
        <v>0</v>
      </c>
      <c r="X735" s="6">
        <f>IF(ISERROR(VLOOKUP($U$735,'TAR FIN'!$A$1:$O$120,15,0)),0,VLOOKUP($U$735,'TAR FIN'!$A$1:$O$120,15,0))</f>
        <v>0</v>
      </c>
      <c r="Y735" s="6">
        <f ca="1">('TUSD BE'!$AM$32+'TUSD BF'!$AM$32+'TUSD CVA'!$AM$32)*1</f>
        <v>11.452356648653195</v>
      </c>
      <c r="Z735" s="6"/>
      <c r="AA735" s="6"/>
      <c r="AB735" s="6">
        <f>$K$735*$V$735</f>
        <v>179191.4567897174</v>
      </c>
      <c r="AC735" s="6">
        <f>$M$735*$W$735</f>
        <v>0</v>
      </c>
      <c r="AD735" s="6">
        <f>$O$735*$X$735</f>
        <v>0</v>
      </c>
      <c r="AE735" s="6">
        <f ca="1">$K$735*$Y$735</f>
        <v>232935.80834819202</v>
      </c>
      <c r="AF735" s="6">
        <f>$M$735*$Z$735</f>
        <v>0</v>
      </c>
      <c r="AG735" s="6">
        <f>$O$735*$AA$735</f>
        <v>0</v>
      </c>
    </row>
    <row r="736" spans="1:33" ht="11.25" customHeight="1" x14ac:dyDescent="0.25">
      <c r="A736" s="4" t="s">
        <v>21</v>
      </c>
      <c r="B736" s="4" t="s">
        <v>33</v>
      </c>
      <c r="C736" s="4" t="s">
        <v>34</v>
      </c>
      <c r="D736" s="4" t="s">
        <v>40</v>
      </c>
      <c r="E736" s="4" t="s">
        <v>25</v>
      </c>
      <c r="F736" s="4" t="s">
        <v>63</v>
      </c>
      <c r="G736" s="4" t="s">
        <v>25</v>
      </c>
      <c r="H736" s="4" t="s">
        <v>25</v>
      </c>
      <c r="I736" s="5">
        <v>43922</v>
      </c>
      <c r="J736" s="6">
        <v>31233</v>
      </c>
      <c r="K736" s="6">
        <v>20999.21989407</v>
      </c>
      <c r="L736" s="6">
        <v>0</v>
      </c>
      <c r="M736" s="6">
        <v>0</v>
      </c>
      <c r="N736" s="6">
        <v>0</v>
      </c>
      <c r="O736" s="6">
        <v>0</v>
      </c>
      <c r="P736" s="6">
        <v>46</v>
      </c>
      <c r="Q736" s="4" t="s">
        <v>60</v>
      </c>
      <c r="R736" s="4">
        <v>0</v>
      </c>
      <c r="S736" s="6">
        <v>26</v>
      </c>
      <c r="T736" s="6">
        <v>0</v>
      </c>
      <c r="U736" s="6">
        <v>0</v>
      </c>
      <c r="V736" s="6">
        <f>IF(ISERROR(VLOOKUP($S$736,'TAR FIN'!$A$1:$O$120,15,0)),0,VLOOKUP($S$736,'TAR FIN'!$A$1:$O$120,15,0))</f>
        <v>8.81</v>
      </c>
      <c r="W736" s="6">
        <f>IF(ISERROR(VLOOKUP($T$736,'TAR FIN'!$A$1:$O$120,15,0)),0,VLOOKUP($T$736,'TAR FIN'!$A$1:$O$120,15,0))</f>
        <v>0</v>
      </c>
      <c r="X736" s="6">
        <f>IF(ISERROR(VLOOKUP($U$736,'TAR FIN'!$A$1:$O$120,15,0)),0,VLOOKUP($U$736,'TAR FIN'!$A$1:$O$120,15,0))</f>
        <v>0</v>
      </c>
      <c r="Y736" s="6">
        <f ca="1">('TUSD BE'!$AM$32+'TUSD BF'!$AM$32+'TUSD CVA'!$AM$32)*1</f>
        <v>11.452356648653195</v>
      </c>
      <c r="Z736" s="6"/>
      <c r="AA736" s="6"/>
      <c r="AB736" s="6">
        <f>$K$736*$V$736</f>
        <v>185003.12726675672</v>
      </c>
      <c r="AC736" s="6">
        <f>$M$736*$W$736</f>
        <v>0</v>
      </c>
      <c r="AD736" s="6">
        <f>$O$736*$X$736</f>
        <v>0</v>
      </c>
      <c r="AE736" s="6">
        <f ca="1">$K$736*$Y$736</f>
        <v>240490.555570383</v>
      </c>
      <c r="AF736" s="6">
        <f>$M$736*$Z$736</f>
        <v>0</v>
      </c>
      <c r="AG736" s="6">
        <f>$O$736*$AA$736</f>
        <v>0</v>
      </c>
    </row>
    <row r="737" spans="1:33" ht="11.25" customHeight="1" x14ac:dyDescent="0.25">
      <c r="A737" s="4" t="s">
        <v>21</v>
      </c>
      <c r="B737" s="4" t="s">
        <v>33</v>
      </c>
      <c r="C737" s="4" t="s">
        <v>34</v>
      </c>
      <c r="D737" s="4" t="s">
        <v>40</v>
      </c>
      <c r="E737" s="4" t="s">
        <v>25</v>
      </c>
      <c r="F737" s="4" t="s">
        <v>63</v>
      </c>
      <c r="G737" s="4" t="s">
        <v>25</v>
      </c>
      <c r="H737" s="4" t="s">
        <v>25</v>
      </c>
      <c r="I737" s="5">
        <v>43952</v>
      </c>
      <c r="J737" s="6">
        <v>31789</v>
      </c>
      <c r="K737" s="6">
        <v>21260.29278389</v>
      </c>
      <c r="L737" s="6">
        <v>0</v>
      </c>
      <c r="M737" s="6">
        <v>0</v>
      </c>
      <c r="N737" s="6">
        <v>0</v>
      </c>
      <c r="O737" s="6">
        <v>0</v>
      </c>
      <c r="P737" s="6">
        <v>48</v>
      </c>
      <c r="Q737" s="4" t="s">
        <v>60</v>
      </c>
      <c r="R737" s="4">
        <v>0</v>
      </c>
      <c r="S737" s="6">
        <v>26</v>
      </c>
      <c r="T737" s="6">
        <v>0</v>
      </c>
      <c r="U737" s="6">
        <v>0</v>
      </c>
      <c r="V737" s="6">
        <f>IF(ISERROR(VLOOKUP($S$737,'TAR FIN'!$A$1:$O$120,15,0)),0,VLOOKUP($S$737,'TAR FIN'!$A$1:$O$120,15,0))</f>
        <v>8.81</v>
      </c>
      <c r="W737" s="6">
        <f>IF(ISERROR(VLOOKUP($T$737,'TAR FIN'!$A$1:$O$120,15,0)),0,VLOOKUP($T$737,'TAR FIN'!$A$1:$O$120,15,0))</f>
        <v>0</v>
      </c>
      <c r="X737" s="6">
        <f>IF(ISERROR(VLOOKUP($U$737,'TAR FIN'!$A$1:$O$120,15,0)),0,VLOOKUP($U$737,'TAR FIN'!$A$1:$O$120,15,0))</f>
        <v>0</v>
      </c>
      <c r="Y737" s="6">
        <f ca="1">('TUSD BE'!$AM$32+'TUSD BF'!$AM$32+'TUSD CVA'!$AM$32)*1</f>
        <v>11.452356648653195</v>
      </c>
      <c r="Z737" s="6"/>
      <c r="AA737" s="6"/>
      <c r="AB737" s="6">
        <f>$K$737*$V$737</f>
        <v>187303.17942607091</v>
      </c>
      <c r="AC737" s="6">
        <f>$M$737*$W$737</f>
        <v>0</v>
      </c>
      <c r="AD737" s="6">
        <f>$O$737*$X$737</f>
        <v>0</v>
      </c>
      <c r="AE737" s="6">
        <f ca="1">$K$737*$Y$737</f>
        <v>243480.45541589617</v>
      </c>
      <c r="AF737" s="6">
        <f>$M$737*$Z$737</f>
        <v>0</v>
      </c>
      <c r="AG737" s="6">
        <f>$O$737*$AA$737</f>
        <v>0</v>
      </c>
    </row>
    <row r="738" spans="1:33" ht="11.25" customHeight="1" x14ac:dyDescent="0.25">
      <c r="A738" s="4" t="s">
        <v>21</v>
      </c>
      <c r="B738" s="4" t="s">
        <v>33</v>
      </c>
      <c r="C738" s="4" t="s">
        <v>34</v>
      </c>
      <c r="D738" s="4" t="s">
        <v>40</v>
      </c>
      <c r="E738" s="4" t="s">
        <v>25</v>
      </c>
      <c r="F738" s="4" t="s">
        <v>63</v>
      </c>
      <c r="G738" s="4" t="s">
        <v>25</v>
      </c>
      <c r="H738" s="4" t="s">
        <v>25</v>
      </c>
      <c r="I738" s="5">
        <v>43983</v>
      </c>
      <c r="J738" s="6">
        <v>31789</v>
      </c>
      <c r="K738" s="6">
        <v>20936.759282719999</v>
      </c>
      <c r="L738" s="6">
        <v>0</v>
      </c>
      <c r="M738" s="6">
        <v>0</v>
      </c>
      <c r="N738" s="6">
        <v>0</v>
      </c>
      <c r="O738" s="6">
        <v>0</v>
      </c>
      <c r="P738" s="6">
        <v>48</v>
      </c>
      <c r="Q738" s="4" t="s">
        <v>60</v>
      </c>
      <c r="R738" s="4">
        <v>0</v>
      </c>
      <c r="S738" s="6">
        <v>26</v>
      </c>
      <c r="T738" s="6">
        <v>0</v>
      </c>
      <c r="U738" s="6">
        <v>0</v>
      </c>
      <c r="V738" s="6">
        <f>IF(ISERROR(VLOOKUP($S$738,'TAR FIN'!$A$1:$O$120,15,0)),0,VLOOKUP($S$738,'TAR FIN'!$A$1:$O$120,15,0))</f>
        <v>8.81</v>
      </c>
      <c r="W738" s="6">
        <f>IF(ISERROR(VLOOKUP($T$738,'TAR FIN'!$A$1:$O$120,15,0)),0,VLOOKUP($T$738,'TAR FIN'!$A$1:$O$120,15,0))</f>
        <v>0</v>
      </c>
      <c r="X738" s="6">
        <f>IF(ISERROR(VLOOKUP($U$738,'TAR FIN'!$A$1:$O$120,15,0)),0,VLOOKUP($U$738,'TAR FIN'!$A$1:$O$120,15,0))</f>
        <v>0</v>
      </c>
      <c r="Y738" s="6">
        <f ca="1">('TUSD BE'!$AM$32+'TUSD BF'!$AM$32+'TUSD CVA'!$AM$32)*1</f>
        <v>11.452356648653195</v>
      </c>
      <c r="Z738" s="6"/>
      <c r="AA738" s="6"/>
      <c r="AB738" s="6">
        <f>$K$738*$V$738</f>
        <v>184452.84928076321</v>
      </c>
      <c r="AC738" s="6">
        <f>$M$738*$W$738</f>
        <v>0</v>
      </c>
      <c r="AD738" s="6">
        <f>$O$738*$X$738</f>
        <v>0</v>
      </c>
      <c r="AE738" s="6">
        <f ca="1">$K$738*$Y$738</f>
        <v>239775.23437270988</v>
      </c>
      <c r="AF738" s="6">
        <f>$M$738*$Z$738</f>
        <v>0</v>
      </c>
      <c r="AG738" s="6">
        <f>$O$738*$AA$738</f>
        <v>0</v>
      </c>
    </row>
    <row r="739" spans="1:33" ht="11.25" customHeight="1" x14ac:dyDescent="0.25">
      <c r="A739" s="4" t="s">
        <v>21</v>
      </c>
      <c r="B739" s="4" t="s">
        <v>33</v>
      </c>
      <c r="C739" s="4" t="s">
        <v>34</v>
      </c>
      <c r="D739" s="4" t="s">
        <v>40</v>
      </c>
      <c r="E739" s="4" t="s">
        <v>25</v>
      </c>
      <c r="F739" s="4" t="s">
        <v>63</v>
      </c>
      <c r="G739" s="4" t="s">
        <v>25</v>
      </c>
      <c r="H739" s="4" t="s">
        <v>25</v>
      </c>
      <c r="I739" s="5">
        <v>44013</v>
      </c>
      <c r="J739" s="6">
        <v>26128</v>
      </c>
      <c r="K739" s="6">
        <v>17431.1880752</v>
      </c>
      <c r="L739" s="6">
        <v>0</v>
      </c>
      <c r="M739" s="6">
        <v>0</v>
      </c>
      <c r="N739" s="6">
        <v>0</v>
      </c>
      <c r="O739" s="6">
        <v>0</v>
      </c>
      <c r="P739" s="6">
        <v>36</v>
      </c>
      <c r="Q739" s="4" t="s">
        <v>60</v>
      </c>
      <c r="R739" s="4">
        <v>0</v>
      </c>
      <c r="S739" s="6">
        <v>26</v>
      </c>
      <c r="T739" s="6">
        <v>0</v>
      </c>
      <c r="U739" s="6">
        <v>0</v>
      </c>
      <c r="V739" s="6">
        <f>IF(ISERROR(VLOOKUP($S$739,'TAR FIN'!$A$1:$O$120,15,0)),0,VLOOKUP($S$739,'TAR FIN'!$A$1:$O$120,15,0))</f>
        <v>8.81</v>
      </c>
      <c r="W739" s="6">
        <f>IF(ISERROR(VLOOKUP($T$739,'TAR FIN'!$A$1:$O$120,15,0)),0,VLOOKUP($T$739,'TAR FIN'!$A$1:$O$120,15,0))</f>
        <v>0</v>
      </c>
      <c r="X739" s="6">
        <f>IF(ISERROR(VLOOKUP($U$739,'TAR FIN'!$A$1:$O$120,15,0)),0,VLOOKUP($U$739,'TAR FIN'!$A$1:$O$120,15,0))</f>
        <v>0</v>
      </c>
      <c r="Y739" s="6">
        <f ca="1">('TUSD BE'!$AM$32+'TUSD BF'!$AM$32+'TUSD CVA'!$AM$32)*1</f>
        <v>11.452356648653195</v>
      </c>
      <c r="Z739" s="6"/>
      <c r="AA739" s="6"/>
      <c r="AB739" s="6">
        <f>$K$739*$V$739</f>
        <v>153568.76694251201</v>
      </c>
      <c r="AC739" s="6">
        <f>$M$739*$W$739</f>
        <v>0</v>
      </c>
      <c r="AD739" s="6">
        <f>$O$739*$X$739</f>
        <v>0</v>
      </c>
      <c r="AE739" s="6">
        <f ca="1">$K$739*$Y$739</f>
        <v>199628.18264694102</v>
      </c>
      <c r="AF739" s="6">
        <f>$M$739*$Z$739</f>
        <v>0</v>
      </c>
      <c r="AG739" s="6">
        <f>$O$739*$AA$739</f>
        <v>0</v>
      </c>
    </row>
    <row r="740" spans="1:33" ht="11.25" customHeight="1" x14ac:dyDescent="0.25">
      <c r="A740" s="4" t="s">
        <v>21</v>
      </c>
      <c r="B740" s="4" t="s">
        <v>33</v>
      </c>
      <c r="C740" s="4" t="s">
        <v>34</v>
      </c>
      <c r="D740" s="4" t="s">
        <v>40</v>
      </c>
      <c r="E740" s="4" t="s">
        <v>25</v>
      </c>
      <c r="F740" s="4" t="s">
        <v>63</v>
      </c>
      <c r="G740" s="4" t="s">
        <v>25</v>
      </c>
      <c r="H740" s="4" t="s">
        <v>25</v>
      </c>
      <c r="I740" s="5">
        <v>44044</v>
      </c>
      <c r="J740" s="6">
        <v>32612</v>
      </c>
      <c r="K740" s="6">
        <v>21850.04</v>
      </c>
      <c r="L740" s="6">
        <v>0</v>
      </c>
      <c r="M740" s="6">
        <v>0</v>
      </c>
      <c r="N740" s="6">
        <v>0</v>
      </c>
      <c r="O740" s="6">
        <v>0</v>
      </c>
      <c r="P740" s="6">
        <v>51</v>
      </c>
      <c r="Q740" s="4" t="s">
        <v>60</v>
      </c>
      <c r="R740" s="4">
        <v>0</v>
      </c>
      <c r="S740" s="6">
        <v>26</v>
      </c>
      <c r="T740" s="6">
        <v>0</v>
      </c>
      <c r="U740" s="6">
        <v>0</v>
      </c>
      <c r="V740" s="6">
        <f>IF(ISERROR(VLOOKUP($S$740,'TAR FIN'!$A$1:$O$120,15,0)),0,VLOOKUP($S$740,'TAR FIN'!$A$1:$O$120,15,0))</f>
        <v>8.81</v>
      </c>
      <c r="W740" s="6">
        <f>IF(ISERROR(VLOOKUP($T$740,'TAR FIN'!$A$1:$O$120,15,0)),0,VLOOKUP($T$740,'TAR FIN'!$A$1:$O$120,15,0))</f>
        <v>0</v>
      </c>
      <c r="X740" s="6">
        <f>IF(ISERROR(VLOOKUP($U$740,'TAR FIN'!$A$1:$O$120,15,0)),0,VLOOKUP($U$740,'TAR FIN'!$A$1:$O$120,15,0))</f>
        <v>0</v>
      </c>
      <c r="Y740" s="6">
        <f ca="1">('TUSD BE'!$AM$32+'TUSD BF'!$AM$32+'TUSD CVA'!$AM$32)*1</f>
        <v>11.452356648653195</v>
      </c>
      <c r="Z740" s="6"/>
      <c r="AA740" s="6"/>
      <c r="AB740" s="6">
        <f>$K$740*$V$740</f>
        <v>192498.85240000003</v>
      </c>
      <c r="AC740" s="6">
        <f>$M$740*$W$740</f>
        <v>0</v>
      </c>
      <c r="AD740" s="6">
        <f>$O$740*$X$740</f>
        <v>0</v>
      </c>
      <c r="AE740" s="6">
        <f ca="1">$K$740*$Y$740</f>
        <v>250234.45086733828</v>
      </c>
      <c r="AF740" s="6">
        <f>$M$740*$Z$740</f>
        <v>0</v>
      </c>
      <c r="AG740" s="6">
        <f>$O$740*$AA$740</f>
        <v>0</v>
      </c>
    </row>
    <row r="741" spans="1:33" ht="11.25" customHeight="1" x14ac:dyDescent="0.25">
      <c r="A741" s="4" t="s">
        <v>59</v>
      </c>
      <c r="B741" s="4" t="s">
        <v>33</v>
      </c>
      <c r="C741" s="4" t="s">
        <v>34</v>
      </c>
      <c r="D741" s="4" t="s">
        <v>40</v>
      </c>
      <c r="E741" s="4" t="s">
        <v>25</v>
      </c>
      <c r="F741" s="4" t="s">
        <v>63</v>
      </c>
      <c r="G741" s="4" t="s">
        <v>25</v>
      </c>
      <c r="H741" s="4" t="s">
        <v>25</v>
      </c>
      <c r="I741" s="5">
        <v>44075</v>
      </c>
      <c r="J741" s="6">
        <v>32612</v>
      </c>
      <c r="K741" s="6">
        <v>21850.04</v>
      </c>
      <c r="L741" s="6">
        <v>0</v>
      </c>
      <c r="M741" s="6">
        <v>0</v>
      </c>
      <c r="N741" s="6">
        <v>0</v>
      </c>
      <c r="O741" s="6">
        <v>0</v>
      </c>
      <c r="P741" s="6">
        <v>51</v>
      </c>
      <c r="Q741" s="4" t="s">
        <v>60</v>
      </c>
      <c r="R741" s="4">
        <v>0</v>
      </c>
      <c r="S741" s="6">
        <v>26</v>
      </c>
      <c r="T741" s="6">
        <v>0</v>
      </c>
      <c r="U741" s="6">
        <v>0</v>
      </c>
      <c r="V741" s="6">
        <f>IF(ISERROR(VLOOKUP($S$741,'TAR FIN'!$A$1:$O$120,15,0)),0,VLOOKUP($S$741,'TAR FIN'!$A$1:$O$120,15,0))</f>
        <v>8.81</v>
      </c>
      <c r="W741" s="6">
        <f>IF(ISERROR(VLOOKUP($T$741,'TAR FIN'!$A$1:$O$120,15,0)),0,VLOOKUP($T$741,'TAR FIN'!$A$1:$O$120,15,0))</f>
        <v>0</v>
      </c>
      <c r="X741" s="6">
        <f>IF(ISERROR(VLOOKUP($U$741,'TAR FIN'!$A$1:$O$120,15,0)),0,VLOOKUP($U$741,'TAR FIN'!$A$1:$O$120,15,0))</f>
        <v>0</v>
      </c>
      <c r="Y741" s="6">
        <f ca="1">('TUSD BE'!$AM$32+'TUSD BF'!$AM$32+'TUSD CVA'!$AM$32)*1</f>
        <v>11.452356648653195</v>
      </c>
      <c r="Z741" s="6"/>
      <c r="AA741" s="6"/>
      <c r="AB741" s="6">
        <f>$K$741*$V$741</f>
        <v>192498.85240000003</v>
      </c>
      <c r="AC741" s="6">
        <f>$M$741*$W$741</f>
        <v>0</v>
      </c>
      <c r="AD741" s="6">
        <f>$O$741*$X$741</f>
        <v>0</v>
      </c>
      <c r="AE741" s="6">
        <f ca="1">$K$741*$Y$741</f>
        <v>250234.45086733828</v>
      </c>
      <c r="AF741" s="6">
        <f>$M$741*$Z$741</f>
        <v>0</v>
      </c>
      <c r="AG741" s="6">
        <f>$O$741*$AA$741</f>
        <v>0</v>
      </c>
    </row>
    <row r="742" spans="1:33" ht="11.25" customHeight="1" x14ac:dyDescent="0.25">
      <c r="A742" s="4" t="s">
        <v>21</v>
      </c>
      <c r="B742" s="4" t="s">
        <v>33</v>
      </c>
      <c r="C742" s="4" t="s">
        <v>34</v>
      </c>
      <c r="D742" s="4" t="s">
        <v>40</v>
      </c>
      <c r="E742" s="4" t="s">
        <v>25</v>
      </c>
      <c r="F742" s="4" t="s">
        <v>63</v>
      </c>
      <c r="G742" s="4" t="s">
        <v>25</v>
      </c>
      <c r="H742" s="4" t="s">
        <v>35</v>
      </c>
      <c r="I742" s="5">
        <v>43739</v>
      </c>
      <c r="J742" s="6">
        <v>0</v>
      </c>
      <c r="K742" s="6">
        <v>0</v>
      </c>
      <c r="L742" s="6">
        <v>1047.0619999999999</v>
      </c>
      <c r="M742" s="6">
        <v>710.75534998225999</v>
      </c>
      <c r="N742" s="6">
        <v>0</v>
      </c>
      <c r="O742" s="6">
        <v>0</v>
      </c>
      <c r="P742" s="6">
        <v>0</v>
      </c>
      <c r="Q742" s="4" t="s">
        <v>60</v>
      </c>
      <c r="R742" s="4">
        <v>0</v>
      </c>
      <c r="S742" s="6">
        <v>0</v>
      </c>
      <c r="T742" s="6">
        <v>27</v>
      </c>
      <c r="U742" s="6">
        <v>0</v>
      </c>
      <c r="V742" s="6">
        <f>IF(ISERROR(VLOOKUP($S$742,'TAR FIN'!$A$1:$O$120,15,0)),0,VLOOKUP($S$742,'TAR FIN'!$A$1:$O$120,15,0))</f>
        <v>0</v>
      </c>
      <c r="W742" s="6">
        <f>IF(ISERROR(VLOOKUP($T$742,'TAR FIN'!$A$1:$O$120,15,0)),0,VLOOKUP($T$742,'TAR FIN'!$A$1:$O$120,15,0))</f>
        <v>641.99</v>
      </c>
      <c r="X742" s="6">
        <f>IF(ISERROR(VLOOKUP($U$742,'TAR FIN'!$A$1:$O$120,15,0)),0,VLOOKUP($U$742,'TAR FIN'!$A$1:$O$120,15,0))</f>
        <v>0</v>
      </c>
      <c r="Y742" s="6"/>
      <c r="Z742" s="6">
        <f ca="1">('TUSD BE'!$AM$33+'TUSD BF'!$AM$33+'TUSD CVA'!$AM$33)*1</f>
        <v>747.73363518028248</v>
      </c>
      <c r="AA742" s="6"/>
      <c r="AB742" s="6">
        <f>$K$742*$V$742</f>
        <v>0</v>
      </c>
      <c r="AC742" s="6">
        <f>$M$742*$W$742</f>
        <v>456297.82713511109</v>
      </c>
      <c r="AD742" s="6">
        <f>$O$742*$X$742</f>
        <v>0</v>
      </c>
      <c r="AE742" s="6">
        <f>$K$742*$Y$742</f>
        <v>0</v>
      </c>
      <c r="AF742" s="6">
        <f ca="1">$M$742*$Z$742</f>
        <v>531455.68156606914</v>
      </c>
      <c r="AG742" s="6">
        <f>$O$742*$AA$742</f>
        <v>0</v>
      </c>
    </row>
    <row r="743" spans="1:33" ht="11.25" customHeight="1" x14ac:dyDescent="0.25">
      <c r="A743" s="4" t="s">
        <v>21</v>
      </c>
      <c r="B743" s="4" t="s">
        <v>33</v>
      </c>
      <c r="C743" s="4" t="s">
        <v>34</v>
      </c>
      <c r="D743" s="4" t="s">
        <v>40</v>
      </c>
      <c r="E743" s="4" t="s">
        <v>25</v>
      </c>
      <c r="F743" s="4" t="s">
        <v>63</v>
      </c>
      <c r="G743" s="4" t="s">
        <v>25</v>
      </c>
      <c r="H743" s="4" t="s">
        <v>35</v>
      </c>
      <c r="I743" s="5">
        <v>43770</v>
      </c>
      <c r="J743" s="6">
        <v>0</v>
      </c>
      <c r="K743" s="6">
        <v>0</v>
      </c>
      <c r="L743" s="6">
        <v>892.98900000000003</v>
      </c>
      <c r="M743" s="6">
        <v>563.05930103369997</v>
      </c>
      <c r="N743" s="6">
        <v>0</v>
      </c>
      <c r="O743" s="6">
        <v>0</v>
      </c>
      <c r="P743" s="6">
        <v>0</v>
      </c>
      <c r="Q743" s="4" t="s">
        <v>60</v>
      </c>
      <c r="R743" s="4">
        <v>0</v>
      </c>
      <c r="S743" s="6">
        <v>0</v>
      </c>
      <c r="T743" s="6">
        <v>27</v>
      </c>
      <c r="U743" s="6">
        <v>0</v>
      </c>
      <c r="V743" s="6">
        <f>IF(ISERROR(VLOOKUP($S$743,'TAR FIN'!$A$1:$O$120,15,0)),0,VLOOKUP($S$743,'TAR FIN'!$A$1:$O$120,15,0))</f>
        <v>0</v>
      </c>
      <c r="W743" s="6">
        <f>IF(ISERROR(VLOOKUP($T$743,'TAR FIN'!$A$1:$O$120,15,0)),0,VLOOKUP($T$743,'TAR FIN'!$A$1:$O$120,15,0))</f>
        <v>641.99</v>
      </c>
      <c r="X743" s="6">
        <f>IF(ISERROR(VLOOKUP($U$743,'TAR FIN'!$A$1:$O$120,15,0)),0,VLOOKUP($U$743,'TAR FIN'!$A$1:$O$120,15,0))</f>
        <v>0</v>
      </c>
      <c r="Y743" s="6"/>
      <c r="Z743" s="6">
        <f ca="1">('TUSD BE'!$AM$33+'TUSD BF'!$AM$33+'TUSD CVA'!$AM$33)*1</f>
        <v>747.73363518028248</v>
      </c>
      <c r="AA743" s="6"/>
      <c r="AB743" s="6">
        <f>$K$743*$V$743</f>
        <v>0</v>
      </c>
      <c r="AC743" s="6">
        <f>$M$743*$W$743</f>
        <v>361478.44067062507</v>
      </c>
      <c r="AD743" s="6">
        <f>$O$743*$X$743</f>
        <v>0</v>
      </c>
      <c r="AE743" s="6">
        <f>$K$743*$Y$743</f>
        <v>0</v>
      </c>
      <c r="AF743" s="6">
        <f ca="1">$M$743*$Z$743</f>
        <v>421018.37798399746</v>
      </c>
      <c r="AG743" s="6">
        <f>$O$743*$AA$743</f>
        <v>0</v>
      </c>
    </row>
    <row r="744" spans="1:33" ht="11.25" customHeight="1" x14ac:dyDescent="0.25">
      <c r="A744" s="4" t="s">
        <v>21</v>
      </c>
      <c r="B744" s="4" t="s">
        <v>33</v>
      </c>
      <c r="C744" s="4" t="s">
        <v>34</v>
      </c>
      <c r="D744" s="4" t="s">
        <v>40</v>
      </c>
      <c r="E744" s="4" t="s">
        <v>25</v>
      </c>
      <c r="F744" s="4" t="s">
        <v>63</v>
      </c>
      <c r="G744" s="4" t="s">
        <v>25</v>
      </c>
      <c r="H744" s="4" t="s">
        <v>35</v>
      </c>
      <c r="I744" s="5">
        <v>43800</v>
      </c>
      <c r="J744" s="6">
        <v>0</v>
      </c>
      <c r="K744" s="6">
        <v>0</v>
      </c>
      <c r="L744" s="6">
        <v>875.40200000000004</v>
      </c>
      <c r="M744" s="6">
        <v>597.85909616554</v>
      </c>
      <c r="N744" s="6">
        <v>0</v>
      </c>
      <c r="O744" s="6">
        <v>0</v>
      </c>
      <c r="P744" s="6">
        <v>0</v>
      </c>
      <c r="Q744" s="4" t="s">
        <v>60</v>
      </c>
      <c r="R744" s="4">
        <v>0</v>
      </c>
      <c r="S744" s="6">
        <v>0</v>
      </c>
      <c r="T744" s="6">
        <v>27</v>
      </c>
      <c r="U744" s="6">
        <v>0</v>
      </c>
      <c r="V744" s="6">
        <f>IF(ISERROR(VLOOKUP($S$744,'TAR FIN'!$A$1:$O$120,15,0)),0,VLOOKUP($S$744,'TAR FIN'!$A$1:$O$120,15,0))</f>
        <v>0</v>
      </c>
      <c r="W744" s="6">
        <f>IF(ISERROR(VLOOKUP($T$744,'TAR FIN'!$A$1:$O$120,15,0)),0,VLOOKUP($T$744,'TAR FIN'!$A$1:$O$120,15,0))</f>
        <v>641.99</v>
      </c>
      <c r="X744" s="6">
        <f>IF(ISERROR(VLOOKUP($U$744,'TAR FIN'!$A$1:$O$120,15,0)),0,VLOOKUP($U$744,'TAR FIN'!$A$1:$O$120,15,0))</f>
        <v>0</v>
      </c>
      <c r="Y744" s="6"/>
      <c r="Z744" s="6">
        <f ca="1">('TUSD BE'!$AM$33+'TUSD BF'!$AM$33+'TUSD CVA'!$AM$33)*1</f>
        <v>747.73363518028248</v>
      </c>
      <c r="AA744" s="6"/>
      <c r="AB744" s="6">
        <f>$K$744*$V$744</f>
        <v>0</v>
      </c>
      <c r="AC744" s="6">
        <f>$M$744*$W$744</f>
        <v>383819.56114731502</v>
      </c>
      <c r="AD744" s="6">
        <f>$O$744*$X$744</f>
        <v>0</v>
      </c>
      <c r="AE744" s="6">
        <f>$K$744*$Y$744</f>
        <v>0</v>
      </c>
      <c r="AF744" s="6">
        <f ca="1">$M$744*$Z$744</f>
        <v>447039.35530145728</v>
      </c>
      <c r="AG744" s="6">
        <f>$O$744*$AA$744</f>
        <v>0</v>
      </c>
    </row>
    <row r="745" spans="1:33" ht="11.25" customHeight="1" x14ac:dyDescent="0.25">
      <c r="A745" s="4" t="s">
        <v>21</v>
      </c>
      <c r="B745" s="4" t="s">
        <v>33</v>
      </c>
      <c r="C745" s="4" t="s">
        <v>34</v>
      </c>
      <c r="D745" s="4" t="s">
        <v>40</v>
      </c>
      <c r="E745" s="4" t="s">
        <v>25</v>
      </c>
      <c r="F745" s="4" t="s">
        <v>63</v>
      </c>
      <c r="G745" s="4" t="s">
        <v>25</v>
      </c>
      <c r="H745" s="4" t="s">
        <v>35</v>
      </c>
      <c r="I745" s="5">
        <v>43831</v>
      </c>
      <c r="J745" s="6">
        <v>0</v>
      </c>
      <c r="K745" s="6">
        <v>0</v>
      </c>
      <c r="L745" s="6">
        <v>979.89599999999996</v>
      </c>
      <c r="M745" s="6">
        <v>674.92929804816004</v>
      </c>
      <c r="N745" s="6">
        <v>0</v>
      </c>
      <c r="O745" s="6">
        <v>0</v>
      </c>
      <c r="P745" s="6">
        <v>0</v>
      </c>
      <c r="Q745" s="4" t="s">
        <v>60</v>
      </c>
      <c r="R745" s="4">
        <v>0</v>
      </c>
      <c r="S745" s="6">
        <v>0</v>
      </c>
      <c r="T745" s="6">
        <v>27</v>
      </c>
      <c r="U745" s="6">
        <v>0</v>
      </c>
      <c r="V745" s="6">
        <f>IF(ISERROR(VLOOKUP($S$745,'TAR FIN'!$A$1:$O$120,15,0)),0,VLOOKUP($S$745,'TAR FIN'!$A$1:$O$120,15,0))</f>
        <v>0</v>
      </c>
      <c r="W745" s="6">
        <f>IF(ISERROR(VLOOKUP($T$745,'TAR FIN'!$A$1:$O$120,15,0)),0,VLOOKUP($T$745,'TAR FIN'!$A$1:$O$120,15,0))</f>
        <v>641.99</v>
      </c>
      <c r="X745" s="6">
        <f>IF(ISERROR(VLOOKUP($U$745,'TAR FIN'!$A$1:$O$120,15,0)),0,VLOOKUP($U$745,'TAR FIN'!$A$1:$O$120,15,0))</f>
        <v>0</v>
      </c>
      <c r="Y745" s="6"/>
      <c r="Z745" s="6">
        <f ca="1">('TUSD BE'!$AM$33+'TUSD BF'!$AM$33+'TUSD CVA'!$AM$33)*1</f>
        <v>747.73363518028248</v>
      </c>
      <c r="AA745" s="6"/>
      <c r="AB745" s="6">
        <f>$K$745*$V$745</f>
        <v>0</v>
      </c>
      <c r="AC745" s="6">
        <f>$M$745*$W$745</f>
        <v>433297.86005393829</v>
      </c>
      <c r="AD745" s="6">
        <f>$O$745*$X$745</f>
        <v>0</v>
      </c>
      <c r="AE745" s="6">
        <f>$K$745*$Y$745</f>
        <v>0</v>
      </c>
      <c r="AF745" s="6">
        <f ca="1">$M$745*$Z$745</f>
        <v>504667.33751922706</v>
      </c>
      <c r="AG745" s="6">
        <f>$O$745*$AA$745</f>
        <v>0</v>
      </c>
    </row>
    <row r="746" spans="1:33" ht="11.25" customHeight="1" x14ac:dyDescent="0.25">
      <c r="A746" s="4" t="s">
        <v>21</v>
      </c>
      <c r="B746" s="4" t="s">
        <v>33</v>
      </c>
      <c r="C746" s="4" t="s">
        <v>34</v>
      </c>
      <c r="D746" s="4" t="s">
        <v>40</v>
      </c>
      <c r="E746" s="4" t="s">
        <v>25</v>
      </c>
      <c r="F746" s="4" t="s">
        <v>63</v>
      </c>
      <c r="G746" s="4" t="s">
        <v>25</v>
      </c>
      <c r="H746" s="4" t="s">
        <v>35</v>
      </c>
      <c r="I746" s="5">
        <v>43862</v>
      </c>
      <c r="J746" s="6">
        <v>0</v>
      </c>
      <c r="K746" s="6">
        <v>0</v>
      </c>
      <c r="L746" s="6">
        <v>874.16800000000001</v>
      </c>
      <c r="M746" s="6">
        <v>599.14239520616002</v>
      </c>
      <c r="N746" s="6">
        <v>0</v>
      </c>
      <c r="O746" s="6">
        <v>0</v>
      </c>
      <c r="P746" s="6">
        <v>0</v>
      </c>
      <c r="Q746" s="4" t="s">
        <v>60</v>
      </c>
      <c r="R746" s="4">
        <v>0</v>
      </c>
      <c r="S746" s="6">
        <v>0</v>
      </c>
      <c r="T746" s="6">
        <v>27</v>
      </c>
      <c r="U746" s="6">
        <v>0</v>
      </c>
      <c r="V746" s="6">
        <f>IF(ISERROR(VLOOKUP($S$746,'TAR FIN'!$A$1:$O$120,15,0)),0,VLOOKUP($S$746,'TAR FIN'!$A$1:$O$120,15,0))</f>
        <v>0</v>
      </c>
      <c r="W746" s="6">
        <f>IF(ISERROR(VLOOKUP($T$746,'TAR FIN'!$A$1:$O$120,15,0)),0,VLOOKUP($T$746,'TAR FIN'!$A$1:$O$120,15,0))</f>
        <v>641.99</v>
      </c>
      <c r="X746" s="6">
        <f>IF(ISERROR(VLOOKUP($U$746,'TAR FIN'!$A$1:$O$120,15,0)),0,VLOOKUP($U$746,'TAR FIN'!$A$1:$O$120,15,0))</f>
        <v>0</v>
      </c>
      <c r="Y746" s="6"/>
      <c r="Z746" s="6">
        <f ca="1">('TUSD BE'!$AM$33+'TUSD BF'!$AM$33+'TUSD CVA'!$AM$33)*1</f>
        <v>747.73363518028248</v>
      </c>
      <c r="AA746" s="6"/>
      <c r="AB746" s="6">
        <f>$K$746*$V$746</f>
        <v>0</v>
      </c>
      <c r="AC746" s="6">
        <f>$M$746*$W$746</f>
        <v>384643.42629840266</v>
      </c>
      <c r="AD746" s="6">
        <f>$O$746*$X$746</f>
        <v>0</v>
      </c>
      <c r="AE746" s="6">
        <f>$K$746*$Y$746</f>
        <v>0</v>
      </c>
      <c r="AF746" s="6">
        <f ca="1">$M$746*$Z$746</f>
        <v>447998.92115812347</v>
      </c>
      <c r="AG746" s="6">
        <f>$O$746*$AA$746</f>
        <v>0</v>
      </c>
    </row>
    <row r="747" spans="1:33" ht="11.25" customHeight="1" x14ac:dyDescent="0.25">
      <c r="A747" s="4" t="s">
        <v>21</v>
      </c>
      <c r="B747" s="4" t="s">
        <v>33</v>
      </c>
      <c r="C747" s="4" t="s">
        <v>34</v>
      </c>
      <c r="D747" s="4" t="s">
        <v>40</v>
      </c>
      <c r="E747" s="4" t="s">
        <v>25</v>
      </c>
      <c r="F747" s="4" t="s">
        <v>63</v>
      </c>
      <c r="G747" s="4" t="s">
        <v>25</v>
      </c>
      <c r="H747" s="4" t="s">
        <v>35</v>
      </c>
      <c r="I747" s="5">
        <v>43891</v>
      </c>
      <c r="J747" s="6">
        <v>0</v>
      </c>
      <c r="K747" s="6">
        <v>0</v>
      </c>
      <c r="L747" s="6">
        <v>941.30399999999997</v>
      </c>
      <c r="M747" s="6">
        <v>673.44196843559996</v>
      </c>
      <c r="N747" s="6">
        <v>0</v>
      </c>
      <c r="O747" s="6">
        <v>0</v>
      </c>
      <c r="P747" s="6">
        <v>0</v>
      </c>
      <c r="Q747" s="4" t="s">
        <v>60</v>
      </c>
      <c r="R747" s="4">
        <v>0</v>
      </c>
      <c r="S747" s="6">
        <v>0</v>
      </c>
      <c r="T747" s="6">
        <v>27</v>
      </c>
      <c r="U747" s="6">
        <v>0</v>
      </c>
      <c r="V747" s="6">
        <f>IF(ISERROR(VLOOKUP($S$747,'TAR FIN'!$A$1:$O$120,15,0)),0,VLOOKUP($S$747,'TAR FIN'!$A$1:$O$120,15,0))</f>
        <v>0</v>
      </c>
      <c r="W747" s="6">
        <f>IF(ISERROR(VLOOKUP($T$747,'TAR FIN'!$A$1:$O$120,15,0)),0,VLOOKUP($T$747,'TAR FIN'!$A$1:$O$120,15,0))</f>
        <v>641.99</v>
      </c>
      <c r="X747" s="6">
        <f>IF(ISERROR(VLOOKUP($U$747,'TAR FIN'!$A$1:$O$120,15,0)),0,VLOOKUP($U$747,'TAR FIN'!$A$1:$O$120,15,0))</f>
        <v>0</v>
      </c>
      <c r="Y747" s="6"/>
      <c r="Z747" s="6">
        <f ca="1">('TUSD BE'!$AM$33+'TUSD BF'!$AM$33+'TUSD CVA'!$AM$33)*1</f>
        <v>747.73363518028248</v>
      </c>
      <c r="AA747" s="6"/>
      <c r="AB747" s="6">
        <f>$K$747*$V$747</f>
        <v>0</v>
      </c>
      <c r="AC747" s="6">
        <f>$M$747*$W$747</f>
        <v>432343.00931597082</v>
      </c>
      <c r="AD747" s="6">
        <f>$O$747*$X$747</f>
        <v>0</v>
      </c>
      <c r="AE747" s="6">
        <f>$K$747*$Y$747</f>
        <v>0</v>
      </c>
      <c r="AF747" s="6">
        <f ca="1">$M$747*$Z$747</f>
        <v>503555.21114131622</v>
      </c>
      <c r="AG747" s="6">
        <f>$O$747*$AA$747</f>
        <v>0</v>
      </c>
    </row>
    <row r="748" spans="1:33" ht="11.25" customHeight="1" x14ac:dyDescent="0.25">
      <c r="A748" s="4" t="s">
        <v>21</v>
      </c>
      <c r="B748" s="4" t="s">
        <v>33</v>
      </c>
      <c r="C748" s="4" t="s">
        <v>34</v>
      </c>
      <c r="D748" s="4" t="s">
        <v>40</v>
      </c>
      <c r="E748" s="4" t="s">
        <v>25</v>
      </c>
      <c r="F748" s="4" t="s">
        <v>63</v>
      </c>
      <c r="G748" s="4" t="s">
        <v>25</v>
      </c>
      <c r="H748" s="4" t="s">
        <v>35</v>
      </c>
      <c r="I748" s="5">
        <v>43922</v>
      </c>
      <c r="J748" s="6">
        <v>0</v>
      </c>
      <c r="K748" s="6">
        <v>0</v>
      </c>
      <c r="L748" s="6">
        <v>748.73599999999999</v>
      </c>
      <c r="M748" s="6">
        <v>534.27896175616002</v>
      </c>
      <c r="N748" s="6">
        <v>0</v>
      </c>
      <c r="O748" s="6">
        <v>0</v>
      </c>
      <c r="P748" s="6">
        <v>0</v>
      </c>
      <c r="Q748" s="4" t="s">
        <v>60</v>
      </c>
      <c r="R748" s="4">
        <v>0</v>
      </c>
      <c r="S748" s="6">
        <v>0</v>
      </c>
      <c r="T748" s="6">
        <v>27</v>
      </c>
      <c r="U748" s="6">
        <v>0</v>
      </c>
      <c r="V748" s="6">
        <f>IF(ISERROR(VLOOKUP($S$748,'TAR FIN'!$A$1:$O$120,15,0)),0,VLOOKUP($S$748,'TAR FIN'!$A$1:$O$120,15,0))</f>
        <v>0</v>
      </c>
      <c r="W748" s="6">
        <f>IF(ISERROR(VLOOKUP($T$748,'TAR FIN'!$A$1:$O$120,15,0)),0,VLOOKUP($T$748,'TAR FIN'!$A$1:$O$120,15,0))</f>
        <v>641.99</v>
      </c>
      <c r="X748" s="6">
        <f>IF(ISERROR(VLOOKUP($U$748,'TAR FIN'!$A$1:$O$120,15,0)),0,VLOOKUP($U$748,'TAR FIN'!$A$1:$O$120,15,0))</f>
        <v>0</v>
      </c>
      <c r="Y748" s="6"/>
      <c r="Z748" s="6">
        <f ca="1">('TUSD BE'!$AM$33+'TUSD BF'!$AM$33+'TUSD CVA'!$AM$33)*1</f>
        <v>747.73363518028248</v>
      </c>
      <c r="AA748" s="6"/>
      <c r="AB748" s="6">
        <f>$K$748*$V$748</f>
        <v>0</v>
      </c>
      <c r="AC748" s="6">
        <f>$M$748*$W$748</f>
        <v>343001.7506578372</v>
      </c>
      <c r="AD748" s="6">
        <f>$O$748*$X$748</f>
        <v>0</v>
      </c>
      <c r="AE748" s="6">
        <f>$K$748*$Y$748</f>
        <v>0</v>
      </c>
      <c r="AF748" s="6">
        <f ca="1">$M$748*$Z$748</f>
        <v>399498.35027428064</v>
      </c>
      <c r="AG748" s="6">
        <f>$O$748*$AA$748</f>
        <v>0</v>
      </c>
    </row>
    <row r="749" spans="1:33" ht="11.25" customHeight="1" x14ac:dyDescent="0.25">
      <c r="A749" s="4" t="s">
        <v>21</v>
      </c>
      <c r="B749" s="4" t="s">
        <v>33</v>
      </c>
      <c r="C749" s="4" t="s">
        <v>34</v>
      </c>
      <c r="D749" s="4" t="s">
        <v>40</v>
      </c>
      <c r="E749" s="4" t="s">
        <v>25</v>
      </c>
      <c r="F749" s="4" t="s">
        <v>63</v>
      </c>
      <c r="G749" s="4" t="s">
        <v>25</v>
      </c>
      <c r="H749" s="4" t="s">
        <v>35</v>
      </c>
      <c r="I749" s="5">
        <v>43952</v>
      </c>
      <c r="J749" s="6">
        <v>0</v>
      </c>
      <c r="K749" s="6">
        <v>0</v>
      </c>
      <c r="L749" s="6">
        <v>759.61300000000006</v>
      </c>
      <c r="M749" s="6">
        <v>549.16568978141004</v>
      </c>
      <c r="N749" s="6">
        <v>0</v>
      </c>
      <c r="O749" s="6">
        <v>0</v>
      </c>
      <c r="P749" s="6">
        <v>0</v>
      </c>
      <c r="Q749" s="4" t="s">
        <v>60</v>
      </c>
      <c r="R749" s="4">
        <v>0</v>
      </c>
      <c r="S749" s="6">
        <v>0</v>
      </c>
      <c r="T749" s="6">
        <v>27</v>
      </c>
      <c r="U749" s="6">
        <v>0</v>
      </c>
      <c r="V749" s="6">
        <f>IF(ISERROR(VLOOKUP($S$749,'TAR FIN'!$A$1:$O$120,15,0)),0,VLOOKUP($S$749,'TAR FIN'!$A$1:$O$120,15,0))</f>
        <v>0</v>
      </c>
      <c r="W749" s="6">
        <f>IF(ISERROR(VLOOKUP($T$749,'TAR FIN'!$A$1:$O$120,15,0)),0,VLOOKUP($T$749,'TAR FIN'!$A$1:$O$120,15,0))</f>
        <v>641.99</v>
      </c>
      <c r="X749" s="6">
        <f>IF(ISERROR(VLOOKUP($U$749,'TAR FIN'!$A$1:$O$120,15,0)),0,VLOOKUP($U$749,'TAR FIN'!$A$1:$O$120,15,0))</f>
        <v>0</v>
      </c>
      <c r="Y749" s="6"/>
      <c r="Z749" s="6">
        <f ca="1">('TUSD BE'!$AM$33+'TUSD BF'!$AM$33+'TUSD CVA'!$AM$33)*1</f>
        <v>747.73363518028248</v>
      </c>
      <c r="AA749" s="6"/>
      <c r="AB749" s="6">
        <f>$K$749*$V$749</f>
        <v>0</v>
      </c>
      <c r="AC749" s="6">
        <f>$M$749*$W$749</f>
        <v>352558.88118276745</v>
      </c>
      <c r="AD749" s="6">
        <f>$O$749*$X$749</f>
        <v>0</v>
      </c>
      <c r="AE749" s="6">
        <f>$K$749*$Y$749</f>
        <v>0</v>
      </c>
      <c r="AF749" s="6">
        <f ca="1">$M$749*$Z$749</f>
        <v>410629.65753654105</v>
      </c>
      <c r="AG749" s="6">
        <f>$O$749*$AA$749</f>
        <v>0</v>
      </c>
    </row>
    <row r="750" spans="1:33" ht="11.25" customHeight="1" x14ac:dyDescent="0.25">
      <c r="A750" s="4" t="s">
        <v>21</v>
      </c>
      <c r="B750" s="4" t="s">
        <v>33</v>
      </c>
      <c r="C750" s="4" t="s">
        <v>34</v>
      </c>
      <c r="D750" s="4" t="s">
        <v>40</v>
      </c>
      <c r="E750" s="4" t="s">
        <v>25</v>
      </c>
      <c r="F750" s="4" t="s">
        <v>63</v>
      </c>
      <c r="G750" s="4" t="s">
        <v>25</v>
      </c>
      <c r="H750" s="4" t="s">
        <v>35</v>
      </c>
      <c r="I750" s="5">
        <v>43983</v>
      </c>
      <c r="J750" s="6">
        <v>0</v>
      </c>
      <c r="K750" s="6">
        <v>0</v>
      </c>
      <c r="L750" s="6">
        <v>759.61300000000006</v>
      </c>
      <c r="M750" s="6">
        <v>543.50967215244998</v>
      </c>
      <c r="N750" s="6">
        <v>0</v>
      </c>
      <c r="O750" s="6">
        <v>0</v>
      </c>
      <c r="P750" s="6">
        <v>0</v>
      </c>
      <c r="Q750" s="4" t="s">
        <v>60</v>
      </c>
      <c r="R750" s="4">
        <v>0</v>
      </c>
      <c r="S750" s="6">
        <v>0</v>
      </c>
      <c r="T750" s="6">
        <v>27</v>
      </c>
      <c r="U750" s="6">
        <v>0</v>
      </c>
      <c r="V750" s="6">
        <f>IF(ISERROR(VLOOKUP($S$750,'TAR FIN'!$A$1:$O$120,15,0)),0,VLOOKUP($S$750,'TAR FIN'!$A$1:$O$120,15,0))</f>
        <v>0</v>
      </c>
      <c r="W750" s="6">
        <f>IF(ISERROR(VLOOKUP($T$750,'TAR FIN'!$A$1:$O$120,15,0)),0,VLOOKUP($T$750,'TAR FIN'!$A$1:$O$120,15,0))</f>
        <v>641.99</v>
      </c>
      <c r="X750" s="6">
        <f>IF(ISERROR(VLOOKUP($U$750,'TAR FIN'!$A$1:$O$120,15,0)),0,VLOOKUP($U$750,'TAR FIN'!$A$1:$O$120,15,0))</f>
        <v>0</v>
      </c>
      <c r="Y750" s="6"/>
      <c r="Z750" s="6">
        <f ca="1">('TUSD BE'!$AM$33+'TUSD BF'!$AM$33+'TUSD CVA'!$AM$33)*1</f>
        <v>747.73363518028248</v>
      </c>
      <c r="AA750" s="6"/>
      <c r="AB750" s="6">
        <f>$K$750*$V$750</f>
        <v>0</v>
      </c>
      <c r="AC750" s="6">
        <f>$M$750*$W$750</f>
        <v>348927.77442515135</v>
      </c>
      <c r="AD750" s="6">
        <f>$O$750*$X$750</f>
        <v>0</v>
      </c>
      <c r="AE750" s="6">
        <f>$K$750*$Y$750</f>
        <v>0</v>
      </c>
      <c r="AF750" s="6">
        <f ca="1">$M$750*$Z$750</f>
        <v>406400.46291419497</v>
      </c>
      <c r="AG750" s="6">
        <f>$O$750*$AA$750</f>
        <v>0</v>
      </c>
    </row>
    <row r="751" spans="1:33" ht="11.25" customHeight="1" x14ac:dyDescent="0.25">
      <c r="A751" s="4" t="s">
        <v>21</v>
      </c>
      <c r="B751" s="4" t="s">
        <v>33</v>
      </c>
      <c r="C751" s="4" t="s">
        <v>34</v>
      </c>
      <c r="D751" s="4" t="s">
        <v>40</v>
      </c>
      <c r="E751" s="4" t="s">
        <v>25</v>
      </c>
      <c r="F751" s="4" t="s">
        <v>63</v>
      </c>
      <c r="G751" s="4" t="s">
        <v>25</v>
      </c>
      <c r="H751" s="4" t="s">
        <v>35</v>
      </c>
      <c r="I751" s="5">
        <v>44013</v>
      </c>
      <c r="J751" s="6">
        <v>0</v>
      </c>
      <c r="K751" s="6">
        <v>0</v>
      </c>
      <c r="L751" s="6">
        <v>782.59400000000005</v>
      </c>
      <c r="M751" s="6">
        <v>562.38294210848005</v>
      </c>
      <c r="N751" s="6">
        <v>0</v>
      </c>
      <c r="O751" s="6">
        <v>0</v>
      </c>
      <c r="P751" s="6">
        <v>0</v>
      </c>
      <c r="Q751" s="4" t="s">
        <v>60</v>
      </c>
      <c r="R751" s="4">
        <v>0</v>
      </c>
      <c r="S751" s="6">
        <v>0</v>
      </c>
      <c r="T751" s="6">
        <v>27</v>
      </c>
      <c r="U751" s="6">
        <v>0</v>
      </c>
      <c r="V751" s="6">
        <f>IF(ISERROR(VLOOKUP($S$751,'TAR FIN'!$A$1:$O$120,15,0)),0,VLOOKUP($S$751,'TAR FIN'!$A$1:$O$120,15,0))</f>
        <v>0</v>
      </c>
      <c r="W751" s="6">
        <f>IF(ISERROR(VLOOKUP($T$751,'TAR FIN'!$A$1:$O$120,15,0)),0,VLOOKUP($T$751,'TAR FIN'!$A$1:$O$120,15,0))</f>
        <v>641.99</v>
      </c>
      <c r="X751" s="6">
        <f>IF(ISERROR(VLOOKUP($U$751,'TAR FIN'!$A$1:$O$120,15,0)),0,VLOOKUP($U$751,'TAR FIN'!$A$1:$O$120,15,0))</f>
        <v>0</v>
      </c>
      <c r="Y751" s="6"/>
      <c r="Z751" s="6">
        <f ca="1">('TUSD BE'!$AM$33+'TUSD BF'!$AM$33+'TUSD CVA'!$AM$33)*1</f>
        <v>747.73363518028248</v>
      </c>
      <c r="AA751" s="6"/>
      <c r="AB751" s="6">
        <f>$K$751*$V$751</f>
        <v>0</v>
      </c>
      <c r="AC751" s="6">
        <f>$M$751*$W$751</f>
        <v>361044.22500422312</v>
      </c>
      <c r="AD751" s="6">
        <f>$O$751*$X$751</f>
        <v>0</v>
      </c>
      <c r="AE751" s="6">
        <f>$K$751*$Y$751</f>
        <v>0</v>
      </c>
      <c r="AF751" s="6">
        <f ca="1">$M$751*$Z$751</f>
        <v>420512.64166615612</v>
      </c>
      <c r="AG751" s="6">
        <f>$O$751*$AA$751</f>
        <v>0</v>
      </c>
    </row>
    <row r="752" spans="1:33" ht="11.25" customHeight="1" x14ac:dyDescent="0.25">
      <c r="A752" s="4" t="s">
        <v>21</v>
      </c>
      <c r="B752" s="4" t="s">
        <v>33</v>
      </c>
      <c r="C752" s="4" t="s">
        <v>34</v>
      </c>
      <c r="D752" s="4" t="s">
        <v>40</v>
      </c>
      <c r="E752" s="4" t="s">
        <v>25</v>
      </c>
      <c r="F752" s="4" t="s">
        <v>63</v>
      </c>
      <c r="G752" s="4" t="s">
        <v>25</v>
      </c>
      <c r="H752" s="4" t="s">
        <v>35</v>
      </c>
      <c r="I752" s="5">
        <v>44044</v>
      </c>
      <c r="J752" s="6">
        <v>0</v>
      </c>
      <c r="K752" s="6">
        <v>0</v>
      </c>
      <c r="L752" s="6">
        <v>815.26900000000001</v>
      </c>
      <c r="M752" s="6">
        <v>586.99368000000004</v>
      </c>
      <c r="N752" s="6">
        <v>0</v>
      </c>
      <c r="O752" s="6">
        <v>0</v>
      </c>
      <c r="P752" s="6">
        <v>0</v>
      </c>
      <c r="Q752" s="4" t="s">
        <v>60</v>
      </c>
      <c r="R752" s="4">
        <v>0</v>
      </c>
      <c r="S752" s="6">
        <v>0</v>
      </c>
      <c r="T752" s="6">
        <v>27</v>
      </c>
      <c r="U752" s="6">
        <v>0</v>
      </c>
      <c r="V752" s="6">
        <f>IF(ISERROR(VLOOKUP($S$752,'TAR FIN'!$A$1:$O$120,15,0)),0,VLOOKUP($S$752,'TAR FIN'!$A$1:$O$120,15,0))</f>
        <v>0</v>
      </c>
      <c r="W752" s="6">
        <f>IF(ISERROR(VLOOKUP($T$752,'TAR FIN'!$A$1:$O$120,15,0)),0,VLOOKUP($T$752,'TAR FIN'!$A$1:$O$120,15,0))</f>
        <v>641.99</v>
      </c>
      <c r="X752" s="6">
        <f>IF(ISERROR(VLOOKUP($U$752,'TAR FIN'!$A$1:$O$120,15,0)),0,VLOOKUP($U$752,'TAR FIN'!$A$1:$O$120,15,0))</f>
        <v>0</v>
      </c>
      <c r="Y752" s="6"/>
      <c r="Z752" s="6">
        <f ca="1">('TUSD BE'!$AM$33+'TUSD BF'!$AM$33+'TUSD CVA'!$AM$33)*1</f>
        <v>747.73363518028248</v>
      </c>
      <c r="AA752" s="6"/>
      <c r="AB752" s="6">
        <f>$K$752*$V$752</f>
        <v>0</v>
      </c>
      <c r="AC752" s="6">
        <f>$M$752*$W$752</f>
        <v>376844.07262320002</v>
      </c>
      <c r="AD752" s="6">
        <f>$O$752*$X$752</f>
        <v>0</v>
      </c>
      <c r="AE752" s="6">
        <f>$K$752*$Y$752</f>
        <v>0</v>
      </c>
      <c r="AF752" s="6">
        <f ca="1">$M$752*$Z$752</f>
        <v>438914.91817425151</v>
      </c>
      <c r="AG752" s="6">
        <f>$O$752*$AA$752</f>
        <v>0</v>
      </c>
    </row>
    <row r="753" spans="1:33" ht="11.25" customHeight="1" x14ac:dyDescent="0.25">
      <c r="A753" s="4" t="s">
        <v>59</v>
      </c>
      <c r="B753" s="4" t="s">
        <v>33</v>
      </c>
      <c r="C753" s="4" t="s">
        <v>34</v>
      </c>
      <c r="D753" s="4" t="s">
        <v>40</v>
      </c>
      <c r="E753" s="4" t="s">
        <v>25</v>
      </c>
      <c r="F753" s="4" t="s">
        <v>63</v>
      </c>
      <c r="G753" s="4" t="s">
        <v>25</v>
      </c>
      <c r="H753" s="4" t="s">
        <v>35</v>
      </c>
      <c r="I753" s="5">
        <v>44075</v>
      </c>
      <c r="J753" s="6">
        <v>0</v>
      </c>
      <c r="K753" s="6">
        <v>0</v>
      </c>
      <c r="L753" s="6">
        <v>815.26900000000001</v>
      </c>
      <c r="M753" s="6">
        <v>586.99368000000004</v>
      </c>
      <c r="N753" s="6">
        <v>0</v>
      </c>
      <c r="O753" s="6">
        <v>0</v>
      </c>
      <c r="P753" s="6">
        <v>0</v>
      </c>
      <c r="Q753" s="4" t="s">
        <v>60</v>
      </c>
      <c r="R753" s="4">
        <v>0</v>
      </c>
      <c r="S753" s="6">
        <v>0</v>
      </c>
      <c r="T753" s="6">
        <v>27</v>
      </c>
      <c r="U753" s="6">
        <v>0</v>
      </c>
      <c r="V753" s="6">
        <f>IF(ISERROR(VLOOKUP($S$753,'TAR FIN'!$A$1:$O$120,15,0)),0,VLOOKUP($S$753,'TAR FIN'!$A$1:$O$120,15,0))</f>
        <v>0</v>
      </c>
      <c r="W753" s="6">
        <f>IF(ISERROR(VLOOKUP($T$753,'TAR FIN'!$A$1:$O$120,15,0)),0,VLOOKUP($T$753,'TAR FIN'!$A$1:$O$120,15,0))</f>
        <v>641.99</v>
      </c>
      <c r="X753" s="6">
        <f>IF(ISERROR(VLOOKUP($U$753,'TAR FIN'!$A$1:$O$120,15,0)),0,VLOOKUP($U$753,'TAR FIN'!$A$1:$O$120,15,0))</f>
        <v>0</v>
      </c>
      <c r="Y753" s="6"/>
      <c r="Z753" s="6">
        <f ca="1">('TUSD BE'!$AM$33+'TUSD BF'!$AM$33+'TUSD CVA'!$AM$33)*1</f>
        <v>747.73363518028248</v>
      </c>
      <c r="AA753" s="6"/>
      <c r="AB753" s="6">
        <f>$K$753*$V$753</f>
        <v>0</v>
      </c>
      <c r="AC753" s="6">
        <f>$M$753*$W$753</f>
        <v>376844.07262320002</v>
      </c>
      <c r="AD753" s="6">
        <f>$O$753*$X$753</f>
        <v>0</v>
      </c>
      <c r="AE753" s="6">
        <f>$K$753*$Y$753</f>
        <v>0</v>
      </c>
      <c r="AF753" s="6">
        <f ca="1">$M$753*$Z$753</f>
        <v>438914.91817425151</v>
      </c>
      <c r="AG753" s="6">
        <f>$O$753*$AA$753</f>
        <v>0</v>
      </c>
    </row>
    <row r="754" spans="1:33" ht="11.25" customHeight="1" x14ac:dyDescent="0.25">
      <c r="A754" s="4" t="s">
        <v>21</v>
      </c>
      <c r="B754" s="4" t="s">
        <v>33</v>
      </c>
      <c r="C754" s="4" t="s">
        <v>34</v>
      </c>
      <c r="D754" s="4" t="s">
        <v>40</v>
      </c>
      <c r="E754" s="4" t="s">
        <v>25</v>
      </c>
      <c r="F754" s="4" t="s">
        <v>25</v>
      </c>
      <c r="G754" s="4" t="s">
        <v>25</v>
      </c>
      <c r="H754" s="4" t="s">
        <v>36</v>
      </c>
      <c r="I754" s="5">
        <v>43739</v>
      </c>
      <c r="J754" s="6">
        <v>0</v>
      </c>
      <c r="K754" s="6">
        <v>0</v>
      </c>
      <c r="L754" s="6">
        <v>2945.4160000000002</v>
      </c>
      <c r="M754" s="6">
        <v>2945.4160000000002</v>
      </c>
      <c r="N754" s="6">
        <v>2945.4160000000002</v>
      </c>
      <c r="O754" s="6">
        <v>2945.4160000000002</v>
      </c>
      <c r="P754" s="6">
        <v>0</v>
      </c>
      <c r="Q754" s="4" t="s">
        <v>26</v>
      </c>
      <c r="R754" s="4">
        <v>0</v>
      </c>
      <c r="S754" s="6">
        <v>0</v>
      </c>
      <c r="T754" s="6">
        <v>28</v>
      </c>
      <c r="U754" s="6">
        <v>82</v>
      </c>
      <c r="V754" s="6">
        <f>IF(ISERROR(VLOOKUP($S$754,'TAR FIN'!$A$1:$O$120,15,0)),0,VLOOKUP($S$754,'TAR FIN'!$A$1:$O$120,15,0))</f>
        <v>0</v>
      </c>
      <c r="W754" s="6">
        <f>IF(ISERROR(VLOOKUP($T$754,'TAR FIN'!$A$1:$O$120,15,0)),0,VLOOKUP($T$754,'TAR FIN'!$A$1:$O$120,15,0))</f>
        <v>84.45</v>
      </c>
      <c r="X754" s="6">
        <f>IF(ISERROR(VLOOKUP($U$754,'TAR FIN'!$A$1:$O$120,15,0)),0,VLOOKUP($U$754,'TAR FIN'!$A$1:$O$120,15,0))</f>
        <v>256.38</v>
      </c>
      <c r="Y754" s="6"/>
      <c r="Z754" s="6">
        <f ca="1">('TUSD BE'!$AM$34+'TUSD BF'!$AM$34+'TUSD CVA'!$AM$34)*1</f>
        <v>87.519361965254689</v>
      </c>
      <c r="AA754" s="6">
        <f>('TE BE'!$AA$11+'TE BF'!$AA$11+'TE CVA'!$AA$11)*1</f>
        <v>230.83420940933817</v>
      </c>
      <c r="AB754" s="6">
        <f>$K$754*$V$754</f>
        <v>0</v>
      </c>
      <c r="AC754" s="6">
        <f>$M$754*$W$754</f>
        <v>248740.38120000003</v>
      </c>
      <c r="AD754" s="6">
        <f>$O$754*$X$754</f>
        <v>755145.75407999998</v>
      </c>
      <c r="AE754" s="6">
        <f>$K$754*$Y$754</f>
        <v>0</v>
      </c>
      <c r="AF754" s="6">
        <f ca="1">$M$754*$Z$754</f>
        <v>257780.92904225262</v>
      </c>
      <c r="AG754" s="6">
        <f>$O$754*$AA$754</f>
        <v>679902.77374161524</v>
      </c>
    </row>
    <row r="755" spans="1:33" ht="11.25" customHeight="1" x14ac:dyDescent="0.25">
      <c r="A755" s="4" t="s">
        <v>27</v>
      </c>
      <c r="B755" s="4" t="s">
        <v>33</v>
      </c>
      <c r="C755" s="4" t="s">
        <v>34</v>
      </c>
      <c r="D755" s="4" t="s">
        <v>40</v>
      </c>
      <c r="E755" s="4" t="s">
        <v>25</v>
      </c>
      <c r="F755" s="4" t="s">
        <v>25</v>
      </c>
      <c r="G755" s="4" t="s">
        <v>25</v>
      </c>
      <c r="H755" s="4" t="s">
        <v>36</v>
      </c>
      <c r="I755" s="5">
        <v>43739</v>
      </c>
      <c r="J755" s="6">
        <v>0</v>
      </c>
      <c r="K755" s="6">
        <v>0</v>
      </c>
      <c r="L755" s="6">
        <v>3.665</v>
      </c>
      <c r="M755" s="6">
        <v>3.665</v>
      </c>
      <c r="N755" s="6">
        <v>3.665</v>
      </c>
      <c r="O755" s="6">
        <v>3.665</v>
      </c>
      <c r="P755" s="6">
        <v>0</v>
      </c>
      <c r="Q755" s="4" t="s">
        <v>26</v>
      </c>
      <c r="R755" s="4">
        <v>0</v>
      </c>
      <c r="S755" s="6">
        <v>0</v>
      </c>
      <c r="T755" s="6">
        <v>28</v>
      </c>
      <c r="U755" s="6">
        <v>82</v>
      </c>
      <c r="V755" s="6">
        <f>IF(ISERROR(VLOOKUP($S$755,'TAR FIN'!$A$1:$O$120,15,0)),0,VLOOKUP($S$755,'TAR FIN'!$A$1:$O$120,15,0))</f>
        <v>0</v>
      </c>
      <c r="W755" s="6">
        <f>IF(ISERROR(VLOOKUP($T$755,'TAR FIN'!$A$1:$O$120,15,0)),0,VLOOKUP($T$755,'TAR FIN'!$A$1:$O$120,15,0))</f>
        <v>84.45</v>
      </c>
      <c r="X755" s="6">
        <f>IF(ISERROR(VLOOKUP($U$755,'TAR FIN'!$A$1:$O$120,15,0)),0,VLOOKUP($U$755,'TAR FIN'!$A$1:$O$120,15,0))</f>
        <v>256.38</v>
      </c>
      <c r="Y755" s="6"/>
      <c r="Z755" s="6">
        <f ca="1">('TUSD BE'!$AM$34+'TUSD BF'!$AM$34+'TUSD CVA'!$AM$34)*1</f>
        <v>87.519361965254689</v>
      </c>
      <c r="AA755" s="6">
        <f>('TE BE'!$AA$11+'TE BF'!$AA$11+'TE CVA'!$AA$11)*1</f>
        <v>230.83420940933817</v>
      </c>
      <c r="AB755" s="6">
        <f>$K$755*$V$755</f>
        <v>0</v>
      </c>
      <c r="AC755" s="6">
        <f>$M$755*$W$755</f>
        <v>309.50925000000001</v>
      </c>
      <c r="AD755" s="6">
        <f>$O$755*$X$755</f>
        <v>939.6327</v>
      </c>
      <c r="AE755" s="6">
        <f>$K$755*$Y$755</f>
        <v>0</v>
      </c>
      <c r="AF755" s="6">
        <f ca="1">$M$755*$Z$755</f>
        <v>320.75846160265843</v>
      </c>
      <c r="AG755" s="6">
        <f>$O$755*$AA$755</f>
        <v>846.00737748522442</v>
      </c>
    </row>
    <row r="756" spans="1:33" ht="11.25" customHeight="1" x14ac:dyDescent="0.25">
      <c r="A756" s="4" t="s">
        <v>28</v>
      </c>
      <c r="B756" s="4" t="s">
        <v>33</v>
      </c>
      <c r="C756" s="4" t="s">
        <v>34</v>
      </c>
      <c r="D756" s="4" t="s">
        <v>40</v>
      </c>
      <c r="E756" s="4" t="s">
        <v>25</v>
      </c>
      <c r="F756" s="4" t="s">
        <v>25</v>
      </c>
      <c r="G756" s="4" t="s">
        <v>25</v>
      </c>
      <c r="H756" s="4" t="s">
        <v>36</v>
      </c>
      <c r="I756" s="5">
        <v>43739</v>
      </c>
      <c r="J756" s="6">
        <v>0</v>
      </c>
      <c r="K756" s="6">
        <v>0</v>
      </c>
      <c r="L756" s="6">
        <v>10.709</v>
      </c>
      <c r="M756" s="6">
        <v>10.709</v>
      </c>
      <c r="N756" s="6">
        <v>10.709</v>
      </c>
      <c r="O756" s="6">
        <v>10.709</v>
      </c>
      <c r="P756" s="6">
        <v>0</v>
      </c>
      <c r="Q756" s="4" t="s">
        <v>26</v>
      </c>
      <c r="R756" s="4">
        <v>0</v>
      </c>
      <c r="S756" s="6">
        <v>0</v>
      </c>
      <c r="T756" s="6">
        <v>28</v>
      </c>
      <c r="U756" s="6">
        <v>82</v>
      </c>
      <c r="V756" s="6">
        <f>IF(ISERROR(VLOOKUP($S$756,'TAR FIN'!$A$1:$O$120,15,0)),0,VLOOKUP($S$756,'TAR FIN'!$A$1:$O$120,15,0))</f>
        <v>0</v>
      </c>
      <c r="W756" s="6">
        <f>IF(ISERROR(VLOOKUP($T$756,'TAR FIN'!$A$1:$O$120,15,0)),0,VLOOKUP($T$756,'TAR FIN'!$A$1:$O$120,15,0))</f>
        <v>84.45</v>
      </c>
      <c r="X756" s="6">
        <f>IF(ISERROR(VLOOKUP($U$756,'TAR FIN'!$A$1:$O$120,15,0)),0,VLOOKUP($U$756,'TAR FIN'!$A$1:$O$120,15,0))</f>
        <v>256.38</v>
      </c>
      <c r="Y756" s="6"/>
      <c r="Z756" s="6">
        <f ca="1">('TUSD BE'!$AM$34+'TUSD BF'!$AM$34+'TUSD CVA'!$AM$34)*1</f>
        <v>87.519361965254689</v>
      </c>
      <c r="AA756" s="6">
        <f>('TE BE'!$AA$11+'TE BF'!$AA$11+'TE CVA'!$AA$11)*1</f>
        <v>230.83420940933817</v>
      </c>
      <c r="AB756" s="6">
        <f>$K$756*$V$756</f>
        <v>0</v>
      </c>
      <c r="AC756" s="6">
        <f>$M$756*$W$756</f>
        <v>904.37504999999999</v>
      </c>
      <c r="AD756" s="6">
        <f>$O$756*$X$756</f>
        <v>2745.5734199999997</v>
      </c>
      <c r="AE756" s="6">
        <f>$K$756*$Y$756</f>
        <v>0</v>
      </c>
      <c r="AF756" s="6">
        <f ca="1">$M$756*$Z$756</f>
        <v>937.24484728591244</v>
      </c>
      <c r="AG756" s="6">
        <f>$O$756*$AA$756</f>
        <v>2472.0035485646022</v>
      </c>
    </row>
    <row r="757" spans="1:33" ht="11.25" customHeight="1" x14ac:dyDescent="0.25">
      <c r="A757" s="4" t="s">
        <v>21</v>
      </c>
      <c r="B757" s="4" t="s">
        <v>33</v>
      </c>
      <c r="C757" s="4" t="s">
        <v>34</v>
      </c>
      <c r="D757" s="4" t="s">
        <v>40</v>
      </c>
      <c r="E757" s="4" t="s">
        <v>25</v>
      </c>
      <c r="F757" s="4" t="s">
        <v>25</v>
      </c>
      <c r="G757" s="4" t="s">
        <v>25</v>
      </c>
      <c r="H757" s="4" t="s">
        <v>36</v>
      </c>
      <c r="I757" s="5">
        <v>43770</v>
      </c>
      <c r="J757" s="6">
        <v>0</v>
      </c>
      <c r="K757" s="6">
        <v>0</v>
      </c>
      <c r="L757" s="6">
        <v>2797.2350000000001</v>
      </c>
      <c r="M757" s="6">
        <v>2797.2350000000001</v>
      </c>
      <c r="N757" s="6">
        <v>2797.2350000000001</v>
      </c>
      <c r="O757" s="6">
        <v>2797.2350000000001</v>
      </c>
      <c r="P757" s="6">
        <v>0</v>
      </c>
      <c r="Q757" s="4" t="s">
        <v>26</v>
      </c>
      <c r="R757" s="4">
        <v>0</v>
      </c>
      <c r="S757" s="6">
        <v>0</v>
      </c>
      <c r="T757" s="6">
        <v>28</v>
      </c>
      <c r="U757" s="6">
        <v>82</v>
      </c>
      <c r="V757" s="6">
        <f>IF(ISERROR(VLOOKUP($S$757,'TAR FIN'!$A$1:$O$120,15,0)),0,VLOOKUP($S$757,'TAR FIN'!$A$1:$O$120,15,0))</f>
        <v>0</v>
      </c>
      <c r="W757" s="6">
        <f>IF(ISERROR(VLOOKUP($T$757,'TAR FIN'!$A$1:$O$120,15,0)),0,VLOOKUP($T$757,'TAR FIN'!$A$1:$O$120,15,0))</f>
        <v>84.45</v>
      </c>
      <c r="X757" s="6">
        <f>IF(ISERROR(VLOOKUP($U$757,'TAR FIN'!$A$1:$O$120,15,0)),0,VLOOKUP($U$757,'TAR FIN'!$A$1:$O$120,15,0))</f>
        <v>256.38</v>
      </c>
      <c r="Y757" s="6"/>
      <c r="Z757" s="6">
        <f ca="1">('TUSD BE'!$AM$34+'TUSD BF'!$AM$34+'TUSD CVA'!$AM$34)*1</f>
        <v>87.519361965254689</v>
      </c>
      <c r="AA757" s="6">
        <f>('TE BE'!$AA$11+'TE BF'!$AA$11+'TE CVA'!$AA$11)*1</f>
        <v>230.83420940933817</v>
      </c>
      <c r="AB757" s="6">
        <f>$K$757*$V$757</f>
        <v>0</v>
      </c>
      <c r="AC757" s="6">
        <f>$M$757*$W$757</f>
        <v>236226.49575000003</v>
      </c>
      <c r="AD757" s="6">
        <f>$O$757*$X$757</f>
        <v>717155.10930000001</v>
      </c>
      <c r="AE757" s="6">
        <f>$K$757*$Y$757</f>
        <v>0</v>
      </c>
      <c r="AF757" s="6">
        <f ca="1">$M$757*$Z$757</f>
        <v>244812.2224668792</v>
      </c>
      <c r="AG757" s="6">
        <f>$O$757*$AA$757</f>
        <v>645697.52975713008</v>
      </c>
    </row>
    <row r="758" spans="1:33" ht="11.25" customHeight="1" x14ac:dyDescent="0.25">
      <c r="A758" s="4" t="s">
        <v>27</v>
      </c>
      <c r="B758" s="4" t="s">
        <v>33</v>
      </c>
      <c r="C758" s="4" t="s">
        <v>34</v>
      </c>
      <c r="D758" s="4" t="s">
        <v>40</v>
      </c>
      <c r="E758" s="4" t="s">
        <v>25</v>
      </c>
      <c r="F758" s="4" t="s">
        <v>25</v>
      </c>
      <c r="G758" s="4" t="s">
        <v>25</v>
      </c>
      <c r="H758" s="4" t="s">
        <v>36</v>
      </c>
      <c r="I758" s="5">
        <v>43770</v>
      </c>
      <c r="J758" s="6">
        <v>0</v>
      </c>
      <c r="K758" s="6">
        <v>0</v>
      </c>
      <c r="L758" s="6">
        <v>61.134999999999998</v>
      </c>
      <c r="M758" s="6">
        <v>61.134999999999998</v>
      </c>
      <c r="N758" s="6">
        <v>61.134999999999998</v>
      </c>
      <c r="O758" s="6">
        <v>61.134999999999998</v>
      </c>
      <c r="P758" s="6">
        <v>0</v>
      </c>
      <c r="Q758" s="4" t="s">
        <v>26</v>
      </c>
      <c r="R758" s="4">
        <v>0</v>
      </c>
      <c r="S758" s="6">
        <v>0</v>
      </c>
      <c r="T758" s="6">
        <v>28</v>
      </c>
      <c r="U758" s="6">
        <v>82</v>
      </c>
      <c r="V758" s="6">
        <f>IF(ISERROR(VLOOKUP($S$758,'TAR FIN'!$A$1:$O$120,15,0)),0,VLOOKUP($S$758,'TAR FIN'!$A$1:$O$120,15,0))</f>
        <v>0</v>
      </c>
      <c r="W758" s="6">
        <f>IF(ISERROR(VLOOKUP($T$758,'TAR FIN'!$A$1:$O$120,15,0)),0,VLOOKUP($T$758,'TAR FIN'!$A$1:$O$120,15,0))</f>
        <v>84.45</v>
      </c>
      <c r="X758" s="6">
        <f>IF(ISERROR(VLOOKUP($U$758,'TAR FIN'!$A$1:$O$120,15,0)),0,VLOOKUP($U$758,'TAR FIN'!$A$1:$O$120,15,0))</f>
        <v>256.38</v>
      </c>
      <c r="Y758" s="6"/>
      <c r="Z758" s="6">
        <f ca="1">('TUSD BE'!$AM$34+'TUSD BF'!$AM$34+'TUSD CVA'!$AM$34)*1</f>
        <v>87.519361965254689</v>
      </c>
      <c r="AA758" s="6">
        <f>('TE BE'!$AA$11+'TE BF'!$AA$11+'TE CVA'!$AA$11)*1</f>
        <v>230.83420940933817</v>
      </c>
      <c r="AB758" s="6">
        <f>$K$758*$V$758</f>
        <v>0</v>
      </c>
      <c r="AC758" s="6">
        <f>$M$758*$W$758</f>
        <v>5162.8507499999996</v>
      </c>
      <c r="AD758" s="6">
        <f>$O$758*$X$758</f>
        <v>15673.791299999999</v>
      </c>
      <c r="AE758" s="6">
        <f>$K$758*$Y$758</f>
        <v>0</v>
      </c>
      <c r="AF758" s="6">
        <f ca="1">$M$758*$Z$758</f>
        <v>5350.4961937458456</v>
      </c>
      <c r="AG758" s="6">
        <f>$O$758*$AA$758</f>
        <v>14112.049392239889</v>
      </c>
    </row>
    <row r="759" spans="1:33" ht="11.25" customHeight="1" x14ac:dyDescent="0.25">
      <c r="A759" s="4" t="s">
        <v>28</v>
      </c>
      <c r="B759" s="4" t="s">
        <v>33</v>
      </c>
      <c r="C759" s="4" t="s">
        <v>34</v>
      </c>
      <c r="D759" s="4" t="s">
        <v>40</v>
      </c>
      <c r="E759" s="4" t="s">
        <v>25</v>
      </c>
      <c r="F759" s="4" t="s">
        <v>25</v>
      </c>
      <c r="G759" s="4" t="s">
        <v>25</v>
      </c>
      <c r="H759" s="4" t="s">
        <v>36</v>
      </c>
      <c r="I759" s="5">
        <v>43770</v>
      </c>
      <c r="J759" s="6">
        <v>0</v>
      </c>
      <c r="K759" s="6">
        <v>0</v>
      </c>
      <c r="L759" s="6">
        <v>4.0910000000000002</v>
      </c>
      <c r="M759" s="6">
        <v>4.0910000000000002</v>
      </c>
      <c r="N759" s="6">
        <v>4.0910000000000002</v>
      </c>
      <c r="O759" s="6">
        <v>4.0910000000000002</v>
      </c>
      <c r="P759" s="6">
        <v>0</v>
      </c>
      <c r="Q759" s="4" t="s">
        <v>26</v>
      </c>
      <c r="R759" s="4">
        <v>0</v>
      </c>
      <c r="S759" s="6">
        <v>0</v>
      </c>
      <c r="T759" s="6">
        <v>28</v>
      </c>
      <c r="U759" s="6">
        <v>82</v>
      </c>
      <c r="V759" s="6">
        <f>IF(ISERROR(VLOOKUP($S$759,'TAR FIN'!$A$1:$O$120,15,0)),0,VLOOKUP($S$759,'TAR FIN'!$A$1:$O$120,15,0))</f>
        <v>0</v>
      </c>
      <c r="W759" s="6">
        <f>IF(ISERROR(VLOOKUP($T$759,'TAR FIN'!$A$1:$O$120,15,0)),0,VLOOKUP($T$759,'TAR FIN'!$A$1:$O$120,15,0))</f>
        <v>84.45</v>
      </c>
      <c r="X759" s="6">
        <f>IF(ISERROR(VLOOKUP($U$759,'TAR FIN'!$A$1:$O$120,15,0)),0,VLOOKUP($U$759,'TAR FIN'!$A$1:$O$120,15,0))</f>
        <v>256.38</v>
      </c>
      <c r="Y759" s="6"/>
      <c r="Z759" s="6">
        <f ca="1">('TUSD BE'!$AM$34+'TUSD BF'!$AM$34+'TUSD CVA'!$AM$34)*1</f>
        <v>87.519361965254689</v>
      </c>
      <c r="AA759" s="6">
        <f>('TE BE'!$AA$11+'TE BF'!$AA$11+'TE CVA'!$AA$11)*1</f>
        <v>230.83420940933817</v>
      </c>
      <c r="AB759" s="6">
        <f>$K$759*$V$759</f>
        <v>0</v>
      </c>
      <c r="AC759" s="6">
        <f>$M$759*$W$759</f>
        <v>345.48495000000003</v>
      </c>
      <c r="AD759" s="6">
        <f>$O$759*$X$759</f>
        <v>1048.85058</v>
      </c>
      <c r="AE759" s="6">
        <f>$K$759*$Y$759</f>
        <v>0</v>
      </c>
      <c r="AF759" s="6">
        <f ca="1">$M$759*$Z$759</f>
        <v>358.04170979985696</v>
      </c>
      <c r="AG759" s="6">
        <f>$O$759*$AA$759</f>
        <v>944.34275069360251</v>
      </c>
    </row>
    <row r="760" spans="1:33" ht="11.25" customHeight="1" x14ac:dyDescent="0.25">
      <c r="A760" s="4" t="s">
        <v>21</v>
      </c>
      <c r="B760" s="4" t="s">
        <v>33</v>
      </c>
      <c r="C760" s="4" t="s">
        <v>34</v>
      </c>
      <c r="D760" s="4" t="s">
        <v>40</v>
      </c>
      <c r="E760" s="4" t="s">
        <v>25</v>
      </c>
      <c r="F760" s="4" t="s">
        <v>25</v>
      </c>
      <c r="G760" s="4" t="s">
        <v>25</v>
      </c>
      <c r="H760" s="4" t="s">
        <v>36</v>
      </c>
      <c r="I760" s="5">
        <v>43800</v>
      </c>
      <c r="J760" s="6">
        <v>0</v>
      </c>
      <c r="K760" s="6">
        <v>0</v>
      </c>
      <c r="L760" s="6">
        <v>2684.395</v>
      </c>
      <c r="M760" s="6">
        <v>2684.395</v>
      </c>
      <c r="N760" s="6">
        <v>2684.395</v>
      </c>
      <c r="O760" s="6">
        <v>2684.395</v>
      </c>
      <c r="P760" s="6">
        <v>0</v>
      </c>
      <c r="Q760" s="4" t="s">
        <v>26</v>
      </c>
      <c r="R760" s="4">
        <v>0</v>
      </c>
      <c r="S760" s="6">
        <v>0</v>
      </c>
      <c r="T760" s="6">
        <v>28</v>
      </c>
      <c r="U760" s="6">
        <v>82</v>
      </c>
      <c r="V760" s="6">
        <f>IF(ISERROR(VLOOKUP($S$760,'TAR FIN'!$A$1:$O$120,15,0)),0,VLOOKUP($S$760,'TAR FIN'!$A$1:$O$120,15,0))</f>
        <v>0</v>
      </c>
      <c r="W760" s="6">
        <f>IF(ISERROR(VLOOKUP($T$760,'TAR FIN'!$A$1:$O$120,15,0)),0,VLOOKUP($T$760,'TAR FIN'!$A$1:$O$120,15,0))</f>
        <v>84.45</v>
      </c>
      <c r="X760" s="6">
        <f>IF(ISERROR(VLOOKUP($U$760,'TAR FIN'!$A$1:$O$120,15,0)),0,VLOOKUP($U$760,'TAR FIN'!$A$1:$O$120,15,0))</f>
        <v>256.38</v>
      </c>
      <c r="Y760" s="6"/>
      <c r="Z760" s="6">
        <f ca="1">('TUSD BE'!$AM$34+'TUSD BF'!$AM$34+'TUSD CVA'!$AM$34)*1</f>
        <v>87.519361965254689</v>
      </c>
      <c r="AA760" s="6">
        <f>('TE BE'!$AA$11+'TE BF'!$AA$11+'TE CVA'!$AA$11)*1</f>
        <v>230.83420940933817</v>
      </c>
      <c r="AB760" s="6">
        <f>$K$760*$V$760</f>
        <v>0</v>
      </c>
      <c r="AC760" s="6">
        <f>$M$760*$W$760</f>
        <v>226697.15775000001</v>
      </c>
      <c r="AD760" s="6">
        <f>$O$760*$X$760</f>
        <v>688225.19010000001</v>
      </c>
      <c r="AE760" s="6">
        <f>$K$760*$Y$760</f>
        <v>0</v>
      </c>
      <c r="AF760" s="6">
        <f ca="1">$M$760*$Z$760</f>
        <v>234936.53766271987</v>
      </c>
      <c r="AG760" s="6">
        <f>$O$760*$AA$760</f>
        <v>619650.19756738038</v>
      </c>
    </row>
    <row r="761" spans="1:33" ht="11.25" customHeight="1" x14ac:dyDescent="0.25">
      <c r="A761" s="4" t="s">
        <v>27</v>
      </c>
      <c r="B761" s="4" t="s">
        <v>33</v>
      </c>
      <c r="C761" s="4" t="s">
        <v>34</v>
      </c>
      <c r="D761" s="4" t="s">
        <v>40</v>
      </c>
      <c r="E761" s="4" t="s">
        <v>25</v>
      </c>
      <c r="F761" s="4" t="s">
        <v>25</v>
      </c>
      <c r="G761" s="4" t="s">
        <v>25</v>
      </c>
      <c r="H761" s="4" t="s">
        <v>36</v>
      </c>
      <c r="I761" s="5">
        <v>43800</v>
      </c>
      <c r="J761" s="6">
        <v>0</v>
      </c>
      <c r="K761" s="6">
        <v>0</v>
      </c>
      <c r="L761" s="6">
        <v>4.7859999999999996</v>
      </c>
      <c r="M761" s="6">
        <v>4.7859999999999996</v>
      </c>
      <c r="N761" s="6">
        <v>4.7859999999999996</v>
      </c>
      <c r="O761" s="6">
        <v>4.7859999999999996</v>
      </c>
      <c r="P761" s="6">
        <v>0</v>
      </c>
      <c r="Q761" s="4" t="s">
        <v>26</v>
      </c>
      <c r="R761" s="4">
        <v>0</v>
      </c>
      <c r="S761" s="6">
        <v>0</v>
      </c>
      <c r="T761" s="6">
        <v>28</v>
      </c>
      <c r="U761" s="6">
        <v>82</v>
      </c>
      <c r="V761" s="6">
        <f>IF(ISERROR(VLOOKUP($S$761,'TAR FIN'!$A$1:$O$120,15,0)),0,VLOOKUP($S$761,'TAR FIN'!$A$1:$O$120,15,0))</f>
        <v>0</v>
      </c>
      <c r="W761" s="6">
        <f>IF(ISERROR(VLOOKUP($T$761,'TAR FIN'!$A$1:$O$120,15,0)),0,VLOOKUP($T$761,'TAR FIN'!$A$1:$O$120,15,0))</f>
        <v>84.45</v>
      </c>
      <c r="X761" s="6">
        <f>IF(ISERROR(VLOOKUP($U$761,'TAR FIN'!$A$1:$O$120,15,0)),0,VLOOKUP($U$761,'TAR FIN'!$A$1:$O$120,15,0))</f>
        <v>256.38</v>
      </c>
      <c r="Y761" s="6"/>
      <c r="Z761" s="6">
        <f ca="1">('TUSD BE'!$AM$34+'TUSD BF'!$AM$34+'TUSD CVA'!$AM$34)*1</f>
        <v>87.519361965254689</v>
      </c>
      <c r="AA761" s="6">
        <f>('TE BE'!$AA$11+'TE BF'!$AA$11+'TE CVA'!$AA$11)*1</f>
        <v>230.83420940933817</v>
      </c>
      <c r="AB761" s="6">
        <f>$K$761*$V$761</f>
        <v>0</v>
      </c>
      <c r="AC761" s="6">
        <f>$M$761*$W$761</f>
        <v>404.17769999999996</v>
      </c>
      <c r="AD761" s="6">
        <f>$O$761*$X$761</f>
        <v>1227.03468</v>
      </c>
      <c r="AE761" s="6">
        <f>$K$761*$Y$761</f>
        <v>0</v>
      </c>
      <c r="AF761" s="6">
        <f ca="1">$M$761*$Z$761</f>
        <v>418.86766636570889</v>
      </c>
      <c r="AG761" s="6">
        <f>$O$761*$AA$761</f>
        <v>1104.7725262330923</v>
      </c>
    </row>
    <row r="762" spans="1:33" ht="11.25" customHeight="1" x14ac:dyDescent="0.25">
      <c r="A762" s="4" t="s">
        <v>28</v>
      </c>
      <c r="B762" s="4" t="s">
        <v>33</v>
      </c>
      <c r="C762" s="4" t="s">
        <v>34</v>
      </c>
      <c r="D762" s="4" t="s">
        <v>40</v>
      </c>
      <c r="E762" s="4" t="s">
        <v>25</v>
      </c>
      <c r="F762" s="4" t="s">
        <v>25</v>
      </c>
      <c r="G762" s="4" t="s">
        <v>25</v>
      </c>
      <c r="H762" s="4" t="s">
        <v>36</v>
      </c>
      <c r="I762" s="5">
        <v>43800</v>
      </c>
      <c r="J762" s="6">
        <v>0</v>
      </c>
      <c r="K762" s="6">
        <v>0</v>
      </c>
      <c r="L762" s="6">
        <v>66.516999999999996</v>
      </c>
      <c r="M762" s="6">
        <v>66.516999999999996</v>
      </c>
      <c r="N762" s="6">
        <v>66.516999999999996</v>
      </c>
      <c r="O762" s="6">
        <v>66.516999999999996</v>
      </c>
      <c r="P762" s="6">
        <v>0</v>
      </c>
      <c r="Q762" s="4" t="s">
        <v>26</v>
      </c>
      <c r="R762" s="4">
        <v>0</v>
      </c>
      <c r="S762" s="6">
        <v>0</v>
      </c>
      <c r="T762" s="6">
        <v>28</v>
      </c>
      <c r="U762" s="6">
        <v>82</v>
      </c>
      <c r="V762" s="6">
        <f>IF(ISERROR(VLOOKUP($S$762,'TAR FIN'!$A$1:$O$120,15,0)),0,VLOOKUP($S$762,'TAR FIN'!$A$1:$O$120,15,0))</f>
        <v>0</v>
      </c>
      <c r="W762" s="6">
        <f>IF(ISERROR(VLOOKUP($T$762,'TAR FIN'!$A$1:$O$120,15,0)),0,VLOOKUP($T$762,'TAR FIN'!$A$1:$O$120,15,0))</f>
        <v>84.45</v>
      </c>
      <c r="X762" s="6">
        <f>IF(ISERROR(VLOOKUP($U$762,'TAR FIN'!$A$1:$O$120,15,0)),0,VLOOKUP($U$762,'TAR FIN'!$A$1:$O$120,15,0))</f>
        <v>256.38</v>
      </c>
      <c r="Y762" s="6"/>
      <c r="Z762" s="6">
        <f ca="1">('TUSD BE'!$AM$34+'TUSD BF'!$AM$34+'TUSD CVA'!$AM$34)*1</f>
        <v>87.519361965254689</v>
      </c>
      <c r="AA762" s="6">
        <f>('TE BE'!$AA$11+'TE BF'!$AA$11+'TE CVA'!$AA$11)*1</f>
        <v>230.83420940933817</v>
      </c>
      <c r="AB762" s="6">
        <f>$K$762*$V$762</f>
        <v>0</v>
      </c>
      <c r="AC762" s="6">
        <f>$M$762*$W$762</f>
        <v>5617.3606499999996</v>
      </c>
      <c r="AD762" s="6">
        <f>$O$762*$X$762</f>
        <v>17053.62846</v>
      </c>
      <c r="AE762" s="6">
        <f>$K$762*$Y$762</f>
        <v>0</v>
      </c>
      <c r="AF762" s="6">
        <f ca="1">$M$762*$Z$762</f>
        <v>5821.5253998428461</v>
      </c>
      <c r="AG762" s="6">
        <f>$O$762*$AA$762</f>
        <v>15354.399107280946</v>
      </c>
    </row>
    <row r="763" spans="1:33" ht="11.25" customHeight="1" x14ac:dyDescent="0.25">
      <c r="A763" s="4" t="s">
        <v>21</v>
      </c>
      <c r="B763" s="4" t="s">
        <v>33</v>
      </c>
      <c r="C763" s="4" t="s">
        <v>34</v>
      </c>
      <c r="D763" s="4" t="s">
        <v>40</v>
      </c>
      <c r="E763" s="4" t="s">
        <v>25</v>
      </c>
      <c r="F763" s="4" t="s">
        <v>25</v>
      </c>
      <c r="G763" s="4" t="s">
        <v>25</v>
      </c>
      <c r="H763" s="4" t="s">
        <v>36</v>
      </c>
      <c r="I763" s="5">
        <v>43831</v>
      </c>
      <c r="J763" s="6">
        <v>0</v>
      </c>
      <c r="K763" s="6">
        <v>0</v>
      </c>
      <c r="L763" s="6">
        <v>2122.011</v>
      </c>
      <c r="M763" s="6">
        <v>2122.011</v>
      </c>
      <c r="N763" s="6">
        <v>2122.011</v>
      </c>
      <c r="O763" s="6">
        <v>2122.011</v>
      </c>
      <c r="P763" s="6">
        <v>0</v>
      </c>
      <c r="Q763" s="4" t="s">
        <v>26</v>
      </c>
      <c r="R763" s="4">
        <v>0</v>
      </c>
      <c r="S763" s="6">
        <v>0</v>
      </c>
      <c r="T763" s="6">
        <v>28</v>
      </c>
      <c r="U763" s="6">
        <v>82</v>
      </c>
      <c r="V763" s="6">
        <f>IF(ISERROR(VLOOKUP($S$763,'TAR FIN'!$A$1:$O$120,15,0)),0,VLOOKUP($S$763,'TAR FIN'!$A$1:$O$120,15,0))</f>
        <v>0</v>
      </c>
      <c r="W763" s="6">
        <f>IF(ISERROR(VLOOKUP($T$763,'TAR FIN'!$A$1:$O$120,15,0)),0,VLOOKUP($T$763,'TAR FIN'!$A$1:$O$120,15,0))</f>
        <v>84.45</v>
      </c>
      <c r="X763" s="6">
        <f>IF(ISERROR(VLOOKUP($U$763,'TAR FIN'!$A$1:$O$120,15,0)),0,VLOOKUP($U$763,'TAR FIN'!$A$1:$O$120,15,0))</f>
        <v>256.38</v>
      </c>
      <c r="Y763" s="6"/>
      <c r="Z763" s="6">
        <f ca="1">('TUSD BE'!$AM$34+'TUSD BF'!$AM$34+'TUSD CVA'!$AM$34)*1</f>
        <v>87.519361965254689</v>
      </c>
      <c r="AA763" s="6">
        <f>('TE BE'!$AA$11+'TE BF'!$AA$11+'TE CVA'!$AA$11)*1</f>
        <v>230.83420940933817</v>
      </c>
      <c r="AB763" s="6">
        <f>$K$763*$V$763</f>
        <v>0</v>
      </c>
      <c r="AC763" s="6">
        <f>$M$763*$W$763</f>
        <v>179203.82895</v>
      </c>
      <c r="AD763" s="6">
        <f>$O$763*$X$763</f>
        <v>544041.18018000002</v>
      </c>
      <c r="AE763" s="6">
        <f>$K$763*$Y$763</f>
        <v>0</v>
      </c>
      <c r="AF763" s="6">
        <f ca="1">$M$763*$Z$763</f>
        <v>185717.04880325205</v>
      </c>
      <c r="AG763" s="6">
        <f>$O$763*$AA$763</f>
        <v>489832.73154291912</v>
      </c>
    </row>
    <row r="764" spans="1:33" ht="11.25" customHeight="1" x14ac:dyDescent="0.25">
      <c r="A764" s="4" t="s">
        <v>27</v>
      </c>
      <c r="B764" s="4" t="s">
        <v>33</v>
      </c>
      <c r="C764" s="4" t="s">
        <v>34</v>
      </c>
      <c r="D764" s="4" t="s">
        <v>40</v>
      </c>
      <c r="E764" s="4" t="s">
        <v>25</v>
      </c>
      <c r="F764" s="4" t="s">
        <v>25</v>
      </c>
      <c r="G764" s="4" t="s">
        <v>25</v>
      </c>
      <c r="H764" s="4" t="s">
        <v>36</v>
      </c>
      <c r="I764" s="5">
        <v>43831</v>
      </c>
      <c r="J764" s="6">
        <v>0</v>
      </c>
      <c r="K764" s="6">
        <v>0</v>
      </c>
      <c r="L764" s="6">
        <v>151.22300000000001</v>
      </c>
      <c r="M764" s="6">
        <v>151.22300000000001</v>
      </c>
      <c r="N764" s="6">
        <v>151.22300000000001</v>
      </c>
      <c r="O764" s="6">
        <v>151.22300000000001</v>
      </c>
      <c r="P764" s="6">
        <v>0</v>
      </c>
      <c r="Q764" s="4" t="s">
        <v>26</v>
      </c>
      <c r="R764" s="4">
        <v>0</v>
      </c>
      <c r="S764" s="6">
        <v>0</v>
      </c>
      <c r="T764" s="6">
        <v>28</v>
      </c>
      <c r="U764" s="6">
        <v>82</v>
      </c>
      <c r="V764" s="6">
        <f>IF(ISERROR(VLOOKUP($S$764,'TAR FIN'!$A$1:$O$120,15,0)),0,VLOOKUP($S$764,'TAR FIN'!$A$1:$O$120,15,0))</f>
        <v>0</v>
      </c>
      <c r="W764" s="6">
        <f>IF(ISERROR(VLOOKUP($T$764,'TAR FIN'!$A$1:$O$120,15,0)),0,VLOOKUP($T$764,'TAR FIN'!$A$1:$O$120,15,0))</f>
        <v>84.45</v>
      </c>
      <c r="X764" s="6">
        <f>IF(ISERROR(VLOOKUP($U$764,'TAR FIN'!$A$1:$O$120,15,0)),0,VLOOKUP($U$764,'TAR FIN'!$A$1:$O$120,15,0))</f>
        <v>256.38</v>
      </c>
      <c r="Y764" s="6"/>
      <c r="Z764" s="6">
        <f ca="1">('TUSD BE'!$AM$34+'TUSD BF'!$AM$34+'TUSD CVA'!$AM$34)*1</f>
        <v>87.519361965254689</v>
      </c>
      <c r="AA764" s="6">
        <f>('TE BE'!$AA$11+'TE BF'!$AA$11+'TE CVA'!$AA$11)*1</f>
        <v>230.83420940933817</v>
      </c>
      <c r="AB764" s="6">
        <f>$K$764*$V$764</f>
        <v>0</v>
      </c>
      <c r="AC764" s="6">
        <f>$M$764*$W$764</f>
        <v>12770.782350000001</v>
      </c>
      <c r="AD764" s="6">
        <f>$O$764*$X$764</f>
        <v>38770.552739999999</v>
      </c>
      <c r="AE764" s="6">
        <f>$K$764*$Y$764</f>
        <v>0</v>
      </c>
      <c r="AF764" s="6">
        <f ca="1">$M$764*$Z$764</f>
        <v>13234.94047447171</v>
      </c>
      <c r="AG764" s="6">
        <f>$O$764*$AA$764</f>
        <v>34907.44164950835</v>
      </c>
    </row>
    <row r="765" spans="1:33" ht="11.25" customHeight="1" x14ac:dyDescent="0.25">
      <c r="A765" s="4" t="s">
        <v>28</v>
      </c>
      <c r="B765" s="4" t="s">
        <v>33</v>
      </c>
      <c r="C765" s="4" t="s">
        <v>34</v>
      </c>
      <c r="D765" s="4" t="s">
        <v>40</v>
      </c>
      <c r="E765" s="4" t="s">
        <v>25</v>
      </c>
      <c r="F765" s="4" t="s">
        <v>25</v>
      </c>
      <c r="G765" s="4" t="s">
        <v>25</v>
      </c>
      <c r="H765" s="4" t="s">
        <v>36</v>
      </c>
      <c r="I765" s="5">
        <v>43831</v>
      </c>
      <c r="J765" s="6">
        <v>0</v>
      </c>
      <c r="K765" s="6">
        <v>0</v>
      </c>
      <c r="L765" s="6">
        <v>35.049999999999997</v>
      </c>
      <c r="M765" s="6">
        <v>35.049999999999997</v>
      </c>
      <c r="N765" s="6">
        <v>35.049999999999997</v>
      </c>
      <c r="O765" s="6">
        <v>35.049999999999997</v>
      </c>
      <c r="P765" s="6">
        <v>0</v>
      </c>
      <c r="Q765" s="4" t="s">
        <v>26</v>
      </c>
      <c r="R765" s="4">
        <v>0</v>
      </c>
      <c r="S765" s="6">
        <v>0</v>
      </c>
      <c r="T765" s="6">
        <v>28</v>
      </c>
      <c r="U765" s="6">
        <v>82</v>
      </c>
      <c r="V765" s="6">
        <f>IF(ISERROR(VLOOKUP($S$765,'TAR FIN'!$A$1:$O$120,15,0)),0,VLOOKUP($S$765,'TAR FIN'!$A$1:$O$120,15,0))</f>
        <v>0</v>
      </c>
      <c r="W765" s="6">
        <f>IF(ISERROR(VLOOKUP($T$765,'TAR FIN'!$A$1:$O$120,15,0)),0,VLOOKUP($T$765,'TAR FIN'!$A$1:$O$120,15,0))</f>
        <v>84.45</v>
      </c>
      <c r="X765" s="6">
        <f>IF(ISERROR(VLOOKUP($U$765,'TAR FIN'!$A$1:$O$120,15,0)),0,VLOOKUP($U$765,'TAR FIN'!$A$1:$O$120,15,0))</f>
        <v>256.38</v>
      </c>
      <c r="Y765" s="6"/>
      <c r="Z765" s="6">
        <f ca="1">('TUSD BE'!$AM$34+'TUSD BF'!$AM$34+'TUSD CVA'!$AM$34)*1</f>
        <v>87.519361965254689</v>
      </c>
      <c r="AA765" s="6">
        <f>('TE BE'!$AA$11+'TE BF'!$AA$11+'TE CVA'!$AA$11)*1</f>
        <v>230.83420940933817</v>
      </c>
      <c r="AB765" s="6">
        <f>$K$765*$V$765</f>
        <v>0</v>
      </c>
      <c r="AC765" s="6">
        <f>$M$765*$W$765</f>
        <v>2959.9724999999999</v>
      </c>
      <c r="AD765" s="6">
        <f>$O$765*$X$765</f>
        <v>8986.1189999999988</v>
      </c>
      <c r="AE765" s="6">
        <f>$K$765*$Y$765</f>
        <v>0</v>
      </c>
      <c r="AF765" s="6">
        <f ca="1">$M$765*$Z$765</f>
        <v>3067.5536368821768</v>
      </c>
      <c r="AG765" s="6">
        <f>$O$765*$AA$765</f>
        <v>8090.7390397973022</v>
      </c>
    </row>
    <row r="766" spans="1:33" ht="11.25" customHeight="1" x14ac:dyDescent="0.25">
      <c r="A766" s="4" t="s">
        <v>21</v>
      </c>
      <c r="B766" s="4" t="s">
        <v>33</v>
      </c>
      <c r="C766" s="4" t="s">
        <v>34</v>
      </c>
      <c r="D766" s="4" t="s">
        <v>40</v>
      </c>
      <c r="E766" s="4" t="s">
        <v>25</v>
      </c>
      <c r="F766" s="4" t="s">
        <v>25</v>
      </c>
      <c r="G766" s="4" t="s">
        <v>25</v>
      </c>
      <c r="H766" s="4" t="s">
        <v>36</v>
      </c>
      <c r="I766" s="5">
        <v>43862</v>
      </c>
      <c r="J766" s="6">
        <v>0</v>
      </c>
      <c r="K766" s="6">
        <v>0</v>
      </c>
      <c r="L766" s="6">
        <v>2540.741</v>
      </c>
      <c r="M766" s="6">
        <v>2540.741</v>
      </c>
      <c r="N766" s="6">
        <v>2540.741</v>
      </c>
      <c r="O766" s="6">
        <v>2540.741</v>
      </c>
      <c r="P766" s="6">
        <v>0</v>
      </c>
      <c r="Q766" s="4" t="s">
        <v>26</v>
      </c>
      <c r="R766" s="4">
        <v>0</v>
      </c>
      <c r="S766" s="6">
        <v>0</v>
      </c>
      <c r="T766" s="6">
        <v>28</v>
      </c>
      <c r="U766" s="6">
        <v>82</v>
      </c>
      <c r="V766" s="6">
        <f>IF(ISERROR(VLOOKUP($S$766,'TAR FIN'!$A$1:$O$120,15,0)),0,VLOOKUP($S$766,'TAR FIN'!$A$1:$O$120,15,0))</f>
        <v>0</v>
      </c>
      <c r="W766" s="6">
        <f>IF(ISERROR(VLOOKUP($T$766,'TAR FIN'!$A$1:$O$120,15,0)),0,VLOOKUP($T$766,'TAR FIN'!$A$1:$O$120,15,0))</f>
        <v>84.45</v>
      </c>
      <c r="X766" s="6">
        <f>IF(ISERROR(VLOOKUP($U$766,'TAR FIN'!$A$1:$O$120,15,0)),0,VLOOKUP($U$766,'TAR FIN'!$A$1:$O$120,15,0))</f>
        <v>256.38</v>
      </c>
      <c r="Y766" s="6"/>
      <c r="Z766" s="6">
        <f ca="1">('TUSD BE'!$AM$34+'TUSD BF'!$AM$34+'TUSD CVA'!$AM$34)*1</f>
        <v>87.519361965254689</v>
      </c>
      <c r="AA766" s="6">
        <f>('TE BE'!$AA$11+'TE BF'!$AA$11+'TE CVA'!$AA$11)*1</f>
        <v>230.83420940933817</v>
      </c>
      <c r="AB766" s="6">
        <f>$K$766*$V$766</f>
        <v>0</v>
      </c>
      <c r="AC766" s="6">
        <f>$M$766*$W$766</f>
        <v>214565.57745000001</v>
      </c>
      <c r="AD766" s="6">
        <f>$O$766*$X$766</f>
        <v>651395.17758000002</v>
      </c>
      <c r="AE766" s="6">
        <f>$K$766*$Y$766</f>
        <v>0</v>
      </c>
      <c r="AF766" s="6">
        <f ca="1">$M$766*$Z$766</f>
        <v>222364.03123896316</v>
      </c>
      <c r="AG766" s="6">
        <f>$O$766*$AA$766</f>
        <v>586489.94004889124</v>
      </c>
    </row>
    <row r="767" spans="1:33" ht="11.25" customHeight="1" x14ac:dyDescent="0.25">
      <c r="A767" s="4" t="s">
        <v>28</v>
      </c>
      <c r="B767" s="4" t="s">
        <v>33</v>
      </c>
      <c r="C767" s="4" t="s">
        <v>34</v>
      </c>
      <c r="D767" s="4" t="s">
        <v>40</v>
      </c>
      <c r="E767" s="4" t="s">
        <v>25</v>
      </c>
      <c r="F767" s="4" t="s">
        <v>25</v>
      </c>
      <c r="G767" s="4" t="s">
        <v>25</v>
      </c>
      <c r="H767" s="4" t="s">
        <v>36</v>
      </c>
      <c r="I767" s="5">
        <v>43862</v>
      </c>
      <c r="J767" s="6">
        <v>0</v>
      </c>
      <c r="K767" s="6">
        <v>0</v>
      </c>
      <c r="L767" s="6">
        <v>49.540999999999997</v>
      </c>
      <c r="M767" s="6">
        <v>49.540999999999997</v>
      </c>
      <c r="N767" s="6">
        <v>49.540999999999997</v>
      </c>
      <c r="O767" s="6">
        <v>49.540999999999997</v>
      </c>
      <c r="P767" s="6">
        <v>0</v>
      </c>
      <c r="Q767" s="4" t="s">
        <v>26</v>
      </c>
      <c r="R767" s="4">
        <v>0</v>
      </c>
      <c r="S767" s="6">
        <v>0</v>
      </c>
      <c r="T767" s="6">
        <v>28</v>
      </c>
      <c r="U767" s="6">
        <v>82</v>
      </c>
      <c r="V767" s="6">
        <f>IF(ISERROR(VLOOKUP($S$767,'TAR FIN'!$A$1:$O$120,15,0)),0,VLOOKUP($S$767,'TAR FIN'!$A$1:$O$120,15,0))</f>
        <v>0</v>
      </c>
      <c r="W767" s="6">
        <f>IF(ISERROR(VLOOKUP($T$767,'TAR FIN'!$A$1:$O$120,15,0)),0,VLOOKUP($T$767,'TAR FIN'!$A$1:$O$120,15,0))</f>
        <v>84.45</v>
      </c>
      <c r="X767" s="6">
        <f>IF(ISERROR(VLOOKUP($U$767,'TAR FIN'!$A$1:$O$120,15,0)),0,VLOOKUP($U$767,'TAR FIN'!$A$1:$O$120,15,0))</f>
        <v>256.38</v>
      </c>
      <c r="Y767" s="6"/>
      <c r="Z767" s="6">
        <f ca="1">('TUSD BE'!$AM$34+'TUSD BF'!$AM$34+'TUSD CVA'!$AM$34)*1</f>
        <v>87.519361965254689</v>
      </c>
      <c r="AA767" s="6">
        <f>('TE BE'!$AA$11+'TE BF'!$AA$11+'TE CVA'!$AA$11)*1</f>
        <v>230.83420940933817</v>
      </c>
      <c r="AB767" s="6">
        <f>$K$767*$V$767</f>
        <v>0</v>
      </c>
      <c r="AC767" s="6">
        <f>$M$767*$W$767</f>
        <v>4183.7374499999996</v>
      </c>
      <c r="AD767" s="6">
        <f>$O$767*$X$767</f>
        <v>12701.32158</v>
      </c>
      <c r="AE767" s="6">
        <f>$K$767*$Y$767</f>
        <v>0</v>
      </c>
      <c r="AF767" s="6">
        <f ca="1">$M$767*$Z$767</f>
        <v>4335.7967111206826</v>
      </c>
      <c r="AG767" s="6">
        <f>$O$767*$AA$767</f>
        <v>11435.757568348021</v>
      </c>
    </row>
    <row r="768" spans="1:33" ht="11.25" customHeight="1" x14ac:dyDescent="0.25">
      <c r="A768" s="4" t="s">
        <v>21</v>
      </c>
      <c r="B768" s="4" t="s">
        <v>33</v>
      </c>
      <c r="C768" s="4" t="s">
        <v>34</v>
      </c>
      <c r="D768" s="4" t="s">
        <v>40</v>
      </c>
      <c r="E768" s="4" t="s">
        <v>25</v>
      </c>
      <c r="F768" s="4" t="s">
        <v>25</v>
      </c>
      <c r="G768" s="4" t="s">
        <v>25</v>
      </c>
      <c r="H768" s="4" t="s">
        <v>36</v>
      </c>
      <c r="I768" s="5">
        <v>43891</v>
      </c>
      <c r="J768" s="6">
        <v>0</v>
      </c>
      <c r="K768" s="6">
        <v>0</v>
      </c>
      <c r="L768" s="6">
        <v>2220.6489999999999</v>
      </c>
      <c r="M768" s="6">
        <v>2220.6489999999999</v>
      </c>
      <c r="N768" s="6">
        <v>2220.6489999999999</v>
      </c>
      <c r="O768" s="6">
        <v>2220.6489999999999</v>
      </c>
      <c r="P768" s="6">
        <v>0</v>
      </c>
      <c r="Q768" s="4" t="s">
        <v>26</v>
      </c>
      <c r="R768" s="4">
        <v>0</v>
      </c>
      <c r="S768" s="6">
        <v>0</v>
      </c>
      <c r="T768" s="6">
        <v>28</v>
      </c>
      <c r="U768" s="6">
        <v>82</v>
      </c>
      <c r="V768" s="6">
        <f>IF(ISERROR(VLOOKUP($S$768,'TAR FIN'!$A$1:$O$120,15,0)),0,VLOOKUP($S$768,'TAR FIN'!$A$1:$O$120,15,0))</f>
        <v>0</v>
      </c>
      <c r="W768" s="6">
        <f>IF(ISERROR(VLOOKUP($T$768,'TAR FIN'!$A$1:$O$120,15,0)),0,VLOOKUP($T$768,'TAR FIN'!$A$1:$O$120,15,0))</f>
        <v>84.45</v>
      </c>
      <c r="X768" s="6">
        <f>IF(ISERROR(VLOOKUP($U$768,'TAR FIN'!$A$1:$O$120,15,0)),0,VLOOKUP($U$768,'TAR FIN'!$A$1:$O$120,15,0))</f>
        <v>256.38</v>
      </c>
      <c r="Y768" s="6"/>
      <c r="Z768" s="6">
        <f ca="1">('TUSD BE'!$AM$34+'TUSD BF'!$AM$34+'TUSD CVA'!$AM$34)*1</f>
        <v>87.519361965254689</v>
      </c>
      <c r="AA768" s="6">
        <f>('TE BE'!$AA$11+'TE BF'!$AA$11+'TE CVA'!$AA$11)*1</f>
        <v>230.83420940933817</v>
      </c>
      <c r="AB768" s="6">
        <f>$K$768*$V$768</f>
        <v>0</v>
      </c>
      <c r="AC768" s="6">
        <f>$M$768*$W$768</f>
        <v>187533.80804999999</v>
      </c>
      <c r="AD768" s="6">
        <f>$O$768*$X$768</f>
        <v>569329.99061999994</v>
      </c>
      <c r="AE768" s="6">
        <f>$K$768*$Y$768</f>
        <v>0</v>
      </c>
      <c r="AF768" s="6">
        <f ca="1">$M$768*$Z$768</f>
        <v>194349.78362878086</v>
      </c>
      <c r="AG768" s="6">
        <f>$O$768*$AA$768</f>
        <v>512601.75629063736</v>
      </c>
    </row>
    <row r="769" spans="1:33" ht="11.25" customHeight="1" x14ac:dyDescent="0.25">
      <c r="A769" s="4" t="s">
        <v>27</v>
      </c>
      <c r="B769" s="4" t="s">
        <v>33</v>
      </c>
      <c r="C769" s="4" t="s">
        <v>34</v>
      </c>
      <c r="D769" s="4" t="s">
        <v>40</v>
      </c>
      <c r="E769" s="4" t="s">
        <v>25</v>
      </c>
      <c r="F769" s="4" t="s">
        <v>25</v>
      </c>
      <c r="G769" s="4" t="s">
        <v>25</v>
      </c>
      <c r="H769" s="4" t="s">
        <v>36</v>
      </c>
      <c r="I769" s="5">
        <v>43891</v>
      </c>
      <c r="J769" s="6">
        <v>0</v>
      </c>
      <c r="K769" s="6">
        <v>0</v>
      </c>
      <c r="L769" s="6">
        <v>25.433</v>
      </c>
      <c r="M769" s="6">
        <v>25.433</v>
      </c>
      <c r="N769" s="6">
        <v>25.433</v>
      </c>
      <c r="O769" s="6">
        <v>25.433</v>
      </c>
      <c r="P769" s="6">
        <v>0</v>
      </c>
      <c r="Q769" s="4" t="s">
        <v>26</v>
      </c>
      <c r="R769" s="4">
        <v>0</v>
      </c>
      <c r="S769" s="6">
        <v>0</v>
      </c>
      <c r="T769" s="6">
        <v>28</v>
      </c>
      <c r="U769" s="6">
        <v>82</v>
      </c>
      <c r="V769" s="6">
        <f>IF(ISERROR(VLOOKUP($S$769,'TAR FIN'!$A$1:$O$120,15,0)),0,VLOOKUP($S$769,'TAR FIN'!$A$1:$O$120,15,0))</f>
        <v>0</v>
      </c>
      <c r="W769" s="6">
        <f>IF(ISERROR(VLOOKUP($T$769,'TAR FIN'!$A$1:$O$120,15,0)),0,VLOOKUP($T$769,'TAR FIN'!$A$1:$O$120,15,0))</f>
        <v>84.45</v>
      </c>
      <c r="X769" s="6">
        <f>IF(ISERROR(VLOOKUP($U$769,'TAR FIN'!$A$1:$O$120,15,0)),0,VLOOKUP($U$769,'TAR FIN'!$A$1:$O$120,15,0))</f>
        <v>256.38</v>
      </c>
      <c r="Y769" s="6"/>
      <c r="Z769" s="6">
        <f ca="1">('TUSD BE'!$AM$34+'TUSD BF'!$AM$34+'TUSD CVA'!$AM$34)*1</f>
        <v>87.519361965254689</v>
      </c>
      <c r="AA769" s="6">
        <f>('TE BE'!$AA$11+'TE BF'!$AA$11+'TE CVA'!$AA$11)*1</f>
        <v>230.83420940933817</v>
      </c>
      <c r="AB769" s="6">
        <f>$K$769*$V$769</f>
        <v>0</v>
      </c>
      <c r="AC769" s="6">
        <f>$M$769*$W$769</f>
        <v>2147.8168500000002</v>
      </c>
      <c r="AD769" s="6">
        <f>$O$769*$X$769</f>
        <v>6520.5125399999997</v>
      </c>
      <c r="AE769" s="6">
        <f>$K$769*$Y$769</f>
        <v>0</v>
      </c>
      <c r="AF769" s="6">
        <f ca="1">$M$769*$Z$769</f>
        <v>2225.8799328623227</v>
      </c>
      <c r="AG769" s="6">
        <f>$O$769*$AA$769</f>
        <v>5870.8064479076975</v>
      </c>
    </row>
    <row r="770" spans="1:33" ht="11.25" customHeight="1" x14ac:dyDescent="0.25">
      <c r="A770" s="4" t="s">
        <v>28</v>
      </c>
      <c r="B770" s="4" t="s">
        <v>33</v>
      </c>
      <c r="C770" s="4" t="s">
        <v>34</v>
      </c>
      <c r="D770" s="4" t="s">
        <v>40</v>
      </c>
      <c r="E770" s="4" t="s">
        <v>25</v>
      </c>
      <c r="F770" s="4" t="s">
        <v>25</v>
      </c>
      <c r="G770" s="4" t="s">
        <v>25</v>
      </c>
      <c r="H770" s="4" t="s">
        <v>36</v>
      </c>
      <c r="I770" s="5">
        <v>43891</v>
      </c>
      <c r="J770" s="6">
        <v>0</v>
      </c>
      <c r="K770" s="6">
        <v>0</v>
      </c>
      <c r="L770" s="6">
        <v>69.989000000000004</v>
      </c>
      <c r="M770" s="6">
        <v>69.989000000000004</v>
      </c>
      <c r="N770" s="6">
        <v>69.989000000000004</v>
      </c>
      <c r="O770" s="6">
        <v>69.989000000000004</v>
      </c>
      <c r="P770" s="6">
        <v>0</v>
      </c>
      <c r="Q770" s="4" t="s">
        <v>26</v>
      </c>
      <c r="R770" s="4">
        <v>0</v>
      </c>
      <c r="S770" s="6">
        <v>0</v>
      </c>
      <c r="T770" s="6">
        <v>28</v>
      </c>
      <c r="U770" s="6">
        <v>82</v>
      </c>
      <c r="V770" s="6">
        <f>IF(ISERROR(VLOOKUP($S$770,'TAR FIN'!$A$1:$O$120,15,0)),0,VLOOKUP($S$770,'TAR FIN'!$A$1:$O$120,15,0))</f>
        <v>0</v>
      </c>
      <c r="W770" s="6">
        <f>IF(ISERROR(VLOOKUP($T$770,'TAR FIN'!$A$1:$O$120,15,0)),0,VLOOKUP($T$770,'TAR FIN'!$A$1:$O$120,15,0))</f>
        <v>84.45</v>
      </c>
      <c r="X770" s="6">
        <f>IF(ISERROR(VLOOKUP($U$770,'TAR FIN'!$A$1:$O$120,15,0)),0,VLOOKUP($U$770,'TAR FIN'!$A$1:$O$120,15,0))</f>
        <v>256.38</v>
      </c>
      <c r="Y770" s="6"/>
      <c r="Z770" s="6">
        <f ca="1">('TUSD BE'!$AM$34+'TUSD BF'!$AM$34+'TUSD CVA'!$AM$34)*1</f>
        <v>87.519361965254689</v>
      </c>
      <c r="AA770" s="6">
        <f>('TE BE'!$AA$11+'TE BF'!$AA$11+'TE CVA'!$AA$11)*1</f>
        <v>230.83420940933817</v>
      </c>
      <c r="AB770" s="6">
        <f>$K$770*$V$770</f>
        <v>0</v>
      </c>
      <c r="AC770" s="6">
        <f>$M$770*$W$770</f>
        <v>5910.5710500000005</v>
      </c>
      <c r="AD770" s="6">
        <f>$O$770*$X$770</f>
        <v>17943.77982</v>
      </c>
      <c r="AE770" s="6">
        <f>$K$770*$Y$770</f>
        <v>0</v>
      </c>
      <c r="AF770" s="6">
        <f ca="1">$M$770*$Z$770</f>
        <v>6125.3926245862103</v>
      </c>
      <c r="AG770" s="6">
        <f>$O$770*$AA$770</f>
        <v>16155.855482350171</v>
      </c>
    </row>
    <row r="771" spans="1:33" ht="11.25" customHeight="1" x14ac:dyDescent="0.25">
      <c r="A771" s="4" t="s">
        <v>21</v>
      </c>
      <c r="B771" s="4" t="s">
        <v>33</v>
      </c>
      <c r="C771" s="4" t="s">
        <v>34</v>
      </c>
      <c r="D771" s="4" t="s">
        <v>40</v>
      </c>
      <c r="E771" s="4" t="s">
        <v>25</v>
      </c>
      <c r="F771" s="4" t="s">
        <v>25</v>
      </c>
      <c r="G771" s="4" t="s">
        <v>25</v>
      </c>
      <c r="H771" s="4" t="s">
        <v>36</v>
      </c>
      <c r="I771" s="5">
        <v>43922</v>
      </c>
      <c r="J771" s="6">
        <v>0</v>
      </c>
      <c r="K771" s="6">
        <v>0</v>
      </c>
      <c r="L771" s="6">
        <v>2355.7370000000001</v>
      </c>
      <c r="M771" s="6">
        <v>2355.7370000000001</v>
      </c>
      <c r="N771" s="6">
        <v>2355.7370000000001</v>
      </c>
      <c r="O771" s="6">
        <v>2355.7370000000001</v>
      </c>
      <c r="P771" s="6">
        <v>0</v>
      </c>
      <c r="Q771" s="4" t="s">
        <v>26</v>
      </c>
      <c r="R771" s="4">
        <v>0</v>
      </c>
      <c r="S771" s="6">
        <v>0</v>
      </c>
      <c r="T771" s="6">
        <v>28</v>
      </c>
      <c r="U771" s="6">
        <v>82</v>
      </c>
      <c r="V771" s="6">
        <f>IF(ISERROR(VLOOKUP($S$771,'TAR FIN'!$A$1:$O$120,15,0)),0,VLOOKUP($S$771,'TAR FIN'!$A$1:$O$120,15,0))</f>
        <v>0</v>
      </c>
      <c r="W771" s="6">
        <f>IF(ISERROR(VLOOKUP($T$771,'TAR FIN'!$A$1:$O$120,15,0)),0,VLOOKUP($T$771,'TAR FIN'!$A$1:$O$120,15,0))</f>
        <v>84.45</v>
      </c>
      <c r="X771" s="6">
        <f>IF(ISERROR(VLOOKUP($U$771,'TAR FIN'!$A$1:$O$120,15,0)),0,VLOOKUP($U$771,'TAR FIN'!$A$1:$O$120,15,0))</f>
        <v>256.38</v>
      </c>
      <c r="Y771" s="6"/>
      <c r="Z771" s="6">
        <f ca="1">('TUSD BE'!$AM$34+'TUSD BF'!$AM$34+'TUSD CVA'!$AM$34)*1</f>
        <v>87.519361965254689</v>
      </c>
      <c r="AA771" s="6">
        <f>('TE BE'!$AA$11+'TE BF'!$AA$11+'TE CVA'!$AA$11)*1</f>
        <v>230.83420940933817</v>
      </c>
      <c r="AB771" s="6">
        <f>$K$771*$V$771</f>
        <v>0</v>
      </c>
      <c r="AC771" s="6">
        <f>$M$771*$W$771</f>
        <v>198941.98965</v>
      </c>
      <c r="AD771" s="6">
        <f>$O$771*$X$771</f>
        <v>603963.85206000006</v>
      </c>
      <c r="AE771" s="6">
        <f>$K$771*$Y$771</f>
        <v>0</v>
      </c>
      <c r="AF771" s="6">
        <f ca="1">$M$771*$Z$771</f>
        <v>206172.5991979432</v>
      </c>
      <c r="AG771" s="6">
        <f>$O$771*$AA$771</f>
        <v>543784.68797132606</v>
      </c>
    </row>
    <row r="772" spans="1:33" ht="11.25" customHeight="1" x14ac:dyDescent="0.25">
      <c r="A772" s="4" t="s">
        <v>27</v>
      </c>
      <c r="B772" s="4" t="s">
        <v>33</v>
      </c>
      <c r="C772" s="4" t="s">
        <v>34</v>
      </c>
      <c r="D772" s="4" t="s">
        <v>40</v>
      </c>
      <c r="E772" s="4" t="s">
        <v>25</v>
      </c>
      <c r="F772" s="4" t="s">
        <v>25</v>
      </c>
      <c r="G772" s="4" t="s">
        <v>25</v>
      </c>
      <c r="H772" s="4" t="s">
        <v>36</v>
      </c>
      <c r="I772" s="5">
        <v>43922</v>
      </c>
      <c r="J772" s="6">
        <v>0</v>
      </c>
      <c r="K772" s="6">
        <v>0</v>
      </c>
      <c r="L772" s="6">
        <v>2.9390000000000001</v>
      </c>
      <c r="M772" s="6">
        <v>2.9390000000000001</v>
      </c>
      <c r="N772" s="6">
        <v>2.9390000000000001</v>
      </c>
      <c r="O772" s="6">
        <v>2.9390000000000001</v>
      </c>
      <c r="P772" s="6">
        <v>0</v>
      </c>
      <c r="Q772" s="4" t="s">
        <v>26</v>
      </c>
      <c r="R772" s="4">
        <v>0</v>
      </c>
      <c r="S772" s="6">
        <v>0</v>
      </c>
      <c r="T772" s="6">
        <v>28</v>
      </c>
      <c r="U772" s="6">
        <v>82</v>
      </c>
      <c r="V772" s="6">
        <f>IF(ISERROR(VLOOKUP($S$772,'TAR FIN'!$A$1:$O$120,15,0)),0,VLOOKUP($S$772,'TAR FIN'!$A$1:$O$120,15,0))</f>
        <v>0</v>
      </c>
      <c r="W772" s="6">
        <f>IF(ISERROR(VLOOKUP($T$772,'TAR FIN'!$A$1:$O$120,15,0)),0,VLOOKUP($T$772,'TAR FIN'!$A$1:$O$120,15,0))</f>
        <v>84.45</v>
      </c>
      <c r="X772" s="6">
        <f>IF(ISERROR(VLOOKUP($U$772,'TAR FIN'!$A$1:$O$120,15,0)),0,VLOOKUP($U$772,'TAR FIN'!$A$1:$O$120,15,0))</f>
        <v>256.38</v>
      </c>
      <c r="Y772" s="6"/>
      <c r="Z772" s="6">
        <f ca="1">('TUSD BE'!$AM$34+'TUSD BF'!$AM$34+'TUSD CVA'!$AM$34)*1</f>
        <v>87.519361965254689</v>
      </c>
      <c r="AA772" s="6">
        <f>('TE BE'!$AA$11+'TE BF'!$AA$11+'TE CVA'!$AA$11)*1</f>
        <v>230.83420940933817</v>
      </c>
      <c r="AB772" s="6">
        <f>$K$772*$V$772</f>
        <v>0</v>
      </c>
      <c r="AC772" s="6">
        <f>$M$772*$W$772</f>
        <v>248.19855000000001</v>
      </c>
      <c r="AD772" s="6">
        <f>$O$772*$X$772</f>
        <v>753.50081999999998</v>
      </c>
      <c r="AE772" s="6">
        <f>$K$772*$Y$772</f>
        <v>0</v>
      </c>
      <c r="AF772" s="6">
        <f ca="1">$M$772*$Z$772</f>
        <v>257.21940481588354</v>
      </c>
      <c r="AG772" s="6">
        <f>$O$772*$AA$772</f>
        <v>678.42174145404488</v>
      </c>
    </row>
    <row r="773" spans="1:33" ht="11.25" customHeight="1" x14ac:dyDescent="0.25">
      <c r="A773" s="4" t="s">
        <v>28</v>
      </c>
      <c r="B773" s="4" t="s">
        <v>33</v>
      </c>
      <c r="C773" s="4" t="s">
        <v>34</v>
      </c>
      <c r="D773" s="4" t="s">
        <v>40</v>
      </c>
      <c r="E773" s="4" t="s">
        <v>25</v>
      </c>
      <c r="F773" s="4" t="s">
        <v>25</v>
      </c>
      <c r="G773" s="4" t="s">
        <v>25</v>
      </c>
      <c r="H773" s="4" t="s">
        <v>36</v>
      </c>
      <c r="I773" s="5">
        <v>43922</v>
      </c>
      <c r="J773" s="6">
        <v>0</v>
      </c>
      <c r="K773" s="6">
        <v>0</v>
      </c>
      <c r="L773" s="6">
        <v>62.408999999999999</v>
      </c>
      <c r="M773" s="6">
        <v>62.408999999999999</v>
      </c>
      <c r="N773" s="6">
        <v>62.408999999999999</v>
      </c>
      <c r="O773" s="6">
        <v>62.408999999999999</v>
      </c>
      <c r="P773" s="6">
        <v>0</v>
      </c>
      <c r="Q773" s="4" t="s">
        <v>26</v>
      </c>
      <c r="R773" s="4">
        <v>0</v>
      </c>
      <c r="S773" s="6">
        <v>0</v>
      </c>
      <c r="T773" s="6">
        <v>28</v>
      </c>
      <c r="U773" s="6">
        <v>82</v>
      </c>
      <c r="V773" s="6">
        <f>IF(ISERROR(VLOOKUP($S$773,'TAR FIN'!$A$1:$O$120,15,0)),0,VLOOKUP($S$773,'TAR FIN'!$A$1:$O$120,15,0))</f>
        <v>0</v>
      </c>
      <c r="W773" s="6">
        <f>IF(ISERROR(VLOOKUP($T$773,'TAR FIN'!$A$1:$O$120,15,0)),0,VLOOKUP($T$773,'TAR FIN'!$A$1:$O$120,15,0))</f>
        <v>84.45</v>
      </c>
      <c r="X773" s="6">
        <f>IF(ISERROR(VLOOKUP($U$773,'TAR FIN'!$A$1:$O$120,15,0)),0,VLOOKUP($U$773,'TAR FIN'!$A$1:$O$120,15,0))</f>
        <v>256.38</v>
      </c>
      <c r="Y773" s="6"/>
      <c r="Z773" s="6">
        <f ca="1">('TUSD BE'!$AM$34+'TUSD BF'!$AM$34+'TUSD CVA'!$AM$34)*1</f>
        <v>87.519361965254689</v>
      </c>
      <c r="AA773" s="6">
        <f>('TE BE'!$AA$11+'TE BF'!$AA$11+'TE CVA'!$AA$11)*1</f>
        <v>230.83420940933817</v>
      </c>
      <c r="AB773" s="6">
        <f>$K$773*$V$773</f>
        <v>0</v>
      </c>
      <c r="AC773" s="6">
        <f>$M$773*$W$773</f>
        <v>5270.4400500000002</v>
      </c>
      <c r="AD773" s="6">
        <f>$O$773*$X$773</f>
        <v>16000.41942</v>
      </c>
      <c r="AE773" s="6">
        <f>$K$773*$Y$773</f>
        <v>0</v>
      </c>
      <c r="AF773" s="6">
        <f ca="1">$M$773*$Z$773</f>
        <v>5461.9958608895795</v>
      </c>
      <c r="AG773" s="6">
        <f>$O$773*$AA$773</f>
        <v>14406.132175027386</v>
      </c>
    </row>
    <row r="774" spans="1:33" ht="11.25" customHeight="1" x14ac:dyDescent="0.25">
      <c r="A774" s="4" t="s">
        <v>21</v>
      </c>
      <c r="B774" s="4" t="s">
        <v>33</v>
      </c>
      <c r="C774" s="4" t="s">
        <v>34</v>
      </c>
      <c r="D774" s="4" t="s">
        <v>40</v>
      </c>
      <c r="E774" s="4" t="s">
        <v>25</v>
      </c>
      <c r="F774" s="4" t="s">
        <v>25</v>
      </c>
      <c r="G774" s="4" t="s">
        <v>25</v>
      </c>
      <c r="H774" s="4" t="s">
        <v>36</v>
      </c>
      <c r="I774" s="5">
        <v>43952</v>
      </c>
      <c r="J774" s="6">
        <v>0</v>
      </c>
      <c r="K774" s="6">
        <v>0</v>
      </c>
      <c r="L774" s="6">
        <v>1754.0329999999999</v>
      </c>
      <c r="M774" s="6">
        <v>1754.0329999999999</v>
      </c>
      <c r="N774" s="6">
        <v>1754.0329999999999</v>
      </c>
      <c r="O774" s="6">
        <v>1754.0329999999999</v>
      </c>
      <c r="P774" s="6">
        <v>0</v>
      </c>
      <c r="Q774" s="4" t="s">
        <v>26</v>
      </c>
      <c r="R774" s="4">
        <v>0</v>
      </c>
      <c r="S774" s="6">
        <v>0</v>
      </c>
      <c r="T774" s="6">
        <v>28</v>
      </c>
      <c r="U774" s="6">
        <v>82</v>
      </c>
      <c r="V774" s="6">
        <f>IF(ISERROR(VLOOKUP($S$774,'TAR FIN'!$A$1:$O$120,15,0)),0,VLOOKUP($S$774,'TAR FIN'!$A$1:$O$120,15,0))</f>
        <v>0</v>
      </c>
      <c r="W774" s="6">
        <f>IF(ISERROR(VLOOKUP($T$774,'TAR FIN'!$A$1:$O$120,15,0)),0,VLOOKUP($T$774,'TAR FIN'!$A$1:$O$120,15,0))</f>
        <v>84.45</v>
      </c>
      <c r="X774" s="6">
        <f>IF(ISERROR(VLOOKUP($U$774,'TAR FIN'!$A$1:$O$120,15,0)),0,VLOOKUP($U$774,'TAR FIN'!$A$1:$O$120,15,0))</f>
        <v>256.38</v>
      </c>
      <c r="Y774" s="6"/>
      <c r="Z774" s="6">
        <f ca="1">('TUSD BE'!$AM$34+'TUSD BF'!$AM$34+'TUSD CVA'!$AM$34)*1</f>
        <v>87.519361965254689</v>
      </c>
      <c r="AA774" s="6">
        <f>('TE BE'!$AA$11+'TE BF'!$AA$11+'TE CVA'!$AA$11)*1</f>
        <v>230.83420940933817</v>
      </c>
      <c r="AB774" s="6">
        <f>$K$774*$V$774</f>
        <v>0</v>
      </c>
      <c r="AC774" s="6">
        <f>$M$774*$W$774</f>
        <v>148128.08684999999</v>
      </c>
      <c r="AD774" s="6">
        <f>$O$774*$X$774</f>
        <v>449698.98053999996</v>
      </c>
      <c r="AE774" s="6">
        <f>$K$774*$Y$774</f>
        <v>0</v>
      </c>
      <c r="AF774" s="6">
        <f ca="1">$M$774*$Z$774</f>
        <v>153511.84902600158</v>
      </c>
      <c r="AG774" s="6">
        <f>$O$774*$AA$774</f>
        <v>404890.82083288964</v>
      </c>
    </row>
    <row r="775" spans="1:33" ht="11.25" customHeight="1" x14ac:dyDescent="0.25">
      <c r="A775" s="4" t="s">
        <v>28</v>
      </c>
      <c r="B775" s="4" t="s">
        <v>33</v>
      </c>
      <c r="C775" s="4" t="s">
        <v>34</v>
      </c>
      <c r="D775" s="4" t="s">
        <v>40</v>
      </c>
      <c r="E775" s="4" t="s">
        <v>25</v>
      </c>
      <c r="F775" s="4" t="s">
        <v>25</v>
      </c>
      <c r="G775" s="4" t="s">
        <v>25</v>
      </c>
      <c r="H775" s="4" t="s">
        <v>36</v>
      </c>
      <c r="I775" s="5">
        <v>43952</v>
      </c>
      <c r="J775" s="6">
        <v>0</v>
      </c>
      <c r="K775" s="6">
        <v>0</v>
      </c>
      <c r="L775" s="6">
        <v>56.521000000000001</v>
      </c>
      <c r="M775" s="6">
        <v>56.521000000000001</v>
      </c>
      <c r="N775" s="6">
        <v>56.521000000000001</v>
      </c>
      <c r="O775" s="6">
        <v>56.521000000000001</v>
      </c>
      <c r="P775" s="6">
        <v>0</v>
      </c>
      <c r="Q775" s="4" t="s">
        <v>26</v>
      </c>
      <c r="R775" s="4">
        <v>0</v>
      </c>
      <c r="S775" s="6">
        <v>0</v>
      </c>
      <c r="T775" s="6">
        <v>28</v>
      </c>
      <c r="U775" s="6">
        <v>82</v>
      </c>
      <c r="V775" s="6">
        <f>IF(ISERROR(VLOOKUP($S$775,'TAR FIN'!$A$1:$O$120,15,0)),0,VLOOKUP($S$775,'TAR FIN'!$A$1:$O$120,15,0))</f>
        <v>0</v>
      </c>
      <c r="W775" s="6">
        <f>IF(ISERROR(VLOOKUP($T$775,'TAR FIN'!$A$1:$O$120,15,0)),0,VLOOKUP($T$775,'TAR FIN'!$A$1:$O$120,15,0))</f>
        <v>84.45</v>
      </c>
      <c r="X775" s="6">
        <f>IF(ISERROR(VLOOKUP($U$775,'TAR FIN'!$A$1:$O$120,15,0)),0,VLOOKUP($U$775,'TAR FIN'!$A$1:$O$120,15,0))</f>
        <v>256.38</v>
      </c>
      <c r="Y775" s="6"/>
      <c r="Z775" s="6">
        <f ca="1">('TUSD BE'!$AM$34+'TUSD BF'!$AM$34+'TUSD CVA'!$AM$34)*1</f>
        <v>87.519361965254689</v>
      </c>
      <c r="AA775" s="6">
        <f>('TE BE'!$AA$11+'TE BF'!$AA$11+'TE CVA'!$AA$11)*1</f>
        <v>230.83420940933817</v>
      </c>
      <c r="AB775" s="6">
        <f>$K$775*$V$775</f>
        <v>0</v>
      </c>
      <c r="AC775" s="6">
        <f>$M$775*$W$775</f>
        <v>4773.1984499999999</v>
      </c>
      <c r="AD775" s="6">
        <f>$O$775*$X$775</f>
        <v>14490.85398</v>
      </c>
      <c r="AE775" s="6">
        <f>$K$775*$Y$775</f>
        <v>0</v>
      </c>
      <c r="AF775" s="6">
        <f ca="1">$M$775*$Z$775</f>
        <v>4946.6818576381602</v>
      </c>
      <c r="AG775" s="6">
        <f>$O$775*$AA$775</f>
        <v>13046.980350025204</v>
      </c>
    </row>
    <row r="776" spans="1:33" ht="11.25" customHeight="1" x14ac:dyDescent="0.25">
      <c r="A776" s="4" t="s">
        <v>21</v>
      </c>
      <c r="B776" s="4" t="s">
        <v>33</v>
      </c>
      <c r="C776" s="4" t="s">
        <v>34</v>
      </c>
      <c r="D776" s="4" t="s">
        <v>40</v>
      </c>
      <c r="E776" s="4" t="s">
        <v>25</v>
      </c>
      <c r="F776" s="4" t="s">
        <v>25</v>
      </c>
      <c r="G776" s="4" t="s">
        <v>25</v>
      </c>
      <c r="H776" s="4" t="s">
        <v>36</v>
      </c>
      <c r="I776" s="5">
        <v>43983</v>
      </c>
      <c r="J776" s="6">
        <v>0</v>
      </c>
      <c r="K776" s="6">
        <v>0</v>
      </c>
      <c r="L776" s="6">
        <v>1931.4090000000001</v>
      </c>
      <c r="M776" s="6">
        <v>1931.4090000000001</v>
      </c>
      <c r="N776" s="6">
        <v>1931.4090000000001</v>
      </c>
      <c r="O776" s="6">
        <v>1931.4090000000001</v>
      </c>
      <c r="P776" s="6">
        <v>0</v>
      </c>
      <c r="Q776" s="4" t="s">
        <v>26</v>
      </c>
      <c r="R776" s="4">
        <v>0</v>
      </c>
      <c r="S776" s="6">
        <v>0</v>
      </c>
      <c r="T776" s="6">
        <v>28</v>
      </c>
      <c r="U776" s="6">
        <v>82</v>
      </c>
      <c r="V776" s="6">
        <f>IF(ISERROR(VLOOKUP($S$776,'TAR FIN'!$A$1:$O$120,15,0)),0,VLOOKUP($S$776,'TAR FIN'!$A$1:$O$120,15,0))</f>
        <v>0</v>
      </c>
      <c r="W776" s="6">
        <f>IF(ISERROR(VLOOKUP($T$776,'TAR FIN'!$A$1:$O$120,15,0)),0,VLOOKUP($T$776,'TAR FIN'!$A$1:$O$120,15,0))</f>
        <v>84.45</v>
      </c>
      <c r="X776" s="6">
        <f>IF(ISERROR(VLOOKUP($U$776,'TAR FIN'!$A$1:$O$120,15,0)),0,VLOOKUP($U$776,'TAR FIN'!$A$1:$O$120,15,0))</f>
        <v>256.38</v>
      </c>
      <c r="Y776" s="6"/>
      <c r="Z776" s="6">
        <f ca="1">('TUSD BE'!$AM$34+'TUSD BF'!$AM$34+'TUSD CVA'!$AM$34)*1</f>
        <v>87.519361965254689</v>
      </c>
      <c r="AA776" s="6">
        <f>('TE BE'!$AA$11+'TE BF'!$AA$11+'TE CVA'!$AA$11)*1</f>
        <v>230.83420940933817</v>
      </c>
      <c r="AB776" s="6">
        <f>$K$776*$V$776</f>
        <v>0</v>
      </c>
      <c r="AC776" s="6">
        <f>$M$776*$W$776</f>
        <v>163107.49005000002</v>
      </c>
      <c r="AD776" s="6">
        <f>$O$776*$X$776</f>
        <v>495174.63942000002</v>
      </c>
      <c r="AE776" s="6">
        <f>$K$776*$Y$776</f>
        <v>0</v>
      </c>
      <c r="AF776" s="6">
        <f ca="1">$M$776*$Z$776</f>
        <v>169035.6833739506</v>
      </c>
      <c r="AG776" s="6">
        <f>$O$776*$AA$776</f>
        <v>445835.26956108044</v>
      </c>
    </row>
    <row r="777" spans="1:33" ht="11.25" customHeight="1" x14ac:dyDescent="0.25">
      <c r="A777" s="4" t="s">
        <v>27</v>
      </c>
      <c r="B777" s="4" t="s">
        <v>33</v>
      </c>
      <c r="C777" s="4" t="s">
        <v>34</v>
      </c>
      <c r="D777" s="4" t="s">
        <v>40</v>
      </c>
      <c r="E777" s="4" t="s">
        <v>25</v>
      </c>
      <c r="F777" s="4" t="s">
        <v>25</v>
      </c>
      <c r="G777" s="4" t="s">
        <v>25</v>
      </c>
      <c r="H777" s="4" t="s">
        <v>36</v>
      </c>
      <c r="I777" s="5">
        <v>43983</v>
      </c>
      <c r="J777" s="6">
        <v>0</v>
      </c>
      <c r="K777" s="6">
        <v>0</v>
      </c>
      <c r="L777" s="6">
        <v>25.989000000000001</v>
      </c>
      <c r="M777" s="6">
        <v>25.989000000000001</v>
      </c>
      <c r="N777" s="6">
        <v>25.989000000000001</v>
      </c>
      <c r="O777" s="6">
        <v>25.989000000000001</v>
      </c>
      <c r="P777" s="6">
        <v>0</v>
      </c>
      <c r="Q777" s="4" t="s">
        <v>26</v>
      </c>
      <c r="R777" s="4">
        <v>0</v>
      </c>
      <c r="S777" s="6">
        <v>0</v>
      </c>
      <c r="T777" s="6">
        <v>28</v>
      </c>
      <c r="U777" s="6">
        <v>82</v>
      </c>
      <c r="V777" s="6">
        <f>IF(ISERROR(VLOOKUP($S$777,'TAR FIN'!$A$1:$O$120,15,0)),0,VLOOKUP($S$777,'TAR FIN'!$A$1:$O$120,15,0))</f>
        <v>0</v>
      </c>
      <c r="W777" s="6">
        <f>IF(ISERROR(VLOOKUP($T$777,'TAR FIN'!$A$1:$O$120,15,0)),0,VLOOKUP($T$777,'TAR FIN'!$A$1:$O$120,15,0))</f>
        <v>84.45</v>
      </c>
      <c r="X777" s="6">
        <f>IF(ISERROR(VLOOKUP($U$777,'TAR FIN'!$A$1:$O$120,15,0)),0,VLOOKUP($U$777,'TAR FIN'!$A$1:$O$120,15,0))</f>
        <v>256.38</v>
      </c>
      <c r="Y777" s="6"/>
      <c r="Z777" s="6">
        <f ca="1">('TUSD BE'!$AM$34+'TUSD BF'!$AM$34+'TUSD CVA'!$AM$34)*1</f>
        <v>87.519361965254689</v>
      </c>
      <c r="AA777" s="6">
        <f>('TE BE'!$AA$11+'TE BF'!$AA$11+'TE CVA'!$AA$11)*1</f>
        <v>230.83420940933817</v>
      </c>
      <c r="AB777" s="6">
        <f>$K$777*$V$777</f>
        <v>0</v>
      </c>
      <c r="AC777" s="6">
        <f>$M$777*$W$777</f>
        <v>2194.7710500000003</v>
      </c>
      <c r="AD777" s="6">
        <f>$O$777*$X$777</f>
        <v>6663.0598200000004</v>
      </c>
      <c r="AE777" s="6">
        <f>$K$777*$Y$777</f>
        <v>0</v>
      </c>
      <c r="AF777" s="6">
        <f ca="1">$M$777*$Z$777</f>
        <v>2274.540698115004</v>
      </c>
      <c r="AG777" s="6">
        <f>$O$777*$AA$777</f>
        <v>5999.1502683392901</v>
      </c>
    </row>
    <row r="778" spans="1:33" ht="11.25" customHeight="1" x14ac:dyDescent="0.25">
      <c r="A778" s="4" t="s">
        <v>28</v>
      </c>
      <c r="B778" s="4" t="s">
        <v>33</v>
      </c>
      <c r="C778" s="4" t="s">
        <v>34</v>
      </c>
      <c r="D778" s="4" t="s">
        <v>40</v>
      </c>
      <c r="E778" s="4" t="s">
        <v>25</v>
      </c>
      <c r="F778" s="4" t="s">
        <v>25</v>
      </c>
      <c r="G778" s="4" t="s">
        <v>25</v>
      </c>
      <c r="H778" s="4" t="s">
        <v>36</v>
      </c>
      <c r="I778" s="5">
        <v>43983</v>
      </c>
      <c r="J778" s="6">
        <v>0</v>
      </c>
      <c r="K778" s="6">
        <v>0</v>
      </c>
      <c r="L778" s="6">
        <v>121.191</v>
      </c>
      <c r="M778" s="6">
        <v>121.191</v>
      </c>
      <c r="N778" s="6">
        <v>121.191</v>
      </c>
      <c r="O778" s="6">
        <v>121.191</v>
      </c>
      <c r="P778" s="6">
        <v>0</v>
      </c>
      <c r="Q778" s="4" t="s">
        <v>26</v>
      </c>
      <c r="R778" s="4">
        <v>0</v>
      </c>
      <c r="S778" s="6">
        <v>0</v>
      </c>
      <c r="T778" s="6">
        <v>28</v>
      </c>
      <c r="U778" s="6">
        <v>82</v>
      </c>
      <c r="V778" s="6">
        <f>IF(ISERROR(VLOOKUP($S$778,'TAR FIN'!$A$1:$O$120,15,0)),0,VLOOKUP($S$778,'TAR FIN'!$A$1:$O$120,15,0))</f>
        <v>0</v>
      </c>
      <c r="W778" s="6">
        <f>IF(ISERROR(VLOOKUP($T$778,'TAR FIN'!$A$1:$O$120,15,0)),0,VLOOKUP($T$778,'TAR FIN'!$A$1:$O$120,15,0))</f>
        <v>84.45</v>
      </c>
      <c r="X778" s="6">
        <f>IF(ISERROR(VLOOKUP($U$778,'TAR FIN'!$A$1:$O$120,15,0)),0,VLOOKUP($U$778,'TAR FIN'!$A$1:$O$120,15,0))</f>
        <v>256.38</v>
      </c>
      <c r="Y778" s="6"/>
      <c r="Z778" s="6">
        <f ca="1">('TUSD BE'!$AM$34+'TUSD BF'!$AM$34+'TUSD CVA'!$AM$34)*1</f>
        <v>87.519361965254689</v>
      </c>
      <c r="AA778" s="6">
        <f>('TE BE'!$AA$11+'TE BF'!$AA$11+'TE CVA'!$AA$11)*1</f>
        <v>230.83420940933817</v>
      </c>
      <c r="AB778" s="6">
        <f>$K$778*$V$778</f>
        <v>0</v>
      </c>
      <c r="AC778" s="6">
        <f>$M$778*$W$778</f>
        <v>10234.579950000001</v>
      </c>
      <c r="AD778" s="6">
        <f>$O$778*$X$778</f>
        <v>31070.94858</v>
      </c>
      <c r="AE778" s="6">
        <f>$K$778*$Y$778</f>
        <v>0</v>
      </c>
      <c r="AF778" s="6">
        <f ca="1">$M$778*$Z$778</f>
        <v>10606.558995931182</v>
      </c>
      <c r="AG778" s="6">
        <f>$O$778*$AA$778</f>
        <v>27975.028672527103</v>
      </c>
    </row>
    <row r="779" spans="1:33" ht="11.25" customHeight="1" x14ac:dyDescent="0.25">
      <c r="A779" s="4" t="s">
        <v>21</v>
      </c>
      <c r="B779" s="4" t="s">
        <v>33</v>
      </c>
      <c r="C779" s="4" t="s">
        <v>34</v>
      </c>
      <c r="D779" s="4" t="s">
        <v>40</v>
      </c>
      <c r="E779" s="4" t="s">
        <v>25</v>
      </c>
      <c r="F779" s="4" t="s">
        <v>25</v>
      </c>
      <c r="G779" s="4" t="s">
        <v>25</v>
      </c>
      <c r="H779" s="4" t="s">
        <v>36</v>
      </c>
      <c r="I779" s="5">
        <v>44013</v>
      </c>
      <c r="J779" s="6">
        <v>0</v>
      </c>
      <c r="K779" s="6">
        <v>0</v>
      </c>
      <c r="L779" s="6">
        <v>2076.2440000000001</v>
      </c>
      <c r="M779" s="6">
        <v>2076.2440000000001</v>
      </c>
      <c r="N779" s="6">
        <v>2076.2440000000001</v>
      </c>
      <c r="O779" s="6">
        <v>2076.2440000000001</v>
      </c>
      <c r="P779" s="6">
        <v>0</v>
      </c>
      <c r="Q779" s="4" t="s">
        <v>26</v>
      </c>
      <c r="R779" s="4">
        <v>0</v>
      </c>
      <c r="S779" s="6">
        <v>0</v>
      </c>
      <c r="T779" s="6">
        <v>28</v>
      </c>
      <c r="U779" s="6">
        <v>82</v>
      </c>
      <c r="V779" s="6">
        <f>IF(ISERROR(VLOOKUP($S$779,'TAR FIN'!$A$1:$O$120,15,0)),0,VLOOKUP($S$779,'TAR FIN'!$A$1:$O$120,15,0))</f>
        <v>0</v>
      </c>
      <c r="W779" s="6">
        <f>IF(ISERROR(VLOOKUP($T$779,'TAR FIN'!$A$1:$O$120,15,0)),0,VLOOKUP($T$779,'TAR FIN'!$A$1:$O$120,15,0))</f>
        <v>84.45</v>
      </c>
      <c r="X779" s="6">
        <f>IF(ISERROR(VLOOKUP($U$779,'TAR FIN'!$A$1:$O$120,15,0)),0,VLOOKUP($U$779,'TAR FIN'!$A$1:$O$120,15,0))</f>
        <v>256.38</v>
      </c>
      <c r="Y779" s="6"/>
      <c r="Z779" s="6">
        <f ca="1">('TUSD BE'!$AM$34+'TUSD BF'!$AM$34+'TUSD CVA'!$AM$34)*1</f>
        <v>87.519361965254689</v>
      </c>
      <c r="AA779" s="6">
        <f>('TE BE'!$AA$11+'TE BF'!$AA$11+'TE CVA'!$AA$11)*1</f>
        <v>230.83420940933817</v>
      </c>
      <c r="AB779" s="6">
        <f>$K$779*$V$779</f>
        <v>0</v>
      </c>
      <c r="AC779" s="6">
        <f>$M$779*$W$779</f>
        <v>175338.80580000003</v>
      </c>
      <c r="AD779" s="6">
        <f>$O$779*$X$779</f>
        <v>532307.43672</v>
      </c>
      <c r="AE779" s="6">
        <f>$K$779*$Y$779</f>
        <v>0</v>
      </c>
      <c r="AF779" s="6">
        <f ca="1">$M$779*$Z$779</f>
        <v>181711.55016418826</v>
      </c>
      <c r="AG779" s="6">
        <f>$O$779*$AA$779</f>
        <v>479268.14228088193</v>
      </c>
    </row>
    <row r="780" spans="1:33" ht="11.25" customHeight="1" x14ac:dyDescent="0.25">
      <c r="A780" s="4" t="s">
        <v>27</v>
      </c>
      <c r="B780" s="4" t="s">
        <v>33</v>
      </c>
      <c r="C780" s="4" t="s">
        <v>34</v>
      </c>
      <c r="D780" s="4" t="s">
        <v>40</v>
      </c>
      <c r="E780" s="4" t="s">
        <v>25</v>
      </c>
      <c r="F780" s="4" t="s">
        <v>25</v>
      </c>
      <c r="G780" s="4" t="s">
        <v>25</v>
      </c>
      <c r="H780" s="4" t="s">
        <v>36</v>
      </c>
      <c r="I780" s="5">
        <v>44013</v>
      </c>
      <c r="J780" s="6">
        <v>0</v>
      </c>
      <c r="K780" s="6">
        <v>0</v>
      </c>
      <c r="L780" s="6">
        <v>21.2</v>
      </c>
      <c r="M780" s="6">
        <v>21.2</v>
      </c>
      <c r="N780" s="6">
        <v>21.2</v>
      </c>
      <c r="O780" s="6">
        <v>21.2</v>
      </c>
      <c r="P780" s="6">
        <v>0</v>
      </c>
      <c r="Q780" s="4" t="s">
        <v>26</v>
      </c>
      <c r="R780" s="4">
        <v>0</v>
      </c>
      <c r="S780" s="6">
        <v>0</v>
      </c>
      <c r="T780" s="6">
        <v>28</v>
      </c>
      <c r="U780" s="6">
        <v>82</v>
      </c>
      <c r="V780" s="6">
        <f>IF(ISERROR(VLOOKUP($S$780,'TAR FIN'!$A$1:$O$120,15,0)),0,VLOOKUP($S$780,'TAR FIN'!$A$1:$O$120,15,0))</f>
        <v>0</v>
      </c>
      <c r="W780" s="6">
        <f>IF(ISERROR(VLOOKUP($T$780,'TAR FIN'!$A$1:$O$120,15,0)),0,VLOOKUP($T$780,'TAR FIN'!$A$1:$O$120,15,0))</f>
        <v>84.45</v>
      </c>
      <c r="X780" s="6">
        <f>IF(ISERROR(VLOOKUP($U$780,'TAR FIN'!$A$1:$O$120,15,0)),0,VLOOKUP($U$780,'TAR FIN'!$A$1:$O$120,15,0))</f>
        <v>256.38</v>
      </c>
      <c r="Y780" s="6"/>
      <c r="Z780" s="6">
        <f ca="1">('TUSD BE'!$AM$34+'TUSD BF'!$AM$34+'TUSD CVA'!$AM$34)*1</f>
        <v>87.519361965254689</v>
      </c>
      <c r="AA780" s="6">
        <f>('TE BE'!$AA$11+'TE BF'!$AA$11+'TE CVA'!$AA$11)*1</f>
        <v>230.83420940933817</v>
      </c>
      <c r="AB780" s="6">
        <f>$K$780*$V$780</f>
        <v>0</v>
      </c>
      <c r="AC780" s="6">
        <f>$M$780*$W$780</f>
        <v>1790.34</v>
      </c>
      <c r="AD780" s="6">
        <f>$O$780*$X$780</f>
        <v>5435.2559999999994</v>
      </c>
      <c r="AE780" s="6">
        <f>$K$780*$Y$780</f>
        <v>0</v>
      </c>
      <c r="AF780" s="6">
        <f ca="1">$M$780*$Z$780</f>
        <v>1855.4104736633994</v>
      </c>
      <c r="AG780" s="6">
        <f>$O$780*$AA$780</f>
        <v>4893.6852394779689</v>
      </c>
    </row>
    <row r="781" spans="1:33" ht="11.25" customHeight="1" x14ac:dyDescent="0.25">
      <c r="A781" s="4" t="s">
        <v>28</v>
      </c>
      <c r="B781" s="4" t="s">
        <v>33</v>
      </c>
      <c r="C781" s="4" t="s">
        <v>34</v>
      </c>
      <c r="D781" s="4" t="s">
        <v>40</v>
      </c>
      <c r="E781" s="4" t="s">
        <v>25</v>
      </c>
      <c r="F781" s="4" t="s">
        <v>25</v>
      </c>
      <c r="G781" s="4" t="s">
        <v>25</v>
      </c>
      <c r="H781" s="4" t="s">
        <v>36</v>
      </c>
      <c r="I781" s="5">
        <v>44013</v>
      </c>
      <c r="J781" s="6">
        <v>0</v>
      </c>
      <c r="K781" s="6">
        <v>0</v>
      </c>
      <c r="L781" s="6">
        <v>164.58799999999999</v>
      </c>
      <c r="M781" s="6">
        <v>164.58799999999999</v>
      </c>
      <c r="N781" s="6">
        <v>164.58799999999999</v>
      </c>
      <c r="O781" s="6">
        <v>164.58799999999999</v>
      </c>
      <c r="P781" s="6">
        <v>0</v>
      </c>
      <c r="Q781" s="4" t="s">
        <v>26</v>
      </c>
      <c r="R781" s="4">
        <v>0</v>
      </c>
      <c r="S781" s="6">
        <v>0</v>
      </c>
      <c r="T781" s="6">
        <v>28</v>
      </c>
      <c r="U781" s="6">
        <v>82</v>
      </c>
      <c r="V781" s="6">
        <f>IF(ISERROR(VLOOKUP($S$781,'TAR FIN'!$A$1:$O$120,15,0)),0,VLOOKUP($S$781,'TAR FIN'!$A$1:$O$120,15,0))</f>
        <v>0</v>
      </c>
      <c r="W781" s="6">
        <f>IF(ISERROR(VLOOKUP($T$781,'TAR FIN'!$A$1:$O$120,15,0)),0,VLOOKUP($T$781,'TAR FIN'!$A$1:$O$120,15,0))</f>
        <v>84.45</v>
      </c>
      <c r="X781" s="6">
        <f>IF(ISERROR(VLOOKUP($U$781,'TAR FIN'!$A$1:$O$120,15,0)),0,VLOOKUP($U$781,'TAR FIN'!$A$1:$O$120,15,0))</f>
        <v>256.38</v>
      </c>
      <c r="Y781" s="6"/>
      <c r="Z781" s="6">
        <f ca="1">('TUSD BE'!$AM$34+'TUSD BF'!$AM$34+'TUSD CVA'!$AM$34)*1</f>
        <v>87.519361965254689</v>
      </c>
      <c r="AA781" s="6">
        <f>('TE BE'!$AA$11+'TE BF'!$AA$11+'TE CVA'!$AA$11)*1</f>
        <v>230.83420940933817</v>
      </c>
      <c r="AB781" s="6">
        <f>$K$781*$V$781</f>
        <v>0</v>
      </c>
      <c r="AC781" s="6">
        <f>$M$781*$W$781</f>
        <v>13899.4566</v>
      </c>
      <c r="AD781" s="6">
        <f>$O$781*$X$781</f>
        <v>42197.07144</v>
      </c>
      <c r="AE781" s="6">
        <f>$K$781*$Y$781</f>
        <v>0</v>
      </c>
      <c r="AF781" s="6">
        <f ca="1">$M$781*$Z$781</f>
        <v>14404.636747137338</v>
      </c>
      <c r="AG781" s="6">
        <f>$O$781*$AA$781</f>
        <v>37992.540858264147</v>
      </c>
    </row>
    <row r="782" spans="1:33" ht="11.25" customHeight="1" x14ac:dyDescent="0.25">
      <c r="A782" s="4" t="s">
        <v>21</v>
      </c>
      <c r="B782" s="4" t="s">
        <v>33</v>
      </c>
      <c r="C782" s="4" t="s">
        <v>34</v>
      </c>
      <c r="D782" s="4" t="s">
        <v>40</v>
      </c>
      <c r="E782" s="4" t="s">
        <v>25</v>
      </c>
      <c r="F782" s="4" t="s">
        <v>25</v>
      </c>
      <c r="G782" s="4" t="s">
        <v>25</v>
      </c>
      <c r="H782" s="4" t="s">
        <v>36</v>
      </c>
      <c r="I782" s="5">
        <v>44044</v>
      </c>
      <c r="J782" s="6">
        <v>0</v>
      </c>
      <c r="K782" s="6">
        <v>0</v>
      </c>
      <c r="L782" s="6">
        <v>1972.558</v>
      </c>
      <c r="M782" s="6">
        <v>1972.558</v>
      </c>
      <c r="N782" s="6">
        <v>1972.558</v>
      </c>
      <c r="O782" s="6">
        <v>1972.558</v>
      </c>
      <c r="P782" s="6">
        <v>0</v>
      </c>
      <c r="Q782" s="4" t="s">
        <v>26</v>
      </c>
      <c r="R782" s="4">
        <v>0</v>
      </c>
      <c r="S782" s="6">
        <v>0</v>
      </c>
      <c r="T782" s="6">
        <v>28</v>
      </c>
      <c r="U782" s="6">
        <v>82</v>
      </c>
      <c r="V782" s="6">
        <f>IF(ISERROR(VLOOKUP($S$782,'TAR FIN'!$A$1:$O$120,15,0)),0,VLOOKUP($S$782,'TAR FIN'!$A$1:$O$120,15,0))</f>
        <v>0</v>
      </c>
      <c r="W782" s="6">
        <f>IF(ISERROR(VLOOKUP($T$782,'TAR FIN'!$A$1:$O$120,15,0)),0,VLOOKUP($T$782,'TAR FIN'!$A$1:$O$120,15,0))</f>
        <v>84.45</v>
      </c>
      <c r="X782" s="6">
        <f>IF(ISERROR(VLOOKUP($U$782,'TAR FIN'!$A$1:$O$120,15,0)),0,VLOOKUP($U$782,'TAR FIN'!$A$1:$O$120,15,0))</f>
        <v>256.38</v>
      </c>
      <c r="Y782" s="6"/>
      <c r="Z782" s="6">
        <f ca="1">('TUSD BE'!$AM$34+'TUSD BF'!$AM$34+'TUSD CVA'!$AM$34)*1</f>
        <v>87.519361965254689</v>
      </c>
      <c r="AA782" s="6">
        <f>('TE BE'!$AA$11+'TE BF'!$AA$11+'TE CVA'!$AA$11)*1</f>
        <v>230.83420940933817</v>
      </c>
      <c r="AB782" s="6">
        <f>$K$782*$V$782</f>
        <v>0</v>
      </c>
      <c r="AC782" s="6">
        <f>$M$782*$W$782</f>
        <v>166582.52309999999</v>
      </c>
      <c r="AD782" s="6">
        <f>$O$782*$X$782</f>
        <v>505724.42004</v>
      </c>
      <c r="AE782" s="6">
        <f>$K$782*$Y$782</f>
        <v>0</v>
      </c>
      <c r="AF782" s="6">
        <f ca="1">$M$782*$Z$782</f>
        <v>172637.01759945886</v>
      </c>
      <c r="AG782" s="6">
        <f>$O$782*$AA$782</f>
        <v>455333.86644406529</v>
      </c>
    </row>
    <row r="783" spans="1:33" ht="11.25" customHeight="1" x14ac:dyDescent="0.25">
      <c r="A783" s="4" t="s">
        <v>27</v>
      </c>
      <c r="B783" s="4" t="s">
        <v>33</v>
      </c>
      <c r="C783" s="4" t="s">
        <v>34</v>
      </c>
      <c r="D783" s="4" t="s">
        <v>40</v>
      </c>
      <c r="E783" s="4" t="s">
        <v>25</v>
      </c>
      <c r="F783" s="4" t="s">
        <v>25</v>
      </c>
      <c r="G783" s="4" t="s">
        <v>25</v>
      </c>
      <c r="H783" s="4" t="s">
        <v>36</v>
      </c>
      <c r="I783" s="5">
        <v>44044</v>
      </c>
      <c r="J783" s="6">
        <v>0</v>
      </c>
      <c r="K783" s="6">
        <v>0</v>
      </c>
      <c r="L783" s="6">
        <v>30.524000000000001</v>
      </c>
      <c r="M783" s="6">
        <v>30.524000000000001</v>
      </c>
      <c r="N783" s="6">
        <v>30.524000000000001</v>
      </c>
      <c r="O783" s="6">
        <v>30.524000000000001</v>
      </c>
      <c r="P783" s="6">
        <v>0</v>
      </c>
      <c r="Q783" s="4" t="s">
        <v>26</v>
      </c>
      <c r="R783" s="4">
        <v>0</v>
      </c>
      <c r="S783" s="6">
        <v>0</v>
      </c>
      <c r="T783" s="6">
        <v>28</v>
      </c>
      <c r="U783" s="6">
        <v>82</v>
      </c>
      <c r="V783" s="6">
        <f>IF(ISERROR(VLOOKUP($S$783,'TAR FIN'!$A$1:$O$120,15,0)),0,VLOOKUP($S$783,'TAR FIN'!$A$1:$O$120,15,0))</f>
        <v>0</v>
      </c>
      <c r="W783" s="6">
        <f>IF(ISERROR(VLOOKUP($T$783,'TAR FIN'!$A$1:$O$120,15,0)),0,VLOOKUP($T$783,'TAR FIN'!$A$1:$O$120,15,0))</f>
        <v>84.45</v>
      </c>
      <c r="X783" s="6">
        <f>IF(ISERROR(VLOOKUP($U$783,'TAR FIN'!$A$1:$O$120,15,0)),0,VLOOKUP($U$783,'TAR FIN'!$A$1:$O$120,15,0))</f>
        <v>256.38</v>
      </c>
      <c r="Y783" s="6"/>
      <c r="Z783" s="6">
        <f ca="1">('TUSD BE'!$AM$34+'TUSD BF'!$AM$34+'TUSD CVA'!$AM$34)*1</f>
        <v>87.519361965254689</v>
      </c>
      <c r="AA783" s="6">
        <f>('TE BE'!$AA$11+'TE BF'!$AA$11+'TE CVA'!$AA$11)*1</f>
        <v>230.83420940933817</v>
      </c>
      <c r="AB783" s="6">
        <f>$K$783*$V$783</f>
        <v>0</v>
      </c>
      <c r="AC783" s="6">
        <f>$M$783*$W$783</f>
        <v>2577.7518</v>
      </c>
      <c r="AD783" s="6">
        <f>$O$783*$X$783</f>
        <v>7825.7431200000001</v>
      </c>
      <c r="AE783" s="6">
        <f>$K$783*$Y$783</f>
        <v>0</v>
      </c>
      <c r="AF783" s="6">
        <f ca="1">$M$783*$Z$783</f>
        <v>2671.4410046274343</v>
      </c>
      <c r="AG783" s="6">
        <f>$O$783*$AA$783</f>
        <v>7045.9834080106384</v>
      </c>
    </row>
    <row r="784" spans="1:33" ht="11.25" customHeight="1" x14ac:dyDescent="0.25">
      <c r="A784" s="4" t="s">
        <v>28</v>
      </c>
      <c r="B784" s="4" t="s">
        <v>33</v>
      </c>
      <c r="C784" s="4" t="s">
        <v>34</v>
      </c>
      <c r="D784" s="4" t="s">
        <v>40</v>
      </c>
      <c r="E784" s="4" t="s">
        <v>25</v>
      </c>
      <c r="F784" s="4" t="s">
        <v>25</v>
      </c>
      <c r="G784" s="4" t="s">
        <v>25</v>
      </c>
      <c r="H784" s="4" t="s">
        <v>36</v>
      </c>
      <c r="I784" s="5">
        <v>44044</v>
      </c>
      <c r="J784" s="6">
        <v>0</v>
      </c>
      <c r="K784" s="6">
        <v>0</v>
      </c>
      <c r="L784" s="6">
        <v>150.28800000000001</v>
      </c>
      <c r="M784" s="6">
        <v>150.28800000000001</v>
      </c>
      <c r="N784" s="6">
        <v>150.28800000000001</v>
      </c>
      <c r="O784" s="6">
        <v>150.28800000000001</v>
      </c>
      <c r="P784" s="6">
        <v>0</v>
      </c>
      <c r="Q784" s="4" t="s">
        <v>26</v>
      </c>
      <c r="R784" s="4">
        <v>0</v>
      </c>
      <c r="S784" s="6">
        <v>0</v>
      </c>
      <c r="T784" s="6">
        <v>28</v>
      </c>
      <c r="U784" s="6">
        <v>82</v>
      </c>
      <c r="V784" s="6">
        <f>IF(ISERROR(VLOOKUP($S$784,'TAR FIN'!$A$1:$O$120,15,0)),0,VLOOKUP($S$784,'TAR FIN'!$A$1:$O$120,15,0))</f>
        <v>0</v>
      </c>
      <c r="W784" s="6">
        <f>IF(ISERROR(VLOOKUP($T$784,'TAR FIN'!$A$1:$O$120,15,0)),0,VLOOKUP($T$784,'TAR FIN'!$A$1:$O$120,15,0))</f>
        <v>84.45</v>
      </c>
      <c r="X784" s="6">
        <f>IF(ISERROR(VLOOKUP($U$784,'TAR FIN'!$A$1:$O$120,15,0)),0,VLOOKUP($U$784,'TAR FIN'!$A$1:$O$120,15,0))</f>
        <v>256.38</v>
      </c>
      <c r="Y784" s="6"/>
      <c r="Z784" s="6">
        <f ca="1">('TUSD BE'!$AM$34+'TUSD BF'!$AM$34+'TUSD CVA'!$AM$34)*1</f>
        <v>87.519361965254689</v>
      </c>
      <c r="AA784" s="6">
        <f>('TE BE'!$AA$11+'TE BF'!$AA$11+'TE CVA'!$AA$11)*1</f>
        <v>230.83420940933817</v>
      </c>
      <c r="AB784" s="6">
        <f>$K$784*$V$784</f>
        <v>0</v>
      </c>
      <c r="AC784" s="6">
        <f>$M$784*$W$784</f>
        <v>12691.821600000001</v>
      </c>
      <c r="AD784" s="6">
        <f>$O$784*$X$784</f>
        <v>38530.837440000003</v>
      </c>
      <c r="AE784" s="6">
        <f>$K$784*$Y$784</f>
        <v>0</v>
      </c>
      <c r="AF784" s="6">
        <f ca="1">$M$784*$Z$784</f>
        <v>13153.109871034198</v>
      </c>
      <c r="AG784" s="6">
        <f>$O$784*$AA$784</f>
        <v>34691.611663710617</v>
      </c>
    </row>
    <row r="785" spans="1:33" ht="11.25" customHeight="1" x14ac:dyDescent="0.25">
      <c r="A785" s="4" t="s">
        <v>59</v>
      </c>
      <c r="B785" s="4" t="s">
        <v>33</v>
      </c>
      <c r="C785" s="4" t="s">
        <v>34</v>
      </c>
      <c r="D785" s="4" t="s">
        <v>40</v>
      </c>
      <c r="E785" s="4" t="s">
        <v>25</v>
      </c>
      <c r="F785" s="4" t="s">
        <v>25</v>
      </c>
      <c r="G785" s="4" t="s">
        <v>25</v>
      </c>
      <c r="H785" s="4" t="s">
        <v>36</v>
      </c>
      <c r="I785" s="5">
        <v>44075</v>
      </c>
      <c r="J785" s="6">
        <v>0</v>
      </c>
      <c r="K785" s="6">
        <v>0</v>
      </c>
      <c r="L785" s="6">
        <v>1972.558</v>
      </c>
      <c r="M785" s="6">
        <v>1972.558</v>
      </c>
      <c r="N785" s="6">
        <v>1972.558</v>
      </c>
      <c r="O785" s="6">
        <v>1972.558</v>
      </c>
      <c r="P785" s="6">
        <v>0</v>
      </c>
      <c r="Q785" s="4" t="s">
        <v>26</v>
      </c>
      <c r="R785" s="4">
        <v>0</v>
      </c>
      <c r="S785" s="6">
        <v>0</v>
      </c>
      <c r="T785" s="6">
        <v>28</v>
      </c>
      <c r="U785" s="6">
        <v>82</v>
      </c>
      <c r="V785" s="6">
        <f>IF(ISERROR(VLOOKUP($S$785,'TAR FIN'!$A$1:$O$120,15,0)),0,VLOOKUP($S$785,'TAR FIN'!$A$1:$O$120,15,0))</f>
        <v>0</v>
      </c>
      <c r="W785" s="6">
        <f>IF(ISERROR(VLOOKUP($T$785,'TAR FIN'!$A$1:$O$120,15,0)),0,VLOOKUP($T$785,'TAR FIN'!$A$1:$O$120,15,0))</f>
        <v>84.45</v>
      </c>
      <c r="X785" s="6">
        <f>IF(ISERROR(VLOOKUP($U$785,'TAR FIN'!$A$1:$O$120,15,0)),0,VLOOKUP($U$785,'TAR FIN'!$A$1:$O$120,15,0))</f>
        <v>256.38</v>
      </c>
      <c r="Y785" s="6"/>
      <c r="Z785" s="6">
        <f ca="1">('TUSD BE'!$AM$34+'TUSD BF'!$AM$34+'TUSD CVA'!$AM$34)*1</f>
        <v>87.519361965254689</v>
      </c>
      <c r="AA785" s="6">
        <f>('TE BE'!$AA$11+'TE BF'!$AA$11+'TE CVA'!$AA$11)*1</f>
        <v>230.83420940933817</v>
      </c>
      <c r="AB785" s="6">
        <f>$K$785*$V$785</f>
        <v>0</v>
      </c>
      <c r="AC785" s="6">
        <f>$M$785*$W$785</f>
        <v>166582.52309999999</v>
      </c>
      <c r="AD785" s="6">
        <f>$O$785*$X$785</f>
        <v>505724.42004</v>
      </c>
      <c r="AE785" s="6">
        <f>$K$785*$Y$785</f>
        <v>0</v>
      </c>
      <c r="AF785" s="6">
        <f ca="1">$M$785*$Z$785</f>
        <v>172637.01759945886</v>
      </c>
      <c r="AG785" s="6">
        <f>$O$785*$AA$785</f>
        <v>455333.86644406529</v>
      </c>
    </row>
    <row r="786" spans="1:33" ht="11.25" customHeight="1" x14ac:dyDescent="0.25">
      <c r="A786" s="4" t="s">
        <v>59</v>
      </c>
      <c r="B786" s="4" t="s">
        <v>33</v>
      </c>
      <c r="C786" s="4" t="s">
        <v>34</v>
      </c>
      <c r="D786" s="4" t="s">
        <v>40</v>
      </c>
      <c r="E786" s="4" t="s">
        <v>25</v>
      </c>
      <c r="F786" s="4" t="s">
        <v>25</v>
      </c>
      <c r="G786" s="4" t="s">
        <v>25</v>
      </c>
      <c r="H786" s="4" t="s">
        <v>36</v>
      </c>
      <c r="I786" s="5">
        <v>44075</v>
      </c>
      <c r="J786" s="6">
        <v>0</v>
      </c>
      <c r="K786" s="6">
        <v>0</v>
      </c>
      <c r="L786" s="6">
        <v>30.524000000000001</v>
      </c>
      <c r="M786" s="6">
        <v>30.524000000000001</v>
      </c>
      <c r="N786" s="6">
        <v>30.524000000000001</v>
      </c>
      <c r="O786" s="6">
        <v>30.524000000000001</v>
      </c>
      <c r="P786" s="6">
        <v>0</v>
      </c>
      <c r="Q786" s="4" t="s">
        <v>26</v>
      </c>
      <c r="R786" s="4">
        <v>0</v>
      </c>
      <c r="S786" s="6">
        <v>0</v>
      </c>
      <c r="T786" s="6">
        <v>28</v>
      </c>
      <c r="U786" s="6">
        <v>82</v>
      </c>
      <c r="V786" s="6">
        <f>IF(ISERROR(VLOOKUP($S$786,'TAR FIN'!$A$1:$O$120,15,0)),0,VLOOKUP($S$786,'TAR FIN'!$A$1:$O$120,15,0))</f>
        <v>0</v>
      </c>
      <c r="W786" s="6">
        <f>IF(ISERROR(VLOOKUP($T$786,'TAR FIN'!$A$1:$O$120,15,0)),0,VLOOKUP($T$786,'TAR FIN'!$A$1:$O$120,15,0))</f>
        <v>84.45</v>
      </c>
      <c r="X786" s="6">
        <f>IF(ISERROR(VLOOKUP($U$786,'TAR FIN'!$A$1:$O$120,15,0)),0,VLOOKUP($U$786,'TAR FIN'!$A$1:$O$120,15,0))</f>
        <v>256.38</v>
      </c>
      <c r="Y786" s="6"/>
      <c r="Z786" s="6">
        <f ca="1">('TUSD BE'!$AM$34+'TUSD BF'!$AM$34+'TUSD CVA'!$AM$34)*1</f>
        <v>87.519361965254689</v>
      </c>
      <c r="AA786" s="6">
        <f>('TE BE'!$AA$11+'TE BF'!$AA$11+'TE CVA'!$AA$11)*1</f>
        <v>230.83420940933817</v>
      </c>
      <c r="AB786" s="6">
        <f>$K$786*$V$786</f>
        <v>0</v>
      </c>
      <c r="AC786" s="6">
        <f>$M$786*$W$786</f>
        <v>2577.7518</v>
      </c>
      <c r="AD786" s="6">
        <f>$O$786*$X$786</f>
        <v>7825.7431200000001</v>
      </c>
      <c r="AE786" s="6">
        <f>$K$786*$Y$786</f>
        <v>0</v>
      </c>
      <c r="AF786" s="6">
        <f ca="1">$M$786*$Z$786</f>
        <v>2671.4410046274343</v>
      </c>
      <c r="AG786" s="6">
        <f>$O$786*$AA$786</f>
        <v>7045.9834080106384</v>
      </c>
    </row>
    <row r="787" spans="1:33" ht="11.25" customHeight="1" x14ac:dyDescent="0.25">
      <c r="A787" s="4" t="s">
        <v>59</v>
      </c>
      <c r="B787" s="4" t="s">
        <v>33</v>
      </c>
      <c r="C787" s="4" t="s">
        <v>34</v>
      </c>
      <c r="D787" s="4" t="s">
        <v>40</v>
      </c>
      <c r="E787" s="4" t="s">
        <v>25</v>
      </c>
      <c r="F787" s="4" t="s">
        <v>25</v>
      </c>
      <c r="G787" s="4" t="s">
        <v>25</v>
      </c>
      <c r="H787" s="4" t="s">
        <v>36</v>
      </c>
      <c r="I787" s="5">
        <v>44075</v>
      </c>
      <c r="J787" s="6">
        <v>0</v>
      </c>
      <c r="K787" s="6">
        <v>0</v>
      </c>
      <c r="L787" s="6">
        <v>150.28800000000001</v>
      </c>
      <c r="M787" s="6">
        <v>150.28800000000001</v>
      </c>
      <c r="N787" s="6">
        <v>150.28800000000001</v>
      </c>
      <c r="O787" s="6">
        <v>150.28800000000001</v>
      </c>
      <c r="P787" s="6">
        <v>0</v>
      </c>
      <c r="Q787" s="4" t="s">
        <v>26</v>
      </c>
      <c r="R787" s="4">
        <v>0</v>
      </c>
      <c r="S787" s="6">
        <v>0</v>
      </c>
      <c r="T787" s="6">
        <v>28</v>
      </c>
      <c r="U787" s="6">
        <v>82</v>
      </c>
      <c r="V787" s="6">
        <f>IF(ISERROR(VLOOKUP($S$787,'TAR FIN'!$A$1:$O$120,15,0)),0,VLOOKUP($S$787,'TAR FIN'!$A$1:$O$120,15,0))</f>
        <v>0</v>
      </c>
      <c r="W787" s="6">
        <f>IF(ISERROR(VLOOKUP($T$787,'TAR FIN'!$A$1:$O$120,15,0)),0,VLOOKUP($T$787,'TAR FIN'!$A$1:$O$120,15,0))</f>
        <v>84.45</v>
      </c>
      <c r="X787" s="6">
        <f>IF(ISERROR(VLOOKUP($U$787,'TAR FIN'!$A$1:$O$120,15,0)),0,VLOOKUP($U$787,'TAR FIN'!$A$1:$O$120,15,0))</f>
        <v>256.38</v>
      </c>
      <c r="Y787" s="6"/>
      <c r="Z787" s="6">
        <f ca="1">('TUSD BE'!$AM$34+'TUSD BF'!$AM$34+'TUSD CVA'!$AM$34)*1</f>
        <v>87.519361965254689</v>
      </c>
      <c r="AA787" s="6">
        <f>('TE BE'!$AA$11+'TE BF'!$AA$11+'TE CVA'!$AA$11)*1</f>
        <v>230.83420940933817</v>
      </c>
      <c r="AB787" s="6">
        <f>$K$787*$V$787</f>
        <v>0</v>
      </c>
      <c r="AC787" s="6">
        <f>$M$787*$W$787</f>
        <v>12691.821600000001</v>
      </c>
      <c r="AD787" s="6">
        <f>$O$787*$X$787</f>
        <v>38530.837440000003</v>
      </c>
      <c r="AE787" s="6">
        <f>$K$787*$Y$787</f>
        <v>0</v>
      </c>
      <c r="AF787" s="6">
        <f ca="1">$M$787*$Z$787</f>
        <v>13153.109871034198</v>
      </c>
      <c r="AG787" s="6">
        <f>$O$787*$AA$787</f>
        <v>34691.611663710617</v>
      </c>
    </row>
    <row r="788" spans="1:33" ht="11.25" customHeight="1" x14ac:dyDescent="0.25">
      <c r="A788" s="4" t="s">
        <v>21</v>
      </c>
      <c r="B788" s="4" t="s">
        <v>33</v>
      </c>
      <c r="C788" s="4" t="s">
        <v>34</v>
      </c>
      <c r="D788" s="4" t="s">
        <v>40</v>
      </c>
      <c r="E788" s="4" t="s">
        <v>25</v>
      </c>
      <c r="F788" s="4" t="s">
        <v>25</v>
      </c>
      <c r="G788" s="4" t="s">
        <v>25</v>
      </c>
      <c r="H788" s="4" t="s">
        <v>25</v>
      </c>
      <c r="I788" s="5">
        <v>43739</v>
      </c>
      <c r="J788" s="6">
        <v>19283</v>
      </c>
      <c r="K788" s="6">
        <v>19283</v>
      </c>
      <c r="L788" s="6">
        <v>0</v>
      </c>
      <c r="M788" s="6">
        <v>0</v>
      </c>
      <c r="N788" s="6">
        <v>0</v>
      </c>
      <c r="O788" s="6">
        <v>0</v>
      </c>
      <c r="P788" s="6">
        <v>126</v>
      </c>
      <c r="Q788" s="4" t="s">
        <v>26</v>
      </c>
      <c r="R788" s="4">
        <v>0</v>
      </c>
      <c r="S788" s="6">
        <v>26</v>
      </c>
      <c r="T788" s="6">
        <v>0</v>
      </c>
      <c r="U788" s="6">
        <v>0</v>
      </c>
      <c r="V788" s="6">
        <f>IF(ISERROR(VLOOKUP($S$788,'TAR FIN'!$A$1:$O$120,15,0)),0,VLOOKUP($S$788,'TAR FIN'!$A$1:$O$120,15,0))</f>
        <v>8.81</v>
      </c>
      <c r="W788" s="6">
        <f>IF(ISERROR(VLOOKUP($T$788,'TAR FIN'!$A$1:$O$120,15,0)),0,VLOOKUP($T$788,'TAR FIN'!$A$1:$O$120,15,0))</f>
        <v>0</v>
      </c>
      <c r="X788" s="6">
        <f>IF(ISERROR(VLOOKUP($U$788,'TAR FIN'!$A$1:$O$120,15,0)),0,VLOOKUP($U$788,'TAR FIN'!$A$1:$O$120,15,0))</f>
        <v>0</v>
      </c>
      <c r="Y788" s="6">
        <f ca="1">('TUSD BE'!$AM$32+'TUSD BF'!$AM$32+'TUSD CVA'!$AM$32)*1</f>
        <v>11.452356648653195</v>
      </c>
      <c r="Z788" s="6"/>
      <c r="AA788" s="6"/>
      <c r="AB788" s="6">
        <f>$K$788*$V$788</f>
        <v>169883.23</v>
      </c>
      <c r="AC788" s="6">
        <f>$M$788*$W$788</f>
        <v>0</v>
      </c>
      <c r="AD788" s="6">
        <f>$O$788*$X$788</f>
        <v>0</v>
      </c>
      <c r="AE788" s="6">
        <f ca="1">$K$788*$Y$788</f>
        <v>220835.79325597957</v>
      </c>
      <c r="AF788" s="6">
        <f>$M$788*$Z$788</f>
        <v>0</v>
      </c>
      <c r="AG788" s="6">
        <f>$O$788*$AA$788</f>
        <v>0</v>
      </c>
    </row>
    <row r="789" spans="1:33" ht="11.25" customHeight="1" x14ac:dyDescent="0.25">
      <c r="A789" s="4" t="s">
        <v>27</v>
      </c>
      <c r="B789" s="4" t="s">
        <v>33</v>
      </c>
      <c r="C789" s="4" t="s">
        <v>34</v>
      </c>
      <c r="D789" s="4" t="s">
        <v>40</v>
      </c>
      <c r="E789" s="4" t="s">
        <v>25</v>
      </c>
      <c r="F789" s="4" t="s">
        <v>25</v>
      </c>
      <c r="G789" s="4" t="s">
        <v>25</v>
      </c>
      <c r="H789" s="4" t="s">
        <v>25</v>
      </c>
      <c r="I789" s="5">
        <v>43739</v>
      </c>
      <c r="J789" s="6">
        <v>57</v>
      </c>
      <c r="K789" s="6">
        <v>57</v>
      </c>
      <c r="L789" s="6">
        <v>0</v>
      </c>
      <c r="M789" s="6">
        <v>0</v>
      </c>
      <c r="N789" s="6">
        <v>0</v>
      </c>
      <c r="O789" s="6">
        <v>0</v>
      </c>
      <c r="P789" s="6">
        <v>1</v>
      </c>
      <c r="Q789" s="4" t="s">
        <v>26</v>
      </c>
      <c r="R789" s="4">
        <v>0</v>
      </c>
      <c r="S789" s="6">
        <v>26</v>
      </c>
      <c r="T789" s="6">
        <v>0</v>
      </c>
      <c r="U789" s="6">
        <v>0</v>
      </c>
      <c r="V789" s="6">
        <f>IF(ISERROR(VLOOKUP($S$789,'TAR FIN'!$A$1:$O$120,15,0)),0,VLOOKUP($S$789,'TAR FIN'!$A$1:$O$120,15,0))</f>
        <v>8.81</v>
      </c>
      <c r="W789" s="6">
        <f>IF(ISERROR(VLOOKUP($T$789,'TAR FIN'!$A$1:$O$120,15,0)),0,VLOOKUP($T$789,'TAR FIN'!$A$1:$O$120,15,0))</f>
        <v>0</v>
      </c>
      <c r="X789" s="6">
        <f>IF(ISERROR(VLOOKUP($U$789,'TAR FIN'!$A$1:$O$120,15,0)),0,VLOOKUP($U$789,'TAR FIN'!$A$1:$O$120,15,0))</f>
        <v>0</v>
      </c>
      <c r="Y789" s="6">
        <f ca="1">('TUSD BE'!$AM$32+'TUSD BF'!$AM$32+'TUSD CVA'!$AM$32)*1</f>
        <v>11.452356648653195</v>
      </c>
      <c r="Z789" s="6"/>
      <c r="AA789" s="6"/>
      <c r="AB789" s="6">
        <f>$K$789*$V$789</f>
        <v>502.17</v>
      </c>
      <c r="AC789" s="6">
        <f>$M$789*$W$789</f>
        <v>0</v>
      </c>
      <c r="AD789" s="6">
        <f>$O$789*$X$789</f>
        <v>0</v>
      </c>
      <c r="AE789" s="6">
        <f ca="1">$K$789*$Y$789</f>
        <v>652.78432897323216</v>
      </c>
      <c r="AF789" s="6">
        <f>$M$789*$Z$789</f>
        <v>0</v>
      </c>
      <c r="AG789" s="6">
        <f>$O$789*$AA$789</f>
        <v>0</v>
      </c>
    </row>
    <row r="790" spans="1:33" ht="11.25" customHeight="1" x14ac:dyDescent="0.25">
      <c r="A790" s="4" t="s">
        <v>28</v>
      </c>
      <c r="B790" s="4" t="s">
        <v>33</v>
      </c>
      <c r="C790" s="4" t="s">
        <v>34</v>
      </c>
      <c r="D790" s="4" t="s">
        <v>40</v>
      </c>
      <c r="E790" s="4" t="s">
        <v>25</v>
      </c>
      <c r="F790" s="4" t="s">
        <v>25</v>
      </c>
      <c r="G790" s="4" t="s">
        <v>25</v>
      </c>
      <c r="H790" s="4" t="s">
        <v>25</v>
      </c>
      <c r="I790" s="5">
        <v>43739</v>
      </c>
      <c r="J790" s="6">
        <v>1100</v>
      </c>
      <c r="K790" s="6">
        <v>1100</v>
      </c>
      <c r="L790" s="6">
        <v>0</v>
      </c>
      <c r="M790" s="6">
        <v>0</v>
      </c>
      <c r="N790" s="6">
        <v>0</v>
      </c>
      <c r="O790" s="6">
        <v>0</v>
      </c>
      <c r="P790" s="6">
        <v>4</v>
      </c>
      <c r="Q790" s="4" t="s">
        <v>26</v>
      </c>
      <c r="R790" s="4">
        <v>0</v>
      </c>
      <c r="S790" s="6">
        <v>26</v>
      </c>
      <c r="T790" s="6">
        <v>0</v>
      </c>
      <c r="U790" s="6">
        <v>0</v>
      </c>
      <c r="V790" s="6">
        <f>IF(ISERROR(VLOOKUP($S$790,'TAR FIN'!$A$1:$O$120,15,0)),0,VLOOKUP($S$790,'TAR FIN'!$A$1:$O$120,15,0))</f>
        <v>8.81</v>
      </c>
      <c r="W790" s="6">
        <f>IF(ISERROR(VLOOKUP($T$790,'TAR FIN'!$A$1:$O$120,15,0)),0,VLOOKUP($T$790,'TAR FIN'!$A$1:$O$120,15,0))</f>
        <v>0</v>
      </c>
      <c r="X790" s="6">
        <f>IF(ISERROR(VLOOKUP($U$790,'TAR FIN'!$A$1:$O$120,15,0)),0,VLOOKUP($U$790,'TAR FIN'!$A$1:$O$120,15,0))</f>
        <v>0</v>
      </c>
      <c r="Y790" s="6">
        <f ca="1">('TUSD BE'!$AM$32+'TUSD BF'!$AM$32+'TUSD CVA'!$AM$32)*1</f>
        <v>11.452356648653195</v>
      </c>
      <c r="Z790" s="6"/>
      <c r="AA790" s="6"/>
      <c r="AB790" s="6">
        <f>$K$790*$V$790</f>
        <v>9691</v>
      </c>
      <c r="AC790" s="6">
        <f>$M$790*$W$790</f>
        <v>0</v>
      </c>
      <c r="AD790" s="6">
        <f>$O$790*$X$790</f>
        <v>0</v>
      </c>
      <c r="AE790" s="6">
        <f ca="1">$K$790*$Y$790</f>
        <v>12597.592313518515</v>
      </c>
      <c r="AF790" s="6">
        <f>$M$790*$Z$790</f>
        <v>0</v>
      </c>
      <c r="AG790" s="6">
        <f>$O$790*$AA$790</f>
        <v>0</v>
      </c>
    </row>
    <row r="791" spans="1:33" ht="11.25" customHeight="1" x14ac:dyDescent="0.25">
      <c r="A791" s="4" t="s">
        <v>21</v>
      </c>
      <c r="B791" s="4" t="s">
        <v>33</v>
      </c>
      <c r="C791" s="4" t="s">
        <v>34</v>
      </c>
      <c r="D791" s="4" t="s">
        <v>40</v>
      </c>
      <c r="E791" s="4" t="s">
        <v>25</v>
      </c>
      <c r="F791" s="4" t="s">
        <v>25</v>
      </c>
      <c r="G791" s="4" t="s">
        <v>25</v>
      </c>
      <c r="H791" s="4" t="s">
        <v>25</v>
      </c>
      <c r="I791" s="5">
        <v>43770</v>
      </c>
      <c r="J791" s="6">
        <v>19242</v>
      </c>
      <c r="K791" s="6">
        <v>19242</v>
      </c>
      <c r="L791" s="6">
        <v>0</v>
      </c>
      <c r="M791" s="6">
        <v>0</v>
      </c>
      <c r="N791" s="6">
        <v>0</v>
      </c>
      <c r="O791" s="6">
        <v>0</v>
      </c>
      <c r="P791" s="6">
        <v>125</v>
      </c>
      <c r="Q791" s="4" t="s">
        <v>26</v>
      </c>
      <c r="R791" s="4">
        <v>0</v>
      </c>
      <c r="S791" s="6">
        <v>26</v>
      </c>
      <c r="T791" s="6">
        <v>0</v>
      </c>
      <c r="U791" s="6">
        <v>0</v>
      </c>
      <c r="V791" s="6">
        <f>IF(ISERROR(VLOOKUP($S$791,'TAR FIN'!$A$1:$O$120,15,0)),0,VLOOKUP($S$791,'TAR FIN'!$A$1:$O$120,15,0))</f>
        <v>8.81</v>
      </c>
      <c r="W791" s="6">
        <f>IF(ISERROR(VLOOKUP($T$791,'TAR FIN'!$A$1:$O$120,15,0)),0,VLOOKUP($T$791,'TAR FIN'!$A$1:$O$120,15,0))</f>
        <v>0</v>
      </c>
      <c r="X791" s="6">
        <f>IF(ISERROR(VLOOKUP($U$791,'TAR FIN'!$A$1:$O$120,15,0)),0,VLOOKUP($U$791,'TAR FIN'!$A$1:$O$120,15,0))</f>
        <v>0</v>
      </c>
      <c r="Y791" s="6">
        <f ca="1">('TUSD BE'!$AM$32+'TUSD BF'!$AM$32+'TUSD CVA'!$AM$32)*1</f>
        <v>11.452356648653195</v>
      </c>
      <c r="Z791" s="6"/>
      <c r="AA791" s="6"/>
      <c r="AB791" s="6">
        <f>$K$791*$V$791</f>
        <v>169522.02000000002</v>
      </c>
      <c r="AC791" s="6">
        <f>$M$791*$W$791</f>
        <v>0</v>
      </c>
      <c r="AD791" s="6">
        <f>$O$791*$X$791</f>
        <v>0</v>
      </c>
      <c r="AE791" s="6">
        <f ca="1">$K$791*$Y$791</f>
        <v>220366.24663338478</v>
      </c>
      <c r="AF791" s="6">
        <f>$M$791*$Z$791</f>
        <v>0</v>
      </c>
      <c r="AG791" s="6">
        <f>$O$791*$AA$791</f>
        <v>0</v>
      </c>
    </row>
    <row r="792" spans="1:33" ht="11.25" customHeight="1" x14ac:dyDescent="0.25">
      <c r="A792" s="4" t="s">
        <v>27</v>
      </c>
      <c r="B792" s="4" t="s">
        <v>33</v>
      </c>
      <c r="C792" s="4" t="s">
        <v>34</v>
      </c>
      <c r="D792" s="4" t="s">
        <v>40</v>
      </c>
      <c r="E792" s="4" t="s">
        <v>25</v>
      </c>
      <c r="F792" s="4" t="s">
        <v>25</v>
      </c>
      <c r="G792" s="4" t="s">
        <v>25</v>
      </c>
      <c r="H792" s="4" t="s">
        <v>25</v>
      </c>
      <c r="I792" s="5">
        <v>43770</v>
      </c>
      <c r="J792" s="6">
        <v>340</v>
      </c>
      <c r="K792" s="6">
        <v>340</v>
      </c>
      <c r="L792" s="6">
        <v>0</v>
      </c>
      <c r="M792" s="6">
        <v>0</v>
      </c>
      <c r="N792" s="6">
        <v>0</v>
      </c>
      <c r="O792" s="6">
        <v>0</v>
      </c>
      <c r="P792" s="6">
        <v>2</v>
      </c>
      <c r="Q792" s="4" t="s">
        <v>26</v>
      </c>
      <c r="R792" s="4">
        <v>0</v>
      </c>
      <c r="S792" s="6">
        <v>26</v>
      </c>
      <c r="T792" s="6">
        <v>0</v>
      </c>
      <c r="U792" s="6">
        <v>0</v>
      </c>
      <c r="V792" s="6">
        <f>IF(ISERROR(VLOOKUP($S$792,'TAR FIN'!$A$1:$O$120,15,0)),0,VLOOKUP($S$792,'TAR FIN'!$A$1:$O$120,15,0))</f>
        <v>8.81</v>
      </c>
      <c r="W792" s="6">
        <f>IF(ISERROR(VLOOKUP($T$792,'TAR FIN'!$A$1:$O$120,15,0)),0,VLOOKUP($T$792,'TAR FIN'!$A$1:$O$120,15,0))</f>
        <v>0</v>
      </c>
      <c r="X792" s="6">
        <f>IF(ISERROR(VLOOKUP($U$792,'TAR FIN'!$A$1:$O$120,15,0)),0,VLOOKUP($U$792,'TAR FIN'!$A$1:$O$120,15,0))</f>
        <v>0</v>
      </c>
      <c r="Y792" s="6">
        <f ca="1">('TUSD BE'!$AM$32+'TUSD BF'!$AM$32+'TUSD CVA'!$AM$32)*1</f>
        <v>11.452356648653195</v>
      </c>
      <c r="Z792" s="6"/>
      <c r="AA792" s="6"/>
      <c r="AB792" s="6">
        <f>$K$792*$V$792</f>
        <v>2995.4</v>
      </c>
      <c r="AC792" s="6">
        <f>$M$792*$W$792</f>
        <v>0</v>
      </c>
      <c r="AD792" s="6">
        <f>$O$792*$X$792</f>
        <v>0</v>
      </c>
      <c r="AE792" s="6">
        <f ca="1">$K$792*$Y$792</f>
        <v>3893.8012605420863</v>
      </c>
      <c r="AF792" s="6">
        <f>$M$792*$Z$792</f>
        <v>0</v>
      </c>
      <c r="AG792" s="6">
        <f>$O$792*$AA$792</f>
        <v>0</v>
      </c>
    </row>
    <row r="793" spans="1:33" ht="11.25" customHeight="1" x14ac:dyDescent="0.25">
      <c r="A793" s="4" t="s">
        <v>28</v>
      </c>
      <c r="B793" s="4" t="s">
        <v>33</v>
      </c>
      <c r="C793" s="4" t="s">
        <v>34</v>
      </c>
      <c r="D793" s="4" t="s">
        <v>40</v>
      </c>
      <c r="E793" s="4" t="s">
        <v>25</v>
      </c>
      <c r="F793" s="4" t="s">
        <v>25</v>
      </c>
      <c r="G793" s="4" t="s">
        <v>25</v>
      </c>
      <c r="H793" s="4" t="s">
        <v>25</v>
      </c>
      <c r="I793" s="5">
        <v>43770</v>
      </c>
      <c r="J793" s="6">
        <v>1100</v>
      </c>
      <c r="K793" s="6">
        <v>1100</v>
      </c>
      <c r="L793" s="6">
        <v>0</v>
      </c>
      <c r="M793" s="6">
        <v>0</v>
      </c>
      <c r="N793" s="6">
        <v>0</v>
      </c>
      <c r="O793" s="6">
        <v>0</v>
      </c>
      <c r="P793" s="6">
        <v>4</v>
      </c>
      <c r="Q793" s="4" t="s">
        <v>26</v>
      </c>
      <c r="R793" s="4">
        <v>0</v>
      </c>
      <c r="S793" s="6">
        <v>26</v>
      </c>
      <c r="T793" s="6">
        <v>0</v>
      </c>
      <c r="U793" s="6">
        <v>0</v>
      </c>
      <c r="V793" s="6">
        <f>IF(ISERROR(VLOOKUP($S$793,'TAR FIN'!$A$1:$O$120,15,0)),0,VLOOKUP($S$793,'TAR FIN'!$A$1:$O$120,15,0))</f>
        <v>8.81</v>
      </c>
      <c r="W793" s="6">
        <f>IF(ISERROR(VLOOKUP($T$793,'TAR FIN'!$A$1:$O$120,15,0)),0,VLOOKUP($T$793,'TAR FIN'!$A$1:$O$120,15,0))</f>
        <v>0</v>
      </c>
      <c r="X793" s="6">
        <f>IF(ISERROR(VLOOKUP($U$793,'TAR FIN'!$A$1:$O$120,15,0)),0,VLOOKUP($U$793,'TAR FIN'!$A$1:$O$120,15,0))</f>
        <v>0</v>
      </c>
      <c r="Y793" s="6">
        <f ca="1">('TUSD BE'!$AM$32+'TUSD BF'!$AM$32+'TUSD CVA'!$AM$32)*1</f>
        <v>11.452356648653195</v>
      </c>
      <c r="Z793" s="6"/>
      <c r="AA793" s="6"/>
      <c r="AB793" s="6">
        <f>$K$793*$V$793</f>
        <v>9691</v>
      </c>
      <c r="AC793" s="6">
        <f>$M$793*$W$793</f>
        <v>0</v>
      </c>
      <c r="AD793" s="6">
        <f>$O$793*$X$793</f>
        <v>0</v>
      </c>
      <c r="AE793" s="6">
        <f ca="1">$K$793*$Y$793</f>
        <v>12597.592313518515</v>
      </c>
      <c r="AF793" s="6">
        <f>$M$793*$Z$793</f>
        <v>0</v>
      </c>
      <c r="AG793" s="6">
        <f>$O$793*$AA$793</f>
        <v>0</v>
      </c>
    </row>
    <row r="794" spans="1:33" ht="11.25" customHeight="1" x14ac:dyDescent="0.25">
      <c r="A794" s="4" t="s">
        <v>21</v>
      </c>
      <c r="B794" s="4" t="s">
        <v>33</v>
      </c>
      <c r="C794" s="4" t="s">
        <v>34</v>
      </c>
      <c r="D794" s="4" t="s">
        <v>40</v>
      </c>
      <c r="E794" s="4" t="s">
        <v>25</v>
      </c>
      <c r="F794" s="4" t="s">
        <v>25</v>
      </c>
      <c r="G794" s="4" t="s">
        <v>25</v>
      </c>
      <c r="H794" s="4" t="s">
        <v>25</v>
      </c>
      <c r="I794" s="5">
        <v>43800</v>
      </c>
      <c r="J794" s="6">
        <v>19088</v>
      </c>
      <c r="K794" s="6">
        <v>19088</v>
      </c>
      <c r="L794" s="6">
        <v>0</v>
      </c>
      <c r="M794" s="6">
        <v>0</v>
      </c>
      <c r="N794" s="6">
        <v>0</v>
      </c>
      <c r="O794" s="6">
        <v>0</v>
      </c>
      <c r="P794" s="6">
        <v>124</v>
      </c>
      <c r="Q794" s="4" t="s">
        <v>26</v>
      </c>
      <c r="R794" s="4">
        <v>0</v>
      </c>
      <c r="S794" s="6">
        <v>26</v>
      </c>
      <c r="T794" s="6">
        <v>0</v>
      </c>
      <c r="U794" s="6">
        <v>0</v>
      </c>
      <c r="V794" s="6">
        <f>IF(ISERROR(VLOOKUP($S$794,'TAR FIN'!$A$1:$O$120,15,0)),0,VLOOKUP($S$794,'TAR FIN'!$A$1:$O$120,15,0))</f>
        <v>8.81</v>
      </c>
      <c r="W794" s="6">
        <f>IF(ISERROR(VLOOKUP($T$794,'TAR FIN'!$A$1:$O$120,15,0)),0,VLOOKUP($T$794,'TAR FIN'!$A$1:$O$120,15,0))</f>
        <v>0</v>
      </c>
      <c r="X794" s="6">
        <f>IF(ISERROR(VLOOKUP($U$794,'TAR FIN'!$A$1:$O$120,15,0)),0,VLOOKUP($U$794,'TAR FIN'!$A$1:$O$120,15,0))</f>
        <v>0</v>
      </c>
      <c r="Y794" s="6">
        <f ca="1">('TUSD BE'!$AM$32+'TUSD BF'!$AM$32+'TUSD CVA'!$AM$32)*1</f>
        <v>11.452356648653195</v>
      </c>
      <c r="Z794" s="6"/>
      <c r="AA794" s="6"/>
      <c r="AB794" s="6">
        <f>$K$794*$V$794</f>
        <v>168165.28</v>
      </c>
      <c r="AC794" s="6">
        <f>$M$794*$W$794</f>
        <v>0</v>
      </c>
      <c r="AD794" s="6">
        <f>$O$794*$X$794</f>
        <v>0</v>
      </c>
      <c r="AE794" s="6">
        <f ca="1">$K$794*$Y$794</f>
        <v>218602.5837094922</v>
      </c>
      <c r="AF794" s="6">
        <f>$M$794*$Z$794</f>
        <v>0</v>
      </c>
      <c r="AG794" s="6">
        <f>$O$794*$AA$794</f>
        <v>0</v>
      </c>
    </row>
    <row r="795" spans="1:33" ht="11.25" customHeight="1" x14ac:dyDescent="0.25">
      <c r="A795" s="4" t="s">
        <v>27</v>
      </c>
      <c r="B795" s="4" t="s">
        <v>33</v>
      </c>
      <c r="C795" s="4" t="s">
        <v>34</v>
      </c>
      <c r="D795" s="4" t="s">
        <v>40</v>
      </c>
      <c r="E795" s="4" t="s">
        <v>25</v>
      </c>
      <c r="F795" s="4" t="s">
        <v>25</v>
      </c>
      <c r="G795" s="4" t="s">
        <v>25</v>
      </c>
      <c r="H795" s="4" t="s">
        <v>25</v>
      </c>
      <c r="I795" s="5">
        <v>43800</v>
      </c>
      <c r="J795" s="6">
        <v>89</v>
      </c>
      <c r="K795" s="6">
        <v>89</v>
      </c>
      <c r="L795" s="6">
        <v>0</v>
      </c>
      <c r="M795" s="6">
        <v>0</v>
      </c>
      <c r="N795" s="6">
        <v>0</v>
      </c>
      <c r="O795" s="6">
        <v>0</v>
      </c>
      <c r="P795" s="6">
        <v>1</v>
      </c>
      <c r="Q795" s="4" t="s">
        <v>26</v>
      </c>
      <c r="R795" s="4">
        <v>0</v>
      </c>
      <c r="S795" s="6">
        <v>26</v>
      </c>
      <c r="T795" s="6">
        <v>0</v>
      </c>
      <c r="U795" s="6">
        <v>0</v>
      </c>
      <c r="V795" s="6">
        <f>IF(ISERROR(VLOOKUP($S$795,'TAR FIN'!$A$1:$O$120,15,0)),0,VLOOKUP($S$795,'TAR FIN'!$A$1:$O$120,15,0))</f>
        <v>8.81</v>
      </c>
      <c r="W795" s="6">
        <f>IF(ISERROR(VLOOKUP($T$795,'TAR FIN'!$A$1:$O$120,15,0)),0,VLOOKUP($T$795,'TAR FIN'!$A$1:$O$120,15,0))</f>
        <v>0</v>
      </c>
      <c r="X795" s="6">
        <f>IF(ISERROR(VLOOKUP($U$795,'TAR FIN'!$A$1:$O$120,15,0)),0,VLOOKUP($U$795,'TAR FIN'!$A$1:$O$120,15,0))</f>
        <v>0</v>
      </c>
      <c r="Y795" s="6">
        <f ca="1">('TUSD BE'!$AM$32+'TUSD BF'!$AM$32+'TUSD CVA'!$AM$32)*1</f>
        <v>11.452356648653195</v>
      </c>
      <c r="Z795" s="6"/>
      <c r="AA795" s="6"/>
      <c r="AB795" s="6">
        <f>$K$795*$V$795</f>
        <v>784.09</v>
      </c>
      <c r="AC795" s="6">
        <f>$M$795*$W$795</f>
        <v>0</v>
      </c>
      <c r="AD795" s="6">
        <f>$O$795*$X$795</f>
        <v>0</v>
      </c>
      <c r="AE795" s="6">
        <f ca="1">$K$795*$Y$795</f>
        <v>1019.2597417301344</v>
      </c>
      <c r="AF795" s="6">
        <f>$M$795*$Z$795</f>
        <v>0</v>
      </c>
      <c r="AG795" s="6">
        <f>$O$795*$AA$795</f>
        <v>0</v>
      </c>
    </row>
    <row r="796" spans="1:33" ht="11.25" customHeight="1" x14ac:dyDescent="0.25">
      <c r="A796" s="4" t="s">
        <v>28</v>
      </c>
      <c r="B796" s="4" t="s">
        <v>33</v>
      </c>
      <c r="C796" s="4" t="s">
        <v>34</v>
      </c>
      <c r="D796" s="4" t="s">
        <v>40</v>
      </c>
      <c r="E796" s="4" t="s">
        <v>25</v>
      </c>
      <c r="F796" s="4" t="s">
        <v>25</v>
      </c>
      <c r="G796" s="4" t="s">
        <v>25</v>
      </c>
      <c r="H796" s="4" t="s">
        <v>25</v>
      </c>
      <c r="I796" s="5">
        <v>43800</v>
      </c>
      <c r="J796" s="6">
        <v>730</v>
      </c>
      <c r="K796" s="6">
        <v>730</v>
      </c>
      <c r="L796" s="6">
        <v>0</v>
      </c>
      <c r="M796" s="6">
        <v>0</v>
      </c>
      <c r="N796" s="6">
        <v>0</v>
      </c>
      <c r="O796" s="6">
        <v>0</v>
      </c>
      <c r="P796" s="6">
        <v>5</v>
      </c>
      <c r="Q796" s="4" t="s">
        <v>26</v>
      </c>
      <c r="R796" s="4">
        <v>0</v>
      </c>
      <c r="S796" s="6">
        <v>26</v>
      </c>
      <c r="T796" s="6">
        <v>0</v>
      </c>
      <c r="U796" s="6">
        <v>0</v>
      </c>
      <c r="V796" s="6">
        <f>IF(ISERROR(VLOOKUP($S$796,'TAR FIN'!$A$1:$O$120,15,0)),0,VLOOKUP($S$796,'TAR FIN'!$A$1:$O$120,15,0))</f>
        <v>8.81</v>
      </c>
      <c r="W796" s="6">
        <f>IF(ISERROR(VLOOKUP($T$796,'TAR FIN'!$A$1:$O$120,15,0)),0,VLOOKUP($T$796,'TAR FIN'!$A$1:$O$120,15,0))</f>
        <v>0</v>
      </c>
      <c r="X796" s="6">
        <f>IF(ISERROR(VLOOKUP($U$796,'TAR FIN'!$A$1:$O$120,15,0)),0,VLOOKUP($U$796,'TAR FIN'!$A$1:$O$120,15,0))</f>
        <v>0</v>
      </c>
      <c r="Y796" s="6">
        <f ca="1">('TUSD BE'!$AM$32+'TUSD BF'!$AM$32+'TUSD CVA'!$AM$32)*1</f>
        <v>11.452356648653195</v>
      </c>
      <c r="Z796" s="6"/>
      <c r="AA796" s="6"/>
      <c r="AB796" s="6">
        <f>$K$796*$V$796</f>
        <v>6431.3</v>
      </c>
      <c r="AC796" s="6">
        <f>$M$796*$W$796</f>
        <v>0</v>
      </c>
      <c r="AD796" s="6">
        <f>$O$796*$X$796</f>
        <v>0</v>
      </c>
      <c r="AE796" s="6">
        <f ca="1">$K$796*$Y$796</f>
        <v>8360.2203535168319</v>
      </c>
      <c r="AF796" s="6">
        <f>$M$796*$Z$796</f>
        <v>0</v>
      </c>
      <c r="AG796" s="6">
        <f>$O$796*$AA$796</f>
        <v>0</v>
      </c>
    </row>
    <row r="797" spans="1:33" ht="11.25" customHeight="1" x14ac:dyDescent="0.25">
      <c r="A797" s="4" t="s">
        <v>21</v>
      </c>
      <c r="B797" s="4" t="s">
        <v>33</v>
      </c>
      <c r="C797" s="4" t="s">
        <v>34</v>
      </c>
      <c r="D797" s="4" t="s">
        <v>40</v>
      </c>
      <c r="E797" s="4" t="s">
        <v>25</v>
      </c>
      <c r="F797" s="4" t="s">
        <v>25</v>
      </c>
      <c r="G797" s="4" t="s">
        <v>25</v>
      </c>
      <c r="H797" s="4" t="s">
        <v>25</v>
      </c>
      <c r="I797" s="5">
        <v>43831</v>
      </c>
      <c r="J797" s="6">
        <v>17104</v>
      </c>
      <c r="K797" s="6">
        <v>17104</v>
      </c>
      <c r="L797" s="6">
        <v>0</v>
      </c>
      <c r="M797" s="6">
        <v>0</v>
      </c>
      <c r="N797" s="6">
        <v>0</v>
      </c>
      <c r="O797" s="6">
        <v>0</v>
      </c>
      <c r="P797" s="6">
        <v>120</v>
      </c>
      <c r="Q797" s="4" t="s">
        <v>26</v>
      </c>
      <c r="R797" s="4">
        <v>0</v>
      </c>
      <c r="S797" s="6">
        <v>26</v>
      </c>
      <c r="T797" s="6">
        <v>0</v>
      </c>
      <c r="U797" s="6">
        <v>0</v>
      </c>
      <c r="V797" s="6">
        <f>IF(ISERROR(VLOOKUP($S$797,'TAR FIN'!$A$1:$O$120,15,0)),0,VLOOKUP($S$797,'TAR FIN'!$A$1:$O$120,15,0))</f>
        <v>8.81</v>
      </c>
      <c r="W797" s="6">
        <f>IF(ISERROR(VLOOKUP($T$797,'TAR FIN'!$A$1:$O$120,15,0)),0,VLOOKUP($T$797,'TAR FIN'!$A$1:$O$120,15,0))</f>
        <v>0</v>
      </c>
      <c r="X797" s="6">
        <f>IF(ISERROR(VLOOKUP($U$797,'TAR FIN'!$A$1:$O$120,15,0)),0,VLOOKUP($U$797,'TAR FIN'!$A$1:$O$120,15,0))</f>
        <v>0</v>
      </c>
      <c r="Y797" s="6">
        <f ca="1">('TUSD BE'!$AM$32+'TUSD BF'!$AM$32+'TUSD CVA'!$AM$32)*1</f>
        <v>11.452356648653195</v>
      </c>
      <c r="Z797" s="6"/>
      <c r="AA797" s="6"/>
      <c r="AB797" s="6">
        <f>$K$797*$V$797</f>
        <v>150686.24000000002</v>
      </c>
      <c r="AC797" s="6">
        <f>$M$797*$W$797</f>
        <v>0</v>
      </c>
      <c r="AD797" s="6">
        <f>$O$797*$X$797</f>
        <v>0</v>
      </c>
      <c r="AE797" s="6">
        <f ca="1">$K$797*$Y$797</f>
        <v>195881.10811856424</v>
      </c>
      <c r="AF797" s="6">
        <f>$M$797*$Z$797</f>
        <v>0</v>
      </c>
      <c r="AG797" s="6">
        <f>$O$797*$AA$797</f>
        <v>0</v>
      </c>
    </row>
    <row r="798" spans="1:33" ht="11.25" customHeight="1" x14ac:dyDescent="0.25">
      <c r="A798" s="4" t="s">
        <v>27</v>
      </c>
      <c r="B798" s="4" t="s">
        <v>33</v>
      </c>
      <c r="C798" s="4" t="s">
        <v>34</v>
      </c>
      <c r="D798" s="4" t="s">
        <v>40</v>
      </c>
      <c r="E798" s="4" t="s">
        <v>25</v>
      </c>
      <c r="F798" s="4" t="s">
        <v>25</v>
      </c>
      <c r="G798" s="4" t="s">
        <v>25</v>
      </c>
      <c r="H798" s="4" t="s">
        <v>25</v>
      </c>
      <c r="I798" s="5">
        <v>43831</v>
      </c>
      <c r="J798" s="6">
        <v>774</v>
      </c>
      <c r="K798" s="6">
        <v>774</v>
      </c>
      <c r="L798" s="6">
        <v>0</v>
      </c>
      <c r="M798" s="6">
        <v>0</v>
      </c>
      <c r="N798" s="6">
        <v>0</v>
      </c>
      <c r="O798" s="6">
        <v>0</v>
      </c>
      <c r="P798" s="6">
        <v>2</v>
      </c>
      <c r="Q798" s="4" t="s">
        <v>26</v>
      </c>
      <c r="R798" s="4">
        <v>0</v>
      </c>
      <c r="S798" s="6">
        <v>26</v>
      </c>
      <c r="T798" s="6">
        <v>0</v>
      </c>
      <c r="U798" s="6">
        <v>0</v>
      </c>
      <c r="V798" s="6">
        <f>IF(ISERROR(VLOOKUP($S$798,'TAR FIN'!$A$1:$O$120,15,0)),0,VLOOKUP($S$798,'TAR FIN'!$A$1:$O$120,15,0))</f>
        <v>8.81</v>
      </c>
      <c r="W798" s="6">
        <f>IF(ISERROR(VLOOKUP($T$798,'TAR FIN'!$A$1:$O$120,15,0)),0,VLOOKUP($T$798,'TAR FIN'!$A$1:$O$120,15,0))</f>
        <v>0</v>
      </c>
      <c r="X798" s="6">
        <f>IF(ISERROR(VLOOKUP($U$798,'TAR FIN'!$A$1:$O$120,15,0)),0,VLOOKUP($U$798,'TAR FIN'!$A$1:$O$120,15,0))</f>
        <v>0</v>
      </c>
      <c r="Y798" s="6">
        <f ca="1">('TUSD BE'!$AM$32+'TUSD BF'!$AM$32+'TUSD CVA'!$AM$32)*1</f>
        <v>11.452356648653195</v>
      </c>
      <c r="Z798" s="6"/>
      <c r="AA798" s="6"/>
      <c r="AB798" s="6">
        <f>$K$798*$V$798</f>
        <v>6818.9400000000005</v>
      </c>
      <c r="AC798" s="6">
        <f>$M$798*$W$798</f>
        <v>0</v>
      </c>
      <c r="AD798" s="6">
        <f>$O$798*$X$798</f>
        <v>0</v>
      </c>
      <c r="AE798" s="6">
        <f ca="1">$K$798*$Y$798</f>
        <v>8864.1240460575737</v>
      </c>
      <c r="AF798" s="6">
        <f>$M$798*$Z$798</f>
        <v>0</v>
      </c>
      <c r="AG798" s="6">
        <f>$O$798*$AA$798</f>
        <v>0</v>
      </c>
    </row>
    <row r="799" spans="1:33" ht="11.25" customHeight="1" x14ac:dyDescent="0.25">
      <c r="A799" s="4" t="s">
        <v>28</v>
      </c>
      <c r="B799" s="4" t="s">
        <v>33</v>
      </c>
      <c r="C799" s="4" t="s">
        <v>34</v>
      </c>
      <c r="D799" s="4" t="s">
        <v>40</v>
      </c>
      <c r="E799" s="4" t="s">
        <v>25</v>
      </c>
      <c r="F799" s="4" t="s">
        <v>25</v>
      </c>
      <c r="G799" s="4" t="s">
        <v>25</v>
      </c>
      <c r="H799" s="4" t="s">
        <v>25</v>
      </c>
      <c r="I799" s="5">
        <v>43831</v>
      </c>
      <c r="J799" s="6">
        <v>730</v>
      </c>
      <c r="K799" s="6">
        <v>730</v>
      </c>
      <c r="L799" s="6">
        <v>0</v>
      </c>
      <c r="M799" s="6">
        <v>0</v>
      </c>
      <c r="N799" s="6">
        <v>0</v>
      </c>
      <c r="O799" s="6">
        <v>0</v>
      </c>
      <c r="P799" s="6">
        <v>5</v>
      </c>
      <c r="Q799" s="4" t="s">
        <v>26</v>
      </c>
      <c r="R799" s="4">
        <v>0</v>
      </c>
      <c r="S799" s="6">
        <v>26</v>
      </c>
      <c r="T799" s="6">
        <v>0</v>
      </c>
      <c r="U799" s="6">
        <v>0</v>
      </c>
      <c r="V799" s="6">
        <f>IF(ISERROR(VLOOKUP($S$799,'TAR FIN'!$A$1:$O$120,15,0)),0,VLOOKUP($S$799,'TAR FIN'!$A$1:$O$120,15,0))</f>
        <v>8.81</v>
      </c>
      <c r="W799" s="6">
        <f>IF(ISERROR(VLOOKUP($T$799,'TAR FIN'!$A$1:$O$120,15,0)),0,VLOOKUP($T$799,'TAR FIN'!$A$1:$O$120,15,0))</f>
        <v>0</v>
      </c>
      <c r="X799" s="6">
        <f>IF(ISERROR(VLOOKUP($U$799,'TAR FIN'!$A$1:$O$120,15,0)),0,VLOOKUP($U$799,'TAR FIN'!$A$1:$O$120,15,0))</f>
        <v>0</v>
      </c>
      <c r="Y799" s="6">
        <f ca="1">('TUSD BE'!$AM$32+'TUSD BF'!$AM$32+'TUSD CVA'!$AM$32)*1</f>
        <v>11.452356648653195</v>
      </c>
      <c r="Z799" s="6"/>
      <c r="AA799" s="6"/>
      <c r="AB799" s="6">
        <f>$K$799*$V$799</f>
        <v>6431.3</v>
      </c>
      <c r="AC799" s="6">
        <f>$M$799*$W$799</f>
        <v>0</v>
      </c>
      <c r="AD799" s="6">
        <f>$O$799*$X$799</f>
        <v>0</v>
      </c>
      <c r="AE799" s="6">
        <f ca="1">$K$799*$Y$799</f>
        <v>8360.2203535168319</v>
      </c>
      <c r="AF799" s="6">
        <f>$M$799*$Z$799</f>
        <v>0</v>
      </c>
      <c r="AG799" s="6">
        <f>$O$799*$AA$799</f>
        <v>0</v>
      </c>
    </row>
    <row r="800" spans="1:33" ht="11.25" customHeight="1" x14ac:dyDescent="0.25">
      <c r="A800" s="4" t="s">
        <v>21</v>
      </c>
      <c r="B800" s="4" t="s">
        <v>33</v>
      </c>
      <c r="C800" s="4" t="s">
        <v>34</v>
      </c>
      <c r="D800" s="4" t="s">
        <v>40</v>
      </c>
      <c r="E800" s="4" t="s">
        <v>25</v>
      </c>
      <c r="F800" s="4" t="s">
        <v>25</v>
      </c>
      <c r="G800" s="4" t="s">
        <v>25</v>
      </c>
      <c r="H800" s="4" t="s">
        <v>25</v>
      </c>
      <c r="I800" s="5">
        <v>43862</v>
      </c>
      <c r="J800" s="6">
        <v>17502</v>
      </c>
      <c r="K800" s="6">
        <v>17502</v>
      </c>
      <c r="L800" s="6">
        <v>0</v>
      </c>
      <c r="M800" s="6">
        <v>0</v>
      </c>
      <c r="N800" s="6">
        <v>0</v>
      </c>
      <c r="O800" s="6">
        <v>0</v>
      </c>
      <c r="P800" s="6">
        <v>118</v>
      </c>
      <c r="Q800" s="4" t="s">
        <v>26</v>
      </c>
      <c r="R800" s="4">
        <v>0</v>
      </c>
      <c r="S800" s="6">
        <v>26</v>
      </c>
      <c r="T800" s="6">
        <v>0</v>
      </c>
      <c r="U800" s="6">
        <v>0</v>
      </c>
      <c r="V800" s="6">
        <f>IF(ISERROR(VLOOKUP($S$800,'TAR FIN'!$A$1:$O$120,15,0)),0,VLOOKUP($S$800,'TAR FIN'!$A$1:$O$120,15,0))</f>
        <v>8.81</v>
      </c>
      <c r="W800" s="6">
        <f>IF(ISERROR(VLOOKUP($T$800,'TAR FIN'!$A$1:$O$120,15,0)),0,VLOOKUP($T$800,'TAR FIN'!$A$1:$O$120,15,0))</f>
        <v>0</v>
      </c>
      <c r="X800" s="6">
        <f>IF(ISERROR(VLOOKUP($U$800,'TAR FIN'!$A$1:$O$120,15,0)),0,VLOOKUP($U$800,'TAR FIN'!$A$1:$O$120,15,0))</f>
        <v>0</v>
      </c>
      <c r="Y800" s="6">
        <f ca="1">('TUSD BE'!$AM$32+'TUSD BF'!$AM$32+'TUSD CVA'!$AM$32)*1</f>
        <v>11.452356648653195</v>
      </c>
      <c r="Z800" s="6"/>
      <c r="AA800" s="6"/>
      <c r="AB800" s="6">
        <f>$K$800*$V$800</f>
        <v>154192.62</v>
      </c>
      <c r="AC800" s="6">
        <f>$M$800*$W$800</f>
        <v>0</v>
      </c>
      <c r="AD800" s="6">
        <f>$O$800*$X$800</f>
        <v>0</v>
      </c>
      <c r="AE800" s="6">
        <f ca="1">$K$800*$Y$800</f>
        <v>200439.14606472821</v>
      </c>
      <c r="AF800" s="6">
        <f>$M$800*$Z$800</f>
        <v>0</v>
      </c>
      <c r="AG800" s="6">
        <f>$O$800*$AA$800</f>
        <v>0</v>
      </c>
    </row>
    <row r="801" spans="1:33" ht="11.25" customHeight="1" x14ac:dyDescent="0.25">
      <c r="A801" s="4" t="s">
        <v>27</v>
      </c>
      <c r="B801" s="4" t="s">
        <v>33</v>
      </c>
      <c r="C801" s="4" t="s">
        <v>34</v>
      </c>
      <c r="D801" s="4" t="s">
        <v>40</v>
      </c>
      <c r="E801" s="4" t="s">
        <v>25</v>
      </c>
      <c r="F801" s="4" t="s">
        <v>25</v>
      </c>
      <c r="G801" s="4" t="s">
        <v>25</v>
      </c>
      <c r="H801" s="4" t="s">
        <v>25</v>
      </c>
      <c r="I801" s="5">
        <v>43862</v>
      </c>
      <c r="J801" s="6">
        <v>50</v>
      </c>
      <c r="K801" s="6">
        <v>50</v>
      </c>
      <c r="L801" s="6">
        <v>0</v>
      </c>
      <c r="M801" s="6">
        <v>0</v>
      </c>
      <c r="N801" s="6">
        <v>0</v>
      </c>
      <c r="O801" s="6">
        <v>0</v>
      </c>
      <c r="P801" s="6">
        <v>1</v>
      </c>
      <c r="Q801" s="4" t="s">
        <v>26</v>
      </c>
      <c r="R801" s="4">
        <v>0</v>
      </c>
      <c r="S801" s="6">
        <v>26</v>
      </c>
      <c r="T801" s="6">
        <v>0</v>
      </c>
      <c r="U801" s="6">
        <v>0</v>
      </c>
      <c r="V801" s="6">
        <f>IF(ISERROR(VLOOKUP($S$801,'TAR FIN'!$A$1:$O$120,15,0)),0,VLOOKUP($S$801,'TAR FIN'!$A$1:$O$120,15,0))</f>
        <v>8.81</v>
      </c>
      <c r="W801" s="6">
        <f>IF(ISERROR(VLOOKUP($T$801,'TAR FIN'!$A$1:$O$120,15,0)),0,VLOOKUP($T$801,'TAR FIN'!$A$1:$O$120,15,0))</f>
        <v>0</v>
      </c>
      <c r="X801" s="6">
        <f>IF(ISERROR(VLOOKUP($U$801,'TAR FIN'!$A$1:$O$120,15,0)),0,VLOOKUP($U$801,'TAR FIN'!$A$1:$O$120,15,0))</f>
        <v>0</v>
      </c>
      <c r="Y801" s="6">
        <f ca="1">('TUSD BE'!$AM$32+'TUSD BF'!$AM$32+'TUSD CVA'!$AM$32)*1</f>
        <v>11.452356648653195</v>
      </c>
      <c r="Z801" s="6"/>
      <c r="AA801" s="6"/>
      <c r="AB801" s="6">
        <f>$K$801*$V$801</f>
        <v>440.5</v>
      </c>
      <c r="AC801" s="6">
        <f>$M$801*$W$801</f>
        <v>0</v>
      </c>
      <c r="AD801" s="6">
        <f>$O$801*$X$801</f>
        <v>0</v>
      </c>
      <c r="AE801" s="6">
        <f ca="1">$K$801*$Y$801</f>
        <v>572.61783243265972</v>
      </c>
      <c r="AF801" s="6">
        <f>$M$801*$Z$801</f>
        <v>0</v>
      </c>
      <c r="AG801" s="6">
        <f>$O$801*$AA$801</f>
        <v>0</v>
      </c>
    </row>
    <row r="802" spans="1:33" ht="11.25" customHeight="1" x14ac:dyDescent="0.25">
      <c r="A802" s="4" t="s">
        <v>28</v>
      </c>
      <c r="B802" s="4" t="s">
        <v>33</v>
      </c>
      <c r="C802" s="4" t="s">
        <v>34</v>
      </c>
      <c r="D802" s="4" t="s">
        <v>40</v>
      </c>
      <c r="E802" s="4" t="s">
        <v>25</v>
      </c>
      <c r="F802" s="4" t="s">
        <v>25</v>
      </c>
      <c r="G802" s="4" t="s">
        <v>25</v>
      </c>
      <c r="H802" s="4" t="s">
        <v>25</v>
      </c>
      <c r="I802" s="5">
        <v>43862</v>
      </c>
      <c r="J802" s="6">
        <v>730</v>
      </c>
      <c r="K802" s="6">
        <v>730</v>
      </c>
      <c r="L802" s="6">
        <v>0</v>
      </c>
      <c r="M802" s="6">
        <v>0</v>
      </c>
      <c r="N802" s="6">
        <v>0</v>
      </c>
      <c r="O802" s="6">
        <v>0</v>
      </c>
      <c r="P802" s="6">
        <v>5</v>
      </c>
      <c r="Q802" s="4" t="s">
        <v>26</v>
      </c>
      <c r="R802" s="4">
        <v>0</v>
      </c>
      <c r="S802" s="6">
        <v>26</v>
      </c>
      <c r="T802" s="6">
        <v>0</v>
      </c>
      <c r="U802" s="6">
        <v>0</v>
      </c>
      <c r="V802" s="6">
        <f>IF(ISERROR(VLOOKUP($S$802,'TAR FIN'!$A$1:$O$120,15,0)),0,VLOOKUP($S$802,'TAR FIN'!$A$1:$O$120,15,0))</f>
        <v>8.81</v>
      </c>
      <c r="W802" s="6">
        <f>IF(ISERROR(VLOOKUP($T$802,'TAR FIN'!$A$1:$O$120,15,0)),0,VLOOKUP($T$802,'TAR FIN'!$A$1:$O$120,15,0))</f>
        <v>0</v>
      </c>
      <c r="X802" s="6">
        <f>IF(ISERROR(VLOOKUP($U$802,'TAR FIN'!$A$1:$O$120,15,0)),0,VLOOKUP($U$802,'TAR FIN'!$A$1:$O$120,15,0))</f>
        <v>0</v>
      </c>
      <c r="Y802" s="6">
        <f ca="1">('TUSD BE'!$AM$32+'TUSD BF'!$AM$32+'TUSD CVA'!$AM$32)*1</f>
        <v>11.452356648653195</v>
      </c>
      <c r="Z802" s="6"/>
      <c r="AA802" s="6"/>
      <c r="AB802" s="6">
        <f>$K$802*$V$802</f>
        <v>6431.3</v>
      </c>
      <c r="AC802" s="6">
        <f>$M$802*$W$802</f>
        <v>0</v>
      </c>
      <c r="AD802" s="6">
        <f>$O$802*$X$802</f>
        <v>0</v>
      </c>
      <c r="AE802" s="6">
        <f ca="1">$K$802*$Y$802</f>
        <v>8360.2203535168319</v>
      </c>
      <c r="AF802" s="6">
        <f>$M$802*$Z$802</f>
        <v>0</v>
      </c>
      <c r="AG802" s="6">
        <f>$O$802*$AA$802</f>
        <v>0</v>
      </c>
    </row>
    <row r="803" spans="1:33" ht="11.25" customHeight="1" x14ac:dyDescent="0.25">
      <c r="A803" s="4" t="s">
        <v>21</v>
      </c>
      <c r="B803" s="4" t="s">
        <v>33</v>
      </c>
      <c r="C803" s="4" t="s">
        <v>34</v>
      </c>
      <c r="D803" s="4" t="s">
        <v>40</v>
      </c>
      <c r="E803" s="4" t="s">
        <v>25</v>
      </c>
      <c r="F803" s="4" t="s">
        <v>25</v>
      </c>
      <c r="G803" s="4" t="s">
        <v>25</v>
      </c>
      <c r="H803" s="4" t="s">
        <v>25</v>
      </c>
      <c r="I803" s="5">
        <v>43891</v>
      </c>
      <c r="J803" s="6">
        <v>18150</v>
      </c>
      <c r="K803" s="6">
        <v>18150</v>
      </c>
      <c r="L803" s="6">
        <v>0</v>
      </c>
      <c r="M803" s="6">
        <v>0</v>
      </c>
      <c r="N803" s="6">
        <v>0</v>
      </c>
      <c r="O803" s="6">
        <v>0</v>
      </c>
      <c r="P803" s="6">
        <v>118</v>
      </c>
      <c r="Q803" s="4" t="s">
        <v>26</v>
      </c>
      <c r="R803" s="4">
        <v>0</v>
      </c>
      <c r="S803" s="6">
        <v>26</v>
      </c>
      <c r="T803" s="6">
        <v>0</v>
      </c>
      <c r="U803" s="6">
        <v>0</v>
      </c>
      <c r="V803" s="6">
        <f>IF(ISERROR(VLOOKUP($S$803,'TAR FIN'!$A$1:$O$120,15,0)),0,VLOOKUP($S$803,'TAR FIN'!$A$1:$O$120,15,0))</f>
        <v>8.81</v>
      </c>
      <c r="W803" s="6">
        <f>IF(ISERROR(VLOOKUP($T$803,'TAR FIN'!$A$1:$O$120,15,0)),0,VLOOKUP($T$803,'TAR FIN'!$A$1:$O$120,15,0))</f>
        <v>0</v>
      </c>
      <c r="X803" s="6">
        <f>IF(ISERROR(VLOOKUP($U$803,'TAR FIN'!$A$1:$O$120,15,0)),0,VLOOKUP($U$803,'TAR FIN'!$A$1:$O$120,15,0))</f>
        <v>0</v>
      </c>
      <c r="Y803" s="6">
        <f ca="1">('TUSD BE'!$AM$32+'TUSD BF'!$AM$32+'TUSD CVA'!$AM$32)*1</f>
        <v>11.452356648653195</v>
      </c>
      <c r="Z803" s="6"/>
      <c r="AA803" s="6"/>
      <c r="AB803" s="6">
        <f>$K$803*$V$803</f>
        <v>159901.5</v>
      </c>
      <c r="AC803" s="6">
        <f>$M$803*$W$803</f>
        <v>0</v>
      </c>
      <c r="AD803" s="6">
        <f>$O$803*$X$803</f>
        <v>0</v>
      </c>
      <c r="AE803" s="6">
        <f ca="1">$K$803*$Y$803</f>
        <v>207860.2731730555</v>
      </c>
      <c r="AF803" s="6">
        <f>$M$803*$Z$803</f>
        <v>0</v>
      </c>
      <c r="AG803" s="6">
        <f>$O$803*$AA$803</f>
        <v>0</v>
      </c>
    </row>
    <row r="804" spans="1:33" ht="11.25" customHeight="1" x14ac:dyDescent="0.25">
      <c r="A804" s="4" t="s">
        <v>27</v>
      </c>
      <c r="B804" s="4" t="s">
        <v>33</v>
      </c>
      <c r="C804" s="4" t="s">
        <v>34</v>
      </c>
      <c r="D804" s="4" t="s">
        <v>40</v>
      </c>
      <c r="E804" s="4" t="s">
        <v>25</v>
      </c>
      <c r="F804" s="4" t="s">
        <v>25</v>
      </c>
      <c r="G804" s="4" t="s">
        <v>25</v>
      </c>
      <c r="H804" s="4" t="s">
        <v>25</v>
      </c>
      <c r="I804" s="5">
        <v>43891</v>
      </c>
      <c r="J804" s="6">
        <v>100</v>
      </c>
      <c r="K804" s="6">
        <v>100</v>
      </c>
      <c r="L804" s="6">
        <v>0</v>
      </c>
      <c r="M804" s="6">
        <v>0</v>
      </c>
      <c r="N804" s="6">
        <v>0</v>
      </c>
      <c r="O804" s="6">
        <v>0</v>
      </c>
      <c r="P804" s="6">
        <v>2</v>
      </c>
      <c r="Q804" s="4" t="s">
        <v>26</v>
      </c>
      <c r="R804" s="4">
        <v>0</v>
      </c>
      <c r="S804" s="6">
        <v>26</v>
      </c>
      <c r="T804" s="6">
        <v>0</v>
      </c>
      <c r="U804" s="6">
        <v>0</v>
      </c>
      <c r="V804" s="6">
        <f>IF(ISERROR(VLOOKUP($S$804,'TAR FIN'!$A$1:$O$120,15,0)),0,VLOOKUP($S$804,'TAR FIN'!$A$1:$O$120,15,0))</f>
        <v>8.81</v>
      </c>
      <c r="W804" s="6">
        <f>IF(ISERROR(VLOOKUP($T$804,'TAR FIN'!$A$1:$O$120,15,0)),0,VLOOKUP($T$804,'TAR FIN'!$A$1:$O$120,15,0))</f>
        <v>0</v>
      </c>
      <c r="X804" s="6">
        <f>IF(ISERROR(VLOOKUP($U$804,'TAR FIN'!$A$1:$O$120,15,0)),0,VLOOKUP($U$804,'TAR FIN'!$A$1:$O$120,15,0))</f>
        <v>0</v>
      </c>
      <c r="Y804" s="6">
        <f ca="1">('TUSD BE'!$AM$32+'TUSD BF'!$AM$32+'TUSD CVA'!$AM$32)*1</f>
        <v>11.452356648653195</v>
      </c>
      <c r="Z804" s="6"/>
      <c r="AA804" s="6"/>
      <c r="AB804" s="6">
        <f>$K$804*$V$804</f>
        <v>881</v>
      </c>
      <c r="AC804" s="6">
        <f>$M$804*$W$804</f>
        <v>0</v>
      </c>
      <c r="AD804" s="6">
        <f>$O$804*$X$804</f>
        <v>0</v>
      </c>
      <c r="AE804" s="6">
        <f ca="1">$K$804*$Y$804</f>
        <v>1145.2356648653194</v>
      </c>
      <c r="AF804" s="6">
        <f>$M$804*$Z$804</f>
        <v>0</v>
      </c>
      <c r="AG804" s="6">
        <f>$O$804*$AA$804</f>
        <v>0</v>
      </c>
    </row>
    <row r="805" spans="1:33" ht="11.25" customHeight="1" x14ac:dyDescent="0.25">
      <c r="A805" s="4" t="s">
        <v>28</v>
      </c>
      <c r="B805" s="4" t="s">
        <v>33</v>
      </c>
      <c r="C805" s="4" t="s">
        <v>34</v>
      </c>
      <c r="D805" s="4" t="s">
        <v>40</v>
      </c>
      <c r="E805" s="4" t="s">
        <v>25</v>
      </c>
      <c r="F805" s="4" t="s">
        <v>25</v>
      </c>
      <c r="G805" s="4" t="s">
        <v>25</v>
      </c>
      <c r="H805" s="4" t="s">
        <v>25</v>
      </c>
      <c r="I805" s="5">
        <v>43891</v>
      </c>
      <c r="J805" s="6">
        <v>1093</v>
      </c>
      <c r="K805" s="6">
        <v>1093</v>
      </c>
      <c r="L805" s="6">
        <v>0</v>
      </c>
      <c r="M805" s="6">
        <v>0</v>
      </c>
      <c r="N805" s="6">
        <v>0</v>
      </c>
      <c r="O805" s="6">
        <v>0</v>
      </c>
      <c r="P805" s="6">
        <v>7</v>
      </c>
      <c r="Q805" s="4" t="s">
        <v>26</v>
      </c>
      <c r="R805" s="4">
        <v>0</v>
      </c>
      <c r="S805" s="6">
        <v>26</v>
      </c>
      <c r="T805" s="6">
        <v>0</v>
      </c>
      <c r="U805" s="6">
        <v>0</v>
      </c>
      <c r="V805" s="6">
        <f>IF(ISERROR(VLOOKUP($S$805,'TAR FIN'!$A$1:$O$120,15,0)),0,VLOOKUP($S$805,'TAR FIN'!$A$1:$O$120,15,0))</f>
        <v>8.81</v>
      </c>
      <c r="W805" s="6">
        <f>IF(ISERROR(VLOOKUP($T$805,'TAR FIN'!$A$1:$O$120,15,0)),0,VLOOKUP($T$805,'TAR FIN'!$A$1:$O$120,15,0))</f>
        <v>0</v>
      </c>
      <c r="X805" s="6">
        <f>IF(ISERROR(VLOOKUP($U$805,'TAR FIN'!$A$1:$O$120,15,0)),0,VLOOKUP($U$805,'TAR FIN'!$A$1:$O$120,15,0))</f>
        <v>0</v>
      </c>
      <c r="Y805" s="6">
        <f ca="1">('TUSD BE'!$AM$32+'TUSD BF'!$AM$32+'TUSD CVA'!$AM$32)*1</f>
        <v>11.452356648653195</v>
      </c>
      <c r="Z805" s="6"/>
      <c r="AA805" s="6"/>
      <c r="AB805" s="6">
        <f>$K$805*$V$805</f>
        <v>9629.33</v>
      </c>
      <c r="AC805" s="6">
        <f>$M$805*$W$805</f>
        <v>0</v>
      </c>
      <c r="AD805" s="6">
        <f>$O$805*$X$805</f>
        <v>0</v>
      </c>
      <c r="AE805" s="6">
        <f ca="1">$K$805*$Y$805</f>
        <v>12517.425816977942</v>
      </c>
      <c r="AF805" s="6">
        <f>$M$805*$Z$805</f>
        <v>0</v>
      </c>
      <c r="AG805" s="6">
        <f>$O$805*$AA$805</f>
        <v>0</v>
      </c>
    </row>
    <row r="806" spans="1:33" ht="11.25" customHeight="1" x14ac:dyDescent="0.25">
      <c r="A806" s="4" t="s">
        <v>21</v>
      </c>
      <c r="B806" s="4" t="s">
        <v>33</v>
      </c>
      <c r="C806" s="4" t="s">
        <v>34</v>
      </c>
      <c r="D806" s="4" t="s">
        <v>40</v>
      </c>
      <c r="E806" s="4" t="s">
        <v>25</v>
      </c>
      <c r="F806" s="4" t="s">
        <v>25</v>
      </c>
      <c r="G806" s="4" t="s">
        <v>25</v>
      </c>
      <c r="H806" s="4" t="s">
        <v>25</v>
      </c>
      <c r="I806" s="5">
        <v>43922</v>
      </c>
      <c r="J806" s="6">
        <v>17813</v>
      </c>
      <c r="K806" s="6">
        <v>17813</v>
      </c>
      <c r="L806" s="6">
        <v>0</v>
      </c>
      <c r="M806" s="6">
        <v>0</v>
      </c>
      <c r="N806" s="6">
        <v>0</v>
      </c>
      <c r="O806" s="6">
        <v>0</v>
      </c>
      <c r="P806" s="6">
        <v>118</v>
      </c>
      <c r="Q806" s="4" t="s">
        <v>26</v>
      </c>
      <c r="R806" s="4">
        <v>0</v>
      </c>
      <c r="S806" s="6">
        <v>26</v>
      </c>
      <c r="T806" s="6">
        <v>0</v>
      </c>
      <c r="U806" s="6">
        <v>0</v>
      </c>
      <c r="V806" s="6">
        <f>IF(ISERROR(VLOOKUP($S$806,'TAR FIN'!$A$1:$O$120,15,0)),0,VLOOKUP($S$806,'TAR FIN'!$A$1:$O$120,15,0))</f>
        <v>8.81</v>
      </c>
      <c r="W806" s="6">
        <f>IF(ISERROR(VLOOKUP($T$806,'TAR FIN'!$A$1:$O$120,15,0)),0,VLOOKUP($T$806,'TAR FIN'!$A$1:$O$120,15,0))</f>
        <v>0</v>
      </c>
      <c r="X806" s="6">
        <f>IF(ISERROR(VLOOKUP($U$806,'TAR FIN'!$A$1:$O$120,15,0)),0,VLOOKUP($U$806,'TAR FIN'!$A$1:$O$120,15,0))</f>
        <v>0</v>
      </c>
      <c r="Y806" s="6">
        <f ca="1">('TUSD BE'!$AM$32+'TUSD BF'!$AM$32+'TUSD CVA'!$AM$32)*1</f>
        <v>11.452356648653195</v>
      </c>
      <c r="Z806" s="6"/>
      <c r="AA806" s="6"/>
      <c r="AB806" s="6">
        <f>$K$806*$V$806</f>
        <v>156932.53</v>
      </c>
      <c r="AC806" s="6">
        <f>$M$806*$W$806</f>
        <v>0</v>
      </c>
      <c r="AD806" s="6">
        <f>$O$806*$X$806</f>
        <v>0</v>
      </c>
      <c r="AE806" s="6">
        <f ca="1">$K$806*$Y$806</f>
        <v>204000.82898245935</v>
      </c>
      <c r="AF806" s="6">
        <f>$M$806*$Z$806</f>
        <v>0</v>
      </c>
      <c r="AG806" s="6">
        <f>$O$806*$AA$806</f>
        <v>0</v>
      </c>
    </row>
    <row r="807" spans="1:33" ht="11.25" customHeight="1" x14ac:dyDescent="0.25">
      <c r="A807" s="4" t="s">
        <v>27</v>
      </c>
      <c r="B807" s="4" t="s">
        <v>33</v>
      </c>
      <c r="C807" s="4" t="s">
        <v>34</v>
      </c>
      <c r="D807" s="4" t="s">
        <v>40</v>
      </c>
      <c r="E807" s="4" t="s">
        <v>25</v>
      </c>
      <c r="F807" s="4" t="s">
        <v>25</v>
      </c>
      <c r="G807" s="4" t="s">
        <v>25</v>
      </c>
      <c r="H807" s="4" t="s">
        <v>25</v>
      </c>
      <c r="I807" s="5">
        <v>43922</v>
      </c>
      <c r="J807" s="6">
        <v>122</v>
      </c>
      <c r="K807" s="6">
        <v>122</v>
      </c>
      <c r="L807" s="6">
        <v>0</v>
      </c>
      <c r="M807" s="6">
        <v>0</v>
      </c>
      <c r="N807" s="6">
        <v>0</v>
      </c>
      <c r="O807" s="6">
        <v>0</v>
      </c>
      <c r="P807" s="6">
        <v>2</v>
      </c>
      <c r="Q807" s="4" t="s">
        <v>26</v>
      </c>
      <c r="R807" s="4">
        <v>0</v>
      </c>
      <c r="S807" s="6">
        <v>26</v>
      </c>
      <c r="T807" s="6">
        <v>0</v>
      </c>
      <c r="U807" s="6">
        <v>0</v>
      </c>
      <c r="V807" s="6">
        <f>IF(ISERROR(VLOOKUP($S$807,'TAR FIN'!$A$1:$O$120,15,0)),0,VLOOKUP($S$807,'TAR FIN'!$A$1:$O$120,15,0))</f>
        <v>8.81</v>
      </c>
      <c r="W807" s="6">
        <f>IF(ISERROR(VLOOKUP($T$807,'TAR FIN'!$A$1:$O$120,15,0)),0,VLOOKUP($T$807,'TAR FIN'!$A$1:$O$120,15,0))</f>
        <v>0</v>
      </c>
      <c r="X807" s="6">
        <f>IF(ISERROR(VLOOKUP($U$807,'TAR FIN'!$A$1:$O$120,15,0)),0,VLOOKUP($U$807,'TAR FIN'!$A$1:$O$120,15,0))</f>
        <v>0</v>
      </c>
      <c r="Y807" s="6">
        <f ca="1">('TUSD BE'!$AM$32+'TUSD BF'!$AM$32+'TUSD CVA'!$AM$32)*1</f>
        <v>11.452356648653195</v>
      </c>
      <c r="Z807" s="6"/>
      <c r="AA807" s="6"/>
      <c r="AB807" s="6">
        <f>$K$807*$V$807</f>
        <v>1074.8200000000002</v>
      </c>
      <c r="AC807" s="6">
        <f>$M$807*$W$807</f>
        <v>0</v>
      </c>
      <c r="AD807" s="6">
        <f>$O$807*$X$807</f>
        <v>0</v>
      </c>
      <c r="AE807" s="6">
        <f ca="1">$K$807*$Y$807</f>
        <v>1397.1875111356899</v>
      </c>
      <c r="AF807" s="6">
        <f>$M$807*$Z$807</f>
        <v>0</v>
      </c>
      <c r="AG807" s="6">
        <f>$O$807*$AA$807</f>
        <v>0</v>
      </c>
    </row>
    <row r="808" spans="1:33" ht="11.25" customHeight="1" x14ac:dyDescent="0.25">
      <c r="A808" s="4" t="s">
        <v>28</v>
      </c>
      <c r="B808" s="4" t="s">
        <v>33</v>
      </c>
      <c r="C808" s="4" t="s">
        <v>34</v>
      </c>
      <c r="D808" s="4" t="s">
        <v>40</v>
      </c>
      <c r="E808" s="4" t="s">
        <v>25</v>
      </c>
      <c r="F808" s="4" t="s">
        <v>25</v>
      </c>
      <c r="G808" s="4" t="s">
        <v>25</v>
      </c>
      <c r="H808" s="4" t="s">
        <v>25</v>
      </c>
      <c r="I808" s="5">
        <v>43922</v>
      </c>
      <c r="J808" s="6">
        <v>1093</v>
      </c>
      <c r="K808" s="6">
        <v>1093</v>
      </c>
      <c r="L808" s="6">
        <v>0</v>
      </c>
      <c r="M808" s="6">
        <v>0</v>
      </c>
      <c r="N808" s="6">
        <v>0</v>
      </c>
      <c r="O808" s="6">
        <v>0</v>
      </c>
      <c r="P808" s="6">
        <v>7</v>
      </c>
      <c r="Q808" s="4" t="s">
        <v>26</v>
      </c>
      <c r="R808" s="4">
        <v>0</v>
      </c>
      <c r="S808" s="6">
        <v>26</v>
      </c>
      <c r="T808" s="6">
        <v>0</v>
      </c>
      <c r="U808" s="6">
        <v>0</v>
      </c>
      <c r="V808" s="6">
        <f>IF(ISERROR(VLOOKUP($S$808,'TAR FIN'!$A$1:$O$120,15,0)),0,VLOOKUP($S$808,'TAR FIN'!$A$1:$O$120,15,0))</f>
        <v>8.81</v>
      </c>
      <c r="W808" s="6">
        <f>IF(ISERROR(VLOOKUP($T$808,'TAR FIN'!$A$1:$O$120,15,0)),0,VLOOKUP($T$808,'TAR FIN'!$A$1:$O$120,15,0))</f>
        <v>0</v>
      </c>
      <c r="X808" s="6">
        <f>IF(ISERROR(VLOOKUP($U$808,'TAR FIN'!$A$1:$O$120,15,0)),0,VLOOKUP($U$808,'TAR FIN'!$A$1:$O$120,15,0))</f>
        <v>0</v>
      </c>
      <c r="Y808" s="6">
        <f ca="1">('TUSD BE'!$AM$32+'TUSD BF'!$AM$32+'TUSD CVA'!$AM$32)*1</f>
        <v>11.452356648653195</v>
      </c>
      <c r="Z808" s="6"/>
      <c r="AA808" s="6"/>
      <c r="AB808" s="6">
        <f>$K$808*$V$808</f>
        <v>9629.33</v>
      </c>
      <c r="AC808" s="6">
        <f>$M$808*$W$808</f>
        <v>0</v>
      </c>
      <c r="AD808" s="6">
        <f>$O$808*$X$808</f>
        <v>0</v>
      </c>
      <c r="AE808" s="6">
        <f ca="1">$K$808*$Y$808</f>
        <v>12517.425816977942</v>
      </c>
      <c r="AF808" s="6">
        <f>$M$808*$Z$808</f>
        <v>0</v>
      </c>
      <c r="AG808" s="6">
        <f>$O$808*$AA$808</f>
        <v>0</v>
      </c>
    </row>
    <row r="809" spans="1:33" ht="11.25" customHeight="1" x14ac:dyDescent="0.25">
      <c r="A809" s="4" t="s">
        <v>21</v>
      </c>
      <c r="B809" s="4" t="s">
        <v>33</v>
      </c>
      <c r="C809" s="4" t="s">
        <v>34</v>
      </c>
      <c r="D809" s="4" t="s">
        <v>40</v>
      </c>
      <c r="E809" s="4" t="s">
        <v>25</v>
      </c>
      <c r="F809" s="4" t="s">
        <v>25</v>
      </c>
      <c r="G809" s="4" t="s">
        <v>25</v>
      </c>
      <c r="H809" s="4" t="s">
        <v>25</v>
      </c>
      <c r="I809" s="5">
        <v>43952</v>
      </c>
      <c r="J809" s="6">
        <v>16679</v>
      </c>
      <c r="K809" s="6">
        <v>16679</v>
      </c>
      <c r="L809" s="6">
        <v>0</v>
      </c>
      <c r="M809" s="6">
        <v>0</v>
      </c>
      <c r="N809" s="6">
        <v>0</v>
      </c>
      <c r="O809" s="6">
        <v>0</v>
      </c>
      <c r="P809" s="6">
        <v>115</v>
      </c>
      <c r="Q809" s="4" t="s">
        <v>26</v>
      </c>
      <c r="R809" s="4">
        <v>0</v>
      </c>
      <c r="S809" s="6">
        <v>26</v>
      </c>
      <c r="T809" s="6">
        <v>0</v>
      </c>
      <c r="U809" s="6">
        <v>0</v>
      </c>
      <c r="V809" s="6">
        <f>IF(ISERROR(VLOOKUP($S$809,'TAR FIN'!$A$1:$O$120,15,0)),0,VLOOKUP($S$809,'TAR FIN'!$A$1:$O$120,15,0))</f>
        <v>8.81</v>
      </c>
      <c r="W809" s="6">
        <f>IF(ISERROR(VLOOKUP($T$809,'TAR FIN'!$A$1:$O$120,15,0)),0,VLOOKUP($T$809,'TAR FIN'!$A$1:$O$120,15,0))</f>
        <v>0</v>
      </c>
      <c r="X809" s="6">
        <f>IF(ISERROR(VLOOKUP($U$809,'TAR FIN'!$A$1:$O$120,15,0)),0,VLOOKUP($U$809,'TAR FIN'!$A$1:$O$120,15,0))</f>
        <v>0</v>
      </c>
      <c r="Y809" s="6">
        <f ca="1">('TUSD BE'!$AM$32+'TUSD BF'!$AM$32+'TUSD CVA'!$AM$32)*1</f>
        <v>11.452356648653195</v>
      </c>
      <c r="Z809" s="6"/>
      <c r="AA809" s="6"/>
      <c r="AB809" s="6">
        <f>$K$809*$V$809</f>
        <v>146941.99000000002</v>
      </c>
      <c r="AC809" s="6">
        <f>$M$809*$W$809</f>
        <v>0</v>
      </c>
      <c r="AD809" s="6">
        <f>$O$809*$X$809</f>
        <v>0</v>
      </c>
      <c r="AE809" s="6">
        <f ca="1">$K$809*$Y$809</f>
        <v>191013.85654288664</v>
      </c>
      <c r="AF809" s="6">
        <f>$M$809*$Z$809</f>
        <v>0</v>
      </c>
      <c r="AG809" s="6">
        <f>$O$809*$AA$809</f>
        <v>0</v>
      </c>
    </row>
    <row r="810" spans="1:33" ht="11.25" customHeight="1" x14ac:dyDescent="0.25">
      <c r="A810" s="4" t="s">
        <v>27</v>
      </c>
      <c r="B810" s="4" t="s">
        <v>33</v>
      </c>
      <c r="C810" s="4" t="s">
        <v>34</v>
      </c>
      <c r="D810" s="4" t="s">
        <v>40</v>
      </c>
      <c r="E810" s="4" t="s">
        <v>25</v>
      </c>
      <c r="F810" s="4" t="s">
        <v>25</v>
      </c>
      <c r="G810" s="4" t="s">
        <v>25</v>
      </c>
      <c r="H810" s="4" t="s">
        <v>25</v>
      </c>
      <c r="I810" s="5">
        <v>43952</v>
      </c>
      <c r="J810" s="6">
        <v>60</v>
      </c>
      <c r="K810" s="6">
        <v>60</v>
      </c>
      <c r="L810" s="6">
        <v>0</v>
      </c>
      <c r="M810" s="6">
        <v>0</v>
      </c>
      <c r="N810" s="6">
        <v>0</v>
      </c>
      <c r="O810" s="6">
        <v>0</v>
      </c>
      <c r="P810" s="6">
        <v>1</v>
      </c>
      <c r="Q810" s="4" t="s">
        <v>26</v>
      </c>
      <c r="R810" s="4">
        <v>0</v>
      </c>
      <c r="S810" s="6">
        <v>26</v>
      </c>
      <c r="T810" s="6">
        <v>0</v>
      </c>
      <c r="U810" s="6">
        <v>0</v>
      </c>
      <c r="V810" s="6">
        <f>IF(ISERROR(VLOOKUP($S$810,'TAR FIN'!$A$1:$O$120,15,0)),0,VLOOKUP($S$810,'TAR FIN'!$A$1:$O$120,15,0))</f>
        <v>8.81</v>
      </c>
      <c r="W810" s="6">
        <f>IF(ISERROR(VLOOKUP($T$810,'TAR FIN'!$A$1:$O$120,15,0)),0,VLOOKUP($T$810,'TAR FIN'!$A$1:$O$120,15,0))</f>
        <v>0</v>
      </c>
      <c r="X810" s="6">
        <f>IF(ISERROR(VLOOKUP($U$810,'TAR FIN'!$A$1:$O$120,15,0)),0,VLOOKUP($U$810,'TAR FIN'!$A$1:$O$120,15,0))</f>
        <v>0</v>
      </c>
      <c r="Y810" s="6">
        <f ca="1">('TUSD BE'!$AM$32+'TUSD BF'!$AM$32+'TUSD CVA'!$AM$32)*1</f>
        <v>11.452356648653195</v>
      </c>
      <c r="Z810" s="6"/>
      <c r="AA810" s="6"/>
      <c r="AB810" s="6">
        <f>$K$810*$V$810</f>
        <v>528.6</v>
      </c>
      <c r="AC810" s="6">
        <f>$M$810*$W$810</f>
        <v>0</v>
      </c>
      <c r="AD810" s="6">
        <f>$O$810*$X$810</f>
        <v>0</v>
      </c>
      <c r="AE810" s="6">
        <f ca="1">$K$810*$Y$810</f>
        <v>687.14139891919172</v>
      </c>
      <c r="AF810" s="6">
        <f>$M$810*$Z$810</f>
        <v>0</v>
      </c>
      <c r="AG810" s="6">
        <f>$O$810*$AA$810</f>
        <v>0</v>
      </c>
    </row>
    <row r="811" spans="1:33" ht="11.25" customHeight="1" x14ac:dyDescent="0.25">
      <c r="A811" s="4" t="s">
        <v>28</v>
      </c>
      <c r="B811" s="4" t="s">
        <v>33</v>
      </c>
      <c r="C811" s="4" t="s">
        <v>34</v>
      </c>
      <c r="D811" s="4" t="s">
        <v>40</v>
      </c>
      <c r="E811" s="4" t="s">
        <v>25</v>
      </c>
      <c r="F811" s="4" t="s">
        <v>25</v>
      </c>
      <c r="G811" s="4" t="s">
        <v>25</v>
      </c>
      <c r="H811" s="4" t="s">
        <v>25</v>
      </c>
      <c r="I811" s="5">
        <v>43952</v>
      </c>
      <c r="J811" s="6">
        <v>1093</v>
      </c>
      <c r="K811" s="6">
        <v>1093</v>
      </c>
      <c r="L811" s="6">
        <v>0</v>
      </c>
      <c r="M811" s="6">
        <v>0</v>
      </c>
      <c r="N811" s="6">
        <v>0</v>
      </c>
      <c r="O811" s="6">
        <v>0</v>
      </c>
      <c r="P811" s="6">
        <v>7</v>
      </c>
      <c r="Q811" s="4" t="s">
        <v>26</v>
      </c>
      <c r="R811" s="4">
        <v>0</v>
      </c>
      <c r="S811" s="6">
        <v>26</v>
      </c>
      <c r="T811" s="6">
        <v>0</v>
      </c>
      <c r="U811" s="6">
        <v>0</v>
      </c>
      <c r="V811" s="6">
        <f>IF(ISERROR(VLOOKUP($S$811,'TAR FIN'!$A$1:$O$120,15,0)),0,VLOOKUP($S$811,'TAR FIN'!$A$1:$O$120,15,0))</f>
        <v>8.81</v>
      </c>
      <c r="W811" s="6">
        <f>IF(ISERROR(VLOOKUP($T$811,'TAR FIN'!$A$1:$O$120,15,0)),0,VLOOKUP($T$811,'TAR FIN'!$A$1:$O$120,15,0))</f>
        <v>0</v>
      </c>
      <c r="X811" s="6">
        <f>IF(ISERROR(VLOOKUP($U$811,'TAR FIN'!$A$1:$O$120,15,0)),0,VLOOKUP($U$811,'TAR FIN'!$A$1:$O$120,15,0))</f>
        <v>0</v>
      </c>
      <c r="Y811" s="6">
        <f ca="1">('TUSD BE'!$AM$32+'TUSD BF'!$AM$32+'TUSD CVA'!$AM$32)*1</f>
        <v>11.452356648653195</v>
      </c>
      <c r="Z811" s="6"/>
      <c r="AA811" s="6"/>
      <c r="AB811" s="6">
        <f>$K$811*$V$811</f>
        <v>9629.33</v>
      </c>
      <c r="AC811" s="6">
        <f>$M$811*$W$811</f>
        <v>0</v>
      </c>
      <c r="AD811" s="6">
        <f>$O$811*$X$811</f>
        <v>0</v>
      </c>
      <c r="AE811" s="6">
        <f ca="1">$K$811*$Y$811</f>
        <v>12517.425816977942</v>
      </c>
      <c r="AF811" s="6">
        <f>$M$811*$Z$811</f>
        <v>0</v>
      </c>
      <c r="AG811" s="6">
        <f>$O$811*$AA$811</f>
        <v>0</v>
      </c>
    </row>
    <row r="812" spans="1:33" ht="11.25" customHeight="1" x14ac:dyDescent="0.25">
      <c r="A812" s="4" t="s">
        <v>21</v>
      </c>
      <c r="B812" s="4" t="s">
        <v>33</v>
      </c>
      <c r="C812" s="4" t="s">
        <v>34</v>
      </c>
      <c r="D812" s="4" t="s">
        <v>40</v>
      </c>
      <c r="E812" s="4" t="s">
        <v>25</v>
      </c>
      <c r="F812" s="4" t="s">
        <v>25</v>
      </c>
      <c r="G812" s="4" t="s">
        <v>25</v>
      </c>
      <c r="H812" s="4" t="s">
        <v>25</v>
      </c>
      <c r="I812" s="5">
        <v>43983</v>
      </c>
      <c r="J812" s="6">
        <v>16220</v>
      </c>
      <c r="K812" s="6">
        <v>16220</v>
      </c>
      <c r="L812" s="6">
        <v>0</v>
      </c>
      <c r="M812" s="6">
        <v>0</v>
      </c>
      <c r="N812" s="6">
        <v>0</v>
      </c>
      <c r="O812" s="6">
        <v>0</v>
      </c>
      <c r="P812" s="6">
        <v>114</v>
      </c>
      <c r="Q812" s="4" t="s">
        <v>26</v>
      </c>
      <c r="R812" s="4">
        <v>0</v>
      </c>
      <c r="S812" s="6">
        <v>26</v>
      </c>
      <c r="T812" s="6">
        <v>0</v>
      </c>
      <c r="U812" s="6">
        <v>0</v>
      </c>
      <c r="V812" s="6">
        <f>IF(ISERROR(VLOOKUP($S$812,'TAR FIN'!$A$1:$O$120,15,0)),0,VLOOKUP($S$812,'TAR FIN'!$A$1:$O$120,15,0))</f>
        <v>8.81</v>
      </c>
      <c r="W812" s="6">
        <f>IF(ISERROR(VLOOKUP($T$812,'TAR FIN'!$A$1:$O$120,15,0)),0,VLOOKUP($T$812,'TAR FIN'!$A$1:$O$120,15,0))</f>
        <v>0</v>
      </c>
      <c r="X812" s="6">
        <f>IF(ISERROR(VLOOKUP($U$812,'TAR FIN'!$A$1:$O$120,15,0)),0,VLOOKUP($U$812,'TAR FIN'!$A$1:$O$120,15,0))</f>
        <v>0</v>
      </c>
      <c r="Y812" s="6">
        <f ca="1">('TUSD BE'!$AM$32+'TUSD BF'!$AM$32+'TUSD CVA'!$AM$32)*1</f>
        <v>11.452356648653195</v>
      </c>
      <c r="Z812" s="6"/>
      <c r="AA812" s="6"/>
      <c r="AB812" s="6">
        <f>$K$812*$V$812</f>
        <v>142898.20000000001</v>
      </c>
      <c r="AC812" s="6">
        <f>$M$812*$W$812</f>
        <v>0</v>
      </c>
      <c r="AD812" s="6">
        <f>$O$812*$X$812</f>
        <v>0</v>
      </c>
      <c r="AE812" s="6">
        <f ca="1">$K$812*$Y$812</f>
        <v>185757.22484115482</v>
      </c>
      <c r="AF812" s="6">
        <f>$M$812*$Z$812</f>
        <v>0</v>
      </c>
      <c r="AG812" s="6">
        <f>$O$812*$AA$812</f>
        <v>0</v>
      </c>
    </row>
    <row r="813" spans="1:33" ht="11.25" customHeight="1" x14ac:dyDescent="0.25">
      <c r="A813" s="4" t="s">
        <v>27</v>
      </c>
      <c r="B813" s="4" t="s">
        <v>33</v>
      </c>
      <c r="C813" s="4" t="s">
        <v>34</v>
      </c>
      <c r="D813" s="4" t="s">
        <v>40</v>
      </c>
      <c r="E813" s="4" t="s">
        <v>25</v>
      </c>
      <c r="F813" s="4" t="s">
        <v>25</v>
      </c>
      <c r="G813" s="4" t="s">
        <v>25</v>
      </c>
      <c r="H813" s="4" t="s">
        <v>25</v>
      </c>
      <c r="I813" s="5">
        <v>43983</v>
      </c>
      <c r="J813" s="6">
        <v>288</v>
      </c>
      <c r="K813" s="6">
        <v>288</v>
      </c>
      <c r="L813" s="6">
        <v>0</v>
      </c>
      <c r="M813" s="6">
        <v>0</v>
      </c>
      <c r="N813" s="6">
        <v>0</v>
      </c>
      <c r="O813" s="6">
        <v>0</v>
      </c>
      <c r="P813" s="6">
        <v>2</v>
      </c>
      <c r="Q813" s="4" t="s">
        <v>26</v>
      </c>
      <c r="R813" s="4">
        <v>0</v>
      </c>
      <c r="S813" s="6">
        <v>26</v>
      </c>
      <c r="T813" s="6">
        <v>0</v>
      </c>
      <c r="U813" s="6">
        <v>0</v>
      </c>
      <c r="V813" s="6">
        <f>IF(ISERROR(VLOOKUP($S$813,'TAR FIN'!$A$1:$O$120,15,0)),0,VLOOKUP($S$813,'TAR FIN'!$A$1:$O$120,15,0))</f>
        <v>8.81</v>
      </c>
      <c r="W813" s="6">
        <f>IF(ISERROR(VLOOKUP($T$813,'TAR FIN'!$A$1:$O$120,15,0)),0,VLOOKUP($T$813,'TAR FIN'!$A$1:$O$120,15,0))</f>
        <v>0</v>
      </c>
      <c r="X813" s="6">
        <f>IF(ISERROR(VLOOKUP($U$813,'TAR FIN'!$A$1:$O$120,15,0)),0,VLOOKUP($U$813,'TAR FIN'!$A$1:$O$120,15,0))</f>
        <v>0</v>
      </c>
      <c r="Y813" s="6">
        <f ca="1">('TUSD BE'!$AM$32+'TUSD BF'!$AM$32+'TUSD CVA'!$AM$32)*1</f>
        <v>11.452356648653195</v>
      </c>
      <c r="Z813" s="6"/>
      <c r="AA813" s="6"/>
      <c r="AB813" s="6">
        <f>$K$813*$V$813</f>
        <v>2537.2800000000002</v>
      </c>
      <c r="AC813" s="6">
        <f>$M$813*$W$813</f>
        <v>0</v>
      </c>
      <c r="AD813" s="6">
        <f>$O$813*$X$813</f>
        <v>0</v>
      </c>
      <c r="AE813" s="6">
        <f ca="1">$K$813*$Y$813</f>
        <v>3298.2787148121201</v>
      </c>
      <c r="AF813" s="6">
        <f>$M$813*$Z$813</f>
        <v>0</v>
      </c>
      <c r="AG813" s="6">
        <f>$O$813*$AA$813</f>
        <v>0</v>
      </c>
    </row>
    <row r="814" spans="1:33" ht="11.25" customHeight="1" x14ac:dyDescent="0.25">
      <c r="A814" s="4" t="s">
        <v>28</v>
      </c>
      <c r="B814" s="4" t="s">
        <v>33</v>
      </c>
      <c r="C814" s="4" t="s">
        <v>34</v>
      </c>
      <c r="D814" s="4" t="s">
        <v>40</v>
      </c>
      <c r="E814" s="4" t="s">
        <v>25</v>
      </c>
      <c r="F814" s="4" t="s">
        <v>25</v>
      </c>
      <c r="G814" s="4" t="s">
        <v>25</v>
      </c>
      <c r="H814" s="4" t="s">
        <v>25</v>
      </c>
      <c r="I814" s="5">
        <v>43983</v>
      </c>
      <c r="J814" s="6">
        <v>1623</v>
      </c>
      <c r="K814" s="6">
        <v>1623</v>
      </c>
      <c r="L814" s="6">
        <v>0</v>
      </c>
      <c r="M814" s="6">
        <v>0</v>
      </c>
      <c r="N814" s="6">
        <v>0</v>
      </c>
      <c r="O814" s="6">
        <v>0</v>
      </c>
      <c r="P814" s="6">
        <v>9</v>
      </c>
      <c r="Q814" s="4" t="s">
        <v>26</v>
      </c>
      <c r="R814" s="4">
        <v>0</v>
      </c>
      <c r="S814" s="6">
        <v>26</v>
      </c>
      <c r="T814" s="6">
        <v>0</v>
      </c>
      <c r="U814" s="6">
        <v>0</v>
      </c>
      <c r="V814" s="6">
        <f>IF(ISERROR(VLOOKUP($S$814,'TAR FIN'!$A$1:$O$120,15,0)),0,VLOOKUP($S$814,'TAR FIN'!$A$1:$O$120,15,0))</f>
        <v>8.81</v>
      </c>
      <c r="W814" s="6">
        <f>IF(ISERROR(VLOOKUP($T$814,'TAR FIN'!$A$1:$O$120,15,0)),0,VLOOKUP($T$814,'TAR FIN'!$A$1:$O$120,15,0))</f>
        <v>0</v>
      </c>
      <c r="X814" s="6">
        <f>IF(ISERROR(VLOOKUP($U$814,'TAR FIN'!$A$1:$O$120,15,0)),0,VLOOKUP($U$814,'TAR FIN'!$A$1:$O$120,15,0))</f>
        <v>0</v>
      </c>
      <c r="Y814" s="6">
        <f ca="1">('TUSD BE'!$AM$32+'TUSD BF'!$AM$32+'TUSD CVA'!$AM$32)*1</f>
        <v>11.452356648653195</v>
      </c>
      <c r="Z814" s="6"/>
      <c r="AA814" s="6"/>
      <c r="AB814" s="6">
        <f>$K$814*$V$814</f>
        <v>14298.630000000001</v>
      </c>
      <c r="AC814" s="6">
        <f>$M$814*$W$814</f>
        <v>0</v>
      </c>
      <c r="AD814" s="6">
        <f>$O$814*$X$814</f>
        <v>0</v>
      </c>
      <c r="AE814" s="6">
        <f ca="1">$K$814*$Y$814</f>
        <v>18587.174840764135</v>
      </c>
      <c r="AF814" s="6">
        <f>$M$814*$Z$814</f>
        <v>0</v>
      </c>
      <c r="AG814" s="6">
        <f>$O$814*$AA$814</f>
        <v>0</v>
      </c>
    </row>
    <row r="815" spans="1:33" ht="11.25" customHeight="1" x14ac:dyDescent="0.25">
      <c r="A815" s="4" t="s">
        <v>21</v>
      </c>
      <c r="B815" s="4" t="s">
        <v>33</v>
      </c>
      <c r="C815" s="4" t="s">
        <v>34</v>
      </c>
      <c r="D815" s="4" t="s">
        <v>40</v>
      </c>
      <c r="E815" s="4" t="s">
        <v>25</v>
      </c>
      <c r="F815" s="4" t="s">
        <v>25</v>
      </c>
      <c r="G815" s="4" t="s">
        <v>25</v>
      </c>
      <c r="H815" s="4" t="s">
        <v>25</v>
      </c>
      <c r="I815" s="5">
        <v>44013</v>
      </c>
      <c r="J815" s="6">
        <v>15522</v>
      </c>
      <c r="K815" s="6">
        <v>15522</v>
      </c>
      <c r="L815" s="6">
        <v>0</v>
      </c>
      <c r="M815" s="6">
        <v>0</v>
      </c>
      <c r="N815" s="6">
        <v>0</v>
      </c>
      <c r="O815" s="6">
        <v>0</v>
      </c>
      <c r="P815" s="6">
        <v>113</v>
      </c>
      <c r="Q815" s="4" t="s">
        <v>26</v>
      </c>
      <c r="R815" s="4">
        <v>0</v>
      </c>
      <c r="S815" s="6">
        <v>26</v>
      </c>
      <c r="T815" s="6">
        <v>0</v>
      </c>
      <c r="U815" s="6">
        <v>0</v>
      </c>
      <c r="V815" s="6">
        <f>IF(ISERROR(VLOOKUP($S$815,'TAR FIN'!$A$1:$O$120,15,0)),0,VLOOKUP($S$815,'TAR FIN'!$A$1:$O$120,15,0))</f>
        <v>8.81</v>
      </c>
      <c r="W815" s="6">
        <f>IF(ISERROR(VLOOKUP($T$815,'TAR FIN'!$A$1:$O$120,15,0)),0,VLOOKUP($T$815,'TAR FIN'!$A$1:$O$120,15,0))</f>
        <v>0</v>
      </c>
      <c r="X815" s="6">
        <f>IF(ISERROR(VLOOKUP($U$815,'TAR FIN'!$A$1:$O$120,15,0)),0,VLOOKUP($U$815,'TAR FIN'!$A$1:$O$120,15,0))</f>
        <v>0</v>
      </c>
      <c r="Y815" s="6">
        <f ca="1">('TUSD BE'!$AM$32+'TUSD BF'!$AM$32+'TUSD CVA'!$AM$32)*1</f>
        <v>11.452356648653195</v>
      </c>
      <c r="Z815" s="6"/>
      <c r="AA815" s="6"/>
      <c r="AB815" s="6">
        <f>$K$815*$V$815</f>
        <v>136748.82</v>
      </c>
      <c r="AC815" s="6">
        <f>$M$815*$W$815</f>
        <v>0</v>
      </c>
      <c r="AD815" s="6">
        <f>$O$815*$X$815</f>
        <v>0</v>
      </c>
      <c r="AE815" s="6">
        <f ca="1">$K$815*$Y$815</f>
        <v>177763.47990039489</v>
      </c>
      <c r="AF815" s="6">
        <f>$M$815*$Z$815</f>
        <v>0</v>
      </c>
      <c r="AG815" s="6">
        <f>$O$815*$AA$815</f>
        <v>0</v>
      </c>
    </row>
    <row r="816" spans="1:33" ht="11.25" customHeight="1" x14ac:dyDescent="0.25">
      <c r="A816" s="4" t="s">
        <v>27</v>
      </c>
      <c r="B816" s="4" t="s">
        <v>33</v>
      </c>
      <c r="C816" s="4" t="s">
        <v>34</v>
      </c>
      <c r="D816" s="4" t="s">
        <v>40</v>
      </c>
      <c r="E816" s="4" t="s">
        <v>25</v>
      </c>
      <c r="F816" s="4" t="s">
        <v>25</v>
      </c>
      <c r="G816" s="4" t="s">
        <v>25</v>
      </c>
      <c r="H816" s="4" t="s">
        <v>25</v>
      </c>
      <c r="I816" s="5">
        <v>44013</v>
      </c>
      <c r="J816" s="6">
        <v>165</v>
      </c>
      <c r="K816" s="6">
        <v>165</v>
      </c>
      <c r="L816" s="6">
        <v>0</v>
      </c>
      <c r="M816" s="6">
        <v>0</v>
      </c>
      <c r="N816" s="6">
        <v>0</v>
      </c>
      <c r="O816" s="6">
        <v>0</v>
      </c>
      <c r="P816" s="6">
        <v>2</v>
      </c>
      <c r="Q816" s="4" t="s">
        <v>26</v>
      </c>
      <c r="R816" s="4">
        <v>0</v>
      </c>
      <c r="S816" s="6">
        <v>26</v>
      </c>
      <c r="T816" s="6">
        <v>0</v>
      </c>
      <c r="U816" s="6">
        <v>0</v>
      </c>
      <c r="V816" s="6">
        <f>IF(ISERROR(VLOOKUP($S$816,'TAR FIN'!$A$1:$O$120,15,0)),0,VLOOKUP($S$816,'TAR FIN'!$A$1:$O$120,15,0))</f>
        <v>8.81</v>
      </c>
      <c r="W816" s="6">
        <f>IF(ISERROR(VLOOKUP($T$816,'TAR FIN'!$A$1:$O$120,15,0)),0,VLOOKUP($T$816,'TAR FIN'!$A$1:$O$120,15,0))</f>
        <v>0</v>
      </c>
      <c r="X816" s="6">
        <f>IF(ISERROR(VLOOKUP($U$816,'TAR FIN'!$A$1:$O$120,15,0)),0,VLOOKUP($U$816,'TAR FIN'!$A$1:$O$120,15,0))</f>
        <v>0</v>
      </c>
      <c r="Y816" s="6">
        <f ca="1">('TUSD BE'!$AM$32+'TUSD BF'!$AM$32+'TUSD CVA'!$AM$32)*1</f>
        <v>11.452356648653195</v>
      </c>
      <c r="Z816" s="6"/>
      <c r="AA816" s="6"/>
      <c r="AB816" s="6">
        <f>$K$816*$V$816</f>
        <v>1453.65</v>
      </c>
      <c r="AC816" s="6">
        <f>$M$816*$W$816</f>
        <v>0</v>
      </c>
      <c r="AD816" s="6">
        <f>$O$816*$X$816</f>
        <v>0</v>
      </c>
      <c r="AE816" s="6">
        <f ca="1">$K$816*$Y$816</f>
        <v>1889.6388470277773</v>
      </c>
      <c r="AF816" s="6">
        <f>$M$816*$Z$816</f>
        <v>0</v>
      </c>
      <c r="AG816" s="6">
        <f>$O$816*$AA$816</f>
        <v>0</v>
      </c>
    </row>
    <row r="817" spans="1:33" ht="11.25" customHeight="1" x14ac:dyDescent="0.25">
      <c r="A817" s="4" t="s">
        <v>28</v>
      </c>
      <c r="B817" s="4" t="s">
        <v>33</v>
      </c>
      <c r="C817" s="4" t="s">
        <v>34</v>
      </c>
      <c r="D817" s="4" t="s">
        <v>40</v>
      </c>
      <c r="E817" s="4" t="s">
        <v>25</v>
      </c>
      <c r="F817" s="4" t="s">
        <v>25</v>
      </c>
      <c r="G817" s="4" t="s">
        <v>25</v>
      </c>
      <c r="H817" s="4" t="s">
        <v>25</v>
      </c>
      <c r="I817" s="5">
        <v>44013</v>
      </c>
      <c r="J817" s="6">
        <v>1623</v>
      </c>
      <c r="K817" s="6">
        <v>1623</v>
      </c>
      <c r="L817" s="6">
        <v>0</v>
      </c>
      <c r="M817" s="6">
        <v>0</v>
      </c>
      <c r="N817" s="6">
        <v>0</v>
      </c>
      <c r="O817" s="6">
        <v>0</v>
      </c>
      <c r="P817" s="6">
        <v>9</v>
      </c>
      <c r="Q817" s="4" t="s">
        <v>26</v>
      </c>
      <c r="R817" s="4">
        <v>0</v>
      </c>
      <c r="S817" s="6">
        <v>26</v>
      </c>
      <c r="T817" s="6">
        <v>0</v>
      </c>
      <c r="U817" s="6">
        <v>0</v>
      </c>
      <c r="V817" s="6">
        <f>IF(ISERROR(VLOOKUP($S$817,'TAR FIN'!$A$1:$O$120,15,0)),0,VLOOKUP($S$817,'TAR FIN'!$A$1:$O$120,15,0))</f>
        <v>8.81</v>
      </c>
      <c r="W817" s="6">
        <f>IF(ISERROR(VLOOKUP($T$817,'TAR FIN'!$A$1:$O$120,15,0)),0,VLOOKUP($T$817,'TAR FIN'!$A$1:$O$120,15,0))</f>
        <v>0</v>
      </c>
      <c r="X817" s="6">
        <f>IF(ISERROR(VLOOKUP($U$817,'TAR FIN'!$A$1:$O$120,15,0)),0,VLOOKUP($U$817,'TAR FIN'!$A$1:$O$120,15,0))</f>
        <v>0</v>
      </c>
      <c r="Y817" s="6">
        <f ca="1">('TUSD BE'!$AM$32+'TUSD BF'!$AM$32+'TUSD CVA'!$AM$32)*1</f>
        <v>11.452356648653195</v>
      </c>
      <c r="Z817" s="6"/>
      <c r="AA817" s="6"/>
      <c r="AB817" s="6">
        <f>$K$817*$V$817</f>
        <v>14298.630000000001</v>
      </c>
      <c r="AC817" s="6">
        <f>$M$817*$W$817</f>
        <v>0</v>
      </c>
      <c r="AD817" s="6">
        <f>$O$817*$X$817</f>
        <v>0</v>
      </c>
      <c r="AE817" s="6">
        <f ca="1">$K$817*$Y$817</f>
        <v>18587.174840764135</v>
      </c>
      <c r="AF817" s="6">
        <f>$M$817*$Z$817</f>
        <v>0</v>
      </c>
      <c r="AG817" s="6">
        <f>$O$817*$AA$817</f>
        <v>0</v>
      </c>
    </row>
    <row r="818" spans="1:33" ht="11.25" customHeight="1" x14ac:dyDescent="0.25">
      <c r="A818" s="4" t="s">
        <v>21</v>
      </c>
      <c r="B818" s="4" t="s">
        <v>33</v>
      </c>
      <c r="C818" s="4" t="s">
        <v>34</v>
      </c>
      <c r="D818" s="4" t="s">
        <v>40</v>
      </c>
      <c r="E818" s="4" t="s">
        <v>25</v>
      </c>
      <c r="F818" s="4" t="s">
        <v>25</v>
      </c>
      <c r="G818" s="4" t="s">
        <v>25</v>
      </c>
      <c r="H818" s="4" t="s">
        <v>25</v>
      </c>
      <c r="I818" s="5">
        <v>44044</v>
      </c>
      <c r="J818" s="6">
        <v>15106</v>
      </c>
      <c r="K818" s="6">
        <v>15106</v>
      </c>
      <c r="L818" s="6">
        <v>0</v>
      </c>
      <c r="M818" s="6">
        <v>0</v>
      </c>
      <c r="N818" s="6">
        <v>0</v>
      </c>
      <c r="O818" s="6">
        <v>0</v>
      </c>
      <c r="P818" s="6">
        <v>113</v>
      </c>
      <c r="Q818" s="4" t="s">
        <v>26</v>
      </c>
      <c r="R818" s="4">
        <v>0</v>
      </c>
      <c r="S818" s="6">
        <v>26</v>
      </c>
      <c r="T818" s="6">
        <v>0</v>
      </c>
      <c r="U818" s="6">
        <v>0</v>
      </c>
      <c r="V818" s="6">
        <f>IF(ISERROR(VLOOKUP($S$818,'TAR FIN'!$A$1:$O$120,15,0)),0,VLOOKUP($S$818,'TAR FIN'!$A$1:$O$120,15,0))</f>
        <v>8.81</v>
      </c>
      <c r="W818" s="6">
        <f>IF(ISERROR(VLOOKUP($T$818,'TAR FIN'!$A$1:$O$120,15,0)),0,VLOOKUP($T$818,'TAR FIN'!$A$1:$O$120,15,0))</f>
        <v>0</v>
      </c>
      <c r="X818" s="6">
        <f>IF(ISERROR(VLOOKUP($U$818,'TAR FIN'!$A$1:$O$120,15,0)),0,VLOOKUP($U$818,'TAR FIN'!$A$1:$O$120,15,0))</f>
        <v>0</v>
      </c>
      <c r="Y818" s="6">
        <f ca="1">('TUSD BE'!$AM$32+'TUSD BF'!$AM$32+'TUSD CVA'!$AM$32)*1</f>
        <v>11.452356648653195</v>
      </c>
      <c r="Z818" s="6"/>
      <c r="AA818" s="6"/>
      <c r="AB818" s="6">
        <f>$K$818*$V$818</f>
        <v>133083.86000000002</v>
      </c>
      <c r="AC818" s="6">
        <f>$M$818*$W$818</f>
        <v>0</v>
      </c>
      <c r="AD818" s="6">
        <f>$O$818*$X$818</f>
        <v>0</v>
      </c>
      <c r="AE818" s="6">
        <f ca="1">$K$818*$Y$818</f>
        <v>172999.29953455518</v>
      </c>
      <c r="AF818" s="6">
        <f>$M$818*$Z$818</f>
        <v>0</v>
      </c>
      <c r="AG818" s="6">
        <f>$O$818*$AA$818</f>
        <v>0</v>
      </c>
    </row>
    <row r="819" spans="1:33" ht="11.25" customHeight="1" x14ac:dyDescent="0.25">
      <c r="A819" s="4" t="s">
        <v>27</v>
      </c>
      <c r="B819" s="4" t="s">
        <v>33</v>
      </c>
      <c r="C819" s="4" t="s">
        <v>34</v>
      </c>
      <c r="D819" s="4" t="s">
        <v>40</v>
      </c>
      <c r="E819" s="4" t="s">
        <v>25</v>
      </c>
      <c r="F819" s="4" t="s">
        <v>25</v>
      </c>
      <c r="G819" s="4" t="s">
        <v>25</v>
      </c>
      <c r="H819" s="4" t="s">
        <v>25</v>
      </c>
      <c r="I819" s="5">
        <v>44044</v>
      </c>
      <c r="J819" s="6">
        <v>259</v>
      </c>
      <c r="K819" s="6">
        <v>259</v>
      </c>
      <c r="L819" s="6">
        <v>0</v>
      </c>
      <c r="M819" s="6">
        <v>0</v>
      </c>
      <c r="N819" s="6">
        <v>0</v>
      </c>
      <c r="O819" s="6">
        <v>0</v>
      </c>
      <c r="P819" s="6">
        <v>2</v>
      </c>
      <c r="Q819" s="4" t="s">
        <v>26</v>
      </c>
      <c r="R819" s="4">
        <v>0</v>
      </c>
      <c r="S819" s="6">
        <v>26</v>
      </c>
      <c r="T819" s="6">
        <v>0</v>
      </c>
      <c r="U819" s="6">
        <v>0</v>
      </c>
      <c r="V819" s="6">
        <f>IF(ISERROR(VLOOKUP($S$819,'TAR FIN'!$A$1:$O$120,15,0)),0,VLOOKUP($S$819,'TAR FIN'!$A$1:$O$120,15,0))</f>
        <v>8.81</v>
      </c>
      <c r="W819" s="6">
        <f>IF(ISERROR(VLOOKUP($T$819,'TAR FIN'!$A$1:$O$120,15,0)),0,VLOOKUP($T$819,'TAR FIN'!$A$1:$O$120,15,0))</f>
        <v>0</v>
      </c>
      <c r="X819" s="6">
        <f>IF(ISERROR(VLOOKUP($U$819,'TAR FIN'!$A$1:$O$120,15,0)),0,VLOOKUP($U$819,'TAR FIN'!$A$1:$O$120,15,0))</f>
        <v>0</v>
      </c>
      <c r="Y819" s="6">
        <f ca="1">('TUSD BE'!$AM$32+'TUSD BF'!$AM$32+'TUSD CVA'!$AM$32)*1</f>
        <v>11.452356648653195</v>
      </c>
      <c r="Z819" s="6"/>
      <c r="AA819" s="6"/>
      <c r="AB819" s="6">
        <f>$K$819*$V$819</f>
        <v>2281.79</v>
      </c>
      <c r="AC819" s="6">
        <f>$M$819*$W$819</f>
        <v>0</v>
      </c>
      <c r="AD819" s="6">
        <f>$O$819*$X$819</f>
        <v>0</v>
      </c>
      <c r="AE819" s="6">
        <f ca="1">$K$819*$Y$819</f>
        <v>2966.1603720011776</v>
      </c>
      <c r="AF819" s="6">
        <f>$M$819*$Z$819</f>
        <v>0</v>
      </c>
      <c r="AG819" s="6">
        <f>$O$819*$AA$819</f>
        <v>0</v>
      </c>
    </row>
    <row r="820" spans="1:33" ht="11.25" customHeight="1" x14ac:dyDescent="0.25">
      <c r="A820" s="4" t="s">
        <v>28</v>
      </c>
      <c r="B820" s="4" t="s">
        <v>33</v>
      </c>
      <c r="C820" s="4" t="s">
        <v>34</v>
      </c>
      <c r="D820" s="4" t="s">
        <v>40</v>
      </c>
      <c r="E820" s="4" t="s">
        <v>25</v>
      </c>
      <c r="F820" s="4" t="s">
        <v>25</v>
      </c>
      <c r="G820" s="4" t="s">
        <v>25</v>
      </c>
      <c r="H820" s="4" t="s">
        <v>25</v>
      </c>
      <c r="I820" s="5">
        <v>44044</v>
      </c>
      <c r="J820" s="6">
        <v>1758</v>
      </c>
      <c r="K820" s="6">
        <v>1758</v>
      </c>
      <c r="L820" s="6">
        <v>0</v>
      </c>
      <c r="M820" s="6">
        <v>0</v>
      </c>
      <c r="N820" s="6">
        <v>0</v>
      </c>
      <c r="O820" s="6">
        <v>0</v>
      </c>
      <c r="P820" s="6">
        <v>10</v>
      </c>
      <c r="Q820" s="4" t="s">
        <v>26</v>
      </c>
      <c r="R820" s="4">
        <v>0</v>
      </c>
      <c r="S820" s="6">
        <v>26</v>
      </c>
      <c r="T820" s="6">
        <v>0</v>
      </c>
      <c r="U820" s="6">
        <v>0</v>
      </c>
      <c r="V820" s="6">
        <f>IF(ISERROR(VLOOKUP($S$820,'TAR FIN'!$A$1:$O$120,15,0)),0,VLOOKUP($S$820,'TAR FIN'!$A$1:$O$120,15,0))</f>
        <v>8.81</v>
      </c>
      <c r="W820" s="6">
        <f>IF(ISERROR(VLOOKUP($T$820,'TAR FIN'!$A$1:$O$120,15,0)),0,VLOOKUP($T$820,'TAR FIN'!$A$1:$O$120,15,0))</f>
        <v>0</v>
      </c>
      <c r="X820" s="6">
        <f>IF(ISERROR(VLOOKUP($U$820,'TAR FIN'!$A$1:$O$120,15,0)),0,VLOOKUP($U$820,'TAR FIN'!$A$1:$O$120,15,0))</f>
        <v>0</v>
      </c>
      <c r="Y820" s="6">
        <f ca="1">('TUSD BE'!$AM$32+'TUSD BF'!$AM$32+'TUSD CVA'!$AM$32)*1</f>
        <v>11.452356648653195</v>
      </c>
      <c r="Z820" s="6"/>
      <c r="AA820" s="6"/>
      <c r="AB820" s="6">
        <f>$K$820*$V$820</f>
        <v>15487.980000000001</v>
      </c>
      <c r="AC820" s="6">
        <f>$M$820*$W$820</f>
        <v>0</v>
      </c>
      <c r="AD820" s="6">
        <f>$O$820*$X$820</f>
        <v>0</v>
      </c>
      <c r="AE820" s="6">
        <f ca="1">$K$820*$Y$820</f>
        <v>20133.242988332317</v>
      </c>
      <c r="AF820" s="6">
        <f>$M$820*$Z$820</f>
        <v>0</v>
      </c>
      <c r="AG820" s="6">
        <f>$O$820*$AA$820</f>
        <v>0</v>
      </c>
    </row>
    <row r="821" spans="1:33" ht="11.25" customHeight="1" x14ac:dyDescent="0.25">
      <c r="A821" s="4" t="s">
        <v>59</v>
      </c>
      <c r="B821" s="4" t="s">
        <v>33</v>
      </c>
      <c r="C821" s="4" t="s">
        <v>34</v>
      </c>
      <c r="D821" s="4" t="s">
        <v>40</v>
      </c>
      <c r="E821" s="4" t="s">
        <v>25</v>
      </c>
      <c r="F821" s="4" t="s">
        <v>25</v>
      </c>
      <c r="G821" s="4" t="s">
        <v>25</v>
      </c>
      <c r="H821" s="4" t="s">
        <v>25</v>
      </c>
      <c r="I821" s="5">
        <v>44075</v>
      </c>
      <c r="J821" s="6">
        <v>15106</v>
      </c>
      <c r="K821" s="6">
        <v>15106</v>
      </c>
      <c r="L821" s="6">
        <v>0</v>
      </c>
      <c r="M821" s="6">
        <v>0</v>
      </c>
      <c r="N821" s="6">
        <v>0</v>
      </c>
      <c r="O821" s="6">
        <v>0</v>
      </c>
      <c r="P821" s="6">
        <v>113</v>
      </c>
      <c r="Q821" s="4" t="s">
        <v>26</v>
      </c>
      <c r="R821" s="4">
        <v>0</v>
      </c>
      <c r="S821" s="6">
        <v>26</v>
      </c>
      <c r="T821" s="6">
        <v>0</v>
      </c>
      <c r="U821" s="6">
        <v>0</v>
      </c>
      <c r="V821" s="6">
        <f>IF(ISERROR(VLOOKUP($S$821,'TAR FIN'!$A$1:$O$120,15,0)),0,VLOOKUP($S$821,'TAR FIN'!$A$1:$O$120,15,0))</f>
        <v>8.81</v>
      </c>
      <c r="W821" s="6">
        <f>IF(ISERROR(VLOOKUP($T$821,'TAR FIN'!$A$1:$O$120,15,0)),0,VLOOKUP($T$821,'TAR FIN'!$A$1:$O$120,15,0))</f>
        <v>0</v>
      </c>
      <c r="X821" s="6">
        <f>IF(ISERROR(VLOOKUP($U$821,'TAR FIN'!$A$1:$O$120,15,0)),0,VLOOKUP($U$821,'TAR FIN'!$A$1:$O$120,15,0))</f>
        <v>0</v>
      </c>
      <c r="Y821" s="6">
        <f ca="1">('TUSD BE'!$AM$32+'TUSD BF'!$AM$32+'TUSD CVA'!$AM$32)*1</f>
        <v>11.452356648653195</v>
      </c>
      <c r="Z821" s="6"/>
      <c r="AA821" s="6"/>
      <c r="AB821" s="6">
        <f>$K$821*$V$821</f>
        <v>133083.86000000002</v>
      </c>
      <c r="AC821" s="6">
        <f>$M$821*$W$821</f>
        <v>0</v>
      </c>
      <c r="AD821" s="6">
        <f>$O$821*$X$821</f>
        <v>0</v>
      </c>
      <c r="AE821" s="6">
        <f ca="1">$K$821*$Y$821</f>
        <v>172999.29953455518</v>
      </c>
      <c r="AF821" s="6">
        <f>$M$821*$Z$821</f>
        <v>0</v>
      </c>
      <c r="AG821" s="6">
        <f>$O$821*$AA$821</f>
        <v>0</v>
      </c>
    </row>
    <row r="822" spans="1:33" ht="11.25" customHeight="1" x14ac:dyDescent="0.25">
      <c r="A822" s="4" t="s">
        <v>59</v>
      </c>
      <c r="B822" s="4" t="s">
        <v>33</v>
      </c>
      <c r="C822" s="4" t="s">
        <v>34</v>
      </c>
      <c r="D822" s="4" t="s">
        <v>40</v>
      </c>
      <c r="E822" s="4" t="s">
        <v>25</v>
      </c>
      <c r="F822" s="4" t="s">
        <v>25</v>
      </c>
      <c r="G822" s="4" t="s">
        <v>25</v>
      </c>
      <c r="H822" s="4" t="s">
        <v>25</v>
      </c>
      <c r="I822" s="5">
        <v>44075</v>
      </c>
      <c r="J822" s="6">
        <v>259</v>
      </c>
      <c r="K822" s="6">
        <v>259</v>
      </c>
      <c r="L822" s="6">
        <v>0</v>
      </c>
      <c r="M822" s="6">
        <v>0</v>
      </c>
      <c r="N822" s="6">
        <v>0</v>
      </c>
      <c r="O822" s="6">
        <v>0</v>
      </c>
      <c r="P822" s="6">
        <v>2</v>
      </c>
      <c r="Q822" s="4" t="s">
        <v>26</v>
      </c>
      <c r="R822" s="4">
        <v>0</v>
      </c>
      <c r="S822" s="6">
        <v>26</v>
      </c>
      <c r="T822" s="6">
        <v>0</v>
      </c>
      <c r="U822" s="6">
        <v>0</v>
      </c>
      <c r="V822" s="6">
        <f>IF(ISERROR(VLOOKUP($S$822,'TAR FIN'!$A$1:$O$120,15,0)),0,VLOOKUP($S$822,'TAR FIN'!$A$1:$O$120,15,0))</f>
        <v>8.81</v>
      </c>
      <c r="W822" s="6">
        <f>IF(ISERROR(VLOOKUP($T$822,'TAR FIN'!$A$1:$O$120,15,0)),0,VLOOKUP($T$822,'TAR FIN'!$A$1:$O$120,15,0))</f>
        <v>0</v>
      </c>
      <c r="X822" s="6">
        <f>IF(ISERROR(VLOOKUP($U$822,'TAR FIN'!$A$1:$O$120,15,0)),0,VLOOKUP($U$822,'TAR FIN'!$A$1:$O$120,15,0))</f>
        <v>0</v>
      </c>
      <c r="Y822" s="6">
        <f ca="1">('TUSD BE'!$AM$32+'TUSD BF'!$AM$32+'TUSD CVA'!$AM$32)*1</f>
        <v>11.452356648653195</v>
      </c>
      <c r="Z822" s="6"/>
      <c r="AA822" s="6"/>
      <c r="AB822" s="6">
        <f>$K$822*$V$822</f>
        <v>2281.79</v>
      </c>
      <c r="AC822" s="6">
        <f>$M$822*$W$822</f>
        <v>0</v>
      </c>
      <c r="AD822" s="6">
        <f>$O$822*$X$822</f>
        <v>0</v>
      </c>
      <c r="AE822" s="6">
        <f ca="1">$K$822*$Y$822</f>
        <v>2966.1603720011776</v>
      </c>
      <c r="AF822" s="6">
        <f>$M$822*$Z$822</f>
        <v>0</v>
      </c>
      <c r="AG822" s="6">
        <f>$O$822*$AA$822</f>
        <v>0</v>
      </c>
    </row>
    <row r="823" spans="1:33" ht="11.25" customHeight="1" x14ac:dyDescent="0.25">
      <c r="A823" s="4" t="s">
        <v>59</v>
      </c>
      <c r="B823" s="4" t="s">
        <v>33</v>
      </c>
      <c r="C823" s="4" t="s">
        <v>34</v>
      </c>
      <c r="D823" s="4" t="s">
        <v>40</v>
      </c>
      <c r="E823" s="4" t="s">
        <v>25</v>
      </c>
      <c r="F823" s="4" t="s">
        <v>25</v>
      </c>
      <c r="G823" s="4" t="s">
        <v>25</v>
      </c>
      <c r="H823" s="4" t="s">
        <v>25</v>
      </c>
      <c r="I823" s="5">
        <v>44075</v>
      </c>
      <c r="J823" s="6">
        <v>1758</v>
      </c>
      <c r="K823" s="6">
        <v>1758</v>
      </c>
      <c r="L823" s="6">
        <v>0</v>
      </c>
      <c r="M823" s="6">
        <v>0</v>
      </c>
      <c r="N823" s="6">
        <v>0</v>
      </c>
      <c r="O823" s="6">
        <v>0</v>
      </c>
      <c r="P823" s="6">
        <v>10</v>
      </c>
      <c r="Q823" s="4" t="s">
        <v>26</v>
      </c>
      <c r="R823" s="4">
        <v>0</v>
      </c>
      <c r="S823" s="6">
        <v>26</v>
      </c>
      <c r="T823" s="6">
        <v>0</v>
      </c>
      <c r="U823" s="6">
        <v>0</v>
      </c>
      <c r="V823" s="6">
        <f>IF(ISERROR(VLOOKUP($S$823,'TAR FIN'!$A$1:$O$120,15,0)),0,VLOOKUP($S$823,'TAR FIN'!$A$1:$O$120,15,0))</f>
        <v>8.81</v>
      </c>
      <c r="W823" s="6">
        <f>IF(ISERROR(VLOOKUP($T$823,'TAR FIN'!$A$1:$O$120,15,0)),0,VLOOKUP($T$823,'TAR FIN'!$A$1:$O$120,15,0))</f>
        <v>0</v>
      </c>
      <c r="X823" s="6">
        <f>IF(ISERROR(VLOOKUP($U$823,'TAR FIN'!$A$1:$O$120,15,0)),0,VLOOKUP($U$823,'TAR FIN'!$A$1:$O$120,15,0))</f>
        <v>0</v>
      </c>
      <c r="Y823" s="6">
        <f ca="1">('TUSD BE'!$AM$32+'TUSD BF'!$AM$32+'TUSD CVA'!$AM$32)*1</f>
        <v>11.452356648653195</v>
      </c>
      <c r="Z823" s="6"/>
      <c r="AA823" s="6"/>
      <c r="AB823" s="6">
        <f>$K$823*$V$823</f>
        <v>15487.980000000001</v>
      </c>
      <c r="AC823" s="6">
        <f>$M$823*$W$823</f>
        <v>0</v>
      </c>
      <c r="AD823" s="6">
        <f>$O$823*$X$823</f>
        <v>0</v>
      </c>
      <c r="AE823" s="6">
        <f ca="1">$K$823*$Y$823</f>
        <v>20133.242988332317</v>
      </c>
      <c r="AF823" s="6">
        <f>$M$823*$Z$823</f>
        <v>0</v>
      </c>
      <c r="AG823" s="6">
        <f>$O$823*$AA$823</f>
        <v>0</v>
      </c>
    </row>
    <row r="824" spans="1:33" ht="11.25" customHeight="1" x14ac:dyDescent="0.25">
      <c r="A824" s="4" t="s">
        <v>21</v>
      </c>
      <c r="B824" s="4" t="s">
        <v>33</v>
      </c>
      <c r="C824" s="4" t="s">
        <v>34</v>
      </c>
      <c r="D824" s="4" t="s">
        <v>40</v>
      </c>
      <c r="E824" s="4" t="s">
        <v>25</v>
      </c>
      <c r="F824" s="4" t="s">
        <v>25</v>
      </c>
      <c r="G824" s="4" t="s">
        <v>25</v>
      </c>
      <c r="H824" s="4" t="s">
        <v>35</v>
      </c>
      <c r="I824" s="5">
        <v>43739</v>
      </c>
      <c r="J824" s="6">
        <v>0</v>
      </c>
      <c r="K824" s="6">
        <v>0</v>
      </c>
      <c r="L824" s="6">
        <v>178.494</v>
      </c>
      <c r="M824" s="6">
        <v>178.494</v>
      </c>
      <c r="N824" s="6">
        <v>178.494</v>
      </c>
      <c r="O824" s="6">
        <v>178.494</v>
      </c>
      <c r="P824" s="6">
        <v>0</v>
      </c>
      <c r="Q824" s="4" t="s">
        <v>26</v>
      </c>
      <c r="R824" s="4">
        <v>0</v>
      </c>
      <c r="S824" s="6">
        <v>0</v>
      </c>
      <c r="T824" s="6">
        <v>27</v>
      </c>
      <c r="U824" s="6">
        <v>81</v>
      </c>
      <c r="V824" s="6">
        <f>IF(ISERROR(VLOOKUP($S$824,'TAR FIN'!$A$1:$O$120,15,0)),0,VLOOKUP($S$824,'TAR FIN'!$A$1:$O$120,15,0))</f>
        <v>0</v>
      </c>
      <c r="W824" s="6">
        <f>IF(ISERROR(VLOOKUP($T$824,'TAR FIN'!$A$1:$O$120,15,0)),0,VLOOKUP($T$824,'TAR FIN'!$A$1:$O$120,15,0))</f>
        <v>641.99</v>
      </c>
      <c r="X824" s="6">
        <f>IF(ISERROR(VLOOKUP($U$824,'TAR FIN'!$A$1:$O$120,15,0)),0,VLOOKUP($U$824,'TAR FIN'!$A$1:$O$120,15,0))</f>
        <v>430.87</v>
      </c>
      <c r="Y824" s="6"/>
      <c r="Z824" s="6">
        <f ca="1">('TUSD BE'!$AM$33+'TUSD BF'!$AM$33+'TUSD CVA'!$AM$33)*1</f>
        <v>747.73363518028248</v>
      </c>
      <c r="AA824" s="6">
        <f>('TE BE'!$AA$10+'TE BF'!$AA$10+'TE CVA'!$AA$10)*1</f>
        <v>375.69180268700768</v>
      </c>
      <c r="AB824" s="6">
        <f>$K$824*$V$824</f>
        <v>0</v>
      </c>
      <c r="AC824" s="6">
        <f>$M$824*$W$824</f>
        <v>114591.36306</v>
      </c>
      <c r="AD824" s="6">
        <f>$O$824*$X$824</f>
        <v>76907.709780000005</v>
      </c>
      <c r="AE824" s="6">
        <f>$K$824*$Y$824</f>
        <v>0</v>
      </c>
      <c r="AF824" s="6">
        <f ca="1">$M$824*$Z$824</f>
        <v>133465.96747786933</v>
      </c>
      <c r="AG824" s="6">
        <f>$O$824*$AA$824</f>
        <v>67058.732628814745</v>
      </c>
    </row>
    <row r="825" spans="1:33" ht="11.25" customHeight="1" x14ac:dyDescent="0.25">
      <c r="A825" s="4" t="s">
        <v>27</v>
      </c>
      <c r="B825" s="4" t="s">
        <v>33</v>
      </c>
      <c r="C825" s="4" t="s">
        <v>34</v>
      </c>
      <c r="D825" s="4" t="s">
        <v>40</v>
      </c>
      <c r="E825" s="4" t="s">
        <v>25</v>
      </c>
      <c r="F825" s="4" t="s">
        <v>25</v>
      </c>
      <c r="G825" s="4" t="s">
        <v>25</v>
      </c>
      <c r="H825" s="4" t="s">
        <v>35</v>
      </c>
      <c r="I825" s="5">
        <v>43739</v>
      </c>
      <c r="J825" s="6">
        <v>0</v>
      </c>
      <c r="K825" s="6">
        <v>0</v>
      </c>
      <c r="L825" s="6">
        <v>0.20499999999999999</v>
      </c>
      <c r="M825" s="6">
        <v>0.20499999999999999</v>
      </c>
      <c r="N825" s="6">
        <v>0.20499999999999999</v>
      </c>
      <c r="O825" s="6">
        <v>0.20499999999999999</v>
      </c>
      <c r="P825" s="6">
        <v>0</v>
      </c>
      <c r="Q825" s="4" t="s">
        <v>26</v>
      </c>
      <c r="R825" s="4">
        <v>0</v>
      </c>
      <c r="S825" s="6">
        <v>0</v>
      </c>
      <c r="T825" s="6">
        <v>27</v>
      </c>
      <c r="U825" s="6">
        <v>81</v>
      </c>
      <c r="V825" s="6">
        <f>IF(ISERROR(VLOOKUP($S$825,'TAR FIN'!$A$1:$O$120,15,0)),0,VLOOKUP($S$825,'TAR FIN'!$A$1:$O$120,15,0))</f>
        <v>0</v>
      </c>
      <c r="W825" s="6">
        <f>IF(ISERROR(VLOOKUP($T$825,'TAR FIN'!$A$1:$O$120,15,0)),0,VLOOKUP($T$825,'TAR FIN'!$A$1:$O$120,15,0))</f>
        <v>641.99</v>
      </c>
      <c r="X825" s="6">
        <f>IF(ISERROR(VLOOKUP($U$825,'TAR FIN'!$A$1:$O$120,15,0)),0,VLOOKUP($U$825,'TAR FIN'!$A$1:$O$120,15,0))</f>
        <v>430.87</v>
      </c>
      <c r="Y825" s="6"/>
      <c r="Z825" s="6">
        <f ca="1">('TUSD BE'!$AM$33+'TUSD BF'!$AM$33+'TUSD CVA'!$AM$33)*1</f>
        <v>747.73363518028248</v>
      </c>
      <c r="AA825" s="6">
        <f>('TE BE'!$AA$10+'TE BF'!$AA$10+'TE CVA'!$AA$10)*1</f>
        <v>375.69180268700768</v>
      </c>
      <c r="AB825" s="6">
        <f>$K$825*$V$825</f>
        <v>0</v>
      </c>
      <c r="AC825" s="6">
        <f>$M$825*$W$825</f>
        <v>131.60794999999999</v>
      </c>
      <c r="AD825" s="6">
        <f>$O$825*$X$825</f>
        <v>88.32835</v>
      </c>
      <c r="AE825" s="6">
        <f>$K$825*$Y$825</f>
        <v>0</v>
      </c>
      <c r="AF825" s="6">
        <f ca="1">$M$825*$Z$825</f>
        <v>153.2853952119579</v>
      </c>
      <c r="AG825" s="6">
        <f>$O$825*$AA$825</f>
        <v>77.016819550836573</v>
      </c>
    </row>
    <row r="826" spans="1:33" ht="11.25" customHeight="1" x14ac:dyDescent="0.25">
      <c r="A826" s="4" t="s">
        <v>21</v>
      </c>
      <c r="B826" s="4" t="s">
        <v>33</v>
      </c>
      <c r="C826" s="4" t="s">
        <v>34</v>
      </c>
      <c r="D826" s="4" t="s">
        <v>40</v>
      </c>
      <c r="E826" s="4" t="s">
        <v>25</v>
      </c>
      <c r="F826" s="4" t="s">
        <v>25</v>
      </c>
      <c r="G826" s="4" t="s">
        <v>25</v>
      </c>
      <c r="H826" s="4" t="s">
        <v>35</v>
      </c>
      <c r="I826" s="5">
        <v>43770</v>
      </c>
      <c r="J826" s="6">
        <v>0</v>
      </c>
      <c r="K826" s="6">
        <v>0</v>
      </c>
      <c r="L826" s="6">
        <v>185.49600000000001</v>
      </c>
      <c r="M826" s="6">
        <v>185.49600000000001</v>
      </c>
      <c r="N826" s="6">
        <v>185.49600000000001</v>
      </c>
      <c r="O826" s="6">
        <v>185.49600000000001</v>
      </c>
      <c r="P826" s="6">
        <v>0</v>
      </c>
      <c r="Q826" s="4" t="s">
        <v>26</v>
      </c>
      <c r="R826" s="4">
        <v>0</v>
      </c>
      <c r="S826" s="6">
        <v>0</v>
      </c>
      <c r="T826" s="6">
        <v>27</v>
      </c>
      <c r="U826" s="6">
        <v>81</v>
      </c>
      <c r="V826" s="6">
        <f>IF(ISERROR(VLOOKUP($S$826,'TAR FIN'!$A$1:$O$120,15,0)),0,VLOOKUP($S$826,'TAR FIN'!$A$1:$O$120,15,0))</f>
        <v>0</v>
      </c>
      <c r="W826" s="6">
        <f>IF(ISERROR(VLOOKUP($T$826,'TAR FIN'!$A$1:$O$120,15,0)),0,VLOOKUP($T$826,'TAR FIN'!$A$1:$O$120,15,0))</f>
        <v>641.99</v>
      </c>
      <c r="X826" s="6">
        <f>IF(ISERROR(VLOOKUP($U$826,'TAR FIN'!$A$1:$O$120,15,0)),0,VLOOKUP($U$826,'TAR FIN'!$A$1:$O$120,15,0))</f>
        <v>430.87</v>
      </c>
      <c r="Y826" s="6"/>
      <c r="Z826" s="6">
        <f ca="1">('TUSD BE'!$AM$33+'TUSD BF'!$AM$33+'TUSD CVA'!$AM$33)*1</f>
        <v>747.73363518028248</v>
      </c>
      <c r="AA826" s="6">
        <f>('TE BE'!$AA$10+'TE BF'!$AA$10+'TE CVA'!$AA$10)*1</f>
        <v>375.69180268700768</v>
      </c>
      <c r="AB826" s="6">
        <f>$K$826*$V$826</f>
        <v>0</v>
      </c>
      <c r="AC826" s="6">
        <f>$M$826*$W$826</f>
        <v>119086.57704</v>
      </c>
      <c r="AD826" s="6">
        <f>$O$826*$X$826</f>
        <v>79924.661520000009</v>
      </c>
      <c r="AE826" s="6">
        <f>$K$826*$Y$826</f>
        <v>0</v>
      </c>
      <c r="AF826" s="6">
        <f ca="1">$M$826*$Z$826</f>
        <v>138701.5983914017</v>
      </c>
      <c r="AG826" s="6">
        <f>$O$826*$AA$826</f>
        <v>69689.326631229182</v>
      </c>
    </row>
    <row r="827" spans="1:33" ht="11.25" customHeight="1" x14ac:dyDescent="0.25">
      <c r="A827" s="4" t="s">
        <v>27</v>
      </c>
      <c r="B827" s="4" t="s">
        <v>33</v>
      </c>
      <c r="C827" s="4" t="s">
        <v>34</v>
      </c>
      <c r="D827" s="4" t="s">
        <v>40</v>
      </c>
      <c r="E827" s="4" t="s">
        <v>25</v>
      </c>
      <c r="F827" s="4" t="s">
        <v>25</v>
      </c>
      <c r="G827" s="4" t="s">
        <v>25</v>
      </c>
      <c r="H827" s="4" t="s">
        <v>35</v>
      </c>
      <c r="I827" s="5">
        <v>43770</v>
      </c>
      <c r="J827" s="6">
        <v>0</v>
      </c>
      <c r="K827" s="6">
        <v>0</v>
      </c>
      <c r="L827" s="6">
        <v>3.1880000000000002</v>
      </c>
      <c r="M827" s="6">
        <v>3.1880000000000002</v>
      </c>
      <c r="N827" s="6">
        <v>3.1880000000000002</v>
      </c>
      <c r="O827" s="6">
        <v>3.1880000000000002</v>
      </c>
      <c r="P827" s="6">
        <v>0</v>
      </c>
      <c r="Q827" s="4" t="s">
        <v>26</v>
      </c>
      <c r="R827" s="4">
        <v>0</v>
      </c>
      <c r="S827" s="6">
        <v>0</v>
      </c>
      <c r="T827" s="6">
        <v>27</v>
      </c>
      <c r="U827" s="6">
        <v>81</v>
      </c>
      <c r="V827" s="6">
        <f>IF(ISERROR(VLOOKUP($S$827,'TAR FIN'!$A$1:$O$120,15,0)),0,VLOOKUP($S$827,'TAR FIN'!$A$1:$O$120,15,0))</f>
        <v>0</v>
      </c>
      <c r="W827" s="6">
        <f>IF(ISERROR(VLOOKUP($T$827,'TAR FIN'!$A$1:$O$120,15,0)),0,VLOOKUP($T$827,'TAR FIN'!$A$1:$O$120,15,0))</f>
        <v>641.99</v>
      </c>
      <c r="X827" s="6">
        <f>IF(ISERROR(VLOOKUP($U$827,'TAR FIN'!$A$1:$O$120,15,0)),0,VLOOKUP($U$827,'TAR FIN'!$A$1:$O$120,15,0))</f>
        <v>430.87</v>
      </c>
      <c r="Y827" s="6"/>
      <c r="Z827" s="6">
        <f ca="1">('TUSD BE'!$AM$33+'TUSD BF'!$AM$33+'TUSD CVA'!$AM$33)*1</f>
        <v>747.73363518028248</v>
      </c>
      <c r="AA827" s="6">
        <f>('TE BE'!$AA$10+'TE BF'!$AA$10+'TE CVA'!$AA$10)*1</f>
        <v>375.69180268700768</v>
      </c>
      <c r="AB827" s="6">
        <f>$K$827*$V$827</f>
        <v>0</v>
      </c>
      <c r="AC827" s="6">
        <f>$M$827*$W$827</f>
        <v>2046.6641200000001</v>
      </c>
      <c r="AD827" s="6">
        <f>$O$827*$X$827</f>
        <v>1373.61356</v>
      </c>
      <c r="AE827" s="6">
        <f>$K$827*$Y$827</f>
        <v>0</v>
      </c>
      <c r="AF827" s="6">
        <f ca="1">$M$827*$Z$827</f>
        <v>2383.7748289547408</v>
      </c>
      <c r="AG827" s="6">
        <f>$O$827*$AA$827</f>
        <v>1197.7054669661804</v>
      </c>
    </row>
    <row r="828" spans="1:33" ht="11.25" customHeight="1" x14ac:dyDescent="0.25">
      <c r="A828" s="4" t="s">
        <v>28</v>
      </c>
      <c r="B828" s="4" t="s">
        <v>33</v>
      </c>
      <c r="C828" s="4" t="s">
        <v>34</v>
      </c>
      <c r="D828" s="4" t="s">
        <v>40</v>
      </c>
      <c r="E828" s="4" t="s">
        <v>25</v>
      </c>
      <c r="F828" s="4" t="s">
        <v>25</v>
      </c>
      <c r="G828" s="4" t="s">
        <v>25</v>
      </c>
      <c r="H828" s="4" t="s">
        <v>35</v>
      </c>
      <c r="I828" s="5">
        <v>43770</v>
      </c>
      <c r="J828" s="6">
        <v>0</v>
      </c>
      <c r="K828" s="6">
        <v>0</v>
      </c>
      <c r="L828" s="6">
        <v>1.155</v>
      </c>
      <c r="M828" s="6">
        <v>1.155</v>
      </c>
      <c r="N828" s="6">
        <v>1.155</v>
      </c>
      <c r="O828" s="6">
        <v>1.155</v>
      </c>
      <c r="P828" s="6">
        <v>0</v>
      </c>
      <c r="Q828" s="4" t="s">
        <v>26</v>
      </c>
      <c r="R828" s="4">
        <v>0</v>
      </c>
      <c r="S828" s="6">
        <v>0</v>
      </c>
      <c r="T828" s="6">
        <v>27</v>
      </c>
      <c r="U828" s="6">
        <v>81</v>
      </c>
      <c r="V828" s="6">
        <f>IF(ISERROR(VLOOKUP($S$828,'TAR FIN'!$A$1:$O$120,15,0)),0,VLOOKUP($S$828,'TAR FIN'!$A$1:$O$120,15,0))</f>
        <v>0</v>
      </c>
      <c r="W828" s="6">
        <f>IF(ISERROR(VLOOKUP($T$828,'TAR FIN'!$A$1:$O$120,15,0)),0,VLOOKUP($T$828,'TAR FIN'!$A$1:$O$120,15,0))</f>
        <v>641.99</v>
      </c>
      <c r="X828" s="6">
        <f>IF(ISERROR(VLOOKUP($U$828,'TAR FIN'!$A$1:$O$120,15,0)),0,VLOOKUP($U$828,'TAR FIN'!$A$1:$O$120,15,0))</f>
        <v>430.87</v>
      </c>
      <c r="Y828" s="6"/>
      <c r="Z828" s="6">
        <f ca="1">('TUSD BE'!$AM$33+'TUSD BF'!$AM$33+'TUSD CVA'!$AM$33)*1</f>
        <v>747.73363518028248</v>
      </c>
      <c r="AA828" s="6">
        <f>('TE BE'!$AA$10+'TE BF'!$AA$10+'TE CVA'!$AA$10)*1</f>
        <v>375.69180268700768</v>
      </c>
      <c r="AB828" s="6">
        <f>$K$828*$V$828</f>
        <v>0</v>
      </c>
      <c r="AC828" s="6">
        <f>$M$828*$W$828</f>
        <v>741.49845000000005</v>
      </c>
      <c r="AD828" s="6">
        <f>$O$828*$X$828</f>
        <v>497.65485000000001</v>
      </c>
      <c r="AE828" s="6">
        <f>$K$828*$Y$828</f>
        <v>0</v>
      </c>
      <c r="AF828" s="6">
        <f ca="1">$M$828*$Z$828</f>
        <v>863.63234863322623</v>
      </c>
      <c r="AG828" s="6">
        <f>$O$828*$AA$828</f>
        <v>433.92403210349386</v>
      </c>
    </row>
    <row r="829" spans="1:33" ht="11.25" customHeight="1" x14ac:dyDescent="0.25">
      <c r="A829" s="4" t="s">
        <v>21</v>
      </c>
      <c r="B829" s="4" t="s">
        <v>33</v>
      </c>
      <c r="C829" s="4" t="s">
        <v>34</v>
      </c>
      <c r="D829" s="4" t="s">
        <v>40</v>
      </c>
      <c r="E829" s="4" t="s">
        <v>25</v>
      </c>
      <c r="F829" s="4" t="s">
        <v>25</v>
      </c>
      <c r="G829" s="4" t="s">
        <v>25</v>
      </c>
      <c r="H829" s="4" t="s">
        <v>35</v>
      </c>
      <c r="I829" s="5">
        <v>43800</v>
      </c>
      <c r="J829" s="6">
        <v>0</v>
      </c>
      <c r="K829" s="6">
        <v>0</v>
      </c>
      <c r="L829" s="6">
        <v>160.982</v>
      </c>
      <c r="M829" s="6">
        <v>160.982</v>
      </c>
      <c r="N829" s="6">
        <v>160.982</v>
      </c>
      <c r="O829" s="6">
        <v>160.982</v>
      </c>
      <c r="P829" s="6">
        <v>0</v>
      </c>
      <c r="Q829" s="4" t="s">
        <v>26</v>
      </c>
      <c r="R829" s="4">
        <v>0</v>
      </c>
      <c r="S829" s="6">
        <v>0</v>
      </c>
      <c r="T829" s="6">
        <v>27</v>
      </c>
      <c r="U829" s="6">
        <v>81</v>
      </c>
      <c r="V829" s="6">
        <f>IF(ISERROR(VLOOKUP($S$829,'TAR FIN'!$A$1:$O$120,15,0)),0,VLOOKUP($S$829,'TAR FIN'!$A$1:$O$120,15,0))</f>
        <v>0</v>
      </c>
      <c r="W829" s="6">
        <f>IF(ISERROR(VLOOKUP($T$829,'TAR FIN'!$A$1:$O$120,15,0)),0,VLOOKUP($T$829,'TAR FIN'!$A$1:$O$120,15,0))</f>
        <v>641.99</v>
      </c>
      <c r="X829" s="6">
        <f>IF(ISERROR(VLOOKUP($U$829,'TAR FIN'!$A$1:$O$120,15,0)),0,VLOOKUP($U$829,'TAR FIN'!$A$1:$O$120,15,0))</f>
        <v>430.87</v>
      </c>
      <c r="Y829" s="6"/>
      <c r="Z829" s="6">
        <f ca="1">('TUSD BE'!$AM$33+'TUSD BF'!$AM$33+'TUSD CVA'!$AM$33)*1</f>
        <v>747.73363518028248</v>
      </c>
      <c r="AA829" s="6">
        <f>('TE BE'!$AA$10+'TE BF'!$AA$10+'TE CVA'!$AA$10)*1</f>
        <v>375.69180268700768</v>
      </c>
      <c r="AB829" s="6">
        <f>$K$829*$V$829</f>
        <v>0</v>
      </c>
      <c r="AC829" s="6">
        <f>$M$829*$W$829</f>
        <v>103348.83418000001</v>
      </c>
      <c r="AD829" s="6">
        <f>$O$829*$X$829</f>
        <v>69362.314339999997</v>
      </c>
      <c r="AE829" s="6">
        <f>$K$829*$Y$829</f>
        <v>0</v>
      </c>
      <c r="AF829" s="6">
        <f ca="1">$M$829*$Z$829</f>
        <v>120371.65605859223</v>
      </c>
      <c r="AG829" s="6">
        <f>$O$829*$AA$829</f>
        <v>60479.617780159868</v>
      </c>
    </row>
    <row r="830" spans="1:33" ht="11.25" customHeight="1" x14ac:dyDescent="0.25">
      <c r="A830" s="4" t="s">
        <v>27</v>
      </c>
      <c r="B830" s="4" t="s">
        <v>33</v>
      </c>
      <c r="C830" s="4" t="s">
        <v>34</v>
      </c>
      <c r="D830" s="4" t="s">
        <v>40</v>
      </c>
      <c r="E830" s="4" t="s">
        <v>25</v>
      </c>
      <c r="F830" s="4" t="s">
        <v>25</v>
      </c>
      <c r="G830" s="4" t="s">
        <v>25</v>
      </c>
      <c r="H830" s="4" t="s">
        <v>35</v>
      </c>
      <c r="I830" s="5">
        <v>43800</v>
      </c>
      <c r="J830" s="6">
        <v>0</v>
      </c>
      <c r="K830" s="6">
        <v>0</v>
      </c>
      <c r="L830" s="6">
        <v>0.129</v>
      </c>
      <c r="M830" s="6">
        <v>0.129</v>
      </c>
      <c r="N830" s="6">
        <v>0.129</v>
      </c>
      <c r="O830" s="6">
        <v>0.129</v>
      </c>
      <c r="P830" s="6">
        <v>0</v>
      </c>
      <c r="Q830" s="4" t="s">
        <v>26</v>
      </c>
      <c r="R830" s="4">
        <v>0</v>
      </c>
      <c r="S830" s="6">
        <v>0</v>
      </c>
      <c r="T830" s="6">
        <v>27</v>
      </c>
      <c r="U830" s="6">
        <v>81</v>
      </c>
      <c r="V830" s="6">
        <f>IF(ISERROR(VLOOKUP($S$830,'TAR FIN'!$A$1:$O$120,15,0)),0,VLOOKUP($S$830,'TAR FIN'!$A$1:$O$120,15,0))</f>
        <v>0</v>
      </c>
      <c r="W830" s="6">
        <f>IF(ISERROR(VLOOKUP($T$830,'TAR FIN'!$A$1:$O$120,15,0)),0,VLOOKUP($T$830,'TAR FIN'!$A$1:$O$120,15,0))</f>
        <v>641.99</v>
      </c>
      <c r="X830" s="6">
        <f>IF(ISERROR(VLOOKUP($U$830,'TAR FIN'!$A$1:$O$120,15,0)),0,VLOOKUP($U$830,'TAR FIN'!$A$1:$O$120,15,0))</f>
        <v>430.87</v>
      </c>
      <c r="Y830" s="6"/>
      <c r="Z830" s="6">
        <f ca="1">('TUSD BE'!$AM$33+'TUSD BF'!$AM$33+'TUSD CVA'!$AM$33)*1</f>
        <v>747.73363518028248</v>
      </c>
      <c r="AA830" s="6">
        <f>('TE BE'!$AA$10+'TE BF'!$AA$10+'TE CVA'!$AA$10)*1</f>
        <v>375.69180268700768</v>
      </c>
      <c r="AB830" s="6">
        <f>$K$830*$V$830</f>
        <v>0</v>
      </c>
      <c r="AC830" s="6">
        <f>$M$830*$W$830</f>
        <v>82.81671</v>
      </c>
      <c r="AD830" s="6">
        <f>$O$830*$X$830</f>
        <v>55.582230000000003</v>
      </c>
      <c r="AE830" s="6">
        <f>$K$830*$Y$830</f>
        <v>0</v>
      </c>
      <c r="AF830" s="6">
        <f ca="1">$M$830*$Z$830</f>
        <v>96.457638938256437</v>
      </c>
      <c r="AG830" s="6">
        <f>$O$830*$AA$830</f>
        <v>48.464242546623993</v>
      </c>
    </row>
    <row r="831" spans="1:33" ht="11.25" customHeight="1" x14ac:dyDescent="0.25">
      <c r="A831" s="4" t="s">
        <v>28</v>
      </c>
      <c r="B831" s="4" t="s">
        <v>33</v>
      </c>
      <c r="C831" s="4" t="s">
        <v>34</v>
      </c>
      <c r="D831" s="4" t="s">
        <v>40</v>
      </c>
      <c r="E831" s="4" t="s">
        <v>25</v>
      </c>
      <c r="F831" s="4" t="s">
        <v>25</v>
      </c>
      <c r="G831" s="4" t="s">
        <v>25</v>
      </c>
      <c r="H831" s="4" t="s">
        <v>35</v>
      </c>
      <c r="I831" s="5">
        <v>43800</v>
      </c>
      <c r="J831" s="6">
        <v>0</v>
      </c>
      <c r="K831" s="6">
        <v>0</v>
      </c>
      <c r="L831" s="6">
        <v>1.97</v>
      </c>
      <c r="M831" s="6">
        <v>1.97</v>
      </c>
      <c r="N831" s="6">
        <v>1.97</v>
      </c>
      <c r="O831" s="6">
        <v>1.97</v>
      </c>
      <c r="P831" s="6">
        <v>0</v>
      </c>
      <c r="Q831" s="4" t="s">
        <v>26</v>
      </c>
      <c r="R831" s="4">
        <v>0</v>
      </c>
      <c r="S831" s="6">
        <v>0</v>
      </c>
      <c r="T831" s="6">
        <v>27</v>
      </c>
      <c r="U831" s="6">
        <v>81</v>
      </c>
      <c r="V831" s="6">
        <f>IF(ISERROR(VLOOKUP($S$831,'TAR FIN'!$A$1:$O$120,15,0)),0,VLOOKUP($S$831,'TAR FIN'!$A$1:$O$120,15,0))</f>
        <v>0</v>
      </c>
      <c r="W831" s="6">
        <f>IF(ISERROR(VLOOKUP($T$831,'TAR FIN'!$A$1:$O$120,15,0)),0,VLOOKUP($T$831,'TAR FIN'!$A$1:$O$120,15,0))</f>
        <v>641.99</v>
      </c>
      <c r="X831" s="6">
        <f>IF(ISERROR(VLOOKUP($U$831,'TAR FIN'!$A$1:$O$120,15,0)),0,VLOOKUP($U$831,'TAR FIN'!$A$1:$O$120,15,0))</f>
        <v>430.87</v>
      </c>
      <c r="Y831" s="6"/>
      <c r="Z831" s="6">
        <f ca="1">('TUSD BE'!$AM$33+'TUSD BF'!$AM$33+'TUSD CVA'!$AM$33)*1</f>
        <v>747.73363518028248</v>
      </c>
      <c r="AA831" s="6">
        <f>('TE BE'!$AA$10+'TE BF'!$AA$10+'TE CVA'!$AA$10)*1</f>
        <v>375.69180268700768</v>
      </c>
      <c r="AB831" s="6">
        <f>$K$831*$V$831</f>
        <v>0</v>
      </c>
      <c r="AC831" s="6">
        <f>$M$831*$W$831</f>
        <v>1264.7203</v>
      </c>
      <c r="AD831" s="6">
        <f>$O$831*$X$831</f>
        <v>848.81389999999999</v>
      </c>
      <c r="AE831" s="6">
        <f>$K$831*$Y$831</f>
        <v>0</v>
      </c>
      <c r="AF831" s="6">
        <f ca="1">$M$831*$Z$831</f>
        <v>1473.0352613051564</v>
      </c>
      <c r="AG831" s="6">
        <f>$O$831*$AA$831</f>
        <v>740.11285129340513</v>
      </c>
    </row>
    <row r="832" spans="1:33" ht="11.25" customHeight="1" x14ac:dyDescent="0.25">
      <c r="A832" s="4" t="s">
        <v>21</v>
      </c>
      <c r="B832" s="4" t="s">
        <v>33</v>
      </c>
      <c r="C832" s="4" t="s">
        <v>34</v>
      </c>
      <c r="D832" s="4" t="s">
        <v>40</v>
      </c>
      <c r="E832" s="4" t="s">
        <v>25</v>
      </c>
      <c r="F832" s="4" t="s">
        <v>25</v>
      </c>
      <c r="G832" s="4" t="s">
        <v>25</v>
      </c>
      <c r="H832" s="4" t="s">
        <v>35</v>
      </c>
      <c r="I832" s="5">
        <v>43831</v>
      </c>
      <c r="J832" s="6">
        <v>0</v>
      </c>
      <c r="K832" s="6">
        <v>0</v>
      </c>
      <c r="L832" s="6">
        <v>147.714</v>
      </c>
      <c r="M832" s="6">
        <v>147.714</v>
      </c>
      <c r="N832" s="6">
        <v>147.714</v>
      </c>
      <c r="O832" s="6">
        <v>147.714</v>
      </c>
      <c r="P832" s="6">
        <v>0</v>
      </c>
      <c r="Q832" s="4" t="s">
        <v>26</v>
      </c>
      <c r="R832" s="4">
        <v>0</v>
      </c>
      <c r="S832" s="6">
        <v>0</v>
      </c>
      <c r="T832" s="6">
        <v>27</v>
      </c>
      <c r="U832" s="6">
        <v>81</v>
      </c>
      <c r="V832" s="6">
        <f>IF(ISERROR(VLOOKUP($S$832,'TAR FIN'!$A$1:$O$120,15,0)),0,VLOOKUP($S$832,'TAR FIN'!$A$1:$O$120,15,0))</f>
        <v>0</v>
      </c>
      <c r="W832" s="6">
        <f>IF(ISERROR(VLOOKUP($T$832,'TAR FIN'!$A$1:$O$120,15,0)),0,VLOOKUP($T$832,'TAR FIN'!$A$1:$O$120,15,0))</f>
        <v>641.99</v>
      </c>
      <c r="X832" s="6">
        <f>IF(ISERROR(VLOOKUP($U$832,'TAR FIN'!$A$1:$O$120,15,0)),0,VLOOKUP($U$832,'TAR FIN'!$A$1:$O$120,15,0))</f>
        <v>430.87</v>
      </c>
      <c r="Y832" s="6"/>
      <c r="Z832" s="6">
        <f ca="1">('TUSD BE'!$AM$33+'TUSD BF'!$AM$33+'TUSD CVA'!$AM$33)*1</f>
        <v>747.73363518028248</v>
      </c>
      <c r="AA832" s="6">
        <f>('TE BE'!$AA$10+'TE BF'!$AA$10+'TE CVA'!$AA$10)*1</f>
        <v>375.69180268700768</v>
      </c>
      <c r="AB832" s="6">
        <f>$K$832*$V$832</f>
        <v>0</v>
      </c>
      <c r="AC832" s="6">
        <f>$M$832*$W$832</f>
        <v>94830.910860000004</v>
      </c>
      <c r="AD832" s="6">
        <f>$O$832*$X$832</f>
        <v>63645.531179999998</v>
      </c>
      <c r="AE832" s="6">
        <f>$K$832*$Y$832</f>
        <v>0</v>
      </c>
      <c r="AF832" s="6">
        <f ca="1">$M$832*$Z$832</f>
        <v>110450.72618702025</v>
      </c>
      <c r="AG832" s="6">
        <f>$O$832*$AA$832</f>
        <v>55494.938942108653</v>
      </c>
    </row>
    <row r="833" spans="1:33" ht="11.25" customHeight="1" x14ac:dyDescent="0.25">
      <c r="A833" s="4" t="s">
        <v>27</v>
      </c>
      <c r="B833" s="4" t="s">
        <v>33</v>
      </c>
      <c r="C833" s="4" t="s">
        <v>34</v>
      </c>
      <c r="D833" s="4" t="s">
        <v>40</v>
      </c>
      <c r="E833" s="4" t="s">
        <v>25</v>
      </c>
      <c r="F833" s="4" t="s">
        <v>25</v>
      </c>
      <c r="G833" s="4" t="s">
        <v>25</v>
      </c>
      <c r="H833" s="4" t="s">
        <v>35</v>
      </c>
      <c r="I833" s="5">
        <v>43831</v>
      </c>
      <c r="J833" s="6">
        <v>0</v>
      </c>
      <c r="K833" s="6">
        <v>0</v>
      </c>
      <c r="L833" s="6">
        <v>2.9060000000000001</v>
      </c>
      <c r="M833" s="6">
        <v>2.9060000000000001</v>
      </c>
      <c r="N833" s="6">
        <v>2.9060000000000001</v>
      </c>
      <c r="O833" s="6">
        <v>2.9060000000000001</v>
      </c>
      <c r="P833" s="6">
        <v>0</v>
      </c>
      <c r="Q833" s="4" t="s">
        <v>26</v>
      </c>
      <c r="R833" s="4">
        <v>0</v>
      </c>
      <c r="S833" s="6">
        <v>0</v>
      </c>
      <c r="T833" s="6">
        <v>27</v>
      </c>
      <c r="U833" s="6">
        <v>81</v>
      </c>
      <c r="V833" s="6">
        <f>IF(ISERROR(VLOOKUP($S$833,'TAR FIN'!$A$1:$O$120,15,0)),0,VLOOKUP($S$833,'TAR FIN'!$A$1:$O$120,15,0))</f>
        <v>0</v>
      </c>
      <c r="W833" s="6">
        <f>IF(ISERROR(VLOOKUP($T$833,'TAR FIN'!$A$1:$O$120,15,0)),0,VLOOKUP($T$833,'TAR FIN'!$A$1:$O$120,15,0))</f>
        <v>641.99</v>
      </c>
      <c r="X833" s="6">
        <f>IF(ISERROR(VLOOKUP($U$833,'TAR FIN'!$A$1:$O$120,15,0)),0,VLOOKUP($U$833,'TAR FIN'!$A$1:$O$120,15,0))</f>
        <v>430.87</v>
      </c>
      <c r="Y833" s="6"/>
      <c r="Z833" s="6">
        <f ca="1">('TUSD BE'!$AM$33+'TUSD BF'!$AM$33+'TUSD CVA'!$AM$33)*1</f>
        <v>747.73363518028248</v>
      </c>
      <c r="AA833" s="6">
        <f>('TE BE'!$AA$10+'TE BF'!$AA$10+'TE CVA'!$AA$10)*1</f>
        <v>375.69180268700768</v>
      </c>
      <c r="AB833" s="6">
        <f>$K$833*$V$833</f>
        <v>0</v>
      </c>
      <c r="AC833" s="6">
        <f>$M$833*$W$833</f>
        <v>1865.6229400000002</v>
      </c>
      <c r="AD833" s="6">
        <f>$O$833*$X$833</f>
        <v>1252.1082200000001</v>
      </c>
      <c r="AE833" s="6">
        <f>$K$833*$Y$833</f>
        <v>0</v>
      </c>
      <c r="AF833" s="6">
        <f ca="1">$M$833*$Z$833</f>
        <v>2172.9139438339012</v>
      </c>
      <c r="AG833" s="6">
        <f>$O$833*$AA$833</f>
        <v>1091.7603786084444</v>
      </c>
    </row>
    <row r="834" spans="1:33" ht="11.25" customHeight="1" x14ac:dyDescent="0.25">
      <c r="A834" s="4" t="s">
        <v>28</v>
      </c>
      <c r="B834" s="4" t="s">
        <v>33</v>
      </c>
      <c r="C834" s="4" t="s">
        <v>34</v>
      </c>
      <c r="D834" s="4" t="s">
        <v>40</v>
      </c>
      <c r="E834" s="4" t="s">
        <v>25</v>
      </c>
      <c r="F834" s="4" t="s">
        <v>25</v>
      </c>
      <c r="G834" s="4" t="s">
        <v>25</v>
      </c>
      <c r="H834" s="4" t="s">
        <v>35</v>
      </c>
      <c r="I834" s="5">
        <v>43831</v>
      </c>
      <c r="J834" s="6">
        <v>0</v>
      </c>
      <c r="K834" s="6">
        <v>0</v>
      </c>
      <c r="L834" s="6">
        <v>1.284</v>
      </c>
      <c r="M834" s="6">
        <v>1.284</v>
      </c>
      <c r="N834" s="6">
        <v>1.284</v>
      </c>
      <c r="O834" s="6">
        <v>1.284</v>
      </c>
      <c r="P834" s="6">
        <v>0</v>
      </c>
      <c r="Q834" s="4" t="s">
        <v>26</v>
      </c>
      <c r="R834" s="4">
        <v>0</v>
      </c>
      <c r="S834" s="6">
        <v>0</v>
      </c>
      <c r="T834" s="6">
        <v>27</v>
      </c>
      <c r="U834" s="6">
        <v>81</v>
      </c>
      <c r="V834" s="6">
        <f>IF(ISERROR(VLOOKUP($S$834,'TAR FIN'!$A$1:$O$120,15,0)),0,VLOOKUP($S$834,'TAR FIN'!$A$1:$O$120,15,0))</f>
        <v>0</v>
      </c>
      <c r="W834" s="6">
        <f>IF(ISERROR(VLOOKUP($T$834,'TAR FIN'!$A$1:$O$120,15,0)),0,VLOOKUP($T$834,'TAR FIN'!$A$1:$O$120,15,0))</f>
        <v>641.99</v>
      </c>
      <c r="X834" s="6">
        <f>IF(ISERROR(VLOOKUP($U$834,'TAR FIN'!$A$1:$O$120,15,0)),0,VLOOKUP($U$834,'TAR FIN'!$A$1:$O$120,15,0))</f>
        <v>430.87</v>
      </c>
      <c r="Y834" s="6"/>
      <c r="Z834" s="6">
        <f ca="1">('TUSD BE'!$AM$33+'TUSD BF'!$AM$33+'TUSD CVA'!$AM$33)*1</f>
        <v>747.73363518028248</v>
      </c>
      <c r="AA834" s="6">
        <f>('TE BE'!$AA$10+'TE BF'!$AA$10+'TE CVA'!$AA$10)*1</f>
        <v>375.69180268700768</v>
      </c>
      <c r="AB834" s="6">
        <f>$K$834*$V$834</f>
        <v>0</v>
      </c>
      <c r="AC834" s="6">
        <f>$M$834*$W$834</f>
        <v>824.31515999999999</v>
      </c>
      <c r="AD834" s="6">
        <f>$O$834*$X$834</f>
        <v>553.23707999999999</v>
      </c>
      <c r="AE834" s="6">
        <f>$K$834*$Y$834</f>
        <v>0</v>
      </c>
      <c r="AF834" s="6">
        <f ca="1">$M$834*$Z$834</f>
        <v>960.08998757148277</v>
      </c>
      <c r="AG834" s="6">
        <f>$O$834*$AA$834</f>
        <v>482.38827465011786</v>
      </c>
    </row>
    <row r="835" spans="1:33" ht="11.25" customHeight="1" x14ac:dyDescent="0.25">
      <c r="A835" s="4" t="s">
        <v>21</v>
      </c>
      <c r="B835" s="4" t="s">
        <v>33</v>
      </c>
      <c r="C835" s="4" t="s">
        <v>34</v>
      </c>
      <c r="D835" s="4" t="s">
        <v>40</v>
      </c>
      <c r="E835" s="4" t="s">
        <v>25</v>
      </c>
      <c r="F835" s="4" t="s">
        <v>25</v>
      </c>
      <c r="G835" s="4" t="s">
        <v>25</v>
      </c>
      <c r="H835" s="4" t="s">
        <v>35</v>
      </c>
      <c r="I835" s="5">
        <v>43862</v>
      </c>
      <c r="J835" s="6">
        <v>0</v>
      </c>
      <c r="K835" s="6">
        <v>0</v>
      </c>
      <c r="L835" s="6">
        <v>154.33600000000001</v>
      </c>
      <c r="M835" s="6">
        <v>154.33600000000001</v>
      </c>
      <c r="N835" s="6">
        <v>154.33600000000001</v>
      </c>
      <c r="O835" s="6">
        <v>154.33600000000001</v>
      </c>
      <c r="P835" s="6">
        <v>0</v>
      </c>
      <c r="Q835" s="4" t="s">
        <v>26</v>
      </c>
      <c r="R835" s="4">
        <v>0</v>
      </c>
      <c r="S835" s="6">
        <v>0</v>
      </c>
      <c r="T835" s="6">
        <v>27</v>
      </c>
      <c r="U835" s="6">
        <v>81</v>
      </c>
      <c r="V835" s="6">
        <f>IF(ISERROR(VLOOKUP($S$835,'TAR FIN'!$A$1:$O$120,15,0)),0,VLOOKUP($S$835,'TAR FIN'!$A$1:$O$120,15,0))</f>
        <v>0</v>
      </c>
      <c r="W835" s="6">
        <f>IF(ISERROR(VLOOKUP($T$835,'TAR FIN'!$A$1:$O$120,15,0)),0,VLOOKUP($T$835,'TAR FIN'!$A$1:$O$120,15,0))</f>
        <v>641.99</v>
      </c>
      <c r="X835" s="6">
        <f>IF(ISERROR(VLOOKUP($U$835,'TAR FIN'!$A$1:$O$120,15,0)),0,VLOOKUP($U$835,'TAR FIN'!$A$1:$O$120,15,0))</f>
        <v>430.87</v>
      </c>
      <c r="Y835" s="6"/>
      <c r="Z835" s="6">
        <f ca="1">('TUSD BE'!$AM$33+'TUSD BF'!$AM$33+'TUSD CVA'!$AM$33)*1</f>
        <v>747.73363518028248</v>
      </c>
      <c r="AA835" s="6">
        <f>('TE BE'!$AA$10+'TE BF'!$AA$10+'TE CVA'!$AA$10)*1</f>
        <v>375.69180268700768</v>
      </c>
      <c r="AB835" s="6">
        <f>$K$835*$V$835</f>
        <v>0</v>
      </c>
      <c r="AC835" s="6">
        <f>$M$835*$W$835</f>
        <v>99082.168640000004</v>
      </c>
      <c r="AD835" s="6">
        <f>$O$835*$X$835</f>
        <v>66498.75232</v>
      </c>
      <c r="AE835" s="6">
        <f>$K$835*$Y$835</f>
        <v>0</v>
      </c>
      <c r="AF835" s="6">
        <f ca="1">$M$835*$Z$835</f>
        <v>115402.21831918409</v>
      </c>
      <c r="AG835" s="6">
        <f>$O$835*$AA$835</f>
        <v>57982.770059502021</v>
      </c>
    </row>
    <row r="836" spans="1:33" ht="11.25" customHeight="1" x14ac:dyDescent="0.25">
      <c r="A836" s="4" t="s">
        <v>28</v>
      </c>
      <c r="B836" s="4" t="s">
        <v>33</v>
      </c>
      <c r="C836" s="4" t="s">
        <v>34</v>
      </c>
      <c r="D836" s="4" t="s">
        <v>40</v>
      </c>
      <c r="E836" s="4" t="s">
        <v>25</v>
      </c>
      <c r="F836" s="4" t="s">
        <v>25</v>
      </c>
      <c r="G836" s="4" t="s">
        <v>25</v>
      </c>
      <c r="H836" s="4" t="s">
        <v>35</v>
      </c>
      <c r="I836" s="5">
        <v>43862</v>
      </c>
      <c r="J836" s="6">
        <v>0</v>
      </c>
      <c r="K836" s="6">
        <v>0</v>
      </c>
      <c r="L836" s="6">
        <v>1.823</v>
      </c>
      <c r="M836" s="6">
        <v>1.823</v>
      </c>
      <c r="N836" s="6">
        <v>1.823</v>
      </c>
      <c r="O836" s="6">
        <v>1.823</v>
      </c>
      <c r="P836" s="6">
        <v>0</v>
      </c>
      <c r="Q836" s="4" t="s">
        <v>26</v>
      </c>
      <c r="R836" s="4">
        <v>0</v>
      </c>
      <c r="S836" s="6">
        <v>0</v>
      </c>
      <c r="T836" s="6">
        <v>27</v>
      </c>
      <c r="U836" s="6">
        <v>81</v>
      </c>
      <c r="V836" s="6">
        <f>IF(ISERROR(VLOOKUP($S$836,'TAR FIN'!$A$1:$O$120,15,0)),0,VLOOKUP($S$836,'TAR FIN'!$A$1:$O$120,15,0))</f>
        <v>0</v>
      </c>
      <c r="W836" s="6">
        <f>IF(ISERROR(VLOOKUP($T$836,'TAR FIN'!$A$1:$O$120,15,0)),0,VLOOKUP($T$836,'TAR FIN'!$A$1:$O$120,15,0))</f>
        <v>641.99</v>
      </c>
      <c r="X836" s="6">
        <f>IF(ISERROR(VLOOKUP($U$836,'TAR FIN'!$A$1:$O$120,15,0)),0,VLOOKUP($U$836,'TAR FIN'!$A$1:$O$120,15,0))</f>
        <v>430.87</v>
      </c>
      <c r="Y836" s="6"/>
      <c r="Z836" s="6">
        <f ca="1">('TUSD BE'!$AM$33+'TUSD BF'!$AM$33+'TUSD CVA'!$AM$33)*1</f>
        <v>747.73363518028248</v>
      </c>
      <c r="AA836" s="6">
        <f>('TE BE'!$AA$10+'TE BF'!$AA$10+'TE CVA'!$AA$10)*1</f>
        <v>375.69180268700768</v>
      </c>
      <c r="AB836" s="6">
        <f>$K$836*$V$836</f>
        <v>0</v>
      </c>
      <c r="AC836" s="6">
        <f>$M$836*$W$836</f>
        <v>1170.3477700000001</v>
      </c>
      <c r="AD836" s="6">
        <f>$O$836*$X$836</f>
        <v>785.47600999999997</v>
      </c>
      <c r="AE836" s="6">
        <f>$K$836*$Y$836</f>
        <v>0</v>
      </c>
      <c r="AF836" s="6">
        <f ca="1">$M$836*$Z$836</f>
        <v>1363.118416933655</v>
      </c>
      <c r="AG836" s="6">
        <f>$O$836*$AA$836</f>
        <v>684.88615629841502</v>
      </c>
    </row>
    <row r="837" spans="1:33" ht="11.25" customHeight="1" x14ac:dyDescent="0.25">
      <c r="A837" s="4" t="s">
        <v>21</v>
      </c>
      <c r="B837" s="4" t="s">
        <v>33</v>
      </c>
      <c r="C837" s="4" t="s">
        <v>34</v>
      </c>
      <c r="D837" s="4" t="s">
        <v>40</v>
      </c>
      <c r="E837" s="4" t="s">
        <v>25</v>
      </c>
      <c r="F837" s="4" t="s">
        <v>25</v>
      </c>
      <c r="G837" s="4" t="s">
        <v>25</v>
      </c>
      <c r="H837" s="4" t="s">
        <v>35</v>
      </c>
      <c r="I837" s="5">
        <v>43891</v>
      </c>
      <c r="J837" s="6">
        <v>0</v>
      </c>
      <c r="K837" s="6">
        <v>0</v>
      </c>
      <c r="L837" s="6">
        <v>129.66499999999999</v>
      </c>
      <c r="M837" s="6">
        <v>129.66499999999999</v>
      </c>
      <c r="N837" s="6">
        <v>129.66499999999999</v>
      </c>
      <c r="O837" s="6">
        <v>129.66499999999999</v>
      </c>
      <c r="P837" s="6">
        <v>0</v>
      </c>
      <c r="Q837" s="4" t="s">
        <v>26</v>
      </c>
      <c r="R837" s="4">
        <v>0</v>
      </c>
      <c r="S837" s="6">
        <v>0</v>
      </c>
      <c r="T837" s="6">
        <v>27</v>
      </c>
      <c r="U837" s="6">
        <v>81</v>
      </c>
      <c r="V837" s="6">
        <f>IF(ISERROR(VLOOKUP($S$837,'TAR FIN'!$A$1:$O$120,15,0)),0,VLOOKUP($S$837,'TAR FIN'!$A$1:$O$120,15,0))</f>
        <v>0</v>
      </c>
      <c r="W837" s="6">
        <f>IF(ISERROR(VLOOKUP($T$837,'TAR FIN'!$A$1:$O$120,15,0)),0,VLOOKUP($T$837,'TAR FIN'!$A$1:$O$120,15,0))</f>
        <v>641.99</v>
      </c>
      <c r="X837" s="6">
        <f>IF(ISERROR(VLOOKUP($U$837,'TAR FIN'!$A$1:$O$120,15,0)),0,VLOOKUP($U$837,'TAR FIN'!$A$1:$O$120,15,0))</f>
        <v>430.87</v>
      </c>
      <c r="Y837" s="6"/>
      <c r="Z837" s="6">
        <f ca="1">('TUSD BE'!$AM$33+'TUSD BF'!$AM$33+'TUSD CVA'!$AM$33)*1</f>
        <v>747.73363518028248</v>
      </c>
      <c r="AA837" s="6">
        <f>('TE BE'!$AA$10+'TE BF'!$AA$10+'TE CVA'!$AA$10)*1</f>
        <v>375.69180268700768</v>
      </c>
      <c r="AB837" s="6">
        <f>$K$837*$V$837</f>
        <v>0</v>
      </c>
      <c r="AC837" s="6">
        <f>$M$837*$W$837</f>
        <v>83243.633349999989</v>
      </c>
      <c r="AD837" s="6">
        <f>$O$837*$X$837</f>
        <v>55868.758549999999</v>
      </c>
      <c r="AE837" s="6">
        <f>$K$837*$Y$837</f>
        <v>0</v>
      </c>
      <c r="AF837" s="6">
        <f ca="1">$M$837*$Z$837</f>
        <v>96954.881805651326</v>
      </c>
      <c r="AG837" s="6">
        <f>$O$837*$AA$837</f>
        <v>48714.077595410847</v>
      </c>
    </row>
    <row r="838" spans="1:33" ht="11.25" customHeight="1" x14ac:dyDescent="0.25">
      <c r="A838" s="4" t="s">
        <v>27</v>
      </c>
      <c r="B838" s="4" t="s">
        <v>33</v>
      </c>
      <c r="C838" s="4" t="s">
        <v>34</v>
      </c>
      <c r="D838" s="4" t="s">
        <v>40</v>
      </c>
      <c r="E838" s="4" t="s">
        <v>25</v>
      </c>
      <c r="F838" s="4" t="s">
        <v>25</v>
      </c>
      <c r="G838" s="4" t="s">
        <v>25</v>
      </c>
      <c r="H838" s="4" t="s">
        <v>35</v>
      </c>
      <c r="I838" s="5">
        <v>43891</v>
      </c>
      <c r="J838" s="6">
        <v>0</v>
      </c>
      <c r="K838" s="6">
        <v>0</v>
      </c>
      <c r="L838" s="6">
        <v>2.7559999999999998</v>
      </c>
      <c r="M838" s="6">
        <v>2.7559999999999998</v>
      </c>
      <c r="N838" s="6">
        <v>2.7559999999999998</v>
      </c>
      <c r="O838" s="6">
        <v>2.7559999999999998</v>
      </c>
      <c r="P838" s="6">
        <v>0</v>
      </c>
      <c r="Q838" s="4" t="s">
        <v>26</v>
      </c>
      <c r="R838" s="4">
        <v>0</v>
      </c>
      <c r="S838" s="6">
        <v>0</v>
      </c>
      <c r="T838" s="6">
        <v>27</v>
      </c>
      <c r="U838" s="6">
        <v>81</v>
      </c>
      <c r="V838" s="6">
        <f>IF(ISERROR(VLOOKUP($S$838,'TAR FIN'!$A$1:$O$120,15,0)),0,VLOOKUP($S$838,'TAR FIN'!$A$1:$O$120,15,0))</f>
        <v>0</v>
      </c>
      <c r="W838" s="6">
        <f>IF(ISERROR(VLOOKUP($T$838,'TAR FIN'!$A$1:$O$120,15,0)),0,VLOOKUP($T$838,'TAR FIN'!$A$1:$O$120,15,0))</f>
        <v>641.99</v>
      </c>
      <c r="X838" s="6">
        <f>IF(ISERROR(VLOOKUP($U$838,'TAR FIN'!$A$1:$O$120,15,0)),0,VLOOKUP($U$838,'TAR FIN'!$A$1:$O$120,15,0))</f>
        <v>430.87</v>
      </c>
      <c r="Y838" s="6"/>
      <c r="Z838" s="6">
        <f ca="1">('TUSD BE'!$AM$33+'TUSD BF'!$AM$33+'TUSD CVA'!$AM$33)*1</f>
        <v>747.73363518028248</v>
      </c>
      <c r="AA838" s="6">
        <f>('TE BE'!$AA$10+'TE BF'!$AA$10+'TE CVA'!$AA$10)*1</f>
        <v>375.69180268700768</v>
      </c>
      <c r="AB838" s="6">
        <f>$K$838*$V$838</f>
        <v>0</v>
      </c>
      <c r="AC838" s="6">
        <f>$M$838*$W$838</f>
        <v>1769.3244399999999</v>
      </c>
      <c r="AD838" s="6">
        <f>$O$838*$X$838</f>
        <v>1187.4777199999999</v>
      </c>
      <c r="AE838" s="6">
        <f>$K$838*$Y$838</f>
        <v>0</v>
      </c>
      <c r="AF838" s="6">
        <f ca="1">$M$838*$Z$838</f>
        <v>2060.7538985568585</v>
      </c>
      <c r="AG838" s="6">
        <f>$O$838*$AA$838</f>
        <v>1035.406608205393</v>
      </c>
    </row>
    <row r="839" spans="1:33" ht="11.25" customHeight="1" x14ac:dyDescent="0.25">
      <c r="A839" s="4" t="s">
        <v>28</v>
      </c>
      <c r="B839" s="4" t="s">
        <v>33</v>
      </c>
      <c r="C839" s="4" t="s">
        <v>34</v>
      </c>
      <c r="D839" s="4" t="s">
        <v>40</v>
      </c>
      <c r="E839" s="4" t="s">
        <v>25</v>
      </c>
      <c r="F839" s="4" t="s">
        <v>25</v>
      </c>
      <c r="G839" s="4" t="s">
        <v>25</v>
      </c>
      <c r="H839" s="4" t="s">
        <v>35</v>
      </c>
      <c r="I839" s="5">
        <v>43891</v>
      </c>
      <c r="J839" s="6">
        <v>0</v>
      </c>
      <c r="K839" s="6">
        <v>0</v>
      </c>
      <c r="L839" s="6">
        <v>7.577</v>
      </c>
      <c r="M839" s="6">
        <v>7.577</v>
      </c>
      <c r="N839" s="6">
        <v>7.577</v>
      </c>
      <c r="O839" s="6">
        <v>7.577</v>
      </c>
      <c r="P839" s="6">
        <v>0</v>
      </c>
      <c r="Q839" s="4" t="s">
        <v>26</v>
      </c>
      <c r="R839" s="4">
        <v>0</v>
      </c>
      <c r="S839" s="6">
        <v>0</v>
      </c>
      <c r="T839" s="6">
        <v>27</v>
      </c>
      <c r="U839" s="6">
        <v>81</v>
      </c>
      <c r="V839" s="6">
        <f>IF(ISERROR(VLOOKUP($S$839,'TAR FIN'!$A$1:$O$120,15,0)),0,VLOOKUP($S$839,'TAR FIN'!$A$1:$O$120,15,0))</f>
        <v>0</v>
      </c>
      <c r="W839" s="6">
        <f>IF(ISERROR(VLOOKUP($T$839,'TAR FIN'!$A$1:$O$120,15,0)),0,VLOOKUP($T$839,'TAR FIN'!$A$1:$O$120,15,0))</f>
        <v>641.99</v>
      </c>
      <c r="X839" s="6">
        <f>IF(ISERROR(VLOOKUP($U$839,'TAR FIN'!$A$1:$O$120,15,0)),0,VLOOKUP($U$839,'TAR FIN'!$A$1:$O$120,15,0))</f>
        <v>430.87</v>
      </c>
      <c r="Y839" s="6"/>
      <c r="Z839" s="6">
        <f ca="1">('TUSD BE'!$AM$33+'TUSD BF'!$AM$33+'TUSD CVA'!$AM$33)*1</f>
        <v>747.73363518028248</v>
      </c>
      <c r="AA839" s="6">
        <f>('TE BE'!$AA$10+'TE BF'!$AA$10+'TE CVA'!$AA$10)*1</f>
        <v>375.69180268700768</v>
      </c>
      <c r="AB839" s="6">
        <f>$K$839*$V$839</f>
        <v>0</v>
      </c>
      <c r="AC839" s="6">
        <f>$M$839*$W$839</f>
        <v>4864.3582299999998</v>
      </c>
      <c r="AD839" s="6">
        <f>$O$839*$X$839</f>
        <v>3264.70199</v>
      </c>
      <c r="AE839" s="6">
        <f>$K$839*$Y$839</f>
        <v>0</v>
      </c>
      <c r="AF839" s="6">
        <f ca="1">$M$839*$Z$839</f>
        <v>5665.5777537610002</v>
      </c>
      <c r="AG839" s="6">
        <f>$O$839*$AA$839</f>
        <v>2846.6167889594572</v>
      </c>
    </row>
    <row r="840" spans="1:33" ht="11.25" customHeight="1" x14ac:dyDescent="0.25">
      <c r="A840" s="4" t="s">
        <v>21</v>
      </c>
      <c r="B840" s="4" t="s">
        <v>33</v>
      </c>
      <c r="C840" s="4" t="s">
        <v>34</v>
      </c>
      <c r="D840" s="4" t="s">
        <v>40</v>
      </c>
      <c r="E840" s="4" t="s">
        <v>25</v>
      </c>
      <c r="F840" s="4" t="s">
        <v>25</v>
      </c>
      <c r="G840" s="4" t="s">
        <v>25</v>
      </c>
      <c r="H840" s="4" t="s">
        <v>35</v>
      </c>
      <c r="I840" s="5">
        <v>43922</v>
      </c>
      <c r="J840" s="6">
        <v>0</v>
      </c>
      <c r="K840" s="6">
        <v>0</v>
      </c>
      <c r="L840" s="6">
        <v>138.404</v>
      </c>
      <c r="M840" s="6">
        <v>138.404</v>
      </c>
      <c r="N840" s="6">
        <v>138.404</v>
      </c>
      <c r="O840" s="6">
        <v>138.404</v>
      </c>
      <c r="P840" s="6">
        <v>0</v>
      </c>
      <c r="Q840" s="4" t="s">
        <v>26</v>
      </c>
      <c r="R840" s="4">
        <v>0</v>
      </c>
      <c r="S840" s="6">
        <v>0</v>
      </c>
      <c r="T840" s="6">
        <v>27</v>
      </c>
      <c r="U840" s="6">
        <v>81</v>
      </c>
      <c r="V840" s="6">
        <f>IF(ISERROR(VLOOKUP($S$840,'TAR FIN'!$A$1:$O$120,15,0)),0,VLOOKUP($S$840,'TAR FIN'!$A$1:$O$120,15,0))</f>
        <v>0</v>
      </c>
      <c r="W840" s="6">
        <f>IF(ISERROR(VLOOKUP($T$840,'TAR FIN'!$A$1:$O$120,15,0)),0,VLOOKUP($T$840,'TAR FIN'!$A$1:$O$120,15,0))</f>
        <v>641.99</v>
      </c>
      <c r="X840" s="6">
        <f>IF(ISERROR(VLOOKUP($U$840,'TAR FIN'!$A$1:$O$120,15,0)),0,VLOOKUP($U$840,'TAR FIN'!$A$1:$O$120,15,0))</f>
        <v>430.87</v>
      </c>
      <c r="Y840" s="6"/>
      <c r="Z840" s="6">
        <f ca="1">('TUSD BE'!$AM$33+'TUSD BF'!$AM$33+'TUSD CVA'!$AM$33)*1</f>
        <v>747.73363518028248</v>
      </c>
      <c r="AA840" s="6">
        <f>('TE BE'!$AA$10+'TE BF'!$AA$10+'TE CVA'!$AA$10)*1</f>
        <v>375.69180268700768</v>
      </c>
      <c r="AB840" s="6">
        <f>$K$840*$V$840</f>
        <v>0</v>
      </c>
      <c r="AC840" s="6">
        <f>$M$840*$W$840</f>
        <v>88853.983959999998</v>
      </c>
      <c r="AD840" s="6">
        <f>$O$840*$X$840</f>
        <v>59634.131479999996</v>
      </c>
      <c r="AE840" s="6">
        <f>$K$840*$Y$840</f>
        <v>0</v>
      </c>
      <c r="AF840" s="6">
        <f ca="1">$M$840*$Z$840</f>
        <v>103489.32604349182</v>
      </c>
      <c r="AG840" s="6">
        <f>$O$840*$AA$840</f>
        <v>51997.248259092608</v>
      </c>
    </row>
    <row r="841" spans="1:33" ht="11.25" customHeight="1" x14ac:dyDescent="0.25">
      <c r="A841" s="4" t="s">
        <v>27</v>
      </c>
      <c r="B841" s="4" t="s">
        <v>33</v>
      </c>
      <c r="C841" s="4" t="s">
        <v>34</v>
      </c>
      <c r="D841" s="4" t="s">
        <v>40</v>
      </c>
      <c r="E841" s="4" t="s">
        <v>25</v>
      </c>
      <c r="F841" s="4" t="s">
        <v>25</v>
      </c>
      <c r="G841" s="4" t="s">
        <v>25</v>
      </c>
      <c r="H841" s="4" t="s">
        <v>35</v>
      </c>
      <c r="I841" s="5">
        <v>43922</v>
      </c>
      <c r="J841" s="6">
        <v>0</v>
      </c>
      <c r="K841" s="6">
        <v>0</v>
      </c>
      <c r="L841" s="6">
        <v>0.13700000000000001</v>
      </c>
      <c r="M841" s="6">
        <v>0.13700000000000001</v>
      </c>
      <c r="N841" s="6">
        <v>0.13700000000000001</v>
      </c>
      <c r="O841" s="6">
        <v>0.13700000000000001</v>
      </c>
      <c r="P841" s="6">
        <v>0</v>
      </c>
      <c r="Q841" s="4" t="s">
        <v>26</v>
      </c>
      <c r="R841" s="4">
        <v>0</v>
      </c>
      <c r="S841" s="6">
        <v>0</v>
      </c>
      <c r="T841" s="6">
        <v>27</v>
      </c>
      <c r="U841" s="6">
        <v>81</v>
      </c>
      <c r="V841" s="6">
        <f>IF(ISERROR(VLOOKUP($S$841,'TAR FIN'!$A$1:$O$120,15,0)),0,VLOOKUP($S$841,'TAR FIN'!$A$1:$O$120,15,0))</f>
        <v>0</v>
      </c>
      <c r="W841" s="6">
        <f>IF(ISERROR(VLOOKUP($T$841,'TAR FIN'!$A$1:$O$120,15,0)),0,VLOOKUP($T$841,'TAR FIN'!$A$1:$O$120,15,0))</f>
        <v>641.99</v>
      </c>
      <c r="X841" s="6">
        <f>IF(ISERROR(VLOOKUP($U$841,'TAR FIN'!$A$1:$O$120,15,0)),0,VLOOKUP($U$841,'TAR FIN'!$A$1:$O$120,15,0))</f>
        <v>430.87</v>
      </c>
      <c r="Y841" s="6"/>
      <c r="Z841" s="6">
        <f ca="1">('TUSD BE'!$AM$33+'TUSD BF'!$AM$33+'TUSD CVA'!$AM$33)*1</f>
        <v>747.73363518028248</v>
      </c>
      <c r="AA841" s="6">
        <f>('TE BE'!$AA$10+'TE BF'!$AA$10+'TE CVA'!$AA$10)*1</f>
        <v>375.69180268700768</v>
      </c>
      <c r="AB841" s="6">
        <f>$K$841*$V$841</f>
        <v>0</v>
      </c>
      <c r="AC841" s="6">
        <f>$M$841*$W$841</f>
        <v>87.952630000000013</v>
      </c>
      <c r="AD841" s="6">
        <f>$O$841*$X$841</f>
        <v>59.029190000000007</v>
      </c>
      <c r="AE841" s="6">
        <f>$K$841*$Y$841</f>
        <v>0</v>
      </c>
      <c r="AF841" s="6">
        <f ca="1">$M$841*$Z$841</f>
        <v>102.43950801969871</v>
      </c>
      <c r="AG841" s="6">
        <f>$O$841*$AA$841</f>
        <v>51.469776968120058</v>
      </c>
    </row>
    <row r="842" spans="1:33" ht="11.25" customHeight="1" x14ac:dyDescent="0.25">
      <c r="A842" s="4" t="s">
        <v>28</v>
      </c>
      <c r="B842" s="4" t="s">
        <v>33</v>
      </c>
      <c r="C842" s="4" t="s">
        <v>34</v>
      </c>
      <c r="D842" s="4" t="s">
        <v>40</v>
      </c>
      <c r="E842" s="4" t="s">
        <v>25</v>
      </c>
      <c r="F842" s="4" t="s">
        <v>25</v>
      </c>
      <c r="G842" s="4" t="s">
        <v>25</v>
      </c>
      <c r="H842" s="4" t="s">
        <v>35</v>
      </c>
      <c r="I842" s="5">
        <v>43922</v>
      </c>
      <c r="J842" s="6">
        <v>0</v>
      </c>
      <c r="K842" s="6">
        <v>0</v>
      </c>
      <c r="L842" s="6">
        <v>8.0830000000000002</v>
      </c>
      <c r="M842" s="6">
        <v>8.0830000000000002</v>
      </c>
      <c r="N842" s="6">
        <v>8.0830000000000002</v>
      </c>
      <c r="O842" s="6">
        <v>8.0830000000000002</v>
      </c>
      <c r="P842" s="6">
        <v>0</v>
      </c>
      <c r="Q842" s="4" t="s">
        <v>26</v>
      </c>
      <c r="R842" s="4">
        <v>0</v>
      </c>
      <c r="S842" s="6">
        <v>0</v>
      </c>
      <c r="T842" s="6">
        <v>27</v>
      </c>
      <c r="U842" s="6">
        <v>81</v>
      </c>
      <c r="V842" s="6">
        <f>IF(ISERROR(VLOOKUP($S$842,'TAR FIN'!$A$1:$O$120,15,0)),0,VLOOKUP($S$842,'TAR FIN'!$A$1:$O$120,15,0))</f>
        <v>0</v>
      </c>
      <c r="W842" s="6">
        <f>IF(ISERROR(VLOOKUP($T$842,'TAR FIN'!$A$1:$O$120,15,0)),0,VLOOKUP($T$842,'TAR FIN'!$A$1:$O$120,15,0))</f>
        <v>641.99</v>
      </c>
      <c r="X842" s="6">
        <f>IF(ISERROR(VLOOKUP($U$842,'TAR FIN'!$A$1:$O$120,15,0)),0,VLOOKUP($U$842,'TAR FIN'!$A$1:$O$120,15,0))</f>
        <v>430.87</v>
      </c>
      <c r="Y842" s="6"/>
      <c r="Z842" s="6">
        <f ca="1">('TUSD BE'!$AM$33+'TUSD BF'!$AM$33+'TUSD CVA'!$AM$33)*1</f>
        <v>747.73363518028248</v>
      </c>
      <c r="AA842" s="6">
        <f>('TE BE'!$AA$10+'TE BF'!$AA$10+'TE CVA'!$AA$10)*1</f>
        <v>375.69180268700768</v>
      </c>
      <c r="AB842" s="6">
        <f>$K$842*$V$842</f>
        <v>0</v>
      </c>
      <c r="AC842" s="6">
        <f>$M$842*$W$842</f>
        <v>5189.2051700000002</v>
      </c>
      <c r="AD842" s="6">
        <f>$O$842*$X$842</f>
        <v>3482.7222099999999</v>
      </c>
      <c r="AE842" s="6">
        <f>$K$842*$Y$842</f>
        <v>0</v>
      </c>
      <c r="AF842" s="6">
        <f ca="1">$M$842*$Z$842</f>
        <v>6043.9309731622234</v>
      </c>
      <c r="AG842" s="6">
        <f>$O$842*$AA$842</f>
        <v>3036.7168411190833</v>
      </c>
    </row>
    <row r="843" spans="1:33" ht="11.25" customHeight="1" x14ac:dyDescent="0.25">
      <c r="A843" s="4" t="s">
        <v>21</v>
      </c>
      <c r="B843" s="4" t="s">
        <v>33</v>
      </c>
      <c r="C843" s="4" t="s">
        <v>34</v>
      </c>
      <c r="D843" s="4" t="s">
        <v>40</v>
      </c>
      <c r="E843" s="4" t="s">
        <v>25</v>
      </c>
      <c r="F843" s="4" t="s">
        <v>25</v>
      </c>
      <c r="G843" s="4" t="s">
        <v>25</v>
      </c>
      <c r="H843" s="4" t="s">
        <v>35</v>
      </c>
      <c r="I843" s="5">
        <v>43952</v>
      </c>
      <c r="J843" s="6">
        <v>0</v>
      </c>
      <c r="K843" s="6">
        <v>0</v>
      </c>
      <c r="L843" s="6">
        <v>105.872</v>
      </c>
      <c r="M843" s="6">
        <v>105.872</v>
      </c>
      <c r="N843" s="6">
        <v>105.872</v>
      </c>
      <c r="O843" s="6">
        <v>105.872</v>
      </c>
      <c r="P843" s="6">
        <v>0</v>
      </c>
      <c r="Q843" s="4" t="s">
        <v>26</v>
      </c>
      <c r="R843" s="4">
        <v>0</v>
      </c>
      <c r="S843" s="6">
        <v>0</v>
      </c>
      <c r="T843" s="6">
        <v>27</v>
      </c>
      <c r="U843" s="6">
        <v>81</v>
      </c>
      <c r="V843" s="6">
        <f>IF(ISERROR(VLOOKUP($S$843,'TAR FIN'!$A$1:$O$120,15,0)),0,VLOOKUP($S$843,'TAR FIN'!$A$1:$O$120,15,0))</f>
        <v>0</v>
      </c>
      <c r="W843" s="6">
        <f>IF(ISERROR(VLOOKUP($T$843,'TAR FIN'!$A$1:$O$120,15,0)),0,VLOOKUP($T$843,'TAR FIN'!$A$1:$O$120,15,0))</f>
        <v>641.99</v>
      </c>
      <c r="X843" s="6">
        <f>IF(ISERROR(VLOOKUP($U$843,'TAR FIN'!$A$1:$O$120,15,0)),0,VLOOKUP($U$843,'TAR FIN'!$A$1:$O$120,15,0))</f>
        <v>430.87</v>
      </c>
      <c r="Y843" s="6"/>
      <c r="Z843" s="6">
        <f ca="1">('TUSD BE'!$AM$33+'TUSD BF'!$AM$33+'TUSD CVA'!$AM$33)*1</f>
        <v>747.73363518028248</v>
      </c>
      <c r="AA843" s="6">
        <f>('TE BE'!$AA$10+'TE BF'!$AA$10+'TE CVA'!$AA$10)*1</f>
        <v>375.69180268700768</v>
      </c>
      <c r="AB843" s="6">
        <f>$K$843*$V$843</f>
        <v>0</v>
      </c>
      <c r="AC843" s="6">
        <f>$M$843*$W$843</f>
        <v>67968.765280000007</v>
      </c>
      <c r="AD843" s="6">
        <f>$O$843*$X$843</f>
        <v>45617.068639999998</v>
      </c>
      <c r="AE843" s="6">
        <f>$K$843*$Y$843</f>
        <v>0</v>
      </c>
      <c r="AF843" s="6">
        <f ca="1">$M$843*$Z$843</f>
        <v>79164.055423806873</v>
      </c>
      <c r="AG843" s="6">
        <f>$O$843*$AA$843</f>
        <v>39775.242534078876</v>
      </c>
    </row>
    <row r="844" spans="1:33" ht="11.25" customHeight="1" x14ac:dyDescent="0.25">
      <c r="A844" s="4" t="s">
        <v>28</v>
      </c>
      <c r="B844" s="4" t="s">
        <v>33</v>
      </c>
      <c r="C844" s="4" t="s">
        <v>34</v>
      </c>
      <c r="D844" s="4" t="s">
        <v>40</v>
      </c>
      <c r="E844" s="4" t="s">
        <v>25</v>
      </c>
      <c r="F844" s="4" t="s">
        <v>25</v>
      </c>
      <c r="G844" s="4" t="s">
        <v>25</v>
      </c>
      <c r="H844" s="4" t="s">
        <v>35</v>
      </c>
      <c r="I844" s="5">
        <v>43952</v>
      </c>
      <c r="J844" s="6">
        <v>0</v>
      </c>
      <c r="K844" s="6">
        <v>0</v>
      </c>
      <c r="L844" s="6">
        <v>6.6139999999999999</v>
      </c>
      <c r="M844" s="6">
        <v>6.6139999999999999</v>
      </c>
      <c r="N844" s="6">
        <v>6.6139999999999999</v>
      </c>
      <c r="O844" s="6">
        <v>6.6139999999999999</v>
      </c>
      <c r="P844" s="6">
        <v>0</v>
      </c>
      <c r="Q844" s="4" t="s">
        <v>26</v>
      </c>
      <c r="R844" s="4">
        <v>0</v>
      </c>
      <c r="S844" s="6">
        <v>0</v>
      </c>
      <c r="T844" s="6">
        <v>27</v>
      </c>
      <c r="U844" s="6">
        <v>81</v>
      </c>
      <c r="V844" s="6">
        <f>IF(ISERROR(VLOOKUP($S$844,'TAR FIN'!$A$1:$O$120,15,0)),0,VLOOKUP($S$844,'TAR FIN'!$A$1:$O$120,15,0))</f>
        <v>0</v>
      </c>
      <c r="W844" s="6">
        <f>IF(ISERROR(VLOOKUP($T$844,'TAR FIN'!$A$1:$O$120,15,0)),0,VLOOKUP($T$844,'TAR FIN'!$A$1:$O$120,15,0))</f>
        <v>641.99</v>
      </c>
      <c r="X844" s="6">
        <f>IF(ISERROR(VLOOKUP($U$844,'TAR FIN'!$A$1:$O$120,15,0)),0,VLOOKUP($U$844,'TAR FIN'!$A$1:$O$120,15,0))</f>
        <v>430.87</v>
      </c>
      <c r="Y844" s="6"/>
      <c r="Z844" s="6">
        <f ca="1">('TUSD BE'!$AM$33+'TUSD BF'!$AM$33+'TUSD CVA'!$AM$33)*1</f>
        <v>747.73363518028248</v>
      </c>
      <c r="AA844" s="6">
        <f>('TE BE'!$AA$10+'TE BF'!$AA$10+'TE CVA'!$AA$10)*1</f>
        <v>375.69180268700768</v>
      </c>
      <c r="AB844" s="6">
        <f>$K$844*$V$844</f>
        <v>0</v>
      </c>
      <c r="AC844" s="6">
        <f>$M$844*$W$844</f>
        <v>4246.1218600000002</v>
      </c>
      <c r="AD844" s="6">
        <f>$O$844*$X$844</f>
        <v>2849.7741799999999</v>
      </c>
      <c r="AE844" s="6">
        <f>$K$844*$Y$844</f>
        <v>0</v>
      </c>
      <c r="AF844" s="6">
        <f ca="1">$M$844*$Z$844</f>
        <v>4945.5102630823885</v>
      </c>
      <c r="AG844" s="6">
        <f>$O$844*$AA$844</f>
        <v>2484.8255829718687</v>
      </c>
    </row>
    <row r="845" spans="1:33" ht="11.25" customHeight="1" x14ac:dyDescent="0.25">
      <c r="A845" s="4" t="s">
        <v>21</v>
      </c>
      <c r="B845" s="4" t="s">
        <v>33</v>
      </c>
      <c r="C845" s="4" t="s">
        <v>34</v>
      </c>
      <c r="D845" s="4" t="s">
        <v>40</v>
      </c>
      <c r="E845" s="4" t="s">
        <v>25</v>
      </c>
      <c r="F845" s="4" t="s">
        <v>25</v>
      </c>
      <c r="G845" s="4" t="s">
        <v>25</v>
      </c>
      <c r="H845" s="4" t="s">
        <v>35</v>
      </c>
      <c r="I845" s="5">
        <v>43983</v>
      </c>
      <c r="J845" s="6">
        <v>0</v>
      </c>
      <c r="K845" s="6">
        <v>0</v>
      </c>
      <c r="L845" s="6">
        <v>283.56099999999998</v>
      </c>
      <c r="M845" s="6">
        <v>283.56099999999998</v>
      </c>
      <c r="N845" s="6">
        <v>283.56099999999998</v>
      </c>
      <c r="O845" s="6">
        <v>283.56099999999998</v>
      </c>
      <c r="P845" s="6">
        <v>0</v>
      </c>
      <c r="Q845" s="4" t="s">
        <v>26</v>
      </c>
      <c r="R845" s="4">
        <v>0</v>
      </c>
      <c r="S845" s="6">
        <v>0</v>
      </c>
      <c r="T845" s="6">
        <v>27</v>
      </c>
      <c r="U845" s="6">
        <v>81</v>
      </c>
      <c r="V845" s="6">
        <f>IF(ISERROR(VLOOKUP($S$845,'TAR FIN'!$A$1:$O$120,15,0)),0,VLOOKUP($S$845,'TAR FIN'!$A$1:$O$120,15,0))</f>
        <v>0</v>
      </c>
      <c r="W845" s="6">
        <f>IF(ISERROR(VLOOKUP($T$845,'TAR FIN'!$A$1:$O$120,15,0)),0,VLOOKUP($T$845,'TAR FIN'!$A$1:$O$120,15,0))</f>
        <v>641.99</v>
      </c>
      <c r="X845" s="6">
        <f>IF(ISERROR(VLOOKUP($U$845,'TAR FIN'!$A$1:$O$120,15,0)),0,VLOOKUP($U$845,'TAR FIN'!$A$1:$O$120,15,0))</f>
        <v>430.87</v>
      </c>
      <c r="Y845" s="6"/>
      <c r="Z845" s="6">
        <f ca="1">('TUSD BE'!$AM$33+'TUSD BF'!$AM$33+'TUSD CVA'!$AM$33)*1</f>
        <v>747.73363518028248</v>
      </c>
      <c r="AA845" s="6">
        <f>('TE BE'!$AA$10+'TE BF'!$AA$10+'TE CVA'!$AA$10)*1</f>
        <v>375.69180268700768</v>
      </c>
      <c r="AB845" s="6">
        <f>$K$845*$V$845</f>
        <v>0</v>
      </c>
      <c r="AC845" s="6">
        <f>$M$845*$W$845</f>
        <v>182043.32639</v>
      </c>
      <c r="AD845" s="6">
        <f>$O$845*$X$845</f>
        <v>122177.92806999999</v>
      </c>
      <c r="AE845" s="6">
        <f>$K$845*$Y$845</f>
        <v>0</v>
      </c>
      <c r="AF845" s="6">
        <f ca="1">$M$845*$Z$845</f>
        <v>212028.09732535607</v>
      </c>
      <c r="AG845" s="6">
        <f>$O$845*$AA$845</f>
        <v>106531.54326173058</v>
      </c>
    </row>
    <row r="846" spans="1:33" ht="11.25" customHeight="1" x14ac:dyDescent="0.25">
      <c r="A846" s="4" t="s">
        <v>27</v>
      </c>
      <c r="B846" s="4" t="s">
        <v>33</v>
      </c>
      <c r="C846" s="4" t="s">
        <v>34</v>
      </c>
      <c r="D846" s="4" t="s">
        <v>40</v>
      </c>
      <c r="E846" s="4" t="s">
        <v>25</v>
      </c>
      <c r="F846" s="4" t="s">
        <v>25</v>
      </c>
      <c r="G846" s="4" t="s">
        <v>25</v>
      </c>
      <c r="H846" s="4" t="s">
        <v>35</v>
      </c>
      <c r="I846" s="5">
        <v>43983</v>
      </c>
      <c r="J846" s="6">
        <v>0</v>
      </c>
      <c r="K846" s="6">
        <v>0</v>
      </c>
      <c r="L846" s="6">
        <v>6.3879999999999999</v>
      </c>
      <c r="M846" s="6">
        <v>6.3879999999999999</v>
      </c>
      <c r="N846" s="6">
        <v>6.3879999999999999</v>
      </c>
      <c r="O846" s="6">
        <v>6.3879999999999999</v>
      </c>
      <c r="P846" s="6">
        <v>0</v>
      </c>
      <c r="Q846" s="4" t="s">
        <v>26</v>
      </c>
      <c r="R846" s="4">
        <v>0</v>
      </c>
      <c r="S846" s="6">
        <v>0</v>
      </c>
      <c r="T846" s="6">
        <v>27</v>
      </c>
      <c r="U846" s="6">
        <v>81</v>
      </c>
      <c r="V846" s="6">
        <f>IF(ISERROR(VLOOKUP($S$846,'TAR FIN'!$A$1:$O$120,15,0)),0,VLOOKUP($S$846,'TAR FIN'!$A$1:$O$120,15,0))</f>
        <v>0</v>
      </c>
      <c r="W846" s="6">
        <f>IF(ISERROR(VLOOKUP($T$846,'TAR FIN'!$A$1:$O$120,15,0)),0,VLOOKUP($T$846,'TAR FIN'!$A$1:$O$120,15,0))</f>
        <v>641.99</v>
      </c>
      <c r="X846" s="6">
        <f>IF(ISERROR(VLOOKUP($U$846,'TAR FIN'!$A$1:$O$120,15,0)),0,VLOOKUP($U$846,'TAR FIN'!$A$1:$O$120,15,0))</f>
        <v>430.87</v>
      </c>
      <c r="Y846" s="6"/>
      <c r="Z846" s="6">
        <f ca="1">('TUSD BE'!$AM$33+'TUSD BF'!$AM$33+'TUSD CVA'!$AM$33)*1</f>
        <v>747.73363518028248</v>
      </c>
      <c r="AA846" s="6">
        <f>('TE BE'!$AA$10+'TE BF'!$AA$10+'TE CVA'!$AA$10)*1</f>
        <v>375.69180268700768</v>
      </c>
      <c r="AB846" s="6">
        <f>$K$846*$V$846</f>
        <v>0</v>
      </c>
      <c r="AC846" s="6">
        <f>$M$846*$W$846</f>
        <v>4101.0321199999998</v>
      </c>
      <c r="AD846" s="6">
        <f>$O$846*$X$846</f>
        <v>2752.3975599999999</v>
      </c>
      <c r="AE846" s="6">
        <f>$K$846*$Y$846</f>
        <v>0</v>
      </c>
      <c r="AF846" s="6">
        <f ca="1">$M$846*$Z$846</f>
        <v>4776.5224615316447</v>
      </c>
      <c r="AG846" s="6">
        <f>$O$846*$AA$846</f>
        <v>2399.9192355646051</v>
      </c>
    </row>
    <row r="847" spans="1:33" ht="11.25" customHeight="1" x14ac:dyDescent="0.25">
      <c r="A847" s="4" t="s">
        <v>28</v>
      </c>
      <c r="B847" s="4" t="s">
        <v>33</v>
      </c>
      <c r="C847" s="4" t="s">
        <v>34</v>
      </c>
      <c r="D847" s="4" t="s">
        <v>40</v>
      </c>
      <c r="E847" s="4" t="s">
        <v>25</v>
      </c>
      <c r="F847" s="4" t="s">
        <v>25</v>
      </c>
      <c r="G847" s="4" t="s">
        <v>25</v>
      </c>
      <c r="H847" s="4" t="s">
        <v>35</v>
      </c>
      <c r="I847" s="5">
        <v>43983</v>
      </c>
      <c r="J847" s="6">
        <v>0</v>
      </c>
      <c r="K847" s="6">
        <v>0</v>
      </c>
      <c r="L847" s="6">
        <v>9.4290000000000003</v>
      </c>
      <c r="M847" s="6">
        <v>9.4290000000000003</v>
      </c>
      <c r="N847" s="6">
        <v>9.4290000000000003</v>
      </c>
      <c r="O847" s="6">
        <v>9.4290000000000003</v>
      </c>
      <c r="P847" s="6">
        <v>0</v>
      </c>
      <c r="Q847" s="4" t="s">
        <v>26</v>
      </c>
      <c r="R847" s="4">
        <v>0</v>
      </c>
      <c r="S847" s="6">
        <v>0</v>
      </c>
      <c r="T847" s="6">
        <v>27</v>
      </c>
      <c r="U847" s="6">
        <v>81</v>
      </c>
      <c r="V847" s="6">
        <f>IF(ISERROR(VLOOKUP($S$847,'TAR FIN'!$A$1:$O$120,15,0)),0,VLOOKUP($S$847,'TAR FIN'!$A$1:$O$120,15,0))</f>
        <v>0</v>
      </c>
      <c r="W847" s="6">
        <f>IF(ISERROR(VLOOKUP($T$847,'TAR FIN'!$A$1:$O$120,15,0)),0,VLOOKUP($T$847,'TAR FIN'!$A$1:$O$120,15,0))</f>
        <v>641.99</v>
      </c>
      <c r="X847" s="6">
        <f>IF(ISERROR(VLOOKUP($U$847,'TAR FIN'!$A$1:$O$120,15,0)),0,VLOOKUP($U$847,'TAR FIN'!$A$1:$O$120,15,0))</f>
        <v>430.87</v>
      </c>
      <c r="Y847" s="6"/>
      <c r="Z847" s="6">
        <f ca="1">('TUSD BE'!$AM$33+'TUSD BF'!$AM$33+'TUSD CVA'!$AM$33)*1</f>
        <v>747.73363518028248</v>
      </c>
      <c r="AA847" s="6">
        <f>('TE BE'!$AA$10+'TE BF'!$AA$10+'TE CVA'!$AA$10)*1</f>
        <v>375.69180268700768</v>
      </c>
      <c r="AB847" s="6">
        <f>$K$847*$V$847</f>
        <v>0</v>
      </c>
      <c r="AC847" s="6">
        <f>$M$847*$W$847</f>
        <v>6053.3237100000006</v>
      </c>
      <c r="AD847" s="6">
        <f>$O$847*$X$847</f>
        <v>4062.6732300000003</v>
      </c>
      <c r="AE847" s="6">
        <f>$K$847*$Y$847</f>
        <v>0</v>
      </c>
      <c r="AF847" s="6">
        <f ca="1">$M$847*$Z$847</f>
        <v>7050.3804461148839</v>
      </c>
      <c r="AG847" s="6">
        <f>$O$847*$AA$847</f>
        <v>3542.3980075357954</v>
      </c>
    </row>
    <row r="848" spans="1:33" ht="11.25" customHeight="1" x14ac:dyDescent="0.25">
      <c r="A848" s="4" t="s">
        <v>27</v>
      </c>
      <c r="B848" s="4" t="s">
        <v>33</v>
      </c>
      <c r="C848" s="4" t="s">
        <v>34</v>
      </c>
      <c r="D848" s="4" t="s">
        <v>40</v>
      </c>
      <c r="E848" s="4" t="s">
        <v>25</v>
      </c>
      <c r="F848" s="4" t="s">
        <v>25</v>
      </c>
      <c r="G848" s="4" t="s">
        <v>25</v>
      </c>
      <c r="H848" s="4" t="s">
        <v>35</v>
      </c>
      <c r="I848" s="5">
        <v>44013</v>
      </c>
      <c r="J848" s="6">
        <v>0</v>
      </c>
      <c r="K848" s="6">
        <v>0</v>
      </c>
      <c r="L848" s="6">
        <v>-26.184999999999999</v>
      </c>
      <c r="M848" s="6">
        <v>-26.184999999999999</v>
      </c>
      <c r="N848" s="6">
        <v>-26.184999999999999</v>
      </c>
      <c r="O848" s="6">
        <v>-26.184999999999999</v>
      </c>
      <c r="P848" s="6">
        <v>0</v>
      </c>
      <c r="Q848" s="4" t="s">
        <v>26</v>
      </c>
      <c r="R848" s="4">
        <v>0</v>
      </c>
      <c r="S848" s="6">
        <v>0</v>
      </c>
      <c r="T848" s="6">
        <v>27</v>
      </c>
      <c r="U848" s="6">
        <v>81</v>
      </c>
      <c r="V848" s="6">
        <f>IF(ISERROR(VLOOKUP($S$848,'TAR FIN'!$A$1:$O$120,15,0)),0,VLOOKUP($S$848,'TAR FIN'!$A$1:$O$120,15,0))</f>
        <v>0</v>
      </c>
      <c r="W848" s="6">
        <f>IF(ISERROR(VLOOKUP($T$848,'TAR FIN'!$A$1:$O$120,15,0)),0,VLOOKUP($T$848,'TAR FIN'!$A$1:$O$120,15,0))</f>
        <v>641.99</v>
      </c>
      <c r="X848" s="6">
        <f>IF(ISERROR(VLOOKUP($U$848,'TAR FIN'!$A$1:$O$120,15,0)),0,VLOOKUP($U$848,'TAR FIN'!$A$1:$O$120,15,0))</f>
        <v>430.87</v>
      </c>
      <c r="Y848" s="6"/>
      <c r="Z848" s="6">
        <f ca="1">('TUSD BE'!$AM$33+'TUSD BF'!$AM$33+'TUSD CVA'!$AM$33)*1</f>
        <v>747.73363518028248</v>
      </c>
      <c r="AA848" s="6">
        <f>('TE BE'!$AA$10+'TE BF'!$AA$10+'TE CVA'!$AA$10)*1</f>
        <v>375.69180268700768</v>
      </c>
      <c r="AB848" s="6">
        <f>$K$848*$V$848</f>
        <v>0</v>
      </c>
      <c r="AC848" s="6">
        <f>$M$848*$W$848</f>
        <v>-16810.508149999998</v>
      </c>
      <c r="AD848" s="6">
        <f>$O$848*$X$848</f>
        <v>-11282.33095</v>
      </c>
      <c r="AE848" s="6">
        <f>$K$848*$Y$848</f>
        <v>0</v>
      </c>
      <c r="AF848" s="6">
        <f ca="1">$M$848*$Z$848</f>
        <v>-19579.405237195697</v>
      </c>
      <c r="AG848" s="6">
        <f>$O$848*$AA$848</f>
        <v>-9837.489853359295</v>
      </c>
    </row>
    <row r="849" spans="1:33" ht="11.25" customHeight="1" x14ac:dyDescent="0.25">
      <c r="A849" s="4" t="s">
        <v>28</v>
      </c>
      <c r="B849" s="4" t="s">
        <v>33</v>
      </c>
      <c r="C849" s="4" t="s">
        <v>34</v>
      </c>
      <c r="D849" s="4" t="s">
        <v>40</v>
      </c>
      <c r="E849" s="4" t="s">
        <v>25</v>
      </c>
      <c r="F849" s="4" t="s">
        <v>25</v>
      </c>
      <c r="G849" s="4" t="s">
        <v>25</v>
      </c>
      <c r="H849" s="4" t="s">
        <v>35</v>
      </c>
      <c r="I849" s="5">
        <v>44013</v>
      </c>
      <c r="J849" s="6">
        <v>0</v>
      </c>
      <c r="K849" s="6">
        <v>0</v>
      </c>
      <c r="L849" s="6">
        <v>13.973000000000001</v>
      </c>
      <c r="M849" s="6">
        <v>13.973000000000001</v>
      </c>
      <c r="N849" s="6">
        <v>13.973000000000001</v>
      </c>
      <c r="O849" s="6">
        <v>13.973000000000001</v>
      </c>
      <c r="P849" s="6">
        <v>0</v>
      </c>
      <c r="Q849" s="4" t="s">
        <v>26</v>
      </c>
      <c r="R849" s="4">
        <v>0</v>
      </c>
      <c r="S849" s="6">
        <v>0</v>
      </c>
      <c r="T849" s="6">
        <v>27</v>
      </c>
      <c r="U849" s="6">
        <v>81</v>
      </c>
      <c r="V849" s="6">
        <f>IF(ISERROR(VLOOKUP($S$849,'TAR FIN'!$A$1:$O$120,15,0)),0,VLOOKUP($S$849,'TAR FIN'!$A$1:$O$120,15,0))</f>
        <v>0</v>
      </c>
      <c r="W849" s="6">
        <f>IF(ISERROR(VLOOKUP($T$849,'TAR FIN'!$A$1:$O$120,15,0)),0,VLOOKUP($T$849,'TAR FIN'!$A$1:$O$120,15,0))</f>
        <v>641.99</v>
      </c>
      <c r="X849" s="6">
        <f>IF(ISERROR(VLOOKUP($U$849,'TAR FIN'!$A$1:$O$120,15,0)),0,VLOOKUP($U$849,'TAR FIN'!$A$1:$O$120,15,0))</f>
        <v>430.87</v>
      </c>
      <c r="Y849" s="6"/>
      <c r="Z849" s="6">
        <f ca="1">('TUSD BE'!$AM$33+'TUSD BF'!$AM$33+'TUSD CVA'!$AM$33)*1</f>
        <v>747.73363518028248</v>
      </c>
      <c r="AA849" s="6">
        <f>('TE BE'!$AA$10+'TE BF'!$AA$10+'TE CVA'!$AA$10)*1</f>
        <v>375.69180268700768</v>
      </c>
      <c r="AB849" s="6">
        <f>$K$849*$V$849</f>
        <v>0</v>
      </c>
      <c r="AC849" s="6">
        <f>$M$849*$W$849</f>
        <v>8970.5262700000003</v>
      </c>
      <c r="AD849" s="6">
        <f>$O$849*$X$849</f>
        <v>6020.5465100000001</v>
      </c>
      <c r="AE849" s="6">
        <f>$K$849*$Y$849</f>
        <v>0</v>
      </c>
      <c r="AF849" s="6">
        <f ca="1">$M$849*$Z$849</f>
        <v>10448.082084374088</v>
      </c>
      <c r="AG849" s="6">
        <f>$O$849*$AA$849</f>
        <v>5249.5415589455588</v>
      </c>
    </row>
    <row r="850" spans="1:33" ht="11.25" customHeight="1" x14ac:dyDescent="0.25">
      <c r="A850" s="4" t="s">
        <v>21</v>
      </c>
      <c r="B850" s="4" t="s">
        <v>33</v>
      </c>
      <c r="C850" s="4" t="s">
        <v>34</v>
      </c>
      <c r="D850" s="4" t="s">
        <v>40</v>
      </c>
      <c r="E850" s="4" t="s">
        <v>25</v>
      </c>
      <c r="F850" s="4" t="s">
        <v>25</v>
      </c>
      <c r="G850" s="4" t="s">
        <v>25</v>
      </c>
      <c r="H850" s="4" t="s">
        <v>35</v>
      </c>
      <c r="I850" s="5">
        <v>44044</v>
      </c>
      <c r="J850" s="6">
        <v>0</v>
      </c>
      <c r="K850" s="6">
        <v>0</v>
      </c>
      <c r="L850" s="6">
        <v>119.90900000000001</v>
      </c>
      <c r="M850" s="6">
        <v>119.90900000000001</v>
      </c>
      <c r="N850" s="6">
        <v>119.90900000000001</v>
      </c>
      <c r="O850" s="6">
        <v>119.90900000000001</v>
      </c>
      <c r="P850" s="6">
        <v>0</v>
      </c>
      <c r="Q850" s="4" t="s">
        <v>26</v>
      </c>
      <c r="R850" s="4">
        <v>0</v>
      </c>
      <c r="S850" s="6">
        <v>0</v>
      </c>
      <c r="T850" s="6">
        <v>27</v>
      </c>
      <c r="U850" s="6">
        <v>81</v>
      </c>
      <c r="V850" s="6">
        <f>IF(ISERROR(VLOOKUP($S$850,'TAR FIN'!$A$1:$O$120,15,0)),0,VLOOKUP($S$850,'TAR FIN'!$A$1:$O$120,15,0))</f>
        <v>0</v>
      </c>
      <c r="W850" s="6">
        <f>IF(ISERROR(VLOOKUP($T$850,'TAR FIN'!$A$1:$O$120,15,0)),0,VLOOKUP($T$850,'TAR FIN'!$A$1:$O$120,15,0))</f>
        <v>641.99</v>
      </c>
      <c r="X850" s="6">
        <f>IF(ISERROR(VLOOKUP($U$850,'TAR FIN'!$A$1:$O$120,15,0)),0,VLOOKUP($U$850,'TAR FIN'!$A$1:$O$120,15,0))</f>
        <v>430.87</v>
      </c>
      <c r="Y850" s="6"/>
      <c r="Z850" s="6">
        <f ca="1">('TUSD BE'!$AM$33+'TUSD BF'!$AM$33+'TUSD CVA'!$AM$33)*1</f>
        <v>747.73363518028248</v>
      </c>
      <c r="AA850" s="6">
        <f>('TE BE'!$AA$10+'TE BF'!$AA$10+'TE CVA'!$AA$10)*1</f>
        <v>375.69180268700768</v>
      </c>
      <c r="AB850" s="6">
        <f>$K$850*$V$850</f>
        <v>0</v>
      </c>
      <c r="AC850" s="6">
        <f>$M$850*$W$850</f>
        <v>76980.378909999999</v>
      </c>
      <c r="AD850" s="6">
        <f>$O$850*$X$850</f>
        <v>51665.19083</v>
      </c>
      <c r="AE850" s="6">
        <f>$K$850*$Y$850</f>
        <v>0</v>
      </c>
      <c r="AF850" s="6">
        <f ca="1">$M$850*$Z$850</f>
        <v>89659.992460832495</v>
      </c>
      <c r="AG850" s="6">
        <f>$O$850*$AA$850</f>
        <v>45048.828368396404</v>
      </c>
    </row>
    <row r="851" spans="1:33" ht="11.25" customHeight="1" x14ac:dyDescent="0.25">
      <c r="A851" s="4" t="s">
        <v>27</v>
      </c>
      <c r="B851" s="4" t="s">
        <v>33</v>
      </c>
      <c r="C851" s="4" t="s">
        <v>34</v>
      </c>
      <c r="D851" s="4" t="s">
        <v>40</v>
      </c>
      <c r="E851" s="4" t="s">
        <v>25</v>
      </c>
      <c r="F851" s="4" t="s">
        <v>25</v>
      </c>
      <c r="G851" s="4" t="s">
        <v>25</v>
      </c>
      <c r="H851" s="4" t="s">
        <v>35</v>
      </c>
      <c r="I851" s="5">
        <v>44044</v>
      </c>
      <c r="J851" s="6">
        <v>0</v>
      </c>
      <c r="K851" s="6">
        <v>0</v>
      </c>
      <c r="L851" s="6">
        <v>1.968</v>
      </c>
      <c r="M851" s="6">
        <v>1.968</v>
      </c>
      <c r="N851" s="6">
        <v>1.968</v>
      </c>
      <c r="O851" s="6">
        <v>1.968</v>
      </c>
      <c r="P851" s="6">
        <v>0</v>
      </c>
      <c r="Q851" s="4" t="s">
        <v>26</v>
      </c>
      <c r="R851" s="4">
        <v>0</v>
      </c>
      <c r="S851" s="6">
        <v>0</v>
      </c>
      <c r="T851" s="6">
        <v>27</v>
      </c>
      <c r="U851" s="6">
        <v>81</v>
      </c>
      <c r="V851" s="6">
        <f>IF(ISERROR(VLOOKUP($S$851,'TAR FIN'!$A$1:$O$120,15,0)),0,VLOOKUP($S$851,'TAR FIN'!$A$1:$O$120,15,0))</f>
        <v>0</v>
      </c>
      <c r="W851" s="6">
        <f>IF(ISERROR(VLOOKUP($T$851,'TAR FIN'!$A$1:$O$120,15,0)),0,VLOOKUP($T$851,'TAR FIN'!$A$1:$O$120,15,0))</f>
        <v>641.99</v>
      </c>
      <c r="X851" s="6">
        <f>IF(ISERROR(VLOOKUP($U$851,'TAR FIN'!$A$1:$O$120,15,0)),0,VLOOKUP($U$851,'TAR FIN'!$A$1:$O$120,15,0))</f>
        <v>430.87</v>
      </c>
      <c r="Y851" s="6"/>
      <c r="Z851" s="6">
        <f ca="1">('TUSD BE'!$AM$33+'TUSD BF'!$AM$33+'TUSD CVA'!$AM$33)*1</f>
        <v>747.73363518028248</v>
      </c>
      <c r="AA851" s="6">
        <f>('TE BE'!$AA$10+'TE BF'!$AA$10+'TE CVA'!$AA$10)*1</f>
        <v>375.69180268700768</v>
      </c>
      <c r="AB851" s="6">
        <f>$K$851*$V$851</f>
        <v>0</v>
      </c>
      <c r="AC851" s="6">
        <f>$M$851*$W$851</f>
        <v>1263.43632</v>
      </c>
      <c r="AD851" s="6">
        <f>$O$851*$X$851</f>
        <v>847.95216000000005</v>
      </c>
      <c r="AE851" s="6">
        <f>$K$851*$Y$851</f>
        <v>0</v>
      </c>
      <c r="AF851" s="6">
        <f ca="1">$M$851*$Z$851</f>
        <v>1471.5397940347959</v>
      </c>
      <c r="AG851" s="6">
        <f>$O$851*$AA$851</f>
        <v>739.3614676880311</v>
      </c>
    </row>
    <row r="852" spans="1:33" ht="11.25" customHeight="1" x14ac:dyDescent="0.25">
      <c r="A852" s="4" t="s">
        <v>28</v>
      </c>
      <c r="B852" s="4" t="s">
        <v>33</v>
      </c>
      <c r="C852" s="4" t="s">
        <v>34</v>
      </c>
      <c r="D852" s="4" t="s">
        <v>40</v>
      </c>
      <c r="E852" s="4" t="s">
        <v>25</v>
      </c>
      <c r="F852" s="4" t="s">
        <v>25</v>
      </c>
      <c r="G852" s="4" t="s">
        <v>25</v>
      </c>
      <c r="H852" s="4" t="s">
        <v>35</v>
      </c>
      <c r="I852" s="5">
        <v>44044</v>
      </c>
      <c r="J852" s="6">
        <v>0</v>
      </c>
      <c r="K852" s="6">
        <v>0</v>
      </c>
      <c r="L852" s="6">
        <v>12.042999999999999</v>
      </c>
      <c r="M852" s="6">
        <v>12.042999999999999</v>
      </c>
      <c r="N852" s="6">
        <v>12.042999999999999</v>
      </c>
      <c r="O852" s="6">
        <v>12.042999999999999</v>
      </c>
      <c r="P852" s="6">
        <v>0</v>
      </c>
      <c r="Q852" s="4" t="s">
        <v>26</v>
      </c>
      <c r="R852" s="4">
        <v>0</v>
      </c>
      <c r="S852" s="6">
        <v>0</v>
      </c>
      <c r="T852" s="6">
        <v>27</v>
      </c>
      <c r="U852" s="6">
        <v>81</v>
      </c>
      <c r="V852" s="6">
        <f>IF(ISERROR(VLOOKUP($S$852,'TAR FIN'!$A$1:$O$120,15,0)),0,VLOOKUP($S$852,'TAR FIN'!$A$1:$O$120,15,0))</f>
        <v>0</v>
      </c>
      <c r="W852" s="6">
        <f>IF(ISERROR(VLOOKUP($T$852,'TAR FIN'!$A$1:$O$120,15,0)),0,VLOOKUP($T$852,'TAR FIN'!$A$1:$O$120,15,0))</f>
        <v>641.99</v>
      </c>
      <c r="X852" s="6">
        <f>IF(ISERROR(VLOOKUP($U$852,'TAR FIN'!$A$1:$O$120,15,0)),0,VLOOKUP($U$852,'TAR FIN'!$A$1:$O$120,15,0))</f>
        <v>430.87</v>
      </c>
      <c r="Y852" s="6"/>
      <c r="Z852" s="6">
        <f ca="1">('TUSD BE'!$AM$33+'TUSD BF'!$AM$33+'TUSD CVA'!$AM$33)*1</f>
        <v>747.73363518028248</v>
      </c>
      <c r="AA852" s="6">
        <f>('TE BE'!$AA$10+'TE BF'!$AA$10+'TE CVA'!$AA$10)*1</f>
        <v>375.69180268700768</v>
      </c>
      <c r="AB852" s="6">
        <f>$K$852*$V$852</f>
        <v>0</v>
      </c>
      <c r="AC852" s="6">
        <f>$M$852*$W$852</f>
        <v>7731.4855699999998</v>
      </c>
      <c r="AD852" s="6">
        <f>$O$852*$X$852</f>
        <v>5188.9674099999993</v>
      </c>
      <c r="AE852" s="6">
        <f>$K$852*$Y$852</f>
        <v>0</v>
      </c>
      <c r="AF852" s="6">
        <f ca="1">$M$852*$Z$852</f>
        <v>9004.9561684761411</v>
      </c>
      <c r="AG852" s="6">
        <f>$O$852*$AA$852</f>
        <v>4524.4563797596329</v>
      </c>
    </row>
    <row r="853" spans="1:33" ht="11.25" customHeight="1" x14ac:dyDescent="0.25">
      <c r="A853" s="4" t="s">
        <v>59</v>
      </c>
      <c r="B853" s="4" t="s">
        <v>33</v>
      </c>
      <c r="C853" s="4" t="s">
        <v>34</v>
      </c>
      <c r="D853" s="4" t="s">
        <v>40</v>
      </c>
      <c r="E853" s="4" t="s">
        <v>25</v>
      </c>
      <c r="F853" s="4" t="s">
        <v>25</v>
      </c>
      <c r="G853" s="4" t="s">
        <v>25</v>
      </c>
      <c r="H853" s="4" t="s">
        <v>35</v>
      </c>
      <c r="I853" s="5">
        <v>44075</v>
      </c>
      <c r="J853" s="6">
        <v>0</v>
      </c>
      <c r="K853" s="6">
        <v>0</v>
      </c>
      <c r="L853" s="6">
        <v>119.90900000000001</v>
      </c>
      <c r="M853" s="6">
        <v>119.90900000000001</v>
      </c>
      <c r="N853" s="6">
        <v>119.90900000000001</v>
      </c>
      <c r="O853" s="6">
        <v>119.90900000000001</v>
      </c>
      <c r="P853" s="6">
        <v>0</v>
      </c>
      <c r="Q853" s="4" t="s">
        <v>26</v>
      </c>
      <c r="R853" s="4">
        <v>0</v>
      </c>
      <c r="S853" s="6">
        <v>0</v>
      </c>
      <c r="T853" s="6">
        <v>27</v>
      </c>
      <c r="U853" s="6">
        <v>81</v>
      </c>
      <c r="V853" s="6">
        <f>IF(ISERROR(VLOOKUP($S$853,'TAR FIN'!$A$1:$O$120,15,0)),0,VLOOKUP($S$853,'TAR FIN'!$A$1:$O$120,15,0))</f>
        <v>0</v>
      </c>
      <c r="W853" s="6">
        <f>IF(ISERROR(VLOOKUP($T$853,'TAR FIN'!$A$1:$O$120,15,0)),0,VLOOKUP($T$853,'TAR FIN'!$A$1:$O$120,15,0))</f>
        <v>641.99</v>
      </c>
      <c r="X853" s="6">
        <f>IF(ISERROR(VLOOKUP($U$853,'TAR FIN'!$A$1:$O$120,15,0)),0,VLOOKUP($U$853,'TAR FIN'!$A$1:$O$120,15,0))</f>
        <v>430.87</v>
      </c>
      <c r="Y853" s="6"/>
      <c r="Z853" s="6">
        <f ca="1">('TUSD BE'!$AM$33+'TUSD BF'!$AM$33+'TUSD CVA'!$AM$33)*1</f>
        <v>747.73363518028248</v>
      </c>
      <c r="AA853" s="6">
        <f>('TE BE'!$AA$10+'TE BF'!$AA$10+'TE CVA'!$AA$10)*1</f>
        <v>375.69180268700768</v>
      </c>
      <c r="AB853" s="6">
        <f>$K$853*$V$853</f>
        <v>0</v>
      </c>
      <c r="AC853" s="6">
        <f>$M$853*$W$853</f>
        <v>76980.378909999999</v>
      </c>
      <c r="AD853" s="6">
        <f>$O$853*$X$853</f>
        <v>51665.19083</v>
      </c>
      <c r="AE853" s="6">
        <f>$K$853*$Y$853</f>
        <v>0</v>
      </c>
      <c r="AF853" s="6">
        <f ca="1">$M$853*$Z$853</f>
        <v>89659.992460832495</v>
      </c>
      <c r="AG853" s="6">
        <f>$O$853*$AA$853</f>
        <v>45048.828368396404</v>
      </c>
    </row>
    <row r="854" spans="1:33" ht="11.25" customHeight="1" x14ac:dyDescent="0.25">
      <c r="A854" s="4" t="s">
        <v>59</v>
      </c>
      <c r="B854" s="4" t="s">
        <v>33</v>
      </c>
      <c r="C854" s="4" t="s">
        <v>34</v>
      </c>
      <c r="D854" s="4" t="s">
        <v>40</v>
      </c>
      <c r="E854" s="4" t="s">
        <v>25</v>
      </c>
      <c r="F854" s="4" t="s">
        <v>25</v>
      </c>
      <c r="G854" s="4" t="s">
        <v>25</v>
      </c>
      <c r="H854" s="4" t="s">
        <v>35</v>
      </c>
      <c r="I854" s="5">
        <v>44075</v>
      </c>
      <c r="J854" s="6">
        <v>0</v>
      </c>
      <c r="K854" s="6">
        <v>0</v>
      </c>
      <c r="L854" s="6">
        <v>1.968</v>
      </c>
      <c r="M854" s="6">
        <v>1.968</v>
      </c>
      <c r="N854" s="6">
        <v>1.968</v>
      </c>
      <c r="O854" s="6">
        <v>1.968</v>
      </c>
      <c r="P854" s="6">
        <v>0</v>
      </c>
      <c r="Q854" s="4" t="s">
        <v>26</v>
      </c>
      <c r="R854" s="4">
        <v>0</v>
      </c>
      <c r="S854" s="6">
        <v>0</v>
      </c>
      <c r="T854" s="6">
        <v>27</v>
      </c>
      <c r="U854" s="6">
        <v>81</v>
      </c>
      <c r="V854" s="6">
        <f>IF(ISERROR(VLOOKUP($S$854,'TAR FIN'!$A$1:$O$120,15,0)),0,VLOOKUP($S$854,'TAR FIN'!$A$1:$O$120,15,0))</f>
        <v>0</v>
      </c>
      <c r="W854" s="6">
        <f>IF(ISERROR(VLOOKUP($T$854,'TAR FIN'!$A$1:$O$120,15,0)),0,VLOOKUP($T$854,'TAR FIN'!$A$1:$O$120,15,0))</f>
        <v>641.99</v>
      </c>
      <c r="X854" s="6">
        <f>IF(ISERROR(VLOOKUP($U$854,'TAR FIN'!$A$1:$O$120,15,0)),0,VLOOKUP($U$854,'TAR FIN'!$A$1:$O$120,15,0))</f>
        <v>430.87</v>
      </c>
      <c r="Y854" s="6"/>
      <c r="Z854" s="6">
        <f ca="1">('TUSD BE'!$AM$33+'TUSD BF'!$AM$33+'TUSD CVA'!$AM$33)*1</f>
        <v>747.73363518028248</v>
      </c>
      <c r="AA854" s="6">
        <f>('TE BE'!$AA$10+'TE BF'!$AA$10+'TE CVA'!$AA$10)*1</f>
        <v>375.69180268700768</v>
      </c>
      <c r="AB854" s="6">
        <f>$K$854*$V$854</f>
        <v>0</v>
      </c>
      <c r="AC854" s="6">
        <f>$M$854*$W$854</f>
        <v>1263.43632</v>
      </c>
      <c r="AD854" s="6">
        <f>$O$854*$X$854</f>
        <v>847.95216000000005</v>
      </c>
      <c r="AE854" s="6">
        <f>$K$854*$Y$854</f>
        <v>0</v>
      </c>
      <c r="AF854" s="6">
        <f ca="1">$M$854*$Z$854</f>
        <v>1471.5397940347959</v>
      </c>
      <c r="AG854" s="6">
        <f>$O$854*$AA$854</f>
        <v>739.3614676880311</v>
      </c>
    </row>
    <row r="855" spans="1:33" ht="11.25" customHeight="1" x14ac:dyDescent="0.25">
      <c r="A855" s="4" t="s">
        <v>59</v>
      </c>
      <c r="B855" s="4" t="s">
        <v>33</v>
      </c>
      <c r="C855" s="4" t="s">
        <v>34</v>
      </c>
      <c r="D855" s="4" t="s">
        <v>40</v>
      </c>
      <c r="E855" s="4" t="s">
        <v>25</v>
      </c>
      <c r="F855" s="4" t="s">
        <v>25</v>
      </c>
      <c r="G855" s="4" t="s">
        <v>25</v>
      </c>
      <c r="H855" s="4" t="s">
        <v>35</v>
      </c>
      <c r="I855" s="5">
        <v>44075</v>
      </c>
      <c r="J855" s="6">
        <v>0</v>
      </c>
      <c r="K855" s="6">
        <v>0</v>
      </c>
      <c r="L855" s="6">
        <v>12.042999999999999</v>
      </c>
      <c r="M855" s="6">
        <v>12.042999999999999</v>
      </c>
      <c r="N855" s="6">
        <v>12.042999999999999</v>
      </c>
      <c r="O855" s="6">
        <v>12.042999999999999</v>
      </c>
      <c r="P855" s="6">
        <v>0</v>
      </c>
      <c r="Q855" s="4" t="s">
        <v>26</v>
      </c>
      <c r="R855" s="4">
        <v>0</v>
      </c>
      <c r="S855" s="6">
        <v>0</v>
      </c>
      <c r="T855" s="6">
        <v>27</v>
      </c>
      <c r="U855" s="6">
        <v>81</v>
      </c>
      <c r="V855" s="6">
        <f>IF(ISERROR(VLOOKUP($S$855,'TAR FIN'!$A$1:$O$120,15,0)),0,VLOOKUP($S$855,'TAR FIN'!$A$1:$O$120,15,0))</f>
        <v>0</v>
      </c>
      <c r="W855" s="6">
        <f>IF(ISERROR(VLOOKUP($T$855,'TAR FIN'!$A$1:$O$120,15,0)),0,VLOOKUP($T$855,'TAR FIN'!$A$1:$O$120,15,0))</f>
        <v>641.99</v>
      </c>
      <c r="X855" s="6">
        <f>IF(ISERROR(VLOOKUP($U$855,'TAR FIN'!$A$1:$O$120,15,0)),0,VLOOKUP($U$855,'TAR FIN'!$A$1:$O$120,15,0))</f>
        <v>430.87</v>
      </c>
      <c r="Y855" s="6"/>
      <c r="Z855" s="6">
        <f ca="1">('TUSD BE'!$AM$33+'TUSD BF'!$AM$33+'TUSD CVA'!$AM$33)*1</f>
        <v>747.73363518028248</v>
      </c>
      <c r="AA855" s="6">
        <f>('TE BE'!$AA$10+'TE BF'!$AA$10+'TE CVA'!$AA$10)*1</f>
        <v>375.69180268700768</v>
      </c>
      <c r="AB855" s="6">
        <f>$K$855*$V$855</f>
        <v>0</v>
      </c>
      <c r="AC855" s="6">
        <f>$M$855*$W$855</f>
        <v>7731.4855699999998</v>
      </c>
      <c r="AD855" s="6">
        <f>$O$855*$X$855</f>
        <v>5188.9674099999993</v>
      </c>
      <c r="AE855" s="6">
        <f>$K$855*$Y$855</f>
        <v>0</v>
      </c>
      <c r="AF855" s="6">
        <f ca="1">$M$855*$Z$855</f>
        <v>9004.9561684761411</v>
      </c>
      <c r="AG855" s="6">
        <f>$O$855*$AA$855</f>
        <v>4524.4563797596329</v>
      </c>
    </row>
    <row r="856" spans="1:33" ht="11.25" customHeight="1" x14ac:dyDescent="0.25">
      <c r="A856" s="4" t="s">
        <v>21</v>
      </c>
      <c r="B856" s="4" t="s">
        <v>33</v>
      </c>
      <c r="C856" s="4" t="s">
        <v>34</v>
      </c>
      <c r="D856" s="4" t="s">
        <v>48</v>
      </c>
      <c r="E856" s="4" t="s">
        <v>25</v>
      </c>
      <c r="F856" s="4" t="s">
        <v>25</v>
      </c>
      <c r="G856" s="4" t="s">
        <v>25</v>
      </c>
      <c r="H856" s="4" t="s">
        <v>36</v>
      </c>
      <c r="I856" s="5">
        <v>43739</v>
      </c>
      <c r="J856" s="6">
        <v>0</v>
      </c>
      <c r="K856" s="6">
        <v>0</v>
      </c>
      <c r="L856" s="6">
        <v>9745.19</v>
      </c>
      <c r="M856" s="6">
        <v>9745.19</v>
      </c>
      <c r="N856" s="6">
        <v>9745.19</v>
      </c>
      <c r="O856" s="6">
        <v>9745.19</v>
      </c>
      <c r="P856" s="6">
        <v>0</v>
      </c>
      <c r="Q856" s="4" t="s">
        <v>26</v>
      </c>
      <c r="R856" s="4">
        <v>0</v>
      </c>
      <c r="S856" s="6">
        <v>0</v>
      </c>
      <c r="T856" s="6">
        <v>28</v>
      </c>
      <c r="U856" s="6">
        <v>82</v>
      </c>
      <c r="V856" s="6">
        <f>IF(ISERROR(VLOOKUP($S$856,'TAR FIN'!$A$1:$O$120,15,0)),0,VLOOKUP($S$856,'TAR FIN'!$A$1:$O$120,15,0))</f>
        <v>0</v>
      </c>
      <c r="W856" s="6">
        <f>IF(ISERROR(VLOOKUP($T$856,'TAR FIN'!$A$1:$O$120,15,0)),0,VLOOKUP($T$856,'TAR FIN'!$A$1:$O$120,15,0))</f>
        <v>84.45</v>
      </c>
      <c r="X856" s="6">
        <f>IF(ISERROR(VLOOKUP($U$856,'TAR FIN'!$A$1:$O$120,15,0)),0,VLOOKUP($U$856,'TAR FIN'!$A$1:$O$120,15,0))</f>
        <v>256.38</v>
      </c>
      <c r="Y856" s="6"/>
      <c r="Z856" s="6">
        <f ca="1">('TUSD BE'!$AM$34+'TUSD BF'!$AM$34+'TUSD CVA'!$AM$34)*1</f>
        <v>87.519361965254689</v>
      </c>
      <c r="AA856" s="6">
        <f>('TE BE'!$AA$11+'TE BF'!$AA$11+'TE CVA'!$AA$11)*1</f>
        <v>230.83420940933817</v>
      </c>
      <c r="AB856" s="6">
        <f>$K$856*$V$856</f>
        <v>0</v>
      </c>
      <c r="AC856" s="6">
        <f>$M$856*$W$856</f>
        <v>822981.29550000012</v>
      </c>
      <c r="AD856" s="6">
        <f>$O$856*$X$856</f>
        <v>2498471.8122</v>
      </c>
      <c r="AE856" s="6">
        <f>$K$856*$Y$856</f>
        <v>0</v>
      </c>
      <c r="AF856" s="6">
        <f ca="1">$M$856*$Z$856</f>
        <v>852892.81103018043</v>
      </c>
      <c r="AG856" s="6">
        <f>$O$856*$AA$856</f>
        <v>2249523.2291937885</v>
      </c>
    </row>
    <row r="857" spans="1:33" ht="11.25" customHeight="1" x14ac:dyDescent="0.25">
      <c r="A857" s="4" t="s">
        <v>28</v>
      </c>
      <c r="B857" s="4" t="s">
        <v>33</v>
      </c>
      <c r="C857" s="4" t="s">
        <v>34</v>
      </c>
      <c r="D857" s="4" t="s">
        <v>48</v>
      </c>
      <c r="E857" s="4" t="s">
        <v>25</v>
      </c>
      <c r="F857" s="4" t="s">
        <v>25</v>
      </c>
      <c r="G857" s="4" t="s">
        <v>25</v>
      </c>
      <c r="H857" s="4" t="s">
        <v>36</v>
      </c>
      <c r="I857" s="5">
        <v>43739</v>
      </c>
      <c r="J857" s="6">
        <v>0</v>
      </c>
      <c r="K857" s="6">
        <v>0</v>
      </c>
      <c r="L857" s="6">
        <v>1349.056</v>
      </c>
      <c r="M857" s="6">
        <v>1349.056</v>
      </c>
      <c r="N857" s="6">
        <v>1349.056</v>
      </c>
      <c r="O857" s="6">
        <v>1349.056</v>
      </c>
      <c r="P857" s="6">
        <v>0</v>
      </c>
      <c r="Q857" s="4" t="s">
        <v>26</v>
      </c>
      <c r="R857" s="4">
        <v>0</v>
      </c>
      <c r="S857" s="6">
        <v>0</v>
      </c>
      <c r="T857" s="6">
        <v>28</v>
      </c>
      <c r="U857" s="6">
        <v>82</v>
      </c>
      <c r="V857" s="6">
        <f>IF(ISERROR(VLOOKUP($S$857,'TAR FIN'!$A$1:$O$120,15,0)),0,VLOOKUP($S$857,'TAR FIN'!$A$1:$O$120,15,0))</f>
        <v>0</v>
      </c>
      <c r="W857" s="6">
        <f>IF(ISERROR(VLOOKUP($T$857,'TAR FIN'!$A$1:$O$120,15,0)),0,VLOOKUP($T$857,'TAR FIN'!$A$1:$O$120,15,0))</f>
        <v>84.45</v>
      </c>
      <c r="X857" s="6">
        <f>IF(ISERROR(VLOOKUP($U$857,'TAR FIN'!$A$1:$O$120,15,0)),0,VLOOKUP($U$857,'TAR FIN'!$A$1:$O$120,15,0))</f>
        <v>256.38</v>
      </c>
      <c r="Y857" s="6"/>
      <c r="Z857" s="6">
        <f ca="1">('TUSD BE'!$AM$34+'TUSD BF'!$AM$34+'TUSD CVA'!$AM$34)*1</f>
        <v>87.519361965254689</v>
      </c>
      <c r="AA857" s="6">
        <f>('TE BE'!$AA$11+'TE BF'!$AA$11+'TE CVA'!$AA$11)*1</f>
        <v>230.83420940933817</v>
      </c>
      <c r="AB857" s="6">
        <f>$K$857*$V$857</f>
        <v>0</v>
      </c>
      <c r="AC857" s="6">
        <f>$M$857*$W$857</f>
        <v>113927.7792</v>
      </c>
      <c r="AD857" s="6">
        <f>$O$857*$X$857</f>
        <v>345870.97727999999</v>
      </c>
      <c r="AE857" s="6">
        <f>$K$857*$Y$857</f>
        <v>0</v>
      </c>
      <c r="AF857" s="6">
        <f ca="1">$M$857*$Z$857</f>
        <v>118068.52037539863</v>
      </c>
      <c r="AG857" s="6">
        <f>$O$857*$AA$857</f>
        <v>311408.27520892414</v>
      </c>
    </row>
    <row r="858" spans="1:33" ht="11.25" customHeight="1" x14ac:dyDescent="0.25">
      <c r="A858" s="4" t="s">
        <v>21</v>
      </c>
      <c r="B858" s="4" t="s">
        <v>33</v>
      </c>
      <c r="C858" s="4" t="s">
        <v>34</v>
      </c>
      <c r="D858" s="4" t="s">
        <v>48</v>
      </c>
      <c r="E858" s="4" t="s">
        <v>25</v>
      </c>
      <c r="F858" s="4" t="s">
        <v>25</v>
      </c>
      <c r="G858" s="4" t="s">
        <v>25</v>
      </c>
      <c r="H858" s="4" t="s">
        <v>36</v>
      </c>
      <c r="I858" s="5">
        <v>43770</v>
      </c>
      <c r="J858" s="6">
        <v>0</v>
      </c>
      <c r="K858" s="6">
        <v>0</v>
      </c>
      <c r="L858" s="6">
        <v>9908.1810000000005</v>
      </c>
      <c r="M858" s="6">
        <v>9908.1810000000005</v>
      </c>
      <c r="N858" s="6">
        <v>9908.1810000000005</v>
      </c>
      <c r="O858" s="6">
        <v>9908.1810000000005</v>
      </c>
      <c r="P858" s="6">
        <v>0</v>
      </c>
      <c r="Q858" s="4" t="s">
        <v>26</v>
      </c>
      <c r="R858" s="4">
        <v>0</v>
      </c>
      <c r="S858" s="6">
        <v>0</v>
      </c>
      <c r="T858" s="6">
        <v>28</v>
      </c>
      <c r="U858" s="6">
        <v>82</v>
      </c>
      <c r="V858" s="6">
        <f>IF(ISERROR(VLOOKUP($S$858,'TAR FIN'!$A$1:$O$120,15,0)),0,VLOOKUP($S$858,'TAR FIN'!$A$1:$O$120,15,0))</f>
        <v>0</v>
      </c>
      <c r="W858" s="6">
        <f>IF(ISERROR(VLOOKUP($T$858,'TAR FIN'!$A$1:$O$120,15,0)),0,VLOOKUP($T$858,'TAR FIN'!$A$1:$O$120,15,0))</f>
        <v>84.45</v>
      </c>
      <c r="X858" s="6">
        <f>IF(ISERROR(VLOOKUP($U$858,'TAR FIN'!$A$1:$O$120,15,0)),0,VLOOKUP($U$858,'TAR FIN'!$A$1:$O$120,15,0))</f>
        <v>256.38</v>
      </c>
      <c r="Y858" s="6"/>
      <c r="Z858" s="6">
        <f ca="1">('TUSD BE'!$AM$34+'TUSD BF'!$AM$34+'TUSD CVA'!$AM$34)*1</f>
        <v>87.519361965254689</v>
      </c>
      <c r="AA858" s="6">
        <f>('TE BE'!$AA$11+'TE BF'!$AA$11+'TE CVA'!$AA$11)*1</f>
        <v>230.83420940933817</v>
      </c>
      <c r="AB858" s="6">
        <f>$K$858*$V$858</f>
        <v>0</v>
      </c>
      <c r="AC858" s="6">
        <f>$M$858*$W$858</f>
        <v>836745.88545000006</v>
      </c>
      <c r="AD858" s="6">
        <f>$O$858*$X$858</f>
        <v>2540259.44478</v>
      </c>
      <c r="AE858" s="6">
        <f>$K$858*$Y$858</f>
        <v>0</v>
      </c>
      <c r="AF858" s="6">
        <f ca="1">$M$858*$Z$858</f>
        <v>867157.67935625918</v>
      </c>
      <c r="AG858" s="6">
        <f>$O$858*$AA$858</f>
        <v>2287147.1278196257</v>
      </c>
    </row>
    <row r="859" spans="1:33" ht="11.25" customHeight="1" x14ac:dyDescent="0.25">
      <c r="A859" s="4" t="s">
        <v>28</v>
      </c>
      <c r="B859" s="4" t="s">
        <v>33</v>
      </c>
      <c r="C859" s="4" t="s">
        <v>34</v>
      </c>
      <c r="D859" s="4" t="s">
        <v>48</v>
      </c>
      <c r="E859" s="4" t="s">
        <v>25</v>
      </c>
      <c r="F859" s="4" t="s">
        <v>25</v>
      </c>
      <c r="G859" s="4" t="s">
        <v>25</v>
      </c>
      <c r="H859" s="4" t="s">
        <v>36</v>
      </c>
      <c r="I859" s="5">
        <v>43770</v>
      </c>
      <c r="J859" s="6">
        <v>0</v>
      </c>
      <c r="K859" s="6">
        <v>0</v>
      </c>
      <c r="L859" s="6">
        <v>1411.3520000000001</v>
      </c>
      <c r="M859" s="6">
        <v>1411.3520000000001</v>
      </c>
      <c r="N859" s="6">
        <v>1411.3520000000001</v>
      </c>
      <c r="O859" s="6">
        <v>1411.3520000000001</v>
      </c>
      <c r="P859" s="6">
        <v>0</v>
      </c>
      <c r="Q859" s="4" t="s">
        <v>26</v>
      </c>
      <c r="R859" s="4">
        <v>0</v>
      </c>
      <c r="S859" s="6">
        <v>0</v>
      </c>
      <c r="T859" s="6">
        <v>28</v>
      </c>
      <c r="U859" s="6">
        <v>82</v>
      </c>
      <c r="V859" s="6">
        <f>IF(ISERROR(VLOOKUP($S$859,'TAR FIN'!$A$1:$O$120,15,0)),0,VLOOKUP($S$859,'TAR FIN'!$A$1:$O$120,15,0))</f>
        <v>0</v>
      </c>
      <c r="W859" s="6">
        <f>IF(ISERROR(VLOOKUP($T$859,'TAR FIN'!$A$1:$O$120,15,0)),0,VLOOKUP($T$859,'TAR FIN'!$A$1:$O$120,15,0))</f>
        <v>84.45</v>
      </c>
      <c r="X859" s="6">
        <f>IF(ISERROR(VLOOKUP($U$859,'TAR FIN'!$A$1:$O$120,15,0)),0,VLOOKUP($U$859,'TAR FIN'!$A$1:$O$120,15,0))</f>
        <v>256.38</v>
      </c>
      <c r="Y859" s="6"/>
      <c r="Z859" s="6">
        <f ca="1">('TUSD BE'!$AM$34+'TUSD BF'!$AM$34+'TUSD CVA'!$AM$34)*1</f>
        <v>87.519361965254689</v>
      </c>
      <c r="AA859" s="6">
        <f>('TE BE'!$AA$11+'TE BF'!$AA$11+'TE CVA'!$AA$11)*1</f>
        <v>230.83420940933817</v>
      </c>
      <c r="AB859" s="6">
        <f>$K$859*$V$859</f>
        <v>0</v>
      </c>
      <c r="AC859" s="6">
        <f>$M$859*$W$859</f>
        <v>119188.67640000001</v>
      </c>
      <c r="AD859" s="6">
        <f>$O$859*$X$859</f>
        <v>361842.42576000001</v>
      </c>
      <c r="AE859" s="6">
        <f>$K$859*$Y$859</f>
        <v>0</v>
      </c>
      <c r="AF859" s="6">
        <f ca="1">$M$859*$Z$859</f>
        <v>123520.62654838615</v>
      </c>
      <c r="AG859" s="6">
        <f>$O$859*$AA$859</f>
        <v>325788.32311828824</v>
      </c>
    </row>
    <row r="860" spans="1:33" ht="11.25" customHeight="1" x14ac:dyDescent="0.25">
      <c r="A860" s="4" t="s">
        <v>21</v>
      </c>
      <c r="B860" s="4" t="s">
        <v>33</v>
      </c>
      <c r="C860" s="4" t="s">
        <v>34</v>
      </c>
      <c r="D860" s="4" t="s">
        <v>48</v>
      </c>
      <c r="E860" s="4" t="s">
        <v>25</v>
      </c>
      <c r="F860" s="4" t="s">
        <v>25</v>
      </c>
      <c r="G860" s="4" t="s">
        <v>25</v>
      </c>
      <c r="H860" s="4" t="s">
        <v>36</v>
      </c>
      <c r="I860" s="5">
        <v>43800</v>
      </c>
      <c r="J860" s="6">
        <v>0</v>
      </c>
      <c r="K860" s="6">
        <v>0</v>
      </c>
      <c r="L860" s="6">
        <v>8936.09</v>
      </c>
      <c r="M860" s="6">
        <v>8936.09</v>
      </c>
      <c r="N860" s="6">
        <v>8936.09</v>
      </c>
      <c r="O860" s="6">
        <v>8936.09</v>
      </c>
      <c r="P860" s="6">
        <v>0</v>
      </c>
      <c r="Q860" s="4" t="s">
        <v>26</v>
      </c>
      <c r="R860" s="4">
        <v>0</v>
      </c>
      <c r="S860" s="6">
        <v>0</v>
      </c>
      <c r="T860" s="6">
        <v>28</v>
      </c>
      <c r="U860" s="6">
        <v>82</v>
      </c>
      <c r="V860" s="6">
        <f>IF(ISERROR(VLOOKUP($S$860,'TAR FIN'!$A$1:$O$120,15,0)),0,VLOOKUP($S$860,'TAR FIN'!$A$1:$O$120,15,0))</f>
        <v>0</v>
      </c>
      <c r="W860" s="6">
        <f>IF(ISERROR(VLOOKUP($T$860,'TAR FIN'!$A$1:$O$120,15,0)),0,VLOOKUP($T$860,'TAR FIN'!$A$1:$O$120,15,0))</f>
        <v>84.45</v>
      </c>
      <c r="X860" s="6">
        <f>IF(ISERROR(VLOOKUP($U$860,'TAR FIN'!$A$1:$O$120,15,0)),0,VLOOKUP($U$860,'TAR FIN'!$A$1:$O$120,15,0))</f>
        <v>256.38</v>
      </c>
      <c r="Y860" s="6"/>
      <c r="Z860" s="6">
        <f ca="1">('TUSD BE'!$AM$34+'TUSD BF'!$AM$34+'TUSD CVA'!$AM$34)*1</f>
        <v>87.519361965254689</v>
      </c>
      <c r="AA860" s="6">
        <f>('TE BE'!$AA$11+'TE BF'!$AA$11+'TE CVA'!$AA$11)*1</f>
        <v>230.83420940933817</v>
      </c>
      <c r="AB860" s="6">
        <f>$K$860*$V$860</f>
        <v>0</v>
      </c>
      <c r="AC860" s="6">
        <f>$M$860*$W$860</f>
        <v>754652.80050000001</v>
      </c>
      <c r="AD860" s="6">
        <f>$O$860*$X$860</f>
        <v>2291034.7541999999</v>
      </c>
      <c r="AE860" s="6">
        <f>$K$860*$Y$860</f>
        <v>0</v>
      </c>
      <c r="AF860" s="6">
        <f ca="1">$M$860*$Z$860</f>
        <v>782080.89526409283</v>
      </c>
      <c r="AG860" s="6">
        <f>$O$860*$AA$860</f>
        <v>2062755.2703606929</v>
      </c>
    </row>
    <row r="861" spans="1:33" ht="11.25" customHeight="1" x14ac:dyDescent="0.25">
      <c r="A861" s="4" t="s">
        <v>28</v>
      </c>
      <c r="B861" s="4" t="s">
        <v>33</v>
      </c>
      <c r="C861" s="4" t="s">
        <v>34</v>
      </c>
      <c r="D861" s="4" t="s">
        <v>48</v>
      </c>
      <c r="E861" s="4" t="s">
        <v>25</v>
      </c>
      <c r="F861" s="4" t="s">
        <v>25</v>
      </c>
      <c r="G861" s="4" t="s">
        <v>25</v>
      </c>
      <c r="H861" s="4" t="s">
        <v>36</v>
      </c>
      <c r="I861" s="5">
        <v>43800</v>
      </c>
      <c r="J861" s="6">
        <v>0</v>
      </c>
      <c r="K861" s="6">
        <v>0</v>
      </c>
      <c r="L861" s="6">
        <v>1348.654</v>
      </c>
      <c r="M861" s="6">
        <v>1348.654</v>
      </c>
      <c r="N861" s="6">
        <v>1348.654</v>
      </c>
      <c r="O861" s="6">
        <v>1348.654</v>
      </c>
      <c r="P861" s="6">
        <v>0</v>
      </c>
      <c r="Q861" s="4" t="s">
        <v>26</v>
      </c>
      <c r="R861" s="4">
        <v>0</v>
      </c>
      <c r="S861" s="6">
        <v>0</v>
      </c>
      <c r="T861" s="6">
        <v>28</v>
      </c>
      <c r="U861" s="6">
        <v>82</v>
      </c>
      <c r="V861" s="6">
        <f>IF(ISERROR(VLOOKUP($S$861,'TAR FIN'!$A$1:$O$120,15,0)),0,VLOOKUP($S$861,'TAR FIN'!$A$1:$O$120,15,0))</f>
        <v>0</v>
      </c>
      <c r="W861" s="6">
        <f>IF(ISERROR(VLOOKUP($T$861,'TAR FIN'!$A$1:$O$120,15,0)),0,VLOOKUP($T$861,'TAR FIN'!$A$1:$O$120,15,0))</f>
        <v>84.45</v>
      </c>
      <c r="X861" s="6">
        <f>IF(ISERROR(VLOOKUP($U$861,'TAR FIN'!$A$1:$O$120,15,0)),0,VLOOKUP($U$861,'TAR FIN'!$A$1:$O$120,15,0))</f>
        <v>256.38</v>
      </c>
      <c r="Y861" s="6"/>
      <c r="Z861" s="6">
        <f ca="1">('TUSD BE'!$AM$34+'TUSD BF'!$AM$34+'TUSD CVA'!$AM$34)*1</f>
        <v>87.519361965254689</v>
      </c>
      <c r="AA861" s="6">
        <f>('TE BE'!$AA$11+'TE BF'!$AA$11+'TE CVA'!$AA$11)*1</f>
        <v>230.83420940933817</v>
      </c>
      <c r="AB861" s="6">
        <f>$K$861*$V$861</f>
        <v>0</v>
      </c>
      <c r="AC861" s="6">
        <f>$M$861*$W$861</f>
        <v>113893.8303</v>
      </c>
      <c r="AD861" s="6">
        <f>$O$861*$X$861</f>
        <v>345767.91252000001</v>
      </c>
      <c r="AE861" s="6">
        <f>$K$861*$Y$861</f>
        <v>0</v>
      </c>
      <c r="AF861" s="6">
        <f ca="1">$M$861*$Z$861</f>
        <v>118033.3375918886</v>
      </c>
      <c r="AG861" s="6">
        <f>$O$861*$AA$861</f>
        <v>311315.47985674156</v>
      </c>
    </row>
    <row r="862" spans="1:33" ht="11.25" customHeight="1" x14ac:dyDescent="0.25">
      <c r="A862" s="4" t="s">
        <v>21</v>
      </c>
      <c r="B862" s="4" t="s">
        <v>33</v>
      </c>
      <c r="C862" s="4" t="s">
        <v>34</v>
      </c>
      <c r="D862" s="4" t="s">
        <v>48</v>
      </c>
      <c r="E862" s="4" t="s">
        <v>25</v>
      </c>
      <c r="F862" s="4" t="s">
        <v>25</v>
      </c>
      <c r="G862" s="4" t="s">
        <v>25</v>
      </c>
      <c r="H862" s="4" t="s">
        <v>36</v>
      </c>
      <c r="I862" s="5">
        <v>43831</v>
      </c>
      <c r="J862" s="6">
        <v>0</v>
      </c>
      <c r="K862" s="6">
        <v>0</v>
      </c>
      <c r="L862" s="6">
        <v>8380.08</v>
      </c>
      <c r="M862" s="6">
        <v>8380.08</v>
      </c>
      <c r="N862" s="6">
        <v>8380.08</v>
      </c>
      <c r="O862" s="6">
        <v>8380.08</v>
      </c>
      <c r="P862" s="6">
        <v>0</v>
      </c>
      <c r="Q862" s="4" t="s">
        <v>26</v>
      </c>
      <c r="R862" s="4">
        <v>0</v>
      </c>
      <c r="S862" s="6">
        <v>0</v>
      </c>
      <c r="T862" s="6">
        <v>28</v>
      </c>
      <c r="U862" s="6">
        <v>82</v>
      </c>
      <c r="V862" s="6">
        <f>IF(ISERROR(VLOOKUP($S$862,'TAR FIN'!$A$1:$O$120,15,0)),0,VLOOKUP($S$862,'TAR FIN'!$A$1:$O$120,15,0))</f>
        <v>0</v>
      </c>
      <c r="W862" s="6">
        <f>IF(ISERROR(VLOOKUP($T$862,'TAR FIN'!$A$1:$O$120,15,0)),0,VLOOKUP($T$862,'TAR FIN'!$A$1:$O$120,15,0))</f>
        <v>84.45</v>
      </c>
      <c r="X862" s="6">
        <f>IF(ISERROR(VLOOKUP($U$862,'TAR FIN'!$A$1:$O$120,15,0)),0,VLOOKUP($U$862,'TAR FIN'!$A$1:$O$120,15,0))</f>
        <v>256.38</v>
      </c>
      <c r="Y862" s="6"/>
      <c r="Z862" s="6">
        <f ca="1">('TUSD BE'!$AM$34+'TUSD BF'!$AM$34+'TUSD CVA'!$AM$34)*1</f>
        <v>87.519361965254689</v>
      </c>
      <c r="AA862" s="6">
        <f>('TE BE'!$AA$11+'TE BF'!$AA$11+'TE CVA'!$AA$11)*1</f>
        <v>230.83420940933817</v>
      </c>
      <c r="AB862" s="6">
        <f>$K$862*$V$862</f>
        <v>0</v>
      </c>
      <c r="AC862" s="6">
        <f>$M$862*$W$862</f>
        <v>707697.75600000005</v>
      </c>
      <c r="AD862" s="6">
        <f>$O$862*$X$862</f>
        <v>2148484.9103999999</v>
      </c>
      <c r="AE862" s="6">
        <f>$K$862*$Y$862</f>
        <v>0</v>
      </c>
      <c r="AF862" s="6">
        <f ca="1">$M$862*$Z$862</f>
        <v>733419.25481779152</v>
      </c>
      <c r="AG862" s="6">
        <f>$O$862*$AA$862</f>
        <v>1934409.1415870066</v>
      </c>
    </row>
    <row r="863" spans="1:33" ht="11.25" customHeight="1" x14ac:dyDescent="0.25">
      <c r="A863" s="4" t="s">
        <v>28</v>
      </c>
      <c r="B863" s="4" t="s">
        <v>33</v>
      </c>
      <c r="C863" s="4" t="s">
        <v>34</v>
      </c>
      <c r="D863" s="4" t="s">
        <v>48</v>
      </c>
      <c r="E863" s="4" t="s">
        <v>25</v>
      </c>
      <c r="F863" s="4" t="s">
        <v>25</v>
      </c>
      <c r="G863" s="4" t="s">
        <v>25</v>
      </c>
      <c r="H863" s="4" t="s">
        <v>36</v>
      </c>
      <c r="I863" s="5">
        <v>43831</v>
      </c>
      <c r="J863" s="6">
        <v>0</v>
      </c>
      <c r="K863" s="6">
        <v>0</v>
      </c>
      <c r="L863" s="6">
        <v>1270.395</v>
      </c>
      <c r="M863" s="6">
        <v>1270.395</v>
      </c>
      <c r="N863" s="6">
        <v>1270.395</v>
      </c>
      <c r="O863" s="6">
        <v>1270.395</v>
      </c>
      <c r="P863" s="6">
        <v>0</v>
      </c>
      <c r="Q863" s="4" t="s">
        <v>26</v>
      </c>
      <c r="R863" s="4">
        <v>0</v>
      </c>
      <c r="S863" s="6">
        <v>0</v>
      </c>
      <c r="T863" s="6">
        <v>28</v>
      </c>
      <c r="U863" s="6">
        <v>82</v>
      </c>
      <c r="V863" s="6">
        <f>IF(ISERROR(VLOOKUP($S$863,'TAR FIN'!$A$1:$O$120,15,0)),0,VLOOKUP($S$863,'TAR FIN'!$A$1:$O$120,15,0))</f>
        <v>0</v>
      </c>
      <c r="W863" s="6">
        <f>IF(ISERROR(VLOOKUP($T$863,'TAR FIN'!$A$1:$O$120,15,0)),0,VLOOKUP($T$863,'TAR FIN'!$A$1:$O$120,15,0))</f>
        <v>84.45</v>
      </c>
      <c r="X863" s="6">
        <f>IF(ISERROR(VLOOKUP($U$863,'TAR FIN'!$A$1:$O$120,15,0)),0,VLOOKUP($U$863,'TAR FIN'!$A$1:$O$120,15,0))</f>
        <v>256.38</v>
      </c>
      <c r="Y863" s="6"/>
      <c r="Z863" s="6">
        <f ca="1">('TUSD BE'!$AM$34+'TUSD BF'!$AM$34+'TUSD CVA'!$AM$34)*1</f>
        <v>87.519361965254689</v>
      </c>
      <c r="AA863" s="6">
        <f>('TE BE'!$AA$11+'TE BF'!$AA$11+'TE CVA'!$AA$11)*1</f>
        <v>230.83420940933817</v>
      </c>
      <c r="AB863" s="6">
        <f>$K$863*$V$863</f>
        <v>0</v>
      </c>
      <c r="AC863" s="6">
        <f>$M$863*$W$863</f>
        <v>107284.85775</v>
      </c>
      <c r="AD863" s="6">
        <f>$O$863*$X$863</f>
        <v>325703.8701</v>
      </c>
      <c r="AE863" s="6">
        <f>$K$863*$Y$863</f>
        <v>0</v>
      </c>
      <c r="AF863" s="6">
        <f ca="1">$M$863*$Z$863</f>
        <v>111184.15984384973</v>
      </c>
      <c r="AG863" s="6">
        <f>$O$863*$AA$863</f>
        <v>293250.62546257616</v>
      </c>
    </row>
    <row r="864" spans="1:33" ht="11.25" customHeight="1" x14ac:dyDescent="0.25">
      <c r="A864" s="4" t="s">
        <v>21</v>
      </c>
      <c r="B864" s="4" t="s">
        <v>33</v>
      </c>
      <c r="C864" s="4" t="s">
        <v>34</v>
      </c>
      <c r="D864" s="4" t="s">
        <v>48</v>
      </c>
      <c r="E864" s="4" t="s">
        <v>25</v>
      </c>
      <c r="F864" s="4" t="s">
        <v>25</v>
      </c>
      <c r="G864" s="4" t="s">
        <v>25</v>
      </c>
      <c r="H864" s="4" t="s">
        <v>36</v>
      </c>
      <c r="I864" s="5">
        <v>43862</v>
      </c>
      <c r="J864" s="6">
        <v>0</v>
      </c>
      <c r="K864" s="6">
        <v>0</v>
      </c>
      <c r="L864" s="6">
        <v>8914.2780000000002</v>
      </c>
      <c r="M864" s="6">
        <v>8914.2780000000002</v>
      </c>
      <c r="N864" s="6">
        <v>8914.2780000000002</v>
      </c>
      <c r="O864" s="6">
        <v>8914.2780000000002</v>
      </c>
      <c r="P864" s="6">
        <v>0</v>
      </c>
      <c r="Q864" s="4" t="s">
        <v>26</v>
      </c>
      <c r="R864" s="4">
        <v>0</v>
      </c>
      <c r="S864" s="6">
        <v>0</v>
      </c>
      <c r="T864" s="6">
        <v>28</v>
      </c>
      <c r="U864" s="6">
        <v>82</v>
      </c>
      <c r="V864" s="6">
        <f>IF(ISERROR(VLOOKUP($S$864,'TAR FIN'!$A$1:$O$120,15,0)),0,VLOOKUP($S$864,'TAR FIN'!$A$1:$O$120,15,0))</f>
        <v>0</v>
      </c>
      <c r="W864" s="6">
        <f>IF(ISERROR(VLOOKUP($T$864,'TAR FIN'!$A$1:$O$120,15,0)),0,VLOOKUP($T$864,'TAR FIN'!$A$1:$O$120,15,0))</f>
        <v>84.45</v>
      </c>
      <c r="X864" s="6">
        <f>IF(ISERROR(VLOOKUP($U$864,'TAR FIN'!$A$1:$O$120,15,0)),0,VLOOKUP($U$864,'TAR FIN'!$A$1:$O$120,15,0))</f>
        <v>256.38</v>
      </c>
      <c r="Y864" s="6"/>
      <c r="Z864" s="6">
        <f ca="1">('TUSD BE'!$AM$34+'TUSD BF'!$AM$34+'TUSD CVA'!$AM$34)*1</f>
        <v>87.519361965254689</v>
      </c>
      <c r="AA864" s="6">
        <f>('TE BE'!$AA$11+'TE BF'!$AA$11+'TE CVA'!$AA$11)*1</f>
        <v>230.83420940933817</v>
      </c>
      <c r="AB864" s="6">
        <f>$K$864*$V$864</f>
        <v>0</v>
      </c>
      <c r="AC864" s="6">
        <f>$M$864*$W$864</f>
        <v>752810.77710000006</v>
      </c>
      <c r="AD864" s="6">
        <f>$O$864*$X$864</f>
        <v>2285442.5936400001</v>
      </c>
      <c r="AE864" s="6">
        <f>$K$864*$Y$864</f>
        <v>0</v>
      </c>
      <c r="AF864" s="6">
        <f ca="1">$M$864*$Z$864</f>
        <v>780171.9229409066</v>
      </c>
      <c r="AG864" s="6">
        <f>$O$864*$AA$864</f>
        <v>2057720.3145850564</v>
      </c>
    </row>
    <row r="865" spans="1:33" ht="11.25" customHeight="1" x14ac:dyDescent="0.25">
      <c r="A865" s="4" t="s">
        <v>28</v>
      </c>
      <c r="B865" s="4" t="s">
        <v>33</v>
      </c>
      <c r="C865" s="4" t="s">
        <v>34</v>
      </c>
      <c r="D865" s="4" t="s">
        <v>48</v>
      </c>
      <c r="E865" s="4" t="s">
        <v>25</v>
      </c>
      <c r="F865" s="4" t="s">
        <v>25</v>
      </c>
      <c r="G865" s="4" t="s">
        <v>25</v>
      </c>
      <c r="H865" s="4" t="s">
        <v>36</v>
      </c>
      <c r="I865" s="5">
        <v>43862</v>
      </c>
      <c r="J865" s="6">
        <v>0</v>
      </c>
      <c r="K865" s="6">
        <v>0</v>
      </c>
      <c r="L865" s="6">
        <v>1333.57</v>
      </c>
      <c r="M865" s="6">
        <v>1333.57</v>
      </c>
      <c r="N865" s="6">
        <v>1333.57</v>
      </c>
      <c r="O865" s="6">
        <v>1333.57</v>
      </c>
      <c r="P865" s="6">
        <v>0</v>
      </c>
      <c r="Q865" s="4" t="s">
        <v>26</v>
      </c>
      <c r="R865" s="4">
        <v>0</v>
      </c>
      <c r="S865" s="6">
        <v>0</v>
      </c>
      <c r="T865" s="6">
        <v>28</v>
      </c>
      <c r="U865" s="6">
        <v>82</v>
      </c>
      <c r="V865" s="6">
        <f>IF(ISERROR(VLOOKUP($S$865,'TAR FIN'!$A$1:$O$120,15,0)),0,VLOOKUP($S$865,'TAR FIN'!$A$1:$O$120,15,0))</f>
        <v>0</v>
      </c>
      <c r="W865" s="6">
        <f>IF(ISERROR(VLOOKUP($T$865,'TAR FIN'!$A$1:$O$120,15,0)),0,VLOOKUP($T$865,'TAR FIN'!$A$1:$O$120,15,0))</f>
        <v>84.45</v>
      </c>
      <c r="X865" s="6">
        <f>IF(ISERROR(VLOOKUP($U$865,'TAR FIN'!$A$1:$O$120,15,0)),0,VLOOKUP($U$865,'TAR FIN'!$A$1:$O$120,15,0))</f>
        <v>256.38</v>
      </c>
      <c r="Y865" s="6"/>
      <c r="Z865" s="6">
        <f ca="1">('TUSD BE'!$AM$34+'TUSD BF'!$AM$34+'TUSD CVA'!$AM$34)*1</f>
        <v>87.519361965254689</v>
      </c>
      <c r="AA865" s="6">
        <f>('TE BE'!$AA$11+'TE BF'!$AA$11+'TE CVA'!$AA$11)*1</f>
        <v>230.83420940933817</v>
      </c>
      <c r="AB865" s="6">
        <f>$K$865*$V$865</f>
        <v>0</v>
      </c>
      <c r="AC865" s="6">
        <f>$M$865*$W$865</f>
        <v>112619.9865</v>
      </c>
      <c r="AD865" s="6">
        <f>$O$865*$X$865</f>
        <v>341900.67660000001</v>
      </c>
      <c r="AE865" s="6">
        <f>$K$865*$Y$865</f>
        <v>0</v>
      </c>
      <c r="AF865" s="6">
        <f ca="1">$M$865*$Z$865</f>
        <v>116713.19553600468</v>
      </c>
      <c r="AG865" s="6">
        <f>$O$865*$AA$865</f>
        <v>307833.57664201112</v>
      </c>
    </row>
    <row r="866" spans="1:33" ht="11.25" customHeight="1" x14ac:dyDescent="0.25">
      <c r="A866" s="4" t="s">
        <v>21</v>
      </c>
      <c r="B866" s="4" t="s">
        <v>33</v>
      </c>
      <c r="C866" s="4" t="s">
        <v>34</v>
      </c>
      <c r="D866" s="4" t="s">
        <v>48</v>
      </c>
      <c r="E866" s="4" t="s">
        <v>25</v>
      </c>
      <c r="F866" s="4" t="s">
        <v>25</v>
      </c>
      <c r="G866" s="4" t="s">
        <v>25</v>
      </c>
      <c r="H866" s="4" t="s">
        <v>36</v>
      </c>
      <c r="I866" s="5">
        <v>43891</v>
      </c>
      <c r="J866" s="6">
        <v>0</v>
      </c>
      <c r="K866" s="6">
        <v>0</v>
      </c>
      <c r="L866" s="6">
        <v>8230.3889999999992</v>
      </c>
      <c r="M866" s="6">
        <v>8230.3889999999992</v>
      </c>
      <c r="N866" s="6">
        <v>8230.3889999999992</v>
      </c>
      <c r="O866" s="6">
        <v>8230.3889999999992</v>
      </c>
      <c r="P866" s="6">
        <v>0</v>
      </c>
      <c r="Q866" s="4" t="s">
        <v>26</v>
      </c>
      <c r="R866" s="4">
        <v>0</v>
      </c>
      <c r="S866" s="6">
        <v>0</v>
      </c>
      <c r="T866" s="6">
        <v>28</v>
      </c>
      <c r="U866" s="6">
        <v>82</v>
      </c>
      <c r="V866" s="6">
        <f>IF(ISERROR(VLOOKUP($S$866,'TAR FIN'!$A$1:$O$120,15,0)),0,VLOOKUP($S$866,'TAR FIN'!$A$1:$O$120,15,0))</f>
        <v>0</v>
      </c>
      <c r="W866" s="6">
        <f>IF(ISERROR(VLOOKUP($T$866,'TAR FIN'!$A$1:$O$120,15,0)),0,VLOOKUP($T$866,'TAR FIN'!$A$1:$O$120,15,0))</f>
        <v>84.45</v>
      </c>
      <c r="X866" s="6">
        <f>IF(ISERROR(VLOOKUP($U$866,'TAR FIN'!$A$1:$O$120,15,0)),0,VLOOKUP($U$866,'TAR FIN'!$A$1:$O$120,15,0))</f>
        <v>256.38</v>
      </c>
      <c r="Y866" s="6"/>
      <c r="Z866" s="6">
        <f ca="1">('TUSD BE'!$AM$34+'TUSD BF'!$AM$34+'TUSD CVA'!$AM$34)*1</f>
        <v>87.519361965254689</v>
      </c>
      <c r="AA866" s="6">
        <f>('TE BE'!$AA$11+'TE BF'!$AA$11+'TE CVA'!$AA$11)*1</f>
        <v>230.83420940933817</v>
      </c>
      <c r="AB866" s="6">
        <f>$K$866*$V$866</f>
        <v>0</v>
      </c>
      <c r="AC866" s="6">
        <f>$M$866*$W$866</f>
        <v>695056.35104999994</v>
      </c>
      <c r="AD866" s="6">
        <f>$O$866*$X$866</f>
        <v>2110107.1318199998</v>
      </c>
      <c r="AE866" s="6">
        <f>$K$866*$Y$866</f>
        <v>0</v>
      </c>
      <c r="AF866" s="6">
        <f ca="1">$M$866*$Z$866</f>
        <v>720318.39400585054</v>
      </c>
      <c r="AG866" s="6">
        <f>$O$866*$AA$866</f>
        <v>1899855.3379463132</v>
      </c>
    </row>
    <row r="867" spans="1:33" ht="11.25" customHeight="1" x14ac:dyDescent="0.25">
      <c r="A867" s="4" t="s">
        <v>28</v>
      </c>
      <c r="B867" s="4" t="s">
        <v>33</v>
      </c>
      <c r="C867" s="4" t="s">
        <v>34</v>
      </c>
      <c r="D867" s="4" t="s">
        <v>48</v>
      </c>
      <c r="E867" s="4" t="s">
        <v>25</v>
      </c>
      <c r="F867" s="4" t="s">
        <v>25</v>
      </c>
      <c r="G867" s="4" t="s">
        <v>25</v>
      </c>
      <c r="H867" s="4" t="s">
        <v>36</v>
      </c>
      <c r="I867" s="5">
        <v>43891</v>
      </c>
      <c r="J867" s="6">
        <v>0</v>
      </c>
      <c r="K867" s="6">
        <v>0</v>
      </c>
      <c r="L867" s="6">
        <v>1198.415</v>
      </c>
      <c r="M867" s="6">
        <v>1198.415</v>
      </c>
      <c r="N867" s="6">
        <v>1198.415</v>
      </c>
      <c r="O867" s="6">
        <v>1198.415</v>
      </c>
      <c r="P867" s="6">
        <v>0</v>
      </c>
      <c r="Q867" s="4" t="s">
        <v>26</v>
      </c>
      <c r="R867" s="4">
        <v>0</v>
      </c>
      <c r="S867" s="6">
        <v>0</v>
      </c>
      <c r="T867" s="6">
        <v>28</v>
      </c>
      <c r="U867" s="6">
        <v>82</v>
      </c>
      <c r="V867" s="6">
        <f>IF(ISERROR(VLOOKUP($S$867,'TAR FIN'!$A$1:$O$120,15,0)),0,VLOOKUP($S$867,'TAR FIN'!$A$1:$O$120,15,0))</f>
        <v>0</v>
      </c>
      <c r="W867" s="6">
        <f>IF(ISERROR(VLOOKUP($T$867,'TAR FIN'!$A$1:$O$120,15,0)),0,VLOOKUP($T$867,'TAR FIN'!$A$1:$O$120,15,0))</f>
        <v>84.45</v>
      </c>
      <c r="X867" s="6">
        <f>IF(ISERROR(VLOOKUP($U$867,'TAR FIN'!$A$1:$O$120,15,0)),0,VLOOKUP($U$867,'TAR FIN'!$A$1:$O$120,15,0))</f>
        <v>256.38</v>
      </c>
      <c r="Y867" s="6"/>
      <c r="Z867" s="6">
        <f ca="1">('TUSD BE'!$AM$34+'TUSD BF'!$AM$34+'TUSD CVA'!$AM$34)*1</f>
        <v>87.519361965254689</v>
      </c>
      <c r="AA867" s="6">
        <f>('TE BE'!$AA$11+'TE BF'!$AA$11+'TE CVA'!$AA$11)*1</f>
        <v>230.83420940933817</v>
      </c>
      <c r="AB867" s="6">
        <f>$K$867*$V$867</f>
        <v>0</v>
      </c>
      <c r="AC867" s="6">
        <f>$M$867*$W$867</f>
        <v>101206.14675</v>
      </c>
      <c r="AD867" s="6">
        <f>$O$867*$X$867</f>
        <v>307249.63769999996</v>
      </c>
      <c r="AE867" s="6">
        <f>$K$867*$Y$867</f>
        <v>0</v>
      </c>
      <c r="AF867" s="6">
        <f ca="1">$M$867*$Z$867</f>
        <v>104884.5161695907</v>
      </c>
      <c r="AG867" s="6">
        <f>$O$867*$AA$867</f>
        <v>276635.17906929197</v>
      </c>
    </row>
    <row r="868" spans="1:33" ht="11.25" customHeight="1" x14ac:dyDescent="0.25">
      <c r="A868" s="4" t="s">
        <v>21</v>
      </c>
      <c r="B868" s="4" t="s">
        <v>33</v>
      </c>
      <c r="C868" s="4" t="s">
        <v>34</v>
      </c>
      <c r="D868" s="4" t="s">
        <v>48</v>
      </c>
      <c r="E868" s="4" t="s">
        <v>25</v>
      </c>
      <c r="F868" s="4" t="s">
        <v>25</v>
      </c>
      <c r="G868" s="4" t="s">
        <v>25</v>
      </c>
      <c r="H868" s="4" t="s">
        <v>36</v>
      </c>
      <c r="I868" s="5">
        <v>43922</v>
      </c>
      <c r="J868" s="6">
        <v>0</v>
      </c>
      <c r="K868" s="6">
        <v>0</v>
      </c>
      <c r="L868" s="6">
        <v>7811.7640000000001</v>
      </c>
      <c r="M868" s="6">
        <v>7811.7640000000001</v>
      </c>
      <c r="N868" s="6">
        <v>7811.7640000000001</v>
      </c>
      <c r="O868" s="6">
        <v>7811.7640000000001</v>
      </c>
      <c r="P868" s="6">
        <v>0</v>
      </c>
      <c r="Q868" s="4" t="s">
        <v>26</v>
      </c>
      <c r="R868" s="4">
        <v>0</v>
      </c>
      <c r="S868" s="6">
        <v>0</v>
      </c>
      <c r="T868" s="6">
        <v>28</v>
      </c>
      <c r="U868" s="6">
        <v>82</v>
      </c>
      <c r="V868" s="6">
        <f>IF(ISERROR(VLOOKUP($S$868,'TAR FIN'!$A$1:$O$120,15,0)),0,VLOOKUP($S$868,'TAR FIN'!$A$1:$O$120,15,0))</f>
        <v>0</v>
      </c>
      <c r="W868" s="6">
        <f>IF(ISERROR(VLOOKUP($T$868,'TAR FIN'!$A$1:$O$120,15,0)),0,VLOOKUP($T$868,'TAR FIN'!$A$1:$O$120,15,0))</f>
        <v>84.45</v>
      </c>
      <c r="X868" s="6">
        <f>IF(ISERROR(VLOOKUP($U$868,'TAR FIN'!$A$1:$O$120,15,0)),0,VLOOKUP($U$868,'TAR FIN'!$A$1:$O$120,15,0))</f>
        <v>256.38</v>
      </c>
      <c r="Y868" s="6"/>
      <c r="Z868" s="6">
        <f ca="1">('TUSD BE'!$AM$34+'TUSD BF'!$AM$34+'TUSD CVA'!$AM$34)*1</f>
        <v>87.519361965254689</v>
      </c>
      <c r="AA868" s="6">
        <f>('TE BE'!$AA$11+'TE BF'!$AA$11+'TE CVA'!$AA$11)*1</f>
        <v>230.83420940933817</v>
      </c>
      <c r="AB868" s="6">
        <f>$K$868*$V$868</f>
        <v>0</v>
      </c>
      <c r="AC868" s="6">
        <f>$M$868*$W$868</f>
        <v>659703.46980000008</v>
      </c>
      <c r="AD868" s="6">
        <f>$O$868*$X$868</f>
        <v>2002780.0543200001</v>
      </c>
      <c r="AE868" s="6">
        <f>$K$868*$Y$868</f>
        <v>0</v>
      </c>
      <c r="AF868" s="6">
        <f ca="1">$M$868*$Z$868</f>
        <v>683680.60110314586</v>
      </c>
      <c r="AG868" s="6">
        <f>$O$868*$AA$868</f>
        <v>1803222.3670323293</v>
      </c>
    </row>
    <row r="869" spans="1:33" ht="11.25" customHeight="1" x14ac:dyDescent="0.25">
      <c r="A869" s="4" t="s">
        <v>27</v>
      </c>
      <c r="B869" s="4" t="s">
        <v>33</v>
      </c>
      <c r="C869" s="4" t="s">
        <v>34</v>
      </c>
      <c r="D869" s="4" t="s">
        <v>48</v>
      </c>
      <c r="E869" s="4" t="s">
        <v>25</v>
      </c>
      <c r="F869" s="4" t="s">
        <v>25</v>
      </c>
      <c r="G869" s="4" t="s">
        <v>25</v>
      </c>
      <c r="H869" s="4" t="s">
        <v>36</v>
      </c>
      <c r="I869" s="5">
        <v>43922</v>
      </c>
      <c r="J869" s="6">
        <v>0</v>
      </c>
      <c r="K869" s="6">
        <v>0</v>
      </c>
      <c r="L869" s="6">
        <v>41.19</v>
      </c>
      <c r="M869" s="6">
        <v>41.19</v>
      </c>
      <c r="N869" s="6">
        <v>41.19</v>
      </c>
      <c r="O869" s="6">
        <v>41.19</v>
      </c>
      <c r="P869" s="6">
        <v>0</v>
      </c>
      <c r="Q869" s="4" t="s">
        <v>26</v>
      </c>
      <c r="R869" s="4">
        <v>0</v>
      </c>
      <c r="S869" s="6">
        <v>0</v>
      </c>
      <c r="T869" s="6">
        <v>28</v>
      </c>
      <c r="U869" s="6">
        <v>82</v>
      </c>
      <c r="V869" s="6">
        <f>IF(ISERROR(VLOOKUP($S$869,'TAR FIN'!$A$1:$O$120,15,0)),0,VLOOKUP($S$869,'TAR FIN'!$A$1:$O$120,15,0))</f>
        <v>0</v>
      </c>
      <c r="W869" s="6">
        <f>IF(ISERROR(VLOOKUP($T$869,'TAR FIN'!$A$1:$O$120,15,0)),0,VLOOKUP($T$869,'TAR FIN'!$A$1:$O$120,15,0))</f>
        <v>84.45</v>
      </c>
      <c r="X869" s="6">
        <f>IF(ISERROR(VLOOKUP($U$869,'TAR FIN'!$A$1:$O$120,15,0)),0,VLOOKUP($U$869,'TAR FIN'!$A$1:$O$120,15,0))</f>
        <v>256.38</v>
      </c>
      <c r="Y869" s="6"/>
      <c r="Z869" s="6">
        <f ca="1">('TUSD BE'!$AM$34+'TUSD BF'!$AM$34+'TUSD CVA'!$AM$34)*1</f>
        <v>87.519361965254689</v>
      </c>
      <c r="AA869" s="6">
        <f>('TE BE'!$AA$11+'TE BF'!$AA$11+'TE CVA'!$AA$11)*1</f>
        <v>230.83420940933817</v>
      </c>
      <c r="AB869" s="6">
        <f>$K$869*$V$869</f>
        <v>0</v>
      </c>
      <c r="AC869" s="6">
        <f>$M$869*$W$869</f>
        <v>3478.4955</v>
      </c>
      <c r="AD869" s="6">
        <f>$O$869*$X$869</f>
        <v>10560.2922</v>
      </c>
      <c r="AE869" s="6">
        <f>$K$869*$Y$869</f>
        <v>0</v>
      </c>
      <c r="AF869" s="6">
        <f ca="1">$M$869*$Z$869</f>
        <v>3604.9225193488405</v>
      </c>
      <c r="AG869" s="6">
        <f>$O$869*$AA$869</f>
        <v>9508.0610855706382</v>
      </c>
    </row>
    <row r="870" spans="1:33" ht="11.25" customHeight="1" x14ac:dyDescent="0.25">
      <c r="A870" s="4" t="s">
        <v>28</v>
      </c>
      <c r="B870" s="4" t="s">
        <v>33</v>
      </c>
      <c r="C870" s="4" t="s">
        <v>34</v>
      </c>
      <c r="D870" s="4" t="s">
        <v>48</v>
      </c>
      <c r="E870" s="4" t="s">
        <v>25</v>
      </c>
      <c r="F870" s="4" t="s">
        <v>25</v>
      </c>
      <c r="G870" s="4" t="s">
        <v>25</v>
      </c>
      <c r="H870" s="4" t="s">
        <v>36</v>
      </c>
      <c r="I870" s="5">
        <v>43922</v>
      </c>
      <c r="J870" s="6">
        <v>0</v>
      </c>
      <c r="K870" s="6">
        <v>0</v>
      </c>
      <c r="L870" s="6">
        <v>1166.69</v>
      </c>
      <c r="M870" s="6">
        <v>1166.69</v>
      </c>
      <c r="N870" s="6">
        <v>1166.69</v>
      </c>
      <c r="O870" s="6">
        <v>1166.69</v>
      </c>
      <c r="P870" s="6">
        <v>0</v>
      </c>
      <c r="Q870" s="4" t="s">
        <v>26</v>
      </c>
      <c r="R870" s="4">
        <v>0</v>
      </c>
      <c r="S870" s="6">
        <v>0</v>
      </c>
      <c r="T870" s="6">
        <v>28</v>
      </c>
      <c r="U870" s="6">
        <v>82</v>
      </c>
      <c r="V870" s="6">
        <f>IF(ISERROR(VLOOKUP($S$870,'TAR FIN'!$A$1:$O$120,15,0)),0,VLOOKUP($S$870,'TAR FIN'!$A$1:$O$120,15,0))</f>
        <v>0</v>
      </c>
      <c r="W870" s="6">
        <f>IF(ISERROR(VLOOKUP($T$870,'TAR FIN'!$A$1:$O$120,15,0)),0,VLOOKUP($T$870,'TAR FIN'!$A$1:$O$120,15,0))</f>
        <v>84.45</v>
      </c>
      <c r="X870" s="6">
        <f>IF(ISERROR(VLOOKUP($U$870,'TAR FIN'!$A$1:$O$120,15,0)),0,VLOOKUP($U$870,'TAR FIN'!$A$1:$O$120,15,0))</f>
        <v>256.38</v>
      </c>
      <c r="Y870" s="6"/>
      <c r="Z870" s="6">
        <f ca="1">('TUSD BE'!$AM$34+'TUSD BF'!$AM$34+'TUSD CVA'!$AM$34)*1</f>
        <v>87.519361965254689</v>
      </c>
      <c r="AA870" s="6">
        <f>('TE BE'!$AA$11+'TE BF'!$AA$11+'TE CVA'!$AA$11)*1</f>
        <v>230.83420940933817</v>
      </c>
      <c r="AB870" s="6">
        <f>$K$870*$V$870</f>
        <v>0</v>
      </c>
      <c r="AC870" s="6">
        <f>$M$870*$W$870</f>
        <v>98526.97050000001</v>
      </c>
      <c r="AD870" s="6">
        <f>$O$870*$X$870</f>
        <v>299115.98220000003</v>
      </c>
      <c r="AE870" s="6">
        <f>$K$870*$Y$870</f>
        <v>0</v>
      </c>
      <c r="AF870" s="6">
        <f ca="1">$M$870*$Z$870</f>
        <v>102107.964411243</v>
      </c>
      <c r="AG870" s="6">
        <f>$O$870*$AA$870</f>
        <v>269311.96377578075</v>
      </c>
    </row>
    <row r="871" spans="1:33" ht="11.25" customHeight="1" x14ac:dyDescent="0.25">
      <c r="A871" s="4" t="s">
        <v>21</v>
      </c>
      <c r="B871" s="4" t="s">
        <v>33</v>
      </c>
      <c r="C871" s="4" t="s">
        <v>34</v>
      </c>
      <c r="D871" s="4" t="s">
        <v>48</v>
      </c>
      <c r="E871" s="4" t="s">
        <v>25</v>
      </c>
      <c r="F871" s="4" t="s">
        <v>25</v>
      </c>
      <c r="G871" s="4" t="s">
        <v>25</v>
      </c>
      <c r="H871" s="4" t="s">
        <v>36</v>
      </c>
      <c r="I871" s="5">
        <v>43952</v>
      </c>
      <c r="J871" s="6">
        <v>0</v>
      </c>
      <c r="K871" s="6">
        <v>0</v>
      </c>
      <c r="L871" s="6">
        <v>6530.6670000000004</v>
      </c>
      <c r="M871" s="6">
        <v>6530.6670000000004</v>
      </c>
      <c r="N871" s="6">
        <v>6530.6670000000004</v>
      </c>
      <c r="O871" s="6">
        <v>6530.6670000000004</v>
      </c>
      <c r="P871" s="6">
        <v>0</v>
      </c>
      <c r="Q871" s="4" t="s">
        <v>26</v>
      </c>
      <c r="R871" s="4">
        <v>0</v>
      </c>
      <c r="S871" s="6">
        <v>0</v>
      </c>
      <c r="T871" s="6">
        <v>28</v>
      </c>
      <c r="U871" s="6">
        <v>82</v>
      </c>
      <c r="V871" s="6">
        <f>IF(ISERROR(VLOOKUP($S$871,'TAR FIN'!$A$1:$O$120,15,0)),0,VLOOKUP($S$871,'TAR FIN'!$A$1:$O$120,15,0))</f>
        <v>0</v>
      </c>
      <c r="W871" s="6">
        <f>IF(ISERROR(VLOOKUP($T$871,'TAR FIN'!$A$1:$O$120,15,0)),0,VLOOKUP($T$871,'TAR FIN'!$A$1:$O$120,15,0))</f>
        <v>84.45</v>
      </c>
      <c r="X871" s="6">
        <f>IF(ISERROR(VLOOKUP($U$871,'TAR FIN'!$A$1:$O$120,15,0)),0,VLOOKUP($U$871,'TAR FIN'!$A$1:$O$120,15,0))</f>
        <v>256.38</v>
      </c>
      <c r="Y871" s="6"/>
      <c r="Z871" s="6">
        <f ca="1">('TUSD BE'!$AM$34+'TUSD BF'!$AM$34+'TUSD CVA'!$AM$34)*1</f>
        <v>87.519361965254689</v>
      </c>
      <c r="AA871" s="6">
        <f>('TE BE'!$AA$11+'TE BF'!$AA$11+'TE CVA'!$AA$11)*1</f>
        <v>230.83420940933817</v>
      </c>
      <c r="AB871" s="6">
        <f>$K$871*$V$871</f>
        <v>0</v>
      </c>
      <c r="AC871" s="6">
        <f>$M$871*$W$871</f>
        <v>551514.82815000007</v>
      </c>
      <c r="AD871" s="6">
        <f>$O$871*$X$871</f>
        <v>1674332.40546</v>
      </c>
      <c r="AE871" s="6">
        <f>$K$871*$Y$871</f>
        <v>0</v>
      </c>
      <c r="AF871" s="6">
        <f ca="1">$M$871*$Z$871</f>
        <v>571559.80904754403</v>
      </c>
      <c r="AG871" s="6">
        <f>$O$871*$AA$871</f>
        <v>1507501.3538606544</v>
      </c>
    </row>
    <row r="872" spans="1:33" ht="11.25" customHeight="1" x14ac:dyDescent="0.25">
      <c r="A872" s="4" t="s">
        <v>28</v>
      </c>
      <c r="B872" s="4" t="s">
        <v>33</v>
      </c>
      <c r="C872" s="4" t="s">
        <v>34</v>
      </c>
      <c r="D872" s="4" t="s">
        <v>48</v>
      </c>
      <c r="E872" s="4" t="s">
        <v>25</v>
      </c>
      <c r="F872" s="4" t="s">
        <v>25</v>
      </c>
      <c r="G872" s="4" t="s">
        <v>25</v>
      </c>
      <c r="H872" s="4" t="s">
        <v>36</v>
      </c>
      <c r="I872" s="5">
        <v>43952</v>
      </c>
      <c r="J872" s="6">
        <v>0</v>
      </c>
      <c r="K872" s="6">
        <v>0</v>
      </c>
      <c r="L872" s="6">
        <v>906.60699999999997</v>
      </c>
      <c r="M872" s="6">
        <v>906.60699999999997</v>
      </c>
      <c r="N872" s="6">
        <v>906.60699999999997</v>
      </c>
      <c r="O872" s="6">
        <v>906.60699999999997</v>
      </c>
      <c r="P872" s="6">
        <v>0</v>
      </c>
      <c r="Q872" s="4" t="s">
        <v>26</v>
      </c>
      <c r="R872" s="4">
        <v>0</v>
      </c>
      <c r="S872" s="6">
        <v>0</v>
      </c>
      <c r="T872" s="6">
        <v>28</v>
      </c>
      <c r="U872" s="6">
        <v>82</v>
      </c>
      <c r="V872" s="6">
        <f>IF(ISERROR(VLOOKUP($S$872,'TAR FIN'!$A$1:$O$120,15,0)),0,VLOOKUP($S$872,'TAR FIN'!$A$1:$O$120,15,0))</f>
        <v>0</v>
      </c>
      <c r="W872" s="6">
        <f>IF(ISERROR(VLOOKUP($T$872,'TAR FIN'!$A$1:$O$120,15,0)),0,VLOOKUP($T$872,'TAR FIN'!$A$1:$O$120,15,0))</f>
        <v>84.45</v>
      </c>
      <c r="X872" s="6">
        <f>IF(ISERROR(VLOOKUP($U$872,'TAR FIN'!$A$1:$O$120,15,0)),0,VLOOKUP($U$872,'TAR FIN'!$A$1:$O$120,15,0))</f>
        <v>256.38</v>
      </c>
      <c r="Y872" s="6"/>
      <c r="Z872" s="6">
        <f ca="1">('TUSD BE'!$AM$34+'TUSD BF'!$AM$34+'TUSD CVA'!$AM$34)*1</f>
        <v>87.519361965254689</v>
      </c>
      <c r="AA872" s="6">
        <f>('TE BE'!$AA$11+'TE BF'!$AA$11+'TE CVA'!$AA$11)*1</f>
        <v>230.83420940933817</v>
      </c>
      <c r="AB872" s="6">
        <f>$K$872*$V$872</f>
        <v>0</v>
      </c>
      <c r="AC872" s="6">
        <f>$M$872*$W$872</f>
        <v>76562.961150000003</v>
      </c>
      <c r="AD872" s="6">
        <f>$O$872*$X$872</f>
        <v>232435.90265999999</v>
      </c>
      <c r="AE872" s="6">
        <f>$K$872*$Y$872</f>
        <v>0</v>
      </c>
      <c r="AF872" s="6">
        <f ca="1">$M$872*$Z$872</f>
        <v>79345.666193233657</v>
      </c>
      <c r="AG872" s="6">
        <f>$O$872*$AA$872</f>
        <v>209275.91008997185</v>
      </c>
    </row>
    <row r="873" spans="1:33" ht="11.25" customHeight="1" x14ac:dyDescent="0.25">
      <c r="A873" s="4" t="s">
        <v>21</v>
      </c>
      <c r="B873" s="4" t="s">
        <v>33</v>
      </c>
      <c r="C873" s="4" t="s">
        <v>34</v>
      </c>
      <c r="D873" s="4" t="s">
        <v>48</v>
      </c>
      <c r="E873" s="4" t="s">
        <v>25</v>
      </c>
      <c r="F873" s="4" t="s">
        <v>25</v>
      </c>
      <c r="G873" s="4" t="s">
        <v>25</v>
      </c>
      <c r="H873" s="4" t="s">
        <v>36</v>
      </c>
      <c r="I873" s="5">
        <v>43983</v>
      </c>
      <c r="J873" s="6">
        <v>0</v>
      </c>
      <c r="K873" s="6">
        <v>0</v>
      </c>
      <c r="L873" s="6">
        <v>5779.0169999999998</v>
      </c>
      <c r="M873" s="6">
        <v>5779.0169999999998</v>
      </c>
      <c r="N873" s="6">
        <v>5779.0169999999998</v>
      </c>
      <c r="O873" s="6">
        <v>5779.0169999999998</v>
      </c>
      <c r="P873" s="6">
        <v>0</v>
      </c>
      <c r="Q873" s="4" t="s">
        <v>26</v>
      </c>
      <c r="R873" s="4">
        <v>0</v>
      </c>
      <c r="S873" s="6">
        <v>0</v>
      </c>
      <c r="T873" s="6">
        <v>28</v>
      </c>
      <c r="U873" s="6">
        <v>82</v>
      </c>
      <c r="V873" s="6">
        <f>IF(ISERROR(VLOOKUP($S$873,'TAR FIN'!$A$1:$O$120,15,0)),0,VLOOKUP($S$873,'TAR FIN'!$A$1:$O$120,15,0))</f>
        <v>0</v>
      </c>
      <c r="W873" s="6">
        <f>IF(ISERROR(VLOOKUP($T$873,'TAR FIN'!$A$1:$O$120,15,0)),0,VLOOKUP($T$873,'TAR FIN'!$A$1:$O$120,15,0))</f>
        <v>84.45</v>
      </c>
      <c r="X873" s="6">
        <f>IF(ISERROR(VLOOKUP($U$873,'TAR FIN'!$A$1:$O$120,15,0)),0,VLOOKUP($U$873,'TAR FIN'!$A$1:$O$120,15,0))</f>
        <v>256.38</v>
      </c>
      <c r="Y873" s="6"/>
      <c r="Z873" s="6">
        <f ca="1">('TUSD BE'!$AM$34+'TUSD BF'!$AM$34+'TUSD CVA'!$AM$34)*1</f>
        <v>87.519361965254689</v>
      </c>
      <c r="AA873" s="6">
        <f>('TE BE'!$AA$11+'TE BF'!$AA$11+'TE CVA'!$AA$11)*1</f>
        <v>230.83420940933817</v>
      </c>
      <c r="AB873" s="6">
        <f>$K$873*$V$873</f>
        <v>0</v>
      </c>
      <c r="AC873" s="6">
        <f>$M$873*$W$873</f>
        <v>488037.98564999999</v>
      </c>
      <c r="AD873" s="6">
        <f>$O$873*$X$873</f>
        <v>1481624.37846</v>
      </c>
      <c r="AE873" s="6">
        <f>$K$873*$Y$873</f>
        <v>0</v>
      </c>
      <c r="AF873" s="6">
        <f ca="1">$M$873*$Z$873</f>
        <v>505775.88062636025</v>
      </c>
      <c r="AG873" s="6">
        <f>$O$873*$AA$873</f>
        <v>1333994.8203581253</v>
      </c>
    </row>
    <row r="874" spans="1:33" ht="11.25" customHeight="1" x14ac:dyDescent="0.25">
      <c r="A874" s="4" t="s">
        <v>27</v>
      </c>
      <c r="B874" s="4" t="s">
        <v>33</v>
      </c>
      <c r="C874" s="4" t="s">
        <v>34</v>
      </c>
      <c r="D874" s="4" t="s">
        <v>48</v>
      </c>
      <c r="E874" s="4" t="s">
        <v>25</v>
      </c>
      <c r="F874" s="4" t="s">
        <v>25</v>
      </c>
      <c r="G874" s="4" t="s">
        <v>25</v>
      </c>
      <c r="H874" s="4" t="s">
        <v>36</v>
      </c>
      <c r="I874" s="5">
        <v>43983</v>
      </c>
      <c r="J874" s="6">
        <v>0</v>
      </c>
      <c r="K874" s="6">
        <v>0</v>
      </c>
      <c r="L874" s="6">
        <v>594.83100000000002</v>
      </c>
      <c r="M874" s="6">
        <v>594.83100000000002</v>
      </c>
      <c r="N874" s="6">
        <v>594.83100000000002</v>
      </c>
      <c r="O874" s="6">
        <v>594.83100000000002</v>
      </c>
      <c r="P874" s="6">
        <v>0</v>
      </c>
      <c r="Q874" s="4" t="s">
        <v>26</v>
      </c>
      <c r="R874" s="4">
        <v>0</v>
      </c>
      <c r="S874" s="6">
        <v>0</v>
      </c>
      <c r="T874" s="6">
        <v>28</v>
      </c>
      <c r="U874" s="6">
        <v>82</v>
      </c>
      <c r="V874" s="6">
        <f>IF(ISERROR(VLOOKUP($S$874,'TAR FIN'!$A$1:$O$120,15,0)),0,VLOOKUP($S$874,'TAR FIN'!$A$1:$O$120,15,0))</f>
        <v>0</v>
      </c>
      <c r="W874" s="6">
        <f>IF(ISERROR(VLOOKUP($T$874,'TAR FIN'!$A$1:$O$120,15,0)),0,VLOOKUP($T$874,'TAR FIN'!$A$1:$O$120,15,0))</f>
        <v>84.45</v>
      </c>
      <c r="X874" s="6">
        <f>IF(ISERROR(VLOOKUP($U$874,'TAR FIN'!$A$1:$O$120,15,0)),0,VLOOKUP($U$874,'TAR FIN'!$A$1:$O$120,15,0))</f>
        <v>256.38</v>
      </c>
      <c r="Y874" s="6"/>
      <c r="Z874" s="6">
        <f ca="1">('TUSD BE'!$AM$34+'TUSD BF'!$AM$34+'TUSD CVA'!$AM$34)*1</f>
        <v>87.519361965254689</v>
      </c>
      <c r="AA874" s="6">
        <f>('TE BE'!$AA$11+'TE BF'!$AA$11+'TE CVA'!$AA$11)*1</f>
        <v>230.83420940933817</v>
      </c>
      <c r="AB874" s="6">
        <f>$K$874*$V$874</f>
        <v>0</v>
      </c>
      <c r="AC874" s="6">
        <f>$M$874*$W$874</f>
        <v>50233.47795</v>
      </c>
      <c r="AD874" s="6">
        <f>$O$874*$X$874</f>
        <v>152502.77178000001</v>
      </c>
      <c r="AE874" s="6">
        <f>$K$874*$Y$874</f>
        <v>0</v>
      </c>
      <c r="AF874" s="6">
        <f ca="1">$M$874*$Z$874</f>
        <v>52059.229597154415</v>
      </c>
      <c r="AG874" s="6">
        <f>$O$874*$AA$874</f>
        <v>137307.34361716604</v>
      </c>
    </row>
    <row r="875" spans="1:33" ht="11.25" customHeight="1" x14ac:dyDescent="0.25">
      <c r="A875" s="4" t="s">
        <v>28</v>
      </c>
      <c r="B875" s="4" t="s">
        <v>33</v>
      </c>
      <c r="C875" s="4" t="s">
        <v>34</v>
      </c>
      <c r="D875" s="4" t="s">
        <v>48</v>
      </c>
      <c r="E875" s="4" t="s">
        <v>25</v>
      </c>
      <c r="F875" s="4" t="s">
        <v>25</v>
      </c>
      <c r="G875" s="4" t="s">
        <v>25</v>
      </c>
      <c r="H875" s="4" t="s">
        <v>36</v>
      </c>
      <c r="I875" s="5">
        <v>43983</v>
      </c>
      <c r="J875" s="6">
        <v>0</v>
      </c>
      <c r="K875" s="6">
        <v>0</v>
      </c>
      <c r="L875" s="6">
        <v>1311.845</v>
      </c>
      <c r="M875" s="6">
        <v>1311.845</v>
      </c>
      <c r="N875" s="6">
        <v>1311.845</v>
      </c>
      <c r="O875" s="6">
        <v>1311.845</v>
      </c>
      <c r="P875" s="6">
        <v>0</v>
      </c>
      <c r="Q875" s="4" t="s">
        <v>26</v>
      </c>
      <c r="R875" s="4">
        <v>0</v>
      </c>
      <c r="S875" s="6">
        <v>0</v>
      </c>
      <c r="T875" s="6">
        <v>28</v>
      </c>
      <c r="U875" s="6">
        <v>82</v>
      </c>
      <c r="V875" s="6">
        <f>IF(ISERROR(VLOOKUP($S$875,'TAR FIN'!$A$1:$O$120,15,0)),0,VLOOKUP($S$875,'TAR FIN'!$A$1:$O$120,15,0))</f>
        <v>0</v>
      </c>
      <c r="W875" s="6">
        <f>IF(ISERROR(VLOOKUP($T$875,'TAR FIN'!$A$1:$O$120,15,0)),0,VLOOKUP($T$875,'TAR FIN'!$A$1:$O$120,15,0))</f>
        <v>84.45</v>
      </c>
      <c r="X875" s="6">
        <f>IF(ISERROR(VLOOKUP($U$875,'TAR FIN'!$A$1:$O$120,15,0)),0,VLOOKUP($U$875,'TAR FIN'!$A$1:$O$120,15,0))</f>
        <v>256.38</v>
      </c>
      <c r="Y875" s="6"/>
      <c r="Z875" s="6">
        <f ca="1">('TUSD BE'!$AM$34+'TUSD BF'!$AM$34+'TUSD CVA'!$AM$34)*1</f>
        <v>87.519361965254689</v>
      </c>
      <c r="AA875" s="6">
        <f>('TE BE'!$AA$11+'TE BF'!$AA$11+'TE CVA'!$AA$11)*1</f>
        <v>230.83420940933817</v>
      </c>
      <c r="AB875" s="6">
        <f>$K$875*$V$875</f>
        <v>0</v>
      </c>
      <c r="AC875" s="6">
        <f>$M$875*$W$875</f>
        <v>110785.31025000001</v>
      </c>
      <c r="AD875" s="6">
        <f>$O$875*$X$875</f>
        <v>336330.8211</v>
      </c>
      <c r="AE875" s="6">
        <f>$K$875*$Y$875</f>
        <v>0</v>
      </c>
      <c r="AF875" s="6">
        <f ca="1">$M$875*$Z$875</f>
        <v>114811.83739730954</v>
      </c>
      <c r="AG875" s="6">
        <f>$O$875*$AA$875</f>
        <v>302818.70344259322</v>
      </c>
    </row>
    <row r="876" spans="1:33" ht="11.25" customHeight="1" x14ac:dyDescent="0.25">
      <c r="A876" s="4" t="s">
        <v>21</v>
      </c>
      <c r="B876" s="4" t="s">
        <v>33</v>
      </c>
      <c r="C876" s="4" t="s">
        <v>34</v>
      </c>
      <c r="D876" s="4" t="s">
        <v>48</v>
      </c>
      <c r="E876" s="4" t="s">
        <v>25</v>
      </c>
      <c r="F876" s="4" t="s">
        <v>25</v>
      </c>
      <c r="G876" s="4" t="s">
        <v>25</v>
      </c>
      <c r="H876" s="4" t="s">
        <v>36</v>
      </c>
      <c r="I876" s="5">
        <v>44013</v>
      </c>
      <c r="J876" s="6">
        <v>0</v>
      </c>
      <c r="K876" s="6">
        <v>0</v>
      </c>
      <c r="L876" s="6">
        <v>5884.9589999999998</v>
      </c>
      <c r="M876" s="6">
        <v>5884.9589999999998</v>
      </c>
      <c r="N876" s="6">
        <v>5884.9589999999998</v>
      </c>
      <c r="O876" s="6">
        <v>5884.9589999999998</v>
      </c>
      <c r="P876" s="6">
        <v>0</v>
      </c>
      <c r="Q876" s="4" t="s">
        <v>26</v>
      </c>
      <c r="R876" s="4">
        <v>0</v>
      </c>
      <c r="S876" s="6">
        <v>0</v>
      </c>
      <c r="T876" s="6">
        <v>28</v>
      </c>
      <c r="U876" s="6">
        <v>82</v>
      </c>
      <c r="V876" s="6">
        <f>IF(ISERROR(VLOOKUP($S$876,'TAR FIN'!$A$1:$O$120,15,0)),0,VLOOKUP($S$876,'TAR FIN'!$A$1:$O$120,15,0))</f>
        <v>0</v>
      </c>
      <c r="W876" s="6">
        <f>IF(ISERROR(VLOOKUP($T$876,'TAR FIN'!$A$1:$O$120,15,0)),0,VLOOKUP($T$876,'TAR FIN'!$A$1:$O$120,15,0))</f>
        <v>84.45</v>
      </c>
      <c r="X876" s="6">
        <f>IF(ISERROR(VLOOKUP($U$876,'TAR FIN'!$A$1:$O$120,15,0)),0,VLOOKUP($U$876,'TAR FIN'!$A$1:$O$120,15,0))</f>
        <v>256.38</v>
      </c>
      <c r="Y876" s="6"/>
      <c r="Z876" s="6">
        <f ca="1">('TUSD BE'!$AM$34+'TUSD BF'!$AM$34+'TUSD CVA'!$AM$34)*1</f>
        <v>87.519361965254689</v>
      </c>
      <c r="AA876" s="6">
        <f>('TE BE'!$AA$11+'TE BF'!$AA$11+'TE CVA'!$AA$11)*1</f>
        <v>230.83420940933817</v>
      </c>
      <c r="AB876" s="6">
        <f>$K$876*$V$876</f>
        <v>0</v>
      </c>
      <c r="AC876" s="6">
        <f>$M$876*$W$876</f>
        <v>496984.78755000001</v>
      </c>
      <c r="AD876" s="6">
        <f>$O$876*$X$876</f>
        <v>1508785.7884199999</v>
      </c>
      <c r="AE876" s="6">
        <f>$K$876*$Y$876</f>
        <v>0</v>
      </c>
      <c r="AF876" s="6">
        <f ca="1">$M$876*$Z$876</f>
        <v>515047.85687168327</v>
      </c>
      <c r="AG876" s="6">
        <f>$O$876*$AA$876</f>
        <v>1358449.8581713694</v>
      </c>
    </row>
    <row r="877" spans="1:33" ht="11.25" customHeight="1" x14ac:dyDescent="0.25">
      <c r="A877" s="4" t="s">
        <v>28</v>
      </c>
      <c r="B877" s="4" t="s">
        <v>33</v>
      </c>
      <c r="C877" s="4" t="s">
        <v>34</v>
      </c>
      <c r="D877" s="4" t="s">
        <v>48</v>
      </c>
      <c r="E877" s="4" t="s">
        <v>25</v>
      </c>
      <c r="F877" s="4" t="s">
        <v>25</v>
      </c>
      <c r="G877" s="4" t="s">
        <v>25</v>
      </c>
      <c r="H877" s="4" t="s">
        <v>36</v>
      </c>
      <c r="I877" s="5">
        <v>44013</v>
      </c>
      <c r="J877" s="6">
        <v>0</v>
      </c>
      <c r="K877" s="6">
        <v>0</v>
      </c>
      <c r="L877" s="6">
        <v>1035.8209999999999</v>
      </c>
      <c r="M877" s="6">
        <v>1035.8209999999999</v>
      </c>
      <c r="N877" s="6">
        <v>1035.8209999999999</v>
      </c>
      <c r="O877" s="6">
        <v>1035.8209999999999</v>
      </c>
      <c r="P877" s="6">
        <v>0</v>
      </c>
      <c r="Q877" s="4" t="s">
        <v>26</v>
      </c>
      <c r="R877" s="4">
        <v>0</v>
      </c>
      <c r="S877" s="6">
        <v>0</v>
      </c>
      <c r="T877" s="6">
        <v>28</v>
      </c>
      <c r="U877" s="6">
        <v>82</v>
      </c>
      <c r="V877" s="6">
        <f>IF(ISERROR(VLOOKUP($S$877,'TAR FIN'!$A$1:$O$120,15,0)),0,VLOOKUP($S$877,'TAR FIN'!$A$1:$O$120,15,0))</f>
        <v>0</v>
      </c>
      <c r="W877" s="6">
        <f>IF(ISERROR(VLOOKUP($T$877,'TAR FIN'!$A$1:$O$120,15,0)),0,VLOOKUP($T$877,'TAR FIN'!$A$1:$O$120,15,0))</f>
        <v>84.45</v>
      </c>
      <c r="X877" s="6">
        <f>IF(ISERROR(VLOOKUP($U$877,'TAR FIN'!$A$1:$O$120,15,0)),0,VLOOKUP($U$877,'TAR FIN'!$A$1:$O$120,15,0))</f>
        <v>256.38</v>
      </c>
      <c r="Y877" s="6"/>
      <c r="Z877" s="6">
        <f ca="1">('TUSD BE'!$AM$34+'TUSD BF'!$AM$34+'TUSD CVA'!$AM$34)*1</f>
        <v>87.519361965254689</v>
      </c>
      <c r="AA877" s="6">
        <f>('TE BE'!$AA$11+'TE BF'!$AA$11+'TE CVA'!$AA$11)*1</f>
        <v>230.83420940933817</v>
      </c>
      <c r="AB877" s="6">
        <f>$K$877*$V$877</f>
        <v>0</v>
      </c>
      <c r="AC877" s="6">
        <f>$M$877*$W$877</f>
        <v>87475.083449999991</v>
      </c>
      <c r="AD877" s="6">
        <f>$O$877*$X$877</f>
        <v>265563.78797999996</v>
      </c>
      <c r="AE877" s="6">
        <f>$K$877*$Y$877</f>
        <v>0</v>
      </c>
      <c r="AF877" s="6">
        <f ca="1">$M$877*$Z$877</f>
        <v>90654.393030212072</v>
      </c>
      <c r="AG877" s="6">
        <f>$O$877*$AA$877</f>
        <v>239102.92162459006</v>
      </c>
    </row>
    <row r="878" spans="1:33" ht="11.25" customHeight="1" x14ac:dyDescent="0.25">
      <c r="A878" s="4" t="s">
        <v>21</v>
      </c>
      <c r="B878" s="4" t="s">
        <v>33</v>
      </c>
      <c r="C878" s="4" t="s">
        <v>34</v>
      </c>
      <c r="D878" s="4" t="s">
        <v>48</v>
      </c>
      <c r="E878" s="4" t="s">
        <v>25</v>
      </c>
      <c r="F878" s="4" t="s">
        <v>25</v>
      </c>
      <c r="G878" s="4" t="s">
        <v>25</v>
      </c>
      <c r="H878" s="4" t="s">
        <v>36</v>
      </c>
      <c r="I878" s="5">
        <v>44044</v>
      </c>
      <c r="J878" s="6">
        <v>0</v>
      </c>
      <c r="K878" s="6">
        <v>0</v>
      </c>
      <c r="L878" s="6">
        <v>6119.8339999999998</v>
      </c>
      <c r="M878" s="6">
        <v>6119.8339999999998</v>
      </c>
      <c r="N878" s="6">
        <v>6119.8339999999998</v>
      </c>
      <c r="O878" s="6">
        <v>6119.8339999999998</v>
      </c>
      <c r="P878" s="6">
        <v>0</v>
      </c>
      <c r="Q878" s="4" t="s">
        <v>26</v>
      </c>
      <c r="R878" s="4">
        <v>0</v>
      </c>
      <c r="S878" s="6">
        <v>0</v>
      </c>
      <c r="T878" s="6">
        <v>28</v>
      </c>
      <c r="U878" s="6">
        <v>82</v>
      </c>
      <c r="V878" s="6">
        <f>IF(ISERROR(VLOOKUP($S$878,'TAR FIN'!$A$1:$O$120,15,0)),0,VLOOKUP($S$878,'TAR FIN'!$A$1:$O$120,15,0))</f>
        <v>0</v>
      </c>
      <c r="W878" s="6">
        <f>IF(ISERROR(VLOOKUP($T$878,'TAR FIN'!$A$1:$O$120,15,0)),0,VLOOKUP($T$878,'TAR FIN'!$A$1:$O$120,15,0))</f>
        <v>84.45</v>
      </c>
      <c r="X878" s="6">
        <f>IF(ISERROR(VLOOKUP($U$878,'TAR FIN'!$A$1:$O$120,15,0)),0,VLOOKUP($U$878,'TAR FIN'!$A$1:$O$120,15,0))</f>
        <v>256.38</v>
      </c>
      <c r="Y878" s="6"/>
      <c r="Z878" s="6">
        <f ca="1">('TUSD BE'!$AM$34+'TUSD BF'!$AM$34+'TUSD CVA'!$AM$34)*1</f>
        <v>87.519361965254689</v>
      </c>
      <c r="AA878" s="6">
        <f>('TE BE'!$AA$11+'TE BF'!$AA$11+'TE CVA'!$AA$11)*1</f>
        <v>230.83420940933817</v>
      </c>
      <c r="AB878" s="6">
        <f>$K$878*$V$878</f>
        <v>0</v>
      </c>
      <c r="AC878" s="6">
        <f>$M$878*$W$878</f>
        <v>516819.98129999998</v>
      </c>
      <c r="AD878" s="6">
        <f>$O$878*$X$878</f>
        <v>1569003.0409199998</v>
      </c>
      <c r="AE878" s="6">
        <f>$K$878*$Y$878</f>
        <v>0</v>
      </c>
      <c r="AF878" s="6">
        <f ca="1">$M$878*$Z$878</f>
        <v>535603.96701327246</v>
      </c>
      <c r="AG878" s="6">
        <f>$O$878*$AA$878</f>
        <v>1412667.0431063876</v>
      </c>
    </row>
    <row r="879" spans="1:33" ht="11.25" customHeight="1" x14ac:dyDescent="0.25">
      <c r="A879" s="4" t="s">
        <v>28</v>
      </c>
      <c r="B879" s="4" t="s">
        <v>33</v>
      </c>
      <c r="C879" s="4" t="s">
        <v>34</v>
      </c>
      <c r="D879" s="4" t="s">
        <v>48</v>
      </c>
      <c r="E879" s="4" t="s">
        <v>25</v>
      </c>
      <c r="F879" s="4" t="s">
        <v>25</v>
      </c>
      <c r="G879" s="4" t="s">
        <v>25</v>
      </c>
      <c r="H879" s="4" t="s">
        <v>36</v>
      </c>
      <c r="I879" s="5">
        <v>44044</v>
      </c>
      <c r="J879" s="6">
        <v>0</v>
      </c>
      <c r="K879" s="6">
        <v>0</v>
      </c>
      <c r="L879" s="6">
        <v>1181.6210000000001</v>
      </c>
      <c r="M879" s="6">
        <v>1181.6210000000001</v>
      </c>
      <c r="N879" s="6">
        <v>1181.6210000000001</v>
      </c>
      <c r="O879" s="6">
        <v>1181.6210000000001</v>
      </c>
      <c r="P879" s="6">
        <v>0</v>
      </c>
      <c r="Q879" s="4" t="s">
        <v>26</v>
      </c>
      <c r="R879" s="4">
        <v>0</v>
      </c>
      <c r="S879" s="6">
        <v>0</v>
      </c>
      <c r="T879" s="6">
        <v>28</v>
      </c>
      <c r="U879" s="6">
        <v>82</v>
      </c>
      <c r="V879" s="6">
        <f>IF(ISERROR(VLOOKUP($S$879,'TAR FIN'!$A$1:$O$120,15,0)),0,VLOOKUP($S$879,'TAR FIN'!$A$1:$O$120,15,0))</f>
        <v>0</v>
      </c>
      <c r="W879" s="6">
        <f>IF(ISERROR(VLOOKUP($T$879,'TAR FIN'!$A$1:$O$120,15,0)),0,VLOOKUP($T$879,'TAR FIN'!$A$1:$O$120,15,0))</f>
        <v>84.45</v>
      </c>
      <c r="X879" s="6">
        <f>IF(ISERROR(VLOOKUP($U$879,'TAR FIN'!$A$1:$O$120,15,0)),0,VLOOKUP($U$879,'TAR FIN'!$A$1:$O$120,15,0))</f>
        <v>256.38</v>
      </c>
      <c r="Y879" s="6"/>
      <c r="Z879" s="6">
        <f ca="1">('TUSD BE'!$AM$34+'TUSD BF'!$AM$34+'TUSD CVA'!$AM$34)*1</f>
        <v>87.519361965254689</v>
      </c>
      <c r="AA879" s="6">
        <f>('TE BE'!$AA$11+'TE BF'!$AA$11+'TE CVA'!$AA$11)*1</f>
        <v>230.83420940933817</v>
      </c>
      <c r="AB879" s="6">
        <f>$K$879*$V$879</f>
        <v>0</v>
      </c>
      <c r="AC879" s="6">
        <f>$M$879*$W$879</f>
        <v>99787.893450000018</v>
      </c>
      <c r="AD879" s="6">
        <f>$O$879*$X$879</f>
        <v>302943.99197999999</v>
      </c>
      <c r="AE879" s="6">
        <f>$K$879*$Y$879</f>
        <v>0</v>
      </c>
      <c r="AF879" s="6">
        <f ca="1">$M$879*$Z$879</f>
        <v>103414.71600474622</v>
      </c>
      <c r="AG879" s="6">
        <f>$O$879*$AA$879</f>
        <v>272758.54935647163</v>
      </c>
    </row>
    <row r="880" spans="1:33" ht="11.25" customHeight="1" x14ac:dyDescent="0.25">
      <c r="A880" s="4" t="s">
        <v>59</v>
      </c>
      <c r="B880" s="4" t="s">
        <v>33</v>
      </c>
      <c r="C880" s="4" t="s">
        <v>34</v>
      </c>
      <c r="D880" s="4" t="s">
        <v>48</v>
      </c>
      <c r="E880" s="4" t="s">
        <v>25</v>
      </c>
      <c r="F880" s="4" t="s">
        <v>25</v>
      </c>
      <c r="G880" s="4" t="s">
        <v>25</v>
      </c>
      <c r="H880" s="4" t="s">
        <v>36</v>
      </c>
      <c r="I880" s="5">
        <v>44075</v>
      </c>
      <c r="J880" s="6">
        <v>0</v>
      </c>
      <c r="K880" s="6">
        <v>0</v>
      </c>
      <c r="L880" s="6">
        <v>6119.8339999999998</v>
      </c>
      <c r="M880" s="6">
        <v>6119.8339999999998</v>
      </c>
      <c r="N880" s="6">
        <v>6119.8339999999998</v>
      </c>
      <c r="O880" s="6">
        <v>6119.8339999999998</v>
      </c>
      <c r="P880" s="6">
        <v>0</v>
      </c>
      <c r="Q880" s="4" t="s">
        <v>26</v>
      </c>
      <c r="R880" s="4">
        <v>0</v>
      </c>
      <c r="S880" s="6">
        <v>0</v>
      </c>
      <c r="T880" s="6">
        <v>28</v>
      </c>
      <c r="U880" s="6">
        <v>82</v>
      </c>
      <c r="V880" s="6">
        <f>IF(ISERROR(VLOOKUP($S$880,'TAR FIN'!$A$1:$O$120,15,0)),0,VLOOKUP($S$880,'TAR FIN'!$A$1:$O$120,15,0))</f>
        <v>0</v>
      </c>
      <c r="W880" s="6">
        <f>IF(ISERROR(VLOOKUP($T$880,'TAR FIN'!$A$1:$O$120,15,0)),0,VLOOKUP($T$880,'TAR FIN'!$A$1:$O$120,15,0))</f>
        <v>84.45</v>
      </c>
      <c r="X880" s="6">
        <f>IF(ISERROR(VLOOKUP($U$880,'TAR FIN'!$A$1:$O$120,15,0)),0,VLOOKUP($U$880,'TAR FIN'!$A$1:$O$120,15,0))</f>
        <v>256.38</v>
      </c>
      <c r="Y880" s="6"/>
      <c r="Z880" s="6">
        <f ca="1">('TUSD BE'!$AM$34+'TUSD BF'!$AM$34+'TUSD CVA'!$AM$34)*1</f>
        <v>87.519361965254689</v>
      </c>
      <c r="AA880" s="6">
        <f>('TE BE'!$AA$11+'TE BF'!$AA$11+'TE CVA'!$AA$11)*1</f>
        <v>230.83420940933817</v>
      </c>
      <c r="AB880" s="6">
        <f>$K$880*$V$880</f>
        <v>0</v>
      </c>
      <c r="AC880" s="6">
        <f>$M$880*$W$880</f>
        <v>516819.98129999998</v>
      </c>
      <c r="AD880" s="6">
        <f>$O$880*$X$880</f>
        <v>1569003.0409199998</v>
      </c>
      <c r="AE880" s="6">
        <f>$K$880*$Y$880</f>
        <v>0</v>
      </c>
      <c r="AF880" s="6">
        <f ca="1">$M$880*$Z$880</f>
        <v>535603.96701327246</v>
      </c>
      <c r="AG880" s="6">
        <f>$O$880*$AA$880</f>
        <v>1412667.0431063876</v>
      </c>
    </row>
    <row r="881" spans="1:33" ht="11.25" customHeight="1" x14ac:dyDescent="0.25">
      <c r="A881" s="4" t="s">
        <v>59</v>
      </c>
      <c r="B881" s="4" t="s">
        <v>33</v>
      </c>
      <c r="C881" s="4" t="s">
        <v>34</v>
      </c>
      <c r="D881" s="4" t="s">
        <v>48</v>
      </c>
      <c r="E881" s="4" t="s">
        <v>25</v>
      </c>
      <c r="F881" s="4" t="s">
        <v>25</v>
      </c>
      <c r="G881" s="4" t="s">
        <v>25</v>
      </c>
      <c r="H881" s="4" t="s">
        <v>36</v>
      </c>
      <c r="I881" s="5">
        <v>44075</v>
      </c>
      <c r="J881" s="6">
        <v>0</v>
      </c>
      <c r="K881" s="6">
        <v>0</v>
      </c>
      <c r="L881" s="6">
        <v>1181.6210000000001</v>
      </c>
      <c r="M881" s="6">
        <v>1181.6210000000001</v>
      </c>
      <c r="N881" s="6">
        <v>1181.6210000000001</v>
      </c>
      <c r="O881" s="6">
        <v>1181.6210000000001</v>
      </c>
      <c r="P881" s="6">
        <v>0</v>
      </c>
      <c r="Q881" s="4" t="s">
        <v>26</v>
      </c>
      <c r="R881" s="4">
        <v>0</v>
      </c>
      <c r="S881" s="6">
        <v>0</v>
      </c>
      <c r="T881" s="6">
        <v>28</v>
      </c>
      <c r="U881" s="6">
        <v>82</v>
      </c>
      <c r="V881" s="6">
        <f>IF(ISERROR(VLOOKUP($S$881,'TAR FIN'!$A$1:$O$120,15,0)),0,VLOOKUP($S$881,'TAR FIN'!$A$1:$O$120,15,0))</f>
        <v>0</v>
      </c>
      <c r="W881" s="6">
        <f>IF(ISERROR(VLOOKUP($T$881,'TAR FIN'!$A$1:$O$120,15,0)),0,VLOOKUP($T$881,'TAR FIN'!$A$1:$O$120,15,0))</f>
        <v>84.45</v>
      </c>
      <c r="X881" s="6">
        <f>IF(ISERROR(VLOOKUP($U$881,'TAR FIN'!$A$1:$O$120,15,0)),0,VLOOKUP($U$881,'TAR FIN'!$A$1:$O$120,15,0))</f>
        <v>256.38</v>
      </c>
      <c r="Y881" s="6"/>
      <c r="Z881" s="6">
        <f ca="1">('TUSD BE'!$AM$34+'TUSD BF'!$AM$34+'TUSD CVA'!$AM$34)*1</f>
        <v>87.519361965254689</v>
      </c>
      <c r="AA881" s="6">
        <f>('TE BE'!$AA$11+'TE BF'!$AA$11+'TE CVA'!$AA$11)*1</f>
        <v>230.83420940933817</v>
      </c>
      <c r="AB881" s="6">
        <f>$K$881*$V$881</f>
        <v>0</v>
      </c>
      <c r="AC881" s="6">
        <f>$M$881*$W$881</f>
        <v>99787.893450000018</v>
      </c>
      <c r="AD881" s="6">
        <f>$O$881*$X$881</f>
        <v>302943.99197999999</v>
      </c>
      <c r="AE881" s="6">
        <f>$K$881*$Y$881</f>
        <v>0</v>
      </c>
      <c r="AF881" s="6">
        <f ca="1">$M$881*$Z$881</f>
        <v>103414.71600474622</v>
      </c>
      <c r="AG881" s="6">
        <f>$O$881*$AA$881</f>
        <v>272758.54935647163</v>
      </c>
    </row>
    <row r="882" spans="1:33" ht="11.25" customHeight="1" x14ac:dyDescent="0.25">
      <c r="A882" s="4" t="s">
        <v>21</v>
      </c>
      <c r="B882" s="4" t="s">
        <v>33</v>
      </c>
      <c r="C882" s="4" t="s">
        <v>34</v>
      </c>
      <c r="D882" s="4" t="s">
        <v>48</v>
      </c>
      <c r="E882" s="4" t="s">
        <v>25</v>
      </c>
      <c r="F882" s="4" t="s">
        <v>25</v>
      </c>
      <c r="G882" s="4" t="s">
        <v>25</v>
      </c>
      <c r="H882" s="4" t="s">
        <v>25</v>
      </c>
      <c r="I882" s="5">
        <v>43739</v>
      </c>
      <c r="J882" s="6">
        <v>51795</v>
      </c>
      <c r="K882" s="6">
        <v>51795</v>
      </c>
      <c r="L882" s="6">
        <v>0</v>
      </c>
      <c r="M882" s="6">
        <v>0</v>
      </c>
      <c r="N882" s="6">
        <v>0</v>
      </c>
      <c r="O882" s="6">
        <v>0</v>
      </c>
      <c r="P882" s="6">
        <v>287</v>
      </c>
      <c r="Q882" s="4" t="s">
        <v>26</v>
      </c>
      <c r="R882" s="4">
        <v>0</v>
      </c>
      <c r="S882" s="6">
        <v>26</v>
      </c>
      <c r="T882" s="6">
        <v>0</v>
      </c>
      <c r="U882" s="6">
        <v>0</v>
      </c>
      <c r="V882" s="6">
        <f>IF(ISERROR(VLOOKUP($S$882,'TAR FIN'!$A$1:$O$120,15,0)),0,VLOOKUP($S$882,'TAR FIN'!$A$1:$O$120,15,0))</f>
        <v>8.81</v>
      </c>
      <c r="W882" s="6">
        <f>IF(ISERROR(VLOOKUP($T$882,'TAR FIN'!$A$1:$O$120,15,0)),0,VLOOKUP($T$882,'TAR FIN'!$A$1:$O$120,15,0))</f>
        <v>0</v>
      </c>
      <c r="X882" s="6">
        <f>IF(ISERROR(VLOOKUP($U$882,'TAR FIN'!$A$1:$O$120,15,0)),0,VLOOKUP($U$882,'TAR FIN'!$A$1:$O$120,15,0))</f>
        <v>0</v>
      </c>
      <c r="Y882" s="6">
        <f ca="1">('TUSD BE'!$AM$32+'TUSD BF'!$AM$32+'TUSD CVA'!$AM$32)*1</f>
        <v>11.452356648653195</v>
      </c>
      <c r="Z882" s="6"/>
      <c r="AA882" s="6"/>
      <c r="AB882" s="6">
        <f>$K$882*$V$882</f>
        <v>456313.95</v>
      </c>
      <c r="AC882" s="6">
        <f>$M$882*$W$882</f>
        <v>0</v>
      </c>
      <c r="AD882" s="6">
        <f>$O$882*$X$882</f>
        <v>0</v>
      </c>
      <c r="AE882" s="6">
        <f ca="1">$K$882*$Y$882</f>
        <v>593174.81261699228</v>
      </c>
      <c r="AF882" s="6">
        <f>$M$882*$Z$882</f>
        <v>0</v>
      </c>
      <c r="AG882" s="6">
        <f>$O$882*$AA$882</f>
        <v>0</v>
      </c>
    </row>
    <row r="883" spans="1:33" ht="11.25" customHeight="1" x14ac:dyDescent="0.25">
      <c r="A883" s="4" t="s">
        <v>28</v>
      </c>
      <c r="B883" s="4" t="s">
        <v>33</v>
      </c>
      <c r="C883" s="4" t="s">
        <v>34</v>
      </c>
      <c r="D883" s="4" t="s">
        <v>48</v>
      </c>
      <c r="E883" s="4" t="s">
        <v>25</v>
      </c>
      <c r="F883" s="4" t="s">
        <v>25</v>
      </c>
      <c r="G883" s="4" t="s">
        <v>25</v>
      </c>
      <c r="H883" s="4" t="s">
        <v>25</v>
      </c>
      <c r="I883" s="5">
        <v>43739</v>
      </c>
      <c r="J883" s="6">
        <v>7153</v>
      </c>
      <c r="K883" s="6">
        <v>7153</v>
      </c>
      <c r="L883" s="6">
        <v>0</v>
      </c>
      <c r="M883" s="6">
        <v>0</v>
      </c>
      <c r="N883" s="6">
        <v>0</v>
      </c>
      <c r="O883" s="6">
        <v>0</v>
      </c>
      <c r="P883" s="6">
        <v>11</v>
      </c>
      <c r="Q883" s="4" t="s">
        <v>26</v>
      </c>
      <c r="R883" s="4">
        <v>0</v>
      </c>
      <c r="S883" s="6">
        <v>26</v>
      </c>
      <c r="T883" s="6">
        <v>0</v>
      </c>
      <c r="U883" s="6">
        <v>0</v>
      </c>
      <c r="V883" s="6">
        <f>IF(ISERROR(VLOOKUP($S$883,'TAR FIN'!$A$1:$O$120,15,0)),0,VLOOKUP($S$883,'TAR FIN'!$A$1:$O$120,15,0))</f>
        <v>8.81</v>
      </c>
      <c r="W883" s="6">
        <f>IF(ISERROR(VLOOKUP($T$883,'TAR FIN'!$A$1:$O$120,15,0)),0,VLOOKUP($T$883,'TAR FIN'!$A$1:$O$120,15,0))</f>
        <v>0</v>
      </c>
      <c r="X883" s="6">
        <f>IF(ISERROR(VLOOKUP($U$883,'TAR FIN'!$A$1:$O$120,15,0)),0,VLOOKUP($U$883,'TAR FIN'!$A$1:$O$120,15,0))</f>
        <v>0</v>
      </c>
      <c r="Y883" s="6">
        <f ca="1">('TUSD BE'!$AM$32+'TUSD BF'!$AM$32+'TUSD CVA'!$AM$32)*1</f>
        <v>11.452356648653195</v>
      </c>
      <c r="Z883" s="6"/>
      <c r="AA883" s="6"/>
      <c r="AB883" s="6">
        <f>$K$883*$V$883</f>
        <v>63017.93</v>
      </c>
      <c r="AC883" s="6">
        <f>$M$883*$W$883</f>
        <v>0</v>
      </c>
      <c r="AD883" s="6">
        <f>$O$883*$X$883</f>
        <v>0</v>
      </c>
      <c r="AE883" s="6">
        <f ca="1">$K$883*$Y$883</f>
        <v>81918.707107816299</v>
      </c>
      <c r="AF883" s="6">
        <f>$M$883*$Z$883</f>
        <v>0</v>
      </c>
      <c r="AG883" s="6">
        <f>$O$883*$AA$883</f>
        <v>0</v>
      </c>
    </row>
    <row r="884" spans="1:33" ht="11.25" customHeight="1" x14ac:dyDescent="0.25">
      <c r="A884" s="4" t="s">
        <v>21</v>
      </c>
      <c r="B884" s="4" t="s">
        <v>33</v>
      </c>
      <c r="C884" s="4" t="s">
        <v>34</v>
      </c>
      <c r="D884" s="4" t="s">
        <v>48</v>
      </c>
      <c r="E884" s="4" t="s">
        <v>25</v>
      </c>
      <c r="F884" s="4" t="s">
        <v>25</v>
      </c>
      <c r="G884" s="4" t="s">
        <v>25</v>
      </c>
      <c r="H884" s="4" t="s">
        <v>25</v>
      </c>
      <c r="I884" s="5">
        <v>43770</v>
      </c>
      <c r="J884" s="6">
        <v>51294</v>
      </c>
      <c r="K884" s="6">
        <v>51294</v>
      </c>
      <c r="L884" s="6">
        <v>0</v>
      </c>
      <c r="M884" s="6">
        <v>0</v>
      </c>
      <c r="N884" s="6">
        <v>0</v>
      </c>
      <c r="O884" s="6">
        <v>0</v>
      </c>
      <c r="P884" s="6">
        <v>284</v>
      </c>
      <c r="Q884" s="4" t="s">
        <v>26</v>
      </c>
      <c r="R884" s="4">
        <v>0</v>
      </c>
      <c r="S884" s="6">
        <v>26</v>
      </c>
      <c r="T884" s="6">
        <v>0</v>
      </c>
      <c r="U884" s="6">
        <v>0</v>
      </c>
      <c r="V884" s="6">
        <f>IF(ISERROR(VLOOKUP($S$884,'TAR FIN'!$A$1:$O$120,15,0)),0,VLOOKUP($S$884,'TAR FIN'!$A$1:$O$120,15,0))</f>
        <v>8.81</v>
      </c>
      <c r="W884" s="6">
        <f>IF(ISERROR(VLOOKUP($T$884,'TAR FIN'!$A$1:$O$120,15,0)),0,VLOOKUP($T$884,'TAR FIN'!$A$1:$O$120,15,0))</f>
        <v>0</v>
      </c>
      <c r="X884" s="6">
        <f>IF(ISERROR(VLOOKUP($U$884,'TAR FIN'!$A$1:$O$120,15,0)),0,VLOOKUP($U$884,'TAR FIN'!$A$1:$O$120,15,0))</f>
        <v>0</v>
      </c>
      <c r="Y884" s="6">
        <f ca="1">('TUSD BE'!$AM$32+'TUSD BF'!$AM$32+'TUSD CVA'!$AM$32)*1</f>
        <v>11.452356648653195</v>
      </c>
      <c r="Z884" s="6"/>
      <c r="AA884" s="6"/>
      <c r="AB884" s="6">
        <f>$K$884*$V$884</f>
        <v>451900.14</v>
      </c>
      <c r="AC884" s="6">
        <f>$M$884*$W$884</f>
        <v>0</v>
      </c>
      <c r="AD884" s="6">
        <f>$O$884*$X$884</f>
        <v>0</v>
      </c>
      <c r="AE884" s="6">
        <f ca="1">$K$884*$Y$884</f>
        <v>587437.181936017</v>
      </c>
      <c r="AF884" s="6">
        <f>$M$884*$Z$884</f>
        <v>0</v>
      </c>
      <c r="AG884" s="6">
        <f>$O$884*$AA$884</f>
        <v>0</v>
      </c>
    </row>
    <row r="885" spans="1:33" ht="11.25" customHeight="1" x14ac:dyDescent="0.25">
      <c r="A885" s="4" t="s">
        <v>28</v>
      </c>
      <c r="B885" s="4" t="s">
        <v>33</v>
      </c>
      <c r="C885" s="4" t="s">
        <v>34</v>
      </c>
      <c r="D885" s="4" t="s">
        <v>48</v>
      </c>
      <c r="E885" s="4" t="s">
        <v>25</v>
      </c>
      <c r="F885" s="4" t="s">
        <v>25</v>
      </c>
      <c r="G885" s="4" t="s">
        <v>25</v>
      </c>
      <c r="H885" s="4" t="s">
        <v>25</v>
      </c>
      <c r="I885" s="5">
        <v>43770</v>
      </c>
      <c r="J885" s="6">
        <v>7153</v>
      </c>
      <c r="K885" s="6">
        <v>7153</v>
      </c>
      <c r="L885" s="6">
        <v>0</v>
      </c>
      <c r="M885" s="6">
        <v>0</v>
      </c>
      <c r="N885" s="6">
        <v>0</v>
      </c>
      <c r="O885" s="6">
        <v>0</v>
      </c>
      <c r="P885" s="6">
        <v>11</v>
      </c>
      <c r="Q885" s="4" t="s">
        <v>26</v>
      </c>
      <c r="R885" s="4">
        <v>0</v>
      </c>
      <c r="S885" s="6">
        <v>26</v>
      </c>
      <c r="T885" s="6">
        <v>0</v>
      </c>
      <c r="U885" s="6">
        <v>0</v>
      </c>
      <c r="V885" s="6">
        <f>IF(ISERROR(VLOOKUP($S$885,'TAR FIN'!$A$1:$O$120,15,0)),0,VLOOKUP($S$885,'TAR FIN'!$A$1:$O$120,15,0))</f>
        <v>8.81</v>
      </c>
      <c r="W885" s="6">
        <f>IF(ISERROR(VLOOKUP($T$885,'TAR FIN'!$A$1:$O$120,15,0)),0,VLOOKUP($T$885,'TAR FIN'!$A$1:$O$120,15,0))</f>
        <v>0</v>
      </c>
      <c r="X885" s="6">
        <f>IF(ISERROR(VLOOKUP($U$885,'TAR FIN'!$A$1:$O$120,15,0)),0,VLOOKUP($U$885,'TAR FIN'!$A$1:$O$120,15,0))</f>
        <v>0</v>
      </c>
      <c r="Y885" s="6">
        <f ca="1">('TUSD BE'!$AM$32+'TUSD BF'!$AM$32+'TUSD CVA'!$AM$32)*1</f>
        <v>11.452356648653195</v>
      </c>
      <c r="Z885" s="6"/>
      <c r="AA885" s="6"/>
      <c r="AB885" s="6">
        <f>$K$885*$V$885</f>
        <v>63017.93</v>
      </c>
      <c r="AC885" s="6">
        <f>$M$885*$W$885</f>
        <v>0</v>
      </c>
      <c r="AD885" s="6">
        <f>$O$885*$X$885</f>
        <v>0</v>
      </c>
      <c r="AE885" s="6">
        <f ca="1">$K$885*$Y$885</f>
        <v>81918.707107816299</v>
      </c>
      <c r="AF885" s="6">
        <f>$M$885*$Z$885</f>
        <v>0</v>
      </c>
      <c r="AG885" s="6">
        <f>$O$885*$AA$885</f>
        <v>0</v>
      </c>
    </row>
    <row r="886" spans="1:33" ht="11.25" customHeight="1" x14ac:dyDescent="0.25">
      <c r="A886" s="4" t="s">
        <v>21</v>
      </c>
      <c r="B886" s="4" t="s">
        <v>33</v>
      </c>
      <c r="C886" s="4" t="s">
        <v>34</v>
      </c>
      <c r="D886" s="4" t="s">
        <v>48</v>
      </c>
      <c r="E886" s="4" t="s">
        <v>25</v>
      </c>
      <c r="F886" s="4" t="s">
        <v>25</v>
      </c>
      <c r="G886" s="4" t="s">
        <v>25</v>
      </c>
      <c r="H886" s="4" t="s">
        <v>25</v>
      </c>
      <c r="I886" s="5">
        <v>43800</v>
      </c>
      <c r="J886" s="6">
        <v>51961</v>
      </c>
      <c r="K886" s="6">
        <v>51961</v>
      </c>
      <c r="L886" s="6">
        <v>0</v>
      </c>
      <c r="M886" s="6">
        <v>0</v>
      </c>
      <c r="N886" s="6">
        <v>0</v>
      </c>
      <c r="O886" s="6">
        <v>0</v>
      </c>
      <c r="P886" s="6">
        <v>285</v>
      </c>
      <c r="Q886" s="4" t="s">
        <v>26</v>
      </c>
      <c r="R886" s="4">
        <v>0</v>
      </c>
      <c r="S886" s="6">
        <v>26</v>
      </c>
      <c r="T886" s="6">
        <v>0</v>
      </c>
      <c r="U886" s="6">
        <v>0</v>
      </c>
      <c r="V886" s="6">
        <f>IF(ISERROR(VLOOKUP($S$886,'TAR FIN'!$A$1:$O$120,15,0)),0,VLOOKUP($S$886,'TAR FIN'!$A$1:$O$120,15,0))</f>
        <v>8.81</v>
      </c>
      <c r="W886" s="6">
        <f>IF(ISERROR(VLOOKUP($T$886,'TAR FIN'!$A$1:$O$120,15,0)),0,VLOOKUP($T$886,'TAR FIN'!$A$1:$O$120,15,0))</f>
        <v>0</v>
      </c>
      <c r="X886" s="6">
        <f>IF(ISERROR(VLOOKUP($U$886,'TAR FIN'!$A$1:$O$120,15,0)),0,VLOOKUP($U$886,'TAR FIN'!$A$1:$O$120,15,0))</f>
        <v>0</v>
      </c>
      <c r="Y886" s="6">
        <f ca="1">('TUSD BE'!$AM$32+'TUSD BF'!$AM$32+'TUSD CVA'!$AM$32)*1</f>
        <v>11.452356648653195</v>
      </c>
      <c r="Z886" s="6"/>
      <c r="AA886" s="6"/>
      <c r="AB886" s="6">
        <f>$K$886*$V$886</f>
        <v>457776.41000000003</v>
      </c>
      <c r="AC886" s="6">
        <f>$M$886*$W$886</f>
        <v>0</v>
      </c>
      <c r="AD886" s="6">
        <f>$O$886*$X$886</f>
        <v>0</v>
      </c>
      <c r="AE886" s="6">
        <f ca="1">$K$886*$Y$886</f>
        <v>595075.9038206687</v>
      </c>
      <c r="AF886" s="6">
        <f>$M$886*$Z$886</f>
        <v>0</v>
      </c>
      <c r="AG886" s="6">
        <f>$O$886*$AA$886</f>
        <v>0</v>
      </c>
    </row>
    <row r="887" spans="1:33" ht="11.25" customHeight="1" x14ac:dyDescent="0.25">
      <c r="A887" s="4" t="s">
        <v>28</v>
      </c>
      <c r="B887" s="4" t="s">
        <v>33</v>
      </c>
      <c r="C887" s="4" t="s">
        <v>34</v>
      </c>
      <c r="D887" s="4" t="s">
        <v>48</v>
      </c>
      <c r="E887" s="4" t="s">
        <v>25</v>
      </c>
      <c r="F887" s="4" t="s">
        <v>25</v>
      </c>
      <c r="G887" s="4" t="s">
        <v>25</v>
      </c>
      <c r="H887" s="4" t="s">
        <v>25</v>
      </c>
      <c r="I887" s="5">
        <v>43800</v>
      </c>
      <c r="J887" s="6">
        <v>7153</v>
      </c>
      <c r="K887" s="6">
        <v>7153</v>
      </c>
      <c r="L887" s="6">
        <v>0</v>
      </c>
      <c r="M887" s="6">
        <v>0</v>
      </c>
      <c r="N887" s="6">
        <v>0</v>
      </c>
      <c r="O887" s="6">
        <v>0</v>
      </c>
      <c r="P887" s="6">
        <v>11</v>
      </c>
      <c r="Q887" s="4" t="s">
        <v>26</v>
      </c>
      <c r="R887" s="4">
        <v>0</v>
      </c>
      <c r="S887" s="6">
        <v>26</v>
      </c>
      <c r="T887" s="6">
        <v>0</v>
      </c>
      <c r="U887" s="6">
        <v>0</v>
      </c>
      <c r="V887" s="6">
        <f>IF(ISERROR(VLOOKUP($S$887,'TAR FIN'!$A$1:$O$120,15,0)),0,VLOOKUP($S$887,'TAR FIN'!$A$1:$O$120,15,0))</f>
        <v>8.81</v>
      </c>
      <c r="W887" s="6">
        <f>IF(ISERROR(VLOOKUP($T$887,'TAR FIN'!$A$1:$O$120,15,0)),0,VLOOKUP($T$887,'TAR FIN'!$A$1:$O$120,15,0))</f>
        <v>0</v>
      </c>
      <c r="X887" s="6">
        <f>IF(ISERROR(VLOOKUP($U$887,'TAR FIN'!$A$1:$O$120,15,0)),0,VLOOKUP($U$887,'TAR FIN'!$A$1:$O$120,15,0))</f>
        <v>0</v>
      </c>
      <c r="Y887" s="6">
        <f ca="1">('TUSD BE'!$AM$32+'TUSD BF'!$AM$32+'TUSD CVA'!$AM$32)*1</f>
        <v>11.452356648653195</v>
      </c>
      <c r="Z887" s="6"/>
      <c r="AA887" s="6"/>
      <c r="AB887" s="6">
        <f>$K$887*$V$887</f>
        <v>63017.93</v>
      </c>
      <c r="AC887" s="6">
        <f>$M$887*$W$887</f>
        <v>0</v>
      </c>
      <c r="AD887" s="6">
        <f>$O$887*$X$887</f>
        <v>0</v>
      </c>
      <c r="AE887" s="6">
        <f ca="1">$K$887*$Y$887</f>
        <v>81918.707107816299</v>
      </c>
      <c r="AF887" s="6">
        <f>$M$887*$Z$887</f>
        <v>0</v>
      </c>
      <c r="AG887" s="6">
        <f>$O$887*$AA$887</f>
        <v>0</v>
      </c>
    </row>
    <row r="888" spans="1:33" ht="11.25" customHeight="1" x14ac:dyDescent="0.25">
      <c r="A888" s="4" t="s">
        <v>21</v>
      </c>
      <c r="B888" s="4" t="s">
        <v>33</v>
      </c>
      <c r="C888" s="4" t="s">
        <v>34</v>
      </c>
      <c r="D888" s="4" t="s">
        <v>48</v>
      </c>
      <c r="E888" s="4" t="s">
        <v>25</v>
      </c>
      <c r="F888" s="4" t="s">
        <v>25</v>
      </c>
      <c r="G888" s="4" t="s">
        <v>25</v>
      </c>
      <c r="H888" s="4" t="s">
        <v>25</v>
      </c>
      <c r="I888" s="5">
        <v>43831</v>
      </c>
      <c r="J888" s="6">
        <v>50338</v>
      </c>
      <c r="K888" s="6">
        <v>50338</v>
      </c>
      <c r="L888" s="6">
        <v>0</v>
      </c>
      <c r="M888" s="6">
        <v>0</v>
      </c>
      <c r="N888" s="6">
        <v>0</v>
      </c>
      <c r="O888" s="6">
        <v>0</v>
      </c>
      <c r="P888" s="6">
        <v>288</v>
      </c>
      <c r="Q888" s="4" t="s">
        <v>26</v>
      </c>
      <c r="R888" s="4">
        <v>0</v>
      </c>
      <c r="S888" s="6">
        <v>26</v>
      </c>
      <c r="T888" s="6">
        <v>0</v>
      </c>
      <c r="U888" s="6">
        <v>0</v>
      </c>
      <c r="V888" s="6">
        <f>IF(ISERROR(VLOOKUP($S$888,'TAR FIN'!$A$1:$O$120,15,0)),0,VLOOKUP($S$888,'TAR FIN'!$A$1:$O$120,15,0))</f>
        <v>8.81</v>
      </c>
      <c r="W888" s="6">
        <f>IF(ISERROR(VLOOKUP($T$888,'TAR FIN'!$A$1:$O$120,15,0)),0,VLOOKUP($T$888,'TAR FIN'!$A$1:$O$120,15,0))</f>
        <v>0</v>
      </c>
      <c r="X888" s="6">
        <f>IF(ISERROR(VLOOKUP($U$888,'TAR FIN'!$A$1:$O$120,15,0)),0,VLOOKUP($U$888,'TAR FIN'!$A$1:$O$120,15,0))</f>
        <v>0</v>
      </c>
      <c r="Y888" s="6">
        <f ca="1">('TUSD BE'!$AM$32+'TUSD BF'!$AM$32+'TUSD CVA'!$AM$32)*1</f>
        <v>11.452356648653195</v>
      </c>
      <c r="Z888" s="6"/>
      <c r="AA888" s="6"/>
      <c r="AB888" s="6">
        <f>$K$888*$V$888</f>
        <v>443477.78</v>
      </c>
      <c r="AC888" s="6">
        <f>$M$888*$W$888</f>
        <v>0</v>
      </c>
      <c r="AD888" s="6">
        <f>$O$888*$X$888</f>
        <v>0</v>
      </c>
      <c r="AE888" s="6">
        <f ca="1">$K$888*$Y$888</f>
        <v>576488.72897990455</v>
      </c>
      <c r="AF888" s="6">
        <f>$M$888*$Z$888</f>
        <v>0</v>
      </c>
      <c r="AG888" s="6">
        <f>$O$888*$AA$888</f>
        <v>0</v>
      </c>
    </row>
    <row r="889" spans="1:33" ht="11.25" customHeight="1" x14ac:dyDescent="0.25">
      <c r="A889" s="4" t="s">
        <v>28</v>
      </c>
      <c r="B889" s="4" t="s">
        <v>33</v>
      </c>
      <c r="C889" s="4" t="s">
        <v>34</v>
      </c>
      <c r="D889" s="4" t="s">
        <v>48</v>
      </c>
      <c r="E889" s="4" t="s">
        <v>25</v>
      </c>
      <c r="F889" s="4" t="s">
        <v>25</v>
      </c>
      <c r="G889" s="4" t="s">
        <v>25</v>
      </c>
      <c r="H889" s="4" t="s">
        <v>25</v>
      </c>
      <c r="I889" s="5">
        <v>43831</v>
      </c>
      <c r="J889" s="6">
        <v>7153</v>
      </c>
      <c r="K889" s="6">
        <v>7153</v>
      </c>
      <c r="L889" s="6">
        <v>0</v>
      </c>
      <c r="M889" s="6">
        <v>0</v>
      </c>
      <c r="N889" s="6">
        <v>0</v>
      </c>
      <c r="O889" s="6">
        <v>0</v>
      </c>
      <c r="P889" s="6">
        <v>11</v>
      </c>
      <c r="Q889" s="4" t="s">
        <v>26</v>
      </c>
      <c r="R889" s="4">
        <v>0</v>
      </c>
      <c r="S889" s="6">
        <v>26</v>
      </c>
      <c r="T889" s="6">
        <v>0</v>
      </c>
      <c r="U889" s="6">
        <v>0</v>
      </c>
      <c r="V889" s="6">
        <f>IF(ISERROR(VLOOKUP($S$889,'TAR FIN'!$A$1:$O$120,15,0)),0,VLOOKUP($S$889,'TAR FIN'!$A$1:$O$120,15,0))</f>
        <v>8.81</v>
      </c>
      <c r="W889" s="6">
        <f>IF(ISERROR(VLOOKUP($T$889,'TAR FIN'!$A$1:$O$120,15,0)),0,VLOOKUP($T$889,'TAR FIN'!$A$1:$O$120,15,0))</f>
        <v>0</v>
      </c>
      <c r="X889" s="6">
        <f>IF(ISERROR(VLOOKUP($U$889,'TAR FIN'!$A$1:$O$120,15,0)),0,VLOOKUP($U$889,'TAR FIN'!$A$1:$O$120,15,0))</f>
        <v>0</v>
      </c>
      <c r="Y889" s="6">
        <f ca="1">('TUSD BE'!$AM$32+'TUSD BF'!$AM$32+'TUSD CVA'!$AM$32)*1</f>
        <v>11.452356648653195</v>
      </c>
      <c r="Z889" s="6"/>
      <c r="AA889" s="6"/>
      <c r="AB889" s="6">
        <f>$K$889*$V$889</f>
        <v>63017.93</v>
      </c>
      <c r="AC889" s="6">
        <f>$M$889*$W$889</f>
        <v>0</v>
      </c>
      <c r="AD889" s="6">
        <f>$O$889*$X$889</f>
        <v>0</v>
      </c>
      <c r="AE889" s="6">
        <f ca="1">$K$889*$Y$889</f>
        <v>81918.707107816299</v>
      </c>
      <c r="AF889" s="6">
        <f>$M$889*$Z$889</f>
        <v>0</v>
      </c>
      <c r="AG889" s="6">
        <f>$O$889*$AA$889</f>
        <v>0</v>
      </c>
    </row>
    <row r="890" spans="1:33" ht="11.25" customHeight="1" x14ac:dyDescent="0.25">
      <c r="A890" s="4" t="s">
        <v>21</v>
      </c>
      <c r="B890" s="4" t="s">
        <v>33</v>
      </c>
      <c r="C890" s="4" t="s">
        <v>34</v>
      </c>
      <c r="D890" s="4" t="s">
        <v>48</v>
      </c>
      <c r="E890" s="4" t="s">
        <v>25</v>
      </c>
      <c r="F890" s="4" t="s">
        <v>25</v>
      </c>
      <c r="G890" s="4" t="s">
        <v>25</v>
      </c>
      <c r="H890" s="4" t="s">
        <v>25</v>
      </c>
      <c r="I890" s="5">
        <v>43862</v>
      </c>
      <c r="J890" s="6">
        <v>51355</v>
      </c>
      <c r="K890" s="6">
        <v>51355</v>
      </c>
      <c r="L890" s="6">
        <v>0</v>
      </c>
      <c r="M890" s="6">
        <v>0</v>
      </c>
      <c r="N890" s="6">
        <v>0</v>
      </c>
      <c r="O890" s="6">
        <v>0</v>
      </c>
      <c r="P890" s="6">
        <v>289</v>
      </c>
      <c r="Q890" s="4" t="s">
        <v>26</v>
      </c>
      <c r="R890" s="4">
        <v>0</v>
      </c>
      <c r="S890" s="6">
        <v>26</v>
      </c>
      <c r="T890" s="6">
        <v>0</v>
      </c>
      <c r="U890" s="6">
        <v>0</v>
      </c>
      <c r="V890" s="6">
        <f>IF(ISERROR(VLOOKUP($S$890,'TAR FIN'!$A$1:$O$120,15,0)),0,VLOOKUP($S$890,'TAR FIN'!$A$1:$O$120,15,0))</f>
        <v>8.81</v>
      </c>
      <c r="W890" s="6">
        <f>IF(ISERROR(VLOOKUP($T$890,'TAR FIN'!$A$1:$O$120,15,0)),0,VLOOKUP($T$890,'TAR FIN'!$A$1:$O$120,15,0))</f>
        <v>0</v>
      </c>
      <c r="X890" s="6">
        <f>IF(ISERROR(VLOOKUP($U$890,'TAR FIN'!$A$1:$O$120,15,0)),0,VLOOKUP($U$890,'TAR FIN'!$A$1:$O$120,15,0))</f>
        <v>0</v>
      </c>
      <c r="Y890" s="6">
        <f ca="1">('TUSD BE'!$AM$32+'TUSD BF'!$AM$32+'TUSD CVA'!$AM$32)*1</f>
        <v>11.452356648653195</v>
      </c>
      <c r="Z890" s="6"/>
      <c r="AA890" s="6"/>
      <c r="AB890" s="6">
        <f>$K$890*$V$890</f>
        <v>452437.55000000005</v>
      </c>
      <c r="AC890" s="6">
        <f>$M$890*$W$890</f>
        <v>0</v>
      </c>
      <c r="AD890" s="6">
        <f>$O$890*$X$890</f>
        <v>0</v>
      </c>
      <c r="AE890" s="6">
        <f ca="1">$K$890*$Y$890</f>
        <v>588135.7756915848</v>
      </c>
      <c r="AF890" s="6">
        <f>$M$890*$Z$890</f>
        <v>0</v>
      </c>
      <c r="AG890" s="6">
        <f>$O$890*$AA$890</f>
        <v>0</v>
      </c>
    </row>
    <row r="891" spans="1:33" ht="11.25" customHeight="1" x14ac:dyDescent="0.25">
      <c r="A891" s="4" t="s">
        <v>28</v>
      </c>
      <c r="B891" s="4" t="s">
        <v>33</v>
      </c>
      <c r="C891" s="4" t="s">
        <v>34</v>
      </c>
      <c r="D891" s="4" t="s">
        <v>48</v>
      </c>
      <c r="E891" s="4" t="s">
        <v>25</v>
      </c>
      <c r="F891" s="4" t="s">
        <v>25</v>
      </c>
      <c r="G891" s="4" t="s">
        <v>25</v>
      </c>
      <c r="H891" s="4" t="s">
        <v>25</v>
      </c>
      <c r="I891" s="5">
        <v>43862</v>
      </c>
      <c r="J891" s="6">
        <v>7053</v>
      </c>
      <c r="K891" s="6">
        <v>7053</v>
      </c>
      <c r="L891" s="6">
        <v>0</v>
      </c>
      <c r="M891" s="6">
        <v>0</v>
      </c>
      <c r="N891" s="6">
        <v>0</v>
      </c>
      <c r="O891" s="6">
        <v>0</v>
      </c>
      <c r="P891" s="6">
        <v>11</v>
      </c>
      <c r="Q891" s="4" t="s">
        <v>26</v>
      </c>
      <c r="R891" s="4">
        <v>0</v>
      </c>
      <c r="S891" s="6">
        <v>26</v>
      </c>
      <c r="T891" s="6">
        <v>0</v>
      </c>
      <c r="U891" s="6">
        <v>0</v>
      </c>
      <c r="V891" s="6">
        <f>IF(ISERROR(VLOOKUP($S$891,'TAR FIN'!$A$1:$O$120,15,0)),0,VLOOKUP($S$891,'TAR FIN'!$A$1:$O$120,15,0))</f>
        <v>8.81</v>
      </c>
      <c r="W891" s="6">
        <f>IF(ISERROR(VLOOKUP($T$891,'TAR FIN'!$A$1:$O$120,15,0)),0,VLOOKUP($T$891,'TAR FIN'!$A$1:$O$120,15,0))</f>
        <v>0</v>
      </c>
      <c r="X891" s="6">
        <f>IF(ISERROR(VLOOKUP($U$891,'TAR FIN'!$A$1:$O$120,15,0)),0,VLOOKUP($U$891,'TAR FIN'!$A$1:$O$120,15,0))</f>
        <v>0</v>
      </c>
      <c r="Y891" s="6">
        <f ca="1">('TUSD BE'!$AM$32+'TUSD BF'!$AM$32+'TUSD CVA'!$AM$32)*1</f>
        <v>11.452356648653195</v>
      </c>
      <c r="Z891" s="6"/>
      <c r="AA891" s="6"/>
      <c r="AB891" s="6">
        <f>$K$891*$V$891</f>
        <v>62136.93</v>
      </c>
      <c r="AC891" s="6">
        <f>$M$891*$W$891</f>
        <v>0</v>
      </c>
      <c r="AD891" s="6">
        <f>$O$891*$X$891</f>
        <v>0</v>
      </c>
      <c r="AE891" s="6">
        <f ca="1">$K$891*$Y$891</f>
        <v>80773.471442950991</v>
      </c>
      <c r="AF891" s="6">
        <f>$M$891*$Z$891</f>
        <v>0</v>
      </c>
      <c r="AG891" s="6">
        <f>$O$891*$AA$891</f>
        <v>0</v>
      </c>
    </row>
    <row r="892" spans="1:33" ht="11.25" customHeight="1" x14ac:dyDescent="0.25">
      <c r="A892" s="4" t="s">
        <v>21</v>
      </c>
      <c r="B892" s="4" t="s">
        <v>33</v>
      </c>
      <c r="C892" s="4" t="s">
        <v>34</v>
      </c>
      <c r="D892" s="4" t="s">
        <v>48</v>
      </c>
      <c r="E892" s="4" t="s">
        <v>25</v>
      </c>
      <c r="F892" s="4" t="s">
        <v>25</v>
      </c>
      <c r="G892" s="4" t="s">
        <v>25</v>
      </c>
      <c r="H892" s="4" t="s">
        <v>25</v>
      </c>
      <c r="I892" s="5">
        <v>43891</v>
      </c>
      <c r="J892" s="6">
        <v>51068</v>
      </c>
      <c r="K892" s="6">
        <v>51068</v>
      </c>
      <c r="L892" s="6">
        <v>0</v>
      </c>
      <c r="M892" s="6">
        <v>0</v>
      </c>
      <c r="N892" s="6">
        <v>0</v>
      </c>
      <c r="O892" s="6">
        <v>0</v>
      </c>
      <c r="P892" s="6">
        <v>289</v>
      </c>
      <c r="Q892" s="4" t="s">
        <v>26</v>
      </c>
      <c r="R892" s="4">
        <v>0</v>
      </c>
      <c r="S892" s="6">
        <v>26</v>
      </c>
      <c r="T892" s="6">
        <v>0</v>
      </c>
      <c r="U892" s="6">
        <v>0</v>
      </c>
      <c r="V892" s="6">
        <f>IF(ISERROR(VLOOKUP($S$892,'TAR FIN'!$A$1:$O$120,15,0)),0,VLOOKUP($S$892,'TAR FIN'!$A$1:$O$120,15,0))</f>
        <v>8.81</v>
      </c>
      <c r="W892" s="6">
        <f>IF(ISERROR(VLOOKUP($T$892,'TAR FIN'!$A$1:$O$120,15,0)),0,VLOOKUP($T$892,'TAR FIN'!$A$1:$O$120,15,0))</f>
        <v>0</v>
      </c>
      <c r="X892" s="6">
        <f>IF(ISERROR(VLOOKUP($U$892,'TAR FIN'!$A$1:$O$120,15,0)),0,VLOOKUP($U$892,'TAR FIN'!$A$1:$O$120,15,0))</f>
        <v>0</v>
      </c>
      <c r="Y892" s="6">
        <f ca="1">('TUSD BE'!$AM$32+'TUSD BF'!$AM$32+'TUSD CVA'!$AM$32)*1</f>
        <v>11.452356648653195</v>
      </c>
      <c r="Z892" s="6"/>
      <c r="AA892" s="6"/>
      <c r="AB892" s="6">
        <f>$K$892*$V$892</f>
        <v>449909.08</v>
      </c>
      <c r="AC892" s="6">
        <f>$M$892*$W$892</f>
        <v>0</v>
      </c>
      <c r="AD892" s="6">
        <f>$O$892*$X$892</f>
        <v>0</v>
      </c>
      <c r="AE892" s="6">
        <f ca="1">$K$892*$Y$892</f>
        <v>584848.94933342142</v>
      </c>
      <c r="AF892" s="6">
        <f>$M$892*$Z$892</f>
        <v>0</v>
      </c>
      <c r="AG892" s="6">
        <f>$O$892*$AA$892</f>
        <v>0</v>
      </c>
    </row>
    <row r="893" spans="1:33" ht="11.25" customHeight="1" x14ac:dyDescent="0.25">
      <c r="A893" s="4" t="s">
        <v>28</v>
      </c>
      <c r="B893" s="4" t="s">
        <v>33</v>
      </c>
      <c r="C893" s="4" t="s">
        <v>34</v>
      </c>
      <c r="D893" s="4" t="s">
        <v>48</v>
      </c>
      <c r="E893" s="4" t="s">
        <v>25</v>
      </c>
      <c r="F893" s="4" t="s">
        <v>25</v>
      </c>
      <c r="G893" s="4" t="s">
        <v>25</v>
      </c>
      <c r="H893" s="4" t="s">
        <v>25</v>
      </c>
      <c r="I893" s="5">
        <v>43891</v>
      </c>
      <c r="J893" s="6">
        <v>7053</v>
      </c>
      <c r="K893" s="6">
        <v>7053</v>
      </c>
      <c r="L893" s="6">
        <v>0</v>
      </c>
      <c r="M893" s="6">
        <v>0</v>
      </c>
      <c r="N893" s="6">
        <v>0</v>
      </c>
      <c r="O893" s="6">
        <v>0</v>
      </c>
      <c r="P893" s="6">
        <v>11</v>
      </c>
      <c r="Q893" s="4" t="s">
        <v>26</v>
      </c>
      <c r="R893" s="4">
        <v>0</v>
      </c>
      <c r="S893" s="6">
        <v>26</v>
      </c>
      <c r="T893" s="6">
        <v>0</v>
      </c>
      <c r="U893" s="6">
        <v>0</v>
      </c>
      <c r="V893" s="6">
        <f>IF(ISERROR(VLOOKUP($S$893,'TAR FIN'!$A$1:$O$120,15,0)),0,VLOOKUP($S$893,'TAR FIN'!$A$1:$O$120,15,0))</f>
        <v>8.81</v>
      </c>
      <c r="W893" s="6">
        <f>IF(ISERROR(VLOOKUP($T$893,'TAR FIN'!$A$1:$O$120,15,0)),0,VLOOKUP($T$893,'TAR FIN'!$A$1:$O$120,15,0))</f>
        <v>0</v>
      </c>
      <c r="X893" s="6">
        <f>IF(ISERROR(VLOOKUP($U$893,'TAR FIN'!$A$1:$O$120,15,0)),0,VLOOKUP($U$893,'TAR FIN'!$A$1:$O$120,15,0))</f>
        <v>0</v>
      </c>
      <c r="Y893" s="6">
        <f ca="1">('TUSD BE'!$AM$32+'TUSD BF'!$AM$32+'TUSD CVA'!$AM$32)*1</f>
        <v>11.452356648653195</v>
      </c>
      <c r="Z893" s="6"/>
      <c r="AA893" s="6"/>
      <c r="AB893" s="6">
        <f>$K$893*$V$893</f>
        <v>62136.93</v>
      </c>
      <c r="AC893" s="6">
        <f>$M$893*$W$893</f>
        <v>0</v>
      </c>
      <c r="AD893" s="6">
        <f>$O$893*$X$893</f>
        <v>0</v>
      </c>
      <c r="AE893" s="6">
        <f ca="1">$K$893*$Y$893</f>
        <v>80773.471442950991</v>
      </c>
      <c r="AF893" s="6">
        <f>$M$893*$Z$893</f>
        <v>0</v>
      </c>
      <c r="AG893" s="6">
        <f>$O$893*$AA$893</f>
        <v>0</v>
      </c>
    </row>
    <row r="894" spans="1:33" ht="11.25" customHeight="1" x14ac:dyDescent="0.25">
      <c r="A894" s="4" t="s">
        <v>21</v>
      </c>
      <c r="B894" s="4" t="s">
        <v>33</v>
      </c>
      <c r="C894" s="4" t="s">
        <v>34</v>
      </c>
      <c r="D894" s="4" t="s">
        <v>48</v>
      </c>
      <c r="E894" s="4" t="s">
        <v>25</v>
      </c>
      <c r="F894" s="4" t="s">
        <v>25</v>
      </c>
      <c r="G894" s="4" t="s">
        <v>25</v>
      </c>
      <c r="H894" s="4" t="s">
        <v>25</v>
      </c>
      <c r="I894" s="5">
        <v>43922</v>
      </c>
      <c r="J894" s="6">
        <v>50080</v>
      </c>
      <c r="K894" s="6">
        <v>50080</v>
      </c>
      <c r="L894" s="6">
        <v>0</v>
      </c>
      <c r="M894" s="6">
        <v>0</v>
      </c>
      <c r="N894" s="6">
        <v>0</v>
      </c>
      <c r="O894" s="6">
        <v>0</v>
      </c>
      <c r="P894" s="6">
        <v>287</v>
      </c>
      <c r="Q894" s="4" t="s">
        <v>26</v>
      </c>
      <c r="R894" s="4">
        <v>0</v>
      </c>
      <c r="S894" s="6">
        <v>26</v>
      </c>
      <c r="T894" s="6">
        <v>0</v>
      </c>
      <c r="U894" s="6">
        <v>0</v>
      </c>
      <c r="V894" s="6">
        <f>IF(ISERROR(VLOOKUP($S$894,'TAR FIN'!$A$1:$O$120,15,0)),0,VLOOKUP($S$894,'TAR FIN'!$A$1:$O$120,15,0))</f>
        <v>8.81</v>
      </c>
      <c r="W894" s="6">
        <f>IF(ISERROR(VLOOKUP($T$894,'TAR FIN'!$A$1:$O$120,15,0)),0,VLOOKUP($T$894,'TAR FIN'!$A$1:$O$120,15,0))</f>
        <v>0</v>
      </c>
      <c r="X894" s="6">
        <f>IF(ISERROR(VLOOKUP($U$894,'TAR FIN'!$A$1:$O$120,15,0)),0,VLOOKUP($U$894,'TAR FIN'!$A$1:$O$120,15,0))</f>
        <v>0</v>
      </c>
      <c r="Y894" s="6">
        <f ca="1">('TUSD BE'!$AM$32+'TUSD BF'!$AM$32+'TUSD CVA'!$AM$32)*1</f>
        <v>11.452356648653195</v>
      </c>
      <c r="Z894" s="6"/>
      <c r="AA894" s="6"/>
      <c r="AB894" s="6">
        <f>$K$894*$V$894</f>
        <v>441204.80000000005</v>
      </c>
      <c r="AC894" s="6">
        <f>$M$894*$W$894</f>
        <v>0</v>
      </c>
      <c r="AD894" s="6">
        <f>$O$894*$X$894</f>
        <v>0</v>
      </c>
      <c r="AE894" s="6">
        <f ca="1">$K$894*$Y$894</f>
        <v>573534.02096455207</v>
      </c>
      <c r="AF894" s="6">
        <f>$M$894*$Z$894</f>
        <v>0</v>
      </c>
      <c r="AG894" s="6">
        <f>$O$894*$AA$894</f>
        <v>0</v>
      </c>
    </row>
    <row r="895" spans="1:33" ht="11.25" customHeight="1" x14ac:dyDescent="0.25">
      <c r="A895" s="4" t="s">
        <v>27</v>
      </c>
      <c r="B895" s="4" t="s">
        <v>33</v>
      </c>
      <c r="C895" s="4" t="s">
        <v>34</v>
      </c>
      <c r="D895" s="4" t="s">
        <v>48</v>
      </c>
      <c r="E895" s="4" t="s">
        <v>25</v>
      </c>
      <c r="F895" s="4" t="s">
        <v>25</v>
      </c>
      <c r="G895" s="4" t="s">
        <v>25</v>
      </c>
      <c r="H895" s="4" t="s">
        <v>25</v>
      </c>
      <c r="I895" s="5">
        <v>43922</v>
      </c>
      <c r="J895" s="6">
        <v>180</v>
      </c>
      <c r="K895" s="6">
        <v>180</v>
      </c>
      <c r="L895" s="6">
        <v>0</v>
      </c>
      <c r="M895" s="6">
        <v>0</v>
      </c>
      <c r="N895" s="6">
        <v>0</v>
      </c>
      <c r="O895" s="6">
        <v>0</v>
      </c>
      <c r="P895" s="6">
        <v>2</v>
      </c>
      <c r="Q895" s="4" t="s">
        <v>26</v>
      </c>
      <c r="R895" s="4">
        <v>0</v>
      </c>
      <c r="S895" s="6">
        <v>26</v>
      </c>
      <c r="T895" s="6">
        <v>0</v>
      </c>
      <c r="U895" s="6">
        <v>0</v>
      </c>
      <c r="V895" s="6">
        <f>IF(ISERROR(VLOOKUP($S$895,'TAR FIN'!$A$1:$O$120,15,0)),0,VLOOKUP($S$895,'TAR FIN'!$A$1:$O$120,15,0))</f>
        <v>8.81</v>
      </c>
      <c r="W895" s="6">
        <f>IF(ISERROR(VLOOKUP($T$895,'TAR FIN'!$A$1:$O$120,15,0)),0,VLOOKUP($T$895,'TAR FIN'!$A$1:$O$120,15,0))</f>
        <v>0</v>
      </c>
      <c r="X895" s="6">
        <f>IF(ISERROR(VLOOKUP($U$895,'TAR FIN'!$A$1:$O$120,15,0)),0,VLOOKUP($U$895,'TAR FIN'!$A$1:$O$120,15,0))</f>
        <v>0</v>
      </c>
      <c r="Y895" s="6">
        <f ca="1">('TUSD BE'!$AM$32+'TUSD BF'!$AM$32+'TUSD CVA'!$AM$32)*1</f>
        <v>11.452356648653195</v>
      </c>
      <c r="Z895" s="6"/>
      <c r="AA895" s="6"/>
      <c r="AB895" s="6">
        <f>$K$895*$V$895</f>
        <v>1585.8000000000002</v>
      </c>
      <c r="AC895" s="6">
        <f>$M$895*$W$895</f>
        <v>0</v>
      </c>
      <c r="AD895" s="6">
        <f>$O$895*$X$895</f>
        <v>0</v>
      </c>
      <c r="AE895" s="6">
        <f ca="1">$K$895*$Y$895</f>
        <v>2061.4241967575749</v>
      </c>
      <c r="AF895" s="6">
        <f>$M$895*$Z$895</f>
        <v>0</v>
      </c>
      <c r="AG895" s="6">
        <f>$O$895*$AA$895</f>
        <v>0</v>
      </c>
    </row>
    <row r="896" spans="1:33" ht="11.25" customHeight="1" x14ac:dyDescent="0.25">
      <c r="A896" s="4" t="s">
        <v>28</v>
      </c>
      <c r="B896" s="4" t="s">
        <v>33</v>
      </c>
      <c r="C896" s="4" t="s">
        <v>34</v>
      </c>
      <c r="D896" s="4" t="s">
        <v>48</v>
      </c>
      <c r="E896" s="4" t="s">
        <v>25</v>
      </c>
      <c r="F896" s="4" t="s">
        <v>25</v>
      </c>
      <c r="G896" s="4" t="s">
        <v>25</v>
      </c>
      <c r="H896" s="4" t="s">
        <v>25</v>
      </c>
      <c r="I896" s="5">
        <v>43922</v>
      </c>
      <c r="J896" s="6">
        <v>7053</v>
      </c>
      <c r="K896" s="6">
        <v>7053</v>
      </c>
      <c r="L896" s="6">
        <v>0</v>
      </c>
      <c r="M896" s="6">
        <v>0</v>
      </c>
      <c r="N896" s="6">
        <v>0</v>
      </c>
      <c r="O896" s="6">
        <v>0</v>
      </c>
      <c r="P896" s="6">
        <v>11</v>
      </c>
      <c r="Q896" s="4" t="s">
        <v>26</v>
      </c>
      <c r="R896" s="4">
        <v>0</v>
      </c>
      <c r="S896" s="6">
        <v>26</v>
      </c>
      <c r="T896" s="6">
        <v>0</v>
      </c>
      <c r="U896" s="6">
        <v>0</v>
      </c>
      <c r="V896" s="6">
        <f>IF(ISERROR(VLOOKUP($S$896,'TAR FIN'!$A$1:$O$120,15,0)),0,VLOOKUP($S$896,'TAR FIN'!$A$1:$O$120,15,0))</f>
        <v>8.81</v>
      </c>
      <c r="W896" s="6">
        <f>IF(ISERROR(VLOOKUP($T$896,'TAR FIN'!$A$1:$O$120,15,0)),0,VLOOKUP($T$896,'TAR FIN'!$A$1:$O$120,15,0))</f>
        <v>0</v>
      </c>
      <c r="X896" s="6">
        <f>IF(ISERROR(VLOOKUP($U$896,'TAR FIN'!$A$1:$O$120,15,0)),0,VLOOKUP($U$896,'TAR FIN'!$A$1:$O$120,15,0))</f>
        <v>0</v>
      </c>
      <c r="Y896" s="6">
        <f ca="1">('TUSD BE'!$AM$32+'TUSD BF'!$AM$32+'TUSD CVA'!$AM$32)*1</f>
        <v>11.452356648653195</v>
      </c>
      <c r="Z896" s="6"/>
      <c r="AA896" s="6"/>
      <c r="AB896" s="6">
        <f>$K$896*$V$896</f>
        <v>62136.93</v>
      </c>
      <c r="AC896" s="6">
        <f>$M$896*$W$896</f>
        <v>0</v>
      </c>
      <c r="AD896" s="6">
        <f>$O$896*$X$896</f>
        <v>0</v>
      </c>
      <c r="AE896" s="6">
        <f ca="1">$K$896*$Y$896</f>
        <v>80773.471442950991</v>
      </c>
      <c r="AF896" s="6">
        <f>$M$896*$Z$896</f>
        <v>0</v>
      </c>
      <c r="AG896" s="6">
        <f>$O$896*$AA$896</f>
        <v>0</v>
      </c>
    </row>
    <row r="897" spans="1:33" ht="11.25" customHeight="1" x14ac:dyDescent="0.25">
      <c r="A897" s="4" t="s">
        <v>21</v>
      </c>
      <c r="B897" s="4" t="s">
        <v>33</v>
      </c>
      <c r="C897" s="4" t="s">
        <v>34</v>
      </c>
      <c r="D897" s="4" t="s">
        <v>48</v>
      </c>
      <c r="E897" s="4" t="s">
        <v>25</v>
      </c>
      <c r="F897" s="4" t="s">
        <v>25</v>
      </c>
      <c r="G897" s="4" t="s">
        <v>25</v>
      </c>
      <c r="H897" s="4" t="s">
        <v>25</v>
      </c>
      <c r="I897" s="5">
        <v>43952</v>
      </c>
      <c r="J897" s="6">
        <v>47859</v>
      </c>
      <c r="K897" s="6">
        <v>47859</v>
      </c>
      <c r="L897" s="6">
        <v>0</v>
      </c>
      <c r="M897" s="6">
        <v>0</v>
      </c>
      <c r="N897" s="6">
        <v>0</v>
      </c>
      <c r="O897" s="6">
        <v>0</v>
      </c>
      <c r="P897" s="6">
        <v>290</v>
      </c>
      <c r="Q897" s="4" t="s">
        <v>26</v>
      </c>
      <c r="R897" s="4">
        <v>0</v>
      </c>
      <c r="S897" s="6">
        <v>26</v>
      </c>
      <c r="T897" s="6">
        <v>0</v>
      </c>
      <c r="U897" s="6">
        <v>0</v>
      </c>
      <c r="V897" s="6">
        <f>IF(ISERROR(VLOOKUP($S$897,'TAR FIN'!$A$1:$O$120,15,0)),0,VLOOKUP($S$897,'TAR FIN'!$A$1:$O$120,15,0))</f>
        <v>8.81</v>
      </c>
      <c r="W897" s="6">
        <f>IF(ISERROR(VLOOKUP($T$897,'TAR FIN'!$A$1:$O$120,15,0)),0,VLOOKUP($T$897,'TAR FIN'!$A$1:$O$120,15,0))</f>
        <v>0</v>
      </c>
      <c r="X897" s="6">
        <f>IF(ISERROR(VLOOKUP($U$897,'TAR FIN'!$A$1:$O$120,15,0)),0,VLOOKUP($U$897,'TAR FIN'!$A$1:$O$120,15,0))</f>
        <v>0</v>
      </c>
      <c r="Y897" s="6">
        <f ca="1">('TUSD BE'!$AM$32+'TUSD BF'!$AM$32+'TUSD CVA'!$AM$32)*1</f>
        <v>11.452356648653195</v>
      </c>
      <c r="Z897" s="6"/>
      <c r="AA897" s="6"/>
      <c r="AB897" s="6">
        <f>$K$897*$V$897</f>
        <v>421637.79000000004</v>
      </c>
      <c r="AC897" s="6">
        <f>$M$897*$W$897</f>
        <v>0</v>
      </c>
      <c r="AD897" s="6">
        <f>$O$897*$X$897</f>
        <v>0</v>
      </c>
      <c r="AE897" s="6">
        <f ca="1">$K$897*$Y$897</f>
        <v>548098.33684789331</v>
      </c>
      <c r="AF897" s="6">
        <f>$M$897*$Z$897</f>
        <v>0</v>
      </c>
      <c r="AG897" s="6">
        <f>$O$897*$AA$897</f>
        <v>0</v>
      </c>
    </row>
    <row r="898" spans="1:33" ht="11.25" customHeight="1" x14ac:dyDescent="0.25">
      <c r="A898" s="4" t="s">
        <v>28</v>
      </c>
      <c r="B898" s="4" t="s">
        <v>33</v>
      </c>
      <c r="C898" s="4" t="s">
        <v>34</v>
      </c>
      <c r="D898" s="4" t="s">
        <v>48</v>
      </c>
      <c r="E898" s="4" t="s">
        <v>25</v>
      </c>
      <c r="F898" s="4" t="s">
        <v>25</v>
      </c>
      <c r="G898" s="4" t="s">
        <v>25</v>
      </c>
      <c r="H898" s="4" t="s">
        <v>25</v>
      </c>
      <c r="I898" s="5">
        <v>43952</v>
      </c>
      <c r="J898" s="6">
        <v>7053</v>
      </c>
      <c r="K898" s="6">
        <v>7053</v>
      </c>
      <c r="L898" s="6">
        <v>0</v>
      </c>
      <c r="M898" s="6">
        <v>0</v>
      </c>
      <c r="N898" s="6">
        <v>0</v>
      </c>
      <c r="O898" s="6">
        <v>0</v>
      </c>
      <c r="P898" s="6">
        <v>11</v>
      </c>
      <c r="Q898" s="4" t="s">
        <v>26</v>
      </c>
      <c r="R898" s="4">
        <v>0</v>
      </c>
      <c r="S898" s="6">
        <v>26</v>
      </c>
      <c r="T898" s="6">
        <v>0</v>
      </c>
      <c r="U898" s="6">
        <v>0</v>
      </c>
      <c r="V898" s="6">
        <f>IF(ISERROR(VLOOKUP($S$898,'TAR FIN'!$A$1:$O$120,15,0)),0,VLOOKUP($S$898,'TAR FIN'!$A$1:$O$120,15,0))</f>
        <v>8.81</v>
      </c>
      <c r="W898" s="6">
        <f>IF(ISERROR(VLOOKUP($T$898,'TAR FIN'!$A$1:$O$120,15,0)),0,VLOOKUP($T$898,'TAR FIN'!$A$1:$O$120,15,0))</f>
        <v>0</v>
      </c>
      <c r="X898" s="6">
        <f>IF(ISERROR(VLOOKUP($U$898,'TAR FIN'!$A$1:$O$120,15,0)),0,VLOOKUP($U$898,'TAR FIN'!$A$1:$O$120,15,0))</f>
        <v>0</v>
      </c>
      <c r="Y898" s="6">
        <f ca="1">('TUSD BE'!$AM$32+'TUSD BF'!$AM$32+'TUSD CVA'!$AM$32)*1</f>
        <v>11.452356648653195</v>
      </c>
      <c r="Z898" s="6"/>
      <c r="AA898" s="6"/>
      <c r="AB898" s="6">
        <f>$K$898*$V$898</f>
        <v>62136.93</v>
      </c>
      <c r="AC898" s="6">
        <f>$M$898*$W$898</f>
        <v>0</v>
      </c>
      <c r="AD898" s="6">
        <f>$O$898*$X$898</f>
        <v>0</v>
      </c>
      <c r="AE898" s="6">
        <f ca="1">$K$898*$Y$898</f>
        <v>80773.471442950991</v>
      </c>
      <c r="AF898" s="6">
        <f>$M$898*$Z$898</f>
        <v>0</v>
      </c>
      <c r="AG898" s="6">
        <f>$O$898*$AA$898</f>
        <v>0</v>
      </c>
    </row>
    <row r="899" spans="1:33" ht="11.25" customHeight="1" x14ac:dyDescent="0.25">
      <c r="A899" s="4" t="s">
        <v>21</v>
      </c>
      <c r="B899" s="4" t="s">
        <v>33</v>
      </c>
      <c r="C899" s="4" t="s">
        <v>34</v>
      </c>
      <c r="D899" s="4" t="s">
        <v>48</v>
      </c>
      <c r="E899" s="4" t="s">
        <v>25</v>
      </c>
      <c r="F899" s="4" t="s">
        <v>25</v>
      </c>
      <c r="G899" s="4" t="s">
        <v>25</v>
      </c>
      <c r="H899" s="4" t="s">
        <v>25</v>
      </c>
      <c r="I899" s="5">
        <v>43983</v>
      </c>
      <c r="J899" s="6">
        <v>42761</v>
      </c>
      <c r="K899" s="6">
        <v>42761</v>
      </c>
      <c r="L899" s="6">
        <v>0</v>
      </c>
      <c r="M899" s="6">
        <v>0</v>
      </c>
      <c r="N899" s="6">
        <v>0</v>
      </c>
      <c r="O899" s="6">
        <v>0</v>
      </c>
      <c r="P899" s="6">
        <v>282</v>
      </c>
      <c r="Q899" s="4" t="s">
        <v>26</v>
      </c>
      <c r="R899" s="4">
        <v>0</v>
      </c>
      <c r="S899" s="6">
        <v>26</v>
      </c>
      <c r="T899" s="6">
        <v>0</v>
      </c>
      <c r="U899" s="6">
        <v>0</v>
      </c>
      <c r="V899" s="6">
        <f>IF(ISERROR(VLOOKUP($S$899,'TAR FIN'!$A$1:$O$120,15,0)),0,VLOOKUP($S$899,'TAR FIN'!$A$1:$O$120,15,0))</f>
        <v>8.81</v>
      </c>
      <c r="W899" s="6">
        <f>IF(ISERROR(VLOOKUP($T$899,'TAR FIN'!$A$1:$O$120,15,0)),0,VLOOKUP($T$899,'TAR FIN'!$A$1:$O$120,15,0))</f>
        <v>0</v>
      </c>
      <c r="X899" s="6">
        <f>IF(ISERROR(VLOOKUP($U$899,'TAR FIN'!$A$1:$O$120,15,0)),0,VLOOKUP($U$899,'TAR FIN'!$A$1:$O$120,15,0))</f>
        <v>0</v>
      </c>
      <c r="Y899" s="6">
        <f ca="1">('TUSD BE'!$AM$32+'TUSD BF'!$AM$32+'TUSD CVA'!$AM$32)*1</f>
        <v>11.452356648653195</v>
      </c>
      <c r="Z899" s="6"/>
      <c r="AA899" s="6"/>
      <c r="AB899" s="6">
        <f>$K$899*$V$899</f>
        <v>376724.41000000003</v>
      </c>
      <c r="AC899" s="6">
        <f>$M$899*$W$899</f>
        <v>0</v>
      </c>
      <c r="AD899" s="6">
        <f>$O$899*$X$899</f>
        <v>0</v>
      </c>
      <c r="AE899" s="6">
        <f ca="1">$K$899*$Y$899</f>
        <v>489714.22265305929</v>
      </c>
      <c r="AF899" s="6">
        <f>$M$899*$Z$899</f>
        <v>0</v>
      </c>
      <c r="AG899" s="6">
        <f>$O$899*$AA$899</f>
        <v>0</v>
      </c>
    </row>
    <row r="900" spans="1:33" ht="11.25" customHeight="1" x14ac:dyDescent="0.25">
      <c r="A900" s="4" t="s">
        <v>27</v>
      </c>
      <c r="B900" s="4" t="s">
        <v>33</v>
      </c>
      <c r="C900" s="4" t="s">
        <v>34</v>
      </c>
      <c r="D900" s="4" t="s">
        <v>48</v>
      </c>
      <c r="E900" s="4" t="s">
        <v>25</v>
      </c>
      <c r="F900" s="4" t="s">
        <v>25</v>
      </c>
      <c r="G900" s="4" t="s">
        <v>25</v>
      </c>
      <c r="H900" s="4" t="s">
        <v>25</v>
      </c>
      <c r="I900" s="5">
        <v>43983</v>
      </c>
      <c r="J900" s="6">
        <v>3848</v>
      </c>
      <c r="K900" s="6">
        <v>3848</v>
      </c>
      <c r="L900" s="6">
        <v>0</v>
      </c>
      <c r="M900" s="6">
        <v>0</v>
      </c>
      <c r="N900" s="6">
        <v>0</v>
      </c>
      <c r="O900" s="6">
        <v>0</v>
      </c>
      <c r="P900" s="6">
        <v>3</v>
      </c>
      <c r="Q900" s="4" t="s">
        <v>26</v>
      </c>
      <c r="R900" s="4">
        <v>0</v>
      </c>
      <c r="S900" s="6">
        <v>26</v>
      </c>
      <c r="T900" s="6">
        <v>0</v>
      </c>
      <c r="U900" s="6">
        <v>0</v>
      </c>
      <c r="V900" s="6">
        <f>IF(ISERROR(VLOOKUP($S$900,'TAR FIN'!$A$1:$O$120,15,0)),0,VLOOKUP($S$900,'TAR FIN'!$A$1:$O$120,15,0))</f>
        <v>8.81</v>
      </c>
      <c r="W900" s="6">
        <f>IF(ISERROR(VLOOKUP($T$900,'TAR FIN'!$A$1:$O$120,15,0)),0,VLOOKUP($T$900,'TAR FIN'!$A$1:$O$120,15,0))</f>
        <v>0</v>
      </c>
      <c r="X900" s="6">
        <f>IF(ISERROR(VLOOKUP($U$900,'TAR FIN'!$A$1:$O$120,15,0)),0,VLOOKUP($U$900,'TAR FIN'!$A$1:$O$120,15,0))</f>
        <v>0</v>
      </c>
      <c r="Y900" s="6">
        <f ca="1">('TUSD BE'!$AM$32+'TUSD BF'!$AM$32+'TUSD CVA'!$AM$32)*1</f>
        <v>11.452356648653195</v>
      </c>
      <c r="Z900" s="6"/>
      <c r="AA900" s="6"/>
      <c r="AB900" s="6">
        <f>$K$900*$V$900</f>
        <v>33900.880000000005</v>
      </c>
      <c r="AC900" s="6">
        <f>$M$900*$W$900</f>
        <v>0</v>
      </c>
      <c r="AD900" s="6">
        <f>$O$900*$X$900</f>
        <v>0</v>
      </c>
      <c r="AE900" s="6">
        <f ca="1">$K$900*$Y$900</f>
        <v>44068.668384017496</v>
      </c>
      <c r="AF900" s="6">
        <f>$M$900*$Z$900</f>
        <v>0</v>
      </c>
      <c r="AG900" s="6">
        <f>$O$900*$AA$900</f>
        <v>0</v>
      </c>
    </row>
    <row r="901" spans="1:33" ht="11.25" customHeight="1" x14ac:dyDescent="0.25">
      <c r="A901" s="4" t="s">
        <v>28</v>
      </c>
      <c r="B901" s="4" t="s">
        <v>33</v>
      </c>
      <c r="C901" s="4" t="s">
        <v>34</v>
      </c>
      <c r="D901" s="4" t="s">
        <v>48</v>
      </c>
      <c r="E901" s="4" t="s">
        <v>25</v>
      </c>
      <c r="F901" s="4" t="s">
        <v>25</v>
      </c>
      <c r="G901" s="4" t="s">
        <v>25</v>
      </c>
      <c r="H901" s="4" t="s">
        <v>25</v>
      </c>
      <c r="I901" s="5">
        <v>43983</v>
      </c>
      <c r="J901" s="6">
        <v>9803</v>
      </c>
      <c r="K901" s="6">
        <v>9803</v>
      </c>
      <c r="L901" s="6">
        <v>0</v>
      </c>
      <c r="M901" s="6">
        <v>0</v>
      </c>
      <c r="N901" s="6">
        <v>0</v>
      </c>
      <c r="O901" s="6">
        <v>0</v>
      </c>
      <c r="P901" s="6">
        <v>13</v>
      </c>
      <c r="Q901" s="4" t="s">
        <v>26</v>
      </c>
      <c r="R901" s="4">
        <v>0</v>
      </c>
      <c r="S901" s="6">
        <v>26</v>
      </c>
      <c r="T901" s="6">
        <v>0</v>
      </c>
      <c r="U901" s="6">
        <v>0</v>
      </c>
      <c r="V901" s="6">
        <f>IF(ISERROR(VLOOKUP($S$901,'TAR FIN'!$A$1:$O$120,15,0)),0,VLOOKUP($S$901,'TAR FIN'!$A$1:$O$120,15,0))</f>
        <v>8.81</v>
      </c>
      <c r="W901" s="6">
        <f>IF(ISERROR(VLOOKUP($T$901,'TAR FIN'!$A$1:$O$120,15,0)),0,VLOOKUP($T$901,'TAR FIN'!$A$1:$O$120,15,0))</f>
        <v>0</v>
      </c>
      <c r="X901" s="6">
        <f>IF(ISERROR(VLOOKUP($U$901,'TAR FIN'!$A$1:$O$120,15,0)),0,VLOOKUP($U$901,'TAR FIN'!$A$1:$O$120,15,0))</f>
        <v>0</v>
      </c>
      <c r="Y901" s="6">
        <f ca="1">('TUSD BE'!$AM$32+'TUSD BF'!$AM$32+'TUSD CVA'!$AM$32)*1</f>
        <v>11.452356648653195</v>
      </c>
      <c r="Z901" s="6"/>
      <c r="AA901" s="6"/>
      <c r="AB901" s="6">
        <f>$K$901*$V$901</f>
        <v>86364.430000000008</v>
      </c>
      <c r="AC901" s="6">
        <f>$M$901*$W$901</f>
        <v>0</v>
      </c>
      <c r="AD901" s="6">
        <f>$O$901*$X$901</f>
        <v>0</v>
      </c>
      <c r="AE901" s="6">
        <f ca="1">$K$901*$Y$901</f>
        <v>112267.45222674728</v>
      </c>
      <c r="AF901" s="6">
        <f>$M$901*$Z$901</f>
        <v>0</v>
      </c>
      <c r="AG901" s="6">
        <f>$O$901*$AA$901</f>
        <v>0</v>
      </c>
    </row>
    <row r="902" spans="1:33" ht="11.25" customHeight="1" x14ac:dyDescent="0.25">
      <c r="A902" s="4" t="s">
        <v>21</v>
      </c>
      <c r="B902" s="4" t="s">
        <v>33</v>
      </c>
      <c r="C902" s="4" t="s">
        <v>34</v>
      </c>
      <c r="D902" s="4" t="s">
        <v>48</v>
      </c>
      <c r="E902" s="4" t="s">
        <v>25</v>
      </c>
      <c r="F902" s="4" t="s">
        <v>25</v>
      </c>
      <c r="G902" s="4" t="s">
        <v>25</v>
      </c>
      <c r="H902" s="4" t="s">
        <v>25</v>
      </c>
      <c r="I902" s="5">
        <v>44013</v>
      </c>
      <c r="J902" s="6">
        <v>47529</v>
      </c>
      <c r="K902" s="6">
        <v>47529</v>
      </c>
      <c r="L902" s="6">
        <v>0</v>
      </c>
      <c r="M902" s="6">
        <v>0</v>
      </c>
      <c r="N902" s="6">
        <v>0</v>
      </c>
      <c r="O902" s="6">
        <v>0</v>
      </c>
      <c r="P902" s="6">
        <v>285</v>
      </c>
      <c r="Q902" s="4" t="s">
        <v>26</v>
      </c>
      <c r="R902" s="4">
        <v>0</v>
      </c>
      <c r="S902" s="6">
        <v>26</v>
      </c>
      <c r="T902" s="6">
        <v>0</v>
      </c>
      <c r="U902" s="6">
        <v>0</v>
      </c>
      <c r="V902" s="6">
        <f>IF(ISERROR(VLOOKUP($S$902,'TAR FIN'!$A$1:$O$120,15,0)),0,VLOOKUP($S$902,'TAR FIN'!$A$1:$O$120,15,0))</f>
        <v>8.81</v>
      </c>
      <c r="W902" s="6">
        <f>IF(ISERROR(VLOOKUP($T$902,'TAR FIN'!$A$1:$O$120,15,0)),0,VLOOKUP($T$902,'TAR FIN'!$A$1:$O$120,15,0))</f>
        <v>0</v>
      </c>
      <c r="X902" s="6">
        <f>IF(ISERROR(VLOOKUP($U$902,'TAR FIN'!$A$1:$O$120,15,0)),0,VLOOKUP($U$902,'TAR FIN'!$A$1:$O$120,15,0))</f>
        <v>0</v>
      </c>
      <c r="Y902" s="6">
        <f ca="1">('TUSD BE'!$AM$32+'TUSD BF'!$AM$32+'TUSD CVA'!$AM$32)*1</f>
        <v>11.452356648653195</v>
      </c>
      <c r="Z902" s="6"/>
      <c r="AA902" s="6"/>
      <c r="AB902" s="6">
        <f>$K$902*$V$902</f>
        <v>418730.49000000005</v>
      </c>
      <c r="AC902" s="6">
        <f>$M$902*$W$902</f>
        <v>0</v>
      </c>
      <c r="AD902" s="6">
        <f>$O$902*$X$902</f>
        <v>0</v>
      </c>
      <c r="AE902" s="6">
        <f ca="1">$K$902*$Y$902</f>
        <v>544319.05915383773</v>
      </c>
      <c r="AF902" s="6">
        <f>$M$902*$Z$902</f>
        <v>0</v>
      </c>
      <c r="AG902" s="6">
        <f>$O$902*$AA$902</f>
        <v>0</v>
      </c>
    </row>
    <row r="903" spans="1:33" ht="11.25" customHeight="1" x14ac:dyDescent="0.25">
      <c r="A903" s="4" t="s">
        <v>28</v>
      </c>
      <c r="B903" s="4" t="s">
        <v>33</v>
      </c>
      <c r="C903" s="4" t="s">
        <v>34</v>
      </c>
      <c r="D903" s="4" t="s">
        <v>48</v>
      </c>
      <c r="E903" s="4" t="s">
        <v>25</v>
      </c>
      <c r="F903" s="4" t="s">
        <v>25</v>
      </c>
      <c r="G903" s="4" t="s">
        <v>25</v>
      </c>
      <c r="H903" s="4" t="s">
        <v>25</v>
      </c>
      <c r="I903" s="5">
        <v>44013</v>
      </c>
      <c r="J903" s="6">
        <v>9953</v>
      </c>
      <c r="K903" s="6">
        <v>9953</v>
      </c>
      <c r="L903" s="6">
        <v>0</v>
      </c>
      <c r="M903" s="6">
        <v>0</v>
      </c>
      <c r="N903" s="6">
        <v>0</v>
      </c>
      <c r="O903" s="6">
        <v>0</v>
      </c>
      <c r="P903" s="6">
        <v>14</v>
      </c>
      <c r="Q903" s="4" t="s">
        <v>26</v>
      </c>
      <c r="R903" s="4">
        <v>0</v>
      </c>
      <c r="S903" s="6">
        <v>26</v>
      </c>
      <c r="T903" s="6">
        <v>0</v>
      </c>
      <c r="U903" s="6">
        <v>0</v>
      </c>
      <c r="V903" s="6">
        <f>IF(ISERROR(VLOOKUP($S$903,'TAR FIN'!$A$1:$O$120,15,0)),0,VLOOKUP($S$903,'TAR FIN'!$A$1:$O$120,15,0))</f>
        <v>8.81</v>
      </c>
      <c r="W903" s="6">
        <f>IF(ISERROR(VLOOKUP($T$903,'TAR FIN'!$A$1:$O$120,15,0)),0,VLOOKUP($T$903,'TAR FIN'!$A$1:$O$120,15,0))</f>
        <v>0</v>
      </c>
      <c r="X903" s="6">
        <f>IF(ISERROR(VLOOKUP($U$903,'TAR FIN'!$A$1:$O$120,15,0)),0,VLOOKUP($U$903,'TAR FIN'!$A$1:$O$120,15,0))</f>
        <v>0</v>
      </c>
      <c r="Y903" s="6">
        <f ca="1">('TUSD BE'!$AM$32+'TUSD BF'!$AM$32+'TUSD CVA'!$AM$32)*1</f>
        <v>11.452356648653195</v>
      </c>
      <c r="Z903" s="6"/>
      <c r="AA903" s="6"/>
      <c r="AB903" s="6">
        <f>$K$903*$V$903</f>
        <v>87685.930000000008</v>
      </c>
      <c r="AC903" s="6">
        <f>$M$903*$W$903</f>
        <v>0</v>
      </c>
      <c r="AD903" s="6">
        <f>$O$903*$X$903</f>
        <v>0</v>
      </c>
      <c r="AE903" s="6">
        <f ca="1">$K$903*$Y$903</f>
        <v>113985.30572404525</v>
      </c>
      <c r="AF903" s="6">
        <f>$M$903*$Z$903</f>
        <v>0</v>
      </c>
      <c r="AG903" s="6">
        <f>$O$903*$AA$903</f>
        <v>0</v>
      </c>
    </row>
    <row r="904" spans="1:33" ht="11.25" customHeight="1" x14ac:dyDescent="0.25">
      <c r="A904" s="4" t="s">
        <v>21</v>
      </c>
      <c r="B904" s="4" t="s">
        <v>33</v>
      </c>
      <c r="C904" s="4" t="s">
        <v>34</v>
      </c>
      <c r="D904" s="4" t="s">
        <v>48</v>
      </c>
      <c r="E904" s="4" t="s">
        <v>25</v>
      </c>
      <c r="F904" s="4" t="s">
        <v>25</v>
      </c>
      <c r="G904" s="4" t="s">
        <v>25</v>
      </c>
      <c r="H904" s="4" t="s">
        <v>25</v>
      </c>
      <c r="I904" s="5">
        <v>44044</v>
      </c>
      <c r="J904" s="6">
        <v>47476</v>
      </c>
      <c r="K904" s="6">
        <v>47476</v>
      </c>
      <c r="L904" s="6">
        <v>0</v>
      </c>
      <c r="M904" s="6">
        <v>0</v>
      </c>
      <c r="N904" s="6">
        <v>0</v>
      </c>
      <c r="O904" s="6">
        <v>0</v>
      </c>
      <c r="P904" s="6">
        <v>285</v>
      </c>
      <c r="Q904" s="4" t="s">
        <v>26</v>
      </c>
      <c r="R904" s="4">
        <v>0</v>
      </c>
      <c r="S904" s="6">
        <v>26</v>
      </c>
      <c r="T904" s="6">
        <v>0</v>
      </c>
      <c r="U904" s="6">
        <v>0</v>
      </c>
      <c r="V904" s="6">
        <f>IF(ISERROR(VLOOKUP($S$904,'TAR FIN'!$A$1:$O$120,15,0)),0,VLOOKUP($S$904,'TAR FIN'!$A$1:$O$120,15,0))</f>
        <v>8.81</v>
      </c>
      <c r="W904" s="6">
        <f>IF(ISERROR(VLOOKUP($T$904,'TAR FIN'!$A$1:$O$120,15,0)),0,VLOOKUP($T$904,'TAR FIN'!$A$1:$O$120,15,0))</f>
        <v>0</v>
      </c>
      <c r="X904" s="6">
        <f>IF(ISERROR(VLOOKUP($U$904,'TAR FIN'!$A$1:$O$120,15,0)),0,VLOOKUP($U$904,'TAR FIN'!$A$1:$O$120,15,0))</f>
        <v>0</v>
      </c>
      <c r="Y904" s="6">
        <f ca="1">('TUSD BE'!$AM$32+'TUSD BF'!$AM$32+'TUSD CVA'!$AM$32)*1</f>
        <v>11.452356648653195</v>
      </c>
      <c r="Z904" s="6"/>
      <c r="AA904" s="6"/>
      <c r="AB904" s="6">
        <f>$K$904*$V$904</f>
        <v>418263.56</v>
      </c>
      <c r="AC904" s="6">
        <f>$M$904*$W$904</f>
        <v>0</v>
      </c>
      <c r="AD904" s="6">
        <f>$O$904*$X$904</f>
        <v>0</v>
      </c>
      <c r="AE904" s="6">
        <f ca="1">$K$904*$Y$904</f>
        <v>543712.08425145911</v>
      </c>
      <c r="AF904" s="6">
        <f>$M$904*$Z$904</f>
        <v>0</v>
      </c>
      <c r="AG904" s="6">
        <f>$O$904*$AA$904</f>
        <v>0</v>
      </c>
    </row>
    <row r="905" spans="1:33" ht="11.25" customHeight="1" x14ac:dyDescent="0.25">
      <c r="A905" s="4" t="s">
        <v>28</v>
      </c>
      <c r="B905" s="4" t="s">
        <v>33</v>
      </c>
      <c r="C905" s="4" t="s">
        <v>34</v>
      </c>
      <c r="D905" s="4" t="s">
        <v>48</v>
      </c>
      <c r="E905" s="4" t="s">
        <v>25</v>
      </c>
      <c r="F905" s="4" t="s">
        <v>25</v>
      </c>
      <c r="G905" s="4" t="s">
        <v>25</v>
      </c>
      <c r="H905" s="4" t="s">
        <v>25</v>
      </c>
      <c r="I905" s="5">
        <v>44044</v>
      </c>
      <c r="J905" s="6">
        <v>9953</v>
      </c>
      <c r="K905" s="6">
        <v>9953</v>
      </c>
      <c r="L905" s="6">
        <v>0</v>
      </c>
      <c r="M905" s="6">
        <v>0</v>
      </c>
      <c r="N905" s="6">
        <v>0</v>
      </c>
      <c r="O905" s="6">
        <v>0</v>
      </c>
      <c r="P905" s="6">
        <v>14</v>
      </c>
      <c r="Q905" s="4" t="s">
        <v>26</v>
      </c>
      <c r="R905" s="4">
        <v>0</v>
      </c>
      <c r="S905" s="6">
        <v>26</v>
      </c>
      <c r="T905" s="6">
        <v>0</v>
      </c>
      <c r="U905" s="6">
        <v>0</v>
      </c>
      <c r="V905" s="6">
        <f>IF(ISERROR(VLOOKUP($S$905,'TAR FIN'!$A$1:$O$120,15,0)),0,VLOOKUP($S$905,'TAR FIN'!$A$1:$O$120,15,0))</f>
        <v>8.81</v>
      </c>
      <c r="W905" s="6">
        <f>IF(ISERROR(VLOOKUP($T$905,'TAR FIN'!$A$1:$O$120,15,0)),0,VLOOKUP($T$905,'TAR FIN'!$A$1:$O$120,15,0))</f>
        <v>0</v>
      </c>
      <c r="X905" s="6">
        <f>IF(ISERROR(VLOOKUP($U$905,'TAR FIN'!$A$1:$O$120,15,0)),0,VLOOKUP($U$905,'TAR FIN'!$A$1:$O$120,15,0))</f>
        <v>0</v>
      </c>
      <c r="Y905" s="6">
        <f ca="1">('TUSD BE'!$AM$32+'TUSD BF'!$AM$32+'TUSD CVA'!$AM$32)*1</f>
        <v>11.452356648653195</v>
      </c>
      <c r="Z905" s="6"/>
      <c r="AA905" s="6"/>
      <c r="AB905" s="6">
        <f>$K$905*$V$905</f>
        <v>87685.930000000008</v>
      </c>
      <c r="AC905" s="6">
        <f>$M$905*$W$905</f>
        <v>0</v>
      </c>
      <c r="AD905" s="6">
        <f>$O$905*$X$905</f>
        <v>0</v>
      </c>
      <c r="AE905" s="6">
        <f ca="1">$K$905*$Y$905</f>
        <v>113985.30572404525</v>
      </c>
      <c r="AF905" s="6">
        <f>$M$905*$Z$905</f>
        <v>0</v>
      </c>
      <c r="AG905" s="6">
        <f>$O$905*$AA$905</f>
        <v>0</v>
      </c>
    </row>
    <row r="906" spans="1:33" ht="11.25" customHeight="1" x14ac:dyDescent="0.25">
      <c r="A906" s="4" t="s">
        <v>59</v>
      </c>
      <c r="B906" s="4" t="s">
        <v>33</v>
      </c>
      <c r="C906" s="4" t="s">
        <v>34</v>
      </c>
      <c r="D906" s="4" t="s">
        <v>48</v>
      </c>
      <c r="E906" s="4" t="s">
        <v>25</v>
      </c>
      <c r="F906" s="4" t="s">
        <v>25</v>
      </c>
      <c r="G906" s="4" t="s">
        <v>25</v>
      </c>
      <c r="H906" s="4" t="s">
        <v>25</v>
      </c>
      <c r="I906" s="5">
        <v>44075</v>
      </c>
      <c r="J906" s="6">
        <v>47476</v>
      </c>
      <c r="K906" s="6">
        <v>47476</v>
      </c>
      <c r="L906" s="6">
        <v>0</v>
      </c>
      <c r="M906" s="6">
        <v>0</v>
      </c>
      <c r="N906" s="6">
        <v>0</v>
      </c>
      <c r="O906" s="6">
        <v>0</v>
      </c>
      <c r="P906" s="6">
        <v>285</v>
      </c>
      <c r="Q906" s="4" t="s">
        <v>26</v>
      </c>
      <c r="R906" s="4">
        <v>0</v>
      </c>
      <c r="S906" s="6">
        <v>26</v>
      </c>
      <c r="T906" s="6">
        <v>0</v>
      </c>
      <c r="U906" s="6">
        <v>0</v>
      </c>
      <c r="V906" s="6">
        <f>IF(ISERROR(VLOOKUP($S$906,'TAR FIN'!$A$1:$O$120,15,0)),0,VLOOKUP($S$906,'TAR FIN'!$A$1:$O$120,15,0))</f>
        <v>8.81</v>
      </c>
      <c r="W906" s="6">
        <f>IF(ISERROR(VLOOKUP($T$906,'TAR FIN'!$A$1:$O$120,15,0)),0,VLOOKUP($T$906,'TAR FIN'!$A$1:$O$120,15,0))</f>
        <v>0</v>
      </c>
      <c r="X906" s="6">
        <f>IF(ISERROR(VLOOKUP($U$906,'TAR FIN'!$A$1:$O$120,15,0)),0,VLOOKUP($U$906,'TAR FIN'!$A$1:$O$120,15,0))</f>
        <v>0</v>
      </c>
      <c r="Y906" s="6">
        <f ca="1">('TUSD BE'!$AM$32+'TUSD BF'!$AM$32+'TUSD CVA'!$AM$32)*1</f>
        <v>11.452356648653195</v>
      </c>
      <c r="Z906" s="6"/>
      <c r="AA906" s="6"/>
      <c r="AB906" s="6">
        <f>$K$906*$V$906</f>
        <v>418263.56</v>
      </c>
      <c r="AC906" s="6">
        <f>$M$906*$W$906</f>
        <v>0</v>
      </c>
      <c r="AD906" s="6">
        <f>$O$906*$X$906</f>
        <v>0</v>
      </c>
      <c r="AE906" s="6">
        <f ca="1">$K$906*$Y$906</f>
        <v>543712.08425145911</v>
      </c>
      <c r="AF906" s="6">
        <f>$M$906*$Z$906</f>
        <v>0</v>
      </c>
      <c r="AG906" s="6">
        <f>$O$906*$AA$906</f>
        <v>0</v>
      </c>
    </row>
    <row r="907" spans="1:33" ht="11.25" customHeight="1" x14ac:dyDescent="0.25">
      <c r="A907" s="4" t="s">
        <v>59</v>
      </c>
      <c r="B907" s="4" t="s">
        <v>33</v>
      </c>
      <c r="C907" s="4" t="s">
        <v>34</v>
      </c>
      <c r="D907" s="4" t="s">
        <v>48</v>
      </c>
      <c r="E907" s="4" t="s">
        <v>25</v>
      </c>
      <c r="F907" s="4" t="s">
        <v>25</v>
      </c>
      <c r="G907" s="4" t="s">
        <v>25</v>
      </c>
      <c r="H907" s="4" t="s">
        <v>25</v>
      </c>
      <c r="I907" s="5">
        <v>44075</v>
      </c>
      <c r="J907" s="6">
        <v>9953</v>
      </c>
      <c r="K907" s="6">
        <v>9953</v>
      </c>
      <c r="L907" s="6">
        <v>0</v>
      </c>
      <c r="M907" s="6">
        <v>0</v>
      </c>
      <c r="N907" s="6">
        <v>0</v>
      </c>
      <c r="O907" s="6">
        <v>0</v>
      </c>
      <c r="P907" s="6">
        <v>14</v>
      </c>
      <c r="Q907" s="4" t="s">
        <v>26</v>
      </c>
      <c r="R907" s="4">
        <v>0</v>
      </c>
      <c r="S907" s="6">
        <v>26</v>
      </c>
      <c r="T907" s="6">
        <v>0</v>
      </c>
      <c r="U907" s="6">
        <v>0</v>
      </c>
      <c r="V907" s="6">
        <f>IF(ISERROR(VLOOKUP($S$907,'TAR FIN'!$A$1:$O$120,15,0)),0,VLOOKUP($S$907,'TAR FIN'!$A$1:$O$120,15,0))</f>
        <v>8.81</v>
      </c>
      <c r="W907" s="6">
        <f>IF(ISERROR(VLOOKUP($T$907,'TAR FIN'!$A$1:$O$120,15,0)),0,VLOOKUP($T$907,'TAR FIN'!$A$1:$O$120,15,0))</f>
        <v>0</v>
      </c>
      <c r="X907" s="6">
        <f>IF(ISERROR(VLOOKUP($U$907,'TAR FIN'!$A$1:$O$120,15,0)),0,VLOOKUP($U$907,'TAR FIN'!$A$1:$O$120,15,0))</f>
        <v>0</v>
      </c>
      <c r="Y907" s="6">
        <f ca="1">('TUSD BE'!$AM$32+'TUSD BF'!$AM$32+'TUSD CVA'!$AM$32)*1</f>
        <v>11.452356648653195</v>
      </c>
      <c r="Z907" s="6"/>
      <c r="AA907" s="6"/>
      <c r="AB907" s="6">
        <f>$K$907*$V$907</f>
        <v>87685.930000000008</v>
      </c>
      <c r="AC907" s="6">
        <f>$M$907*$W$907</f>
        <v>0</v>
      </c>
      <c r="AD907" s="6">
        <f>$O$907*$X$907</f>
        <v>0</v>
      </c>
      <c r="AE907" s="6">
        <f ca="1">$K$907*$Y$907</f>
        <v>113985.30572404525</v>
      </c>
      <c r="AF907" s="6">
        <f>$M$907*$Z$907</f>
        <v>0</v>
      </c>
      <c r="AG907" s="6">
        <f>$O$907*$AA$907</f>
        <v>0</v>
      </c>
    </row>
    <row r="908" spans="1:33" ht="11.25" customHeight="1" x14ac:dyDescent="0.25">
      <c r="A908" s="4" t="s">
        <v>21</v>
      </c>
      <c r="B908" s="4" t="s">
        <v>33</v>
      </c>
      <c r="C908" s="4" t="s">
        <v>34</v>
      </c>
      <c r="D908" s="4" t="s">
        <v>48</v>
      </c>
      <c r="E908" s="4" t="s">
        <v>25</v>
      </c>
      <c r="F908" s="4" t="s">
        <v>25</v>
      </c>
      <c r="G908" s="4" t="s">
        <v>25</v>
      </c>
      <c r="H908" s="4" t="s">
        <v>35</v>
      </c>
      <c r="I908" s="5">
        <v>43739</v>
      </c>
      <c r="J908" s="6">
        <v>0</v>
      </c>
      <c r="K908" s="6">
        <v>0</v>
      </c>
      <c r="L908" s="6">
        <v>1021.478</v>
      </c>
      <c r="M908" s="6">
        <v>1021.478</v>
      </c>
      <c r="N908" s="6">
        <v>1021.478</v>
      </c>
      <c r="O908" s="6">
        <v>1021.478</v>
      </c>
      <c r="P908" s="6">
        <v>0</v>
      </c>
      <c r="Q908" s="4" t="s">
        <v>26</v>
      </c>
      <c r="R908" s="4">
        <v>0</v>
      </c>
      <c r="S908" s="6">
        <v>0</v>
      </c>
      <c r="T908" s="6">
        <v>27</v>
      </c>
      <c r="U908" s="6">
        <v>81</v>
      </c>
      <c r="V908" s="6">
        <f>IF(ISERROR(VLOOKUP($S$908,'TAR FIN'!$A$1:$O$120,15,0)),0,VLOOKUP($S$908,'TAR FIN'!$A$1:$O$120,15,0))</f>
        <v>0</v>
      </c>
      <c r="W908" s="6">
        <f>IF(ISERROR(VLOOKUP($T$908,'TAR FIN'!$A$1:$O$120,15,0)),0,VLOOKUP($T$908,'TAR FIN'!$A$1:$O$120,15,0))</f>
        <v>641.99</v>
      </c>
      <c r="X908" s="6">
        <f>IF(ISERROR(VLOOKUP($U$908,'TAR FIN'!$A$1:$O$120,15,0)),0,VLOOKUP($U$908,'TAR FIN'!$A$1:$O$120,15,0))</f>
        <v>430.87</v>
      </c>
      <c r="Y908" s="6"/>
      <c r="Z908" s="6">
        <f ca="1">('TUSD BE'!$AM$33+'TUSD BF'!$AM$33+'TUSD CVA'!$AM$33)*1</f>
        <v>747.73363518028248</v>
      </c>
      <c r="AA908" s="6">
        <f>('TE BE'!$AA$10+'TE BF'!$AA$10+'TE CVA'!$AA$10)*1</f>
        <v>375.69180268700768</v>
      </c>
      <c r="AB908" s="6">
        <f>$K$908*$V$908</f>
        <v>0</v>
      </c>
      <c r="AC908" s="6">
        <f>$M$908*$W$908</f>
        <v>655778.66122000001</v>
      </c>
      <c r="AD908" s="6">
        <f>$O$908*$X$908</f>
        <v>440124.22586000001</v>
      </c>
      <c r="AE908" s="6">
        <f>$K$908*$Y$908</f>
        <v>0</v>
      </c>
      <c r="AF908" s="6">
        <f ca="1">$M$908*$Z$908</f>
        <v>763793.4581966846</v>
      </c>
      <c r="AG908" s="6">
        <f>$O$908*$AA$908</f>
        <v>383760.9112251192</v>
      </c>
    </row>
    <row r="909" spans="1:33" ht="11.25" customHeight="1" x14ac:dyDescent="0.25">
      <c r="A909" s="4" t="s">
        <v>28</v>
      </c>
      <c r="B909" s="4" t="s">
        <v>33</v>
      </c>
      <c r="C909" s="4" t="s">
        <v>34</v>
      </c>
      <c r="D909" s="4" t="s">
        <v>48</v>
      </c>
      <c r="E909" s="4" t="s">
        <v>25</v>
      </c>
      <c r="F909" s="4" t="s">
        <v>25</v>
      </c>
      <c r="G909" s="4" t="s">
        <v>25</v>
      </c>
      <c r="H909" s="4" t="s">
        <v>35</v>
      </c>
      <c r="I909" s="5">
        <v>43739</v>
      </c>
      <c r="J909" s="6">
        <v>0</v>
      </c>
      <c r="K909" s="6">
        <v>0</v>
      </c>
      <c r="L909" s="6">
        <v>0.54600000000000004</v>
      </c>
      <c r="M909" s="6">
        <v>0.54600000000000004</v>
      </c>
      <c r="N909" s="6">
        <v>0.54600000000000004</v>
      </c>
      <c r="O909" s="6">
        <v>0.54600000000000004</v>
      </c>
      <c r="P909" s="6">
        <v>0</v>
      </c>
      <c r="Q909" s="4" t="s">
        <v>26</v>
      </c>
      <c r="R909" s="4">
        <v>0</v>
      </c>
      <c r="S909" s="6">
        <v>0</v>
      </c>
      <c r="T909" s="6">
        <v>27</v>
      </c>
      <c r="U909" s="6">
        <v>81</v>
      </c>
      <c r="V909" s="6">
        <f>IF(ISERROR(VLOOKUP($S$909,'TAR FIN'!$A$1:$O$120,15,0)),0,VLOOKUP($S$909,'TAR FIN'!$A$1:$O$120,15,0))</f>
        <v>0</v>
      </c>
      <c r="W909" s="6">
        <f>IF(ISERROR(VLOOKUP($T$909,'TAR FIN'!$A$1:$O$120,15,0)),0,VLOOKUP($T$909,'TAR FIN'!$A$1:$O$120,15,0))</f>
        <v>641.99</v>
      </c>
      <c r="X909" s="6">
        <f>IF(ISERROR(VLOOKUP($U$909,'TAR FIN'!$A$1:$O$120,15,0)),0,VLOOKUP($U$909,'TAR FIN'!$A$1:$O$120,15,0))</f>
        <v>430.87</v>
      </c>
      <c r="Y909" s="6"/>
      <c r="Z909" s="6">
        <f ca="1">('TUSD BE'!$AM$33+'TUSD BF'!$AM$33+'TUSD CVA'!$AM$33)*1</f>
        <v>747.73363518028248</v>
      </c>
      <c r="AA909" s="6">
        <f>('TE BE'!$AA$10+'TE BF'!$AA$10+'TE CVA'!$AA$10)*1</f>
        <v>375.69180268700768</v>
      </c>
      <c r="AB909" s="6">
        <f>$K$909*$V$909</f>
        <v>0</v>
      </c>
      <c r="AC909" s="6">
        <f>$M$909*$W$909</f>
        <v>350.52654000000001</v>
      </c>
      <c r="AD909" s="6">
        <f>$O$909*$X$909</f>
        <v>235.25502000000003</v>
      </c>
      <c r="AE909" s="6">
        <f>$K$909*$Y$909</f>
        <v>0</v>
      </c>
      <c r="AF909" s="6">
        <f ca="1">$M$909*$Z$909</f>
        <v>408.26256480843426</v>
      </c>
      <c r="AG909" s="6">
        <f>$O$909*$AA$909</f>
        <v>205.1277242671062</v>
      </c>
    </row>
    <row r="910" spans="1:33" ht="11.25" customHeight="1" x14ac:dyDescent="0.25">
      <c r="A910" s="4" t="s">
        <v>21</v>
      </c>
      <c r="B910" s="4" t="s">
        <v>33</v>
      </c>
      <c r="C910" s="4" t="s">
        <v>34</v>
      </c>
      <c r="D910" s="4" t="s">
        <v>48</v>
      </c>
      <c r="E910" s="4" t="s">
        <v>25</v>
      </c>
      <c r="F910" s="4" t="s">
        <v>25</v>
      </c>
      <c r="G910" s="4" t="s">
        <v>25</v>
      </c>
      <c r="H910" s="4" t="s">
        <v>35</v>
      </c>
      <c r="I910" s="5">
        <v>43770</v>
      </c>
      <c r="J910" s="6">
        <v>0</v>
      </c>
      <c r="K910" s="6">
        <v>0</v>
      </c>
      <c r="L910" s="6">
        <v>1007.8150000000001</v>
      </c>
      <c r="M910" s="6">
        <v>1007.8150000000001</v>
      </c>
      <c r="N910" s="6">
        <v>1007.8150000000001</v>
      </c>
      <c r="O910" s="6">
        <v>1007.8150000000001</v>
      </c>
      <c r="P910" s="6">
        <v>0</v>
      </c>
      <c r="Q910" s="4" t="s">
        <v>26</v>
      </c>
      <c r="R910" s="4">
        <v>0</v>
      </c>
      <c r="S910" s="6">
        <v>0</v>
      </c>
      <c r="T910" s="6">
        <v>27</v>
      </c>
      <c r="U910" s="6">
        <v>81</v>
      </c>
      <c r="V910" s="6">
        <f>IF(ISERROR(VLOOKUP($S$910,'TAR FIN'!$A$1:$O$120,15,0)),0,VLOOKUP($S$910,'TAR FIN'!$A$1:$O$120,15,0))</f>
        <v>0</v>
      </c>
      <c r="W910" s="6">
        <f>IF(ISERROR(VLOOKUP($T$910,'TAR FIN'!$A$1:$O$120,15,0)),0,VLOOKUP($T$910,'TAR FIN'!$A$1:$O$120,15,0))</f>
        <v>641.99</v>
      </c>
      <c r="X910" s="6">
        <f>IF(ISERROR(VLOOKUP($U$910,'TAR FIN'!$A$1:$O$120,15,0)),0,VLOOKUP($U$910,'TAR FIN'!$A$1:$O$120,15,0))</f>
        <v>430.87</v>
      </c>
      <c r="Y910" s="6"/>
      <c r="Z910" s="6">
        <f ca="1">('TUSD BE'!$AM$33+'TUSD BF'!$AM$33+'TUSD CVA'!$AM$33)*1</f>
        <v>747.73363518028248</v>
      </c>
      <c r="AA910" s="6">
        <f>('TE BE'!$AA$10+'TE BF'!$AA$10+'TE CVA'!$AA$10)*1</f>
        <v>375.69180268700768</v>
      </c>
      <c r="AB910" s="6">
        <f>$K$910*$V$910</f>
        <v>0</v>
      </c>
      <c r="AC910" s="6">
        <f>$M$910*$W$910</f>
        <v>647007.15185000002</v>
      </c>
      <c r="AD910" s="6">
        <f>$O$910*$X$910</f>
        <v>434237.24905000004</v>
      </c>
      <c r="AE910" s="6">
        <f>$K$910*$Y$910</f>
        <v>0</v>
      </c>
      <c r="AF910" s="6">
        <f ca="1">$M$910*$Z$910</f>
        <v>753577.1735392164</v>
      </c>
      <c r="AG910" s="6">
        <f>$O$910*$AA$910</f>
        <v>378627.83412500669</v>
      </c>
    </row>
    <row r="911" spans="1:33" ht="11.25" customHeight="1" x14ac:dyDescent="0.25">
      <c r="A911" s="4" t="s">
        <v>28</v>
      </c>
      <c r="B911" s="4" t="s">
        <v>33</v>
      </c>
      <c r="C911" s="4" t="s">
        <v>34</v>
      </c>
      <c r="D911" s="4" t="s">
        <v>48</v>
      </c>
      <c r="E911" s="4" t="s">
        <v>25</v>
      </c>
      <c r="F911" s="4" t="s">
        <v>25</v>
      </c>
      <c r="G911" s="4" t="s">
        <v>25</v>
      </c>
      <c r="H911" s="4" t="s">
        <v>35</v>
      </c>
      <c r="I911" s="5">
        <v>43770</v>
      </c>
      <c r="J911" s="6">
        <v>0</v>
      </c>
      <c r="K911" s="6">
        <v>0</v>
      </c>
      <c r="L911" s="6">
        <v>168.60400000000001</v>
      </c>
      <c r="M911" s="6">
        <v>168.60400000000001</v>
      </c>
      <c r="N911" s="6">
        <v>168.60400000000001</v>
      </c>
      <c r="O911" s="6">
        <v>168.60400000000001</v>
      </c>
      <c r="P911" s="6">
        <v>0</v>
      </c>
      <c r="Q911" s="4" t="s">
        <v>26</v>
      </c>
      <c r="R911" s="4">
        <v>0</v>
      </c>
      <c r="S911" s="6">
        <v>0</v>
      </c>
      <c r="T911" s="6">
        <v>27</v>
      </c>
      <c r="U911" s="6">
        <v>81</v>
      </c>
      <c r="V911" s="6">
        <f>IF(ISERROR(VLOOKUP($S$911,'TAR FIN'!$A$1:$O$120,15,0)),0,VLOOKUP($S$911,'TAR FIN'!$A$1:$O$120,15,0))</f>
        <v>0</v>
      </c>
      <c r="W911" s="6">
        <f>IF(ISERROR(VLOOKUP($T$911,'TAR FIN'!$A$1:$O$120,15,0)),0,VLOOKUP($T$911,'TAR FIN'!$A$1:$O$120,15,0))</f>
        <v>641.99</v>
      </c>
      <c r="X911" s="6">
        <f>IF(ISERROR(VLOOKUP($U$911,'TAR FIN'!$A$1:$O$120,15,0)),0,VLOOKUP($U$911,'TAR FIN'!$A$1:$O$120,15,0))</f>
        <v>430.87</v>
      </c>
      <c r="Y911" s="6"/>
      <c r="Z911" s="6">
        <f ca="1">('TUSD BE'!$AM$33+'TUSD BF'!$AM$33+'TUSD CVA'!$AM$33)*1</f>
        <v>747.73363518028248</v>
      </c>
      <c r="AA911" s="6">
        <f>('TE BE'!$AA$10+'TE BF'!$AA$10+'TE CVA'!$AA$10)*1</f>
        <v>375.69180268700768</v>
      </c>
      <c r="AB911" s="6">
        <f>$K$911*$V$911</f>
        <v>0</v>
      </c>
      <c r="AC911" s="6">
        <f>$M$911*$W$911</f>
        <v>108242.08196000001</v>
      </c>
      <c r="AD911" s="6">
        <f>$O$911*$X$911</f>
        <v>72646.405480000001</v>
      </c>
      <c r="AE911" s="6">
        <f>$K$911*$Y$911</f>
        <v>0</v>
      </c>
      <c r="AF911" s="6">
        <f ca="1">$M$911*$Z$911</f>
        <v>126070.88182593636</v>
      </c>
      <c r="AG911" s="6">
        <f>$O$911*$AA$911</f>
        <v>63343.140700240248</v>
      </c>
    </row>
    <row r="912" spans="1:33" ht="11.25" customHeight="1" x14ac:dyDescent="0.25">
      <c r="A912" s="4" t="s">
        <v>21</v>
      </c>
      <c r="B912" s="4" t="s">
        <v>33</v>
      </c>
      <c r="C912" s="4" t="s">
        <v>34</v>
      </c>
      <c r="D912" s="4" t="s">
        <v>48</v>
      </c>
      <c r="E912" s="4" t="s">
        <v>25</v>
      </c>
      <c r="F912" s="4" t="s">
        <v>25</v>
      </c>
      <c r="G912" s="4" t="s">
        <v>25</v>
      </c>
      <c r="H912" s="4" t="s">
        <v>35</v>
      </c>
      <c r="I912" s="5">
        <v>43800</v>
      </c>
      <c r="J912" s="6">
        <v>0</v>
      </c>
      <c r="K912" s="6">
        <v>0</v>
      </c>
      <c r="L912" s="6">
        <v>884.58900000000006</v>
      </c>
      <c r="M912" s="6">
        <v>884.58900000000006</v>
      </c>
      <c r="N912" s="6">
        <v>884.58900000000006</v>
      </c>
      <c r="O912" s="6">
        <v>884.58900000000006</v>
      </c>
      <c r="P912" s="6">
        <v>0</v>
      </c>
      <c r="Q912" s="4" t="s">
        <v>26</v>
      </c>
      <c r="R912" s="4">
        <v>0</v>
      </c>
      <c r="S912" s="6">
        <v>0</v>
      </c>
      <c r="T912" s="6">
        <v>27</v>
      </c>
      <c r="U912" s="6">
        <v>81</v>
      </c>
      <c r="V912" s="6">
        <f>IF(ISERROR(VLOOKUP($S$912,'TAR FIN'!$A$1:$O$120,15,0)),0,VLOOKUP($S$912,'TAR FIN'!$A$1:$O$120,15,0))</f>
        <v>0</v>
      </c>
      <c r="W912" s="6">
        <f>IF(ISERROR(VLOOKUP($T$912,'TAR FIN'!$A$1:$O$120,15,0)),0,VLOOKUP($T$912,'TAR FIN'!$A$1:$O$120,15,0))</f>
        <v>641.99</v>
      </c>
      <c r="X912" s="6">
        <f>IF(ISERROR(VLOOKUP($U$912,'TAR FIN'!$A$1:$O$120,15,0)),0,VLOOKUP($U$912,'TAR FIN'!$A$1:$O$120,15,0))</f>
        <v>430.87</v>
      </c>
      <c r="Y912" s="6"/>
      <c r="Z912" s="6">
        <f ca="1">('TUSD BE'!$AM$33+'TUSD BF'!$AM$33+'TUSD CVA'!$AM$33)*1</f>
        <v>747.73363518028248</v>
      </c>
      <c r="AA912" s="6">
        <f>('TE BE'!$AA$10+'TE BF'!$AA$10+'TE CVA'!$AA$10)*1</f>
        <v>375.69180268700768</v>
      </c>
      <c r="AB912" s="6">
        <f>$K$912*$V$912</f>
        <v>0</v>
      </c>
      <c r="AC912" s="6">
        <f>$M$912*$W$912</f>
        <v>567897.29211000004</v>
      </c>
      <c r="AD912" s="6">
        <f>$O$912*$X$912</f>
        <v>381142.86243000004</v>
      </c>
      <c r="AE912" s="6">
        <f>$K$912*$Y$912</f>
        <v>0</v>
      </c>
      <c r="AF912" s="6">
        <f ca="1">$M$912*$Z$912</f>
        <v>661436.94861049089</v>
      </c>
      <c r="AG912" s="6">
        <f>$O$912*$AA$912</f>
        <v>332332.83604709746</v>
      </c>
    </row>
    <row r="913" spans="1:33" ht="11.25" customHeight="1" x14ac:dyDescent="0.25">
      <c r="A913" s="4" t="s">
        <v>28</v>
      </c>
      <c r="B913" s="4" t="s">
        <v>33</v>
      </c>
      <c r="C913" s="4" t="s">
        <v>34</v>
      </c>
      <c r="D913" s="4" t="s">
        <v>48</v>
      </c>
      <c r="E913" s="4" t="s">
        <v>25</v>
      </c>
      <c r="F913" s="4" t="s">
        <v>25</v>
      </c>
      <c r="G913" s="4" t="s">
        <v>25</v>
      </c>
      <c r="H913" s="4" t="s">
        <v>35</v>
      </c>
      <c r="I913" s="5">
        <v>43800</v>
      </c>
      <c r="J913" s="6">
        <v>0</v>
      </c>
      <c r="K913" s="6">
        <v>0</v>
      </c>
      <c r="L913" s="6">
        <v>153.52500000000001</v>
      </c>
      <c r="M913" s="6">
        <v>153.52500000000001</v>
      </c>
      <c r="N913" s="6">
        <v>153.52500000000001</v>
      </c>
      <c r="O913" s="6">
        <v>153.52500000000001</v>
      </c>
      <c r="P913" s="6">
        <v>0</v>
      </c>
      <c r="Q913" s="4" t="s">
        <v>26</v>
      </c>
      <c r="R913" s="4">
        <v>0</v>
      </c>
      <c r="S913" s="6">
        <v>0</v>
      </c>
      <c r="T913" s="6">
        <v>27</v>
      </c>
      <c r="U913" s="6">
        <v>81</v>
      </c>
      <c r="V913" s="6">
        <f>IF(ISERROR(VLOOKUP($S$913,'TAR FIN'!$A$1:$O$120,15,0)),0,VLOOKUP($S$913,'TAR FIN'!$A$1:$O$120,15,0))</f>
        <v>0</v>
      </c>
      <c r="W913" s="6">
        <f>IF(ISERROR(VLOOKUP($T$913,'TAR FIN'!$A$1:$O$120,15,0)),0,VLOOKUP($T$913,'TAR FIN'!$A$1:$O$120,15,0))</f>
        <v>641.99</v>
      </c>
      <c r="X913" s="6">
        <f>IF(ISERROR(VLOOKUP($U$913,'TAR FIN'!$A$1:$O$120,15,0)),0,VLOOKUP($U$913,'TAR FIN'!$A$1:$O$120,15,0))</f>
        <v>430.87</v>
      </c>
      <c r="Y913" s="6"/>
      <c r="Z913" s="6">
        <f ca="1">('TUSD BE'!$AM$33+'TUSD BF'!$AM$33+'TUSD CVA'!$AM$33)*1</f>
        <v>747.73363518028248</v>
      </c>
      <c r="AA913" s="6">
        <f>('TE BE'!$AA$10+'TE BF'!$AA$10+'TE CVA'!$AA$10)*1</f>
        <v>375.69180268700768</v>
      </c>
      <c r="AB913" s="6">
        <f>$K$913*$V$913</f>
        <v>0</v>
      </c>
      <c r="AC913" s="6">
        <f>$M$913*$W$913</f>
        <v>98561.514750000002</v>
      </c>
      <c r="AD913" s="6">
        <f>$O$913*$X$913</f>
        <v>66149.316749999998</v>
      </c>
      <c r="AE913" s="6">
        <f>$K$913*$Y$913</f>
        <v>0</v>
      </c>
      <c r="AF913" s="6">
        <f ca="1">$M$913*$Z$913</f>
        <v>114795.80634105287</v>
      </c>
      <c r="AG913" s="6">
        <f>$O$913*$AA$913</f>
        <v>57678.084007522855</v>
      </c>
    </row>
    <row r="914" spans="1:33" ht="11.25" customHeight="1" x14ac:dyDescent="0.25">
      <c r="A914" s="4" t="s">
        <v>21</v>
      </c>
      <c r="B914" s="4" t="s">
        <v>33</v>
      </c>
      <c r="C914" s="4" t="s">
        <v>34</v>
      </c>
      <c r="D914" s="4" t="s">
        <v>48</v>
      </c>
      <c r="E914" s="4" t="s">
        <v>25</v>
      </c>
      <c r="F914" s="4" t="s">
        <v>25</v>
      </c>
      <c r="G914" s="4" t="s">
        <v>25</v>
      </c>
      <c r="H914" s="4" t="s">
        <v>35</v>
      </c>
      <c r="I914" s="5">
        <v>43831</v>
      </c>
      <c r="J914" s="6">
        <v>0</v>
      </c>
      <c r="K914" s="6">
        <v>0</v>
      </c>
      <c r="L914" s="6">
        <v>802.74</v>
      </c>
      <c r="M914" s="6">
        <v>802.74</v>
      </c>
      <c r="N914" s="6">
        <v>802.74</v>
      </c>
      <c r="O914" s="6">
        <v>802.74</v>
      </c>
      <c r="P914" s="6">
        <v>0</v>
      </c>
      <c r="Q914" s="4" t="s">
        <v>26</v>
      </c>
      <c r="R914" s="4">
        <v>0</v>
      </c>
      <c r="S914" s="6">
        <v>0</v>
      </c>
      <c r="T914" s="6">
        <v>27</v>
      </c>
      <c r="U914" s="6">
        <v>81</v>
      </c>
      <c r="V914" s="6">
        <f>IF(ISERROR(VLOOKUP($S$914,'TAR FIN'!$A$1:$O$120,15,0)),0,VLOOKUP($S$914,'TAR FIN'!$A$1:$O$120,15,0))</f>
        <v>0</v>
      </c>
      <c r="W914" s="6">
        <f>IF(ISERROR(VLOOKUP($T$914,'TAR FIN'!$A$1:$O$120,15,0)),0,VLOOKUP($T$914,'TAR FIN'!$A$1:$O$120,15,0))</f>
        <v>641.99</v>
      </c>
      <c r="X914" s="6">
        <f>IF(ISERROR(VLOOKUP($U$914,'TAR FIN'!$A$1:$O$120,15,0)),0,VLOOKUP($U$914,'TAR FIN'!$A$1:$O$120,15,0))</f>
        <v>430.87</v>
      </c>
      <c r="Y914" s="6"/>
      <c r="Z914" s="6">
        <f ca="1">('TUSD BE'!$AM$33+'TUSD BF'!$AM$33+'TUSD CVA'!$AM$33)*1</f>
        <v>747.73363518028248</v>
      </c>
      <c r="AA914" s="6">
        <f>('TE BE'!$AA$10+'TE BF'!$AA$10+'TE CVA'!$AA$10)*1</f>
        <v>375.69180268700768</v>
      </c>
      <c r="AB914" s="6">
        <f>$K$914*$V$914</f>
        <v>0</v>
      </c>
      <c r="AC914" s="6">
        <f>$M$914*$W$914</f>
        <v>515351.0526</v>
      </c>
      <c r="AD914" s="6">
        <f>$O$914*$X$914</f>
        <v>345876.58380000002</v>
      </c>
      <c r="AE914" s="6">
        <f>$K$914*$Y$914</f>
        <v>0</v>
      </c>
      <c r="AF914" s="6">
        <f ca="1">$M$914*$Z$914</f>
        <v>600235.69830461999</v>
      </c>
      <c r="AG914" s="6">
        <f>$O$914*$AA$914</f>
        <v>301582.83768896858</v>
      </c>
    </row>
    <row r="915" spans="1:33" ht="11.25" customHeight="1" x14ac:dyDescent="0.25">
      <c r="A915" s="4" t="s">
        <v>28</v>
      </c>
      <c r="B915" s="4" t="s">
        <v>33</v>
      </c>
      <c r="C915" s="4" t="s">
        <v>34</v>
      </c>
      <c r="D915" s="4" t="s">
        <v>48</v>
      </c>
      <c r="E915" s="4" t="s">
        <v>25</v>
      </c>
      <c r="F915" s="4" t="s">
        <v>25</v>
      </c>
      <c r="G915" s="4" t="s">
        <v>25</v>
      </c>
      <c r="H915" s="4" t="s">
        <v>35</v>
      </c>
      <c r="I915" s="5">
        <v>43831</v>
      </c>
      <c r="J915" s="6">
        <v>0</v>
      </c>
      <c r="K915" s="6">
        <v>0</v>
      </c>
      <c r="L915" s="6">
        <v>143.529</v>
      </c>
      <c r="M915" s="6">
        <v>143.529</v>
      </c>
      <c r="N915" s="6">
        <v>143.529</v>
      </c>
      <c r="O915" s="6">
        <v>143.529</v>
      </c>
      <c r="P915" s="6">
        <v>0</v>
      </c>
      <c r="Q915" s="4" t="s">
        <v>26</v>
      </c>
      <c r="R915" s="4">
        <v>0</v>
      </c>
      <c r="S915" s="6">
        <v>0</v>
      </c>
      <c r="T915" s="6">
        <v>27</v>
      </c>
      <c r="U915" s="6">
        <v>81</v>
      </c>
      <c r="V915" s="6">
        <f>IF(ISERROR(VLOOKUP($S$915,'TAR FIN'!$A$1:$O$120,15,0)),0,VLOOKUP($S$915,'TAR FIN'!$A$1:$O$120,15,0))</f>
        <v>0</v>
      </c>
      <c r="W915" s="6">
        <f>IF(ISERROR(VLOOKUP($T$915,'TAR FIN'!$A$1:$O$120,15,0)),0,VLOOKUP($T$915,'TAR FIN'!$A$1:$O$120,15,0))</f>
        <v>641.99</v>
      </c>
      <c r="X915" s="6">
        <f>IF(ISERROR(VLOOKUP($U$915,'TAR FIN'!$A$1:$O$120,15,0)),0,VLOOKUP($U$915,'TAR FIN'!$A$1:$O$120,15,0))</f>
        <v>430.87</v>
      </c>
      <c r="Y915" s="6"/>
      <c r="Z915" s="6">
        <f ca="1">('TUSD BE'!$AM$33+'TUSD BF'!$AM$33+'TUSD CVA'!$AM$33)*1</f>
        <v>747.73363518028248</v>
      </c>
      <c r="AA915" s="6">
        <f>('TE BE'!$AA$10+'TE BF'!$AA$10+'TE CVA'!$AA$10)*1</f>
        <v>375.69180268700768</v>
      </c>
      <c r="AB915" s="6">
        <f>$K$915*$V$915</f>
        <v>0</v>
      </c>
      <c r="AC915" s="6">
        <f>$M$915*$W$915</f>
        <v>92144.182709999994</v>
      </c>
      <c r="AD915" s="6">
        <f>$O$915*$X$915</f>
        <v>61842.340230000002</v>
      </c>
      <c r="AE915" s="6">
        <f>$K$915*$Y$915</f>
        <v>0</v>
      </c>
      <c r="AF915" s="6">
        <f ca="1">$M$915*$Z$915</f>
        <v>107321.46092379076</v>
      </c>
      <c r="AG915" s="6">
        <f>$O$915*$AA$915</f>
        <v>53922.668747863521</v>
      </c>
    </row>
    <row r="916" spans="1:33" ht="11.25" customHeight="1" x14ac:dyDescent="0.25">
      <c r="A916" s="4" t="s">
        <v>21</v>
      </c>
      <c r="B916" s="4" t="s">
        <v>33</v>
      </c>
      <c r="C916" s="4" t="s">
        <v>34</v>
      </c>
      <c r="D916" s="4" t="s">
        <v>48</v>
      </c>
      <c r="E916" s="4" t="s">
        <v>25</v>
      </c>
      <c r="F916" s="4" t="s">
        <v>25</v>
      </c>
      <c r="G916" s="4" t="s">
        <v>25</v>
      </c>
      <c r="H916" s="4" t="s">
        <v>35</v>
      </c>
      <c r="I916" s="5">
        <v>43862</v>
      </c>
      <c r="J916" s="6">
        <v>0</v>
      </c>
      <c r="K916" s="6">
        <v>0</v>
      </c>
      <c r="L916" s="6">
        <v>884.14700000000005</v>
      </c>
      <c r="M916" s="6">
        <v>884.14700000000005</v>
      </c>
      <c r="N916" s="6">
        <v>884.14700000000005</v>
      </c>
      <c r="O916" s="6">
        <v>884.14700000000005</v>
      </c>
      <c r="P916" s="6">
        <v>0</v>
      </c>
      <c r="Q916" s="4" t="s">
        <v>26</v>
      </c>
      <c r="R916" s="4">
        <v>0</v>
      </c>
      <c r="S916" s="6">
        <v>0</v>
      </c>
      <c r="T916" s="6">
        <v>27</v>
      </c>
      <c r="U916" s="6">
        <v>81</v>
      </c>
      <c r="V916" s="6">
        <f>IF(ISERROR(VLOOKUP($S$916,'TAR FIN'!$A$1:$O$120,15,0)),0,VLOOKUP($S$916,'TAR FIN'!$A$1:$O$120,15,0))</f>
        <v>0</v>
      </c>
      <c r="W916" s="6">
        <f>IF(ISERROR(VLOOKUP($T$916,'TAR FIN'!$A$1:$O$120,15,0)),0,VLOOKUP($T$916,'TAR FIN'!$A$1:$O$120,15,0))</f>
        <v>641.99</v>
      </c>
      <c r="X916" s="6">
        <f>IF(ISERROR(VLOOKUP($U$916,'TAR FIN'!$A$1:$O$120,15,0)),0,VLOOKUP($U$916,'TAR FIN'!$A$1:$O$120,15,0))</f>
        <v>430.87</v>
      </c>
      <c r="Y916" s="6"/>
      <c r="Z916" s="6">
        <f ca="1">('TUSD BE'!$AM$33+'TUSD BF'!$AM$33+'TUSD CVA'!$AM$33)*1</f>
        <v>747.73363518028248</v>
      </c>
      <c r="AA916" s="6">
        <f>('TE BE'!$AA$10+'TE BF'!$AA$10+'TE CVA'!$AA$10)*1</f>
        <v>375.69180268700768</v>
      </c>
      <c r="AB916" s="6">
        <f>$K$916*$V$916</f>
        <v>0</v>
      </c>
      <c r="AC916" s="6">
        <f>$M$916*$W$916</f>
        <v>567613.53253000008</v>
      </c>
      <c r="AD916" s="6">
        <f>$O$916*$X$916</f>
        <v>380952.41789000004</v>
      </c>
      <c r="AE916" s="6">
        <f>$K$916*$Y$916</f>
        <v>0</v>
      </c>
      <c r="AF916" s="6">
        <f ca="1">$M$916*$Z$916</f>
        <v>661106.45034374122</v>
      </c>
      <c r="AG916" s="6">
        <f>$O$916*$AA$916</f>
        <v>332166.78027030977</v>
      </c>
    </row>
    <row r="917" spans="1:33" ht="11.25" customHeight="1" x14ac:dyDescent="0.25">
      <c r="A917" s="4" t="s">
        <v>28</v>
      </c>
      <c r="B917" s="4" t="s">
        <v>33</v>
      </c>
      <c r="C917" s="4" t="s">
        <v>34</v>
      </c>
      <c r="D917" s="4" t="s">
        <v>48</v>
      </c>
      <c r="E917" s="4" t="s">
        <v>25</v>
      </c>
      <c r="F917" s="4" t="s">
        <v>25</v>
      </c>
      <c r="G917" s="4" t="s">
        <v>25</v>
      </c>
      <c r="H917" s="4" t="s">
        <v>35</v>
      </c>
      <c r="I917" s="5">
        <v>43862</v>
      </c>
      <c r="J917" s="6">
        <v>0</v>
      </c>
      <c r="K917" s="6">
        <v>0</v>
      </c>
      <c r="L917" s="6">
        <v>153.876</v>
      </c>
      <c r="M917" s="6">
        <v>153.876</v>
      </c>
      <c r="N917" s="6">
        <v>153.876</v>
      </c>
      <c r="O917" s="6">
        <v>153.876</v>
      </c>
      <c r="P917" s="6">
        <v>0</v>
      </c>
      <c r="Q917" s="4" t="s">
        <v>26</v>
      </c>
      <c r="R917" s="4">
        <v>0</v>
      </c>
      <c r="S917" s="6">
        <v>0</v>
      </c>
      <c r="T917" s="6">
        <v>27</v>
      </c>
      <c r="U917" s="6">
        <v>81</v>
      </c>
      <c r="V917" s="6">
        <f>IF(ISERROR(VLOOKUP($S$917,'TAR FIN'!$A$1:$O$120,15,0)),0,VLOOKUP($S$917,'TAR FIN'!$A$1:$O$120,15,0))</f>
        <v>0</v>
      </c>
      <c r="W917" s="6">
        <f>IF(ISERROR(VLOOKUP($T$917,'TAR FIN'!$A$1:$O$120,15,0)),0,VLOOKUP($T$917,'TAR FIN'!$A$1:$O$120,15,0))</f>
        <v>641.99</v>
      </c>
      <c r="X917" s="6">
        <f>IF(ISERROR(VLOOKUP($U$917,'TAR FIN'!$A$1:$O$120,15,0)),0,VLOOKUP($U$917,'TAR FIN'!$A$1:$O$120,15,0))</f>
        <v>430.87</v>
      </c>
      <c r="Y917" s="6"/>
      <c r="Z917" s="6">
        <f ca="1">('TUSD BE'!$AM$33+'TUSD BF'!$AM$33+'TUSD CVA'!$AM$33)*1</f>
        <v>747.73363518028248</v>
      </c>
      <c r="AA917" s="6">
        <f>('TE BE'!$AA$10+'TE BF'!$AA$10+'TE CVA'!$AA$10)*1</f>
        <v>375.69180268700768</v>
      </c>
      <c r="AB917" s="6">
        <f>$K$917*$V$917</f>
        <v>0</v>
      </c>
      <c r="AC917" s="6">
        <f>$M$917*$W$917</f>
        <v>98786.853240000011</v>
      </c>
      <c r="AD917" s="6">
        <f>$O$917*$X$917</f>
        <v>66300.552120000008</v>
      </c>
      <c r="AE917" s="6">
        <f>$K$917*$Y$917</f>
        <v>0</v>
      </c>
      <c r="AF917" s="6">
        <f ca="1">$M$917*$Z$917</f>
        <v>115058.26084700115</v>
      </c>
      <c r="AG917" s="6">
        <f>$O$917*$AA$917</f>
        <v>57809.951830265993</v>
      </c>
    </row>
    <row r="918" spans="1:33" ht="11.25" customHeight="1" x14ac:dyDescent="0.25">
      <c r="A918" s="4" t="s">
        <v>21</v>
      </c>
      <c r="B918" s="4" t="s">
        <v>33</v>
      </c>
      <c r="C918" s="4" t="s">
        <v>34</v>
      </c>
      <c r="D918" s="4" t="s">
        <v>48</v>
      </c>
      <c r="E918" s="4" t="s">
        <v>25</v>
      </c>
      <c r="F918" s="4" t="s">
        <v>25</v>
      </c>
      <c r="G918" s="4" t="s">
        <v>25</v>
      </c>
      <c r="H918" s="4" t="s">
        <v>35</v>
      </c>
      <c r="I918" s="5">
        <v>43891</v>
      </c>
      <c r="J918" s="6">
        <v>0</v>
      </c>
      <c r="K918" s="6">
        <v>0</v>
      </c>
      <c r="L918" s="6">
        <v>807.78499999999997</v>
      </c>
      <c r="M918" s="6">
        <v>807.78499999999997</v>
      </c>
      <c r="N918" s="6">
        <v>807.78499999999997</v>
      </c>
      <c r="O918" s="6">
        <v>807.78499999999997</v>
      </c>
      <c r="P918" s="6">
        <v>0</v>
      </c>
      <c r="Q918" s="4" t="s">
        <v>26</v>
      </c>
      <c r="R918" s="4">
        <v>0</v>
      </c>
      <c r="S918" s="6">
        <v>0</v>
      </c>
      <c r="T918" s="6">
        <v>27</v>
      </c>
      <c r="U918" s="6">
        <v>81</v>
      </c>
      <c r="V918" s="6">
        <f>IF(ISERROR(VLOOKUP($S$918,'TAR FIN'!$A$1:$O$120,15,0)),0,VLOOKUP($S$918,'TAR FIN'!$A$1:$O$120,15,0))</f>
        <v>0</v>
      </c>
      <c r="W918" s="6">
        <f>IF(ISERROR(VLOOKUP($T$918,'TAR FIN'!$A$1:$O$120,15,0)),0,VLOOKUP($T$918,'TAR FIN'!$A$1:$O$120,15,0))</f>
        <v>641.99</v>
      </c>
      <c r="X918" s="6">
        <f>IF(ISERROR(VLOOKUP($U$918,'TAR FIN'!$A$1:$O$120,15,0)),0,VLOOKUP($U$918,'TAR FIN'!$A$1:$O$120,15,0))</f>
        <v>430.87</v>
      </c>
      <c r="Y918" s="6"/>
      <c r="Z918" s="6">
        <f ca="1">('TUSD BE'!$AM$33+'TUSD BF'!$AM$33+'TUSD CVA'!$AM$33)*1</f>
        <v>747.73363518028248</v>
      </c>
      <c r="AA918" s="6">
        <f>('TE BE'!$AA$10+'TE BF'!$AA$10+'TE CVA'!$AA$10)*1</f>
        <v>375.69180268700768</v>
      </c>
      <c r="AB918" s="6">
        <f>$K$918*$V$918</f>
        <v>0</v>
      </c>
      <c r="AC918" s="6">
        <f>$M$918*$W$918</f>
        <v>518589.89214999997</v>
      </c>
      <c r="AD918" s="6">
        <f>$O$918*$X$918</f>
        <v>348050.32295</v>
      </c>
      <c r="AE918" s="6">
        <f>$K$918*$Y$918</f>
        <v>0</v>
      </c>
      <c r="AF918" s="6">
        <f ca="1">$M$918*$Z$918</f>
        <v>604008.01449410443</v>
      </c>
      <c r="AG918" s="6">
        <f>$O$918*$AA$918</f>
        <v>303478.2028335245</v>
      </c>
    </row>
    <row r="919" spans="1:33" ht="11.25" customHeight="1" x14ac:dyDescent="0.25">
      <c r="A919" s="4" t="s">
        <v>28</v>
      </c>
      <c r="B919" s="4" t="s">
        <v>33</v>
      </c>
      <c r="C919" s="4" t="s">
        <v>34</v>
      </c>
      <c r="D919" s="4" t="s">
        <v>48</v>
      </c>
      <c r="E919" s="4" t="s">
        <v>25</v>
      </c>
      <c r="F919" s="4" t="s">
        <v>25</v>
      </c>
      <c r="G919" s="4" t="s">
        <v>25</v>
      </c>
      <c r="H919" s="4" t="s">
        <v>35</v>
      </c>
      <c r="I919" s="5">
        <v>43891</v>
      </c>
      <c r="J919" s="6">
        <v>0</v>
      </c>
      <c r="K919" s="6">
        <v>0</v>
      </c>
      <c r="L919" s="6">
        <v>131.114</v>
      </c>
      <c r="M919" s="6">
        <v>131.114</v>
      </c>
      <c r="N919" s="6">
        <v>131.114</v>
      </c>
      <c r="O919" s="6">
        <v>131.114</v>
      </c>
      <c r="P919" s="6">
        <v>0</v>
      </c>
      <c r="Q919" s="4" t="s">
        <v>26</v>
      </c>
      <c r="R919" s="4">
        <v>0</v>
      </c>
      <c r="S919" s="6">
        <v>0</v>
      </c>
      <c r="T919" s="6">
        <v>27</v>
      </c>
      <c r="U919" s="6">
        <v>81</v>
      </c>
      <c r="V919" s="6">
        <f>IF(ISERROR(VLOOKUP($S$919,'TAR FIN'!$A$1:$O$120,15,0)),0,VLOOKUP($S$919,'TAR FIN'!$A$1:$O$120,15,0))</f>
        <v>0</v>
      </c>
      <c r="W919" s="6">
        <f>IF(ISERROR(VLOOKUP($T$919,'TAR FIN'!$A$1:$O$120,15,0)),0,VLOOKUP($T$919,'TAR FIN'!$A$1:$O$120,15,0))</f>
        <v>641.99</v>
      </c>
      <c r="X919" s="6">
        <f>IF(ISERROR(VLOOKUP($U$919,'TAR FIN'!$A$1:$O$120,15,0)),0,VLOOKUP($U$919,'TAR FIN'!$A$1:$O$120,15,0))</f>
        <v>430.87</v>
      </c>
      <c r="Y919" s="6"/>
      <c r="Z919" s="6">
        <f ca="1">('TUSD BE'!$AM$33+'TUSD BF'!$AM$33+'TUSD CVA'!$AM$33)*1</f>
        <v>747.73363518028248</v>
      </c>
      <c r="AA919" s="6">
        <f>('TE BE'!$AA$10+'TE BF'!$AA$10+'TE CVA'!$AA$10)*1</f>
        <v>375.69180268700768</v>
      </c>
      <c r="AB919" s="6">
        <f>$K$919*$V$919</f>
        <v>0</v>
      </c>
      <c r="AC919" s="6">
        <f>$M$919*$W$919</f>
        <v>84173.876860000004</v>
      </c>
      <c r="AD919" s="6">
        <f>$O$919*$X$919</f>
        <v>56493.089180000003</v>
      </c>
      <c r="AE919" s="6">
        <f>$K$919*$Y$919</f>
        <v>0</v>
      </c>
      <c r="AF919" s="6">
        <f ca="1">$M$919*$Z$919</f>
        <v>98038.347843027557</v>
      </c>
      <c r="AG919" s="6">
        <f>$O$919*$AA$919</f>
        <v>49258.455017504326</v>
      </c>
    </row>
    <row r="920" spans="1:33" ht="11.25" customHeight="1" x14ac:dyDescent="0.25">
      <c r="A920" s="4" t="s">
        <v>21</v>
      </c>
      <c r="B920" s="4" t="s">
        <v>33</v>
      </c>
      <c r="C920" s="4" t="s">
        <v>34</v>
      </c>
      <c r="D920" s="4" t="s">
        <v>48</v>
      </c>
      <c r="E920" s="4" t="s">
        <v>25</v>
      </c>
      <c r="F920" s="4" t="s">
        <v>25</v>
      </c>
      <c r="G920" s="4" t="s">
        <v>25</v>
      </c>
      <c r="H920" s="4" t="s">
        <v>35</v>
      </c>
      <c r="I920" s="5">
        <v>43922</v>
      </c>
      <c r="J920" s="6">
        <v>0</v>
      </c>
      <c r="K920" s="6">
        <v>0</v>
      </c>
      <c r="L920" s="6">
        <v>805.57899999999995</v>
      </c>
      <c r="M920" s="6">
        <v>805.57899999999995</v>
      </c>
      <c r="N920" s="6">
        <v>805.57899999999995</v>
      </c>
      <c r="O920" s="6">
        <v>805.57899999999995</v>
      </c>
      <c r="P920" s="6">
        <v>0</v>
      </c>
      <c r="Q920" s="4" t="s">
        <v>26</v>
      </c>
      <c r="R920" s="4">
        <v>0</v>
      </c>
      <c r="S920" s="6">
        <v>0</v>
      </c>
      <c r="T920" s="6">
        <v>27</v>
      </c>
      <c r="U920" s="6">
        <v>81</v>
      </c>
      <c r="V920" s="6">
        <f>IF(ISERROR(VLOOKUP($S$920,'TAR FIN'!$A$1:$O$120,15,0)),0,VLOOKUP($S$920,'TAR FIN'!$A$1:$O$120,15,0))</f>
        <v>0</v>
      </c>
      <c r="W920" s="6">
        <f>IF(ISERROR(VLOOKUP($T$920,'TAR FIN'!$A$1:$O$120,15,0)),0,VLOOKUP($T$920,'TAR FIN'!$A$1:$O$120,15,0))</f>
        <v>641.99</v>
      </c>
      <c r="X920" s="6">
        <f>IF(ISERROR(VLOOKUP($U$920,'TAR FIN'!$A$1:$O$120,15,0)),0,VLOOKUP($U$920,'TAR FIN'!$A$1:$O$120,15,0))</f>
        <v>430.87</v>
      </c>
      <c r="Y920" s="6"/>
      <c r="Z920" s="6">
        <f ca="1">('TUSD BE'!$AM$33+'TUSD BF'!$AM$33+'TUSD CVA'!$AM$33)*1</f>
        <v>747.73363518028248</v>
      </c>
      <c r="AA920" s="6">
        <f>('TE BE'!$AA$10+'TE BF'!$AA$10+'TE CVA'!$AA$10)*1</f>
        <v>375.69180268700768</v>
      </c>
      <c r="AB920" s="6">
        <f>$K$920*$V$920</f>
        <v>0</v>
      </c>
      <c r="AC920" s="6">
        <f>$M$920*$W$920</f>
        <v>517173.66220999998</v>
      </c>
      <c r="AD920" s="6">
        <f>$O$920*$X$920</f>
        <v>347099.82373</v>
      </c>
      <c r="AE920" s="6">
        <f>$K$920*$Y$920</f>
        <v>0</v>
      </c>
      <c r="AF920" s="6">
        <f ca="1">$M$920*$Z$920</f>
        <v>602358.51409489673</v>
      </c>
      <c r="AG920" s="6">
        <f>$O$920*$AA$920</f>
        <v>302649.42671679694</v>
      </c>
    </row>
    <row r="921" spans="1:33" ht="11.25" customHeight="1" x14ac:dyDescent="0.25">
      <c r="A921" s="4" t="s">
        <v>27</v>
      </c>
      <c r="B921" s="4" t="s">
        <v>33</v>
      </c>
      <c r="C921" s="4" t="s">
        <v>34</v>
      </c>
      <c r="D921" s="4" t="s">
        <v>48</v>
      </c>
      <c r="E921" s="4" t="s">
        <v>25</v>
      </c>
      <c r="F921" s="4" t="s">
        <v>25</v>
      </c>
      <c r="G921" s="4" t="s">
        <v>25</v>
      </c>
      <c r="H921" s="4" t="s">
        <v>35</v>
      </c>
      <c r="I921" s="5">
        <v>43922</v>
      </c>
      <c r="J921" s="6">
        <v>0</v>
      </c>
      <c r="K921" s="6">
        <v>0</v>
      </c>
      <c r="L921" s="6">
        <v>6.923</v>
      </c>
      <c r="M921" s="6">
        <v>6.923</v>
      </c>
      <c r="N921" s="6">
        <v>6.923</v>
      </c>
      <c r="O921" s="6">
        <v>6.923</v>
      </c>
      <c r="P921" s="6">
        <v>0</v>
      </c>
      <c r="Q921" s="4" t="s">
        <v>26</v>
      </c>
      <c r="R921" s="4">
        <v>0</v>
      </c>
      <c r="S921" s="6">
        <v>0</v>
      </c>
      <c r="T921" s="6">
        <v>27</v>
      </c>
      <c r="U921" s="6">
        <v>81</v>
      </c>
      <c r="V921" s="6">
        <f>IF(ISERROR(VLOOKUP($S$921,'TAR FIN'!$A$1:$O$120,15,0)),0,VLOOKUP($S$921,'TAR FIN'!$A$1:$O$120,15,0))</f>
        <v>0</v>
      </c>
      <c r="W921" s="6">
        <f>IF(ISERROR(VLOOKUP($T$921,'TAR FIN'!$A$1:$O$120,15,0)),0,VLOOKUP($T$921,'TAR FIN'!$A$1:$O$120,15,0))</f>
        <v>641.99</v>
      </c>
      <c r="X921" s="6">
        <f>IF(ISERROR(VLOOKUP($U$921,'TAR FIN'!$A$1:$O$120,15,0)),0,VLOOKUP($U$921,'TAR FIN'!$A$1:$O$120,15,0))</f>
        <v>430.87</v>
      </c>
      <c r="Y921" s="6"/>
      <c r="Z921" s="6">
        <f ca="1">('TUSD BE'!$AM$33+'TUSD BF'!$AM$33+'TUSD CVA'!$AM$33)*1</f>
        <v>747.73363518028248</v>
      </c>
      <c r="AA921" s="6">
        <f>('TE BE'!$AA$10+'TE BF'!$AA$10+'TE CVA'!$AA$10)*1</f>
        <v>375.69180268700768</v>
      </c>
      <c r="AB921" s="6">
        <f>$K$921*$V$921</f>
        <v>0</v>
      </c>
      <c r="AC921" s="6">
        <f>$M$921*$W$921</f>
        <v>4444.4967699999997</v>
      </c>
      <c r="AD921" s="6">
        <f>$O$921*$X$921</f>
        <v>2982.9130100000002</v>
      </c>
      <c r="AE921" s="6">
        <f>$K$921*$Y$921</f>
        <v>0</v>
      </c>
      <c r="AF921" s="6">
        <f ca="1">$M$921*$Z$921</f>
        <v>5176.5599563530959</v>
      </c>
      <c r="AG921" s="6">
        <f>$O$921*$AA$921</f>
        <v>2600.9143500021542</v>
      </c>
    </row>
    <row r="922" spans="1:33" ht="11.25" customHeight="1" x14ac:dyDescent="0.25">
      <c r="A922" s="4" t="s">
        <v>28</v>
      </c>
      <c r="B922" s="4" t="s">
        <v>33</v>
      </c>
      <c r="C922" s="4" t="s">
        <v>34</v>
      </c>
      <c r="D922" s="4" t="s">
        <v>48</v>
      </c>
      <c r="E922" s="4" t="s">
        <v>25</v>
      </c>
      <c r="F922" s="4" t="s">
        <v>25</v>
      </c>
      <c r="G922" s="4" t="s">
        <v>25</v>
      </c>
      <c r="H922" s="4" t="s">
        <v>35</v>
      </c>
      <c r="I922" s="5">
        <v>43922</v>
      </c>
      <c r="J922" s="6">
        <v>0</v>
      </c>
      <c r="K922" s="6">
        <v>0</v>
      </c>
      <c r="L922" s="6">
        <v>138.124</v>
      </c>
      <c r="M922" s="6">
        <v>138.124</v>
      </c>
      <c r="N922" s="6">
        <v>138.124</v>
      </c>
      <c r="O922" s="6">
        <v>138.124</v>
      </c>
      <c r="P922" s="6">
        <v>0</v>
      </c>
      <c r="Q922" s="4" t="s">
        <v>26</v>
      </c>
      <c r="R922" s="4">
        <v>0</v>
      </c>
      <c r="S922" s="6">
        <v>0</v>
      </c>
      <c r="T922" s="6">
        <v>27</v>
      </c>
      <c r="U922" s="6">
        <v>81</v>
      </c>
      <c r="V922" s="6">
        <f>IF(ISERROR(VLOOKUP($S$922,'TAR FIN'!$A$1:$O$120,15,0)),0,VLOOKUP($S$922,'TAR FIN'!$A$1:$O$120,15,0))</f>
        <v>0</v>
      </c>
      <c r="W922" s="6">
        <f>IF(ISERROR(VLOOKUP($T$922,'TAR FIN'!$A$1:$O$120,15,0)),0,VLOOKUP($T$922,'TAR FIN'!$A$1:$O$120,15,0))</f>
        <v>641.99</v>
      </c>
      <c r="X922" s="6">
        <f>IF(ISERROR(VLOOKUP($U$922,'TAR FIN'!$A$1:$O$120,15,0)),0,VLOOKUP($U$922,'TAR FIN'!$A$1:$O$120,15,0))</f>
        <v>430.87</v>
      </c>
      <c r="Y922" s="6"/>
      <c r="Z922" s="6">
        <f ca="1">('TUSD BE'!$AM$33+'TUSD BF'!$AM$33+'TUSD CVA'!$AM$33)*1</f>
        <v>747.73363518028248</v>
      </c>
      <c r="AA922" s="6">
        <f>('TE BE'!$AA$10+'TE BF'!$AA$10+'TE CVA'!$AA$10)*1</f>
        <v>375.69180268700768</v>
      </c>
      <c r="AB922" s="6">
        <f>$K$922*$V$922</f>
        <v>0</v>
      </c>
      <c r="AC922" s="6">
        <f>$M$922*$W$922</f>
        <v>88674.226760000005</v>
      </c>
      <c r="AD922" s="6">
        <f>$O$922*$X$922</f>
        <v>59513.487880000001</v>
      </c>
      <c r="AE922" s="6">
        <f>$K$922*$Y$922</f>
        <v>0</v>
      </c>
      <c r="AF922" s="6">
        <f ca="1">$M$922*$Z$922</f>
        <v>103279.96062564134</v>
      </c>
      <c r="AG922" s="6">
        <f>$O$922*$AA$922</f>
        <v>51892.054554340248</v>
      </c>
    </row>
    <row r="923" spans="1:33" ht="11.25" customHeight="1" x14ac:dyDescent="0.25">
      <c r="A923" s="4" t="s">
        <v>21</v>
      </c>
      <c r="B923" s="4" t="s">
        <v>33</v>
      </c>
      <c r="C923" s="4" t="s">
        <v>34</v>
      </c>
      <c r="D923" s="4" t="s">
        <v>48</v>
      </c>
      <c r="E923" s="4" t="s">
        <v>25</v>
      </c>
      <c r="F923" s="4" t="s">
        <v>25</v>
      </c>
      <c r="G923" s="4" t="s">
        <v>25</v>
      </c>
      <c r="H923" s="4" t="s">
        <v>35</v>
      </c>
      <c r="I923" s="5">
        <v>43952</v>
      </c>
      <c r="J923" s="6">
        <v>0</v>
      </c>
      <c r="K923" s="6">
        <v>0</v>
      </c>
      <c r="L923" s="6">
        <v>638.06200000000001</v>
      </c>
      <c r="M923" s="6">
        <v>638.06200000000001</v>
      </c>
      <c r="N923" s="6">
        <v>638.06200000000001</v>
      </c>
      <c r="O923" s="6">
        <v>638.06200000000001</v>
      </c>
      <c r="P923" s="6">
        <v>0</v>
      </c>
      <c r="Q923" s="4" t="s">
        <v>26</v>
      </c>
      <c r="R923" s="4">
        <v>0</v>
      </c>
      <c r="S923" s="6">
        <v>0</v>
      </c>
      <c r="T923" s="6">
        <v>27</v>
      </c>
      <c r="U923" s="6">
        <v>81</v>
      </c>
      <c r="V923" s="6">
        <f>IF(ISERROR(VLOOKUP($S$923,'TAR FIN'!$A$1:$O$120,15,0)),0,VLOOKUP($S$923,'TAR FIN'!$A$1:$O$120,15,0))</f>
        <v>0</v>
      </c>
      <c r="W923" s="6">
        <f>IF(ISERROR(VLOOKUP($T$923,'TAR FIN'!$A$1:$O$120,15,0)),0,VLOOKUP($T$923,'TAR FIN'!$A$1:$O$120,15,0))</f>
        <v>641.99</v>
      </c>
      <c r="X923" s="6">
        <f>IF(ISERROR(VLOOKUP($U$923,'TAR FIN'!$A$1:$O$120,15,0)),0,VLOOKUP($U$923,'TAR FIN'!$A$1:$O$120,15,0))</f>
        <v>430.87</v>
      </c>
      <c r="Y923" s="6"/>
      <c r="Z923" s="6">
        <f ca="1">('TUSD BE'!$AM$33+'TUSD BF'!$AM$33+'TUSD CVA'!$AM$33)*1</f>
        <v>747.73363518028248</v>
      </c>
      <c r="AA923" s="6">
        <f>('TE BE'!$AA$10+'TE BF'!$AA$10+'TE CVA'!$AA$10)*1</f>
        <v>375.69180268700768</v>
      </c>
      <c r="AB923" s="6">
        <f>$K$923*$V$923</f>
        <v>0</v>
      </c>
      <c r="AC923" s="6">
        <f>$M$923*$W$923</f>
        <v>409629.42337999999</v>
      </c>
      <c r="AD923" s="6">
        <f>$O$923*$X$923</f>
        <v>274921.77393999998</v>
      </c>
      <c r="AE923" s="6">
        <f>$K$923*$Y$923</f>
        <v>0</v>
      </c>
      <c r="AF923" s="6">
        <f ca="1">$M$923*$Z$923</f>
        <v>477100.41873040143</v>
      </c>
      <c r="AG923" s="6">
        <f>$O$923*$AA$923</f>
        <v>239714.66300607749</v>
      </c>
    </row>
    <row r="924" spans="1:33" ht="11.25" customHeight="1" x14ac:dyDescent="0.25">
      <c r="A924" s="4" t="s">
        <v>28</v>
      </c>
      <c r="B924" s="4" t="s">
        <v>33</v>
      </c>
      <c r="C924" s="4" t="s">
        <v>34</v>
      </c>
      <c r="D924" s="4" t="s">
        <v>48</v>
      </c>
      <c r="E924" s="4" t="s">
        <v>25</v>
      </c>
      <c r="F924" s="4" t="s">
        <v>25</v>
      </c>
      <c r="G924" s="4" t="s">
        <v>25</v>
      </c>
      <c r="H924" s="4" t="s">
        <v>35</v>
      </c>
      <c r="I924" s="5">
        <v>43952</v>
      </c>
      <c r="J924" s="6">
        <v>0</v>
      </c>
      <c r="K924" s="6">
        <v>0</v>
      </c>
      <c r="L924" s="6">
        <v>110.539</v>
      </c>
      <c r="M924" s="6">
        <v>110.539</v>
      </c>
      <c r="N924" s="6">
        <v>110.539</v>
      </c>
      <c r="O924" s="6">
        <v>110.539</v>
      </c>
      <c r="P924" s="6">
        <v>0</v>
      </c>
      <c r="Q924" s="4" t="s">
        <v>26</v>
      </c>
      <c r="R924" s="4">
        <v>0</v>
      </c>
      <c r="S924" s="6">
        <v>0</v>
      </c>
      <c r="T924" s="6">
        <v>27</v>
      </c>
      <c r="U924" s="6">
        <v>81</v>
      </c>
      <c r="V924" s="6">
        <f>IF(ISERROR(VLOOKUP($S$924,'TAR FIN'!$A$1:$O$120,15,0)),0,VLOOKUP($S$924,'TAR FIN'!$A$1:$O$120,15,0))</f>
        <v>0</v>
      </c>
      <c r="W924" s="6">
        <f>IF(ISERROR(VLOOKUP($T$924,'TAR FIN'!$A$1:$O$120,15,0)),0,VLOOKUP($T$924,'TAR FIN'!$A$1:$O$120,15,0))</f>
        <v>641.99</v>
      </c>
      <c r="X924" s="6">
        <f>IF(ISERROR(VLOOKUP($U$924,'TAR FIN'!$A$1:$O$120,15,0)),0,VLOOKUP($U$924,'TAR FIN'!$A$1:$O$120,15,0))</f>
        <v>430.87</v>
      </c>
      <c r="Y924" s="6"/>
      <c r="Z924" s="6">
        <f ca="1">('TUSD BE'!$AM$33+'TUSD BF'!$AM$33+'TUSD CVA'!$AM$33)*1</f>
        <v>747.73363518028248</v>
      </c>
      <c r="AA924" s="6">
        <f>('TE BE'!$AA$10+'TE BF'!$AA$10+'TE CVA'!$AA$10)*1</f>
        <v>375.69180268700768</v>
      </c>
      <c r="AB924" s="6">
        <f>$K$924*$V$924</f>
        <v>0</v>
      </c>
      <c r="AC924" s="6">
        <f>$M$924*$W$924</f>
        <v>70964.932610000003</v>
      </c>
      <c r="AD924" s="6">
        <f>$O$924*$X$924</f>
        <v>47627.938930000004</v>
      </c>
      <c r="AE924" s="6">
        <f>$K$924*$Y$924</f>
        <v>0</v>
      </c>
      <c r="AF924" s="6">
        <f ca="1">$M$924*$Z$924</f>
        <v>82653.728299193244</v>
      </c>
      <c r="AG924" s="6">
        <f>$O$924*$AA$924</f>
        <v>41528.596177219144</v>
      </c>
    </row>
    <row r="925" spans="1:33" ht="11.25" customHeight="1" x14ac:dyDescent="0.25">
      <c r="A925" s="4" t="s">
        <v>21</v>
      </c>
      <c r="B925" s="4" t="s">
        <v>33</v>
      </c>
      <c r="C925" s="4" t="s">
        <v>34</v>
      </c>
      <c r="D925" s="4" t="s">
        <v>48</v>
      </c>
      <c r="E925" s="4" t="s">
        <v>25</v>
      </c>
      <c r="F925" s="4" t="s">
        <v>25</v>
      </c>
      <c r="G925" s="4" t="s">
        <v>25</v>
      </c>
      <c r="H925" s="4" t="s">
        <v>35</v>
      </c>
      <c r="I925" s="5">
        <v>43983</v>
      </c>
      <c r="J925" s="6">
        <v>0</v>
      </c>
      <c r="K925" s="6">
        <v>0</v>
      </c>
      <c r="L925" s="6">
        <v>638.78300000000002</v>
      </c>
      <c r="M925" s="6">
        <v>638.78300000000002</v>
      </c>
      <c r="N925" s="6">
        <v>638.78300000000002</v>
      </c>
      <c r="O925" s="6">
        <v>638.78300000000002</v>
      </c>
      <c r="P925" s="6">
        <v>0</v>
      </c>
      <c r="Q925" s="4" t="s">
        <v>26</v>
      </c>
      <c r="R925" s="4">
        <v>0</v>
      </c>
      <c r="S925" s="6">
        <v>0</v>
      </c>
      <c r="T925" s="6">
        <v>27</v>
      </c>
      <c r="U925" s="6">
        <v>81</v>
      </c>
      <c r="V925" s="6">
        <f>IF(ISERROR(VLOOKUP($S$925,'TAR FIN'!$A$1:$O$120,15,0)),0,VLOOKUP($S$925,'TAR FIN'!$A$1:$O$120,15,0))</f>
        <v>0</v>
      </c>
      <c r="W925" s="6">
        <f>IF(ISERROR(VLOOKUP($T$925,'TAR FIN'!$A$1:$O$120,15,0)),0,VLOOKUP($T$925,'TAR FIN'!$A$1:$O$120,15,0))</f>
        <v>641.99</v>
      </c>
      <c r="X925" s="6">
        <f>IF(ISERROR(VLOOKUP($U$925,'TAR FIN'!$A$1:$O$120,15,0)),0,VLOOKUP($U$925,'TAR FIN'!$A$1:$O$120,15,0))</f>
        <v>430.87</v>
      </c>
      <c r="Y925" s="6"/>
      <c r="Z925" s="6">
        <f ca="1">('TUSD BE'!$AM$33+'TUSD BF'!$AM$33+'TUSD CVA'!$AM$33)*1</f>
        <v>747.73363518028248</v>
      </c>
      <c r="AA925" s="6">
        <f>('TE BE'!$AA$10+'TE BF'!$AA$10+'TE CVA'!$AA$10)*1</f>
        <v>375.69180268700768</v>
      </c>
      <c r="AB925" s="6">
        <f>$K$925*$V$925</f>
        <v>0</v>
      </c>
      <c r="AC925" s="6">
        <f>$M$925*$W$925</f>
        <v>410092.29817000002</v>
      </c>
      <c r="AD925" s="6">
        <f>$O$925*$X$925</f>
        <v>275232.43121000001</v>
      </c>
      <c r="AE925" s="6">
        <f>$K$925*$Y$925</f>
        <v>0</v>
      </c>
      <c r="AF925" s="6">
        <f ca="1">$M$925*$Z$925</f>
        <v>477639.53468136641</v>
      </c>
      <c r="AG925" s="6">
        <f>$O$925*$AA$925</f>
        <v>239985.53679581484</v>
      </c>
    </row>
    <row r="926" spans="1:33" ht="11.25" customHeight="1" x14ac:dyDescent="0.25">
      <c r="A926" s="4" t="s">
        <v>27</v>
      </c>
      <c r="B926" s="4" t="s">
        <v>33</v>
      </c>
      <c r="C926" s="4" t="s">
        <v>34</v>
      </c>
      <c r="D926" s="4" t="s">
        <v>48</v>
      </c>
      <c r="E926" s="4" t="s">
        <v>25</v>
      </c>
      <c r="F926" s="4" t="s">
        <v>25</v>
      </c>
      <c r="G926" s="4" t="s">
        <v>25</v>
      </c>
      <c r="H926" s="4" t="s">
        <v>35</v>
      </c>
      <c r="I926" s="5">
        <v>43983</v>
      </c>
      <c r="J926" s="6">
        <v>0</v>
      </c>
      <c r="K926" s="6">
        <v>0</v>
      </c>
      <c r="L926" s="6">
        <v>44.107999999999997</v>
      </c>
      <c r="M926" s="6">
        <v>44.107999999999997</v>
      </c>
      <c r="N926" s="6">
        <v>44.107999999999997</v>
      </c>
      <c r="O926" s="6">
        <v>44.107999999999997</v>
      </c>
      <c r="P926" s="6">
        <v>0</v>
      </c>
      <c r="Q926" s="4" t="s">
        <v>26</v>
      </c>
      <c r="R926" s="4">
        <v>0</v>
      </c>
      <c r="S926" s="6">
        <v>0</v>
      </c>
      <c r="T926" s="6">
        <v>27</v>
      </c>
      <c r="U926" s="6">
        <v>81</v>
      </c>
      <c r="V926" s="6">
        <f>IF(ISERROR(VLOOKUP($S$926,'TAR FIN'!$A$1:$O$120,15,0)),0,VLOOKUP($S$926,'TAR FIN'!$A$1:$O$120,15,0))</f>
        <v>0</v>
      </c>
      <c r="W926" s="6">
        <f>IF(ISERROR(VLOOKUP($T$926,'TAR FIN'!$A$1:$O$120,15,0)),0,VLOOKUP($T$926,'TAR FIN'!$A$1:$O$120,15,0))</f>
        <v>641.99</v>
      </c>
      <c r="X926" s="6">
        <f>IF(ISERROR(VLOOKUP($U$926,'TAR FIN'!$A$1:$O$120,15,0)),0,VLOOKUP($U$926,'TAR FIN'!$A$1:$O$120,15,0))</f>
        <v>430.87</v>
      </c>
      <c r="Y926" s="6"/>
      <c r="Z926" s="6">
        <f ca="1">('TUSD BE'!$AM$33+'TUSD BF'!$AM$33+'TUSD CVA'!$AM$33)*1</f>
        <v>747.73363518028248</v>
      </c>
      <c r="AA926" s="6">
        <f>('TE BE'!$AA$10+'TE BF'!$AA$10+'TE CVA'!$AA$10)*1</f>
        <v>375.69180268700768</v>
      </c>
      <c r="AB926" s="6">
        <f>$K$926*$V$926</f>
        <v>0</v>
      </c>
      <c r="AC926" s="6">
        <f>$M$926*$W$926</f>
        <v>28316.894919999999</v>
      </c>
      <c r="AD926" s="6">
        <f>$O$926*$X$926</f>
        <v>19004.813959999999</v>
      </c>
      <c r="AE926" s="6">
        <f>$K$926*$Y$926</f>
        <v>0</v>
      </c>
      <c r="AF926" s="6">
        <f ca="1">$M$926*$Z$926</f>
        <v>32981.035180531901</v>
      </c>
      <c r="AG926" s="6">
        <f>$O$926*$AA$926</f>
        <v>16571.014032918534</v>
      </c>
    </row>
    <row r="927" spans="1:33" ht="11.25" customHeight="1" x14ac:dyDescent="0.25">
      <c r="A927" s="4" t="s">
        <v>28</v>
      </c>
      <c r="B927" s="4" t="s">
        <v>33</v>
      </c>
      <c r="C927" s="4" t="s">
        <v>34</v>
      </c>
      <c r="D927" s="4" t="s">
        <v>48</v>
      </c>
      <c r="E927" s="4" t="s">
        <v>25</v>
      </c>
      <c r="F927" s="4" t="s">
        <v>25</v>
      </c>
      <c r="G927" s="4" t="s">
        <v>25</v>
      </c>
      <c r="H927" s="4" t="s">
        <v>35</v>
      </c>
      <c r="I927" s="5">
        <v>43983</v>
      </c>
      <c r="J927" s="6">
        <v>0</v>
      </c>
      <c r="K927" s="6">
        <v>0</v>
      </c>
      <c r="L927" s="6">
        <v>158.06100000000001</v>
      </c>
      <c r="M927" s="6">
        <v>158.06100000000001</v>
      </c>
      <c r="N927" s="6">
        <v>158.06100000000001</v>
      </c>
      <c r="O927" s="6">
        <v>158.06100000000001</v>
      </c>
      <c r="P927" s="6">
        <v>0</v>
      </c>
      <c r="Q927" s="4" t="s">
        <v>26</v>
      </c>
      <c r="R927" s="4">
        <v>0</v>
      </c>
      <c r="S927" s="6">
        <v>0</v>
      </c>
      <c r="T927" s="6">
        <v>27</v>
      </c>
      <c r="U927" s="6">
        <v>81</v>
      </c>
      <c r="V927" s="6">
        <f>IF(ISERROR(VLOOKUP($S$927,'TAR FIN'!$A$1:$O$120,15,0)),0,VLOOKUP($S$927,'TAR FIN'!$A$1:$O$120,15,0))</f>
        <v>0</v>
      </c>
      <c r="W927" s="6">
        <f>IF(ISERROR(VLOOKUP($T$927,'TAR FIN'!$A$1:$O$120,15,0)),0,VLOOKUP($T$927,'TAR FIN'!$A$1:$O$120,15,0))</f>
        <v>641.99</v>
      </c>
      <c r="X927" s="6">
        <f>IF(ISERROR(VLOOKUP($U$927,'TAR FIN'!$A$1:$O$120,15,0)),0,VLOOKUP($U$927,'TAR FIN'!$A$1:$O$120,15,0))</f>
        <v>430.87</v>
      </c>
      <c r="Y927" s="6"/>
      <c r="Z927" s="6">
        <f ca="1">('TUSD BE'!$AM$33+'TUSD BF'!$AM$33+'TUSD CVA'!$AM$33)*1</f>
        <v>747.73363518028248</v>
      </c>
      <c r="AA927" s="6">
        <f>('TE BE'!$AA$10+'TE BF'!$AA$10+'TE CVA'!$AA$10)*1</f>
        <v>375.69180268700768</v>
      </c>
      <c r="AB927" s="6">
        <f>$K$927*$V$927</f>
        <v>0</v>
      </c>
      <c r="AC927" s="6">
        <f>$M$927*$W$927</f>
        <v>101473.58139000001</v>
      </c>
      <c r="AD927" s="6">
        <f>$O$927*$X$927</f>
        <v>68103.743069999997</v>
      </c>
      <c r="AE927" s="6">
        <f>$K$927*$Y$927</f>
        <v>0</v>
      </c>
      <c r="AF927" s="6">
        <f ca="1">$M$927*$Z$927</f>
        <v>118187.52611023064</v>
      </c>
      <c r="AG927" s="6">
        <f>$O$927*$AA$927</f>
        <v>59382.222024511124</v>
      </c>
    </row>
    <row r="928" spans="1:33" ht="11.25" customHeight="1" x14ac:dyDescent="0.25">
      <c r="A928" s="4" t="s">
        <v>21</v>
      </c>
      <c r="B928" s="4" t="s">
        <v>33</v>
      </c>
      <c r="C928" s="4" t="s">
        <v>34</v>
      </c>
      <c r="D928" s="4" t="s">
        <v>48</v>
      </c>
      <c r="E928" s="4" t="s">
        <v>25</v>
      </c>
      <c r="F928" s="4" t="s">
        <v>25</v>
      </c>
      <c r="G928" s="4" t="s">
        <v>25</v>
      </c>
      <c r="H928" s="4" t="s">
        <v>35</v>
      </c>
      <c r="I928" s="5">
        <v>44013</v>
      </c>
      <c r="J928" s="6">
        <v>0</v>
      </c>
      <c r="K928" s="6">
        <v>0</v>
      </c>
      <c r="L928" s="6">
        <v>630.29300000000001</v>
      </c>
      <c r="M928" s="6">
        <v>630.29300000000001</v>
      </c>
      <c r="N928" s="6">
        <v>630.29300000000001</v>
      </c>
      <c r="O928" s="6">
        <v>630.29300000000001</v>
      </c>
      <c r="P928" s="6">
        <v>0</v>
      </c>
      <c r="Q928" s="4" t="s">
        <v>26</v>
      </c>
      <c r="R928" s="4">
        <v>0</v>
      </c>
      <c r="S928" s="6">
        <v>0</v>
      </c>
      <c r="T928" s="6">
        <v>27</v>
      </c>
      <c r="U928" s="6">
        <v>81</v>
      </c>
      <c r="V928" s="6">
        <f>IF(ISERROR(VLOOKUP($S$928,'TAR FIN'!$A$1:$O$120,15,0)),0,VLOOKUP($S$928,'TAR FIN'!$A$1:$O$120,15,0))</f>
        <v>0</v>
      </c>
      <c r="W928" s="6">
        <f>IF(ISERROR(VLOOKUP($T$928,'TAR FIN'!$A$1:$O$120,15,0)),0,VLOOKUP($T$928,'TAR FIN'!$A$1:$O$120,15,0))</f>
        <v>641.99</v>
      </c>
      <c r="X928" s="6">
        <f>IF(ISERROR(VLOOKUP($U$928,'TAR FIN'!$A$1:$O$120,15,0)),0,VLOOKUP($U$928,'TAR FIN'!$A$1:$O$120,15,0))</f>
        <v>430.87</v>
      </c>
      <c r="Y928" s="6"/>
      <c r="Z928" s="6">
        <f ca="1">('TUSD BE'!$AM$33+'TUSD BF'!$AM$33+'TUSD CVA'!$AM$33)*1</f>
        <v>747.73363518028248</v>
      </c>
      <c r="AA928" s="6">
        <f>('TE BE'!$AA$10+'TE BF'!$AA$10+'TE CVA'!$AA$10)*1</f>
        <v>375.69180268700768</v>
      </c>
      <c r="AB928" s="6">
        <f>$K$928*$V$928</f>
        <v>0</v>
      </c>
      <c r="AC928" s="6">
        <f>$M$928*$W$928</f>
        <v>404641.80307000002</v>
      </c>
      <c r="AD928" s="6">
        <f>$O$928*$X$928</f>
        <v>271574.34490999999</v>
      </c>
      <c r="AE928" s="6">
        <f>$K$928*$Y$928</f>
        <v>0</v>
      </c>
      <c r="AF928" s="6">
        <f ca="1">$M$928*$Z$928</f>
        <v>471291.27611868578</v>
      </c>
      <c r="AG928" s="6">
        <f>$O$928*$AA$928</f>
        <v>236795.91339100213</v>
      </c>
    </row>
    <row r="929" spans="1:33" ht="11.25" customHeight="1" x14ac:dyDescent="0.25">
      <c r="A929" s="4" t="s">
        <v>28</v>
      </c>
      <c r="B929" s="4" t="s">
        <v>33</v>
      </c>
      <c r="C929" s="4" t="s">
        <v>34</v>
      </c>
      <c r="D929" s="4" t="s">
        <v>48</v>
      </c>
      <c r="E929" s="4" t="s">
        <v>25</v>
      </c>
      <c r="F929" s="4" t="s">
        <v>25</v>
      </c>
      <c r="G929" s="4" t="s">
        <v>25</v>
      </c>
      <c r="H929" s="4" t="s">
        <v>35</v>
      </c>
      <c r="I929" s="5">
        <v>44013</v>
      </c>
      <c r="J929" s="6">
        <v>0</v>
      </c>
      <c r="K929" s="6">
        <v>0</v>
      </c>
      <c r="L929" s="6">
        <v>128.73699999999999</v>
      </c>
      <c r="M929" s="6">
        <v>128.73699999999999</v>
      </c>
      <c r="N929" s="6">
        <v>128.73699999999999</v>
      </c>
      <c r="O929" s="6">
        <v>128.73699999999999</v>
      </c>
      <c r="P929" s="6">
        <v>0</v>
      </c>
      <c r="Q929" s="4" t="s">
        <v>26</v>
      </c>
      <c r="R929" s="4">
        <v>0</v>
      </c>
      <c r="S929" s="6">
        <v>0</v>
      </c>
      <c r="T929" s="6">
        <v>27</v>
      </c>
      <c r="U929" s="6">
        <v>81</v>
      </c>
      <c r="V929" s="6">
        <f>IF(ISERROR(VLOOKUP($S$929,'TAR FIN'!$A$1:$O$120,15,0)),0,VLOOKUP($S$929,'TAR FIN'!$A$1:$O$120,15,0))</f>
        <v>0</v>
      </c>
      <c r="W929" s="6">
        <f>IF(ISERROR(VLOOKUP($T$929,'TAR FIN'!$A$1:$O$120,15,0)),0,VLOOKUP($T$929,'TAR FIN'!$A$1:$O$120,15,0))</f>
        <v>641.99</v>
      </c>
      <c r="X929" s="6">
        <f>IF(ISERROR(VLOOKUP($U$929,'TAR FIN'!$A$1:$O$120,15,0)),0,VLOOKUP($U$929,'TAR FIN'!$A$1:$O$120,15,0))</f>
        <v>430.87</v>
      </c>
      <c r="Y929" s="6"/>
      <c r="Z929" s="6">
        <f ca="1">('TUSD BE'!$AM$33+'TUSD BF'!$AM$33+'TUSD CVA'!$AM$33)*1</f>
        <v>747.73363518028248</v>
      </c>
      <c r="AA929" s="6">
        <f>('TE BE'!$AA$10+'TE BF'!$AA$10+'TE CVA'!$AA$10)*1</f>
        <v>375.69180268700768</v>
      </c>
      <c r="AB929" s="6">
        <f>$K$929*$V$929</f>
        <v>0</v>
      </c>
      <c r="AC929" s="6">
        <f>$M$929*$W$929</f>
        <v>82647.866630000004</v>
      </c>
      <c r="AD929" s="6">
        <f>$O$929*$X$929</f>
        <v>55468.911189999999</v>
      </c>
      <c r="AE929" s="6">
        <f>$K$929*$Y$929</f>
        <v>0</v>
      </c>
      <c r="AF929" s="6">
        <f ca="1">$M$929*$Z$929</f>
        <v>96260.984992204016</v>
      </c>
      <c r="AG929" s="6">
        <f>$O$929*$AA$929</f>
        <v>48365.435602517304</v>
      </c>
    </row>
    <row r="930" spans="1:33" ht="11.25" customHeight="1" x14ac:dyDescent="0.25">
      <c r="A930" s="4" t="s">
        <v>21</v>
      </c>
      <c r="B930" s="4" t="s">
        <v>33</v>
      </c>
      <c r="C930" s="4" t="s">
        <v>34</v>
      </c>
      <c r="D930" s="4" t="s">
        <v>48</v>
      </c>
      <c r="E930" s="4" t="s">
        <v>25</v>
      </c>
      <c r="F930" s="4" t="s">
        <v>25</v>
      </c>
      <c r="G930" s="4" t="s">
        <v>25</v>
      </c>
      <c r="H930" s="4" t="s">
        <v>35</v>
      </c>
      <c r="I930" s="5">
        <v>44044</v>
      </c>
      <c r="J930" s="6">
        <v>0</v>
      </c>
      <c r="K930" s="6">
        <v>0</v>
      </c>
      <c r="L930" s="6">
        <v>656.23599999999999</v>
      </c>
      <c r="M930" s="6">
        <v>656.23599999999999</v>
      </c>
      <c r="N930" s="6">
        <v>656.23599999999999</v>
      </c>
      <c r="O930" s="6">
        <v>656.23599999999999</v>
      </c>
      <c r="P930" s="6">
        <v>0</v>
      </c>
      <c r="Q930" s="4" t="s">
        <v>26</v>
      </c>
      <c r="R930" s="4">
        <v>0</v>
      </c>
      <c r="S930" s="6">
        <v>0</v>
      </c>
      <c r="T930" s="6">
        <v>27</v>
      </c>
      <c r="U930" s="6">
        <v>81</v>
      </c>
      <c r="V930" s="6">
        <f>IF(ISERROR(VLOOKUP($S$930,'TAR FIN'!$A$1:$O$120,15,0)),0,VLOOKUP($S$930,'TAR FIN'!$A$1:$O$120,15,0))</f>
        <v>0</v>
      </c>
      <c r="W930" s="6">
        <f>IF(ISERROR(VLOOKUP($T$930,'TAR FIN'!$A$1:$O$120,15,0)),0,VLOOKUP($T$930,'TAR FIN'!$A$1:$O$120,15,0))</f>
        <v>641.99</v>
      </c>
      <c r="X930" s="6">
        <f>IF(ISERROR(VLOOKUP($U$930,'TAR FIN'!$A$1:$O$120,15,0)),0,VLOOKUP($U$930,'TAR FIN'!$A$1:$O$120,15,0))</f>
        <v>430.87</v>
      </c>
      <c r="Y930" s="6"/>
      <c r="Z930" s="6">
        <f ca="1">('TUSD BE'!$AM$33+'TUSD BF'!$AM$33+'TUSD CVA'!$AM$33)*1</f>
        <v>747.73363518028248</v>
      </c>
      <c r="AA930" s="6">
        <f>('TE BE'!$AA$10+'TE BF'!$AA$10+'TE CVA'!$AA$10)*1</f>
        <v>375.69180268700768</v>
      </c>
      <c r="AB930" s="6">
        <f>$K$930*$V$930</f>
        <v>0</v>
      </c>
      <c r="AC930" s="6">
        <f>$M$930*$W$930</f>
        <v>421296.94964000001</v>
      </c>
      <c r="AD930" s="6">
        <f>$O$930*$X$930</f>
        <v>282752.40532000002</v>
      </c>
      <c r="AE930" s="6">
        <f>$K$930*$Y$930</f>
        <v>0</v>
      </c>
      <c r="AF930" s="6">
        <f ca="1">$M$930*$Z$930</f>
        <v>490689.72981616785</v>
      </c>
      <c r="AG930" s="6">
        <f>$O$930*$AA$930</f>
        <v>246542.48582811118</v>
      </c>
    </row>
    <row r="931" spans="1:33" ht="11.25" customHeight="1" x14ac:dyDescent="0.25">
      <c r="A931" s="4" t="s">
        <v>28</v>
      </c>
      <c r="B931" s="4" t="s">
        <v>33</v>
      </c>
      <c r="C931" s="4" t="s">
        <v>34</v>
      </c>
      <c r="D931" s="4" t="s">
        <v>48</v>
      </c>
      <c r="E931" s="4" t="s">
        <v>25</v>
      </c>
      <c r="F931" s="4" t="s">
        <v>25</v>
      </c>
      <c r="G931" s="4" t="s">
        <v>25</v>
      </c>
      <c r="H931" s="4" t="s">
        <v>35</v>
      </c>
      <c r="I931" s="5">
        <v>44044</v>
      </c>
      <c r="J931" s="6">
        <v>0</v>
      </c>
      <c r="K931" s="6">
        <v>0</v>
      </c>
      <c r="L931" s="6">
        <v>155.31100000000001</v>
      </c>
      <c r="M931" s="6">
        <v>155.31100000000001</v>
      </c>
      <c r="N931" s="6">
        <v>155.31100000000001</v>
      </c>
      <c r="O931" s="6">
        <v>155.31100000000001</v>
      </c>
      <c r="P931" s="6">
        <v>0</v>
      </c>
      <c r="Q931" s="4" t="s">
        <v>26</v>
      </c>
      <c r="R931" s="4">
        <v>0</v>
      </c>
      <c r="S931" s="6">
        <v>0</v>
      </c>
      <c r="T931" s="6">
        <v>27</v>
      </c>
      <c r="U931" s="6">
        <v>81</v>
      </c>
      <c r="V931" s="6">
        <f>IF(ISERROR(VLOOKUP($S$931,'TAR FIN'!$A$1:$O$120,15,0)),0,VLOOKUP($S$931,'TAR FIN'!$A$1:$O$120,15,0))</f>
        <v>0</v>
      </c>
      <c r="W931" s="6">
        <f>IF(ISERROR(VLOOKUP($T$931,'TAR FIN'!$A$1:$O$120,15,0)),0,VLOOKUP($T$931,'TAR FIN'!$A$1:$O$120,15,0))</f>
        <v>641.99</v>
      </c>
      <c r="X931" s="6">
        <f>IF(ISERROR(VLOOKUP($U$931,'TAR FIN'!$A$1:$O$120,15,0)),0,VLOOKUP($U$931,'TAR FIN'!$A$1:$O$120,15,0))</f>
        <v>430.87</v>
      </c>
      <c r="Y931" s="6"/>
      <c r="Z931" s="6">
        <f ca="1">('TUSD BE'!$AM$33+'TUSD BF'!$AM$33+'TUSD CVA'!$AM$33)*1</f>
        <v>747.73363518028248</v>
      </c>
      <c r="AA931" s="6">
        <f>('TE BE'!$AA$10+'TE BF'!$AA$10+'TE CVA'!$AA$10)*1</f>
        <v>375.69180268700768</v>
      </c>
      <c r="AB931" s="6">
        <f>$K$931*$V$931</f>
        <v>0</v>
      </c>
      <c r="AC931" s="6">
        <f>$M$931*$W$931</f>
        <v>99708.108890000003</v>
      </c>
      <c r="AD931" s="6">
        <f>$O$931*$X$931</f>
        <v>66918.85057000001</v>
      </c>
      <c r="AE931" s="6">
        <f>$K$931*$Y$931</f>
        <v>0</v>
      </c>
      <c r="AF931" s="6">
        <f ca="1">$M$931*$Z$931</f>
        <v>116131.25861348485</v>
      </c>
      <c r="AG931" s="6">
        <f>$O$931*$AA$931</f>
        <v>58349.069567121849</v>
      </c>
    </row>
    <row r="932" spans="1:33" ht="11.25" customHeight="1" x14ac:dyDescent="0.25">
      <c r="A932" s="4" t="s">
        <v>59</v>
      </c>
      <c r="B932" s="4" t="s">
        <v>33</v>
      </c>
      <c r="C932" s="4" t="s">
        <v>34</v>
      </c>
      <c r="D932" s="4" t="s">
        <v>48</v>
      </c>
      <c r="E932" s="4" t="s">
        <v>25</v>
      </c>
      <c r="F932" s="4" t="s">
        <v>25</v>
      </c>
      <c r="G932" s="4" t="s">
        <v>25</v>
      </c>
      <c r="H932" s="4" t="s">
        <v>35</v>
      </c>
      <c r="I932" s="5">
        <v>44075</v>
      </c>
      <c r="J932" s="6">
        <v>0</v>
      </c>
      <c r="K932" s="6">
        <v>0</v>
      </c>
      <c r="L932" s="6">
        <v>656.23599999999999</v>
      </c>
      <c r="M932" s="6">
        <v>656.23599999999999</v>
      </c>
      <c r="N932" s="6">
        <v>656.23599999999999</v>
      </c>
      <c r="O932" s="6">
        <v>656.23599999999999</v>
      </c>
      <c r="P932" s="6">
        <v>0</v>
      </c>
      <c r="Q932" s="4" t="s">
        <v>26</v>
      </c>
      <c r="R932" s="4">
        <v>0</v>
      </c>
      <c r="S932" s="6">
        <v>0</v>
      </c>
      <c r="T932" s="6">
        <v>27</v>
      </c>
      <c r="U932" s="6">
        <v>81</v>
      </c>
      <c r="V932" s="6">
        <f>IF(ISERROR(VLOOKUP($S$932,'TAR FIN'!$A$1:$O$120,15,0)),0,VLOOKUP($S$932,'TAR FIN'!$A$1:$O$120,15,0))</f>
        <v>0</v>
      </c>
      <c r="W932" s="6">
        <f>IF(ISERROR(VLOOKUP($T$932,'TAR FIN'!$A$1:$O$120,15,0)),0,VLOOKUP($T$932,'TAR FIN'!$A$1:$O$120,15,0))</f>
        <v>641.99</v>
      </c>
      <c r="X932" s="6">
        <f>IF(ISERROR(VLOOKUP($U$932,'TAR FIN'!$A$1:$O$120,15,0)),0,VLOOKUP($U$932,'TAR FIN'!$A$1:$O$120,15,0))</f>
        <v>430.87</v>
      </c>
      <c r="Y932" s="6"/>
      <c r="Z932" s="6">
        <f ca="1">('TUSD BE'!$AM$33+'TUSD BF'!$AM$33+'TUSD CVA'!$AM$33)*1</f>
        <v>747.73363518028248</v>
      </c>
      <c r="AA932" s="6">
        <f>('TE BE'!$AA$10+'TE BF'!$AA$10+'TE CVA'!$AA$10)*1</f>
        <v>375.69180268700768</v>
      </c>
      <c r="AB932" s="6">
        <f>$K$932*$V$932</f>
        <v>0</v>
      </c>
      <c r="AC932" s="6">
        <f>$M$932*$W$932</f>
        <v>421296.94964000001</v>
      </c>
      <c r="AD932" s="6">
        <f>$O$932*$X$932</f>
        <v>282752.40532000002</v>
      </c>
      <c r="AE932" s="6">
        <f>$K$932*$Y$932</f>
        <v>0</v>
      </c>
      <c r="AF932" s="6">
        <f ca="1">$M$932*$Z$932</f>
        <v>490689.72981616785</v>
      </c>
      <c r="AG932" s="6">
        <f>$O$932*$AA$932</f>
        <v>246542.48582811118</v>
      </c>
    </row>
    <row r="933" spans="1:33" ht="11.25" customHeight="1" x14ac:dyDescent="0.25">
      <c r="A933" s="4" t="s">
        <v>59</v>
      </c>
      <c r="B933" s="4" t="s">
        <v>33</v>
      </c>
      <c r="C933" s="4" t="s">
        <v>34</v>
      </c>
      <c r="D933" s="4" t="s">
        <v>48</v>
      </c>
      <c r="E933" s="4" t="s">
        <v>25</v>
      </c>
      <c r="F933" s="4" t="s">
        <v>25</v>
      </c>
      <c r="G933" s="4" t="s">
        <v>25</v>
      </c>
      <c r="H933" s="4" t="s">
        <v>35</v>
      </c>
      <c r="I933" s="5">
        <v>44075</v>
      </c>
      <c r="J933" s="6">
        <v>0</v>
      </c>
      <c r="K933" s="6">
        <v>0</v>
      </c>
      <c r="L933" s="6">
        <v>155.31100000000001</v>
      </c>
      <c r="M933" s="6">
        <v>155.31100000000001</v>
      </c>
      <c r="N933" s="6">
        <v>155.31100000000001</v>
      </c>
      <c r="O933" s="6">
        <v>155.31100000000001</v>
      </c>
      <c r="P933" s="6">
        <v>0</v>
      </c>
      <c r="Q933" s="4" t="s">
        <v>26</v>
      </c>
      <c r="R933" s="4">
        <v>0</v>
      </c>
      <c r="S933" s="6">
        <v>0</v>
      </c>
      <c r="T933" s="6">
        <v>27</v>
      </c>
      <c r="U933" s="6">
        <v>81</v>
      </c>
      <c r="V933" s="6">
        <f>IF(ISERROR(VLOOKUP($S$933,'TAR FIN'!$A$1:$O$120,15,0)),0,VLOOKUP($S$933,'TAR FIN'!$A$1:$O$120,15,0))</f>
        <v>0</v>
      </c>
      <c r="W933" s="6">
        <f>IF(ISERROR(VLOOKUP($T$933,'TAR FIN'!$A$1:$O$120,15,0)),0,VLOOKUP($T$933,'TAR FIN'!$A$1:$O$120,15,0))</f>
        <v>641.99</v>
      </c>
      <c r="X933" s="6">
        <f>IF(ISERROR(VLOOKUP($U$933,'TAR FIN'!$A$1:$O$120,15,0)),0,VLOOKUP($U$933,'TAR FIN'!$A$1:$O$120,15,0))</f>
        <v>430.87</v>
      </c>
      <c r="Y933" s="6"/>
      <c r="Z933" s="6">
        <f ca="1">('TUSD BE'!$AM$33+'TUSD BF'!$AM$33+'TUSD CVA'!$AM$33)*1</f>
        <v>747.73363518028248</v>
      </c>
      <c r="AA933" s="6">
        <f>('TE BE'!$AA$10+'TE BF'!$AA$10+'TE CVA'!$AA$10)*1</f>
        <v>375.69180268700768</v>
      </c>
      <c r="AB933" s="6">
        <f>$K$933*$V$933</f>
        <v>0</v>
      </c>
      <c r="AC933" s="6">
        <f>$M$933*$W$933</f>
        <v>99708.108890000003</v>
      </c>
      <c r="AD933" s="6">
        <f>$O$933*$X$933</f>
        <v>66918.85057000001</v>
      </c>
      <c r="AE933" s="6">
        <f>$K$933*$Y$933</f>
        <v>0</v>
      </c>
      <c r="AF933" s="6">
        <f ca="1">$M$933*$Z$933</f>
        <v>116131.25861348485</v>
      </c>
      <c r="AG933" s="6">
        <f>$O$933*$AA$933</f>
        <v>58349.069567121849</v>
      </c>
    </row>
    <row r="934" spans="1:33" ht="11.25" customHeight="1" x14ac:dyDescent="0.25">
      <c r="A934" s="4" t="s">
        <v>21</v>
      </c>
      <c r="B934" s="4" t="s">
        <v>33</v>
      </c>
      <c r="C934" s="4" t="s">
        <v>34</v>
      </c>
      <c r="D934" s="4" t="s">
        <v>24</v>
      </c>
      <c r="E934" s="4" t="s">
        <v>24</v>
      </c>
      <c r="F934" s="4" t="s">
        <v>25</v>
      </c>
      <c r="G934" s="4" t="s">
        <v>25</v>
      </c>
      <c r="H934" s="4" t="s">
        <v>36</v>
      </c>
      <c r="I934" s="5">
        <v>43739</v>
      </c>
      <c r="J934" s="6">
        <v>0</v>
      </c>
      <c r="K934" s="6">
        <v>0</v>
      </c>
      <c r="L934" s="6">
        <v>123.929</v>
      </c>
      <c r="M934" s="6">
        <v>123.929</v>
      </c>
      <c r="N934" s="6">
        <v>123.929</v>
      </c>
      <c r="O934" s="6">
        <v>123.929</v>
      </c>
      <c r="P934" s="6">
        <v>0</v>
      </c>
      <c r="Q934" s="4" t="s">
        <v>26</v>
      </c>
      <c r="R934" s="4">
        <v>0</v>
      </c>
      <c r="S934" s="6">
        <v>0</v>
      </c>
      <c r="T934" s="6">
        <v>28</v>
      </c>
      <c r="U934" s="6">
        <v>82</v>
      </c>
      <c r="V934" s="6">
        <f>IF(ISERROR(VLOOKUP($S$934,'TAR FIN'!$A$1:$O$120,15,0)),0,VLOOKUP($S$934,'TAR FIN'!$A$1:$O$120,15,0))</f>
        <v>0</v>
      </c>
      <c r="W934" s="6">
        <f>IF(ISERROR(VLOOKUP($T$934,'TAR FIN'!$A$1:$O$120,15,0)),0,VLOOKUP($T$934,'TAR FIN'!$A$1:$O$120,15,0))</f>
        <v>84.45</v>
      </c>
      <c r="X934" s="6">
        <f>IF(ISERROR(VLOOKUP($U$934,'TAR FIN'!$A$1:$O$120,15,0)),0,VLOOKUP($U$934,'TAR FIN'!$A$1:$O$120,15,0))</f>
        <v>256.38</v>
      </c>
      <c r="Y934" s="6"/>
      <c r="Z934" s="6">
        <f ca="1">('TUSD BE'!$AM$34+'TUSD BF'!$AM$34+'TUSD CVA'!$AM$34)*1</f>
        <v>87.519361965254689</v>
      </c>
      <c r="AA934" s="6">
        <f>('TE BE'!$AA$11+'TE BF'!$AA$11+'TE CVA'!$AA$11)*1</f>
        <v>230.83420940933817</v>
      </c>
      <c r="AB934" s="6">
        <f>$K$934*$V$934</f>
        <v>0</v>
      </c>
      <c r="AC934" s="6">
        <f>$M$934*$W$934</f>
        <v>10465.804050000001</v>
      </c>
      <c r="AD934" s="6">
        <f>$O$934*$X$934</f>
        <v>31772.917020000001</v>
      </c>
      <c r="AE934" s="6">
        <f>$K$934*$Y$934</f>
        <v>0</v>
      </c>
      <c r="AF934" s="6">
        <f ca="1">$M$934*$Z$934</f>
        <v>10846.187008992049</v>
      </c>
      <c r="AG934" s="6">
        <f>$O$934*$AA$934</f>
        <v>28607.05273788987</v>
      </c>
    </row>
    <row r="935" spans="1:33" ht="11.25" customHeight="1" x14ac:dyDescent="0.25">
      <c r="A935" s="4" t="s">
        <v>27</v>
      </c>
      <c r="B935" s="4" t="s">
        <v>33</v>
      </c>
      <c r="C935" s="4" t="s">
        <v>34</v>
      </c>
      <c r="D935" s="4" t="s">
        <v>24</v>
      </c>
      <c r="E935" s="4" t="s">
        <v>24</v>
      </c>
      <c r="F935" s="4" t="s">
        <v>25</v>
      </c>
      <c r="G935" s="4" t="s">
        <v>25</v>
      </c>
      <c r="H935" s="4" t="s">
        <v>36</v>
      </c>
      <c r="I935" s="5">
        <v>43739</v>
      </c>
      <c r="J935" s="6">
        <v>0</v>
      </c>
      <c r="K935" s="6">
        <v>0</v>
      </c>
      <c r="L935" s="6">
        <v>0.90300000000000002</v>
      </c>
      <c r="M935" s="6">
        <v>0.90300000000000002</v>
      </c>
      <c r="N935" s="6">
        <v>0.90300000000000002</v>
      </c>
      <c r="O935" s="6">
        <v>0.90300000000000002</v>
      </c>
      <c r="P935" s="6">
        <v>0</v>
      </c>
      <c r="Q935" s="4" t="s">
        <v>26</v>
      </c>
      <c r="R935" s="4">
        <v>0</v>
      </c>
      <c r="S935" s="6">
        <v>0</v>
      </c>
      <c r="T935" s="6">
        <v>28</v>
      </c>
      <c r="U935" s="6">
        <v>82</v>
      </c>
      <c r="V935" s="6">
        <f>IF(ISERROR(VLOOKUP($S$935,'TAR FIN'!$A$1:$O$120,15,0)),0,VLOOKUP($S$935,'TAR FIN'!$A$1:$O$120,15,0))</f>
        <v>0</v>
      </c>
      <c r="W935" s="6">
        <f>IF(ISERROR(VLOOKUP($T$935,'TAR FIN'!$A$1:$O$120,15,0)),0,VLOOKUP($T$935,'TAR FIN'!$A$1:$O$120,15,0))</f>
        <v>84.45</v>
      </c>
      <c r="X935" s="6">
        <f>IF(ISERROR(VLOOKUP($U$935,'TAR FIN'!$A$1:$O$120,15,0)),0,VLOOKUP($U$935,'TAR FIN'!$A$1:$O$120,15,0))</f>
        <v>256.38</v>
      </c>
      <c r="Y935" s="6"/>
      <c r="Z935" s="6">
        <f ca="1">('TUSD BE'!$AM$34+'TUSD BF'!$AM$34+'TUSD CVA'!$AM$34)*1</f>
        <v>87.519361965254689</v>
      </c>
      <c r="AA935" s="6">
        <f>('TE BE'!$AA$11+'TE BF'!$AA$11+'TE CVA'!$AA$11)*1</f>
        <v>230.83420940933817</v>
      </c>
      <c r="AB935" s="6">
        <f>$K$935*$V$935</f>
        <v>0</v>
      </c>
      <c r="AC935" s="6">
        <f>$M$935*$W$935</f>
        <v>76.258350000000007</v>
      </c>
      <c r="AD935" s="6">
        <f>$O$935*$X$935</f>
        <v>231.51114000000001</v>
      </c>
      <c r="AE935" s="6">
        <f>$K$935*$Y$935</f>
        <v>0</v>
      </c>
      <c r="AF935" s="6">
        <f ca="1">$M$935*$Z$935</f>
        <v>79.029983854624987</v>
      </c>
      <c r="AG935" s="6">
        <f>$O$935*$AA$935</f>
        <v>208.44329109663238</v>
      </c>
    </row>
    <row r="936" spans="1:33" ht="11.25" customHeight="1" x14ac:dyDescent="0.25">
      <c r="A936" s="4" t="s">
        <v>28</v>
      </c>
      <c r="B936" s="4" t="s">
        <v>33</v>
      </c>
      <c r="C936" s="4" t="s">
        <v>34</v>
      </c>
      <c r="D936" s="4" t="s">
        <v>24</v>
      </c>
      <c r="E936" s="4" t="s">
        <v>24</v>
      </c>
      <c r="F936" s="4" t="s">
        <v>25</v>
      </c>
      <c r="G936" s="4" t="s">
        <v>25</v>
      </c>
      <c r="H936" s="4" t="s">
        <v>36</v>
      </c>
      <c r="I936" s="5">
        <v>43739</v>
      </c>
      <c r="J936" s="6">
        <v>0</v>
      </c>
      <c r="K936" s="6">
        <v>0</v>
      </c>
      <c r="L936" s="6">
        <v>4.3630000000000004</v>
      </c>
      <c r="M936" s="6">
        <v>4.3630000000000004</v>
      </c>
      <c r="N936" s="6">
        <v>4.3630000000000004</v>
      </c>
      <c r="O936" s="6">
        <v>4.3630000000000004</v>
      </c>
      <c r="P936" s="6">
        <v>0</v>
      </c>
      <c r="Q936" s="4" t="s">
        <v>26</v>
      </c>
      <c r="R936" s="4">
        <v>0</v>
      </c>
      <c r="S936" s="6">
        <v>0</v>
      </c>
      <c r="T936" s="6">
        <v>28</v>
      </c>
      <c r="U936" s="6">
        <v>82</v>
      </c>
      <c r="V936" s="6">
        <f>IF(ISERROR(VLOOKUP($S$936,'TAR FIN'!$A$1:$O$120,15,0)),0,VLOOKUP($S$936,'TAR FIN'!$A$1:$O$120,15,0))</f>
        <v>0</v>
      </c>
      <c r="W936" s="6">
        <f>IF(ISERROR(VLOOKUP($T$936,'TAR FIN'!$A$1:$O$120,15,0)),0,VLOOKUP($T$936,'TAR FIN'!$A$1:$O$120,15,0))</f>
        <v>84.45</v>
      </c>
      <c r="X936" s="6">
        <f>IF(ISERROR(VLOOKUP($U$936,'TAR FIN'!$A$1:$O$120,15,0)),0,VLOOKUP($U$936,'TAR FIN'!$A$1:$O$120,15,0))</f>
        <v>256.38</v>
      </c>
      <c r="Y936" s="6"/>
      <c r="Z936" s="6">
        <f ca="1">('TUSD BE'!$AM$34+'TUSD BF'!$AM$34+'TUSD CVA'!$AM$34)*1</f>
        <v>87.519361965254689</v>
      </c>
      <c r="AA936" s="6">
        <f>('TE BE'!$AA$11+'TE BF'!$AA$11+'TE CVA'!$AA$11)*1</f>
        <v>230.83420940933817</v>
      </c>
      <c r="AB936" s="6">
        <f>$K$936*$V$936</f>
        <v>0</v>
      </c>
      <c r="AC936" s="6">
        <f>$M$936*$W$936</f>
        <v>368.45535000000007</v>
      </c>
      <c r="AD936" s="6">
        <f>$O$936*$X$936</f>
        <v>1118.5859400000002</v>
      </c>
      <c r="AE936" s="6">
        <f>$K$936*$Y$936</f>
        <v>0</v>
      </c>
      <c r="AF936" s="6">
        <f ca="1">$M$936*$Z$936</f>
        <v>381.84697625440623</v>
      </c>
      <c r="AG936" s="6">
        <f>$O$936*$AA$936</f>
        <v>1007.1296556529426</v>
      </c>
    </row>
    <row r="937" spans="1:33" ht="11.25" customHeight="1" x14ac:dyDescent="0.25">
      <c r="A937" s="4" t="s">
        <v>21</v>
      </c>
      <c r="B937" s="4" t="s">
        <v>33</v>
      </c>
      <c r="C937" s="4" t="s">
        <v>34</v>
      </c>
      <c r="D937" s="4" t="s">
        <v>24</v>
      </c>
      <c r="E937" s="4" t="s">
        <v>24</v>
      </c>
      <c r="F937" s="4" t="s">
        <v>25</v>
      </c>
      <c r="G937" s="4" t="s">
        <v>25</v>
      </c>
      <c r="H937" s="4" t="s">
        <v>36</v>
      </c>
      <c r="I937" s="5">
        <v>43770</v>
      </c>
      <c r="J937" s="6">
        <v>0</v>
      </c>
      <c r="K937" s="6">
        <v>0</v>
      </c>
      <c r="L937" s="6">
        <v>128.59299999999999</v>
      </c>
      <c r="M937" s="6">
        <v>128.59299999999999</v>
      </c>
      <c r="N937" s="6">
        <v>128.59299999999999</v>
      </c>
      <c r="O937" s="6">
        <v>128.59299999999999</v>
      </c>
      <c r="P937" s="6">
        <v>0</v>
      </c>
      <c r="Q937" s="4" t="s">
        <v>26</v>
      </c>
      <c r="R937" s="4">
        <v>0</v>
      </c>
      <c r="S937" s="6">
        <v>0</v>
      </c>
      <c r="T937" s="6">
        <v>28</v>
      </c>
      <c r="U937" s="6">
        <v>82</v>
      </c>
      <c r="V937" s="6">
        <f>IF(ISERROR(VLOOKUP($S$937,'TAR FIN'!$A$1:$O$120,15,0)),0,VLOOKUP($S$937,'TAR FIN'!$A$1:$O$120,15,0))</f>
        <v>0</v>
      </c>
      <c r="W937" s="6">
        <f>IF(ISERROR(VLOOKUP($T$937,'TAR FIN'!$A$1:$O$120,15,0)),0,VLOOKUP($T$937,'TAR FIN'!$A$1:$O$120,15,0))</f>
        <v>84.45</v>
      </c>
      <c r="X937" s="6">
        <f>IF(ISERROR(VLOOKUP($U$937,'TAR FIN'!$A$1:$O$120,15,0)),0,VLOOKUP($U$937,'TAR FIN'!$A$1:$O$120,15,0))</f>
        <v>256.38</v>
      </c>
      <c r="Y937" s="6"/>
      <c r="Z937" s="6">
        <f ca="1">('TUSD BE'!$AM$34+'TUSD BF'!$AM$34+'TUSD CVA'!$AM$34)*1</f>
        <v>87.519361965254689</v>
      </c>
      <c r="AA937" s="6">
        <f>('TE BE'!$AA$11+'TE BF'!$AA$11+'TE CVA'!$AA$11)*1</f>
        <v>230.83420940933817</v>
      </c>
      <c r="AB937" s="6">
        <f>$K$937*$V$937</f>
        <v>0</v>
      </c>
      <c r="AC937" s="6">
        <f>$M$937*$W$937</f>
        <v>10859.67885</v>
      </c>
      <c r="AD937" s="6">
        <f>$O$937*$X$937</f>
        <v>32968.673339999994</v>
      </c>
      <c r="AE937" s="6">
        <f>$K$937*$Y$937</f>
        <v>0</v>
      </c>
      <c r="AF937" s="6">
        <f ca="1">$M$937*$Z$937</f>
        <v>11254.377313197996</v>
      </c>
      <c r="AG937" s="6">
        <f>$O$937*$AA$937</f>
        <v>29683.663490575022</v>
      </c>
    </row>
    <row r="938" spans="1:33" ht="11.25" customHeight="1" x14ac:dyDescent="0.25">
      <c r="A938" s="4" t="s">
        <v>28</v>
      </c>
      <c r="B938" s="4" t="s">
        <v>33</v>
      </c>
      <c r="C938" s="4" t="s">
        <v>34</v>
      </c>
      <c r="D938" s="4" t="s">
        <v>24</v>
      </c>
      <c r="E938" s="4" t="s">
        <v>24</v>
      </c>
      <c r="F938" s="4" t="s">
        <v>25</v>
      </c>
      <c r="G938" s="4" t="s">
        <v>25</v>
      </c>
      <c r="H938" s="4" t="s">
        <v>36</v>
      </c>
      <c r="I938" s="5">
        <v>43770</v>
      </c>
      <c r="J938" s="6">
        <v>0</v>
      </c>
      <c r="K938" s="6">
        <v>0</v>
      </c>
      <c r="L938" s="6">
        <v>3.8370000000000002</v>
      </c>
      <c r="M938" s="6">
        <v>3.8370000000000002</v>
      </c>
      <c r="N938" s="6">
        <v>3.8370000000000002</v>
      </c>
      <c r="O938" s="6">
        <v>3.8370000000000002</v>
      </c>
      <c r="P938" s="6">
        <v>0</v>
      </c>
      <c r="Q938" s="4" t="s">
        <v>26</v>
      </c>
      <c r="R938" s="4">
        <v>0</v>
      </c>
      <c r="S938" s="6">
        <v>0</v>
      </c>
      <c r="T938" s="6">
        <v>28</v>
      </c>
      <c r="U938" s="6">
        <v>82</v>
      </c>
      <c r="V938" s="6">
        <f>IF(ISERROR(VLOOKUP($S$938,'TAR FIN'!$A$1:$O$120,15,0)),0,VLOOKUP($S$938,'TAR FIN'!$A$1:$O$120,15,0))</f>
        <v>0</v>
      </c>
      <c r="W938" s="6">
        <f>IF(ISERROR(VLOOKUP($T$938,'TAR FIN'!$A$1:$O$120,15,0)),0,VLOOKUP($T$938,'TAR FIN'!$A$1:$O$120,15,0))</f>
        <v>84.45</v>
      </c>
      <c r="X938" s="6">
        <f>IF(ISERROR(VLOOKUP($U$938,'TAR FIN'!$A$1:$O$120,15,0)),0,VLOOKUP($U$938,'TAR FIN'!$A$1:$O$120,15,0))</f>
        <v>256.38</v>
      </c>
      <c r="Y938" s="6"/>
      <c r="Z938" s="6">
        <f ca="1">('TUSD BE'!$AM$34+'TUSD BF'!$AM$34+'TUSD CVA'!$AM$34)*1</f>
        <v>87.519361965254689</v>
      </c>
      <c r="AA938" s="6">
        <f>('TE BE'!$AA$11+'TE BF'!$AA$11+'TE CVA'!$AA$11)*1</f>
        <v>230.83420940933817</v>
      </c>
      <c r="AB938" s="6">
        <f>$K$938*$V$938</f>
        <v>0</v>
      </c>
      <c r="AC938" s="6">
        <f>$M$938*$W$938</f>
        <v>324.03465</v>
      </c>
      <c r="AD938" s="6">
        <f>$O$938*$X$938</f>
        <v>983.73005999999998</v>
      </c>
      <c r="AE938" s="6">
        <f>$K$938*$Y$938</f>
        <v>0</v>
      </c>
      <c r="AF938" s="6">
        <f ca="1">$M$938*$Z$938</f>
        <v>335.81179186068226</v>
      </c>
      <c r="AG938" s="6">
        <f>$O$938*$AA$938</f>
        <v>885.71086150363055</v>
      </c>
    </row>
    <row r="939" spans="1:33" ht="11.25" customHeight="1" x14ac:dyDescent="0.25">
      <c r="A939" s="4" t="s">
        <v>21</v>
      </c>
      <c r="B939" s="4" t="s">
        <v>33</v>
      </c>
      <c r="C939" s="4" t="s">
        <v>34</v>
      </c>
      <c r="D939" s="4" t="s">
        <v>24</v>
      </c>
      <c r="E939" s="4" t="s">
        <v>24</v>
      </c>
      <c r="F939" s="4" t="s">
        <v>25</v>
      </c>
      <c r="G939" s="4" t="s">
        <v>25</v>
      </c>
      <c r="H939" s="4" t="s">
        <v>36</v>
      </c>
      <c r="I939" s="5">
        <v>43800</v>
      </c>
      <c r="J939" s="6">
        <v>0</v>
      </c>
      <c r="K939" s="6">
        <v>0</v>
      </c>
      <c r="L939" s="6">
        <v>115.98</v>
      </c>
      <c r="M939" s="6">
        <v>115.98</v>
      </c>
      <c r="N939" s="6">
        <v>115.98</v>
      </c>
      <c r="O939" s="6">
        <v>115.98</v>
      </c>
      <c r="P939" s="6">
        <v>0</v>
      </c>
      <c r="Q939" s="4" t="s">
        <v>26</v>
      </c>
      <c r="R939" s="4">
        <v>0</v>
      </c>
      <c r="S939" s="6">
        <v>0</v>
      </c>
      <c r="T939" s="6">
        <v>28</v>
      </c>
      <c r="U939" s="6">
        <v>82</v>
      </c>
      <c r="V939" s="6">
        <f>IF(ISERROR(VLOOKUP($S$939,'TAR FIN'!$A$1:$O$120,15,0)),0,VLOOKUP($S$939,'TAR FIN'!$A$1:$O$120,15,0))</f>
        <v>0</v>
      </c>
      <c r="W939" s="6">
        <f>IF(ISERROR(VLOOKUP($T$939,'TAR FIN'!$A$1:$O$120,15,0)),0,VLOOKUP($T$939,'TAR FIN'!$A$1:$O$120,15,0))</f>
        <v>84.45</v>
      </c>
      <c r="X939" s="6">
        <f>IF(ISERROR(VLOOKUP($U$939,'TAR FIN'!$A$1:$O$120,15,0)),0,VLOOKUP($U$939,'TAR FIN'!$A$1:$O$120,15,0))</f>
        <v>256.38</v>
      </c>
      <c r="Y939" s="6"/>
      <c r="Z939" s="6">
        <f ca="1">('TUSD BE'!$AM$34+'TUSD BF'!$AM$34+'TUSD CVA'!$AM$34)*1</f>
        <v>87.519361965254689</v>
      </c>
      <c r="AA939" s="6">
        <f>('TE BE'!$AA$11+'TE BF'!$AA$11+'TE CVA'!$AA$11)*1</f>
        <v>230.83420940933817</v>
      </c>
      <c r="AB939" s="6">
        <f>$K$939*$V$939</f>
        <v>0</v>
      </c>
      <c r="AC939" s="6">
        <f>$M$939*$W$939</f>
        <v>9794.5110000000004</v>
      </c>
      <c r="AD939" s="6">
        <f>$O$939*$X$939</f>
        <v>29734.952400000002</v>
      </c>
      <c r="AE939" s="6">
        <f>$K$939*$Y$939</f>
        <v>0</v>
      </c>
      <c r="AF939" s="6">
        <f ca="1">$M$939*$Z$939</f>
        <v>10150.495600730239</v>
      </c>
      <c r="AG939" s="6">
        <f>$O$939*$AA$939</f>
        <v>26772.151607295044</v>
      </c>
    </row>
    <row r="940" spans="1:33" ht="11.25" customHeight="1" x14ac:dyDescent="0.25">
      <c r="A940" s="4" t="s">
        <v>27</v>
      </c>
      <c r="B940" s="4" t="s">
        <v>33</v>
      </c>
      <c r="C940" s="4" t="s">
        <v>34</v>
      </c>
      <c r="D940" s="4" t="s">
        <v>24</v>
      </c>
      <c r="E940" s="4" t="s">
        <v>24</v>
      </c>
      <c r="F940" s="4" t="s">
        <v>25</v>
      </c>
      <c r="G940" s="4" t="s">
        <v>25</v>
      </c>
      <c r="H940" s="4" t="s">
        <v>36</v>
      </c>
      <c r="I940" s="5">
        <v>43800</v>
      </c>
      <c r="J940" s="6">
        <v>0</v>
      </c>
      <c r="K940" s="6">
        <v>0</v>
      </c>
      <c r="L940" s="6">
        <v>1.2749999999999999</v>
      </c>
      <c r="M940" s="6">
        <v>1.2749999999999999</v>
      </c>
      <c r="N940" s="6">
        <v>1.2749999999999999</v>
      </c>
      <c r="O940" s="6">
        <v>1.2749999999999999</v>
      </c>
      <c r="P940" s="6">
        <v>0</v>
      </c>
      <c r="Q940" s="4" t="s">
        <v>26</v>
      </c>
      <c r="R940" s="4">
        <v>0</v>
      </c>
      <c r="S940" s="6">
        <v>0</v>
      </c>
      <c r="T940" s="6">
        <v>28</v>
      </c>
      <c r="U940" s="6">
        <v>82</v>
      </c>
      <c r="V940" s="6">
        <f>IF(ISERROR(VLOOKUP($S$940,'TAR FIN'!$A$1:$O$120,15,0)),0,VLOOKUP($S$940,'TAR FIN'!$A$1:$O$120,15,0))</f>
        <v>0</v>
      </c>
      <c r="W940" s="6">
        <f>IF(ISERROR(VLOOKUP($T$940,'TAR FIN'!$A$1:$O$120,15,0)),0,VLOOKUP($T$940,'TAR FIN'!$A$1:$O$120,15,0))</f>
        <v>84.45</v>
      </c>
      <c r="X940" s="6">
        <f>IF(ISERROR(VLOOKUP($U$940,'TAR FIN'!$A$1:$O$120,15,0)),0,VLOOKUP($U$940,'TAR FIN'!$A$1:$O$120,15,0))</f>
        <v>256.38</v>
      </c>
      <c r="Y940" s="6"/>
      <c r="Z940" s="6">
        <f ca="1">('TUSD BE'!$AM$34+'TUSD BF'!$AM$34+'TUSD CVA'!$AM$34)*1</f>
        <v>87.519361965254689</v>
      </c>
      <c r="AA940" s="6">
        <f>('TE BE'!$AA$11+'TE BF'!$AA$11+'TE CVA'!$AA$11)*1</f>
        <v>230.83420940933817</v>
      </c>
      <c r="AB940" s="6">
        <f>$K$940*$V$940</f>
        <v>0</v>
      </c>
      <c r="AC940" s="6">
        <f>$M$940*$W$940</f>
        <v>107.67375</v>
      </c>
      <c r="AD940" s="6">
        <f>$O$940*$X$940</f>
        <v>326.88449999999995</v>
      </c>
      <c r="AE940" s="6">
        <f>$K$940*$Y$940</f>
        <v>0</v>
      </c>
      <c r="AF940" s="6">
        <f ca="1">$M$940*$Z$940</f>
        <v>111.58718650569972</v>
      </c>
      <c r="AG940" s="6">
        <f>$O$940*$AA$940</f>
        <v>294.31361699690615</v>
      </c>
    </row>
    <row r="941" spans="1:33" ht="11.25" customHeight="1" x14ac:dyDescent="0.25">
      <c r="A941" s="4" t="s">
        <v>28</v>
      </c>
      <c r="B941" s="4" t="s">
        <v>33</v>
      </c>
      <c r="C941" s="4" t="s">
        <v>34</v>
      </c>
      <c r="D941" s="4" t="s">
        <v>24</v>
      </c>
      <c r="E941" s="4" t="s">
        <v>24</v>
      </c>
      <c r="F941" s="4" t="s">
        <v>25</v>
      </c>
      <c r="G941" s="4" t="s">
        <v>25</v>
      </c>
      <c r="H941" s="4" t="s">
        <v>36</v>
      </c>
      <c r="I941" s="5">
        <v>43800</v>
      </c>
      <c r="J941" s="6">
        <v>0</v>
      </c>
      <c r="K941" s="6">
        <v>0</v>
      </c>
      <c r="L941" s="6">
        <v>2.4889999999999999</v>
      </c>
      <c r="M941" s="6">
        <v>2.4889999999999999</v>
      </c>
      <c r="N941" s="6">
        <v>2.4889999999999999</v>
      </c>
      <c r="O941" s="6">
        <v>2.4889999999999999</v>
      </c>
      <c r="P941" s="6">
        <v>0</v>
      </c>
      <c r="Q941" s="4" t="s">
        <v>26</v>
      </c>
      <c r="R941" s="4">
        <v>0</v>
      </c>
      <c r="S941" s="6">
        <v>0</v>
      </c>
      <c r="T941" s="6">
        <v>28</v>
      </c>
      <c r="U941" s="6">
        <v>82</v>
      </c>
      <c r="V941" s="6">
        <f>IF(ISERROR(VLOOKUP($S$941,'TAR FIN'!$A$1:$O$120,15,0)),0,VLOOKUP($S$941,'TAR FIN'!$A$1:$O$120,15,0))</f>
        <v>0</v>
      </c>
      <c r="W941" s="6">
        <f>IF(ISERROR(VLOOKUP($T$941,'TAR FIN'!$A$1:$O$120,15,0)),0,VLOOKUP($T$941,'TAR FIN'!$A$1:$O$120,15,0))</f>
        <v>84.45</v>
      </c>
      <c r="X941" s="6">
        <f>IF(ISERROR(VLOOKUP($U$941,'TAR FIN'!$A$1:$O$120,15,0)),0,VLOOKUP($U$941,'TAR FIN'!$A$1:$O$120,15,0))</f>
        <v>256.38</v>
      </c>
      <c r="Y941" s="6"/>
      <c r="Z941" s="6">
        <f ca="1">('TUSD BE'!$AM$34+'TUSD BF'!$AM$34+'TUSD CVA'!$AM$34)*1</f>
        <v>87.519361965254689</v>
      </c>
      <c r="AA941" s="6">
        <f>('TE BE'!$AA$11+'TE BF'!$AA$11+'TE CVA'!$AA$11)*1</f>
        <v>230.83420940933817</v>
      </c>
      <c r="AB941" s="6">
        <f>$K$941*$V$941</f>
        <v>0</v>
      </c>
      <c r="AC941" s="6">
        <f>$M$941*$W$941</f>
        <v>210.19604999999999</v>
      </c>
      <c r="AD941" s="6">
        <f>$O$941*$X$941</f>
        <v>638.12982</v>
      </c>
      <c r="AE941" s="6">
        <f>$K$941*$Y$941</f>
        <v>0</v>
      </c>
      <c r="AF941" s="6">
        <f ca="1">$M$941*$Z$941</f>
        <v>217.83569193151891</v>
      </c>
      <c r="AG941" s="6">
        <f>$O$941*$AA$941</f>
        <v>574.54634721984269</v>
      </c>
    </row>
    <row r="942" spans="1:33" ht="11.25" customHeight="1" x14ac:dyDescent="0.25">
      <c r="A942" s="4" t="s">
        <v>21</v>
      </c>
      <c r="B942" s="4" t="s">
        <v>33</v>
      </c>
      <c r="C942" s="4" t="s">
        <v>34</v>
      </c>
      <c r="D942" s="4" t="s">
        <v>24</v>
      </c>
      <c r="E942" s="4" t="s">
        <v>24</v>
      </c>
      <c r="F942" s="4" t="s">
        <v>25</v>
      </c>
      <c r="G942" s="4" t="s">
        <v>25</v>
      </c>
      <c r="H942" s="4" t="s">
        <v>36</v>
      </c>
      <c r="I942" s="5">
        <v>43831</v>
      </c>
      <c r="J942" s="6">
        <v>0</v>
      </c>
      <c r="K942" s="6">
        <v>0</v>
      </c>
      <c r="L942" s="6">
        <v>107.26600000000001</v>
      </c>
      <c r="M942" s="6">
        <v>107.26600000000001</v>
      </c>
      <c r="N942" s="6">
        <v>107.26600000000001</v>
      </c>
      <c r="O942" s="6">
        <v>107.26600000000001</v>
      </c>
      <c r="P942" s="6">
        <v>0</v>
      </c>
      <c r="Q942" s="4" t="s">
        <v>26</v>
      </c>
      <c r="R942" s="4">
        <v>0</v>
      </c>
      <c r="S942" s="6">
        <v>0</v>
      </c>
      <c r="T942" s="6">
        <v>28</v>
      </c>
      <c r="U942" s="6">
        <v>82</v>
      </c>
      <c r="V942" s="6">
        <f>IF(ISERROR(VLOOKUP($S$942,'TAR FIN'!$A$1:$O$120,15,0)),0,VLOOKUP($S$942,'TAR FIN'!$A$1:$O$120,15,0))</f>
        <v>0</v>
      </c>
      <c r="W942" s="6">
        <f>IF(ISERROR(VLOOKUP($T$942,'TAR FIN'!$A$1:$O$120,15,0)),0,VLOOKUP($T$942,'TAR FIN'!$A$1:$O$120,15,0))</f>
        <v>84.45</v>
      </c>
      <c r="X942" s="6">
        <f>IF(ISERROR(VLOOKUP($U$942,'TAR FIN'!$A$1:$O$120,15,0)),0,VLOOKUP($U$942,'TAR FIN'!$A$1:$O$120,15,0))</f>
        <v>256.38</v>
      </c>
      <c r="Y942" s="6"/>
      <c r="Z942" s="6">
        <f ca="1">('TUSD BE'!$AM$34+'TUSD BF'!$AM$34+'TUSD CVA'!$AM$34)*1</f>
        <v>87.519361965254689</v>
      </c>
      <c r="AA942" s="6">
        <f>('TE BE'!$AA$11+'TE BF'!$AA$11+'TE CVA'!$AA$11)*1</f>
        <v>230.83420940933817</v>
      </c>
      <c r="AB942" s="6">
        <f>$K$942*$V$942</f>
        <v>0</v>
      </c>
      <c r="AC942" s="6">
        <f>$M$942*$W$942</f>
        <v>9058.6136999999999</v>
      </c>
      <c r="AD942" s="6">
        <f>$O$942*$X$942</f>
        <v>27500.857080000002</v>
      </c>
      <c r="AE942" s="6">
        <f>$K$942*$Y$942</f>
        <v>0</v>
      </c>
      <c r="AF942" s="6">
        <f ca="1">$M$942*$Z$942</f>
        <v>9387.8518805650092</v>
      </c>
      <c r="AG942" s="6">
        <f>$O$942*$AA$942</f>
        <v>24760.662306502069</v>
      </c>
    </row>
    <row r="943" spans="1:33" ht="11.25" customHeight="1" x14ac:dyDescent="0.25">
      <c r="A943" s="4" t="s">
        <v>27</v>
      </c>
      <c r="B943" s="4" t="s">
        <v>33</v>
      </c>
      <c r="C943" s="4" t="s">
        <v>34</v>
      </c>
      <c r="D943" s="4" t="s">
        <v>24</v>
      </c>
      <c r="E943" s="4" t="s">
        <v>24</v>
      </c>
      <c r="F943" s="4" t="s">
        <v>25</v>
      </c>
      <c r="G943" s="4" t="s">
        <v>25</v>
      </c>
      <c r="H943" s="4" t="s">
        <v>36</v>
      </c>
      <c r="I943" s="5">
        <v>43831</v>
      </c>
      <c r="J943" s="6">
        <v>0</v>
      </c>
      <c r="K943" s="6">
        <v>0</v>
      </c>
      <c r="L943" s="6">
        <v>2.2999999999999998</v>
      </c>
      <c r="M943" s="6">
        <v>2.2999999999999998</v>
      </c>
      <c r="N943" s="6">
        <v>2.2999999999999998</v>
      </c>
      <c r="O943" s="6">
        <v>2.2999999999999998</v>
      </c>
      <c r="P943" s="6">
        <v>0</v>
      </c>
      <c r="Q943" s="4" t="s">
        <v>26</v>
      </c>
      <c r="R943" s="4">
        <v>0</v>
      </c>
      <c r="S943" s="6">
        <v>0</v>
      </c>
      <c r="T943" s="6">
        <v>28</v>
      </c>
      <c r="U943" s="6">
        <v>82</v>
      </c>
      <c r="V943" s="6">
        <f>IF(ISERROR(VLOOKUP($S$943,'TAR FIN'!$A$1:$O$120,15,0)),0,VLOOKUP($S$943,'TAR FIN'!$A$1:$O$120,15,0))</f>
        <v>0</v>
      </c>
      <c r="W943" s="6">
        <f>IF(ISERROR(VLOOKUP($T$943,'TAR FIN'!$A$1:$O$120,15,0)),0,VLOOKUP($T$943,'TAR FIN'!$A$1:$O$120,15,0))</f>
        <v>84.45</v>
      </c>
      <c r="X943" s="6">
        <f>IF(ISERROR(VLOOKUP($U$943,'TAR FIN'!$A$1:$O$120,15,0)),0,VLOOKUP($U$943,'TAR FIN'!$A$1:$O$120,15,0))</f>
        <v>256.38</v>
      </c>
      <c r="Y943" s="6"/>
      <c r="Z943" s="6">
        <f ca="1">('TUSD BE'!$AM$34+'TUSD BF'!$AM$34+'TUSD CVA'!$AM$34)*1</f>
        <v>87.519361965254689</v>
      </c>
      <c r="AA943" s="6">
        <f>('TE BE'!$AA$11+'TE BF'!$AA$11+'TE CVA'!$AA$11)*1</f>
        <v>230.83420940933817</v>
      </c>
      <c r="AB943" s="6">
        <f>$K$943*$V$943</f>
        <v>0</v>
      </c>
      <c r="AC943" s="6">
        <f>$M$943*$W$943</f>
        <v>194.23499999999999</v>
      </c>
      <c r="AD943" s="6">
        <f>$O$943*$X$943</f>
        <v>589.67399999999998</v>
      </c>
      <c r="AE943" s="6">
        <f>$K$943*$Y$943</f>
        <v>0</v>
      </c>
      <c r="AF943" s="6">
        <f ca="1">$M$943*$Z$943</f>
        <v>201.29453252008577</v>
      </c>
      <c r="AG943" s="6">
        <f>$O$943*$AA$943</f>
        <v>530.91868164147775</v>
      </c>
    </row>
    <row r="944" spans="1:33" ht="11.25" customHeight="1" x14ac:dyDescent="0.25">
      <c r="A944" s="4" t="s">
        <v>28</v>
      </c>
      <c r="B944" s="4" t="s">
        <v>33</v>
      </c>
      <c r="C944" s="4" t="s">
        <v>34</v>
      </c>
      <c r="D944" s="4" t="s">
        <v>24</v>
      </c>
      <c r="E944" s="4" t="s">
        <v>24</v>
      </c>
      <c r="F944" s="4" t="s">
        <v>25</v>
      </c>
      <c r="G944" s="4" t="s">
        <v>25</v>
      </c>
      <c r="H944" s="4" t="s">
        <v>36</v>
      </c>
      <c r="I944" s="5">
        <v>43831</v>
      </c>
      <c r="J944" s="6">
        <v>0</v>
      </c>
      <c r="K944" s="6">
        <v>0</v>
      </c>
      <c r="L944" s="6">
        <v>1.524</v>
      </c>
      <c r="M944" s="6">
        <v>1.524</v>
      </c>
      <c r="N944" s="6">
        <v>1.524</v>
      </c>
      <c r="O944" s="6">
        <v>1.524</v>
      </c>
      <c r="P944" s="6">
        <v>0</v>
      </c>
      <c r="Q944" s="4" t="s">
        <v>26</v>
      </c>
      <c r="R944" s="4">
        <v>0</v>
      </c>
      <c r="S944" s="6">
        <v>0</v>
      </c>
      <c r="T944" s="6">
        <v>28</v>
      </c>
      <c r="U944" s="6">
        <v>82</v>
      </c>
      <c r="V944" s="6">
        <f>IF(ISERROR(VLOOKUP($S$944,'TAR FIN'!$A$1:$O$120,15,0)),0,VLOOKUP($S$944,'TAR FIN'!$A$1:$O$120,15,0))</f>
        <v>0</v>
      </c>
      <c r="W944" s="6">
        <f>IF(ISERROR(VLOOKUP($T$944,'TAR FIN'!$A$1:$O$120,15,0)),0,VLOOKUP($T$944,'TAR FIN'!$A$1:$O$120,15,0))</f>
        <v>84.45</v>
      </c>
      <c r="X944" s="6">
        <f>IF(ISERROR(VLOOKUP($U$944,'TAR FIN'!$A$1:$O$120,15,0)),0,VLOOKUP($U$944,'TAR FIN'!$A$1:$O$120,15,0))</f>
        <v>256.38</v>
      </c>
      <c r="Y944" s="6"/>
      <c r="Z944" s="6">
        <f ca="1">('TUSD BE'!$AM$34+'TUSD BF'!$AM$34+'TUSD CVA'!$AM$34)*1</f>
        <v>87.519361965254689</v>
      </c>
      <c r="AA944" s="6">
        <f>('TE BE'!$AA$11+'TE BF'!$AA$11+'TE CVA'!$AA$11)*1</f>
        <v>230.83420940933817</v>
      </c>
      <c r="AB944" s="6">
        <f>$K$944*$V$944</f>
        <v>0</v>
      </c>
      <c r="AC944" s="6">
        <f>$M$944*$W$944</f>
        <v>128.70180000000002</v>
      </c>
      <c r="AD944" s="6">
        <f>$O$944*$X$944</f>
        <v>390.72311999999999</v>
      </c>
      <c r="AE944" s="6">
        <f>$K$944*$Y$944</f>
        <v>0</v>
      </c>
      <c r="AF944" s="6">
        <f ca="1">$M$944*$Z$944</f>
        <v>133.37950763504816</v>
      </c>
      <c r="AG944" s="6">
        <f>$O$944*$AA$944</f>
        <v>351.7913351398314</v>
      </c>
    </row>
    <row r="945" spans="1:33" ht="11.25" customHeight="1" x14ac:dyDescent="0.25">
      <c r="A945" s="4" t="s">
        <v>21</v>
      </c>
      <c r="B945" s="4" t="s">
        <v>33</v>
      </c>
      <c r="C945" s="4" t="s">
        <v>34</v>
      </c>
      <c r="D945" s="4" t="s">
        <v>24</v>
      </c>
      <c r="E945" s="4" t="s">
        <v>24</v>
      </c>
      <c r="F945" s="4" t="s">
        <v>25</v>
      </c>
      <c r="G945" s="4" t="s">
        <v>25</v>
      </c>
      <c r="H945" s="4" t="s">
        <v>36</v>
      </c>
      <c r="I945" s="5">
        <v>43862</v>
      </c>
      <c r="J945" s="6">
        <v>0</v>
      </c>
      <c r="K945" s="6">
        <v>0</v>
      </c>
      <c r="L945" s="6">
        <v>115.77800000000001</v>
      </c>
      <c r="M945" s="6">
        <v>115.77800000000001</v>
      </c>
      <c r="N945" s="6">
        <v>115.77800000000001</v>
      </c>
      <c r="O945" s="6">
        <v>115.77800000000001</v>
      </c>
      <c r="P945" s="6">
        <v>0</v>
      </c>
      <c r="Q945" s="4" t="s">
        <v>26</v>
      </c>
      <c r="R945" s="4">
        <v>0</v>
      </c>
      <c r="S945" s="6">
        <v>0</v>
      </c>
      <c r="T945" s="6">
        <v>28</v>
      </c>
      <c r="U945" s="6">
        <v>82</v>
      </c>
      <c r="V945" s="6">
        <f>IF(ISERROR(VLOOKUP($S$945,'TAR FIN'!$A$1:$O$120,15,0)),0,VLOOKUP($S$945,'TAR FIN'!$A$1:$O$120,15,0))</f>
        <v>0</v>
      </c>
      <c r="W945" s="6">
        <f>IF(ISERROR(VLOOKUP($T$945,'TAR FIN'!$A$1:$O$120,15,0)),0,VLOOKUP($T$945,'TAR FIN'!$A$1:$O$120,15,0))</f>
        <v>84.45</v>
      </c>
      <c r="X945" s="6">
        <f>IF(ISERROR(VLOOKUP($U$945,'TAR FIN'!$A$1:$O$120,15,0)),0,VLOOKUP($U$945,'TAR FIN'!$A$1:$O$120,15,0))</f>
        <v>256.38</v>
      </c>
      <c r="Y945" s="6"/>
      <c r="Z945" s="6">
        <f ca="1">('TUSD BE'!$AM$34+'TUSD BF'!$AM$34+'TUSD CVA'!$AM$34)*1</f>
        <v>87.519361965254689</v>
      </c>
      <c r="AA945" s="6">
        <f>('TE BE'!$AA$11+'TE BF'!$AA$11+'TE CVA'!$AA$11)*1</f>
        <v>230.83420940933817</v>
      </c>
      <c r="AB945" s="6">
        <f>$K$945*$V$945</f>
        <v>0</v>
      </c>
      <c r="AC945" s="6">
        <f>$M$945*$W$945</f>
        <v>9777.4521000000004</v>
      </c>
      <c r="AD945" s="6">
        <f>$O$945*$X$945</f>
        <v>29683.163640000002</v>
      </c>
      <c r="AE945" s="6">
        <f>$K$945*$Y$945</f>
        <v>0</v>
      </c>
      <c r="AF945" s="6">
        <f ca="1">$M$945*$Z$945</f>
        <v>10132.816689613257</v>
      </c>
      <c r="AG945" s="6">
        <f>$O$945*$AA$945</f>
        <v>26725.523096994355</v>
      </c>
    </row>
    <row r="946" spans="1:33" ht="11.25" customHeight="1" x14ac:dyDescent="0.25">
      <c r="A946" s="4" t="s">
        <v>27</v>
      </c>
      <c r="B946" s="4" t="s">
        <v>33</v>
      </c>
      <c r="C946" s="4" t="s">
        <v>34</v>
      </c>
      <c r="D946" s="4" t="s">
        <v>24</v>
      </c>
      <c r="E946" s="4" t="s">
        <v>24</v>
      </c>
      <c r="F946" s="4" t="s">
        <v>25</v>
      </c>
      <c r="G946" s="4" t="s">
        <v>25</v>
      </c>
      <c r="H946" s="4" t="s">
        <v>36</v>
      </c>
      <c r="I946" s="5">
        <v>43862</v>
      </c>
      <c r="J946" s="6">
        <v>0</v>
      </c>
      <c r="K946" s="6">
        <v>0</v>
      </c>
      <c r="L946" s="6">
        <v>2.4089999999999998</v>
      </c>
      <c r="M946" s="6">
        <v>2.4089999999999998</v>
      </c>
      <c r="N946" s="6">
        <v>2.4089999999999998</v>
      </c>
      <c r="O946" s="6">
        <v>2.4089999999999998</v>
      </c>
      <c r="P946" s="6">
        <v>0</v>
      </c>
      <c r="Q946" s="4" t="s">
        <v>26</v>
      </c>
      <c r="R946" s="4">
        <v>0</v>
      </c>
      <c r="S946" s="6">
        <v>0</v>
      </c>
      <c r="T946" s="6">
        <v>28</v>
      </c>
      <c r="U946" s="6">
        <v>82</v>
      </c>
      <c r="V946" s="6">
        <f>IF(ISERROR(VLOOKUP($S$946,'TAR FIN'!$A$1:$O$120,15,0)),0,VLOOKUP($S$946,'TAR FIN'!$A$1:$O$120,15,0))</f>
        <v>0</v>
      </c>
      <c r="W946" s="6">
        <f>IF(ISERROR(VLOOKUP($T$946,'TAR FIN'!$A$1:$O$120,15,0)),0,VLOOKUP($T$946,'TAR FIN'!$A$1:$O$120,15,0))</f>
        <v>84.45</v>
      </c>
      <c r="X946" s="6">
        <f>IF(ISERROR(VLOOKUP($U$946,'TAR FIN'!$A$1:$O$120,15,0)),0,VLOOKUP($U$946,'TAR FIN'!$A$1:$O$120,15,0))</f>
        <v>256.38</v>
      </c>
      <c r="Y946" s="6"/>
      <c r="Z946" s="6">
        <f ca="1">('TUSD BE'!$AM$34+'TUSD BF'!$AM$34+'TUSD CVA'!$AM$34)*1</f>
        <v>87.519361965254689</v>
      </c>
      <c r="AA946" s="6">
        <f>('TE BE'!$AA$11+'TE BF'!$AA$11+'TE CVA'!$AA$11)*1</f>
        <v>230.83420940933817</v>
      </c>
      <c r="AB946" s="6">
        <f>$K$946*$V$946</f>
        <v>0</v>
      </c>
      <c r="AC946" s="6">
        <f>$M$946*$W$946</f>
        <v>203.44004999999999</v>
      </c>
      <c r="AD946" s="6">
        <f>$O$946*$X$946</f>
        <v>617.61941999999999</v>
      </c>
      <c r="AE946" s="6">
        <f>$K$946*$Y$946</f>
        <v>0</v>
      </c>
      <c r="AF946" s="6">
        <f ca="1">$M$946*$Z$946</f>
        <v>210.83414297429852</v>
      </c>
      <c r="AG946" s="6">
        <f>$O$946*$AA$946</f>
        <v>556.07961046709556</v>
      </c>
    </row>
    <row r="947" spans="1:33" ht="11.25" customHeight="1" x14ac:dyDescent="0.25">
      <c r="A947" s="4" t="s">
        <v>28</v>
      </c>
      <c r="B947" s="4" t="s">
        <v>33</v>
      </c>
      <c r="C947" s="4" t="s">
        <v>34</v>
      </c>
      <c r="D947" s="4" t="s">
        <v>24</v>
      </c>
      <c r="E947" s="4" t="s">
        <v>24</v>
      </c>
      <c r="F947" s="4" t="s">
        <v>25</v>
      </c>
      <c r="G947" s="4" t="s">
        <v>25</v>
      </c>
      <c r="H947" s="4" t="s">
        <v>36</v>
      </c>
      <c r="I947" s="5">
        <v>43862</v>
      </c>
      <c r="J947" s="6">
        <v>0</v>
      </c>
      <c r="K947" s="6">
        <v>0</v>
      </c>
      <c r="L947" s="6">
        <v>3.4009999999999998</v>
      </c>
      <c r="M947" s="6">
        <v>3.4009999999999998</v>
      </c>
      <c r="N947" s="6">
        <v>3.4009999999999998</v>
      </c>
      <c r="O947" s="6">
        <v>3.4009999999999998</v>
      </c>
      <c r="P947" s="6">
        <v>0</v>
      </c>
      <c r="Q947" s="4" t="s">
        <v>26</v>
      </c>
      <c r="R947" s="4">
        <v>0</v>
      </c>
      <c r="S947" s="6">
        <v>0</v>
      </c>
      <c r="T947" s="6">
        <v>28</v>
      </c>
      <c r="U947" s="6">
        <v>82</v>
      </c>
      <c r="V947" s="6">
        <f>IF(ISERROR(VLOOKUP($S$947,'TAR FIN'!$A$1:$O$120,15,0)),0,VLOOKUP($S$947,'TAR FIN'!$A$1:$O$120,15,0))</f>
        <v>0</v>
      </c>
      <c r="W947" s="6">
        <f>IF(ISERROR(VLOOKUP($T$947,'TAR FIN'!$A$1:$O$120,15,0)),0,VLOOKUP($T$947,'TAR FIN'!$A$1:$O$120,15,0))</f>
        <v>84.45</v>
      </c>
      <c r="X947" s="6">
        <f>IF(ISERROR(VLOOKUP($U$947,'TAR FIN'!$A$1:$O$120,15,0)),0,VLOOKUP($U$947,'TAR FIN'!$A$1:$O$120,15,0))</f>
        <v>256.38</v>
      </c>
      <c r="Y947" s="6"/>
      <c r="Z947" s="6">
        <f ca="1">('TUSD BE'!$AM$34+'TUSD BF'!$AM$34+'TUSD CVA'!$AM$34)*1</f>
        <v>87.519361965254689</v>
      </c>
      <c r="AA947" s="6">
        <f>('TE BE'!$AA$11+'TE BF'!$AA$11+'TE CVA'!$AA$11)*1</f>
        <v>230.83420940933817</v>
      </c>
      <c r="AB947" s="6">
        <f>$K$947*$V$947</f>
        <v>0</v>
      </c>
      <c r="AC947" s="6">
        <f>$M$947*$W$947</f>
        <v>287.21445</v>
      </c>
      <c r="AD947" s="6">
        <f>$O$947*$X$947</f>
        <v>871.94837999999993</v>
      </c>
      <c r="AE947" s="6">
        <f>$K$947*$Y$947</f>
        <v>0</v>
      </c>
      <c r="AF947" s="6">
        <f ca="1">$M$947*$Z$947</f>
        <v>297.65335004383115</v>
      </c>
      <c r="AG947" s="6">
        <f>$O$947*$AA$947</f>
        <v>785.06714620115906</v>
      </c>
    </row>
    <row r="948" spans="1:33" ht="11.25" customHeight="1" x14ac:dyDescent="0.25">
      <c r="A948" s="4" t="s">
        <v>21</v>
      </c>
      <c r="B948" s="4" t="s">
        <v>33</v>
      </c>
      <c r="C948" s="4" t="s">
        <v>34</v>
      </c>
      <c r="D948" s="4" t="s">
        <v>24</v>
      </c>
      <c r="E948" s="4" t="s">
        <v>24</v>
      </c>
      <c r="F948" s="4" t="s">
        <v>25</v>
      </c>
      <c r="G948" s="4" t="s">
        <v>25</v>
      </c>
      <c r="H948" s="4" t="s">
        <v>36</v>
      </c>
      <c r="I948" s="5">
        <v>43891</v>
      </c>
      <c r="J948" s="6">
        <v>0</v>
      </c>
      <c r="K948" s="6">
        <v>0</v>
      </c>
      <c r="L948" s="6">
        <v>105.41800000000001</v>
      </c>
      <c r="M948" s="6">
        <v>105.41800000000001</v>
      </c>
      <c r="N948" s="6">
        <v>105.41800000000001</v>
      </c>
      <c r="O948" s="6">
        <v>105.41800000000001</v>
      </c>
      <c r="P948" s="6">
        <v>0</v>
      </c>
      <c r="Q948" s="4" t="s">
        <v>26</v>
      </c>
      <c r="R948" s="4">
        <v>0</v>
      </c>
      <c r="S948" s="6">
        <v>0</v>
      </c>
      <c r="T948" s="6">
        <v>28</v>
      </c>
      <c r="U948" s="6">
        <v>82</v>
      </c>
      <c r="V948" s="6">
        <f>IF(ISERROR(VLOOKUP($S$948,'TAR FIN'!$A$1:$O$120,15,0)),0,VLOOKUP($S$948,'TAR FIN'!$A$1:$O$120,15,0))</f>
        <v>0</v>
      </c>
      <c r="W948" s="6">
        <f>IF(ISERROR(VLOOKUP($T$948,'TAR FIN'!$A$1:$O$120,15,0)),0,VLOOKUP($T$948,'TAR FIN'!$A$1:$O$120,15,0))</f>
        <v>84.45</v>
      </c>
      <c r="X948" s="6">
        <f>IF(ISERROR(VLOOKUP($U$948,'TAR FIN'!$A$1:$O$120,15,0)),0,VLOOKUP($U$948,'TAR FIN'!$A$1:$O$120,15,0))</f>
        <v>256.38</v>
      </c>
      <c r="Y948" s="6"/>
      <c r="Z948" s="6">
        <f ca="1">('TUSD BE'!$AM$34+'TUSD BF'!$AM$34+'TUSD CVA'!$AM$34)*1</f>
        <v>87.519361965254689</v>
      </c>
      <c r="AA948" s="6">
        <f>('TE BE'!$AA$11+'TE BF'!$AA$11+'TE CVA'!$AA$11)*1</f>
        <v>230.83420940933817</v>
      </c>
      <c r="AB948" s="6">
        <f>$K$948*$V$948</f>
        <v>0</v>
      </c>
      <c r="AC948" s="6">
        <f>$M$948*$W$948</f>
        <v>8902.5501000000004</v>
      </c>
      <c r="AD948" s="6">
        <f>$O$948*$X$948</f>
        <v>27027.06684</v>
      </c>
      <c r="AE948" s="6">
        <f>$K$948*$Y$948</f>
        <v>0</v>
      </c>
      <c r="AF948" s="6">
        <f ca="1">$M$948*$Z$948</f>
        <v>9226.1160996532199</v>
      </c>
      <c r="AG948" s="6">
        <f>$O$948*$AA$948</f>
        <v>24334.080687513611</v>
      </c>
    </row>
    <row r="949" spans="1:33" ht="11.25" customHeight="1" x14ac:dyDescent="0.25">
      <c r="A949" s="4" t="s">
        <v>27</v>
      </c>
      <c r="B949" s="4" t="s">
        <v>33</v>
      </c>
      <c r="C949" s="4" t="s">
        <v>34</v>
      </c>
      <c r="D949" s="4" t="s">
        <v>24</v>
      </c>
      <c r="E949" s="4" t="s">
        <v>24</v>
      </c>
      <c r="F949" s="4" t="s">
        <v>25</v>
      </c>
      <c r="G949" s="4" t="s">
        <v>25</v>
      </c>
      <c r="H949" s="4" t="s">
        <v>36</v>
      </c>
      <c r="I949" s="5">
        <v>43891</v>
      </c>
      <c r="J949" s="6">
        <v>0</v>
      </c>
      <c r="K949" s="6">
        <v>0</v>
      </c>
      <c r="L949" s="6">
        <v>2.1560000000000001</v>
      </c>
      <c r="M949" s="6">
        <v>2.1560000000000001</v>
      </c>
      <c r="N949" s="6">
        <v>2.1560000000000001</v>
      </c>
      <c r="O949" s="6">
        <v>2.1560000000000001</v>
      </c>
      <c r="P949" s="6">
        <v>0</v>
      </c>
      <c r="Q949" s="4" t="s">
        <v>26</v>
      </c>
      <c r="R949" s="4">
        <v>0</v>
      </c>
      <c r="S949" s="6">
        <v>0</v>
      </c>
      <c r="T949" s="6">
        <v>28</v>
      </c>
      <c r="U949" s="6">
        <v>82</v>
      </c>
      <c r="V949" s="6">
        <f>IF(ISERROR(VLOOKUP($S$949,'TAR FIN'!$A$1:$O$120,15,0)),0,VLOOKUP($S$949,'TAR FIN'!$A$1:$O$120,15,0))</f>
        <v>0</v>
      </c>
      <c r="W949" s="6">
        <f>IF(ISERROR(VLOOKUP($T$949,'TAR FIN'!$A$1:$O$120,15,0)),0,VLOOKUP($T$949,'TAR FIN'!$A$1:$O$120,15,0))</f>
        <v>84.45</v>
      </c>
      <c r="X949" s="6">
        <f>IF(ISERROR(VLOOKUP($U$949,'TAR FIN'!$A$1:$O$120,15,0)),0,VLOOKUP($U$949,'TAR FIN'!$A$1:$O$120,15,0))</f>
        <v>256.38</v>
      </c>
      <c r="Y949" s="6"/>
      <c r="Z949" s="6">
        <f ca="1">('TUSD BE'!$AM$34+'TUSD BF'!$AM$34+'TUSD CVA'!$AM$34)*1</f>
        <v>87.519361965254689</v>
      </c>
      <c r="AA949" s="6">
        <f>('TE BE'!$AA$11+'TE BF'!$AA$11+'TE CVA'!$AA$11)*1</f>
        <v>230.83420940933817</v>
      </c>
      <c r="AB949" s="6">
        <f>$K$949*$V$949</f>
        <v>0</v>
      </c>
      <c r="AC949" s="6">
        <f>$M$949*$W$949</f>
        <v>182.07420000000002</v>
      </c>
      <c r="AD949" s="6">
        <f>$O$949*$X$949</f>
        <v>552.75527999999997</v>
      </c>
      <c r="AE949" s="6">
        <f>$K$949*$Y$949</f>
        <v>0</v>
      </c>
      <c r="AF949" s="6">
        <f ca="1">$M$949*$Z$949</f>
        <v>188.69174439708911</v>
      </c>
      <c r="AG949" s="6">
        <f>$O$949*$AA$949</f>
        <v>497.67855548653313</v>
      </c>
    </row>
    <row r="950" spans="1:33" ht="11.25" customHeight="1" x14ac:dyDescent="0.25">
      <c r="A950" s="4" t="s">
        <v>28</v>
      </c>
      <c r="B950" s="4" t="s">
        <v>33</v>
      </c>
      <c r="C950" s="4" t="s">
        <v>34</v>
      </c>
      <c r="D950" s="4" t="s">
        <v>24</v>
      </c>
      <c r="E950" s="4" t="s">
        <v>24</v>
      </c>
      <c r="F950" s="4" t="s">
        <v>25</v>
      </c>
      <c r="G950" s="4" t="s">
        <v>25</v>
      </c>
      <c r="H950" s="4" t="s">
        <v>36</v>
      </c>
      <c r="I950" s="5">
        <v>43891</v>
      </c>
      <c r="J950" s="6">
        <v>0</v>
      </c>
      <c r="K950" s="6">
        <v>0</v>
      </c>
      <c r="L950" s="6">
        <v>2.8</v>
      </c>
      <c r="M950" s="6">
        <v>2.8</v>
      </c>
      <c r="N950" s="6">
        <v>2.8</v>
      </c>
      <c r="O950" s="6">
        <v>2.8</v>
      </c>
      <c r="P950" s="6">
        <v>0</v>
      </c>
      <c r="Q950" s="4" t="s">
        <v>26</v>
      </c>
      <c r="R950" s="4">
        <v>0</v>
      </c>
      <c r="S950" s="6">
        <v>0</v>
      </c>
      <c r="T950" s="6">
        <v>28</v>
      </c>
      <c r="U950" s="6">
        <v>82</v>
      </c>
      <c r="V950" s="6">
        <f>IF(ISERROR(VLOOKUP($S$950,'TAR FIN'!$A$1:$O$120,15,0)),0,VLOOKUP($S$950,'TAR FIN'!$A$1:$O$120,15,0))</f>
        <v>0</v>
      </c>
      <c r="W950" s="6">
        <f>IF(ISERROR(VLOOKUP($T$950,'TAR FIN'!$A$1:$O$120,15,0)),0,VLOOKUP($T$950,'TAR FIN'!$A$1:$O$120,15,0))</f>
        <v>84.45</v>
      </c>
      <c r="X950" s="6">
        <f>IF(ISERROR(VLOOKUP($U$950,'TAR FIN'!$A$1:$O$120,15,0)),0,VLOOKUP($U$950,'TAR FIN'!$A$1:$O$120,15,0))</f>
        <v>256.38</v>
      </c>
      <c r="Y950" s="6"/>
      <c r="Z950" s="6">
        <f ca="1">('TUSD BE'!$AM$34+'TUSD BF'!$AM$34+'TUSD CVA'!$AM$34)*1</f>
        <v>87.519361965254689</v>
      </c>
      <c r="AA950" s="6">
        <f>('TE BE'!$AA$11+'TE BF'!$AA$11+'TE CVA'!$AA$11)*1</f>
        <v>230.83420940933817</v>
      </c>
      <c r="AB950" s="6">
        <f>$K$950*$V$950</f>
        <v>0</v>
      </c>
      <c r="AC950" s="6">
        <f>$M$950*$W$950</f>
        <v>236.45999999999998</v>
      </c>
      <c r="AD950" s="6">
        <f>$O$950*$X$950</f>
        <v>717.86399999999992</v>
      </c>
      <c r="AE950" s="6">
        <f>$K$950*$Y$950</f>
        <v>0</v>
      </c>
      <c r="AF950" s="6">
        <f ca="1">$M$950*$Z$950</f>
        <v>245.05421350271311</v>
      </c>
      <c r="AG950" s="6">
        <f>$O$950*$AA$950</f>
        <v>646.33578634614685</v>
      </c>
    </row>
    <row r="951" spans="1:33" ht="11.25" customHeight="1" x14ac:dyDescent="0.25">
      <c r="A951" s="4" t="s">
        <v>21</v>
      </c>
      <c r="B951" s="4" t="s">
        <v>33</v>
      </c>
      <c r="C951" s="4" t="s">
        <v>34</v>
      </c>
      <c r="D951" s="4" t="s">
        <v>24</v>
      </c>
      <c r="E951" s="4" t="s">
        <v>24</v>
      </c>
      <c r="F951" s="4" t="s">
        <v>25</v>
      </c>
      <c r="G951" s="4" t="s">
        <v>25</v>
      </c>
      <c r="H951" s="4" t="s">
        <v>36</v>
      </c>
      <c r="I951" s="5">
        <v>43922</v>
      </c>
      <c r="J951" s="6">
        <v>0</v>
      </c>
      <c r="K951" s="6">
        <v>0</v>
      </c>
      <c r="L951" s="6">
        <v>108.21299999999999</v>
      </c>
      <c r="M951" s="6">
        <v>108.21299999999999</v>
      </c>
      <c r="N951" s="6">
        <v>108.21299999999999</v>
      </c>
      <c r="O951" s="6">
        <v>108.21299999999999</v>
      </c>
      <c r="P951" s="6">
        <v>0</v>
      </c>
      <c r="Q951" s="4" t="s">
        <v>26</v>
      </c>
      <c r="R951" s="4">
        <v>0</v>
      </c>
      <c r="S951" s="6">
        <v>0</v>
      </c>
      <c r="T951" s="6">
        <v>28</v>
      </c>
      <c r="U951" s="6">
        <v>82</v>
      </c>
      <c r="V951" s="6">
        <f>IF(ISERROR(VLOOKUP($S$951,'TAR FIN'!$A$1:$O$120,15,0)),0,VLOOKUP($S$951,'TAR FIN'!$A$1:$O$120,15,0))</f>
        <v>0</v>
      </c>
      <c r="W951" s="6">
        <f>IF(ISERROR(VLOOKUP($T$951,'TAR FIN'!$A$1:$O$120,15,0)),0,VLOOKUP($T$951,'TAR FIN'!$A$1:$O$120,15,0))</f>
        <v>84.45</v>
      </c>
      <c r="X951" s="6">
        <f>IF(ISERROR(VLOOKUP($U$951,'TAR FIN'!$A$1:$O$120,15,0)),0,VLOOKUP($U$951,'TAR FIN'!$A$1:$O$120,15,0))</f>
        <v>256.38</v>
      </c>
      <c r="Y951" s="6"/>
      <c r="Z951" s="6">
        <f ca="1">('TUSD BE'!$AM$34+'TUSD BF'!$AM$34+'TUSD CVA'!$AM$34)*1</f>
        <v>87.519361965254689</v>
      </c>
      <c r="AA951" s="6">
        <f>('TE BE'!$AA$11+'TE BF'!$AA$11+'TE CVA'!$AA$11)*1</f>
        <v>230.83420940933817</v>
      </c>
      <c r="AB951" s="6">
        <f>$K$951*$V$951</f>
        <v>0</v>
      </c>
      <c r="AC951" s="6">
        <f>$M$951*$W$951</f>
        <v>9138.5878499999999</v>
      </c>
      <c r="AD951" s="6">
        <f>$O$951*$X$951</f>
        <v>27743.648939999999</v>
      </c>
      <c r="AE951" s="6">
        <f>$K$951*$Y$951</f>
        <v>0</v>
      </c>
      <c r="AF951" s="6">
        <f ca="1">$M$951*$Z$951</f>
        <v>9470.732716346105</v>
      </c>
      <c r="AG951" s="6">
        <f>$O$951*$AA$951</f>
        <v>24979.262302812709</v>
      </c>
    </row>
    <row r="952" spans="1:33" ht="11.25" customHeight="1" x14ac:dyDescent="0.25">
      <c r="A952" s="4" t="s">
        <v>27</v>
      </c>
      <c r="B952" s="4" t="s">
        <v>33</v>
      </c>
      <c r="C952" s="4" t="s">
        <v>34</v>
      </c>
      <c r="D952" s="4" t="s">
        <v>24</v>
      </c>
      <c r="E952" s="4" t="s">
        <v>24</v>
      </c>
      <c r="F952" s="4" t="s">
        <v>25</v>
      </c>
      <c r="G952" s="4" t="s">
        <v>25</v>
      </c>
      <c r="H952" s="4" t="s">
        <v>36</v>
      </c>
      <c r="I952" s="5">
        <v>43922</v>
      </c>
      <c r="J952" s="6">
        <v>0</v>
      </c>
      <c r="K952" s="6">
        <v>0</v>
      </c>
      <c r="L952" s="6">
        <v>1.1319999999999999</v>
      </c>
      <c r="M952" s="6">
        <v>1.1319999999999999</v>
      </c>
      <c r="N952" s="6">
        <v>1.1319999999999999</v>
      </c>
      <c r="O952" s="6">
        <v>1.1319999999999999</v>
      </c>
      <c r="P952" s="6">
        <v>0</v>
      </c>
      <c r="Q952" s="4" t="s">
        <v>26</v>
      </c>
      <c r="R952" s="4">
        <v>0</v>
      </c>
      <c r="S952" s="6">
        <v>0</v>
      </c>
      <c r="T952" s="6">
        <v>28</v>
      </c>
      <c r="U952" s="6">
        <v>82</v>
      </c>
      <c r="V952" s="6">
        <f>IF(ISERROR(VLOOKUP($S$952,'TAR FIN'!$A$1:$O$120,15,0)),0,VLOOKUP($S$952,'TAR FIN'!$A$1:$O$120,15,0))</f>
        <v>0</v>
      </c>
      <c r="W952" s="6">
        <f>IF(ISERROR(VLOOKUP($T$952,'TAR FIN'!$A$1:$O$120,15,0)),0,VLOOKUP($T$952,'TAR FIN'!$A$1:$O$120,15,0))</f>
        <v>84.45</v>
      </c>
      <c r="X952" s="6">
        <f>IF(ISERROR(VLOOKUP($U$952,'TAR FIN'!$A$1:$O$120,15,0)),0,VLOOKUP($U$952,'TAR FIN'!$A$1:$O$120,15,0))</f>
        <v>256.38</v>
      </c>
      <c r="Y952" s="6"/>
      <c r="Z952" s="6">
        <f ca="1">('TUSD BE'!$AM$34+'TUSD BF'!$AM$34+'TUSD CVA'!$AM$34)*1</f>
        <v>87.519361965254689</v>
      </c>
      <c r="AA952" s="6">
        <f>('TE BE'!$AA$11+'TE BF'!$AA$11+'TE CVA'!$AA$11)*1</f>
        <v>230.83420940933817</v>
      </c>
      <c r="AB952" s="6">
        <f>$K$952*$V$952</f>
        <v>0</v>
      </c>
      <c r="AC952" s="6">
        <f>$M$952*$W$952</f>
        <v>95.597399999999993</v>
      </c>
      <c r="AD952" s="6">
        <f>$O$952*$X$952</f>
        <v>290.22215999999997</v>
      </c>
      <c r="AE952" s="6">
        <f>$K$952*$Y$952</f>
        <v>0</v>
      </c>
      <c r="AF952" s="6">
        <f ca="1">$M$952*$Z$952</f>
        <v>99.071917744668298</v>
      </c>
      <c r="AG952" s="6">
        <f>$O$952*$AA$952</f>
        <v>261.30432505137077</v>
      </c>
    </row>
    <row r="953" spans="1:33" ht="11.25" customHeight="1" x14ac:dyDescent="0.25">
      <c r="A953" s="4" t="s">
        <v>28</v>
      </c>
      <c r="B953" s="4" t="s">
        <v>33</v>
      </c>
      <c r="C953" s="4" t="s">
        <v>34</v>
      </c>
      <c r="D953" s="4" t="s">
        <v>24</v>
      </c>
      <c r="E953" s="4" t="s">
        <v>24</v>
      </c>
      <c r="F953" s="4" t="s">
        <v>25</v>
      </c>
      <c r="G953" s="4" t="s">
        <v>25</v>
      </c>
      <c r="H953" s="4" t="s">
        <v>36</v>
      </c>
      <c r="I953" s="5">
        <v>43922</v>
      </c>
      <c r="J953" s="6">
        <v>0</v>
      </c>
      <c r="K953" s="6">
        <v>0</v>
      </c>
      <c r="L953" s="6">
        <v>3.3959999999999999</v>
      </c>
      <c r="M953" s="6">
        <v>3.3959999999999999</v>
      </c>
      <c r="N953" s="6">
        <v>3.3959999999999999</v>
      </c>
      <c r="O953" s="6">
        <v>3.3959999999999999</v>
      </c>
      <c r="P953" s="6">
        <v>0</v>
      </c>
      <c r="Q953" s="4" t="s">
        <v>26</v>
      </c>
      <c r="R953" s="4">
        <v>0</v>
      </c>
      <c r="S953" s="6">
        <v>0</v>
      </c>
      <c r="T953" s="6">
        <v>28</v>
      </c>
      <c r="U953" s="6">
        <v>82</v>
      </c>
      <c r="V953" s="6">
        <f>IF(ISERROR(VLOOKUP($S$953,'TAR FIN'!$A$1:$O$120,15,0)),0,VLOOKUP($S$953,'TAR FIN'!$A$1:$O$120,15,0))</f>
        <v>0</v>
      </c>
      <c r="W953" s="6">
        <f>IF(ISERROR(VLOOKUP($T$953,'TAR FIN'!$A$1:$O$120,15,0)),0,VLOOKUP($T$953,'TAR FIN'!$A$1:$O$120,15,0))</f>
        <v>84.45</v>
      </c>
      <c r="X953" s="6">
        <f>IF(ISERROR(VLOOKUP($U$953,'TAR FIN'!$A$1:$O$120,15,0)),0,VLOOKUP($U$953,'TAR FIN'!$A$1:$O$120,15,0))</f>
        <v>256.38</v>
      </c>
      <c r="Y953" s="6"/>
      <c r="Z953" s="6">
        <f ca="1">('TUSD BE'!$AM$34+'TUSD BF'!$AM$34+'TUSD CVA'!$AM$34)*1</f>
        <v>87.519361965254689</v>
      </c>
      <c r="AA953" s="6">
        <f>('TE BE'!$AA$11+'TE BF'!$AA$11+'TE CVA'!$AA$11)*1</f>
        <v>230.83420940933817</v>
      </c>
      <c r="AB953" s="6">
        <f>$K$953*$V$953</f>
        <v>0</v>
      </c>
      <c r="AC953" s="6">
        <f>$M$953*$W$953</f>
        <v>286.79219999999998</v>
      </c>
      <c r="AD953" s="6">
        <f>$O$953*$X$953</f>
        <v>870.66647999999998</v>
      </c>
      <c r="AE953" s="6">
        <f>$K$953*$Y$953</f>
        <v>0</v>
      </c>
      <c r="AF953" s="6">
        <f ca="1">$M$953*$Z$953</f>
        <v>297.21575323400492</v>
      </c>
      <c r="AG953" s="6">
        <f>$O$953*$AA$953</f>
        <v>783.91297515411236</v>
      </c>
    </row>
    <row r="954" spans="1:33" ht="11.25" customHeight="1" x14ac:dyDescent="0.25">
      <c r="A954" s="4" t="s">
        <v>21</v>
      </c>
      <c r="B954" s="4" t="s">
        <v>33</v>
      </c>
      <c r="C954" s="4" t="s">
        <v>34</v>
      </c>
      <c r="D954" s="4" t="s">
        <v>24</v>
      </c>
      <c r="E954" s="4" t="s">
        <v>24</v>
      </c>
      <c r="F954" s="4" t="s">
        <v>25</v>
      </c>
      <c r="G954" s="4" t="s">
        <v>25</v>
      </c>
      <c r="H954" s="4" t="s">
        <v>36</v>
      </c>
      <c r="I954" s="5">
        <v>43952</v>
      </c>
      <c r="J954" s="6">
        <v>0</v>
      </c>
      <c r="K954" s="6">
        <v>0</v>
      </c>
      <c r="L954" s="6">
        <v>103.721</v>
      </c>
      <c r="M954" s="6">
        <v>103.721</v>
      </c>
      <c r="N954" s="6">
        <v>103.721</v>
      </c>
      <c r="O954" s="6">
        <v>103.721</v>
      </c>
      <c r="P954" s="6">
        <v>0</v>
      </c>
      <c r="Q954" s="4" t="s">
        <v>26</v>
      </c>
      <c r="R954" s="4">
        <v>0</v>
      </c>
      <c r="S954" s="6">
        <v>0</v>
      </c>
      <c r="T954" s="6">
        <v>28</v>
      </c>
      <c r="U954" s="6">
        <v>82</v>
      </c>
      <c r="V954" s="6">
        <f>IF(ISERROR(VLOOKUP($S$954,'TAR FIN'!$A$1:$O$120,15,0)),0,VLOOKUP($S$954,'TAR FIN'!$A$1:$O$120,15,0))</f>
        <v>0</v>
      </c>
      <c r="W954" s="6">
        <f>IF(ISERROR(VLOOKUP($T$954,'TAR FIN'!$A$1:$O$120,15,0)),0,VLOOKUP($T$954,'TAR FIN'!$A$1:$O$120,15,0))</f>
        <v>84.45</v>
      </c>
      <c r="X954" s="6">
        <f>IF(ISERROR(VLOOKUP($U$954,'TAR FIN'!$A$1:$O$120,15,0)),0,VLOOKUP($U$954,'TAR FIN'!$A$1:$O$120,15,0))</f>
        <v>256.38</v>
      </c>
      <c r="Y954" s="6"/>
      <c r="Z954" s="6">
        <f ca="1">('TUSD BE'!$AM$34+'TUSD BF'!$AM$34+'TUSD CVA'!$AM$34)*1</f>
        <v>87.519361965254689</v>
      </c>
      <c r="AA954" s="6">
        <f>('TE BE'!$AA$11+'TE BF'!$AA$11+'TE CVA'!$AA$11)*1</f>
        <v>230.83420940933817</v>
      </c>
      <c r="AB954" s="6">
        <f>$K$954*$V$954</f>
        <v>0</v>
      </c>
      <c r="AC954" s="6">
        <f>$M$954*$W$954</f>
        <v>8759.2384500000007</v>
      </c>
      <c r="AD954" s="6">
        <f>$O$954*$X$954</f>
        <v>26591.989980000002</v>
      </c>
      <c r="AE954" s="6">
        <f>$K$954*$Y$954</f>
        <v>0</v>
      </c>
      <c r="AF954" s="6">
        <f ca="1">$M$954*$Z$954</f>
        <v>9077.5957423981818</v>
      </c>
      <c r="AG954" s="6">
        <f>$O$954*$AA$954</f>
        <v>23942.355034145967</v>
      </c>
    </row>
    <row r="955" spans="1:33" ht="11.25" customHeight="1" x14ac:dyDescent="0.25">
      <c r="A955" s="4" t="s">
        <v>27</v>
      </c>
      <c r="B955" s="4" t="s">
        <v>33</v>
      </c>
      <c r="C955" s="4" t="s">
        <v>34</v>
      </c>
      <c r="D955" s="4" t="s">
        <v>24</v>
      </c>
      <c r="E955" s="4" t="s">
        <v>24</v>
      </c>
      <c r="F955" s="4" t="s">
        <v>25</v>
      </c>
      <c r="G955" s="4" t="s">
        <v>25</v>
      </c>
      <c r="H955" s="4" t="s">
        <v>36</v>
      </c>
      <c r="I955" s="5">
        <v>43952</v>
      </c>
      <c r="J955" s="6">
        <v>0</v>
      </c>
      <c r="K955" s="6">
        <v>0</v>
      </c>
      <c r="L955" s="6">
        <v>2.5590000000000002</v>
      </c>
      <c r="M955" s="6">
        <v>2.5590000000000002</v>
      </c>
      <c r="N955" s="6">
        <v>2.5590000000000002</v>
      </c>
      <c r="O955" s="6">
        <v>2.5590000000000002</v>
      </c>
      <c r="P955" s="6">
        <v>0</v>
      </c>
      <c r="Q955" s="4" t="s">
        <v>26</v>
      </c>
      <c r="R955" s="4">
        <v>0</v>
      </c>
      <c r="S955" s="6">
        <v>0</v>
      </c>
      <c r="T955" s="6">
        <v>28</v>
      </c>
      <c r="U955" s="6">
        <v>82</v>
      </c>
      <c r="V955" s="6">
        <f>IF(ISERROR(VLOOKUP($S$955,'TAR FIN'!$A$1:$O$120,15,0)),0,VLOOKUP($S$955,'TAR FIN'!$A$1:$O$120,15,0))</f>
        <v>0</v>
      </c>
      <c r="W955" s="6">
        <f>IF(ISERROR(VLOOKUP($T$955,'TAR FIN'!$A$1:$O$120,15,0)),0,VLOOKUP($T$955,'TAR FIN'!$A$1:$O$120,15,0))</f>
        <v>84.45</v>
      </c>
      <c r="X955" s="6">
        <f>IF(ISERROR(VLOOKUP($U$955,'TAR FIN'!$A$1:$O$120,15,0)),0,VLOOKUP($U$955,'TAR FIN'!$A$1:$O$120,15,0))</f>
        <v>256.38</v>
      </c>
      <c r="Y955" s="6"/>
      <c r="Z955" s="6">
        <f ca="1">('TUSD BE'!$AM$34+'TUSD BF'!$AM$34+'TUSD CVA'!$AM$34)*1</f>
        <v>87.519361965254689</v>
      </c>
      <c r="AA955" s="6">
        <f>('TE BE'!$AA$11+'TE BF'!$AA$11+'TE CVA'!$AA$11)*1</f>
        <v>230.83420940933817</v>
      </c>
      <c r="AB955" s="6">
        <f>$K$955*$V$955</f>
        <v>0</v>
      </c>
      <c r="AC955" s="6">
        <f>$M$955*$W$955</f>
        <v>216.10755000000003</v>
      </c>
      <c r="AD955" s="6">
        <f>$O$955*$X$955</f>
        <v>656.07641999999998</v>
      </c>
      <c r="AE955" s="6">
        <f>$K$955*$Y$955</f>
        <v>0</v>
      </c>
      <c r="AF955" s="6">
        <f ca="1">$M$955*$Z$955</f>
        <v>223.96204726908675</v>
      </c>
      <c r="AG955" s="6">
        <f>$O$955*$AA$955</f>
        <v>590.70474187849641</v>
      </c>
    </row>
    <row r="956" spans="1:33" ht="11.25" customHeight="1" x14ac:dyDescent="0.25">
      <c r="A956" s="4" t="s">
        <v>28</v>
      </c>
      <c r="B956" s="4" t="s">
        <v>33</v>
      </c>
      <c r="C956" s="4" t="s">
        <v>34</v>
      </c>
      <c r="D956" s="4" t="s">
        <v>24</v>
      </c>
      <c r="E956" s="4" t="s">
        <v>24</v>
      </c>
      <c r="F956" s="4" t="s">
        <v>25</v>
      </c>
      <c r="G956" s="4" t="s">
        <v>25</v>
      </c>
      <c r="H956" s="4" t="s">
        <v>36</v>
      </c>
      <c r="I956" s="5">
        <v>43952</v>
      </c>
      <c r="J956" s="6">
        <v>0</v>
      </c>
      <c r="K956" s="6">
        <v>0</v>
      </c>
      <c r="L956" s="6">
        <v>5.5650000000000004</v>
      </c>
      <c r="M956" s="6">
        <v>5.5650000000000004</v>
      </c>
      <c r="N956" s="6">
        <v>5.5650000000000004</v>
      </c>
      <c r="O956" s="6">
        <v>5.5650000000000004</v>
      </c>
      <c r="P956" s="6">
        <v>0</v>
      </c>
      <c r="Q956" s="4" t="s">
        <v>26</v>
      </c>
      <c r="R956" s="4">
        <v>0</v>
      </c>
      <c r="S956" s="6">
        <v>0</v>
      </c>
      <c r="T956" s="6">
        <v>28</v>
      </c>
      <c r="U956" s="6">
        <v>82</v>
      </c>
      <c r="V956" s="6">
        <f>IF(ISERROR(VLOOKUP($S$956,'TAR FIN'!$A$1:$O$120,15,0)),0,VLOOKUP($S$956,'TAR FIN'!$A$1:$O$120,15,0))</f>
        <v>0</v>
      </c>
      <c r="W956" s="6">
        <f>IF(ISERROR(VLOOKUP($T$956,'TAR FIN'!$A$1:$O$120,15,0)),0,VLOOKUP($T$956,'TAR FIN'!$A$1:$O$120,15,0))</f>
        <v>84.45</v>
      </c>
      <c r="X956" s="6">
        <f>IF(ISERROR(VLOOKUP($U$956,'TAR FIN'!$A$1:$O$120,15,0)),0,VLOOKUP($U$956,'TAR FIN'!$A$1:$O$120,15,0))</f>
        <v>256.38</v>
      </c>
      <c r="Y956" s="6"/>
      <c r="Z956" s="6">
        <f ca="1">('TUSD BE'!$AM$34+'TUSD BF'!$AM$34+'TUSD CVA'!$AM$34)*1</f>
        <v>87.519361965254689</v>
      </c>
      <c r="AA956" s="6">
        <f>('TE BE'!$AA$11+'TE BF'!$AA$11+'TE CVA'!$AA$11)*1</f>
        <v>230.83420940933817</v>
      </c>
      <c r="AB956" s="6">
        <f>$K$956*$V$956</f>
        <v>0</v>
      </c>
      <c r="AC956" s="6">
        <f>$M$956*$W$956</f>
        <v>469.96425000000005</v>
      </c>
      <c r="AD956" s="6">
        <f>$O$956*$X$956</f>
        <v>1426.7547000000002</v>
      </c>
      <c r="AE956" s="6">
        <f>$K$956*$Y$956</f>
        <v>0</v>
      </c>
      <c r="AF956" s="6">
        <f ca="1">$M$956*$Z$956</f>
        <v>487.04524933664237</v>
      </c>
      <c r="AG956" s="6">
        <f>$O$956*$AA$956</f>
        <v>1284.592375362967</v>
      </c>
    </row>
    <row r="957" spans="1:33" ht="11.25" customHeight="1" x14ac:dyDescent="0.25">
      <c r="A957" s="4" t="s">
        <v>21</v>
      </c>
      <c r="B957" s="4" t="s">
        <v>33</v>
      </c>
      <c r="C957" s="4" t="s">
        <v>34</v>
      </c>
      <c r="D957" s="4" t="s">
        <v>24</v>
      </c>
      <c r="E957" s="4" t="s">
        <v>24</v>
      </c>
      <c r="F957" s="4" t="s">
        <v>25</v>
      </c>
      <c r="G957" s="4" t="s">
        <v>25</v>
      </c>
      <c r="H957" s="4" t="s">
        <v>36</v>
      </c>
      <c r="I957" s="5">
        <v>43983</v>
      </c>
      <c r="J957" s="6">
        <v>0</v>
      </c>
      <c r="K957" s="6">
        <v>0</v>
      </c>
      <c r="L957" s="6">
        <v>102.364</v>
      </c>
      <c r="M957" s="6">
        <v>102.364</v>
      </c>
      <c r="N957" s="6">
        <v>102.364</v>
      </c>
      <c r="O957" s="6">
        <v>102.364</v>
      </c>
      <c r="P957" s="6">
        <v>0</v>
      </c>
      <c r="Q957" s="4" t="s">
        <v>26</v>
      </c>
      <c r="R957" s="4">
        <v>0</v>
      </c>
      <c r="S957" s="6">
        <v>0</v>
      </c>
      <c r="T957" s="6">
        <v>28</v>
      </c>
      <c r="U957" s="6">
        <v>82</v>
      </c>
      <c r="V957" s="6">
        <f>IF(ISERROR(VLOOKUP($S$957,'TAR FIN'!$A$1:$O$120,15,0)),0,VLOOKUP($S$957,'TAR FIN'!$A$1:$O$120,15,0))</f>
        <v>0</v>
      </c>
      <c r="W957" s="6">
        <f>IF(ISERROR(VLOOKUP($T$957,'TAR FIN'!$A$1:$O$120,15,0)),0,VLOOKUP($T$957,'TAR FIN'!$A$1:$O$120,15,0))</f>
        <v>84.45</v>
      </c>
      <c r="X957" s="6">
        <f>IF(ISERROR(VLOOKUP($U$957,'TAR FIN'!$A$1:$O$120,15,0)),0,VLOOKUP($U$957,'TAR FIN'!$A$1:$O$120,15,0))</f>
        <v>256.38</v>
      </c>
      <c r="Y957" s="6"/>
      <c r="Z957" s="6">
        <f ca="1">('TUSD BE'!$AM$34+'TUSD BF'!$AM$34+'TUSD CVA'!$AM$34)*1</f>
        <v>87.519361965254689</v>
      </c>
      <c r="AA957" s="6">
        <f>('TE BE'!$AA$11+'TE BF'!$AA$11+'TE CVA'!$AA$11)*1</f>
        <v>230.83420940933817</v>
      </c>
      <c r="AB957" s="6">
        <f>$K$957*$V$957</f>
        <v>0</v>
      </c>
      <c r="AC957" s="6">
        <f>$M$957*$W$957</f>
        <v>8644.6398000000008</v>
      </c>
      <c r="AD957" s="6">
        <f>$O$957*$X$957</f>
        <v>26244.082320000001</v>
      </c>
      <c r="AE957" s="6">
        <f>$K$957*$Y$957</f>
        <v>0</v>
      </c>
      <c r="AF957" s="6">
        <f ca="1">$M$957*$Z$957</f>
        <v>8958.8319682113306</v>
      </c>
      <c r="AG957" s="6">
        <f>$O$957*$AA$957</f>
        <v>23629.113011977493</v>
      </c>
    </row>
    <row r="958" spans="1:33" ht="11.25" customHeight="1" x14ac:dyDescent="0.25">
      <c r="A958" s="4" t="s">
        <v>27</v>
      </c>
      <c r="B958" s="4" t="s">
        <v>33</v>
      </c>
      <c r="C958" s="4" t="s">
        <v>34</v>
      </c>
      <c r="D958" s="4" t="s">
        <v>24</v>
      </c>
      <c r="E958" s="4" t="s">
        <v>24</v>
      </c>
      <c r="F958" s="4" t="s">
        <v>25</v>
      </c>
      <c r="G958" s="4" t="s">
        <v>25</v>
      </c>
      <c r="H958" s="4" t="s">
        <v>36</v>
      </c>
      <c r="I958" s="5">
        <v>43983</v>
      </c>
      <c r="J958" s="6">
        <v>0</v>
      </c>
      <c r="K958" s="6">
        <v>0</v>
      </c>
      <c r="L958" s="6">
        <v>2.7210000000000001</v>
      </c>
      <c r="M958" s="6">
        <v>2.7210000000000001</v>
      </c>
      <c r="N958" s="6">
        <v>2.7210000000000001</v>
      </c>
      <c r="O958" s="6">
        <v>2.7210000000000001</v>
      </c>
      <c r="P958" s="6">
        <v>0</v>
      </c>
      <c r="Q958" s="4" t="s">
        <v>26</v>
      </c>
      <c r="R958" s="4">
        <v>0</v>
      </c>
      <c r="S958" s="6">
        <v>0</v>
      </c>
      <c r="T958" s="6">
        <v>28</v>
      </c>
      <c r="U958" s="6">
        <v>82</v>
      </c>
      <c r="V958" s="6">
        <f>IF(ISERROR(VLOOKUP($S$958,'TAR FIN'!$A$1:$O$120,15,0)),0,VLOOKUP($S$958,'TAR FIN'!$A$1:$O$120,15,0))</f>
        <v>0</v>
      </c>
      <c r="W958" s="6">
        <f>IF(ISERROR(VLOOKUP($T$958,'TAR FIN'!$A$1:$O$120,15,0)),0,VLOOKUP($T$958,'TAR FIN'!$A$1:$O$120,15,0))</f>
        <v>84.45</v>
      </c>
      <c r="X958" s="6">
        <f>IF(ISERROR(VLOOKUP($U$958,'TAR FIN'!$A$1:$O$120,15,0)),0,VLOOKUP($U$958,'TAR FIN'!$A$1:$O$120,15,0))</f>
        <v>256.38</v>
      </c>
      <c r="Y958" s="6"/>
      <c r="Z958" s="6">
        <f ca="1">('TUSD BE'!$AM$34+'TUSD BF'!$AM$34+'TUSD CVA'!$AM$34)*1</f>
        <v>87.519361965254689</v>
      </c>
      <c r="AA958" s="6">
        <f>('TE BE'!$AA$11+'TE BF'!$AA$11+'TE CVA'!$AA$11)*1</f>
        <v>230.83420940933817</v>
      </c>
      <c r="AB958" s="6">
        <f>$K$958*$V$958</f>
        <v>0</v>
      </c>
      <c r="AC958" s="6">
        <f>$M$958*$W$958</f>
        <v>229.78845000000001</v>
      </c>
      <c r="AD958" s="6">
        <f>$O$958*$X$958</f>
        <v>697.60998000000006</v>
      </c>
      <c r="AE958" s="6">
        <f>$K$958*$Y$958</f>
        <v>0</v>
      </c>
      <c r="AF958" s="6">
        <f ca="1">$M$958*$Z$958</f>
        <v>238.14018390745801</v>
      </c>
      <c r="AG958" s="6">
        <f>$O$958*$AA$958</f>
        <v>628.09988380280913</v>
      </c>
    </row>
    <row r="959" spans="1:33" ht="11.25" customHeight="1" x14ac:dyDescent="0.25">
      <c r="A959" s="4" t="s">
        <v>28</v>
      </c>
      <c r="B959" s="4" t="s">
        <v>33</v>
      </c>
      <c r="C959" s="4" t="s">
        <v>34</v>
      </c>
      <c r="D959" s="4" t="s">
        <v>24</v>
      </c>
      <c r="E959" s="4" t="s">
        <v>24</v>
      </c>
      <c r="F959" s="4" t="s">
        <v>25</v>
      </c>
      <c r="G959" s="4" t="s">
        <v>25</v>
      </c>
      <c r="H959" s="4" t="s">
        <v>36</v>
      </c>
      <c r="I959" s="5">
        <v>43983</v>
      </c>
      <c r="J959" s="6">
        <v>0</v>
      </c>
      <c r="K959" s="6">
        <v>0</v>
      </c>
      <c r="L959" s="6">
        <v>5.4729999999999999</v>
      </c>
      <c r="M959" s="6">
        <v>5.4729999999999999</v>
      </c>
      <c r="N959" s="6">
        <v>5.4729999999999999</v>
      </c>
      <c r="O959" s="6">
        <v>5.4729999999999999</v>
      </c>
      <c r="P959" s="6">
        <v>0</v>
      </c>
      <c r="Q959" s="4" t="s">
        <v>26</v>
      </c>
      <c r="R959" s="4">
        <v>0</v>
      </c>
      <c r="S959" s="6">
        <v>0</v>
      </c>
      <c r="T959" s="6">
        <v>28</v>
      </c>
      <c r="U959" s="6">
        <v>82</v>
      </c>
      <c r="V959" s="6">
        <f>IF(ISERROR(VLOOKUP($S$959,'TAR FIN'!$A$1:$O$120,15,0)),0,VLOOKUP($S$959,'TAR FIN'!$A$1:$O$120,15,0))</f>
        <v>0</v>
      </c>
      <c r="W959" s="6">
        <f>IF(ISERROR(VLOOKUP($T$959,'TAR FIN'!$A$1:$O$120,15,0)),0,VLOOKUP($T$959,'TAR FIN'!$A$1:$O$120,15,0))</f>
        <v>84.45</v>
      </c>
      <c r="X959" s="6">
        <f>IF(ISERROR(VLOOKUP($U$959,'TAR FIN'!$A$1:$O$120,15,0)),0,VLOOKUP($U$959,'TAR FIN'!$A$1:$O$120,15,0))</f>
        <v>256.38</v>
      </c>
      <c r="Y959" s="6"/>
      <c r="Z959" s="6">
        <f ca="1">('TUSD BE'!$AM$34+'TUSD BF'!$AM$34+'TUSD CVA'!$AM$34)*1</f>
        <v>87.519361965254689</v>
      </c>
      <c r="AA959" s="6">
        <f>('TE BE'!$AA$11+'TE BF'!$AA$11+'TE CVA'!$AA$11)*1</f>
        <v>230.83420940933817</v>
      </c>
      <c r="AB959" s="6">
        <f>$K$959*$V$959</f>
        <v>0</v>
      </c>
      <c r="AC959" s="6">
        <f>$M$959*$W$959</f>
        <v>462.19485000000003</v>
      </c>
      <c r="AD959" s="6">
        <f>$O$959*$X$959</f>
        <v>1403.1677399999999</v>
      </c>
      <c r="AE959" s="6">
        <f>$K$959*$Y$959</f>
        <v>0</v>
      </c>
      <c r="AF959" s="6">
        <f ca="1">$M$959*$Z$959</f>
        <v>478.99346803583887</v>
      </c>
      <c r="AG959" s="6">
        <f>$O$959*$AA$959</f>
        <v>1263.3556280973078</v>
      </c>
    </row>
    <row r="960" spans="1:33" ht="11.25" customHeight="1" x14ac:dyDescent="0.25">
      <c r="A960" s="4" t="s">
        <v>21</v>
      </c>
      <c r="B960" s="4" t="s">
        <v>33</v>
      </c>
      <c r="C960" s="4" t="s">
        <v>34</v>
      </c>
      <c r="D960" s="4" t="s">
        <v>24</v>
      </c>
      <c r="E960" s="4" t="s">
        <v>24</v>
      </c>
      <c r="F960" s="4" t="s">
        <v>25</v>
      </c>
      <c r="G960" s="4" t="s">
        <v>25</v>
      </c>
      <c r="H960" s="4" t="s">
        <v>36</v>
      </c>
      <c r="I960" s="5">
        <v>44013</v>
      </c>
      <c r="J960" s="6">
        <v>0</v>
      </c>
      <c r="K960" s="6">
        <v>0</v>
      </c>
      <c r="L960" s="6">
        <v>102.26</v>
      </c>
      <c r="M960" s="6">
        <v>102.26</v>
      </c>
      <c r="N960" s="6">
        <v>102.26</v>
      </c>
      <c r="O960" s="6">
        <v>102.26</v>
      </c>
      <c r="P960" s="6">
        <v>0</v>
      </c>
      <c r="Q960" s="4" t="s">
        <v>26</v>
      </c>
      <c r="R960" s="4">
        <v>0</v>
      </c>
      <c r="S960" s="6">
        <v>0</v>
      </c>
      <c r="T960" s="6">
        <v>28</v>
      </c>
      <c r="U960" s="6">
        <v>82</v>
      </c>
      <c r="V960" s="6">
        <f>IF(ISERROR(VLOOKUP($S$960,'TAR FIN'!$A$1:$O$120,15,0)),0,VLOOKUP($S$960,'TAR FIN'!$A$1:$O$120,15,0))</f>
        <v>0</v>
      </c>
      <c r="W960" s="6">
        <f>IF(ISERROR(VLOOKUP($T$960,'TAR FIN'!$A$1:$O$120,15,0)),0,VLOOKUP($T$960,'TAR FIN'!$A$1:$O$120,15,0))</f>
        <v>84.45</v>
      </c>
      <c r="X960" s="6">
        <f>IF(ISERROR(VLOOKUP($U$960,'TAR FIN'!$A$1:$O$120,15,0)),0,VLOOKUP($U$960,'TAR FIN'!$A$1:$O$120,15,0))</f>
        <v>256.38</v>
      </c>
      <c r="Y960" s="6"/>
      <c r="Z960" s="6">
        <f ca="1">('TUSD BE'!$AM$34+'TUSD BF'!$AM$34+'TUSD CVA'!$AM$34)*1</f>
        <v>87.519361965254689</v>
      </c>
      <c r="AA960" s="6">
        <f>('TE BE'!$AA$11+'TE BF'!$AA$11+'TE CVA'!$AA$11)*1</f>
        <v>230.83420940933817</v>
      </c>
      <c r="AB960" s="6">
        <f>$K$960*$V$960</f>
        <v>0</v>
      </c>
      <c r="AC960" s="6">
        <f>$M$960*$W$960</f>
        <v>8635.857</v>
      </c>
      <c r="AD960" s="6">
        <f>$O$960*$X$960</f>
        <v>26217.418799999999</v>
      </c>
      <c r="AE960" s="6">
        <f>$K$960*$Y$960</f>
        <v>0</v>
      </c>
      <c r="AF960" s="6">
        <f ca="1">$M$960*$Z$960</f>
        <v>8949.7299545669448</v>
      </c>
      <c r="AG960" s="6">
        <f>$O$960*$AA$960</f>
        <v>23605.106254198923</v>
      </c>
    </row>
    <row r="961" spans="1:33" ht="11.25" customHeight="1" x14ac:dyDescent="0.25">
      <c r="A961" s="4" t="s">
        <v>27</v>
      </c>
      <c r="B961" s="4" t="s">
        <v>33</v>
      </c>
      <c r="C961" s="4" t="s">
        <v>34</v>
      </c>
      <c r="D961" s="4" t="s">
        <v>24</v>
      </c>
      <c r="E961" s="4" t="s">
        <v>24</v>
      </c>
      <c r="F961" s="4" t="s">
        <v>25</v>
      </c>
      <c r="G961" s="4" t="s">
        <v>25</v>
      </c>
      <c r="H961" s="4" t="s">
        <v>36</v>
      </c>
      <c r="I961" s="5">
        <v>44013</v>
      </c>
      <c r="J961" s="6">
        <v>0</v>
      </c>
      <c r="K961" s="6">
        <v>0</v>
      </c>
      <c r="L961" s="6">
        <v>2.3559999999999999</v>
      </c>
      <c r="M961" s="6">
        <v>2.3559999999999999</v>
      </c>
      <c r="N961" s="6">
        <v>2.3559999999999999</v>
      </c>
      <c r="O961" s="6">
        <v>2.3559999999999999</v>
      </c>
      <c r="P961" s="6">
        <v>0</v>
      </c>
      <c r="Q961" s="4" t="s">
        <v>26</v>
      </c>
      <c r="R961" s="4">
        <v>0</v>
      </c>
      <c r="S961" s="6">
        <v>0</v>
      </c>
      <c r="T961" s="6">
        <v>28</v>
      </c>
      <c r="U961" s="6">
        <v>82</v>
      </c>
      <c r="V961" s="6">
        <f>IF(ISERROR(VLOOKUP($S$961,'TAR FIN'!$A$1:$O$120,15,0)),0,VLOOKUP($S$961,'TAR FIN'!$A$1:$O$120,15,0))</f>
        <v>0</v>
      </c>
      <c r="W961" s="6">
        <f>IF(ISERROR(VLOOKUP($T$961,'TAR FIN'!$A$1:$O$120,15,0)),0,VLOOKUP($T$961,'TAR FIN'!$A$1:$O$120,15,0))</f>
        <v>84.45</v>
      </c>
      <c r="X961" s="6">
        <f>IF(ISERROR(VLOOKUP($U$961,'TAR FIN'!$A$1:$O$120,15,0)),0,VLOOKUP($U$961,'TAR FIN'!$A$1:$O$120,15,0))</f>
        <v>256.38</v>
      </c>
      <c r="Y961" s="6"/>
      <c r="Z961" s="6">
        <f ca="1">('TUSD BE'!$AM$34+'TUSD BF'!$AM$34+'TUSD CVA'!$AM$34)*1</f>
        <v>87.519361965254689</v>
      </c>
      <c r="AA961" s="6">
        <f>('TE BE'!$AA$11+'TE BF'!$AA$11+'TE CVA'!$AA$11)*1</f>
        <v>230.83420940933817</v>
      </c>
      <c r="AB961" s="6">
        <f>$K$961*$V$961</f>
        <v>0</v>
      </c>
      <c r="AC961" s="6">
        <f>$M$961*$W$961</f>
        <v>198.96420000000001</v>
      </c>
      <c r="AD961" s="6">
        <f>$O$961*$X$961</f>
        <v>604.03127999999992</v>
      </c>
      <c r="AE961" s="6">
        <f>$K$961*$Y$961</f>
        <v>0</v>
      </c>
      <c r="AF961" s="6">
        <f ca="1">$M$961*$Z$961</f>
        <v>206.19561679014004</v>
      </c>
      <c r="AG961" s="6">
        <f>$O$961*$AA$961</f>
        <v>543.84539736840065</v>
      </c>
    </row>
    <row r="962" spans="1:33" ht="11.25" customHeight="1" x14ac:dyDescent="0.25">
      <c r="A962" s="4" t="s">
        <v>28</v>
      </c>
      <c r="B962" s="4" t="s">
        <v>33</v>
      </c>
      <c r="C962" s="4" t="s">
        <v>34</v>
      </c>
      <c r="D962" s="4" t="s">
        <v>24</v>
      </c>
      <c r="E962" s="4" t="s">
        <v>24</v>
      </c>
      <c r="F962" s="4" t="s">
        <v>25</v>
      </c>
      <c r="G962" s="4" t="s">
        <v>25</v>
      </c>
      <c r="H962" s="4" t="s">
        <v>36</v>
      </c>
      <c r="I962" s="5">
        <v>44013</v>
      </c>
      <c r="J962" s="6">
        <v>0</v>
      </c>
      <c r="K962" s="6">
        <v>0</v>
      </c>
      <c r="L962" s="6">
        <v>5.84</v>
      </c>
      <c r="M962" s="6">
        <v>5.84</v>
      </c>
      <c r="N962" s="6">
        <v>5.84</v>
      </c>
      <c r="O962" s="6">
        <v>5.84</v>
      </c>
      <c r="P962" s="6">
        <v>0</v>
      </c>
      <c r="Q962" s="4" t="s">
        <v>26</v>
      </c>
      <c r="R962" s="4">
        <v>0</v>
      </c>
      <c r="S962" s="6">
        <v>0</v>
      </c>
      <c r="T962" s="6">
        <v>28</v>
      </c>
      <c r="U962" s="6">
        <v>82</v>
      </c>
      <c r="V962" s="6">
        <f>IF(ISERROR(VLOOKUP($S$962,'TAR FIN'!$A$1:$O$120,15,0)),0,VLOOKUP($S$962,'TAR FIN'!$A$1:$O$120,15,0))</f>
        <v>0</v>
      </c>
      <c r="W962" s="6">
        <f>IF(ISERROR(VLOOKUP($T$962,'TAR FIN'!$A$1:$O$120,15,0)),0,VLOOKUP($T$962,'TAR FIN'!$A$1:$O$120,15,0))</f>
        <v>84.45</v>
      </c>
      <c r="X962" s="6">
        <f>IF(ISERROR(VLOOKUP($U$962,'TAR FIN'!$A$1:$O$120,15,0)),0,VLOOKUP($U$962,'TAR FIN'!$A$1:$O$120,15,0))</f>
        <v>256.38</v>
      </c>
      <c r="Y962" s="6"/>
      <c r="Z962" s="6">
        <f ca="1">('TUSD BE'!$AM$34+'TUSD BF'!$AM$34+'TUSD CVA'!$AM$34)*1</f>
        <v>87.519361965254689</v>
      </c>
      <c r="AA962" s="6">
        <f>('TE BE'!$AA$11+'TE BF'!$AA$11+'TE CVA'!$AA$11)*1</f>
        <v>230.83420940933817</v>
      </c>
      <c r="AB962" s="6">
        <f>$K$962*$V$962</f>
        <v>0</v>
      </c>
      <c r="AC962" s="6">
        <f>$M$962*$W$962</f>
        <v>493.18799999999999</v>
      </c>
      <c r="AD962" s="6">
        <f>$O$962*$X$962</f>
        <v>1497.2592</v>
      </c>
      <c r="AE962" s="6">
        <f>$K$962*$Y$962</f>
        <v>0</v>
      </c>
      <c r="AF962" s="6">
        <f ca="1">$M$962*$Z$962</f>
        <v>511.11307387708734</v>
      </c>
      <c r="AG962" s="6">
        <f>$O$962*$AA$962</f>
        <v>1348.071782950535</v>
      </c>
    </row>
    <row r="963" spans="1:33" ht="11.25" customHeight="1" x14ac:dyDescent="0.25">
      <c r="A963" s="4" t="s">
        <v>21</v>
      </c>
      <c r="B963" s="4" t="s">
        <v>33</v>
      </c>
      <c r="C963" s="4" t="s">
        <v>34</v>
      </c>
      <c r="D963" s="4" t="s">
        <v>24</v>
      </c>
      <c r="E963" s="4" t="s">
        <v>24</v>
      </c>
      <c r="F963" s="4" t="s">
        <v>25</v>
      </c>
      <c r="G963" s="4" t="s">
        <v>25</v>
      </c>
      <c r="H963" s="4" t="s">
        <v>36</v>
      </c>
      <c r="I963" s="5">
        <v>44044</v>
      </c>
      <c r="J963" s="6">
        <v>0</v>
      </c>
      <c r="K963" s="6">
        <v>0</v>
      </c>
      <c r="L963" s="6">
        <v>117.586</v>
      </c>
      <c r="M963" s="6">
        <v>117.586</v>
      </c>
      <c r="N963" s="6">
        <v>117.586</v>
      </c>
      <c r="O963" s="6">
        <v>117.586</v>
      </c>
      <c r="P963" s="6">
        <v>0</v>
      </c>
      <c r="Q963" s="4" t="s">
        <v>26</v>
      </c>
      <c r="R963" s="4">
        <v>0</v>
      </c>
      <c r="S963" s="6">
        <v>0</v>
      </c>
      <c r="T963" s="6">
        <v>28</v>
      </c>
      <c r="U963" s="6">
        <v>82</v>
      </c>
      <c r="V963" s="6">
        <f>IF(ISERROR(VLOOKUP($S$963,'TAR FIN'!$A$1:$O$120,15,0)),0,VLOOKUP($S$963,'TAR FIN'!$A$1:$O$120,15,0))</f>
        <v>0</v>
      </c>
      <c r="W963" s="6">
        <f>IF(ISERROR(VLOOKUP($T$963,'TAR FIN'!$A$1:$O$120,15,0)),0,VLOOKUP($T$963,'TAR FIN'!$A$1:$O$120,15,0))</f>
        <v>84.45</v>
      </c>
      <c r="X963" s="6">
        <f>IF(ISERROR(VLOOKUP($U$963,'TAR FIN'!$A$1:$O$120,15,0)),0,VLOOKUP($U$963,'TAR FIN'!$A$1:$O$120,15,0))</f>
        <v>256.38</v>
      </c>
      <c r="Y963" s="6"/>
      <c r="Z963" s="6">
        <f ca="1">('TUSD BE'!$AM$34+'TUSD BF'!$AM$34+'TUSD CVA'!$AM$34)*1</f>
        <v>87.519361965254689</v>
      </c>
      <c r="AA963" s="6">
        <f>('TE BE'!$AA$11+'TE BF'!$AA$11+'TE CVA'!$AA$11)*1</f>
        <v>230.83420940933817</v>
      </c>
      <c r="AB963" s="6">
        <f>$K$963*$V$963</f>
        <v>0</v>
      </c>
      <c r="AC963" s="6">
        <f>$M$963*$W$963</f>
        <v>9930.1376999999993</v>
      </c>
      <c r="AD963" s="6">
        <f>$O$963*$X$963</f>
        <v>30146.698679999998</v>
      </c>
      <c r="AE963" s="6">
        <f>$K$963*$Y$963</f>
        <v>0</v>
      </c>
      <c r="AF963" s="6">
        <f ca="1">$M$963*$Z$963</f>
        <v>10291.051696046437</v>
      </c>
      <c r="AG963" s="6">
        <f>$O$963*$AA$963</f>
        <v>27142.871347606437</v>
      </c>
    </row>
    <row r="964" spans="1:33" ht="11.25" customHeight="1" x14ac:dyDescent="0.25">
      <c r="A964" s="4" t="s">
        <v>28</v>
      </c>
      <c r="B964" s="4" t="s">
        <v>33</v>
      </c>
      <c r="C964" s="4" t="s">
        <v>34</v>
      </c>
      <c r="D964" s="4" t="s">
        <v>24</v>
      </c>
      <c r="E964" s="4" t="s">
        <v>24</v>
      </c>
      <c r="F964" s="4" t="s">
        <v>25</v>
      </c>
      <c r="G964" s="4" t="s">
        <v>25</v>
      </c>
      <c r="H964" s="4" t="s">
        <v>36</v>
      </c>
      <c r="I964" s="5">
        <v>44044</v>
      </c>
      <c r="J964" s="6">
        <v>0</v>
      </c>
      <c r="K964" s="6">
        <v>0</v>
      </c>
      <c r="L964" s="6">
        <v>4.1970000000000001</v>
      </c>
      <c r="M964" s="6">
        <v>4.1970000000000001</v>
      </c>
      <c r="N964" s="6">
        <v>4.1970000000000001</v>
      </c>
      <c r="O964" s="6">
        <v>4.1970000000000001</v>
      </c>
      <c r="P964" s="6">
        <v>0</v>
      </c>
      <c r="Q964" s="4" t="s">
        <v>26</v>
      </c>
      <c r="R964" s="4">
        <v>0</v>
      </c>
      <c r="S964" s="6">
        <v>0</v>
      </c>
      <c r="T964" s="6">
        <v>28</v>
      </c>
      <c r="U964" s="6">
        <v>82</v>
      </c>
      <c r="V964" s="6">
        <f>IF(ISERROR(VLOOKUP($S$964,'TAR FIN'!$A$1:$O$120,15,0)),0,VLOOKUP($S$964,'TAR FIN'!$A$1:$O$120,15,0))</f>
        <v>0</v>
      </c>
      <c r="W964" s="6">
        <f>IF(ISERROR(VLOOKUP($T$964,'TAR FIN'!$A$1:$O$120,15,0)),0,VLOOKUP($T$964,'TAR FIN'!$A$1:$O$120,15,0))</f>
        <v>84.45</v>
      </c>
      <c r="X964" s="6">
        <f>IF(ISERROR(VLOOKUP($U$964,'TAR FIN'!$A$1:$O$120,15,0)),0,VLOOKUP($U$964,'TAR FIN'!$A$1:$O$120,15,0))</f>
        <v>256.38</v>
      </c>
      <c r="Y964" s="6"/>
      <c r="Z964" s="6">
        <f ca="1">('TUSD BE'!$AM$34+'TUSD BF'!$AM$34+'TUSD CVA'!$AM$34)*1</f>
        <v>87.519361965254689</v>
      </c>
      <c r="AA964" s="6">
        <f>('TE BE'!$AA$11+'TE BF'!$AA$11+'TE CVA'!$AA$11)*1</f>
        <v>230.83420940933817</v>
      </c>
      <c r="AB964" s="6">
        <f>$K$964*$V$964</f>
        <v>0</v>
      </c>
      <c r="AC964" s="6">
        <f>$M$964*$W$964</f>
        <v>354.43665000000004</v>
      </c>
      <c r="AD964" s="6">
        <f>$O$964*$X$964</f>
        <v>1076.0268599999999</v>
      </c>
      <c r="AE964" s="6">
        <f>$K$964*$Y$964</f>
        <v>0</v>
      </c>
      <c r="AF964" s="6">
        <f ca="1">$M$964*$Z$964</f>
        <v>367.31876216817392</v>
      </c>
      <c r="AG964" s="6">
        <f>$O$964*$AA$964</f>
        <v>968.81117689099233</v>
      </c>
    </row>
    <row r="965" spans="1:33" ht="11.25" customHeight="1" x14ac:dyDescent="0.25">
      <c r="A965" s="4" t="s">
        <v>59</v>
      </c>
      <c r="B965" s="4" t="s">
        <v>33</v>
      </c>
      <c r="C965" s="4" t="s">
        <v>34</v>
      </c>
      <c r="D965" s="4" t="s">
        <v>24</v>
      </c>
      <c r="E965" s="4" t="s">
        <v>24</v>
      </c>
      <c r="F965" s="4" t="s">
        <v>25</v>
      </c>
      <c r="G965" s="4" t="s">
        <v>25</v>
      </c>
      <c r="H965" s="4" t="s">
        <v>36</v>
      </c>
      <c r="I965" s="5">
        <v>44075</v>
      </c>
      <c r="J965" s="6">
        <v>0</v>
      </c>
      <c r="K965" s="6">
        <v>0</v>
      </c>
      <c r="L965" s="6">
        <v>117.586</v>
      </c>
      <c r="M965" s="6">
        <v>117.586</v>
      </c>
      <c r="N965" s="6">
        <v>117.586</v>
      </c>
      <c r="O965" s="6">
        <v>117.586</v>
      </c>
      <c r="P965" s="6">
        <v>0</v>
      </c>
      <c r="Q965" s="4" t="s">
        <v>26</v>
      </c>
      <c r="R965" s="4">
        <v>0</v>
      </c>
      <c r="S965" s="6">
        <v>0</v>
      </c>
      <c r="T965" s="6">
        <v>28</v>
      </c>
      <c r="U965" s="6">
        <v>82</v>
      </c>
      <c r="V965" s="6">
        <f>IF(ISERROR(VLOOKUP($S$965,'TAR FIN'!$A$1:$O$120,15,0)),0,VLOOKUP($S$965,'TAR FIN'!$A$1:$O$120,15,0))</f>
        <v>0</v>
      </c>
      <c r="W965" s="6">
        <f>IF(ISERROR(VLOOKUP($T$965,'TAR FIN'!$A$1:$O$120,15,0)),0,VLOOKUP($T$965,'TAR FIN'!$A$1:$O$120,15,0))</f>
        <v>84.45</v>
      </c>
      <c r="X965" s="6">
        <f>IF(ISERROR(VLOOKUP($U$965,'TAR FIN'!$A$1:$O$120,15,0)),0,VLOOKUP($U$965,'TAR FIN'!$A$1:$O$120,15,0))</f>
        <v>256.38</v>
      </c>
      <c r="Y965" s="6"/>
      <c r="Z965" s="6">
        <f ca="1">('TUSD BE'!$AM$34+'TUSD BF'!$AM$34+'TUSD CVA'!$AM$34)*1</f>
        <v>87.519361965254689</v>
      </c>
      <c r="AA965" s="6">
        <f>('TE BE'!$AA$11+'TE BF'!$AA$11+'TE CVA'!$AA$11)*1</f>
        <v>230.83420940933817</v>
      </c>
      <c r="AB965" s="6">
        <f>$K$965*$V$965</f>
        <v>0</v>
      </c>
      <c r="AC965" s="6">
        <f>$M$965*$W$965</f>
        <v>9930.1376999999993</v>
      </c>
      <c r="AD965" s="6">
        <f>$O$965*$X$965</f>
        <v>30146.698679999998</v>
      </c>
      <c r="AE965" s="6">
        <f>$K$965*$Y$965</f>
        <v>0</v>
      </c>
      <c r="AF965" s="6">
        <f ca="1">$M$965*$Z$965</f>
        <v>10291.051696046437</v>
      </c>
      <c r="AG965" s="6">
        <f>$O$965*$AA$965</f>
        <v>27142.871347606437</v>
      </c>
    </row>
    <row r="966" spans="1:33" ht="11.25" customHeight="1" x14ac:dyDescent="0.25">
      <c r="A966" s="4" t="s">
        <v>59</v>
      </c>
      <c r="B966" s="4" t="s">
        <v>33</v>
      </c>
      <c r="C966" s="4" t="s">
        <v>34</v>
      </c>
      <c r="D966" s="4" t="s">
        <v>24</v>
      </c>
      <c r="E966" s="4" t="s">
        <v>24</v>
      </c>
      <c r="F966" s="4" t="s">
        <v>25</v>
      </c>
      <c r="G966" s="4" t="s">
        <v>25</v>
      </c>
      <c r="H966" s="4" t="s">
        <v>36</v>
      </c>
      <c r="I966" s="5">
        <v>44075</v>
      </c>
      <c r="J966" s="6">
        <v>0</v>
      </c>
      <c r="K966" s="6">
        <v>0</v>
      </c>
      <c r="L966" s="6">
        <v>4.1970000000000001</v>
      </c>
      <c r="M966" s="6">
        <v>4.1970000000000001</v>
      </c>
      <c r="N966" s="6">
        <v>4.1970000000000001</v>
      </c>
      <c r="O966" s="6">
        <v>4.1970000000000001</v>
      </c>
      <c r="P966" s="6">
        <v>0</v>
      </c>
      <c r="Q966" s="4" t="s">
        <v>26</v>
      </c>
      <c r="R966" s="4">
        <v>0</v>
      </c>
      <c r="S966" s="6">
        <v>0</v>
      </c>
      <c r="T966" s="6">
        <v>28</v>
      </c>
      <c r="U966" s="6">
        <v>82</v>
      </c>
      <c r="V966" s="6">
        <f>IF(ISERROR(VLOOKUP($S$966,'TAR FIN'!$A$1:$O$120,15,0)),0,VLOOKUP($S$966,'TAR FIN'!$A$1:$O$120,15,0))</f>
        <v>0</v>
      </c>
      <c r="W966" s="6">
        <f>IF(ISERROR(VLOOKUP($T$966,'TAR FIN'!$A$1:$O$120,15,0)),0,VLOOKUP($T$966,'TAR FIN'!$A$1:$O$120,15,0))</f>
        <v>84.45</v>
      </c>
      <c r="X966" s="6">
        <f>IF(ISERROR(VLOOKUP($U$966,'TAR FIN'!$A$1:$O$120,15,0)),0,VLOOKUP($U$966,'TAR FIN'!$A$1:$O$120,15,0))</f>
        <v>256.38</v>
      </c>
      <c r="Y966" s="6"/>
      <c r="Z966" s="6">
        <f ca="1">('TUSD BE'!$AM$34+'TUSD BF'!$AM$34+'TUSD CVA'!$AM$34)*1</f>
        <v>87.519361965254689</v>
      </c>
      <c r="AA966" s="6">
        <f>('TE BE'!$AA$11+'TE BF'!$AA$11+'TE CVA'!$AA$11)*1</f>
        <v>230.83420940933817</v>
      </c>
      <c r="AB966" s="6">
        <f>$K$966*$V$966</f>
        <v>0</v>
      </c>
      <c r="AC966" s="6">
        <f>$M$966*$W$966</f>
        <v>354.43665000000004</v>
      </c>
      <c r="AD966" s="6">
        <f>$O$966*$X$966</f>
        <v>1076.0268599999999</v>
      </c>
      <c r="AE966" s="6">
        <f>$K$966*$Y$966</f>
        <v>0</v>
      </c>
      <c r="AF966" s="6">
        <f ca="1">$M$966*$Z$966</f>
        <v>367.31876216817392</v>
      </c>
      <c r="AG966" s="6">
        <f>$O$966*$AA$966</f>
        <v>968.81117689099233</v>
      </c>
    </row>
    <row r="967" spans="1:33" ht="11.25" customHeight="1" x14ac:dyDescent="0.25">
      <c r="A967" s="4" t="s">
        <v>21</v>
      </c>
      <c r="B967" s="4" t="s">
        <v>33</v>
      </c>
      <c r="C967" s="4" t="s">
        <v>34</v>
      </c>
      <c r="D967" s="4" t="s">
        <v>24</v>
      </c>
      <c r="E967" s="4" t="s">
        <v>24</v>
      </c>
      <c r="F967" s="4" t="s">
        <v>25</v>
      </c>
      <c r="G967" s="4" t="s">
        <v>25</v>
      </c>
      <c r="H967" s="4" t="s">
        <v>25</v>
      </c>
      <c r="I967" s="5">
        <v>43739</v>
      </c>
      <c r="J967" s="6">
        <v>1148</v>
      </c>
      <c r="K967" s="6">
        <v>1148</v>
      </c>
      <c r="L967" s="6">
        <v>0</v>
      </c>
      <c r="M967" s="6">
        <v>0</v>
      </c>
      <c r="N967" s="6">
        <v>0</v>
      </c>
      <c r="O967" s="6">
        <v>0</v>
      </c>
      <c r="P967" s="6">
        <v>24</v>
      </c>
      <c r="Q967" s="4" t="s">
        <v>26</v>
      </c>
      <c r="R967" s="4">
        <v>0</v>
      </c>
      <c r="S967" s="6">
        <v>26</v>
      </c>
      <c r="T967" s="6">
        <v>0</v>
      </c>
      <c r="U967" s="6">
        <v>0</v>
      </c>
      <c r="V967" s="6">
        <f>IF(ISERROR(VLOOKUP($S$967,'TAR FIN'!$A$1:$O$120,15,0)),0,VLOOKUP($S$967,'TAR FIN'!$A$1:$O$120,15,0))</f>
        <v>8.81</v>
      </c>
      <c r="W967" s="6">
        <f>IF(ISERROR(VLOOKUP($T$967,'TAR FIN'!$A$1:$O$120,15,0)),0,VLOOKUP($T$967,'TAR FIN'!$A$1:$O$120,15,0))</f>
        <v>0</v>
      </c>
      <c r="X967" s="6">
        <f>IF(ISERROR(VLOOKUP($U$967,'TAR FIN'!$A$1:$O$120,15,0)),0,VLOOKUP($U$967,'TAR FIN'!$A$1:$O$120,15,0))</f>
        <v>0</v>
      </c>
      <c r="Y967" s="6">
        <f ca="1">('TUSD BE'!$AM$32+'TUSD BF'!$AM$32+'TUSD CVA'!$AM$32)*1</f>
        <v>11.452356648653195</v>
      </c>
      <c r="Z967" s="6"/>
      <c r="AA967" s="6"/>
      <c r="AB967" s="6">
        <f>$K$967*$V$967</f>
        <v>10113.880000000001</v>
      </c>
      <c r="AC967" s="6">
        <f>$M$967*$W$967</f>
        <v>0</v>
      </c>
      <c r="AD967" s="6">
        <f>$O$967*$X$967</f>
        <v>0</v>
      </c>
      <c r="AE967" s="6">
        <f ca="1">$K$967*$Y$967</f>
        <v>13147.305432653868</v>
      </c>
      <c r="AF967" s="6">
        <f>$M$967*$Z$967</f>
        <v>0</v>
      </c>
      <c r="AG967" s="6">
        <f>$O$967*$AA$967</f>
        <v>0</v>
      </c>
    </row>
    <row r="968" spans="1:33" ht="11.25" customHeight="1" x14ac:dyDescent="0.25">
      <c r="A968" s="4" t="s">
        <v>27</v>
      </c>
      <c r="B968" s="4" t="s">
        <v>33</v>
      </c>
      <c r="C968" s="4" t="s">
        <v>34</v>
      </c>
      <c r="D968" s="4" t="s">
        <v>24</v>
      </c>
      <c r="E968" s="4" t="s">
        <v>24</v>
      </c>
      <c r="F968" s="4" t="s">
        <v>25</v>
      </c>
      <c r="G968" s="4" t="s">
        <v>25</v>
      </c>
      <c r="H968" s="4" t="s">
        <v>25</v>
      </c>
      <c r="I968" s="5">
        <v>43739</v>
      </c>
      <c r="J968" s="6">
        <v>50</v>
      </c>
      <c r="K968" s="6">
        <v>50</v>
      </c>
      <c r="L968" s="6">
        <v>0</v>
      </c>
      <c r="M968" s="6">
        <v>0</v>
      </c>
      <c r="N968" s="6">
        <v>0</v>
      </c>
      <c r="O968" s="6">
        <v>0</v>
      </c>
      <c r="P968" s="6">
        <v>1</v>
      </c>
      <c r="Q968" s="4" t="s">
        <v>26</v>
      </c>
      <c r="R968" s="4">
        <v>0</v>
      </c>
      <c r="S968" s="6">
        <v>26</v>
      </c>
      <c r="T968" s="6">
        <v>0</v>
      </c>
      <c r="U968" s="6">
        <v>0</v>
      </c>
      <c r="V968" s="6">
        <f>IF(ISERROR(VLOOKUP($S$968,'TAR FIN'!$A$1:$O$120,15,0)),0,VLOOKUP($S$968,'TAR FIN'!$A$1:$O$120,15,0))</f>
        <v>8.81</v>
      </c>
      <c r="W968" s="6">
        <f>IF(ISERROR(VLOOKUP($T$968,'TAR FIN'!$A$1:$O$120,15,0)),0,VLOOKUP($T$968,'TAR FIN'!$A$1:$O$120,15,0))</f>
        <v>0</v>
      </c>
      <c r="X968" s="6">
        <f>IF(ISERROR(VLOOKUP($U$968,'TAR FIN'!$A$1:$O$120,15,0)),0,VLOOKUP($U$968,'TAR FIN'!$A$1:$O$120,15,0))</f>
        <v>0</v>
      </c>
      <c r="Y968" s="6">
        <f ca="1">('TUSD BE'!$AM$32+'TUSD BF'!$AM$32+'TUSD CVA'!$AM$32)*1</f>
        <v>11.452356648653195</v>
      </c>
      <c r="Z968" s="6"/>
      <c r="AA968" s="6"/>
      <c r="AB968" s="6">
        <f>$K$968*$V$968</f>
        <v>440.5</v>
      </c>
      <c r="AC968" s="6">
        <f>$M$968*$W$968</f>
        <v>0</v>
      </c>
      <c r="AD968" s="6">
        <f>$O$968*$X$968</f>
        <v>0</v>
      </c>
      <c r="AE968" s="6">
        <f ca="1">$K$968*$Y$968</f>
        <v>572.61783243265972</v>
      </c>
      <c r="AF968" s="6">
        <f>$M$968*$Z$968</f>
        <v>0</v>
      </c>
      <c r="AG968" s="6">
        <f>$O$968*$AA$968</f>
        <v>0</v>
      </c>
    </row>
    <row r="969" spans="1:33" ht="11.25" customHeight="1" x14ac:dyDescent="0.25">
      <c r="A969" s="4" t="s">
        <v>28</v>
      </c>
      <c r="B969" s="4" t="s">
        <v>33</v>
      </c>
      <c r="C969" s="4" t="s">
        <v>34</v>
      </c>
      <c r="D969" s="4" t="s">
        <v>24</v>
      </c>
      <c r="E969" s="4" t="s">
        <v>24</v>
      </c>
      <c r="F969" s="4" t="s">
        <v>25</v>
      </c>
      <c r="G969" s="4" t="s">
        <v>25</v>
      </c>
      <c r="H969" s="4" t="s">
        <v>25</v>
      </c>
      <c r="I969" s="5">
        <v>43739</v>
      </c>
      <c r="J969" s="6">
        <v>110</v>
      </c>
      <c r="K969" s="6">
        <v>110</v>
      </c>
      <c r="L969" s="6">
        <v>0</v>
      </c>
      <c r="M969" s="6">
        <v>0</v>
      </c>
      <c r="N969" s="6">
        <v>0</v>
      </c>
      <c r="O969" s="6">
        <v>0</v>
      </c>
      <c r="P969" s="6">
        <v>3</v>
      </c>
      <c r="Q969" s="4" t="s">
        <v>26</v>
      </c>
      <c r="R969" s="4">
        <v>0</v>
      </c>
      <c r="S969" s="6">
        <v>26</v>
      </c>
      <c r="T969" s="6">
        <v>0</v>
      </c>
      <c r="U969" s="6">
        <v>0</v>
      </c>
      <c r="V969" s="6">
        <f>IF(ISERROR(VLOOKUP($S$969,'TAR FIN'!$A$1:$O$120,15,0)),0,VLOOKUP($S$969,'TAR FIN'!$A$1:$O$120,15,0))</f>
        <v>8.81</v>
      </c>
      <c r="W969" s="6">
        <f>IF(ISERROR(VLOOKUP($T$969,'TAR FIN'!$A$1:$O$120,15,0)),0,VLOOKUP($T$969,'TAR FIN'!$A$1:$O$120,15,0))</f>
        <v>0</v>
      </c>
      <c r="X969" s="6">
        <f>IF(ISERROR(VLOOKUP($U$969,'TAR FIN'!$A$1:$O$120,15,0)),0,VLOOKUP($U$969,'TAR FIN'!$A$1:$O$120,15,0))</f>
        <v>0</v>
      </c>
      <c r="Y969" s="6">
        <f ca="1">('TUSD BE'!$AM$32+'TUSD BF'!$AM$32+'TUSD CVA'!$AM$32)*1</f>
        <v>11.452356648653195</v>
      </c>
      <c r="Z969" s="6"/>
      <c r="AA969" s="6"/>
      <c r="AB969" s="6">
        <f>$K$969*$V$969</f>
        <v>969.1</v>
      </c>
      <c r="AC969" s="6">
        <f>$M$969*$W$969</f>
        <v>0</v>
      </c>
      <c r="AD969" s="6">
        <f>$O$969*$X$969</f>
        <v>0</v>
      </c>
      <c r="AE969" s="6">
        <f ca="1">$K$969*$Y$969</f>
        <v>1259.7592313518514</v>
      </c>
      <c r="AF969" s="6">
        <f>$M$969*$Z$969</f>
        <v>0</v>
      </c>
      <c r="AG969" s="6">
        <f>$O$969*$AA$969</f>
        <v>0</v>
      </c>
    </row>
    <row r="970" spans="1:33" ht="11.25" customHeight="1" x14ac:dyDescent="0.25">
      <c r="A970" s="4" t="s">
        <v>21</v>
      </c>
      <c r="B970" s="4" t="s">
        <v>33</v>
      </c>
      <c r="C970" s="4" t="s">
        <v>34</v>
      </c>
      <c r="D970" s="4" t="s">
        <v>24</v>
      </c>
      <c r="E970" s="4" t="s">
        <v>24</v>
      </c>
      <c r="F970" s="4" t="s">
        <v>25</v>
      </c>
      <c r="G970" s="4" t="s">
        <v>25</v>
      </c>
      <c r="H970" s="4" t="s">
        <v>25</v>
      </c>
      <c r="I970" s="5">
        <v>43770</v>
      </c>
      <c r="J970" s="6">
        <v>1125</v>
      </c>
      <c r="K970" s="6">
        <v>1125</v>
      </c>
      <c r="L970" s="6">
        <v>0</v>
      </c>
      <c r="M970" s="6">
        <v>0</v>
      </c>
      <c r="N970" s="6">
        <v>0</v>
      </c>
      <c r="O970" s="6">
        <v>0</v>
      </c>
      <c r="P970" s="6">
        <v>24</v>
      </c>
      <c r="Q970" s="4" t="s">
        <v>26</v>
      </c>
      <c r="R970" s="4">
        <v>0</v>
      </c>
      <c r="S970" s="6">
        <v>26</v>
      </c>
      <c r="T970" s="6">
        <v>0</v>
      </c>
      <c r="U970" s="6">
        <v>0</v>
      </c>
      <c r="V970" s="6">
        <f>IF(ISERROR(VLOOKUP($S$970,'TAR FIN'!$A$1:$O$120,15,0)),0,VLOOKUP($S$970,'TAR FIN'!$A$1:$O$120,15,0))</f>
        <v>8.81</v>
      </c>
      <c r="W970" s="6">
        <f>IF(ISERROR(VLOOKUP($T$970,'TAR FIN'!$A$1:$O$120,15,0)),0,VLOOKUP($T$970,'TAR FIN'!$A$1:$O$120,15,0))</f>
        <v>0</v>
      </c>
      <c r="X970" s="6">
        <f>IF(ISERROR(VLOOKUP($U$970,'TAR FIN'!$A$1:$O$120,15,0)),0,VLOOKUP($U$970,'TAR FIN'!$A$1:$O$120,15,0))</f>
        <v>0</v>
      </c>
      <c r="Y970" s="6">
        <f ca="1">('TUSD BE'!$AM$32+'TUSD BF'!$AM$32+'TUSD CVA'!$AM$32)*1</f>
        <v>11.452356648653195</v>
      </c>
      <c r="Z970" s="6"/>
      <c r="AA970" s="6"/>
      <c r="AB970" s="6">
        <f>$K$970*$V$970</f>
        <v>9911.25</v>
      </c>
      <c r="AC970" s="6">
        <f>$M$970*$W$970</f>
        <v>0</v>
      </c>
      <c r="AD970" s="6">
        <f>$O$970*$X$970</f>
        <v>0</v>
      </c>
      <c r="AE970" s="6">
        <f ca="1">$K$970*$Y$970</f>
        <v>12883.901229734845</v>
      </c>
      <c r="AF970" s="6">
        <f>$M$970*$Z$970</f>
        <v>0</v>
      </c>
      <c r="AG970" s="6">
        <f>$O$970*$AA$970</f>
        <v>0</v>
      </c>
    </row>
    <row r="971" spans="1:33" ht="11.25" customHeight="1" x14ac:dyDescent="0.25">
      <c r="A971" s="4" t="s">
        <v>27</v>
      </c>
      <c r="B971" s="4" t="s">
        <v>33</v>
      </c>
      <c r="C971" s="4" t="s">
        <v>34</v>
      </c>
      <c r="D971" s="4" t="s">
        <v>24</v>
      </c>
      <c r="E971" s="4" t="s">
        <v>24</v>
      </c>
      <c r="F971" s="4" t="s">
        <v>25</v>
      </c>
      <c r="G971" s="4" t="s">
        <v>25</v>
      </c>
      <c r="H971" s="4" t="s">
        <v>25</v>
      </c>
      <c r="I971" s="5">
        <v>43770</v>
      </c>
      <c r="J971" s="6">
        <v>50</v>
      </c>
      <c r="K971" s="6">
        <v>50</v>
      </c>
      <c r="L971" s="6">
        <v>0</v>
      </c>
      <c r="M971" s="6">
        <v>0</v>
      </c>
      <c r="N971" s="6">
        <v>0</v>
      </c>
      <c r="O971" s="6">
        <v>0</v>
      </c>
      <c r="P971" s="6">
        <v>1</v>
      </c>
      <c r="Q971" s="4" t="s">
        <v>26</v>
      </c>
      <c r="R971" s="4">
        <v>0</v>
      </c>
      <c r="S971" s="6">
        <v>26</v>
      </c>
      <c r="T971" s="6">
        <v>0</v>
      </c>
      <c r="U971" s="6">
        <v>0</v>
      </c>
      <c r="V971" s="6">
        <f>IF(ISERROR(VLOOKUP($S$971,'TAR FIN'!$A$1:$O$120,15,0)),0,VLOOKUP($S$971,'TAR FIN'!$A$1:$O$120,15,0))</f>
        <v>8.81</v>
      </c>
      <c r="W971" s="6">
        <f>IF(ISERROR(VLOOKUP($T$971,'TAR FIN'!$A$1:$O$120,15,0)),0,VLOOKUP($T$971,'TAR FIN'!$A$1:$O$120,15,0))</f>
        <v>0</v>
      </c>
      <c r="X971" s="6">
        <f>IF(ISERROR(VLOOKUP($U$971,'TAR FIN'!$A$1:$O$120,15,0)),0,VLOOKUP($U$971,'TAR FIN'!$A$1:$O$120,15,0))</f>
        <v>0</v>
      </c>
      <c r="Y971" s="6">
        <f ca="1">('TUSD BE'!$AM$32+'TUSD BF'!$AM$32+'TUSD CVA'!$AM$32)*1</f>
        <v>11.452356648653195</v>
      </c>
      <c r="Z971" s="6"/>
      <c r="AA971" s="6"/>
      <c r="AB971" s="6">
        <f>$K$971*$V$971</f>
        <v>440.5</v>
      </c>
      <c r="AC971" s="6">
        <f>$M$971*$W$971</f>
        <v>0</v>
      </c>
      <c r="AD971" s="6">
        <f>$O$971*$X$971</f>
        <v>0</v>
      </c>
      <c r="AE971" s="6">
        <f ca="1">$K$971*$Y$971</f>
        <v>572.61783243265972</v>
      </c>
      <c r="AF971" s="6">
        <f>$M$971*$Z$971</f>
        <v>0</v>
      </c>
      <c r="AG971" s="6">
        <f>$O$971*$AA$971</f>
        <v>0</v>
      </c>
    </row>
    <row r="972" spans="1:33" ht="11.25" customHeight="1" x14ac:dyDescent="0.25">
      <c r="A972" s="4" t="s">
        <v>28</v>
      </c>
      <c r="B972" s="4" t="s">
        <v>33</v>
      </c>
      <c r="C972" s="4" t="s">
        <v>34</v>
      </c>
      <c r="D972" s="4" t="s">
        <v>24</v>
      </c>
      <c r="E972" s="4" t="s">
        <v>24</v>
      </c>
      <c r="F972" s="4" t="s">
        <v>25</v>
      </c>
      <c r="G972" s="4" t="s">
        <v>25</v>
      </c>
      <c r="H972" s="4" t="s">
        <v>25</v>
      </c>
      <c r="I972" s="5">
        <v>43770</v>
      </c>
      <c r="J972" s="6">
        <v>110</v>
      </c>
      <c r="K972" s="6">
        <v>110</v>
      </c>
      <c r="L972" s="6">
        <v>0</v>
      </c>
      <c r="M972" s="6">
        <v>0</v>
      </c>
      <c r="N972" s="6">
        <v>0</v>
      </c>
      <c r="O972" s="6">
        <v>0</v>
      </c>
      <c r="P972" s="6">
        <v>3</v>
      </c>
      <c r="Q972" s="4" t="s">
        <v>26</v>
      </c>
      <c r="R972" s="4">
        <v>0</v>
      </c>
      <c r="S972" s="6">
        <v>26</v>
      </c>
      <c r="T972" s="6">
        <v>0</v>
      </c>
      <c r="U972" s="6">
        <v>0</v>
      </c>
      <c r="V972" s="6">
        <f>IF(ISERROR(VLOOKUP($S$972,'TAR FIN'!$A$1:$O$120,15,0)),0,VLOOKUP($S$972,'TAR FIN'!$A$1:$O$120,15,0))</f>
        <v>8.81</v>
      </c>
      <c r="W972" s="6">
        <f>IF(ISERROR(VLOOKUP($T$972,'TAR FIN'!$A$1:$O$120,15,0)),0,VLOOKUP($T$972,'TAR FIN'!$A$1:$O$120,15,0))</f>
        <v>0</v>
      </c>
      <c r="X972" s="6">
        <f>IF(ISERROR(VLOOKUP($U$972,'TAR FIN'!$A$1:$O$120,15,0)),0,VLOOKUP($U$972,'TAR FIN'!$A$1:$O$120,15,0))</f>
        <v>0</v>
      </c>
      <c r="Y972" s="6">
        <f ca="1">('TUSD BE'!$AM$32+'TUSD BF'!$AM$32+'TUSD CVA'!$AM$32)*1</f>
        <v>11.452356648653195</v>
      </c>
      <c r="Z972" s="6"/>
      <c r="AA972" s="6"/>
      <c r="AB972" s="6">
        <f>$K$972*$V$972</f>
        <v>969.1</v>
      </c>
      <c r="AC972" s="6">
        <f>$M$972*$W$972</f>
        <v>0</v>
      </c>
      <c r="AD972" s="6">
        <f>$O$972*$X$972</f>
        <v>0</v>
      </c>
      <c r="AE972" s="6">
        <f ca="1">$K$972*$Y$972</f>
        <v>1259.7592313518514</v>
      </c>
      <c r="AF972" s="6">
        <f>$M$972*$Z$972</f>
        <v>0</v>
      </c>
      <c r="AG972" s="6">
        <f>$O$972*$AA$972</f>
        <v>0</v>
      </c>
    </row>
    <row r="973" spans="1:33" ht="11.25" customHeight="1" x14ac:dyDescent="0.25">
      <c r="A973" s="4" t="s">
        <v>21</v>
      </c>
      <c r="B973" s="4" t="s">
        <v>33</v>
      </c>
      <c r="C973" s="4" t="s">
        <v>34</v>
      </c>
      <c r="D973" s="4" t="s">
        <v>24</v>
      </c>
      <c r="E973" s="4" t="s">
        <v>24</v>
      </c>
      <c r="F973" s="4" t="s">
        <v>25</v>
      </c>
      <c r="G973" s="4" t="s">
        <v>25</v>
      </c>
      <c r="H973" s="4" t="s">
        <v>25</v>
      </c>
      <c r="I973" s="5">
        <v>43800</v>
      </c>
      <c r="J973" s="6">
        <v>1127</v>
      </c>
      <c r="K973" s="6">
        <v>1127</v>
      </c>
      <c r="L973" s="6">
        <v>0</v>
      </c>
      <c r="M973" s="6">
        <v>0</v>
      </c>
      <c r="N973" s="6">
        <v>0</v>
      </c>
      <c r="O973" s="6">
        <v>0</v>
      </c>
      <c r="P973" s="6">
        <v>24</v>
      </c>
      <c r="Q973" s="4" t="s">
        <v>26</v>
      </c>
      <c r="R973" s="4">
        <v>0</v>
      </c>
      <c r="S973" s="6">
        <v>26</v>
      </c>
      <c r="T973" s="6">
        <v>0</v>
      </c>
      <c r="U973" s="6">
        <v>0</v>
      </c>
      <c r="V973" s="6">
        <f>IF(ISERROR(VLOOKUP($S$973,'TAR FIN'!$A$1:$O$120,15,0)),0,VLOOKUP($S$973,'TAR FIN'!$A$1:$O$120,15,0))</f>
        <v>8.81</v>
      </c>
      <c r="W973" s="6">
        <f>IF(ISERROR(VLOOKUP($T$973,'TAR FIN'!$A$1:$O$120,15,0)),0,VLOOKUP($T$973,'TAR FIN'!$A$1:$O$120,15,0))</f>
        <v>0</v>
      </c>
      <c r="X973" s="6">
        <f>IF(ISERROR(VLOOKUP($U$973,'TAR FIN'!$A$1:$O$120,15,0)),0,VLOOKUP($U$973,'TAR FIN'!$A$1:$O$120,15,0))</f>
        <v>0</v>
      </c>
      <c r="Y973" s="6">
        <f ca="1">('TUSD BE'!$AM$32+'TUSD BF'!$AM$32+'TUSD CVA'!$AM$32)*1</f>
        <v>11.452356648653195</v>
      </c>
      <c r="Z973" s="6"/>
      <c r="AA973" s="6"/>
      <c r="AB973" s="6">
        <f>$K$973*$V$973</f>
        <v>9928.8700000000008</v>
      </c>
      <c r="AC973" s="6">
        <f>$M$973*$W$973</f>
        <v>0</v>
      </c>
      <c r="AD973" s="6">
        <f>$O$973*$X$973</f>
        <v>0</v>
      </c>
      <c r="AE973" s="6">
        <f ca="1">$K$973*$Y$973</f>
        <v>12906.80594303215</v>
      </c>
      <c r="AF973" s="6">
        <f>$M$973*$Z$973</f>
        <v>0</v>
      </c>
      <c r="AG973" s="6">
        <f>$O$973*$AA$973</f>
        <v>0</v>
      </c>
    </row>
    <row r="974" spans="1:33" ht="11.25" customHeight="1" x14ac:dyDescent="0.25">
      <c r="A974" s="4" t="s">
        <v>27</v>
      </c>
      <c r="B974" s="4" t="s">
        <v>33</v>
      </c>
      <c r="C974" s="4" t="s">
        <v>34</v>
      </c>
      <c r="D974" s="4" t="s">
        <v>24</v>
      </c>
      <c r="E974" s="4" t="s">
        <v>24</v>
      </c>
      <c r="F974" s="4" t="s">
        <v>25</v>
      </c>
      <c r="G974" s="4" t="s">
        <v>25</v>
      </c>
      <c r="H974" s="4" t="s">
        <v>25</v>
      </c>
      <c r="I974" s="5">
        <v>43800</v>
      </c>
      <c r="J974" s="6">
        <v>50</v>
      </c>
      <c r="K974" s="6">
        <v>50</v>
      </c>
      <c r="L974" s="6">
        <v>0</v>
      </c>
      <c r="M974" s="6">
        <v>0</v>
      </c>
      <c r="N974" s="6">
        <v>0</v>
      </c>
      <c r="O974" s="6">
        <v>0</v>
      </c>
      <c r="P974" s="6">
        <v>1</v>
      </c>
      <c r="Q974" s="4" t="s">
        <v>26</v>
      </c>
      <c r="R974" s="4">
        <v>0</v>
      </c>
      <c r="S974" s="6">
        <v>26</v>
      </c>
      <c r="T974" s="6">
        <v>0</v>
      </c>
      <c r="U974" s="6">
        <v>0</v>
      </c>
      <c r="V974" s="6">
        <f>IF(ISERROR(VLOOKUP($S$974,'TAR FIN'!$A$1:$O$120,15,0)),0,VLOOKUP($S$974,'TAR FIN'!$A$1:$O$120,15,0))</f>
        <v>8.81</v>
      </c>
      <c r="W974" s="6">
        <f>IF(ISERROR(VLOOKUP($T$974,'TAR FIN'!$A$1:$O$120,15,0)),0,VLOOKUP($T$974,'TAR FIN'!$A$1:$O$120,15,0))</f>
        <v>0</v>
      </c>
      <c r="X974" s="6">
        <f>IF(ISERROR(VLOOKUP($U$974,'TAR FIN'!$A$1:$O$120,15,0)),0,VLOOKUP($U$974,'TAR FIN'!$A$1:$O$120,15,0))</f>
        <v>0</v>
      </c>
      <c r="Y974" s="6">
        <f ca="1">('TUSD BE'!$AM$32+'TUSD BF'!$AM$32+'TUSD CVA'!$AM$32)*1</f>
        <v>11.452356648653195</v>
      </c>
      <c r="Z974" s="6"/>
      <c r="AA974" s="6"/>
      <c r="AB974" s="6">
        <f>$K$974*$V$974</f>
        <v>440.5</v>
      </c>
      <c r="AC974" s="6">
        <f>$M$974*$W$974</f>
        <v>0</v>
      </c>
      <c r="AD974" s="6">
        <f>$O$974*$X$974</f>
        <v>0</v>
      </c>
      <c r="AE974" s="6">
        <f ca="1">$K$974*$Y$974</f>
        <v>572.61783243265972</v>
      </c>
      <c r="AF974" s="6">
        <f>$M$974*$Z$974</f>
        <v>0</v>
      </c>
      <c r="AG974" s="6">
        <f>$O$974*$AA$974</f>
        <v>0</v>
      </c>
    </row>
    <row r="975" spans="1:33" ht="11.25" customHeight="1" x14ac:dyDescent="0.25">
      <c r="A975" s="4" t="s">
        <v>28</v>
      </c>
      <c r="B975" s="4" t="s">
        <v>33</v>
      </c>
      <c r="C975" s="4" t="s">
        <v>34</v>
      </c>
      <c r="D975" s="4" t="s">
        <v>24</v>
      </c>
      <c r="E975" s="4" t="s">
        <v>24</v>
      </c>
      <c r="F975" s="4" t="s">
        <v>25</v>
      </c>
      <c r="G975" s="4" t="s">
        <v>25</v>
      </c>
      <c r="H975" s="4" t="s">
        <v>25</v>
      </c>
      <c r="I975" s="5">
        <v>43800</v>
      </c>
      <c r="J975" s="6">
        <v>110</v>
      </c>
      <c r="K975" s="6">
        <v>110</v>
      </c>
      <c r="L975" s="6">
        <v>0</v>
      </c>
      <c r="M975" s="6">
        <v>0</v>
      </c>
      <c r="N975" s="6">
        <v>0</v>
      </c>
      <c r="O975" s="6">
        <v>0</v>
      </c>
      <c r="P975" s="6">
        <v>3</v>
      </c>
      <c r="Q975" s="4" t="s">
        <v>26</v>
      </c>
      <c r="R975" s="4">
        <v>0</v>
      </c>
      <c r="S975" s="6">
        <v>26</v>
      </c>
      <c r="T975" s="6">
        <v>0</v>
      </c>
      <c r="U975" s="6">
        <v>0</v>
      </c>
      <c r="V975" s="6">
        <f>IF(ISERROR(VLOOKUP($S$975,'TAR FIN'!$A$1:$O$120,15,0)),0,VLOOKUP($S$975,'TAR FIN'!$A$1:$O$120,15,0))</f>
        <v>8.81</v>
      </c>
      <c r="W975" s="6">
        <f>IF(ISERROR(VLOOKUP($T$975,'TAR FIN'!$A$1:$O$120,15,0)),0,VLOOKUP($T$975,'TAR FIN'!$A$1:$O$120,15,0))</f>
        <v>0</v>
      </c>
      <c r="X975" s="6">
        <f>IF(ISERROR(VLOOKUP($U$975,'TAR FIN'!$A$1:$O$120,15,0)),0,VLOOKUP($U$975,'TAR FIN'!$A$1:$O$120,15,0))</f>
        <v>0</v>
      </c>
      <c r="Y975" s="6">
        <f ca="1">('TUSD BE'!$AM$32+'TUSD BF'!$AM$32+'TUSD CVA'!$AM$32)*1</f>
        <v>11.452356648653195</v>
      </c>
      <c r="Z975" s="6"/>
      <c r="AA975" s="6"/>
      <c r="AB975" s="6">
        <f>$K$975*$V$975</f>
        <v>969.1</v>
      </c>
      <c r="AC975" s="6">
        <f>$M$975*$W$975</f>
        <v>0</v>
      </c>
      <c r="AD975" s="6">
        <f>$O$975*$X$975</f>
        <v>0</v>
      </c>
      <c r="AE975" s="6">
        <f ca="1">$K$975*$Y$975</f>
        <v>1259.7592313518514</v>
      </c>
      <c r="AF975" s="6">
        <f>$M$975*$Z$975</f>
        <v>0</v>
      </c>
      <c r="AG975" s="6">
        <f>$O$975*$AA$975</f>
        <v>0</v>
      </c>
    </row>
    <row r="976" spans="1:33" ht="11.25" customHeight="1" x14ac:dyDescent="0.25">
      <c r="A976" s="4" t="s">
        <v>21</v>
      </c>
      <c r="B976" s="4" t="s">
        <v>33</v>
      </c>
      <c r="C976" s="4" t="s">
        <v>34</v>
      </c>
      <c r="D976" s="4" t="s">
        <v>24</v>
      </c>
      <c r="E976" s="4" t="s">
        <v>24</v>
      </c>
      <c r="F976" s="4" t="s">
        <v>25</v>
      </c>
      <c r="G976" s="4" t="s">
        <v>25</v>
      </c>
      <c r="H976" s="4" t="s">
        <v>25</v>
      </c>
      <c r="I976" s="5">
        <v>43831</v>
      </c>
      <c r="J976" s="6">
        <v>1108</v>
      </c>
      <c r="K976" s="6">
        <v>1108</v>
      </c>
      <c r="L976" s="6">
        <v>0</v>
      </c>
      <c r="M976" s="6">
        <v>0</v>
      </c>
      <c r="N976" s="6">
        <v>0</v>
      </c>
      <c r="O976" s="6">
        <v>0</v>
      </c>
      <c r="P976" s="6">
        <v>24</v>
      </c>
      <c r="Q976" s="4" t="s">
        <v>26</v>
      </c>
      <c r="R976" s="4">
        <v>0</v>
      </c>
      <c r="S976" s="6">
        <v>26</v>
      </c>
      <c r="T976" s="6">
        <v>0</v>
      </c>
      <c r="U976" s="6">
        <v>0</v>
      </c>
      <c r="V976" s="6">
        <f>IF(ISERROR(VLOOKUP($S$976,'TAR FIN'!$A$1:$O$120,15,0)),0,VLOOKUP($S$976,'TAR FIN'!$A$1:$O$120,15,0))</f>
        <v>8.81</v>
      </c>
      <c r="W976" s="6">
        <f>IF(ISERROR(VLOOKUP($T$976,'TAR FIN'!$A$1:$O$120,15,0)),0,VLOOKUP($T$976,'TAR FIN'!$A$1:$O$120,15,0))</f>
        <v>0</v>
      </c>
      <c r="X976" s="6">
        <f>IF(ISERROR(VLOOKUP($U$976,'TAR FIN'!$A$1:$O$120,15,0)),0,VLOOKUP($U$976,'TAR FIN'!$A$1:$O$120,15,0))</f>
        <v>0</v>
      </c>
      <c r="Y976" s="6">
        <f ca="1">('TUSD BE'!$AM$32+'TUSD BF'!$AM$32+'TUSD CVA'!$AM$32)*1</f>
        <v>11.452356648653195</v>
      </c>
      <c r="Z976" s="6"/>
      <c r="AA976" s="6"/>
      <c r="AB976" s="6">
        <f>$K$976*$V$976</f>
        <v>9761.4800000000014</v>
      </c>
      <c r="AC976" s="6">
        <f>$M$976*$W$976</f>
        <v>0</v>
      </c>
      <c r="AD976" s="6">
        <f>$O$976*$X$976</f>
        <v>0</v>
      </c>
      <c r="AE976" s="6">
        <f ca="1">$K$976*$Y$976</f>
        <v>12689.211166707741</v>
      </c>
      <c r="AF976" s="6">
        <f>$M$976*$Z$976</f>
        <v>0</v>
      </c>
      <c r="AG976" s="6">
        <f>$O$976*$AA$976</f>
        <v>0</v>
      </c>
    </row>
    <row r="977" spans="1:33" ht="11.25" customHeight="1" x14ac:dyDescent="0.25">
      <c r="A977" s="4" t="s">
        <v>27</v>
      </c>
      <c r="B977" s="4" t="s">
        <v>33</v>
      </c>
      <c r="C977" s="4" t="s">
        <v>34</v>
      </c>
      <c r="D977" s="4" t="s">
        <v>24</v>
      </c>
      <c r="E977" s="4" t="s">
        <v>24</v>
      </c>
      <c r="F977" s="4" t="s">
        <v>25</v>
      </c>
      <c r="G977" s="4" t="s">
        <v>25</v>
      </c>
      <c r="H977" s="4" t="s">
        <v>25</v>
      </c>
      <c r="I977" s="5">
        <v>43831</v>
      </c>
      <c r="J977" s="6">
        <v>50</v>
      </c>
      <c r="K977" s="6">
        <v>50</v>
      </c>
      <c r="L977" s="6">
        <v>0</v>
      </c>
      <c r="M977" s="6">
        <v>0</v>
      </c>
      <c r="N977" s="6">
        <v>0</v>
      </c>
      <c r="O977" s="6">
        <v>0</v>
      </c>
      <c r="P977" s="6">
        <v>1</v>
      </c>
      <c r="Q977" s="4" t="s">
        <v>26</v>
      </c>
      <c r="R977" s="4">
        <v>0</v>
      </c>
      <c r="S977" s="6">
        <v>26</v>
      </c>
      <c r="T977" s="6">
        <v>0</v>
      </c>
      <c r="U977" s="6">
        <v>0</v>
      </c>
      <c r="V977" s="6">
        <f>IF(ISERROR(VLOOKUP($S$977,'TAR FIN'!$A$1:$O$120,15,0)),0,VLOOKUP($S$977,'TAR FIN'!$A$1:$O$120,15,0))</f>
        <v>8.81</v>
      </c>
      <c r="W977" s="6">
        <f>IF(ISERROR(VLOOKUP($T$977,'TAR FIN'!$A$1:$O$120,15,0)),0,VLOOKUP($T$977,'TAR FIN'!$A$1:$O$120,15,0))</f>
        <v>0</v>
      </c>
      <c r="X977" s="6">
        <f>IF(ISERROR(VLOOKUP($U$977,'TAR FIN'!$A$1:$O$120,15,0)),0,VLOOKUP($U$977,'TAR FIN'!$A$1:$O$120,15,0))</f>
        <v>0</v>
      </c>
      <c r="Y977" s="6">
        <f ca="1">('TUSD BE'!$AM$32+'TUSD BF'!$AM$32+'TUSD CVA'!$AM$32)*1</f>
        <v>11.452356648653195</v>
      </c>
      <c r="Z977" s="6"/>
      <c r="AA977" s="6"/>
      <c r="AB977" s="6">
        <f>$K$977*$V$977</f>
        <v>440.5</v>
      </c>
      <c r="AC977" s="6">
        <f>$M$977*$W$977</f>
        <v>0</v>
      </c>
      <c r="AD977" s="6">
        <f>$O$977*$X$977</f>
        <v>0</v>
      </c>
      <c r="AE977" s="6">
        <f ca="1">$K$977*$Y$977</f>
        <v>572.61783243265972</v>
      </c>
      <c r="AF977" s="6">
        <f>$M$977*$Z$977</f>
        <v>0</v>
      </c>
      <c r="AG977" s="6">
        <f>$O$977*$AA$977</f>
        <v>0</v>
      </c>
    </row>
    <row r="978" spans="1:33" ht="11.25" customHeight="1" x14ac:dyDescent="0.25">
      <c r="A978" s="4" t="s">
        <v>28</v>
      </c>
      <c r="B978" s="4" t="s">
        <v>33</v>
      </c>
      <c r="C978" s="4" t="s">
        <v>34</v>
      </c>
      <c r="D978" s="4" t="s">
        <v>24</v>
      </c>
      <c r="E978" s="4" t="s">
        <v>24</v>
      </c>
      <c r="F978" s="4" t="s">
        <v>25</v>
      </c>
      <c r="G978" s="4" t="s">
        <v>25</v>
      </c>
      <c r="H978" s="4" t="s">
        <v>25</v>
      </c>
      <c r="I978" s="5">
        <v>43831</v>
      </c>
      <c r="J978" s="6">
        <v>110</v>
      </c>
      <c r="K978" s="6">
        <v>110</v>
      </c>
      <c r="L978" s="6">
        <v>0</v>
      </c>
      <c r="M978" s="6">
        <v>0</v>
      </c>
      <c r="N978" s="6">
        <v>0</v>
      </c>
      <c r="O978" s="6">
        <v>0</v>
      </c>
      <c r="P978" s="6">
        <v>3</v>
      </c>
      <c r="Q978" s="4" t="s">
        <v>26</v>
      </c>
      <c r="R978" s="4">
        <v>0</v>
      </c>
      <c r="S978" s="6">
        <v>26</v>
      </c>
      <c r="T978" s="6">
        <v>0</v>
      </c>
      <c r="U978" s="6">
        <v>0</v>
      </c>
      <c r="V978" s="6">
        <f>IF(ISERROR(VLOOKUP($S$978,'TAR FIN'!$A$1:$O$120,15,0)),0,VLOOKUP($S$978,'TAR FIN'!$A$1:$O$120,15,0))</f>
        <v>8.81</v>
      </c>
      <c r="W978" s="6">
        <f>IF(ISERROR(VLOOKUP($T$978,'TAR FIN'!$A$1:$O$120,15,0)),0,VLOOKUP($T$978,'TAR FIN'!$A$1:$O$120,15,0))</f>
        <v>0</v>
      </c>
      <c r="X978" s="6">
        <f>IF(ISERROR(VLOOKUP($U$978,'TAR FIN'!$A$1:$O$120,15,0)),0,VLOOKUP($U$978,'TAR FIN'!$A$1:$O$120,15,0))</f>
        <v>0</v>
      </c>
      <c r="Y978" s="6">
        <f ca="1">('TUSD BE'!$AM$32+'TUSD BF'!$AM$32+'TUSD CVA'!$AM$32)*1</f>
        <v>11.452356648653195</v>
      </c>
      <c r="Z978" s="6"/>
      <c r="AA978" s="6"/>
      <c r="AB978" s="6">
        <f>$K$978*$V$978</f>
        <v>969.1</v>
      </c>
      <c r="AC978" s="6">
        <f>$M$978*$W$978</f>
        <v>0</v>
      </c>
      <c r="AD978" s="6">
        <f>$O$978*$X$978</f>
        <v>0</v>
      </c>
      <c r="AE978" s="6">
        <f ca="1">$K$978*$Y$978</f>
        <v>1259.7592313518514</v>
      </c>
      <c r="AF978" s="6">
        <f>$M$978*$Z$978</f>
        <v>0</v>
      </c>
      <c r="AG978" s="6">
        <f>$O$978*$AA$978</f>
        <v>0</v>
      </c>
    </row>
    <row r="979" spans="1:33" ht="11.25" customHeight="1" x14ac:dyDescent="0.25">
      <c r="A979" s="4" t="s">
        <v>21</v>
      </c>
      <c r="B979" s="4" t="s">
        <v>33</v>
      </c>
      <c r="C979" s="4" t="s">
        <v>34</v>
      </c>
      <c r="D979" s="4" t="s">
        <v>24</v>
      </c>
      <c r="E979" s="4" t="s">
        <v>24</v>
      </c>
      <c r="F979" s="4" t="s">
        <v>25</v>
      </c>
      <c r="G979" s="4" t="s">
        <v>25</v>
      </c>
      <c r="H979" s="4" t="s">
        <v>25</v>
      </c>
      <c r="I979" s="5">
        <v>43862</v>
      </c>
      <c r="J979" s="6">
        <v>1143</v>
      </c>
      <c r="K979" s="6">
        <v>1143</v>
      </c>
      <c r="L979" s="6">
        <v>0</v>
      </c>
      <c r="M979" s="6">
        <v>0</v>
      </c>
      <c r="N979" s="6">
        <v>0</v>
      </c>
      <c r="O979" s="6">
        <v>0</v>
      </c>
      <c r="P979" s="6">
        <v>24</v>
      </c>
      <c r="Q979" s="4" t="s">
        <v>26</v>
      </c>
      <c r="R979" s="4">
        <v>0</v>
      </c>
      <c r="S979" s="6">
        <v>26</v>
      </c>
      <c r="T979" s="6">
        <v>0</v>
      </c>
      <c r="U979" s="6">
        <v>0</v>
      </c>
      <c r="V979" s="6">
        <f>IF(ISERROR(VLOOKUP($S$979,'TAR FIN'!$A$1:$O$120,15,0)),0,VLOOKUP($S$979,'TAR FIN'!$A$1:$O$120,15,0))</f>
        <v>8.81</v>
      </c>
      <c r="W979" s="6">
        <f>IF(ISERROR(VLOOKUP($T$979,'TAR FIN'!$A$1:$O$120,15,0)),0,VLOOKUP($T$979,'TAR FIN'!$A$1:$O$120,15,0))</f>
        <v>0</v>
      </c>
      <c r="X979" s="6">
        <f>IF(ISERROR(VLOOKUP($U$979,'TAR FIN'!$A$1:$O$120,15,0)),0,VLOOKUP($U$979,'TAR FIN'!$A$1:$O$120,15,0))</f>
        <v>0</v>
      </c>
      <c r="Y979" s="6">
        <f ca="1">('TUSD BE'!$AM$32+'TUSD BF'!$AM$32+'TUSD CVA'!$AM$32)*1</f>
        <v>11.452356648653195</v>
      </c>
      <c r="Z979" s="6"/>
      <c r="AA979" s="6"/>
      <c r="AB979" s="6">
        <f>$K$979*$V$979</f>
        <v>10069.83</v>
      </c>
      <c r="AC979" s="6">
        <f>$M$979*$W$979</f>
        <v>0</v>
      </c>
      <c r="AD979" s="6">
        <f>$O$979*$X$979</f>
        <v>0</v>
      </c>
      <c r="AE979" s="6">
        <f ca="1">$K$979*$Y$979</f>
        <v>13090.043649410602</v>
      </c>
      <c r="AF979" s="6">
        <f>$M$979*$Z$979</f>
        <v>0</v>
      </c>
      <c r="AG979" s="6">
        <f>$O$979*$AA$979</f>
        <v>0</v>
      </c>
    </row>
    <row r="980" spans="1:33" ht="11.25" customHeight="1" x14ac:dyDescent="0.25">
      <c r="A980" s="4" t="s">
        <v>27</v>
      </c>
      <c r="B980" s="4" t="s">
        <v>33</v>
      </c>
      <c r="C980" s="4" t="s">
        <v>34</v>
      </c>
      <c r="D980" s="4" t="s">
        <v>24</v>
      </c>
      <c r="E980" s="4" t="s">
        <v>24</v>
      </c>
      <c r="F980" s="4" t="s">
        <v>25</v>
      </c>
      <c r="G980" s="4" t="s">
        <v>25</v>
      </c>
      <c r="H980" s="4" t="s">
        <v>25</v>
      </c>
      <c r="I980" s="5">
        <v>43862</v>
      </c>
      <c r="J980" s="6">
        <v>50</v>
      </c>
      <c r="K980" s="6">
        <v>50</v>
      </c>
      <c r="L980" s="6">
        <v>0</v>
      </c>
      <c r="M980" s="6">
        <v>0</v>
      </c>
      <c r="N980" s="6">
        <v>0</v>
      </c>
      <c r="O980" s="6">
        <v>0</v>
      </c>
      <c r="P980" s="6">
        <v>1</v>
      </c>
      <c r="Q980" s="4" t="s">
        <v>26</v>
      </c>
      <c r="R980" s="4">
        <v>0</v>
      </c>
      <c r="S980" s="6">
        <v>26</v>
      </c>
      <c r="T980" s="6">
        <v>0</v>
      </c>
      <c r="U980" s="6">
        <v>0</v>
      </c>
      <c r="V980" s="6">
        <f>IF(ISERROR(VLOOKUP($S$980,'TAR FIN'!$A$1:$O$120,15,0)),0,VLOOKUP($S$980,'TAR FIN'!$A$1:$O$120,15,0))</f>
        <v>8.81</v>
      </c>
      <c r="W980" s="6">
        <f>IF(ISERROR(VLOOKUP($T$980,'TAR FIN'!$A$1:$O$120,15,0)),0,VLOOKUP($T$980,'TAR FIN'!$A$1:$O$120,15,0))</f>
        <v>0</v>
      </c>
      <c r="X980" s="6">
        <f>IF(ISERROR(VLOOKUP($U$980,'TAR FIN'!$A$1:$O$120,15,0)),0,VLOOKUP($U$980,'TAR FIN'!$A$1:$O$120,15,0))</f>
        <v>0</v>
      </c>
      <c r="Y980" s="6">
        <f ca="1">('TUSD BE'!$AM$32+'TUSD BF'!$AM$32+'TUSD CVA'!$AM$32)*1</f>
        <v>11.452356648653195</v>
      </c>
      <c r="Z980" s="6"/>
      <c r="AA980" s="6"/>
      <c r="AB980" s="6">
        <f>$K$980*$V$980</f>
        <v>440.5</v>
      </c>
      <c r="AC980" s="6">
        <f>$M$980*$W$980</f>
        <v>0</v>
      </c>
      <c r="AD980" s="6">
        <f>$O$980*$X$980</f>
        <v>0</v>
      </c>
      <c r="AE980" s="6">
        <f ca="1">$K$980*$Y$980</f>
        <v>572.61783243265972</v>
      </c>
      <c r="AF980" s="6">
        <f>$M$980*$Z$980</f>
        <v>0</v>
      </c>
      <c r="AG980" s="6">
        <f>$O$980*$AA$980</f>
        <v>0</v>
      </c>
    </row>
    <row r="981" spans="1:33" ht="11.25" customHeight="1" x14ac:dyDescent="0.25">
      <c r="A981" s="4" t="s">
        <v>28</v>
      </c>
      <c r="B981" s="4" t="s">
        <v>33</v>
      </c>
      <c r="C981" s="4" t="s">
        <v>34</v>
      </c>
      <c r="D981" s="4" t="s">
        <v>24</v>
      </c>
      <c r="E981" s="4" t="s">
        <v>24</v>
      </c>
      <c r="F981" s="4" t="s">
        <v>25</v>
      </c>
      <c r="G981" s="4" t="s">
        <v>25</v>
      </c>
      <c r="H981" s="4" t="s">
        <v>25</v>
      </c>
      <c r="I981" s="5">
        <v>43862</v>
      </c>
      <c r="J981" s="6">
        <v>110</v>
      </c>
      <c r="K981" s="6">
        <v>110</v>
      </c>
      <c r="L981" s="6">
        <v>0</v>
      </c>
      <c r="M981" s="6">
        <v>0</v>
      </c>
      <c r="N981" s="6">
        <v>0</v>
      </c>
      <c r="O981" s="6">
        <v>0</v>
      </c>
      <c r="P981" s="6">
        <v>3</v>
      </c>
      <c r="Q981" s="4" t="s">
        <v>26</v>
      </c>
      <c r="R981" s="4">
        <v>0</v>
      </c>
      <c r="S981" s="6">
        <v>26</v>
      </c>
      <c r="T981" s="6">
        <v>0</v>
      </c>
      <c r="U981" s="6">
        <v>0</v>
      </c>
      <c r="V981" s="6">
        <f>IF(ISERROR(VLOOKUP($S$981,'TAR FIN'!$A$1:$O$120,15,0)),0,VLOOKUP($S$981,'TAR FIN'!$A$1:$O$120,15,0))</f>
        <v>8.81</v>
      </c>
      <c r="W981" s="6">
        <f>IF(ISERROR(VLOOKUP($T$981,'TAR FIN'!$A$1:$O$120,15,0)),0,VLOOKUP($T$981,'TAR FIN'!$A$1:$O$120,15,0))</f>
        <v>0</v>
      </c>
      <c r="X981" s="6">
        <f>IF(ISERROR(VLOOKUP($U$981,'TAR FIN'!$A$1:$O$120,15,0)),0,VLOOKUP($U$981,'TAR FIN'!$A$1:$O$120,15,0))</f>
        <v>0</v>
      </c>
      <c r="Y981" s="6">
        <f ca="1">('TUSD BE'!$AM$32+'TUSD BF'!$AM$32+'TUSD CVA'!$AM$32)*1</f>
        <v>11.452356648653195</v>
      </c>
      <c r="Z981" s="6"/>
      <c r="AA981" s="6"/>
      <c r="AB981" s="6">
        <f>$K$981*$V$981</f>
        <v>969.1</v>
      </c>
      <c r="AC981" s="6">
        <f>$M$981*$W$981</f>
        <v>0</v>
      </c>
      <c r="AD981" s="6">
        <f>$O$981*$X$981</f>
        <v>0</v>
      </c>
      <c r="AE981" s="6">
        <f ca="1">$K$981*$Y$981</f>
        <v>1259.7592313518514</v>
      </c>
      <c r="AF981" s="6">
        <f>$M$981*$Z$981</f>
        <v>0</v>
      </c>
      <c r="AG981" s="6">
        <f>$O$981*$AA$981</f>
        <v>0</v>
      </c>
    </row>
    <row r="982" spans="1:33" ht="11.25" customHeight="1" x14ac:dyDescent="0.25">
      <c r="A982" s="4" t="s">
        <v>21</v>
      </c>
      <c r="B982" s="4" t="s">
        <v>33</v>
      </c>
      <c r="C982" s="4" t="s">
        <v>34</v>
      </c>
      <c r="D982" s="4" t="s">
        <v>24</v>
      </c>
      <c r="E982" s="4" t="s">
        <v>24</v>
      </c>
      <c r="F982" s="4" t="s">
        <v>25</v>
      </c>
      <c r="G982" s="4" t="s">
        <v>25</v>
      </c>
      <c r="H982" s="4" t="s">
        <v>25</v>
      </c>
      <c r="I982" s="5">
        <v>43891</v>
      </c>
      <c r="J982" s="6">
        <v>1144</v>
      </c>
      <c r="K982" s="6">
        <v>1144</v>
      </c>
      <c r="L982" s="6">
        <v>0</v>
      </c>
      <c r="M982" s="6">
        <v>0</v>
      </c>
      <c r="N982" s="6">
        <v>0</v>
      </c>
      <c r="O982" s="6">
        <v>0</v>
      </c>
      <c r="P982" s="6">
        <v>24</v>
      </c>
      <c r="Q982" s="4" t="s">
        <v>26</v>
      </c>
      <c r="R982" s="4">
        <v>0</v>
      </c>
      <c r="S982" s="6">
        <v>26</v>
      </c>
      <c r="T982" s="6">
        <v>0</v>
      </c>
      <c r="U982" s="6">
        <v>0</v>
      </c>
      <c r="V982" s="6">
        <f>IF(ISERROR(VLOOKUP($S$982,'TAR FIN'!$A$1:$O$120,15,0)),0,VLOOKUP($S$982,'TAR FIN'!$A$1:$O$120,15,0))</f>
        <v>8.81</v>
      </c>
      <c r="W982" s="6">
        <f>IF(ISERROR(VLOOKUP($T$982,'TAR FIN'!$A$1:$O$120,15,0)),0,VLOOKUP($T$982,'TAR FIN'!$A$1:$O$120,15,0))</f>
        <v>0</v>
      </c>
      <c r="X982" s="6">
        <f>IF(ISERROR(VLOOKUP($U$982,'TAR FIN'!$A$1:$O$120,15,0)),0,VLOOKUP($U$982,'TAR FIN'!$A$1:$O$120,15,0))</f>
        <v>0</v>
      </c>
      <c r="Y982" s="6">
        <f ca="1">('TUSD BE'!$AM$32+'TUSD BF'!$AM$32+'TUSD CVA'!$AM$32)*1</f>
        <v>11.452356648653195</v>
      </c>
      <c r="Z982" s="6"/>
      <c r="AA982" s="6"/>
      <c r="AB982" s="6">
        <f>$K$982*$V$982</f>
        <v>10078.640000000001</v>
      </c>
      <c r="AC982" s="6">
        <f>$M$982*$W$982</f>
        <v>0</v>
      </c>
      <c r="AD982" s="6">
        <f>$O$982*$X$982</f>
        <v>0</v>
      </c>
      <c r="AE982" s="6">
        <f ca="1">$K$982*$Y$982</f>
        <v>13101.496006059255</v>
      </c>
      <c r="AF982" s="6">
        <f>$M$982*$Z$982</f>
        <v>0</v>
      </c>
      <c r="AG982" s="6">
        <f>$O$982*$AA$982</f>
        <v>0</v>
      </c>
    </row>
    <row r="983" spans="1:33" ht="11.25" customHeight="1" x14ac:dyDescent="0.25">
      <c r="A983" s="4" t="s">
        <v>27</v>
      </c>
      <c r="B983" s="4" t="s">
        <v>33</v>
      </c>
      <c r="C983" s="4" t="s">
        <v>34</v>
      </c>
      <c r="D983" s="4" t="s">
        <v>24</v>
      </c>
      <c r="E983" s="4" t="s">
        <v>24</v>
      </c>
      <c r="F983" s="4" t="s">
        <v>25</v>
      </c>
      <c r="G983" s="4" t="s">
        <v>25</v>
      </c>
      <c r="H983" s="4" t="s">
        <v>25</v>
      </c>
      <c r="I983" s="5">
        <v>43891</v>
      </c>
      <c r="J983" s="6">
        <v>50</v>
      </c>
      <c r="K983" s="6">
        <v>50</v>
      </c>
      <c r="L983" s="6">
        <v>0</v>
      </c>
      <c r="M983" s="6">
        <v>0</v>
      </c>
      <c r="N983" s="6">
        <v>0</v>
      </c>
      <c r="O983" s="6">
        <v>0</v>
      </c>
      <c r="P983" s="6">
        <v>1</v>
      </c>
      <c r="Q983" s="4" t="s">
        <v>26</v>
      </c>
      <c r="R983" s="4">
        <v>0</v>
      </c>
      <c r="S983" s="6">
        <v>26</v>
      </c>
      <c r="T983" s="6">
        <v>0</v>
      </c>
      <c r="U983" s="6">
        <v>0</v>
      </c>
      <c r="V983" s="6">
        <f>IF(ISERROR(VLOOKUP($S$983,'TAR FIN'!$A$1:$O$120,15,0)),0,VLOOKUP($S$983,'TAR FIN'!$A$1:$O$120,15,0))</f>
        <v>8.81</v>
      </c>
      <c r="W983" s="6">
        <f>IF(ISERROR(VLOOKUP($T$983,'TAR FIN'!$A$1:$O$120,15,0)),0,VLOOKUP($T$983,'TAR FIN'!$A$1:$O$120,15,0))</f>
        <v>0</v>
      </c>
      <c r="X983" s="6">
        <f>IF(ISERROR(VLOOKUP($U$983,'TAR FIN'!$A$1:$O$120,15,0)),0,VLOOKUP($U$983,'TAR FIN'!$A$1:$O$120,15,0))</f>
        <v>0</v>
      </c>
      <c r="Y983" s="6">
        <f ca="1">('TUSD BE'!$AM$32+'TUSD BF'!$AM$32+'TUSD CVA'!$AM$32)*1</f>
        <v>11.452356648653195</v>
      </c>
      <c r="Z983" s="6"/>
      <c r="AA983" s="6"/>
      <c r="AB983" s="6">
        <f>$K$983*$V$983</f>
        <v>440.5</v>
      </c>
      <c r="AC983" s="6">
        <f>$M$983*$W$983</f>
        <v>0</v>
      </c>
      <c r="AD983" s="6">
        <f>$O$983*$X$983</f>
        <v>0</v>
      </c>
      <c r="AE983" s="6">
        <f ca="1">$K$983*$Y$983</f>
        <v>572.61783243265972</v>
      </c>
      <c r="AF983" s="6">
        <f>$M$983*$Z$983</f>
        <v>0</v>
      </c>
      <c r="AG983" s="6">
        <f>$O$983*$AA$983</f>
        <v>0</v>
      </c>
    </row>
    <row r="984" spans="1:33" ht="11.25" customHeight="1" x14ac:dyDescent="0.25">
      <c r="A984" s="4" t="s">
        <v>28</v>
      </c>
      <c r="B984" s="4" t="s">
        <v>33</v>
      </c>
      <c r="C984" s="4" t="s">
        <v>34</v>
      </c>
      <c r="D984" s="4" t="s">
        <v>24</v>
      </c>
      <c r="E984" s="4" t="s">
        <v>24</v>
      </c>
      <c r="F984" s="4" t="s">
        <v>25</v>
      </c>
      <c r="G984" s="4" t="s">
        <v>25</v>
      </c>
      <c r="H984" s="4" t="s">
        <v>25</v>
      </c>
      <c r="I984" s="5">
        <v>43891</v>
      </c>
      <c r="J984" s="6">
        <v>110</v>
      </c>
      <c r="K984" s="6">
        <v>110</v>
      </c>
      <c r="L984" s="6">
        <v>0</v>
      </c>
      <c r="M984" s="6">
        <v>0</v>
      </c>
      <c r="N984" s="6">
        <v>0</v>
      </c>
      <c r="O984" s="6">
        <v>0</v>
      </c>
      <c r="P984" s="6">
        <v>3</v>
      </c>
      <c r="Q984" s="4" t="s">
        <v>26</v>
      </c>
      <c r="R984" s="4">
        <v>0</v>
      </c>
      <c r="S984" s="6">
        <v>26</v>
      </c>
      <c r="T984" s="6">
        <v>0</v>
      </c>
      <c r="U984" s="6">
        <v>0</v>
      </c>
      <c r="V984" s="6">
        <f>IF(ISERROR(VLOOKUP($S$984,'TAR FIN'!$A$1:$O$120,15,0)),0,VLOOKUP($S$984,'TAR FIN'!$A$1:$O$120,15,0))</f>
        <v>8.81</v>
      </c>
      <c r="W984" s="6">
        <f>IF(ISERROR(VLOOKUP($T$984,'TAR FIN'!$A$1:$O$120,15,0)),0,VLOOKUP($T$984,'TAR FIN'!$A$1:$O$120,15,0))</f>
        <v>0</v>
      </c>
      <c r="X984" s="6">
        <f>IF(ISERROR(VLOOKUP($U$984,'TAR FIN'!$A$1:$O$120,15,0)),0,VLOOKUP($U$984,'TAR FIN'!$A$1:$O$120,15,0))</f>
        <v>0</v>
      </c>
      <c r="Y984" s="6">
        <f ca="1">('TUSD BE'!$AM$32+'TUSD BF'!$AM$32+'TUSD CVA'!$AM$32)*1</f>
        <v>11.452356648653195</v>
      </c>
      <c r="Z984" s="6"/>
      <c r="AA984" s="6"/>
      <c r="AB984" s="6">
        <f>$K$984*$V$984</f>
        <v>969.1</v>
      </c>
      <c r="AC984" s="6">
        <f>$M$984*$W$984</f>
        <v>0</v>
      </c>
      <c r="AD984" s="6">
        <f>$O$984*$X$984</f>
        <v>0</v>
      </c>
      <c r="AE984" s="6">
        <f ca="1">$K$984*$Y$984</f>
        <v>1259.7592313518514</v>
      </c>
      <c r="AF984" s="6">
        <f>$M$984*$Z$984</f>
        <v>0</v>
      </c>
      <c r="AG984" s="6">
        <f>$O$984*$AA$984</f>
        <v>0</v>
      </c>
    </row>
    <row r="985" spans="1:33" ht="11.25" customHeight="1" x14ac:dyDescent="0.25">
      <c r="A985" s="4" t="s">
        <v>21</v>
      </c>
      <c r="B985" s="4" t="s">
        <v>33</v>
      </c>
      <c r="C985" s="4" t="s">
        <v>34</v>
      </c>
      <c r="D985" s="4" t="s">
        <v>24</v>
      </c>
      <c r="E985" s="4" t="s">
        <v>24</v>
      </c>
      <c r="F985" s="4" t="s">
        <v>25</v>
      </c>
      <c r="G985" s="4" t="s">
        <v>25</v>
      </c>
      <c r="H985" s="4" t="s">
        <v>25</v>
      </c>
      <c r="I985" s="5">
        <v>43922</v>
      </c>
      <c r="J985" s="6">
        <v>1129</v>
      </c>
      <c r="K985" s="6">
        <v>1129</v>
      </c>
      <c r="L985" s="6">
        <v>0</v>
      </c>
      <c r="M985" s="6">
        <v>0</v>
      </c>
      <c r="N985" s="6">
        <v>0</v>
      </c>
      <c r="O985" s="6">
        <v>0</v>
      </c>
      <c r="P985" s="6">
        <v>24</v>
      </c>
      <c r="Q985" s="4" t="s">
        <v>26</v>
      </c>
      <c r="R985" s="4">
        <v>0</v>
      </c>
      <c r="S985" s="6">
        <v>26</v>
      </c>
      <c r="T985" s="6">
        <v>0</v>
      </c>
      <c r="U985" s="6">
        <v>0</v>
      </c>
      <c r="V985" s="6">
        <f>IF(ISERROR(VLOOKUP($S$985,'TAR FIN'!$A$1:$O$120,15,0)),0,VLOOKUP($S$985,'TAR FIN'!$A$1:$O$120,15,0))</f>
        <v>8.81</v>
      </c>
      <c r="W985" s="6">
        <f>IF(ISERROR(VLOOKUP($T$985,'TAR FIN'!$A$1:$O$120,15,0)),0,VLOOKUP($T$985,'TAR FIN'!$A$1:$O$120,15,0))</f>
        <v>0</v>
      </c>
      <c r="X985" s="6">
        <f>IF(ISERROR(VLOOKUP($U$985,'TAR FIN'!$A$1:$O$120,15,0)),0,VLOOKUP($U$985,'TAR FIN'!$A$1:$O$120,15,0))</f>
        <v>0</v>
      </c>
      <c r="Y985" s="6">
        <f ca="1">('TUSD BE'!$AM$32+'TUSD BF'!$AM$32+'TUSD CVA'!$AM$32)*1</f>
        <v>11.452356648653195</v>
      </c>
      <c r="Z985" s="6"/>
      <c r="AA985" s="6"/>
      <c r="AB985" s="6">
        <f>$K$985*$V$985</f>
        <v>9946.49</v>
      </c>
      <c r="AC985" s="6">
        <f>$M$985*$W$985</f>
        <v>0</v>
      </c>
      <c r="AD985" s="6">
        <f>$O$985*$X$985</f>
        <v>0</v>
      </c>
      <c r="AE985" s="6">
        <f ca="1">$K$985*$Y$985</f>
        <v>12929.710656329456</v>
      </c>
      <c r="AF985" s="6">
        <f>$M$985*$Z$985</f>
        <v>0</v>
      </c>
      <c r="AG985" s="6">
        <f>$O$985*$AA$985</f>
        <v>0</v>
      </c>
    </row>
    <row r="986" spans="1:33" ht="11.25" customHeight="1" x14ac:dyDescent="0.25">
      <c r="A986" s="4" t="s">
        <v>27</v>
      </c>
      <c r="B986" s="4" t="s">
        <v>33</v>
      </c>
      <c r="C986" s="4" t="s">
        <v>34</v>
      </c>
      <c r="D986" s="4" t="s">
        <v>24</v>
      </c>
      <c r="E986" s="4" t="s">
        <v>24</v>
      </c>
      <c r="F986" s="4" t="s">
        <v>25</v>
      </c>
      <c r="G986" s="4" t="s">
        <v>25</v>
      </c>
      <c r="H986" s="4" t="s">
        <v>25</v>
      </c>
      <c r="I986" s="5">
        <v>43922</v>
      </c>
      <c r="J986" s="6">
        <v>50</v>
      </c>
      <c r="K986" s="6">
        <v>50</v>
      </c>
      <c r="L986" s="6">
        <v>0</v>
      </c>
      <c r="M986" s="6">
        <v>0</v>
      </c>
      <c r="N986" s="6">
        <v>0</v>
      </c>
      <c r="O986" s="6">
        <v>0</v>
      </c>
      <c r="P986" s="6">
        <v>1</v>
      </c>
      <c r="Q986" s="4" t="s">
        <v>26</v>
      </c>
      <c r="R986" s="4">
        <v>0</v>
      </c>
      <c r="S986" s="6">
        <v>26</v>
      </c>
      <c r="T986" s="6">
        <v>0</v>
      </c>
      <c r="U986" s="6">
        <v>0</v>
      </c>
      <c r="V986" s="6">
        <f>IF(ISERROR(VLOOKUP($S$986,'TAR FIN'!$A$1:$O$120,15,0)),0,VLOOKUP($S$986,'TAR FIN'!$A$1:$O$120,15,0))</f>
        <v>8.81</v>
      </c>
      <c r="W986" s="6">
        <f>IF(ISERROR(VLOOKUP($T$986,'TAR FIN'!$A$1:$O$120,15,0)),0,VLOOKUP($T$986,'TAR FIN'!$A$1:$O$120,15,0))</f>
        <v>0</v>
      </c>
      <c r="X986" s="6">
        <f>IF(ISERROR(VLOOKUP($U$986,'TAR FIN'!$A$1:$O$120,15,0)),0,VLOOKUP($U$986,'TAR FIN'!$A$1:$O$120,15,0))</f>
        <v>0</v>
      </c>
      <c r="Y986" s="6">
        <f ca="1">('TUSD BE'!$AM$32+'TUSD BF'!$AM$32+'TUSD CVA'!$AM$32)*1</f>
        <v>11.452356648653195</v>
      </c>
      <c r="Z986" s="6"/>
      <c r="AA986" s="6"/>
      <c r="AB986" s="6">
        <f>$K$986*$V$986</f>
        <v>440.5</v>
      </c>
      <c r="AC986" s="6">
        <f>$M$986*$W$986</f>
        <v>0</v>
      </c>
      <c r="AD986" s="6">
        <f>$O$986*$X$986</f>
        <v>0</v>
      </c>
      <c r="AE986" s="6">
        <f ca="1">$K$986*$Y$986</f>
        <v>572.61783243265972</v>
      </c>
      <c r="AF986" s="6">
        <f>$M$986*$Z$986</f>
        <v>0</v>
      </c>
      <c r="AG986" s="6">
        <f>$O$986*$AA$986</f>
        <v>0</v>
      </c>
    </row>
    <row r="987" spans="1:33" ht="11.25" customHeight="1" x14ac:dyDescent="0.25">
      <c r="A987" s="4" t="s">
        <v>28</v>
      </c>
      <c r="B987" s="4" t="s">
        <v>33</v>
      </c>
      <c r="C987" s="4" t="s">
        <v>34</v>
      </c>
      <c r="D987" s="4" t="s">
        <v>24</v>
      </c>
      <c r="E987" s="4" t="s">
        <v>24</v>
      </c>
      <c r="F987" s="4" t="s">
        <v>25</v>
      </c>
      <c r="G987" s="4" t="s">
        <v>25</v>
      </c>
      <c r="H987" s="4" t="s">
        <v>25</v>
      </c>
      <c r="I987" s="5">
        <v>43922</v>
      </c>
      <c r="J987" s="6">
        <v>110</v>
      </c>
      <c r="K987" s="6">
        <v>110</v>
      </c>
      <c r="L987" s="6">
        <v>0</v>
      </c>
      <c r="M987" s="6">
        <v>0</v>
      </c>
      <c r="N987" s="6">
        <v>0</v>
      </c>
      <c r="O987" s="6">
        <v>0</v>
      </c>
      <c r="P987" s="6">
        <v>3</v>
      </c>
      <c r="Q987" s="4" t="s">
        <v>26</v>
      </c>
      <c r="R987" s="4">
        <v>0</v>
      </c>
      <c r="S987" s="6">
        <v>26</v>
      </c>
      <c r="T987" s="6">
        <v>0</v>
      </c>
      <c r="U987" s="6">
        <v>0</v>
      </c>
      <c r="V987" s="6">
        <f>IF(ISERROR(VLOOKUP($S$987,'TAR FIN'!$A$1:$O$120,15,0)),0,VLOOKUP($S$987,'TAR FIN'!$A$1:$O$120,15,0))</f>
        <v>8.81</v>
      </c>
      <c r="W987" s="6">
        <f>IF(ISERROR(VLOOKUP($T$987,'TAR FIN'!$A$1:$O$120,15,0)),0,VLOOKUP($T$987,'TAR FIN'!$A$1:$O$120,15,0))</f>
        <v>0</v>
      </c>
      <c r="X987" s="6">
        <f>IF(ISERROR(VLOOKUP($U$987,'TAR FIN'!$A$1:$O$120,15,0)),0,VLOOKUP($U$987,'TAR FIN'!$A$1:$O$120,15,0))</f>
        <v>0</v>
      </c>
      <c r="Y987" s="6">
        <f ca="1">('TUSD BE'!$AM$32+'TUSD BF'!$AM$32+'TUSD CVA'!$AM$32)*1</f>
        <v>11.452356648653195</v>
      </c>
      <c r="Z987" s="6"/>
      <c r="AA987" s="6"/>
      <c r="AB987" s="6">
        <f>$K$987*$V$987</f>
        <v>969.1</v>
      </c>
      <c r="AC987" s="6">
        <f>$M$987*$W$987</f>
        <v>0</v>
      </c>
      <c r="AD987" s="6">
        <f>$O$987*$X$987</f>
        <v>0</v>
      </c>
      <c r="AE987" s="6">
        <f ca="1">$K$987*$Y$987</f>
        <v>1259.7592313518514</v>
      </c>
      <c r="AF987" s="6">
        <f>$M$987*$Z$987</f>
        <v>0</v>
      </c>
      <c r="AG987" s="6">
        <f>$O$987*$AA$987</f>
        <v>0</v>
      </c>
    </row>
    <row r="988" spans="1:33" ht="11.25" customHeight="1" x14ac:dyDescent="0.25">
      <c r="A988" s="4" t="s">
        <v>21</v>
      </c>
      <c r="B988" s="4" t="s">
        <v>33</v>
      </c>
      <c r="C988" s="4" t="s">
        <v>34</v>
      </c>
      <c r="D988" s="4" t="s">
        <v>24</v>
      </c>
      <c r="E988" s="4" t="s">
        <v>24</v>
      </c>
      <c r="F988" s="4" t="s">
        <v>25</v>
      </c>
      <c r="G988" s="4" t="s">
        <v>25</v>
      </c>
      <c r="H988" s="4" t="s">
        <v>25</v>
      </c>
      <c r="I988" s="5">
        <v>43952</v>
      </c>
      <c r="J988" s="6">
        <v>1138</v>
      </c>
      <c r="K988" s="6">
        <v>1138</v>
      </c>
      <c r="L988" s="6">
        <v>0</v>
      </c>
      <c r="M988" s="6">
        <v>0</v>
      </c>
      <c r="N988" s="6">
        <v>0</v>
      </c>
      <c r="O988" s="6">
        <v>0</v>
      </c>
      <c r="P988" s="6">
        <v>24</v>
      </c>
      <c r="Q988" s="4" t="s">
        <v>26</v>
      </c>
      <c r="R988" s="4">
        <v>0</v>
      </c>
      <c r="S988" s="6">
        <v>26</v>
      </c>
      <c r="T988" s="6">
        <v>0</v>
      </c>
      <c r="U988" s="6">
        <v>0</v>
      </c>
      <c r="V988" s="6">
        <f>IF(ISERROR(VLOOKUP($S$988,'TAR FIN'!$A$1:$O$120,15,0)),0,VLOOKUP($S$988,'TAR FIN'!$A$1:$O$120,15,0))</f>
        <v>8.81</v>
      </c>
      <c r="W988" s="6">
        <f>IF(ISERROR(VLOOKUP($T$988,'TAR FIN'!$A$1:$O$120,15,0)),0,VLOOKUP($T$988,'TAR FIN'!$A$1:$O$120,15,0))</f>
        <v>0</v>
      </c>
      <c r="X988" s="6">
        <f>IF(ISERROR(VLOOKUP($U$988,'TAR FIN'!$A$1:$O$120,15,0)),0,VLOOKUP($U$988,'TAR FIN'!$A$1:$O$120,15,0))</f>
        <v>0</v>
      </c>
      <c r="Y988" s="6">
        <f ca="1">('TUSD BE'!$AM$32+'TUSD BF'!$AM$32+'TUSD CVA'!$AM$32)*1</f>
        <v>11.452356648653195</v>
      </c>
      <c r="Z988" s="6"/>
      <c r="AA988" s="6"/>
      <c r="AB988" s="6">
        <f>$K$988*$V$988</f>
        <v>10025.780000000001</v>
      </c>
      <c r="AC988" s="6">
        <f>$M$988*$W$988</f>
        <v>0</v>
      </c>
      <c r="AD988" s="6">
        <f>$O$988*$X$988</f>
        <v>0</v>
      </c>
      <c r="AE988" s="6">
        <f ca="1">$K$988*$Y$988</f>
        <v>13032.781866167335</v>
      </c>
      <c r="AF988" s="6">
        <f>$M$988*$Z$988</f>
        <v>0</v>
      </c>
      <c r="AG988" s="6">
        <f>$O$988*$AA$988</f>
        <v>0</v>
      </c>
    </row>
    <row r="989" spans="1:33" ht="11.25" customHeight="1" x14ac:dyDescent="0.25">
      <c r="A989" s="4" t="s">
        <v>27</v>
      </c>
      <c r="B989" s="4" t="s">
        <v>33</v>
      </c>
      <c r="C989" s="4" t="s">
        <v>34</v>
      </c>
      <c r="D989" s="4" t="s">
        <v>24</v>
      </c>
      <c r="E989" s="4" t="s">
        <v>24</v>
      </c>
      <c r="F989" s="4" t="s">
        <v>25</v>
      </c>
      <c r="G989" s="4" t="s">
        <v>25</v>
      </c>
      <c r="H989" s="4" t="s">
        <v>25</v>
      </c>
      <c r="I989" s="5">
        <v>43952</v>
      </c>
      <c r="J989" s="6">
        <v>50</v>
      </c>
      <c r="K989" s="6">
        <v>50</v>
      </c>
      <c r="L989" s="6">
        <v>0</v>
      </c>
      <c r="M989" s="6">
        <v>0</v>
      </c>
      <c r="N989" s="6">
        <v>0</v>
      </c>
      <c r="O989" s="6">
        <v>0</v>
      </c>
      <c r="P989" s="6">
        <v>1</v>
      </c>
      <c r="Q989" s="4" t="s">
        <v>26</v>
      </c>
      <c r="R989" s="4">
        <v>0</v>
      </c>
      <c r="S989" s="6">
        <v>26</v>
      </c>
      <c r="T989" s="6">
        <v>0</v>
      </c>
      <c r="U989" s="6">
        <v>0</v>
      </c>
      <c r="V989" s="6">
        <f>IF(ISERROR(VLOOKUP($S$989,'TAR FIN'!$A$1:$O$120,15,0)),0,VLOOKUP($S$989,'TAR FIN'!$A$1:$O$120,15,0))</f>
        <v>8.81</v>
      </c>
      <c r="W989" s="6">
        <f>IF(ISERROR(VLOOKUP($T$989,'TAR FIN'!$A$1:$O$120,15,0)),0,VLOOKUP($T$989,'TAR FIN'!$A$1:$O$120,15,0))</f>
        <v>0</v>
      </c>
      <c r="X989" s="6">
        <f>IF(ISERROR(VLOOKUP($U$989,'TAR FIN'!$A$1:$O$120,15,0)),0,VLOOKUP($U$989,'TAR FIN'!$A$1:$O$120,15,0))</f>
        <v>0</v>
      </c>
      <c r="Y989" s="6">
        <f ca="1">('TUSD BE'!$AM$32+'TUSD BF'!$AM$32+'TUSD CVA'!$AM$32)*1</f>
        <v>11.452356648653195</v>
      </c>
      <c r="Z989" s="6"/>
      <c r="AA989" s="6"/>
      <c r="AB989" s="6">
        <f>$K$989*$V$989</f>
        <v>440.5</v>
      </c>
      <c r="AC989" s="6">
        <f>$M$989*$W$989</f>
        <v>0</v>
      </c>
      <c r="AD989" s="6">
        <f>$O$989*$X$989</f>
        <v>0</v>
      </c>
      <c r="AE989" s="6">
        <f ca="1">$K$989*$Y$989</f>
        <v>572.61783243265972</v>
      </c>
      <c r="AF989" s="6">
        <f>$M$989*$Z$989</f>
        <v>0</v>
      </c>
      <c r="AG989" s="6">
        <f>$O$989*$AA$989</f>
        <v>0</v>
      </c>
    </row>
    <row r="990" spans="1:33" ht="11.25" customHeight="1" x14ac:dyDescent="0.25">
      <c r="A990" s="4" t="s">
        <v>28</v>
      </c>
      <c r="B990" s="4" t="s">
        <v>33</v>
      </c>
      <c r="C990" s="4" t="s">
        <v>34</v>
      </c>
      <c r="D990" s="4" t="s">
        <v>24</v>
      </c>
      <c r="E990" s="4" t="s">
        <v>24</v>
      </c>
      <c r="F990" s="4" t="s">
        <v>25</v>
      </c>
      <c r="G990" s="4" t="s">
        <v>25</v>
      </c>
      <c r="H990" s="4" t="s">
        <v>25</v>
      </c>
      <c r="I990" s="5">
        <v>43952</v>
      </c>
      <c r="J990" s="6">
        <v>110</v>
      </c>
      <c r="K990" s="6">
        <v>110</v>
      </c>
      <c r="L990" s="6">
        <v>0</v>
      </c>
      <c r="M990" s="6">
        <v>0</v>
      </c>
      <c r="N990" s="6">
        <v>0</v>
      </c>
      <c r="O990" s="6">
        <v>0</v>
      </c>
      <c r="P990" s="6">
        <v>3</v>
      </c>
      <c r="Q990" s="4" t="s">
        <v>26</v>
      </c>
      <c r="R990" s="4">
        <v>0</v>
      </c>
      <c r="S990" s="6">
        <v>26</v>
      </c>
      <c r="T990" s="6">
        <v>0</v>
      </c>
      <c r="U990" s="6">
        <v>0</v>
      </c>
      <c r="V990" s="6">
        <f>IF(ISERROR(VLOOKUP($S$990,'TAR FIN'!$A$1:$O$120,15,0)),0,VLOOKUP($S$990,'TAR FIN'!$A$1:$O$120,15,0))</f>
        <v>8.81</v>
      </c>
      <c r="W990" s="6">
        <f>IF(ISERROR(VLOOKUP($T$990,'TAR FIN'!$A$1:$O$120,15,0)),0,VLOOKUP($T$990,'TAR FIN'!$A$1:$O$120,15,0))</f>
        <v>0</v>
      </c>
      <c r="X990" s="6">
        <f>IF(ISERROR(VLOOKUP($U$990,'TAR FIN'!$A$1:$O$120,15,0)),0,VLOOKUP($U$990,'TAR FIN'!$A$1:$O$120,15,0))</f>
        <v>0</v>
      </c>
      <c r="Y990" s="6">
        <f ca="1">('TUSD BE'!$AM$32+'TUSD BF'!$AM$32+'TUSD CVA'!$AM$32)*1</f>
        <v>11.452356648653195</v>
      </c>
      <c r="Z990" s="6"/>
      <c r="AA990" s="6"/>
      <c r="AB990" s="6">
        <f>$K$990*$V$990</f>
        <v>969.1</v>
      </c>
      <c r="AC990" s="6">
        <f>$M$990*$W$990</f>
        <v>0</v>
      </c>
      <c r="AD990" s="6">
        <f>$O$990*$X$990</f>
        <v>0</v>
      </c>
      <c r="AE990" s="6">
        <f ca="1">$K$990*$Y$990</f>
        <v>1259.7592313518514</v>
      </c>
      <c r="AF990" s="6">
        <f>$M$990*$Z$990</f>
        <v>0</v>
      </c>
      <c r="AG990" s="6">
        <f>$O$990*$AA$990</f>
        <v>0</v>
      </c>
    </row>
    <row r="991" spans="1:33" ht="11.25" customHeight="1" x14ac:dyDescent="0.25">
      <c r="A991" s="4" t="s">
        <v>21</v>
      </c>
      <c r="B991" s="4" t="s">
        <v>33</v>
      </c>
      <c r="C991" s="4" t="s">
        <v>34</v>
      </c>
      <c r="D991" s="4" t="s">
        <v>24</v>
      </c>
      <c r="E991" s="4" t="s">
        <v>24</v>
      </c>
      <c r="F991" s="4" t="s">
        <v>25</v>
      </c>
      <c r="G991" s="4" t="s">
        <v>25</v>
      </c>
      <c r="H991" s="4" t="s">
        <v>25</v>
      </c>
      <c r="I991" s="5">
        <v>43983</v>
      </c>
      <c r="J991" s="6">
        <v>1142</v>
      </c>
      <c r="K991" s="6">
        <v>1142</v>
      </c>
      <c r="L991" s="6">
        <v>0</v>
      </c>
      <c r="M991" s="6">
        <v>0</v>
      </c>
      <c r="N991" s="6">
        <v>0</v>
      </c>
      <c r="O991" s="6">
        <v>0</v>
      </c>
      <c r="P991" s="6">
        <v>24</v>
      </c>
      <c r="Q991" s="4" t="s">
        <v>26</v>
      </c>
      <c r="R991" s="4">
        <v>0</v>
      </c>
      <c r="S991" s="6">
        <v>26</v>
      </c>
      <c r="T991" s="6">
        <v>0</v>
      </c>
      <c r="U991" s="6">
        <v>0</v>
      </c>
      <c r="V991" s="6">
        <f>IF(ISERROR(VLOOKUP($S$991,'TAR FIN'!$A$1:$O$120,15,0)),0,VLOOKUP($S$991,'TAR FIN'!$A$1:$O$120,15,0))</f>
        <v>8.81</v>
      </c>
      <c r="W991" s="6">
        <f>IF(ISERROR(VLOOKUP($T$991,'TAR FIN'!$A$1:$O$120,15,0)),0,VLOOKUP($T$991,'TAR FIN'!$A$1:$O$120,15,0))</f>
        <v>0</v>
      </c>
      <c r="X991" s="6">
        <f>IF(ISERROR(VLOOKUP($U$991,'TAR FIN'!$A$1:$O$120,15,0)),0,VLOOKUP($U$991,'TAR FIN'!$A$1:$O$120,15,0))</f>
        <v>0</v>
      </c>
      <c r="Y991" s="6">
        <f ca="1">('TUSD BE'!$AM$32+'TUSD BF'!$AM$32+'TUSD CVA'!$AM$32)*1</f>
        <v>11.452356648653195</v>
      </c>
      <c r="Z991" s="6"/>
      <c r="AA991" s="6"/>
      <c r="AB991" s="6">
        <f>$K$991*$V$991</f>
        <v>10061.02</v>
      </c>
      <c r="AC991" s="6">
        <f>$M$991*$W$991</f>
        <v>0</v>
      </c>
      <c r="AD991" s="6">
        <f>$O$991*$X$991</f>
        <v>0</v>
      </c>
      <c r="AE991" s="6">
        <f ca="1">$K$991*$Y$991</f>
        <v>13078.591292761948</v>
      </c>
      <c r="AF991" s="6">
        <f>$M$991*$Z$991</f>
        <v>0</v>
      </c>
      <c r="AG991" s="6">
        <f>$O$991*$AA$991</f>
        <v>0</v>
      </c>
    </row>
    <row r="992" spans="1:33" ht="11.25" customHeight="1" x14ac:dyDescent="0.25">
      <c r="A992" s="4" t="s">
        <v>27</v>
      </c>
      <c r="B992" s="4" t="s">
        <v>33</v>
      </c>
      <c r="C992" s="4" t="s">
        <v>34</v>
      </c>
      <c r="D992" s="4" t="s">
        <v>24</v>
      </c>
      <c r="E992" s="4" t="s">
        <v>24</v>
      </c>
      <c r="F992" s="4" t="s">
        <v>25</v>
      </c>
      <c r="G992" s="4" t="s">
        <v>25</v>
      </c>
      <c r="H992" s="4" t="s">
        <v>25</v>
      </c>
      <c r="I992" s="5">
        <v>43983</v>
      </c>
      <c r="J992" s="6">
        <v>50</v>
      </c>
      <c r="K992" s="6">
        <v>50</v>
      </c>
      <c r="L992" s="6">
        <v>0</v>
      </c>
      <c r="M992" s="6">
        <v>0</v>
      </c>
      <c r="N992" s="6">
        <v>0</v>
      </c>
      <c r="O992" s="6">
        <v>0</v>
      </c>
      <c r="P992" s="6">
        <v>1</v>
      </c>
      <c r="Q992" s="4" t="s">
        <v>26</v>
      </c>
      <c r="R992" s="4">
        <v>0</v>
      </c>
      <c r="S992" s="6">
        <v>26</v>
      </c>
      <c r="T992" s="6">
        <v>0</v>
      </c>
      <c r="U992" s="6">
        <v>0</v>
      </c>
      <c r="V992" s="6">
        <f>IF(ISERROR(VLOOKUP($S$992,'TAR FIN'!$A$1:$O$120,15,0)),0,VLOOKUP($S$992,'TAR FIN'!$A$1:$O$120,15,0))</f>
        <v>8.81</v>
      </c>
      <c r="W992" s="6">
        <f>IF(ISERROR(VLOOKUP($T$992,'TAR FIN'!$A$1:$O$120,15,0)),0,VLOOKUP($T$992,'TAR FIN'!$A$1:$O$120,15,0))</f>
        <v>0</v>
      </c>
      <c r="X992" s="6">
        <f>IF(ISERROR(VLOOKUP($U$992,'TAR FIN'!$A$1:$O$120,15,0)),0,VLOOKUP($U$992,'TAR FIN'!$A$1:$O$120,15,0))</f>
        <v>0</v>
      </c>
      <c r="Y992" s="6">
        <f ca="1">('TUSD BE'!$AM$32+'TUSD BF'!$AM$32+'TUSD CVA'!$AM$32)*1</f>
        <v>11.452356648653195</v>
      </c>
      <c r="Z992" s="6"/>
      <c r="AA992" s="6"/>
      <c r="AB992" s="6">
        <f>$K$992*$V$992</f>
        <v>440.5</v>
      </c>
      <c r="AC992" s="6">
        <f>$M$992*$W$992</f>
        <v>0</v>
      </c>
      <c r="AD992" s="6">
        <f>$O$992*$X$992</f>
        <v>0</v>
      </c>
      <c r="AE992" s="6">
        <f ca="1">$K$992*$Y$992</f>
        <v>572.61783243265972</v>
      </c>
      <c r="AF992" s="6">
        <f>$M$992*$Z$992</f>
        <v>0</v>
      </c>
      <c r="AG992" s="6">
        <f>$O$992*$AA$992</f>
        <v>0</v>
      </c>
    </row>
    <row r="993" spans="1:33" ht="11.25" customHeight="1" x14ac:dyDescent="0.25">
      <c r="A993" s="4" t="s">
        <v>28</v>
      </c>
      <c r="B993" s="4" t="s">
        <v>33</v>
      </c>
      <c r="C993" s="4" t="s">
        <v>34</v>
      </c>
      <c r="D993" s="4" t="s">
        <v>24</v>
      </c>
      <c r="E993" s="4" t="s">
        <v>24</v>
      </c>
      <c r="F993" s="4" t="s">
        <v>25</v>
      </c>
      <c r="G993" s="4" t="s">
        <v>25</v>
      </c>
      <c r="H993" s="4" t="s">
        <v>25</v>
      </c>
      <c r="I993" s="5">
        <v>43983</v>
      </c>
      <c r="J993" s="6">
        <v>110</v>
      </c>
      <c r="K993" s="6">
        <v>110</v>
      </c>
      <c r="L993" s="6">
        <v>0</v>
      </c>
      <c r="M993" s="6">
        <v>0</v>
      </c>
      <c r="N993" s="6">
        <v>0</v>
      </c>
      <c r="O993" s="6">
        <v>0</v>
      </c>
      <c r="P993" s="6">
        <v>3</v>
      </c>
      <c r="Q993" s="4" t="s">
        <v>26</v>
      </c>
      <c r="R993" s="4">
        <v>0</v>
      </c>
      <c r="S993" s="6">
        <v>26</v>
      </c>
      <c r="T993" s="6">
        <v>0</v>
      </c>
      <c r="U993" s="6">
        <v>0</v>
      </c>
      <c r="V993" s="6">
        <f>IF(ISERROR(VLOOKUP($S$993,'TAR FIN'!$A$1:$O$120,15,0)),0,VLOOKUP($S$993,'TAR FIN'!$A$1:$O$120,15,0))</f>
        <v>8.81</v>
      </c>
      <c r="W993" s="6">
        <f>IF(ISERROR(VLOOKUP($T$993,'TAR FIN'!$A$1:$O$120,15,0)),0,VLOOKUP($T$993,'TAR FIN'!$A$1:$O$120,15,0))</f>
        <v>0</v>
      </c>
      <c r="X993" s="6">
        <f>IF(ISERROR(VLOOKUP($U$993,'TAR FIN'!$A$1:$O$120,15,0)),0,VLOOKUP($U$993,'TAR FIN'!$A$1:$O$120,15,0))</f>
        <v>0</v>
      </c>
      <c r="Y993" s="6">
        <f ca="1">('TUSD BE'!$AM$32+'TUSD BF'!$AM$32+'TUSD CVA'!$AM$32)*1</f>
        <v>11.452356648653195</v>
      </c>
      <c r="Z993" s="6"/>
      <c r="AA993" s="6"/>
      <c r="AB993" s="6">
        <f>$K$993*$V$993</f>
        <v>969.1</v>
      </c>
      <c r="AC993" s="6">
        <f>$M$993*$W$993</f>
        <v>0</v>
      </c>
      <c r="AD993" s="6">
        <f>$O$993*$X$993</f>
        <v>0</v>
      </c>
      <c r="AE993" s="6">
        <f ca="1">$K$993*$Y$993</f>
        <v>1259.7592313518514</v>
      </c>
      <c r="AF993" s="6">
        <f>$M$993*$Z$993</f>
        <v>0</v>
      </c>
      <c r="AG993" s="6">
        <f>$O$993*$AA$993</f>
        <v>0</v>
      </c>
    </row>
    <row r="994" spans="1:33" ht="11.25" customHeight="1" x14ac:dyDescent="0.25">
      <c r="A994" s="4" t="s">
        <v>21</v>
      </c>
      <c r="B994" s="4" t="s">
        <v>33</v>
      </c>
      <c r="C994" s="4" t="s">
        <v>34</v>
      </c>
      <c r="D994" s="4" t="s">
        <v>24</v>
      </c>
      <c r="E994" s="4" t="s">
        <v>24</v>
      </c>
      <c r="F994" s="4" t="s">
        <v>25</v>
      </c>
      <c r="G994" s="4" t="s">
        <v>25</v>
      </c>
      <c r="H994" s="4" t="s">
        <v>25</v>
      </c>
      <c r="I994" s="5">
        <v>44013</v>
      </c>
      <c r="J994" s="6">
        <v>1142</v>
      </c>
      <c r="K994" s="6">
        <v>1142</v>
      </c>
      <c r="L994" s="6">
        <v>0</v>
      </c>
      <c r="M994" s="6">
        <v>0</v>
      </c>
      <c r="N994" s="6">
        <v>0</v>
      </c>
      <c r="O994" s="6">
        <v>0</v>
      </c>
      <c r="P994" s="6">
        <v>24</v>
      </c>
      <c r="Q994" s="4" t="s">
        <v>26</v>
      </c>
      <c r="R994" s="4">
        <v>0</v>
      </c>
      <c r="S994" s="6">
        <v>26</v>
      </c>
      <c r="T994" s="6">
        <v>0</v>
      </c>
      <c r="U994" s="6">
        <v>0</v>
      </c>
      <c r="V994" s="6">
        <f>IF(ISERROR(VLOOKUP($S$994,'TAR FIN'!$A$1:$O$120,15,0)),0,VLOOKUP($S$994,'TAR FIN'!$A$1:$O$120,15,0))</f>
        <v>8.81</v>
      </c>
      <c r="W994" s="6">
        <f>IF(ISERROR(VLOOKUP($T$994,'TAR FIN'!$A$1:$O$120,15,0)),0,VLOOKUP($T$994,'TAR FIN'!$A$1:$O$120,15,0))</f>
        <v>0</v>
      </c>
      <c r="X994" s="6">
        <f>IF(ISERROR(VLOOKUP($U$994,'TAR FIN'!$A$1:$O$120,15,0)),0,VLOOKUP($U$994,'TAR FIN'!$A$1:$O$120,15,0))</f>
        <v>0</v>
      </c>
      <c r="Y994" s="6">
        <f ca="1">('TUSD BE'!$AM$32+'TUSD BF'!$AM$32+'TUSD CVA'!$AM$32)*1</f>
        <v>11.452356648653195</v>
      </c>
      <c r="Z994" s="6"/>
      <c r="AA994" s="6"/>
      <c r="AB994" s="6">
        <f>$K$994*$V$994</f>
        <v>10061.02</v>
      </c>
      <c r="AC994" s="6">
        <f>$M$994*$W$994</f>
        <v>0</v>
      </c>
      <c r="AD994" s="6">
        <f>$O$994*$X$994</f>
        <v>0</v>
      </c>
      <c r="AE994" s="6">
        <f ca="1">$K$994*$Y$994</f>
        <v>13078.591292761948</v>
      </c>
      <c r="AF994" s="6">
        <f>$M$994*$Z$994</f>
        <v>0</v>
      </c>
      <c r="AG994" s="6">
        <f>$O$994*$AA$994</f>
        <v>0</v>
      </c>
    </row>
    <row r="995" spans="1:33" ht="11.25" customHeight="1" x14ac:dyDescent="0.25">
      <c r="A995" s="4" t="s">
        <v>27</v>
      </c>
      <c r="B995" s="4" t="s">
        <v>33</v>
      </c>
      <c r="C995" s="4" t="s">
        <v>34</v>
      </c>
      <c r="D995" s="4" t="s">
        <v>24</v>
      </c>
      <c r="E995" s="4" t="s">
        <v>24</v>
      </c>
      <c r="F995" s="4" t="s">
        <v>25</v>
      </c>
      <c r="G995" s="4" t="s">
        <v>25</v>
      </c>
      <c r="H995" s="4" t="s">
        <v>25</v>
      </c>
      <c r="I995" s="5">
        <v>44013</v>
      </c>
      <c r="J995" s="6">
        <v>50</v>
      </c>
      <c r="K995" s="6">
        <v>50</v>
      </c>
      <c r="L995" s="6">
        <v>0</v>
      </c>
      <c r="M995" s="6">
        <v>0</v>
      </c>
      <c r="N995" s="6">
        <v>0</v>
      </c>
      <c r="O995" s="6">
        <v>0</v>
      </c>
      <c r="P995" s="6">
        <v>1</v>
      </c>
      <c r="Q995" s="4" t="s">
        <v>26</v>
      </c>
      <c r="R995" s="4">
        <v>0</v>
      </c>
      <c r="S995" s="6">
        <v>26</v>
      </c>
      <c r="T995" s="6">
        <v>0</v>
      </c>
      <c r="U995" s="6">
        <v>0</v>
      </c>
      <c r="V995" s="6">
        <f>IF(ISERROR(VLOOKUP($S$995,'TAR FIN'!$A$1:$O$120,15,0)),0,VLOOKUP($S$995,'TAR FIN'!$A$1:$O$120,15,0))</f>
        <v>8.81</v>
      </c>
      <c r="W995" s="6">
        <f>IF(ISERROR(VLOOKUP($T$995,'TAR FIN'!$A$1:$O$120,15,0)),0,VLOOKUP($T$995,'TAR FIN'!$A$1:$O$120,15,0))</f>
        <v>0</v>
      </c>
      <c r="X995" s="6">
        <f>IF(ISERROR(VLOOKUP($U$995,'TAR FIN'!$A$1:$O$120,15,0)),0,VLOOKUP($U$995,'TAR FIN'!$A$1:$O$120,15,0))</f>
        <v>0</v>
      </c>
      <c r="Y995" s="6">
        <f ca="1">('TUSD BE'!$AM$32+'TUSD BF'!$AM$32+'TUSD CVA'!$AM$32)*1</f>
        <v>11.452356648653195</v>
      </c>
      <c r="Z995" s="6"/>
      <c r="AA995" s="6"/>
      <c r="AB995" s="6">
        <f>$K$995*$V$995</f>
        <v>440.5</v>
      </c>
      <c r="AC995" s="6">
        <f>$M$995*$W$995</f>
        <v>0</v>
      </c>
      <c r="AD995" s="6">
        <f>$O$995*$X$995</f>
        <v>0</v>
      </c>
      <c r="AE995" s="6">
        <f ca="1">$K$995*$Y$995</f>
        <v>572.61783243265972</v>
      </c>
      <c r="AF995" s="6">
        <f>$M$995*$Z$995</f>
        <v>0</v>
      </c>
      <c r="AG995" s="6">
        <f>$O$995*$AA$995</f>
        <v>0</v>
      </c>
    </row>
    <row r="996" spans="1:33" ht="11.25" customHeight="1" x14ac:dyDescent="0.25">
      <c r="A996" s="4" t="s">
        <v>28</v>
      </c>
      <c r="B996" s="4" t="s">
        <v>33</v>
      </c>
      <c r="C996" s="4" t="s">
        <v>34</v>
      </c>
      <c r="D996" s="4" t="s">
        <v>24</v>
      </c>
      <c r="E996" s="4" t="s">
        <v>24</v>
      </c>
      <c r="F996" s="4" t="s">
        <v>25</v>
      </c>
      <c r="G996" s="4" t="s">
        <v>25</v>
      </c>
      <c r="H996" s="4" t="s">
        <v>25</v>
      </c>
      <c r="I996" s="5">
        <v>44013</v>
      </c>
      <c r="J996" s="6">
        <v>110</v>
      </c>
      <c r="K996" s="6">
        <v>110</v>
      </c>
      <c r="L996" s="6">
        <v>0</v>
      </c>
      <c r="M996" s="6">
        <v>0</v>
      </c>
      <c r="N996" s="6">
        <v>0</v>
      </c>
      <c r="O996" s="6">
        <v>0</v>
      </c>
      <c r="P996" s="6">
        <v>3</v>
      </c>
      <c r="Q996" s="4" t="s">
        <v>26</v>
      </c>
      <c r="R996" s="4">
        <v>0</v>
      </c>
      <c r="S996" s="6">
        <v>26</v>
      </c>
      <c r="T996" s="6">
        <v>0</v>
      </c>
      <c r="U996" s="6">
        <v>0</v>
      </c>
      <c r="V996" s="6">
        <f>IF(ISERROR(VLOOKUP($S$996,'TAR FIN'!$A$1:$O$120,15,0)),0,VLOOKUP($S$996,'TAR FIN'!$A$1:$O$120,15,0))</f>
        <v>8.81</v>
      </c>
      <c r="W996" s="6">
        <f>IF(ISERROR(VLOOKUP($T$996,'TAR FIN'!$A$1:$O$120,15,0)),0,VLOOKUP($T$996,'TAR FIN'!$A$1:$O$120,15,0))</f>
        <v>0</v>
      </c>
      <c r="X996" s="6">
        <f>IF(ISERROR(VLOOKUP($U$996,'TAR FIN'!$A$1:$O$120,15,0)),0,VLOOKUP($U$996,'TAR FIN'!$A$1:$O$120,15,0))</f>
        <v>0</v>
      </c>
      <c r="Y996" s="6">
        <f ca="1">('TUSD BE'!$AM$32+'TUSD BF'!$AM$32+'TUSD CVA'!$AM$32)*1</f>
        <v>11.452356648653195</v>
      </c>
      <c r="Z996" s="6"/>
      <c r="AA996" s="6"/>
      <c r="AB996" s="6">
        <f>$K$996*$V$996</f>
        <v>969.1</v>
      </c>
      <c r="AC996" s="6">
        <f>$M$996*$W$996</f>
        <v>0</v>
      </c>
      <c r="AD996" s="6">
        <f>$O$996*$X$996</f>
        <v>0</v>
      </c>
      <c r="AE996" s="6">
        <f ca="1">$K$996*$Y$996</f>
        <v>1259.7592313518514</v>
      </c>
      <c r="AF996" s="6">
        <f>$M$996*$Z$996</f>
        <v>0</v>
      </c>
      <c r="AG996" s="6">
        <f>$O$996*$AA$996</f>
        <v>0</v>
      </c>
    </row>
    <row r="997" spans="1:33" ht="11.25" customHeight="1" x14ac:dyDescent="0.25">
      <c r="A997" s="4" t="s">
        <v>21</v>
      </c>
      <c r="B997" s="4" t="s">
        <v>33</v>
      </c>
      <c r="C997" s="4" t="s">
        <v>34</v>
      </c>
      <c r="D997" s="4" t="s">
        <v>24</v>
      </c>
      <c r="E997" s="4" t="s">
        <v>24</v>
      </c>
      <c r="F997" s="4" t="s">
        <v>25</v>
      </c>
      <c r="G997" s="4" t="s">
        <v>25</v>
      </c>
      <c r="H997" s="4" t="s">
        <v>25</v>
      </c>
      <c r="I997" s="5">
        <v>44044</v>
      </c>
      <c r="J997" s="6">
        <v>1189</v>
      </c>
      <c r="K997" s="6">
        <v>1189</v>
      </c>
      <c r="L997" s="6">
        <v>0</v>
      </c>
      <c r="M997" s="6">
        <v>0</v>
      </c>
      <c r="N997" s="6">
        <v>0</v>
      </c>
      <c r="O997" s="6">
        <v>0</v>
      </c>
      <c r="P997" s="6">
        <v>25</v>
      </c>
      <c r="Q997" s="4" t="s">
        <v>26</v>
      </c>
      <c r="R997" s="4">
        <v>0</v>
      </c>
      <c r="S997" s="6">
        <v>26</v>
      </c>
      <c r="T997" s="6">
        <v>0</v>
      </c>
      <c r="U997" s="6">
        <v>0</v>
      </c>
      <c r="V997" s="6">
        <f>IF(ISERROR(VLOOKUP($S$997,'TAR FIN'!$A$1:$O$120,15,0)),0,VLOOKUP($S$997,'TAR FIN'!$A$1:$O$120,15,0))</f>
        <v>8.81</v>
      </c>
      <c r="W997" s="6">
        <f>IF(ISERROR(VLOOKUP($T$997,'TAR FIN'!$A$1:$O$120,15,0)),0,VLOOKUP($T$997,'TAR FIN'!$A$1:$O$120,15,0))</f>
        <v>0</v>
      </c>
      <c r="X997" s="6">
        <f>IF(ISERROR(VLOOKUP($U$997,'TAR FIN'!$A$1:$O$120,15,0)),0,VLOOKUP($U$997,'TAR FIN'!$A$1:$O$120,15,0))</f>
        <v>0</v>
      </c>
      <c r="Y997" s="6">
        <f ca="1">('TUSD BE'!$AM$32+'TUSD BF'!$AM$32+'TUSD CVA'!$AM$32)*1</f>
        <v>11.452356648653195</v>
      </c>
      <c r="Z997" s="6"/>
      <c r="AA997" s="6"/>
      <c r="AB997" s="6">
        <f>$K$997*$V$997</f>
        <v>10475.09</v>
      </c>
      <c r="AC997" s="6">
        <f>$M$997*$W$997</f>
        <v>0</v>
      </c>
      <c r="AD997" s="6">
        <f>$O$997*$X$997</f>
        <v>0</v>
      </c>
      <c r="AE997" s="6">
        <f ca="1">$K$997*$Y$997</f>
        <v>13616.85205524865</v>
      </c>
      <c r="AF997" s="6">
        <f>$M$997*$Z$997</f>
        <v>0</v>
      </c>
      <c r="AG997" s="6">
        <f>$O$997*$AA$997</f>
        <v>0</v>
      </c>
    </row>
    <row r="998" spans="1:33" ht="11.25" customHeight="1" x14ac:dyDescent="0.25">
      <c r="A998" s="4" t="s">
        <v>28</v>
      </c>
      <c r="B998" s="4" t="s">
        <v>33</v>
      </c>
      <c r="C998" s="4" t="s">
        <v>34</v>
      </c>
      <c r="D998" s="4" t="s">
        <v>24</v>
      </c>
      <c r="E998" s="4" t="s">
        <v>24</v>
      </c>
      <c r="F998" s="4" t="s">
        <v>25</v>
      </c>
      <c r="G998" s="4" t="s">
        <v>25</v>
      </c>
      <c r="H998" s="4" t="s">
        <v>25</v>
      </c>
      <c r="I998" s="5">
        <v>44044</v>
      </c>
      <c r="J998" s="6">
        <v>110</v>
      </c>
      <c r="K998" s="6">
        <v>110</v>
      </c>
      <c r="L998" s="6">
        <v>0</v>
      </c>
      <c r="M998" s="6">
        <v>0</v>
      </c>
      <c r="N998" s="6">
        <v>0</v>
      </c>
      <c r="O998" s="6">
        <v>0</v>
      </c>
      <c r="P998" s="6">
        <v>3</v>
      </c>
      <c r="Q998" s="4" t="s">
        <v>26</v>
      </c>
      <c r="R998" s="4">
        <v>0</v>
      </c>
      <c r="S998" s="6">
        <v>26</v>
      </c>
      <c r="T998" s="6">
        <v>0</v>
      </c>
      <c r="U998" s="6">
        <v>0</v>
      </c>
      <c r="V998" s="6">
        <f>IF(ISERROR(VLOOKUP($S$998,'TAR FIN'!$A$1:$O$120,15,0)),0,VLOOKUP($S$998,'TAR FIN'!$A$1:$O$120,15,0))</f>
        <v>8.81</v>
      </c>
      <c r="W998" s="6">
        <f>IF(ISERROR(VLOOKUP($T$998,'TAR FIN'!$A$1:$O$120,15,0)),0,VLOOKUP($T$998,'TAR FIN'!$A$1:$O$120,15,0))</f>
        <v>0</v>
      </c>
      <c r="X998" s="6">
        <f>IF(ISERROR(VLOOKUP($U$998,'TAR FIN'!$A$1:$O$120,15,0)),0,VLOOKUP($U$998,'TAR FIN'!$A$1:$O$120,15,0))</f>
        <v>0</v>
      </c>
      <c r="Y998" s="6">
        <f ca="1">('TUSD BE'!$AM$32+'TUSD BF'!$AM$32+'TUSD CVA'!$AM$32)*1</f>
        <v>11.452356648653195</v>
      </c>
      <c r="Z998" s="6"/>
      <c r="AA998" s="6"/>
      <c r="AB998" s="6">
        <f>$K$998*$V$998</f>
        <v>969.1</v>
      </c>
      <c r="AC998" s="6">
        <f>$M$998*$W$998</f>
        <v>0</v>
      </c>
      <c r="AD998" s="6">
        <f>$O$998*$X$998</f>
        <v>0</v>
      </c>
      <c r="AE998" s="6">
        <f ca="1">$K$998*$Y$998</f>
        <v>1259.7592313518514</v>
      </c>
      <c r="AF998" s="6">
        <f>$M$998*$Z$998</f>
        <v>0</v>
      </c>
      <c r="AG998" s="6">
        <f>$O$998*$AA$998</f>
        <v>0</v>
      </c>
    </row>
    <row r="999" spans="1:33" ht="11.25" customHeight="1" x14ac:dyDescent="0.25">
      <c r="A999" s="4" t="s">
        <v>59</v>
      </c>
      <c r="B999" s="4" t="s">
        <v>33</v>
      </c>
      <c r="C999" s="4" t="s">
        <v>34</v>
      </c>
      <c r="D999" s="4" t="s">
        <v>24</v>
      </c>
      <c r="E999" s="4" t="s">
        <v>24</v>
      </c>
      <c r="F999" s="4" t="s">
        <v>25</v>
      </c>
      <c r="G999" s="4" t="s">
        <v>25</v>
      </c>
      <c r="H999" s="4" t="s">
        <v>25</v>
      </c>
      <c r="I999" s="5">
        <v>44075</v>
      </c>
      <c r="J999" s="6">
        <v>1189</v>
      </c>
      <c r="K999" s="6">
        <v>1189</v>
      </c>
      <c r="L999" s="6">
        <v>0</v>
      </c>
      <c r="M999" s="6">
        <v>0</v>
      </c>
      <c r="N999" s="6">
        <v>0</v>
      </c>
      <c r="O999" s="6">
        <v>0</v>
      </c>
      <c r="P999" s="6">
        <v>25</v>
      </c>
      <c r="Q999" s="4" t="s">
        <v>26</v>
      </c>
      <c r="R999" s="4">
        <v>0</v>
      </c>
      <c r="S999" s="6">
        <v>26</v>
      </c>
      <c r="T999" s="6">
        <v>0</v>
      </c>
      <c r="U999" s="6">
        <v>0</v>
      </c>
      <c r="V999" s="6">
        <f>IF(ISERROR(VLOOKUP($S$999,'TAR FIN'!$A$1:$O$120,15,0)),0,VLOOKUP($S$999,'TAR FIN'!$A$1:$O$120,15,0))</f>
        <v>8.81</v>
      </c>
      <c r="W999" s="6">
        <f>IF(ISERROR(VLOOKUP($T$999,'TAR FIN'!$A$1:$O$120,15,0)),0,VLOOKUP($T$999,'TAR FIN'!$A$1:$O$120,15,0))</f>
        <v>0</v>
      </c>
      <c r="X999" s="6">
        <f>IF(ISERROR(VLOOKUP($U$999,'TAR FIN'!$A$1:$O$120,15,0)),0,VLOOKUP($U$999,'TAR FIN'!$A$1:$O$120,15,0))</f>
        <v>0</v>
      </c>
      <c r="Y999" s="6">
        <f ca="1">('TUSD BE'!$AM$32+'TUSD BF'!$AM$32+'TUSD CVA'!$AM$32)*1</f>
        <v>11.452356648653195</v>
      </c>
      <c r="Z999" s="6"/>
      <c r="AA999" s="6"/>
      <c r="AB999" s="6">
        <f>$K$999*$V$999</f>
        <v>10475.09</v>
      </c>
      <c r="AC999" s="6">
        <f>$M$999*$W$999</f>
        <v>0</v>
      </c>
      <c r="AD999" s="6">
        <f>$O$999*$X$999</f>
        <v>0</v>
      </c>
      <c r="AE999" s="6">
        <f ca="1">$K$999*$Y$999</f>
        <v>13616.85205524865</v>
      </c>
      <c r="AF999" s="6">
        <f>$M$999*$Z$999</f>
        <v>0</v>
      </c>
      <c r="AG999" s="6">
        <f>$O$999*$AA$999</f>
        <v>0</v>
      </c>
    </row>
    <row r="1000" spans="1:33" ht="11.25" customHeight="1" x14ac:dyDescent="0.25">
      <c r="A1000" s="4" t="s">
        <v>59</v>
      </c>
      <c r="B1000" s="4" t="s">
        <v>33</v>
      </c>
      <c r="C1000" s="4" t="s">
        <v>34</v>
      </c>
      <c r="D1000" s="4" t="s">
        <v>24</v>
      </c>
      <c r="E1000" s="4" t="s">
        <v>24</v>
      </c>
      <c r="F1000" s="4" t="s">
        <v>25</v>
      </c>
      <c r="G1000" s="4" t="s">
        <v>25</v>
      </c>
      <c r="H1000" s="4" t="s">
        <v>25</v>
      </c>
      <c r="I1000" s="5">
        <v>44075</v>
      </c>
      <c r="J1000" s="6">
        <v>110</v>
      </c>
      <c r="K1000" s="6">
        <v>110</v>
      </c>
      <c r="L1000" s="6">
        <v>0</v>
      </c>
      <c r="M1000" s="6">
        <v>0</v>
      </c>
      <c r="N1000" s="6">
        <v>0</v>
      </c>
      <c r="O1000" s="6">
        <v>0</v>
      </c>
      <c r="P1000" s="6">
        <v>3</v>
      </c>
      <c r="Q1000" s="4" t="s">
        <v>26</v>
      </c>
      <c r="R1000" s="4">
        <v>0</v>
      </c>
      <c r="S1000" s="6">
        <v>26</v>
      </c>
      <c r="T1000" s="6">
        <v>0</v>
      </c>
      <c r="U1000" s="6">
        <v>0</v>
      </c>
      <c r="V1000" s="6">
        <f>IF(ISERROR(VLOOKUP($S$1000,'TAR FIN'!$A$1:$O$120,15,0)),0,VLOOKUP($S$1000,'TAR FIN'!$A$1:$O$120,15,0))</f>
        <v>8.81</v>
      </c>
      <c r="W1000" s="6">
        <f>IF(ISERROR(VLOOKUP($T$1000,'TAR FIN'!$A$1:$O$120,15,0)),0,VLOOKUP($T$1000,'TAR FIN'!$A$1:$O$120,15,0))</f>
        <v>0</v>
      </c>
      <c r="X1000" s="6">
        <f>IF(ISERROR(VLOOKUP($U$1000,'TAR FIN'!$A$1:$O$120,15,0)),0,VLOOKUP($U$1000,'TAR FIN'!$A$1:$O$120,15,0))</f>
        <v>0</v>
      </c>
      <c r="Y1000" s="6">
        <f ca="1">('TUSD BE'!$AM$32+'TUSD BF'!$AM$32+'TUSD CVA'!$AM$32)*1</f>
        <v>11.452356648653195</v>
      </c>
      <c r="Z1000" s="6"/>
      <c r="AA1000" s="6"/>
      <c r="AB1000" s="6">
        <f>$K$1000*$V$1000</f>
        <v>969.1</v>
      </c>
      <c r="AC1000" s="6">
        <f>$M$1000*$W$1000</f>
        <v>0</v>
      </c>
      <c r="AD1000" s="6">
        <f>$O$1000*$X$1000</f>
        <v>0</v>
      </c>
      <c r="AE1000" s="6">
        <f ca="1">$K$1000*$Y$1000</f>
        <v>1259.7592313518514</v>
      </c>
      <c r="AF1000" s="6">
        <f>$M$1000*$Z$1000</f>
        <v>0</v>
      </c>
      <c r="AG1000" s="6">
        <f>$O$1000*$AA$1000</f>
        <v>0</v>
      </c>
    </row>
    <row r="1001" spans="1:33" ht="11.25" customHeight="1" x14ac:dyDescent="0.25">
      <c r="A1001" s="4" t="s">
        <v>21</v>
      </c>
      <c r="B1001" s="4" t="s">
        <v>33</v>
      </c>
      <c r="C1001" s="4" t="s">
        <v>34</v>
      </c>
      <c r="D1001" s="4" t="s">
        <v>24</v>
      </c>
      <c r="E1001" s="4" t="s">
        <v>24</v>
      </c>
      <c r="F1001" s="4" t="s">
        <v>25</v>
      </c>
      <c r="G1001" s="4" t="s">
        <v>25</v>
      </c>
      <c r="H1001" s="4" t="s">
        <v>35</v>
      </c>
      <c r="I1001" s="5">
        <v>43739</v>
      </c>
      <c r="J1001" s="6">
        <v>0</v>
      </c>
      <c r="K1001" s="6">
        <v>0</v>
      </c>
      <c r="L1001" s="6">
        <v>13.86</v>
      </c>
      <c r="M1001" s="6">
        <v>13.86</v>
      </c>
      <c r="N1001" s="6">
        <v>13.86</v>
      </c>
      <c r="O1001" s="6">
        <v>13.86</v>
      </c>
      <c r="P1001" s="6">
        <v>0</v>
      </c>
      <c r="Q1001" s="4" t="s">
        <v>26</v>
      </c>
      <c r="R1001" s="4">
        <v>0</v>
      </c>
      <c r="S1001" s="6">
        <v>0</v>
      </c>
      <c r="T1001" s="6">
        <v>27</v>
      </c>
      <c r="U1001" s="6">
        <v>81</v>
      </c>
      <c r="V1001" s="6">
        <f>IF(ISERROR(VLOOKUP($S$1001,'TAR FIN'!$A$1:$O$120,15,0)),0,VLOOKUP($S$1001,'TAR FIN'!$A$1:$O$120,15,0))</f>
        <v>0</v>
      </c>
      <c r="W1001" s="6">
        <f>IF(ISERROR(VLOOKUP($T$1001,'TAR FIN'!$A$1:$O$120,15,0)),0,VLOOKUP($T$1001,'TAR FIN'!$A$1:$O$120,15,0))</f>
        <v>641.99</v>
      </c>
      <c r="X1001" s="6">
        <f>IF(ISERROR(VLOOKUP($U$1001,'TAR FIN'!$A$1:$O$120,15,0)),0,VLOOKUP($U$1001,'TAR FIN'!$A$1:$O$120,15,0))</f>
        <v>430.87</v>
      </c>
      <c r="Y1001" s="6"/>
      <c r="Z1001" s="6">
        <f ca="1">('TUSD BE'!$AM$33+'TUSD BF'!$AM$33+'TUSD CVA'!$AM$33)*1</f>
        <v>747.73363518028248</v>
      </c>
      <c r="AA1001" s="6">
        <f>('TE BE'!$AA$10+'TE BF'!$AA$10+'TE CVA'!$AA$10)*1</f>
        <v>375.69180268700768</v>
      </c>
      <c r="AB1001" s="6">
        <f>$K$1001*$V$1001</f>
        <v>0</v>
      </c>
      <c r="AC1001" s="6">
        <f>$M$1001*$W$1001</f>
        <v>8897.9814000000006</v>
      </c>
      <c r="AD1001" s="6">
        <f>$O$1001*$X$1001</f>
        <v>5971.8581999999997</v>
      </c>
      <c r="AE1001" s="6">
        <f>$K$1001*$Y$1001</f>
        <v>0</v>
      </c>
      <c r="AF1001" s="6">
        <f ca="1">$M$1001*$Z$1001</f>
        <v>10363.588183598715</v>
      </c>
      <c r="AG1001" s="6">
        <f>$O$1001*$AA$1001</f>
        <v>5207.0883852419265</v>
      </c>
    </row>
    <row r="1002" spans="1:33" ht="11.25" customHeight="1" x14ac:dyDescent="0.25">
      <c r="A1002" s="4" t="s">
        <v>27</v>
      </c>
      <c r="B1002" s="4" t="s">
        <v>33</v>
      </c>
      <c r="C1002" s="4" t="s">
        <v>34</v>
      </c>
      <c r="D1002" s="4" t="s">
        <v>24</v>
      </c>
      <c r="E1002" s="4" t="s">
        <v>24</v>
      </c>
      <c r="F1002" s="4" t="s">
        <v>25</v>
      </c>
      <c r="G1002" s="4" t="s">
        <v>25</v>
      </c>
      <c r="H1002" s="4" t="s">
        <v>35</v>
      </c>
      <c r="I1002" s="5">
        <v>43739</v>
      </c>
      <c r="J1002" s="6">
        <v>0</v>
      </c>
      <c r="K1002" s="6">
        <v>0</v>
      </c>
      <c r="L1002" s="6">
        <v>0.80400000000000005</v>
      </c>
      <c r="M1002" s="6">
        <v>0.80400000000000005</v>
      </c>
      <c r="N1002" s="6">
        <v>0.80400000000000005</v>
      </c>
      <c r="O1002" s="6">
        <v>0.80400000000000005</v>
      </c>
      <c r="P1002" s="6">
        <v>0</v>
      </c>
      <c r="Q1002" s="4" t="s">
        <v>26</v>
      </c>
      <c r="R1002" s="4">
        <v>0</v>
      </c>
      <c r="S1002" s="6">
        <v>0</v>
      </c>
      <c r="T1002" s="6">
        <v>27</v>
      </c>
      <c r="U1002" s="6">
        <v>81</v>
      </c>
      <c r="V1002" s="6">
        <f>IF(ISERROR(VLOOKUP($S$1002,'TAR FIN'!$A$1:$O$120,15,0)),0,VLOOKUP($S$1002,'TAR FIN'!$A$1:$O$120,15,0))</f>
        <v>0</v>
      </c>
      <c r="W1002" s="6">
        <f>IF(ISERROR(VLOOKUP($T$1002,'TAR FIN'!$A$1:$O$120,15,0)),0,VLOOKUP($T$1002,'TAR FIN'!$A$1:$O$120,15,0))</f>
        <v>641.99</v>
      </c>
      <c r="X1002" s="6">
        <f>IF(ISERROR(VLOOKUP($U$1002,'TAR FIN'!$A$1:$O$120,15,0)),0,VLOOKUP($U$1002,'TAR FIN'!$A$1:$O$120,15,0))</f>
        <v>430.87</v>
      </c>
      <c r="Y1002" s="6"/>
      <c r="Z1002" s="6">
        <f ca="1">('TUSD BE'!$AM$33+'TUSD BF'!$AM$33+'TUSD CVA'!$AM$33)*1</f>
        <v>747.73363518028248</v>
      </c>
      <c r="AA1002" s="6">
        <f>('TE BE'!$AA$10+'TE BF'!$AA$10+'TE CVA'!$AA$10)*1</f>
        <v>375.69180268700768</v>
      </c>
      <c r="AB1002" s="6">
        <f>$K$1002*$V$1002</f>
        <v>0</v>
      </c>
      <c r="AC1002" s="6">
        <f>$M$1002*$W$1002</f>
        <v>516.15996000000007</v>
      </c>
      <c r="AD1002" s="6">
        <f>$O$1002*$X$1002</f>
        <v>346.41948000000002</v>
      </c>
      <c r="AE1002" s="6">
        <f>$K$1002*$Y$1002</f>
        <v>0</v>
      </c>
      <c r="AF1002" s="6">
        <f ca="1">$M$1002*$Z$1002</f>
        <v>601.17784268494711</v>
      </c>
      <c r="AG1002" s="6">
        <f>$O$1002*$AA$1002</f>
        <v>302.05620936035422</v>
      </c>
    </row>
    <row r="1003" spans="1:33" ht="11.25" customHeight="1" x14ac:dyDescent="0.25">
      <c r="A1003" s="4" t="s">
        <v>21</v>
      </c>
      <c r="B1003" s="4" t="s">
        <v>33</v>
      </c>
      <c r="C1003" s="4" t="s">
        <v>34</v>
      </c>
      <c r="D1003" s="4" t="s">
        <v>24</v>
      </c>
      <c r="E1003" s="4" t="s">
        <v>24</v>
      </c>
      <c r="F1003" s="4" t="s">
        <v>25</v>
      </c>
      <c r="G1003" s="4" t="s">
        <v>25</v>
      </c>
      <c r="H1003" s="4" t="s">
        <v>35</v>
      </c>
      <c r="I1003" s="5">
        <v>43770</v>
      </c>
      <c r="J1003" s="6">
        <v>0</v>
      </c>
      <c r="K1003" s="6">
        <v>0</v>
      </c>
      <c r="L1003" s="6">
        <v>14.03</v>
      </c>
      <c r="M1003" s="6">
        <v>14.03</v>
      </c>
      <c r="N1003" s="6">
        <v>14.03</v>
      </c>
      <c r="O1003" s="6">
        <v>14.03</v>
      </c>
      <c r="P1003" s="6">
        <v>0</v>
      </c>
      <c r="Q1003" s="4" t="s">
        <v>26</v>
      </c>
      <c r="R1003" s="4">
        <v>0</v>
      </c>
      <c r="S1003" s="6">
        <v>0</v>
      </c>
      <c r="T1003" s="6">
        <v>27</v>
      </c>
      <c r="U1003" s="6">
        <v>81</v>
      </c>
      <c r="V1003" s="6">
        <f>IF(ISERROR(VLOOKUP($S$1003,'TAR FIN'!$A$1:$O$120,15,0)),0,VLOOKUP($S$1003,'TAR FIN'!$A$1:$O$120,15,0))</f>
        <v>0</v>
      </c>
      <c r="W1003" s="6">
        <f>IF(ISERROR(VLOOKUP($T$1003,'TAR FIN'!$A$1:$O$120,15,0)),0,VLOOKUP($T$1003,'TAR FIN'!$A$1:$O$120,15,0))</f>
        <v>641.99</v>
      </c>
      <c r="X1003" s="6">
        <f>IF(ISERROR(VLOOKUP($U$1003,'TAR FIN'!$A$1:$O$120,15,0)),0,VLOOKUP($U$1003,'TAR FIN'!$A$1:$O$120,15,0))</f>
        <v>430.87</v>
      </c>
      <c r="Y1003" s="6"/>
      <c r="Z1003" s="6">
        <f ca="1">('TUSD BE'!$AM$33+'TUSD BF'!$AM$33+'TUSD CVA'!$AM$33)*1</f>
        <v>747.73363518028248</v>
      </c>
      <c r="AA1003" s="6">
        <f>('TE BE'!$AA$10+'TE BF'!$AA$10+'TE CVA'!$AA$10)*1</f>
        <v>375.69180268700768</v>
      </c>
      <c r="AB1003" s="6">
        <f>$K$1003*$V$1003</f>
        <v>0</v>
      </c>
      <c r="AC1003" s="6">
        <f>$M$1003*$W$1003</f>
        <v>9007.1196999999993</v>
      </c>
      <c r="AD1003" s="6">
        <f>$O$1003*$X$1003</f>
        <v>6045.1061</v>
      </c>
      <c r="AE1003" s="6">
        <f>$K$1003*$Y$1003</f>
        <v>0</v>
      </c>
      <c r="AF1003" s="6">
        <f ca="1">$M$1003*$Z$1003</f>
        <v>10490.702901579363</v>
      </c>
      <c r="AG1003" s="6">
        <f>$O$1003*$AA$1003</f>
        <v>5270.9559916987173</v>
      </c>
    </row>
    <row r="1004" spans="1:33" ht="11.25" customHeight="1" x14ac:dyDescent="0.25">
      <c r="A1004" s="4" t="s">
        <v>27</v>
      </c>
      <c r="B1004" s="4" t="s">
        <v>33</v>
      </c>
      <c r="C1004" s="4" t="s">
        <v>34</v>
      </c>
      <c r="D1004" s="4" t="s">
        <v>24</v>
      </c>
      <c r="E1004" s="4" t="s">
        <v>24</v>
      </c>
      <c r="F1004" s="4" t="s">
        <v>25</v>
      </c>
      <c r="G1004" s="4" t="s">
        <v>25</v>
      </c>
      <c r="H1004" s="4" t="s">
        <v>35</v>
      </c>
      <c r="I1004" s="5">
        <v>43770</v>
      </c>
      <c r="J1004" s="6">
        <v>0</v>
      </c>
      <c r="K1004" s="6">
        <v>0</v>
      </c>
      <c r="L1004" s="6">
        <v>0.63200000000000001</v>
      </c>
      <c r="M1004" s="6">
        <v>0.63200000000000001</v>
      </c>
      <c r="N1004" s="6">
        <v>0.63200000000000001</v>
      </c>
      <c r="O1004" s="6">
        <v>0.63200000000000001</v>
      </c>
      <c r="P1004" s="6">
        <v>0</v>
      </c>
      <c r="Q1004" s="4" t="s">
        <v>26</v>
      </c>
      <c r="R1004" s="4">
        <v>0</v>
      </c>
      <c r="S1004" s="6">
        <v>0</v>
      </c>
      <c r="T1004" s="6">
        <v>27</v>
      </c>
      <c r="U1004" s="6">
        <v>81</v>
      </c>
      <c r="V1004" s="6">
        <f>IF(ISERROR(VLOOKUP($S$1004,'TAR FIN'!$A$1:$O$120,15,0)),0,VLOOKUP($S$1004,'TAR FIN'!$A$1:$O$120,15,0))</f>
        <v>0</v>
      </c>
      <c r="W1004" s="6">
        <f>IF(ISERROR(VLOOKUP($T$1004,'TAR FIN'!$A$1:$O$120,15,0)),0,VLOOKUP($T$1004,'TAR FIN'!$A$1:$O$120,15,0))</f>
        <v>641.99</v>
      </c>
      <c r="X1004" s="6">
        <f>IF(ISERROR(VLOOKUP($U$1004,'TAR FIN'!$A$1:$O$120,15,0)),0,VLOOKUP($U$1004,'TAR FIN'!$A$1:$O$120,15,0))</f>
        <v>430.87</v>
      </c>
      <c r="Y1004" s="6"/>
      <c r="Z1004" s="6">
        <f ca="1">('TUSD BE'!$AM$33+'TUSD BF'!$AM$33+'TUSD CVA'!$AM$33)*1</f>
        <v>747.73363518028248</v>
      </c>
      <c r="AA1004" s="6">
        <f>('TE BE'!$AA$10+'TE BF'!$AA$10+'TE CVA'!$AA$10)*1</f>
        <v>375.69180268700768</v>
      </c>
      <c r="AB1004" s="6">
        <f>$K$1004*$V$1004</f>
        <v>0</v>
      </c>
      <c r="AC1004" s="6">
        <f>$M$1004*$W$1004</f>
        <v>405.73768000000001</v>
      </c>
      <c r="AD1004" s="6">
        <f>$O$1004*$X$1004</f>
        <v>272.30984000000001</v>
      </c>
      <c r="AE1004" s="6">
        <f>$K$1004*$Y$1004</f>
        <v>0</v>
      </c>
      <c r="AF1004" s="6">
        <f ca="1">$M$1004*$Z$1004</f>
        <v>472.56765743393851</v>
      </c>
      <c r="AG1004" s="6">
        <f>$O$1004*$AA$1004</f>
        <v>237.43721929818886</v>
      </c>
    </row>
    <row r="1005" spans="1:33" ht="11.25" customHeight="1" x14ac:dyDescent="0.25">
      <c r="A1005" s="4" t="s">
        <v>28</v>
      </c>
      <c r="B1005" s="4" t="s">
        <v>33</v>
      </c>
      <c r="C1005" s="4" t="s">
        <v>34</v>
      </c>
      <c r="D1005" s="4" t="s">
        <v>24</v>
      </c>
      <c r="E1005" s="4" t="s">
        <v>24</v>
      </c>
      <c r="F1005" s="4" t="s">
        <v>25</v>
      </c>
      <c r="G1005" s="4" t="s">
        <v>25</v>
      </c>
      <c r="H1005" s="4" t="s">
        <v>35</v>
      </c>
      <c r="I1005" s="5">
        <v>43770</v>
      </c>
      <c r="J1005" s="6">
        <v>0</v>
      </c>
      <c r="K1005" s="6">
        <v>0</v>
      </c>
      <c r="L1005" s="6">
        <v>0.7</v>
      </c>
      <c r="M1005" s="6">
        <v>0.7</v>
      </c>
      <c r="N1005" s="6">
        <v>0.7</v>
      </c>
      <c r="O1005" s="6">
        <v>0.7</v>
      </c>
      <c r="P1005" s="6">
        <v>0</v>
      </c>
      <c r="Q1005" s="4" t="s">
        <v>26</v>
      </c>
      <c r="R1005" s="4">
        <v>0</v>
      </c>
      <c r="S1005" s="6">
        <v>0</v>
      </c>
      <c r="T1005" s="6">
        <v>27</v>
      </c>
      <c r="U1005" s="6">
        <v>81</v>
      </c>
      <c r="V1005" s="6">
        <f>IF(ISERROR(VLOOKUP($S$1005,'TAR FIN'!$A$1:$O$120,15,0)),0,VLOOKUP($S$1005,'TAR FIN'!$A$1:$O$120,15,0))</f>
        <v>0</v>
      </c>
      <c r="W1005" s="6">
        <f>IF(ISERROR(VLOOKUP($T$1005,'TAR FIN'!$A$1:$O$120,15,0)),0,VLOOKUP($T$1005,'TAR FIN'!$A$1:$O$120,15,0))</f>
        <v>641.99</v>
      </c>
      <c r="X1005" s="6">
        <f>IF(ISERROR(VLOOKUP($U$1005,'TAR FIN'!$A$1:$O$120,15,0)),0,VLOOKUP($U$1005,'TAR FIN'!$A$1:$O$120,15,0))</f>
        <v>430.87</v>
      </c>
      <c r="Y1005" s="6"/>
      <c r="Z1005" s="6">
        <f ca="1">('TUSD BE'!$AM$33+'TUSD BF'!$AM$33+'TUSD CVA'!$AM$33)*1</f>
        <v>747.73363518028248</v>
      </c>
      <c r="AA1005" s="6">
        <f>('TE BE'!$AA$10+'TE BF'!$AA$10+'TE CVA'!$AA$10)*1</f>
        <v>375.69180268700768</v>
      </c>
      <c r="AB1005" s="6">
        <f>$K$1005*$V$1005</f>
        <v>0</v>
      </c>
      <c r="AC1005" s="6">
        <f>$M$1005*$W$1005</f>
        <v>449.39299999999997</v>
      </c>
      <c r="AD1005" s="6">
        <f>$O$1005*$X$1005</f>
        <v>301.60899999999998</v>
      </c>
      <c r="AE1005" s="6">
        <f>$K$1005*$Y$1005</f>
        <v>0</v>
      </c>
      <c r="AF1005" s="6">
        <f ca="1">$M$1005*$Z$1005</f>
        <v>523.41354462619768</v>
      </c>
      <c r="AG1005" s="6">
        <f>$O$1005*$AA$1005</f>
        <v>262.98426188090536</v>
      </c>
    </row>
    <row r="1006" spans="1:33" ht="11.25" customHeight="1" x14ac:dyDescent="0.25">
      <c r="A1006" s="4" t="s">
        <v>21</v>
      </c>
      <c r="B1006" s="4" t="s">
        <v>33</v>
      </c>
      <c r="C1006" s="4" t="s">
        <v>34</v>
      </c>
      <c r="D1006" s="4" t="s">
        <v>24</v>
      </c>
      <c r="E1006" s="4" t="s">
        <v>24</v>
      </c>
      <c r="F1006" s="4" t="s">
        <v>25</v>
      </c>
      <c r="G1006" s="4" t="s">
        <v>25</v>
      </c>
      <c r="H1006" s="4" t="s">
        <v>35</v>
      </c>
      <c r="I1006" s="5">
        <v>43800</v>
      </c>
      <c r="J1006" s="6">
        <v>0</v>
      </c>
      <c r="K1006" s="6">
        <v>0</v>
      </c>
      <c r="L1006" s="6">
        <v>12.744</v>
      </c>
      <c r="M1006" s="6">
        <v>12.744</v>
      </c>
      <c r="N1006" s="6">
        <v>12.744</v>
      </c>
      <c r="O1006" s="6">
        <v>12.744</v>
      </c>
      <c r="P1006" s="6">
        <v>0</v>
      </c>
      <c r="Q1006" s="4" t="s">
        <v>26</v>
      </c>
      <c r="R1006" s="4">
        <v>0</v>
      </c>
      <c r="S1006" s="6">
        <v>0</v>
      </c>
      <c r="T1006" s="6">
        <v>27</v>
      </c>
      <c r="U1006" s="6">
        <v>81</v>
      </c>
      <c r="V1006" s="6">
        <f>IF(ISERROR(VLOOKUP($S$1006,'TAR FIN'!$A$1:$O$120,15,0)),0,VLOOKUP($S$1006,'TAR FIN'!$A$1:$O$120,15,0))</f>
        <v>0</v>
      </c>
      <c r="W1006" s="6">
        <f>IF(ISERROR(VLOOKUP($T$1006,'TAR FIN'!$A$1:$O$120,15,0)),0,VLOOKUP($T$1006,'TAR FIN'!$A$1:$O$120,15,0))</f>
        <v>641.99</v>
      </c>
      <c r="X1006" s="6">
        <f>IF(ISERROR(VLOOKUP($U$1006,'TAR FIN'!$A$1:$O$120,15,0)),0,VLOOKUP($U$1006,'TAR FIN'!$A$1:$O$120,15,0))</f>
        <v>430.87</v>
      </c>
      <c r="Y1006" s="6"/>
      <c r="Z1006" s="6">
        <f ca="1">('TUSD BE'!$AM$33+'TUSD BF'!$AM$33+'TUSD CVA'!$AM$33)*1</f>
        <v>747.73363518028248</v>
      </c>
      <c r="AA1006" s="6">
        <f>('TE BE'!$AA$10+'TE BF'!$AA$10+'TE CVA'!$AA$10)*1</f>
        <v>375.69180268700768</v>
      </c>
      <c r="AB1006" s="6">
        <f>$K$1006*$V$1006</f>
        <v>0</v>
      </c>
      <c r="AC1006" s="6">
        <f>$M$1006*$W$1006</f>
        <v>8181.5205599999999</v>
      </c>
      <c r="AD1006" s="6">
        <f>$O$1006*$X$1006</f>
        <v>5491.0072799999998</v>
      </c>
      <c r="AE1006" s="6">
        <f>$K$1006*$Y$1006</f>
        <v>0</v>
      </c>
      <c r="AF1006" s="6">
        <f ca="1">$M$1006*$Z$1006</f>
        <v>9529.1174467375204</v>
      </c>
      <c r="AG1006" s="6">
        <f>$O$1006*$AA$1006</f>
        <v>4787.8163334432256</v>
      </c>
    </row>
    <row r="1007" spans="1:33" ht="11.25" customHeight="1" x14ac:dyDescent="0.25">
      <c r="A1007" s="4" t="s">
        <v>27</v>
      </c>
      <c r="B1007" s="4" t="s">
        <v>33</v>
      </c>
      <c r="C1007" s="4" t="s">
        <v>34</v>
      </c>
      <c r="D1007" s="4" t="s">
        <v>24</v>
      </c>
      <c r="E1007" s="4" t="s">
        <v>24</v>
      </c>
      <c r="F1007" s="4" t="s">
        <v>25</v>
      </c>
      <c r="G1007" s="4" t="s">
        <v>25</v>
      </c>
      <c r="H1007" s="4" t="s">
        <v>35</v>
      </c>
      <c r="I1007" s="5">
        <v>43800</v>
      </c>
      <c r="J1007" s="6">
        <v>0</v>
      </c>
      <c r="K1007" s="6">
        <v>0</v>
      </c>
      <c r="L1007" s="6">
        <v>0.71799999999999997</v>
      </c>
      <c r="M1007" s="6">
        <v>0.71799999999999997</v>
      </c>
      <c r="N1007" s="6">
        <v>0.71799999999999997</v>
      </c>
      <c r="O1007" s="6">
        <v>0.71799999999999997</v>
      </c>
      <c r="P1007" s="6">
        <v>0</v>
      </c>
      <c r="Q1007" s="4" t="s">
        <v>26</v>
      </c>
      <c r="R1007" s="4">
        <v>0</v>
      </c>
      <c r="S1007" s="6">
        <v>0</v>
      </c>
      <c r="T1007" s="6">
        <v>27</v>
      </c>
      <c r="U1007" s="6">
        <v>81</v>
      </c>
      <c r="V1007" s="6">
        <f>IF(ISERROR(VLOOKUP($S$1007,'TAR FIN'!$A$1:$O$120,15,0)),0,VLOOKUP($S$1007,'TAR FIN'!$A$1:$O$120,15,0))</f>
        <v>0</v>
      </c>
      <c r="W1007" s="6">
        <f>IF(ISERROR(VLOOKUP($T$1007,'TAR FIN'!$A$1:$O$120,15,0)),0,VLOOKUP($T$1007,'TAR FIN'!$A$1:$O$120,15,0))</f>
        <v>641.99</v>
      </c>
      <c r="X1007" s="6">
        <f>IF(ISERROR(VLOOKUP($U$1007,'TAR FIN'!$A$1:$O$120,15,0)),0,VLOOKUP($U$1007,'TAR FIN'!$A$1:$O$120,15,0))</f>
        <v>430.87</v>
      </c>
      <c r="Y1007" s="6"/>
      <c r="Z1007" s="6">
        <f ca="1">('TUSD BE'!$AM$33+'TUSD BF'!$AM$33+'TUSD CVA'!$AM$33)*1</f>
        <v>747.73363518028248</v>
      </c>
      <c r="AA1007" s="6">
        <f>('TE BE'!$AA$10+'TE BF'!$AA$10+'TE CVA'!$AA$10)*1</f>
        <v>375.69180268700768</v>
      </c>
      <c r="AB1007" s="6">
        <f>$K$1007*$V$1007</f>
        <v>0</v>
      </c>
      <c r="AC1007" s="6">
        <f>$M$1007*$W$1007</f>
        <v>460.94882000000001</v>
      </c>
      <c r="AD1007" s="6">
        <f>$O$1007*$X$1007</f>
        <v>309.36466000000001</v>
      </c>
      <c r="AE1007" s="6">
        <f>$K$1007*$Y$1007</f>
        <v>0</v>
      </c>
      <c r="AF1007" s="6">
        <f ca="1">$M$1007*$Z$1007</f>
        <v>536.87275005944275</v>
      </c>
      <c r="AG1007" s="6">
        <f>$O$1007*$AA$1007</f>
        <v>269.74671432927153</v>
      </c>
    </row>
    <row r="1008" spans="1:33" ht="11.25" customHeight="1" x14ac:dyDescent="0.25">
      <c r="A1008" s="4" t="s">
        <v>28</v>
      </c>
      <c r="B1008" s="4" t="s">
        <v>33</v>
      </c>
      <c r="C1008" s="4" t="s">
        <v>34</v>
      </c>
      <c r="D1008" s="4" t="s">
        <v>24</v>
      </c>
      <c r="E1008" s="4" t="s">
        <v>24</v>
      </c>
      <c r="F1008" s="4" t="s">
        <v>25</v>
      </c>
      <c r="G1008" s="4" t="s">
        <v>25</v>
      </c>
      <c r="H1008" s="4" t="s">
        <v>35</v>
      </c>
      <c r="I1008" s="5">
        <v>43800</v>
      </c>
      <c r="J1008" s="6">
        <v>0</v>
      </c>
      <c r="K1008" s="6">
        <v>0</v>
      </c>
      <c r="L1008" s="6">
        <v>0.61599999999999999</v>
      </c>
      <c r="M1008" s="6">
        <v>0.61599999999999999</v>
      </c>
      <c r="N1008" s="6">
        <v>0.61599999999999999</v>
      </c>
      <c r="O1008" s="6">
        <v>0.61599999999999999</v>
      </c>
      <c r="P1008" s="6">
        <v>0</v>
      </c>
      <c r="Q1008" s="4" t="s">
        <v>26</v>
      </c>
      <c r="R1008" s="4">
        <v>0</v>
      </c>
      <c r="S1008" s="6">
        <v>0</v>
      </c>
      <c r="T1008" s="6">
        <v>27</v>
      </c>
      <c r="U1008" s="6">
        <v>81</v>
      </c>
      <c r="V1008" s="6">
        <f>IF(ISERROR(VLOOKUP($S$1008,'TAR FIN'!$A$1:$O$120,15,0)),0,VLOOKUP($S$1008,'TAR FIN'!$A$1:$O$120,15,0))</f>
        <v>0</v>
      </c>
      <c r="W1008" s="6">
        <f>IF(ISERROR(VLOOKUP($T$1008,'TAR FIN'!$A$1:$O$120,15,0)),0,VLOOKUP($T$1008,'TAR FIN'!$A$1:$O$120,15,0))</f>
        <v>641.99</v>
      </c>
      <c r="X1008" s="6">
        <f>IF(ISERROR(VLOOKUP($U$1008,'TAR FIN'!$A$1:$O$120,15,0)),0,VLOOKUP($U$1008,'TAR FIN'!$A$1:$O$120,15,0))</f>
        <v>430.87</v>
      </c>
      <c r="Y1008" s="6"/>
      <c r="Z1008" s="6">
        <f ca="1">('TUSD BE'!$AM$33+'TUSD BF'!$AM$33+'TUSD CVA'!$AM$33)*1</f>
        <v>747.73363518028248</v>
      </c>
      <c r="AA1008" s="6">
        <f>('TE BE'!$AA$10+'TE BF'!$AA$10+'TE CVA'!$AA$10)*1</f>
        <v>375.69180268700768</v>
      </c>
      <c r="AB1008" s="6">
        <f>$K$1008*$V$1008</f>
        <v>0</v>
      </c>
      <c r="AC1008" s="6">
        <f>$M$1008*$W$1008</f>
        <v>395.46584000000001</v>
      </c>
      <c r="AD1008" s="6">
        <f>$O$1008*$X$1008</f>
        <v>265.41591999999997</v>
      </c>
      <c r="AE1008" s="6">
        <f>$K$1008*$Y$1008</f>
        <v>0</v>
      </c>
      <c r="AF1008" s="6">
        <f ca="1">$M$1008*$Z$1008</f>
        <v>460.603919271054</v>
      </c>
      <c r="AG1008" s="6">
        <f>$O$1008*$AA$1008</f>
        <v>231.42615045519673</v>
      </c>
    </row>
    <row r="1009" spans="1:33" ht="11.25" customHeight="1" x14ac:dyDescent="0.25">
      <c r="A1009" s="4" t="s">
        <v>21</v>
      </c>
      <c r="B1009" s="4" t="s">
        <v>33</v>
      </c>
      <c r="C1009" s="4" t="s">
        <v>34</v>
      </c>
      <c r="D1009" s="4" t="s">
        <v>24</v>
      </c>
      <c r="E1009" s="4" t="s">
        <v>24</v>
      </c>
      <c r="F1009" s="4" t="s">
        <v>25</v>
      </c>
      <c r="G1009" s="4" t="s">
        <v>25</v>
      </c>
      <c r="H1009" s="4" t="s">
        <v>35</v>
      </c>
      <c r="I1009" s="5">
        <v>43831</v>
      </c>
      <c r="J1009" s="6">
        <v>0</v>
      </c>
      <c r="K1009" s="6">
        <v>0</v>
      </c>
      <c r="L1009" s="6">
        <v>11.664999999999999</v>
      </c>
      <c r="M1009" s="6">
        <v>11.664999999999999</v>
      </c>
      <c r="N1009" s="6">
        <v>11.664999999999999</v>
      </c>
      <c r="O1009" s="6">
        <v>11.664999999999999</v>
      </c>
      <c r="P1009" s="6">
        <v>0</v>
      </c>
      <c r="Q1009" s="4" t="s">
        <v>26</v>
      </c>
      <c r="R1009" s="4">
        <v>0</v>
      </c>
      <c r="S1009" s="6">
        <v>0</v>
      </c>
      <c r="T1009" s="6">
        <v>27</v>
      </c>
      <c r="U1009" s="6">
        <v>81</v>
      </c>
      <c r="V1009" s="6">
        <f>IF(ISERROR(VLOOKUP($S$1009,'TAR FIN'!$A$1:$O$120,15,0)),0,VLOOKUP($S$1009,'TAR FIN'!$A$1:$O$120,15,0))</f>
        <v>0</v>
      </c>
      <c r="W1009" s="6">
        <f>IF(ISERROR(VLOOKUP($T$1009,'TAR FIN'!$A$1:$O$120,15,0)),0,VLOOKUP($T$1009,'TAR FIN'!$A$1:$O$120,15,0))</f>
        <v>641.99</v>
      </c>
      <c r="X1009" s="6">
        <f>IF(ISERROR(VLOOKUP($U$1009,'TAR FIN'!$A$1:$O$120,15,0)),0,VLOOKUP($U$1009,'TAR FIN'!$A$1:$O$120,15,0))</f>
        <v>430.87</v>
      </c>
      <c r="Y1009" s="6"/>
      <c r="Z1009" s="6">
        <f ca="1">('TUSD BE'!$AM$33+'TUSD BF'!$AM$33+'TUSD CVA'!$AM$33)*1</f>
        <v>747.73363518028248</v>
      </c>
      <c r="AA1009" s="6">
        <f>('TE BE'!$AA$10+'TE BF'!$AA$10+'TE CVA'!$AA$10)*1</f>
        <v>375.69180268700768</v>
      </c>
      <c r="AB1009" s="6">
        <f>$K$1009*$V$1009</f>
        <v>0</v>
      </c>
      <c r="AC1009" s="6">
        <f>$M$1009*$W$1009</f>
        <v>7488.8133499999994</v>
      </c>
      <c r="AD1009" s="6">
        <f>$O$1009*$X$1009</f>
        <v>5026.0985499999997</v>
      </c>
      <c r="AE1009" s="6">
        <f>$K$1009*$Y$1009</f>
        <v>0</v>
      </c>
      <c r="AF1009" s="6">
        <f ca="1">$M$1009*$Z$1009</f>
        <v>8722.3128543779949</v>
      </c>
      <c r="AG1009" s="6">
        <f>$O$1009*$AA$1009</f>
        <v>4382.4448783439439</v>
      </c>
    </row>
    <row r="1010" spans="1:33" ht="11.25" customHeight="1" x14ac:dyDescent="0.25">
      <c r="A1010" s="4" t="s">
        <v>27</v>
      </c>
      <c r="B1010" s="4" t="s">
        <v>33</v>
      </c>
      <c r="C1010" s="4" t="s">
        <v>34</v>
      </c>
      <c r="D1010" s="4" t="s">
        <v>24</v>
      </c>
      <c r="E1010" s="4" t="s">
        <v>24</v>
      </c>
      <c r="F1010" s="4" t="s">
        <v>25</v>
      </c>
      <c r="G1010" s="4" t="s">
        <v>25</v>
      </c>
      <c r="H1010" s="4" t="s">
        <v>35</v>
      </c>
      <c r="I1010" s="5">
        <v>43831</v>
      </c>
      <c r="J1010" s="6">
        <v>0</v>
      </c>
      <c r="K1010" s="6">
        <v>0</v>
      </c>
      <c r="L1010" s="6">
        <v>0.65900000000000003</v>
      </c>
      <c r="M1010" s="6">
        <v>0.65900000000000003</v>
      </c>
      <c r="N1010" s="6">
        <v>0.65900000000000003</v>
      </c>
      <c r="O1010" s="6">
        <v>0.65900000000000003</v>
      </c>
      <c r="P1010" s="6">
        <v>0</v>
      </c>
      <c r="Q1010" s="4" t="s">
        <v>26</v>
      </c>
      <c r="R1010" s="4">
        <v>0</v>
      </c>
      <c r="S1010" s="6">
        <v>0</v>
      </c>
      <c r="T1010" s="6">
        <v>27</v>
      </c>
      <c r="U1010" s="6">
        <v>81</v>
      </c>
      <c r="V1010" s="6">
        <f>IF(ISERROR(VLOOKUP($S$1010,'TAR FIN'!$A$1:$O$120,15,0)),0,VLOOKUP($S$1010,'TAR FIN'!$A$1:$O$120,15,0))</f>
        <v>0</v>
      </c>
      <c r="W1010" s="6">
        <f>IF(ISERROR(VLOOKUP($T$1010,'TAR FIN'!$A$1:$O$120,15,0)),0,VLOOKUP($T$1010,'TAR FIN'!$A$1:$O$120,15,0))</f>
        <v>641.99</v>
      </c>
      <c r="X1010" s="6">
        <f>IF(ISERROR(VLOOKUP($U$1010,'TAR FIN'!$A$1:$O$120,15,0)),0,VLOOKUP($U$1010,'TAR FIN'!$A$1:$O$120,15,0))</f>
        <v>430.87</v>
      </c>
      <c r="Y1010" s="6"/>
      <c r="Z1010" s="6">
        <f ca="1">('TUSD BE'!$AM$33+'TUSD BF'!$AM$33+'TUSD CVA'!$AM$33)*1</f>
        <v>747.73363518028248</v>
      </c>
      <c r="AA1010" s="6">
        <f>('TE BE'!$AA$10+'TE BF'!$AA$10+'TE CVA'!$AA$10)*1</f>
        <v>375.69180268700768</v>
      </c>
      <c r="AB1010" s="6">
        <f>$K$1010*$V$1010</f>
        <v>0</v>
      </c>
      <c r="AC1010" s="6">
        <f>$M$1010*$W$1010</f>
        <v>423.07141000000001</v>
      </c>
      <c r="AD1010" s="6">
        <f>$O$1010*$X$1010</f>
        <v>283.94333</v>
      </c>
      <c r="AE1010" s="6">
        <f>$K$1010*$Y$1010</f>
        <v>0</v>
      </c>
      <c r="AF1010" s="6">
        <f ca="1">$M$1010*$Z$1010</f>
        <v>492.75646558380618</v>
      </c>
      <c r="AG1010" s="6">
        <f>$O$1010*$AA$1010</f>
        <v>247.58089797073808</v>
      </c>
    </row>
    <row r="1011" spans="1:33" ht="11.25" customHeight="1" x14ac:dyDescent="0.25">
      <c r="A1011" s="4" t="s">
        <v>28</v>
      </c>
      <c r="B1011" s="4" t="s">
        <v>33</v>
      </c>
      <c r="C1011" s="4" t="s">
        <v>34</v>
      </c>
      <c r="D1011" s="4" t="s">
        <v>24</v>
      </c>
      <c r="E1011" s="4" t="s">
        <v>24</v>
      </c>
      <c r="F1011" s="4" t="s">
        <v>25</v>
      </c>
      <c r="G1011" s="4" t="s">
        <v>25</v>
      </c>
      <c r="H1011" s="4" t="s">
        <v>35</v>
      </c>
      <c r="I1011" s="5">
        <v>43831</v>
      </c>
      <c r="J1011" s="6">
        <v>0</v>
      </c>
      <c r="K1011" s="6">
        <v>0</v>
      </c>
      <c r="L1011" s="6">
        <v>0.254</v>
      </c>
      <c r="M1011" s="6">
        <v>0.254</v>
      </c>
      <c r="N1011" s="6">
        <v>0.254</v>
      </c>
      <c r="O1011" s="6">
        <v>0.254</v>
      </c>
      <c r="P1011" s="6">
        <v>0</v>
      </c>
      <c r="Q1011" s="4" t="s">
        <v>26</v>
      </c>
      <c r="R1011" s="4">
        <v>0</v>
      </c>
      <c r="S1011" s="6">
        <v>0</v>
      </c>
      <c r="T1011" s="6">
        <v>27</v>
      </c>
      <c r="U1011" s="6">
        <v>81</v>
      </c>
      <c r="V1011" s="6">
        <f>IF(ISERROR(VLOOKUP($S$1011,'TAR FIN'!$A$1:$O$120,15,0)),0,VLOOKUP($S$1011,'TAR FIN'!$A$1:$O$120,15,0))</f>
        <v>0</v>
      </c>
      <c r="W1011" s="6">
        <f>IF(ISERROR(VLOOKUP($T$1011,'TAR FIN'!$A$1:$O$120,15,0)),0,VLOOKUP($T$1011,'TAR FIN'!$A$1:$O$120,15,0))</f>
        <v>641.99</v>
      </c>
      <c r="X1011" s="6">
        <f>IF(ISERROR(VLOOKUP($U$1011,'TAR FIN'!$A$1:$O$120,15,0)),0,VLOOKUP($U$1011,'TAR FIN'!$A$1:$O$120,15,0))</f>
        <v>430.87</v>
      </c>
      <c r="Y1011" s="6"/>
      <c r="Z1011" s="6">
        <f ca="1">('TUSD BE'!$AM$33+'TUSD BF'!$AM$33+'TUSD CVA'!$AM$33)*1</f>
        <v>747.73363518028248</v>
      </c>
      <c r="AA1011" s="6">
        <f>('TE BE'!$AA$10+'TE BF'!$AA$10+'TE CVA'!$AA$10)*1</f>
        <v>375.69180268700768</v>
      </c>
      <c r="AB1011" s="6">
        <f>$K$1011*$V$1011</f>
        <v>0</v>
      </c>
      <c r="AC1011" s="6">
        <f>$M$1011*$W$1011</f>
        <v>163.06546</v>
      </c>
      <c r="AD1011" s="6">
        <f>$O$1011*$X$1011</f>
        <v>109.44098</v>
      </c>
      <c r="AE1011" s="6">
        <f>$K$1011*$Y$1011</f>
        <v>0</v>
      </c>
      <c r="AF1011" s="6">
        <f ca="1">$M$1011*$Z$1011</f>
        <v>189.92434333579175</v>
      </c>
      <c r="AG1011" s="6">
        <f>$O$1011*$AA$1011</f>
        <v>95.425717882499953</v>
      </c>
    </row>
    <row r="1012" spans="1:33" ht="11.25" customHeight="1" x14ac:dyDescent="0.25">
      <c r="A1012" s="4" t="s">
        <v>21</v>
      </c>
      <c r="B1012" s="4" t="s">
        <v>33</v>
      </c>
      <c r="C1012" s="4" t="s">
        <v>34</v>
      </c>
      <c r="D1012" s="4" t="s">
        <v>24</v>
      </c>
      <c r="E1012" s="4" t="s">
        <v>24</v>
      </c>
      <c r="F1012" s="4" t="s">
        <v>25</v>
      </c>
      <c r="G1012" s="4" t="s">
        <v>25</v>
      </c>
      <c r="H1012" s="4" t="s">
        <v>35</v>
      </c>
      <c r="I1012" s="5">
        <v>43862</v>
      </c>
      <c r="J1012" s="6">
        <v>0</v>
      </c>
      <c r="K1012" s="6">
        <v>0</v>
      </c>
      <c r="L1012" s="6">
        <v>11.734999999999999</v>
      </c>
      <c r="M1012" s="6">
        <v>11.734999999999999</v>
      </c>
      <c r="N1012" s="6">
        <v>11.734999999999999</v>
      </c>
      <c r="O1012" s="6">
        <v>11.734999999999999</v>
      </c>
      <c r="P1012" s="6">
        <v>0</v>
      </c>
      <c r="Q1012" s="4" t="s">
        <v>26</v>
      </c>
      <c r="R1012" s="4">
        <v>0</v>
      </c>
      <c r="S1012" s="6">
        <v>0</v>
      </c>
      <c r="T1012" s="6">
        <v>27</v>
      </c>
      <c r="U1012" s="6">
        <v>81</v>
      </c>
      <c r="V1012" s="6">
        <f>IF(ISERROR(VLOOKUP($S$1012,'TAR FIN'!$A$1:$O$120,15,0)),0,VLOOKUP($S$1012,'TAR FIN'!$A$1:$O$120,15,0))</f>
        <v>0</v>
      </c>
      <c r="W1012" s="6">
        <f>IF(ISERROR(VLOOKUP($T$1012,'TAR FIN'!$A$1:$O$120,15,0)),0,VLOOKUP($T$1012,'TAR FIN'!$A$1:$O$120,15,0))</f>
        <v>641.99</v>
      </c>
      <c r="X1012" s="6">
        <f>IF(ISERROR(VLOOKUP($U$1012,'TAR FIN'!$A$1:$O$120,15,0)),0,VLOOKUP($U$1012,'TAR FIN'!$A$1:$O$120,15,0))</f>
        <v>430.87</v>
      </c>
      <c r="Y1012" s="6"/>
      <c r="Z1012" s="6">
        <f ca="1">('TUSD BE'!$AM$33+'TUSD BF'!$AM$33+'TUSD CVA'!$AM$33)*1</f>
        <v>747.73363518028248</v>
      </c>
      <c r="AA1012" s="6">
        <f>('TE BE'!$AA$10+'TE BF'!$AA$10+'TE CVA'!$AA$10)*1</f>
        <v>375.69180268700768</v>
      </c>
      <c r="AB1012" s="6">
        <f>$K$1012*$V$1012</f>
        <v>0</v>
      </c>
      <c r="AC1012" s="6">
        <f>$M$1012*$W$1012</f>
        <v>7533.7526499999994</v>
      </c>
      <c r="AD1012" s="6">
        <f>$O$1012*$X$1012</f>
        <v>5056.2594499999996</v>
      </c>
      <c r="AE1012" s="6">
        <f>$K$1012*$Y$1012</f>
        <v>0</v>
      </c>
      <c r="AF1012" s="6">
        <f ca="1">$M$1012*$Z$1012</f>
        <v>8774.654208840615</v>
      </c>
      <c r="AG1012" s="6">
        <f>$O$1012*$AA$1012</f>
        <v>4408.7433045320349</v>
      </c>
    </row>
    <row r="1013" spans="1:33" ht="11.25" customHeight="1" x14ac:dyDescent="0.25">
      <c r="A1013" s="4" t="s">
        <v>27</v>
      </c>
      <c r="B1013" s="4" t="s">
        <v>33</v>
      </c>
      <c r="C1013" s="4" t="s">
        <v>34</v>
      </c>
      <c r="D1013" s="4" t="s">
        <v>24</v>
      </c>
      <c r="E1013" s="4" t="s">
        <v>24</v>
      </c>
      <c r="F1013" s="4" t="s">
        <v>25</v>
      </c>
      <c r="G1013" s="4" t="s">
        <v>25</v>
      </c>
      <c r="H1013" s="4" t="s">
        <v>35</v>
      </c>
      <c r="I1013" s="5">
        <v>43862</v>
      </c>
      <c r="J1013" s="6">
        <v>0</v>
      </c>
      <c r="K1013" s="6">
        <v>0</v>
      </c>
      <c r="L1013" s="6">
        <v>0.64</v>
      </c>
      <c r="M1013" s="6">
        <v>0.64</v>
      </c>
      <c r="N1013" s="6">
        <v>0.64</v>
      </c>
      <c r="O1013" s="6">
        <v>0.64</v>
      </c>
      <c r="P1013" s="6">
        <v>0</v>
      </c>
      <c r="Q1013" s="4" t="s">
        <v>26</v>
      </c>
      <c r="R1013" s="4">
        <v>0</v>
      </c>
      <c r="S1013" s="6">
        <v>0</v>
      </c>
      <c r="T1013" s="6">
        <v>27</v>
      </c>
      <c r="U1013" s="6">
        <v>81</v>
      </c>
      <c r="V1013" s="6">
        <f>IF(ISERROR(VLOOKUP($S$1013,'TAR FIN'!$A$1:$O$120,15,0)),0,VLOOKUP($S$1013,'TAR FIN'!$A$1:$O$120,15,0))</f>
        <v>0</v>
      </c>
      <c r="W1013" s="6">
        <f>IF(ISERROR(VLOOKUP($T$1013,'TAR FIN'!$A$1:$O$120,15,0)),0,VLOOKUP($T$1013,'TAR FIN'!$A$1:$O$120,15,0))</f>
        <v>641.99</v>
      </c>
      <c r="X1013" s="6">
        <f>IF(ISERROR(VLOOKUP($U$1013,'TAR FIN'!$A$1:$O$120,15,0)),0,VLOOKUP($U$1013,'TAR FIN'!$A$1:$O$120,15,0))</f>
        <v>430.87</v>
      </c>
      <c r="Y1013" s="6"/>
      <c r="Z1013" s="6">
        <f ca="1">('TUSD BE'!$AM$33+'TUSD BF'!$AM$33+'TUSD CVA'!$AM$33)*1</f>
        <v>747.73363518028248</v>
      </c>
      <c r="AA1013" s="6">
        <f>('TE BE'!$AA$10+'TE BF'!$AA$10+'TE CVA'!$AA$10)*1</f>
        <v>375.69180268700768</v>
      </c>
      <c r="AB1013" s="6">
        <f>$K$1013*$V$1013</f>
        <v>0</v>
      </c>
      <c r="AC1013" s="6">
        <f>$M$1013*$W$1013</f>
        <v>410.87360000000001</v>
      </c>
      <c r="AD1013" s="6">
        <f>$O$1013*$X$1013</f>
        <v>275.7568</v>
      </c>
      <c r="AE1013" s="6">
        <f>$K$1013*$Y$1013</f>
        <v>0</v>
      </c>
      <c r="AF1013" s="6">
        <f ca="1">$M$1013*$Z$1013</f>
        <v>478.54952651538082</v>
      </c>
      <c r="AG1013" s="6">
        <f>$O$1013*$AA$1013</f>
        <v>240.44275371968493</v>
      </c>
    </row>
    <row r="1014" spans="1:33" ht="11.25" customHeight="1" x14ac:dyDescent="0.25">
      <c r="A1014" s="4" t="s">
        <v>28</v>
      </c>
      <c r="B1014" s="4" t="s">
        <v>33</v>
      </c>
      <c r="C1014" s="4" t="s">
        <v>34</v>
      </c>
      <c r="D1014" s="4" t="s">
        <v>24</v>
      </c>
      <c r="E1014" s="4" t="s">
        <v>24</v>
      </c>
      <c r="F1014" s="4" t="s">
        <v>25</v>
      </c>
      <c r="G1014" s="4" t="s">
        <v>25</v>
      </c>
      <c r="H1014" s="4" t="s">
        <v>35</v>
      </c>
      <c r="I1014" s="5">
        <v>43862</v>
      </c>
      <c r="J1014" s="6">
        <v>0</v>
      </c>
      <c r="K1014" s="6">
        <v>0</v>
      </c>
      <c r="L1014" s="6">
        <v>0.435</v>
      </c>
      <c r="M1014" s="6">
        <v>0.435</v>
      </c>
      <c r="N1014" s="6">
        <v>0.435</v>
      </c>
      <c r="O1014" s="6">
        <v>0.435</v>
      </c>
      <c r="P1014" s="6">
        <v>0</v>
      </c>
      <c r="Q1014" s="4" t="s">
        <v>26</v>
      </c>
      <c r="R1014" s="4">
        <v>0</v>
      </c>
      <c r="S1014" s="6">
        <v>0</v>
      </c>
      <c r="T1014" s="6">
        <v>27</v>
      </c>
      <c r="U1014" s="6">
        <v>81</v>
      </c>
      <c r="V1014" s="6">
        <f>IF(ISERROR(VLOOKUP($S$1014,'TAR FIN'!$A$1:$O$120,15,0)),0,VLOOKUP($S$1014,'TAR FIN'!$A$1:$O$120,15,0))</f>
        <v>0</v>
      </c>
      <c r="W1014" s="6">
        <f>IF(ISERROR(VLOOKUP($T$1014,'TAR FIN'!$A$1:$O$120,15,0)),0,VLOOKUP($T$1014,'TAR FIN'!$A$1:$O$120,15,0))</f>
        <v>641.99</v>
      </c>
      <c r="X1014" s="6">
        <f>IF(ISERROR(VLOOKUP($U$1014,'TAR FIN'!$A$1:$O$120,15,0)),0,VLOOKUP($U$1014,'TAR FIN'!$A$1:$O$120,15,0))</f>
        <v>430.87</v>
      </c>
      <c r="Y1014" s="6"/>
      <c r="Z1014" s="6">
        <f ca="1">('TUSD BE'!$AM$33+'TUSD BF'!$AM$33+'TUSD CVA'!$AM$33)*1</f>
        <v>747.73363518028248</v>
      </c>
      <c r="AA1014" s="6">
        <f>('TE BE'!$AA$10+'TE BF'!$AA$10+'TE CVA'!$AA$10)*1</f>
        <v>375.69180268700768</v>
      </c>
      <c r="AB1014" s="6">
        <f>$K$1014*$V$1014</f>
        <v>0</v>
      </c>
      <c r="AC1014" s="6">
        <f>$M$1014*$W$1014</f>
        <v>279.26564999999999</v>
      </c>
      <c r="AD1014" s="6">
        <f>$O$1014*$X$1014</f>
        <v>187.42845</v>
      </c>
      <c r="AE1014" s="6">
        <f>$K$1014*$Y$1014</f>
        <v>0</v>
      </c>
      <c r="AF1014" s="6">
        <f ca="1">$M$1014*$Z$1014</f>
        <v>325.26413130342286</v>
      </c>
      <c r="AG1014" s="6">
        <f>$O$1014*$AA$1014</f>
        <v>163.42593416884833</v>
      </c>
    </row>
    <row r="1015" spans="1:33" ht="11.25" customHeight="1" x14ac:dyDescent="0.25">
      <c r="A1015" s="4" t="s">
        <v>21</v>
      </c>
      <c r="B1015" s="4" t="s">
        <v>33</v>
      </c>
      <c r="C1015" s="4" t="s">
        <v>34</v>
      </c>
      <c r="D1015" s="4" t="s">
        <v>24</v>
      </c>
      <c r="E1015" s="4" t="s">
        <v>24</v>
      </c>
      <c r="F1015" s="4" t="s">
        <v>25</v>
      </c>
      <c r="G1015" s="4" t="s">
        <v>25</v>
      </c>
      <c r="H1015" s="4" t="s">
        <v>35</v>
      </c>
      <c r="I1015" s="5">
        <v>43891</v>
      </c>
      <c r="J1015" s="6">
        <v>0</v>
      </c>
      <c r="K1015" s="6">
        <v>0</v>
      </c>
      <c r="L1015" s="6">
        <v>10.946</v>
      </c>
      <c r="M1015" s="6">
        <v>10.946</v>
      </c>
      <c r="N1015" s="6">
        <v>10.946</v>
      </c>
      <c r="O1015" s="6">
        <v>10.946</v>
      </c>
      <c r="P1015" s="6">
        <v>0</v>
      </c>
      <c r="Q1015" s="4" t="s">
        <v>26</v>
      </c>
      <c r="R1015" s="4">
        <v>0</v>
      </c>
      <c r="S1015" s="6">
        <v>0</v>
      </c>
      <c r="T1015" s="6">
        <v>27</v>
      </c>
      <c r="U1015" s="6">
        <v>81</v>
      </c>
      <c r="V1015" s="6">
        <f>IF(ISERROR(VLOOKUP($S$1015,'TAR FIN'!$A$1:$O$120,15,0)),0,VLOOKUP($S$1015,'TAR FIN'!$A$1:$O$120,15,0))</f>
        <v>0</v>
      </c>
      <c r="W1015" s="6">
        <f>IF(ISERROR(VLOOKUP($T$1015,'TAR FIN'!$A$1:$O$120,15,0)),0,VLOOKUP($T$1015,'TAR FIN'!$A$1:$O$120,15,0))</f>
        <v>641.99</v>
      </c>
      <c r="X1015" s="6">
        <f>IF(ISERROR(VLOOKUP($U$1015,'TAR FIN'!$A$1:$O$120,15,0)),0,VLOOKUP($U$1015,'TAR FIN'!$A$1:$O$120,15,0))</f>
        <v>430.87</v>
      </c>
      <c r="Y1015" s="6"/>
      <c r="Z1015" s="6">
        <f ca="1">('TUSD BE'!$AM$33+'TUSD BF'!$AM$33+'TUSD CVA'!$AM$33)*1</f>
        <v>747.73363518028248</v>
      </c>
      <c r="AA1015" s="6">
        <f>('TE BE'!$AA$10+'TE BF'!$AA$10+'TE CVA'!$AA$10)*1</f>
        <v>375.69180268700768</v>
      </c>
      <c r="AB1015" s="6">
        <f>$K$1015*$V$1015</f>
        <v>0</v>
      </c>
      <c r="AC1015" s="6">
        <f>$M$1015*$W$1015</f>
        <v>7027.2225399999998</v>
      </c>
      <c r="AD1015" s="6">
        <f>$O$1015*$X$1015</f>
        <v>4716.3030200000003</v>
      </c>
      <c r="AE1015" s="6">
        <f>$K$1015*$Y$1015</f>
        <v>0</v>
      </c>
      <c r="AF1015" s="6">
        <f ca="1">$M$1015*$Z$1015</f>
        <v>8184.6923706833713</v>
      </c>
      <c r="AG1015" s="6">
        <f>$O$1015*$AA$1015</f>
        <v>4112.3224722119858</v>
      </c>
    </row>
    <row r="1016" spans="1:33" ht="11.25" customHeight="1" x14ac:dyDescent="0.25">
      <c r="A1016" s="4" t="s">
        <v>27</v>
      </c>
      <c r="B1016" s="4" t="s">
        <v>33</v>
      </c>
      <c r="C1016" s="4" t="s">
        <v>34</v>
      </c>
      <c r="D1016" s="4" t="s">
        <v>24</v>
      </c>
      <c r="E1016" s="4" t="s">
        <v>24</v>
      </c>
      <c r="F1016" s="4" t="s">
        <v>25</v>
      </c>
      <c r="G1016" s="4" t="s">
        <v>25</v>
      </c>
      <c r="H1016" s="4" t="s">
        <v>35</v>
      </c>
      <c r="I1016" s="5">
        <v>43891</v>
      </c>
      <c r="J1016" s="6">
        <v>0</v>
      </c>
      <c r="K1016" s="6">
        <v>0</v>
      </c>
      <c r="L1016" s="6">
        <v>0.57299999999999995</v>
      </c>
      <c r="M1016" s="6">
        <v>0.57299999999999995</v>
      </c>
      <c r="N1016" s="6">
        <v>0.57299999999999995</v>
      </c>
      <c r="O1016" s="6">
        <v>0.57299999999999995</v>
      </c>
      <c r="P1016" s="6">
        <v>0</v>
      </c>
      <c r="Q1016" s="4" t="s">
        <v>26</v>
      </c>
      <c r="R1016" s="4">
        <v>0</v>
      </c>
      <c r="S1016" s="6">
        <v>0</v>
      </c>
      <c r="T1016" s="6">
        <v>27</v>
      </c>
      <c r="U1016" s="6">
        <v>81</v>
      </c>
      <c r="V1016" s="6">
        <f>IF(ISERROR(VLOOKUP($S$1016,'TAR FIN'!$A$1:$O$120,15,0)),0,VLOOKUP($S$1016,'TAR FIN'!$A$1:$O$120,15,0))</f>
        <v>0</v>
      </c>
      <c r="W1016" s="6">
        <f>IF(ISERROR(VLOOKUP($T$1016,'TAR FIN'!$A$1:$O$120,15,0)),0,VLOOKUP($T$1016,'TAR FIN'!$A$1:$O$120,15,0))</f>
        <v>641.99</v>
      </c>
      <c r="X1016" s="6">
        <f>IF(ISERROR(VLOOKUP($U$1016,'TAR FIN'!$A$1:$O$120,15,0)),0,VLOOKUP($U$1016,'TAR FIN'!$A$1:$O$120,15,0))</f>
        <v>430.87</v>
      </c>
      <c r="Y1016" s="6"/>
      <c r="Z1016" s="6">
        <f ca="1">('TUSD BE'!$AM$33+'TUSD BF'!$AM$33+'TUSD CVA'!$AM$33)*1</f>
        <v>747.73363518028248</v>
      </c>
      <c r="AA1016" s="6">
        <f>('TE BE'!$AA$10+'TE BF'!$AA$10+'TE CVA'!$AA$10)*1</f>
        <v>375.69180268700768</v>
      </c>
      <c r="AB1016" s="6">
        <f>$K$1016*$V$1016</f>
        <v>0</v>
      </c>
      <c r="AC1016" s="6">
        <f>$M$1016*$W$1016</f>
        <v>367.86026999999996</v>
      </c>
      <c r="AD1016" s="6">
        <f>$O$1016*$X$1016</f>
        <v>246.88851</v>
      </c>
      <c r="AE1016" s="6">
        <f>$K$1016*$Y$1016</f>
        <v>0</v>
      </c>
      <c r="AF1016" s="6">
        <f ca="1">$M$1016*$Z$1016</f>
        <v>428.45137295830182</v>
      </c>
      <c r="AG1016" s="6">
        <f>$O$1016*$AA$1016</f>
        <v>215.27140293965539</v>
      </c>
    </row>
    <row r="1017" spans="1:33" ht="11.25" customHeight="1" x14ac:dyDescent="0.25">
      <c r="A1017" s="4" t="s">
        <v>28</v>
      </c>
      <c r="B1017" s="4" t="s">
        <v>33</v>
      </c>
      <c r="C1017" s="4" t="s">
        <v>34</v>
      </c>
      <c r="D1017" s="4" t="s">
        <v>24</v>
      </c>
      <c r="E1017" s="4" t="s">
        <v>24</v>
      </c>
      <c r="F1017" s="4" t="s">
        <v>25</v>
      </c>
      <c r="G1017" s="4" t="s">
        <v>25</v>
      </c>
      <c r="H1017" s="4" t="s">
        <v>35</v>
      </c>
      <c r="I1017" s="5">
        <v>43891</v>
      </c>
      <c r="J1017" s="6">
        <v>0</v>
      </c>
      <c r="K1017" s="6">
        <v>0</v>
      </c>
      <c r="L1017" s="6">
        <v>0.372</v>
      </c>
      <c r="M1017" s="6">
        <v>0.372</v>
      </c>
      <c r="N1017" s="6">
        <v>0.372</v>
      </c>
      <c r="O1017" s="6">
        <v>0.372</v>
      </c>
      <c r="P1017" s="6">
        <v>0</v>
      </c>
      <c r="Q1017" s="4" t="s">
        <v>26</v>
      </c>
      <c r="R1017" s="4">
        <v>0</v>
      </c>
      <c r="S1017" s="6">
        <v>0</v>
      </c>
      <c r="T1017" s="6">
        <v>27</v>
      </c>
      <c r="U1017" s="6">
        <v>81</v>
      </c>
      <c r="V1017" s="6">
        <f>IF(ISERROR(VLOOKUP($S$1017,'TAR FIN'!$A$1:$O$120,15,0)),0,VLOOKUP($S$1017,'TAR FIN'!$A$1:$O$120,15,0))</f>
        <v>0</v>
      </c>
      <c r="W1017" s="6">
        <f>IF(ISERROR(VLOOKUP($T$1017,'TAR FIN'!$A$1:$O$120,15,0)),0,VLOOKUP($T$1017,'TAR FIN'!$A$1:$O$120,15,0))</f>
        <v>641.99</v>
      </c>
      <c r="X1017" s="6">
        <f>IF(ISERROR(VLOOKUP($U$1017,'TAR FIN'!$A$1:$O$120,15,0)),0,VLOOKUP($U$1017,'TAR FIN'!$A$1:$O$120,15,0))</f>
        <v>430.87</v>
      </c>
      <c r="Y1017" s="6"/>
      <c r="Z1017" s="6">
        <f ca="1">('TUSD BE'!$AM$33+'TUSD BF'!$AM$33+'TUSD CVA'!$AM$33)*1</f>
        <v>747.73363518028248</v>
      </c>
      <c r="AA1017" s="6">
        <f>('TE BE'!$AA$10+'TE BF'!$AA$10+'TE CVA'!$AA$10)*1</f>
        <v>375.69180268700768</v>
      </c>
      <c r="AB1017" s="6">
        <f>$K$1017*$V$1017</f>
        <v>0</v>
      </c>
      <c r="AC1017" s="6">
        <f>$M$1017*$W$1017</f>
        <v>238.82028</v>
      </c>
      <c r="AD1017" s="6">
        <f>$O$1017*$X$1017</f>
        <v>160.28363999999999</v>
      </c>
      <c r="AE1017" s="6">
        <f>$K$1017*$Y$1017</f>
        <v>0</v>
      </c>
      <c r="AF1017" s="6">
        <f ca="1">$M$1017*$Z$1017</f>
        <v>278.1569122870651</v>
      </c>
      <c r="AG1017" s="6">
        <f>$O$1017*$AA$1017</f>
        <v>139.75735059956685</v>
      </c>
    </row>
    <row r="1018" spans="1:33" ht="11.25" customHeight="1" x14ac:dyDescent="0.25">
      <c r="A1018" s="4" t="s">
        <v>21</v>
      </c>
      <c r="B1018" s="4" t="s">
        <v>33</v>
      </c>
      <c r="C1018" s="4" t="s">
        <v>34</v>
      </c>
      <c r="D1018" s="4" t="s">
        <v>24</v>
      </c>
      <c r="E1018" s="4" t="s">
        <v>24</v>
      </c>
      <c r="F1018" s="4" t="s">
        <v>25</v>
      </c>
      <c r="G1018" s="4" t="s">
        <v>25</v>
      </c>
      <c r="H1018" s="4" t="s">
        <v>35</v>
      </c>
      <c r="I1018" s="5">
        <v>43922</v>
      </c>
      <c r="J1018" s="6">
        <v>0</v>
      </c>
      <c r="K1018" s="6">
        <v>0</v>
      </c>
      <c r="L1018" s="6">
        <v>12.667</v>
      </c>
      <c r="M1018" s="6">
        <v>12.667</v>
      </c>
      <c r="N1018" s="6">
        <v>12.667</v>
      </c>
      <c r="O1018" s="6">
        <v>12.667</v>
      </c>
      <c r="P1018" s="6">
        <v>0</v>
      </c>
      <c r="Q1018" s="4" t="s">
        <v>26</v>
      </c>
      <c r="R1018" s="4">
        <v>0</v>
      </c>
      <c r="S1018" s="6">
        <v>0</v>
      </c>
      <c r="T1018" s="6">
        <v>27</v>
      </c>
      <c r="U1018" s="6">
        <v>81</v>
      </c>
      <c r="V1018" s="6">
        <f>IF(ISERROR(VLOOKUP($S$1018,'TAR FIN'!$A$1:$O$120,15,0)),0,VLOOKUP($S$1018,'TAR FIN'!$A$1:$O$120,15,0))</f>
        <v>0</v>
      </c>
      <c r="W1018" s="6">
        <f>IF(ISERROR(VLOOKUP($T$1018,'TAR FIN'!$A$1:$O$120,15,0)),0,VLOOKUP($T$1018,'TAR FIN'!$A$1:$O$120,15,0))</f>
        <v>641.99</v>
      </c>
      <c r="X1018" s="6">
        <f>IF(ISERROR(VLOOKUP($U$1018,'TAR FIN'!$A$1:$O$120,15,0)),0,VLOOKUP($U$1018,'TAR FIN'!$A$1:$O$120,15,0))</f>
        <v>430.87</v>
      </c>
      <c r="Y1018" s="6"/>
      <c r="Z1018" s="6">
        <f ca="1">('TUSD BE'!$AM$33+'TUSD BF'!$AM$33+'TUSD CVA'!$AM$33)*1</f>
        <v>747.73363518028248</v>
      </c>
      <c r="AA1018" s="6">
        <f>('TE BE'!$AA$10+'TE BF'!$AA$10+'TE CVA'!$AA$10)*1</f>
        <v>375.69180268700768</v>
      </c>
      <c r="AB1018" s="6">
        <f>$K$1018*$V$1018</f>
        <v>0</v>
      </c>
      <c r="AC1018" s="6">
        <f>$M$1018*$W$1018</f>
        <v>8132.0873300000003</v>
      </c>
      <c r="AD1018" s="6">
        <f>$O$1018*$X$1018</f>
        <v>5457.8302899999999</v>
      </c>
      <c r="AE1018" s="6">
        <f>$K$1018*$Y$1018</f>
        <v>0</v>
      </c>
      <c r="AF1018" s="6">
        <f ca="1">$M$1018*$Z$1018</f>
        <v>9471.5419568286379</v>
      </c>
      <c r="AG1018" s="6">
        <f>$O$1018*$AA$1018</f>
        <v>4758.8880646363259</v>
      </c>
    </row>
    <row r="1019" spans="1:33" ht="11.25" customHeight="1" x14ac:dyDescent="0.25">
      <c r="A1019" s="4" t="s">
        <v>27</v>
      </c>
      <c r="B1019" s="4" t="s">
        <v>33</v>
      </c>
      <c r="C1019" s="4" t="s">
        <v>34</v>
      </c>
      <c r="D1019" s="4" t="s">
        <v>24</v>
      </c>
      <c r="E1019" s="4" t="s">
        <v>24</v>
      </c>
      <c r="F1019" s="4" t="s">
        <v>25</v>
      </c>
      <c r="G1019" s="4" t="s">
        <v>25</v>
      </c>
      <c r="H1019" s="4" t="s">
        <v>35</v>
      </c>
      <c r="I1019" s="5">
        <v>43922</v>
      </c>
      <c r="J1019" s="6">
        <v>0</v>
      </c>
      <c r="K1019" s="6">
        <v>0</v>
      </c>
      <c r="L1019" s="6">
        <v>0.58799999999999997</v>
      </c>
      <c r="M1019" s="6">
        <v>0.58799999999999997</v>
      </c>
      <c r="N1019" s="6">
        <v>0.58799999999999997</v>
      </c>
      <c r="O1019" s="6">
        <v>0.58799999999999997</v>
      </c>
      <c r="P1019" s="6">
        <v>0</v>
      </c>
      <c r="Q1019" s="4" t="s">
        <v>26</v>
      </c>
      <c r="R1019" s="4">
        <v>0</v>
      </c>
      <c r="S1019" s="6">
        <v>0</v>
      </c>
      <c r="T1019" s="6">
        <v>27</v>
      </c>
      <c r="U1019" s="6">
        <v>81</v>
      </c>
      <c r="V1019" s="6">
        <f>IF(ISERROR(VLOOKUP($S$1019,'TAR FIN'!$A$1:$O$120,15,0)),0,VLOOKUP($S$1019,'TAR FIN'!$A$1:$O$120,15,0))</f>
        <v>0</v>
      </c>
      <c r="W1019" s="6">
        <f>IF(ISERROR(VLOOKUP($T$1019,'TAR FIN'!$A$1:$O$120,15,0)),0,VLOOKUP($T$1019,'TAR FIN'!$A$1:$O$120,15,0))</f>
        <v>641.99</v>
      </c>
      <c r="X1019" s="6">
        <f>IF(ISERROR(VLOOKUP($U$1019,'TAR FIN'!$A$1:$O$120,15,0)),0,VLOOKUP($U$1019,'TAR FIN'!$A$1:$O$120,15,0))</f>
        <v>430.87</v>
      </c>
      <c r="Y1019" s="6"/>
      <c r="Z1019" s="6">
        <f ca="1">('TUSD BE'!$AM$33+'TUSD BF'!$AM$33+'TUSD CVA'!$AM$33)*1</f>
        <v>747.73363518028248</v>
      </c>
      <c r="AA1019" s="6">
        <f>('TE BE'!$AA$10+'TE BF'!$AA$10+'TE CVA'!$AA$10)*1</f>
        <v>375.69180268700768</v>
      </c>
      <c r="AB1019" s="6">
        <f>$K$1019*$V$1019</f>
        <v>0</v>
      </c>
      <c r="AC1019" s="6">
        <f>$M$1019*$W$1019</f>
        <v>377.49011999999999</v>
      </c>
      <c r="AD1019" s="6">
        <f>$O$1019*$X$1019</f>
        <v>253.35155999999998</v>
      </c>
      <c r="AE1019" s="6">
        <f>$K$1019*$Y$1019</f>
        <v>0</v>
      </c>
      <c r="AF1019" s="6">
        <f ca="1">$M$1019*$Z$1019</f>
        <v>439.66737748600605</v>
      </c>
      <c r="AG1019" s="6">
        <f>$O$1019*$AA$1019</f>
        <v>220.9067799799605</v>
      </c>
    </row>
    <row r="1020" spans="1:33" ht="11.25" customHeight="1" x14ac:dyDescent="0.25">
      <c r="A1020" s="4" t="s">
        <v>28</v>
      </c>
      <c r="B1020" s="4" t="s">
        <v>33</v>
      </c>
      <c r="C1020" s="4" t="s">
        <v>34</v>
      </c>
      <c r="D1020" s="4" t="s">
        <v>24</v>
      </c>
      <c r="E1020" s="4" t="s">
        <v>24</v>
      </c>
      <c r="F1020" s="4" t="s">
        <v>25</v>
      </c>
      <c r="G1020" s="4" t="s">
        <v>25</v>
      </c>
      <c r="H1020" s="4" t="s">
        <v>35</v>
      </c>
      <c r="I1020" s="5">
        <v>43922</v>
      </c>
      <c r="J1020" s="6">
        <v>0</v>
      </c>
      <c r="K1020" s="6">
        <v>0</v>
      </c>
      <c r="L1020" s="6">
        <v>1.2889999999999999</v>
      </c>
      <c r="M1020" s="6">
        <v>1.2889999999999999</v>
      </c>
      <c r="N1020" s="6">
        <v>1.2889999999999999</v>
      </c>
      <c r="O1020" s="6">
        <v>1.2889999999999999</v>
      </c>
      <c r="P1020" s="6">
        <v>0</v>
      </c>
      <c r="Q1020" s="4" t="s">
        <v>26</v>
      </c>
      <c r="R1020" s="4">
        <v>0</v>
      </c>
      <c r="S1020" s="6">
        <v>0</v>
      </c>
      <c r="T1020" s="6">
        <v>27</v>
      </c>
      <c r="U1020" s="6">
        <v>81</v>
      </c>
      <c r="V1020" s="6">
        <f>IF(ISERROR(VLOOKUP($S$1020,'TAR FIN'!$A$1:$O$120,15,0)),0,VLOOKUP($S$1020,'TAR FIN'!$A$1:$O$120,15,0))</f>
        <v>0</v>
      </c>
      <c r="W1020" s="6">
        <f>IF(ISERROR(VLOOKUP($T$1020,'TAR FIN'!$A$1:$O$120,15,0)),0,VLOOKUP($T$1020,'TAR FIN'!$A$1:$O$120,15,0))</f>
        <v>641.99</v>
      </c>
      <c r="X1020" s="6">
        <f>IF(ISERROR(VLOOKUP($U$1020,'TAR FIN'!$A$1:$O$120,15,0)),0,VLOOKUP($U$1020,'TAR FIN'!$A$1:$O$120,15,0))</f>
        <v>430.87</v>
      </c>
      <c r="Y1020" s="6"/>
      <c r="Z1020" s="6">
        <f ca="1">('TUSD BE'!$AM$33+'TUSD BF'!$AM$33+'TUSD CVA'!$AM$33)*1</f>
        <v>747.73363518028248</v>
      </c>
      <c r="AA1020" s="6">
        <f>('TE BE'!$AA$10+'TE BF'!$AA$10+'TE CVA'!$AA$10)*1</f>
        <v>375.69180268700768</v>
      </c>
      <c r="AB1020" s="6">
        <f>$K$1020*$V$1020</f>
        <v>0</v>
      </c>
      <c r="AC1020" s="6">
        <f>$M$1020*$W$1020</f>
        <v>827.52510999999993</v>
      </c>
      <c r="AD1020" s="6">
        <f>$O$1020*$X$1020</f>
        <v>555.39143000000001</v>
      </c>
      <c r="AE1020" s="6">
        <f>$K$1020*$Y$1020</f>
        <v>0</v>
      </c>
      <c r="AF1020" s="6">
        <f ca="1">$M$1020*$Z$1020</f>
        <v>963.828655747384</v>
      </c>
      <c r="AG1020" s="6">
        <f>$O$1020*$AA$1020</f>
        <v>484.26673366355288</v>
      </c>
    </row>
    <row r="1021" spans="1:33" ht="11.25" customHeight="1" x14ac:dyDescent="0.25">
      <c r="A1021" s="4" t="s">
        <v>21</v>
      </c>
      <c r="B1021" s="4" t="s">
        <v>33</v>
      </c>
      <c r="C1021" s="4" t="s">
        <v>34</v>
      </c>
      <c r="D1021" s="4" t="s">
        <v>24</v>
      </c>
      <c r="E1021" s="4" t="s">
        <v>24</v>
      </c>
      <c r="F1021" s="4" t="s">
        <v>25</v>
      </c>
      <c r="G1021" s="4" t="s">
        <v>25</v>
      </c>
      <c r="H1021" s="4" t="s">
        <v>35</v>
      </c>
      <c r="I1021" s="5">
        <v>43952</v>
      </c>
      <c r="J1021" s="6">
        <v>0</v>
      </c>
      <c r="K1021" s="6">
        <v>0</v>
      </c>
      <c r="L1021" s="6">
        <v>10.09</v>
      </c>
      <c r="M1021" s="6">
        <v>10.09</v>
      </c>
      <c r="N1021" s="6">
        <v>10.09</v>
      </c>
      <c r="O1021" s="6">
        <v>10.09</v>
      </c>
      <c r="P1021" s="6">
        <v>0</v>
      </c>
      <c r="Q1021" s="4" t="s">
        <v>26</v>
      </c>
      <c r="R1021" s="4">
        <v>0</v>
      </c>
      <c r="S1021" s="6">
        <v>0</v>
      </c>
      <c r="T1021" s="6">
        <v>27</v>
      </c>
      <c r="U1021" s="6">
        <v>81</v>
      </c>
      <c r="V1021" s="6">
        <f>IF(ISERROR(VLOOKUP($S$1021,'TAR FIN'!$A$1:$O$120,15,0)),0,VLOOKUP($S$1021,'TAR FIN'!$A$1:$O$120,15,0))</f>
        <v>0</v>
      </c>
      <c r="W1021" s="6">
        <f>IF(ISERROR(VLOOKUP($T$1021,'TAR FIN'!$A$1:$O$120,15,0)),0,VLOOKUP($T$1021,'TAR FIN'!$A$1:$O$120,15,0))</f>
        <v>641.99</v>
      </c>
      <c r="X1021" s="6">
        <f>IF(ISERROR(VLOOKUP($U$1021,'TAR FIN'!$A$1:$O$120,15,0)),0,VLOOKUP($U$1021,'TAR FIN'!$A$1:$O$120,15,0))</f>
        <v>430.87</v>
      </c>
      <c r="Y1021" s="6"/>
      <c r="Z1021" s="6">
        <f ca="1">('TUSD BE'!$AM$33+'TUSD BF'!$AM$33+'TUSD CVA'!$AM$33)*1</f>
        <v>747.73363518028248</v>
      </c>
      <c r="AA1021" s="6">
        <f>('TE BE'!$AA$10+'TE BF'!$AA$10+'TE CVA'!$AA$10)*1</f>
        <v>375.69180268700768</v>
      </c>
      <c r="AB1021" s="6">
        <f>$K$1021*$V$1021</f>
        <v>0</v>
      </c>
      <c r="AC1021" s="6">
        <f>$M$1021*$W$1021</f>
        <v>6477.6791000000003</v>
      </c>
      <c r="AD1021" s="6">
        <f>$O$1021*$X$1021</f>
        <v>4347.4782999999998</v>
      </c>
      <c r="AE1021" s="6">
        <f>$K$1021*$Y$1021</f>
        <v>0</v>
      </c>
      <c r="AF1021" s="6">
        <f ca="1">$M$1021*$Z$1021</f>
        <v>7544.6323789690505</v>
      </c>
      <c r="AG1021" s="6">
        <f>$O$1021*$AA$1021</f>
        <v>3790.7302891119075</v>
      </c>
    </row>
    <row r="1022" spans="1:33" ht="11.25" customHeight="1" x14ac:dyDescent="0.25">
      <c r="A1022" s="4" t="s">
        <v>27</v>
      </c>
      <c r="B1022" s="4" t="s">
        <v>33</v>
      </c>
      <c r="C1022" s="4" t="s">
        <v>34</v>
      </c>
      <c r="D1022" s="4" t="s">
        <v>24</v>
      </c>
      <c r="E1022" s="4" t="s">
        <v>24</v>
      </c>
      <c r="F1022" s="4" t="s">
        <v>25</v>
      </c>
      <c r="G1022" s="4" t="s">
        <v>25</v>
      </c>
      <c r="H1022" s="4" t="s">
        <v>35</v>
      </c>
      <c r="I1022" s="5">
        <v>43952</v>
      </c>
      <c r="J1022" s="6">
        <v>0</v>
      </c>
      <c r="K1022" s="6">
        <v>0</v>
      </c>
      <c r="L1022" s="6">
        <v>0.71499999999999997</v>
      </c>
      <c r="M1022" s="6">
        <v>0.71499999999999997</v>
      </c>
      <c r="N1022" s="6">
        <v>0.71499999999999997</v>
      </c>
      <c r="O1022" s="6">
        <v>0.71499999999999997</v>
      </c>
      <c r="P1022" s="6">
        <v>0</v>
      </c>
      <c r="Q1022" s="4" t="s">
        <v>26</v>
      </c>
      <c r="R1022" s="4">
        <v>0</v>
      </c>
      <c r="S1022" s="6">
        <v>0</v>
      </c>
      <c r="T1022" s="6">
        <v>27</v>
      </c>
      <c r="U1022" s="6">
        <v>81</v>
      </c>
      <c r="V1022" s="6">
        <f>IF(ISERROR(VLOOKUP($S$1022,'TAR FIN'!$A$1:$O$120,15,0)),0,VLOOKUP($S$1022,'TAR FIN'!$A$1:$O$120,15,0))</f>
        <v>0</v>
      </c>
      <c r="W1022" s="6">
        <f>IF(ISERROR(VLOOKUP($T$1022,'TAR FIN'!$A$1:$O$120,15,0)),0,VLOOKUP($T$1022,'TAR FIN'!$A$1:$O$120,15,0))</f>
        <v>641.99</v>
      </c>
      <c r="X1022" s="6">
        <f>IF(ISERROR(VLOOKUP($U$1022,'TAR FIN'!$A$1:$O$120,15,0)),0,VLOOKUP($U$1022,'TAR FIN'!$A$1:$O$120,15,0))</f>
        <v>430.87</v>
      </c>
      <c r="Y1022" s="6"/>
      <c r="Z1022" s="6">
        <f ca="1">('TUSD BE'!$AM$33+'TUSD BF'!$AM$33+'TUSD CVA'!$AM$33)*1</f>
        <v>747.73363518028248</v>
      </c>
      <c r="AA1022" s="6">
        <f>('TE BE'!$AA$10+'TE BF'!$AA$10+'TE CVA'!$AA$10)*1</f>
        <v>375.69180268700768</v>
      </c>
      <c r="AB1022" s="6">
        <f>$K$1022*$V$1022</f>
        <v>0</v>
      </c>
      <c r="AC1022" s="6">
        <f>$M$1022*$W$1022</f>
        <v>459.02285000000001</v>
      </c>
      <c r="AD1022" s="6">
        <f>$O$1022*$X$1022</f>
        <v>308.07204999999999</v>
      </c>
      <c r="AE1022" s="6">
        <f>$K$1022*$Y$1022</f>
        <v>0</v>
      </c>
      <c r="AF1022" s="6">
        <f ca="1">$M$1022*$Z$1022</f>
        <v>534.62954915390196</v>
      </c>
      <c r="AG1022" s="6">
        <f>$O$1022*$AA$1022</f>
        <v>268.61963892121048</v>
      </c>
    </row>
    <row r="1023" spans="1:33" ht="11.25" customHeight="1" x14ac:dyDescent="0.25">
      <c r="A1023" s="4" t="s">
        <v>28</v>
      </c>
      <c r="B1023" s="4" t="s">
        <v>33</v>
      </c>
      <c r="C1023" s="4" t="s">
        <v>34</v>
      </c>
      <c r="D1023" s="4" t="s">
        <v>24</v>
      </c>
      <c r="E1023" s="4" t="s">
        <v>24</v>
      </c>
      <c r="F1023" s="4" t="s">
        <v>25</v>
      </c>
      <c r="G1023" s="4" t="s">
        <v>25</v>
      </c>
      <c r="H1023" s="4" t="s">
        <v>35</v>
      </c>
      <c r="I1023" s="5">
        <v>43952</v>
      </c>
      <c r="J1023" s="6">
        <v>0</v>
      </c>
      <c r="K1023" s="6">
        <v>0</v>
      </c>
      <c r="L1023" s="6">
        <v>0.73699999999999999</v>
      </c>
      <c r="M1023" s="6">
        <v>0.73699999999999999</v>
      </c>
      <c r="N1023" s="6">
        <v>0.73699999999999999</v>
      </c>
      <c r="O1023" s="6">
        <v>0.73699999999999999</v>
      </c>
      <c r="P1023" s="6">
        <v>0</v>
      </c>
      <c r="Q1023" s="4" t="s">
        <v>26</v>
      </c>
      <c r="R1023" s="4">
        <v>0</v>
      </c>
      <c r="S1023" s="6">
        <v>0</v>
      </c>
      <c r="T1023" s="6">
        <v>27</v>
      </c>
      <c r="U1023" s="6">
        <v>81</v>
      </c>
      <c r="V1023" s="6">
        <f>IF(ISERROR(VLOOKUP($S$1023,'TAR FIN'!$A$1:$O$120,15,0)),0,VLOOKUP($S$1023,'TAR FIN'!$A$1:$O$120,15,0))</f>
        <v>0</v>
      </c>
      <c r="W1023" s="6">
        <f>IF(ISERROR(VLOOKUP($T$1023,'TAR FIN'!$A$1:$O$120,15,0)),0,VLOOKUP($T$1023,'TAR FIN'!$A$1:$O$120,15,0))</f>
        <v>641.99</v>
      </c>
      <c r="X1023" s="6">
        <f>IF(ISERROR(VLOOKUP($U$1023,'TAR FIN'!$A$1:$O$120,15,0)),0,VLOOKUP($U$1023,'TAR FIN'!$A$1:$O$120,15,0))</f>
        <v>430.87</v>
      </c>
      <c r="Y1023" s="6"/>
      <c r="Z1023" s="6">
        <f ca="1">('TUSD BE'!$AM$33+'TUSD BF'!$AM$33+'TUSD CVA'!$AM$33)*1</f>
        <v>747.73363518028248</v>
      </c>
      <c r="AA1023" s="6">
        <f>('TE BE'!$AA$10+'TE BF'!$AA$10+'TE CVA'!$AA$10)*1</f>
        <v>375.69180268700768</v>
      </c>
      <c r="AB1023" s="6">
        <f>$K$1023*$V$1023</f>
        <v>0</v>
      </c>
      <c r="AC1023" s="6">
        <f>$M$1023*$W$1023</f>
        <v>473.14663000000002</v>
      </c>
      <c r="AD1023" s="6">
        <f>$O$1023*$X$1023</f>
        <v>317.55119000000002</v>
      </c>
      <c r="AE1023" s="6">
        <f>$K$1023*$Y$1023</f>
        <v>0</v>
      </c>
      <c r="AF1023" s="6">
        <f ca="1">$M$1023*$Z$1023</f>
        <v>551.07968912786816</v>
      </c>
      <c r="AG1023" s="6">
        <f>$O$1023*$AA$1023</f>
        <v>276.88485858032465</v>
      </c>
    </row>
    <row r="1024" spans="1:33" ht="11.25" customHeight="1" x14ac:dyDescent="0.25">
      <c r="A1024" s="4" t="s">
        <v>21</v>
      </c>
      <c r="B1024" s="4" t="s">
        <v>33</v>
      </c>
      <c r="C1024" s="4" t="s">
        <v>34</v>
      </c>
      <c r="D1024" s="4" t="s">
        <v>24</v>
      </c>
      <c r="E1024" s="4" t="s">
        <v>24</v>
      </c>
      <c r="F1024" s="4" t="s">
        <v>25</v>
      </c>
      <c r="G1024" s="4" t="s">
        <v>25</v>
      </c>
      <c r="H1024" s="4" t="s">
        <v>35</v>
      </c>
      <c r="I1024" s="5">
        <v>43983</v>
      </c>
      <c r="J1024" s="6">
        <v>0</v>
      </c>
      <c r="K1024" s="6">
        <v>0</v>
      </c>
      <c r="L1024" s="6">
        <v>12.659000000000001</v>
      </c>
      <c r="M1024" s="6">
        <v>12.659000000000001</v>
      </c>
      <c r="N1024" s="6">
        <v>12.659000000000001</v>
      </c>
      <c r="O1024" s="6">
        <v>12.659000000000001</v>
      </c>
      <c r="P1024" s="6">
        <v>0</v>
      </c>
      <c r="Q1024" s="4" t="s">
        <v>26</v>
      </c>
      <c r="R1024" s="4">
        <v>0</v>
      </c>
      <c r="S1024" s="6">
        <v>0</v>
      </c>
      <c r="T1024" s="6">
        <v>27</v>
      </c>
      <c r="U1024" s="6">
        <v>81</v>
      </c>
      <c r="V1024" s="6">
        <f>IF(ISERROR(VLOOKUP($S$1024,'TAR FIN'!$A$1:$O$120,15,0)),0,VLOOKUP($S$1024,'TAR FIN'!$A$1:$O$120,15,0))</f>
        <v>0</v>
      </c>
      <c r="W1024" s="6">
        <f>IF(ISERROR(VLOOKUP($T$1024,'TAR FIN'!$A$1:$O$120,15,0)),0,VLOOKUP($T$1024,'TAR FIN'!$A$1:$O$120,15,0))</f>
        <v>641.99</v>
      </c>
      <c r="X1024" s="6">
        <f>IF(ISERROR(VLOOKUP($U$1024,'TAR FIN'!$A$1:$O$120,15,0)),0,VLOOKUP($U$1024,'TAR FIN'!$A$1:$O$120,15,0))</f>
        <v>430.87</v>
      </c>
      <c r="Y1024" s="6"/>
      <c r="Z1024" s="6">
        <f ca="1">('TUSD BE'!$AM$33+'TUSD BF'!$AM$33+'TUSD CVA'!$AM$33)*1</f>
        <v>747.73363518028248</v>
      </c>
      <c r="AA1024" s="6">
        <f>('TE BE'!$AA$10+'TE BF'!$AA$10+'TE CVA'!$AA$10)*1</f>
        <v>375.69180268700768</v>
      </c>
      <c r="AB1024" s="6">
        <f>$K$1024*$V$1024</f>
        <v>0</v>
      </c>
      <c r="AC1024" s="6">
        <f>$M$1024*$W$1024</f>
        <v>8126.9514100000006</v>
      </c>
      <c r="AD1024" s="6">
        <f>$O$1024*$X$1024</f>
        <v>5454.3833300000006</v>
      </c>
      <c r="AE1024" s="6">
        <f>$K$1024*$Y$1024</f>
        <v>0</v>
      </c>
      <c r="AF1024" s="6">
        <f ca="1">$M$1024*$Z$1024</f>
        <v>9465.560087747197</v>
      </c>
      <c r="AG1024" s="6">
        <f>$O$1024*$AA$1024</f>
        <v>4755.8825302148307</v>
      </c>
    </row>
    <row r="1025" spans="1:33" ht="11.25" customHeight="1" x14ac:dyDescent="0.25">
      <c r="A1025" s="4" t="s">
        <v>27</v>
      </c>
      <c r="B1025" s="4" t="s">
        <v>33</v>
      </c>
      <c r="C1025" s="4" t="s">
        <v>34</v>
      </c>
      <c r="D1025" s="4" t="s">
        <v>24</v>
      </c>
      <c r="E1025" s="4" t="s">
        <v>24</v>
      </c>
      <c r="F1025" s="4" t="s">
        <v>25</v>
      </c>
      <c r="G1025" s="4" t="s">
        <v>25</v>
      </c>
      <c r="H1025" s="4" t="s">
        <v>35</v>
      </c>
      <c r="I1025" s="5">
        <v>43983</v>
      </c>
      <c r="J1025" s="6">
        <v>0</v>
      </c>
      <c r="K1025" s="6">
        <v>0</v>
      </c>
      <c r="L1025" s="6">
        <v>0.51500000000000001</v>
      </c>
      <c r="M1025" s="6">
        <v>0.51500000000000001</v>
      </c>
      <c r="N1025" s="6">
        <v>0.51500000000000001</v>
      </c>
      <c r="O1025" s="6">
        <v>0.51500000000000001</v>
      </c>
      <c r="P1025" s="6">
        <v>0</v>
      </c>
      <c r="Q1025" s="4" t="s">
        <v>26</v>
      </c>
      <c r="R1025" s="4">
        <v>0</v>
      </c>
      <c r="S1025" s="6">
        <v>0</v>
      </c>
      <c r="T1025" s="6">
        <v>27</v>
      </c>
      <c r="U1025" s="6">
        <v>81</v>
      </c>
      <c r="V1025" s="6">
        <f>IF(ISERROR(VLOOKUP($S$1025,'TAR FIN'!$A$1:$O$120,15,0)),0,VLOOKUP($S$1025,'TAR FIN'!$A$1:$O$120,15,0))</f>
        <v>0</v>
      </c>
      <c r="W1025" s="6">
        <f>IF(ISERROR(VLOOKUP($T$1025,'TAR FIN'!$A$1:$O$120,15,0)),0,VLOOKUP($T$1025,'TAR FIN'!$A$1:$O$120,15,0))</f>
        <v>641.99</v>
      </c>
      <c r="X1025" s="6">
        <f>IF(ISERROR(VLOOKUP($U$1025,'TAR FIN'!$A$1:$O$120,15,0)),0,VLOOKUP($U$1025,'TAR FIN'!$A$1:$O$120,15,0))</f>
        <v>430.87</v>
      </c>
      <c r="Y1025" s="6"/>
      <c r="Z1025" s="6">
        <f ca="1">('TUSD BE'!$AM$33+'TUSD BF'!$AM$33+'TUSD CVA'!$AM$33)*1</f>
        <v>747.73363518028248</v>
      </c>
      <c r="AA1025" s="6">
        <f>('TE BE'!$AA$10+'TE BF'!$AA$10+'TE CVA'!$AA$10)*1</f>
        <v>375.69180268700768</v>
      </c>
      <c r="AB1025" s="6">
        <f>$K$1025*$V$1025</f>
        <v>0</v>
      </c>
      <c r="AC1025" s="6">
        <f>$M$1025*$W$1025</f>
        <v>330.62485000000004</v>
      </c>
      <c r="AD1025" s="6">
        <f>$O$1025*$X$1025</f>
        <v>221.89805000000001</v>
      </c>
      <c r="AE1025" s="6">
        <f>$K$1025*$Y$1025</f>
        <v>0</v>
      </c>
      <c r="AF1025" s="6">
        <f ca="1">$M$1025*$Z$1025</f>
        <v>385.08282211784547</v>
      </c>
      <c r="AG1025" s="6">
        <f>$O$1025*$AA$1025</f>
        <v>193.48127838380896</v>
      </c>
    </row>
    <row r="1026" spans="1:33" ht="11.25" customHeight="1" x14ac:dyDescent="0.25">
      <c r="A1026" s="4" t="s">
        <v>28</v>
      </c>
      <c r="B1026" s="4" t="s">
        <v>33</v>
      </c>
      <c r="C1026" s="4" t="s">
        <v>34</v>
      </c>
      <c r="D1026" s="4" t="s">
        <v>24</v>
      </c>
      <c r="E1026" s="4" t="s">
        <v>24</v>
      </c>
      <c r="F1026" s="4" t="s">
        <v>25</v>
      </c>
      <c r="G1026" s="4" t="s">
        <v>25</v>
      </c>
      <c r="H1026" s="4" t="s">
        <v>35</v>
      </c>
      <c r="I1026" s="5">
        <v>43983</v>
      </c>
      <c r="J1026" s="6">
        <v>0</v>
      </c>
      <c r="K1026" s="6">
        <v>0</v>
      </c>
      <c r="L1026" s="6">
        <v>1.0209999999999999</v>
      </c>
      <c r="M1026" s="6">
        <v>1.0209999999999999</v>
      </c>
      <c r="N1026" s="6">
        <v>1.0209999999999999</v>
      </c>
      <c r="O1026" s="6">
        <v>1.0209999999999999</v>
      </c>
      <c r="P1026" s="6">
        <v>0</v>
      </c>
      <c r="Q1026" s="4" t="s">
        <v>26</v>
      </c>
      <c r="R1026" s="4">
        <v>0</v>
      </c>
      <c r="S1026" s="6">
        <v>0</v>
      </c>
      <c r="T1026" s="6">
        <v>27</v>
      </c>
      <c r="U1026" s="6">
        <v>81</v>
      </c>
      <c r="V1026" s="6">
        <f>IF(ISERROR(VLOOKUP($S$1026,'TAR FIN'!$A$1:$O$120,15,0)),0,VLOOKUP($S$1026,'TAR FIN'!$A$1:$O$120,15,0))</f>
        <v>0</v>
      </c>
      <c r="W1026" s="6">
        <f>IF(ISERROR(VLOOKUP($T$1026,'TAR FIN'!$A$1:$O$120,15,0)),0,VLOOKUP($T$1026,'TAR FIN'!$A$1:$O$120,15,0))</f>
        <v>641.99</v>
      </c>
      <c r="X1026" s="6">
        <f>IF(ISERROR(VLOOKUP($U$1026,'TAR FIN'!$A$1:$O$120,15,0)),0,VLOOKUP($U$1026,'TAR FIN'!$A$1:$O$120,15,0))</f>
        <v>430.87</v>
      </c>
      <c r="Y1026" s="6"/>
      <c r="Z1026" s="6">
        <f ca="1">('TUSD BE'!$AM$33+'TUSD BF'!$AM$33+'TUSD CVA'!$AM$33)*1</f>
        <v>747.73363518028248</v>
      </c>
      <c r="AA1026" s="6">
        <f>('TE BE'!$AA$10+'TE BF'!$AA$10+'TE CVA'!$AA$10)*1</f>
        <v>375.69180268700768</v>
      </c>
      <c r="AB1026" s="6">
        <f>$K$1026*$V$1026</f>
        <v>0</v>
      </c>
      <c r="AC1026" s="6">
        <f>$M$1026*$W$1026</f>
        <v>655.47178999999994</v>
      </c>
      <c r="AD1026" s="6">
        <f>$O$1026*$X$1026</f>
        <v>439.91826999999995</v>
      </c>
      <c r="AE1026" s="6">
        <f>$K$1026*$Y$1026</f>
        <v>0</v>
      </c>
      <c r="AF1026" s="6">
        <f ca="1">$M$1026*$Z$1026</f>
        <v>763.43604151906834</v>
      </c>
      <c r="AG1026" s="6">
        <f>$O$1026*$AA$1026</f>
        <v>383.58133054343483</v>
      </c>
    </row>
    <row r="1027" spans="1:33" ht="11.25" customHeight="1" x14ac:dyDescent="0.25">
      <c r="A1027" s="4" t="s">
        <v>21</v>
      </c>
      <c r="B1027" s="4" t="s">
        <v>33</v>
      </c>
      <c r="C1027" s="4" t="s">
        <v>34</v>
      </c>
      <c r="D1027" s="4" t="s">
        <v>24</v>
      </c>
      <c r="E1027" s="4" t="s">
        <v>24</v>
      </c>
      <c r="F1027" s="4" t="s">
        <v>25</v>
      </c>
      <c r="G1027" s="4" t="s">
        <v>25</v>
      </c>
      <c r="H1027" s="4" t="s">
        <v>35</v>
      </c>
      <c r="I1027" s="5">
        <v>44013</v>
      </c>
      <c r="J1027" s="6">
        <v>0</v>
      </c>
      <c r="K1027" s="6">
        <v>0</v>
      </c>
      <c r="L1027" s="6">
        <v>11.676</v>
      </c>
      <c r="M1027" s="6">
        <v>11.676</v>
      </c>
      <c r="N1027" s="6">
        <v>11.676</v>
      </c>
      <c r="O1027" s="6">
        <v>11.676</v>
      </c>
      <c r="P1027" s="6">
        <v>0</v>
      </c>
      <c r="Q1027" s="4" t="s">
        <v>26</v>
      </c>
      <c r="R1027" s="4">
        <v>0</v>
      </c>
      <c r="S1027" s="6">
        <v>0</v>
      </c>
      <c r="T1027" s="6">
        <v>27</v>
      </c>
      <c r="U1027" s="6">
        <v>81</v>
      </c>
      <c r="V1027" s="6">
        <f>IF(ISERROR(VLOOKUP($S$1027,'TAR FIN'!$A$1:$O$120,15,0)),0,VLOOKUP($S$1027,'TAR FIN'!$A$1:$O$120,15,0))</f>
        <v>0</v>
      </c>
      <c r="W1027" s="6">
        <f>IF(ISERROR(VLOOKUP($T$1027,'TAR FIN'!$A$1:$O$120,15,0)),0,VLOOKUP($T$1027,'TAR FIN'!$A$1:$O$120,15,0))</f>
        <v>641.99</v>
      </c>
      <c r="X1027" s="6">
        <f>IF(ISERROR(VLOOKUP($U$1027,'TAR FIN'!$A$1:$O$120,15,0)),0,VLOOKUP($U$1027,'TAR FIN'!$A$1:$O$120,15,0))</f>
        <v>430.87</v>
      </c>
      <c r="Y1027" s="6"/>
      <c r="Z1027" s="6">
        <f ca="1">('TUSD BE'!$AM$33+'TUSD BF'!$AM$33+'TUSD CVA'!$AM$33)*1</f>
        <v>747.73363518028248</v>
      </c>
      <c r="AA1027" s="6">
        <f>('TE BE'!$AA$10+'TE BF'!$AA$10+'TE CVA'!$AA$10)*1</f>
        <v>375.69180268700768</v>
      </c>
      <c r="AB1027" s="6">
        <f>$K$1027*$V$1027</f>
        <v>0</v>
      </c>
      <c r="AC1027" s="6">
        <f>$M$1027*$W$1027</f>
        <v>7495.8752400000003</v>
      </c>
      <c r="AD1027" s="6">
        <f>$O$1027*$X$1027</f>
        <v>5030.8381200000003</v>
      </c>
      <c r="AE1027" s="6">
        <f>$K$1027*$Y$1027</f>
        <v>0</v>
      </c>
      <c r="AF1027" s="6">
        <f ca="1">$M$1027*$Z$1027</f>
        <v>8730.5379243649786</v>
      </c>
      <c r="AG1027" s="6">
        <f>$O$1027*$AA$1027</f>
        <v>4386.5774881735015</v>
      </c>
    </row>
    <row r="1028" spans="1:33" ht="11.25" customHeight="1" x14ac:dyDescent="0.25">
      <c r="A1028" s="4" t="s">
        <v>27</v>
      </c>
      <c r="B1028" s="4" t="s">
        <v>33</v>
      </c>
      <c r="C1028" s="4" t="s">
        <v>34</v>
      </c>
      <c r="D1028" s="4" t="s">
        <v>24</v>
      </c>
      <c r="E1028" s="4" t="s">
        <v>24</v>
      </c>
      <c r="F1028" s="4" t="s">
        <v>25</v>
      </c>
      <c r="G1028" s="4" t="s">
        <v>25</v>
      </c>
      <c r="H1028" s="4" t="s">
        <v>35</v>
      </c>
      <c r="I1028" s="5">
        <v>44013</v>
      </c>
      <c r="J1028" s="6">
        <v>0</v>
      </c>
      <c r="K1028" s="6">
        <v>0</v>
      </c>
      <c r="L1028" s="6">
        <v>0.61499999999999999</v>
      </c>
      <c r="M1028" s="6">
        <v>0.61499999999999999</v>
      </c>
      <c r="N1028" s="6">
        <v>0.61499999999999999</v>
      </c>
      <c r="O1028" s="6">
        <v>0.61499999999999999</v>
      </c>
      <c r="P1028" s="6">
        <v>0</v>
      </c>
      <c r="Q1028" s="4" t="s">
        <v>26</v>
      </c>
      <c r="R1028" s="4">
        <v>0</v>
      </c>
      <c r="S1028" s="6">
        <v>0</v>
      </c>
      <c r="T1028" s="6">
        <v>27</v>
      </c>
      <c r="U1028" s="6">
        <v>81</v>
      </c>
      <c r="V1028" s="6">
        <f>IF(ISERROR(VLOOKUP($S$1028,'TAR FIN'!$A$1:$O$120,15,0)),0,VLOOKUP($S$1028,'TAR FIN'!$A$1:$O$120,15,0))</f>
        <v>0</v>
      </c>
      <c r="W1028" s="6">
        <f>IF(ISERROR(VLOOKUP($T$1028,'TAR FIN'!$A$1:$O$120,15,0)),0,VLOOKUP($T$1028,'TAR FIN'!$A$1:$O$120,15,0))</f>
        <v>641.99</v>
      </c>
      <c r="X1028" s="6">
        <f>IF(ISERROR(VLOOKUP($U$1028,'TAR FIN'!$A$1:$O$120,15,0)),0,VLOOKUP($U$1028,'TAR FIN'!$A$1:$O$120,15,0))</f>
        <v>430.87</v>
      </c>
      <c r="Y1028" s="6"/>
      <c r="Z1028" s="6">
        <f ca="1">('TUSD BE'!$AM$33+'TUSD BF'!$AM$33+'TUSD CVA'!$AM$33)*1</f>
        <v>747.73363518028248</v>
      </c>
      <c r="AA1028" s="6">
        <f>('TE BE'!$AA$10+'TE BF'!$AA$10+'TE CVA'!$AA$10)*1</f>
        <v>375.69180268700768</v>
      </c>
      <c r="AB1028" s="6">
        <f>$K$1028*$V$1028</f>
        <v>0</v>
      </c>
      <c r="AC1028" s="6">
        <f>$M$1028*$W$1028</f>
        <v>394.82384999999999</v>
      </c>
      <c r="AD1028" s="6">
        <f>$O$1028*$X$1028</f>
        <v>264.98505</v>
      </c>
      <c r="AE1028" s="6">
        <f>$K$1028*$Y$1028</f>
        <v>0</v>
      </c>
      <c r="AF1028" s="6">
        <f ca="1">$M$1028*$Z$1028</f>
        <v>459.85618563587371</v>
      </c>
      <c r="AG1028" s="6">
        <f>$O$1028*$AA$1028</f>
        <v>231.05045865250972</v>
      </c>
    </row>
    <row r="1029" spans="1:33" ht="11.25" customHeight="1" x14ac:dyDescent="0.25">
      <c r="A1029" s="4" t="s">
        <v>28</v>
      </c>
      <c r="B1029" s="4" t="s">
        <v>33</v>
      </c>
      <c r="C1029" s="4" t="s">
        <v>34</v>
      </c>
      <c r="D1029" s="4" t="s">
        <v>24</v>
      </c>
      <c r="E1029" s="4" t="s">
        <v>24</v>
      </c>
      <c r="F1029" s="4" t="s">
        <v>25</v>
      </c>
      <c r="G1029" s="4" t="s">
        <v>25</v>
      </c>
      <c r="H1029" s="4" t="s">
        <v>35</v>
      </c>
      <c r="I1029" s="5">
        <v>44013</v>
      </c>
      <c r="J1029" s="6">
        <v>0</v>
      </c>
      <c r="K1029" s="6">
        <v>0</v>
      </c>
      <c r="L1029" s="6">
        <v>1.1359999999999999</v>
      </c>
      <c r="M1029" s="6">
        <v>1.1359999999999999</v>
      </c>
      <c r="N1029" s="6">
        <v>1.1359999999999999</v>
      </c>
      <c r="O1029" s="6">
        <v>1.1359999999999999</v>
      </c>
      <c r="P1029" s="6">
        <v>0</v>
      </c>
      <c r="Q1029" s="4" t="s">
        <v>26</v>
      </c>
      <c r="R1029" s="4">
        <v>0</v>
      </c>
      <c r="S1029" s="6">
        <v>0</v>
      </c>
      <c r="T1029" s="6">
        <v>27</v>
      </c>
      <c r="U1029" s="6">
        <v>81</v>
      </c>
      <c r="V1029" s="6">
        <f>IF(ISERROR(VLOOKUP($S$1029,'TAR FIN'!$A$1:$O$120,15,0)),0,VLOOKUP($S$1029,'TAR FIN'!$A$1:$O$120,15,0))</f>
        <v>0</v>
      </c>
      <c r="W1029" s="6">
        <f>IF(ISERROR(VLOOKUP($T$1029,'TAR FIN'!$A$1:$O$120,15,0)),0,VLOOKUP($T$1029,'TAR FIN'!$A$1:$O$120,15,0))</f>
        <v>641.99</v>
      </c>
      <c r="X1029" s="6">
        <f>IF(ISERROR(VLOOKUP($U$1029,'TAR FIN'!$A$1:$O$120,15,0)),0,VLOOKUP($U$1029,'TAR FIN'!$A$1:$O$120,15,0))</f>
        <v>430.87</v>
      </c>
      <c r="Y1029" s="6"/>
      <c r="Z1029" s="6">
        <f ca="1">('TUSD BE'!$AM$33+'TUSD BF'!$AM$33+'TUSD CVA'!$AM$33)*1</f>
        <v>747.73363518028248</v>
      </c>
      <c r="AA1029" s="6">
        <f>('TE BE'!$AA$10+'TE BF'!$AA$10+'TE CVA'!$AA$10)*1</f>
        <v>375.69180268700768</v>
      </c>
      <c r="AB1029" s="6">
        <f>$K$1029*$V$1029</f>
        <v>0</v>
      </c>
      <c r="AC1029" s="6">
        <f>$M$1029*$W$1029</f>
        <v>729.30063999999993</v>
      </c>
      <c r="AD1029" s="6">
        <f>$O$1029*$X$1029</f>
        <v>489.46831999999995</v>
      </c>
      <c r="AE1029" s="6">
        <f>$K$1029*$Y$1029</f>
        <v>0</v>
      </c>
      <c r="AF1029" s="6">
        <f ca="1">$M$1029*$Z$1029</f>
        <v>849.42540956480082</v>
      </c>
      <c r="AG1029" s="6">
        <f>$O$1029*$AA$1029</f>
        <v>426.78588785244068</v>
      </c>
    </row>
    <row r="1030" spans="1:33" ht="11.25" customHeight="1" x14ac:dyDescent="0.25">
      <c r="A1030" s="4" t="s">
        <v>21</v>
      </c>
      <c r="B1030" s="4" t="s">
        <v>33</v>
      </c>
      <c r="C1030" s="4" t="s">
        <v>34</v>
      </c>
      <c r="D1030" s="4" t="s">
        <v>24</v>
      </c>
      <c r="E1030" s="4" t="s">
        <v>24</v>
      </c>
      <c r="F1030" s="4" t="s">
        <v>25</v>
      </c>
      <c r="G1030" s="4" t="s">
        <v>25</v>
      </c>
      <c r="H1030" s="4" t="s">
        <v>35</v>
      </c>
      <c r="I1030" s="5">
        <v>44044</v>
      </c>
      <c r="J1030" s="6">
        <v>0</v>
      </c>
      <c r="K1030" s="6">
        <v>0</v>
      </c>
      <c r="L1030" s="6">
        <v>12.445</v>
      </c>
      <c r="M1030" s="6">
        <v>12.445</v>
      </c>
      <c r="N1030" s="6">
        <v>12.445</v>
      </c>
      <c r="O1030" s="6">
        <v>12.445</v>
      </c>
      <c r="P1030" s="6">
        <v>0</v>
      </c>
      <c r="Q1030" s="4" t="s">
        <v>26</v>
      </c>
      <c r="R1030" s="4">
        <v>0</v>
      </c>
      <c r="S1030" s="6">
        <v>0</v>
      </c>
      <c r="T1030" s="6">
        <v>27</v>
      </c>
      <c r="U1030" s="6">
        <v>81</v>
      </c>
      <c r="V1030" s="6">
        <f>IF(ISERROR(VLOOKUP($S$1030,'TAR FIN'!$A$1:$O$120,15,0)),0,VLOOKUP($S$1030,'TAR FIN'!$A$1:$O$120,15,0))</f>
        <v>0</v>
      </c>
      <c r="W1030" s="6">
        <f>IF(ISERROR(VLOOKUP($T$1030,'TAR FIN'!$A$1:$O$120,15,0)),0,VLOOKUP($T$1030,'TAR FIN'!$A$1:$O$120,15,0))</f>
        <v>641.99</v>
      </c>
      <c r="X1030" s="6">
        <f>IF(ISERROR(VLOOKUP($U$1030,'TAR FIN'!$A$1:$O$120,15,0)),0,VLOOKUP($U$1030,'TAR FIN'!$A$1:$O$120,15,0))</f>
        <v>430.87</v>
      </c>
      <c r="Y1030" s="6"/>
      <c r="Z1030" s="6">
        <f ca="1">('TUSD BE'!$AM$33+'TUSD BF'!$AM$33+'TUSD CVA'!$AM$33)*1</f>
        <v>747.73363518028248</v>
      </c>
      <c r="AA1030" s="6">
        <f>('TE BE'!$AA$10+'TE BF'!$AA$10+'TE CVA'!$AA$10)*1</f>
        <v>375.69180268700768</v>
      </c>
      <c r="AB1030" s="6">
        <f>$K$1030*$V$1030</f>
        <v>0</v>
      </c>
      <c r="AC1030" s="6">
        <f>$M$1030*$W$1030</f>
        <v>7989.5655500000003</v>
      </c>
      <c r="AD1030" s="6">
        <f>$O$1030*$X$1030</f>
        <v>5362.1771500000004</v>
      </c>
      <c r="AE1030" s="6">
        <f>$K$1030*$Y$1030</f>
        <v>0</v>
      </c>
      <c r="AF1030" s="6">
        <f ca="1">$M$1030*$Z$1030</f>
        <v>9305.5450898186155</v>
      </c>
      <c r="AG1030" s="6">
        <f>$O$1030*$AA$1030</f>
        <v>4675.4844844398103</v>
      </c>
    </row>
    <row r="1031" spans="1:33" ht="11.25" customHeight="1" x14ac:dyDescent="0.25">
      <c r="A1031" s="4" t="s">
        <v>28</v>
      </c>
      <c r="B1031" s="4" t="s">
        <v>33</v>
      </c>
      <c r="C1031" s="4" t="s">
        <v>34</v>
      </c>
      <c r="D1031" s="4" t="s">
        <v>24</v>
      </c>
      <c r="E1031" s="4" t="s">
        <v>24</v>
      </c>
      <c r="F1031" s="4" t="s">
        <v>25</v>
      </c>
      <c r="G1031" s="4" t="s">
        <v>25</v>
      </c>
      <c r="H1031" s="4" t="s">
        <v>35</v>
      </c>
      <c r="I1031" s="5">
        <v>44044</v>
      </c>
      <c r="J1031" s="6">
        <v>0</v>
      </c>
      <c r="K1031" s="6">
        <v>0</v>
      </c>
      <c r="L1031" s="6">
        <v>0.94499999999999995</v>
      </c>
      <c r="M1031" s="6">
        <v>0.94499999999999995</v>
      </c>
      <c r="N1031" s="6">
        <v>0.94499999999999995</v>
      </c>
      <c r="O1031" s="6">
        <v>0.94499999999999995</v>
      </c>
      <c r="P1031" s="6">
        <v>0</v>
      </c>
      <c r="Q1031" s="4" t="s">
        <v>26</v>
      </c>
      <c r="R1031" s="4">
        <v>0</v>
      </c>
      <c r="S1031" s="6">
        <v>0</v>
      </c>
      <c r="T1031" s="6">
        <v>27</v>
      </c>
      <c r="U1031" s="6">
        <v>81</v>
      </c>
      <c r="V1031" s="6">
        <f>IF(ISERROR(VLOOKUP($S$1031,'TAR FIN'!$A$1:$O$120,15,0)),0,VLOOKUP($S$1031,'TAR FIN'!$A$1:$O$120,15,0))</f>
        <v>0</v>
      </c>
      <c r="W1031" s="6">
        <f>IF(ISERROR(VLOOKUP($T$1031,'TAR FIN'!$A$1:$O$120,15,0)),0,VLOOKUP($T$1031,'TAR FIN'!$A$1:$O$120,15,0))</f>
        <v>641.99</v>
      </c>
      <c r="X1031" s="6">
        <f>IF(ISERROR(VLOOKUP($U$1031,'TAR FIN'!$A$1:$O$120,15,0)),0,VLOOKUP($U$1031,'TAR FIN'!$A$1:$O$120,15,0))</f>
        <v>430.87</v>
      </c>
      <c r="Y1031" s="6"/>
      <c r="Z1031" s="6">
        <f ca="1">('TUSD BE'!$AM$33+'TUSD BF'!$AM$33+'TUSD CVA'!$AM$33)*1</f>
        <v>747.73363518028248</v>
      </c>
      <c r="AA1031" s="6">
        <f>('TE BE'!$AA$10+'TE BF'!$AA$10+'TE CVA'!$AA$10)*1</f>
        <v>375.69180268700768</v>
      </c>
      <c r="AB1031" s="6">
        <f>$K$1031*$V$1031</f>
        <v>0</v>
      </c>
      <c r="AC1031" s="6">
        <f>$M$1031*$W$1031</f>
        <v>606.68054999999993</v>
      </c>
      <c r="AD1031" s="6">
        <f>$O$1031*$X$1031</f>
        <v>407.17214999999999</v>
      </c>
      <c r="AE1031" s="6">
        <f>$K$1031*$Y$1031</f>
        <v>0</v>
      </c>
      <c r="AF1031" s="6">
        <f ca="1">$M$1031*$Z$1031</f>
        <v>706.60828524536691</v>
      </c>
      <c r="AG1031" s="6">
        <f>$O$1031*$AA$1031</f>
        <v>355.02875353922224</v>
      </c>
    </row>
    <row r="1032" spans="1:33" ht="11.25" customHeight="1" x14ac:dyDescent="0.25">
      <c r="A1032" s="4" t="s">
        <v>59</v>
      </c>
      <c r="B1032" s="4" t="s">
        <v>33</v>
      </c>
      <c r="C1032" s="4" t="s">
        <v>34</v>
      </c>
      <c r="D1032" s="4" t="s">
        <v>24</v>
      </c>
      <c r="E1032" s="4" t="s">
        <v>24</v>
      </c>
      <c r="F1032" s="4" t="s">
        <v>25</v>
      </c>
      <c r="G1032" s="4" t="s">
        <v>25</v>
      </c>
      <c r="H1032" s="4" t="s">
        <v>35</v>
      </c>
      <c r="I1032" s="5">
        <v>44075</v>
      </c>
      <c r="J1032" s="6">
        <v>0</v>
      </c>
      <c r="K1032" s="6">
        <v>0</v>
      </c>
      <c r="L1032" s="6">
        <v>12.445</v>
      </c>
      <c r="M1032" s="6">
        <v>12.445</v>
      </c>
      <c r="N1032" s="6">
        <v>12.445</v>
      </c>
      <c r="O1032" s="6">
        <v>12.445</v>
      </c>
      <c r="P1032" s="6">
        <v>0</v>
      </c>
      <c r="Q1032" s="4" t="s">
        <v>26</v>
      </c>
      <c r="R1032" s="4">
        <v>0</v>
      </c>
      <c r="S1032" s="6">
        <v>0</v>
      </c>
      <c r="T1032" s="6">
        <v>27</v>
      </c>
      <c r="U1032" s="6">
        <v>81</v>
      </c>
      <c r="V1032" s="6">
        <f>IF(ISERROR(VLOOKUP($S$1032,'TAR FIN'!$A$1:$O$120,15,0)),0,VLOOKUP($S$1032,'TAR FIN'!$A$1:$O$120,15,0))</f>
        <v>0</v>
      </c>
      <c r="W1032" s="6">
        <f>IF(ISERROR(VLOOKUP($T$1032,'TAR FIN'!$A$1:$O$120,15,0)),0,VLOOKUP($T$1032,'TAR FIN'!$A$1:$O$120,15,0))</f>
        <v>641.99</v>
      </c>
      <c r="X1032" s="6">
        <f>IF(ISERROR(VLOOKUP($U$1032,'TAR FIN'!$A$1:$O$120,15,0)),0,VLOOKUP($U$1032,'TAR FIN'!$A$1:$O$120,15,0))</f>
        <v>430.87</v>
      </c>
      <c r="Y1032" s="6"/>
      <c r="Z1032" s="6">
        <f ca="1">('TUSD BE'!$AM$33+'TUSD BF'!$AM$33+'TUSD CVA'!$AM$33)*1</f>
        <v>747.73363518028248</v>
      </c>
      <c r="AA1032" s="6">
        <f>('TE BE'!$AA$10+'TE BF'!$AA$10+'TE CVA'!$AA$10)*1</f>
        <v>375.69180268700768</v>
      </c>
      <c r="AB1032" s="6">
        <f>$K$1032*$V$1032</f>
        <v>0</v>
      </c>
      <c r="AC1032" s="6">
        <f>$M$1032*$W$1032</f>
        <v>7989.5655500000003</v>
      </c>
      <c r="AD1032" s="6">
        <f>$O$1032*$X$1032</f>
        <v>5362.1771500000004</v>
      </c>
      <c r="AE1032" s="6">
        <f>$K$1032*$Y$1032</f>
        <v>0</v>
      </c>
      <c r="AF1032" s="6">
        <f ca="1">$M$1032*$Z$1032</f>
        <v>9305.5450898186155</v>
      </c>
      <c r="AG1032" s="6">
        <f>$O$1032*$AA$1032</f>
        <v>4675.4844844398103</v>
      </c>
    </row>
    <row r="1033" spans="1:33" ht="11.25" customHeight="1" x14ac:dyDescent="0.25">
      <c r="A1033" s="4" t="s">
        <v>59</v>
      </c>
      <c r="B1033" s="4" t="s">
        <v>33</v>
      </c>
      <c r="C1033" s="4" t="s">
        <v>34</v>
      </c>
      <c r="D1033" s="4" t="s">
        <v>24</v>
      </c>
      <c r="E1033" s="4" t="s">
        <v>24</v>
      </c>
      <c r="F1033" s="4" t="s">
        <v>25</v>
      </c>
      <c r="G1033" s="4" t="s">
        <v>25</v>
      </c>
      <c r="H1033" s="4" t="s">
        <v>35</v>
      </c>
      <c r="I1033" s="5">
        <v>44075</v>
      </c>
      <c r="J1033" s="6">
        <v>0</v>
      </c>
      <c r="K1033" s="6">
        <v>0</v>
      </c>
      <c r="L1033" s="6">
        <v>0.94499999999999995</v>
      </c>
      <c r="M1033" s="6">
        <v>0.94499999999999995</v>
      </c>
      <c r="N1033" s="6">
        <v>0.94499999999999995</v>
      </c>
      <c r="O1033" s="6">
        <v>0.94499999999999995</v>
      </c>
      <c r="P1033" s="6">
        <v>0</v>
      </c>
      <c r="Q1033" s="4" t="s">
        <v>26</v>
      </c>
      <c r="R1033" s="4">
        <v>0</v>
      </c>
      <c r="S1033" s="6">
        <v>0</v>
      </c>
      <c r="T1033" s="6">
        <v>27</v>
      </c>
      <c r="U1033" s="6">
        <v>81</v>
      </c>
      <c r="V1033" s="6">
        <f>IF(ISERROR(VLOOKUP($S$1033,'TAR FIN'!$A$1:$O$120,15,0)),0,VLOOKUP($S$1033,'TAR FIN'!$A$1:$O$120,15,0))</f>
        <v>0</v>
      </c>
      <c r="W1033" s="6">
        <f>IF(ISERROR(VLOOKUP($T$1033,'TAR FIN'!$A$1:$O$120,15,0)),0,VLOOKUP($T$1033,'TAR FIN'!$A$1:$O$120,15,0))</f>
        <v>641.99</v>
      </c>
      <c r="X1033" s="6">
        <f>IF(ISERROR(VLOOKUP($U$1033,'TAR FIN'!$A$1:$O$120,15,0)),0,VLOOKUP($U$1033,'TAR FIN'!$A$1:$O$120,15,0))</f>
        <v>430.87</v>
      </c>
      <c r="Y1033" s="6"/>
      <c r="Z1033" s="6">
        <f ca="1">('TUSD BE'!$AM$33+'TUSD BF'!$AM$33+'TUSD CVA'!$AM$33)*1</f>
        <v>747.73363518028248</v>
      </c>
      <c r="AA1033" s="6">
        <f>('TE BE'!$AA$10+'TE BF'!$AA$10+'TE CVA'!$AA$10)*1</f>
        <v>375.69180268700768</v>
      </c>
      <c r="AB1033" s="6">
        <f>$K$1033*$V$1033</f>
        <v>0</v>
      </c>
      <c r="AC1033" s="6">
        <f>$M$1033*$W$1033</f>
        <v>606.68054999999993</v>
      </c>
      <c r="AD1033" s="6">
        <f>$O$1033*$X$1033</f>
        <v>407.17214999999999</v>
      </c>
      <c r="AE1033" s="6">
        <f>$K$1033*$Y$1033</f>
        <v>0</v>
      </c>
      <c r="AF1033" s="6">
        <f ca="1">$M$1033*$Z$1033</f>
        <v>706.60828524536691</v>
      </c>
      <c r="AG1033" s="6">
        <f>$O$1033*$AA$1033</f>
        <v>355.02875353922224</v>
      </c>
    </row>
    <row r="1034" spans="1:33" ht="11.25" customHeight="1" x14ac:dyDescent="0.25">
      <c r="A1034" s="4" t="s">
        <v>21</v>
      </c>
      <c r="B1034" s="4" t="s">
        <v>33</v>
      </c>
      <c r="C1034" s="4" t="s">
        <v>34</v>
      </c>
      <c r="D1034" s="4" t="s">
        <v>47</v>
      </c>
      <c r="E1034" s="4" t="s">
        <v>55</v>
      </c>
      <c r="F1034" s="4" t="s">
        <v>57</v>
      </c>
      <c r="G1034" s="4" t="s">
        <v>25</v>
      </c>
      <c r="H1034" s="4" t="s">
        <v>36</v>
      </c>
      <c r="I1034" s="5">
        <v>43739</v>
      </c>
      <c r="J1034" s="6">
        <v>0</v>
      </c>
      <c r="K1034" s="6">
        <v>0</v>
      </c>
      <c r="L1034" s="6">
        <v>680.548</v>
      </c>
      <c r="M1034" s="6">
        <v>136.1096</v>
      </c>
      <c r="N1034" s="6">
        <v>680.548</v>
      </c>
      <c r="O1034" s="6">
        <v>136.1096</v>
      </c>
      <c r="P1034" s="6">
        <v>0</v>
      </c>
      <c r="Q1034" s="4" t="s">
        <v>26</v>
      </c>
      <c r="R1034" s="4">
        <v>0</v>
      </c>
      <c r="S1034" s="6">
        <v>0</v>
      </c>
      <c r="T1034" s="6">
        <v>28</v>
      </c>
      <c r="U1034" s="6">
        <v>82</v>
      </c>
      <c r="V1034" s="6">
        <f>IF(ISERROR(VLOOKUP($S$1034,'TAR FIN'!$A$1:$O$120,15,0)),0,VLOOKUP($S$1034,'TAR FIN'!$A$1:$O$120,15,0))</f>
        <v>0</v>
      </c>
      <c r="W1034" s="6">
        <f>IF(ISERROR(VLOOKUP($T$1034,'TAR FIN'!$A$1:$O$120,15,0)),0,VLOOKUP($T$1034,'TAR FIN'!$A$1:$O$120,15,0))</f>
        <v>84.45</v>
      </c>
      <c r="X1034" s="6">
        <f>IF(ISERROR(VLOOKUP($U$1034,'TAR FIN'!$A$1:$O$120,15,0)),0,VLOOKUP($U$1034,'TAR FIN'!$A$1:$O$120,15,0))</f>
        <v>256.38</v>
      </c>
      <c r="Y1034" s="6"/>
      <c r="Z1034" s="6">
        <f ca="1">('TUSD BE'!$AM$34+'TUSD BF'!$AM$34+'TUSD CVA'!$AM$34)*1</f>
        <v>87.519361965254689</v>
      </c>
      <c r="AA1034" s="6">
        <f>('TE BE'!$AA$11+'TE BF'!$AA$11+'TE CVA'!$AA$11)*1</f>
        <v>230.83420940933817</v>
      </c>
      <c r="AB1034" s="6">
        <f>$K$1034*$V$1034</f>
        <v>0</v>
      </c>
      <c r="AC1034" s="6">
        <f>$M$1034*$W$1034</f>
        <v>11494.45572</v>
      </c>
      <c r="AD1034" s="6">
        <f>$O$1034*$X$1034</f>
        <v>34895.779247999999</v>
      </c>
      <c r="AE1034" s="6">
        <f>$K$1034*$Y$1034</f>
        <v>0</v>
      </c>
      <c r="AF1034" s="6">
        <f ca="1">$M$1034*$Z$1034</f>
        <v>11912.22534934603</v>
      </c>
      <c r="AG1034" s="6">
        <f>$O$1034*$AA$1034</f>
        <v>31418.751909021255</v>
      </c>
    </row>
    <row r="1035" spans="1:33" ht="11.25" customHeight="1" x14ac:dyDescent="0.25">
      <c r="A1035" s="4" t="s">
        <v>27</v>
      </c>
      <c r="B1035" s="4" t="s">
        <v>33</v>
      </c>
      <c r="C1035" s="4" t="s">
        <v>34</v>
      </c>
      <c r="D1035" s="4" t="s">
        <v>47</v>
      </c>
      <c r="E1035" s="4" t="s">
        <v>55</v>
      </c>
      <c r="F1035" s="4" t="s">
        <v>57</v>
      </c>
      <c r="G1035" s="4" t="s">
        <v>25</v>
      </c>
      <c r="H1035" s="4" t="s">
        <v>36</v>
      </c>
      <c r="I1035" s="5">
        <v>43739</v>
      </c>
      <c r="J1035" s="6">
        <v>0</v>
      </c>
      <c r="K1035" s="6">
        <v>0</v>
      </c>
      <c r="L1035" s="6">
        <v>0.52700000000000002</v>
      </c>
      <c r="M1035" s="6">
        <v>0.10539999999999999</v>
      </c>
      <c r="N1035" s="6">
        <v>0.52700000000000002</v>
      </c>
      <c r="O1035" s="6">
        <v>0.10539999999999999</v>
      </c>
      <c r="P1035" s="6">
        <v>0</v>
      </c>
      <c r="Q1035" s="4" t="s">
        <v>26</v>
      </c>
      <c r="R1035" s="4">
        <v>0</v>
      </c>
      <c r="S1035" s="6">
        <v>0</v>
      </c>
      <c r="T1035" s="6">
        <v>28</v>
      </c>
      <c r="U1035" s="6">
        <v>82</v>
      </c>
      <c r="V1035" s="6">
        <f>IF(ISERROR(VLOOKUP($S$1035,'TAR FIN'!$A$1:$O$120,15,0)),0,VLOOKUP($S$1035,'TAR FIN'!$A$1:$O$120,15,0))</f>
        <v>0</v>
      </c>
      <c r="W1035" s="6">
        <f>IF(ISERROR(VLOOKUP($T$1035,'TAR FIN'!$A$1:$O$120,15,0)),0,VLOOKUP($T$1035,'TAR FIN'!$A$1:$O$120,15,0))</f>
        <v>84.45</v>
      </c>
      <c r="X1035" s="6">
        <f>IF(ISERROR(VLOOKUP($U$1035,'TAR FIN'!$A$1:$O$120,15,0)),0,VLOOKUP($U$1035,'TAR FIN'!$A$1:$O$120,15,0))</f>
        <v>256.38</v>
      </c>
      <c r="Y1035" s="6"/>
      <c r="Z1035" s="6">
        <f ca="1">('TUSD BE'!$AM$34+'TUSD BF'!$AM$34+'TUSD CVA'!$AM$34)*1</f>
        <v>87.519361965254689</v>
      </c>
      <c r="AA1035" s="6">
        <f>('TE BE'!$AA$11+'TE BF'!$AA$11+'TE CVA'!$AA$11)*1</f>
        <v>230.83420940933817</v>
      </c>
      <c r="AB1035" s="6">
        <f>$K$1035*$V$1035</f>
        <v>0</v>
      </c>
      <c r="AC1035" s="6">
        <f>$M$1035*$W$1035</f>
        <v>8.9010300000000004</v>
      </c>
      <c r="AD1035" s="6">
        <f>$O$1035*$X$1035</f>
        <v>27.022451999999998</v>
      </c>
      <c r="AE1035" s="6">
        <f>$K$1035*$Y$1035</f>
        <v>0</v>
      </c>
      <c r="AF1035" s="6">
        <f ca="1">$M$1035*$Z$1035</f>
        <v>9.2245407511378428</v>
      </c>
      <c r="AG1035" s="6">
        <f>$O$1035*$AA$1035</f>
        <v>24.329925671744242</v>
      </c>
    </row>
    <row r="1036" spans="1:33" ht="11.25" customHeight="1" x14ac:dyDescent="0.25">
      <c r="A1036" s="4" t="s">
        <v>21</v>
      </c>
      <c r="B1036" s="4" t="s">
        <v>33</v>
      </c>
      <c r="C1036" s="4" t="s">
        <v>34</v>
      </c>
      <c r="D1036" s="4" t="s">
        <v>47</v>
      </c>
      <c r="E1036" s="4" t="s">
        <v>55</v>
      </c>
      <c r="F1036" s="4" t="s">
        <v>57</v>
      </c>
      <c r="G1036" s="4" t="s">
        <v>25</v>
      </c>
      <c r="H1036" s="4" t="s">
        <v>36</v>
      </c>
      <c r="I1036" s="5">
        <v>43770</v>
      </c>
      <c r="J1036" s="6">
        <v>0</v>
      </c>
      <c r="K1036" s="6">
        <v>0</v>
      </c>
      <c r="L1036" s="6">
        <v>844.74</v>
      </c>
      <c r="M1036" s="6">
        <v>168.94800000000001</v>
      </c>
      <c r="N1036" s="6">
        <v>844.74</v>
      </c>
      <c r="O1036" s="6">
        <v>168.94800000000001</v>
      </c>
      <c r="P1036" s="6">
        <v>0</v>
      </c>
      <c r="Q1036" s="4" t="s">
        <v>26</v>
      </c>
      <c r="R1036" s="4">
        <v>0</v>
      </c>
      <c r="S1036" s="6">
        <v>0</v>
      </c>
      <c r="T1036" s="6">
        <v>28</v>
      </c>
      <c r="U1036" s="6">
        <v>82</v>
      </c>
      <c r="V1036" s="6">
        <f>IF(ISERROR(VLOOKUP($S$1036,'TAR FIN'!$A$1:$O$120,15,0)),0,VLOOKUP($S$1036,'TAR FIN'!$A$1:$O$120,15,0))</f>
        <v>0</v>
      </c>
      <c r="W1036" s="6">
        <f>IF(ISERROR(VLOOKUP($T$1036,'TAR FIN'!$A$1:$O$120,15,0)),0,VLOOKUP($T$1036,'TAR FIN'!$A$1:$O$120,15,0))</f>
        <v>84.45</v>
      </c>
      <c r="X1036" s="6">
        <f>IF(ISERROR(VLOOKUP($U$1036,'TAR FIN'!$A$1:$O$120,15,0)),0,VLOOKUP($U$1036,'TAR FIN'!$A$1:$O$120,15,0))</f>
        <v>256.38</v>
      </c>
      <c r="Y1036" s="6"/>
      <c r="Z1036" s="6">
        <f ca="1">('TUSD BE'!$AM$34+'TUSD BF'!$AM$34+'TUSD CVA'!$AM$34)*1</f>
        <v>87.519361965254689</v>
      </c>
      <c r="AA1036" s="6">
        <f>('TE BE'!$AA$11+'TE BF'!$AA$11+'TE CVA'!$AA$11)*1</f>
        <v>230.83420940933817</v>
      </c>
      <c r="AB1036" s="6">
        <f>$K$1036*$V$1036</f>
        <v>0</v>
      </c>
      <c r="AC1036" s="6">
        <f>$M$1036*$W$1036</f>
        <v>14267.658600000001</v>
      </c>
      <c r="AD1036" s="6">
        <f>$O$1036*$X$1036</f>
        <v>43314.88824</v>
      </c>
      <c r="AE1036" s="6">
        <f>$K$1036*$Y$1036</f>
        <v>0</v>
      </c>
      <c r="AF1036" s="6">
        <f ca="1">$M$1036*$Z$1036</f>
        <v>14786.221165305849</v>
      </c>
      <c r="AG1036" s="6">
        <f>$O$1036*$AA$1036</f>
        <v>38998.978011288869</v>
      </c>
    </row>
    <row r="1037" spans="1:33" ht="11.25" customHeight="1" x14ac:dyDescent="0.25">
      <c r="A1037" s="4" t="s">
        <v>27</v>
      </c>
      <c r="B1037" s="4" t="s">
        <v>33</v>
      </c>
      <c r="C1037" s="4" t="s">
        <v>34</v>
      </c>
      <c r="D1037" s="4" t="s">
        <v>47</v>
      </c>
      <c r="E1037" s="4" t="s">
        <v>55</v>
      </c>
      <c r="F1037" s="4" t="s">
        <v>57</v>
      </c>
      <c r="G1037" s="4" t="s">
        <v>25</v>
      </c>
      <c r="H1037" s="4" t="s">
        <v>36</v>
      </c>
      <c r="I1037" s="5">
        <v>43770</v>
      </c>
      <c r="J1037" s="6">
        <v>0</v>
      </c>
      <c r="K1037" s="6">
        <v>0</v>
      </c>
      <c r="L1037" s="6">
        <v>10.929</v>
      </c>
      <c r="M1037" s="6">
        <v>2.1858</v>
      </c>
      <c r="N1037" s="6">
        <v>10.929</v>
      </c>
      <c r="O1037" s="6">
        <v>2.1858</v>
      </c>
      <c r="P1037" s="6">
        <v>0</v>
      </c>
      <c r="Q1037" s="4" t="s">
        <v>26</v>
      </c>
      <c r="R1037" s="4">
        <v>0</v>
      </c>
      <c r="S1037" s="6">
        <v>0</v>
      </c>
      <c r="T1037" s="6">
        <v>28</v>
      </c>
      <c r="U1037" s="6">
        <v>82</v>
      </c>
      <c r="V1037" s="6">
        <f>IF(ISERROR(VLOOKUP($S$1037,'TAR FIN'!$A$1:$O$120,15,0)),0,VLOOKUP($S$1037,'TAR FIN'!$A$1:$O$120,15,0))</f>
        <v>0</v>
      </c>
      <c r="W1037" s="6">
        <f>IF(ISERROR(VLOOKUP($T$1037,'TAR FIN'!$A$1:$O$120,15,0)),0,VLOOKUP($T$1037,'TAR FIN'!$A$1:$O$120,15,0))</f>
        <v>84.45</v>
      </c>
      <c r="X1037" s="6">
        <f>IF(ISERROR(VLOOKUP($U$1037,'TAR FIN'!$A$1:$O$120,15,0)),0,VLOOKUP($U$1037,'TAR FIN'!$A$1:$O$120,15,0))</f>
        <v>256.38</v>
      </c>
      <c r="Y1037" s="6"/>
      <c r="Z1037" s="6">
        <f ca="1">('TUSD BE'!$AM$34+'TUSD BF'!$AM$34+'TUSD CVA'!$AM$34)*1</f>
        <v>87.519361965254689</v>
      </c>
      <c r="AA1037" s="6">
        <f>('TE BE'!$AA$11+'TE BF'!$AA$11+'TE CVA'!$AA$11)*1</f>
        <v>230.83420940933817</v>
      </c>
      <c r="AB1037" s="6">
        <f>$K$1037*$V$1037</f>
        <v>0</v>
      </c>
      <c r="AC1037" s="6">
        <f>$M$1037*$W$1037</f>
        <v>184.59081</v>
      </c>
      <c r="AD1037" s="6">
        <f>$O$1037*$X$1037</f>
        <v>560.39540399999998</v>
      </c>
      <c r="AE1037" s="6">
        <f>$K$1037*$Y$1037</f>
        <v>0</v>
      </c>
      <c r="AF1037" s="6">
        <f ca="1">$M$1037*$Z$1037</f>
        <v>191.29982138365369</v>
      </c>
      <c r="AG1037" s="6">
        <f>$O$1037*$AA$1037</f>
        <v>504.55741492693136</v>
      </c>
    </row>
    <row r="1038" spans="1:33" ht="11.25" customHeight="1" x14ac:dyDescent="0.25">
      <c r="A1038" s="4" t="s">
        <v>21</v>
      </c>
      <c r="B1038" s="4" t="s">
        <v>33</v>
      </c>
      <c r="C1038" s="4" t="s">
        <v>34</v>
      </c>
      <c r="D1038" s="4" t="s">
        <v>47</v>
      </c>
      <c r="E1038" s="4" t="s">
        <v>55</v>
      </c>
      <c r="F1038" s="4" t="s">
        <v>57</v>
      </c>
      <c r="G1038" s="4" t="s">
        <v>25</v>
      </c>
      <c r="H1038" s="4" t="s">
        <v>36</v>
      </c>
      <c r="I1038" s="5">
        <v>43800</v>
      </c>
      <c r="J1038" s="6">
        <v>0</v>
      </c>
      <c r="K1038" s="6">
        <v>0</v>
      </c>
      <c r="L1038" s="6">
        <v>189.51599999999999</v>
      </c>
      <c r="M1038" s="6">
        <v>37.903199999999998</v>
      </c>
      <c r="N1038" s="6">
        <v>189.51599999999999</v>
      </c>
      <c r="O1038" s="6">
        <v>37.903199999999998</v>
      </c>
      <c r="P1038" s="6">
        <v>0</v>
      </c>
      <c r="Q1038" s="4" t="s">
        <v>26</v>
      </c>
      <c r="R1038" s="4">
        <v>0</v>
      </c>
      <c r="S1038" s="6">
        <v>0</v>
      </c>
      <c r="T1038" s="6">
        <v>28</v>
      </c>
      <c r="U1038" s="6">
        <v>82</v>
      </c>
      <c r="V1038" s="6">
        <f>IF(ISERROR(VLOOKUP($S$1038,'TAR FIN'!$A$1:$O$120,15,0)),0,VLOOKUP($S$1038,'TAR FIN'!$A$1:$O$120,15,0))</f>
        <v>0</v>
      </c>
      <c r="W1038" s="6">
        <f>IF(ISERROR(VLOOKUP($T$1038,'TAR FIN'!$A$1:$O$120,15,0)),0,VLOOKUP($T$1038,'TAR FIN'!$A$1:$O$120,15,0))</f>
        <v>84.45</v>
      </c>
      <c r="X1038" s="6">
        <f>IF(ISERROR(VLOOKUP($U$1038,'TAR FIN'!$A$1:$O$120,15,0)),0,VLOOKUP($U$1038,'TAR FIN'!$A$1:$O$120,15,0))</f>
        <v>256.38</v>
      </c>
      <c r="Y1038" s="6"/>
      <c r="Z1038" s="6">
        <f ca="1">('TUSD BE'!$AM$34+'TUSD BF'!$AM$34+'TUSD CVA'!$AM$34)*1</f>
        <v>87.519361965254689</v>
      </c>
      <c r="AA1038" s="6">
        <f>('TE BE'!$AA$11+'TE BF'!$AA$11+'TE CVA'!$AA$11)*1</f>
        <v>230.83420940933817</v>
      </c>
      <c r="AB1038" s="6">
        <f>$K$1038*$V$1038</f>
        <v>0</v>
      </c>
      <c r="AC1038" s="6">
        <f>$M$1038*$W$1038</f>
        <v>3200.92524</v>
      </c>
      <c r="AD1038" s="6">
        <f>$O$1038*$X$1038</f>
        <v>9717.6224160000002</v>
      </c>
      <c r="AE1038" s="6">
        <f>$K$1038*$Y$1038</f>
        <v>0</v>
      </c>
      <c r="AF1038" s="6">
        <f ca="1">$M$1038*$Z$1038</f>
        <v>3317.2638804414414</v>
      </c>
      <c r="AG1038" s="6">
        <f>$O$1038*$AA$1038</f>
        <v>8749.3552060840266</v>
      </c>
    </row>
    <row r="1039" spans="1:33" ht="11.25" customHeight="1" x14ac:dyDescent="0.25">
      <c r="A1039" s="4" t="s">
        <v>27</v>
      </c>
      <c r="B1039" s="4" t="s">
        <v>33</v>
      </c>
      <c r="C1039" s="4" t="s">
        <v>34</v>
      </c>
      <c r="D1039" s="4" t="s">
        <v>47</v>
      </c>
      <c r="E1039" s="4" t="s">
        <v>55</v>
      </c>
      <c r="F1039" s="4" t="s">
        <v>57</v>
      </c>
      <c r="G1039" s="4" t="s">
        <v>25</v>
      </c>
      <c r="H1039" s="4" t="s">
        <v>36</v>
      </c>
      <c r="I1039" s="5">
        <v>43800</v>
      </c>
      <c r="J1039" s="6">
        <v>0</v>
      </c>
      <c r="K1039" s="6">
        <v>0</v>
      </c>
      <c r="L1039" s="6">
        <v>0.88600000000000001</v>
      </c>
      <c r="M1039" s="6">
        <v>0.1772</v>
      </c>
      <c r="N1039" s="6">
        <v>0.88600000000000001</v>
      </c>
      <c r="O1039" s="6">
        <v>0.1772</v>
      </c>
      <c r="P1039" s="6">
        <v>0</v>
      </c>
      <c r="Q1039" s="4" t="s">
        <v>26</v>
      </c>
      <c r="R1039" s="4">
        <v>0</v>
      </c>
      <c r="S1039" s="6">
        <v>0</v>
      </c>
      <c r="T1039" s="6">
        <v>28</v>
      </c>
      <c r="U1039" s="6">
        <v>82</v>
      </c>
      <c r="V1039" s="6">
        <f>IF(ISERROR(VLOOKUP($S$1039,'TAR FIN'!$A$1:$O$120,15,0)),0,VLOOKUP($S$1039,'TAR FIN'!$A$1:$O$120,15,0))</f>
        <v>0</v>
      </c>
      <c r="W1039" s="6">
        <f>IF(ISERROR(VLOOKUP($T$1039,'TAR FIN'!$A$1:$O$120,15,0)),0,VLOOKUP($T$1039,'TAR FIN'!$A$1:$O$120,15,0))</f>
        <v>84.45</v>
      </c>
      <c r="X1039" s="6">
        <f>IF(ISERROR(VLOOKUP($U$1039,'TAR FIN'!$A$1:$O$120,15,0)),0,VLOOKUP($U$1039,'TAR FIN'!$A$1:$O$120,15,0))</f>
        <v>256.38</v>
      </c>
      <c r="Y1039" s="6"/>
      <c r="Z1039" s="6">
        <f ca="1">('TUSD BE'!$AM$34+'TUSD BF'!$AM$34+'TUSD CVA'!$AM$34)*1</f>
        <v>87.519361965254689</v>
      </c>
      <c r="AA1039" s="6">
        <f>('TE BE'!$AA$11+'TE BF'!$AA$11+'TE CVA'!$AA$11)*1</f>
        <v>230.83420940933817</v>
      </c>
      <c r="AB1039" s="6">
        <f>$K$1039*$V$1039</f>
        <v>0</v>
      </c>
      <c r="AC1039" s="6">
        <f>$M$1039*$W$1039</f>
        <v>14.96454</v>
      </c>
      <c r="AD1039" s="6">
        <f>$O$1039*$X$1039</f>
        <v>45.430535999999996</v>
      </c>
      <c r="AE1039" s="6">
        <f>$K$1039*$Y$1039</f>
        <v>0</v>
      </c>
      <c r="AF1039" s="6">
        <f ca="1">$M$1039*$Z$1039</f>
        <v>15.50843094024313</v>
      </c>
      <c r="AG1039" s="6">
        <f>$O$1039*$AA$1039</f>
        <v>40.903821907334724</v>
      </c>
    </row>
    <row r="1040" spans="1:33" ht="11.25" customHeight="1" x14ac:dyDescent="0.25">
      <c r="A1040" s="4" t="s">
        <v>21</v>
      </c>
      <c r="B1040" s="4" t="s">
        <v>33</v>
      </c>
      <c r="C1040" s="4" t="s">
        <v>34</v>
      </c>
      <c r="D1040" s="4" t="s">
        <v>47</v>
      </c>
      <c r="E1040" s="4" t="s">
        <v>55</v>
      </c>
      <c r="F1040" s="4" t="s">
        <v>57</v>
      </c>
      <c r="G1040" s="4" t="s">
        <v>25</v>
      </c>
      <c r="H1040" s="4" t="s">
        <v>36</v>
      </c>
      <c r="I1040" s="5">
        <v>43831</v>
      </c>
      <c r="J1040" s="6">
        <v>0</v>
      </c>
      <c r="K1040" s="6">
        <v>0</v>
      </c>
      <c r="L1040" s="6">
        <v>239.26400000000001</v>
      </c>
      <c r="M1040" s="6">
        <v>47.852800000000002</v>
      </c>
      <c r="N1040" s="6">
        <v>239.26400000000001</v>
      </c>
      <c r="O1040" s="6">
        <v>47.852800000000002</v>
      </c>
      <c r="P1040" s="6">
        <v>0</v>
      </c>
      <c r="Q1040" s="4" t="s">
        <v>26</v>
      </c>
      <c r="R1040" s="4">
        <v>0</v>
      </c>
      <c r="S1040" s="6">
        <v>0</v>
      </c>
      <c r="T1040" s="6">
        <v>28</v>
      </c>
      <c r="U1040" s="6">
        <v>82</v>
      </c>
      <c r="V1040" s="6">
        <f>IF(ISERROR(VLOOKUP($S$1040,'TAR FIN'!$A$1:$O$120,15,0)),0,VLOOKUP($S$1040,'TAR FIN'!$A$1:$O$120,15,0))</f>
        <v>0</v>
      </c>
      <c r="W1040" s="6">
        <f>IF(ISERROR(VLOOKUP($T$1040,'TAR FIN'!$A$1:$O$120,15,0)),0,VLOOKUP($T$1040,'TAR FIN'!$A$1:$O$120,15,0))</f>
        <v>84.45</v>
      </c>
      <c r="X1040" s="6">
        <f>IF(ISERROR(VLOOKUP($U$1040,'TAR FIN'!$A$1:$O$120,15,0)),0,VLOOKUP($U$1040,'TAR FIN'!$A$1:$O$120,15,0))</f>
        <v>256.38</v>
      </c>
      <c r="Y1040" s="6"/>
      <c r="Z1040" s="6">
        <f ca="1">('TUSD BE'!$AM$34+'TUSD BF'!$AM$34+'TUSD CVA'!$AM$34)*1</f>
        <v>87.519361965254689</v>
      </c>
      <c r="AA1040" s="6">
        <f>('TE BE'!$AA$11+'TE BF'!$AA$11+'TE CVA'!$AA$11)*1</f>
        <v>230.83420940933817</v>
      </c>
      <c r="AB1040" s="6">
        <f>$K$1040*$V$1040</f>
        <v>0</v>
      </c>
      <c r="AC1040" s="6">
        <f>$M$1040*$W$1040</f>
        <v>4041.1689600000004</v>
      </c>
      <c r="AD1040" s="6">
        <f>$O$1040*$X$1040</f>
        <v>12268.500864</v>
      </c>
      <c r="AE1040" s="6">
        <f>$K$1040*$Y$1040</f>
        <v>0</v>
      </c>
      <c r="AF1040" s="6">
        <f ca="1">$M$1040*$Z$1040</f>
        <v>4188.0465242509399</v>
      </c>
      <c r="AG1040" s="6">
        <f>$O$1040*$AA$1040</f>
        <v>11046.063256023179</v>
      </c>
    </row>
    <row r="1041" spans="1:33" ht="11.25" customHeight="1" x14ac:dyDescent="0.25">
      <c r="A1041" s="4" t="s">
        <v>27</v>
      </c>
      <c r="B1041" s="4" t="s">
        <v>33</v>
      </c>
      <c r="C1041" s="4" t="s">
        <v>34</v>
      </c>
      <c r="D1041" s="4" t="s">
        <v>47</v>
      </c>
      <c r="E1041" s="4" t="s">
        <v>55</v>
      </c>
      <c r="F1041" s="4" t="s">
        <v>57</v>
      </c>
      <c r="G1041" s="4" t="s">
        <v>25</v>
      </c>
      <c r="H1041" s="4" t="s">
        <v>36</v>
      </c>
      <c r="I1041" s="5">
        <v>43831</v>
      </c>
      <c r="J1041" s="6">
        <v>0</v>
      </c>
      <c r="K1041" s="6">
        <v>0</v>
      </c>
      <c r="L1041" s="6">
        <v>4.1440000000000001</v>
      </c>
      <c r="M1041" s="6">
        <v>0.82879999999999998</v>
      </c>
      <c r="N1041" s="6">
        <v>4.1440000000000001</v>
      </c>
      <c r="O1041" s="6">
        <v>0.82879999999999998</v>
      </c>
      <c r="P1041" s="6">
        <v>0</v>
      </c>
      <c r="Q1041" s="4" t="s">
        <v>26</v>
      </c>
      <c r="R1041" s="4">
        <v>0</v>
      </c>
      <c r="S1041" s="6">
        <v>0</v>
      </c>
      <c r="T1041" s="6">
        <v>28</v>
      </c>
      <c r="U1041" s="6">
        <v>82</v>
      </c>
      <c r="V1041" s="6">
        <f>IF(ISERROR(VLOOKUP($S$1041,'TAR FIN'!$A$1:$O$120,15,0)),0,VLOOKUP($S$1041,'TAR FIN'!$A$1:$O$120,15,0))</f>
        <v>0</v>
      </c>
      <c r="W1041" s="6">
        <f>IF(ISERROR(VLOOKUP($T$1041,'TAR FIN'!$A$1:$O$120,15,0)),0,VLOOKUP($T$1041,'TAR FIN'!$A$1:$O$120,15,0))</f>
        <v>84.45</v>
      </c>
      <c r="X1041" s="6">
        <f>IF(ISERROR(VLOOKUP($U$1041,'TAR FIN'!$A$1:$O$120,15,0)),0,VLOOKUP($U$1041,'TAR FIN'!$A$1:$O$120,15,0))</f>
        <v>256.38</v>
      </c>
      <c r="Y1041" s="6"/>
      <c r="Z1041" s="6">
        <f ca="1">('TUSD BE'!$AM$34+'TUSD BF'!$AM$34+'TUSD CVA'!$AM$34)*1</f>
        <v>87.519361965254689</v>
      </c>
      <c r="AA1041" s="6">
        <f>('TE BE'!$AA$11+'TE BF'!$AA$11+'TE CVA'!$AA$11)*1</f>
        <v>230.83420940933817</v>
      </c>
      <c r="AB1041" s="6">
        <f>$K$1041*$V$1041</f>
        <v>0</v>
      </c>
      <c r="AC1041" s="6">
        <f>$M$1041*$W$1041</f>
        <v>69.992159999999998</v>
      </c>
      <c r="AD1041" s="6">
        <f>$O$1041*$X$1041</f>
        <v>212.48774399999999</v>
      </c>
      <c r="AE1041" s="6">
        <f>$K$1041*$Y$1041</f>
        <v>0</v>
      </c>
      <c r="AF1041" s="6">
        <f ca="1">$M$1041*$Z$1041</f>
        <v>72.536047196803082</v>
      </c>
      <c r="AG1041" s="6">
        <f>$O$1041*$AA$1041</f>
        <v>191.31539275845947</v>
      </c>
    </row>
    <row r="1042" spans="1:33" ht="11.25" customHeight="1" x14ac:dyDescent="0.25">
      <c r="A1042" s="4" t="s">
        <v>21</v>
      </c>
      <c r="B1042" s="4" t="s">
        <v>33</v>
      </c>
      <c r="C1042" s="4" t="s">
        <v>34</v>
      </c>
      <c r="D1042" s="4" t="s">
        <v>47</v>
      </c>
      <c r="E1042" s="4" t="s">
        <v>55</v>
      </c>
      <c r="F1042" s="4" t="s">
        <v>57</v>
      </c>
      <c r="G1042" s="4" t="s">
        <v>25</v>
      </c>
      <c r="H1042" s="4" t="s">
        <v>36</v>
      </c>
      <c r="I1042" s="5">
        <v>43862</v>
      </c>
      <c r="J1042" s="6">
        <v>0</v>
      </c>
      <c r="K1042" s="6">
        <v>0</v>
      </c>
      <c r="L1042" s="6">
        <v>147.75299999999999</v>
      </c>
      <c r="M1042" s="6">
        <v>29.550599999999999</v>
      </c>
      <c r="N1042" s="6">
        <v>147.75299999999999</v>
      </c>
      <c r="O1042" s="6">
        <v>29.550599999999999</v>
      </c>
      <c r="P1042" s="6">
        <v>0</v>
      </c>
      <c r="Q1042" s="4" t="s">
        <v>26</v>
      </c>
      <c r="R1042" s="4">
        <v>0</v>
      </c>
      <c r="S1042" s="6">
        <v>0</v>
      </c>
      <c r="T1042" s="6">
        <v>28</v>
      </c>
      <c r="U1042" s="6">
        <v>82</v>
      </c>
      <c r="V1042" s="6">
        <f>IF(ISERROR(VLOOKUP($S$1042,'TAR FIN'!$A$1:$O$120,15,0)),0,VLOOKUP($S$1042,'TAR FIN'!$A$1:$O$120,15,0))</f>
        <v>0</v>
      </c>
      <c r="W1042" s="6">
        <f>IF(ISERROR(VLOOKUP($T$1042,'TAR FIN'!$A$1:$O$120,15,0)),0,VLOOKUP($T$1042,'TAR FIN'!$A$1:$O$120,15,0))</f>
        <v>84.45</v>
      </c>
      <c r="X1042" s="6">
        <f>IF(ISERROR(VLOOKUP($U$1042,'TAR FIN'!$A$1:$O$120,15,0)),0,VLOOKUP($U$1042,'TAR FIN'!$A$1:$O$120,15,0))</f>
        <v>256.38</v>
      </c>
      <c r="Y1042" s="6"/>
      <c r="Z1042" s="6">
        <f ca="1">('TUSD BE'!$AM$34+'TUSD BF'!$AM$34+'TUSD CVA'!$AM$34)*1</f>
        <v>87.519361965254689</v>
      </c>
      <c r="AA1042" s="6">
        <f>('TE BE'!$AA$11+'TE BF'!$AA$11+'TE CVA'!$AA$11)*1</f>
        <v>230.83420940933817</v>
      </c>
      <c r="AB1042" s="6">
        <f>$K$1042*$V$1042</f>
        <v>0</v>
      </c>
      <c r="AC1042" s="6">
        <f>$M$1042*$W$1042</f>
        <v>2495.54817</v>
      </c>
      <c r="AD1042" s="6">
        <f>$O$1042*$X$1042</f>
        <v>7576.182828</v>
      </c>
      <c r="AE1042" s="6">
        <f>$K$1042*$Y$1042</f>
        <v>0</v>
      </c>
      <c r="AF1042" s="6">
        <f ca="1">$M$1042*$Z$1042</f>
        <v>2586.249657690455</v>
      </c>
      <c r="AG1042" s="6">
        <f>$O$1042*$AA$1042</f>
        <v>6821.2893885715885</v>
      </c>
    </row>
    <row r="1043" spans="1:33" ht="11.25" customHeight="1" x14ac:dyDescent="0.25">
      <c r="A1043" s="4" t="s">
        <v>27</v>
      </c>
      <c r="B1043" s="4" t="s">
        <v>33</v>
      </c>
      <c r="C1043" s="4" t="s">
        <v>34</v>
      </c>
      <c r="D1043" s="4" t="s">
        <v>47</v>
      </c>
      <c r="E1043" s="4" t="s">
        <v>55</v>
      </c>
      <c r="F1043" s="4" t="s">
        <v>57</v>
      </c>
      <c r="G1043" s="4" t="s">
        <v>25</v>
      </c>
      <c r="H1043" s="4" t="s">
        <v>36</v>
      </c>
      <c r="I1043" s="5">
        <v>43862</v>
      </c>
      <c r="J1043" s="6">
        <v>0</v>
      </c>
      <c r="K1043" s="6">
        <v>0</v>
      </c>
      <c r="L1043" s="6">
        <v>15.968999999999999</v>
      </c>
      <c r="M1043" s="6">
        <v>3.1938</v>
      </c>
      <c r="N1043" s="6">
        <v>15.968999999999999</v>
      </c>
      <c r="O1043" s="6">
        <v>3.1938</v>
      </c>
      <c r="P1043" s="6">
        <v>0</v>
      </c>
      <c r="Q1043" s="4" t="s">
        <v>26</v>
      </c>
      <c r="R1043" s="4">
        <v>0</v>
      </c>
      <c r="S1043" s="6">
        <v>0</v>
      </c>
      <c r="T1043" s="6">
        <v>28</v>
      </c>
      <c r="U1043" s="6">
        <v>82</v>
      </c>
      <c r="V1043" s="6">
        <f>IF(ISERROR(VLOOKUP($S$1043,'TAR FIN'!$A$1:$O$120,15,0)),0,VLOOKUP($S$1043,'TAR FIN'!$A$1:$O$120,15,0))</f>
        <v>0</v>
      </c>
      <c r="W1043" s="6">
        <f>IF(ISERROR(VLOOKUP($T$1043,'TAR FIN'!$A$1:$O$120,15,0)),0,VLOOKUP($T$1043,'TAR FIN'!$A$1:$O$120,15,0))</f>
        <v>84.45</v>
      </c>
      <c r="X1043" s="6">
        <f>IF(ISERROR(VLOOKUP($U$1043,'TAR FIN'!$A$1:$O$120,15,0)),0,VLOOKUP($U$1043,'TAR FIN'!$A$1:$O$120,15,0))</f>
        <v>256.38</v>
      </c>
      <c r="Y1043" s="6"/>
      <c r="Z1043" s="6">
        <f ca="1">('TUSD BE'!$AM$34+'TUSD BF'!$AM$34+'TUSD CVA'!$AM$34)*1</f>
        <v>87.519361965254689</v>
      </c>
      <c r="AA1043" s="6">
        <f>('TE BE'!$AA$11+'TE BF'!$AA$11+'TE CVA'!$AA$11)*1</f>
        <v>230.83420940933817</v>
      </c>
      <c r="AB1043" s="6">
        <f>$K$1043*$V$1043</f>
        <v>0</v>
      </c>
      <c r="AC1043" s="6">
        <f>$M$1043*$W$1043</f>
        <v>269.71641</v>
      </c>
      <c r="AD1043" s="6">
        <f>$O$1043*$X$1043</f>
        <v>818.82644399999992</v>
      </c>
      <c r="AE1043" s="6">
        <f>$K$1043*$Y$1043</f>
        <v>0</v>
      </c>
      <c r="AF1043" s="6">
        <f ca="1">$M$1043*$Z$1043</f>
        <v>279.51933824463043</v>
      </c>
      <c r="AG1043" s="6">
        <f>$O$1043*$AA$1043</f>
        <v>737.2382980115442</v>
      </c>
    </row>
    <row r="1044" spans="1:33" ht="11.25" customHeight="1" x14ac:dyDescent="0.25">
      <c r="A1044" s="4" t="s">
        <v>21</v>
      </c>
      <c r="B1044" s="4" t="s">
        <v>33</v>
      </c>
      <c r="C1044" s="4" t="s">
        <v>34</v>
      </c>
      <c r="D1044" s="4" t="s">
        <v>47</v>
      </c>
      <c r="E1044" s="4" t="s">
        <v>55</v>
      </c>
      <c r="F1044" s="4" t="s">
        <v>57</v>
      </c>
      <c r="G1044" s="4" t="s">
        <v>25</v>
      </c>
      <c r="H1044" s="4" t="s">
        <v>36</v>
      </c>
      <c r="I1044" s="5">
        <v>43891</v>
      </c>
      <c r="J1044" s="6">
        <v>0</v>
      </c>
      <c r="K1044" s="6">
        <v>0</v>
      </c>
      <c r="L1044" s="6">
        <v>67.769000000000005</v>
      </c>
      <c r="M1044" s="6">
        <v>13.553800000000001</v>
      </c>
      <c r="N1044" s="6">
        <v>67.769000000000005</v>
      </c>
      <c r="O1044" s="6">
        <v>13.553800000000001</v>
      </c>
      <c r="P1044" s="6">
        <v>0</v>
      </c>
      <c r="Q1044" s="4" t="s">
        <v>26</v>
      </c>
      <c r="R1044" s="4">
        <v>0</v>
      </c>
      <c r="S1044" s="6">
        <v>0</v>
      </c>
      <c r="T1044" s="6">
        <v>28</v>
      </c>
      <c r="U1044" s="6">
        <v>82</v>
      </c>
      <c r="V1044" s="6">
        <f>IF(ISERROR(VLOOKUP($S$1044,'TAR FIN'!$A$1:$O$120,15,0)),0,VLOOKUP($S$1044,'TAR FIN'!$A$1:$O$120,15,0))</f>
        <v>0</v>
      </c>
      <c r="W1044" s="6">
        <f>IF(ISERROR(VLOOKUP($T$1044,'TAR FIN'!$A$1:$O$120,15,0)),0,VLOOKUP($T$1044,'TAR FIN'!$A$1:$O$120,15,0))</f>
        <v>84.45</v>
      </c>
      <c r="X1044" s="6">
        <f>IF(ISERROR(VLOOKUP($U$1044,'TAR FIN'!$A$1:$O$120,15,0)),0,VLOOKUP($U$1044,'TAR FIN'!$A$1:$O$120,15,0))</f>
        <v>256.38</v>
      </c>
      <c r="Y1044" s="6"/>
      <c r="Z1044" s="6">
        <f ca="1">('TUSD BE'!$AM$34+'TUSD BF'!$AM$34+'TUSD CVA'!$AM$34)*1</f>
        <v>87.519361965254689</v>
      </c>
      <c r="AA1044" s="6">
        <f>('TE BE'!$AA$11+'TE BF'!$AA$11+'TE CVA'!$AA$11)*1</f>
        <v>230.83420940933817</v>
      </c>
      <c r="AB1044" s="6">
        <f>$K$1044*$V$1044</f>
        <v>0</v>
      </c>
      <c r="AC1044" s="6">
        <f>$M$1044*$W$1044</f>
        <v>1144.61841</v>
      </c>
      <c r="AD1044" s="6">
        <f>$O$1044*$X$1044</f>
        <v>3474.9232440000001</v>
      </c>
      <c r="AE1044" s="6">
        <f>$K$1044*$Y$1044</f>
        <v>0</v>
      </c>
      <c r="AF1044" s="6">
        <f ca="1">$M$1044*$Z$1044</f>
        <v>1186.219928204669</v>
      </c>
      <c r="AG1044" s="6">
        <f>$O$1044*$AA$1044</f>
        <v>3128.6807074922881</v>
      </c>
    </row>
    <row r="1045" spans="1:33" ht="11.25" customHeight="1" x14ac:dyDescent="0.25">
      <c r="A1045" s="4" t="s">
        <v>27</v>
      </c>
      <c r="B1045" s="4" t="s">
        <v>33</v>
      </c>
      <c r="C1045" s="4" t="s">
        <v>34</v>
      </c>
      <c r="D1045" s="4" t="s">
        <v>47</v>
      </c>
      <c r="E1045" s="4" t="s">
        <v>55</v>
      </c>
      <c r="F1045" s="4" t="s">
        <v>57</v>
      </c>
      <c r="G1045" s="4" t="s">
        <v>25</v>
      </c>
      <c r="H1045" s="4" t="s">
        <v>36</v>
      </c>
      <c r="I1045" s="5">
        <v>43891</v>
      </c>
      <c r="J1045" s="6">
        <v>0</v>
      </c>
      <c r="K1045" s="6">
        <v>0</v>
      </c>
      <c r="L1045" s="6">
        <v>14.173999999999999</v>
      </c>
      <c r="M1045" s="6">
        <v>2.8348</v>
      </c>
      <c r="N1045" s="6">
        <v>14.173999999999999</v>
      </c>
      <c r="O1045" s="6">
        <v>2.8348</v>
      </c>
      <c r="P1045" s="6">
        <v>0</v>
      </c>
      <c r="Q1045" s="4" t="s">
        <v>26</v>
      </c>
      <c r="R1045" s="4">
        <v>0</v>
      </c>
      <c r="S1045" s="6">
        <v>0</v>
      </c>
      <c r="T1045" s="6">
        <v>28</v>
      </c>
      <c r="U1045" s="6">
        <v>82</v>
      </c>
      <c r="V1045" s="6">
        <f>IF(ISERROR(VLOOKUP($S$1045,'TAR FIN'!$A$1:$O$120,15,0)),0,VLOOKUP($S$1045,'TAR FIN'!$A$1:$O$120,15,0))</f>
        <v>0</v>
      </c>
      <c r="W1045" s="6">
        <f>IF(ISERROR(VLOOKUP($T$1045,'TAR FIN'!$A$1:$O$120,15,0)),0,VLOOKUP($T$1045,'TAR FIN'!$A$1:$O$120,15,0))</f>
        <v>84.45</v>
      </c>
      <c r="X1045" s="6">
        <f>IF(ISERROR(VLOOKUP($U$1045,'TAR FIN'!$A$1:$O$120,15,0)),0,VLOOKUP($U$1045,'TAR FIN'!$A$1:$O$120,15,0))</f>
        <v>256.38</v>
      </c>
      <c r="Y1045" s="6"/>
      <c r="Z1045" s="6">
        <f ca="1">('TUSD BE'!$AM$34+'TUSD BF'!$AM$34+'TUSD CVA'!$AM$34)*1</f>
        <v>87.519361965254689</v>
      </c>
      <c r="AA1045" s="6">
        <f>('TE BE'!$AA$11+'TE BF'!$AA$11+'TE CVA'!$AA$11)*1</f>
        <v>230.83420940933817</v>
      </c>
      <c r="AB1045" s="6">
        <f>$K$1045*$V$1045</f>
        <v>0</v>
      </c>
      <c r="AC1045" s="6">
        <f>$M$1045*$W$1045</f>
        <v>239.39886000000001</v>
      </c>
      <c r="AD1045" s="6">
        <f>$O$1045*$X$1045</f>
        <v>726.786024</v>
      </c>
      <c r="AE1045" s="6">
        <f>$K$1045*$Y$1045</f>
        <v>0</v>
      </c>
      <c r="AF1045" s="6">
        <f ca="1">$M$1045*$Z$1045</f>
        <v>248.09988729910398</v>
      </c>
      <c r="AG1045" s="6">
        <f>$O$1045*$AA$1045</f>
        <v>654.36881683359184</v>
      </c>
    </row>
    <row r="1046" spans="1:33" ht="11.25" customHeight="1" x14ac:dyDescent="0.25">
      <c r="A1046" s="4" t="s">
        <v>21</v>
      </c>
      <c r="B1046" s="4" t="s">
        <v>33</v>
      </c>
      <c r="C1046" s="4" t="s">
        <v>34</v>
      </c>
      <c r="D1046" s="4" t="s">
        <v>47</v>
      </c>
      <c r="E1046" s="4" t="s">
        <v>55</v>
      </c>
      <c r="F1046" s="4" t="s">
        <v>57</v>
      </c>
      <c r="G1046" s="4" t="s">
        <v>25</v>
      </c>
      <c r="H1046" s="4" t="s">
        <v>36</v>
      </c>
      <c r="I1046" s="5">
        <v>43922</v>
      </c>
      <c r="J1046" s="6">
        <v>0</v>
      </c>
      <c r="K1046" s="6">
        <v>0</v>
      </c>
      <c r="L1046" s="6">
        <v>211.55699999999999</v>
      </c>
      <c r="M1046" s="6">
        <v>42.311399999999999</v>
      </c>
      <c r="N1046" s="6">
        <v>211.55699999999999</v>
      </c>
      <c r="O1046" s="6">
        <v>42.311399999999999</v>
      </c>
      <c r="P1046" s="6">
        <v>0</v>
      </c>
      <c r="Q1046" s="4" t="s">
        <v>26</v>
      </c>
      <c r="R1046" s="4">
        <v>0</v>
      </c>
      <c r="S1046" s="6">
        <v>0</v>
      </c>
      <c r="T1046" s="6">
        <v>28</v>
      </c>
      <c r="U1046" s="6">
        <v>82</v>
      </c>
      <c r="V1046" s="6">
        <f>IF(ISERROR(VLOOKUP($S$1046,'TAR FIN'!$A$1:$O$120,15,0)),0,VLOOKUP($S$1046,'TAR FIN'!$A$1:$O$120,15,0))</f>
        <v>0</v>
      </c>
      <c r="W1046" s="6">
        <f>IF(ISERROR(VLOOKUP($T$1046,'TAR FIN'!$A$1:$O$120,15,0)),0,VLOOKUP($T$1046,'TAR FIN'!$A$1:$O$120,15,0))</f>
        <v>84.45</v>
      </c>
      <c r="X1046" s="6">
        <f>IF(ISERROR(VLOOKUP($U$1046,'TAR FIN'!$A$1:$O$120,15,0)),0,VLOOKUP($U$1046,'TAR FIN'!$A$1:$O$120,15,0))</f>
        <v>256.38</v>
      </c>
      <c r="Y1046" s="6"/>
      <c r="Z1046" s="6">
        <f ca="1">('TUSD BE'!$AM$34+'TUSD BF'!$AM$34+'TUSD CVA'!$AM$34)*1</f>
        <v>87.519361965254689</v>
      </c>
      <c r="AA1046" s="6">
        <f>('TE BE'!$AA$11+'TE BF'!$AA$11+'TE CVA'!$AA$11)*1</f>
        <v>230.83420940933817</v>
      </c>
      <c r="AB1046" s="6">
        <f>$K$1046*$V$1046</f>
        <v>0</v>
      </c>
      <c r="AC1046" s="6">
        <f>$M$1046*$W$1046</f>
        <v>3573.1977299999999</v>
      </c>
      <c r="AD1046" s="6">
        <f>$O$1046*$X$1046</f>
        <v>10847.796731999999</v>
      </c>
      <c r="AE1046" s="6">
        <f>$K$1046*$Y$1046</f>
        <v>0</v>
      </c>
      <c r="AF1046" s="6">
        <f ca="1">$M$1046*$Z$1046</f>
        <v>3703.0667318566771</v>
      </c>
      <c r="AG1046" s="6">
        <f>$O$1046*$AA$1046</f>
        <v>9766.9185680022711</v>
      </c>
    </row>
    <row r="1047" spans="1:33" ht="11.25" customHeight="1" x14ac:dyDescent="0.25">
      <c r="A1047" s="4" t="s">
        <v>27</v>
      </c>
      <c r="B1047" s="4" t="s">
        <v>33</v>
      </c>
      <c r="C1047" s="4" t="s">
        <v>34</v>
      </c>
      <c r="D1047" s="4" t="s">
        <v>47</v>
      </c>
      <c r="E1047" s="4" t="s">
        <v>55</v>
      </c>
      <c r="F1047" s="4" t="s">
        <v>57</v>
      </c>
      <c r="G1047" s="4" t="s">
        <v>25</v>
      </c>
      <c r="H1047" s="4" t="s">
        <v>36</v>
      </c>
      <c r="I1047" s="5">
        <v>43922</v>
      </c>
      <c r="J1047" s="6">
        <v>0</v>
      </c>
      <c r="K1047" s="6">
        <v>0</v>
      </c>
      <c r="L1047" s="6">
        <v>6.3440000000000003</v>
      </c>
      <c r="M1047" s="6">
        <v>1.2687999999999999</v>
      </c>
      <c r="N1047" s="6">
        <v>6.3440000000000003</v>
      </c>
      <c r="O1047" s="6">
        <v>1.2687999999999999</v>
      </c>
      <c r="P1047" s="6">
        <v>0</v>
      </c>
      <c r="Q1047" s="4" t="s">
        <v>26</v>
      </c>
      <c r="R1047" s="4">
        <v>0</v>
      </c>
      <c r="S1047" s="6">
        <v>0</v>
      </c>
      <c r="T1047" s="6">
        <v>28</v>
      </c>
      <c r="U1047" s="6">
        <v>82</v>
      </c>
      <c r="V1047" s="6">
        <f>IF(ISERROR(VLOOKUP($S$1047,'TAR FIN'!$A$1:$O$120,15,0)),0,VLOOKUP($S$1047,'TAR FIN'!$A$1:$O$120,15,0))</f>
        <v>0</v>
      </c>
      <c r="W1047" s="6">
        <f>IF(ISERROR(VLOOKUP($T$1047,'TAR FIN'!$A$1:$O$120,15,0)),0,VLOOKUP($T$1047,'TAR FIN'!$A$1:$O$120,15,0))</f>
        <v>84.45</v>
      </c>
      <c r="X1047" s="6">
        <f>IF(ISERROR(VLOOKUP($U$1047,'TAR FIN'!$A$1:$O$120,15,0)),0,VLOOKUP($U$1047,'TAR FIN'!$A$1:$O$120,15,0))</f>
        <v>256.38</v>
      </c>
      <c r="Y1047" s="6"/>
      <c r="Z1047" s="6">
        <f ca="1">('TUSD BE'!$AM$34+'TUSD BF'!$AM$34+'TUSD CVA'!$AM$34)*1</f>
        <v>87.519361965254689</v>
      </c>
      <c r="AA1047" s="6">
        <f>('TE BE'!$AA$11+'TE BF'!$AA$11+'TE CVA'!$AA$11)*1</f>
        <v>230.83420940933817</v>
      </c>
      <c r="AB1047" s="6">
        <f>$K$1047*$V$1047</f>
        <v>0</v>
      </c>
      <c r="AC1047" s="6">
        <f>$M$1047*$W$1047</f>
        <v>107.15016</v>
      </c>
      <c r="AD1047" s="6">
        <f>$O$1047*$X$1047</f>
        <v>325.29494399999999</v>
      </c>
      <c r="AE1047" s="6">
        <f>$K$1047*$Y$1047</f>
        <v>0</v>
      </c>
      <c r="AF1047" s="6">
        <f ca="1">$M$1047*$Z$1047</f>
        <v>111.04456646151515</v>
      </c>
      <c r="AG1047" s="6">
        <f>$O$1047*$AA$1047</f>
        <v>292.88244489856828</v>
      </c>
    </row>
    <row r="1048" spans="1:33" ht="11.25" customHeight="1" x14ac:dyDescent="0.25">
      <c r="A1048" s="4" t="s">
        <v>21</v>
      </c>
      <c r="B1048" s="4" t="s">
        <v>33</v>
      </c>
      <c r="C1048" s="4" t="s">
        <v>34</v>
      </c>
      <c r="D1048" s="4" t="s">
        <v>47</v>
      </c>
      <c r="E1048" s="4" t="s">
        <v>55</v>
      </c>
      <c r="F1048" s="4" t="s">
        <v>57</v>
      </c>
      <c r="G1048" s="4" t="s">
        <v>25</v>
      </c>
      <c r="H1048" s="4" t="s">
        <v>36</v>
      </c>
      <c r="I1048" s="5">
        <v>43952</v>
      </c>
      <c r="J1048" s="6">
        <v>0</v>
      </c>
      <c r="K1048" s="6">
        <v>0</v>
      </c>
      <c r="L1048" s="6">
        <v>406.21899999999999</v>
      </c>
      <c r="M1048" s="6">
        <v>81.243799999999993</v>
      </c>
      <c r="N1048" s="6">
        <v>406.21899999999999</v>
      </c>
      <c r="O1048" s="6">
        <v>81.243799999999993</v>
      </c>
      <c r="P1048" s="6">
        <v>0</v>
      </c>
      <c r="Q1048" s="4" t="s">
        <v>26</v>
      </c>
      <c r="R1048" s="4">
        <v>0</v>
      </c>
      <c r="S1048" s="6">
        <v>0</v>
      </c>
      <c r="T1048" s="6">
        <v>28</v>
      </c>
      <c r="U1048" s="6">
        <v>82</v>
      </c>
      <c r="V1048" s="6">
        <f>IF(ISERROR(VLOOKUP($S$1048,'TAR FIN'!$A$1:$O$120,15,0)),0,VLOOKUP($S$1048,'TAR FIN'!$A$1:$O$120,15,0))</f>
        <v>0</v>
      </c>
      <c r="W1048" s="6">
        <f>IF(ISERROR(VLOOKUP($T$1048,'TAR FIN'!$A$1:$O$120,15,0)),0,VLOOKUP($T$1048,'TAR FIN'!$A$1:$O$120,15,0))</f>
        <v>84.45</v>
      </c>
      <c r="X1048" s="6">
        <f>IF(ISERROR(VLOOKUP($U$1048,'TAR FIN'!$A$1:$O$120,15,0)),0,VLOOKUP($U$1048,'TAR FIN'!$A$1:$O$120,15,0))</f>
        <v>256.38</v>
      </c>
      <c r="Y1048" s="6"/>
      <c r="Z1048" s="6">
        <f ca="1">('TUSD BE'!$AM$34+'TUSD BF'!$AM$34+'TUSD CVA'!$AM$34)*1</f>
        <v>87.519361965254689</v>
      </c>
      <c r="AA1048" s="6">
        <f>('TE BE'!$AA$11+'TE BF'!$AA$11+'TE CVA'!$AA$11)*1</f>
        <v>230.83420940933817</v>
      </c>
      <c r="AB1048" s="6">
        <f>$K$1048*$V$1048</f>
        <v>0</v>
      </c>
      <c r="AC1048" s="6">
        <f>$M$1048*$W$1048</f>
        <v>6861.0389099999993</v>
      </c>
      <c r="AD1048" s="6">
        <f>$O$1048*$X$1048</f>
        <v>20829.285443999997</v>
      </c>
      <c r="AE1048" s="6">
        <f>$K$1048*$Y$1048</f>
        <v>0</v>
      </c>
      <c r="AF1048" s="6">
        <f ca="1">$M$1048*$Z$1048</f>
        <v>7110.4055396327585</v>
      </c>
      <c r="AG1048" s="6">
        <f>$O$1048*$AA$1048</f>
        <v>18753.848342410387</v>
      </c>
    </row>
    <row r="1049" spans="1:33" ht="11.25" customHeight="1" x14ac:dyDescent="0.25">
      <c r="A1049" s="4" t="s">
        <v>27</v>
      </c>
      <c r="B1049" s="4" t="s">
        <v>33</v>
      </c>
      <c r="C1049" s="4" t="s">
        <v>34</v>
      </c>
      <c r="D1049" s="4" t="s">
        <v>47</v>
      </c>
      <c r="E1049" s="4" t="s">
        <v>55</v>
      </c>
      <c r="F1049" s="4" t="s">
        <v>57</v>
      </c>
      <c r="G1049" s="4" t="s">
        <v>25</v>
      </c>
      <c r="H1049" s="4" t="s">
        <v>36</v>
      </c>
      <c r="I1049" s="5">
        <v>43952</v>
      </c>
      <c r="J1049" s="6">
        <v>0</v>
      </c>
      <c r="K1049" s="6">
        <v>0</v>
      </c>
      <c r="L1049" s="6">
        <v>5.2149999999999999</v>
      </c>
      <c r="M1049" s="6">
        <v>1.0429999999999999</v>
      </c>
      <c r="N1049" s="6">
        <v>5.2149999999999999</v>
      </c>
      <c r="O1049" s="6">
        <v>1.0429999999999999</v>
      </c>
      <c r="P1049" s="6">
        <v>0</v>
      </c>
      <c r="Q1049" s="4" t="s">
        <v>26</v>
      </c>
      <c r="R1049" s="4">
        <v>0</v>
      </c>
      <c r="S1049" s="6">
        <v>0</v>
      </c>
      <c r="T1049" s="6">
        <v>28</v>
      </c>
      <c r="U1049" s="6">
        <v>82</v>
      </c>
      <c r="V1049" s="6">
        <f>IF(ISERROR(VLOOKUP($S$1049,'TAR FIN'!$A$1:$O$120,15,0)),0,VLOOKUP($S$1049,'TAR FIN'!$A$1:$O$120,15,0))</f>
        <v>0</v>
      </c>
      <c r="W1049" s="6">
        <f>IF(ISERROR(VLOOKUP($T$1049,'TAR FIN'!$A$1:$O$120,15,0)),0,VLOOKUP($T$1049,'TAR FIN'!$A$1:$O$120,15,0))</f>
        <v>84.45</v>
      </c>
      <c r="X1049" s="6">
        <f>IF(ISERROR(VLOOKUP($U$1049,'TAR FIN'!$A$1:$O$120,15,0)),0,VLOOKUP($U$1049,'TAR FIN'!$A$1:$O$120,15,0))</f>
        <v>256.38</v>
      </c>
      <c r="Y1049" s="6"/>
      <c r="Z1049" s="6">
        <f ca="1">('TUSD BE'!$AM$34+'TUSD BF'!$AM$34+'TUSD CVA'!$AM$34)*1</f>
        <v>87.519361965254689</v>
      </c>
      <c r="AA1049" s="6">
        <f>('TE BE'!$AA$11+'TE BF'!$AA$11+'TE CVA'!$AA$11)*1</f>
        <v>230.83420940933817</v>
      </c>
      <c r="AB1049" s="6">
        <f>$K$1049*$V$1049</f>
        <v>0</v>
      </c>
      <c r="AC1049" s="6">
        <f>$M$1049*$W$1049</f>
        <v>88.08135</v>
      </c>
      <c r="AD1049" s="6">
        <f>$O$1049*$X$1049</f>
        <v>267.40433999999999</v>
      </c>
      <c r="AE1049" s="6">
        <f>$K$1049*$Y$1049</f>
        <v>0</v>
      </c>
      <c r="AF1049" s="6">
        <f ca="1">$M$1049*$Z$1049</f>
        <v>91.282694529760633</v>
      </c>
      <c r="AG1049" s="6">
        <f>$O$1049*$AA$1049</f>
        <v>240.7600804139397</v>
      </c>
    </row>
    <row r="1050" spans="1:33" ht="11.25" customHeight="1" x14ac:dyDescent="0.25">
      <c r="A1050" s="4" t="s">
        <v>21</v>
      </c>
      <c r="B1050" s="4" t="s">
        <v>33</v>
      </c>
      <c r="C1050" s="4" t="s">
        <v>34</v>
      </c>
      <c r="D1050" s="4" t="s">
        <v>47</v>
      </c>
      <c r="E1050" s="4" t="s">
        <v>55</v>
      </c>
      <c r="F1050" s="4" t="s">
        <v>57</v>
      </c>
      <c r="G1050" s="4" t="s">
        <v>25</v>
      </c>
      <c r="H1050" s="4" t="s">
        <v>36</v>
      </c>
      <c r="I1050" s="5">
        <v>43983</v>
      </c>
      <c r="J1050" s="6">
        <v>0</v>
      </c>
      <c r="K1050" s="6">
        <v>0</v>
      </c>
      <c r="L1050" s="6">
        <v>832.40599999999995</v>
      </c>
      <c r="M1050" s="6">
        <v>166.4812</v>
      </c>
      <c r="N1050" s="6">
        <v>832.40599999999995</v>
      </c>
      <c r="O1050" s="6">
        <v>166.4812</v>
      </c>
      <c r="P1050" s="6">
        <v>0</v>
      </c>
      <c r="Q1050" s="4" t="s">
        <v>26</v>
      </c>
      <c r="R1050" s="4">
        <v>0</v>
      </c>
      <c r="S1050" s="6">
        <v>0</v>
      </c>
      <c r="T1050" s="6">
        <v>28</v>
      </c>
      <c r="U1050" s="6">
        <v>82</v>
      </c>
      <c r="V1050" s="6">
        <f>IF(ISERROR(VLOOKUP($S$1050,'TAR FIN'!$A$1:$O$120,15,0)),0,VLOOKUP($S$1050,'TAR FIN'!$A$1:$O$120,15,0))</f>
        <v>0</v>
      </c>
      <c r="W1050" s="6">
        <f>IF(ISERROR(VLOOKUP($T$1050,'TAR FIN'!$A$1:$O$120,15,0)),0,VLOOKUP($T$1050,'TAR FIN'!$A$1:$O$120,15,0))</f>
        <v>84.45</v>
      </c>
      <c r="X1050" s="6">
        <f>IF(ISERROR(VLOOKUP($U$1050,'TAR FIN'!$A$1:$O$120,15,0)),0,VLOOKUP($U$1050,'TAR FIN'!$A$1:$O$120,15,0))</f>
        <v>256.38</v>
      </c>
      <c r="Y1050" s="6"/>
      <c r="Z1050" s="6">
        <f ca="1">('TUSD BE'!$AM$34+'TUSD BF'!$AM$34+'TUSD CVA'!$AM$34)*1</f>
        <v>87.519361965254689</v>
      </c>
      <c r="AA1050" s="6">
        <f>('TE BE'!$AA$11+'TE BF'!$AA$11+'TE CVA'!$AA$11)*1</f>
        <v>230.83420940933817</v>
      </c>
      <c r="AB1050" s="6">
        <f>$K$1050*$V$1050</f>
        <v>0</v>
      </c>
      <c r="AC1050" s="6">
        <f>$M$1050*$W$1050</f>
        <v>14059.33734</v>
      </c>
      <c r="AD1050" s="6">
        <f>$O$1050*$X$1050</f>
        <v>42682.450056000001</v>
      </c>
      <c r="AE1050" s="6">
        <f>$K$1050*$Y$1050</f>
        <v>0</v>
      </c>
      <c r="AF1050" s="6">
        <f ca="1">$M$1050*$Z$1050</f>
        <v>14570.328403209958</v>
      </c>
      <c r="AG1050" s="6">
        <f>$O$1050*$AA$1050</f>
        <v>38429.556183517911</v>
      </c>
    </row>
    <row r="1051" spans="1:33" ht="11.25" customHeight="1" x14ac:dyDescent="0.25">
      <c r="A1051" s="4" t="s">
        <v>27</v>
      </c>
      <c r="B1051" s="4" t="s">
        <v>33</v>
      </c>
      <c r="C1051" s="4" t="s">
        <v>34</v>
      </c>
      <c r="D1051" s="4" t="s">
        <v>47</v>
      </c>
      <c r="E1051" s="4" t="s">
        <v>55</v>
      </c>
      <c r="F1051" s="4" t="s">
        <v>57</v>
      </c>
      <c r="G1051" s="4" t="s">
        <v>25</v>
      </c>
      <c r="H1051" s="4" t="s">
        <v>36</v>
      </c>
      <c r="I1051" s="5">
        <v>43983</v>
      </c>
      <c r="J1051" s="6">
        <v>0</v>
      </c>
      <c r="K1051" s="6">
        <v>0</v>
      </c>
      <c r="L1051" s="6">
        <v>28.344999999999999</v>
      </c>
      <c r="M1051" s="6">
        <v>5.6689999999999996</v>
      </c>
      <c r="N1051" s="6">
        <v>28.344999999999999</v>
      </c>
      <c r="O1051" s="6">
        <v>5.6689999999999996</v>
      </c>
      <c r="P1051" s="6">
        <v>0</v>
      </c>
      <c r="Q1051" s="4" t="s">
        <v>26</v>
      </c>
      <c r="R1051" s="4">
        <v>0</v>
      </c>
      <c r="S1051" s="6">
        <v>0</v>
      </c>
      <c r="T1051" s="6">
        <v>28</v>
      </c>
      <c r="U1051" s="6">
        <v>82</v>
      </c>
      <c r="V1051" s="6">
        <f>IF(ISERROR(VLOOKUP($S$1051,'TAR FIN'!$A$1:$O$120,15,0)),0,VLOOKUP($S$1051,'TAR FIN'!$A$1:$O$120,15,0))</f>
        <v>0</v>
      </c>
      <c r="W1051" s="6">
        <f>IF(ISERROR(VLOOKUP($T$1051,'TAR FIN'!$A$1:$O$120,15,0)),0,VLOOKUP($T$1051,'TAR FIN'!$A$1:$O$120,15,0))</f>
        <v>84.45</v>
      </c>
      <c r="X1051" s="6">
        <f>IF(ISERROR(VLOOKUP($U$1051,'TAR FIN'!$A$1:$O$120,15,0)),0,VLOOKUP($U$1051,'TAR FIN'!$A$1:$O$120,15,0))</f>
        <v>256.38</v>
      </c>
      <c r="Y1051" s="6"/>
      <c r="Z1051" s="6">
        <f ca="1">('TUSD BE'!$AM$34+'TUSD BF'!$AM$34+'TUSD CVA'!$AM$34)*1</f>
        <v>87.519361965254689</v>
      </c>
      <c r="AA1051" s="6">
        <f>('TE BE'!$AA$11+'TE BF'!$AA$11+'TE CVA'!$AA$11)*1</f>
        <v>230.83420940933817</v>
      </c>
      <c r="AB1051" s="6">
        <f>$K$1051*$V$1051</f>
        <v>0</v>
      </c>
      <c r="AC1051" s="6">
        <f>$M$1051*$W$1051</f>
        <v>478.74705</v>
      </c>
      <c r="AD1051" s="6">
        <f>$O$1051*$X$1051</f>
        <v>1453.4182199999998</v>
      </c>
      <c r="AE1051" s="6">
        <f>$K$1051*$Y$1051</f>
        <v>0</v>
      </c>
      <c r="AF1051" s="6">
        <f ca="1">$M$1051*$Z$1051</f>
        <v>496.1472629810288</v>
      </c>
      <c r="AG1051" s="6">
        <f>$O$1051*$AA$1051</f>
        <v>1308.599133141538</v>
      </c>
    </row>
    <row r="1052" spans="1:33" ht="11.25" customHeight="1" x14ac:dyDescent="0.25">
      <c r="A1052" s="4" t="s">
        <v>21</v>
      </c>
      <c r="B1052" s="4" t="s">
        <v>33</v>
      </c>
      <c r="C1052" s="4" t="s">
        <v>34</v>
      </c>
      <c r="D1052" s="4" t="s">
        <v>47</v>
      </c>
      <c r="E1052" s="4" t="s">
        <v>55</v>
      </c>
      <c r="F1052" s="4" t="s">
        <v>57</v>
      </c>
      <c r="G1052" s="4" t="s">
        <v>25</v>
      </c>
      <c r="H1052" s="4" t="s">
        <v>36</v>
      </c>
      <c r="I1052" s="5">
        <v>44013</v>
      </c>
      <c r="J1052" s="6">
        <v>0</v>
      </c>
      <c r="K1052" s="6">
        <v>0</v>
      </c>
      <c r="L1052" s="6">
        <v>1179.5039999999999</v>
      </c>
      <c r="M1052" s="6">
        <v>235.9008</v>
      </c>
      <c r="N1052" s="6">
        <v>1179.5039999999999</v>
      </c>
      <c r="O1052" s="6">
        <v>235.9008</v>
      </c>
      <c r="P1052" s="6">
        <v>0</v>
      </c>
      <c r="Q1052" s="4" t="s">
        <v>26</v>
      </c>
      <c r="R1052" s="4">
        <v>0</v>
      </c>
      <c r="S1052" s="6">
        <v>0</v>
      </c>
      <c r="T1052" s="6">
        <v>28</v>
      </c>
      <c r="U1052" s="6">
        <v>82</v>
      </c>
      <c r="V1052" s="6">
        <f>IF(ISERROR(VLOOKUP($S$1052,'TAR FIN'!$A$1:$O$120,15,0)),0,VLOOKUP($S$1052,'TAR FIN'!$A$1:$O$120,15,0))</f>
        <v>0</v>
      </c>
      <c r="W1052" s="6">
        <f>IF(ISERROR(VLOOKUP($T$1052,'TAR FIN'!$A$1:$O$120,15,0)),0,VLOOKUP($T$1052,'TAR FIN'!$A$1:$O$120,15,0))</f>
        <v>84.45</v>
      </c>
      <c r="X1052" s="6">
        <f>IF(ISERROR(VLOOKUP($U$1052,'TAR FIN'!$A$1:$O$120,15,0)),0,VLOOKUP($U$1052,'TAR FIN'!$A$1:$O$120,15,0))</f>
        <v>256.38</v>
      </c>
      <c r="Y1052" s="6"/>
      <c r="Z1052" s="6">
        <f ca="1">('TUSD BE'!$AM$34+'TUSD BF'!$AM$34+'TUSD CVA'!$AM$34)*1</f>
        <v>87.519361965254689</v>
      </c>
      <c r="AA1052" s="6">
        <f>('TE BE'!$AA$11+'TE BF'!$AA$11+'TE CVA'!$AA$11)*1</f>
        <v>230.83420940933817</v>
      </c>
      <c r="AB1052" s="6">
        <f>$K$1052*$V$1052</f>
        <v>0</v>
      </c>
      <c r="AC1052" s="6">
        <f>$M$1052*$W$1052</f>
        <v>19921.822560000001</v>
      </c>
      <c r="AD1052" s="6">
        <f>$O$1052*$X$1052</f>
        <v>60480.247104000002</v>
      </c>
      <c r="AE1052" s="6">
        <f>$K$1052*$Y$1052</f>
        <v>0</v>
      </c>
      <c r="AF1052" s="6">
        <f ca="1">$M$1052*$Z$1052</f>
        <v>20645.887503093152</v>
      </c>
      <c r="AG1052" s="6">
        <f>$O$1052*$AA$1052</f>
        <v>54453.974667030401</v>
      </c>
    </row>
    <row r="1053" spans="1:33" ht="11.25" customHeight="1" x14ac:dyDescent="0.25">
      <c r="A1053" s="4" t="s">
        <v>27</v>
      </c>
      <c r="B1053" s="4" t="s">
        <v>33</v>
      </c>
      <c r="C1053" s="4" t="s">
        <v>34</v>
      </c>
      <c r="D1053" s="4" t="s">
        <v>47</v>
      </c>
      <c r="E1053" s="4" t="s">
        <v>55</v>
      </c>
      <c r="F1053" s="4" t="s">
        <v>57</v>
      </c>
      <c r="G1053" s="4" t="s">
        <v>25</v>
      </c>
      <c r="H1053" s="4" t="s">
        <v>36</v>
      </c>
      <c r="I1053" s="5">
        <v>44013</v>
      </c>
      <c r="J1053" s="6">
        <v>0</v>
      </c>
      <c r="K1053" s="6">
        <v>0</v>
      </c>
      <c r="L1053" s="6">
        <v>29.838000000000001</v>
      </c>
      <c r="M1053" s="6">
        <v>5.9676</v>
      </c>
      <c r="N1053" s="6">
        <v>29.838000000000001</v>
      </c>
      <c r="O1053" s="6">
        <v>5.9676</v>
      </c>
      <c r="P1053" s="6">
        <v>0</v>
      </c>
      <c r="Q1053" s="4" t="s">
        <v>26</v>
      </c>
      <c r="R1053" s="4">
        <v>0</v>
      </c>
      <c r="S1053" s="6">
        <v>0</v>
      </c>
      <c r="T1053" s="6">
        <v>28</v>
      </c>
      <c r="U1053" s="6">
        <v>82</v>
      </c>
      <c r="V1053" s="6">
        <f>IF(ISERROR(VLOOKUP($S$1053,'TAR FIN'!$A$1:$O$120,15,0)),0,VLOOKUP($S$1053,'TAR FIN'!$A$1:$O$120,15,0))</f>
        <v>0</v>
      </c>
      <c r="W1053" s="6">
        <f>IF(ISERROR(VLOOKUP($T$1053,'TAR FIN'!$A$1:$O$120,15,0)),0,VLOOKUP($T$1053,'TAR FIN'!$A$1:$O$120,15,0))</f>
        <v>84.45</v>
      </c>
      <c r="X1053" s="6">
        <f>IF(ISERROR(VLOOKUP($U$1053,'TAR FIN'!$A$1:$O$120,15,0)),0,VLOOKUP($U$1053,'TAR FIN'!$A$1:$O$120,15,0))</f>
        <v>256.38</v>
      </c>
      <c r="Y1053" s="6"/>
      <c r="Z1053" s="6">
        <f ca="1">('TUSD BE'!$AM$34+'TUSD BF'!$AM$34+'TUSD CVA'!$AM$34)*1</f>
        <v>87.519361965254689</v>
      </c>
      <c r="AA1053" s="6">
        <f>('TE BE'!$AA$11+'TE BF'!$AA$11+'TE CVA'!$AA$11)*1</f>
        <v>230.83420940933817</v>
      </c>
      <c r="AB1053" s="6">
        <f>$K$1053*$V$1053</f>
        <v>0</v>
      </c>
      <c r="AC1053" s="6">
        <f>$M$1053*$W$1053</f>
        <v>503.96382</v>
      </c>
      <c r="AD1053" s="6">
        <f>$O$1053*$X$1053</f>
        <v>1529.9732879999999</v>
      </c>
      <c r="AE1053" s="6">
        <f>$K$1053*$Y$1053</f>
        <v>0</v>
      </c>
      <c r="AF1053" s="6">
        <f ca="1">$M$1053*$Z$1053</f>
        <v>522.28054446385386</v>
      </c>
      <c r="AG1053" s="6">
        <f>$O$1053*$AA$1053</f>
        <v>1377.5262280711665</v>
      </c>
    </row>
    <row r="1054" spans="1:33" ht="11.25" customHeight="1" x14ac:dyDescent="0.25">
      <c r="A1054" s="4" t="s">
        <v>21</v>
      </c>
      <c r="B1054" s="4" t="s">
        <v>33</v>
      </c>
      <c r="C1054" s="4" t="s">
        <v>34</v>
      </c>
      <c r="D1054" s="4" t="s">
        <v>47</v>
      </c>
      <c r="E1054" s="4" t="s">
        <v>55</v>
      </c>
      <c r="F1054" s="4" t="s">
        <v>57</v>
      </c>
      <c r="G1054" s="4" t="s">
        <v>25</v>
      </c>
      <c r="H1054" s="4" t="s">
        <v>36</v>
      </c>
      <c r="I1054" s="5">
        <v>44044</v>
      </c>
      <c r="J1054" s="6">
        <v>0</v>
      </c>
      <c r="K1054" s="6">
        <v>0</v>
      </c>
      <c r="L1054" s="6">
        <v>1170.998</v>
      </c>
      <c r="M1054" s="6">
        <v>234.1996</v>
      </c>
      <c r="N1054" s="6">
        <v>1170.998</v>
      </c>
      <c r="O1054" s="6">
        <v>234.1996</v>
      </c>
      <c r="P1054" s="6">
        <v>0</v>
      </c>
      <c r="Q1054" s="4" t="s">
        <v>26</v>
      </c>
      <c r="R1054" s="4">
        <v>0</v>
      </c>
      <c r="S1054" s="6">
        <v>0</v>
      </c>
      <c r="T1054" s="6">
        <v>28</v>
      </c>
      <c r="U1054" s="6">
        <v>82</v>
      </c>
      <c r="V1054" s="6">
        <f>IF(ISERROR(VLOOKUP($S$1054,'TAR FIN'!$A$1:$O$120,15,0)),0,VLOOKUP($S$1054,'TAR FIN'!$A$1:$O$120,15,0))</f>
        <v>0</v>
      </c>
      <c r="W1054" s="6">
        <f>IF(ISERROR(VLOOKUP($T$1054,'TAR FIN'!$A$1:$O$120,15,0)),0,VLOOKUP($T$1054,'TAR FIN'!$A$1:$O$120,15,0))</f>
        <v>84.45</v>
      </c>
      <c r="X1054" s="6">
        <f>IF(ISERROR(VLOOKUP($U$1054,'TAR FIN'!$A$1:$O$120,15,0)),0,VLOOKUP($U$1054,'TAR FIN'!$A$1:$O$120,15,0))</f>
        <v>256.38</v>
      </c>
      <c r="Y1054" s="6"/>
      <c r="Z1054" s="6">
        <f ca="1">('TUSD BE'!$AM$34+'TUSD BF'!$AM$34+'TUSD CVA'!$AM$34)*1</f>
        <v>87.519361965254689</v>
      </c>
      <c r="AA1054" s="6">
        <f>('TE BE'!$AA$11+'TE BF'!$AA$11+'TE CVA'!$AA$11)*1</f>
        <v>230.83420940933817</v>
      </c>
      <c r="AB1054" s="6">
        <f>$K$1054*$V$1054</f>
        <v>0</v>
      </c>
      <c r="AC1054" s="6">
        <f>$M$1054*$W$1054</f>
        <v>19778.156220000001</v>
      </c>
      <c r="AD1054" s="6">
        <f>$O$1054*$X$1054</f>
        <v>60044.093448</v>
      </c>
      <c r="AE1054" s="6">
        <f>$K$1054*$Y$1054</f>
        <v>0</v>
      </c>
      <c r="AF1054" s="6">
        <f ca="1">$M$1054*$Z$1054</f>
        <v>20496.999564517861</v>
      </c>
      <c r="AG1054" s="6">
        <f>$O$1054*$AA$1054</f>
        <v>54061.279509983236</v>
      </c>
    </row>
    <row r="1055" spans="1:33" ht="11.25" customHeight="1" x14ac:dyDescent="0.25">
      <c r="A1055" s="4" t="s">
        <v>27</v>
      </c>
      <c r="B1055" s="4" t="s">
        <v>33</v>
      </c>
      <c r="C1055" s="4" t="s">
        <v>34</v>
      </c>
      <c r="D1055" s="4" t="s">
        <v>47</v>
      </c>
      <c r="E1055" s="4" t="s">
        <v>55</v>
      </c>
      <c r="F1055" s="4" t="s">
        <v>57</v>
      </c>
      <c r="G1055" s="4" t="s">
        <v>25</v>
      </c>
      <c r="H1055" s="4" t="s">
        <v>36</v>
      </c>
      <c r="I1055" s="5">
        <v>44044</v>
      </c>
      <c r="J1055" s="6">
        <v>0</v>
      </c>
      <c r="K1055" s="6">
        <v>0</v>
      </c>
      <c r="L1055" s="6">
        <v>28.576000000000001</v>
      </c>
      <c r="M1055" s="6">
        <v>5.7152000000000003</v>
      </c>
      <c r="N1055" s="6">
        <v>28.576000000000001</v>
      </c>
      <c r="O1055" s="6">
        <v>5.7152000000000003</v>
      </c>
      <c r="P1055" s="6">
        <v>0</v>
      </c>
      <c r="Q1055" s="4" t="s">
        <v>26</v>
      </c>
      <c r="R1055" s="4">
        <v>0</v>
      </c>
      <c r="S1055" s="6">
        <v>0</v>
      </c>
      <c r="T1055" s="6">
        <v>28</v>
      </c>
      <c r="U1055" s="6">
        <v>82</v>
      </c>
      <c r="V1055" s="6">
        <f>IF(ISERROR(VLOOKUP($S$1055,'TAR FIN'!$A$1:$O$120,15,0)),0,VLOOKUP($S$1055,'TAR FIN'!$A$1:$O$120,15,0))</f>
        <v>0</v>
      </c>
      <c r="W1055" s="6">
        <f>IF(ISERROR(VLOOKUP($T$1055,'TAR FIN'!$A$1:$O$120,15,0)),0,VLOOKUP($T$1055,'TAR FIN'!$A$1:$O$120,15,0))</f>
        <v>84.45</v>
      </c>
      <c r="X1055" s="6">
        <f>IF(ISERROR(VLOOKUP($U$1055,'TAR FIN'!$A$1:$O$120,15,0)),0,VLOOKUP($U$1055,'TAR FIN'!$A$1:$O$120,15,0))</f>
        <v>256.38</v>
      </c>
      <c r="Y1055" s="6"/>
      <c r="Z1055" s="6">
        <f ca="1">('TUSD BE'!$AM$34+'TUSD BF'!$AM$34+'TUSD CVA'!$AM$34)*1</f>
        <v>87.519361965254689</v>
      </c>
      <c r="AA1055" s="6">
        <f>('TE BE'!$AA$11+'TE BF'!$AA$11+'TE CVA'!$AA$11)*1</f>
        <v>230.83420940933817</v>
      </c>
      <c r="AB1055" s="6">
        <f>$K$1055*$V$1055</f>
        <v>0</v>
      </c>
      <c r="AC1055" s="6">
        <f>$M$1055*$W$1055</f>
        <v>482.64864000000006</v>
      </c>
      <c r="AD1055" s="6">
        <f>$O$1055*$X$1055</f>
        <v>1465.262976</v>
      </c>
      <c r="AE1055" s="6">
        <f>$K$1055*$Y$1055</f>
        <v>0</v>
      </c>
      <c r="AF1055" s="6">
        <f ca="1">$M$1055*$Z$1055</f>
        <v>500.19065750382362</v>
      </c>
      <c r="AG1055" s="6">
        <f>$O$1055*$AA$1055</f>
        <v>1319.2636736162497</v>
      </c>
    </row>
    <row r="1056" spans="1:33" ht="11.25" customHeight="1" x14ac:dyDescent="0.25">
      <c r="A1056" s="4" t="s">
        <v>59</v>
      </c>
      <c r="B1056" s="4" t="s">
        <v>33</v>
      </c>
      <c r="C1056" s="4" t="s">
        <v>34</v>
      </c>
      <c r="D1056" s="4" t="s">
        <v>47</v>
      </c>
      <c r="E1056" s="4" t="s">
        <v>55</v>
      </c>
      <c r="F1056" s="4" t="s">
        <v>57</v>
      </c>
      <c r="G1056" s="4" t="s">
        <v>25</v>
      </c>
      <c r="H1056" s="4" t="s">
        <v>36</v>
      </c>
      <c r="I1056" s="5">
        <v>44075</v>
      </c>
      <c r="J1056" s="6">
        <v>0</v>
      </c>
      <c r="K1056" s="6">
        <v>0</v>
      </c>
      <c r="L1056" s="6">
        <v>1170.998</v>
      </c>
      <c r="M1056" s="6">
        <v>234.1996</v>
      </c>
      <c r="N1056" s="6">
        <v>1170.998</v>
      </c>
      <c r="O1056" s="6">
        <v>234.1996</v>
      </c>
      <c r="P1056" s="6">
        <v>0</v>
      </c>
      <c r="Q1056" s="4" t="s">
        <v>26</v>
      </c>
      <c r="R1056" s="4">
        <v>0</v>
      </c>
      <c r="S1056" s="6">
        <v>0</v>
      </c>
      <c r="T1056" s="6">
        <v>28</v>
      </c>
      <c r="U1056" s="6">
        <v>82</v>
      </c>
      <c r="V1056" s="6">
        <f>IF(ISERROR(VLOOKUP($S$1056,'TAR FIN'!$A$1:$O$120,15,0)),0,VLOOKUP($S$1056,'TAR FIN'!$A$1:$O$120,15,0))</f>
        <v>0</v>
      </c>
      <c r="W1056" s="6">
        <f>IF(ISERROR(VLOOKUP($T$1056,'TAR FIN'!$A$1:$O$120,15,0)),0,VLOOKUP($T$1056,'TAR FIN'!$A$1:$O$120,15,0))</f>
        <v>84.45</v>
      </c>
      <c r="X1056" s="6">
        <f>IF(ISERROR(VLOOKUP($U$1056,'TAR FIN'!$A$1:$O$120,15,0)),0,VLOOKUP($U$1056,'TAR FIN'!$A$1:$O$120,15,0))</f>
        <v>256.38</v>
      </c>
      <c r="Y1056" s="6"/>
      <c r="Z1056" s="6">
        <f ca="1">('TUSD BE'!$AM$34+'TUSD BF'!$AM$34+'TUSD CVA'!$AM$34)*1</f>
        <v>87.519361965254689</v>
      </c>
      <c r="AA1056" s="6">
        <f>('TE BE'!$AA$11+'TE BF'!$AA$11+'TE CVA'!$AA$11)*1</f>
        <v>230.83420940933817</v>
      </c>
      <c r="AB1056" s="6">
        <f>$K$1056*$V$1056</f>
        <v>0</v>
      </c>
      <c r="AC1056" s="6">
        <f>$M$1056*$W$1056</f>
        <v>19778.156220000001</v>
      </c>
      <c r="AD1056" s="6">
        <f>$O$1056*$X$1056</f>
        <v>60044.093448</v>
      </c>
      <c r="AE1056" s="6">
        <f>$K$1056*$Y$1056</f>
        <v>0</v>
      </c>
      <c r="AF1056" s="6">
        <f ca="1">$M$1056*$Z$1056</f>
        <v>20496.999564517861</v>
      </c>
      <c r="AG1056" s="6">
        <f>$O$1056*$AA$1056</f>
        <v>54061.279509983236</v>
      </c>
    </row>
    <row r="1057" spans="1:33" ht="11.25" customHeight="1" x14ac:dyDescent="0.25">
      <c r="A1057" s="4" t="s">
        <v>59</v>
      </c>
      <c r="B1057" s="4" t="s">
        <v>33</v>
      </c>
      <c r="C1057" s="4" t="s">
        <v>34</v>
      </c>
      <c r="D1057" s="4" t="s">
        <v>47</v>
      </c>
      <c r="E1057" s="4" t="s">
        <v>55</v>
      </c>
      <c r="F1057" s="4" t="s">
        <v>57</v>
      </c>
      <c r="G1057" s="4" t="s">
        <v>25</v>
      </c>
      <c r="H1057" s="4" t="s">
        <v>36</v>
      </c>
      <c r="I1057" s="5">
        <v>44075</v>
      </c>
      <c r="J1057" s="6">
        <v>0</v>
      </c>
      <c r="K1057" s="6">
        <v>0</v>
      </c>
      <c r="L1057" s="6">
        <v>28.576000000000001</v>
      </c>
      <c r="M1057" s="6">
        <v>5.7152000000000003</v>
      </c>
      <c r="N1057" s="6">
        <v>28.576000000000001</v>
      </c>
      <c r="O1057" s="6">
        <v>5.7152000000000003</v>
      </c>
      <c r="P1057" s="6">
        <v>0</v>
      </c>
      <c r="Q1057" s="4" t="s">
        <v>26</v>
      </c>
      <c r="R1057" s="4">
        <v>0</v>
      </c>
      <c r="S1057" s="6">
        <v>0</v>
      </c>
      <c r="T1057" s="6">
        <v>28</v>
      </c>
      <c r="U1057" s="6">
        <v>82</v>
      </c>
      <c r="V1057" s="6">
        <f>IF(ISERROR(VLOOKUP($S$1057,'TAR FIN'!$A$1:$O$120,15,0)),0,VLOOKUP($S$1057,'TAR FIN'!$A$1:$O$120,15,0))</f>
        <v>0</v>
      </c>
      <c r="W1057" s="6">
        <f>IF(ISERROR(VLOOKUP($T$1057,'TAR FIN'!$A$1:$O$120,15,0)),0,VLOOKUP($T$1057,'TAR FIN'!$A$1:$O$120,15,0))</f>
        <v>84.45</v>
      </c>
      <c r="X1057" s="6">
        <f>IF(ISERROR(VLOOKUP($U$1057,'TAR FIN'!$A$1:$O$120,15,0)),0,VLOOKUP($U$1057,'TAR FIN'!$A$1:$O$120,15,0))</f>
        <v>256.38</v>
      </c>
      <c r="Y1057" s="6"/>
      <c r="Z1057" s="6">
        <f ca="1">('TUSD BE'!$AM$34+'TUSD BF'!$AM$34+'TUSD CVA'!$AM$34)*1</f>
        <v>87.519361965254689</v>
      </c>
      <c r="AA1057" s="6">
        <f>('TE BE'!$AA$11+'TE BF'!$AA$11+'TE CVA'!$AA$11)*1</f>
        <v>230.83420940933817</v>
      </c>
      <c r="AB1057" s="6">
        <f>$K$1057*$V$1057</f>
        <v>0</v>
      </c>
      <c r="AC1057" s="6">
        <f>$M$1057*$W$1057</f>
        <v>482.64864000000006</v>
      </c>
      <c r="AD1057" s="6">
        <f>$O$1057*$X$1057</f>
        <v>1465.262976</v>
      </c>
      <c r="AE1057" s="6">
        <f>$K$1057*$Y$1057</f>
        <v>0</v>
      </c>
      <c r="AF1057" s="6">
        <f ca="1">$M$1057*$Z$1057</f>
        <v>500.19065750382362</v>
      </c>
      <c r="AG1057" s="6">
        <f>$O$1057*$AA$1057</f>
        <v>1319.2636736162497</v>
      </c>
    </row>
    <row r="1058" spans="1:33" ht="11.25" customHeight="1" x14ac:dyDescent="0.25">
      <c r="A1058" s="4" t="s">
        <v>21</v>
      </c>
      <c r="B1058" s="4" t="s">
        <v>33</v>
      </c>
      <c r="C1058" s="4" t="s">
        <v>34</v>
      </c>
      <c r="D1058" s="4" t="s">
        <v>47</v>
      </c>
      <c r="E1058" s="4" t="s">
        <v>55</v>
      </c>
      <c r="F1058" s="4" t="s">
        <v>25</v>
      </c>
      <c r="G1058" s="4" t="s">
        <v>25</v>
      </c>
      <c r="H1058" s="4" t="s">
        <v>36</v>
      </c>
      <c r="I1058" s="5">
        <v>43739</v>
      </c>
      <c r="J1058" s="6">
        <v>0</v>
      </c>
      <c r="K1058" s="71">
        <v>0</v>
      </c>
      <c r="L1058" s="6">
        <v>956.12900000000002</v>
      </c>
      <c r="M1058" s="71">
        <v>956.12900000000002</v>
      </c>
      <c r="N1058" s="6">
        <v>956.12900000000002</v>
      </c>
      <c r="O1058" s="71">
        <v>956.12900000000002</v>
      </c>
      <c r="P1058" s="6">
        <v>0</v>
      </c>
      <c r="Q1058" s="4" t="s">
        <v>26</v>
      </c>
      <c r="R1058" s="4">
        <v>0</v>
      </c>
      <c r="S1058" s="6">
        <v>0</v>
      </c>
      <c r="T1058" s="6">
        <v>28</v>
      </c>
      <c r="U1058" s="6">
        <v>82</v>
      </c>
      <c r="V1058" s="71">
        <f>IF(ISERROR(VLOOKUP($S$1058,'TAR FIN'!$A$1:$O$120,15,0)),0,VLOOKUP($S$1058,'TAR FIN'!$A$1:$O$120,15,0))</f>
        <v>0</v>
      </c>
      <c r="W1058" s="71">
        <f>IF(ISERROR(VLOOKUP($T$1058,'TAR FIN'!$A$1:$O$120,15,0)),0,VLOOKUP($T$1058,'TAR FIN'!$A$1:$O$120,15,0))*(1-0.08)</f>
        <v>77.694000000000003</v>
      </c>
      <c r="X1058" s="71">
        <f>IF(ISERROR(VLOOKUP($U$1058,'TAR FIN'!$A$1:$O$120,15,0)),0,VLOOKUP($U$1058,'TAR FIN'!$A$1:$O$120,15,0))*(1-0.08)</f>
        <v>235.86960000000002</v>
      </c>
      <c r="Y1058" s="71"/>
      <c r="Z1058" s="71">
        <f ca="1">('TUSD BE'!$AM$34+'TUSD BF'!$AM$34+'TUSD CVA'!$AM$34)*1*(1-0.06)</f>
        <v>82.268200247339408</v>
      </c>
      <c r="AA1058" s="71">
        <f>('TE BE'!$AA$11+'TE BF'!$AA$11+'TE CVA'!$AA$11)*1*(1-0.06)</f>
        <v>216.98415684477786</v>
      </c>
      <c r="AB1058" s="6">
        <f>$K$1058*$V$1058</f>
        <v>0</v>
      </c>
      <c r="AC1058" s="6">
        <f>$M$1058*$W$1058</f>
        <v>74285.486526000008</v>
      </c>
      <c r="AD1058" s="6">
        <f>$O$1058*$X$1058</f>
        <v>225521.76477840001</v>
      </c>
      <c r="AE1058" s="6">
        <f>$K$1058*$Y$1058</f>
        <v>0</v>
      </c>
      <c r="AF1058" s="6">
        <f ca="1">$M$1058*$Z$1058</f>
        <v>78659.012034288389</v>
      </c>
      <c r="AG1058" s="6">
        <f>$O$1058*$AA$1058</f>
        <v>207464.84489984062</v>
      </c>
    </row>
    <row r="1059" spans="1:33" ht="11.25" customHeight="1" x14ac:dyDescent="0.25">
      <c r="A1059" s="4" t="s">
        <v>27</v>
      </c>
      <c r="B1059" s="4" t="s">
        <v>33</v>
      </c>
      <c r="C1059" s="4" t="s">
        <v>34</v>
      </c>
      <c r="D1059" s="4" t="s">
        <v>47</v>
      </c>
      <c r="E1059" s="4" t="s">
        <v>55</v>
      </c>
      <c r="F1059" s="4" t="s">
        <v>25</v>
      </c>
      <c r="G1059" s="4" t="s">
        <v>25</v>
      </c>
      <c r="H1059" s="4" t="s">
        <v>36</v>
      </c>
      <c r="I1059" s="5">
        <v>43739</v>
      </c>
      <c r="J1059" s="6">
        <v>0</v>
      </c>
      <c r="K1059" s="71">
        <v>0</v>
      </c>
      <c r="L1059" s="6">
        <v>1.9330000000000001</v>
      </c>
      <c r="M1059" s="71">
        <v>1.9330000000000001</v>
      </c>
      <c r="N1059" s="6">
        <v>1.9330000000000001</v>
      </c>
      <c r="O1059" s="71">
        <v>1.9330000000000001</v>
      </c>
      <c r="P1059" s="6">
        <v>0</v>
      </c>
      <c r="Q1059" s="4" t="s">
        <v>26</v>
      </c>
      <c r="R1059" s="4">
        <v>0</v>
      </c>
      <c r="S1059" s="6">
        <v>0</v>
      </c>
      <c r="T1059" s="6">
        <v>28</v>
      </c>
      <c r="U1059" s="6">
        <v>82</v>
      </c>
      <c r="V1059" s="71">
        <f>IF(ISERROR(VLOOKUP($S$1059,'TAR FIN'!$A$1:$O$120,15,0)),0,VLOOKUP($S$1059,'TAR FIN'!$A$1:$O$120,15,0))</f>
        <v>0</v>
      </c>
      <c r="W1059" s="71">
        <f>IF(ISERROR(VLOOKUP($T$1059,'TAR FIN'!$A$1:$O$120,15,0)),0,VLOOKUP($T$1059,'TAR FIN'!$A$1:$O$120,15,0))*(1-0.08)</f>
        <v>77.694000000000003</v>
      </c>
      <c r="X1059" s="71">
        <f>IF(ISERROR(VLOOKUP($U$1059,'TAR FIN'!$A$1:$O$120,15,0)),0,VLOOKUP($U$1059,'TAR FIN'!$A$1:$O$120,15,0))*(1-0.08)</f>
        <v>235.86960000000002</v>
      </c>
      <c r="Y1059" s="71"/>
      <c r="Z1059" s="71">
        <f ca="1">('TUSD BE'!$AM$34+'TUSD BF'!$AM$34+'TUSD CVA'!$AM$34)*1*(1-0.06)</f>
        <v>82.268200247339408</v>
      </c>
      <c r="AA1059" s="71">
        <f>('TE BE'!$AA$11+'TE BF'!$AA$11+'TE CVA'!$AA$11)*1*(1-0.06)</f>
        <v>216.98415684477786</v>
      </c>
      <c r="AB1059" s="6">
        <f>$K$1059*$V$1059</f>
        <v>0</v>
      </c>
      <c r="AC1059" s="6">
        <f>$M$1059*$W$1059</f>
        <v>150.182502</v>
      </c>
      <c r="AD1059" s="6">
        <f>$O$1059*$X$1059</f>
        <v>455.93593680000004</v>
      </c>
      <c r="AE1059" s="6">
        <f>$K$1059*$Y$1059</f>
        <v>0</v>
      </c>
      <c r="AF1059" s="6">
        <f ca="1">$M$1059*$Z$1059</f>
        <v>159.02443107810709</v>
      </c>
      <c r="AG1059" s="6">
        <f>$O$1059*$AA$1059</f>
        <v>419.43037518095559</v>
      </c>
    </row>
    <row r="1060" spans="1:33" ht="11.25" customHeight="1" x14ac:dyDescent="0.25">
      <c r="A1060" s="4" t="s">
        <v>21</v>
      </c>
      <c r="B1060" s="4" t="s">
        <v>33</v>
      </c>
      <c r="C1060" s="4" t="s">
        <v>34</v>
      </c>
      <c r="D1060" s="4" t="s">
        <v>47</v>
      </c>
      <c r="E1060" s="4" t="s">
        <v>55</v>
      </c>
      <c r="F1060" s="4" t="s">
        <v>25</v>
      </c>
      <c r="G1060" s="4" t="s">
        <v>25</v>
      </c>
      <c r="H1060" s="4" t="s">
        <v>36</v>
      </c>
      <c r="I1060" s="5">
        <v>43770</v>
      </c>
      <c r="J1060" s="6">
        <v>0</v>
      </c>
      <c r="K1060" s="71">
        <v>0</v>
      </c>
      <c r="L1060" s="6">
        <v>1213.0989999999999</v>
      </c>
      <c r="M1060" s="71">
        <v>1213.0989999999999</v>
      </c>
      <c r="N1060" s="6">
        <v>1213.0989999999999</v>
      </c>
      <c r="O1060" s="71">
        <v>1213.0989999999999</v>
      </c>
      <c r="P1060" s="6">
        <v>0</v>
      </c>
      <c r="Q1060" s="4" t="s">
        <v>26</v>
      </c>
      <c r="R1060" s="4">
        <v>0</v>
      </c>
      <c r="S1060" s="6">
        <v>0</v>
      </c>
      <c r="T1060" s="6">
        <v>28</v>
      </c>
      <c r="U1060" s="6">
        <v>82</v>
      </c>
      <c r="V1060" s="71">
        <f>IF(ISERROR(VLOOKUP($S$1060,'TAR FIN'!$A$1:$O$120,15,0)),0,VLOOKUP($S$1060,'TAR FIN'!$A$1:$O$120,15,0))</f>
        <v>0</v>
      </c>
      <c r="W1060" s="71">
        <f>IF(ISERROR(VLOOKUP($T$1060,'TAR FIN'!$A$1:$O$120,15,0)),0,VLOOKUP($T$1060,'TAR FIN'!$A$1:$O$120,15,0))*(1-0.08)</f>
        <v>77.694000000000003</v>
      </c>
      <c r="X1060" s="71">
        <f>IF(ISERROR(VLOOKUP($U$1060,'TAR FIN'!$A$1:$O$120,15,0)),0,VLOOKUP($U$1060,'TAR FIN'!$A$1:$O$120,15,0))*(1-0.08)</f>
        <v>235.86960000000002</v>
      </c>
      <c r="Y1060" s="71"/>
      <c r="Z1060" s="71">
        <f ca="1">('TUSD BE'!$AM$34+'TUSD BF'!$AM$34+'TUSD CVA'!$AM$34)*1*(1-0.06)</f>
        <v>82.268200247339408</v>
      </c>
      <c r="AA1060" s="71">
        <f>('TE BE'!$AA$11+'TE BF'!$AA$11+'TE CVA'!$AA$11)*1*(1-0.06)</f>
        <v>216.98415684477786</v>
      </c>
      <c r="AB1060" s="6">
        <f>$K$1060*$V$1060</f>
        <v>0</v>
      </c>
      <c r="AC1060" s="6">
        <f>$M$1060*$W$1060</f>
        <v>94250.513705999998</v>
      </c>
      <c r="AD1060" s="6">
        <f>$O$1060*$X$1060</f>
        <v>286133.17589040002</v>
      </c>
      <c r="AE1060" s="6">
        <f>$K$1060*$Y$1060</f>
        <v>0</v>
      </c>
      <c r="AF1060" s="6">
        <f ca="1">$M$1060*$Z$1060</f>
        <v>99799.471451847188</v>
      </c>
      <c r="AG1060" s="6">
        <f>$O$1060*$AA$1060</f>
        <v>263223.26368424314</v>
      </c>
    </row>
    <row r="1061" spans="1:33" ht="11.25" customHeight="1" x14ac:dyDescent="0.25">
      <c r="A1061" s="4" t="s">
        <v>27</v>
      </c>
      <c r="B1061" s="4" t="s">
        <v>33</v>
      </c>
      <c r="C1061" s="4" t="s">
        <v>34</v>
      </c>
      <c r="D1061" s="4" t="s">
        <v>47</v>
      </c>
      <c r="E1061" s="4" t="s">
        <v>55</v>
      </c>
      <c r="F1061" s="4" t="s">
        <v>25</v>
      </c>
      <c r="G1061" s="4" t="s">
        <v>25</v>
      </c>
      <c r="H1061" s="4" t="s">
        <v>36</v>
      </c>
      <c r="I1061" s="5">
        <v>43770</v>
      </c>
      <c r="J1061" s="6">
        <v>0</v>
      </c>
      <c r="K1061" s="71">
        <v>0</v>
      </c>
      <c r="L1061" s="6">
        <v>22.696999999999999</v>
      </c>
      <c r="M1061" s="71">
        <v>22.696999999999999</v>
      </c>
      <c r="N1061" s="6">
        <v>22.696999999999999</v>
      </c>
      <c r="O1061" s="71">
        <v>22.696999999999999</v>
      </c>
      <c r="P1061" s="6">
        <v>0</v>
      </c>
      <c r="Q1061" s="4" t="s">
        <v>26</v>
      </c>
      <c r="R1061" s="4">
        <v>0</v>
      </c>
      <c r="S1061" s="6">
        <v>0</v>
      </c>
      <c r="T1061" s="6">
        <v>28</v>
      </c>
      <c r="U1061" s="6">
        <v>82</v>
      </c>
      <c r="V1061" s="71">
        <f>IF(ISERROR(VLOOKUP($S$1061,'TAR FIN'!$A$1:$O$120,15,0)),0,VLOOKUP($S$1061,'TAR FIN'!$A$1:$O$120,15,0))</f>
        <v>0</v>
      </c>
      <c r="W1061" s="71">
        <f>IF(ISERROR(VLOOKUP($T$1061,'TAR FIN'!$A$1:$O$120,15,0)),0,VLOOKUP($T$1061,'TAR FIN'!$A$1:$O$120,15,0))*(1-0.08)</f>
        <v>77.694000000000003</v>
      </c>
      <c r="X1061" s="71">
        <f>IF(ISERROR(VLOOKUP($U$1061,'TAR FIN'!$A$1:$O$120,15,0)),0,VLOOKUP($U$1061,'TAR FIN'!$A$1:$O$120,15,0))*(1-0.08)</f>
        <v>235.86960000000002</v>
      </c>
      <c r="Y1061" s="71"/>
      <c r="Z1061" s="71">
        <f ca="1">('TUSD BE'!$AM$34+'TUSD BF'!$AM$34+'TUSD CVA'!$AM$34)*1*(1-0.06)</f>
        <v>82.268200247339408</v>
      </c>
      <c r="AA1061" s="71">
        <f>('TE BE'!$AA$11+'TE BF'!$AA$11+'TE CVA'!$AA$11)*1*(1-0.06)</f>
        <v>216.98415684477786</v>
      </c>
      <c r="AB1061" s="6">
        <f>$K$1061*$V$1061</f>
        <v>0</v>
      </c>
      <c r="AC1061" s="6">
        <f>$M$1061*$W$1061</f>
        <v>1763.4207180000001</v>
      </c>
      <c r="AD1061" s="6">
        <f>$O$1061*$X$1061</f>
        <v>5353.5323112000005</v>
      </c>
      <c r="AE1061" s="6">
        <f>$K$1061*$Y$1061</f>
        <v>0</v>
      </c>
      <c r="AF1061" s="6">
        <f ca="1">$M$1061*$Z$1061</f>
        <v>1867.2413410138624</v>
      </c>
      <c r="AG1061" s="6">
        <f>$O$1061*$AA$1061</f>
        <v>4924.8894079059228</v>
      </c>
    </row>
    <row r="1062" spans="1:33" ht="11.25" customHeight="1" x14ac:dyDescent="0.25">
      <c r="A1062" s="4" t="s">
        <v>21</v>
      </c>
      <c r="B1062" s="4" t="s">
        <v>33</v>
      </c>
      <c r="C1062" s="4" t="s">
        <v>34</v>
      </c>
      <c r="D1062" s="4" t="s">
        <v>47</v>
      </c>
      <c r="E1062" s="4" t="s">
        <v>55</v>
      </c>
      <c r="F1062" s="4" t="s">
        <v>25</v>
      </c>
      <c r="G1062" s="4" t="s">
        <v>25</v>
      </c>
      <c r="H1062" s="4" t="s">
        <v>36</v>
      </c>
      <c r="I1062" s="5">
        <v>43800</v>
      </c>
      <c r="J1062" s="6">
        <v>0</v>
      </c>
      <c r="K1062" s="71">
        <v>0</v>
      </c>
      <c r="L1062" s="6">
        <v>342.91699999999997</v>
      </c>
      <c r="M1062" s="71">
        <v>342.91699999999997</v>
      </c>
      <c r="N1062" s="6">
        <v>342.91699999999997</v>
      </c>
      <c r="O1062" s="71">
        <v>342.91699999999997</v>
      </c>
      <c r="P1062" s="6">
        <v>0</v>
      </c>
      <c r="Q1062" s="4" t="s">
        <v>26</v>
      </c>
      <c r="R1062" s="4">
        <v>0</v>
      </c>
      <c r="S1062" s="6">
        <v>0</v>
      </c>
      <c r="T1062" s="6">
        <v>28</v>
      </c>
      <c r="U1062" s="6">
        <v>82</v>
      </c>
      <c r="V1062" s="71">
        <f>IF(ISERROR(VLOOKUP($S$1062,'TAR FIN'!$A$1:$O$120,15,0)),0,VLOOKUP($S$1062,'TAR FIN'!$A$1:$O$120,15,0))</f>
        <v>0</v>
      </c>
      <c r="W1062" s="71">
        <f>IF(ISERROR(VLOOKUP($T$1062,'TAR FIN'!$A$1:$O$120,15,0)),0,VLOOKUP($T$1062,'TAR FIN'!$A$1:$O$120,15,0))*(1-0.08)</f>
        <v>77.694000000000003</v>
      </c>
      <c r="X1062" s="71">
        <f>IF(ISERROR(VLOOKUP($U$1062,'TAR FIN'!$A$1:$O$120,15,0)),0,VLOOKUP($U$1062,'TAR FIN'!$A$1:$O$120,15,0))*(1-0.08)</f>
        <v>235.86960000000002</v>
      </c>
      <c r="Y1062" s="71"/>
      <c r="Z1062" s="71">
        <f ca="1">('TUSD BE'!$AM$34+'TUSD BF'!$AM$34+'TUSD CVA'!$AM$34)*1*(1-0.06)</f>
        <v>82.268200247339408</v>
      </c>
      <c r="AA1062" s="71">
        <f>('TE BE'!$AA$11+'TE BF'!$AA$11+'TE CVA'!$AA$11)*1*(1-0.06)</f>
        <v>216.98415684477786</v>
      </c>
      <c r="AB1062" s="6">
        <f>$K$1062*$V$1062</f>
        <v>0</v>
      </c>
      <c r="AC1062" s="6">
        <f>$M$1062*$W$1062</f>
        <v>26642.593397999997</v>
      </c>
      <c r="AD1062" s="6">
        <f>$O$1062*$X$1062</f>
        <v>80883.695623199994</v>
      </c>
      <c r="AE1062" s="6">
        <f>$K$1062*$Y$1062</f>
        <v>0</v>
      </c>
      <c r="AF1062" s="6">
        <f ca="1">$M$1062*$Z$1062</f>
        <v>28211.164424216884</v>
      </c>
      <c r="AG1062" s="6">
        <f>$O$1062*$AA$1062</f>
        <v>74407.556112740684</v>
      </c>
    </row>
    <row r="1063" spans="1:33" ht="11.25" customHeight="1" x14ac:dyDescent="0.25">
      <c r="A1063" s="4" t="s">
        <v>21</v>
      </c>
      <c r="B1063" s="4" t="s">
        <v>33</v>
      </c>
      <c r="C1063" s="4" t="s">
        <v>34</v>
      </c>
      <c r="D1063" s="4" t="s">
        <v>47</v>
      </c>
      <c r="E1063" s="4" t="s">
        <v>55</v>
      </c>
      <c r="F1063" s="4" t="s">
        <v>25</v>
      </c>
      <c r="G1063" s="4" t="s">
        <v>25</v>
      </c>
      <c r="H1063" s="4" t="s">
        <v>36</v>
      </c>
      <c r="I1063" s="5">
        <v>43831</v>
      </c>
      <c r="J1063" s="6">
        <v>0</v>
      </c>
      <c r="K1063" s="71">
        <v>0</v>
      </c>
      <c r="L1063" s="6">
        <v>340.26100000000002</v>
      </c>
      <c r="M1063" s="71">
        <v>340.26100000000002</v>
      </c>
      <c r="N1063" s="6">
        <v>340.26100000000002</v>
      </c>
      <c r="O1063" s="71">
        <v>340.26100000000002</v>
      </c>
      <c r="P1063" s="6">
        <v>0</v>
      </c>
      <c r="Q1063" s="4" t="s">
        <v>26</v>
      </c>
      <c r="R1063" s="4">
        <v>0</v>
      </c>
      <c r="S1063" s="6">
        <v>0</v>
      </c>
      <c r="T1063" s="6">
        <v>28</v>
      </c>
      <c r="U1063" s="6">
        <v>82</v>
      </c>
      <c r="V1063" s="71">
        <f>IF(ISERROR(VLOOKUP($S$1063,'TAR FIN'!$A$1:$O$120,15,0)),0,VLOOKUP($S$1063,'TAR FIN'!$A$1:$O$120,15,0))</f>
        <v>0</v>
      </c>
      <c r="W1063" s="71">
        <f>IF(ISERROR(VLOOKUP($T$1063,'TAR FIN'!$A$1:$O$120,15,0)),0,VLOOKUP($T$1063,'TAR FIN'!$A$1:$O$120,15,0))*(1-0.08)</f>
        <v>77.694000000000003</v>
      </c>
      <c r="X1063" s="71">
        <f>IF(ISERROR(VLOOKUP($U$1063,'TAR FIN'!$A$1:$O$120,15,0)),0,VLOOKUP($U$1063,'TAR FIN'!$A$1:$O$120,15,0))*(1-0.08)</f>
        <v>235.86960000000002</v>
      </c>
      <c r="Y1063" s="71"/>
      <c r="Z1063" s="71">
        <f ca="1">('TUSD BE'!$AM$34+'TUSD BF'!$AM$34+'TUSD CVA'!$AM$34)*1*(1-0.06)</f>
        <v>82.268200247339408</v>
      </c>
      <c r="AA1063" s="71">
        <f>('TE BE'!$AA$11+'TE BF'!$AA$11+'TE CVA'!$AA$11)*1*(1-0.06)</f>
        <v>216.98415684477786</v>
      </c>
      <c r="AB1063" s="6">
        <f>$K$1063*$V$1063</f>
        <v>0</v>
      </c>
      <c r="AC1063" s="6">
        <f>$M$1063*$W$1063</f>
        <v>26436.238134000003</v>
      </c>
      <c r="AD1063" s="6">
        <f>$O$1063*$X$1063</f>
        <v>80257.22596560001</v>
      </c>
      <c r="AE1063" s="6">
        <f>$K$1063*$Y$1063</f>
        <v>0</v>
      </c>
      <c r="AF1063" s="6">
        <f ca="1">$M$1063*$Z$1063</f>
        <v>27992.660084359955</v>
      </c>
      <c r="AG1063" s="6">
        <f>$O$1063*$AA$1063</f>
        <v>73831.246192160965</v>
      </c>
    </row>
    <row r="1064" spans="1:33" ht="11.25" customHeight="1" x14ac:dyDescent="0.25">
      <c r="A1064" s="4" t="s">
        <v>21</v>
      </c>
      <c r="B1064" s="4" t="s">
        <v>33</v>
      </c>
      <c r="C1064" s="4" t="s">
        <v>34</v>
      </c>
      <c r="D1064" s="4" t="s">
        <v>47</v>
      </c>
      <c r="E1064" s="4" t="s">
        <v>55</v>
      </c>
      <c r="F1064" s="4" t="s">
        <v>25</v>
      </c>
      <c r="G1064" s="4" t="s">
        <v>25</v>
      </c>
      <c r="H1064" s="4" t="s">
        <v>36</v>
      </c>
      <c r="I1064" s="5">
        <v>43862</v>
      </c>
      <c r="J1064" s="6">
        <v>0</v>
      </c>
      <c r="K1064" s="71">
        <v>0</v>
      </c>
      <c r="L1064" s="6">
        <v>298.91800000000001</v>
      </c>
      <c r="M1064" s="71">
        <v>298.91800000000001</v>
      </c>
      <c r="N1064" s="6">
        <v>298.91800000000001</v>
      </c>
      <c r="O1064" s="71">
        <v>298.91800000000001</v>
      </c>
      <c r="P1064" s="6">
        <v>0</v>
      </c>
      <c r="Q1064" s="4" t="s">
        <v>26</v>
      </c>
      <c r="R1064" s="4">
        <v>0</v>
      </c>
      <c r="S1064" s="6">
        <v>0</v>
      </c>
      <c r="T1064" s="6">
        <v>28</v>
      </c>
      <c r="U1064" s="6">
        <v>82</v>
      </c>
      <c r="V1064" s="71">
        <f>IF(ISERROR(VLOOKUP($S$1064,'TAR FIN'!$A$1:$O$120,15,0)),0,VLOOKUP($S$1064,'TAR FIN'!$A$1:$O$120,15,0))</f>
        <v>0</v>
      </c>
      <c r="W1064" s="71">
        <f>IF(ISERROR(VLOOKUP($T$1064,'TAR FIN'!$A$1:$O$120,15,0)),0,VLOOKUP($T$1064,'TAR FIN'!$A$1:$O$120,15,0))*(1-0.08)</f>
        <v>77.694000000000003</v>
      </c>
      <c r="X1064" s="71">
        <f>IF(ISERROR(VLOOKUP($U$1064,'TAR FIN'!$A$1:$O$120,15,0)),0,VLOOKUP($U$1064,'TAR FIN'!$A$1:$O$120,15,0))*(1-0.08)</f>
        <v>235.86960000000002</v>
      </c>
      <c r="Y1064" s="71"/>
      <c r="Z1064" s="71">
        <f ca="1">('TUSD BE'!$AM$34+'TUSD BF'!$AM$34+'TUSD CVA'!$AM$34)*1*(1-0.06)</f>
        <v>82.268200247339408</v>
      </c>
      <c r="AA1064" s="71">
        <f>('TE BE'!$AA$11+'TE BF'!$AA$11+'TE CVA'!$AA$11)*1*(1-0.06)</f>
        <v>216.98415684477786</v>
      </c>
      <c r="AB1064" s="6">
        <f>$K$1064*$V$1064</f>
        <v>0</v>
      </c>
      <c r="AC1064" s="6">
        <f>$M$1064*$W$1064</f>
        <v>23224.135092</v>
      </c>
      <c r="AD1064" s="6">
        <f>$O$1064*$X$1064</f>
        <v>70505.669092800003</v>
      </c>
      <c r="AE1064" s="6">
        <f>$K$1064*$Y$1064</f>
        <v>0</v>
      </c>
      <c r="AF1064" s="6">
        <f ca="1">$M$1064*$Z$1064</f>
        <v>24591.4458815342</v>
      </c>
      <c r="AG1064" s="6">
        <f>$O$1064*$AA$1064</f>
        <v>64860.470195727306</v>
      </c>
    </row>
    <row r="1065" spans="1:33" ht="11.25" customHeight="1" x14ac:dyDescent="0.25">
      <c r="A1065" s="4" t="s">
        <v>27</v>
      </c>
      <c r="B1065" s="4" t="s">
        <v>33</v>
      </c>
      <c r="C1065" s="4" t="s">
        <v>34</v>
      </c>
      <c r="D1065" s="4" t="s">
        <v>47</v>
      </c>
      <c r="E1065" s="4" t="s">
        <v>55</v>
      </c>
      <c r="F1065" s="4" t="s">
        <v>25</v>
      </c>
      <c r="G1065" s="4" t="s">
        <v>25</v>
      </c>
      <c r="H1065" s="4" t="s">
        <v>36</v>
      </c>
      <c r="I1065" s="5">
        <v>43862</v>
      </c>
      <c r="J1065" s="6">
        <v>0</v>
      </c>
      <c r="K1065" s="71">
        <v>0</v>
      </c>
      <c r="L1065" s="6">
        <v>16.077000000000002</v>
      </c>
      <c r="M1065" s="71">
        <v>16.077000000000002</v>
      </c>
      <c r="N1065" s="6">
        <v>16.077000000000002</v>
      </c>
      <c r="O1065" s="71">
        <v>16.077000000000002</v>
      </c>
      <c r="P1065" s="6">
        <v>0</v>
      </c>
      <c r="Q1065" s="4" t="s">
        <v>26</v>
      </c>
      <c r="R1065" s="4">
        <v>0</v>
      </c>
      <c r="S1065" s="6">
        <v>0</v>
      </c>
      <c r="T1065" s="6">
        <v>28</v>
      </c>
      <c r="U1065" s="6">
        <v>82</v>
      </c>
      <c r="V1065" s="71">
        <f>IF(ISERROR(VLOOKUP($S$1065,'TAR FIN'!$A$1:$O$120,15,0)),0,VLOOKUP($S$1065,'TAR FIN'!$A$1:$O$120,15,0))</f>
        <v>0</v>
      </c>
      <c r="W1065" s="71">
        <f>IF(ISERROR(VLOOKUP($T$1065,'TAR FIN'!$A$1:$O$120,15,0)),0,VLOOKUP($T$1065,'TAR FIN'!$A$1:$O$120,15,0))*(1-0.08)</f>
        <v>77.694000000000003</v>
      </c>
      <c r="X1065" s="71">
        <f>IF(ISERROR(VLOOKUP($U$1065,'TAR FIN'!$A$1:$O$120,15,0)),0,VLOOKUP($U$1065,'TAR FIN'!$A$1:$O$120,15,0))*(1-0.08)</f>
        <v>235.86960000000002</v>
      </c>
      <c r="Y1065" s="71"/>
      <c r="Z1065" s="71">
        <f ca="1">('TUSD BE'!$AM$34+'TUSD BF'!$AM$34+'TUSD CVA'!$AM$34)*1*(1-0.06)</f>
        <v>82.268200247339408</v>
      </c>
      <c r="AA1065" s="71">
        <f>('TE BE'!$AA$11+'TE BF'!$AA$11+'TE CVA'!$AA$11)*1*(1-0.06)</f>
        <v>216.98415684477786</v>
      </c>
      <c r="AB1065" s="6">
        <f>$K$1065*$V$1065</f>
        <v>0</v>
      </c>
      <c r="AC1065" s="6">
        <f>$M$1065*$W$1065</f>
        <v>1249.0864380000003</v>
      </c>
      <c r="AD1065" s="6">
        <f>$O$1065*$X$1065</f>
        <v>3792.0755592000005</v>
      </c>
      <c r="AE1065" s="6">
        <f>$K$1065*$Y$1065</f>
        <v>0</v>
      </c>
      <c r="AF1065" s="6">
        <f ca="1">$M$1065*$Z$1065</f>
        <v>1322.6258553764758</v>
      </c>
      <c r="AG1065" s="6">
        <f>$O$1065*$AA$1065</f>
        <v>3488.4542895934942</v>
      </c>
    </row>
    <row r="1066" spans="1:33" ht="11.25" customHeight="1" x14ac:dyDescent="0.25">
      <c r="A1066" s="4" t="s">
        <v>21</v>
      </c>
      <c r="B1066" s="4" t="s">
        <v>33</v>
      </c>
      <c r="C1066" s="4" t="s">
        <v>34</v>
      </c>
      <c r="D1066" s="4" t="s">
        <v>47</v>
      </c>
      <c r="E1066" s="4" t="s">
        <v>55</v>
      </c>
      <c r="F1066" s="4" t="s">
        <v>25</v>
      </c>
      <c r="G1066" s="4" t="s">
        <v>25</v>
      </c>
      <c r="H1066" s="4" t="s">
        <v>36</v>
      </c>
      <c r="I1066" s="5">
        <v>43891</v>
      </c>
      <c r="J1066" s="6">
        <v>0</v>
      </c>
      <c r="K1066" s="71">
        <v>0</v>
      </c>
      <c r="L1066" s="6">
        <v>132.851</v>
      </c>
      <c r="M1066" s="71">
        <v>132.851</v>
      </c>
      <c r="N1066" s="6">
        <v>132.851</v>
      </c>
      <c r="O1066" s="71">
        <v>132.851</v>
      </c>
      <c r="P1066" s="6">
        <v>0</v>
      </c>
      <c r="Q1066" s="4" t="s">
        <v>26</v>
      </c>
      <c r="R1066" s="4">
        <v>0</v>
      </c>
      <c r="S1066" s="6">
        <v>0</v>
      </c>
      <c r="T1066" s="6">
        <v>28</v>
      </c>
      <c r="U1066" s="6">
        <v>82</v>
      </c>
      <c r="V1066" s="71">
        <f>IF(ISERROR(VLOOKUP($S$1066,'TAR FIN'!$A$1:$O$120,15,0)),0,VLOOKUP($S$1066,'TAR FIN'!$A$1:$O$120,15,0))</f>
        <v>0</v>
      </c>
      <c r="W1066" s="71">
        <f>IF(ISERROR(VLOOKUP($T$1066,'TAR FIN'!$A$1:$O$120,15,0)),0,VLOOKUP($T$1066,'TAR FIN'!$A$1:$O$120,15,0))*(1-0.08)</f>
        <v>77.694000000000003</v>
      </c>
      <c r="X1066" s="71">
        <f>IF(ISERROR(VLOOKUP($U$1066,'TAR FIN'!$A$1:$O$120,15,0)),0,VLOOKUP($U$1066,'TAR FIN'!$A$1:$O$120,15,0))*(1-0.08)</f>
        <v>235.86960000000002</v>
      </c>
      <c r="Y1066" s="71"/>
      <c r="Z1066" s="71">
        <f ca="1">('TUSD BE'!$AM$34+'TUSD BF'!$AM$34+'TUSD CVA'!$AM$34)*1*(1-0.06)</f>
        <v>82.268200247339408</v>
      </c>
      <c r="AA1066" s="71">
        <f>('TE BE'!$AA$11+'TE BF'!$AA$11+'TE CVA'!$AA$11)*1*(1-0.06)</f>
        <v>216.98415684477786</v>
      </c>
      <c r="AB1066" s="6">
        <f>$K$1066*$V$1066</f>
        <v>0</v>
      </c>
      <c r="AC1066" s="6">
        <f>$M$1066*$W$1066</f>
        <v>10321.725594</v>
      </c>
      <c r="AD1066" s="6">
        <f>$O$1066*$X$1066</f>
        <v>31335.512229600001</v>
      </c>
      <c r="AE1066" s="6">
        <f>$K$1066*$Y$1066</f>
        <v>0</v>
      </c>
      <c r="AF1066" s="6">
        <f ca="1">$M$1066*$Z$1066</f>
        <v>10929.412671059288</v>
      </c>
      <c r="AG1066" s="6">
        <f>$O$1066*$AA$1066</f>
        <v>28826.562220985583</v>
      </c>
    </row>
    <row r="1067" spans="1:33" ht="11.25" customHeight="1" x14ac:dyDescent="0.25">
      <c r="A1067" s="4" t="s">
        <v>27</v>
      </c>
      <c r="B1067" s="4" t="s">
        <v>33</v>
      </c>
      <c r="C1067" s="4" t="s">
        <v>34</v>
      </c>
      <c r="D1067" s="4" t="s">
        <v>47</v>
      </c>
      <c r="E1067" s="4" t="s">
        <v>55</v>
      </c>
      <c r="F1067" s="4" t="s">
        <v>25</v>
      </c>
      <c r="G1067" s="4" t="s">
        <v>25</v>
      </c>
      <c r="H1067" s="4" t="s">
        <v>36</v>
      </c>
      <c r="I1067" s="5">
        <v>43891</v>
      </c>
      <c r="J1067" s="6">
        <v>0</v>
      </c>
      <c r="K1067" s="71">
        <v>0</v>
      </c>
      <c r="L1067" s="6">
        <v>13.804</v>
      </c>
      <c r="M1067" s="71">
        <v>13.804</v>
      </c>
      <c r="N1067" s="6">
        <v>13.804</v>
      </c>
      <c r="O1067" s="71">
        <v>13.804</v>
      </c>
      <c r="P1067" s="6">
        <v>0</v>
      </c>
      <c r="Q1067" s="4" t="s">
        <v>26</v>
      </c>
      <c r="R1067" s="4">
        <v>0</v>
      </c>
      <c r="S1067" s="6">
        <v>0</v>
      </c>
      <c r="T1067" s="6">
        <v>28</v>
      </c>
      <c r="U1067" s="6">
        <v>82</v>
      </c>
      <c r="V1067" s="71">
        <f>IF(ISERROR(VLOOKUP($S$1067,'TAR FIN'!$A$1:$O$120,15,0)),0,VLOOKUP($S$1067,'TAR FIN'!$A$1:$O$120,15,0))</f>
        <v>0</v>
      </c>
      <c r="W1067" s="71">
        <f>IF(ISERROR(VLOOKUP($T$1067,'TAR FIN'!$A$1:$O$120,15,0)),0,VLOOKUP($T$1067,'TAR FIN'!$A$1:$O$120,15,0))*(1-0.08)</f>
        <v>77.694000000000003</v>
      </c>
      <c r="X1067" s="71">
        <f>IF(ISERROR(VLOOKUP($U$1067,'TAR FIN'!$A$1:$O$120,15,0)),0,VLOOKUP($U$1067,'TAR FIN'!$A$1:$O$120,15,0))*(1-0.08)</f>
        <v>235.86960000000002</v>
      </c>
      <c r="Y1067" s="71"/>
      <c r="Z1067" s="71">
        <f ca="1">('TUSD BE'!$AM$34+'TUSD BF'!$AM$34+'TUSD CVA'!$AM$34)*1*(1-0.06)</f>
        <v>82.268200247339408</v>
      </c>
      <c r="AA1067" s="71">
        <f>('TE BE'!$AA$11+'TE BF'!$AA$11+'TE CVA'!$AA$11)*1*(1-0.06)</f>
        <v>216.98415684477786</v>
      </c>
      <c r="AB1067" s="6">
        <f>$K$1067*$V$1067</f>
        <v>0</v>
      </c>
      <c r="AC1067" s="6">
        <f>$M$1067*$W$1067</f>
        <v>1072.4879760000001</v>
      </c>
      <c r="AD1067" s="6">
        <f>$O$1067*$X$1067</f>
        <v>3255.9439584000002</v>
      </c>
      <c r="AE1067" s="6">
        <f>$K$1067*$Y$1067</f>
        <v>0</v>
      </c>
      <c r="AF1067" s="6">
        <f ca="1">$M$1067*$Z$1067</f>
        <v>1135.6302362142733</v>
      </c>
      <c r="AG1067" s="6">
        <f>$O$1067*$AA$1067</f>
        <v>2995.2493010853136</v>
      </c>
    </row>
    <row r="1068" spans="1:33" ht="11.25" customHeight="1" x14ac:dyDescent="0.25">
      <c r="A1068" s="4" t="s">
        <v>21</v>
      </c>
      <c r="B1068" s="4" t="s">
        <v>33</v>
      </c>
      <c r="C1068" s="4" t="s">
        <v>34</v>
      </c>
      <c r="D1068" s="4" t="s">
        <v>47</v>
      </c>
      <c r="E1068" s="4" t="s">
        <v>55</v>
      </c>
      <c r="F1068" s="4" t="s">
        <v>25</v>
      </c>
      <c r="G1068" s="4" t="s">
        <v>25</v>
      </c>
      <c r="H1068" s="4" t="s">
        <v>36</v>
      </c>
      <c r="I1068" s="5">
        <v>43922</v>
      </c>
      <c r="J1068" s="6">
        <v>0</v>
      </c>
      <c r="K1068" s="71">
        <v>0</v>
      </c>
      <c r="L1068" s="6">
        <v>346.67200000000003</v>
      </c>
      <c r="M1068" s="71">
        <v>346.67200000000003</v>
      </c>
      <c r="N1068" s="6">
        <v>346.67200000000003</v>
      </c>
      <c r="O1068" s="71">
        <v>346.67200000000003</v>
      </c>
      <c r="P1068" s="6">
        <v>0</v>
      </c>
      <c r="Q1068" s="4" t="s">
        <v>26</v>
      </c>
      <c r="R1068" s="4">
        <v>0</v>
      </c>
      <c r="S1068" s="6">
        <v>0</v>
      </c>
      <c r="T1068" s="6">
        <v>28</v>
      </c>
      <c r="U1068" s="6">
        <v>82</v>
      </c>
      <c r="V1068" s="71">
        <f>IF(ISERROR(VLOOKUP($S$1068,'TAR FIN'!$A$1:$O$120,15,0)),0,VLOOKUP($S$1068,'TAR FIN'!$A$1:$O$120,15,0))</f>
        <v>0</v>
      </c>
      <c r="W1068" s="71">
        <f>IF(ISERROR(VLOOKUP($T$1068,'TAR FIN'!$A$1:$O$120,15,0)),0,VLOOKUP($T$1068,'TAR FIN'!$A$1:$O$120,15,0))*(1-0.08)</f>
        <v>77.694000000000003</v>
      </c>
      <c r="X1068" s="71">
        <f>IF(ISERROR(VLOOKUP($U$1068,'TAR FIN'!$A$1:$O$120,15,0)),0,VLOOKUP($U$1068,'TAR FIN'!$A$1:$O$120,15,0))*(1-0.08)</f>
        <v>235.86960000000002</v>
      </c>
      <c r="Y1068" s="71"/>
      <c r="Z1068" s="71">
        <f ca="1">('TUSD BE'!$AM$34+'TUSD BF'!$AM$34+'TUSD CVA'!$AM$34)*1*(1-0.06)</f>
        <v>82.268200247339408</v>
      </c>
      <c r="AA1068" s="71">
        <f>('TE BE'!$AA$11+'TE BF'!$AA$11+'TE CVA'!$AA$11)*1*(1-0.06)</f>
        <v>216.98415684477786</v>
      </c>
      <c r="AB1068" s="6">
        <f>$K$1068*$V$1068</f>
        <v>0</v>
      </c>
      <c r="AC1068" s="6">
        <f>$M$1068*$W$1068</f>
        <v>26934.334368000003</v>
      </c>
      <c r="AD1068" s="6">
        <f>$O$1068*$X$1068</f>
        <v>81769.385971200012</v>
      </c>
      <c r="AE1068" s="6">
        <f>$K$1068*$Y$1068</f>
        <v>0</v>
      </c>
      <c r="AF1068" s="6">
        <f ca="1">$M$1068*$Z$1068</f>
        <v>28520.081516145648</v>
      </c>
      <c r="AG1068" s="6">
        <f>$O$1068*$AA$1068</f>
        <v>75222.331621692836</v>
      </c>
    </row>
    <row r="1069" spans="1:33" ht="11.25" customHeight="1" x14ac:dyDescent="0.25">
      <c r="A1069" s="4" t="s">
        <v>27</v>
      </c>
      <c r="B1069" s="4" t="s">
        <v>33</v>
      </c>
      <c r="C1069" s="4" t="s">
        <v>34</v>
      </c>
      <c r="D1069" s="4" t="s">
        <v>47</v>
      </c>
      <c r="E1069" s="4" t="s">
        <v>55</v>
      </c>
      <c r="F1069" s="4" t="s">
        <v>25</v>
      </c>
      <c r="G1069" s="4" t="s">
        <v>25</v>
      </c>
      <c r="H1069" s="4" t="s">
        <v>36</v>
      </c>
      <c r="I1069" s="5">
        <v>43922</v>
      </c>
      <c r="J1069" s="6">
        <v>0</v>
      </c>
      <c r="K1069" s="71">
        <v>0</v>
      </c>
      <c r="L1069" s="6">
        <v>5.2279999999999998</v>
      </c>
      <c r="M1069" s="71">
        <v>5.2279999999999998</v>
      </c>
      <c r="N1069" s="6">
        <v>5.2279999999999998</v>
      </c>
      <c r="O1069" s="71">
        <v>5.2279999999999998</v>
      </c>
      <c r="P1069" s="6">
        <v>0</v>
      </c>
      <c r="Q1069" s="4" t="s">
        <v>26</v>
      </c>
      <c r="R1069" s="4">
        <v>0</v>
      </c>
      <c r="S1069" s="6">
        <v>0</v>
      </c>
      <c r="T1069" s="6">
        <v>28</v>
      </c>
      <c r="U1069" s="6">
        <v>82</v>
      </c>
      <c r="V1069" s="71">
        <f>IF(ISERROR(VLOOKUP($S$1069,'TAR FIN'!$A$1:$O$120,15,0)),0,VLOOKUP($S$1069,'TAR FIN'!$A$1:$O$120,15,0))</f>
        <v>0</v>
      </c>
      <c r="W1069" s="71">
        <f>IF(ISERROR(VLOOKUP($T$1069,'TAR FIN'!$A$1:$O$120,15,0)),0,VLOOKUP($T$1069,'TAR FIN'!$A$1:$O$120,15,0))*(1-0.08)</f>
        <v>77.694000000000003</v>
      </c>
      <c r="X1069" s="71">
        <f>IF(ISERROR(VLOOKUP($U$1069,'TAR FIN'!$A$1:$O$120,15,0)),0,VLOOKUP($U$1069,'TAR FIN'!$A$1:$O$120,15,0))*(1-0.08)</f>
        <v>235.86960000000002</v>
      </c>
      <c r="Y1069" s="71"/>
      <c r="Z1069" s="71">
        <f ca="1">('TUSD BE'!$AM$34+'TUSD BF'!$AM$34+'TUSD CVA'!$AM$34)*1*(1-0.06)</f>
        <v>82.268200247339408</v>
      </c>
      <c r="AA1069" s="71">
        <f>('TE BE'!$AA$11+'TE BF'!$AA$11+'TE CVA'!$AA$11)*1*(1-0.06)</f>
        <v>216.98415684477786</v>
      </c>
      <c r="AB1069" s="6">
        <f>$K$1069*$V$1069</f>
        <v>0</v>
      </c>
      <c r="AC1069" s="6">
        <f>$M$1069*$W$1069</f>
        <v>406.18423200000001</v>
      </c>
      <c r="AD1069" s="6">
        <f>$O$1069*$X$1069</f>
        <v>1233.1262687999999</v>
      </c>
      <c r="AE1069" s="6">
        <f>$K$1069*$Y$1069</f>
        <v>0</v>
      </c>
      <c r="AF1069" s="6">
        <f ca="1">$M$1069*$Z$1069</f>
        <v>430.09815089309041</v>
      </c>
      <c r="AG1069" s="6">
        <f>$O$1069*$AA$1069</f>
        <v>1134.3931719844986</v>
      </c>
    </row>
    <row r="1070" spans="1:33" ht="11.25" customHeight="1" x14ac:dyDescent="0.25">
      <c r="A1070" s="4" t="s">
        <v>21</v>
      </c>
      <c r="B1070" s="4" t="s">
        <v>33</v>
      </c>
      <c r="C1070" s="4" t="s">
        <v>34</v>
      </c>
      <c r="D1070" s="4" t="s">
        <v>47</v>
      </c>
      <c r="E1070" s="4" t="s">
        <v>55</v>
      </c>
      <c r="F1070" s="4" t="s">
        <v>25</v>
      </c>
      <c r="G1070" s="4" t="s">
        <v>25</v>
      </c>
      <c r="H1070" s="4" t="s">
        <v>36</v>
      </c>
      <c r="I1070" s="5">
        <v>43952</v>
      </c>
      <c r="J1070" s="6">
        <v>0</v>
      </c>
      <c r="K1070" s="71">
        <v>0</v>
      </c>
      <c r="L1070" s="6">
        <v>722.94600000000003</v>
      </c>
      <c r="M1070" s="71">
        <v>722.94600000000003</v>
      </c>
      <c r="N1070" s="6">
        <v>722.94600000000003</v>
      </c>
      <c r="O1070" s="71">
        <v>722.94600000000003</v>
      </c>
      <c r="P1070" s="6">
        <v>0</v>
      </c>
      <c r="Q1070" s="4" t="s">
        <v>26</v>
      </c>
      <c r="R1070" s="4">
        <v>0</v>
      </c>
      <c r="S1070" s="6">
        <v>0</v>
      </c>
      <c r="T1070" s="6">
        <v>28</v>
      </c>
      <c r="U1070" s="6">
        <v>82</v>
      </c>
      <c r="V1070" s="71">
        <f>IF(ISERROR(VLOOKUP($S$1070,'TAR FIN'!$A$1:$O$120,15,0)),0,VLOOKUP($S$1070,'TAR FIN'!$A$1:$O$120,15,0))</f>
        <v>0</v>
      </c>
      <c r="W1070" s="71">
        <f>IF(ISERROR(VLOOKUP($T$1070,'TAR FIN'!$A$1:$O$120,15,0)),0,VLOOKUP($T$1070,'TAR FIN'!$A$1:$O$120,15,0))*(1-0.08)</f>
        <v>77.694000000000003</v>
      </c>
      <c r="X1070" s="71">
        <f>IF(ISERROR(VLOOKUP($U$1070,'TAR FIN'!$A$1:$O$120,15,0)),0,VLOOKUP($U$1070,'TAR FIN'!$A$1:$O$120,15,0))*(1-0.08)</f>
        <v>235.86960000000002</v>
      </c>
      <c r="Y1070" s="71"/>
      <c r="Z1070" s="71">
        <f ca="1">('TUSD BE'!$AM$34+'TUSD BF'!$AM$34+'TUSD CVA'!$AM$34)*1*(1-0.06)</f>
        <v>82.268200247339408</v>
      </c>
      <c r="AA1070" s="71">
        <f>('TE BE'!$AA$11+'TE BF'!$AA$11+'TE CVA'!$AA$11)*1*(1-0.06)</f>
        <v>216.98415684477786</v>
      </c>
      <c r="AB1070" s="6">
        <f>$K$1070*$V$1070</f>
        <v>0</v>
      </c>
      <c r="AC1070" s="6">
        <f>$M$1070*$W$1070</f>
        <v>56168.566524000002</v>
      </c>
      <c r="AD1070" s="6">
        <f>$O$1070*$X$1070</f>
        <v>170520.98384160001</v>
      </c>
      <c r="AE1070" s="6">
        <f>$K$1070*$Y$1070</f>
        <v>0</v>
      </c>
      <c r="AF1070" s="6">
        <f ca="1">$M$1070*$Z$1070</f>
        <v>59475.466296013037</v>
      </c>
      <c r="AG1070" s="6">
        <f>$O$1070*$AA$1070</f>
        <v>156867.82825430477</v>
      </c>
    </row>
    <row r="1071" spans="1:33" ht="11.25" customHeight="1" x14ac:dyDescent="0.25">
      <c r="A1071" s="4" t="s">
        <v>21</v>
      </c>
      <c r="B1071" s="4" t="s">
        <v>33</v>
      </c>
      <c r="C1071" s="4" t="s">
        <v>34</v>
      </c>
      <c r="D1071" s="4" t="s">
        <v>47</v>
      </c>
      <c r="E1071" s="4" t="s">
        <v>55</v>
      </c>
      <c r="F1071" s="4" t="s">
        <v>25</v>
      </c>
      <c r="G1071" s="4" t="s">
        <v>25</v>
      </c>
      <c r="H1071" s="4" t="s">
        <v>36</v>
      </c>
      <c r="I1071" s="5">
        <v>43983</v>
      </c>
      <c r="J1071" s="6">
        <v>0</v>
      </c>
      <c r="K1071" s="71">
        <v>0</v>
      </c>
      <c r="L1071" s="6">
        <v>1957.6759999999999</v>
      </c>
      <c r="M1071" s="71">
        <v>1957.6759999999999</v>
      </c>
      <c r="N1071" s="6">
        <v>1957.6759999999999</v>
      </c>
      <c r="O1071" s="71">
        <v>1957.6759999999999</v>
      </c>
      <c r="P1071" s="6">
        <v>0</v>
      </c>
      <c r="Q1071" s="4" t="s">
        <v>26</v>
      </c>
      <c r="R1071" s="4">
        <v>0</v>
      </c>
      <c r="S1071" s="6">
        <v>0</v>
      </c>
      <c r="T1071" s="6">
        <v>28</v>
      </c>
      <c r="U1071" s="6">
        <v>82</v>
      </c>
      <c r="V1071" s="71">
        <f>IF(ISERROR(VLOOKUP($S$1071,'TAR FIN'!$A$1:$O$120,15,0)),0,VLOOKUP($S$1071,'TAR FIN'!$A$1:$O$120,15,0))</f>
        <v>0</v>
      </c>
      <c r="W1071" s="71">
        <f>IF(ISERROR(VLOOKUP($T$1071,'TAR FIN'!$A$1:$O$120,15,0)),0,VLOOKUP($T$1071,'TAR FIN'!$A$1:$O$120,15,0))*(1-0.08)</f>
        <v>77.694000000000003</v>
      </c>
      <c r="X1071" s="71">
        <f>IF(ISERROR(VLOOKUP($U$1071,'TAR FIN'!$A$1:$O$120,15,0)),0,VLOOKUP($U$1071,'TAR FIN'!$A$1:$O$120,15,0))*(1-0.08)</f>
        <v>235.86960000000002</v>
      </c>
      <c r="Y1071" s="71"/>
      <c r="Z1071" s="71">
        <f ca="1">('TUSD BE'!$AM$34+'TUSD BF'!$AM$34+'TUSD CVA'!$AM$34)*1*(1-0.06)</f>
        <v>82.268200247339408</v>
      </c>
      <c r="AA1071" s="71">
        <f>('TE BE'!$AA$11+'TE BF'!$AA$11+'TE CVA'!$AA$11)*1*(1-0.06)</f>
        <v>216.98415684477786</v>
      </c>
      <c r="AB1071" s="6">
        <f>$K$1071*$V$1071</f>
        <v>0</v>
      </c>
      <c r="AC1071" s="6">
        <f>$M$1071*$W$1071</f>
        <v>152099.67914399999</v>
      </c>
      <c r="AD1071" s="6">
        <f>$O$1071*$X$1071</f>
        <v>461756.25504960003</v>
      </c>
      <c r="AE1071" s="6">
        <f>$K$1071*$Y$1071</f>
        <v>0</v>
      </c>
      <c r="AF1071" s="6">
        <f ca="1">$M$1071*$Z$1071</f>
        <v>161054.48118741042</v>
      </c>
      <c r="AG1071" s="6">
        <f>$O$1071*$AA$1071</f>
        <v>424784.6762352573</v>
      </c>
    </row>
    <row r="1072" spans="1:33" ht="11.25" customHeight="1" x14ac:dyDescent="0.25">
      <c r="A1072" s="4" t="s">
        <v>27</v>
      </c>
      <c r="B1072" s="4" t="s">
        <v>33</v>
      </c>
      <c r="C1072" s="4" t="s">
        <v>34</v>
      </c>
      <c r="D1072" s="4" t="s">
        <v>47</v>
      </c>
      <c r="E1072" s="4" t="s">
        <v>55</v>
      </c>
      <c r="F1072" s="4" t="s">
        <v>25</v>
      </c>
      <c r="G1072" s="4" t="s">
        <v>25</v>
      </c>
      <c r="H1072" s="4" t="s">
        <v>36</v>
      </c>
      <c r="I1072" s="5">
        <v>43983</v>
      </c>
      <c r="J1072" s="6">
        <v>0</v>
      </c>
      <c r="K1072" s="71">
        <v>0</v>
      </c>
      <c r="L1072" s="6">
        <v>10.285</v>
      </c>
      <c r="M1072" s="71">
        <v>10.285</v>
      </c>
      <c r="N1072" s="6">
        <v>10.285</v>
      </c>
      <c r="O1072" s="71">
        <v>10.285</v>
      </c>
      <c r="P1072" s="6">
        <v>0</v>
      </c>
      <c r="Q1072" s="4" t="s">
        <v>26</v>
      </c>
      <c r="R1072" s="4">
        <v>0</v>
      </c>
      <c r="S1072" s="6">
        <v>0</v>
      </c>
      <c r="T1072" s="6">
        <v>28</v>
      </c>
      <c r="U1072" s="6">
        <v>82</v>
      </c>
      <c r="V1072" s="71">
        <f>IF(ISERROR(VLOOKUP($S$1072,'TAR FIN'!$A$1:$O$120,15,0)),0,VLOOKUP($S$1072,'TAR FIN'!$A$1:$O$120,15,0))</f>
        <v>0</v>
      </c>
      <c r="W1072" s="71">
        <f>IF(ISERROR(VLOOKUP($T$1072,'TAR FIN'!$A$1:$O$120,15,0)),0,VLOOKUP($T$1072,'TAR FIN'!$A$1:$O$120,15,0))*(1-0.08)</f>
        <v>77.694000000000003</v>
      </c>
      <c r="X1072" s="71">
        <f>IF(ISERROR(VLOOKUP($U$1072,'TAR FIN'!$A$1:$O$120,15,0)),0,VLOOKUP($U$1072,'TAR FIN'!$A$1:$O$120,15,0))*(1-0.08)</f>
        <v>235.86960000000002</v>
      </c>
      <c r="Y1072" s="71"/>
      <c r="Z1072" s="71">
        <f ca="1">('TUSD BE'!$AM$34+'TUSD BF'!$AM$34+'TUSD CVA'!$AM$34)*1*(1-0.06)</f>
        <v>82.268200247339408</v>
      </c>
      <c r="AA1072" s="71">
        <f>('TE BE'!$AA$11+'TE BF'!$AA$11+'TE CVA'!$AA$11)*1*(1-0.06)</f>
        <v>216.98415684477786</v>
      </c>
      <c r="AB1072" s="6">
        <f>$K$1072*$V$1072</f>
        <v>0</v>
      </c>
      <c r="AC1072" s="6">
        <f>$M$1072*$W$1072</f>
        <v>799.08279000000005</v>
      </c>
      <c r="AD1072" s="6">
        <f>$O$1072*$X$1072</f>
        <v>2425.9188360000003</v>
      </c>
      <c r="AE1072" s="6">
        <f>$K$1072*$Y$1072</f>
        <v>0</v>
      </c>
      <c r="AF1072" s="6">
        <f ca="1">$M$1072*$Z$1072</f>
        <v>846.12843954388586</v>
      </c>
      <c r="AG1072" s="6">
        <f>$O$1072*$AA$1072</f>
        <v>2231.6820531485405</v>
      </c>
    </row>
    <row r="1073" spans="1:33" ht="11.25" customHeight="1" x14ac:dyDescent="0.25">
      <c r="A1073" s="4" t="s">
        <v>21</v>
      </c>
      <c r="B1073" s="4" t="s">
        <v>33</v>
      </c>
      <c r="C1073" s="4" t="s">
        <v>34</v>
      </c>
      <c r="D1073" s="4" t="s">
        <v>47</v>
      </c>
      <c r="E1073" s="4" t="s">
        <v>55</v>
      </c>
      <c r="F1073" s="4" t="s">
        <v>25</v>
      </c>
      <c r="G1073" s="4" t="s">
        <v>25</v>
      </c>
      <c r="H1073" s="4" t="s">
        <v>36</v>
      </c>
      <c r="I1073" s="5">
        <v>44013</v>
      </c>
      <c r="J1073" s="6">
        <v>0</v>
      </c>
      <c r="K1073" s="71">
        <v>0</v>
      </c>
      <c r="L1073" s="6">
        <v>1958.9480000000001</v>
      </c>
      <c r="M1073" s="71">
        <v>1958.9480000000001</v>
      </c>
      <c r="N1073" s="6">
        <v>1958.9480000000001</v>
      </c>
      <c r="O1073" s="71">
        <v>1958.9480000000001</v>
      </c>
      <c r="P1073" s="6">
        <v>0</v>
      </c>
      <c r="Q1073" s="4" t="s">
        <v>26</v>
      </c>
      <c r="R1073" s="4">
        <v>0</v>
      </c>
      <c r="S1073" s="6">
        <v>0</v>
      </c>
      <c r="T1073" s="6">
        <v>28</v>
      </c>
      <c r="U1073" s="6">
        <v>82</v>
      </c>
      <c r="V1073" s="71">
        <f>IF(ISERROR(VLOOKUP($S$1073,'TAR FIN'!$A$1:$O$120,15,0)),0,VLOOKUP($S$1073,'TAR FIN'!$A$1:$O$120,15,0))</f>
        <v>0</v>
      </c>
      <c r="W1073" s="71">
        <f>IF(ISERROR(VLOOKUP($T$1073,'TAR FIN'!$A$1:$O$120,15,0)),0,VLOOKUP($T$1073,'TAR FIN'!$A$1:$O$120,15,0))*(1-0.08)</f>
        <v>77.694000000000003</v>
      </c>
      <c r="X1073" s="71">
        <f>IF(ISERROR(VLOOKUP($U$1073,'TAR FIN'!$A$1:$O$120,15,0)),0,VLOOKUP($U$1073,'TAR FIN'!$A$1:$O$120,15,0))*(1-0.08)</f>
        <v>235.86960000000002</v>
      </c>
      <c r="Y1073" s="71"/>
      <c r="Z1073" s="71">
        <f ca="1">('TUSD BE'!$AM$34+'TUSD BF'!$AM$34+'TUSD CVA'!$AM$34)*1*(1-0.06)</f>
        <v>82.268200247339408</v>
      </c>
      <c r="AA1073" s="71">
        <f>('TE BE'!$AA$11+'TE BF'!$AA$11+'TE CVA'!$AA$11)*1*(1-0.06)</f>
        <v>216.98415684477786</v>
      </c>
      <c r="AB1073" s="6">
        <f>$K$1073*$V$1073</f>
        <v>0</v>
      </c>
      <c r="AC1073" s="6">
        <f>$M$1073*$W$1073</f>
        <v>152198.50591200002</v>
      </c>
      <c r="AD1073" s="6">
        <f>$O$1073*$X$1073</f>
        <v>462056.28118080006</v>
      </c>
      <c r="AE1073" s="6">
        <f>$K$1073*$Y$1073</f>
        <v>0</v>
      </c>
      <c r="AF1073" s="6">
        <f ca="1">$M$1073*$Z$1073</f>
        <v>161159.12633812503</v>
      </c>
      <c r="AG1073" s="6">
        <f>$O$1073*$AA$1073</f>
        <v>425060.68008276389</v>
      </c>
    </row>
    <row r="1074" spans="1:33" ht="11.25" customHeight="1" x14ac:dyDescent="0.25">
      <c r="A1074" s="4" t="s">
        <v>27</v>
      </c>
      <c r="B1074" s="4" t="s">
        <v>33</v>
      </c>
      <c r="C1074" s="4" t="s">
        <v>34</v>
      </c>
      <c r="D1074" s="4" t="s">
        <v>47</v>
      </c>
      <c r="E1074" s="4" t="s">
        <v>55</v>
      </c>
      <c r="F1074" s="4" t="s">
        <v>25</v>
      </c>
      <c r="G1074" s="4" t="s">
        <v>25</v>
      </c>
      <c r="H1074" s="4" t="s">
        <v>36</v>
      </c>
      <c r="I1074" s="5">
        <v>44013</v>
      </c>
      <c r="J1074" s="6">
        <v>0</v>
      </c>
      <c r="K1074" s="71">
        <v>0</v>
      </c>
      <c r="L1074" s="6">
        <v>66.974000000000004</v>
      </c>
      <c r="M1074" s="71">
        <v>66.974000000000004</v>
      </c>
      <c r="N1074" s="6">
        <v>66.974000000000004</v>
      </c>
      <c r="O1074" s="71">
        <v>66.974000000000004</v>
      </c>
      <c r="P1074" s="6">
        <v>0</v>
      </c>
      <c r="Q1074" s="4" t="s">
        <v>26</v>
      </c>
      <c r="R1074" s="4">
        <v>0</v>
      </c>
      <c r="S1074" s="6">
        <v>0</v>
      </c>
      <c r="T1074" s="6">
        <v>28</v>
      </c>
      <c r="U1074" s="6">
        <v>82</v>
      </c>
      <c r="V1074" s="71">
        <f>IF(ISERROR(VLOOKUP($S$1074,'TAR FIN'!$A$1:$O$120,15,0)),0,VLOOKUP($S$1074,'TAR FIN'!$A$1:$O$120,15,0))</f>
        <v>0</v>
      </c>
      <c r="W1074" s="71">
        <f>IF(ISERROR(VLOOKUP($T$1074,'TAR FIN'!$A$1:$O$120,15,0)),0,VLOOKUP($T$1074,'TAR FIN'!$A$1:$O$120,15,0))*(1-0.08)</f>
        <v>77.694000000000003</v>
      </c>
      <c r="X1074" s="71">
        <f>IF(ISERROR(VLOOKUP($U$1074,'TAR FIN'!$A$1:$O$120,15,0)),0,VLOOKUP($U$1074,'TAR FIN'!$A$1:$O$120,15,0))*(1-0.08)</f>
        <v>235.86960000000002</v>
      </c>
      <c r="Y1074" s="71"/>
      <c r="Z1074" s="71">
        <f ca="1">('TUSD BE'!$AM$34+'TUSD BF'!$AM$34+'TUSD CVA'!$AM$34)*1*(1-0.06)</f>
        <v>82.268200247339408</v>
      </c>
      <c r="AA1074" s="71">
        <f>('TE BE'!$AA$11+'TE BF'!$AA$11+'TE CVA'!$AA$11)*1*(1-0.06)</f>
        <v>216.98415684477786</v>
      </c>
      <c r="AB1074" s="6">
        <f>$K$1074*$V$1074</f>
        <v>0</v>
      </c>
      <c r="AC1074" s="6">
        <f>$M$1074*$W$1074</f>
        <v>5203.4779560000006</v>
      </c>
      <c r="AD1074" s="6">
        <f>$O$1074*$X$1074</f>
        <v>15797.130590400002</v>
      </c>
      <c r="AE1074" s="6">
        <f>$K$1074*$Y$1074</f>
        <v>0</v>
      </c>
      <c r="AF1074" s="6">
        <f ca="1">$M$1074*$Z$1074</f>
        <v>5509.8304433653102</v>
      </c>
      <c r="AG1074" s="6">
        <f>$O$1074*$AA$1074</f>
        <v>14532.296920522153</v>
      </c>
    </row>
    <row r="1075" spans="1:33" ht="11.25" customHeight="1" x14ac:dyDescent="0.25">
      <c r="A1075" s="4" t="s">
        <v>21</v>
      </c>
      <c r="B1075" s="4" t="s">
        <v>33</v>
      </c>
      <c r="C1075" s="4" t="s">
        <v>34</v>
      </c>
      <c r="D1075" s="4" t="s">
        <v>47</v>
      </c>
      <c r="E1075" s="4" t="s">
        <v>55</v>
      </c>
      <c r="F1075" s="4" t="s">
        <v>25</v>
      </c>
      <c r="G1075" s="4" t="s">
        <v>25</v>
      </c>
      <c r="H1075" s="4" t="s">
        <v>36</v>
      </c>
      <c r="I1075" s="5">
        <v>44044</v>
      </c>
      <c r="J1075" s="6">
        <v>0</v>
      </c>
      <c r="K1075" s="71">
        <v>0</v>
      </c>
      <c r="L1075" s="6">
        <v>2088.9360000000001</v>
      </c>
      <c r="M1075" s="71">
        <v>2088.9360000000001</v>
      </c>
      <c r="N1075" s="6">
        <v>2088.9360000000001</v>
      </c>
      <c r="O1075" s="71">
        <v>2088.9360000000001</v>
      </c>
      <c r="P1075" s="6">
        <v>0</v>
      </c>
      <c r="Q1075" s="4" t="s">
        <v>26</v>
      </c>
      <c r="R1075" s="4">
        <v>0</v>
      </c>
      <c r="S1075" s="6">
        <v>0</v>
      </c>
      <c r="T1075" s="6">
        <v>28</v>
      </c>
      <c r="U1075" s="6">
        <v>82</v>
      </c>
      <c r="V1075" s="71">
        <f>IF(ISERROR(VLOOKUP($S$1075,'TAR FIN'!$A$1:$O$120,15,0)),0,VLOOKUP($S$1075,'TAR FIN'!$A$1:$O$120,15,0))</f>
        <v>0</v>
      </c>
      <c r="W1075" s="71">
        <f>IF(ISERROR(VLOOKUP($T$1075,'TAR FIN'!$A$1:$O$120,15,0)),0,VLOOKUP($T$1075,'TAR FIN'!$A$1:$O$120,15,0))*(1-0.08)</f>
        <v>77.694000000000003</v>
      </c>
      <c r="X1075" s="71">
        <f>IF(ISERROR(VLOOKUP($U$1075,'TAR FIN'!$A$1:$O$120,15,0)),0,VLOOKUP($U$1075,'TAR FIN'!$A$1:$O$120,15,0))*(1-0.08)</f>
        <v>235.86960000000002</v>
      </c>
      <c r="Y1075" s="71"/>
      <c r="Z1075" s="71">
        <f ca="1">('TUSD BE'!$AM$34+'TUSD BF'!$AM$34+'TUSD CVA'!$AM$34)*1*(1-0.06)</f>
        <v>82.268200247339408</v>
      </c>
      <c r="AA1075" s="71">
        <f>('TE BE'!$AA$11+'TE BF'!$AA$11+'TE CVA'!$AA$11)*1*(1-0.06)</f>
        <v>216.98415684477786</v>
      </c>
      <c r="AB1075" s="6">
        <f>$K$1075*$V$1075</f>
        <v>0</v>
      </c>
      <c r="AC1075" s="6">
        <f>$M$1075*$W$1075</f>
        <v>162297.79358400003</v>
      </c>
      <c r="AD1075" s="6">
        <f>$O$1075*$X$1075</f>
        <v>492716.49874560005</v>
      </c>
      <c r="AE1075" s="6">
        <f>$K$1075*$Y$1075</f>
        <v>0</v>
      </c>
      <c r="AF1075" s="6">
        <f ca="1">$M$1075*$Z$1075</f>
        <v>171853.00515187622</v>
      </c>
      <c r="AG1075" s="6">
        <f>$O$1075*$AA$1075</f>
        <v>453266.0166627029</v>
      </c>
    </row>
    <row r="1076" spans="1:33" ht="11.25" customHeight="1" x14ac:dyDescent="0.25">
      <c r="A1076" s="4" t="s">
        <v>27</v>
      </c>
      <c r="B1076" s="4" t="s">
        <v>33</v>
      </c>
      <c r="C1076" s="4" t="s">
        <v>34</v>
      </c>
      <c r="D1076" s="4" t="s">
        <v>47</v>
      </c>
      <c r="E1076" s="4" t="s">
        <v>55</v>
      </c>
      <c r="F1076" s="4" t="s">
        <v>25</v>
      </c>
      <c r="G1076" s="4" t="s">
        <v>25</v>
      </c>
      <c r="H1076" s="4" t="s">
        <v>36</v>
      </c>
      <c r="I1076" s="5">
        <v>44044</v>
      </c>
      <c r="J1076" s="6">
        <v>0</v>
      </c>
      <c r="K1076" s="71">
        <v>0</v>
      </c>
      <c r="L1076" s="6">
        <v>26.326000000000001</v>
      </c>
      <c r="M1076" s="71">
        <v>26.326000000000001</v>
      </c>
      <c r="N1076" s="6">
        <v>26.326000000000001</v>
      </c>
      <c r="O1076" s="71">
        <v>26.326000000000001</v>
      </c>
      <c r="P1076" s="6">
        <v>0</v>
      </c>
      <c r="Q1076" s="4" t="s">
        <v>26</v>
      </c>
      <c r="R1076" s="4">
        <v>0</v>
      </c>
      <c r="S1076" s="6">
        <v>0</v>
      </c>
      <c r="T1076" s="6">
        <v>28</v>
      </c>
      <c r="U1076" s="6">
        <v>82</v>
      </c>
      <c r="V1076" s="71">
        <f>IF(ISERROR(VLOOKUP($S$1076,'TAR FIN'!$A$1:$O$120,15,0)),0,VLOOKUP($S$1076,'TAR FIN'!$A$1:$O$120,15,0))</f>
        <v>0</v>
      </c>
      <c r="W1076" s="71">
        <f>IF(ISERROR(VLOOKUP($T$1076,'TAR FIN'!$A$1:$O$120,15,0)),0,VLOOKUP($T$1076,'TAR FIN'!$A$1:$O$120,15,0))*(1-0.08)</f>
        <v>77.694000000000003</v>
      </c>
      <c r="X1076" s="71">
        <f>IF(ISERROR(VLOOKUP($U$1076,'TAR FIN'!$A$1:$O$120,15,0)),0,VLOOKUP($U$1076,'TAR FIN'!$A$1:$O$120,15,0))*(1-0.08)</f>
        <v>235.86960000000002</v>
      </c>
      <c r="Y1076" s="71"/>
      <c r="Z1076" s="71">
        <f ca="1">('TUSD BE'!$AM$34+'TUSD BF'!$AM$34+'TUSD CVA'!$AM$34)*1*(1-0.06)</f>
        <v>82.268200247339408</v>
      </c>
      <c r="AA1076" s="71">
        <f>('TE BE'!$AA$11+'TE BF'!$AA$11+'TE CVA'!$AA$11)*1*(1-0.06)</f>
        <v>216.98415684477786</v>
      </c>
      <c r="AB1076" s="6">
        <f>$K$1076*$V$1076</f>
        <v>0</v>
      </c>
      <c r="AC1076" s="6">
        <f>$M$1076*$W$1076</f>
        <v>2045.3722440000001</v>
      </c>
      <c r="AD1076" s="6">
        <f>$O$1076*$X$1076</f>
        <v>6209.5030896000007</v>
      </c>
      <c r="AE1076" s="6">
        <f>$K$1076*$Y$1076</f>
        <v>0</v>
      </c>
      <c r="AF1076" s="6">
        <f ca="1">$M$1076*$Z$1076</f>
        <v>2165.7926397114575</v>
      </c>
      <c r="AG1076" s="6">
        <f>$O$1076*$AA$1076</f>
        <v>5712.3249130956219</v>
      </c>
    </row>
    <row r="1077" spans="1:33" ht="11.25" customHeight="1" x14ac:dyDescent="0.25">
      <c r="A1077" s="4" t="s">
        <v>59</v>
      </c>
      <c r="B1077" s="4" t="s">
        <v>33</v>
      </c>
      <c r="C1077" s="4" t="s">
        <v>34</v>
      </c>
      <c r="D1077" s="4" t="s">
        <v>47</v>
      </c>
      <c r="E1077" s="4" t="s">
        <v>55</v>
      </c>
      <c r="F1077" s="4" t="s">
        <v>25</v>
      </c>
      <c r="G1077" s="4" t="s">
        <v>25</v>
      </c>
      <c r="H1077" s="4" t="s">
        <v>36</v>
      </c>
      <c r="I1077" s="5">
        <v>44075</v>
      </c>
      <c r="J1077" s="6">
        <v>0</v>
      </c>
      <c r="K1077" s="71">
        <v>0</v>
      </c>
      <c r="L1077" s="6">
        <v>2088.9360000000001</v>
      </c>
      <c r="M1077" s="71">
        <v>2088.9360000000001</v>
      </c>
      <c r="N1077" s="6">
        <v>2088.9360000000001</v>
      </c>
      <c r="O1077" s="71">
        <v>2088.9360000000001</v>
      </c>
      <c r="P1077" s="6">
        <v>0</v>
      </c>
      <c r="Q1077" s="4" t="s">
        <v>26</v>
      </c>
      <c r="R1077" s="4">
        <v>0</v>
      </c>
      <c r="S1077" s="6">
        <v>0</v>
      </c>
      <c r="T1077" s="6">
        <v>28</v>
      </c>
      <c r="U1077" s="6">
        <v>82</v>
      </c>
      <c r="V1077" s="71">
        <f>IF(ISERROR(VLOOKUP($S$1077,'TAR FIN'!$A$1:$O$120,15,0)),0,VLOOKUP($S$1077,'TAR FIN'!$A$1:$O$120,15,0))</f>
        <v>0</v>
      </c>
      <c r="W1077" s="71">
        <f>IF(ISERROR(VLOOKUP($T$1077,'TAR FIN'!$A$1:$O$120,15,0)),0,VLOOKUP($T$1077,'TAR FIN'!$A$1:$O$120,15,0))*(1-0.08)</f>
        <v>77.694000000000003</v>
      </c>
      <c r="X1077" s="71">
        <f>IF(ISERROR(VLOOKUP($U$1077,'TAR FIN'!$A$1:$O$120,15,0)),0,VLOOKUP($U$1077,'TAR FIN'!$A$1:$O$120,15,0))*(1-0.08)</f>
        <v>235.86960000000002</v>
      </c>
      <c r="Y1077" s="71"/>
      <c r="Z1077" s="71">
        <f ca="1">('TUSD BE'!$AM$34+'TUSD BF'!$AM$34+'TUSD CVA'!$AM$34)*1*(1-0.06)</f>
        <v>82.268200247339408</v>
      </c>
      <c r="AA1077" s="71">
        <f>('TE BE'!$AA$11+'TE BF'!$AA$11+'TE CVA'!$AA$11)*1*(1-0.06)</f>
        <v>216.98415684477786</v>
      </c>
      <c r="AB1077" s="6">
        <f>$K$1077*$V$1077</f>
        <v>0</v>
      </c>
      <c r="AC1077" s="6">
        <f>$M$1077*$W$1077</f>
        <v>162297.79358400003</v>
      </c>
      <c r="AD1077" s="6">
        <f>$O$1077*$X$1077</f>
        <v>492716.49874560005</v>
      </c>
      <c r="AE1077" s="6">
        <f>$K$1077*$Y$1077</f>
        <v>0</v>
      </c>
      <c r="AF1077" s="6">
        <f ca="1">$M$1077*$Z$1077</f>
        <v>171853.00515187622</v>
      </c>
      <c r="AG1077" s="6">
        <f>$O$1077*$AA$1077</f>
        <v>453266.0166627029</v>
      </c>
    </row>
    <row r="1078" spans="1:33" ht="11.25" customHeight="1" x14ac:dyDescent="0.25">
      <c r="A1078" s="4" t="s">
        <v>59</v>
      </c>
      <c r="B1078" s="4" t="s">
        <v>33</v>
      </c>
      <c r="C1078" s="4" t="s">
        <v>34</v>
      </c>
      <c r="D1078" s="4" t="s">
        <v>47</v>
      </c>
      <c r="E1078" s="4" t="s">
        <v>55</v>
      </c>
      <c r="F1078" s="4" t="s">
        <v>25</v>
      </c>
      <c r="G1078" s="4" t="s">
        <v>25</v>
      </c>
      <c r="H1078" s="4" t="s">
        <v>36</v>
      </c>
      <c r="I1078" s="5">
        <v>44075</v>
      </c>
      <c r="J1078" s="6">
        <v>0</v>
      </c>
      <c r="K1078" s="71">
        <v>0</v>
      </c>
      <c r="L1078" s="6">
        <v>26.326000000000001</v>
      </c>
      <c r="M1078" s="71">
        <v>26.326000000000001</v>
      </c>
      <c r="N1078" s="6">
        <v>26.326000000000001</v>
      </c>
      <c r="O1078" s="71">
        <v>26.326000000000001</v>
      </c>
      <c r="P1078" s="6">
        <v>0</v>
      </c>
      <c r="Q1078" s="4" t="s">
        <v>26</v>
      </c>
      <c r="R1078" s="4">
        <v>0</v>
      </c>
      <c r="S1078" s="6">
        <v>0</v>
      </c>
      <c r="T1078" s="6">
        <v>28</v>
      </c>
      <c r="U1078" s="6">
        <v>82</v>
      </c>
      <c r="V1078" s="71">
        <f>IF(ISERROR(VLOOKUP($S$1078,'TAR FIN'!$A$1:$O$120,15,0)),0,VLOOKUP($S$1078,'TAR FIN'!$A$1:$O$120,15,0))</f>
        <v>0</v>
      </c>
      <c r="W1078" s="71">
        <f>IF(ISERROR(VLOOKUP($T$1078,'TAR FIN'!$A$1:$O$120,15,0)),0,VLOOKUP($T$1078,'TAR FIN'!$A$1:$O$120,15,0))*(1-0.08)</f>
        <v>77.694000000000003</v>
      </c>
      <c r="X1078" s="71">
        <f>IF(ISERROR(VLOOKUP($U$1078,'TAR FIN'!$A$1:$O$120,15,0)),0,VLOOKUP($U$1078,'TAR FIN'!$A$1:$O$120,15,0))*(1-0.08)</f>
        <v>235.86960000000002</v>
      </c>
      <c r="Y1078" s="71"/>
      <c r="Z1078" s="71">
        <f ca="1">('TUSD BE'!$AM$34+'TUSD BF'!$AM$34+'TUSD CVA'!$AM$34)*1*(1-0.06)</f>
        <v>82.268200247339408</v>
      </c>
      <c r="AA1078" s="71">
        <f>('TE BE'!$AA$11+'TE BF'!$AA$11+'TE CVA'!$AA$11)*1*(1-0.06)</f>
        <v>216.98415684477786</v>
      </c>
      <c r="AB1078" s="6">
        <f>$K$1078*$V$1078</f>
        <v>0</v>
      </c>
      <c r="AC1078" s="6">
        <f>$M$1078*$W$1078</f>
        <v>2045.3722440000001</v>
      </c>
      <c r="AD1078" s="6">
        <f>$O$1078*$X$1078</f>
        <v>6209.5030896000007</v>
      </c>
      <c r="AE1078" s="6">
        <f>$K$1078*$Y$1078</f>
        <v>0</v>
      </c>
      <c r="AF1078" s="6">
        <f ca="1">$M$1078*$Z$1078</f>
        <v>2165.7926397114575</v>
      </c>
      <c r="AG1078" s="6">
        <f>$O$1078*$AA$1078</f>
        <v>5712.3249130956219</v>
      </c>
    </row>
    <row r="1079" spans="1:33" ht="11.25" customHeight="1" x14ac:dyDescent="0.25">
      <c r="A1079" s="4" t="s">
        <v>21</v>
      </c>
      <c r="B1079" s="4" t="s">
        <v>33</v>
      </c>
      <c r="C1079" s="4" t="s">
        <v>34</v>
      </c>
      <c r="D1079" s="4" t="s">
        <v>47</v>
      </c>
      <c r="E1079" s="4" t="s">
        <v>55</v>
      </c>
      <c r="F1079" s="4" t="s">
        <v>25</v>
      </c>
      <c r="G1079" s="4" t="s">
        <v>25</v>
      </c>
      <c r="H1079" s="4" t="s">
        <v>25</v>
      </c>
      <c r="I1079" s="5">
        <v>43739</v>
      </c>
      <c r="J1079" s="6">
        <v>8444</v>
      </c>
      <c r="K1079" s="71">
        <v>8444</v>
      </c>
      <c r="L1079" s="6">
        <v>0</v>
      </c>
      <c r="M1079" s="71">
        <v>0</v>
      </c>
      <c r="N1079" s="6">
        <v>0</v>
      </c>
      <c r="O1079" s="71">
        <v>0</v>
      </c>
      <c r="P1079" s="6">
        <v>119</v>
      </c>
      <c r="Q1079" s="4" t="s">
        <v>26</v>
      </c>
      <c r="R1079" s="4">
        <v>0</v>
      </c>
      <c r="S1079" s="6">
        <v>26</v>
      </c>
      <c r="T1079" s="6">
        <v>0</v>
      </c>
      <c r="U1079" s="6">
        <v>0</v>
      </c>
      <c r="V1079" s="71">
        <f>IF(ISERROR(VLOOKUP($S$1079,'TAR FIN'!$A$1:$O$120,15,0)),0,VLOOKUP($S$1079,'TAR FIN'!$A$1:$O$120,15,0))*(1-0.08)</f>
        <v>8.1052</v>
      </c>
      <c r="W1079" s="71">
        <f>IF(ISERROR(VLOOKUP($T$1079,'TAR FIN'!$A$1:$O$120,15,0)),0,VLOOKUP($T$1079,'TAR FIN'!$A$1:$O$120,15,0))</f>
        <v>0</v>
      </c>
      <c r="X1079" s="71">
        <f>IF(ISERROR(VLOOKUP($U$1079,'TAR FIN'!$A$1:$O$120,15,0)),0,VLOOKUP($U$1079,'TAR FIN'!$A$1:$O$120,15,0))</f>
        <v>0</v>
      </c>
      <c r="Y1079" s="71">
        <f ca="1">('TUSD BE'!$AM$32+'TUSD BF'!$AM$32+'TUSD CVA'!$AM$32)*1*(1-0.06)</f>
        <v>10.765215249734004</v>
      </c>
      <c r="Z1079" s="71"/>
      <c r="AA1079" s="71"/>
      <c r="AB1079" s="6">
        <f>$K$1079*$V$1079</f>
        <v>68440.308799999999</v>
      </c>
      <c r="AC1079" s="6">
        <f>$M$1079*$W$1079</f>
        <v>0</v>
      </c>
      <c r="AD1079" s="6">
        <f>$O$1079*$X$1079</f>
        <v>0</v>
      </c>
      <c r="AE1079" s="6">
        <f ca="1">$K$1079*$Y$1079</f>
        <v>90901.477568753922</v>
      </c>
      <c r="AF1079" s="6">
        <f>$M$1079*$Z$1079</f>
        <v>0</v>
      </c>
      <c r="AG1079" s="6">
        <f>$O$1079*$AA$1079</f>
        <v>0</v>
      </c>
    </row>
    <row r="1080" spans="1:33" ht="11.25" customHeight="1" x14ac:dyDescent="0.25">
      <c r="A1080" s="4" t="s">
        <v>27</v>
      </c>
      <c r="B1080" s="4" t="s">
        <v>33</v>
      </c>
      <c r="C1080" s="4" t="s">
        <v>34</v>
      </c>
      <c r="D1080" s="4" t="s">
        <v>47</v>
      </c>
      <c r="E1080" s="4" t="s">
        <v>55</v>
      </c>
      <c r="F1080" s="4" t="s">
        <v>25</v>
      </c>
      <c r="G1080" s="4" t="s">
        <v>25</v>
      </c>
      <c r="H1080" s="4" t="s">
        <v>25</v>
      </c>
      <c r="I1080" s="5">
        <v>43739</v>
      </c>
      <c r="J1080" s="6">
        <v>69</v>
      </c>
      <c r="K1080" s="71">
        <v>69</v>
      </c>
      <c r="L1080" s="6">
        <v>0</v>
      </c>
      <c r="M1080" s="71">
        <v>0</v>
      </c>
      <c r="N1080" s="6">
        <v>0</v>
      </c>
      <c r="O1080" s="71">
        <v>0</v>
      </c>
      <c r="P1080" s="6">
        <v>4</v>
      </c>
      <c r="Q1080" s="4" t="s">
        <v>26</v>
      </c>
      <c r="R1080" s="4">
        <v>0</v>
      </c>
      <c r="S1080" s="6">
        <v>26</v>
      </c>
      <c r="T1080" s="6">
        <v>0</v>
      </c>
      <c r="U1080" s="6">
        <v>0</v>
      </c>
      <c r="V1080" s="71">
        <f>IF(ISERROR(VLOOKUP($S$1080,'TAR FIN'!$A$1:$O$120,15,0)),0,VLOOKUP($S$1080,'TAR FIN'!$A$1:$O$120,15,0))*(1-0.08)</f>
        <v>8.1052</v>
      </c>
      <c r="W1080" s="71">
        <f>IF(ISERROR(VLOOKUP($T$1080,'TAR FIN'!$A$1:$O$120,15,0)),0,VLOOKUP($T$1080,'TAR FIN'!$A$1:$O$120,15,0))</f>
        <v>0</v>
      </c>
      <c r="X1080" s="71">
        <f>IF(ISERROR(VLOOKUP($U$1080,'TAR FIN'!$A$1:$O$120,15,0)),0,VLOOKUP($U$1080,'TAR FIN'!$A$1:$O$120,15,0))</f>
        <v>0</v>
      </c>
      <c r="Y1080" s="71">
        <f ca="1">('TUSD BE'!$AM$32+'TUSD BF'!$AM$32+'TUSD CVA'!$AM$32)*1*(1-0.06)</f>
        <v>10.765215249734004</v>
      </c>
      <c r="Z1080" s="71"/>
      <c r="AA1080" s="71"/>
      <c r="AB1080" s="6">
        <f>$K$1080*$V$1080</f>
        <v>559.25879999999995</v>
      </c>
      <c r="AC1080" s="6">
        <f>$M$1080*$W$1080</f>
        <v>0</v>
      </c>
      <c r="AD1080" s="6">
        <f>$O$1080*$X$1080</f>
        <v>0</v>
      </c>
      <c r="AE1080" s="6">
        <f ca="1">$K$1080*$Y$1080</f>
        <v>742.79985223164624</v>
      </c>
      <c r="AF1080" s="6">
        <f>$M$1080*$Z$1080</f>
        <v>0</v>
      </c>
      <c r="AG1080" s="6">
        <f>$O$1080*$AA$1080</f>
        <v>0</v>
      </c>
    </row>
    <row r="1081" spans="1:33" ht="11.25" customHeight="1" x14ac:dyDescent="0.25">
      <c r="A1081" s="4" t="s">
        <v>21</v>
      </c>
      <c r="B1081" s="4" t="s">
        <v>33</v>
      </c>
      <c r="C1081" s="4" t="s">
        <v>34</v>
      </c>
      <c r="D1081" s="4" t="s">
        <v>47</v>
      </c>
      <c r="E1081" s="4" t="s">
        <v>55</v>
      </c>
      <c r="F1081" s="4" t="s">
        <v>25</v>
      </c>
      <c r="G1081" s="4" t="s">
        <v>25</v>
      </c>
      <c r="H1081" s="4" t="s">
        <v>25</v>
      </c>
      <c r="I1081" s="5">
        <v>43770</v>
      </c>
      <c r="J1081" s="6">
        <v>10820</v>
      </c>
      <c r="K1081" s="71">
        <v>10820</v>
      </c>
      <c r="L1081" s="6">
        <v>0</v>
      </c>
      <c r="M1081" s="71">
        <v>0</v>
      </c>
      <c r="N1081" s="6">
        <v>0</v>
      </c>
      <c r="O1081" s="71">
        <v>0</v>
      </c>
      <c r="P1081" s="6">
        <v>120</v>
      </c>
      <c r="Q1081" s="4" t="s">
        <v>26</v>
      </c>
      <c r="R1081" s="4">
        <v>0</v>
      </c>
      <c r="S1081" s="6">
        <v>26</v>
      </c>
      <c r="T1081" s="6">
        <v>0</v>
      </c>
      <c r="U1081" s="6">
        <v>0</v>
      </c>
      <c r="V1081" s="71">
        <f>IF(ISERROR(VLOOKUP($S$1081,'TAR FIN'!$A$1:$O$120,15,0)),0,VLOOKUP($S$1081,'TAR FIN'!$A$1:$O$120,15,0))*(1-0.08)</f>
        <v>8.1052</v>
      </c>
      <c r="W1081" s="71">
        <f>IF(ISERROR(VLOOKUP($T$1081,'TAR FIN'!$A$1:$O$120,15,0)),0,VLOOKUP($T$1081,'TAR FIN'!$A$1:$O$120,15,0))</f>
        <v>0</v>
      </c>
      <c r="X1081" s="71">
        <f>IF(ISERROR(VLOOKUP($U$1081,'TAR FIN'!$A$1:$O$120,15,0)),0,VLOOKUP($U$1081,'TAR FIN'!$A$1:$O$120,15,0))</f>
        <v>0</v>
      </c>
      <c r="Y1081" s="71">
        <f ca="1">('TUSD BE'!$AM$32+'TUSD BF'!$AM$32+'TUSD CVA'!$AM$32)*1*(1-0.06)</f>
        <v>10.765215249734004</v>
      </c>
      <c r="Z1081" s="71"/>
      <c r="AA1081" s="71"/>
      <c r="AB1081" s="6">
        <f>$K$1081*$V$1081</f>
        <v>87698.263999999996</v>
      </c>
      <c r="AC1081" s="6">
        <f>$M$1081*$W$1081</f>
        <v>0</v>
      </c>
      <c r="AD1081" s="6">
        <f>$O$1081*$X$1081</f>
        <v>0</v>
      </c>
      <c r="AE1081" s="6">
        <f ca="1">$K$1081*$Y$1081</f>
        <v>116479.62900212192</v>
      </c>
      <c r="AF1081" s="6">
        <f>$M$1081*$Z$1081</f>
        <v>0</v>
      </c>
      <c r="AG1081" s="6">
        <f>$O$1081*$AA$1081</f>
        <v>0</v>
      </c>
    </row>
    <row r="1082" spans="1:33" ht="11.25" customHeight="1" x14ac:dyDescent="0.25">
      <c r="A1082" s="4" t="s">
        <v>27</v>
      </c>
      <c r="B1082" s="4" t="s">
        <v>33</v>
      </c>
      <c r="C1082" s="4" t="s">
        <v>34</v>
      </c>
      <c r="D1082" s="4" t="s">
        <v>47</v>
      </c>
      <c r="E1082" s="4" t="s">
        <v>55</v>
      </c>
      <c r="F1082" s="4" t="s">
        <v>25</v>
      </c>
      <c r="G1082" s="4" t="s">
        <v>25</v>
      </c>
      <c r="H1082" s="4" t="s">
        <v>25</v>
      </c>
      <c r="I1082" s="5">
        <v>43770</v>
      </c>
      <c r="J1082" s="6">
        <v>618</v>
      </c>
      <c r="K1082" s="71">
        <v>618</v>
      </c>
      <c r="L1082" s="6">
        <v>0</v>
      </c>
      <c r="M1082" s="71">
        <v>0</v>
      </c>
      <c r="N1082" s="6">
        <v>0</v>
      </c>
      <c r="O1082" s="71">
        <v>0</v>
      </c>
      <c r="P1082" s="6">
        <v>4</v>
      </c>
      <c r="Q1082" s="4" t="s">
        <v>26</v>
      </c>
      <c r="R1082" s="4">
        <v>0</v>
      </c>
      <c r="S1082" s="6">
        <v>26</v>
      </c>
      <c r="T1082" s="6">
        <v>0</v>
      </c>
      <c r="U1082" s="6">
        <v>0</v>
      </c>
      <c r="V1082" s="71">
        <f>IF(ISERROR(VLOOKUP($S$1082,'TAR FIN'!$A$1:$O$120,15,0)),0,VLOOKUP($S$1082,'TAR FIN'!$A$1:$O$120,15,0))*(1-0.08)</f>
        <v>8.1052</v>
      </c>
      <c r="W1082" s="71">
        <f>IF(ISERROR(VLOOKUP($T$1082,'TAR FIN'!$A$1:$O$120,15,0)),0,VLOOKUP($T$1082,'TAR FIN'!$A$1:$O$120,15,0))</f>
        <v>0</v>
      </c>
      <c r="X1082" s="71">
        <f>IF(ISERROR(VLOOKUP($U$1082,'TAR FIN'!$A$1:$O$120,15,0)),0,VLOOKUP($U$1082,'TAR FIN'!$A$1:$O$120,15,0))</f>
        <v>0</v>
      </c>
      <c r="Y1082" s="71">
        <f ca="1">('TUSD BE'!$AM$32+'TUSD BF'!$AM$32+'TUSD CVA'!$AM$32)*1*(1-0.06)</f>
        <v>10.765215249734004</v>
      </c>
      <c r="Z1082" s="71"/>
      <c r="AA1082" s="71"/>
      <c r="AB1082" s="6">
        <f>$K$1082*$V$1082</f>
        <v>5009.0136000000002</v>
      </c>
      <c r="AC1082" s="6">
        <f>$M$1082*$W$1082</f>
        <v>0</v>
      </c>
      <c r="AD1082" s="6">
        <f>$O$1082*$X$1082</f>
        <v>0</v>
      </c>
      <c r="AE1082" s="6">
        <f ca="1">$K$1082*$Y$1082</f>
        <v>6652.9030243356146</v>
      </c>
      <c r="AF1082" s="6">
        <f>$M$1082*$Z$1082</f>
        <v>0</v>
      </c>
      <c r="AG1082" s="6">
        <f>$O$1082*$AA$1082</f>
        <v>0</v>
      </c>
    </row>
    <row r="1083" spans="1:33" ht="11.25" customHeight="1" x14ac:dyDescent="0.25">
      <c r="A1083" s="4" t="s">
        <v>21</v>
      </c>
      <c r="B1083" s="4" t="s">
        <v>33</v>
      </c>
      <c r="C1083" s="4" t="s">
        <v>34</v>
      </c>
      <c r="D1083" s="4" t="s">
        <v>47</v>
      </c>
      <c r="E1083" s="4" t="s">
        <v>55</v>
      </c>
      <c r="F1083" s="4" t="s">
        <v>25</v>
      </c>
      <c r="G1083" s="4" t="s">
        <v>25</v>
      </c>
      <c r="H1083" s="4" t="s">
        <v>25</v>
      </c>
      <c r="I1083" s="5">
        <v>43800</v>
      </c>
      <c r="J1083" s="6">
        <v>7268</v>
      </c>
      <c r="K1083" s="71">
        <v>7268</v>
      </c>
      <c r="L1083" s="6">
        <v>0</v>
      </c>
      <c r="M1083" s="71">
        <v>0</v>
      </c>
      <c r="N1083" s="6">
        <v>0</v>
      </c>
      <c r="O1083" s="71">
        <v>0</v>
      </c>
      <c r="P1083" s="6">
        <v>124</v>
      </c>
      <c r="Q1083" s="4" t="s">
        <v>26</v>
      </c>
      <c r="R1083" s="4">
        <v>0</v>
      </c>
      <c r="S1083" s="6">
        <v>26</v>
      </c>
      <c r="T1083" s="6">
        <v>0</v>
      </c>
      <c r="U1083" s="6">
        <v>0</v>
      </c>
      <c r="V1083" s="71">
        <f>IF(ISERROR(VLOOKUP($S$1083,'TAR FIN'!$A$1:$O$120,15,0)),0,VLOOKUP($S$1083,'TAR FIN'!$A$1:$O$120,15,0))*(1-0.08)</f>
        <v>8.1052</v>
      </c>
      <c r="W1083" s="71">
        <f>IF(ISERROR(VLOOKUP($T$1083,'TAR FIN'!$A$1:$O$120,15,0)),0,VLOOKUP($T$1083,'TAR FIN'!$A$1:$O$120,15,0))</f>
        <v>0</v>
      </c>
      <c r="X1083" s="71">
        <f>IF(ISERROR(VLOOKUP($U$1083,'TAR FIN'!$A$1:$O$120,15,0)),0,VLOOKUP($U$1083,'TAR FIN'!$A$1:$O$120,15,0))</f>
        <v>0</v>
      </c>
      <c r="Y1083" s="71">
        <f ca="1">('TUSD BE'!$AM$32+'TUSD BF'!$AM$32+'TUSD CVA'!$AM$32)*1*(1-0.06)</f>
        <v>10.765215249734004</v>
      </c>
      <c r="Z1083" s="71"/>
      <c r="AA1083" s="71"/>
      <c r="AB1083" s="6">
        <f>$K$1083*$V$1083</f>
        <v>58908.5936</v>
      </c>
      <c r="AC1083" s="6">
        <f>$M$1083*$W$1083</f>
        <v>0</v>
      </c>
      <c r="AD1083" s="6">
        <f>$O$1083*$X$1083</f>
        <v>0</v>
      </c>
      <c r="AE1083" s="6">
        <f ca="1">$K$1083*$Y$1083</f>
        <v>78241.584435066732</v>
      </c>
      <c r="AF1083" s="6">
        <f>$M$1083*$Z$1083</f>
        <v>0</v>
      </c>
      <c r="AG1083" s="6">
        <f>$O$1083*$AA$1083</f>
        <v>0</v>
      </c>
    </row>
    <row r="1084" spans="1:33" ht="11.25" customHeight="1" x14ac:dyDescent="0.25">
      <c r="A1084" s="4" t="s">
        <v>27</v>
      </c>
      <c r="B1084" s="4" t="s">
        <v>33</v>
      </c>
      <c r="C1084" s="4" t="s">
        <v>34</v>
      </c>
      <c r="D1084" s="4" t="s">
        <v>47</v>
      </c>
      <c r="E1084" s="4" t="s">
        <v>55</v>
      </c>
      <c r="F1084" s="4" t="s">
        <v>25</v>
      </c>
      <c r="G1084" s="4" t="s">
        <v>25</v>
      </c>
      <c r="H1084" s="4" t="s">
        <v>25</v>
      </c>
      <c r="I1084" s="5">
        <v>43800</v>
      </c>
      <c r="J1084" s="6">
        <v>517</v>
      </c>
      <c r="K1084" s="71">
        <v>517</v>
      </c>
      <c r="L1084" s="6">
        <v>0</v>
      </c>
      <c r="M1084" s="71">
        <v>0</v>
      </c>
      <c r="N1084" s="6">
        <v>0</v>
      </c>
      <c r="O1084" s="71">
        <v>0</v>
      </c>
      <c r="P1084" s="6">
        <v>3</v>
      </c>
      <c r="Q1084" s="4" t="s">
        <v>26</v>
      </c>
      <c r="R1084" s="4">
        <v>0</v>
      </c>
      <c r="S1084" s="6">
        <v>26</v>
      </c>
      <c r="T1084" s="6">
        <v>0</v>
      </c>
      <c r="U1084" s="6">
        <v>0</v>
      </c>
      <c r="V1084" s="71">
        <f>IF(ISERROR(VLOOKUP($S$1084,'TAR FIN'!$A$1:$O$120,15,0)),0,VLOOKUP($S$1084,'TAR FIN'!$A$1:$O$120,15,0))*(1-0.08)</f>
        <v>8.1052</v>
      </c>
      <c r="W1084" s="71">
        <f>IF(ISERROR(VLOOKUP($T$1084,'TAR FIN'!$A$1:$O$120,15,0)),0,VLOOKUP($T$1084,'TAR FIN'!$A$1:$O$120,15,0))</f>
        <v>0</v>
      </c>
      <c r="X1084" s="71">
        <f>IF(ISERROR(VLOOKUP($U$1084,'TAR FIN'!$A$1:$O$120,15,0)),0,VLOOKUP($U$1084,'TAR FIN'!$A$1:$O$120,15,0))</f>
        <v>0</v>
      </c>
      <c r="Y1084" s="71">
        <f ca="1">('TUSD BE'!$AM$32+'TUSD BF'!$AM$32+'TUSD CVA'!$AM$32)*1*(1-0.06)</f>
        <v>10.765215249734004</v>
      </c>
      <c r="Z1084" s="71"/>
      <c r="AA1084" s="71"/>
      <c r="AB1084" s="6">
        <f>$K$1084*$V$1084</f>
        <v>4190.3883999999998</v>
      </c>
      <c r="AC1084" s="6">
        <f>$M$1084*$W$1084</f>
        <v>0</v>
      </c>
      <c r="AD1084" s="6">
        <f>$O$1084*$X$1084</f>
        <v>0</v>
      </c>
      <c r="AE1084" s="6">
        <f ca="1">$K$1084*$Y$1084</f>
        <v>5565.6162841124797</v>
      </c>
      <c r="AF1084" s="6">
        <f>$M$1084*$Z$1084</f>
        <v>0</v>
      </c>
      <c r="AG1084" s="6">
        <f>$O$1084*$AA$1084</f>
        <v>0</v>
      </c>
    </row>
    <row r="1085" spans="1:33" ht="11.25" customHeight="1" x14ac:dyDescent="0.25">
      <c r="A1085" s="4" t="s">
        <v>21</v>
      </c>
      <c r="B1085" s="4" t="s">
        <v>33</v>
      </c>
      <c r="C1085" s="4" t="s">
        <v>34</v>
      </c>
      <c r="D1085" s="4" t="s">
        <v>47</v>
      </c>
      <c r="E1085" s="4" t="s">
        <v>55</v>
      </c>
      <c r="F1085" s="4" t="s">
        <v>25</v>
      </c>
      <c r="G1085" s="4" t="s">
        <v>25</v>
      </c>
      <c r="H1085" s="4" t="s">
        <v>25</v>
      </c>
      <c r="I1085" s="5">
        <v>43831</v>
      </c>
      <c r="J1085" s="6">
        <v>10041</v>
      </c>
      <c r="K1085" s="71">
        <v>10041</v>
      </c>
      <c r="L1085" s="6">
        <v>0</v>
      </c>
      <c r="M1085" s="71">
        <v>0</v>
      </c>
      <c r="N1085" s="6">
        <v>0</v>
      </c>
      <c r="O1085" s="71">
        <v>0</v>
      </c>
      <c r="P1085" s="6">
        <v>125</v>
      </c>
      <c r="Q1085" s="4" t="s">
        <v>26</v>
      </c>
      <c r="R1085" s="4">
        <v>0</v>
      </c>
      <c r="S1085" s="6">
        <v>26</v>
      </c>
      <c r="T1085" s="6">
        <v>0</v>
      </c>
      <c r="U1085" s="6">
        <v>0</v>
      </c>
      <c r="V1085" s="71">
        <f>IF(ISERROR(VLOOKUP($S$1085,'TAR FIN'!$A$1:$O$120,15,0)),0,VLOOKUP($S$1085,'TAR FIN'!$A$1:$O$120,15,0))*(1-0.08)</f>
        <v>8.1052</v>
      </c>
      <c r="W1085" s="71">
        <f>IF(ISERROR(VLOOKUP($T$1085,'TAR FIN'!$A$1:$O$120,15,0)),0,VLOOKUP($T$1085,'TAR FIN'!$A$1:$O$120,15,0))</f>
        <v>0</v>
      </c>
      <c r="X1085" s="71">
        <f>IF(ISERROR(VLOOKUP($U$1085,'TAR FIN'!$A$1:$O$120,15,0)),0,VLOOKUP($U$1085,'TAR FIN'!$A$1:$O$120,15,0))</f>
        <v>0</v>
      </c>
      <c r="Y1085" s="71">
        <f ca="1">('TUSD BE'!$AM$32+'TUSD BF'!$AM$32+'TUSD CVA'!$AM$32)*1*(1-0.06)</f>
        <v>10.765215249734004</v>
      </c>
      <c r="Z1085" s="71"/>
      <c r="AA1085" s="71"/>
      <c r="AB1085" s="6">
        <f>$K$1085*$V$1085</f>
        <v>81384.313200000004</v>
      </c>
      <c r="AC1085" s="6">
        <f>$M$1085*$W$1085</f>
        <v>0</v>
      </c>
      <c r="AD1085" s="6">
        <f>$O$1085*$X$1085</f>
        <v>0</v>
      </c>
      <c r="AE1085" s="6">
        <f ca="1">$K$1085*$Y$1085</f>
        <v>108093.52632257913</v>
      </c>
      <c r="AF1085" s="6">
        <f>$M$1085*$Z$1085</f>
        <v>0</v>
      </c>
      <c r="AG1085" s="6">
        <f>$O$1085*$AA$1085</f>
        <v>0</v>
      </c>
    </row>
    <row r="1086" spans="1:33" ht="11.25" customHeight="1" x14ac:dyDescent="0.25">
      <c r="A1086" s="4" t="s">
        <v>27</v>
      </c>
      <c r="B1086" s="4" t="s">
        <v>33</v>
      </c>
      <c r="C1086" s="4" t="s">
        <v>34</v>
      </c>
      <c r="D1086" s="4" t="s">
        <v>47</v>
      </c>
      <c r="E1086" s="4" t="s">
        <v>55</v>
      </c>
      <c r="F1086" s="4" t="s">
        <v>25</v>
      </c>
      <c r="G1086" s="4" t="s">
        <v>25</v>
      </c>
      <c r="H1086" s="4" t="s">
        <v>25</v>
      </c>
      <c r="I1086" s="5">
        <v>43831</v>
      </c>
      <c r="J1086" s="6">
        <v>538</v>
      </c>
      <c r="K1086" s="71">
        <v>538</v>
      </c>
      <c r="L1086" s="6">
        <v>0</v>
      </c>
      <c r="M1086" s="71">
        <v>0</v>
      </c>
      <c r="N1086" s="6">
        <v>0</v>
      </c>
      <c r="O1086" s="71">
        <v>0</v>
      </c>
      <c r="P1086" s="6">
        <v>4</v>
      </c>
      <c r="Q1086" s="4" t="s">
        <v>26</v>
      </c>
      <c r="R1086" s="4">
        <v>0</v>
      </c>
      <c r="S1086" s="6">
        <v>26</v>
      </c>
      <c r="T1086" s="6">
        <v>0</v>
      </c>
      <c r="U1086" s="6">
        <v>0</v>
      </c>
      <c r="V1086" s="71">
        <f>IF(ISERROR(VLOOKUP($S$1086,'TAR FIN'!$A$1:$O$120,15,0)),0,VLOOKUP($S$1086,'TAR FIN'!$A$1:$O$120,15,0))*(1-0.08)</f>
        <v>8.1052</v>
      </c>
      <c r="W1086" s="71">
        <f>IF(ISERROR(VLOOKUP($T$1086,'TAR FIN'!$A$1:$O$120,15,0)),0,VLOOKUP($T$1086,'TAR FIN'!$A$1:$O$120,15,0))</f>
        <v>0</v>
      </c>
      <c r="X1086" s="71">
        <f>IF(ISERROR(VLOOKUP($U$1086,'TAR FIN'!$A$1:$O$120,15,0)),0,VLOOKUP($U$1086,'TAR FIN'!$A$1:$O$120,15,0))</f>
        <v>0</v>
      </c>
      <c r="Y1086" s="71">
        <f ca="1">('TUSD BE'!$AM$32+'TUSD BF'!$AM$32+'TUSD CVA'!$AM$32)*1*(1-0.06)</f>
        <v>10.765215249734004</v>
      </c>
      <c r="Z1086" s="71"/>
      <c r="AA1086" s="71"/>
      <c r="AB1086" s="6">
        <f>$K$1086*$V$1086</f>
        <v>4360.5976000000001</v>
      </c>
      <c r="AC1086" s="6">
        <f>$M$1086*$W$1086</f>
        <v>0</v>
      </c>
      <c r="AD1086" s="6">
        <f>$O$1086*$X$1086</f>
        <v>0</v>
      </c>
      <c r="AE1086" s="6">
        <f ca="1">$K$1086*$Y$1086</f>
        <v>5791.6858043568936</v>
      </c>
      <c r="AF1086" s="6">
        <f>$M$1086*$Z$1086</f>
        <v>0</v>
      </c>
      <c r="AG1086" s="6">
        <f>$O$1086*$AA$1086</f>
        <v>0</v>
      </c>
    </row>
    <row r="1087" spans="1:33" ht="11.25" customHeight="1" x14ac:dyDescent="0.25">
      <c r="A1087" s="4" t="s">
        <v>21</v>
      </c>
      <c r="B1087" s="4" t="s">
        <v>33</v>
      </c>
      <c r="C1087" s="4" t="s">
        <v>34</v>
      </c>
      <c r="D1087" s="4" t="s">
        <v>47</v>
      </c>
      <c r="E1087" s="4" t="s">
        <v>55</v>
      </c>
      <c r="F1087" s="4" t="s">
        <v>25</v>
      </c>
      <c r="G1087" s="4" t="s">
        <v>25</v>
      </c>
      <c r="H1087" s="4" t="s">
        <v>25</v>
      </c>
      <c r="I1087" s="5">
        <v>43862</v>
      </c>
      <c r="J1087" s="6">
        <v>9059</v>
      </c>
      <c r="K1087" s="71">
        <v>9059</v>
      </c>
      <c r="L1087" s="6">
        <v>0</v>
      </c>
      <c r="M1087" s="71">
        <v>0</v>
      </c>
      <c r="N1087" s="6">
        <v>0</v>
      </c>
      <c r="O1087" s="71">
        <v>0</v>
      </c>
      <c r="P1087" s="6">
        <v>124</v>
      </c>
      <c r="Q1087" s="4" t="s">
        <v>26</v>
      </c>
      <c r="R1087" s="4">
        <v>0</v>
      </c>
      <c r="S1087" s="6">
        <v>26</v>
      </c>
      <c r="T1087" s="6">
        <v>0</v>
      </c>
      <c r="U1087" s="6">
        <v>0</v>
      </c>
      <c r="V1087" s="71">
        <f>IF(ISERROR(VLOOKUP($S$1087,'TAR FIN'!$A$1:$O$120,15,0)),0,VLOOKUP($S$1087,'TAR FIN'!$A$1:$O$120,15,0))*(1-0.08)</f>
        <v>8.1052</v>
      </c>
      <c r="W1087" s="71">
        <f>IF(ISERROR(VLOOKUP($T$1087,'TAR FIN'!$A$1:$O$120,15,0)),0,VLOOKUP($T$1087,'TAR FIN'!$A$1:$O$120,15,0))</f>
        <v>0</v>
      </c>
      <c r="X1087" s="71">
        <f>IF(ISERROR(VLOOKUP($U$1087,'TAR FIN'!$A$1:$O$120,15,0)),0,VLOOKUP($U$1087,'TAR FIN'!$A$1:$O$120,15,0))</f>
        <v>0</v>
      </c>
      <c r="Y1087" s="71">
        <f ca="1">('TUSD BE'!$AM$32+'TUSD BF'!$AM$32+'TUSD CVA'!$AM$32)*1*(1-0.06)</f>
        <v>10.765215249734004</v>
      </c>
      <c r="Z1087" s="71"/>
      <c r="AA1087" s="71"/>
      <c r="AB1087" s="6">
        <f>$K$1087*$V$1087</f>
        <v>73425.006800000003</v>
      </c>
      <c r="AC1087" s="6">
        <f>$M$1087*$W$1087</f>
        <v>0</v>
      </c>
      <c r="AD1087" s="6">
        <f>$O$1087*$X$1087</f>
        <v>0</v>
      </c>
      <c r="AE1087" s="6">
        <f ca="1">$K$1087*$Y$1087</f>
        <v>97522.084947340336</v>
      </c>
      <c r="AF1087" s="6">
        <f>$M$1087*$Z$1087</f>
        <v>0</v>
      </c>
      <c r="AG1087" s="6">
        <f>$O$1087*$AA$1087</f>
        <v>0</v>
      </c>
    </row>
    <row r="1088" spans="1:33" ht="11.25" customHeight="1" x14ac:dyDescent="0.25">
      <c r="A1088" s="4" t="s">
        <v>27</v>
      </c>
      <c r="B1088" s="4" t="s">
        <v>33</v>
      </c>
      <c r="C1088" s="4" t="s">
        <v>34</v>
      </c>
      <c r="D1088" s="4" t="s">
        <v>47</v>
      </c>
      <c r="E1088" s="4" t="s">
        <v>55</v>
      </c>
      <c r="F1088" s="4" t="s">
        <v>25</v>
      </c>
      <c r="G1088" s="4" t="s">
        <v>25</v>
      </c>
      <c r="H1088" s="4" t="s">
        <v>25</v>
      </c>
      <c r="I1088" s="5">
        <v>43862</v>
      </c>
      <c r="J1088" s="6">
        <v>833</v>
      </c>
      <c r="K1088" s="71">
        <v>833</v>
      </c>
      <c r="L1088" s="6">
        <v>0</v>
      </c>
      <c r="M1088" s="71">
        <v>0</v>
      </c>
      <c r="N1088" s="6">
        <v>0</v>
      </c>
      <c r="O1088" s="71">
        <v>0</v>
      </c>
      <c r="P1088" s="6">
        <v>4</v>
      </c>
      <c r="Q1088" s="4" t="s">
        <v>26</v>
      </c>
      <c r="R1088" s="4">
        <v>0</v>
      </c>
      <c r="S1088" s="6">
        <v>26</v>
      </c>
      <c r="T1088" s="6">
        <v>0</v>
      </c>
      <c r="U1088" s="6">
        <v>0</v>
      </c>
      <c r="V1088" s="71">
        <f>IF(ISERROR(VLOOKUP($S$1088,'TAR FIN'!$A$1:$O$120,15,0)),0,VLOOKUP($S$1088,'TAR FIN'!$A$1:$O$120,15,0))*(1-0.08)</f>
        <v>8.1052</v>
      </c>
      <c r="W1088" s="71">
        <f>IF(ISERROR(VLOOKUP($T$1088,'TAR FIN'!$A$1:$O$120,15,0)),0,VLOOKUP($T$1088,'TAR FIN'!$A$1:$O$120,15,0))</f>
        <v>0</v>
      </c>
      <c r="X1088" s="71">
        <f>IF(ISERROR(VLOOKUP($U$1088,'TAR FIN'!$A$1:$O$120,15,0)),0,VLOOKUP($U$1088,'TAR FIN'!$A$1:$O$120,15,0))</f>
        <v>0</v>
      </c>
      <c r="Y1088" s="71">
        <f ca="1">('TUSD BE'!$AM$32+'TUSD BF'!$AM$32+'TUSD CVA'!$AM$32)*1*(1-0.06)</f>
        <v>10.765215249734004</v>
      </c>
      <c r="Z1088" s="71"/>
      <c r="AA1088" s="71"/>
      <c r="AB1088" s="6">
        <f>$K$1088*$V$1088</f>
        <v>6751.6315999999997</v>
      </c>
      <c r="AC1088" s="6">
        <f>$M$1088*$W$1088</f>
        <v>0</v>
      </c>
      <c r="AD1088" s="6">
        <f>$O$1088*$X$1088</f>
        <v>0</v>
      </c>
      <c r="AE1088" s="6">
        <f ca="1">$K$1088*$Y$1088</f>
        <v>8967.4243030284251</v>
      </c>
      <c r="AF1088" s="6">
        <f>$M$1088*$Z$1088</f>
        <v>0</v>
      </c>
      <c r="AG1088" s="6">
        <f>$O$1088*$AA$1088</f>
        <v>0</v>
      </c>
    </row>
    <row r="1089" spans="1:33" ht="11.25" customHeight="1" x14ac:dyDescent="0.25">
      <c r="A1089" s="4" t="s">
        <v>21</v>
      </c>
      <c r="B1089" s="4" t="s">
        <v>33</v>
      </c>
      <c r="C1089" s="4" t="s">
        <v>34</v>
      </c>
      <c r="D1089" s="4" t="s">
        <v>47</v>
      </c>
      <c r="E1089" s="4" t="s">
        <v>55</v>
      </c>
      <c r="F1089" s="4" t="s">
        <v>25</v>
      </c>
      <c r="G1089" s="4" t="s">
        <v>25</v>
      </c>
      <c r="H1089" s="4" t="s">
        <v>25</v>
      </c>
      <c r="I1089" s="5">
        <v>43891</v>
      </c>
      <c r="J1089" s="6">
        <v>5721</v>
      </c>
      <c r="K1089" s="71">
        <v>5721</v>
      </c>
      <c r="L1089" s="6">
        <v>0</v>
      </c>
      <c r="M1089" s="71">
        <v>0</v>
      </c>
      <c r="N1089" s="6">
        <v>0</v>
      </c>
      <c r="O1089" s="71">
        <v>0</v>
      </c>
      <c r="P1089" s="6">
        <v>122</v>
      </c>
      <c r="Q1089" s="4" t="s">
        <v>26</v>
      </c>
      <c r="R1089" s="4">
        <v>0</v>
      </c>
      <c r="S1089" s="6">
        <v>26</v>
      </c>
      <c r="T1089" s="6">
        <v>0</v>
      </c>
      <c r="U1089" s="6">
        <v>0</v>
      </c>
      <c r="V1089" s="71">
        <f>IF(ISERROR(VLOOKUP($S$1089,'TAR FIN'!$A$1:$O$120,15,0)),0,VLOOKUP($S$1089,'TAR FIN'!$A$1:$O$120,15,0))*(1-0.08)</f>
        <v>8.1052</v>
      </c>
      <c r="W1089" s="71">
        <f>IF(ISERROR(VLOOKUP($T$1089,'TAR FIN'!$A$1:$O$120,15,0)),0,VLOOKUP($T$1089,'TAR FIN'!$A$1:$O$120,15,0))</f>
        <v>0</v>
      </c>
      <c r="X1089" s="71">
        <f>IF(ISERROR(VLOOKUP($U$1089,'TAR FIN'!$A$1:$O$120,15,0)),0,VLOOKUP($U$1089,'TAR FIN'!$A$1:$O$120,15,0))</f>
        <v>0</v>
      </c>
      <c r="Y1089" s="71">
        <f ca="1">('TUSD BE'!$AM$32+'TUSD BF'!$AM$32+'TUSD CVA'!$AM$32)*1*(1-0.06)</f>
        <v>10.765215249734004</v>
      </c>
      <c r="Z1089" s="71"/>
      <c r="AA1089" s="71"/>
      <c r="AB1089" s="6">
        <f>$K$1089*$V$1089</f>
        <v>46369.849199999997</v>
      </c>
      <c r="AC1089" s="6">
        <f>$M$1089*$W$1089</f>
        <v>0</v>
      </c>
      <c r="AD1089" s="6">
        <f>$O$1089*$X$1089</f>
        <v>0</v>
      </c>
      <c r="AE1089" s="6">
        <f ca="1">$K$1089*$Y$1089</f>
        <v>61587.796443728235</v>
      </c>
      <c r="AF1089" s="6">
        <f>$M$1089*$Z$1089</f>
        <v>0</v>
      </c>
      <c r="AG1089" s="6">
        <f>$O$1089*$AA$1089</f>
        <v>0</v>
      </c>
    </row>
    <row r="1090" spans="1:33" ht="11.25" customHeight="1" x14ac:dyDescent="0.25">
      <c r="A1090" s="4" t="s">
        <v>27</v>
      </c>
      <c r="B1090" s="4" t="s">
        <v>33</v>
      </c>
      <c r="C1090" s="4" t="s">
        <v>34</v>
      </c>
      <c r="D1090" s="4" t="s">
        <v>47</v>
      </c>
      <c r="E1090" s="4" t="s">
        <v>55</v>
      </c>
      <c r="F1090" s="4" t="s">
        <v>25</v>
      </c>
      <c r="G1090" s="4" t="s">
        <v>25</v>
      </c>
      <c r="H1090" s="4" t="s">
        <v>25</v>
      </c>
      <c r="I1090" s="5">
        <v>43891</v>
      </c>
      <c r="J1090" s="6">
        <v>376</v>
      </c>
      <c r="K1090" s="71">
        <v>376</v>
      </c>
      <c r="L1090" s="6">
        <v>0</v>
      </c>
      <c r="M1090" s="71">
        <v>0</v>
      </c>
      <c r="N1090" s="6">
        <v>0</v>
      </c>
      <c r="O1090" s="71">
        <v>0</v>
      </c>
      <c r="P1090" s="6">
        <v>4</v>
      </c>
      <c r="Q1090" s="4" t="s">
        <v>26</v>
      </c>
      <c r="R1090" s="4">
        <v>0</v>
      </c>
      <c r="S1090" s="6">
        <v>26</v>
      </c>
      <c r="T1090" s="6">
        <v>0</v>
      </c>
      <c r="U1090" s="6">
        <v>0</v>
      </c>
      <c r="V1090" s="71">
        <f>IF(ISERROR(VLOOKUP($S$1090,'TAR FIN'!$A$1:$O$120,15,0)),0,VLOOKUP($S$1090,'TAR FIN'!$A$1:$O$120,15,0))*(1-0.08)</f>
        <v>8.1052</v>
      </c>
      <c r="W1090" s="71">
        <f>IF(ISERROR(VLOOKUP($T$1090,'TAR FIN'!$A$1:$O$120,15,0)),0,VLOOKUP($T$1090,'TAR FIN'!$A$1:$O$120,15,0))</f>
        <v>0</v>
      </c>
      <c r="X1090" s="71">
        <f>IF(ISERROR(VLOOKUP($U$1090,'TAR FIN'!$A$1:$O$120,15,0)),0,VLOOKUP($U$1090,'TAR FIN'!$A$1:$O$120,15,0))</f>
        <v>0</v>
      </c>
      <c r="Y1090" s="71">
        <f ca="1">('TUSD BE'!$AM$32+'TUSD BF'!$AM$32+'TUSD CVA'!$AM$32)*1*(1-0.06)</f>
        <v>10.765215249734004</v>
      </c>
      <c r="Z1090" s="71"/>
      <c r="AA1090" s="71"/>
      <c r="AB1090" s="6">
        <f>$K$1090*$V$1090</f>
        <v>3047.5551999999998</v>
      </c>
      <c r="AC1090" s="6">
        <f>$M$1090*$W$1090</f>
        <v>0</v>
      </c>
      <c r="AD1090" s="6">
        <f>$O$1090*$X$1090</f>
        <v>0</v>
      </c>
      <c r="AE1090" s="6">
        <f ca="1">$K$1090*$Y$1090</f>
        <v>4047.7209338999855</v>
      </c>
      <c r="AF1090" s="6">
        <f>$M$1090*$Z$1090</f>
        <v>0</v>
      </c>
      <c r="AG1090" s="6">
        <f>$O$1090*$AA$1090</f>
        <v>0</v>
      </c>
    </row>
    <row r="1091" spans="1:33" ht="11.25" customHeight="1" x14ac:dyDescent="0.25">
      <c r="A1091" s="4" t="s">
        <v>21</v>
      </c>
      <c r="B1091" s="4" t="s">
        <v>33</v>
      </c>
      <c r="C1091" s="4" t="s">
        <v>34</v>
      </c>
      <c r="D1091" s="4" t="s">
        <v>47</v>
      </c>
      <c r="E1091" s="4" t="s">
        <v>55</v>
      </c>
      <c r="F1091" s="4" t="s">
        <v>25</v>
      </c>
      <c r="G1091" s="4" t="s">
        <v>25</v>
      </c>
      <c r="H1091" s="4" t="s">
        <v>25</v>
      </c>
      <c r="I1091" s="5">
        <v>43922</v>
      </c>
      <c r="J1091" s="6">
        <v>8385</v>
      </c>
      <c r="K1091" s="71">
        <v>8385</v>
      </c>
      <c r="L1091" s="6">
        <v>0</v>
      </c>
      <c r="M1091" s="71">
        <v>0</v>
      </c>
      <c r="N1091" s="6">
        <v>0</v>
      </c>
      <c r="O1091" s="71">
        <v>0</v>
      </c>
      <c r="P1091" s="6">
        <v>124</v>
      </c>
      <c r="Q1091" s="4" t="s">
        <v>26</v>
      </c>
      <c r="R1091" s="4">
        <v>0</v>
      </c>
      <c r="S1091" s="6">
        <v>26</v>
      </c>
      <c r="T1091" s="6">
        <v>0</v>
      </c>
      <c r="U1091" s="6">
        <v>0</v>
      </c>
      <c r="V1091" s="71">
        <f>IF(ISERROR(VLOOKUP($S$1091,'TAR FIN'!$A$1:$O$120,15,0)),0,VLOOKUP($S$1091,'TAR FIN'!$A$1:$O$120,15,0))*(1-0.08)</f>
        <v>8.1052</v>
      </c>
      <c r="W1091" s="71">
        <f>IF(ISERROR(VLOOKUP($T$1091,'TAR FIN'!$A$1:$O$120,15,0)),0,VLOOKUP($T$1091,'TAR FIN'!$A$1:$O$120,15,0))</f>
        <v>0</v>
      </c>
      <c r="X1091" s="71">
        <f>IF(ISERROR(VLOOKUP($U$1091,'TAR FIN'!$A$1:$O$120,15,0)),0,VLOOKUP($U$1091,'TAR FIN'!$A$1:$O$120,15,0))</f>
        <v>0</v>
      </c>
      <c r="Y1091" s="71">
        <f ca="1">('TUSD BE'!$AM$32+'TUSD BF'!$AM$32+'TUSD CVA'!$AM$32)*1*(1-0.06)</f>
        <v>10.765215249734004</v>
      </c>
      <c r="Z1091" s="71"/>
      <c r="AA1091" s="71"/>
      <c r="AB1091" s="6">
        <f>$K$1091*$V$1091</f>
        <v>67962.101999999999</v>
      </c>
      <c r="AC1091" s="6">
        <f>$M$1091*$W$1091</f>
        <v>0</v>
      </c>
      <c r="AD1091" s="6">
        <f>$O$1091*$X$1091</f>
        <v>0</v>
      </c>
      <c r="AE1091" s="6">
        <f ca="1">$K$1091*$Y$1091</f>
        <v>90266.329869019624</v>
      </c>
      <c r="AF1091" s="6">
        <f>$M$1091*$Z$1091</f>
        <v>0</v>
      </c>
      <c r="AG1091" s="6">
        <f>$O$1091*$AA$1091</f>
        <v>0</v>
      </c>
    </row>
    <row r="1092" spans="1:33" ht="11.25" customHeight="1" x14ac:dyDescent="0.25">
      <c r="A1092" s="4" t="s">
        <v>27</v>
      </c>
      <c r="B1092" s="4" t="s">
        <v>33</v>
      </c>
      <c r="C1092" s="4" t="s">
        <v>34</v>
      </c>
      <c r="D1092" s="4" t="s">
        <v>47</v>
      </c>
      <c r="E1092" s="4" t="s">
        <v>55</v>
      </c>
      <c r="F1092" s="4" t="s">
        <v>25</v>
      </c>
      <c r="G1092" s="4" t="s">
        <v>25</v>
      </c>
      <c r="H1092" s="4" t="s">
        <v>25</v>
      </c>
      <c r="I1092" s="5">
        <v>43922</v>
      </c>
      <c r="J1092" s="6">
        <v>377</v>
      </c>
      <c r="K1092" s="71">
        <v>377</v>
      </c>
      <c r="L1092" s="6">
        <v>0</v>
      </c>
      <c r="M1092" s="71">
        <v>0</v>
      </c>
      <c r="N1092" s="6">
        <v>0</v>
      </c>
      <c r="O1092" s="71">
        <v>0</v>
      </c>
      <c r="P1092" s="6">
        <v>3</v>
      </c>
      <c r="Q1092" s="4" t="s">
        <v>26</v>
      </c>
      <c r="R1092" s="4">
        <v>0</v>
      </c>
      <c r="S1092" s="6">
        <v>26</v>
      </c>
      <c r="T1092" s="6">
        <v>0</v>
      </c>
      <c r="U1092" s="6">
        <v>0</v>
      </c>
      <c r="V1092" s="71">
        <f>IF(ISERROR(VLOOKUP($S$1092,'TAR FIN'!$A$1:$O$120,15,0)),0,VLOOKUP($S$1092,'TAR FIN'!$A$1:$O$120,15,0))*(1-0.08)</f>
        <v>8.1052</v>
      </c>
      <c r="W1092" s="71">
        <f>IF(ISERROR(VLOOKUP($T$1092,'TAR FIN'!$A$1:$O$120,15,0)),0,VLOOKUP($T$1092,'TAR FIN'!$A$1:$O$120,15,0))</f>
        <v>0</v>
      </c>
      <c r="X1092" s="71">
        <f>IF(ISERROR(VLOOKUP($U$1092,'TAR FIN'!$A$1:$O$120,15,0)),0,VLOOKUP($U$1092,'TAR FIN'!$A$1:$O$120,15,0))</f>
        <v>0</v>
      </c>
      <c r="Y1092" s="71">
        <f ca="1">('TUSD BE'!$AM$32+'TUSD BF'!$AM$32+'TUSD CVA'!$AM$32)*1*(1-0.06)</f>
        <v>10.765215249734004</v>
      </c>
      <c r="Z1092" s="71"/>
      <c r="AA1092" s="71"/>
      <c r="AB1092" s="6">
        <f>$K$1092*$V$1092</f>
        <v>3055.6604000000002</v>
      </c>
      <c r="AC1092" s="6">
        <f>$M$1092*$W$1092</f>
        <v>0</v>
      </c>
      <c r="AD1092" s="6">
        <f>$O$1092*$X$1092</f>
        <v>0</v>
      </c>
      <c r="AE1092" s="6">
        <f ca="1">$K$1092*$Y$1092</f>
        <v>4058.4861491497195</v>
      </c>
      <c r="AF1092" s="6">
        <f>$M$1092*$Z$1092</f>
        <v>0</v>
      </c>
      <c r="AG1092" s="6">
        <f>$O$1092*$AA$1092</f>
        <v>0</v>
      </c>
    </row>
    <row r="1093" spans="1:33" ht="11.25" customHeight="1" x14ac:dyDescent="0.25">
      <c r="A1093" s="4" t="s">
        <v>21</v>
      </c>
      <c r="B1093" s="4" t="s">
        <v>33</v>
      </c>
      <c r="C1093" s="4" t="s">
        <v>34</v>
      </c>
      <c r="D1093" s="4" t="s">
        <v>47</v>
      </c>
      <c r="E1093" s="4" t="s">
        <v>55</v>
      </c>
      <c r="F1093" s="4" t="s">
        <v>25</v>
      </c>
      <c r="G1093" s="4" t="s">
        <v>25</v>
      </c>
      <c r="H1093" s="4" t="s">
        <v>25</v>
      </c>
      <c r="I1093" s="5">
        <v>43952</v>
      </c>
      <c r="J1093" s="6">
        <v>12180</v>
      </c>
      <c r="K1093" s="71">
        <v>12180</v>
      </c>
      <c r="L1093" s="6">
        <v>0</v>
      </c>
      <c r="M1093" s="71">
        <v>0</v>
      </c>
      <c r="N1093" s="6">
        <v>0</v>
      </c>
      <c r="O1093" s="71">
        <v>0</v>
      </c>
      <c r="P1093" s="6">
        <v>123</v>
      </c>
      <c r="Q1093" s="4" t="s">
        <v>26</v>
      </c>
      <c r="R1093" s="4">
        <v>0</v>
      </c>
      <c r="S1093" s="6">
        <v>26</v>
      </c>
      <c r="T1093" s="6">
        <v>0</v>
      </c>
      <c r="U1093" s="6">
        <v>0</v>
      </c>
      <c r="V1093" s="71">
        <f>IF(ISERROR(VLOOKUP($S$1093,'TAR FIN'!$A$1:$O$120,15,0)),0,VLOOKUP($S$1093,'TAR FIN'!$A$1:$O$120,15,0))*(1-0.08)</f>
        <v>8.1052</v>
      </c>
      <c r="W1093" s="71">
        <f>IF(ISERROR(VLOOKUP($T$1093,'TAR FIN'!$A$1:$O$120,15,0)),0,VLOOKUP($T$1093,'TAR FIN'!$A$1:$O$120,15,0))</f>
        <v>0</v>
      </c>
      <c r="X1093" s="71">
        <f>IF(ISERROR(VLOOKUP($U$1093,'TAR FIN'!$A$1:$O$120,15,0)),0,VLOOKUP($U$1093,'TAR FIN'!$A$1:$O$120,15,0))</f>
        <v>0</v>
      </c>
      <c r="Y1093" s="71">
        <f ca="1">('TUSD BE'!$AM$32+'TUSD BF'!$AM$32+'TUSD CVA'!$AM$32)*1*(1-0.06)</f>
        <v>10.765215249734004</v>
      </c>
      <c r="Z1093" s="71"/>
      <c r="AA1093" s="71"/>
      <c r="AB1093" s="6">
        <f>$K$1093*$V$1093</f>
        <v>98721.335999999996</v>
      </c>
      <c r="AC1093" s="6">
        <f>$M$1093*$W$1093</f>
        <v>0</v>
      </c>
      <c r="AD1093" s="6">
        <f>$O$1093*$X$1093</f>
        <v>0</v>
      </c>
      <c r="AE1093" s="6">
        <f ca="1">$K$1093*$Y$1093</f>
        <v>131120.32174176016</v>
      </c>
      <c r="AF1093" s="6">
        <f>$M$1093*$Z$1093</f>
        <v>0</v>
      </c>
      <c r="AG1093" s="6">
        <f>$O$1093*$AA$1093</f>
        <v>0</v>
      </c>
    </row>
    <row r="1094" spans="1:33" ht="11.25" customHeight="1" x14ac:dyDescent="0.25">
      <c r="A1094" s="4" t="s">
        <v>27</v>
      </c>
      <c r="B1094" s="4" t="s">
        <v>33</v>
      </c>
      <c r="C1094" s="4" t="s">
        <v>34</v>
      </c>
      <c r="D1094" s="4" t="s">
        <v>47</v>
      </c>
      <c r="E1094" s="4" t="s">
        <v>55</v>
      </c>
      <c r="F1094" s="4" t="s">
        <v>25</v>
      </c>
      <c r="G1094" s="4" t="s">
        <v>25</v>
      </c>
      <c r="H1094" s="4" t="s">
        <v>25</v>
      </c>
      <c r="I1094" s="5">
        <v>43952</v>
      </c>
      <c r="J1094" s="6">
        <v>522</v>
      </c>
      <c r="K1094" s="71">
        <v>522</v>
      </c>
      <c r="L1094" s="6">
        <v>0</v>
      </c>
      <c r="M1094" s="71">
        <v>0</v>
      </c>
      <c r="N1094" s="6">
        <v>0</v>
      </c>
      <c r="O1094" s="71">
        <v>0</v>
      </c>
      <c r="P1094" s="6">
        <v>3</v>
      </c>
      <c r="Q1094" s="4" t="s">
        <v>26</v>
      </c>
      <c r="R1094" s="4">
        <v>0</v>
      </c>
      <c r="S1094" s="6">
        <v>26</v>
      </c>
      <c r="T1094" s="6">
        <v>0</v>
      </c>
      <c r="U1094" s="6">
        <v>0</v>
      </c>
      <c r="V1094" s="71">
        <f>IF(ISERROR(VLOOKUP($S$1094,'TAR FIN'!$A$1:$O$120,15,0)),0,VLOOKUP($S$1094,'TAR FIN'!$A$1:$O$120,15,0))*(1-0.08)</f>
        <v>8.1052</v>
      </c>
      <c r="W1094" s="71">
        <f>IF(ISERROR(VLOOKUP($T$1094,'TAR FIN'!$A$1:$O$120,15,0)),0,VLOOKUP($T$1094,'TAR FIN'!$A$1:$O$120,15,0))</f>
        <v>0</v>
      </c>
      <c r="X1094" s="71">
        <f>IF(ISERROR(VLOOKUP($U$1094,'TAR FIN'!$A$1:$O$120,15,0)),0,VLOOKUP($U$1094,'TAR FIN'!$A$1:$O$120,15,0))</f>
        <v>0</v>
      </c>
      <c r="Y1094" s="71">
        <f ca="1">('TUSD BE'!$AM$32+'TUSD BF'!$AM$32+'TUSD CVA'!$AM$32)*1*(1-0.06)</f>
        <v>10.765215249734004</v>
      </c>
      <c r="Z1094" s="71"/>
      <c r="AA1094" s="71"/>
      <c r="AB1094" s="6">
        <f>$K$1094*$V$1094</f>
        <v>4230.9143999999997</v>
      </c>
      <c r="AC1094" s="6">
        <f>$M$1094*$W$1094</f>
        <v>0</v>
      </c>
      <c r="AD1094" s="6">
        <f>$O$1094*$X$1094</f>
        <v>0</v>
      </c>
      <c r="AE1094" s="6">
        <f ca="1">$K$1094*$Y$1094</f>
        <v>5619.4423603611503</v>
      </c>
      <c r="AF1094" s="6">
        <f>$M$1094*$Z$1094</f>
        <v>0</v>
      </c>
      <c r="AG1094" s="6">
        <f>$O$1094*$AA$1094</f>
        <v>0</v>
      </c>
    </row>
    <row r="1095" spans="1:33" ht="11.25" customHeight="1" x14ac:dyDescent="0.25">
      <c r="A1095" s="4" t="s">
        <v>21</v>
      </c>
      <c r="B1095" s="4" t="s">
        <v>33</v>
      </c>
      <c r="C1095" s="4" t="s">
        <v>34</v>
      </c>
      <c r="D1095" s="4" t="s">
        <v>47</v>
      </c>
      <c r="E1095" s="4" t="s">
        <v>55</v>
      </c>
      <c r="F1095" s="4" t="s">
        <v>25</v>
      </c>
      <c r="G1095" s="4" t="s">
        <v>25</v>
      </c>
      <c r="H1095" s="4" t="s">
        <v>25</v>
      </c>
      <c r="I1095" s="5">
        <v>43983</v>
      </c>
      <c r="J1095" s="6">
        <v>14803</v>
      </c>
      <c r="K1095" s="71">
        <v>14803</v>
      </c>
      <c r="L1095" s="6">
        <v>0</v>
      </c>
      <c r="M1095" s="71">
        <v>0</v>
      </c>
      <c r="N1095" s="6">
        <v>0</v>
      </c>
      <c r="O1095" s="71">
        <v>0</v>
      </c>
      <c r="P1095" s="6">
        <v>125</v>
      </c>
      <c r="Q1095" s="4" t="s">
        <v>26</v>
      </c>
      <c r="R1095" s="4">
        <v>0</v>
      </c>
      <c r="S1095" s="6">
        <v>26</v>
      </c>
      <c r="T1095" s="6">
        <v>0</v>
      </c>
      <c r="U1095" s="6">
        <v>0</v>
      </c>
      <c r="V1095" s="71">
        <f>IF(ISERROR(VLOOKUP($S$1095,'TAR FIN'!$A$1:$O$120,15,0)),0,VLOOKUP($S$1095,'TAR FIN'!$A$1:$O$120,15,0))*(1-0.08)</f>
        <v>8.1052</v>
      </c>
      <c r="W1095" s="71">
        <f>IF(ISERROR(VLOOKUP($T$1095,'TAR FIN'!$A$1:$O$120,15,0)),0,VLOOKUP($T$1095,'TAR FIN'!$A$1:$O$120,15,0))</f>
        <v>0</v>
      </c>
      <c r="X1095" s="71">
        <f>IF(ISERROR(VLOOKUP($U$1095,'TAR FIN'!$A$1:$O$120,15,0)),0,VLOOKUP($U$1095,'TAR FIN'!$A$1:$O$120,15,0))</f>
        <v>0</v>
      </c>
      <c r="Y1095" s="71">
        <f ca="1">('TUSD BE'!$AM$32+'TUSD BF'!$AM$32+'TUSD CVA'!$AM$32)*1*(1-0.06)</f>
        <v>10.765215249734004</v>
      </c>
      <c r="Z1095" s="71"/>
      <c r="AA1095" s="71"/>
      <c r="AB1095" s="6">
        <f>$K$1095*$V$1095</f>
        <v>119981.27559999999</v>
      </c>
      <c r="AC1095" s="6">
        <f>$M$1095*$W$1095</f>
        <v>0</v>
      </c>
      <c r="AD1095" s="6">
        <f>$O$1095*$X$1095</f>
        <v>0</v>
      </c>
      <c r="AE1095" s="6">
        <f ca="1">$K$1095*$Y$1095</f>
        <v>159357.48134181247</v>
      </c>
      <c r="AF1095" s="6">
        <f>$M$1095*$Z$1095</f>
        <v>0</v>
      </c>
      <c r="AG1095" s="6">
        <f>$O$1095*$AA$1095</f>
        <v>0</v>
      </c>
    </row>
    <row r="1096" spans="1:33" ht="11.25" customHeight="1" x14ac:dyDescent="0.25">
      <c r="A1096" s="4" t="s">
        <v>27</v>
      </c>
      <c r="B1096" s="4" t="s">
        <v>33</v>
      </c>
      <c r="C1096" s="4" t="s">
        <v>34</v>
      </c>
      <c r="D1096" s="4" t="s">
        <v>47</v>
      </c>
      <c r="E1096" s="4" t="s">
        <v>55</v>
      </c>
      <c r="F1096" s="4" t="s">
        <v>25</v>
      </c>
      <c r="G1096" s="4" t="s">
        <v>25</v>
      </c>
      <c r="H1096" s="4" t="s">
        <v>25</v>
      </c>
      <c r="I1096" s="5">
        <v>43983</v>
      </c>
      <c r="J1096" s="6">
        <v>375</v>
      </c>
      <c r="K1096" s="71">
        <v>375</v>
      </c>
      <c r="L1096" s="6">
        <v>0</v>
      </c>
      <c r="M1096" s="71">
        <v>0</v>
      </c>
      <c r="N1096" s="6">
        <v>0</v>
      </c>
      <c r="O1096" s="71">
        <v>0</v>
      </c>
      <c r="P1096" s="6">
        <v>3</v>
      </c>
      <c r="Q1096" s="4" t="s">
        <v>26</v>
      </c>
      <c r="R1096" s="4">
        <v>0</v>
      </c>
      <c r="S1096" s="6">
        <v>26</v>
      </c>
      <c r="T1096" s="6">
        <v>0</v>
      </c>
      <c r="U1096" s="6">
        <v>0</v>
      </c>
      <c r="V1096" s="71">
        <f>IF(ISERROR(VLOOKUP($S$1096,'TAR FIN'!$A$1:$O$120,15,0)),0,VLOOKUP($S$1096,'TAR FIN'!$A$1:$O$120,15,0))*(1-0.08)</f>
        <v>8.1052</v>
      </c>
      <c r="W1096" s="71">
        <f>IF(ISERROR(VLOOKUP($T$1096,'TAR FIN'!$A$1:$O$120,15,0)),0,VLOOKUP($T$1096,'TAR FIN'!$A$1:$O$120,15,0))</f>
        <v>0</v>
      </c>
      <c r="X1096" s="71">
        <f>IF(ISERROR(VLOOKUP($U$1096,'TAR FIN'!$A$1:$O$120,15,0)),0,VLOOKUP($U$1096,'TAR FIN'!$A$1:$O$120,15,0))</f>
        <v>0</v>
      </c>
      <c r="Y1096" s="71">
        <f ca="1">('TUSD BE'!$AM$32+'TUSD BF'!$AM$32+'TUSD CVA'!$AM$32)*1*(1-0.06)</f>
        <v>10.765215249734004</v>
      </c>
      <c r="Z1096" s="71"/>
      <c r="AA1096" s="71"/>
      <c r="AB1096" s="6">
        <f>$K$1096*$V$1096</f>
        <v>3039.45</v>
      </c>
      <c r="AC1096" s="6">
        <f>$M$1096*$W$1096</f>
        <v>0</v>
      </c>
      <c r="AD1096" s="6">
        <f>$O$1096*$X$1096</f>
        <v>0</v>
      </c>
      <c r="AE1096" s="6">
        <f ca="1">$K$1096*$Y$1096</f>
        <v>4036.9557186502516</v>
      </c>
      <c r="AF1096" s="6">
        <f>$M$1096*$Z$1096</f>
        <v>0</v>
      </c>
      <c r="AG1096" s="6">
        <f>$O$1096*$AA$1096</f>
        <v>0</v>
      </c>
    </row>
    <row r="1097" spans="1:33" ht="11.25" customHeight="1" x14ac:dyDescent="0.25">
      <c r="A1097" s="4" t="s">
        <v>21</v>
      </c>
      <c r="B1097" s="4" t="s">
        <v>33</v>
      </c>
      <c r="C1097" s="4" t="s">
        <v>34</v>
      </c>
      <c r="D1097" s="4" t="s">
        <v>47</v>
      </c>
      <c r="E1097" s="4" t="s">
        <v>55</v>
      </c>
      <c r="F1097" s="4" t="s">
        <v>25</v>
      </c>
      <c r="G1097" s="4" t="s">
        <v>25</v>
      </c>
      <c r="H1097" s="4" t="s">
        <v>25</v>
      </c>
      <c r="I1097" s="5">
        <v>44013</v>
      </c>
      <c r="J1097" s="6">
        <v>14883</v>
      </c>
      <c r="K1097" s="71">
        <v>14883</v>
      </c>
      <c r="L1097" s="6">
        <v>0</v>
      </c>
      <c r="M1097" s="71">
        <v>0</v>
      </c>
      <c r="N1097" s="6">
        <v>0</v>
      </c>
      <c r="O1097" s="71">
        <v>0</v>
      </c>
      <c r="P1097" s="6">
        <v>123</v>
      </c>
      <c r="Q1097" s="4" t="s">
        <v>26</v>
      </c>
      <c r="R1097" s="4">
        <v>0</v>
      </c>
      <c r="S1097" s="6">
        <v>26</v>
      </c>
      <c r="T1097" s="6">
        <v>0</v>
      </c>
      <c r="U1097" s="6">
        <v>0</v>
      </c>
      <c r="V1097" s="71">
        <f>IF(ISERROR(VLOOKUP($S$1097,'TAR FIN'!$A$1:$O$120,15,0)),0,VLOOKUP($S$1097,'TAR FIN'!$A$1:$O$120,15,0))*(1-0.08)</f>
        <v>8.1052</v>
      </c>
      <c r="W1097" s="71">
        <f>IF(ISERROR(VLOOKUP($T$1097,'TAR FIN'!$A$1:$O$120,15,0)),0,VLOOKUP($T$1097,'TAR FIN'!$A$1:$O$120,15,0))</f>
        <v>0</v>
      </c>
      <c r="X1097" s="71">
        <f>IF(ISERROR(VLOOKUP($U$1097,'TAR FIN'!$A$1:$O$120,15,0)),0,VLOOKUP($U$1097,'TAR FIN'!$A$1:$O$120,15,0))</f>
        <v>0</v>
      </c>
      <c r="Y1097" s="71">
        <f ca="1">('TUSD BE'!$AM$32+'TUSD BF'!$AM$32+'TUSD CVA'!$AM$32)*1*(1-0.06)</f>
        <v>10.765215249734004</v>
      </c>
      <c r="Z1097" s="71"/>
      <c r="AA1097" s="71"/>
      <c r="AB1097" s="6">
        <f>$K$1097*$V$1097</f>
        <v>120629.69160000001</v>
      </c>
      <c r="AC1097" s="6">
        <f>$M$1097*$W$1097</f>
        <v>0</v>
      </c>
      <c r="AD1097" s="6">
        <f>$O$1097*$X$1097</f>
        <v>0</v>
      </c>
      <c r="AE1097" s="6">
        <f ca="1">$K$1097*$Y$1097</f>
        <v>160218.69856179119</v>
      </c>
      <c r="AF1097" s="6">
        <f>$M$1097*$Z$1097</f>
        <v>0</v>
      </c>
      <c r="AG1097" s="6">
        <f>$O$1097*$AA$1097</f>
        <v>0</v>
      </c>
    </row>
    <row r="1098" spans="1:33" ht="11.25" customHeight="1" x14ac:dyDescent="0.25">
      <c r="A1098" s="4" t="s">
        <v>27</v>
      </c>
      <c r="B1098" s="4" t="s">
        <v>33</v>
      </c>
      <c r="C1098" s="4" t="s">
        <v>34</v>
      </c>
      <c r="D1098" s="4" t="s">
        <v>47</v>
      </c>
      <c r="E1098" s="4" t="s">
        <v>55</v>
      </c>
      <c r="F1098" s="4" t="s">
        <v>25</v>
      </c>
      <c r="G1098" s="4" t="s">
        <v>25</v>
      </c>
      <c r="H1098" s="4" t="s">
        <v>25</v>
      </c>
      <c r="I1098" s="5">
        <v>44013</v>
      </c>
      <c r="J1098" s="6">
        <v>356</v>
      </c>
      <c r="K1098" s="71">
        <v>356</v>
      </c>
      <c r="L1098" s="6">
        <v>0</v>
      </c>
      <c r="M1098" s="71">
        <v>0</v>
      </c>
      <c r="N1098" s="6">
        <v>0</v>
      </c>
      <c r="O1098" s="71">
        <v>0</v>
      </c>
      <c r="P1098" s="6">
        <v>3</v>
      </c>
      <c r="Q1098" s="4" t="s">
        <v>26</v>
      </c>
      <c r="R1098" s="4">
        <v>0</v>
      </c>
      <c r="S1098" s="6">
        <v>26</v>
      </c>
      <c r="T1098" s="6">
        <v>0</v>
      </c>
      <c r="U1098" s="6">
        <v>0</v>
      </c>
      <c r="V1098" s="71">
        <f>IF(ISERROR(VLOOKUP($S$1098,'TAR FIN'!$A$1:$O$120,15,0)),0,VLOOKUP($S$1098,'TAR FIN'!$A$1:$O$120,15,0))*(1-0.08)</f>
        <v>8.1052</v>
      </c>
      <c r="W1098" s="71">
        <f>IF(ISERROR(VLOOKUP($T$1098,'TAR FIN'!$A$1:$O$120,15,0)),0,VLOOKUP($T$1098,'TAR FIN'!$A$1:$O$120,15,0))</f>
        <v>0</v>
      </c>
      <c r="X1098" s="71">
        <f>IF(ISERROR(VLOOKUP($U$1098,'TAR FIN'!$A$1:$O$120,15,0)),0,VLOOKUP($U$1098,'TAR FIN'!$A$1:$O$120,15,0))</f>
        <v>0</v>
      </c>
      <c r="Y1098" s="71">
        <f ca="1">('TUSD BE'!$AM$32+'TUSD BF'!$AM$32+'TUSD CVA'!$AM$32)*1*(1-0.06)</f>
        <v>10.765215249734004</v>
      </c>
      <c r="Z1098" s="71"/>
      <c r="AA1098" s="71"/>
      <c r="AB1098" s="6">
        <f>$K$1098*$V$1098</f>
        <v>2885.4512</v>
      </c>
      <c r="AC1098" s="6">
        <f>$M$1098*$W$1098</f>
        <v>0</v>
      </c>
      <c r="AD1098" s="6">
        <f>$O$1098*$X$1098</f>
        <v>0</v>
      </c>
      <c r="AE1098" s="6">
        <f ca="1">$K$1098*$Y$1098</f>
        <v>3832.4166289053055</v>
      </c>
      <c r="AF1098" s="6">
        <f>$M$1098*$Z$1098</f>
        <v>0</v>
      </c>
      <c r="AG1098" s="6">
        <f>$O$1098*$AA$1098</f>
        <v>0</v>
      </c>
    </row>
    <row r="1099" spans="1:33" ht="11.25" customHeight="1" x14ac:dyDescent="0.25">
      <c r="A1099" s="4" t="s">
        <v>21</v>
      </c>
      <c r="B1099" s="4" t="s">
        <v>33</v>
      </c>
      <c r="C1099" s="4" t="s">
        <v>34</v>
      </c>
      <c r="D1099" s="4" t="s">
        <v>47</v>
      </c>
      <c r="E1099" s="4" t="s">
        <v>55</v>
      </c>
      <c r="F1099" s="4" t="s">
        <v>25</v>
      </c>
      <c r="G1099" s="4" t="s">
        <v>25</v>
      </c>
      <c r="H1099" s="4" t="s">
        <v>25</v>
      </c>
      <c r="I1099" s="5">
        <v>44044</v>
      </c>
      <c r="J1099" s="6">
        <v>13077</v>
      </c>
      <c r="K1099" s="71">
        <v>13077</v>
      </c>
      <c r="L1099" s="6">
        <v>0</v>
      </c>
      <c r="M1099" s="71">
        <v>0</v>
      </c>
      <c r="N1099" s="6">
        <v>0</v>
      </c>
      <c r="O1099" s="71">
        <v>0</v>
      </c>
      <c r="P1099" s="6">
        <v>121</v>
      </c>
      <c r="Q1099" s="4" t="s">
        <v>26</v>
      </c>
      <c r="R1099" s="4">
        <v>0</v>
      </c>
      <c r="S1099" s="6">
        <v>26</v>
      </c>
      <c r="T1099" s="6">
        <v>0</v>
      </c>
      <c r="U1099" s="6">
        <v>0</v>
      </c>
      <c r="V1099" s="71">
        <f>IF(ISERROR(VLOOKUP($S$1099,'TAR FIN'!$A$1:$O$120,15,0)),0,VLOOKUP($S$1099,'TAR FIN'!$A$1:$O$120,15,0))*(1-0.08)</f>
        <v>8.1052</v>
      </c>
      <c r="W1099" s="71">
        <f>IF(ISERROR(VLOOKUP($T$1099,'TAR FIN'!$A$1:$O$120,15,0)),0,VLOOKUP($T$1099,'TAR FIN'!$A$1:$O$120,15,0))</f>
        <v>0</v>
      </c>
      <c r="X1099" s="71">
        <f>IF(ISERROR(VLOOKUP($U$1099,'TAR FIN'!$A$1:$O$120,15,0)),0,VLOOKUP($U$1099,'TAR FIN'!$A$1:$O$120,15,0))</f>
        <v>0</v>
      </c>
      <c r="Y1099" s="71">
        <f ca="1">('TUSD BE'!$AM$32+'TUSD BF'!$AM$32+'TUSD CVA'!$AM$32)*1*(1-0.06)</f>
        <v>10.765215249734004</v>
      </c>
      <c r="Z1099" s="71"/>
      <c r="AA1099" s="71"/>
      <c r="AB1099" s="6">
        <f>$K$1099*$V$1099</f>
        <v>105991.7004</v>
      </c>
      <c r="AC1099" s="6">
        <f>$M$1099*$W$1099</f>
        <v>0</v>
      </c>
      <c r="AD1099" s="6">
        <f>$O$1099*$X$1099</f>
        <v>0</v>
      </c>
      <c r="AE1099" s="6">
        <f ca="1">$K$1099*$Y$1099</f>
        <v>140776.71982077157</v>
      </c>
      <c r="AF1099" s="6">
        <f>$M$1099*$Z$1099</f>
        <v>0</v>
      </c>
      <c r="AG1099" s="6">
        <f>$O$1099*$AA$1099</f>
        <v>0</v>
      </c>
    </row>
    <row r="1100" spans="1:33" ht="11.25" customHeight="1" x14ac:dyDescent="0.25">
      <c r="A1100" s="4" t="s">
        <v>27</v>
      </c>
      <c r="B1100" s="4" t="s">
        <v>33</v>
      </c>
      <c r="C1100" s="4" t="s">
        <v>34</v>
      </c>
      <c r="D1100" s="4" t="s">
        <v>47</v>
      </c>
      <c r="E1100" s="4" t="s">
        <v>55</v>
      </c>
      <c r="F1100" s="4" t="s">
        <v>25</v>
      </c>
      <c r="G1100" s="4" t="s">
        <v>25</v>
      </c>
      <c r="H1100" s="4" t="s">
        <v>25</v>
      </c>
      <c r="I1100" s="5">
        <v>44044</v>
      </c>
      <c r="J1100" s="6">
        <v>376</v>
      </c>
      <c r="K1100" s="71">
        <v>376</v>
      </c>
      <c r="L1100" s="6">
        <v>0</v>
      </c>
      <c r="M1100" s="71">
        <v>0</v>
      </c>
      <c r="N1100" s="6">
        <v>0</v>
      </c>
      <c r="O1100" s="71">
        <v>0</v>
      </c>
      <c r="P1100" s="6">
        <v>3</v>
      </c>
      <c r="Q1100" s="4" t="s">
        <v>26</v>
      </c>
      <c r="R1100" s="4">
        <v>0</v>
      </c>
      <c r="S1100" s="6">
        <v>26</v>
      </c>
      <c r="T1100" s="6">
        <v>0</v>
      </c>
      <c r="U1100" s="6">
        <v>0</v>
      </c>
      <c r="V1100" s="71">
        <f>IF(ISERROR(VLOOKUP($S$1100,'TAR FIN'!$A$1:$O$120,15,0)),0,VLOOKUP($S$1100,'TAR FIN'!$A$1:$O$120,15,0))*(1-0.08)</f>
        <v>8.1052</v>
      </c>
      <c r="W1100" s="71">
        <f>IF(ISERROR(VLOOKUP($T$1100,'TAR FIN'!$A$1:$O$120,15,0)),0,VLOOKUP($T$1100,'TAR FIN'!$A$1:$O$120,15,0))</f>
        <v>0</v>
      </c>
      <c r="X1100" s="71">
        <f>IF(ISERROR(VLOOKUP($U$1100,'TAR FIN'!$A$1:$O$120,15,0)),0,VLOOKUP($U$1100,'TAR FIN'!$A$1:$O$120,15,0))</f>
        <v>0</v>
      </c>
      <c r="Y1100" s="71">
        <f ca="1">('TUSD BE'!$AM$32+'TUSD BF'!$AM$32+'TUSD CVA'!$AM$32)*1*(1-0.06)</f>
        <v>10.765215249734004</v>
      </c>
      <c r="Z1100" s="71"/>
      <c r="AA1100" s="71"/>
      <c r="AB1100" s="6">
        <f>$K$1100*$V$1100</f>
        <v>3047.5551999999998</v>
      </c>
      <c r="AC1100" s="6">
        <f>$M$1100*$W$1100</f>
        <v>0</v>
      </c>
      <c r="AD1100" s="6">
        <f>$O$1100*$X$1100</f>
        <v>0</v>
      </c>
      <c r="AE1100" s="6">
        <f ca="1">$K$1100*$Y$1100</f>
        <v>4047.7209338999855</v>
      </c>
      <c r="AF1100" s="6">
        <f>$M$1100*$Z$1100</f>
        <v>0</v>
      </c>
      <c r="AG1100" s="6">
        <f>$O$1100*$AA$1100</f>
        <v>0</v>
      </c>
    </row>
    <row r="1101" spans="1:33" ht="11.25" customHeight="1" x14ac:dyDescent="0.25">
      <c r="A1101" s="4" t="s">
        <v>59</v>
      </c>
      <c r="B1101" s="4" t="s">
        <v>33</v>
      </c>
      <c r="C1101" s="4" t="s">
        <v>34</v>
      </c>
      <c r="D1101" s="4" t="s">
        <v>47</v>
      </c>
      <c r="E1101" s="4" t="s">
        <v>55</v>
      </c>
      <c r="F1101" s="4" t="s">
        <v>25</v>
      </c>
      <c r="G1101" s="4" t="s">
        <v>25</v>
      </c>
      <c r="H1101" s="4" t="s">
        <v>25</v>
      </c>
      <c r="I1101" s="5">
        <v>44075</v>
      </c>
      <c r="J1101" s="6">
        <v>13077</v>
      </c>
      <c r="K1101" s="71">
        <v>13077</v>
      </c>
      <c r="L1101" s="6">
        <v>0</v>
      </c>
      <c r="M1101" s="71">
        <v>0</v>
      </c>
      <c r="N1101" s="6">
        <v>0</v>
      </c>
      <c r="O1101" s="71">
        <v>0</v>
      </c>
      <c r="P1101" s="6">
        <v>121</v>
      </c>
      <c r="Q1101" s="4" t="s">
        <v>26</v>
      </c>
      <c r="R1101" s="4">
        <v>0</v>
      </c>
      <c r="S1101" s="6">
        <v>26</v>
      </c>
      <c r="T1101" s="6">
        <v>0</v>
      </c>
      <c r="U1101" s="6">
        <v>0</v>
      </c>
      <c r="V1101" s="71">
        <f>IF(ISERROR(VLOOKUP($S$1101,'TAR FIN'!$A$1:$O$120,15,0)),0,VLOOKUP($S$1101,'TAR FIN'!$A$1:$O$120,15,0))*(1-0.08)</f>
        <v>8.1052</v>
      </c>
      <c r="W1101" s="71">
        <f>IF(ISERROR(VLOOKUP($T$1101,'TAR FIN'!$A$1:$O$120,15,0)),0,VLOOKUP($T$1101,'TAR FIN'!$A$1:$O$120,15,0))</f>
        <v>0</v>
      </c>
      <c r="X1101" s="71">
        <f>IF(ISERROR(VLOOKUP($U$1101,'TAR FIN'!$A$1:$O$120,15,0)),0,VLOOKUP($U$1101,'TAR FIN'!$A$1:$O$120,15,0))</f>
        <v>0</v>
      </c>
      <c r="Y1101" s="71">
        <f ca="1">('TUSD BE'!$AM$32+'TUSD BF'!$AM$32+'TUSD CVA'!$AM$32)*1*(1-0.06)</f>
        <v>10.765215249734004</v>
      </c>
      <c r="Z1101" s="71"/>
      <c r="AA1101" s="71"/>
      <c r="AB1101" s="6">
        <f>$K$1101*$V$1101</f>
        <v>105991.7004</v>
      </c>
      <c r="AC1101" s="6">
        <f>$M$1101*$W$1101</f>
        <v>0</v>
      </c>
      <c r="AD1101" s="6">
        <f>$O$1101*$X$1101</f>
        <v>0</v>
      </c>
      <c r="AE1101" s="6">
        <f ca="1">$K$1101*$Y$1101</f>
        <v>140776.71982077157</v>
      </c>
      <c r="AF1101" s="6">
        <f>$M$1101*$Z$1101</f>
        <v>0</v>
      </c>
      <c r="AG1101" s="6">
        <f>$O$1101*$AA$1101</f>
        <v>0</v>
      </c>
    </row>
    <row r="1102" spans="1:33" ht="11.25" customHeight="1" x14ac:dyDescent="0.25">
      <c r="A1102" s="4" t="s">
        <v>59</v>
      </c>
      <c r="B1102" s="4" t="s">
        <v>33</v>
      </c>
      <c r="C1102" s="4" t="s">
        <v>34</v>
      </c>
      <c r="D1102" s="4" t="s">
        <v>47</v>
      </c>
      <c r="E1102" s="4" t="s">
        <v>55</v>
      </c>
      <c r="F1102" s="4" t="s">
        <v>25</v>
      </c>
      <c r="G1102" s="4" t="s">
        <v>25</v>
      </c>
      <c r="H1102" s="4" t="s">
        <v>25</v>
      </c>
      <c r="I1102" s="5">
        <v>44075</v>
      </c>
      <c r="J1102" s="6">
        <v>376</v>
      </c>
      <c r="K1102" s="71">
        <v>376</v>
      </c>
      <c r="L1102" s="6">
        <v>0</v>
      </c>
      <c r="M1102" s="71">
        <v>0</v>
      </c>
      <c r="N1102" s="6">
        <v>0</v>
      </c>
      <c r="O1102" s="71">
        <v>0</v>
      </c>
      <c r="P1102" s="6">
        <v>3</v>
      </c>
      <c r="Q1102" s="4" t="s">
        <v>26</v>
      </c>
      <c r="R1102" s="4">
        <v>0</v>
      </c>
      <c r="S1102" s="6">
        <v>26</v>
      </c>
      <c r="T1102" s="6">
        <v>0</v>
      </c>
      <c r="U1102" s="6">
        <v>0</v>
      </c>
      <c r="V1102" s="71">
        <f>IF(ISERROR(VLOOKUP($S$1102,'TAR FIN'!$A$1:$O$120,15,0)),0,VLOOKUP($S$1102,'TAR FIN'!$A$1:$O$120,15,0))*(1-0.08)</f>
        <v>8.1052</v>
      </c>
      <c r="W1102" s="71">
        <f>IF(ISERROR(VLOOKUP($T$1102,'TAR FIN'!$A$1:$O$120,15,0)),0,VLOOKUP($T$1102,'TAR FIN'!$A$1:$O$120,15,0))</f>
        <v>0</v>
      </c>
      <c r="X1102" s="71">
        <f>IF(ISERROR(VLOOKUP($U$1102,'TAR FIN'!$A$1:$O$120,15,0)),0,VLOOKUP($U$1102,'TAR FIN'!$A$1:$O$120,15,0))</f>
        <v>0</v>
      </c>
      <c r="Y1102" s="71">
        <f ca="1">('TUSD BE'!$AM$32+'TUSD BF'!$AM$32+'TUSD CVA'!$AM$32)*1*(1-0.06)</f>
        <v>10.765215249734004</v>
      </c>
      <c r="Z1102" s="71"/>
      <c r="AA1102" s="71"/>
      <c r="AB1102" s="6">
        <f>$K$1102*$V$1102</f>
        <v>3047.5551999999998</v>
      </c>
      <c r="AC1102" s="6">
        <f>$M$1102*$W$1102</f>
        <v>0</v>
      </c>
      <c r="AD1102" s="6">
        <f>$O$1102*$X$1102</f>
        <v>0</v>
      </c>
      <c r="AE1102" s="6">
        <f ca="1">$K$1102*$Y$1102</f>
        <v>4047.7209338999855</v>
      </c>
      <c r="AF1102" s="6">
        <f>$M$1102*$Z$1102</f>
        <v>0</v>
      </c>
      <c r="AG1102" s="6">
        <f>$O$1102*$AA$1102</f>
        <v>0</v>
      </c>
    </row>
    <row r="1103" spans="1:33" ht="11.25" customHeight="1" x14ac:dyDescent="0.25">
      <c r="A1103" s="4" t="s">
        <v>27</v>
      </c>
      <c r="B1103" s="4" t="s">
        <v>33</v>
      </c>
      <c r="C1103" s="4" t="s">
        <v>34</v>
      </c>
      <c r="D1103" s="4" t="s">
        <v>47</v>
      </c>
      <c r="E1103" s="4" t="s">
        <v>55</v>
      </c>
      <c r="F1103" s="4" t="s">
        <v>25</v>
      </c>
      <c r="G1103" s="4" t="s">
        <v>25</v>
      </c>
      <c r="H1103" s="4" t="s">
        <v>35</v>
      </c>
      <c r="I1103" s="5">
        <v>43739</v>
      </c>
      <c r="J1103" s="6">
        <v>0</v>
      </c>
      <c r="K1103" s="71">
        <v>0</v>
      </c>
      <c r="L1103" s="6">
        <v>-0.17699999999999999</v>
      </c>
      <c r="M1103" s="71">
        <v>-0.17699999999999999</v>
      </c>
      <c r="N1103" s="6">
        <v>-0.17699999999999999</v>
      </c>
      <c r="O1103" s="71">
        <v>-0.17699999999999999</v>
      </c>
      <c r="P1103" s="6">
        <v>0</v>
      </c>
      <c r="Q1103" s="4" t="s">
        <v>26</v>
      </c>
      <c r="R1103" s="4">
        <v>0</v>
      </c>
      <c r="S1103" s="6">
        <v>0</v>
      </c>
      <c r="T1103" s="6">
        <v>27</v>
      </c>
      <c r="U1103" s="6">
        <v>81</v>
      </c>
      <c r="V1103" s="71">
        <f>IF(ISERROR(VLOOKUP($S$1103,'TAR FIN'!$A$1:$O$120,15,0)),0,VLOOKUP($S$1103,'TAR FIN'!$A$1:$O$120,15,0))</f>
        <v>0</v>
      </c>
      <c r="W1103" s="71">
        <f>IF(ISERROR(VLOOKUP($T$1103,'TAR FIN'!$A$1:$O$120,15,0)),0,VLOOKUP($T$1103,'TAR FIN'!$A$1:$O$120,15,0))*(1-0.08)</f>
        <v>590.63080000000002</v>
      </c>
      <c r="X1103" s="71">
        <f>IF(ISERROR(VLOOKUP($U$1103,'TAR FIN'!$A$1:$O$120,15,0)),0,VLOOKUP($U$1103,'TAR FIN'!$A$1:$O$120,15,0))*(1-0.08)</f>
        <v>396.40040000000005</v>
      </c>
      <c r="Y1103" s="71"/>
      <c r="Z1103" s="71">
        <f ca="1">('TUSD BE'!$AM$33+'TUSD BF'!$AM$33+'TUSD CVA'!$AM$33)*1*(1-0.06)</f>
        <v>702.86961706946545</v>
      </c>
      <c r="AA1103" s="71">
        <f>('TE BE'!$AA$10+'TE BF'!$AA$10+'TE CVA'!$AA$10)*1*(1-0.06)</f>
        <v>353.15029452578722</v>
      </c>
      <c r="AB1103" s="6">
        <f>$K$1103*$V$1103</f>
        <v>0</v>
      </c>
      <c r="AC1103" s="6">
        <f>$M$1103*$W$1103</f>
        <v>-104.54165159999999</v>
      </c>
      <c r="AD1103" s="6">
        <f>$O$1103*$X$1103</f>
        <v>-70.162870800000007</v>
      </c>
      <c r="AE1103" s="6">
        <f>$K$1103*$Y$1103</f>
        <v>0</v>
      </c>
      <c r="AF1103" s="6">
        <f ca="1">$M$1103*$Z$1103</f>
        <v>-124.40792222129538</v>
      </c>
      <c r="AG1103" s="6">
        <f>$O$1103*$AA$1103</f>
        <v>-62.507602131064331</v>
      </c>
    </row>
    <row r="1104" spans="1:33" ht="11.25" customHeight="1" x14ac:dyDescent="0.25">
      <c r="A1104" s="4" t="s">
        <v>21</v>
      </c>
      <c r="B1104" s="4" t="s">
        <v>33</v>
      </c>
      <c r="C1104" s="4" t="s">
        <v>34</v>
      </c>
      <c r="D1104" s="4" t="s">
        <v>47</v>
      </c>
      <c r="E1104" s="4" t="s">
        <v>55</v>
      </c>
      <c r="F1104" s="4" t="s">
        <v>25</v>
      </c>
      <c r="G1104" s="4" t="s">
        <v>25</v>
      </c>
      <c r="H1104" s="4" t="s">
        <v>35</v>
      </c>
      <c r="I1104" s="5">
        <v>43770</v>
      </c>
      <c r="J1104" s="6">
        <v>0</v>
      </c>
      <c r="K1104" s="71">
        <v>0</v>
      </c>
      <c r="L1104" s="6">
        <v>14.436999999999999</v>
      </c>
      <c r="M1104" s="71">
        <v>14.436999999999999</v>
      </c>
      <c r="N1104" s="6">
        <v>14.436999999999999</v>
      </c>
      <c r="O1104" s="71">
        <v>14.436999999999999</v>
      </c>
      <c r="P1104" s="6">
        <v>0</v>
      </c>
      <c r="Q1104" s="4" t="s">
        <v>26</v>
      </c>
      <c r="R1104" s="4">
        <v>0</v>
      </c>
      <c r="S1104" s="6">
        <v>0</v>
      </c>
      <c r="T1104" s="6">
        <v>27</v>
      </c>
      <c r="U1104" s="6">
        <v>81</v>
      </c>
      <c r="V1104" s="71">
        <f>IF(ISERROR(VLOOKUP($S$1104,'TAR FIN'!$A$1:$O$120,15,0)),0,VLOOKUP($S$1104,'TAR FIN'!$A$1:$O$120,15,0))</f>
        <v>0</v>
      </c>
      <c r="W1104" s="71">
        <f>IF(ISERROR(VLOOKUP($T$1104,'TAR FIN'!$A$1:$O$120,15,0)),0,VLOOKUP($T$1104,'TAR FIN'!$A$1:$O$120,15,0))*(1-0.08)</f>
        <v>590.63080000000002</v>
      </c>
      <c r="X1104" s="71">
        <f>IF(ISERROR(VLOOKUP($U$1104,'TAR FIN'!$A$1:$O$120,15,0)),0,VLOOKUP($U$1104,'TAR FIN'!$A$1:$O$120,15,0))*(1-0.08)</f>
        <v>396.40040000000005</v>
      </c>
      <c r="Y1104" s="71"/>
      <c r="Z1104" s="71">
        <f ca="1">('TUSD BE'!$AM$33+'TUSD BF'!$AM$33+'TUSD CVA'!$AM$33)*1*(1-0.06)</f>
        <v>702.86961706946545</v>
      </c>
      <c r="AA1104" s="71">
        <f>('TE BE'!$AA$10+'TE BF'!$AA$10+'TE CVA'!$AA$10)*1*(1-0.06)</f>
        <v>353.15029452578722</v>
      </c>
      <c r="AB1104" s="6">
        <f>$K$1104*$V$1104</f>
        <v>0</v>
      </c>
      <c r="AC1104" s="6">
        <f>$M$1104*$W$1104</f>
        <v>8526.9368596000004</v>
      </c>
      <c r="AD1104" s="6">
        <f>$O$1104*$X$1104</f>
        <v>5722.8325748000007</v>
      </c>
      <c r="AE1104" s="6">
        <f>$K$1104*$Y$1104</f>
        <v>0</v>
      </c>
      <c r="AF1104" s="6">
        <f ca="1">$M$1104*$Z$1104</f>
        <v>10147.328661631873</v>
      </c>
      <c r="AG1104" s="6">
        <f>$O$1104*$AA$1104</f>
        <v>5098.4308020687895</v>
      </c>
    </row>
    <row r="1105" spans="1:33" ht="11.25" customHeight="1" x14ac:dyDescent="0.25">
      <c r="A1105" s="4" t="s">
        <v>27</v>
      </c>
      <c r="B1105" s="4" t="s">
        <v>33</v>
      </c>
      <c r="C1105" s="4" t="s">
        <v>34</v>
      </c>
      <c r="D1105" s="4" t="s">
        <v>47</v>
      </c>
      <c r="E1105" s="4" t="s">
        <v>55</v>
      </c>
      <c r="F1105" s="4" t="s">
        <v>25</v>
      </c>
      <c r="G1105" s="4" t="s">
        <v>25</v>
      </c>
      <c r="H1105" s="4" t="s">
        <v>35</v>
      </c>
      <c r="I1105" s="5">
        <v>43770</v>
      </c>
      <c r="J1105" s="6">
        <v>0</v>
      </c>
      <c r="K1105" s="71">
        <v>0</v>
      </c>
      <c r="L1105" s="6">
        <v>2.0179999999999998</v>
      </c>
      <c r="M1105" s="71">
        <v>2.0179999999999998</v>
      </c>
      <c r="N1105" s="6">
        <v>2.0179999999999998</v>
      </c>
      <c r="O1105" s="71">
        <v>2.0179999999999998</v>
      </c>
      <c r="P1105" s="6">
        <v>0</v>
      </c>
      <c r="Q1105" s="4" t="s">
        <v>26</v>
      </c>
      <c r="R1105" s="4">
        <v>0</v>
      </c>
      <c r="S1105" s="6">
        <v>0</v>
      </c>
      <c r="T1105" s="6">
        <v>27</v>
      </c>
      <c r="U1105" s="6">
        <v>81</v>
      </c>
      <c r="V1105" s="71">
        <f>IF(ISERROR(VLOOKUP($S$1105,'TAR FIN'!$A$1:$O$120,15,0)),0,VLOOKUP($S$1105,'TAR FIN'!$A$1:$O$120,15,0))</f>
        <v>0</v>
      </c>
      <c r="W1105" s="71">
        <f>IF(ISERROR(VLOOKUP($T$1105,'TAR FIN'!$A$1:$O$120,15,0)),0,VLOOKUP($T$1105,'TAR FIN'!$A$1:$O$120,15,0))*(1-0.08)</f>
        <v>590.63080000000002</v>
      </c>
      <c r="X1105" s="71">
        <f>IF(ISERROR(VLOOKUP($U$1105,'TAR FIN'!$A$1:$O$120,15,0)),0,VLOOKUP($U$1105,'TAR FIN'!$A$1:$O$120,15,0))*(1-0.08)</f>
        <v>396.40040000000005</v>
      </c>
      <c r="Y1105" s="71"/>
      <c r="Z1105" s="71">
        <f ca="1">('TUSD BE'!$AM$33+'TUSD BF'!$AM$33+'TUSD CVA'!$AM$33)*1*(1-0.06)</f>
        <v>702.86961706946545</v>
      </c>
      <c r="AA1105" s="71">
        <f>('TE BE'!$AA$10+'TE BF'!$AA$10+'TE CVA'!$AA$10)*1*(1-0.06)</f>
        <v>353.15029452578722</v>
      </c>
      <c r="AB1105" s="6">
        <f>$K$1105*$V$1105</f>
        <v>0</v>
      </c>
      <c r="AC1105" s="6">
        <f>$M$1105*$W$1105</f>
        <v>1191.8929544</v>
      </c>
      <c r="AD1105" s="6">
        <f>$O$1105*$X$1105</f>
        <v>799.93600720000006</v>
      </c>
      <c r="AE1105" s="6">
        <f>$K$1105*$Y$1105</f>
        <v>0</v>
      </c>
      <c r="AF1105" s="6">
        <f ca="1">$M$1105*$Z$1105</f>
        <v>1418.3908872461811</v>
      </c>
      <c r="AG1105" s="6">
        <f>$O$1105*$AA$1105</f>
        <v>712.65729435303854</v>
      </c>
    </row>
    <row r="1106" spans="1:33" ht="11.25" customHeight="1" x14ac:dyDescent="0.25">
      <c r="A1106" s="4" t="s">
        <v>21</v>
      </c>
      <c r="B1106" s="4" t="s">
        <v>33</v>
      </c>
      <c r="C1106" s="4" t="s">
        <v>34</v>
      </c>
      <c r="D1106" s="4" t="s">
        <v>47</v>
      </c>
      <c r="E1106" s="4" t="s">
        <v>55</v>
      </c>
      <c r="F1106" s="4" t="s">
        <v>25</v>
      </c>
      <c r="G1106" s="4" t="s">
        <v>25</v>
      </c>
      <c r="H1106" s="4" t="s">
        <v>35</v>
      </c>
      <c r="I1106" s="5">
        <v>43800</v>
      </c>
      <c r="J1106" s="6">
        <v>0</v>
      </c>
      <c r="K1106" s="71">
        <v>0</v>
      </c>
      <c r="L1106" s="6">
        <v>22.21</v>
      </c>
      <c r="M1106" s="71">
        <v>22.21</v>
      </c>
      <c r="N1106" s="6">
        <v>22.21</v>
      </c>
      <c r="O1106" s="71">
        <v>22.21</v>
      </c>
      <c r="P1106" s="6">
        <v>0</v>
      </c>
      <c r="Q1106" s="4" t="s">
        <v>26</v>
      </c>
      <c r="R1106" s="4">
        <v>0</v>
      </c>
      <c r="S1106" s="6">
        <v>0</v>
      </c>
      <c r="T1106" s="6">
        <v>27</v>
      </c>
      <c r="U1106" s="6">
        <v>81</v>
      </c>
      <c r="V1106" s="71">
        <f>IF(ISERROR(VLOOKUP($S$1106,'TAR FIN'!$A$1:$O$120,15,0)),0,VLOOKUP($S$1106,'TAR FIN'!$A$1:$O$120,15,0))</f>
        <v>0</v>
      </c>
      <c r="W1106" s="71">
        <f>IF(ISERROR(VLOOKUP($T$1106,'TAR FIN'!$A$1:$O$120,15,0)),0,VLOOKUP($T$1106,'TAR FIN'!$A$1:$O$120,15,0))*(1-0.08)</f>
        <v>590.63080000000002</v>
      </c>
      <c r="X1106" s="71">
        <f>IF(ISERROR(VLOOKUP($U$1106,'TAR FIN'!$A$1:$O$120,15,0)),0,VLOOKUP($U$1106,'TAR FIN'!$A$1:$O$120,15,0))*(1-0.08)</f>
        <v>396.40040000000005</v>
      </c>
      <c r="Y1106" s="71"/>
      <c r="Z1106" s="71">
        <f ca="1">('TUSD BE'!$AM$33+'TUSD BF'!$AM$33+'TUSD CVA'!$AM$33)*1*(1-0.06)</f>
        <v>702.86961706946545</v>
      </c>
      <c r="AA1106" s="71">
        <f>('TE BE'!$AA$10+'TE BF'!$AA$10+'TE CVA'!$AA$10)*1*(1-0.06)</f>
        <v>353.15029452578722</v>
      </c>
      <c r="AB1106" s="6">
        <f>$K$1106*$V$1106</f>
        <v>0</v>
      </c>
      <c r="AC1106" s="6">
        <f>$M$1106*$W$1106</f>
        <v>13117.910068000001</v>
      </c>
      <c r="AD1106" s="6">
        <f>$O$1106*$X$1106</f>
        <v>8804.0528840000006</v>
      </c>
      <c r="AE1106" s="6">
        <f>$K$1106*$Y$1106</f>
        <v>0</v>
      </c>
      <c r="AF1106" s="6">
        <f ca="1">$M$1106*$Z$1106</f>
        <v>15610.734195112827</v>
      </c>
      <c r="AG1106" s="6">
        <f>$O$1106*$AA$1106</f>
        <v>7843.4680414177346</v>
      </c>
    </row>
    <row r="1107" spans="1:33" ht="11.25" customHeight="1" x14ac:dyDescent="0.25">
      <c r="A1107" s="4" t="s">
        <v>21</v>
      </c>
      <c r="B1107" s="4" t="s">
        <v>33</v>
      </c>
      <c r="C1107" s="4" t="s">
        <v>34</v>
      </c>
      <c r="D1107" s="4" t="s">
        <v>47</v>
      </c>
      <c r="E1107" s="4" t="s">
        <v>55</v>
      </c>
      <c r="F1107" s="4" t="s">
        <v>25</v>
      </c>
      <c r="G1107" s="4" t="s">
        <v>25</v>
      </c>
      <c r="H1107" s="4" t="s">
        <v>35</v>
      </c>
      <c r="I1107" s="5">
        <v>43831</v>
      </c>
      <c r="J1107" s="6">
        <v>0</v>
      </c>
      <c r="K1107" s="71">
        <v>0</v>
      </c>
      <c r="L1107" s="6">
        <v>3.5760000000000001</v>
      </c>
      <c r="M1107" s="71">
        <v>3.5760000000000001</v>
      </c>
      <c r="N1107" s="6">
        <v>3.5760000000000001</v>
      </c>
      <c r="O1107" s="71">
        <v>3.5760000000000001</v>
      </c>
      <c r="P1107" s="6">
        <v>0</v>
      </c>
      <c r="Q1107" s="4" t="s">
        <v>26</v>
      </c>
      <c r="R1107" s="4">
        <v>0</v>
      </c>
      <c r="S1107" s="6">
        <v>0</v>
      </c>
      <c r="T1107" s="6">
        <v>27</v>
      </c>
      <c r="U1107" s="6">
        <v>81</v>
      </c>
      <c r="V1107" s="71">
        <f>IF(ISERROR(VLOOKUP($S$1107,'TAR FIN'!$A$1:$O$120,15,0)),0,VLOOKUP($S$1107,'TAR FIN'!$A$1:$O$120,15,0))</f>
        <v>0</v>
      </c>
      <c r="W1107" s="71">
        <f>IF(ISERROR(VLOOKUP($T$1107,'TAR FIN'!$A$1:$O$120,15,0)),0,VLOOKUP($T$1107,'TAR FIN'!$A$1:$O$120,15,0))*(1-0.08)</f>
        <v>590.63080000000002</v>
      </c>
      <c r="X1107" s="71">
        <f>IF(ISERROR(VLOOKUP($U$1107,'TAR FIN'!$A$1:$O$120,15,0)),0,VLOOKUP($U$1107,'TAR FIN'!$A$1:$O$120,15,0))*(1-0.08)</f>
        <v>396.40040000000005</v>
      </c>
      <c r="Y1107" s="71"/>
      <c r="Z1107" s="71">
        <f ca="1">('TUSD BE'!$AM$33+'TUSD BF'!$AM$33+'TUSD CVA'!$AM$33)*1*(1-0.06)</f>
        <v>702.86961706946545</v>
      </c>
      <c r="AA1107" s="71">
        <f>('TE BE'!$AA$10+'TE BF'!$AA$10+'TE CVA'!$AA$10)*1*(1-0.06)</f>
        <v>353.15029452578722</v>
      </c>
      <c r="AB1107" s="6">
        <f>$K$1107*$V$1107</f>
        <v>0</v>
      </c>
      <c r="AC1107" s="6">
        <f>$M$1107*$W$1107</f>
        <v>2112.0957407999999</v>
      </c>
      <c r="AD1107" s="6">
        <f>$O$1107*$X$1107</f>
        <v>1417.5278304000001</v>
      </c>
      <c r="AE1107" s="6">
        <f>$K$1107*$Y$1107</f>
        <v>0</v>
      </c>
      <c r="AF1107" s="6">
        <f ca="1">$M$1107*$Z$1107</f>
        <v>2513.4617506404084</v>
      </c>
      <c r="AG1107" s="6">
        <f>$O$1107*$AA$1107</f>
        <v>1262.8654532242151</v>
      </c>
    </row>
    <row r="1108" spans="1:33" ht="11.25" customHeight="1" x14ac:dyDescent="0.25">
      <c r="A1108" s="4" t="s">
        <v>21</v>
      </c>
      <c r="B1108" s="4" t="s">
        <v>33</v>
      </c>
      <c r="C1108" s="4" t="s">
        <v>34</v>
      </c>
      <c r="D1108" s="4" t="s">
        <v>47</v>
      </c>
      <c r="E1108" s="4" t="s">
        <v>55</v>
      </c>
      <c r="F1108" s="4" t="s">
        <v>25</v>
      </c>
      <c r="G1108" s="4" t="s">
        <v>25</v>
      </c>
      <c r="H1108" s="4" t="s">
        <v>35</v>
      </c>
      <c r="I1108" s="5">
        <v>43862</v>
      </c>
      <c r="J1108" s="6">
        <v>0</v>
      </c>
      <c r="K1108" s="71">
        <v>0</v>
      </c>
      <c r="L1108" s="6">
        <v>9.1059999999999999</v>
      </c>
      <c r="M1108" s="71">
        <v>9.1059999999999999</v>
      </c>
      <c r="N1108" s="6">
        <v>9.1059999999999999</v>
      </c>
      <c r="O1108" s="71">
        <v>9.1059999999999999</v>
      </c>
      <c r="P1108" s="6">
        <v>0</v>
      </c>
      <c r="Q1108" s="4" t="s">
        <v>26</v>
      </c>
      <c r="R1108" s="4">
        <v>0</v>
      </c>
      <c r="S1108" s="6">
        <v>0</v>
      </c>
      <c r="T1108" s="6">
        <v>27</v>
      </c>
      <c r="U1108" s="6">
        <v>81</v>
      </c>
      <c r="V1108" s="71">
        <f>IF(ISERROR(VLOOKUP($S$1108,'TAR FIN'!$A$1:$O$120,15,0)),0,VLOOKUP($S$1108,'TAR FIN'!$A$1:$O$120,15,0))</f>
        <v>0</v>
      </c>
      <c r="W1108" s="71">
        <f>IF(ISERROR(VLOOKUP($T$1108,'TAR FIN'!$A$1:$O$120,15,0)),0,VLOOKUP($T$1108,'TAR FIN'!$A$1:$O$120,15,0))*(1-0.08)</f>
        <v>590.63080000000002</v>
      </c>
      <c r="X1108" s="71">
        <f>IF(ISERROR(VLOOKUP($U$1108,'TAR FIN'!$A$1:$O$120,15,0)),0,VLOOKUP($U$1108,'TAR FIN'!$A$1:$O$120,15,0))*(1-0.08)</f>
        <v>396.40040000000005</v>
      </c>
      <c r="Y1108" s="71"/>
      <c r="Z1108" s="71">
        <f ca="1">('TUSD BE'!$AM$33+'TUSD BF'!$AM$33+'TUSD CVA'!$AM$33)*1*(1-0.06)</f>
        <v>702.86961706946545</v>
      </c>
      <c r="AA1108" s="71">
        <f>('TE BE'!$AA$10+'TE BF'!$AA$10+'TE CVA'!$AA$10)*1*(1-0.06)</f>
        <v>353.15029452578722</v>
      </c>
      <c r="AB1108" s="6">
        <f>$K$1108*$V$1108</f>
        <v>0</v>
      </c>
      <c r="AC1108" s="6">
        <f>$M$1108*$W$1108</f>
        <v>5378.2840648000001</v>
      </c>
      <c r="AD1108" s="6">
        <f>$O$1108*$X$1108</f>
        <v>3609.6220424000003</v>
      </c>
      <c r="AE1108" s="6">
        <f>$K$1108*$Y$1108</f>
        <v>0</v>
      </c>
      <c r="AF1108" s="6">
        <f ca="1">$M$1108*$Z$1108</f>
        <v>6400.3307330345524</v>
      </c>
      <c r="AG1108" s="6">
        <f>$O$1108*$AA$1108</f>
        <v>3215.7865819518183</v>
      </c>
    </row>
    <row r="1109" spans="1:33" ht="11.25" customHeight="1" x14ac:dyDescent="0.25">
      <c r="A1109" s="4" t="s">
        <v>27</v>
      </c>
      <c r="B1109" s="4" t="s">
        <v>33</v>
      </c>
      <c r="C1109" s="4" t="s">
        <v>34</v>
      </c>
      <c r="D1109" s="4" t="s">
        <v>47</v>
      </c>
      <c r="E1109" s="4" t="s">
        <v>55</v>
      </c>
      <c r="F1109" s="4" t="s">
        <v>25</v>
      </c>
      <c r="G1109" s="4" t="s">
        <v>25</v>
      </c>
      <c r="H1109" s="4" t="s">
        <v>35</v>
      </c>
      <c r="I1109" s="5">
        <v>43862</v>
      </c>
      <c r="J1109" s="6">
        <v>0</v>
      </c>
      <c r="K1109" s="71">
        <v>0</v>
      </c>
      <c r="L1109" s="6">
        <v>0.27900000000000003</v>
      </c>
      <c r="M1109" s="71">
        <v>0.27900000000000003</v>
      </c>
      <c r="N1109" s="6">
        <v>0.27900000000000003</v>
      </c>
      <c r="O1109" s="71">
        <v>0.27900000000000003</v>
      </c>
      <c r="P1109" s="6">
        <v>0</v>
      </c>
      <c r="Q1109" s="4" t="s">
        <v>26</v>
      </c>
      <c r="R1109" s="4">
        <v>0</v>
      </c>
      <c r="S1109" s="6">
        <v>0</v>
      </c>
      <c r="T1109" s="6">
        <v>27</v>
      </c>
      <c r="U1109" s="6">
        <v>81</v>
      </c>
      <c r="V1109" s="71">
        <f>IF(ISERROR(VLOOKUP($S$1109,'TAR FIN'!$A$1:$O$120,15,0)),0,VLOOKUP($S$1109,'TAR FIN'!$A$1:$O$120,15,0))</f>
        <v>0</v>
      </c>
      <c r="W1109" s="71">
        <f>IF(ISERROR(VLOOKUP($T$1109,'TAR FIN'!$A$1:$O$120,15,0)),0,VLOOKUP($T$1109,'TAR FIN'!$A$1:$O$120,15,0))*(1-0.08)</f>
        <v>590.63080000000002</v>
      </c>
      <c r="X1109" s="71">
        <f>IF(ISERROR(VLOOKUP($U$1109,'TAR FIN'!$A$1:$O$120,15,0)),0,VLOOKUP($U$1109,'TAR FIN'!$A$1:$O$120,15,0))*(1-0.08)</f>
        <v>396.40040000000005</v>
      </c>
      <c r="Y1109" s="71"/>
      <c r="Z1109" s="71">
        <f ca="1">('TUSD BE'!$AM$33+'TUSD BF'!$AM$33+'TUSD CVA'!$AM$33)*1*(1-0.06)</f>
        <v>702.86961706946545</v>
      </c>
      <c r="AA1109" s="71">
        <f>('TE BE'!$AA$10+'TE BF'!$AA$10+'TE CVA'!$AA$10)*1*(1-0.06)</f>
        <v>353.15029452578722</v>
      </c>
      <c r="AB1109" s="6">
        <f>$K$1109*$V$1109</f>
        <v>0</v>
      </c>
      <c r="AC1109" s="6">
        <f>$M$1109*$W$1109</f>
        <v>164.78599320000001</v>
      </c>
      <c r="AD1109" s="6">
        <f>$O$1109*$X$1109</f>
        <v>110.59571160000003</v>
      </c>
      <c r="AE1109" s="6">
        <f>$K$1109*$Y$1109</f>
        <v>0</v>
      </c>
      <c r="AF1109" s="6">
        <f ca="1">$M$1109*$Z$1109</f>
        <v>196.10062316238088</v>
      </c>
      <c r="AG1109" s="6">
        <f>$O$1109*$AA$1109</f>
        <v>98.528932172694638</v>
      </c>
    </row>
    <row r="1110" spans="1:33" ht="11.25" customHeight="1" x14ac:dyDescent="0.25">
      <c r="A1110" s="4" t="s">
        <v>21</v>
      </c>
      <c r="B1110" s="4" t="s">
        <v>33</v>
      </c>
      <c r="C1110" s="4" t="s">
        <v>34</v>
      </c>
      <c r="D1110" s="4" t="s">
        <v>47</v>
      </c>
      <c r="E1110" s="4" t="s">
        <v>55</v>
      </c>
      <c r="F1110" s="4" t="s">
        <v>25</v>
      </c>
      <c r="G1110" s="4" t="s">
        <v>25</v>
      </c>
      <c r="H1110" s="4" t="s">
        <v>35</v>
      </c>
      <c r="I1110" s="5">
        <v>43891</v>
      </c>
      <c r="J1110" s="6">
        <v>0</v>
      </c>
      <c r="K1110" s="71">
        <v>0</v>
      </c>
      <c r="L1110" s="6">
        <v>5.4989999999999997</v>
      </c>
      <c r="M1110" s="71">
        <v>5.4989999999999997</v>
      </c>
      <c r="N1110" s="6">
        <v>5.4989999999999997</v>
      </c>
      <c r="O1110" s="71">
        <v>5.4989999999999997</v>
      </c>
      <c r="P1110" s="6">
        <v>0</v>
      </c>
      <c r="Q1110" s="4" t="s">
        <v>26</v>
      </c>
      <c r="R1110" s="4">
        <v>0</v>
      </c>
      <c r="S1110" s="6">
        <v>0</v>
      </c>
      <c r="T1110" s="6">
        <v>27</v>
      </c>
      <c r="U1110" s="6">
        <v>81</v>
      </c>
      <c r="V1110" s="71">
        <f>IF(ISERROR(VLOOKUP($S$1110,'TAR FIN'!$A$1:$O$120,15,0)),0,VLOOKUP($S$1110,'TAR FIN'!$A$1:$O$120,15,0))</f>
        <v>0</v>
      </c>
      <c r="W1110" s="71">
        <f>IF(ISERROR(VLOOKUP($T$1110,'TAR FIN'!$A$1:$O$120,15,0)),0,VLOOKUP($T$1110,'TAR FIN'!$A$1:$O$120,15,0))*(1-0.08)</f>
        <v>590.63080000000002</v>
      </c>
      <c r="X1110" s="71">
        <f>IF(ISERROR(VLOOKUP($U$1110,'TAR FIN'!$A$1:$O$120,15,0)),0,VLOOKUP($U$1110,'TAR FIN'!$A$1:$O$120,15,0))*(1-0.08)</f>
        <v>396.40040000000005</v>
      </c>
      <c r="Y1110" s="71"/>
      <c r="Z1110" s="71">
        <f ca="1">('TUSD BE'!$AM$33+'TUSD BF'!$AM$33+'TUSD CVA'!$AM$33)*1*(1-0.06)</f>
        <v>702.86961706946545</v>
      </c>
      <c r="AA1110" s="71">
        <f>('TE BE'!$AA$10+'TE BF'!$AA$10+'TE CVA'!$AA$10)*1*(1-0.06)</f>
        <v>353.15029452578722</v>
      </c>
      <c r="AB1110" s="6">
        <f>$K$1110*$V$1110</f>
        <v>0</v>
      </c>
      <c r="AC1110" s="6">
        <f>$M$1110*$W$1110</f>
        <v>3247.8787692000001</v>
      </c>
      <c r="AD1110" s="6">
        <f>$O$1110*$X$1110</f>
        <v>2179.8057996000002</v>
      </c>
      <c r="AE1110" s="6">
        <f>$K$1110*$Y$1110</f>
        <v>0</v>
      </c>
      <c r="AF1110" s="6">
        <f ca="1">$M$1110*$Z$1110</f>
        <v>3865.0800242649902</v>
      </c>
      <c r="AG1110" s="6">
        <f>$O$1110*$AA$1110</f>
        <v>1941.9734695973038</v>
      </c>
    </row>
    <row r="1111" spans="1:33" ht="11.25" customHeight="1" x14ac:dyDescent="0.25">
      <c r="A1111" s="4" t="s">
        <v>27</v>
      </c>
      <c r="B1111" s="4" t="s">
        <v>33</v>
      </c>
      <c r="C1111" s="4" t="s">
        <v>34</v>
      </c>
      <c r="D1111" s="4" t="s">
        <v>47</v>
      </c>
      <c r="E1111" s="4" t="s">
        <v>55</v>
      </c>
      <c r="F1111" s="4" t="s">
        <v>25</v>
      </c>
      <c r="G1111" s="4" t="s">
        <v>25</v>
      </c>
      <c r="H1111" s="4" t="s">
        <v>35</v>
      </c>
      <c r="I1111" s="5">
        <v>43891</v>
      </c>
      <c r="J1111" s="6">
        <v>0</v>
      </c>
      <c r="K1111" s="71">
        <v>0</v>
      </c>
      <c r="L1111" s="6">
        <v>0.23400000000000001</v>
      </c>
      <c r="M1111" s="71">
        <v>0.23400000000000001</v>
      </c>
      <c r="N1111" s="6">
        <v>0.23400000000000001</v>
      </c>
      <c r="O1111" s="71">
        <v>0.23400000000000001</v>
      </c>
      <c r="P1111" s="6">
        <v>0</v>
      </c>
      <c r="Q1111" s="4" t="s">
        <v>26</v>
      </c>
      <c r="R1111" s="4">
        <v>0</v>
      </c>
      <c r="S1111" s="6">
        <v>0</v>
      </c>
      <c r="T1111" s="6">
        <v>27</v>
      </c>
      <c r="U1111" s="6">
        <v>81</v>
      </c>
      <c r="V1111" s="71">
        <f>IF(ISERROR(VLOOKUP($S$1111,'TAR FIN'!$A$1:$O$120,15,0)),0,VLOOKUP($S$1111,'TAR FIN'!$A$1:$O$120,15,0))</f>
        <v>0</v>
      </c>
      <c r="W1111" s="71">
        <f>IF(ISERROR(VLOOKUP($T$1111,'TAR FIN'!$A$1:$O$120,15,0)),0,VLOOKUP($T$1111,'TAR FIN'!$A$1:$O$120,15,0))*(1-0.08)</f>
        <v>590.63080000000002</v>
      </c>
      <c r="X1111" s="71">
        <f>IF(ISERROR(VLOOKUP($U$1111,'TAR FIN'!$A$1:$O$120,15,0)),0,VLOOKUP($U$1111,'TAR FIN'!$A$1:$O$120,15,0))*(1-0.08)</f>
        <v>396.40040000000005</v>
      </c>
      <c r="Y1111" s="71"/>
      <c r="Z1111" s="71">
        <f ca="1">('TUSD BE'!$AM$33+'TUSD BF'!$AM$33+'TUSD CVA'!$AM$33)*1*(1-0.06)</f>
        <v>702.86961706946545</v>
      </c>
      <c r="AA1111" s="71">
        <f>('TE BE'!$AA$10+'TE BF'!$AA$10+'TE CVA'!$AA$10)*1*(1-0.06)</f>
        <v>353.15029452578722</v>
      </c>
      <c r="AB1111" s="6">
        <f>$K$1111*$V$1111</f>
        <v>0</v>
      </c>
      <c r="AC1111" s="6">
        <f>$M$1111*$W$1111</f>
        <v>138.20760720000001</v>
      </c>
      <c r="AD1111" s="6">
        <f>$O$1111*$X$1111</f>
        <v>92.75769360000001</v>
      </c>
      <c r="AE1111" s="6">
        <f>$K$1111*$Y$1111</f>
        <v>0</v>
      </c>
      <c r="AF1111" s="6">
        <f ca="1">$M$1111*$Z$1111</f>
        <v>164.47149039425491</v>
      </c>
      <c r="AG1111" s="6">
        <f>$O$1111*$AA$1111</f>
        <v>82.63716891903421</v>
      </c>
    </row>
    <row r="1112" spans="1:33" ht="11.25" customHeight="1" x14ac:dyDescent="0.25">
      <c r="A1112" s="4" t="s">
        <v>21</v>
      </c>
      <c r="B1112" s="4" t="s">
        <v>33</v>
      </c>
      <c r="C1112" s="4" t="s">
        <v>34</v>
      </c>
      <c r="D1112" s="4" t="s">
        <v>47</v>
      </c>
      <c r="E1112" s="4" t="s">
        <v>55</v>
      </c>
      <c r="F1112" s="4" t="s">
        <v>25</v>
      </c>
      <c r="G1112" s="4" t="s">
        <v>25</v>
      </c>
      <c r="H1112" s="4" t="s">
        <v>35</v>
      </c>
      <c r="I1112" s="5">
        <v>43922</v>
      </c>
      <c r="J1112" s="6">
        <v>0</v>
      </c>
      <c r="K1112" s="71">
        <v>0</v>
      </c>
      <c r="L1112" s="6">
        <v>6.6459999999999999</v>
      </c>
      <c r="M1112" s="71">
        <v>6.6459999999999999</v>
      </c>
      <c r="N1112" s="6">
        <v>6.6459999999999999</v>
      </c>
      <c r="O1112" s="71">
        <v>6.6459999999999999</v>
      </c>
      <c r="P1112" s="6">
        <v>0</v>
      </c>
      <c r="Q1112" s="4" t="s">
        <v>26</v>
      </c>
      <c r="R1112" s="4">
        <v>0</v>
      </c>
      <c r="S1112" s="6">
        <v>0</v>
      </c>
      <c r="T1112" s="6">
        <v>27</v>
      </c>
      <c r="U1112" s="6">
        <v>81</v>
      </c>
      <c r="V1112" s="71">
        <f>IF(ISERROR(VLOOKUP($S$1112,'TAR FIN'!$A$1:$O$120,15,0)),0,VLOOKUP($S$1112,'TAR FIN'!$A$1:$O$120,15,0))</f>
        <v>0</v>
      </c>
      <c r="W1112" s="71">
        <f>IF(ISERROR(VLOOKUP($T$1112,'TAR FIN'!$A$1:$O$120,15,0)),0,VLOOKUP($T$1112,'TAR FIN'!$A$1:$O$120,15,0))*(1-0.08)</f>
        <v>590.63080000000002</v>
      </c>
      <c r="X1112" s="71">
        <f>IF(ISERROR(VLOOKUP($U$1112,'TAR FIN'!$A$1:$O$120,15,0)),0,VLOOKUP($U$1112,'TAR FIN'!$A$1:$O$120,15,0))*(1-0.08)</f>
        <v>396.40040000000005</v>
      </c>
      <c r="Y1112" s="71"/>
      <c r="Z1112" s="71">
        <f ca="1">('TUSD BE'!$AM$33+'TUSD BF'!$AM$33+'TUSD CVA'!$AM$33)*1*(1-0.06)</f>
        <v>702.86961706946545</v>
      </c>
      <c r="AA1112" s="71">
        <f>('TE BE'!$AA$10+'TE BF'!$AA$10+'TE CVA'!$AA$10)*1*(1-0.06)</f>
        <v>353.15029452578722</v>
      </c>
      <c r="AB1112" s="6">
        <f>$K$1112*$V$1112</f>
        <v>0</v>
      </c>
      <c r="AC1112" s="6">
        <f>$M$1112*$W$1112</f>
        <v>3925.3322968000002</v>
      </c>
      <c r="AD1112" s="6">
        <f>$O$1112*$X$1112</f>
        <v>2634.4770584000003</v>
      </c>
      <c r="AE1112" s="6">
        <f>$K$1112*$Y$1112</f>
        <v>0</v>
      </c>
      <c r="AF1112" s="6">
        <f ca="1">$M$1112*$Z$1112</f>
        <v>4671.2714750436671</v>
      </c>
      <c r="AG1112" s="6">
        <f>$O$1112*$AA$1112</f>
        <v>2347.0368574183817</v>
      </c>
    </row>
    <row r="1113" spans="1:33" ht="11.25" customHeight="1" x14ac:dyDescent="0.25">
      <c r="A1113" s="4" t="s">
        <v>27</v>
      </c>
      <c r="B1113" s="4" t="s">
        <v>33</v>
      </c>
      <c r="C1113" s="4" t="s">
        <v>34</v>
      </c>
      <c r="D1113" s="4" t="s">
        <v>47</v>
      </c>
      <c r="E1113" s="4" t="s">
        <v>55</v>
      </c>
      <c r="F1113" s="4" t="s">
        <v>25</v>
      </c>
      <c r="G1113" s="4" t="s">
        <v>25</v>
      </c>
      <c r="H1113" s="4" t="s">
        <v>35</v>
      </c>
      <c r="I1113" s="5">
        <v>43922</v>
      </c>
      <c r="J1113" s="6">
        <v>0</v>
      </c>
      <c r="K1113" s="71">
        <v>0</v>
      </c>
      <c r="L1113" s="6">
        <v>1.095</v>
      </c>
      <c r="M1113" s="71">
        <v>1.095</v>
      </c>
      <c r="N1113" s="6">
        <v>1.095</v>
      </c>
      <c r="O1113" s="71">
        <v>1.095</v>
      </c>
      <c r="P1113" s="6">
        <v>0</v>
      </c>
      <c r="Q1113" s="4" t="s">
        <v>26</v>
      </c>
      <c r="R1113" s="4">
        <v>0</v>
      </c>
      <c r="S1113" s="6">
        <v>0</v>
      </c>
      <c r="T1113" s="6">
        <v>27</v>
      </c>
      <c r="U1113" s="6">
        <v>81</v>
      </c>
      <c r="V1113" s="71">
        <f>IF(ISERROR(VLOOKUP($S$1113,'TAR FIN'!$A$1:$O$120,15,0)),0,VLOOKUP($S$1113,'TAR FIN'!$A$1:$O$120,15,0))</f>
        <v>0</v>
      </c>
      <c r="W1113" s="71">
        <f>IF(ISERROR(VLOOKUP($T$1113,'TAR FIN'!$A$1:$O$120,15,0)),0,VLOOKUP($T$1113,'TAR FIN'!$A$1:$O$120,15,0))*(1-0.08)</f>
        <v>590.63080000000002</v>
      </c>
      <c r="X1113" s="71">
        <f>IF(ISERROR(VLOOKUP($U$1113,'TAR FIN'!$A$1:$O$120,15,0)),0,VLOOKUP($U$1113,'TAR FIN'!$A$1:$O$120,15,0))*(1-0.08)</f>
        <v>396.40040000000005</v>
      </c>
      <c r="Y1113" s="71"/>
      <c r="Z1113" s="71">
        <f ca="1">('TUSD BE'!$AM$33+'TUSD BF'!$AM$33+'TUSD CVA'!$AM$33)*1*(1-0.06)</f>
        <v>702.86961706946545</v>
      </c>
      <c r="AA1113" s="71">
        <f>('TE BE'!$AA$10+'TE BF'!$AA$10+'TE CVA'!$AA$10)*1*(1-0.06)</f>
        <v>353.15029452578722</v>
      </c>
      <c r="AB1113" s="6">
        <f>$K$1113*$V$1113</f>
        <v>0</v>
      </c>
      <c r="AC1113" s="6">
        <f>$M$1113*$W$1113</f>
        <v>646.740726</v>
      </c>
      <c r="AD1113" s="6">
        <f>$O$1113*$X$1113</f>
        <v>434.05843800000002</v>
      </c>
      <c r="AE1113" s="6">
        <f>$K$1113*$Y$1113</f>
        <v>0</v>
      </c>
      <c r="AF1113" s="6">
        <f ca="1">$M$1113*$Z$1113</f>
        <v>769.6422306910647</v>
      </c>
      <c r="AG1113" s="6">
        <f>$O$1113*$AA$1113</f>
        <v>386.69957250573697</v>
      </c>
    </row>
    <row r="1114" spans="1:33" ht="11.25" customHeight="1" x14ac:dyDescent="0.25">
      <c r="A1114" s="4" t="s">
        <v>21</v>
      </c>
      <c r="B1114" s="4" t="s">
        <v>33</v>
      </c>
      <c r="C1114" s="4" t="s">
        <v>34</v>
      </c>
      <c r="D1114" s="4" t="s">
        <v>47</v>
      </c>
      <c r="E1114" s="4" t="s">
        <v>55</v>
      </c>
      <c r="F1114" s="4" t="s">
        <v>25</v>
      </c>
      <c r="G1114" s="4" t="s">
        <v>25</v>
      </c>
      <c r="H1114" s="4" t="s">
        <v>35</v>
      </c>
      <c r="I1114" s="5">
        <v>43952</v>
      </c>
      <c r="J1114" s="6">
        <v>0</v>
      </c>
      <c r="K1114" s="71">
        <v>0</v>
      </c>
      <c r="L1114" s="6">
        <v>14.085000000000001</v>
      </c>
      <c r="M1114" s="71">
        <v>14.085000000000001</v>
      </c>
      <c r="N1114" s="6">
        <v>14.085000000000001</v>
      </c>
      <c r="O1114" s="71">
        <v>14.085000000000001</v>
      </c>
      <c r="P1114" s="6">
        <v>0</v>
      </c>
      <c r="Q1114" s="4" t="s">
        <v>26</v>
      </c>
      <c r="R1114" s="4">
        <v>0</v>
      </c>
      <c r="S1114" s="6">
        <v>0</v>
      </c>
      <c r="T1114" s="6">
        <v>27</v>
      </c>
      <c r="U1114" s="6">
        <v>81</v>
      </c>
      <c r="V1114" s="71">
        <f>IF(ISERROR(VLOOKUP($S$1114,'TAR FIN'!$A$1:$O$120,15,0)),0,VLOOKUP($S$1114,'TAR FIN'!$A$1:$O$120,15,0))</f>
        <v>0</v>
      </c>
      <c r="W1114" s="71">
        <f>IF(ISERROR(VLOOKUP($T$1114,'TAR FIN'!$A$1:$O$120,15,0)),0,VLOOKUP($T$1114,'TAR FIN'!$A$1:$O$120,15,0))*(1-0.08)</f>
        <v>590.63080000000002</v>
      </c>
      <c r="X1114" s="71">
        <f>IF(ISERROR(VLOOKUP($U$1114,'TAR FIN'!$A$1:$O$120,15,0)),0,VLOOKUP($U$1114,'TAR FIN'!$A$1:$O$120,15,0))*(1-0.08)</f>
        <v>396.40040000000005</v>
      </c>
      <c r="Y1114" s="71"/>
      <c r="Z1114" s="71">
        <f ca="1">('TUSD BE'!$AM$33+'TUSD BF'!$AM$33+'TUSD CVA'!$AM$33)*1*(1-0.06)</f>
        <v>702.86961706946545</v>
      </c>
      <c r="AA1114" s="71">
        <f>('TE BE'!$AA$10+'TE BF'!$AA$10+'TE CVA'!$AA$10)*1*(1-0.06)</f>
        <v>353.15029452578722</v>
      </c>
      <c r="AB1114" s="6">
        <f>$K$1114*$V$1114</f>
        <v>0</v>
      </c>
      <c r="AC1114" s="6">
        <f>$M$1114*$W$1114</f>
        <v>8319.0348180000001</v>
      </c>
      <c r="AD1114" s="6">
        <f>$O$1114*$X$1114</f>
        <v>5583.2996340000009</v>
      </c>
      <c r="AE1114" s="6">
        <f>$K$1114*$Y$1114</f>
        <v>0</v>
      </c>
      <c r="AF1114" s="6">
        <f ca="1">$M$1114*$Z$1114</f>
        <v>9899.9185564234213</v>
      </c>
      <c r="AG1114" s="6">
        <f>$O$1114*$AA$1114</f>
        <v>4974.1218983957133</v>
      </c>
    </row>
    <row r="1115" spans="1:33" ht="11.25" customHeight="1" x14ac:dyDescent="0.25">
      <c r="A1115" s="4" t="s">
        <v>27</v>
      </c>
      <c r="B1115" s="4" t="s">
        <v>33</v>
      </c>
      <c r="C1115" s="4" t="s">
        <v>34</v>
      </c>
      <c r="D1115" s="4" t="s">
        <v>47</v>
      </c>
      <c r="E1115" s="4" t="s">
        <v>55</v>
      </c>
      <c r="F1115" s="4" t="s">
        <v>25</v>
      </c>
      <c r="G1115" s="4" t="s">
        <v>25</v>
      </c>
      <c r="H1115" s="4" t="s">
        <v>35</v>
      </c>
      <c r="I1115" s="5">
        <v>43952</v>
      </c>
      <c r="J1115" s="6">
        <v>0</v>
      </c>
      <c r="K1115" s="71">
        <v>0</v>
      </c>
      <c r="L1115" s="6">
        <v>1.246</v>
      </c>
      <c r="M1115" s="71">
        <v>1.246</v>
      </c>
      <c r="N1115" s="6">
        <v>1.246</v>
      </c>
      <c r="O1115" s="71">
        <v>1.246</v>
      </c>
      <c r="P1115" s="6">
        <v>0</v>
      </c>
      <c r="Q1115" s="4" t="s">
        <v>26</v>
      </c>
      <c r="R1115" s="4">
        <v>0</v>
      </c>
      <c r="S1115" s="6">
        <v>0</v>
      </c>
      <c r="T1115" s="6">
        <v>27</v>
      </c>
      <c r="U1115" s="6">
        <v>81</v>
      </c>
      <c r="V1115" s="71">
        <f>IF(ISERROR(VLOOKUP($S$1115,'TAR FIN'!$A$1:$O$120,15,0)),0,VLOOKUP($S$1115,'TAR FIN'!$A$1:$O$120,15,0))</f>
        <v>0</v>
      </c>
      <c r="W1115" s="71">
        <f>IF(ISERROR(VLOOKUP($T$1115,'TAR FIN'!$A$1:$O$120,15,0)),0,VLOOKUP($T$1115,'TAR FIN'!$A$1:$O$120,15,0))*(1-0.08)</f>
        <v>590.63080000000002</v>
      </c>
      <c r="X1115" s="71">
        <f>IF(ISERROR(VLOOKUP($U$1115,'TAR FIN'!$A$1:$O$120,15,0)),0,VLOOKUP($U$1115,'TAR FIN'!$A$1:$O$120,15,0))*(1-0.08)</f>
        <v>396.40040000000005</v>
      </c>
      <c r="Y1115" s="71"/>
      <c r="Z1115" s="71">
        <f ca="1">('TUSD BE'!$AM$33+'TUSD BF'!$AM$33+'TUSD CVA'!$AM$33)*1*(1-0.06)</f>
        <v>702.86961706946545</v>
      </c>
      <c r="AA1115" s="71">
        <f>('TE BE'!$AA$10+'TE BF'!$AA$10+'TE CVA'!$AA$10)*1*(1-0.06)</f>
        <v>353.15029452578722</v>
      </c>
      <c r="AB1115" s="6">
        <f>$K$1115*$V$1115</f>
        <v>0</v>
      </c>
      <c r="AC1115" s="6">
        <f>$M$1115*$W$1115</f>
        <v>735.92597680000006</v>
      </c>
      <c r="AD1115" s="6">
        <f>$O$1115*$X$1115</f>
        <v>493.91489840000008</v>
      </c>
      <c r="AE1115" s="6">
        <f>$K$1115*$Y$1115</f>
        <v>0</v>
      </c>
      <c r="AF1115" s="6">
        <f ca="1">$M$1115*$Z$1115</f>
        <v>875.775542868554</v>
      </c>
      <c r="AG1115" s="6">
        <f>$O$1115*$AA$1115</f>
        <v>440.02526697913089</v>
      </c>
    </row>
    <row r="1116" spans="1:33" ht="11.25" customHeight="1" x14ac:dyDescent="0.25">
      <c r="A1116" s="4" t="s">
        <v>21</v>
      </c>
      <c r="B1116" s="4" t="s">
        <v>33</v>
      </c>
      <c r="C1116" s="4" t="s">
        <v>34</v>
      </c>
      <c r="D1116" s="4" t="s">
        <v>47</v>
      </c>
      <c r="E1116" s="4" t="s">
        <v>55</v>
      </c>
      <c r="F1116" s="4" t="s">
        <v>25</v>
      </c>
      <c r="G1116" s="4" t="s">
        <v>25</v>
      </c>
      <c r="H1116" s="4" t="s">
        <v>35</v>
      </c>
      <c r="I1116" s="5">
        <v>43983</v>
      </c>
      <c r="J1116" s="6">
        <v>0</v>
      </c>
      <c r="K1116" s="71">
        <v>0</v>
      </c>
      <c r="L1116" s="6">
        <v>33.988</v>
      </c>
      <c r="M1116" s="71">
        <v>33.988</v>
      </c>
      <c r="N1116" s="6">
        <v>33.988</v>
      </c>
      <c r="O1116" s="71">
        <v>33.988</v>
      </c>
      <c r="P1116" s="6">
        <v>0</v>
      </c>
      <c r="Q1116" s="4" t="s">
        <v>26</v>
      </c>
      <c r="R1116" s="4">
        <v>0</v>
      </c>
      <c r="S1116" s="6">
        <v>0</v>
      </c>
      <c r="T1116" s="6">
        <v>27</v>
      </c>
      <c r="U1116" s="6">
        <v>81</v>
      </c>
      <c r="V1116" s="71">
        <f>IF(ISERROR(VLOOKUP($S$1116,'TAR FIN'!$A$1:$O$120,15,0)),0,VLOOKUP($S$1116,'TAR FIN'!$A$1:$O$120,15,0))</f>
        <v>0</v>
      </c>
      <c r="W1116" s="71">
        <f>IF(ISERROR(VLOOKUP($T$1116,'TAR FIN'!$A$1:$O$120,15,0)),0,VLOOKUP($T$1116,'TAR FIN'!$A$1:$O$120,15,0))*(1-0.08)</f>
        <v>590.63080000000002</v>
      </c>
      <c r="X1116" s="71">
        <f>IF(ISERROR(VLOOKUP($U$1116,'TAR FIN'!$A$1:$O$120,15,0)),0,VLOOKUP($U$1116,'TAR FIN'!$A$1:$O$120,15,0))*(1-0.08)</f>
        <v>396.40040000000005</v>
      </c>
      <c r="Y1116" s="71"/>
      <c r="Z1116" s="71">
        <f ca="1">('TUSD BE'!$AM$33+'TUSD BF'!$AM$33+'TUSD CVA'!$AM$33)*1*(1-0.06)</f>
        <v>702.86961706946545</v>
      </c>
      <c r="AA1116" s="71">
        <f>('TE BE'!$AA$10+'TE BF'!$AA$10+'TE CVA'!$AA$10)*1*(1-0.06)</f>
        <v>353.15029452578722</v>
      </c>
      <c r="AB1116" s="6">
        <f>$K$1116*$V$1116</f>
        <v>0</v>
      </c>
      <c r="AC1116" s="6">
        <f>$M$1116*$W$1116</f>
        <v>20074.359630400002</v>
      </c>
      <c r="AD1116" s="6">
        <f>$O$1116*$X$1116</f>
        <v>13472.856795200001</v>
      </c>
      <c r="AE1116" s="6">
        <f>$K$1116*$Y$1116</f>
        <v>0</v>
      </c>
      <c r="AF1116" s="6">
        <f ca="1">$M$1116*$Z$1116</f>
        <v>23889.132544956992</v>
      </c>
      <c r="AG1116" s="6">
        <f>$O$1116*$AA$1116</f>
        <v>12002.872210342455</v>
      </c>
    </row>
    <row r="1117" spans="1:33" ht="11.25" customHeight="1" x14ac:dyDescent="0.25">
      <c r="A1117" s="4" t="s">
        <v>27</v>
      </c>
      <c r="B1117" s="4" t="s">
        <v>33</v>
      </c>
      <c r="C1117" s="4" t="s">
        <v>34</v>
      </c>
      <c r="D1117" s="4" t="s">
        <v>47</v>
      </c>
      <c r="E1117" s="4" t="s">
        <v>55</v>
      </c>
      <c r="F1117" s="4" t="s">
        <v>25</v>
      </c>
      <c r="G1117" s="4" t="s">
        <v>25</v>
      </c>
      <c r="H1117" s="4" t="s">
        <v>35</v>
      </c>
      <c r="I1117" s="5">
        <v>43983</v>
      </c>
      <c r="J1117" s="6">
        <v>0</v>
      </c>
      <c r="K1117" s="71">
        <v>0</v>
      </c>
      <c r="L1117" s="6">
        <v>1.1439999999999999</v>
      </c>
      <c r="M1117" s="71">
        <v>1.1439999999999999</v>
      </c>
      <c r="N1117" s="6">
        <v>1.1439999999999999</v>
      </c>
      <c r="O1117" s="71">
        <v>1.1439999999999999</v>
      </c>
      <c r="P1117" s="6">
        <v>0</v>
      </c>
      <c r="Q1117" s="4" t="s">
        <v>26</v>
      </c>
      <c r="R1117" s="4">
        <v>0</v>
      </c>
      <c r="S1117" s="6">
        <v>0</v>
      </c>
      <c r="T1117" s="6">
        <v>27</v>
      </c>
      <c r="U1117" s="6">
        <v>81</v>
      </c>
      <c r="V1117" s="71">
        <f>IF(ISERROR(VLOOKUP($S$1117,'TAR FIN'!$A$1:$O$120,15,0)),0,VLOOKUP($S$1117,'TAR FIN'!$A$1:$O$120,15,0))</f>
        <v>0</v>
      </c>
      <c r="W1117" s="71">
        <f>IF(ISERROR(VLOOKUP($T$1117,'TAR FIN'!$A$1:$O$120,15,0)),0,VLOOKUP($T$1117,'TAR FIN'!$A$1:$O$120,15,0))*(1-0.08)</f>
        <v>590.63080000000002</v>
      </c>
      <c r="X1117" s="71">
        <f>IF(ISERROR(VLOOKUP($U$1117,'TAR FIN'!$A$1:$O$120,15,0)),0,VLOOKUP($U$1117,'TAR FIN'!$A$1:$O$120,15,0))*(1-0.08)</f>
        <v>396.40040000000005</v>
      </c>
      <c r="Y1117" s="71"/>
      <c r="Z1117" s="71">
        <f ca="1">('TUSD BE'!$AM$33+'TUSD BF'!$AM$33+'TUSD CVA'!$AM$33)*1*(1-0.06)</f>
        <v>702.86961706946545</v>
      </c>
      <c r="AA1117" s="71">
        <f>('TE BE'!$AA$10+'TE BF'!$AA$10+'TE CVA'!$AA$10)*1*(1-0.06)</f>
        <v>353.15029452578722</v>
      </c>
      <c r="AB1117" s="6">
        <f>$K$1117*$V$1117</f>
        <v>0</v>
      </c>
      <c r="AC1117" s="6">
        <f>$M$1117*$W$1117</f>
        <v>675.68163519999996</v>
      </c>
      <c r="AD1117" s="6">
        <f>$O$1117*$X$1117</f>
        <v>453.48205760000002</v>
      </c>
      <c r="AE1117" s="6">
        <f>$K$1117*$Y$1117</f>
        <v>0</v>
      </c>
      <c r="AF1117" s="6">
        <f ca="1">$M$1117*$Z$1117</f>
        <v>804.08284192746839</v>
      </c>
      <c r="AG1117" s="6">
        <f>$O$1117*$AA$1117</f>
        <v>404.00393693750055</v>
      </c>
    </row>
    <row r="1118" spans="1:33" ht="11.25" customHeight="1" x14ac:dyDescent="0.25">
      <c r="A1118" s="4" t="s">
        <v>21</v>
      </c>
      <c r="B1118" s="4" t="s">
        <v>33</v>
      </c>
      <c r="C1118" s="4" t="s">
        <v>34</v>
      </c>
      <c r="D1118" s="4" t="s">
        <v>47</v>
      </c>
      <c r="E1118" s="4" t="s">
        <v>55</v>
      </c>
      <c r="F1118" s="4" t="s">
        <v>25</v>
      </c>
      <c r="G1118" s="4" t="s">
        <v>25</v>
      </c>
      <c r="H1118" s="4" t="s">
        <v>35</v>
      </c>
      <c r="I1118" s="5">
        <v>44013</v>
      </c>
      <c r="J1118" s="6">
        <v>0</v>
      </c>
      <c r="K1118" s="71">
        <v>0</v>
      </c>
      <c r="L1118" s="6">
        <v>29.946000000000002</v>
      </c>
      <c r="M1118" s="71">
        <v>29.946000000000002</v>
      </c>
      <c r="N1118" s="6">
        <v>29.946000000000002</v>
      </c>
      <c r="O1118" s="71">
        <v>29.946000000000002</v>
      </c>
      <c r="P1118" s="6">
        <v>0</v>
      </c>
      <c r="Q1118" s="4" t="s">
        <v>26</v>
      </c>
      <c r="R1118" s="4">
        <v>0</v>
      </c>
      <c r="S1118" s="6">
        <v>0</v>
      </c>
      <c r="T1118" s="6">
        <v>27</v>
      </c>
      <c r="U1118" s="6">
        <v>81</v>
      </c>
      <c r="V1118" s="71">
        <f>IF(ISERROR(VLOOKUP($S$1118,'TAR FIN'!$A$1:$O$120,15,0)),0,VLOOKUP($S$1118,'TAR FIN'!$A$1:$O$120,15,0))</f>
        <v>0</v>
      </c>
      <c r="W1118" s="71">
        <f>IF(ISERROR(VLOOKUP($T$1118,'TAR FIN'!$A$1:$O$120,15,0)),0,VLOOKUP($T$1118,'TAR FIN'!$A$1:$O$120,15,0))*(1-0.08)</f>
        <v>590.63080000000002</v>
      </c>
      <c r="X1118" s="71">
        <f>IF(ISERROR(VLOOKUP($U$1118,'TAR FIN'!$A$1:$O$120,15,0)),0,VLOOKUP($U$1118,'TAR FIN'!$A$1:$O$120,15,0))*(1-0.08)</f>
        <v>396.40040000000005</v>
      </c>
      <c r="Y1118" s="71"/>
      <c r="Z1118" s="71">
        <f ca="1">('TUSD BE'!$AM$33+'TUSD BF'!$AM$33+'TUSD CVA'!$AM$33)*1*(1-0.06)</f>
        <v>702.86961706946545</v>
      </c>
      <c r="AA1118" s="71">
        <f>('TE BE'!$AA$10+'TE BF'!$AA$10+'TE CVA'!$AA$10)*1*(1-0.06)</f>
        <v>353.15029452578722</v>
      </c>
      <c r="AB1118" s="6">
        <f>$K$1118*$V$1118</f>
        <v>0</v>
      </c>
      <c r="AC1118" s="6">
        <f>$M$1118*$W$1118</f>
        <v>17687.029936800001</v>
      </c>
      <c r="AD1118" s="6">
        <f>$O$1118*$X$1118</f>
        <v>11870.606378400002</v>
      </c>
      <c r="AE1118" s="6">
        <f>$K$1118*$Y$1118</f>
        <v>0</v>
      </c>
      <c r="AF1118" s="6">
        <f ca="1">$M$1118*$Z$1118</f>
        <v>21048.133552762214</v>
      </c>
      <c r="AG1118" s="6">
        <f>$O$1118*$AA$1118</f>
        <v>10575.438719869224</v>
      </c>
    </row>
    <row r="1119" spans="1:33" ht="11.25" customHeight="1" x14ac:dyDescent="0.25">
      <c r="A1119" s="4" t="s">
        <v>27</v>
      </c>
      <c r="B1119" s="4" t="s">
        <v>33</v>
      </c>
      <c r="C1119" s="4" t="s">
        <v>34</v>
      </c>
      <c r="D1119" s="4" t="s">
        <v>47</v>
      </c>
      <c r="E1119" s="4" t="s">
        <v>55</v>
      </c>
      <c r="F1119" s="4" t="s">
        <v>25</v>
      </c>
      <c r="G1119" s="4" t="s">
        <v>25</v>
      </c>
      <c r="H1119" s="4" t="s">
        <v>35</v>
      </c>
      <c r="I1119" s="5">
        <v>44013</v>
      </c>
      <c r="J1119" s="6">
        <v>0</v>
      </c>
      <c r="K1119" s="71">
        <v>0</v>
      </c>
      <c r="L1119" s="6">
        <v>1.774</v>
      </c>
      <c r="M1119" s="71">
        <v>1.774</v>
      </c>
      <c r="N1119" s="6">
        <v>1.774</v>
      </c>
      <c r="O1119" s="71">
        <v>1.774</v>
      </c>
      <c r="P1119" s="6">
        <v>0</v>
      </c>
      <c r="Q1119" s="4" t="s">
        <v>26</v>
      </c>
      <c r="R1119" s="4">
        <v>0</v>
      </c>
      <c r="S1119" s="6">
        <v>0</v>
      </c>
      <c r="T1119" s="6">
        <v>27</v>
      </c>
      <c r="U1119" s="6">
        <v>81</v>
      </c>
      <c r="V1119" s="71">
        <f>IF(ISERROR(VLOOKUP($S$1119,'TAR FIN'!$A$1:$O$120,15,0)),0,VLOOKUP($S$1119,'TAR FIN'!$A$1:$O$120,15,0))</f>
        <v>0</v>
      </c>
      <c r="W1119" s="71">
        <f>IF(ISERROR(VLOOKUP($T$1119,'TAR FIN'!$A$1:$O$120,15,0)),0,VLOOKUP($T$1119,'TAR FIN'!$A$1:$O$120,15,0))*(1-0.08)</f>
        <v>590.63080000000002</v>
      </c>
      <c r="X1119" s="71">
        <f>IF(ISERROR(VLOOKUP($U$1119,'TAR FIN'!$A$1:$O$120,15,0)),0,VLOOKUP($U$1119,'TAR FIN'!$A$1:$O$120,15,0))*(1-0.08)</f>
        <v>396.40040000000005</v>
      </c>
      <c r="Y1119" s="71"/>
      <c r="Z1119" s="71">
        <f ca="1">('TUSD BE'!$AM$33+'TUSD BF'!$AM$33+'TUSD CVA'!$AM$33)*1*(1-0.06)</f>
        <v>702.86961706946545</v>
      </c>
      <c r="AA1119" s="71">
        <f>('TE BE'!$AA$10+'TE BF'!$AA$10+'TE CVA'!$AA$10)*1*(1-0.06)</f>
        <v>353.15029452578722</v>
      </c>
      <c r="AB1119" s="6">
        <f>$K$1119*$V$1119</f>
        <v>0</v>
      </c>
      <c r="AC1119" s="6">
        <f>$M$1119*$W$1119</f>
        <v>1047.7790391999999</v>
      </c>
      <c r="AD1119" s="6">
        <f>$O$1119*$X$1119</f>
        <v>703.21430960000009</v>
      </c>
      <c r="AE1119" s="6">
        <f>$K$1119*$Y$1119</f>
        <v>0</v>
      </c>
      <c r="AF1119" s="6">
        <f ca="1">$M$1119*$Z$1119</f>
        <v>1246.8907006812317</v>
      </c>
      <c r="AG1119" s="6">
        <f>$O$1119*$AA$1119</f>
        <v>626.4886224887465</v>
      </c>
    </row>
    <row r="1120" spans="1:33" ht="11.25" customHeight="1" x14ac:dyDescent="0.25">
      <c r="A1120" s="4" t="s">
        <v>21</v>
      </c>
      <c r="B1120" s="4" t="s">
        <v>33</v>
      </c>
      <c r="C1120" s="4" t="s">
        <v>34</v>
      </c>
      <c r="D1120" s="4" t="s">
        <v>47</v>
      </c>
      <c r="E1120" s="4" t="s">
        <v>55</v>
      </c>
      <c r="F1120" s="4" t="s">
        <v>25</v>
      </c>
      <c r="G1120" s="4" t="s">
        <v>25</v>
      </c>
      <c r="H1120" s="4" t="s">
        <v>35</v>
      </c>
      <c r="I1120" s="5">
        <v>44044</v>
      </c>
      <c r="J1120" s="6">
        <v>0</v>
      </c>
      <c r="K1120" s="71">
        <v>0</v>
      </c>
      <c r="L1120" s="6">
        <v>30.613</v>
      </c>
      <c r="M1120" s="71">
        <v>30.613</v>
      </c>
      <c r="N1120" s="6">
        <v>30.613</v>
      </c>
      <c r="O1120" s="71">
        <v>30.613</v>
      </c>
      <c r="P1120" s="6">
        <v>0</v>
      </c>
      <c r="Q1120" s="4" t="s">
        <v>26</v>
      </c>
      <c r="R1120" s="4">
        <v>0</v>
      </c>
      <c r="S1120" s="6">
        <v>0</v>
      </c>
      <c r="T1120" s="6">
        <v>27</v>
      </c>
      <c r="U1120" s="6">
        <v>81</v>
      </c>
      <c r="V1120" s="71">
        <f>IF(ISERROR(VLOOKUP($S$1120,'TAR FIN'!$A$1:$O$120,15,0)),0,VLOOKUP($S$1120,'TAR FIN'!$A$1:$O$120,15,0))</f>
        <v>0</v>
      </c>
      <c r="W1120" s="71">
        <f>IF(ISERROR(VLOOKUP($T$1120,'TAR FIN'!$A$1:$O$120,15,0)),0,VLOOKUP($T$1120,'TAR FIN'!$A$1:$O$120,15,0))*(1-0.08)</f>
        <v>590.63080000000002</v>
      </c>
      <c r="X1120" s="71">
        <f>IF(ISERROR(VLOOKUP($U$1120,'TAR FIN'!$A$1:$O$120,15,0)),0,VLOOKUP($U$1120,'TAR FIN'!$A$1:$O$120,15,0))*(1-0.08)</f>
        <v>396.40040000000005</v>
      </c>
      <c r="Y1120" s="71"/>
      <c r="Z1120" s="71">
        <f ca="1">('TUSD BE'!$AM$33+'TUSD BF'!$AM$33+'TUSD CVA'!$AM$33)*1*(1-0.06)</f>
        <v>702.86961706946545</v>
      </c>
      <c r="AA1120" s="71">
        <f>('TE BE'!$AA$10+'TE BF'!$AA$10+'TE CVA'!$AA$10)*1*(1-0.06)</f>
        <v>353.15029452578722</v>
      </c>
      <c r="AB1120" s="6">
        <f>$K$1120*$V$1120</f>
        <v>0</v>
      </c>
      <c r="AC1120" s="6">
        <f>$M$1120*$W$1120</f>
        <v>18080.9806804</v>
      </c>
      <c r="AD1120" s="6">
        <f>$O$1120*$X$1120</f>
        <v>12135.0054452</v>
      </c>
      <c r="AE1120" s="6">
        <f>$K$1120*$Y$1120</f>
        <v>0</v>
      </c>
      <c r="AF1120" s="6">
        <f ca="1">$M$1120*$Z$1120</f>
        <v>21516.947587347546</v>
      </c>
      <c r="AG1120" s="6">
        <f>$O$1120*$AA$1120</f>
        <v>10810.989966317924</v>
      </c>
    </row>
    <row r="1121" spans="1:33" ht="11.25" customHeight="1" x14ac:dyDescent="0.25">
      <c r="A1121" s="4" t="s">
        <v>27</v>
      </c>
      <c r="B1121" s="4" t="s">
        <v>33</v>
      </c>
      <c r="C1121" s="4" t="s">
        <v>34</v>
      </c>
      <c r="D1121" s="4" t="s">
        <v>47</v>
      </c>
      <c r="E1121" s="4" t="s">
        <v>55</v>
      </c>
      <c r="F1121" s="4" t="s">
        <v>25</v>
      </c>
      <c r="G1121" s="4" t="s">
        <v>25</v>
      </c>
      <c r="H1121" s="4" t="s">
        <v>35</v>
      </c>
      <c r="I1121" s="5">
        <v>44044</v>
      </c>
      <c r="J1121" s="6">
        <v>0</v>
      </c>
      <c r="K1121" s="71">
        <v>0</v>
      </c>
      <c r="L1121" s="6">
        <v>0.89900000000000002</v>
      </c>
      <c r="M1121" s="71">
        <v>0.89900000000000002</v>
      </c>
      <c r="N1121" s="6">
        <v>0.89900000000000002</v>
      </c>
      <c r="O1121" s="71">
        <v>0.89900000000000002</v>
      </c>
      <c r="P1121" s="6">
        <v>0</v>
      </c>
      <c r="Q1121" s="4" t="s">
        <v>26</v>
      </c>
      <c r="R1121" s="4">
        <v>0</v>
      </c>
      <c r="S1121" s="6">
        <v>0</v>
      </c>
      <c r="T1121" s="6">
        <v>27</v>
      </c>
      <c r="U1121" s="6">
        <v>81</v>
      </c>
      <c r="V1121" s="71">
        <f>IF(ISERROR(VLOOKUP($S$1121,'TAR FIN'!$A$1:$O$120,15,0)),0,VLOOKUP($S$1121,'TAR FIN'!$A$1:$O$120,15,0))</f>
        <v>0</v>
      </c>
      <c r="W1121" s="71">
        <f>IF(ISERROR(VLOOKUP($T$1121,'TAR FIN'!$A$1:$O$120,15,0)),0,VLOOKUP($T$1121,'TAR FIN'!$A$1:$O$120,15,0))*(1-0.08)</f>
        <v>590.63080000000002</v>
      </c>
      <c r="X1121" s="71">
        <f>IF(ISERROR(VLOOKUP($U$1121,'TAR FIN'!$A$1:$O$120,15,0)),0,VLOOKUP($U$1121,'TAR FIN'!$A$1:$O$120,15,0))*(1-0.08)</f>
        <v>396.40040000000005</v>
      </c>
      <c r="Y1121" s="71"/>
      <c r="Z1121" s="71">
        <f ca="1">('TUSD BE'!$AM$33+'TUSD BF'!$AM$33+'TUSD CVA'!$AM$33)*1*(1-0.06)</f>
        <v>702.86961706946545</v>
      </c>
      <c r="AA1121" s="71">
        <f>('TE BE'!$AA$10+'TE BF'!$AA$10+'TE CVA'!$AA$10)*1*(1-0.06)</f>
        <v>353.15029452578722</v>
      </c>
      <c r="AB1121" s="6">
        <f>$K$1121*$V$1121</f>
        <v>0</v>
      </c>
      <c r="AC1121" s="6">
        <f>$M$1121*$W$1121</f>
        <v>530.97708920000002</v>
      </c>
      <c r="AD1121" s="6">
        <f>$O$1121*$X$1121</f>
        <v>356.36395960000004</v>
      </c>
      <c r="AE1121" s="6">
        <f>$K$1121*$Y$1121</f>
        <v>0</v>
      </c>
      <c r="AF1121" s="6">
        <f ca="1">$M$1121*$Z$1121</f>
        <v>631.87978574544945</v>
      </c>
      <c r="AG1121" s="6">
        <f>$O$1121*$AA$1121</f>
        <v>317.48211477868273</v>
      </c>
    </row>
    <row r="1122" spans="1:33" ht="11.25" customHeight="1" x14ac:dyDescent="0.25">
      <c r="A1122" s="4" t="s">
        <v>59</v>
      </c>
      <c r="B1122" s="4" t="s">
        <v>33</v>
      </c>
      <c r="C1122" s="4" t="s">
        <v>34</v>
      </c>
      <c r="D1122" s="4" t="s">
        <v>47</v>
      </c>
      <c r="E1122" s="4" t="s">
        <v>55</v>
      </c>
      <c r="F1122" s="4" t="s">
        <v>25</v>
      </c>
      <c r="G1122" s="4" t="s">
        <v>25</v>
      </c>
      <c r="H1122" s="4" t="s">
        <v>35</v>
      </c>
      <c r="I1122" s="5">
        <v>44075</v>
      </c>
      <c r="J1122" s="6">
        <v>0</v>
      </c>
      <c r="K1122" s="71">
        <v>0</v>
      </c>
      <c r="L1122" s="6">
        <v>30.613</v>
      </c>
      <c r="M1122" s="71">
        <v>30.613</v>
      </c>
      <c r="N1122" s="6">
        <v>30.613</v>
      </c>
      <c r="O1122" s="71">
        <v>30.613</v>
      </c>
      <c r="P1122" s="6">
        <v>0</v>
      </c>
      <c r="Q1122" s="4" t="s">
        <v>26</v>
      </c>
      <c r="R1122" s="4">
        <v>0</v>
      </c>
      <c r="S1122" s="6">
        <v>0</v>
      </c>
      <c r="T1122" s="6">
        <v>27</v>
      </c>
      <c r="U1122" s="6">
        <v>81</v>
      </c>
      <c r="V1122" s="71">
        <f>IF(ISERROR(VLOOKUP($S$1122,'TAR FIN'!$A$1:$O$120,15,0)),0,VLOOKUP($S$1122,'TAR FIN'!$A$1:$O$120,15,0))</f>
        <v>0</v>
      </c>
      <c r="W1122" s="71">
        <f>IF(ISERROR(VLOOKUP($T$1122,'TAR FIN'!$A$1:$O$120,15,0)),0,VLOOKUP($T$1122,'TAR FIN'!$A$1:$O$120,15,0))*(1-0.08)</f>
        <v>590.63080000000002</v>
      </c>
      <c r="X1122" s="71">
        <f>IF(ISERROR(VLOOKUP($U$1122,'TAR FIN'!$A$1:$O$120,15,0)),0,VLOOKUP($U$1122,'TAR FIN'!$A$1:$O$120,15,0))*(1-0.08)</f>
        <v>396.40040000000005</v>
      </c>
      <c r="Y1122" s="71"/>
      <c r="Z1122" s="71">
        <f ca="1">('TUSD BE'!$AM$33+'TUSD BF'!$AM$33+'TUSD CVA'!$AM$33)*1*(1-0.06)</f>
        <v>702.86961706946545</v>
      </c>
      <c r="AA1122" s="71">
        <f>('TE BE'!$AA$10+'TE BF'!$AA$10+'TE CVA'!$AA$10)*1*(1-0.06)</f>
        <v>353.15029452578722</v>
      </c>
      <c r="AB1122" s="6">
        <f>$K$1122*$V$1122</f>
        <v>0</v>
      </c>
      <c r="AC1122" s="6">
        <f>$M$1122*$W$1122</f>
        <v>18080.9806804</v>
      </c>
      <c r="AD1122" s="6">
        <f>$O$1122*$X$1122</f>
        <v>12135.0054452</v>
      </c>
      <c r="AE1122" s="6">
        <f>$K$1122*$Y$1122</f>
        <v>0</v>
      </c>
      <c r="AF1122" s="6">
        <f ca="1">$M$1122*$Z$1122</f>
        <v>21516.947587347546</v>
      </c>
      <c r="AG1122" s="6">
        <f>$O$1122*$AA$1122</f>
        <v>10810.989966317924</v>
      </c>
    </row>
    <row r="1123" spans="1:33" ht="11.25" customHeight="1" x14ac:dyDescent="0.25">
      <c r="A1123" s="4" t="s">
        <v>59</v>
      </c>
      <c r="B1123" s="4" t="s">
        <v>33</v>
      </c>
      <c r="C1123" s="4" t="s">
        <v>34</v>
      </c>
      <c r="D1123" s="4" t="s">
        <v>47</v>
      </c>
      <c r="E1123" s="4" t="s">
        <v>55</v>
      </c>
      <c r="F1123" s="4" t="s">
        <v>25</v>
      </c>
      <c r="G1123" s="4" t="s">
        <v>25</v>
      </c>
      <c r="H1123" s="4" t="s">
        <v>35</v>
      </c>
      <c r="I1123" s="5">
        <v>44075</v>
      </c>
      <c r="J1123" s="6">
        <v>0</v>
      </c>
      <c r="K1123" s="71">
        <v>0</v>
      </c>
      <c r="L1123" s="6">
        <v>0.89900000000000002</v>
      </c>
      <c r="M1123" s="71">
        <v>0.89900000000000002</v>
      </c>
      <c r="N1123" s="6">
        <v>0.89900000000000002</v>
      </c>
      <c r="O1123" s="71">
        <v>0.89900000000000002</v>
      </c>
      <c r="P1123" s="6">
        <v>0</v>
      </c>
      <c r="Q1123" s="4" t="s">
        <v>26</v>
      </c>
      <c r="R1123" s="4">
        <v>0</v>
      </c>
      <c r="S1123" s="6">
        <v>0</v>
      </c>
      <c r="T1123" s="6">
        <v>27</v>
      </c>
      <c r="U1123" s="6">
        <v>81</v>
      </c>
      <c r="V1123" s="71">
        <f>IF(ISERROR(VLOOKUP($S$1123,'TAR FIN'!$A$1:$O$120,15,0)),0,VLOOKUP($S$1123,'TAR FIN'!$A$1:$O$120,15,0))</f>
        <v>0</v>
      </c>
      <c r="W1123" s="71">
        <f>IF(ISERROR(VLOOKUP($T$1123,'TAR FIN'!$A$1:$O$120,15,0)),0,VLOOKUP($T$1123,'TAR FIN'!$A$1:$O$120,15,0))*(1-0.08)</f>
        <v>590.63080000000002</v>
      </c>
      <c r="X1123" s="71">
        <f>IF(ISERROR(VLOOKUP($U$1123,'TAR FIN'!$A$1:$O$120,15,0)),0,VLOOKUP($U$1123,'TAR FIN'!$A$1:$O$120,15,0))*(1-0.08)</f>
        <v>396.40040000000005</v>
      </c>
      <c r="Y1123" s="71"/>
      <c r="Z1123" s="71">
        <f ca="1">('TUSD BE'!$AM$33+'TUSD BF'!$AM$33+'TUSD CVA'!$AM$33)*1*(1-0.06)</f>
        <v>702.86961706946545</v>
      </c>
      <c r="AA1123" s="71">
        <f>('TE BE'!$AA$10+'TE BF'!$AA$10+'TE CVA'!$AA$10)*1*(1-0.06)</f>
        <v>353.15029452578722</v>
      </c>
      <c r="AB1123" s="6">
        <f>$K$1123*$V$1123</f>
        <v>0</v>
      </c>
      <c r="AC1123" s="6">
        <f>$M$1123*$W$1123</f>
        <v>530.97708920000002</v>
      </c>
      <c r="AD1123" s="6">
        <f>$O$1123*$X$1123</f>
        <v>356.36395960000004</v>
      </c>
      <c r="AE1123" s="6">
        <f>$K$1123*$Y$1123</f>
        <v>0</v>
      </c>
      <c r="AF1123" s="6">
        <f ca="1">$M$1123*$Z$1123</f>
        <v>631.87978574544945</v>
      </c>
      <c r="AG1123" s="6">
        <f>$O$1123*$AA$1123</f>
        <v>317.48211477868273</v>
      </c>
    </row>
    <row r="1124" spans="1:33" ht="11.25" customHeight="1" x14ac:dyDescent="0.25">
      <c r="A1124" s="4" t="s">
        <v>21</v>
      </c>
      <c r="B1124" s="4" t="s">
        <v>33</v>
      </c>
      <c r="C1124" s="4" t="s">
        <v>34</v>
      </c>
      <c r="D1124" s="4" t="s">
        <v>47</v>
      </c>
      <c r="E1124" s="4" t="s">
        <v>25</v>
      </c>
      <c r="F1124" s="4" t="s">
        <v>25</v>
      </c>
      <c r="G1124" s="4" t="s">
        <v>25</v>
      </c>
      <c r="H1124" s="4" t="s">
        <v>36</v>
      </c>
      <c r="I1124" s="5">
        <v>43739</v>
      </c>
      <c r="J1124" s="6">
        <v>0</v>
      </c>
      <c r="K1124" s="71">
        <v>0</v>
      </c>
      <c r="L1124" s="6">
        <v>1858.81</v>
      </c>
      <c r="M1124" s="71">
        <v>1858.81</v>
      </c>
      <c r="N1124" s="6">
        <v>1858.81</v>
      </c>
      <c r="O1124" s="71">
        <v>1858.81</v>
      </c>
      <c r="P1124" s="6">
        <v>0</v>
      </c>
      <c r="Q1124" s="4" t="s">
        <v>26</v>
      </c>
      <c r="R1124" s="4">
        <v>0</v>
      </c>
      <c r="S1124" s="6">
        <v>0</v>
      </c>
      <c r="T1124" s="6">
        <v>28</v>
      </c>
      <c r="U1124" s="6">
        <v>82</v>
      </c>
      <c r="V1124" s="71">
        <f>IF(ISERROR(VLOOKUP($S$1124,'TAR FIN'!$A$1:$O$120,15,0)),0,VLOOKUP($S$1124,'TAR FIN'!$A$1:$O$120,15,0))</f>
        <v>0</v>
      </c>
      <c r="W1124" s="71">
        <f>IF(ISERROR(VLOOKUP($T$1124,'TAR FIN'!$A$1:$O$120,15,0)),0,VLOOKUP($T$1124,'TAR FIN'!$A$1:$O$120,15,0))*(1-0.08)</f>
        <v>77.694000000000003</v>
      </c>
      <c r="X1124" s="71">
        <f>IF(ISERROR(VLOOKUP($U$1124,'TAR FIN'!$A$1:$O$120,15,0)),0,VLOOKUP($U$1124,'TAR FIN'!$A$1:$O$120,15,0))*(1-0.08)</f>
        <v>235.86960000000002</v>
      </c>
      <c r="Y1124" s="71"/>
      <c r="Z1124" s="71">
        <f ca="1">('TUSD BE'!$AM$34+'TUSD BF'!$AM$34+'TUSD CVA'!$AM$34)*1*(1-0.06)</f>
        <v>82.268200247339408</v>
      </c>
      <c r="AA1124" s="71">
        <f>('TE BE'!$AA$11+'TE BF'!$AA$11+'TE CVA'!$AA$11)*1*(1-0.06)</f>
        <v>216.98415684477786</v>
      </c>
      <c r="AB1124" s="6">
        <f>$K$1124*$V$1124</f>
        <v>0</v>
      </c>
      <c r="AC1124" s="6">
        <f>$M$1124*$W$1124</f>
        <v>144418.38414000001</v>
      </c>
      <c r="AD1124" s="6">
        <f>$O$1124*$X$1124</f>
        <v>438436.77117600001</v>
      </c>
      <c r="AE1124" s="6">
        <f>$K$1124*$Y$1124</f>
        <v>0</v>
      </c>
      <c r="AF1124" s="6">
        <f ca="1">$M$1124*$Z$1124</f>
        <v>152920.95330175696</v>
      </c>
      <c r="AG1124" s="6">
        <f>$O$1124*$AA$1124</f>
        <v>403332.32058464154</v>
      </c>
    </row>
    <row r="1125" spans="1:33" ht="11.25" customHeight="1" x14ac:dyDescent="0.25">
      <c r="A1125" s="4" t="s">
        <v>28</v>
      </c>
      <c r="B1125" s="4" t="s">
        <v>33</v>
      </c>
      <c r="C1125" s="4" t="s">
        <v>34</v>
      </c>
      <c r="D1125" s="4" t="s">
        <v>47</v>
      </c>
      <c r="E1125" s="4" t="s">
        <v>25</v>
      </c>
      <c r="F1125" s="4" t="s">
        <v>25</v>
      </c>
      <c r="G1125" s="4" t="s">
        <v>25</v>
      </c>
      <c r="H1125" s="4" t="s">
        <v>36</v>
      </c>
      <c r="I1125" s="5">
        <v>43739</v>
      </c>
      <c r="J1125" s="6">
        <v>0</v>
      </c>
      <c r="K1125" s="71">
        <v>0</v>
      </c>
      <c r="L1125" s="6">
        <v>25.309000000000001</v>
      </c>
      <c r="M1125" s="71">
        <v>25.309000000000001</v>
      </c>
      <c r="N1125" s="6">
        <v>25.309000000000001</v>
      </c>
      <c r="O1125" s="71">
        <v>25.309000000000001</v>
      </c>
      <c r="P1125" s="6">
        <v>0</v>
      </c>
      <c r="Q1125" s="4" t="s">
        <v>26</v>
      </c>
      <c r="R1125" s="4">
        <v>0</v>
      </c>
      <c r="S1125" s="6">
        <v>0</v>
      </c>
      <c r="T1125" s="6">
        <v>28</v>
      </c>
      <c r="U1125" s="6">
        <v>82</v>
      </c>
      <c r="V1125" s="71">
        <f>IF(ISERROR(VLOOKUP($S$1125,'TAR FIN'!$A$1:$O$120,15,0)),0,VLOOKUP($S$1125,'TAR FIN'!$A$1:$O$120,15,0))</f>
        <v>0</v>
      </c>
      <c r="W1125" s="71">
        <f>IF(ISERROR(VLOOKUP($T$1125,'TAR FIN'!$A$1:$O$120,15,0)),0,VLOOKUP($T$1125,'TAR FIN'!$A$1:$O$120,15,0))*(1-0.08)</f>
        <v>77.694000000000003</v>
      </c>
      <c r="X1125" s="71">
        <f>IF(ISERROR(VLOOKUP($U$1125,'TAR FIN'!$A$1:$O$120,15,0)),0,VLOOKUP($U$1125,'TAR FIN'!$A$1:$O$120,15,0))*(1-0.08)</f>
        <v>235.86960000000002</v>
      </c>
      <c r="Y1125" s="71"/>
      <c r="Z1125" s="71">
        <f ca="1">('TUSD BE'!$AM$34+'TUSD BF'!$AM$34+'TUSD CVA'!$AM$34)*1*(1-0.06)</f>
        <v>82.268200247339408</v>
      </c>
      <c r="AA1125" s="71">
        <f>('TE BE'!$AA$11+'TE BF'!$AA$11+'TE CVA'!$AA$11)*1*(1-0.06)</f>
        <v>216.98415684477786</v>
      </c>
      <c r="AB1125" s="6">
        <f>$K$1125*$V$1125</f>
        <v>0</v>
      </c>
      <c r="AC1125" s="6">
        <f>$M$1125*$W$1125</f>
        <v>1966.3574460000002</v>
      </c>
      <c r="AD1125" s="6">
        <f>$O$1125*$X$1125</f>
        <v>5969.6237064000006</v>
      </c>
      <c r="AE1125" s="6">
        <f>$K$1125*$Y$1125</f>
        <v>0</v>
      </c>
      <c r="AF1125" s="6">
        <f ca="1">$M$1125*$Z$1125</f>
        <v>2082.125880059913</v>
      </c>
      <c r="AG1125" s="6">
        <f>$O$1125*$AA$1125</f>
        <v>5491.6520255844835</v>
      </c>
    </row>
    <row r="1126" spans="1:33" ht="11.25" customHeight="1" x14ac:dyDescent="0.25">
      <c r="A1126" s="4" t="s">
        <v>21</v>
      </c>
      <c r="B1126" s="4" t="s">
        <v>33</v>
      </c>
      <c r="C1126" s="4" t="s">
        <v>34</v>
      </c>
      <c r="D1126" s="4" t="s">
        <v>47</v>
      </c>
      <c r="E1126" s="4" t="s">
        <v>25</v>
      </c>
      <c r="F1126" s="4" t="s">
        <v>25</v>
      </c>
      <c r="G1126" s="4" t="s">
        <v>25</v>
      </c>
      <c r="H1126" s="4" t="s">
        <v>36</v>
      </c>
      <c r="I1126" s="5">
        <v>43770</v>
      </c>
      <c r="J1126" s="6">
        <v>0</v>
      </c>
      <c r="K1126" s="71">
        <v>0</v>
      </c>
      <c r="L1126" s="6">
        <v>2014.8430000000001</v>
      </c>
      <c r="M1126" s="71">
        <v>2014.8430000000001</v>
      </c>
      <c r="N1126" s="6">
        <v>2014.8430000000001</v>
      </c>
      <c r="O1126" s="71">
        <v>2014.8430000000001</v>
      </c>
      <c r="P1126" s="6">
        <v>0</v>
      </c>
      <c r="Q1126" s="4" t="s">
        <v>26</v>
      </c>
      <c r="R1126" s="4">
        <v>0</v>
      </c>
      <c r="S1126" s="6">
        <v>0</v>
      </c>
      <c r="T1126" s="6">
        <v>28</v>
      </c>
      <c r="U1126" s="6">
        <v>82</v>
      </c>
      <c r="V1126" s="71">
        <f>IF(ISERROR(VLOOKUP($S$1126,'TAR FIN'!$A$1:$O$120,15,0)),0,VLOOKUP($S$1126,'TAR FIN'!$A$1:$O$120,15,0))</f>
        <v>0</v>
      </c>
      <c r="W1126" s="71">
        <f>IF(ISERROR(VLOOKUP($T$1126,'TAR FIN'!$A$1:$O$120,15,0)),0,VLOOKUP($T$1126,'TAR FIN'!$A$1:$O$120,15,0))*(1-0.08)</f>
        <v>77.694000000000003</v>
      </c>
      <c r="X1126" s="71">
        <f>IF(ISERROR(VLOOKUP($U$1126,'TAR FIN'!$A$1:$O$120,15,0)),0,VLOOKUP($U$1126,'TAR FIN'!$A$1:$O$120,15,0))*(1-0.08)</f>
        <v>235.86960000000002</v>
      </c>
      <c r="Y1126" s="71"/>
      <c r="Z1126" s="71">
        <f ca="1">('TUSD BE'!$AM$34+'TUSD BF'!$AM$34+'TUSD CVA'!$AM$34)*1*(1-0.06)</f>
        <v>82.268200247339408</v>
      </c>
      <c r="AA1126" s="71">
        <f>('TE BE'!$AA$11+'TE BF'!$AA$11+'TE CVA'!$AA$11)*1*(1-0.06)</f>
        <v>216.98415684477786</v>
      </c>
      <c r="AB1126" s="6">
        <f>$K$1126*$V$1126</f>
        <v>0</v>
      </c>
      <c r="AC1126" s="6">
        <f>$M$1126*$W$1126</f>
        <v>156541.212042</v>
      </c>
      <c r="AD1126" s="6">
        <f>$O$1126*$X$1126</f>
        <v>475240.21247280005</v>
      </c>
      <c r="AE1126" s="6">
        <f>$K$1126*$Y$1126</f>
        <v>0</v>
      </c>
      <c r="AF1126" s="6">
        <f ca="1">$M$1126*$Z$1126</f>
        <v>165757.50739095008</v>
      </c>
      <c r="AG1126" s="6">
        <f>$O$1126*$AA$1126</f>
        <v>437189.00952960277</v>
      </c>
    </row>
    <row r="1127" spans="1:33" ht="11.25" customHeight="1" x14ac:dyDescent="0.25">
      <c r="A1127" s="4" t="s">
        <v>28</v>
      </c>
      <c r="B1127" s="4" t="s">
        <v>33</v>
      </c>
      <c r="C1127" s="4" t="s">
        <v>34</v>
      </c>
      <c r="D1127" s="4" t="s">
        <v>47</v>
      </c>
      <c r="E1127" s="4" t="s">
        <v>25</v>
      </c>
      <c r="F1127" s="4" t="s">
        <v>25</v>
      </c>
      <c r="G1127" s="4" t="s">
        <v>25</v>
      </c>
      <c r="H1127" s="4" t="s">
        <v>36</v>
      </c>
      <c r="I1127" s="5">
        <v>43770</v>
      </c>
      <c r="J1127" s="6">
        <v>0</v>
      </c>
      <c r="K1127" s="71">
        <v>0</v>
      </c>
      <c r="L1127" s="6">
        <v>24.013000000000002</v>
      </c>
      <c r="M1127" s="71">
        <v>24.013000000000002</v>
      </c>
      <c r="N1127" s="6">
        <v>24.013000000000002</v>
      </c>
      <c r="O1127" s="71">
        <v>24.013000000000002</v>
      </c>
      <c r="P1127" s="6">
        <v>0</v>
      </c>
      <c r="Q1127" s="4" t="s">
        <v>26</v>
      </c>
      <c r="R1127" s="4">
        <v>0</v>
      </c>
      <c r="S1127" s="6">
        <v>0</v>
      </c>
      <c r="T1127" s="6">
        <v>28</v>
      </c>
      <c r="U1127" s="6">
        <v>82</v>
      </c>
      <c r="V1127" s="71">
        <f>IF(ISERROR(VLOOKUP($S$1127,'TAR FIN'!$A$1:$O$120,15,0)),0,VLOOKUP($S$1127,'TAR FIN'!$A$1:$O$120,15,0))</f>
        <v>0</v>
      </c>
      <c r="W1127" s="71">
        <f>IF(ISERROR(VLOOKUP($T$1127,'TAR FIN'!$A$1:$O$120,15,0)),0,VLOOKUP($T$1127,'TAR FIN'!$A$1:$O$120,15,0))*(1-0.08)</f>
        <v>77.694000000000003</v>
      </c>
      <c r="X1127" s="71">
        <f>IF(ISERROR(VLOOKUP($U$1127,'TAR FIN'!$A$1:$O$120,15,0)),0,VLOOKUP($U$1127,'TAR FIN'!$A$1:$O$120,15,0))*(1-0.08)</f>
        <v>235.86960000000002</v>
      </c>
      <c r="Y1127" s="71"/>
      <c r="Z1127" s="71">
        <f ca="1">('TUSD BE'!$AM$34+'TUSD BF'!$AM$34+'TUSD CVA'!$AM$34)*1*(1-0.06)</f>
        <v>82.268200247339408</v>
      </c>
      <c r="AA1127" s="71">
        <f>('TE BE'!$AA$11+'TE BF'!$AA$11+'TE CVA'!$AA$11)*1*(1-0.06)</f>
        <v>216.98415684477786</v>
      </c>
      <c r="AB1127" s="6">
        <f>$K$1127*$V$1127</f>
        <v>0</v>
      </c>
      <c r="AC1127" s="6">
        <f>$M$1127*$W$1127</f>
        <v>1865.6660220000001</v>
      </c>
      <c r="AD1127" s="6">
        <f>$O$1127*$X$1127</f>
        <v>5663.9367048000013</v>
      </c>
      <c r="AE1127" s="6">
        <f>$K$1127*$Y$1127</f>
        <v>0</v>
      </c>
      <c r="AF1127" s="6">
        <f ca="1">$M$1127*$Z$1127</f>
        <v>1975.5062925393613</v>
      </c>
      <c r="AG1127" s="6">
        <f>$O$1127*$AA$1127</f>
        <v>5210.4405583136513</v>
      </c>
    </row>
    <row r="1128" spans="1:33" ht="11.25" customHeight="1" x14ac:dyDescent="0.25">
      <c r="A1128" s="4" t="s">
        <v>21</v>
      </c>
      <c r="B1128" s="4" t="s">
        <v>33</v>
      </c>
      <c r="C1128" s="4" t="s">
        <v>34</v>
      </c>
      <c r="D1128" s="4" t="s">
        <v>47</v>
      </c>
      <c r="E1128" s="4" t="s">
        <v>25</v>
      </c>
      <c r="F1128" s="4" t="s">
        <v>25</v>
      </c>
      <c r="G1128" s="4" t="s">
        <v>25</v>
      </c>
      <c r="H1128" s="4" t="s">
        <v>36</v>
      </c>
      <c r="I1128" s="5">
        <v>43800</v>
      </c>
      <c r="J1128" s="6">
        <v>0</v>
      </c>
      <c r="K1128" s="71">
        <v>0</v>
      </c>
      <c r="L1128" s="6">
        <v>1734.3440000000001</v>
      </c>
      <c r="M1128" s="71">
        <v>1734.3440000000001</v>
      </c>
      <c r="N1128" s="6">
        <v>1734.3440000000001</v>
      </c>
      <c r="O1128" s="71">
        <v>1734.3440000000001</v>
      </c>
      <c r="P1128" s="6">
        <v>0</v>
      </c>
      <c r="Q1128" s="4" t="s">
        <v>26</v>
      </c>
      <c r="R1128" s="4">
        <v>0</v>
      </c>
      <c r="S1128" s="6">
        <v>0</v>
      </c>
      <c r="T1128" s="6">
        <v>28</v>
      </c>
      <c r="U1128" s="6">
        <v>82</v>
      </c>
      <c r="V1128" s="71">
        <f>IF(ISERROR(VLOOKUP($S$1128,'TAR FIN'!$A$1:$O$120,15,0)),0,VLOOKUP($S$1128,'TAR FIN'!$A$1:$O$120,15,0))</f>
        <v>0</v>
      </c>
      <c r="W1128" s="71">
        <f>IF(ISERROR(VLOOKUP($T$1128,'TAR FIN'!$A$1:$O$120,15,0)),0,VLOOKUP($T$1128,'TAR FIN'!$A$1:$O$120,15,0))*(1-0.08)</f>
        <v>77.694000000000003</v>
      </c>
      <c r="X1128" s="71">
        <f>IF(ISERROR(VLOOKUP($U$1128,'TAR FIN'!$A$1:$O$120,15,0)),0,VLOOKUP($U$1128,'TAR FIN'!$A$1:$O$120,15,0))*(1-0.08)</f>
        <v>235.86960000000002</v>
      </c>
      <c r="Y1128" s="71"/>
      <c r="Z1128" s="71">
        <f ca="1">('TUSD BE'!$AM$34+'TUSD BF'!$AM$34+'TUSD CVA'!$AM$34)*1*(1-0.06)</f>
        <v>82.268200247339408</v>
      </c>
      <c r="AA1128" s="71">
        <f>('TE BE'!$AA$11+'TE BF'!$AA$11+'TE CVA'!$AA$11)*1*(1-0.06)</f>
        <v>216.98415684477786</v>
      </c>
      <c r="AB1128" s="6">
        <f>$K$1128*$V$1128</f>
        <v>0</v>
      </c>
      <c r="AC1128" s="6">
        <f>$M$1128*$W$1128</f>
        <v>134748.12273600002</v>
      </c>
      <c r="AD1128" s="6">
        <f>$O$1128*$X$1128</f>
        <v>409079.02554240002</v>
      </c>
      <c r="AE1128" s="6">
        <f>$K$1128*$Y$1128</f>
        <v>0</v>
      </c>
      <c r="AF1128" s="6">
        <f ca="1">$M$1128*$Z$1128</f>
        <v>142681.35948977162</v>
      </c>
      <c r="AG1128" s="6">
        <f>$O$1128*$AA$1128</f>
        <v>376325.17051879939</v>
      </c>
    </row>
    <row r="1129" spans="1:33" ht="11.25" customHeight="1" x14ac:dyDescent="0.25">
      <c r="A1129" s="4" t="s">
        <v>27</v>
      </c>
      <c r="B1129" s="4" t="s">
        <v>33</v>
      </c>
      <c r="C1129" s="4" t="s">
        <v>34</v>
      </c>
      <c r="D1129" s="4" t="s">
        <v>47</v>
      </c>
      <c r="E1129" s="4" t="s">
        <v>25</v>
      </c>
      <c r="F1129" s="4" t="s">
        <v>25</v>
      </c>
      <c r="G1129" s="4" t="s">
        <v>25</v>
      </c>
      <c r="H1129" s="4" t="s">
        <v>36</v>
      </c>
      <c r="I1129" s="5">
        <v>43800</v>
      </c>
      <c r="J1129" s="6">
        <v>0</v>
      </c>
      <c r="K1129" s="71">
        <v>0</v>
      </c>
      <c r="L1129" s="6">
        <v>12.28</v>
      </c>
      <c r="M1129" s="71">
        <v>12.28</v>
      </c>
      <c r="N1129" s="6">
        <v>12.28</v>
      </c>
      <c r="O1129" s="71">
        <v>12.28</v>
      </c>
      <c r="P1129" s="6">
        <v>0</v>
      </c>
      <c r="Q1129" s="4" t="s">
        <v>26</v>
      </c>
      <c r="R1129" s="4">
        <v>0</v>
      </c>
      <c r="S1129" s="6">
        <v>0</v>
      </c>
      <c r="T1129" s="6">
        <v>28</v>
      </c>
      <c r="U1129" s="6">
        <v>82</v>
      </c>
      <c r="V1129" s="71">
        <f>IF(ISERROR(VLOOKUP($S$1129,'TAR FIN'!$A$1:$O$120,15,0)),0,VLOOKUP($S$1129,'TAR FIN'!$A$1:$O$120,15,0))</f>
        <v>0</v>
      </c>
      <c r="W1129" s="71">
        <f>IF(ISERROR(VLOOKUP($T$1129,'TAR FIN'!$A$1:$O$120,15,0)),0,VLOOKUP($T$1129,'TAR FIN'!$A$1:$O$120,15,0))*(1-0.08)</f>
        <v>77.694000000000003</v>
      </c>
      <c r="X1129" s="71">
        <f>IF(ISERROR(VLOOKUP($U$1129,'TAR FIN'!$A$1:$O$120,15,0)),0,VLOOKUP($U$1129,'TAR FIN'!$A$1:$O$120,15,0))*(1-0.08)</f>
        <v>235.86960000000002</v>
      </c>
      <c r="Y1129" s="71"/>
      <c r="Z1129" s="71">
        <f ca="1">('TUSD BE'!$AM$34+'TUSD BF'!$AM$34+'TUSD CVA'!$AM$34)*1*(1-0.06)</f>
        <v>82.268200247339408</v>
      </c>
      <c r="AA1129" s="71">
        <f>('TE BE'!$AA$11+'TE BF'!$AA$11+'TE CVA'!$AA$11)*1*(1-0.06)</f>
        <v>216.98415684477786</v>
      </c>
      <c r="AB1129" s="6">
        <f>$K$1129*$V$1129</f>
        <v>0</v>
      </c>
      <c r="AC1129" s="6">
        <f>$M$1129*$W$1129</f>
        <v>954.08231999999998</v>
      </c>
      <c r="AD1129" s="6">
        <f>$O$1129*$X$1129</f>
        <v>2896.4786880000001</v>
      </c>
      <c r="AE1129" s="6">
        <f>$K$1129*$Y$1129</f>
        <v>0</v>
      </c>
      <c r="AF1129" s="6">
        <f ca="1">$M$1129*$Z$1129</f>
        <v>1010.2534990373279</v>
      </c>
      <c r="AG1129" s="6">
        <f>$O$1129*$AA$1129</f>
        <v>2664.5654460538722</v>
      </c>
    </row>
    <row r="1130" spans="1:33" ht="11.25" customHeight="1" x14ac:dyDescent="0.25">
      <c r="A1130" s="4" t="s">
        <v>28</v>
      </c>
      <c r="B1130" s="4" t="s">
        <v>33</v>
      </c>
      <c r="C1130" s="4" t="s">
        <v>34</v>
      </c>
      <c r="D1130" s="4" t="s">
        <v>47</v>
      </c>
      <c r="E1130" s="4" t="s">
        <v>25</v>
      </c>
      <c r="F1130" s="4" t="s">
        <v>25</v>
      </c>
      <c r="G1130" s="4" t="s">
        <v>25</v>
      </c>
      <c r="H1130" s="4" t="s">
        <v>36</v>
      </c>
      <c r="I1130" s="5">
        <v>43800</v>
      </c>
      <c r="J1130" s="6">
        <v>0</v>
      </c>
      <c r="K1130" s="71">
        <v>0</v>
      </c>
      <c r="L1130" s="6">
        <v>37.652000000000001</v>
      </c>
      <c r="M1130" s="71">
        <v>37.652000000000001</v>
      </c>
      <c r="N1130" s="6">
        <v>37.652000000000001</v>
      </c>
      <c r="O1130" s="71">
        <v>37.652000000000001</v>
      </c>
      <c r="P1130" s="6">
        <v>0</v>
      </c>
      <c r="Q1130" s="4" t="s">
        <v>26</v>
      </c>
      <c r="R1130" s="4">
        <v>0</v>
      </c>
      <c r="S1130" s="6">
        <v>0</v>
      </c>
      <c r="T1130" s="6">
        <v>28</v>
      </c>
      <c r="U1130" s="6">
        <v>82</v>
      </c>
      <c r="V1130" s="71">
        <f>IF(ISERROR(VLOOKUP($S$1130,'TAR FIN'!$A$1:$O$120,15,0)),0,VLOOKUP($S$1130,'TAR FIN'!$A$1:$O$120,15,0))</f>
        <v>0</v>
      </c>
      <c r="W1130" s="71">
        <f>IF(ISERROR(VLOOKUP($T$1130,'TAR FIN'!$A$1:$O$120,15,0)),0,VLOOKUP($T$1130,'TAR FIN'!$A$1:$O$120,15,0))*(1-0.08)</f>
        <v>77.694000000000003</v>
      </c>
      <c r="X1130" s="71">
        <f>IF(ISERROR(VLOOKUP($U$1130,'TAR FIN'!$A$1:$O$120,15,0)),0,VLOOKUP($U$1130,'TAR FIN'!$A$1:$O$120,15,0))*(1-0.08)</f>
        <v>235.86960000000002</v>
      </c>
      <c r="Y1130" s="71"/>
      <c r="Z1130" s="71">
        <f ca="1">('TUSD BE'!$AM$34+'TUSD BF'!$AM$34+'TUSD CVA'!$AM$34)*1*(1-0.06)</f>
        <v>82.268200247339408</v>
      </c>
      <c r="AA1130" s="71">
        <f>('TE BE'!$AA$11+'TE BF'!$AA$11+'TE CVA'!$AA$11)*1*(1-0.06)</f>
        <v>216.98415684477786</v>
      </c>
      <c r="AB1130" s="6">
        <f>$K$1130*$V$1130</f>
        <v>0</v>
      </c>
      <c r="AC1130" s="6">
        <f>$M$1130*$W$1130</f>
        <v>2925.334488</v>
      </c>
      <c r="AD1130" s="6">
        <f>$O$1130*$X$1130</f>
        <v>8880.9621792000016</v>
      </c>
      <c r="AE1130" s="6">
        <f>$K$1130*$Y$1130</f>
        <v>0</v>
      </c>
      <c r="AF1130" s="6">
        <f ca="1">$M$1130*$Z$1130</f>
        <v>3097.5622757128235</v>
      </c>
      <c r="AG1130" s="6">
        <f>$O$1130*$AA$1130</f>
        <v>8169.8874735195759</v>
      </c>
    </row>
    <row r="1131" spans="1:33" ht="11.25" customHeight="1" x14ac:dyDescent="0.25">
      <c r="A1131" s="4" t="s">
        <v>21</v>
      </c>
      <c r="B1131" s="4" t="s">
        <v>33</v>
      </c>
      <c r="C1131" s="4" t="s">
        <v>34</v>
      </c>
      <c r="D1131" s="4" t="s">
        <v>47</v>
      </c>
      <c r="E1131" s="4" t="s">
        <v>25</v>
      </c>
      <c r="F1131" s="4" t="s">
        <v>25</v>
      </c>
      <c r="G1131" s="4" t="s">
        <v>25</v>
      </c>
      <c r="H1131" s="4" t="s">
        <v>36</v>
      </c>
      <c r="I1131" s="5">
        <v>43831</v>
      </c>
      <c r="J1131" s="6">
        <v>0</v>
      </c>
      <c r="K1131" s="71">
        <v>0</v>
      </c>
      <c r="L1131" s="6">
        <v>1598.2159999999999</v>
      </c>
      <c r="M1131" s="71">
        <v>1598.2159999999999</v>
      </c>
      <c r="N1131" s="6">
        <v>1598.2159999999999</v>
      </c>
      <c r="O1131" s="71">
        <v>1598.2159999999999</v>
      </c>
      <c r="P1131" s="6">
        <v>0</v>
      </c>
      <c r="Q1131" s="4" t="s">
        <v>26</v>
      </c>
      <c r="R1131" s="4">
        <v>0</v>
      </c>
      <c r="S1131" s="6">
        <v>0</v>
      </c>
      <c r="T1131" s="6">
        <v>28</v>
      </c>
      <c r="U1131" s="6">
        <v>82</v>
      </c>
      <c r="V1131" s="71">
        <f>IF(ISERROR(VLOOKUP($S$1131,'TAR FIN'!$A$1:$O$120,15,0)),0,VLOOKUP($S$1131,'TAR FIN'!$A$1:$O$120,15,0))</f>
        <v>0</v>
      </c>
      <c r="W1131" s="71">
        <f>IF(ISERROR(VLOOKUP($T$1131,'TAR FIN'!$A$1:$O$120,15,0)),0,VLOOKUP($T$1131,'TAR FIN'!$A$1:$O$120,15,0))*(1-0.08)</f>
        <v>77.694000000000003</v>
      </c>
      <c r="X1131" s="71">
        <f>IF(ISERROR(VLOOKUP($U$1131,'TAR FIN'!$A$1:$O$120,15,0)),0,VLOOKUP($U$1131,'TAR FIN'!$A$1:$O$120,15,0))*(1-0.08)</f>
        <v>235.86960000000002</v>
      </c>
      <c r="Y1131" s="71"/>
      <c r="Z1131" s="71">
        <f ca="1">('TUSD BE'!$AM$34+'TUSD BF'!$AM$34+'TUSD CVA'!$AM$34)*1*(1-0.06)</f>
        <v>82.268200247339408</v>
      </c>
      <c r="AA1131" s="71">
        <f>('TE BE'!$AA$11+'TE BF'!$AA$11+'TE CVA'!$AA$11)*1*(1-0.06)</f>
        <v>216.98415684477786</v>
      </c>
      <c r="AB1131" s="6">
        <f>$K$1131*$V$1131</f>
        <v>0</v>
      </c>
      <c r="AC1131" s="6">
        <f>$M$1131*$W$1131</f>
        <v>124171.79390399999</v>
      </c>
      <c r="AD1131" s="6">
        <f>$O$1131*$X$1131</f>
        <v>376970.56863360002</v>
      </c>
      <c r="AE1131" s="6">
        <f>$K$1131*$Y$1131</f>
        <v>0</v>
      </c>
      <c r="AF1131" s="6">
        <f ca="1">$M$1131*$Z$1131</f>
        <v>131482.35392650179</v>
      </c>
      <c r="AG1131" s="6">
        <f>$O$1131*$AA$1131</f>
        <v>346787.55121583346</v>
      </c>
    </row>
    <row r="1132" spans="1:33" ht="11.25" customHeight="1" x14ac:dyDescent="0.25">
      <c r="A1132" s="4" t="s">
        <v>27</v>
      </c>
      <c r="B1132" s="4" t="s">
        <v>33</v>
      </c>
      <c r="C1132" s="4" t="s">
        <v>34</v>
      </c>
      <c r="D1132" s="4" t="s">
        <v>47</v>
      </c>
      <c r="E1132" s="4" t="s">
        <v>25</v>
      </c>
      <c r="F1132" s="4" t="s">
        <v>25</v>
      </c>
      <c r="G1132" s="4" t="s">
        <v>25</v>
      </c>
      <c r="H1132" s="4" t="s">
        <v>36</v>
      </c>
      <c r="I1132" s="5">
        <v>43831</v>
      </c>
      <c r="J1132" s="6">
        <v>0</v>
      </c>
      <c r="K1132" s="71">
        <v>0</v>
      </c>
      <c r="L1132" s="6">
        <v>9.2140000000000004</v>
      </c>
      <c r="M1132" s="71">
        <v>9.2140000000000004</v>
      </c>
      <c r="N1132" s="6">
        <v>9.2140000000000004</v>
      </c>
      <c r="O1132" s="71">
        <v>9.2140000000000004</v>
      </c>
      <c r="P1132" s="6">
        <v>0</v>
      </c>
      <c r="Q1132" s="4" t="s">
        <v>26</v>
      </c>
      <c r="R1132" s="4">
        <v>0</v>
      </c>
      <c r="S1132" s="6">
        <v>0</v>
      </c>
      <c r="T1132" s="6">
        <v>28</v>
      </c>
      <c r="U1132" s="6">
        <v>82</v>
      </c>
      <c r="V1132" s="71">
        <f>IF(ISERROR(VLOOKUP($S$1132,'TAR FIN'!$A$1:$O$120,15,0)),0,VLOOKUP($S$1132,'TAR FIN'!$A$1:$O$120,15,0))</f>
        <v>0</v>
      </c>
      <c r="W1132" s="71">
        <f>IF(ISERROR(VLOOKUP($T$1132,'TAR FIN'!$A$1:$O$120,15,0)),0,VLOOKUP($T$1132,'TAR FIN'!$A$1:$O$120,15,0))*(1-0.08)</f>
        <v>77.694000000000003</v>
      </c>
      <c r="X1132" s="71">
        <f>IF(ISERROR(VLOOKUP($U$1132,'TAR FIN'!$A$1:$O$120,15,0)),0,VLOOKUP($U$1132,'TAR FIN'!$A$1:$O$120,15,0))*(1-0.08)</f>
        <v>235.86960000000002</v>
      </c>
      <c r="Y1132" s="71"/>
      <c r="Z1132" s="71">
        <f ca="1">('TUSD BE'!$AM$34+'TUSD BF'!$AM$34+'TUSD CVA'!$AM$34)*1*(1-0.06)</f>
        <v>82.268200247339408</v>
      </c>
      <c r="AA1132" s="71">
        <f>('TE BE'!$AA$11+'TE BF'!$AA$11+'TE CVA'!$AA$11)*1*(1-0.06)</f>
        <v>216.98415684477786</v>
      </c>
      <c r="AB1132" s="6">
        <f>$K$1132*$V$1132</f>
        <v>0</v>
      </c>
      <c r="AC1132" s="6">
        <f>$M$1132*$W$1132</f>
        <v>715.87251600000002</v>
      </c>
      <c r="AD1132" s="6">
        <f>$O$1132*$X$1132</f>
        <v>2173.3024944000003</v>
      </c>
      <c r="AE1132" s="6">
        <f>$K$1132*$Y$1132</f>
        <v>0</v>
      </c>
      <c r="AF1132" s="6">
        <f ca="1">$M$1132*$Z$1132</f>
        <v>758.01919707898537</v>
      </c>
      <c r="AG1132" s="6">
        <f>$O$1132*$AA$1132</f>
        <v>1999.2920211677833</v>
      </c>
    </row>
    <row r="1133" spans="1:33" ht="11.25" customHeight="1" x14ac:dyDescent="0.25">
      <c r="A1133" s="4" t="s">
        <v>28</v>
      </c>
      <c r="B1133" s="4" t="s">
        <v>33</v>
      </c>
      <c r="C1133" s="4" t="s">
        <v>34</v>
      </c>
      <c r="D1133" s="4" t="s">
        <v>47</v>
      </c>
      <c r="E1133" s="4" t="s">
        <v>25</v>
      </c>
      <c r="F1133" s="4" t="s">
        <v>25</v>
      </c>
      <c r="G1133" s="4" t="s">
        <v>25</v>
      </c>
      <c r="H1133" s="4" t="s">
        <v>36</v>
      </c>
      <c r="I1133" s="5">
        <v>43831</v>
      </c>
      <c r="J1133" s="6">
        <v>0</v>
      </c>
      <c r="K1133" s="71">
        <v>0</v>
      </c>
      <c r="L1133" s="6">
        <v>39.344000000000001</v>
      </c>
      <c r="M1133" s="71">
        <v>39.344000000000001</v>
      </c>
      <c r="N1133" s="6">
        <v>39.344000000000001</v>
      </c>
      <c r="O1133" s="71">
        <v>39.344000000000001</v>
      </c>
      <c r="P1133" s="6">
        <v>0</v>
      </c>
      <c r="Q1133" s="4" t="s">
        <v>26</v>
      </c>
      <c r="R1133" s="4">
        <v>0</v>
      </c>
      <c r="S1133" s="6">
        <v>0</v>
      </c>
      <c r="T1133" s="6">
        <v>28</v>
      </c>
      <c r="U1133" s="6">
        <v>82</v>
      </c>
      <c r="V1133" s="71">
        <f>IF(ISERROR(VLOOKUP($S$1133,'TAR FIN'!$A$1:$O$120,15,0)),0,VLOOKUP($S$1133,'TAR FIN'!$A$1:$O$120,15,0))</f>
        <v>0</v>
      </c>
      <c r="W1133" s="71">
        <f>IF(ISERROR(VLOOKUP($T$1133,'TAR FIN'!$A$1:$O$120,15,0)),0,VLOOKUP($T$1133,'TAR FIN'!$A$1:$O$120,15,0))*(1-0.08)</f>
        <v>77.694000000000003</v>
      </c>
      <c r="X1133" s="71">
        <f>IF(ISERROR(VLOOKUP($U$1133,'TAR FIN'!$A$1:$O$120,15,0)),0,VLOOKUP($U$1133,'TAR FIN'!$A$1:$O$120,15,0))*(1-0.08)</f>
        <v>235.86960000000002</v>
      </c>
      <c r="Y1133" s="71"/>
      <c r="Z1133" s="71">
        <f ca="1">('TUSD BE'!$AM$34+'TUSD BF'!$AM$34+'TUSD CVA'!$AM$34)*1*(1-0.06)</f>
        <v>82.268200247339408</v>
      </c>
      <c r="AA1133" s="71">
        <f>('TE BE'!$AA$11+'TE BF'!$AA$11+'TE CVA'!$AA$11)*1*(1-0.06)</f>
        <v>216.98415684477786</v>
      </c>
      <c r="AB1133" s="6">
        <f>$K$1133*$V$1133</f>
        <v>0</v>
      </c>
      <c r="AC1133" s="6">
        <f>$M$1133*$W$1133</f>
        <v>3056.7927360000003</v>
      </c>
      <c r="AD1133" s="6">
        <f>$O$1133*$X$1133</f>
        <v>9280.0535424000009</v>
      </c>
      <c r="AE1133" s="6">
        <f>$K$1133*$Y$1133</f>
        <v>0</v>
      </c>
      <c r="AF1133" s="6">
        <f ca="1">$M$1133*$Z$1133</f>
        <v>3236.7600705313216</v>
      </c>
      <c r="AG1133" s="6">
        <f>$O$1133*$AA$1133</f>
        <v>8537.0246669009412</v>
      </c>
    </row>
    <row r="1134" spans="1:33" ht="11.25" customHeight="1" x14ac:dyDescent="0.25">
      <c r="A1134" s="4" t="s">
        <v>21</v>
      </c>
      <c r="B1134" s="4" t="s">
        <v>33</v>
      </c>
      <c r="C1134" s="4" t="s">
        <v>34</v>
      </c>
      <c r="D1134" s="4" t="s">
        <v>47</v>
      </c>
      <c r="E1134" s="4" t="s">
        <v>25</v>
      </c>
      <c r="F1134" s="4" t="s">
        <v>25</v>
      </c>
      <c r="G1134" s="4" t="s">
        <v>25</v>
      </c>
      <c r="H1134" s="4" t="s">
        <v>36</v>
      </c>
      <c r="I1134" s="5">
        <v>43862</v>
      </c>
      <c r="J1134" s="6">
        <v>0</v>
      </c>
      <c r="K1134" s="71">
        <v>0</v>
      </c>
      <c r="L1134" s="6">
        <v>1710.1890000000001</v>
      </c>
      <c r="M1134" s="71">
        <v>1710.1890000000001</v>
      </c>
      <c r="N1134" s="6">
        <v>1710.1890000000001</v>
      </c>
      <c r="O1134" s="71">
        <v>1710.1890000000001</v>
      </c>
      <c r="P1134" s="6">
        <v>0</v>
      </c>
      <c r="Q1134" s="4" t="s">
        <v>26</v>
      </c>
      <c r="R1134" s="4">
        <v>0</v>
      </c>
      <c r="S1134" s="6">
        <v>0</v>
      </c>
      <c r="T1134" s="6">
        <v>28</v>
      </c>
      <c r="U1134" s="6">
        <v>82</v>
      </c>
      <c r="V1134" s="71">
        <f>IF(ISERROR(VLOOKUP($S$1134,'TAR FIN'!$A$1:$O$120,15,0)),0,VLOOKUP($S$1134,'TAR FIN'!$A$1:$O$120,15,0))</f>
        <v>0</v>
      </c>
      <c r="W1134" s="71">
        <f>IF(ISERROR(VLOOKUP($T$1134,'TAR FIN'!$A$1:$O$120,15,0)),0,VLOOKUP($T$1134,'TAR FIN'!$A$1:$O$120,15,0))*(1-0.08)</f>
        <v>77.694000000000003</v>
      </c>
      <c r="X1134" s="71">
        <f>IF(ISERROR(VLOOKUP($U$1134,'TAR FIN'!$A$1:$O$120,15,0)),0,VLOOKUP($U$1134,'TAR FIN'!$A$1:$O$120,15,0))*(1-0.08)</f>
        <v>235.86960000000002</v>
      </c>
      <c r="Y1134" s="71"/>
      <c r="Z1134" s="71">
        <f ca="1">('TUSD BE'!$AM$34+'TUSD BF'!$AM$34+'TUSD CVA'!$AM$34)*1*(1-0.06)</f>
        <v>82.268200247339408</v>
      </c>
      <c r="AA1134" s="71">
        <f>('TE BE'!$AA$11+'TE BF'!$AA$11+'TE CVA'!$AA$11)*1*(1-0.06)</f>
        <v>216.98415684477786</v>
      </c>
      <c r="AB1134" s="6">
        <f>$K$1134*$V$1134</f>
        <v>0</v>
      </c>
      <c r="AC1134" s="6">
        <f>$M$1134*$W$1134</f>
        <v>132871.42416600001</v>
      </c>
      <c r="AD1134" s="6">
        <f>$O$1134*$X$1134</f>
        <v>403381.59535440005</v>
      </c>
      <c r="AE1134" s="6">
        <f>$K$1134*$Y$1134</f>
        <v>0</v>
      </c>
      <c r="AF1134" s="6">
        <f ca="1">$M$1134*$Z$1134</f>
        <v>140694.17111279714</v>
      </c>
      <c r="AG1134" s="6">
        <f>$O$1134*$AA$1134</f>
        <v>371083.91821021383</v>
      </c>
    </row>
    <row r="1135" spans="1:33" ht="11.25" customHeight="1" x14ac:dyDescent="0.25">
      <c r="A1135" s="4" t="s">
        <v>27</v>
      </c>
      <c r="B1135" s="4" t="s">
        <v>33</v>
      </c>
      <c r="C1135" s="4" t="s">
        <v>34</v>
      </c>
      <c r="D1135" s="4" t="s">
        <v>47</v>
      </c>
      <c r="E1135" s="4" t="s">
        <v>25</v>
      </c>
      <c r="F1135" s="4" t="s">
        <v>25</v>
      </c>
      <c r="G1135" s="4" t="s">
        <v>25</v>
      </c>
      <c r="H1135" s="4" t="s">
        <v>36</v>
      </c>
      <c r="I1135" s="5">
        <v>43862</v>
      </c>
      <c r="J1135" s="6">
        <v>0</v>
      </c>
      <c r="K1135" s="71">
        <v>0</v>
      </c>
      <c r="L1135" s="6">
        <v>19.030999999999999</v>
      </c>
      <c r="M1135" s="71">
        <v>19.030999999999999</v>
      </c>
      <c r="N1135" s="6">
        <v>19.030999999999999</v>
      </c>
      <c r="O1135" s="71">
        <v>19.030999999999999</v>
      </c>
      <c r="P1135" s="6">
        <v>0</v>
      </c>
      <c r="Q1135" s="4" t="s">
        <v>26</v>
      </c>
      <c r="R1135" s="4">
        <v>0</v>
      </c>
      <c r="S1135" s="6">
        <v>0</v>
      </c>
      <c r="T1135" s="6">
        <v>28</v>
      </c>
      <c r="U1135" s="6">
        <v>82</v>
      </c>
      <c r="V1135" s="71">
        <f>IF(ISERROR(VLOOKUP($S$1135,'TAR FIN'!$A$1:$O$120,15,0)),0,VLOOKUP($S$1135,'TAR FIN'!$A$1:$O$120,15,0))</f>
        <v>0</v>
      </c>
      <c r="W1135" s="71">
        <f>IF(ISERROR(VLOOKUP($T$1135,'TAR FIN'!$A$1:$O$120,15,0)),0,VLOOKUP($T$1135,'TAR FIN'!$A$1:$O$120,15,0))*(1-0.08)</f>
        <v>77.694000000000003</v>
      </c>
      <c r="X1135" s="71">
        <f>IF(ISERROR(VLOOKUP($U$1135,'TAR FIN'!$A$1:$O$120,15,0)),0,VLOOKUP($U$1135,'TAR FIN'!$A$1:$O$120,15,0))*(1-0.08)</f>
        <v>235.86960000000002</v>
      </c>
      <c r="Y1135" s="71"/>
      <c r="Z1135" s="71">
        <f ca="1">('TUSD BE'!$AM$34+'TUSD BF'!$AM$34+'TUSD CVA'!$AM$34)*1*(1-0.06)</f>
        <v>82.268200247339408</v>
      </c>
      <c r="AA1135" s="71">
        <f>('TE BE'!$AA$11+'TE BF'!$AA$11+'TE CVA'!$AA$11)*1*(1-0.06)</f>
        <v>216.98415684477786</v>
      </c>
      <c r="AB1135" s="6">
        <f>$K$1135*$V$1135</f>
        <v>0</v>
      </c>
      <c r="AC1135" s="6">
        <f>$M$1135*$W$1135</f>
        <v>1478.5945139999999</v>
      </c>
      <c r="AD1135" s="6">
        <f>$O$1135*$X$1135</f>
        <v>4488.8343575999997</v>
      </c>
      <c r="AE1135" s="6">
        <f>$K$1135*$Y$1135</f>
        <v>0</v>
      </c>
      <c r="AF1135" s="6">
        <f ca="1">$M$1135*$Z$1135</f>
        <v>1565.6461189071163</v>
      </c>
      <c r="AG1135" s="6">
        <f>$O$1135*$AA$1135</f>
        <v>4129.425488912967</v>
      </c>
    </row>
    <row r="1136" spans="1:33" ht="11.25" customHeight="1" x14ac:dyDescent="0.25">
      <c r="A1136" s="4" t="s">
        <v>28</v>
      </c>
      <c r="B1136" s="4" t="s">
        <v>33</v>
      </c>
      <c r="C1136" s="4" t="s">
        <v>34</v>
      </c>
      <c r="D1136" s="4" t="s">
        <v>47</v>
      </c>
      <c r="E1136" s="4" t="s">
        <v>25</v>
      </c>
      <c r="F1136" s="4" t="s">
        <v>25</v>
      </c>
      <c r="G1136" s="4" t="s">
        <v>25</v>
      </c>
      <c r="H1136" s="4" t="s">
        <v>36</v>
      </c>
      <c r="I1136" s="5">
        <v>43862</v>
      </c>
      <c r="J1136" s="6">
        <v>0</v>
      </c>
      <c r="K1136" s="71">
        <v>0</v>
      </c>
      <c r="L1136" s="6">
        <v>39.936999999999998</v>
      </c>
      <c r="M1136" s="71">
        <v>39.936999999999998</v>
      </c>
      <c r="N1136" s="6">
        <v>39.936999999999998</v>
      </c>
      <c r="O1136" s="71">
        <v>39.936999999999998</v>
      </c>
      <c r="P1136" s="6">
        <v>0</v>
      </c>
      <c r="Q1136" s="4" t="s">
        <v>26</v>
      </c>
      <c r="R1136" s="4">
        <v>0</v>
      </c>
      <c r="S1136" s="6">
        <v>0</v>
      </c>
      <c r="T1136" s="6">
        <v>28</v>
      </c>
      <c r="U1136" s="6">
        <v>82</v>
      </c>
      <c r="V1136" s="71">
        <f>IF(ISERROR(VLOOKUP($S$1136,'TAR FIN'!$A$1:$O$120,15,0)),0,VLOOKUP($S$1136,'TAR FIN'!$A$1:$O$120,15,0))</f>
        <v>0</v>
      </c>
      <c r="W1136" s="71">
        <f>IF(ISERROR(VLOOKUP($T$1136,'TAR FIN'!$A$1:$O$120,15,0)),0,VLOOKUP($T$1136,'TAR FIN'!$A$1:$O$120,15,0))*(1-0.08)</f>
        <v>77.694000000000003</v>
      </c>
      <c r="X1136" s="71">
        <f>IF(ISERROR(VLOOKUP($U$1136,'TAR FIN'!$A$1:$O$120,15,0)),0,VLOOKUP($U$1136,'TAR FIN'!$A$1:$O$120,15,0))*(1-0.08)</f>
        <v>235.86960000000002</v>
      </c>
      <c r="Y1136" s="71"/>
      <c r="Z1136" s="71">
        <f ca="1">('TUSD BE'!$AM$34+'TUSD BF'!$AM$34+'TUSD CVA'!$AM$34)*1*(1-0.06)</f>
        <v>82.268200247339408</v>
      </c>
      <c r="AA1136" s="71">
        <f>('TE BE'!$AA$11+'TE BF'!$AA$11+'TE CVA'!$AA$11)*1*(1-0.06)</f>
        <v>216.98415684477786</v>
      </c>
      <c r="AB1136" s="6">
        <f>$K$1136*$V$1136</f>
        <v>0</v>
      </c>
      <c r="AC1136" s="6">
        <f>$M$1136*$W$1136</f>
        <v>3102.8652779999998</v>
      </c>
      <c r="AD1136" s="6">
        <f>$O$1136*$X$1136</f>
        <v>9419.9242152000006</v>
      </c>
      <c r="AE1136" s="6">
        <f>$K$1136*$Y$1136</f>
        <v>0</v>
      </c>
      <c r="AF1136" s="6">
        <f ca="1">$M$1136*$Z$1136</f>
        <v>3285.5451132779936</v>
      </c>
      <c r="AG1136" s="6">
        <f>$O$1136*$AA$1136</f>
        <v>8665.6962719098919</v>
      </c>
    </row>
    <row r="1137" spans="1:33" ht="11.25" customHeight="1" x14ac:dyDescent="0.25">
      <c r="A1137" s="4" t="s">
        <v>21</v>
      </c>
      <c r="B1137" s="4" t="s">
        <v>33</v>
      </c>
      <c r="C1137" s="4" t="s">
        <v>34</v>
      </c>
      <c r="D1137" s="4" t="s">
        <v>47</v>
      </c>
      <c r="E1137" s="4" t="s">
        <v>25</v>
      </c>
      <c r="F1137" s="4" t="s">
        <v>25</v>
      </c>
      <c r="G1137" s="4" t="s">
        <v>25</v>
      </c>
      <c r="H1137" s="4" t="s">
        <v>36</v>
      </c>
      <c r="I1137" s="5">
        <v>43891</v>
      </c>
      <c r="J1137" s="6">
        <v>0</v>
      </c>
      <c r="K1137" s="71">
        <v>0</v>
      </c>
      <c r="L1137" s="6">
        <v>2112.779</v>
      </c>
      <c r="M1137" s="71">
        <v>2112.779</v>
      </c>
      <c r="N1137" s="6">
        <v>2112.779</v>
      </c>
      <c r="O1137" s="71">
        <v>2112.779</v>
      </c>
      <c r="P1137" s="6">
        <v>0</v>
      </c>
      <c r="Q1137" s="4" t="s">
        <v>26</v>
      </c>
      <c r="R1137" s="4">
        <v>0</v>
      </c>
      <c r="S1137" s="6">
        <v>0</v>
      </c>
      <c r="T1137" s="6">
        <v>28</v>
      </c>
      <c r="U1137" s="6">
        <v>82</v>
      </c>
      <c r="V1137" s="71">
        <f>IF(ISERROR(VLOOKUP($S$1137,'TAR FIN'!$A$1:$O$120,15,0)),0,VLOOKUP($S$1137,'TAR FIN'!$A$1:$O$120,15,0))</f>
        <v>0</v>
      </c>
      <c r="W1137" s="71">
        <f>IF(ISERROR(VLOOKUP($T$1137,'TAR FIN'!$A$1:$O$120,15,0)),0,VLOOKUP($T$1137,'TAR FIN'!$A$1:$O$120,15,0))*(1-0.08)</f>
        <v>77.694000000000003</v>
      </c>
      <c r="X1137" s="71">
        <f>IF(ISERROR(VLOOKUP($U$1137,'TAR FIN'!$A$1:$O$120,15,0)),0,VLOOKUP($U$1137,'TAR FIN'!$A$1:$O$120,15,0))*(1-0.08)</f>
        <v>235.86960000000002</v>
      </c>
      <c r="Y1137" s="71"/>
      <c r="Z1137" s="71">
        <f ca="1">('TUSD BE'!$AM$34+'TUSD BF'!$AM$34+'TUSD CVA'!$AM$34)*1*(1-0.06)</f>
        <v>82.268200247339408</v>
      </c>
      <c r="AA1137" s="71">
        <f>('TE BE'!$AA$11+'TE BF'!$AA$11+'TE CVA'!$AA$11)*1*(1-0.06)</f>
        <v>216.98415684477786</v>
      </c>
      <c r="AB1137" s="6">
        <f>$K$1137*$V$1137</f>
        <v>0</v>
      </c>
      <c r="AC1137" s="6">
        <f>$M$1137*$W$1137</f>
        <v>164150.25162600001</v>
      </c>
      <c r="AD1137" s="6">
        <f>$O$1137*$X$1137</f>
        <v>498340.33761840005</v>
      </c>
      <c r="AE1137" s="6">
        <f>$K$1137*$Y$1137</f>
        <v>0</v>
      </c>
      <c r="AF1137" s="6">
        <f ca="1">$M$1137*$Z$1137</f>
        <v>173814.52585037349</v>
      </c>
      <c r="AG1137" s="6">
        <f>$O$1137*$AA$1137</f>
        <v>458439.56991435291</v>
      </c>
    </row>
    <row r="1138" spans="1:33" ht="11.25" customHeight="1" x14ac:dyDescent="0.25">
      <c r="A1138" s="4" t="s">
        <v>27</v>
      </c>
      <c r="B1138" s="4" t="s">
        <v>33</v>
      </c>
      <c r="C1138" s="4" t="s">
        <v>34</v>
      </c>
      <c r="D1138" s="4" t="s">
        <v>47</v>
      </c>
      <c r="E1138" s="4" t="s">
        <v>25</v>
      </c>
      <c r="F1138" s="4" t="s">
        <v>25</v>
      </c>
      <c r="G1138" s="4" t="s">
        <v>25</v>
      </c>
      <c r="H1138" s="4" t="s">
        <v>36</v>
      </c>
      <c r="I1138" s="5">
        <v>43891</v>
      </c>
      <c r="J1138" s="6">
        <v>0</v>
      </c>
      <c r="K1138" s="71">
        <v>0</v>
      </c>
      <c r="L1138" s="6">
        <v>16.46</v>
      </c>
      <c r="M1138" s="71">
        <v>16.46</v>
      </c>
      <c r="N1138" s="6">
        <v>16.46</v>
      </c>
      <c r="O1138" s="71">
        <v>16.46</v>
      </c>
      <c r="P1138" s="6">
        <v>0</v>
      </c>
      <c r="Q1138" s="4" t="s">
        <v>26</v>
      </c>
      <c r="R1138" s="4">
        <v>0</v>
      </c>
      <c r="S1138" s="6">
        <v>0</v>
      </c>
      <c r="T1138" s="6">
        <v>28</v>
      </c>
      <c r="U1138" s="6">
        <v>82</v>
      </c>
      <c r="V1138" s="71">
        <f>IF(ISERROR(VLOOKUP($S$1138,'TAR FIN'!$A$1:$O$120,15,0)),0,VLOOKUP($S$1138,'TAR FIN'!$A$1:$O$120,15,0))</f>
        <v>0</v>
      </c>
      <c r="W1138" s="71">
        <f>IF(ISERROR(VLOOKUP($T$1138,'TAR FIN'!$A$1:$O$120,15,0)),0,VLOOKUP($T$1138,'TAR FIN'!$A$1:$O$120,15,0))*(1-0.08)</f>
        <v>77.694000000000003</v>
      </c>
      <c r="X1138" s="71">
        <f>IF(ISERROR(VLOOKUP($U$1138,'TAR FIN'!$A$1:$O$120,15,0)),0,VLOOKUP($U$1138,'TAR FIN'!$A$1:$O$120,15,0))*(1-0.08)</f>
        <v>235.86960000000002</v>
      </c>
      <c r="Y1138" s="71"/>
      <c r="Z1138" s="71">
        <f ca="1">('TUSD BE'!$AM$34+'TUSD BF'!$AM$34+'TUSD CVA'!$AM$34)*1*(1-0.06)</f>
        <v>82.268200247339408</v>
      </c>
      <c r="AA1138" s="71">
        <f>('TE BE'!$AA$11+'TE BF'!$AA$11+'TE CVA'!$AA$11)*1*(1-0.06)</f>
        <v>216.98415684477786</v>
      </c>
      <c r="AB1138" s="6">
        <f>$K$1138*$V$1138</f>
        <v>0</v>
      </c>
      <c r="AC1138" s="6">
        <f>$M$1138*$W$1138</f>
        <v>1278.8432400000002</v>
      </c>
      <c r="AD1138" s="6">
        <f>$O$1138*$X$1138</f>
        <v>3882.4136160000007</v>
      </c>
      <c r="AE1138" s="6">
        <f>$K$1138*$Y$1138</f>
        <v>0</v>
      </c>
      <c r="AF1138" s="6">
        <f ca="1">$M$1138*$Z$1138</f>
        <v>1354.1345760712068</v>
      </c>
      <c r="AG1138" s="6">
        <f>$O$1138*$AA$1138</f>
        <v>3571.5592216650439</v>
      </c>
    </row>
    <row r="1139" spans="1:33" ht="11.25" customHeight="1" x14ac:dyDescent="0.25">
      <c r="A1139" s="4" t="s">
        <v>28</v>
      </c>
      <c r="B1139" s="4" t="s">
        <v>33</v>
      </c>
      <c r="C1139" s="4" t="s">
        <v>34</v>
      </c>
      <c r="D1139" s="4" t="s">
        <v>47</v>
      </c>
      <c r="E1139" s="4" t="s">
        <v>25</v>
      </c>
      <c r="F1139" s="4" t="s">
        <v>25</v>
      </c>
      <c r="G1139" s="4" t="s">
        <v>25</v>
      </c>
      <c r="H1139" s="4" t="s">
        <v>36</v>
      </c>
      <c r="I1139" s="5">
        <v>43891</v>
      </c>
      <c r="J1139" s="6">
        <v>0</v>
      </c>
      <c r="K1139" s="71">
        <v>0</v>
      </c>
      <c r="L1139" s="6">
        <v>54.99</v>
      </c>
      <c r="M1139" s="71">
        <v>54.99</v>
      </c>
      <c r="N1139" s="6">
        <v>54.99</v>
      </c>
      <c r="O1139" s="71">
        <v>54.99</v>
      </c>
      <c r="P1139" s="6">
        <v>0</v>
      </c>
      <c r="Q1139" s="4" t="s">
        <v>26</v>
      </c>
      <c r="R1139" s="4">
        <v>0</v>
      </c>
      <c r="S1139" s="6">
        <v>0</v>
      </c>
      <c r="T1139" s="6">
        <v>28</v>
      </c>
      <c r="U1139" s="6">
        <v>82</v>
      </c>
      <c r="V1139" s="71">
        <f>IF(ISERROR(VLOOKUP($S$1139,'TAR FIN'!$A$1:$O$120,15,0)),0,VLOOKUP($S$1139,'TAR FIN'!$A$1:$O$120,15,0))</f>
        <v>0</v>
      </c>
      <c r="W1139" s="71">
        <f>IF(ISERROR(VLOOKUP($T$1139,'TAR FIN'!$A$1:$O$120,15,0)),0,VLOOKUP($T$1139,'TAR FIN'!$A$1:$O$120,15,0))*(1-0.08)</f>
        <v>77.694000000000003</v>
      </c>
      <c r="X1139" s="71">
        <f>IF(ISERROR(VLOOKUP($U$1139,'TAR FIN'!$A$1:$O$120,15,0)),0,VLOOKUP($U$1139,'TAR FIN'!$A$1:$O$120,15,0))*(1-0.08)</f>
        <v>235.86960000000002</v>
      </c>
      <c r="Y1139" s="71"/>
      <c r="Z1139" s="71">
        <f ca="1">('TUSD BE'!$AM$34+'TUSD BF'!$AM$34+'TUSD CVA'!$AM$34)*1*(1-0.06)</f>
        <v>82.268200247339408</v>
      </c>
      <c r="AA1139" s="71">
        <f>('TE BE'!$AA$11+'TE BF'!$AA$11+'TE CVA'!$AA$11)*1*(1-0.06)</f>
        <v>216.98415684477786</v>
      </c>
      <c r="AB1139" s="6">
        <f>$K$1139*$V$1139</f>
        <v>0</v>
      </c>
      <c r="AC1139" s="6">
        <f>$M$1139*$W$1139</f>
        <v>4272.3930600000003</v>
      </c>
      <c r="AD1139" s="6">
        <f>$O$1139*$X$1139</f>
        <v>12970.469304000002</v>
      </c>
      <c r="AE1139" s="6">
        <f>$K$1139*$Y$1139</f>
        <v>0</v>
      </c>
      <c r="AF1139" s="6">
        <f ca="1">$M$1139*$Z$1139</f>
        <v>4523.9283316011943</v>
      </c>
      <c r="AG1139" s="6">
        <f>$O$1139*$AA$1139</f>
        <v>11931.958784894336</v>
      </c>
    </row>
    <row r="1140" spans="1:33" ht="11.25" customHeight="1" x14ac:dyDescent="0.25">
      <c r="A1140" s="4" t="s">
        <v>21</v>
      </c>
      <c r="B1140" s="4" t="s">
        <v>33</v>
      </c>
      <c r="C1140" s="4" t="s">
        <v>34</v>
      </c>
      <c r="D1140" s="4" t="s">
        <v>47</v>
      </c>
      <c r="E1140" s="4" t="s">
        <v>25</v>
      </c>
      <c r="F1140" s="4" t="s">
        <v>25</v>
      </c>
      <c r="G1140" s="4" t="s">
        <v>25</v>
      </c>
      <c r="H1140" s="4" t="s">
        <v>36</v>
      </c>
      <c r="I1140" s="5">
        <v>43922</v>
      </c>
      <c r="J1140" s="6">
        <v>0</v>
      </c>
      <c r="K1140" s="71">
        <v>0</v>
      </c>
      <c r="L1140" s="6">
        <v>2340.3690000000001</v>
      </c>
      <c r="M1140" s="71">
        <v>2340.3690000000001</v>
      </c>
      <c r="N1140" s="6">
        <v>2340.3690000000001</v>
      </c>
      <c r="O1140" s="71">
        <v>2340.3690000000001</v>
      </c>
      <c r="P1140" s="6">
        <v>0</v>
      </c>
      <c r="Q1140" s="4" t="s">
        <v>26</v>
      </c>
      <c r="R1140" s="4">
        <v>0</v>
      </c>
      <c r="S1140" s="6">
        <v>0</v>
      </c>
      <c r="T1140" s="6">
        <v>28</v>
      </c>
      <c r="U1140" s="6">
        <v>82</v>
      </c>
      <c r="V1140" s="71">
        <f>IF(ISERROR(VLOOKUP($S$1140,'TAR FIN'!$A$1:$O$120,15,0)),0,VLOOKUP($S$1140,'TAR FIN'!$A$1:$O$120,15,0))</f>
        <v>0</v>
      </c>
      <c r="W1140" s="71">
        <f>IF(ISERROR(VLOOKUP($T$1140,'TAR FIN'!$A$1:$O$120,15,0)),0,VLOOKUP($T$1140,'TAR FIN'!$A$1:$O$120,15,0))*(1-0.08)</f>
        <v>77.694000000000003</v>
      </c>
      <c r="X1140" s="71">
        <f>IF(ISERROR(VLOOKUP($U$1140,'TAR FIN'!$A$1:$O$120,15,0)),0,VLOOKUP($U$1140,'TAR FIN'!$A$1:$O$120,15,0))*(1-0.08)</f>
        <v>235.86960000000002</v>
      </c>
      <c r="Y1140" s="71"/>
      <c r="Z1140" s="71">
        <f ca="1">('TUSD BE'!$AM$34+'TUSD BF'!$AM$34+'TUSD CVA'!$AM$34)*1*(1-0.06)</f>
        <v>82.268200247339408</v>
      </c>
      <c r="AA1140" s="71">
        <f>('TE BE'!$AA$11+'TE BF'!$AA$11+'TE CVA'!$AA$11)*1*(1-0.06)</f>
        <v>216.98415684477786</v>
      </c>
      <c r="AB1140" s="6">
        <f>$K$1140*$V$1140</f>
        <v>0</v>
      </c>
      <c r="AC1140" s="6">
        <f>$M$1140*$W$1140</f>
        <v>181832.62908600003</v>
      </c>
      <c r="AD1140" s="6">
        <f>$O$1140*$X$1140</f>
        <v>552021.89988240006</v>
      </c>
      <c r="AE1140" s="6">
        <f>$K$1140*$Y$1140</f>
        <v>0</v>
      </c>
      <c r="AF1140" s="6">
        <f ca="1">$M$1140*$Z$1140</f>
        <v>192537.9455446655</v>
      </c>
      <c r="AG1140" s="6">
        <f>$O$1140*$AA$1140</f>
        <v>507822.99417065596</v>
      </c>
    </row>
    <row r="1141" spans="1:33" ht="11.25" customHeight="1" x14ac:dyDescent="0.25">
      <c r="A1141" s="4" t="s">
        <v>27</v>
      </c>
      <c r="B1141" s="4" t="s">
        <v>33</v>
      </c>
      <c r="C1141" s="4" t="s">
        <v>34</v>
      </c>
      <c r="D1141" s="4" t="s">
        <v>47</v>
      </c>
      <c r="E1141" s="4" t="s">
        <v>25</v>
      </c>
      <c r="F1141" s="4" t="s">
        <v>25</v>
      </c>
      <c r="G1141" s="4" t="s">
        <v>25</v>
      </c>
      <c r="H1141" s="4" t="s">
        <v>36</v>
      </c>
      <c r="I1141" s="5">
        <v>43922</v>
      </c>
      <c r="J1141" s="6">
        <v>0</v>
      </c>
      <c r="K1141" s="71">
        <v>0</v>
      </c>
      <c r="L1141" s="6">
        <v>35.110999999999997</v>
      </c>
      <c r="M1141" s="71">
        <v>35.110999999999997</v>
      </c>
      <c r="N1141" s="6">
        <v>35.110999999999997</v>
      </c>
      <c r="O1141" s="71">
        <v>35.110999999999997</v>
      </c>
      <c r="P1141" s="6">
        <v>0</v>
      </c>
      <c r="Q1141" s="4" t="s">
        <v>26</v>
      </c>
      <c r="R1141" s="4">
        <v>0</v>
      </c>
      <c r="S1141" s="6">
        <v>0</v>
      </c>
      <c r="T1141" s="6">
        <v>28</v>
      </c>
      <c r="U1141" s="6">
        <v>82</v>
      </c>
      <c r="V1141" s="71">
        <f>IF(ISERROR(VLOOKUP($S$1141,'TAR FIN'!$A$1:$O$120,15,0)),0,VLOOKUP($S$1141,'TAR FIN'!$A$1:$O$120,15,0))</f>
        <v>0</v>
      </c>
      <c r="W1141" s="71">
        <f>IF(ISERROR(VLOOKUP($T$1141,'TAR FIN'!$A$1:$O$120,15,0)),0,VLOOKUP($T$1141,'TAR FIN'!$A$1:$O$120,15,0))*(1-0.08)</f>
        <v>77.694000000000003</v>
      </c>
      <c r="X1141" s="71">
        <f>IF(ISERROR(VLOOKUP($U$1141,'TAR FIN'!$A$1:$O$120,15,0)),0,VLOOKUP($U$1141,'TAR FIN'!$A$1:$O$120,15,0))*(1-0.08)</f>
        <v>235.86960000000002</v>
      </c>
      <c r="Y1141" s="71"/>
      <c r="Z1141" s="71">
        <f ca="1">('TUSD BE'!$AM$34+'TUSD BF'!$AM$34+'TUSD CVA'!$AM$34)*1*(1-0.06)</f>
        <v>82.268200247339408</v>
      </c>
      <c r="AA1141" s="71">
        <f>('TE BE'!$AA$11+'TE BF'!$AA$11+'TE CVA'!$AA$11)*1*(1-0.06)</f>
        <v>216.98415684477786</v>
      </c>
      <c r="AB1141" s="6">
        <f>$K$1141*$V$1141</f>
        <v>0</v>
      </c>
      <c r="AC1141" s="6">
        <f>$M$1141*$W$1141</f>
        <v>2727.9140339999999</v>
      </c>
      <c r="AD1141" s="6">
        <f>$O$1141*$X$1141</f>
        <v>8281.6175256000006</v>
      </c>
      <c r="AE1141" s="6">
        <f>$K$1141*$Y$1141</f>
        <v>0</v>
      </c>
      <c r="AF1141" s="6">
        <f ca="1">$M$1141*$Z$1141</f>
        <v>2888.5187788843336</v>
      </c>
      <c r="AG1141" s="6">
        <f>$O$1141*$AA$1141</f>
        <v>7618.5307309769951</v>
      </c>
    </row>
    <row r="1142" spans="1:33" ht="11.25" customHeight="1" x14ac:dyDescent="0.25">
      <c r="A1142" s="4" t="s">
        <v>28</v>
      </c>
      <c r="B1142" s="4" t="s">
        <v>33</v>
      </c>
      <c r="C1142" s="4" t="s">
        <v>34</v>
      </c>
      <c r="D1142" s="4" t="s">
        <v>47</v>
      </c>
      <c r="E1142" s="4" t="s">
        <v>25</v>
      </c>
      <c r="F1142" s="4" t="s">
        <v>25</v>
      </c>
      <c r="G1142" s="4" t="s">
        <v>25</v>
      </c>
      <c r="H1142" s="4" t="s">
        <v>36</v>
      </c>
      <c r="I1142" s="5">
        <v>43922</v>
      </c>
      <c r="J1142" s="6">
        <v>0</v>
      </c>
      <c r="K1142" s="71">
        <v>0</v>
      </c>
      <c r="L1142" s="6">
        <v>59.365000000000002</v>
      </c>
      <c r="M1142" s="71">
        <v>59.365000000000002</v>
      </c>
      <c r="N1142" s="6">
        <v>59.365000000000002</v>
      </c>
      <c r="O1142" s="71">
        <v>59.365000000000002</v>
      </c>
      <c r="P1142" s="6">
        <v>0</v>
      </c>
      <c r="Q1142" s="4" t="s">
        <v>26</v>
      </c>
      <c r="R1142" s="4">
        <v>0</v>
      </c>
      <c r="S1142" s="6">
        <v>0</v>
      </c>
      <c r="T1142" s="6">
        <v>28</v>
      </c>
      <c r="U1142" s="6">
        <v>82</v>
      </c>
      <c r="V1142" s="71">
        <f>IF(ISERROR(VLOOKUP($S$1142,'TAR FIN'!$A$1:$O$120,15,0)),0,VLOOKUP($S$1142,'TAR FIN'!$A$1:$O$120,15,0))</f>
        <v>0</v>
      </c>
      <c r="W1142" s="71">
        <f>IF(ISERROR(VLOOKUP($T$1142,'TAR FIN'!$A$1:$O$120,15,0)),0,VLOOKUP($T$1142,'TAR FIN'!$A$1:$O$120,15,0))*(1-0.08)</f>
        <v>77.694000000000003</v>
      </c>
      <c r="X1142" s="71">
        <f>IF(ISERROR(VLOOKUP($U$1142,'TAR FIN'!$A$1:$O$120,15,0)),0,VLOOKUP($U$1142,'TAR FIN'!$A$1:$O$120,15,0))*(1-0.08)</f>
        <v>235.86960000000002</v>
      </c>
      <c r="Y1142" s="71"/>
      <c r="Z1142" s="71">
        <f ca="1">('TUSD BE'!$AM$34+'TUSD BF'!$AM$34+'TUSD CVA'!$AM$34)*1*(1-0.06)</f>
        <v>82.268200247339408</v>
      </c>
      <c r="AA1142" s="71">
        <f>('TE BE'!$AA$11+'TE BF'!$AA$11+'TE CVA'!$AA$11)*1*(1-0.06)</f>
        <v>216.98415684477786</v>
      </c>
      <c r="AB1142" s="6">
        <f>$K$1142*$V$1142</f>
        <v>0</v>
      </c>
      <c r="AC1142" s="6">
        <f>$M$1142*$W$1142</f>
        <v>4612.3043100000004</v>
      </c>
      <c r="AD1142" s="6">
        <f>$O$1142*$X$1142</f>
        <v>14002.398804000002</v>
      </c>
      <c r="AE1142" s="6">
        <f>$K$1142*$Y$1142</f>
        <v>0</v>
      </c>
      <c r="AF1142" s="6">
        <f ca="1">$M$1142*$Z$1142</f>
        <v>4883.8517076833041</v>
      </c>
      <c r="AG1142" s="6">
        <f>$O$1142*$AA$1142</f>
        <v>12881.264471090239</v>
      </c>
    </row>
    <row r="1143" spans="1:33" ht="11.25" customHeight="1" x14ac:dyDescent="0.25">
      <c r="A1143" s="4" t="s">
        <v>21</v>
      </c>
      <c r="B1143" s="4" t="s">
        <v>33</v>
      </c>
      <c r="C1143" s="4" t="s">
        <v>34</v>
      </c>
      <c r="D1143" s="4" t="s">
        <v>47</v>
      </c>
      <c r="E1143" s="4" t="s">
        <v>25</v>
      </c>
      <c r="F1143" s="4" t="s">
        <v>25</v>
      </c>
      <c r="G1143" s="4" t="s">
        <v>25</v>
      </c>
      <c r="H1143" s="4" t="s">
        <v>36</v>
      </c>
      <c r="I1143" s="5">
        <v>43952</v>
      </c>
      <c r="J1143" s="6">
        <v>0</v>
      </c>
      <c r="K1143" s="71">
        <v>0</v>
      </c>
      <c r="L1143" s="6">
        <v>1884.789</v>
      </c>
      <c r="M1143" s="71">
        <v>1884.789</v>
      </c>
      <c r="N1143" s="6">
        <v>1884.789</v>
      </c>
      <c r="O1143" s="71">
        <v>1884.789</v>
      </c>
      <c r="P1143" s="6">
        <v>0</v>
      </c>
      <c r="Q1143" s="4" t="s">
        <v>26</v>
      </c>
      <c r="R1143" s="4">
        <v>0</v>
      </c>
      <c r="S1143" s="6">
        <v>0</v>
      </c>
      <c r="T1143" s="6">
        <v>28</v>
      </c>
      <c r="U1143" s="6">
        <v>82</v>
      </c>
      <c r="V1143" s="71">
        <f>IF(ISERROR(VLOOKUP($S$1143,'TAR FIN'!$A$1:$O$120,15,0)),0,VLOOKUP($S$1143,'TAR FIN'!$A$1:$O$120,15,0))</f>
        <v>0</v>
      </c>
      <c r="W1143" s="71">
        <f>IF(ISERROR(VLOOKUP($T$1143,'TAR FIN'!$A$1:$O$120,15,0)),0,VLOOKUP($T$1143,'TAR FIN'!$A$1:$O$120,15,0))*(1-0.08)</f>
        <v>77.694000000000003</v>
      </c>
      <c r="X1143" s="71">
        <f>IF(ISERROR(VLOOKUP($U$1143,'TAR FIN'!$A$1:$O$120,15,0)),0,VLOOKUP($U$1143,'TAR FIN'!$A$1:$O$120,15,0))*(1-0.08)</f>
        <v>235.86960000000002</v>
      </c>
      <c r="Y1143" s="71"/>
      <c r="Z1143" s="71">
        <f ca="1">('TUSD BE'!$AM$34+'TUSD BF'!$AM$34+'TUSD CVA'!$AM$34)*1*(1-0.06)</f>
        <v>82.268200247339408</v>
      </c>
      <c r="AA1143" s="71">
        <f>('TE BE'!$AA$11+'TE BF'!$AA$11+'TE CVA'!$AA$11)*1*(1-0.06)</f>
        <v>216.98415684477786</v>
      </c>
      <c r="AB1143" s="6">
        <f>$K$1143*$V$1143</f>
        <v>0</v>
      </c>
      <c r="AC1143" s="6">
        <f>$M$1143*$W$1143</f>
        <v>146436.796566</v>
      </c>
      <c r="AD1143" s="6">
        <f>$O$1143*$X$1143</f>
        <v>444564.42751440004</v>
      </c>
      <c r="AE1143" s="6">
        <f>$K$1143*$Y$1143</f>
        <v>0</v>
      </c>
      <c r="AF1143" s="6">
        <f ca="1">$M$1143*$Z$1143</f>
        <v>155058.19887598261</v>
      </c>
      <c r="AG1143" s="6">
        <f>$O$1143*$AA$1143</f>
        <v>408969.35199531203</v>
      </c>
    </row>
    <row r="1144" spans="1:33" ht="11.25" customHeight="1" x14ac:dyDescent="0.25">
      <c r="A1144" s="4" t="s">
        <v>27</v>
      </c>
      <c r="B1144" s="4" t="s">
        <v>33</v>
      </c>
      <c r="C1144" s="4" t="s">
        <v>34</v>
      </c>
      <c r="D1144" s="4" t="s">
        <v>47</v>
      </c>
      <c r="E1144" s="4" t="s">
        <v>25</v>
      </c>
      <c r="F1144" s="4" t="s">
        <v>25</v>
      </c>
      <c r="G1144" s="4" t="s">
        <v>25</v>
      </c>
      <c r="H1144" s="4" t="s">
        <v>36</v>
      </c>
      <c r="I1144" s="5">
        <v>43952</v>
      </c>
      <c r="J1144" s="6">
        <v>0</v>
      </c>
      <c r="K1144" s="71">
        <v>0</v>
      </c>
      <c r="L1144" s="6">
        <v>27.236000000000001</v>
      </c>
      <c r="M1144" s="71">
        <v>27.236000000000001</v>
      </c>
      <c r="N1144" s="6">
        <v>27.236000000000001</v>
      </c>
      <c r="O1144" s="71">
        <v>27.236000000000001</v>
      </c>
      <c r="P1144" s="6">
        <v>0</v>
      </c>
      <c r="Q1144" s="4" t="s">
        <v>26</v>
      </c>
      <c r="R1144" s="4">
        <v>0</v>
      </c>
      <c r="S1144" s="6">
        <v>0</v>
      </c>
      <c r="T1144" s="6">
        <v>28</v>
      </c>
      <c r="U1144" s="6">
        <v>82</v>
      </c>
      <c r="V1144" s="71">
        <f>IF(ISERROR(VLOOKUP($S$1144,'TAR FIN'!$A$1:$O$120,15,0)),0,VLOOKUP($S$1144,'TAR FIN'!$A$1:$O$120,15,0))</f>
        <v>0</v>
      </c>
      <c r="W1144" s="71">
        <f>IF(ISERROR(VLOOKUP($T$1144,'TAR FIN'!$A$1:$O$120,15,0)),0,VLOOKUP($T$1144,'TAR FIN'!$A$1:$O$120,15,0))*(1-0.08)</f>
        <v>77.694000000000003</v>
      </c>
      <c r="X1144" s="71">
        <f>IF(ISERROR(VLOOKUP($U$1144,'TAR FIN'!$A$1:$O$120,15,0)),0,VLOOKUP($U$1144,'TAR FIN'!$A$1:$O$120,15,0))*(1-0.08)</f>
        <v>235.86960000000002</v>
      </c>
      <c r="Y1144" s="71"/>
      <c r="Z1144" s="71">
        <f ca="1">('TUSD BE'!$AM$34+'TUSD BF'!$AM$34+'TUSD CVA'!$AM$34)*1*(1-0.06)</f>
        <v>82.268200247339408</v>
      </c>
      <c r="AA1144" s="71">
        <f>('TE BE'!$AA$11+'TE BF'!$AA$11+'TE CVA'!$AA$11)*1*(1-0.06)</f>
        <v>216.98415684477786</v>
      </c>
      <c r="AB1144" s="6">
        <f>$K$1144*$V$1144</f>
        <v>0</v>
      </c>
      <c r="AC1144" s="6">
        <f>$M$1144*$W$1144</f>
        <v>2116.0737840000002</v>
      </c>
      <c r="AD1144" s="6">
        <f>$O$1144*$X$1144</f>
        <v>6424.1444256000004</v>
      </c>
      <c r="AE1144" s="6">
        <f>$K$1144*$Y$1144</f>
        <v>0</v>
      </c>
      <c r="AF1144" s="6">
        <f ca="1">$M$1144*$Z$1144</f>
        <v>2240.6567019365361</v>
      </c>
      <c r="AG1144" s="6">
        <f>$O$1144*$AA$1144</f>
        <v>5909.7804958243696</v>
      </c>
    </row>
    <row r="1145" spans="1:33" ht="11.25" customHeight="1" x14ac:dyDescent="0.25">
      <c r="A1145" s="4" t="s">
        <v>28</v>
      </c>
      <c r="B1145" s="4" t="s">
        <v>33</v>
      </c>
      <c r="C1145" s="4" t="s">
        <v>34</v>
      </c>
      <c r="D1145" s="4" t="s">
        <v>47</v>
      </c>
      <c r="E1145" s="4" t="s">
        <v>25</v>
      </c>
      <c r="F1145" s="4" t="s">
        <v>25</v>
      </c>
      <c r="G1145" s="4" t="s">
        <v>25</v>
      </c>
      <c r="H1145" s="4" t="s">
        <v>36</v>
      </c>
      <c r="I1145" s="5">
        <v>43952</v>
      </c>
      <c r="J1145" s="6">
        <v>0</v>
      </c>
      <c r="K1145" s="71">
        <v>0</v>
      </c>
      <c r="L1145" s="6">
        <v>81.884</v>
      </c>
      <c r="M1145" s="71">
        <v>81.884</v>
      </c>
      <c r="N1145" s="6">
        <v>81.884</v>
      </c>
      <c r="O1145" s="71">
        <v>81.884</v>
      </c>
      <c r="P1145" s="6">
        <v>0</v>
      </c>
      <c r="Q1145" s="4" t="s">
        <v>26</v>
      </c>
      <c r="R1145" s="4">
        <v>0</v>
      </c>
      <c r="S1145" s="6">
        <v>0</v>
      </c>
      <c r="T1145" s="6">
        <v>28</v>
      </c>
      <c r="U1145" s="6">
        <v>82</v>
      </c>
      <c r="V1145" s="71">
        <f>IF(ISERROR(VLOOKUP($S$1145,'TAR FIN'!$A$1:$O$120,15,0)),0,VLOOKUP($S$1145,'TAR FIN'!$A$1:$O$120,15,0))</f>
        <v>0</v>
      </c>
      <c r="W1145" s="71">
        <f>IF(ISERROR(VLOOKUP($T$1145,'TAR FIN'!$A$1:$O$120,15,0)),0,VLOOKUP($T$1145,'TAR FIN'!$A$1:$O$120,15,0))*(1-0.08)</f>
        <v>77.694000000000003</v>
      </c>
      <c r="X1145" s="71">
        <f>IF(ISERROR(VLOOKUP($U$1145,'TAR FIN'!$A$1:$O$120,15,0)),0,VLOOKUP($U$1145,'TAR FIN'!$A$1:$O$120,15,0))*(1-0.08)</f>
        <v>235.86960000000002</v>
      </c>
      <c r="Y1145" s="71"/>
      <c r="Z1145" s="71">
        <f ca="1">('TUSD BE'!$AM$34+'TUSD BF'!$AM$34+'TUSD CVA'!$AM$34)*1*(1-0.06)</f>
        <v>82.268200247339408</v>
      </c>
      <c r="AA1145" s="71">
        <f>('TE BE'!$AA$11+'TE BF'!$AA$11+'TE CVA'!$AA$11)*1*(1-0.06)</f>
        <v>216.98415684477786</v>
      </c>
      <c r="AB1145" s="6">
        <f>$K$1145*$V$1145</f>
        <v>0</v>
      </c>
      <c r="AC1145" s="6">
        <f>$M$1145*$W$1145</f>
        <v>6361.8954960000001</v>
      </c>
      <c r="AD1145" s="6">
        <f>$O$1145*$X$1145</f>
        <v>19313.946326400001</v>
      </c>
      <c r="AE1145" s="6">
        <f>$K$1145*$Y$1145</f>
        <v>0</v>
      </c>
      <c r="AF1145" s="6">
        <f ca="1">$M$1145*$Z$1145</f>
        <v>6736.4493090531405</v>
      </c>
      <c r="AG1145" s="6">
        <f>$O$1145*$AA$1145</f>
        <v>17767.53069907779</v>
      </c>
    </row>
    <row r="1146" spans="1:33" ht="11.25" customHeight="1" x14ac:dyDescent="0.25">
      <c r="A1146" s="4" t="s">
        <v>21</v>
      </c>
      <c r="B1146" s="4" t="s">
        <v>33</v>
      </c>
      <c r="C1146" s="4" t="s">
        <v>34</v>
      </c>
      <c r="D1146" s="4" t="s">
        <v>47</v>
      </c>
      <c r="E1146" s="4" t="s">
        <v>25</v>
      </c>
      <c r="F1146" s="4" t="s">
        <v>25</v>
      </c>
      <c r="G1146" s="4" t="s">
        <v>25</v>
      </c>
      <c r="H1146" s="4" t="s">
        <v>36</v>
      </c>
      <c r="I1146" s="5">
        <v>43983</v>
      </c>
      <c r="J1146" s="6">
        <v>0</v>
      </c>
      <c r="K1146" s="71">
        <v>0</v>
      </c>
      <c r="L1146" s="6">
        <v>1796.68</v>
      </c>
      <c r="M1146" s="71">
        <v>1796.68</v>
      </c>
      <c r="N1146" s="6">
        <v>1796.68</v>
      </c>
      <c r="O1146" s="71">
        <v>1796.68</v>
      </c>
      <c r="P1146" s="6">
        <v>0</v>
      </c>
      <c r="Q1146" s="4" t="s">
        <v>26</v>
      </c>
      <c r="R1146" s="4">
        <v>0</v>
      </c>
      <c r="S1146" s="6">
        <v>0</v>
      </c>
      <c r="T1146" s="6">
        <v>28</v>
      </c>
      <c r="U1146" s="6">
        <v>82</v>
      </c>
      <c r="V1146" s="71">
        <f>IF(ISERROR(VLOOKUP($S$1146,'TAR FIN'!$A$1:$O$120,15,0)),0,VLOOKUP($S$1146,'TAR FIN'!$A$1:$O$120,15,0))</f>
        <v>0</v>
      </c>
      <c r="W1146" s="71">
        <f>IF(ISERROR(VLOOKUP($T$1146,'TAR FIN'!$A$1:$O$120,15,0)),0,VLOOKUP($T$1146,'TAR FIN'!$A$1:$O$120,15,0))*(1-0.08)</f>
        <v>77.694000000000003</v>
      </c>
      <c r="X1146" s="71">
        <f>IF(ISERROR(VLOOKUP($U$1146,'TAR FIN'!$A$1:$O$120,15,0)),0,VLOOKUP($U$1146,'TAR FIN'!$A$1:$O$120,15,0))*(1-0.08)</f>
        <v>235.86960000000002</v>
      </c>
      <c r="Y1146" s="71"/>
      <c r="Z1146" s="71">
        <f ca="1">('TUSD BE'!$AM$34+'TUSD BF'!$AM$34+'TUSD CVA'!$AM$34)*1*(1-0.06)</f>
        <v>82.268200247339408</v>
      </c>
      <c r="AA1146" s="71">
        <f>('TE BE'!$AA$11+'TE BF'!$AA$11+'TE CVA'!$AA$11)*1*(1-0.06)</f>
        <v>216.98415684477786</v>
      </c>
      <c r="AB1146" s="6">
        <f>$K$1146*$V$1146</f>
        <v>0</v>
      </c>
      <c r="AC1146" s="6">
        <f>$M$1146*$W$1146</f>
        <v>139591.25592</v>
      </c>
      <c r="AD1146" s="6">
        <f>$O$1146*$X$1146</f>
        <v>423782.19292800006</v>
      </c>
      <c r="AE1146" s="6">
        <f>$K$1146*$Y$1146</f>
        <v>0</v>
      </c>
      <c r="AF1146" s="6">
        <f ca="1">$M$1146*$Z$1146</f>
        <v>147809.63002038977</v>
      </c>
      <c r="AG1146" s="6">
        <f>$O$1146*$AA$1146</f>
        <v>389851.0949198755</v>
      </c>
    </row>
    <row r="1147" spans="1:33" ht="11.25" customHeight="1" x14ac:dyDescent="0.25">
      <c r="A1147" s="4" t="s">
        <v>27</v>
      </c>
      <c r="B1147" s="4" t="s">
        <v>33</v>
      </c>
      <c r="C1147" s="4" t="s">
        <v>34</v>
      </c>
      <c r="D1147" s="4" t="s">
        <v>47</v>
      </c>
      <c r="E1147" s="4" t="s">
        <v>25</v>
      </c>
      <c r="F1147" s="4" t="s">
        <v>25</v>
      </c>
      <c r="G1147" s="4" t="s">
        <v>25</v>
      </c>
      <c r="H1147" s="4" t="s">
        <v>36</v>
      </c>
      <c r="I1147" s="5">
        <v>43983</v>
      </c>
      <c r="J1147" s="6">
        <v>0</v>
      </c>
      <c r="K1147" s="71">
        <v>0</v>
      </c>
      <c r="L1147" s="6">
        <v>25.707999999999998</v>
      </c>
      <c r="M1147" s="71">
        <v>25.707999999999998</v>
      </c>
      <c r="N1147" s="6">
        <v>25.707999999999998</v>
      </c>
      <c r="O1147" s="71">
        <v>25.707999999999998</v>
      </c>
      <c r="P1147" s="6">
        <v>0</v>
      </c>
      <c r="Q1147" s="4" t="s">
        <v>26</v>
      </c>
      <c r="R1147" s="4">
        <v>0</v>
      </c>
      <c r="S1147" s="6">
        <v>0</v>
      </c>
      <c r="T1147" s="6">
        <v>28</v>
      </c>
      <c r="U1147" s="6">
        <v>82</v>
      </c>
      <c r="V1147" s="71">
        <f>IF(ISERROR(VLOOKUP($S$1147,'TAR FIN'!$A$1:$O$120,15,0)),0,VLOOKUP($S$1147,'TAR FIN'!$A$1:$O$120,15,0))</f>
        <v>0</v>
      </c>
      <c r="W1147" s="71">
        <f>IF(ISERROR(VLOOKUP($T$1147,'TAR FIN'!$A$1:$O$120,15,0)),0,VLOOKUP($T$1147,'TAR FIN'!$A$1:$O$120,15,0))*(1-0.08)</f>
        <v>77.694000000000003</v>
      </c>
      <c r="X1147" s="71">
        <f>IF(ISERROR(VLOOKUP($U$1147,'TAR FIN'!$A$1:$O$120,15,0)),0,VLOOKUP($U$1147,'TAR FIN'!$A$1:$O$120,15,0))*(1-0.08)</f>
        <v>235.86960000000002</v>
      </c>
      <c r="Y1147" s="71"/>
      <c r="Z1147" s="71">
        <f ca="1">('TUSD BE'!$AM$34+'TUSD BF'!$AM$34+'TUSD CVA'!$AM$34)*1*(1-0.06)</f>
        <v>82.268200247339408</v>
      </c>
      <c r="AA1147" s="71">
        <f>('TE BE'!$AA$11+'TE BF'!$AA$11+'TE CVA'!$AA$11)*1*(1-0.06)</f>
        <v>216.98415684477786</v>
      </c>
      <c r="AB1147" s="6">
        <f>$K$1147*$V$1147</f>
        <v>0</v>
      </c>
      <c r="AC1147" s="6">
        <f>$M$1147*$W$1147</f>
        <v>1997.357352</v>
      </c>
      <c r="AD1147" s="6">
        <f>$O$1147*$X$1147</f>
        <v>6063.7356768</v>
      </c>
      <c r="AE1147" s="6">
        <f>$K$1147*$Y$1147</f>
        <v>0</v>
      </c>
      <c r="AF1147" s="6">
        <f ca="1">$M$1147*$Z$1147</f>
        <v>2114.9508919586015</v>
      </c>
      <c r="AG1147" s="6">
        <f>$O$1147*$AA$1147</f>
        <v>5578.2287041655491</v>
      </c>
    </row>
    <row r="1148" spans="1:33" ht="11.25" customHeight="1" x14ac:dyDescent="0.25">
      <c r="A1148" s="4" t="s">
        <v>28</v>
      </c>
      <c r="B1148" s="4" t="s">
        <v>33</v>
      </c>
      <c r="C1148" s="4" t="s">
        <v>34</v>
      </c>
      <c r="D1148" s="4" t="s">
        <v>47</v>
      </c>
      <c r="E1148" s="4" t="s">
        <v>25</v>
      </c>
      <c r="F1148" s="4" t="s">
        <v>25</v>
      </c>
      <c r="G1148" s="4" t="s">
        <v>25</v>
      </c>
      <c r="H1148" s="4" t="s">
        <v>36</v>
      </c>
      <c r="I1148" s="5">
        <v>43983</v>
      </c>
      <c r="J1148" s="6">
        <v>0</v>
      </c>
      <c r="K1148" s="71">
        <v>0</v>
      </c>
      <c r="L1148" s="6">
        <v>62.497999999999998</v>
      </c>
      <c r="M1148" s="71">
        <v>62.497999999999998</v>
      </c>
      <c r="N1148" s="6">
        <v>62.497999999999998</v>
      </c>
      <c r="O1148" s="71">
        <v>62.497999999999998</v>
      </c>
      <c r="P1148" s="6">
        <v>0</v>
      </c>
      <c r="Q1148" s="4" t="s">
        <v>26</v>
      </c>
      <c r="R1148" s="4">
        <v>0</v>
      </c>
      <c r="S1148" s="6">
        <v>0</v>
      </c>
      <c r="T1148" s="6">
        <v>28</v>
      </c>
      <c r="U1148" s="6">
        <v>82</v>
      </c>
      <c r="V1148" s="71">
        <f>IF(ISERROR(VLOOKUP($S$1148,'TAR FIN'!$A$1:$O$120,15,0)),0,VLOOKUP($S$1148,'TAR FIN'!$A$1:$O$120,15,0))</f>
        <v>0</v>
      </c>
      <c r="W1148" s="71">
        <f>IF(ISERROR(VLOOKUP($T$1148,'TAR FIN'!$A$1:$O$120,15,0)),0,VLOOKUP($T$1148,'TAR FIN'!$A$1:$O$120,15,0))*(1-0.08)</f>
        <v>77.694000000000003</v>
      </c>
      <c r="X1148" s="71">
        <f>IF(ISERROR(VLOOKUP($U$1148,'TAR FIN'!$A$1:$O$120,15,0)),0,VLOOKUP($U$1148,'TAR FIN'!$A$1:$O$120,15,0))*(1-0.08)</f>
        <v>235.86960000000002</v>
      </c>
      <c r="Y1148" s="71"/>
      <c r="Z1148" s="71">
        <f ca="1">('TUSD BE'!$AM$34+'TUSD BF'!$AM$34+'TUSD CVA'!$AM$34)*1*(1-0.06)</f>
        <v>82.268200247339408</v>
      </c>
      <c r="AA1148" s="71">
        <f>('TE BE'!$AA$11+'TE BF'!$AA$11+'TE CVA'!$AA$11)*1*(1-0.06)</f>
        <v>216.98415684477786</v>
      </c>
      <c r="AB1148" s="6">
        <f>$K$1148*$V$1148</f>
        <v>0</v>
      </c>
      <c r="AC1148" s="6">
        <f>$M$1148*$W$1148</f>
        <v>4855.7196119999999</v>
      </c>
      <c r="AD1148" s="6">
        <f>$O$1148*$X$1148</f>
        <v>14741.3782608</v>
      </c>
      <c r="AE1148" s="6">
        <f>$K$1148*$Y$1148</f>
        <v>0</v>
      </c>
      <c r="AF1148" s="6">
        <f ca="1">$M$1148*$Z$1148</f>
        <v>5141.5979790582178</v>
      </c>
      <c r="AG1148" s="6">
        <f>$O$1148*$AA$1148</f>
        <v>13561.075834484926</v>
      </c>
    </row>
    <row r="1149" spans="1:33" ht="11.25" customHeight="1" x14ac:dyDescent="0.25">
      <c r="A1149" s="4" t="s">
        <v>21</v>
      </c>
      <c r="B1149" s="4" t="s">
        <v>33</v>
      </c>
      <c r="C1149" s="4" t="s">
        <v>34</v>
      </c>
      <c r="D1149" s="4" t="s">
        <v>47</v>
      </c>
      <c r="E1149" s="4" t="s">
        <v>25</v>
      </c>
      <c r="F1149" s="4" t="s">
        <v>25</v>
      </c>
      <c r="G1149" s="4" t="s">
        <v>25</v>
      </c>
      <c r="H1149" s="4" t="s">
        <v>36</v>
      </c>
      <c r="I1149" s="5">
        <v>44013</v>
      </c>
      <c r="J1149" s="6">
        <v>0</v>
      </c>
      <c r="K1149" s="71">
        <v>0</v>
      </c>
      <c r="L1149" s="6">
        <v>1713.537</v>
      </c>
      <c r="M1149" s="71">
        <v>1713.537</v>
      </c>
      <c r="N1149" s="6">
        <v>1713.537</v>
      </c>
      <c r="O1149" s="71">
        <v>1713.537</v>
      </c>
      <c r="P1149" s="6">
        <v>0</v>
      </c>
      <c r="Q1149" s="4" t="s">
        <v>26</v>
      </c>
      <c r="R1149" s="4">
        <v>0</v>
      </c>
      <c r="S1149" s="6">
        <v>0</v>
      </c>
      <c r="T1149" s="6">
        <v>28</v>
      </c>
      <c r="U1149" s="6">
        <v>82</v>
      </c>
      <c r="V1149" s="71">
        <f>IF(ISERROR(VLOOKUP($S$1149,'TAR FIN'!$A$1:$O$120,15,0)),0,VLOOKUP($S$1149,'TAR FIN'!$A$1:$O$120,15,0))</f>
        <v>0</v>
      </c>
      <c r="W1149" s="71">
        <f>IF(ISERROR(VLOOKUP($T$1149,'TAR FIN'!$A$1:$O$120,15,0)),0,VLOOKUP($T$1149,'TAR FIN'!$A$1:$O$120,15,0))*(1-0.08)</f>
        <v>77.694000000000003</v>
      </c>
      <c r="X1149" s="71">
        <f>IF(ISERROR(VLOOKUP($U$1149,'TAR FIN'!$A$1:$O$120,15,0)),0,VLOOKUP($U$1149,'TAR FIN'!$A$1:$O$120,15,0))*(1-0.08)</f>
        <v>235.86960000000002</v>
      </c>
      <c r="Y1149" s="71"/>
      <c r="Z1149" s="71">
        <f ca="1">('TUSD BE'!$AM$34+'TUSD BF'!$AM$34+'TUSD CVA'!$AM$34)*1*(1-0.06)</f>
        <v>82.268200247339408</v>
      </c>
      <c r="AA1149" s="71">
        <f>('TE BE'!$AA$11+'TE BF'!$AA$11+'TE CVA'!$AA$11)*1*(1-0.06)</f>
        <v>216.98415684477786</v>
      </c>
      <c r="AB1149" s="6">
        <f>$K$1149*$V$1149</f>
        <v>0</v>
      </c>
      <c r="AC1149" s="6">
        <f>$M$1149*$W$1149</f>
        <v>133131.54367800002</v>
      </c>
      <c r="AD1149" s="6">
        <f>$O$1149*$X$1149</f>
        <v>404171.28677520005</v>
      </c>
      <c r="AE1149" s="6">
        <f>$K$1149*$Y$1149</f>
        <v>0</v>
      </c>
      <c r="AF1149" s="6">
        <f ca="1">$M$1149*$Z$1149</f>
        <v>140969.60504722522</v>
      </c>
      <c r="AG1149" s="6">
        <f>$O$1149*$AA$1149</f>
        <v>371810.38116733014</v>
      </c>
    </row>
    <row r="1150" spans="1:33" ht="11.25" customHeight="1" x14ac:dyDescent="0.25">
      <c r="A1150" s="4" t="s">
        <v>27</v>
      </c>
      <c r="B1150" s="4" t="s">
        <v>33</v>
      </c>
      <c r="C1150" s="4" t="s">
        <v>34</v>
      </c>
      <c r="D1150" s="4" t="s">
        <v>47</v>
      </c>
      <c r="E1150" s="4" t="s">
        <v>25</v>
      </c>
      <c r="F1150" s="4" t="s">
        <v>25</v>
      </c>
      <c r="G1150" s="4" t="s">
        <v>25</v>
      </c>
      <c r="H1150" s="4" t="s">
        <v>36</v>
      </c>
      <c r="I1150" s="5">
        <v>44013</v>
      </c>
      <c r="J1150" s="6">
        <v>0</v>
      </c>
      <c r="K1150" s="71">
        <v>0</v>
      </c>
      <c r="L1150" s="6">
        <v>47.707999999999998</v>
      </c>
      <c r="M1150" s="71">
        <v>47.707999999999998</v>
      </c>
      <c r="N1150" s="6">
        <v>47.707999999999998</v>
      </c>
      <c r="O1150" s="71">
        <v>47.707999999999998</v>
      </c>
      <c r="P1150" s="6">
        <v>0</v>
      </c>
      <c r="Q1150" s="4" t="s">
        <v>26</v>
      </c>
      <c r="R1150" s="4">
        <v>0</v>
      </c>
      <c r="S1150" s="6">
        <v>0</v>
      </c>
      <c r="T1150" s="6">
        <v>28</v>
      </c>
      <c r="U1150" s="6">
        <v>82</v>
      </c>
      <c r="V1150" s="71">
        <f>IF(ISERROR(VLOOKUP($S$1150,'TAR FIN'!$A$1:$O$120,15,0)),0,VLOOKUP($S$1150,'TAR FIN'!$A$1:$O$120,15,0))</f>
        <v>0</v>
      </c>
      <c r="W1150" s="71">
        <f>IF(ISERROR(VLOOKUP($T$1150,'TAR FIN'!$A$1:$O$120,15,0)),0,VLOOKUP($T$1150,'TAR FIN'!$A$1:$O$120,15,0))*(1-0.08)</f>
        <v>77.694000000000003</v>
      </c>
      <c r="X1150" s="71">
        <f>IF(ISERROR(VLOOKUP($U$1150,'TAR FIN'!$A$1:$O$120,15,0)),0,VLOOKUP($U$1150,'TAR FIN'!$A$1:$O$120,15,0))*(1-0.08)</f>
        <v>235.86960000000002</v>
      </c>
      <c r="Y1150" s="71"/>
      <c r="Z1150" s="71">
        <f ca="1">('TUSD BE'!$AM$34+'TUSD BF'!$AM$34+'TUSD CVA'!$AM$34)*1*(1-0.06)</f>
        <v>82.268200247339408</v>
      </c>
      <c r="AA1150" s="71">
        <f>('TE BE'!$AA$11+'TE BF'!$AA$11+'TE CVA'!$AA$11)*1*(1-0.06)</f>
        <v>216.98415684477786</v>
      </c>
      <c r="AB1150" s="6">
        <f>$K$1150*$V$1150</f>
        <v>0</v>
      </c>
      <c r="AC1150" s="6">
        <f>$M$1150*$W$1150</f>
        <v>3706.625352</v>
      </c>
      <c r="AD1150" s="6">
        <f>$O$1150*$X$1150</f>
        <v>11252.866876800001</v>
      </c>
      <c r="AE1150" s="6">
        <f>$K$1150*$Y$1150</f>
        <v>0</v>
      </c>
      <c r="AF1150" s="6">
        <f ca="1">$M$1150*$Z$1150</f>
        <v>3924.8512974000682</v>
      </c>
      <c r="AG1150" s="6">
        <f>$O$1150*$AA$1150</f>
        <v>10351.880154750661</v>
      </c>
    </row>
    <row r="1151" spans="1:33" ht="11.25" customHeight="1" x14ac:dyDescent="0.25">
      <c r="A1151" s="4" t="s">
        <v>28</v>
      </c>
      <c r="B1151" s="4" t="s">
        <v>33</v>
      </c>
      <c r="C1151" s="4" t="s">
        <v>34</v>
      </c>
      <c r="D1151" s="4" t="s">
        <v>47</v>
      </c>
      <c r="E1151" s="4" t="s">
        <v>25</v>
      </c>
      <c r="F1151" s="4" t="s">
        <v>25</v>
      </c>
      <c r="G1151" s="4" t="s">
        <v>25</v>
      </c>
      <c r="H1151" s="4" t="s">
        <v>36</v>
      </c>
      <c r="I1151" s="5">
        <v>44013</v>
      </c>
      <c r="J1151" s="6">
        <v>0</v>
      </c>
      <c r="K1151" s="71">
        <v>0</v>
      </c>
      <c r="L1151" s="6">
        <v>226.25800000000001</v>
      </c>
      <c r="M1151" s="71">
        <v>226.25800000000001</v>
      </c>
      <c r="N1151" s="6">
        <v>226.25800000000001</v>
      </c>
      <c r="O1151" s="71">
        <v>226.25800000000001</v>
      </c>
      <c r="P1151" s="6">
        <v>0</v>
      </c>
      <c r="Q1151" s="4" t="s">
        <v>26</v>
      </c>
      <c r="R1151" s="4">
        <v>0</v>
      </c>
      <c r="S1151" s="6">
        <v>0</v>
      </c>
      <c r="T1151" s="6">
        <v>28</v>
      </c>
      <c r="U1151" s="6">
        <v>82</v>
      </c>
      <c r="V1151" s="71">
        <f>IF(ISERROR(VLOOKUP($S$1151,'TAR FIN'!$A$1:$O$120,15,0)),0,VLOOKUP($S$1151,'TAR FIN'!$A$1:$O$120,15,0))</f>
        <v>0</v>
      </c>
      <c r="W1151" s="71">
        <f>IF(ISERROR(VLOOKUP($T$1151,'TAR FIN'!$A$1:$O$120,15,0)),0,VLOOKUP($T$1151,'TAR FIN'!$A$1:$O$120,15,0))*(1-0.08)</f>
        <v>77.694000000000003</v>
      </c>
      <c r="X1151" s="71">
        <f>IF(ISERROR(VLOOKUP($U$1151,'TAR FIN'!$A$1:$O$120,15,0)),0,VLOOKUP($U$1151,'TAR FIN'!$A$1:$O$120,15,0))*(1-0.08)</f>
        <v>235.86960000000002</v>
      </c>
      <c r="Y1151" s="71"/>
      <c r="Z1151" s="71">
        <f ca="1">('TUSD BE'!$AM$34+'TUSD BF'!$AM$34+'TUSD CVA'!$AM$34)*1*(1-0.06)</f>
        <v>82.268200247339408</v>
      </c>
      <c r="AA1151" s="71">
        <f>('TE BE'!$AA$11+'TE BF'!$AA$11+'TE CVA'!$AA$11)*1*(1-0.06)</f>
        <v>216.98415684477786</v>
      </c>
      <c r="AB1151" s="6">
        <f>$K$1151*$V$1151</f>
        <v>0</v>
      </c>
      <c r="AC1151" s="6">
        <f>$M$1151*$W$1151</f>
        <v>17578.889052000002</v>
      </c>
      <c r="AD1151" s="6">
        <f>$O$1151*$X$1151</f>
        <v>53367.383956800004</v>
      </c>
      <c r="AE1151" s="6">
        <f>$K$1151*$Y$1151</f>
        <v>0</v>
      </c>
      <c r="AF1151" s="6">
        <f ca="1">$M$1151*$Z$1151</f>
        <v>18613.838451562522</v>
      </c>
      <c r="AG1151" s="6">
        <f>$O$1151*$AA$1151</f>
        <v>49094.401359385753</v>
      </c>
    </row>
    <row r="1152" spans="1:33" ht="11.25" customHeight="1" x14ac:dyDescent="0.25">
      <c r="A1152" s="4" t="s">
        <v>21</v>
      </c>
      <c r="B1152" s="4" t="s">
        <v>33</v>
      </c>
      <c r="C1152" s="4" t="s">
        <v>34</v>
      </c>
      <c r="D1152" s="4" t="s">
        <v>47</v>
      </c>
      <c r="E1152" s="4" t="s">
        <v>25</v>
      </c>
      <c r="F1152" s="4" t="s">
        <v>25</v>
      </c>
      <c r="G1152" s="4" t="s">
        <v>25</v>
      </c>
      <c r="H1152" s="4" t="s">
        <v>36</v>
      </c>
      <c r="I1152" s="5">
        <v>44044</v>
      </c>
      <c r="J1152" s="6">
        <v>0</v>
      </c>
      <c r="K1152" s="71">
        <v>0</v>
      </c>
      <c r="L1152" s="6">
        <v>1814.5129999999999</v>
      </c>
      <c r="M1152" s="71">
        <v>1814.5129999999999</v>
      </c>
      <c r="N1152" s="6">
        <v>1814.5129999999999</v>
      </c>
      <c r="O1152" s="71">
        <v>1814.5129999999999</v>
      </c>
      <c r="P1152" s="6">
        <v>0</v>
      </c>
      <c r="Q1152" s="4" t="s">
        <v>26</v>
      </c>
      <c r="R1152" s="4">
        <v>0</v>
      </c>
      <c r="S1152" s="6">
        <v>0</v>
      </c>
      <c r="T1152" s="6">
        <v>28</v>
      </c>
      <c r="U1152" s="6">
        <v>82</v>
      </c>
      <c r="V1152" s="71">
        <f>IF(ISERROR(VLOOKUP($S$1152,'TAR FIN'!$A$1:$O$120,15,0)),0,VLOOKUP($S$1152,'TAR FIN'!$A$1:$O$120,15,0))</f>
        <v>0</v>
      </c>
      <c r="W1152" s="71">
        <f>IF(ISERROR(VLOOKUP($T$1152,'TAR FIN'!$A$1:$O$120,15,0)),0,VLOOKUP($T$1152,'TAR FIN'!$A$1:$O$120,15,0))*(1-0.08)</f>
        <v>77.694000000000003</v>
      </c>
      <c r="X1152" s="71">
        <f>IF(ISERROR(VLOOKUP($U$1152,'TAR FIN'!$A$1:$O$120,15,0)),0,VLOOKUP($U$1152,'TAR FIN'!$A$1:$O$120,15,0))*(1-0.08)</f>
        <v>235.86960000000002</v>
      </c>
      <c r="Y1152" s="71"/>
      <c r="Z1152" s="71">
        <f ca="1">('TUSD BE'!$AM$34+'TUSD BF'!$AM$34+'TUSD CVA'!$AM$34)*1*(1-0.06)</f>
        <v>82.268200247339408</v>
      </c>
      <c r="AA1152" s="71">
        <f>('TE BE'!$AA$11+'TE BF'!$AA$11+'TE CVA'!$AA$11)*1*(1-0.06)</f>
        <v>216.98415684477786</v>
      </c>
      <c r="AB1152" s="6">
        <f>$K$1152*$V$1152</f>
        <v>0</v>
      </c>
      <c r="AC1152" s="6">
        <f>$M$1152*$W$1152</f>
        <v>140976.77302200001</v>
      </c>
      <c r="AD1152" s="6">
        <f>$O$1152*$X$1152</f>
        <v>427988.45550480002</v>
      </c>
      <c r="AE1152" s="6">
        <f>$K$1152*$Y$1152</f>
        <v>0</v>
      </c>
      <c r="AF1152" s="6">
        <f ca="1">$M$1152*$Z$1152</f>
        <v>149276.71883540056</v>
      </c>
      <c r="AG1152" s="6">
        <f>$O$1152*$AA$1152</f>
        <v>393720.57338888838</v>
      </c>
    </row>
    <row r="1153" spans="1:33" ht="11.25" customHeight="1" x14ac:dyDescent="0.25">
      <c r="A1153" s="4" t="s">
        <v>27</v>
      </c>
      <c r="B1153" s="4" t="s">
        <v>33</v>
      </c>
      <c r="C1153" s="4" t="s">
        <v>34</v>
      </c>
      <c r="D1153" s="4" t="s">
        <v>47</v>
      </c>
      <c r="E1153" s="4" t="s">
        <v>25</v>
      </c>
      <c r="F1153" s="4" t="s">
        <v>25</v>
      </c>
      <c r="G1153" s="4" t="s">
        <v>25</v>
      </c>
      <c r="H1153" s="4" t="s">
        <v>36</v>
      </c>
      <c r="I1153" s="5">
        <v>44044</v>
      </c>
      <c r="J1153" s="6">
        <v>0</v>
      </c>
      <c r="K1153" s="71">
        <v>0</v>
      </c>
      <c r="L1153" s="6">
        <v>48.156999999999996</v>
      </c>
      <c r="M1153" s="71">
        <v>48.156999999999996</v>
      </c>
      <c r="N1153" s="6">
        <v>48.156999999999996</v>
      </c>
      <c r="O1153" s="71">
        <v>48.156999999999996</v>
      </c>
      <c r="P1153" s="6">
        <v>0</v>
      </c>
      <c r="Q1153" s="4" t="s">
        <v>26</v>
      </c>
      <c r="R1153" s="4">
        <v>0</v>
      </c>
      <c r="S1153" s="6">
        <v>0</v>
      </c>
      <c r="T1153" s="6">
        <v>28</v>
      </c>
      <c r="U1153" s="6">
        <v>82</v>
      </c>
      <c r="V1153" s="71">
        <f>IF(ISERROR(VLOOKUP($S$1153,'TAR FIN'!$A$1:$O$120,15,0)),0,VLOOKUP($S$1153,'TAR FIN'!$A$1:$O$120,15,0))</f>
        <v>0</v>
      </c>
      <c r="W1153" s="71">
        <f>IF(ISERROR(VLOOKUP($T$1153,'TAR FIN'!$A$1:$O$120,15,0)),0,VLOOKUP($T$1153,'TAR FIN'!$A$1:$O$120,15,0))*(1-0.08)</f>
        <v>77.694000000000003</v>
      </c>
      <c r="X1153" s="71">
        <f>IF(ISERROR(VLOOKUP($U$1153,'TAR FIN'!$A$1:$O$120,15,0)),0,VLOOKUP($U$1153,'TAR FIN'!$A$1:$O$120,15,0))*(1-0.08)</f>
        <v>235.86960000000002</v>
      </c>
      <c r="Y1153" s="71"/>
      <c r="Z1153" s="71">
        <f ca="1">('TUSD BE'!$AM$34+'TUSD BF'!$AM$34+'TUSD CVA'!$AM$34)*1*(1-0.06)</f>
        <v>82.268200247339408</v>
      </c>
      <c r="AA1153" s="71">
        <f>('TE BE'!$AA$11+'TE BF'!$AA$11+'TE CVA'!$AA$11)*1*(1-0.06)</f>
        <v>216.98415684477786</v>
      </c>
      <c r="AB1153" s="6">
        <f>$K$1153*$V$1153</f>
        <v>0</v>
      </c>
      <c r="AC1153" s="6">
        <f>$M$1153*$W$1153</f>
        <v>3741.5099579999996</v>
      </c>
      <c r="AD1153" s="6">
        <f>$O$1153*$X$1153</f>
        <v>11358.7723272</v>
      </c>
      <c r="AE1153" s="6">
        <f>$K$1153*$Y$1153</f>
        <v>0</v>
      </c>
      <c r="AF1153" s="6">
        <f ca="1">$M$1153*$Z$1153</f>
        <v>3961.7897193111235</v>
      </c>
      <c r="AG1153" s="6">
        <f>$O$1153*$AA$1153</f>
        <v>10449.306041173966</v>
      </c>
    </row>
    <row r="1154" spans="1:33" ht="11.25" customHeight="1" x14ac:dyDescent="0.25">
      <c r="A1154" s="4" t="s">
        <v>28</v>
      </c>
      <c r="B1154" s="4" t="s">
        <v>33</v>
      </c>
      <c r="C1154" s="4" t="s">
        <v>34</v>
      </c>
      <c r="D1154" s="4" t="s">
        <v>47</v>
      </c>
      <c r="E1154" s="4" t="s">
        <v>25</v>
      </c>
      <c r="F1154" s="4" t="s">
        <v>25</v>
      </c>
      <c r="G1154" s="4" t="s">
        <v>25</v>
      </c>
      <c r="H1154" s="4" t="s">
        <v>36</v>
      </c>
      <c r="I1154" s="5">
        <v>44044</v>
      </c>
      <c r="J1154" s="6">
        <v>0</v>
      </c>
      <c r="K1154" s="71">
        <v>0</v>
      </c>
      <c r="L1154" s="6">
        <v>251.316</v>
      </c>
      <c r="M1154" s="71">
        <v>251.316</v>
      </c>
      <c r="N1154" s="6">
        <v>251.316</v>
      </c>
      <c r="O1154" s="71">
        <v>251.316</v>
      </c>
      <c r="P1154" s="6">
        <v>0</v>
      </c>
      <c r="Q1154" s="4" t="s">
        <v>26</v>
      </c>
      <c r="R1154" s="4">
        <v>0</v>
      </c>
      <c r="S1154" s="6">
        <v>0</v>
      </c>
      <c r="T1154" s="6">
        <v>28</v>
      </c>
      <c r="U1154" s="6">
        <v>82</v>
      </c>
      <c r="V1154" s="71">
        <f>IF(ISERROR(VLOOKUP($S$1154,'TAR FIN'!$A$1:$O$120,15,0)),0,VLOOKUP($S$1154,'TAR FIN'!$A$1:$O$120,15,0))</f>
        <v>0</v>
      </c>
      <c r="W1154" s="71">
        <f>IF(ISERROR(VLOOKUP($T$1154,'TAR FIN'!$A$1:$O$120,15,0)),0,VLOOKUP($T$1154,'TAR FIN'!$A$1:$O$120,15,0))*(1-0.08)</f>
        <v>77.694000000000003</v>
      </c>
      <c r="X1154" s="71">
        <f>IF(ISERROR(VLOOKUP($U$1154,'TAR FIN'!$A$1:$O$120,15,0)),0,VLOOKUP($U$1154,'TAR FIN'!$A$1:$O$120,15,0))*(1-0.08)</f>
        <v>235.86960000000002</v>
      </c>
      <c r="Y1154" s="71"/>
      <c r="Z1154" s="71">
        <f ca="1">('TUSD BE'!$AM$34+'TUSD BF'!$AM$34+'TUSD CVA'!$AM$34)*1*(1-0.06)</f>
        <v>82.268200247339408</v>
      </c>
      <c r="AA1154" s="71">
        <f>('TE BE'!$AA$11+'TE BF'!$AA$11+'TE CVA'!$AA$11)*1*(1-0.06)</f>
        <v>216.98415684477786</v>
      </c>
      <c r="AB1154" s="6">
        <f>$K$1154*$V$1154</f>
        <v>0</v>
      </c>
      <c r="AC1154" s="6">
        <f>$M$1154*$W$1154</f>
        <v>19525.745304</v>
      </c>
      <c r="AD1154" s="6">
        <f>$O$1154*$X$1154</f>
        <v>59277.804393600003</v>
      </c>
      <c r="AE1154" s="6">
        <f>$K$1154*$Y$1154</f>
        <v>0</v>
      </c>
      <c r="AF1154" s="6">
        <f ca="1">$M$1154*$Z$1154</f>
        <v>20675.315013360352</v>
      </c>
      <c r="AG1154" s="6">
        <f>$O$1154*$AA$1154</f>
        <v>54531.59036160219</v>
      </c>
    </row>
    <row r="1155" spans="1:33" ht="11.25" customHeight="1" x14ac:dyDescent="0.25">
      <c r="A1155" s="4" t="s">
        <v>59</v>
      </c>
      <c r="B1155" s="4" t="s">
        <v>33</v>
      </c>
      <c r="C1155" s="4" t="s">
        <v>34</v>
      </c>
      <c r="D1155" s="4" t="s">
        <v>47</v>
      </c>
      <c r="E1155" s="4" t="s">
        <v>25</v>
      </c>
      <c r="F1155" s="4" t="s">
        <v>25</v>
      </c>
      <c r="G1155" s="4" t="s">
        <v>25</v>
      </c>
      <c r="H1155" s="4" t="s">
        <v>36</v>
      </c>
      <c r="I1155" s="5">
        <v>44075</v>
      </c>
      <c r="J1155" s="6">
        <v>0</v>
      </c>
      <c r="K1155" s="71">
        <v>0</v>
      </c>
      <c r="L1155" s="6">
        <v>1814.5129999999999</v>
      </c>
      <c r="M1155" s="71">
        <v>1814.5129999999999</v>
      </c>
      <c r="N1155" s="6">
        <v>1814.5129999999999</v>
      </c>
      <c r="O1155" s="71">
        <v>1814.5129999999999</v>
      </c>
      <c r="P1155" s="6">
        <v>0</v>
      </c>
      <c r="Q1155" s="4" t="s">
        <v>26</v>
      </c>
      <c r="R1155" s="4">
        <v>0</v>
      </c>
      <c r="S1155" s="6">
        <v>0</v>
      </c>
      <c r="T1155" s="6">
        <v>28</v>
      </c>
      <c r="U1155" s="6">
        <v>82</v>
      </c>
      <c r="V1155" s="71">
        <f>IF(ISERROR(VLOOKUP($S$1155,'TAR FIN'!$A$1:$O$120,15,0)),0,VLOOKUP($S$1155,'TAR FIN'!$A$1:$O$120,15,0))</f>
        <v>0</v>
      </c>
      <c r="W1155" s="71">
        <f>IF(ISERROR(VLOOKUP($T$1155,'TAR FIN'!$A$1:$O$120,15,0)),0,VLOOKUP($T$1155,'TAR FIN'!$A$1:$O$120,15,0))*(1-0.08)</f>
        <v>77.694000000000003</v>
      </c>
      <c r="X1155" s="71">
        <f>IF(ISERROR(VLOOKUP($U$1155,'TAR FIN'!$A$1:$O$120,15,0)),0,VLOOKUP($U$1155,'TAR FIN'!$A$1:$O$120,15,0))*(1-0.08)</f>
        <v>235.86960000000002</v>
      </c>
      <c r="Y1155" s="71"/>
      <c r="Z1155" s="71">
        <f ca="1">('TUSD BE'!$AM$34+'TUSD BF'!$AM$34+'TUSD CVA'!$AM$34)*1*(1-0.06)</f>
        <v>82.268200247339408</v>
      </c>
      <c r="AA1155" s="71">
        <f>('TE BE'!$AA$11+'TE BF'!$AA$11+'TE CVA'!$AA$11)*1*(1-0.06)</f>
        <v>216.98415684477786</v>
      </c>
      <c r="AB1155" s="6">
        <f>$K$1155*$V$1155</f>
        <v>0</v>
      </c>
      <c r="AC1155" s="6">
        <f>$M$1155*$W$1155</f>
        <v>140976.77302200001</v>
      </c>
      <c r="AD1155" s="6">
        <f>$O$1155*$X$1155</f>
        <v>427988.45550480002</v>
      </c>
      <c r="AE1155" s="6">
        <f>$K$1155*$Y$1155</f>
        <v>0</v>
      </c>
      <c r="AF1155" s="6">
        <f ca="1">$M$1155*$Z$1155</f>
        <v>149276.71883540056</v>
      </c>
      <c r="AG1155" s="6">
        <f>$O$1155*$AA$1155</f>
        <v>393720.57338888838</v>
      </c>
    </row>
    <row r="1156" spans="1:33" ht="11.25" customHeight="1" x14ac:dyDescent="0.25">
      <c r="A1156" s="4" t="s">
        <v>59</v>
      </c>
      <c r="B1156" s="4" t="s">
        <v>33</v>
      </c>
      <c r="C1156" s="4" t="s">
        <v>34</v>
      </c>
      <c r="D1156" s="4" t="s">
        <v>47</v>
      </c>
      <c r="E1156" s="4" t="s">
        <v>25</v>
      </c>
      <c r="F1156" s="4" t="s">
        <v>25</v>
      </c>
      <c r="G1156" s="4" t="s">
        <v>25</v>
      </c>
      <c r="H1156" s="4" t="s">
        <v>36</v>
      </c>
      <c r="I1156" s="5">
        <v>44075</v>
      </c>
      <c r="J1156" s="6">
        <v>0</v>
      </c>
      <c r="K1156" s="71">
        <v>0</v>
      </c>
      <c r="L1156" s="6">
        <v>48.156999999999996</v>
      </c>
      <c r="M1156" s="71">
        <v>48.156999999999996</v>
      </c>
      <c r="N1156" s="6">
        <v>48.156999999999996</v>
      </c>
      <c r="O1156" s="71">
        <v>48.156999999999996</v>
      </c>
      <c r="P1156" s="6">
        <v>0</v>
      </c>
      <c r="Q1156" s="4" t="s">
        <v>26</v>
      </c>
      <c r="R1156" s="4">
        <v>0</v>
      </c>
      <c r="S1156" s="6">
        <v>0</v>
      </c>
      <c r="T1156" s="6">
        <v>28</v>
      </c>
      <c r="U1156" s="6">
        <v>82</v>
      </c>
      <c r="V1156" s="71">
        <f>IF(ISERROR(VLOOKUP($S$1156,'TAR FIN'!$A$1:$O$120,15,0)),0,VLOOKUP($S$1156,'TAR FIN'!$A$1:$O$120,15,0))</f>
        <v>0</v>
      </c>
      <c r="W1156" s="71">
        <f>IF(ISERROR(VLOOKUP($T$1156,'TAR FIN'!$A$1:$O$120,15,0)),0,VLOOKUP($T$1156,'TAR FIN'!$A$1:$O$120,15,0))*(1-0.08)</f>
        <v>77.694000000000003</v>
      </c>
      <c r="X1156" s="71">
        <f>IF(ISERROR(VLOOKUP($U$1156,'TAR FIN'!$A$1:$O$120,15,0)),0,VLOOKUP($U$1156,'TAR FIN'!$A$1:$O$120,15,0))*(1-0.08)</f>
        <v>235.86960000000002</v>
      </c>
      <c r="Y1156" s="71"/>
      <c r="Z1156" s="71">
        <f ca="1">('TUSD BE'!$AM$34+'TUSD BF'!$AM$34+'TUSD CVA'!$AM$34)*1*(1-0.06)</f>
        <v>82.268200247339408</v>
      </c>
      <c r="AA1156" s="71">
        <f>('TE BE'!$AA$11+'TE BF'!$AA$11+'TE CVA'!$AA$11)*1*(1-0.06)</f>
        <v>216.98415684477786</v>
      </c>
      <c r="AB1156" s="6">
        <f>$K$1156*$V$1156</f>
        <v>0</v>
      </c>
      <c r="AC1156" s="6">
        <f>$M$1156*$W$1156</f>
        <v>3741.5099579999996</v>
      </c>
      <c r="AD1156" s="6">
        <f>$O$1156*$X$1156</f>
        <v>11358.7723272</v>
      </c>
      <c r="AE1156" s="6">
        <f>$K$1156*$Y$1156</f>
        <v>0</v>
      </c>
      <c r="AF1156" s="6">
        <f ca="1">$M$1156*$Z$1156</f>
        <v>3961.7897193111235</v>
      </c>
      <c r="AG1156" s="6">
        <f>$O$1156*$AA$1156</f>
        <v>10449.306041173966</v>
      </c>
    </row>
    <row r="1157" spans="1:33" ht="11.25" customHeight="1" x14ac:dyDescent="0.25">
      <c r="A1157" s="4" t="s">
        <v>59</v>
      </c>
      <c r="B1157" s="4" t="s">
        <v>33</v>
      </c>
      <c r="C1157" s="4" t="s">
        <v>34</v>
      </c>
      <c r="D1157" s="4" t="s">
        <v>47</v>
      </c>
      <c r="E1157" s="4" t="s">
        <v>25</v>
      </c>
      <c r="F1157" s="4" t="s">
        <v>25</v>
      </c>
      <c r="G1157" s="4" t="s">
        <v>25</v>
      </c>
      <c r="H1157" s="4" t="s">
        <v>36</v>
      </c>
      <c r="I1157" s="5">
        <v>44075</v>
      </c>
      <c r="J1157" s="6">
        <v>0</v>
      </c>
      <c r="K1157" s="71">
        <v>0</v>
      </c>
      <c r="L1157" s="6">
        <v>251.316</v>
      </c>
      <c r="M1157" s="71">
        <v>251.316</v>
      </c>
      <c r="N1157" s="6">
        <v>251.316</v>
      </c>
      <c r="O1157" s="71">
        <v>251.316</v>
      </c>
      <c r="P1157" s="6">
        <v>0</v>
      </c>
      <c r="Q1157" s="4" t="s">
        <v>26</v>
      </c>
      <c r="R1157" s="4">
        <v>0</v>
      </c>
      <c r="S1157" s="6">
        <v>0</v>
      </c>
      <c r="T1157" s="6">
        <v>28</v>
      </c>
      <c r="U1157" s="6">
        <v>82</v>
      </c>
      <c r="V1157" s="71">
        <f>IF(ISERROR(VLOOKUP($S$1157,'TAR FIN'!$A$1:$O$120,15,0)),0,VLOOKUP($S$1157,'TAR FIN'!$A$1:$O$120,15,0))</f>
        <v>0</v>
      </c>
      <c r="W1157" s="71">
        <f>IF(ISERROR(VLOOKUP($T$1157,'TAR FIN'!$A$1:$O$120,15,0)),0,VLOOKUP($T$1157,'TAR FIN'!$A$1:$O$120,15,0))*(1-0.08)</f>
        <v>77.694000000000003</v>
      </c>
      <c r="X1157" s="71">
        <f>IF(ISERROR(VLOOKUP($U$1157,'TAR FIN'!$A$1:$O$120,15,0)),0,VLOOKUP($U$1157,'TAR FIN'!$A$1:$O$120,15,0))*(1-0.08)</f>
        <v>235.86960000000002</v>
      </c>
      <c r="Y1157" s="71"/>
      <c r="Z1157" s="71">
        <f ca="1">('TUSD BE'!$AM$34+'TUSD BF'!$AM$34+'TUSD CVA'!$AM$34)*1*(1-0.06)</f>
        <v>82.268200247339408</v>
      </c>
      <c r="AA1157" s="71">
        <f>('TE BE'!$AA$11+'TE BF'!$AA$11+'TE CVA'!$AA$11)*1*(1-0.06)</f>
        <v>216.98415684477786</v>
      </c>
      <c r="AB1157" s="6">
        <f>$K$1157*$V$1157</f>
        <v>0</v>
      </c>
      <c r="AC1157" s="6">
        <f>$M$1157*$W$1157</f>
        <v>19525.745304</v>
      </c>
      <c r="AD1157" s="6">
        <f>$O$1157*$X$1157</f>
        <v>59277.804393600003</v>
      </c>
      <c r="AE1157" s="6">
        <f>$K$1157*$Y$1157</f>
        <v>0</v>
      </c>
      <c r="AF1157" s="6">
        <f ca="1">$M$1157*$Z$1157</f>
        <v>20675.315013360352</v>
      </c>
      <c r="AG1157" s="6">
        <f>$O$1157*$AA$1157</f>
        <v>54531.59036160219</v>
      </c>
    </row>
    <row r="1158" spans="1:33" ht="11.25" customHeight="1" x14ac:dyDescent="0.25">
      <c r="A1158" s="4" t="s">
        <v>21</v>
      </c>
      <c r="B1158" s="4" t="s">
        <v>33</v>
      </c>
      <c r="C1158" s="4" t="s">
        <v>34</v>
      </c>
      <c r="D1158" s="4" t="s">
        <v>47</v>
      </c>
      <c r="E1158" s="4" t="s">
        <v>25</v>
      </c>
      <c r="F1158" s="4" t="s">
        <v>25</v>
      </c>
      <c r="G1158" s="4" t="s">
        <v>25</v>
      </c>
      <c r="H1158" s="4" t="s">
        <v>25</v>
      </c>
      <c r="I1158" s="5">
        <v>43739</v>
      </c>
      <c r="J1158" s="6">
        <v>7088</v>
      </c>
      <c r="K1158" s="71">
        <v>7088</v>
      </c>
      <c r="L1158" s="6">
        <v>0</v>
      </c>
      <c r="M1158" s="71">
        <v>0</v>
      </c>
      <c r="N1158" s="6">
        <v>0</v>
      </c>
      <c r="O1158" s="71">
        <v>0</v>
      </c>
      <c r="P1158" s="6">
        <v>53</v>
      </c>
      <c r="Q1158" s="4" t="s">
        <v>26</v>
      </c>
      <c r="R1158" s="4">
        <v>0</v>
      </c>
      <c r="S1158" s="6">
        <v>26</v>
      </c>
      <c r="T1158" s="6">
        <v>0</v>
      </c>
      <c r="U1158" s="6">
        <v>0</v>
      </c>
      <c r="V1158" s="71">
        <f>IF(ISERROR(VLOOKUP($S$1158,'TAR FIN'!$A$1:$O$120,15,0)),0,VLOOKUP($S$1158,'TAR FIN'!$A$1:$O$120,15,0))*(1-0.08)</f>
        <v>8.1052</v>
      </c>
      <c r="W1158" s="71">
        <f>IF(ISERROR(VLOOKUP($T$1158,'TAR FIN'!$A$1:$O$120,15,0)),0,VLOOKUP($T$1158,'TAR FIN'!$A$1:$O$120,15,0))</f>
        <v>0</v>
      </c>
      <c r="X1158" s="71">
        <f>IF(ISERROR(VLOOKUP($U$1158,'TAR FIN'!$A$1:$O$120,15,0)),0,VLOOKUP($U$1158,'TAR FIN'!$A$1:$O$120,15,0))</f>
        <v>0</v>
      </c>
      <c r="Y1158" s="71">
        <f ca="1">('TUSD BE'!$AM$32+'TUSD BF'!$AM$32+'TUSD CVA'!$AM$32)*1*(1-0.06)</f>
        <v>10.765215249734004</v>
      </c>
      <c r="Z1158" s="71"/>
      <c r="AA1158" s="71"/>
      <c r="AB1158" s="6">
        <f>$K$1158*$V$1158</f>
        <v>57449.657599999999</v>
      </c>
      <c r="AC1158" s="6">
        <f>$M$1158*$W$1158</f>
        <v>0</v>
      </c>
      <c r="AD1158" s="6">
        <f>$O$1158*$X$1158</f>
        <v>0</v>
      </c>
      <c r="AE1158" s="6">
        <f ca="1">$K$1158*$Y$1158</f>
        <v>76303.845690114613</v>
      </c>
      <c r="AF1158" s="6">
        <f>$M$1158*$Z$1158</f>
        <v>0</v>
      </c>
      <c r="AG1158" s="6">
        <f>$O$1158*$AA$1158</f>
        <v>0</v>
      </c>
    </row>
    <row r="1159" spans="1:33" ht="11.25" customHeight="1" x14ac:dyDescent="0.25">
      <c r="A1159" s="4" t="s">
        <v>28</v>
      </c>
      <c r="B1159" s="4" t="s">
        <v>33</v>
      </c>
      <c r="C1159" s="4" t="s">
        <v>34</v>
      </c>
      <c r="D1159" s="4" t="s">
        <v>47</v>
      </c>
      <c r="E1159" s="4" t="s">
        <v>25</v>
      </c>
      <c r="F1159" s="4" t="s">
        <v>25</v>
      </c>
      <c r="G1159" s="4" t="s">
        <v>25</v>
      </c>
      <c r="H1159" s="4" t="s">
        <v>25</v>
      </c>
      <c r="I1159" s="5">
        <v>43739</v>
      </c>
      <c r="J1159" s="6">
        <v>872</v>
      </c>
      <c r="K1159" s="71">
        <v>872</v>
      </c>
      <c r="L1159" s="6">
        <v>0</v>
      </c>
      <c r="M1159" s="71">
        <v>0</v>
      </c>
      <c r="N1159" s="6">
        <v>0</v>
      </c>
      <c r="O1159" s="71">
        <v>0</v>
      </c>
      <c r="P1159" s="6">
        <v>3</v>
      </c>
      <c r="Q1159" s="4" t="s">
        <v>26</v>
      </c>
      <c r="R1159" s="4">
        <v>0</v>
      </c>
      <c r="S1159" s="6">
        <v>26</v>
      </c>
      <c r="T1159" s="6">
        <v>0</v>
      </c>
      <c r="U1159" s="6">
        <v>0</v>
      </c>
      <c r="V1159" s="71">
        <f>IF(ISERROR(VLOOKUP($S$1159,'TAR FIN'!$A$1:$O$120,15,0)),0,VLOOKUP($S$1159,'TAR FIN'!$A$1:$O$120,15,0))*(1-0.08)</f>
        <v>8.1052</v>
      </c>
      <c r="W1159" s="71">
        <f>IF(ISERROR(VLOOKUP($T$1159,'TAR FIN'!$A$1:$O$120,15,0)),0,VLOOKUP($T$1159,'TAR FIN'!$A$1:$O$120,15,0))</f>
        <v>0</v>
      </c>
      <c r="X1159" s="71">
        <f>IF(ISERROR(VLOOKUP($U$1159,'TAR FIN'!$A$1:$O$120,15,0)),0,VLOOKUP($U$1159,'TAR FIN'!$A$1:$O$120,15,0))</f>
        <v>0</v>
      </c>
      <c r="Y1159" s="71">
        <f ca="1">('TUSD BE'!$AM$32+'TUSD BF'!$AM$32+'TUSD CVA'!$AM$32)*1*(1-0.06)</f>
        <v>10.765215249734004</v>
      </c>
      <c r="Z1159" s="71"/>
      <c r="AA1159" s="71"/>
      <c r="AB1159" s="6">
        <f>$K$1159*$V$1159</f>
        <v>7067.7344000000003</v>
      </c>
      <c r="AC1159" s="6">
        <f>$M$1159*$W$1159</f>
        <v>0</v>
      </c>
      <c r="AD1159" s="6">
        <f>$O$1159*$X$1159</f>
        <v>0</v>
      </c>
      <c r="AE1159" s="6">
        <f ca="1">$K$1159*$Y$1159</f>
        <v>9387.2676977680512</v>
      </c>
      <c r="AF1159" s="6">
        <f>$M$1159*$Z$1159</f>
        <v>0</v>
      </c>
      <c r="AG1159" s="6">
        <f>$O$1159*$AA$1159</f>
        <v>0</v>
      </c>
    </row>
    <row r="1160" spans="1:33" ht="11.25" customHeight="1" x14ac:dyDescent="0.25">
      <c r="A1160" s="4" t="s">
        <v>21</v>
      </c>
      <c r="B1160" s="4" t="s">
        <v>33</v>
      </c>
      <c r="C1160" s="4" t="s">
        <v>34</v>
      </c>
      <c r="D1160" s="4" t="s">
        <v>47</v>
      </c>
      <c r="E1160" s="4" t="s">
        <v>25</v>
      </c>
      <c r="F1160" s="4" t="s">
        <v>25</v>
      </c>
      <c r="G1160" s="4" t="s">
        <v>25</v>
      </c>
      <c r="H1160" s="4" t="s">
        <v>25</v>
      </c>
      <c r="I1160" s="5">
        <v>43770</v>
      </c>
      <c r="J1160" s="6">
        <v>7445</v>
      </c>
      <c r="K1160" s="71">
        <v>7445</v>
      </c>
      <c r="L1160" s="6">
        <v>0</v>
      </c>
      <c r="M1160" s="71">
        <v>0</v>
      </c>
      <c r="N1160" s="6">
        <v>0</v>
      </c>
      <c r="O1160" s="71">
        <v>0</v>
      </c>
      <c r="P1160" s="6">
        <v>55</v>
      </c>
      <c r="Q1160" s="4" t="s">
        <v>26</v>
      </c>
      <c r="R1160" s="4">
        <v>0</v>
      </c>
      <c r="S1160" s="6">
        <v>26</v>
      </c>
      <c r="T1160" s="6">
        <v>0</v>
      </c>
      <c r="U1160" s="6">
        <v>0</v>
      </c>
      <c r="V1160" s="71">
        <f>IF(ISERROR(VLOOKUP($S$1160,'TAR FIN'!$A$1:$O$120,15,0)),0,VLOOKUP($S$1160,'TAR FIN'!$A$1:$O$120,15,0))*(1-0.08)</f>
        <v>8.1052</v>
      </c>
      <c r="W1160" s="71">
        <f>IF(ISERROR(VLOOKUP($T$1160,'TAR FIN'!$A$1:$O$120,15,0)),0,VLOOKUP($T$1160,'TAR FIN'!$A$1:$O$120,15,0))</f>
        <v>0</v>
      </c>
      <c r="X1160" s="71">
        <f>IF(ISERROR(VLOOKUP($U$1160,'TAR FIN'!$A$1:$O$120,15,0)),0,VLOOKUP($U$1160,'TAR FIN'!$A$1:$O$120,15,0))</f>
        <v>0</v>
      </c>
      <c r="Y1160" s="71">
        <f ca="1">('TUSD BE'!$AM$32+'TUSD BF'!$AM$32+'TUSD CVA'!$AM$32)*1*(1-0.06)</f>
        <v>10.765215249734004</v>
      </c>
      <c r="Z1160" s="71"/>
      <c r="AA1160" s="71"/>
      <c r="AB1160" s="6">
        <f>$K$1160*$V$1160</f>
        <v>60343.214</v>
      </c>
      <c r="AC1160" s="6">
        <f>$M$1160*$W$1160</f>
        <v>0</v>
      </c>
      <c r="AD1160" s="6">
        <f>$O$1160*$X$1160</f>
        <v>0</v>
      </c>
      <c r="AE1160" s="6">
        <f ca="1">$K$1160*$Y$1160</f>
        <v>80147.027534269655</v>
      </c>
      <c r="AF1160" s="6">
        <f>$M$1160*$Z$1160</f>
        <v>0</v>
      </c>
      <c r="AG1160" s="6">
        <f>$O$1160*$AA$1160</f>
        <v>0</v>
      </c>
    </row>
    <row r="1161" spans="1:33" ht="11.25" customHeight="1" x14ac:dyDescent="0.25">
      <c r="A1161" s="4" t="s">
        <v>28</v>
      </c>
      <c r="B1161" s="4" t="s">
        <v>33</v>
      </c>
      <c r="C1161" s="4" t="s">
        <v>34</v>
      </c>
      <c r="D1161" s="4" t="s">
        <v>47</v>
      </c>
      <c r="E1161" s="4" t="s">
        <v>25</v>
      </c>
      <c r="F1161" s="4" t="s">
        <v>25</v>
      </c>
      <c r="G1161" s="4" t="s">
        <v>25</v>
      </c>
      <c r="H1161" s="4" t="s">
        <v>25</v>
      </c>
      <c r="I1161" s="5">
        <v>43770</v>
      </c>
      <c r="J1161" s="6">
        <v>872</v>
      </c>
      <c r="K1161" s="71">
        <v>872</v>
      </c>
      <c r="L1161" s="6">
        <v>0</v>
      </c>
      <c r="M1161" s="71">
        <v>0</v>
      </c>
      <c r="N1161" s="6">
        <v>0</v>
      </c>
      <c r="O1161" s="71">
        <v>0</v>
      </c>
      <c r="P1161" s="6">
        <v>3</v>
      </c>
      <c r="Q1161" s="4" t="s">
        <v>26</v>
      </c>
      <c r="R1161" s="4">
        <v>0</v>
      </c>
      <c r="S1161" s="6">
        <v>26</v>
      </c>
      <c r="T1161" s="6">
        <v>0</v>
      </c>
      <c r="U1161" s="6">
        <v>0</v>
      </c>
      <c r="V1161" s="71">
        <f>IF(ISERROR(VLOOKUP($S$1161,'TAR FIN'!$A$1:$O$120,15,0)),0,VLOOKUP($S$1161,'TAR FIN'!$A$1:$O$120,15,0))*(1-0.08)</f>
        <v>8.1052</v>
      </c>
      <c r="W1161" s="71">
        <f>IF(ISERROR(VLOOKUP($T$1161,'TAR FIN'!$A$1:$O$120,15,0)),0,VLOOKUP($T$1161,'TAR FIN'!$A$1:$O$120,15,0))</f>
        <v>0</v>
      </c>
      <c r="X1161" s="71">
        <f>IF(ISERROR(VLOOKUP($U$1161,'TAR FIN'!$A$1:$O$120,15,0)),0,VLOOKUP($U$1161,'TAR FIN'!$A$1:$O$120,15,0))</f>
        <v>0</v>
      </c>
      <c r="Y1161" s="71">
        <f ca="1">('TUSD BE'!$AM$32+'TUSD BF'!$AM$32+'TUSD CVA'!$AM$32)*1*(1-0.06)</f>
        <v>10.765215249734004</v>
      </c>
      <c r="Z1161" s="71"/>
      <c r="AA1161" s="71"/>
      <c r="AB1161" s="6">
        <f>$K$1161*$V$1161</f>
        <v>7067.7344000000003</v>
      </c>
      <c r="AC1161" s="6">
        <f>$M$1161*$W$1161</f>
        <v>0</v>
      </c>
      <c r="AD1161" s="6">
        <f>$O$1161*$X$1161</f>
        <v>0</v>
      </c>
      <c r="AE1161" s="6">
        <f ca="1">$K$1161*$Y$1161</f>
        <v>9387.2676977680512</v>
      </c>
      <c r="AF1161" s="6">
        <f>$M$1161*$Z$1161</f>
        <v>0</v>
      </c>
      <c r="AG1161" s="6">
        <f>$O$1161*$AA$1161</f>
        <v>0</v>
      </c>
    </row>
    <row r="1162" spans="1:33" ht="11.25" customHeight="1" x14ac:dyDescent="0.25">
      <c r="A1162" s="4" t="s">
        <v>21</v>
      </c>
      <c r="B1162" s="4" t="s">
        <v>33</v>
      </c>
      <c r="C1162" s="4" t="s">
        <v>34</v>
      </c>
      <c r="D1162" s="4" t="s">
        <v>47</v>
      </c>
      <c r="E1162" s="4" t="s">
        <v>25</v>
      </c>
      <c r="F1162" s="4" t="s">
        <v>25</v>
      </c>
      <c r="G1162" s="4" t="s">
        <v>25</v>
      </c>
      <c r="H1162" s="4" t="s">
        <v>25</v>
      </c>
      <c r="I1162" s="5">
        <v>43800</v>
      </c>
      <c r="J1162" s="6">
        <v>6163</v>
      </c>
      <c r="K1162" s="71">
        <v>6163</v>
      </c>
      <c r="L1162" s="6">
        <v>0</v>
      </c>
      <c r="M1162" s="71">
        <v>0</v>
      </c>
      <c r="N1162" s="6">
        <v>0</v>
      </c>
      <c r="O1162" s="71">
        <v>0</v>
      </c>
      <c r="P1162" s="6">
        <v>55</v>
      </c>
      <c r="Q1162" s="4" t="s">
        <v>26</v>
      </c>
      <c r="R1162" s="4">
        <v>0</v>
      </c>
      <c r="S1162" s="6">
        <v>26</v>
      </c>
      <c r="T1162" s="6">
        <v>0</v>
      </c>
      <c r="U1162" s="6">
        <v>0</v>
      </c>
      <c r="V1162" s="71">
        <f>IF(ISERROR(VLOOKUP($S$1162,'TAR FIN'!$A$1:$O$120,15,0)),0,VLOOKUP($S$1162,'TAR FIN'!$A$1:$O$120,15,0))*(1-0.08)</f>
        <v>8.1052</v>
      </c>
      <c r="W1162" s="71">
        <f>IF(ISERROR(VLOOKUP($T$1162,'TAR FIN'!$A$1:$O$120,15,0)),0,VLOOKUP($T$1162,'TAR FIN'!$A$1:$O$120,15,0))</f>
        <v>0</v>
      </c>
      <c r="X1162" s="71">
        <f>IF(ISERROR(VLOOKUP($U$1162,'TAR FIN'!$A$1:$O$120,15,0)),0,VLOOKUP($U$1162,'TAR FIN'!$A$1:$O$120,15,0))</f>
        <v>0</v>
      </c>
      <c r="Y1162" s="71">
        <f ca="1">('TUSD BE'!$AM$32+'TUSD BF'!$AM$32+'TUSD CVA'!$AM$32)*1*(1-0.06)</f>
        <v>10.765215249734004</v>
      </c>
      <c r="Z1162" s="71"/>
      <c r="AA1162" s="71"/>
      <c r="AB1162" s="6">
        <f>$K$1162*$V$1162</f>
        <v>49952.347600000001</v>
      </c>
      <c r="AC1162" s="6">
        <f>$M$1162*$W$1162</f>
        <v>0</v>
      </c>
      <c r="AD1162" s="6">
        <f>$O$1162*$X$1162</f>
        <v>0</v>
      </c>
      <c r="AE1162" s="6">
        <f ca="1">$K$1162*$Y$1162</f>
        <v>66346.021584110669</v>
      </c>
      <c r="AF1162" s="6">
        <f>$M$1162*$Z$1162</f>
        <v>0</v>
      </c>
      <c r="AG1162" s="6">
        <f>$O$1162*$AA$1162</f>
        <v>0</v>
      </c>
    </row>
    <row r="1163" spans="1:33" ht="11.25" customHeight="1" x14ac:dyDescent="0.25">
      <c r="A1163" s="4" t="s">
        <v>27</v>
      </c>
      <c r="B1163" s="4" t="s">
        <v>33</v>
      </c>
      <c r="C1163" s="4" t="s">
        <v>34</v>
      </c>
      <c r="D1163" s="4" t="s">
        <v>47</v>
      </c>
      <c r="E1163" s="4" t="s">
        <v>25</v>
      </c>
      <c r="F1163" s="4" t="s">
        <v>25</v>
      </c>
      <c r="G1163" s="4" t="s">
        <v>25</v>
      </c>
      <c r="H1163" s="4" t="s">
        <v>25</v>
      </c>
      <c r="I1163" s="5">
        <v>43800</v>
      </c>
      <c r="J1163" s="6">
        <v>38</v>
      </c>
      <c r="K1163" s="71">
        <v>38</v>
      </c>
      <c r="L1163" s="6">
        <v>0</v>
      </c>
      <c r="M1163" s="71">
        <v>0</v>
      </c>
      <c r="N1163" s="6">
        <v>0</v>
      </c>
      <c r="O1163" s="71">
        <v>0</v>
      </c>
      <c r="P1163" s="6">
        <v>1</v>
      </c>
      <c r="Q1163" s="4" t="s">
        <v>26</v>
      </c>
      <c r="R1163" s="4">
        <v>0</v>
      </c>
      <c r="S1163" s="6">
        <v>26</v>
      </c>
      <c r="T1163" s="6">
        <v>0</v>
      </c>
      <c r="U1163" s="6">
        <v>0</v>
      </c>
      <c r="V1163" s="71">
        <f>IF(ISERROR(VLOOKUP($S$1163,'TAR FIN'!$A$1:$O$120,15,0)),0,VLOOKUP($S$1163,'TAR FIN'!$A$1:$O$120,15,0))*(1-0.08)</f>
        <v>8.1052</v>
      </c>
      <c r="W1163" s="71">
        <f>IF(ISERROR(VLOOKUP($T$1163,'TAR FIN'!$A$1:$O$120,15,0)),0,VLOOKUP($T$1163,'TAR FIN'!$A$1:$O$120,15,0))</f>
        <v>0</v>
      </c>
      <c r="X1163" s="71">
        <f>IF(ISERROR(VLOOKUP($U$1163,'TAR FIN'!$A$1:$O$120,15,0)),0,VLOOKUP($U$1163,'TAR FIN'!$A$1:$O$120,15,0))</f>
        <v>0</v>
      </c>
      <c r="Y1163" s="71">
        <f ca="1">('TUSD BE'!$AM$32+'TUSD BF'!$AM$32+'TUSD CVA'!$AM$32)*1*(1-0.06)</f>
        <v>10.765215249734004</v>
      </c>
      <c r="Z1163" s="71"/>
      <c r="AA1163" s="71"/>
      <c r="AB1163" s="6">
        <f>$K$1163*$V$1163</f>
        <v>307.99759999999998</v>
      </c>
      <c r="AC1163" s="6">
        <f>$M$1163*$W$1163</f>
        <v>0</v>
      </c>
      <c r="AD1163" s="6">
        <f>$O$1163*$X$1163</f>
        <v>0</v>
      </c>
      <c r="AE1163" s="6">
        <f ca="1">$K$1163*$Y$1163</f>
        <v>409.07817948989214</v>
      </c>
      <c r="AF1163" s="6">
        <f>$M$1163*$Z$1163</f>
        <v>0</v>
      </c>
      <c r="AG1163" s="6">
        <f>$O$1163*$AA$1163</f>
        <v>0</v>
      </c>
    </row>
    <row r="1164" spans="1:33" ht="11.25" customHeight="1" x14ac:dyDescent="0.25">
      <c r="A1164" s="4" t="s">
        <v>28</v>
      </c>
      <c r="B1164" s="4" t="s">
        <v>33</v>
      </c>
      <c r="C1164" s="4" t="s">
        <v>34</v>
      </c>
      <c r="D1164" s="4" t="s">
        <v>47</v>
      </c>
      <c r="E1164" s="4" t="s">
        <v>25</v>
      </c>
      <c r="F1164" s="4" t="s">
        <v>25</v>
      </c>
      <c r="G1164" s="4" t="s">
        <v>25</v>
      </c>
      <c r="H1164" s="4" t="s">
        <v>25</v>
      </c>
      <c r="I1164" s="5">
        <v>43800</v>
      </c>
      <c r="J1164" s="6">
        <v>872</v>
      </c>
      <c r="K1164" s="71">
        <v>872</v>
      </c>
      <c r="L1164" s="6">
        <v>0</v>
      </c>
      <c r="M1164" s="71">
        <v>0</v>
      </c>
      <c r="N1164" s="6">
        <v>0</v>
      </c>
      <c r="O1164" s="71">
        <v>0</v>
      </c>
      <c r="P1164" s="6">
        <v>3</v>
      </c>
      <c r="Q1164" s="4" t="s">
        <v>26</v>
      </c>
      <c r="R1164" s="4">
        <v>0</v>
      </c>
      <c r="S1164" s="6">
        <v>26</v>
      </c>
      <c r="T1164" s="6">
        <v>0</v>
      </c>
      <c r="U1164" s="6">
        <v>0</v>
      </c>
      <c r="V1164" s="71">
        <f>IF(ISERROR(VLOOKUP($S$1164,'TAR FIN'!$A$1:$O$120,15,0)),0,VLOOKUP($S$1164,'TAR FIN'!$A$1:$O$120,15,0))*(1-0.08)</f>
        <v>8.1052</v>
      </c>
      <c r="W1164" s="71">
        <f>IF(ISERROR(VLOOKUP($T$1164,'TAR FIN'!$A$1:$O$120,15,0)),0,VLOOKUP($T$1164,'TAR FIN'!$A$1:$O$120,15,0))</f>
        <v>0</v>
      </c>
      <c r="X1164" s="71">
        <f>IF(ISERROR(VLOOKUP($U$1164,'TAR FIN'!$A$1:$O$120,15,0)),0,VLOOKUP($U$1164,'TAR FIN'!$A$1:$O$120,15,0))</f>
        <v>0</v>
      </c>
      <c r="Y1164" s="71">
        <f ca="1">('TUSD BE'!$AM$32+'TUSD BF'!$AM$32+'TUSD CVA'!$AM$32)*1*(1-0.06)</f>
        <v>10.765215249734004</v>
      </c>
      <c r="Z1164" s="71"/>
      <c r="AA1164" s="71"/>
      <c r="AB1164" s="6">
        <f>$K$1164*$V$1164</f>
        <v>7067.7344000000003</v>
      </c>
      <c r="AC1164" s="6">
        <f>$M$1164*$W$1164</f>
        <v>0</v>
      </c>
      <c r="AD1164" s="6">
        <f>$O$1164*$X$1164</f>
        <v>0</v>
      </c>
      <c r="AE1164" s="6">
        <f ca="1">$K$1164*$Y$1164</f>
        <v>9387.2676977680512</v>
      </c>
      <c r="AF1164" s="6">
        <f>$M$1164*$Z$1164</f>
        <v>0</v>
      </c>
      <c r="AG1164" s="6">
        <f>$O$1164*$AA$1164</f>
        <v>0</v>
      </c>
    </row>
    <row r="1165" spans="1:33" ht="11.25" customHeight="1" x14ac:dyDescent="0.25">
      <c r="A1165" s="4" t="s">
        <v>21</v>
      </c>
      <c r="B1165" s="4" t="s">
        <v>33</v>
      </c>
      <c r="C1165" s="4" t="s">
        <v>34</v>
      </c>
      <c r="D1165" s="4" t="s">
        <v>47</v>
      </c>
      <c r="E1165" s="4" t="s">
        <v>25</v>
      </c>
      <c r="F1165" s="4" t="s">
        <v>25</v>
      </c>
      <c r="G1165" s="4" t="s">
        <v>25</v>
      </c>
      <c r="H1165" s="4" t="s">
        <v>25</v>
      </c>
      <c r="I1165" s="5">
        <v>43831</v>
      </c>
      <c r="J1165" s="6">
        <v>5817</v>
      </c>
      <c r="K1165" s="71">
        <v>5817</v>
      </c>
      <c r="L1165" s="6">
        <v>0</v>
      </c>
      <c r="M1165" s="71">
        <v>0</v>
      </c>
      <c r="N1165" s="6">
        <v>0</v>
      </c>
      <c r="O1165" s="71">
        <v>0</v>
      </c>
      <c r="P1165" s="6">
        <v>53</v>
      </c>
      <c r="Q1165" s="4" t="s">
        <v>26</v>
      </c>
      <c r="R1165" s="4">
        <v>0</v>
      </c>
      <c r="S1165" s="6">
        <v>26</v>
      </c>
      <c r="T1165" s="6">
        <v>0</v>
      </c>
      <c r="U1165" s="6">
        <v>0</v>
      </c>
      <c r="V1165" s="71">
        <f>IF(ISERROR(VLOOKUP($S$1165,'TAR FIN'!$A$1:$O$120,15,0)),0,VLOOKUP($S$1165,'TAR FIN'!$A$1:$O$120,15,0))*(1-0.08)</f>
        <v>8.1052</v>
      </c>
      <c r="W1165" s="71">
        <f>IF(ISERROR(VLOOKUP($T$1165,'TAR FIN'!$A$1:$O$120,15,0)),0,VLOOKUP($T$1165,'TAR FIN'!$A$1:$O$120,15,0))</f>
        <v>0</v>
      </c>
      <c r="X1165" s="71">
        <f>IF(ISERROR(VLOOKUP($U$1165,'TAR FIN'!$A$1:$O$120,15,0)),0,VLOOKUP($U$1165,'TAR FIN'!$A$1:$O$120,15,0))</f>
        <v>0</v>
      </c>
      <c r="Y1165" s="71">
        <f ca="1">('TUSD BE'!$AM$32+'TUSD BF'!$AM$32+'TUSD CVA'!$AM$32)*1*(1-0.06)</f>
        <v>10.765215249734004</v>
      </c>
      <c r="Z1165" s="71"/>
      <c r="AA1165" s="71"/>
      <c r="AB1165" s="6">
        <f>$K$1165*$V$1165</f>
        <v>47147.948400000001</v>
      </c>
      <c r="AC1165" s="6">
        <f>$M$1165*$W$1165</f>
        <v>0</v>
      </c>
      <c r="AD1165" s="6">
        <f>$O$1165*$X$1165</f>
        <v>0</v>
      </c>
      <c r="AE1165" s="6">
        <f ca="1">$K$1165*$Y$1165</f>
        <v>62621.257107702702</v>
      </c>
      <c r="AF1165" s="6">
        <f>$M$1165*$Z$1165</f>
        <v>0</v>
      </c>
      <c r="AG1165" s="6">
        <f>$O$1165*$AA$1165</f>
        <v>0</v>
      </c>
    </row>
    <row r="1166" spans="1:33" ht="11.25" customHeight="1" x14ac:dyDescent="0.25">
      <c r="A1166" s="4" t="s">
        <v>27</v>
      </c>
      <c r="B1166" s="4" t="s">
        <v>33</v>
      </c>
      <c r="C1166" s="4" t="s">
        <v>34</v>
      </c>
      <c r="D1166" s="4" t="s">
        <v>47</v>
      </c>
      <c r="E1166" s="4" t="s">
        <v>25</v>
      </c>
      <c r="F1166" s="4" t="s">
        <v>25</v>
      </c>
      <c r="G1166" s="4" t="s">
        <v>25</v>
      </c>
      <c r="H1166" s="4" t="s">
        <v>25</v>
      </c>
      <c r="I1166" s="5">
        <v>43831</v>
      </c>
      <c r="J1166" s="6">
        <v>232</v>
      </c>
      <c r="K1166" s="71">
        <v>232</v>
      </c>
      <c r="L1166" s="6">
        <v>0</v>
      </c>
      <c r="M1166" s="71">
        <v>0</v>
      </c>
      <c r="N1166" s="6">
        <v>0</v>
      </c>
      <c r="O1166" s="71">
        <v>0</v>
      </c>
      <c r="P1166" s="6">
        <v>1</v>
      </c>
      <c r="Q1166" s="4" t="s">
        <v>26</v>
      </c>
      <c r="R1166" s="4">
        <v>0</v>
      </c>
      <c r="S1166" s="6">
        <v>26</v>
      </c>
      <c r="T1166" s="6">
        <v>0</v>
      </c>
      <c r="U1166" s="6">
        <v>0</v>
      </c>
      <c r="V1166" s="71">
        <f>IF(ISERROR(VLOOKUP($S$1166,'TAR FIN'!$A$1:$O$120,15,0)),0,VLOOKUP($S$1166,'TAR FIN'!$A$1:$O$120,15,0))*(1-0.08)</f>
        <v>8.1052</v>
      </c>
      <c r="W1166" s="71">
        <f>IF(ISERROR(VLOOKUP($T$1166,'TAR FIN'!$A$1:$O$120,15,0)),0,VLOOKUP($T$1166,'TAR FIN'!$A$1:$O$120,15,0))</f>
        <v>0</v>
      </c>
      <c r="X1166" s="71">
        <f>IF(ISERROR(VLOOKUP($U$1166,'TAR FIN'!$A$1:$O$120,15,0)),0,VLOOKUP($U$1166,'TAR FIN'!$A$1:$O$120,15,0))</f>
        <v>0</v>
      </c>
      <c r="Y1166" s="71">
        <f ca="1">('TUSD BE'!$AM$32+'TUSD BF'!$AM$32+'TUSD CVA'!$AM$32)*1*(1-0.06)</f>
        <v>10.765215249734004</v>
      </c>
      <c r="Z1166" s="71"/>
      <c r="AA1166" s="71"/>
      <c r="AB1166" s="6">
        <f>$K$1166*$V$1166</f>
        <v>1880.4064000000001</v>
      </c>
      <c r="AC1166" s="6">
        <f>$M$1166*$W$1166</f>
        <v>0</v>
      </c>
      <c r="AD1166" s="6">
        <f>$O$1166*$X$1166</f>
        <v>0</v>
      </c>
      <c r="AE1166" s="6">
        <f ca="1">$K$1166*$Y$1166</f>
        <v>2497.5299379382886</v>
      </c>
      <c r="AF1166" s="6">
        <f>$M$1166*$Z$1166</f>
        <v>0</v>
      </c>
      <c r="AG1166" s="6">
        <f>$O$1166*$AA$1166</f>
        <v>0</v>
      </c>
    </row>
    <row r="1167" spans="1:33" ht="11.25" customHeight="1" x14ac:dyDescent="0.25">
      <c r="A1167" s="4" t="s">
        <v>28</v>
      </c>
      <c r="B1167" s="4" t="s">
        <v>33</v>
      </c>
      <c r="C1167" s="4" t="s">
        <v>34</v>
      </c>
      <c r="D1167" s="4" t="s">
        <v>47</v>
      </c>
      <c r="E1167" s="4" t="s">
        <v>25</v>
      </c>
      <c r="F1167" s="4" t="s">
        <v>25</v>
      </c>
      <c r="G1167" s="4" t="s">
        <v>25</v>
      </c>
      <c r="H1167" s="4" t="s">
        <v>25</v>
      </c>
      <c r="I1167" s="5">
        <v>43831</v>
      </c>
      <c r="J1167" s="6">
        <v>872</v>
      </c>
      <c r="K1167" s="71">
        <v>872</v>
      </c>
      <c r="L1167" s="6">
        <v>0</v>
      </c>
      <c r="M1167" s="71">
        <v>0</v>
      </c>
      <c r="N1167" s="6">
        <v>0</v>
      </c>
      <c r="O1167" s="71">
        <v>0</v>
      </c>
      <c r="P1167" s="6">
        <v>3</v>
      </c>
      <c r="Q1167" s="4" t="s">
        <v>26</v>
      </c>
      <c r="R1167" s="4">
        <v>0</v>
      </c>
      <c r="S1167" s="6">
        <v>26</v>
      </c>
      <c r="T1167" s="6">
        <v>0</v>
      </c>
      <c r="U1167" s="6">
        <v>0</v>
      </c>
      <c r="V1167" s="71">
        <f>IF(ISERROR(VLOOKUP($S$1167,'TAR FIN'!$A$1:$O$120,15,0)),0,VLOOKUP($S$1167,'TAR FIN'!$A$1:$O$120,15,0))*(1-0.08)</f>
        <v>8.1052</v>
      </c>
      <c r="W1167" s="71">
        <f>IF(ISERROR(VLOOKUP($T$1167,'TAR FIN'!$A$1:$O$120,15,0)),0,VLOOKUP($T$1167,'TAR FIN'!$A$1:$O$120,15,0))</f>
        <v>0</v>
      </c>
      <c r="X1167" s="71">
        <f>IF(ISERROR(VLOOKUP($U$1167,'TAR FIN'!$A$1:$O$120,15,0)),0,VLOOKUP($U$1167,'TAR FIN'!$A$1:$O$120,15,0))</f>
        <v>0</v>
      </c>
      <c r="Y1167" s="71">
        <f ca="1">('TUSD BE'!$AM$32+'TUSD BF'!$AM$32+'TUSD CVA'!$AM$32)*1*(1-0.06)</f>
        <v>10.765215249734004</v>
      </c>
      <c r="Z1167" s="71"/>
      <c r="AA1167" s="71"/>
      <c r="AB1167" s="6">
        <f>$K$1167*$V$1167</f>
        <v>7067.7344000000003</v>
      </c>
      <c r="AC1167" s="6">
        <f>$M$1167*$W$1167</f>
        <v>0</v>
      </c>
      <c r="AD1167" s="6">
        <f>$O$1167*$X$1167</f>
        <v>0</v>
      </c>
      <c r="AE1167" s="6">
        <f ca="1">$K$1167*$Y$1167</f>
        <v>9387.2676977680512</v>
      </c>
      <c r="AF1167" s="6">
        <f>$M$1167*$Z$1167</f>
        <v>0</v>
      </c>
      <c r="AG1167" s="6">
        <f>$O$1167*$AA$1167</f>
        <v>0</v>
      </c>
    </row>
    <row r="1168" spans="1:33" ht="11.25" customHeight="1" x14ac:dyDescent="0.25">
      <c r="A1168" s="4" t="s">
        <v>21</v>
      </c>
      <c r="B1168" s="4" t="s">
        <v>33</v>
      </c>
      <c r="C1168" s="4" t="s">
        <v>34</v>
      </c>
      <c r="D1168" s="4" t="s">
        <v>47</v>
      </c>
      <c r="E1168" s="4" t="s">
        <v>25</v>
      </c>
      <c r="F1168" s="4" t="s">
        <v>25</v>
      </c>
      <c r="G1168" s="4" t="s">
        <v>25</v>
      </c>
      <c r="H1168" s="4" t="s">
        <v>25</v>
      </c>
      <c r="I1168" s="5">
        <v>43862</v>
      </c>
      <c r="J1168" s="6">
        <v>6431</v>
      </c>
      <c r="K1168" s="71">
        <v>6431</v>
      </c>
      <c r="L1168" s="6">
        <v>0</v>
      </c>
      <c r="M1168" s="71">
        <v>0</v>
      </c>
      <c r="N1168" s="6">
        <v>0</v>
      </c>
      <c r="O1168" s="71">
        <v>0</v>
      </c>
      <c r="P1168" s="6">
        <v>54</v>
      </c>
      <c r="Q1168" s="4" t="s">
        <v>26</v>
      </c>
      <c r="R1168" s="4">
        <v>0</v>
      </c>
      <c r="S1168" s="6">
        <v>26</v>
      </c>
      <c r="T1168" s="6">
        <v>0</v>
      </c>
      <c r="U1168" s="6">
        <v>0</v>
      </c>
      <c r="V1168" s="71">
        <f>IF(ISERROR(VLOOKUP($S$1168,'TAR FIN'!$A$1:$O$120,15,0)),0,VLOOKUP($S$1168,'TAR FIN'!$A$1:$O$120,15,0))*(1-0.08)</f>
        <v>8.1052</v>
      </c>
      <c r="W1168" s="71">
        <f>IF(ISERROR(VLOOKUP($T$1168,'TAR FIN'!$A$1:$O$120,15,0)),0,VLOOKUP($T$1168,'TAR FIN'!$A$1:$O$120,15,0))</f>
        <v>0</v>
      </c>
      <c r="X1168" s="71">
        <f>IF(ISERROR(VLOOKUP($U$1168,'TAR FIN'!$A$1:$O$120,15,0)),0,VLOOKUP($U$1168,'TAR FIN'!$A$1:$O$120,15,0))</f>
        <v>0</v>
      </c>
      <c r="Y1168" s="71">
        <f ca="1">('TUSD BE'!$AM$32+'TUSD BF'!$AM$32+'TUSD CVA'!$AM$32)*1*(1-0.06)</f>
        <v>10.765215249734004</v>
      </c>
      <c r="Z1168" s="71"/>
      <c r="AA1168" s="71"/>
      <c r="AB1168" s="6">
        <f>$K$1168*$V$1168</f>
        <v>52124.5412</v>
      </c>
      <c r="AC1168" s="6">
        <f>$M$1168*$W$1168</f>
        <v>0</v>
      </c>
      <c r="AD1168" s="6">
        <f>$O$1168*$X$1168</f>
        <v>0</v>
      </c>
      <c r="AE1168" s="6">
        <f ca="1">$K$1168*$Y$1168</f>
        <v>69231.099271039377</v>
      </c>
      <c r="AF1168" s="6">
        <f>$M$1168*$Z$1168</f>
        <v>0</v>
      </c>
      <c r="AG1168" s="6">
        <f>$O$1168*$AA$1168</f>
        <v>0</v>
      </c>
    </row>
    <row r="1169" spans="1:33" ht="11.25" customHeight="1" x14ac:dyDescent="0.25">
      <c r="A1169" s="4" t="s">
        <v>27</v>
      </c>
      <c r="B1169" s="4" t="s">
        <v>33</v>
      </c>
      <c r="C1169" s="4" t="s">
        <v>34</v>
      </c>
      <c r="D1169" s="4" t="s">
        <v>47</v>
      </c>
      <c r="E1169" s="4" t="s">
        <v>25</v>
      </c>
      <c r="F1169" s="4" t="s">
        <v>25</v>
      </c>
      <c r="G1169" s="4" t="s">
        <v>25</v>
      </c>
      <c r="H1169" s="4" t="s">
        <v>25</v>
      </c>
      <c r="I1169" s="5">
        <v>43862</v>
      </c>
      <c r="J1169" s="6">
        <v>227</v>
      </c>
      <c r="K1169" s="71">
        <v>227</v>
      </c>
      <c r="L1169" s="6">
        <v>0</v>
      </c>
      <c r="M1169" s="71">
        <v>0</v>
      </c>
      <c r="N1169" s="6">
        <v>0</v>
      </c>
      <c r="O1169" s="71">
        <v>0</v>
      </c>
      <c r="P1169" s="6">
        <v>1</v>
      </c>
      <c r="Q1169" s="4" t="s">
        <v>26</v>
      </c>
      <c r="R1169" s="4">
        <v>0</v>
      </c>
      <c r="S1169" s="6">
        <v>26</v>
      </c>
      <c r="T1169" s="6">
        <v>0</v>
      </c>
      <c r="U1169" s="6">
        <v>0</v>
      </c>
      <c r="V1169" s="71">
        <f>IF(ISERROR(VLOOKUP($S$1169,'TAR FIN'!$A$1:$O$120,15,0)),0,VLOOKUP($S$1169,'TAR FIN'!$A$1:$O$120,15,0))*(1-0.08)</f>
        <v>8.1052</v>
      </c>
      <c r="W1169" s="71">
        <f>IF(ISERROR(VLOOKUP($T$1169,'TAR FIN'!$A$1:$O$120,15,0)),0,VLOOKUP($T$1169,'TAR FIN'!$A$1:$O$120,15,0))</f>
        <v>0</v>
      </c>
      <c r="X1169" s="71">
        <f>IF(ISERROR(VLOOKUP($U$1169,'TAR FIN'!$A$1:$O$120,15,0)),0,VLOOKUP($U$1169,'TAR FIN'!$A$1:$O$120,15,0))</f>
        <v>0</v>
      </c>
      <c r="Y1169" s="71">
        <f ca="1">('TUSD BE'!$AM$32+'TUSD BF'!$AM$32+'TUSD CVA'!$AM$32)*1*(1-0.06)</f>
        <v>10.765215249734004</v>
      </c>
      <c r="Z1169" s="71"/>
      <c r="AA1169" s="71"/>
      <c r="AB1169" s="6">
        <f>$K$1169*$V$1169</f>
        <v>1839.8804</v>
      </c>
      <c r="AC1169" s="6">
        <f>$M$1169*$W$1169</f>
        <v>0</v>
      </c>
      <c r="AD1169" s="6">
        <f>$O$1169*$X$1169</f>
        <v>0</v>
      </c>
      <c r="AE1169" s="6">
        <f ca="1">$K$1169*$Y$1169</f>
        <v>2443.7038616896189</v>
      </c>
      <c r="AF1169" s="6">
        <f>$M$1169*$Z$1169</f>
        <v>0</v>
      </c>
      <c r="AG1169" s="6">
        <f>$O$1169*$AA$1169</f>
        <v>0</v>
      </c>
    </row>
    <row r="1170" spans="1:33" ht="11.25" customHeight="1" x14ac:dyDescent="0.25">
      <c r="A1170" s="4" t="s">
        <v>28</v>
      </c>
      <c r="B1170" s="4" t="s">
        <v>33</v>
      </c>
      <c r="C1170" s="4" t="s">
        <v>34</v>
      </c>
      <c r="D1170" s="4" t="s">
        <v>47</v>
      </c>
      <c r="E1170" s="4" t="s">
        <v>25</v>
      </c>
      <c r="F1170" s="4" t="s">
        <v>25</v>
      </c>
      <c r="G1170" s="4" t="s">
        <v>25</v>
      </c>
      <c r="H1170" s="4" t="s">
        <v>25</v>
      </c>
      <c r="I1170" s="5">
        <v>43862</v>
      </c>
      <c r="J1170" s="6">
        <v>872</v>
      </c>
      <c r="K1170" s="71">
        <v>872</v>
      </c>
      <c r="L1170" s="6">
        <v>0</v>
      </c>
      <c r="M1170" s="71">
        <v>0</v>
      </c>
      <c r="N1170" s="6">
        <v>0</v>
      </c>
      <c r="O1170" s="71">
        <v>0</v>
      </c>
      <c r="P1170" s="6">
        <v>3</v>
      </c>
      <c r="Q1170" s="4" t="s">
        <v>26</v>
      </c>
      <c r="R1170" s="4">
        <v>0</v>
      </c>
      <c r="S1170" s="6">
        <v>26</v>
      </c>
      <c r="T1170" s="6">
        <v>0</v>
      </c>
      <c r="U1170" s="6">
        <v>0</v>
      </c>
      <c r="V1170" s="71">
        <f>IF(ISERROR(VLOOKUP($S$1170,'TAR FIN'!$A$1:$O$120,15,0)),0,VLOOKUP($S$1170,'TAR FIN'!$A$1:$O$120,15,0))*(1-0.08)</f>
        <v>8.1052</v>
      </c>
      <c r="W1170" s="71">
        <f>IF(ISERROR(VLOOKUP($T$1170,'TAR FIN'!$A$1:$O$120,15,0)),0,VLOOKUP($T$1170,'TAR FIN'!$A$1:$O$120,15,0))</f>
        <v>0</v>
      </c>
      <c r="X1170" s="71">
        <f>IF(ISERROR(VLOOKUP($U$1170,'TAR FIN'!$A$1:$O$120,15,0)),0,VLOOKUP($U$1170,'TAR FIN'!$A$1:$O$120,15,0))</f>
        <v>0</v>
      </c>
      <c r="Y1170" s="71">
        <f ca="1">('TUSD BE'!$AM$32+'TUSD BF'!$AM$32+'TUSD CVA'!$AM$32)*1*(1-0.06)</f>
        <v>10.765215249734004</v>
      </c>
      <c r="Z1170" s="71"/>
      <c r="AA1170" s="71"/>
      <c r="AB1170" s="6">
        <f>$K$1170*$V$1170</f>
        <v>7067.7344000000003</v>
      </c>
      <c r="AC1170" s="6">
        <f>$M$1170*$W$1170</f>
        <v>0</v>
      </c>
      <c r="AD1170" s="6">
        <f>$O$1170*$X$1170</f>
        <v>0</v>
      </c>
      <c r="AE1170" s="6">
        <f ca="1">$K$1170*$Y$1170</f>
        <v>9387.2676977680512</v>
      </c>
      <c r="AF1170" s="6">
        <f>$M$1170*$Z$1170</f>
        <v>0</v>
      </c>
      <c r="AG1170" s="6">
        <f>$O$1170*$AA$1170</f>
        <v>0</v>
      </c>
    </row>
    <row r="1171" spans="1:33" ht="11.25" customHeight="1" x14ac:dyDescent="0.25">
      <c r="A1171" s="4" t="s">
        <v>21</v>
      </c>
      <c r="B1171" s="4" t="s">
        <v>33</v>
      </c>
      <c r="C1171" s="4" t="s">
        <v>34</v>
      </c>
      <c r="D1171" s="4" t="s">
        <v>47</v>
      </c>
      <c r="E1171" s="4" t="s">
        <v>25</v>
      </c>
      <c r="F1171" s="4" t="s">
        <v>25</v>
      </c>
      <c r="G1171" s="4" t="s">
        <v>25</v>
      </c>
      <c r="H1171" s="4" t="s">
        <v>25</v>
      </c>
      <c r="I1171" s="5">
        <v>43891</v>
      </c>
      <c r="J1171" s="6">
        <v>6985</v>
      </c>
      <c r="K1171" s="71">
        <v>6985</v>
      </c>
      <c r="L1171" s="6">
        <v>0</v>
      </c>
      <c r="M1171" s="71">
        <v>0</v>
      </c>
      <c r="N1171" s="6">
        <v>0</v>
      </c>
      <c r="O1171" s="71">
        <v>0</v>
      </c>
      <c r="P1171" s="6">
        <v>56</v>
      </c>
      <c r="Q1171" s="4" t="s">
        <v>26</v>
      </c>
      <c r="R1171" s="4">
        <v>0</v>
      </c>
      <c r="S1171" s="6">
        <v>26</v>
      </c>
      <c r="T1171" s="6">
        <v>0</v>
      </c>
      <c r="U1171" s="6">
        <v>0</v>
      </c>
      <c r="V1171" s="71">
        <f>IF(ISERROR(VLOOKUP($S$1171,'TAR FIN'!$A$1:$O$120,15,0)),0,VLOOKUP($S$1171,'TAR FIN'!$A$1:$O$120,15,0))*(1-0.08)</f>
        <v>8.1052</v>
      </c>
      <c r="W1171" s="71">
        <f>IF(ISERROR(VLOOKUP($T$1171,'TAR FIN'!$A$1:$O$120,15,0)),0,VLOOKUP($T$1171,'TAR FIN'!$A$1:$O$120,15,0))</f>
        <v>0</v>
      </c>
      <c r="X1171" s="71">
        <f>IF(ISERROR(VLOOKUP($U$1171,'TAR FIN'!$A$1:$O$120,15,0)),0,VLOOKUP($U$1171,'TAR FIN'!$A$1:$O$120,15,0))</f>
        <v>0</v>
      </c>
      <c r="Y1171" s="71">
        <f ca="1">('TUSD BE'!$AM$32+'TUSD BF'!$AM$32+'TUSD CVA'!$AM$32)*1*(1-0.06)</f>
        <v>10.765215249734004</v>
      </c>
      <c r="Z1171" s="71"/>
      <c r="AA1171" s="71"/>
      <c r="AB1171" s="6">
        <f>$K$1171*$V$1171</f>
        <v>56614.822</v>
      </c>
      <c r="AC1171" s="6">
        <f>$M$1171*$W$1171</f>
        <v>0</v>
      </c>
      <c r="AD1171" s="6">
        <f>$O$1171*$X$1171</f>
        <v>0</v>
      </c>
      <c r="AE1171" s="6">
        <f ca="1">$K$1171*$Y$1171</f>
        <v>75195.028519392014</v>
      </c>
      <c r="AF1171" s="6">
        <f>$M$1171*$Z$1171</f>
        <v>0</v>
      </c>
      <c r="AG1171" s="6">
        <f>$O$1171*$AA$1171</f>
        <v>0</v>
      </c>
    </row>
    <row r="1172" spans="1:33" ht="11.25" customHeight="1" x14ac:dyDescent="0.25">
      <c r="A1172" s="4" t="s">
        <v>27</v>
      </c>
      <c r="B1172" s="4" t="s">
        <v>33</v>
      </c>
      <c r="C1172" s="4" t="s">
        <v>34</v>
      </c>
      <c r="D1172" s="4" t="s">
        <v>47</v>
      </c>
      <c r="E1172" s="4" t="s">
        <v>25</v>
      </c>
      <c r="F1172" s="4" t="s">
        <v>25</v>
      </c>
      <c r="G1172" s="4" t="s">
        <v>25</v>
      </c>
      <c r="H1172" s="4" t="s">
        <v>25</v>
      </c>
      <c r="I1172" s="5">
        <v>43891</v>
      </c>
      <c r="J1172" s="6">
        <v>227</v>
      </c>
      <c r="K1172" s="71">
        <v>227</v>
      </c>
      <c r="L1172" s="6">
        <v>0</v>
      </c>
      <c r="M1172" s="71">
        <v>0</v>
      </c>
      <c r="N1172" s="6">
        <v>0</v>
      </c>
      <c r="O1172" s="71">
        <v>0</v>
      </c>
      <c r="P1172" s="6">
        <v>1</v>
      </c>
      <c r="Q1172" s="4" t="s">
        <v>26</v>
      </c>
      <c r="R1172" s="4">
        <v>0</v>
      </c>
      <c r="S1172" s="6">
        <v>26</v>
      </c>
      <c r="T1172" s="6">
        <v>0</v>
      </c>
      <c r="U1172" s="6">
        <v>0</v>
      </c>
      <c r="V1172" s="71">
        <f>IF(ISERROR(VLOOKUP($S$1172,'TAR FIN'!$A$1:$O$120,15,0)),0,VLOOKUP($S$1172,'TAR FIN'!$A$1:$O$120,15,0))*(1-0.08)</f>
        <v>8.1052</v>
      </c>
      <c r="W1172" s="71">
        <f>IF(ISERROR(VLOOKUP($T$1172,'TAR FIN'!$A$1:$O$120,15,0)),0,VLOOKUP($T$1172,'TAR FIN'!$A$1:$O$120,15,0))</f>
        <v>0</v>
      </c>
      <c r="X1172" s="71">
        <f>IF(ISERROR(VLOOKUP($U$1172,'TAR FIN'!$A$1:$O$120,15,0)),0,VLOOKUP($U$1172,'TAR FIN'!$A$1:$O$120,15,0))</f>
        <v>0</v>
      </c>
      <c r="Y1172" s="71">
        <f ca="1">('TUSD BE'!$AM$32+'TUSD BF'!$AM$32+'TUSD CVA'!$AM$32)*1*(1-0.06)</f>
        <v>10.765215249734004</v>
      </c>
      <c r="Z1172" s="71"/>
      <c r="AA1172" s="71"/>
      <c r="AB1172" s="6">
        <f>$K$1172*$V$1172</f>
        <v>1839.8804</v>
      </c>
      <c r="AC1172" s="6">
        <f>$M$1172*$W$1172</f>
        <v>0</v>
      </c>
      <c r="AD1172" s="6">
        <f>$O$1172*$X$1172</f>
        <v>0</v>
      </c>
      <c r="AE1172" s="6">
        <f ca="1">$K$1172*$Y$1172</f>
        <v>2443.7038616896189</v>
      </c>
      <c r="AF1172" s="6">
        <f>$M$1172*$Z$1172</f>
        <v>0</v>
      </c>
      <c r="AG1172" s="6">
        <f>$O$1172*$AA$1172</f>
        <v>0</v>
      </c>
    </row>
    <row r="1173" spans="1:33" ht="11.25" customHeight="1" x14ac:dyDescent="0.25">
      <c r="A1173" s="4" t="s">
        <v>28</v>
      </c>
      <c r="B1173" s="4" t="s">
        <v>33</v>
      </c>
      <c r="C1173" s="4" t="s">
        <v>34</v>
      </c>
      <c r="D1173" s="4" t="s">
        <v>47</v>
      </c>
      <c r="E1173" s="4" t="s">
        <v>25</v>
      </c>
      <c r="F1173" s="4" t="s">
        <v>25</v>
      </c>
      <c r="G1173" s="4" t="s">
        <v>25</v>
      </c>
      <c r="H1173" s="4" t="s">
        <v>25</v>
      </c>
      <c r="I1173" s="5">
        <v>43891</v>
      </c>
      <c r="J1173" s="6">
        <v>872</v>
      </c>
      <c r="K1173" s="71">
        <v>872</v>
      </c>
      <c r="L1173" s="6">
        <v>0</v>
      </c>
      <c r="M1173" s="71">
        <v>0</v>
      </c>
      <c r="N1173" s="6">
        <v>0</v>
      </c>
      <c r="O1173" s="71">
        <v>0</v>
      </c>
      <c r="P1173" s="6">
        <v>3</v>
      </c>
      <c r="Q1173" s="4" t="s">
        <v>26</v>
      </c>
      <c r="R1173" s="4">
        <v>0</v>
      </c>
      <c r="S1173" s="6">
        <v>26</v>
      </c>
      <c r="T1173" s="6">
        <v>0</v>
      </c>
      <c r="U1173" s="6">
        <v>0</v>
      </c>
      <c r="V1173" s="71">
        <f>IF(ISERROR(VLOOKUP($S$1173,'TAR FIN'!$A$1:$O$120,15,0)),0,VLOOKUP($S$1173,'TAR FIN'!$A$1:$O$120,15,0))*(1-0.08)</f>
        <v>8.1052</v>
      </c>
      <c r="W1173" s="71">
        <f>IF(ISERROR(VLOOKUP($T$1173,'TAR FIN'!$A$1:$O$120,15,0)),0,VLOOKUP($T$1173,'TAR FIN'!$A$1:$O$120,15,0))</f>
        <v>0</v>
      </c>
      <c r="X1173" s="71">
        <f>IF(ISERROR(VLOOKUP($U$1173,'TAR FIN'!$A$1:$O$120,15,0)),0,VLOOKUP($U$1173,'TAR FIN'!$A$1:$O$120,15,0))</f>
        <v>0</v>
      </c>
      <c r="Y1173" s="71">
        <f ca="1">('TUSD BE'!$AM$32+'TUSD BF'!$AM$32+'TUSD CVA'!$AM$32)*1*(1-0.06)</f>
        <v>10.765215249734004</v>
      </c>
      <c r="Z1173" s="71"/>
      <c r="AA1173" s="71"/>
      <c r="AB1173" s="6">
        <f>$K$1173*$V$1173</f>
        <v>7067.7344000000003</v>
      </c>
      <c r="AC1173" s="6">
        <f>$M$1173*$W$1173</f>
        <v>0</v>
      </c>
      <c r="AD1173" s="6">
        <f>$O$1173*$X$1173</f>
        <v>0</v>
      </c>
      <c r="AE1173" s="6">
        <f ca="1">$K$1173*$Y$1173</f>
        <v>9387.2676977680512</v>
      </c>
      <c r="AF1173" s="6">
        <f>$M$1173*$Z$1173</f>
        <v>0</v>
      </c>
      <c r="AG1173" s="6">
        <f>$O$1173*$AA$1173</f>
        <v>0</v>
      </c>
    </row>
    <row r="1174" spans="1:33" ht="11.25" customHeight="1" x14ac:dyDescent="0.25">
      <c r="A1174" s="4" t="s">
        <v>21</v>
      </c>
      <c r="B1174" s="4" t="s">
        <v>33</v>
      </c>
      <c r="C1174" s="4" t="s">
        <v>34</v>
      </c>
      <c r="D1174" s="4" t="s">
        <v>47</v>
      </c>
      <c r="E1174" s="4" t="s">
        <v>25</v>
      </c>
      <c r="F1174" s="4" t="s">
        <v>25</v>
      </c>
      <c r="G1174" s="4" t="s">
        <v>25</v>
      </c>
      <c r="H1174" s="4" t="s">
        <v>25</v>
      </c>
      <c r="I1174" s="5">
        <v>43922</v>
      </c>
      <c r="J1174" s="6">
        <v>7575</v>
      </c>
      <c r="K1174" s="71">
        <v>7575</v>
      </c>
      <c r="L1174" s="6">
        <v>0</v>
      </c>
      <c r="M1174" s="71">
        <v>0</v>
      </c>
      <c r="N1174" s="6">
        <v>0</v>
      </c>
      <c r="O1174" s="71">
        <v>0</v>
      </c>
      <c r="P1174" s="6">
        <v>54</v>
      </c>
      <c r="Q1174" s="4" t="s">
        <v>26</v>
      </c>
      <c r="R1174" s="4">
        <v>0</v>
      </c>
      <c r="S1174" s="6">
        <v>26</v>
      </c>
      <c r="T1174" s="6">
        <v>0</v>
      </c>
      <c r="U1174" s="6">
        <v>0</v>
      </c>
      <c r="V1174" s="71">
        <f>IF(ISERROR(VLOOKUP($S$1174,'TAR FIN'!$A$1:$O$120,15,0)),0,VLOOKUP($S$1174,'TAR FIN'!$A$1:$O$120,15,0))*(1-0.08)</f>
        <v>8.1052</v>
      </c>
      <c r="W1174" s="71">
        <f>IF(ISERROR(VLOOKUP($T$1174,'TAR FIN'!$A$1:$O$120,15,0)),0,VLOOKUP($T$1174,'TAR FIN'!$A$1:$O$120,15,0))</f>
        <v>0</v>
      </c>
      <c r="X1174" s="71">
        <f>IF(ISERROR(VLOOKUP($U$1174,'TAR FIN'!$A$1:$O$120,15,0)),0,VLOOKUP($U$1174,'TAR FIN'!$A$1:$O$120,15,0))</f>
        <v>0</v>
      </c>
      <c r="Y1174" s="71">
        <f ca="1">('TUSD BE'!$AM$32+'TUSD BF'!$AM$32+'TUSD CVA'!$AM$32)*1*(1-0.06)</f>
        <v>10.765215249734004</v>
      </c>
      <c r="Z1174" s="71"/>
      <c r="AA1174" s="71"/>
      <c r="AB1174" s="6">
        <f>$K$1174*$V$1174</f>
        <v>61396.89</v>
      </c>
      <c r="AC1174" s="6">
        <f>$M$1174*$W$1174</f>
        <v>0</v>
      </c>
      <c r="AD1174" s="6">
        <f>$O$1174*$X$1174</f>
        <v>0</v>
      </c>
      <c r="AE1174" s="6">
        <f ca="1">$K$1174*$Y$1174</f>
        <v>81546.50551673508</v>
      </c>
      <c r="AF1174" s="6">
        <f>$M$1174*$Z$1174</f>
        <v>0</v>
      </c>
      <c r="AG1174" s="6">
        <f>$O$1174*$AA$1174</f>
        <v>0</v>
      </c>
    </row>
    <row r="1175" spans="1:33" ht="11.25" customHeight="1" x14ac:dyDescent="0.25">
      <c r="A1175" s="4" t="s">
        <v>27</v>
      </c>
      <c r="B1175" s="4" t="s">
        <v>33</v>
      </c>
      <c r="C1175" s="4" t="s">
        <v>34</v>
      </c>
      <c r="D1175" s="4" t="s">
        <v>47</v>
      </c>
      <c r="E1175" s="4" t="s">
        <v>25</v>
      </c>
      <c r="F1175" s="4" t="s">
        <v>25</v>
      </c>
      <c r="G1175" s="4" t="s">
        <v>25</v>
      </c>
      <c r="H1175" s="4" t="s">
        <v>25</v>
      </c>
      <c r="I1175" s="5">
        <v>43922</v>
      </c>
      <c r="J1175" s="6">
        <v>273</v>
      </c>
      <c r="K1175" s="71">
        <v>273</v>
      </c>
      <c r="L1175" s="6">
        <v>0</v>
      </c>
      <c r="M1175" s="71">
        <v>0</v>
      </c>
      <c r="N1175" s="6">
        <v>0</v>
      </c>
      <c r="O1175" s="71">
        <v>0</v>
      </c>
      <c r="P1175" s="6">
        <v>2</v>
      </c>
      <c r="Q1175" s="4" t="s">
        <v>26</v>
      </c>
      <c r="R1175" s="4">
        <v>0</v>
      </c>
      <c r="S1175" s="6">
        <v>26</v>
      </c>
      <c r="T1175" s="6">
        <v>0</v>
      </c>
      <c r="U1175" s="6">
        <v>0</v>
      </c>
      <c r="V1175" s="71">
        <f>IF(ISERROR(VLOOKUP($S$1175,'TAR FIN'!$A$1:$O$120,15,0)),0,VLOOKUP($S$1175,'TAR FIN'!$A$1:$O$120,15,0))*(1-0.08)</f>
        <v>8.1052</v>
      </c>
      <c r="W1175" s="71">
        <f>IF(ISERROR(VLOOKUP($T$1175,'TAR FIN'!$A$1:$O$120,15,0)),0,VLOOKUP($T$1175,'TAR FIN'!$A$1:$O$120,15,0))</f>
        <v>0</v>
      </c>
      <c r="X1175" s="71">
        <f>IF(ISERROR(VLOOKUP($U$1175,'TAR FIN'!$A$1:$O$120,15,0)),0,VLOOKUP($U$1175,'TAR FIN'!$A$1:$O$120,15,0))</f>
        <v>0</v>
      </c>
      <c r="Y1175" s="71">
        <f ca="1">('TUSD BE'!$AM$32+'TUSD BF'!$AM$32+'TUSD CVA'!$AM$32)*1*(1-0.06)</f>
        <v>10.765215249734004</v>
      </c>
      <c r="Z1175" s="71"/>
      <c r="AA1175" s="71"/>
      <c r="AB1175" s="6">
        <f>$K$1175*$V$1175</f>
        <v>2212.7195999999999</v>
      </c>
      <c r="AC1175" s="6">
        <f>$M$1175*$W$1175</f>
        <v>0</v>
      </c>
      <c r="AD1175" s="6">
        <f>$O$1175*$X$1175</f>
        <v>0</v>
      </c>
      <c r="AE1175" s="6">
        <f ca="1">$K$1175*$Y$1175</f>
        <v>2938.9037631773831</v>
      </c>
      <c r="AF1175" s="6">
        <f>$M$1175*$Z$1175</f>
        <v>0</v>
      </c>
      <c r="AG1175" s="6">
        <f>$O$1175*$AA$1175</f>
        <v>0</v>
      </c>
    </row>
    <row r="1176" spans="1:33" ht="11.25" customHeight="1" x14ac:dyDescent="0.25">
      <c r="A1176" s="4" t="s">
        <v>28</v>
      </c>
      <c r="B1176" s="4" t="s">
        <v>33</v>
      </c>
      <c r="C1176" s="4" t="s">
        <v>34</v>
      </c>
      <c r="D1176" s="4" t="s">
        <v>47</v>
      </c>
      <c r="E1176" s="4" t="s">
        <v>25</v>
      </c>
      <c r="F1176" s="4" t="s">
        <v>25</v>
      </c>
      <c r="G1176" s="4" t="s">
        <v>25</v>
      </c>
      <c r="H1176" s="4" t="s">
        <v>25</v>
      </c>
      <c r="I1176" s="5">
        <v>43922</v>
      </c>
      <c r="J1176" s="6">
        <v>872</v>
      </c>
      <c r="K1176" s="71">
        <v>872</v>
      </c>
      <c r="L1176" s="6">
        <v>0</v>
      </c>
      <c r="M1176" s="71">
        <v>0</v>
      </c>
      <c r="N1176" s="6">
        <v>0</v>
      </c>
      <c r="O1176" s="71">
        <v>0</v>
      </c>
      <c r="P1176" s="6">
        <v>3</v>
      </c>
      <c r="Q1176" s="4" t="s">
        <v>26</v>
      </c>
      <c r="R1176" s="4">
        <v>0</v>
      </c>
      <c r="S1176" s="6">
        <v>26</v>
      </c>
      <c r="T1176" s="6">
        <v>0</v>
      </c>
      <c r="U1176" s="6">
        <v>0</v>
      </c>
      <c r="V1176" s="71">
        <f>IF(ISERROR(VLOOKUP($S$1176,'TAR FIN'!$A$1:$O$120,15,0)),0,VLOOKUP($S$1176,'TAR FIN'!$A$1:$O$120,15,0))*(1-0.08)</f>
        <v>8.1052</v>
      </c>
      <c r="W1176" s="71">
        <f>IF(ISERROR(VLOOKUP($T$1176,'TAR FIN'!$A$1:$O$120,15,0)),0,VLOOKUP($T$1176,'TAR FIN'!$A$1:$O$120,15,0))</f>
        <v>0</v>
      </c>
      <c r="X1176" s="71">
        <f>IF(ISERROR(VLOOKUP($U$1176,'TAR FIN'!$A$1:$O$120,15,0)),0,VLOOKUP($U$1176,'TAR FIN'!$A$1:$O$120,15,0))</f>
        <v>0</v>
      </c>
      <c r="Y1176" s="71">
        <f ca="1">('TUSD BE'!$AM$32+'TUSD BF'!$AM$32+'TUSD CVA'!$AM$32)*1*(1-0.06)</f>
        <v>10.765215249734004</v>
      </c>
      <c r="Z1176" s="71"/>
      <c r="AA1176" s="71"/>
      <c r="AB1176" s="6">
        <f>$K$1176*$V$1176</f>
        <v>7067.7344000000003</v>
      </c>
      <c r="AC1176" s="6">
        <f>$M$1176*$W$1176</f>
        <v>0</v>
      </c>
      <c r="AD1176" s="6">
        <f>$O$1176*$X$1176</f>
        <v>0</v>
      </c>
      <c r="AE1176" s="6">
        <f ca="1">$K$1176*$Y$1176</f>
        <v>9387.2676977680512</v>
      </c>
      <c r="AF1176" s="6">
        <f>$M$1176*$Z$1176</f>
        <v>0</v>
      </c>
      <c r="AG1176" s="6">
        <f>$O$1176*$AA$1176</f>
        <v>0</v>
      </c>
    </row>
    <row r="1177" spans="1:33" ht="11.25" customHeight="1" x14ac:dyDescent="0.25">
      <c r="A1177" s="4" t="s">
        <v>21</v>
      </c>
      <c r="B1177" s="4" t="s">
        <v>33</v>
      </c>
      <c r="C1177" s="4" t="s">
        <v>34</v>
      </c>
      <c r="D1177" s="4" t="s">
        <v>47</v>
      </c>
      <c r="E1177" s="4" t="s">
        <v>25</v>
      </c>
      <c r="F1177" s="4" t="s">
        <v>25</v>
      </c>
      <c r="G1177" s="4" t="s">
        <v>25</v>
      </c>
      <c r="H1177" s="4" t="s">
        <v>25</v>
      </c>
      <c r="I1177" s="5">
        <v>43952</v>
      </c>
      <c r="J1177" s="6">
        <v>6137</v>
      </c>
      <c r="K1177" s="71">
        <v>6137</v>
      </c>
      <c r="L1177" s="6">
        <v>0</v>
      </c>
      <c r="M1177" s="71">
        <v>0</v>
      </c>
      <c r="N1177" s="6">
        <v>0</v>
      </c>
      <c r="O1177" s="71">
        <v>0</v>
      </c>
      <c r="P1177" s="6">
        <v>54</v>
      </c>
      <c r="Q1177" s="4" t="s">
        <v>26</v>
      </c>
      <c r="R1177" s="4">
        <v>0</v>
      </c>
      <c r="S1177" s="6">
        <v>26</v>
      </c>
      <c r="T1177" s="6">
        <v>0</v>
      </c>
      <c r="U1177" s="6">
        <v>0</v>
      </c>
      <c r="V1177" s="71">
        <f>IF(ISERROR(VLOOKUP($S$1177,'TAR FIN'!$A$1:$O$120,15,0)),0,VLOOKUP($S$1177,'TAR FIN'!$A$1:$O$120,15,0))*(1-0.08)</f>
        <v>8.1052</v>
      </c>
      <c r="W1177" s="71">
        <f>IF(ISERROR(VLOOKUP($T$1177,'TAR FIN'!$A$1:$O$120,15,0)),0,VLOOKUP($T$1177,'TAR FIN'!$A$1:$O$120,15,0))</f>
        <v>0</v>
      </c>
      <c r="X1177" s="71">
        <f>IF(ISERROR(VLOOKUP($U$1177,'TAR FIN'!$A$1:$O$120,15,0)),0,VLOOKUP($U$1177,'TAR FIN'!$A$1:$O$120,15,0))</f>
        <v>0</v>
      </c>
      <c r="Y1177" s="71">
        <f ca="1">('TUSD BE'!$AM$32+'TUSD BF'!$AM$32+'TUSD CVA'!$AM$32)*1*(1-0.06)</f>
        <v>10.765215249734004</v>
      </c>
      <c r="Z1177" s="71"/>
      <c r="AA1177" s="71"/>
      <c r="AB1177" s="6">
        <f>$K$1177*$V$1177</f>
        <v>49741.612399999998</v>
      </c>
      <c r="AC1177" s="6">
        <f>$M$1177*$W$1177</f>
        <v>0</v>
      </c>
      <c r="AD1177" s="6">
        <f>$O$1177*$X$1177</f>
        <v>0</v>
      </c>
      <c r="AE1177" s="6">
        <f ca="1">$K$1177*$Y$1177</f>
        <v>66066.125987617575</v>
      </c>
      <c r="AF1177" s="6">
        <f>$M$1177*$Z$1177</f>
        <v>0</v>
      </c>
      <c r="AG1177" s="6">
        <f>$O$1177*$AA$1177</f>
        <v>0</v>
      </c>
    </row>
    <row r="1178" spans="1:33" ht="11.25" customHeight="1" x14ac:dyDescent="0.25">
      <c r="A1178" s="4" t="s">
        <v>27</v>
      </c>
      <c r="B1178" s="4" t="s">
        <v>33</v>
      </c>
      <c r="C1178" s="4" t="s">
        <v>34</v>
      </c>
      <c r="D1178" s="4" t="s">
        <v>47</v>
      </c>
      <c r="E1178" s="4" t="s">
        <v>25</v>
      </c>
      <c r="F1178" s="4" t="s">
        <v>25</v>
      </c>
      <c r="G1178" s="4" t="s">
        <v>25</v>
      </c>
      <c r="H1178" s="4" t="s">
        <v>25</v>
      </c>
      <c r="I1178" s="5">
        <v>43952</v>
      </c>
      <c r="J1178" s="6">
        <v>471</v>
      </c>
      <c r="K1178" s="71">
        <v>471</v>
      </c>
      <c r="L1178" s="6">
        <v>0</v>
      </c>
      <c r="M1178" s="71">
        <v>0</v>
      </c>
      <c r="N1178" s="6">
        <v>0</v>
      </c>
      <c r="O1178" s="71">
        <v>0</v>
      </c>
      <c r="P1178" s="6">
        <v>2</v>
      </c>
      <c r="Q1178" s="4" t="s">
        <v>26</v>
      </c>
      <c r="R1178" s="4">
        <v>0</v>
      </c>
      <c r="S1178" s="6">
        <v>26</v>
      </c>
      <c r="T1178" s="6">
        <v>0</v>
      </c>
      <c r="U1178" s="6">
        <v>0</v>
      </c>
      <c r="V1178" s="71">
        <f>IF(ISERROR(VLOOKUP($S$1178,'TAR FIN'!$A$1:$O$120,15,0)),0,VLOOKUP($S$1178,'TAR FIN'!$A$1:$O$120,15,0))*(1-0.08)</f>
        <v>8.1052</v>
      </c>
      <c r="W1178" s="71">
        <f>IF(ISERROR(VLOOKUP($T$1178,'TAR FIN'!$A$1:$O$120,15,0)),0,VLOOKUP($T$1178,'TAR FIN'!$A$1:$O$120,15,0))</f>
        <v>0</v>
      </c>
      <c r="X1178" s="71">
        <f>IF(ISERROR(VLOOKUP($U$1178,'TAR FIN'!$A$1:$O$120,15,0)),0,VLOOKUP($U$1178,'TAR FIN'!$A$1:$O$120,15,0))</f>
        <v>0</v>
      </c>
      <c r="Y1178" s="71">
        <f ca="1">('TUSD BE'!$AM$32+'TUSD BF'!$AM$32+'TUSD CVA'!$AM$32)*1*(1-0.06)</f>
        <v>10.765215249734004</v>
      </c>
      <c r="Z1178" s="71"/>
      <c r="AA1178" s="71"/>
      <c r="AB1178" s="6">
        <f>$K$1178*$V$1178</f>
        <v>3817.5491999999999</v>
      </c>
      <c r="AC1178" s="6">
        <f>$M$1178*$W$1178</f>
        <v>0</v>
      </c>
      <c r="AD1178" s="6">
        <f>$O$1178*$X$1178</f>
        <v>0</v>
      </c>
      <c r="AE1178" s="6">
        <f ca="1">$K$1178*$Y$1178</f>
        <v>5070.4163826247159</v>
      </c>
      <c r="AF1178" s="6">
        <f>$M$1178*$Z$1178</f>
        <v>0</v>
      </c>
      <c r="AG1178" s="6">
        <f>$O$1178*$AA$1178</f>
        <v>0</v>
      </c>
    </row>
    <row r="1179" spans="1:33" ht="11.25" customHeight="1" x14ac:dyDescent="0.25">
      <c r="A1179" s="4" t="s">
        <v>28</v>
      </c>
      <c r="B1179" s="4" t="s">
        <v>33</v>
      </c>
      <c r="C1179" s="4" t="s">
        <v>34</v>
      </c>
      <c r="D1179" s="4" t="s">
        <v>47</v>
      </c>
      <c r="E1179" s="4" t="s">
        <v>25</v>
      </c>
      <c r="F1179" s="4" t="s">
        <v>25</v>
      </c>
      <c r="G1179" s="4" t="s">
        <v>25</v>
      </c>
      <c r="H1179" s="4" t="s">
        <v>25</v>
      </c>
      <c r="I1179" s="5">
        <v>43952</v>
      </c>
      <c r="J1179" s="6">
        <v>1120</v>
      </c>
      <c r="K1179" s="71">
        <v>1120</v>
      </c>
      <c r="L1179" s="6">
        <v>0</v>
      </c>
      <c r="M1179" s="71">
        <v>0</v>
      </c>
      <c r="N1179" s="6">
        <v>0</v>
      </c>
      <c r="O1179" s="71">
        <v>0</v>
      </c>
      <c r="P1179" s="6">
        <v>4</v>
      </c>
      <c r="Q1179" s="4" t="s">
        <v>26</v>
      </c>
      <c r="R1179" s="4">
        <v>0</v>
      </c>
      <c r="S1179" s="6">
        <v>26</v>
      </c>
      <c r="T1179" s="6">
        <v>0</v>
      </c>
      <c r="U1179" s="6">
        <v>0</v>
      </c>
      <c r="V1179" s="71">
        <f>IF(ISERROR(VLOOKUP($S$1179,'TAR FIN'!$A$1:$O$120,15,0)),0,VLOOKUP($S$1179,'TAR FIN'!$A$1:$O$120,15,0))*(1-0.08)</f>
        <v>8.1052</v>
      </c>
      <c r="W1179" s="71">
        <f>IF(ISERROR(VLOOKUP($T$1179,'TAR FIN'!$A$1:$O$120,15,0)),0,VLOOKUP($T$1179,'TAR FIN'!$A$1:$O$120,15,0))</f>
        <v>0</v>
      </c>
      <c r="X1179" s="71">
        <f>IF(ISERROR(VLOOKUP($U$1179,'TAR FIN'!$A$1:$O$120,15,0)),0,VLOOKUP($U$1179,'TAR FIN'!$A$1:$O$120,15,0))</f>
        <v>0</v>
      </c>
      <c r="Y1179" s="71">
        <f ca="1">('TUSD BE'!$AM$32+'TUSD BF'!$AM$32+'TUSD CVA'!$AM$32)*1*(1-0.06)</f>
        <v>10.765215249734004</v>
      </c>
      <c r="Z1179" s="71"/>
      <c r="AA1179" s="71"/>
      <c r="AB1179" s="6">
        <f>$K$1179*$V$1179</f>
        <v>9077.8240000000005</v>
      </c>
      <c r="AC1179" s="6">
        <f>$M$1179*$W$1179</f>
        <v>0</v>
      </c>
      <c r="AD1179" s="6">
        <f>$O$1179*$X$1179</f>
        <v>0</v>
      </c>
      <c r="AE1179" s="6">
        <f ca="1">$K$1179*$Y$1179</f>
        <v>12057.041079702085</v>
      </c>
      <c r="AF1179" s="6">
        <f>$M$1179*$Z$1179</f>
        <v>0</v>
      </c>
      <c r="AG1179" s="6">
        <f>$O$1179*$AA$1179</f>
        <v>0</v>
      </c>
    </row>
    <row r="1180" spans="1:33" ht="11.25" customHeight="1" x14ac:dyDescent="0.25">
      <c r="A1180" s="4" t="s">
        <v>21</v>
      </c>
      <c r="B1180" s="4" t="s">
        <v>33</v>
      </c>
      <c r="C1180" s="4" t="s">
        <v>34</v>
      </c>
      <c r="D1180" s="4" t="s">
        <v>47</v>
      </c>
      <c r="E1180" s="4" t="s">
        <v>25</v>
      </c>
      <c r="F1180" s="4" t="s">
        <v>25</v>
      </c>
      <c r="G1180" s="4" t="s">
        <v>25</v>
      </c>
      <c r="H1180" s="4" t="s">
        <v>25</v>
      </c>
      <c r="I1180" s="5">
        <v>43983</v>
      </c>
      <c r="J1180" s="6">
        <v>5979</v>
      </c>
      <c r="K1180" s="71">
        <v>5979</v>
      </c>
      <c r="L1180" s="6">
        <v>0</v>
      </c>
      <c r="M1180" s="71">
        <v>0</v>
      </c>
      <c r="N1180" s="6">
        <v>0</v>
      </c>
      <c r="O1180" s="71">
        <v>0</v>
      </c>
      <c r="P1180" s="6">
        <v>56</v>
      </c>
      <c r="Q1180" s="4" t="s">
        <v>26</v>
      </c>
      <c r="R1180" s="4">
        <v>0</v>
      </c>
      <c r="S1180" s="6">
        <v>26</v>
      </c>
      <c r="T1180" s="6">
        <v>0</v>
      </c>
      <c r="U1180" s="6">
        <v>0</v>
      </c>
      <c r="V1180" s="71">
        <f>IF(ISERROR(VLOOKUP($S$1180,'TAR FIN'!$A$1:$O$120,15,0)),0,VLOOKUP($S$1180,'TAR FIN'!$A$1:$O$120,15,0))*(1-0.08)</f>
        <v>8.1052</v>
      </c>
      <c r="W1180" s="71">
        <f>IF(ISERROR(VLOOKUP($T$1180,'TAR FIN'!$A$1:$O$120,15,0)),0,VLOOKUP($T$1180,'TAR FIN'!$A$1:$O$120,15,0))</f>
        <v>0</v>
      </c>
      <c r="X1180" s="71">
        <f>IF(ISERROR(VLOOKUP($U$1180,'TAR FIN'!$A$1:$O$120,15,0)),0,VLOOKUP($U$1180,'TAR FIN'!$A$1:$O$120,15,0))</f>
        <v>0</v>
      </c>
      <c r="Y1180" s="71">
        <f ca="1">('TUSD BE'!$AM$32+'TUSD BF'!$AM$32+'TUSD CVA'!$AM$32)*1*(1-0.06)</f>
        <v>10.765215249734004</v>
      </c>
      <c r="Z1180" s="71"/>
      <c r="AA1180" s="71"/>
      <c r="AB1180" s="6">
        <f>$K$1180*$V$1180</f>
        <v>48460.9908</v>
      </c>
      <c r="AC1180" s="6">
        <f>$M$1180*$W$1180</f>
        <v>0</v>
      </c>
      <c r="AD1180" s="6">
        <f>$O$1180*$X$1180</f>
        <v>0</v>
      </c>
      <c r="AE1180" s="6">
        <f ca="1">$K$1180*$Y$1180</f>
        <v>64365.221978159607</v>
      </c>
      <c r="AF1180" s="6">
        <f>$M$1180*$Z$1180</f>
        <v>0</v>
      </c>
      <c r="AG1180" s="6">
        <f>$O$1180*$AA$1180</f>
        <v>0</v>
      </c>
    </row>
    <row r="1181" spans="1:33" ht="11.25" customHeight="1" x14ac:dyDescent="0.25">
      <c r="A1181" s="4" t="s">
        <v>27</v>
      </c>
      <c r="B1181" s="4" t="s">
        <v>33</v>
      </c>
      <c r="C1181" s="4" t="s">
        <v>34</v>
      </c>
      <c r="D1181" s="4" t="s">
        <v>47</v>
      </c>
      <c r="E1181" s="4" t="s">
        <v>25</v>
      </c>
      <c r="F1181" s="4" t="s">
        <v>25</v>
      </c>
      <c r="G1181" s="4" t="s">
        <v>25</v>
      </c>
      <c r="H1181" s="4" t="s">
        <v>25</v>
      </c>
      <c r="I1181" s="5">
        <v>43983</v>
      </c>
      <c r="J1181" s="6">
        <v>397</v>
      </c>
      <c r="K1181" s="71">
        <v>397</v>
      </c>
      <c r="L1181" s="6">
        <v>0</v>
      </c>
      <c r="M1181" s="71">
        <v>0</v>
      </c>
      <c r="N1181" s="6">
        <v>0</v>
      </c>
      <c r="O1181" s="71">
        <v>0</v>
      </c>
      <c r="P1181" s="6">
        <v>2</v>
      </c>
      <c r="Q1181" s="4" t="s">
        <v>26</v>
      </c>
      <c r="R1181" s="4">
        <v>0</v>
      </c>
      <c r="S1181" s="6">
        <v>26</v>
      </c>
      <c r="T1181" s="6">
        <v>0</v>
      </c>
      <c r="U1181" s="6">
        <v>0</v>
      </c>
      <c r="V1181" s="71">
        <f>IF(ISERROR(VLOOKUP($S$1181,'TAR FIN'!$A$1:$O$120,15,0)),0,VLOOKUP($S$1181,'TAR FIN'!$A$1:$O$120,15,0))*(1-0.08)</f>
        <v>8.1052</v>
      </c>
      <c r="W1181" s="71">
        <f>IF(ISERROR(VLOOKUP($T$1181,'TAR FIN'!$A$1:$O$120,15,0)),0,VLOOKUP($T$1181,'TAR FIN'!$A$1:$O$120,15,0))</f>
        <v>0</v>
      </c>
      <c r="X1181" s="71">
        <f>IF(ISERROR(VLOOKUP($U$1181,'TAR FIN'!$A$1:$O$120,15,0)),0,VLOOKUP($U$1181,'TAR FIN'!$A$1:$O$120,15,0))</f>
        <v>0</v>
      </c>
      <c r="Y1181" s="71">
        <f ca="1">('TUSD BE'!$AM$32+'TUSD BF'!$AM$32+'TUSD CVA'!$AM$32)*1*(1-0.06)</f>
        <v>10.765215249734004</v>
      </c>
      <c r="Z1181" s="71"/>
      <c r="AA1181" s="71"/>
      <c r="AB1181" s="6">
        <f>$K$1181*$V$1181</f>
        <v>3217.7644</v>
      </c>
      <c r="AC1181" s="6">
        <f>$M$1181*$W$1181</f>
        <v>0</v>
      </c>
      <c r="AD1181" s="6">
        <f>$O$1181*$X$1181</f>
        <v>0</v>
      </c>
      <c r="AE1181" s="6">
        <f ca="1">$K$1181*$Y$1181</f>
        <v>4273.7904541443995</v>
      </c>
      <c r="AF1181" s="6">
        <f>$M$1181*$Z$1181</f>
        <v>0</v>
      </c>
      <c r="AG1181" s="6">
        <f>$O$1181*$AA$1181</f>
        <v>0</v>
      </c>
    </row>
    <row r="1182" spans="1:33" ht="11.25" customHeight="1" x14ac:dyDescent="0.25">
      <c r="A1182" s="4" t="s">
        <v>28</v>
      </c>
      <c r="B1182" s="4" t="s">
        <v>33</v>
      </c>
      <c r="C1182" s="4" t="s">
        <v>34</v>
      </c>
      <c r="D1182" s="4" t="s">
        <v>47</v>
      </c>
      <c r="E1182" s="4" t="s">
        <v>25</v>
      </c>
      <c r="F1182" s="4" t="s">
        <v>25</v>
      </c>
      <c r="G1182" s="4" t="s">
        <v>25</v>
      </c>
      <c r="H1182" s="4" t="s">
        <v>25</v>
      </c>
      <c r="I1182" s="5">
        <v>43983</v>
      </c>
      <c r="J1182" s="6">
        <v>1396</v>
      </c>
      <c r="K1182" s="71">
        <v>1396</v>
      </c>
      <c r="L1182" s="6">
        <v>0</v>
      </c>
      <c r="M1182" s="71">
        <v>0</v>
      </c>
      <c r="N1182" s="6">
        <v>0</v>
      </c>
      <c r="O1182" s="71">
        <v>0</v>
      </c>
      <c r="P1182" s="6">
        <v>5</v>
      </c>
      <c r="Q1182" s="4" t="s">
        <v>26</v>
      </c>
      <c r="R1182" s="4">
        <v>0</v>
      </c>
      <c r="S1182" s="6">
        <v>26</v>
      </c>
      <c r="T1182" s="6">
        <v>0</v>
      </c>
      <c r="U1182" s="6">
        <v>0</v>
      </c>
      <c r="V1182" s="71">
        <f>IF(ISERROR(VLOOKUP($S$1182,'TAR FIN'!$A$1:$O$120,15,0)),0,VLOOKUP($S$1182,'TAR FIN'!$A$1:$O$120,15,0))*(1-0.08)</f>
        <v>8.1052</v>
      </c>
      <c r="W1182" s="71">
        <f>IF(ISERROR(VLOOKUP($T$1182,'TAR FIN'!$A$1:$O$120,15,0)),0,VLOOKUP($T$1182,'TAR FIN'!$A$1:$O$120,15,0))</f>
        <v>0</v>
      </c>
      <c r="X1182" s="71">
        <f>IF(ISERROR(VLOOKUP($U$1182,'TAR FIN'!$A$1:$O$120,15,0)),0,VLOOKUP($U$1182,'TAR FIN'!$A$1:$O$120,15,0))</f>
        <v>0</v>
      </c>
      <c r="Y1182" s="71">
        <f ca="1">('TUSD BE'!$AM$32+'TUSD BF'!$AM$32+'TUSD CVA'!$AM$32)*1*(1-0.06)</f>
        <v>10.765215249734004</v>
      </c>
      <c r="Z1182" s="71"/>
      <c r="AA1182" s="71"/>
      <c r="AB1182" s="6">
        <f>$K$1182*$V$1182</f>
        <v>11314.859200000001</v>
      </c>
      <c r="AC1182" s="6">
        <f>$M$1182*$W$1182</f>
        <v>0</v>
      </c>
      <c r="AD1182" s="6">
        <f>$O$1182*$X$1182</f>
        <v>0</v>
      </c>
      <c r="AE1182" s="6">
        <f ca="1">$K$1182*$Y$1182</f>
        <v>15028.240488628669</v>
      </c>
      <c r="AF1182" s="6">
        <f>$M$1182*$Z$1182</f>
        <v>0</v>
      </c>
      <c r="AG1182" s="6">
        <f>$O$1182*$AA$1182</f>
        <v>0</v>
      </c>
    </row>
    <row r="1183" spans="1:33" ht="11.25" customHeight="1" x14ac:dyDescent="0.25">
      <c r="A1183" s="4" t="s">
        <v>21</v>
      </c>
      <c r="B1183" s="4" t="s">
        <v>33</v>
      </c>
      <c r="C1183" s="4" t="s">
        <v>34</v>
      </c>
      <c r="D1183" s="4" t="s">
        <v>47</v>
      </c>
      <c r="E1183" s="4" t="s">
        <v>25</v>
      </c>
      <c r="F1183" s="4" t="s">
        <v>25</v>
      </c>
      <c r="G1183" s="4" t="s">
        <v>25</v>
      </c>
      <c r="H1183" s="4" t="s">
        <v>25</v>
      </c>
      <c r="I1183" s="5">
        <v>44013</v>
      </c>
      <c r="J1183" s="6">
        <v>5798</v>
      </c>
      <c r="K1183" s="71">
        <v>5798</v>
      </c>
      <c r="L1183" s="6">
        <v>0</v>
      </c>
      <c r="M1183" s="71">
        <v>0</v>
      </c>
      <c r="N1183" s="6">
        <v>0</v>
      </c>
      <c r="O1183" s="71">
        <v>0</v>
      </c>
      <c r="P1183" s="6">
        <v>55</v>
      </c>
      <c r="Q1183" s="4" t="s">
        <v>26</v>
      </c>
      <c r="R1183" s="4">
        <v>0</v>
      </c>
      <c r="S1183" s="6">
        <v>26</v>
      </c>
      <c r="T1183" s="6">
        <v>0</v>
      </c>
      <c r="U1183" s="6">
        <v>0</v>
      </c>
      <c r="V1183" s="71">
        <f>IF(ISERROR(VLOOKUP($S$1183,'TAR FIN'!$A$1:$O$120,15,0)),0,VLOOKUP($S$1183,'TAR FIN'!$A$1:$O$120,15,0))*(1-0.08)</f>
        <v>8.1052</v>
      </c>
      <c r="W1183" s="71">
        <f>IF(ISERROR(VLOOKUP($T$1183,'TAR FIN'!$A$1:$O$120,15,0)),0,VLOOKUP($T$1183,'TAR FIN'!$A$1:$O$120,15,0))</f>
        <v>0</v>
      </c>
      <c r="X1183" s="71">
        <f>IF(ISERROR(VLOOKUP($U$1183,'TAR FIN'!$A$1:$O$120,15,0)),0,VLOOKUP($U$1183,'TAR FIN'!$A$1:$O$120,15,0))</f>
        <v>0</v>
      </c>
      <c r="Y1183" s="71">
        <f ca="1">('TUSD BE'!$AM$32+'TUSD BF'!$AM$32+'TUSD CVA'!$AM$32)*1*(1-0.06)</f>
        <v>10.765215249734004</v>
      </c>
      <c r="Z1183" s="71"/>
      <c r="AA1183" s="71"/>
      <c r="AB1183" s="6">
        <f>$K$1183*$V$1183</f>
        <v>46993.9496</v>
      </c>
      <c r="AC1183" s="6">
        <f>$M$1183*$W$1183</f>
        <v>0</v>
      </c>
      <c r="AD1183" s="6">
        <f>$O$1183*$X$1183</f>
        <v>0</v>
      </c>
      <c r="AE1183" s="6">
        <f ca="1">$K$1183*$Y$1183</f>
        <v>62416.718017957755</v>
      </c>
      <c r="AF1183" s="6">
        <f>$M$1183*$Z$1183</f>
        <v>0</v>
      </c>
      <c r="AG1183" s="6">
        <f>$O$1183*$AA$1183</f>
        <v>0</v>
      </c>
    </row>
    <row r="1184" spans="1:33" ht="11.25" customHeight="1" x14ac:dyDescent="0.25">
      <c r="A1184" s="4" t="s">
        <v>27</v>
      </c>
      <c r="B1184" s="4" t="s">
        <v>33</v>
      </c>
      <c r="C1184" s="4" t="s">
        <v>34</v>
      </c>
      <c r="D1184" s="4" t="s">
        <v>47</v>
      </c>
      <c r="E1184" s="4" t="s">
        <v>25</v>
      </c>
      <c r="F1184" s="4" t="s">
        <v>25</v>
      </c>
      <c r="G1184" s="4" t="s">
        <v>25</v>
      </c>
      <c r="H1184" s="4" t="s">
        <v>25</v>
      </c>
      <c r="I1184" s="5">
        <v>44013</v>
      </c>
      <c r="J1184" s="6">
        <v>455</v>
      </c>
      <c r="K1184" s="71">
        <v>455</v>
      </c>
      <c r="L1184" s="6">
        <v>0</v>
      </c>
      <c r="M1184" s="71">
        <v>0</v>
      </c>
      <c r="N1184" s="6">
        <v>0</v>
      </c>
      <c r="O1184" s="71">
        <v>0</v>
      </c>
      <c r="P1184" s="6">
        <v>2</v>
      </c>
      <c r="Q1184" s="4" t="s">
        <v>26</v>
      </c>
      <c r="R1184" s="4">
        <v>0</v>
      </c>
      <c r="S1184" s="6">
        <v>26</v>
      </c>
      <c r="T1184" s="6">
        <v>0</v>
      </c>
      <c r="U1184" s="6">
        <v>0</v>
      </c>
      <c r="V1184" s="71">
        <f>IF(ISERROR(VLOOKUP($S$1184,'TAR FIN'!$A$1:$O$120,15,0)),0,VLOOKUP($S$1184,'TAR FIN'!$A$1:$O$120,15,0))*(1-0.08)</f>
        <v>8.1052</v>
      </c>
      <c r="W1184" s="71">
        <f>IF(ISERROR(VLOOKUP($T$1184,'TAR FIN'!$A$1:$O$120,15,0)),0,VLOOKUP($T$1184,'TAR FIN'!$A$1:$O$120,15,0))</f>
        <v>0</v>
      </c>
      <c r="X1184" s="71">
        <f>IF(ISERROR(VLOOKUP($U$1184,'TAR FIN'!$A$1:$O$120,15,0)),0,VLOOKUP($U$1184,'TAR FIN'!$A$1:$O$120,15,0))</f>
        <v>0</v>
      </c>
      <c r="Y1184" s="71">
        <f ca="1">('TUSD BE'!$AM$32+'TUSD BF'!$AM$32+'TUSD CVA'!$AM$32)*1*(1-0.06)</f>
        <v>10.765215249734004</v>
      </c>
      <c r="Z1184" s="71"/>
      <c r="AA1184" s="71"/>
      <c r="AB1184" s="6">
        <f>$K$1184*$V$1184</f>
        <v>3687.866</v>
      </c>
      <c r="AC1184" s="6">
        <f>$M$1184*$W$1184</f>
        <v>0</v>
      </c>
      <c r="AD1184" s="6">
        <f>$O$1184*$X$1184</f>
        <v>0</v>
      </c>
      <c r="AE1184" s="6">
        <f ca="1">$K$1184*$Y$1184</f>
        <v>4898.1729386289717</v>
      </c>
      <c r="AF1184" s="6">
        <f>$M$1184*$Z$1184</f>
        <v>0</v>
      </c>
      <c r="AG1184" s="6">
        <f>$O$1184*$AA$1184</f>
        <v>0</v>
      </c>
    </row>
    <row r="1185" spans="1:33" ht="11.25" customHeight="1" x14ac:dyDescent="0.25">
      <c r="A1185" s="4" t="s">
        <v>28</v>
      </c>
      <c r="B1185" s="4" t="s">
        <v>33</v>
      </c>
      <c r="C1185" s="4" t="s">
        <v>34</v>
      </c>
      <c r="D1185" s="4" t="s">
        <v>47</v>
      </c>
      <c r="E1185" s="4" t="s">
        <v>25</v>
      </c>
      <c r="F1185" s="4" t="s">
        <v>25</v>
      </c>
      <c r="G1185" s="4" t="s">
        <v>25</v>
      </c>
      <c r="H1185" s="4" t="s">
        <v>25</v>
      </c>
      <c r="I1185" s="5">
        <v>44013</v>
      </c>
      <c r="J1185" s="6">
        <v>1893</v>
      </c>
      <c r="K1185" s="71">
        <v>1893</v>
      </c>
      <c r="L1185" s="6">
        <v>0</v>
      </c>
      <c r="M1185" s="71">
        <v>0</v>
      </c>
      <c r="N1185" s="6">
        <v>0</v>
      </c>
      <c r="O1185" s="71">
        <v>0</v>
      </c>
      <c r="P1185" s="6">
        <v>5</v>
      </c>
      <c r="Q1185" s="4" t="s">
        <v>26</v>
      </c>
      <c r="R1185" s="4">
        <v>0</v>
      </c>
      <c r="S1185" s="6">
        <v>26</v>
      </c>
      <c r="T1185" s="6">
        <v>0</v>
      </c>
      <c r="U1185" s="6">
        <v>0</v>
      </c>
      <c r="V1185" s="71">
        <f>IF(ISERROR(VLOOKUP($S$1185,'TAR FIN'!$A$1:$O$120,15,0)),0,VLOOKUP($S$1185,'TAR FIN'!$A$1:$O$120,15,0))*(1-0.08)</f>
        <v>8.1052</v>
      </c>
      <c r="W1185" s="71">
        <f>IF(ISERROR(VLOOKUP($T$1185,'TAR FIN'!$A$1:$O$120,15,0)),0,VLOOKUP($T$1185,'TAR FIN'!$A$1:$O$120,15,0))</f>
        <v>0</v>
      </c>
      <c r="X1185" s="71">
        <f>IF(ISERROR(VLOOKUP($U$1185,'TAR FIN'!$A$1:$O$120,15,0)),0,VLOOKUP($U$1185,'TAR FIN'!$A$1:$O$120,15,0))</f>
        <v>0</v>
      </c>
      <c r="Y1185" s="71">
        <f ca="1">('TUSD BE'!$AM$32+'TUSD BF'!$AM$32+'TUSD CVA'!$AM$32)*1*(1-0.06)</f>
        <v>10.765215249734004</v>
      </c>
      <c r="Z1185" s="71"/>
      <c r="AA1185" s="71"/>
      <c r="AB1185" s="6">
        <f>$K$1185*$V$1185</f>
        <v>15343.143599999999</v>
      </c>
      <c r="AC1185" s="6">
        <f>$M$1185*$W$1185</f>
        <v>0</v>
      </c>
      <c r="AD1185" s="6">
        <f>$O$1185*$X$1185</f>
        <v>0</v>
      </c>
      <c r="AE1185" s="6">
        <f ca="1">$K$1185*$Y$1185</f>
        <v>20378.552467746467</v>
      </c>
      <c r="AF1185" s="6">
        <f>$M$1185*$Z$1185</f>
        <v>0</v>
      </c>
      <c r="AG1185" s="6">
        <f>$O$1185*$AA$1185</f>
        <v>0</v>
      </c>
    </row>
    <row r="1186" spans="1:33" ht="11.25" customHeight="1" x14ac:dyDescent="0.25">
      <c r="A1186" s="4" t="s">
        <v>21</v>
      </c>
      <c r="B1186" s="4" t="s">
        <v>33</v>
      </c>
      <c r="C1186" s="4" t="s">
        <v>34</v>
      </c>
      <c r="D1186" s="4" t="s">
        <v>47</v>
      </c>
      <c r="E1186" s="4" t="s">
        <v>25</v>
      </c>
      <c r="F1186" s="4" t="s">
        <v>25</v>
      </c>
      <c r="G1186" s="4" t="s">
        <v>25</v>
      </c>
      <c r="H1186" s="4" t="s">
        <v>25</v>
      </c>
      <c r="I1186" s="5">
        <v>44044</v>
      </c>
      <c r="J1186" s="6">
        <v>6044</v>
      </c>
      <c r="K1186" s="71">
        <v>6044</v>
      </c>
      <c r="L1186" s="6">
        <v>0</v>
      </c>
      <c r="M1186" s="71">
        <v>0</v>
      </c>
      <c r="N1186" s="6">
        <v>0</v>
      </c>
      <c r="O1186" s="71">
        <v>0</v>
      </c>
      <c r="P1186" s="6">
        <v>54</v>
      </c>
      <c r="Q1186" s="4" t="s">
        <v>26</v>
      </c>
      <c r="R1186" s="4">
        <v>0</v>
      </c>
      <c r="S1186" s="6">
        <v>26</v>
      </c>
      <c r="T1186" s="6">
        <v>0</v>
      </c>
      <c r="U1186" s="6">
        <v>0</v>
      </c>
      <c r="V1186" s="71">
        <f>IF(ISERROR(VLOOKUP($S$1186,'TAR FIN'!$A$1:$O$120,15,0)),0,VLOOKUP($S$1186,'TAR FIN'!$A$1:$O$120,15,0))*(1-0.08)</f>
        <v>8.1052</v>
      </c>
      <c r="W1186" s="71">
        <f>IF(ISERROR(VLOOKUP($T$1186,'TAR FIN'!$A$1:$O$120,15,0)),0,VLOOKUP($T$1186,'TAR FIN'!$A$1:$O$120,15,0))</f>
        <v>0</v>
      </c>
      <c r="X1186" s="71">
        <f>IF(ISERROR(VLOOKUP($U$1186,'TAR FIN'!$A$1:$O$120,15,0)),0,VLOOKUP($U$1186,'TAR FIN'!$A$1:$O$120,15,0))</f>
        <v>0</v>
      </c>
      <c r="Y1186" s="71">
        <f ca="1">('TUSD BE'!$AM$32+'TUSD BF'!$AM$32+'TUSD CVA'!$AM$32)*1*(1-0.06)</f>
        <v>10.765215249734004</v>
      </c>
      <c r="Z1186" s="71"/>
      <c r="AA1186" s="71"/>
      <c r="AB1186" s="6">
        <f>$K$1186*$V$1186</f>
        <v>48987.828800000003</v>
      </c>
      <c r="AC1186" s="6">
        <f>$M$1186*$W$1186</f>
        <v>0</v>
      </c>
      <c r="AD1186" s="6">
        <f>$O$1186*$X$1186</f>
        <v>0</v>
      </c>
      <c r="AE1186" s="6">
        <f ca="1">$K$1186*$Y$1186</f>
        <v>65064.960969392319</v>
      </c>
      <c r="AF1186" s="6">
        <f>$M$1186*$Z$1186</f>
        <v>0</v>
      </c>
      <c r="AG1186" s="6">
        <f>$O$1186*$AA$1186</f>
        <v>0</v>
      </c>
    </row>
    <row r="1187" spans="1:33" ht="11.25" customHeight="1" x14ac:dyDescent="0.25">
      <c r="A1187" s="4" t="s">
        <v>27</v>
      </c>
      <c r="B1187" s="4" t="s">
        <v>33</v>
      </c>
      <c r="C1187" s="4" t="s">
        <v>34</v>
      </c>
      <c r="D1187" s="4" t="s">
        <v>47</v>
      </c>
      <c r="E1187" s="4" t="s">
        <v>25</v>
      </c>
      <c r="F1187" s="4" t="s">
        <v>25</v>
      </c>
      <c r="G1187" s="4" t="s">
        <v>25</v>
      </c>
      <c r="H1187" s="4" t="s">
        <v>25</v>
      </c>
      <c r="I1187" s="5">
        <v>44044</v>
      </c>
      <c r="J1187" s="6">
        <v>513</v>
      </c>
      <c r="K1187" s="71">
        <v>513</v>
      </c>
      <c r="L1187" s="6">
        <v>0</v>
      </c>
      <c r="M1187" s="71">
        <v>0</v>
      </c>
      <c r="N1187" s="6">
        <v>0</v>
      </c>
      <c r="O1187" s="71">
        <v>0</v>
      </c>
      <c r="P1187" s="6">
        <v>2</v>
      </c>
      <c r="Q1187" s="4" t="s">
        <v>26</v>
      </c>
      <c r="R1187" s="4">
        <v>0</v>
      </c>
      <c r="S1187" s="6">
        <v>26</v>
      </c>
      <c r="T1187" s="6">
        <v>0</v>
      </c>
      <c r="U1187" s="6">
        <v>0</v>
      </c>
      <c r="V1187" s="71">
        <f>IF(ISERROR(VLOOKUP($S$1187,'TAR FIN'!$A$1:$O$120,15,0)),0,VLOOKUP($S$1187,'TAR FIN'!$A$1:$O$120,15,0))*(1-0.08)</f>
        <v>8.1052</v>
      </c>
      <c r="W1187" s="71">
        <f>IF(ISERROR(VLOOKUP($T$1187,'TAR FIN'!$A$1:$O$120,15,0)),0,VLOOKUP($T$1187,'TAR FIN'!$A$1:$O$120,15,0))</f>
        <v>0</v>
      </c>
      <c r="X1187" s="71">
        <f>IF(ISERROR(VLOOKUP($U$1187,'TAR FIN'!$A$1:$O$120,15,0)),0,VLOOKUP($U$1187,'TAR FIN'!$A$1:$O$120,15,0))</f>
        <v>0</v>
      </c>
      <c r="Y1187" s="71">
        <f ca="1">('TUSD BE'!$AM$32+'TUSD BF'!$AM$32+'TUSD CVA'!$AM$32)*1*(1-0.06)</f>
        <v>10.765215249734004</v>
      </c>
      <c r="Z1187" s="71"/>
      <c r="AA1187" s="71"/>
      <c r="AB1187" s="6">
        <f>$K$1187*$V$1187</f>
        <v>4157.9675999999999</v>
      </c>
      <c r="AC1187" s="6">
        <f>$M$1187*$W$1187</f>
        <v>0</v>
      </c>
      <c r="AD1187" s="6">
        <f>$O$1187*$X$1187</f>
        <v>0</v>
      </c>
      <c r="AE1187" s="6">
        <f ca="1">$K$1187*$Y$1187</f>
        <v>5522.5554231135438</v>
      </c>
      <c r="AF1187" s="6">
        <f>$M$1187*$Z$1187</f>
        <v>0</v>
      </c>
      <c r="AG1187" s="6">
        <f>$O$1187*$AA$1187</f>
        <v>0</v>
      </c>
    </row>
    <row r="1188" spans="1:33" ht="11.25" customHeight="1" x14ac:dyDescent="0.25">
      <c r="A1188" s="4" t="s">
        <v>28</v>
      </c>
      <c r="B1188" s="4" t="s">
        <v>33</v>
      </c>
      <c r="C1188" s="4" t="s">
        <v>34</v>
      </c>
      <c r="D1188" s="4" t="s">
        <v>47</v>
      </c>
      <c r="E1188" s="4" t="s">
        <v>25</v>
      </c>
      <c r="F1188" s="4" t="s">
        <v>25</v>
      </c>
      <c r="G1188" s="4" t="s">
        <v>25</v>
      </c>
      <c r="H1188" s="4" t="s">
        <v>25</v>
      </c>
      <c r="I1188" s="5">
        <v>44044</v>
      </c>
      <c r="J1188" s="6">
        <v>1996</v>
      </c>
      <c r="K1188" s="71">
        <v>1996</v>
      </c>
      <c r="L1188" s="6">
        <v>0</v>
      </c>
      <c r="M1188" s="71">
        <v>0</v>
      </c>
      <c r="N1188" s="6">
        <v>0</v>
      </c>
      <c r="O1188" s="71">
        <v>0</v>
      </c>
      <c r="P1188" s="6">
        <v>5</v>
      </c>
      <c r="Q1188" s="4" t="s">
        <v>26</v>
      </c>
      <c r="R1188" s="4">
        <v>0</v>
      </c>
      <c r="S1188" s="6">
        <v>26</v>
      </c>
      <c r="T1188" s="6">
        <v>0</v>
      </c>
      <c r="U1188" s="6">
        <v>0</v>
      </c>
      <c r="V1188" s="71">
        <f>IF(ISERROR(VLOOKUP($S$1188,'TAR FIN'!$A$1:$O$120,15,0)),0,VLOOKUP($S$1188,'TAR FIN'!$A$1:$O$120,15,0))*(1-0.08)</f>
        <v>8.1052</v>
      </c>
      <c r="W1188" s="71">
        <f>IF(ISERROR(VLOOKUP($T$1188,'TAR FIN'!$A$1:$O$120,15,0)),0,VLOOKUP($T$1188,'TAR FIN'!$A$1:$O$120,15,0))</f>
        <v>0</v>
      </c>
      <c r="X1188" s="71">
        <f>IF(ISERROR(VLOOKUP($U$1188,'TAR FIN'!$A$1:$O$120,15,0)),0,VLOOKUP($U$1188,'TAR FIN'!$A$1:$O$120,15,0))</f>
        <v>0</v>
      </c>
      <c r="Y1188" s="71">
        <f ca="1">('TUSD BE'!$AM$32+'TUSD BF'!$AM$32+'TUSD CVA'!$AM$32)*1*(1-0.06)</f>
        <v>10.765215249734004</v>
      </c>
      <c r="Z1188" s="71"/>
      <c r="AA1188" s="71"/>
      <c r="AB1188" s="6">
        <f>$K$1188*$V$1188</f>
        <v>16177.9792</v>
      </c>
      <c r="AC1188" s="6">
        <f>$M$1188*$W$1188</f>
        <v>0</v>
      </c>
      <c r="AD1188" s="6">
        <f>$O$1188*$X$1188</f>
        <v>0</v>
      </c>
      <c r="AE1188" s="6">
        <f ca="1">$K$1188*$Y$1188</f>
        <v>21487.36963846907</v>
      </c>
      <c r="AF1188" s="6">
        <f>$M$1188*$Z$1188</f>
        <v>0</v>
      </c>
      <c r="AG1188" s="6">
        <f>$O$1188*$AA$1188</f>
        <v>0</v>
      </c>
    </row>
    <row r="1189" spans="1:33" ht="11.25" customHeight="1" x14ac:dyDescent="0.25">
      <c r="A1189" s="4" t="s">
        <v>59</v>
      </c>
      <c r="B1189" s="4" t="s">
        <v>33</v>
      </c>
      <c r="C1189" s="4" t="s">
        <v>34</v>
      </c>
      <c r="D1189" s="4" t="s">
        <v>47</v>
      </c>
      <c r="E1189" s="4" t="s">
        <v>25</v>
      </c>
      <c r="F1189" s="4" t="s">
        <v>25</v>
      </c>
      <c r="G1189" s="4" t="s">
        <v>25</v>
      </c>
      <c r="H1189" s="4" t="s">
        <v>25</v>
      </c>
      <c r="I1189" s="5">
        <v>44075</v>
      </c>
      <c r="J1189" s="6">
        <v>6044</v>
      </c>
      <c r="K1189" s="71">
        <v>6044</v>
      </c>
      <c r="L1189" s="6">
        <v>0</v>
      </c>
      <c r="M1189" s="71">
        <v>0</v>
      </c>
      <c r="N1189" s="6">
        <v>0</v>
      </c>
      <c r="O1189" s="71">
        <v>0</v>
      </c>
      <c r="P1189" s="6">
        <v>54</v>
      </c>
      <c r="Q1189" s="4" t="s">
        <v>26</v>
      </c>
      <c r="R1189" s="4">
        <v>0</v>
      </c>
      <c r="S1189" s="6">
        <v>26</v>
      </c>
      <c r="T1189" s="6">
        <v>0</v>
      </c>
      <c r="U1189" s="6">
        <v>0</v>
      </c>
      <c r="V1189" s="71">
        <f>IF(ISERROR(VLOOKUP($S$1189,'TAR FIN'!$A$1:$O$120,15,0)),0,VLOOKUP($S$1189,'TAR FIN'!$A$1:$O$120,15,0))*(1-0.08)</f>
        <v>8.1052</v>
      </c>
      <c r="W1189" s="71">
        <f>IF(ISERROR(VLOOKUP($T$1189,'TAR FIN'!$A$1:$O$120,15,0)),0,VLOOKUP($T$1189,'TAR FIN'!$A$1:$O$120,15,0))</f>
        <v>0</v>
      </c>
      <c r="X1189" s="71">
        <f>IF(ISERROR(VLOOKUP($U$1189,'TAR FIN'!$A$1:$O$120,15,0)),0,VLOOKUP($U$1189,'TAR FIN'!$A$1:$O$120,15,0))</f>
        <v>0</v>
      </c>
      <c r="Y1189" s="71">
        <f ca="1">('TUSD BE'!$AM$32+'TUSD BF'!$AM$32+'TUSD CVA'!$AM$32)*1*(1-0.06)</f>
        <v>10.765215249734004</v>
      </c>
      <c r="Z1189" s="71"/>
      <c r="AA1189" s="71"/>
      <c r="AB1189" s="6">
        <f>$K$1189*$V$1189</f>
        <v>48987.828800000003</v>
      </c>
      <c r="AC1189" s="6">
        <f>$M$1189*$W$1189</f>
        <v>0</v>
      </c>
      <c r="AD1189" s="6">
        <f>$O$1189*$X$1189</f>
        <v>0</v>
      </c>
      <c r="AE1189" s="6">
        <f ca="1">$K$1189*$Y$1189</f>
        <v>65064.960969392319</v>
      </c>
      <c r="AF1189" s="6">
        <f>$M$1189*$Z$1189</f>
        <v>0</v>
      </c>
      <c r="AG1189" s="6">
        <f>$O$1189*$AA$1189</f>
        <v>0</v>
      </c>
    </row>
    <row r="1190" spans="1:33" ht="11.25" customHeight="1" x14ac:dyDescent="0.25">
      <c r="A1190" s="4" t="s">
        <v>59</v>
      </c>
      <c r="B1190" s="4" t="s">
        <v>33</v>
      </c>
      <c r="C1190" s="4" t="s">
        <v>34</v>
      </c>
      <c r="D1190" s="4" t="s">
        <v>47</v>
      </c>
      <c r="E1190" s="4" t="s">
        <v>25</v>
      </c>
      <c r="F1190" s="4" t="s">
        <v>25</v>
      </c>
      <c r="G1190" s="4" t="s">
        <v>25</v>
      </c>
      <c r="H1190" s="4" t="s">
        <v>25</v>
      </c>
      <c r="I1190" s="5">
        <v>44075</v>
      </c>
      <c r="J1190" s="6">
        <v>513</v>
      </c>
      <c r="K1190" s="71">
        <v>513</v>
      </c>
      <c r="L1190" s="6">
        <v>0</v>
      </c>
      <c r="M1190" s="71">
        <v>0</v>
      </c>
      <c r="N1190" s="6">
        <v>0</v>
      </c>
      <c r="O1190" s="71">
        <v>0</v>
      </c>
      <c r="P1190" s="6">
        <v>2</v>
      </c>
      <c r="Q1190" s="4" t="s">
        <v>26</v>
      </c>
      <c r="R1190" s="4">
        <v>0</v>
      </c>
      <c r="S1190" s="6">
        <v>26</v>
      </c>
      <c r="T1190" s="6">
        <v>0</v>
      </c>
      <c r="U1190" s="6">
        <v>0</v>
      </c>
      <c r="V1190" s="71">
        <f>IF(ISERROR(VLOOKUP($S$1190,'TAR FIN'!$A$1:$O$120,15,0)),0,VLOOKUP($S$1190,'TAR FIN'!$A$1:$O$120,15,0))*(1-0.08)</f>
        <v>8.1052</v>
      </c>
      <c r="W1190" s="71">
        <f>IF(ISERROR(VLOOKUP($T$1190,'TAR FIN'!$A$1:$O$120,15,0)),0,VLOOKUP($T$1190,'TAR FIN'!$A$1:$O$120,15,0))</f>
        <v>0</v>
      </c>
      <c r="X1190" s="71">
        <f>IF(ISERROR(VLOOKUP($U$1190,'TAR FIN'!$A$1:$O$120,15,0)),0,VLOOKUP($U$1190,'TAR FIN'!$A$1:$O$120,15,0))</f>
        <v>0</v>
      </c>
      <c r="Y1190" s="71">
        <f ca="1">('TUSD BE'!$AM$32+'TUSD BF'!$AM$32+'TUSD CVA'!$AM$32)*1*(1-0.06)</f>
        <v>10.765215249734004</v>
      </c>
      <c r="Z1190" s="71"/>
      <c r="AA1190" s="71"/>
      <c r="AB1190" s="6">
        <f>$K$1190*$V$1190</f>
        <v>4157.9675999999999</v>
      </c>
      <c r="AC1190" s="6">
        <f>$M$1190*$W$1190</f>
        <v>0</v>
      </c>
      <c r="AD1190" s="6">
        <f>$O$1190*$X$1190</f>
        <v>0</v>
      </c>
      <c r="AE1190" s="6">
        <f ca="1">$K$1190*$Y$1190</f>
        <v>5522.5554231135438</v>
      </c>
      <c r="AF1190" s="6">
        <f>$M$1190*$Z$1190</f>
        <v>0</v>
      </c>
      <c r="AG1190" s="6">
        <f>$O$1190*$AA$1190</f>
        <v>0</v>
      </c>
    </row>
    <row r="1191" spans="1:33" ht="11.25" customHeight="1" x14ac:dyDescent="0.25">
      <c r="A1191" s="4" t="s">
        <v>59</v>
      </c>
      <c r="B1191" s="4" t="s">
        <v>33</v>
      </c>
      <c r="C1191" s="4" t="s">
        <v>34</v>
      </c>
      <c r="D1191" s="4" t="s">
        <v>47</v>
      </c>
      <c r="E1191" s="4" t="s">
        <v>25</v>
      </c>
      <c r="F1191" s="4" t="s">
        <v>25</v>
      </c>
      <c r="G1191" s="4" t="s">
        <v>25</v>
      </c>
      <c r="H1191" s="4" t="s">
        <v>25</v>
      </c>
      <c r="I1191" s="5">
        <v>44075</v>
      </c>
      <c r="J1191" s="6">
        <v>1996</v>
      </c>
      <c r="K1191" s="71">
        <v>1996</v>
      </c>
      <c r="L1191" s="6">
        <v>0</v>
      </c>
      <c r="M1191" s="71">
        <v>0</v>
      </c>
      <c r="N1191" s="6">
        <v>0</v>
      </c>
      <c r="O1191" s="71">
        <v>0</v>
      </c>
      <c r="P1191" s="6">
        <v>5</v>
      </c>
      <c r="Q1191" s="4" t="s">
        <v>26</v>
      </c>
      <c r="R1191" s="4">
        <v>0</v>
      </c>
      <c r="S1191" s="6">
        <v>26</v>
      </c>
      <c r="T1191" s="6">
        <v>0</v>
      </c>
      <c r="U1191" s="6">
        <v>0</v>
      </c>
      <c r="V1191" s="71">
        <f>IF(ISERROR(VLOOKUP($S$1191,'TAR FIN'!$A$1:$O$120,15,0)),0,VLOOKUP($S$1191,'TAR FIN'!$A$1:$O$120,15,0))*(1-0.08)</f>
        <v>8.1052</v>
      </c>
      <c r="W1191" s="71">
        <f>IF(ISERROR(VLOOKUP($T$1191,'TAR FIN'!$A$1:$O$120,15,0)),0,VLOOKUP($T$1191,'TAR FIN'!$A$1:$O$120,15,0))</f>
        <v>0</v>
      </c>
      <c r="X1191" s="71">
        <f>IF(ISERROR(VLOOKUP($U$1191,'TAR FIN'!$A$1:$O$120,15,0)),0,VLOOKUP($U$1191,'TAR FIN'!$A$1:$O$120,15,0))</f>
        <v>0</v>
      </c>
      <c r="Y1191" s="71">
        <f ca="1">('TUSD BE'!$AM$32+'TUSD BF'!$AM$32+'TUSD CVA'!$AM$32)*1*(1-0.06)</f>
        <v>10.765215249734004</v>
      </c>
      <c r="Z1191" s="71"/>
      <c r="AA1191" s="71"/>
      <c r="AB1191" s="6">
        <f>$K$1191*$V$1191</f>
        <v>16177.9792</v>
      </c>
      <c r="AC1191" s="6">
        <f>$M$1191*$W$1191</f>
        <v>0</v>
      </c>
      <c r="AD1191" s="6">
        <f>$O$1191*$X$1191</f>
        <v>0</v>
      </c>
      <c r="AE1191" s="6">
        <f ca="1">$K$1191*$Y$1191</f>
        <v>21487.36963846907</v>
      </c>
      <c r="AF1191" s="6">
        <f>$M$1191*$Z$1191</f>
        <v>0</v>
      </c>
      <c r="AG1191" s="6">
        <f>$O$1191*$AA$1191</f>
        <v>0</v>
      </c>
    </row>
    <row r="1192" spans="1:33" ht="11.25" customHeight="1" x14ac:dyDescent="0.25">
      <c r="A1192" s="4" t="s">
        <v>21</v>
      </c>
      <c r="B1192" s="4" t="s">
        <v>33</v>
      </c>
      <c r="C1192" s="4" t="s">
        <v>34</v>
      </c>
      <c r="D1192" s="4" t="s">
        <v>47</v>
      </c>
      <c r="E1192" s="4" t="s">
        <v>25</v>
      </c>
      <c r="F1192" s="4" t="s">
        <v>25</v>
      </c>
      <c r="G1192" s="4" t="s">
        <v>25</v>
      </c>
      <c r="H1192" s="4" t="s">
        <v>35</v>
      </c>
      <c r="I1192" s="5">
        <v>43739</v>
      </c>
      <c r="J1192" s="6">
        <v>0</v>
      </c>
      <c r="K1192" s="71">
        <v>0</v>
      </c>
      <c r="L1192" s="6">
        <v>167.59899999999999</v>
      </c>
      <c r="M1192" s="71">
        <v>167.59899999999999</v>
      </c>
      <c r="N1192" s="6">
        <v>167.59899999999999</v>
      </c>
      <c r="O1192" s="71">
        <v>167.59899999999999</v>
      </c>
      <c r="P1192" s="6">
        <v>0</v>
      </c>
      <c r="Q1192" s="4" t="s">
        <v>26</v>
      </c>
      <c r="R1192" s="4">
        <v>0</v>
      </c>
      <c r="S1192" s="6">
        <v>0</v>
      </c>
      <c r="T1192" s="6">
        <v>27</v>
      </c>
      <c r="U1192" s="6">
        <v>81</v>
      </c>
      <c r="V1192" s="71">
        <f>IF(ISERROR(VLOOKUP($S$1192,'TAR FIN'!$A$1:$O$120,15,0)),0,VLOOKUP($S$1192,'TAR FIN'!$A$1:$O$120,15,0))</f>
        <v>0</v>
      </c>
      <c r="W1192" s="71">
        <f>IF(ISERROR(VLOOKUP($T$1192,'TAR FIN'!$A$1:$O$120,15,0)),0,VLOOKUP($T$1192,'TAR FIN'!$A$1:$O$120,15,0))*(1-0.08)</f>
        <v>590.63080000000002</v>
      </c>
      <c r="X1192" s="71">
        <f>IF(ISERROR(VLOOKUP($U$1192,'TAR FIN'!$A$1:$O$120,15,0)),0,VLOOKUP($U$1192,'TAR FIN'!$A$1:$O$120,15,0))*(1-0.08)</f>
        <v>396.40040000000005</v>
      </c>
      <c r="Y1192" s="71"/>
      <c r="Z1192" s="71">
        <f ca="1">('TUSD BE'!$AM$33+'TUSD BF'!$AM$33+'TUSD CVA'!$AM$33)*1*(1-0.06)</f>
        <v>702.86961706946545</v>
      </c>
      <c r="AA1192" s="71">
        <f>('TE BE'!$AA$10+'TE BF'!$AA$10+'TE CVA'!$AA$10)*1*(1-0.06)</f>
        <v>353.15029452578722</v>
      </c>
      <c r="AB1192" s="6">
        <f>$K$1192*$V$1192</f>
        <v>0</v>
      </c>
      <c r="AC1192" s="6">
        <f>$M$1192*$W$1192</f>
        <v>98989.131449199995</v>
      </c>
      <c r="AD1192" s="6">
        <f>$O$1192*$X$1192</f>
        <v>66436.310639600008</v>
      </c>
      <c r="AE1192" s="6">
        <f>$K$1192*$Y$1192</f>
        <v>0</v>
      </c>
      <c r="AF1192" s="6">
        <f ca="1">$M$1192*$Z$1192</f>
        <v>117800.24495122534</v>
      </c>
      <c r="AG1192" s="6">
        <f>$O$1192*$AA$1192</f>
        <v>59187.636212227408</v>
      </c>
    </row>
    <row r="1193" spans="1:33" ht="11.25" customHeight="1" x14ac:dyDescent="0.25">
      <c r="A1193" s="4" t="s">
        <v>28</v>
      </c>
      <c r="B1193" s="4" t="s">
        <v>33</v>
      </c>
      <c r="C1193" s="4" t="s">
        <v>34</v>
      </c>
      <c r="D1193" s="4" t="s">
        <v>47</v>
      </c>
      <c r="E1193" s="4" t="s">
        <v>25</v>
      </c>
      <c r="F1193" s="4" t="s">
        <v>25</v>
      </c>
      <c r="G1193" s="4" t="s">
        <v>25</v>
      </c>
      <c r="H1193" s="4" t="s">
        <v>35</v>
      </c>
      <c r="I1193" s="5">
        <v>43739</v>
      </c>
      <c r="J1193" s="6">
        <v>0</v>
      </c>
      <c r="K1193" s="71">
        <v>0</v>
      </c>
      <c r="L1193" s="6">
        <v>17.416</v>
      </c>
      <c r="M1193" s="71">
        <v>17.416</v>
      </c>
      <c r="N1193" s="6">
        <v>17.416</v>
      </c>
      <c r="O1193" s="71">
        <v>17.416</v>
      </c>
      <c r="P1193" s="6">
        <v>0</v>
      </c>
      <c r="Q1193" s="4" t="s">
        <v>26</v>
      </c>
      <c r="R1193" s="4">
        <v>0</v>
      </c>
      <c r="S1193" s="6">
        <v>0</v>
      </c>
      <c r="T1193" s="6">
        <v>27</v>
      </c>
      <c r="U1193" s="6">
        <v>81</v>
      </c>
      <c r="V1193" s="71">
        <f>IF(ISERROR(VLOOKUP($S$1193,'TAR FIN'!$A$1:$O$120,15,0)),0,VLOOKUP($S$1193,'TAR FIN'!$A$1:$O$120,15,0))</f>
        <v>0</v>
      </c>
      <c r="W1193" s="71">
        <f>IF(ISERROR(VLOOKUP($T$1193,'TAR FIN'!$A$1:$O$120,15,0)),0,VLOOKUP($T$1193,'TAR FIN'!$A$1:$O$120,15,0))*(1-0.08)</f>
        <v>590.63080000000002</v>
      </c>
      <c r="X1193" s="71">
        <f>IF(ISERROR(VLOOKUP($U$1193,'TAR FIN'!$A$1:$O$120,15,0)),0,VLOOKUP($U$1193,'TAR FIN'!$A$1:$O$120,15,0))*(1-0.08)</f>
        <v>396.40040000000005</v>
      </c>
      <c r="Y1193" s="71"/>
      <c r="Z1193" s="71">
        <f ca="1">('TUSD BE'!$AM$33+'TUSD BF'!$AM$33+'TUSD CVA'!$AM$33)*1*(1-0.06)</f>
        <v>702.86961706946545</v>
      </c>
      <c r="AA1193" s="71">
        <f>('TE BE'!$AA$10+'TE BF'!$AA$10+'TE CVA'!$AA$10)*1*(1-0.06)</f>
        <v>353.15029452578722</v>
      </c>
      <c r="AB1193" s="6">
        <f>$K$1193*$V$1193</f>
        <v>0</v>
      </c>
      <c r="AC1193" s="6">
        <f>$M$1193*$W$1193</f>
        <v>10286.426012800001</v>
      </c>
      <c r="AD1193" s="6">
        <f>$O$1193*$X$1193</f>
        <v>6903.7093664000013</v>
      </c>
      <c r="AE1193" s="6">
        <f>$K$1193*$Y$1193</f>
        <v>0</v>
      </c>
      <c r="AF1193" s="6">
        <f ca="1">$M$1193*$Z$1193</f>
        <v>12241.17725088181</v>
      </c>
      <c r="AG1193" s="6">
        <f>$O$1193*$AA$1193</f>
        <v>6150.4655294611102</v>
      </c>
    </row>
    <row r="1194" spans="1:33" ht="11.25" customHeight="1" x14ac:dyDescent="0.25">
      <c r="A1194" s="4" t="s">
        <v>21</v>
      </c>
      <c r="B1194" s="4" t="s">
        <v>33</v>
      </c>
      <c r="C1194" s="4" t="s">
        <v>34</v>
      </c>
      <c r="D1194" s="4" t="s">
        <v>47</v>
      </c>
      <c r="E1194" s="4" t="s">
        <v>25</v>
      </c>
      <c r="F1194" s="4" t="s">
        <v>25</v>
      </c>
      <c r="G1194" s="4" t="s">
        <v>25</v>
      </c>
      <c r="H1194" s="4" t="s">
        <v>35</v>
      </c>
      <c r="I1194" s="5">
        <v>43770</v>
      </c>
      <c r="J1194" s="6">
        <v>0</v>
      </c>
      <c r="K1194" s="71">
        <v>0</v>
      </c>
      <c r="L1194" s="6">
        <v>181.14400000000001</v>
      </c>
      <c r="M1194" s="71">
        <v>181.14400000000001</v>
      </c>
      <c r="N1194" s="6">
        <v>181.14400000000001</v>
      </c>
      <c r="O1194" s="71">
        <v>181.14400000000001</v>
      </c>
      <c r="P1194" s="6">
        <v>0</v>
      </c>
      <c r="Q1194" s="4" t="s">
        <v>26</v>
      </c>
      <c r="R1194" s="4">
        <v>0</v>
      </c>
      <c r="S1194" s="6">
        <v>0</v>
      </c>
      <c r="T1194" s="6">
        <v>27</v>
      </c>
      <c r="U1194" s="6">
        <v>81</v>
      </c>
      <c r="V1194" s="71">
        <f>IF(ISERROR(VLOOKUP($S$1194,'TAR FIN'!$A$1:$O$120,15,0)),0,VLOOKUP($S$1194,'TAR FIN'!$A$1:$O$120,15,0))</f>
        <v>0</v>
      </c>
      <c r="W1194" s="71">
        <f>IF(ISERROR(VLOOKUP($T$1194,'TAR FIN'!$A$1:$O$120,15,0)),0,VLOOKUP($T$1194,'TAR FIN'!$A$1:$O$120,15,0))*(1-0.08)</f>
        <v>590.63080000000002</v>
      </c>
      <c r="X1194" s="71">
        <f>IF(ISERROR(VLOOKUP($U$1194,'TAR FIN'!$A$1:$O$120,15,0)),0,VLOOKUP($U$1194,'TAR FIN'!$A$1:$O$120,15,0))*(1-0.08)</f>
        <v>396.40040000000005</v>
      </c>
      <c r="Y1194" s="71"/>
      <c r="Z1194" s="71">
        <f ca="1">('TUSD BE'!$AM$33+'TUSD BF'!$AM$33+'TUSD CVA'!$AM$33)*1*(1-0.06)</f>
        <v>702.86961706946545</v>
      </c>
      <c r="AA1194" s="71">
        <f>('TE BE'!$AA$10+'TE BF'!$AA$10+'TE CVA'!$AA$10)*1*(1-0.06)</f>
        <v>353.15029452578722</v>
      </c>
      <c r="AB1194" s="6">
        <f>$K$1194*$V$1194</f>
        <v>0</v>
      </c>
      <c r="AC1194" s="6">
        <f>$M$1194*$W$1194</f>
        <v>106989.22563520001</v>
      </c>
      <c r="AD1194" s="6">
        <f>$O$1194*$X$1194</f>
        <v>71805.554057600006</v>
      </c>
      <c r="AE1194" s="6">
        <f>$K$1194*$Y$1194</f>
        <v>0</v>
      </c>
      <c r="AF1194" s="6">
        <f ca="1">$M$1194*$Z$1194</f>
        <v>127320.61391443125</v>
      </c>
      <c r="AG1194" s="6">
        <f>$O$1194*$AA$1194</f>
        <v>63971.056951579201</v>
      </c>
    </row>
    <row r="1195" spans="1:33" ht="11.25" customHeight="1" x14ac:dyDescent="0.25">
      <c r="A1195" s="4" t="s">
        <v>28</v>
      </c>
      <c r="B1195" s="4" t="s">
        <v>33</v>
      </c>
      <c r="C1195" s="4" t="s">
        <v>34</v>
      </c>
      <c r="D1195" s="4" t="s">
        <v>47</v>
      </c>
      <c r="E1195" s="4" t="s">
        <v>25</v>
      </c>
      <c r="F1195" s="4" t="s">
        <v>25</v>
      </c>
      <c r="G1195" s="4" t="s">
        <v>25</v>
      </c>
      <c r="H1195" s="4" t="s">
        <v>35</v>
      </c>
      <c r="I1195" s="5">
        <v>43770</v>
      </c>
      <c r="J1195" s="6">
        <v>0</v>
      </c>
      <c r="K1195" s="71">
        <v>0</v>
      </c>
      <c r="L1195" s="6">
        <v>1.5629999999999999</v>
      </c>
      <c r="M1195" s="71">
        <v>1.5629999999999999</v>
      </c>
      <c r="N1195" s="6">
        <v>1.5629999999999999</v>
      </c>
      <c r="O1195" s="71">
        <v>1.5629999999999999</v>
      </c>
      <c r="P1195" s="6">
        <v>0</v>
      </c>
      <c r="Q1195" s="4" t="s">
        <v>26</v>
      </c>
      <c r="R1195" s="4">
        <v>0</v>
      </c>
      <c r="S1195" s="6">
        <v>0</v>
      </c>
      <c r="T1195" s="6">
        <v>27</v>
      </c>
      <c r="U1195" s="6">
        <v>81</v>
      </c>
      <c r="V1195" s="71">
        <f>IF(ISERROR(VLOOKUP($S$1195,'TAR FIN'!$A$1:$O$120,15,0)),0,VLOOKUP($S$1195,'TAR FIN'!$A$1:$O$120,15,0))</f>
        <v>0</v>
      </c>
      <c r="W1195" s="71">
        <f>IF(ISERROR(VLOOKUP($T$1195,'TAR FIN'!$A$1:$O$120,15,0)),0,VLOOKUP($T$1195,'TAR FIN'!$A$1:$O$120,15,0))*(1-0.08)</f>
        <v>590.63080000000002</v>
      </c>
      <c r="X1195" s="71">
        <f>IF(ISERROR(VLOOKUP($U$1195,'TAR FIN'!$A$1:$O$120,15,0)),0,VLOOKUP($U$1195,'TAR FIN'!$A$1:$O$120,15,0))*(1-0.08)</f>
        <v>396.40040000000005</v>
      </c>
      <c r="Y1195" s="71"/>
      <c r="Z1195" s="71">
        <f ca="1">('TUSD BE'!$AM$33+'TUSD BF'!$AM$33+'TUSD CVA'!$AM$33)*1*(1-0.06)</f>
        <v>702.86961706946545</v>
      </c>
      <c r="AA1195" s="71">
        <f>('TE BE'!$AA$10+'TE BF'!$AA$10+'TE CVA'!$AA$10)*1*(1-0.06)</f>
        <v>353.15029452578722</v>
      </c>
      <c r="AB1195" s="6">
        <f>$K$1195*$V$1195</f>
        <v>0</v>
      </c>
      <c r="AC1195" s="6">
        <f>$M$1195*$W$1195</f>
        <v>923.15594039999996</v>
      </c>
      <c r="AD1195" s="6">
        <f>$O$1195*$X$1195</f>
        <v>619.5738252000001</v>
      </c>
      <c r="AE1195" s="6">
        <f>$K$1195*$Y$1195</f>
        <v>0</v>
      </c>
      <c r="AF1195" s="6">
        <f ca="1">$M$1195*$Z$1195</f>
        <v>1098.5852114795744</v>
      </c>
      <c r="AG1195" s="6">
        <f>$O$1195*$AA$1195</f>
        <v>551.97391034380541</v>
      </c>
    </row>
    <row r="1196" spans="1:33" ht="11.25" customHeight="1" x14ac:dyDescent="0.25">
      <c r="A1196" s="4" t="s">
        <v>21</v>
      </c>
      <c r="B1196" s="4" t="s">
        <v>33</v>
      </c>
      <c r="C1196" s="4" t="s">
        <v>34</v>
      </c>
      <c r="D1196" s="4" t="s">
        <v>47</v>
      </c>
      <c r="E1196" s="4" t="s">
        <v>25</v>
      </c>
      <c r="F1196" s="4" t="s">
        <v>25</v>
      </c>
      <c r="G1196" s="4" t="s">
        <v>25</v>
      </c>
      <c r="H1196" s="4" t="s">
        <v>35</v>
      </c>
      <c r="I1196" s="5">
        <v>43800</v>
      </c>
      <c r="J1196" s="6">
        <v>0</v>
      </c>
      <c r="K1196" s="71">
        <v>0</v>
      </c>
      <c r="L1196" s="6">
        <v>150.98500000000001</v>
      </c>
      <c r="M1196" s="71">
        <v>150.98500000000001</v>
      </c>
      <c r="N1196" s="6">
        <v>150.98500000000001</v>
      </c>
      <c r="O1196" s="71">
        <v>150.98500000000001</v>
      </c>
      <c r="P1196" s="6">
        <v>0</v>
      </c>
      <c r="Q1196" s="4" t="s">
        <v>26</v>
      </c>
      <c r="R1196" s="4">
        <v>0</v>
      </c>
      <c r="S1196" s="6">
        <v>0</v>
      </c>
      <c r="T1196" s="6">
        <v>27</v>
      </c>
      <c r="U1196" s="6">
        <v>81</v>
      </c>
      <c r="V1196" s="71">
        <f>IF(ISERROR(VLOOKUP($S$1196,'TAR FIN'!$A$1:$O$120,15,0)),0,VLOOKUP($S$1196,'TAR FIN'!$A$1:$O$120,15,0))</f>
        <v>0</v>
      </c>
      <c r="W1196" s="71">
        <f>IF(ISERROR(VLOOKUP($T$1196,'TAR FIN'!$A$1:$O$120,15,0)),0,VLOOKUP($T$1196,'TAR FIN'!$A$1:$O$120,15,0))*(1-0.08)</f>
        <v>590.63080000000002</v>
      </c>
      <c r="X1196" s="71">
        <f>IF(ISERROR(VLOOKUP($U$1196,'TAR FIN'!$A$1:$O$120,15,0)),0,VLOOKUP($U$1196,'TAR FIN'!$A$1:$O$120,15,0))*(1-0.08)</f>
        <v>396.40040000000005</v>
      </c>
      <c r="Y1196" s="71"/>
      <c r="Z1196" s="71">
        <f ca="1">('TUSD BE'!$AM$33+'TUSD BF'!$AM$33+'TUSD CVA'!$AM$33)*1*(1-0.06)</f>
        <v>702.86961706946545</v>
      </c>
      <c r="AA1196" s="71">
        <f>('TE BE'!$AA$10+'TE BF'!$AA$10+'TE CVA'!$AA$10)*1*(1-0.06)</f>
        <v>353.15029452578722</v>
      </c>
      <c r="AB1196" s="6">
        <f>$K$1196*$V$1196</f>
        <v>0</v>
      </c>
      <c r="AC1196" s="6">
        <f>$M$1196*$W$1196</f>
        <v>89176.391338000016</v>
      </c>
      <c r="AD1196" s="6">
        <f>$O$1196*$X$1196</f>
        <v>59850.514394000013</v>
      </c>
      <c r="AE1196" s="6">
        <f>$K$1196*$Y$1196</f>
        <v>0</v>
      </c>
      <c r="AF1196" s="6">
        <f ca="1">$M$1196*$Z$1196</f>
        <v>106122.76913323325</v>
      </c>
      <c r="AG1196" s="6">
        <f>$O$1196*$AA$1196</f>
        <v>53320.397218975988</v>
      </c>
    </row>
    <row r="1197" spans="1:33" ht="11.25" customHeight="1" x14ac:dyDescent="0.25">
      <c r="A1197" s="4" t="s">
        <v>27</v>
      </c>
      <c r="B1197" s="4" t="s">
        <v>33</v>
      </c>
      <c r="C1197" s="4" t="s">
        <v>34</v>
      </c>
      <c r="D1197" s="4" t="s">
        <v>47</v>
      </c>
      <c r="E1197" s="4" t="s">
        <v>25</v>
      </c>
      <c r="F1197" s="4" t="s">
        <v>25</v>
      </c>
      <c r="G1197" s="4" t="s">
        <v>25</v>
      </c>
      <c r="H1197" s="4" t="s">
        <v>35</v>
      </c>
      <c r="I1197" s="5">
        <v>43800</v>
      </c>
      <c r="J1197" s="6">
        <v>0</v>
      </c>
      <c r="K1197" s="71">
        <v>0</v>
      </c>
      <c r="L1197" s="6">
        <v>0.311</v>
      </c>
      <c r="M1197" s="71">
        <v>0.311</v>
      </c>
      <c r="N1197" s="6">
        <v>0.311</v>
      </c>
      <c r="O1197" s="71">
        <v>0.311</v>
      </c>
      <c r="P1197" s="6">
        <v>0</v>
      </c>
      <c r="Q1197" s="4" t="s">
        <v>26</v>
      </c>
      <c r="R1197" s="4">
        <v>0</v>
      </c>
      <c r="S1197" s="6">
        <v>0</v>
      </c>
      <c r="T1197" s="6">
        <v>27</v>
      </c>
      <c r="U1197" s="6">
        <v>81</v>
      </c>
      <c r="V1197" s="71">
        <f>IF(ISERROR(VLOOKUP($S$1197,'TAR FIN'!$A$1:$O$120,15,0)),0,VLOOKUP($S$1197,'TAR FIN'!$A$1:$O$120,15,0))</f>
        <v>0</v>
      </c>
      <c r="W1197" s="71">
        <f>IF(ISERROR(VLOOKUP($T$1197,'TAR FIN'!$A$1:$O$120,15,0)),0,VLOOKUP($T$1197,'TAR FIN'!$A$1:$O$120,15,0))*(1-0.08)</f>
        <v>590.63080000000002</v>
      </c>
      <c r="X1197" s="71">
        <f>IF(ISERROR(VLOOKUP($U$1197,'TAR FIN'!$A$1:$O$120,15,0)),0,VLOOKUP($U$1197,'TAR FIN'!$A$1:$O$120,15,0))*(1-0.08)</f>
        <v>396.40040000000005</v>
      </c>
      <c r="Y1197" s="71"/>
      <c r="Z1197" s="71">
        <f ca="1">('TUSD BE'!$AM$33+'TUSD BF'!$AM$33+'TUSD CVA'!$AM$33)*1*(1-0.06)</f>
        <v>702.86961706946545</v>
      </c>
      <c r="AA1197" s="71">
        <f>('TE BE'!$AA$10+'TE BF'!$AA$10+'TE CVA'!$AA$10)*1*(1-0.06)</f>
        <v>353.15029452578722</v>
      </c>
      <c r="AB1197" s="6">
        <f>$K$1197*$V$1197</f>
        <v>0</v>
      </c>
      <c r="AC1197" s="6">
        <f>$M$1197*$W$1197</f>
        <v>183.68617879999999</v>
      </c>
      <c r="AD1197" s="6">
        <f>$O$1197*$X$1197</f>
        <v>123.28052440000002</v>
      </c>
      <c r="AE1197" s="6">
        <f>$K$1197*$Y$1197</f>
        <v>0</v>
      </c>
      <c r="AF1197" s="6">
        <f ca="1">$M$1197*$Z$1197</f>
        <v>218.59245090860375</v>
      </c>
      <c r="AG1197" s="6">
        <f>$O$1197*$AA$1197</f>
        <v>109.82974159751983</v>
      </c>
    </row>
    <row r="1198" spans="1:33" ht="11.25" customHeight="1" x14ac:dyDescent="0.25">
      <c r="A1198" s="4" t="s">
        <v>28</v>
      </c>
      <c r="B1198" s="4" t="s">
        <v>33</v>
      </c>
      <c r="C1198" s="4" t="s">
        <v>34</v>
      </c>
      <c r="D1198" s="4" t="s">
        <v>47</v>
      </c>
      <c r="E1198" s="4" t="s">
        <v>25</v>
      </c>
      <c r="F1198" s="4" t="s">
        <v>25</v>
      </c>
      <c r="G1198" s="4" t="s">
        <v>25</v>
      </c>
      <c r="H1198" s="4" t="s">
        <v>35</v>
      </c>
      <c r="I1198" s="5">
        <v>43800</v>
      </c>
      <c r="J1198" s="6">
        <v>0</v>
      </c>
      <c r="K1198" s="71">
        <v>0</v>
      </c>
      <c r="L1198" s="6">
        <v>0.875</v>
      </c>
      <c r="M1198" s="71">
        <v>0.875</v>
      </c>
      <c r="N1198" s="6">
        <v>0.875</v>
      </c>
      <c r="O1198" s="71">
        <v>0.875</v>
      </c>
      <c r="P1198" s="6">
        <v>0</v>
      </c>
      <c r="Q1198" s="4" t="s">
        <v>26</v>
      </c>
      <c r="R1198" s="4">
        <v>0</v>
      </c>
      <c r="S1198" s="6">
        <v>0</v>
      </c>
      <c r="T1198" s="6">
        <v>27</v>
      </c>
      <c r="U1198" s="6">
        <v>81</v>
      </c>
      <c r="V1198" s="71">
        <f>IF(ISERROR(VLOOKUP($S$1198,'TAR FIN'!$A$1:$O$120,15,0)),0,VLOOKUP($S$1198,'TAR FIN'!$A$1:$O$120,15,0))</f>
        <v>0</v>
      </c>
      <c r="W1198" s="71">
        <f>IF(ISERROR(VLOOKUP($T$1198,'TAR FIN'!$A$1:$O$120,15,0)),0,VLOOKUP($T$1198,'TAR FIN'!$A$1:$O$120,15,0))*(1-0.08)</f>
        <v>590.63080000000002</v>
      </c>
      <c r="X1198" s="71">
        <f>IF(ISERROR(VLOOKUP($U$1198,'TAR FIN'!$A$1:$O$120,15,0)),0,VLOOKUP($U$1198,'TAR FIN'!$A$1:$O$120,15,0))*(1-0.08)</f>
        <v>396.40040000000005</v>
      </c>
      <c r="Y1198" s="71"/>
      <c r="Z1198" s="71">
        <f ca="1">('TUSD BE'!$AM$33+'TUSD BF'!$AM$33+'TUSD CVA'!$AM$33)*1*(1-0.06)</f>
        <v>702.86961706946545</v>
      </c>
      <c r="AA1198" s="71">
        <f>('TE BE'!$AA$10+'TE BF'!$AA$10+'TE CVA'!$AA$10)*1*(1-0.06)</f>
        <v>353.15029452578722</v>
      </c>
      <c r="AB1198" s="6">
        <f>$K$1198*$V$1198</f>
        <v>0</v>
      </c>
      <c r="AC1198" s="6">
        <f>$M$1198*$W$1198</f>
        <v>516.80195000000003</v>
      </c>
      <c r="AD1198" s="6">
        <f>$O$1198*$X$1198</f>
        <v>346.85035000000005</v>
      </c>
      <c r="AE1198" s="6">
        <f>$K$1198*$Y$1198</f>
        <v>0</v>
      </c>
      <c r="AF1198" s="6">
        <f ca="1">$M$1198*$Z$1198</f>
        <v>615.01091493578224</v>
      </c>
      <c r="AG1198" s="6">
        <f>$O$1198*$AA$1198</f>
        <v>309.00650771006383</v>
      </c>
    </row>
    <row r="1199" spans="1:33" ht="11.25" customHeight="1" x14ac:dyDescent="0.25">
      <c r="A1199" s="4" t="s">
        <v>21</v>
      </c>
      <c r="B1199" s="4" t="s">
        <v>33</v>
      </c>
      <c r="C1199" s="4" t="s">
        <v>34</v>
      </c>
      <c r="D1199" s="4" t="s">
        <v>47</v>
      </c>
      <c r="E1199" s="4" t="s">
        <v>25</v>
      </c>
      <c r="F1199" s="4" t="s">
        <v>25</v>
      </c>
      <c r="G1199" s="4" t="s">
        <v>25</v>
      </c>
      <c r="H1199" s="4" t="s">
        <v>35</v>
      </c>
      <c r="I1199" s="5">
        <v>43831</v>
      </c>
      <c r="J1199" s="6">
        <v>0</v>
      </c>
      <c r="K1199" s="71">
        <v>0</v>
      </c>
      <c r="L1199" s="6">
        <v>126.56699999999999</v>
      </c>
      <c r="M1199" s="71">
        <v>126.56699999999999</v>
      </c>
      <c r="N1199" s="6">
        <v>126.56699999999999</v>
      </c>
      <c r="O1199" s="71">
        <v>126.56699999999999</v>
      </c>
      <c r="P1199" s="6">
        <v>0</v>
      </c>
      <c r="Q1199" s="4" t="s">
        <v>26</v>
      </c>
      <c r="R1199" s="4">
        <v>0</v>
      </c>
      <c r="S1199" s="6">
        <v>0</v>
      </c>
      <c r="T1199" s="6">
        <v>27</v>
      </c>
      <c r="U1199" s="6">
        <v>81</v>
      </c>
      <c r="V1199" s="71">
        <f>IF(ISERROR(VLOOKUP($S$1199,'TAR FIN'!$A$1:$O$120,15,0)),0,VLOOKUP($S$1199,'TAR FIN'!$A$1:$O$120,15,0))</f>
        <v>0</v>
      </c>
      <c r="W1199" s="71">
        <f>IF(ISERROR(VLOOKUP($T$1199,'TAR FIN'!$A$1:$O$120,15,0)),0,VLOOKUP($T$1199,'TAR FIN'!$A$1:$O$120,15,0))*(1-0.08)</f>
        <v>590.63080000000002</v>
      </c>
      <c r="X1199" s="71">
        <f>IF(ISERROR(VLOOKUP($U$1199,'TAR FIN'!$A$1:$O$120,15,0)),0,VLOOKUP($U$1199,'TAR FIN'!$A$1:$O$120,15,0))*(1-0.08)</f>
        <v>396.40040000000005</v>
      </c>
      <c r="Y1199" s="71"/>
      <c r="Z1199" s="71">
        <f ca="1">('TUSD BE'!$AM$33+'TUSD BF'!$AM$33+'TUSD CVA'!$AM$33)*1*(1-0.06)</f>
        <v>702.86961706946545</v>
      </c>
      <c r="AA1199" s="71">
        <f>('TE BE'!$AA$10+'TE BF'!$AA$10+'TE CVA'!$AA$10)*1*(1-0.06)</f>
        <v>353.15029452578722</v>
      </c>
      <c r="AB1199" s="6">
        <f>$K$1199*$V$1199</f>
        <v>0</v>
      </c>
      <c r="AC1199" s="6">
        <f>$M$1199*$W$1199</f>
        <v>74754.368463599996</v>
      </c>
      <c r="AD1199" s="6">
        <f>$O$1199*$X$1199</f>
        <v>50171.2094268</v>
      </c>
      <c r="AE1199" s="6">
        <f>$K$1199*$Y$1199</f>
        <v>0</v>
      </c>
      <c r="AF1199" s="6">
        <f ca="1">$M$1199*$Z$1199</f>
        <v>88960.098823631022</v>
      </c>
      <c r="AG1199" s="6">
        <f>$O$1199*$AA$1199</f>
        <v>44697.173327245306</v>
      </c>
    </row>
    <row r="1200" spans="1:33" ht="11.25" customHeight="1" x14ac:dyDescent="0.25">
      <c r="A1200" s="4" t="s">
        <v>28</v>
      </c>
      <c r="B1200" s="4" t="s">
        <v>33</v>
      </c>
      <c r="C1200" s="4" t="s">
        <v>34</v>
      </c>
      <c r="D1200" s="4" t="s">
        <v>47</v>
      </c>
      <c r="E1200" s="4" t="s">
        <v>25</v>
      </c>
      <c r="F1200" s="4" t="s">
        <v>25</v>
      </c>
      <c r="G1200" s="4" t="s">
        <v>25</v>
      </c>
      <c r="H1200" s="4" t="s">
        <v>35</v>
      </c>
      <c r="I1200" s="5">
        <v>43831</v>
      </c>
      <c r="J1200" s="6">
        <v>0</v>
      </c>
      <c r="K1200" s="71">
        <v>0</v>
      </c>
      <c r="L1200" s="6">
        <v>1.6359999999999999</v>
      </c>
      <c r="M1200" s="71">
        <v>1.6359999999999999</v>
      </c>
      <c r="N1200" s="6">
        <v>1.6359999999999999</v>
      </c>
      <c r="O1200" s="71">
        <v>1.6359999999999999</v>
      </c>
      <c r="P1200" s="6">
        <v>0</v>
      </c>
      <c r="Q1200" s="4" t="s">
        <v>26</v>
      </c>
      <c r="R1200" s="4">
        <v>0</v>
      </c>
      <c r="S1200" s="6">
        <v>0</v>
      </c>
      <c r="T1200" s="6">
        <v>27</v>
      </c>
      <c r="U1200" s="6">
        <v>81</v>
      </c>
      <c r="V1200" s="71">
        <f>IF(ISERROR(VLOOKUP($S$1200,'TAR FIN'!$A$1:$O$120,15,0)),0,VLOOKUP($S$1200,'TAR FIN'!$A$1:$O$120,15,0))</f>
        <v>0</v>
      </c>
      <c r="W1200" s="71">
        <f>IF(ISERROR(VLOOKUP($T$1200,'TAR FIN'!$A$1:$O$120,15,0)),0,VLOOKUP($T$1200,'TAR FIN'!$A$1:$O$120,15,0))*(1-0.08)</f>
        <v>590.63080000000002</v>
      </c>
      <c r="X1200" s="71">
        <f>IF(ISERROR(VLOOKUP($U$1200,'TAR FIN'!$A$1:$O$120,15,0)),0,VLOOKUP($U$1200,'TAR FIN'!$A$1:$O$120,15,0))*(1-0.08)</f>
        <v>396.40040000000005</v>
      </c>
      <c r="Y1200" s="71"/>
      <c r="Z1200" s="71">
        <f ca="1">('TUSD BE'!$AM$33+'TUSD BF'!$AM$33+'TUSD CVA'!$AM$33)*1*(1-0.06)</f>
        <v>702.86961706946545</v>
      </c>
      <c r="AA1200" s="71">
        <f>('TE BE'!$AA$10+'TE BF'!$AA$10+'TE CVA'!$AA$10)*1*(1-0.06)</f>
        <v>353.15029452578722</v>
      </c>
      <c r="AB1200" s="6">
        <f>$K$1200*$V$1200</f>
        <v>0</v>
      </c>
      <c r="AC1200" s="6">
        <f>$M$1200*$W$1200</f>
        <v>966.27198880000003</v>
      </c>
      <c r="AD1200" s="6">
        <f>$O$1200*$X$1200</f>
        <v>648.51105440000003</v>
      </c>
      <c r="AE1200" s="6">
        <f>$K$1200*$Y$1200</f>
        <v>0</v>
      </c>
      <c r="AF1200" s="6">
        <f ca="1">$M$1200*$Z$1200</f>
        <v>1149.8946935256454</v>
      </c>
      <c r="AG1200" s="6">
        <f>$O$1200*$AA$1200</f>
        <v>577.75388184418784</v>
      </c>
    </row>
    <row r="1201" spans="1:33" ht="11.25" customHeight="1" x14ac:dyDescent="0.25">
      <c r="A1201" s="4" t="s">
        <v>21</v>
      </c>
      <c r="B1201" s="4" t="s">
        <v>33</v>
      </c>
      <c r="C1201" s="4" t="s">
        <v>34</v>
      </c>
      <c r="D1201" s="4" t="s">
        <v>47</v>
      </c>
      <c r="E1201" s="4" t="s">
        <v>25</v>
      </c>
      <c r="F1201" s="4" t="s">
        <v>25</v>
      </c>
      <c r="G1201" s="4" t="s">
        <v>25</v>
      </c>
      <c r="H1201" s="4" t="s">
        <v>35</v>
      </c>
      <c r="I1201" s="5">
        <v>43862</v>
      </c>
      <c r="J1201" s="6">
        <v>0</v>
      </c>
      <c r="K1201" s="71">
        <v>0</v>
      </c>
      <c r="L1201" s="6">
        <v>142.10900000000001</v>
      </c>
      <c r="M1201" s="71">
        <v>142.10900000000001</v>
      </c>
      <c r="N1201" s="6">
        <v>142.10900000000001</v>
      </c>
      <c r="O1201" s="71">
        <v>142.10900000000001</v>
      </c>
      <c r="P1201" s="6">
        <v>0</v>
      </c>
      <c r="Q1201" s="4" t="s">
        <v>26</v>
      </c>
      <c r="R1201" s="4">
        <v>0</v>
      </c>
      <c r="S1201" s="6">
        <v>0</v>
      </c>
      <c r="T1201" s="6">
        <v>27</v>
      </c>
      <c r="U1201" s="6">
        <v>81</v>
      </c>
      <c r="V1201" s="71">
        <f>IF(ISERROR(VLOOKUP($S$1201,'TAR FIN'!$A$1:$O$120,15,0)),0,VLOOKUP($S$1201,'TAR FIN'!$A$1:$O$120,15,0))</f>
        <v>0</v>
      </c>
      <c r="W1201" s="71">
        <f>IF(ISERROR(VLOOKUP($T$1201,'TAR FIN'!$A$1:$O$120,15,0)),0,VLOOKUP($T$1201,'TAR FIN'!$A$1:$O$120,15,0))*(1-0.08)</f>
        <v>590.63080000000002</v>
      </c>
      <c r="X1201" s="71">
        <f>IF(ISERROR(VLOOKUP($U$1201,'TAR FIN'!$A$1:$O$120,15,0)),0,VLOOKUP($U$1201,'TAR FIN'!$A$1:$O$120,15,0))*(1-0.08)</f>
        <v>396.40040000000005</v>
      </c>
      <c r="Y1201" s="71"/>
      <c r="Z1201" s="71">
        <f ca="1">('TUSD BE'!$AM$33+'TUSD BF'!$AM$33+'TUSD CVA'!$AM$33)*1*(1-0.06)</f>
        <v>702.86961706946545</v>
      </c>
      <c r="AA1201" s="71">
        <f>('TE BE'!$AA$10+'TE BF'!$AA$10+'TE CVA'!$AA$10)*1*(1-0.06)</f>
        <v>353.15029452578722</v>
      </c>
      <c r="AB1201" s="6">
        <f>$K$1201*$V$1201</f>
        <v>0</v>
      </c>
      <c r="AC1201" s="6">
        <f>$M$1201*$W$1201</f>
        <v>83933.952357200003</v>
      </c>
      <c r="AD1201" s="6">
        <f>$O$1201*$X$1201</f>
        <v>56332.064443600008</v>
      </c>
      <c r="AE1201" s="6">
        <f>$K$1201*$Y$1201</f>
        <v>0</v>
      </c>
      <c r="AF1201" s="6">
        <f ca="1">$M$1201*$Z$1201</f>
        <v>99884.098412124673</v>
      </c>
      <c r="AG1201" s="6">
        <f>$O$1201*$AA$1201</f>
        <v>50185.835204765099</v>
      </c>
    </row>
    <row r="1202" spans="1:33" ht="11.25" customHeight="1" x14ac:dyDescent="0.25">
      <c r="A1202" s="4" t="s">
        <v>28</v>
      </c>
      <c r="B1202" s="4" t="s">
        <v>33</v>
      </c>
      <c r="C1202" s="4" t="s">
        <v>34</v>
      </c>
      <c r="D1202" s="4" t="s">
        <v>47</v>
      </c>
      <c r="E1202" s="4" t="s">
        <v>25</v>
      </c>
      <c r="F1202" s="4" t="s">
        <v>25</v>
      </c>
      <c r="G1202" s="4" t="s">
        <v>25</v>
      </c>
      <c r="H1202" s="4" t="s">
        <v>35</v>
      </c>
      <c r="I1202" s="5">
        <v>43862</v>
      </c>
      <c r="J1202" s="6">
        <v>0</v>
      </c>
      <c r="K1202" s="71">
        <v>0</v>
      </c>
      <c r="L1202" s="6">
        <v>0.65300000000000002</v>
      </c>
      <c r="M1202" s="71">
        <v>0.65300000000000002</v>
      </c>
      <c r="N1202" s="6">
        <v>0.65300000000000002</v>
      </c>
      <c r="O1202" s="71">
        <v>0.65300000000000002</v>
      </c>
      <c r="P1202" s="6">
        <v>0</v>
      </c>
      <c r="Q1202" s="4" t="s">
        <v>26</v>
      </c>
      <c r="R1202" s="4">
        <v>0</v>
      </c>
      <c r="S1202" s="6">
        <v>0</v>
      </c>
      <c r="T1202" s="6">
        <v>27</v>
      </c>
      <c r="U1202" s="6">
        <v>81</v>
      </c>
      <c r="V1202" s="71">
        <f>IF(ISERROR(VLOOKUP($S$1202,'TAR FIN'!$A$1:$O$120,15,0)),0,VLOOKUP($S$1202,'TAR FIN'!$A$1:$O$120,15,0))</f>
        <v>0</v>
      </c>
      <c r="W1202" s="71">
        <f>IF(ISERROR(VLOOKUP($T$1202,'TAR FIN'!$A$1:$O$120,15,0)),0,VLOOKUP($T$1202,'TAR FIN'!$A$1:$O$120,15,0))*(1-0.08)</f>
        <v>590.63080000000002</v>
      </c>
      <c r="X1202" s="71">
        <f>IF(ISERROR(VLOOKUP($U$1202,'TAR FIN'!$A$1:$O$120,15,0)),0,VLOOKUP($U$1202,'TAR FIN'!$A$1:$O$120,15,0))*(1-0.08)</f>
        <v>396.40040000000005</v>
      </c>
      <c r="Y1202" s="71"/>
      <c r="Z1202" s="71">
        <f ca="1">('TUSD BE'!$AM$33+'TUSD BF'!$AM$33+'TUSD CVA'!$AM$33)*1*(1-0.06)</f>
        <v>702.86961706946545</v>
      </c>
      <c r="AA1202" s="71">
        <f>('TE BE'!$AA$10+'TE BF'!$AA$10+'TE CVA'!$AA$10)*1*(1-0.06)</f>
        <v>353.15029452578722</v>
      </c>
      <c r="AB1202" s="6">
        <f>$K$1202*$V$1202</f>
        <v>0</v>
      </c>
      <c r="AC1202" s="6">
        <f>$M$1202*$W$1202</f>
        <v>385.68191240000004</v>
      </c>
      <c r="AD1202" s="6">
        <f>$O$1202*$X$1202</f>
        <v>258.84946120000006</v>
      </c>
      <c r="AE1202" s="6">
        <f>$K$1202*$Y$1202</f>
        <v>0</v>
      </c>
      <c r="AF1202" s="6">
        <f ca="1">$M$1202*$Z$1202</f>
        <v>458.97385994636096</v>
      </c>
      <c r="AG1202" s="6">
        <f>$O$1202*$AA$1202</f>
        <v>230.60714232533905</v>
      </c>
    </row>
    <row r="1203" spans="1:33" ht="11.25" customHeight="1" x14ac:dyDescent="0.25">
      <c r="A1203" s="4" t="s">
        <v>21</v>
      </c>
      <c r="B1203" s="4" t="s">
        <v>33</v>
      </c>
      <c r="C1203" s="4" t="s">
        <v>34</v>
      </c>
      <c r="D1203" s="4" t="s">
        <v>47</v>
      </c>
      <c r="E1203" s="4" t="s">
        <v>25</v>
      </c>
      <c r="F1203" s="4" t="s">
        <v>25</v>
      </c>
      <c r="G1203" s="4" t="s">
        <v>25</v>
      </c>
      <c r="H1203" s="4" t="s">
        <v>35</v>
      </c>
      <c r="I1203" s="5">
        <v>43891</v>
      </c>
      <c r="J1203" s="6">
        <v>0</v>
      </c>
      <c r="K1203" s="71">
        <v>0</v>
      </c>
      <c r="L1203" s="6">
        <v>181.12700000000001</v>
      </c>
      <c r="M1203" s="71">
        <v>181.12700000000001</v>
      </c>
      <c r="N1203" s="6">
        <v>181.12700000000001</v>
      </c>
      <c r="O1203" s="71">
        <v>181.12700000000001</v>
      </c>
      <c r="P1203" s="6">
        <v>0</v>
      </c>
      <c r="Q1203" s="4" t="s">
        <v>26</v>
      </c>
      <c r="R1203" s="4">
        <v>0</v>
      </c>
      <c r="S1203" s="6">
        <v>0</v>
      </c>
      <c r="T1203" s="6">
        <v>27</v>
      </c>
      <c r="U1203" s="6">
        <v>81</v>
      </c>
      <c r="V1203" s="71">
        <f>IF(ISERROR(VLOOKUP($S$1203,'TAR FIN'!$A$1:$O$120,15,0)),0,VLOOKUP($S$1203,'TAR FIN'!$A$1:$O$120,15,0))</f>
        <v>0</v>
      </c>
      <c r="W1203" s="71">
        <f>IF(ISERROR(VLOOKUP($T$1203,'TAR FIN'!$A$1:$O$120,15,0)),0,VLOOKUP($T$1203,'TAR FIN'!$A$1:$O$120,15,0))*(1-0.08)</f>
        <v>590.63080000000002</v>
      </c>
      <c r="X1203" s="71">
        <f>IF(ISERROR(VLOOKUP($U$1203,'TAR FIN'!$A$1:$O$120,15,0)),0,VLOOKUP($U$1203,'TAR FIN'!$A$1:$O$120,15,0))*(1-0.08)</f>
        <v>396.40040000000005</v>
      </c>
      <c r="Y1203" s="71"/>
      <c r="Z1203" s="71">
        <f ca="1">('TUSD BE'!$AM$33+'TUSD BF'!$AM$33+'TUSD CVA'!$AM$33)*1*(1-0.06)</f>
        <v>702.86961706946545</v>
      </c>
      <c r="AA1203" s="71">
        <f>('TE BE'!$AA$10+'TE BF'!$AA$10+'TE CVA'!$AA$10)*1*(1-0.06)</f>
        <v>353.15029452578722</v>
      </c>
      <c r="AB1203" s="6">
        <f>$K$1203*$V$1203</f>
        <v>0</v>
      </c>
      <c r="AC1203" s="6">
        <f>$M$1203*$W$1203</f>
        <v>106979.18491160001</v>
      </c>
      <c r="AD1203" s="6">
        <f>$O$1203*$X$1203</f>
        <v>71798.815250800006</v>
      </c>
      <c r="AE1203" s="6">
        <f>$K$1203*$Y$1203</f>
        <v>0</v>
      </c>
      <c r="AF1203" s="6">
        <f ca="1">$M$1203*$Z$1203</f>
        <v>127308.66513094108</v>
      </c>
      <c r="AG1203" s="6">
        <f>$O$1203*$AA$1203</f>
        <v>63965.053396572264</v>
      </c>
    </row>
    <row r="1204" spans="1:33" ht="11.25" customHeight="1" x14ac:dyDescent="0.25">
      <c r="A1204" s="4" t="s">
        <v>28</v>
      </c>
      <c r="B1204" s="4" t="s">
        <v>33</v>
      </c>
      <c r="C1204" s="4" t="s">
        <v>34</v>
      </c>
      <c r="D1204" s="4" t="s">
        <v>47</v>
      </c>
      <c r="E1204" s="4" t="s">
        <v>25</v>
      </c>
      <c r="F1204" s="4" t="s">
        <v>25</v>
      </c>
      <c r="G1204" s="4" t="s">
        <v>25</v>
      </c>
      <c r="H1204" s="4" t="s">
        <v>35</v>
      </c>
      <c r="I1204" s="5">
        <v>43891</v>
      </c>
      <c r="J1204" s="6">
        <v>0</v>
      </c>
      <c r="K1204" s="71">
        <v>0</v>
      </c>
      <c r="L1204" s="6">
        <v>1.6739999999999999</v>
      </c>
      <c r="M1204" s="71">
        <v>1.6739999999999999</v>
      </c>
      <c r="N1204" s="6">
        <v>1.6739999999999999</v>
      </c>
      <c r="O1204" s="71">
        <v>1.6739999999999999</v>
      </c>
      <c r="P1204" s="6">
        <v>0</v>
      </c>
      <c r="Q1204" s="4" t="s">
        <v>26</v>
      </c>
      <c r="R1204" s="4">
        <v>0</v>
      </c>
      <c r="S1204" s="6">
        <v>0</v>
      </c>
      <c r="T1204" s="6">
        <v>27</v>
      </c>
      <c r="U1204" s="6">
        <v>81</v>
      </c>
      <c r="V1204" s="71">
        <f>IF(ISERROR(VLOOKUP($S$1204,'TAR FIN'!$A$1:$O$120,15,0)),0,VLOOKUP($S$1204,'TAR FIN'!$A$1:$O$120,15,0))</f>
        <v>0</v>
      </c>
      <c r="W1204" s="71">
        <f>IF(ISERROR(VLOOKUP($T$1204,'TAR FIN'!$A$1:$O$120,15,0)),0,VLOOKUP($T$1204,'TAR FIN'!$A$1:$O$120,15,0))*(1-0.08)</f>
        <v>590.63080000000002</v>
      </c>
      <c r="X1204" s="71">
        <f>IF(ISERROR(VLOOKUP($U$1204,'TAR FIN'!$A$1:$O$120,15,0)),0,VLOOKUP($U$1204,'TAR FIN'!$A$1:$O$120,15,0))*(1-0.08)</f>
        <v>396.40040000000005</v>
      </c>
      <c r="Y1204" s="71"/>
      <c r="Z1204" s="71">
        <f ca="1">('TUSD BE'!$AM$33+'TUSD BF'!$AM$33+'TUSD CVA'!$AM$33)*1*(1-0.06)</f>
        <v>702.86961706946545</v>
      </c>
      <c r="AA1204" s="71">
        <f>('TE BE'!$AA$10+'TE BF'!$AA$10+'TE CVA'!$AA$10)*1*(1-0.06)</f>
        <v>353.15029452578722</v>
      </c>
      <c r="AB1204" s="6">
        <f>$K$1204*$V$1204</f>
        <v>0</v>
      </c>
      <c r="AC1204" s="6">
        <f>$M$1204*$W$1204</f>
        <v>988.71595920000004</v>
      </c>
      <c r="AD1204" s="6">
        <f>$O$1204*$X$1204</f>
        <v>663.57426960000009</v>
      </c>
      <c r="AE1204" s="6">
        <f>$K$1204*$Y$1204</f>
        <v>0</v>
      </c>
      <c r="AF1204" s="6">
        <f ca="1">$M$1204*$Z$1204</f>
        <v>1176.6037389742851</v>
      </c>
      <c r="AG1204" s="6">
        <f>$O$1204*$AA$1204</f>
        <v>591.17359303616774</v>
      </c>
    </row>
    <row r="1205" spans="1:33" ht="11.25" customHeight="1" x14ac:dyDescent="0.25">
      <c r="A1205" s="4" t="s">
        <v>21</v>
      </c>
      <c r="B1205" s="4" t="s">
        <v>33</v>
      </c>
      <c r="C1205" s="4" t="s">
        <v>34</v>
      </c>
      <c r="D1205" s="4" t="s">
        <v>47</v>
      </c>
      <c r="E1205" s="4" t="s">
        <v>25</v>
      </c>
      <c r="F1205" s="4" t="s">
        <v>25</v>
      </c>
      <c r="G1205" s="4" t="s">
        <v>25</v>
      </c>
      <c r="H1205" s="4" t="s">
        <v>35</v>
      </c>
      <c r="I1205" s="5">
        <v>43922</v>
      </c>
      <c r="J1205" s="6">
        <v>0</v>
      </c>
      <c r="K1205" s="71">
        <v>0</v>
      </c>
      <c r="L1205" s="6">
        <v>206.483</v>
      </c>
      <c r="M1205" s="71">
        <v>206.483</v>
      </c>
      <c r="N1205" s="6">
        <v>206.483</v>
      </c>
      <c r="O1205" s="71">
        <v>206.483</v>
      </c>
      <c r="P1205" s="6">
        <v>0</v>
      </c>
      <c r="Q1205" s="4" t="s">
        <v>26</v>
      </c>
      <c r="R1205" s="4">
        <v>0</v>
      </c>
      <c r="S1205" s="6">
        <v>0</v>
      </c>
      <c r="T1205" s="6">
        <v>27</v>
      </c>
      <c r="U1205" s="6">
        <v>81</v>
      </c>
      <c r="V1205" s="71">
        <f>IF(ISERROR(VLOOKUP($S$1205,'TAR FIN'!$A$1:$O$120,15,0)),0,VLOOKUP($S$1205,'TAR FIN'!$A$1:$O$120,15,0))</f>
        <v>0</v>
      </c>
      <c r="W1205" s="71">
        <f>IF(ISERROR(VLOOKUP($T$1205,'TAR FIN'!$A$1:$O$120,15,0)),0,VLOOKUP($T$1205,'TAR FIN'!$A$1:$O$120,15,0))*(1-0.08)</f>
        <v>590.63080000000002</v>
      </c>
      <c r="X1205" s="71">
        <f>IF(ISERROR(VLOOKUP($U$1205,'TAR FIN'!$A$1:$O$120,15,0)),0,VLOOKUP($U$1205,'TAR FIN'!$A$1:$O$120,15,0))*(1-0.08)</f>
        <v>396.40040000000005</v>
      </c>
      <c r="Y1205" s="71"/>
      <c r="Z1205" s="71">
        <f ca="1">('TUSD BE'!$AM$33+'TUSD BF'!$AM$33+'TUSD CVA'!$AM$33)*1*(1-0.06)</f>
        <v>702.86961706946545</v>
      </c>
      <c r="AA1205" s="71">
        <f>('TE BE'!$AA$10+'TE BF'!$AA$10+'TE CVA'!$AA$10)*1*(1-0.06)</f>
        <v>353.15029452578722</v>
      </c>
      <c r="AB1205" s="6">
        <f>$K$1205*$V$1205</f>
        <v>0</v>
      </c>
      <c r="AC1205" s="6">
        <f>$M$1205*$W$1205</f>
        <v>121955.2194764</v>
      </c>
      <c r="AD1205" s="6">
        <f>$O$1205*$X$1205</f>
        <v>81849.943793200015</v>
      </c>
      <c r="AE1205" s="6">
        <f>$K$1205*$Y$1205</f>
        <v>0</v>
      </c>
      <c r="AF1205" s="6">
        <f ca="1">$M$1205*$Z$1205</f>
        <v>145130.62714135443</v>
      </c>
      <c r="AG1205" s="6">
        <f>$O$1205*$AA$1205</f>
        <v>72919.53226456813</v>
      </c>
    </row>
    <row r="1206" spans="1:33" ht="11.25" customHeight="1" x14ac:dyDescent="0.25">
      <c r="A1206" s="4" t="s">
        <v>27</v>
      </c>
      <c r="B1206" s="4" t="s">
        <v>33</v>
      </c>
      <c r="C1206" s="4" t="s">
        <v>34</v>
      </c>
      <c r="D1206" s="4" t="s">
        <v>47</v>
      </c>
      <c r="E1206" s="4" t="s">
        <v>25</v>
      </c>
      <c r="F1206" s="4" t="s">
        <v>25</v>
      </c>
      <c r="G1206" s="4" t="s">
        <v>25</v>
      </c>
      <c r="H1206" s="4" t="s">
        <v>35</v>
      </c>
      <c r="I1206" s="5">
        <v>43922</v>
      </c>
      <c r="J1206" s="6">
        <v>0</v>
      </c>
      <c r="K1206" s="71">
        <v>0</v>
      </c>
      <c r="L1206" s="6">
        <v>0.41699999999999998</v>
      </c>
      <c r="M1206" s="71">
        <v>0.41699999999999998</v>
      </c>
      <c r="N1206" s="6">
        <v>0.41699999999999998</v>
      </c>
      <c r="O1206" s="71">
        <v>0.41699999999999998</v>
      </c>
      <c r="P1206" s="6">
        <v>0</v>
      </c>
      <c r="Q1206" s="4" t="s">
        <v>26</v>
      </c>
      <c r="R1206" s="4">
        <v>0</v>
      </c>
      <c r="S1206" s="6">
        <v>0</v>
      </c>
      <c r="T1206" s="6">
        <v>27</v>
      </c>
      <c r="U1206" s="6">
        <v>81</v>
      </c>
      <c r="V1206" s="71">
        <f>IF(ISERROR(VLOOKUP($S$1206,'TAR FIN'!$A$1:$O$120,15,0)),0,VLOOKUP($S$1206,'TAR FIN'!$A$1:$O$120,15,0))</f>
        <v>0</v>
      </c>
      <c r="W1206" s="71">
        <f>IF(ISERROR(VLOOKUP($T$1206,'TAR FIN'!$A$1:$O$120,15,0)),0,VLOOKUP($T$1206,'TAR FIN'!$A$1:$O$120,15,0))*(1-0.08)</f>
        <v>590.63080000000002</v>
      </c>
      <c r="X1206" s="71">
        <f>IF(ISERROR(VLOOKUP($U$1206,'TAR FIN'!$A$1:$O$120,15,0)),0,VLOOKUP($U$1206,'TAR FIN'!$A$1:$O$120,15,0))*(1-0.08)</f>
        <v>396.40040000000005</v>
      </c>
      <c r="Y1206" s="71"/>
      <c r="Z1206" s="71">
        <f ca="1">('TUSD BE'!$AM$33+'TUSD BF'!$AM$33+'TUSD CVA'!$AM$33)*1*(1-0.06)</f>
        <v>702.86961706946545</v>
      </c>
      <c r="AA1206" s="71">
        <f>('TE BE'!$AA$10+'TE BF'!$AA$10+'TE CVA'!$AA$10)*1*(1-0.06)</f>
        <v>353.15029452578722</v>
      </c>
      <c r="AB1206" s="6">
        <f>$K$1206*$V$1206</f>
        <v>0</v>
      </c>
      <c r="AC1206" s="6">
        <f>$M$1206*$W$1206</f>
        <v>246.2930436</v>
      </c>
      <c r="AD1206" s="6">
        <f>$O$1206*$X$1206</f>
        <v>165.29896680000002</v>
      </c>
      <c r="AE1206" s="6">
        <f>$K$1206*$Y$1206</f>
        <v>0</v>
      </c>
      <c r="AF1206" s="6">
        <f ca="1">$M$1206*$Z$1206</f>
        <v>293.09663031796708</v>
      </c>
      <c r="AG1206" s="6">
        <f>$O$1206*$AA$1206</f>
        <v>147.26367281725325</v>
      </c>
    </row>
    <row r="1207" spans="1:33" ht="11.25" customHeight="1" x14ac:dyDescent="0.25">
      <c r="A1207" s="4" t="s">
        <v>28</v>
      </c>
      <c r="B1207" s="4" t="s">
        <v>33</v>
      </c>
      <c r="C1207" s="4" t="s">
        <v>34</v>
      </c>
      <c r="D1207" s="4" t="s">
        <v>47</v>
      </c>
      <c r="E1207" s="4" t="s">
        <v>25</v>
      </c>
      <c r="F1207" s="4" t="s">
        <v>25</v>
      </c>
      <c r="G1207" s="4" t="s">
        <v>25</v>
      </c>
      <c r="H1207" s="4" t="s">
        <v>35</v>
      </c>
      <c r="I1207" s="5">
        <v>43922</v>
      </c>
      <c r="J1207" s="6">
        <v>0</v>
      </c>
      <c r="K1207" s="71">
        <v>0</v>
      </c>
      <c r="L1207" s="6">
        <v>3.2309999999999999</v>
      </c>
      <c r="M1207" s="71">
        <v>3.2309999999999999</v>
      </c>
      <c r="N1207" s="6">
        <v>3.2309999999999999</v>
      </c>
      <c r="O1207" s="71">
        <v>3.2309999999999999</v>
      </c>
      <c r="P1207" s="6">
        <v>0</v>
      </c>
      <c r="Q1207" s="4" t="s">
        <v>26</v>
      </c>
      <c r="R1207" s="4">
        <v>0</v>
      </c>
      <c r="S1207" s="6">
        <v>0</v>
      </c>
      <c r="T1207" s="6">
        <v>27</v>
      </c>
      <c r="U1207" s="6">
        <v>81</v>
      </c>
      <c r="V1207" s="71">
        <f>IF(ISERROR(VLOOKUP($S$1207,'TAR FIN'!$A$1:$O$120,15,0)),0,VLOOKUP($S$1207,'TAR FIN'!$A$1:$O$120,15,0))</f>
        <v>0</v>
      </c>
      <c r="W1207" s="71">
        <f>IF(ISERROR(VLOOKUP($T$1207,'TAR FIN'!$A$1:$O$120,15,0)),0,VLOOKUP($T$1207,'TAR FIN'!$A$1:$O$120,15,0))*(1-0.08)</f>
        <v>590.63080000000002</v>
      </c>
      <c r="X1207" s="71">
        <f>IF(ISERROR(VLOOKUP($U$1207,'TAR FIN'!$A$1:$O$120,15,0)),0,VLOOKUP($U$1207,'TAR FIN'!$A$1:$O$120,15,0))*(1-0.08)</f>
        <v>396.40040000000005</v>
      </c>
      <c r="Y1207" s="71"/>
      <c r="Z1207" s="71">
        <f ca="1">('TUSD BE'!$AM$33+'TUSD BF'!$AM$33+'TUSD CVA'!$AM$33)*1*(1-0.06)</f>
        <v>702.86961706946545</v>
      </c>
      <c r="AA1207" s="71">
        <f>('TE BE'!$AA$10+'TE BF'!$AA$10+'TE CVA'!$AA$10)*1*(1-0.06)</f>
        <v>353.15029452578722</v>
      </c>
      <c r="AB1207" s="6">
        <f>$K$1207*$V$1207</f>
        <v>0</v>
      </c>
      <c r="AC1207" s="6">
        <f>$M$1207*$W$1207</f>
        <v>1908.3281148000001</v>
      </c>
      <c r="AD1207" s="6">
        <f>$O$1207*$X$1207</f>
        <v>1280.7696924000002</v>
      </c>
      <c r="AE1207" s="6">
        <f>$K$1207*$Y$1207</f>
        <v>0</v>
      </c>
      <c r="AF1207" s="6">
        <f ca="1">$M$1207*$Z$1207</f>
        <v>2270.9717327514427</v>
      </c>
      <c r="AG1207" s="6">
        <f>$O$1207*$AA$1207</f>
        <v>1141.0286016128184</v>
      </c>
    </row>
    <row r="1208" spans="1:33" ht="11.25" customHeight="1" x14ac:dyDescent="0.25">
      <c r="A1208" s="4" t="s">
        <v>21</v>
      </c>
      <c r="B1208" s="4" t="s">
        <v>33</v>
      </c>
      <c r="C1208" s="4" t="s">
        <v>34</v>
      </c>
      <c r="D1208" s="4" t="s">
        <v>47</v>
      </c>
      <c r="E1208" s="4" t="s">
        <v>25</v>
      </c>
      <c r="F1208" s="4" t="s">
        <v>25</v>
      </c>
      <c r="G1208" s="4" t="s">
        <v>25</v>
      </c>
      <c r="H1208" s="4" t="s">
        <v>35</v>
      </c>
      <c r="I1208" s="5">
        <v>43952</v>
      </c>
      <c r="J1208" s="6">
        <v>0</v>
      </c>
      <c r="K1208" s="71">
        <v>0</v>
      </c>
      <c r="L1208" s="6">
        <v>151.37299999999999</v>
      </c>
      <c r="M1208" s="71">
        <v>151.37299999999999</v>
      </c>
      <c r="N1208" s="6">
        <v>151.37299999999999</v>
      </c>
      <c r="O1208" s="71">
        <v>151.37299999999999</v>
      </c>
      <c r="P1208" s="6">
        <v>0</v>
      </c>
      <c r="Q1208" s="4" t="s">
        <v>26</v>
      </c>
      <c r="R1208" s="4">
        <v>0</v>
      </c>
      <c r="S1208" s="6">
        <v>0</v>
      </c>
      <c r="T1208" s="6">
        <v>27</v>
      </c>
      <c r="U1208" s="6">
        <v>81</v>
      </c>
      <c r="V1208" s="71">
        <f>IF(ISERROR(VLOOKUP($S$1208,'TAR FIN'!$A$1:$O$120,15,0)),0,VLOOKUP($S$1208,'TAR FIN'!$A$1:$O$120,15,0))</f>
        <v>0</v>
      </c>
      <c r="W1208" s="71">
        <f>IF(ISERROR(VLOOKUP($T$1208,'TAR FIN'!$A$1:$O$120,15,0)),0,VLOOKUP($T$1208,'TAR FIN'!$A$1:$O$120,15,0))*(1-0.08)</f>
        <v>590.63080000000002</v>
      </c>
      <c r="X1208" s="71">
        <f>IF(ISERROR(VLOOKUP($U$1208,'TAR FIN'!$A$1:$O$120,15,0)),0,VLOOKUP($U$1208,'TAR FIN'!$A$1:$O$120,15,0))*(1-0.08)</f>
        <v>396.40040000000005</v>
      </c>
      <c r="Y1208" s="71"/>
      <c r="Z1208" s="71">
        <f ca="1">('TUSD BE'!$AM$33+'TUSD BF'!$AM$33+'TUSD CVA'!$AM$33)*1*(1-0.06)</f>
        <v>702.86961706946545</v>
      </c>
      <c r="AA1208" s="71">
        <f>('TE BE'!$AA$10+'TE BF'!$AA$10+'TE CVA'!$AA$10)*1*(1-0.06)</f>
        <v>353.15029452578722</v>
      </c>
      <c r="AB1208" s="6">
        <f>$K$1208*$V$1208</f>
        <v>0</v>
      </c>
      <c r="AC1208" s="6">
        <f>$M$1208*$W$1208</f>
        <v>89405.556088400001</v>
      </c>
      <c r="AD1208" s="6">
        <f>$O$1208*$X$1208</f>
        <v>60004.317749200003</v>
      </c>
      <c r="AE1208" s="6">
        <f>$K$1208*$Y$1208</f>
        <v>0</v>
      </c>
      <c r="AF1208" s="6">
        <f ca="1">$M$1208*$Z$1208</f>
        <v>106395.48254465619</v>
      </c>
      <c r="AG1208" s="6">
        <f>$O$1208*$AA$1208</f>
        <v>53457.419533251988</v>
      </c>
    </row>
    <row r="1209" spans="1:33" ht="11.25" customHeight="1" x14ac:dyDescent="0.25">
      <c r="A1209" s="4" t="s">
        <v>27</v>
      </c>
      <c r="B1209" s="4" t="s">
        <v>33</v>
      </c>
      <c r="C1209" s="4" t="s">
        <v>34</v>
      </c>
      <c r="D1209" s="4" t="s">
        <v>47</v>
      </c>
      <c r="E1209" s="4" t="s">
        <v>25</v>
      </c>
      <c r="F1209" s="4" t="s">
        <v>25</v>
      </c>
      <c r="G1209" s="4" t="s">
        <v>25</v>
      </c>
      <c r="H1209" s="4" t="s">
        <v>35</v>
      </c>
      <c r="I1209" s="5">
        <v>43952</v>
      </c>
      <c r="J1209" s="6">
        <v>0</v>
      </c>
      <c r="K1209" s="71">
        <v>0</v>
      </c>
      <c r="L1209" s="6">
        <v>2.6659999999999999</v>
      </c>
      <c r="M1209" s="71">
        <v>2.6659999999999999</v>
      </c>
      <c r="N1209" s="6">
        <v>2.6659999999999999</v>
      </c>
      <c r="O1209" s="71">
        <v>2.6659999999999999</v>
      </c>
      <c r="P1209" s="6">
        <v>0</v>
      </c>
      <c r="Q1209" s="4" t="s">
        <v>26</v>
      </c>
      <c r="R1209" s="4">
        <v>0</v>
      </c>
      <c r="S1209" s="6">
        <v>0</v>
      </c>
      <c r="T1209" s="6">
        <v>27</v>
      </c>
      <c r="U1209" s="6">
        <v>81</v>
      </c>
      <c r="V1209" s="71">
        <f>IF(ISERROR(VLOOKUP($S$1209,'TAR FIN'!$A$1:$O$120,15,0)),0,VLOOKUP($S$1209,'TAR FIN'!$A$1:$O$120,15,0))</f>
        <v>0</v>
      </c>
      <c r="W1209" s="71">
        <f>IF(ISERROR(VLOOKUP($T$1209,'TAR FIN'!$A$1:$O$120,15,0)),0,VLOOKUP($T$1209,'TAR FIN'!$A$1:$O$120,15,0))*(1-0.08)</f>
        <v>590.63080000000002</v>
      </c>
      <c r="X1209" s="71">
        <f>IF(ISERROR(VLOOKUP($U$1209,'TAR FIN'!$A$1:$O$120,15,0)),0,VLOOKUP($U$1209,'TAR FIN'!$A$1:$O$120,15,0))*(1-0.08)</f>
        <v>396.40040000000005</v>
      </c>
      <c r="Y1209" s="71"/>
      <c r="Z1209" s="71">
        <f ca="1">('TUSD BE'!$AM$33+'TUSD BF'!$AM$33+'TUSD CVA'!$AM$33)*1*(1-0.06)</f>
        <v>702.86961706946545</v>
      </c>
      <c r="AA1209" s="71">
        <f>('TE BE'!$AA$10+'TE BF'!$AA$10+'TE CVA'!$AA$10)*1*(1-0.06)</f>
        <v>353.15029452578722</v>
      </c>
      <c r="AB1209" s="6">
        <f>$K$1209*$V$1209</f>
        <v>0</v>
      </c>
      <c r="AC1209" s="6">
        <f>$M$1209*$W$1209</f>
        <v>1574.6217128000001</v>
      </c>
      <c r="AD1209" s="6">
        <f>$O$1209*$X$1209</f>
        <v>1056.8034664000002</v>
      </c>
      <c r="AE1209" s="6">
        <f>$K$1209*$Y$1209</f>
        <v>0</v>
      </c>
      <c r="AF1209" s="6">
        <f ca="1">$M$1209*$Z$1209</f>
        <v>1873.8503991071948</v>
      </c>
      <c r="AG1209" s="6">
        <f>$O$1209*$AA$1209</f>
        <v>941.49868520574864</v>
      </c>
    </row>
    <row r="1210" spans="1:33" ht="11.25" customHeight="1" x14ac:dyDescent="0.25">
      <c r="A1210" s="4" t="s">
        <v>28</v>
      </c>
      <c r="B1210" s="4" t="s">
        <v>33</v>
      </c>
      <c r="C1210" s="4" t="s">
        <v>34</v>
      </c>
      <c r="D1210" s="4" t="s">
        <v>47</v>
      </c>
      <c r="E1210" s="4" t="s">
        <v>25</v>
      </c>
      <c r="F1210" s="4" t="s">
        <v>25</v>
      </c>
      <c r="G1210" s="4" t="s">
        <v>25</v>
      </c>
      <c r="H1210" s="4" t="s">
        <v>35</v>
      </c>
      <c r="I1210" s="5">
        <v>43952</v>
      </c>
      <c r="J1210" s="6">
        <v>0</v>
      </c>
      <c r="K1210" s="71">
        <v>0</v>
      </c>
      <c r="L1210" s="6">
        <v>4.2409999999999997</v>
      </c>
      <c r="M1210" s="71">
        <v>4.2409999999999997</v>
      </c>
      <c r="N1210" s="6">
        <v>4.2409999999999997</v>
      </c>
      <c r="O1210" s="71">
        <v>4.2409999999999997</v>
      </c>
      <c r="P1210" s="6">
        <v>0</v>
      </c>
      <c r="Q1210" s="4" t="s">
        <v>26</v>
      </c>
      <c r="R1210" s="4">
        <v>0</v>
      </c>
      <c r="S1210" s="6">
        <v>0</v>
      </c>
      <c r="T1210" s="6">
        <v>27</v>
      </c>
      <c r="U1210" s="6">
        <v>81</v>
      </c>
      <c r="V1210" s="71">
        <f>IF(ISERROR(VLOOKUP($S$1210,'TAR FIN'!$A$1:$O$120,15,0)),0,VLOOKUP($S$1210,'TAR FIN'!$A$1:$O$120,15,0))</f>
        <v>0</v>
      </c>
      <c r="W1210" s="71">
        <f>IF(ISERROR(VLOOKUP($T$1210,'TAR FIN'!$A$1:$O$120,15,0)),0,VLOOKUP($T$1210,'TAR FIN'!$A$1:$O$120,15,0))*(1-0.08)</f>
        <v>590.63080000000002</v>
      </c>
      <c r="X1210" s="71">
        <f>IF(ISERROR(VLOOKUP($U$1210,'TAR FIN'!$A$1:$O$120,15,0)),0,VLOOKUP($U$1210,'TAR FIN'!$A$1:$O$120,15,0))*(1-0.08)</f>
        <v>396.40040000000005</v>
      </c>
      <c r="Y1210" s="71"/>
      <c r="Z1210" s="71">
        <f ca="1">('TUSD BE'!$AM$33+'TUSD BF'!$AM$33+'TUSD CVA'!$AM$33)*1*(1-0.06)</f>
        <v>702.86961706946545</v>
      </c>
      <c r="AA1210" s="71">
        <f>('TE BE'!$AA$10+'TE BF'!$AA$10+'TE CVA'!$AA$10)*1*(1-0.06)</f>
        <v>353.15029452578722</v>
      </c>
      <c r="AB1210" s="6">
        <f>$K$1210*$V$1210</f>
        <v>0</v>
      </c>
      <c r="AC1210" s="6">
        <f>$M$1210*$W$1210</f>
        <v>2504.8652228000001</v>
      </c>
      <c r="AD1210" s="6">
        <f>$O$1210*$X$1210</f>
        <v>1681.1340964000001</v>
      </c>
      <c r="AE1210" s="6">
        <f>$K$1210*$Y$1210</f>
        <v>0</v>
      </c>
      <c r="AF1210" s="6">
        <f ca="1">$M$1210*$Z$1210</f>
        <v>2980.8700459916026</v>
      </c>
      <c r="AG1210" s="6">
        <f>$O$1210*$AA$1210</f>
        <v>1497.7103990838634</v>
      </c>
    </row>
    <row r="1211" spans="1:33" ht="11.25" customHeight="1" x14ac:dyDescent="0.25">
      <c r="A1211" s="4" t="s">
        <v>21</v>
      </c>
      <c r="B1211" s="4" t="s">
        <v>33</v>
      </c>
      <c r="C1211" s="4" t="s">
        <v>34</v>
      </c>
      <c r="D1211" s="4" t="s">
        <v>47</v>
      </c>
      <c r="E1211" s="4" t="s">
        <v>25</v>
      </c>
      <c r="F1211" s="4" t="s">
        <v>25</v>
      </c>
      <c r="G1211" s="4" t="s">
        <v>25</v>
      </c>
      <c r="H1211" s="4" t="s">
        <v>35</v>
      </c>
      <c r="I1211" s="5">
        <v>43983</v>
      </c>
      <c r="J1211" s="6">
        <v>0</v>
      </c>
      <c r="K1211" s="71">
        <v>0</v>
      </c>
      <c r="L1211" s="6">
        <v>161.43700000000001</v>
      </c>
      <c r="M1211" s="71">
        <v>161.43700000000001</v>
      </c>
      <c r="N1211" s="6">
        <v>161.43700000000001</v>
      </c>
      <c r="O1211" s="71">
        <v>161.43700000000001</v>
      </c>
      <c r="P1211" s="6">
        <v>0</v>
      </c>
      <c r="Q1211" s="4" t="s">
        <v>26</v>
      </c>
      <c r="R1211" s="4">
        <v>0</v>
      </c>
      <c r="S1211" s="6">
        <v>0</v>
      </c>
      <c r="T1211" s="6">
        <v>27</v>
      </c>
      <c r="U1211" s="6">
        <v>81</v>
      </c>
      <c r="V1211" s="71">
        <f>IF(ISERROR(VLOOKUP($S$1211,'TAR FIN'!$A$1:$O$120,15,0)),0,VLOOKUP($S$1211,'TAR FIN'!$A$1:$O$120,15,0))</f>
        <v>0</v>
      </c>
      <c r="W1211" s="71">
        <f>IF(ISERROR(VLOOKUP($T$1211,'TAR FIN'!$A$1:$O$120,15,0)),0,VLOOKUP($T$1211,'TAR FIN'!$A$1:$O$120,15,0))*(1-0.08)</f>
        <v>590.63080000000002</v>
      </c>
      <c r="X1211" s="71">
        <f>IF(ISERROR(VLOOKUP($U$1211,'TAR FIN'!$A$1:$O$120,15,0)),0,VLOOKUP($U$1211,'TAR FIN'!$A$1:$O$120,15,0))*(1-0.08)</f>
        <v>396.40040000000005</v>
      </c>
      <c r="Y1211" s="71"/>
      <c r="Z1211" s="71">
        <f ca="1">('TUSD BE'!$AM$33+'TUSD BF'!$AM$33+'TUSD CVA'!$AM$33)*1*(1-0.06)</f>
        <v>702.86961706946545</v>
      </c>
      <c r="AA1211" s="71">
        <f>('TE BE'!$AA$10+'TE BF'!$AA$10+'TE CVA'!$AA$10)*1*(1-0.06)</f>
        <v>353.15029452578722</v>
      </c>
      <c r="AB1211" s="6">
        <f>$K$1211*$V$1211</f>
        <v>0</v>
      </c>
      <c r="AC1211" s="6">
        <f>$M$1211*$W$1211</f>
        <v>95349.664459600011</v>
      </c>
      <c r="AD1211" s="6">
        <f>$O$1211*$X$1211</f>
        <v>63993.691374800015</v>
      </c>
      <c r="AE1211" s="6">
        <f>$K$1211*$Y$1211</f>
        <v>0</v>
      </c>
      <c r="AF1211" s="6">
        <f ca="1">$M$1211*$Z$1211</f>
        <v>113469.1623708433</v>
      </c>
      <c r="AG1211" s="6">
        <f>$O$1211*$AA$1211</f>
        <v>57011.524097359514</v>
      </c>
    </row>
    <row r="1212" spans="1:33" ht="11.25" customHeight="1" x14ac:dyDescent="0.25">
      <c r="A1212" s="4" t="s">
        <v>27</v>
      </c>
      <c r="B1212" s="4" t="s">
        <v>33</v>
      </c>
      <c r="C1212" s="4" t="s">
        <v>34</v>
      </c>
      <c r="D1212" s="4" t="s">
        <v>47</v>
      </c>
      <c r="E1212" s="4" t="s">
        <v>25</v>
      </c>
      <c r="F1212" s="4" t="s">
        <v>25</v>
      </c>
      <c r="G1212" s="4" t="s">
        <v>25</v>
      </c>
      <c r="H1212" s="4" t="s">
        <v>35</v>
      </c>
      <c r="I1212" s="5">
        <v>43983</v>
      </c>
      <c r="J1212" s="6">
        <v>0</v>
      </c>
      <c r="K1212" s="71">
        <v>0</v>
      </c>
      <c r="L1212" s="6">
        <v>1.2969999999999999</v>
      </c>
      <c r="M1212" s="71">
        <v>1.2969999999999999</v>
      </c>
      <c r="N1212" s="6">
        <v>1.2969999999999999</v>
      </c>
      <c r="O1212" s="71">
        <v>1.2969999999999999</v>
      </c>
      <c r="P1212" s="6">
        <v>0</v>
      </c>
      <c r="Q1212" s="4" t="s">
        <v>26</v>
      </c>
      <c r="R1212" s="4">
        <v>0</v>
      </c>
      <c r="S1212" s="6">
        <v>0</v>
      </c>
      <c r="T1212" s="6">
        <v>27</v>
      </c>
      <c r="U1212" s="6">
        <v>81</v>
      </c>
      <c r="V1212" s="71">
        <f>IF(ISERROR(VLOOKUP($S$1212,'TAR FIN'!$A$1:$O$120,15,0)),0,VLOOKUP($S$1212,'TAR FIN'!$A$1:$O$120,15,0))</f>
        <v>0</v>
      </c>
      <c r="W1212" s="71">
        <f>IF(ISERROR(VLOOKUP($T$1212,'TAR FIN'!$A$1:$O$120,15,0)),0,VLOOKUP($T$1212,'TAR FIN'!$A$1:$O$120,15,0))*(1-0.08)</f>
        <v>590.63080000000002</v>
      </c>
      <c r="X1212" s="71">
        <f>IF(ISERROR(VLOOKUP($U$1212,'TAR FIN'!$A$1:$O$120,15,0)),0,VLOOKUP($U$1212,'TAR FIN'!$A$1:$O$120,15,0))*(1-0.08)</f>
        <v>396.40040000000005</v>
      </c>
      <c r="Y1212" s="71"/>
      <c r="Z1212" s="71">
        <f ca="1">('TUSD BE'!$AM$33+'TUSD BF'!$AM$33+'TUSD CVA'!$AM$33)*1*(1-0.06)</f>
        <v>702.86961706946545</v>
      </c>
      <c r="AA1212" s="71">
        <f>('TE BE'!$AA$10+'TE BF'!$AA$10+'TE CVA'!$AA$10)*1*(1-0.06)</f>
        <v>353.15029452578722</v>
      </c>
      <c r="AB1212" s="6">
        <f>$K$1212*$V$1212</f>
        <v>0</v>
      </c>
      <c r="AC1212" s="6">
        <f>$M$1212*$W$1212</f>
        <v>766.04814759999999</v>
      </c>
      <c r="AD1212" s="6">
        <f>$O$1212*$X$1212</f>
        <v>514.13131880000003</v>
      </c>
      <c r="AE1212" s="6">
        <f>$K$1212*$Y$1212</f>
        <v>0</v>
      </c>
      <c r="AF1212" s="6">
        <f ca="1">$M$1212*$Z$1212</f>
        <v>911.62189333909669</v>
      </c>
      <c r="AG1212" s="6">
        <f>$O$1212*$AA$1212</f>
        <v>458.035931999946</v>
      </c>
    </row>
    <row r="1213" spans="1:33" ht="11.25" customHeight="1" x14ac:dyDescent="0.25">
      <c r="A1213" s="4" t="s">
        <v>28</v>
      </c>
      <c r="B1213" s="4" t="s">
        <v>33</v>
      </c>
      <c r="C1213" s="4" t="s">
        <v>34</v>
      </c>
      <c r="D1213" s="4" t="s">
        <v>47</v>
      </c>
      <c r="E1213" s="4" t="s">
        <v>25</v>
      </c>
      <c r="F1213" s="4" t="s">
        <v>25</v>
      </c>
      <c r="G1213" s="4" t="s">
        <v>25</v>
      </c>
      <c r="H1213" s="4" t="s">
        <v>35</v>
      </c>
      <c r="I1213" s="5">
        <v>43983</v>
      </c>
      <c r="J1213" s="6">
        <v>0</v>
      </c>
      <c r="K1213" s="71">
        <v>0</v>
      </c>
      <c r="L1213" s="6">
        <v>2.266</v>
      </c>
      <c r="M1213" s="71">
        <v>2.266</v>
      </c>
      <c r="N1213" s="6">
        <v>2.266</v>
      </c>
      <c r="O1213" s="71">
        <v>2.266</v>
      </c>
      <c r="P1213" s="6">
        <v>0</v>
      </c>
      <c r="Q1213" s="4" t="s">
        <v>26</v>
      </c>
      <c r="R1213" s="4">
        <v>0</v>
      </c>
      <c r="S1213" s="6">
        <v>0</v>
      </c>
      <c r="T1213" s="6">
        <v>27</v>
      </c>
      <c r="U1213" s="6">
        <v>81</v>
      </c>
      <c r="V1213" s="71">
        <f>IF(ISERROR(VLOOKUP($S$1213,'TAR FIN'!$A$1:$O$120,15,0)),0,VLOOKUP($S$1213,'TAR FIN'!$A$1:$O$120,15,0))</f>
        <v>0</v>
      </c>
      <c r="W1213" s="71">
        <f>IF(ISERROR(VLOOKUP($T$1213,'TAR FIN'!$A$1:$O$120,15,0)),0,VLOOKUP($T$1213,'TAR FIN'!$A$1:$O$120,15,0))*(1-0.08)</f>
        <v>590.63080000000002</v>
      </c>
      <c r="X1213" s="71">
        <f>IF(ISERROR(VLOOKUP($U$1213,'TAR FIN'!$A$1:$O$120,15,0)),0,VLOOKUP($U$1213,'TAR FIN'!$A$1:$O$120,15,0))*(1-0.08)</f>
        <v>396.40040000000005</v>
      </c>
      <c r="Y1213" s="71"/>
      <c r="Z1213" s="71">
        <f ca="1">('TUSD BE'!$AM$33+'TUSD BF'!$AM$33+'TUSD CVA'!$AM$33)*1*(1-0.06)</f>
        <v>702.86961706946545</v>
      </c>
      <c r="AA1213" s="71">
        <f>('TE BE'!$AA$10+'TE BF'!$AA$10+'TE CVA'!$AA$10)*1*(1-0.06)</f>
        <v>353.15029452578722</v>
      </c>
      <c r="AB1213" s="6">
        <f>$K$1213*$V$1213</f>
        <v>0</v>
      </c>
      <c r="AC1213" s="6">
        <f>$M$1213*$W$1213</f>
        <v>1338.3693928</v>
      </c>
      <c r="AD1213" s="6">
        <f>$O$1213*$X$1213</f>
        <v>898.24330640000017</v>
      </c>
      <c r="AE1213" s="6">
        <f>$K$1213*$Y$1213</f>
        <v>0</v>
      </c>
      <c r="AF1213" s="6">
        <f ca="1">$M$1213*$Z$1213</f>
        <v>1592.7025522794088</v>
      </c>
      <c r="AG1213" s="6">
        <f>$O$1213*$AA$1213</f>
        <v>800.23856739543385</v>
      </c>
    </row>
    <row r="1214" spans="1:33" ht="11.25" customHeight="1" x14ac:dyDescent="0.25">
      <c r="A1214" s="4" t="s">
        <v>21</v>
      </c>
      <c r="B1214" s="4" t="s">
        <v>33</v>
      </c>
      <c r="C1214" s="4" t="s">
        <v>34</v>
      </c>
      <c r="D1214" s="4" t="s">
        <v>47</v>
      </c>
      <c r="E1214" s="4" t="s">
        <v>25</v>
      </c>
      <c r="F1214" s="4" t="s">
        <v>25</v>
      </c>
      <c r="G1214" s="4" t="s">
        <v>25</v>
      </c>
      <c r="H1214" s="4" t="s">
        <v>35</v>
      </c>
      <c r="I1214" s="5">
        <v>44013</v>
      </c>
      <c r="J1214" s="6">
        <v>0</v>
      </c>
      <c r="K1214" s="71">
        <v>0</v>
      </c>
      <c r="L1214" s="6">
        <v>148.465</v>
      </c>
      <c r="M1214" s="71">
        <v>148.465</v>
      </c>
      <c r="N1214" s="6">
        <v>148.465</v>
      </c>
      <c r="O1214" s="71">
        <v>148.465</v>
      </c>
      <c r="P1214" s="6">
        <v>0</v>
      </c>
      <c r="Q1214" s="4" t="s">
        <v>26</v>
      </c>
      <c r="R1214" s="4">
        <v>0</v>
      </c>
      <c r="S1214" s="6">
        <v>0</v>
      </c>
      <c r="T1214" s="6">
        <v>27</v>
      </c>
      <c r="U1214" s="6">
        <v>81</v>
      </c>
      <c r="V1214" s="71">
        <f>IF(ISERROR(VLOOKUP($S$1214,'TAR FIN'!$A$1:$O$120,15,0)),0,VLOOKUP($S$1214,'TAR FIN'!$A$1:$O$120,15,0))</f>
        <v>0</v>
      </c>
      <c r="W1214" s="71">
        <f>IF(ISERROR(VLOOKUP($T$1214,'TAR FIN'!$A$1:$O$120,15,0)),0,VLOOKUP($T$1214,'TAR FIN'!$A$1:$O$120,15,0))*(1-0.08)</f>
        <v>590.63080000000002</v>
      </c>
      <c r="X1214" s="71">
        <f>IF(ISERROR(VLOOKUP($U$1214,'TAR FIN'!$A$1:$O$120,15,0)),0,VLOOKUP($U$1214,'TAR FIN'!$A$1:$O$120,15,0))*(1-0.08)</f>
        <v>396.40040000000005</v>
      </c>
      <c r="Y1214" s="71"/>
      <c r="Z1214" s="71">
        <f ca="1">('TUSD BE'!$AM$33+'TUSD BF'!$AM$33+'TUSD CVA'!$AM$33)*1*(1-0.06)</f>
        <v>702.86961706946545</v>
      </c>
      <c r="AA1214" s="71">
        <f>('TE BE'!$AA$10+'TE BF'!$AA$10+'TE CVA'!$AA$10)*1*(1-0.06)</f>
        <v>353.15029452578722</v>
      </c>
      <c r="AB1214" s="6">
        <f>$K$1214*$V$1214</f>
        <v>0</v>
      </c>
      <c r="AC1214" s="6">
        <f>$M$1214*$W$1214</f>
        <v>87688.001722000001</v>
      </c>
      <c r="AD1214" s="6">
        <f>$O$1214*$X$1214</f>
        <v>58851.585386000006</v>
      </c>
      <c r="AE1214" s="6">
        <f>$K$1214*$Y$1214</f>
        <v>0</v>
      </c>
      <c r="AF1214" s="6">
        <f ca="1">$M$1214*$Z$1214</f>
        <v>104351.53769821819</v>
      </c>
      <c r="AG1214" s="6">
        <f>$O$1214*$AA$1214</f>
        <v>52430.458476771004</v>
      </c>
    </row>
    <row r="1215" spans="1:33" ht="11.25" customHeight="1" x14ac:dyDescent="0.25">
      <c r="A1215" s="4" t="s">
        <v>27</v>
      </c>
      <c r="B1215" s="4" t="s">
        <v>33</v>
      </c>
      <c r="C1215" s="4" t="s">
        <v>34</v>
      </c>
      <c r="D1215" s="4" t="s">
        <v>47</v>
      </c>
      <c r="E1215" s="4" t="s">
        <v>25</v>
      </c>
      <c r="F1215" s="4" t="s">
        <v>25</v>
      </c>
      <c r="G1215" s="4" t="s">
        <v>25</v>
      </c>
      <c r="H1215" s="4" t="s">
        <v>35</v>
      </c>
      <c r="I1215" s="5">
        <v>44013</v>
      </c>
      <c r="J1215" s="6">
        <v>0</v>
      </c>
      <c r="K1215" s="71">
        <v>0</v>
      </c>
      <c r="L1215" s="6">
        <v>2.633</v>
      </c>
      <c r="M1215" s="71">
        <v>2.633</v>
      </c>
      <c r="N1215" s="6">
        <v>2.633</v>
      </c>
      <c r="O1215" s="71">
        <v>2.633</v>
      </c>
      <c r="P1215" s="6">
        <v>0</v>
      </c>
      <c r="Q1215" s="4" t="s">
        <v>26</v>
      </c>
      <c r="R1215" s="4">
        <v>0</v>
      </c>
      <c r="S1215" s="6">
        <v>0</v>
      </c>
      <c r="T1215" s="6">
        <v>27</v>
      </c>
      <c r="U1215" s="6">
        <v>81</v>
      </c>
      <c r="V1215" s="71">
        <f>IF(ISERROR(VLOOKUP($S$1215,'TAR FIN'!$A$1:$O$120,15,0)),0,VLOOKUP($S$1215,'TAR FIN'!$A$1:$O$120,15,0))</f>
        <v>0</v>
      </c>
      <c r="W1215" s="71">
        <f>IF(ISERROR(VLOOKUP($T$1215,'TAR FIN'!$A$1:$O$120,15,0)),0,VLOOKUP($T$1215,'TAR FIN'!$A$1:$O$120,15,0))*(1-0.08)</f>
        <v>590.63080000000002</v>
      </c>
      <c r="X1215" s="71">
        <f>IF(ISERROR(VLOOKUP($U$1215,'TAR FIN'!$A$1:$O$120,15,0)),0,VLOOKUP($U$1215,'TAR FIN'!$A$1:$O$120,15,0))*(1-0.08)</f>
        <v>396.40040000000005</v>
      </c>
      <c r="Y1215" s="71"/>
      <c r="Z1215" s="71">
        <f ca="1">('TUSD BE'!$AM$33+'TUSD BF'!$AM$33+'TUSD CVA'!$AM$33)*1*(1-0.06)</f>
        <v>702.86961706946545</v>
      </c>
      <c r="AA1215" s="71">
        <f>('TE BE'!$AA$10+'TE BF'!$AA$10+'TE CVA'!$AA$10)*1*(1-0.06)</f>
        <v>353.15029452578722</v>
      </c>
      <c r="AB1215" s="6">
        <f>$K$1215*$V$1215</f>
        <v>0</v>
      </c>
      <c r="AC1215" s="6">
        <f>$M$1215*$W$1215</f>
        <v>1555.1308964</v>
      </c>
      <c r="AD1215" s="6">
        <f>$O$1215*$X$1215</f>
        <v>1043.7222532000001</v>
      </c>
      <c r="AE1215" s="6">
        <f>$K$1215*$Y$1215</f>
        <v>0</v>
      </c>
      <c r="AF1215" s="6">
        <f ca="1">$M$1215*$Z$1215</f>
        <v>1850.6557017439025</v>
      </c>
      <c r="AG1215" s="6">
        <f>$O$1215*$AA$1215</f>
        <v>929.84472548639769</v>
      </c>
    </row>
    <row r="1216" spans="1:33" ht="11.25" customHeight="1" x14ac:dyDescent="0.25">
      <c r="A1216" s="4" t="s">
        <v>28</v>
      </c>
      <c r="B1216" s="4" t="s">
        <v>33</v>
      </c>
      <c r="C1216" s="4" t="s">
        <v>34</v>
      </c>
      <c r="D1216" s="4" t="s">
        <v>47</v>
      </c>
      <c r="E1216" s="4" t="s">
        <v>25</v>
      </c>
      <c r="F1216" s="4" t="s">
        <v>25</v>
      </c>
      <c r="G1216" s="4" t="s">
        <v>25</v>
      </c>
      <c r="H1216" s="4" t="s">
        <v>35</v>
      </c>
      <c r="I1216" s="5">
        <v>44013</v>
      </c>
      <c r="J1216" s="6">
        <v>0</v>
      </c>
      <c r="K1216" s="71">
        <v>0</v>
      </c>
      <c r="L1216" s="6">
        <v>24.263000000000002</v>
      </c>
      <c r="M1216" s="71">
        <v>24.263000000000002</v>
      </c>
      <c r="N1216" s="6">
        <v>24.263000000000002</v>
      </c>
      <c r="O1216" s="71">
        <v>24.263000000000002</v>
      </c>
      <c r="P1216" s="6">
        <v>0</v>
      </c>
      <c r="Q1216" s="4" t="s">
        <v>26</v>
      </c>
      <c r="R1216" s="4">
        <v>0</v>
      </c>
      <c r="S1216" s="6">
        <v>0</v>
      </c>
      <c r="T1216" s="6">
        <v>27</v>
      </c>
      <c r="U1216" s="6">
        <v>81</v>
      </c>
      <c r="V1216" s="71">
        <f>IF(ISERROR(VLOOKUP($S$1216,'TAR FIN'!$A$1:$O$120,15,0)),0,VLOOKUP($S$1216,'TAR FIN'!$A$1:$O$120,15,0))</f>
        <v>0</v>
      </c>
      <c r="W1216" s="71">
        <f>IF(ISERROR(VLOOKUP($T$1216,'TAR FIN'!$A$1:$O$120,15,0)),0,VLOOKUP($T$1216,'TAR FIN'!$A$1:$O$120,15,0))*(1-0.08)</f>
        <v>590.63080000000002</v>
      </c>
      <c r="X1216" s="71">
        <f>IF(ISERROR(VLOOKUP($U$1216,'TAR FIN'!$A$1:$O$120,15,0)),0,VLOOKUP($U$1216,'TAR FIN'!$A$1:$O$120,15,0))*(1-0.08)</f>
        <v>396.40040000000005</v>
      </c>
      <c r="Y1216" s="71"/>
      <c r="Z1216" s="71">
        <f ca="1">('TUSD BE'!$AM$33+'TUSD BF'!$AM$33+'TUSD CVA'!$AM$33)*1*(1-0.06)</f>
        <v>702.86961706946545</v>
      </c>
      <c r="AA1216" s="71">
        <f>('TE BE'!$AA$10+'TE BF'!$AA$10+'TE CVA'!$AA$10)*1*(1-0.06)</f>
        <v>353.15029452578722</v>
      </c>
      <c r="AB1216" s="6">
        <f>$K$1216*$V$1216</f>
        <v>0</v>
      </c>
      <c r="AC1216" s="6">
        <f>$M$1216*$W$1216</f>
        <v>14330.475100400001</v>
      </c>
      <c r="AD1216" s="6">
        <f>$O$1216*$X$1216</f>
        <v>9617.8629052000015</v>
      </c>
      <c r="AE1216" s="6">
        <f>$K$1216*$Y$1216</f>
        <v>0</v>
      </c>
      <c r="AF1216" s="6">
        <f ca="1">$M$1216*$Z$1216</f>
        <v>17053.725518956442</v>
      </c>
      <c r="AG1216" s="6">
        <f>$O$1216*$AA$1216</f>
        <v>8568.4855960791756</v>
      </c>
    </row>
    <row r="1217" spans="1:33" ht="11.25" customHeight="1" x14ac:dyDescent="0.25">
      <c r="A1217" s="4" t="s">
        <v>21</v>
      </c>
      <c r="B1217" s="4" t="s">
        <v>33</v>
      </c>
      <c r="C1217" s="4" t="s">
        <v>34</v>
      </c>
      <c r="D1217" s="4" t="s">
        <v>47</v>
      </c>
      <c r="E1217" s="4" t="s">
        <v>25</v>
      </c>
      <c r="F1217" s="4" t="s">
        <v>25</v>
      </c>
      <c r="G1217" s="4" t="s">
        <v>25</v>
      </c>
      <c r="H1217" s="4" t="s">
        <v>35</v>
      </c>
      <c r="I1217" s="5">
        <v>44044</v>
      </c>
      <c r="J1217" s="6">
        <v>0</v>
      </c>
      <c r="K1217" s="71">
        <v>0</v>
      </c>
      <c r="L1217" s="6">
        <v>159.03899999999999</v>
      </c>
      <c r="M1217" s="71">
        <v>159.03899999999999</v>
      </c>
      <c r="N1217" s="6">
        <v>159.03899999999999</v>
      </c>
      <c r="O1217" s="71">
        <v>159.03899999999999</v>
      </c>
      <c r="P1217" s="6">
        <v>0</v>
      </c>
      <c r="Q1217" s="4" t="s">
        <v>26</v>
      </c>
      <c r="R1217" s="4">
        <v>0</v>
      </c>
      <c r="S1217" s="6">
        <v>0</v>
      </c>
      <c r="T1217" s="6">
        <v>27</v>
      </c>
      <c r="U1217" s="6">
        <v>81</v>
      </c>
      <c r="V1217" s="71">
        <f>IF(ISERROR(VLOOKUP($S$1217,'TAR FIN'!$A$1:$O$120,15,0)),0,VLOOKUP($S$1217,'TAR FIN'!$A$1:$O$120,15,0))</f>
        <v>0</v>
      </c>
      <c r="W1217" s="71">
        <f>IF(ISERROR(VLOOKUP($T$1217,'TAR FIN'!$A$1:$O$120,15,0)),0,VLOOKUP($T$1217,'TAR FIN'!$A$1:$O$120,15,0))*(1-0.08)</f>
        <v>590.63080000000002</v>
      </c>
      <c r="X1217" s="71">
        <f>IF(ISERROR(VLOOKUP($U$1217,'TAR FIN'!$A$1:$O$120,15,0)),0,VLOOKUP($U$1217,'TAR FIN'!$A$1:$O$120,15,0))*(1-0.08)</f>
        <v>396.40040000000005</v>
      </c>
      <c r="Y1217" s="71"/>
      <c r="Z1217" s="71">
        <f ca="1">('TUSD BE'!$AM$33+'TUSD BF'!$AM$33+'TUSD CVA'!$AM$33)*1*(1-0.06)</f>
        <v>702.86961706946545</v>
      </c>
      <c r="AA1217" s="71">
        <f>('TE BE'!$AA$10+'TE BF'!$AA$10+'TE CVA'!$AA$10)*1*(1-0.06)</f>
        <v>353.15029452578722</v>
      </c>
      <c r="AB1217" s="6">
        <f>$K$1217*$V$1217</f>
        <v>0</v>
      </c>
      <c r="AC1217" s="6">
        <f>$M$1217*$W$1217</f>
        <v>93933.331801199995</v>
      </c>
      <c r="AD1217" s="6">
        <f>$O$1217*$X$1217</f>
        <v>63043.123215600004</v>
      </c>
      <c r="AE1217" s="6">
        <f>$K$1217*$Y$1217</f>
        <v>0</v>
      </c>
      <c r="AF1217" s="6">
        <f ca="1">$M$1217*$Z$1217</f>
        <v>111783.68102911071</v>
      </c>
      <c r="AG1217" s="6">
        <f>$O$1217*$AA$1217</f>
        <v>56164.669691086667</v>
      </c>
    </row>
    <row r="1218" spans="1:33" ht="11.25" customHeight="1" x14ac:dyDescent="0.25">
      <c r="A1218" s="4" t="s">
        <v>27</v>
      </c>
      <c r="B1218" s="4" t="s">
        <v>33</v>
      </c>
      <c r="C1218" s="4" t="s">
        <v>34</v>
      </c>
      <c r="D1218" s="4" t="s">
        <v>47</v>
      </c>
      <c r="E1218" s="4" t="s">
        <v>25</v>
      </c>
      <c r="F1218" s="4" t="s">
        <v>25</v>
      </c>
      <c r="G1218" s="4" t="s">
        <v>25</v>
      </c>
      <c r="H1218" s="4" t="s">
        <v>35</v>
      </c>
      <c r="I1218" s="5">
        <v>44044</v>
      </c>
      <c r="J1218" s="6">
        <v>0</v>
      </c>
      <c r="K1218" s="71">
        <v>0</v>
      </c>
      <c r="L1218" s="6">
        <v>7.7350000000000003</v>
      </c>
      <c r="M1218" s="71">
        <v>7.7350000000000003</v>
      </c>
      <c r="N1218" s="6">
        <v>7.7350000000000003</v>
      </c>
      <c r="O1218" s="71">
        <v>7.7350000000000003</v>
      </c>
      <c r="P1218" s="6">
        <v>0</v>
      </c>
      <c r="Q1218" s="4" t="s">
        <v>26</v>
      </c>
      <c r="R1218" s="4">
        <v>0</v>
      </c>
      <c r="S1218" s="6">
        <v>0</v>
      </c>
      <c r="T1218" s="6">
        <v>27</v>
      </c>
      <c r="U1218" s="6">
        <v>81</v>
      </c>
      <c r="V1218" s="71">
        <f>IF(ISERROR(VLOOKUP($S$1218,'TAR FIN'!$A$1:$O$120,15,0)),0,VLOOKUP($S$1218,'TAR FIN'!$A$1:$O$120,15,0))</f>
        <v>0</v>
      </c>
      <c r="W1218" s="71">
        <f>IF(ISERROR(VLOOKUP($T$1218,'TAR FIN'!$A$1:$O$120,15,0)),0,VLOOKUP($T$1218,'TAR FIN'!$A$1:$O$120,15,0))*(1-0.08)</f>
        <v>590.63080000000002</v>
      </c>
      <c r="X1218" s="71">
        <f>IF(ISERROR(VLOOKUP($U$1218,'TAR FIN'!$A$1:$O$120,15,0)),0,VLOOKUP($U$1218,'TAR FIN'!$A$1:$O$120,15,0))*(1-0.08)</f>
        <v>396.40040000000005</v>
      </c>
      <c r="Y1218" s="71"/>
      <c r="Z1218" s="71">
        <f ca="1">('TUSD BE'!$AM$33+'TUSD BF'!$AM$33+'TUSD CVA'!$AM$33)*1*(1-0.06)</f>
        <v>702.86961706946545</v>
      </c>
      <c r="AA1218" s="71">
        <f>('TE BE'!$AA$10+'TE BF'!$AA$10+'TE CVA'!$AA$10)*1*(1-0.06)</f>
        <v>353.15029452578722</v>
      </c>
      <c r="AB1218" s="6">
        <f>$K$1218*$V$1218</f>
        <v>0</v>
      </c>
      <c r="AC1218" s="6">
        <f>$M$1218*$W$1218</f>
        <v>4568.5292380000001</v>
      </c>
      <c r="AD1218" s="6">
        <f>$O$1218*$X$1218</f>
        <v>3066.1570940000006</v>
      </c>
      <c r="AE1218" s="6">
        <f>$K$1218*$Y$1218</f>
        <v>0</v>
      </c>
      <c r="AF1218" s="6">
        <f ca="1">$M$1218*$Z$1218</f>
        <v>5436.6964880323158</v>
      </c>
      <c r="AG1218" s="6">
        <f>$O$1218*$AA$1218</f>
        <v>2731.6175281569645</v>
      </c>
    </row>
    <row r="1219" spans="1:33" ht="11.25" customHeight="1" x14ac:dyDescent="0.25">
      <c r="A1219" s="4" t="s">
        <v>28</v>
      </c>
      <c r="B1219" s="4" t="s">
        <v>33</v>
      </c>
      <c r="C1219" s="4" t="s">
        <v>34</v>
      </c>
      <c r="D1219" s="4" t="s">
        <v>47</v>
      </c>
      <c r="E1219" s="4" t="s">
        <v>25</v>
      </c>
      <c r="F1219" s="4" t="s">
        <v>25</v>
      </c>
      <c r="G1219" s="4" t="s">
        <v>25</v>
      </c>
      <c r="H1219" s="4" t="s">
        <v>35</v>
      </c>
      <c r="I1219" s="5">
        <v>44044</v>
      </c>
      <c r="J1219" s="6">
        <v>0</v>
      </c>
      <c r="K1219" s="71">
        <v>0</v>
      </c>
      <c r="L1219" s="6">
        <v>31.681999999999999</v>
      </c>
      <c r="M1219" s="71">
        <v>31.681999999999999</v>
      </c>
      <c r="N1219" s="6">
        <v>31.681999999999999</v>
      </c>
      <c r="O1219" s="71">
        <v>31.681999999999999</v>
      </c>
      <c r="P1219" s="6">
        <v>0</v>
      </c>
      <c r="Q1219" s="4" t="s">
        <v>26</v>
      </c>
      <c r="R1219" s="4">
        <v>0</v>
      </c>
      <c r="S1219" s="6">
        <v>0</v>
      </c>
      <c r="T1219" s="6">
        <v>27</v>
      </c>
      <c r="U1219" s="6">
        <v>81</v>
      </c>
      <c r="V1219" s="71">
        <f>IF(ISERROR(VLOOKUP($S$1219,'TAR FIN'!$A$1:$O$120,15,0)),0,VLOOKUP($S$1219,'TAR FIN'!$A$1:$O$120,15,0))</f>
        <v>0</v>
      </c>
      <c r="W1219" s="71">
        <f>IF(ISERROR(VLOOKUP($T$1219,'TAR FIN'!$A$1:$O$120,15,0)),0,VLOOKUP($T$1219,'TAR FIN'!$A$1:$O$120,15,0))*(1-0.08)</f>
        <v>590.63080000000002</v>
      </c>
      <c r="X1219" s="71">
        <f>IF(ISERROR(VLOOKUP($U$1219,'TAR FIN'!$A$1:$O$120,15,0)),0,VLOOKUP($U$1219,'TAR FIN'!$A$1:$O$120,15,0))*(1-0.08)</f>
        <v>396.40040000000005</v>
      </c>
      <c r="Y1219" s="71"/>
      <c r="Z1219" s="71">
        <f ca="1">('TUSD BE'!$AM$33+'TUSD BF'!$AM$33+'TUSD CVA'!$AM$33)*1*(1-0.06)</f>
        <v>702.86961706946545</v>
      </c>
      <c r="AA1219" s="71">
        <f>('TE BE'!$AA$10+'TE BF'!$AA$10+'TE CVA'!$AA$10)*1*(1-0.06)</f>
        <v>353.15029452578722</v>
      </c>
      <c r="AB1219" s="6">
        <f>$K$1219*$V$1219</f>
        <v>0</v>
      </c>
      <c r="AC1219" s="6">
        <f>$M$1219*$W$1219</f>
        <v>18712.365005600001</v>
      </c>
      <c r="AD1219" s="6">
        <f>$O$1219*$X$1219</f>
        <v>12558.757472800002</v>
      </c>
      <c r="AE1219" s="6">
        <f>$K$1219*$Y$1219</f>
        <v>0</v>
      </c>
      <c r="AF1219" s="6">
        <f ca="1">$M$1219*$Z$1219</f>
        <v>22268.315207994805</v>
      </c>
      <c r="AG1219" s="6">
        <f>$O$1219*$AA$1219</f>
        <v>11188.50763116599</v>
      </c>
    </row>
    <row r="1220" spans="1:33" ht="11.25" customHeight="1" x14ac:dyDescent="0.25">
      <c r="A1220" s="4" t="s">
        <v>59</v>
      </c>
      <c r="B1220" s="4" t="s">
        <v>33</v>
      </c>
      <c r="C1220" s="4" t="s">
        <v>34</v>
      </c>
      <c r="D1220" s="4" t="s">
        <v>47</v>
      </c>
      <c r="E1220" s="4" t="s">
        <v>25</v>
      </c>
      <c r="F1220" s="4" t="s">
        <v>25</v>
      </c>
      <c r="G1220" s="4" t="s">
        <v>25</v>
      </c>
      <c r="H1220" s="4" t="s">
        <v>35</v>
      </c>
      <c r="I1220" s="5">
        <v>44075</v>
      </c>
      <c r="J1220" s="6">
        <v>0</v>
      </c>
      <c r="K1220" s="71">
        <v>0</v>
      </c>
      <c r="L1220" s="6">
        <v>159.03899999999999</v>
      </c>
      <c r="M1220" s="71">
        <v>159.03899999999999</v>
      </c>
      <c r="N1220" s="6">
        <v>159.03899999999999</v>
      </c>
      <c r="O1220" s="71">
        <v>159.03899999999999</v>
      </c>
      <c r="P1220" s="6">
        <v>0</v>
      </c>
      <c r="Q1220" s="4" t="s">
        <v>26</v>
      </c>
      <c r="R1220" s="4">
        <v>0</v>
      </c>
      <c r="S1220" s="6">
        <v>0</v>
      </c>
      <c r="T1220" s="6">
        <v>27</v>
      </c>
      <c r="U1220" s="6">
        <v>81</v>
      </c>
      <c r="V1220" s="71">
        <f>IF(ISERROR(VLOOKUP($S$1220,'TAR FIN'!$A$1:$O$120,15,0)),0,VLOOKUP($S$1220,'TAR FIN'!$A$1:$O$120,15,0))</f>
        <v>0</v>
      </c>
      <c r="W1220" s="71">
        <f>IF(ISERROR(VLOOKUP($T$1220,'TAR FIN'!$A$1:$O$120,15,0)),0,VLOOKUP($T$1220,'TAR FIN'!$A$1:$O$120,15,0))*(1-0.08)</f>
        <v>590.63080000000002</v>
      </c>
      <c r="X1220" s="71">
        <f>IF(ISERROR(VLOOKUP($U$1220,'TAR FIN'!$A$1:$O$120,15,0)),0,VLOOKUP($U$1220,'TAR FIN'!$A$1:$O$120,15,0))*(1-0.08)</f>
        <v>396.40040000000005</v>
      </c>
      <c r="Y1220" s="71"/>
      <c r="Z1220" s="71">
        <f ca="1">('TUSD BE'!$AM$33+'TUSD BF'!$AM$33+'TUSD CVA'!$AM$33)*1*(1-0.06)</f>
        <v>702.86961706946545</v>
      </c>
      <c r="AA1220" s="71">
        <f>('TE BE'!$AA$10+'TE BF'!$AA$10+'TE CVA'!$AA$10)*1*(1-0.06)</f>
        <v>353.15029452578722</v>
      </c>
      <c r="AB1220" s="6">
        <f>$K$1220*$V$1220</f>
        <v>0</v>
      </c>
      <c r="AC1220" s="6">
        <f>$M$1220*$W$1220</f>
        <v>93933.331801199995</v>
      </c>
      <c r="AD1220" s="6">
        <f>$O$1220*$X$1220</f>
        <v>63043.123215600004</v>
      </c>
      <c r="AE1220" s="6">
        <f>$K$1220*$Y$1220</f>
        <v>0</v>
      </c>
      <c r="AF1220" s="6">
        <f ca="1">$M$1220*$Z$1220</f>
        <v>111783.68102911071</v>
      </c>
      <c r="AG1220" s="6">
        <f>$O$1220*$AA$1220</f>
        <v>56164.669691086667</v>
      </c>
    </row>
    <row r="1221" spans="1:33" ht="11.25" customHeight="1" x14ac:dyDescent="0.25">
      <c r="A1221" s="4" t="s">
        <v>59</v>
      </c>
      <c r="B1221" s="4" t="s">
        <v>33</v>
      </c>
      <c r="C1221" s="4" t="s">
        <v>34</v>
      </c>
      <c r="D1221" s="4" t="s">
        <v>47</v>
      </c>
      <c r="E1221" s="4" t="s">
        <v>25</v>
      </c>
      <c r="F1221" s="4" t="s">
        <v>25</v>
      </c>
      <c r="G1221" s="4" t="s">
        <v>25</v>
      </c>
      <c r="H1221" s="4" t="s">
        <v>35</v>
      </c>
      <c r="I1221" s="5">
        <v>44075</v>
      </c>
      <c r="J1221" s="6">
        <v>0</v>
      </c>
      <c r="K1221" s="71">
        <v>0</v>
      </c>
      <c r="L1221" s="6">
        <v>7.7350000000000003</v>
      </c>
      <c r="M1221" s="71">
        <v>7.7350000000000003</v>
      </c>
      <c r="N1221" s="6">
        <v>7.7350000000000003</v>
      </c>
      <c r="O1221" s="71">
        <v>7.7350000000000003</v>
      </c>
      <c r="P1221" s="6">
        <v>0</v>
      </c>
      <c r="Q1221" s="4" t="s">
        <v>26</v>
      </c>
      <c r="R1221" s="4">
        <v>0</v>
      </c>
      <c r="S1221" s="6">
        <v>0</v>
      </c>
      <c r="T1221" s="6">
        <v>27</v>
      </c>
      <c r="U1221" s="6">
        <v>81</v>
      </c>
      <c r="V1221" s="71">
        <f>IF(ISERROR(VLOOKUP($S$1221,'TAR FIN'!$A$1:$O$120,15,0)),0,VLOOKUP($S$1221,'TAR FIN'!$A$1:$O$120,15,0))</f>
        <v>0</v>
      </c>
      <c r="W1221" s="71">
        <f>IF(ISERROR(VLOOKUP($T$1221,'TAR FIN'!$A$1:$O$120,15,0)),0,VLOOKUP($T$1221,'TAR FIN'!$A$1:$O$120,15,0))*(1-0.08)</f>
        <v>590.63080000000002</v>
      </c>
      <c r="X1221" s="71">
        <f>IF(ISERROR(VLOOKUP($U$1221,'TAR FIN'!$A$1:$O$120,15,0)),0,VLOOKUP($U$1221,'TAR FIN'!$A$1:$O$120,15,0))*(1-0.08)</f>
        <v>396.40040000000005</v>
      </c>
      <c r="Y1221" s="71"/>
      <c r="Z1221" s="71">
        <f ca="1">('TUSD BE'!$AM$33+'TUSD BF'!$AM$33+'TUSD CVA'!$AM$33)*1*(1-0.06)</f>
        <v>702.86961706946545</v>
      </c>
      <c r="AA1221" s="71">
        <f>('TE BE'!$AA$10+'TE BF'!$AA$10+'TE CVA'!$AA$10)*1*(1-0.06)</f>
        <v>353.15029452578722</v>
      </c>
      <c r="AB1221" s="6">
        <f>$K$1221*$V$1221</f>
        <v>0</v>
      </c>
      <c r="AC1221" s="6">
        <f>$M$1221*$W$1221</f>
        <v>4568.5292380000001</v>
      </c>
      <c r="AD1221" s="6">
        <f>$O$1221*$X$1221</f>
        <v>3066.1570940000006</v>
      </c>
      <c r="AE1221" s="6">
        <f>$K$1221*$Y$1221</f>
        <v>0</v>
      </c>
      <c r="AF1221" s="6">
        <f ca="1">$M$1221*$Z$1221</f>
        <v>5436.6964880323158</v>
      </c>
      <c r="AG1221" s="6">
        <f>$O$1221*$AA$1221</f>
        <v>2731.6175281569645</v>
      </c>
    </row>
    <row r="1222" spans="1:33" ht="11.25" customHeight="1" x14ac:dyDescent="0.25">
      <c r="A1222" s="4" t="s">
        <v>59</v>
      </c>
      <c r="B1222" s="4" t="s">
        <v>33</v>
      </c>
      <c r="C1222" s="4" t="s">
        <v>34</v>
      </c>
      <c r="D1222" s="4" t="s">
        <v>47</v>
      </c>
      <c r="E1222" s="4" t="s">
        <v>25</v>
      </c>
      <c r="F1222" s="4" t="s">
        <v>25</v>
      </c>
      <c r="G1222" s="4" t="s">
        <v>25</v>
      </c>
      <c r="H1222" s="4" t="s">
        <v>35</v>
      </c>
      <c r="I1222" s="5">
        <v>44075</v>
      </c>
      <c r="J1222" s="6">
        <v>0</v>
      </c>
      <c r="K1222" s="71">
        <v>0</v>
      </c>
      <c r="L1222" s="6">
        <v>31.681999999999999</v>
      </c>
      <c r="M1222" s="71">
        <v>31.681999999999999</v>
      </c>
      <c r="N1222" s="6">
        <v>31.681999999999999</v>
      </c>
      <c r="O1222" s="71">
        <v>31.681999999999999</v>
      </c>
      <c r="P1222" s="6">
        <v>0</v>
      </c>
      <c r="Q1222" s="4" t="s">
        <v>26</v>
      </c>
      <c r="R1222" s="4">
        <v>0</v>
      </c>
      <c r="S1222" s="6">
        <v>0</v>
      </c>
      <c r="T1222" s="6">
        <v>27</v>
      </c>
      <c r="U1222" s="6">
        <v>81</v>
      </c>
      <c r="V1222" s="71">
        <f>IF(ISERROR(VLOOKUP($S$1222,'TAR FIN'!$A$1:$O$120,15,0)),0,VLOOKUP($S$1222,'TAR FIN'!$A$1:$O$120,15,0))</f>
        <v>0</v>
      </c>
      <c r="W1222" s="71">
        <f>IF(ISERROR(VLOOKUP($T$1222,'TAR FIN'!$A$1:$O$120,15,0)),0,VLOOKUP($T$1222,'TAR FIN'!$A$1:$O$120,15,0))*(1-0.08)</f>
        <v>590.63080000000002</v>
      </c>
      <c r="X1222" s="71">
        <f>IF(ISERROR(VLOOKUP($U$1222,'TAR FIN'!$A$1:$O$120,15,0)),0,VLOOKUP($U$1222,'TAR FIN'!$A$1:$O$120,15,0))*(1-0.08)</f>
        <v>396.40040000000005</v>
      </c>
      <c r="Y1222" s="71"/>
      <c r="Z1222" s="71">
        <f ca="1">('TUSD BE'!$AM$33+'TUSD BF'!$AM$33+'TUSD CVA'!$AM$33)*1*(1-0.06)</f>
        <v>702.86961706946545</v>
      </c>
      <c r="AA1222" s="71">
        <f>('TE BE'!$AA$10+'TE BF'!$AA$10+'TE CVA'!$AA$10)*1*(1-0.06)</f>
        <v>353.15029452578722</v>
      </c>
      <c r="AB1222" s="6">
        <f>$K$1222*$V$1222</f>
        <v>0</v>
      </c>
      <c r="AC1222" s="6">
        <f>$M$1222*$W$1222</f>
        <v>18712.365005600001</v>
      </c>
      <c r="AD1222" s="6">
        <f>$O$1222*$X$1222</f>
        <v>12558.757472800002</v>
      </c>
      <c r="AE1222" s="6">
        <f>$K$1222*$Y$1222</f>
        <v>0</v>
      </c>
      <c r="AF1222" s="6">
        <f ca="1">$M$1222*$Z$1222</f>
        <v>22268.315207994805</v>
      </c>
      <c r="AG1222" s="6">
        <f>$O$1222*$AA$1222</f>
        <v>11188.50763116599</v>
      </c>
    </row>
    <row r="1223" spans="1:33" ht="11.25" customHeight="1" x14ac:dyDescent="0.25">
      <c r="A1223" s="4" t="s">
        <v>21</v>
      </c>
      <c r="B1223" s="4" t="s">
        <v>33</v>
      </c>
      <c r="C1223" s="4" t="s">
        <v>34</v>
      </c>
      <c r="D1223" s="4" t="s">
        <v>52</v>
      </c>
      <c r="E1223" s="4" t="s">
        <v>53</v>
      </c>
      <c r="F1223" s="4" t="s">
        <v>25</v>
      </c>
      <c r="G1223" s="4" t="s">
        <v>25</v>
      </c>
      <c r="H1223" s="4" t="s">
        <v>36</v>
      </c>
      <c r="I1223" s="5">
        <v>43739</v>
      </c>
      <c r="J1223" s="6">
        <v>0</v>
      </c>
      <c r="K1223" s="71">
        <v>0</v>
      </c>
      <c r="L1223" s="6">
        <v>5354.7449999999999</v>
      </c>
      <c r="M1223" s="71">
        <v>5354.7449999999999</v>
      </c>
      <c r="N1223" s="6">
        <v>5354.7449999999999</v>
      </c>
      <c r="O1223" s="71">
        <v>5354.7449999999999</v>
      </c>
      <c r="P1223" s="6">
        <v>0</v>
      </c>
      <c r="Q1223" s="4" t="s">
        <v>26</v>
      </c>
      <c r="R1223" s="4">
        <v>0</v>
      </c>
      <c r="S1223" s="6">
        <v>0</v>
      </c>
      <c r="T1223" s="6">
        <v>28</v>
      </c>
      <c r="U1223" s="6">
        <v>82</v>
      </c>
      <c r="V1223" s="71">
        <f>IF(ISERROR(VLOOKUP($S$1223,'TAR FIN'!$A$1:$O$120,15,0)),0,VLOOKUP($S$1223,'TAR FIN'!$A$1:$O$120,15,0))</f>
        <v>0</v>
      </c>
      <c r="W1223" s="71">
        <f>IF(ISERROR(VLOOKUP($T$1223,'TAR FIN'!$A$1:$O$120,15,0)),0,VLOOKUP($T$1223,'TAR FIN'!$A$1:$O$120,15,0))*(1-0.12)</f>
        <v>74.316000000000003</v>
      </c>
      <c r="X1223" s="71">
        <f>IF(ISERROR(VLOOKUP($U$1223,'TAR FIN'!$A$1:$O$120,15,0)),0,VLOOKUP($U$1223,'TAR FIN'!$A$1:$O$120,15,0))*(1-0.12)</f>
        <v>225.61439999999999</v>
      </c>
      <c r="Y1223" s="71"/>
      <c r="Z1223" s="71">
        <f ca="1">('TUSD BE'!$AM$34+'TUSD BF'!$AM$34+'TUSD CVA'!$AM$34)*1*(1-0.09)</f>
        <v>79.642619388381775</v>
      </c>
      <c r="AA1223" s="71">
        <f>('TE BE'!$AA$11+'TE BF'!$AA$11+'TE CVA'!$AA$11)*1*(1-0.09)</f>
        <v>210.05913056249776</v>
      </c>
      <c r="AB1223" s="6">
        <f>$K$1223*$V$1223</f>
        <v>0</v>
      </c>
      <c r="AC1223" s="6">
        <f>$M$1223*$W$1223</f>
        <v>397943.22941999999</v>
      </c>
      <c r="AD1223" s="6">
        <f>$O$1223*$X$1223</f>
        <v>1208107.580328</v>
      </c>
      <c r="AE1223" s="6">
        <f>$K$1223*$Y$1223</f>
        <v>0</v>
      </c>
      <c r="AF1223" s="6">
        <f ca="1">$M$1223*$Z$1223</f>
        <v>426465.91795684036</v>
      </c>
      <c r="AG1223" s="6">
        <f>$O$1223*$AA$1223</f>
        <v>1124813.079083882</v>
      </c>
    </row>
    <row r="1224" spans="1:33" ht="11.25" customHeight="1" x14ac:dyDescent="0.25">
      <c r="A1224" s="4" t="s">
        <v>21</v>
      </c>
      <c r="B1224" s="4" t="s">
        <v>33</v>
      </c>
      <c r="C1224" s="4" t="s">
        <v>34</v>
      </c>
      <c r="D1224" s="4" t="s">
        <v>52</v>
      </c>
      <c r="E1224" s="4" t="s">
        <v>53</v>
      </c>
      <c r="F1224" s="4" t="s">
        <v>25</v>
      </c>
      <c r="G1224" s="4" t="s">
        <v>25</v>
      </c>
      <c r="H1224" s="4" t="s">
        <v>36</v>
      </c>
      <c r="I1224" s="5">
        <v>43770</v>
      </c>
      <c r="J1224" s="6">
        <v>0</v>
      </c>
      <c r="K1224" s="71">
        <v>0</v>
      </c>
      <c r="L1224" s="6">
        <v>5316.1350000000002</v>
      </c>
      <c r="M1224" s="71">
        <v>5316.1350000000002</v>
      </c>
      <c r="N1224" s="6">
        <v>5316.1350000000002</v>
      </c>
      <c r="O1224" s="71">
        <v>5316.1350000000002</v>
      </c>
      <c r="P1224" s="6">
        <v>0</v>
      </c>
      <c r="Q1224" s="4" t="s">
        <v>26</v>
      </c>
      <c r="R1224" s="4">
        <v>0</v>
      </c>
      <c r="S1224" s="6">
        <v>0</v>
      </c>
      <c r="T1224" s="6">
        <v>28</v>
      </c>
      <c r="U1224" s="6">
        <v>82</v>
      </c>
      <c r="V1224" s="71">
        <f>IF(ISERROR(VLOOKUP($S$1224,'TAR FIN'!$A$1:$O$120,15,0)),0,VLOOKUP($S$1224,'TAR FIN'!$A$1:$O$120,15,0))</f>
        <v>0</v>
      </c>
      <c r="W1224" s="71">
        <f>IF(ISERROR(VLOOKUP($T$1224,'TAR FIN'!$A$1:$O$120,15,0)),0,VLOOKUP($T$1224,'TAR FIN'!$A$1:$O$120,15,0))*(1-0.12)</f>
        <v>74.316000000000003</v>
      </c>
      <c r="X1224" s="71">
        <f>IF(ISERROR(VLOOKUP($U$1224,'TAR FIN'!$A$1:$O$120,15,0)),0,VLOOKUP($U$1224,'TAR FIN'!$A$1:$O$120,15,0))*(1-0.12)</f>
        <v>225.61439999999999</v>
      </c>
      <c r="Y1224" s="71"/>
      <c r="Z1224" s="71">
        <f ca="1">('TUSD BE'!$AM$34+'TUSD BF'!$AM$34+'TUSD CVA'!$AM$34)*1*(1-0.09)</f>
        <v>79.642619388381775</v>
      </c>
      <c r="AA1224" s="71">
        <f>('TE BE'!$AA$11+'TE BF'!$AA$11+'TE CVA'!$AA$11)*1*(1-0.09)</f>
        <v>210.05913056249776</v>
      </c>
      <c r="AB1224" s="6">
        <f>$K$1224*$V$1224</f>
        <v>0</v>
      </c>
      <c r="AC1224" s="6">
        <f>$M$1224*$W$1224</f>
        <v>395073.88866000006</v>
      </c>
      <c r="AD1224" s="6">
        <f>$O$1224*$X$1224</f>
        <v>1199396.6083440001</v>
      </c>
      <c r="AE1224" s="6">
        <f>$K$1224*$Y$1224</f>
        <v>0</v>
      </c>
      <c r="AF1224" s="6">
        <f ca="1">$M$1224*$Z$1224</f>
        <v>423390.91642225499</v>
      </c>
      <c r="AG1224" s="6">
        <f>$O$1224*$AA$1224</f>
        <v>1116702.696052864</v>
      </c>
    </row>
    <row r="1225" spans="1:33" ht="11.25" customHeight="1" x14ac:dyDescent="0.25">
      <c r="A1225" s="4" t="s">
        <v>21</v>
      </c>
      <c r="B1225" s="4" t="s">
        <v>33</v>
      </c>
      <c r="C1225" s="4" t="s">
        <v>34</v>
      </c>
      <c r="D1225" s="4" t="s">
        <v>52</v>
      </c>
      <c r="E1225" s="4" t="s">
        <v>53</v>
      </c>
      <c r="F1225" s="4" t="s">
        <v>25</v>
      </c>
      <c r="G1225" s="4" t="s">
        <v>25</v>
      </c>
      <c r="H1225" s="4" t="s">
        <v>36</v>
      </c>
      <c r="I1225" s="5">
        <v>43800</v>
      </c>
      <c r="J1225" s="6">
        <v>0</v>
      </c>
      <c r="K1225" s="71">
        <v>0</v>
      </c>
      <c r="L1225" s="6">
        <v>4739.692</v>
      </c>
      <c r="M1225" s="71">
        <v>4739.692</v>
      </c>
      <c r="N1225" s="6">
        <v>4739.692</v>
      </c>
      <c r="O1225" s="71">
        <v>4739.692</v>
      </c>
      <c r="P1225" s="6">
        <v>0</v>
      </c>
      <c r="Q1225" s="4" t="s">
        <v>26</v>
      </c>
      <c r="R1225" s="4">
        <v>0</v>
      </c>
      <c r="S1225" s="6">
        <v>0</v>
      </c>
      <c r="T1225" s="6">
        <v>28</v>
      </c>
      <c r="U1225" s="6">
        <v>82</v>
      </c>
      <c r="V1225" s="71">
        <f>IF(ISERROR(VLOOKUP($S$1225,'TAR FIN'!$A$1:$O$120,15,0)),0,VLOOKUP($S$1225,'TAR FIN'!$A$1:$O$120,15,0))</f>
        <v>0</v>
      </c>
      <c r="W1225" s="71">
        <f>IF(ISERROR(VLOOKUP($T$1225,'TAR FIN'!$A$1:$O$120,15,0)),0,VLOOKUP($T$1225,'TAR FIN'!$A$1:$O$120,15,0))*(1-0.12)</f>
        <v>74.316000000000003</v>
      </c>
      <c r="X1225" s="71">
        <f>IF(ISERROR(VLOOKUP($U$1225,'TAR FIN'!$A$1:$O$120,15,0)),0,VLOOKUP($U$1225,'TAR FIN'!$A$1:$O$120,15,0))*(1-0.12)</f>
        <v>225.61439999999999</v>
      </c>
      <c r="Y1225" s="71"/>
      <c r="Z1225" s="71">
        <f ca="1">('TUSD BE'!$AM$34+'TUSD BF'!$AM$34+'TUSD CVA'!$AM$34)*1*(1-0.09)</f>
        <v>79.642619388381775</v>
      </c>
      <c r="AA1225" s="71">
        <f>('TE BE'!$AA$11+'TE BF'!$AA$11+'TE CVA'!$AA$11)*1*(1-0.09)</f>
        <v>210.05913056249776</v>
      </c>
      <c r="AB1225" s="6">
        <f>$K$1225*$V$1225</f>
        <v>0</v>
      </c>
      <c r="AC1225" s="6">
        <f>$M$1225*$W$1225</f>
        <v>352234.95067200001</v>
      </c>
      <c r="AD1225" s="6">
        <f>$O$1225*$X$1225</f>
        <v>1069342.7667648001</v>
      </c>
      <c r="AE1225" s="6">
        <f>$K$1225*$Y$1225</f>
        <v>0</v>
      </c>
      <c r="AF1225" s="6">
        <f ca="1">$M$1225*$Z$1225</f>
        <v>377481.48597415799</v>
      </c>
      <c r="AG1225" s="6">
        <f>$O$1225*$AA$1225</f>
        <v>995615.58065402613</v>
      </c>
    </row>
    <row r="1226" spans="1:33" ht="11.25" customHeight="1" x14ac:dyDescent="0.25">
      <c r="A1226" s="4" t="s">
        <v>21</v>
      </c>
      <c r="B1226" s="4" t="s">
        <v>33</v>
      </c>
      <c r="C1226" s="4" t="s">
        <v>34</v>
      </c>
      <c r="D1226" s="4" t="s">
        <v>52</v>
      </c>
      <c r="E1226" s="4" t="s">
        <v>53</v>
      </c>
      <c r="F1226" s="4" t="s">
        <v>25</v>
      </c>
      <c r="G1226" s="4" t="s">
        <v>25</v>
      </c>
      <c r="H1226" s="4" t="s">
        <v>36</v>
      </c>
      <c r="I1226" s="5">
        <v>43831</v>
      </c>
      <c r="J1226" s="6">
        <v>0</v>
      </c>
      <c r="K1226" s="71">
        <v>0</v>
      </c>
      <c r="L1226" s="6">
        <v>5425.13</v>
      </c>
      <c r="M1226" s="71">
        <v>5425.13</v>
      </c>
      <c r="N1226" s="6">
        <v>5425.13</v>
      </c>
      <c r="O1226" s="71">
        <v>5425.13</v>
      </c>
      <c r="P1226" s="6">
        <v>0</v>
      </c>
      <c r="Q1226" s="4" t="s">
        <v>26</v>
      </c>
      <c r="R1226" s="4">
        <v>0</v>
      </c>
      <c r="S1226" s="6">
        <v>0</v>
      </c>
      <c r="T1226" s="6">
        <v>28</v>
      </c>
      <c r="U1226" s="6">
        <v>82</v>
      </c>
      <c r="V1226" s="71">
        <f>IF(ISERROR(VLOOKUP($S$1226,'TAR FIN'!$A$1:$O$120,15,0)),0,VLOOKUP($S$1226,'TAR FIN'!$A$1:$O$120,15,0))</f>
        <v>0</v>
      </c>
      <c r="W1226" s="71">
        <f>IF(ISERROR(VLOOKUP($T$1226,'TAR FIN'!$A$1:$O$120,15,0)),0,VLOOKUP($T$1226,'TAR FIN'!$A$1:$O$120,15,0))*(1-0.12)</f>
        <v>74.316000000000003</v>
      </c>
      <c r="X1226" s="71">
        <f>IF(ISERROR(VLOOKUP($U$1226,'TAR FIN'!$A$1:$O$120,15,0)),0,VLOOKUP($U$1226,'TAR FIN'!$A$1:$O$120,15,0))*(1-0.12)</f>
        <v>225.61439999999999</v>
      </c>
      <c r="Y1226" s="71"/>
      <c r="Z1226" s="71">
        <f ca="1">('TUSD BE'!$AM$34+'TUSD BF'!$AM$34+'TUSD CVA'!$AM$34)*1*(1-0.09)</f>
        <v>79.642619388381775</v>
      </c>
      <c r="AA1226" s="71">
        <f>('TE BE'!$AA$11+'TE BF'!$AA$11+'TE CVA'!$AA$11)*1*(1-0.09)</f>
        <v>210.05913056249776</v>
      </c>
      <c r="AB1226" s="6">
        <f>$K$1226*$V$1226</f>
        <v>0</v>
      </c>
      <c r="AC1226" s="6">
        <f>$M$1226*$W$1226</f>
        <v>403173.96108000004</v>
      </c>
      <c r="AD1226" s="6">
        <f>$O$1226*$X$1226</f>
        <v>1223987.4498719999</v>
      </c>
      <c r="AE1226" s="6">
        <f>$K$1226*$Y$1226</f>
        <v>0</v>
      </c>
      <c r="AF1226" s="6">
        <f ca="1">$M$1226*$Z$1226</f>
        <v>432071.56372249161</v>
      </c>
      <c r="AG1226" s="6">
        <f>$O$1226*$AA$1226</f>
        <v>1139598.0909885236</v>
      </c>
    </row>
    <row r="1227" spans="1:33" ht="11.25" customHeight="1" x14ac:dyDescent="0.25">
      <c r="A1227" s="4" t="s">
        <v>21</v>
      </c>
      <c r="B1227" s="4" t="s">
        <v>33</v>
      </c>
      <c r="C1227" s="4" t="s">
        <v>34</v>
      </c>
      <c r="D1227" s="4" t="s">
        <v>52</v>
      </c>
      <c r="E1227" s="4" t="s">
        <v>53</v>
      </c>
      <c r="F1227" s="4" t="s">
        <v>25</v>
      </c>
      <c r="G1227" s="4" t="s">
        <v>25</v>
      </c>
      <c r="H1227" s="4" t="s">
        <v>36</v>
      </c>
      <c r="I1227" s="5">
        <v>43862</v>
      </c>
      <c r="J1227" s="6">
        <v>0</v>
      </c>
      <c r="K1227" s="71">
        <v>0</v>
      </c>
      <c r="L1227" s="6">
        <v>5529.4539999999997</v>
      </c>
      <c r="M1227" s="71">
        <v>5529.4539999999997</v>
      </c>
      <c r="N1227" s="6">
        <v>5529.4539999999997</v>
      </c>
      <c r="O1227" s="71">
        <v>5529.4539999999997</v>
      </c>
      <c r="P1227" s="6">
        <v>0</v>
      </c>
      <c r="Q1227" s="4" t="s">
        <v>26</v>
      </c>
      <c r="R1227" s="4">
        <v>0</v>
      </c>
      <c r="S1227" s="6">
        <v>0</v>
      </c>
      <c r="T1227" s="6">
        <v>28</v>
      </c>
      <c r="U1227" s="6">
        <v>82</v>
      </c>
      <c r="V1227" s="71">
        <f>IF(ISERROR(VLOOKUP($S$1227,'TAR FIN'!$A$1:$O$120,15,0)),0,VLOOKUP($S$1227,'TAR FIN'!$A$1:$O$120,15,0))</f>
        <v>0</v>
      </c>
      <c r="W1227" s="71">
        <f>IF(ISERROR(VLOOKUP($T$1227,'TAR FIN'!$A$1:$O$120,15,0)),0,VLOOKUP($T$1227,'TAR FIN'!$A$1:$O$120,15,0))*(1-0.12)</f>
        <v>74.316000000000003</v>
      </c>
      <c r="X1227" s="71">
        <f>IF(ISERROR(VLOOKUP($U$1227,'TAR FIN'!$A$1:$O$120,15,0)),0,VLOOKUP($U$1227,'TAR FIN'!$A$1:$O$120,15,0))*(1-0.12)</f>
        <v>225.61439999999999</v>
      </c>
      <c r="Y1227" s="71"/>
      <c r="Z1227" s="71">
        <f ca="1">('TUSD BE'!$AM$34+'TUSD BF'!$AM$34+'TUSD CVA'!$AM$34)*1*(1-0.09)</f>
        <v>79.642619388381775</v>
      </c>
      <c r="AA1227" s="71">
        <f>('TE BE'!$AA$11+'TE BF'!$AA$11+'TE CVA'!$AA$11)*1*(1-0.09)</f>
        <v>210.05913056249776</v>
      </c>
      <c r="AB1227" s="6">
        <f>$K$1227*$V$1227</f>
        <v>0</v>
      </c>
      <c r="AC1227" s="6">
        <f>$M$1227*$W$1227</f>
        <v>410926.90346399997</v>
      </c>
      <c r="AD1227" s="6">
        <f>$O$1227*$X$1227</f>
        <v>1247524.4465375999</v>
      </c>
      <c r="AE1227" s="6">
        <f>$K$1227*$Y$1227</f>
        <v>0</v>
      </c>
      <c r="AF1227" s="6">
        <f ca="1">$M$1227*$Z$1227</f>
        <v>440380.20034756511</v>
      </c>
      <c r="AG1227" s="6">
        <f>$O$1227*$AA$1227</f>
        <v>1161512.2997253253</v>
      </c>
    </row>
    <row r="1228" spans="1:33" ht="11.25" customHeight="1" x14ac:dyDescent="0.25">
      <c r="A1228" s="4" t="s">
        <v>21</v>
      </c>
      <c r="B1228" s="4" t="s">
        <v>33</v>
      </c>
      <c r="C1228" s="4" t="s">
        <v>34</v>
      </c>
      <c r="D1228" s="4" t="s">
        <v>52</v>
      </c>
      <c r="E1228" s="4" t="s">
        <v>53</v>
      </c>
      <c r="F1228" s="4" t="s">
        <v>25</v>
      </c>
      <c r="G1228" s="4" t="s">
        <v>25</v>
      </c>
      <c r="H1228" s="4" t="s">
        <v>36</v>
      </c>
      <c r="I1228" s="5">
        <v>43891</v>
      </c>
      <c r="J1228" s="6">
        <v>0</v>
      </c>
      <c r="K1228" s="71">
        <v>0</v>
      </c>
      <c r="L1228" s="6">
        <v>5158.1980000000003</v>
      </c>
      <c r="M1228" s="71">
        <v>5158.1980000000003</v>
      </c>
      <c r="N1228" s="6">
        <v>5158.1980000000003</v>
      </c>
      <c r="O1228" s="71">
        <v>5158.1980000000003</v>
      </c>
      <c r="P1228" s="6">
        <v>0</v>
      </c>
      <c r="Q1228" s="4" t="s">
        <v>26</v>
      </c>
      <c r="R1228" s="4">
        <v>0</v>
      </c>
      <c r="S1228" s="6">
        <v>0</v>
      </c>
      <c r="T1228" s="6">
        <v>28</v>
      </c>
      <c r="U1228" s="6">
        <v>82</v>
      </c>
      <c r="V1228" s="71">
        <f>IF(ISERROR(VLOOKUP($S$1228,'TAR FIN'!$A$1:$O$120,15,0)),0,VLOOKUP($S$1228,'TAR FIN'!$A$1:$O$120,15,0))</f>
        <v>0</v>
      </c>
      <c r="W1228" s="71">
        <f>IF(ISERROR(VLOOKUP($T$1228,'TAR FIN'!$A$1:$O$120,15,0)),0,VLOOKUP($T$1228,'TAR FIN'!$A$1:$O$120,15,0))*(1-0.12)</f>
        <v>74.316000000000003</v>
      </c>
      <c r="X1228" s="71">
        <f>IF(ISERROR(VLOOKUP($U$1228,'TAR FIN'!$A$1:$O$120,15,0)),0,VLOOKUP($U$1228,'TAR FIN'!$A$1:$O$120,15,0))*(1-0.12)</f>
        <v>225.61439999999999</v>
      </c>
      <c r="Y1228" s="71"/>
      <c r="Z1228" s="71">
        <f ca="1">('TUSD BE'!$AM$34+'TUSD BF'!$AM$34+'TUSD CVA'!$AM$34)*1*(1-0.09)</f>
        <v>79.642619388381775</v>
      </c>
      <c r="AA1228" s="71">
        <f>('TE BE'!$AA$11+'TE BF'!$AA$11+'TE CVA'!$AA$11)*1*(1-0.09)</f>
        <v>210.05913056249776</v>
      </c>
      <c r="AB1228" s="6">
        <f>$K$1228*$V$1228</f>
        <v>0</v>
      </c>
      <c r="AC1228" s="6">
        <f>$M$1228*$W$1228</f>
        <v>383336.64256800001</v>
      </c>
      <c r="AD1228" s="6">
        <f>$O$1228*$X$1228</f>
        <v>1163763.7468512</v>
      </c>
      <c r="AE1228" s="6">
        <f>$K$1228*$Y$1228</f>
        <v>0</v>
      </c>
      <c r="AF1228" s="6">
        <f ca="1">$M$1228*$Z$1228</f>
        <v>410812.40004391212</v>
      </c>
      <c r="AG1228" s="6">
        <f>$O$1228*$AA$1228</f>
        <v>1083526.5871492149</v>
      </c>
    </row>
    <row r="1229" spans="1:33" ht="11.25" customHeight="1" x14ac:dyDescent="0.25">
      <c r="A1229" s="4" t="s">
        <v>21</v>
      </c>
      <c r="B1229" s="4" t="s">
        <v>33</v>
      </c>
      <c r="C1229" s="4" t="s">
        <v>34</v>
      </c>
      <c r="D1229" s="4" t="s">
        <v>52</v>
      </c>
      <c r="E1229" s="4" t="s">
        <v>53</v>
      </c>
      <c r="F1229" s="4" t="s">
        <v>25</v>
      </c>
      <c r="G1229" s="4" t="s">
        <v>25</v>
      </c>
      <c r="H1229" s="4" t="s">
        <v>36</v>
      </c>
      <c r="I1229" s="5">
        <v>43922</v>
      </c>
      <c r="J1229" s="6">
        <v>0</v>
      </c>
      <c r="K1229" s="71">
        <v>0</v>
      </c>
      <c r="L1229" s="6">
        <v>5236.3900000000003</v>
      </c>
      <c r="M1229" s="71">
        <v>5236.3900000000003</v>
      </c>
      <c r="N1229" s="6">
        <v>5236.3900000000003</v>
      </c>
      <c r="O1229" s="71">
        <v>5236.3900000000003</v>
      </c>
      <c r="P1229" s="6">
        <v>0</v>
      </c>
      <c r="Q1229" s="4" t="s">
        <v>26</v>
      </c>
      <c r="R1229" s="4">
        <v>0</v>
      </c>
      <c r="S1229" s="6">
        <v>0</v>
      </c>
      <c r="T1229" s="6">
        <v>28</v>
      </c>
      <c r="U1229" s="6">
        <v>82</v>
      </c>
      <c r="V1229" s="71">
        <f>IF(ISERROR(VLOOKUP($S$1229,'TAR FIN'!$A$1:$O$120,15,0)),0,VLOOKUP($S$1229,'TAR FIN'!$A$1:$O$120,15,0))</f>
        <v>0</v>
      </c>
      <c r="W1229" s="71">
        <f>IF(ISERROR(VLOOKUP($T$1229,'TAR FIN'!$A$1:$O$120,15,0)),0,VLOOKUP($T$1229,'TAR FIN'!$A$1:$O$120,15,0))*(1-0.12)</f>
        <v>74.316000000000003</v>
      </c>
      <c r="X1229" s="71">
        <f>IF(ISERROR(VLOOKUP($U$1229,'TAR FIN'!$A$1:$O$120,15,0)),0,VLOOKUP($U$1229,'TAR FIN'!$A$1:$O$120,15,0))*(1-0.12)</f>
        <v>225.61439999999999</v>
      </c>
      <c r="Y1229" s="71"/>
      <c r="Z1229" s="71">
        <f ca="1">('TUSD BE'!$AM$34+'TUSD BF'!$AM$34+'TUSD CVA'!$AM$34)*1*(1-0.09)</f>
        <v>79.642619388381775</v>
      </c>
      <c r="AA1229" s="71">
        <f>('TE BE'!$AA$11+'TE BF'!$AA$11+'TE CVA'!$AA$11)*1*(1-0.09)</f>
        <v>210.05913056249776</v>
      </c>
      <c r="AB1229" s="6">
        <f>$K$1229*$V$1229</f>
        <v>0</v>
      </c>
      <c r="AC1229" s="6">
        <f>$M$1229*$W$1229</f>
        <v>389147.55924000003</v>
      </c>
      <c r="AD1229" s="6">
        <f>$O$1229*$X$1229</f>
        <v>1181404.988016</v>
      </c>
      <c r="AE1229" s="6">
        <f>$K$1229*$Y$1229</f>
        <v>0</v>
      </c>
      <c r="AF1229" s="6">
        <f ca="1">$M$1229*$Z$1229</f>
        <v>417039.81573912845</v>
      </c>
      <c r="AG1229" s="6">
        <f>$O$1229*$AA$1229</f>
        <v>1099951.5306861578</v>
      </c>
    </row>
    <row r="1230" spans="1:33" ht="11.25" customHeight="1" x14ac:dyDescent="0.25">
      <c r="A1230" s="4" t="s">
        <v>21</v>
      </c>
      <c r="B1230" s="4" t="s">
        <v>33</v>
      </c>
      <c r="C1230" s="4" t="s">
        <v>34</v>
      </c>
      <c r="D1230" s="4" t="s">
        <v>52</v>
      </c>
      <c r="E1230" s="4" t="s">
        <v>53</v>
      </c>
      <c r="F1230" s="4" t="s">
        <v>25</v>
      </c>
      <c r="G1230" s="4" t="s">
        <v>25</v>
      </c>
      <c r="H1230" s="4" t="s">
        <v>36</v>
      </c>
      <c r="I1230" s="5">
        <v>43952</v>
      </c>
      <c r="J1230" s="6">
        <v>0</v>
      </c>
      <c r="K1230" s="71">
        <v>0</v>
      </c>
      <c r="L1230" s="6">
        <v>4846.5690000000004</v>
      </c>
      <c r="M1230" s="71">
        <v>4846.5690000000004</v>
      </c>
      <c r="N1230" s="6">
        <v>4846.5690000000004</v>
      </c>
      <c r="O1230" s="71">
        <v>4846.5690000000004</v>
      </c>
      <c r="P1230" s="6">
        <v>0</v>
      </c>
      <c r="Q1230" s="4" t="s">
        <v>26</v>
      </c>
      <c r="R1230" s="4">
        <v>0</v>
      </c>
      <c r="S1230" s="6">
        <v>0</v>
      </c>
      <c r="T1230" s="6">
        <v>28</v>
      </c>
      <c r="U1230" s="6">
        <v>82</v>
      </c>
      <c r="V1230" s="71">
        <f>IF(ISERROR(VLOOKUP($S$1230,'TAR FIN'!$A$1:$O$120,15,0)),0,VLOOKUP($S$1230,'TAR FIN'!$A$1:$O$120,15,0))</f>
        <v>0</v>
      </c>
      <c r="W1230" s="71">
        <f>IF(ISERROR(VLOOKUP($T$1230,'TAR FIN'!$A$1:$O$120,15,0)),0,VLOOKUP($T$1230,'TAR FIN'!$A$1:$O$120,15,0))*(1-0.12)</f>
        <v>74.316000000000003</v>
      </c>
      <c r="X1230" s="71">
        <f>IF(ISERROR(VLOOKUP($U$1230,'TAR FIN'!$A$1:$O$120,15,0)),0,VLOOKUP($U$1230,'TAR FIN'!$A$1:$O$120,15,0))*(1-0.12)</f>
        <v>225.61439999999999</v>
      </c>
      <c r="Y1230" s="71"/>
      <c r="Z1230" s="71">
        <f ca="1">('TUSD BE'!$AM$34+'TUSD BF'!$AM$34+'TUSD CVA'!$AM$34)*1*(1-0.09)</f>
        <v>79.642619388381775</v>
      </c>
      <c r="AA1230" s="71">
        <f>('TE BE'!$AA$11+'TE BF'!$AA$11+'TE CVA'!$AA$11)*1*(1-0.09)</f>
        <v>210.05913056249776</v>
      </c>
      <c r="AB1230" s="6">
        <f>$K$1230*$V$1230</f>
        <v>0</v>
      </c>
      <c r="AC1230" s="6">
        <f>$M$1230*$W$1230</f>
        <v>360177.62180400005</v>
      </c>
      <c r="AD1230" s="6">
        <f>$O$1230*$X$1230</f>
        <v>1093455.7569935999</v>
      </c>
      <c r="AE1230" s="6">
        <f>$K$1230*$Y$1230</f>
        <v>0</v>
      </c>
      <c r="AF1230" s="6">
        <f ca="1">$M$1230*$Z$1230</f>
        <v>385993.45020653011</v>
      </c>
      <c r="AG1230" s="6">
        <f>$O$1230*$AA$1230</f>
        <v>1018066.0703511543</v>
      </c>
    </row>
    <row r="1231" spans="1:33" ht="11.25" customHeight="1" x14ac:dyDescent="0.25">
      <c r="A1231" s="4" t="s">
        <v>21</v>
      </c>
      <c r="B1231" s="4" t="s">
        <v>33</v>
      </c>
      <c r="C1231" s="4" t="s">
        <v>34</v>
      </c>
      <c r="D1231" s="4" t="s">
        <v>52</v>
      </c>
      <c r="E1231" s="4" t="s">
        <v>53</v>
      </c>
      <c r="F1231" s="4" t="s">
        <v>25</v>
      </c>
      <c r="G1231" s="4" t="s">
        <v>25</v>
      </c>
      <c r="H1231" s="4" t="s">
        <v>36</v>
      </c>
      <c r="I1231" s="5">
        <v>43983</v>
      </c>
      <c r="J1231" s="6">
        <v>0</v>
      </c>
      <c r="K1231" s="71">
        <v>0</v>
      </c>
      <c r="L1231" s="6">
        <v>4807.7939999999999</v>
      </c>
      <c r="M1231" s="71">
        <v>4807.7939999999999</v>
      </c>
      <c r="N1231" s="6">
        <v>4807.7939999999999</v>
      </c>
      <c r="O1231" s="71">
        <v>4807.7939999999999</v>
      </c>
      <c r="P1231" s="6">
        <v>0</v>
      </c>
      <c r="Q1231" s="4" t="s">
        <v>26</v>
      </c>
      <c r="R1231" s="4">
        <v>0</v>
      </c>
      <c r="S1231" s="6">
        <v>0</v>
      </c>
      <c r="T1231" s="6">
        <v>28</v>
      </c>
      <c r="U1231" s="6">
        <v>82</v>
      </c>
      <c r="V1231" s="71">
        <f>IF(ISERROR(VLOOKUP($S$1231,'TAR FIN'!$A$1:$O$120,15,0)),0,VLOOKUP($S$1231,'TAR FIN'!$A$1:$O$120,15,0))</f>
        <v>0</v>
      </c>
      <c r="W1231" s="71">
        <f>IF(ISERROR(VLOOKUP($T$1231,'TAR FIN'!$A$1:$O$120,15,0)),0,VLOOKUP($T$1231,'TAR FIN'!$A$1:$O$120,15,0))*(1-0.12)</f>
        <v>74.316000000000003</v>
      </c>
      <c r="X1231" s="71">
        <f>IF(ISERROR(VLOOKUP($U$1231,'TAR FIN'!$A$1:$O$120,15,0)),0,VLOOKUP($U$1231,'TAR FIN'!$A$1:$O$120,15,0))*(1-0.12)</f>
        <v>225.61439999999999</v>
      </c>
      <c r="Y1231" s="71"/>
      <c r="Z1231" s="71">
        <f ca="1">('TUSD BE'!$AM$34+'TUSD BF'!$AM$34+'TUSD CVA'!$AM$34)*1*(1-0.09)</f>
        <v>79.642619388381775</v>
      </c>
      <c r="AA1231" s="71">
        <f>('TE BE'!$AA$11+'TE BF'!$AA$11+'TE CVA'!$AA$11)*1*(1-0.09)</f>
        <v>210.05913056249776</v>
      </c>
      <c r="AB1231" s="6">
        <f>$K$1231*$V$1231</f>
        <v>0</v>
      </c>
      <c r="AC1231" s="6">
        <f>$M$1231*$W$1231</f>
        <v>357296.018904</v>
      </c>
      <c r="AD1231" s="6">
        <f>$O$1231*$X$1231</f>
        <v>1084707.5586335999</v>
      </c>
      <c r="AE1231" s="6">
        <f>$K$1231*$Y$1231</f>
        <v>0</v>
      </c>
      <c r="AF1231" s="6">
        <f ca="1">$M$1231*$Z$1231</f>
        <v>382905.30763974553</v>
      </c>
      <c r="AG1231" s="6">
        <f>$O$1231*$AA$1231</f>
        <v>1009921.0275635934</v>
      </c>
    </row>
    <row r="1232" spans="1:33" ht="11.25" customHeight="1" x14ac:dyDescent="0.25">
      <c r="A1232" s="4" t="s">
        <v>21</v>
      </c>
      <c r="B1232" s="4" t="s">
        <v>33</v>
      </c>
      <c r="C1232" s="4" t="s">
        <v>34</v>
      </c>
      <c r="D1232" s="4" t="s">
        <v>52</v>
      </c>
      <c r="E1232" s="4" t="s">
        <v>53</v>
      </c>
      <c r="F1232" s="4" t="s">
        <v>25</v>
      </c>
      <c r="G1232" s="4" t="s">
        <v>25</v>
      </c>
      <c r="H1232" s="4" t="s">
        <v>36</v>
      </c>
      <c r="I1232" s="5">
        <v>44013</v>
      </c>
      <c r="J1232" s="6">
        <v>0</v>
      </c>
      <c r="K1232" s="71">
        <v>0</v>
      </c>
      <c r="L1232" s="6">
        <v>4652.2060000000001</v>
      </c>
      <c r="M1232" s="71">
        <v>4652.2060000000001</v>
      </c>
      <c r="N1232" s="6">
        <v>4652.2060000000001</v>
      </c>
      <c r="O1232" s="71">
        <v>4652.2060000000001</v>
      </c>
      <c r="P1232" s="6">
        <v>0</v>
      </c>
      <c r="Q1232" s="4" t="s">
        <v>26</v>
      </c>
      <c r="R1232" s="4">
        <v>0</v>
      </c>
      <c r="S1232" s="6">
        <v>0</v>
      </c>
      <c r="T1232" s="6">
        <v>28</v>
      </c>
      <c r="U1232" s="6">
        <v>82</v>
      </c>
      <c r="V1232" s="71">
        <f>IF(ISERROR(VLOOKUP($S$1232,'TAR FIN'!$A$1:$O$120,15,0)),0,VLOOKUP($S$1232,'TAR FIN'!$A$1:$O$120,15,0))</f>
        <v>0</v>
      </c>
      <c r="W1232" s="71">
        <f>IF(ISERROR(VLOOKUP($T$1232,'TAR FIN'!$A$1:$O$120,15,0)),0,VLOOKUP($T$1232,'TAR FIN'!$A$1:$O$120,15,0))*(1-0.12)</f>
        <v>74.316000000000003</v>
      </c>
      <c r="X1232" s="71">
        <f>IF(ISERROR(VLOOKUP($U$1232,'TAR FIN'!$A$1:$O$120,15,0)),0,VLOOKUP($U$1232,'TAR FIN'!$A$1:$O$120,15,0))*(1-0.12)</f>
        <v>225.61439999999999</v>
      </c>
      <c r="Y1232" s="71"/>
      <c r="Z1232" s="71">
        <f ca="1">('TUSD BE'!$AM$34+'TUSD BF'!$AM$34+'TUSD CVA'!$AM$34)*1*(1-0.09)</f>
        <v>79.642619388381775</v>
      </c>
      <c r="AA1232" s="71">
        <f>('TE BE'!$AA$11+'TE BF'!$AA$11+'TE CVA'!$AA$11)*1*(1-0.09)</f>
        <v>210.05913056249776</v>
      </c>
      <c r="AB1232" s="6">
        <f>$K$1232*$V$1232</f>
        <v>0</v>
      </c>
      <c r="AC1232" s="6">
        <f>$M$1232*$W$1232</f>
        <v>345733.34109600005</v>
      </c>
      <c r="AD1232" s="6">
        <f>$O$1232*$X$1232</f>
        <v>1049604.6653664</v>
      </c>
      <c r="AE1232" s="6">
        <f>$K$1232*$Y$1232</f>
        <v>0</v>
      </c>
      <c r="AF1232" s="6">
        <f ca="1">$M$1232*$Z$1232</f>
        <v>370513.87177434604</v>
      </c>
      <c r="AG1232" s="6">
        <f>$O$1232*$AA$1232</f>
        <v>977238.34755763551</v>
      </c>
    </row>
    <row r="1233" spans="1:33" ht="11.25" customHeight="1" x14ac:dyDescent="0.25">
      <c r="A1233" s="4" t="s">
        <v>21</v>
      </c>
      <c r="B1233" s="4" t="s">
        <v>33</v>
      </c>
      <c r="C1233" s="4" t="s">
        <v>34</v>
      </c>
      <c r="D1233" s="4" t="s">
        <v>52</v>
      </c>
      <c r="E1233" s="4" t="s">
        <v>53</v>
      </c>
      <c r="F1233" s="4" t="s">
        <v>25</v>
      </c>
      <c r="G1233" s="4" t="s">
        <v>25</v>
      </c>
      <c r="H1233" s="4" t="s">
        <v>36</v>
      </c>
      <c r="I1233" s="5">
        <v>44044</v>
      </c>
      <c r="J1233" s="6">
        <v>0</v>
      </c>
      <c r="K1233" s="71">
        <v>0</v>
      </c>
      <c r="L1233" s="6">
        <v>4885.2669999999998</v>
      </c>
      <c r="M1233" s="71">
        <v>4885.2669999999998</v>
      </c>
      <c r="N1233" s="6">
        <v>4885.2669999999998</v>
      </c>
      <c r="O1233" s="71">
        <v>4885.2669999999998</v>
      </c>
      <c r="P1233" s="6">
        <v>0</v>
      </c>
      <c r="Q1233" s="4" t="s">
        <v>26</v>
      </c>
      <c r="R1233" s="4">
        <v>0</v>
      </c>
      <c r="S1233" s="6">
        <v>0</v>
      </c>
      <c r="T1233" s="6">
        <v>28</v>
      </c>
      <c r="U1233" s="6">
        <v>82</v>
      </c>
      <c r="V1233" s="71">
        <f>IF(ISERROR(VLOOKUP($S$1233,'TAR FIN'!$A$1:$O$120,15,0)),0,VLOOKUP($S$1233,'TAR FIN'!$A$1:$O$120,15,0))</f>
        <v>0</v>
      </c>
      <c r="W1233" s="71">
        <f>IF(ISERROR(VLOOKUP($T$1233,'TAR FIN'!$A$1:$O$120,15,0)),0,VLOOKUP($T$1233,'TAR FIN'!$A$1:$O$120,15,0))*(1-0.12)</f>
        <v>74.316000000000003</v>
      </c>
      <c r="X1233" s="71">
        <f>IF(ISERROR(VLOOKUP($U$1233,'TAR FIN'!$A$1:$O$120,15,0)),0,VLOOKUP($U$1233,'TAR FIN'!$A$1:$O$120,15,0))*(1-0.12)</f>
        <v>225.61439999999999</v>
      </c>
      <c r="Y1233" s="71"/>
      <c r="Z1233" s="71">
        <f ca="1">('TUSD BE'!$AM$34+'TUSD BF'!$AM$34+'TUSD CVA'!$AM$34)*1*(1-0.09)</f>
        <v>79.642619388381775</v>
      </c>
      <c r="AA1233" s="71">
        <f>('TE BE'!$AA$11+'TE BF'!$AA$11+'TE CVA'!$AA$11)*1*(1-0.09)</f>
        <v>210.05913056249776</v>
      </c>
      <c r="AB1233" s="6">
        <f>$K$1233*$V$1233</f>
        <v>0</v>
      </c>
      <c r="AC1233" s="6">
        <f>$M$1233*$W$1233</f>
        <v>363053.50237200002</v>
      </c>
      <c r="AD1233" s="6">
        <f>$O$1233*$X$1233</f>
        <v>1102186.5830448</v>
      </c>
      <c r="AE1233" s="6">
        <f>$K$1233*$Y$1233</f>
        <v>0</v>
      </c>
      <c r="AF1233" s="6">
        <f ca="1">$M$1233*$Z$1233</f>
        <v>389075.46029162162</v>
      </c>
      <c r="AG1233" s="6">
        <f>$O$1233*$AA$1233</f>
        <v>1026194.9385856617</v>
      </c>
    </row>
    <row r="1234" spans="1:33" ht="11.25" customHeight="1" x14ac:dyDescent="0.25">
      <c r="A1234" s="4" t="s">
        <v>59</v>
      </c>
      <c r="B1234" s="4" t="s">
        <v>33</v>
      </c>
      <c r="C1234" s="4" t="s">
        <v>34</v>
      </c>
      <c r="D1234" s="4" t="s">
        <v>52</v>
      </c>
      <c r="E1234" s="4" t="s">
        <v>53</v>
      </c>
      <c r="F1234" s="4" t="s">
        <v>25</v>
      </c>
      <c r="G1234" s="4" t="s">
        <v>25</v>
      </c>
      <c r="H1234" s="4" t="s">
        <v>36</v>
      </c>
      <c r="I1234" s="5">
        <v>44075</v>
      </c>
      <c r="J1234" s="6">
        <v>0</v>
      </c>
      <c r="K1234" s="71">
        <v>0</v>
      </c>
      <c r="L1234" s="6">
        <v>4885.2669999999998</v>
      </c>
      <c r="M1234" s="71">
        <v>4885.2669999999998</v>
      </c>
      <c r="N1234" s="6">
        <v>4885.2669999999998</v>
      </c>
      <c r="O1234" s="71">
        <v>4885.2669999999998</v>
      </c>
      <c r="P1234" s="6">
        <v>0</v>
      </c>
      <c r="Q1234" s="4" t="s">
        <v>26</v>
      </c>
      <c r="R1234" s="4">
        <v>0</v>
      </c>
      <c r="S1234" s="6">
        <v>0</v>
      </c>
      <c r="T1234" s="6">
        <v>28</v>
      </c>
      <c r="U1234" s="6">
        <v>82</v>
      </c>
      <c r="V1234" s="71">
        <f>IF(ISERROR(VLOOKUP($S$1234,'TAR FIN'!$A$1:$O$120,15,0)),0,VLOOKUP($S$1234,'TAR FIN'!$A$1:$O$120,15,0))</f>
        <v>0</v>
      </c>
      <c r="W1234" s="71">
        <f>IF(ISERROR(VLOOKUP($T$1234,'TAR FIN'!$A$1:$O$120,15,0)),0,VLOOKUP($T$1234,'TAR FIN'!$A$1:$O$120,15,0))*(1-0.12)</f>
        <v>74.316000000000003</v>
      </c>
      <c r="X1234" s="71">
        <f>IF(ISERROR(VLOOKUP($U$1234,'TAR FIN'!$A$1:$O$120,15,0)),0,VLOOKUP($U$1234,'TAR FIN'!$A$1:$O$120,15,0))*(1-0.12)</f>
        <v>225.61439999999999</v>
      </c>
      <c r="Y1234" s="71"/>
      <c r="Z1234" s="71">
        <f ca="1">('TUSD BE'!$AM$34+'TUSD BF'!$AM$34+'TUSD CVA'!$AM$34)*1*(1-0.09)</f>
        <v>79.642619388381775</v>
      </c>
      <c r="AA1234" s="71">
        <f>('TE BE'!$AA$11+'TE BF'!$AA$11+'TE CVA'!$AA$11)*1*(1-0.09)</f>
        <v>210.05913056249776</v>
      </c>
      <c r="AB1234" s="6">
        <f>$K$1234*$V$1234</f>
        <v>0</v>
      </c>
      <c r="AC1234" s="6">
        <f>$M$1234*$W$1234</f>
        <v>363053.50237200002</v>
      </c>
      <c r="AD1234" s="6">
        <f>$O$1234*$X$1234</f>
        <v>1102186.5830448</v>
      </c>
      <c r="AE1234" s="6">
        <f>$K$1234*$Y$1234</f>
        <v>0</v>
      </c>
      <c r="AF1234" s="6">
        <f ca="1">$M$1234*$Z$1234</f>
        <v>389075.46029162162</v>
      </c>
      <c r="AG1234" s="6">
        <f>$O$1234*$AA$1234</f>
        <v>1026194.9385856617</v>
      </c>
    </row>
    <row r="1235" spans="1:33" ht="11.25" customHeight="1" x14ac:dyDescent="0.25">
      <c r="A1235" s="4" t="s">
        <v>21</v>
      </c>
      <c r="B1235" s="4" t="s">
        <v>33</v>
      </c>
      <c r="C1235" s="4" t="s">
        <v>34</v>
      </c>
      <c r="D1235" s="4" t="s">
        <v>52</v>
      </c>
      <c r="E1235" s="4" t="s">
        <v>53</v>
      </c>
      <c r="F1235" s="4" t="s">
        <v>25</v>
      </c>
      <c r="G1235" s="4" t="s">
        <v>25</v>
      </c>
      <c r="H1235" s="4" t="s">
        <v>25</v>
      </c>
      <c r="I1235" s="5">
        <v>43739</v>
      </c>
      <c r="J1235" s="6">
        <v>17200</v>
      </c>
      <c r="K1235" s="70">
        <v>17200</v>
      </c>
      <c r="L1235" s="6">
        <v>0</v>
      </c>
      <c r="M1235" s="71">
        <v>0</v>
      </c>
      <c r="N1235" s="6">
        <v>0</v>
      </c>
      <c r="O1235" s="71">
        <v>0</v>
      </c>
      <c r="P1235" s="6">
        <v>79</v>
      </c>
      <c r="Q1235" s="4" t="s">
        <v>26</v>
      </c>
      <c r="R1235" s="4">
        <v>0</v>
      </c>
      <c r="S1235" s="6">
        <v>26</v>
      </c>
      <c r="T1235" s="6">
        <v>0</v>
      </c>
      <c r="U1235" s="6">
        <v>0</v>
      </c>
      <c r="V1235" s="71">
        <f>IF(ISERROR(VLOOKUP($S$1235,'TAR FIN'!$A$1:$O$120,15,0)),0,VLOOKUP($S$1235,'TAR FIN'!$A$1:$O$120,15,0))*(1-0.12)</f>
        <v>7.7528000000000006</v>
      </c>
      <c r="W1235" s="71">
        <f>IF(ISERROR(VLOOKUP($T$1235,'TAR FIN'!$A$1:$O$120,15,0)),0,VLOOKUP($T$1235,'TAR FIN'!$A$1:$O$120,15,0))</f>
        <v>0</v>
      </c>
      <c r="X1235" s="71">
        <f>IF(ISERROR(VLOOKUP($U$1235,'TAR FIN'!$A$1:$O$120,15,0)),0,VLOOKUP($U$1235,'TAR FIN'!$A$1:$O$120,15,0))</f>
        <v>0</v>
      </c>
      <c r="Y1235" s="71">
        <f ca="1">('TUSD BE'!$AM$32+'TUSD BF'!$AM$32+'TUSD CVA'!$AM$32)*1*(1-0.09)</f>
        <v>10.421644550274408</v>
      </c>
      <c r="Z1235" s="71"/>
      <c r="AA1235" s="71"/>
      <c r="AB1235" s="6">
        <f>$K$1235*$V$1235</f>
        <v>133348.16</v>
      </c>
      <c r="AC1235" s="6">
        <f>$M$1235*$W$1235</f>
        <v>0</v>
      </c>
      <c r="AD1235" s="6">
        <f>$O$1235*$X$1235</f>
        <v>0</v>
      </c>
      <c r="AE1235" s="6">
        <f ca="1">$K$1235*$Y$1235</f>
        <v>179252.28626471982</v>
      </c>
      <c r="AF1235" s="6">
        <f>$M$1235*$Z$1235</f>
        <v>0</v>
      </c>
      <c r="AG1235" s="6">
        <f>$O$1235*$AA$1235</f>
        <v>0</v>
      </c>
    </row>
    <row r="1236" spans="1:33" ht="11.25" customHeight="1" x14ac:dyDescent="0.25">
      <c r="A1236" s="4" t="s">
        <v>21</v>
      </c>
      <c r="B1236" s="4" t="s">
        <v>33</v>
      </c>
      <c r="C1236" s="4" t="s">
        <v>34</v>
      </c>
      <c r="D1236" s="4" t="s">
        <v>52</v>
      </c>
      <c r="E1236" s="4" t="s">
        <v>53</v>
      </c>
      <c r="F1236" s="4" t="s">
        <v>25</v>
      </c>
      <c r="G1236" s="4" t="s">
        <v>25</v>
      </c>
      <c r="H1236" s="4" t="s">
        <v>25</v>
      </c>
      <c r="I1236" s="5">
        <v>43770</v>
      </c>
      <c r="J1236" s="6">
        <v>17378</v>
      </c>
      <c r="K1236" s="70">
        <v>17378</v>
      </c>
      <c r="L1236" s="6">
        <v>0</v>
      </c>
      <c r="M1236" s="71">
        <v>0</v>
      </c>
      <c r="N1236" s="6">
        <v>0</v>
      </c>
      <c r="O1236" s="71">
        <v>0</v>
      </c>
      <c r="P1236" s="6">
        <v>79</v>
      </c>
      <c r="Q1236" s="4" t="s">
        <v>26</v>
      </c>
      <c r="R1236" s="4">
        <v>0</v>
      </c>
      <c r="S1236" s="6">
        <v>26</v>
      </c>
      <c r="T1236" s="6">
        <v>0</v>
      </c>
      <c r="U1236" s="6">
        <v>0</v>
      </c>
      <c r="V1236" s="71">
        <f>IF(ISERROR(VLOOKUP($S$1236,'TAR FIN'!$A$1:$O$120,15,0)),0,VLOOKUP($S$1236,'TAR FIN'!$A$1:$O$120,15,0))*(1-0.12)</f>
        <v>7.7528000000000006</v>
      </c>
      <c r="W1236" s="71">
        <f>IF(ISERROR(VLOOKUP($T$1236,'TAR FIN'!$A$1:$O$120,15,0)),0,VLOOKUP($T$1236,'TAR FIN'!$A$1:$O$120,15,0))</f>
        <v>0</v>
      </c>
      <c r="X1236" s="71">
        <f>IF(ISERROR(VLOOKUP($U$1236,'TAR FIN'!$A$1:$O$120,15,0)),0,VLOOKUP($U$1236,'TAR FIN'!$A$1:$O$120,15,0))</f>
        <v>0</v>
      </c>
      <c r="Y1236" s="71">
        <f ca="1">('TUSD BE'!$AM$32+'TUSD BF'!$AM$32+'TUSD CVA'!$AM$32)*1*(1-0.09)</f>
        <v>10.421644550274408</v>
      </c>
      <c r="Z1236" s="71"/>
      <c r="AA1236" s="71"/>
      <c r="AB1236" s="6">
        <f>$K$1236*$V$1236</f>
        <v>134728.15840000001</v>
      </c>
      <c r="AC1236" s="6">
        <f>$M$1236*$W$1236</f>
        <v>0</v>
      </c>
      <c r="AD1236" s="6">
        <f>$O$1236*$X$1236</f>
        <v>0</v>
      </c>
      <c r="AE1236" s="6">
        <f ca="1">$K$1236*$Y$1236</f>
        <v>181107.33899466865</v>
      </c>
      <c r="AF1236" s="6">
        <f>$M$1236*$Z$1236</f>
        <v>0</v>
      </c>
      <c r="AG1236" s="6">
        <f>$O$1236*$AA$1236</f>
        <v>0</v>
      </c>
    </row>
    <row r="1237" spans="1:33" ht="11.25" customHeight="1" x14ac:dyDescent="0.25">
      <c r="A1237" s="4" t="s">
        <v>21</v>
      </c>
      <c r="B1237" s="4" t="s">
        <v>33</v>
      </c>
      <c r="C1237" s="4" t="s">
        <v>34</v>
      </c>
      <c r="D1237" s="4" t="s">
        <v>52</v>
      </c>
      <c r="E1237" s="4" t="s">
        <v>53</v>
      </c>
      <c r="F1237" s="4" t="s">
        <v>25</v>
      </c>
      <c r="G1237" s="4" t="s">
        <v>25</v>
      </c>
      <c r="H1237" s="4" t="s">
        <v>25</v>
      </c>
      <c r="I1237" s="5">
        <v>43800</v>
      </c>
      <c r="J1237" s="6">
        <v>17420</v>
      </c>
      <c r="K1237" s="70">
        <v>17420</v>
      </c>
      <c r="L1237" s="6">
        <v>0</v>
      </c>
      <c r="M1237" s="71">
        <v>0</v>
      </c>
      <c r="N1237" s="6">
        <v>0</v>
      </c>
      <c r="O1237" s="71">
        <v>0</v>
      </c>
      <c r="P1237" s="6">
        <v>79</v>
      </c>
      <c r="Q1237" s="4" t="s">
        <v>26</v>
      </c>
      <c r="R1237" s="4">
        <v>0</v>
      </c>
      <c r="S1237" s="6">
        <v>26</v>
      </c>
      <c r="T1237" s="6">
        <v>0</v>
      </c>
      <c r="U1237" s="6">
        <v>0</v>
      </c>
      <c r="V1237" s="71">
        <f>IF(ISERROR(VLOOKUP($S$1237,'TAR FIN'!$A$1:$O$120,15,0)),0,VLOOKUP($S$1237,'TAR FIN'!$A$1:$O$120,15,0))*(1-0.12)</f>
        <v>7.7528000000000006</v>
      </c>
      <c r="W1237" s="71">
        <f>IF(ISERROR(VLOOKUP($T$1237,'TAR FIN'!$A$1:$O$120,15,0)),0,VLOOKUP($T$1237,'TAR FIN'!$A$1:$O$120,15,0))</f>
        <v>0</v>
      </c>
      <c r="X1237" s="71">
        <f>IF(ISERROR(VLOOKUP($U$1237,'TAR FIN'!$A$1:$O$120,15,0)),0,VLOOKUP($U$1237,'TAR FIN'!$A$1:$O$120,15,0))</f>
        <v>0</v>
      </c>
      <c r="Y1237" s="71">
        <f ca="1">('TUSD BE'!$AM$32+'TUSD BF'!$AM$32+'TUSD CVA'!$AM$32)*1*(1-0.09)</f>
        <v>10.421644550274408</v>
      </c>
      <c r="Z1237" s="71"/>
      <c r="AA1237" s="71"/>
      <c r="AB1237" s="6">
        <f>$K$1237*$V$1237</f>
        <v>135053.77600000001</v>
      </c>
      <c r="AC1237" s="6">
        <f>$M$1237*$W$1237</f>
        <v>0</v>
      </c>
      <c r="AD1237" s="6">
        <f>$O$1237*$X$1237</f>
        <v>0</v>
      </c>
      <c r="AE1237" s="6">
        <f ca="1">$K$1237*$Y$1237</f>
        <v>181545.0480657802</v>
      </c>
      <c r="AF1237" s="6">
        <f>$M$1237*$Z$1237</f>
        <v>0</v>
      </c>
      <c r="AG1237" s="6">
        <f>$O$1237*$AA$1237</f>
        <v>0</v>
      </c>
    </row>
    <row r="1238" spans="1:33" ht="11.25" customHeight="1" x14ac:dyDescent="0.25">
      <c r="A1238" s="4" t="s">
        <v>21</v>
      </c>
      <c r="B1238" s="4" t="s">
        <v>33</v>
      </c>
      <c r="C1238" s="4" t="s">
        <v>34</v>
      </c>
      <c r="D1238" s="4" t="s">
        <v>52</v>
      </c>
      <c r="E1238" s="4" t="s">
        <v>53</v>
      </c>
      <c r="F1238" s="4" t="s">
        <v>25</v>
      </c>
      <c r="G1238" s="4" t="s">
        <v>25</v>
      </c>
      <c r="H1238" s="4" t="s">
        <v>25</v>
      </c>
      <c r="I1238" s="5">
        <v>43831</v>
      </c>
      <c r="J1238" s="6">
        <v>17269</v>
      </c>
      <c r="K1238" s="70">
        <v>17269</v>
      </c>
      <c r="L1238" s="6">
        <v>0</v>
      </c>
      <c r="M1238" s="71">
        <v>0</v>
      </c>
      <c r="N1238" s="6">
        <v>0</v>
      </c>
      <c r="O1238" s="71">
        <v>0</v>
      </c>
      <c r="P1238" s="6">
        <v>79</v>
      </c>
      <c r="Q1238" s="4" t="s">
        <v>26</v>
      </c>
      <c r="R1238" s="4">
        <v>0</v>
      </c>
      <c r="S1238" s="6">
        <v>26</v>
      </c>
      <c r="T1238" s="6">
        <v>0</v>
      </c>
      <c r="U1238" s="6">
        <v>0</v>
      </c>
      <c r="V1238" s="71">
        <f>IF(ISERROR(VLOOKUP($S$1238,'TAR FIN'!$A$1:$O$120,15,0)),0,VLOOKUP($S$1238,'TAR FIN'!$A$1:$O$120,15,0))*(1-0.12)</f>
        <v>7.7528000000000006</v>
      </c>
      <c r="W1238" s="71">
        <f>IF(ISERROR(VLOOKUP($T$1238,'TAR FIN'!$A$1:$O$120,15,0)),0,VLOOKUP($T$1238,'TAR FIN'!$A$1:$O$120,15,0))</f>
        <v>0</v>
      </c>
      <c r="X1238" s="71">
        <f>IF(ISERROR(VLOOKUP($U$1238,'TAR FIN'!$A$1:$O$120,15,0)),0,VLOOKUP($U$1238,'TAR FIN'!$A$1:$O$120,15,0))</f>
        <v>0</v>
      </c>
      <c r="Y1238" s="71">
        <f ca="1">('TUSD BE'!$AM$32+'TUSD BF'!$AM$32+'TUSD CVA'!$AM$32)*1*(1-0.09)</f>
        <v>10.421644550274408</v>
      </c>
      <c r="Z1238" s="71"/>
      <c r="AA1238" s="71"/>
      <c r="AB1238" s="6">
        <f>$K$1238*$V$1238</f>
        <v>133883.10320000001</v>
      </c>
      <c r="AC1238" s="6">
        <f>$M$1238*$W$1238</f>
        <v>0</v>
      </c>
      <c r="AD1238" s="6">
        <f>$O$1238*$X$1238</f>
        <v>0</v>
      </c>
      <c r="AE1238" s="6">
        <f ca="1">$K$1238*$Y$1238</f>
        <v>179971.37973868876</v>
      </c>
      <c r="AF1238" s="6">
        <f>$M$1238*$Z$1238</f>
        <v>0</v>
      </c>
      <c r="AG1238" s="6">
        <f>$O$1238*$AA$1238</f>
        <v>0</v>
      </c>
    </row>
    <row r="1239" spans="1:33" ht="11.25" customHeight="1" x14ac:dyDescent="0.25">
      <c r="A1239" s="4" t="s">
        <v>21</v>
      </c>
      <c r="B1239" s="4" t="s">
        <v>33</v>
      </c>
      <c r="C1239" s="4" t="s">
        <v>34</v>
      </c>
      <c r="D1239" s="4" t="s">
        <v>52</v>
      </c>
      <c r="E1239" s="4" t="s">
        <v>53</v>
      </c>
      <c r="F1239" s="4" t="s">
        <v>25</v>
      </c>
      <c r="G1239" s="4" t="s">
        <v>25</v>
      </c>
      <c r="H1239" s="4" t="s">
        <v>25</v>
      </c>
      <c r="I1239" s="5">
        <v>43862</v>
      </c>
      <c r="J1239" s="6">
        <v>17492</v>
      </c>
      <c r="K1239" s="70">
        <v>17492</v>
      </c>
      <c r="L1239" s="6">
        <v>0</v>
      </c>
      <c r="M1239" s="71">
        <v>0</v>
      </c>
      <c r="N1239" s="6">
        <v>0</v>
      </c>
      <c r="O1239" s="71">
        <v>0</v>
      </c>
      <c r="P1239" s="6">
        <v>79</v>
      </c>
      <c r="Q1239" s="4" t="s">
        <v>26</v>
      </c>
      <c r="R1239" s="4">
        <v>0</v>
      </c>
      <c r="S1239" s="6">
        <v>26</v>
      </c>
      <c r="T1239" s="6">
        <v>0</v>
      </c>
      <c r="U1239" s="6">
        <v>0</v>
      </c>
      <c r="V1239" s="71">
        <f>IF(ISERROR(VLOOKUP($S$1239,'TAR FIN'!$A$1:$O$120,15,0)),0,VLOOKUP($S$1239,'TAR FIN'!$A$1:$O$120,15,0))*(1-0.12)</f>
        <v>7.7528000000000006</v>
      </c>
      <c r="W1239" s="71">
        <f>IF(ISERROR(VLOOKUP($T$1239,'TAR FIN'!$A$1:$O$120,15,0)),0,VLOOKUP($T$1239,'TAR FIN'!$A$1:$O$120,15,0))</f>
        <v>0</v>
      </c>
      <c r="X1239" s="71">
        <f>IF(ISERROR(VLOOKUP($U$1239,'TAR FIN'!$A$1:$O$120,15,0)),0,VLOOKUP($U$1239,'TAR FIN'!$A$1:$O$120,15,0))</f>
        <v>0</v>
      </c>
      <c r="Y1239" s="71">
        <f ca="1">('TUSD BE'!$AM$32+'TUSD BF'!$AM$32+'TUSD CVA'!$AM$32)*1*(1-0.09)</f>
        <v>10.421644550274408</v>
      </c>
      <c r="Z1239" s="71"/>
      <c r="AA1239" s="71"/>
      <c r="AB1239" s="6">
        <f>$K$1239*$V$1239</f>
        <v>135611.97760000001</v>
      </c>
      <c r="AC1239" s="6">
        <f>$M$1239*$W$1239</f>
        <v>0</v>
      </c>
      <c r="AD1239" s="6">
        <f>$O$1239*$X$1239</f>
        <v>0</v>
      </c>
      <c r="AE1239" s="6">
        <f ca="1">$K$1239*$Y$1239</f>
        <v>182295.40647339995</v>
      </c>
      <c r="AF1239" s="6">
        <f>$M$1239*$Z$1239</f>
        <v>0</v>
      </c>
      <c r="AG1239" s="6">
        <f>$O$1239*$AA$1239</f>
        <v>0</v>
      </c>
    </row>
    <row r="1240" spans="1:33" ht="11.25" customHeight="1" x14ac:dyDescent="0.25">
      <c r="A1240" s="4" t="s">
        <v>21</v>
      </c>
      <c r="B1240" s="4" t="s">
        <v>33</v>
      </c>
      <c r="C1240" s="4" t="s">
        <v>34</v>
      </c>
      <c r="D1240" s="4" t="s">
        <v>52</v>
      </c>
      <c r="E1240" s="4" t="s">
        <v>53</v>
      </c>
      <c r="F1240" s="4" t="s">
        <v>25</v>
      </c>
      <c r="G1240" s="4" t="s">
        <v>25</v>
      </c>
      <c r="H1240" s="4" t="s">
        <v>25</v>
      </c>
      <c r="I1240" s="5">
        <v>43891</v>
      </c>
      <c r="J1240" s="6">
        <v>17490</v>
      </c>
      <c r="K1240" s="70">
        <v>17490</v>
      </c>
      <c r="L1240" s="6">
        <v>0</v>
      </c>
      <c r="M1240" s="71">
        <v>0</v>
      </c>
      <c r="N1240" s="6">
        <v>0</v>
      </c>
      <c r="O1240" s="71">
        <v>0</v>
      </c>
      <c r="P1240" s="6">
        <v>80</v>
      </c>
      <c r="Q1240" s="4" t="s">
        <v>26</v>
      </c>
      <c r="R1240" s="4">
        <v>0</v>
      </c>
      <c r="S1240" s="6">
        <v>26</v>
      </c>
      <c r="T1240" s="6">
        <v>0</v>
      </c>
      <c r="U1240" s="6">
        <v>0</v>
      </c>
      <c r="V1240" s="71">
        <f>IF(ISERROR(VLOOKUP($S$1240,'TAR FIN'!$A$1:$O$120,15,0)),0,VLOOKUP($S$1240,'TAR FIN'!$A$1:$O$120,15,0))*(1-0.12)</f>
        <v>7.7528000000000006</v>
      </c>
      <c r="W1240" s="71">
        <f>IF(ISERROR(VLOOKUP($T$1240,'TAR FIN'!$A$1:$O$120,15,0)),0,VLOOKUP($T$1240,'TAR FIN'!$A$1:$O$120,15,0))</f>
        <v>0</v>
      </c>
      <c r="X1240" s="71">
        <f>IF(ISERROR(VLOOKUP($U$1240,'TAR FIN'!$A$1:$O$120,15,0)),0,VLOOKUP($U$1240,'TAR FIN'!$A$1:$O$120,15,0))</f>
        <v>0</v>
      </c>
      <c r="Y1240" s="71">
        <f ca="1">('TUSD BE'!$AM$32+'TUSD BF'!$AM$32+'TUSD CVA'!$AM$32)*1*(1-0.09)</f>
        <v>10.421644550274408</v>
      </c>
      <c r="Z1240" s="71"/>
      <c r="AA1240" s="71"/>
      <c r="AB1240" s="6">
        <f>$K$1240*$V$1240</f>
        <v>135596.47200000001</v>
      </c>
      <c r="AC1240" s="6">
        <f>$M$1240*$W$1240</f>
        <v>0</v>
      </c>
      <c r="AD1240" s="6">
        <f>$O$1240*$X$1240</f>
        <v>0</v>
      </c>
      <c r="AE1240" s="6">
        <f ca="1">$K$1240*$Y$1240</f>
        <v>182274.56318429939</v>
      </c>
      <c r="AF1240" s="6">
        <f>$M$1240*$Z$1240</f>
        <v>0</v>
      </c>
      <c r="AG1240" s="6">
        <f>$O$1240*$AA$1240</f>
        <v>0</v>
      </c>
    </row>
    <row r="1241" spans="1:33" ht="11.25" customHeight="1" x14ac:dyDescent="0.25">
      <c r="A1241" s="4" t="s">
        <v>21</v>
      </c>
      <c r="B1241" s="4" t="s">
        <v>33</v>
      </c>
      <c r="C1241" s="4" t="s">
        <v>34</v>
      </c>
      <c r="D1241" s="4" t="s">
        <v>52</v>
      </c>
      <c r="E1241" s="4" t="s">
        <v>53</v>
      </c>
      <c r="F1241" s="4" t="s">
        <v>25</v>
      </c>
      <c r="G1241" s="4" t="s">
        <v>25</v>
      </c>
      <c r="H1241" s="4" t="s">
        <v>25</v>
      </c>
      <c r="I1241" s="5">
        <v>43922</v>
      </c>
      <c r="J1241" s="6">
        <v>17540</v>
      </c>
      <c r="K1241" s="70">
        <v>17540</v>
      </c>
      <c r="L1241" s="6">
        <v>0</v>
      </c>
      <c r="M1241" s="71">
        <v>0</v>
      </c>
      <c r="N1241" s="6">
        <v>0</v>
      </c>
      <c r="O1241" s="71">
        <v>0</v>
      </c>
      <c r="P1241" s="6">
        <v>80</v>
      </c>
      <c r="Q1241" s="4" t="s">
        <v>26</v>
      </c>
      <c r="R1241" s="4">
        <v>0</v>
      </c>
      <c r="S1241" s="6">
        <v>26</v>
      </c>
      <c r="T1241" s="6">
        <v>0</v>
      </c>
      <c r="U1241" s="6">
        <v>0</v>
      </c>
      <c r="V1241" s="71">
        <f>IF(ISERROR(VLOOKUP($S$1241,'TAR FIN'!$A$1:$O$120,15,0)),0,VLOOKUP($S$1241,'TAR FIN'!$A$1:$O$120,15,0))*(1-0.12)</f>
        <v>7.7528000000000006</v>
      </c>
      <c r="W1241" s="71">
        <f>IF(ISERROR(VLOOKUP($T$1241,'TAR FIN'!$A$1:$O$120,15,0)),0,VLOOKUP($T$1241,'TAR FIN'!$A$1:$O$120,15,0))</f>
        <v>0</v>
      </c>
      <c r="X1241" s="71">
        <f>IF(ISERROR(VLOOKUP($U$1241,'TAR FIN'!$A$1:$O$120,15,0)),0,VLOOKUP($U$1241,'TAR FIN'!$A$1:$O$120,15,0))</f>
        <v>0</v>
      </c>
      <c r="Y1241" s="71">
        <f ca="1">('TUSD BE'!$AM$32+'TUSD BF'!$AM$32+'TUSD CVA'!$AM$32)*1*(1-0.09)</f>
        <v>10.421644550274408</v>
      </c>
      <c r="Z1241" s="71"/>
      <c r="AA1241" s="71"/>
      <c r="AB1241" s="6">
        <f>$K$1241*$V$1241</f>
        <v>135984.11200000002</v>
      </c>
      <c r="AC1241" s="6">
        <f>$M$1241*$W$1241</f>
        <v>0</v>
      </c>
      <c r="AD1241" s="6">
        <f>$O$1241*$X$1241</f>
        <v>0</v>
      </c>
      <c r="AE1241" s="6">
        <f ca="1">$K$1241*$Y$1241</f>
        <v>182795.64541181311</v>
      </c>
      <c r="AF1241" s="6">
        <f>$M$1241*$Z$1241</f>
        <v>0</v>
      </c>
      <c r="AG1241" s="6">
        <f>$O$1241*$AA$1241</f>
        <v>0</v>
      </c>
    </row>
    <row r="1242" spans="1:33" ht="11.25" customHeight="1" x14ac:dyDescent="0.25">
      <c r="A1242" s="4" t="s">
        <v>21</v>
      </c>
      <c r="B1242" s="4" t="s">
        <v>33</v>
      </c>
      <c r="C1242" s="4" t="s">
        <v>34</v>
      </c>
      <c r="D1242" s="4" t="s">
        <v>52</v>
      </c>
      <c r="E1242" s="4" t="s">
        <v>53</v>
      </c>
      <c r="F1242" s="4" t="s">
        <v>25</v>
      </c>
      <c r="G1242" s="4" t="s">
        <v>25</v>
      </c>
      <c r="H1242" s="4" t="s">
        <v>25</v>
      </c>
      <c r="I1242" s="5">
        <v>43952</v>
      </c>
      <c r="J1242" s="6">
        <v>17393</v>
      </c>
      <c r="K1242" s="70">
        <v>17393</v>
      </c>
      <c r="L1242" s="6">
        <v>0</v>
      </c>
      <c r="M1242" s="71">
        <v>0</v>
      </c>
      <c r="N1242" s="6">
        <v>0</v>
      </c>
      <c r="O1242" s="71">
        <v>0</v>
      </c>
      <c r="P1242" s="6">
        <v>80</v>
      </c>
      <c r="Q1242" s="4" t="s">
        <v>26</v>
      </c>
      <c r="R1242" s="4">
        <v>0</v>
      </c>
      <c r="S1242" s="6">
        <v>26</v>
      </c>
      <c r="T1242" s="6">
        <v>0</v>
      </c>
      <c r="U1242" s="6">
        <v>0</v>
      </c>
      <c r="V1242" s="71">
        <f>IF(ISERROR(VLOOKUP($S$1242,'TAR FIN'!$A$1:$O$120,15,0)),0,VLOOKUP($S$1242,'TAR FIN'!$A$1:$O$120,15,0))*(1-0.12)</f>
        <v>7.7528000000000006</v>
      </c>
      <c r="W1242" s="71">
        <f>IF(ISERROR(VLOOKUP($T$1242,'TAR FIN'!$A$1:$O$120,15,0)),0,VLOOKUP($T$1242,'TAR FIN'!$A$1:$O$120,15,0))</f>
        <v>0</v>
      </c>
      <c r="X1242" s="71">
        <f>IF(ISERROR(VLOOKUP($U$1242,'TAR FIN'!$A$1:$O$120,15,0)),0,VLOOKUP($U$1242,'TAR FIN'!$A$1:$O$120,15,0))</f>
        <v>0</v>
      </c>
      <c r="Y1242" s="71">
        <f ca="1">('TUSD BE'!$AM$32+'TUSD BF'!$AM$32+'TUSD CVA'!$AM$32)*1*(1-0.09)</f>
        <v>10.421644550274408</v>
      </c>
      <c r="Z1242" s="71"/>
      <c r="AA1242" s="71"/>
      <c r="AB1242" s="6">
        <f>$K$1242*$V$1242</f>
        <v>134844.4504</v>
      </c>
      <c r="AC1242" s="6">
        <f>$M$1242*$W$1242</f>
        <v>0</v>
      </c>
      <c r="AD1242" s="6">
        <f>$O$1242*$X$1242</f>
        <v>0</v>
      </c>
      <c r="AE1242" s="6">
        <f ca="1">$K$1242*$Y$1242</f>
        <v>181263.66366292277</v>
      </c>
      <c r="AF1242" s="6">
        <f>$M$1242*$Z$1242</f>
        <v>0</v>
      </c>
      <c r="AG1242" s="6">
        <f>$O$1242*$AA$1242</f>
        <v>0</v>
      </c>
    </row>
    <row r="1243" spans="1:33" ht="11.25" customHeight="1" x14ac:dyDescent="0.25">
      <c r="A1243" s="4" t="s">
        <v>21</v>
      </c>
      <c r="B1243" s="4" t="s">
        <v>33</v>
      </c>
      <c r="C1243" s="4" t="s">
        <v>34</v>
      </c>
      <c r="D1243" s="4" t="s">
        <v>52</v>
      </c>
      <c r="E1243" s="4" t="s">
        <v>53</v>
      </c>
      <c r="F1243" s="4" t="s">
        <v>25</v>
      </c>
      <c r="G1243" s="4" t="s">
        <v>25</v>
      </c>
      <c r="H1243" s="4" t="s">
        <v>25</v>
      </c>
      <c r="I1243" s="5">
        <v>43983</v>
      </c>
      <c r="J1243" s="6">
        <v>17394</v>
      </c>
      <c r="K1243" s="70">
        <v>17394</v>
      </c>
      <c r="L1243" s="6">
        <v>0</v>
      </c>
      <c r="M1243" s="71">
        <v>0</v>
      </c>
      <c r="N1243" s="6">
        <v>0</v>
      </c>
      <c r="O1243" s="71">
        <v>0</v>
      </c>
      <c r="P1243" s="6">
        <v>80</v>
      </c>
      <c r="Q1243" s="4" t="s">
        <v>26</v>
      </c>
      <c r="R1243" s="4">
        <v>0</v>
      </c>
      <c r="S1243" s="6">
        <v>26</v>
      </c>
      <c r="T1243" s="6">
        <v>0</v>
      </c>
      <c r="U1243" s="6">
        <v>0</v>
      </c>
      <c r="V1243" s="71">
        <f>IF(ISERROR(VLOOKUP($S$1243,'TAR FIN'!$A$1:$O$120,15,0)),0,VLOOKUP($S$1243,'TAR FIN'!$A$1:$O$120,15,0))*(1-0.12)</f>
        <v>7.7528000000000006</v>
      </c>
      <c r="W1243" s="71">
        <f>IF(ISERROR(VLOOKUP($T$1243,'TAR FIN'!$A$1:$O$120,15,0)),0,VLOOKUP($T$1243,'TAR FIN'!$A$1:$O$120,15,0))</f>
        <v>0</v>
      </c>
      <c r="X1243" s="71">
        <f>IF(ISERROR(VLOOKUP($U$1243,'TAR FIN'!$A$1:$O$120,15,0)),0,VLOOKUP($U$1243,'TAR FIN'!$A$1:$O$120,15,0))</f>
        <v>0</v>
      </c>
      <c r="Y1243" s="71">
        <f ca="1">('TUSD BE'!$AM$32+'TUSD BF'!$AM$32+'TUSD CVA'!$AM$32)*1*(1-0.09)</f>
        <v>10.421644550274408</v>
      </c>
      <c r="Z1243" s="71"/>
      <c r="AA1243" s="71"/>
      <c r="AB1243" s="6">
        <f>$K$1243*$V$1243</f>
        <v>134852.20320000002</v>
      </c>
      <c r="AC1243" s="6">
        <f>$M$1243*$W$1243</f>
        <v>0</v>
      </c>
      <c r="AD1243" s="6">
        <f>$O$1243*$X$1243</f>
        <v>0</v>
      </c>
      <c r="AE1243" s="6">
        <f ca="1">$K$1243*$Y$1243</f>
        <v>181274.08530747305</v>
      </c>
      <c r="AF1243" s="6">
        <f>$M$1243*$Z$1243</f>
        <v>0</v>
      </c>
      <c r="AG1243" s="6">
        <f>$O$1243*$AA$1243</f>
        <v>0</v>
      </c>
    </row>
    <row r="1244" spans="1:33" ht="11.25" customHeight="1" x14ac:dyDescent="0.25">
      <c r="A1244" s="4" t="s">
        <v>21</v>
      </c>
      <c r="B1244" s="4" t="s">
        <v>33</v>
      </c>
      <c r="C1244" s="4" t="s">
        <v>34</v>
      </c>
      <c r="D1244" s="4" t="s">
        <v>52</v>
      </c>
      <c r="E1244" s="4" t="s">
        <v>53</v>
      </c>
      <c r="F1244" s="4" t="s">
        <v>25</v>
      </c>
      <c r="G1244" s="4" t="s">
        <v>25</v>
      </c>
      <c r="H1244" s="4" t="s">
        <v>25</v>
      </c>
      <c r="I1244" s="5">
        <v>44013</v>
      </c>
      <c r="J1244" s="6">
        <v>17377</v>
      </c>
      <c r="K1244" s="70">
        <v>17377</v>
      </c>
      <c r="L1244" s="6">
        <v>0</v>
      </c>
      <c r="M1244" s="71">
        <v>0</v>
      </c>
      <c r="N1244" s="6">
        <v>0</v>
      </c>
      <c r="O1244" s="71">
        <v>0</v>
      </c>
      <c r="P1244" s="6">
        <v>80</v>
      </c>
      <c r="Q1244" s="4" t="s">
        <v>26</v>
      </c>
      <c r="R1244" s="4">
        <v>0</v>
      </c>
      <c r="S1244" s="6">
        <v>26</v>
      </c>
      <c r="T1244" s="6">
        <v>0</v>
      </c>
      <c r="U1244" s="6">
        <v>0</v>
      </c>
      <c r="V1244" s="71">
        <f>IF(ISERROR(VLOOKUP($S$1244,'TAR FIN'!$A$1:$O$120,15,0)),0,VLOOKUP($S$1244,'TAR FIN'!$A$1:$O$120,15,0))*(1-0.12)</f>
        <v>7.7528000000000006</v>
      </c>
      <c r="W1244" s="71">
        <f>IF(ISERROR(VLOOKUP($T$1244,'TAR FIN'!$A$1:$O$120,15,0)),0,VLOOKUP($T$1244,'TAR FIN'!$A$1:$O$120,15,0))</f>
        <v>0</v>
      </c>
      <c r="X1244" s="71">
        <f>IF(ISERROR(VLOOKUP($U$1244,'TAR FIN'!$A$1:$O$120,15,0)),0,VLOOKUP($U$1244,'TAR FIN'!$A$1:$O$120,15,0))</f>
        <v>0</v>
      </c>
      <c r="Y1244" s="71">
        <f ca="1">('TUSD BE'!$AM$32+'TUSD BF'!$AM$32+'TUSD CVA'!$AM$32)*1*(1-0.09)</f>
        <v>10.421644550274408</v>
      </c>
      <c r="Z1244" s="71"/>
      <c r="AA1244" s="71"/>
      <c r="AB1244" s="6">
        <f>$K$1244*$V$1244</f>
        <v>134720.4056</v>
      </c>
      <c r="AC1244" s="6">
        <f>$M$1244*$W$1244</f>
        <v>0</v>
      </c>
      <c r="AD1244" s="6">
        <f>$O$1244*$X$1244</f>
        <v>0</v>
      </c>
      <c r="AE1244" s="6">
        <f ca="1">$K$1244*$Y$1244</f>
        <v>181096.9173501184</v>
      </c>
      <c r="AF1244" s="6">
        <f>$M$1244*$Z$1244</f>
        <v>0</v>
      </c>
      <c r="AG1244" s="6">
        <f>$O$1244*$AA$1244</f>
        <v>0</v>
      </c>
    </row>
    <row r="1245" spans="1:33" ht="11.25" customHeight="1" x14ac:dyDescent="0.25">
      <c r="A1245" s="4" t="s">
        <v>21</v>
      </c>
      <c r="B1245" s="4" t="s">
        <v>33</v>
      </c>
      <c r="C1245" s="4" t="s">
        <v>34</v>
      </c>
      <c r="D1245" s="4" t="s">
        <v>52</v>
      </c>
      <c r="E1245" s="4" t="s">
        <v>53</v>
      </c>
      <c r="F1245" s="4" t="s">
        <v>25</v>
      </c>
      <c r="G1245" s="4" t="s">
        <v>25</v>
      </c>
      <c r="H1245" s="4" t="s">
        <v>25</v>
      </c>
      <c r="I1245" s="5">
        <v>44044</v>
      </c>
      <c r="J1245" s="6">
        <v>17469</v>
      </c>
      <c r="K1245" s="70">
        <v>17469</v>
      </c>
      <c r="L1245" s="6">
        <v>0</v>
      </c>
      <c r="M1245" s="71">
        <v>0</v>
      </c>
      <c r="N1245" s="6">
        <v>0</v>
      </c>
      <c r="O1245" s="71">
        <v>0</v>
      </c>
      <c r="P1245" s="6">
        <v>80</v>
      </c>
      <c r="Q1245" s="4" t="s">
        <v>26</v>
      </c>
      <c r="R1245" s="4">
        <v>0</v>
      </c>
      <c r="S1245" s="6">
        <v>26</v>
      </c>
      <c r="T1245" s="6">
        <v>0</v>
      </c>
      <c r="U1245" s="6">
        <v>0</v>
      </c>
      <c r="V1245" s="71">
        <f>IF(ISERROR(VLOOKUP($S$1245,'TAR FIN'!$A$1:$O$120,15,0)),0,VLOOKUP($S$1245,'TAR FIN'!$A$1:$O$120,15,0))*(1-0.12)</f>
        <v>7.7528000000000006</v>
      </c>
      <c r="W1245" s="71">
        <f>IF(ISERROR(VLOOKUP($T$1245,'TAR FIN'!$A$1:$O$120,15,0)),0,VLOOKUP($T$1245,'TAR FIN'!$A$1:$O$120,15,0))</f>
        <v>0</v>
      </c>
      <c r="X1245" s="71">
        <f>IF(ISERROR(VLOOKUP($U$1245,'TAR FIN'!$A$1:$O$120,15,0)),0,VLOOKUP($U$1245,'TAR FIN'!$A$1:$O$120,15,0))</f>
        <v>0</v>
      </c>
      <c r="Y1245" s="71">
        <f ca="1">('TUSD BE'!$AM$32+'TUSD BF'!$AM$32+'TUSD CVA'!$AM$32)*1*(1-0.09)</f>
        <v>10.421644550274408</v>
      </c>
      <c r="Z1245" s="71"/>
      <c r="AA1245" s="71"/>
      <c r="AB1245" s="6">
        <f>$K$1245*$V$1245</f>
        <v>135433.66320000001</v>
      </c>
      <c r="AC1245" s="6">
        <f>$M$1245*$W$1245</f>
        <v>0</v>
      </c>
      <c r="AD1245" s="6">
        <f>$O$1245*$X$1245</f>
        <v>0</v>
      </c>
      <c r="AE1245" s="6">
        <f ca="1">$K$1245*$Y$1245</f>
        <v>182055.70864874363</v>
      </c>
      <c r="AF1245" s="6">
        <f>$M$1245*$Z$1245</f>
        <v>0</v>
      </c>
      <c r="AG1245" s="6">
        <f>$O$1245*$AA$1245</f>
        <v>0</v>
      </c>
    </row>
    <row r="1246" spans="1:33" ht="11.25" customHeight="1" x14ac:dyDescent="0.25">
      <c r="A1246" s="4" t="s">
        <v>59</v>
      </c>
      <c r="B1246" s="4" t="s">
        <v>33</v>
      </c>
      <c r="C1246" s="4" t="s">
        <v>34</v>
      </c>
      <c r="D1246" s="4" t="s">
        <v>52</v>
      </c>
      <c r="E1246" s="4" t="s">
        <v>53</v>
      </c>
      <c r="F1246" s="4" t="s">
        <v>25</v>
      </c>
      <c r="G1246" s="4" t="s">
        <v>25</v>
      </c>
      <c r="H1246" s="4" t="s">
        <v>25</v>
      </c>
      <c r="I1246" s="5">
        <v>44075</v>
      </c>
      <c r="J1246" s="6">
        <v>17469</v>
      </c>
      <c r="K1246" s="70">
        <v>17469</v>
      </c>
      <c r="L1246" s="6">
        <v>0</v>
      </c>
      <c r="M1246" s="71">
        <v>0</v>
      </c>
      <c r="N1246" s="6">
        <v>0</v>
      </c>
      <c r="O1246" s="71">
        <v>0</v>
      </c>
      <c r="P1246" s="6">
        <v>80</v>
      </c>
      <c r="Q1246" s="4" t="s">
        <v>26</v>
      </c>
      <c r="R1246" s="4">
        <v>0</v>
      </c>
      <c r="S1246" s="6">
        <v>26</v>
      </c>
      <c r="T1246" s="6">
        <v>0</v>
      </c>
      <c r="U1246" s="6">
        <v>0</v>
      </c>
      <c r="V1246" s="71">
        <f>IF(ISERROR(VLOOKUP($S$1246,'TAR FIN'!$A$1:$O$120,15,0)),0,VLOOKUP($S$1246,'TAR FIN'!$A$1:$O$120,15,0))*(1-0.12)</f>
        <v>7.7528000000000006</v>
      </c>
      <c r="W1246" s="71">
        <f>IF(ISERROR(VLOOKUP($T$1246,'TAR FIN'!$A$1:$O$120,15,0)),0,VLOOKUP($T$1246,'TAR FIN'!$A$1:$O$120,15,0))</f>
        <v>0</v>
      </c>
      <c r="X1246" s="71">
        <f>IF(ISERROR(VLOOKUP($U$1246,'TAR FIN'!$A$1:$O$120,15,0)),0,VLOOKUP($U$1246,'TAR FIN'!$A$1:$O$120,15,0))</f>
        <v>0</v>
      </c>
      <c r="Y1246" s="71">
        <f ca="1">('TUSD BE'!$AM$32+'TUSD BF'!$AM$32+'TUSD CVA'!$AM$32)*1*(1-0.09)</f>
        <v>10.421644550274408</v>
      </c>
      <c r="Z1246" s="71"/>
      <c r="AA1246" s="71"/>
      <c r="AB1246" s="6">
        <f>$K$1246*$V$1246</f>
        <v>135433.66320000001</v>
      </c>
      <c r="AC1246" s="6">
        <f>$M$1246*$W$1246</f>
        <v>0</v>
      </c>
      <c r="AD1246" s="6">
        <f>$O$1246*$X$1246</f>
        <v>0</v>
      </c>
      <c r="AE1246" s="6">
        <f ca="1">$K$1246*$Y$1246</f>
        <v>182055.70864874363</v>
      </c>
      <c r="AF1246" s="6">
        <f>$M$1246*$Z$1246</f>
        <v>0</v>
      </c>
      <c r="AG1246" s="6">
        <f>$O$1246*$AA$1246</f>
        <v>0</v>
      </c>
    </row>
    <row r="1247" spans="1:33" ht="11.25" customHeight="1" x14ac:dyDescent="0.25">
      <c r="A1247" s="4" t="s">
        <v>21</v>
      </c>
      <c r="B1247" s="4" t="s">
        <v>33</v>
      </c>
      <c r="C1247" s="4" t="s">
        <v>34</v>
      </c>
      <c r="D1247" s="4" t="s">
        <v>52</v>
      </c>
      <c r="E1247" s="4" t="s">
        <v>53</v>
      </c>
      <c r="F1247" s="4" t="s">
        <v>25</v>
      </c>
      <c r="G1247" s="4" t="s">
        <v>25</v>
      </c>
      <c r="H1247" s="4" t="s">
        <v>35</v>
      </c>
      <c r="I1247" s="5">
        <v>43739</v>
      </c>
      <c r="J1247" s="6">
        <v>0</v>
      </c>
      <c r="K1247" s="71">
        <v>0</v>
      </c>
      <c r="L1247" s="6">
        <v>500.017</v>
      </c>
      <c r="M1247" s="71">
        <v>500.017</v>
      </c>
      <c r="N1247" s="6">
        <v>500.017</v>
      </c>
      <c r="O1247" s="71">
        <v>500.017</v>
      </c>
      <c r="P1247" s="6">
        <v>0</v>
      </c>
      <c r="Q1247" s="4" t="s">
        <v>26</v>
      </c>
      <c r="R1247" s="4">
        <v>0</v>
      </c>
      <c r="S1247" s="6">
        <v>0</v>
      </c>
      <c r="T1247" s="6">
        <v>27</v>
      </c>
      <c r="U1247" s="6">
        <v>81</v>
      </c>
      <c r="V1247" s="71">
        <f>IF(ISERROR(VLOOKUP($S$1247,'TAR FIN'!$A$1:$O$120,15,0)),0,VLOOKUP($S$1247,'TAR FIN'!$A$1:$O$120,15,0))</f>
        <v>0</v>
      </c>
      <c r="W1247" s="71">
        <f>IF(ISERROR(VLOOKUP($T$1247,'TAR FIN'!$A$1:$O$120,15,0)),0,VLOOKUP($T$1247,'TAR FIN'!$A$1:$O$120,15,0))*(1-0.12)</f>
        <v>564.95119999999997</v>
      </c>
      <c r="X1247" s="71">
        <f>IF(ISERROR(VLOOKUP($U$1247,'TAR FIN'!$A$1:$O$120,15,0)),0,VLOOKUP($U$1247,'TAR FIN'!$A$1:$O$120,15,0))*(1-0.12)</f>
        <v>379.16559999999998</v>
      </c>
      <c r="Y1247" s="71"/>
      <c r="Z1247" s="71">
        <f ca="1">('TUSD BE'!$AM$33+'TUSD BF'!$AM$33+'TUSD CVA'!$AM$33)*1*(1-0.09)</f>
        <v>680.4376080140571</v>
      </c>
      <c r="AA1247" s="71">
        <f>('TE BE'!$AA$10+'TE BF'!$AA$10+'TE CVA'!$AA$10)*1*(1-0.09)</f>
        <v>341.87954044517699</v>
      </c>
      <c r="AB1247" s="6">
        <f>$K$1247*$V$1247</f>
        <v>0</v>
      </c>
      <c r="AC1247" s="6">
        <f>$M$1247*$W$1247</f>
        <v>282485.20417039999</v>
      </c>
      <c r="AD1247" s="6">
        <f>$O$1247*$X$1247</f>
        <v>189589.2458152</v>
      </c>
      <c r="AE1247" s="6">
        <f>$K$1247*$Y$1247</f>
        <v>0</v>
      </c>
      <c r="AF1247" s="6">
        <f ca="1">$M$1247*$Z$1247</f>
        <v>340230.37144636479</v>
      </c>
      <c r="AG1247" s="6">
        <f>$O$1247*$AA$1247</f>
        <v>170945.58217477606</v>
      </c>
    </row>
    <row r="1248" spans="1:33" ht="11.25" customHeight="1" x14ac:dyDescent="0.25">
      <c r="A1248" s="4" t="s">
        <v>21</v>
      </c>
      <c r="B1248" s="4" t="s">
        <v>33</v>
      </c>
      <c r="C1248" s="4" t="s">
        <v>34</v>
      </c>
      <c r="D1248" s="4" t="s">
        <v>52</v>
      </c>
      <c r="E1248" s="4" t="s">
        <v>53</v>
      </c>
      <c r="F1248" s="4" t="s">
        <v>25</v>
      </c>
      <c r="G1248" s="4" t="s">
        <v>25</v>
      </c>
      <c r="H1248" s="4" t="s">
        <v>35</v>
      </c>
      <c r="I1248" s="5">
        <v>43770</v>
      </c>
      <c r="J1248" s="6">
        <v>0</v>
      </c>
      <c r="K1248" s="71">
        <v>0</v>
      </c>
      <c r="L1248" s="6">
        <v>475.28300000000002</v>
      </c>
      <c r="M1248" s="71">
        <v>475.28300000000002</v>
      </c>
      <c r="N1248" s="6">
        <v>475.28300000000002</v>
      </c>
      <c r="O1248" s="71">
        <v>475.28300000000002</v>
      </c>
      <c r="P1248" s="6">
        <v>0</v>
      </c>
      <c r="Q1248" s="4" t="s">
        <v>26</v>
      </c>
      <c r="R1248" s="4">
        <v>0</v>
      </c>
      <c r="S1248" s="6">
        <v>0</v>
      </c>
      <c r="T1248" s="6">
        <v>27</v>
      </c>
      <c r="U1248" s="6">
        <v>81</v>
      </c>
      <c r="V1248" s="71">
        <f>IF(ISERROR(VLOOKUP($S$1248,'TAR FIN'!$A$1:$O$120,15,0)),0,VLOOKUP($S$1248,'TAR FIN'!$A$1:$O$120,15,0))</f>
        <v>0</v>
      </c>
      <c r="W1248" s="71">
        <f>IF(ISERROR(VLOOKUP($T$1248,'TAR FIN'!$A$1:$O$120,15,0)),0,VLOOKUP($T$1248,'TAR FIN'!$A$1:$O$120,15,0))*(1-0.12)</f>
        <v>564.95119999999997</v>
      </c>
      <c r="X1248" s="71">
        <f>IF(ISERROR(VLOOKUP($U$1248,'TAR FIN'!$A$1:$O$120,15,0)),0,VLOOKUP($U$1248,'TAR FIN'!$A$1:$O$120,15,0))*(1-0.12)</f>
        <v>379.16559999999998</v>
      </c>
      <c r="Y1248" s="71"/>
      <c r="Z1248" s="71">
        <f ca="1">('TUSD BE'!$AM$33+'TUSD BF'!$AM$33+'TUSD CVA'!$AM$33)*1*(1-0.09)</f>
        <v>680.4376080140571</v>
      </c>
      <c r="AA1248" s="71">
        <f>('TE BE'!$AA$10+'TE BF'!$AA$10+'TE CVA'!$AA$10)*1*(1-0.09)</f>
        <v>341.87954044517699</v>
      </c>
      <c r="AB1248" s="6">
        <f>$K$1248*$V$1248</f>
        <v>0</v>
      </c>
      <c r="AC1248" s="6">
        <f>$M$1248*$W$1248</f>
        <v>268511.70118959999</v>
      </c>
      <c r="AD1248" s="6">
        <f>$O$1248*$X$1248</f>
        <v>180210.9638648</v>
      </c>
      <c r="AE1248" s="6">
        <f>$K$1248*$Y$1248</f>
        <v>0</v>
      </c>
      <c r="AF1248" s="6">
        <f ca="1">$M$1248*$Z$1248</f>
        <v>323400.42764974514</v>
      </c>
      <c r="AG1248" s="6">
        <f>$O$1248*$AA$1248</f>
        <v>162489.53362140505</v>
      </c>
    </row>
    <row r="1249" spans="1:33" ht="11.25" customHeight="1" x14ac:dyDescent="0.25">
      <c r="A1249" s="4" t="s">
        <v>21</v>
      </c>
      <c r="B1249" s="4" t="s">
        <v>33</v>
      </c>
      <c r="C1249" s="4" t="s">
        <v>34</v>
      </c>
      <c r="D1249" s="4" t="s">
        <v>52</v>
      </c>
      <c r="E1249" s="4" t="s">
        <v>53</v>
      </c>
      <c r="F1249" s="4" t="s">
        <v>25</v>
      </c>
      <c r="G1249" s="4" t="s">
        <v>25</v>
      </c>
      <c r="H1249" s="4" t="s">
        <v>35</v>
      </c>
      <c r="I1249" s="5">
        <v>43800</v>
      </c>
      <c r="J1249" s="6">
        <v>0</v>
      </c>
      <c r="K1249" s="71">
        <v>0</v>
      </c>
      <c r="L1249" s="6">
        <v>456.238</v>
      </c>
      <c r="M1249" s="71">
        <v>456.238</v>
      </c>
      <c r="N1249" s="6">
        <v>456.238</v>
      </c>
      <c r="O1249" s="71">
        <v>456.238</v>
      </c>
      <c r="P1249" s="6">
        <v>0</v>
      </c>
      <c r="Q1249" s="4" t="s">
        <v>26</v>
      </c>
      <c r="R1249" s="4">
        <v>0</v>
      </c>
      <c r="S1249" s="6">
        <v>0</v>
      </c>
      <c r="T1249" s="6">
        <v>27</v>
      </c>
      <c r="U1249" s="6">
        <v>81</v>
      </c>
      <c r="V1249" s="71">
        <f>IF(ISERROR(VLOOKUP($S$1249,'TAR FIN'!$A$1:$O$120,15,0)),0,VLOOKUP($S$1249,'TAR FIN'!$A$1:$O$120,15,0))</f>
        <v>0</v>
      </c>
      <c r="W1249" s="71">
        <f>IF(ISERROR(VLOOKUP($T$1249,'TAR FIN'!$A$1:$O$120,15,0)),0,VLOOKUP($T$1249,'TAR FIN'!$A$1:$O$120,15,0))*(1-0.12)</f>
        <v>564.95119999999997</v>
      </c>
      <c r="X1249" s="71">
        <f>IF(ISERROR(VLOOKUP($U$1249,'TAR FIN'!$A$1:$O$120,15,0)),0,VLOOKUP($U$1249,'TAR FIN'!$A$1:$O$120,15,0))*(1-0.12)</f>
        <v>379.16559999999998</v>
      </c>
      <c r="Y1249" s="71"/>
      <c r="Z1249" s="71">
        <f ca="1">('TUSD BE'!$AM$33+'TUSD BF'!$AM$33+'TUSD CVA'!$AM$33)*1*(1-0.09)</f>
        <v>680.4376080140571</v>
      </c>
      <c r="AA1249" s="71">
        <f>('TE BE'!$AA$10+'TE BF'!$AA$10+'TE CVA'!$AA$10)*1*(1-0.09)</f>
        <v>341.87954044517699</v>
      </c>
      <c r="AB1249" s="6">
        <f>$K$1249*$V$1249</f>
        <v>0</v>
      </c>
      <c r="AC1249" s="6">
        <f>$M$1249*$W$1249</f>
        <v>257752.20558559999</v>
      </c>
      <c r="AD1249" s="6">
        <f>$O$1249*$X$1249</f>
        <v>172989.75501279999</v>
      </c>
      <c r="AE1249" s="6">
        <f>$K$1249*$Y$1249</f>
        <v>0</v>
      </c>
      <c r="AF1249" s="6">
        <f ca="1">$M$1249*$Z$1249</f>
        <v>310441.49340511736</v>
      </c>
      <c r="AG1249" s="6">
        <f>$O$1249*$AA$1249</f>
        <v>155978.43777362665</v>
      </c>
    </row>
    <row r="1250" spans="1:33" ht="11.25" customHeight="1" x14ac:dyDescent="0.25">
      <c r="A1250" s="4" t="s">
        <v>21</v>
      </c>
      <c r="B1250" s="4" t="s">
        <v>33</v>
      </c>
      <c r="C1250" s="4" t="s">
        <v>34</v>
      </c>
      <c r="D1250" s="4" t="s">
        <v>52</v>
      </c>
      <c r="E1250" s="4" t="s">
        <v>53</v>
      </c>
      <c r="F1250" s="4" t="s">
        <v>25</v>
      </c>
      <c r="G1250" s="4" t="s">
        <v>25</v>
      </c>
      <c r="H1250" s="4" t="s">
        <v>35</v>
      </c>
      <c r="I1250" s="5">
        <v>43831</v>
      </c>
      <c r="J1250" s="6">
        <v>0</v>
      </c>
      <c r="K1250" s="71">
        <v>0</v>
      </c>
      <c r="L1250" s="6">
        <v>508.66</v>
      </c>
      <c r="M1250" s="71">
        <v>508.66</v>
      </c>
      <c r="N1250" s="6">
        <v>508.66</v>
      </c>
      <c r="O1250" s="71">
        <v>508.66</v>
      </c>
      <c r="P1250" s="6">
        <v>0</v>
      </c>
      <c r="Q1250" s="4" t="s">
        <v>26</v>
      </c>
      <c r="R1250" s="4">
        <v>0</v>
      </c>
      <c r="S1250" s="6">
        <v>0</v>
      </c>
      <c r="T1250" s="6">
        <v>27</v>
      </c>
      <c r="U1250" s="6">
        <v>81</v>
      </c>
      <c r="V1250" s="71">
        <f>IF(ISERROR(VLOOKUP($S$1250,'TAR FIN'!$A$1:$O$120,15,0)),0,VLOOKUP($S$1250,'TAR FIN'!$A$1:$O$120,15,0))</f>
        <v>0</v>
      </c>
      <c r="W1250" s="71">
        <f>IF(ISERROR(VLOOKUP($T$1250,'TAR FIN'!$A$1:$O$120,15,0)),0,VLOOKUP($T$1250,'TAR FIN'!$A$1:$O$120,15,0))*(1-0.12)</f>
        <v>564.95119999999997</v>
      </c>
      <c r="X1250" s="71">
        <f>IF(ISERROR(VLOOKUP($U$1250,'TAR FIN'!$A$1:$O$120,15,0)),0,VLOOKUP($U$1250,'TAR FIN'!$A$1:$O$120,15,0))*(1-0.12)</f>
        <v>379.16559999999998</v>
      </c>
      <c r="Y1250" s="71"/>
      <c r="Z1250" s="71">
        <f ca="1">('TUSD BE'!$AM$33+'TUSD BF'!$AM$33+'TUSD CVA'!$AM$33)*1*(1-0.09)</f>
        <v>680.4376080140571</v>
      </c>
      <c r="AA1250" s="71">
        <f>('TE BE'!$AA$10+'TE BF'!$AA$10+'TE CVA'!$AA$10)*1*(1-0.09)</f>
        <v>341.87954044517699</v>
      </c>
      <c r="AB1250" s="6">
        <f>$K$1250*$V$1250</f>
        <v>0</v>
      </c>
      <c r="AC1250" s="6">
        <f>$M$1250*$W$1250</f>
        <v>287368.07739200001</v>
      </c>
      <c r="AD1250" s="6">
        <f>$O$1250*$X$1250</f>
        <v>192866.37409600001</v>
      </c>
      <c r="AE1250" s="6">
        <f>$K$1250*$Y$1250</f>
        <v>0</v>
      </c>
      <c r="AF1250" s="6">
        <f ca="1">$M$1250*$Z$1250</f>
        <v>346111.39369243028</v>
      </c>
      <c r="AG1250" s="6">
        <f>$O$1250*$AA$1250</f>
        <v>173900.44704284373</v>
      </c>
    </row>
    <row r="1251" spans="1:33" ht="11.25" customHeight="1" x14ac:dyDescent="0.25">
      <c r="A1251" s="4" t="s">
        <v>21</v>
      </c>
      <c r="B1251" s="4" t="s">
        <v>33</v>
      </c>
      <c r="C1251" s="4" t="s">
        <v>34</v>
      </c>
      <c r="D1251" s="4" t="s">
        <v>52</v>
      </c>
      <c r="E1251" s="4" t="s">
        <v>53</v>
      </c>
      <c r="F1251" s="4" t="s">
        <v>25</v>
      </c>
      <c r="G1251" s="4" t="s">
        <v>25</v>
      </c>
      <c r="H1251" s="4" t="s">
        <v>35</v>
      </c>
      <c r="I1251" s="5">
        <v>43862</v>
      </c>
      <c r="J1251" s="6">
        <v>0</v>
      </c>
      <c r="K1251" s="71">
        <v>0</v>
      </c>
      <c r="L1251" s="6">
        <v>536.274</v>
      </c>
      <c r="M1251" s="71">
        <v>536.274</v>
      </c>
      <c r="N1251" s="6">
        <v>536.274</v>
      </c>
      <c r="O1251" s="71">
        <v>536.274</v>
      </c>
      <c r="P1251" s="6">
        <v>0</v>
      </c>
      <c r="Q1251" s="4" t="s">
        <v>26</v>
      </c>
      <c r="R1251" s="4">
        <v>0</v>
      </c>
      <c r="S1251" s="6">
        <v>0</v>
      </c>
      <c r="T1251" s="6">
        <v>27</v>
      </c>
      <c r="U1251" s="6">
        <v>81</v>
      </c>
      <c r="V1251" s="71">
        <f>IF(ISERROR(VLOOKUP($S$1251,'TAR FIN'!$A$1:$O$120,15,0)),0,VLOOKUP($S$1251,'TAR FIN'!$A$1:$O$120,15,0))</f>
        <v>0</v>
      </c>
      <c r="W1251" s="71">
        <f>IF(ISERROR(VLOOKUP($T$1251,'TAR FIN'!$A$1:$O$120,15,0)),0,VLOOKUP($T$1251,'TAR FIN'!$A$1:$O$120,15,0))*(1-0.12)</f>
        <v>564.95119999999997</v>
      </c>
      <c r="X1251" s="71">
        <f>IF(ISERROR(VLOOKUP($U$1251,'TAR FIN'!$A$1:$O$120,15,0)),0,VLOOKUP($U$1251,'TAR FIN'!$A$1:$O$120,15,0))*(1-0.12)</f>
        <v>379.16559999999998</v>
      </c>
      <c r="Y1251" s="71"/>
      <c r="Z1251" s="71">
        <f ca="1">('TUSD BE'!$AM$33+'TUSD BF'!$AM$33+'TUSD CVA'!$AM$33)*1*(1-0.09)</f>
        <v>680.4376080140571</v>
      </c>
      <c r="AA1251" s="71">
        <f>('TE BE'!$AA$10+'TE BF'!$AA$10+'TE CVA'!$AA$10)*1*(1-0.09)</f>
        <v>341.87954044517699</v>
      </c>
      <c r="AB1251" s="6">
        <f>$K$1251*$V$1251</f>
        <v>0</v>
      </c>
      <c r="AC1251" s="6">
        <f>$M$1251*$W$1251</f>
        <v>302968.63982879999</v>
      </c>
      <c r="AD1251" s="6">
        <f>$O$1251*$X$1251</f>
        <v>203336.6529744</v>
      </c>
      <c r="AE1251" s="6">
        <f>$K$1251*$Y$1251</f>
        <v>0</v>
      </c>
      <c r="AF1251" s="6">
        <f ca="1">$M$1251*$Z$1251</f>
        <v>364900.99780013046</v>
      </c>
      <c r="AG1251" s="6">
        <f>$O$1251*$AA$1251</f>
        <v>183341.10867269684</v>
      </c>
    </row>
    <row r="1252" spans="1:33" ht="11.25" customHeight="1" x14ac:dyDescent="0.25">
      <c r="A1252" s="4" t="s">
        <v>21</v>
      </c>
      <c r="B1252" s="4" t="s">
        <v>33</v>
      </c>
      <c r="C1252" s="4" t="s">
        <v>34</v>
      </c>
      <c r="D1252" s="4" t="s">
        <v>52</v>
      </c>
      <c r="E1252" s="4" t="s">
        <v>53</v>
      </c>
      <c r="F1252" s="4" t="s">
        <v>25</v>
      </c>
      <c r="G1252" s="4" t="s">
        <v>25</v>
      </c>
      <c r="H1252" s="4" t="s">
        <v>35</v>
      </c>
      <c r="I1252" s="5">
        <v>43891</v>
      </c>
      <c r="J1252" s="6">
        <v>0</v>
      </c>
      <c r="K1252" s="71">
        <v>0</v>
      </c>
      <c r="L1252" s="6">
        <v>481.88099999999997</v>
      </c>
      <c r="M1252" s="71">
        <v>481.88099999999997</v>
      </c>
      <c r="N1252" s="6">
        <v>481.88099999999997</v>
      </c>
      <c r="O1252" s="71">
        <v>481.88099999999997</v>
      </c>
      <c r="P1252" s="6">
        <v>0</v>
      </c>
      <c r="Q1252" s="4" t="s">
        <v>26</v>
      </c>
      <c r="R1252" s="4">
        <v>0</v>
      </c>
      <c r="S1252" s="6">
        <v>0</v>
      </c>
      <c r="T1252" s="6">
        <v>27</v>
      </c>
      <c r="U1252" s="6">
        <v>81</v>
      </c>
      <c r="V1252" s="71">
        <f>IF(ISERROR(VLOOKUP($S$1252,'TAR FIN'!$A$1:$O$120,15,0)),0,VLOOKUP($S$1252,'TAR FIN'!$A$1:$O$120,15,0))</f>
        <v>0</v>
      </c>
      <c r="W1252" s="71">
        <f>IF(ISERROR(VLOOKUP($T$1252,'TAR FIN'!$A$1:$O$120,15,0)),0,VLOOKUP($T$1252,'TAR FIN'!$A$1:$O$120,15,0))*(1-0.12)</f>
        <v>564.95119999999997</v>
      </c>
      <c r="X1252" s="71">
        <f>IF(ISERROR(VLOOKUP($U$1252,'TAR FIN'!$A$1:$O$120,15,0)),0,VLOOKUP($U$1252,'TAR FIN'!$A$1:$O$120,15,0))*(1-0.12)</f>
        <v>379.16559999999998</v>
      </c>
      <c r="Y1252" s="71"/>
      <c r="Z1252" s="71">
        <f ca="1">('TUSD BE'!$AM$33+'TUSD BF'!$AM$33+'TUSD CVA'!$AM$33)*1*(1-0.09)</f>
        <v>680.4376080140571</v>
      </c>
      <c r="AA1252" s="71">
        <f>('TE BE'!$AA$10+'TE BF'!$AA$10+'TE CVA'!$AA$10)*1*(1-0.09)</f>
        <v>341.87954044517699</v>
      </c>
      <c r="AB1252" s="6">
        <f>$K$1252*$V$1252</f>
        <v>0</v>
      </c>
      <c r="AC1252" s="6">
        <f>$M$1252*$W$1252</f>
        <v>272239.24920719996</v>
      </c>
      <c r="AD1252" s="6">
        <f>$O$1252*$X$1252</f>
        <v>182712.69849359998</v>
      </c>
      <c r="AE1252" s="6">
        <f>$K$1252*$Y$1252</f>
        <v>0</v>
      </c>
      <c r="AF1252" s="6">
        <f ca="1">$M$1252*$Z$1252</f>
        <v>327889.95498742181</v>
      </c>
      <c r="AG1252" s="6">
        <f>$O$1252*$AA$1252</f>
        <v>164745.25482926233</v>
      </c>
    </row>
    <row r="1253" spans="1:33" ht="11.25" customHeight="1" x14ac:dyDescent="0.25">
      <c r="A1253" s="4" t="s">
        <v>21</v>
      </c>
      <c r="B1253" s="4" t="s">
        <v>33</v>
      </c>
      <c r="C1253" s="4" t="s">
        <v>34</v>
      </c>
      <c r="D1253" s="4" t="s">
        <v>52</v>
      </c>
      <c r="E1253" s="4" t="s">
        <v>53</v>
      </c>
      <c r="F1253" s="4" t="s">
        <v>25</v>
      </c>
      <c r="G1253" s="4" t="s">
        <v>25</v>
      </c>
      <c r="H1253" s="4" t="s">
        <v>35</v>
      </c>
      <c r="I1253" s="5">
        <v>43922</v>
      </c>
      <c r="J1253" s="6">
        <v>0</v>
      </c>
      <c r="K1253" s="71">
        <v>0</v>
      </c>
      <c r="L1253" s="6">
        <v>503.37200000000001</v>
      </c>
      <c r="M1253" s="71">
        <v>503.37200000000001</v>
      </c>
      <c r="N1253" s="6">
        <v>503.37200000000001</v>
      </c>
      <c r="O1253" s="71">
        <v>503.37200000000001</v>
      </c>
      <c r="P1253" s="6">
        <v>0</v>
      </c>
      <c r="Q1253" s="4" t="s">
        <v>26</v>
      </c>
      <c r="R1253" s="4">
        <v>0</v>
      </c>
      <c r="S1253" s="6">
        <v>0</v>
      </c>
      <c r="T1253" s="6">
        <v>27</v>
      </c>
      <c r="U1253" s="6">
        <v>81</v>
      </c>
      <c r="V1253" s="71">
        <f>IF(ISERROR(VLOOKUP($S$1253,'TAR FIN'!$A$1:$O$120,15,0)),0,VLOOKUP($S$1253,'TAR FIN'!$A$1:$O$120,15,0))</f>
        <v>0</v>
      </c>
      <c r="W1253" s="71">
        <f>IF(ISERROR(VLOOKUP($T$1253,'TAR FIN'!$A$1:$O$120,15,0)),0,VLOOKUP($T$1253,'TAR FIN'!$A$1:$O$120,15,0))*(1-0.12)</f>
        <v>564.95119999999997</v>
      </c>
      <c r="X1253" s="71">
        <f>IF(ISERROR(VLOOKUP($U$1253,'TAR FIN'!$A$1:$O$120,15,0)),0,VLOOKUP($U$1253,'TAR FIN'!$A$1:$O$120,15,0))*(1-0.12)</f>
        <v>379.16559999999998</v>
      </c>
      <c r="Y1253" s="71"/>
      <c r="Z1253" s="71">
        <f ca="1">('TUSD BE'!$AM$33+'TUSD BF'!$AM$33+'TUSD CVA'!$AM$33)*1*(1-0.09)</f>
        <v>680.4376080140571</v>
      </c>
      <c r="AA1253" s="71">
        <f>('TE BE'!$AA$10+'TE BF'!$AA$10+'TE CVA'!$AA$10)*1*(1-0.09)</f>
        <v>341.87954044517699</v>
      </c>
      <c r="AB1253" s="6">
        <f>$K$1253*$V$1253</f>
        <v>0</v>
      </c>
      <c r="AC1253" s="6">
        <f>$M$1253*$W$1253</f>
        <v>284380.61544640001</v>
      </c>
      <c r="AD1253" s="6">
        <f>$O$1253*$X$1253</f>
        <v>190861.3464032</v>
      </c>
      <c r="AE1253" s="6">
        <f>$K$1253*$Y$1253</f>
        <v>0</v>
      </c>
      <c r="AF1253" s="6">
        <f ca="1">$M$1253*$Z$1253</f>
        <v>342513.23962125194</v>
      </c>
      <c r="AG1253" s="6">
        <f>$O$1253*$AA$1253</f>
        <v>172092.58803296962</v>
      </c>
    </row>
    <row r="1254" spans="1:33" ht="11.25" customHeight="1" x14ac:dyDescent="0.25">
      <c r="A1254" s="4" t="s">
        <v>21</v>
      </c>
      <c r="B1254" s="4" t="s">
        <v>33</v>
      </c>
      <c r="C1254" s="4" t="s">
        <v>34</v>
      </c>
      <c r="D1254" s="4" t="s">
        <v>52</v>
      </c>
      <c r="E1254" s="4" t="s">
        <v>53</v>
      </c>
      <c r="F1254" s="4" t="s">
        <v>25</v>
      </c>
      <c r="G1254" s="4" t="s">
        <v>25</v>
      </c>
      <c r="H1254" s="4" t="s">
        <v>35</v>
      </c>
      <c r="I1254" s="5">
        <v>43952</v>
      </c>
      <c r="J1254" s="6">
        <v>0</v>
      </c>
      <c r="K1254" s="71">
        <v>0</v>
      </c>
      <c r="L1254" s="6">
        <v>438.33699999999999</v>
      </c>
      <c r="M1254" s="71">
        <v>438.33699999999999</v>
      </c>
      <c r="N1254" s="6">
        <v>438.33699999999999</v>
      </c>
      <c r="O1254" s="71">
        <v>438.33699999999999</v>
      </c>
      <c r="P1254" s="6">
        <v>0</v>
      </c>
      <c r="Q1254" s="4" t="s">
        <v>26</v>
      </c>
      <c r="R1254" s="4">
        <v>0</v>
      </c>
      <c r="S1254" s="6">
        <v>0</v>
      </c>
      <c r="T1254" s="6">
        <v>27</v>
      </c>
      <c r="U1254" s="6">
        <v>81</v>
      </c>
      <c r="V1254" s="71">
        <f>IF(ISERROR(VLOOKUP($S$1254,'TAR FIN'!$A$1:$O$120,15,0)),0,VLOOKUP($S$1254,'TAR FIN'!$A$1:$O$120,15,0))</f>
        <v>0</v>
      </c>
      <c r="W1254" s="71">
        <f>IF(ISERROR(VLOOKUP($T$1254,'TAR FIN'!$A$1:$O$120,15,0)),0,VLOOKUP($T$1254,'TAR FIN'!$A$1:$O$120,15,0))*(1-0.12)</f>
        <v>564.95119999999997</v>
      </c>
      <c r="X1254" s="71">
        <f>IF(ISERROR(VLOOKUP($U$1254,'TAR FIN'!$A$1:$O$120,15,0)),0,VLOOKUP($U$1254,'TAR FIN'!$A$1:$O$120,15,0))*(1-0.12)</f>
        <v>379.16559999999998</v>
      </c>
      <c r="Y1254" s="71"/>
      <c r="Z1254" s="71">
        <f ca="1">('TUSD BE'!$AM$33+'TUSD BF'!$AM$33+'TUSD CVA'!$AM$33)*1*(1-0.09)</f>
        <v>680.4376080140571</v>
      </c>
      <c r="AA1254" s="71">
        <f>('TE BE'!$AA$10+'TE BF'!$AA$10+'TE CVA'!$AA$10)*1*(1-0.09)</f>
        <v>341.87954044517699</v>
      </c>
      <c r="AB1254" s="6">
        <f>$K$1254*$V$1254</f>
        <v>0</v>
      </c>
      <c r="AC1254" s="6">
        <f>$M$1254*$W$1254</f>
        <v>247639.01415439998</v>
      </c>
      <c r="AD1254" s="6">
        <f>$O$1254*$X$1254</f>
        <v>166202.31160719998</v>
      </c>
      <c r="AE1254" s="6">
        <f>$K$1254*$Y$1254</f>
        <v>0</v>
      </c>
      <c r="AF1254" s="6">
        <f ca="1">$M$1254*$Z$1254</f>
        <v>298260.97978405777</v>
      </c>
      <c r="AG1254" s="6">
        <f>$O$1254*$AA$1254</f>
        <v>149858.45212011755</v>
      </c>
    </row>
    <row r="1255" spans="1:33" ht="11.25" customHeight="1" x14ac:dyDescent="0.25">
      <c r="A1255" s="4" t="s">
        <v>21</v>
      </c>
      <c r="B1255" s="4" t="s">
        <v>33</v>
      </c>
      <c r="C1255" s="4" t="s">
        <v>34</v>
      </c>
      <c r="D1255" s="4" t="s">
        <v>52</v>
      </c>
      <c r="E1255" s="4" t="s">
        <v>53</v>
      </c>
      <c r="F1255" s="4" t="s">
        <v>25</v>
      </c>
      <c r="G1255" s="4" t="s">
        <v>25</v>
      </c>
      <c r="H1255" s="4" t="s">
        <v>35</v>
      </c>
      <c r="I1255" s="5">
        <v>43983</v>
      </c>
      <c r="J1255" s="6">
        <v>0</v>
      </c>
      <c r="K1255" s="71">
        <v>0</v>
      </c>
      <c r="L1255" s="6">
        <v>470.84800000000001</v>
      </c>
      <c r="M1255" s="71">
        <v>470.84800000000001</v>
      </c>
      <c r="N1255" s="6">
        <v>470.84800000000001</v>
      </c>
      <c r="O1255" s="71">
        <v>470.84800000000001</v>
      </c>
      <c r="P1255" s="6">
        <v>0</v>
      </c>
      <c r="Q1255" s="4" t="s">
        <v>26</v>
      </c>
      <c r="R1255" s="4">
        <v>0</v>
      </c>
      <c r="S1255" s="6">
        <v>0</v>
      </c>
      <c r="T1255" s="6">
        <v>27</v>
      </c>
      <c r="U1255" s="6">
        <v>81</v>
      </c>
      <c r="V1255" s="71">
        <f>IF(ISERROR(VLOOKUP($S$1255,'TAR FIN'!$A$1:$O$120,15,0)),0,VLOOKUP($S$1255,'TAR FIN'!$A$1:$O$120,15,0))</f>
        <v>0</v>
      </c>
      <c r="W1255" s="71">
        <f>IF(ISERROR(VLOOKUP($T$1255,'TAR FIN'!$A$1:$O$120,15,0)),0,VLOOKUP($T$1255,'TAR FIN'!$A$1:$O$120,15,0))*(1-0.12)</f>
        <v>564.95119999999997</v>
      </c>
      <c r="X1255" s="71">
        <f>IF(ISERROR(VLOOKUP($U$1255,'TAR FIN'!$A$1:$O$120,15,0)),0,VLOOKUP($U$1255,'TAR FIN'!$A$1:$O$120,15,0))*(1-0.12)</f>
        <v>379.16559999999998</v>
      </c>
      <c r="Y1255" s="71"/>
      <c r="Z1255" s="71">
        <f ca="1">('TUSD BE'!$AM$33+'TUSD BF'!$AM$33+'TUSD CVA'!$AM$33)*1*(1-0.09)</f>
        <v>680.4376080140571</v>
      </c>
      <c r="AA1255" s="71">
        <f>('TE BE'!$AA$10+'TE BF'!$AA$10+'TE CVA'!$AA$10)*1*(1-0.09)</f>
        <v>341.87954044517699</v>
      </c>
      <c r="AB1255" s="6">
        <f>$K$1255*$V$1255</f>
        <v>0</v>
      </c>
      <c r="AC1255" s="6">
        <f>$M$1255*$W$1255</f>
        <v>266006.14261759998</v>
      </c>
      <c r="AD1255" s="6">
        <f>$O$1255*$X$1255</f>
        <v>178529.36442880001</v>
      </c>
      <c r="AE1255" s="6">
        <f>$K$1255*$Y$1255</f>
        <v>0</v>
      </c>
      <c r="AF1255" s="6">
        <f ca="1">$M$1255*$Z$1255</f>
        <v>320382.6868582028</v>
      </c>
      <c r="AG1255" s="6">
        <f>$O$1255*$AA$1255</f>
        <v>160973.29785953069</v>
      </c>
    </row>
    <row r="1256" spans="1:33" ht="11.25" customHeight="1" x14ac:dyDescent="0.25">
      <c r="A1256" s="4" t="s">
        <v>21</v>
      </c>
      <c r="B1256" s="4" t="s">
        <v>33</v>
      </c>
      <c r="C1256" s="4" t="s">
        <v>34</v>
      </c>
      <c r="D1256" s="4" t="s">
        <v>52</v>
      </c>
      <c r="E1256" s="4" t="s">
        <v>53</v>
      </c>
      <c r="F1256" s="4" t="s">
        <v>25</v>
      </c>
      <c r="G1256" s="4" t="s">
        <v>25</v>
      </c>
      <c r="H1256" s="4" t="s">
        <v>35</v>
      </c>
      <c r="I1256" s="5">
        <v>44013</v>
      </c>
      <c r="J1256" s="6">
        <v>0</v>
      </c>
      <c r="K1256" s="71">
        <v>0</v>
      </c>
      <c r="L1256" s="6">
        <v>455.96699999999998</v>
      </c>
      <c r="M1256" s="71">
        <v>455.96699999999998</v>
      </c>
      <c r="N1256" s="6">
        <v>455.96699999999998</v>
      </c>
      <c r="O1256" s="71">
        <v>455.96699999999998</v>
      </c>
      <c r="P1256" s="6">
        <v>0</v>
      </c>
      <c r="Q1256" s="4" t="s">
        <v>26</v>
      </c>
      <c r="R1256" s="4">
        <v>0</v>
      </c>
      <c r="S1256" s="6">
        <v>0</v>
      </c>
      <c r="T1256" s="6">
        <v>27</v>
      </c>
      <c r="U1256" s="6">
        <v>81</v>
      </c>
      <c r="V1256" s="71">
        <f>IF(ISERROR(VLOOKUP($S$1256,'TAR FIN'!$A$1:$O$120,15,0)),0,VLOOKUP($S$1256,'TAR FIN'!$A$1:$O$120,15,0))</f>
        <v>0</v>
      </c>
      <c r="W1256" s="71">
        <f>IF(ISERROR(VLOOKUP($T$1256,'TAR FIN'!$A$1:$O$120,15,0)),0,VLOOKUP($T$1256,'TAR FIN'!$A$1:$O$120,15,0))*(1-0.12)</f>
        <v>564.95119999999997</v>
      </c>
      <c r="X1256" s="71">
        <f>IF(ISERROR(VLOOKUP($U$1256,'TAR FIN'!$A$1:$O$120,15,0)),0,VLOOKUP($U$1256,'TAR FIN'!$A$1:$O$120,15,0))*(1-0.12)</f>
        <v>379.16559999999998</v>
      </c>
      <c r="Y1256" s="71"/>
      <c r="Z1256" s="71">
        <f ca="1">('TUSD BE'!$AM$33+'TUSD BF'!$AM$33+'TUSD CVA'!$AM$33)*1*(1-0.09)</f>
        <v>680.4376080140571</v>
      </c>
      <c r="AA1256" s="71">
        <f>('TE BE'!$AA$10+'TE BF'!$AA$10+'TE CVA'!$AA$10)*1*(1-0.09)</f>
        <v>341.87954044517699</v>
      </c>
      <c r="AB1256" s="6">
        <f>$K$1256*$V$1256</f>
        <v>0</v>
      </c>
      <c r="AC1256" s="6">
        <f>$M$1256*$W$1256</f>
        <v>257599.10381039997</v>
      </c>
      <c r="AD1256" s="6">
        <f>$O$1256*$X$1256</f>
        <v>172887.0011352</v>
      </c>
      <c r="AE1256" s="6">
        <f>$K$1256*$Y$1256</f>
        <v>0</v>
      </c>
      <c r="AF1256" s="6">
        <f ca="1">$M$1256*$Z$1256</f>
        <v>310257.09481334558</v>
      </c>
      <c r="AG1256" s="6">
        <f>$O$1256*$AA$1256</f>
        <v>155885.78841816602</v>
      </c>
    </row>
    <row r="1257" spans="1:33" ht="11.25" customHeight="1" x14ac:dyDescent="0.25">
      <c r="A1257" s="4" t="s">
        <v>21</v>
      </c>
      <c r="B1257" s="4" t="s">
        <v>33</v>
      </c>
      <c r="C1257" s="4" t="s">
        <v>34</v>
      </c>
      <c r="D1257" s="4" t="s">
        <v>52</v>
      </c>
      <c r="E1257" s="4" t="s">
        <v>53</v>
      </c>
      <c r="F1257" s="4" t="s">
        <v>25</v>
      </c>
      <c r="G1257" s="4" t="s">
        <v>25</v>
      </c>
      <c r="H1257" s="4" t="s">
        <v>35</v>
      </c>
      <c r="I1257" s="5">
        <v>44044</v>
      </c>
      <c r="J1257" s="6">
        <v>0</v>
      </c>
      <c r="K1257" s="71">
        <v>0</v>
      </c>
      <c r="L1257" s="6">
        <v>487.88499999999999</v>
      </c>
      <c r="M1257" s="71">
        <v>487.88499999999999</v>
      </c>
      <c r="N1257" s="6">
        <v>487.88499999999999</v>
      </c>
      <c r="O1257" s="71">
        <v>487.88499999999999</v>
      </c>
      <c r="P1257" s="6">
        <v>0</v>
      </c>
      <c r="Q1257" s="4" t="s">
        <v>26</v>
      </c>
      <c r="R1257" s="4">
        <v>0</v>
      </c>
      <c r="S1257" s="6">
        <v>0</v>
      </c>
      <c r="T1257" s="6">
        <v>27</v>
      </c>
      <c r="U1257" s="6">
        <v>81</v>
      </c>
      <c r="V1257" s="71">
        <f>IF(ISERROR(VLOOKUP($S$1257,'TAR FIN'!$A$1:$O$120,15,0)),0,VLOOKUP($S$1257,'TAR FIN'!$A$1:$O$120,15,0))</f>
        <v>0</v>
      </c>
      <c r="W1257" s="71">
        <f>IF(ISERROR(VLOOKUP($T$1257,'TAR FIN'!$A$1:$O$120,15,0)),0,VLOOKUP($T$1257,'TAR FIN'!$A$1:$O$120,15,0))*(1-0.12)</f>
        <v>564.95119999999997</v>
      </c>
      <c r="X1257" s="71">
        <f>IF(ISERROR(VLOOKUP($U$1257,'TAR FIN'!$A$1:$O$120,15,0)),0,VLOOKUP($U$1257,'TAR FIN'!$A$1:$O$120,15,0))*(1-0.12)</f>
        <v>379.16559999999998</v>
      </c>
      <c r="Y1257" s="71"/>
      <c r="Z1257" s="71">
        <f ca="1">('TUSD BE'!$AM$33+'TUSD BF'!$AM$33+'TUSD CVA'!$AM$33)*1*(1-0.09)</f>
        <v>680.4376080140571</v>
      </c>
      <c r="AA1257" s="71">
        <f>('TE BE'!$AA$10+'TE BF'!$AA$10+'TE CVA'!$AA$10)*1*(1-0.09)</f>
        <v>341.87954044517699</v>
      </c>
      <c r="AB1257" s="6">
        <f>$K$1257*$V$1257</f>
        <v>0</v>
      </c>
      <c r="AC1257" s="6">
        <f>$M$1257*$W$1257</f>
        <v>275631.216212</v>
      </c>
      <c r="AD1257" s="6">
        <f>$O$1257*$X$1257</f>
        <v>184989.20875599998</v>
      </c>
      <c r="AE1257" s="6">
        <f>$K$1257*$Y$1257</f>
        <v>0</v>
      </c>
      <c r="AF1257" s="6">
        <f ca="1">$M$1257*$Z$1257</f>
        <v>331975.30238593824</v>
      </c>
      <c r="AG1257" s="6">
        <f>$O$1257*$AA$1257</f>
        <v>166797.89959009518</v>
      </c>
    </row>
    <row r="1258" spans="1:33" ht="11.25" customHeight="1" x14ac:dyDescent="0.25">
      <c r="A1258" s="4" t="s">
        <v>59</v>
      </c>
      <c r="B1258" s="4" t="s">
        <v>33</v>
      </c>
      <c r="C1258" s="4" t="s">
        <v>34</v>
      </c>
      <c r="D1258" s="4" t="s">
        <v>52</v>
      </c>
      <c r="E1258" s="4" t="s">
        <v>53</v>
      </c>
      <c r="F1258" s="4" t="s">
        <v>25</v>
      </c>
      <c r="G1258" s="4" t="s">
        <v>25</v>
      </c>
      <c r="H1258" s="4" t="s">
        <v>35</v>
      </c>
      <c r="I1258" s="5">
        <v>44075</v>
      </c>
      <c r="J1258" s="6">
        <v>0</v>
      </c>
      <c r="K1258" s="71">
        <v>0</v>
      </c>
      <c r="L1258" s="6">
        <v>487.88499999999999</v>
      </c>
      <c r="M1258" s="71">
        <v>487.88499999999999</v>
      </c>
      <c r="N1258" s="6">
        <v>487.88499999999999</v>
      </c>
      <c r="O1258" s="71">
        <v>487.88499999999999</v>
      </c>
      <c r="P1258" s="6">
        <v>0</v>
      </c>
      <c r="Q1258" s="4" t="s">
        <v>26</v>
      </c>
      <c r="R1258" s="4">
        <v>0</v>
      </c>
      <c r="S1258" s="6">
        <v>0</v>
      </c>
      <c r="T1258" s="6">
        <v>27</v>
      </c>
      <c r="U1258" s="6">
        <v>81</v>
      </c>
      <c r="V1258" s="71">
        <f>IF(ISERROR(VLOOKUP($S$1258,'TAR FIN'!$A$1:$O$120,15,0)),0,VLOOKUP($S$1258,'TAR FIN'!$A$1:$O$120,15,0))</f>
        <v>0</v>
      </c>
      <c r="W1258" s="71">
        <f>IF(ISERROR(VLOOKUP($T$1258,'TAR FIN'!$A$1:$O$120,15,0)),0,VLOOKUP($T$1258,'TAR FIN'!$A$1:$O$120,15,0))*(1-0.12)</f>
        <v>564.95119999999997</v>
      </c>
      <c r="X1258" s="71">
        <f>IF(ISERROR(VLOOKUP($U$1258,'TAR FIN'!$A$1:$O$120,15,0)),0,VLOOKUP($U$1258,'TAR FIN'!$A$1:$O$120,15,0))*(1-0.12)</f>
        <v>379.16559999999998</v>
      </c>
      <c r="Y1258" s="71"/>
      <c r="Z1258" s="71">
        <f ca="1">('TUSD BE'!$AM$33+'TUSD BF'!$AM$33+'TUSD CVA'!$AM$33)*1*(1-0.09)</f>
        <v>680.4376080140571</v>
      </c>
      <c r="AA1258" s="71">
        <f>('TE BE'!$AA$10+'TE BF'!$AA$10+'TE CVA'!$AA$10)*1*(1-0.09)</f>
        <v>341.87954044517699</v>
      </c>
      <c r="AB1258" s="6">
        <f>$K$1258*$V$1258</f>
        <v>0</v>
      </c>
      <c r="AC1258" s="6">
        <f>$M$1258*$W$1258</f>
        <v>275631.216212</v>
      </c>
      <c r="AD1258" s="6">
        <f>$O$1258*$X$1258</f>
        <v>184989.20875599998</v>
      </c>
      <c r="AE1258" s="6">
        <f>$K$1258*$Y$1258</f>
        <v>0</v>
      </c>
      <c r="AF1258" s="6">
        <f ca="1">$M$1258*$Z$1258</f>
        <v>331975.30238593824</v>
      </c>
      <c r="AG1258" s="6">
        <f>$O$1258*$AA$1258</f>
        <v>166797.89959009518</v>
      </c>
    </row>
    <row r="1259" spans="1:33" ht="11.25" customHeight="1" x14ac:dyDescent="0.25">
      <c r="A1259" s="4" t="s">
        <v>21</v>
      </c>
      <c r="B1259" s="4" t="s">
        <v>33</v>
      </c>
      <c r="C1259" s="4" t="s">
        <v>34</v>
      </c>
      <c r="D1259" s="4" t="s">
        <v>52</v>
      </c>
      <c r="E1259" s="4" t="s">
        <v>58</v>
      </c>
      <c r="F1259" s="4" t="s">
        <v>25</v>
      </c>
      <c r="G1259" s="4" t="s">
        <v>25</v>
      </c>
      <c r="H1259" s="4" t="s">
        <v>36</v>
      </c>
      <c r="I1259" s="5">
        <v>43770</v>
      </c>
      <c r="J1259" s="6">
        <v>0</v>
      </c>
      <c r="K1259" s="6">
        <v>0</v>
      </c>
      <c r="L1259" s="6">
        <v>517.476</v>
      </c>
      <c r="M1259" s="6">
        <v>517.476</v>
      </c>
      <c r="N1259" s="6">
        <v>517.476</v>
      </c>
      <c r="O1259" s="6">
        <v>517.476</v>
      </c>
      <c r="P1259" s="6">
        <v>0</v>
      </c>
      <c r="Q1259" s="4" t="s">
        <v>26</v>
      </c>
      <c r="R1259" s="4">
        <v>0</v>
      </c>
      <c r="S1259" s="6">
        <v>0</v>
      </c>
      <c r="T1259" s="6">
        <v>28</v>
      </c>
      <c r="U1259" s="6">
        <v>82</v>
      </c>
      <c r="V1259" s="6">
        <f>IF(ISERROR(VLOOKUP($S$1259,'TAR FIN'!$A$1:$O$120,15,0)),0,VLOOKUP($S$1259,'TAR FIN'!$A$1:$O$120,15,0))</f>
        <v>0</v>
      </c>
      <c r="W1259" s="6">
        <f>IF(ISERROR(VLOOKUP($T$1259,'TAR FIN'!$A$1:$O$120,15,0)),0,VLOOKUP($T$1259,'TAR FIN'!$A$1:$O$120,15,0))</f>
        <v>84.45</v>
      </c>
      <c r="X1259" s="6">
        <f>IF(ISERROR(VLOOKUP($U$1259,'TAR FIN'!$A$1:$O$120,15,0)),0,VLOOKUP($U$1259,'TAR FIN'!$A$1:$O$120,15,0))</f>
        <v>256.38</v>
      </c>
      <c r="Y1259" s="6"/>
      <c r="Z1259" s="6">
        <f ca="1">('TUSD BE'!$AM$34+'TUSD BF'!$AM$34+'TUSD CVA'!$AM$34)*1</f>
        <v>87.519361965254689</v>
      </c>
      <c r="AA1259" s="6">
        <f>('TE BE'!$AA$11+'TE BF'!$AA$11+'TE CVA'!$AA$11)*1</f>
        <v>230.83420940933817</v>
      </c>
      <c r="AB1259" s="6">
        <f>$K$1259*$V$1259</f>
        <v>0</v>
      </c>
      <c r="AC1259" s="6">
        <f>$M$1259*$W$1259</f>
        <v>43700.8482</v>
      </c>
      <c r="AD1259" s="6">
        <f>$O$1259*$X$1259</f>
        <v>132670.49687999999</v>
      </c>
      <c r="AE1259" s="6">
        <f>$K$1259*$Y$1259</f>
        <v>0</v>
      </c>
      <c r="AF1259" s="6">
        <f ca="1">$M$1259*$Z$1259</f>
        <v>45289.169352332137</v>
      </c>
      <c r="AG1259" s="6">
        <f>$O$1259*$AA$1259</f>
        <v>119451.16334830668</v>
      </c>
    </row>
    <row r="1260" spans="1:33" ht="11.25" customHeight="1" x14ac:dyDescent="0.25">
      <c r="A1260" s="4" t="s">
        <v>21</v>
      </c>
      <c r="B1260" s="4" t="s">
        <v>33</v>
      </c>
      <c r="C1260" s="4" t="s">
        <v>34</v>
      </c>
      <c r="D1260" s="4" t="s">
        <v>52</v>
      </c>
      <c r="E1260" s="4" t="s">
        <v>58</v>
      </c>
      <c r="F1260" s="4" t="s">
        <v>25</v>
      </c>
      <c r="G1260" s="4" t="s">
        <v>25</v>
      </c>
      <c r="H1260" s="4" t="s">
        <v>36</v>
      </c>
      <c r="I1260" s="5">
        <v>43800</v>
      </c>
      <c r="J1260" s="6">
        <v>0</v>
      </c>
      <c r="K1260" s="6">
        <v>0</v>
      </c>
      <c r="L1260" s="6">
        <v>285.22000000000003</v>
      </c>
      <c r="M1260" s="6">
        <v>285.22000000000003</v>
      </c>
      <c r="N1260" s="6">
        <v>285.22000000000003</v>
      </c>
      <c r="O1260" s="6">
        <v>285.22000000000003</v>
      </c>
      <c r="P1260" s="6">
        <v>0</v>
      </c>
      <c r="Q1260" s="4" t="s">
        <v>26</v>
      </c>
      <c r="R1260" s="4">
        <v>0</v>
      </c>
      <c r="S1260" s="6">
        <v>0</v>
      </c>
      <c r="T1260" s="6">
        <v>28</v>
      </c>
      <c r="U1260" s="6">
        <v>82</v>
      </c>
      <c r="V1260" s="6">
        <f>IF(ISERROR(VLOOKUP($S$1260,'TAR FIN'!$A$1:$O$120,15,0)),0,VLOOKUP($S$1260,'TAR FIN'!$A$1:$O$120,15,0))</f>
        <v>0</v>
      </c>
      <c r="W1260" s="6">
        <f>IF(ISERROR(VLOOKUP($T$1260,'TAR FIN'!$A$1:$O$120,15,0)),0,VLOOKUP($T$1260,'TAR FIN'!$A$1:$O$120,15,0))</f>
        <v>84.45</v>
      </c>
      <c r="X1260" s="6">
        <f>IF(ISERROR(VLOOKUP($U$1260,'TAR FIN'!$A$1:$O$120,15,0)),0,VLOOKUP($U$1260,'TAR FIN'!$A$1:$O$120,15,0))</f>
        <v>256.38</v>
      </c>
      <c r="Y1260" s="6"/>
      <c r="Z1260" s="6">
        <f ca="1">('TUSD BE'!$AM$34+'TUSD BF'!$AM$34+'TUSD CVA'!$AM$34)*1</f>
        <v>87.519361965254689</v>
      </c>
      <c r="AA1260" s="6">
        <f>('TE BE'!$AA$11+'TE BF'!$AA$11+'TE CVA'!$AA$11)*1</f>
        <v>230.83420940933817</v>
      </c>
      <c r="AB1260" s="6">
        <f>$K$1260*$V$1260</f>
        <v>0</v>
      </c>
      <c r="AC1260" s="6">
        <f>$M$1260*$W$1260</f>
        <v>24086.829000000002</v>
      </c>
      <c r="AD1260" s="6">
        <f>$O$1260*$X$1260</f>
        <v>73124.703600000008</v>
      </c>
      <c r="AE1260" s="6">
        <f>$K$1260*$Y$1260</f>
        <v>0</v>
      </c>
      <c r="AF1260" s="6">
        <f ca="1">$M$1260*$Z$1260</f>
        <v>24962.272419729943</v>
      </c>
      <c r="AG1260" s="6">
        <f>$O$1260*$AA$1260</f>
        <v>65838.533207731438</v>
      </c>
    </row>
    <row r="1261" spans="1:33" ht="11.25" customHeight="1" x14ac:dyDescent="0.25">
      <c r="A1261" s="4" t="s">
        <v>21</v>
      </c>
      <c r="B1261" s="4" t="s">
        <v>33</v>
      </c>
      <c r="C1261" s="4" t="s">
        <v>34</v>
      </c>
      <c r="D1261" s="4" t="s">
        <v>52</v>
      </c>
      <c r="E1261" s="4" t="s">
        <v>58</v>
      </c>
      <c r="F1261" s="4" t="s">
        <v>25</v>
      </c>
      <c r="G1261" s="4" t="s">
        <v>25</v>
      </c>
      <c r="H1261" s="4" t="s">
        <v>36</v>
      </c>
      <c r="I1261" s="5">
        <v>43831</v>
      </c>
      <c r="J1261" s="6">
        <v>0</v>
      </c>
      <c r="K1261" s="6">
        <v>0</v>
      </c>
      <c r="L1261" s="6">
        <v>223.827</v>
      </c>
      <c r="M1261" s="6">
        <v>223.827</v>
      </c>
      <c r="N1261" s="6">
        <v>223.827</v>
      </c>
      <c r="O1261" s="6">
        <v>223.827</v>
      </c>
      <c r="P1261" s="6">
        <v>0</v>
      </c>
      <c r="Q1261" s="4" t="s">
        <v>26</v>
      </c>
      <c r="R1261" s="4">
        <v>0</v>
      </c>
      <c r="S1261" s="6">
        <v>0</v>
      </c>
      <c r="T1261" s="6">
        <v>28</v>
      </c>
      <c r="U1261" s="6">
        <v>82</v>
      </c>
      <c r="V1261" s="6">
        <f>IF(ISERROR(VLOOKUP($S$1261,'TAR FIN'!$A$1:$O$120,15,0)),0,VLOOKUP($S$1261,'TAR FIN'!$A$1:$O$120,15,0))</f>
        <v>0</v>
      </c>
      <c r="W1261" s="6">
        <f>IF(ISERROR(VLOOKUP($T$1261,'TAR FIN'!$A$1:$O$120,15,0)),0,VLOOKUP($T$1261,'TAR FIN'!$A$1:$O$120,15,0))</f>
        <v>84.45</v>
      </c>
      <c r="X1261" s="6">
        <f>IF(ISERROR(VLOOKUP($U$1261,'TAR FIN'!$A$1:$O$120,15,0)),0,VLOOKUP($U$1261,'TAR FIN'!$A$1:$O$120,15,0))</f>
        <v>256.38</v>
      </c>
      <c r="Y1261" s="6"/>
      <c r="Z1261" s="6">
        <f ca="1">('TUSD BE'!$AM$34+'TUSD BF'!$AM$34+'TUSD CVA'!$AM$34)*1</f>
        <v>87.519361965254689</v>
      </c>
      <c r="AA1261" s="6">
        <f>('TE BE'!$AA$11+'TE BF'!$AA$11+'TE CVA'!$AA$11)*1</f>
        <v>230.83420940933817</v>
      </c>
      <c r="AB1261" s="6">
        <f>$K$1261*$V$1261</f>
        <v>0</v>
      </c>
      <c r="AC1261" s="6">
        <f>$M$1261*$W$1261</f>
        <v>18902.190150000002</v>
      </c>
      <c r="AD1261" s="6">
        <f>$O$1261*$X$1261</f>
        <v>57384.766259999997</v>
      </c>
      <c r="AE1261" s="6">
        <f>$K$1261*$Y$1261</f>
        <v>0</v>
      </c>
      <c r="AF1261" s="6">
        <f ca="1">$M$1261*$Z$1261</f>
        <v>19589.196230597063</v>
      </c>
      <c r="AG1261" s="6">
        <f>$O$1261*$AA$1261</f>
        <v>51666.928589463932</v>
      </c>
    </row>
    <row r="1262" spans="1:33" ht="11.25" customHeight="1" x14ac:dyDescent="0.25">
      <c r="A1262" s="4" t="s">
        <v>21</v>
      </c>
      <c r="B1262" s="4" t="s">
        <v>33</v>
      </c>
      <c r="C1262" s="4" t="s">
        <v>34</v>
      </c>
      <c r="D1262" s="4" t="s">
        <v>52</v>
      </c>
      <c r="E1262" s="4" t="s">
        <v>58</v>
      </c>
      <c r="F1262" s="4" t="s">
        <v>25</v>
      </c>
      <c r="G1262" s="4" t="s">
        <v>25</v>
      </c>
      <c r="H1262" s="4" t="s">
        <v>36</v>
      </c>
      <c r="I1262" s="5">
        <v>43862</v>
      </c>
      <c r="J1262" s="6">
        <v>0</v>
      </c>
      <c r="K1262" s="6">
        <v>0</v>
      </c>
      <c r="L1262" s="6">
        <v>249.55799999999999</v>
      </c>
      <c r="M1262" s="6">
        <v>249.55799999999999</v>
      </c>
      <c r="N1262" s="6">
        <v>249.55799999999999</v>
      </c>
      <c r="O1262" s="6">
        <v>249.55799999999999</v>
      </c>
      <c r="P1262" s="6">
        <v>0</v>
      </c>
      <c r="Q1262" s="4" t="s">
        <v>26</v>
      </c>
      <c r="R1262" s="4">
        <v>0</v>
      </c>
      <c r="S1262" s="6">
        <v>0</v>
      </c>
      <c r="T1262" s="6">
        <v>28</v>
      </c>
      <c r="U1262" s="6">
        <v>82</v>
      </c>
      <c r="V1262" s="6">
        <f>IF(ISERROR(VLOOKUP($S$1262,'TAR FIN'!$A$1:$O$120,15,0)),0,VLOOKUP($S$1262,'TAR FIN'!$A$1:$O$120,15,0))</f>
        <v>0</v>
      </c>
      <c r="W1262" s="6">
        <f>IF(ISERROR(VLOOKUP($T$1262,'TAR FIN'!$A$1:$O$120,15,0)),0,VLOOKUP($T$1262,'TAR FIN'!$A$1:$O$120,15,0))</f>
        <v>84.45</v>
      </c>
      <c r="X1262" s="6">
        <f>IF(ISERROR(VLOOKUP($U$1262,'TAR FIN'!$A$1:$O$120,15,0)),0,VLOOKUP($U$1262,'TAR FIN'!$A$1:$O$120,15,0))</f>
        <v>256.38</v>
      </c>
      <c r="Y1262" s="6"/>
      <c r="Z1262" s="6">
        <f ca="1">('TUSD BE'!$AM$34+'TUSD BF'!$AM$34+'TUSD CVA'!$AM$34)*1</f>
        <v>87.519361965254689</v>
      </c>
      <c r="AA1262" s="6">
        <f>('TE BE'!$AA$11+'TE BF'!$AA$11+'TE CVA'!$AA$11)*1</f>
        <v>230.83420940933817</v>
      </c>
      <c r="AB1262" s="6">
        <f>$K$1262*$V$1262</f>
        <v>0</v>
      </c>
      <c r="AC1262" s="6">
        <f>$M$1262*$W$1262</f>
        <v>21075.1731</v>
      </c>
      <c r="AD1262" s="6">
        <f>$O$1262*$X$1262</f>
        <v>63981.680039999999</v>
      </c>
      <c r="AE1262" s="6">
        <f>$K$1262*$Y$1262</f>
        <v>0</v>
      </c>
      <c r="AF1262" s="6">
        <f ca="1">$M$1262*$Z$1262</f>
        <v>21841.15693332503</v>
      </c>
      <c r="AG1262" s="6">
        <f>$O$1262*$AA$1262</f>
        <v>57606.523631775613</v>
      </c>
    </row>
    <row r="1263" spans="1:33" ht="11.25" customHeight="1" x14ac:dyDescent="0.25">
      <c r="A1263" s="4" t="s">
        <v>21</v>
      </c>
      <c r="B1263" s="4" t="s">
        <v>33</v>
      </c>
      <c r="C1263" s="4" t="s">
        <v>34</v>
      </c>
      <c r="D1263" s="4" t="s">
        <v>52</v>
      </c>
      <c r="E1263" s="4" t="s">
        <v>58</v>
      </c>
      <c r="F1263" s="4" t="s">
        <v>25</v>
      </c>
      <c r="G1263" s="4" t="s">
        <v>25</v>
      </c>
      <c r="H1263" s="4" t="s">
        <v>36</v>
      </c>
      <c r="I1263" s="5">
        <v>43891</v>
      </c>
      <c r="J1263" s="6">
        <v>0</v>
      </c>
      <c r="K1263" s="6">
        <v>0</v>
      </c>
      <c r="L1263" s="6">
        <v>223.535</v>
      </c>
      <c r="M1263" s="6">
        <v>223.535</v>
      </c>
      <c r="N1263" s="6">
        <v>223.535</v>
      </c>
      <c r="O1263" s="6">
        <v>223.535</v>
      </c>
      <c r="P1263" s="6">
        <v>0</v>
      </c>
      <c r="Q1263" s="4" t="s">
        <v>26</v>
      </c>
      <c r="R1263" s="4">
        <v>0</v>
      </c>
      <c r="S1263" s="6">
        <v>0</v>
      </c>
      <c r="T1263" s="6">
        <v>28</v>
      </c>
      <c r="U1263" s="6">
        <v>82</v>
      </c>
      <c r="V1263" s="6">
        <f>IF(ISERROR(VLOOKUP($S$1263,'TAR FIN'!$A$1:$O$120,15,0)),0,VLOOKUP($S$1263,'TAR FIN'!$A$1:$O$120,15,0))</f>
        <v>0</v>
      </c>
      <c r="W1263" s="6">
        <f>IF(ISERROR(VLOOKUP($T$1263,'TAR FIN'!$A$1:$O$120,15,0)),0,VLOOKUP($T$1263,'TAR FIN'!$A$1:$O$120,15,0))</f>
        <v>84.45</v>
      </c>
      <c r="X1263" s="6">
        <f>IF(ISERROR(VLOOKUP($U$1263,'TAR FIN'!$A$1:$O$120,15,0)),0,VLOOKUP($U$1263,'TAR FIN'!$A$1:$O$120,15,0))</f>
        <v>256.38</v>
      </c>
      <c r="Y1263" s="6"/>
      <c r="Z1263" s="6">
        <f ca="1">('TUSD BE'!$AM$34+'TUSD BF'!$AM$34+'TUSD CVA'!$AM$34)*1</f>
        <v>87.519361965254689</v>
      </c>
      <c r="AA1263" s="6">
        <f>('TE BE'!$AA$11+'TE BF'!$AA$11+'TE CVA'!$AA$11)*1</f>
        <v>230.83420940933817</v>
      </c>
      <c r="AB1263" s="6">
        <f>$K$1263*$V$1263</f>
        <v>0</v>
      </c>
      <c r="AC1263" s="6">
        <f>$M$1263*$W$1263</f>
        <v>18877.530750000002</v>
      </c>
      <c r="AD1263" s="6">
        <f>$O$1263*$X$1263</f>
        <v>57309.903299999998</v>
      </c>
      <c r="AE1263" s="6">
        <f>$K$1263*$Y$1263</f>
        <v>0</v>
      </c>
      <c r="AF1263" s="6">
        <f ca="1">$M$1263*$Z$1263</f>
        <v>19563.640576903206</v>
      </c>
      <c r="AG1263" s="6">
        <f>$O$1263*$AA$1263</f>
        <v>51599.525000316411</v>
      </c>
    </row>
    <row r="1264" spans="1:33" ht="11.25" customHeight="1" x14ac:dyDescent="0.25">
      <c r="A1264" s="4" t="s">
        <v>21</v>
      </c>
      <c r="B1264" s="4" t="s">
        <v>33</v>
      </c>
      <c r="C1264" s="4" t="s">
        <v>34</v>
      </c>
      <c r="D1264" s="4" t="s">
        <v>52</v>
      </c>
      <c r="E1264" s="4" t="s">
        <v>58</v>
      </c>
      <c r="F1264" s="4" t="s">
        <v>25</v>
      </c>
      <c r="G1264" s="4" t="s">
        <v>25</v>
      </c>
      <c r="H1264" s="4" t="s">
        <v>36</v>
      </c>
      <c r="I1264" s="5">
        <v>43922</v>
      </c>
      <c r="J1264" s="6">
        <v>0</v>
      </c>
      <c r="K1264" s="6">
        <v>0</v>
      </c>
      <c r="L1264" s="6">
        <v>219.87100000000001</v>
      </c>
      <c r="M1264" s="6">
        <v>219.87100000000001</v>
      </c>
      <c r="N1264" s="6">
        <v>219.87100000000001</v>
      </c>
      <c r="O1264" s="6">
        <v>219.87100000000001</v>
      </c>
      <c r="P1264" s="6">
        <v>0</v>
      </c>
      <c r="Q1264" s="4" t="s">
        <v>26</v>
      </c>
      <c r="R1264" s="4">
        <v>0</v>
      </c>
      <c r="S1264" s="6">
        <v>0</v>
      </c>
      <c r="T1264" s="6">
        <v>28</v>
      </c>
      <c r="U1264" s="6">
        <v>82</v>
      </c>
      <c r="V1264" s="6">
        <f>IF(ISERROR(VLOOKUP($S$1264,'TAR FIN'!$A$1:$O$120,15,0)),0,VLOOKUP($S$1264,'TAR FIN'!$A$1:$O$120,15,0))</f>
        <v>0</v>
      </c>
      <c r="W1264" s="6">
        <f>IF(ISERROR(VLOOKUP($T$1264,'TAR FIN'!$A$1:$O$120,15,0)),0,VLOOKUP($T$1264,'TAR FIN'!$A$1:$O$120,15,0))</f>
        <v>84.45</v>
      </c>
      <c r="X1264" s="6">
        <f>IF(ISERROR(VLOOKUP($U$1264,'TAR FIN'!$A$1:$O$120,15,0)),0,VLOOKUP($U$1264,'TAR FIN'!$A$1:$O$120,15,0))</f>
        <v>256.38</v>
      </c>
      <c r="Y1264" s="6"/>
      <c r="Z1264" s="6">
        <f ca="1">('TUSD BE'!$AM$34+'TUSD BF'!$AM$34+'TUSD CVA'!$AM$34)*1</f>
        <v>87.519361965254689</v>
      </c>
      <c r="AA1264" s="6">
        <f>('TE BE'!$AA$11+'TE BF'!$AA$11+'TE CVA'!$AA$11)*1</f>
        <v>230.83420940933817</v>
      </c>
      <c r="AB1264" s="6">
        <f>$K$1264*$V$1264</f>
        <v>0</v>
      </c>
      <c r="AC1264" s="6">
        <f>$M$1264*$W$1264</f>
        <v>18568.105950000001</v>
      </c>
      <c r="AD1264" s="6">
        <f>$O$1264*$X$1264</f>
        <v>56370.526980000002</v>
      </c>
      <c r="AE1264" s="6">
        <f>$K$1264*$Y$1264</f>
        <v>0</v>
      </c>
      <c r="AF1264" s="6">
        <f ca="1">$M$1264*$Z$1264</f>
        <v>19242.969634662513</v>
      </c>
      <c r="AG1264" s="6">
        <f>$O$1264*$AA$1264</f>
        <v>50753.748457040594</v>
      </c>
    </row>
    <row r="1265" spans="1:33" ht="11.25" customHeight="1" x14ac:dyDescent="0.25">
      <c r="A1265" s="4" t="s">
        <v>21</v>
      </c>
      <c r="B1265" s="4" t="s">
        <v>33</v>
      </c>
      <c r="C1265" s="4" t="s">
        <v>34</v>
      </c>
      <c r="D1265" s="4" t="s">
        <v>52</v>
      </c>
      <c r="E1265" s="4" t="s">
        <v>58</v>
      </c>
      <c r="F1265" s="4" t="s">
        <v>25</v>
      </c>
      <c r="G1265" s="4" t="s">
        <v>25</v>
      </c>
      <c r="H1265" s="4" t="s">
        <v>36</v>
      </c>
      <c r="I1265" s="5">
        <v>43952</v>
      </c>
      <c r="J1265" s="6">
        <v>0</v>
      </c>
      <c r="K1265" s="6">
        <v>0</v>
      </c>
      <c r="L1265" s="6">
        <v>243.92500000000001</v>
      </c>
      <c r="M1265" s="6">
        <v>243.92500000000001</v>
      </c>
      <c r="N1265" s="6">
        <v>243.92500000000001</v>
      </c>
      <c r="O1265" s="6">
        <v>243.92500000000001</v>
      </c>
      <c r="P1265" s="6">
        <v>0</v>
      </c>
      <c r="Q1265" s="4" t="s">
        <v>26</v>
      </c>
      <c r="R1265" s="4">
        <v>0</v>
      </c>
      <c r="S1265" s="6">
        <v>0</v>
      </c>
      <c r="T1265" s="6">
        <v>28</v>
      </c>
      <c r="U1265" s="6">
        <v>82</v>
      </c>
      <c r="V1265" s="6">
        <f>IF(ISERROR(VLOOKUP($S$1265,'TAR FIN'!$A$1:$O$120,15,0)),0,VLOOKUP($S$1265,'TAR FIN'!$A$1:$O$120,15,0))</f>
        <v>0</v>
      </c>
      <c r="W1265" s="6">
        <f>IF(ISERROR(VLOOKUP($T$1265,'TAR FIN'!$A$1:$O$120,15,0)),0,VLOOKUP($T$1265,'TAR FIN'!$A$1:$O$120,15,0))</f>
        <v>84.45</v>
      </c>
      <c r="X1265" s="6">
        <f>IF(ISERROR(VLOOKUP($U$1265,'TAR FIN'!$A$1:$O$120,15,0)),0,VLOOKUP($U$1265,'TAR FIN'!$A$1:$O$120,15,0))</f>
        <v>256.38</v>
      </c>
      <c r="Y1265" s="6"/>
      <c r="Z1265" s="6">
        <f ca="1">('TUSD BE'!$AM$34+'TUSD BF'!$AM$34+'TUSD CVA'!$AM$34)*1</f>
        <v>87.519361965254689</v>
      </c>
      <c r="AA1265" s="6">
        <f>('TE BE'!$AA$11+'TE BF'!$AA$11+'TE CVA'!$AA$11)*1</f>
        <v>230.83420940933817</v>
      </c>
      <c r="AB1265" s="6">
        <f>$K$1265*$V$1265</f>
        <v>0</v>
      </c>
      <c r="AC1265" s="6">
        <f>$M$1265*$W$1265</f>
        <v>20599.466250000001</v>
      </c>
      <c r="AD1265" s="6">
        <f>$O$1265*$X$1265</f>
        <v>62537.491500000004</v>
      </c>
      <c r="AE1265" s="6">
        <f>$K$1265*$Y$1265</f>
        <v>0</v>
      </c>
      <c r="AF1265" s="6">
        <f ca="1">$M$1265*$Z$1265</f>
        <v>21348.160367374752</v>
      </c>
      <c r="AG1265" s="6">
        <f>$O$1265*$AA$1265</f>
        <v>56306.234530172813</v>
      </c>
    </row>
    <row r="1266" spans="1:33" ht="11.25" customHeight="1" x14ac:dyDescent="0.25">
      <c r="A1266" s="4" t="s">
        <v>21</v>
      </c>
      <c r="B1266" s="4" t="s">
        <v>33</v>
      </c>
      <c r="C1266" s="4" t="s">
        <v>34</v>
      </c>
      <c r="D1266" s="4" t="s">
        <v>52</v>
      </c>
      <c r="E1266" s="4" t="s">
        <v>58</v>
      </c>
      <c r="F1266" s="4" t="s">
        <v>25</v>
      </c>
      <c r="G1266" s="4" t="s">
        <v>25</v>
      </c>
      <c r="H1266" s="4" t="s">
        <v>36</v>
      </c>
      <c r="I1266" s="5">
        <v>43983</v>
      </c>
      <c r="J1266" s="6">
        <v>0</v>
      </c>
      <c r="K1266" s="6">
        <v>0</v>
      </c>
      <c r="L1266" s="6">
        <v>262.52199999999999</v>
      </c>
      <c r="M1266" s="6">
        <v>262.52199999999999</v>
      </c>
      <c r="N1266" s="6">
        <v>262.52199999999999</v>
      </c>
      <c r="O1266" s="6">
        <v>262.52199999999999</v>
      </c>
      <c r="P1266" s="6">
        <v>0</v>
      </c>
      <c r="Q1266" s="4" t="s">
        <v>26</v>
      </c>
      <c r="R1266" s="4">
        <v>0</v>
      </c>
      <c r="S1266" s="6">
        <v>0</v>
      </c>
      <c r="T1266" s="6">
        <v>28</v>
      </c>
      <c r="U1266" s="6">
        <v>82</v>
      </c>
      <c r="V1266" s="6">
        <f>IF(ISERROR(VLOOKUP($S$1266,'TAR FIN'!$A$1:$O$120,15,0)),0,VLOOKUP($S$1266,'TAR FIN'!$A$1:$O$120,15,0))</f>
        <v>0</v>
      </c>
      <c r="W1266" s="6">
        <f>IF(ISERROR(VLOOKUP($T$1266,'TAR FIN'!$A$1:$O$120,15,0)),0,VLOOKUP($T$1266,'TAR FIN'!$A$1:$O$120,15,0))</f>
        <v>84.45</v>
      </c>
      <c r="X1266" s="6">
        <f>IF(ISERROR(VLOOKUP($U$1266,'TAR FIN'!$A$1:$O$120,15,0)),0,VLOOKUP($U$1266,'TAR FIN'!$A$1:$O$120,15,0))</f>
        <v>256.38</v>
      </c>
      <c r="Y1266" s="6"/>
      <c r="Z1266" s="6">
        <f ca="1">('TUSD BE'!$AM$34+'TUSD BF'!$AM$34+'TUSD CVA'!$AM$34)*1</f>
        <v>87.519361965254689</v>
      </c>
      <c r="AA1266" s="6">
        <f>('TE BE'!$AA$11+'TE BF'!$AA$11+'TE CVA'!$AA$11)*1</f>
        <v>230.83420940933817</v>
      </c>
      <c r="AB1266" s="6">
        <f>$K$1266*$V$1266</f>
        <v>0</v>
      </c>
      <c r="AC1266" s="6">
        <f>$M$1266*$W$1266</f>
        <v>22169.982899999999</v>
      </c>
      <c r="AD1266" s="6">
        <f>$O$1266*$X$1266</f>
        <v>67305.39035999999</v>
      </c>
      <c r="AE1266" s="6">
        <f>$K$1266*$Y$1266</f>
        <v>0</v>
      </c>
      <c r="AF1266" s="6">
        <f ca="1">$M$1266*$Z$1266</f>
        <v>22975.757941842592</v>
      </c>
      <c r="AG1266" s="6">
        <f>$O$1266*$AA$1266</f>
        <v>60599.058322558274</v>
      </c>
    </row>
    <row r="1267" spans="1:33" ht="11.25" customHeight="1" x14ac:dyDescent="0.25">
      <c r="A1267" s="4" t="s">
        <v>21</v>
      </c>
      <c r="B1267" s="4" t="s">
        <v>33</v>
      </c>
      <c r="C1267" s="4" t="s">
        <v>34</v>
      </c>
      <c r="D1267" s="4" t="s">
        <v>52</v>
      </c>
      <c r="E1267" s="4" t="s">
        <v>58</v>
      </c>
      <c r="F1267" s="4" t="s">
        <v>25</v>
      </c>
      <c r="G1267" s="4" t="s">
        <v>25</v>
      </c>
      <c r="H1267" s="4" t="s">
        <v>36</v>
      </c>
      <c r="I1267" s="5">
        <v>44013</v>
      </c>
      <c r="J1267" s="6">
        <v>0</v>
      </c>
      <c r="K1267" s="6">
        <v>0</v>
      </c>
      <c r="L1267" s="6">
        <v>216.511</v>
      </c>
      <c r="M1267" s="6">
        <v>216.511</v>
      </c>
      <c r="N1267" s="6">
        <v>216.511</v>
      </c>
      <c r="O1267" s="6">
        <v>216.511</v>
      </c>
      <c r="P1267" s="6">
        <v>0</v>
      </c>
      <c r="Q1267" s="4" t="s">
        <v>26</v>
      </c>
      <c r="R1267" s="4">
        <v>0</v>
      </c>
      <c r="S1267" s="6">
        <v>0</v>
      </c>
      <c r="T1267" s="6">
        <v>28</v>
      </c>
      <c r="U1267" s="6">
        <v>82</v>
      </c>
      <c r="V1267" s="6">
        <f>IF(ISERROR(VLOOKUP($S$1267,'TAR FIN'!$A$1:$O$120,15,0)),0,VLOOKUP($S$1267,'TAR FIN'!$A$1:$O$120,15,0))</f>
        <v>0</v>
      </c>
      <c r="W1267" s="6">
        <f>IF(ISERROR(VLOOKUP($T$1267,'TAR FIN'!$A$1:$O$120,15,0)),0,VLOOKUP($T$1267,'TAR FIN'!$A$1:$O$120,15,0))</f>
        <v>84.45</v>
      </c>
      <c r="X1267" s="6">
        <f>IF(ISERROR(VLOOKUP($U$1267,'TAR FIN'!$A$1:$O$120,15,0)),0,VLOOKUP($U$1267,'TAR FIN'!$A$1:$O$120,15,0))</f>
        <v>256.38</v>
      </c>
      <c r="Y1267" s="6"/>
      <c r="Z1267" s="6">
        <f ca="1">('TUSD BE'!$AM$34+'TUSD BF'!$AM$34+'TUSD CVA'!$AM$34)*1</f>
        <v>87.519361965254689</v>
      </c>
      <c r="AA1267" s="6">
        <f>('TE BE'!$AA$11+'TE BF'!$AA$11+'TE CVA'!$AA$11)*1</f>
        <v>230.83420940933817</v>
      </c>
      <c r="AB1267" s="6">
        <f>$K$1267*$V$1267</f>
        <v>0</v>
      </c>
      <c r="AC1267" s="6">
        <f>$M$1267*$W$1267</f>
        <v>18284.353950000001</v>
      </c>
      <c r="AD1267" s="6">
        <f>$O$1267*$X$1267</f>
        <v>55509.090179999999</v>
      </c>
      <c r="AE1267" s="6">
        <f>$K$1267*$Y$1267</f>
        <v>0</v>
      </c>
      <c r="AF1267" s="6">
        <f ca="1">$M$1267*$Z$1267</f>
        <v>18948.904578459256</v>
      </c>
      <c r="AG1267" s="6">
        <f>$O$1267*$AA$1267</f>
        <v>49978.145513425217</v>
      </c>
    </row>
    <row r="1268" spans="1:33" ht="11.25" customHeight="1" x14ac:dyDescent="0.25">
      <c r="A1268" s="4" t="s">
        <v>21</v>
      </c>
      <c r="B1268" s="4" t="s">
        <v>33</v>
      </c>
      <c r="C1268" s="4" t="s">
        <v>34</v>
      </c>
      <c r="D1268" s="4" t="s">
        <v>52</v>
      </c>
      <c r="E1268" s="4" t="s">
        <v>58</v>
      </c>
      <c r="F1268" s="4" t="s">
        <v>25</v>
      </c>
      <c r="G1268" s="4" t="s">
        <v>25</v>
      </c>
      <c r="H1268" s="4" t="s">
        <v>36</v>
      </c>
      <c r="I1268" s="5">
        <v>44044</v>
      </c>
      <c r="J1268" s="6">
        <v>0</v>
      </c>
      <c r="K1268" s="6">
        <v>0</v>
      </c>
      <c r="L1268" s="6">
        <v>269.88099999999997</v>
      </c>
      <c r="M1268" s="6">
        <v>269.88099999999997</v>
      </c>
      <c r="N1268" s="6">
        <v>269.88099999999997</v>
      </c>
      <c r="O1268" s="6">
        <v>269.88099999999997</v>
      </c>
      <c r="P1268" s="6">
        <v>0</v>
      </c>
      <c r="Q1268" s="4" t="s">
        <v>26</v>
      </c>
      <c r="R1268" s="4">
        <v>0</v>
      </c>
      <c r="S1268" s="6">
        <v>0</v>
      </c>
      <c r="T1268" s="6">
        <v>28</v>
      </c>
      <c r="U1268" s="6">
        <v>82</v>
      </c>
      <c r="V1268" s="6">
        <f>IF(ISERROR(VLOOKUP($S$1268,'TAR FIN'!$A$1:$O$120,15,0)),0,VLOOKUP($S$1268,'TAR FIN'!$A$1:$O$120,15,0))</f>
        <v>0</v>
      </c>
      <c r="W1268" s="6">
        <f>IF(ISERROR(VLOOKUP($T$1268,'TAR FIN'!$A$1:$O$120,15,0)),0,VLOOKUP($T$1268,'TAR FIN'!$A$1:$O$120,15,0))</f>
        <v>84.45</v>
      </c>
      <c r="X1268" s="6">
        <f>IF(ISERROR(VLOOKUP($U$1268,'TAR FIN'!$A$1:$O$120,15,0)),0,VLOOKUP($U$1268,'TAR FIN'!$A$1:$O$120,15,0))</f>
        <v>256.38</v>
      </c>
      <c r="Y1268" s="6"/>
      <c r="Z1268" s="6">
        <f ca="1">('TUSD BE'!$AM$34+'TUSD BF'!$AM$34+'TUSD CVA'!$AM$34)*1</f>
        <v>87.519361965254689</v>
      </c>
      <c r="AA1268" s="6">
        <f>('TE BE'!$AA$11+'TE BF'!$AA$11+'TE CVA'!$AA$11)*1</f>
        <v>230.83420940933817</v>
      </c>
      <c r="AB1268" s="6">
        <f>$K$1268*$V$1268</f>
        <v>0</v>
      </c>
      <c r="AC1268" s="6">
        <f>$M$1268*$W$1268</f>
        <v>22791.450449999997</v>
      </c>
      <c r="AD1268" s="6">
        <f>$O$1268*$X$1268</f>
        <v>69192.090779999999</v>
      </c>
      <c r="AE1268" s="6">
        <f>$K$1268*$Y$1268</f>
        <v>0</v>
      </c>
      <c r="AF1268" s="6">
        <f ca="1">$M$1268*$Z$1268</f>
        <v>23619.812926544899</v>
      </c>
      <c r="AG1268" s="6">
        <f>$O$1268*$AA$1268</f>
        <v>62297.767269601587</v>
      </c>
    </row>
    <row r="1269" spans="1:33" ht="11.25" customHeight="1" x14ac:dyDescent="0.25">
      <c r="A1269" s="4" t="s">
        <v>59</v>
      </c>
      <c r="B1269" s="4" t="s">
        <v>33</v>
      </c>
      <c r="C1269" s="4" t="s">
        <v>34</v>
      </c>
      <c r="D1269" s="4" t="s">
        <v>52</v>
      </c>
      <c r="E1269" s="4" t="s">
        <v>58</v>
      </c>
      <c r="F1269" s="4" t="s">
        <v>25</v>
      </c>
      <c r="G1269" s="4" t="s">
        <v>25</v>
      </c>
      <c r="H1269" s="4" t="s">
        <v>36</v>
      </c>
      <c r="I1269" s="5">
        <v>44075</v>
      </c>
      <c r="J1269" s="6">
        <v>0</v>
      </c>
      <c r="K1269" s="6">
        <v>0</v>
      </c>
      <c r="L1269" s="6">
        <v>269.88099999999997</v>
      </c>
      <c r="M1269" s="6">
        <v>269.88099999999997</v>
      </c>
      <c r="N1269" s="6">
        <v>269.88099999999997</v>
      </c>
      <c r="O1269" s="6">
        <v>269.88099999999997</v>
      </c>
      <c r="P1269" s="6">
        <v>0</v>
      </c>
      <c r="Q1269" s="4" t="s">
        <v>26</v>
      </c>
      <c r="R1269" s="4">
        <v>0</v>
      </c>
      <c r="S1269" s="6">
        <v>0</v>
      </c>
      <c r="T1269" s="6">
        <v>28</v>
      </c>
      <c r="U1269" s="6">
        <v>82</v>
      </c>
      <c r="V1269" s="6">
        <f>IF(ISERROR(VLOOKUP($S$1269,'TAR FIN'!$A$1:$O$120,15,0)),0,VLOOKUP($S$1269,'TAR FIN'!$A$1:$O$120,15,0))</f>
        <v>0</v>
      </c>
      <c r="W1269" s="6">
        <f>IF(ISERROR(VLOOKUP($T$1269,'TAR FIN'!$A$1:$O$120,15,0)),0,VLOOKUP($T$1269,'TAR FIN'!$A$1:$O$120,15,0))</f>
        <v>84.45</v>
      </c>
      <c r="X1269" s="6">
        <f>IF(ISERROR(VLOOKUP($U$1269,'TAR FIN'!$A$1:$O$120,15,0)),0,VLOOKUP($U$1269,'TAR FIN'!$A$1:$O$120,15,0))</f>
        <v>256.38</v>
      </c>
      <c r="Y1269" s="6"/>
      <c r="Z1269" s="6">
        <f ca="1">('TUSD BE'!$AM$34+'TUSD BF'!$AM$34+'TUSD CVA'!$AM$34)*1</f>
        <v>87.519361965254689</v>
      </c>
      <c r="AA1269" s="6">
        <f>('TE BE'!$AA$11+'TE BF'!$AA$11+'TE CVA'!$AA$11)*1</f>
        <v>230.83420940933817</v>
      </c>
      <c r="AB1269" s="6">
        <f>$K$1269*$V$1269</f>
        <v>0</v>
      </c>
      <c r="AC1269" s="6">
        <f>$M$1269*$W$1269</f>
        <v>22791.450449999997</v>
      </c>
      <c r="AD1269" s="6">
        <f>$O$1269*$X$1269</f>
        <v>69192.090779999999</v>
      </c>
      <c r="AE1269" s="6">
        <f>$K$1269*$Y$1269</f>
        <v>0</v>
      </c>
      <c r="AF1269" s="6">
        <f ca="1">$M$1269*$Z$1269</f>
        <v>23619.812926544899</v>
      </c>
      <c r="AG1269" s="6">
        <f>$O$1269*$AA$1269</f>
        <v>62297.767269601587</v>
      </c>
    </row>
    <row r="1270" spans="1:33" ht="11.25" customHeight="1" x14ac:dyDescent="0.25">
      <c r="A1270" s="4" t="s">
        <v>21</v>
      </c>
      <c r="B1270" s="4" t="s">
        <v>33</v>
      </c>
      <c r="C1270" s="4" t="s">
        <v>34</v>
      </c>
      <c r="D1270" s="4" t="s">
        <v>52</v>
      </c>
      <c r="E1270" s="4" t="s">
        <v>58</v>
      </c>
      <c r="F1270" s="4" t="s">
        <v>25</v>
      </c>
      <c r="G1270" s="4" t="s">
        <v>25</v>
      </c>
      <c r="H1270" s="4" t="s">
        <v>25</v>
      </c>
      <c r="I1270" s="5">
        <v>43770</v>
      </c>
      <c r="J1270" s="6">
        <v>7297</v>
      </c>
      <c r="K1270" s="6">
        <v>7297</v>
      </c>
      <c r="L1270" s="6">
        <v>0</v>
      </c>
      <c r="M1270" s="6">
        <v>0</v>
      </c>
      <c r="N1270" s="6">
        <v>0</v>
      </c>
      <c r="O1270" s="6">
        <v>0</v>
      </c>
      <c r="P1270" s="6">
        <v>3</v>
      </c>
      <c r="Q1270" s="4" t="s">
        <v>26</v>
      </c>
      <c r="R1270" s="4">
        <v>0</v>
      </c>
      <c r="S1270" s="6">
        <v>26</v>
      </c>
      <c r="T1270" s="6">
        <v>0</v>
      </c>
      <c r="U1270" s="6">
        <v>0</v>
      </c>
      <c r="V1270" s="6">
        <f>IF(ISERROR(VLOOKUP($S$1270,'TAR FIN'!$A$1:$O$120,15,0)),0,VLOOKUP($S$1270,'TAR FIN'!$A$1:$O$120,15,0))</f>
        <v>8.81</v>
      </c>
      <c r="W1270" s="6">
        <f>IF(ISERROR(VLOOKUP($T$1270,'TAR FIN'!$A$1:$O$120,15,0)),0,VLOOKUP($T$1270,'TAR FIN'!$A$1:$O$120,15,0))</f>
        <v>0</v>
      </c>
      <c r="X1270" s="6">
        <f>IF(ISERROR(VLOOKUP($U$1270,'TAR FIN'!$A$1:$O$120,15,0)),0,VLOOKUP($U$1270,'TAR FIN'!$A$1:$O$120,15,0))</f>
        <v>0</v>
      </c>
      <c r="Y1270" s="6">
        <f ca="1">('TUSD BE'!$AM$32+'TUSD BF'!$AM$32+'TUSD CVA'!$AM$32)*1</f>
        <v>11.452356648653195</v>
      </c>
      <c r="Z1270" s="6"/>
      <c r="AA1270" s="6"/>
      <c r="AB1270" s="6">
        <f>$K$1270*$V$1270</f>
        <v>64286.570000000007</v>
      </c>
      <c r="AC1270" s="6">
        <f>$M$1270*$W$1270</f>
        <v>0</v>
      </c>
      <c r="AD1270" s="6">
        <f>$O$1270*$X$1270</f>
        <v>0</v>
      </c>
      <c r="AE1270" s="6">
        <f ca="1">$K$1270*$Y$1270</f>
        <v>83567.846465222363</v>
      </c>
      <c r="AF1270" s="6">
        <f>$M$1270*$Z$1270</f>
        <v>0</v>
      </c>
      <c r="AG1270" s="6">
        <f>$O$1270*$AA$1270</f>
        <v>0</v>
      </c>
    </row>
    <row r="1271" spans="1:33" ht="11.25" customHeight="1" x14ac:dyDescent="0.25">
      <c r="A1271" s="4" t="s">
        <v>21</v>
      </c>
      <c r="B1271" s="4" t="s">
        <v>33</v>
      </c>
      <c r="C1271" s="4" t="s">
        <v>34</v>
      </c>
      <c r="D1271" s="4" t="s">
        <v>52</v>
      </c>
      <c r="E1271" s="4" t="s">
        <v>58</v>
      </c>
      <c r="F1271" s="4" t="s">
        <v>25</v>
      </c>
      <c r="G1271" s="4" t="s">
        <v>25</v>
      </c>
      <c r="H1271" s="4" t="s">
        <v>25</v>
      </c>
      <c r="I1271" s="5">
        <v>43800</v>
      </c>
      <c r="J1271" s="6">
        <v>3211</v>
      </c>
      <c r="K1271" s="6">
        <v>3211</v>
      </c>
      <c r="L1271" s="6">
        <v>0</v>
      </c>
      <c r="M1271" s="6">
        <v>0</v>
      </c>
      <c r="N1271" s="6">
        <v>0</v>
      </c>
      <c r="O1271" s="6">
        <v>0</v>
      </c>
      <c r="P1271" s="6">
        <v>3</v>
      </c>
      <c r="Q1271" s="4" t="s">
        <v>26</v>
      </c>
      <c r="R1271" s="4">
        <v>0</v>
      </c>
      <c r="S1271" s="6">
        <v>26</v>
      </c>
      <c r="T1271" s="6">
        <v>0</v>
      </c>
      <c r="U1271" s="6">
        <v>0</v>
      </c>
      <c r="V1271" s="6">
        <f>IF(ISERROR(VLOOKUP($S$1271,'TAR FIN'!$A$1:$O$120,15,0)),0,VLOOKUP($S$1271,'TAR FIN'!$A$1:$O$120,15,0))</f>
        <v>8.81</v>
      </c>
      <c r="W1271" s="6">
        <f>IF(ISERROR(VLOOKUP($T$1271,'TAR FIN'!$A$1:$O$120,15,0)),0,VLOOKUP($T$1271,'TAR FIN'!$A$1:$O$120,15,0))</f>
        <v>0</v>
      </c>
      <c r="X1271" s="6">
        <f>IF(ISERROR(VLOOKUP($U$1271,'TAR FIN'!$A$1:$O$120,15,0)),0,VLOOKUP($U$1271,'TAR FIN'!$A$1:$O$120,15,0))</f>
        <v>0</v>
      </c>
      <c r="Y1271" s="6">
        <f ca="1">('TUSD BE'!$AM$32+'TUSD BF'!$AM$32+'TUSD CVA'!$AM$32)*1</f>
        <v>11.452356648653195</v>
      </c>
      <c r="Z1271" s="6"/>
      <c r="AA1271" s="6"/>
      <c r="AB1271" s="6">
        <f>$K$1271*$V$1271</f>
        <v>28288.91</v>
      </c>
      <c r="AC1271" s="6">
        <f>$M$1271*$W$1271</f>
        <v>0</v>
      </c>
      <c r="AD1271" s="6">
        <f>$O$1271*$X$1271</f>
        <v>0</v>
      </c>
      <c r="AE1271" s="6">
        <f ca="1">$K$1271*$Y$1271</f>
        <v>36773.517198825408</v>
      </c>
      <c r="AF1271" s="6">
        <f>$M$1271*$Z$1271</f>
        <v>0</v>
      </c>
      <c r="AG1271" s="6">
        <f>$O$1271*$AA$1271</f>
        <v>0</v>
      </c>
    </row>
    <row r="1272" spans="1:33" ht="11.25" customHeight="1" x14ac:dyDescent="0.25">
      <c r="A1272" s="4" t="s">
        <v>21</v>
      </c>
      <c r="B1272" s="4" t="s">
        <v>33</v>
      </c>
      <c r="C1272" s="4" t="s">
        <v>34</v>
      </c>
      <c r="D1272" s="4" t="s">
        <v>52</v>
      </c>
      <c r="E1272" s="4" t="s">
        <v>58</v>
      </c>
      <c r="F1272" s="4" t="s">
        <v>25</v>
      </c>
      <c r="G1272" s="4" t="s">
        <v>25</v>
      </c>
      <c r="H1272" s="4" t="s">
        <v>25</v>
      </c>
      <c r="I1272" s="5">
        <v>43831</v>
      </c>
      <c r="J1272" s="6">
        <v>2800</v>
      </c>
      <c r="K1272" s="6">
        <v>2800</v>
      </c>
      <c r="L1272" s="6">
        <v>0</v>
      </c>
      <c r="M1272" s="6">
        <v>0</v>
      </c>
      <c r="N1272" s="6">
        <v>0</v>
      </c>
      <c r="O1272" s="6">
        <v>0</v>
      </c>
      <c r="P1272" s="6">
        <v>3</v>
      </c>
      <c r="Q1272" s="4" t="s">
        <v>26</v>
      </c>
      <c r="R1272" s="4">
        <v>0</v>
      </c>
      <c r="S1272" s="6">
        <v>26</v>
      </c>
      <c r="T1272" s="6">
        <v>0</v>
      </c>
      <c r="U1272" s="6">
        <v>0</v>
      </c>
      <c r="V1272" s="6">
        <f>IF(ISERROR(VLOOKUP($S$1272,'TAR FIN'!$A$1:$O$120,15,0)),0,VLOOKUP($S$1272,'TAR FIN'!$A$1:$O$120,15,0))</f>
        <v>8.81</v>
      </c>
      <c r="W1272" s="6">
        <f>IF(ISERROR(VLOOKUP($T$1272,'TAR FIN'!$A$1:$O$120,15,0)),0,VLOOKUP($T$1272,'TAR FIN'!$A$1:$O$120,15,0))</f>
        <v>0</v>
      </c>
      <c r="X1272" s="6">
        <f>IF(ISERROR(VLOOKUP($U$1272,'TAR FIN'!$A$1:$O$120,15,0)),0,VLOOKUP($U$1272,'TAR FIN'!$A$1:$O$120,15,0))</f>
        <v>0</v>
      </c>
      <c r="Y1272" s="6">
        <f ca="1">('TUSD BE'!$AM$32+'TUSD BF'!$AM$32+'TUSD CVA'!$AM$32)*1</f>
        <v>11.452356648653195</v>
      </c>
      <c r="Z1272" s="6"/>
      <c r="AA1272" s="6"/>
      <c r="AB1272" s="6">
        <f>$K$1272*$V$1272</f>
        <v>24668</v>
      </c>
      <c r="AC1272" s="6">
        <f>$M$1272*$W$1272</f>
        <v>0</v>
      </c>
      <c r="AD1272" s="6">
        <f>$O$1272*$X$1272</f>
        <v>0</v>
      </c>
      <c r="AE1272" s="6">
        <f ca="1">$K$1272*$Y$1272</f>
        <v>32066.598616228945</v>
      </c>
      <c r="AF1272" s="6">
        <f>$M$1272*$Z$1272</f>
        <v>0</v>
      </c>
      <c r="AG1272" s="6">
        <f>$O$1272*$AA$1272</f>
        <v>0</v>
      </c>
    </row>
    <row r="1273" spans="1:33" ht="11.25" customHeight="1" x14ac:dyDescent="0.25">
      <c r="A1273" s="4" t="s">
        <v>21</v>
      </c>
      <c r="B1273" s="4" t="s">
        <v>33</v>
      </c>
      <c r="C1273" s="4" t="s">
        <v>34</v>
      </c>
      <c r="D1273" s="4" t="s">
        <v>52</v>
      </c>
      <c r="E1273" s="4" t="s">
        <v>58</v>
      </c>
      <c r="F1273" s="4" t="s">
        <v>25</v>
      </c>
      <c r="G1273" s="4" t="s">
        <v>25</v>
      </c>
      <c r="H1273" s="4" t="s">
        <v>25</v>
      </c>
      <c r="I1273" s="5">
        <v>43862</v>
      </c>
      <c r="J1273" s="6">
        <v>2945</v>
      </c>
      <c r="K1273" s="6">
        <v>2945</v>
      </c>
      <c r="L1273" s="6">
        <v>0</v>
      </c>
      <c r="M1273" s="6">
        <v>0</v>
      </c>
      <c r="N1273" s="6">
        <v>0</v>
      </c>
      <c r="O1273" s="6">
        <v>0</v>
      </c>
      <c r="P1273" s="6">
        <v>3</v>
      </c>
      <c r="Q1273" s="4" t="s">
        <v>26</v>
      </c>
      <c r="R1273" s="4">
        <v>0</v>
      </c>
      <c r="S1273" s="6">
        <v>26</v>
      </c>
      <c r="T1273" s="6">
        <v>0</v>
      </c>
      <c r="U1273" s="6">
        <v>0</v>
      </c>
      <c r="V1273" s="6">
        <f>IF(ISERROR(VLOOKUP($S$1273,'TAR FIN'!$A$1:$O$120,15,0)),0,VLOOKUP($S$1273,'TAR FIN'!$A$1:$O$120,15,0))</f>
        <v>8.81</v>
      </c>
      <c r="W1273" s="6">
        <f>IF(ISERROR(VLOOKUP($T$1273,'TAR FIN'!$A$1:$O$120,15,0)),0,VLOOKUP($T$1273,'TAR FIN'!$A$1:$O$120,15,0))</f>
        <v>0</v>
      </c>
      <c r="X1273" s="6">
        <f>IF(ISERROR(VLOOKUP($U$1273,'TAR FIN'!$A$1:$O$120,15,0)),0,VLOOKUP($U$1273,'TAR FIN'!$A$1:$O$120,15,0))</f>
        <v>0</v>
      </c>
      <c r="Y1273" s="6">
        <f ca="1">('TUSD BE'!$AM$32+'TUSD BF'!$AM$32+'TUSD CVA'!$AM$32)*1</f>
        <v>11.452356648653195</v>
      </c>
      <c r="Z1273" s="6"/>
      <c r="AA1273" s="6"/>
      <c r="AB1273" s="6">
        <f>$K$1273*$V$1273</f>
        <v>25945.45</v>
      </c>
      <c r="AC1273" s="6">
        <f>$M$1273*$W$1273</f>
        <v>0</v>
      </c>
      <c r="AD1273" s="6">
        <f>$O$1273*$X$1273</f>
        <v>0</v>
      </c>
      <c r="AE1273" s="6">
        <f ca="1">$K$1273*$Y$1273</f>
        <v>33727.190330283658</v>
      </c>
      <c r="AF1273" s="6">
        <f>$M$1273*$Z$1273</f>
        <v>0</v>
      </c>
      <c r="AG1273" s="6">
        <f>$O$1273*$AA$1273</f>
        <v>0</v>
      </c>
    </row>
    <row r="1274" spans="1:33" ht="11.25" customHeight="1" x14ac:dyDescent="0.25">
      <c r="A1274" s="4" t="s">
        <v>21</v>
      </c>
      <c r="B1274" s="4" t="s">
        <v>33</v>
      </c>
      <c r="C1274" s="4" t="s">
        <v>34</v>
      </c>
      <c r="D1274" s="4" t="s">
        <v>52</v>
      </c>
      <c r="E1274" s="4" t="s">
        <v>58</v>
      </c>
      <c r="F1274" s="4" t="s">
        <v>25</v>
      </c>
      <c r="G1274" s="4" t="s">
        <v>25</v>
      </c>
      <c r="H1274" s="4" t="s">
        <v>25</v>
      </c>
      <c r="I1274" s="5">
        <v>43891</v>
      </c>
      <c r="J1274" s="6">
        <v>2800</v>
      </c>
      <c r="K1274" s="6">
        <v>2800</v>
      </c>
      <c r="L1274" s="6">
        <v>0</v>
      </c>
      <c r="M1274" s="6">
        <v>0</v>
      </c>
      <c r="N1274" s="6">
        <v>0</v>
      </c>
      <c r="O1274" s="6">
        <v>0</v>
      </c>
      <c r="P1274" s="6">
        <v>3</v>
      </c>
      <c r="Q1274" s="4" t="s">
        <v>26</v>
      </c>
      <c r="R1274" s="4">
        <v>0</v>
      </c>
      <c r="S1274" s="6">
        <v>26</v>
      </c>
      <c r="T1274" s="6">
        <v>0</v>
      </c>
      <c r="U1274" s="6">
        <v>0</v>
      </c>
      <c r="V1274" s="6">
        <f>IF(ISERROR(VLOOKUP($S$1274,'TAR FIN'!$A$1:$O$120,15,0)),0,VLOOKUP($S$1274,'TAR FIN'!$A$1:$O$120,15,0))</f>
        <v>8.81</v>
      </c>
      <c r="W1274" s="6">
        <f>IF(ISERROR(VLOOKUP($T$1274,'TAR FIN'!$A$1:$O$120,15,0)),0,VLOOKUP($T$1274,'TAR FIN'!$A$1:$O$120,15,0))</f>
        <v>0</v>
      </c>
      <c r="X1274" s="6">
        <f>IF(ISERROR(VLOOKUP($U$1274,'TAR FIN'!$A$1:$O$120,15,0)),0,VLOOKUP($U$1274,'TAR FIN'!$A$1:$O$120,15,0))</f>
        <v>0</v>
      </c>
      <c r="Y1274" s="6">
        <f ca="1">('TUSD BE'!$AM$32+'TUSD BF'!$AM$32+'TUSD CVA'!$AM$32)*1</f>
        <v>11.452356648653195</v>
      </c>
      <c r="Z1274" s="6"/>
      <c r="AA1274" s="6"/>
      <c r="AB1274" s="6">
        <f>$K$1274*$V$1274</f>
        <v>24668</v>
      </c>
      <c r="AC1274" s="6">
        <f>$M$1274*$W$1274</f>
        <v>0</v>
      </c>
      <c r="AD1274" s="6">
        <f>$O$1274*$X$1274</f>
        <v>0</v>
      </c>
      <c r="AE1274" s="6">
        <f ca="1">$K$1274*$Y$1274</f>
        <v>32066.598616228945</v>
      </c>
      <c r="AF1274" s="6">
        <f>$M$1274*$Z$1274</f>
        <v>0</v>
      </c>
      <c r="AG1274" s="6">
        <f>$O$1274*$AA$1274</f>
        <v>0</v>
      </c>
    </row>
    <row r="1275" spans="1:33" ht="11.25" customHeight="1" x14ac:dyDescent="0.25">
      <c r="A1275" s="4" t="s">
        <v>21</v>
      </c>
      <c r="B1275" s="4" t="s">
        <v>33</v>
      </c>
      <c r="C1275" s="4" t="s">
        <v>34</v>
      </c>
      <c r="D1275" s="4" t="s">
        <v>52</v>
      </c>
      <c r="E1275" s="4" t="s">
        <v>58</v>
      </c>
      <c r="F1275" s="4" t="s">
        <v>25</v>
      </c>
      <c r="G1275" s="4" t="s">
        <v>25</v>
      </c>
      <c r="H1275" s="4" t="s">
        <v>25</v>
      </c>
      <c r="I1275" s="5">
        <v>43922</v>
      </c>
      <c r="J1275" s="6">
        <v>2800</v>
      </c>
      <c r="K1275" s="6">
        <v>2800</v>
      </c>
      <c r="L1275" s="6">
        <v>0</v>
      </c>
      <c r="M1275" s="6">
        <v>0</v>
      </c>
      <c r="N1275" s="6">
        <v>0</v>
      </c>
      <c r="O1275" s="6">
        <v>0</v>
      </c>
      <c r="P1275" s="6">
        <v>3</v>
      </c>
      <c r="Q1275" s="4" t="s">
        <v>26</v>
      </c>
      <c r="R1275" s="4">
        <v>0</v>
      </c>
      <c r="S1275" s="6">
        <v>26</v>
      </c>
      <c r="T1275" s="6">
        <v>0</v>
      </c>
      <c r="U1275" s="6">
        <v>0</v>
      </c>
      <c r="V1275" s="6">
        <f>IF(ISERROR(VLOOKUP($S$1275,'TAR FIN'!$A$1:$O$120,15,0)),0,VLOOKUP($S$1275,'TAR FIN'!$A$1:$O$120,15,0))</f>
        <v>8.81</v>
      </c>
      <c r="W1275" s="6">
        <f>IF(ISERROR(VLOOKUP($T$1275,'TAR FIN'!$A$1:$O$120,15,0)),0,VLOOKUP($T$1275,'TAR FIN'!$A$1:$O$120,15,0))</f>
        <v>0</v>
      </c>
      <c r="X1275" s="6">
        <f>IF(ISERROR(VLOOKUP($U$1275,'TAR FIN'!$A$1:$O$120,15,0)),0,VLOOKUP($U$1275,'TAR FIN'!$A$1:$O$120,15,0))</f>
        <v>0</v>
      </c>
      <c r="Y1275" s="6">
        <f ca="1">('TUSD BE'!$AM$32+'TUSD BF'!$AM$32+'TUSD CVA'!$AM$32)*1</f>
        <v>11.452356648653195</v>
      </c>
      <c r="Z1275" s="6"/>
      <c r="AA1275" s="6"/>
      <c r="AB1275" s="6">
        <f>$K$1275*$V$1275</f>
        <v>24668</v>
      </c>
      <c r="AC1275" s="6">
        <f>$M$1275*$W$1275</f>
        <v>0</v>
      </c>
      <c r="AD1275" s="6">
        <f>$O$1275*$X$1275</f>
        <v>0</v>
      </c>
      <c r="AE1275" s="6">
        <f ca="1">$K$1275*$Y$1275</f>
        <v>32066.598616228945</v>
      </c>
      <c r="AF1275" s="6">
        <f>$M$1275*$Z$1275</f>
        <v>0</v>
      </c>
      <c r="AG1275" s="6">
        <f>$O$1275*$AA$1275</f>
        <v>0</v>
      </c>
    </row>
    <row r="1276" spans="1:33" ht="11.25" customHeight="1" x14ac:dyDescent="0.25">
      <c r="A1276" s="4" t="s">
        <v>21</v>
      </c>
      <c r="B1276" s="4" t="s">
        <v>33</v>
      </c>
      <c r="C1276" s="4" t="s">
        <v>34</v>
      </c>
      <c r="D1276" s="4" t="s">
        <v>52</v>
      </c>
      <c r="E1276" s="4" t="s">
        <v>58</v>
      </c>
      <c r="F1276" s="4" t="s">
        <v>25</v>
      </c>
      <c r="G1276" s="4" t="s">
        <v>25</v>
      </c>
      <c r="H1276" s="4" t="s">
        <v>25</v>
      </c>
      <c r="I1276" s="5">
        <v>43952</v>
      </c>
      <c r="J1276" s="6">
        <v>3426</v>
      </c>
      <c r="K1276" s="6">
        <v>3426</v>
      </c>
      <c r="L1276" s="6">
        <v>0</v>
      </c>
      <c r="M1276" s="6">
        <v>0</v>
      </c>
      <c r="N1276" s="6">
        <v>0</v>
      </c>
      <c r="O1276" s="6">
        <v>0</v>
      </c>
      <c r="P1276" s="6">
        <v>3</v>
      </c>
      <c r="Q1276" s="4" t="s">
        <v>26</v>
      </c>
      <c r="R1276" s="4">
        <v>0</v>
      </c>
      <c r="S1276" s="6">
        <v>26</v>
      </c>
      <c r="T1276" s="6">
        <v>0</v>
      </c>
      <c r="U1276" s="6">
        <v>0</v>
      </c>
      <c r="V1276" s="6">
        <f>IF(ISERROR(VLOOKUP($S$1276,'TAR FIN'!$A$1:$O$120,15,0)),0,VLOOKUP($S$1276,'TAR FIN'!$A$1:$O$120,15,0))</f>
        <v>8.81</v>
      </c>
      <c r="W1276" s="6">
        <f>IF(ISERROR(VLOOKUP($T$1276,'TAR FIN'!$A$1:$O$120,15,0)),0,VLOOKUP($T$1276,'TAR FIN'!$A$1:$O$120,15,0))</f>
        <v>0</v>
      </c>
      <c r="X1276" s="6">
        <f>IF(ISERROR(VLOOKUP($U$1276,'TAR FIN'!$A$1:$O$120,15,0)),0,VLOOKUP($U$1276,'TAR FIN'!$A$1:$O$120,15,0))</f>
        <v>0</v>
      </c>
      <c r="Y1276" s="6">
        <f ca="1">('TUSD BE'!$AM$32+'TUSD BF'!$AM$32+'TUSD CVA'!$AM$32)*1</f>
        <v>11.452356648653195</v>
      </c>
      <c r="Z1276" s="6"/>
      <c r="AA1276" s="6"/>
      <c r="AB1276" s="6">
        <f>$K$1276*$V$1276</f>
        <v>30183.06</v>
      </c>
      <c r="AC1276" s="6">
        <f>$M$1276*$W$1276</f>
        <v>0</v>
      </c>
      <c r="AD1276" s="6">
        <f>$O$1276*$X$1276</f>
        <v>0</v>
      </c>
      <c r="AE1276" s="6">
        <f ca="1">$K$1276*$Y$1276</f>
        <v>39235.773878285843</v>
      </c>
      <c r="AF1276" s="6">
        <f>$M$1276*$Z$1276</f>
        <v>0</v>
      </c>
      <c r="AG1276" s="6">
        <f>$O$1276*$AA$1276</f>
        <v>0</v>
      </c>
    </row>
    <row r="1277" spans="1:33" ht="11.25" customHeight="1" x14ac:dyDescent="0.25">
      <c r="A1277" s="4" t="s">
        <v>21</v>
      </c>
      <c r="B1277" s="4" t="s">
        <v>33</v>
      </c>
      <c r="C1277" s="4" t="s">
        <v>34</v>
      </c>
      <c r="D1277" s="4" t="s">
        <v>52</v>
      </c>
      <c r="E1277" s="4" t="s">
        <v>58</v>
      </c>
      <c r="F1277" s="4" t="s">
        <v>25</v>
      </c>
      <c r="G1277" s="4" t="s">
        <v>25</v>
      </c>
      <c r="H1277" s="4" t="s">
        <v>25</v>
      </c>
      <c r="I1277" s="5">
        <v>43983</v>
      </c>
      <c r="J1277" s="6">
        <v>3701</v>
      </c>
      <c r="K1277" s="6">
        <v>3701</v>
      </c>
      <c r="L1277" s="6">
        <v>0</v>
      </c>
      <c r="M1277" s="6">
        <v>0</v>
      </c>
      <c r="N1277" s="6">
        <v>0</v>
      </c>
      <c r="O1277" s="6">
        <v>0</v>
      </c>
      <c r="P1277" s="6">
        <v>3</v>
      </c>
      <c r="Q1277" s="4" t="s">
        <v>26</v>
      </c>
      <c r="R1277" s="4">
        <v>0</v>
      </c>
      <c r="S1277" s="6">
        <v>26</v>
      </c>
      <c r="T1277" s="6">
        <v>0</v>
      </c>
      <c r="U1277" s="6">
        <v>0</v>
      </c>
      <c r="V1277" s="6">
        <f>IF(ISERROR(VLOOKUP($S$1277,'TAR FIN'!$A$1:$O$120,15,0)),0,VLOOKUP($S$1277,'TAR FIN'!$A$1:$O$120,15,0))</f>
        <v>8.81</v>
      </c>
      <c r="W1277" s="6">
        <f>IF(ISERROR(VLOOKUP($T$1277,'TAR FIN'!$A$1:$O$120,15,0)),0,VLOOKUP($T$1277,'TAR FIN'!$A$1:$O$120,15,0))</f>
        <v>0</v>
      </c>
      <c r="X1277" s="6">
        <f>IF(ISERROR(VLOOKUP($U$1277,'TAR FIN'!$A$1:$O$120,15,0)),0,VLOOKUP($U$1277,'TAR FIN'!$A$1:$O$120,15,0))</f>
        <v>0</v>
      </c>
      <c r="Y1277" s="6">
        <f ca="1">('TUSD BE'!$AM$32+'TUSD BF'!$AM$32+'TUSD CVA'!$AM$32)*1</f>
        <v>11.452356648653195</v>
      </c>
      <c r="Z1277" s="6"/>
      <c r="AA1277" s="6"/>
      <c r="AB1277" s="6">
        <f>$K$1277*$V$1277</f>
        <v>32605.81</v>
      </c>
      <c r="AC1277" s="6">
        <f>$M$1277*$W$1277</f>
        <v>0</v>
      </c>
      <c r="AD1277" s="6">
        <f>$O$1277*$X$1277</f>
        <v>0</v>
      </c>
      <c r="AE1277" s="6">
        <f ca="1">$K$1277*$Y$1277</f>
        <v>42385.171956665472</v>
      </c>
      <c r="AF1277" s="6">
        <f>$M$1277*$Z$1277</f>
        <v>0</v>
      </c>
      <c r="AG1277" s="6">
        <f>$O$1277*$AA$1277</f>
        <v>0</v>
      </c>
    </row>
    <row r="1278" spans="1:33" ht="11.25" customHeight="1" x14ac:dyDescent="0.25">
      <c r="A1278" s="4" t="s">
        <v>21</v>
      </c>
      <c r="B1278" s="4" t="s">
        <v>33</v>
      </c>
      <c r="C1278" s="4" t="s">
        <v>34</v>
      </c>
      <c r="D1278" s="4" t="s">
        <v>52</v>
      </c>
      <c r="E1278" s="4" t="s">
        <v>58</v>
      </c>
      <c r="F1278" s="4" t="s">
        <v>25</v>
      </c>
      <c r="G1278" s="4" t="s">
        <v>25</v>
      </c>
      <c r="H1278" s="4" t="s">
        <v>25</v>
      </c>
      <c r="I1278" s="5">
        <v>44013</v>
      </c>
      <c r="J1278" s="6">
        <v>2904</v>
      </c>
      <c r="K1278" s="6">
        <v>2904</v>
      </c>
      <c r="L1278" s="6">
        <v>0</v>
      </c>
      <c r="M1278" s="6">
        <v>0</v>
      </c>
      <c r="N1278" s="6">
        <v>0</v>
      </c>
      <c r="O1278" s="6">
        <v>0</v>
      </c>
      <c r="P1278" s="6">
        <v>3</v>
      </c>
      <c r="Q1278" s="4" t="s">
        <v>26</v>
      </c>
      <c r="R1278" s="4">
        <v>0</v>
      </c>
      <c r="S1278" s="6">
        <v>26</v>
      </c>
      <c r="T1278" s="6">
        <v>0</v>
      </c>
      <c r="U1278" s="6">
        <v>0</v>
      </c>
      <c r="V1278" s="6">
        <f>IF(ISERROR(VLOOKUP($S$1278,'TAR FIN'!$A$1:$O$120,15,0)),0,VLOOKUP($S$1278,'TAR FIN'!$A$1:$O$120,15,0))</f>
        <v>8.81</v>
      </c>
      <c r="W1278" s="6">
        <f>IF(ISERROR(VLOOKUP($T$1278,'TAR FIN'!$A$1:$O$120,15,0)),0,VLOOKUP($T$1278,'TAR FIN'!$A$1:$O$120,15,0))</f>
        <v>0</v>
      </c>
      <c r="X1278" s="6">
        <f>IF(ISERROR(VLOOKUP($U$1278,'TAR FIN'!$A$1:$O$120,15,0)),0,VLOOKUP($U$1278,'TAR FIN'!$A$1:$O$120,15,0))</f>
        <v>0</v>
      </c>
      <c r="Y1278" s="6">
        <f ca="1">('TUSD BE'!$AM$32+'TUSD BF'!$AM$32+'TUSD CVA'!$AM$32)*1</f>
        <v>11.452356648653195</v>
      </c>
      <c r="Z1278" s="6"/>
      <c r="AA1278" s="6"/>
      <c r="AB1278" s="6">
        <f>$K$1278*$V$1278</f>
        <v>25584.240000000002</v>
      </c>
      <c r="AC1278" s="6">
        <f>$M$1278*$W$1278</f>
        <v>0</v>
      </c>
      <c r="AD1278" s="6">
        <f>$O$1278*$X$1278</f>
        <v>0</v>
      </c>
      <c r="AE1278" s="6">
        <f ca="1">$K$1278*$Y$1278</f>
        <v>33257.643707688876</v>
      </c>
      <c r="AF1278" s="6">
        <f>$M$1278*$Z$1278</f>
        <v>0</v>
      </c>
      <c r="AG1278" s="6">
        <f>$O$1278*$AA$1278</f>
        <v>0</v>
      </c>
    </row>
    <row r="1279" spans="1:33" ht="11.25" customHeight="1" x14ac:dyDescent="0.25">
      <c r="A1279" s="4" t="s">
        <v>21</v>
      </c>
      <c r="B1279" s="4" t="s">
        <v>33</v>
      </c>
      <c r="C1279" s="4" t="s">
        <v>34</v>
      </c>
      <c r="D1279" s="4" t="s">
        <v>52</v>
      </c>
      <c r="E1279" s="4" t="s">
        <v>58</v>
      </c>
      <c r="F1279" s="4" t="s">
        <v>25</v>
      </c>
      <c r="G1279" s="4" t="s">
        <v>25</v>
      </c>
      <c r="H1279" s="4" t="s">
        <v>25</v>
      </c>
      <c r="I1279" s="5">
        <v>44044</v>
      </c>
      <c r="J1279" s="6">
        <v>3425</v>
      </c>
      <c r="K1279" s="6">
        <v>3425</v>
      </c>
      <c r="L1279" s="6">
        <v>0</v>
      </c>
      <c r="M1279" s="6">
        <v>0</v>
      </c>
      <c r="N1279" s="6">
        <v>0</v>
      </c>
      <c r="O1279" s="6">
        <v>0</v>
      </c>
      <c r="P1279" s="6">
        <v>3</v>
      </c>
      <c r="Q1279" s="4" t="s">
        <v>26</v>
      </c>
      <c r="R1279" s="4">
        <v>0</v>
      </c>
      <c r="S1279" s="6">
        <v>26</v>
      </c>
      <c r="T1279" s="6">
        <v>0</v>
      </c>
      <c r="U1279" s="6">
        <v>0</v>
      </c>
      <c r="V1279" s="6">
        <f>IF(ISERROR(VLOOKUP($S$1279,'TAR FIN'!$A$1:$O$120,15,0)),0,VLOOKUP($S$1279,'TAR FIN'!$A$1:$O$120,15,0))</f>
        <v>8.81</v>
      </c>
      <c r="W1279" s="6">
        <f>IF(ISERROR(VLOOKUP($T$1279,'TAR FIN'!$A$1:$O$120,15,0)),0,VLOOKUP($T$1279,'TAR FIN'!$A$1:$O$120,15,0))</f>
        <v>0</v>
      </c>
      <c r="X1279" s="6">
        <f>IF(ISERROR(VLOOKUP($U$1279,'TAR FIN'!$A$1:$O$120,15,0)),0,VLOOKUP($U$1279,'TAR FIN'!$A$1:$O$120,15,0))</f>
        <v>0</v>
      </c>
      <c r="Y1279" s="6">
        <f ca="1">('TUSD BE'!$AM$32+'TUSD BF'!$AM$32+'TUSD CVA'!$AM$32)*1</f>
        <v>11.452356648653195</v>
      </c>
      <c r="Z1279" s="6"/>
      <c r="AA1279" s="6"/>
      <c r="AB1279" s="6">
        <f>$K$1279*$V$1279</f>
        <v>30174.25</v>
      </c>
      <c r="AC1279" s="6">
        <f>$M$1279*$W$1279</f>
        <v>0</v>
      </c>
      <c r="AD1279" s="6">
        <f>$O$1279*$X$1279</f>
        <v>0</v>
      </c>
      <c r="AE1279" s="6">
        <f ca="1">$K$1279*$Y$1279</f>
        <v>39224.32152163719</v>
      </c>
      <c r="AF1279" s="6">
        <f>$M$1279*$Z$1279</f>
        <v>0</v>
      </c>
      <c r="AG1279" s="6">
        <f>$O$1279*$AA$1279</f>
        <v>0</v>
      </c>
    </row>
    <row r="1280" spans="1:33" ht="11.25" customHeight="1" x14ac:dyDescent="0.25">
      <c r="A1280" s="4" t="s">
        <v>59</v>
      </c>
      <c r="B1280" s="4" t="s">
        <v>33</v>
      </c>
      <c r="C1280" s="4" t="s">
        <v>34</v>
      </c>
      <c r="D1280" s="4" t="s">
        <v>52</v>
      </c>
      <c r="E1280" s="4" t="s">
        <v>58</v>
      </c>
      <c r="F1280" s="4" t="s">
        <v>25</v>
      </c>
      <c r="G1280" s="4" t="s">
        <v>25</v>
      </c>
      <c r="H1280" s="4" t="s">
        <v>25</v>
      </c>
      <c r="I1280" s="5">
        <v>44075</v>
      </c>
      <c r="J1280" s="6">
        <v>3425</v>
      </c>
      <c r="K1280" s="6">
        <v>3425</v>
      </c>
      <c r="L1280" s="6">
        <v>0</v>
      </c>
      <c r="M1280" s="6">
        <v>0</v>
      </c>
      <c r="N1280" s="6">
        <v>0</v>
      </c>
      <c r="O1280" s="6">
        <v>0</v>
      </c>
      <c r="P1280" s="6">
        <v>3</v>
      </c>
      <c r="Q1280" s="4" t="s">
        <v>26</v>
      </c>
      <c r="R1280" s="4">
        <v>0</v>
      </c>
      <c r="S1280" s="6">
        <v>26</v>
      </c>
      <c r="T1280" s="6">
        <v>0</v>
      </c>
      <c r="U1280" s="6">
        <v>0</v>
      </c>
      <c r="V1280" s="6">
        <f>IF(ISERROR(VLOOKUP($S$1280,'TAR FIN'!$A$1:$O$120,15,0)),0,VLOOKUP($S$1280,'TAR FIN'!$A$1:$O$120,15,0))</f>
        <v>8.81</v>
      </c>
      <c r="W1280" s="6">
        <f>IF(ISERROR(VLOOKUP($T$1280,'TAR FIN'!$A$1:$O$120,15,0)),0,VLOOKUP($T$1280,'TAR FIN'!$A$1:$O$120,15,0))</f>
        <v>0</v>
      </c>
      <c r="X1280" s="6">
        <f>IF(ISERROR(VLOOKUP($U$1280,'TAR FIN'!$A$1:$O$120,15,0)),0,VLOOKUP($U$1280,'TAR FIN'!$A$1:$O$120,15,0))</f>
        <v>0</v>
      </c>
      <c r="Y1280" s="6">
        <f ca="1">('TUSD BE'!$AM$32+'TUSD BF'!$AM$32+'TUSD CVA'!$AM$32)*1</f>
        <v>11.452356648653195</v>
      </c>
      <c r="Z1280" s="6"/>
      <c r="AA1280" s="6"/>
      <c r="AB1280" s="6">
        <f>$K$1280*$V$1280</f>
        <v>30174.25</v>
      </c>
      <c r="AC1280" s="6">
        <f>$M$1280*$W$1280</f>
        <v>0</v>
      </c>
      <c r="AD1280" s="6">
        <f>$O$1280*$X$1280</f>
        <v>0</v>
      </c>
      <c r="AE1280" s="6">
        <f ca="1">$K$1280*$Y$1280</f>
        <v>39224.32152163719</v>
      </c>
      <c r="AF1280" s="6">
        <f>$M$1280*$Z$1280</f>
        <v>0</v>
      </c>
      <c r="AG1280" s="6">
        <f>$O$1280*$AA$1280</f>
        <v>0</v>
      </c>
    </row>
    <row r="1281" spans="1:33" ht="11.25" customHeight="1" x14ac:dyDescent="0.25">
      <c r="A1281" s="4" t="s">
        <v>21</v>
      </c>
      <c r="B1281" s="4" t="s">
        <v>33</v>
      </c>
      <c r="C1281" s="4" t="s">
        <v>34</v>
      </c>
      <c r="D1281" s="4" t="s">
        <v>52</v>
      </c>
      <c r="E1281" s="4" t="s">
        <v>58</v>
      </c>
      <c r="F1281" s="4" t="s">
        <v>25</v>
      </c>
      <c r="G1281" s="4" t="s">
        <v>25</v>
      </c>
      <c r="H1281" s="4" t="s">
        <v>35</v>
      </c>
      <c r="I1281" s="5">
        <v>43770</v>
      </c>
      <c r="J1281" s="6">
        <v>0</v>
      </c>
      <c r="K1281" s="6">
        <v>0</v>
      </c>
      <c r="L1281" s="6">
        <v>29.231000000000002</v>
      </c>
      <c r="M1281" s="6">
        <v>29.231000000000002</v>
      </c>
      <c r="N1281" s="6">
        <v>29.231000000000002</v>
      </c>
      <c r="O1281" s="6">
        <v>29.231000000000002</v>
      </c>
      <c r="P1281" s="6">
        <v>0</v>
      </c>
      <c r="Q1281" s="4" t="s">
        <v>26</v>
      </c>
      <c r="R1281" s="4">
        <v>0</v>
      </c>
      <c r="S1281" s="6">
        <v>0</v>
      </c>
      <c r="T1281" s="6">
        <v>27</v>
      </c>
      <c r="U1281" s="6">
        <v>81</v>
      </c>
      <c r="V1281" s="6">
        <f>IF(ISERROR(VLOOKUP($S$1281,'TAR FIN'!$A$1:$O$120,15,0)),0,VLOOKUP($S$1281,'TAR FIN'!$A$1:$O$120,15,0))</f>
        <v>0</v>
      </c>
      <c r="W1281" s="6">
        <f>IF(ISERROR(VLOOKUP($T$1281,'TAR FIN'!$A$1:$O$120,15,0)),0,VLOOKUP($T$1281,'TAR FIN'!$A$1:$O$120,15,0))</f>
        <v>641.99</v>
      </c>
      <c r="X1281" s="6">
        <f>IF(ISERROR(VLOOKUP($U$1281,'TAR FIN'!$A$1:$O$120,15,0)),0,VLOOKUP($U$1281,'TAR FIN'!$A$1:$O$120,15,0))</f>
        <v>430.87</v>
      </c>
      <c r="Y1281" s="6"/>
      <c r="Z1281" s="6">
        <f ca="1">('TUSD BE'!$AM$33+'TUSD BF'!$AM$33+'TUSD CVA'!$AM$33)*1</f>
        <v>747.73363518028248</v>
      </c>
      <c r="AA1281" s="6">
        <f>('TE BE'!$AA$10+'TE BF'!$AA$10+'TE CVA'!$AA$10)*1</f>
        <v>375.69180268700768</v>
      </c>
      <c r="AB1281" s="6">
        <f>$K$1281*$V$1281</f>
        <v>0</v>
      </c>
      <c r="AC1281" s="6">
        <f>$M$1281*$W$1281</f>
        <v>18766.009690000003</v>
      </c>
      <c r="AD1281" s="6">
        <f>$O$1281*$X$1281</f>
        <v>12594.760970000001</v>
      </c>
      <c r="AE1281" s="6">
        <f>$K$1281*$Y$1281</f>
        <v>0</v>
      </c>
      <c r="AF1281" s="6">
        <f ca="1">$M$1281*$Z$1281</f>
        <v>21857.001889954838</v>
      </c>
      <c r="AG1281" s="6">
        <f>$O$1281*$AA$1281</f>
        <v>10981.847084343923</v>
      </c>
    </row>
    <row r="1282" spans="1:33" ht="11.25" customHeight="1" x14ac:dyDescent="0.25">
      <c r="A1282" s="4" t="s">
        <v>21</v>
      </c>
      <c r="B1282" s="4" t="s">
        <v>33</v>
      </c>
      <c r="C1282" s="4" t="s">
        <v>34</v>
      </c>
      <c r="D1282" s="4" t="s">
        <v>52</v>
      </c>
      <c r="E1282" s="4" t="s">
        <v>58</v>
      </c>
      <c r="F1282" s="4" t="s">
        <v>25</v>
      </c>
      <c r="G1282" s="4" t="s">
        <v>25</v>
      </c>
      <c r="H1282" s="4" t="s">
        <v>35</v>
      </c>
      <c r="I1282" s="5">
        <v>43800</v>
      </c>
      <c r="J1282" s="6">
        <v>0</v>
      </c>
      <c r="K1282" s="6">
        <v>0</v>
      </c>
      <c r="L1282" s="6">
        <v>19.960999999999999</v>
      </c>
      <c r="M1282" s="6">
        <v>19.960999999999999</v>
      </c>
      <c r="N1282" s="6">
        <v>19.960999999999999</v>
      </c>
      <c r="O1282" s="6">
        <v>19.960999999999999</v>
      </c>
      <c r="P1282" s="6">
        <v>0</v>
      </c>
      <c r="Q1282" s="4" t="s">
        <v>26</v>
      </c>
      <c r="R1282" s="4">
        <v>0</v>
      </c>
      <c r="S1282" s="6">
        <v>0</v>
      </c>
      <c r="T1282" s="6">
        <v>27</v>
      </c>
      <c r="U1282" s="6">
        <v>81</v>
      </c>
      <c r="V1282" s="6">
        <f>IF(ISERROR(VLOOKUP($S$1282,'TAR FIN'!$A$1:$O$120,15,0)),0,VLOOKUP($S$1282,'TAR FIN'!$A$1:$O$120,15,0))</f>
        <v>0</v>
      </c>
      <c r="W1282" s="6">
        <f>IF(ISERROR(VLOOKUP($T$1282,'TAR FIN'!$A$1:$O$120,15,0)),0,VLOOKUP($T$1282,'TAR FIN'!$A$1:$O$120,15,0))</f>
        <v>641.99</v>
      </c>
      <c r="X1282" s="6">
        <f>IF(ISERROR(VLOOKUP($U$1282,'TAR FIN'!$A$1:$O$120,15,0)),0,VLOOKUP($U$1282,'TAR FIN'!$A$1:$O$120,15,0))</f>
        <v>430.87</v>
      </c>
      <c r="Y1282" s="6"/>
      <c r="Z1282" s="6">
        <f ca="1">('TUSD BE'!$AM$33+'TUSD BF'!$AM$33+'TUSD CVA'!$AM$33)*1</f>
        <v>747.73363518028248</v>
      </c>
      <c r="AA1282" s="6">
        <f>('TE BE'!$AA$10+'TE BF'!$AA$10+'TE CVA'!$AA$10)*1</f>
        <v>375.69180268700768</v>
      </c>
      <c r="AB1282" s="6">
        <f>$K$1282*$V$1282</f>
        <v>0</v>
      </c>
      <c r="AC1282" s="6">
        <f>$M$1282*$W$1282</f>
        <v>12814.76239</v>
      </c>
      <c r="AD1282" s="6">
        <f>$O$1282*$X$1282</f>
        <v>8600.5960699999996</v>
      </c>
      <c r="AE1282" s="6">
        <f>$K$1282*$Y$1282</f>
        <v>0</v>
      </c>
      <c r="AF1282" s="6">
        <f ca="1">$M$1282*$Z$1282</f>
        <v>14925.511091833618</v>
      </c>
      <c r="AG1282" s="6">
        <f>$O$1282*$AA$1282</f>
        <v>7499.18407343536</v>
      </c>
    </row>
    <row r="1283" spans="1:33" ht="11.25" customHeight="1" x14ac:dyDescent="0.25">
      <c r="A1283" s="4" t="s">
        <v>21</v>
      </c>
      <c r="B1283" s="4" t="s">
        <v>33</v>
      </c>
      <c r="C1283" s="4" t="s">
        <v>34</v>
      </c>
      <c r="D1283" s="4" t="s">
        <v>52</v>
      </c>
      <c r="E1283" s="4" t="s">
        <v>58</v>
      </c>
      <c r="F1283" s="4" t="s">
        <v>25</v>
      </c>
      <c r="G1283" s="4" t="s">
        <v>25</v>
      </c>
      <c r="H1283" s="4" t="s">
        <v>35</v>
      </c>
      <c r="I1283" s="5">
        <v>43831</v>
      </c>
      <c r="J1283" s="6">
        <v>0</v>
      </c>
      <c r="K1283" s="6">
        <v>0</v>
      </c>
      <c r="L1283" s="6">
        <v>13.715999999999999</v>
      </c>
      <c r="M1283" s="6">
        <v>13.715999999999999</v>
      </c>
      <c r="N1283" s="6">
        <v>13.715999999999999</v>
      </c>
      <c r="O1283" s="6">
        <v>13.715999999999999</v>
      </c>
      <c r="P1283" s="6">
        <v>0</v>
      </c>
      <c r="Q1283" s="4" t="s">
        <v>26</v>
      </c>
      <c r="R1283" s="4">
        <v>0</v>
      </c>
      <c r="S1283" s="6">
        <v>0</v>
      </c>
      <c r="T1283" s="6">
        <v>27</v>
      </c>
      <c r="U1283" s="6">
        <v>81</v>
      </c>
      <c r="V1283" s="6">
        <f>IF(ISERROR(VLOOKUP($S$1283,'TAR FIN'!$A$1:$O$120,15,0)),0,VLOOKUP($S$1283,'TAR FIN'!$A$1:$O$120,15,0))</f>
        <v>0</v>
      </c>
      <c r="W1283" s="6">
        <f>IF(ISERROR(VLOOKUP($T$1283,'TAR FIN'!$A$1:$O$120,15,0)),0,VLOOKUP($T$1283,'TAR FIN'!$A$1:$O$120,15,0))</f>
        <v>641.99</v>
      </c>
      <c r="X1283" s="6">
        <f>IF(ISERROR(VLOOKUP($U$1283,'TAR FIN'!$A$1:$O$120,15,0)),0,VLOOKUP($U$1283,'TAR FIN'!$A$1:$O$120,15,0))</f>
        <v>430.87</v>
      </c>
      <c r="Y1283" s="6"/>
      <c r="Z1283" s="6">
        <f ca="1">('TUSD BE'!$AM$33+'TUSD BF'!$AM$33+'TUSD CVA'!$AM$33)*1</f>
        <v>747.73363518028248</v>
      </c>
      <c r="AA1283" s="6">
        <f>('TE BE'!$AA$10+'TE BF'!$AA$10+'TE CVA'!$AA$10)*1</f>
        <v>375.69180268700768</v>
      </c>
      <c r="AB1283" s="6">
        <f>$K$1283*$V$1283</f>
        <v>0</v>
      </c>
      <c r="AC1283" s="6">
        <f>$M$1283*$W$1283</f>
        <v>8805.5348400000003</v>
      </c>
      <c r="AD1283" s="6">
        <f>$O$1283*$X$1283</f>
        <v>5909.8129199999994</v>
      </c>
      <c r="AE1283" s="6">
        <f>$K$1283*$Y$1283</f>
        <v>0</v>
      </c>
      <c r="AF1283" s="6">
        <f ca="1">$M$1283*$Z$1283</f>
        <v>10255.914540132753</v>
      </c>
      <c r="AG1283" s="6">
        <f>$O$1283*$AA$1283</f>
        <v>5152.9887656549972</v>
      </c>
    </row>
    <row r="1284" spans="1:33" ht="11.25" customHeight="1" x14ac:dyDescent="0.25">
      <c r="A1284" s="4" t="s">
        <v>21</v>
      </c>
      <c r="B1284" s="4" t="s">
        <v>33</v>
      </c>
      <c r="C1284" s="4" t="s">
        <v>34</v>
      </c>
      <c r="D1284" s="4" t="s">
        <v>52</v>
      </c>
      <c r="E1284" s="4" t="s">
        <v>58</v>
      </c>
      <c r="F1284" s="4" t="s">
        <v>25</v>
      </c>
      <c r="G1284" s="4" t="s">
        <v>25</v>
      </c>
      <c r="H1284" s="4" t="s">
        <v>35</v>
      </c>
      <c r="I1284" s="5">
        <v>43862</v>
      </c>
      <c r="J1284" s="6">
        <v>0</v>
      </c>
      <c r="K1284" s="6">
        <v>0</v>
      </c>
      <c r="L1284" s="6">
        <v>16.43</v>
      </c>
      <c r="M1284" s="6">
        <v>16.43</v>
      </c>
      <c r="N1284" s="6">
        <v>16.43</v>
      </c>
      <c r="O1284" s="6">
        <v>16.43</v>
      </c>
      <c r="P1284" s="6">
        <v>0</v>
      </c>
      <c r="Q1284" s="4" t="s">
        <v>26</v>
      </c>
      <c r="R1284" s="4">
        <v>0</v>
      </c>
      <c r="S1284" s="6">
        <v>0</v>
      </c>
      <c r="T1284" s="6">
        <v>27</v>
      </c>
      <c r="U1284" s="6">
        <v>81</v>
      </c>
      <c r="V1284" s="6">
        <f>IF(ISERROR(VLOOKUP($S$1284,'TAR FIN'!$A$1:$O$120,15,0)),0,VLOOKUP($S$1284,'TAR FIN'!$A$1:$O$120,15,0))</f>
        <v>0</v>
      </c>
      <c r="W1284" s="6">
        <f>IF(ISERROR(VLOOKUP($T$1284,'TAR FIN'!$A$1:$O$120,15,0)),0,VLOOKUP($T$1284,'TAR FIN'!$A$1:$O$120,15,0))</f>
        <v>641.99</v>
      </c>
      <c r="X1284" s="6">
        <f>IF(ISERROR(VLOOKUP($U$1284,'TAR FIN'!$A$1:$O$120,15,0)),0,VLOOKUP($U$1284,'TAR FIN'!$A$1:$O$120,15,0))</f>
        <v>430.87</v>
      </c>
      <c r="Y1284" s="6"/>
      <c r="Z1284" s="6">
        <f ca="1">('TUSD BE'!$AM$33+'TUSD BF'!$AM$33+'TUSD CVA'!$AM$33)*1</f>
        <v>747.73363518028248</v>
      </c>
      <c r="AA1284" s="6">
        <f>('TE BE'!$AA$10+'TE BF'!$AA$10+'TE CVA'!$AA$10)*1</f>
        <v>375.69180268700768</v>
      </c>
      <c r="AB1284" s="6">
        <f>$K$1284*$V$1284</f>
        <v>0</v>
      </c>
      <c r="AC1284" s="6">
        <f>$M$1284*$W$1284</f>
        <v>10547.895699999999</v>
      </c>
      <c r="AD1284" s="6">
        <f>$O$1284*$X$1284</f>
        <v>7079.1940999999997</v>
      </c>
      <c r="AE1284" s="6">
        <f>$K$1284*$Y$1284</f>
        <v>0</v>
      </c>
      <c r="AF1284" s="6">
        <f ca="1">$M$1284*$Z$1284</f>
        <v>12285.263626012042</v>
      </c>
      <c r="AG1284" s="6">
        <f>$O$1284*$AA$1284</f>
        <v>6172.6163181475358</v>
      </c>
    </row>
    <row r="1285" spans="1:33" ht="11.25" customHeight="1" x14ac:dyDescent="0.25">
      <c r="A1285" s="4" t="s">
        <v>21</v>
      </c>
      <c r="B1285" s="4" t="s">
        <v>33</v>
      </c>
      <c r="C1285" s="4" t="s">
        <v>34</v>
      </c>
      <c r="D1285" s="4" t="s">
        <v>52</v>
      </c>
      <c r="E1285" s="4" t="s">
        <v>58</v>
      </c>
      <c r="F1285" s="4" t="s">
        <v>25</v>
      </c>
      <c r="G1285" s="4" t="s">
        <v>25</v>
      </c>
      <c r="H1285" s="4" t="s">
        <v>35</v>
      </c>
      <c r="I1285" s="5">
        <v>43891</v>
      </c>
      <c r="J1285" s="6">
        <v>0</v>
      </c>
      <c r="K1285" s="6">
        <v>0</v>
      </c>
      <c r="L1285" s="6">
        <v>14.663</v>
      </c>
      <c r="M1285" s="6">
        <v>14.663</v>
      </c>
      <c r="N1285" s="6">
        <v>14.663</v>
      </c>
      <c r="O1285" s="6">
        <v>14.663</v>
      </c>
      <c r="P1285" s="6">
        <v>0</v>
      </c>
      <c r="Q1285" s="4" t="s">
        <v>26</v>
      </c>
      <c r="R1285" s="4">
        <v>0</v>
      </c>
      <c r="S1285" s="6">
        <v>0</v>
      </c>
      <c r="T1285" s="6">
        <v>27</v>
      </c>
      <c r="U1285" s="6">
        <v>81</v>
      </c>
      <c r="V1285" s="6">
        <f>IF(ISERROR(VLOOKUP($S$1285,'TAR FIN'!$A$1:$O$120,15,0)),0,VLOOKUP($S$1285,'TAR FIN'!$A$1:$O$120,15,0))</f>
        <v>0</v>
      </c>
      <c r="W1285" s="6">
        <f>IF(ISERROR(VLOOKUP($T$1285,'TAR FIN'!$A$1:$O$120,15,0)),0,VLOOKUP($T$1285,'TAR FIN'!$A$1:$O$120,15,0))</f>
        <v>641.99</v>
      </c>
      <c r="X1285" s="6">
        <f>IF(ISERROR(VLOOKUP($U$1285,'TAR FIN'!$A$1:$O$120,15,0)),0,VLOOKUP($U$1285,'TAR FIN'!$A$1:$O$120,15,0))</f>
        <v>430.87</v>
      </c>
      <c r="Y1285" s="6"/>
      <c r="Z1285" s="6">
        <f ca="1">('TUSD BE'!$AM$33+'TUSD BF'!$AM$33+'TUSD CVA'!$AM$33)*1</f>
        <v>747.73363518028248</v>
      </c>
      <c r="AA1285" s="6">
        <f>('TE BE'!$AA$10+'TE BF'!$AA$10+'TE CVA'!$AA$10)*1</f>
        <v>375.69180268700768</v>
      </c>
      <c r="AB1285" s="6">
        <f>$K$1285*$V$1285</f>
        <v>0</v>
      </c>
      <c r="AC1285" s="6">
        <f>$M$1285*$W$1285</f>
        <v>9413.4993699999995</v>
      </c>
      <c r="AD1285" s="6">
        <f>$O$1285*$X$1285</f>
        <v>6317.84681</v>
      </c>
      <c r="AE1285" s="6">
        <f>$K$1285*$Y$1285</f>
        <v>0</v>
      </c>
      <c r="AF1285" s="6">
        <f ca="1">$M$1285*$Z$1285</f>
        <v>10964.018292648481</v>
      </c>
      <c r="AG1285" s="6">
        <f>$O$1285*$AA$1285</f>
        <v>5508.7689027995939</v>
      </c>
    </row>
    <row r="1286" spans="1:33" ht="11.25" customHeight="1" x14ac:dyDescent="0.25">
      <c r="A1286" s="4" t="s">
        <v>21</v>
      </c>
      <c r="B1286" s="4" t="s">
        <v>33</v>
      </c>
      <c r="C1286" s="4" t="s">
        <v>34</v>
      </c>
      <c r="D1286" s="4" t="s">
        <v>52</v>
      </c>
      <c r="E1286" s="4" t="s">
        <v>58</v>
      </c>
      <c r="F1286" s="4" t="s">
        <v>25</v>
      </c>
      <c r="G1286" s="4" t="s">
        <v>25</v>
      </c>
      <c r="H1286" s="4" t="s">
        <v>35</v>
      </c>
      <c r="I1286" s="5">
        <v>43922</v>
      </c>
      <c r="J1286" s="6">
        <v>0</v>
      </c>
      <c r="K1286" s="6">
        <v>0</v>
      </c>
      <c r="L1286" s="6">
        <v>11.835000000000001</v>
      </c>
      <c r="M1286" s="6">
        <v>11.835000000000001</v>
      </c>
      <c r="N1286" s="6">
        <v>11.835000000000001</v>
      </c>
      <c r="O1286" s="6">
        <v>11.835000000000001</v>
      </c>
      <c r="P1286" s="6">
        <v>0</v>
      </c>
      <c r="Q1286" s="4" t="s">
        <v>26</v>
      </c>
      <c r="R1286" s="4">
        <v>0</v>
      </c>
      <c r="S1286" s="6">
        <v>0</v>
      </c>
      <c r="T1286" s="6">
        <v>27</v>
      </c>
      <c r="U1286" s="6">
        <v>81</v>
      </c>
      <c r="V1286" s="6">
        <f>IF(ISERROR(VLOOKUP($S$1286,'TAR FIN'!$A$1:$O$120,15,0)),0,VLOOKUP($S$1286,'TAR FIN'!$A$1:$O$120,15,0))</f>
        <v>0</v>
      </c>
      <c r="W1286" s="6">
        <f>IF(ISERROR(VLOOKUP($T$1286,'TAR FIN'!$A$1:$O$120,15,0)),0,VLOOKUP($T$1286,'TAR FIN'!$A$1:$O$120,15,0))</f>
        <v>641.99</v>
      </c>
      <c r="X1286" s="6">
        <f>IF(ISERROR(VLOOKUP($U$1286,'TAR FIN'!$A$1:$O$120,15,0)),0,VLOOKUP($U$1286,'TAR FIN'!$A$1:$O$120,15,0))</f>
        <v>430.87</v>
      </c>
      <c r="Y1286" s="6"/>
      <c r="Z1286" s="6">
        <f ca="1">('TUSD BE'!$AM$33+'TUSD BF'!$AM$33+'TUSD CVA'!$AM$33)*1</f>
        <v>747.73363518028248</v>
      </c>
      <c r="AA1286" s="6">
        <f>('TE BE'!$AA$10+'TE BF'!$AA$10+'TE CVA'!$AA$10)*1</f>
        <v>375.69180268700768</v>
      </c>
      <c r="AB1286" s="6">
        <f>$K$1286*$V$1286</f>
        <v>0</v>
      </c>
      <c r="AC1286" s="6">
        <f>$M$1286*$W$1286</f>
        <v>7597.9516500000009</v>
      </c>
      <c r="AD1286" s="6">
        <f>$O$1286*$X$1286</f>
        <v>5099.34645</v>
      </c>
      <c r="AE1286" s="6">
        <f>$K$1286*$Y$1286</f>
        <v>0</v>
      </c>
      <c r="AF1286" s="6">
        <f ca="1">$M$1286*$Z$1286</f>
        <v>8849.4275723586434</v>
      </c>
      <c r="AG1286" s="6">
        <f>$O$1286*$AA$1286</f>
        <v>4446.3124848007365</v>
      </c>
    </row>
    <row r="1287" spans="1:33" ht="11.25" customHeight="1" x14ac:dyDescent="0.25">
      <c r="A1287" s="4" t="s">
        <v>21</v>
      </c>
      <c r="B1287" s="4" t="s">
        <v>33</v>
      </c>
      <c r="C1287" s="4" t="s">
        <v>34</v>
      </c>
      <c r="D1287" s="4" t="s">
        <v>52</v>
      </c>
      <c r="E1287" s="4" t="s">
        <v>58</v>
      </c>
      <c r="F1287" s="4" t="s">
        <v>25</v>
      </c>
      <c r="G1287" s="4" t="s">
        <v>25</v>
      </c>
      <c r="H1287" s="4" t="s">
        <v>35</v>
      </c>
      <c r="I1287" s="5">
        <v>43952</v>
      </c>
      <c r="J1287" s="6">
        <v>0</v>
      </c>
      <c r="K1287" s="6">
        <v>0</v>
      </c>
      <c r="L1287" s="6">
        <v>19.997</v>
      </c>
      <c r="M1287" s="6">
        <v>19.997</v>
      </c>
      <c r="N1287" s="6">
        <v>19.997</v>
      </c>
      <c r="O1287" s="6">
        <v>19.997</v>
      </c>
      <c r="P1287" s="6">
        <v>0</v>
      </c>
      <c r="Q1287" s="4" t="s">
        <v>26</v>
      </c>
      <c r="R1287" s="4">
        <v>0</v>
      </c>
      <c r="S1287" s="6">
        <v>0</v>
      </c>
      <c r="T1287" s="6">
        <v>27</v>
      </c>
      <c r="U1287" s="6">
        <v>81</v>
      </c>
      <c r="V1287" s="6">
        <f>IF(ISERROR(VLOOKUP($S$1287,'TAR FIN'!$A$1:$O$120,15,0)),0,VLOOKUP($S$1287,'TAR FIN'!$A$1:$O$120,15,0))</f>
        <v>0</v>
      </c>
      <c r="W1287" s="6">
        <f>IF(ISERROR(VLOOKUP($T$1287,'TAR FIN'!$A$1:$O$120,15,0)),0,VLOOKUP($T$1287,'TAR FIN'!$A$1:$O$120,15,0))</f>
        <v>641.99</v>
      </c>
      <c r="X1287" s="6">
        <f>IF(ISERROR(VLOOKUP($U$1287,'TAR FIN'!$A$1:$O$120,15,0)),0,VLOOKUP($U$1287,'TAR FIN'!$A$1:$O$120,15,0))</f>
        <v>430.87</v>
      </c>
      <c r="Y1287" s="6"/>
      <c r="Z1287" s="6">
        <f ca="1">('TUSD BE'!$AM$33+'TUSD BF'!$AM$33+'TUSD CVA'!$AM$33)*1</f>
        <v>747.73363518028248</v>
      </c>
      <c r="AA1287" s="6">
        <f>('TE BE'!$AA$10+'TE BF'!$AA$10+'TE CVA'!$AA$10)*1</f>
        <v>375.69180268700768</v>
      </c>
      <c r="AB1287" s="6">
        <f>$K$1287*$V$1287</f>
        <v>0</v>
      </c>
      <c r="AC1287" s="6">
        <f>$M$1287*$W$1287</f>
        <v>12837.874030000001</v>
      </c>
      <c r="AD1287" s="6">
        <f>$O$1287*$X$1287</f>
        <v>8616.1073899999992</v>
      </c>
      <c r="AE1287" s="6">
        <f>$K$1287*$Y$1287</f>
        <v>0</v>
      </c>
      <c r="AF1287" s="6">
        <f ca="1">$M$1287*$Z$1287</f>
        <v>14952.429502700108</v>
      </c>
      <c r="AG1287" s="6">
        <f>$O$1287*$AA$1287</f>
        <v>7512.7089783320926</v>
      </c>
    </row>
    <row r="1288" spans="1:33" ht="11.25" customHeight="1" x14ac:dyDescent="0.25">
      <c r="A1288" s="4" t="s">
        <v>21</v>
      </c>
      <c r="B1288" s="4" t="s">
        <v>33</v>
      </c>
      <c r="C1288" s="4" t="s">
        <v>34</v>
      </c>
      <c r="D1288" s="4" t="s">
        <v>52</v>
      </c>
      <c r="E1288" s="4" t="s">
        <v>58</v>
      </c>
      <c r="F1288" s="4" t="s">
        <v>25</v>
      </c>
      <c r="G1288" s="4" t="s">
        <v>25</v>
      </c>
      <c r="H1288" s="4" t="s">
        <v>35</v>
      </c>
      <c r="I1288" s="5">
        <v>43983</v>
      </c>
      <c r="J1288" s="6">
        <v>0</v>
      </c>
      <c r="K1288" s="6">
        <v>0</v>
      </c>
      <c r="L1288" s="6">
        <v>23.45</v>
      </c>
      <c r="M1288" s="6">
        <v>23.45</v>
      </c>
      <c r="N1288" s="6">
        <v>23.45</v>
      </c>
      <c r="O1288" s="6">
        <v>23.45</v>
      </c>
      <c r="P1288" s="6">
        <v>0</v>
      </c>
      <c r="Q1288" s="4" t="s">
        <v>26</v>
      </c>
      <c r="R1288" s="4">
        <v>0</v>
      </c>
      <c r="S1288" s="6">
        <v>0</v>
      </c>
      <c r="T1288" s="6">
        <v>27</v>
      </c>
      <c r="U1288" s="6">
        <v>81</v>
      </c>
      <c r="V1288" s="6">
        <f>IF(ISERROR(VLOOKUP($S$1288,'TAR FIN'!$A$1:$O$120,15,0)),0,VLOOKUP($S$1288,'TAR FIN'!$A$1:$O$120,15,0))</f>
        <v>0</v>
      </c>
      <c r="W1288" s="6">
        <f>IF(ISERROR(VLOOKUP($T$1288,'TAR FIN'!$A$1:$O$120,15,0)),0,VLOOKUP($T$1288,'TAR FIN'!$A$1:$O$120,15,0))</f>
        <v>641.99</v>
      </c>
      <c r="X1288" s="6">
        <f>IF(ISERROR(VLOOKUP($U$1288,'TAR FIN'!$A$1:$O$120,15,0)),0,VLOOKUP($U$1288,'TAR FIN'!$A$1:$O$120,15,0))</f>
        <v>430.87</v>
      </c>
      <c r="Y1288" s="6"/>
      <c r="Z1288" s="6">
        <f ca="1">('TUSD BE'!$AM$33+'TUSD BF'!$AM$33+'TUSD CVA'!$AM$33)*1</f>
        <v>747.73363518028248</v>
      </c>
      <c r="AA1288" s="6">
        <f>('TE BE'!$AA$10+'TE BF'!$AA$10+'TE CVA'!$AA$10)*1</f>
        <v>375.69180268700768</v>
      </c>
      <c r="AB1288" s="6">
        <f>$K$1288*$V$1288</f>
        <v>0</v>
      </c>
      <c r="AC1288" s="6">
        <f>$M$1288*$W$1288</f>
        <v>15054.665499999999</v>
      </c>
      <c r="AD1288" s="6">
        <f>$O$1288*$X$1288</f>
        <v>10103.9015</v>
      </c>
      <c r="AE1288" s="6">
        <f>$K$1288*$Y$1288</f>
        <v>0</v>
      </c>
      <c r="AF1288" s="6">
        <f ca="1">$M$1288*$Z$1288</f>
        <v>17534.353744977623</v>
      </c>
      <c r="AG1288" s="6">
        <f>$O$1288*$AA$1288</f>
        <v>8809.9727730103295</v>
      </c>
    </row>
    <row r="1289" spans="1:33" ht="11.25" customHeight="1" x14ac:dyDescent="0.25">
      <c r="A1289" s="4" t="s">
        <v>21</v>
      </c>
      <c r="B1289" s="4" t="s">
        <v>33</v>
      </c>
      <c r="C1289" s="4" t="s">
        <v>34</v>
      </c>
      <c r="D1289" s="4" t="s">
        <v>52</v>
      </c>
      <c r="E1289" s="4" t="s">
        <v>58</v>
      </c>
      <c r="F1289" s="4" t="s">
        <v>25</v>
      </c>
      <c r="G1289" s="4" t="s">
        <v>25</v>
      </c>
      <c r="H1289" s="4" t="s">
        <v>35</v>
      </c>
      <c r="I1289" s="5">
        <v>44013</v>
      </c>
      <c r="J1289" s="6">
        <v>0</v>
      </c>
      <c r="K1289" s="6">
        <v>0</v>
      </c>
      <c r="L1289" s="6">
        <v>12.688000000000001</v>
      </c>
      <c r="M1289" s="6">
        <v>12.688000000000001</v>
      </c>
      <c r="N1289" s="6">
        <v>12.688000000000001</v>
      </c>
      <c r="O1289" s="6">
        <v>12.688000000000001</v>
      </c>
      <c r="P1289" s="6">
        <v>0</v>
      </c>
      <c r="Q1289" s="4" t="s">
        <v>26</v>
      </c>
      <c r="R1289" s="4">
        <v>0</v>
      </c>
      <c r="S1289" s="6">
        <v>0</v>
      </c>
      <c r="T1289" s="6">
        <v>27</v>
      </c>
      <c r="U1289" s="6">
        <v>81</v>
      </c>
      <c r="V1289" s="6">
        <f>IF(ISERROR(VLOOKUP($S$1289,'TAR FIN'!$A$1:$O$120,15,0)),0,VLOOKUP($S$1289,'TAR FIN'!$A$1:$O$120,15,0))</f>
        <v>0</v>
      </c>
      <c r="W1289" s="6">
        <f>IF(ISERROR(VLOOKUP($T$1289,'TAR FIN'!$A$1:$O$120,15,0)),0,VLOOKUP($T$1289,'TAR FIN'!$A$1:$O$120,15,0))</f>
        <v>641.99</v>
      </c>
      <c r="X1289" s="6">
        <f>IF(ISERROR(VLOOKUP($U$1289,'TAR FIN'!$A$1:$O$120,15,0)),0,VLOOKUP($U$1289,'TAR FIN'!$A$1:$O$120,15,0))</f>
        <v>430.87</v>
      </c>
      <c r="Y1289" s="6"/>
      <c r="Z1289" s="6">
        <f ca="1">('TUSD BE'!$AM$33+'TUSD BF'!$AM$33+'TUSD CVA'!$AM$33)*1</f>
        <v>747.73363518028248</v>
      </c>
      <c r="AA1289" s="6">
        <f>('TE BE'!$AA$10+'TE BF'!$AA$10+'TE CVA'!$AA$10)*1</f>
        <v>375.69180268700768</v>
      </c>
      <c r="AB1289" s="6">
        <f>$K$1289*$V$1289</f>
        <v>0</v>
      </c>
      <c r="AC1289" s="6">
        <f>$M$1289*$W$1289</f>
        <v>8145.5691200000001</v>
      </c>
      <c r="AD1289" s="6">
        <f>$O$1289*$X$1289</f>
        <v>5466.8785600000001</v>
      </c>
      <c r="AE1289" s="6">
        <f>$K$1289*$Y$1289</f>
        <v>0</v>
      </c>
      <c r="AF1289" s="6">
        <f ca="1">$M$1289*$Z$1289</f>
        <v>9487.244363167425</v>
      </c>
      <c r="AG1289" s="6">
        <f>$O$1289*$AA$1289</f>
        <v>4766.7775924927537</v>
      </c>
    </row>
    <row r="1290" spans="1:33" ht="11.25" customHeight="1" x14ac:dyDescent="0.25">
      <c r="A1290" s="4" t="s">
        <v>21</v>
      </c>
      <c r="B1290" s="4" t="s">
        <v>33</v>
      </c>
      <c r="C1290" s="4" t="s">
        <v>34</v>
      </c>
      <c r="D1290" s="4" t="s">
        <v>52</v>
      </c>
      <c r="E1290" s="4" t="s">
        <v>58</v>
      </c>
      <c r="F1290" s="4" t="s">
        <v>25</v>
      </c>
      <c r="G1290" s="4" t="s">
        <v>25</v>
      </c>
      <c r="H1290" s="4" t="s">
        <v>35</v>
      </c>
      <c r="I1290" s="5">
        <v>44044</v>
      </c>
      <c r="J1290" s="6">
        <v>0</v>
      </c>
      <c r="K1290" s="6">
        <v>0</v>
      </c>
      <c r="L1290" s="6">
        <v>19.835000000000001</v>
      </c>
      <c r="M1290" s="6">
        <v>19.835000000000001</v>
      </c>
      <c r="N1290" s="6">
        <v>19.835000000000001</v>
      </c>
      <c r="O1290" s="6">
        <v>19.835000000000001</v>
      </c>
      <c r="P1290" s="6">
        <v>0</v>
      </c>
      <c r="Q1290" s="4" t="s">
        <v>26</v>
      </c>
      <c r="R1290" s="4">
        <v>0</v>
      </c>
      <c r="S1290" s="6">
        <v>0</v>
      </c>
      <c r="T1290" s="6">
        <v>27</v>
      </c>
      <c r="U1290" s="6">
        <v>81</v>
      </c>
      <c r="V1290" s="6">
        <f>IF(ISERROR(VLOOKUP($S$1290,'TAR FIN'!$A$1:$O$120,15,0)),0,VLOOKUP($S$1290,'TAR FIN'!$A$1:$O$120,15,0))</f>
        <v>0</v>
      </c>
      <c r="W1290" s="6">
        <f>IF(ISERROR(VLOOKUP($T$1290,'TAR FIN'!$A$1:$O$120,15,0)),0,VLOOKUP($T$1290,'TAR FIN'!$A$1:$O$120,15,0))</f>
        <v>641.99</v>
      </c>
      <c r="X1290" s="6">
        <f>IF(ISERROR(VLOOKUP($U$1290,'TAR FIN'!$A$1:$O$120,15,0)),0,VLOOKUP($U$1290,'TAR FIN'!$A$1:$O$120,15,0))</f>
        <v>430.87</v>
      </c>
      <c r="Y1290" s="6"/>
      <c r="Z1290" s="6">
        <f ca="1">('TUSD BE'!$AM$33+'TUSD BF'!$AM$33+'TUSD CVA'!$AM$33)*1</f>
        <v>747.73363518028248</v>
      </c>
      <c r="AA1290" s="6">
        <f>('TE BE'!$AA$10+'TE BF'!$AA$10+'TE CVA'!$AA$10)*1</f>
        <v>375.69180268700768</v>
      </c>
      <c r="AB1290" s="6">
        <f>$K$1290*$V$1290</f>
        <v>0</v>
      </c>
      <c r="AC1290" s="6">
        <f>$M$1290*$W$1290</f>
        <v>12733.871650000001</v>
      </c>
      <c r="AD1290" s="6">
        <f>$O$1290*$X$1290</f>
        <v>8546.30645</v>
      </c>
      <c r="AE1290" s="6">
        <f>$K$1290*$Y$1290</f>
        <v>0</v>
      </c>
      <c r="AF1290" s="6">
        <f ca="1">$M$1290*$Z$1290</f>
        <v>14831.296653800904</v>
      </c>
      <c r="AG1290" s="6">
        <f>$O$1290*$AA$1290</f>
        <v>7451.8469062967979</v>
      </c>
    </row>
    <row r="1291" spans="1:33" ht="11.25" customHeight="1" x14ac:dyDescent="0.25">
      <c r="A1291" s="4" t="s">
        <v>59</v>
      </c>
      <c r="B1291" s="4" t="s">
        <v>33</v>
      </c>
      <c r="C1291" s="4" t="s">
        <v>34</v>
      </c>
      <c r="D1291" s="4" t="s">
        <v>52</v>
      </c>
      <c r="E1291" s="4" t="s">
        <v>58</v>
      </c>
      <c r="F1291" s="4" t="s">
        <v>25</v>
      </c>
      <c r="G1291" s="4" t="s">
        <v>25</v>
      </c>
      <c r="H1291" s="4" t="s">
        <v>35</v>
      </c>
      <c r="I1291" s="5">
        <v>44075</v>
      </c>
      <c r="J1291" s="6">
        <v>0</v>
      </c>
      <c r="K1291" s="6">
        <v>0</v>
      </c>
      <c r="L1291" s="6">
        <v>19.835000000000001</v>
      </c>
      <c r="M1291" s="6">
        <v>19.835000000000001</v>
      </c>
      <c r="N1291" s="6">
        <v>19.835000000000001</v>
      </c>
      <c r="O1291" s="6">
        <v>19.835000000000001</v>
      </c>
      <c r="P1291" s="6">
        <v>0</v>
      </c>
      <c r="Q1291" s="4" t="s">
        <v>26</v>
      </c>
      <c r="R1291" s="4">
        <v>0</v>
      </c>
      <c r="S1291" s="6">
        <v>0</v>
      </c>
      <c r="T1291" s="6">
        <v>27</v>
      </c>
      <c r="U1291" s="6">
        <v>81</v>
      </c>
      <c r="V1291" s="6">
        <f>IF(ISERROR(VLOOKUP($S$1291,'TAR FIN'!$A$1:$O$120,15,0)),0,VLOOKUP($S$1291,'TAR FIN'!$A$1:$O$120,15,0))</f>
        <v>0</v>
      </c>
      <c r="W1291" s="6">
        <f>IF(ISERROR(VLOOKUP($T$1291,'TAR FIN'!$A$1:$O$120,15,0)),0,VLOOKUP($T$1291,'TAR FIN'!$A$1:$O$120,15,0))</f>
        <v>641.99</v>
      </c>
      <c r="X1291" s="6">
        <f>IF(ISERROR(VLOOKUP($U$1291,'TAR FIN'!$A$1:$O$120,15,0)),0,VLOOKUP($U$1291,'TAR FIN'!$A$1:$O$120,15,0))</f>
        <v>430.87</v>
      </c>
      <c r="Y1291" s="6"/>
      <c r="Z1291" s="6">
        <f ca="1">('TUSD BE'!$AM$33+'TUSD BF'!$AM$33+'TUSD CVA'!$AM$33)*1</f>
        <v>747.73363518028248</v>
      </c>
      <c r="AA1291" s="6">
        <f>('TE BE'!$AA$10+'TE BF'!$AA$10+'TE CVA'!$AA$10)*1</f>
        <v>375.69180268700768</v>
      </c>
      <c r="AB1291" s="6">
        <f>$K$1291*$V$1291</f>
        <v>0</v>
      </c>
      <c r="AC1291" s="6">
        <f>$M$1291*$W$1291</f>
        <v>12733.871650000001</v>
      </c>
      <c r="AD1291" s="6">
        <f>$O$1291*$X$1291</f>
        <v>8546.30645</v>
      </c>
      <c r="AE1291" s="6">
        <f>$K$1291*$Y$1291</f>
        <v>0</v>
      </c>
      <c r="AF1291" s="6">
        <f ca="1">$M$1291*$Z$1291</f>
        <v>14831.296653800904</v>
      </c>
      <c r="AG1291" s="6">
        <f>$O$1291*$AA$1291</f>
        <v>7451.8469062967979</v>
      </c>
    </row>
    <row r="1292" spans="1:33" ht="11.25" customHeight="1" x14ac:dyDescent="0.25">
      <c r="A1292" s="4" t="s">
        <v>21</v>
      </c>
      <c r="B1292" s="4" t="s">
        <v>44</v>
      </c>
      <c r="C1292" s="4" t="s">
        <v>41</v>
      </c>
      <c r="D1292" s="4" t="s">
        <v>42</v>
      </c>
      <c r="E1292" s="4" t="s">
        <v>25</v>
      </c>
      <c r="F1292" s="4" t="s">
        <v>25</v>
      </c>
      <c r="G1292" s="4" t="s">
        <v>25</v>
      </c>
      <c r="H1292" s="4" t="s">
        <v>36</v>
      </c>
      <c r="I1292" s="5">
        <v>43739</v>
      </c>
      <c r="J1292" s="6">
        <v>20741</v>
      </c>
      <c r="K1292" s="6">
        <v>20741</v>
      </c>
      <c r="L1292" s="6">
        <v>7418.7860000000001</v>
      </c>
      <c r="M1292" s="6">
        <v>7418.7860000000001</v>
      </c>
      <c r="N1292" s="6">
        <v>7418.7860000000001</v>
      </c>
      <c r="O1292" s="6">
        <v>7418.7860000000001</v>
      </c>
      <c r="P1292" s="6">
        <v>0</v>
      </c>
      <c r="Q1292" s="4" t="s">
        <v>26</v>
      </c>
      <c r="R1292" s="4">
        <v>0</v>
      </c>
      <c r="S1292" s="6">
        <v>32</v>
      </c>
      <c r="T1292" s="6">
        <v>33</v>
      </c>
      <c r="U1292" s="6">
        <v>84</v>
      </c>
      <c r="V1292" s="6">
        <f>IF(ISERROR(VLOOKUP($S$1292,'TAR FIN'!$A$1:$O$120,15,0)),0,VLOOKUP($S$1292,'TAR FIN'!$A$1:$O$120,15,0))</f>
        <v>12.24</v>
      </c>
      <c r="W1292" s="6">
        <f>IF(ISERROR(VLOOKUP($T$1292,'TAR FIN'!$A$1:$O$120,15,0)),0,VLOOKUP($T$1292,'TAR FIN'!$A$1:$O$120,15,0))</f>
        <v>109.75</v>
      </c>
      <c r="X1292" s="6">
        <f>IF(ISERROR(VLOOKUP($U$1292,'TAR FIN'!$A$1:$O$120,15,0)),0,VLOOKUP($U$1292,'TAR FIN'!$A$1:$O$120,15,0))</f>
        <v>256.38</v>
      </c>
      <c r="Y1292" s="6">
        <f ca="1">('TUSD BE'!$AM$40+'TUSD BF'!$AM$40+'TUSD CVA'!$AM$40)*1</f>
        <v>16.00053546174815</v>
      </c>
      <c r="Z1292" s="6">
        <f ca="1">('TUSD BE'!$AM$41+'TUSD BF'!$AM$41+'TUSD CVA'!$AM$41)*1</f>
        <v>112.97896283052546</v>
      </c>
      <c r="AA1292" s="6">
        <f>('TE BE'!$AA$14+'TE BF'!$AA$14+'TE CVA'!$AA$14)*1</f>
        <v>230.83420940933817</v>
      </c>
      <c r="AB1292" s="6">
        <f>$K$1292*$V$1292</f>
        <v>253869.84</v>
      </c>
      <c r="AC1292" s="6">
        <f>$M$1292*$W$1292</f>
        <v>814211.7635</v>
      </c>
      <c r="AD1292" s="6">
        <f>$O$1292*$X$1292</f>
        <v>1902028.3546799999</v>
      </c>
      <c r="AE1292" s="6">
        <f ca="1">$K$1292*$Y$1292</f>
        <v>331867.1060121184</v>
      </c>
      <c r="AF1292" s="6">
        <f ca="1">$M$1292*$Z$1292</f>
        <v>838166.74774162262</v>
      </c>
      <c r="AG1292" s="6">
        <f>$O$1292*$AA$1292</f>
        <v>1712509.6010870663</v>
      </c>
    </row>
    <row r="1293" spans="1:33" ht="11.25" customHeight="1" x14ac:dyDescent="0.25">
      <c r="A1293" s="4" t="s">
        <v>28</v>
      </c>
      <c r="B1293" s="4" t="s">
        <v>44</v>
      </c>
      <c r="C1293" s="4" t="s">
        <v>41</v>
      </c>
      <c r="D1293" s="4" t="s">
        <v>42</v>
      </c>
      <c r="E1293" s="4" t="s">
        <v>25</v>
      </c>
      <c r="F1293" s="4" t="s">
        <v>25</v>
      </c>
      <c r="G1293" s="4" t="s">
        <v>25</v>
      </c>
      <c r="H1293" s="4" t="s">
        <v>36</v>
      </c>
      <c r="I1293" s="5">
        <v>43739</v>
      </c>
      <c r="J1293" s="6">
        <v>2360</v>
      </c>
      <c r="K1293" s="6">
        <v>2360</v>
      </c>
      <c r="L1293" s="6">
        <v>668.73900000000003</v>
      </c>
      <c r="M1293" s="6">
        <v>668.73900000000003</v>
      </c>
      <c r="N1293" s="6">
        <v>668.73900000000003</v>
      </c>
      <c r="O1293" s="6">
        <v>668.73900000000003</v>
      </c>
      <c r="P1293" s="6">
        <v>0</v>
      </c>
      <c r="Q1293" s="4" t="s">
        <v>26</v>
      </c>
      <c r="R1293" s="4">
        <v>0</v>
      </c>
      <c r="S1293" s="6">
        <v>32</v>
      </c>
      <c r="T1293" s="6">
        <v>33</v>
      </c>
      <c r="U1293" s="6">
        <v>84</v>
      </c>
      <c r="V1293" s="6">
        <f>IF(ISERROR(VLOOKUP($S$1293,'TAR FIN'!$A$1:$O$120,15,0)),0,VLOOKUP($S$1293,'TAR FIN'!$A$1:$O$120,15,0))</f>
        <v>12.24</v>
      </c>
      <c r="W1293" s="6">
        <f>IF(ISERROR(VLOOKUP($T$1293,'TAR FIN'!$A$1:$O$120,15,0)),0,VLOOKUP($T$1293,'TAR FIN'!$A$1:$O$120,15,0))</f>
        <v>109.75</v>
      </c>
      <c r="X1293" s="6">
        <f>IF(ISERROR(VLOOKUP($U$1293,'TAR FIN'!$A$1:$O$120,15,0)),0,VLOOKUP($U$1293,'TAR FIN'!$A$1:$O$120,15,0))</f>
        <v>256.38</v>
      </c>
      <c r="Y1293" s="6">
        <f ca="1">('TUSD BE'!$AM$40+'TUSD BF'!$AM$40+'TUSD CVA'!$AM$40)*1</f>
        <v>16.00053546174815</v>
      </c>
      <c r="Z1293" s="6">
        <f ca="1">('TUSD BE'!$AM$41+'TUSD BF'!$AM$41+'TUSD CVA'!$AM$41)*1</f>
        <v>112.97896283052546</v>
      </c>
      <c r="AA1293" s="6">
        <f>('TE BE'!$AA$14+'TE BF'!$AA$14+'TE CVA'!$AA$14)*1</f>
        <v>230.83420940933817</v>
      </c>
      <c r="AB1293" s="6">
        <f>$K$1293*$V$1293</f>
        <v>28886.400000000001</v>
      </c>
      <c r="AC1293" s="6">
        <f>$M$1293*$W$1293</f>
        <v>73394.105250000008</v>
      </c>
      <c r="AD1293" s="6">
        <f>$O$1293*$X$1293</f>
        <v>171451.30482000002</v>
      </c>
      <c r="AE1293" s="6">
        <f ca="1">$K$1293*$Y$1293</f>
        <v>37761.263689725631</v>
      </c>
      <c r="AF1293" s="6">
        <f ca="1">$M$1293*$Z$1293</f>
        <v>75553.438624322764</v>
      </c>
      <c r="AG1293" s="6">
        <f>$O$1293*$AA$1293</f>
        <v>154367.8383661914</v>
      </c>
    </row>
    <row r="1294" spans="1:33" ht="11.25" customHeight="1" x14ac:dyDescent="0.25">
      <c r="A1294" s="4" t="s">
        <v>21</v>
      </c>
      <c r="B1294" s="4" t="s">
        <v>44</v>
      </c>
      <c r="C1294" s="4" t="s">
        <v>41</v>
      </c>
      <c r="D1294" s="4" t="s">
        <v>42</v>
      </c>
      <c r="E1294" s="4" t="s">
        <v>25</v>
      </c>
      <c r="F1294" s="4" t="s">
        <v>25</v>
      </c>
      <c r="G1294" s="4" t="s">
        <v>25</v>
      </c>
      <c r="H1294" s="4" t="s">
        <v>36</v>
      </c>
      <c r="I1294" s="5">
        <v>43770</v>
      </c>
      <c r="J1294" s="6">
        <v>19950</v>
      </c>
      <c r="K1294" s="6">
        <v>19950</v>
      </c>
      <c r="L1294" s="6">
        <v>7480.7849999999999</v>
      </c>
      <c r="M1294" s="6">
        <v>7480.7849999999999</v>
      </c>
      <c r="N1294" s="6">
        <v>7480.7849999999999</v>
      </c>
      <c r="O1294" s="6">
        <v>7480.7849999999999</v>
      </c>
      <c r="P1294" s="6">
        <v>0</v>
      </c>
      <c r="Q1294" s="4" t="s">
        <v>26</v>
      </c>
      <c r="R1294" s="4">
        <v>0</v>
      </c>
      <c r="S1294" s="6">
        <v>32</v>
      </c>
      <c r="T1294" s="6">
        <v>33</v>
      </c>
      <c r="U1294" s="6">
        <v>84</v>
      </c>
      <c r="V1294" s="6">
        <f>IF(ISERROR(VLOOKUP($S$1294,'TAR FIN'!$A$1:$O$120,15,0)),0,VLOOKUP($S$1294,'TAR FIN'!$A$1:$O$120,15,0))</f>
        <v>12.24</v>
      </c>
      <c r="W1294" s="6">
        <f>IF(ISERROR(VLOOKUP($T$1294,'TAR FIN'!$A$1:$O$120,15,0)),0,VLOOKUP($T$1294,'TAR FIN'!$A$1:$O$120,15,0))</f>
        <v>109.75</v>
      </c>
      <c r="X1294" s="6">
        <f>IF(ISERROR(VLOOKUP($U$1294,'TAR FIN'!$A$1:$O$120,15,0)),0,VLOOKUP($U$1294,'TAR FIN'!$A$1:$O$120,15,0))</f>
        <v>256.38</v>
      </c>
      <c r="Y1294" s="6">
        <f ca="1">('TUSD BE'!$AM$40+'TUSD BF'!$AM$40+'TUSD CVA'!$AM$40)*1</f>
        <v>16.00053546174815</v>
      </c>
      <c r="Z1294" s="6">
        <f ca="1">('TUSD BE'!$AM$41+'TUSD BF'!$AM$41+'TUSD CVA'!$AM$41)*1</f>
        <v>112.97896283052546</v>
      </c>
      <c r="AA1294" s="6">
        <f>('TE BE'!$AA$14+'TE BF'!$AA$14+'TE CVA'!$AA$14)*1</f>
        <v>230.83420940933817</v>
      </c>
      <c r="AB1294" s="6">
        <f>$K$1294*$V$1294</f>
        <v>244188</v>
      </c>
      <c r="AC1294" s="6">
        <f>$M$1294*$W$1294</f>
        <v>821016.15374999994</v>
      </c>
      <c r="AD1294" s="6">
        <f>$O$1294*$X$1294</f>
        <v>1917923.6583</v>
      </c>
      <c r="AE1294" s="6">
        <f ca="1">$K$1294*$Y$1294</f>
        <v>319210.68246187561</v>
      </c>
      <c r="AF1294" s="6">
        <f ca="1">$M$1294*$Z$1294</f>
        <v>845171.33045815234</v>
      </c>
      <c r="AG1294" s="6">
        <f>$O$1294*$AA$1294</f>
        <v>1726821.0912362358</v>
      </c>
    </row>
    <row r="1295" spans="1:33" ht="11.25" customHeight="1" x14ac:dyDescent="0.25">
      <c r="A1295" s="4" t="s">
        <v>27</v>
      </c>
      <c r="B1295" s="4" t="s">
        <v>44</v>
      </c>
      <c r="C1295" s="4" t="s">
        <v>41</v>
      </c>
      <c r="D1295" s="4" t="s">
        <v>42</v>
      </c>
      <c r="E1295" s="4" t="s">
        <v>25</v>
      </c>
      <c r="F1295" s="4" t="s">
        <v>25</v>
      </c>
      <c r="G1295" s="4" t="s">
        <v>25</v>
      </c>
      <c r="H1295" s="4" t="s">
        <v>36</v>
      </c>
      <c r="I1295" s="5">
        <v>43770</v>
      </c>
      <c r="J1295" s="6">
        <v>927</v>
      </c>
      <c r="K1295" s="6">
        <v>927</v>
      </c>
      <c r="L1295" s="6">
        <v>347.99099999999999</v>
      </c>
      <c r="M1295" s="6">
        <v>347.99099999999999</v>
      </c>
      <c r="N1295" s="6">
        <v>347.99099999999999</v>
      </c>
      <c r="O1295" s="6">
        <v>347.99099999999999</v>
      </c>
      <c r="P1295" s="6">
        <v>0</v>
      </c>
      <c r="Q1295" s="4" t="s">
        <v>26</v>
      </c>
      <c r="R1295" s="4">
        <v>0</v>
      </c>
      <c r="S1295" s="6">
        <v>32</v>
      </c>
      <c r="T1295" s="6">
        <v>33</v>
      </c>
      <c r="U1295" s="6">
        <v>84</v>
      </c>
      <c r="V1295" s="6">
        <f>IF(ISERROR(VLOOKUP($S$1295,'TAR FIN'!$A$1:$O$120,15,0)),0,VLOOKUP($S$1295,'TAR FIN'!$A$1:$O$120,15,0))</f>
        <v>12.24</v>
      </c>
      <c r="W1295" s="6">
        <f>IF(ISERROR(VLOOKUP($T$1295,'TAR FIN'!$A$1:$O$120,15,0)),0,VLOOKUP($T$1295,'TAR FIN'!$A$1:$O$120,15,0))</f>
        <v>109.75</v>
      </c>
      <c r="X1295" s="6">
        <f>IF(ISERROR(VLOOKUP($U$1295,'TAR FIN'!$A$1:$O$120,15,0)),0,VLOOKUP($U$1295,'TAR FIN'!$A$1:$O$120,15,0))</f>
        <v>256.38</v>
      </c>
      <c r="Y1295" s="6">
        <f ca="1">('TUSD BE'!$AM$40+'TUSD BF'!$AM$40+'TUSD CVA'!$AM$40)*1</f>
        <v>16.00053546174815</v>
      </c>
      <c r="Z1295" s="6">
        <f ca="1">('TUSD BE'!$AM$41+'TUSD BF'!$AM$41+'TUSD CVA'!$AM$41)*1</f>
        <v>112.97896283052546</v>
      </c>
      <c r="AA1295" s="6">
        <f>('TE BE'!$AA$14+'TE BF'!$AA$14+'TE CVA'!$AA$14)*1</f>
        <v>230.83420940933817</v>
      </c>
      <c r="AB1295" s="6">
        <f>$K$1295*$V$1295</f>
        <v>11346.48</v>
      </c>
      <c r="AC1295" s="6">
        <f>$M$1295*$W$1295</f>
        <v>38192.01225</v>
      </c>
      <c r="AD1295" s="6">
        <f>$O$1295*$X$1295</f>
        <v>89217.932579999993</v>
      </c>
      <c r="AE1295" s="6">
        <f ca="1">$K$1295*$Y$1295</f>
        <v>14832.496373040534</v>
      </c>
      <c r="AF1295" s="6">
        <f ca="1">$M$1295*$Z$1295</f>
        <v>39315.662254357383</v>
      </c>
      <c r="AG1295" s="6">
        <f>$O$1295*$AA$1295</f>
        <v>80328.227366564999</v>
      </c>
    </row>
    <row r="1296" spans="1:33" ht="11.25" customHeight="1" x14ac:dyDescent="0.25">
      <c r="A1296" s="4" t="s">
        <v>28</v>
      </c>
      <c r="B1296" s="4" t="s">
        <v>44</v>
      </c>
      <c r="C1296" s="4" t="s">
        <v>41</v>
      </c>
      <c r="D1296" s="4" t="s">
        <v>42</v>
      </c>
      <c r="E1296" s="4" t="s">
        <v>25</v>
      </c>
      <c r="F1296" s="4" t="s">
        <v>25</v>
      </c>
      <c r="G1296" s="4" t="s">
        <v>25</v>
      </c>
      <c r="H1296" s="4" t="s">
        <v>36</v>
      </c>
      <c r="I1296" s="5">
        <v>43770</v>
      </c>
      <c r="J1296" s="6">
        <v>2360</v>
      </c>
      <c r="K1296" s="6">
        <v>2360</v>
      </c>
      <c r="L1296" s="6">
        <v>727.27499999999998</v>
      </c>
      <c r="M1296" s="6">
        <v>727.27499999999998</v>
      </c>
      <c r="N1296" s="6">
        <v>727.27499999999998</v>
      </c>
      <c r="O1296" s="6">
        <v>727.27499999999998</v>
      </c>
      <c r="P1296" s="6">
        <v>0</v>
      </c>
      <c r="Q1296" s="4" t="s">
        <v>26</v>
      </c>
      <c r="R1296" s="4">
        <v>0</v>
      </c>
      <c r="S1296" s="6">
        <v>32</v>
      </c>
      <c r="T1296" s="6">
        <v>33</v>
      </c>
      <c r="U1296" s="6">
        <v>84</v>
      </c>
      <c r="V1296" s="6">
        <f>IF(ISERROR(VLOOKUP($S$1296,'TAR FIN'!$A$1:$O$120,15,0)),0,VLOOKUP($S$1296,'TAR FIN'!$A$1:$O$120,15,0))</f>
        <v>12.24</v>
      </c>
      <c r="W1296" s="6">
        <f>IF(ISERROR(VLOOKUP($T$1296,'TAR FIN'!$A$1:$O$120,15,0)),0,VLOOKUP($T$1296,'TAR FIN'!$A$1:$O$120,15,0))</f>
        <v>109.75</v>
      </c>
      <c r="X1296" s="6">
        <f>IF(ISERROR(VLOOKUP($U$1296,'TAR FIN'!$A$1:$O$120,15,0)),0,VLOOKUP($U$1296,'TAR FIN'!$A$1:$O$120,15,0))</f>
        <v>256.38</v>
      </c>
      <c r="Y1296" s="6">
        <f ca="1">('TUSD BE'!$AM$40+'TUSD BF'!$AM$40+'TUSD CVA'!$AM$40)*1</f>
        <v>16.00053546174815</v>
      </c>
      <c r="Z1296" s="6">
        <f ca="1">('TUSD BE'!$AM$41+'TUSD BF'!$AM$41+'TUSD CVA'!$AM$41)*1</f>
        <v>112.97896283052546</v>
      </c>
      <c r="AA1296" s="6">
        <f>('TE BE'!$AA$14+'TE BF'!$AA$14+'TE CVA'!$AA$14)*1</f>
        <v>230.83420940933817</v>
      </c>
      <c r="AB1296" s="6">
        <f>$K$1296*$V$1296</f>
        <v>28886.400000000001</v>
      </c>
      <c r="AC1296" s="6">
        <f>$M$1296*$W$1296</f>
        <v>79818.431249999994</v>
      </c>
      <c r="AD1296" s="6">
        <f>$O$1296*$X$1296</f>
        <v>186458.76449999999</v>
      </c>
      <c r="AE1296" s="6">
        <f ca="1">$K$1296*$Y$1296</f>
        <v>37761.263689725631</v>
      </c>
      <c r="AF1296" s="6">
        <f ca="1">$M$1296*$Z$1296</f>
        <v>82166.775192570407</v>
      </c>
      <c r="AG1296" s="6">
        <f>$O$1296*$AA$1296</f>
        <v>167879.94964817641</v>
      </c>
    </row>
    <row r="1297" spans="1:33" ht="11.25" customHeight="1" x14ac:dyDescent="0.25">
      <c r="A1297" s="4" t="s">
        <v>21</v>
      </c>
      <c r="B1297" s="4" t="s">
        <v>44</v>
      </c>
      <c r="C1297" s="4" t="s">
        <v>41</v>
      </c>
      <c r="D1297" s="4" t="s">
        <v>42</v>
      </c>
      <c r="E1297" s="4" t="s">
        <v>25</v>
      </c>
      <c r="F1297" s="4" t="s">
        <v>25</v>
      </c>
      <c r="G1297" s="4" t="s">
        <v>25</v>
      </c>
      <c r="H1297" s="4" t="s">
        <v>36</v>
      </c>
      <c r="I1297" s="5">
        <v>43800</v>
      </c>
      <c r="J1297" s="6">
        <v>19259</v>
      </c>
      <c r="K1297" s="6">
        <v>19259</v>
      </c>
      <c r="L1297" s="6">
        <v>7092.5879999999997</v>
      </c>
      <c r="M1297" s="6">
        <v>7092.5879999999997</v>
      </c>
      <c r="N1297" s="6">
        <v>7092.5879999999997</v>
      </c>
      <c r="O1297" s="6">
        <v>7092.5879999999997</v>
      </c>
      <c r="P1297" s="6">
        <v>0</v>
      </c>
      <c r="Q1297" s="4" t="s">
        <v>26</v>
      </c>
      <c r="R1297" s="4">
        <v>0</v>
      </c>
      <c r="S1297" s="6">
        <v>32</v>
      </c>
      <c r="T1297" s="6">
        <v>33</v>
      </c>
      <c r="U1297" s="6">
        <v>84</v>
      </c>
      <c r="V1297" s="6">
        <f>IF(ISERROR(VLOOKUP($S$1297,'TAR FIN'!$A$1:$O$120,15,0)),0,VLOOKUP($S$1297,'TAR FIN'!$A$1:$O$120,15,0))</f>
        <v>12.24</v>
      </c>
      <c r="W1297" s="6">
        <f>IF(ISERROR(VLOOKUP($T$1297,'TAR FIN'!$A$1:$O$120,15,0)),0,VLOOKUP($T$1297,'TAR FIN'!$A$1:$O$120,15,0))</f>
        <v>109.75</v>
      </c>
      <c r="X1297" s="6">
        <f>IF(ISERROR(VLOOKUP($U$1297,'TAR FIN'!$A$1:$O$120,15,0)),0,VLOOKUP($U$1297,'TAR FIN'!$A$1:$O$120,15,0))</f>
        <v>256.38</v>
      </c>
      <c r="Y1297" s="6">
        <f ca="1">('TUSD BE'!$AM$40+'TUSD BF'!$AM$40+'TUSD CVA'!$AM$40)*1</f>
        <v>16.00053546174815</v>
      </c>
      <c r="Z1297" s="6">
        <f ca="1">('TUSD BE'!$AM$41+'TUSD BF'!$AM$41+'TUSD CVA'!$AM$41)*1</f>
        <v>112.97896283052546</v>
      </c>
      <c r="AA1297" s="6">
        <f>('TE BE'!$AA$14+'TE BF'!$AA$14+'TE CVA'!$AA$14)*1</f>
        <v>230.83420940933817</v>
      </c>
      <c r="AB1297" s="6">
        <f>$K$1297*$V$1297</f>
        <v>235730.16</v>
      </c>
      <c r="AC1297" s="6">
        <f>$M$1297*$W$1297</f>
        <v>778411.53299999994</v>
      </c>
      <c r="AD1297" s="6">
        <f>$O$1297*$X$1297</f>
        <v>1818397.71144</v>
      </c>
      <c r="AE1297" s="6">
        <f ca="1">$K$1297*$Y$1297</f>
        <v>308154.31245780759</v>
      </c>
      <c r="AF1297" s="6">
        <f ca="1">$M$1297*$Z$1297</f>
        <v>801313.23602423084</v>
      </c>
      <c r="AG1297" s="6">
        <f>$O$1297*$AA$1297</f>
        <v>1637211.943646159</v>
      </c>
    </row>
    <row r="1298" spans="1:33" ht="11.25" customHeight="1" x14ac:dyDescent="0.25">
      <c r="A1298" s="4" t="s">
        <v>27</v>
      </c>
      <c r="B1298" s="4" t="s">
        <v>44</v>
      </c>
      <c r="C1298" s="4" t="s">
        <v>41</v>
      </c>
      <c r="D1298" s="4" t="s">
        <v>42</v>
      </c>
      <c r="E1298" s="4" t="s">
        <v>25</v>
      </c>
      <c r="F1298" s="4" t="s">
        <v>25</v>
      </c>
      <c r="G1298" s="4" t="s">
        <v>25</v>
      </c>
      <c r="H1298" s="4" t="s">
        <v>36</v>
      </c>
      <c r="I1298" s="5">
        <v>43800</v>
      </c>
      <c r="J1298" s="6">
        <v>953</v>
      </c>
      <c r="K1298" s="6">
        <v>953</v>
      </c>
      <c r="L1298" s="6">
        <v>350.858</v>
      </c>
      <c r="M1298" s="6">
        <v>350.858</v>
      </c>
      <c r="N1298" s="6">
        <v>350.858</v>
      </c>
      <c r="O1298" s="6">
        <v>350.858</v>
      </c>
      <c r="P1298" s="6">
        <v>0</v>
      </c>
      <c r="Q1298" s="4" t="s">
        <v>26</v>
      </c>
      <c r="R1298" s="4">
        <v>0</v>
      </c>
      <c r="S1298" s="6">
        <v>32</v>
      </c>
      <c r="T1298" s="6">
        <v>33</v>
      </c>
      <c r="U1298" s="6">
        <v>84</v>
      </c>
      <c r="V1298" s="6">
        <f>IF(ISERROR(VLOOKUP($S$1298,'TAR FIN'!$A$1:$O$120,15,0)),0,VLOOKUP($S$1298,'TAR FIN'!$A$1:$O$120,15,0))</f>
        <v>12.24</v>
      </c>
      <c r="W1298" s="6">
        <f>IF(ISERROR(VLOOKUP($T$1298,'TAR FIN'!$A$1:$O$120,15,0)),0,VLOOKUP($T$1298,'TAR FIN'!$A$1:$O$120,15,0))</f>
        <v>109.75</v>
      </c>
      <c r="X1298" s="6">
        <f>IF(ISERROR(VLOOKUP($U$1298,'TAR FIN'!$A$1:$O$120,15,0)),0,VLOOKUP($U$1298,'TAR FIN'!$A$1:$O$120,15,0))</f>
        <v>256.38</v>
      </c>
      <c r="Y1298" s="6">
        <f ca="1">('TUSD BE'!$AM$40+'TUSD BF'!$AM$40+'TUSD CVA'!$AM$40)*1</f>
        <v>16.00053546174815</v>
      </c>
      <c r="Z1298" s="6">
        <f ca="1">('TUSD BE'!$AM$41+'TUSD BF'!$AM$41+'TUSD CVA'!$AM$41)*1</f>
        <v>112.97896283052546</v>
      </c>
      <c r="AA1298" s="6">
        <f>('TE BE'!$AA$14+'TE BF'!$AA$14+'TE CVA'!$AA$14)*1</f>
        <v>230.83420940933817</v>
      </c>
      <c r="AB1298" s="6">
        <f>$K$1298*$V$1298</f>
        <v>11664.72</v>
      </c>
      <c r="AC1298" s="6">
        <f>$M$1298*$W$1298</f>
        <v>38506.665500000003</v>
      </c>
      <c r="AD1298" s="6">
        <f>$O$1298*$X$1298</f>
        <v>89952.974040000001</v>
      </c>
      <c r="AE1298" s="6">
        <f ca="1">$K$1298*$Y$1298</f>
        <v>15248.510295045988</v>
      </c>
      <c r="AF1298" s="6">
        <f ca="1">$M$1298*$Z$1298</f>
        <v>39639.572940792503</v>
      </c>
      <c r="AG1298" s="6">
        <f>$O$1298*$AA$1298</f>
        <v>80990.029044941577</v>
      </c>
    </row>
    <row r="1299" spans="1:33" ht="11.25" customHeight="1" x14ac:dyDescent="0.25">
      <c r="A1299" s="4" t="s">
        <v>28</v>
      </c>
      <c r="B1299" s="4" t="s">
        <v>44</v>
      </c>
      <c r="C1299" s="4" t="s">
        <v>41</v>
      </c>
      <c r="D1299" s="4" t="s">
        <v>42</v>
      </c>
      <c r="E1299" s="4" t="s">
        <v>25</v>
      </c>
      <c r="F1299" s="4" t="s">
        <v>25</v>
      </c>
      <c r="G1299" s="4" t="s">
        <v>25</v>
      </c>
      <c r="H1299" s="4" t="s">
        <v>36</v>
      </c>
      <c r="I1299" s="5">
        <v>43800</v>
      </c>
      <c r="J1299" s="6">
        <v>760</v>
      </c>
      <c r="K1299" s="6">
        <v>760</v>
      </c>
      <c r="L1299" s="6">
        <v>272.50099999999998</v>
      </c>
      <c r="M1299" s="6">
        <v>272.50099999999998</v>
      </c>
      <c r="N1299" s="6">
        <v>272.50099999999998</v>
      </c>
      <c r="O1299" s="6">
        <v>272.50099999999998</v>
      </c>
      <c r="P1299" s="6">
        <v>0</v>
      </c>
      <c r="Q1299" s="4" t="s">
        <v>26</v>
      </c>
      <c r="R1299" s="4">
        <v>0</v>
      </c>
      <c r="S1299" s="6">
        <v>32</v>
      </c>
      <c r="T1299" s="6">
        <v>33</v>
      </c>
      <c r="U1299" s="6">
        <v>84</v>
      </c>
      <c r="V1299" s="6">
        <f>IF(ISERROR(VLOOKUP($S$1299,'TAR FIN'!$A$1:$O$120,15,0)),0,VLOOKUP($S$1299,'TAR FIN'!$A$1:$O$120,15,0))</f>
        <v>12.24</v>
      </c>
      <c r="W1299" s="6">
        <f>IF(ISERROR(VLOOKUP($T$1299,'TAR FIN'!$A$1:$O$120,15,0)),0,VLOOKUP($T$1299,'TAR FIN'!$A$1:$O$120,15,0))</f>
        <v>109.75</v>
      </c>
      <c r="X1299" s="6">
        <f>IF(ISERROR(VLOOKUP($U$1299,'TAR FIN'!$A$1:$O$120,15,0)),0,VLOOKUP($U$1299,'TAR FIN'!$A$1:$O$120,15,0))</f>
        <v>256.38</v>
      </c>
      <c r="Y1299" s="6">
        <f ca="1">('TUSD BE'!$AM$40+'TUSD BF'!$AM$40+'TUSD CVA'!$AM$40)*1</f>
        <v>16.00053546174815</v>
      </c>
      <c r="Z1299" s="6">
        <f ca="1">('TUSD BE'!$AM$41+'TUSD BF'!$AM$41+'TUSD CVA'!$AM$41)*1</f>
        <v>112.97896283052546</v>
      </c>
      <c r="AA1299" s="6">
        <f>('TE BE'!$AA$14+'TE BF'!$AA$14+'TE CVA'!$AA$14)*1</f>
        <v>230.83420940933817</v>
      </c>
      <c r="AB1299" s="6">
        <f>$K$1299*$V$1299</f>
        <v>9302.4</v>
      </c>
      <c r="AC1299" s="6">
        <f>$M$1299*$W$1299</f>
        <v>29906.984749999996</v>
      </c>
      <c r="AD1299" s="6">
        <f>$O$1299*$X$1299</f>
        <v>69863.806379999995</v>
      </c>
      <c r="AE1299" s="6">
        <f ca="1">$K$1299*$Y$1299</f>
        <v>12160.406950928595</v>
      </c>
      <c r="AF1299" s="6">
        <f ca="1">$M$1299*$Z$1299</f>
        <v>30786.880350281015</v>
      </c>
      <c r="AG1299" s="6">
        <f>$O$1299*$AA$1299</f>
        <v>62902.552898254056</v>
      </c>
    </row>
    <row r="1300" spans="1:33" ht="11.25" customHeight="1" x14ac:dyDescent="0.25">
      <c r="A1300" s="4" t="s">
        <v>21</v>
      </c>
      <c r="B1300" s="4" t="s">
        <v>44</v>
      </c>
      <c r="C1300" s="4" t="s">
        <v>41</v>
      </c>
      <c r="D1300" s="4" t="s">
        <v>42</v>
      </c>
      <c r="E1300" s="4" t="s">
        <v>25</v>
      </c>
      <c r="F1300" s="4" t="s">
        <v>25</v>
      </c>
      <c r="G1300" s="4" t="s">
        <v>25</v>
      </c>
      <c r="H1300" s="4" t="s">
        <v>36</v>
      </c>
      <c r="I1300" s="5">
        <v>43831</v>
      </c>
      <c r="J1300" s="6">
        <v>19517</v>
      </c>
      <c r="K1300" s="6">
        <v>19517</v>
      </c>
      <c r="L1300" s="6">
        <v>7404.5529999999999</v>
      </c>
      <c r="M1300" s="6">
        <v>7404.5529999999999</v>
      </c>
      <c r="N1300" s="6">
        <v>7404.5529999999999</v>
      </c>
      <c r="O1300" s="6">
        <v>7404.5529999999999</v>
      </c>
      <c r="P1300" s="6">
        <v>0</v>
      </c>
      <c r="Q1300" s="4" t="s">
        <v>26</v>
      </c>
      <c r="R1300" s="4">
        <v>0</v>
      </c>
      <c r="S1300" s="6">
        <v>32</v>
      </c>
      <c r="T1300" s="6">
        <v>33</v>
      </c>
      <c r="U1300" s="6">
        <v>84</v>
      </c>
      <c r="V1300" s="6">
        <f>IF(ISERROR(VLOOKUP($S$1300,'TAR FIN'!$A$1:$O$120,15,0)),0,VLOOKUP($S$1300,'TAR FIN'!$A$1:$O$120,15,0))</f>
        <v>12.24</v>
      </c>
      <c r="W1300" s="6">
        <f>IF(ISERROR(VLOOKUP($T$1300,'TAR FIN'!$A$1:$O$120,15,0)),0,VLOOKUP($T$1300,'TAR FIN'!$A$1:$O$120,15,0))</f>
        <v>109.75</v>
      </c>
      <c r="X1300" s="6">
        <f>IF(ISERROR(VLOOKUP($U$1300,'TAR FIN'!$A$1:$O$120,15,0)),0,VLOOKUP($U$1300,'TAR FIN'!$A$1:$O$120,15,0))</f>
        <v>256.38</v>
      </c>
      <c r="Y1300" s="6">
        <f ca="1">('TUSD BE'!$AM$40+'TUSD BF'!$AM$40+'TUSD CVA'!$AM$40)*1</f>
        <v>16.00053546174815</v>
      </c>
      <c r="Z1300" s="6">
        <f ca="1">('TUSD BE'!$AM$41+'TUSD BF'!$AM$41+'TUSD CVA'!$AM$41)*1</f>
        <v>112.97896283052546</v>
      </c>
      <c r="AA1300" s="6">
        <f>('TE BE'!$AA$14+'TE BF'!$AA$14+'TE CVA'!$AA$14)*1</f>
        <v>230.83420940933817</v>
      </c>
      <c r="AB1300" s="6">
        <f>$K$1300*$V$1300</f>
        <v>238888.08000000002</v>
      </c>
      <c r="AC1300" s="6">
        <f>$M$1300*$W$1300</f>
        <v>812649.69175</v>
      </c>
      <c r="AD1300" s="6">
        <f>$O$1300*$X$1300</f>
        <v>1898379.2981399999</v>
      </c>
      <c r="AE1300" s="6">
        <f ca="1">$K$1300*$Y$1300</f>
        <v>312282.45060693863</v>
      </c>
      <c r="AF1300" s="6">
        <f ca="1">$M$1300*$Z$1300</f>
        <v>836558.71816365584</v>
      </c>
      <c r="AG1300" s="6">
        <f>$O$1300*$AA$1300</f>
        <v>1709224.1377845432</v>
      </c>
    </row>
    <row r="1301" spans="1:33" ht="11.25" customHeight="1" x14ac:dyDescent="0.25">
      <c r="A1301" s="4" t="s">
        <v>27</v>
      </c>
      <c r="B1301" s="4" t="s">
        <v>44</v>
      </c>
      <c r="C1301" s="4" t="s">
        <v>41</v>
      </c>
      <c r="D1301" s="4" t="s">
        <v>42</v>
      </c>
      <c r="E1301" s="4" t="s">
        <v>25</v>
      </c>
      <c r="F1301" s="4" t="s">
        <v>25</v>
      </c>
      <c r="G1301" s="4" t="s">
        <v>25</v>
      </c>
      <c r="H1301" s="4" t="s">
        <v>36</v>
      </c>
      <c r="I1301" s="5">
        <v>43831</v>
      </c>
      <c r="J1301" s="6">
        <v>75</v>
      </c>
      <c r="K1301" s="6">
        <v>75</v>
      </c>
      <c r="L1301" s="6">
        <v>30.391999999999999</v>
      </c>
      <c r="M1301" s="6">
        <v>30.391999999999999</v>
      </c>
      <c r="N1301" s="6">
        <v>30.391999999999999</v>
      </c>
      <c r="O1301" s="6">
        <v>30.391999999999999</v>
      </c>
      <c r="P1301" s="6">
        <v>0</v>
      </c>
      <c r="Q1301" s="4" t="s">
        <v>26</v>
      </c>
      <c r="R1301" s="4">
        <v>0</v>
      </c>
      <c r="S1301" s="6">
        <v>32</v>
      </c>
      <c r="T1301" s="6">
        <v>33</v>
      </c>
      <c r="U1301" s="6">
        <v>84</v>
      </c>
      <c r="V1301" s="6">
        <f>IF(ISERROR(VLOOKUP($S$1301,'TAR FIN'!$A$1:$O$120,15,0)),0,VLOOKUP($S$1301,'TAR FIN'!$A$1:$O$120,15,0))</f>
        <v>12.24</v>
      </c>
      <c r="W1301" s="6">
        <f>IF(ISERROR(VLOOKUP($T$1301,'TAR FIN'!$A$1:$O$120,15,0)),0,VLOOKUP($T$1301,'TAR FIN'!$A$1:$O$120,15,0))</f>
        <v>109.75</v>
      </c>
      <c r="X1301" s="6">
        <f>IF(ISERROR(VLOOKUP($U$1301,'TAR FIN'!$A$1:$O$120,15,0)),0,VLOOKUP($U$1301,'TAR FIN'!$A$1:$O$120,15,0))</f>
        <v>256.38</v>
      </c>
      <c r="Y1301" s="6">
        <f ca="1">('TUSD BE'!$AM$40+'TUSD BF'!$AM$40+'TUSD CVA'!$AM$40)*1</f>
        <v>16.00053546174815</v>
      </c>
      <c r="Z1301" s="6">
        <f ca="1">('TUSD BE'!$AM$41+'TUSD BF'!$AM$41+'TUSD CVA'!$AM$41)*1</f>
        <v>112.97896283052546</v>
      </c>
      <c r="AA1301" s="6">
        <f>('TE BE'!$AA$14+'TE BF'!$AA$14+'TE CVA'!$AA$14)*1</f>
        <v>230.83420940933817</v>
      </c>
      <c r="AB1301" s="6">
        <f>$K$1301*$V$1301</f>
        <v>918</v>
      </c>
      <c r="AC1301" s="6">
        <f>$M$1301*$W$1301</f>
        <v>3335.5219999999999</v>
      </c>
      <c r="AD1301" s="6">
        <f>$O$1301*$X$1301</f>
        <v>7791.9009599999999</v>
      </c>
      <c r="AE1301" s="6">
        <f ca="1">$K$1301*$Y$1301</f>
        <v>1200.0401596311112</v>
      </c>
      <c r="AF1301" s="6">
        <f ca="1">$M$1301*$Z$1301</f>
        <v>3433.6566383453296</v>
      </c>
      <c r="AG1301" s="6">
        <f>$O$1301*$AA$1301</f>
        <v>7015.513292368606</v>
      </c>
    </row>
    <row r="1302" spans="1:33" ht="11.25" customHeight="1" x14ac:dyDescent="0.25">
      <c r="A1302" s="4" t="s">
        <v>28</v>
      </c>
      <c r="B1302" s="4" t="s">
        <v>44</v>
      </c>
      <c r="C1302" s="4" t="s">
        <v>41</v>
      </c>
      <c r="D1302" s="4" t="s">
        <v>42</v>
      </c>
      <c r="E1302" s="4" t="s">
        <v>25</v>
      </c>
      <c r="F1302" s="4" t="s">
        <v>25</v>
      </c>
      <c r="G1302" s="4" t="s">
        <v>25</v>
      </c>
      <c r="H1302" s="4" t="s">
        <v>36</v>
      </c>
      <c r="I1302" s="5">
        <v>43831</v>
      </c>
      <c r="J1302" s="6">
        <v>760</v>
      </c>
      <c r="K1302" s="6">
        <v>760</v>
      </c>
      <c r="L1302" s="6">
        <v>269.86500000000001</v>
      </c>
      <c r="M1302" s="6">
        <v>269.86500000000001</v>
      </c>
      <c r="N1302" s="6">
        <v>269.86500000000001</v>
      </c>
      <c r="O1302" s="6">
        <v>269.86500000000001</v>
      </c>
      <c r="P1302" s="6">
        <v>0</v>
      </c>
      <c r="Q1302" s="4" t="s">
        <v>26</v>
      </c>
      <c r="R1302" s="4">
        <v>0</v>
      </c>
      <c r="S1302" s="6">
        <v>32</v>
      </c>
      <c r="T1302" s="6">
        <v>33</v>
      </c>
      <c r="U1302" s="6">
        <v>84</v>
      </c>
      <c r="V1302" s="6">
        <f>IF(ISERROR(VLOOKUP($S$1302,'TAR FIN'!$A$1:$O$120,15,0)),0,VLOOKUP($S$1302,'TAR FIN'!$A$1:$O$120,15,0))</f>
        <v>12.24</v>
      </c>
      <c r="W1302" s="6">
        <f>IF(ISERROR(VLOOKUP($T$1302,'TAR FIN'!$A$1:$O$120,15,0)),0,VLOOKUP($T$1302,'TAR FIN'!$A$1:$O$120,15,0))</f>
        <v>109.75</v>
      </c>
      <c r="X1302" s="6">
        <f>IF(ISERROR(VLOOKUP($U$1302,'TAR FIN'!$A$1:$O$120,15,0)),0,VLOOKUP($U$1302,'TAR FIN'!$A$1:$O$120,15,0))</f>
        <v>256.38</v>
      </c>
      <c r="Y1302" s="6">
        <f ca="1">('TUSD BE'!$AM$40+'TUSD BF'!$AM$40+'TUSD CVA'!$AM$40)*1</f>
        <v>16.00053546174815</v>
      </c>
      <c r="Z1302" s="6">
        <f ca="1">('TUSD BE'!$AM$41+'TUSD BF'!$AM$41+'TUSD CVA'!$AM$41)*1</f>
        <v>112.97896283052546</v>
      </c>
      <c r="AA1302" s="6">
        <f>('TE BE'!$AA$14+'TE BF'!$AA$14+'TE CVA'!$AA$14)*1</f>
        <v>230.83420940933817</v>
      </c>
      <c r="AB1302" s="6">
        <f>$K$1302*$V$1302</f>
        <v>9302.4</v>
      </c>
      <c r="AC1302" s="6">
        <f>$M$1302*$W$1302</f>
        <v>29617.68375</v>
      </c>
      <c r="AD1302" s="6">
        <f>$O$1302*$X$1302</f>
        <v>69187.988700000002</v>
      </c>
      <c r="AE1302" s="6">
        <f ca="1">$K$1302*$Y$1302</f>
        <v>12160.406950928595</v>
      </c>
      <c r="AF1302" s="6">
        <f ca="1">$M$1302*$Z$1302</f>
        <v>30489.067804259754</v>
      </c>
      <c r="AG1302" s="6">
        <f>$O$1302*$AA$1302</f>
        <v>62294.073922251046</v>
      </c>
    </row>
    <row r="1303" spans="1:33" ht="11.25" customHeight="1" x14ac:dyDescent="0.25">
      <c r="A1303" s="4" t="s">
        <v>21</v>
      </c>
      <c r="B1303" s="4" t="s">
        <v>44</v>
      </c>
      <c r="C1303" s="4" t="s">
        <v>41</v>
      </c>
      <c r="D1303" s="4" t="s">
        <v>42</v>
      </c>
      <c r="E1303" s="4" t="s">
        <v>25</v>
      </c>
      <c r="F1303" s="4" t="s">
        <v>25</v>
      </c>
      <c r="G1303" s="4" t="s">
        <v>25</v>
      </c>
      <c r="H1303" s="4" t="s">
        <v>36</v>
      </c>
      <c r="I1303" s="5">
        <v>43862</v>
      </c>
      <c r="J1303" s="6">
        <v>19713</v>
      </c>
      <c r="K1303" s="6">
        <v>19713</v>
      </c>
      <c r="L1303" s="6">
        <v>7381.8959999999997</v>
      </c>
      <c r="M1303" s="6">
        <v>7381.8959999999997</v>
      </c>
      <c r="N1303" s="6">
        <v>7381.8959999999997</v>
      </c>
      <c r="O1303" s="6">
        <v>7381.8959999999997</v>
      </c>
      <c r="P1303" s="6">
        <v>0</v>
      </c>
      <c r="Q1303" s="4" t="s">
        <v>26</v>
      </c>
      <c r="R1303" s="4">
        <v>0</v>
      </c>
      <c r="S1303" s="6">
        <v>32</v>
      </c>
      <c r="T1303" s="6">
        <v>33</v>
      </c>
      <c r="U1303" s="6">
        <v>84</v>
      </c>
      <c r="V1303" s="6">
        <f>IF(ISERROR(VLOOKUP($S$1303,'TAR FIN'!$A$1:$O$120,15,0)),0,VLOOKUP($S$1303,'TAR FIN'!$A$1:$O$120,15,0))</f>
        <v>12.24</v>
      </c>
      <c r="W1303" s="6">
        <f>IF(ISERROR(VLOOKUP($T$1303,'TAR FIN'!$A$1:$O$120,15,0)),0,VLOOKUP($T$1303,'TAR FIN'!$A$1:$O$120,15,0))</f>
        <v>109.75</v>
      </c>
      <c r="X1303" s="6">
        <f>IF(ISERROR(VLOOKUP($U$1303,'TAR FIN'!$A$1:$O$120,15,0)),0,VLOOKUP($U$1303,'TAR FIN'!$A$1:$O$120,15,0))</f>
        <v>256.38</v>
      </c>
      <c r="Y1303" s="6">
        <f ca="1">('TUSD BE'!$AM$40+'TUSD BF'!$AM$40+'TUSD CVA'!$AM$40)*1</f>
        <v>16.00053546174815</v>
      </c>
      <c r="Z1303" s="6">
        <f ca="1">('TUSD BE'!$AM$41+'TUSD BF'!$AM$41+'TUSD CVA'!$AM$41)*1</f>
        <v>112.97896283052546</v>
      </c>
      <c r="AA1303" s="6">
        <f>('TE BE'!$AA$14+'TE BF'!$AA$14+'TE CVA'!$AA$14)*1</f>
        <v>230.83420940933817</v>
      </c>
      <c r="AB1303" s="6">
        <f>$K$1303*$V$1303</f>
        <v>241287.12</v>
      </c>
      <c r="AC1303" s="6">
        <f>$M$1303*$W$1303</f>
        <v>810163.08600000001</v>
      </c>
      <c r="AD1303" s="6">
        <f>$O$1303*$X$1303</f>
        <v>1892570.49648</v>
      </c>
      <c r="AE1303" s="6">
        <f ca="1">$K$1303*$Y$1303</f>
        <v>315418.55555744126</v>
      </c>
      <c r="AF1303" s="6">
        <f ca="1">$M$1303*$Z$1303</f>
        <v>833998.95380280458</v>
      </c>
      <c r="AG1303" s="6">
        <f>$O$1303*$AA$1303</f>
        <v>1703994.1271019557</v>
      </c>
    </row>
    <row r="1304" spans="1:33" ht="11.25" customHeight="1" x14ac:dyDescent="0.25">
      <c r="A1304" s="4" t="s">
        <v>27</v>
      </c>
      <c r="B1304" s="4" t="s">
        <v>44</v>
      </c>
      <c r="C1304" s="4" t="s">
        <v>41</v>
      </c>
      <c r="D1304" s="4" t="s">
        <v>42</v>
      </c>
      <c r="E1304" s="4" t="s">
        <v>25</v>
      </c>
      <c r="F1304" s="4" t="s">
        <v>25</v>
      </c>
      <c r="G1304" s="4" t="s">
        <v>25</v>
      </c>
      <c r="H1304" s="4" t="s">
        <v>36</v>
      </c>
      <c r="I1304" s="5">
        <v>43862</v>
      </c>
      <c r="J1304" s="6">
        <v>457</v>
      </c>
      <c r="K1304" s="6">
        <v>457</v>
      </c>
      <c r="L1304" s="6">
        <v>66.7</v>
      </c>
      <c r="M1304" s="6">
        <v>66.7</v>
      </c>
      <c r="N1304" s="6">
        <v>66.7</v>
      </c>
      <c r="O1304" s="6">
        <v>66.7</v>
      </c>
      <c r="P1304" s="6">
        <v>0</v>
      </c>
      <c r="Q1304" s="4" t="s">
        <v>26</v>
      </c>
      <c r="R1304" s="4">
        <v>0</v>
      </c>
      <c r="S1304" s="6">
        <v>32</v>
      </c>
      <c r="T1304" s="6">
        <v>33</v>
      </c>
      <c r="U1304" s="6">
        <v>84</v>
      </c>
      <c r="V1304" s="6">
        <f>IF(ISERROR(VLOOKUP($S$1304,'TAR FIN'!$A$1:$O$120,15,0)),0,VLOOKUP($S$1304,'TAR FIN'!$A$1:$O$120,15,0))</f>
        <v>12.24</v>
      </c>
      <c r="W1304" s="6">
        <f>IF(ISERROR(VLOOKUP($T$1304,'TAR FIN'!$A$1:$O$120,15,0)),0,VLOOKUP($T$1304,'TAR FIN'!$A$1:$O$120,15,0))</f>
        <v>109.75</v>
      </c>
      <c r="X1304" s="6">
        <f>IF(ISERROR(VLOOKUP($U$1304,'TAR FIN'!$A$1:$O$120,15,0)),0,VLOOKUP($U$1304,'TAR FIN'!$A$1:$O$120,15,0))</f>
        <v>256.38</v>
      </c>
      <c r="Y1304" s="6">
        <f ca="1">('TUSD BE'!$AM$40+'TUSD BF'!$AM$40+'TUSD CVA'!$AM$40)*1</f>
        <v>16.00053546174815</v>
      </c>
      <c r="Z1304" s="6">
        <f ca="1">('TUSD BE'!$AM$41+'TUSD BF'!$AM$41+'TUSD CVA'!$AM$41)*1</f>
        <v>112.97896283052546</v>
      </c>
      <c r="AA1304" s="6">
        <f>('TE BE'!$AA$14+'TE BF'!$AA$14+'TE CVA'!$AA$14)*1</f>
        <v>230.83420940933817</v>
      </c>
      <c r="AB1304" s="6">
        <f>$K$1304*$V$1304</f>
        <v>5593.68</v>
      </c>
      <c r="AC1304" s="6">
        <f>$M$1304*$W$1304</f>
        <v>7320.3250000000007</v>
      </c>
      <c r="AD1304" s="6">
        <f>$O$1304*$X$1304</f>
        <v>17100.546000000002</v>
      </c>
      <c r="AE1304" s="6">
        <f ca="1">$K$1304*$Y$1304</f>
        <v>7312.2447060189043</v>
      </c>
      <c r="AF1304" s="6">
        <f ca="1">$M$1304*$Z$1304</f>
        <v>7535.696820796049</v>
      </c>
      <c r="AG1304" s="6">
        <f>$O$1304*$AA$1304</f>
        <v>15396.641767602856</v>
      </c>
    </row>
    <row r="1305" spans="1:33" ht="11.25" customHeight="1" x14ac:dyDescent="0.25">
      <c r="A1305" s="4" t="s">
        <v>28</v>
      </c>
      <c r="B1305" s="4" t="s">
        <v>44</v>
      </c>
      <c r="C1305" s="4" t="s">
        <v>41</v>
      </c>
      <c r="D1305" s="4" t="s">
        <v>42</v>
      </c>
      <c r="E1305" s="4" t="s">
        <v>25</v>
      </c>
      <c r="F1305" s="4" t="s">
        <v>25</v>
      </c>
      <c r="G1305" s="4" t="s">
        <v>25</v>
      </c>
      <c r="H1305" s="4" t="s">
        <v>36</v>
      </c>
      <c r="I1305" s="5">
        <v>43862</v>
      </c>
      <c r="J1305" s="6">
        <v>3060</v>
      </c>
      <c r="K1305" s="6">
        <v>3060</v>
      </c>
      <c r="L1305" s="6">
        <v>1178.8130000000001</v>
      </c>
      <c r="M1305" s="6">
        <v>1178.8130000000001</v>
      </c>
      <c r="N1305" s="6">
        <v>1178.8130000000001</v>
      </c>
      <c r="O1305" s="6">
        <v>1178.8130000000001</v>
      </c>
      <c r="P1305" s="6">
        <v>0</v>
      </c>
      <c r="Q1305" s="4" t="s">
        <v>26</v>
      </c>
      <c r="R1305" s="4">
        <v>0</v>
      </c>
      <c r="S1305" s="6">
        <v>32</v>
      </c>
      <c r="T1305" s="6">
        <v>33</v>
      </c>
      <c r="U1305" s="6">
        <v>84</v>
      </c>
      <c r="V1305" s="6">
        <f>IF(ISERROR(VLOOKUP($S$1305,'TAR FIN'!$A$1:$O$120,15,0)),0,VLOOKUP($S$1305,'TAR FIN'!$A$1:$O$120,15,0))</f>
        <v>12.24</v>
      </c>
      <c r="W1305" s="6">
        <f>IF(ISERROR(VLOOKUP($T$1305,'TAR FIN'!$A$1:$O$120,15,0)),0,VLOOKUP($T$1305,'TAR FIN'!$A$1:$O$120,15,0))</f>
        <v>109.75</v>
      </c>
      <c r="X1305" s="6">
        <f>IF(ISERROR(VLOOKUP($U$1305,'TAR FIN'!$A$1:$O$120,15,0)),0,VLOOKUP($U$1305,'TAR FIN'!$A$1:$O$120,15,0))</f>
        <v>256.38</v>
      </c>
      <c r="Y1305" s="6">
        <f ca="1">('TUSD BE'!$AM$40+'TUSD BF'!$AM$40+'TUSD CVA'!$AM$40)*1</f>
        <v>16.00053546174815</v>
      </c>
      <c r="Z1305" s="6">
        <f ca="1">('TUSD BE'!$AM$41+'TUSD BF'!$AM$41+'TUSD CVA'!$AM$41)*1</f>
        <v>112.97896283052546</v>
      </c>
      <c r="AA1305" s="6">
        <f>('TE BE'!$AA$14+'TE BF'!$AA$14+'TE CVA'!$AA$14)*1</f>
        <v>230.83420940933817</v>
      </c>
      <c r="AB1305" s="6">
        <f>$K$1305*$V$1305</f>
        <v>37454.400000000001</v>
      </c>
      <c r="AC1305" s="6">
        <f>$M$1305*$W$1305</f>
        <v>129374.72675000002</v>
      </c>
      <c r="AD1305" s="6">
        <f>$O$1305*$X$1305</f>
        <v>302224.07694</v>
      </c>
      <c r="AE1305" s="6">
        <f ca="1">$K$1305*$Y$1305</f>
        <v>48961.638512949343</v>
      </c>
      <c r="AF1305" s="6">
        <f ca="1">$M$1305*$Z$1305</f>
        <v>133181.07011114023</v>
      </c>
      <c r="AG1305" s="6">
        <f>$O$1305*$AA$1305</f>
        <v>272110.36689645017</v>
      </c>
    </row>
    <row r="1306" spans="1:33" ht="11.25" customHeight="1" x14ac:dyDescent="0.25">
      <c r="A1306" s="4" t="s">
        <v>21</v>
      </c>
      <c r="B1306" s="4" t="s">
        <v>44</v>
      </c>
      <c r="C1306" s="4" t="s">
        <v>41</v>
      </c>
      <c r="D1306" s="4" t="s">
        <v>42</v>
      </c>
      <c r="E1306" s="4" t="s">
        <v>25</v>
      </c>
      <c r="F1306" s="4" t="s">
        <v>25</v>
      </c>
      <c r="G1306" s="4" t="s">
        <v>25</v>
      </c>
      <c r="H1306" s="4" t="s">
        <v>36</v>
      </c>
      <c r="I1306" s="5">
        <v>43891</v>
      </c>
      <c r="J1306" s="6">
        <v>18938</v>
      </c>
      <c r="K1306" s="6">
        <v>18938</v>
      </c>
      <c r="L1306" s="6">
        <v>7034.71</v>
      </c>
      <c r="M1306" s="6">
        <v>7034.71</v>
      </c>
      <c r="N1306" s="6">
        <v>7034.71</v>
      </c>
      <c r="O1306" s="6">
        <v>7034.71</v>
      </c>
      <c r="P1306" s="6">
        <v>0</v>
      </c>
      <c r="Q1306" s="4" t="s">
        <v>26</v>
      </c>
      <c r="R1306" s="4">
        <v>0</v>
      </c>
      <c r="S1306" s="6">
        <v>32</v>
      </c>
      <c r="T1306" s="6">
        <v>33</v>
      </c>
      <c r="U1306" s="6">
        <v>84</v>
      </c>
      <c r="V1306" s="6">
        <f>IF(ISERROR(VLOOKUP($S$1306,'TAR FIN'!$A$1:$O$120,15,0)),0,VLOOKUP($S$1306,'TAR FIN'!$A$1:$O$120,15,0))</f>
        <v>12.24</v>
      </c>
      <c r="W1306" s="6">
        <f>IF(ISERROR(VLOOKUP($T$1306,'TAR FIN'!$A$1:$O$120,15,0)),0,VLOOKUP($T$1306,'TAR FIN'!$A$1:$O$120,15,0))</f>
        <v>109.75</v>
      </c>
      <c r="X1306" s="6">
        <f>IF(ISERROR(VLOOKUP($U$1306,'TAR FIN'!$A$1:$O$120,15,0)),0,VLOOKUP($U$1306,'TAR FIN'!$A$1:$O$120,15,0))</f>
        <v>256.38</v>
      </c>
      <c r="Y1306" s="6">
        <f ca="1">('TUSD BE'!$AM$40+'TUSD BF'!$AM$40+'TUSD CVA'!$AM$40)*1</f>
        <v>16.00053546174815</v>
      </c>
      <c r="Z1306" s="6">
        <f ca="1">('TUSD BE'!$AM$41+'TUSD BF'!$AM$41+'TUSD CVA'!$AM$41)*1</f>
        <v>112.97896283052546</v>
      </c>
      <c r="AA1306" s="6">
        <f>('TE BE'!$AA$14+'TE BF'!$AA$14+'TE CVA'!$AA$14)*1</f>
        <v>230.83420940933817</v>
      </c>
      <c r="AB1306" s="6">
        <f>$K$1306*$V$1306</f>
        <v>231801.12</v>
      </c>
      <c r="AC1306" s="6">
        <f>$M$1306*$W$1306</f>
        <v>772059.42249999999</v>
      </c>
      <c r="AD1306" s="6">
        <f>$O$1306*$X$1306</f>
        <v>1803558.9498000001</v>
      </c>
      <c r="AE1306" s="6">
        <f ca="1">$K$1306*$Y$1306</f>
        <v>303018.14057458646</v>
      </c>
      <c r="AF1306" s="6">
        <f ca="1">$M$1306*$Z$1306</f>
        <v>794774.2396135258</v>
      </c>
      <c r="AG1306" s="6">
        <f>$O$1306*$AA$1306</f>
        <v>1623851.7212739654</v>
      </c>
    </row>
    <row r="1307" spans="1:33" ht="11.25" customHeight="1" x14ac:dyDescent="0.25">
      <c r="A1307" s="4" t="s">
        <v>27</v>
      </c>
      <c r="B1307" s="4" t="s">
        <v>44</v>
      </c>
      <c r="C1307" s="4" t="s">
        <v>41</v>
      </c>
      <c r="D1307" s="4" t="s">
        <v>42</v>
      </c>
      <c r="E1307" s="4" t="s">
        <v>25</v>
      </c>
      <c r="F1307" s="4" t="s">
        <v>25</v>
      </c>
      <c r="G1307" s="4" t="s">
        <v>25</v>
      </c>
      <c r="H1307" s="4" t="s">
        <v>36</v>
      </c>
      <c r="I1307" s="5">
        <v>43891</v>
      </c>
      <c r="J1307" s="6">
        <v>170</v>
      </c>
      <c r="K1307" s="6">
        <v>170</v>
      </c>
      <c r="L1307" s="6">
        <v>62.851999999999997</v>
      </c>
      <c r="M1307" s="6">
        <v>62.851999999999997</v>
      </c>
      <c r="N1307" s="6">
        <v>62.851999999999997</v>
      </c>
      <c r="O1307" s="6">
        <v>62.851999999999997</v>
      </c>
      <c r="P1307" s="6">
        <v>0</v>
      </c>
      <c r="Q1307" s="4" t="s">
        <v>26</v>
      </c>
      <c r="R1307" s="4">
        <v>0</v>
      </c>
      <c r="S1307" s="6">
        <v>32</v>
      </c>
      <c r="T1307" s="6">
        <v>33</v>
      </c>
      <c r="U1307" s="6">
        <v>84</v>
      </c>
      <c r="V1307" s="6">
        <f>IF(ISERROR(VLOOKUP($S$1307,'TAR FIN'!$A$1:$O$120,15,0)),0,VLOOKUP($S$1307,'TAR FIN'!$A$1:$O$120,15,0))</f>
        <v>12.24</v>
      </c>
      <c r="W1307" s="6">
        <f>IF(ISERROR(VLOOKUP($T$1307,'TAR FIN'!$A$1:$O$120,15,0)),0,VLOOKUP($T$1307,'TAR FIN'!$A$1:$O$120,15,0))</f>
        <v>109.75</v>
      </c>
      <c r="X1307" s="6">
        <f>IF(ISERROR(VLOOKUP($U$1307,'TAR FIN'!$A$1:$O$120,15,0)),0,VLOOKUP($U$1307,'TAR FIN'!$A$1:$O$120,15,0))</f>
        <v>256.38</v>
      </c>
      <c r="Y1307" s="6">
        <f ca="1">('TUSD BE'!$AM$40+'TUSD BF'!$AM$40+'TUSD CVA'!$AM$40)*1</f>
        <v>16.00053546174815</v>
      </c>
      <c r="Z1307" s="6">
        <f ca="1">('TUSD BE'!$AM$41+'TUSD BF'!$AM$41+'TUSD CVA'!$AM$41)*1</f>
        <v>112.97896283052546</v>
      </c>
      <c r="AA1307" s="6">
        <f>('TE BE'!$AA$14+'TE BF'!$AA$14+'TE CVA'!$AA$14)*1</f>
        <v>230.83420940933817</v>
      </c>
      <c r="AB1307" s="6">
        <f>$K$1307*$V$1307</f>
        <v>2080.8000000000002</v>
      </c>
      <c r="AC1307" s="6">
        <f>$M$1307*$W$1307</f>
        <v>6898.0069999999996</v>
      </c>
      <c r="AD1307" s="6">
        <f>$O$1307*$X$1307</f>
        <v>16113.99576</v>
      </c>
      <c r="AE1307" s="6">
        <f ca="1">$K$1307*$Y$1307</f>
        <v>2720.0910284971856</v>
      </c>
      <c r="AF1307" s="6">
        <f ca="1">$M$1307*$Z$1307</f>
        <v>7100.9537718241863</v>
      </c>
      <c r="AG1307" s="6">
        <f>$O$1307*$AA$1307</f>
        <v>14508.391729795721</v>
      </c>
    </row>
    <row r="1308" spans="1:33" ht="11.25" customHeight="1" x14ac:dyDescent="0.25">
      <c r="A1308" s="4" t="s">
        <v>28</v>
      </c>
      <c r="B1308" s="4" t="s">
        <v>44</v>
      </c>
      <c r="C1308" s="4" t="s">
        <v>41</v>
      </c>
      <c r="D1308" s="4" t="s">
        <v>42</v>
      </c>
      <c r="E1308" s="4" t="s">
        <v>25</v>
      </c>
      <c r="F1308" s="4" t="s">
        <v>25</v>
      </c>
      <c r="G1308" s="4" t="s">
        <v>25</v>
      </c>
      <c r="H1308" s="4" t="s">
        <v>36</v>
      </c>
      <c r="I1308" s="5">
        <v>43891</v>
      </c>
      <c r="J1308" s="6">
        <v>760</v>
      </c>
      <c r="K1308" s="6">
        <v>760</v>
      </c>
      <c r="L1308" s="6">
        <v>247.49100000000001</v>
      </c>
      <c r="M1308" s="6">
        <v>247.49100000000001</v>
      </c>
      <c r="N1308" s="6">
        <v>247.49100000000001</v>
      </c>
      <c r="O1308" s="6">
        <v>247.49100000000001</v>
      </c>
      <c r="P1308" s="6">
        <v>0</v>
      </c>
      <c r="Q1308" s="4" t="s">
        <v>26</v>
      </c>
      <c r="R1308" s="4">
        <v>0</v>
      </c>
      <c r="S1308" s="6">
        <v>32</v>
      </c>
      <c r="T1308" s="6">
        <v>33</v>
      </c>
      <c r="U1308" s="6">
        <v>84</v>
      </c>
      <c r="V1308" s="6">
        <f>IF(ISERROR(VLOOKUP($S$1308,'TAR FIN'!$A$1:$O$120,15,0)),0,VLOOKUP($S$1308,'TAR FIN'!$A$1:$O$120,15,0))</f>
        <v>12.24</v>
      </c>
      <c r="W1308" s="6">
        <f>IF(ISERROR(VLOOKUP($T$1308,'TAR FIN'!$A$1:$O$120,15,0)),0,VLOOKUP($T$1308,'TAR FIN'!$A$1:$O$120,15,0))</f>
        <v>109.75</v>
      </c>
      <c r="X1308" s="6">
        <f>IF(ISERROR(VLOOKUP($U$1308,'TAR FIN'!$A$1:$O$120,15,0)),0,VLOOKUP($U$1308,'TAR FIN'!$A$1:$O$120,15,0))</f>
        <v>256.38</v>
      </c>
      <c r="Y1308" s="6">
        <f ca="1">('TUSD BE'!$AM$40+'TUSD BF'!$AM$40+'TUSD CVA'!$AM$40)*1</f>
        <v>16.00053546174815</v>
      </c>
      <c r="Z1308" s="6">
        <f ca="1">('TUSD BE'!$AM$41+'TUSD BF'!$AM$41+'TUSD CVA'!$AM$41)*1</f>
        <v>112.97896283052546</v>
      </c>
      <c r="AA1308" s="6">
        <f>('TE BE'!$AA$14+'TE BF'!$AA$14+'TE CVA'!$AA$14)*1</f>
        <v>230.83420940933817</v>
      </c>
      <c r="AB1308" s="6">
        <f>$K$1308*$V$1308</f>
        <v>9302.4</v>
      </c>
      <c r="AC1308" s="6">
        <f>$M$1308*$W$1308</f>
        <v>27162.13725</v>
      </c>
      <c r="AD1308" s="6">
        <f>$O$1308*$X$1308</f>
        <v>63451.742580000006</v>
      </c>
      <c r="AE1308" s="6">
        <f ca="1">$K$1308*$Y$1308</f>
        <v>12160.406950928595</v>
      </c>
      <c r="AF1308" s="6">
        <f ca="1">$M$1308*$Z$1308</f>
        <v>27961.276489889577</v>
      </c>
      <c r="AG1308" s="6">
        <f>$O$1308*$AA$1308</f>
        <v>57129.389320926515</v>
      </c>
    </row>
    <row r="1309" spans="1:33" ht="11.25" customHeight="1" x14ac:dyDescent="0.25">
      <c r="A1309" s="4" t="s">
        <v>21</v>
      </c>
      <c r="B1309" s="4" t="s">
        <v>44</v>
      </c>
      <c r="C1309" s="4" t="s">
        <v>41</v>
      </c>
      <c r="D1309" s="4" t="s">
        <v>42</v>
      </c>
      <c r="E1309" s="4" t="s">
        <v>25</v>
      </c>
      <c r="F1309" s="4" t="s">
        <v>25</v>
      </c>
      <c r="G1309" s="4" t="s">
        <v>25</v>
      </c>
      <c r="H1309" s="4" t="s">
        <v>36</v>
      </c>
      <c r="I1309" s="5">
        <v>43922</v>
      </c>
      <c r="J1309" s="6">
        <v>18567</v>
      </c>
      <c r="K1309" s="6">
        <v>18567</v>
      </c>
      <c r="L1309" s="6">
        <v>7184.7049999999999</v>
      </c>
      <c r="M1309" s="6">
        <v>7184.7049999999999</v>
      </c>
      <c r="N1309" s="6">
        <v>7184.7049999999999</v>
      </c>
      <c r="O1309" s="6">
        <v>7184.7049999999999</v>
      </c>
      <c r="P1309" s="6">
        <v>0</v>
      </c>
      <c r="Q1309" s="4" t="s">
        <v>26</v>
      </c>
      <c r="R1309" s="4">
        <v>0</v>
      </c>
      <c r="S1309" s="6">
        <v>32</v>
      </c>
      <c r="T1309" s="6">
        <v>33</v>
      </c>
      <c r="U1309" s="6">
        <v>84</v>
      </c>
      <c r="V1309" s="6">
        <f>IF(ISERROR(VLOOKUP($S$1309,'TAR FIN'!$A$1:$O$120,15,0)),0,VLOOKUP($S$1309,'TAR FIN'!$A$1:$O$120,15,0))</f>
        <v>12.24</v>
      </c>
      <c r="W1309" s="6">
        <f>IF(ISERROR(VLOOKUP($T$1309,'TAR FIN'!$A$1:$O$120,15,0)),0,VLOOKUP($T$1309,'TAR FIN'!$A$1:$O$120,15,0))</f>
        <v>109.75</v>
      </c>
      <c r="X1309" s="6">
        <f>IF(ISERROR(VLOOKUP($U$1309,'TAR FIN'!$A$1:$O$120,15,0)),0,VLOOKUP($U$1309,'TAR FIN'!$A$1:$O$120,15,0))</f>
        <v>256.38</v>
      </c>
      <c r="Y1309" s="6">
        <f ca="1">('TUSD BE'!$AM$40+'TUSD BF'!$AM$40+'TUSD CVA'!$AM$40)*1</f>
        <v>16.00053546174815</v>
      </c>
      <c r="Z1309" s="6">
        <f ca="1">('TUSD BE'!$AM$41+'TUSD BF'!$AM$41+'TUSD CVA'!$AM$41)*1</f>
        <v>112.97896283052546</v>
      </c>
      <c r="AA1309" s="6">
        <f>('TE BE'!$AA$14+'TE BF'!$AA$14+'TE CVA'!$AA$14)*1</f>
        <v>230.83420940933817</v>
      </c>
      <c r="AB1309" s="6">
        <f>$K$1309*$V$1309</f>
        <v>227260.08000000002</v>
      </c>
      <c r="AC1309" s="6">
        <f>$M$1309*$W$1309</f>
        <v>788521.37375000003</v>
      </c>
      <c r="AD1309" s="6">
        <f>$O$1309*$X$1309</f>
        <v>1842014.6679</v>
      </c>
      <c r="AE1309" s="6">
        <f ca="1">$K$1309*$Y$1309</f>
        <v>297081.94191827788</v>
      </c>
      <c r="AF1309" s="6">
        <f ca="1">$M$1309*$Z$1309</f>
        <v>811720.51914329047</v>
      </c>
      <c r="AG1309" s="6">
        <f>$O$1309*$AA$1309</f>
        <v>1658475.698514319</v>
      </c>
    </row>
    <row r="1310" spans="1:33" ht="11.25" customHeight="1" x14ac:dyDescent="0.25">
      <c r="A1310" s="4" t="s">
        <v>27</v>
      </c>
      <c r="B1310" s="4" t="s">
        <v>44</v>
      </c>
      <c r="C1310" s="4" t="s">
        <v>41</v>
      </c>
      <c r="D1310" s="4" t="s">
        <v>42</v>
      </c>
      <c r="E1310" s="4" t="s">
        <v>25</v>
      </c>
      <c r="F1310" s="4" t="s">
        <v>25</v>
      </c>
      <c r="G1310" s="4" t="s">
        <v>25</v>
      </c>
      <c r="H1310" s="4" t="s">
        <v>36</v>
      </c>
      <c r="I1310" s="5">
        <v>43922</v>
      </c>
      <c r="J1310" s="6">
        <v>380</v>
      </c>
      <c r="K1310" s="6">
        <v>380</v>
      </c>
      <c r="L1310" s="6">
        <v>18.698</v>
      </c>
      <c r="M1310" s="6">
        <v>18.698</v>
      </c>
      <c r="N1310" s="6">
        <v>18.698</v>
      </c>
      <c r="O1310" s="6">
        <v>18.698</v>
      </c>
      <c r="P1310" s="6">
        <v>0</v>
      </c>
      <c r="Q1310" s="4" t="s">
        <v>26</v>
      </c>
      <c r="R1310" s="4">
        <v>0</v>
      </c>
      <c r="S1310" s="6">
        <v>32</v>
      </c>
      <c r="T1310" s="6">
        <v>33</v>
      </c>
      <c r="U1310" s="6">
        <v>84</v>
      </c>
      <c r="V1310" s="6">
        <f>IF(ISERROR(VLOOKUP($S$1310,'TAR FIN'!$A$1:$O$120,15,0)),0,VLOOKUP($S$1310,'TAR FIN'!$A$1:$O$120,15,0))</f>
        <v>12.24</v>
      </c>
      <c r="W1310" s="6">
        <f>IF(ISERROR(VLOOKUP($T$1310,'TAR FIN'!$A$1:$O$120,15,0)),0,VLOOKUP($T$1310,'TAR FIN'!$A$1:$O$120,15,0))</f>
        <v>109.75</v>
      </c>
      <c r="X1310" s="6">
        <f>IF(ISERROR(VLOOKUP($U$1310,'TAR FIN'!$A$1:$O$120,15,0)),0,VLOOKUP($U$1310,'TAR FIN'!$A$1:$O$120,15,0))</f>
        <v>256.38</v>
      </c>
      <c r="Y1310" s="6">
        <f ca="1">('TUSD BE'!$AM$40+'TUSD BF'!$AM$40+'TUSD CVA'!$AM$40)*1</f>
        <v>16.00053546174815</v>
      </c>
      <c r="Z1310" s="6">
        <f ca="1">('TUSD BE'!$AM$41+'TUSD BF'!$AM$41+'TUSD CVA'!$AM$41)*1</f>
        <v>112.97896283052546</v>
      </c>
      <c r="AA1310" s="6">
        <f>('TE BE'!$AA$14+'TE BF'!$AA$14+'TE CVA'!$AA$14)*1</f>
        <v>230.83420940933817</v>
      </c>
      <c r="AB1310" s="6">
        <f>$K$1310*$V$1310</f>
        <v>4651.2</v>
      </c>
      <c r="AC1310" s="6">
        <f>$M$1310*$W$1310</f>
        <v>2052.1055000000001</v>
      </c>
      <c r="AD1310" s="6">
        <f>$O$1310*$X$1310</f>
        <v>4793.79324</v>
      </c>
      <c r="AE1310" s="6">
        <f ca="1">$K$1310*$Y$1310</f>
        <v>6080.2034754642973</v>
      </c>
      <c r="AF1310" s="6">
        <f ca="1">$M$1310*$Z$1310</f>
        <v>2112.4806470051653</v>
      </c>
      <c r="AG1310" s="6">
        <f>$O$1310*$AA$1310</f>
        <v>4316.1380475358055</v>
      </c>
    </row>
    <row r="1311" spans="1:33" ht="11.25" customHeight="1" x14ac:dyDescent="0.25">
      <c r="A1311" s="4" t="s">
        <v>28</v>
      </c>
      <c r="B1311" s="4" t="s">
        <v>44</v>
      </c>
      <c r="C1311" s="4" t="s">
        <v>41</v>
      </c>
      <c r="D1311" s="4" t="s">
        <v>42</v>
      </c>
      <c r="E1311" s="4" t="s">
        <v>25</v>
      </c>
      <c r="F1311" s="4" t="s">
        <v>25</v>
      </c>
      <c r="G1311" s="4" t="s">
        <v>25</v>
      </c>
      <c r="H1311" s="4" t="s">
        <v>36</v>
      </c>
      <c r="I1311" s="5">
        <v>43922</v>
      </c>
      <c r="J1311" s="6">
        <v>760</v>
      </c>
      <c r="K1311" s="6">
        <v>760</v>
      </c>
      <c r="L1311" s="6">
        <v>253.28399999999999</v>
      </c>
      <c r="M1311" s="6">
        <v>253.28399999999999</v>
      </c>
      <c r="N1311" s="6">
        <v>253.28399999999999</v>
      </c>
      <c r="O1311" s="6">
        <v>253.28399999999999</v>
      </c>
      <c r="P1311" s="6">
        <v>0</v>
      </c>
      <c r="Q1311" s="4" t="s">
        <v>26</v>
      </c>
      <c r="R1311" s="4">
        <v>0</v>
      </c>
      <c r="S1311" s="6">
        <v>32</v>
      </c>
      <c r="T1311" s="6">
        <v>33</v>
      </c>
      <c r="U1311" s="6">
        <v>84</v>
      </c>
      <c r="V1311" s="6">
        <f>IF(ISERROR(VLOOKUP($S$1311,'TAR FIN'!$A$1:$O$120,15,0)),0,VLOOKUP($S$1311,'TAR FIN'!$A$1:$O$120,15,0))</f>
        <v>12.24</v>
      </c>
      <c r="W1311" s="6">
        <f>IF(ISERROR(VLOOKUP($T$1311,'TAR FIN'!$A$1:$O$120,15,0)),0,VLOOKUP($T$1311,'TAR FIN'!$A$1:$O$120,15,0))</f>
        <v>109.75</v>
      </c>
      <c r="X1311" s="6">
        <f>IF(ISERROR(VLOOKUP($U$1311,'TAR FIN'!$A$1:$O$120,15,0)),0,VLOOKUP($U$1311,'TAR FIN'!$A$1:$O$120,15,0))</f>
        <v>256.38</v>
      </c>
      <c r="Y1311" s="6">
        <f ca="1">('TUSD BE'!$AM$40+'TUSD BF'!$AM$40+'TUSD CVA'!$AM$40)*1</f>
        <v>16.00053546174815</v>
      </c>
      <c r="Z1311" s="6">
        <f ca="1">('TUSD BE'!$AM$41+'TUSD BF'!$AM$41+'TUSD CVA'!$AM$41)*1</f>
        <v>112.97896283052546</v>
      </c>
      <c r="AA1311" s="6">
        <f>('TE BE'!$AA$14+'TE BF'!$AA$14+'TE CVA'!$AA$14)*1</f>
        <v>230.83420940933817</v>
      </c>
      <c r="AB1311" s="6">
        <f>$K$1311*$V$1311</f>
        <v>9302.4</v>
      </c>
      <c r="AC1311" s="6">
        <f>$M$1311*$W$1311</f>
        <v>27797.918999999998</v>
      </c>
      <c r="AD1311" s="6">
        <f>$O$1311*$X$1311</f>
        <v>64936.95192</v>
      </c>
      <c r="AE1311" s="6">
        <f ca="1">$K$1311*$Y$1311</f>
        <v>12160.406950928595</v>
      </c>
      <c r="AF1311" s="6">
        <f ca="1">$M$1311*$Z$1311</f>
        <v>28615.76362156681</v>
      </c>
      <c r="AG1311" s="6">
        <f>$O$1311*$AA$1311</f>
        <v>58466.61189603481</v>
      </c>
    </row>
    <row r="1312" spans="1:33" ht="11.25" customHeight="1" x14ac:dyDescent="0.25">
      <c r="A1312" s="4" t="s">
        <v>21</v>
      </c>
      <c r="B1312" s="4" t="s">
        <v>44</v>
      </c>
      <c r="C1312" s="4" t="s">
        <v>41</v>
      </c>
      <c r="D1312" s="4" t="s">
        <v>42</v>
      </c>
      <c r="E1312" s="4" t="s">
        <v>25</v>
      </c>
      <c r="F1312" s="4" t="s">
        <v>25</v>
      </c>
      <c r="G1312" s="4" t="s">
        <v>25</v>
      </c>
      <c r="H1312" s="4" t="s">
        <v>36</v>
      </c>
      <c r="I1312" s="5">
        <v>43952</v>
      </c>
      <c r="J1312" s="6">
        <v>18168</v>
      </c>
      <c r="K1312" s="6">
        <v>18168</v>
      </c>
      <c r="L1312" s="6">
        <v>6487.9960000000001</v>
      </c>
      <c r="M1312" s="6">
        <v>6487.9960000000001</v>
      </c>
      <c r="N1312" s="6">
        <v>6487.9960000000001</v>
      </c>
      <c r="O1312" s="6">
        <v>6487.9960000000001</v>
      </c>
      <c r="P1312" s="6">
        <v>0</v>
      </c>
      <c r="Q1312" s="4" t="s">
        <v>26</v>
      </c>
      <c r="R1312" s="4">
        <v>0</v>
      </c>
      <c r="S1312" s="6">
        <v>32</v>
      </c>
      <c r="T1312" s="6">
        <v>33</v>
      </c>
      <c r="U1312" s="6">
        <v>84</v>
      </c>
      <c r="V1312" s="6">
        <f>IF(ISERROR(VLOOKUP($S$1312,'TAR FIN'!$A$1:$O$120,15,0)),0,VLOOKUP($S$1312,'TAR FIN'!$A$1:$O$120,15,0))</f>
        <v>12.24</v>
      </c>
      <c r="W1312" s="6">
        <f>IF(ISERROR(VLOOKUP($T$1312,'TAR FIN'!$A$1:$O$120,15,0)),0,VLOOKUP($T$1312,'TAR FIN'!$A$1:$O$120,15,0))</f>
        <v>109.75</v>
      </c>
      <c r="X1312" s="6">
        <f>IF(ISERROR(VLOOKUP($U$1312,'TAR FIN'!$A$1:$O$120,15,0)),0,VLOOKUP($U$1312,'TAR FIN'!$A$1:$O$120,15,0))</f>
        <v>256.38</v>
      </c>
      <c r="Y1312" s="6">
        <f ca="1">('TUSD BE'!$AM$40+'TUSD BF'!$AM$40+'TUSD CVA'!$AM$40)*1</f>
        <v>16.00053546174815</v>
      </c>
      <c r="Z1312" s="6">
        <f ca="1">('TUSD BE'!$AM$41+'TUSD BF'!$AM$41+'TUSD CVA'!$AM$41)*1</f>
        <v>112.97896283052546</v>
      </c>
      <c r="AA1312" s="6">
        <f>('TE BE'!$AA$14+'TE BF'!$AA$14+'TE CVA'!$AA$14)*1</f>
        <v>230.83420940933817</v>
      </c>
      <c r="AB1312" s="6">
        <f>$K$1312*$V$1312</f>
        <v>222376.32000000001</v>
      </c>
      <c r="AC1312" s="6">
        <f>$M$1312*$W$1312</f>
        <v>712057.56099999999</v>
      </c>
      <c r="AD1312" s="6">
        <f>$O$1312*$X$1312</f>
        <v>1663392.41448</v>
      </c>
      <c r="AE1312" s="6">
        <f ca="1">$K$1312*$Y$1312</f>
        <v>290697.72826904041</v>
      </c>
      <c r="AF1312" s="6">
        <f ca="1">$M$1312*$Z$1312</f>
        <v>733007.05892859783</v>
      </c>
      <c r="AG1312" s="6">
        <f>$O$1312*$AA$1312</f>
        <v>1497651.4273109485</v>
      </c>
    </row>
    <row r="1313" spans="1:33" ht="11.25" customHeight="1" x14ac:dyDescent="0.25">
      <c r="A1313" s="4" t="s">
        <v>27</v>
      </c>
      <c r="B1313" s="4" t="s">
        <v>44</v>
      </c>
      <c r="C1313" s="4" t="s">
        <v>41</v>
      </c>
      <c r="D1313" s="4" t="s">
        <v>42</v>
      </c>
      <c r="E1313" s="4" t="s">
        <v>25</v>
      </c>
      <c r="F1313" s="4" t="s">
        <v>25</v>
      </c>
      <c r="G1313" s="4" t="s">
        <v>25</v>
      </c>
      <c r="H1313" s="4" t="s">
        <v>36</v>
      </c>
      <c r="I1313" s="5">
        <v>43952</v>
      </c>
      <c r="J1313" s="6">
        <v>380</v>
      </c>
      <c r="K1313" s="6">
        <v>380</v>
      </c>
      <c r="L1313" s="6">
        <v>16.594000000000001</v>
      </c>
      <c r="M1313" s="6">
        <v>16.594000000000001</v>
      </c>
      <c r="N1313" s="6">
        <v>16.594000000000001</v>
      </c>
      <c r="O1313" s="6">
        <v>16.594000000000001</v>
      </c>
      <c r="P1313" s="6">
        <v>0</v>
      </c>
      <c r="Q1313" s="4" t="s">
        <v>26</v>
      </c>
      <c r="R1313" s="4">
        <v>0</v>
      </c>
      <c r="S1313" s="6">
        <v>32</v>
      </c>
      <c r="T1313" s="6">
        <v>33</v>
      </c>
      <c r="U1313" s="6">
        <v>84</v>
      </c>
      <c r="V1313" s="6">
        <f>IF(ISERROR(VLOOKUP($S$1313,'TAR FIN'!$A$1:$O$120,15,0)),0,VLOOKUP($S$1313,'TAR FIN'!$A$1:$O$120,15,0))</f>
        <v>12.24</v>
      </c>
      <c r="W1313" s="6">
        <f>IF(ISERROR(VLOOKUP($T$1313,'TAR FIN'!$A$1:$O$120,15,0)),0,VLOOKUP($T$1313,'TAR FIN'!$A$1:$O$120,15,0))</f>
        <v>109.75</v>
      </c>
      <c r="X1313" s="6">
        <f>IF(ISERROR(VLOOKUP($U$1313,'TAR FIN'!$A$1:$O$120,15,0)),0,VLOOKUP($U$1313,'TAR FIN'!$A$1:$O$120,15,0))</f>
        <v>256.38</v>
      </c>
      <c r="Y1313" s="6">
        <f ca="1">('TUSD BE'!$AM$40+'TUSD BF'!$AM$40+'TUSD CVA'!$AM$40)*1</f>
        <v>16.00053546174815</v>
      </c>
      <c r="Z1313" s="6">
        <f ca="1">('TUSD BE'!$AM$41+'TUSD BF'!$AM$41+'TUSD CVA'!$AM$41)*1</f>
        <v>112.97896283052546</v>
      </c>
      <c r="AA1313" s="6">
        <f>('TE BE'!$AA$14+'TE BF'!$AA$14+'TE CVA'!$AA$14)*1</f>
        <v>230.83420940933817</v>
      </c>
      <c r="AB1313" s="6">
        <f>$K$1313*$V$1313</f>
        <v>4651.2</v>
      </c>
      <c r="AC1313" s="6">
        <f>$M$1313*$W$1313</f>
        <v>1821.1915000000001</v>
      </c>
      <c r="AD1313" s="6">
        <f>$O$1313*$X$1313</f>
        <v>4254.3697200000006</v>
      </c>
      <c r="AE1313" s="6">
        <f ca="1">$K$1313*$Y$1313</f>
        <v>6080.2034754642973</v>
      </c>
      <c r="AF1313" s="6">
        <f ca="1">$M$1313*$Z$1313</f>
        <v>1874.7729092097397</v>
      </c>
      <c r="AG1313" s="6">
        <f>$O$1313*$AA$1313</f>
        <v>3830.4628709385579</v>
      </c>
    </row>
    <row r="1314" spans="1:33" ht="11.25" customHeight="1" x14ac:dyDescent="0.25">
      <c r="A1314" s="4" t="s">
        <v>28</v>
      </c>
      <c r="B1314" s="4" t="s">
        <v>44</v>
      </c>
      <c r="C1314" s="4" t="s">
        <v>41</v>
      </c>
      <c r="D1314" s="4" t="s">
        <v>42</v>
      </c>
      <c r="E1314" s="4" t="s">
        <v>25</v>
      </c>
      <c r="F1314" s="4" t="s">
        <v>25</v>
      </c>
      <c r="G1314" s="4" t="s">
        <v>25</v>
      </c>
      <c r="H1314" s="4" t="s">
        <v>36</v>
      </c>
      <c r="I1314" s="5">
        <v>43952</v>
      </c>
      <c r="J1314" s="6">
        <v>3060</v>
      </c>
      <c r="K1314" s="6">
        <v>3060</v>
      </c>
      <c r="L1314" s="6">
        <v>989.54200000000003</v>
      </c>
      <c r="M1314" s="6">
        <v>989.54200000000003</v>
      </c>
      <c r="N1314" s="6">
        <v>989.54200000000003</v>
      </c>
      <c r="O1314" s="6">
        <v>989.54200000000003</v>
      </c>
      <c r="P1314" s="6">
        <v>0</v>
      </c>
      <c r="Q1314" s="4" t="s">
        <v>26</v>
      </c>
      <c r="R1314" s="4">
        <v>0</v>
      </c>
      <c r="S1314" s="6">
        <v>32</v>
      </c>
      <c r="T1314" s="6">
        <v>33</v>
      </c>
      <c r="U1314" s="6">
        <v>84</v>
      </c>
      <c r="V1314" s="6">
        <f>IF(ISERROR(VLOOKUP($S$1314,'TAR FIN'!$A$1:$O$120,15,0)),0,VLOOKUP($S$1314,'TAR FIN'!$A$1:$O$120,15,0))</f>
        <v>12.24</v>
      </c>
      <c r="W1314" s="6">
        <f>IF(ISERROR(VLOOKUP($T$1314,'TAR FIN'!$A$1:$O$120,15,0)),0,VLOOKUP($T$1314,'TAR FIN'!$A$1:$O$120,15,0))</f>
        <v>109.75</v>
      </c>
      <c r="X1314" s="6">
        <f>IF(ISERROR(VLOOKUP($U$1314,'TAR FIN'!$A$1:$O$120,15,0)),0,VLOOKUP($U$1314,'TAR FIN'!$A$1:$O$120,15,0))</f>
        <v>256.38</v>
      </c>
      <c r="Y1314" s="6">
        <f ca="1">('TUSD BE'!$AM$40+'TUSD BF'!$AM$40+'TUSD CVA'!$AM$40)*1</f>
        <v>16.00053546174815</v>
      </c>
      <c r="Z1314" s="6">
        <f ca="1">('TUSD BE'!$AM$41+'TUSD BF'!$AM$41+'TUSD CVA'!$AM$41)*1</f>
        <v>112.97896283052546</v>
      </c>
      <c r="AA1314" s="6">
        <f>('TE BE'!$AA$14+'TE BF'!$AA$14+'TE CVA'!$AA$14)*1</f>
        <v>230.83420940933817</v>
      </c>
      <c r="AB1314" s="6">
        <f>$K$1314*$V$1314</f>
        <v>37454.400000000001</v>
      </c>
      <c r="AC1314" s="6">
        <f>$M$1314*$W$1314</f>
        <v>108602.23450000001</v>
      </c>
      <c r="AD1314" s="6">
        <f>$O$1314*$X$1314</f>
        <v>253698.77796000001</v>
      </c>
      <c r="AE1314" s="6">
        <f ca="1">$K$1314*$Y$1314</f>
        <v>48961.638512949343</v>
      </c>
      <c r="AF1314" s="6">
        <f ca="1">$M$1314*$Z$1314</f>
        <v>111797.42883724383</v>
      </c>
      <c r="AG1314" s="6">
        <f>$O$1314*$AA$1314</f>
        <v>228420.14524733531</v>
      </c>
    </row>
    <row r="1315" spans="1:33" ht="11.25" customHeight="1" x14ac:dyDescent="0.25">
      <c r="A1315" s="4" t="s">
        <v>21</v>
      </c>
      <c r="B1315" s="4" t="s">
        <v>44</v>
      </c>
      <c r="C1315" s="4" t="s">
        <v>41</v>
      </c>
      <c r="D1315" s="4" t="s">
        <v>42</v>
      </c>
      <c r="E1315" s="4" t="s">
        <v>25</v>
      </c>
      <c r="F1315" s="4" t="s">
        <v>25</v>
      </c>
      <c r="G1315" s="4" t="s">
        <v>25</v>
      </c>
      <c r="H1315" s="4" t="s">
        <v>36</v>
      </c>
      <c r="I1315" s="5">
        <v>43983</v>
      </c>
      <c r="J1315" s="6">
        <v>19682</v>
      </c>
      <c r="K1315" s="6">
        <v>19682</v>
      </c>
      <c r="L1315" s="6">
        <v>6853.5150000000003</v>
      </c>
      <c r="M1315" s="6">
        <v>6853.5150000000003</v>
      </c>
      <c r="N1315" s="6">
        <v>6853.5150000000003</v>
      </c>
      <c r="O1315" s="6">
        <v>6853.5150000000003</v>
      </c>
      <c r="P1315" s="6">
        <v>0</v>
      </c>
      <c r="Q1315" s="4" t="s">
        <v>26</v>
      </c>
      <c r="R1315" s="4">
        <v>0</v>
      </c>
      <c r="S1315" s="6">
        <v>32</v>
      </c>
      <c r="T1315" s="6">
        <v>33</v>
      </c>
      <c r="U1315" s="6">
        <v>84</v>
      </c>
      <c r="V1315" s="6">
        <f>IF(ISERROR(VLOOKUP($S$1315,'TAR FIN'!$A$1:$O$120,15,0)),0,VLOOKUP($S$1315,'TAR FIN'!$A$1:$O$120,15,0))</f>
        <v>12.24</v>
      </c>
      <c r="W1315" s="6">
        <f>IF(ISERROR(VLOOKUP($T$1315,'TAR FIN'!$A$1:$O$120,15,0)),0,VLOOKUP($T$1315,'TAR FIN'!$A$1:$O$120,15,0))</f>
        <v>109.75</v>
      </c>
      <c r="X1315" s="6">
        <f>IF(ISERROR(VLOOKUP($U$1315,'TAR FIN'!$A$1:$O$120,15,0)),0,VLOOKUP($U$1315,'TAR FIN'!$A$1:$O$120,15,0))</f>
        <v>256.38</v>
      </c>
      <c r="Y1315" s="6">
        <f ca="1">('TUSD BE'!$AM$40+'TUSD BF'!$AM$40+'TUSD CVA'!$AM$40)*1</f>
        <v>16.00053546174815</v>
      </c>
      <c r="Z1315" s="6">
        <f ca="1">('TUSD BE'!$AM$41+'TUSD BF'!$AM$41+'TUSD CVA'!$AM$41)*1</f>
        <v>112.97896283052546</v>
      </c>
      <c r="AA1315" s="6">
        <f>('TE BE'!$AA$14+'TE BF'!$AA$14+'TE CVA'!$AA$14)*1</f>
        <v>230.83420940933817</v>
      </c>
      <c r="AB1315" s="6">
        <f>$K$1315*$V$1315</f>
        <v>240907.68</v>
      </c>
      <c r="AC1315" s="6">
        <f>$M$1315*$W$1315</f>
        <v>752173.27124999999</v>
      </c>
      <c r="AD1315" s="6">
        <f>$O$1315*$X$1315</f>
        <v>1757104.1757</v>
      </c>
      <c r="AE1315" s="6">
        <f ca="1">$K$1315*$Y$1315</f>
        <v>314922.53895812709</v>
      </c>
      <c r="AF1315" s="6">
        <f ca="1">$M$1315*$Z$1315</f>
        <v>774303.01644344872</v>
      </c>
      <c r="AG1315" s="6">
        <f>$O$1315*$AA$1315</f>
        <v>1582025.7167000403</v>
      </c>
    </row>
    <row r="1316" spans="1:33" ht="11.25" customHeight="1" x14ac:dyDescent="0.25">
      <c r="A1316" s="4" t="s">
        <v>27</v>
      </c>
      <c r="B1316" s="4" t="s">
        <v>44</v>
      </c>
      <c r="C1316" s="4" t="s">
        <v>41</v>
      </c>
      <c r="D1316" s="4" t="s">
        <v>42</v>
      </c>
      <c r="E1316" s="4" t="s">
        <v>25</v>
      </c>
      <c r="F1316" s="4" t="s">
        <v>25</v>
      </c>
      <c r="G1316" s="4" t="s">
        <v>25</v>
      </c>
      <c r="H1316" s="4" t="s">
        <v>36</v>
      </c>
      <c r="I1316" s="5">
        <v>43983</v>
      </c>
      <c r="J1316" s="6">
        <v>380</v>
      </c>
      <c r="K1316" s="6">
        <v>380</v>
      </c>
      <c r="L1316" s="6">
        <v>16.619</v>
      </c>
      <c r="M1316" s="6">
        <v>16.619</v>
      </c>
      <c r="N1316" s="6">
        <v>16.619</v>
      </c>
      <c r="O1316" s="6">
        <v>16.619</v>
      </c>
      <c r="P1316" s="6">
        <v>0</v>
      </c>
      <c r="Q1316" s="4" t="s">
        <v>26</v>
      </c>
      <c r="R1316" s="4">
        <v>0</v>
      </c>
      <c r="S1316" s="6">
        <v>32</v>
      </c>
      <c r="T1316" s="6">
        <v>33</v>
      </c>
      <c r="U1316" s="6">
        <v>84</v>
      </c>
      <c r="V1316" s="6">
        <f>IF(ISERROR(VLOOKUP($S$1316,'TAR FIN'!$A$1:$O$120,15,0)),0,VLOOKUP($S$1316,'TAR FIN'!$A$1:$O$120,15,0))</f>
        <v>12.24</v>
      </c>
      <c r="W1316" s="6">
        <f>IF(ISERROR(VLOOKUP($T$1316,'TAR FIN'!$A$1:$O$120,15,0)),0,VLOOKUP($T$1316,'TAR FIN'!$A$1:$O$120,15,0))</f>
        <v>109.75</v>
      </c>
      <c r="X1316" s="6">
        <f>IF(ISERROR(VLOOKUP($U$1316,'TAR FIN'!$A$1:$O$120,15,0)),0,VLOOKUP($U$1316,'TAR FIN'!$A$1:$O$120,15,0))</f>
        <v>256.38</v>
      </c>
      <c r="Y1316" s="6">
        <f ca="1">('TUSD BE'!$AM$40+'TUSD BF'!$AM$40+'TUSD CVA'!$AM$40)*1</f>
        <v>16.00053546174815</v>
      </c>
      <c r="Z1316" s="6">
        <f ca="1">('TUSD BE'!$AM$41+'TUSD BF'!$AM$41+'TUSD CVA'!$AM$41)*1</f>
        <v>112.97896283052546</v>
      </c>
      <c r="AA1316" s="6">
        <f>('TE BE'!$AA$14+'TE BF'!$AA$14+'TE CVA'!$AA$14)*1</f>
        <v>230.83420940933817</v>
      </c>
      <c r="AB1316" s="6">
        <f>$K$1316*$V$1316</f>
        <v>4651.2</v>
      </c>
      <c r="AC1316" s="6">
        <f>$M$1316*$W$1316</f>
        <v>1823.93525</v>
      </c>
      <c r="AD1316" s="6">
        <f>$O$1316*$X$1316</f>
        <v>4260.7792199999994</v>
      </c>
      <c r="AE1316" s="6">
        <f ca="1">$K$1316*$Y$1316</f>
        <v>6080.2034754642973</v>
      </c>
      <c r="AF1316" s="6">
        <f ca="1">$M$1316*$Z$1316</f>
        <v>1877.5973832805025</v>
      </c>
      <c r="AG1316" s="6">
        <f>$O$1316*$AA$1316</f>
        <v>3836.2337261737912</v>
      </c>
    </row>
    <row r="1317" spans="1:33" ht="11.25" customHeight="1" x14ac:dyDescent="0.25">
      <c r="A1317" s="4" t="s">
        <v>28</v>
      </c>
      <c r="B1317" s="4" t="s">
        <v>44</v>
      </c>
      <c r="C1317" s="4" t="s">
        <v>41</v>
      </c>
      <c r="D1317" s="4" t="s">
        <v>42</v>
      </c>
      <c r="E1317" s="4" t="s">
        <v>25</v>
      </c>
      <c r="F1317" s="4" t="s">
        <v>25</v>
      </c>
      <c r="G1317" s="4" t="s">
        <v>25</v>
      </c>
      <c r="H1317" s="4" t="s">
        <v>36</v>
      </c>
      <c r="I1317" s="5">
        <v>43983</v>
      </c>
      <c r="J1317" s="6">
        <v>760</v>
      </c>
      <c r="K1317" s="6">
        <v>760</v>
      </c>
      <c r="L1317" s="6">
        <v>174.596</v>
      </c>
      <c r="M1317" s="6">
        <v>174.596</v>
      </c>
      <c r="N1317" s="6">
        <v>174.596</v>
      </c>
      <c r="O1317" s="6">
        <v>174.596</v>
      </c>
      <c r="P1317" s="6">
        <v>0</v>
      </c>
      <c r="Q1317" s="4" t="s">
        <v>26</v>
      </c>
      <c r="R1317" s="4">
        <v>0</v>
      </c>
      <c r="S1317" s="6">
        <v>32</v>
      </c>
      <c r="T1317" s="6">
        <v>33</v>
      </c>
      <c r="U1317" s="6">
        <v>84</v>
      </c>
      <c r="V1317" s="6">
        <f>IF(ISERROR(VLOOKUP($S$1317,'TAR FIN'!$A$1:$O$120,15,0)),0,VLOOKUP($S$1317,'TAR FIN'!$A$1:$O$120,15,0))</f>
        <v>12.24</v>
      </c>
      <c r="W1317" s="6">
        <f>IF(ISERROR(VLOOKUP($T$1317,'TAR FIN'!$A$1:$O$120,15,0)),0,VLOOKUP($T$1317,'TAR FIN'!$A$1:$O$120,15,0))</f>
        <v>109.75</v>
      </c>
      <c r="X1317" s="6">
        <f>IF(ISERROR(VLOOKUP($U$1317,'TAR FIN'!$A$1:$O$120,15,0)),0,VLOOKUP($U$1317,'TAR FIN'!$A$1:$O$120,15,0))</f>
        <v>256.38</v>
      </c>
      <c r="Y1317" s="6">
        <f ca="1">('TUSD BE'!$AM$40+'TUSD BF'!$AM$40+'TUSD CVA'!$AM$40)*1</f>
        <v>16.00053546174815</v>
      </c>
      <c r="Z1317" s="6">
        <f ca="1">('TUSD BE'!$AM$41+'TUSD BF'!$AM$41+'TUSD CVA'!$AM$41)*1</f>
        <v>112.97896283052546</v>
      </c>
      <c r="AA1317" s="6">
        <f>('TE BE'!$AA$14+'TE BF'!$AA$14+'TE CVA'!$AA$14)*1</f>
        <v>230.83420940933817</v>
      </c>
      <c r="AB1317" s="6">
        <f>$K$1317*$V$1317</f>
        <v>9302.4</v>
      </c>
      <c r="AC1317" s="6">
        <f>$M$1317*$W$1317</f>
        <v>19161.911</v>
      </c>
      <c r="AD1317" s="6">
        <f>$O$1317*$X$1317</f>
        <v>44762.922480000001</v>
      </c>
      <c r="AE1317" s="6">
        <f ca="1">$K$1317*$Y$1317</f>
        <v>12160.406950928595</v>
      </c>
      <c r="AF1317" s="6">
        <f ca="1">$M$1317*$Z$1317</f>
        <v>19725.674994358425</v>
      </c>
      <c r="AG1317" s="6">
        <f>$O$1317*$AA$1317</f>
        <v>40302.729626032808</v>
      </c>
    </row>
    <row r="1318" spans="1:33" ht="11.25" customHeight="1" x14ac:dyDescent="0.25">
      <c r="A1318" s="4" t="s">
        <v>21</v>
      </c>
      <c r="B1318" s="4" t="s">
        <v>44</v>
      </c>
      <c r="C1318" s="4" t="s">
        <v>41</v>
      </c>
      <c r="D1318" s="4" t="s">
        <v>42</v>
      </c>
      <c r="E1318" s="4" t="s">
        <v>25</v>
      </c>
      <c r="F1318" s="4" t="s">
        <v>25</v>
      </c>
      <c r="G1318" s="4" t="s">
        <v>25</v>
      </c>
      <c r="H1318" s="4" t="s">
        <v>36</v>
      </c>
      <c r="I1318" s="5">
        <v>44013</v>
      </c>
      <c r="J1318" s="6">
        <v>20089</v>
      </c>
      <c r="K1318" s="6">
        <v>20089</v>
      </c>
      <c r="L1318" s="6">
        <v>6867.5519999999997</v>
      </c>
      <c r="M1318" s="6">
        <v>6867.5519999999997</v>
      </c>
      <c r="N1318" s="6">
        <v>6867.5519999999997</v>
      </c>
      <c r="O1318" s="6">
        <v>6867.5519999999997</v>
      </c>
      <c r="P1318" s="6">
        <v>0</v>
      </c>
      <c r="Q1318" s="4" t="s">
        <v>26</v>
      </c>
      <c r="R1318" s="4">
        <v>0</v>
      </c>
      <c r="S1318" s="6">
        <v>32</v>
      </c>
      <c r="T1318" s="6">
        <v>33</v>
      </c>
      <c r="U1318" s="6">
        <v>84</v>
      </c>
      <c r="V1318" s="6">
        <f>IF(ISERROR(VLOOKUP($S$1318,'TAR FIN'!$A$1:$O$120,15,0)),0,VLOOKUP($S$1318,'TAR FIN'!$A$1:$O$120,15,0))</f>
        <v>12.24</v>
      </c>
      <c r="W1318" s="6">
        <f>IF(ISERROR(VLOOKUP($T$1318,'TAR FIN'!$A$1:$O$120,15,0)),0,VLOOKUP($T$1318,'TAR FIN'!$A$1:$O$120,15,0))</f>
        <v>109.75</v>
      </c>
      <c r="X1318" s="6">
        <f>IF(ISERROR(VLOOKUP($U$1318,'TAR FIN'!$A$1:$O$120,15,0)),0,VLOOKUP($U$1318,'TAR FIN'!$A$1:$O$120,15,0))</f>
        <v>256.38</v>
      </c>
      <c r="Y1318" s="6">
        <f ca="1">('TUSD BE'!$AM$40+'TUSD BF'!$AM$40+'TUSD CVA'!$AM$40)*1</f>
        <v>16.00053546174815</v>
      </c>
      <c r="Z1318" s="6">
        <f ca="1">('TUSD BE'!$AM$41+'TUSD BF'!$AM$41+'TUSD CVA'!$AM$41)*1</f>
        <v>112.97896283052546</v>
      </c>
      <c r="AA1318" s="6">
        <f>('TE BE'!$AA$14+'TE BF'!$AA$14+'TE CVA'!$AA$14)*1</f>
        <v>230.83420940933817</v>
      </c>
      <c r="AB1318" s="6">
        <f>$K$1318*$V$1318</f>
        <v>245889.36000000002</v>
      </c>
      <c r="AC1318" s="6">
        <f>$M$1318*$W$1318</f>
        <v>753713.83199999994</v>
      </c>
      <c r="AD1318" s="6">
        <f>$O$1318*$X$1318</f>
        <v>1760702.9817599999</v>
      </c>
      <c r="AE1318" s="6">
        <f ca="1">$K$1318*$Y$1318</f>
        <v>321434.75689105858</v>
      </c>
      <c r="AF1318" s="6">
        <f ca="1">$M$1318*$Z$1318</f>
        <v>775888.90214470075</v>
      </c>
      <c r="AG1318" s="6">
        <f>$O$1318*$AA$1318</f>
        <v>1585265.936497519</v>
      </c>
    </row>
    <row r="1319" spans="1:33" ht="11.25" customHeight="1" x14ac:dyDescent="0.25">
      <c r="A1319" s="4" t="s">
        <v>27</v>
      </c>
      <c r="B1319" s="4" t="s">
        <v>44</v>
      </c>
      <c r="C1319" s="4" t="s">
        <v>41</v>
      </c>
      <c r="D1319" s="4" t="s">
        <v>42</v>
      </c>
      <c r="E1319" s="4" t="s">
        <v>25</v>
      </c>
      <c r="F1319" s="4" t="s">
        <v>25</v>
      </c>
      <c r="G1319" s="4" t="s">
        <v>25</v>
      </c>
      <c r="H1319" s="4" t="s">
        <v>36</v>
      </c>
      <c r="I1319" s="5">
        <v>44013</v>
      </c>
      <c r="J1319" s="6">
        <v>380</v>
      </c>
      <c r="K1319" s="6">
        <v>380</v>
      </c>
      <c r="L1319" s="6">
        <v>14.273</v>
      </c>
      <c r="M1319" s="6">
        <v>14.273</v>
      </c>
      <c r="N1319" s="6">
        <v>14.273</v>
      </c>
      <c r="O1319" s="6">
        <v>14.273</v>
      </c>
      <c r="P1319" s="6">
        <v>0</v>
      </c>
      <c r="Q1319" s="4" t="s">
        <v>26</v>
      </c>
      <c r="R1319" s="4">
        <v>0</v>
      </c>
      <c r="S1319" s="6">
        <v>32</v>
      </c>
      <c r="T1319" s="6">
        <v>33</v>
      </c>
      <c r="U1319" s="6">
        <v>84</v>
      </c>
      <c r="V1319" s="6">
        <f>IF(ISERROR(VLOOKUP($S$1319,'TAR FIN'!$A$1:$O$120,15,0)),0,VLOOKUP($S$1319,'TAR FIN'!$A$1:$O$120,15,0))</f>
        <v>12.24</v>
      </c>
      <c r="W1319" s="6">
        <f>IF(ISERROR(VLOOKUP($T$1319,'TAR FIN'!$A$1:$O$120,15,0)),0,VLOOKUP($T$1319,'TAR FIN'!$A$1:$O$120,15,0))</f>
        <v>109.75</v>
      </c>
      <c r="X1319" s="6">
        <f>IF(ISERROR(VLOOKUP($U$1319,'TAR FIN'!$A$1:$O$120,15,0)),0,VLOOKUP($U$1319,'TAR FIN'!$A$1:$O$120,15,0))</f>
        <v>256.38</v>
      </c>
      <c r="Y1319" s="6">
        <f ca="1">('TUSD BE'!$AM$40+'TUSD BF'!$AM$40+'TUSD CVA'!$AM$40)*1</f>
        <v>16.00053546174815</v>
      </c>
      <c r="Z1319" s="6">
        <f ca="1">('TUSD BE'!$AM$41+'TUSD BF'!$AM$41+'TUSD CVA'!$AM$41)*1</f>
        <v>112.97896283052546</v>
      </c>
      <c r="AA1319" s="6">
        <f>('TE BE'!$AA$14+'TE BF'!$AA$14+'TE CVA'!$AA$14)*1</f>
        <v>230.83420940933817</v>
      </c>
      <c r="AB1319" s="6">
        <f>$K$1319*$V$1319</f>
        <v>4651.2</v>
      </c>
      <c r="AC1319" s="6">
        <f>$M$1319*$W$1319</f>
        <v>1566.4617499999999</v>
      </c>
      <c r="AD1319" s="6">
        <f>$O$1319*$X$1319</f>
        <v>3659.3117399999996</v>
      </c>
      <c r="AE1319" s="6">
        <f ca="1">$K$1319*$Y$1319</f>
        <v>6080.2034754642973</v>
      </c>
      <c r="AF1319" s="6">
        <f ca="1">$M$1319*$Z$1319</f>
        <v>1612.5487364800899</v>
      </c>
      <c r="AG1319" s="6">
        <f>$O$1319*$AA$1319</f>
        <v>3294.6966708994837</v>
      </c>
    </row>
    <row r="1320" spans="1:33" ht="11.25" customHeight="1" x14ac:dyDescent="0.25">
      <c r="A1320" s="4" t="s">
        <v>28</v>
      </c>
      <c r="B1320" s="4" t="s">
        <v>44</v>
      </c>
      <c r="C1320" s="4" t="s">
        <v>41</v>
      </c>
      <c r="D1320" s="4" t="s">
        <v>42</v>
      </c>
      <c r="E1320" s="4" t="s">
        <v>25</v>
      </c>
      <c r="F1320" s="4" t="s">
        <v>25</v>
      </c>
      <c r="G1320" s="4" t="s">
        <v>25</v>
      </c>
      <c r="H1320" s="4" t="s">
        <v>36</v>
      </c>
      <c r="I1320" s="5">
        <v>44013</v>
      </c>
      <c r="J1320" s="6">
        <v>760</v>
      </c>
      <c r="K1320" s="6">
        <v>760</v>
      </c>
      <c r="L1320" s="6">
        <v>149.66399999999999</v>
      </c>
      <c r="M1320" s="6">
        <v>149.66399999999999</v>
      </c>
      <c r="N1320" s="6">
        <v>149.66399999999999</v>
      </c>
      <c r="O1320" s="6">
        <v>149.66399999999999</v>
      </c>
      <c r="P1320" s="6">
        <v>0</v>
      </c>
      <c r="Q1320" s="4" t="s">
        <v>26</v>
      </c>
      <c r="R1320" s="4">
        <v>0</v>
      </c>
      <c r="S1320" s="6">
        <v>32</v>
      </c>
      <c r="T1320" s="6">
        <v>33</v>
      </c>
      <c r="U1320" s="6">
        <v>84</v>
      </c>
      <c r="V1320" s="6">
        <f>IF(ISERROR(VLOOKUP($S$1320,'TAR FIN'!$A$1:$O$120,15,0)),0,VLOOKUP($S$1320,'TAR FIN'!$A$1:$O$120,15,0))</f>
        <v>12.24</v>
      </c>
      <c r="W1320" s="6">
        <f>IF(ISERROR(VLOOKUP($T$1320,'TAR FIN'!$A$1:$O$120,15,0)),0,VLOOKUP($T$1320,'TAR FIN'!$A$1:$O$120,15,0))</f>
        <v>109.75</v>
      </c>
      <c r="X1320" s="6">
        <f>IF(ISERROR(VLOOKUP($U$1320,'TAR FIN'!$A$1:$O$120,15,0)),0,VLOOKUP($U$1320,'TAR FIN'!$A$1:$O$120,15,0))</f>
        <v>256.38</v>
      </c>
      <c r="Y1320" s="6">
        <f ca="1">('TUSD BE'!$AM$40+'TUSD BF'!$AM$40+'TUSD CVA'!$AM$40)*1</f>
        <v>16.00053546174815</v>
      </c>
      <c r="Z1320" s="6">
        <f ca="1">('TUSD BE'!$AM$41+'TUSD BF'!$AM$41+'TUSD CVA'!$AM$41)*1</f>
        <v>112.97896283052546</v>
      </c>
      <c r="AA1320" s="6">
        <f>('TE BE'!$AA$14+'TE BF'!$AA$14+'TE CVA'!$AA$14)*1</f>
        <v>230.83420940933817</v>
      </c>
      <c r="AB1320" s="6">
        <f>$K$1320*$V$1320</f>
        <v>9302.4</v>
      </c>
      <c r="AC1320" s="6">
        <f>$M$1320*$W$1320</f>
        <v>16425.624</v>
      </c>
      <c r="AD1320" s="6">
        <f>$O$1320*$X$1320</f>
        <v>38370.856319999999</v>
      </c>
      <c r="AE1320" s="6">
        <f ca="1">$K$1320*$Y$1320</f>
        <v>12160.406950928595</v>
      </c>
      <c r="AF1320" s="6">
        <f ca="1">$M$1320*$Z$1320</f>
        <v>16908.883493067762</v>
      </c>
      <c r="AG1320" s="6">
        <f>$O$1320*$AA$1320</f>
        <v>34547.571117039188</v>
      </c>
    </row>
    <row r="1321" spans="1:33" ht="11.25" customHeight="1" x14ac:dyDescent="0.25">
      <c r="A1321" s="4" t="s">
        <v>21</v>
      </c>
      <c r="B1321" s="4" t="s">
        <v>44</v>
      </c>
      <c r="C1321" s="4" t="s">
        <v>41</v>
      </c>
      <c r="D1321" s="4" t="s">
        <v>42</v>
      </c>
      <c r="E1321" s="4" t="s">
        <v>25</v>
      </c>
      <c r="F1321" s="4" t="s">
        <v>25</v>
      </c>
      <c r="G1321" s="4" t="s">
        <v>25</v>
      </c>
      <c r="H1321" s="4" t="s">
        <v>36</v>
      </c>
      <c r="I1321" s="5">
        <v>44044</v>
      </c>
      <c r="J1321" s="6">
        <v>19317</v>
      </c>
      <c r="K1321" s="6">
        <v>19317</v>
      </c>
      <c r="L1321" s="6">
        <v>6582.4759999999997</v>
      </c>
      <c r="M1321" s="6">
        <v>6582.4759999999997</v>
      </c>
      <c r="N1321" s="6">
        <v>6582.4759999999997</v>
      </c>
      <c r="O1321" s="6">
        <v>6582.4759999999997</v>
      </c>
      <c r="P1321" s="6">
        <v>0</v>
      </c>
      <c r="Q1321" s="4" t="s">
        <v>26</v>
      </c>
      <c r="R1321" s="4">
        <v>0</v>
      </c>
      <c r="S1321" s="6">
        <v>32</v>
      </c>
      <c r="T1321" s="6">
        <v>33</v>
      </c>
      <c r="U1321" s="6">
        <v>84</v>
      </c>
      <c r="V1321" s="6">
        <f>IF(ISERROR(VLOOKUP($S$1321,'TAR FIN'!$A$1:$O$120,15,0)),0,VLOOKUP($S$1321,'TAR FIN'!$A$1:$O$120,15,0))</f>
        <v>12.24</v>
      </c>
      <c r="W1321" s="6">
        <f>IF(ISERROR(VLOOKUP($T$1321,'TAR FIN'!$A$1:$O$120,15,0)),0,VLOOKUP($T$1321,'TAR FIN'!$A$1:$O$120,15,0))</f>
        <v>109.75</v>
      </c>
      <c r="X1321" s="6">
        <f>IF(ISERROR(VLOOKUP($U$1321,'TAR FIN'!$A$1:$O$120,15,0)),0,VLOOKUP($U$1321,'TAR FIN'!$A$1:$O$120,15,0))</f>
        <v>256.38</v>
      </c>
      <c r="Y1321" s="6">
        <f ca="1">('TUSD BE'!$AM$40+'TUSD BF'!$AM$40+'TUSD CVA'!$AM$40)*1</f>
        <v>16.00053546174815</v>
      </c>
      <c r="Z1321" s="6">
        <f ca="1">('TUSD BE'!$AM$41+'TUSD BF'!$AM$41+'TUSD CVA'!$AM$41)*1</f>
        <v>112.97896283052546</v>
      </c>
      <c r="AA1321" s="6">
        <f>('TE BE'!$AA$14+'TE BF'!$AA$14+'TE CVA'!$AA$14)*1</f>
        <v>230.83420940933817</v>
      </c>
      <c r="AB1321" s="6">
        <f>$K$1321*$V$1321</f>
        <v>236440.08000000002</v>
      </c>
      <c r="AC1321" s="6">
        <f>$M$1321*$W$1321</f>
        <v>722426.74099999992</v>
      </c>
      <c r="AD1321" s="6">
        <f>$O$1321*$X$1321</f>
        <v>1687615.1968799999</v>
      </c>
      <c r="AE1321" s="6">
        <f ca="1">$K$1321*$Y$1321</f>
        <v>309082.34351458901</v>
      </c>
      <c r="AF1321" s="6">
        <f ca="1">$M$1321*$Z$1321</f>
        <v>743681.31133682583</v>
      </c>
      <c r="AG1321" s="6">
        <f>$O$1321*$AA$1321</f>
        <v>1519460.6434159426</v>
      </c>
    </row>
    <row r="1322" spans="1:33" ht="11.25" customHeight="1" x14ac:dyDescent="0.25">
      <c r="A1322" s="4" t="s">
        <v>27</v>
      </c>
      <c r="B1322" s="4" t="s">
        <v>44</v>
      </c>
      <c r="C1322" s="4" t="s">
        <v>41</v>
      </c>
      <c r="D1322" s="4" t="s">
        <v>42</v>
      </c>
      <c r="E1322" s="4" t="s">
        <v>25</v>
      </c>
      <c r="F1322" s="4" t="s">
        <v>25</v>
      </c>
      <c r="G1322" s="4" t="s">
        <v>25</v>
      </c>
      <c r="H1322" s="4" t="s">
        <v>36</v>
      </c>
      <c r="I1322" s="5">
        <v>44044</v>
      </c>
      <c r="J1322" s="6">
        <v>480</v>
      </c>
      <c r="K1322" s="6">
        <v>480</v>
      </c>
      <c r="L1322" s="6">
        <v>3.4460000000000002</v>
      </c>
      <c r="M1322" s="6">
        <v>3.4460000000000002</v>
      </c>
      <c r="N1322" s="6">
        <v>3.4460000000000002</v>
      </c>
      <c r="O1322" s="6">
        <v>3.4460000000000002</v>
      </c>
      <c r="P1322" s="6">
        <v>0</v>
      </c>
      <c r="Q1322" s="4" t="s">
        <v>26</v>
      </c>
      <c r="R1322" s="4">
        <v>0</v>
      </c>
      <c r="S1322" s="6">
        <v>32</v>
      </c>
      <c r="T1322" s="6">
        <v>33</v>
      </c>
      <c r="U1322" s="6">
        <v>84</v>
      </c>
      <c r="V1322" s="6">
        <f>IF(ISERROR(VLOOKUP($S$1322,'TAR FIN'!$A$1:$O$120,15,0)),0,VLOOKUP($S$1322,'TAR FIN'!$A$1:$O$120,15,0))</f>
        <v>12.24</v>
      </c>
      <c r="W1322" s="6">
        <f>IF(ISERROR(VLOOKUP($T$1322,'TAR FIN'!$A$1:$O$120,15,0)),0,VLOOKUP($T$1322,'TAR FIN'!$A$1:$O$120,15,0))</f>
        <v>109.75</v>
      </c>
      <c r="X1322" s="6">
        <f>IF(ISERROR(VLOOKUP($U$1322,'TAR FIN'!$A$1:$O$120,15,0)),0,VLOOKUP($U$1322,'TAR FIN'!$A$1:$O$120,15,0))</f>
        <v>256.38</v>
      </c>
      <c r="Y1322" s="6">
        <f ca="1">('TUSD BE'!$AM$40+'TUSD BF'!$AM$40+'TUSD CVA'!$AM$40)*1</f>
        <v>16.00053546174815</v>
      </c>
      <c r="Z1322" s="6">
        <f ca="1">('TUSD BE'!$AM$41+'TUSD BF'!$AM$41+'TUSD CVA'!$AM$41)*1</f>
        <v>112.97896283052546</v>
      </c>
      <c r="AA1322" s="6">
        <f>('TE BE'!$AA$14+'TE BF'!$AA$14+'TE CVA'!$AA$14)*1</f>
        <v>230.83420940933817</v>
      </c>
      <c r="AB1322" s="6">
        <f>$K$1322*$V$1322</f>
        <v>5875.2</v>
      </c>
      <c r="AC1322" s="6">
        <f>$M$1322*$W$1322</f>
        <v>378.19850000000002</v>
      </c>
      <c r="AD1322" s="6">
        <f>$O$1322*$X$1322</f>
        <v>883.48548000000005</v>
      </c>
      <c r="AE1322" s="6">
        <f ca="1">$K$1322*$Y$1322</f>
        <v>7680.2570216391123</v>
      </c>
      <c r="AF1322" s="6">
        <f ca="1">$M$1322*$Z$1322</f>
        <v>389.32550591399075</v>
      </c>
      <c r="AG1322" s="6">
        <f>$O$1322*$AA$1322</f>
        <v>795.45468562457938</v>
      </c>
    </row>
    <row r="1323" spans="1:33" ht="11.25" customHeight="1" x14ac:dyDescent="0.25">
      <c r="A1323" s="4" t="s">
        <v>28</v>
      </c>
      <c r="B1323" s="4" t="s">
        <v>44</v>
      </c>
      <c r="C1323" s="4" t="s">
        <v>41</v>
      </c>
      <c r="D1323" s="4" t="s">
        <v>42</v>
      </c>
      <c r="E1323" s="4" t="s">
        <v>25</v>
      </c>
      <c r="F1323" s="4" t="s">
        <v>25</v>
      </c>
      <c r="G1323" s="4" t="s">
        <v>25</v>
      </c>
      <c r="H1323" s="4" t="s">
        <v>36</v>
      </c>
      <c r="I1323" s="5">
        <v>44044</v>
      </c>
      <c r="J1323" s="6">
        <v>760</v>
      </c>
      <c r="K1323" s="6">
        <v>760</v>
      </c>
      <c r="L1323" s="6">
        <v>134.852</v>
      </c>
      <c r="M1323" s="6">
        <v>134.852</v>
      </c>
      <c r="N1323" s="6">
        <v>134.852</v>
      </c>
      <c r="O1323" s="6">
        <v>134.852</v>
      </c>
      <c r="P1323" s="6">
        <v>0</v>
      </c>
      <c r="Q1323" s="4" t="s">
        <v>26</v>
      </c>
      <c r="R1323" s="4">
        <v>0</v>
      </c>
      <c r="S1323" s="6">
        <v>32</v>
      </c>
      <c r="T1323" s="6">
        <v>33</v>
      </c>
      <c r="U1323" s="6">
        <v>84</v>
      </c>
      <c r="V1323" s="6">
        <f>IF(ISERROR(VLOOKUP($S$1323,'TAR FIN'!$A$1:$O$120,15,0)),0,VLOOKUP($S$1323,'TAR FIN'!$A$1:$O$120,15,0))</f>
        <v>12.24</v>
      </c>
      <c r="W1323" s="6">
        <f>IF(ISERROR(VLOOKUP($T$1323,'TAR FIN'!$A$1:$O$120,15,0)),0,VLOOKUP($T$1323,'TAR FIN'!$A$1:$O$120,15,0))</f>
        <v>109.75</v>
      </c>
      <c r="X1323" s="6">
        <f>IF(ISERROR(VLOOKUP($U$1323,'TAR FIN'!$A$1:$O$120,15,0)),0,VLOOKUP($U$1323,'TAR FIN'!$A$1:$O$120,15,0))</f>
        <v>256.38</v>
      </c>
      <c r="Y1323" s="6">
        <f ca="1">('TUSD BE'!$AM$40+'TUSD BF'!$AM$40+'TUSD CVA'!$AM$40)*1</f>
        <v>16.00053546174815</v>
      </c>
      <c r="Z1323" s="6">
        <f ca="1">('TUSD BE'!$AM$41+'TUSD BF'!$AM$41+'TUSD CVA'!$AM$41)*1</f>
        <v>112.97896283052546</v>
      </c>
      <c r="AA1323" s="6">
        <f>('TE BE'!$AA$14+'TE BF'!$AA$14+'TE CVA'!$AA$14)*1</f>
        <v>230.83420940933817</v>
      </c>
      <c r="AB1323" s="6">
        <f>$K$1323*$V$1323</f>
        <v>9302.4</v>
      </c>
      <c r="AC1323" s="6">
        <f>$M$1323*$W$1323</f>
        <v>14800.007</v>
      </c>
      <c r="AD1323" s="6">
        <f>$O$1323*$X$1323</f>
        <v>34573.355759999999</v>
      </c>
      <c r="AE1323" s="6">
        <f ca="1">$K$1323*$Y$1323</f>
        <v>12160.406950928595</v>
      </c>
      <c r="AF1323" s="6">
        <f ca="1">$M$1323*$Z$1323</f>
        <v>15235.43909562202</v>
      </c>
      <c r="AG1323" s="6">
        <f>$O$1323*$AA$1323</f>
        <v>31128.454807268074</v>
      </c>
    </row>
    <row r="1324" spans="1:33" ht="11.25" customHeight="1" x14ac:dyDescent="0.25">
      <c r="A1324" s="4" t="s">
        <v>59</v>
      </c>
      <c r="B1324" s="4" t="s">
        <v>44</v>
      </c>
      <c r="C1324" s="4" t="s">
        <v>41</v>
      </c>
      <c r="D1324" s="4" t="s">
        <v>42</v>
      </c>
      <c r="E1324" s="4" t="s">
        <v>25</v>
      </c>
      <c r="F1324" s="4" t="s">
        <v>25</v>
      </c>
      <c r="G1324" s="4" t="s">
        <v>25</v>
      </c>
      <c r="H1324" s="4" t="s">
        <v>36</v>
      </c>
      <c r="I1324" s="5">
        <v>44075</v>
      </c>
      <c r="J1324" s="6">
        <v>19317</v>
      </c>
      <c r="K1324" s="6">
        <v>19317</v>
      </c>
      <c r="L1324" s="6">
        <v>6582.4759999999997</v>
      </c>
      <c r="M1324" s="6">
        <v>6582.4759999999997</v>
      </c>
      <c r="N1324" s="6">
        <v>6582.4759999999997</v>
      </c>
      <c r="O1324" s="6">
        <v>6582.4759999999997</v>
      </c>
      <c r="P1324" s="6">
        <v>0</v>
      </c>
      <c r="Q1324" s="4" t="s">
        <v>26</v>
      </c>
      <c r="R1324" s="4">
        <v>0</v>
      </c>
      <c r="S1324" s="6">
        <v>32</v>
      </c>
      <c r="T1324" s="6">
        <v>33</v>
      </c>
      <c r="U1324" s="6">
        <v>84</v>
      </c>
      <c r="V1324" s="6">
        <f>IF(ISERROR(VLOOKUP($S$1324,'TAR FIN'!$A$1:$O$120,15,0)),0,VLOOKUP($S$1324,'TAR FIN'!$A$1:$O$120,15,0))</f>
        <v>12.24</v>
      </c>
      <c r="W1324" s="6">
        <f>IF(ISERROR(VLOOKUP($T$1324,'TAR FIN'!$A$1:$O$120,15,0)),0,VLOOKUP($T$1324,'TAR FIN'!$A$1:$O$120,15,0))</f>
        <v>109.75</v>
      </c>
      <c r="X1324" s="6">
        <f>IF(ISERROR(VLOOKUP($U$1324,'TAR FIN'!$A$1:$O$120,15,0)),0,VLOOKUP($U$1324,'TAR FIN'!$A$1:$O$120,15,0))</f>
        <v>256.38</v>
      </c>
      <c r="Y1324" s="6">
        <f ca="1">('TUSD BE'!$AM$40+'TUSD BF'!$AM$40+'TUSD CVA'!$AM$40)*1</f>
        <v>16.00053546174815</v>
      </c>
      <c r="Z1324" s="6">
        <f ca="1">('TUSD BE'!$AM$41+'TUSD BF'!$AM$41+'TUSD CVA'!$AM$41)*1</f>
        <v>112.97896283052546</v>
      </c>
      <c r="AA1324" s="6">
        <f>('TE BE'!$AA$14+'TE BF'!$AA$14+'TE CVA'!$AA$14)*1</f>
        <v>230.83420940933817</v>
      </c>
      <c r="AB1324" s="6">
        <f>$K$1324*$V$1324</f>
        <v>236440.08000000002</v>
      </c>
      <c r="AC1324" s="6">
        <f>$M$1324*$W$1324</f>
        <v>722426.74099999992</v>
      </c>
      <c r="AD1324" s="6">
        <f>$O$1324*$X$1324</f>
        <v>1687615.1968799999</v>
      </c>
      <c r="AE1324" s="6">
        <f ca="1">$K$1324*$Y$1324</f>
        <v>309082.34351458901</v>
      </c>
      <c r="AF1324" s="6">
        <f ca="1">$M$1324*$Z$1324</f>
        <v>743681.31133682583</v>
      </c>
      <c r="AG1324" s="6">
        <f>$O$1324*$AA$1324</f>
        <v>1519460.6434159426</v>
      </c>
    </row>
    <row r="1325" spans="1:33" ht="11.25" customHeight="1" x14ac:dyDescent="0.25">
      <c r="A1325" s="4" t="s">
        <v>59</v>
      </c>
      <c r="B1325" s="4" t="s">
        <v>44</v>
      </c>
      <c r="C1325" s="4" t="s">
        <v>41</v>
      </c>
      <c r="D1325" s="4" t="s">
        <v>42</v>
      </c>
      <c r="E1325" s="4" t="s">
        <v>25</v>
      </c>
      <c r="F1325" s="4" t="s">
        <v>25</v>
      </c>
      <c r="G1325" s="4" t="s">
        <v>25</v>
      </c>
      <c r="H1325" s="4" t="s">
        <v>36</v>
      </c>
      <c r="I1325" s="5">
        <v>44075</v>
      </c>
      <c r="J1325" s="6">
        <v>480</v>
      </c>
      <c r="K1325" s="6">
        <v>480</v>
      </c>
      <c r="L1325" s="6">
        <v>3.4460000000000002</v>
      </c>
      <c r="M1325" s="6">
        <v>3.4460000000000002</v>
      </c>
      <c r="N1325" s="6">
        <v>3.4460000000000002</v>
      </c>
      <c r="O1325" s="6">
        <v>3.4460000000000002</v>
      </c>
      <c r="P1325" s="6">
        <v>0</v>
      </c>
      <c r="Q1325" s="4" t="s">
        <v>26</v>
      </c>
      <c r="R1325" s="4">
        <v>0</v>
      </c>
      <c r="S1325" s="6">
        <v>32</v>
      </c>
      <c r="T1325" s="6">
        <v>33</v>
      </c>
      <c r="U1325" s="6">
        <v>84</v>
      </c>
      <c r="V1325" s="6">
        <f>IF(ISERROR(VLOOKUP($S$1325,'TAR FIN'!$A$1:$O$120,15,0)),0,VLOOKUP($S$1325,'TAR FIN'!$A$1:$O$120,15,0))</f>
        <v>12.24</v>
      </c>
      <c r="W1325" s="6">
        <f>IF(ISERROR(VLOOKUP($T$1325,'TAR FIN'!$A$1:$O$120,15,0)),0,VLOOKUP($T$1325,'TAR FIN'!$A$1:$O$120,15,0))</f>
        <v>109.75</v>
      </c>
      <c r="X1325" s="6">
        <f>IF(ISERROR(VLOOKUP($U$1325,'TAR FIN'!$A$1:$O$120,15,0)),0,VLOOKUP($U$1325,'TAR FIN'!$A$1:$O$120,15,0))</f>
        <v>256.38</v>
      </c>
      <c r="Y1325" s="6">
        <f ca="1">('TUSD BE'!$AM$40+'TUSD BF'!$AM$40+'TUSD CVA'!$AM$40)*1</f>
        <v>16.00053546174815</v>
      </c>
      <c r="Z1325" s="6">
        <f ca="1">('TUSD BE'!$AM$41+'TUSD BF'!$AM$41+'TUSD CVA'!$AM$41)*1</f>
        <v>112.97896283052546</v>
      </c>
      <c r="AA1325" s="6">
        <f>('TE BE'!$AA$14+'TE BF'!$AA$14+'TE CVA'!$AA$14)*1</f>
        <v>230.83420940933817</v>
      </c>
      <c r="AB1325" s="6">
        <f>$K$1325*$V$1325</f>
        <v>5875.2</v>
      </c>
      <c r="AC1325" s="6">
        <f>$M$1325*$W$1325</f>
        <v>378.19850000000002</v>
      </c>
      <c r="AD1325" s="6">
        <f>$O$1325*$X$1325</f>
        <v>883.48548000000005</v>
      </c>
      <c r="AE1325" s="6">
        <f ca="1">$K$1325*$Y$1325</f>
        <v>7680.2570216391123</v>
      </c>
      <c r="AF1325" s="6">
        <f ca="1">$M$1325*$Z$1325</f>
        <v>389.32550591399075</v>
      </c>
      <c r="AG1325" s="6">
        <f>$O$1325*$AA$1325</f>
        <v>795.45468562457938</v>
      </c>
    </row>
    <row r="1326" spans="1:33" ht="11.25" customHeight="1" x14ac:dyDescent="0.25">
      <c r="A1326" s="4" t="s">
        <v>59</v>
      </c>
      <c r="B1326" s="4" t="s">
        <v>44</v>
      </c>
      <c r="C1326" s="4" t="s">
        <v>41</v>
      </c>
      <c r="D1326" s="4" t="s">
        <v>42</v>
      </c>
      <c r="E1326" s="4" t="s">
        <v>25</v>
      </c>
      <c r="F1326" s="4" t="s">
        <v>25</v>
      </c>
      <c r="G1326" s="4" t="s">
        <v>25</v>
      </c>
      <c r="H1326" s="4" t="s">
        <v>36</v>
      </c>
      <c r="I1326" s="5">
        <v>44075</v>
      </c>
      <c r="J1326" s="6">
        <v>760</v>
      </c>
      <c r="K1326" s="6">
        <v>760</v>
      </c>
      <c r="L1326" s="6">
        <v>134.852</v>
      </c>
      <c r="M1326" s="6">
        <v>134.852</v>
      </c>
      <c r="N1326" s="6">
        <v>134.852</v>
      </c>
      <c r="O1326" s="6">
        <v>134.852</v>
      </c>
      <c r="P1326" s="6">
        <v>0</v>
      </c>
      <c r="Q1326" s="4" t="s">
        <v>26</v>
      </c>
      <c r="R1326" s="4">
        <v>0</v>
      </c>
      <c r="S1326" s="6">
        <v>32</v>
      </c>
      <c r="T1326" s="6">
        <v>33</v>
      </c>
      <c r="U1326" s="6">
        <v>84</v>
      </c>
      <c r="V1326" s="6">
        <f>IF(ISERROR(VLOOKUP($S$1326,'TAR FIN'!$A$1:$O$120,15,0)),0,VLOOKUP($S$1326,'TAR FIN'!$A$1:$O$120,15,0))</f>
        <v>12.24</v>
      </c>
      <c r="W1326" s="6">
        <f>IF(ISERROR(VLOOKUP($T$1326,'TAR FIN'!$A$1:$O$120,15,0)),0,VLOOKUP($T$1326,'TAR FIN'!$A$1:$O$120,15,0))</f>
        <v>109.75</v>
      </c>
      <c r="X1326" s="6">
        <f>IF(ISERROR(VLOOKUP($U$1326,'TAR FIN'!$A$1:$O$120,15,0)),0,VLOOKUP($U$1326,'TAR FIN'!$A$1:$O$120,15,0))</f>
        <v>256.38</v>
      </c>
      <c r="Y1326" s="6">
        <f ca="1">('TUSD BE'!$AM$40+'TUSD BF'!$AM$40+'TUSD CVA'!$AM$40)*1</f>
        <v>16.00053546174815</v>
      </c>
      <c r="Z1326" s="6">
        <f ca="1">('TUSD BE'!$AM$41+'TUSD BF'!$AM$41+'TUSD CVA'!$AM$41)*1</f>
        <v>112.97896283052546</v>
      </c>
      <c r="AA1326" s="6">
        <f>('TE BE'!$AA$14+'TE BF'!$AA$14+'TE CVA'!$AA$14)*1</f>
        <v>230.83420940933817</v>
      </c>
      <c r="AB1326" s="6">
        <f>$K$1326*$V$1326</f>
        <v>9302.4</v>
      </c>
      <c r="AC1326" s="6">
        <f>$M$1326*$W$1326</f>
        <v>14800.007</v>
      </c>
      <c r="AD1326" s="6">
        <f>$O$1326*$X$1326</f>
        <v>34573.355759999999</v>
      </c>
      <c r="AE1326" s="6">
        <f ca="1">$K$1326*$Y$1326</f>
        <v>12160.406950928595</v>
      </c>
      <c r="AF1326" s="6">
        <f ca="1">$M$1326*$Z$1326</f>
        <v>15235.43909562202</v>
      </c>
      <c r="AG1326" s="6">
        <f>$O$1326*$AA$1326</f>
        <v>31128.454807268074</v>
      </c>
    </row>
    <row r="1327" spans="1:33" ht="11.25" customHeight="1" x14ac:dyDescent="0.25">
      <c r="A1327" s="4" t="s">
        <v>21</v>
      </c>
      <c r="B1327" s="4" t="s">
        <v>44</v>
      </c>
      <c r="C1327" s="4" t="s">
        <v>41</v>
      </c>
      <c r="D1327" s="4" t="s">
        <v>42</v>
      </c>
      <c r="E1327" s="4" t="s">
        <v>25</v>
      </c>
      <c r="F1327" s="4" t="s">
        <v>25</v>
      </c>
      <c r="G1327" s="4" t="s">
        <v>25</v>
      </c>
      <c r="H1327" s="4" t="s">
        <v>35</v>
      </c>
      <c r="I1327" s="5">
        <v>43739</v>
      </c>
      <c r="J1327" s="6">
        <v>18632</v>
      </c>
      <c r="K1327" s="6">
        <v>18632</v>
      </c>
      <c r="L1327" s="6">
        <v>752.452</v>
      </c>
      <c r="M1327" s="6">
        <v>752.452</v>
      </c>
      <c r="N1327" s="6">
        <v>752.452</v>
      </c>
      <c r="O1327" s="6">
        <v>752.452</v>
      </c>
      <c r="P1327" s="6">
        <v>0</v>
      </c>
      <c r="Q1327" s="4" t="s">
        <v>26</v>
      </c>
      <c r="R1327" s="4">
        <v>0</v>
      </c>
      <c r="S1327" s="6">
        <v>31</v>
      </c>
      <c r="T1327" s="6">
        <v>33</v>
      </c>
      <c r="U1327" s="6">
        <v>83</v>
      </c>
      <c r="V1327" s="6">
        <f>IF(ISERROR(VLOOKUP($S$1327,'TAR FIN'!$A$1:$O$120,15,0)),0,VLOOKUP($S$1327,'TAR FIN'!$A$1:$O$120,15,0))</f>
        <v>43.76</v>
      </c>
      <c r="W1327" s="6">
        <f>IF(ISERROR(VLOOKUP($T$1327,'TAR FIN'!$A$1:$O$120,15,0)),0,VLOOKUP($T$1327,'TAR FIN'!$A$1:$O$120,15,0))</f>
        <v>109.75</v>
      </c>
      <c r="X1327" s="6">
        <f>IF(ISERROR(VLOOKUP($U$1327,'TAR FIN'!$A$1:$O$120,15,0)),0,VLOOKUP($U$1327,'TAR FIN'!$A$1:$O$120,15,0))</f>
        <v>430.87</v>
      </c>
      <c r="Y1327" s="6">
        <f ca="1">('TUSD BE'!$AM$39+'TUSD BF'!$AM$39+'TUSD CVA'!$AM$39)*1</f>
        <v>49.088494763430781</v>
      </c>
      <c r="Z1327" s="6">
        <f ca="1">('TUSD BE'!$AM$41+'TUSD BF'!$AM$41+'TUSD CVA'!$AM$41)*1</f>
        <v>112.97896283052546</v>
      </c>
      <c r="AA1327" s="6">
        <f>('TE BE'!$AA$13+'TE BF'!$AA$13+'TE CVA'!$AA$13)*1</f>
        <v>375.69180268700768</v>
      </c>
      <c r="AB1327" s="6">
        <f>$K$1327*$V$1327</f>
        <v>815336.32</v>
      </c>
      <c r="AC1327" s="6">
        <f>$M$1327*$W$1327</f>
        <v>82581.607000000004</v>
      </c>
      <c r="AD1327" s="6">
        <f>$O$1327*$X$1327</f>
        <v>324208.99323999998</v>
      </c>
      <c r="AE1327" s="6">
        <f ca="1">$K$1327*$Y$1327</f>
        <v>914616.83443224232</v>
      </c>
      <c r="AF1327" s="6">
        <f ca="1">$M$1327*$Z$1327</f>
        <v>85011.246539754546</v>
      </c>
      <c r="AG1327" s="6">
        <f>$O$1327*$AA$1327</f>
        <v>282690.04831544432</v>
      </c>
    </row>
    <row r="1328" spans="1:33" ht="11.25" customHeight="1" x14ac:dyDescent="0.25">
      <c r="A1328" s="4" t="s">
        <v>28</v>
      </c>
      <c r="B1328" s="4" t="s">
        <v>44</v>
      </c>
      <c r="C1328" s="4" t="s">
        <v>41</v>
      </c>
      <c r="D1328" s="4" t="s">
        <v>42</v>
      </c>
      <c r="E1328" s="4" t="s">
        <v>25</v>
      </c>
      <c r="F1328" s="4" t="s">
        <v>25</v>
      </c>
      <c r="G1328" s="4" t="s">
        <v>25</v>
      </c>
      <c r="H1328" s="4" t="s">
        <v>35</v>
      </c>
      <c r="I1328" s="5">
        <v>43739</v>
      </c>
      <c r="J1328" s="6">
        <v>1310</v>
      </c>
      <c r="K1328" s="6">
        <v>1310</v>
      </c>
      <c r="L1328" s="6">
        <v>0</v>
      </c>
      <c r="M1328" s="6">
        <v>0</v>
      </c>
      <c r="N1328" s="6">
        <v>0</v>
      </c>
      <c r="O1328" s="6">
        <v>0</v>
      </c>
      <c r="P1328" s="6">
        <v>0</v>
      </c>
      <c r="Q1328" s="4" t="s">
        <v>26</v>
      </c>
      <c r="R1328" s="4">
        <v>0</v>
      </c>
      <c r="S1328" s="6">
        <v>31</v>
      </c>
      <c r="T1328" s="6">
        <v>0</v>
      </c>
      <c r="U1328" s="6">
        <v>0</v>
      </c>
      <c r="V1328" s="6">
        <f>IF(ISERROR(VLOOKUP($S$1328,'TAR FIN'!$A$1:$O$120,15,0)),0,VLOOKUP($S$1328,'TAR FIN'!$A$1:$O$120,15,0))</f>
        <v>43.76</v>
      </c>
      <c r="W1328" s="6">
        <f>IF(ISERROR(VLOOKUP($T$1328,'TAR FIN'!$A$1:$O$120,15,0)),0,VLOOKUP($T$1328,'TAR FIN'!$A$1:$O$120,15,0))</f>
        <v>0</v>
      </c>
      <c r="X1328" s="6">
        <f>IF(ISERROR(VLOOKUP($U$1328,'TAR FIN'!$A$1:$O$120,15,0)),0,VLOOKUP($U$1328,'TAR FIN'!$A$1:$O$120,15,0))</f>
        <v>0</v>
      </c>
      <c r="Y1328" s="6">
        <f ca="1">('TUSD BE'!$AM$39+'TUSD BF'!$AM$39+'TUSD CVA'!$AM$39)*1</f>
        <v>49.088494763430781</v>
      </c>
      <c r="Z1328" s="6">
        <f ca="1">('TUSD BE'!$AM$41+'TUSD BF'!$AM$41+'TUSD CVA'!$AM$41)*1</f>
        <v>112.97896283052546</v>
      </c>
      <c r="AA1328" s="6">
        <f>('TE BE'!$AA$13+'TE BF'!$AA$13+'TE CVA'!$AA$13)*1</f>
        <v>375.69180268700768</v>
      </c>
      <c r="AB1328" s="6">
        <f>$K$1328*$V$1328</f>
        <v>57325.599999999999</v>
      </c>
      <c r="AC1328" s="6">
        <f>$M$1328*$W$1328</f>
        <v>0</v>
      </c>
      <c r="AD1328" s="6">
        <f>$O$1328*$X$1328</f>
        <v>0</v>
      </c>
      <c r="AE1328" s="6">
        <f ca="1">$K$1328*$Y$1328</f>
        <v>64305.928140094322</v>
      </c>
      <c r="AF1328" s="6">
        <f ca="1">$M$1328*$Z$1328</f>
        <v>0</v>
      </c>
      <c r="AG1328" s="6">
        <f>$O$1328*$AA$1328</f>
        <v>0</v>
      </c>
    </row>
    <row r="1329" spans="1:33" ht="11.25" customHeight="1" x14ac:dyDescent="0.25">
      <c r="A1329" s="4" t="s">
        <v>21</v>
      </c>
      <c r="B1329" s="4" t="s">
        <v>44</v>
      </c>
      <c r="C1329" s="4" t="s">
        <v>41</v>
      </c>
      <c r="D1329" s="4" t="s">
        <v>42</v>
      </c>
      <c r="E1329" s="4" t="s">
        <v>25</v>
      </c>
      <c r="F1329" s="4" t="s">
        <v>25</v>
      </c>
      <c r="G1329" s="4" t="s">
        <v>25</v>
      </c>
      <c r="H1329" s="4" t="s">
        <v>35</v>
      </c>
      <c r="I1329" s="5">
        <v>43770</v>
      </c>
      <c r="J1329" s="6">
        <v>18136</v>
      </c>
      <c r="K1329" s="6">
        <v>18136</v>
      </c>
      <c r="L1329" s="6">
        <v>771.55700000000002</v>
      </c>
      <c r="M1329" s="6">
        <v>771.55700000000002</v>
      </c>
      <c r="N1329" s="6">
        <v>771.55700000000002</v>
      </c>
      <c r="O1329" s="6">
        <v>771.55700000000002</v>
      </c>
      <c r="P1329" s="6">
        <v>0</v>
      </c>
      <c r="Q1329" s="4" t="s">
        <v>26</v>
      </c>
      <c r="R1329" s="4">
        <v>0</v>
      </c>
      <c r="S1329" s="6">
        <v>31</v>
      </c>
      <c r="T1329" s="6">
        <v>33</v>
      </c>
      <c r="U1329" s="6">
        <v>83</v>
      </c>
      <c r="V1329" s="6">
        <f>IF(ISERROR(VLOOKUP($S$1329,'TAR FIN'!$A$1:$O$120,15,0)),0,VLOOKUP($S$1329,'TAR FIN'!$A$1:$O$120,15,0))</f>
        <v>43.76</v>
      </c>
      <c r="W1329" s="6">
        <f>IF(ISERROR(VLOOKUP($T$1329,'TAR FIN'!$A$1:$O$120,15,0)),0,VLOOKUP($T$1329,'TAR FIN'!$A$1:$O$120,15,0))</f>
        <v>109.75</v>
      </c>
      <c r="X1329" s="6">
        <f>IF(ISERROR(VLOOKUP($U$1329,'TAR FIN'!$A$1:$O$120,15,0)),0,VLOOKUP($U$1329,'TAR FIN'!$A$1:$O$120,15,0))</f>
        <v>430.87</v>
      </c>
      <c r="Y1329" s="6">
        <f ca="1">('TUSD BE'!$AM$39+'TUSD BF'!$AM$39+'TUSD CVA'!$AM$39)*1</f>
        <v>49.088494763430781</v>
      </c>
      <c r="Z1329" s="6">
        <f ca="1">('TUSD BE'!$AM$41+'TUSD BF'!$AM$41+'TUSD CVA'!$AM$41)*1</f>
        <v>112.97896283052546</v>
      </c>
      <c r="AA1329" s="6">
        <f>('TE BE'!$AA$13+'TE BF'!$AA$13+'TE CVA'!$AA$13)*1</f>
        <v>375.69180268700768</v>
      </c>
      <c r="AB1329" s="6">
        <f>$K$1329*$V$1329</f>
        <v>793631.36</v>
      </c>
      <c r="AC1329" s="6">
        <f>$M$1329*$W$1329</f>
        <v>84678.380749999997</v>
      </c>
      <c r="AD1329" s="6">
        <f>$O$1329*$X$1329</f>
        <v>332440.76459000004</v>
      </c>
      <c r="AE1329" s="6">
        <f ca="1">$K$1329*$Y$1329</f>
        <v>890268.94102958066</v>
      </c>
      <c r="AF1329" s="6">
        <f ca="1">$M$1329*$Z$1329</f>
        <v>87169.709624631738</v>
      </c>
      <c r="AG1329" s="6">
        <f>$O$1329*$AA$1329</f>
        <v>289867.64020577958</v>
      </c>
    </row>
    <row r="1330" spans="1:33" ht="11.25" customHeight="1" x14ac:dyDescent="0.25">
      <c r="A1330" s="4" t="s">
        <v>27</v>
      </c>
      <c r="B1330" s="4" t="s">
        <v>44</v>
      </c>
      <c r="C1330" s="4" t="s">
        <v>41</v>
      </c>
      <c r="D1330" s="4" t="s">
        <v>42</v>
      </c>
      <c r="E1330" s="4" t="s">
        <v>25</v>
      </c>
      <c r="F1330" s="4" t="s">
        <v>25</v>
      </c>
      <c r="G1330" s="4" t="s">
        <v>25</v>
      </c>
      <c r="H1330" s="4" t="s">
        <v>35</v>
      </c>
      <c r="I1330" s="5">
        <v>43770</v>
      </c>
      <c r="J1330" s="6">
        <v>607</v>
      </c>
      <c r="K1330" s="6">
        <v>607</v>
      </c>
      <c r="L1330" s="6">
        <v>28.259</v>
      </c>
      <c r="M1330" s="6">
        <v>28.259</v>
      </c>
      <c r="N1330" s="6">
        <v>28.259</v>
      </c>
      <c r="O1330" s="6">
        <v>28.259</v>
      </c>
      <c r="P1330" s="6">
        <v>0</v>
      </c>
      <c r="Q1330" s="4" t="s">
        <v>26</v>
      </c>
      <c r="R1330" s="4">
        <v>0</v>
      </c>
      <c r="S1330" s="6">
        <v>31</v>
      </c>
      <c r="T1330" s="6">
        <v>33</v>
      </c>
      <c r="U1330" s="6">
        <v>83</v>
      </c>
      <c r="V1330" s="6">
        <f>IF(ISERROR(VLOOKUP($S$1330,'TAR FIN'!$A$1:$O$120,15,0)),0,VLOOKUP($S$1330,'TAR FIN'!$A$1:$O$120,15,0))</f>
        <v>43.76</v>
      </c>
      <c r="W1330" s="6">
        <f>IF(ISERROR(VLOOKUP($T$1330,'TAR FIN'!$A$1:$O$120,15,0)),0,VLOOKUP($T$1330,'TAR FIN'!$A$1:$O$120,15,0))</f>
        <v>109.75</v>
      </c>
      <c r="X1330" s="6">
        <f>IF(ISERROR(VLOOKUP($U$1330,'TAR FIN'!$A$1:$O$120,15,0)),0,VLOOKUP($U$1330,'TAR FIN'!$A$1:$O$120,15,0))</f>
        <v>430.87</v>
      </c>
      <c r="Y1330" s="6">
        <f ca="1">('TUSD BE'!$AM$39+'TUSD BF'!$AM$39+'TUSD CVA'!$AM$39)*1</f>
        <v>49.088494763430781</v>
      </c>
      <c r="Z1330" s="6">
        <f ca="1">('TUSD BE'!$AM$41+'TUSD BF'!$AM$41+'TUSD CVA'!$AM$41)*1</f>
        <v>112.97896283052546</v>
      </c>
      <c r="AA1330" s="6">
        <f>('TE BE'!$AA$13+'TE BF'!$AA$13+'TE CVA'!$AA$13)*1</f>
        <v>375.69180268700768</v>
      </c>
      <c r="AB1330" s="6">
        <f>$K$1330*$V$1330</f>
        <v>26562.32</v>
      </c>
      <c r="AC1330" s="6">
        <f>$M$1330*$W$1330</f>
        <v>3101.4252500000002</v>
      </c>
      <c r="AD1330" s="6">
        <f>$O$1330*$X$1330</f>
        <v>12175.955330000001</v>
      </c>
      <c r="AE1330" s="6">
        <f ca="1">$K$1330*$Y$1330</f>
        <v>29796.716321402484</v>
      </c>
      <c r="AF1330" s="6">
        <f ca="1">$M$1330*$Z$1330</f>
        <v>3192.6725106278191</v>
      </c>
      <c r="AG1330" s="6">
        <f>$O$1330*$AA$1330</f>
        <v>10616.674652132149</v>
      </c>
    </row>
    <row r="1331" spans="1:33" ht="11.25" customHeight="1" x14ac:dyDescent="0.25">
      <c r="A1331" s="4" t="s">
        <v>28</v>
      </c>
      <c r="B1331" s="4" t="s">
        <v>44</v>
      </c>
      <c r="C1331" s="4" t="s">
        <v>41</v>
      </c>
      <c r="D1331" s="4" t="s">
        <v>42</v>
      </c>
      <c r="E1331" s="4" t="s">
        <v>25</v>
      </c>
      <c r="F1331" s="4" t="s">
        <v>25</v>
      </c>
      <c r="G1331" s="4" t="s">
        <v>25</v>
      </c>
      <c r="H1331" s="4" t="s">
        <v>35</v>
      </c>
      <c r="I1331" s="5">
        <v>43770</v>
      </c>
      <c r="J1331" s="6">
        <v>1310</v>
      </c>
      <c r="K1331" s="6">
        <v>1310</v>
      </c>
      <c r="L1331" s="6">
        <v>74.388999999999996</v>
      </c>
      <c r="M1331" s="6">
        <v>74.388999999999996</v>
      </c>
      <c r="N1331" s="6">
        <v>74.388999999999996</v>
      </c>
      <c r="O1331" s="6">
        <v>74.388999999999996</v>
      </c>
      <c r="P1331" s="6">
        <v>0</v>
      </c>
      <c r="Q1331" s="4" t="s">
        <v>26</v>
      </c>
      <c r="R1331" s="4">
        <v>0</v>
      </c>
      <c r="S1331" s="6">
        <v>31</v>
      </c>
      <c r="T1331" s="6">
        <v>33</v>
      </c>
      <c r="U1331" s="6">
        <v>83</v>
      </c>
      <c r="V1331" s="6">
        <f>IF(ISERROR(VLOOKUP($S$1331,'TAR FIN'!$A$1:$O$120,15,0)),0,VLOOKUP($S$1331,'TAR FIN'!$A$1:$O$120,15,0))</f>
        <v>43.76</v>
      </c>
      <c r="W1331" s="6">
        <f>IF(ISERROR(VLOOKUP($T$1331,'TAR FIN'!$A$1:$O$120,15,0)),0,VLOOKUP($T$1331,'TAR FIN'!$A$1:$O$120,15,0))</f>
        <v>109.75</v>
      </c>
      <c r="X1331" s="6">
        <f>IF(ISERROR(VLOOKUP($U$1331,'TAR FIN'!$A$1:$O$120,15,0)),0,VLOOKUP($U$1331,'TAR FIN'!$A$1:$O$120,15,0))</f>
        <v>430.87</v>
      </c>
      <c r="Y1331" s="6">
        <f ca="1">('TUSD BE'!$AM$39+'TUSD BF'!$AM$39+'TUSD CVA'!$AM$39)*1</f>
        <v>49.088494763430781</v>
      </c>
      <c r="Z1331" s="6">
        <f ca="1">('TUSD BE'!$AM$41+'TUSD BF'!$AM$41+'TUSD CVA'!$AM$41)*1</f>
        <v>112.97896283052546</v>
      </c>
      <c r="AA1331" s="6">
        <f>('TE BE'!$AA$13+'TE BF'!$AA$13+'TE CVA'!$AA$13)*1</f>
        <v>375.69180268700768</v>
      </c>
      <c r="AB1331" s="6">
        <f>$K$1331*$V$1331</f>
        <v>57325.599999999999</v>
      </c>
      <c r="AC1331" s="6">
        <f>$M$1331*$W$1331</f>
        <v>8164.1927499999993</v>
      </c>
      <c r="AD1331" s="6">
        <f>$O$1331*$X$1331</f>
        <v>32051.988429999998</v>
      </c>
      <c r="AE1331" s="6">
        <f ca="1">$K$1331*$Y$1331</f>
        <v>64305.928140094322</v>
      </c>
      <c r="AF1331" s="6">
        <f ca="1">$M$1331*$Z$1331</f>
        <v>8404.3920659999585</v>
      </c>
      <c r="AG1331" s="6">
        <f>$O$1331*$AA$1331</f>
        <v>27947.337510083813</v>
      </c>
    </row>
    <row r="1332" spans="1:33" ht="11.25" customHeight="1" x14ac:dyDescent="0.25">
      <c r="A1332" s="4" t="s">
        <v>21</v>
      </c>
      <c r="B1332" s="4" t="s">
        <v>44</v>
      </c>
      <c r="C1332" s="4" t="s">
        <v>41</v>
      </c>
      <c r="D1332" s="4" t="s">
        <v>42</v>
      </c>
      <c r="E1332" s="4" t="s">
        <v>25</v>
      </c>
      <c r="F1332" s="4" t="s">
        <v>25</v>
      </c>
      <c r="G1332" s="4" t="s">
        <v>25</v>
      </c>
      <c r="H1332" s="4" t="s">
        <v>35</v>
      </c>
      <c r="I1332" s="5">
        <v>43800</v>
      </c>
      <c r="J1332" s="6">
        <v>17509</v>
      </c>
      <c r="K1332" s="6">
        <v>17509</v>
      </c>
      <c r="L1332" s="6">
        <v>713.423</v>
      </c>
      <c r="M1332" s="6">
        <v>713.423</v>
      </c>
      <c r="N1332" s="6">
        <v>713.423</v>
      </c>
      <c r="O1332" s="6">
        <v>713.423</v>
      </c>
      <c r="P1332" s="6">
        <v>0</v>
      </c>
      <c r="Q1332" s="4" t="s">
        <v>26</v>
      </c>
      <c r="R1332" s="4">
        <v>0</v>
      </c>
      <c r="S1332" s="6">
        <v>31</v>
      </c>
      <c r="T1332" s="6">
        <v>33</v>
      </c>
      <c r="U1332" s="6">
        <v>83</v>
      </c>
      <c r="V1332" s="6">
        <f>IF(ISERROR(VLOOKUP($S$1332,'TAR FIN'!$A$1:$O$120,15,0)),0,VLOOKUP($S$1332,'TAR FIN'!$A$1:$O$120,15,0))</f>
        <v>43.76</v>
      </c>
      <c r="W1332" s="6">
        <f>IF(ISERROR(VLOOKUP($T$1332,'TAR FIN'!$A$1:$O$120,15,0)),0,VLOOKUP($T$1332,'TAR FIN'!$A$1:$O$120,15,0))</f>
        <v>109.75</v>
      </c>
      <c r="X1332" s="6">
        <f>IF(ISERROR(VLOOKUP($U$1332,'TAR FIN'!$A$1:$O$120,15,0)),0,VLOOKUP($U$1332,'TAR FIN'!$A$1:$O$120,15,0))</f>
        <v>430.87</v>
      </c>
      <c r="Y1332" s="6">
        <f ca="1">('TUSD BE'!$AM$39+'TUSD BF'!$AM$39+'TUSD CVA'!$AM$39)*1</f>
        <v>49.088494763430781</v>
      </c>
      <c r="Z1332" s="6">
        <f ca="1">('TUSD BE'!$AM$41+'TUSD BF'!$AM$41+'TUSD CVA'!$AM$41)*1</f>
        <v>112.97896283052546</v>
      </c>
      <c r="AA1332" s="6">
        <f>('TE BE'!$AA$13+'TE BF'!$AA$13+'TE CVA'!$AA$13)*1</f>
        <v>375.69180268700768</v>
      </c>
      <c r="AB1332" s="6">
        <f>$K$1332*$V$1332</f>
        <v>766193.84</v>
      </c>
      <c r="AC1332" s="6">
        <f>$M$1332*$W$1332</f>
        <v>78298.174249999996</v>
      </c>
      <c r="AD1332" s="6">
        <f>$O$1332*$X$1332</f>
        <v>307392.56800999999</v>
      </c>
      <c r="AE1332" s="6">
        <f ca="1">$K$1332*$Y$1332</f>
        <v>859490.45481290959</v>
      </c>
      <c r="AF1332" s="6">
        <f ca="1">$M$1332*$Z$1332</f>
        <v>80601.790599441971</v>
      </c>
      <c r="AG1332" s="6">
        <f>$O$1332*$AA$1332</f>
        <v>268027.17294837307</v>
      </c>
    </row>
    <row r="1333" spans="1:33" ht="11.25" customHeight="1" x14ac:dyDescent="0.25">
      <c r="A1333" s="4" t="s">
        <v>27</v>
      </c>
      <c r="B1333" s="4" t="s">
        <v>44</v>
      </c>
      <c r="C1333" s="4" t="s">
        <v>41</v>
      </c>
      <c r="D1333" s="4" t="s">
        <v>42</v>
      </c>
      <c r="E1333" s="4" t="s">
        <v>25</v>
      </c>
      <c r="F1333" s="4" t="s">
        <v>25</v>
      </c>
      <c r="G1333" s="4" t="s">
        <v>25</v>
      </c>
      <c r="H1333" s="4" t="s">
        <v>35</v>
      </c>
      <c r="I1333" s="5">
        <v>43800</v>
      </c>
      <c r="J1333" s="6">
        <v>664</v>
      </c>
      <c r="K1333" s="6">
        <v>664</v>
      </c>
      <c r="L1333" s="6">
        <v>29.344000000000001</v>
      </c>
      <c r="M1333" s="6">
        <v>29.344000000000001</v>
      </c>
      <c r="N1333" s="6">
        <v>29.344000000000001</v>
      </c>
      <c r="O1333" s="6">
        <v>29.344000000000001</v>
      </c>
      <c r="P1333" s="6">
        <v>0</v>
      </c>
      <c r="Q1333" s="4" t="s">
        <v>26</v>
      </c>
      <c r="R1333" s="4">
        <v>0</v>
      </c>
      <c r="S1333" s="6">
        <v>31</v>
      </c>
      <c r="T1333" s="6">
        <v>33</v>
      </c>
      <c r="U1333" s="6">
        <v>83</v>
      </c>
      <c r="V1333" s="6">
        <f>IF(ISERROR(VLOOKUP($S$1333,'TAR FIN'!$A$1:$O$120,15,0)),0,VLOOKUP($S$1333,'TAR FIN'!$A$1:$O$120,15,0))</f>
        <v>43.76</v>
      </c>
      <c r="W1333" s="6">
        <f>IF(ISERROR(VLOOKUP($T$1333,'TAR FIN'!$A$1:$O$120,15,0)),0,VLOOKUP($T$1333,'TAR FIN'!$A$1:$O$120,15,0))</f>
        <v>109.75</v>
      </c>
      <c r="X1333" s="6">
        <f>IF(ISERROR(VLOOKUP($U$1333,'TAR FIN'!$A$1:$O$120,15,0)),0,VLOOKUP($U$1333,'TAR FIN'!$A$1:$O$120,15,0))</f>
        <v>430.87</v>
      </c>
      <c r="Y1333" s="6">
        <f ca="1">('TUSD BE'!$AM$39+'TUSD BF'!$AM$39+'TUSD CVA'!$AM$39)*1</f>
        <v>49.088494763430781</v>
      </c>
      <c r="Z1333" s="6">
        <f ca="1">('TUSD BE'!$AM$41+'TUSD BF'!$AM$41+'TUSD CVA'!$AM$41)*1</f>
        <v>112.97896283052546</v>
      </c>
      <c r="AA1333" s="6">
        <f>('TE BE'!$AA$13+'TE BF'!$AA$13+'TE CVA'!$AA$13)*1</f>
        <v>375.69180268700768</v>
      </c>
      <c r="AB1333" s="6">
        <f>$K$1333*$V$1333</f>
        <v>29056.639999999999</v>
      </c>
      <c r="AC1333" s="6">
        <f>$M$1333*$W$1333</f>
        <v>3220.5039999999999</v>
      </c>
      <c r="AD1333" s="6">
        <f>$O$1333*$X$1333</f>
        <v>12643.449280000001</v>
      </c>
      <c r="AE1333" s="6">
        <f ca="1">$K$1333*$Y$1333</f>
        <v>32594.760522918037</v>
      </c>
      <c r="AF1333" s="6">
        <f ca="1">$M$1333*$Z$1333</f>
        <v>3315.2546852989394</v>
      </c>
      <c r="AG1333" s="6">
        <f>$O$1333*$AA$1333</f>
        <v>11024.300258047553</v>
      </c>
    </row>
    <row r="1334" spans="1:33" ht="11.25" customHeight="1" x14ac:dyDescent="0.25">
      <c r="A1334" s="4" t="s">
        <v>28</v>
      </c>
      <c r="B1334" s="4" t="s">
        <v>44</v>
      </c>
      <c r="C1334" s="4" t="s">
        <v>41</v>
      </c>
      <c r="D1334" s="4" t="s">
        <v>42</v>
      </c>
      <c r="E1334" s="4" t="s">
        <v>25</v>
      </c>
      <c r="F1334" s="4" t="s">
        <v>25</v>
      </c>
      <c r="G1334" s="4" t="s">
        <v>25</v>
      </c>
      <c r="H1334" s="4" t="s">
        <v>35</v>
      </c>
      <c r="I1334" s="5">
        <v>43800</v>
      </c>
      <c r="J1334" s="6">
        <v>710</v>
      </c>
      <c r="K1334" s="6">
        <v>710</v>
      </c>
      <c r="L1334" s="6">
        <v>31.387</v>
      </c>
      <c r="M1334" s="6">
        <v>31.387</v>
      </c>
      <c r="N1334" s="6">
        <v>31.387</v>
      </c>
      <c r="O1334" s="6">
        <v>31.387</v>
      </c>
      <c r="P1334" s="6">
        <v>0</v>
      </c>
      <c r="Q1334" s="4" t="s">
        <v>26</v>
      </c>
      <c r="R1334" s="4">
        <v>0</v>
      </c>
      <c r="S1334" s="6">
        <v>31</v>
      </c>
      <c r="T1334" s="6">
        <v>33</v>
      </c>
      <c r="U1334" s="6">
        <v>83</v>
      </c>
      <c r="V1334" s="6">
        <f>IF(ISERROR(VLOOKUP($S$1334,'TAR FIN'!$A$1:$O$120,15,0)),0,VLOOKUP($S$1334,'TAR FIN'!$A$1:$O$120,15,0))</f>
        <v>43.76</v>
      </c>
      <c r="W1334" s="6">
        <f>IF(ISERROR(VLOOKUP($T$1334,'TAR FIN'!$A$1:$O$120,15,0)),0,VLOOKUP($T$1334,'TAR FIN'!$A$1:$O$120,15,0))</f>
        <v>109.75</v>
      </c>
      <c r="X1334" s="6">
        <f>IF(ISERROR(VLOOKUP($U$1334,'TAR FIN'!$A$1:$O$120,15,0)),0,VLOOKUP($U$1334,'TAR FIN'!$A$1:$O$120,15,0))</f>
        <v>430.87</v>
      </c>
      <c r="Y1334" s="6">
        <f ca="1">('TUSD BE'!$AM$39+'TUSD BF'!$AM$39+'TUSD CVA'!$AM$39)*1</f>
        <v>49.088494763430781</v>
      </c>
      <c r="Z1334" s="6">
        <f ca="1">('TUSD BE'!$AM$41+'TUSD BF'!$AM$41+'TUSD CVA'!$AM$41)*1</f>
        <v>112.97896283052546</v>
      </c>
      <c r="AA1334" s="6">
        <f>('TE BE'!$AA$13+'TE BF'!$AA$13+'TE CVA'!$AA$13)*1</f>
        <v>375.69180268700768</v>
      </c>
      <c r="AB1334" s="6">
        <f>$K$1334*$V$1334</f>
        <v>31069.599999999999</v>
      </c>
      <c r="AC1334" s="6">
        <f>$M$1334*$W$1334</f>
        <v>3444.72325</v>
      </c>
      <c r="AD1334" s="6">
        <f>$O$1334*$X$1334</f>
        <v>13523.716690000001</v>
      </c>
      <c r="AE1334" s="6">
        <f ca="1">$K$1334*$Y$1334</f>
        <v>34852.831282035855</v>
      </c>
      <c r="AF1334" s="6">
        <f ca="1">$M$1334*$Z$1334</f>
        <v>3546.0707063617028</v>
      </c>
      <c r="AG1334" s="6">
        <f>$O$1334*$AA$1334</f>
        <v>11791.838610937109</v>
      </c>
    </row>
    <row r="1335" spans="1:33" ht="11.25" customHeight="1" x14ac:dyDescent="0.25">
      <c r="A1335" s="4" t="s">
        <v>21</v>
      </c>
      <c r="B1335" s="4" t="s">
        <v>44</v>
      </c>
      <c r="C1335" s="4" t="s">
        <v>41</v>
      </c>
      <c r="D1335" s="4" t="s">
        <v>42</v>
      </c>
      <c r="E1335" s="4" t="s">
        <v>25</v>
      </c>
      <c r="F1335" s="4" t="s">
        <v>25</v>
      </c>
      <c r="G1335" s="4" t="s">
        <v>25</v>
      </c>
      <c r="H1335" s="4" t="s">
        <v>35</v>
      </c>
      <c r="I1335" s="5">
        <v>43831</v>
      </c>
      <c r="J1335" s="6">
        <v>17526</v>
      </c>
      <c r="K1335" s="6">
        <v>17526</v>
      </c>
      <c r="L1335" s="6">
        <v>699.71299999999997</v>
      </c>
      <c r="M1335" s="6">
        <v>699.71299999999997</v>
      </c>
      <c r="N1335" s="6">
        <v>699.71299999999997</v>
      </c>
      <c r="O1335" s="6">
        <v>699.71299999999997</v>
      </c>
      <c r="P1335" s="6">
        <v>0</v>
      </c>
      <c r="Q1335" s="4" t="s">
        <v>26</v>
      </c>
      <c r="R1335" s="4">
        <v>0</v>
      </c>
      <c r="S1335" s="6">
        <v>31</v>
      </c>
      <c r="T1335" s="6">
        <v>33</v>
      </c>
      <c r="U1335" s="6">
        <v>83</v>
      </c>
      <c r="V1335" s="6">
        <f>IF(ISERROR(VLOOKUP($S$1335,'TAR FIN'!$A$1:$O$120,15,0)),0,VLOOKUP($S$1335,'TAR FIN'!$A$1:$O$120,15,0))</f>
        <v>43.76</v>
      </c>
      <c r="W1335" s="6">
        <f>IF(ISERROR(VLOOKUP($T$1335,'TAR FIN'!$A$1:$O$120,15,0)),0,VLOOKUP($T$1335,'TAR FIN'!$A$1:$O$120,15,0))</f>
        <v>109.75</v>
      </c>
      <c r="X1335" s="6">
        <f>IF(ISERROR(VLOOKUP($U$1335,'TAR FIN'!$A$1:$O$120,15,0)),0,VLOOKUP($U$1335,'TAR FIN'!$A$1:$O$120,15,0))</f>
        <v>430.87</v>
      </c>
      <c r="Y1335" s="6">
        <f ca="1">('TUSD BE'!$AM$39+'TUSD BF'!$AM$39+'TUSD CVA'!$AM$39)*1</f>
        <v>49.088494763430781</v>
      </c>
      <c r="Z1335" s="6">
        <f ca="1">('TUSD BE'!$AM$41+'TUSD BF'!$AM$41+'TUSD CVA'!$AM$41)*1</f>
        <v>112.97896283052546</v>
      </c>
      <c r="AA1335" s="6">
        <f>('TE BE'!$AA$13+'TE BF'!$AA$13+'TE CVA'!$AA$13)*1</f>
        <v>375.69180268700768</v>
      </c>
      <c r="AB1335" s="6">
        <f>$K$1335*$V$1335</f>
        <v>766937.76</v>
      </c>
      <c r="AC1335" s="6">
        <f>$M$1335*$W$1335</f>
        <v>76793.501749999996</v>
      </c>
      <c r="AD1335" s="6">
        <f>$O$1335*$X$1335</f>
        <v>301485.34031</v>
      </c>
      <c r="AE1335" s="6">
        <f ca="1">$K$1335*$Y$1335</f>
        <v>860324.95922388788</v>
      </c>
      <c r="AF1335" s="6">
        <f ca="1">$M$1335*$Z$1335</f>
        <v>79052.849019035464</v>
      </c>
      <c r="AG1335" s="6">
        <f>$O$1335*$AA$1335</f>
        <v>262876.43833353417</v>
      </c>
    </row>
    <row r="1336" spans="1:33" ht="11.25" customHeight="1" x14ac:dyDescent="0.25">
      <c r="A1336" s="4" t="s">
        <v>27</v>
      </c>
      <c r="B1336" s="4" t="s">
        <v>44</v>
      </c>
      <c r="C1336" s="4" t="s">
        <v>41</v>
      </c>
      <c r="D1336" s="4" t="s">
        <v>42</v>
      </c>
      <c r="E1336" s="4" t="s">
        <v>25</v>
      </c>
      <c r="F1336" s="4" t="s">
        <v>25</v>
      </c>
      <c r="G1336" s="4" t="s">
        <v>25</v>
      </c>
      <c r="H1336" s="4" t="s">
        <v>35</v>
      </c>
      <c r="I1336" s="5">
        <v>43831</v>
      </c>
      <c r="J1336" s="6">
        <v>74</v>
      </c>
      <c r="K1336" s="6">
        <v>74</v>
      </c>
      <c r="L1336" s="6">
        <v>3.4929999999999999</v>
      </c>
      <c r="M1336" s="6">
        <v>3.4929999999999999</v>
      </c>
      <c r="N1336" s="6">
        <v>3.4929999999999999</v>
      </c>
      <c r="O1336" s="6">
        <v>3.4929999999999999</v>
      </c>
      <c r="P1336" s="6">
        <v>0</v>
      </c>
      <c r="Q1336" s="4" t="s">
        <v>26</v>
      </c>
      <c r="R1336" s="4">
        <v>0</v>
      </c>
      <c r="S1336" s="6">
        <v>31</v>
      </c>
      <c r="T1336" s="6">
        <v>33</v>
      </c>
      <c r="U1336" s="6">
        <v>83</v>
      </c>
      <c r="V1336" s="6">
        <f>IF(ISERROR(VLOOKUP($S$1336,'TAR FIN'!$A$1:$O$120,15,0)),0,VLOOKUP($S$1336,'TAR FIN'!$A$1:$O$120,15,0))</f>
        <v>43.76</v>
      </c>
      <c r="W1336" s="6">
        <f>IF(ISERROR(VLOOKUP($T$1336,'TAR FIN'!$A$1:$O$120,15,0)),0,VLOOKUP($T$1336,'TAR FIN'!$A$1:$O$120,15,0))</f>
        <v>109.75</v>
      </c>
      <c r="X1336" s="6">
        <f>IF(ISERROR(VLOOKUP($U$1336,'TAR FIN'!$A$1:$O$120,15,0)),0,VLOOKUP($U$1336,'TAR FIN'!$A$1:$O$120,15,0))</f>
        <v>430.87</v>
      </c>
      <c r="Y1336" s="6">
        <f ca="1">('TUSD BE'!$AM$39+'TUSD BF'!$AM$39+'TUSD CVA'!$AM$39)*1</f>
        <v>49.088494763430781</v>
      </c>
      <c r="Z1336" s="6">
        <f ca="1">('TUSD BE'!$AM$41+'TUSD BF'!$AM$41+'TUSD CVA'!$AM$41)*1</f>
        <v>112.97896283052546</v>
      </c>
      <c r="AA1336" s="6">
        <f>('TE BE'!$AA$13+'TE BF'!$AA$13+'TE CVA'!$AA$13)*1</f>
        <v>375.69180268700768</v>
      </c>
      <c r="AB1336" s="6">
        <f>$K$1336*$V$1336</f>
        <v>3238.24</v>
      </c>
      <c r="AC1336" s="6">
        <f>$M$1336*$W$1336</f>
        <v>383.35674999999998</v>
      </c>
      <c r="AD1336" s="6">
        <f>$O$1336*$X$1336</f>
        <v>1505.02891</v>
      </c>
      <c r="AE1336" s="6">
        <f ca="1">$K$1336*$Y$1336</f>
        <v>3632.548612493878</v>
      </c>
      <c r="AF1336" s="6">
        <f ca="1">$M$1336*$Z$1336</f>
        <v>394.6355171670254</v>
      </c>
      <c r="AG1336" s="6">
        <f>$O$1336*$AA$1336</f>
        <v>1312.2914667857178</v>
      </c>
    </row>
    <row r="1337" spans="1:33" ht="11.25" customHeight="1" x14ac:dyDescent="0.25">
      <c r="A1337" s="4" t="s">
        <v>28</v>
      </c>
      <c r="B1337" s="4" t="s">
        <v>44</v>
      </c>
      <c r="C1337" s="4" t="s">
        <v>41</v>
      </c>
      <c r="D1337" s="4" t="s">
        <v>42</v>
      </c>
      <c r="E1337" s="4" t="s">
        <v>25</v>
      </c>
      <c r="F1337" s="4" t="s">
        <v>25</v>
      </c>
      <c r="G1337" s="4" t="s">
        <v>25</v>
      </c>
      <c r="H1337" s="4" t="s">
        <v>35</v>
      </c>
      <c r="I1337" s="5">
        <v>43831</v>
      </c>
      <c r="J1337" s="6">
        <v>710</v>
      </c>
      <c r="K1337" s="6">
        <v>710</v>
      </c>
      <c r="L1337" s="6">
        <v>32.384999999999998</v>
      </c>
      <c r="M1337" s="6">
        <v>32.384999999999998</v>
      </c>
      <c r="N1337" s="6">
        <v>32.384999999999998</v>
      </c>
      <c r="O1337" s="6">
        <v>32.384999999999998</v>
      </c>
      <c r="P1337" s="6">
        <v>0</v>
      </c>
      <c r="Q1337" s="4" t="s">
        <v>26</v>
      </c>
      <c r="R1337" s="4">
        <v>0</v>
      </c>
      <c r="S1337" s="6">
        <v>31</v>
      </c>
      <c r="T1337" s="6">
        <v>33</v>
      </c>
      <c r="U1337" s="6">
        <v>83</v>
      </c>
      <c r="V1337" s="6">
        <f>IF(ISERROR(VLOOKUP($S$1337,'TAR FIN'!$A$1:$O$120,15,0)),0,VLOOKUP($S$1337,'TAR FIN'!$A$1:$O$120,15,0))</f>
        <v>43.76</v>
      </c>
      <c r="W1337" s="6">
        <f>IF(ISERROR(VLOOKUP($T$1337,'TAR FIN'!$A$1:$O$120,15,0)),0,VLOOKUP($T$1337,'TAR FIN'!$A$1:$O$120,15,0))</f>
        <v>109.75</v>
      </c>
      <c r="X1337" s="6">
        <f>IF(ISERROR(VLOOKUP($U$1337,'TAR FIN'!$A$1:$O$120,15,0)),0,VLOOKUP($U$1337,'TAR FIN'!$A$1:$O$120,15,0))</f>
        <v>430.87</v>
      </c>
      <c r="Y1337" s="6">
        <f ca="1">('TUSD BE'!$AM$39+'TUSD BF'!$AM$39+'TUSD CVA'!$AM$39)*1</f>
        <v>49.088494763430781</v>
      </c>
      <c r="Z1337" s="6">
        <f ca="1">('TUSD BE'!$AM$41+'TUSD BF'!$AM$41+'TUSD CVA'!$AM$41)*1</f>
        <v>112.97896283052546</v>
      </c>
      <c r="AA1337" s="6">
        <f>('TE BE'!$AA$13+'TE BF'!$AA$13+'TE CVA'!$AA$13)*1</f>
        <v>375.69180268700768</v>
      </c>
      <c r="AB1337" s="6">
        <f>$K$1337*$V$1337</f>
        <v>31069.599999999999</v>
      </c>
      <c r="AC1337" s="6">
        <f>$M$1337*$W$1337</f>
        <v>3554.2537499999999</v>
      </c>
      <c r="AD1337" s="6">
        <f>$O$1337*$X$1337</f>
        <v>13953.72495</v>
      </c>
      <c r="AE1337" s="6">
        <f ca="1">$K$1337*$Y$1337</f>
        <v>34852.831282035855</v>
      </c>
      <c r="AF1337" s="6">
        <f ca="1">$M$1337*$Z$1337</f>
        <v>3658.823711266567</v>
      </c>
      <c r="AG1337" s="6">
        <f>$O$1337*$AA$1337</f>
        <v>12166.779030018743</v>
      </c>
    </row>
    <row r="1338" spans="1:33" ht="11.25" customHeight="1" x14ac:dyDescent="0.25">
      <c r="A1338" s="4" t="s">
        <v>21</v>
      </c>
      <c r="B1338" s="4" t="s">
        <v>44</v>
      </c>
      <c r="C1338" s="4" t="s">
        <v>41</v>
      </c>
      <c r="D1338" s="4" t="s">
        <v>42</v>
      </c>
      <c r="E1338" s="4" t="s">
        <v>25</v>
      </c>
      <c r="F1338" s="4" t="s">
        <v>25</v>
      </c>
      <c r="G1338" s="4" t="s">
        <v>25</v>
      </c>
      <c r="H1338" s="4" t="s">
        <v>35</v>
      </c>
      <c r="I1338" s="5">
        <v>43862</v>
      </c>
      <c r="J1338" s="6">
        <v>17751</v>
      </c>
      <c r="K1338" s="6">
        <v>17751</v>
      </c>
      <c r="L1338" s="6">
        <v>754.88599999999997</v>
      </c>
      <c r="M1338" s="6">
        <v>754.88599999999997</v>
      </c>
      <c r="N1338" s="6">
        <v>754.88599999999997</v>
      </c>
      <c r="O1338" s="6">
        <v>754.88599999999997</v>
      </c>
      <c r="P1338" s="6">
        <v>0</v>
      </c>
      <c r="Q1338" s="4" t="s">
        <v>26</v>
      </c>
      <c r="R1338" s="4">
        <v>0</v>
      </c>
      <c r="S1338" s="6">
        <v>31</v>
      </c>
      <c r="T1338" s="6">
        <v>33</v>
      </c>
      <c r="U1338" s="6">
        <v>83</v>
      </c>
      <c r="V1338" s="6">
        <f>IF(ISERROR(VLOOKUP($S$1338,'TAR FIN'!$A$1:$O$120,15,0)),0,VLOOKUP($S$1338,'TAR FIN'!$A$1:$O$120,15,0))</f>
        <v>43.76</v>
      </c>
      <c r="W1338" s="6">
        <f>IF(ISERROR(VLOOKUP($T$1338,'TAR FIN'!$A$1:$O$120,15,0)),0,VLOOKUP($T$1338,'TAR FIN'!$A$1:$O$120,15,0))</f>
        <v>109.75</v>
      </c>
      <c r="X1338" s="6">
        <f>IF(ISERROR(VLOOKUP($U$1338,'TAR FIN'!$A$1:$O$120,15,0)),0,VLOOKUP($U$1338,'TAR FIN'!$A$1:$O$120,15,0))</f>
        <v>430.87</v>
      </c>
      <c r="Y1338" s="6">
        <f ca="1">('TUSD BE'!$AM$39+'TUSD BF'!$AM$39+'TUSD CVA'!$AM$39)*1</f>
        <v>49.088494763430781</v>
      </c>
      <c r="Z1338" s="6">
        <f ca="1">('TUSD BE'!$AM$41+'TUSD BF'!$AM$41+'TUSD CVA'!$AM$41)*1</f>
        <v>112.97896283052546</v>
      </c>
      <c r="AA1338" s="6">
        <f>('TE BE'!$AA$13+'TE BF'!$AA$13+'TE CVA'!$AA$13)*1</f>
        <v>375.69180268700768</v>
      </c>
      <c r="AB1338" s="6">
        <f>$K$1338*$V$1338</f>
        <v>776783.76</v>
      </c>
      <c r="AC1338" s="6">
        <f>$M$1338*$W$1338</f>
        <v>82848.738499999992</v>
      </c>
      <c r="AD1338" s="6">
        <f>$O$1338*$X$1338</f>
        <v>325257.73082</v>
      </c>
      <c r="AE1338" s="6">
        <f ca="1">$K$1338*$Y$1338</f>
        <v>871369.8705456598</v>
      </c>
      <c r="AF1338" s="6">
        <f ca="1">$M$1338*$Z$1338</f>
        <v>85286.237335284037</v>
      </c>
      <c r="AG1338" s="6">
        <f>$O$1338*$AA$1338</f>
        <v>283604.48216318444</v>
      </c>
    </row>
    <row r="1339" spans="1:33" ht="11.25" customHeight="1" x14ac:dyDescent="0.25">
      <c r="A1339" s="4" t="s">
        <v>27</v>
      </c>
      <c r="B1339" s="4" t="s">
        <v>44</v>
      </c>
      <c r="C1339" s="4" t="s">
        <v>41</v>
      </c>
      <c r="D1339" s="4" t="s">
        <v>42</v>
      </c>
      <c r="E1339" s="4" t="s">
        <v>25</v>
      </c>
      <c r="F1339" s="4" t="s">
        <v>25</v>
      </c>
      <c r="G1339" s="4" t="s">
        <v>25</v>
      </c>
      <c r="H1339" s="4" t="s">
        <v>35</v>
      </c>
      <c r="I1339" s="5">
        <v>43862</v>
      </c>
      <c r="J1339" s="6">
        <v>494</v>
      </c>
      <c r="K1339" s="6">
        <v>494</v>
      </c>
      <c r="L1339" s="6">
        <v>9.2070000000000007</v>
      </c>
      <c r="M1339" s="6">
        <v>9.2070000000000007</v>
      </c>
      <c r="N1339" s="6">
        <v>9.2070000000000007</v>
      </c>
      <c r="O1339" s="6">
        <v>9.2070000000000007</v>
      </c>
      <c r="P1339" s="6">
        <v>0</v>
      </c>
      <c r="Q1339" s="4" t="s">
        <v>26</v>
      </c>
      <c r="R1339" s="4">
        <v>0</v>
      </c>
      <c r="S1339" s="6">
        <v>31</v>
      </c>
      <c r="T1339" s="6">
        <v>33</v>
      </c>
      <c r="U1339" s="6">
        <v>83</v>
      </c>
      <c r="V1339" s="6">
        <f>IF(ISERROR(VLOOKUP($S$1339,'TAR FIN'!$A$1:$O$120,15,0)),0,VLOOKUP($S$1339,'TAR FIN'!$A$1:$O$120,15,0))</f>
        <v>43.76</v>
      </c>
      <c r="W1339" s="6">
        <f>IF(ISERROR(VLOOKUP($T$1339,'TAR FIN'!$A$1:$O$120,15,0)),0,VLOOKUP($T$1339,'TAR FIN'!$A$1:$O$120,15,0))</f>
        <v>109.75</v>
      </c>
      <c r="X1339" s="6">
        <f>IF(ISERROR(VLOOKUP($U$1339,'TAR FIN'!$A$1:$O$120,15,0)),0,VLOOKUP($U$1339,'TAR FIN'!$A$1:$O$120,15,0))</f>
        <v>430.87</v>
      </c>
      <c r="Y1339" s="6">
        <f ca="1">('TUSD BE'!$AM$39+'TUSD BF'!$AM$39+'TUSD CVA'!$AM$39)*1</f>
        <v>49.088494763430781</v>
      </c>
      <c r="Z1339" s="6">
        <f ca="1">('TUSD BE'!$AM$41+'TUSD BF'!$AM$41+'TUSD CVA'!$AM$41)*1</f>
        <v>112.97896283052546</v>
      </c>
      <c r="AA1339" s="6">
        <f>('TE BE'!$AA$13+'TE BF'!$AA$13+'TE CVA'!$AA$13)*1</f>
        <v>375.69180268700768</v>
      </c>
      <c r="AB1339" s="6">
        <f>$K$1339*$V$1339</f>
        <v>21617.439999999999</v>
      </c>
      <c r="AC1339" s="6">
        <f>$M$1339*$W$1339</f>
        <v>1010.4682500000001</v>
      </c>
      <c r="AD1339" s="6">
        <f>$O$1339*$X$1339</f>
        <v>3967.0200900000004</v>
      </c>
      <c r="AE1339" s="6">
        <f ca="1">$K$1339*$Y$1339</f>
        <v>24249.716413134807</v>
      </c>
      <c r="AF1339" s="6">
        <f ca="1">$M$1339*$Z$1339</f>
        <v>1040.197310780648</v>
      </c>
      <c r="AG1339" s="6">
        <f>$O$1339*$AA$1339</f>
        <v>3458.9944273392798</v>
      </c>
    </row>
    <row r="1340" spans="1:33" ht="11.25" customHeight="1" x14ac:dyDescent="0.25">
      <c r="A1340" s="4" t="s">
        <v>28</v>
      </c>
      <c r="B1340" s="4" t="s">
        <v>44</v>
      </c>
      <c r="C1340" s="4" t="s">
        <v>41</v>
      </c>
      <c r="D1340" s="4" t="s">
        <v>42</v>
      </c>
      <c r="E1340" s="4" t="s">
        <v>25</v>
      </c>
      <c r="F1340" s="4" t="s">
        <v>25</v>
      </c>
      <c r="G1340" s="4" t="s">
        <v>25</v>
      </c>
      <c r="H1340" s="4" t="s">
        <v>35</v>
      </c>
      <c r="I1340" s="5">
        <v>43862</v>
      </c>
      <c r="J1340" s="6">
        <v>2560</v>
      </c>
      <c r="K1340" s="6">
        <v>2560</v>
      </c>
      <c r="L1340" s="6">
        <v>115.271</v>
      </c>
      <c r="M1340" s="6">
        <v>115.271</v>
      </c>
      <c r="N1340" s="6">
        <v>115.271</v>
      </c>
      <c r="O1340" s="6">
        <v>115.271</v>
      </c>
      <c r="P1340" s="6">
        <v>0</v>
      </c>
      <c r="Q1340" s="4" t="s">
        <v>26</v>
      </c>
      <c r="R1340" s="4">
        <v>0</v>
      </c>
      <c r="S1340" s="6">
        <v>31</v>
      </c>
      <c r="T1340" s="6">
        <v>33</v>
      </c>
      <c r="U1340" s="6">
        <v>83</v>
      </c>
      <c r="V1340" s="6">
        <f>IF(ISERROR(VLOOKUP($S$1340,'TAR FIN'!$A$1:$O$120,15,0)),0,VLOOKUP($S$1340,'TAR FIN'!$A$1:$O$120,15,0))</f>
        <v>43.76</v>
      </c>
      <c r="W1340" s="6">
        <f>IF(ISERROR(VLOOKUP($T$1340,'TAR FIN'!$A$1:$O$120,15,0)),0,VLOOKUP($T$1340,'TAR FIN'!$A$1:$O$120,15,0))</f>
        <v>109.75</v>
      </c>
      <c r="X1340" s="6">
        <f>IF(ISERROR(VLOOKUP($U$1340,'TAR FIN'!$A$1:$O$120,15,0)),0,VLOOKUP($U$1340,'TAR FIN'!$A$1:$O$120,15,0))</f>
        <v>430.87</v>
      </c>
      <c r="Y1340" s="6">
        <f ca="1">('TUSD BE'!$AM$39+'TUSD BF'!$AM$39+'TUSD CVA'!$AM$39)*1</f>
        <v>49.088494763430781</v>
      </c>
      <c r="Z1340" s="6">
        <f ca="1">('TUSD BE'!$AM$41+'TUSD BF'!$AM$41+'TUSD CVA'!$AM$41)*1</f>
        <v>112.97896283052546</v>
      </c>
      <c r="AA1340" s="6">
        <f>('TE BE'!$AA$13+'TE BF'!$AA$13+'TE CVA'!$AA$13)*1</f>
        <v>375.69180268700768</v>
      </c>
      <c r="AB1340" s="6">
        <f>$K$1340*$V$1340</f>
        <v>112025.59999999999</v>
      </c>
      <c r="AC1340" s="6">
        <f>$M$1340*$W$1340</f>
        <v>12650.992249999999</v>
      </c>
      <c r="AD1340" s="6">
        <f>$O$1340*$X$1340</f>
        <v>49666.815770000001</v>
      </c>
      <c r="AE1340" s="6">
        <f ca="1">$K$1340*$Y$1340</f>
        <v>125666.5465943828</v>
      </c>
      <c r="AF1340" s="6">
        <f ca="1">$M$1340*$Z$1340</f>
        <v>13023.198024437501</v>
      </c>
      <c r="AG1340" s="6">
        <f>$O$1340*$AA$1340</f>
        <v>43306.369787534066</v>
      </c>
    </row>
    <row r="1341" spans="1:33" ht="11.25" customHeight="1" x14ac:dyDescent="0.25">
      <c r="A1341" s="4" t="s">
        <v>21</v>
      </c>
      <c r="B1341" s="4" t="s">
        <v>44</v>
      </c>
      <c r="C1341" s="4" t="s">
        <v>41</v>
      </c>
      <c r="D1341" s="4" t="s">
        <v>42</v>
      </c>
      <c r="E1341" s="4" t="s">
        <v>25</v>
      </c>
      <c r="F1341" s="4" t="s">
        <v>25</v>
      </c>
      <c r="G1341" s="4" t="s">
        <v>25</v>
      </c>
      <c r="H1341" s="4" t="s">
        <v>35</v>
      </c>
      <c r="I1341" s="5">
        <v>43891</v>
      </c>
      <c r="J1341" s="6">
        <v>17014</v>
      </c>
      <c r="K1341" s="6">
        <v>17014</v>
      </c>
      <c r="L1341" s="6">
        <v>687.51400000000001</v>
      </c>
      <c r="M1341" s="6">
        <v>687.51400000000001</v>
      </c>
      <c r="N1341" s="6">
        <v>687.51400000000001</v>
      </c>
      <c r="O1341" s="6">
        <v>687.51400000000001</v>
      </c>
      <c r="P1341" s="6">
        <v>0</v>
      </c>
      <c r="Q1341" s="4" t="s">
        <v>26</v>
      </c>
      <c r="R1341" s="4">
        <v>0</v>
      </c>
      <c r="S1341" s="6">
        <v>31</v>
      </c>
      <c r="T1341" s="6">
        <v>33</v>
      </c>
      <c r="U1341" s="6">
        <v>83</v>
      </c>
      <c r="V1341" s="6">
        <f>IF(ISERROR(VLOOKUP($S$1341,'TAR FIN'!$A$1:$O$120,15,0)),0,VLOOKUP($S$1341,'TAR FIN'!$A$1:$O$120,15,0))</f>
        <v>43.76</v>
      </c>
      <c r="W1341" s="6">
        <f>IF(ISERROR(VLOOKUP($T$1341,'TAR FIN'!$A$1:$O$120,15,0)),0,VLOOKUP($T$1341,'TAR FIN'!$A$1:$O$120,15,0))</f>
        <v>109.75</v>
      </c>
      <c r="X1341" s="6">
        <f>IF(ISERROR(VLOOKUP($U$1341,'TAR FIN'!$A$1:$O$120,15,0)),0,VLOOKUP($U$1341,'TAR FIN'!$A$1:$O$120,15,0))</f>
        <v>430.87</v>
      </c>
      <c r="Y1341" s="6">
        <f ca="1">('TUSD BE'!$AM$39+'TUSD BF'!$AM$39+'TUSD CVA'!$AM$39)*1</f>
        <v>49.088494763430781</v>
      </c>
      <c r="Z1341" s="6">
        <f ca="1">('TUSD BE'!$AM$41+'TUSD BF'!$AM$41+'TUSD CVA'!$AM$41)*1</f>
        <v>112.97896283052546</v>
      </c>
      <c r="AA1341" s="6">
        <f>('TE BE'!$AA$13+'TE BF'!$AA$13+'TE CVA'!$AA$13)*1</f>
        <v>375.69180268700768</v>
      </c>
      <c r="AB1341" s="6">
        <f>$K$1341*$V$1341</f>
        <v>744532.64</v>
      </c>
      <c r="AC1341" s="6">
        <f>$M$1341*$W$1341</f>
        <v>75454.661500000002</v>
      </c>
      <c r="AD1341" s="6">
        <f>$O$1341*$X$1341</f>
        <v>296229.15717999998</v>
      </c>
      <c r="AE1341" s="6">
        <f ca="1">$K$1341*$Y$1341</f>
        <v>835191.64990501129</v>
      </c>
      <c r="AF1341" s="6">
        <f ca="1">$M$1341*$Z$1341</f>
        <v>77674.618651465877</v>
      </c>
      <c r="AG1341" s="6">
        <f>$O$1341*$AA$1341</f>
        <v>258293.37403255541</v>
      </c>
    </row>
    <row r="1342" spans="1:33" ht="11.25" customHeight="1" x14ac:dyDescent="0.25">
      <c r="A1342" s="4" t="s">
        <v>27</v>
      </c>
      <c r="B1342" s="4" t="s">
        <v>44</v>
      </c>
      <c r="C1342" s="4" t="s">
        <v>41</v>
      </c>
      <c r="D1342" s="4" t="s">
        <v>42</v>
      </c>
      <c r="E1342" s="4" t="s">
        <v>25</v>
      </c>
      <c r="F1342" s="4" t="s">
        <v>25</v>
      </c>
      <c r="G1342" s="4" t="s">
        <v>25</v>
      </c>
      <c r="H1342" s="4" t="s">
        <v>35</v>
      </c>
      <c r="I1342" s="5">
        <v>43891</v>
      </c>
      <c r="J1342" s="6">
        <v>155</v>
      </c>
      <c r="K1342" s="6">
        <v>155</v>
      </c>
      <c r="L1342" s="6">
        <v>6.7510000000000003</v>
      </c>
      <c r="M1342" s="6">
        <v>6.7510000000000003</v>
      </c>
      <c r="N1342" s="6">
        <v>6.7510000000000003</v>
      </c>
      <c r="O1342" s="6">
        <v>6.7510000000000003</v>
      </c>
      <c r="P1342" s="6">
        <v>0</v>
      </c>
      <c r="Q1342" s="4" t="s">
        <v>26</v>
      </c>
      <c r="R1342" s="4">
        <v>0</v>
      </c>
      <c r="S1342" s="6">
        <v>31</v>
      </c>
      <c r="T1342" s="6">
        <v>33</v>
      </c>
      <c r="U1342" s="6">
        <v>83</v>
      </c>
      <c r="V1342" s="6">
        <f>IF(ISERROR(VLOOKUP($S$1342,'TAR FIN'!$A$1:$O$120,15,0)),0,VLOOKUP($S$1342,'TAR FIN'!$A$1:$O$120,15,0))</f>
        <v>43.76</v>
      </c>
      <c r="W1342" s="6">
        <f>IF(ISERROR(VLOOKUP($T$1342,'TAR FIN'!$A$1:$O$120,15,0)),0,VLOOKUP($T$1342,'TAR FIN'!$A$1:$O$120,15,0))</f>
        <v>109.75</v>
      </c>
      <c r="X1342" s="6">
        <f>IF(ISERROR(VLOOKUP($U$1342,'TAR FIN'!$A$1:$O$120,15,0)),0,VLOOKUP($U$1342,'TAR FIN'!$A$1:$O$120,15,0))</f>
        <v>430.87</v>
      </c>
      <c r="Y1342" s="6">
        <f ca="1">('TUSD BE'!$AM$39+'TUSD BF'!$AM$39+'TUSD CVA'!$AM$39)*1</f>
        <v>49.088494763430781</v>
      </c>
      <c r="Z1342" s="6">
        <f ca="1">('TUSD BE'!$AM$41+'TUSD BF'!$AM$41+'TUSD CVA'!$AM$41)*1</f>
        <v>112.97896283052546</v>
      </c>
      <c r="AA1342" s="6">
        <f>('TE BE'!$AA$13+'TE BF'!$AA$13+'TE CVA'!$AA$13)*1</f>
        <v>375.69180268700768</v>
      </c>
      <c r="AB1342" s="6">
        <f>$K$1342*$V$1342</f>
        <v>6782.7999999999993</v>
      </c>
      <c r="AC1342" s="6">
        <f>$M$1342*$W$1342</f>
        <v>740.92225000000008</v>
      </c>
      <c r="AD1342" s="6">
        <f>$O$1342*$X$1342</f>
        <v>2908.8033700000001</v>
      </c>
      <c r="AE1342" s="6">
        <f ca="1">$K$1342*$Y$1342</f>
        <v>7608.7166883317714</v>
      </c>
      <c r="AF1342" s="6">
        <f ca="1">$M$1342*$Z$1342</f>
        <v>762.72097806887746</v>
      </c>
      <c r="AG1342" s="6">
        <f>$O$1342*$AA$1342</f>
        <v>2536.2953599399889</v>
      </c>
    </row>
    <row r="1343" spans="1:33" ht="11.25" customHeight="1" x14ac:dyDescent="0.25">
      <c r="A1343" s="4" t="s">
        <v>28</v>
      </c>
      <c r="B1343" s="4" t="s">
        <v>44</v>
      </c>
      <c r="C1343" s="4" t="s">
        <v>41</v>
      </c>
      <c r="D1343" s="4" t="s">
        <v>42</v>
      </c>
      <c r="E1343" s="4" t="s">
        <v>25</v>
      </c>
      <c r="F1343" s="4" t="s">
        <v>25</v>
      </c>
      <c r="G1343" s="4" t="s">
        <v>25</v>
      </c>
      <c r="H1343" s="4" t="s">
        <v>35</v>
      </c>
      <c r="I1343" s="5">
        <v>43891</v>
      </c>
      <c r="J1343" s="6">
        <v>710</v>
      </c>
      <c r="K1343" s="6">
        <v>710</v>
      </c>
      <c r="L1343" s="6">
        <v>27.914000000000001</v>
      </c>
      <c r="M1343" s="6">
        <v>27.914000000000001</v>
      </c>
      <c r="N1343" s="6">
        <v>27.914000000000001</v>
      </c>
      <c r="O1343" s="6">
        <v>27.914000000000001</v>
      </c>
      <c r="P1343" s="6">
        <v>0</v>
      </c>
      <c r="Q1343" s="4" t="s">
        <v>26</v>
      </c>
      <c r="R1343" s="4">
        <v>0</v>
      </c>
      <c r="S1343" s="6">
        <v>31</v>
      </c>
      <c r="T1343" s="6">
        <v>33</v>
      </c>
      <c r="U1343" s="6">
        <v>83</v>
      </c>
      <c r="V1343" s="6">
        <f>IF(ISERROR(VLOOKUP($S$1343,'TAR FIN'!$A$1:$O$120,15,0)),0,VLOOKUP($S$1343,'TAR FIN'!$A$1:$O$120,15,0))</f>
        <v>43.76</v>
      </c>
      <c r="W1343" s="6">
        <f>IF(ISERROR(VLOOKUP($T$1343,'TAR FIN'!$A$1:$O$120,15,0)),0,VLOOKUP($T$1343,'TAR FIN'!$A$1:$O$120,15,0))</f>
        <v>109.75</v>
      </c>
      <c r="X1343" s="6">
        <f>IF(ISERROR(VLOOKUP($U$1343,'TAR FIN'!$A$1:$O$120,15,0)),0,VLOOKUP($U$1343,'TAR FIN'!$A$1:$O$120,15,0))</f>
        <v>430.87</v>
      </c>
      <c r="Y1343" s="6">
        <f ca="1">('TUSD BE'!$AM$39+'TUSD BF'!$AM$39+'TUSD CVA'!$AM$39)*1</f>
        <v>49.088494763430781</v>
      </c>
      <c r="Z1343" s="6">
        <f ca="1">('TUSD BE'!$AM$41+'TUSD BF'!$AM$41+'TUSD CVA'!$AM$41)*1</f>
        <v>112.97896283052546</v>
      </c>
      <c r="AA1343" s="6">
        <f>('TE BE'!$AA$13+'TE BF'!$AA$13+'TE CVA'!$AA$13)*1</f>
        <v>375.69180268700768</v>
      </c>
      <c r="AB1343" s="6">
        <f>$K$1343*$V$1343</f>
        <v>31069.599999999999</v>
      </c>
      <c r="AC1343" s="6">
        <f>$M$1343*$W$1343</f>
        <v>3063.5615000000003</v>
      </c>
      <c r="AD1343" s="6">
        <f>$O$1343*$X$1343</f>
        <v>12027.305180000001</v>
      </c>
      <c r="AE1343" s="6">
        <f ca="1">$K$1343*$Y$1343</f>
        <v>34852.831282035855</v>
      </c>
      <c r="AF1343" s="6">
        <f ca="1">$M$1343*$Z$1343</f>
        <v>3153.6947684512879</v>
      </c>
      <c r="AG1343" s="6">
        <f>$O$1343*$AA$1343</f>
        <v>10487.060980205133</v>
      </c>
    </row>
    <row r="1344" spans="1:33" ht="11.25" customHeight="1" x14ac:dyDescent="0.25">
      <c r="A1344" s="4" t="s">
        <v>21</v>
      </c>
      <c r="B1344" s="4" t="s">
        <v>44</v>
      </c>
      <c r="C1344" s="4" t="s">
        <v>41</v>
      </c>
      <c r="D1344" s="4" t="s">
        <v>42</v>
      </c>
      <c r="E1344" s="4" t="s">
        <v>25</v>
      </c>
      <c r="F1344" s="4" t="s">
        <v>25</v>
      </c>
      <c r="G1344" s="4" t="s">
        <v>25</v>
      </c>
      <c r="H1344" s="4" t="s">
        <v>35</v>
      </c>
      <c r="I1344" s="5">
        <v>43922</v>
      </c>
      <c r="J1344" s="6">
        <v>16631</v>
      </c>
      <c r="K1344" s="6">
        <v>16631</v>
      </c>
      <c r="L1344" s="6">
        <v>712.28700000000003</v>
      </c>
      <c r="M1344" s="6">
        <v>712.28700000000003</v>
      </c>
      <c r="N1344" s="6">
        <v>712.28700000000003</v>
      </c>
      <c r="O1344" s="6">
        <v>712.28700000000003</v>
      </c>
      <c r="P1344" s="6">
        <v>0</v>
      </c>
      <c r="Q1344" s="4" t="s">
        <v>26</v>
      </c>
      <c r="R1344" s="4">
        <v>0</v>
      </c>
      <c r="S1344" s="6">
        <v>31</v>
      </c>
      <c r="T1344" s="6">
        <v>33</v>
      </c>
      <c r="U1344" s="6">
        <v>83</v>
      </c>
      <c r="V1344" s="6">
        <f>IF(ISERROR(VLOOKUP($S$1344,'TAR FIN'!$A$1:$O$120,15,0)),0,VLOOKUP($S$1344,'TAR FIN'!$A$1:$O$120,15,0))</f>
        <v>43.76</v>
      </c>
      <c r="W1344" s="6">
        <f>IF(ISERROR(VLOOKUP($T$1344,'TAR FIN'!$A$1:$O$120,15,0)),0,VLOOKUP($T$1344,'TAR FIN'!$A$1:$O$120,15,0))</f>
        <v>109.75</v>
      </c>
      <c r="X1344" s="6">
        <f>IF(ISERROR(VLOOKUP($U$1344,'TAR FIN'!$A$1:$O$120,15,0)),0,VLOOKUP($U$1344,'TAR FIN'!$A$1:$O$120,15,0))</f>
        <v>430.87</v>
      </c>
      <c r="Y1344" s="6">
        <f ca="1">('TUSD BE'!$AM$39+'TUSD BF'!$AM$39+'TUSD CVA'!$AM$39)*1</f>
        <v>49.088494763430781</v>
      </c>
      <c r="Z1344" s="6">
        <f ca="1">('TUSD BE'!$AM$41+'TUSD BF'!$AM$41+'TUSD CVA'!$AM$41)*1</f>
        <v>112.97896283052546</v>
      </c>
      <c r="AA1344" s="6">
        <f>('TE BE'!$AA$13+'TE BF'!$AA$13+'TE CVA'!$AA$13)*1</f>
        <v>375.69180268700768</v>
      </c>
      <c r="AB1344" s="6">
        <f>$K$1344*$V$1344</f>
        <v>727772.55999999994</v>
      </c>
      <c r="AC1344" s="6">
        <f>$M$1344*$W$1344</f>
        <v>78173.498250000004</v>
      </c>
      <c r="AD1344" s="6">
        <f>$O$1344*$X$1344</f>
        <v>306903.09969</v>
      </c>
      <c r="AE1344" s="6">
        <f ca="1">$K$1344*$Y$1344</f>
        <v>816390.75641061726</v>
      </c>
      <c r="AF1344" s="6">
        <f ca="1">$M$1344*$Z$1344</f>
        <v>80473.446497666489</v>
      </c>
      <c r="AG1344" s="6">
        <f>$O$1344*$AA$1344</f>
        <v>267600.38706052065</v>
      </c>
    </row>
    <row r="1345" spans="1:33" ht="11.25" customHeight="1" x14ac:dyDescent="0.25">
      <c r="A1345" s="4" t="s">
        <v>27</v>
      </c>
      <c r="B1345" s="4" t="s">
        <v>44</v>
      </c>
      <c r="C1345" s="4" t="s">
        <v>41</v>
      </c>
      <c r="D1345" s="4" t="s">
        <v>42</v>
      </c>
      <c r="E1345" s="4" t="s">
        <v>25</v>
      </c>
      <c r="F1345" s="4" t="s">
        <v>25</v>
      </c>
      <c r="G1345" s="4" t="s">
        <v>25</v>
      </c>
      <c r="H1345" s="4" t="s">
        <v>35</v>
      </c>
      <c r="I1345" s="5">
        <v>43922</v>
      </c>
      <c r="J1345" s="6">
        <v>380</v>
      </c>
      <c r="K1345" s="6">
        <v>380</v>
      </c>
      <c r="L1345" s="6">
        <v>4.3890000000000002</v>
      </c>
      <c r="M1345" s="6">
        <v>4.3890000000000002</v>
      </c>
      <c r="N1345" s="6">
        <v>4.3890000000000002</v>
      </c>
      <c r="O1345" s="6">
        <v>4.3890000000000002</v>
      </c>
      <c r="P1345" s="6">
        <v>0</v>
      </c>
      <c r="Q1345" s="4" t="s">
        <v>26</v>
      </c>
      <c r="R1345" s="4">
        <v>0</v>
      </c>
      <c r="S1345" s="6">
        <v>31</v>
      </c>
      <c r="T1345" s="6">
        <v>33</v>
      </c>
      <c r="U1345" s="6">
        <v>83</v>
      </c>
      <c r="V1345" s="6">
        <f>IF(ISERROR(VLOOKUP($S$1345,'TAR FIN'!$A$1:$O$120,15,0)),0,VLOOKUP($S$1345,'TAR FIN'!$A$1:$O$120,15,0))</f>
        <v>43.76</v>
      </c>
      <c r="W1345" s="6">
        <f>IF(ISERROR(VLOOKUP($T$1345,'TAR FIN'!$A$1:$O$120,15,0)),0,VLOOKUP($T$1345,'TAR FIN'!$A$1:$O$120,15,0))</f>
        <v>109.75</v>
      </c>
      <c r="X1345" s="6">
        <f>IF(ISERROR(VLOOKUP($U$1345,'TAR FIN'!$A$1:$O$120,15,0)),0,VLOOKUP($U$1345,'TAR FIN'!$A$1:$O$120,15,0))</f>
        <v>430.87</v>
      </c>
      <c r="Y1345" s="6">
        <f ca="1">('TUSD BE'!$AM$39+'TUSD BF'!$AM$39+'TUSD CVA'!$AM$39)*1</f>
        <v>49.088494763430781</v>
      </c>
      <c r="Z1345" s="6">
        <f ca="1">('TUSD BE'!$AM$41+'TUSD BF'!$AM$41+'TUSD CVA'!$AM$41)*1</f>
        <v>112.97896283052546</v>
      </c>
      <c r="AA1345" s="6">
        <f>('TE BE'!$AA$13+'TE BF'!$AA$13+'TE CVA'!$AA$13)*1</f>
        <v>375.69180268700768</v>
      </c>
      <c r="AB1345" s="6">
        <f>$K$1345*$V$1345</f>
        <v>16628.8</v>
      </c>
      <c r="AC1345" s="6">
        <f>$M$1345*$W$1345</f>
        <v>481.69275000000005</v>
      </c>
      <c r="AD1345" s="6">
        <f>$O$1345*$X$1345</f>
        <v>1891.08843</v>
      </c>
      <c r="AE1345" s="6">
        <f ca="1">$K$1345*$Y$1345</f>
        <v>18653.628010103697</v>
      </c>
      <c r="AF1345" s="6">
        <f ca="1">$M$1345*$Z$1345</f>
        <v>495.86466786317629</v>
      </c>
      <c r="AG1345" s="6">
        <f>$O$1345*$AA$1345</f>
        <v>1648.9113219932767</v>
      </c>
    </row>
    <row r="1346" spans="1:33" ht="11.25" customHeight="1" x14ac:dyDescent="0.25">
      <c r="A1346" s="4" t="s">
        <v>28</v>
      </c>
      <c r="B1346" s="4" t="s">
        <v>44</v>
      </c>
      <c r="C1346" s="4" t="s">
        <v>41</v>
      </c>
      <c r="D1346" s="4" t="s">
        <v>42</v>
      </c>
      <c r="E1346" s="4" t="s">
        <v>25</v>
      </c>
      <c r="F1346" s="4" t="s">
        <v>25</v>
      </c>
      <c r="G1346" s="4" t="s">
        <v>25</v>
      </c>
      <c r="H1346" s="4" t="s">
        <v>35</v>
      </c>
      <c r="I1346" s="5">
        <v>43922</v>
      </c>
      <c r="J1346" s="6">
        <v>710</v>
      </c>
      <c r="K1346" s="6">
        <v>710</v>
      </c>
      <c r="L1346" s="6">
        <v>30.844000000000001</v>
      </c>
      <c r="M1346" s="6">
        <v>30.844000000000001</v>
      </c>
      <c r="N1346" s="6">
        <v>30.844000000000001</v>
      </c>
      <c r="O1346" s="6">
        <v>30.844000000000001</v>
      </c>
      <c r="P1346" s="6">
        <v>0</v>
      </c>
      <c r="Q1346" s="4" t="s">
        <v>26</v>
      </c>
      <c r="R1346" s="4">
        <v>0</v>
      </c>
      <c r="S1346" s="6">
        <v>31</v>
      </c>
      <c r="T1346" s="6">
        <v>33</v>
      </c>
      <c r="U1346" s="6">
        <v>83</v>
      </c>
      <c r="V1346" s="6">
        <f>IF(ISERROR(VLOOKUP($S$1346,'TAR FIN'!$A$1:$O$120,15,0)),0,VLOOKUP($S$1346,'TAR FIN'!$A$1:$O$120,15,0))</f>
        <v>43.76</v>
      </c>
      <c r="W1346" s="6">
        <f>IF(ISERROR(VLOOKUP($T$1346,'TAR FIN'!$A$1:$O$120,15,0)),0,VLOOKUP($T$1346,'TAR FIN'!$A$1:$O$120,15,0))</f>
        <v>109.75</v>
      </c>
      <c r="X1346" s="6">
        <f>IF(ISERROR(VLOOKUP($U$1346,'TAR FIN'!$A$1:$O$120,15,0)),0,VLOOKUP($U$1346,'TAR FIN'!$A$1:$O$120,15,0))</f>
        <v>430.87</v>
      </c>
      <c r="Y1346" s="6">
        <f ca="1">('TUSD BE'!$AM$39+'TUSD BF'!$AM$39+'TUSD CVA'!$AM$39)*1</f>
        <v>49.088494763430781</v>
      </c>
      <c r="Z1346" s="6">
        <f ca="1">('TUSD BE'!$AM$41+'TUSD BF'!$AM$41+'TUSD CVA'!$AM$41)*1</f>
        <v>112.97896283052546</v>
      </c>
      <c r="AA1346" s="6">
        <f>('TE BE'!$AA$13+'TE BF'!$AA$13+'TE CVA'!$AA$13)*1</f>
        <v>375.69180268700768</v>
      </c>
      <c r="AB1346" s="6">
        <f>$K$1346*$V$1346</f>
        <v>31069.599999999999</v>
      </c>
      <c r="AC1346" s="6">
        <f>$M$1346*$W$1346</f>
        <v>3385.1289999999999</v>
      </c>
      <c r="AD1346" s="6">
        <f>$O$1346*$X$1346</f>
        <v>13289.754280000001</v>
      </c>
      <c r="AE1346" s="6">
        <f ca="1">$K$1346*$Y$1346</f>
        <v>34852.831282035855</v>
      </c>
      <c r="AF1346" s="6">
        <f ca="1">$M$1346*$Z$1346</f>
        <v>3484.7231295447273</v>
      </c>
      <c r="AG1346" s="6">
        <f>$O$1346*$AA$1346</f>
        <v>11587.837962078065</v>
      </c>
    </row>
    <row r="1347" spans="1:33" ht="11.25" customHeight="1" x14ac:dyDescent="0.25">
      <c r="A1347" s="4" t="s">
        <v>21</v>
      </c>
      <c r="B1347" s="4" t="s">
        <v>44</v>
      </c>
      <c r="C1347" s="4" t="s">
        <v>41</v>
      </c>
      <c r="D1347" s="4" t="s">
        <v>42</v>
      </c>
      <c r="E1347" s="4" t="s">
        <v>25</v>
      </c>
      <c r="F1347" s="4" t="s">
        <v>25</v>
      </c>
      <c r="G1347" s="4" t="s">
        <v>25</v>
      </c>
      <c r="H1347" s="4" t="s">
        <v>35</v>
      </c>
      <c r="I1347" s="5">
        <v>43952</v>
      </c>
      <c r="J1347" s="6">
        <v>16277</v>
      </c>
      <c r="K1347" s="6">
        <v>16277</v>
      </c>
      <c r="L1347" s="6">
        <v>592.00300000000004</v>
      </c>
      <c r="M1347" s="6">
        <v>592.00300000000004</v>
      </c>
      <c r="N1347" s="6">
        <v>592.00300000000004</v>
      </c>
      <c r="O1347" s="6">
        <v>592.00300000000004</v>
      </c>
      <c r="P1347" s="6">
        <v>0</v>
      </c>
      <c r="Q1347" s="4" t="s">
        <v>26</v>
      </c>
      <c r="R1347" s="4">
        <v>0</v>
      </c>
      <c r="S1347" s="6">
        <v>31</v>
      </c>
      <c r="T1347" s="6">
        <v>33</v>
      </c>
      <c r="U1347" s="6">
        <v>83</v>
      </c>
      <c r="V1347" s="6">
        <f>IF(ISERROR(VLOOKUP($S$1347,'TAR FIN'!$A$1:$O$120,15,0)),0,VLOOKUP($S$1347,'TAR FIN'!$A$1:$O$120,15,0))</f>
        <v>43.76</v>
      </c>
      <c r="W1347" s="6">
        <f>IF(ISERROR(VLOOKUP($T$1347,'TAR FIN'!$A$1:$O$120,15,0)),0,VLOOKUP($T$1347,'TAR FIN'!$A$1:$O$120,15,0))</f>
        <v>109.75</v>
      </c>
      <c r="X1347" s="6">
        <f>IF(ISERROR(VLOOKUP($U$1347,'TAR FIN'!$A$1:$O$120,15,0)),0,VLOOKUP($U$1347,'TAR FIN'!$A$1:$O$120,15,0))</f>
        <v>430.87</v>
      </c>
      <c r="Y1347" s="6">
        <f ca="1">('TUSD BE'!$AM$39+'TUSD BF'!$AM$39+'TUSD CVA'!$AM$39)*1</f>
        <v>49.088494763430781</v>
      </c>
      <c r="Z1347" s="6">
        <f ca="1">('TUSD BE'!$AM$41+'TUSD BF'!$AM$41+'TUSD CVA'!$AM$41)*1</f>
        <v>112.97896283052546</v>
      </c>
      <c r="AA1347" s="6">
        <f>('TE BE'!$AA$13+'TE BF'!$AA$13+'TE CVA'!$AA$13)*1</f>
        <v>375.69180268700768</v>
      </c>
      <c r="AB1347" s="6">
        <f>$K$1347*$V$1347</f>
        <v>712281.52</v>
      </c>
      <c r="AC1347" s="6">
        <f>$M$1347*$W$1347</f>
        <v>64972.329250000003</v>
      </c>
      <c r="AD1347" s="6">
        <f>$O$1347*$X$1347</f>
        <v>255076.33261000001</v>
      </c>
      <c r="AE1347" s="6">
        <f ca="1">$K$1347*$Y$1347</f>
        <v>799013.42926436279</v>
      </c>
      <c r="AF1347" s="6">
        <f ca="1">$M$1347*$Z$1347</f>
        <v>66883.884932559566</v>
      </c>
      <c r="AG1347" s="6">
        <f>$O$1347*$AA$1347</f>
        <v>222410.67426611664</v>
      </c>
    </row>
    <row r="1348" spans="1:33" ht="11.25" customHeight="1" x14ac:dyDescent="0.25">
      <c r="A1348" s="4" t="s">
        <v>27</v>
      </c>
      <c r="B1348" s="4" t="s">
        <v>44</v>
      </c>
      <c r="C1348" s="4" t="s">
        <v>41</v>
      </c>
      <c r="D1348" s="4" t="s">
        <v>42</v>
      </c>
      <c r="E1348" s="4" t="s">
        <v>25</v>
      </c>
      <c r="F1348" s="4" t="s">
        <v>25</v>
      </c>
      <c r="G1348" s="4" t="s">
        <v>25</v>
      </c>
      <c r="H1348" s="4" t="s">
        <v>35</v>
      </c>
      <c r="I1348" s="5">
        <v>43952</v>
      </c>
      <c r="J1348" s="6">
        <v>380</v>
      </c>
      <c r="K1348" s="6">
        <v>380</v>
      </c>
      <c r="L1348" s="6">
        <v>3.331</v>
      </c>
      <c r="M1348" s="6">
        <v>3.331</v>
      </c>
      <c r="N1348" s="6">
        <v>3.331</v>
      </c>
      <c r="O1348" s="6">
        <v>3.331</v>
      </c>
      <c r="P1348" s="6">
        <v>0</v>
      </c>
      <c r="Q1348" s="4" t="s">
        <v>26</v>
      </c>
      <c r="R1348" s="4">
        <v>0</v>
      </c>
      <c r="S1348" s="6">
        <v>31</v>
      </c>
      <c r="T1348" s="6">
        <v>33</v>
      </c>
      <c r="U1348" s="6">
        <v>83</v>
      </c>
      <c r="V1348" s="6">
        <f>IF(ISERROR(VLOOKUP($S$1348,'TAR FIN'!$A$1:$O$120,15,0)),0,VLOOKUP($S$1348,'TAR FIN'!$A$1:$O$120,15,0))</f>
        <v>43.76</v>
      </c>
      <c r="W1348" s="6">
        <f>IF(ISERROR(VLOOKUP($T$1348,'TAR FIN'!$A$1:$O$120,15,0)),0,VLOOKUP($T$1348,'TAR FIN'!$A$1:$O$120,15,0))</f>
        <v>109.75</v>
      </c>
      <c r="X1348" s="6">
        <f>IF(ISERROR(VLOOKUP($U$1348,'TAR FIN'!$A$1:$O$120,15,0)),0,VLOOKUP($U$1348,'TAR FIN'!$A$1:$O$120,15,0))</f>
        <v>430.87</v>
      </c>
      <c r="Y1348" s="6">
        <f ca="1">('TUSD BE'!$AM$39+'TUSD BF'!$AM$39+'TUSD CVA'!$AM$39)*1</f>
        <v>49.088494763430781</v>
      </c>
      <c r="Z1348" s="6">
        <f ca="1">('TUSD BE'!$AM$41+'TUSD BF'!$AM$41+'TUSD CVA'!$AM$41)*1</f>
        <v>112.97896283052546</v>
      </c>
      <c r="AA1348" s="6">
        <f>('TE BE'!$AA$13+'TE BF'!$AA$13+'TE CVA'!$AA$13)*1</f>
        <v>375.69180268700768</v>
      </c>
      <c r="AB1348" s="6">
        <f>$K$1348*$V$1348</f>
        <v>16628.8</v>
      </c>
      <c r="AC1348" s="6">
        <f>$M$1348*$W$1348</f>
        <v>365.57724999999999</v>
      </c>
      <c r="AD1348" s="6">
        <f>$O$1348*$X$1348</f>
        <v>1435.2279699999999</v>
      </c>
      <c r="AE1348" s="6">
        <f ca="1">$K$1348*$Y$1348</f>
        <v>18653.628010103697</v>
      </c>
      <c r="AF1348" s="6">
        <f ca="1">$M$1348*$Z$1348</f>
        <v>376.33292518848032</v>
      </c>
      <c r="AG1348" s="6">
        <f>$O$1348*$AA$1348</f>
        <v>1251.4293947504225</v>
      </c>
    </row>
    <row r="1349" spans="1:33" ht="11.25" customHeight="1" x14ac:dyDescent="0.25">
      <c r="A1349" s="4" t="s">
        <v>28</v>
      </c>
      <c r="B1349" s="4" t="s">
        <v>44</v>
      </c>
      <c r="C1349" s="4" t="s">
        <v>41</v>
      </c>
      <c r="D1349" s="4" t="s">
        <v>42</v>
      </c>
      <c r="E1349" s="4" t="s">
        <v>25</v>
      </c>
      <c r="F1349" s="4" t="s">
        <v>25</v>
      </c>
      <c r="G1349" s="4" t="s">
        <v>25</v>
      </c>
      <c r="H1349" s="4" t="s">
        <v>35</v>
      </c>
      <c r="I1349" s="5">
        <v>43952</v>
      </c>
      <c r="J1349" s="6">
        <v>2560</v>
      </c>
      <c r="K1349" s="6">
        <v>2560</v>
      </c>
      <c r="L1349" s="6">
        <v>83.488</v>
      </c>
      <c r="M1349" s="6">
        <v>83.488</v>
      </c>
      <c r="N1349" s="6">
        <v>83.488</v>
      </c>
      <c r="O1349" s="6">
        <v>83.488</v>
      </c>
      <c r="P1349" s="6">
        <v>0</v>
      </c>
      <c r="Q1349" s="4" t="s">
        <v>26</v>
      </c>
      <c r="R1349" s="4">
        <v>0</v>
      </c>
      <c r="S1349" s="6">
        <v>31</v>
      </c>
      <c r="T1349" s="6">
        <v>33</v>
      </c>
      <c r="U1349" s="6">
        <v>83</v>
      </c>
      <c r="V1349" s="6">
        <f>IF(ISERROR(VLOOKUP($S$1349,'TAR FIN'!$A$1:$O$120,15,0)),0,VLOOKUP($S$1349,'TAR FIN'!$A$1:$O$120,15,0))</f>
        <v>43.76</v>
      </c>
      <c r="W1349" s="6">
        <f>IF(ISERROR(VLOOKUP($T$1349,'TAR FIN'!$A$1:$O$120,15,0)),0,VLOOKUP($T$1349,'TAR FIN'!$A$1:$O$120,15,0))</f>
        <v>109.75</v>
      </c>
      <c r="X1349" s="6">
        <f>IF(ISERROR(VLOOKUP($U$1349,'TAR FIN'!$A$1:$O$120,15,0)),0,VLOOKUP($U$1349,'TAR FIN'!$A$1:$O$120,15,0))</f>
        <v>430.87</v>
      </c>
      <c r="Y1349" s="6">
        <f ca="1">('TUSD BE'!$AM$39+'TUSD BF'!$AM$39+'TUSD CVA'!$AM$39)*1</f>
        <v>49.088494763430781</v>
      </c>
      <c r="Z1349" s="6">
        <f ca="1">('TUSD BE'!$AM$41+'TUSD BF'!$AM$41+'TUSD CVA'!$AM$41)*1</f>
        <v>112.97896283052546</v>
      </c>
      <c r="AA1349" s="6">
        <f>('TE BE'!$AA$13+'TE BF'!$AA$13+'TE CVA'!$AA$13)*1</f>
        <v>375.69180268700768</v>
      </c>
      <c r="AB1349" s="6">
        <f>$K$1349*$V$1349</f>
        <v>112025.59999999999</v>
      </c>
      <c r="AC1349" s="6">
        <f>$M$1349*$W$1349</f>
        <v>9162.8079999999991</v>
      </c>
      <c r="AD1349" s="6">
        <f>$O$1349*$X$1349</f>
        <v>35972.474560000002</v>
      </c>
      <c r="AE1349" s="6">
        <f ca="1">$K$1349*$Y$1349</f>
        <v>125666.5465943828</v>
      </c>
      <c r="AF1349" s="6">
        <f ca="1">$M$1349*$Z$1349</f>
        <v>9432.3876487949092</v>
      </c>
      <c r="AG1349" s="6">
        <f>$O$1349*$AA$1349</f>
        <v>31365.757222732896</v>
      </c>
    </row>
    <row r="1350" spans="1:33" ht="11.25" customHeight="1" x14ac:dyDescent="0.25">
      <c r="A1350" s="4" t="s">
        <v>21</v>
      </c>
      <c r="B1350" s="4" t="s">
        <v>44</v>
      </c>
      <c r="C1350" s="4" t="s">
        <v>41</v>
      </c>
      <c r="D1350" s="4" t="s">
        <v>42</v>
      </c>
      <c r="E1350" s="4" t="s">
        <v>25</v>
      </c>
      <c r="F1350" s="4" t="s">
        <v>25</v>
      </c>
      <c r="G1350" s="4" t="s">
        <v>25</v>
      </c>
      <c r="H1350" s="4" t="s">
        <v>35</v>
      </c>
      <c r="I1350" s="5">
        <v>43983</v>
      </c>
      <c r="J1350" s="6">
        <v>17584</v>
      </c>
      <c r="K1350" s="6">
        <v>17584</v>
      </c>
      <c r="L1350" s="6">
        <v>690.60500000000002</v>
      </c>
      <c r="M1350" s="6">
        <v>690.60500000000002</v>
      </c>
      <c r="N1350" s="6">
        <v>690.60500000000002</v>
      </c>
      <c r="O1350" s="6">
        <v>690.60500000000002</v>
      </c>
      <c r="P1350" s="6">
        <v>0</v>
      </c>
      <c r="Q1350" s="4" t="s">
        <v>26</v>
      </c>
      <c r="R1350" s="4">
        <v>0</v>
      </c>
      <c r="S1350" s="6">
        <v>31</v>
      </c>
      <c r="T1350" s="6">
        <v>33</v>
      </c>
      <c r="U1350" s="6">
        <v>83</v>
      </c>
      <c r="V1350" s="6">
        <f>IF(ISERROR(VLOOKUP($S$1350,'TAR FIN'!$A$1:$O$120,15,0)),0,VLOOKUP($S$1350,'TAR FIN'!$A$1:$O$120,15,0))</f>
        <v>43.76</v>
      </c>
      <c r="W1350" s="6">
        <f>IF(ISERROR(VLOOKUP($T$1350,'TAR FIN'!$A$1:$O$120,15,0)),0,VLOOKUP($T$1350,'TAR FIN'!$A$1:$O$120,15,0))</f>
        <v>109.75</v>
      </c>
      <c r="X1350" s="6">
        <f>IF(ISERROR(VLOOKUP($U$1350,'TAR FIN'!$A$1:$O$120,15,0)),0,VLOOKUP($U$1350,'TAR FIN'!$A$1:$O$120,15,0))</f>
        <v>430.87</v>
      </c>
      <c r="Y1350" s="6">
        <f ca="1">('TUSD BE'!$AM$39+'TUSD BF'!$AM$39+'TUSD CVA'!$AM$39)*1</f>
        <v>49.088494763430781</v>
      </c>
      <c r="Z1350" s="6">
        <f ca="1">('TUSD BE'!$AM$41+'TUSD BF'!$AM$41+'TUSD CVA'!$AM$41)*1</f>
        <v>112.97896283052546</v>
      </c>
      <c r="AA1350" s="6">
        <f>('TE BE'!$AA$13+'TE BF'!$AA$13+'TE CVA'!$AA$13)*1</f>
        <v>375.69180268700768</v>
      </c>
      <c r="AB1350" s="6">
        <f>$K$1350*$V$1350</f>
        <v>769475.84</v>
      </c>
      <c r="AC1350" s="6">
        <f>$M$1350*$W$1350</f>
        <v>75793.898750000008</v>
      </c>
      <c r="AD1350" s="6">
        <f>$O$1350*$X$1350</f>
        <v>297560.97635000001</v>
      </c>
      <c r="AE1350" s="6">
        <f ca="1">$K$1350*$Y$1350</f>
        <v>863172.09192016686</v>
      </c>
      <c r="AF1350" s="6">
        <f ca="1">$M$1350*$Z$1350</f>
        <v>78023.836625575044</v>
      </c>
      <c r="AG1350" s="6">
        <f>$O$1350*$AA$1350</f>
        <v>259454.63739466094</v>
      </c>
    </row>
    <row r="1351" spans="1:33" ht="11.25" customHeight="1" x14ac:dyDescent="0.25">
      <c r="A1351" s="4" t="s">
        <v>27</v>
      </c>
      <c r="B1351" s="4" t="s">
        <v>44</v>
      </c>
      <c r="C1351" s="4" t="s">
        <v>41</v>
      </c>
      <c r="D1351" s="4" t="s">
        <v>42</v>
      </c>
      <c r="E1351" s="4" t="s">
        <v>25</v>
      </c>
      <c r="F1351" s="4" t="s">
        <v>25</v>
      </c>
      <c r="G1351" s="4" t="s">
        <v>25</v>
      </c>
      <c r="H1351" s="4" t="s">
        <v>35</v>
      </c>
      <c r="I1351" s="5">
        <v>43983</v>
      </c>
      <c r="J1351" s="6">
        <v>380</v>
      </c>
      <c r="K1351" s="6">
        <v>380</v>
      </c>
      <c r="L1351" s="6">
        <v>3.8620000000000001</v>
      </c>
      <c r="M1351" s="6">
        <v>3.8620000000000001</v>
      </c>
      <c r="N1351" s="6">
        <v>3.8620000000000001</v>
      </c>
      <c r="O1351" s="6">
        <v>3.8620000000000001</v>
      </c>
      <c r="P1351" s="6">
        <v>0</v>
      </c>
      <c r="Q1351" s="4" t="s">
        <v>26</v>
      </c>
      <c r="R1351" s="4">
        <v>0</v>
      </c>
      <c r="S1351" s="6">
        <v>31</v>
      </c>
      <c r="T1351" s="6">
        <v>33</v>
      </c>
      <c r="U1351" s="6">
        <v>83</v>
      </c>
      <c r="V1351" s="6">
        <f>IF(ISERROR(VLOOKUP($S$1351,'TAR FIN'!$A$1:$O$120,15,0)),0,VLOOKUP($S$1351,'TAR FIN'!$A$1:$O$120,15,0))</f>
        <v>43.76</v>
      </c>
      <c r="W1351" s="6">
        <f>IF(ISERROR(VLOOKUP($T$1351,'TAR FIN'!$A$1:$O$120,15,0)),0,VLOOKUP($T$1351,'TAR FIN'!$A$1:$O$120,15,0))</f>
        <v>109.75</v>
      </c>
      <c r="X1351" s="6">
        <f>IF(ISERROR(VLOOKUP($U$1351,'TAR FIN'!$A$1:$O$120,15,0)),0,VLOOKUP($U$1351,'TAR FIN'!$A$1:$O$120,15,0))</f>
        <v>430.87</v>
      </c>
      <c r="Y1351" s="6">
        <f ca="1">('TUSD BE'!$AM$39+'TUSD BF'!$AM$39+'TUSD CVA'!$AM$39)*1</f>
        <v>49.088494763430781</v>
      </c>
      <c r="Z1351" s="6">
        <f ca="1">('TUSD BE'!$AM$41+'TUSD BF'!$AM$41+'TUSD CVA'!$AM$41)*1</f>
        <v>112.97896283052546</v>
      </c>
      <c r="AA1351" s="6">
        <f>('TE BE'!$AA$13+'TE BF'!$AA$13+'TE CVA'!$AA$13)*1</f>
        <v>375.69180268700768</v>
      </c>
      <c r="AB1351" s="6">
        <f>$K$1351*$V$1351</f>
        <v>16628.8</v>
      </c>
      <c r="AC1351" s="6">
        <f>$M$1351*$W$1351</f>
        <v>423.85450000000003</v>
      </c>
      <c r="AD1351" s="6">
        <f>$O$1351*$X$1351</f>
        <v>1664.0199400000001</v>
      </c>
      <c r="AE1351" s="6">
        <f ca="1">$K$1351*$Y$1351</f>
        <v>18653.628010103697</v>
      </c>
      <c r="AF1351" s="6">
        <f ca="1">$M$1351*$Z$1351</f>
        <v>436.32475445148935</v>
      </c>
      <c r="AG1351" s="6">
        <f>$O$1351*$AA$1351</f>
        <v>1450.9217419772237</v>
      </c>
    </row>
    <row r="1352" spans="1:33" ht="11.25" customHeight="1" x14ac:dyDescent="0.25">
      <c r="A1352" s="4" t="s">
        <v>28</v>
      </c>
      <c r="B1352" s="4" t="s">
        <v>44</v>
      </c>
      <c r="C1352" s="4" t="s">
        <v>41</v>
      </c>
      <c r="D1352" s="4" t="s">
        <v>42</v>
      </c>
      <c r="E1352" s="4" t="s">
        <v>25</v>
      </c>
      <c r="F1352" s="4" t="s">
        <v>25</v>
      </c>
      <c r="G1352" s="4" t="s">
        <v>25</v>
      </c>
      <c r="H1352" s="4" t="s">
        <v>35</v>
      </c>
      <c r="I1352" s="5">
        <v>43983</v>
      </c>
      <c r="J1352" s="6">
        <v>710</v>
      </c>
      <c r="K1352" s="6">
        <v>710</v>
      </c>
      <c r="L1352" s="6">
        <v>20.452999999999999</v>
      </c>
      <c r="M1352" s="6">
        <v>20.452999999999999</v>
      </c>
      <c r="N1352" s="6">
        <v>20.452999999999999</v>
      </c>
      <c r="O1352" s="6">
        <v>20.452999999999999</v>
      </c>
      <c r="P1352" s="6">
        <v>0</v>
      </c>
      <c r="Q1352" s="4" t="s">
        <v>26</v>
      </c>
      <c r="R1352" s="4">
        <v>0</v>
      </c>
      <c r="S1352" s="6">
        <v>31</v>
      </c>
      <c r="T1352" s="6">
        <v>33</v>
      </c>
      <c r="U1352" s="6">
        <v>83</v>
      </c>
      <c r="V1352" s="6">
        <f>IF(ISERROR(VLOOKUP($S$1352,'TAR FIN'!$A$1:$O$120,15,0)),0,VLOOKUP($S$1352,'TAR FIN'!$A$1:$O$120,15,0))</f>
        <v>43.76</v>
      </c>
      <c r="W1352" s="6">
        <f>IF(ISERROR(VLOOKUP($T$1352,'TAR FIN'!$A$1:$O$120,15,0)),0,VLOOKUP($T$1352,'TAR FIN'!$A$1:$O$120,15,0))</f>
        <v>109.75</v>
      </c>
      <c r="X1352" s="6">
        <f>IF(ISERROR(VLOOKUP($U$1352,'TAR FIN'!$A$1:$O$120,15,0)),0,VLOOKUP($U$1352,'TAR FIN'!$A$1:$O$120,15,0))</f>
        <v>430.87</v>
      </c>
      <c r="Y1352" s="6">
        <f ca="1">('TUSD BE'!$AM$39+'TUSD BF'!$AM$39+'TUSD CVA'!$AM$39)*1</f>
        <v>49.088494763430781</v>
      </c>
      <c r="Z1352" s="6">
        <f ca="1">('TUSD BE'!$AM$41+'TUSD BF'!$AM$41+'TUSD CVA'!$AM$41)*1</f>
        <v>112.97896283052546</v>
      </c>
      <c r="AA1352" s="6">
        <f>('TE BE'!$AA$13+'TE BF'!$AA$13+'TE CVA'!$AA$13)*1</f>
        <v>375.69180268700768</v>
      </c>
      <c r="AB1352" s="6">
        <f>$K$1352*$V$1352</f>
        <v>31069.599999999999</v>
      </c>
      <c r="AC1352" s="6">
        <f>$M$1352*$W$1352</f>
        <v>2244.71675</v>
      </c>
      <c r="AD1352" s="6">
        <f>$O$1352*$X$1352</f>
        <v>8812.5841099999998</v>
      </c>
      <c r="AE1352" s="6">
        <f ca="1">$K$1352*$Y$1352</f>
        <v>34852.831282035855</v>
      </c>
      <c r="AF1352" s="6">
        <f ca="1">$M$1352*$Z$1352</f>
        <v>2310.7587267727372</v>
      </c>
      <c r="AG1352" s="6">
        <f>$O$1352*$AA$1352</f>
        <v>7684.0244403573679</v>
      </c>
    </row>
    <row r="1353" spans="1:33" ht="11.25" customHeight="1" x14ac:dyDescent="0.25">
      <c r="A1353" s="4" t="s">
        <v>21</v>
      </c>
      <c r="B1353" s="4" t="s">
        <v>44</v>
      </c>
      <c r="C1353" s="4" t="s">
        <v>41</v>
      </c>
      <c r="D1353" s="4" t="s">
        <v>42</v>
      </c>
      <c r="E1353" s="4" t="s">
        <v>25</v>
      </c>
      <c r="F1353" s="4" t="s">
        <v>25</v>
      </c>
      <c r="G1353" s="4" t="s">
        <v>25</v>
      </c>
      <c r="H1353" s="4" t="s">
        <v>35</v>
      </c>
      <c r="I1353" s="5">
        <v>44013</v>
      </c>
      <c r="J1353" s="6">
        <v>17946</v>
      </c>
      <c r="K1353" s="6">
        <v>17946</v>
      </c>
      <c r="L1353" s="6">
        <v>673.86699999999996</v>
      </c>
      <c r="M1353" s="6">
        <v>673.86699999999996</v>
      </c>
      <c r="N1353" s="6">
        <v>673.86699999999996</v>
      </c>
      <c r="O1353" s="6">
        <v>673.86699999999996</v>
      </c>
      <c r="P1353" s="6">
        <v>0</v>
      </c>
      <c r="Q1353" s="4" t="s">
        <v>26</v>
      </c>
      <c r="R1353" s="4">
        <v>0</v>
      </c>
      <c r="S1353" s="6">
        <v>31</v>
      </c>
      <c r="T1353" s="6">
        <v>33</v>
      </c>
      <c r="U1353" s="6">
        <v>83</v>
      </c>
      <c r="V1353" s="6">
        <f>IF(ISERROR(VLOOKUP($S$1353,'TAR FIN'!$A$1:$O$120,15,0)),0,VLOOKUP($S$1353,'TAR FIN'!$A$1:$O$120,15,0))</f>
        <v>43.76</v>
      </c>
      <c r="W1353" s="6">
        <f>IF(ISERROR(VLOOKUP($T$1353,'TAR FIN'!$A$1:$O$120,15,0)),0,VLOOKUP($T$1353,'TAR FIN'!$A$1:$O$120,15,0))</f>
        <v>109.75</v>
      </c>
      <c r="X1353" s="6">
        <f>IF(ISERROR(VLOOKUP($U$1353,'TAR FIN'!$A$1:$O$120,15,0)),0,VLOOKUP($U$1353,'TAR FIN'!$A$1:$O$120,15,0))</f>
        <v>430.87</v>
      </c>
      <c r="Y1353" s="6">
        <f ca="1">('TUSD BE'!$AM$39+'TUSD BF'!$AM$39+'TUSD CVA'!$AM$39)*1</f>
        <v>49.088494763430781</v>
      </c>
      <c r="Z1353" s="6">
        <f ca="1">('TUSD BE'!$AM$41+'TUSD BF'!$AM$41+'TUSD CVA'!$AM$41)*1</f>
        <v>112.97896283052546</v>
      </c>
      <c r="AA1353" s="6">
        <f>('TE BE'!$AA$13+'TE BF'!$AA$13+'TE CVA'!$AA$13)*1</f>
        <v>375.69180268700768</v>
      </c>
      <c r="AB1353" s="6">
        <f>$K$1353*$V$1353</f>
        <v>785316.96</v>
      </c>
      <c r="AC1353" s="6">
        <f>$M$1353*$W$1353</f>
        <v>73956.903250000003</v>
      </c>
      <c r="AD1353" s="6">
        <f>$O$1353*$X$1353</f>
        <v>290349.07428999996</v>
      </c>
      <c r="AE1353" s="6">
        <f ca="1">$K$1353*$Y$1353</f>
        <v>880942.1270245288</v>
      </c>
      <c r="AF1353" s="6">
        <f ca="1">$M$1353*$Z$1353</f>
        <v>76132.794745717692</v>
      </c>
      <c r="AG1353" s="6">
        <f>$O$1353*$AA$1353</f>
        <v>253166.3080012858</v>
      </c>
    </row>
    <row r="1354" spans="1:33" ht="11.25" customHeight="1" x14ac:dyDescent="0.25">
      <c r="A1354" s="4" t="s">
        <v>27</v>
      </c>
      <c r="B1354" s="4" t="s">
        <v>44</v>
      </c>
      <c r="C1354" s="4" t="s">
        <v>41</v>
      </c>
      <c r="D1354" s="4" t="s">
        <v>42</v>
      </c>
      <c r="E1354" s="4" t="s">
        <v>25</v>
      </c>
      <c r="F1354" s="4" t="s">
        <v>25</v>
      </c>
      <c r="G1354" s="4" t="s">
        <v>25</v>
      </c>
      <c r="H1354" s="4" t="s">
        <v>35</v>
      </c>
      <c r="I1354" s="5">
        <v>44013</v>
      </c>
      <c r="J1354" s="6">
        <v>380</v>
      </c>
      <c r="K1354" s="6">
        <v>380</v>
      </c>
      <c r="L1354" s="6">
        <v>3.6469999999999998</v>
      </c>
      <c r="M1354" s="6">
        <v>3.6469999999999998</v>
      </c>
      <c r="N1354" s="6">
        <v>3.6469999999999998</v>
      </c>
      <c r="O1354" s="6">
        <v>3.6469999999999998</v>
      </c>
      <c r="P1354" s="6">
        <v>0</v>
      </c>
      <c r="Q1354" s="4" t="s">
        <v>26</v>
      </c>
      <c r="R1354" s="4">
        <v>0</v>
      </c>
      <c r="S1354" s="6">
        <v>31</v>
      </c>
      <c r="T1354" s="6">
        <v>33</v>
      </c>
      <c r="U1354" s="6">
        <v>83</v>
      </c>
      <c r="V1354" s="6">
        <f>IF(ISERROR(VLOOKUP($S$1354,'TAR FIN'!$A$1:$O$120,15,0)),0,VLOOKUP($S$1354,'TAR FIN'!$A$1:$O$120,15,0))</f>
        <v>43.76</v>
      </c>
      <c r="W1354" s="6">
        <f>IF(ISERROR(VLOOKUP($T$1354,'TAR FIN'!$A$1:$O$120,15,0)),0,VLOOKUP($T$1354,'TAR FIN'!$A$1:$O$120,15,0))</f>
        <v>109.75</v>
      </c>
      <c r="X1354" s="6">
        <f>IF(ISERROR(VLOOKUP($U$1354,'TAR FIN'!$A$1:$O$120,15,0)),0,VLOOKUP($U$1354,'TAR FIN'!$A$1:$O$120,15,0))</f>
        <v>430.87</v>
      </c>
      <c r="Y1354" s="6">
        <f ca="1">('TUSD BE'!$AM$39+'TUSD BF'!$AM$39+'TUSD CVA'!$AM$39)*1</f>
        <v>49.088494763430781</v>
      </c>
      <c r="Z1354" s="6">
        <f ca="1">('TUSD BE'!$AM$41+'TUSD BF'!$AM$41+'TUSD CVA'!$AM$41)*1</f>
        <v>112.97896283052546</v>
      </c>
      <c r="AA1354" s="6">
        <f>('TE BE'!$AA$13+'TE BF'!$AA$13+'TE CVA'!$AA$13)*1</f>
        <v>375.69180268700768</v>
      </c>
      <c r="AB1354" s="6">
        <f>$K$1354*$V$1354</f>
        <v>16628.8</v>
      </c>
      <c r="AC1354" s="6">
        <f>$M$1354*$W$1354</f>
        <v>400.25824999999998</v>
      </c>
      <c r="AD1354" s="6">
        <f>$O$1354*$X$1354</f>
        <v>1571.3828899999999</v>
      </c>
      <c r="AE1354" s="6">
        <f ca="1">$K$1354*$Y$1354</f>
        <v>18653.628010103697</v>
      </c>
      <c r="AF1354" s="6">
        <f ca="1">$M$1354*$Z$1354</f>
        <v>412.03427744292634</v>
      </c>
      <c r="AG1354" s="6">
        <f>$O$1354*$AA$1354</f>
        <v>1370.1480043995168</v>
      </c>
    </row>
    <row r="1355" spans="1:33" ht="11.25" customHeight="1" x14ac:dyDescent="0.25">
      <c r="A1355" s="4" t="s">
        <v>28</v>
      </c>
      <c r="B1355" s="4" t="s">
        <v>44</v>
      </c>
      <c r="C1355" s="4" t="s">
        <v>41</v>
      </c>
      <c r="D1355" s="4" t="s">
        <v>42</v>
      </c>
      <c r="E1355" s="4" t="s">
        <v>25</v>
      </c>
      <c r="F1355" s="4" t="s">
        <v>25</v>
      </c>
      <c r="G1355" s="4" t="s">
        <v>25</v>
      </c>
      <c r="H1355" s="4" t="s">
        <v>35</v>
      </c>
      <c r="I1355" s="5">
        <v>44013</v>
      </c>
      <c r="J1355" s="6">
        <v>710</v>
      </c>
      <c r="K1355" s="6">
        <v>710</v>
      </c>
      <c r="L1355" s="6">
        <v>17.539000000000001</v>
      </c>
      <c r="M1355" s="6">
        <v>17.539000000000001</v>
      </c>
      <c r="N1355" s="6">
        <v>17.539000000000001</v>
      </c>
      <c r="O1355" s="6">
        <v>17.539000000000001</v>
      </c>
      <c r="P1355" s="6">
        <v>0</v>
      </c>
      <c r="Q1355" s="4" t="s">
        <v>26</v>
      </c>
      <c r="R1355" s="4">
        <v>0</v>
      </c>
      <c r="S1355" s="6">
        <v>31</v>
      </c>
      <c r="T1355" s="6">
        <v>33</v>
      </c>
      <c r="U1355" s="6">
        <v>83</v>
      </c>
      <c r="V1355" s="6">
        <f>IF(ISERROR(VLOOKUP($S$1355,'TAR FIN'!$A$1:$O$120,15,0)),0,VLOOKUP($S$1355,'TAR FIN'!$A$1:$O$120,15,0))</f>
        <v>43.76</v>
      </c>
      <c r="W1355" s="6">
        <f>IF(ISERROR(VLOOKUP($T$1355,'TAR FIN'!$A$1:$O$120,15,0)),0,VLOOKUP($T$1355,'TAR FIN'!$A$1:$O$120,15,0))</f>
        <v>109.75</v>
      </c>
      <c r="X1355" s="6">
        <f>IF(ISERROR(VLOOKUP($U$1355,'TAR FIN'!$A$1:$O$120,15,0)),0,VLOOKUP($U$1355,'TAR FIN'!$A$1:$O$120,15,0))</f>
        <v>430.87</v>
      </c>
      <c r="Y1355" s="6">
        <f ca="1">('TUSD BE'!$AM$39+'TUSD BF'!$AM$39+'TUSD CVA'!$AM$39)*1</f>
        <v>49.088494763430781</v>
      </c>
      <c r="Z1355" s="6">
        <f ca="1">('TUSD BE'!$AM$41+'TUSD BF'!$AM$41+'TUSD CVA'!$AM$41)*1</f>
        <v>112.97896283052546</v>
      </c>
      <c r="AA1355" s="6">
        <f>('TE BE'!$AA$13+'TE BF'!$AA$13+'TE CVA'!$AA$13)*1</f>
        <v>375.69180268700768</v>
      </c>
      <c r="AB1355" s="6">
        <f>$K$1355*$V$1355</f>
        <v>31069.599999999999</v>
      </c>
      <c r="AC1355" s="6">
        <f>$M$1355*$W$1355</f>
        <v>1924.9052500000003</v>
      </c>
      <c r="AD1355" s="6">
        <f>$O$1355*$X$1355</f>
        <v>7557.0289300000004</v>
      </c>
      <c r="AE1355" s="6">
        <f ca="1">$K$1355*$Y$1355</f>
        <v>34852.831282035855</v>
      </c>
      <c r="AF1355" s="6">
        <f ca="1">$M$1355*$Z$1355</f>
        <v>1981.5380290845862</v>
      </c>
      <c r="AG1355" s="6">
        <f>$O$1355*$AA$1355</f>
        <v>6589.2585273274281</v>
      </c>
    </row>
    <row r="1356" spans="1:33" ht="11.25" customHeight="1" x14ac:dyDescent="0.25">
      <c r="A1356" s="4" t="s">
        <v>21</v>
      </c>
      <c r="B1356" s="4" t="s">
        <v>44</v>
      </c>
      <c r="C1356" s="4" t="s">
        <v>41</v>
      </c>
      <c r="D1356" s="4" t="s">
        <v>42</v>
      </c>
      <c r="E1356" s="4" t="s">
        <v>25</v>
      </c>
      <c r="F1356" s="4" t="s">
        <v>25</v>
      </c>
      <c r="G1356" s="4" t="s">
        <v>25</v>
      </c>
      <c r="H1356" s="4" t="s">
        <v>35</v>
      </c>
      <c r="I1356" s="5">
        <v>44044</v>
      </c>
      <c r="J1356" s="6">
        <v>17239</v>
      </c>
      <c r="K1356" s="6">
        <v>17239</v>
      </c>
      <c r="L1356" s="6">
        <v>686.48299999999995</v>
      </c>
      <c r="M1356" s="6">
        <v>686.48299999999995</v>
      </c>
      <c r="N1356" s="6">
        <v>686.48299999999995</v>
      </c>
      <c r="O1356" s="6">
        <v>686.48299999999995</v>
      </c>
      <c r="P1356" s="6">
        <v>0</v>
      </c>
      <c r="Q1356" s="4" t="s">
        <v>26</v>
      </c>
      <c r="R1356" s="4">
        <v>0</v>
      </c>
      <c r="S1356" s="6">
        <v>31</v>
      </c>
      <c r="T1356" s="6">
        <v>33</v>
      </c>
      <c r="U1356" s="6">
        <v>83</v>
      </c>
      <c r="V1356" s="6">
        <f>IF(ISERROR(VLOOKUP($S$1356,'TAR FIN'!$A$1:$O$120,15,0)),0,VLOOKUP($S$1356,'TAR FIN'!$A$1:$O$120,15,0))</f>
        <v>43.76</v>
      </c>
      <c r="W1356" s="6">
        <f>IF(ISERROR(VLOOKUP($T$1356,'TAR FIN'!$A$1:$O$120,15,0)),0,VLOOKUP($T$1356,'TAR FIN'!$A$1:$O$120,15,0))</f>
        <v>109.75</v>
      </c>
      <c r="X1356" s="6">
        <f>IF(ISERROR(VLOOKUP($U$1356,'TAR FIN'!$A$1:$O$120,15,0)),0,VLOOKUP($U$1356,'TAR FIN'!$A$1:$O$120,15,0))</f>
        <v>430.87</v>
      </c>
      <c r="Y1356" s="6">
        <f ca="1">('TUSD BE'!$AM$39+'TUSD BF'!$AM$39+'TUSD CVA'!$AM$39)*1</f>
        <v>49.088494763430781</v>
      </c>
      <c r="Z1356" s="6">
        <f ca="1">('TUSD BE'!$AM$41+'TUSD BF'!$AM$41+'TUSD CVA'!$AM$41)*1</f>
        <v>112.97896283052546</v>
      </c>
      <c r="AA1356" s="6">
        <f>('TE BE'!$AA$13+'TE BF'!$AA$13+'TE CVA'!$AA$13)*1</f>
        <v>375.69180268700768</v>
      </c>
      <c r="AB1356" s="6">
        <f>$K$1356*$V$1356</f>
        <v>754378.64</v>
      </c>
      <c r="AC1356" s="6">
        <f>$M$1356*$W$1356</f>
        <v>75341.509249999988</v>
      </c>
      <c r="AD1356" s="6">
        <f>$O$1356*$X$1356</f>
        <v>295784.93020999996</v>
      </c>
      <c r="AE1356" s="6">
        <f ca="1">$K$1356*$Y$1356</f>
        <v>846236.5612267832</v>
      </c>
      <c r="AF1356" s="6">
        <f ca="1">$M$1356*$Z$1356</f>
        <v>77558.137340787609</v>
      </c>
      <c r="AG1356" s="6">
        <f>$O$1356*$AA$1356</f>
        <v>257906.03578398508</v>
      </c>
    </row>
    <row r="1357" spans="1:33" ht="11.25" customHeight="1" x14ac:dyDescent="0.25">
      <c r="A1357" s="4" t="s">
        <v>27</v>
      </c>
      <c r="B1357" s="4" t="s">
        <v>44</v>
      </c>
      <c r="C1357" s="4" t="s">
        <v>41</v>
      </c>
      <c r="D1357" s="4" t="s">
        <v>42</v>
      </c>
      <c r="E1357" s="4" t="s">
        <v>25</v>
      </c>
      <c r="F1357" s="4" t="s">
        <v>25</v>
      </c>
      <c r="G1357" s="4" t="s">
        <v>25</v>
      </c>
      <c r="H1357" s="4" t="s">
        <v>35</v>
      </c>
      <c r="I1357" s="5">
        <v>44044</v>
      </c>
      <c r="J1357" s="6">
        <v>480</v>
      </c>
      <c r="K1357" s="6">
        <v>480</v>
      </c>
      <c r="L1357" s="6">
        <v>4.2060000000000004</v>
      </c>
      <c r="M1357" s="6">
        <v>4.2060000000000004</v>
      </c>
      <c r="N1357" s="6">
        <v>4.2060000000000004</v>
      </c>
      <c r="O1357" s="6">
        <v>4.2060000000000004</v>
      </c>
      <c r="P1357" s="6">
        <v>0</v>
      </c>
      <c r="Q1357" s="4" t="s">
        <v>26</v>
      </c>
      <c r="R1357" s="4">
        <v>0</v>
      </c>
      <c r="S1357" s="6">
        <v>31</v>
      </c>
      <c r="T1357" s="6">
        <v>33</v>
      </c>
      <c r="U1357" s="6">
        <v>83</v>
      </c>
      <c r="V1357" s="6">
        <f>IF(ISERROR(VLOOKUP($S$1357,'TAR FIN'!$A$1:$O$120,15,0)),0,VLOOKUP($S$1357,'TAR FIN'!$A$1:$O$120,15,0))</f>
        <v>43.76</v>
      </c>
      <c r="W1357" s="6">
        <f>IF(ISERROR(VLOOKUP($T$1357,'TAR FIN'!$A$1:$O$120,15,0)),0,VLOOKUP($T$1357,'TAR FIN'!$A$1:$O$120,15,0))</f>
        <v>109.75</v>
      </c>
      <c r="X1357" s="6">
        <f>IF(ISERROR(VLOOKUP($U$1357,'TAR FIN'!$A$1:$O$120,15,0)),0,VLOOKUP($U$1357,'TAR FIN'!$A$1:$O$120,15,0))</f>
        <v>430.87</v>
      </c>
      <c r="Y1357" s="6">
        <f ca="1">('TUSD BE'!$AM$39+'TUSD BF'!$AM$39+'TUSD CVA'!$AM$39)*1</f>
        <v>49.088494763430781</v>
      </c>
      <c r="Z1357" s="6">
        <f ca="1">('TUSD BE'!$AM$41+'TUSD BF'!$AM$41+'TUSD CVA'!$AM$41)*1</f>
        <v>112.97896283052546</v>
      </c>
      <c r="AA1357" s="6">
        <f>('TE BE'!$AA$13+'TE BF'!$AA$13+'TE CVA'!$AA$13)*1</f>
        <v>375.69180268700768</v>
      </c>
      <c r="AB1357" s="6">
        <f>$K$1357*$V$1357</f>
        <v>21004.799999999999</v>
      </c>
      <c r="AC1357" s="6">
        <f>$M$1357*$W$1357</f>
        <v>461.60850000000005</v>
      </c>
      <c r="AD1357" s="6">
        <f>$O$1357*$X$1357</f>
        <v>1812.2392200000002</v>
      </c>
      <c r="AE1357" s="6">
        <f ca="1">$K$1357*$Y$1357</f>
        <v>23562.477486446776</v>
      </c>
      <c r="AF1357" s="6">
        <f ca="1">$M$1357*$Z$1357</f>
        <v>475.18951766519012</v>
      </c>
      <c r="AG1357" s="6">
        <f>$O$1357*$AA$1357</f>
        <v>1580.1597221015545</v>
      </c>
    </row>
    <row r="1358" spans="1:33" ht="11.25" customHeight="1" x14ac:dyDescent="0.25">
      <c r="A1358" s="4" t="s">
        <v>28</v>
      </c>
      <c r="B1358" s="4" t="s">
        <v>44</v>
      </c>
      <c r="C1358" s="4" t="s">
        <v>41</v>
      </c>
      <c r="D1358" s="4" t="s">
        <v>42</v>
      </c>
      <c r="E1358" s="4" t="s">
        <v>25</v>
      </c>
      <c r="F1358" s="4" t="s">
        <v>25</v>
      </c>
      <c r="G1358" s="4" t="s">
        <v>25</v>
      </c>
      <c r="H1358" s="4" t="s">
        <v>35</v>
      </c>
      <c r="I1358" s="5">
        <v>44044</v>
      </c>
      <c r="J1358" s="6">
        <v>710</v>
      </c>
      <c r="K1358" s="6">
        <v>710</v>
      </c>
      <c r="L1358" s="6">
        <v>16.016999999999999</v>
      </c>
      <c r="M1358" s="6">
        <v>16.016999999999999</v>
      </c>
      <c r="N1358" s="6">
        <v>16.016999999999999</v>
      </c>
      <c r="O1358" s="6">
        <v>16.016999999999999</v>
      </c>
      <c r="P1358" s="6">
        <v>0</v>
      </c>
      <c r="Q1358" s="4" t="s">
        <v>26</v>
      </c>
      <c r="R1358" s="4">
        <v>0</v>
      </c>
      <c r="S1358" s="6">
        <v>31</v>
      </c>
      <c r="T1358" s="6">
        <v>33</v>
      </c>
      <c r="U1358" s="6">
        <v>83</v>
      </c>
      <c r="V1358" s="6">
        <f>IF(ISERROR(VLOOKUP($S$1358,'TAR FIN'!$A$1:$O$120,15,0)),0,VLOOKUP($S$1358,'TAR FIN'!$A$1:$O$120,15,0))</f>
        <v>43.76</v>
      </c>
      <c r="W1358" s="6">
        <f>IF(ISERROR(VLOOKUP($T$1358,'TAR FIN'!$A$1:$O$120,15,0)),0,VLOOKUP($T$1358,'TAR FIN'!$A$1:$O$120,15,0))</f>
        <v>109.75</v>
      </c>
      <c r="X1358" s="6">
        <f>IF(ISERROR(VLOOKUP($U$1358,'TAR FIN'!$A$1:$O$120,15,0)),0,VLOOKUP($U$1358,'TAR FIN'!$A$1:$O$120,15,0))</f>
        <v>430.87</v>
      </c>
      <c r="Y1358" s="6">
        <f ca="1">('TUSD BE'!$AM$39+'TUSD BF'!$AM$39+'TUSD CVA'!$AM$39)*1</f>
        <v>49.088494763430781</v>
      </c>
      <c r="Z1358" s="6">
        <f ca="1">('TUSD BE'!$AM$41+'TUSD BF'!$AM$41+'TUSD CVA'!$AM$41)*1</f>
        <v>112.97896283052546</v>
      </c>
      <c r="AA1358" s="6">
        <f>('TE BE'!$AA$13+'TE BF'!$AA$13+'TE CVA'!$AA$13)*1</f>
        <v>375.69180268700768</v>
      </c>
      <c r="AB1358" s="6">
        <f>$K$1358*$V$1358</f>
        <v>31069.599999999999</v>
      </c>
      <c r="AC1358" s="6">
        <f>$M$1358*$W$1358</f>
        <v>1757.8657499999999</v>
      </c>
      <c r="AD1358" s="6">
        <f>$O$1358*$X$1358</f>
        <v>6901.2447899999997</v>
      </c>
      <c r="AE1358" s="6">
        <f ca="1">$K$1358*$Y$1358</f>
        <v>34852.831282035855</v>
      </c>
      <c r="AF1358" s="6">
        <f ca="1">$M$1358*$Z$1358</f>
        <v>1809.5840476565263</v>
      </c>
      <c r="AG1358" s="6">
        <f>$O$1358*$AA$1358</f>
        <v>6017.4556036378017</v>
      </c>
    </row>
    <row r="1359" spans="1:33" ht="11.25" customHeight="1" x14ac:dyDescent="0.25">
      <c r="A1359" s="4" t="s">
        <v>59</v>
      </c>
      <c r="B1359" s="4" t="s">
        <v>44</v>
      </c>
      <c r="C1359" s="4" t="s">
        <v>41</v>
      </c>
      <c r="D1359" s="4" t="s">
        <v>42</v>
      </c>
      <c r="E1359" s="4" t="s">
        <v>25</v>
      </c>
      <c r="F1359" s="4" t="s">
        <v>25</v>
      </c>
      <c r="G1359" s="4" t="s">
        <v>25</v>
      </c>
      <c r="H1359" s="4" t="s">
        <v>35</v>
      </c>
      <c r="I1359" s="5">
        <v>44075</v>
      </c>
      <c r="J1359" s="6">
        <v>17239</v>
      </c>
      <c r="K1359" s="6">
        <v>17239</v>
      </c>
      <c r="L1359" s="6">
        <v>686.48299999999995</v>
      </c>
      <c r="M1359" s="6">
        <v>686.48299999999995</v>
      </c>
      <c r="N1359" s="6">
        <v>686.48299999999995</v>
      </c>
      <c r="O1359" s="6">
        <v>686.48299999999995</v>
      </c>
      <c r="P1359" s="6">
        <v>0</v>
      </c>
      <c r="Q1359" s="4" t="s">
        <v>26</v>
      </c>
      <c r="R1359" s="4">
        <v>0</v>
      </c>
      <c r="S1359" s="6">
        <v>31</v>
      </c>
      <c r="T1359" s="6">
        <v>33</v>
      </c>
      <c r="U1359" s="6">
        <v>83</v>
      </c>
      <c r="V1359" s="6">
        <f>IF(ISERROR(VLOOKUP($S$1359,'TAR FIN'!$A$1:$O$120,15,0)),0,VLOOKUP($S$1359,'TAR FIN'!$A$1:$O$120,15,0))</f>
        <v>43.76</v>
      </c>
      <c r="W1359" s="6">
        <f>IF(ISERROR(VLOOKUP($T$1359,'TAR FIN'!$A$1:$O$120,15,0)),0,VLOOKUP($T$1359,'TAR FIN'!$A$1:$O$120,15,0))</f>
        <v>109.75</v>
      </c>
      <c r="X1359" s="6">
        <f>IF(ISERROR(VLOOKUP($U$1359,'TAR FIN'!$A$1:$O$120,15,0)),0,VLOOKUP($U$1359,'TAR FIN'!$A$1:$O$120,15,0))</f>
        <v>430.87</v>
      </c>
      <c r="Y1359" s="6">
        <f ca="1">('TUSD BE'!$AM$39+'TUSD BF'!$AM$39+'TUSD CVA'!$AM$39)*1</f>
        <v>49.088494763430781</v>
      </c>
      <c r="Z1359" s="6">
        <f ca="1">('TUSD BE'!$AM$41+'TUSD BF'!$AM$41+'TUSD CVA'!$AM$41)*1</f>
        <v>112.97896283052546</v>
      </c>
      <c r="AA1359" s="6">
        <f>('TE BE'!$AA$13+'TE BF'!$AA$13+'TE CVA'!$AA$13)*1</f>
        <v>375.69180268700768</v>
      </c>
      <c r="AB1359" s="6">
        <f>$K$1359*$V$1359</f>
        <v>754378.64</v>
      </c>
      <c r="AC1359" s="6">
        <f>$M$1359*$W$1359</f>
        <v>75341.509249999988</v>
      </c>
      <c r="AD1359" s="6">
        <f>$O$1359*$X$1359</f>
        <v>295784.93020999996</v>
      </c>
      <c r="AE1359" s="6">
        <f ca="1">$K$1359*$Y$1359</f>
        <v>846236.5612267832</v>
      </c>
      <c r="AF1359" s="6">
        <f ca="1">$M$1359*$Z$1359</f>
        <v>77558.137340787609</v>
      </c>
      <c r="AG1359" s="6">
        <f>$O$1359*$AA$1359</f>
        <v>257906.03578398508</v>
      </c>
    </row>
    <row r="1360" spans="1:33" ht="11.25" customHeight="1" x14ac:dyDescent="0.25">
      <c r="A1360" s="4" t="s">
        <v>59</v>
      </c>
      <c r="B1360" s="4" t="s">
        <v>44</v>
      </c>
      <c r="C1360" s="4" t="s">
        <v>41</v>
      </c>
      <c r="D1360" s="4" t="s">
        <v>42</v>
      </c>
      <c r="E1360" s="4" t="s">
        <v>25</v>
      </c>
      <c r="F1360" s="4" t="s">
        <v>25</v>
      </c>
      <c r="G1360" s="4" t="s">
        <v>25</v>
      </c>
      <c r="H1360" s="4" t="s">
        <v>35</v>
      </c>
      <c r="I1360" s="5">
        <v>44075</v>
      </c>
      <c r="J1360" s="6">
        <v>480</v>
      </c>
      <c r="K1360" s="6">
        <v>480</v>
      </c>
      <c r="L1360" s="6">
        <v>4.2060000000000004</v>
      </c>
      <c r="M1360" s="6">
        <v>4.2060000000000004</v>
      </c>
      <c r="N1360" s="6">
        <v>4.2060000000000004</v>
      </c>
      <c r="O1360" s="6">
        <v>4.2060000000000004</v>
      </c>
      <c r="P1360" s="6">
        <v>0</v>
      </c>
      <c r="Q1360" s="4" t="s">
        <v>26</v>
      </c>
      <c r="R1360" s="4">
        <v>0</v>
      </c>
      <c r="S1360" s="6">
        <v>31</v>
      </c>
      <c r="T1360" s="6">
        <v>33</v>
      </c>
      <c r="U1360" s="6">
        <v>83</v>
      </c>
      <c r="V1360" s="6">
        <f>IF(ISERROR(VLOOKUP($S$1360,'TAR FIN'!$A$1:$O$120,15,0)),0,VLOOKUP($S$1360,'TAR FIN'!$A$1:$O$120,15,0))</f>
        <v>43.76</v>
      </c>
      <c r="W1360" s="6">
        <f>IF(ISERROR(VLOOKUP($T$1360,'TAR FIN'!$A$1:$O$120,15,0)),0,VLOOKUP($T$1360,'TAR FIN'!$A$1:$O$120,15,0))</f>
        <v>109.75</v>
      </c>
      <c r="X1360" s="6">
        <f>IF(ISERROR(VLOOKUP($U$1360,'TAR FIN'!$A$1:$O$120,15,0)),0,VLOOKUP($U$1360,'TAR FIN'!$A$1:$O$120,15,0))</f>
        <v>430.87</v>
      </c>
      <c r="Y1360" s="6">
        <f ca="1">('TUSD BE'!$AM$39+'TUSD BF'!$AM$39+'TUSD CVA'!$AM$39)*1</f>
        <v>49.088494763430781</v>
      </c>
      <c r="Z1360" s="6">
        <f ca="1">('TUSD BE'!$AM$41+'TUSD BF'!$AM$41+'TUSD CVA'!$AM$41)*1</f>
        <v>112.97896283052546</v>
      </c>
      <c r="AA1360" s="6">
        <f>('TE BE'!$AA$13+'TE BF'!$AA$13+'TE CVA'!$AA$13)*1</f>
        <v>375.69180268700768</v>
      </c>
      <c r="AB1360" s="6">
        <f>$K$1360*$V$1360</f>
        <v>21004.799999999999</v>
      </c>
      <c r="AC1360" s="6">
        <f>$M$1360*$W$1360</f>
        <v>461.60850000000005</v>
      </c>
      <c r="AD1360" s="6">
        <f>$O$1360*$X$1360</f>
        <v>1812.2392200000002</v>
      </c>
      <c r="AE1360" s="6">
        <f ca="1">$K$1360*$Y$1360</f>
        <v>23562.477486446776</v>
      </c>
      <c r="AF1360" s="6">
        <f ca="1">$M$1360*$Z$1360</f>
        <v>475.18951766519012</v>
      </c>
      <c r="AG1360" s="6">
        <f>$O$1360*$AA$1360</f>
        <v>1580.1597221015545</v>
      </c>
    </row>
    <row r="1361" spans="1:33" ht="11.25" customHeight="1" x14ac:dyDescent="0.25">
      <c r="A1361" s="4" t="s">
        <v>59</v>
      </c>
      <c r="B1361" s="4" t="s">
        <v>44</v>
      </c>
      <c r="C1361" s="4" t="s">
        <v>41</v>
      </c>
      <c r="D1361" s="4" t="s">
        <v>42</v>
      </c>
      <c r="E1361" s="4" t="s">
        <v>25</v>
      </c>
      <c r="F1361" s="4" t="s">
        <v>25</v>
      </c>
      <c r="G1361" s="4" t="s">
        <v>25</v>
      </c>
      <c r="H1361" s="4" t="s">
        <v>35</v>
      </c>
      <c r="I1361" s="5">
        <v>44075</v>
      </c>
      <c r="J1361" s="6">
        <v>710</v>
      </c>
      <c r="K1361" s="6">
        <v>710</v>
      </c>
      <c r="L1361" s="6">
        <v>16.016999999999999</v>
      </c>
      <c r="M1361" s="6">
        <v>16.016999999999999</v>
      </c>
      <c r="N1361" s="6">
        <v>16.016999999999999</v>
      </c>
      <c r="O1361" s="6">
        <v>16.016999999999999</v>
      </c>
      <c r="P1361" s="6">
        <v>0</v>
      </c>
      <c r="Q1361" s="4" t="s">
        <v>26</v>
      </c>
      <c r="R1361" s="4">
        <v>0</v>
      </c>
      <c r="S1361" s="6">
        <v>31</v>
      </c>
      <c r="T1361" s="6">
        <v>33</v>
      </c>
      <c r="U1361" s="6">
        <v>83</v>
      </c>
      <c r="V1361" s="6">
        <f>IF(ISERROR(VLOOKUP($S$1361,'TAR FIN'!$A$1:$O$120,15,0)),0,VLOOKUP($S$1361,'TAR FIN'!$A$1:$O$120,15,0))</f>
        <v>43.76</v>
      </c>
      <c r="W1361" s="6">
        <f>IF(ISERROR(VLOOKUP($T$1361,'TAR FIN'!$A$1:$O$120,15,0)),0,VLOOKUP($T$1361,'TAR FIN'!$A$1:$O$120,15,0))</f>
        <v>109.75</v>
      </c>
      <c r="X1361" s="6">
        <f>IF(ISERROR(VLOOKUP($U$1361,'TAR FIN'!$A$1:$O$120,15,0)),0,VLOOKUP($U$1361,'TAR FIN'!$A$1:$O$120,15,0))</f>
        <v>430.87</v>
      </c>
      <c r="Y1361" s="6">
        <f ca="1">('TUSD BE'!$AM$39+'TUSD BF'!$AM$39+'TUSD CVA'!$AM$39)*1</f>
        <v>49.088494763430781</v>
      </c>
      <c r="Z1361" s="6">
        <f ca="1">('TUSD BE'!$AM$41+'TUSD BF'!$AM$41+'TUSD CVA'!$AM$41)*1</f>
        <v>112.97896283052546</v>
      </c>
      <c r="AA1361" s="6">
        <f>('TE BE'!$AA$13+'TE BF'!$AA$13+'TE CVA'!$AA$13)*1</f>
        <v>375.69180268700768</v>
      </c>
      <c r="AB1361" s="6">
        <f>$K$1361*$V$1361</f>
        <v>31069.599999999999</v>
      </c>
      <c r="AC1361" s="6">
        <f>$M$1361*$W$1361</f>
        <v>1757.8657499999999</v>
      </c>
      <c r="AD1361" s="6">
        <f>$O$1361*$X$1361</f>
        <v>6901.2447899999997</v>
      </c>
      <c r="AE1361" s="6">
        <f ca="1">$K$1361*$Y$1361</f>
        <v>34852.831282035855</v>
      </c>
      <c r="AF1361" s="6">
        <f ca="1">$M$1361*$Z$1361</f>
        <v>1809.5840476565263</v>
      </c>
      <c r="AG1361" s="6">
        <f>$O$1361*$AA$1361</f>
        <v>6017.4556036378017</v>
      </c>
    </row>
    <row r="1362" spans="1:33" ht="11.25" customHeight="1" x14ac:dyDescent="0.25">
      <c r="A1362" s="4" t="s">
        <v>21</v>
      </c>
      <c r="B1362" s="4" t="s">
        <v>44</v>
      </c>
      <c r="C1362" s="4" t="s">
        <v>41</v>
      </c>
      <c r="D1362" s="4" t="s">
        <v>40</v>
      </c>
      <c r="E1362" s="4" t="s">
        <v>25</v>
      </c>
      <c r="F1362" s="4" t="s">
        <v>63</v>
      </c>
      <c r="G1362" s="4" t="s">
        <v>25</v>
      </c>
      <c r="H1362" s="4" t="s">
        <v>36</v>
      </c>
      <c r="I1362" s="5">
        <v>43739</v>
      </c>
      <c r="J1362" s="6">
        <v>11307</v>
      </c>
      <c r="K1362" s="6">
        <v>7176.8075336399997</v>
      </c>
      <c r="L1362" s="6">
        <v>0</v>
      </c>
      <c r="M1362" s="6">
        <v>0</v>
      </c>
      <c r="N1362" s="6">
        <v>0</v>
      </c>
      <c r="O1362" s="6">
        <v>0</v>
      </c>
      <c r="P1362" s="6">
        <v>0</v>
      </c>
      <c r="Q1362" s="4" t="s">
        <v>60</v>
      </c>
      <c r="R1362" s="4">
        <v>0</v>
      </c>
      <c r="S1362" s="6">
        <v>32</v>
      </c>
      <c r="T1362" s="6">
        <v>0</v>
      </c>
      <c r="U1362" s="6">
        <v>0</v>
      </c>
      <c r="V1362" s="6">
        <f>IF(ISERROR(VLOOKUP($S$1362,'TAR FIN'!$A$1:$O$120,15,0)),0,VLOOKUP($S$1362,'TAR FIN'!$A$1:$O$120,15,0))</f>
        <v>12.24</v>
      </c>
      <c r="W1362" s="6">
        <f>IF(ISERROR(VLOOKUP($T$1362,'TAR FIN'!$A$1:$O$120,15,0)),0,VLOOKUP($T$1362,'TAR FIN'!$A$1:$O$120,15,0))</f>
        <v>0</v>
      </c>
      <c r="X1362" s="6">
        <f>IF(ISERROR(VLOOKUP($U$1362,'TAR FIN'!$A$1:$O$120,15,0)),0,VLOOKUP($U$1362,'TAR FIN'!$A$1:$O$120,15,0))</f>
        <v>0</v>
      </c>
      <c r="Y1362" s="6">
        <f ca="1">('TUSD BE'!$AM$40+'TUSD BF'!$AM$40+'TUSD CVA'!$AM$40)*1</f>
        <v>16.00053546174815</v>
      </c>
      <c r="Z1362" s="6">
        <f ca="1">('TUSD BE'!$AM$41+'TUSD BF'!$AM$41+'TUSD CVA'!$AM$41)*1</f>
        <v>112.97896283052546</v>
      </c>
      <c r="AA1362" s="6"/>
      <c r="AB1362" s="6">
        <f>$K$1362*$V$1362</f>
        <v>87844.124211753602</v>
      </c>
      <c r="AC1362" s="6">
        <f>$M$1362*$W$1362</f>
        <v>0</v>
      </c>
      <c r="AD1362" s="6">
        <f>$O$1362*$X$1362</f>
        <v>0</v>
      </c>
      <c r="AE1362" s="6">
        <f ca="1">$K$1362*$Y$1362</f>
        <v>114832.76344414809</v>
      </c>
      <c r="AF1362" s="6">
        <f ca="1">$M$1362*$Z$1362</f>
        <v>0</v>
      </c>
      <c r="AG1362" s="6">
        <f>$O$1362*$AA$1362</f>
        <v>0</v>
      </c>
    </row>
    <row r="1363" spans="1:33" ht="11.25" customHeight="1" x14ac:dyDescent="0.25">
      <c r="A1363" s="4" t="s">
        <v>21</v>
      </c>
      <c r="B1363" s="4" t="s">
        <v>44</v>
      </c>
      <c r="C1363" s="4" t="s">
        <v>41</v>
      </c>
      <c r="D1363" s="4" t="s">
        <v>40</v>
      </c>
      <c r="E1363" s="4" t="s">
        <v>25</v>
      </c>
      <c r="F1363" s="4" t="s">
        <v>63</v>
      </c>
      <c r="G1363" s="4" t="s">
        <v>25</v>
      </c>
      <c r="H1363" s="4" t="s">
        <v>36</v>
      </c>
      <c r="I1363" s="5">
        <v>43770</v>
      </c>
      <c r="J1363" s="6">
        <v>11307</v>
      </c>
      <c r="K1363" s="6">
        <v>7197.53134245</v>
      </c>
      <c r="L1363" s="6">
        <v>0</v>
      </c>
      <c r="M1363" s="6">
        <v>0</v>
      </c>
      <c r="N1363" s="6">
        <v>0</v>
      </c>
      <c r="O1363" s="6">
        <v>0</v>
      </c>
      <c r="P1363" s="6">
        <v>0</v>
      </c>
      <c r="Q1363" s="4" t="s">
        <v>60</v>
      </c>
      <c r="R1363" s="4">
        <v>0</v>
      </c>
      <c r="S1363" s="6">
        <v>32</v>
      </c>
      <c r="T1363" s="6">
        <v>0</v>
      </c>
      <c r="U1363" s="6">
        <v>0</v>
      </c>
      <c r="V1363" s="6">
        <f>IF(ISERROR(VLOOKUP($S$1363,'TAR FIN'!$A$1:$O$120,15,0)),0,VLOOKUP($S$1363,'TAR FIN'!$A$1:$O$120,15,0))</f>
        <v>12.24</v>
      </c>
      <c r="W1363" s="6">
        <f>IF(ISERROR(VLOOKUP($T$1363,'TAR FIN'!$A$1:$O$120,15,0)),0,VLOOKUP($T$1363,'TAR FIN'!$A$1:$O$120,15,0))</f>
        <v>0</v>
      </c>
      <c r="X1363" s="6">
        <f>IF(ISERROR(VLOOKUP($U$1363,'TAR FIN'!$A$1:$O$120,15,0)),0,VLOOKUP($U$1363,'TAR FIN'!$A$1:$O$120,15,0))</f>
        <v>0</v>
      </c>
      <c r="Y1363" s="6">
        <f ca="1">('TUSD BE'!$AM$40+'TUSD BF'!$AM$40+'TUSD CVA'!$AM$40)*1</f>
        <v>16.00053546174815</v>
      </c>
      <c r="Z1363" s="6">
        <f ca="1">('TUSD BE'!$AM$41+'TUSD BF'!$AM$41+'TUSD CVA'!$AM$41)*1</f>
        <v>112.97896283052546</v>
      </c>
      <c r="AA1363" s="6"/>
      <c r="AB1363" s="6">
        <f>$K$1363*$V$1363</f>
        <v>88097.783631587998</v>
      </c>
      <c r="AC1363" s="6">
        <f>$M$1363*$W$1363</f>
        <v>0</v>
      </c>
      <c r="AD1363" s="6">
        <f>$O$1363*$X$1363</f>
        <v>0</v>
      </c>
      <c r="AE1363" s="6">
        <f ca="1">$K$1363*$Y$1363</f>
        <v>115164.35548191499</v>
      </c>
      <c r="AF1363" s="6">
        <f ca="1">$M$1363*$Z$1363</f>
        <v>0</v>
      </c>
      <c r="AG1363" s="6">
        <f>$O$1363*$AA$1363</f>
        <v>0</v>
      </c>
    </row>
    <row r="1364" spans="1:33" ht="11.25" customHeight="1" x14ac:dyDescent="0.25">
      <c r="A1364" s="4" t="s">
        <v>21</v>
      </c>
      <c r="B1364" s="4" t="s">
        <v>44</v>
      </c>
      <c r="C1364" s="4" t="s">
        <v>41</v>
      </c>
      <c r="D1364" s="4" t="s">
        <v>40</v>
      </c>
      <c r="E1364" s="4" t="s">
        <v>25</v>
      </c>
      <c r="F1364" s="4" t="s">
        <v>63</v>
      </c>
      <c r="G1364" s="4" t="s">
        <v>25</v>
      </c>
      <c r="H1364" s="4" t="s">
        <v>36</v>
      </c>
      <c r="I1364" s="5">
        <v>43800</v>
      </c>
      <c r="J1364" s="6">
        <v>11307</v>
      </c>
      <c r="K1364" s="6">
        <v>7234.7516119800002</v>
      </c>
      <c r="L1364" s="6">
        <v>0</v>
      </c>
      <c r="M1364" s="6">
        <v>0</v>
      </c>
      <c r="N1364" s="6">
        <v>0</v>
      </c>
      <c r="O1364" s="6">
        <v>0</v>
      </c>
      <c r="P1364" s="6">
        <v>0</v>
      </c>
      <c r="Q1364" s="4" t="s">
        <v>60</v>
      </c>
      <c r="R1364" s="4">
        <v>0</v>
      </c>
      <c r="S1364" s="6">
        <v>32</v>
      </c>
      <c r="T1364" s="6">
        <v>0</v>
      </c>
      <c r="U1364" s="6">
        <v>0</v>
      </c>
      <c r="V1364" s="6">
        <f>IF(ISERROR(VLOOKUP($S$1364,'TAR FIN'!$A$1:$O$120,15,0)),0,VLOOKUP($S$1364,'TAR FIN'!$A$1:$O$120,15,0))</f>
        <v>12.24</v>
      </c>
      <c r="W1364" s="6">
        <f>IF(ISERROR(VLOOKUP($T$1364,'TAR FIN'!$A$1:$O$120,15,0)),0,VLOOKUP($T$1364,'TAR FIN'!$A$1:$O$120,15,0))</f>
        <v>0</v>
      </c>
      <c r="X1364" s="6">
        <f>IF(ISERROR(VLOOKUP($U$1364,'TAR FIN'!$A$1:$O$120,15,0)),0,VLOOKUP($U$1364,'TAR FIN'!$A$1:$O$120,15,0))</f>
        <v>0</v>
      </c>
      <c r="Y1364" s="6">
        <f ca="1">('TUSD BE'!$AM$40+'TUSD BF'!$AM$40+'TUSD CVA'!$AM$40)*1</f>
        <v>16.00053546174815</v>
      </c>
      <c r="Z1364" s="6">
        <f ca="1">('TUSD BE'!$AM$41+'TUSD BF'!$AM$41+'TUSD CVA'!$AM$41)*1</f>
        <v>112.97896283052546</v>
      </c>
      <c r="AA1364" s="6"/>
      <c r="AB1364" s="6">
        <f>$K$1364*$V$1364</f>
        <v>88553.359730635202</v>
      </c>
      <c r="AC1364" s="6">
        <f>$M$1364*$W$1364</f>
        <v>0</v>
      </c>
      <c r="AD1364" s="6">
        <f>$O$1364*$X$1364</f>
        <v>0</v>
      </c>
      <c r="AE1364" s="6">
        <f ca="1">$K$1364*$Y$1364</f>
        <v>115759.89972442559</v>
      </c>
      <c r="AF1364" s="6">
        <f ca="1">$M$1364*$Z$1364</f>
        <v>0</v>
      </c>
      <c r="AG1364" s="6">
        <f>$O$1364*$AA$1364</f>
        <v>0</v>
      </c>
    </row>
    <row r="1365" spans="1:33" ht="11.25" customHeight="1" x14ac:dyDescent="0.25">
      <c r="A1365" s="4" t="s">
        <v>21</v>
      </c>
      <c r="B1365" s="4" t="s">
        <v>44</v>
      </c>
      <c r="C1365" s="4" t="s">
        <v>41</v>
      </c>
      <c r="D1365" s="4" t="s">
        <v>40</v>
      </c>
      <c r="E1365" s="4" t="s">
        <v>25</v>
      </c>
      <c r="F1365" s="4" t="s">
        <v>63</v>
      </c>
      <c r="G1365" s="4" t="s">
        <v>25</v>
      </c>
      <c r="H1365" s="4" t="s">
        <v>36</v>
      </c>
      <c r="I1365" s="5">
        <v>43831</v>
      </c>
      <c r="J1365" s="6">
        <v>12948</v>
      </c>
      <c r="K1365" s="6">
        <v>8757.7600827599999</v>
      </c>
      <c r="L1365" s="6">
        <v>0</v>
      </c>
      <c r="M1365" s="6">
        <v>0</v>
      </c>
      <c r="N1365" s="6">
        <v>0</v>
      </c>
      <c r="O1365" s="6">
        <v>0</v>
      </c>
      <c r="P1365" s="6">
        <v>0</v>
      </c>
      <c r="Q1365" s="4" t="s">
        <v>60</v>
      </c>
      <c r="R1365" s="4">
        <v>0</v>
      </c>
      <c r="S1365" s="6">
        <v>32</v>
      </c>
      <c r="T1365" s="6">
        <v>0</v>
      </c>
      <c r="U1365" s="6">
        <v>0</v>
      </c>
      <c r="V1365" s="6">
        <f>IF(ISERROR(VLOOKUP($S$1365,'TAR FIN'!$A$1:$O$120,15,0)),0,VLOOKUP($S$1365,'TAR FIN'!$A$1:$O$120,15,0))</f>
        <v>12.24</v>
      </c>
      <c r="W1365" s="6">
        <f>IF(ISERROR(VLOOKUP($T$1365,'TAR FIN'!$A$1:$O$120,15,0)),0,VLOOKUP($T$1365,'TAR FIN'!$A$1:$O$120,15,0))</f>
        <v>0</v>
      </c>
      <c r="X1365" s="6">
        <f>IF(ISERROR(VLOOKUP($U$1365,'TAR FIN'!$A$1:$O$120,15,0)),0,VLOOKUP($U$1365,'TAR FIN'!$A$1:$O$120,15,0))</f>
        <v>0</v>
      </c>
      <c r="Y1365" s="6">
        <f ca="1">('TUSD BE'!$AM$40+'TUSD BF'!$AM$40+'TUSD CVA'!$AM$40)*1</f>
        <v>16.00053546174815</v>
      </c>
      <c r="Z1365" s="6">
        <f ca="1">('TUSD BE'!$AM$41+'TUSD BF'!$AM$41+'TUSD CVA'!$AM$41)*1</f>
        <v>112.97896283052546</v>
      </c>
      <c r="AA1365" s="6"/>
      <c r="AB1365" s="6">
        <f>$K$1365*$V$1365</f>
        <v>107194.9834129824</v>
      </c>
      <c r="AC1365" s="6">
        <f>$M$1365*$W$1365</f>
        <v>0</v>
      </c>
      <c r="AD1365" s="6">
        <f>$O$1365*$X$1365</f>
        <v>0</v>
      </c>
      <c r="AE1365" s="6">
        <f ca="1">$K$1365*$Y$1365</f>
        <v>140128.85076968381</v>
      </c>
      <c r="AF1365" s="6">
        <f ca="1">$M$1365*$Z$1365</f>
        <v>0</v>
      </c>
      <c r="AG1365" s="6">
        <f>$O$1365*$AA$1365</f>
        <v>0</v>
      </c>
    </row>
    <row r="1366" spans="1:33" ht="11.25" customHeight="1" x14ac:dyDescent="0.25">
      <c r="A1366" s="4" t="s">
        <v>21</v>
      </c>
      <c r="B1366" s="4" t="s">
        <v>44</v>
      </c>
      <c r="C1366" s="4" t="s">
        <v>41</v>
      </c>
      <c r="D1366" s="4" t="s">
        <v>40</v>
      </c>
      <c r="E1366" s="4" t="s">
        <v>25</v>
      </c>
      <c r="F1366" s="4" t="s">
        <v>63</v>
      </c>
      <c r="G1366" s="4" t="s">
        <v>25</v>
      </c>
      <c r="H1366" s="4" t="s">
        <v>36</v>
      </c>
      <c r="I1366" s="5">
        <v>43862</v>
      </c>
      <c r="J1366" s="6">
        <v>12887</v>
      </c>
      <c r="K1366" s="6">
        <v>8219.4699703900005</v>
      </c>
      <c r="L1366" s="6">
        <v>0</v>
      </c>
      <c r="M1366" s="6">
        <v>0</v>
      </c>
      <c r="N1366" s="6">
        <v>0</v>
      </c>
      <c r="O1366" s="6">
        <v>0</v>
      </c>
      <c r="P1366" s="6">
        <v>0</v>
      </c>
      <c r="Q1366" s="4" t="s">
        <v>60</v>
      </c>
      <c r="R1366" s="4">
        <v>0</v>
      </c>
      <c r="S1366" s="6">
        <v>32</v>
      </c>
      <c r="T1366" s="6">
        <v>0</v>
      </c>
      <c r="U1366" s="6">
        <v>0</v>
      </c>
      <c r="V1366" s="6">
        <f>IF(ISERROR(VLOOKUP($S$1366,'TAR FIN'!$A$1:$O$120,15,0)),0,VLOOKUP($S$1366,'TAR FIN'!$A$1:$O$120,15,0))</f>
        <v>12.24</v>
      </c>
      <c r="W1366" s="6">
        <f>IF(ISERROR(VLOOKUP($T$1366,'TAR FIN'!$A$1:$O$120,15,0)),0,VLOOKUP($T$1366,'TAR FIN'!$A$1:$O$120,15,0))</f>
        <v>0</v>
      </c>
      <c r="X1366" s="6">
        <f>IF(ISERROR(VLOOKUP($U$1366,'TAR FIN'!$A$1:$O$120,15,0)),0,VLOOKUP($U$1366,'TAR FIN'!$A$1:$O$120,15,0))</f>
        <v>0</v>
      </c>
      <c r="Y1366" s="6">
        <f ca="1">('TUSD BE'!$AM$40+'TUSD BF'!$AM$40+'TUSD CVA'!$AM$40)*1</f>
        <v>16.00053546174815</v>
      </c>
      <c r="Z1366" s="6">
        <f ca="1">('TUSD BE'!$AM$41+'TUSD BF'!$AM$41+'TUSD CVA'!$AM$41)*1</f>
        <v>112.97896283052546</v>
      </c>
      <c r="AA1366" s="6"/>
      <c r="AB1366" s="6">
        <f>$K$1366*$V$1366</f>
        <v>100606.31243757361</v>
      </c>
      <c r="AC1366" s="6">
        <f>$M$1366*$W$1366</f>
        <v>0</v>
      </c>
      <c r="AD1366" s="6">
        <f>$O$1366*$X$1366</f>
        <v>0</v>
      </c>
      <c r="AE1366" s="6">
        <f ca="1">$K$1366*$Y$1366</f>
        <v>131515.92073799923</v>
      </c>
      <c r="AF1366" s="6">
        <f ca="1">$M$1366*$Z$1366</f>
        <v>0</v>
      </c>
      <c r="AG1366" s="6">
        <f>$O$1366*$AA$1366</f>
        <v>0</v>
      </c>
    </row>
    <row r="1367" spans="1:33" ht="11.25" customHeight="1" x14ac:dyDescent="0.25">
      <c r="A1367" s="4" t="s">
        <v>21</v>
      </c>
      <c r="B1367" s="4" t="s">
        <v>44</v>
      </c>
      <c r="C1367" s="4" t="s">
        <v>41</v>
      </c>
      <c r="D1367" s="4" t="s">
        <v>40</v>
      </c>
      <c r="E1367" s="4" t="s">
        <v>25</v>
      </c>
      <c r="F1367" s="4" t="s">
        <v>63</v>
      </c>
      <c r="G1367" s="4" t="s">
        <v>25</v>
      </c>
      <c r="H1367" s="4" t="s">
        <v>36</v>
      </c>
      <c r="I1367" s="5">
        <v>43891</v>
      </c>
      <c r="J1367" s="6">
        <v>12771</v>
      </c>
      <c r="K1367" s="6">
        <v>8162.6822204399996</v>
      </c>
      <c r="L1367" s="6">
        <v>0</v>
      </c>
      <c r="M1367" s="6">
        <v>0</v>
      </c>
      <c r="N1367" s="6">
        <v>0</v>
      </c>
      <c r="O1367" s="6">
        <v>0</v>
      </c>
      <c r="P1367" s="6">
        <v>0</v>
      </c>
      <c r="Q1367" s="4" t="s">
        <v>60</v>
      </c>
      <c r="R1367" s="4">
        <v>0</v>
      </c>
      <c r="S1367" s="6">
        <v>32</v>
      </c>
      <c r="T1367" s="6">
        <v>0</v>
      </c>
      <c r="U1367" s="6">
        <v>0</v>
      </c>
      <c r="V1367" s="6">
        <f>IF(ISERROR(VLOOKUP($S$1367,'TAR FIN'!$A$1:$O$120,15,0)),0,VLOOKUP($S$1367,'TAR FIN'!$A$1:$O$120,15,0))</f>
        <v>12.24</v>
      </c>
      <c r="W1367" s="6">
        <f>IF(ISERROR(VLOOKUP($T$1367,'TAR FIN'!$A$1:$O$120,15,0)),0,VLOOKUP($T$1367,'TAR FIN'!$A$1:$O$120,15,0))</f>
        <v>0</v>
      </c>
      <c r="X1367" s="6">
        <f>IF(ISERROR(VLOOKUP($U$1367,'TAR FIN'!$A$1:$O$120,15,0)),0,VLOOKUP($U$1367,'TAR FIN'!$A$1:$O$120,15,0))</f>
        <v>0</v>
      </c>
      <c r="Y1367" s="6">
        <f ca="1">('TUSD BE'!$AM$40+'TUSD BF'!$AM$40+'TUSD CVA'!$AM$40)*1</f>
        <v>16.00053546174815</v>
      </c>
      <c r="Z1367" s="6">
        <f ca="1">('TUSD BE'!$AM$41+'TUSD BF'!$AM$41+'TUSD CVA'!$AM$41)*1</f>
        <v>112.97896283052546</v>
      </c>
      <c r="AA1367" s="6"/>
      <c r="AB1367" s="6">
        <f>$K$1367*$V$1367</f>
        <v>99911.230378185603</v>
      </c>
      <c r="AC1367" s="6">
        <f>$M$1367*$W$1367</f>
        <v>0</v>
      </c>
      <c r="AD1367" s="6">
        <f>$O$1367*$X$1367</f>
        <v>0</v>
      </c>
      <c r="AE1367" s="6">
        <f ca="1">$K$1367*$Y$1367</f>
        <v>130607.28633113134</v>
      </c>
      <c r="AF1367" s="6">
        <f ca="1">$M$1367*$Z$1367</f>
        <v>0</v>
      </c>
      <c r="AG1367" s="6">
        <f>$O$1367*$AA$1367</f>
        <v>0</v>
      </c>
    </row>
    <row r="1368" spans="1:33" ht="11.25" customHeight="1" x14ac:dyDescent="0.25">
      <c r="A1368" s="4" t="s">
        <v>21</v>
      </c>
      <c r="B1368" s="4" t="s">
        <v>44</v>
      </c>
      <c r="C1368" s="4" t="s">
        <v>41</v>
      </c>
      <c r="D1368" s="4" t="s">
        <v>40</v>
      </c>
      <c r="E1368" s="4" t="s">
        <v>25</v>
      </c>
      <c r="F1368" s="4" t="s">
        <v>63</v>
      </c>
      <c r="G1368" s="4" t="s">
        <v>25</v>
      </c>
      <c r="H1368" s="4" t="s">
        <v>36</v>
      </c>
      <c r="I1368" s="5">
        <v>43922</v>
      </c>
      <c r="J1368" s="6">
        <v>12791</v>
      </c>
      <c r="K1368" s="6">
        <v>8114.6468543499996</v>
      </c>
      <c r="L1368" s="6">
        <v>0</v>
      </c>
      <c r="M1368" s="6">
        <v>0</v>
      </c>
      <c r="N1368" s="6">
        <v>0</v>
      </c>
      <c r="O1368" s="6">
        <v>0</v>
      </c>
      <c r="P1368" s="6">
        <v>0</v>
      </c>
      <c r="Q1368" s="4" t="s">
        <v>60</v>
      </c>
      <c r="R1368" s="4">
        <v>0</v>
      </c>
      <c r="S1368" s="6">
        <v>32</v>
      </c>
      <c r="T1368" s="6">
        <v>0</v>
      </c>
      <c r="U1368" s="6">
        <v>0</v>
      </c>
      <c r="V1368" s="6">
        <f>IF(ISERROR(VLOOKUP($S$1368,'TAR FIN'!$A$1:$O$120,15,0)),0,VLOOKUP($S$1368,'TAR FIN'!$A$1:$O$120,15,0))</f>
        <v>12.24</v>
      </c>
      <c r="W1368" s="6">
        <f>IF(ISERROR(VLOOKUP($T$1368,'TAR FIN'!$A$1:$O$120,15,0)),0,VLOOKUP($T$1368,'TAR FIN'!$A$1:$O$120,15,0))</f>
        <v>0</v>
      </c>
      <c r="X1368" s="6">
        <f>IF(ISERROR(VLOOKUP($U$1368,'TAR FIN'!$A$1:$O$120,15,0)),0,VLOOKUP($U$1368,'TAR FIN'!$A$1:$O$120,15,0))</f>
        <v>0</v>
      </c>
      <c r="Y1368" s="6">
        <f ca="1">('TUSD BE'!$AM$40+'TUSD BF'!$AM$40+'TUSD CVA'!$AM$40)*1</f>
        <v>16.00053546174815</v>
      </c>
      <c r="Z1368" s="6">
        <f ca="1">('TUSD BE'!$AM$41+'TUSD BF'!$AM$41+'TUSD CVA'!$AM$41)*1</f>
        <v>112.97896283052546</v>
      </c>
      <c r="AA1368" s="6"/>
      <c r="AB1368" s="6">
        <f>$K$1368*$V$1368</f>
        <v>99323.277497243995</v>
      </c>
      <c r="AC1368" s="6">
        <f>$M$1368*$W$1368</f>
        <v>0</v>
      </c>
      <c r="AD1368" s="6">
        <f>$O$1368*$X$1368</f>
        <v>0</v>
      </c>
      <c r="AE1368" s="6">
        <f ca="1">$K$1368*$Y$1368</f>
        <v>129838.69475259025</v>
      </c>
      <c r="AF1368" s="6">
        <f ca="1">$M$1368*$Z$1368</f>
        <v>0</v>
      </c>
      <c r="AG1368" s="6">
        <f>$O$1368*$AA$1368</f>
        <v>0</v>
      </c>
    </row>
    <row r="1369" spans="1:33" ht="11.25" customHeight="1" x14ac:dyDescent="0.25">
      <c r="A1369" s="4" t="s">
        <v>21</v>
      </c>
      <c r="B1369" s="4" t="s">
        <v>44</v>
      </c>
      <c r="C1369" s="4" t="s">
        <v>41</v>
      </c>
      <c r="D1369" s="4" t="s">
        <v>40</v>
      </c>
      <c r="E1369" s="4" t="s">
        <v>25</v>
      </c>
      <c r="F1369" s="4" t="s">
        <v>63</v>
      </c>
      <c r="G1369" s="4" t="s">
        <v>25</v>
      </c>
      <c r="H1369" s="4" t="s">
        <v>36</v>
      </c>
      <c r="I1369" s="5">
        <v>43952</v>
      </c>
      <c r="J1369" s="6">
        <v>12848</v>
      </c>
      <c r="K1369" s="6">
        <v>8385.0359788799997</v>
      </c>
      <c r="L1369" s="6">
        <v>0</v>
      </c>
      <c r="M1369" s="6">
        <v>0</v>
      </c>
      <c r="N1369" s="6">
        <v>0</v>
      </c>
      <c r="O1369" s="6">
        <v>0</v>
      </c>
      <c r="P1369" s="6">
        <v>0</v>
      </c>
      <c r="Q1369" s="4" t="s">
        <v>60</v>
      </c>
      <c r="R1369" s="4">
        <v>0</v>
      </c>
      <c r="S1369" s="6">
        <v>32</v>
      </c>
      <c r="T1369" s="6">
        <v>0</v>
      </c>
      <c r="U1369" s="6">
        <v>0</v>
      </c>
      <c r="V1369" s="6">
        <f>IF(ISERROR(VLOOKUP($S$1369,'TAR FIN'!$A$1:$O$120,15,0)),0,VLOOKUP($S$1369,'TAR FIN'!$A$1:$O$120,15,0))</f>
        <v>12.24</v>
      </c>
      <c r="W1369" s="6">
        <f>IF(ISERROR(VLOOKUP($T$1369,'TAR FIN'!$A$1:$O$120,15,0)),0,VLOOKUP($T$1369,'TAR FIN'!$A$1:$O$120,15,0))</f>
        <v>0</v>
      </c>
      <c r="X1369" s="6">
        <f>IF(ISERROR(VLOOKUP($U$1369,'TAR FIN'!$A$1:$O$120,15,0)),0,VLOOKUP($U$1369,'TAR FIN'!$A$1:$O$120,15,0))</f>
        <v>0</v>
      </c>
      <c r="Y1369" s="6">
        <f ca="1">('TUSD BE'!$AM$40+'TUSD BF'!$AM$40+'TUSD CVA'!$AM$40)*1</f>
        <v>16.00053546174815</v>
      </c>
      <c r="Z1369" s="6">
        <f ca="1">('TUSD BE'!$AM$41+'TUSD BF'!$AM$41+'TUSD CVA'!$AM$41)*1</f>
        <v>112.97896283052546</v>
      </c>
      <c r="AA1369" s="6"/>
      <c r="AB1369" s="6">
        <f>$K$1369*$V$1369</f>
        <v>102632.8403814912</v>
      </c>
      <c r="AC1369" s="6">
        <f>$M$1369*$W$1369</f>
        <v>0</v>
      </c>
      <c r="AD1369" s="6">
        <f>$O$1369*$X$1369</f>
        <v>0</v>
      </c>
      <c r="AE1369" s="6">
        <f ca="1">$K$1369*$Y$1369</f>
        <v>134165.06552810356</v>
      </c>
      <c r="AF1369" s="6">
        <f ca="1">$M$1369*$Z$1369</f>
        <v>0</v>
      </c>
      <c r="AG1369" s="6">
        <f>$O$1369*$AA$1369</f>
        <v>0</v>
      </c>
    </row>
    <row r="1370" spans="1:33" ht="11.25" customHeight="1" x14ac:dyDescent="0.25">
      <c r="A1370" s="4" t="s">
        <v>21</v>
      </c>
      <c r="B1370" s="4" t="s">
        <v>44</v>
      </c>
      <c r="C1370" s="4" t="s">
        <v>41</v>
      </c>
      <c r="D1370" s="4" t="s">
        <v>40</v>
      </c>
      <c r="E1370" s="4" t="s">
        <v>25</v>
      </c>
      <c r="F1370" s="4" t="s">
        <v>63</v>
      </c>
      <c r="G1370" s="4" t="s">
        <v>25</v>
      </c>
      <c r="H1370" s="4" t="s">
        <v>36</v>
      </c>
      <c r="I1370" s="5">
        <v>43983</v>
      </c>
      <c r="J1370" s="6">
        <v>12848</v>
      </c>
      <c r="K1370" s="6">
        <v>8088.0828529600003</v>
      </c>
      <c r="L1370" s="6">
        <v>0</v>
      </c>
      <c r="M1370" s="6">
        <v>0</v>
      </c>
      <c r="N1370" s="6">
        <v>0</v>
      </c>
      <c r="O1370" s="6">
        <v>0</v>
      </c>
      <c r="P1370" s="6">
        <v>0</v>
      </c>
      <c r="Q1370" s="4" t="s">
        <v>60</v>
      </c>
      <c r="R1370" s="4">
        <v>0</v>
      </c>
      <c r="S1370" s="6">
        <v>32</v>
      </c>
      <c r="T1370" s="6">
        <v>0</v>
      </c>
      <c r="U1370" s="6">
        <v>0</v>
      </c>
      <c r="V1370" s="6">
        <f>IF(ISERROR(VLOOKUP($S$1370,'TAR FIN'!$A$1:$O$120,15,0)),0,VLOOKUP($S$1370,'TAR FIN'!$A$1:$O$120,15,0))</f>
        <v>12.24</v>
      </c>
      <c r="W1370" s="6">
        <f>IF(ISERROR(VLOOKUP($T$1370,'TAR FIN'!$A$1:$O$120,15,0)),0,VLOOKUP($T$1370,'TAR FIN'!$A$1:$O$120,15,0))</f>
        <v>0</v>
      </c>
      <c r="X1370" s="6">
        <f>IF(ISERROR(VLOOKUP($U$1370,'TAR FIN'!$A$1:$O$120,15,0)),0,VLOOKUP($U$1370,'TAR FIN'!$A$1:$O$120,15,0))</f>
        <v>0</v>
      </c>
      <c r="Y1370" s="6">
        <f ca="1">('TUSD BE'!$AM$40+'TUSD BF'!$AM$40+'TUSD CVA'!$AM$40)*1</f>
        <v>16.00053546174815</v>
      </c>
      <c r="Z1370" s="6">
        <f ca="1">('TUSD BE'!$AM$41+'TUSD BF'!$AM$41+'TUSD CVA'!$AM$41)*1</f>
        <v>112.97896283052546</v>
      </c>
      <c r="AA1370" s="6"/>
      <c r="AB1370" s="6">
        <f>$K$1370*$V$1370</f>
        <v>98998.134120230403</v>
      </c>
      <c r="AC1370" s="6">
        <f>$M$1370*$W$1370</f>
        <v>0</v>
      </c>
      <c r="AD1370" s="6">
        <f>$O$1370*$X$1370</f>
        <v>0</v>
      </c>
      <c r="AE1370" s="6">
        <f ca="1">$K$1370*$Y$1370</f>
        <v>129413.65650634363</v>
      </c>
      <c r="AF1370" s="6">
        <f ca="1">$M$1370*$Z$1370</f>
        <v>0</v>
      </c>
      <c r="AG1370" s="6">
        <f>$O$1370*$AA$1370</f>
        <v>0</v>
      </c>
    </row>
    <row r="1371" spans="1:33" ht="11.25" customHeight="1" x14ac:dyDescent="0.25">
      <c r="A1371" s="4" t="s">
        <v>21</v>
      </c>
      <c r="B1371" s="4" t="s">
        <v>44</v>
      </c>
      <c r="C1371" s="4" t="s">
        <v>41</v>
      </c>
      <c r="D1371" s="4" t="s">
        <v>40</v>
      </c>
      <c r="E1371" s="4" t="s">
        <v>25</v>
      </c>
      <c r="F1371" s="4" t="s">
        <v>63</v>
      </c>
      <c r="G1371" s="4" t="s">
        <v>25</v>
      </c>
      <c r="H1371" s="4" t="s">
        <v>36</v>
      </c>
      <c r="I1371" s="5">
        <v>44013</v>
      </c>
      <c r="J1371" s="6">
        <v>11307</v>
      </c>
      <c r="K1371" s="6">
        <v>7136.9102187899998</v>
      </c>
      <c r="L1371" s="6">
        <v>0</v>
      </c>
      <c r="M1371" s="6">
        <v>0</v>
      </c>
      <c r="N1371" s="6">
        <v>0</v>
      </c>
      <c r="O1371" s="6">
        <v>0</v>
      </c>
      <c r="P1371" s="6">
        <v>0</v>
      </c>
      <c r="Q1371" s="4" t="s">
        <v>60</v>
      </c>
      <c r="R1371" s="4">
        <v>0</v>
      </c>
      <c r="S1371" s="6">
        <v>32</v>
      </c>
      <c r="T1371" s="6">
        <v>0</v>
      </c>
      <c r="U1371" s="6">
        <v>0</v>
      </c>
      <c r="V1371" s="6">
        <f>IF(ISERROR(VLOOKUP($S$1371,'TAR FIN'!$A$1:$O$120,15,0)),0,VLOOKUP($S$1371,'TAR FIN'!$A$1:$O$120,15,0))</f>
        <v>12.24</v>
      </c>
      <c r="W1371" s="6">
        <f>IF(ISERROR(VLOOKUP($T$1371,'TAR FIN'!$A$1:$O$120,15,0)),0,VLOOKUP($T$1371,'TAR FIN'!$A$1:$O$120,15,0))</f>
        <v>0</v>
      </c>
      <c r="X1371" s="6">
        <f>IF(ISERROR(VLOOKUP($U$1371,'TAR FIN'!$A$1:$O$120,15,0)),0,VLOOKUP($U$1371,'TAR FIN'!$A$1:$O$120,15,0))</f>
        <v>0</v>
      </c>
      <c r="Y1371" s="6">
        <f ca="1">('TUSD BE'!$AM$40+'TUSD BF'!$AM$40+'TUSD CVA'!$AM$40)*1</f>
        <v>16.00053546174815</v>
      </c>
      <c r="Z1371" s="6">
        <f ca="1">('TUSD BE'!$AM$41+'TUSD BF'!$AM$41+'TUSD CVA'!$AM$41)*1</f>
        <v>112.97896283052546</v>
      </c>
      <c r="AA1371" s="6"/>
      <c r="AB1371" s="6">
        <f>$K$1371*$V$1371</f>
        <v>87355.781077989595</v>
      </c>
      <c r="AC1371" s="6">
        <f>$M$1371*$W$1371</f>
        <v>0</v>
      </c>
      <c r="AD1371" s="6">
        <f>$O$1371*$X$1371</f>
        <v>0</v>
      </c>
      <c r="AE1371" s="6">
        <f ca="1">$K$1371*$Y$1371</f>
        <v>114194.38504306214</v>
      </c>
      <c r="AF1371" s="6">
        <f ca="1">$M$1371*$Z$1371</f>
        <v>0</v>
      </c>
      <c r="AG1371" s="6">
        <f>$O$1371*$AA$1371</f>
        <v>0</v>
      </c>
    </row>
    <row r="1372" spans="1:33" ht="11.25" customHeight="1" x14ac:dyDescent="0.25">
      <c r="A1372" s="4" t="s">
        <v>21</v>
      </c>
      <c r="B1372" s="4" t="s">
        <v>44</v>
      </c>
      <c r="C1372" s="4" t="s">
        <v>41</v>
      </c>
      <c r="D1372" s="4" t="s">
        <v>40</v>
      </c>
      <c r="E1372" s="4" t="s">
        <v>25</v>
      </c>
      <c r="F1372" s="4" t="s">
        <v>63</v>
      </c>
      <c r="G1372" s="4" t="s">
        <v>25</v>
      </c>
      <c r="H1372" s="4" t="s">
        <v>36</v>
      </c>
      <c r="I1372" s="5">
        <v>44044</v>
      </c>
      <c r="J1372" s="6">
        <v>13737</v>
      </c>
      <c r="K1372" s="6">
        <v>8929.0499999999993</v>
      </c>
      <c r="L1372" s="6">
        <v>0</v>
      </c>
      <c r="M1372" s="6">
        <v>0</v>
      </c>
      <c r="N1372" s="6">
        <v>0</v>
      </c>
      <c r="O1372" s="6">
        <v>0</v>
      </c>
      <c r="P1372" s="6">
        <v>0</v>
      </c>
      <c r="Q1372" s="4" t="s">
        <v>60</v>
      </c>
      <c r="R1372" s="4">
        <v>0</v>
      </c>
      <c r="S1372" s="6">
        <v>32</v>
      </c>
      <c r="T1372" s="6">
        <v>0</v>
      </c>
      <c r="U1372" s="6">
        <v>0</v>
      </c>
      <c r="V1372" s="6">
        <f>IF(ISERROR(VLOOKUP($S$1372,'TAR FIN'!$A$1:$O$120,15,0)),0,VLOOKUP($S$1372,'TAR FIN'!$A$1:$O$120,15,0))</f>
        <v>12.24</v>
      </c>
      <c r="W1372" s="6">
        <f>IF(ISERROR(VLOOKUP($T$1372,'TAR FIN'!$A$1:$O$120,15,0)),0,VLOOKUP($T$1372,'TAR FIN'!$A$1:$O$120,15,0))</f>
        <v>0</v>
      </c>
      <c r="X1372" s="6">
        <f>IF(ISERROR(VLOOKUP($U$1372,'TAR FIN'!$A$1:$O$120,15,0)),0,VLOOKUP($U$1372,'TAR FIN'!$A$1:$O$120,15,0))</f>
        <v>0</v>
      </c>
      <c r="Y1372" s="6">
        <f ca="1">('TUSD BE'!$AM$40+'TUSD BF'!$AM$40+'TUSD CVA'!$AM$40)*1</f>
        <v>16.00053546174815</v>
      </c>
      <c r="Z1372" s="6">
        <f ca="1">('TUSD BE'!$AM$41+'TUSD BF'!$AM$41+'TUSD CVA'!$AM$41)*1</f>
        <v>112.97896283052546</v>
      </c>
      <c r="AA1372" s="6"/>
      <c r="AB1372" s="6">
        <f>$K$1372*$V$1372</f>
        <v>109291.572</v>
      </c>
      <c r="AC1372" s="6">
        <f>$M$1372*$W$1372</f>
        <v>0</v>
      </c>
      <c r="AD1372" s="6">
        <f>$O$1372*$X$1372</f>
        <v>0</v>
      </c>
      <c r="AE1372" s="6">
        <f ca="1">$K$1372*$Y$1372</f>
        <v>142869.5811647223</v>
      </c>
      <c r="AF1372" s="6">
        <f ca="1">$M$1372*$Z$1372</f>
        <v>0</v>
      </c>
      <c r="AG1372" s="6">
        <f>$O$1372*$AA$1372</f>
        <v>0</v>
      </c>
    </row>
    <row r="1373" spans="1:33" ht="11.25" customHeight="1" x14ac:dyDescent="0.25">
      <c r="A1373" s="4" t="s">
        <v>59</v>
      </c>
      <c r="B1373" s="4" t="s">
        <v>44</v>
      </c>
      <c r="C1373" s="4" t="s">
        <v>41</v>
      </c>
      <c r="D1373" s="4" t="s">
        <v>40</v>
      </c>
      <c r="E1373" s="4" t="s">
        <v>25</v>
      </c>
      <c r="F1373" s="4" t="s">
        <v>63</v>
      </c>
      <c r="G1373" s="4" t="s">
        <v>25</v>
      </c>
      <c r="H1373" s="4" t="s">
        <v>36</v>
      </c>
      <c r="I1373" s="5">
        <v>44075</v>
      </c>
      <c r="J1373" s="6">
        <v>13737</v>
      </c>
      <c r="K1373" s="6">
        <v>8929.0499999999993</v>
      </c>
      <c r="L1373" s="6">
        <v>0</v>
      </c>
      <c r="M1373" s="6">
        <v>0</v>
      </c>
      <c r="N1373" s="6">
        <v>0</v>
      </c>
      <c r="O1373" s="6">
        <v>0</v>
      </c>
      <c r="P1373" s="6">
        <v>0</v>
      </c>
      <c r="Q1373" s="4" t="s">
        <v>60</v>
      </c>
      <c r="R1373" s="4">
        <v>0</v>
      </c>
      <c r="S1373" s="6">
        <v>32</v>
      </c>
      <c r="T1373" s="6">
        <v>0</v>
      </c>
      <c r="U1373" s="6">
        <v>0</v>
      </c>
      <c r="V1373" s="6">
        <f>IF(ISERROR(VLOOKUP($S$1373,'TAR FIN'!$A$1:$O$120,15,0)),0,VLOOKUP($S$1373,'TAR FIN'!$A$1:$O$120,15,0))</f>
        <v>12.24</v>
      </c>
      <c r="W1373" s="6">
        <f>IF(ISERROR(VLOOKUP($T$1373,'TAR FIN'!$A$1:$O$120,15,0)),0,VLOOKUP($T$1373,'TAR FIN'!$A$1:$O$120,15,0))</f>
        <v>0</v>
      </c>
      <c r="X1373" s="6">
        <f>IF(ISERROR(VLOOKUP($U$1373,'TAR FIN'!$A$1:$O$120,15,0)),0,VLOOKUP($U$1373,'TAR FIN'!$A$1:$O$120,15,0))</f>
        <v>0</v>
      </c>
      <c r="Y1373" s="6">
        <f ca="1">('TUSD BE'!$AM$40+'TUSD BF'!$AM$40+'TUSD CVA'!$AM$40)*1</f>
        <v>16.00053546174815</v>
      </c>
      <c r="Z1373" s="6">
        <f ca="1">('TUSD BE'!$AM$41+'TUSD BF'!$AM$41+'TUSD CVA'!$AM$41)*1</f>
        <v>112.97896283052546</v>
      </c>
      <c r="AA1373" s="6"/>
      <c r="AB1373" s="6">
        <f>$K$1373*$V$1373</f>
        <v>109291.572</v>
      </c>
      <c r="AC1373" s="6">
        <f>$M$1373*$W$1373</f>
        <v>0</v>
      </c>
      <c r="AD1373" s="6">
        <f>$O$1373*$X$1373</f>
        <v>0</v>
      </c>
      <c r="AE1373" s="6">
        <f ca="1">$K$1373*$Y$1373</f>
        <v>142869.5811647223</v>
      </c>
      <c r="AF1373" s="6">
        <f ca="1">$M$1373*$Z$1373</f>
        <v>0</v>
      </c>
      <c r="AG1373" s="6">
        <f>$O$1373*$AA$1373</f>
        <v>0</v>
      </c>
    </row>
    <row r="1374" spans="1:33" ht="11.25" customHeight="1" x14ac:dyDescent="0.25">
      <c r="A1374" s="4" t="s">
        <v>21</v>
      </c>
      <c r="B1374" s="4" t="s">
        <v>44</v>
      </c>
      <c r="C1374" s="4" t="s">
        <v>41</v>
      </c>
      <c r="D1374" s="4" t="s">
        <v>40</v>
      </c>
      <c r="E1374" s="4" t="s">
        <v>25</v>
      </c>
      <c r="F1374" s="4" t="s">
        <v>63</v>
      </c>
      <c r="G1374" s="4" t="s">
        <v>25</v>
      </c>
      <c r="H1374" s="4" t="s">
        <v>25</v>
      </c>
      <c r="I1374" s="5">
        <v>43739</v>
      </c>
      <c r="J1374" s="6">
        <v>0</v>
      </c>
      <c r="K1374" s="6">
        <v>0</v>
      </c>
      <c r="L1374" s="6">
        <v>5617.4639999999999</v>
      </c>
      <c r="M1374" s="6">
        <v>5617.4639999999999</v>
      </c>
      <c r="N1374" s="6">
        <v>0</v>
      </c>
      <c r="O1374" s="6">
        <v>0</v>
      </c>
      <c r="P1374" s="6">
        <v>33</v>
      </c>
      <c r="Q1374" s="4" t="s">
        <v>60</v>
      </c>
      <c r="R1374" s="4">
        <v>0</v>
      </c>
      <c r="S1374" s="6">
        <v>0</v>
      </c>
      <c r="T1374" s="6">
        <v>33</v>
      </c>
      <c r="U1374" s="6">
        <v>0</v>
      </c>
      <c r="V1374" s="6">
        <f>IF(ISERROR(VLOOKUP($S$1374,'TAR FIN'!$A$1:$O$120,15,0)),0,VLOOKUP($S$1374,'TAR FIN'!$A$1:$O$120,15,0))</f>
        <v>0</v>
      </c>
      <c r="W1374" s="6">
        <f>IF(ISERROR(VLOOKUP($T$1374,'TAR FIN'!$A$1:$O$120,15,0)),0,VLOOKUP($T$1374,'TAR FIN'!$A$1:$O$120,15,0))</f>
        <v>109.75</v>
      </c>
      <c r="X1374" s="6">
        <f>IF(ISERROR(VLOOKUP($U$1374,'TAR FIN'!$A$1:$O$120,15,0)),0,VLOOKUP($U$1374,'TAR FIN'!$A$1:$O$120,15,0))</f>
        <v>0</v>
      </c>
      <c r="Y1374" s="6"/>
      <c r="Z1374" s="6">
        <f ca="1">('TUSD BE'!$AM$41+'TUSD BF'!$AM$41+'TUSD CVA'!$AM$41)*1</f>
        <v>112.97896283052546</v>
      </c>
      <c r="AA1374" s="6"/>
      <c r="AB1374" s="6">
        <f>$K$1374*$V$1374</f>
        <v>0</v>
      </c>
      <c r="AC1374" s="6">
        <f>$M$1374*$W$1374</f>
        <v>616516.674</v>
      </c>
      <c r="AD1374" s="6">
        <f>$O$1374*$X$1374</f>
        <v>0</v>
      </c>
      <c r="AE1374" s="6">
        <f>$K$1374*$Y$1374</f>
        <v>0</v>
      </c>
      <c r="AF1374" s="6">
        <f ca="1">$M$1374*$Z$1374</f>
        <v>634655.25645781483</v>
      </c>
      <c r="AG1374" s="6">
        <f>$O$1374*$AA$1374</f>
        <v>0</v>
      </c>
    </row>
    <row r="1375" spans="1:33" ht="11.25" customHeight="1" x14ac:dyDescent="0.25">
      <c r="A1375" s="4" t="s">
        <v>21</v>
      </c>
      <c r="B1375" s="4" t="s">
        <v>44</v>
      </c>
      <c r="C1375" s="4" t="s">
        <v>41</v>
      </c>
      <c r="D1375" s="4" t="s">
        <v>40</v>
      </c>
      <c r="E1375" s="4" t="s">
        <v>25</v>
      </c>
      <c r="F1375" s="4" t="s">
        <v>63</v>
      </c>
      <c r="G1375" s="4" t="s">
        <v>25</v>
      </c>
      <c r="H1375" s="4" t="s">
        <v>25</v>
      </c>
      <c r="I1375" s="5">
        <v>43770</v>
      </c>
      <c r="J1375" s="6">
        <v>0</v>
      </c>
      <c r="K1375" s="6">
        <v>0</v>
      </c>
      <c r="L1375" s="6">
        <v>5408.6980000000003</v>
      </c>
      <c r="M1375" s="6">
        <v>5408.6980000000003</v>
      </c>
      <c r="N1375" s="6">
        <v>0</v>
      </c>
      <c r="O1375" s="6">
        <v>0</v>
      </c>
      <c r="P1375" s="6">
        <v>33</v>
      </c>
      <c r="Q1375" s="4" t="s">
        <v>60</v>
      </c>
      <c r="R1375" s="4">
        <v>0</v>
      </c>
      <c r="S1375" s="6">
        <v>0</v>
      </c>
      <c r="T1375" s="6">
        <v>33</v>
      </c>
      <c r="U1375" s="6">
        <v>0</v>
      </c>
      <c r="V1375" s="6">
        <f>IF(ISERROR(VLOOKUP($S$1375,'TAR FIN'!$A$1:$O$120,15,0)),0,VLOOKUP($S$1375,'TAR FIN'!$A$1:$O$120,15,0))</f>
        <v>0</v>
      </c>
      <c r="W1375" s="6">
        <f>IF(ISERROR(VLOOKUP($T$1375,'TAR FIN'!$A$1:$O$120,15,0)),0,VLOOKUP($T$1375,'TAR FIN'!$A$1:$O$120,15,0))</f>
        <v>109.75</v>
      </c>
      <c r="X1375" s="6">
        <f>IF(ISERROR(VLOOKUP($U$1375,'TAR FIN'!$A$1:$O$120,15,0)),0,VLOOKUP($U$1375,'TAR FIN'!$A$1:$O$120,15,0))</f>
        <v>0</v>
      </c>
      <c r="Y1375" s="6"/>
      <c r="Z1375" s="6">
        <f ca="1">('TUSD BE'!$AM$41+'TUSD BF'!$AM$41+'TUSD CVA'!$AM$41)*1</f>
        <v>112.97896283052546</v>
      </c>
      <c r="AA1375" s="6"/>
      <c r="AB1375" s="6">
        <f>$K$1375*$V$1375</f>
        <v>0</v>
      </c>
      <c r="AC1375" s="6">
        <f>$M$1375*$W$1375</f>
        <v>593604.60550000006</v>
      </c>
      <c r="AD1375" s="6">
        <f>$O$1375*$X$1375</f>
        <v>0</v>
      </c>
      <c r="AE1375" s="6">
        <f>$K$1375*$Y$1375</f>
        <v>0</v>
      </c>
      <c r="AF1375" s="6">
        <f ca="1">$M$1375*$Z$1375</f>
        <v>611069.09030353744</v>
      </c>
      <c r="AG1375" s="6">
        <f>$O$1375*$AA$1375</f>
        <v>0</v>
      </c>
    </row>
    <row r="1376" spans="1:33" ht="11.25" customHeight="1" x14ac:dyDescent="0.25">
      <c r="A1376" s="4" t="s">
        <v>21</v>
      </c>
      <c r="B1376" s="4" t="s">
        <v>44</v>
      </c>
      <c r="C1376" s="4" t="s">
        <v>41</v>
      </c>
      <c r="D1376" s="4" t="s">
        <v>40</v>
      </c>
      <c r="E1376" s="4" t="s">
        <v>25</v>
      </c>
      <c r="F1376" s="4" t="s">
        <v>63</v>
      </c>
      <c r="G1376" s="4" t="s">
        <v>25</v>
      </c>
      <c r="H1376" s="4" t="s">
        <v>25</v>
      </c>
      <c r="I1376" s="5">
        <v>43800</v>
      </c>
      <c r="J1376" s="6">
        <v>0</v>
      </c>
      <c r="K1376" s="6">
        <v>0</v>
      </c>
      <c r="L1376" s="6">
        <v>5506.1310000000003</v>
      </c>
      <c r="M1376" s="6">
        <v>5506.1310000000003</v>
      </c>
      <c r="N1376" s="6">
        <v>0</v>
      </c>
      <c r="O1376" s="6">
        <v>0</v>
      </c>
      <c r="P1376" s="6">
        <v>33</v>
      </c>
      <c r="Q1376" s="4" t="s">
        <v>60</v>
      </c>
      <c r="R1376" s="4">
        <v>0</v>
      </c>
      <c r="S1376" s="6">
        <v>0</v>
      </c>
      <c r="T1376" s="6">
        <v>33</v>
      </c>
      <c r="U1376" s="6">
        <v>0</v>
      </c>
      <c r="V1376" s="6">
        <f>IF(ISERROR(VLOOKUP($S$1376,'TAR FIN'!$A$1:$O$120,15,0)),0,VLOOKUP($S$1376,'TAR FIN'!$A$1:$O$120,15,0))</f>
        <v>0</v>
      </c>
      <c r="W1376" s="6">
        <f>IF(ISERROR(VLOOKUP($T$1376,'TAR FIN'!$A$1:$O$120,15,0)),0,VLOOKUP($T$1376,'TAR FIN'!$A$1:$O$120,15,0))</f>
        <v>109.75</v>
      </c>
      <c r="X1376" s="6">
        <f>IF(ISERROR(VLOOKUP($U$1376,'TAR FIN'!$A$1:$O$120,15,0)),0,VLOOKUP($U$1376,'TAR FIN'!$A$1:$O$120,15,0))</f>
        <v>0</v>
      </c>
      <c r="Y1376" s="6"/>
      <c r="Z1376" s="6">
        <f ca="1">('TUSD BE'!$AM$41+'TUSD BF'!$AM$41+'TUSD CVA'!$AM$41)*1</f>
        <v>112.97896283052546</v>
      </c>
      <c r="AA1376" s="6"/>
      <c r="AB1376" s="6">
        <f>$K$1376*$V$1376</f>
        <v>0</v>
      </c>
      <c r="AC1376" s="6">
        <f>$M$1376*$W$1376</f>
        <v>604297.87725000002</v>
      </c>
      <c r="AD1376" s="6">
        <f>$O$1376*$X$1376</f>
        <v>0</v>
      </c>
      <c r="AE1376" s="6">
        <f>$K$1376*$Y$1376</f>
        <v>0</v>
      </c>
      <c r="AF1376" s="6">
        <f ca="1">$M$1376*$Z$1376</f>
        <v>622076.96958900406</v>
      </c>
      <c r="AG1376" s="6">
        <f>$O$1376*$AA$1376</f>
        <v>0</v>
      </c>
    </row>
    <row r="1377" spans="1:33" ht="11.25" customHeight="1" x14ac:dyDescent="0.25">
      <c r="A1377" s="4" t="s">
        <v>21</v>
      </c>
      <c r="B1377" s="4" t="s">
        <v>44</v>
      </c>
      <c r="C1377" s="4" t="s">
        <v>41</v>
      </c>
      <c r="D1377" s="4" t="s">
        <v>40</v>
      </c>
      <c r="E1377" s="4" t="s">
        <v>25</v>
      </c>
      <c r="F1377" s="4" t="s">
        <v>63</v>
      </c>
      <c r="G1377" s="4" t="s">
        <v>25</v>
      </c>
      <c r="H1377" s="4" t="s">
        <v>25</v>
      </c>
      <c r="I1377" s="5">
        <v>43831</v>
      </c>
      <c r="J1377" s="6">
        <v>0</v>
      </c>
      <c r="K1377" s="6">
        <v>0</v>
      </c>
      <c r="L1377" s="6">
        <v>5585.7110000000002</v>
      </c>
      <c r="M1377" s="6">
        <v>5585.7110000000002</v>
      </c>
      <c r="N1377" s="6">
        <v>0</v>
      </c>
      <c r="O1377" s="6">
        <v>0</v>
      </c>
      <c r="P1377" s="6">
        <v>35</v>
      </c>
      <c r="Q1377" s="4" t="s">
        <v>60</v>
      </c>
      <c r="R1377" s="4">
        <v>0</v>
      </c>
      <c r="S1377" s="6">
        <v>0</v>
      </c>
      <c r="T1377" s="6">
        <v>33</v>
      </c>
      <c r="U1377" s="6">
        <v>0</v>
      </c>
      <c r="V1377" s="6">
        <f>IF(ISERROR(VLOOKUP($S$1377,'TAR FIN'!$A$1:$O$120,15,0)),0,VLOOKUP($S$1377,'TAR FIN'!$A$1:$O$120,15,0))</f>
        <v>0</v>
      </c>
      <c r="W1377" s="6">
        <f>IF(ISERROR(VLOOKUP($T$1377,'TAR FIN'!$A$1:$O$120,15,0)),0,VLOOKUP($T$1377,'TAR FIN'!$A$1:$O$120,15,0))</f>
        <v>109.75</v>
      </c>
      <c r="X1377" s="6">
        <f>IF(ISERROR(VLOOKUP($U$1377,'TAR FIN'!$A$1:$O$120,15,0)),0,VLOOKUP($U$1377,'TAR FIN'!$A$1:$O$120,15,0))</f>
        <v>0</v>
      </c>
      <c r="Y1377" s="6"/>
      <c r="Z1377" s="6">
        <f ca="1">('TUSD BE'!$AM$41+'TUSD BF'!$AM$41+'TUSD CVA'!$AM$41)*1</f>
        <v>112.97896283052546</v>
      </c>
      <c r="AA1377" s="6"/>
      <c r="AB1377" s="6">
        <f>$K$1377*$V$1377</f>
        <v>0</v>
      </c>
      <c r="AC1377" s="6">
        <f>$M$1377*$W$1377</f>
        <v>613031.78225000005</v>
      </c>
      <c r="AD1377" s="6">
        <f>$O$1377*$X$1377</f>
        <v>0</v>
      </c>
      <c r="AE1377" s="6">
        <f>$K$1377*$Y$1377</f>
        <v>0</v>
      </c>
      <c r="AF1377" s="6">
        <f ca="1">$M$1377*$Z$1377</f>
        <v>631067.83545105718</v>
      </c>
      <c r="AG1377" s="6">
        <f>$O$1377*$AA$1377</f>
        <v>0</v>
      </c>
    </row>
    <row r="1378" spans="1:33" ht="11.25" customHeight="1" x14ac:dyDescent="0.25">
      <c r="A1378" s="4" t="s">
        <v>21</v>
      </c>
      <c r="B1378" s="4" t="s">
        <v>44</v>
      </c>
      <c r="C1378" s="4" t="s">
        <v>41</v>
      </c>
      <c r="D1378" s="4" t="s">
        <v>40</v>
      </c>
      <c r="E1378" s="4" t="s">
        <v>25</v>
      </c>
      <c r="F1378" s="4" t="s">
        <v>63</v>
      </c>
      <c r="G1378" s="4" t="s">
        <v>25</v>
      </c>
      <c r="H1378" s="4" t="s">
        <v>25</v>
      </c>
      <c r="I1378" s="5">
        <v>43862</v>
      </c>
      <c r="J1378" s="6">
        <v>0</v>
      </c>
      <c r="K1378" s="6">
        <v>0</v>
      </c>
      <c r="L1378" s="6">
        <v>5187.1400000000003</v>
      </c>
      <c r="M1378" s="6">
        <v>5187.1400000000003</v>
      </c>
      <c r="N1378" s="6">
        <v>0</v>
      </c>
      <c r="O1378" s="6">
        <v>0</v>
      </c>
      <c r="P1378" s="6">
        <v>35</v>
      </c>
      <c r="Q1378" s="4" t="s">
        <v>60</v>
      </c>
      <c r="R1378" s="4">
        <v>0</v>
      </c>
      <c r="S1378" s="6">
        <v>0</v>
      </c>
      <c r="T1378" s="6">
        <v>33</v>
      </c>
      <c r="U1378" s="6">
        <v>0</v>
      </c>
      <c r="V1378" s="6">
        <f>IF(ISERROR(VLOOKUP($S$1378,'TAR FIN'!$A$1:$O$120,15,0)),0,VLOOKUP($S$1378,'TAR FIN'!$A$1:$O$120,15,0))</f>
        <v>0</v>
      </c>
      <c r="W1378" s="6">
        <f>IF(ISERROR(VLOOKUP($T$1378,'TAR FIN'!$A$1:$O$120,15,0)),0,VLOOKUP($T$1378,'TAR FIN'!$A$1:$O$120,15,0))</f>
        <v>109.75</v>
      </c>
      <c r="X1378" s="6">
        <f>IF(ISERROR(VLOOKUP($U$1378,'TAR FIN'!$A$1:$O$120,15,0)),0,VLOOKUP($U$1378,'TAR FIN'!$A$1:$O$120,15,0))</f>
        <v>0</v>
      </c>
      <c r="Y1378" s="6"/>
      <c r="Z1378" s="6">
        <f ca="1">('TUSD BE'!$AM$41+'TUSD BF'!$AM$41+'TUSD CVA'!$AM$41)*1</f>
        <v>112.97896283052546</v>
      </c>
      <c r="AA1378" s="6"/>
      <c r="AB1378" s="6">
        <f>$K$1378*$V$1378</f>
        <v>0</v>
      </c>
      <c r="AC1378" s="6">
        <f>$M$1378*$W$1378</f>
        <v>569288.61499999999</v>
      </c>
      <c r="AD1378" s="6">
        <f>$O$1378*$X$1378</f>
        <v>0</v>
      </c>
      <c r="AE1378" s="6">
        <f>$K$1378*$Y$1378</f>
        <v>0</v>
      </c>
      <c r="AF1378" s="6">
        <f ca="1">$M$1378*$Z$1378</f>
        <v>586037.69725673192</v>
      </c>
      <c r="AG1378" s="6">
        <f>$O$1378*$AA$1378</f>
        <v>0</v>
      </c>
    </row>
    <row r="1379" spans="1:33" ht="11.25" customHeight="1" x14ac:dyDescent="0.25">
      <c r="A1379" s="4" t="s">
        <v>21</v>
      </c>
      <c r="B1379" s="4" t="s">
        <v>44</v>
      </c>
      <c r="C1379" s="4" t="s">
        <v>41</v>
      </c>
      <c r="D1379" s="4" t="s">
        <v>40</v>
      </c>
      <c r="E1379" s="4" t="s">
        <v>25</v>
      </c>
      <c r="F1379" s="4" t="s">
        <v>63</v>
      </c>
      <c r="G1379" s="4" t="s">
        <v>25</v>
      </c>
      <c r="H1379" s="4" t="s">
        <v>25</v>
      </c>
      <c r="I1379" s="5">
        <v>43891</v>
      </c>
      <c r="J1379" s="6">
        <v>0</v>
      </c>
      <c r="K1379" s="6">
        <v>0</v>
      </c>
      <c r="L1379" s="6">
        <v>4956.4880000000003</v>
      </c>
      <c r="M1379" s="6">
        <v>4956.4880000000003</v>
      </c>
      <c r="N1379" s="6">
        <v>0</v>
      </c>
      <c r="O1379" s="6">
        <v>0</v>
      </c>
      <c r="P1379" s="6">
        <v>35</v>
      </c>
      <c r="Q1379" s="4" t="s">
        <v>60</v>
      </c>
      <c r="R1379" s="4">
        <v>0</v>
      </c>
      <c r="S1379" s="6">
        <v>0</v>
      </c>
      <c r="T1379" s="6">
        <v>33</v>
      </c>
      <c r="U1379" s="6">
        <v>0</v>
      </c>
      <c r="V1379" s="6">
        <f>IF(ISERROR(VLOOKUP($S$1379,'TAR FIN'!$A$1:$O$120,15,0)),0,VLOOKUP($S$1379,'TAR FIN'!$A$1:$O$120,15,0))</f>
        <v>0</v>
      </c>
      <c r="W1379" s="6">
        <f>IF(ISERROR(VLOOKUP($T$1379,'TAR FIN'!$A$1:$O$120,15,0)),0,VLOOKUP($T$1379,'TAR FIN'!$A$1:$O$120,15,0))</f>
        <v>109.75</v>
      </c>
      <c r="X1379" s="6">
        <f>IF(ISERROR(VLOOKUP($U$1379,'TAR FIN'!$A$1:$O$120,15,0)),0,VLOOKUP($U$1379,'TAR FIN'!$A$1:$O$120,15,0))</f>
        <v>0</v>
      </c>
      <c r="Y1379" s="6"/>
      <c r="Z1379" s="6">
        <f ca="1">('TUSD BE'!$AM$41+'TUSD BF'!$AM$41+'TUSD CVA'!$AM$41)*1</f>
        <v>112.97896283052546</v>
      </c>
      <c r="AA1379" s="6"/>
      <c r="AB1379" s="6">
        <f>$K$1379*$V$1379</f>
        <v>0</v>
      </c>
      <c r="AC1379" s="6">
        <f>$M$1379*$W$1379</f>
        <v>543974.55800000008</v>
      </c>
      <c r="AD1379" s="6">
        <f>$O$1379*$X$1379</f>
        <v>0</v>
      </c>
      <c r="AE1379" s="6">
        <f>$K$1379*$Y$1379</f>
        <v>0</v>
      </c>
      <c r="AF1379" s="6">
        <f ca="1">$M$1379*$Z$1379</f>
        <v>559978.87352194556</v>
      </c>
      <c r="AG1379" s="6">
        <f>$O$1379*$AA$1379</f>
        <v>0</v>
      </c>
    </row>
    <row r="1380" spans="1:33" ht="11.25" customHeight="1" x14ac:dyDescent="0.25">
      <c r="A1380" s="4" t="s">
        <v>21</v>
      </c>
      <c r="B1380" s="4" t="s">
        <v>44</v>
      </c>
      <c r="C1380" s="4" t="s">
        <v>41</v>
      </c>
      <c r="D1380" s="4" t="s">
        <v>40</v>
      </c>
      <c r="E1380" s="4" t="s">
        <v>25</v>
      </c>
      <c r="F1380" s="4" t="s">
        <v>63</v>
      </c>
      <c r="G1380" s="4" t="s">
        <v>25</v>
      </c>
      <c r="H1380" s="4" t="s">
        <v>25</v>
      </c>
      <c r="I1380" s="5">
        <v>43922</v>
      </c>
      <c r="J1380" s="6">
        <v>0</v>
      </c>
      <c r="K1380" s="6">
        <v>0</v>
      </c>
      <c r="L1380" s="6">
        <v>3957.848</v>
      </c>
      <c r="M1380" s="6">
        <v>3957.848</v>
      </c>
      <c r="N1380" s="6">
        <v>0</v>
      </c>
      <c r="O1380" s="6">
        <v>0</v>
      </c>
      <c r="P1380" s="6">
        <v>35</v>
      </c>
      <c r="Q1380" s="4" t="s">
        <v>60</v>
      </c>
      <c r="R1380" s="4">
        <v>0</v>
      </c>
      <c r="S1380" s="6">
        <v>0</v>
      </c>
      <c r="T1380" s="6">
        <v>33</v>
      </c>
      <c r="U1380" s="6">
        <v>0</v>
      </c>
      <c r="V1380" s="6">
        <f>IF(ISERROR(VLOOKUP($S$1380,'TAR FIN'!$A$1:$O$120,15,0)),0,VLOOKUP($S$1380,'TAR FIN'!$A$1:$O$120,15,0))</f>
        <v>0</v>
      </c>
      <c r="W1380" s="6">
        <f>IF(ISERROR(VLOOKUP($T$1380,'TAR FIN'!$A$1:$O$120,15,0)),0,VLOOKUP($T$1380,'TAR FIN'!$A$1:$O$120,15,0))</f>
        <v>109.75</v>
      </c>
      <c r="X1380" s="6">
        <f>IF(ISERROR(VLOOKUP($U$1380,'TAR FIN'!$A$1:$O$120,15,0)),0,VLOOKUP($U$1380,'TAR FIN'!$A$1:$O$120,15,0))</f>
        <v>0</v>
      </c>
      <c r="Y1380" s="6"/>
      <c r="Z1380" s="6">
        <f ca="1">('TUSD BE'!$AM$41+'TUSD BF'!$AM$41+'TUSD CVA'!$AM$41)*1</f>
        <v>112.97896283052546</v>
      </c>
      <c r="AA1380" s="6"/>
      <c r="AB1380" s="6">
        <f>$K$1380*$V$1380</f>
        <v>0</v>
      </c>
      <c r="AC1380" s="6">
        <f>$M$1380*$W$1380</f>
        <v>434373.81799999997</v>
      </c>
      <c r="AD1380" s="6">
        <f>$O$1380*$X$1380</f>
        <v>0</v>
      </c>
      <c r="AE1380" s="6">
        <f>$K$1380*$Y$1380</f>
        <v>0</v>
      </c>
      <c r="AF1380" s="6">
        <f ca="1">$M$1380*$Z$1380</f>
        <v>447153.56208086951</v>
      </c>
      <c r="AG1380" s="6">
        <f>$O$1380*$AA$1380</f>
        <v>0</v>
      </c>
    </row>
    <row r="1381" spans="1:33" ht="11.25" customHeight="1" x14ac:dyDescent="0.25">
      <c r="A1381" s="4" t="s">
        <v>21</v>
      </c>
      <c r="B1381" s="4" t="s">
        <v>44</v>
      </c>
      <c r="C1381" s="4" t="s">
        <v>41</v>
      </c>
      <c r="D1381" s="4" t="s">
        <v>40</v>
      </c>
      <c r="E1381" s="4" t="s">
        <v>25</v>
      </c>
      <c r="F1381" s="4" t="s">
        <v>63</v>
      </c>
      <c r="G1381" s="4" t="s">
        <v>25</v>
      </c>
      <c r="H1381" s="4" t="s">
        <v>25</v>
      </c>
      <c r="I1381" s="5">
        <v>43952</v>
      </c>
      <c r="J1381" s="6">
        <v>0</v>
      </c>
      <c r="K1381" s="6">
        <v>0</v>
      </c>
      <c r="L1381" s="6">
        <v>4070.922</v>
      </c>
      <c r="M1381" s="6">
        <v>4070.922</v>
      </c>
      <c r="N1381" s="6">
        <v>0</v>
      </c>
      <c r="O1381" s="6">
        <v>0</v>
      </c>
      <c r="P1381" s="6">
        <v>36</v>
      </c>
      <c r="Q1381" s="4" t="s">
        <v>60</v>
      </c>
      <c r="R1381" s="4">
        <v>0</v>
      </c>
      <c r="S1381" s="6">
        <v>0</v>
      </c>
      <c r="T1381" s="6">
        <v>33</v>
      </c>
      <c r="U1381" s="6">
        <v>0</v>
      </c>
      <c r="V1381" s="6">
        <f>IF(ISERROR(VLOOKUP($S$1381,'TAR FIN'!$A$1:$O$120,15,0)),0,VLOOKUP($S$1381,'TAR FIN'!$A$1:$O$120,15,0))</f>
        <v>0</v>
      </c>
      <c r="W1381" s="6">
        <f>IF(ISERROR(VLOOKUP($T$1381,'TAR FIN'!$A$1:$O$120,15,0)),0,VLOOKUP($T$1381,'TAR FIN'!$A$1:$O$120,15,0))</f>
        <v>109.75</v>
      </c>
      <c r="X1381" s="6">
        <f>IF(ISERROR(VLOOKUP($U$1381,'TAR FIN'!$A$1:$O$120,15,0)),0,VLOOKUP($U$1381,'TAR FIN'!$A$1:$O$120,15,0))</f>
        <v>0</v>
      </c>
      <c r="Y1381" s="6"/>
      <c r="Z1381" s="6">
        <f ca="1">('TUSD BE'!$AM$41+'TUSD BF'!$AM$41+'TUSD CVA'!$AM$41)*1</f>
        <v>112.97896283052546</v>
      </c>
      <c r="AA1381" s="6"/>
      <c r="AB1381" s="6">
        <f>$K$1381*$V$1381</f>
        <v>0</v>
      </c>
      <c r="AC1381" s="6">
        <f>$M$1381*$W$1381</f>
        <v>446783.68949999998</v>
      </c>
      <c r="AD1381" s="6">
        <f>$O$1381*$X$1381</f>
        <v>0</v>
      </c>
      <c r="AE1381" s="6">
        <f>$K$1381*$Y$1381</f>
        <v>0</v>
      </c>
      <c r="AF1381" s="6">
        <f ca="1">$M$1381*$Z$1381</f>
        <v>459928.5453239684</v>
      </c>
      <c r="AG1381" s="6">
        <f>$O$1381*$AA$1381</f>
        <v>0</v>
      </c>
    </row>
    <row r="1382" spans="1:33" ht="11.25" customHeight="1" x14ac:dyDescent="0.25">
      <c r="A1382" s="4" t="s">
        <v>21</v>
      </c>
      <c r="B1382" s="4" t="s">
        <v>44</v>
      </c>
      <c r="C1382" s="4" t="s">
        <v>41</v>
      </c>
      <c r="D1382" s="4" t="s">
        <v>40</v>
      </c>
      <c r="E1382" s="4" t="s">
        <v>25</v>
      </c>
      <c r="F1382" s="4" t="s">
        <v>63</v>
      </c>
      <c r="G1382" s="4" t="s">
        <v>25</v>
      </c>
      <c r="H1382" s="4" t="s">
        <v>25</v>
      </c>
      <c r="I1382" s="5">
        <v>43983</v>
      </c>
      <c r="J1382" s="6">
        <v>0</v>
      </c>
      <c r="K1382" s="6">
        <v>0</v>
      </c>
      <c r="L1382" s="6">
        <v>4070.922</v>
      </c>
      <c r="M1382" s="6">
        <v>4070.922</v>
      </c>
      <c r="N1382" s="6">
        <v>0</v>
      </c>
      <c r="O1382" s="6">
        <v>0</v>
      </c>
      <c r="P1382" s="6">
        <v>36</v>
      </c>
      <c r="Q1382" s="4" t="s">
        <v>60</v>
      </c>
      <c r="R1382" s="4">
        <v>0</v>
      </c>
      <c r="S1382" s="6">
        <v>0</v>
      </c>
      <c r="T1382" s="6">
        <v>33</v>
      </c>
      <c r="U1382" s="6">
        <v>0</v>
      </c>
      <c r="V1382" s="6">
        <f>IF(ISERROR(VLOOKUP($S$1382,'TAR FIN'!$A$1:$O$120,15,0)),0,VLOOKUP($S$1382,'TAR FIN'!$A$1:$O$120,15,0))</f>
        <v>0</v>
      </c>
      <c r="W1382" s="6">
        <f>IF(ISERROR(VLOOKUP($T$1382,'TAR FIN'!$A$1:$O$120,15,0)),0,VLOOKUP($T$1382,'TAR FIN'!$A$1:$O$120,15,0))</f>
        <v>109.75</v>
      </c>
      <c r="X1382" s="6">
        <f>IF(ISERROR(VLOOKUP($U$1382,'TAR FIN'!$A$1:$O$120,15,0)),0,VLOOKUP($U$1382,'TAR FIN'!$A$1:$O$120,15,0))</f>
        <v>0</v>
      </c>
      <c r="Y1382" s="6"/>
      <c r="Z1382" s="6">
        <f ca="1">('TUSD BE'!$AM$41+'TUSD BF'!$AM$41+'TUSD CVA'!$AM$41)*1</f>
        <v>112.97896283052546</v>
      </c>
      <c r="AA1382" s="6"/>
      <c r="AB1382" s="6">
        <f>$K$1382*$V$1382</f>
        <v>0</v>
      </c>
      <c r="AC1382" s="6">
        <f>$M$1382*$W$1382</f>
        <v>446783.68949999998</v>
      </c>
      <c r="AD1382" s="6">
        <f>$O$1382*$X$1382</f>
        <v>0</v>
      </c>
      <c r="AE1382" s="6">
        <f>$K$1382*$Y$1382</f>
        <v>0</v>
      </c>
      <c r="AF1382" s="6">
        <f ca="1">$M$1382*$Z$1382</f>
        <v>459928.5453239684</v>
      </c>
      <c r="AG1382" s="6">
        <f>$O$1382*$AA$1382</f>
        <v>0</v>
      </c>
    </row>
    <row r="1383" spans="1:33" ht="11.25" customHeight="1" x14ac:dyDescent="0.25">
      <c r="A1383" s="4" t="s">
        <v>21</v>
      </c>
      <c r="B1383" s="4" t="s">
        <v>44</v>
      </c>
      <c r="C1383" s="4" t="s">
        <v>41</v>
      </c>
      <c r="D1383" s="4" t="s">
        <v>40</v>
      </c>
      <c r="E1383" s="4" t="s">
        <v>25</v>
      </c>
      <c r="F1383" s="4" t="s">
        <v>63</v>
      </c>
      <c r="G1383" s="4" t="s">
        <v>25</v>
      </c>
      <c r="H1383" s="4" t="s">
        <v>25</v>
      </c>
      <c r="I1383" s="5">
        <v>44013</v>
      </c>
      <c r="J1383" s="6">
        <v>0</v>
      </c>
      <c r="K1383" s="6">
        <v>0</v>
      </c>
      <c r="L1383" s="6">
        <v>4732.4459999999999</v>
      </c>
      <c r="M1383" s="6">
        <v>4732.4459999999999</v>
      </c>
      <c r="N1383" s="6">
        <v>0</v>
      </c>
      <c r="O1383" s="6">
        <v>0</v>
      </c>
      <c r="P1383" s="6">
        <v>33</v>
      </c>
      <c r="Q1383" s="4" t="s">
        <v>60</v>
      </c>
      <c r="R1383" s="4">
        <v>0</v>
      </c>
      <c r="S1383" s="6">
        <v>0</v>
      </c>
      <c r="T1383" s="6">
        <v>33</v>
      </c>
      <c r="U1383" s="6">
        <v>0</v>
      </c>
      <c r="V1383" s="6">
        <f>IF(ISERROR(VLOOKUP($S$1383,'TAR FIN'!$A$1:$O$120,15,0)),0,VLOOKUP($S$1383,'TAR FIN'!$A$1:$O$120,15,0))</f>
        <v>0</v>
      </c>
      <c r="W1383" s="6">
        <f>IF(ISERROR(VLOOKUP($T$1383,'TAR FIN'!$A$1:$O$120,15,0)),0,VLOOKUP($T$1383,'TAR FIN'!$A$1:$O$120,15,0))</f>
        <v>109.75</v>
      </c>
      <c r="X1383" s="6">
        <f>IF(ISERROR(VLOOKUP($U$1383,'TAR FIN'!$A$1:$O$120,15,0)),0,VLOOKUP($U$1383,'TAR FIN'!$A$1:$O$120,15,0))</f>
        <v>0</v>
      </c>
      <c r="Y1383" s="6"/>
      <c r="Z1383" s="6">
        <f ca="1">('TUSD BE'!$AM$41+'TUSD BF'!$AM$41+'TUSD CVA'!$AM$41)*1</f>
        <v>112.97896283052546</v>
      </c>
      <c r="AA1383" s="6"/>
      <c r="AB1383" s="6">
        <f>$K$1383*$V$1383</f>
        <v>0</v>
      </c>
      <c r="AC1383" s="6">
        <f>$M$1383*$W$1383</f>
        <v>519385.9485</v>
      </c>
      <c r="AD1383" s="6">
        <f>$O$1383*$X$1383</f>
        <v>0</v>
      </c>
      <c r="AE1383" s="6">
        <f>$K$1383*$Y$1383</f>
        <v>0</v>
      </c>
      <c r="AF1383" s="6">
        <f ca="1">$M$1383*$Z$1383</f>
        <v>534666.84073146887</v>
      </c>
      <c r="AG1383" s="6">
        <f>$O$1383*$AA$1383</f>
        <v>0</v>
      </c>
    </row>
    <row r="1384" spans="1:33" ht="11.25" customHeight="1" x14ac:dyDescent="0.25">
      <c r="A1384" s="4" t="s">
        <v>21</v>
      </c>
      <c r="B1384" s="4" t="s">
        <v>44</v>
      </c>
      <c r="C1384" s="4" t="s">
        <v>41</v>
      </c>
      <c r="D1384" s="4" t="s">
        <v>40</v>
      </c>
      <c r="E1384" s="4" t="s">
        <v>25</v>
      </c>
      <c r="F1384" s="4" t="s">
        <v>63</v>
      </c>
      <c r="G1384" s="4" t="s">
        <v>25</v>
      </c>
      <c r="H1384" s="4" t="s">
        <v>25</v>
      </c>
      <c r="I1384" s="5">
        <v>44044</v>
      </c>
      <c r="J1384" s="6">
        <v>0</v>
      </c>
      <c r="K1384" s="6">
        <v>0</v>
      </c>
      <c r="L1384" s="6">
        <v>4957.28</v>
      </c>
      <c r="M1384" s="6">
        <v>4957.28</v>
      </c>
      <c r="N1384" s="6">
        <v>0</v>
      </c>
      <c r="O1384" s="6">
        <v>0</v>
      </c>
      <c r="P1384" s="6">
        <v>39</v>
      </c>
      <c r="Q1384" s="4" t="s">
        <v>60</v>
      </c>
      <c r="R1384" s="4">
        <v>0</v>
      </c>
      <c r="S1384" s="6">
        <v>0</v>
      </c>
      <c r="T1384" s="6">
        <v>33</v>
      </c>
      <c r="U1384" s="6">
        <v>0</v>
      </c>
      <c r="V1384" s="6">
        <f>IF(ISERROR(VLOOKUP($S$1384,'TAR FIN'!$A$1:$O$120,15,0)),0,VLOOKUP($S$1384,'TAR FIN'!$A$1:$O$120,15,0))</f>
        <v>0</v>
      </c>
      <c r="W1384" s="6">
        <f>IF(ISERROR(VLOOKUP($T$1384,'TAR FIN'!$A$1:$O$120,15,0)),0,VLOOKUP($T$1384,'TAR FIN'!$A$1:$O$120,15,0))</f>
        <v>109.75</v>
      </c>
      <c r="X1384" s="6">
        <f>IF(ISERROR(VLOOKUP($U$1384,'TAR FIN'!$A$1:$O$120,15,0)),0,VLOOKUP($U$1384,'TAR FIN'!$A$1:$O$120,15,0))</f>
        <v>0</v>
      </c>
      <c r="Y1384" s="6"/>
      <c r="Z1384" s="6">
        <f ca="1">('TUSD BE'!$AM$41+'TUSD BF'!$AM$41+'TUSD CVA'!$AM$41)*1</f>
        <v>112.97896283052546</v>
      </c>
      <c r="AA1384" s="6"/>
      <c r="AB1384" s="6">
        <f>$K$1384*$V$1384</f>
        <v>0</v>
      </c>
      <c r="AC1384" s="6">
        <f>$M$1384*$W$1384</f>
        <v>544061.48</v>
      </c>
      <c r="AD1384" s="6">
        <f>$O$1384*$X$1384</f>
        <v>0</v>
      </c>
      <c r="AE1384" s="6">
        <f>$K$1384*$Y$1384</f>
        <v>0</v>
      </c>
      <c r="AF1384" s="6">
        <f ca="1">$M$1384*$Z$1384</f>
        <v>560068.35286050721</v>
      </c>
      <c r="AG1384" s="6">
        <f>$O$1384*$AA$1384</f>
        <v>0</v>
      </c>
    </row>
    <row r="1385" spans="1:33" ht="11.25" customHeight="1" x14ac:dyDescent="0.25">
      <c r="A1385" s="4" t="s">
        <v>59</v>
      </c>
      <c r="B1385" s="4" t="s">
        <v>44</v>
      </c>
      <c r="C1385" s="4" t="s">
        <v>41</v>
      </c>
      <c r="D1385" s="4" t="s">
        <v>40</v>
      </c>
      <c r="E1385" s="4" t="s">
        <v>25</v>
      </c>
      <c r="F1385" s="4" t="s">
        <v>63</v>
      </c>
      <c r="G1385" s="4" t="s">
        <v>25</v>
      </c>
      <c r="H1385" s="4" t="s">
        <v>25</v>
      </c>
      <c r="I1385" s="5">
        <v>44075</v>
      </c>
      <c r="J1385" s="6">
        <v>0</v>
      </c>
      <c r="K1385" s="6">
        <v>0</v>
      </c>
      <c r="L1385" s="6">
        <v>4957.28</v>
      </c>
      <c r="M1385" s="6">
        <v>4957.28</v>
      </c>
      <c r="N1385" s="6">
        <v>0</v>
      </c>
      <c r="O1385" s="6">
        <v>0</v>
      </c>
      <c r="P1385" s="6">
        <v>39</v>
      </c>
      <c r="Q1385" s="4" t="s">
        <v>60</v>
      </c>
      <c r="R1385" s="4">
        <v>0</v>
      </c>
      <c r="S1385" s="6">
        <v>0</v>
      </c>
      <c r="T1385" s="6">
        <v>33</v>
      </c>
      <c r="U1385" s="6">
        <v>0</v>
      </c>
      <c r="V1385" s="6">
        <f>IF(ISERROR(VLOOKUP($S$1385,'TAR FIN'!$A$1:$O$120,15,0)),0,VLOOKUP($S$1385,'TAR FIN'!$A$1:$O$120,15,0))</f>
        <v>0</v>
      </c>
      <c r="W1385" s="6">
        <f>IF(ISERROR(VLOOKUP($T$1385,'TAR FIN'!$A$1:$O$120,15,0)),0,VLOOKUP($T$1385,'TAR FIN'!$A$1:$O$120,15,0))</f>
        <v>109.75</v>
      </c>
      <c r="X1385" s="6">
        <f>IF(ISERROR(VLOOKUP($U$1385,'TAR FIN'!$A$1:$O$120,15,0)),0,VLOOKUP($U$1385,'TAR FIN'!$A$1:$O$120,15,0))</f>
        <v>0</v>
      </c>
      <c r="Y1385" s="6"/>
      <c r="Z1385" s="6">
        <f ca="1">('TUSD BE'!$AM$41+'TUSD BF'!$AM$41+'TUSD CVA'!$AM$41)*1</f>
        <v>112.97896283052546</v>
      </c>
      <c r="AA1385" s="6"/>
      <c r="AB1385" s="6">
        <f>$K$1385*$V$1385</f>
        <v>0</v>
      </c>
      <c r="AC1385" s="6">
        <f>$M$1385*$W$1385</f>
        <v>544061.48</v>
      </c>
      <c r="AD1385" s="6">
        <f>$O$1385*$X$1385</f>
        <v>0</v>
      </c>
      <c r="AE1385" s="6">
        <f>$K$1385*$Y$1385</f>
        <v>0</v>
      </c>
      <c r="AF1385" s="6">
        <f ca="1">$M$1385*$Z$1385</f>
        <v>560068.35286050721</v>
      </c>
      <c r="AG1385" s="6">
        <f>$O$1385*$AA$1385</f>
        <v>0</v>
      </c>
    </row>
    <row r="1386" spans="1:33" ht="11.25" customHeight="1" x14ac:dyDescent="0.25">
      <c r="A1386" s="4" t="s">
        <v>21</v>
      </c>
      <c r="B1386" s="4" t="s">
        <v>44</v>
      </c>
      <c r="C1386" s="4" t="s">
        <v>41</v>
      </c>
      <c r="D1386" s="4" t="s">
        <v>40</v>
      </c>
      <c r="E1386" s="4" t="s">
        <v>25</v>
      </c>
      <c r="F1386" s="4" t="s">
        <v>63</v>
      </c>
      <c r="G1386" s="4" t="s">
        <v>25</v>
      </c>
      <c r="H1386" s="4" t="s">
        <v>35</v>
      </c>
      <c r="I1386" s="5">
        <v>43739</v>
      </c>
      <c r="J1386" s="6">
        <v>10448</v>
      </c>
      <c r="K1386" s="6">
        <v>6634.1785751999996</v>
      </c>
      <c r="L1386" s="6">
        <v>0</v>
      </c>
      <c r="M1386" s="6">
        <v>0</v>
      </c>
      <c r="N1386" s="6">
        <v>0</v>
      </c>
      <c r="O1386" s="6">
        <v>0</v>
      </c>
      <c r="P1386" s="6">
        <v>0</v>
      </c>
      <c r="Q1386" s="4" t="s">
        <v>60</v>
      </c>
      <c r="R1386" s="4">
        <v>0</v>
      </c>
      <c r="S1386" s="6">
        <v>31</v>
      </c>
      <c r="T1386" s="6">
        <v>0</v>
      </c>
      <c r="U1386" s="6">
        <v>0</v>
      </c>
      <c r="V1386" s="6">
        <f>IF(ISERROR(VLOOKUP($S$1386,'TAR FIN'!$A$1:$O$120,15,0)),0,VLOOKUP($S$1386,'TAR FIN'!$A$1:$O$120,15,0))</f>
        <v>43.76</v>
      </c>
      <c r="W1386" s="6">
        <f>IF(ISERROR(VLOOKUP($T$1386,'TAR FIN'!$A$1:$O$120,15,0)),0,VLOOKUP($T$1386,'TAR FIN'!$A$1:$O$120,15,0))</f>
        <v>0</v>
      </c>
      <c r="X1386" s="6">
        <f>IF(ISERROR(VLOOKUP($U$1386,'TAR FIN'!$A$1:$O$120,15,0)),0,VLOOKUP($U$1386,'TAR FIN'!$A$1:$O$120,15,0))</f>
        <v>0</v>
      </c>
      <c r="Y1386" s="6">
        <f ca="1">('TUSD BE'!$AM$39+'TUSD BF'!$AM$39+'TUSD CVA'!$AM$39)*1</f>
        <v>49.088494763430781</v>
      </c>
      <c r="Z1386" s="6">
        <f ca="1">('TUSD BE'!$AM$41+'TUSD BF'!$AM$41+'TUSD CVA'!$AM$41)*1</f>
        <v>112.97896283052546</v>
      </c>
      <c r="AA1386" s="6"/>
      <c r="AB1386" s="6">
        <f>$K$1386*$V$1386</f>
        <v>290311.65445075196</v>
      </c>
      <c r="AC1386" s="6">
        <f>$M$1386*$W$1386</f>
        <v>0</v>
      </c>
      <c r="AD1386" s="6">
        <f>$O$1386*$X$1386</f>
        <v>0</v>
      </c>
      <c r="AE1386" s="6">
        <f ca="1">$K$1386*$Y$1386</f>
        <v>325661.84024836984</v>
      </c>
      <c r="AF1386" s="6">
        <f ca="1">$M$1386*$Z$1386</f>
        <v>0</v>
      </c>
      <c r="AG1386" s="6">
        <f>$O$1386*$AA$1386</f>
        <v>0</v>
      </c>
    </row>
    <row r="1387" spans="1:33" ht="11.25" customHeight="1" x14ac:dyDescent="0.25">
      <c r="A1387" s="4" t="s">
        <v>21</v>
      </c>
      <c r="B1387" s="4" t="s">
        <v>44</v>
      </c>
      <c r="C1387" s="4" t="s">
        <v>41</v>
      </c>
      <c r="D1387" s="4" t="s">
        <v>40</v>
      </c>
      <c r="E1387" s="4" t="s">
        <v>25</v>
      </c>
      <c r="F1387" s="4" t="s">
        <v>63</v>
      </c>
      <c r="G1387" s="4" t="s">
        <v>25</v>
      </c>
      <c r="H1387" s="4" t="s">
        <v>35</v>
      </c>
      <c r="I1387" s="5">
        <v>43770</v>
      </c>
      <c r="J1387" s="6">
        <v>10448</v>
      </c>
      <c r="K1387" s="6">
        <v>6652.4083500799998</v>
      </c>
      <c r="L1387" s="6">
        <v>0</v>
      </c>
      <c r="M1387" s="6">
        <v>0</v>
      </c>
      <c r="N1387" s="6">
        <v>0</v>
      </c>
      <c r="O1387" s="6">
        <v>0</v>
      </c>
      <c r="P1387" s="6">
        <v>0</v>
      </c>
      <c r="Q1387" s="4" t="s">
        <v>60</v>
      </c>
      <c r="R1387" s="4">
        <v>0</v>
      </c>
      <c r="S1387" s="6">
        <v>31</v>
      </c>
      <c r="T1387" s="6">
        <v>0</v>
      </c>
      <c r="U1387" s="6">
        <v>0</v>
      </c>
      <c r="V1387" s="6">
        <f>IF(ISERROR(VLOOKUP($S$1387,'TAR FIN'!$A$1:$O$120,15,0)),0,VLOOKUP($S$1387,'TAR FIN'!$A$1:$O$120,15,0))</f>
        <v>43.76</v>
      </c>
      <c r="W1387" s="6">
        <f>IF(ISERROR(VLOOKUP($T$1387,'TAR FIN'!$A$1:$O$120,15,0)),0,VLOOKUP($T$1387,'TAR FIN'!$A$1:$O$120,15,0))</f>
        <v>0</v>
      </c>
      <c r="X1387" s="6">
        <f>IF(ISERROR(VLOOKUP($U$1387,'TAR FIN'!$A$1:$O$120,15,0)),0,VLOOKUP($U$1387,'TAR FIN'!$A$1:$O$120,15,0))</f>
        <v>0</v>
      </c>
      <c r="Y1387" s="6">
        <f ca="1">('TUSD BE'!$AM$39+'TUSD BF'!$AM$39+'TUSD CVA'!$AM$39)*1</f>
        <v>49.088494763430781</v>
      </c>
      <c r="Z1387" s="6">
        <f ca="1">('TUSD BE'!$AM$41+'TUSD BF'!$AM$41+'TUSD CVA'!$AM$41)*1</f>
        <v>112.97896283052546</v>
      </c>
      <c r="AA1387" s="6"/>
      <c r="AB1387" s="6">
        <f>$K$1387*$V$1387</f>
        <v>291109.3893995008</v>
      </c>
      <c r="AC1387" s="6">
        <f>$M$1387*$W$1387</f>
        <v>0</v>
      </c>
      <c r="AD1387" s="6">
        <f>$O$1387*$X$1387</f>
        <v>0</v>
      </c>
      <c r="AE1387" s="6">
        <f ca="1">$K$1387*$Y$1387</f>
        <v>326556.71245710528</v>
      </c>
      <c r="AF1387" s="6">
        <f ca="1">$M$1387*$Z$1387</f>
        <v>0</v>
      </c>
      <c r="AG1387" s="6">
        <f>$O$1387*$AA$1387</f>
        <v>0</v>
      </c>
    </row>
    <row r="1388" spans="1:33" ht="11.25" customHeight="1" x14ac:dyDescent="0.25">
      <c r="A1388" s="4" t="s">
        <v>21</v>
      </c>
      <c r="B1388" s="4" t="s">
        <v>44</v>
      </c>
      <c r="C1388" s="4" t="s">
        <v>41</v>
      </c>
      <c r="D1388" s="4" t="s">
        <v>40</v>
      </c>
      <c r="E1388" s="4" t="s">
        <v>25</v>
      </c>
      <c r="F1388" s="4" t="s">
        <v>63</v>
      </c>
      <c r="G1388" s="4" t="s">
        <v>25</v>
      </c>
      <c r="H1388" s="4" t="s">
        <v>35</v>
      </c>
      <c r="I1388" s="5">
        <v>43800</v>
      </c>
      <c r="J1388" s="6">
        <v>10448</v>
      </c>
      <c r="K1388" s="6">
        <v>6686.5232641599996</v>
      </c>
      <c r="L1388" s="6">
        <v>0</v>
      </c>
      <c r="M1388" s="6">
        <v>0</v>
      </c>
      <c r="N1388" s="6">
        <v>0</v>
      </c>
      <c r="O1388" s="6">
        <v>0</v>
      </c>
      <c r="P1388" s="6">
        <v>0</v>
      </c>
      <c r="Q1388" s="4" t="s">
        <v>60</v>
      </c>
      <c r="R1388" s="4">
        <v>0</v>
      </c>
      <c r="S1388" s="6">
        <v>31</v>
      </c>
      <c r="T1388" s="6">
        <v>0</v>
      </c>
      <c r="U1388" s="6">
        <v>0</v>
      </c>
      <c r="V1388" s="6">
        <f>IF(ISERROR(VLOOKUP($S$1388,'TAR FIN'!$A$1:$O$120,15,0)),0,VLOOKUP($S$1388,'TAR FIN'!$A$1:$O$120,15,0))</f>
        <v>43.76</v>
      </c>
      <c r="W1388" s="6">
        <f>IF(ISERROR(VLOOKUP($T$1388,'TAR FIN'!$A$1:$O$120,15,0)),0,VLOOKUP($T$1388,'TAR FIN'!$A$1:$O$120,15,0))</f>
        <v>0</v>
      </c>
      <c r="X1388" s="6">
        <f>IF(ISERROR(VLOOKUP($U$1388,'TAR FIN'!$A$1:$O$120,15,0)),0,VLOOKUP($U$1388,'TAR FIN'!$A$1:$O$120,15,0))</f>
        <v>0</v>
      </c>
      <c r="Y1388" s="6">
        <f ca="1">('TUSD BE'!$AM$39+'TUSD BF'!$AM$39+'TUSD CVA'!$AM$39)*1</f>
        <v>49.088494763430781</v>
      </c>
      <c r="Z1388" s="6">
        <f ca="1">('TUSD BE'!$AM$41+'TUSD BF'!$AM$41+'TUSD CVA'!$AM$41)*1</f>
        <v>112.97896283052546</v>
      </c>
      <c r="AA1388" s="6"/>
      <c r="AB1388" s="6">
        <f>$K$1388*$V$1388</f>
        <v>292602.25803964154</v>
      </c>
      <c r="AC1388" s="6">
        <f>$M$1388*$W$1388</f>
        <v>0</v>
      </c>
      <c r="AD1388" s="6">
        <f>$O$1388*$X$1388</f>
        <v>0</v>
      </c>
      <c r="AE1388" s="6">
        <f ca="1">$K$1388*$Y$1388</f>
        <v>328231.36223827623</v>
      </c>
      <c r="AF1388" s="6">
        <f ca="1">$M$1388*$Z$1388</f>
        <v>0</v>
      </c>
      <c r="AG1388" s="6">
        <f>$O$1388*$AA$1388</f>
        <v>0</v>
      </c>
    </row>
    <row r="1389" spans="1:33" ht="11.25" customHeight="1" x14ac:dyDescent="0.25">
      <c r="A1389" s="4" t="s">
        <v>21</v>
      </c>
      <c r="B1389" s="4" t="s">
        <v>44</v>
      </c>
      <c r="C1389" s="4" t="s">
        <v>41</v>
      </c>
      <c r="D1389" s="4" t="s">
        <v>40</v>
      </c>
      <c r="E1389" s="4" t="s">
        <v>25</v>
      </c>
      <c r="F1389" s="4" t="s">
        <v>63</v>
      </c>
      <c r="G1389" s="4" t="s">
        <v>25</v>
      </c>
      <c r="H1389" s="4" t="s">
        <v>35</v>
      </c>
      <c r="I1389" s="5">
        <v>43831</v>
      </c>
      <c r="J1389" s="6">
        <v>11979</v>
      </c>
      <c r="K1389" s="6">
        <v>8104.6517953499997</v>
      </c>
      <c r="L1389" s="6">
        <v>0</v>
      </c>
      <c r="M1389" s="6">
        <v>0</v>
      </c>
      <c r="N1389" s="6">
        <v>0</v>
      </c>
      <c r="O1389" s="6">
        <v>0</v>
      </c>
      <c r="P1389" s="6">
        <v>0</v>
      </c>
      <c r="Q1389" s="4" t="s">
        <v>60</v>
      </c>
      <c r="R1389" s="4">
        <v>0</v>
      </c>
      <c r="S1389" s="6">
        <v>31</v>
      </c>
      <c r="T1389" s="6">
        <v>0</v>
      </c>
      <c r="U1389" s="6">
        <v>0</v>
      </c>
      <c r="V1389" s="6">
        <f>IF(ISERROR(VLOOKUP($S$1389,'TAR FIN'!$A$1:$O$120,15,0)),0,VLOOKUP($S$1389,'TAR FIN'!$A$1:$O$120,15,0))</f>
        <v>43.76</v>
      </c>
      <c r="W1389" s="6">
        <f>IF(ISERROR(VLOOKUP($T$1389,'TAR FIN'!$A$1:$O$120,15,0)),0,VLOOKUP($T$1389,'TAR FIN'!$A$1:$O$120,15,0))</f>
        <v>0</v>
      </c>
      <c r="X1389" s="6">
        <f>IF(ISERROR(VLOOKUP($U$1389,'TAR FIN'!$A$1:$O$120,15,0)),0,VLOOKUP($U$1389,'TAR FIN'!$A$1:$O$120,15,0))</f>
        <v>0</v>
      </c>
      <c r="Y1389" s="6">
        <f ca="1">('TUSD BE'!$AM$39+'TUSD BF'!$AM$39+'TUSD CVA'!$AM$39)*1</f>
        <v>49.088494763430781</v>
      </c>
      <c r="Z1389" s="6">
        <f ca="1">('TUSD BE'!$AM$41+'TUSD BF'!$AM$41+'TUSD CVA'!$AM$41)*1</f>
        <v>112.97896283052546</v>
      </c>
      <c r="AA1389" s="6"/>
      <c r="AB1389" s="6">
        <f>$K$1389*$V$1389</f>
        <v>354659.56256451597</v>
      </c>
      <c r="AC1389" s="6">
        <f>$M$1389*$W$1389</f>
        <v>0</v>
      </c>
      <c r="AD1389" s="6">
        <f>$O$1389*$X$1389</f>
        <v>0</v>
      </c>
      <c r="AE1389" s="6">
        <f ca="1">$K$1389*$Y$1389</f>
        <v>397845.15721546835</v>
      </c>
      <c r="AF1389" s="6">
        <f ca="1">$M$1389*$Z$1389</f>
        <v>0</v>
      </c>
      <c r="AG1389" s="6">
        <f>$O$1389*$AA$1389</f>
        <v>0</v>
      </c>
    </row>
    <row r="1390" spans="1:33" ht="11.25" customHeight="1" x14ac:dyDescent="0.25">
      <c r="A1390" s="4" t="s">
        <v>21</v>
      </c>
      <c r="B1390" s="4" t="s">
        <v>44</v>
      </c>
      <c r="C1390" s="4" t="s">
        <v>41</v>
      </c>
      <c r="D1390" s="4" t="s">
        <v>40</v>
      </c>
      <c r="E1390" s="4" t="s">
        <v>25</v>
      </c>
      <c r="F1390" s="4" t="s">
        <v>63</v>
      </c>
      <c r="G1390" s="4" t="s">
        <v>25</v>
      </c>
      <c r="H1390" s="4" t="s">
        <v>35</v>
      </c>
      <c r="I1390" s="5">
        <v>43862</v>
      </c>
      <c r="J1390" s="6">
        <v>11884</v>
      </c>
      <c r="K1390" s="6">
        <v>7569.0654166800005</v>
      </c>
      <c r="L1390" s="6">
        <v>0</v>
      </c>
      <c r="M1390" s="6">
        <v>0</v>
      </c>
      <c r="N1390" s="6">
        <v>0</v>
      </c>
      <c r="O1390" s="6">
        <v>0</v>
      </c>
      <c r="P1390" s="6">
        <v>0</v>
      </c>
      <c r="Q1390" s="4" t="s">
        <v>60</v>
      </c>
      <c r="R1390" s="4">
        <v>0</v>
      </c>
      <c r="S1390" s="6">
        <v>31</v>
      </c>
      <c r="T1390" s="6">
        <v>0</v>
      </c>
      <c r="U1390" s="6">
        <v>0</v>
      </c>
      <c r="V1390" s="6">
        <f>IF(ISERROR(VLOOKUP($S$1390,'TAR FIN'!$A$1:$O$120,15,0)),0,VLOOKUP($S$1390,'TAR FIN'!$A$1:$O$120,15,0))</f>
        <v>43.76</v>
      </c>
      <c r="W1390" s="6">
        <f>IF(ISERROR(VLOOKUP($T$1390,'TAR FIN'!$A$1:$O$120,15,0)),0,VLOOKUP($T$1390,'TAR FIN'!$A$1:$O$120,15,0))</f>
        <v>0</v>
      </c>
      <c r="X1390" s="6">
        <f>IF(ISERROR(VLOOKUP($U$1390,'TAR FIN'!$A$1:$O$120,15,0)),0,VLOOKUP($U$1390,'TAR FIN'!$A$1:$O$120,15,0))</f>
        <v>0</v>
      </c>
      <c r="Y1390" s="6">
        <f ca="1">('TUSD BE'!$AM$39+'TUSD BF'!$AM$39+'TUSD CVA'!$AM$39)*1</f>
        <v>49.088494763430781</v>
      </c>
      <c r="Z1390" s="6">
        <f ca="1">('TUSD BE'!$AM$41+'TUSD BF'!$AM$41+'TUSD CVA'!$AM$41)*1</f>
        <v>112.97896283052546</v>
      </c>
      <c r="AA1390" s="6"/>
      <c r="AB1390" s="6">
        <f>$K$1390*$V$1390</f>
        <v>331222.30263391678</v>
      </c>
      <c r="AC1390" s="6">
        <f>$M$1390*$W$1390</f>
        <v>0</v>
      </c>
      <c r="AD1390" s="6">
        <f>$O$1390*$X$1390</f>
        <v>0</v>
      </c>
      <c r="AE1390" s="6">
        <f ca="1">$K$1390*$Y$1390</f>
        <v>371554.02807076124</v>
      </c>
      <c r="AF1390" s="6">
        <f ca="1">$M$1390*$Z$1390</f>
        <v>0</v>
      </c>
      <c r="AG1390" s="6">
        <f>$O$1390*$AA$1390</f>
        <v>0</v>
      </c>
    </row>
    <row r="1391" spans="1:33" ht="11.25" customHeight="1" x14ac:dyDescent="0.25">
      <c r="A1391" s="4" t="s">
        <v>21</v>
      </c>
      <c r="B1391" s="4" t="s">
        <v>44</v>
      </c>
      <c r="C1391" s="4" t="s">
        <v>41</v>
      </c>
      <c r="D1391" s="4" t="s">
        <v>40</v>
      </c>
      <c r="E1391" s="4" t="s">
        <v>25</v>
      </c>
      <c r="F1391" s="4" t="s">
        <v>63</v>
      </c>
      <c r="G1391" s="4" t="s">
        <v>25</v>
      </c>
      <c r="H1391" s="4" t="s">
        <v>35</v>
      </c>
      <c r="I1391" s="5">
        <v>43891</v>
      </c>
      <c r="J1391" s="6">
        <v>11802</v>
      </c>
      <c r="K1391" s="6">
        <v>7539.6826797599997</v>
      </c>
      <c r="L1391" s="6">
        <v>0</v>
      </c>
      <c r="M1391" s="6">
        <v>0</v>
      </c>
      <c r="N1391" s="6">
        <v>0</v>
      </c>
      <c r="O1391" s="6">
        <v>0</v>
      </c>
      <c r="P1391" s="6">
        <v>0</v>
      </c>
      <c r="Q1391" s="4" t="s">
        <v>60</v>
      </c>
      <c r="R1391" s="4">
        <v>0</v>
      </c>
      <c r="S1391" s="6">
        <v>31</v>
      </c>
      <c r="T1391" s="6">
        <v>0</v>
      </c>
      <c r="U1391" s="6">
        <v>0</v>
      </c>
      <c r="V1391" s="6">
        <f>IF(ISERROR(VLOOKUP($S$1391,'TAR FIN'!$A$1:$O$120,15,0)),0,VLOOKUP($S$1391,'TAR FIN'!$A$1:$O$120,15,0))</f>
        <v>43.76</v>
      </c>
      <c r="W1391" s="6">
        <f>IF(ISERROR(VLOOKUP($T$1391,'TAR FIN'!$A$1:$O$120,15,0)),0,VLOOKUP($T$1391,'TAR FIN'!$A$1:$O$120,15,0))</f>
        <v>0</v>
      </c>
      <c r="X1391" s="6">
        <f>IF(ISERROR(VLOOKUP($U$1391,'TAR FIN'!$A$1:$O$120,15,0)),0,VLOOKUP($U$1391,'TAR FIN'!$A$1:$O$120,15,0))</f>
        <v>0</v>
      </c>
      <c r="Y1391" s="6">
        <f ca="1">('TUSD BE'!$AM$39+'TUSD BF'!$AM$39+'TUSD CVA'!$AM$39)*1</f>
        <v>49.088494763430781</v>
      </c>
      <c r="Z1391" s="6">
        <f ca="1">('TUSD BE'!$AM$41+'TUSD BF'!$AM$41+'TUSD CVA'!$AM$41)*1</f>
        <v>112.97896283052546</v>
      </c>
      <c r="AA1391" s="6"/>
      <c r="AB1391" s="6">
        <f>$K$1391*$V$1391</f>
        <v>329936.51406629756</v>
      </c>
      <c r="AC1391" s="6">
        <f>$M$1391*$W$1391</f>
        <v>0</v>
      </c>
      <c r="AD1391" s="6">
        <f>$O$1391*$X$1391</f>
        <v>0</v>
      </c>
      <c r="AE1391" s="6">
        <f ca="1">$K$1391*$Y$1391</f>
        <v>370111.67374332849</v>
      </c>
      <c r="AF1391" s="6">
        <f ca="1">$M$1391*$Z$1391</f>
        <v>0</v>
      </c>
      <c r="AG1391" s="6">
        <f>$O$1391*$AA$1391</f>
        <v>0</v>
      </c>
    </row>
    <row r="1392" spans="1:33" ht="11.25" customHeight="1" x14ac:dyDescent="0.25">
      <c r="A1392" s="4" t="s">
        <v>21</v>
      </c>
      <c r="B1392" s="4" t="s">
        <v>44</v>
      </c>
      <c r="C1392" s="4" t="s">
        <v>41</v>
      </c>
      <c r="D1392" s="4" t="s">
        <v>40</v>
      </c>
      <c r="E1392" s="4" t="s">
        <v>25</v>
      </c>
      <c r="F1392" s="4" t="s">
        <v>63</v>
      </c>
      <c r="G1392" s="4" t="s">
        <v>25</v>
      </c>
      <c r="H1392" s="4" t="s">
        <v>35</v>
      </c>
      <c r="I1392" s="5">
        <v>43922</v>
      </c>
      <c r="J1392" s="6">
        <v>11823</v>
      </c>
      <c r="K1392" s="6">
        <v>7503.1484383799998</v>
      </c>
      <c r="L1392" s="6">
        <v>0</v>
      </c>
      <c r="M1392" s="6">
        <v>0</v>
      </c>
      <c r="N1392" s="6">
        <v>0</v>
      </c>
      <c r="O1392" s="6">
        <v>0</v>
      </c>
      <c r="P1392" s="6">
        <v>0</v>
      </c>
      <c r="Q1392" s="4" t="s">
        <v>60</v>
      </c>
      <c r="R1392" s="4">
        <v>0</v>
      </c>
      <c r="S1392" s="6">
        <v>31</v>
      </c>
      <c r="T1392" s="6">
        <v>0</v>
      </c>
      <c r="U1392" s="6">
        <v>0</v>
      </c>
      <c r="V1392" s="6">
        <f>IF(ISERROR(VLOOKUP($S$1392,'TAR FIN'!$A$1:$O$120,15,0)),0,VLOOKUP($S$1392,'TAR FIN'!$A$1:$O$120,15,0))</f>
        <v>43.76</v>
      </c>
      <c r="W1392" s="6">
        <f>IF(ISERROR(VLOOKUP($T$1392,'TAR FIN'!$A$1:$O$120,15,0)),0,VLOOKUP($T$1392,'TAR FIN'!$A$1:$O$120,15,0))</f>
        <v>0</v>
      </c>
      <c r="X1392" s="6">
        <f>IF(ISERROR(VLOOKUP($U$1392,'TAR FIN'!$A$1:$O$120,15,0)),0,VLOOKUP($U$1392,'TAR FIN'!$A$1:$O$120,15,0))</f>
        <v>0</v>
      </c>
      <c r="Y1392" s="6">
        <f ca="1">('TUSD BE'!$AM$39+'TUSD BF'!$AM$39+'TUSD CVA'!$AM$39)*1</f>
        <v>49.088494763430781</v>
      </c>
      <c r="Z1392" s="6">
        <f ca="1">('TUSD BE'!$AM$41+'TUSD BF'!$AM$41+'TUSD CVA'!$AM$41)*1</f>
        <v>112.97896283052546</v>
      </c>
      <c r="AA1392" s="6"/>
      <c r="AB1392" s="6">
        <f>$K$1392*$V$1392</f>
        <v>328337.7756635088</v>
      </c>
      <c r="AC1392" s="6">
        <f>$M$1392*$W$1392</f>
        <v>0</v>
      </c>
      <c r="AD1392" s="6">
        <f>$O$1392*$X$1392</f>
        <v>0</v>
      </c>
      <c r="AE1392" s="6">
        <f ca="1">$K$1392*$Y$1392</f>
        <v>368318.26282666047</v>
      </c>
      <c r="AF1392" s="6">
        <f ca="1">$M$1392*$Z$1392</f>
        <v>0</v>
      </c>
      <c r="AG1392" s="6">
        <f>$O$1392*$AA$1392</f>
        <v>0</v>
      </c>
    </row>
    <row r="1393" spans="1:33" ht="11.25" customHeight="1" x14ac:dyDescent="0.25">
      <c r="A1393" s="4" t="s">
        <v>21</v>
      </c>
      <c r="B1393" s="4" t="s">
        <v>44</v>
      </c>
      <c r="C1393" s="4" t="s">
        <v>41</v>
      </c>
      <c r="D1393" s="4" t="s">
        <v>40</v>
      </c>
      <c r="E1393" s="4" t="s">
        <v>25</v>
      </c>
      <c r="F1393" s="4" t="s">
        <v>63</v>
      </c>
      <c r="G1393" s="4" t="s">
        <v>25</v>
      </c>
      <c r="H1393" s="4" t="s">
        <v>35</v>
      </c>
      <c r="I1393" s="5">
        <v>43952</v>
      </c>
      <c r="J1393" s="6">
        <v>11882</v>
      </c>
      <c r="K1393" s="6">
        <v>7775.9786093599996</v>
      </c>
      <c r="L1393" s="6">
        <v>0</v>
      </c>
      <c r="M1393" s="6">
        <v>0</v>
      </c>
      <c r="N1393" s="6">
        <v>0</v>
      </c>
      <c r="O1393" s="6">
        <v>0</v>
      </c>
      <c r="P1393" s="6">
        <v>0</v>
      </c>
      <c r="Q1393" s="4" t="s">
        <v>60</v>
      </c>
      <c r="R1393" s="4">
        <v>0</v>
      </c>
      <c r="S1393" s="6">
        <v>31</v>
      </c>
      <c r="T1393" s="6">
        <v>0</v>
      </c>
      <c r="U1393" s="6">
        <v>0</v>
      </c>
      <c r="V1393" s="6">
        <f>IF(ISERROR(VLOOKUP($S$1393,'TAR FIN'!$A$1:$O$120,15,0)),0,VLOOKUP($S$1393,'TAR FIN'!$A$1:$O$120,15,0))</f>
        <v>43.76</v>
      </c>
      <c r="W1393" s="6">
        <f>IF(ISERROR(VLOOKUP($T$1393,'TAR FIN'!$A$1:$O$120,15,0)),0,VLOOKUP($T$1393,'TAR FIN'!$A$1:$O$120,15,0))</f>
        <v>0</v>
      </c>
      <c r="X1393" s="6">
        <f>IF(ISERROR(VLOOKUP($U$1393,'TAR FIN'!$A$1:$O$120,15,0)),0,VLOOKUP($U$1393,'TAR FIN'!$A$1:$O$120,15,0))</f>
        <v>0</v>
      </c>
      <c r="Y1393" s="6">
        <f ca="1">('TUSD BE'!$AM$39+'TUSD BF'!$AM$39+'TUSD CVA'!$AM$39)*1</f>
        <v>49.088494763430781</v>
      </c>
      <c r="Z1393" s="6">
        <f ca="1">('TUSD BE'!$AM$41+'TUSD BF'!$AM$41+'TUSD CVA'!$AM$41)*1</f>
        <v>112.97896283052546</v>
      </c>
      <c r="AA1393" s="6"/>
      <c r="AB1393" s="6">
        <f>$K$1393*$V$1393</f>
        <v>340276.82394559355</v>
      </c>
      <c r="AC1393" s="6">
        <f>$M$1393*$W$1393</f>
        <v>0</v>
      </c>
      <c r="AD1393" s="6">
        <f>$O$1393*$X$1393</f>
        <v>0</v>
      </c>
      <c r="AE1393" s="6">
        <f ca="1">$K$1393*$Y$1393</f>
        <v>381711.08524611808</v>
      </c>
      <c r="AF1393" s="6">
        <f ca="1">$M$1393*$Z$1393</f>
        <v>0</v>
      </c>
      <c r="AG1393" s="6">
        <f>$O$1393*$AA$1393</f>
        <v>0</v>
      </c>
    </row>
    <row r="1394" spans="1:33" ht="11.25" customHeight="1" x14ac:dyDescent="0.25">
      <c r="A1394" s="4" t="s">
        <v>21</v>
      </c>
      <c r="B1394" s="4" t="s">
        <v>44</v>
      </c>
      <c r="C1394" s="4" t="s">
        <v>41</v>
      </c>
      <c r="D1394" s="4" t="s">
        <v>40</v>
      </c>
      <c r="E1394" s="4" t="s">
        <v>25</v>
      </c>
      <c r="F1394" s="4" t="s">
        <v>63</v>
      </c>
      <c r="G1394" s="4" t="s">
        <v>25</v>
      </c>
      <c r="H1394" s="4" t="s">
        <v>35</v>
      </c>
      <c r="I1394" s="5">
        <v>43983</v>
      </c>
      <c r="J1394" s="6">
        <v>11882</v>
      </c>
      <c r="K1394" s="6">
        <v>7480.9745709400004</v>
      </c>
      <c r="L1394" s="6">
        <v>0</v>
      </c>
      <c r="M1394" s="6">
        <v>0</v>
      </c>
      <c r="N1394" s="6">
        <v>0</v>
      </c>
      <c r="O1394" s="6">
        <v>0</v>
      </c>
      <c r="P1394" s="6">
        <v>0</v>
      </c>
      <c r="Q1394" s="4" t="s">
        <v>60</v>
      </c>
      <c r="R1394" s="4">
        <v>0</v>
      </c>
      <c r="S1394" s="6">
        <v>31</v>
      </c>
      <c r="T1394" s="6">
        <v>0</v>
      </c>
      <c r="U1394" s="6">
        <v>0</v>
      </c>
      <c r="V1394" s="6">
        <f>IF(ISERROR(VLOOKUP($S$1394,'TAR FIN'!$A$1:$O$120,15,0)),0,VLOOKUP($S$1394,'TAR FIN'!$A$1:$O$120,15,0))</f>
        <v>43.76</v>
      </c>
      <c r="W1394" s="6">
        <f>IF(ISERROR(VLOOKUP($T$1394,'TAR FIN'!$A$1:$O$120,15,0)),0,VLOOKUP($T$1394,'TAR FIN'!$A$1:$O$120,15,0))</f>
        <v>0</v>
      </c>
      <c r="X1394" s="6">
        <f>IF(ISERROR(VLOOKUP($U$1394,'TAR FIN'!$A$1:$O$120,15,0)),0,VLOOKUP($U$1394,'TAR FIN'!$A$1:$O$120,15,0))</f>
        <v>0</v>
      </c>
      <c r="Y1394" s="6">
        <f ca="1">('TUSD BE'!$AM$39+'TUSD BF'!$AM$39+'TUSD CVA'!$AM$39)*1</f>
        <v>49.088494763430781</v>
      </c>
      <c r="Z1394" s="6">
        <f ca="1">('TUSD BE'!$AM$41+'TUSD BF'!$AM$41+'TUSD CVA'!$AM$41)*1</f>
        <v>112.97896283052546</v>
      </c>
      <c r="AA1394" s="6"/>
      <c r="AB1394" s="6">
        <f>$K$1394*$V$1394</f>
        <v>327367.44722433441</v>
      </c>
      <c r="AC1394" s="6">
        <f>$M$1394*$W$1394</f>
        <v>0</v>
      </c>
      <c r="AD1394" s="6">
        <f>$O$1394*$X$1394</f>
        <v>0</v>
      </c>
      <c r="AE1394" s="6">
        <f ca="1">$K$1394*$Y$1394</f>
        <v>367229.78105094703</v>
      </c>
      <c r="AF1394" s="6">
        <f ca="1">$M$1394*$Z$1394</f>
        <v>0</v>
      </c>
      <c r="AG1394" s="6">
        <f>$O$1394*$AA$1394</f>
        <v>0</v>
      </c>
    </row>
    <row r="1395" spans="1:33" ht="11.25" customHeight="1" x14ac:dyDescent="0.25">
      <c r="A1395" s="4" t="s">
        <v>21</v>
      </c>
      <c r="B1395" s="4" t="s">
        <v>44</v>
      </c>
      <c r="C1395" s="4" t="s">
        <v>41</v>
      </c>
      <c r="D1395" s="4" t="s">
        <v>40</v>
      </c>
      <c r="E1395" s="4" t="s">
        <v>25</v>
      </c>
      <c r="F1395" s="4" t="s">
        <v>63</v>
      </c>
      <c r="G1395" s="4" t="s">
        <v>25</v>
      </c>
      <c r="H1395" s="4" t="s">
        <v>35</v>
      </c>
      <c r="I1395" s="5">
        <v>44013</v>
      </c>
      <c r="J1395" s="6">
        <v>10448</v>
      </c>
      <c r="K1395" s="6">
        <v>6596.7883175999996</v>
      </c>
      <c r="L1395" s="6">
        <v>0</v>
      </c>
      <c r="M1395" s="6">
        <v>0</v>
      </c>
      <c r="N1395" s="6">
        <v>0</v>
      </c>
      <c r="O1395" s="6">
        <v>0</v>
      </c>
      <c r="P1395" s="6">
        <v>0</v>
      </c>
      <c r="Q1395" s="4" t="s">
        <v>60</v>
      </c>
      <c r="R1395" s="4">
        <v>0</v>
      </c>
      <c r="S1395" s="6">
        <v>31</v>
      </c>
      <c r="T1395" s="6">
        <v>0</v>
      </c>
      <c r="U1395" s="6">
        <v>0</v>
      </c>
      <c r="V1395" s="6">
        <f>IF(ISERROR(VLOOKUP($S$1395,'TAR FIN'!$A$1:$O$120,15,0)),0,VLOOKUP($S$1395,'TAR FIN'!$A$1:$O$120,15,0))</f>
        <v>43.76</v>
      </c>
      <c r="W1395" s="6">
        <f>IF(ISERROR(VLOOKUP($T$1395,'TAR FIN'!$A$1:$O$120,15,0)),0,VLOOKUP($T$1395,'TAR FIN'!$A$1:$O$120,15,0))</f>
        <v>0</v>
      </c>
      <c r="X1395" s="6">
        <f>IF(ISERROR(VLOOKUP($U$1395,'TAR FIN'!$A$1:$O$120,15,0)),0,VLOOKUP($U$1395,'TAR FIN'!$A$1:$O$120,15,0))</f>
        <v>0</v>
      </c>
      <c r="Y1395" s="6">
        <f ca="1">('TUSD BE'!$AM$39+'TUSD BF'!$AM$39+'TUSD CVA'!$AM$39)*1</f>
        <v>49.088494763430781</v>
      </c>
      <c r="Z1395" s="6">
        <f ca="1">('TUSD BE'!$AM$41+'TUSD BF'!$AM$41+'TUSD CVA'!$AM$41)*1</f>
        <v>112.97896283052546</v>
      </c>
      <c r="AA1395" s="6"/>
      <c r="AB1395" s="6">
        <f>$K$1395*$V$1395</f>
        <v>288675.45677817595</v>
      </c>
      <c r="AC1395" s="6">
        <f>$M$1395*$W$1395</f>
        <v>0</v>
      </c>
      <c r="AD1395" s="6">
        <f>$O$1395*$X$1395</f>
        <v>0</v>
      </c>
      <c r="AE1395" s="6">
        <f ca="1">$K$1395*$Y$1395</f>
        <v>323826.40878396895</v>
      </c>
      <c r="AF1395" s="6">
        <f ca="1">$M$1395*$Z$1395</f>
        <v>0</v>
      </c>
      <c r="AG1395" s="6">
        <f>$O$1395*$AA$1395</f>
        <v>0</v>
      </c>
    </row>
    <row r="1396" spans="1:33" ht="11.25" customHeight="1" x14ac:dyDescent="0.25">
      <c r="A1396" s="4" t="s">
        <v>21</v>
      </c>
      <c r="B1396" s="4" t="s">
        <v>44</v>
      </c>
      <c r="C1396" s="4" t="s">
        <v>41</v>
      </c>
      <c r="D1396" s="4" t="s">
        <v>40</v>
      </c>
      <c r="E1396" s="4" t="s">
        <v>25</v>
      </c>
      <c r="F1396" s="4" t="s">
        <v>63</v>
      </c>
      <c r="G1396" s="4" t="s">
        <v>25</v>
      </c>
      <c r="H1396" s="4" t="s">
        <v>35</v>
      </c>
      <c r="I1396" s="5">
        <v>44044</v>
      </c>
      <c r="J1396" s="6">
        <v>12709</v>
      </c>
      <c r="K1396" s="6">
        <v>8260.85</v>
      </c>
      <c r="L1396" s="6">
        <v>0</v>
      </c>
      <c r="M1396" s="6">
        <v>0</v>
      </c>
      <c r="N1396" s="6">
        <v>0</v>
      </c>
      <c r="O1396" s="6">
        <v>0</v>
      </c>
      <c r="P1396" s="6">
        <v>0</v>
      </c>
      <c r="Q1396" s="4" t="s">
        <v>60</v>
      </c>
      <c r="R1396" s="4">
        <v>0</v>
      </c>
      <c r="S1396" s="6">
        <v>31</v>
      </c>
      <c r="T1396" s="6">
        <v>0</v>
      </c>
      <c r="U1396" s="6">
        <v>0</v>
      </c>
      <c r="V1396" s="6">
        <f>IF(ISERROR(VLOOKUP($S$1396,'TAR FIN'!$A$1:$O$120,15,0)),0,VLOOKUP($S$1396,'TAR FIN'!$A$1:$O$120,15,0))</f>
        <v>43.76</v>
      </c>
      <c r="W1396" s="6">
        <f>IF(ISERROR(VLOOKUP($T$1396,'TAR FIN'!$A$1:$O$120,15,0)),0,VLOOKUP($T$1396,'TAR FIN'!$A$1:$O$120,15,0))</f>
        <v>0</v>
      </c>
      <c r="X1396" s="6">
        <f>IF(ISERROR(VLOOKUP($U$1396,'TAR FIN'!$A$1:$O$120,15,0)),0,VLOOKUP($U$1396,'TAR FIN'!$A$1:$O$120,15,0))</f>
        <v>0</v>
      </c>
      <c r="Y1396" s="6">
        <f ca="1">('TUSD BE'!$AM$39+'TUSD BF'!$AM$39+'TUSD CVA'!$AM$39)*1</f>
        <v>49.088494763430781</v>
      </c>
      <c r="Z1396" s="6">
        <f ca="1">('TUSD BE'!$AM$41+'TUSD BF'!$AM$41+'TUSD CVA'!$AM$41)*1</f>
        <v>112.97896283052546</v>
      </c>
      <c r="AA1396" s="6"/>
      <c r="AB1396" s="6">
        <f>$K$1396*$V$1396</f>
        <v>361494.79599999997</v>
      </c>
      <c r="AC1396" s="6">
        <f>$M$1396*$W$1396</f>
        <v>0</v>
      </c>
      <c r="AD1396" s="6">
        <f>$O$1396*$X$1396</f>
        <v>0</v>
      </c>
      <c r="AE1396" s="6">
        <f ca="1">$K$1396*$Y$1396</f>
        <v>405512.69196648721</v>
      </c>
      <c r="AF1396" s="6">
        <f ca="1">$M$1396*$Z$1396</f>
        <v>0</v>
      </c>
      <c r="AG1396" s="6">
        <f>$O$1396*$AA$1396</f>
        <v>0</v>
      </c>
    </row>
    <row r="1397" spans="1:33" ht="11.25" customHeight="1" x14ac:dyDescent="0.25">
      <c r="A1397" s="4" t="s">
        <v>59</v>
      </c>
      <c r="B1397" s="4" t="s">
        <v>44</v>
      </c>
      <c r="C1397" s="4" t="s">
        <v>41</v>
      </c>
      <c r="D1397" s="4" t="s">
        <v>40</v>
      </c>
      <c r="E1397" s="4" t="s">
        <v>25</v>
      </c>
      <c r="F1397" s="4" t="s">
        <v>63</v>
      </c>
      <c r="G1397" s="4" t="s">
        <v>25</v>
      </c>
      <c r="H1397" s="4" t="s">
        <v>35</v>
      </c>
      <c r="I1397" s="5">
        <v>44075</v>
      </c>
      <c r="J1397" s="6">
        <v>12709</v>
      </c>
      <c r="K1397" s="6">
        <v>8260.85</v>
      </c>
      <c r="L1397" s="6">
        <v>0</v>
      </c>
      <c r="M1397" s="6">
        <v>0</v>
      </c>
      <c r="N1397" s="6">
        <v>0</v>
      </c>
      <c r="O1397" s="6">
        <v>0</v>
      </c>
      <c r="P1397" s="6">
        <v>0</v>
      </c>
      <c r="Q1397" s="4" t="s">
        <v>60</v>
      </c>
      <c r="R1397" s="4">
        <v>0</v>
      </c>
      <c r="S1397" s="6">
        <v>31</v>
      </c>
      <c r="T1397" s="6">
        <v>0</v>
      </c>
      <c r="U1397" s="6">
        <v>0</v>
      </c>
      <c r="V1397" s="6">
        <f>IF(ISERROR(VLOOKUP($S$1397,'TAR FIN'!$A$1:$O$120,15,0)),0,VLOOKUP($S$1397,'TAR FIN'!$A$1:$O$120,15,0))</f>
        <v>43.76</v>
      </c>
      <c r="W1397" s="6">
        <f>IF(ISERROR(VLOOKUP($T$1397,'TAR FIN'!$A$1:$O$120,15,0)),0,VLOOKUP($T$1397,'TAR FIN'!$A$1:$O$120,15,0))</f>
        <v>0</v>
      </c>
      <c r="X1397" s="6">
        <f>IF(ISERROR(VLOOKUP($U$1397,'TAR FIN'!$A$1:$O$120,15,0)),0,VLOOKUP($U$1397,'TAR FIN'!$A$1:$O$120,15,0))</f>
        <v>0</v>
      </c>
      <c r="Y1397" s="6">
        <f ca="1">('TUSD BE'!$AM$39+'TUSD BF'!$AM$39+'TUSD CVA'!$AM$39)*1</f>
        <v>49.088494763430781</v>
      </c>
      <c r="Z1397" s="6">
        <f ca="1">('TUSD BE'!$AM$41+'TUSD BF'!$AM$41+'TUSD CVA'!$AM$41)*1</f>
        <v>112.97896283052546</v>
      </c>
      <c r="AA1397" s="6"/>
      <c r="AB1397" s="6">
        <f>$K$1397*$V$1397</f>
        <v>361494.79599999997</v>
      </c>
      <c r="AC1397" s="6">
        <f>$M$1397*$W$1397</f>
        <v>0</v>
      </c>
      <c r="AD1397" s="6">
        <f>$O$1397*$X$1397</f>
        <v>0</v>
      </c>
      <c r="AE1397" s="6">
        <f ca="1">$K$1397*$Y$1397</f>
        <v>405512.69196648721</v>
      </c>
      <c r="AF1397" s="6">
        <f ca="1">$M$1397*$Z$1397</f>
        <v>0</v>
      </c>
      <c r="AG1397" s="6">
        <f>$O$1397*$AA$1397</f>
        <v>0</v>
      </c>
    </row>
    <row r="1398" spans="1:33" ht="11.25" customHeight="1" x14ac:dyDescent="0.25">
      <c r="A1398" s="4" t="s">
        <v>21</v>
      </c>
      <c r="B1398" s="4" t="s">
        <v>44</v>
      </c>
      <c r="C1398" s="4" t="s">
        <v>41</v>
      </c>
      <c r="D1398" s="4" t="s">
        <v>48</v>
      </c>
      <c r="E1398" s="4" t="s">
        <v>25</v>
      </c>
      <c r="F1398" s="4" t="s">
        <v>25</v>
      </c>
      <c r="G1398" s="4" t="s">
        <v>25</v>
      </c>
      <c r="H1398" s="4" t="s">
        <v>36</v>
      </c>
      <c r="I1398" s="5">
        <v>43739</v>
      </c>
      <c r="J1398" s="6">
        <v>14827</v>
      </c>
      <c r="K1398" s="6">
        <v>14827</v>
      </c>
      <c r="L1398" s="6">
        <v>3933.87</v>
      </c>
      <c r="M1398" s="6">
        <v>3933.87</v>
      </c>
      <c r="N1398" s="6">
        <v>3933.87</v>
      </c>
      <c r="O1398" s="6">
        <v>3933.87</v>
      </c>
      <c r="P1398" s="6">
        <v>0</v>
      </c>
      <c r="Q1398" s="4" t="s">
        <v>26</v>
      </c>
      <c r="R1398" s="4">
        <v>0</v>
      </c>
      <c r="S1398" s="6">
        <v>32</v>
      </c>
      <c r="T1398" s="6">
        <v>33</v>
      </c>
      <c r="U1398" s="6">
        <v>84</v>
      </c>
      <c r="V1398" s="6">
        <f>IF(ISERROR(VLOOKUP($S$1398,'TAR FIN'!$A$1:$O$120,15,0)),0,VLOOKUP($S$1398,'TAR FIN'!$A$1:$O$120,15,0))</f>
        <v>12.24</v>
      </c>
      <c r="W1398" s="6">
        <f>IF(ISERROR(VLOOKUP($T$1398,'TAR FIN'!$A$1:$O$120,15,0)),0,VLOOKUP($T$1398,'TAR FIN'!$A$1:$O$120,15,0))</f>
        <v>109.75</v>
      </c>
      <c r="X1398" s="6">
        <f>IF(ISERROR(VLOOKUP($U$1398,'TAR FIN'!$A$1:$O$120,15,0)),0,VLOOKUP($U$1398,'TAR FIN'!$A$1:$O$120,15,0))</f>
        <v>256.38</v>
      </c>
      <c r="Y1398" s="6">
        <f ca="1">('TUSD BE'!$AM$40+'TUSD BF'!$AM$40+'TUSD CVA'!$AM$40)*1</f>
        <v>16.00053546174815</v>
      </c>
      <c r="Z1398" s="6">
        <f ca="1">('TUSD BE'!$AM$41+'TUSD BF'!$AM$41+'TUSD CVA'!$AM$41)*1</f>
        <v>112.97896283052546</v>
      </c>
      <c r="AA1398" s="6">
        <f>('TE BE'!$AA$14+'TE BF'!$AA$14+'TE CVA'!$AA$14)*1</f>
        <v>230.83420940933817</v>
      </c>
      <c r="AB1398" s="6">
        <f>$K$1398*$V$1398</f>
        <v>181482.48</v>
      </c>
      <c r="AC1398" s="6">
        <f>$M$1398*$W$1398</f>
        <v>431742.23249999998</v>
      </c>
      <c r="AD1398" s="6">
        <f>$O$1398*$X$1398</f>
        <v>1008565.5906</v>
      </c>
      <c r="AE1398" s="6">
        <f ca="1">$K$1398*$Y$1398</f>
        <v>237239.93929133983</v>
      </c>
      <c r="AF1398" s="6">
        <f ca="1">$M$1398*$Z$1398</f>
        <v>444444.55251011916</v>
      </c>
      <c r="AG1398" s="6">
        <f>$O$1398*$AA$1398</f>
        <v>908071.77136911312</v>
      </c>
    </row>
    <row r="1399" spans="1:33" ht="11.25" customHeight="1" x14ac:dyDescent="0.25">
      <c r="A1399" s="4" t="s">
        <v>27</v>
      </c>
      <c r="B1399" s="4" t="s">
        <v>44</v>
      </c>
      <c r="C1399" s="4" t="s">
        <v>41</v>
      </c>
      <c r="D1399" s="4" t="s">
        <v>48</v>
      </c>
      <c r="E1399" s="4" t="s">
        <v>25</v>
      </c>
      <c r="F1399" s="4" t="s">
        <v>25</v>
      </c>
      <c r="G1399" s="4" t="s">
        <v>25</v>
      </c>
      <c r="H1399" s="4" t="s">
        <v>36</v>
      </c>
      <c r="I1399" s="5">
        <v>43739</v>
      </c>
      <c r="J1399" s="6">
        <v>436</v>
      </c>
      <c r="K1399" s="6">
        <v>436</v>
      </c>
      <c r="L1399" s="6">
        <v>149.66</v>
      </c>
      <c r="M1399" s="6">
        <v>149.66</v>
      </c>
      <c r="N1399" s="6">
        <v>149.66</v>
      </c>
      <c r="O1399" s="6">
        <v>149.66</v>
      </c>
      <c r="P1399" s="6">
        <v>0</v>
      </c>
      <c r="Q1399" s="4" t="s">
        <v>26</v>
      </c>
      <c r="R1399" s="4">
        <v>0</v>
      </c>
      <c r="S1399" s="6">
        <v>32</v>
      </c>
      <c r="T1399" s="6">
        <v>33</v>
      </c>
      <c r="U1399" s="6">
        <v>84</v>
      </c>
      <c r="V1399" s="6">
        <f>IF(ISERROR(VLOOKUP($S$1399,'TAR FIN'!$A$1:$O$120,15,0)),0,VLOOKUP($S$1399,'TAR FIN'!$A$1:$O$120,15,0))</f>
        <v>12.24</v>
      </c>
      <c r="W1399" s="6">
        <f>IF(ISERROR(VLOOKUP($T$1399,'TAR FIN'!$A$1:$O$120,15,0)),0,VLOOKUP($T$1399,'TAR FIN'!$A$1:$O$120,15,0))</f>
        <v>109.75</v>
      </c>
      <c r="X1399" s="6">
        <f>IF(ISERROR(VLOOKUP($U$1399,'TAR FIN'!$A$1:$O$120,15,0)),0,VLOOKUP($U$1399,'TAR FIN'!$A$1:$O$120,15,0))</f>
        <v>256.38</v>
      </c>
      <c r="Y1399" s="6">
        <f ca="1">('TUSD BE'!$AM$40+'TUSD BF'!$AM$40+'TUSD CVA'!$AM$40)*1</f>
        <v>16.00053546174815</v>
      </c>
      <c r="Z1399" s="6">
        <f ca="1">('TUSD BE'!$AM$41+'TUSD BF'!$AM$41+'TUSD CVA'!$AM$41)*1</f>
        <v>112.97896283052546</v>
      </c>
      <c r="AA1399" s="6">
        <f>('TE BE'!$AA$14+'TE BF'!$AA$14+'TE CVA'!$AA$14)*1</f>
        <v>230.83420940933817</v>
      </c>
      <c r="AB1399" s="6">
        <f>$K$1399*$V$1399</f>
        <v>5336.64</v>
      </c>
      <c r="AC1399" s="6">
        <f>$M$1399*$W$1399</f>
        <v>16425.185000000001</v>
      </c>
      <c r="AD1399" s="6">
        <f>$O$1399*$X$1399</f>
        <v>38369.830799999996</v>
      </c>
      <c r="AE1399" s="6">
        <f ca="1">$K$1399*$Y$1399</f>
        <v>6976.2334613221938</v>
      </c>
      <c r="AF1399" s="6">
        <f ca="1">$M$1399*$Z$1399</f>
        <v>16908.431577216441</v>
      </c>
      <c r="AG1399" s="6">
        <f>$O$1399*$AA$1399</f>
        <v>34546.647780201551</v>
      </c>
    </row>
    <row r="1400" spans="1:33" ht="11.25" customHeight="1" x14ac:dyDescent="0.25">
      <c r="A1400" s="4" t="s">
        <v>21</v>
      </c>
      <c r="B1400" s="4" t="s">
        <v>44</v>
      </c>
      <c r="C1400" s="4" t="s">
        <v>41</v>
      </c>
      <c r="D1400" s="4" t="s">
        <v>48</v>
      </c>
      <c r="E1400" s="4" t="s">
        <v>25</v>
      </c>
      <c r="F1400" s="4" t="s">
        <v>25</v>
      </c>
      <c r="G1400" s="4" t="s">
        <v>25</v>
      </c>
      <c r="H1400" s="4" t="s">
        <v>36</v>
      </c>
      <c r="I1400" s="5">
        <v>43770</v>
      </c>
      <c r="J1400" s="6">
        <v>15554</v>
      </c>
      <c r="K1400" s="6">
        <v>15554</v>
      </c>
      <c r="L1400" s="6">
        <v>4090.127</v>
      </c>
      <c r="M1400" s="6">
        <v>4090.127</v>
      </c>
      <c r="N1400" s="6">
        <v>4090.127</v>
      </c>
      <c r="O1400" s="6">
        <v>4090.127</v>
      </c>
      <c r="P1400" s="6">
        <v>0</v>
      </c>
      <c r="Q1400" s="4" t="s">
        <v>26</v>
      </c>
      <c r="R1400" s="4">
        <v>0</v>
      </c>
      <c r="S1400" s="6">
        <v>32</v>
      </c>
      <c r="T1400" s="6">
        <v>33</v>
      </c>
      <c r="U1400" s="6">
        <v>84</v>
      </c>
      <c r="V1400" s="6">
        <f>IF(ISERROR(VLOOKUP($S$1400,'TAR FIN'!$A$1:$O$120,15,0)),0,VLOOKUP($S$1400,'TAR FIN'!$A$1:$O$120,15,0))</f>
        <v>12.24</v>
      </c>
      <c r="W1400" s="6">
        <f>IF(ISERROR(VLOOKUP($T$1400,'TAR FIN'!$A$1:$O$120,15,0)),0,VLOOKUP($T$1400,'TAR FIN'!$A$1:$O$120,15,0))</f>
        <v>109.75</v>
      </c>
      <c r="X1400" s="6">
        <f>IF(ISERROR(VLOOKUP($U$1400,'TAR FIN'!$A$1:$O$120,15,0)),0,VLOOKUP($U$1400,'TAR FIN'!$A$1:$O$120,15,0))</f>
        <v>256.38</v>
      </c>
      <c r="Y1400" s="6">
        <f ca="1">('TUSD BE'!$AM$40+'TUSD BF'!$AM$40+'TUSD CVA'!$AM$40)*1</f>
        <v>16.00053546174815</v>
      </c>
      <c r="Z1400" s="6">
        <f ca="1">('TUSD BE'!$AM$41+'TUSD BF'!$AM$41+'TUSD CVA'!$AM$41)*1</f>
        <v>112.97896283052546</v>
      </c>
      <c r="AA1400" s="6">
        <f>('TE BE'!$AA$14+'TE BF'!$AA$14+'TE CVA'!$AA$14)*1</f>
        <v>230.83420940933817</v>
      </c>
      <c r="AB1400" s="6">
        <f>$K$1400*$V$1400</f>
        <v>190380.96</v>
      </c>
      <c r="AC1400" s="6">
        <f>$M$1400*$W$1400</f>
        <v>448891.43825000001</v>
      </c>
      <c r="AD1400" s="6">
        <f>$O$1400*$X$1400</f>
        <v>1048626.7602599999</v>
      </c>
      <c r="AE1400" s="6">
        <f ca="1">$K$1400*$Y$1400</f>
        <v>248872.32857203073</v>
      </c>
      <c r="AF1400" s="6">
        <f ca="1">$M$1400*$Z$1400</f>
        <v>462098.30630512862</v>
      </c>
      <c r="AG1400" s="6">
        <f>$O$1400*$AA$1400</f>
        <v>944141.23242878809</v>
      </c>
    </row>
    <row r="1401" spans="1:33" ht="11.25" customHeight="1" x14ac:dyDescent="0.25">
      <c r="A1401" s="4" t="s">
        <v>27</v>
      </c>
      <c r="B1401" s="4" t="s">
        <v>44</v>
      </c>
      <c r="C1401" s="4" t="s">
        <v>41</v>
      </c>
      <c r="D1401" s="4" t="s">
        <v>48</v>
      </c>
      <c r="E1401" s="4" t="s">
        <v>25</v>
      </c>
      <c r="F1401" s="4" t="s">
        <v>25</v>
      </c>
      <c r="G1401" s="4" t="s">
        <v>25</v>
      </c>
      <c r="H1401" s="4" t="s">
        <v>36</v>
      </c>
      <c r="I1401" s="5">
        <v>43770</v>
      </c>
      <c r="J1401" s="6">
        <v>436</v>
      </c>
      <c r="K1401" s="6">
        <v>436</v>
      </c>
      <c r="L1401" s="6">
        <v>154.79300000000001</v>
      </c>
      <c r="M1401" s="6">
        <v>154.79300000000001</v>
      </c>
      <c r="N1401" s="6">
        <v>154.79300000000001</v>
      </c>
      <c r="O1401" s="6">
        <v>154.79300000000001</v>
      </c>
      <c r="P1401" s="6">
        <v>0</v>
      </c>
      <c r="Q1401" s="4" t="s">
        <v>26</v>
      </c>
      <c r="R1401" s="4">
        <v>0</v>
      </c>
      <c r="S1401" s="6">
        <v>32</v>
      </c>
      <c r="T1401" s="6">
        <v>33</v>
      </c>
      <c r="U1401" s="6">
        <v>84</v>
      </c>
      <c r="V1401" s="6">
        <f>IF(ISERROR(VLOOKUP($S$1401,'TAR FIN'!$A$1:$O$120,15,0)),0,VLOOKUP($S$1401,'TAR FIN'!$A$1:$O$120,15,0))</f>
        <v>12.24</v>
      </c>
      <c r="W1401" s="6">
        <f>IF(ISERROR(VLOOKUP($T$1401,'TAR FIN'!$A$1:$O$120,15,0)),0,VLOOKUP($T$1401,'TAR FIN'!$A$1:$O$120,15,0))</f>
        <v>109.75</v>
      </c>
      <c r="X1401" s="6">
        <f>IF(ISERROR(VLOOKUP($U$1401,'TAR FIN'!$A$1:$O$120,15,0)),0,VLOOKUP($U$1401,'TAR FIN'!$A$1:$O$120,15,0))</f>
        <v>256.38</v>
      </c>
      <c r="Y1401" s="6">
        <f ca="1">('TUSD BE'!$AM$40+'TUSD BF'!$AM$40+'TUSD CVA'!$AM$40)*1</f>
        <v>16.00053546174815</v>
      </c>
      <c r="Z1401" s="6">
        <f ca="1">('TUSD BE'!$AM$41+'TUSD BF'!$AM$41+'TUSD CVA'!$AM$41)*1</f>
        <v>112.97896283052546</v>
      </c>
      <c r="AA1401" s="6">
        <f>('TE BE'!$AA$14+'TE BF'!$AA$14+'TE CVA'!$AA$14)*1</f>
        <v>230.83420940933817</v>
      </c>
      <c r="AB1401" s="6">
        <f>$K$1401*$V$1401</f>
        <v>5336.64</v>
      </c>
      <c r="AC1401" s="6">
        <f>$M$1401*$W$1401</f>
        <v>16988.531750000002</v>
      </c>
      <c r="AD1401" s="6">
        <f>$O$1401*$X$1401</f>
        <v>39685.829340000004</v>
      </c>
      <c r="AE1401" s="6">
        <f ca="1">$K$1401*$Y$1401</f>
        <v>6976.2334613221938</v>
      </c>
      <c r="AF1401" s="6">
        <f ca="1">$M$1401*$Z$1401</f>
        <v>17488.352593425527</v>
      </c>
      <c r="AG1401" s="6">
        <f>$O$1401*$AA$1401</f>
        <v>35731.519777099682</v>
      </c>
    </row>
    <row r="1402" spans="1:33" ht="11.25" customHeight="1" x14ac:dyDescent="0.25">
      <c r="A1402" s="4" t="s">
        <v>21</v>
      </c>
      <c r="B1402" s="4" t="s">
        <v>44</v>
      </c>
      <c r="C1402" s="4" t="s">
        <v>41</v>
      </c>
      <c r="D1402" s="4" t="s">
        <v>48</v>
      </c>
      <c r="E1402" s="4" t="s">
        <v>25</v>
      </c>
      <c r="F1402" s="4" t="s">
        <v>25</v>
      </c>
      <c r="G1402" s="4" t="s">
        <v>25</v>
      </c>
      <c r="H1402" s="4" t="s">
        <v>36</v>
      </c>
      <c r="I1402" s="5">
        <v>43800</v>
      </c>
      <c r="J1402" s="6">
        <v>15775</v>
      </c>
      <c r="K1402" s="6">
        <v>15775</v>
      </c>
      <c r="L1402" s="6">
        <v>3903.7860000000001</v>
      </c>
      <c r="M1402" s="6">
        <v>3903.7860000000001</v>
      </c>
      <c r="N1402" s="6">
        <v>3903.7860000000001</v>
      </c>
      <c r="O1402" s="6">
        <v>3903.7860000000001</v>
      </c>
      <c r="P1402" s="6">
        <v>0</v>
      </c>
      <c r="Q1402" s="4" t="s">
        <v>26</v>
      </c>
      <c r="R1402" s="4">
        <v>0</v>
      </c>
      <c r="S1402" s="6">
        <v>32</v>
      </c>
      <c r="T1402" s="6">
        <v>33</v>
      </c>
      <c r="U1402" s="6">
        <v>84</v>
      </c>
      <c r="V1402" s="6">
        <f>IF(ISERROR(VLOOKUP($S$1402,'TAR FIN'!$A$1:$O$120,15,0)),0,VLOOKUP($S$1402,'TAR FIN'!$A$1:$O$120,15,0))</f>
        <v>12.24</v>
      </c>
      <c r="W1402" s="6">
        <f>IF(ISERROR(VLOOKUP($T$1402,'TAR FIN'!$A$1:$O$120,15,0)),0,VLOOKUP($T$1402,'TAR FIN'!$A$1:$O$120,15,0))</f>
        <v>109.75</v>
      </c>
      <c r="X1402" s="6">
        <f>IF(ISERROR(VLOOKUP($U$1402,'TAR FIN'!$A$1:$O$120,15,0)),0,VLOOKUP($U$1402,'TAR FIN'!$A$1:$O$120,15,0))</f>
        <v>256.38</v>
      </c>
      <c r="Y1402" s="6">
        <f ca="1">('TUSD BE'!$AM$40+'TUSD BF'!$AM$40+'TUSD CVA'!$AM$40)*1</f>
        <v>16.00053546174815</v>
      </c>
      <c r="Z1402" s="6">
        <f ca="1">('TUSD BE'!$AM$41+'TUSD BF'!$AM$41+'TUSD CVA'!$AM$41)*1</f>
        <v>112.97896283052546</v>
      </c>
      <c r="AA1402" s="6">
        <f>('TE BE'!$AA$14+'TE BF'!$AA$14+'TE CVA'!$AA$14)*1</f>
        <v>230.83420940933817</v>
      </c>
      <c r="AB1402" s="6">
        <f>$K$1402*$V$1402</f>
        <v>193086</v>
      </c>
      <c r="AC1402" s="6">
        <f>$M$1402*$W$1402</f>
        <v>428440.5135</v>
      </c>
      <c r="AD1402" s="6">
        <f>$O$1402*$X$1402</f>
        <v>1000852.65468</v>
      </c>
      <c r="AE1402" s="6">
        <f ca="1">$K$1402*$Y$1402</f>
        <v>252408.44690907706</v>
      </c>
      <c r="AF1402" s="6">
        <f ca="1">$M$1402*$Z$1402</f>
        <v>441045.69339232566</v>
      </c>
      <c r="AG1402" s="6">
        <f>$O$1402*$AA$1402</f>
        <v>901127.35501324269</v>
      </c>
    </row>
    <row r="1403" spans="1:33" ht="11.25" customHeight="1" x14ac:dyDescent="0.25">
      <c r="A1403" s="4" t="s">
        <v>27</v>
      </c>
      <c r="B1403" s="4" t="s">
        <v>44</v>
      </c>
      <c r="C1403" s="4" t="s">
        <v>41</v>
      </c>
      <c r="D1403" s="4" t="s">
        <v>48</v>
      </c>
      <c r="E1403" s="4" t="s">
        <v>25</v>
      </c>
      <c r="F1403" s="4" t="s">
        <v>25</v>
      </c>
      <c r="G1403" s="4" t="s">
        <v>25</v>
      </c>
      <c r="H1403" s="4" t="s">
        <v>36</v>
      </c>
      <c r="I1403" s="5">
        <v>43800</v>
      </c>
      <c r="J1403" s="6">
        <v>436</v>
      </c>
      <c r="K1403" s="6">
        <v>436</v>
      </c>
      <c r="L1403" s="6">
        <v>146.85400000000001</v>
      </c>
      <c r="M1403" s="6">
        <v>146.85400000000001</v>
      </c>
      <c r="N1403" s="6">
        <v>146.85400000000001</v>
      </c>
      <c r="O1403" s="6">
        <v>146.85400000000001</v>
      </c>
      <c r="P1403" s="6">
        <v>0</v>
      </c>
      <c r="Q1403" s="4" t="s">
        <v>26</v>
      </c>
      <c r="R1403" s="4">
        <v>0</v>
      </c>
      <c r="S1403" s="6">
        <v>32</v>
      </c>
      <c r="T1403" s="6">
        <v>33</v>
      </c>
      <c r="U1403" s="6">
        <v>84</v>
      </c>
      <c r="V1403" s="6">
        <f>IF(ISERROR(VLOOKUP($S$1403,'TAR FIN'!$A$1:$O$120,15,0)),0,VLOOKUP($S$1403,'TAR FIN'!$A$1:$O$120,15,0))</f>
        <v>12.24</v>
      </c>
      <c r="W1403" s="6">
        <f>IF(ISERROR(VLOOKUP($T$1403,'TAR FIN'!$A$1:$O$120,15,0)),0,VLOOKUP($T$1403,'TAR FIN'!$A$1:$O$120,15,0))</f>
        <v>109.75</v>
      </c>
      <c r="X1403" s="6">
        <f>IF(ISERROR(VLOOKUP($U$1403,'TAR FIN'!$A$1:$O$120,15,0)),0,VLOOKUP($U$1403,'TAR FIN'!$A$1:$O$120,15,0))</f>
        <v>256.38</v>
      </c>
      <c r="Y1403" s="6">
        <f ca="1">('TUSD BE'!$AM$40+'TUSD BF'!$AM$40+'TUSD CVA'!$AM$40)*1</f>
        <v>16.00053546174815</v>
      </c>
      <c r="Z1403" s="6">
        <f ca="1">('TUSD BE'!$AM$41+'TUSD BF'!$AM$41+'TUSD CVA'!$AM$41)*1</f>
        <v>112.97896283052546</v>
      </c>
      <c r="AA1403" s="6">
        <f>('TE BE'!$AA$14+'TE BF'!$AA$14+'TE CVA'!$AA$14)*1</f>
        <v>230.83420940933817</v>
      </c>
      <c r="AB1403" s="6">
        <f>$K$1403*$V$1403</f>
        <v>5336.64</v>
      </c>
      <c r="AC1403" s="6">
        <f>$M$1403*$W$1403</f>
        <v>16117.226500000001</v>
      </c>
      <c r="AD1403" s="6">
        <f>$O$1403*$X$1403</f>
        <v>37650.428520000001</v>
      </c>
      <c r="AE1403" s="6">
        <f ca="1">$K$1403*$Y$1403</f>
        <v>6976.2334613221938</v>
      </c>
      <c r="AF1403" s="6">
        <f ca="1">$M$1403*$Z$1403</f>
        <v>16591.412607513987</v>
      </c>
      <c r="AG1403" s="6">
        <f>$O$1403*$AA$1403</f>
        <v>33898.926988598949</v>
      </c>
    </row>
    <row r="1404" spans="1:33" ht="11.25" customHeight="1" x14ac:dyDescent="0.25">
      <c r="A1404" s="4" t="s">
        <v>21</v>
      </c>
      <c r="B1404" s="4" t="s">
        <v>44</v>
      </c>
      <c r="C1404" s="4" t="s">
        <v>41</v>
      </c>
      <c r="D1404" s="4" t="s">
        <v>48</v>
      </c>
      <c r="E1404" s="4" t="s">
        <v>25</v>
      </c>
      <c r="F1404" s="4" t="s">
        <v>25</v>
      </c>
      <c r="G1404" s="4" t="s">
        <v>25</v>
      </c>
      <c r="H1404" s="4" t="s">
        <v>36</v>
      </c>
      <c r="I1404" s="5">
        <v>43831</v>
      </c>
      <c r="J1404" s="6">
        <v>15884</v>
      </c>
      <c r="K1404" s="6">
        <v>15884</v>
      </c>
      <c r="L1404" s="6">
        <v>3796.4960000000001</v>
      </c>
      <c r="M1404" s="6">
        <v>3796.4960000000001</v>
      </c>
      <c r="N1404" s="6">
        <v>3796.4960000000001</v>
      </c>
      <c r="O1404" s="6">
        <v>3796.4960000000001</v>
      </c>
      <c r="P1404" s="6">
        <v>0</v>
      </c>
      <c r="Q1404" s="4" t="s">
        <v>26</v>
      </c>
      <c r="R1404" s="4">
        <v>0</v>
      </c>
      <c r="S1404" s="6">
        <v>32</v>
      </c>
      <c r="T1404" s="6">
        <v>33</v>
      </c>
      <c r="U1404" s="6">
        <v>84</v>
      </c>
      <c r="V1404" s="6">
        <f>IF(ISERROR(VLOOKUP($S$1404,'TAR FIN'!$A$1:$O$120,15,0)),0,VLOOKUP($S$1404,'TAR FIN'!$A$1:$O$120,15,0))</f>
        <v>12.24</v>
      </c>
      <c r="W1404" s="6">
        <f>IF(ISERROR(VLOOKUP($T$1404,'TAR FIN'!$A$1:$O$120,15,0)),0,VLOOKUP($T$1404,'TAR FIN'!$A$1:$O$120,15,0))</f>
        <v>109.75</v>
      </c>
      <c r="X1404" s="6">
        <f>IF(ISERROR(VLOOKUP($U$1404,'TAR FIN'!$A$1:$O$120,15,0)),0,VLOOKUP($U$1404,'TAR FIN'!$A$1:$O$120,15,0))</f>
        <v>256.38</v>
      </c>
      <c r="Y1404" s="6">
        <f ca="1">('TUSD BE'!$AM$40+'TUSD BF'!$AM$40+'TUSD CVA'!$AM$40)*1</f>
        <v>16.00053546174815</v>
      </c>
      <c r="Z1404" s="6">
        <f ca="1">('TUSD BE'!$AM$41+'TUSD BF'!$AM$41+'TUSD CVA'!$AM$41)*1</f>
        <v>112.97896283052546</v>
      </c>
      <c r="AA1404" s="6">
        <f>('TE BE'!$AA$14+'TE BF'!$AA$14+'TE CVA'!$AA$14)*1</f>
        <v>230.83420940933817</v>
      </c>
      <c r="AB1404" s="6">
        <f>$K$1404*$V$1404</f>
        <v>194420.16</v>
      </c>
      <c r="AC1404" s="6">
        <f>$M$1404*$W$1404</f>
        <v>416665.43599999999</v>
      </c>
      <c r="AD1404" s="6">
        <f>$O$1404*$X$1404</f>
        <v>973345.64448000002</v>
      </c>
      <c r="AE1404" s="6">
        <f ca="1">$K$1404*$Y$1404</f>
        <v>254152.50527440762</v>
      </c>
      <c r="AF1404" s="6">
        <f ca="1">$M$1404*$Z$1404</f>
        <v>428924.18047023861</v>
      </c>
      <c r="AG1404" s="6">
        <f>$O$1404*$AA$1404</f>
        <v>876361.15268571477</v>
      </c>
    </row>
    <row r="1405" spans="1:33" ht="11.25" customHeight="1" x14ac:dyDescent="0.25">
      <c r="A1405" s="4" t="s">
        <v>27</v>
      </c>
      <c r="B1405" s="4" t="s">
        <v>44</v>
      </c>
      <c r="C1405" s="4" t="s">
        <v>41</v>
      </c>
      <c r="D1405" s="4" t="s">
        <v>48</v>
      </c>
      <c r="E1405" s="4" t="s">
        <v>25</v>
      </c>
      <c r="F1405" s="4" t="s">
        <v>25</v>
      </c>
      <c r="G1405" s="4" t="s">
        <v>25</v>
      </c>
      <c r="H1405" s="4" t="s">
        <v>36</v>
      </c>
      <c r="I1405" s="5">
        <v>43831</v>
      </c>
      <c r="J1405" s="6">
        <v>436</v>
      </c>
      <c r="K1405" s="6">
        <v>436</v>
      </c>
      <c r="L1405" s="6">
        <v>145.36600000000001</v>
      </c>
      <c r="M1405" s="6">
        <v>145.36600000000001</v>
      </c>
      <c r="N1405" s="6">
        <v>145.36600000000001</v>
      </c>
      <c r="O1405" s="6">
        <v>145.36600000000001</v>
      </c>
      <c r="P1405" s="6">
        <v>0</v>
      </c>
      <c r="Q1405" s="4" t="s">
        <v>26</v>
      </c>
      <c r="R1405" s="4">
        <v>0</v>
      </c>
      <c r="S1405" s="6">
        <v>32</v>
      </c>
      <c r="T1405" s="6">
        <v>33</v>
      </c>
      <c r="U1405" s="6">
        <v>84</v>
      </c>
      <c r="V1405" s="6">
        <f>IF(ISERROR(VLOOKUP($S$1405,'TAR FIN'!$A$1:$O$120,15,0)),0,VLOOKUP($S$1405,'TAR FIN'!$A$1:$O$120,15,0))</f>
        <v>12.24</v>
      </c>
      <c r="W1405" s="6">
        <f>IF(ISERROR(VLOOKUP($T$1405,'TAR FIN'!$A$1:$O$120,15,0)),0,VLOOKUP($T$1405,'TAR FIN'!$A$1:$O$120,15,0))</f>
        <v>109.75</v>
      </c>
      <c r="X1405" s="6">
        <f>IF(ISERROR(VLOOKUP($U$1405,'TAR FIN'!$A$1:$O$120,15,0)),0,VLOOKUP($U$1405,'TAR FIN'!$A$1:$O$120,15,0))</f>
        <v>256.38</v>
      </c>
      <c r="Y1405" s="6">
        <f ca="1">('TUSD BE'!$AM$40+'TUSD BF'!$AM$40+'TUSD CVA'!$AM$40)*1</f>
        <v>16.00053546174815</v>
      </c>
      <c r="Z1405" s="6">
        <f ca="1">('TUSD BE'!$AM$41+'TUSD BF'!$AM$41+'TUSD CVA'!$AM$41)*1</f>
        <v>112.97896283052546</v>
      </c>
      <c r="AA1405" s="6">
        <f>('TE BE'!$AA$14+'TE BF'!$AA$14+'TE CVA'!$AA$14)*1</f>
        <v>230.83420940933817</v>
      </c>
      <c r="AB1405" s="6">
        <f>$K$1405*$V$1405</f>
        <v>5336.64</v>
      </c>
      <c r="AC1405" s="6">
        <f>$M$1405*$W$1405</f>
        <v>15953.918500000002</v>
      </c>
      <c r="AD1405" s="6">
        <f>$O$1405*$X$1405</f>
        <v>37268.935080000003</v>
      </c>
      <c r="AE1405" s="6">
        <f ca="1">$K$1405*$Y$1405</f>
        <v>6976.2334613221938</v>
      </c>
      <c r="AF1405" s="6">
        <f ca="1">$M$1405*$Z$1405</f>
        <v>16423.299910822167</v>
      </c>
      <c r="AG1405" s="6">
        <f>$O$1405*$AA$1405</f>
        <v>33555.445684997852</v>
      </c>
    </row>
    <row r="1406" spans="1:33" ht="11.25" customHeight="1" x14ac:dyDescent="0.25">
      <c r="A1406" s="4" t="s">
        <v>21</v>
      </c>
      <c r="B1406" s="4" t="s">
        <v>44</v>
      </c>
      <c r="C1406" s="4" t="s">
        <v>41</v>
      </c>
      <c r="D1406" s="4" t="s">
        <v>48</v>
      </c>
      <c r="E1406" s="4" t="s">
        <v>25</v>
      </c>
      <c r="F1406" s="4" t="s">
        <v>25</v>
      </c>
      <c r="G1406" s="4" t="s">
        <v>25</v>
      </c>
      <c r="H1406" s="4" t="s">
        <v>36</v>
      </c>
      <c r="I1406" s="5">
        <v>43862</v>
      </c>
      <c r="J1406" s="6">
        <v>15999</v>
      </c>
      <c r="K1406" s="6">
        <v>15999</v>
      </c>
      <c r="L1406" s="6">
        <v>3971.7420000000002</v>
      </c>
      <c r="M1406" s="6">
        <v>3971.7420000000002</v>
      </c>
      <c r="N1406" s="6">
        <v>3971.7420000000002</v>
      </c>
      <c r="O1406" s="6">
        <v>3971.7420000000002</v>
      </c>
      <c r="P1406" s="6">
        <v>0</v>
      </c>
      <c r="Q1406" s="4" t="s">
        <v>26</v>
      </c>
      <c r="R1406" s="4">
        <v>0</v>
      </c>
      <c r="S1406" s="6">
        <v>32</v>
      </c>
      <c r="T1406" s="6">
        <v>33</v>
      </c>
      <c r="U1406" s="6">
        <v>84</v>
      </c>
      <c r="V1406" s="6">
        <f>IF(ISERROR(VLOOKUP($S$1406,'TAR FIN'!$A$1:$O$120,15,0)),0,VLOOKUP($S$1406,'TAR FIN'!$A$1:$O$120,15,0))</f>
        <v>12.24</v>
      </c>
      <c r="W1406" s="6">
        <f>IF(ISERROR(VLOOKUP($T$1406,'TAR FIN'!$A$1:$O$120,15,0)),0,VLOOKUP($T$1406,'TAR FIN'!$A$1:$O$120,15,0))</f>
        <v>109.75</v>
      </c>
      <c r="X1406" s="6">
        <f>IF(ISERROR(VLOOKUP($U$1406,'TAR FIN'!$A$1:$O$120,15,0)),0,VLOOKUP($U$1406,'TAR FIN'!$A$1:$O$120,15,0))</f>
        <v>256.38</v>
      </c>
      <c r="Y1406" s="6">
        <f ca="1">('TUSD BE'!$AM$40+'TUSD BF'!$AM$40+'TUSD CVA'!$AM$40)*1</f>
        <v>16.00053546174815</v>
      </c>
      <c r="Z1406" s="6">
        <f ca="1">('TUSD BE'!$AM$41+'TUSD BF'!$AM$41+'TUSD CVA'!$AM$41)*1</f>
        <v>112.97896283052546</v>
      </c>
      <c r="AA1406" s="6">
        <f>('TE BE'!$AA$14+'TE BF'!$AA$14+'TE CVA'!$AA$14)*1</f>
        <v>230.83420940933817</v>
      </c>
      <c r="AB1406" s="6">
        <f>$K$1406*$V$1406</f>
        <v>195827.76</v>
      </c>
      <c r="AC1406" s="6">
        <f>$M$1406*$W$1406</f>
        <v>435898.68450000003</v>
      </c>
      <c r="AD1406" s="6">
        <f>$O$1406*$X$1406</f>
        <v>1018275.2139600001</v>
      </c>
      <c r="AE1406" s="6">
        <f ca="1">$K$1406*$Y$1406</f>
        <v>255992.56685250867</v>
      </c>
      <c r="AF1406" s="6">
        <f ca="1">$M$1406*$Z$1406</f>
        <v>448723.2917904369</v>
      </c>
      <c r="AG1406" s="6">
        <f>$O$1406*$AA$1406</f>
        <v>916813.92454786366</v>
      </c>
    </row>
    <row r="1407" spans="1:33" ht="11.25" customHeight="1" x14ac:dyDescent="0.25">
      <c r="A1407" s="4" t="s">
        <v>27</v>
      </c>
      <c r="B1407" s="4" t="s">
        <v>44</v>
      </c>
      <c r="C1407" s="4" t="s">
        <v>41</v>
      </c>
      <c r="D1407" s="4" t="s">
        <v>48</v>
      </c>
      <c r="E1407" s="4" t="s">
        <v>25</v>
      </c>
      <c r="F1407" s="4" t="s">
        <v>25</v>
      </c>
      <c r="G1407" s="4" t="s">
        <v>25</v>
      </c>
      <c r="H1407" s="4" t="s">
        <v>36</v>
      </c>
      <c r="I1407" s="5">
        <v>43862</v>
      </c>
      <c r="J1407" s="6">
        <v>436</v>
      </c>
      <c r="K1407" s="6">
        <v>436</v>
      </c>
      <c r="L1407" s="6">
        <v>150.876</v>
      </c>
      <c r="M1407" s="6">
        <v>150.876</v>
      </c>
      <c r="N1407" s="6">
        <v>150.876</v>
      </c>
      <c r="O1407" s="6">
        <v>150.876</v>
      </c>
      <c r="P1407" s="6">
        <v>0</v>
      </c>
      <c r="Q1407" s="4" t="s">
        <v>26</v>
      </c>
      <c r="R1407" s="4">
        <v>0</v>
      </c>
      <c r="S1407" s="6">
        <v>32</v>
      </c>
      <c r="T1407" s="6">
        <v>33</v>
      </c>
      <c r="U1407" s="6">
        <v>84</v>
      </c>
      <c r="V1407" s="6">
        <f>IF(ISERROR(VLOOKUP($S$1407,'TAR FIN'!$A$1:$O$120,15,0)),0,VLOOKUP($S$1407,'TAR FIN'!$A$1:$O$120,15,0))</f>
        <v>12.24</v>
      </c>
      <c r="W1407" s="6">
        <f>IF(ISERROR(VLOOKUP($T$1407,'TAR FIN'!$A$1:$O$120,15,0)),0,VLOOKUP($T$1407,'TAR FIN'!$A$1:$O$120,15,0))</f>
        <v>109.75</v>
      </c>
      <c r="X1407" s="6">
        <f>IF(ISERROR(VLOOKUP($U$1407,'TAR FIN'!$A$1:$O$120,15,0)),0,VLOOKUP($U$1407,'TAR FIN'!$A$1:$O$120,15,0))</f>
        <v>256.38</v>
      </c>
      <c r="Y1407" s="6">
        <f ca="1">('TUSD BE'!$AM$40+'TUSD BF'!$AM$40+'TUSD CVA'!$AM$40)*1</f>
        <v>16.00053546174815</v>
      </c>
      <c r="Z1407" s="6">
        <f ca="1">('TUSD BE'!$AM$41+'TUSD BF'!$AM$41+'TUSD CVA'!$AM$41)*1</f>
        <v>112.97896283052546</v>
      </c>
      <c r="AA1407" s="6">
        <f>('TE BE'!$AA$14+'TE BF'!$AA$14+'TE CVA'!$AA$14)*1</f>
        <v>230.83420940933817</v>
      </c>
      <c r="AB1407" s="6">
        <f>$K$1407*$V$1407</f>
        <v>5336.64</v>
      </c>
      <c r="AC1407" s="6">
        <f>$M$1407*$W$1407</f>
        <v>16558.641</v>
      </c>
      <c r="AD1407" s="6">
        <f>$O$1407*$X$1407</f>
        <v>38681.588880000003</v>
      </c>
      <c r="AE1407" s="6">
        <f ca="1">$K$1407*$Y$1407</f>
        <v>6976.2334613221938</v>
      </c>
      <c r="AF1407" s="6">
        <f ca="1">$M$1407*$Z$1407</f>
        <v>17045.813996018362</v>
      </c>
      <c r="AG1407" s="6">
        <f>$O$1407*$AA$1407</f>
        <v>34827.342178843304</v>
      </c>
    </row>
    <row r="1408" spans="1:33" ht="11.25" customHeight="1" x14ac:dyDescent="0.25">
      <c r="A1408" s="4" t="s">
        <v>21</v>
      </c>
      <c r="B1408" s="4" t="s">
        <v>44</v>
      </c>
      <c r="C1408" s="4" t="s">
        <v>41</v>
      </c>
      <c r="D1408" s="4" t="s">
        <v>48</v>
      </c>
      <c r="E1408" s="4" t="s">
        <v>25</v>
      </c>
      <c r="F1408" s="4" t="s">
        <v>25</v>
      </c>
      <c r="G1408" s="4" t="s">
        <v>25</v>
      </c>
      <c r="H1408" s="4" t="s">
        <v>36</v>
      </c>
      <c r="I1408" s="5">
        <v>43891</v>
      </c>
      <c r="J1408" s="6">
        <v>15936</v>
      </c>
      <c r="K1408" s="6">
        <v>15936</v>
      </c>
      <c r="L1408" s="6">
        <v>3540.556</v>
      </c>
      <c r="M1408" s="6">
        <v>3540.556</v>
      </c>
      <c r="N1408" s="6">
        <v>3540.556</v>
      </c>
      <c r="O1408" s="6">
        <v>3540.556</v>
      </c>
      <c r="P1408" s="6">
        <v>0</v>
      </c>
      <c r="Q1408" s="4" t="s">
        <v>26</v>
      </c>
      <c r="R1408" s="4">
        <v>0</v>
      </c>
      <c r="S1408" s="6">
        <v>32</v>
      </c>
      <c r="T1408" s="6">
        <v>33</v>
      </c>
      <c r="U1408" s="6">
        <v>84</v>
      </c>
      <c r="V1408" s="6">
        <f>IF(ISERROR(VLOOKUP($S$1408,'TAR FIN'!$A$1:$O$120,15,0)),0,VLOOKUP($S$1408,'TAR FIN'!$A$1:$O$120,15,0))</f>
        <v>12.24</v>
      </c>
      <c r="W1408" s="6">
        <f>IF(ISERROR(VLOOKUP($T$1408,'TAR FIN'!$A$1:$O$120,15,0)),0,VLOOKUP($T$1408,'TAR FIN'!$A$1:$O$120,15,0))</f>
        <v>109.75</v>
      </c>
      <c r="X1408" s="6">
        <f>IF(ISERROR(VLOOKUP($U$1408,'TAR FIN'!$A$1:$O$120,15,0)),0,VLOOKUP($U$1408,'TAR FIN'!$A$1:$O$120,15,0))</f>
        <v>256.38</v>
      </c>
      <c r="Y1408" s="6">
        <f ca="1">('TUSD BE'!$AM$40+'TUSD BF'!$AM$40+'TUSD CVA'!$AM$40)*1</f>
        <v>16.00053546174815</v>
      </c>
      <c r="Z1408" s="6">
        <f ca="1">('TUSD BE'!$AM$41+'TUSD BF'!$AM$41+'TUSD CVA'!$AM$41)*1</f>
        <v>112.97896283052546</v>
      </c>
      <c r="AA1408" s="6">
        <f>('TE BE'!$AA$14+'TE BF'!$AA$14+'TE CVA'!$AA$14)*1</f>
        <v>230.83420940933817</v>
      </c>
      <c r="AB1408" s="6">
        <f>$K$1408*$V$1408</f>
        <v>195056.64000000001</v>
      </c>
      <c r="AC1408" s="6">
        <f>$M$1408*$W$1408</f>
        <v>388576.02100000001</v>
      </c>
      <c r="AD1408" s="6">
        <f>$O$1408*$X$1408</f>
        <v>907727.74728000001</v>
      </c>
      <c r="AE1408" s="6">
        <f ca="1">$K$1408*$Y$1408</f>
        <v>254984.53311841853</v>
      </c>
      <c r="AF1408" s="6">
        <f ca="1">$M$1408*$Z$1408</f>
        <v>400008.34472339391</v>
      </c>
      <c r="AG1408" s="6">
        <f>$O$1408*$AA$1408</f>
        <v>817281.44512948871</v>
      </c>
    </row>
    <row r="1409" spans="1:33" ht="11.25" customHeight="1" x14ac:dyDescent="0.25">
      <c r="A1409" s="4" t="s">
        <v>27</v>
      </c>
      <c r="B1409" s="4" t="s">
        <v>44</v>
      </c>
      <c r="C1409" s="4" t="s">
        <v>41</v>
      </c>
      <c r="D1409" s="4" t="s">
        <v>48</v>
      </c>
      <c r="E1409" s="4" t="s">
        <v>25</v>
      </c>
      <c r="F1409" s="4" t="s">
        <v>25</v>
      </c>
      <c r="G1409" s="4" t="s">
        <v>25</v>
      </c>
      <c r="H1409" s="4" t="s">
        <v>36</v>
      </c>
      <c r="I1409" s="5">
        <v>43891</v>
      </c>
      <c r="J1409" s="6">
        <v>436</v>
      </c>
      <c r="K1409" s="6">
        <v>436</v>
      </c>
      <c r="L1409" s="6">
        <v>137.34899999999999</v>
      </c>
      <c r="M1409" s="6">
        <v>137.34899999999999</v>
      </c>
      <c r="N1409" s="6">
        <v>137.34899999999999</v>
      </c>
      <c r="O1409" s="6">
        <v>137.34899999999999</v>
      </c>
      <c r="P1409" s="6">
        <v>0</v>
      </c>
      <c r="Q1409" s="4" t="s">
        <v>26</v>
      </c>
      <c r="R1409" s="4">
        <v>0</v>
      </c>
      <c r="S1409" s="6">
        <v>32</v>
      </c>
      <c r="T1409" s="6">
        <v>33</v>
      </c>
      <c r="U1409" s="6">
        <v>84</v>
      </c>
      <c r="V1409" s="6">
        <f>IF(ISERROR(VLOOKUP($S$1409,'TAR FIN'!$A$1:$O$120,15,0)),0,VLOOKUP($S$1409,'TAR FIN'!$A$1:$O$120,15,0))</f>
        <v>12.24</v>
      </c>
      <c r="W1409" s="6">
        <f>IF(ISERROR(VLOOKUP($T$1409,'TAR FIN'!$A$1:$O$120,15,0)),0,VLOOKUP($T$1409,'TAR FIN'!$A$1:$O$120,15,0))</f>
        <v>109.75</v>
      </c>
      <c r="X1409" s="6">
        <f>IF(ISERROR(VLOOKUP($U$1409,'TAR FIN'!$A$1:$O$120,15,0)),0,VLOOKUP($U$1409,'TAR FIN'!$A$1:$O$120,15,0))</f>
        <v>256.38</v>
      </c>
      <c r="Y1409" s="6">
        <f ca="1">('TUSD BE'!$AM$40+'TUSD BF'!$AM$40+'TUSD CVA'!$AM$40)*1</f>
        <v>16.00053546174815</v>
      </c>
      <c r="Z1409" s="6">
        <f ca="1">('TUSD BE'!$AM$41+'TUSD BF'!$AM$41+'TUSD CVA'!$AM$41)*1</f>
        <v>112.97896283052546</v>
      </c>
      <c r="AA1409" s="6">
        <f>('TE BE'!$AA$14+'TE BF'!$AA$14+'TE CVA'!$AA$14)*1</f>
        <v>230.83420940933817</v>
      </c>
      <c r="AB1409" s="6">
        <f>$K$1409*$V$1409</f>
        <v>5336.64</v>
      </c>
      <c r="AC1409" s="6">
        <f>$M$1409*$W$1409</f>
        <v>15074.052749999999</v>
      </c>
      <c r="AD1409" s="6">
        <f>$O$1409*$X$1409</f>
        <v>35213.536619999999</v>
      </c>
      <c r="AE1409" s="6">
        <f ca="1">$K$1409*$Y$1409</f>
        <v>6976.2334613221938</v>
      </c>
      <c r="AF1409" s="6">
        <f ca="1">$M$1409*$Z$1409</f>
        <v>15517.54756580984</v>
      </c>
      <c r="AG1409" s="6">
        <f>$O$1409*$AA$1409</f>
        <v>31704.847828163187</v>
      </c>
    </row>
    <row r="1410" spans="1:33" ht="11.25" customHeight="1" x14ac:dyDescent="0.25">
      <c r="A1410" s="4" t="s">
        <v>21</v>
      </c>
      <c r="B1410" s="4" t="s">
        <v>44</v>
      </c>
      <c r="C1410" s="4" t="s">
        <v>41</v>
      </c>
      <c r="D1410" s="4" t="s">
        <v>48</v>
      </c>
      <c r="E1410" s="4" t="s">
        <v>25</v>
      </c>
      <c r="F1410" s="4" t="s">
        <v>25</v>
      </c>
      <c r="G1410" s="4" t="s">
        <v>25</v>
      </c>
      <c r="H1410" s="4" t="s">
        <v>36</v>
      </c>
      <c r="I1410" s="5">
        <v>43922</v>
      </c>
      <c r="J1410" s="6">
        <v>15895</v>
      </c>
      <c r="K1410" s="6">
        <v>15895</v>
      </c>
      <c r="L1410" s="6">
        <v>3357.4780000000001</v>
      </c>
      <c r="M1410" s="6">
        <v>3357.4780000000001</v>
      </c>
      <c r="N1410" s="6">
        <v>3357.4780000000001</v>
      </c>
      <c r="O1410" s="6">
        <v>3357.4780000000001</v>
      </c>
      <c r="P1410" s="6">
        <v>0</v>
      </c>
      <c r="Q1410" s="4" t="s">
        <v>26</v>
      </c>
      <c r="R1410" s="4">
        <v>0</v>
      </c>
      <c r="S1410" s="6">
        <v>32</v>
      </c>
      <c r="T1410" s="6">
        <v>33</v>
      </c>
      <c r="U1410" s="6">
        <v>84</v>
      </c>
      <c r="V1410" s="6">
        <f>IF(ISERROR(VLOOKUP($S$1410,'TAR FIN'!$A$1:$O$120,15,0)),0,VLOOKUP($S$1410,'TAR FIN'!$A$1:$O$120,15,0))</f>
        <v>12.24</v>
      </c>
      <c r="W1410" s="6">
        <f>IF(ISERROR(VLOOKUP($T$1410,'TAR FIN'!$A$1:$O$120,15,0)),0,VLOOKUP($T$1410,'TAR FIN'!$A$1:$O$120,15,0))</f>
        <v>109.75</v>
      </c>
      <c r="X1410" s="6">
        <f>IF(ISERROR(VLOOKUP($U$1410,'TAR FIN'!$A$1:$O$120,15,0)),0,VLOOKUP($U$1410,'TAR FIN'!$A$1:$O$120,15,0))</f>
        <v>256.38</v>
      </c>
      <c r="Y1410" s="6">
        <f ca="1">('TUSD BE'!$AM$40+'TUSD BF'!$AM$40+'TUSD CVA'!$AM$40)*1</f>
        <v>16.00053546174815</v>
      </c>
      <c r="Z1410" s="6">
        <f ca="1">('TUSD BE'!$AM$41+'TUSD BF'!$AM$41+'TUSD CVA'!$AM$41)*1</f>
        <v>112.97896283052546</v>
      </c>
      <c r="AA1410" s="6">
        <f>('TE BE'!$AA$14+'TE BF'!$AA$14+'TE CVA'!$AA$14)*1</f>
        <v>230.83420940933817</v>
      </c>
      <c r="AB1410" s="6">
        <f>$K$1410*$V$1410</f>
        <v>194554.80000000002</v>
      </c>
      <c r="AC1410" s="6">
        <f>$M$1410*$W$1410</f>
        <v>368483.21049999999</v>
      </c>
      <c r="AD1410" s="6">
        <f>$O$1410*$X$1410</f>
        <v>860790.20964000002</v>
      </c>
      <c r="AE1410" s="6">
        <f ca="1">$K$1410*$Y$1410</f>
        <v>254328.51116448684</v>
      </c>
      <c r="AF1410" s="6">
        <f ca="1">$M$1410*$Z$1410</f>
        <v>379324.38216630695</v>
      </c>
      <c r="AG1410" s="6">
        <f>$O$1410*$AA$1410</f>
        <v>775020.77973924589</v>
      </c>
    </row>
    <row r="1411" spans="1:33" ht="11.25" customHeight="1" x14ac:dyDescent="0.25">
      <c r="A1411" s="4" t="s">
        <v>27</v>
      </c>
      <c r="B1411" s="4" t="s">
        <v>44</v>
      </c>
      <c r="C1411" s="4" t="s">
        <v>41</v>
      </c>
      <c r="D1411" s="4" t="s">
        <v>48</v>
      </c>
      <c r="E1411" s="4" t="s">
        <v>25</v>
      </c>
      <c r="F1411" s="4" t="s">
        <v>25</v>
      </c>
      <c r="G1411" s="4" t="s">
        <v>25</v>
      </c>
      <c r="H1411" s="4" t="s">
        <v>36</v>
      </c>
      <c r="I1411" s="5">
        <v>43922</v>
      </c>
      <c r="J1411" s="6">
        <v>436</v>
      </c>
      <c r="K1411" s="6">
        <v>436</v>
      </c>
      <c r="L1411" s="6">
        <v>142.869</v>
      </c>
      <c r="M1411" s="6">
        <v>142.869</v>
      </c>
      <c r="N1411" s="6">
        <v>142.869</v>
      </c>
      <c r="O1411" s="6">
        <v>142.869</v>
      </c>
      <c r="P1411" s="6">
        <v>0</v>
      </c>
      <c r="Q1411" s="4" t="s">
        <v>26</v>
      </c>
      <c r="R1411" s="4">
        <v>0</v>
      </c>
      <c r="S1411" s="6">
        <v>32</v>
      </c>
      <c r="T1411" s="6">
        <v>33</v>
      </c>
      <c r="U1411" s="6">
        <v>84</v>
      </c>
      <c r="V1411" s="6">
        <f>IF(ISERROR(VLOOKUP($S$1411,'TAR FIN'!$A$1:$O$120,15,0)),0,VLOOKUP($S$1411,'TAR FIN'!$A$1:$O$120,15,0))</f>
        <v>12.24</v>
      </c>
      <c r="W1411" s="6">
        <f>IF(ISERROR(VLOOKUP($T$1411,'TAR FIN'!$A$1:$O$120,15,0)),0,VLOOKUP($T$1411,'TAR FIN'!$A$1:$O$120,15,0))</f>
        <v>109.75</v>
      </c>
      <c r="X1411" s="6">
        <f>IF(ISERROR(VLOOKUP($U$1411,'TAR FIN'!$A$1:$O$120,15,0)),0,VLOOKUP($U$1411,'TAR FIN'!$A$1:$O$120,15,0))</f>
        <v>256.38</v>
      </c>
      <c r="Y1411" s="6">
        <f ca="1">('TUSD BE'!$AM$40+'TUSD BF'!$AM$40+'TUSD CVA'!$AM$40)*1</f>
        <v>16.00053546174815</v>
      </c>
      <c r="Z1411" s="6">
        <f ca="1">('TUSD BE'!$AM$41+'TUSD BF'!$AM$41+'TUSD CVA'!$AM$41)*1</f>
        <v>112.97896283052546</v>
      </c>
      <c r="AA1411" s="6">
        <f>('TE BE'!$AA$14+'TE BF'!$AA$14+'TE CVA'!$AA$14)*1</f>
        <v>230.83420940933817</v>
      </c>
      <c r="AB1411" s="6">
        <f>$K$1411*$V$1411</f>
        <v>5336.64</v>
      </c>
      <c r="AC1411" s="6">
        <f>$M$1411*$W$1411</f>
        <v>15679.87275</v>
      </c>
      <c r="AD1411" s="6">
        <f>$O$1411*$X$1411</f>
        <v>36628.754220000003</v>
      </c>
      <c r="AE1411" s="6">
        <f ca="1">$K$1411*$Y$1411</f>
        <v>6976.2334613221938</v>
      </c>
      <c r="AF1411" s="6">
        <f ca="1">$M$1411*$Z$1411</f>
        <v>16141.191440634342</v>
      </c>
      <c r="AG1411" s="6">
        <f>$O$1411*$AA$1411</f>
        <v>32979.052664102732</v>
      </c>
    </row>
    <row r="1412" spans="1:33" ht="11.25" customHeight="1" x14ac:dyDescent="0.25">
      <c r="A1412" s="4" t="s">
        <v>21</v>
      </c>
      <c r="B1412" s="4" t="s">
        <v>44</v>
      </c>
      <c r="C1412" s="4" t="s">
        <v>41</v>
      </c>
      <c r="D1412" s="4" t="s">
        <v>48</v>
      </c>
      <c r="E1412" s="4" t="s">
        <v>25</v>
      </c>
      <c r="F1412" s="4" t="s">
        <v>25</v>
      </c>
      <c r="G1412" s="4" t="s">
        <v>25</v>
      </c>
      <c r="H1412" s="4" t="s">
        <v>36</v>
      </c>
      <c r="I1412" s="5">
        <v>43952</v>
      </c>
      <c r="J1412" s="6">
        <v>15502</v>
      </c>
      <c r="K1412" s="6">
        <v>15502</v>
      </c>
      <c r="L1412" s="6">
        <v>2758.002</v>
      </c>
      <c r="M1412" s="6">
        <v>2758.002</v>
      </c>
      <c r="N1412" s="6">
        <v>2758.002</v>
      </c>
      <c r="O1412" s="6">
        <v>2758.002</v>
      </c>
      <c r="P1412" s="6">
        <v>0</v>
      </c>
      <c r="Q1412" s="4" t="s">
        <v>26</v>
      </c>
      <c r="R1412" s="4">
        <v>0</v>
      </c>
      <c r="S1412" s="6">
        <v>32</v>
      </c>
      <c r="T1412" s="6">
        <v>33</v>
      </c>
      <c r="U1412" s="6">
        <v>84</v>
      </c>
      <c r="V1412" s="6">
        <f>IF(ISERROR(VLOOKUP($S$1412,'TAR FIN'!$A$1:$O$120,15,0)),0,VLOOKUP($S$1412,'TAR FIN'!$A$1:$O$120,15,0))</f>
        <v>12.24</v>
      </c>
      <c r="W1412" s="6">
        <f>IF(ISERROR(VLOOKUP($T$1412,'TAR FIN'!$A$1:$O$120,15,0)),0,VLOOKUP($T$1412,'TAR FIN'!$A$1:$O$120,15,0))</f>
        <v>109.75</v>
      </c>
      <c r="X1412" s="6">
        <f>IF(ISERROR(VLOOKUP($U$1412,'TAR FIN'!$A$1:$O$120,15,0)),0,VLOOKUP($U$1412,'TAR FIN'!$A$1:$O$120,15,0))</f>
        <v>256.38</v>
      </c>
      <c r="Y1412" s="6">
        <f ca="1">('TUSD BE'!$AM$40+'TUSD BF'!$AM$40+'TUSD CVA'!$AM$40)*1</f>
        <v>16.00053546174815</v>
      </c>
      <c r="Z1412" s="6">
        <f ca="1">('TUSD BE'!$AM$41+'TUSD BF'!$AM$41+'TUSD CVA'!$AM$41)*1</f>
        <v>112.97896283052546</v>
      </c>
      <c r="AA1412" s="6">
        <f>('TE BE'!$AA$14+'TE BF'!$AA$14+'TE CVA'!$AA$14)*1</f>
        <v>230.83420940933817</v>
      </c>
      <c r="AB1412" s="6">
        <f>$K$1412*$V$1412</f>
        <v>189744.48</v>
      </c>
      <c r="AC1412" s="6">
        <f>$M$1412*$W$1412</f>
        <v>302690.71950000001</v>
      </c>
      <c r="AD1412" s="6">
        <f>$O$1412*$X$1412</f>
        <v>707096.55275999999</v>
      </c>
      <c r="AE1412" s="6">
        <f ca="1">$K$1412*$Y$1412</f>
        <v>248040.30072801982</v>
      </c>
      <c r="AF1412" s="6">
        <f ca="1">$M$1412*$Z$1412</f>
        <v>311596.20544451487</v>
      </c>
      <c r="AG1412" s="6">
        <f>$O$1412*$AA$1412</f>
        <v>636641.21121937351</v>
      </c>
    </row>
    <row r="1413" spans="1:33" ht="11.25" customHeight="1" x14ac:dyDescent="0.25">
      <c r="A1413" s="4" t="s">
        <v>27</v>
      </c>
      <c r="B1413" s="4" t="s">
        <v>44</v>
      </c>
      <c r="C1413" s="4" t="s">
        <v>41</v>
      </c>
      <c r="D1413" s="4" t="s">
        <v>48</v>
      </c>
      <c r="E1413" s="4" t="s">
        <v>25</v>
      </c>
      <c r="F1413" s="4" t="s">
        <v>25</v>
      </c>
      <c r="G1413" s="4" t="s">
        <v>25</v>
      </c>
      <c r="H1413" s="4" t="s">
        <v>36</v>
      </c>
      <c r="I1413" s="5">
        <v>43952</v>
      </c>
      <c r="J1413" s="6">
        <v>436</v>
      </c>
      <c r="K1413" s="6">
        <v>436</v>
      </c>
      <c r="L1413" s="6">
        <v>143.10300000000001</v>
      </c>
      <c r="M1413" s="6">
        <v>143.10300000000001</v>
      </c>
      <c r="N1413" s="6">
        <v>143.10300000000001</v>
      </c>
      <c r="O1413" s="6">
        <v>143.10300000000001</v>
      </c>
      <c r="P1413" s="6">
        <v>0</v>
      </c>
      <c r="Q1413" s="4" t="s">
        <v>26</v>
      </c>
      <c r="R1413" s="4">
        <v>0</v>
      </c>
      <c r="S1413" s="6">
        <v>32</v>
      </c>
      <c r="T1413" s="6">
        <v>33</v>
      </c>
      <c r="U1413" s="6">
        <v>84</v>
      </c>
      <c r="V1413" s="6">
        <f>IF(ISERROR(VLOOKUP($S$1413,'TAR FIN'!$A$1:$O$120,15,0)),0,VLOOKUP($S$1413,'TAR FIN'!$A$1:$O$120,15,0))</f>
        <v>12.24</v>
      </c>
      <c r="W1413" s="6">
        <f>IF(ISERROR(VLOOKUP($T$1413,'TAR FIN'!$A$1:$O$120,15,0)),0,VLOOKUP($T$1413,'TAR FIN'!$A$1:$O$120,15,0))</f>
        <v>109.75</v>
      </c>
      <c r="X1413" s="6">
        <f>IF(ISERROR(VLOOKUP($U$1413,'TAR FIN'!$A$1:$O$120,15,0)),0,VLOOKUP($U$1413,'TAR FIN'!$A$1:$O$120,15,0))</f>
        <v>256.38</v>
      </c>
      <c r="Y1413" s="6">
        <f ca="1">('TUSD BE'!$AM$40+'TUSD BF'!$AM$40+'TUSD CVA'!$AM$40)*1</f>
        <v>16.00053546174815</v>
      </c>
      <c r="Z1413" s="6">
        <f ca="1">('TUSD BE'!$AM$41+'TUSD BF'!$AM$41+'TUSD CVA'!$AM$41)*1</f>
        <v>112.97896283052546</v>
      </c>
      <c r="AA1413" s="6">
        <f>('TE BE'!$AA$14+'TE BF'!$AA$14+'TE CVA'!$AA$14)*1</f>
        <v>230.83420940933817</v>
      </c>
      <c r="AB1413" s="6">
        <f>$K$1413*$V$1413</f>
        <v>5336.64</v>
      </c>
      <c r="AC1413" s="6">
        <f>$M$1413*$W$1413</f>
        <v>15705.554250000001</v>
      </c>
      <c r="AD1413" s="6">
        <f>$O$1413*$X$1413</f>
        <v>36688.747139999999</v>
      </c>
      <c r="AE1413" s="6">
        <f ca="1">$K$1413*$Y$1413</f>
        <v>6976.2334613221938</v>
      </c>
      <c r="AF1413" s="6">
        <f ca="1">$M$1413*$Z$1413</f>
        <v>16167.628517936686</v>
      </c>
      <c r="AG1413" s="6">
        <f>$O$1413*$AA$1413</f>
        <v>33033.067869104525</v>
      </c>
    </row>
    <row r="1414" spans="1:33" ht="11.25" customHeight="1" x14ac:dyDescent="0.25">
      <c r="A1414" s="4" t="s">
        <v>21</v>
      </c>
      <c r="B1414" s="4" t="s">
        <v>44</v>
      </c>
      <c r="C1414" s="4" t="s">
        <v>41</v>
      </c>
      <c r="D1414" s="4" t="s">
        <v>48</v>
      </c>
      <c r="E1414" s="4" t="s">
        <v>25</v>
      </c>
      <c r="F1414" s="4" t="s">
        <v>25</v>
      </c>
      <c r="G1414" s="4" t="s">
        <v>25</v>
      </c>
      <c r="H1414" s="4" t="s">
        <v>36</v>
      </c>
      <c r="I1414" s="5">
        <v>43983</v>
      </c>
      <c r="J1414" s="6">
        <v>13442</v>
      </c>
      <c r="K1414" s="6">
        <v>13442</v>
      </c>
      <c r="L1414" s="6">
        <v>2555.12</v>
      </c>
      <c r="M1414" s="6">
        <v>2555.12</v>
      </c>
      <c r="N1414" s="6">
        <v>2555.12</v>
      </c>
      <c r="O1414" s="6">
        <v>2555.12</v>
      </c>
      <c r="P1414" s="6">
        <v>0</v>
      </c>
      <c r="Q1414" s="4" t="s">
        <v>26</v>
      </c>
      <c r="R1414" s="4">
        <v>0</v>
      </c>
      <c r="S1414" s="6">
        <v>32</v>
      </c>
      <c r="T1414" s="6">
        <v>33</v>
      </c>
      <c r="U1414" s="6">
        <v>84</v>
      </c>
      <c r="V1414" s="6">
        <f>IF(ISERROR(VLOOKUP($S$1414,'TAR FIN'!$A$1:$O$120,15,0)),0,VLOOKUP($S$1414,'TAR FIN'!$A$1:$O$120,15,0))</f>
        <v>12.24</v>
      </c>
      <c r="W1414" s="6">
        <f>IF(ISERROR(VLOOKUP($T$1414,'TAR FIN'!$A$1:$O$120,15,0)),0,VLOOKUP($T$1414,'TAR FIN'!$A$1:$O$120,15,0))</f>
        <v>109.75</v>
      </c>
      <c r="X1414" s="6">
        <f>IF(ISERROR(VLOOKUP($U$1414,'TAR FIN'!$A$1:$O$120,15,0)),0,VLOOKUP($U$1414,'TAR FIN'!$A$1:$O$120,15,0))</f>
        <v>256.38</v>
      </c>
      <c r="Y1414" s="6">
        <f ca="1">('TUSD BE'!$AM$40+'TUSD BF'!$AM$40+'TUSD CVA'!$AM$40)*1</f>
        <v>16.00053546174815</v>
      </c>
      <c r="Z1414" s="6">
        <f ca="1">('TUSD BE'!$AM$41+'TUSD BF'!$AM$41+'TUSD CVA'!$AM$41)*1</f>
        <v>112.97896283052546</v>
      </c>
      <c r="AA1414" s="6">
        <f>('TE BE'!$AA$14+'TE BF'!$AA$14+'TE CVA'!$AA$14)*1</f>
        <v>230.83420940933817</v>
      </c>
      <c r="AB1414" s="6">
        <f>$K$1414*$V$1414</f>
        <v>164530.08000000002</v>
      </c>
      <c r="AC1414" s="6">
        <f>$M$1414*$W$1414</f>
        <v>280424.42</v>
      </c>
      <c r="AD1414" s="6">
        <f>$O$1414*$X$1414</f>
        <v>655081.66559999995</v>
      </c>
      <c r="AE1414" s="6">
        <f ca="1">$K$1414*$Y$1414</f>
        <v>215079.19767681864</v>
      </c>
      <c r="AF1414" s="6">
        <f ca="1">$M$1414*$Z$1414</f>
        <v>288674.80750753218</v>
      </c>
      <c r="AG1414" s="6">
        <f>$O$1414*$AA$1414</f>
        <v>589809.10514598817</v>
      </c>
    </row>
    <row r="1415" spans="1:33" ht="11.25" customHeight="1" x14ac:dyDescent="0.25">
      <c r="A1415" s="4" t="s">
        <v>27</v>
      </c>
      <c r="B1415" s="4" t="s">
        <v>44</v>
      </c>
      <c r="C1415" s="4" t="s">
        <v>41</v>
      </c>
      <c r="D1415" s="4" t="s">
        <v>48</v>
      </c>
      <c r="E1415" s="4" t="s">
        <v>25</v>
      </c>
      <c r="F1415" s="4" t="s">
        <v>25</v>
      </c>
      <c r="G1415" s="4" t="s">
        <v>25</v>
      </c>
      <c r="H1415" s="4" t="s">
        <v>36</v>
      </c>
      <c r="I1415" s="5">
        <v>43983</v>
      </c>
      <c r="J1415" s="6">
        <v>1836</v>
      </c>
      <c r="K1415" s="6">
        <v>1836</v>
      </c>
      <c r="L1415" s="6">
        <v>261.637</v>
      </c>
      <c r="M1415" s="6">
        <v>261.637</v>
      </c>
      <c r="N1415" s="6">
        <v>261.637</v>
      </c>
      <c r="O1415" s="6">
        <v>261.637</v>
      </c>
      <c r="P1415" s="6">
        <v>0</v>
      </c>
      <c r="Q1415" s="4" t="s">
        <v>26</v>
      </c>
      <c r="R1415" s="4">
        <v>0</v>
      </c>
      <c r="S1415" s="6">
        <v>32</v>
      </c>
      <c r="T1415" s="6">
        <v>33</v>
      </c>
      <c r="U1415" s="6">
        <v>84</v>
      </c>
      <c r="V1415" s="6">
        <f>IF(ISERROR(VLOOKUP($S$1415,'TAR FIN'!$A$1:$O$120,15,0)),0,VLOOKUP($S$1415,'TAR FIN'!$A$1:$O$120,15,0))</f>
        <v>12.24</v>
      </c>
      <c r="W1415" s="6">
        <f>IF(ISERROR(VLOOKUP($T$1415,'TAR FIN'!$A$1:$O$120,15,0)),0,VLOOKUP($T$1415,'TAR FIN'!$A$1:$O$120,15,0))</f>
        <v>109.75</v>
      </c>
      <c r="X1415" s="6">
        <f>IF(ISERROR(VLOOKUP($U$1415,'TAR FIN'!$A$1:$O$120,15,0)),0,VLOOKUP($U$1415,'TAR FIN'!$A$1:$O$120,15,0))</f>
        <v>256.38</v>
      </c>
      <c r="Y1415" s="6">
        <f ca="1">('TUSD BE'!$AM$40+'TUSD BF'!$AM$40+'TUSD CVA'!$AM$40)*1</f>
        <v>16.00053546174815</v>
      </c>
      <c r="Z1415" s="6">
        <f ca="1">('TUSD BE'!$AM$41+'TUSD BF'!$AM$41+'TUSD CVA'!$AM$41)*1</f>
        <v>112.97896283052546</v>
      </c>
      <c r="AA1415" s="6">
        <f>('TE BE'!$AA$14+'TE BF'!$AA$14+'TE CVA'!$AA$14)*1</f>
        <v>230.83420940933817</v>
      </c>
      <c r="AB1415" s="6">
        <f>$K$1415*$V$1415</f>
        <v>22472.639999999999</v>
      </c>
      <c r="AC1415" s="6">
        <f>$M$1415*$W$1415</f>
        <v>28714.660749999999</v>
      </c>
      <c r="AD1415" s="6">
        <f>$O$1415*$X$1415</f>
        <v>67078.494059999997</v>
      </c>
      <c r="AE1415" s="6">
        <f ca="1">$K$1415*$Y$1415</f>
        <v>29376.983107769604</v>
      </c>
      <c r="AF1415" s="6">
        <f ca="1">$M$1415*$Z$1415</f>
        <v>29559.47689809019</v>
      </c>
      <c r="AG1415" s="6">
        <f>$O$1415*$AA$1415</f>
        <v>60394.77004723101</v>
      </c>
    </row>
    <row r="1416" spans="1:33" ht="11.25" customHeight="1" x14ac:dyDescent="0.25">
      <c r="A1416" s="4" t="s">
        <v>21</v>
      </c>
      <c r="B1416" s="4" t="s">
        <v>44</v>
      </c>
      <c r="C1416" s="4" t="s">
        <v>41</v>
      </c>
      <c r="D1416" s="4" t="s">
        <v>48</v>
      </c>
      <c r="E1416" s="4" t="s">
        <v>25</v>
      </c>
      <c r="F1416" s="4" t="s">
        <v>25</v>
      </c>
      <c r="G1416" s="4" t="s">
        <v>25</v>
      </c>
      <c r="H1416" s="4" t="s">
        <v>36</v>
      </c>
      <c r="I1416" s="5">
        <v>44013</v>
      </c>
      <c r="J1416" s="6">
        <v>14142</v>
      </c>
      <c r="K1416" s="6">
        <v>14142</v>
      </c>
      <c r="L1416" s="6">
        <v>2355.8420000000001</v>
      </c>
      <c r="M1416" s="6">
        <v>2355.8420000000001</v>
      </c>
      <c r="N1416" s="6">
        <v>2355.8420000000001</v>
      </c>
      <c r="O1416" s="6">
        <v>2355.8420000000001</v>
      </c>
      <c r="P1416" s="6">
        <v>0</v>
      </c>
      <c r="Q1416" s="4" t="s">
        <v>26</v>
      </c>
      <c r="R1416" s="4">
        <v>0</v>
      </c>
      <c r="S1416" s="6">
        <v>32</v>
      </c>
      <c r="T1416" s="6">
        <v>33</v>
      </c>
      <c r="U1416" s="6">
        <v>84</v>
      </c>
      <c r="V1416" s="6">
        <f>IF(ISERROR(VLOOKUP($S$1416,'TAR FIN'!$A$1:$O$120,15,0)),0,VLOOKUP($S$1416,'TAR FIN'!$A$1:$O$120,15,0))</f>
        <v>12.24</v>
      </c>
      <c r="W1416" s="6">
        <f>IF(ISERROR(VLOOKUP($T$1416,'TAR FIN'!$A$1:$O$120,15,0)),0,VLOOKUP($T$1416,'TAR FIN'!$A$1:$O$120,15,0))</f>
        <v>109.75</v>
      </c>
      <c r="X1416" s="6">
        <f>IF(ISERROR(VLOOKUP($U$1416,'TAR FIN'!$A$1:$O$120,15,0)),0,VLOOKUP($U$1416,'TAR FIN'!$A$1:$O$120,15,0))</f>
        <v>256.38</v>
      </c>
      <c r="Y1416" s="6">
        <f ca="1">('TUSD BE'!$AM$40+'TUSD BF'!$AM$40+'TUSD CVA'!$AM$40)*1</f>
        <v>16.00053546174815</v>
      </c>
      <c r="Z1416" s="6">
        <f ca="1">('TUSD BE'!$AM$41+'TUSD BF'!$AM$41+'TUSD CVA'!$AM$41)*1</f>
        <v>112.97896283052546</v>
      </c>
      <c r="AA1416" s="6">
        <f>('TE BE'!$AA$14+'TE BF'!$AA$14+'TE CVA'!$AA$14)*1</f>
        <v>230.83420940933817</v>
      </c>
      <c r="AB1416" s="6">
        <f>$K$1416*$V$1416</f>
        <v>173098.08000000002</v>
      </c>
      <c r="AC1416" s="6">
        <f>$M$1416*$W$1416</f>
        <v>258553.65950000001</v>
      </c>
      <c r="AD1416" s="6">
        <f>$O$1416*$X$1416</f>
        <v>603990.77196000004</v>
      </c>
      <c r="AE1416" s="6">
        <f ca="1">$K$1416*$Y$1416</f>
        <v>226279.57250004233</v>
      </c>
      <c r="AF1416" s="6">
        <f ca="1">$M$1416*$Z$1416</f>
        <v>266160.58575259079</v>
      </c>
      <c r="AG1416" s="6">
        <f>$O$1416*$AA$1416</f>
        <v>543808.92556331411</v>
      </c>
    </row>
    <row r="1417" spans="1:33" ht="11.25" customHeight="1" x14ac:dyDescent="0.25">
      <c r="A1417" s="4" t="s">
        <v>27</v>
      </c>
      <c r="B1417" s="4" t="s">
        <v>44</v>
      </c>
      <c r="C1417" s="4" t="s">
        <v>41</v>
      </c>
      <c r="D1417" s="4" t="s">
        <v>48</v>
      </c>
      <c r="E1417" s="4" t="s">
        <v>25</v>
      </c>
      <c r="F1417" s="4" t="s">
        <v>25</v>
      </c>
      <c r="G1417" s="4" t="s">
        <v>25</v>
      </c>
      <c r="H1417" s="4" t="s">
        <v>36</v>
      </c>
      <c r="I1417" s="5">
        <v>44013</v>
      </c>
      <c r="J1417" s="6">
        <v>436</v>
      </c>
      <c r="K1417" s="6">
        <v>436</v>
      </c>
      <c r="L1417" s="6">
        <v>58.287999999999997</v>
      </c>
      <c r="M1417" s="6">
        <v>58.287999999999997</v>
      </c>
      <c r="N1417" s="6">
        <v>58.287999999999997</v>
      </c>
      <c r="O1417" s="6">
        <v>58.287999999999997</v>
      </c>
      <c r="P1417" s="6">
        <v>0</v>
      </c>
      <c r="Q1417" s="4" t="s">
        <v>26</v>
      </c>
      <c r="R1417" s="4">
        <v>0</v>
      </c>
      <c r="S1417" s="6">
        <v>32</v>
      </c>
      <c r="T1417" s="6">
        <v>33</v>
      </c>
      <c r="U1417" s="6">
        <v>84</v>
      </c>
      <c r="V1417" s="6">
        <f>IF(ISERROR(VLOOKUP($S$1417,'TAR FIN'!$A$1:$O$120,15,0)),0,VLOOKUP($S$1417,'TAR FIN'!$A$1:$O$120,15,0))</f>
        <v>12.24</v>
      </c>
      <c r="W1417" s="6">
        <f>IF(ISERROR(VLOOKUP($T$1417,'TAR FIN'!$A$1:$O$120,15,0)),0,VLOOKUP($T$1417,'TAR FIN'!$A$1:$O$120,15,0))</f>
        <v>109.75</v>
      </c>
      <c r="X1417" s="6">
        <f>IF(ISERROR(VLOOKUP($U$1417,'TAR FIN'!$A$1:$O$120,15,0)),0,VLOOKUP($U$1417,'TAR FIN'!$A$1:$O$120,15,0))</f>
        <v>256.38</v>
      </c>
      <c r="Y1417" s="6">
        <f ca="1">('TUSD BE'!$AM$40+'TUSD BF'!$AM$40+'TUSD CVA'!$AM$40)*1</f>
        <v>16.00053546174815</v>
      </c>
      <c r="Z1417" s="6">
        <f ca="1">('TUSD BE'!$AM$41+'TUSD BF'!$AM$41+'TUSD CVA'!$AM$41)*1</f>
        <v>112.97896283052546</v>
      </c>
      <c r="AA1417" s="6">
        <f>('TE BE'!$AA$14+'TE BF'!$AA$14+'TE CVA'!$AA$14)*1</f>
        <v>230.83420940933817</v>
      </c>
      <c r="AB1417" s="6">
        <f>$K$1417*$V$1417</f>
        <v>5336.64</v>
      </c>
      <c r="AC1417" s="6">
        <f>$M$1417*$W$1417</f>
        <v>6397.1079999999993</v>
      </c>
      <c r="AD1417" s="6">
        <f>$O$1417*$X$1417</f>
        <v>14943.877439999998</v>
      </c>
      <c r="AE1417" s="6">
        <f ca="1">$K$1417*$Y$1417</f>
        <v>6976.2334613221938</v>
      </c>
      <c r="AF1417" s="6">
        <f ca="1">$M$1417*$Z$1417</f>
        <v>6585.3177854656678</v>
      </c>
      <c r="AG1417" s="6">
        <f>$O$1417*$AA$1417</f>
        <v>13454.864398051503</v>
      </c>
    </row>
    <row r="1418" spans="1:33" ht="11.25" customHeight="1" x14ac:dyDescent="0.25">
      <c r="A1418" s="4" t="s">
        <v>21</v>
      </c>
      <c r="B1418" s="4" t="s">
        <v>44</v>
      </c>
      <c r="C1418" s="4" t="s">
        <v>41</v>
      </c>
      <c r="D1418" s="4" t="s">
        <v>48</v>
      </c>
      <c r="E1418" s="4" t="s">
        <v>25</v>
      </c>
      <c r="F1418" s="4" t="s">
        <v>25</v>
      </c>
      <c r="G1418" s="4" t="s">
        <v>25</v>
      </c>
      <c r="H1418" s="4" t="s">
        <v>36</v>
      </c>
      <c r="I1418" s="5">
        <v>44044</v>
      </c>
      <c r="J1418" s="6">
        <v>14142</v>
      </c>
      <c r="K1418" s="6">
        <v>14142</v>
      </c>
      <c r="L1418" s="6">
        <v>2415.0929999999998</v>
      </c>
      <c r="M1418" s="6">
        <v>2415.0929999999998</v>
      </c>
      <c r="N1418" s="6">
        <v>2415.0929999999998</v>
      </c>
      <c r="O1418" s="6">
        <v>2415.0929999999998</v>
      </c>
      <c r="P1418" s="6">
        <v>0</v>
      </c>
      <c r="Q1418" s="4" t="s">
        <v>26</v>
      </c>
      <c r="R1418" s="4">
        <v>0</v>
      </c>
      <c r="S1418" s="6">
        <v>32</v>
      </c>
      <c r="T1418" s="6">
        <v>33</v>
      </c>
      <c r="U1418" s="6">
        <v>84</v>
      </c>
      <c r="V1418" s="6">
        <f>IF(ISERROR(VLOOKUP($S$1418,'TAR FIN'!$A$1:$O$120,15,0)),0,VLOOKUP($S$1418,'TAR FIN'!$A$1:$O$120,15,0))</f>
        <v>12.24</v>
      </c>
      <c r="W1418" s="6">
        <f>IF(ISERROR(VLOOKUP($T$1418,'TAR FIN'!$A$1:$O$120,15,0)),0,VLOOKUP($T$1418,'TAR FIN'!$A$1:$O$120,15,0))</f>
        <v>109.75</v>
      </c>
      <c r="X1418" s="6">
        <f>IF(ISERROR(VLOOKUP($U$1418,'TAR FIN'!$A$1:$O$120,15,0)),0,VLOOKUP($U$1418,'TAR FIN'!$A$1:$O$120,15,0))</f>
        <v>256.38</v>
      </c>
      <c r="Y1418" s="6">
        <f ca="1">('TUSD BE'!$AM$40+'TUSD BF'!$AM$40+'TUSD CVA'!$AM$40)*1</f>
        <v>16.00053546174815</v>
      </c>
      <c r="Z1418" s="6">
        <f ca="1">('TUSD BE'!$AM$41+'TUSD BF'!$AM$41+'TUSD CVA'!$AM$41)*1</f>
        <v>112.97896283052546</v>
      </c>
      <c r="AA1418" s="6">
        <f>('TE BE'!$AA$14+'TE BF'!$AA$14+'TE CVA'!$AA$14)*1</f>
        <v>230.83420940933817</v>
      </c>
      <c r="AB1418" s="6">
        <f>$K$1418*$V$1418</f>
        <v>173098.08000000002</v>
      </c>
      <c r="AC1418" s="6">
        <f>$M$1418*$W$1418</f>
        <v>265056.45675000001</v>
      </c>
      <c r="AD1418" s="6">
        <f>$O$1418*$X$1418</f>
        <v>619181.54333999997</v>
      </c>
      <c r="AE1418" s="6">
        <f ca="1">$K$1418*$Y$1418</f>
        <v>226279.57250004233</v>
      </c>
      <c r="AF1418" s="6">
        <f ca="1">$M$1418*$Z$1418</f>
        <v>272854.70227926219</v>
      </c>
      <c r="AG1418" s="6">
        <f>$O$1418*$AA$1418</f>
        <v>557486.08330502675</v>
      </c>
    </row>
    <row r="1419" spans="1:33" ht="11.25" customHeight="1" x14ac:dyDescent="0.25">
      <c r="A1419" s="4" t="s">
        <v>27</v>
      </c>
      <c r="B1419" s="4" t="s">
        <v>44</v>
      </c>
      <c r="C1419" s="4" t="s">
        <v>41</v>
      </c>
      <c r="D1419" s="4" t="s">
        <v>48</v>
      </c>
      <c r="E1419" s="4" t="s">
        <v>25</v>
      </c>
      <c r="F1419" s="4" t="s">
        <v>25</v>
      </c>
      <c r="G1419" s="4" t="s">
        <v>25</v>
      </c>
      <c r="H1419" s="4" t="s">
        <v>36</v>
      </c>
      <c r="I1419" s="5">
        <v>44044</v>
      </c>
      <c r="J1419" s="6">
        <v>436</v>
      </c>
      <c r="K1419" s="6">
        <v>436</v>
      </c>
      <c r="L1419" s="6">
        <v>137.18199999999999</v>
      </c>
      <c r="M1419" s="6">
        <v>137.18199999999999</v>
      </c>
      <c r="N1419" s="6">
        <v>137.18199999999999</v>
      </c>
      <c r="O1419" s="6">
        <v>137.18199999999999</v>
      </c>
      <c r="P1419" s="6">
        <v>0</v>
      </c>
      <c r="Q1419" s="4" t="s">
        <v>26</v>
      </c>
      <c r="R1419" s="4">
        <v>0</v>
      </c>
      <c r="S1419" s="6">
        <v>32</v>
      </c>
      <c r="T1419" s="6">
        <v>33</v>
      </c>
      <c r="U1419" s="6">
        <v>84</v>
      </c>
      <c r="V1419" s="6">
        <f>IF(ISERROR(VLOOKUP($S$1419,'TAR FIN'!$A$1:$O$120,15,0)),0,VLOOKUP($S$1419,'TAR FIN'!$A$1:$O$120,15,0))</f>
        <v>12.24</v>
      </c>
      <c r="W1419" s="6">
        <f>IF(ISERROR(VLOOKUP($T$1419,'TAR FIN'!$A$1:$O$120,15,0)),0,VLOOKUP($T$1419,'TAR FIN'!$A$1:$O$120,15,0))</f>
        <v>109.75</v>
      </c>
      <c r="X1419" s="6">
        <f>IF(ISERROR(VLOOKUP($U$1419,'TAR FIN'!$A$1:$O$120,15,0)),0,VLOOKUP($U$1419,'TAR FIN'!$A$1:$O$120,15,0))</f>
        <v>256.38</v>
      </c>
      <c r="Y1419" s="6">
        <f ca="1">('TUSD BE'!$AM$40+'TUSD BF'!$AM$40+'TUSD CVA'!$AM$40)*1</f>
        <v>16.00053546174815</v>
      </c>
      <c r="Z1419" s="6">
        <f ca="1">('TUSD BE'!$AM$41+'TUSD BF'!$AM$41+'TUSD CVA'!$AM$41)*1</f>
        <v>112.97896283052546</v>
      </c>
      <c r="AA1419" s="6">
        <f>('TE BE'!$AA$14+'TE BF'!$AA$14+'TE CVA'!$AA$14)*1</f>
        <v>230.83420940933817</v>
      </c>
      <c r="AB1419" s="6">
        <f>$K$1419*$V$1419</f>
        <v>5336.64</v>
      </c>
      <c r="AC1419" s="6">
        <f>$M$1419*$W$1419</f>
        <v>15055.724499999998</v>
      </c>
      <c r="AD1419" s="6">
        <f>$O$1419*$X$1419</f>
        <v>35170.721159999994</v>
      </c>
      <c r="AE1419" s="6">
        <f ca="1">$K$1419*$Y$1419</f>
        <v>6976.2334613221938</v>
      </c>
      <c r="AF1419" s="6">
        <f ca="1">$M$1419*$Z$1419</f>
        <v>15498.680079017142</v>
      </c>
      <c r="AG1419" s="6">
        <f>$O$1419*$AA$1419</f>
        <v>31666.298515191826</v>
      </c>
    </row>
    <row r="1420" spans="1:33" ht="11.25" customHeight="1" x14ac:dyDescent="0.25">
      <c r="A1420" s="4" t="s">
        <v>59</v>
      </c>
      <c r="B1420" s="4" t="s">
        <v>44</v>
      </c>
      <c r="C1420" s="4" t="s">
        <v>41</v>
      </c>
      <c r="D1420" s="4" t="s">
        <v>48</v>
      </c>
      <c r="E1420" s="4" t="s">
        <v>25</v>
      </c>
      <c r="F1420" s="4" t="s">
        <v>25</v>
      </c>
      <c r="G1420" s="4" t="s">
        <v>25</v>
      </c>
      <c r="H1420" s="4" t="s">
        <v>36</v>
      </c>
      <c r="I1420" s="5">
        <v>44075</v>
      </c>
      <c r="J1420" s="6">
        <v>14142</v>
      </c>
      <c r="K1420" s="6">
        <v>14142</v>
      </c>
      <c r="L1420" s="6">
        <v>2415.0929999999998</v>
      </c>
      <c r="M1420" s="6">
        <v>2415.0929999999998</v>
      </c>
      <c r="N1420" s="6">
        <v>2415.0929999999998</v>
      </c>
      <c r="O1420" s="6">
        <v>2415.0929999999998</v>
      </c>
      <c r="P1420" s="6">
        <v>0</v>
      </c>
      <c r="Q1420" s="4" t="s">
        <v>26</v>
      </c>
      <c r="R1420" s="4">
        <v>0</v>
      </c>
      <c r="S1420" s="6">
        <v>32</v>
      </c>
      <c r="T1420" s="6">
        <v>33</v>
      </c>
      <c r="U1420" s="6">
        <v>84</v>
      </c>
      <c r="V1420" s="6">
        <f>IF(ISERROR(VLOOKUP($S$1420,'TAR FIN'!$A$1:$O$120,15,0)),0,VLOOKUP($S$1420,'TAR FIN'!$A$1:$O$120,15,0))</f>
        <v>12.24</v>
      </c>
      <c r="W1420" s="6">
        <f>IF(ISERROR(VLOOKUP($T$1420,'TAR FIN'!$A$1:$O$120,15,0)),0,VLOOKUP($T$1420,'TAR FIN'!$A$1:$O$120,15,0))</f>
        <v>109.75</v>
      </c>
      <c r="X1420" s="6">
        <f>IF(ISERROR(VLOOKUP($U$1420,'TAR FIN'!$A$1:$O$120,15,0)),0,VLOOKUP($U$1420,'TAR FIN'!$A$1:$O$120,15,0))</f>
        <v>256.38</v>
      </c>
      <c r="Y1420" s="6">
        <f ca="1">('TUSD BE'!$AM$40+'TUSD BF'!$AM$40+'TUSD CVA'!$AM$40)*1</f>
        <v>16.00053546174815</v>
      </c>
      <c r="Z1420" s="6">
        <f ca="1">('TUSD BE'!$AM$41+'TUSD BF'!$AM$41+'TUSD CVA'!$AM$41)*1</f>
        <v>112.97896283052546</v>
      </c>
      <c r="AA1420" s="6">
        <f>('TE BE'!$AA$14+'TE BF'!$AA$14+'TE CVA'!$AA$14)*1</f>
        <v>230.83420940933817</v>
      </c>
      <c r="AB1420" s="6">
        <f>$K$1420*$V$1420</f>
        <v>173098.08000000002</v>
      </c>
      <c r="AC1420" s="6">
        <f>$M$1420*$W$1420</f>
        <v>265056.45675000001</v>
      </c>
      <c r="AD1420" s="6">
        <f>$O$1420*$X$1420</f>
        <v>619181.54333999997</v>
      </c>
      <c r="AE1420" s="6">
        <f ca="1">$K$1420*$Y$1420</f>
        <v>226279.57250004233</v>
      </c>
      <c r="AF1420" s="6">
        <f ca="1">$M$1420*$Z$1420</f>
        <v>272854.70227926219</v>
      </c>
      <c r="AG1420" s="6">
        <f>$O$1420*$AA$1420</f>
        <v>557486.08330502675</v>
      </c>
    </row>
    <row r="1421" spans="1:33" ht="11.25" customHeight="1" x14ac:dyDescent="0.25">
      <c r="A1421" s="4" t="s">
        <v>59</v>
      </c>
      <c r="B1421" s="4" t="s">
        <v>44</v>
      </c>
      <c r="C1421" s="4" t="s">
        <v>41</v>
      </c>
      <c r="D1421" s="4" t="s">
        <v>48</v>
      </c>
      <c r="E1421" s="4" t="s">
        <v>25</v>
      </c>
      <c r="F1421" s="4" t="s">
        <v>25</v>
      </c>
      <c r="G1421" s="4" t="s">
        <v>25</v>
      </c>
      <c r="H1421" s="4" t="s">
        <v>36</v>
      </c>
      <c r="I1421" s="5">
        <v>44075</v>
      </c>
      <c r="J1421" s="6">
        <v>436</v>
      </c>
      <c r="K1421" s="6">
        <v>436</v>
      </c>
      <c r="L1421" s="6">
        <v>137.18199999999999</v>
      </c>
      <c r="M1421" s="6">
        <v>137.18199999999999</v>
      </c>
      <c r="N1421" s="6">
        <v>137.18199999999999</v>
      </c>
      <c r="O1421" s="6">
        <v>137.18199999999999</v>
      </c>
      <c r="P1421" s="6">
        <v>0</v>
      </c>
      <c r="Q1421" s="4" t="s">
        <v>26</v>
      </c>
      <c r="R1421" s="4">
        <v>0</v>
      </c>
      <c r="S1421" s="6">
        <v>32</v>
      </c>
      <c r="T1421" s="6">
        <v>33</v>
      </c>
      <c r="U1421" s="6">
        <v>84</v>
      </c>
      <c r="V1421" s="6">
        <f>IF(ISERROR(VLOOKUP($S$1421,'TAR FIN'!$A$1:$O$120,15,0)),0,VLOOKUP($S$1421,'TAR FIN'!$A$1:$O$120,15,0))</f>
        <v>12.24</v>
      </c>
      <c r="W1421" s="6">
        <f>IF(ISERROR(VLOOKUP($T$1421,'TAR FIN'!$A$1:$O$120,15,0)),0,VLOOKUP($T$1421,'TAR FIN'!$A$1:$O$120,15,0))</f>
        <v>109.75</v>
      </c>
      <c r="X1421" s="6">
        <f>IF(ISERROR(VLOOKUP($U$1421,'TAR FIN'!$A$1:$O$120,15,0)),0,VLOOKUP($U$1421,'TAR FIN'!$A$1:$O$120,15,0))</f>
        <v>256.38</v>
      </c>
      <c r="Y1421" s="6">
        <f ca="1">('TUSD BE'!$AM$40+'TUSD BF'!$AM$40+'TUSD CVA'!$AM$40)*1</f>
        <v>16.00053546174815</v>
      </c>
      <c r="Z1421" s="6">
        <f ca="1">('TUSD BE'!$AM$41+'TUSD BF'!$AM$41+'TUSD CVA'!$AM$41)*1</f>
        <v>112.97896283052546</v>
      </c>
      <c r="AA1421" s="6">
        <f>('TE BE'!$AA$14+'TE BF'!$AA$14+'TE CVA'!$AA$14)*1</f>
        <v>230.83420940933817</v>
      </c>
      <c r="AB1421" s="6">
        <f>$K$1421*$V$1421</f>
        <v>5336.64</v>
      </c>
      <c r="AC1421" s="6">
        <f>$M$1421*$W$1421</f>
        <v>15055.724499999998</v>
      </c>
      <c r="AD1421" s="6">
        <f>$O$1421*$X$1421</f>
        <v>35170.721159999994</v>
      </c>
      <c r="AE1421" s="6">
        <f ca="1">$K$1421*$Y$1421</f>
        <v>6976.2334613221938</v>
      </c>
      <c r="AF1421" s="6">
        <f ca="1">$M$1421*$Z$1421</f>
        <v>15498.680079017142</v>
      </c>
      <c r="AG1421" s="6">
        <f>$O$1421*$AA$1421</f>
        <v>31666.298515191826</v>
      </c>
    </row>
    <row r="1422" spans="1:33" ht="11.25" customHeight="1" x14ac:dyDescent="0.25">
      <c r="A1422" s="4" t="s">
        <v>21</v>
      </c>
      <c r="B1422" s="4" t="s">
        <v>44</v>
      </c>
      <c r="C1422" s="4" t="s">
        <v>41</v>
      </c>
      <c r="D1422" s="4" t="s">
        <v>48</v>
      </c>
      <c r="E1422" s="4" t="s">
        <v>25</v>
      </c>
      <c r="F1422" s="4" t="s">
        <v>25</v>
      </c>
      <c r="G1422" s="4" t="s">
        <v>25</v>
      </c>
      <c r="H1422" s="4" t="s">
        <v>35</v>
      </c>
      <c r="I1422" s="5">
        <v>43739</v>
      </c>
      <c r="J1422" s="6">
        <v>13210</v>
      </c>
      <c r="K1422" s="6">
        <v>13210</v>
      </c>
      <c r="L1422" s="6">
        <v>460.65800000000002</v>
      </c>
      <c r="M1422" s="6">
        <v>460.65800000000002</v>
      </c>
      <c r="N1422" s="6">
        <v>460.65800000000002</v>
      </c>
      <c r="O1422" s="6">
        <v>460.65800000000002</v>
      </c>
      <c r="P1422" s="6">
        <v>0</v>
      </c>
      <c r="Q1422" s="4" t="s">
        <v>26</v>
      </c>
      <c r="R1422" s="4">
        <v>0</v>
      </c>
      <c r="S1422" s="6">
        <v>31</v>
      </c>
      <c r="T1422" s="6">
        <v>33</v>
      </c>
      <c r="U1422" s="6">
        <v>83</v>
      </c>
      <c r="V1422" s="6">
        <f>IF(ISERROR(VLOOKUP($S$1422,'TAR FIN'!$A$1:$O$120,15,0)),0,VLOOKUP($S$1422,'TAR FIN'!$A$1:$O$120,15,0))</f>
        <v>43.76</v>
      </c>
      <c r="W1422" s="6">
        <f>IF(ISERROR(VLOOKUP($T$1422,'TAR FIN'!$A$1:$O$120,15,0)),0,VLOOKUP($T$1422,'TAR FIN'!$A$1:$O$120,15,0))</f>
        <v>109.75</v>
      </c>
      <c r="X1422" s="6">
        <f>IF(ISERROR(VLOOKUP($U$1422,'TAR FIN'!$A$1:$O$120,15,0)),0,VLOOKUP($U$1422,'TAR FIN'!$A$1:$O$120,15,0))</f>
        <v>430.87</v>
      </c>
      <c r="Y1422" s="6">
        <f ca="1">('TUSD BE'!$AM$39+'TUSD BF'!$AM$39+'TUSD CVA'!$AM$39)*1</f>
        <v>49.088494763430781</v>
      </c>
      <c r="Z1422" s="6">
        <f ca="1">('TUSD BE'!$AM$41+'TUSD BF'!$AM$41+'TUSD CVA'!$AM$41)*1</f>
        <v>112.97896283052546</v>
      </c>
      <c r="AA1422" s="6">
        <f>('TE BE'!$AA$13+'TE BF'!$AA$13+'TE CVA'!$AA$13)*1</f>
        <v>375.69180268700768</v>
      </c>
      <c r="AB1422" s="6">
        <f>$K$1422*$V$1422</f>
        <v>578069.6</v>
      </c>
      <c r="AC1422" s="6">
        <f>$M$1422*$W$1422</f>
        <v>50557.215499999998</v>
      </c>
      <c r="AD1422" s="6">
        <f>$O$1422*$X$1422</f>
        <v>198483.71246000001</v>
      </c>
      <c r="AE1422" s="6">
        <f ca="1">$K$1422*$Y$1422</f>
        <v>648459.01582492061</v>
      </c>
      <c r="AF1422" s="6">
        <f ca="1">$M$1422*$Z$1422</f>
        <v>52044.6630595842</v>
      </c>
      <c r="AG1422" s="6">
        <f>$O$1422*$AA$1422</f>
        <v>173065.43444219159</v>
      </c>
    </row>
    <row r="1423" spans="1:33" ht="11.25" customHeight="1" x14ac:dyDescent="0.25">
      <c r="A1423" s="4" t="s">
        <v>27</v>
      </c>
      <c r="B1423" s="4" t="s">
        <v>44</v>
      </c>
      <c r="C1423" s="4" t="s">
        <v>41</v>
      </c>
      <c r="D1423" s="4" t="s">
        <v>48</v>
      </c>
      <c r="E1423" s="4" t="s">
        <v>25</v>
      </c>
      <c r="F1423" s="4" t="s">
        <v>25</v>
      </c>
      <c r="G1423" s="4" t="s">
        <v>25</v>
      </c>
      <c r="H1423" s="4" t="s">
        <v>35</v>
      </c>
      <c r="I1423" s="5">
        <v>43739</v>
      </c>
      <c r="J1423" s="6">
        <v>360</v>
      </c>
      <c r="K1423" s="6">
        <v>360</v>
      </c>
      <c r="L1423" s="6">
        <v>16.213000000000001</v>
      </c>
      <c r="M1423" s="6">
        <v>16.213000000000001</v>
      </c>
      <c r="N1423" s="6">
        <v>16.213000000000001</v>
      </c>
      <c r="O1423" s="6">
        <v>16.213000000000001</v>
      </c>
      <c r="P1423" s="6">
        <v>0</v>
      </c>
      <c r="Q1423" s="4" t="s">
        <v>26</v>
      </c>
      <c r="R1423" s="4">
        <v>0</v>
      </c>
      <c r="S1423" s="6">
        <v>31</v>
      </c>
      <c r="T1423" s="6">
        <v>33</v>
      </c>
      <c r="U1423" s="6">
        <v>83</v>
      </c>
      <c r="V1423" s="6">
        <f>IF(ISERROR(VLOOKUP($S$1423,'TAR FIN'!$A$1:$O$120,15,0)),0,VLOOKUP($S$1423,'TAR FIN'!$A$1:$O$120,15,0))</f>
        <v>43.76</v>
      </c>
      <c r="W1423" s="6">
        <f>IF(ISERROR(VLOOKUP($T$1423,'TAR FIN'!$A$1:$O$120,15,0)),0,VLOOKUP($T$1423,'TAR FIN'!$A$1:$O$120,15,0))</f>
        <v>109.75</v>
      </c>
      <c r="X1423" s="6">
        <f>IF(ISERROR(VLOOKUP($U$1423,'TAR FIN'!$A$1:$O$120,15,0)),0,VLOOKUP($U$1423,'TAR FIN'!$A$1:$O$120,15,0))</f>
        <v>430.87</v>
      </c>
      <c r="Y1423" s="6">
        <f ca="1">('TUSD BE'!$AM$39+'TUSD BF'!$AM$39+'TUSD CVA'!$AM$39)*1</f>
        <v>49.088494763430781</v>
      </c>
      <c r="Z1423" s="6">
        <f ca="1">('TUSD BE'!$AM$41+'TUSD BF'!$AM$41+'TUSD CVA'!$AM$41)*1</f>
        <v>112.97896283052546</v>
      </c>
      <c r="AA1423" s="6">
        <f>('TE BE'!$AA$13+'TE BF'!$AA$13+'TE CVA'!$AA$13)*1</f>
        <v>375.69180268700768</v>
      </c>
      <c r="AB1423" s="6">
        <f>$K$1423*$V$1423</f>
        <v>15753.599999999999</v>
      </c>
      <c r="AC1423" s="6">
        <f>$M$1423*$W$1423</f>
        <v>1779.3767500000001</v>
      </c>
      <c r="AD1423" s="6">
        <f>$O$1423*$X$1423</f>
        <v>6985.6953100000001</v>
      </c>
      <c r="AE1423" s="6">
        <f ca="1">$K$1423*$Y$1423</f>
        <v>17671.858114835082</v>
      </c>
      <c r="AF1423" s="6">
        <f ca="1">$M$1423*$Z$1423</f>
        <v>1831.7279243713094</v>
      </c>
      <c r="AG1423" s="6">
        <f>$O$1423*$AA$1423</f>
        <v>6091.0911969644558</v>
      </c>
    </row>
    <row r="1424" spans="1:33" ht="11.25" customHeight="1" x14ac:dyDescent="0.25">
      <c r="A1424" s="4" t="s">
        <v>21</v>
      </c>
      <c r="B1424" s="4" t="s">
        <v>44</v>
      </c>
      <c r="C1424" s="4" t="s">
        <v>41</v>
      </c>
      <c r="D1424" s="4" t="s">
        <v>48</v>
      </c>
      <c r="E1424" s="4" t="s">
        <v>25</v>
      </c>
      <c r="F1424" s="4" t="s">
        <v>25</v>
      </c>
      <c r="G1424" s="4" t="s">
        <v>25</v>
      </c>
      <c r="H1424" s="4" t="s">
        <v>35</v>
      </c>
      <c r="I1424" s="5">
        <v>43770</v>
      </c>
      <c r="J1424" s="6">
        <v>13646</v>
      </c>
      <c r="K1424" s="6">
        <v>13646</v>
      </c>
      <c r="L1424" s="6">
        <v>462.49200000000002</v>
      </c>
      <c r="M1424" s="6">
        <v>462.49200000000002</v>
      </c>
      <c r="N1424" s="6">
        <v>462.49200000000002</v>
      </c>
      <c r="O1424" s="6">
        <v>462.49200000000002</v>
      </c>
      <c r="P1424" s="6">
        <v>0</v>
      </c>
      <c r="Q1424" s="4" t="s">
        <v>26</v>
      </c>
      <c r="R1424" s="4">
        <v>0</v>
      </c>
      <c r="S1424" s="6">
        <v>31</v>
      </c>
      <c r="T1424" s="6">
        <v>33</v>
      </c>
      <c r="U1424" s="6">
        <v>83</v>
      </c>
      <c r="V1424" s="6">
        <f>IF(ISERROR(VLOOKUP($S$1424,'TAR FIN'!$A$1:$O$120,15,0)),0,VLOOKUP($S$1424,'TAR FIN'!$A$1:$O$120,15,0))</f>
        <v>43.76</v>
      </c>
      <c r="W1424" s="6">
        <f>IF(ISERROR(VLOOKUP($T$1424,'TAR FIN'!$A$1:$O$120,15,0)),0,VLOOKUP($T$1424,'TAR FIN'!$A$1:$O$120,15,0))</f>
        <v>109.75</v>
      </c>
      <c r="X1424" s="6">
        <f>IF(ISERROR(VLOOKUP($U$1424,'TAR FIN'!$A$1:$O$120,15,0)),0,VLOOKUP($U$1424,'TAR FIN'!$A$1:$O$120,15,0))</f>
        <v>430.87</v>
      </c>
      <c r="Y1424" s="6">
        <f ca="1">('TUSD BE'!$AM$39+'TUSD BF'!$AM$39+'TUSD CVA'!$AM$39)*1</f>
        <v>49.088494763430781</v>
      </c>
      <c r="Z1424" s="6">
        <f ca="1">('TUSD BE'!$AM$41+'TUSD BF'!$AM$41+'TUSD CVA'!$AM$41)*1</f>
        <v>112.97896283052546</v>
      </c>
      <c r="AA1424" s="6">
        <f>('TE BE'!$AA$13+'TE BF'!$AA$13+'TE CVA'!$AA$13)*1</f>
        <v>375.69180268700768</v>
      </c>
      <c r="AB1424" s="6">
        <f>$K$1424*$V$1424</f>
        <v>597148.96</v>
      </c>
      <c r="AC1424" s="6">
        <f>$M$1424*$W$1424</f>
        <v>50758.497000000003</v>
      </c>
      <c r="AD1424" s="6">
        <f>$O$1424*$X$1424</f>
        <v>199273.92804</v>
      </c>
      <c r="AE1424" s="6">
        <f ca="1">$K$1424*$Y$1424</f>
        <v>669861.59954177646</v>
      </c>
      <c r="AF1424" s="6">
        <f ca="1">$M$1424*$Z$1424</f>
        <v>52251.86647741538</v>
      </c>
      <c r="AG1424" s="6">
        <f>$O$1424*$AA$1424</f>
        <v>173754.45320831955</v>
      </c>
    </row>
    <row r="1425" spans="1:33" ht="11.25" customHeight="1" x14ac:dyDescent="0.25">
      <c r="A1425" s="4" t="s">
        <v>27</v>
      </c>
      <c r="B1425" s="4" t="s">
        <v>44</v>
      </c>
      <c r="C1425" s="4" t="s">
        <v>41</v>
      </c>
      <c r="D1425" s="4" t="s">
        <v>48</v>
      </c>
      <c r="E1425" s="4" t="s">
        <v>25</v>
      </c>
      <c r="F1425" s="4" t="s">
        <v>25</v>
      </c>
      <c r="G1425" s="4" t="s">
        <v>25</v>
      </c>
      <c r="H1425" s="4" t="s">
        <v>35</v>
      </c>
      <c r="I1425" s="5">
        <v>43770</v>
      </c>
      <c r="J1425" s="6">
        <v>360</v>
      </c>
      <c r="K1425" s="6">
        <v>360</v>
      </c>
      <c r="L1425" s="6">
        <v>16.501999999999999</v>
      </c>
      <c r="M1425" s="6">
        <v>16.501999999999999</v>
      </c>
      <c r="N1425" s="6">
        <v>16.501999999999999</v>
      </c>
      <c r="O1425" s="6">
        <v>16.501999999999999</v>
      </c>
      <c r="P1425" s="6">
        <v>0</v>
      </c>
      <c r="Q1425" s="4" t="s">
        <v>26</v>
      </c>
      <c r="R1425" s="4">
        <v>0</v>
      </c>
      <c r="S1425" s="6">
        <v>31</v>
      </c>
      <c r="T1425" s="6">
        <v>33</v>
      </c>
      <c r="U1425" s="6">
        <v>83</v>
      </c>
      <c r="V1425" s="6">
        <f>IF(ISERROR(VLOOKUP($S$1425,'TAR FIN'!$A$1:$O$120,15,0)),0,VLOOKUP($S$1425,'TAR FIN'!$A$1:$O$120,15,0))</f>
        <v>43.76</v>
      </c>
      <c r="W1425" s="6">
        <f>IF(ISERROR(VLOOKUP($T$1425,'TAR FIN'!$A$1:$O$120,15,0)),0,VLOOKUP($T$1425,'TAR FIN'!$A$1:$O$120,15,0))</f>
        <v>109.75</v>
      </c>
      <c r="X1425" s="6">
        <f>IF(ISERROR(VLOOKUP($U$1425,'TAR FIN'!$A$1:$O$120,15,0)),0,VLOOKUP($U$1425,'TAR FIN'!$A$1:$O$120,15,0))</f>
        <v>430.87</v>
      </c>
      <c r="Y1425" s="6">
        <f ca="1">('TUSD BE'!$AM$39+'TUSD BF'!$AM$39+'TUSD CVA'!$AM$39)*1</f>
        <v>49.088494763430781</v>
      </c>
      <c r="Z1425" s="6">
        <f ca="1">('TUSD BE'!$AM$41+'TUSD BF'!$AM$41+'TUSD CVA'!$AM$41)*1</f>
        <v>112.97896283052546</v>
      </c>
      <c r="AA1425" s="6">
        <f>('TE BE'!$AA$13+'TE BF'!$AA$13+'TE CVA'!$AA$13)*1</f>
        <v>375.69180268700768</v>
      </c>
      <c r="AB1425" s="6">
        <f>$K$1425*$V$1425</f>
        <v>15753.599999999999</v>
      </c>
      <c r="AC1425" s="6">
        <f>$M$1425*$W$1425</f>
        <v>1811.0944999999999</v>
      </c>
      <c r="AD1425" s="6">
        <f>$O$1425*$X$1425</f>
        <v>7110.2167399999998</v>
      </c>
      <c r="AE1425" s="6">
        <f ca="1">$K$1425*$Y$1425</f>
        <v>17671.858114835082</v>
      </c>
      <c r="AF1425" s="6">
        <f ca="1">$M$1425*$Z$1425</f>
        <v>1864.3788446293311</v>
      </c>
      <c r="AG1425" s="6">
        <f>$O$1425*$AA$1425</f>
        <v>6199.666127941</v>
      </c>
    </row>
    <row r="1426" spans="1:33" ht="11.25" customHeight="1" x14ac:dyDescent="0.25">
      <c r="A1426" s="4" t="s">
        <v>21</v>
      </c>
      <c r="B1426" s="4" t="s">
        <v>44</v>
      </c>
      <c r="C1426" s="4" t="s">
        <v>41</v>
      </c>
      <c r="D1426" s="4" t="s">
        <v>48</v>
      </c>
      <c r="E1426" s="4" t="s">
        <v>25</v>
      </c>
      <c r="F1426" s="4" t="s">
        <v>25</v>
      </c>
      <c r="G1426" s="4" t="s">
        <v>25</v>
      </c>
      <c r="H1426" s="4" t="s">
        <v>35</v>
      </c>
      <c r="I1426" s="5">
        <v>43800</v>
      </c>
      <c r="J1426" s="6">
        <v>13789</v>
      </c>
      <c r="K1426" s="6">
        <v>13789</v>
      </c>
      <c r="L1426" s="6">
        <v>427.404</v>
      </c>
      <c r="M1426" s="6">
        <v>427.404</v>
      </c>
      <c r="N1426" s="6">
        <v>427.404</v>
      </c>
      <c r="O1426" s="6">
        <v>427.404</v>
      </c>
      <c r="P1426" s="6">
        <v>0</v>
      </c>
      <c r="Q1426" s="4" t="s">
        <v>26</v>
      </c>
      <c r="R1426" s="4">
        <v>0</v>
      </c>
      <c r="S1426" s="6">
        <v>31</v>
      </c>
      <c r="T1426" s="6">
        <v>33</v>
      </c>
      <c r="U1426" s="6">
        <v>83</v>
      </c>
      <c r="V1426" s="6">
        <f>IF(ISERROR(VLOOKUP($S$1426,'TAR FIN'!$A$1:$O$120,15,0)),0,VLOOKUP($S$1426,'TAR FIN'!$A$1:$O$120,15,0))</f>
        <v>43.76</v>
      </c>
      <c r="W1426" s="6">
        <f>IF(ISERROR(VLOOKUP($T$1426,'TAR FIN'!$A$1:$O$120,15,0)),0,VLOOKUP($T$1426,'TAR FIN'!$A$1:$O$120,15,0))</f>
        <v>109.75</v>
      </c>
      <c r="X1426" s="6">
        <f>IF(ISERROR(VLOOKUP($U$1426,'TAR FIN'!$A$1:$O$120,15,0)),0,VLOOKUP($U$1426,'TAR FIN'!$A$1:$O$120,15,0))</f>
        <v>430.87</v>
      </c>
      <c r="Y1426" s="6">
        <f ca="1">('TUSD BE'!$AM$39+'TUSD BF'!$AM$39+'TUSD CVA'!$AM$39)*1</f>
        <v>49.088494763430781</v>
      </c>
      <c r="Z1426" s="6">
        <f ca="1">('TUSD BE'!$AM$41+'TUSD BF'!$AM$41+'TUSD CVA'!$AM$41)*1</f>
        <v>112.97896283052546</v>
      </c>
      <c r="AA1426" s="6">
        <f>('TE BE'!$AA$13+'TE BF'!$AA$13+'TE CVA'!$AA$13)*1</f>
        <v>375.69180268700768</v>
      </c>
      <c r="AB1426" s="6">
        <f>$K$1426*$V$1426</f>
        <v>603406.64</v>
      </c>
      <c r="AC1426" s="6">
        <f>$M$1426*$W$1426</f>
        <v>46907.589</v>
      </c>
      <c r="AD1426" s="6">
        <f>$O$1426*$X$1426</f>
        <v>184155.56148</v>
      </c>
      <c r="AE1426" s="6">
        <f ca="1">$K$1426*$Y$1426</f>
        <v>676881.25429294701</v>
      </c>
      <c r="AF1426" s="6">
        <f ca="1">$M$1426*$Z$1426</f>
        <v>48287.660629617902</v>
      </c>
      <c r="AG1426" s="6">
        <f>$O$1426*$AA$1426</f>
        <v>160572.17923563783</v>
      </c>
    </row>
    <row r="1427" spans="1:33" ht="11.25" customHeight="1" x14ac:dyDescent="0.25">
      <c r="A1427" s="4" t="s">
        <v>27</v>
      </c>
      <c r="B1427" s="4" t="s">
        <v>44</v>
      </c>
      <c r="C1427" s="4" t="s">
        <v>41</v>
      </c>
      <c r="D1427" s="4" t="s">
        <v>48</v>
      </c>
      <c r="E1427" s="4" t="s">
        <v>25</v>
      </c>
      <c r="F1427" s="4" t="s">
        <v>25</v>
      </c>
      <c r="G1427" s="4" t="s">
        <v>25</v>
      </c>
      <c r="H1427" s="4" t="s">
        <v>35</v>
      </c>
      <c r="I1427" s="5">
        <v>43800</v>
      </c>
      <c r="J1427" s="6">
        <v>360</v>
      </c>
      <c r="K1427" s="6">
        <v>360</v>
      </c>
      <c r="L1427" s="6">
        <v>15.137</v>
      </c>
      <c r="M1427" s="6">
        <v>15.137</v>
      </c>
      <c r="N1427" s="6">
        <v>15.137</v>
      </c>
      <c r="O1427" s="6">
        <v>15.137</v>
      </c>
      <c r="P1427" s="6">
        <v>0</v>
      </c>
      <c r="Q1427" s="4" t="s">
        <v>26</v>
      </c>
      <c r="R1427" s="4">
        <v>0</v>
      </c>
      <c r="S1427" s="6">
        <v>31</v>
      </c>
      <c r="T1427" s="6">
        <v>33</v>
      </c>
      <c r="U1427" s="6">
        <v>83</v>
      </c>
      <c r="V1427" s="6">
        <f>IF(ISERROR(VLOOKUP($S$1427,'TAR FIN'!$A$1:$O$120,15,0)),0,VLOOKUP($S$1427,'TAR FIN'!$A$1:$O$120,15,0))</f>
        <v>43.76</v>
      </c>
      <c r="W1427" s="6">
        <f>IF(ISERROR(VLOOKUP($T$1427,'TAR FIN'!$A$1:$O$120,15,0)),0,VLOOKUP($T$1427,'TAR FIN'!$A$1:$O$120,15,0))</f>
        <v>109.75</v>
      </c>
      <c r="X1427" s="6">
        <f>IF(ISERROR(VLOOKUP($U$1427,'TAR FIN'!$A$1:$O$120,15,0)),0,VLOOKUP($U$1427,'TAR FIN'!$A$1:$O$120,15,0))</f>
        <v>430.87</v>
      </c>
      <c r="Y1427" s="6">
        <f ca="1">('TUSD BE'!$AM$39+'TUSD BF'!$AM$39+'TUSD CVA'!$AM$39)*1</f>
        <v>49.088494763430781</v>
      </c>
      <c r="Z1427" s="6">
        <f ca="1">('TUSD BE'!$AM$41+'TUSD BF'!$AM$41+'TUSD CVA'!$AM$41)*1</f>
        <v>112.97896283052546</v>
      </c>
      <c r="AA1427" s="6">
        <f>('TE BE'!$AA$13+'TE BF'!$AA$13+'TE CVA'!$AA$13)*1</f>
        <v>375.69180268700768</v>
      </c>
      <c r="AB1427" s="6">
        <f>$K$1427*$V$1427</f>
        <v>15753.599999999999</v>
      </c>
      <c r="AC1427" s="6">
        <f>$M$1427*$W$1427</f>
        <v>1661.28575</v>
      </c>
      <c r="AD1427" s="6">
        <f>$O$1427*$X$1427</f>
        <v>6522.0791900000004</v>
      </c>
      <c r="AE1427" s="6">
        <f ca="1">$K$1427*$Y$1427</f>
        <v>17671.858114835082</v>
      </c>
      <c r="AF1427" s="6">
        <f ca="1">$M$1427*$Z$1427</f>
        <v>1710.1625603656639</v>
      </c>
      <c r="AG1427" s="6">
        <f>$O$1427*$AA$1427</f>
        <v>5686.8468172732355</v>
      </c>
    </row>
    <row r="1428" spans="1:33" ht="11.25" customHeight="1" x14ac:dyDescent="0.25">
      <c r="A1428" s="4" t="s">
        <v>21</v>
      </c>
      <c r="B1428" s="4" t="s">
        <v>44</v>
      </c>
      <c r="C1428" s="4" t="s">
        <v>41</v>
      </c>
      <c r="D1428" s="4" t="s">
        <v>48</v>
      </c>
      <c r="E1428" s="4" t="s">
        <v>25</v>
      </c>
      <c r="F1428" s="4" t="s">
        <v>25</v>
      </c>
      <c r="G1428" s="4" t="s">
        <v>25</v>
      </c>
      <c r="H1428" s="4" t="s">
        <v>35</v>
      </c>
      <c r="I1428" s="5">
        <v>43831</v>
      </c>
      <c r="J1428" s="6">
        <v>13922</v>
      </c>
      <c r="K1428" s="6">
        <v>13922</v>
      </c>
      <c r="L1428" s="6">
        <v>405.09500000000003</v>
      </c>
      <c r="M1428" s="6">
        <v>405.09500000000003</v>
      </c>
      <c r="N1428" s="6">
        <v>405.09500000000003</v>
      </c>
      <c r="O1428" s="6">
        <v>405.09500000000003</v>
      </c>
      <c r="P1428" s="6">
        <v>0</v>
      </c>
      <c r="Q1428" s="4" t="s">
        <v>26</v>
      </c>
      <c r="R1428" s="4">
        <v>0</v>
      </c>
      <c r="S1428" s="6">
        <v>31</v>
      </c>
      <c r="T1428" s="6">
        <v>33</v>
      </c>
      <c r="U1428" s="6">
        <v>83</v>
      </c>
      <c r="V1428" s="6">
        <f>IF(ISERROR(VLOOKUP($S$1428,'TAR FIN'!$A$1:$O$120,15,0)),0,VLOOKUP($S$1428,'TAR FIN'!$A$1:$O$120,15,0))</f>
        <v>43.76</v>
      </c>
      <c r="W1428" s="6">
        <f>IF(ISERROR(VLOOKUP($T$1428,'TAR FIN'!$A$1:$O$120,15,0)),0,VLOOKUP($T$1428,'TAR FIN'!$A$1:$O$120,15,0))</f>
        <v>109.75</v>
      </c>
      <c r="X1428" s="6">
        <f>IF(ISERROR(VLOOKUP($U$1428,'TAR FIN'!$A$1:$O$120,15,0)),0,VLOOKUP($U$1428,'TAR FIN'!$A$1:$O$120,15,0))</f>
        <v>430.87</v>
      </c>
      <c r="Y1428" s="6">
        <f ca="1">('TUSD BE'!$AM$39+'TUSD BF'!$AM$39+'TUSD CVA'!$AM$39)*1</f>
        <v>49.088494763430781</v>
      </c>
      <c r="Z1428" s="6">
        <f ca="1">('TUSD BE'!$AM$41+'TUSD BF'!$AM$41+'TUSD CVA'!$AM$41)*1</f>
        <v>112.97896283052546</v>
      </c>
      <c r="AA1428" s="6">
        <f>('TE BE'!$AA$13+'TE BF'!$AA$13+'TE CVA'!$AA$13)*1</f>
        <v>375.69180268700768</v>
      </c>
      <c r="AB1428" s="6">
        <f>$K$1428*$V$1428</f>
        <v>609226.72</v>
      </c>
      <c r="AC1428" s="6">
        <f>$M$1428*$W$1428</f>
        <v>44459.176250000004</v>
      </c>
      <c r="AD1428" s="6">
        <f>$O$1428*$X$1428</f>
        <v>174543.28265000001</v>
      </c>
      <c r="AE1428" s="6">
        <f ca="1">$K$1428*$Y$1428</f>
        <v>683410.02409648336</v>
      </c>
      <c r="AF1428" s="6">
        <f ca="1">$M$1428*$Z$1428</f>
        <v>45767.212947831715</v>
      </c>
      <c r="AG1428" s="6">
        <f>$O$1428*$AA$1428</f>
        <v>152190.87080949338</v>
      </c>
    </row>
    <row r="1429" spans="1:33" ht="11.25" customHeight="1" x14ac:dyDescent="0.25">
      <c r="A1429" s="4" t="s">
        <v>27</v>
      </c>
      <c r="B1429" s="4" t="s">
        <v>44</v>
      </c>
      <c r="C1429" s="4" t="s">
        <v>41</v>
      </c>
      <c r="D1429" s="4" t="s">
        <v>48</v>
      </c>
      <c r="E1429" s="4" t="s">
        <v>25</v>
      </c>
      <c r="F1429" s="4" t="s">
        <v>25</v>
      </c>
      <c r="G1429" s="4" t="s">
        <v>25</v>
      </c>
      <c r="H1429" s="4" t="s">
        <v>35</v>
      </c>
      <c r="I1429" s="5">
        <v>43831</v>
      </c>
      <c r="J1429" s="6">
        <v>360</v>
      </c>
      <c r="K1429" s="6">
        <v>360</v>
      </c>
      <c r="L1429" s="6">
        <v>13.069000000000001</v>
      </c>
      <c r="M1429" s="6">
        <v>13.069000000000001</v>
      </c>
      <c r="N1429" s="6">
        <v>13.069000000000001</v>
      </c>
      <c r="O1429" s="6">
        <v>13.069000000000001</v>
      </c>
      <c r="P1429" s="6">
        <v>0</v>
      </c>
      <c r="Q1429" s="4" t="s">
        <v>26</v>
      </c>
      <c r="R1429" s="4">
        <v>0</v>
      </c>
      <c r="S1429" s="6">
        <v>31</v>
      </c>
      <c r="T1429" s="6">
        <v>33</v>
      </c>
      <c r="U1429" s="6">
        <v>83</v>
      </c>
      <c r="V1429" s="6">
        <f>IF(ISERROR(VLOOKUP($S$1429,'TAR FIN'!$A$1:$O$120,15,0)),0,VLOOKUP($S$1429,'TAR FIN'!$A$1:$O$120,15,0))</f>
        <v>43.76</v>
      </c>
      <c r="W1429" s="6">
        <f>IF(ISERROR(VLOOKUP($T$1429,'TAR FIN'!$A$1:$O$120,15,0)),0,VLOOKUP($T$1429,'TAR FIN'!$A$1:$O$120,15,0))</f>
        <v>109.75</v>
      </c>
      <c r="X1429" s="6">
        <f>IF(ISERROR(VLOOKUP($U$1429,'TAR FIN'!$A$1:$O$120,15,0)),0,VLOOKUP($U$1429,'TAR FIN'!$A$1:$O$120,15,0))</f>
        <v>430.87</v>
      </c>
      <c r="Y1429" s="6">
        <f ca="1">('TUSD BE'!$AM$39+'TUSD BF'!$AM$39+'TUSD CVA'!$AM$39)*1</f>
        <v>49.088494763430781</v>
      </c>
      <c r="Z1429" s="6">
        <f ca="1">('TUSD BE'!$AM$41+'TUSD BF'!$AM$41+'TUSD CVA'!$AM$41)*1</f>
        <v>112.97896283052546</v>
      </c>
      <c r="AA1429" s="6">
        <f>('TE BE'!$AA$13+'TE BF'!$AA$13+'TE CVA'!$AA$13)*1</f>
        <v>375.69180268700768</v>
      </c>
      <c r="AB1429" s="6">
        <f>$K$1429*$V$1429</f>
        <v>15753.599999999999</v>
      </c>
      <c r="AC1429" s="6">
        <f>$M$1429*$W$1429</f>
        <v>1434.32275</v>
      </c>
      <c r="AD1429" s="6">
        <f>$O$1429*$X$1429</f>
        <v>5631.0400300000001</v>
      </c>
      <c r="AE1429" s="6">
        <f ca="1">$K$1429*$Y$1429</f>
        <v>17671.858114835082</v>
      </c>
      <c r="AF1429" s="6">
        <f ca="1">$M$1429*$Z$1429</f>
        <v>1476.5220652321373</v>
      </c>
      <c r="AG1429" s="6">
        <f>$O$1429*$AA$1429</f>
        <v>4909.9161693165033</v>
      </c>
    </row>
    <row r="1430" spans="1:33" ht="11.25" customHeight="1" x14ac:dyDescent="0.25">
      <c r="A1430" s="4" t="s">
        <v>21</v>
      </c>
      <c r="B1430" s="4" t="s">
        <v>44</v>
      </c>
      <c r="C1430" s="4" t="s">
        <v>41</v>
      </c>
      <c r="D1430" s="4" t="s">
        <v>48</v>
      </c>
      <c r="E1430" s="4" t="s">
        <v>25</v>
      </c>
      <c r="F1430" s="4" t="s">
        <v>25</v>
      </c>
      <c r="G1430" s="4" t="s">
        <v>25</v>
      </c>
      <c r="H1430" s="4" t="s">
        <v>35</v>
      </c>
      <c r="I1430" s="5">
        <v>43862</v>
      </c>
      <c r="J1430" s="6">
        <v>13982</v>
      </c>
      <c r="K1430" s="6">
        <v>13982</v>
      </c>
      <c r="L1430" s="6">
        <v>444.89499999999998</v>
      </c>
      <c r="M1430" s="6">
        <v>444.89499999999998</v>
      </c>
      <c r="N1430" s="6">
        <v>444.89499999999998</v>
      </c>
      <c r="O1430" s="6">
        <v>444.89499999999998</v>
      </c>
      <c r="P1430" s="6">
        <v>0</v>
      </c>
      <c r="Q1430" s="4" t="s">
        <v>26</v>
      </c>
      <c r="R1430" s="4">
        <v>0</v>
      </c>
      <c r="S1430" s="6">
        <v>31</v>
      </c>
      <c r="T1430" s="6">
        <v>33</v>
      </c>
      <c r="U1430" s="6">
        <v>83</v>
      </c>
      <c r="V1430" s="6">
        <f>IF(ISERROR(VLOOKUP($S$1430,'TAR FIN'!$A$1:$O$120,15,0)),0,VLOOKUP($S$1430,'TAR FIN'!$A$1:$O$120,15,0))</f>
        <v>43.76</v>
      </c>
      <c r="W1430" s="6">
        <f>IF(ISERROR(VLOOKUP($T$1430,'TAR FIN'!$A$1:$O$120,15,0)),0,VLOOKUP($T$1430,'TAR FIN'!$A$1:$O$120,15,0))</f>
        <v>109.75</v>
      </c>
      <c r="X1430" s="6">
        <f>IF(ISERROR(VLOOKUP($U$1430,'TAR FIN'!$A$1:$O$120,15,0)),0,VLOOKUP($U$1430,'TAR FIN'!$A$1:$O$120,15,0))</f>
        <v>430.87</v>
      </c>
      <c r="Y1430" s="6">
        <f ca="1">('TUSD BE'!$AM$39+'TUSD BF'!$AM$39+'TUSD CVA'!$AM$39)*1</f>
        <v>49.088494763430781</v>
      </c>
      <c r="Z1430" s="6">
        <f ca="1">('TUSD BE'!$AM$41+'TUSD BF'!$AM$41+'TUSD CVA'!$AM$41)*1</f>
        <v>112.97896283052546</v>
      </c>
      <c r="AA1430" s="6">
        <f>('TE BE'!$AA$13+'TE BF'!$AA$13+'TE CVA'!$AA$13)*1</f>
        <v>375.69180268700768</v>
      </c>
      <c r="AB1430" s="6">
        <f>$K$1430*$V$1430</f>
        <v>611852.31999999995</v>
      </c>
      <c r="AC1430" s="6">
        <f>$M$1430*$W$1430</f>
        <v>48827.22625</v>
      </c>
      <c r="AD1430" s="6">
        <f>$O$1430*$X$1430</f>
        <v>191691.90865</v>
      </c>
      <c r="AE1430" s="6">
        <f ca="1">$K$1430*$Y$1430</f>
        <v>686355.33378228918</v>
      </c>
      <c r="AF1430" s="6">
        <f ca="1">$M$1430*$Z$1430</f>
        <v>50263.775668486625</v>
      </c>
      <c r="AG1430" s="6">
        <f>$O$1430*$AA$1430</f>
        <v>167143.40455643626</v>
      </c>
    </row>
    <row r="1431" spans="1:33" ht="11.25" customHeight="1" x14ac:dyDescent="0.25">
      <c r="A1431" s="4" t="s">
        <v>27</v>
      </c>
      <c r="B1431" s="4" t="s">
        <v>44</v>
      </c>
      <c r="C1431" s="4" t="s">
        <v>41</v>
      </c>
      <c r="D1431" s="4" t="s">
        <v>48</v>
      </c>
      <c r="E1431" s="4" t="s">
        <v>25</v>
      </c>
      <c r="F1431" s="4" t="s">
        <v>25</v>
      </c>
      <c r="G1431" s="4" t="s">
        <v>25</v>
      </c>
      <c r="H1431" s="4" t="s">
        <v>35</v>
      </c>
      <c r="I1431" s="5">
        <v>43862</v>
      </c>
      <c r="J1431" s="6">
        <v>360</v>
      </c>
      <c r="K1431" s="6">
        <v>360</v>
      </c>
      <c r="L1431" s="6">
        <v>16.881</v>
      </c>
      <c r="M1431" s="6">
        <v>16.881</v>
      </c>
      <c r="N1431" s="6">
        <v>16.881</v>
      </c>
      <c r="O1431" s="6">
        <v>16.881</v>
      </c>
      <c r="P1431" s="6">
        <v>0</v>
      </c>
      <c r="Q1431" s="4" t="s">
        <v>26</v>
      </c>
      <c r="R1431" s="4">
        <v>0</v>
      </c>
      <c r="S1431" s="6">
        <v>31</v>
      </c>
      <c r="T1431" s="6">
        <v>33</v>
      </c>
      <c r="U1431" s="6">
        <v>83</v>
      </c>
      <c r="V1431" s="6">
        <f>IF(ISERROR(VLOOKUP($S$1431,'TAR FIN'!$A$1:$O$120,15,0)),0,VLOOKUP($S$1431,'TAR FIN'!$A$1:$O$120,15,0))</f>
        <v>43.76</v>
      </c>
      <c r="W1431" s="6">
        <f>IF(ISERROR(VLOOKUP($T$1431,'TAR FIN'!$A$1:$O$120,15,0)),0,VLOOKUP($T$1431,'TAR FIN'!$A$1:$O$120,15,0))</f>
        <v>109.75</v>
      </c>
      <c r="X1431" s="6">
        <f>IF(ISERROR(VLOOKUP($U$1431,'TAR FIN'!$A$1:$O$120,15,0)),0,VLOOKUP($U$1431,'TAR FIN'!$A$1:$O$120,15,0))</f>
        <v>430.87</v>
      </c>
      <c r="Y1431" s="6">
        <f ca="1">('TUSD BE'!$AM$39+'TUSD BF'!$AM$39+'TUSD CVA'!$AM$39)*1</f>
        <v>49.088494763430781</v>
      </c>
      <c r="Z1431" s="6">
        <f ca="1">('TUSD BE'!$AM$41+'TUSD BF'!$AM$41+'TUSD CVA'!$AM$41)*1</f>
        <v>112.97896283052546</v>
      </c>
      <c r="AA1431" s="6">
        <f>('TE BE'!$AA$13+'TE BF'!$AA$13+'TE CVA'!$AA$13)*1</f>
        <v>375.69180268700768</v>
      </c>
      <c r="AB1431" s="6">
        <f>$K$1431*$V$1431</f>
        <v>15753.599999999999</v>
      </c>
      <c r="AC1431" s="6">
        <f>$M$1431*$W$1431</f>
        <v>1852.68975</v>
      </c>
      <c r="AD1431" s="6">
        <f>$O$1431*$X$1431</f>
        <v>7273.5164700000005</v>
      </c>
      <c r="AE1431" s="6">
        <f ca="1">$K$1431*$Y$1431</f>
        <v>17671.858114835082</v>
      </c>
      <c r="AF1431" s="6">
        <f ca="1">$M$1431*$Z$1431</f>
        <v>1907.1978715421003</v>
      </c>
      <c r="AG1431" s="6">
        <f>$O$1431*$AA$1431</f>
        <v>6342.0533211593765</v>
      </c>
    </row>
    <row r="1432" spans="1:33" ht="11.25" customHeight="1" x14ac:dyDescent="0.25">
      <c r="A1432" s="4" t="s">
        <v>21</v>
      </c>
      <c r="B1432" s="4" t="s">
        <v>44</v>
      </c>
      <c r="C1432" s="4" t="s">
        <v>41</v>
      </c>
      <c r="D1432" s="4" t="s">
        <v>48</v>
      </c>
      <c r="E1432" s="4" t="s">
        <v>25</v>
      </c>
      <c r="F1432" s="4" t="s">
        <v>25</v>
      </c>
      <c r="G1432" s="4" t="s">
        <v>25</v>
      </c>
      <c r="H1432" s="4" t="s">
        <v>35</v>
      </c>
      <c r="I1432" s="5">
        <v>43891</v>
      </c>
      <c r="J1432" s="6">
        <v>13922</v>
      </c>
      <c r="K1432" s="6">
        <v>13922</v>
      </c>
      <c r="L1432" s="6">
        <v>397.96300000000002</v>
      </c>
      <c r="M1432" s="6">
        <v>397.96300000000002</v>
      </c>
      <c r="N1432" s="6">
        <v>397.96300000000002</v>
      </c>
      <c r="O1432" s="6">
        <v>397.96300000000002</v>
      </c>
      <c r="P1432" s="6">
        <v>0</v>
      </c>
      <c r="Q1432" s="4" t="s">
        <v>26</v>
      </c>
      <c r="R1432" s="4">
        <v>0</v>
      </c>
      <c r="S1432" s="6">
        <v>31</v>
      </c>
      <c r="T1432" s="6">
        <v>33</v>
      </c>
      <c r="U1432" s="6">
        <v>83</v>
      </c>
      <c r="V1432" s="6">
        <f>IF(ISERROR(VLOOKUP($S$1432,'TAR FIN'!$A$1:$O$120,15,0)),0,VLOOKUP($S$1432,'TAR FIN'!$A$1:$O$120,15,0))</f>
        <v>43.76</v>
      </c>
      <c r="W1432" s="6">
        <f>IF(ISERROR(VLOOKUP($T$1432,'TAR FIN'!$A$1:$O$120,15,0)),0,VLOOKUP($T$1432,'TAR FIN'!$A$1:$O$120,15,0))</f>
        <v>109.75</v>
      </c>
      <c r="X1432" s="6">
        <f>IF(ISERROR(VLOOKUP($U$1432,'TAR FIN'!$A$1:$O$120,15,0)),0,VLOOKUP($U$1432,'TAR FIN'!$A$1:$O$120,15,0))</f>
        <v>430.87</v>
      </c>
      <c r="Y1432" s="6">
        <f ca="1">('TUSD BE'!$AM$39+'TUSD BF'!$AM$39+'TUSD CVA'!$AM$39)*1</f>
        <v>49.088494763430781</v>
      </c>
      <c r="Z1432" s="6">
        <f ca="1">('TUSD BE'!$AM$41+'TUSD BF'!$AM$41+'TUSD CVA'!$AM$41)*1</f>
        <v>112.97896283052546</v>
      </c>
      <c r="AA1432" s="6">
        <f>('TE BE'!$AA$13+'TE BF'!$AA$13+'TE CVA'!$AA$13)*1</f>
        <v>375.69180268700768</v>
      </c>
      <c r="AB1432" s="6">
        <f>$K$1432*$V$1432</f>
        <v>609226.72</v>
      </c>
      <c r="AC1432" s="6">
        <f>$M$1432*$W$1432</f>
        <v>43676.439250000003</v>
      </c>
      <c r="AD1432" s="6">
        <f>$O$1432*$X$1432</f>
        <v>171470.31781000001</v>
      </c>
      <c r="AE1432" s="6">
        <f ca="1">$K$1432*$Y$1432</f>
        <v>683410.02409648336</v>
      </c>
      <c r="AF1432" s="6">
        <f ca="1">$M$1432*$Z$1432</f>
        <v>44961.446984924405</v>
      </c>
      <c r="AG1432" s="6">
        <f>$O$1432*$AA$1432</f>
        <v>149511.43687272965</v>
      </c>
    </row>
    <row r="1433" spans="1:33" ht="11.25" customHeight="1" x14ac:dyDescent="0.25">
      <c r="A1433" s="4" t="s">
        <v>27</v>
      </c>
      <c r="B1433" s="4" t="s">
        <v>44</v>
      </c>
      <c r="C1433" s="4" t="s">
        <v>41</v>
      </c>
      <c r="D1433" s="4" t="s">
        <v>48</v>
      </c>
      <c r="E1433" s="4" t="s">
        <v>25</v>
      </c>
      <c r="F1433" s="4" t="s">
        <v>25</v>
      </c>
      <c r="G1433" s="4" t="s">
        <v>25</v>
      </c>
      <c r="H1433" s="4" t="s">
        <v>35</v>
      </c>
      <c r="I1433" s="5">
        <v>43891</v>
      </c>
      <c r="J1433" s="6">
        <v>360</v>
      </c>
      <c r="K1433" s="6">
        <v>360</v>
      </c>
      <c r="L1433" s="6">
        <v>14.324</v>
      </c>
      <c r="M1433" s="6">
        <v>14.324</v>
      </c>
      <c r="N1433" s="6">
        <v>14.324</v>
      </c>
      <c r="O1433" s="6">
        <v>14.324</v>
      </c>
      <c r="P1433" s="6">
        <v>0</v>
      </c>
      <c r="Q1433" s="4" t="s">
        <v>26</v>
      </c>
      <c r="R1433" s="4">
        <v>0</v>
      </c>
      <c r="S1433" s="6">
        <v>31</v>
      </c>
      <c r="T1433" s="6">
        <v>33</v>
      </c>
      <c r="U1433" s="6">
        <v>83</v>
      </c>
      <c r="V1433" s="6">
        <f>IF(ISERROR(VLOOKUP($S$1433,'TAR FIN'!$A$1:$O$120,15,0)),0,VLOOKUP($S$1433,'TAR FIN'!$A$1:$O$120,15,0))</f>
        <v>43.76</v>
      </c>
      <c r="W1433" s="6">
        <f>IF(ISERROR(VLOOKUP($T$1433,'TAR FIN'!$A$1:$O$120,15,0)),0,VLOOKUP($T$1433,'TAR FIN'!$A$1:$O$120,15,0))</f>
        <v>109.75</v>
      </c>
      <c r="X1433" s="6">
        <f>IF(ISERROR(VLOOKUP($U$1433,'TAR FIN'!$A$1:$O$120,15,0)),0,VLOOKUP($U$1433,'TAR FIN'!$A$1:$O$120,15,0))</f>
        <v>430.87</v>
      </c>
      <c r="Y1433" s="6">
        <f ca="1">('TUSD BE'!$AM$39+'TUSD BF'!$AM$39+'TUSD CVA'!$AM$39)*1</f>
        <v>49.088494763430781</v>
      </c>
      <c r="Z1433" s="6">
        <f ca="1">('TUSD BE'!$AM$41+'TUSD BF'!$AM$41+'TUSD CVA'!$AM$41)*1</f>
        <v>112.97896283052546</v>
      </c>
      <c r="AA1433" s="6">
        <f>('TE BE'!$AA$13+'TE BF'!$AA$13+'TE CVA'!$AA$13)*1</f>
        <v>375.69180268700768</v>
      </c>
      <c r="AB1433" s="6">
        <f>$K$1433*$V$1433</f>
        <v>15753.599999999999</v>
      </c>
      <c r="AC1433" s="6">
        <f>$M$1433*$W$1433</f>
        <v>1572.059</v>
      </c>
      <c r="AD1433" s="6">
        <f>$O$1433*$X$1433</f>
        <v>6171.7818799999995</v>
      </c>
      <c r="AE1433" s="6">
        <f ca="1">$K$1433*$Y$1433</f>
        <v>17671.858114835082</v>
      </c>
      <c r="AF1433" s="6">
        <f ca="1">$M$1433*$Z$1433</f>
        <v>1618.3106635844467</v>
      </c>
      <c r="AG1433" s="6">
        <f>$O$1433*$AA$1433</f>
        <v>5381.409381688698</v>
      </c>
    </row>
    <row r="1434" spans="1:33" ht="11.25" customHeight="1" x14ac:dyDescent="0.25">
      <c r="A1434" s="4" t="s">
        <v>21</v>
      </c>
      <c r="B1434" s="4" t="s">
        <v>44</v>
      </c>
      <c r="C1434" s="4" t="s">
        <v>41</v>
      </c>
      <c r="D1434" s="4" t="s">
        <v>48</v>
      </c>
      <c r="E1434" s="4" t="s">
        <v>25</v>
      </c>
      <c r="F1434" s="4" t="s">
        <v>25</v>
      </c>
      <c r="G1434" s="4" t="s">
        <v>25</v>
      </c>
      <c r="H1434" s="4" t="s">
        <v>35</v>
      </c>
      <c r="I1434" s="5">
        <v>43922</v>
      </c>
      <c r="J1434" s="6">
        <v>13910</v>
      </c>
      <c r="K1434" s="6">
        <v>13910</v>
      </c>
      <c r="L1434" s="6">
        <v>379.94099999999997</v>
      </c>
      <c r="M1434" s="6">
        <v>379.94099999999997</v>
      </c>
      <c r="N1434" s="6">
        <v>379.94099999999997</v>
      </c>
      <c r="O1434" s="6">
        <v>379.94099999999997</v>
      </c>
      <c r="P1434" s="6">
        <v>0</v>
      </c>
      <c r="Q1434" s="4" t="s">
        <v>26</v>
      </c>
      <c r="R1434" s="4">
        <v>0</v>
      </c>
      <c r="S1434" s="6">
        <v>31</v>
      </c>
      <c r="T1434" s="6">
        <v>33</v>
      </c>
      <c r="U1434" s="6">
        <v>83</v>
      </c>
      <c r="V1434" s="6">
        <f>IF(ISERROR(VLOOKUP($S$1434,'TAR FIN'!$A$1:$O$120,15,0)),0,VLOOKUP($S$1434,'TAR FIN'!$A$1:$O$120,15,0))</f>
        <v>43.76</v>
      </c>
      <c r="W1434" s="6">
        <f>IF(ISERROR(VLOOKUP($T$1434,'TAR FIN'!$A$1:$O$120,15,0)),0,VLOOKUP($T$1434,'TAR FIN'!$A$1:$O$120,15,0))</f>
        <v>109.75</v>
      </c>
      <c r="X1434" s="6">
        <f>IF(ISERROR(VLOOKUP($U$1434,'TAR FIN'!$A$1:$O$120,15,0)),0,VLOOKUP($U$1434,'TAR FIN'!$A$1:$O$120,15,0))</f>
        <v>430.87</v>
      </c>
      <c r="Y1434" s="6">
        <f ca="1">('TUSD BE'!$AM$39+'TUSD BF'!$AM$39+'TUSD CVA'!$AM$39)*1</f>
        <v>49.088494763430781</v>
      </c>
      <c r="Z1434" s="6">
        <f ca="1">('TUSD BE'!$AM$41+'TUSD BF'!$AM$41+'TUSD CVA'!$AM$41)*1</f>
        <v>112.97896283052546</v>
      </c>
      <c r="AA1434" s="6">
        <f>('TE BE'!$AA$13+'TE BF'!$AA$13+'TE CVA'!$AA$13)*1</f>
        <v>375.69180268700768</v>
      </c>
      <c r="AB1434" s="6">
        <f>$K$1434*$V$1434</f>
        <v>608701.6</v>
      </c>
      <c r="AC1434" s="6">
        <f>$M$1434*$W$1434</f>
        <v>41698.524749999997</v>
      </c>
      <c r="AD1434" s="6">
        <f>$O$1434*$X$1434</f>
        <v>163705.17866999999</v>
      </c>
      <c r="AE1434" s="6">
        <f ca="1">$K$1434*$Y$1434</f>
        <v>682820.96215932211</v>
      </c>
      <c r="AF1434" s="6">
        <f ca="1">$M$1434*$Z$1434</f>
        <v>42925.340116792671</v>
      </c>
      <c r="AG1434" s="6">
        <f>$O$1434*$AA$1434</f>
        <v>142740.71920470436</v>
      </c>
    </row>
    <row r="1435" spans="1:33" ht="11.25" customHeight="1" x14ac:dyDescent="0.25">
      <c r="A1435" s="4" t="s">
        <v>27</v>
      </c>
      <c r="B1435" s="4" t="s">
        <v>44</v>
      </c>
      <c r="C1435" s="4" t="s">
        <v>41</v>
      </c>
      <c r="D1435" s="4" t="s">
        <v>48</v>
      </c>
      <c r="E1435" s="4" t="s">
        <v>25</v>
      </c>
      <c r="F1435" s="4" t="s">
        <v>25</v>
      </c>
      <c r="G1435" s="4" t="s">
        <v>25</v>
      </c>
      <c r="H1435" s="4" t="s">
        <v>35</v>
      </c>
      <c r="I1435" s="5">
        <v>43922</v>
      </c>
      <c r="J1435" s="6">
        <v>360</v>
      </c>
      <c r="K1435" s="6">
        <v>360</v>
      </c>
      <c r="L1435" s="6">
        <v>13.842000000000001</v>
      </c>
      <c r="M1435" s="6">
        <v>13.842000000000001</v>
      </c>
      <c r="N1435" s="6">
        <v>13.842000000000001</v>
      </c>
      <c r="O1435" s="6">
        <v>13.842000000000001</v>
      </c>
      <c r="P1435" s="6">
        <v>0</v>
      </c>
      <c r="Q1435" s="4" t="s">
        <v>26</v>
      </c>
      <c r="R1435" s="4">
        <v>0</v>
      </c>
      <c r="S1435" s="6">
        <v>31</v>
      </c>
      <c r="T1435" s="6">
        <v>33</v>
      </c>
      <c r="U1435" s="6">
        <v>83</v>
      </c>
      <c r="V1435" s="6">
        <f>IF(ISERROR(VLOOKUP($S$1435,'TAR FIN'!$A$1:$O$120,15,0)),0,VLOOKUP($S$1435,'TAR FIN'!$A$1:$O$120,15,0))</f>
        <v>43.76</v>
      </c>
      <c r="W1435" s="6">
        <f>IF(ISERROR(VLOOKUP($T$1435,'TAR FIN'!$A$1:$O$120,15,0)),0,VLOOKUP($T$1435,'TAR FIN'!$A$1:$O$120,15,0))</f>
        <v>109.75</v>
      </c>
      <c r="X1435" s="6">
        <f>IF(ISERROR(VLOOKUP($U$1435,'TAR FIN'!$A$1:$O$120,15,0)),0,VLOOKUP($U$1435,'TAR FIN'!$A$1:$O$120,15,0))</f>
        <v>430.87</v>
      </c>
      <c r="Y1435" s="6">
        <f ca="1">('TUSD BE'!$AM$39+'TUSD BF'!$AM$39+'TUSD CVA'!$AM$39)*1</f>
        <v>49.088494763430781</v>
      </c>
      <c r="Z1435" s="6">
        <f ca="1">('TUSD BE'!$AM$41+'TUSD BF'!$AM$41+'TUSD CVA'!$AM$41)*1</f>
        <v>112.97896283052546</v>
      </c>
      <c r="AA1435" s="6">
        <f>('TE BE'!$AA$13+'TE BF'!$AA$13+'TE CVA'!$AA$13)*1</f>
        <v>375.69180268700768</v>
      </c>
      <c r="AB1435" s="6">
        <f>$K$1435*$V$1435</f>
        <v>15753.599999999999</v>
      </c>
      <c r="AC1435" s="6">
        <f>$M$1435*$W$1435</f>
        <v>1519.1595</v>
      </c>
      <c r="AD1435" s="6">
        <f>$O$1435*$X$1435</f>
        <v>5964.1025399999999</v>
      </c>
      <c r="AE1435" s="6">
        <f ca="1">$K$1435*$Y$1435</f>
        <v>17671.858114835082</v>
      </c>
      <c r="AF1435" s="6">
        <f ca="1">$M$1435*$Z$1435</f>
        <v>1563.8548035001336</v>
      </c>
      <c r="AG1435" s="6">
        <f>$O$1435*$AA$1435</f>
        <v>5200.3259327935602</v>
      </c>
    </row>
    <row r="1436" spans="1:33" ht="11.25" customHeight="1" x14ac:dyDescent="0.25">
      <c r="A1436" s="4" t="s">
        <v>21</v>
      </c>
      <c r="B1436" s="4" t="s">
        <v>44</v>
      </c>
      <c r="C1436" s="4" t="s">
        <v>41</v>
      </c>
      <c r="D1436" s="4" t="s">
        <v>48</v>
      </c>
      <c r="E1436" s="4" t="s">
        <v>25</v>
      </c>
      <c r="F1436" s="4" t="s">
        <v>25</v>
      </c>
      <c r="G1436" s="4" t="s">
        <v>25</v>
      </c>
      <c r="H1436" s="4" t="s">
        <v>35</v>
      </c>
      <c r="I1436" s="5">
        <v>43952</v>
      </c>
      <c r="J1436" s="6">
        <v>13620</v>
      </c>
      <c r="K1436" s="6">
        <v>13620</v>
      </c>
      <c r="L1436" s="6">
        <v>279.69900000000001</v>
      </c>
      <c r="M1436" s="6">
        <v>279.69900000000001</v>
      </c>
      <c r="N1436" s="6">
        <v>279.69900000000001</v>
      </c>
      <c r="O1436" s="6">
        <v>279.69900000000001</v>
      </c>
      <c r="P1436" s="6">
        <v>0</v>
      </c>
      <c r="Q1436" s="4" t="s">
        <v>26</v>
      </c>
      <c r="R1436" s="4">
        <v>0</v>
      </c>
      <c r="S1436" s="6">
        <v>31</v>
      </c>
      <c r="T1436" s="6">
        <v>33</v>
      </c>
      <c r="U1436" s="6">
        <v>83</v>
      </c>
      <c r="V1436" s="6">
        <f>IF(ISERROR(VLOOKUP($S$1436,'TAR FIN'!$A$1:$O$120,15,0)),0,VLOOKUP($S$1436,'TAR FIN'!$A$1:$O$120,15,0))</f>
        <v>43.76</v>
      </c>
      <c r="W1436" s="6">
        <f>IF(ISERROR(VLOOKUP($T$1436,'TAR FIN'!$A$1:$O$120,15,0)),0,VLOOKUP($T$1436,'TAR FIN'!$A$1:$O$120,15,0))</f>
        <v>109.75</v>
      </c>
      <c r="X1436" s="6">
        <f>IF(ISERROR(VLOOKUP($U$1436,'TAR FIN'!$A$1:$O$120,15,0)),0,VLOOKUP($U$1436,'TAR FIN'!$A$1:$O$120,15,0))</f>
        <v>430.87</v>
      </c>
      <c r="Y1436" s="6">
        <f ca="1">('TUSD BE'!$AM$39+'TUSD BF'!$AM$39+'TUSD CVA'!$AM$39)*1</f>
        <v>49.088494763430781</v>
      </c>
      <c r="Z1436" s="6">
        <f ca="1">('TUSD BE'!$AM$41+'TUSD BF'!$AM$41+'TUSD CVA'!$AM$41)*1</f>
        <v>112.97896283052546</v>
      </c>
      <c r="AA1436" s="6">
        <f>('TE BE'!$AA$13+'TE BF'!$AA$13+'TE CVA'!$AA$13)*1</f>
        <v>375.69180268700768</v>
      </c>
      <c r="AB1436" s="6">
        <f>$K$1436*$V$1436</f>
        <v>596011.19999999995</v>
      </c>
      <c r="AC1436" s="6">
        <f>$M$1436*$W$1436</f>
        <v>30696.965250000001</v>
      </c>
      <c r="AD1436" s="6">
        <f>$O$1436*$X$1436</f>
        <v>120513.90813000001</v>
      </c>
      <c r="AE1436" s="6">
        <f ca="1">$K$1436*$Y$1436</f>
        <v>668585.29867792723</v>
      </c>
      <c r="AF1436" s="6">
        <f ca="1">$M$1436*$Z$1436</f>
        <v>31600.102924735143</v>
      </c>
      <c r="AG1436" s="6">
        <f>$O$1436*$AA$1436</f>
        <v>105080.62151975336</v>
      </c>
    </row>
    <row r="1437" spans="1:33" ht="11.25" customHeight="1" x14ac:dyDescent="0.25">
      <c r="A1437" s="4" t="s">
        <v>27</v>
      </c>
      <c r="B1437" s="4" t="s">
        <v>44</v>
      </c>
      <c r="C1437" s="4" t="s">
        <v>41</v>
      </c>
      <c r="D1437" s="4" t="s">
        <v>48</v>
      </c>
      <c r="E1437" s="4" t="s">
        <v>25</v>
      </c>
      <c r="F1437" s="4" t="s">
        <v>25</v>
      </c>
      <c r="G1437" s="4" t="s">
        <v>25</v>
      </c>
      <c r="H1437" s="4" t="s">
        <v>35</v>
      </c>
      <c r="I1437" s="5">
        <v>43952</v>
      </c>
      <c r="J1437" s="6">
        <v>360</v>
      </c>
      <c r="K1437" s="6">
        <v>360</v>
      </c>
      <c r="L1437" s="6">
        <v>13.564</v>
      </c>
      <c r="M1437" s="6">
        <v>13.564</v>
      </c>
      <c r="N1437" s="6">
        <v>13.564</v>
      </c>
      <c r="O1437" s="6">
        <v>13.564</v>
      </c>
      <c r="P1437" s="6">
        <v>0</v>
      </c>
      <c r="Q1437" s="4" t="s">
        <v>26</v>
      </c>
      <c r="R1437" s="4">
        <v>0</v>
      </c>
      <c r="S1437" s="6">
        <v>31</v>
      </c>
      <c r="T1437" s="6">
        <v>33</v>
      </c>
      <c r="U1437" s="6">
        <v>83</v>
      </c>
      <c r="V1437" s="6">
        <f>IF(ISERROR(VLOOKUP($S$1437,'TAR FIN'!$A$1:$O$120,15,0)),0,VLOOKUP($S$1437,'TAR FIN'!$A$1:$O$120,15,0))</f>
        <v>43.76</v>
      </c>
      <c r="W1437" s="6">
        <f>IF(ISERROR(VLOOKUP($T$1437,'TAR FIN'!$A$1:$O$120,15,0)),0,VLOOKUP($T$1437,'TAR FIN'!$A$1:$O$120,15,0))</f>
        <v>109.75</v>
      </c>
      <c r="X1437" s="6">
        <f>IF(ISERROR(VLOOKUP($U$1437,'TAR FIN'!$A$1:$O$120,15,0)),0,VLOOKUP($U$1437,'TAR FIN'!$A$1:$O$120,15,0))</f>
        <v>430.87</v>
      </c>
      <c r="Y1437" s="6">
        <f ca="1">('TUSD BE'!$AM$39+'TUSD BF'!$AM$39+'TUSD CVA'!$AM$39)*1</f>
        <v>49.088494763430781</v>
      </c>
      <c r="Z1437" s="6">
        <f ca="1">('TUSD BE'!$AM$41+'TUSD BF'!$AM$41+'TUSD CVA'!$AM$41)*1</f>
        <v>112.97896283052546</v>
      </c>
      <c r="AA1437" s="6">
        <f>('TE BE'!$AA$13+'TE BF'!$AA$13+'TE CVA'!$AA$13)*1</f>
        <v>375.69180268700768</v>
      </c>
      <c r="AB1437" s="6">
        <f>$K$1437*$V$1437</f>
        <v>15753.599999999999</v>
      </c>
      <c r="AC1437" s="6">
        <f>$M$1437*$W$1437</f>
        <v>1488.6490000000001</v>
      </c>
      <c r="AD1437" s="6">
        <f>$O$1437*$X$1437</f>
        <v>5844.3206799999998</v>
      </c>
      <c r="AE1437" s="6">
        <f ca="1">$K$1437*$Y$1437</f>
        <v>17671.858114835082</v>
      </c>
      <c r="AF1437" s="6">
        <f ca="1">$M$1437*$Z$1437</f>
        <v>1532.4466518332474</v>
      </c>
      <c r="AG1437" s="6">
        <f>$O$1437*$AA$1437</f>
        <v>5095.8836116465718</v>
      </c>
    </row>
    <row r="1438" spans="1:33" ht="11.25" customHeight="1" x14ac:dyDescent="0.25">
      <c r="A1438" s="4" t="s">
        <v>21</v>
      </c>
      <c r="B1438" s="4" t="s">
        <v>44</v>
      </c>
      <c r="C1438" s="4" t="s">
        <v>41</v>
      </c>
      <c r="D1438" s="4" t="s">
        <v>48</v>
      </c>
      <c r="E1438" s="4" t="s">
        <v>25</v>
      </c>
      <c r="F1438" s="4" t="s">
        <v>25</v>
      </c>
      <c r="G1438" s="4" t="s">
        <v>25</v>
      </c>
      <c r="H1438" s="4" t="s">
        <v>35</v>
      </c>
      <c r="I1438" s="5">
        <v>43983</v>
      </c>
      <c r="J1438" s="6">
        <v>11840</v>
      </c>
      <c r="K1438" s="6">
        <v>11840</v>
      </c>
      <c r="L1438" s="6">
        <v>280.43900000000002</v>
      </c>
      <c r="M1438" s="6">
        <v>280.43900000000002</v>
      </c>
      <c r="N1438" s="6">
        <v>280.43900000000002</v>
      </c>
      <c r="O1438" s="6">
        <v>280.43900000000002</v>
      </c>
      <c r="P1438" s="6">
        <v>0</v>
      </c>
      <c r="Q1438" s="4" t="s">
        <v>26</v>
      </c>
      <c r="R1438" s="4">
        <v>0</v>
      </c>
      <c r="S1438" s="6">
        <v>31</v>
      </c>
      <c r="T1438" s="6">
        <v>33</v>
      </c>
      <c r="U1438" s="6">
        <v>83</v>
      </c>
      <c r="V1438" s="6">
        <f>IF(ISERROR(VLOOKUP($S$1438,'TAR FIN'!$A$1:$O$120,15,0)),0,VLOOKUP($S$1438,'TAR FIN'!$A$1:$O$120,15,0))</f>
        <v>43.76</v>
      </c>
      <c r="W1438" s="6">
        <f>IF(ISERROR(VLOOKUP($T$1438,'TAR FIN'!$A$1:$O$120,15,0)),0,VLOOKUP($T$1438,'TAR FIN'!$A$1:$O$120,15,0))</f>
        <v>109.75</v>
      </c>
      <c r="X1438" s="6">
        <f>IF(ISERROR(VLOOKUP($U$1438,'TAR FIN'!$A$1:$O$120,15,0)),0,VLOOKUP($U$1438,'TAR FIN'!$A$1:$O$120,15,0))</f>
        <v>430.87</v>
      </c>
      <c r="Y1438" s="6">
        <f ca="1">('TUSD BE'!$AM$39+'TUSD BF'!$AM$39+'TUSD CVA'!$AM$39)*1</f>
        <v>49.088494763430781</v>
      </c>
      <c r="Z1438" s="6">
        <f ca="1">('TUSD BE'!$AM$41+'TUSD BF'!$AM$41+'TUSD CVA'!$AM$41)*1</f>
        <v>112.97896283052546</v>
      </c>
      <c r="AA1438" s="6">
        <f>('TE BE'!$AA$13+'TE BF'!$AA$13+'TE CVA'!$AA$13)*1</f>
        <v>375.69180268700768</v>
      </c>
      <c r="AB1438" s="6">
        <f>$K$1438*$V$1438</f>
        <v>518118.39999999997</v>
      </c>
      <c r="AC1438" s="6">
        <f>$M$1438*$W$1438</f>
        <v>30778.180250000001</v>
      </c>
      <c r="AD1438" s="6">
        <f>$O$1438*$X$1438</f>
        <v>120832.75193000001</v>
      </c>
      <c r="AE1438" s="6">
        <f ca="1">$K$1438*$Y$1438</f>
        <v>581207.77799902041</v>
      </c>
      <c r="AF1438" s="6">
        <f ca="1">$M$1438*$Z$1438</f>
        <v>31683.70735722973</v>
      </c>
      <c r="AG1438" s="6">
        <f>$O$1438*$AA$1438</f>
        <v>105358.63345374176</v>
      </c>
    </row>
    <row r="1439" spans="1:33" ht="11.25" customHeight="1" x14ac:dyDescent="0.25">
      <c r="A1439" s="4" t="s">
        <v>27</v>
      </c>
      <c r="B1439" s="4" t="s">
        <v>44</v>
      </c>
      <c r="C1439" s="4" t="s">
        <v>41</v>
      </c>
      <c r="D1439" s="4" t="s">
        <v>48</v>
      </c>
      <c r="E1439" s="4" t="s">
        <v>25</v>
      </c>
      <c r="F1439" s="4" t="s">
        <v>25</v>
      </c>
      <c r="G1439" s="4" t="s">
        <v>25</v>
      </c>
      <c r="H1439" s="4" t="s">
        <v>35</v>
      </c>
      <c r="I1439" s="5">
        <v>43983</v>
      </c>
      <c r="J1439" s="6">
        <v>1610</v>
      </c>
      <c r="K1439" s="6">
        <v>1610</v>
      </c>
      <c r="L1439" s="6">
        <v>30.332999999999998</v>
      </c>
      <c r="M1439" s="6">
        <v>30.332999999999998</v>
      </c>
      <c r="N1439" s="6">
        <v>30.332999999999998</v>
      </c>
      <c r="O1439" s="6">
        <v>30.332999999999998</v>
      </c>
      <c r="P1439" s="6">
        <v>0</v>
      </c>
      <c r="Q1439" s="4" t="s">
        <v>26</v>
      </c>
      <c r="R1439" s="4">
        <v>0</v>
      </c>
      <c r="S1439" s="6">
        <v>31</v>
      </c>
      <c r="T1439" s="6">
        <v>33</v>
      </c>
      <c r="U1439" s="6">
        <v>83</v>
      </c>
      <c r="V1439" s="6">
        <f>IF(ISERROR(VLOOKUP($S$1439,'TAR FIN'!$A$1:$O$120,15,0)),0,VLOOKUP($S$1439,'TAR FIN'!$A$1:$O$120,15,0))</f>
        <v>43.76</v>
      </c>
      <c r="W1439" s="6">
        <f>IF(ISERROR(VLOOKUP($T$1439,'TAR FIN'!$A$1:$O$120,15,0)),0,VLOOKUP($T$1439,'TAR FIN'!$A$1:$O$120,15,0))</f>
        <v>109.75</v>
      </c>
      <c r="X1439" s="6">
        <f>IF(ISERROR(VLOOKUP($U$1439,'TAR FIN'!$A$1:$O$120,15,0)),0,VLOOKUP($U$1439,'TAR FIN'!$A$1:$O$120,15,0))</f>
        <v>430.87</v>
      </c>
      <c r="Y1439" s="6">
        <f ca="1">('TUSD BE'!$AM$39+'TUSD BF'!$AM$39+'TUSD CVA'!$AM$39)*1</f>
        <v>49.088494763430781</v>
      </c>
      <c r="Z1439" s="6">
        <f ca="1">('TUSD BE'!$AM$41+'TUSD BF'!$AM$41+'TUSD CVA'!$AM$41)*1</f>
        <v>112.97896283052546</v>
      </c>
      <c r="AA1439" s="6">
        <f>('TE BE'!$AA$13+'TE BF'!$AA$13+'TE CVA'!$AA$13)*1</f>
        <v>375.69180268700768</v>
      </c>
      <c r="AB1439" s="6">
        <f>$K$1439*$V$1439</f>
        <v>70453.599999999991</v>
      </c>
      <c r="AC1439" s="6">
        <f>$M$1439*$W$1439</f>
        <v>3329.04675</v>
      </c>
      <c r="AD1439" s="6">
        <f>$O$1439*$X$1439</f>
        <v>13069.57971</v>
      </c>
      <c r="AE1439" s="6">
        <f ca="1">$K$1439*$Y$1439</f>
        <v>79032.476569123552</v>
      </c>
      <c r="AF1439" s="6">
        <f ca="1">$M$1439*$Z$1439</f>
        <v>3426.9908795383285</v>
      </c>
      <c r="AG1439" s="6">
        <f>$O$1439*$AA$1439</f>
        <v>11395.859450905004</v>
      </c>
    </row>
    <row r="1440" spans="1:33" ht="11.25" customHeight="1" x14ac:dyDescent="0.25">
      <c r="A1440" s="4" t="s">
        <v>21</v>
      </c>
      <c r="B1440" s="4" t="s">
        <v>44</v>
      </c>
      <c r="C1440" s="4" t="s">
        <v>41</v>
      </c>
      <c r="D1440" s="4" t="s">
        <v>48</v>
      </c>
      <c r="E1440" s="4" t="s">
        <v>25</v>
      </c>
      <c r="F1440" s="4" t="s">
        <v>25</v>
      </c>
      <c r="G1440" s="4" t="s">
        <v>25</v>
      </c>
      <c r="H1440" s="4" t="s">
        <v>35</v>
      </c>
      <c r="I1440" s="5">
        <v>44013</v>
      </c>
      <c r="J1440" s="6">
        <v>12420</v>
      </c>
      <c r="K1440" s="6">
        <v>12420</v>
      </c>
      <c r="L1440" s="6">
        <v>261.53100000000001</v>
      </c>
      <c r="M1440" s="6">
        <v>261.53100000000001</v>
      </c>
      <c r="N1440" s="6">
        <v>261.53100000000001</v>
      </c>
      <c r="O1440" s="6">
        <v>261.53100000000001</v>
      </c>
      <c r="P1440" s="6">
        <v>0</v>
      </c>
      <c r="Q1440" s="4" t="s">
        <v>26</v>
      </c>
      <c r="R1440" s="4">
        <v>0</v>
      </c>
      <c r="S1440" s="6">
        <v>31</v>
      </c>
      <c r="T1440" s="6">
        <v>33</v>
      </c>
      <c r="U1440" s="6">
        <v>83</v>
      </c>
      <c r="V1440" s="6">
        <f>IF(ISERROR(VLOOKUP($S$1440,'TAR FIN'!$A$1:$O$120,15,0)),0,VLOOKUP($S$1440,'TAR FIN'!$A$1:$O$120,15,0))</f>
        <v>43.76</v>
      </c>
      <c r="W1440" s="6">
        <f>IF(ISERROR(VLOOKUP($T$1440,'TAR FIN'!$A$1:$O$120,15,0)),0,VLOOKUP($T$1440,'TAR FIN'!$A$1:$O$120,15,0))</f>
        <v>109.75</v>
      </c>
      <c r="X1440" s="6">
        <f>IF(ISERROR(VLOOKUP($U$1440,'TAR FIN'!$A$1:$O$120,15,0)),0,VLOOKUP($U$1440,'TAR FIN'!$A$1:$O$120,15,0))</f>
        <v>430.87</v>
      </c>
      <c r="Y1440" s="6">
        <f ca="1">('TUSD BE'!$AM$39+'TUSD BF'!$AM$39+'TUSD CVA'!$AM$39)*1</f>
        <v>49.088494763430781</v>
      </c>
      <c r="Z1440" s="6">
        <f ca="1">('TUSD BE'!$AM$41+'TUSD BF'!$AM$41+'TUSD CVA'!$AM$41)*1</f>
        <v>112.97896283052546</v>
      </c>
      <c r="AA1440" s="6">
        <f>('TE BE'!$AA$13+'TE BF'!$AA$13+'TE CVA'!$AA$13)*1</f>
        <v>375.69180268700768</v>
      </c>
      <c r="AB1440" s="6">
        <f>$K$1440*$V$1440</f>
        <v>543499.19999999995</v>
      </c>
      <c r="AC1440" s="6">
        <f>$M$1440*$W$1440</f>
        <v>28703.027249999999</v>
      </c>
      <c r="AD1440" s="6">
        <f>$O$1440*$X$1440</f>
        <v>112685.86197</v>
      </c>
      <c r="AE1440" s="6">
        <f ca="1">$K$1440*$Y$1440</f>
        <v>609679.10496181028</v>
      </c>
      <c r="AF1440" s="6">
        <f ca="1">$M$1440*$Z$1440</f>
        <v>29547.501128030155</v>
      </c>
      <c r="AG1440" s="6">
        <f>$O$1440*$AA$1440</f>
        <v>98255.052848535808</v>
      </c>
    </row>
    <row r="1441" spans="1:33" ht="11.25" customHeight="1" x14ac:dyDescent="0.25">
      <c r="A1441" s="4" t="s">
        <v>27</v>
      </c>
      <c r="B1441" s="4" t="s">
        <v>44</v>
      </c>
      <c r="C1441" s="4" t="s">
        <v>41</v>
      </c>
      <c r="D1441" s="4" t="s">
        <v>48</v>
      </c>
      <c r="E1441" s="4" t="s">
        <v>25</v>
      </c>
      <c r="F1441" s="4" t="s">
        <v>25</v>
      </c>
      <c r="G1441" s="4" t="s">
        <v>25</v>
      </c>
      <c r="H1441" s="4" t="s">
        <v>35</v>
      </c>
      <c r="I1441" s="5">
        <v>44013</v>
      </c>
      <c r="J1441" s="6">
        <v>360</v>
      </c>
      <c r="K1441" s="6">
        <v>360</v>
      </c>
      <c r="L1441" s="6">
        <v>5.2149999999999999</v>
      </c>
      <c r="M1441" s="6">
        <v>5.2149999999999999</v>
      </c>
      <c r="N1441" s="6">
        <v>5.2149999999999999</v>
      </c>
      <c r="O1441" s="6">
        <v>5.2149999999999999</v>
      </c>
      <c r="P1441" s="6">
        <v>0</v>
      </c>
      <c r="Q1441" s="4" t="s">
        <v>26</v>
      </c>
      <c r="R1441" s="4">
        <v>0</v>
      </c>
      <c r="S1441" s="6">
        <v>31</v>
      </c>
      <c r="T1441" s="6">
        <v>33</v>
      </c>
      <c r="U1441" s="6">
        <v>83</v>
      </c>
      <c r="V1441" s="6">
        <f>IF(ISERROR(VLOOKUP($S$1441,'TAR FIN'!$A$1:$O$120,15,0)),0,VLOOKUP($S$1441,'TAR FIN'!$A$1:$O$120,15,0))</f>
        <v>43.76</v>
      </c>
      <c r="W1441" s="6">
        <f>IF(ISERROR(VLOOKUP($T$1441,'TAR FIN'!$A$1:$O$120,15,0)),0,VLOOKUP($T$1441,'TAR FIN'!$A$1:$O$120,15,0))</f>
        <v>109.75</v>
      </c>
      <c r="X1441" s="6">
        <f>IF(ISERROR(VLOOKUP($U$1441,'TAR FIN'!$A$1:$O$120,15,0)),0,VLOOKUP($U$1441,'TAR FIN'!$A$1:$O$120,15,0))</f>
        <v>430.87</v>
      </c>
      <c r="Y1441" s="6">
        <f ca="1">('TUSD BE'!$AM$39+'TUSD BF'!$AM$39+'TUSD CVA'!$AM$39)*1</f>
        <v>49.088494763430781</v>
      </c>
      <c r="Z1441" s="6">
        <f ca="1">('TUSD BE'!$AM$41+'TUSD BF'!$AM$41+'TUSD CVA'!$AM$41)*1</f>
        <v>112.97896283052546</v>
      </c>
      <c r="AA1441" s="6">
        <f>('TE BE'!$AA$13+'TE BF'!$AA$13+'TE CVA'!$AA$13)*1</f>
        <v>375.69180268700768</v>
      </c>
      <c r="AB1441" s="6">
        <f>$K$1441*$V$1441</f>
        <v>15753.599999999999</v>
      </c>
      <c r="AC1441" s="6">
        <f>$M$1441*$W$1441</f>
        <v>572.34624999999994</v>
      </c>
      <c r="AD1441" s="6">
        <f>$O$1441*$X$1441</f>
        <v>2246.9870500000002</v>
      </c>
      <c r="AE1441" s="6">
        <f ca="1">$K$1441*$Y$1441</f>
        <v>17671.858114835082</v>
      </c>
      <c r="AF1441" s="6">
        <f ca="1">$M$1441*$Z$1441</f>
        <v>589.18529116119021</v>
      </c>
      <c r="AG1441" s="6">
        <f>$O$1441*$AA$1441</f>
        <v>1959.232751012745</v>
      </c>
    </row>
    <row r="1442" spans="1:33" ht="11.25" customHeight="1" x14ac:dyDescent="0.25">
      <c r="A1442" s="4" t="s">
        <v>21</v>
      </c>
      <c r="B1442" s="4" t="s">
        <v>44</v>
      </c>
      <c r="C1442" s="4" t="s">
        <v>41</v>
      </c>
      <c r="D1442" s="4" t="s">
        <v>48</v>
      </c>
      <c r="E1442" s="4" t="s">
        <v>25</v>
      </c>
      <c r="F1442" s="4" t="s">
        <v>25</v>
      </c>
      <c r="G1442" s="4" t="s">
        <v>25</v>
      </c>
      <c r="H1442" s="4" t="s">
        <v>35</v>
      </c>
      <c r="I1442" s="5">
        <v>44044</v>
      </c>
      <c r="J1442" s="6">
        <v>12420</v>
      </c>
      <c r="K1442" s="6">
        <v>12420</v>
      </c>
      <c r="L1442" s="6">
        <v>271.39800000000002</v>
      </c>
      <c r="M1442" s="6">
        <v>271.39800000000002</v>
      </c>
      <c r="N1442" s="6">
        <v>271.39800000000002</v>
      </c>
      <c r="O1442" s="6">
        <v>271.39800000000002</v>
      </c>
      <c r="P1442" s="6">
        <v>0</v>
      </c>
      <c r="Q1442" s="4" t="s">
        <v>26</v>
      </c>
      <c r="R1442" s="4">
        <v>0</v>
      </c>
      <c r="S1442" s="6">
        <v>31</v>
      </c>
      <c r="T1442" s="6">
        <v>33</v>
      </c>
      <c r="U1442" s="6">
        <v>83</v>
      </c>
      <c r="V1442" s="6">
        <f>IF(ISERROR(VLOOKUP($S$1442,'TAR FIN'!$A$1:$O$120,15,0)),0,VLOOKUP($S$1442,'TAR FIN'!$A$1:$O$120,15,0))</f>
        <v>43.76</v>
      </c>
      <c r="W1442" s="6">
        <f>IF(ISERROR(VLOOKUP($T$1442,'TAR FIN'!$A$1:$O$120,15,0)),0,VLOOKUP($T$1442,'TAR FIN'!$A$1:$O$120,15,0))</f>
        <v>109.75</v>
      </c>
      <c r="X1442" s="6">
        <f>IF(ISERROR(VLOOKUP($U$1442,'TAR FIN'!$A$1:$O$120,15,0)),0,VLOOKUP($U$1442,'TAR FIN'!$A$1:$O$120,15,0))</f>
        <v>430.87</v>
      </c>
      <c r="Y1442" s="6">
        <f ca="1">('TUSD BE'!$AM$39+'TUSD BF'!$AM$39+'TUSD CVA'!$AM$39)*1</f>
        <v>49.088494763430781</v>
      </c>
      <c r="Z1442" s="6">
        <f ca="1">('TUSD BE'!$AM$41+'TUSD BF'!$AM$41+'TUSD CVA'!$AM$41)*1</f>
        <v>112.97896283052546</v>
      </c>
      <c r="AA1442" s="6">
        <f>('TE BE'!$AA$13+'TE BF'!$AA$13+'TE CVA'!$AA$13)*1</f>
        <v>375.69180268700768</v>
      </c>
      <c r="AB1442" s="6">
        <f>$K$1442*$V$1442</f>
        <v>543499.19999999995</v>
      </c>
      <c r="AC1442" s="6">
        <f>$M$1442*$W$1442</f>
        <v>29785.930500000002</v>
      </c>
      <c r="AD1442" s="6">
        <f>$O$1442*$X$1442</f>
        <v>116937.25626000001</v>
      </c>
      <c r="AE1442" s="6">
        <f ca="1">$K$1442*$Y$1442</f>
        <v>609679.10496181028</v>
      </c>
      <c r="AF1442" s="6">
        <f ca="1">$M$1442*$Z$1442</f>
        <v>30662.264554278951</v>
      </c>
      <c r="AG1442" s="6">
        <f>$O$1442*$AA$1442</f>
        <v>101962.00386564853</v>
      </c>
    </row>
    <row r="1443" spans="1:33" ht="11.25" customHeight="1" x14ac:dyDescent="0.25">
      <c r="A1443" s="4" t="s">
        <v>27</v>
      </c>
      <c r="B1443" s="4" t="s">
        <v>44</v>
      </c>
      <c r="C1443" s="4" t="s">
        <v>41</v>
      </c>
      <c r="D1443" s="4" t="s">
        <v>48</v>
      </c>
      <c r="E1443" s="4" t="s">
        <v>25</v>
      </c>
      <c r="F1443" s="4" t="s">
        <v>25</v>
      </c>
      <c r="G1443" s="4" t="s">
        <v>25</v>
      </c>
      <c r="H1443" s="4" t="s">
        <v>35</v>
      </c>
      <c r="I1443" s="5">
        <v>44044</v>
      </c>
      <c r="J1443" s="6">
        <v>360</v>
      </c>
      <c r="K1443" s="6">
        <v>360</v>
      </c>
      <c r="L1443" s="6">
        <v>14.36</v>
      </c>
      <c r="M1443" s="6">
        <v>14.36</v>
      </c>
      <c r="N1443" s="6">
        <v>14.36</v>
      </c>
      <c r="O1443" s="6">
        <v>14.36</v>
      </c>
      <c r="P1443" s="6">
        <v>0</v>
      </c>
      <c r="Q1443" s="4" t="s">
        <v>26</v>
      </c>
      <c r="R1443" s="4">
        <v>0</v>
      </c>
      <c r="S1443" s="6">
        <v>31</v>
      </c>
      <c r="T1443" s="6">
        <v>33</v>
      </c>
      <c r="U1443" s="6">
        <v>83</v>
      </c>
      <c r="V1443" s="6">
        <f>IF(ISERROR(VLOOKUP($S$1443,'TAR FIN'!$A$1:$O$120,15,0)),0,VLOOKUP($S$1443,'TAR FIN'!$A$1:$O$120,15,0))</f>
        <v>43.76</v>
      </c>
      <c r="W1443" s="6">
        <f>IF(ISERROR(VLOOKUP($T$1443,'TAR FIN'!$A$1:$O$120,15,0)),0,VLOOKUP($T$1443,'TAR FIN'!$A$1:$O$120,15,0))</f>
        <v>109.75</v>
      </c>
      <c r="X1443" s="6">
        <f>IF(ISERROR(VLOOKUP($U$1443,'TAR FIN'!$A$1:$O$120,15,0)),0,VLOOKUP($U$1443,'TAR FIN'!$A$1:$O$120,15,0))</f>
        <v>430.87</v>
      </c>
      <c r="Y1443" s="6">
        <f ca="1">('TUSD BE'!$AM$39+'TUSD BF'!$AM$39+'TUSD CVA'!$AM$39)*1</f>
        <v>49.088494763430781</v>
      </c>
      <c r="Z1443" s="6">
        <f ca="1">('TUSD BE'!$AM$41+'TUSD BF'!$AM$41+'TUSD CVA'!$AM$41)*1</f>
        <v>112.97896283052546</v>
      </c>
      <c r="AA1443" s="6">
        <f>('TE BE'!$AA$13+'TE BF'!$AA$13+'TE CVA'!$AA$13)*1</f>
        <v>375.69180268700768</v>
      </c>
      <c r="AB1443" s="6">
        <f>$K$1443*$V$1443</f>
        <v>15753.599999999999</v>
      </c>
      <c r="AC1443" s="6">
        <f>$M$1443*$W$1443</f>
        <v>1576.01</v>
      </c>
      <c r="AD1443" s="6">
        <f>$O$1443*$X$1443</f>
        <v>6187.2932000000001</v>
      </c>
      <c r="AE1443" s="6">
        <f ca="1">$K$1443*$Y$1443</f>
        <v>17671.858114835082</v>
      </c>
      <c r="AF1443" s="6">
        <f ca="1">$M$1443*$Z$1443</f>
        <v>1622.3779062463454</v>
      </c>
      <c r="AG1443" s="6">
        <f>$O$1443*$AA$1443</f>
        <v>5394.9342865854305</v>
      </c>
    </row>
    <row r="1444" spans="1:33" ht="11.25" customHeight="1" x14ac:dyDescent="0.25">
      <c r="A1444" s="4" t="s">
        <v>59</v>
      </c>
      <c r="B1444" s="4" t="s">
        <v>44</v>
      </c>
      <c r="C1444" s="4" t="s">
        <v>41</v>
      </c>
      <c r="D1444" s="4" t="s">
        <v>48</v>
      </c>
      <c r="E1444" s="4" t="s">
        <v>25</v>
      </c>
      <c r="F1444" s="4" t="s">
        <v>25</v>
      </c>
      <c r="G1444" s="4" t="s">
        <v>25</v>
      </c>
      <c r="H1444" s="4" t="s">
        <v>35</v>
      </c>
      <c r="I1444" s="5">
        <v>44075</v>
      </c>
      <c r="J1444" s="6">
        <v>12420</v>
      </c>
      <c r="K1444" s="6">
        <v>12420</v>
      </c>
      <c r="L1444" s="6">
        <v>271.39800000000002</v>
      </c>
      <c r="M1444" s="6">
        <v>271.39800000000002</v>
      </c>
      <c r="N1444" s="6">
        <v>271.39800000000002</v>
      </c>
      <c r="O1444" s="6">
        <v>271.39800000000002</v>
      </c>
      <c r="P1444" s="6">
        <v>0</v>
      </c>
      <c r="Q1444" s="4" t="s">
        <v>26</v>
      </c>
      <c r="R1444" s="4">
        <v>0</v>
      </c>
      <c r="S1444" s="6">
        <v>31</v>
      </c>
      <c r="T1444" s="6">
        <v>33</v>
      </c>
      <c r="U1444" s="6">
        <v>83</v>
      </c>
      <c r="V1444" s="6">
        <f>IF(ISERROR(VLOOKUP($S$1444,'TAR FIN'!$A$1:$O$120,15,0)),0,VLOOKUP($S$1444,'TAR FIN'!$A$1:$O$120,15,0))</f>
        <v>43.76</v>
      </c>
      <c r="W1444" s="6">
        <f>IF(ISERROR(VLOOKUP($T$1444,'TAR FIN'!$A$1:$O$120,15,0)),0,VLOOKUP($T$1444,'TAR FIN'!$A$1:$O$120,15,0))</f>
        <v>109.75</v>
      </c>
      <c r="X1444" s="6">
        <f>IF(ISERROR(VLOOKUP($U$1444,'TAR FIN'!$A$1:$O$120,15,0)),0,VLOOKUP($U$1444,'TAR FIN'!$A$1:$O$120,15,0))</f>
        <v>430.87</v>
      </c>
      <c r="Y1444" s="6">
        <f ca="1">('TUSD BE'!$AM$39+'TUSD BF'!$AM$39+'TUSD CVA'!$AM$39)*1</f>
        <v>49.088494763430781</v>
      </c>
      <c r="Z1444" s="6">
        <f ca="1">('TUSD BE'!$AM$41+'TUSD BF'!$AM$41+'TUSD CVA'!$AM$41)*1</f>
        <v>112.97896283052546</v>
      </c>
      <c r="AA1444" s="6">
        <f>('TE BE'!$AA$13+'TE BF'!$AA$13+'TE CVA'!$AA$13)*1</f>
        <v>375.69180268700768</v>
      </c>
      <c r="AB1444" s="6">
        <f>$K$1444*$V$1444</f>
        <v>543499.19999999995</v>
      </c>
      <c r="AC1444" s="6">
        <f>$M$1444*$W$1444</f>
        <v>29785.930500000002</v>
      </c>
      <c r="AD1444" s="6">
        <f>$O$1444*$X$1444</f>
        <v>116937.25626000001</v>
      </c>
      <c r="AE1444" s="6">
        <f ca="1">$K$1444*$Y$1444</f>
        <v>609679.10496181028</v>
      </c>
      <c r="AF1444" s="6">
        <f ca="1">$M$1444*$Z$1444</f>
        <v>30662.264554278951</v>
      </c>
      <c r="AG1444" s="6">
        <f>$O$1444*$AA$1444</f>
        <v>101962.00386564853</v>
      </c>
    </row>
    <row r="1445" spans="1:33" ht="11.25" customHeight="1" x14ac:dyDescent="0.25">
      <c r="A1445" s="4" t="s">
        <v>59</v>
      </c>
      <c r="B1445" s="4" t="s">
        <v>44</v>
      </c>
      <c r="C1445" s="4" t="s">
        <v>41</v>
      </c>
      <c r="D1445" s="4" t="s">
        <v>48</v>
      </c>
      <c r="E1445" s="4" t="s">
        <v>25</v>
      </c>
      <c r="F1445" s="4" t="s">
        <v>25</v>
      </c>
      <c r="G1445" s="4" t="s">
        <v>25</v>
      </c>
      <c r="H1445" s="4" t="s">
        <v>35</v>
      </c>
      <c r="I1445" s="5">
        <v>44075</v>
      </c>
      <c r="J1445" s="6">
        <v>360</v>
      </c>
      <c r="K1445" s="6">
        <v>360</v>
      </c>
      <c r="L1445" s="6">
        <v>14.36</v>
      </c>
      <c r="M1445" s="6">
        <v>14.36</v>
      </c>
      <c r="N1445" s="6">
        <v>14.36</v>
      </c>
      <c r="O1445" s="6">
        <v>14.36</v>
      </c>
      <c r="P1445" s="6">
        <v>0</v>
      </c>
      <c r="Q1445" s="4" t="s">
        <v>26</v>
      </c>
      <c r="R1445" s="4">
        <v>0</v>
      </c>
      <c r="S1445" s="6">
        <v>31</v>
      </c>
      <c r="T1445" s="6">
        <v>33</v>
      </c>
      <c r="U1445" s="6">
        <v>83</v>
      </c>
      <c r="V1445" s="6">
        <f>IF(ISERROR(VLOOKUP($S$1445,'TAR FIN'!$A$1:$O$120,15,0)),0,VLOOKUP($S$1445,'TAR FIN'!$A$1:$O$120,15,0))</f>
        <v>43.76</v>
      </c>
      <c r="W1445" s="6">
        <f>IF(ISERROR(VLOOKUP($T$1445,'TAR FIN'!$A$1:$O$120,15,0)),0,VLOOKUP($T$1445,'TAR FIN'!$A$1:$O$120,15,0))</f>
        <v>109.75</v>
      </c>
      <c r="X1445" s="6">
        <f>IF(ISERROR(VLOOKUP($U$1445,'TAR FIN'!$A$1:$O$120,15,0)),0,VLOOKUP($U$1445,'TAR FIN'!$A$1:$O$120,15,0))</f>
        <v>430.87</v>
      </c>
      <c r="Y1445" s="6">
        <f ca="1">('TUSD BE'!$AM$39+'TUSD BF'!$AM$39+'TUSD CVA'!$AM$39)*1</f>
        <v>49.088494763430781</v>
      </c>
      <c r="Z1445" s="6">
        <f ca="1">('TUSD BE'!$AM$41+'TUSD BF'!$AM$41+'TUSD CVA'!$AM$41)*1</f>
        <v>112.97896283052546</v>
      </c>
      <c r="AA1445" s="6">
        <f>('TE BE'!$AA$13+'TE BF'!$AA$13+'TE CVA'!$AA$13)*1</f>
        <v>375.69180268700768</v>
      </c>
      <c r="AB1445" s="6">
        <f>$K$1445*$V$1445</f>
        <v>15753.599999999999</v>
      </c>
      <c r="AC1445" s="6">
        <f>$M$1445*$W$1445</f>
        <v>1576.01</v>
      </c>
      <c r="AD1445" s="6">
        <f>$O$1445*$X$1445</f>
        <v>6187.2932000000001</v>
      </c>
      <c r="AE1445" s="6">
        <f ca="1">$K$1445*$Y$1445</f>
        <v>17671.858114835082</v>
      </c>
      <c r="AF1445" s="6">
        <f ca="1">$M$1445*$Z$1445</f>
        <v>1622.3779062463454</v>
      </c>
      <c r="AG1445" s="6">
        <f>$O$1445*$AA$1445</f>
        <v>5394.9342865854305</v>
      </c>
    </row>
    <row r="1446" spans="1:33" ht="11.25" customHeight="1" x14ac:dyDescent="0.25">
      <c r="A1446" s="4" t="s">
        <v>21</v>
      </c>
      <c r="B1446" s="4" t="s">
        <v>44</v>
      </c>
      <c r="C1446" s="4" t="s">
        <v>34</v>
      </c>
      <c r="D1446" s="4" t="s">
        <v>42</v>
      </c>
      <c r="E1446" s="4" t="s">
        <v>25</v>
      </c>
      <c r="F1446" s="4" t="s">
        <v>25</v>
      </c>
      <c r="G1446" s="4" t="s">
        <v>25</v>
      </c>
      <c r="H1446" s="4" t="s">
        <v>36</v>
      </c>
      <c r="I1446" s="5">
        <v>43739</v>
      </c>
      <c r="J1446" s="6">
        <v>0</v>
      </c>
      <c r="K1446" s="6">
        <v>0</v>
      </c>
      <c r="L1446" s="6">
        <v>6523.6260000000002</v>
      </c>
      <c r="M1446" s="6">
        <v>6523.6260000000002</v>
      </c>
      <c r="N1446" s="6">
        <v>6523.6260000000002</v>
      </c>
      <c r="O1446" s="6">
        <v>6523.6260000000002</v>
      </c>
      <c r="P1446" s="6">
        <v>0</v>
      </c>
      <c r="Q1446" s="4" t="s">
        <v>26</v>
      </c>
      <c r="R1446" s="4">
        <v>0</v>
      </c>
      <c r="S1446" s="6">
        <v>0</v>
      </c>
      <c r="T1446" s="6">
        <v>37</v>
      </c>
      <c r="U1446" s="6">
        <v>84</v>
      </c>
      <c r="V1446" s="6">
        <f>IF(ISERROR(VLOOKUP($S$1446,'TAR FIN'!$A$1:$O$120,15,0)),0,VLOOKUP($S$1446,'TAR FIN'!$A$1:$O$120,15,0))</f>
        <v>0</v>
      </c>
      <c r="W1446" s="6">
        <f>IF(ISERROR(VLOOKUP($T$1446,'TAR FIN'!$A$1:$O$120,15,0)),0,VLOOKUP($T$1446,'TAR FIN'!$A$1:$O$120,15,0))</f>
        <v>109.75</v>
      </c>
      <c r="X1446" s="6">
        <f>IF(ISERROR(VLOOKUP($U$1446,'TAR FIN'!$A$1:$O$120,15,0)),0,VLOOKUP($U$1446,'TAR FIN'!$A$1:$O$120,15,0))</f>
        <v>256.38</v>
      </c>
      <c r="Y1446" s="6"/>
      <c r="Z1446" s="6">
        <f ca="1">('TUSD BE'!$AM$45+'TUSD BF'!$AM$45+'TUSD CVA'!$AM$45)*1</f>
        <v>112.97896283052546</v>
      </c>
      <c r="AA1446" s="6">
        <f>('TE BE'!$AA$14+'TE BF'!$AA$14+'TE CVA'!$AA$14)*1</f>
        <v>230.83420940933817</v>
      </c>
      <c r="AB1446" s="6">
        <f>$K$1446*$V$1446</f>
        <v>0</v>
      </c>
      <c r="AC1446" s="6">
        <f>$M$1446*$W$1446</f>
        <v>715967.95350000006</v>
      </c>
      <c r="AD1446" s="6">
        <f>$O$1446*$X$1446</f>
        <v>1672527.23388</v>
      </c>
      <c r="AE1446" s="6">
        <f>$K$1446*$Y$1446</f>
        <v>0</v>
      </c>
      <c r="AF1446" s="6">
        <f ca="1">$M$1446*$Z$1446</f>
        <v>737032.49937424948</v>
      </c>
      <c r="AG1446" s="6">
        <f>$O$1446*$AA$1446</f>
        <v>1505876.0501922031</v>
      </c>
    </row>
    <row r="1447" spans="1:33" ht="11.25" customHeight="1" x14ac:dyDescent="0.25">
      <c r="A1447" s="4" t="s">
        <v>28</v>
      </c>
      <c r="B1447" s="4" t="s">
        <v>44</v>
      </c>
      <c r="C1447" s="4" t="s">
        <v>34</v>
      </c>
      <c r="D1447" s="4" t="s">
        <v>42</v>
      </c>
      <c r="E1447" s="4" t="s">
        <v>25</v>
      </c>
      <c r="F1447" s="4" t="s">
        <v>25</v>
      </c>
      <c r="G1447" s="4" t="s">
        <v>25</v>
      </c>
      <c r="H1447" s="4" t="s">
        <v>36</v>
      </c>
      <c r="I1447" s="5">
        <v>43739</v>
      </c>
      <c r="J1447" s="6">
        <v>0</v>
      </c>
      <c r="K1447" s="6">
        <v>0</v>
      </c>
      <c r="L1447" s="6">
        <v>383.14299999999997</v>
      </c>
      <c r="M1447" s="6">
        <v>383.14299999999997</v>
      </c>
      <c r="N1447" s="6">
        <v>383.14299999999997</v>
      </c>
      <c r="O1447" s="6">
        <v>383.14299999999997</v>
      </c>
      <c r="P1447" s="6">
        <v>0</v>
      </c>
      <c r="Q1447" s="4" t="s">
        <v>26</v>
      </c>
      <c r="R1447" s="4">
        <v>0</v>
      </c>
      <c r="S1447" s="6">
        <v>0</v>
      </c>
      <c r="T1447" s="6">
        <v>37</v>
      </c>
      <c r="U1447" s="6">
        <v>84</v>
      </c>
      <c r="V1447" s="6">
        <f>IF(ISERROR(VLOOKUP($S$1447,'TAR FIN'!$A$1:$O$120,15,0)),0,VLOOKUP($S$1447,'TAR FIN'!$A$1:$O$120,15,0))</f>
        <v>0</v>
      </c>
      <c r="W1447" s="6">
        <f>IF(ISERROR(VLOOKUP($T$1447,'TAR FIN'!$A$1:$O$120,15,0)),0,VLOOKUP($T$1447,'TAR FIN'!$A$1:$O$120,15,0))</f>
        <v>109.75</v>
      </c>
      <c r="X1447" s="6">
        <f>IF(ISERROR(VLOOKUP($U$1447,'TAR FIN'!$A$1:$O$120,15,0)),0,VLOOKUP($U$1447,'TAR FIN'!$A$1:$O$120,15,0))</f>
        <v>256.38</v>
      </c>
      <c r="Y1447" s="6"/>
      <c r="Z1447" s="6">
        <f ca="1">('TUSD BE'!$AM$45+'TUSD BF'!$AM$45+'TUSD CVA'!$AM$45)*1</f>
        <v>112.97896283052546</v>
      </c>
      <c r="AA1447" s="6">
        <f>('TE BE'!$AA$14+'TE BF'!$AA$14+'TE CVA'!$AA$14)*1</f>
        <v>230.83420940933817</v>
      </c>
      <c r="AB1447" s="6">
        <f>$K$1447*$V$1447</f>
        <v>0</v>
      </c>
      <c r="AC1447" s="6">
        <f>$M$1447*$W$1447</f>
        <v>42049.94425</v>
      </c>
      <c r="AD1447" s="6">
        <f>$O$1447*$X$1447</f>
        <v>98230.202339999989</v>
      </c>
      <c r="AE1447" s="6">
        <f>$K$1447*$Y$1447</f>
        <v>0</v>
      </c>
      <c r="AF1447" s="6">
        <f ca="1">$M$1447*$Z$1447</f>
        <v>43287.098755776016</v>
      </c>
      <c r="AG1447" s="6">
        <f>$O$1447*$AA$1447</f>
        <v>88442.51149572205</v>
      </c>
    </row>
    <row r="1448" spans="1:33" ht="11.25" customHeight="1" x14ac:dyDescent="0.25">
      <c r="A1448" s="4" t="s">
        <v>21</v>
      </c>
      <c r="B1448" s="4" t="s">
        <v>44</v>
      </c>
      <c r="C1448" s="4" t="s">
        <v>34</v>
      </c>
      <c r="D1448" s="4" t="s">
        <v>42</v>
      </c>
      <c r="E1448" s="4" t="s">
        <v>25</v>
      </c>
      <c r="F1448" s="4" t="s">
        <v>25</v>
      </c>
      <c r="G1448" s="4" t="s">
        <v>25</v>
      </c>
      <c r="H1448" s="4" t="s">
        <v>36</v>
      </c>
      <c r="I1448" s="5">
        <v>43770</v>
      </c>
      <c r="J1448" s="6">
        <v>0</v>
      </c>
      <c r="K1448" s="6">
        <v>0</v>
      </c>
      <c r="L1448" s="6">
        <v>6340.2920000000004</v>
      </c>
      <c r="M1448" s="6">
        <v>6340.2920000000004</v>
      </c>
      <c r="N1448" s="6">
        <v>6340.2920000000004</v>
      </c>
      <c r="O1448" s="6">
        <v>6340.2920000000004</v>
      </c>
      <c r="P1448" s="6">
        <v>0</v>
      </c>
      <c r="Q1448" s="4" t="s">
        <v>26</v>
      </c>
      <c r="R1448" s="4">
        <v>0</v>
      </c>
      <c r="S1448" s="6">
        <v>0</v>
      </c>
      <c r="T1448" s="6">
        <v>37</v>
      </c>
      <c r="U1448" s="6">
        <v>84</v>
      </c>
      <c r="V1448" s="6">
        <f>IF(ISERROR(VLOOKUP($S$1448,'TAR FIN'!$A$1:$O$120,15,0)),0,VLOOKUP($S$1448,'TAR FIN'!$A$1:$O$120,15,0))</f>
        <v>0</v>
      </c>
      <c r="W1448" s="6">
        <f>IF(ISERROR(VLOOKUP($T$1448,'TAR FIN'!$A$1:$O$120,15,0)),0,VLOOKUP($T$1448,'TAR FIN'!$A$1:$O$120,15,0))</f>
        <v>109.75</v>
      </c>
      <c r="X1448" s="6">
        <f>IF(ISERROR(VLOOKUP($U$1448,'TAR FIN'!$A$1:$O$120,15,0)),0,VLOOKUP($U$1448,'TAR FIN'!$A$1:$O$120,15,0))</f>
        <v>256.38</v>
      </c>
      <c r="Y1448" s="6"/>
      <c r="Z1448" s="6">
        <f ca="1">('TUSD BE'!$AM$45+'TUSD BF'!$AM$45+'TUSD CVA'!$AM$45)*1</f>
        <v>112.97896283052546</v>
      </c>
      <c r="AA1448" s="6">
        <f>('TE BE'!$AA$14+'TE BF'!$AA$14+'TE CVA'!$AA$14)*1</f>
        <v>230.83420940933817</v>
      </c>
      <c r="AB1448" s="6">
        <f>$K$1448*$V$1448</f>
        <v>0</v>
      </c>
      <c r="AC1448" s="6">
        <f>$M$1448*$W$1448</f>
        <v>695847.04700000002</v>
      </c>
      <c r="AD1448" s="6">
        <f>$O$1448*$X$1448</f>
        <v>1625524.06296</v>
      </c>
      <c r="AE1448" s="6">
        <f>$K$1448*$Y$1448</f>
        <v>0</v>
      </c>
      <c r="AF1448" s="6">
        <f ca="1">$M$1448*$Z$1448</f>
        <v>716319.61420267797</v>
      </c>
      <c r="AG1448" s="6">
        <f>$O$1448*$AA$1448</f>
        <v>1463556.2912443515</v>
      </c>
    </row>
    <row r="1449" spans="1:33" ht="11.25" customHeight="1" x14ac:dyDescent="0.25">
      <c r="A1449" s="4" t="s">
        <v>27</v>
      </c>
      <c r="B1449" s="4" t="s">
        <v>44</v>
      </c>
      <c r="C1449" s="4" t="s">
        <v>34</v>
      </c>
      <c r="D1449" s="4" t="s">
        <v>42</v>
      </c>
      <c r="E1449" s="4" t="s">
        <v>25</v>
      </c>
      <c r="F1449" s="4" t="s">
        <v>25</v>
      </c>
      <c r="G1449" s="4" t="s">
        <v>25</v>
      </c>
      <c r="H1449" s="4" t="s">
        <v>36</v>
      </c>
      <c r="I1449" s="5">
        <v>43770</v>
      </c>
      <c r="J1449" s="6">
        <v>0</v>
      </c>
      <c r="K1449" s="6">
        <v>0</v>
      </c>
      <c r="L1449" s="6">
        <v>267.86200000000002</v>
      </c>
      <c r="M1449" s="6">
        <v>267.86200000000002</v>
      </c>
      <c r="N1449" s="6">
        <v>267.86200000000002</v>
      </c>
      <c r="O1449" s="6">
        <v>267.86200000000002</v>
      </c>
      <c r="P1449" s="6">
        <v>0</v>
      </c>
      <c r="Q1449" s="4" t="s">
        <v>26</v>
      </c>
      <c r="R1449" s="4">
        <v>0</v>
      </c>
      <c r="S1449" s="6">
        <v>0</v>
      </c>
      <c r="T1449" s="6">
        <v>37</v>
      </c>
      <c r="U1449" s="6">
        <v>84</v>
      </c>
      <c r="V1449" s="6">
        <f>IF(ISERROR(VLOOKUP($S$1449,'TAR FIN'!$A$1:$O$120,15,0)),0,VLOOKUP($S$1449,'TAR FIN'!$A$1:$O$120,15,0))</f>
        <v>0</v>
      </c>
      <c r="W1449" s="6">
        <f>IF(ISERROR(VLOOKUP($T$1449,'TAR FIN'!$A$1:$O$120,15,0)),0,VLOOKUP($T$1449,'TAR FIN'!$A$1:$O$120,15,0))</f>
        <v>109.75</v>
      </c>
      <c r="X1449" s="6">
        <f>IF(ISERROR(VLOOKUP($U$1449,'TAR FIN'!$A$1:$O$120,15,0)),0,VLOOKUP($U$1449,'TAR FIN'!$A$1:$O$120,15,0))</f>
        <v>256.38</v>
      </c>
      <c r="Y1449" s="6"/>
      <c r="Z1449" s="6">
        <f ca="1">('TUSD BE'!$AM$45+'TUSD BF'!$AM$45+'TUSD CVA'!$AM$45)*1</f>
        <v>112.97896283052546</v>
      </c>
      <c r="AA1449" s="6">
        <f>('TE BE'!$AA$14+'TE BF'!$AA$14+'TE CVA'!$AA$14)*1</f>
        <v>230.83420940933817</v>
      </c>
      <c r="AB1449" s="6">
        <f>$K$1449*$V$1449</f>
        <v>0</v>
      </c>
      <c r="AC1449" s="6">
        <f>$M$1449*$W$1449</f>
        <v>29397.854500000001</v>
      </c>
      <c r="AD1449" s="6">
        <f>$O$1449*$X$1449</f>
        <v>68674.459560000003</v>
      </c>
      <c r="AE1449" s="6">
        <f>$K$1449*$Y$1449</f>
        <v>0</v>
      </c>
      <c r="AF1449" s="6">
        <f ca="1">$M$1449*$Z$1449</f>
        <v>30262.770941710212</v>
      </c>
      <c r="AG1449" s="6">
        <f>$O$1449*$AA$1449</f>
        <v>61831.713000804149</v>
      </c>
    </row>
    <row r="1450" spans="1:33" ht="11.25" customHeight="1" x14ac:dyDescent="0.25">
      <c r="A1450" s="4" t="s">
        <v>28</v>
      </c>
      <c r="B1450" s="4" t="s">
        <v>44</v>
      </c>
      <c r="C1450" s="4" t="s">
        <v>34</v>
      </c>
      <c r="D1450" s="4" t="s">
        <v>42</v>
      </c>
      <c r="E1450" s="4" t="s">
        <v>25</v>
      </c>
      <c r="F1450" s="4" t="s">
        <v>25</v>
      </c>
      <c r="G1450" s="4" t="s">
        <v>25</v>
      </c>
      <c r="H1450" s="4" t="s">
        <v>36</v>
      </c>
      <c r="I1450" s="5">
        <v>43770</v>
      </c>
      <c r="J1450" s="6">
        <v>0</v>
      </c>
      <c r="K1450" s="6">
        <v>0</v>
      </c>
      <c r="L1450" s="6">
        <v>386.67</v>
      </c>
      <c r="M1450" s="6">
        <v>386.67</v>
      </c>
      <c r="N1450" s="6">
        <v>386.67</v>
      </c>
      <c r="O1450" s="6">
        <v>386.67</v>
      </c>
      <c r="P1450" s="6">
        <v>0</v>
      </c>
      <c r="Q1450" s="4" t="s">
        <v>26</v>
      </c>
      <c r="R1450" s="4">
        <v>0</v>
      </c>
      <c r="S1450" s="6">
        <v>0</v>
      </c>
      <c r="T1450" s="6">
        <v>37</v>
      </c>
      <c r="U1450" s="6">
        <v>84</v>
      </c>
      <c r="V1450" s="6">
        <f>IF(ISERROR(VLOOKUP($S$1450,'TAR FIN'!$A$1:$O$120,15,0)),0,VLOOKUP($S$1450,'TAR FIN'!$A$1:$O$120,15,0))</f>
        <v>0</v>
      </c>
      <c r="W1450" s="6">
        <f>IF(ISERROR(VLOOKUP($T$1450,'TAR FIN'!$A$1:$O$120,15,0)),0,VLOOKUP($T$1450,'TAR FIN'!$A$1:$O$120,15,0))</f>
        <v>109.75</v>
      </c>
      <c r="X1450" s="6">
        <f>IF(ISERROR(VLOOKUP($U$1450,'TAR FIN'!$A$1:$O$120,15,0)),0,VLOOKUP($U$1450,'TAR FIN'!$A$1:$O$120,15,0))</f>
        <v>256.38</v>
      </c>
      <c r="Y1450" s="6"/>
      <c r="Z1450" s="6">
        <f ca="1">('TUSD BE'!$AM$45+'TUSD BF'!$AM$45+'TUSD CVA'!$AM$45)*1</f>
        <v>112.97896283052546</v>
      </c>
      <c r="AA1450" s="6">
        <f>('TE BE'!$AA$14+'TE BF'!$AA$14+'TE CVA'!$AA$14)*1</f>
        <v>230.83420940933817</v>
      </c>
      <c r="AB1450" s="6">
        <f>$K$1450*$V$1450</f>
        <v>0</v>
      </c>
      <c r="AC1450" s="6">
        <f>$M$1450*$W$1450</f>
        <v>42437.032500000001</v>
      </c>
      <c r="AD1450" s="6">
        <f>$O$1450*$X$1450</f>
        <v>99134.454599999997</v>
      </c>
      <c r="AE1450" s="6">
        <f>$K$1450*$Y$1450</f>
        <v>0</v>
      </c>
      <c r="AF1450" s="6">
        <f ca="1">$M$1450*$Z$1450</f>
        <v>43685.57555767928</v>
      </c>
      <c r="AG1450" s="6">
        <f>$O$1450*$AA$1450</f>
        <v>89256.663752308799</v>
      </c>
    </row>
    <row r="1451" spans="1:33" ht="11.25" customHeight="1" x14ac:dyDescent="0.25">
      <c r="A1451" s="4" t="s">
        <v>21</v>
      </c>
      <c r="B1451" s="4" t="s">
        <v>44</v>
      </c>
      <c r="C1451" s="4" t="s">
        <v>34</v>
      </c>
      <c r="D1451" s="4" t="s">
        <v>42</v>
      </c>
      <c r="E1451" s="4" t="s">
        <v>25</v>
      </c>
      <c r="F1451" s="4" t="s">
        <v>25</v>
      </c>
      <c r="G1451" s="4" t="s">
        <v>25</v>
      </c>
      <c r="H1451" s="4" t="s">
        <v>36</v>
      </c>
      <c r="I1451" s="5">
        <v>43800</v>
      </c>
      <c r="J1451" s="6">
        <v>0</v>
      </c>
      <c r="K1451" s="6">
        <v>0</v>
      </c>
      <c r="L1451" s="6">
        <v>6326.99</v>
      </c>
      <c r="M1451" s="6">
        <v>6326.99</v>
      </c>
      <c r="N1451" s="6">
        <v>6326.99</v>
      </c>
      <c r="O1451" s="6">
        <v>6326.99</v>
      </c>
      <c r="P1451" s="6">
        <v>0</v>
      </c>
      <c r="Q1451" s="4" t="s">
        <v>26</v>
      </c>
      <c r="R1451" s="4">
        <v>0</v>
      </c>
      <c r="S1451" s="6">
        <v>0</v>
      </c>
      <c r="T1451" s="6">
        <v>37</v>
      </c>
      <c r="U1451" s="6">
        <v>84</v>
      </c>
      <c r="V1451" s="6">
        <f>IF(ISERROR(VLOOKUP($S$1451,'TAR FIN'!$A$1:$O$120,15,0)),0,VLOOKUP($S$1451,'TAR FIN'!$A$1:$O$120,15,0))</f>
        <v>0</v>
      </c>
      <c r="W1451" s="6">
        <f>IF(ISERROR(VLOOKUP($T$1451,'TAR FIN'!$A$1:$O$120,15,0)),0,VLOOKUP($T$1451,'TAR FIN'!$A$1:$O$120,15,0))</f>
        <v>109.75</v>
      </c>
      <c r="X1451" s="6">
        <f>IF(ISERROR(VLOOKUP($U$1451,'TAR FIN'!$A$1:$O$120,15,0)),0,VLOOKUP($U$1451,'TAR FIN'!$A$1:$O$120,15,0))</f>
        <v>256.38</v>
      </c>
      <c r="Y1451" s="6"/>
      <c r="Z1451" s="6">
        <f ca="1">('TUSD BE'!$AM$45+'TUSD BF'!$AM$45+'TUSD CVA'!$AM$45)*1</f>
        <v>112.97896283052546</v>
      </c>
      <c r="AA1451" s="6">
        <f>('TE BE'!$AA$14+'TE BF'!$AA$14+'TE CVA'!$AA$14)*1</f>
        <v>230.83420940933817</v>
      </c>
      <c r="AB1451" s="6">
        <f>$K$1451*$V$1451</f>
        <v>0</v>
      </c>
      <c r="AC1451" s="6">
        <f>$M$1451*$W$1451</f>
        <v>694387.15249999997</v>
      </c>
      <c r="AD1451" s="6">
        <f>$O$1451*$X$1451</f>
        <v>1622113.6961999999</v>
      </c>
      <c r="AE1451" s="6">
        <f>$K$1451*$Y$1451</f>
        <v>0</v>
      </c>
      <c r="AF1451" s="6">
        <f ca="1">$M$1451*$Z$1451</f>
        <v>714816.76803910627</v>
      </c>
      <c r="AG1451" s="6">
        <f>$O$1451*$AA$1451</f>
        <v>1460485.7345907884</v>
      </c>
    </row>
    <row r="1452" spans="1:33" ht="11.25" customHeight="1" x14ac:dyDescent="0.25">
      <c r="A1452" s="4" t="s">
        <v>28</v>
      </c>
      <c r="B1452" s="4" t="s">
        <v>44</v>
      </c>
      <c r="C1452" s="4" t="s">
        <v>34</v>
      </c>
      <c r="D1452" s="4" t="s">
        <v>42</v>
      </c>
      <c r="E1452" s="4" t="s">
        <v>25</v>
      </c>
      <c r="F1452" s="4" t="s">
        <v>25</v>
      </c>
      <c r="G1452" s="4" t="s">
        <v>25</v>
      </c>
      <c r="H1452" s="4" t="s">
        <v>36</v>
      </c>
      <c r="I1452" s="5">
        <v>43800</v>
      </c>
      <c r="J1452" s="6">
        <v>0</v>
      </c>
      <c r="K1452" s="6">
        <v>0</v>
      </c>
      <c r="L1452" s="6">
        <v>828.84400000000005</v>
      </c>
      <c r="M1452" s="6">
        <v>828.84400000000005</v>
      </c>
      <c r="N1452" s="6">
        <v>828.84400000000005</v>
      </c>
      <c r="O1452" s="6">
        <v>828.84400000000005</v>
      </c>
      <c r="P1452" s="6">
        <v>0</v>
      </c>
      <c r="Q1452" s="4" t="s">
        <v>26</v>
      </c>
      <c r="R1452" s="4">
        <v>0</v>
      </c>
      <c r="S1452" s="6">
        <v>0</v>
      </c>
      <c r="T1452" s="6">
        <v>37</v>
      </c>
      <c r="U1452" s="6">
        <v>84</v>
      </c>
      <c r="V1452" s="6">
        <f>IF(ISERROR(VLOOKUP($S$1452,'TAR FIN'!$A$1:$O$120,15,0)),0,VLOOKUP($S$1452,'TAR FIN'!$A$1:$O$120,15,0))</f>
        <v>0</v>
      </c>
      <c r="W1452" s="6">
        <f>IF(ISERROR(VLOOKUP($T$1452,'TAR FIN'!$A$1:$O$120,15,0)),0,VLOOKUP($T$1452,'TAR FIN'!$A$1:$O$120,15,0))</f>
        <v>109.75</v>
      </c>
      <c r="X1452" s="6">
        <f>IF(ISERROR(VLOOKUP($U$1452,'TAR FIN'!$A$1:$O$120,15,0)),0,VLOOKUP($U$1452,'TAR FIN'!$A$1:$O$120,15,0))</f>
        <v>256.38</v>
      </c>
      <c r="Y1452" s="6"/>
      <c r="Z1452" s="6">
        <f ca="1">('TUSD BE'!$AM$45+'TUSD BF'!$AM$45+'TUSD CVA'!$AM$45)*1</f>
        <v>112.97896283052546</v>
      </c>
      <c r="AA1452" s="6">
        <f>('TE BE'!$AA$14+'TE BF'!$AA$14+'TE CVA'!$AA$14)*1</f>
        <v>230.83420940933817</v>
      </c>
      <c r="AB1452" s="6">
        <f>$K$1452*$V$1452</f>
        <v>0</v>
      </c>
      <c r="AC1452" s="6">
        <f>$M$1452*$W$1452</f>
        <v>90965.629000000001</v>
      </c>
      <c r="AD1452" s="6">
        <f>$O$1452*$X$1452</f>
        <v>212499.02472000002</v>
      </c>
      <c r="AE1452" s="6">
        <f>$K$1452*$Y$1452</f>
        <v>0</v>
      </c>
      <c r="AF1452" s="6">
        <f ca="1">$M$1452*$Z$1452</f>
        <v>93641.935468304044</v>
      </c>
      <c r="AG1452" s="6">
        <f>$O$1452*$AA$1452</f>
        <v>191325.54946367349</v>
      </c>
    </row>
    <row r="1453" spans="1:33" ht="11.25" customHeight="1" x14ac:dyDescent="0.25">
      <c r="A1453" s="4" t="s">
        <v>21</v>
      </c>
      <c r="B1453" s="4" t="s">
        <v>44</v>
      </c>
      <c r="C1453" s="4" t="s">
        <v>34</v>
      </c>
      <c r="D1453" s="4" t="s">
        <v>42</v>
      </c>
      <c r="E1453" s="4" t="s">
        <v>25</v>
      </c>
      <c r="F1453" s="4" t="s">
        <v>25</v>
      </c>
      <c r="G1453" s="4" t="s">
        <v>25</v>
      </c>
      <c r="H1453" s="4" t="s">
        <v>36</v>
      </c>
      <c r="I1453" s="5">
        <v>43831</v>
      </c>
      <c r="J1453" s="6">
        <v>0</v>
      </c>
      <c r="K1453" s="6">
        <v>0</v>
      </c>
      <c r="L1453" s="6">
        <v>5878.5460000000003</v>
      </c>
      <c r="M1453" s="6">
        <v>5878.5460000000003</v>
      </c>
      <c r="N1453" s="6">
        <v>5878.5460000000003</v>
      </c>
      <c r="O1453" s="6">
        <v>5878.5460000000003</v>
      </c>
      <c r="P1453" s="6">
        <v>0</v>
      </c>
      <c r="Q1453" s="4" t="s">
        <v>26</v>
      </c>
      <c r="R1453" s="4">
        <v>0</v>
      </c>
      <c r="S1453" s="6">
        <v>0</v>
      </c>
      <c r="T1453" s="6">
        <v>37</v>
      </c>
      <c r="U1453" s="6">
        <v>84</v>
      </c>
      <c r="V1453" s="6">
        <f>IF(ISERROR(VLOOKUP($S$1453,'TAR FIN'!$A$1:$O$120,15,0)),0,VLOOKUP($S$1453,'TAR FIN'!$A$1:$O$120,15,0))</f>
        <v>0</v>
      </c>
      <c r="W1453" s="6">
        <f>IF(ISERROR(VLOOKUP($T$1453,'TAR FIN'!$A$1:$O$120,15,0)),0,VLOOKUP($T$1453,'TAR FIN'!$A$1:$O$120,15,0))</f>
        <v>109.75</v>
      </c>
      <c r="X1453" s="6">
        <f>IF(ISERROR(VLOOKUP($U$1453,'TAR FIN'!$A$1:$O$120,15,0)),0,VLOOKUP($U$1453,'TAR FIN'!$A$1:$O$120,15,0))</f>
        <v>256.38</v>
      </c>
      <c r="Y1453" s="6"/>
      <c r="Z1453" s="6">
        <f ca="1">('TUSD BE'!$AM$45+'TUSD BF'!$AM$45+'TUSD CVA'!$AM$45)*1</f>
        <v>112.97896283052546</v>
      </c>
      <c r="AA1453" s="6">
        <f>('TE BE'!$AA$14+'TE BF'!$AA$14+'TE CVA'!$AA$14)*1</f>
        <v>230.83420940933817</v>
      </c>
      <c r="AB1453" s="6">
        <f>$K$1453*$V$1453</f>
        <v>0</v>
      </c>
      <c r="AC1453" s="6">
        <f>$M$1453*$W$1453</f>
        <v>645170.42350000003</v>
      </c>
      <c r="AD1453" s="6">
        <f>$O$1453*$X$1453</f>
        <v>1507141.6234800001</v>
      </c>
      <c r="AE1453" s="6">
        <f>$K$1453*$Y$1453</f>
        <v>0</v>
      </c>
      <c r="AF1453" s="6">
        <f ca="1">$M$1453*$Z$1453</f>
        <v>664152.03003153414</v>
      </c>
      <c r="AG1453" s="6">
        <f>$O$1453*$AA$1453</f>
        <v>1356969.5183864273</v>
      </c>
    </row>
    <row r="1454" spans="1:33" ht="11.25" customHeight="1" x14ac:dyDescent="0.25">
      <c r="A1454" s="4" t="s">
        <v>27</v>
      </c>
      <c r="B1454" s="4" t="s">
        <v>44</v>
      </c>
      <c r="C1454" s="4" t="s">
        <v>34</v>
      </c>
      <c r="D1454" s="4" t="s">
        <v>42</v>
      </c>
      <c r="E1454" s="4" t="s">
        <v>25</v>
      </c>
      <c r="F1454" s="4" t="s">
        <v>25</v>
      </c>
      <c r="G1454" s="4" t="s">
        <v>25</v>
      </c>
      <c r="H1454" s="4" t="s">
        <v>36</v>
      </c>
      <c r="I1454" s="5">
        <v>43831</v>
      </c>
      <c r="J1454" s="6">
        <v>0</v>
      </c>
      <c r="K1454" s="6">
        <v>0</v>
      </c>
      <c r="L1454" s="6">
        <v>18.882999999999999</v>
      </c>
      <c r="M1454" s="6">
        <v>18.882999999999999</v>
      </c>
      <c r="N1454" s="6">
        <v>18.882999999999999</v>
      </c>
      <c r="O1454" s="6">
        <v>18.882999999999999</v>
      </c>
      <c r="P1454" s="6">
        <v>0</v>
      </c>
      <c r="Q1454" s="4" t="s">
        <v>26</v>
      </c>
      <c r="R1454" s="4">
        <v>0</v>
      </c>
      <c r="S1454" s="6">
        <v>0</v>
      </c>
      <c r="T1454" s="6">
        <v>37</v>
      </c>
      <c r="U1454" s="6">
        <v>84</v>
      </c>
      <c r="V1454" s="6">
        <f>IF(ISERROR(VLOOKUP($S$1454,'TAR FIN'!$A$1:$O$120,15,0)),0,VLOOKUP($S$1454,'TAR FIN'!$A$1:$O$120,15,0))</f>
        <v>0</v>
      </c>
      <c r="W1454" s="6">
        <f>IF(ISERROR(VLOOKUP($T$1454,'TAR FIN'!$A$1:$O$120,15,0)),0,VLOOKUP($T$1454,'TAR FIN'!$A$1:$O$120,15,0))</f>
        <v>109.75</v>
      </c>
      <c r="X1454" s="6">
        <f>IF(ISERROR(VLOOKUP($U$1454,'TAR FIN'!$A$1:$O$120,15,0)),0,VLOOKUP($U$1454,'TAR FIN'!$A$1:$O$120,15,0))</f>
        <v>256.38</v>
      </c>
      <c r="Y1454" s="6"/>
      <c r="Z1454" s="6">
        <f ca="1">('TUSD BE'!$AM$45+'TUSD BF'!$AM$45+'TUSD CVA'!$AM$45)*1</f>
        <v>112.97896283052546</v>
      </c>
      <c r="AA1454" s="6">
        <f>('TE BE'!$AA$14+'TE BF'!$AA$14+'TE CVA'!$AA$14)*1</f>
        <v>230.83420940933817</v>
      </c>
      <c r="AB1454" s="6">
        <f>$K$1454*$V$1454</f>
        <v>0</v>
      </c>
      <c r="AC1454" s="6">
        <f>$M$1454*$W$1454</f>
        <v>2072.4092499999997</v>
      </c>
      <c r="AD1454" s="6">
        <f>$O$1454*$X$1454</f>
        <v>4841.22354</v>
      </c>
      <c r="AE1454" s="6">
        <f>$K$1454*$Y$1454</f>
        <v>0</v>
      </c>
      <c r="AF1454" s="6">
        <f ca="1">$M$1454*$Z$1454</f>
        <v>2133.3817551288121</v>
      </c>
      <c r="AG1454" s="6">
        <f>$O$1454*$AA$1454</f>
        <v>4358.8423762765324</v>
      </c>
    </row>
    <row r="1455" spans="1:33" ht="11.25" customHeight="1" x14ac:dyDescent="0.25">
      <c r="A1455" s="4" t="s">
        <v>28</v>
      </c>
      <c r="B1455" s="4" t="s">
        <v>44</v>
      </c>
      <c r="C1455" s="4" t="s">
        <v>34</v>
      </c>
      <c r="D1455" s="4" t="s">
        <v>42</v>
      </c>
      <c r="E1455" s="4" t="s">
        <v>25</v>
      </c>
      <c r="F1455" s="4" t="s">
        <v>25</v>
      </c>
      <c r="G1455" s="4" t="s">
        <v>25</v>
      </c>
      <c r="H1455" s="4" t="s">
        <v>36</v>
      </c>
      <c r="I1455" s="5">
        <v>43831</v>
      </c>
      <c r="J1455" s="6">
        <v>0</v>
      </c>
      <c r="K1455" s="6">
        <v>0</v>
      </c>
      <c r="L1455" s="6">
        <v>612.27499999999998</v>
      </c>
      <c r="M1455" s="6">
        <v>612.27499999999998</v>
      </c>
      <c r="N1455" s="6">
        <v>612.27499999999998</v>
      </c>
      <c r="O1455" s="6">
        <v>612.27499999999998</v>
      </c>
      <c r="P1455" s="6">
        <v>0</v>
      </c>
      <c r="Q1455" s="4" t="s">
        <v>26</v>
      </c>
      <c r="R1455" s="4">
        <v>0</v>
      </c>
      <c r="S1455" s="6">
        <v>0</v>
      </c>
      <c r="T1455" s="6">
        <v>37</v>
      </c>
      <c r="U1455" s="6">
        <v>84</v>
      </c>
      <c r="V1455" s="6">
        <f>IF(ISERROR(VLOOKUP($S$1455,'TAR FIN'!$A$1:$O$120,15,0)),0,VLOOKUP($S$1455,'TAR FIN'!$A$1:$O$120,15,0))</f>
        <v>0</v>
      </c>
      <c r="W1455" s="6">
        <f>IF(ISERROR(VLOOKUP($T$1455,'TAR FIN'!$A$1:$O$120,15,0)),0,VLOOKUP($T$1455,'TAR FIN'!$A$1:$O$120,15,0))</f>
        <v>109.75</v>
      </c>
      <c r="X1455" s="6">
        <f>IF(ISERROR(VLOOKUP($U$1455,'TAR FIN'!$A$1:$O$120,15,0)),0,VLOOKUP($U$1455,'TAR FIN'!$A$1:$O$120,15,0))</f>
        <v>256.38</v>
      </c>
      <c r="Y1455" s="6"/>
      <c r="Z1455" s="6">
        <f ca="1">('TUSD BE'!$AM$45+'TUSD BF'!$AM$45+'TUSD CVA'!$AM$45)*1</f>
        <v>112.97896283052546</v>
      </c>
      <c r="AA1455" s="6">
        <f>('TE BE'!$AA$14+'TE BF'!$AA$14+'TE CVA'!$AA$14)*1</f>
        <v>230.83420940933817</v>
      </c>
      <c r="AB1455" s="6">
        <f>$K$1455*$V$1455</f>
        <v>0</v>
      </c>
      <c r="AC1455" s="6">
        <f>$M$1455*$W$1455</f>
        <v>67197.181249999994</v>
      </c>
      <c r="AD1455" s="6">
        <f>$O$1455*$X$1455</f>
        <v>156975.06449999998</v>
      </c>
      <c r="AE1455" s="6">
        <f>$K$1455*$Y$1455</f>
        <v>0</v>
      </c>
      <c r="AF1455" s="6">
        <f ca="1">$M$1455*$Z$1455</f>
        <v>69174.194467059977</v>
      </c>
      <c r="AG1455" s="6">
        <f>$O$1455*$AA$1455</f>
        <v>141334.01556610252</v>
      </c>
    </row>
    <row r="1456" spans="1:33" ht="11.25" customHeight="1" x14ac:dyDescent="0.25">
      <c r="A1456" s="4" t="s">
        <v>21</v>
      </c>
      <c r="B1456" s="4" t="s">
        <v>44</v>
      </c>
      <c r="C1456" s="4" t="s">
        <v>34</v>
      </c>
      <c r="D1456" s="4" t="s">
        <v>42</v>
      </c>
      <c r="E1456" s="4" t="s">
        <v>25</v>
      </c>
      <c r="F1456" s="4" t="s">
        <v>25</v>
      </c>
      <c r="G1456" s="4" t="s">
        <v>25</v>
      </c>
      <c r="H1456" s="4" t="s">
        <v>36</v>
      </c>
      <c r="I1456" s="5">
        <v>43862</v>
      </c>
      <c r="J1456" s="6">
        <v>0</v>
      </c>
      <c r="K1456" s="6">
        <v>0</v>
      </c>
      <c r="L1456" s="6">
        <v>6338.9570000000003</v>
      </c>
      <c r="M1456" s="6">
        <v>6338.9570000000003</v>
      </c>
      <c r="N1456" s="6">
        <v>6338.9570000000003</v>
      </c>
      <c r="O1456" s="6">
        <v>6338.9570000000003</v>
      </c>
      <c r="P1456" s="6">
        <v>0</v>
      </c>
      <c r="Q1456" s="4" t="s">
        <v>26</v>
      </c>
      <c r="R1456" s="4">
        <v>0</v>
      </c>
      <c r="S1456" s="6">
        <v>0</v>
      </c>
      <c r="T1456" s="6">
        <v>37</v>
      </c>
      <c r="U1456" s="6">
        <v>84</v>
      </c>
      <c r="V1456" s="6">
        <f>IF(ISERROR(VLOOKUP($S$1456,'TAR FIN'!$A$1:$O$120,15,0)),0,VLOOKUP($S$1456,'TAR FIN'!$A$1:$O$120,15,0))</f>
        <v>0</v>
      </c>
      <c r="W1456" s="6">
        <f>IF(ISERROR(VLOOKUP($T$1456,'TAR FIN'!$A$1:$O$120,15,0)),0,VLOOKUP($T$1456,'TAR FIN'!$A$1:$O$120,15,0))</f>
        <v>109.75</v>
      </c>
      <c r="X1456" s="6">
        <f>IF(ISERROR(VLOOKUP($U$1456,'TAR FIN'!$A$1:$O$120,15,0)),0,VLOOKUP($U$1456,'TAR FIN'!$A$1:$O$120,15,0))</f>
        <v>256.38</v>
      </c>
      <c r="Y1456" s="6"/>
      <c r="Z1456" s="6">
        <f ca="1">('TUSD BE'!$AM$45+'TUSD BF'!$AM$45+'TUSD CVA'!$AM$45)*1</f>
        <v>112.97896283052546</v>
      </c>
      <c r="AA1456" s="6">
        <f>('TE BE'!$AA$14+'TE BF'!$AA$14+'TE CVA'!$AA$14)*1</f>
        <v>230.83420940933817</v>
      </c>
      <c r="AB1456" s="6">
        <f>$K$1456*$V$1456</f>
        <v>0</v>
      </c>
      <c r="AC1456" s="6">
        <f>$M$1456*$W$1456</f>
        <v>695700.53075000003</v>
      </c>
      <c r="AD1456" s="6">
        <f>$O$1456*$X$1456</f>
        <v>1625181.7956600001</v>
      </c>
      <c r="AE1456" s="6">
        <f>$K$1456*$Y$1456</f>
        <v>0</v>
      </c>
      <c r="AF1456" s="6">
        <f ca="1">$M$1456*$Z$1456</f>
        <v>716168.78728729917</v>
      </c>
      <c r="AG1456" s="6">
        <f>$O$1456*$AA$1456</f>
        <v>1463248.12757479</v>
      </c>
    </row>
    <row r="1457" spans="1:33" ht="11.25" customHeight="1" x14ac:dyDescent="0.25">
      <c r="A1457" s="4" t="s">
        <v>28</v>
      </c>
      <c r="B1457" s="4" t="s">
        <v>44</v>
      </c>
      <c r="C1457" s="4" t="s">
        <v>34</v>
      </c>
      <c r="D1457" s="4" t="s">
        <v>42</v>
      </c>
      <c r="E1457" s="4" t="s">
        <v>25</v>
      </c>
      <c r="F1457" s="4" t="s">
        <v>25</v>
      </c>
      <c r="G1457" s="4" t="s">
        <v>25</v>
      </c>
      <c r="H1457" s="4" t="s">
        <v>36</v>
      </c>
      <c r="I1457" s="5">
        <v>43862</v>
      </c>
      <c r="J1457" s="6">
        <v>0</v>
      </c>
      <c r="K1457" s="6">
        <v>0</v>
      </c>
      <c r="L1457" s="6">
        <v>698.73199999999997</v>
      </c>
      <c r="M1457" s="6">
        <v>698.73199999999997</v>
      </c>
      <c r="N1457" s="6">
        <v>698.73199999999997</v>
      </c>
      <c r="O1457" s="6">
        <v>698.73199999999997</v>
      </c>
      <c r="P1457" s="6">
        <v>0</v>
      </c>
      <c r="Q1457" s="4" t="s">
        <v>26</v>
      </c>
      <c r="R1457" s="4">
        <v>0</v>
      </c>
      <c r="S1457" s="6">
        <v>0</v>
      </c>
      <c r="T1457" s="6">
        <v>37</v>
      </c>
      <c r="U1457" s="6">
        <v>84</v>
      </c>
      <c r="V1457" s="6">
        <f>IF(ISERROR(VLOOKUP($S$1457,'TAR FIN'!$A$1:$O$120,15,0)),0,VLOOKUP($S$1457,'TAR FIN'!$A$1:$O$120,15,0))</f>
        <v>0</v>
      </c>
      <c r="W1457" s="6">
        <f>IF(ISERROR(VLOOKUP($T$1457,'TAR FIN'!$A$1:$O$120,15,0)),0,VLOOKUP($T$1457,'TAR FIN'!$A$1:$O$120,15,0))</f>
        <v>109.75</v>
      </c>
      <c r="X1457" s="6">
        <f>IF(ISERROR(VLOOKUP($U$1457,'TAR FIN'!$A$1:$O$120,15,0)),0,VLOOKUP($U$1457,'TAR FIN'!$A$1:$O$120,15,0))</f>
        <v>256.38</v>
      </c>
      <c r="Y1457" s="6"/>
      <c r="Z1457" s="6">
        <f ca="1">('TUSD BE'!$AM$45+'TUSD BF'!$AM$45+'TUSD CVA'!$AM$45)*1</f>
        <v>112.97896283052546</v>
      </c>
      <c r="AA1457" s="6">
        <f>('TE BE'!$AA$14+'TE BF'!$AA$14+'TE CVA'!$AA$14)*1</f>
        <v>230.83420940933817</v>
      </c>
      <c r="AB1457" s="6">
        <f>$K$1457*$V$1457</f>
        <v>0</v>
      </c>
      <c r="AC1457" s="6">
        <f>$M$1457*$W$1457</f>
        <v>76685.837</v>
      </c>
      <c r="AD1457" s="6">
        <f>$O$1457*$X$1457</f>
        <v>179140.91016</v>
      </c>
      <c r="AE1457" s="6">
        <f>$K$1457*$Y$1457</f>
        <v>0</v>
      </c>
      <c r="AF1457" s="6">
        <f ca="1">$M$1457*$Z$1457</f>
        <v>78942.016656498716</v>
      </c>
      <c r="AG1457" s="6">
        <f>$O$1457*$AA$1457</f>
        <v>161291.24880900569</v>
      </c>
    </row>
    <row r="1458" spans="1:33" ht="11.25" customHeight="1" x14ac:dyDescent="0.25">
      <c r="A1458" s="4" t="s">
        <v>21</v>
      </c>
      <c r="B1458" s="4" t="s">
        <v>44</v>
      </c>
      <c r="C1458" s="4" t="s">
        <v>34</v>
      </c>
      <c r="D1458" s="4" t="s">
        <v>42</v>
      </c>
      <c r="E1458" s="4" t="s">
        <v>25</v>
      </c>
      <c r="F1458" s="4" t="s">
        <v>25</v>
      </c>
      <c r="G1458" s="4" t="s">
        <v>25</v>
      </c>
      <c r="H1458" s="4" t="s">
        <v>36</v>
      </c>
      <c r="I1458" s="5">
        <v>43891</v>
      </c>
      <c r="J1458" s="6">
        <v>0</v>
      </c>
      <c r="K1458" s="6">
        <v>0</v>
      </c>
      <c r="L1458" s="6">
        <v>5727.89</v>
      </c>
      <c r="M1458" s="6">
        <v>5727.89</v>
      </c>
      <c r="N1458" s="6">
        <v>5727.89</v>
      </c>
      <c r="O1458" s="6">
        <v>5727.89</v>
      </c>
      <c r="P1458" s="6">
        <v>0</v>
      </c>
      <c r="Q1458" s="4" t="s">
        <v>26</v>
      </c>
      <c r="R1458" s="4">
        <v>0</v>
      </c>
      <c r="S1458" s="6">
        <v>0</v>
      </c>
      <c r="T1458" s="6">
        <v>37</v>
      </c>
      <c r="U1458" s="6">
        <v>84</v>
      </c>
      <c r="V1458" s="6">
        <f>IF(ISERROR(VLOOKUP($S$1458,'TAR FIN'!$A$1:$O$120,15,0)),0,VLOOKUP($S$1458,'TAR FIN'!$A$1:$O$120,15,0))</f>
        <v>0</v>
      </c>
      <c r="W1458" s="6">
        <f>IF(ISERROR(VLOOKUP($T$1458,'TAR FIN'!$A$1:$O$120,15,0)),0,VLOOKUP($T$1458,'TAR FIN'!$A$1:$O$120,15,0))</f>
        <v>109.75</v>
      </c>
      <c r="X1458" s="6">
        <f>IF(ISERROR(VLOOKUP($U$1458,'TAR FIN'!$A$1:$O$120,15,0)),0,VLOOKUP($U$1458,'TAR FIN'!$A$1:$O$120,15,0))</f>
        <v>256.38</v>
      </c>
      <c r="Y1458" s="6"/>
      <c r="Z1458" s="6">
        <f ca="1">('TUSD BE'!$AM$45+'TUSD BF'!$AM$45+'TUSD CVA'!$AM$45)*1</f>
        <v>112.97896283052546</v>
      </c>
      <c r="AA1458" s="6">
        <f>('TE BE'!$AA$14+'TE BF'!$AA$14+'TE CVA'!$AA$14)*1</f>
        <v>230.83420940933817</v>
      </c>
      <c r="AB1458" s="6">
        <f>$K$1458*$V$1458</f>
        <v>0</v>
      </c>
      <c r="AC1458" s="6">
        <f>$M$1458*$W$1458</f>
        <v>628635.92749999999</v>
      </c>
      <c r="AD1458" s="6">
        <f>$O$1458*$X$1458</f>
        <v>1468516.4382</v>
      </c>
      <c r="AE1458" s="6">
        <f>$K$1458*$Y$1458</f>
        <v>0</v>
      </c>
      <c r="AF1458" s="6">
        <f ca="1">$M$1458*$Z$1458</f>
        <v>647131.07140733849</v>
      </c>
      <c r="AG1458" s="6">
        <f>$O$1458*$AA$1458</f>
        <v>1322192.959733654</v>
      </c>
    </row>
    <row r="1459" spans="1:33" ht="11.25" customHeight="1" x14ac:dyDescent="0.25">
      <c r="A1459" s="4" t="s">
        <v>28</v>
      </c>
      <c r="B1459" s="4" t="s">
        <v>44</v>
      </c>
      <c r="C1459" s="4" t="s">
        <v>34</v>
      </c>
      <c r="D1459" s="4" t="s">
        <v>42</v>
      </c>
      <c r="E1459" s="4" t="s">
        <v>25</v>
      </c>
      <c r="F1459" s="4" t="s">
        <v>25</v>
      </c>
      <c r="G1459" s="4" t="s">
        <v>25</v>
      </c>
      <c r="H1459" s="4" t="s">
        <v>36</v>
      </c>
      <c r="I1459" s="5">
        <v>43891</v>
      </c>
      <c r="J1459" s="6">
        <v>0</v>
      </c>
      <c r="K1459" s="6">
        <v>0</v>
      </c>
      <c r="L1459" s="6">
        <v>576.62099999999998</v>
      </c>
      <c r="M1459" s="6">
        <v>576.62099999999998</v>
      </c>
      <c r="N1459" s="6">
        <v>576.62099999999998</v>
      </c>
      <c r="O1459" s="6">
        <v>576.62099999999998</v>
      </c>
      <c r="P1459" s="6">
        <v>0</v>
      </c>
      <c r="Q1459" s="4" t="s">
        <v>26</v>
      </c>
      <c r="R1459" s="4">
        <v>0</v>
      </c>
      <c r="S1459" s="6">
        <v>0</v>
      </c>
      <c r="T1459" s="6">
        <v>37</v>
      </c>
      <c r="U1459" s="6">
        <v>84</v>
      </c>
      <c r="V1459" s="6">
        <f>IF(ISERROR(VLOOKUP($S$1459,'TAR FIN'!$A$1:$O$120,15,0)),0,VLOOKUP($S$1459,'TAR FIN'!$A$1:$O$120,15,0))</f>
        <v>0</v>
      </c>
      <c r="W1459" s="6">
        <f>IF(ISERROR(VLOOKUP($T$1459,'TAR FIN'!$A$1:$O$120,15,0)),0,VLOOKUP($T$1459,'TAR FIN'!$A$1:$O$120,15,0))</f>
        <v>109.75</v>
      </c>
      <c r="X1459" s="6">
        <f>IF(ISERROR(VLOOKUP($U$1459,'TAR FIN'!$A$1:$O$120,15,0)),0,VLOOKUP($U$1459,'TAR FIN'!$A$1:$O$120,15,0))</f>
        <v>256.38</v>
      </c>
      <c r="Y1459" s="6"/>
      <c r="Z1459" s="6">
        <f ca="1">('TUSD BE'!$AM$45+'TUSD BF'!$AM$45+'TUSD CVA'!$AM$45)*1</f>
        <v>112.97896283052546</v>
      </c>
      <c r="AA1459" s="6">
        <f>('TE BE'!$AA$14+'TE BF'!$AA$14+'TE CVA'!$AA$14)*1</f>
        <v>230.83420940933817</v>
      </c>
      <c r="AB1459" s="6">
        <f>$K$1459*$V$1459</f>
        <v>0</v>
      </c>
      <c r="AC1459" s="6">
        <f>$M$1459*$W$1459</f>
        <v>63284.154750000002</v>
      </c>
      <c r="AD1459" s="6">
        <f>$O$1459*$X$1459</f>
        <v>147834.09198</v>
      </c>
      <c r="AE1459" s="6">
        <f>$K$1459*$Y$1459</f>
        <v>0</v>
      </c>
      <c r="AF1459" s="6">
        <f ca="1">$M$1459*$Z$1459</f>
        <v>65146.042526300422</v>
      </c>
      <c r="AG1459" s="6">
        <f>$O$1459*$AA$1459</f>
        <v>133103.85266382198</v>
      </c>
    </row>
    <row r="1460" spans="1:33" ht="11.25" customHeight="1" x14ac:dyDescent="0.25">
      <c r="A1460" s="4" t="s">
        <v>21</v>
      </c>
      <c r="B1460" s="4" t="s">
        <v>44</v>
      </c>
      <c r="C1460" s="4" t="s">
        <v>34</v>
      </c>
      <c r="D1460" s="4" t="s">
        <v>42</v>
      </c>
      <c r="E1460" s="4" t="s">
        <v>25</v>
      </c>
      <c r="F1460" s="4" t="s">
        <v>25</v>
      </c>
      <c r="G1460" s="4" t="s">
        <v>25</v>
      </c>
      <c r="H1460" s="4" t="s">
        <v>36</v>
      </c>
      <c r="I1460" s="5">
        <v>43922</v>
      </c>
      <c r="J1460" s="6">
        <v>0</v>
      </c>
      <c r="K1460" s="6">
        <v>0</v>
      </c>
      <c r="L1460" s="6">
        <v>5294.9269999999997</v>
      </c>
      <c r="M1460" s="6">
        <v>5294.9269999999997</v>
      </c>
      <c r="N1460" s="6">
        <v>5294.9269999999997</v>
      </c>
      <c r="O1460" s="6">
        <v>5294.9269999999997</v>
      </c>
      <c r="P1460" s="6">
        <v>0</v>
      </c>
      <c r="Q1460" s="4" t="s">
        <v>26</v>
      </c>
      <c r="R1460" s="4">
        <v>0</v>
      </c>
      <c r="S1460" s="6">
        <v>0</v>
      </c>
      <c r="T1460" s="6">
        <v>37</v>
      </c>
      <c r="U1460" s="6">
        <v>84</v>
      </c>
      <c r="V1460" s="6">
        <f>IF(ISERROR(VLOOKUP($S$1460,'TAR FIN'!$A$1:$O$120,15,0)),0,VLOOKUP($S$1460,'TAR FIN'!$A$1:$O$120,15,0))</f>
        <v>0</v>
      </c>
      <c r="W1460" s="6">
        <f>IF(ISERROR(VLOOKUP($T$1460,'TAR FIN'!$A$1:$O$120,15,0)),0,VLOOKUP($T$1460,'TAR FIN'!$A$1:$O$120,15,0))</f>
        <v>109.75</v>
      </c>
      <c r="X1460" s="6">
        <f>IF(ISERROR(VLOOKUP($U$1460,'TAR FIN'!$A$1:$O$120,15,0)),0,VLOOKUP($U$1460,'TAR FIN'!$A$1:$O$120,15,0))</f>
        <v>256.38</v>
      </c>
      <c r="Y1460" s="6"/>
      <c r="Z1460" s="6">
        <f ca="1">('TUSD BE'!$AM$45+'TUSD BF'!$AM$45+'TUSD CVA'!$AM$45)*1</f>
        <v>112.97896283052546</v>
      </c>
      <c r="AA1460" s="6">
        <f>('TE BE'!$AA$14+'TE BF'!$AA$14+'TE CVA'!$AA$14)*1</f>
        <v>230.83420940933817</v>
      </c>
      <c r="AB1460" s="6">
        <f>$K$1460*$V$1460</f>
        <v>0</v>
      </c>
      <c r="AC1460" s="6">
        <f>$M$1460*$W$1460</f>
        <v>581118.23824999994</v>
      </c>
      <c r="AD1460" s="6">
        <f>$O$1460*$X$1460</f>
        <v>1357513.38426</v>
      </c>
      <c r="AE1460" s="6">
        <f>$K$1460*$Y$1460</f>
        <v>0</v>
      </c>
      <c r="AF1460" s="6">
        <f ca="1">$M$1460*$Z$1460</f>
        <v>598215.36072334566</v>
      </c>
      <c r="AG1460" s="6">
        <f>$O$1460*$AA$1460</f>
        <v>1222250.2879251586</v>
      </c>
    </row>
    <row r="1461" spans="1:33" ht="11.25" customHeight="1" x14ac:dyDescent="0.25">
      <c r="A1461" s="4" t="s">
        <v>27</v>
      </c>
      <c r="B1461" s="4" t="s">
        <v>44</v>
      </c>
      <c r="C1461" s="4" t="s">
        <v>34</v>
      </c>
      <c r="D1461" s="4" t="s">
        <v>42</v>
      </c>
      <c r="E1461" s="4" t="s">
        <v>25</v>
      </c>
      <c r="F1461" s="4" t="s">
        <v>25</v>
      </c>
      <c r="G1461" s="4" t="s">
        <v>25</v>
      </c>
      <c r="H1461" s="4" t="s">
        <v>36</v>
      </c>
      <c r="I1461" s="5">
        <v>43922</v>
      </c>
      <c r="J1461" s="6">
        <v>0</v>
      </c>
      <c r="K1461" s="6">
        <v>0</v>
      </c>
      <c r="L1461" s="6">
        <v>209.76400000000001</v>
      </c>
      <c r="M1461" s="6">
        <v>209.76400000000001</v>
      </c>
      <c r="N1461" s="6">
        <v>209.76400000000001</v>
      </c>
      <c r="O1461" s="6">
        <v>209.76400000000001</v>
      </c>
      <c r="P1461" s="6">
        <v>0</v>
      </c>
      <c r="Q1461" s="4" t="s">
        <v>26</v>
      </c>
      <c r="R1461" s="4">
        <v>0</v>
      </c>
      <c r="S1461" s="6">
        <v>0</v>
      </c>
      <c r="T1461" s="6">
        <v>37</v>
      </c>
      <c r="U1461" s="6">
        <v>84</v>
      </c>
      <c r="V1461" s="6">
        <f>IF(ISERROR(VLOOKUP($S$1461,'TAR FIN'!$A$1:$O$120,15,0)),0,VLOOKUP($S$1461,'TAR FIN'!$A$1:$O$120,15,0))</f>
        <v>0</v>
      </c>
      <c r="W1461" s="6">
        <f>IF(ISERROR(VLOOKUP($T$1461,'TAR FIN'!$A$1:$O$120,15,0)),0,VLOOKUP($T$1461,'TAR FIN'!$A$1:$O$120,15,0))</f>
        <v>109.75</v>
      </c>
      <c r="X1461" s="6">
        <f>IF(ISERROR(VLOOKUP($U$1461,'TAR FIN'!$A$1:$O$120,15,0)),0,VLOOKUP($U$1461,'TAR FIN'!$A$1:$O$120,15,0))</f>
        <v>256.38</v>
      </c>
      <c r="Y1461" s="6"/>
      <c r="Z1461" s="6">
        <f ca="1">('TUSD BE'!$AM$45+'TUSD BF'!$AM$45+'TUSD CVA'!$AM$45)*1</f>
        <v>112.97896283052546</v>
      </c>
      <c r="AA1461" s="6">
        <f>('TE BE'!$AA$14+'TE BF'!$AA$14+'TE CVA'!$AA$14)*1</f>
        <v>230.83420940933817</v>
      </c>
      <c r="AB1461" s="6">
        <f>$K$1461*$V$1461</f>
        <v>0</v>
      </c>
      <c r="AC1461" s="6">
        <f>$M$1461*$W$1461</f>
        <v>23021.599000000002</v>
      </c>
      <c r="AD1461" s="6">
        <f>$O$1461*$X$1461</f>
        <v>53779.294320000001</v>
      </c>
      <c r="AE1461" s="6">
        <f>$K$1461*$Y$1461</f>
        <v>0</v>
      </c>
      <c r="AF1461" s="6">
        <f ca="1">$M$1461*$Z$1461</f>
        <v>23698.919159182344</v>
      </c>
      <c r="AG1461" s="6">
        <f>$O$1461*$AA$1461</f>
        <v>48420.707102540415</v>
      </c>
    </row>
    <row r="1462" spans="1:33" ht="11.25" customHeight="1" x14ac:dyDescent="0.25">
      <c r="A1462" s="4" t="s">
        <v>28</v>
      </c>
      <c r="B1462" s="4" t="s">
        <v>44</v>
      </c>
      <c r="C1462" s="4" t="s">
        <v>34</v>
      </c>
      <c r="D1462" s="4" t="s">
        <v>42</v>
      </c>
      <c r="E1462" s="4" t="s">
        <v>25</v>
      </c>
      <c r="F1462" s="4" t="s">
        <v>25</v>
      </c>
      <c r="G1462" s="4" t="s">
        <v>25</v>
      </c>
      <c r="H1462" s="4" t="s">
        <v>36</v>
      </c>
      <c r="I1462" s="5">
        <v>43922</v>
      </c>
      <c r="J1462" s="6">
        <v>0</v>
      </c>
      <c r="K1462" s="6">
        <v>0</v>
      </c>
      <c r="L1462" s="6">
        <v>493.21800000000002</v>
      </c>
      <c r="M1462" s="6">
        <v>493.21800000000002</v>
      </c>
      <c r="N1462" s="6">
        <v>493.21800000000002</v>
      </c>
      <c r="O1462" s="6">
        <v>493.21800000000002</v>
      </c>
      <c r="P1462" s="6">
        <v>0</v>
      </c>
      <c r="Q1462" s="4" t="s">
        <v>26</v>
      </c>
      <c r="R1462" s="4">
        <v>0</v>
      </c>
      <c r="S1462" s="6">
        <v>0</v>
      </c>
      <c r="T1462" s="6">
        <v>37</v>
      </c>
      <c r="U1462" s="6">
        <v>84</v>
      </c>
      <c r="V1462" s="6">
        <f>IF(ISERROR(VLOOKUP($S$1462,'TAR FIN'!$A$1:$O$120,15,0)),0,VLOOKUP($S$1462,'TAR FIN'!$A$1:$O$120,15,0))</f>
        <v>0</v>
      </c>
      <c r="W1462" s="6">
        <f>IF(ISERROR(VLOOKUP($T$1462,'TAR FIN'!$A$1:$O$120,15,0)),0,VLOOKUP($T$1462,'TAR FIN'!$A$1:$O$120,15,0))</f>
        <v>109.75</v>
      </c>
      <c r="X1462" s="6">
        <f>IF(ISERROR(VLOOKUP($U$1462,'TAR FIN'!$A$1:$O$120,15,0)),0,VLOOKUP($U$1462,'TAR FIN'!$A$1:$O$120,15,0))</f>
        <v>256.38</v>
      </c>
      <c r="Y1462" s="6"/>
      <c r="Z1462" s="6">
        <f ca="1">('TUSD BE'!$AM$45+'TUSD BF'!$AM$45+'TUSD CVA'!$AM$45)*1</f>
        <v>112.97896283052546</v>
      </c>
      <c r="AA1462" s="6">
        <f>('TE BE'!$AA$14+'TE BF'!$AA$14+'TE CVA'!$AA$14)*1</f>
        <v>230.83420940933817</v>
      </c>
      <c r="AB1462" s="6">
        <f>$K$1462*$V$1462</f>
        <v>0</v>
      </c>
      <c r="AC1462" s="6">
        <f>$M$1462*$W$1462</f>
        <v>54130.675500000005</v>
      </c>
      <c r="AD1462" s="6">
        <f>$O$1462*$X$1462</f>
        <v>126451.23084</v>
      </c>
      <c r="AE1462" s="6">
        <f>$K$1462*$Y$1462</f>
        <v>0</v>
      </c>
      <c r="AF1462" s="6">
        <f ca="1">$M$1462*$Z$1462</f>
        <v>55723.258089346105</v>
      </c>
      <c r="AG1462" s="6">
        <f>$O$1462*$AA$1462</f>
        <v>113851.58709645495</v>
      </c>
    </row>
    <row r="1463" spans="1:33" ht="11.25" customHeight="1" x14ac:dyDescent="0.25">
      <c r="A1463" s="4" t="s">
        <v>21</v>
      </c>
      <c r="B1463" s="4" t="s">
        <v>44</v>
      </c>
      <c r="C1463" s="4" t="s">
        <v>34</v>
      </c>
      <c r="D1463" s="4" t="s">
        <v>42</v>
      </c>
      <c r="E1463" s="4" t="s">
        <v>25</v>
      </c>
      <c r="F1463" s="4" t="s">
        <v>25</v>
      </c>
      <c r="G1463" s="4" t="s">
        <v>25</v>
      </c>
      <c r="H1463" s="4" t="s">
        <v>36</v>
      </c>
      <c r="I1463" s="5">
        <v>43952</v>
      </c>
      <c r="J1463" s="6">
        <v>0</v>
      </c>
      <c r="K1463" s="6">
        <v>0</v>
      </c>
      <c r="L1463" s="6">
        <v>4223.8209999999999</v>
      </c>
      <c r="M1463" s="6">
        <v>4223.8209999999999</v>
      </c>
      <c r="N1463" s="6">
        <v>4223.8209999999999</v>
      </c>
      <c r="O1463" s="6">
        <v>4223.8209999999999</v>
      </c>
      <c r="P1463" s="6">
        <v>0</v>
      </c>
      <c r="Q1463" s="4" t="s">
        <v>26</v>
      </c>
      <c r="R1463" s="4">
        <v>0</v>
      </c>
      <c r="S1463" s="6">
        <v>0</v>
      </c>
      <c r="T1463" s="6">
        <v>37</v>
      </c>
      <c r="U1463" s="6">
        <v>84</v>
      </c>
      <c r="V1463" s="6">
        <f>IF(ISERROR(VLOOKUP($S$1463,'TAR FIN'!$A$1:$O$120,15,0)),0,VLOOKUP($S$1463,'TAR FIN'!$A$1:$O$120,15,0))</f>
        <v>0</v>
      </c>
      <c r="W1463" s="6">
        <f>IF(ISERROR(VLOOKUP($T$1463,'TAR FIN'!$A$1:$O$120,15,0)),0,VLOOKUP($T$1463,'TAR FIN'!$A$1:$O$120,15,0))</f>
        <v>109.75</v>
      </c>
      <c r="X1463" s="6">
        <f>IF(ISERROR(VLOOKUP($U$1463,'TAR FIN'!$A$1:$O$120,15,0)),0,VLOOKUP($U$1463,'TAR FIN'!$A$1:$O$120,15,0))</f>
        <v>256.38</v>
      </c>
      <c r="Y1463" s="6"/>
      <c r="Z1463" s="6">
        <f ca="1">('TUSD BE'!$AM$45+'TUSD BF'!$AM$45+'TUSD CVA'!$AM$45)*1</f>
        <v>112.97896283052546</v>
      </c>
      <c r="AA1463" s="6">
        <f>('TE BE'!$AA$14+'TE BF'!$AA$14+'TE CVA'!$AA$14)*1</f>
        <v>230.83420940933817</v>
      </c>
      <c r="AB1463" s="6">
        <f>$K$1463*$V$1463</f>
        <v>0</v>
      </c>
      <c r="AC1463" s="6">
        <f>$M$1463*$W$1463</f>
        <v>463564.35475</v>
      </c>
      <c r="AD1463" s="6">
        <f>$O$1463*$X$1463</f>
        <v>1082903.22798</v>
      </c>
      <c r="AE1463" s="6">
        <f>$K$1463*$Y$1463</f>
        <v>0</v>
      </c>
      <c r="AF1463" s="6">
        <f ca="1">$M$1463*$Z$1463</f>
        <v>477202.91576179286</v>
      </c>
      <c r="AG1463" s="6">
        <f>$O$1463*$AA$1463</f>
        <v>975002.38122156018</v>
      </c>
    </row>
    <row r="1464" spans="1:33" ht="11.25" customHeight="1" x14ac:dyDescent="0.25">
      <c r="A1464" s="4" t="s">
        <v>28</v>
      </c>
      <c r="B1464" s="4" t="s">
        <v>44</v>
      </c>
      <c r="C1464" s="4" t="s">
        <v>34</v>
      </c>
      <c r="D1464" s="4" t="s">
        <v>42</v>
      </c>
      <c r="E1464" s="4" t="s">
        <v>25</v>
      </c>
      <c r="F1464" s="4" t="s">
        <v>25</v>
      </c>
      <c r="G1464" s="4" t="s">
        <v>25</v>
      </c>
      <c r="H1464" s="4" t="s">
        <v>36</v>
      </c>
      <c r="I1464" s="5">
        <v>43952</v>
      </c>
      <c r="J1464" s="6">
        <v>0</v>
      </c>
      <c r="K1464" s="6">
        <v>0</v>
      </c>
      <c r="L1464" s="6">
        <v>337.584</v>
      </c>
      <c r="M1464" s="6">
        <v>337.584</v>
      </c>
      <c r="N1464" s="6">
        <v>337.584</v>
      </c>
      <c r="O1464" s="6">
        <v>337.584</v>
      </c>
      <c r="P1464" s="6">
        <v>0</v>
      </c>
      <c r="Q1464" s="4" t="s">
        <v>26</v>
      </c>
      <c r="R1464" s="4">
        <v>0</v>
      </c>
      <c r="S1464" s="6">
        <v>0</v>
      </c>
      <c r="T1464" s="6">
        <v>37</v>
      </c>
      <c r="U1464" s="6">
        <v>84</v>
      </c>
      <c r="V1464" s="6">
        <f>IF(ISERROR(VLOOKUP($S$1464,'TAR FIN'!$A$1:$O$120,15,0)),0,VLOOKUP($S$1464,'TAR FIN'!$A$1:$O$120,15,0))</f>
        <v>0</v>
      </c>
      <c r="W1464" s="6">
        <f>IF(ISERROR(VLOOKUP($T$1464,'TAR FIN'!$A$1:$O$120,15,0)),0,VLOOKUP($T$1464,'TAR FIN'!$A$1:$O$120,15,0))</f>
        <v>109.75</v>
      </c>
      <c r="X1464" s="6">
        <f>IF(ISERROR(VLOOKUP($U$1464,'TAR FIN'!$A$1:$O$120,15,0)),0,VLOOKUP($U$1464,'TAR FIN'!$A$1:$O$120,15,0))</f>
        <v>256.38</v>
      </c>
      <c r="Y1464" s="6"/>
      <c r="Z1464" s="6">
        <f ca="1">('TUSD BE'!$AM$45+'TUSD BF'!$AM$45+'TUSD CVA'!$AM$45)*1</f>
        <v>112.97896283052546</v>
      </c>
      <c r="AA1464" s="6">
        <f>('TE BE'!$AA$14+'TE BF'!$AA$14+'TE CVA'!$AA$14)*1</f>
        <v>230.83420940933817</v>
      </c>
      <c r="AB1464" s="6">
        <f>$K$1464*$V$1464</f>
        <v>0</v>
      </c>
      <c r="AC1464" s="6">
        <f>$M$1464*$W$1464</f>
        <v>37049.843999999997</v>
      </c>
      <c r="AD1464" s="6">
        <f>$O$1464*$X$1464</f>
        <v>86549.785919999995</v>
      </c>
      <c r="AE1464" s="6">
        <f>$K$1464*$Y$1464</f>
        <v>0</v>
      </c>
      <c r="AF1464" s="6">
        <f ca="1">$M$1464*$Z$1464</f>
        <v>38139.890188180107</v>
      </c>
      <c r="AG1464" s="6">
        <f>$O$1464*$AA$1464</f>
        <v>77925.935749242024</v>
      </c>
    </row>
    <row r="1465" spans="1:33" ht="11.25" customHeight="1" x14ac:dyDescent="0.25">
      <c r="A1465" s="4" t="s">
        <v>21</v>
      </c>
      <c r="B1465" s="4" t="s">
        <v>44</v>
      </c>
      <c r="C1465" s="4" t="s">
        <v>34</v>
      </c>
      <c r="D1465" s="4" t="s">
        <v>42</v>
      </c>
      <c r="E1465" s="4" t="s">
        <v>25</v>
      </c>
      <c r="F1465" s="4" t="s">
        <v>25</v>
      </c>
      <c r="G1465" s="4" t="s">
        <v>25</v>
      </c>
      <c r="H1465" s="4" t="s">
        <v>36</v>
      </c>
      <c r="I1465" s="5">
        <v>43983</v>
      </c>
      <c r="J1465" s="6">
        <v>0</v>
      </c>
      <c r="K1465" s="6">
        <v>0</v>
      </c>
      <c r="L1465" s="6">
        <v>4150.2550000000001</v>
      </c>
      <c r="M1465" s="6">
        <v>4150.2550000000001</v>
      </c>
      <c r="N1465" s="6">
        <v>4150.2550000000001</v>
      </c>
      <c r="O1465" s="6">
        <v>4150.2550000000001</v>
      </c>
      <c r="P1465" s="6">
        <v>0</v>
      </c>
      <c r="Q1465" s="4" t="s">
        <v>26</v>
      </c>
      <c r="R1465" s="4">
        <v>0</v>
      </c>
      <c r="S1465" s="6">
        <v>0</v>
      </c>
      <c r="T1465" s="6">
        <v>37</v>
      </c>
      <c r="U1465" s="6">
        <v>84</v>
      </c>
      <c r="V1465" s="6">
        <f>IF(ISERROR(VLOOKUP($S$1465,'TAR FIN'!$A$1:$O$120,15,0)),0,VLOOKUP($S$1465,'TAR FIN'!$A$1:$O$120,15,0))</f>
        <v>0</v>
      </c>
      <c r="W1465" s="6">
        <f>IF(ISERROR(VLOOKUP($T$1465,'TAR FIN'!$A$1:$O$120,15,0)),0,VLOOKUP($T$1465,'TAR FIN'!$A$1:$O$120,15,0))</f>
        <v>109.75</v>
      </c>
      <c r="X1465" s="6">
        <f>IF(ISERROR(VLOOKUP($U$1465,'TAR FIN'!$A$1:$O$120,15,0)),0,VLOOKUP($U$1465,'TAR FIN'!$A$1:$O$120,15,0))</f>
        <v>256.38</v>
      </c>
      <c r="Y1465" s="6"/>
      <c r="Z1465" s="6">
        <f ca="1">('TUSD BE'!$AM$45+'TUSD BF'!$AM$45+'TUSD CVA'!$AM$45)*1</f>
        <v>112.97896283052546</v>
      </c>
      <c r="AA1465" s="6">
        <f>('TE BE'!$AA$14+'TE BF'!$AA$14+'TE CVA'!$AA$14)*1</f>
        <v>230.83420940933817</v>
      </c>
      <c r="AB1465" s="6">
        <f>$K$1465*$V$1465</f>
        <v>0</v>
      </c>
      <c r="AC1465" s="6">
        <f>$M$1465*$W$1465</f>
        <v>455490.48625000002</v>
      </c>
      <c r="AD1465" s="6">
        <f>$O$1465*$X$1465</f>
        <v>1064042.3769</v>
      </c>
      <c r="AE1465" s="6">
        <f>$K$1465*$Y$1465</f>
        <v>0</v>
      </c>
      <c r="AF1465" s="6">
        <f ca="1">$M$1465*$Z$1465</f>
        <v>468891.50538220245</v>
      </c>
      <c r="AG1465" s="6">
        <f>$O$1465*$AA$1465</f>
        <v>958020.8317721528</v>
      </c>
    </row>
    <row r="1466" spans="1:33" ht="11.25" customHeight="1" x14ac:dyDescent="0.25">
      <c r="A1466" s="4" t="s">
        <v>27</v>
      </c>
      <c r="B1466" s="4" t="s">
        <v>44</v>
      </c>
      <c r="C1466" s="4" t="s">
        <v>34</v>
      </c>
      <c r="D1466" s="4" t="s">
        <v>42</v>
      </c>
      <c r="E1466" s="4" t="s">
        <v>25</v>
      </c>
      <c r="F1466" s="4" t="s">
        <v>25</v>
      </c>
      <c r="G1466" s="4" t="s">
        <v>25</v>
      </c>
      <c r="H1466" s="4" t="s">
        <v>36</v>
      </c>
      <c r="I1466" s="5">
        <v>43983</v>
      </c>
      <c r="J1466" s="6">
        <v>0</v>
      </c>
      <c r="K1466" s="6">
        <v>0</v>
      </c>
      <c r="L1466" s="6">
        <v>25.931999999999999</v>
      </c>
      <c r="M1466" s="6">
        <v>25.931999999999999</v>
      </c>
      <c r="N1466" s="6">
        <v>25.931999999999999</v>
      </c>
      <c r="O1466" s="6">
        <v>25.931999999999999</v>
      </c>
      <c r="P1466" s="6">
        <v>0</v>
      </c>
      <c r="Q1466" s="4" t="s">
        <v>26</v>
      </c>
      <c r="R1466" s="4">
        <v>0</v>
      </c>
      <c r="S1466" s="6">
        <v>0</v>
      </c>
      <c r="T1466" s="6">
        <v>37</v>
      </c>
      <c r="U1466" s="6">
        <v>84</v>
      </c>
      <c r="V1466" s="6">
        <f>IF(ISERROR(VLOOKUP($S$1466,'TAR FIN'!$A$1:$O$120,15,0)),0,VLOOKUP($S$1466,'TAR FIN'!$A$1:$O$120,15,0))</f>
        <v>0</v>
      </c>
      <c r="W1466" s="6">
        <f>IF(ISERROR(VLOOKUP($T$1466,'TAR FIN'!$A$1:$O$120,15,0)),0,VLOOKUP($T$1466,'TAR FIN'!$A$1:$O$120,15,0))</f>
        <v>109.75</v>
      </c>
      <c r="X1466" s="6">
        <f>IF(ISERROR(VLOOKUP($U$1466,'TAR FIN'!$A$1:$O$120,15,0)),0,VLOOKUP($U$1466,'TAR FIN'!$A$1:$O$120,15,0))</f>
        <v>256.38</v>
      </c>
      <c r="Y1466" s="6"/>
      <c r="Z1466" s="6">
        <f ca="1">('TUSD BE'!$AM$45+'TUSD BF'!$AM$45+'TUSD CVA'!$AM$45)*1</f>
        <v>112.97896283052546</v>
      </c>
      <c r="AA1466" s="6">
        <f>('TE BE'!$AA$14+'TE BF'!$AA$14+'TE CVA'!$AA$14)*1</f>
        <v>230.83420940933817</v>
      </c>
      <c r="AB1466" s="6">
        <f>$K$1466*$V$1466</f>
        <v>0</v>
      </c>
      <c r="AC1466" s="6">
        <f>$M$1466*$W$1466</f>
        <v>2846.0369999999998</v>
      </c>
      <c r="AD1466" s="6">
        <f>$O$1466*$X$1466</f>
        <v>6648.4461599999995</v>
      </c>
      <c r="AE1466" s="6">
        <f>$K$1466*$Y$1466</f>
        <v>0</v>
      </c>
      <c r="AF1466" s="6">
        <f ca="1">$M$1466*$Z$1466</f>
        <v>2929.7704641211863</v>
      </c>
      <c r="AG1466" s="6">
        <f>$O$1466*$AA$1466</f>
        <v>5985.9927184029575</v>
      </c>
    </row>
    <row r="1467" spans="1:33" ht="11.25" customHeight="1" x14ac:dyDescent="0.25">
      <c r="A1467" s="4" t="s">
        <v>28</v>
      </c>
      <c r="B1467" s="4" t="s">
        <v>44</v>
      </c>
      <c r="C1467" s="4" t="s">
        <v>34</v>
      </c>
      <c r="D1467" s="4" t="s">
        <v>42</v>
      </c>
      <c r="E1467" s="4" t="s">
        <v>25</v>
      </c>
      <c r="F1467" s="4" t="s">
        <v>25</v>
      </c>
      <c r="G1467" s="4" t="s">
        <v>25</v>
      </c>
      <c r="H1467" s="4" t="s">
        <v>36</v>
      </c>
      <c r="I1467" s="5">
        <v>43983</v>
      </c>
      <c r="J1467" s="6">
        <v>0</v>
      </c>
      <c r="K1467" s="6">
        <v>0</v>
      </c>
      <c r="L1467" s="6">
        <v>339.17399999999998</v>
      </c>
      <c r="M1467" s="6">
        <v>339.17399999999998</v>
      </c>
      <c r="N1467" s="6">
        <v>339.17399999999998</v>
      </c>
      <c r="O1467" s="6">
        <v>339.17399999999998</v>
      </c>
      <c r="P1467" s="6">
        <v>0</v>
      </c>
      <c r="Q1467" s="4" t="s">
        <v>26</v>
      </c>
      <c r="R1467" s="4">
        <v>0</v>
      </c>
      <c r="S1467" s="6">
        <v>0</v>
      </c>
      <c r="T1467" s="6">
        <v>37</v>
      </c>
      <c r="U1467" s="6">
        <v>84</v>
      </c>
      <c r="V1467" s="6">
        <f>IF(ISERROR(VLOOKUP($S$1467,'TAR FIN'!$A$1:$O$120,15,0)),0,VLOOKUP($S$1467,'TAR FIN'!$A$1:$O$120,15,0))</f>
        <v>0</v>
      </c>
      <c r="W1467" s="6">
        <f>IF(ISERROR(VLOOKUP($T$1467,'TAR FIN'!$A$1:$O$120,15,0)),0,VLOOKUP($T$1467,'TAR FIN'!$A$1:$O$120,15,0))</f>
        <v>109.75</v>
      </c>
      <c r="X1467" s="6">
        <f>IF(ISERROR(VLOOKUP($U$1467,'TAR FIN'!$A$1:$O$120,15,0)),0,VLOOKUP($U$1467,'TAR FIN'!$A$1:$O$120,15,0))</f>
        <v>256.38</v>
      </c>
      <c r="Y1467" s="6"/>
      <c r="Z1467" s="6">
        <f ca="1">('TUSD BE'!$AM$45+'TUSD BF'!$AM$45+'TUSD CVA'!$AM$45)*1</f>
        <v>112.97896283052546</v>
      </c>
      <c r="AA1467" s="6">
        <f>('TE BE'!$AA$14+'TE BF'!$AA$14+'TE CVA'!$AA$14)*1</f>
        <v>230.83420940933817</v>
      </c>
      <c r="AB1467" s="6">
        <f>$K$1467*$V$1467</f>
        <v>0</v>
      </c>
      <c r="AC1467" s="6">
        <f>$M$1467*$W$1467</f>
        <v>37224.3465</v>
      </c>
      <c r="AD1467" s="6">
        <f>$O$1467*$X$1467</f>
        <v>86957.43011999999</v>
      </c>
      <c r="AE1467" s="6">
        <f>$K$1467*$Y$1467</f>
        <v>0</v>
      </c>
      <c r="AF1467" s="6">
        <f ca="1">$M$1467*$Z$1467</f>
        <v>38319.52673908064</v>
      </c>
      <c r="AG1467" s="6">
        <f>$O$1467*$AA$1467</f>
        <v>78292.962142202858</v>
      </c>
    </row>
    <row r="1468" spans="1:33" ht="11.25" customHeight="1" x14ac:dyDescent="0.25">
      <c r="A1468" s="4" t="s">
        <v>21</v>
      </c>
      <c r="B1468" s="4" t="s">
        <v>44</v>
      </c>
      <c r="C1468" s="4" t="s">
        <v>34</v>
      </c>
      <c r="D1468" s="4" t="s">
        <v>42</v>
      </c>
      <c r="E1468" s="4" t="s">
        <v>25</v>
      </c>
      <c r="F1468" s="4" t="s">
        <v>25</v>
      </c>
      <c r="G1468" s="4" t="s">
        <v>25</v>
      </c>
      <c r="H1468" s="4" t="s">
        <v>36</v>
      </c>
      <c r="I1468" s="5">
        <v>44013</v>
      </c>
      <c r="J1468" s="6">
        <v>0</v>
      </c>
      <c r="K1468" s="6">
        <v>0</v>
      </c>
      <c r="L1468" s="6">
        <v>3689.8530000000001</v>
      </c>
      <c r="M1468" s="6">
        <v>3689.8530000000001</v>
      </c>
      <c r="N1468" s="6">
        <v>3689.8530000000001</v>
      </c>
      <c r="O1468" s="6">
        <v>3689.8530000000001</v>
      </c>
      <c r="P1468" s="6">
        <v>0</v>
      </c>
      <c r="Q1468" s="4" t="s">
        <v>26</v>
      </c>
      <c r="R1468" s="4">
        <v>0</v>
      </c>
      <c r="S1468" s="6">
        <v>0</v>
      </c>
      <c r="T1468" s="6">
        <v>37</v>
      </c>
      <c r="U1468" s="6">
        <v>84</v>
      </c>
      <c r="V1468" s="6">
        <f>IF(ISERROR(VLOOKUP($S$1468,'TAR FIN'!$A$1:$O$120,15,0)),0,VLOOKUP($S$1468,'TAR FIN'!$A$1:$O$120,15,0))</f>
        <v>0</v>
      </c>
      <c r="W1468" s="6">
        <f>IF(ISERROR(VLOOKUP($T$1468,'TAR FIN'!$A$1:$O$120,15,0)),0,VLOOKUP($T$1468,'TAR FIN'!$A$1:$O$120,15,0))</f>
        <v>109.75</v>
      </c>
      <c r="X1468" s="6">
        <f>IF(ISERROR(VLOOKUP($U$1468,'TAR FIN'!$A$1:$O$120,15,0)),0,VLOOKUP($U$1468,'TAR FIN'!$A$1:$O$120,15,0))</f>
        <v>256.38</v>
      </c>
      <c r="Y1468" s="6"/>
      <c r="Z1468" s="6">
        <f ca="1">('TUSD BE'!$AM$45+'TUSD BF'!$AM$45+'TUSD CVA'!$AM$45)*1</f>
        <v>112.97896283052546</v>
      </c>
      <c r="AA1468" s="6">
        <f>('TE BE'!$AA$14+'TE BF'!$AA$14+'TE CVA'!$AA$14)*1</f>
        <v>230.83420940933817</v>
      </c>
      <c r="AB1468" s="6">
        <f>$K$1468*$V$1468</f>
        <v>0</v>
      </c>
      <c r="AC1468" s="6">
        <f>$M$1468*$W$1468</f>
        <v>404961.36674999999</v>
      </c>
      <c r="AD1468" s="6">
        <f>$O$1468*$X$1468</f>
        <v>946004.51214000001</v>
      </c>
      <c r="AE1468" s="6">
        <f>$K$1468*$Y$1468</f>
        <v>0</v>
      </c>
      <c r="AF1468" s="6">
        <f ca="1">$M$1468*$Z$1468</f>
        <v>416875.76493710285</v>
      </c>
      <c r="AG1468" s="6">
        <f>$O$1468*$AA$1468</f>
        <v>851744.30009167467</v>
      </c>
    </row>
    <row r="1469" spans="1:33" ht="11.25" customHeight="1" x14ac:dyDescent="0.25">
      <c r="A1469" s="4" t="s">
        <v>27</v>
      </c>
      <c r="B1469" s="4" t="s">
        <v>44</v>
      </c>
      <c r="C1469" s="4" t="s">
        <v>34</v>
      </c>
      <c r="D1469" s="4" t="s">
        <v>42</v>
      </c>
      <c r="E1469" s="4" t="s">
        <v>25</v>
      </c>
      <c r="F1469" s="4" t="s">
        <v>25</v>
      </c>
      <c r="G1469" s="4" t="s">
        <v>25</v>
      </c>
      <c r="H1469" s="4" t="s">
        <v>36</v>
      </c>
      <c r="I1469" s="5">
        <v>44013</v>
      </c>
      <c r="J1469" s="6">
        <v>0</v>
      </c>
      <c r="K1469" s="6">
        <v>0</v>
      </c>
      <c r="L1469" s="6">
        <v>2.1339999999999999</v>
      </c>
      <c r="M1469" s="6">
        <v>2.1339999999999999</v>
      </c>
      <c r="N1469" s="6">
        <v>2.1339999999999999</v>
      </c>
      <c r="O1469" s="6">
        <v>2.1339999999999999</v>
      </c>
      <c r="P1469" s="6">
        <v>0</v>
      </c>
      <c r="Q1469" s="4" t="s">
        <v>26</v>
      </c>
      <c r="R1469" s="4">
        <v>0</v>
      </c>
      <c r="S1469" s="6">
        <v>0</v>
      </c>
      <c r="T1469" s="6">
        <v>37</v>
      </c>
      <c r="U1469" s="6">
        <v>84</v>
      </c>
      <c r="V1469" s="6">
        <f>IF(ISERROR(VLOOKUP($S$1469,'TAR FIN'!$A$1:$O$120,15,0)),0,VLOOKUP($S$1469,'TAR FIN'!$A$1:$O$120,15,0))</f>
        <v>0</v>
      </c>
      <c r="W1469" s="6">
        <f>IF(ISERROR(VLOOKUP($T$1469,'TAR FIN'!$A$1:$O$120,15,0)),0,VLOOKUP($T$1469,'TAR FIN'!$A$1:$O$120,15,0))</f>
        <v>109.75</v>
      </c>
      <c r="X1469" s="6">
        <f>IF(ISERROR(VLOOKUP($U$1469,'TAR FIN'!$A$1:$O$120,15,0)),0,VLOOKUP($U$1469,'TAR FIN'!$A$1:$O$120,15,0))</f>
        <v>256.38</v>
      </c>
      <c r="Y1469" s="6"/>
      <c r="Z1469" s="6">
        <f ca="1">('TUSD BE'!$AM$45+'TUSD BF'!$AM$45+'TUSD CVA'!$AM$45)*1</f>
        <v>112.97896283052546</v>
      </c>
      <c r="AA1469" s="6">
        <f>('TE BE'!$AA$14+'TE BF'!$AA$14+'TE CVA'!$AA$14)*1</f>
        <v>230.83420940933817</v>
      </c>
      <c r="AB1469" s="6">
        <f>$K$1469*$V$1469</f>
        <v>0</v>
      </c>
      <c r="AC1469" s="6">
        <f>$M$1469*$W$1469</f>
        <v>234.20649999999998</v>
      </c>
      <c r="AD1469" s="6">
        <f>$O$1469*$X$1469</f>
        <v>547.11491999999998</v>
      </c>
      <c r="AE1469" s="6">
        <f>$K$1469*$Y$1469</f>
        <v>0</v>
      </c>
      <c r="AF1469" s="6">
        <f ca="1">$M$1469*$Z$1469</f>
        <v>241.09710668034131</v>
      </c>
      <c r="AG1469" s="6">
        <f>$O$1469*$AA$1469</f>
        <v>492.60020287952761</v>
      </c>
    </row>
    <row r="1470" spans="1:33" ht="11.25" customHeight="1" x14ac:dyDescent="0.25">
      <c r="A1470" s="4" t="s">
        <v>28</v>
      </c>
      <c r="B1470" s="4" t="s">
        <v>44</v>
      </c>
      <c r="C1470" s="4" t="s">
        <v>34</v>
      </c>
      <c r="D1470" s="4" t="s">
        <v>42</v>
      </c>
      <c r="E1470" s="4" t="s">
        <v>25</v>
      </c>
      <c r="F1470" s="4" t="s">
        <v>25</v>
      </c>
      <c r="G1470" s="4" t="s">
        <v>25</v>
      </c>
      <c r="H1470" s="4" t="s">
        <v>36</v>
      </c>
      <c r="I1470" s="5">
        <v>44013</v>
      </c>
      <c r="J1470" s="6">
        <v>0</v>
      </c>
      <c r="K1470" s="6">
        <v>0</v>
      </c>
      <c r="L1470" s="6">
        <v>308.48899999999998</v>
      </c>
      <c r="M1470" s="6">
        <v>308.48899999999998</v>
      </c>
      <c r="N1470" s="6">
        <v>308.48899999999998</v>
      </c>
      <c r="O1470" s="6">
        <v>308.48899999999998</v>
      </c>
      <c r="P1470" s="6">
        <v>0</v>
      </c>
      <c r="Q1470" s="4" t="s">
        <v>26</v>
      </c>
      <c r="R1470" s="4">
        <v>0</v>
      </c>
      <c r="S1470" s="6">
        <v>0</v>
      </c>
      <c r="T1470" s="6">
        <v>37</v>
      </c>
      <c r="U1470" s="6">
        <v>84</v>
      </c>
      <c r="V1470" s="6">
        <f>IF(ISERROR(VLOOKUP($S$1470,'TAR FIN'!$A$1:$O$120,15,0)),0,VLOOKUP($S$1470,'TAR FIN'!$A$1:$O$120,15,0))</f>
        <v>0</v>
      </c>
      <c r="W1470" s="6">
        <f>IF(ISERROR(VLOOKUP($T$1470,'TAR FIN'!$A$1:$O$120,15,0)),0,VLOOKUP($T$1470,'TAR FIN'!$A$1:$O$120,15,0))</f>
        <v>109.75</v>
      </c>
      <c r="X1470" s="6">
        <f>IF(ISERROR(VLOOKUP($U$1470,'TAR FIN'!$A$1:$O$120,15,0)),0,VLOOKUP($U$1470,'TAR FIN'!$A$1:$O$120,15,0))</f>
        <v>256.38</v>
      </c>
      <c r="Y1470" s="6"/>
      <c r="Z1470" s="6">
        <f ca="1">('TUSD BE'!$AM$45+'TUSD BF'!$AM$45+'TUSD CVA'!$AM$45)*1</f>
        <v>112.97896283052546</v>
      </c>
      <c r="AA1470" s="6">
        <f>('TE BE'!$AA$14+'TE BF'!$AA$14+'TE CVA'!$AA$14)*1</f>
        <v>230.83420940933817</v>
      </c>
      <c r="AB1470" s="6">
        <f>$K$1470*$V$1470</f>
        <v>0</v>
      </c>
      <c r="AC1470" s="6">
        <f>$M$1470*$W$1470</f>
        <v>33856.667750000001</v>
      </c>
      <c r="AD1470" s="6">
        <f>$O$1470*$X$1470</f>
        <v>79090.409819999986</v>
      </c>
      <c r="AE1470" s="6">
        <f>$K$1470*$Y$1470</f>
        <v>0</v>
      </c>
      <c r="AF1470" s="6">
        <f ca="1">$M$1470*$Z$1470</f>
        <v>34852.767264625967</v>
      </c>
      <c r="AG1470" s="6">
        <f>$O$1470*$AA$1470</f>
        <v>71209.814426477315</v>
      </c>
    </row>
    <row r="1471" spans="1:33" ht="11.25" customHeight="1" x14ac:dyDescent="0.25">
      <c r="A1471" s="4" t="s">
        <v>21</v>
      </c>
      <c r="B1471" s="4" t="s">
        <v>44</v>
      </c>
      <c r="C1471" s="4" t="s">
        <v>34</v>
      </c>
      <c r="D1471" s="4" t="s">
        <v>42</v>
      </c>
      <c r="E1471" s="4" t="s">
        <v>25</v>
      </c>
      <c r="F1471" s="4" t="s">
        <v>25</v>
      </c>
      <c r="G1471" s="4" t="s">
        <v>25</v>
      </c>
      <c r="H1471" s="4" t="s">
        <v>36</v>
      </c>
      <c r="I1471" s="5">
        <v>44044</v>
      </c>
      <c r="J1471" s="6">
        <v>0</v>
      </c>
      <c r="K1471" s="6">
        <v>0</v>
      </c>
      <c r="L1471" s="6">
        <v>3755.893</v>
      </c>
      <c r="M1471" s="6">
        <v>3755.893</v>
      </c>
      <c r="N1471" s="6">
        <v>3755.893</v>
      </c>
      <c r="O1471" s="6">
        <v>3755.893</v>
      </c>
      <c r="P1471" s="6">
        <v>0</v>
      </c>
      <c r="Q1471" s="4" t="s">
        <v>26</v>
      </c>
      <c r="R1471" s="4">
        <v>0</v>
      </c>
      <c r="S1471" s="6">
        <v>0</v>
      </c>
      <c r="T1471" s="6">
        <v>37</v>
      </c>
      <c r="U1471" s="6">
        <v>84</v>
      </c>
      <c r="V1471" s="6">
        <f>IF(ISERROR(VLOOKUP($S$1471,'TAR FIN'!$A$1:$O$120,15,0)),0,VLOOKUP($S$1471,'TAR FIN'!$A$1:$O$120,15,0))</f>
        <v>0</v>
      </c>
      <c r="W1471" s="6">
        <f>IF(ISERROR(VLOOKUP($T$1471,'TAR FIN'!$A$1:$O$120,15,0)),0,VLOOKUP($T$1471,'TAR FIN'!$A$1:$O$120,15,0))</f>
        <v>109.75</v>
      </c>
      <c r="X1471" s="6">
        <f>IF(ISERROR(VLOOKUP($U$1471,'TAR FIN'!$A$1:$O$120,15,0)),0,VLOOKUP($U$1471,'TAR FIN'!$A$1:$O$120,15,0))</f>
        <v>256.38</v>
      </c>
      <c r="Y1471" s="6"/>
      <c r="Z1471" s="6">
        <f ca="1">('TUSD BE'!$AM$45+'TUSD BF'!$AM$45+'TUSD CVA'!$AM$45)*1</f>
        <v>112.97896283052546</v>
      </c>
      <c r="AA1471" s="6">
        <f>('TE BE'!$AA$14+'TE BF'!$AA$14+'TE CVA'!$AA$14)*1</f>
        <v>230.83420940933817</v>
      </c>
      <c r="AB1471" s="6">
        <f>$K$1471*$V$1471</f>
        <v>0</v>
      </c>
      <c r="AC1471" s="6">
        <f>$M$1471*$W$1471</f>
        <v>412209.25675</v>
      </c>
      <c r="AD1471" s="6">
        <f>$O$1471*$X$1471</f>
        <v>962935.84733999998</v>
      </c>
      <c r="AE1471" s="6">
        <f>$K$1471*$Y$1471</f>
        <v>0</v>
      </c>
      <c r="AF1471" s="6">
        <f ca="1">$M$1471*$Z$1471</f>
        <v>424336.89564243075</v>
      </c>
      <c r="AG1471" s="6">
        <f>$O$1471*$AA$1471</f>
        <v>866988.59128106735</v>
      </c>
    </row>
    <row r="1472" spans="1:33" ht="11.25" customHeight="1" x14ac:dyDescent="0.25">
      <c r="A1472" s="4" t="s">
        <v>27</v>
      </c>
      <c r="B1472" s="4" t="s">
        <v>44</v>
      </c>
      <c r="C1472" s="4" t="s">
        <v>34</v>
      </c>
      <c r="D1472" s="4" t="s">
        <v>42</v>
      </c>
      <c r="E1472" s="4" t="s">
        <v>25</v>
      </c>
      <c r="F1472" s="4" t="s">
        <v>25</v>
      </c>
      <c r="G1472" s="4" t="s">
        <v>25</v>
      </c>
      <c r="H1472" s="4" t="s">
        <v>36</v>
      </c>
      <c r="I1472" s="5">
        <v>44044</v>
      </c>
      <c r="J1472" s="6">
        <v>0</v>
      </c>
      <c r="K1472" s="6">
        <v>0</v>
      </c>
      <c r="L1472" s="6">
        <v>9.3710000000000004</v>
      </c>
      <c r="M1472" s="6">
        <v>9.3710000000000004</v>
      </c>
      <c r="N1472" s="6">
        <v>9.3710000000000004</v>
      </c>
      <c r="O1472" s="6">
        <v>9.3710000000000004</v>
      </c>
      <c r="P1472" s="6">
        <v>0</v>
      </c>
      <c r="Q1472" s="4" t="s">
        <v>26</v>
      </c>
      <c r="R1472" s="4">
        <v>0</v>
      </c>
      <c r="S1472" s="6">
        <v>0</v>
      </c>
      <c r="T1472" s="6">
        <v>37</v>
      </c>
      <c r="U1472" s="6">
        <v>84</v>
      </c>
      <c r="V1472" s="6">
        <f>IF(ISERROR(VLOOKUP($S$1472,'TAR FIN'!$A$1:$O$120,15,0)),0,VLOOKUP($S$1472,'TAR FIN'!$A$1:$O$120,15,0))</f>
        <v>0</v>
      </c>
      <c r="W1472" s="6">
        <f>IF(ISERROR(VLOOKUP($T$1472,'TAR FIN'!$A$1:$O$120,15,0)),0,VLOOKUP($T$1472,'TAR FIN'!$A$1:$O$120,15,0))</f>
        <v>109.75</v>
      </c>
      <c r="X1472" s="6">
        <f>IF(ISERROR(VLOOKUP($U$1472,'TAR FIN'!$A$1:$O$120,15,0)),0,VLOOKUP($U$1472,'TAR FIN'!$A$1:$O$120,15,0))</f>
        <v>256.38</v>
      </c>
      <c r="Y1472" s="6"/>
      <c r="Z1472" s="6">
        <f ca="1">('TUSD BE'!$AM$45+'TUSD BF'!$AM$45+'TUSD CVA'!$AM$45)*1</f>
        <v>112.97896283052546</v>
      </c>
      <c r="AA1472" s="6">
        <f>('TE BE'!$AA$14+'TE BF'!$AA$14+'TE CVA'!$AA$14)*1</f>
        <v>230.83420940933817</v>
      </c>
      <c r="AB1472" s="6">
        <f>$K$1472*$V$1472</f>
        <v>0</v>
      </c>
      <c r="AC1472" s="6">
        <f>$M$1472*$W$1472</f>
        <v>1028.4672500000001</v>
      </c>
      <c r="AD1472" s="6">
        <f>$O$1472*$X$1472</f>
        <v>2402.5369799999999</v>
      </c>
      <c r="AE1472" s="6">
        <f>$K$1472*$Y$1472</f>
        <v>0</v>
      </c>
      <c r="AF1472" s="6">
        <f ca="1">$M$1472*$Z$1472</f>
        <v>1058.7258606848541</v>
      </c>
      <c r="AG1472" s="6">
        <f>$O$1472*$AA$1472</f>
        <v>2163.1473763749082</v>
      </c>
    </row>
    <row r="1473" spans="1:33" ht="11.25" customHeight="1" x14ac:dyDescent="0.25">
      <c r="A1473" s="4" t="s">
        <v>28</v>
      </c>
      <c r="B1473" s="4" t="s">
        <v>44</v>
      </c>
      <c r="C1473" s="4" t="s">
        <v>34</v>
      </c>
      <c r="D1473" s="4" t="s">
        <v>42</v>
      </c>
      <c r="E1473" s="4" t="s">
        <v>25</v>
      </c>
      <c r="F1473" s="4" t="s">
        <v>25</v>
      </c>
      <c r="G1473" s="4" t="s">
        <v>25</v>
      </c>
      <c r="H1473" s="4" t="s">
        <v>36</v>
      </c>
      <c r="I1473" s="5">
        <v>44044</v>
      </c>
      <c r="J1473" s="6">
        <v>0</v>
      </c>
      <c r="K1473" s="6">
        <v>0</v>
      </c>
      <c r="L1473" s="6">
        <v>436.762</v>
      </c>
      <c r="M1473" s="6">
        <v>436.762</v>
      </c>
      <c r="N1473" s="6">
        <v>436.762</v>
      </c>
      <c r="O1473" s="6">
        <v>436.762</v>
      </c>
      <c r="P1473" s="6">
        <v>0</v>
      </c>
      <c r="Q1473" s="4" t="s">
        <v>26</v>
      </c>
      <c r="R1473" s="4">
        <v>0</v>
      </c>
      <c r="S1473" s="6">
        <v>0</v>
      </c>
      <c r="T1473" s="6">
        <v>37</v>
      </c>
      <c r="U1473" s="6">
        <v>84</v>
      </c>
      <c r="V1473" s="6">
        <f>IF(ISERROR(VLOOKUP($S$1473,'TAR FIN'!$A$1:$O$120,15,0)),0,VLOOKUP($S$1473,'TAR FIN'!$A$1:$O$120,15,0))</f>
        <v>0</v>
      </c>
      <c r="W1473" s="6">
        <f>IF(ISERROR(VLOOKUP($T$1473,'TAR FIN'!$A$1:$O$120,15,0)),0,VLOOKUP($T$1473,'TAR FIN'!$A$1:$O$120,15,0))</f>
        <v>109.75</v>
      </c>
      <c r="X1473" s="6">
        <f>IF(ISERROR(VLOOKUP($U$1473,'TAR FIN'!$A$1:$O$120,15,0)),0,VLOOKUP($U$1473,'TAR FIN'!$A$1:$O$120,15,0))</f>
        <v>256.38</v>
      </c>
      <c r="Y1473" s="6"/>
      <c r="Z1473" s="6">
        <f ca="1">('TUSD BE'!$AM$45+'TUSD BF'!$AM$45+'TUSD CVA'!$AM$45)*1</f>
        <v>112.97896283052546</v>
      </c>
      <c r="AA1473" s="6">
        <f>('TE BE'!$AA$14+'TE BF'!$AA$14+'TE CVA'!$AA$14)*1</f>
        <v>230.83420940933817</v>
      </c>
      <c r="AB1473" s="6">
        <f>$K$1473*$V$1473</f>
        <v>0</v>
      </c>
      <c r="AC1473" s="6">
        <f>$M$1473*$W$1473</f>
        <v>47934.629500000003</v>
      </c>
      <c r="AD1473" s="6">
        <f>$O$1473*$X$1473</f>
        <v>111977.04156</v>
      </c>
      <c r="AE1473" s="6">
        <f>$K$1473*$Y$1473</f>
        <v>0</v>
      </c>
      <c r="AF1473" s="6">
        <f ca="1">$M$1473*$Z$1473</f>
        <v>49344.917763785961</v>
      </c>
      <c r="AG1473" s="6">
        <f>$O$1473*$AA$1473</f>
        <v>100819.61097004137</v>
      </c>
    </row>
    <row r="1474" spans="1:33" ht="11.25" customHeight="1" x14ac:dyDescent="0.25">
      <c r="A1474" s="4" t="s">
        <v>59</v>
      </c>
      <c r="B1474" s="4" t="s">
        <v>44</v>
      </c>
      <c r="C1474" s="4" t="s">
        <v>34</v>
      </c>
      <c r="D1474" s="4" t="s">
        <v>42</v>
      </c>
      <c r="E1474" s="4" t="s">
        <v>25</v>
      </c>
      <c r="F1474" s="4" t="s">
        <v>25</v>
      </c>
      <c r="G1474" s="4" t="s">
        <v>25</v>
      </c>
      <c r="H1474" s="4" t="s">
        <v>36</v>
      </c>
      <c r="I1474" s="5">
        <v>44075</v>
      </c>
      <c r="J1474" s="6">
        <v>0</v>
      </c>
      <c r="K1474" s="6">
        <v>0</v>
      </c>
      <c r="L1474" s="6">
        <v>3755.893</v>
      </c>
      <c r="M1474" s="6">
        <v>3755.893</v>
      </c>
      <c r="N1474" s="6">
        <v>3755.893</v>
      </c>
      <c r="O1474" s="6">
        <v>3755.893</v>
      </c>
      <c r="P1474" s="6">
        <v>0</v>
      </c>
      <c r="Q1474" s="4" t="s">
        <v>26</v>
      </c>
      <c r="R1474" s="4">
        <v>0</v>
      </c>
      <c r="S1474" s="6">
        <v>0</v>
      </c>
      <c r="T1474" s="6">
        <v>37</v>
      </c>
      <c r="U1474" s="6">
        <v>84</v>
      </c>
      <c r="V1474" s="6">
        <f>IF(ISERROR(VLOOKUP($S$1474,'TAR FIN'!$A$1:$O$120,15,0)),0,VLOOKUP($S$1474,'TAR FIN'!$A$1:$O$120,15,0))</f>
        <v>0</v>
      </c>
      <c r="W1474" s="6">
        <f>IF(ISERROR(VLOOKUP($T$1474,'TAR FIN'!$A$1:$O$120,15,0)),0,VLOOKUP($T$1474,'TAR FIN'!$A$1:$O$120,15,0))</f>
        <v>109.75</v>
      </c>
      <c r="X1474" s="6">
        <f>IF(ISERROR(VLOOKUP($U$1474,'TAR FIN'!$A$1:$O$120,15,0)),0,VLOOKUP($U$1474,'TAR FIN'!$A$1:$O$120,15,0))</f>
        <v>256.38</v>
      </c>
      <c r="Y1474" s="6"/>
      <c r="Z1474" s="6">
        <f ca="1">('TUSD BE'!$AM$45+'TUSD BF'!$AM$45+'TUSD CVA'!$AM$45)*1</f>
        <v>112.97896283052546</v>
      </c>
      <c r="AA1474" s="6">
        <f>('TE BE'!$AA$14+'TE BF'!$AA$14+'TE CVA'!$AA$14)*1</f>
        <v>230.83420940933817</v>
      </c>
      <c r="AB1474" s="6">
        <f>$K$1474*$V$1474</f>
        <v>0</v>
      </c>
      <c r="AC1474" s="6">
        <f>$M$1474*$W$1474</f>
        <v>412209.25675</v>
      </c>
      <c r="AD1474" s="6">
        <f>$O$1474*$X$1474</f>
        <v>962935.84733999998</v>
      </c>
      <c r="AE1474" s="6">
        <f>$K$1474*$Y$1474</f>
        <v>0</v>
      </c>
      <c r="AF1474" s="6">
        <f ca="1">$M$1474*$Z$1474</f>
        <v>424336.89564243075</v>
      </c>
      <c r="AG1474" s="6">
        <f>$O$1474*$AA$1474</f>
        <v>866988.59128106735</v>
      </c>
    </row>
    <row r="1475" spans="1:33" ht="11.25" customHeight="1" x14ac:dyDescent="0.25">
      <c r="A1475" s="4" t="s">
        <v>59</v>
      </c>
      <c r="B1475" s="4" t="s">
        <v>44</v>
      </c>
      <c r="C1475" s="4" t="s">
        <v>34</v>
      </c>
      <c r="D1475" s="4" t="s">
        <v>42</v>
      </c>
      <c r="E1475" s="4" t="s">
        <v>25</v>
      </c>
      <c r="F1475" s="4" t="s">
        <v>25</v>
      </c>
      <c r="G1475" s="4" t="s">
        <v>25</v>
      </c>
      <c r="H1475" s="4" t="s">
        <v>36</v>
      </c>
      <c r="I1475" s="5">
        <v>44075</v>
      </c>
      <c r="J1475" s="6">
        <v>0</v>
      </c>
      <c r="K1475" s="6">
        <v>0</v>
      </c>
      <c r="L1475" s="6">
        <v>9.3710000000000004</v>
      </c>
      <c r="M1475" s="6">
        <v>9.3710000000000004</v>
      </c>
      <c r="N1475" s="6">
        <v>9.3710000000000004</v>
      </c>
      <c r="O1475" s="6">
        <v>9.3710000000000004</v>
      </c>
      <c r="P1475" s="6">
        <v>0</v>
      </c>
      <c r="Q1475" s="4" t="s">
        <v>26</v>
      </c>
      <c r="R1475" s="4">
        <v>0</v>
      </c>
      <c r="S1475" s="6">
        <v>0</v>
      </c>
      <c r="T1475" s="6">
        <v>37</v>
      </c>
      <c r="U1475" s="6">
        <v>84</v>
      </c>
      <c r="V1475" s="6">
        <f>IF(ISERROR(VLOOKUP($S$1475,'TAR FIN'!$A$1:$O$120,15,0)),0,VLOOKUP($S$1475,'TAR FIN'!$A$1:$O$120,15,0))</f>
        <v>0</v>
      </c>
      <c r="W1475" s="6">
        <f>IF(ISERROR(VLOOKUP($T$1475,'TAR FIN'!$A$1:$O$120,15,0)),0,VLOOKUP($T$1475,'TAR FIN'!$A$1:$O$120,15,0))</f>
        <v>109.75</v>
      </c>
      <c r="X1475" s="6">
        <f>IF(ISERROR(VLOOKUP($U$1475,'TAR FIN'!$A$1:$O$120,15,0)),0,VLOOKUP($U$1475,'TAR FIN'!$A$1:$O$120,15,0))</f>
        <v>256.38</v>
      </c>
      <c r="Y1475" s="6"/>
      <c r="Z1475" s="6">
        <f ca="1">('TUSD BE'!$AM$45+'TUSD BF'!$AM$45+'TUSD CVA'!$AM$45)*1</f>
        <v>112.97896283052546</v>
      </c>
      <c r="AA1475" s="6">
        <f>('TE BE'!$AA$14+'TE BF'!$AA$14+'TE CVA'!$AA$14)*1</f>
        <v>230.83420940933817</v>
      </c>
      <c r="AB1475" s="6">
        <f>$K$1475*$V$1475</f>
        <v>0</v>
      </c>
      <c r="AC1475" s="6">
        <f>$M$1475*$W$1475</f>
        <v>1028.4672500000001</v>
      </c>
      <c r="AD1475" s="6">
        <f>$O$1475*$X$1475</f>
        <v>2402.5369799999999</v>
      </c>
      <c r="AE1475" s="6">
        <f>$K$1475*$Y$1475</f>
        <v>0</v>
      </c>
      <c r="AF1475" s="6">
        <f ca="1">$M$1475*$Z$1475</f>
        <v>1058.7258606848541</v>
      </c>
      <c r="AG1475" s="6">
        <f>$O$1475*$AA$1475</f>
        <v>2163.1473763749082</v>
      </c>
    </row>
    <row r="1476" spans="1:33" ht="11.25" customHeight="1" x14ac:dyDescent="0.25">
      <c r="A1476" s="4" t="s">
        <v>59</v>
      </c>
      <c r="B1476" s="4" t="s">
        <v>44</v>
      </c>
      <c r="C1476" s="4" t="s">
        <v>34</v>
      </c>
      <c r="D1476" s="4" t="s">
        <v>42</v>
      </c>
      <c r="E1476" s="4" t="s">
        <v>25</v>
      </c>
      <c r="F1476" s="4" t="s">
        <v>25</v>
      </c>
      <c r="G1476" s="4" t="s">
        <v>25</v>
      </c>
      <c r="H1476" s="4" t="s">
        <v>36</v>
      </c>
      <c r="I1476" s="5">
        <v>44075</v>
      </c>
      <c r="J1476" s="6">
        <v>0</v>
      </c>
      <c r="K1476" s="6">
        <v>0</v>
      </c>
      <c r="L1476" s="6">
        <v>436.762</v>
      </c>
      <c r="M1476" s="6">
        <v>436.762</v>
      </c>
      <c r="N1476" s="6">
        <v>436.762</v>
      </c>
      <c r="O1476" s="6">
        <v>436.762</v>
      </c>
      <c r="P1476" s="6">
        <v>0</v>
      </c>
      <c r="Q1476" s="4" t="s">
        <v>26</v>
      </c>
      <c r="R1476" s="4">
        <v>0</v>
      </c>
      <c r="S1476" s="6">
        <v>0</v>
      </c>
      <c r="T1476" s="6">
        <v>37</v>
      </c>
      <c r="U1476" s="6">
        <v>84</v>
      </c>
      <c r="V1476" s="6">
        <f>IF(ISERROR(VLOOKUP($S$1476,'TAR FIN'!$A$1:$O$120,15,0)),0,VLOOKUP($S$1476,'TAR FIN'!$A$1:$O$120,15,0))</f>
        <v>0</v>
      </c>
      <c r="W1476" s="6">
        <f>IF(ISERROR(VLOOKUP($T$1476,'TAR FIN'!$A$1:$O$120,15,0)),0,VLOOKUP($T$1476,'TAR FIN'!$A$1:$O$120,15,0))</f>
        <v>109.75</v>
      </c>
      <c r="X1476" s="6">
        <f>IF(ISERROR(VLOOKUP($U$1476,'TAR FIN'!$A$1:$O$120,15,0)),0,VLOOKUP($U$1476,'TAR FIN'!$A$1:$O$120,15,0))</f>
        <v>256.38</v>
      </c>
      <c r="Y1476" s="6"/>
      <c r="Z1476" s="6">
        <f ca="1">('TUSD BE'!$AM$45+'TUSD BF'!$AM$45+'TUSD CVA'!$AM$45)*1</f>
        <v>112.97896283052546</v>
      </c>
      <c r="AA1476" s="6">
        <f>('TE BE'!$AA$14+'TE BF'!$AA$14+'TE CVA'!$AA$14)*1</f>
        <v>230.83420940933817</v>
      </c>
      <c r="AB1476" s="6">
        <f>$K$1476*$V$1476</f>
        <v>0</v>
      </c>
      <c r="AC1476" s="6">
        <f>$M$1476*$W$1476</f>
        <v>47934.629500000003</v>
      </c>
      <c r="AD1476" s="6">
        <f>$O$1476*$X$1476</f>
        <v>111977.04156</v>
      </c>
      <c r="AE1476" s="6">
        <f>$K$1476*$Y$1476</f>
        <v>0</v>
      </c>
      <c r="AF1476" s="6">
        <f ca="1">$M$1476*$Z$1476</f>
        <v>49344.917763785961</v>
      </c>
      <c r="AG1476" s="6">
        <f>$O$1476*$AA$1476</f>
        <v>100819.61097004137</v>
      </c>
    </row>
    <row r="1477" spans="1:33" ht="11.25" customHeight="1" x14ac:dyDescent="0.25">
      <c r="A1477" s="4" t="s">
        <v>21</v>
      </c>
      <c r="B1477" s="4" t="s">
        <v>44</v>
      </c>
      <c r="C1477" s="4" t="s">
        <v>34</v>
      </c>
      <c r="D1477" s="4" t="s">
        <v>42</v>
      </c>
      <c r="E1477" s="4" t="s">
        <v>25</v>
      </c>
      <c r="F1477" s="4" t="s">
        <v>25</v>
      </c>
      <c r="G1477" s="4" t="s">
        <v>25</v>
      </c>
      <c r="H1477" s="4" t="s">
        <v>25</v>
      </c>
      <c r="I1477" s="5">
        <v>43739</v>
      </c>
      <c r="J1477" s="6">
        <v>27545</v>
      </c>
      <c r="K1477" s="6">
        <v>27545</v>
      </c>
      <c r="L1477" s="6">
        <v>0</v>
      </c>
      <c r="M1477" s="6">
        <v>0</v>
      </c>
      <c r="N1477" s="6">
        <v>0</v>
      </c>
      <c r="O1477" s="6">
        <v>0</v>
      </c>
      <c r="P1477" s="6">
        <v>105</v>
      </c>
      <c r="Q1477" s="4" t="s">
        <v>26</v>
      </c>
      <c r="R1477" s="4">
        <v>0</v>
      </c>
      <c r="S1477" s="6">
        <v>35</v>
      </c>
      <c r="T1477" s="6">
        <v>0</v>
      </c>
      <c r="U1477" s="6">
        <v>0</v>
      </c>
      <c r="V1477" s="6">
        <f>IF(ISERROR(VLOOKUP($S$1477,'TAR FIN'!$A$1:$O$120,15,0)),0,VLOOKUP($S$1477,'TAR FIN'!$A$1:$O$120,15,0))</f>
        <v>12.24</v>
      </c>
      <c r="W1477" s="6">
        <f>IF(ISERROR(VLOOKUP($T$1477,'TAR FIN'!$A$1:$O$120,15,0)),0,VLOOKUP($T$1477,'TAR FIN'!$A$1:$O$120,15,0))</f>
        <v>0</v>
      </c>
      <c r="X1477" s="6">
        <f>IF(ISERROR(VLOOKUP($U$1477,'TAR FIN'!$A$1:$O$120,15,0)),0,VLOOKUP($U$1477,'TAR FIN'!$A$1:$O$120,15,0))</f>
        <v>0</v>
      </c>
      <c r="Y1477" s="6">
        <f ca="1">('TUSD BE'!$AM$43+'TUSD BF'!$AM$43+'TUSD CVA'!$AM$43)*1</f>
        <v>16.00053546174815</v>
      </c>
      <c r="Z1477" s="6"/>
      <c r="AA1477" s="6"/>
      <c r="AB1477" s="6">
        <f>$K$1477*$V$1477</f>
        <v>337150.8</v>
      </c>
      <c r="AC1477" s="6">
        <f>$M$1477*$W$1477</f>
        <v>0</v>
      </c>
      <c r="AD1477" s="6">
        <f>$O$1477*$X$1477</f>
        <v>0</v>
      </c>
      <c r="AE1477" s="6">
        <f ca="1">$K$1477*$Y$1477</f>
        <v>440734.74929385277</v>
      </c>
      <c r="AF1477" s="6">
        <f>$M$1477*$Z$1477</f>
        <v>0</v>
      </c>
      <c r="AG1477" s="6">
        <f>$O$1477*$AA$1477</f>
        <v>0</v>
      </c>
    </row>
    <row r="1478" spans="1:33" ht="11.25" customHeight="1" x14ac:dyDescent="0.25">
      <c r="A1478" s="4" t="s">
        <v>27</v>
      </c>
      <c r="B1478" s="4" t="s">
        <v>44</v>
      </c>
      <c r="C1478" s="4" t="s">
        <v>34</v>
      </c>
      <c r="D1478" s="4" t="s">
        <v>42</v>
      </c>
      <c r="E1478" s="4" t="s">
        <v>25</v>
      </c>
      <c r="F1478" s="4" t="s">
        <v>25</v>
      </c>
      <c r="G1478" s="4" t="s">
        <v>25</v>
      </c>
      <c r="H1478" s="4" t="s">
        <v>25</v>
      </c>
      <c r="I1478" s="5">
        <v>43739</v>
      </c>
      <c r="J1478" s="6">
        <v>130</v>
      </c>
      <c r="K1478" s="6">
        <v>130</v>
      </c>
      <c r="L1478" s="6">
        <v>0</v>
      </c>
      <c r="M1478" s="6">
        <v>0</v>
      </c>
      <c r="N1478" s="6">
        <v>0</v>
      </c>
      <c r="O1478" s="6">
        <v>0</v>
      </c>
      <c r="P1478" s="6">
        <v>1</v>
      </c>
      <c r="Q1478" s="4" t="s">
        <v>26</v>
      </c>
      <c r="R1478" s="4">
        <v>0</v>
      </c>
      <c r="S1478" s="6">
        <v>35</v>
      </c>
      <c r="T1478" s="6">
        <v>0</v>
      </c>
      <c r="U1478" s="6">
        <v>0</v>
      </c>
      <c r="V1478" s="6">
        <f>IF(ISERROR(VLOOKUP($S$1478,'TAR FIN'!$A$1:$O$120,15,0)),0,VLOOKUP($S$1478,'TAR FIN'!$A$1:$O$120,15,0))</f>
        <v>12.24</v>
      </c>
      <c r="W1478" s="6">
        <f>IF(ISERROR(VLOOKUP($T$1478,'TAR FIN'!$A$1:$O$120,15,0)),0,VLOOKUP($T$1478,'TAR FIN'!$A$1:$O$120,15,0))</f>
        <v>0</v>
      </c>
      <c r="X1478" s="6">
        <f>IF(ISERROR(VLOOKUP($U$1478,'TAR FIN'!$A$1:$O$120,15,0)),0,VLOOKUP($U$1478,'TAR FIN'!$A$1:$O$120,15,0))</f>
        <v>0</v>
      </c>
      <c r="Y1478" s="6">
        <f ca="1">('TUSD BE'!$AM$43+'TUSD BF'!$AM$43+'TUSD CVA'!$AM$43)*1</f>
        <v>16.00053546174815</v>
      </c>
      <c r="Z1478" s="6"/>
      <c r="AA1478" s="6"/>
      <c r="AB1478" s="6">
        <f>$K$1478*$V$1478</f>
        <v>1591.2</v>
      </c>
      <c r="AC1478" s="6">
        <f>$M$1478*$W$1478</f>
        <v>0</v>
      </c>
      <c r="AD1478" s="6">
        <f>$O$1478*$X$1478</f>
        <v>0</v>
      </c>
      <c r="AE1478" s="6">
        <f ca="1">$K$1478*$Y$1478</f>
        <v>2080.0696100272594</v>
      </c>
      <c r="AF1478" s="6">
        <f>$M$1478*$Z$1478</f>
        <v>0</v>
      </c>
      <c r="AG1478" s="6">
        <f>$O$1478*$AA$1478</f>
        <v>0</v>
      </c>
    </row>
    <row r="1479" spans="1:33" ht="11.25" customHeight="1" x14ac:dyDescent="0.25">
      <c r="A1479" s="4" t="s">
        <v>28</v>
      </c>
      <c r="B1479" s="4" t="s">
        <v>44</v>
      </c>
      <c r="C1479" s="4" t="s">
        <v>34</v>
      </c>
      <c r="D1479" s="4" t="s">
        <v>42</v>
      </c>
      <c r="E1479" s="4" t="s">
        <v>25</v>
      </c>
      <c r="F1479" s="4" t="s">
        <v>25</v>
      </c>
      <c r="G1479" s="4" t="s">
        <v>25</v>
      </c>
      <c r="H1479" s="4" t="s">
        <v>25</v>
      </c>
      <c r="I1479" s="5">
        <v>43739</v>
      </c>
      <c r="J1479" s="6">
        <v>2370</v>
      </c>
      <c r="K1479" s="6">
        <v>2370</v>
      </c>
      <c r="L1479" s="6">
        <v>0</v>
      </c>
      <c r="M1479" s="6">
        <v>0</v>
      </c>
      <c r="N1479" s="6">
        <v>0</v>
      </c>
      <c r="O1479" s="6">
        <v>0</v>
      </c>
      <c r="P1479" s="6">
        <v>6</v>
      </c>
      <c r="Q1479" s="4" t="s">
        <v>26</v>
      </c>
      <c r="R1479" s="4">
        <v>0</v>
      </c>
      <c r="S1479" s="6">
        <v>35</v>
      </c>
      <c r="T1479" s="6">
        <v>0</v>
      </c>
      <c r="U1479" s="6">
        <v>0</v>
      </c>
      <c r="V1479" s="6">
        <f>IF(ISERROR(VLOOKUP($S$1479,'TAR FIN'!$A$1:$O$120,15,0)),0,VLOOKUP($S$1479,'TAR FIN'!$A$1:$O$120,15,0))</f>
        <v>12.24</v>
      </c>
      <c r="W1479" s="6">
        <f>IF(ISERROR(VLOOKUP($T$1479,'TAR FIN'!$A$1:$O$120,15,0)),0,VLOOKUP($T$1479,'TAR FIN'!$A$1:$O$120,15,0))</f>
        <v>0</v>
      </c>
      <c r="X1479" s="6">
        <f>IF(ISERROR(VLOOKUP($U$1479,'TAR FIN'!$A$1:$O$120,15,0)),0,VLOOKUP($U$1479,'TAR FIN'!$A$1:$O$120,15,0))</f>
        <v>0</v>
      </c>
      <c r="Y1479" s="6">
        <f ca="1">('TUSD BE'!$AM$43+'TUSD BF'!$AM$43+'TUSD CVA'!$AM$43)*1</f>
        <v>16.00053546174815</v>
      </c>
      <c r="Z1479" s="6"/>
      <c r="AA1479" s="6"/>
      <c r="AB1479" s="6">
        <f>$K$1479*$V$1479</f>
        <v>29008.799999999999</v>
      </c>
      <c r="AC1479" s="6">
        <f>$M$1479*$W$1479</f>
        <v>0</v>
      </c>
      <c r="AD1479" s="6">
        <f>$O$1479*$X$1479</f>
        <v>0</v>
      </c>
      <c r="AE1479" s="6">
        <f ca="1">$K$1479*$Y$1479</f>
        <v>37921.269044343113</v>
      </c>
      <c r="AF1479" s="6">
        <f>$M$1479*$Z$1479</f>
        <v>0</v>
      </c>
      <c r="AG1479" s="6">
        <f>$O$1479*$AA$1479</f>
        <v>0</v>
      </c>
    </row>
    <row r="1480" spans="1:33" ht="11.25" customHeight="1" x14ac:dyDescent="0.25">
      <c r="A1480" s="4" t="s">
        <v>21</v>
      </c>
      <c r="B1480" s="4" t="s">
        <v>44</v>
      </c>
      <c r="C1480" s="4" t="s">
        <v>34</v>
      </c>
      <c r="D1480" s="4" t="s">
        <v>42</v>
      </c>
      <c r="E1480" s="4" t="s">
        <v>25</v>
      </c>
      <c r="F1480" s="4" t="s">
        <v>25</v>
      </c>
      <c r="G1480" s="4" t="s">
        <v>25</v>
      </c>
      <c r="H1480" s="4" t="s">
        <v>25</v>
      </c>
      <c r="I1480" s="5">
        <v>43770</v>
      </c>
      <c r="J1480" s="6">
        <v>26831</v>
      </c>
      <c r="K1480" s="6">
        <v>26831</v>
      </c>
      <c r="L1480" s="6">
        <v>0</v>
      </c>
      <c r="M1480" s="6">
        <v>0</v>
      </c>
      <c r="N1480" s="6">
        <v>0</v>
      </c>
      <c r="O1480" s="6">
        <v>0</v>
      </c>
      <c r="P1480" s="6">
        <v>105</v>
      </c>
      <c r="Q1480" s="4" t="s">
        <v>26</v>
      </c>
      <c r="R1480" s="4">
        <v>0</v>
      </c>
      <c r="S1480" s="6">
        <v>35</v>
      </c>
      <c r="T1480" s="6">
        <v>0</v>
      </c>
      <c r="U1480" s="6">
        <v>0</v>
      </c>
      <c r="V1480" s="6">
        <f>IF(ISERROR(VLOOKUP($S$1480,'TAR FIN'!$A$1:$O$120,15,0)),0,VLOOKUP($S$1480,'TAR FIN'!$A$1:$O$120,15,0))</f>
        <v>12.24</v>
      </c>
      <c r="W1480" s="6">
        <f>IF(ISERROR(VLOOKUP($T$1480,'TAR FIN'!$A$1:$O$120,15,0)),0,VLOOKUP($T$1480,'TAR FIN'!$A$1:$O$120,15,0))</f>
        <v>0</v>
      </c>
      <c r="X1480" s="6">
        <f>IF(ISERROR(VLOOKUP($U$1480,'TAR FIN'!$A$1:$O$120,15,0)),0,VLOOKUP($U$1480,'TAR FIN'!$A$1:$O$120,15,0))</f>
        <v>0</v>
      </c>
      <c r="Y1480" s="6">
        <f ca="1">('TUSD BE'!$AM$43+'TUSD BF'!$AM$43+'TUSD CVA'!$AM$43)*1</f>
        <v>16.00053546174815</v>
      </c>
      <c r="Z1480" s="6"/>
      <c r="AA1480" s="6"/>
      <c r="AB1480" s="6">
        <f>$K$1480*$V$1480</f>
        <v>328411.44</v>
      </c>
      <c r="AC1480" s="6">
        <f>$M$1480*$W$1480</f>
        <v>0</v>
      </c>
      <c r="AD1480" s="6">
        <f>$O$1480*$X$1480</f>
        <v>0</v>
      </c>
      <c r="AE1480" s="6">
        <f ca="1">$K$1480*$Y$1480</f>
        <v>429310.36697416462</v>
      </c>
      <c r="AF1480" s="6">
        <f>$M$1480*$Z$1480</f>
        <v>0</v>
      </c>
      <c r="AG1480" s="6">
        <f>$O$1480*$AA$1480</f>
        <v>0</v>
      </c>
    </row>
    <row r="1481" spans="1:33" ht="11.25" customHeight="1" x14ac:dyDescent="0.25">
      <c r="A1481" s="4" t="s">
        <v>27</v>
      </c>
      <c r="B1481" s="4" t="s">
        <v>44</v>
      </c>
      <c r="C1481" s="4" t="s">
        <v>34</v>
      </c>
      <c r="D1481" s="4" t="s">
        <v>42</v>
      </c>
      <c r="E1481" s="4" t="s">
        <v>25</v>
      </c>
      <c r="F1481" s="4" t="s">
        <v>25</v>
      </c>
      <c r="G1481" s="4" t="s">
        <v>25</v>
      </c>
      <c r="H1481" s="4" t="s">
        <v>25</v>
      </c>
      <c r="I1481" s="5">
        <v>43770</v>
      </c>
      <c r="J1481" s="6">
        <v>1167</v>
      </c>
      <c r="K1481" s="6">
        <v>1167</v>
      </c>
      <c r="L1481" s="6">
        <v>0</v>
      </c>
      <c r="M1481" s="6">
        <v>0</v>
      </c>
      <c r="N1481" s="6">
        <v>0</v>
      </c>
      <c r="O1481" s="6">
        <v>0</v>
      </c>
      <c r="P1481" s="6">
        <v>2</v>
      </c>
      <c r="Q1481" s="4" t="s">
        <v>26</v>
      </c>
      <c r="R1481" s="4">
        <v>0</v>
      </c>
      <c r="S1481" s="6">
        <v>35</v>
      </c>
      <c r="T1481" s="6">
        <v>0</v>
      </c>
      <c r="U1481" s="6">
        <v>0</v>
      </c>
      <c r="V1481" s="6">
        <f>IF(ISERROR(VLOOKUP($S$1481,'TAR FIN'!$A$1:$O$120,15,0)),0,VLOOKUP($S$1481,'TAR FIN'!$A$1:$O$120,15,0))</f>
        <v>12.24</v>
      </c>
      <c r="W1481" s="6">
        <f>IF(ISERROR(VLOOKUP($T$1481,'TAR FIN'!$A$1:$O$120,15,0)),0,VLOOKUP($T$1481,'TAR FIN'!$A$1:$O$120,15,0))</f>
        <v>0</v>
      </c>
      <c r="X1481" s="6">
        <f>IF(ISERROR(VLOOKUP($U$1481,'TAR FIN'!$A$1:$O$120,15,0)),0,VLOOKUP($U$1481,'TAR FIN'!$A$1:$O$120,15,0))</f>
        <v>0</v>
      </c>
      <c r="Y1481" s="6">
        <f ca="1">('TUSD BE'!$AM$43+'TUSD BF'!$AM$43+'TUSD CVA'!$AM$43)*1</f>
        <v>16.00053546174815</v>
      </c>
      <c r="Z1481" s="6"/>
      <c r="AA1481" s="6"/>
      <c r="AB1481" s="6">
        <f>$K$1481*$V$1481</f>
        <v>14284.08</v>
      </c>
      <c r="AC1481" s="6">
        <f>$M$1481*$W$1481</f>
        <v>0</v>
      </c>
      <c r="AD1481" s="6">
        <f>$O$1481*$X$1481</f>
        <v>0</v>
      </c>
      <c r="AE1481" s="6">
        <f ca="1">$K$1481*$Y$1481</f>
        <v>18672.624883860091</v>
      </c>
      <c r="AF1481" s="6">
        <f>$M$1481*$Z$1481</f>
        <v>0</v>
      </c>
      <c r="AG1481" s="6">
        <f>$O$1481*$AA$1481</f>
        <v>0</v>
      </c>
    </row>
    <row r="1482" spans="1:33" ht="11.25" customHeight="1" x14ac:dyDescent="0.25">
      <c r="A1482" s="4" t="s">
        <v>28</v>
      </c>
      <c r="B1482" s="4" t="s">
        <v>44</v>
      </c>
      <c r="C1482" s="4" t="s">
        <v>34</v>
      </c>
      <c r="D1482" s="4" t="s">
        <v>42</v>
      </c>
      <c r="E1482" s="4" t="s">
        <v>25</v>
      </c>
      <c r="F1482" s="4" t="s">
        <v>25</v>
      </c>
      <c r="G1482" s="4" t="s">
        <v>25</v>
      </c>
      <c r="H1482" s="4" t="s">
        <v>25</v>
      </c>
      <c r="I1482" s="5">
        <v>43770</v>
      </c>
      <c r="J1482" s="6">
        <v>2370</v>
      </c>
      <c r="K1482" s="6">
        <v>2370</v>
      </c>
      <c r="L1482" s="6">
        <v>0</v>
      </c>
      <c r="M1482" s="6">
        <v>0</v>
      </c>
      <c r="N1482" s="6">
        <v>0</v>
      </c>
      <c r="O1482" s="6">
        <v>0</v>
      </c>
      <c r="P1482" s="6">
        <v>6</v>
      </c>
      <c r="Q1482" s="4" t="s">
        <v>26</v>
      </c>
      <c r="R1482" s="4">
        <v>0</v>
      </c>
      <c r="S1482" s="6">
        <v>35</v>
      </c>
      <c r="T1482" s="6">
        <v>0</v>
      </c>
      <c r="U1482" s="6">
        <v>0</v>
      </c>
      <c r="V1482" s="6">
        <f>IF(ISERROR(VLOOKUP($S$1482,'TAR FIN'!$A$1:$O$120,15,0)),0,VLOOKUP($S$1482,'TAR FIN'!$A$1:$O$120,15,0))</f>
        <v>12.24</v>
      </c>
      <c r="W1482" s="6">
        <f>IF(ISERROR(VLOOKUP($T$1482,'TAR FIN'!$A$1:$O$120,15,0)),0,VLOOKUP($T$1482,'TAR FIN'!$A$1:$O$120,15,0))</f>
        <v>0</v>
      </c>
      <c r="X1482" s="6">
        <f>IF(ISERROR(VLOOKUP($U$1482,'TAR FIN'!$A$1:$O$120,15,0)),0,VLOOKUP($U$1482,'TAR FIN'!$A$1:$O$120,15,0))</f>
        <v>0</v>
      </c>
      <c r="Y1482" s="6">
        <f ca="1">('TUSD BE'!$AM$43+'TUSD BF'!$AM$43+'TUSD CVA'!$AM$43)*1</f>
        <v>16.00053546174815</v>
      </c>
      <c r="Z1482" s="6"/>
      <c r="AA1482" s="6"/>
      <c r="AB1482" s="6">
        <f>$K$1482*$V$1482</f>
        <v>29008.799999999999</v>
      </c>
      <c r="AC1482" s="6">
        <f>$M$1482*$W$1482</f>
        <v>0</v>
      </c>
      <c r="AD1482" s="6">
        <f>$O$1482*$X$1482</f>
        <v>0</v>
      </c>
      <c r="AE1482" s="6">
        <f ca="1">$K$1482*$Y$1482</f>
        <v>37921.269044343113</v>
      </c>
      <c r="AF1482" s="6">
        <f>$M$1482*$Z$1482</f>
        <v>0</v>
      </c>
      <c r="AG1482" s="6">
        <f>$O$1482*$AA$1482</f>
        <v>0</v>
      </c>
    </row>
    <row r="1483" spans="1:33" ht="11.25" customHeight="1" x14ac:dyDescent="0.25">
      <c r="A1483" s="4" t="s">
        <v>21</v>
      </c>
      <c r="B1483" s="4" t="s">
        <v>44</v>
      </c>
      <c r="C1483" s="4" t="s">
        <v>34</v>
      </c>
      <c r="D1483" s="4" t="s">
        <v>42</v>
      </c>
      <c r="E1483" s="4" t="s">
        <v>25</v>
      </c>
      <c r="F1483" s="4" t="s">
        <v>25</v>
      </c>
      <c r="G1483" s="4" t="s">
        <v>25</v>
      </c>
      <c r="H1483" s="4" t="s">
        <v>25</v>
      </c>
      <c r="I1483" s="5">
        <v>43800</v>
      </c>
      <c r="J1483" s="6">
        <v>27599</v>
      </c>
      <c r="K1483" s="6">
        <v>27599</v>
      </c>
      <c r="L1483" s="6">
        <v>0</v>
      </c>
      <c r="M1483" s="6">
        <v>0</v>
      </c>
      <c r="N1483" s="6">
        <v>0</v>
      </c>
      <c r="O1483" s="6">
        <v>0</v>
      </c>
      <c r="P1483" s="6">
        <v>105</v>
      </c>
      <c r="Q1483" s="4" t="s">
        <v>26</v>
      </c>
      <c r="R1483" s="4">
        <v>0</v>
      </c>
      <c r="S1483" s="6">
        <v>35</v>
      </c>
      <c r="T1483" s="6">
        <v>0</v>
      </c>
      <c r="U1483" s="6">
        <v>0</v>
      </c>
      <c r="V1483" s="6">
        <f>IF(ISERROR(VLOOKUP($S$1483,'TAR FIN'!$A$1:$O$120,15,0)),0,VLOOKUP($S$1483,'TAR FIN'!$A$1:$O$120,15,0))</f>
        <v>12.24</v>
      </c>
      <c r="W1483" s="6">
        <f>IF(ISERROR(VLOOKUP($T$1483,'TAR FIN'!$A$1:$O$120,15,0)),0,VLOOKUP($T$1483,'TAR FIN'!$A$1:$O$120,15,0))</f>
        <v>0</v>
      </c>
      <c r="X1483" s="6">
        <f>IF(ISERROR(VLOOKUP($U$1483,'TAR FIN'!$A$1:$O$120,15,0)),0,VLOOKUP($U$1483,'TAR FIN'!$A$1:$O$120,15,0))</f>
        <v>0</v>
      </c>
      <c r="Y1483" s="6">
        <f ca="1">('TUSD BE'!$AM$43+'TUSD BF'!$AM$43+'TUSD CVA'!$AM$43)*1</f>
        <v>16.00053546174815</v>
      </c>
      <c r="Z1483" s="6"/>
      <c r="AA1483" s="6"/>
      <c r="AB1483" s="6">
        <f>$K$1483*$V$1483</f>
        <v>337811.76</v>
      </c>
      <c r="AC1483" s="6">
        <f>$M$1483*$W$1483</f>
        <v>0</v>
      </c>
      <c r="AD1483" s="6">
        <f>$O$1483*$X$1483</f>
        <v>0</v>
      </c>
      <c r="AE1483" s="6">
        <f ca="1">$K$1483*$Y$1483</f>
        <v>441598.7782087872</v>
      </c>
      <c r="AF1483" s="6">
        <f>$M$1483*$Z$1483</f>
        <v>0</v>
      </c>
      <c r="AG1483" s="6">
        <f>$O$1483*$AA$1483</f>
        <v>0</v>
      </c>
    </row>
    <row r="1484" spans="1:33" ht="11.25" customHeight="1" x14ac:dyDescent="0.25">
      <c r="A1484" s="4" t="s">
        <v>27</v>
      </c>
      <c r="B1484" s="4" t="s">
        <v>44</v>
      </c>
      <c r="C1484" s="4" t="s">
        <v>34</v>
      </c>
      <c r="D1484" s="4" t="s">
        <v>42</v>
      </c>
      <c r="E1484" s="4" t="s">
        <v>25</v>
      </c>
      <c r="F1484" s="4" t="s">
        <v>25</v>
      </c>
      <c r="G1484" s="4" t="s">
        <v>25</v>
      </c>
      <c r="H1484" s="4" t="s">
        <v>25</v>
      </c>
      <c r="I1484" s="5">
        <v>43800</v>
      </c>
      <c r="J1484" s="6">
        <v>130</v>
      </c>
      <c r="K1484" s="6">
        <v>130</v>
      </c>
      <c r="L1484" s="6">
        <v>0</v>
      </c>
      <c r="M1484" s="6">
        <v>0</v>
      </c>
      <c r="N1484" s="6">
        <v>0</v>
      </c>
      <c r="O1484" s="6">
        <v>0</v>
      </c>
      <c r="P1484" s="6">
        <v>1</v>
      </c>
      <c r="Q1484" s="4" t="s">
        <v>26</v>
      </c>
      <c r="R1484" s="4">
        <v>0</v>
      </c>
      <c r="S1484" s="6">
        <v>35</v>
      </c>
      <c r="T1484" s="6">
        <v>0</v>
      </c>
      <c r="U1484" s="6">
        <v>0</v>
      </c>
      <c r="V1484" s="6">
        <f>IF(ISERROR(VLOOKUP($S$1484,'TAR FIN'!$A$1:$O$120,15,0)),0,VLOOKUP($S$1484,'TAR FIN'!$A$1:$O$120,15,0))</f>
        <v>12.24</v>
      </c>
      <c r="W1484" s="6">
        <f>IF(ISERROR(VLOOKUP($T$1484,'TAR FIN'!$A$1:$O$120,15,0)),0,VLOOKUP($T$1484,'TAR FIN'!$A$1:$O$120,15,0))</f>
        <v>0</v>
      </c>
      <c r="X1484" s="6">
        <f>IF(ISERROR(VLOOKUP($U$1484,'TAR FIN'!$A$1:$O$120,15,0)),0,VLOOKUP($U$1484,'TAR FIN'!$A$1:$O$120,15,0))</f>
        <v>0</v>
      </c>
      <c r="Y1484" s="6">
        <f ca="1">('TUSD BE'!$AM$43+'TUSD BF'!$AM$43+'TUSD CVA'!$AM$43)*1</f>
        <v>16.00053546174815</v>
      </c>
      <c r="Z1484" s="6"/>
      <c r="AA1484" s="6"/>
      <c r="AB1484" s="6">
        <f>$K$1484*$V$1484</f>
        <v>1591.2</v>
      </c>
      <c r="AC1484" s="6">
        <f>$M$1484*$W$1484</f>
        <v>0</v>
      </c>
      <c r="AD1484" s="6">
        <f>$O$1484*$X$1484</f>
        <v>0</v>
      </c>
      <c r="AE1484" s="6">
        <f ca="1">$K$1484*$Y$1484</f>
        <v>2080.0696100272594</v>
      </c>
      <c r="AF1484" s="6">
        <f>$M$1484*$Z$1484</f>
        <v>0</v>
      </c>
      <c r="AG1484" s="6">
        <f>$O$1484*$AA$1484</f>
        <v>0</v>
      </c>
    </row>
    <row r="1485" spans="1:33" ht="11.25" customHeight="1" x14ac:dyDescent="0.25">
      <c r="A1485" s="4" t="s">
        <v>28</v>
      </c>
      <c r="B1485" s="4" t="s">
        <v>44</v>
      </c>
      <c r="C1485" s="4" t="s">
        <v>34</v>
      </c>
      <c r="D1485" s="4" t="s">
        <v>42</v>
      </c>
      <c r="E1485" s="4" t="s">
        <v>25</v>
      </c>
      <c r="F1485" s="4" t="s">
        <v>25</v>
      </c>
      <c r="G1485" s="4" t="s">
        <v>25</v>
      </c>
      <c r="H1485" s="4" t="s">
        <v>25</v>
      </c>
      <c r="I1485" s="5">
        <v>43800</v>
      </c>
      <c r="J1485" s="6">
        <v>3970</v>
      </c>
      <c r="K1485" s="6">
        <v>3970</v>
      </c>
      <c r="L1485" s="6">
        <v>0</v>
      </c>
      <c r="M1485" s="6">
        <v>0</v>
      </c>
      <c r="N1485" s="6">
        <v>0</v>
      </c>
      <c r="O1485" s="6">
        <v>0</v>
      </c>
      <c r="P1485" s="6">
        <v>7</v>
      </c>
      <c r="Q1485" s="4" t="s">
        <v>26</v>
      </c>
      <c r="R1485" s="4">
        <v>0</v>
      </c>
      <c r="S1485" s="6">
        <v>35</v>
      </c>
      <c r="T1485" s="6">
        <v>0</v>
      </c>
      <c r="U1485" s="6">
        <v>0</v>
      </c>
      <c r="V1485" s="6">
        <f>IF(ISERROR(VLOOKUP($S$1485,'TAR FIN'!$A$1:$O$120,15,0)),0,VLOOKUP($S$1485,'TAR FIN'!$A$1:$O$120,15,0))</f>
        <v>12.24</v>
      </c>
      <c r="W1485" s="6">
        <f>IF(ISERROR(VLOOKUP($T$1485,'TAR FIN'!$A$1:$O$120,15,0)),0,VLOOKUP($T$1485,'TAR FIN'!$A$1:$O$120,15,0))</f>
        <v>0</v>
      </c>
      <c r="X1485" s="6">
        <f>IF(ISERROR(VLOOKUP($U$1485,'TAR FIN'!$A$1:$O$120,15,0)),0,VLOOKUP($U$1485,'TAR FIN'!$A$1:$O$120,15,0))</f>
        <v>0</v>
      </c>
      <c r="Y1485" s="6">
        <f ca="1">('TUSD BE'!$AM$43+'TUSD BF'!$AM$43+'TUSD CVA'!$AM$43)*1</f>
        <v>16.00053546174815</v>
      </c>
      <c r="Z1485" s="6"/>
      <c r="AA1485" s="6"/>
      <c r="AB1485" s="6">
        <f>$K$1485*$V$1485</f>
        <v>48592.800000000003</v>
      </c>
      <c r="AC1485" s="6">
        <f>$M$1485*$W$1485</f>
        <v>0</v>
      </c>
      <c r="AD1485" s="6">
        <f>$O$1485*$X$1485</f>
        <v>0</v>
      </c>
      <c r="AE1485" s="6">
        <f ca="1">$K$1485*$Y$1485</f>
        <v>63522.125783140153</v>
      </c>
      <c r="AF1485" s="6">
        <f>$M$1485*$Z$1485</f>
        <v>0</v>
      </c>
      <c r="AG1485" s="6">
        <f>$O$1485*$AA$1485</f>
        <v>0</v>
      </c>
    </row>
    <row r="1486" spans="1:33" ht="11.25" customHeight="1" x14ac:dyDescent="0.25">
      <c r="A1486" s="4" t="s">
        <v>21</v>
      </c>
      <c r="B1486" s="4" t="s">
        <v>44</v>
      </c>
      <c r="C1486" s="4" t="s">
        <v>34</v>
      </c>
      <c r="D1486" s="4" t="s">
        <v>42</v>
      </c>
      <c r="E1486" s="4" t="s">
        <v>25</v>
      </c>
      <c r="F1486" s="4" t="s">
        <v>25</v>
      </c>
      <c r="G1486" s="4" t="s">
        <v>25</v>
      </c>
      <c r="H1486" s="4" t="s">
        <v>25</v>
      </c>
      <c r="I1486" s="5">
        <v>43831</v>
      </c>
      <c r="J1486" s="6">
        <v>26735</v>
      </c>
      <c r="K1486" s="6">
        <v>26735</v>
      </c>
      <c r="L1486" s="6">
        <v>0</v>
      </c>
      <c r="M1486" s="6">
        <v>0</v>
      </c>
      <c r="N1486" s="6">
        <v>0</v>
      </c>
      <c r="O1486" s="6">
        <v>0</v>
      </c>
      <c r="P1486" s="6">
        <v>103</v>
      </c>
      <c r="Q1486" s="4" t="s">
        <v>26</v>
      </c>
      <c r="R1486" s="4">
        <v>0</v>
      </c>
      <c r="S1486" s="6">
        <v>35</v>
      </c>
      <c r="T1486" s="6">
        <v>0</v>
      </c>
      <c r="U1486" s="6">
        <v>0</v>
      </c>
      <c r="V1486" s="6">
        <f>IF(ISERROR(VLOOKUP($S$1486,'TAR FIN'!$A$1:$O$120,15,0)),0,VLOOKUP($S$1486,'TAR FIN'!$A$1:$O$120,15,0))</f>
        <v>12.24</v>
      </c>
      <c r="W1486" s="6">
        <f>IF(ISERROR(VLOOKUP($T$1486,'TAR FIN'!$A$1:$O$120,15,0)),0,VLOOKUP($T$1486,'TAR FIN'!$A$1:$O$120,15,0))</f>
        <v>0</v>
      </c>
      <c r="X1486" s="6">
        <f>IF(ISERROR(VLOOKUP($U$1486,'TAR FIN'!$A$1:$O$120,15,0)),0,VLOOKUP($U$1486,'TAR FIN'!$A$1:$O$120,15,0))</f>
        <v>0</v>
      </c>
      <c r="Y1486" s="6">
        <f ca="1">('TUSD BE'!$AM$43+'TUSD BF'!$AM$43+'TUSD CVA'!$AM$43)*1</f>
        <v>16.00053546174815</v>
      </c>
      <c r="Z1486" s="6"/>
      <c r="AA1486" s="6"/>
      <c r="AB1486" s="6">
        <f>$K$1486*$V$1486</f>
        <v>327236.40000000002</v>
      </c>
      <c r="AC1486" s="6">
        <f>$M$1486*$W$1486</f>
        <v>0</v>
      </c>
      <c r="AD1486" s="6">
        <f>$O$1486*$X$1486</f>
        <v>0</v>
      </c>
      <c r="AE1486" s="6">
        <f ca="1">$K$1486*$Y$1486</f>
        <v>427774.31556983682</v>
      </c>
      <c r="AF1486" s="6">
        <f>$M$1486*$Z$1486</f>
        <v>0</v>
      </c>
      <c r="AG1486" s="6">
        <f>$O$1486*$AA$1486</f>
        <v>0</v>
      </c>
    </row>
    <row r="1487" spans="1:33" ht="11.25" customHeight="1" x14ac:dyDescent="0.25">
      <c r="A1487" s="4" t="s">
        <v>27</v>
      </c>
      <c r="B1487" s="4" t="s">
        <v>44</v>
      </c>
      <c r="C1487" s="4" t="s">
        <v>34</v>
      </c>
      <c r="D1487" s="4" t="s">
        <v>42</v>
      </c>
      <c r="E1487" s="4" t="s">
        <v>25</v>
      </c>
      <c r="F1487" s="4" t="s">
        <v>25</v>
      </c>
      <c r="G1487" s="4" t="s">
        <v>25</v>
      </c>
      <c r="H1487" s="4" t="s">
        <v>25</v>
      </c>
      <c r="I1487" s="5">
        <v>43831</v>
      </c>
      <c r="J1487" s="6">
        <v>265</v>
      </c>
      <c r="K1487" s="6">
        <v>265</v>
      </c>
      <c r="L1487" s="6">
        <v>0</v>
      </c>
      <c r="M1487" s="6">
        <v>0</v>
      </c>
      <c r="N1487" s="6">
        <v>0</v>
      </c>
      <c r="O1487" s="6">
        <v>0</v>
      </c>
      <c r="P1487" s="6">
        <v>2</v>
      </c>
      <c r="Q1487" s="4" t="s">
        <v>26</v>
      </c>
      <c r="R1487" s="4">
        <v>0</v>
      </c>
      <c r="S1487" s="6">
        <v>35</v>
      </c>
      <c r="T1487" s="6">
        <v>0</v>
      </c>
      <c r="U1487" s="6">
        <v>0</v>
      </c>
      <c r="V1487" s="6">
        <f>IF(ISERROR(VLOOKUP($S$1487,'TAR FIN'!$A$1:$O$120,15,0)),0,VLOOKUP($S$1487,'TAR FIN'!$A$1:$O$120,15,0))</f>
        <v>12.24</v>
      </c>
      <c r="W1487" s="6">
        <f>IF(ISERROR(VLOOKUP($T$1487,'TAR FIN'!$A$1:$O$120,15,0)),0,VLOOKUP($T$1487,'TAR FIN'!$A$1:$O$120,15,0))</f>
        <v>0</v>
      </c>
      <c r="X1487" s="6">
        <f>IF(ISERROR(VLOOKUP($U$1487,'TAR FIN'!$A$1:$O$120,15,0)),0,VLOOKUP($U$1487,'TAR FIN'!$A$1:$O$120,15,0))</f>
        <v>0</v>
      </c>
      <c r="Y1487" s="6">
        <f ca="1">('TUSD BE'!$AM$43+'TUSD BF'!$AM$43+'TUSD CVA'!$AM$43)*1</f>
        <v>16.00053546174815</v>
      </c>
      <c r="Z1487" s="6"/>
      <c r="AA1487" s="6"/>
      <c r="AB1487" s="6">
        <f>$K$1487*$V$1487</f>
        <v>3243.6</v>
      </c>
      <c r="AC1487" s="6">
        <f>$M$1487*$W$1487</f>
        <v>0</v>
      </c>
      <c r="AD1487" s="6">
        <f>$O$1487*$X$1487</f>
        <v>0</v>
      </c>
      <c r="AE1487" s="6">
        <f ca="1">$K$1487*$Y$1487</f>
        <v>4240.1418973632599</v>
      </c>
      <c r="AF1487" s="6">
        <f>$M$1487*$Z$1487</f>
        <v>0</v>
      </c>
      <c r="AG1487" s="6">
        <f>$O$1487*$AA$1487</f>
        <v>0</v>
      </c>
    </row>
    <row r="1488" spans="1:33" ht="11.25" customHeight="1" x14ac:dyDescent="0.25">
      <c r="A1488" s="4" t="s">
        <v>28</v>
      </c>
      <c r="B1488" s="4" t="s">
        <v>44</v>
      </c>
      <c r="C1488" s="4" t="s">
        <v>34</v>
      </c>
      <c r="D1488" s="4" t="s">
        <v>42</v>
      </c>
      <c r="E1488" s="4" t="s">
        <v>25</v>
      </c>
      <c r="F1488" s="4" t="s">
        <v>25</v>
      </c>
      <c r="G1488" s="4" t="s">
        <v>25</v>
      </c>
      <c r="H1488" s="4" t="s">
        <v>25</v>
      </c>
      <c r="I1488" s="5">
        <v>43831</v>
      </c>
      <c r="J1488" s="6">
        <v>3470</v>
      </c>
      <c r="K1488" s="6">
        <v>3470</v>
      </c>
      <c r="L1488" s="6">
        <v>0</v>
      </c>
      <c r="M1488" s="6">
        <v>0</v>
      </c>
      <c r="N1488" s="6">
        <v>0</v>
      </c>
      <c r="O1488" s="6">
        <v>0</v>
      </c>
      <c r="P1488" s="6">
        <v>5</v>
      </c>
      <c r="Q1488" s="4" t="s">
        <v>26</v>
      </c>
      <c r="R1488" s="4">
        <v>0</v>
      </c>
      <c r="S1488" s="6">
        <v>35</v>
      </c>
      <c r="T1488" s="6">
        <v>0</v>
      </c>
      <c r="U1488" s="6">
        <v>0</v>
      </c>
      <c r="V1488" s="6">
        <f>IF(ISERROR(VLOOKUP($S$1488,'TAR FIN'!$A$1:$O$120,15,0)),0,VLOOKUP($S$1488,'TAR FIN'!$A$1:$O$120,15,0))</f>
        <v>12.24</v>
      </c>
      <c r="W1488" s="6">
        <f>IF(ISERROR(VLOOKUP($T$1488,'TAR FIN'!$A$1:$O$120,15,0)),0,VLOOKUP($T$1488,'TAR FIN'!$A$1:$O$120,15,0))</f>
        <v>0</v>
      </c>
      <c r="X1488" s="6">
        <f>IF(ISERROR(VLOOKUP($U$1488,'TAR FIN'!$A$1:$O$120,15,0)),0,VLOOKUP($U$1488,'TAR FIN'!$A$1:$O$120,15,0))</f>
        <v>0</v>
      </c>
      <c r="Y1488" s="6">
        <f ca="1">('TUSD BE'!$AM$43+'TUSD BF'!$AM$43+'TUSD CVA'!$AM$43)*1</f>
        <v>16.00053546174815</v>
      </c>
      <c r="Z1488" s="6"/>
      <c r="AA1488" s="6"/>
      <c r="AB1488" s="6">
        <f>$K$1488*$V$1488</f>
        <v>42472.800000000003</v>
      </c>
      <c r="AC1488" s="6">
        <f>$M$1488*$W$1488</f>
        <v>0</v>
      </c>
      <c r="AD1488" s="6">
        <f>$O$1488*$X$1488</f>
        <v>0</v>
      </c>
      <c r="AE1488" s="6">
        <f ca="1">$K$1488*$Y$1488</f>
        <v>55521.858052266078</v>
      </c>
      <c r="AF1488" s="6">
        <f>$M$1488*$Z$1488</f>
        <v>0</v>
      </c>
      <c r="AG1488" s="6">
        <f>$O$1488*$AA$1488</f>
        <v>0</v>
      </c>
    </row>
    <row r="1489" spans="1:33" ht="11.25" customHeight="1" x14ac:dyDescent="0.25">
      <c r="A1489" s="4" t="s">
        <v>21</v>
      </c>
      <c r="B1489" s="4" t="s">
        <v>44</v>
      </c>
      <c r="C1489" s="4" t="s">
        <v>34</v>
      </c>
      <c r="D1489" s="4" t="s">
        <v>42</v>
      </c>
      <c r="E1489" s="4" t="s">
        <v>25</v>
      </c>
      <c r="F1489" s="4" t="s">
        <v>25</v>
      </c>
      <c r="G1489" s="4" t="s">
        <v>25</v>
      </c>
      <c r="H1489" s="4" t="s">
        <v>25</v>
      </c>
      <c r="I1489" s="5">
        <v>43862</v>
      </c>
      <c r="J1489" s="6">
        <v>27618</v>
      </c>
      <c r="K1489" s="6">
        <v>27618</v>
      </c>
      <c r="L1489" s="6">
        <v>0</v>
      </c>
      <c r="M1489" s="6">
        <v>0</v>
      </c>
      <c r="N1489" s="6">
        <v>0</v>
      </c>
      <c r="O1489" s="6">
        <v>0</v>
      </c>
      <c r="P1489" s="6">
        <v>104</v>
      </c>
      <c r="Q1489" s="4" t="s">
        <v>26</v>
      </c>
      <c r="R1489" s="4">
        <v>0</v>
      </c>
      <c r="S1489" s="6">
        <v>35</v>
      </c>
      <c r="T1489" s="6">
        <v>0</v>
      </c>
      <c r="U1489" s="6">
        <v>0</v>
      </c>
      <c r="V1489" s="6">
        <f>IF(ISERROR(VLOOKUP($S$1489,'TAR FIN'!$A$1:$O$120,15,0)),0,VLOOKUP($S$1489,'TAR FIN'!$A$1:$O$120,15,0))</f>
        <v>12.24</v>
      </c>
      <c r="W1489" s="6">
        <f>IF(ISERROR(VLOOKUP($T$1489,'TAR FIN'!$A$1:$O$120,15,0)),0,VLOOKUP($T$1489,'TAR FIN'!$A$1:$O$120,15,0))</f>
        <v>0</v>
      </c>
      <c r="X1489" s="6">
        <f>IF(ISERROR(VLOOKUP($U$1489,'TAR FIN'!$A$1:$O$120,15,0)),0,VLOOKUP($U$1489,'TAR FIN'!$A$1:$O$120,15,0))</f>
        <v>0</v>
      </c>
      <c r="Y1489" s="6">
        <f ca="1">('TUSD BE'!$AM$43+'TUSD BF'!$AM$43+'TUSD CVA'!$AM$43)*1</f>
        <v>16.00053546174815</v>
      </c>
      <c r="Z1489" s="6"/>
      <c r="AA1489" s="6"/>
      <c r="AB1489" s="6">
        <f>$K$1489*$V$1489</f>
        <v>338044.32</v>
      </c>
      <c r="AC1489" s="6">
        <f>$M$1489*$W$1489</f>
        <v>0</v>
      </c>
      <c r="AD1489" s="6">
        <f>$O$1489*$X$1489</f>
        <v>0</v>
      </c>
      <c r="AE1489" s="6">
        <f ca="1">$K$1489*$Y$1489</f>
        <v>441902.78838256042</v>
      </c>
      <c r="AF1489" s="6">
        <f>$M$1489*$Z$1489</f>
        <v>0</v>
      </c>
      <c r="AG1489" s="6">
        <f>$O$1489*$AA$1489</f>
        <v>0</v>
      </c>
    </row>
    <row r="1490" spans="1:33" ht="11.25" customHeight="1" x14ac:dyDescent="0.25">
      <c r="A1490" s="4" t="s">
        <v>27</v>
      </c>
      <c r="B1490" s="4" t="s">
        <v>44</v>
      </c>
      <c r="C1490" s="4" t="s">
        <v>34</v>
      </c>
      <c r="D1490" s="4" t="s">
        <v>42</v>
      </c>
      <c r="E1490" s="4" t="s">
        <v>25</v>
      </c>
      <c r="F1490" s="4" t="s">
        <v>25</v>
      </c>
      <c r="G1490" s="4" t="s">
        <v>25</v>
      </c>
      <c r="H1490" s="4" t="s">
        <v>25</v>
      </c>
      <c r="I1490" s="5">
        <v>43862</v>
      </c>
      <c r="J1490" s="6">
        <v>130</v>
      </c>
      <c r="K1490" s="6">
        <v>130</v>
      </c>
      <c r="L1490" s="6">
        <v>0</v>
      </c>
      <c r="M1490" s="6">
        <v>0</v>
      </c>
      <c r="N1490" s="6">
        <v>0</v>
      </c>
      <c r="O1490" s="6">
        <v>0</v>
      </c>
      <c r="P1490" s="6">
        <v>1</v>
      </c>
      <c r="Q1490" s="4" t="s">
        <v>26</v>
      </c>
      <c r="R1490" s="4">
        <v>0</v>
      </c>
      <c r="S1490" s="6">
        <v>35</v>
      </c>
      <c r="T1490" s="6">
        <v>0</v>
      </c>
      <c r="U1490" s="6">
        <v>0</v>
      </c>
      <c r="V1490" s="6">
        <f>IF(ISERROR(VLOOKUP($S$1490,'TAR FIN'!$A$1:$O$120,15,0)),0,VLOOKUP($S$1490,'TAR FIN'!$A$1:$O$120,15,0))</f>
        <v>12.24</v>
      </c>
      <c r="W1490" s="6">
        <f>IF(ISERROR(VLOOKUP($T$1490,'TAR FIN'!$A$1:$O$120,15,0)),0,VLOOKUP($T$1490,'TAR FIN'!$A$1:$O$120,15,0))</f>
        <v>0</v>
      </c>
      <c r="X1490" s="6">
        <f>IF(ISERROR(VLOOKUP($U$1490,'TAR FIN'!$A$1:$O$120,15,0)),0,VLOOKUP($U$1490,'TAR FIN'!$A$1:$O$120,15,0))</f>
        <v>0</v>
      </c>
      <c r="Y1490" s="6">
        <f ca="1">('TUSD BE'!$AM$43+'TUSD BF'!$AM$43+'TUSD CVA'!$AM$43)*1</f>
        <v>16.00053546174815</v>
      </c>
      <c r="Z1490" s="6"/>
      <c r="AA1490" s="6"/>
      <c r="AB1490" s="6">
        <f>$K$1490*$V$1490</f>
        <v>1591.2</v>
      </c>
      <c r="AC1490" s="6">
        <f>$M$1490*$W$1490</f>
        <v>0</v>
      </c>
      <c r="AD1490" s="6">
        <f>$O$1490*$X$1490</f>
        <v>0</v>
      </c>
      <c r="AE1490" s="6">
        <f ca="1">$K$1490*$Y$1490</f>
        <v>2080.0696100272594</v>
      </c>
      <c r="AF1490" s="6">
        <f>$M$1490*$Z$1490</f>
        <v>0</v>
      </c>
      <c r="AG1490" s="6">
        <f>$O$1490*$AA$1490</f>
        <v>0</v>
      </c>
    </row>
    <row r="1491" spans="1:33" ht="11.25" customHeight="1" x14ac:dyDescent="0.25">
      <c r="A1491" s="4" t="s">
        <v>28</v>
      </c>
      <c r="B1491" s="4" t="s">
        <v>44</v>
      </c>
      <c r="C1491" s="4" t="s">
        <v>34</v>
      </c>
      <c r="D1491" s="4" t="s">
        <v>42</v>
      </c>
      <c r="E1491" s="4" t="s">
        <v>25</v>
      </c>
      <c r="F1491" s="4" t="s">
        <v>25</v>
      </c>
      <c r="G1491" s="4" t="s">
        <v>25</v>
      </c>
      <c r="H1491" s="4" t="s">
        <v>25</v>
      </c>
      <c r="I1491" s="5">
        <v>43862</v>
      </c>
      <c r="J1491" s="6">
        <v>3470</v>
      </c>
      <c r="K1491" s="6">
        <v>3470</v>
      </c>
      <c r="L1491" s="6">
        <v>0</v>
      </c>
      <c r="M1491" s="6">
        <v>0</v>
      </c>
      <c r="N1491" s="6">
        <v>0</v>
      </c>
      <c r="O1491" s="6">
        <v>0</v>
      </c>
      <c r="P1491" s="6">
        <v>5</v>
      </c>
      <c r="Q1491" s="4" t="s">
        <v>26</v>
      </c>
      <c r="R1491" s="4">
        <v>0</v>
      </c>
      <c r="S1491" s="6">
        <v>35</v>
      </c>
      <c r="T1491" s="6">
        <v>0</v>
      </c>
      <c r="U1491" s="6">
        <v>0</v>
      </c>
      <c r="V1491" s="6">
        <f>IF(ISERROR(VLOOKUP($S$1491,'TAR FIN'!$A$1:$O$120,15,0)),0,VLOOKUP($S$1491,'TAR FIN'!$A$1:$O$120,15,0))</f>
        <v>12.24</v>
      </c>
      <c r="W1491" s="6">
        <f>IF(ISERROR(VLOOKUP($T$1491,'TAR FIN'!$A$1:$O$120,15,0)),0,VLOOKUP($T$1491,'TAR FIN'!$A$1:$O$120,15,0))</f>
        <v>0</v>
      </c>
      <c r="X1491" s="6">
        <f>IF(ISERROR(VLOOKUP($U$1491,'TAR FIN'!$A$1:$O$120,15,0)),0,VLOOKUP($U$1491,'TAR FIN'!$A$1:$O$120,15,0))</f>
        <v>0</v>
      </c>
      <c r="Y1491" s="6">
        <f ca="1">('TUSD BE'!$AM$43+'TUSD BF'!$AM$43+'TUSD CVA'!$AM$43)*1</f>
        <v>16.00053546174815</v>
      </c>
      <c r="Z1491" s="6"/>
      <c r="AA1491" s="6"/>
      <c r="AB1491" s="6">
        <f>$K$1491*$V$1491</f>
        <v>42472.800000000003</v>
      </c>
      <c r="AC1491" s="6">
        <f>$M$1491*$W$1491</f>
        <v>0</v>
      </c>
      <c r="AD1491" s="6">
        <f>$O$1491*$X$1491</f>
        <v>0</v>
      </c>
      <c r="AE1491" s="6">
        <f ca="1">$K$1491*$Y$1491</f>
        <v>55521.858052266078</v>
      </c>
      <c r="AF1491" s="6">
        <f>$M$1491*$Z$1491</f>
        <v>0</v>
      </c>
      <c r="AG1491" s="6">
        <f>$O$1491*$AA$1491</f>
        <v>0</v>
      </c>
    </row>
    <row r="1492" spans="1:33" ht="11.25" customHeight="1" x14ac:dyDescent="0.25">
      <c r="A1492" s="4" t="s">
        <v>21</v>
      </c>
      <c r="B1492" s="4" t="s">
        <v>44</v>
      </c>
      <c r="C1492" s="4" t="s">
        <v>34</v>
      </c>
      <c r="D1492" s="4" t="s">
        <v>42</v>
      </c>
      <c r="E1492" s="4" t="s">
        <v>25</v>
      </c>
      <c r="F1492" s="4" t="s">
        <v>25</v>
      </c>
      <c r="G1492" s="4" t="s">
        <v>25</v>
      </c>
      <c r="H1492" s="4" t="s">
        <v>25</v>
      </c>
      <c r="I1492" s="5">
        <v>43891</v>
      </c>
      <c r="J1492" s="6">
        <v>27385</v>
      </c>
      <c r="K1492" s="6">
        <v>27385</v>
      </c>
      <c r="L1492" s="6">
        <v>0</v>
      </c>
      <c r="M1492" s="6">
        <v>0</v>
      </c>
      <c r="N1492" s="6">
        <v>0</v>
      </c>
      <c r="O1492" s="6">
        <v>0</v>
      </c>
      <c r="P1492" s="6">
        <v>104</v>
      </c>
      <c r="Q1492" s="4" t="s">
        <v>26</v>
      </c>
      <c r="R1492" s="4">
        <v>0</v>
      </c>
      <c r="S1492" s="6">
        <v>35</v>
      </c>
      <c r="T1492" s="6">
        <v>0</v>
      </c>
      <c r="U1492" s="6">
        <v>0</v>
      </c>
      <c r="V1492" s="6">
        <f>IF(ISERROR(VLOOKUP($S$1492,'TAR FIN'!$A$1:$O$120,15,0)),0,VLOOKUP($S$1492,'TAR FIN'!$A$1:$O$120,15,0))</f>
        <v>12.24</v>
      </c>
      <c r="W1492" s="6">
        <f>IF(ISERROR(VLOOKUP($T$1492,'TAR FIN'!$A$1:$O$120,15,0)),0,VLOOKUP($T$1492,'TAR FIN'!$A$1:$O$120,15,0))</f>
        <v>0</v>
      </c>
      <c r="X1492" s="6">
        <f>IF(ISERROR(VLOOKUP($U$1492,'TAR FIN'!$A$1:$O$120,15,0)),0,VLOOKUP($U$1492,'TAR FIN'!$A$1:$O$120,15,0))</f>
        <v>0</v>
      </c>
      <c r="Y1492" s="6">
        <f ca="1">('TUSD BE'!$AM$43+'TUSD BF'!$AM$43+'TUSD CVA'!$AM$43)*1</f>
        <v>16.00053546174815</v>
      </c>
      <c r="Z1492" s="6"/>
      <c r="AA1492" s="6"/>
      <c r="AB1492" s="6">
        <f>$K$1492*$V$1492</f>
        <v>335192.40000000002</v>
      </c>
      <c r="AC1492" s="6">
        <f>$M$1492*$W$1492</f>
        <v>0</v>
      </c>
      <c r="AD1492" s="6">
        <f>$O$1492*$X$1492</f>
        <v>0</v>
      </c>
      <c r="AE1492" s="6">
        <f ca="1">$K$1492*$Y$1492</f>
        <v>438174.66361997311</v>
      </c>
      <c r="AF1492" s="6">
        <f>$M$1492*$Z$1492</f>
        <v>0</v>
      </c>
      <c r="AG1492" s="6">
        <f>$O$1492*$AA$1492</f>
        <v>0</v>
      </c>
    </row>
    <row r="1493" spans="1:33" ht="11.25" customHeight="1" x14ac:dyDescent="0.25">
      <c r="A1493" s="4" t="s">
        <v>27</v>
      </c>
      <c r="B1493" s="4" t="s">
        <v>44</v>
      </c>
      <c r="C1493" s="4" t="s">
        <v>34</v>
      </c>
      <c r="D1493" s="4" t="s">
        <v>42</v>
      </c>
      <c r="E1493" s="4" t="s">
        <v>25</v>
      </c>
      <c r="F1493" s="4" t="s">
        <v>25</v>
      </c>
      <c r="G1493" s="4" t="s">
        <v>25</v>
      </c>
      <c r="H1493" s="4" t="s">
        <v>25</v>
      </c>
      <c r="I1493" s="5">
        <v>43891</v>
      </c>
      <c r="J1493" s="6">
        <v>130</v>
      </c>
      <c r="K1493" s="6">
        <v>130</v>
      </c>
      <c r="L1493" s="6">
        <v>0</v>
      </c>
      <c r="M1493" s="6">
        <v>0</v>
      </c>
      <c r="N1493" s="6">
        <v>0</v>
      </c>
      <c r="O1493" s="6">
        <v>0</v>
      </c>
      <c r="P1493" s="6">
        <v>1</v>
      </c>
      <c r="Q1493" s="4" t="s">
        <v>26</v>
      </c>
      <c r="R1493" s="4">
        <v>0</v>
      </c>
      <c r="S1493" s="6">
        <v>35</v>
      </c>
      <c r="T1493" s="6">
        <v>0</v>
      </c>
      <c r="U1493" s="6">
        <v>0</v>
      </c>
      <c r="V1493" s="6">
        <f>IF(ISERROR(VLOOKUP($S$1493,'TAR FIN'!$A$1:$O$120,15,0)),0,VLOOKUP($S$1493,'TAR FIN'!$A$1:$O$120,15,0))</f>
        <v>12.24</v>
      </c>
      <c r="W1493" s="6">
        <f>IF(ISERROR(VLOOKUP($T$1493,'TAR FIN'!$A$1:$O$120,15,0)),0,VLOOKUP($T$1493,'TAR FIN'!$A$1:$O$120,15,0))</f>
        <v>0</v>
      </c>
      <c r="X1493" s="6">
        <f>IF(ISERROR(VLOOKUP($U$1493,'TAR FIN'!$A$1:$O$120,15,0)),0,VLOOKUP($U$1493,'TAR FIN'!$A$1:$O$120,15,0))</f>
        <v>0</v>
      </c>
      <c r="Y1493" s="6">
        <f ca="1">('TUSD BE'!$AM$43+'TUSD BF'!$AM$43+'TUSD CVA'!$AM$43)*1</f>
        <v>16.00053546174815</v>
      </c>
      <c r="Z1493" s="6"/>
      <c r="AA1493" s="6"/>
      <c r="AB1493" s="6">
        <f>$K$1493*$V$1493</f>
        <v>1591.2</v>
      </c>
      <c r="AC1493" s="6">
        <f>$M$1493*$W$1493</f>
        <v>0</v>
      </c>
      <c r="AD1493" s="6">
        <f>$O$1493*$X$1493</f>
        <v>0</v>
      </c>
      <c r="AE1493" s="6">
        <f ca="1">$K$1493*$Y$1493</f>
        <v>2080.0696100272594</v>
      </c>
      <c r="AF1493" s="6">
        <f>$M$1493*$Z$1493</f>
        <v>0</v>
      </c>
      <c r="AG1493" s="6">
        <f>$O$1493*$AA$1493</f>
        <v>0</v>
      </c>
    </row>
    <row r="1494" spans="1:33" ht="11.25" customHeight="1" x14ac:dyDescent="0.25">
      <c r="A1494" s="4" t="s">
        <v>28</v>
      </c>
      <c r="B1494" s="4" t="s">
        <v>44</v>
      </c>
      <c r="C1494" s="4" t="s">
        <v>34</v>
      </c>
      <c r="D1494" s="4" t="s">
        <v>42</v>
      </c>
      <c r="E1494" s="4" t="s">
        <v>25</v>
      </c>
      <c r="F1494" s="4" t="s">
        <v>25</v>
      </c>
      <c r="G1494" s="4" t="s">
        <v>25</v>
      </c>
      <c r="H1494" s="4" t="s">
        <v>25</v>
      </c>
      <c r="I1494" s="5">
        <v>43891</v>
      </c>
      <c r="J1494" s="6">
        <v>3470</v>
      </c>
      <c r="K1494" s="6">
        <v>3470</v>
      </c>
      <c r="L1494" s="6">
        <v>0</v>
      </c>
      <c r="M1494" s="6">
        <v>0</v>
      </c>
      <c r="N1494" s="6">
        <v>0</v>
      </c>
      <c r="O1494" s="6">
        <v>0</v>
      </c>
      <c r="P1494" s="6">
        <v>5</v>
      </c>
      <c r="Q1494" s="4" t="s">
        <v>26</v>
      </c>
      <c r="R1494" s="4">
        <v>0</v>
      </c>
      <c r="S1494" s="6">
        <v>35</v>
      </c>
      <c r="T1494" s="6">
        <v>0</v>
      </c>
      <c r="U1494" s="6">
        <v>0</v>
      </c>
      <c r="V1494" s="6">
        <f>IF(ISERROR(VLOOKUP($S$1494,'TAR FIN'!$A$1:$O$120,15,0)),0,VLOOKUP($S$1494,'TAR FIN'!$A$1:$O$120,15,0))</f>
        <v>12.24</v>
      </c>
      <c r="W1494" s="6">
        <f>IF(ISERROR(VLOOKUP($T$1494,'TAR FIN'!$A$1:$O$120,15,0)),0,VLOOKUP($T$1494,'TAR FIN'!$A$1:$O$120,15,0))</f>
        <v>0</v>
      </c>
      <c r="X1494" s="6">
        <f>IF(ISERROR(VLOOKUP($U$1494,'TAR FIN'!$A$1:$O$120,15,0)),0,VLOOKUP($U$1494,'TAR FIN'!$A$1:$O$120,15,0))</f>
        <v>0</v>
      </c>
      <c r="Y1494" s="6">
        <f ca="1">('TUSD BE'!$AM$43+'TUSD BF'!$AM$43+'TUSD CVA'!$AM$43)*1</f>
        <v>16.00053546174815</v>
      </c>
      <c r="Z1494" s="6"/>
      <c r="AA1494" s="6"/>
      <c r="AB1494" s="6">
        <f>$K$1494*$V$1494</f>
        <v>42472.800000000003</v>
      </c>
      <c r="AC1494" s="6">
        <f>$M$1494*$W$1494</f>
        <v>0</v>
      </c>
      <c r="AD1494" s="6">
        <f>$O$1494*$X$1494</f>
        <v>0</v>
      </c>
      <c r="AE1494" s="6">
        <f ca="1">$K$1494*$Y$1494</f>
        <v>55521.858052266078</v>
      </c>
      <c r="AF1494" s="6">
        <f>$M$1494*$Z$1494</f>
        <v>0</v>
      </c>
      <c r="AG1494" s="6">
        <f>$O$1494*$AA$1494</f>
        <v>0</v>
      </c>
    </row>
    <row r="1495" spans="1:33" ht="11.25" customHeight="1" x14ac:dyDescent="0.25">
      <c r="A1495" s="4" t="s">
        <v>21</v>
      </c>
      <c r="B1495" s="4" t="s">
        <v>44</v>
      </c>
      <c r="C1495" s="4" t="s">
        <v>34</v>
      </c>
      <c r="D1495" s="4" t="s">
        <v>42</v>
      </c>
      <c r="E1495" s="4" t="s">
        <v>25</v>
      </c>
      <c r="F1495" s="4" t="s">
        <v>25</v>
      </c>
      <c r="G1495" s="4" t="s">
        <v>25</v>
      </c>
      <c r="H1495" s="4" t="s">
        <v>25</v>
      </c>
      <c r="I1495" s="5">
        <v>43922</v>
      </c>
      <c r="J1495" s="6">
        <v>27287</v>
      </c>
      <c r="K1495" s="6">
        <v>27287</v>
      </c>
      <c r="L1495" s="6">
        <v>0</v>
      </c>
      <c r="M1495" s="6">
        <v>0</v>
      </c>
      <c r="N1495" s="6">
        <v>0</v>
      </c>
      <c r="O1495" s="6">
        <v>0</v>
      </c>
      <c r="P1495" s="6">
        <v>103</v>
      </c>
      <c r="Q1495" s="4" t="s">
        <v>26</v>
      </c>
      <c r="R1495" s="4">
        <v>0</v>
      </c>
      <c r="S1495" s="6">
        <v>35</v>
      </c>
      <c r="T1495" s="6">
        <v>0</v>
      </c>
      <c r="U1495" s="6">
        <v>0</v>
      </c>
      <c r="V1495" s="6">
        <f>IF(ISERROR(VLOOKUP($S$1495,'TAR FIN'!$A$1:$O$120,15,0)),0,VLOOKUP($S$1495,'TAR FIN'!$A$1:$O$120,15,0))</f>
        <v>12.24</v>
      </c>
      <c r="W1495" s="6">
        <f>IF(ISERROR(VLOOKUP($T$1495,'TAR FIN'!$A$1:$O$120,15,0)),0,VLOOKUP($T$1495,'TAR FIN'!$A$1:$O$120,15,0))</f>
        <v>0</v>
      </c>
      <c r="X1495" s="6">
        <f>IF(ISERROR(VLOOKUP($U$1495,'TAR FIN'!$A$1:$O$120,15,0)),0,VLOOKUP($U$1495,'TAR FIN'!$A$1:$O$120,15,0))</f>
        <v>0</v>
      </c>
      <c r="Y1495" s="6">
        <f ca="1">('TUSD BE'!$AM$43+'TUSD BF'!$AM$43+'TUSD CVA'!$AM$43)*1</f>
        <v>16.00053546174815</v>
      </c>
      <c r="Z1495" s="6"/>
      <c r="AA1495" s="6"/>
      <c r="AB1495" s="6">
        <f>$K$1495*$V$1495</f>
        <v>333992.88</v>
      </c>
      <c r="AC1495" s="6">
        <f>$M$1495*$W$1495</f>
        <v>0</v>
      </c>
      <c r="AD1495" s="6">
        <f>$O$1495*$X$1495</f>
        <v>0</v>
      </c>
      <c r="AE1495" s="6">
        <f ca="1">$K$1495*$Y$1495</f>
        <v>436606.6111447218</v>
      </c>
      <c r="AF1495" s="6">
        <f>$M$1495*$Z$1495</f>
        <v>0</v>
      </c>
      <c r="AG1495" s="6">
        <f>$O$1495*$AA$1495</f>
        <v>0</v>
      </c>
    </row>
    <row r="1496" spans="1:33" ht="11.25" customHeight="1" x14ac:dyDescent="0.25">
      <c r="A1496" s="4" t="s">
        <v>27</v>
      </c>
      <c r="B1496" s="4" t="s">
        <v>44</v>
      </c>
      <c r="C1496" s="4" t="s">
        <v>34</v>
      </c>
      <c r="D1496" s="4" t="s">
        <v>42</v>
      </c>
      <c r="E1496" s="4" t="s">
        <v>25</v>
      </c>
      <c r="F1496" s="4" t="s">
        <v>25</v>
      </c>
      <c r="G1496" s="4" t="s">
        <v>25</v>
      </c>
      <c r="H1496" s="4" t="s">
        <v>25</v>
      </c>
      <c r="I1496" s="5">
        <v>43922</v>
      </c>
      <c r="J1496" s="6">
        <v>1630</v>
      </c>
      <c r="K1496" s="6">
        <v>1630</v>
      </c>
      <c r="L1496" s="6">
        <v>0</v>
      </c>
      <c r="M1496" s="6">
        <v>0</v>
      </c>
      <c r="N1496" s="6">
        <v>0</v>
      </c>
      <c r="O1496" s="6">
        <v>0</v>
      </c>
      <c r="P1496" s="6">
        <v>2</v>
      </c>
      <c r="Q1496" s="4" t="s">
        <v>26</v>
      </c>
      <c r="R1496" s="4">
        <v>0</v>
      </c>
      <c r="S1496" s="6">
        <v>35</v>
      </c>
      <c r="T1496" s="6">
        <v>0</v>
      </c>
      <c r="U1496" s="6">
        <v>0</v>
      </c>
      <c r="V1496" s="6">
        <f>IF(ISERROR(VLOOKUP($S$1496,'TAR FIN'!$A$1:$O$120,15,0)),0,VLOOKUP($S$1496,'TAR FIN'!$A$1:$O$120,15,0))</f>
        <v>12.24</v>
      </c>
      <c r="W1496" s="6">
        <f>IF(ISERROR(VLOOKUP($T$1496,'TAR FIN'!$A$1:$O$120,15,0)),0,VLOOKUP($T$1496,'TAR FIN'!$A$1:$O$120,15,0))</f>
        <v>0</v>
      </c>
      <c r="X1496" s="6">
        <f>IF(ISERROR(VLOOKUP($U$1496,'TAR FIN'!$A$1:$O$120,15,0)),0,VLOOKUP($U$1496,'TAR FIN'!$A$1:$O$120,15,0))</f>
        <v>0</v>
      </c>
      <c r="Y1496" s="6">
        <f ca="1">('TUSD BE'!$AM$43+'TUSD BF'!$AM$43+'TUSD CVA'!$AM$43)*1</f>
        <v>16.00053546174815</v>
      </c>
      <c r="Z1496" s="6"/>
      <c r="AA1496" s="6"/>
      <c r="AB1496" s="6">
        <f>$K$1496*$V$1496</f>
        <v>19951.2</v>
      </c>
      <c r="AC1496" s="6">
        <f>$M$1496*$W$1496</f>
        <v>0</v>
      </c>
      <c r="AD1496" s="6">
        <f>$O$1496*$X$1496</f>
        <v>0</v>
      </c>
      <c r="AE1496" s="6">
        <f ca="1">$K$1496*$Y$1496</f>
        <v>26080.872802649486</v>
      </c>
      <c r="AF1496" s="6">
        <f>$M$1496*$Z$1496</f>
        <v>0</v>
      </c>
      <c r="AG1496" s="6">
        <f>$O$1496*$AA$1496</f>
        <v>0</v>
      </c>
    </row>
    <row r="1497" spans="1:33" ht="11.25" customHeight="1" x14ac:dyDescent="0.25">
      <c r="A1497" s="4" t="s">
        <v>28</v>
      </c>
      <c r="B1497" s="4" t="s">
        <v>44</v>
      </c>
      <c r="C1497" s="4" t="s">
        <v>34</v>
      </c>
      <c r="D1497" s="4" t="s">
        <v>42</v>
      </c>
      <c r="E1497" s="4" t="s">
        <v>25</v>
      </c>
      <c r="F1497" s="4" t="s">
        <v>25</v>
      </c>
      <c r="G1497" s="4" t="s">
        <v>25</v>
      </c>
      <c r="H1497" s="4" t="s">
        <v>25</v>
      </c>
      <c r="I1497" s="5">
        <v>43922</v>
      </c>
      <c r="J1497" s="6">
        <v>3470</v>
      </c>
      <c r="K1497" s="6">
        <v>3470</v>
      </c>
      <c r="L1497" s="6">
        <v>0</v>
      </c>
      <c r="M1497" s="6">
        <v>0</v>
      </c>
      <c r="N1497" s="6">
        <v>0</v>
      </c>
      <c r="O1497" s="6">
        <v>0</v>
      </c>
      <c r="P1497" s="6">
        <v>5</v>
      </c>
      <c r="Q1497" s="4" t="s">
        <v>26</v>
      </c>
      <c r="R1497" s="4">
        <v>0</v>
      </c>
      <c r="S1497" s="6">
        <v>35</v>
      </c>
      <c r="T1497" s="6">
        <v>0</v>
      </c>
      <c r="U1497" s="6">
        <v>0</v>
      </c>
      <c r="V1497" s="6">
        <f>IF(ISERROR(VLOOKUP($S$1497,'TAR FIN'!$A$1:$O$120,15,0)),0,VLOOKUP($S$1497,'TAR FIN'!$A$1:$O$120,15,0))</f>
        <v>12.24</v>
      </c>
      <c r="W1497" s="6">
        <f>IF(ISERROR(VLOOKUP($T$1497,'TAR FIN'!$A$1:$O$120,15,0)),0,VLOOKUP($T$1497,'TAR FIN'!$A$1:$O$120,15,0))</f>
        <v>0</v>
      </c>
      <c r="X1497" s="6">
        <f>IF(ISERROR(VLOOKUP($U$1497,'TAR FIN'!$A$1:$O$120,15,0)),0,VLOOKUP($U$1497,'TAR FIN'!$A$1:$O$120,15,0))</f>
        <v>0</v>
      </c>
      <c r="Y1497" s="6">
        <f ca="1">('TUSD BE'!$AM$43+'TUSD BF'!$AM$43+'TUSD CVA'!$AM$43)*1</f>
        <v>16.00053546174815</v>
      </c>
      <c r="Z1497" s="6"/>
      <c r="AA1497" s="6"/>
      <c r="AB1497" s="6">
        <f>$K$1497*$V$1497</f>
        <v>42472.800000000003</v>
      </c>
      <c r="AC1497" s="6">
        <f>$M$1497*$W$1497</f>
        <v>0</v>
      </c>
      <c r="AD1497" s="6">
        <f>$O$1497*$X$1497</f>
        <v>0</v>
      </c>
      <c r="AE1497" s="6">
        <f ca="1">$K$1497*$Y$1497</f>
        <v>55521.858052266078</v>
      </c>
      <c r="AF1497" s="6">
        <f>$M$1497*$Z$1497</f>
        <v>0</v>
      </c>
      <c r="AG1497" s="6">
        <f>$O$1497*$AA$1497</f>
        <v>0</v>
      </c>
    </row>
    <row r="1498" spans="1:33" ht="11.25" customHeight="1" x14ac:dyDescent="0.25">
      <c r="A1498" s="4" t="s">
        <v>21</v>
      </c>
      <c r="B1498" s="4" t="s">
        <v>44</v>
      </c>
      <c r="C1498" s="4" t="s">
        <v>34</v>
      </c>
      <c r="D1498" s="4" t="s">
        <v>42</v>
      </c>
      <c r="E1498" s="4" t="s">
        <v>25</v>
      </c>
      <c r="F1498" s="4" t="s">
        <v>25</v>
      </c>
      <c r="G1498" s="4" t="s">
        <v>25</v>
      </c>
      <c r="H1498" s="4" t="s">
        <v>25</v>
      </c>
      <c r="I1498" s="5">
        <v>43952</v>
      </c>
      <c r="J1498" s="6">
        <v>26632</v>
      </c>
      <c r="K1498" s="6">
        <v>26632</v>
      </c>
      <c r="L1498" s="6">
        <v>0</v>
      </c>
      <c r="M1498" s="6">
        <v>0</v>
      </c>
      <c r="N1498" s="6">
        <v>0</v>
      </c>
      <c r="O1498" s="6">
        <v>0</v>
      </c>
      <c r="P1498" s="6">
        <v>102</v>
      </c>
      <c r="Q1498" s="4" t="s">
        <v>26</v>
      </c>
      <c r="R1498" s="4">
        <v>0</v>
      </c>
      <c r="S1498" s="6">
        <v>35</v>
      </c>
      <c r="T1498" s="6">
        <v>0</v>
      </c>
      <c r="U1498" s="6">
        <v>0</v>
      </c>
      <c r="V1498" s="6">
        <f>IF(ISERROR(VLOOKUP($S$1498,'TAR FIN'!$A$1:$O$120,15,0)),0,VLOOKUP($S$1498,'TAR FIN'!$A$1:$O$120,15,0))</f>
        <v>12.24</v>
      </c>
      <c r="W1498" s="6">
        <f>IF(ISERROR(VLOOKUP($T$1498,'TAR FIN'!$A$1:$O$120,15,0)),0,VLOOKUP($T$1498,'TAR FIN'!$A$1:$O$120,15,0))</f>
        <v>0</v>
      </c>
      <c r="X1498" s="6">
        <f>IF(ISERROR(VLOOKUP($U$1498,'TAR FIN'!$A$1:$O$120,15,0)),0,VLOOKUP($U$1498,'TAR FIN'!$A$1:$O$120,15,0))</f>
        <v>0</v>
      </c>
      <c r="Y1498" s="6">
        <f ca="1">('TUSD BE'!$AM$43+'TUSD BF'!$AM$43+'TUSD CVA'!$AM$43)*1</f>
        <v>16.00053546174815</v>
      </c>
      <c r="Z1498" s="6"/>
      <c r="AA1498" s="6"/>
      <c r="AB1498" s="6">
        <f>$K$1498*$V$1498</f>
        <v>325975.67999999999</v>
      </c>
      <c r="AC1498" s="6">
        <f>$M$1498*$W$1498</f>
        <v>0</v>
      </c>
      <c r="AD1498" s="6">
        <f>$O$1498*$X$1498</f>
        <v>0</v>
      </c>
      <c r="AE1498" s="6">
        <f ca="1">$K$1498*$Y$1498</f>
        <v>426126.26041727676</v>
      </c>
      <c r="AF1498" s="6">
        <f>$M$1498*$Z$1498</f>
        <v>0</v>
      </c>
      <c r="AG1498" s="6">
        <f>$O$1498*$AA$1498</f>
        <v>0</v>
      </c>
    </row>
    <row r="1499" spans="1:33" ht="11.25" customHeight="1" x14ac:dyDescent="0.25">
      <c r="A1499" s="4" t="s">
        <v>27</v>
      </c>
      <c r="B1499" s="4" t="s">
        <v>44</v>
      </c>
      <c r="C1499" s="4" t="s">
        <v>34</v>
      </c>
      <c r="D1499" s="4" t="s">
        <v>42</v>
      </c>
      <c r="E1499" s="4" t="s">
        <v>25</v>
      </c>
      <c r="F1499" s="4" t="s">
        <v>25</v>
      </c>
      <c r="G1499" s="4" t="s">
        <v>25</v>
      </c>
      <c r="H1499" s="4" t="s">
        <v>25</v>
      </c>
      <c r="I1499" s="5">
        <v>43952</v>
      </c>
      <c r="J1499" s="6">
        <v>130</v>
      </c>
      <c r="K1499" s="6">
        <v>130</v>
      </c>
      <c r="L1499" s="6">
        <v>0</v>
      </c>
      <c r="M1499" s="6">
        <v>0</v>
      </c>
      <c r="N1499" s="6">
        <v>0</v>
      </c>
      <c r="O1499" s="6">
        <v>0</v>
      </c>
      <c r="P1499" s="6">
        <v>1</v>
      </c>
      <c r="Q1499" s="4" t="s">
        <v>26</v>
      </c>
      <c r="R1499" s="4">
        <v>0</v>
      </c>
      <c r="S1499" s="6">
        <v>35</v>
      </c>
      <c r="T1499" s="6">
        <v>0</v>
      </c>
      <c r="U1499" s="6">
        <v>0</v>
      </c>
      <c r="V1499" s="6">
        <f>IF(ISERROR(VLOOKUP($S$1499,'TAR FIN'!$A$1:$O$120,15,0)),0,VLOOKUP($S$1499,'TAR FIN'!$A$1:$O$120,15,0))</f>
        <v>12.24</v>
      </c>
      <c r="W1499" s="6">
        <f>IF(ISERROR(VLOOKUP($T$1499,'TAR FIN'!$A$1:$O$120,15,0)),0,VLOOKUP($T$1499,'TAR FIN'!$A$1:$O$120,15,0))</f>
        <v>0</v>
      </c>
      <c r="X1499" s="6">
        <f>IF(ISERROR(VLOOKUP($U$1499,'TAR FIN'!$A$1:$O$120,15,0)),0,VLOOKUP($U$1499,'TAR FIN'!$A$1:$O$120,15,0))</f>
        <v>0</v>
      </c>
      <c r="Y1499" s="6">
        <f ca="1">('TUSD BE'!$AM$43+'TUSD BF'!$AM$43+'TUSD CVA'!$AM$43)*1</f>
        <v>16.00053546174815</v>
      </c>
      <c r="Z1499" s="6"/>
      <c r="AA1499" s="6"/>
      <c r="AB1499" s="6">
        <f>$K$1499*$V$1499</f>
        <v>1591.2</v>
      </c>
      <c r="AC1499" s="6">
        <f>$M$1499*$W$1499</f>
        <v>0</v>
      </c>
      <c r="AD1499" s="6">
        <f>$O$1499*$X$1499</f>
        <v>0</v>
      </c>
      <c r="AE1499" s="6">
        <f ca="1">$K$1499*$Y$1499</f>
        <v>2080.0696100272594</v>
      </c>
      <c r="AF1499" s="6">
        <f>$M$1499*$Z$1499</f>
        <v>0</v>
      </c>
      <c r="AG1499" s="6">
        <f>$O$1499*$AA$1499</f>
        <v>0</v>
      </c>
    </row>
    <row r="1500" spans="1:33" ht="11.25" customHeight="1" x14ac:dyDescent="0.25">
      <c r="A1500" s="4" t="s">
        <v>28</v>
      </c>
      <c r="B1500" s="4" t="s">
        <v>44</v>
      </c>
      <c r="C1500" s="4" t="s">
        <v>34</v>
      </c>
      <c r="D1500" s="4" t="s">
        <v>42</v>
      </c>
      <c r="E1500" s="4" t="s">
        <v>25</v>
      </c>
      <c r="F1500" s="4" t="s">
        <v>25</v>
      </c>
      <c r="G1500" s="4" t="s">
        <v>25</v>
      </c>
      <c r="H1500" s="4" t="s">
        <v>25</v>
      </c>
      <c r="I1500" s="5">
        <v>43952</v>
      </c>
      <c r="J1500" s="6">
        <v>3470</v>
      </c>
      <c r="K1500" s="6">
        <v>3470</v>
      </c>
      <c r="L1500" s="6">
        <v>0</v>
      </c>
      <c r="M1500" s="6">
        <v>0</v>
      </c>
      <c r="N1500" s="6">
        <v>0</v>
      </c>
      <c r="O1500" s="6">
        <v>0</v>
      </c>
      <c r="P1500" s="6">
        <v>5</v>
      </c>
      <c r="Q1500" s="4" t="s">
        <v>26</v>
      </c>
      <c r="R1500" s="4">
        <v>0</v>
      </c>
      <c r="S1500" s="6">
        <v>35</v>
      </c>
      <c r="T1500" s="6">
        <v>0</v>
      </c>
      <c r="U1500" s="6">
        <v>0</v>
      </c>
      <c r="V1500" s="6">
        <f>IF(ISERROR(VLOOKUP($S$1500,'TAR FIN'!$A$1:$O$120,15,0)),0,VLOOKUP($S$1500,'TAR FIN'!$A$1:$O$120,15,0))</f>
        <v>12.24</v>
      </c>
      <c r="W1500" s="6">
        <f>IF(ISERROR(VLOOKUP($T$1500,'TAR FIN'!$A$1:$O$120,15,0)),0,VLOOKUP($T$1500,'TAR FIN'!$A$1:$O$120,15,0))</f>
        <v>0</v>
      </c>
      <c r="X1500" s="6">
        <f>IF(ISERROR(VLOOKUP($U$1500,'TAR FIN'!$A$1:$O$120,15,0)),0,VLOOKUP($U$1500,'TAR FIN'!$A$1:$O$120,15,0))</f>
        <v>0</v>
      </c>
      <c r="Y1500" s="6">
        <f ca="1">('TUSD BE'!$AM$43+'TUSD BF'!$AM$43+'TUSD CVA'!$AM$43)*1</f>
        <v>16.00053546174815</v>
      </c>
      <c r="Z1500" s="6"/>
      <c r="AA1500" s="6"/>
      <c r="AB1500" s="6">
        <f>$K$1500*$V$1500</f>
        <v>42472.800000000003</v>
      </c>
      <c r="AC1500" s="6">
        <f>$M$1500*$W$1500</f>
        <v>0</v>
      </c>
      <c r="AD1500" s="6">
        <f>$O$1500*$X$1500</f>
        <v>0</v>
      </c>
      <c r="AE1500" s="6">
        <f ca="1">$K$1500*$Y$1500</f>
        <v>55521.858052266078</v>
      </c>
      <c r="AF1500" s="6">
        <f>$M$1500*$Z$1500</f>
        <v>0</v>
      </c>
      <c r="AG1500" s="6">
        <f>$O$1500*$AA$1500</f>
        <v>0</v>
      </c>
    </row>
    <row r="1501" spans="1:33" ht="11.25" customHeight="1" x14ac:dyDescent="0.25">
      <c r="A1501" s="4" t="s">
        <v>21</v>
      </c>
      <c r="B1501" s="4" t="s">
        <v>44</v>
      </c>
      <c r="C1501" s="4" t="s">
        <v>34</v>
      </c>
      <c r="D1501" s="4" t="s">
        <v>42</v>
      </c>
      <c r="E1501" s="4" t="s">
        <v>25</v>
      </c>
      <c r="F1501" s="4" t="s">
        <v>25</v>
      </c>
      <c r="G1501" s="4" t="s">
        <v>25</v>
      </c>
      <c r="H1501" s="4" t="s">
        <v>25</v>
      </c>
      <c r="I1501" s="5">
        <v>43983</v>
      </c>
      <c r="J1501" s="6">
        <v>27271</v>
      </c>
      <c r="K1501" s="6">
        <v>27271</v>
      </c>
      <c r="L1501" s="6">
        <v>0</v>
      </c>
      <c r="M1501" s="6">
        <v>0</v>
      </c>
      <c r="N1501" s="6">
        <v>0</v>
      </c>
      <c r="O1501" s="6">
        <v>0</v>
      </c>
      <c r="P1501" s="6">
        <v>101</v>
      </c>
      <c r="Q1501" s="4" t="s">
        <v>26</v>
      </c>
      <c r="R1501" s="4">
        <v>0</v>
      </c>
      <c r="S1501" s="6">
        <v>35</v>
      </c>
      <c r="T1501" s="6">
        <v>0</v>
      </c>
      <c r="U1501" s="6">
        <v>0</v>
      </c>
      <c r="V1501" s="6">
        <f>IF(ISERROR(VLOOKUP($S$1501,'TAR FIN'!$A$1:$O$120,15,0)),0,VLOOKUP($S$1501,'TAR FIN'!$A$1:$O$120,15,0))</f>
        <v>12.24</v>
      </c>
      <c r="W1501" s="6">
        <f>IF(ISERROR(VLOOKUP($T$1501,'TAR FIN'!$A$1:$O$120,15,0)),0,VLOOKUP($T$1501,'TAR FIN'!$A$1:$O$120,15,0))</f>
        <v>0</v>
      </c>
      <c r="X1501" s="6">
        <f>IF(ISERROR(VLOOKUP($U$1501,'TAR FIN'!$A$1:$O$120,15,0)),0,VLOOKUP($U$1501,'TAR FIN'!$A$1:$O$120,15,0))</f>
        <v>0</v>
      </c>
      <c r="Y1501" s="6">
        <f ca="1">('TUSD BE'!$AM$43+'TUSD BF'!$AM$43+'TUSD CVA'!$AM$43)*1</f>
        <v>16.00053546174815</v>
      </c>
      <c r="Z1501" s="6"/>
      <c r="AA1501" s="6"/>
      <c r="AB1501" s="6">
        <f>$K$1501*$V$1501</f>
        <v>333797.03999999998</v>
      </c>
      <c r="AC1501" s="6">
        <f>$M$1501*$W$1501</f>
        <v>0</v>
      </c>
      <c r="AD1501" s="6">
        <f>$O$1501*$X$1501</f>
        <v>0</v>
      </c>
      <c r="AE1501" s="6">
        <f ca="1">$K$1501*$Y$1501</f>
        <v>436350.6025773338</v>
      </c>
      <c r="AF1501" s="6">
        <f>$M$1501*$Z$1501</f>
        <v>0</v>
      </c>
      <c r="AG1501" s="6">
        <f>$O$1501*$AA$1501</f>
        <v>0</v>
      </c>
    </row>
    <row r="1502" spans="1:33" ht="11.25" customHeight="1" x14ac:dyDescent="0.25">
      <c r="A1502" s="4" t="s">
        <v>27</v>
      </c>
      <c r="B1502" s="4" t="s">
        <v>44</v>
      </c>
      <c r="C1502" s="4" t="s">
        <v>34</v>
      </c>
      <c r="D1502" s="4" t="s">
        <v>42</v>
      </c>
      <c r="E1502" s="4" t="s">
        <v>25</v>
      </c>
      <c r="F1502" s="4" t="s">
        <v>25</v>
      </c>
      <c r="G1502" s="4" t="s">
        <v>25</v>
      </c>
      <c r="H1502" s="4" t="s">
        <v>25</v>
      </c>
      <c r="I1502" s="5">
        <v>43983</v>
      </c>
      <c r="J1502" s="6">
        <v>730</v>
      </c>
      <c r="K1502" s="6">
        <v>730</v>
      </c>
      <c r="L1502" s="6">
        <v>0</v>
      </c>
      <c r="M1502" s="6">
        <v>0</v>
      </c>
      <c r="N1502" s="6">
        <v>0</v>
      </c>
      <c r="O1502" s="6">
        <v>0</v>
      </c>
      <c r="P1502" s="6">
        <v>2</v>
      </c>
      <c r="Q1502" s="4" t="s">
        <v>26</v>
      </c>
      <c r="R1502" s="4">
        <v>0</v>
      </c>
      <c r="S1502" s="6">
        <v>35</v>
      </c>
      <c r="T1502" s="6">
        <v>0</v>
      </c>
      <c r="U1502" s="6">
        <v>0</v>
      </c>
      <c r="V1502" s="6">
        <f>IF(ISERROR(VLOOKUP($S$1502,'TAR FIN'!$A$1:$O$120,15,0)),0,VLOOKUP($S$1502,'TAR FIN'!$A$1:$O$120,15,0))</f>
        <v>12.24</v>
      </c>
      <c r="W1502" s="6">
        <f>IF(ISERROR(VLOOKUP($T$1502,'TAR FIN'!$A$1:$O$120,15,0)),0,VLOOKUP($T$1502,'TAR FIN'!$A$1:$O$120,15,0))</f>
        <v>0</v>
      </c>
      <c r="X1502" s="6">
        <f>IF(ISERROR(VLOOKUP($U$1502,'TAR FIN'!$A$1:$O$120,15,0)),0,VLOOKUP($U$1502,'TAR FIN'!$A$1:$O$120,15,0))</f>
        <v>0</v>
      </c>
      <c r="Y1502" s="6">
        <f ca="1">('TUSD BE'!$AM$43+'TUSD BF'!$AM$43+'TUSD CVA'!$AM$43)*1</f>
        <v>16.00053546174815</v>
      </c>
      <c r="Z1502" s="6"/>
      <c r="AA1502" s="6"/>
      <c r="AB1502" s="6">
        <f>$K$1502*$V$1502</f>
        <v>8935.2000000000007</v>
      </c>
      <c r="AC1502" s="6">
        <f>$M$1502*$W$1502</f>
        <v>0</v>
      </c>
      <c r="AD1502" s="6">
        <f>$O$1502*$X$1502</f>
        <v>0</v>
      </c>
      <c r="AE1502" s="6">
        <f ca="1">$K$1502*$Y$1502</f>
        <v>11680.39088707615</v>
      </c>
      <c r="AF1502" s="6">
        <f>$M$1502*$Z$1502</f>
        <v>0</v>
      </c>
      <c r="AG1502" s="6">
        <f>$O$1502*$AA$1502</f>
        <v>0</v>
      </c>
    </row>
    <row r="1503" spans="1:33" ht="11.25" customHeight="1" x14ac:dyDescent="0.25">
      <c r="A1503" s="4" t="s">
        <v>28</v>
      </c>
      <c r="B1503" s="4" t="s">
        <v>44</v>
      </c>
      <c r="C1503" s="4" t="s">
        <v>34</v>
      </c>
      <c r="D1503" s="4" t="s">
        <v>42</v>
      </c>
      <c r="E1503" s="4" t="s">
        <v>25</v>
      </c>
      <c r="F1503" s="4" t="s">
        <v>25</v>
      </c>
      <c r="G1503" s="4" t="s">
        <v>25</v>
      </c>
      <c r="H1503" s="4" t="s">
        <v>25</v>
      </c>
      <c r="I1503" s="5">
        <v>43983</v>
      </c>
      <c r="J1503" s="6">
        <v>3470</v>
      </c>
      <c r="K1503" s="6">
        <v>3470</v>
      </c>
      <c r="L1503" s="6">
        <v>0</v>
      </c>
      <c r="M1503" s="6">
        <v>0</v>
      </c>
      <c r="N1503" s="6">
        <v>0</v>
      </c>
      <c r="O1503" s="6">
        <v>0</v>
      </c>
      <c r="P1503" s="6">
        <v>5</v>
      </c>
      <c r="Q1503" s="4" t="s">
        <v>26</v>
      </c>
      <c r="R1503" s="4">
        <v>0</v>
      </c>
      <c r="S1503" s="6">
        <v>35</v>
      </c>
      <c r="T1503" s="6">
        <v>0</v>
      </c>
      <c r="U1503" s="6">
        <v>0</v>
      </c>
      <c r="V1503" s="6">
        <f>IF(ISERROR(VLOOKUP($S$1503,'TAR FIN'!$A$1:$O$120,15,0)),0,VLOOKUP($S$1503,'TAR FIN'!$A$1:$O$120,15,0))</f>
        <v>12.24</v>
      </c>
      <c r="W1503" s="6">
        <f>IF(ISERROR(VLOOKUP($T$1503,'TAR FIN'!$A$1:$O$120,15,0)),0,VLOOKUP($T$1503,'TAR FIN'!$A$1:$O$120,15,0))</f>
        <v>0</v>
      </c>
      <c r="X1503" s="6">
        <f>IF(ISERROR(VLOOKUP($U$1503,'TAR FIN'!$A$1:$O$120,15,0)),0,VLOOKUP($U$1503,'TAR FIN'!$A$1:$O$120,15,0))</f>
        <v>0</v>
      </c>
      <c r="Y1503" s="6">
        <f ca="1">('TUSD BE'!$AM$43+'TUSD BF'!$AM$43+'TUSD CVA'!$AM$43)*1</f>
        <v>16.00053546174815</v>
      </c>
      <c r="Z1503" s="6"/>
      <c r="AA1503" s="6"/>
      <c r="AB1503" s="6">
        <f>$K$1503*$V$1503</f>
        <v>42472.800000000003</v>
      </c>
      <c r="AC1503" s="6">
        <f>$M$1503*$W$1503</f>
        <v>0</v>
      </c>
      <c r="AD1503" s="6">
        <f>$O$1503*$X$1503</f>
        <v>0</v>
      </c>
      <c r="AE1503" s="6">
        <f ca="1">$K$1503*$Y$1503</f>
        <v>55521.858052266078</v>
      </c>
      <c r="AF1503" s="6">
        <f>$M$1503*$Z$1503</f>
        <v>0</v>
      </c>
      <c r="AG1503" s="6">
        <f>$O$1503*$AA$1503</f>
        <v>0</v>
      </c>
    </row>
    <row r="1504" spans="1:33" ht="11.25" customHeight="1" x14ac:dyDescent="0.25">
      <c r="A1504" s="4" t="s">
        <v>21</v>
      </c>
      <c r="B1504" s="4" t="s">
        <v>44</v>
      </c>
      <c r="C1504" s="4" t="s">
        <v>34</v>
      </c>
      <c r="D1504" s="4" t="s">
        <v>42</v>
      </c>
      <c r="E1504" s="4" t="s">
        <v>25</v>
      </c>
      <c r="F1504" s="4" t="s">
        <v>25</v>
      </c>
      <c r="G1504" s="4" t="s">
        <v>25</v>
      </c>
      <c r="H1504" s="4" t="s">
        <v>25</v>
      </c>
      <c r="I1504" s="5">
        <v>44013</v>
      </c>
      <c r="J1504" s="6">
        <v>25636</v>
      </c>
      <c r="K1504" s="6">
        <v>25636</v>
      </c>
      <c r="L1504" s="6">
        <v>0</v>
      </c>
      <c r="M1504" s="6">
        <v>0</v>
      </c>
      <c r="N1504" s="6">
        <v>0</v>
      </c>
      <c r="O1504" s="6">
        <v>0</v>
      </c>
      <c r="P1504" s="6">
        <v>100</v>
      </c>
      <c r="Q1504" s="4" t="s">
        <v>26</v>
      </c>
      <c r="R1504" s="4">
        <v>0</v>
      </c>
      <c r="S1504" s="6">
        <v>35</v>
      </c>
      <c r="T1504" s="6">
        <v>0</v>
      </c>
      <c r="U1504" s="6">
        <v>0</v>
      </c>
      <c r="V1504" s="6">
        <f>IF(ISERROR(VLOOKUP($S$1504,'TAR FIN'!$A$1:$O$120,15,0)),0,VLOOKUP($S$1504,'TAR FIN'!$A$1:$O$120,15,0))</f>
        <v>12.24</v>
      </c>
      <c r="W1504" s="6">
        <f>IF(ISERROR(VLOOKUP($T$1504,'TAR FIN'!$A$1:$O$120,15,0)),0,VLOOKUP($T$1504,'TAR FIN'!$A$1:$O$120,15,0))</f>
        <v>0</v>
      </c>
      <c r="X1504" s="6">
        <f>IF(ISERROR(VLOOKUP($U$1504,'TAR FIN'!$A$1:$O$120,15,0)),0,VLOOKUP($U$1504,'TAR FIN'!$A$1:$O$120,15,0))</f>
        <v>0</v>
      </c>
      <c r="Y1504" s="6">
        <f ca="1">('TUSD BE'!$AM$43+'TUSD BF'!$AM$43+'TUSD CVA'!$AM$43)*1</f>
        <v>16.00053546174815</v>
      </c>
      <c r="Z1504" s="6"/>
      <c r="AA1504" s="6"/>
      <c r="AB1504" s="6">
        <f>$K$1504*$V$1504</f>
        <v>313784.64</v>
      </c>
      <c r="AC1504" s="6">
        <f>$M$1504*$W$1504</f>
        <v>0</v>
      </c>
      <c r="AD1504" s="6">
        <f>$O$1504*$X$1504</f>
        <v>0</v>
      </c>
      <c r="AE1504" s="6">
        <f ca="1">$K$1504*$Y$1504</f>
        <v>410189.72709737555</v>
      </c>
      <c r="AF1504" s="6">
        <f>$M$1504*$Z$1504</f>
        <v>0</v>
      </c>
      <c r="AG1504" s="6">
        <f>$O$1504*$AA$1504</f>
        <v>0</v>
      </c>
    </row>
    <row r="1505" spans="1:33" ht="11.25" customHeight="1" x14ac:dyDescent="0.25">
      <c r="A1505" s="4" t="s">
        <v>27</v>
      </c>
      <c r="B1505" s="4" t="s">
        <v>44</v>
      </c>
      <c r="C1505" s="4" t="s">
        <v>34</v>
      </c>
      <c r="D1505" s="4" t="s">
        <v>42</v>
      </c>
      <c r="E1505" s="4" t="s">
        <v>25</v>
      </c>
      <c r="F1505" s="4" t="s">
        <v>25</v>
      </c>
      <c r="G1505" s="4" t="s">
        <v>25</v>
      </c>
      <c r="H1505" s="4" t="s">
        <v>25</v>
      </c>
      <c r="I1505" s="5">
        <v>44013</v>
      </c>
      <c r="J1505" s="6">
        <v>730</v>
      </c>
      <c r="K1505" s="6">
        <v>730</v>
      </c>
      <c r="L1505" s="6">
        <v>0</v>
      </c>
      <c r="M1505" s="6">
        <v>0</v>
      </c>
      <c r="N1505" s="6">
        <v>0</v>
      </c>
      <c r="O1505" s="6">
        <v>0</v>
      </c>
      <c r="P1505" s="6">
        <v>2</v>
      </c>
      <c r="Q1505" s="4" t="s">
        <v>26</v>
      </c>
      <c r="R1505" s="4">
        <v>0</v>
      </c>
      <c r="S1505" s="6">
        <v>35</v>
      </c>
      <c r="T1505" s="6">
        <v>0</v>
      </c>
      <c r="U1505" s="6">
        <v>0</v>
      </c>
      <c r="V1505" s="6">
        <f>IF(ISERROR(VLOOKUP($S$1505,'TAR FIN'!$A$1:$O$120,15,0)),0,VLOOKUP($S$1505,'TAR FIN'!$A$1:$O$120,15,0))</f>
        <v>12.24</v>
      </c>
      <c r="W1505" s="6">
        <f>IF(ISERROR(VLOOKUP($T$1505,'TAR FIN'!$A$1:$O$120,15,0)),0,VLOOKUP($T$1505,'TAR FIN'!$A$1:$O$120,15,0))</f>
        <v>0</v>
      </c>
      <c r="X1505" s="6">
        <f>IF(ISERROR(VLOOKUP($U$1505,'TAR FIN'!$A$1:$O$120,15,0)),0,VLOOKUP($U$1505,'TAR FIN'!$A$1:$O$120,15,0))</f>
        <v>0</v>
      </c>
      <c r="Y1505" s="6">
        <f ca="1">('TUSD BE'!$AM$43+'TUSD BF'!$AM$43+'TUSD CVA'!$AM$43)*1</f>
        <v>16.00053546174815</v>
      </c>
      <c r="Z1505" s="6"/>
      <c r="AA1505" s="6"/>
      <c r="AB1505" s="6">
        <f>$K$1505*$V$1505</f>
        <v>8935.2000000000007</v>
      </c>
      <c r="AC1505" s="6">
        <f>$M$1505*$W$1505</f>
        <v>0</v>
      </c>
      <c r="AD1505" s="6">
        <f>$O$1505*$X$1505</f>
        <v>0</v>
      </c>
      <c r="AE1505" s="6">
        <f ca="1">$K$1505*$Y$1505</f>
        <v>11680.39088707615</v>
      </c>
      <c r="AF1505" s="6">
        <f>$M$1505*$Z$1505</f>
        <v>0</v>
      </c>
      <c r="AG1505" s="6">
        <f>$O$1505*$AA$1505</f>
        <v>0</v>
      </c>
    </row>
    <row r="1506" spans="1:33" ht="11.25" customHeight="1" x14ac:dyDescent="0.25">
      <c r="A1506" s="4" t="s">
        <v>28</v>
      </c>
      <c r="B1506" s="4" t="s">
        <v>44</v>
      </c>
      <c r="C1506" s="4" t="s">
        <v>34</v>
      </c>
      <c r="D1506" s="4" t="s">
        <v>42</v>
      </c>
      <c r="E1506" s="4" t="s">
        <v>25</v>
      </c>
      <c r="F1506" s="4" t="s">
        <v>25</v>
      </c>
      <c r="G1506" s="4" t="s">
        <v>25</v>
      </c>
      <c r="H1506" s="4" t="s">
        <v>25</v>
      </c>
      <c r="I1506" s="5">
        <v>44013</v>
      </c>
      <c r="J1506" s="6">
        <v>3470</v>
      </c>
      <c r="K1506" s="6">
        <v>3470</v>
      </c>
      <c r="L1506" s="6">
        <v>0</v>
      </c>
      <c r="M1506" s="6">
        <v>0</v>
      </c>
      <c r="N1506" s="6">
        <v>0</v>
      </c>
      <c r="O1506" s="6">
        <v>0</v>
      </c>
      <c r="P1506" s="6">
        <v>5</v>
      </c>
      <c r="Q1506" s="4" t="s">
        <v>26</v>
      </c>
      <c r="R1506" s="4">
        <v>0</v>
      </c>
      <c r="S1506" s="6">
        <v>35</v>
      </c>
      <c r="T1506" s="6">
        <v>0</v>
      </c>
      <c r="U1506" s="6">
        <v>0</v>
      </c>
      <c r="V1506" s="6">
        <f>IF(ISERROR(VLOOKUP($S$1506,'TAR FIN'!$A$1:$O$120,15,0)),0,VLOOKUP($S$1506,'TAR FIN'!$A$1:$O$120,15,0))</f>
        <v>12.24</v>
      </c>
      <c r="W1506" s="6">
        <f>IF(ISERROR(VLOOKUP($T$1506,'TAR FIN'!$A$1:$O$120,15,0)),0,VLOOKUP($T$1506,'TAR FIN'!$A$1:$O$120,15,0))</f>
        <v>0</v>
      </c>
      <c r="X1506" s="6">
        <f>IF(ISERROR(VLOOKUP($U$1506,'TAR FIN'!$A$1:$O$120,15,0)),0,VLOOKUP($U$1506,'TAR FIN'!$A$1:$O$120,15,0))</f>
        <v>0</v>
      </c>
      <c r="Y1506" s="6">
        <f ca="1">('TUSD BE'!$AM$43+'TUSD BF'!$AM$43+'TUSD CVA'!$AM$43)*1</f>
        <v>16.00053546174815</v>
      </c>
      <c r="Z1506" s="6"/>
      <c r="AA1506" s="6"/>
      <c r="AB1506" s="6">
        <f>$K$1506*$V$1506</f>
        <v>42472.800000000003</v>
      </c>
      <c r="AC1506" s="6">
        <f>$M$1506*$W$1506</f>
        <v>0</v>
      </c>
      <c r="AD1506" s="6">
        <f>$O$1506*$X$1506</f>
        <v>0</v>
      </c>
      <c r="AE1506" s="6">
        <f ca="1">$K$1506*$Y$1506</f>
        <v>55521.858052266078</v>
      </c>
      <c r="AF1506" s="6">
        <f>$M$1506*$Z$1506</f>
        <v>0</v>
      </c>
      <c r="AG1506" s="6">
        <f>$O$1506*$AA$1506</f>
        <v>0</v>
      </c>
    </row>
    <row r="1507" spans="1:33" ht="11.25" customHeight="1" x14ac:dyDescent="0.25">
      <c r="A1507" s="4" t="s">
        <v>21</v>
      </c>
      <c r="B1507" s="4" t="s">
        <v>44</v>
      </c>
      <c r="C1507" s="4" t="s">
        <v>34</v>
      </c>
      <c r="D1507" s="4" t="s">
        <v>42</v>
      </c>
      <c r="E1507" s="4" t="s">
        <v>25</v>
      </c>
      <c r="F1507" s="4" t="s">
        <v>25</v>
      </c>
      <c r="G1507" s="4" t="s">
        <v>25</v>
      </c>
      <c r="H1507" s="4" t="s">
        <v>25</v>
      </c>
      <c r="I1507" s="5">
        <v>44044</v>
      </c>
      <c r="J1507" s="6">
        <v>25307</v>
      </c>
      <c r="K1507" s="6">
        <v>25307</v>
      </c>
      <c r="L1507" s="6">
        <v>0</v>
      </c>
      <c r="M1507" s="6">
        <v>0</v>
      </c>
      <c r="N1507" s="6">
        <v>0</v>
      </c>
      <c r="O1507" s="6">
        <v>0</v>
      </c>
      <c r="P1507" s="6">
        <v>100</v>
      </c>
      <c r="Q1507" s="4" t="s">
        <v>26</v>
      </c>
      <c r="R1507" s="4">
        <v>0</v>
      </c>
      <c r="S1507" s="6">
        <v>35</v>
      </c>
      <c r="T1507" s="6">
        <v>0</v>
      </c>
      <c r="U1507" s="6">
        <v>0</v>
      </c>
      <c r="V1507" s="6">
        <f>IF(ISERROR(VLOOKUP($S$1507,'TAR FIN'!$A$1:$O$120,15,0)),0,VLOOKUP($S$1507,'TAR FIN'!$A$1:$O$120,15,0))</f>
        <v>12.24</v>
      </c>
      <c r="W1507" s="6">
        <f>IF(ISERROR(VLOOKUP($T$1507,'TAR FIN'!$A$1:$O$120,15,0)),0,VLOOKUP($T$1507,'TAR FIN'!$A$1:$O$120,15,0))</f>
        <v>0</v>
      </c>
      <c r="X1507" s="6">
        <f>IF(ISERROR(VLOOKUP($U$1507,'TAR FIN'!$A$1:$O$120,15,0)),0,VLOOKUP($U$1507,'TAR FIN'!$A$1:$O$120,15,0))</f>
        <v>0</v>
      </c>
      <c r="Y1507" s="6">
        <f ca="1">('TUSD BE'!$AM$43+'TUSD BF'!$AM$43+'TUSD CVA'!$AM$43)*1</f>
        <v>16.00053546174815</v>
      </c>
      <c r="Z1507" s="6"/>
      <c r="AA1507" s="6"/>
      <c r="AB1507" s="6">
        <f>$K$1507*$V$1507</f>
        <v>309757.68</v>
      </c>
      <c r="AC1507" s="6">
        <f>$M$1507*$W$1507</f>
        <v>0</v>
      </c>
      <c r="AD1507" s="6">
        <f>$O$1507*$X$1507</f>
        <v>0</v>
      </c>
      <c r="AE1507" s="6">
        <f ca="1">$K$1507*$Y$1507</f>
        <v>404925.55093046045</v>
      </c>
      <c r="AF1507" s="6">
        <f>$M$1507*$Z$1507</f>
        <v>0</v>
      </c>
      <c r="AG1507" s="6">
        <f>$O$1507*$AA$1507</f>
        <v>0</v>
      </c>
    </row>
    <row r="1508" spans="1:33" ht="11.25" customHeight="1" x14ac:dyDescent="0.25">
      <c r="A1508" s="4" t="s">
        <v>27</v>
      </c>
      <c r="B1508" s="4" t="s">
        <v>44</v>
      </c>
      <c r="C1508" s="4" t="s">
        <v>34</v>
      </c>
      <c r="D1508" s="4" t="s">
        <v>42</v>
      </c>
      <c r="E1508" s="4" t="s">
        <v>25</v>
      </c>
      <c r="F1508" s="4" t="s">
        <v>25</v>
      </c>
      <c r="G1508" s="4" t="s">
        <v>25</v>
      </c>
      <c r="H1508" s="4" t="s">
        <v>25</v>
      </c>
      <c r="I1508" s="5">
        <v>44044</v>
      </c>
      <c r="J1508" s="6">
        <v>730</v>
      </c>
      <c r="K1508" s="6">
        <v>730</v>
      </c>
      <c r="L1508" s="6">
        <v>0</v>
      </c>
      <c r="M1508" s="6">
        <v>0</v>
      </c>
      <c r="N1508" s="6">
        <v>0</v>
      </c>
      <c r="O1508" s="6">
        <v>0</v>
      </c>
      <c r="P1508" s="6">
        <v>2</v>
      </c>
      <c r="Q1508" s="4" t="s">
        <v>26</v>
      </c>
      <c r="R1508" s="4">
        <v>0</v>
      </c>
      <c r="S1508" s="6">
        <v>35</v>
      </c>
      <c r="T1508" s="6">
        <v>0</v>
      </c>
      <c r="U1508" s="6">
        <v>0</v>
      </c>
      <c r="V1508" s="6">
        <f>IF(ISERROR(VLOOKUP($S$1508,'TAR FIN'!$A$1:$O$120,15,0)),0,VLOOKUP($S$1508,'TAR FIN'!$A$1:$O$120,15,0))</f>
        <v>12.24</v>
      </c>
      <c r="W1508" s="6">
        <f>IF(ISERROR(VLOOKUP($T$1508,'TAR FIN'!$A$1:$O$120,15,0)),0,VLOOKUP($T$1508,'TAR FIN'!$A$1:$O$120,15,0))</f>
        <v>0</v>
      </c>
      <c r="X1508" s="6">
        <f>IF(ISERROR(VLOOKUP($U$1508,'TAR FIN'!$A$1:$O$120,15,0)),0,VLOOKUP($U$1508,'TAR FIN'!$A$1:$O$120,15,0))</f>
        <v>0</v>
      </c>
      <c r="Y1508" s="6">
        <f ca="1">('TUSD BE'!$AM$43+'TUSD BF'!$AM$43+'TUSD CVA'!$AM$43)*1</f>
        <v>16.00053546174815</v>
      </c>
      <c r="Z1508" s="6"/>
      <c r="AA1508" s="6"/>
      <c r="AB1508" s="6">
        <f>$K$1508*$V$1508</f>
        <v>8935.2000000000007</v>
      </c>
      <c r="AC1508" s="6">
        <f>$M$1508*$W$1508</f>
        <v>0</v>
      </c>
      <c r="AD1508" s="6">
        <f>$O$1508*$X$1508</f>
        <v>0</v>
      </c>
      <c r="AE1508" s="6">
        <f ca="1">$K$1508*$Y$1508</f>
        <v>11680.39088707615</v>
      </c>
      <c r="AF1508" s="6">
        <f>$M$1508*$Z$1508</f>
        <v>0</v>
      </c>
      <c r="AG1508" s="6">
        <f>$O$1508*$AA$1508</f>
        <v>0</v>
      </c>
    </row>
    <row r="1509" spans="1:33" ht="11.25" customHeight="1" x14ac:dyDescent="0.25">
      <c r="A1509" s="4" t="s">
        <v>28</v>
      </c>
      <c r="B1509" s="4" t="s">
        <v>44</v>
      </c>
      <c r="C1509" s="4" t="s">
        <v>34</v>
      </c>
      <c r="D1509" s="4" t="s">
        <v>42</v>
      </c>
      <c r="E1509" s="4" t="s">
        <v>25</v>
      </c>
      <c r="F1509" s="4" t="s">
        <v>25</v>
      </c>
      <c r="G1509" s="4" t="s">
        <v>25</v>
      </c>
      <c r="H1509" s="4" t="s">
        <v>25</v>
      </c>
      <c r="I1509" s="5">
        <v>44044</v>
      </c>
      <c r="J1509" s="6">
        <v>3470</v>
      </c>
      <c r="K1509" s="6">
        <v>3470</v>
      </c>
      <c r="L1509" s="6">
        <v>0</v>
      </c>
      <c r="M1509" s="6">
        <v>0</v>
      </c>
      <c r="N1509" s="6">
        <v>0</v>
      </c>
      <c r="O1509" s="6">
        <v>0</v>
      </c>
      <c r="P1509" s="6">
        <v>5</v>
      </c>
      <c r="Q1509" s="4" t="s">
        <v>26</v>
      </c>
      <c r="R1509" s="4">
        <v>0</v>
      </c>
      <c r="S1509" s="6">
        <v>35</v>
      </c>
      <c r="T1509" s="6">
        <v>0</v>
      </c>
      <c r="U1509" s="6">
        <v>0</v>
      </c>
      <c r="V1509" s="6">
        <f>IF(ISERROR(VLOOKUP($S$1509,'TAR FIN'!$A$1:$O$120,15,0)),0,VLOOKUP($S$1509,'TAR FIN'!$A$1:$O$120,15,0))</f>
        <v>12.24</v>
      </c>
      <c r="W1509" s="6">
        <f>IF(ISERROR(VLOOKUP($T$1509,'TAR FIN'!$A$1:$O$120,15,0)),0,VLOOKUP($T$1509,'TAR FIN'!$A$1:$O$120,15,0))</f>
        <v>0</v>
      </c>
      <c r="X1509" s="6">
        <f>IF(ISERROR(VLOOKUP($U$1509,'TAR FIN'!$A$1:$O$120,15,0)),0,VLOOKUP($U$1509,'TAR FIN'!$A$1:$O$120,15,0))</f>
        <v>0</v>
      </c>
      <c r="Y1509" s="6">
        <f ca="1">('TUSD BE'!$AM$43+'TUSD BF'!$AM$43+'TUSD CVA'!$AM$43)*1</f>
        <v>16.00053546174815</v>
      </c>
      <c r="Z1509" s="6"/>
      <c r="AA1509" s="6"/>
      <c r="AB1509" s="6">
        <f>$K$1509*$V$1509</f>
        <v>42472.800000000003</v>
      </c>
      <c r="AC1509" s="6">
        <f>$M$1509*$W$1509</f>
        <v>0</v>
      </c>
      <c r="AD1509" s="6">
        <f>$O$1509*$X$1509</f>
        <v>0</v>
      </c>
      <c r="AE1509" s="6">
        <f ca="1">$K$1509*$Y$1509</f>
        <v>55521.858052266078</v>
      </c>
      <c r="AF1509" s="6">
        <f>$M$1509*$Z$1509</f>
        <v>0</v>
      </c>
      <c r="AG1509" s="6">
        <f>$O$1509*$AA$1509</f>
        <v>0</v>
      </c>
    </row>
    <row r="1510" spans="1:33" ht="11.25" customHeight="1" x14ac:dyDescent="0.25">
      <c r="A1510" s="4" t="s">
        <v>59</v>
      </c>
      <c r="B1510" s="4" t="s">
        <v>44</v>
      </c>
      <c r="C1510" s="4" t="s">
        <v>34</v>
      </c>
      <c r="D1510" s="4" t="s">
        <v>42</v>
      </c>
      <c r="E1510" s="4" t="s">
        <v>25</v>
      </c>
      <c r="F1510" s="4" t="s">
        <v>25</v>
      </c>
      <c r="G1510" s="4" t="s">
        <v>25</v>
      </c>
      <c r="H1510" s="4" t="s">
        <v>25</v>
      </c>
      <c r="I1510" s="5">
        <v>44075</v>
      </c>
      <c r="J1510" s="6">
        <v>25307</v>
      </c>
      <c r="K1510" s="6">
        <v>25307</v>
      </c>
      <c r="L1510" s="6">
        <v>0</v>
      </c>
      <c r="M1510" s="6">
        <v>0</v>
      </c>
      <c r="N1510" s="6">
        <v>0</v>
      </c>
      <c r="O1510" s="6">
        <v>0</v>
      </c>
      <c r="P1510" s="6">
        <v>100</v>
      </c>
      <c r="Q1510" s="4" t="s">
        <v>26</v>
      </c>
      <c r="R1510" s="4">
        <v>0</v>
      </c>
      <c r="S1510" s="6">
        <v>35</v>
      </c>
      <c r="T1510" s="6">
        <v>0</v>
      </c>
      <c r="U1510" s="6">
        <v>0</v>
      </c>
      <c r="V1510" s="6">
        <f>IF(ISERROR(VLOOKUP($S$1510,'TAR FIN'!$A$1:$O$120,15,0)),0,VLOOKUP($S$1510,'TAR FIN'!$A$1:$O$120,15,0))</f>
        <v>12.24</v>
      </c>
      <c r="W1510" s="6">
        <f>IF(ISERROR(VLOOKUP($T$1510,'TAR FIN'!$A$1:$O$120,15,0)),0,VLOOKUP($T$1510,'TAR FIN'!$A$1:$O$120,15,0))</f>
        <v>0</v>
      </c>
      <c r="X1510" s="6">
        <f>IF(ISERROR(VLOOKUP($U$1510,'TAR FIN'!$A$1:$O$120,15,0)),0,VLOOKUP($U$1510,'TAR FIN'!$A$1:$O$120,15,0))</f>
        <v>0</v>
      </c>
      <c r="Y1510" s="6">
        <f ca="1">('TUSD BE'!$AM$43+'TUSD BF'!$AM$43+'TUSD CVA'!$AM$43)*1</f>
        <v>16.00053546174815</v>
      </c>
      <c r="Z1510" s="6"/>
      <c r="AA1510" s="6"/>
      <c r="AB1510" s="6">
        <f>$K$1510*$V$1510</f>
        <v>309757.68</v>
      </c>
      <c r="AC1510" s="6">
        <f>$M$1510*$W$1510</f>
        <v>0</v>
      </c>
      <c r="AD1510" s="6">
        <f>$O$1510*$X$1510</f>
        <v>0</v>
      </c>
      <c r="AE1510" s="6">
        <f ca="1">$K$1510*$Y$1510</f>
        <v>404925.55093046045</v>
      </c>
      <c r="AF1510" s="6">
        <f>$M$1510*$Z$1510</f>
        <v>0</v>
      </c>
      <c r="AG1510" s="6">
        <f>$O$1510*$AA$1510</f>
        <v>0</v>
      </c>
    </row>
    <row r="1511" spans="1:33" ht="11.25" customHeight="1" x14ac:dyDescent="0.25">
      <c r="A1511" s="4" t="s">
        <v>59</v>
      </c>
      <c r="B1511" s="4" t="s">
        <v>44</v>
      </c>
      <c r="C1511" s="4" t="s">
        <v>34</v>
      </c>
      <c r="D1511" s="4" t="s">
        <v>42</v>
      </c>
      <c r="E1511" s="4" t="s">
        <v>25</v>
      </c>
      <c r="F1511" s="4" t="s">
        <v>25</v>
      </c>
      <c r="G1511" s="4" t="s">
        <v>25</v>
      </c>
      <c r="H1511" s="4" t="s">
        <v>25</v>
      </c>
      <c r="I1511" s="5">
        <v>44075</v>
      </c>
      <c r="J1511" s="6">
        <v>730</v>
      </c>
      <c r="K1511" s="6">
        <v>730</v>
      </c>
      <c r="L1511" s="6">
        <v>0</v>
      </c>
      <c r="M1511" s="6">
        <v>0</v>
      </c>
      <c r="N1511" s="6">
        <v>0</v>
      </c>
      <c r="O1511" s="6">
        <v>0</v>
      </c>
      <c r="P1511" s="6">
        <v>2</v>
      </c>
      <c r="Q1511" s="4" t="s">
        <v>26</v>
      </c>
      <c r="R1511" s="4">
        <v>0</v>
      </c>
      <c r="S1511" s="6">
        <v>35</v>
      </c>
      <c r="T1511" s="6">
        <v>0</v>
      </c>
      <c r="U1511" s="6">
        <v>0</v>
      </c>
      <c r="V1511" s="6">
        <f>IF(ISERROR(VLOOKUP($S$1511,'TAR FIN'!$A$1:$O$120,15,0)),0,VLOOKUP($S$1511,'TAR FIN'!$A$1:$O$120,15,0))</f>
        <v>12.24</v>
      </c>
      <c r="W1511" s="6">
        <f>IF(ISERROR(VLOOKUP($T$1511,'TAR FIN'!$A$1:$O$120,15,0)),0,VLOOKUP($T$1511,'TAR FIN'!$A$1:$O$120,15,0))</f>
        <v>0</v>
      </c>
      <c r="X1511" s="6">
        <f>IF(ISERROR(VLOOKUP($U$1511,'TAR FIN'!$A$1:$O$120,15,0)),0,VLOOKUP($U$1511,'TAR FIN'!$A$1:$O$120,15,0))</f>
        <v>0</v>
      </c>
      <c r="Y1511" s="6">
        <f ca="1">('TUSD BE'!$AM$43+'TUSD BF'!$AM$43+'TUSD CVA'!$AM$43)*1</f>
        <v>16.00053546174815</v>
      </c>
      <c r="Z1511" s="6"/>
      <c r="AA1511" s="6"/>
      <c r="AB1511" s="6">
        <f>$K$1511*$V$1511</f>
        <v>8935.2000000000007</v>
      </c>
      <c r="AC1511" s="6">
        <f>$M$1511*$W$1511</f>
        <v>0</v>
      </c>
      <c r="AD1511" s="6">
        <f>$O$1511*$X$1511</f>
        <v>0</v>
      </c>
      <c r="AE1511" s="6">
        <f ca="1">$K$1511*$Y$1511</f>
        <v>11680.39088707615</v>
      </c>
      <c r="AF1511" s="6">
        <f>$M$1511*$Z$1511</f>
        <v>0</v>
      </c>
      <c r="AG1511" s="6">
        <f>$O$1511*$AA$1511</f>
        <v>0</v>
      </c>
    </row>
    <row r="1512" spans="1:33" ht="11.25" customHeight="1" x14ac:dyDescent="0.25">
      <c r="A1512" s="4" t="s">
        <v>59</v>
      </c>
      <c r="B1512" s="4" t="s">
        <v>44</v>
      </c>
      <c r="C1512" s="4" t="s">
        <v>34</v>
      </c>
      <c r="D1512" s="4" t="s">
        <v>42</v>
      </c>
      <c r="E1512" s="4" t="s">
        <v>25</v>
      </c>
      <c r="F1512" s="4" t="s">
        <v>25</v>
      </c>
      <c r="G1512" s="4" t="s">
        <v>25</v>
      </c>
      <c r="H1512" s="4" t="s">
        <v>25</v>
      </c>
      <c r="I1512" s="5">
        <v>44075</v>
      </c>
      <c r="J1512" s="6">
        <v>3470</v>
      </c>
      <c r="K1512" s="6">
        <v>3470</v>
      </c>
      <c r="L1512" s="6">
        <v>0</v>
      </c>
      <c r="M1512" s="6">
        <v>0</v>
      </c>
      <c r="N1512" s="6">
        <v>0</v>
      </c>
      <c r="O1512" s="6">
        <v>0</v>
      </c>
      <c r="P1512" s="6">
        <v>5</v>
      </c>
      <c r="Q1512" s="4" t="s">
        <v>26</v>
      </c>
      <c r="R1512" s="4">
        <v>0</v>
      </c>
      <c r="S1512" s="6">
        <v>35</v>
      </c>
      <c r="T1512" s="6">
        <v>0</v>
      </c>
      <c r="U1512" s="6">
        <v>0</v>
      </c>
      <c r="V1512" s="6">
        <f>IF(ISERROR(VLOOKUP($S$1512,'TAR FIN'!$A$1:$O$120,15,0)),0,VLOOKUP($S$1512,'TAR FIN'!$A$1:$O$120,15,0))</f>
        <v>12.24</v>
      </c>
      <c r="W1512" s="6">
        <f>IF(ISERROR(VLOOKUP($T$1512,'TAR FIN'!$A$1:$O$120,15,0)),0,VLOOKUP($T$1512,'TAR FIN'!$A$1:$O$120,15,0))</f>
        <v>0</v>
      </c>
      <c r="X1512" s="6">
        <f>IF(ISERROR(VLOOKUP($U$1512,'TAR FIN'!$A$1:$O$120,15,0)),0,VLOOKUP($U$1512,'TAR FIN'!$A$1:$O$120,15,0))</f>
        <v>0</v>
      </c>
      <c r="Y1512" s="6">
        <f ca="1">('TUSD BE'!$AM$43+'TUSD BF'!$AM$43+'TUSD CVA'!$AM$43)*1</f>
        <v>16.00053546174815</v>
      </c>
      <c r="Z1512" s="6"/>
      <c r="AA1512" s="6"/>
      <c r="AB1512" s="6">
        <f>$K$1512*$V$1512</f>
        <v>42472.800000000003</v>
      </c>
      <c r="AC1512" s="6">
        <f>$M$1512*$W$1512</f>
        <v>0</v>
      </c>
      <c r="AD1512" s="6">
        <f>$O$1512*$X$1512</f>
        <v>0</v>
      </c>
      <c r="AE1512" s="6">
        <f ca="1">$K$1512*$Y$1512</f>
        <v>55521.858052266078</v>
      </c>
      <c r="AF1512" s="6">
        <f>$M$1512*$Z$1512</f>
        <v>0</v>
      </c>
      <c r="AG1512" s="6">
        <f>$O$1512*$AA$1512</f>
        <v>0</v>
      </c>
    </row>
    <row r="1513" spans="1:33" ht="11.25" customHeight="1" x14ac:dyDescent="0.25">
      <c r="A1513" s="4" t="s">
        <v>21</v>
      </c>
      <c r="B1513" s="4" t="s">
        <v>44</v>
      </c>
      <c r="C1513" s="4" t="s">
        <v>34</v>
      </c>
      <c r="D1513" s="4" t="s">
        <v>42</v>
      </c>
      <c r="E1513" s="4" t="s">
        <v>25</v>
      </c>
      <c r="F1513" s="4" t="s">
        <v>25</v>
      </c>
      <c r="G1513" s="4" t="s">
        <v>25</v>
      </c>
      <c r="H1513" s="4" t="s">
        <v>35</v>
      </c>
      <c r="I1513" s="5">
        <v>43739</v>
      </c>
      <c r="J1513" s="6">
        <v>0</v>
      </c>
      <c r="K1513" s="6">
        <v>0</v>
      </c>
      <c r="L1513" s="6">
        <v>632.09</v>
      </c>
      <c r="M1513" s="6">
        <v>632.09</v>
      </c>
      <c r="N1513" s="6">
        <v>632.09</v>
      </c>
      <c r="O1513" s="6">
        <v>632.09</v>
      </c>
      <c r="P1513" s="6">
        <v>0</v>
      </c>
      <c r="Q1513" s="4" t="s">
        <v>26</v>
      </c>
      <c r="R1513" s="4">
        <v>0</v>
      </c>
      <c r="S1513" s="6">
        <v>0</v>
      </c>
      <c r="T1513" s="6">
        <v>36</v>
      </c>
      <c r="U1513" s="6">
        <v>83</v>
      </c>
      <c r="V1513" s="6">
        <f>IF(ISERROR(VLOOKUP($S$1513,'TAR FIN'!$A$1:$O$120,15,0)),0,VLOOKUP($S$1513,'TAR FIN'!$A$1:$O$120,15,0))</f>
        <v>0</v>
      </c>
      <c r="W1513" s="6">
        <f>IF(ISERROR(VLOOKUP($T$1513,'TAR FIN'!$A$1:$O$120,15,0)),0,VLOOKUP($T$1513,'TAR FIN'!$A$1:$O$120,15,0))</f>
        <v>1174.6600000000001</v>
      </c>
      <c r="X1513" s="6">
        <f>IF(ISERROR(VLOOKUP($U$1513,'TAR FIN'!$A$1:$O$120,15,0)),0,VLOOKUP($U$1513,'TAR FIN'!$A$1:$O$120,15,0))</f>
        <v>430.87</v>
      </c>
      <c r="Y1513" s="6"/>
      <c r="Z1513" s="6">
        <f ca="1">('TUSD BE'!$AM$44+'TUSD BF'!$AM$44+'TUSD CVA'!$AM$44)*1</f>
        <v>1305.5497259800161</v>
      </c>
      <c r="AA1513" s="6">
        <f>('TE BE'!$AA$13+'TE BF'!$AA$13+'TE CVA'!$AA$13)*1</f>
        <v>375.69180268700768</v>
      </c>
      <c r="AB1513" s="6">
        <f>$K$1513*$V$1513</f>
        <v>0</v>
      </c>
      <c r="AC1513" s="6">
        <f>$M$1513*$W$1513</f>
        <v>742490.83940000006</v>
      </c>
      <c r="AD1513" s="6">
        <f>$O$1513*$X$1513</f>
        <v>272348.61830000003</v>
      </c>
      <c r="AE1513" s="6">
        <f>$K$1513*$Y$1513</f>
        <v>0</v>
      </c>
      <c r="AF1513" s="6">
        <f ca="1">$M$1513*$Z$1513</f>
        <v>825224.92629470839</v>
      </c>
      <c r="AG1513" s="6">
        <f>$O$1513*$AA$1513</f>
        <v>237471.03156043071</v>
      </c>
    </row>
    <row r="1514" spans="1:33" ht="11.25" customHeight="1" x14ac:dyDescent="0.25">
      <c r="A1514" s="4" t="s">
        <v>21</v>
      </c>
      <c r="B1514" s="4" t="s">
        <v>44</v>
      </c>
      <c r="C1514" s="4" t="s">
        <v>34</v>
      </c>
      <c r="D1514" s="4" t="s">
        <v>42</v>
      </c>
      <c r="E1514" s="4" t="s">
        <v>25</v>
      </c>
      <c r="F1514" s="4" t="s">
        <v>25</v>
      </c>
      <c r="G1514" s="4" t="s">
        <v>25</v>
      </c>
      <c r="H1514" s="4" t="s">
        <v>35</v>
      </c>
      <c r="I1514" s="5">
        <v>43770</v>
      </c>
      <c r="J1514" s="6">
        <v>0</v>
      </c>
      <c r="K1514" s="6">
        <v>0</v>
      </c>
      <c r="L1514" s="6">
        <v>613.87199999999996</v>
      </c>
      <c r="M1514" s="6">
        <v>613.87199999999996</v>
      </c>
      <c r="N1514" s="6">
        <v>613.87199999999996</v>
      </c>
      <c r="O1514" s="6">
        <v>613.87199999999996</v>
      </c>
      <c r="P1514" s="6">
        <v>0</v>
      </c>
      <c r="Q1514" s="4" t="s">
        <v>26</v>
      </c>
      <c r="R1514" s="4">
        <v>0</v>
      </c>
      <c r="S1514" s="6">
        <v>0</v>
      </c>
      <c r="T1514" s="6">
        <v>36</v>
      </c>
      <c r="U1514" s="6">
        <v>83</v>
      </c>
      <c r="V1514" s="6">
        <f>IF(ISERROR(VLOOKUP($S$1514,'TAR FIN'!$A$1:$O$120,15,0)),0,VLOOKUP($S$1514,'TAR FIN'!$A$1:$O$120,15,0))</f>
        <v>0</v>
      </c>
      <c r="W1514" s="6">
        <f>IF(ISERROR(VLOOKUP($T$1514,'TAR FIN'!$A$1:$O$120,15,0)),0,VLOOKUP($T$1514,'TAR FIN'!$A$1:$O$120,15,0))</f>
        <v>1174.6600000000001</v>
      </c>
      <c r="X1514" s="6">
        <f>IF(ISERROR(VLOOKUP($U$1514,'TAR FIN'!$A$1:$O$120,15,0)),0,VLOOKUP($U$1514,'TAR FIN'!$A$1:$O$120,15,0))</f>
        <v>430.87</v>
      </c>
      <c r="Y1514" s="6"/>
      <c r="Z1514" s="6">
        <f ca="1">('TUSD BE'!$AM$44+'TUSD BF'!$AM$44+'TUSD CVA'!$AM$44)*1</f>
        <v>1305.5497259800161</v>
      </c>
      <c r="AA1514" s="6">
        <f>('TE BE'!$AA$13+'TE BF'!$AA$13+'TE CVA'!$AA$13)*1</f>
        <v>375.69180268700768</v>
      </c>
      <c r="AB1514" s="6">
        <f>$K$1514*$V$1514</f>
        <v>0</v>
      </c>
      <c r="AC1514" s="6">
        <f>$M$1514*$W$1514</f>
        <v>721090.88352000003</v>
      </c>
      <c r="AD1514" s="6">
        <f>$O$1514*$X$1514</f>
        <v>264499.02863999997</v>
      </c>
      <c r="AE1514" s="6">
        <f>$K$1514*$Y$1514</f>
        <v>0</v>
      </c>
      <c r="AF1514" s="6">
        <f ca="1">$M$1514*$Z$1514</f>
        <v>801440.42138680443</v>
      </c>
      <c r="AG1514" s="6">
        <f>$O$1514*$AA$1514</f>
        <v>230626.67829907878</v>
      </c>
    </row>
    <row r="1515" spans="1:33" ht="11.25" customHeight="1" x14ac:dyDescent="0.25">
      <c r="A1515" s="4" t="s">
        <v>27</v>
      </c>
      <c r="B1515" s="4" t="s">
        <v>44</v>
      </c>
      <c r="C1515" s="4" t="s">
        <v>34</v>
      </c>
      <c r="D1515" s="4" t="s">
        <v>42</v>
      </c>
      <c r="E1515" s="4" t="s">
        <v>25</v>
      </c>
      <c r="F1515" s="4" t="s">
        <v>25</v>
      </c>
      <c r="G1515" s="4" t="s">
        <v>25</v>
      </c>
      <c r="H1515" s="4" t="s">
        <v>35</v>
      </c>
      <c r="I1515" s="5">
        <v>43770</v>
      </c>
      <c r="J1515" s="6">
        <v>0</v>
      </c>
      <c r="K1515" s="6">
        <v>0</v>
      </c>
      <c r="L1515" s="6">
        <v>11.111000000000001</v>
      </c>
      <c r="M1515" s="6">
        <v>11.111000000000001</v>
      </c>
      <c r="N1515" s="6">
        <v>11.111000000000001</v>
      </c>
      <c r="O1515" s="6">
        <v>11.111000000000001</v>
      </c>
      <c r="P1515" s="6">
        <v>0</v>
      </c>
      <c r="Q1515" s="4" t="s">
        <v>26</v>
      </c>
      <c r="R1515" s="4">
        <v>0</v>
      </c>
      <c r="S1515" s="6">
        <v>0</v>
      </c>
      <c r="T1515" s="6">
        <v>36</v>
      </c>
      <c r="U1515" s="6">
        <v>83</v>
      </c>
      <c r="V1515" s="6">
        <f>IF(ISERROR(VLOOKUP($S$1515,'TAR FIN'!$A$1:$O$120,15,0)),0,VLOOKUP($S$1515,'TAR FIN'!$A$1:$O$120,15,0))</f>
        <v>0</v>
      </c>
      <c r="W1515" s="6">
        <f>IF(ISERROR(VLOOKUP($T$1515,'TAR FIN'!$A$1:$O$120,15,0)),0,VLOOKUP($T$1515,'TAR FIN'!$A$1:$O$120,15,0))</f>
        <v>1174.6600000000001</v>
      </c>
      <c r="X1515" s="6">
        <f>IF(ISERROR(VLOOKUP($U$1515,'TAR FIN'!$A$1:$O$120,15,0)),0,VLOOKUP($U$1515,'TAR FIN'!$A$1:$O$120,15,0))</f>
        <v>430.87</v>
      </c>
      <c r="Y1515" s="6"/>
      <c r="Z1515" s="6">
        <f ca="1">('TUSD BE'!$AM$44+'TUSD BF'!$AM$44+'TUSD CVA'!$AM$44)*1</f>
        <v>1305.5497259800161</v>
      </c>
      <c r="AA1515" s="6">
        <f>('TE BE'!$AA$13+'TE BF'!$AA$13+'TE CVA'!$AA$13)*1</f>
        <v>375.69180268700768</v>
      </c>
      <c r="AB1515" s="6">
        <f>$K$1515*$V$1515</f>
        <v>0</v>
      </c>
      <c r="AC1515" s="6">
        <f>$M$1515*$W$1515</f>
        <v>13051.647260000002</v>
      </c>
      <c r="AD1515" s="6">
        <f>$O$1515*$X$1515</f>
        <v>4787.3965699999999</v>
      </c>
      <c r="AE1515" s="6">
        <f>$K$1515*$Y$1515</f>
        <v>0</v>
      </c>
      <c r="AF1515" s="6">
        <f ca="1">$M$1515*$Z$1515</f>
        <v>14505.963005363959</v>
      </c>
      <c r="AG1515" s="6">
        <f>$O$1515*$AA$1515</f>
        <v>4174.3116196553428</v>
      </c>
    </row>
    <row r="1516" spans="1:33" ht="11.25" customHeight="1" x14ac:dyDescent="0.25">
      <c r="A1516" s="4" t="s">
        <v>28</v>
      </c>
      <c r="B1516" s="4" t="s">
        <v>44</v>
      </c>
      <c r="C1516" s="4" t="s">
        <v>34</v>
      </c>
      <c r="D1516" s="4" t="s">
        <v>42</v>
      </c>
      <c r="E1516" s="4" t="s">
        <v>25</v>
      </c>
      <c r="F1516" s="4" t="s">
        <v>25</v>
      </c>
      <c r="G1516" s="4" t="s">
        <v>25</v>
      </c>
      <c r="H1516" s="4" t="s">
        <v>35</v>
      </c>
      <c r="I1516" s="5">
        <v>43770</v>
      </c>
      <c r="J1516" s="6">
        <v>0</v>
      </c>
      <c r="K1516" s="6">
        <v>0</v>
      </c>
      <c r="L1516" s="6">
        <v>19.215</v>
      </c>
      <c r="M1516" s="6">
        <v>19.215</v>
      </c>
      <c r="N1516" s="6">
        <v>19.215</v>
      </c>
      <c r="O1516" s="6">
        <v>19.215</v>
      </c>
      <c r="P1516" s="6">
        <v>0</v>
      </c>
      <c r="Q1516" s="4" t="s">
        <v>26</v>
      </c>
      <c r="R1516" s="4">
        <v>0</v>
      </c>
      <c r="S1516" s="6">
        <v>0</v>
      </c>
      <c r="T1516" s="6">
        <v>36</v>
      </c>
      <c r="U1516" s="6">
        <v>83</v>
      </c>
      <c r="V1516" s="6">
        <f>IF(ISERROR(VLOOKUP($S$1516,'TAR FIN'!$A$1:$O$120,15,0)),0,VLOOKUP($S$1516,'TAR FIN'!$A$1:$O$120,15,0))</f>
        <v>0</v>
      </c>
      <c r="W1516" s="6">
        <f>IF(ISERROR(VLOOKUP($T$1516,'TAR FIN'!$A$1:$O$120,15,0)),0,VLOOKUP($T$1516,'TAR FIN'!$A$1:$O$120,15,0))</f>
        <v>1174.6600000000001</v>
      </c>
      <c r="X1516" s="6">
        <f>IF(ISERROR(VLOOKUP($U$1516,'TAR FIN'!$A$1:$O$120,15,0)),0,VLOOKUP($U$1516,'TAR FIN'!$A$1:$O$120,15,0))</f>
        <v>430.87</v>
      </c>
      <c r="Y1516" s="6"/>
      <c r="Z1516" s="6">
        <f ca="1">('TUSD BE'!$AM$44+'TUSD BF'!$AM$44+'TUSD CVA'!$AM$44)*1</f>
        <v>1305.5497259800161</v>
      </c>
      <c r="AA1516" s="6">
        <f>('TE BE'!$AA$13+'TE BF'!$AA$13+'TE CVA'!$AA$13)*1</f>
        <v>375.69180268700768</v>
      </c>
      <c r="AB1516" s="6">
        <f>$K$1516*$V$1516</f>
        <v>0</v>
      </c>
      <c r="AC1516" s="6">
        <f>$M$1516*$W$1516</f>
        <v>22571.091900000003</v>
      </c>
      <c r="AD1516" s="6">
        <f>$O$1516*$X$1516</f>
        <v>8279.16705</v>
      </c>
      <c r="AE1516" s="6">
        <f>$K$1516*$Y$1516</f>
        <v>0</v>
      </c>
      <c r="AF1516" s="6">
        <f ca="1">$M$1516*$Z$1516</f>
        <v>25086.137984706009</v>
      </c>
      <c r="AG1516" s="6">
        <f>$O$1516*$AA$1516</f>
        <v>7218.917988630853</v>
      </c>
    </row>
    <row r="1517" spans="1:33" ht="11.25" customHeight="1" x14ac:dyDescent="0.25">
      <c r="A1517" s="4" t="s">
        <v>21</v>
      </c>
      <c r="B1517" s="4" t="s">
        <v>44</v>
      </c>
      <c r="C1517" s="4" t="s">
        <v>34</v>
      </c>
      <c r="D1517" s="4" t="s">
        <v>42</v>
      </c>
      <c r="E1517" s="4" t="s">
        <v>25</v>
      </c>
      <c r="F1517" s="4" t="s">
        <v>25</v>
      </c>
      <c r="G1517" s="4" t="s">
        <v>25</v>
      </c>
      <c r="H1517" s="4" t="s">
        <v>35</v>
      </c>
      <c r="I1517" s="5">
        <v>43800</v>
      </c>
      <c r="J1517" s="6">
        <v>0</v>
      </c>
      <c r="K1517" s="6">
        <v>0</v>
      </c>
      <c r="L1517" s="6">
        <v>592.95500000000004</v>
      </c>
      <c r="M1517" s="6">
        <v>592.95500000000004</v>
      </c>
      <c r="N1517" s="6">
        <v>592.95500000000004</v>
      </c>
      <c r="O1517" s="6">
        <v>592.95500000000004</v>
      </c>
      <c r="P1517" s="6">
        <v>0</v>
      </c>
      <c r="Q1517" s="4" t="s">
        <v>26</v>
      </c>
      <c r="R1517" s="4">
        <v>0</v>
      </c>
      <c r="S1517" s="6">
        <v>0</v>
      </c>
      <c r="T1517" s="6">
        <v>36</v>
      </c>
      <c r="U1517" s="6">
        <v>83</v>
      </c>
      <c r="V1517" s="6">
        <f>IF(ISERROR(VLOOKUP($S$1517,'TAR FIN'!$A$1:$O$120,15,0)),0,VLOOKUP($S$1517,'TAR FIN'!$A$1:$O$120,15,0))</f>
        <v>0</v>
      </c>
      <c r="W1517" s="6">
        <f>IF(ISERROR(VLOOKUP($T$1517,'TAR FIN'!$A$1:$O$120,15,0)),0,VLOOKUP($T$1517,'TAR FIN'!$A$1:$O$120,15,0))</f>
        <v>1174.6600000000001</v>
      </c>
      <c r="X1517" s="6">
        <f>IF(ISERROR(VLOOKUP($U$1517,'TAR FIN'!$A$1:$O$120,15,0)),0,VLOOKUP($U$1517,'TAR FIN'!$A$1:$O$120,15,0))</f>
        <v>430.87</v>
      </c>
      <c r="Y1517" s="6"/>
      <c r="Z1517" s="6">
        <f ca="1">('TUSD BE'!$AM$44+'TUSD BF'!$AM$44+'TUSD CVA'!$AM$44)*1</f>
        <v>1305.5497259800161</v>
      </c>
      <c r="AA1517" s="6">
        <f>('TE BE'!$AA$13+'TE BF'!$AA$13+'TE CVA'!$AA$13)*1</f>
        <v>375.69180268700768</v>
      </c>
      <c r="AB1517" s="6">
        <f>$K$1517*$V$1517</f>
        <v>0</v>
      </c>
      <c r="AC1517" s="6">
        <f>$M$1517*$W$1517</f>
        <v>696520.52030000009</v>
      </c>
      <c r="AD1517" s="6">
        <f>$O$1517*$X$1517</f>
        <v>255486.52085000003</v>
      </c>
      <c r="AE1517" s="6">
        <f>$K$1517*$Y$1517</f>
        <v>0</v>
      </c>
      <c r="AF1517" s="6">
        <f ca="1">$M$1517*$Z$1517</f>
        <v>774132.23776848044</v>
      </c>
      <c r="AG1517" s="6">
        <f>$O$1517*$AA$1517</f>
        <v>222768.33286227466</v>
      </c>
    </row>
    <row r="1518" spans="1:33" ht="11.25" customHeight="1" x14ac:dyDescent="0.25">
      <c r="A1518" s="4" t="s">
        <v>28</v>
      </c>
      <c r="B1518" s="4" t="s">
        <v>44</v>
      </c>
      <c r="C1518" s="4" t="s">
        <v>34</v>
      </c>
      <c r="D1518" s="4" t="s">
        <v>42</v>
      </c>
      <c r="E1518" s="4" t="s">
        <v>25</v>
      </c>
      <c r="F1518" s="4" t="s">
        <v>25</v>
      </c>
      <c r="G1518" s="4" t="s">
        <v>25</v>
      </c>
      <c r="H1518" s="4" t="s">
        <v>35</v>
      </c>
      <c r="I1518" s="5">
        <v>43800</v>
      </c>
      <c r="J1518" s="6">
        <v>0</v>
      </c>
      <c r="K1518" s="6">
        <v>0</v>
      </c>
      <c r="L1518" s="6">
        <v>89.9</v>
      </c>
      <c r="M1518" s="6">
        <v>89.9</v>
      </c>
      <c r="N1518" s="6">
        <v>89.9</v>
      </c>
      <c r="O1518" s="6">
        <v>89.9</v>
      </c>
      <c r="P1518" s="6">
        <v>0</v>
      </c>
      <c r="Q1518" s="4" t="s">
        <v>26</v>
      </c>
      <c r="R1518" s="4">
        <v>0</v>
      </c>
      <c r="S1518" s="6">
        <v>0</v>
      </c>
      <c r="T1518" s="6">
        <v>36</v>
      </c>
      <c r="U1518" s="6">
        <v>83</v>
      </c>
      <c r="V1518" s="6">
        <f>IF(ISERROR(VLOOKUP($S$1518,'TAR FIN'!$A$1:$O$120,15,0)),0,VLOOKUP($S$1518,'TAR FIN'!$A$1:$O$120,15,0))</f>
        <v>0</v>
      </c>
      <c r="W1518" s="6">
        <f>IF(ISERROR(VLOOKUP($T$1518,'TAR FIN'!$A$1:$O$120,15,0)),0,VLOOKUP($T$1518,'TAR FIN'!$A$1:$O$120,15,0))</f>
        <v>1174.6600000000001</v>
      </c>
      <c r="X1518" s="6">
        <f>IF(ISERROR(VLOOKUP($U$1518,'TAR FIN'!$A$1:$O$120,15,0)),0,VLOOKUP($U$1518,'TAR FIN'!$A$1:$O$120,15,0))</f>
        <v>430.87</v>
      </c>
      <c r="Y1518" s="6"/>
      <c r="Z1518" s="6">
        <f ca="1">('TUSD BE'!$AM$44+'TUSD BF'!$AM$44+'TUSD CVA'!$AM$44)*1</f>
        <v>1305.5497259800161</v>
      </c>
      <c r="AA1518" s="6">
        <f>('TE BE'!$AA$13+'TE BF'!$AA$13+'TE CVA'!$AA$13)*1</f>
        <v>375.69180268700768</v>
      </c>
      <c r="AB1518" s="6">
        <f>$K$1518*$V$1518</f>
        <v>0</v>
      </c>
      <c r="AC1518" s="6">
        <f>$M$1518*$W$1518</f>
        <v>105601.93400000001</v>
      </c>
      <c r="AD1518" s="6">
        <f>$O$1518*$X$1518</f>
        <v>38735.213000000003</v>
      </c>
      <c r="AE1518" s="6">
        <f>$K$1518*$Y$1518</f>
        <v>0</v>
      </c>
      <c r="AF1518" s="6">
        <f ca="1">$M$1518*$Z$1518</f>
        <v>117368.92036560345</v>
      </c>
      <c r="AG1518" s="6">
        <f>$O$1518*$AA$1518</f>
        <v>33774.693061561993</v>
      </c>
    </row>
    <row r="1519" spans="1:33" ht="11.25" customHeight="1" x14ac:dyDescent="0.25">
      <c r="A1519" s="4" t="s">
        <v>21</v>
      </c>
      <c r="B1519" s="4" t="s">
        <v>44</v>
      </c>
      <c r="C1519" s="4" t="s">
        <v>34</v>
      </c>
      <c r="D1519" s="4" t="s">
        <v>42</v>
      </c>
      <c r="E1519" s="4" t="s">
        <v>25</v>
      </c>
      <c r="F1519" s="4" t="s">
        <v>25</v>
      </c>
      <c r="G1519" s="4" t="s">
        <v>25</v>
      </c>
      <c r="H1519" s="4" t="s">
        <v>35</v>
      </c>
      <c r="I1519" s="5">
        <v>43831</v>
      </c>
      <c r="J1519" s="6">
        <v>0</v>
      </c>
      <c r="K1519" s="6">
        <v>0</v>
      </c>
      <c r="L1519" s="6">
        <v>523.58199999999999</v>
      </c>
      <c r="M1519" s="6">
        <v>523.58199999999999</v>
      </c>
      <c r="N1519" s="6">
        <v>523.58199999999999</v>
      </c>
      <c r="O1519" s="6">
        <v>523.58199999999999</v>
      </c>
      <c r="P1519" s="6">
        <v>0</v>
      </c>
      <c r="Q1519" s="4" t="s">
        <v>26</v>
      </c>
      <c r="R1519" s="4">
        <v>0</v>
      </c>
      <c r="S1519" s="6">
        <v>0</v>
      </c>
      <c r="T1519" s="6">
        <v>36</v>
      </c>
      <c r="U1519" s="6">
        <v>83</v>
      </c>
      <c r="V1519" s="6">
        <f>IF(ISERROR(VLOOKUP($S$1519,'TAR FIN'!$A$1:$O$120,15,0)),0,VLOOKUP($S$1519,'TAR FIN'!$A$1:$O$120,15,0))</f>
        <v>0</v>
      </c>
      <c r="W1519" s="6">
        <f>IF(ISERROR(VLOOKUP($T$1519,'TAR FIN'!$A$1:$O$120,15,0)),0,VLOOKUP($T$1519,'TAR FIN'!$A$1:$O$120,15,0))</f>
        <v>1174.6600000000001</v>
      </c>
      <c r="X1519" s="6">
        <f>IF(ISERROR(VLOOKUP($U$1519,'TAR FIN'!$A$1:$O$120,15,0)),0,VLOOKUP($U$1519,'TAR FIN'!$A$1:$O$120,15,0))</f>
        <v>430.87</v>
      </c>
      <c r="Y1519" s="6"/>
      <c r="Z1519" s="6">
        <f ca="1">('TUSD BE'!$AM$44+'TUSD BF'!$AM$44+'TUSD CVA'!$AM$44)*1</f>
        <v>1305.5497259800161</v>
      </c>
      <c r="AA1519" s="6">
        <f>('TE BE'!$AA$13+'TE BF'!$AA$13+'TE CVA'!$AA$13)*1</f>
        <v>375.69180268700768</v>
      </c>
      <c r="AB1519" s="6">
        <f>$K$1519*$V$1519</f>
        <v>0</v>
      </c>
      <c r="AC1519" s="6">
        <f>$M$1519*$W$1519</f>
        <v>615030.83212000004</v>
      </c>
      <c r="AD1519" s="6">
        <f>$O$1519*$X$1519</f>
        <v>225595.77634000001</v>
      </c>
      <c r="AE1519" s="6">
        <f>$K$1519*$Y$1519</f>
        <v>0</v>
      </c>
      <c r="AF1519" s="6">
        <f ca="1">$M$1519*$Z$1519</f>
        <v>683562.33662806882</v>
      </c>
      <c r="AG1519" s="6">
        <f>$O$1519*$AA$1519</f>
        <v>196705.46543446885</v>
      </c>
    </row>
    <row r="1520" spans="1:33" ht="11.25" customHeight="1" x14ac:dyDescent="0.25">
      <c r="A1520" s="4" t="s">
        <v>27</v>
      </c>
      <c r="B1520" s="4" t="s">
        <v>44</v>
      </c>
      <c r="C1520" s="4" t="s">
        <v>34</v>
      </c>
      <c r="D1520" s="4" t="s">
        <v>42</v>
      </c>
      <c r="E1520" s="4" t="s">
        <v>25</v>
      </c>
      <c r="F1520" s="4" t="s">
        <v>25</v>
      </c>
      <c r="G1520" s="4" t="s">
        <v>25</v>
      </c>
      <c r="H1520" s="4" t="s">
        <v>35</v>
      </c>
      <c r="I1520" s="5">
        <v>43831</v>
      </c>
      <c r="J1520" s="6">
        <v>0</v>
      </c>
      <c r="K1520" s="6">
        <v>0</v>
      </c>
      <c r="L1520" s="6">
        <v>2.5390000000000001</v>
      </c>
      <c r="M1520" s="6">
        <v>2.5390000000000001</v>
      </c>
      <c r="N1520" s="6">
        <v>2.5390000000000001</v>
      </c>
      <c r="O1520" s="6">
        <v>2.5390000000000001</v>
      </c>
      <c r="P1520" s="6">
        <v>0</v>
      </c>
      <c r="Q1520" s="4" t="s">
        <v>26</v>
      </c>
      <c r="R1520" s="4">
        <v>0</v>
      </c>
      <c r="S1520" s="6">
        <v>0</v>
      </c>
      <c r="T1520" s="6">
        <v>36</v>
      </c>
      <c r="U1520" s="6">
        <v>83</v>
      </c>
      <c r="V1520" s="6">
        <f>IF(ISERROR(VLOOKUP($S$1520,'TAR FIN'!$A$1:$O$120,15,0)),0,VLOOKUP($S$1520,'TAR FIN'!$A$1:$O$120,15,0))</f>
        <v>0</v>
      </c>
      <c r="W1520" s="6">
        <f>IF(ISERROR(VLOOKUP($T$1520,'TAR FIN'!$A$1:$O$120,15,0)),0,VLOOKUP($T$1520,'TAR FIN'!$A$1:$O$120,15,0))</f>
        <v>1174.6600000000001</v>
      </c>
      <c r="X1520" s="6">
        <f>IF(ISERROR(VLOOKUP($U$1520,'TAR FIN'!$A$1:$O$120,15,0)),0,VLOOKUP($U$1520,'TAR FIN'!$A$1:$O$120,15,0))</f>
        <v>430.87</v>
      </c>
      <c r="Y1520" s="6"/>
      <c r="Z1520" s="6">
        <f ca="1">('TUSD BE'!$AM$44+'TUSD BF'!$AM$44+'TUSD CVA'!$AM$44)*1</f>
        <v>1305.5497259800161</v>
      </c>
      <c r="AA1520" s="6">
        <f>('TE BE'!$AA$13+'TE BF'!$AA$13+'TE CVA'!$AA$13)*1</f>
        <v>375.69180268700768</v>
      </c>
      <c r="AB1520" s="6">
        <f>$K$1520*$V$1520</f>
        <v>0</v>
      </c>
      <c r="AC1520" s="6">
        <f>$M$1520*$W$1520</f>
        <v>2982.4617400000002</v>
      </c>
      <c r="AD1520" s="6">
        <f>$O$1520*$X$1520</f>
        <v>1093.97893</v>
      </c>
      <c r="AE1520" s="6">
        <f>$K$1520*$Y$1520</f>
        <v>0</v>
      </c>
      <c r="AF1520" s="6">
        <f ca="1">$M$1520*$Z$1520</f>
        <v>3314.7907542632611</v>
      </c>
      <c r="AG1520" s="6">
        <f>$O$1520*$AA$1520</f>
        <v>953.88148702231251</v>
      </c>
    </row>
    <row r="1521" spans="1:33" ht="11.25" customHeight="1" x14ac:dyDescent="0.25">
      <c r="A1521" s="4" t="s">
        <v>28</v>
      </c>
      <c r="B1521" s="4" t="s">
        <v>44</v>
      </c>
      <c r="C1521" s="4" t="s">
        <v>34</v>
      </c>
      <c r="D1521" s="4" t="s">
        <v>42</v>
      </c>
      <c r="E1521" s="4" t="s">
        <v>25</v>
      </c>
      <c r="F1521" s="4" t="s">
        <v>25</v>
      </c>
      <c r="G1521" s="4" t="s">
        <v>25</v>
      </c>
      <c r="H1521" s="4" t="s">
        <v>35</v>
      </c>
      <c r="I1521" s="5">
        <v>43831</v>
      </c>
      <c r="J1521" s="6">
        <v>0</v>
      </c>
      <c r="K1521" s="6">
        <v>0</v>
      </c>
      <c r="L1521" s="6">
        <v>62.731999999999999</v>
      </c>
      <c r="M1521" s="6">
        <v>62.731999999999999</v>
      </c>
      <c r="N1521" s="6">
        <v>62.731999999999999</v>
      </c>
      <c r="O1521" s="6">
        <v>62.731999999999999</v>
      </c>
      <c r="P1521" s="6">
        <v>0</v>
      </c>
      <c r="Q1521" s="4" t="s">
        <v>26</v>
      </c>
      <c r="R1521" s="4">
        <v>0</v>
      </c>
      <c r="S1521" s="6">
        <v>0</v>
      </c>
      <c r="T1521" s="6">
        <v>36</v>
      </c>
      <c r="U1521" s="6">
        <v>83</v>
      </c>
      <c r="V1521" s="6">
        <f>IF(ISERROR(VLOOKUP($S$1521,'TAR FIN'!$A$1:$O$120,15,0)),0,VLOOKUP($S$1521,'TAR FIN'!$A$1:$O$120,15,0))</f>
        <v>0</v>
      </c>
      <c r="W1521" s="6">
        <f>IF(ISERROR(VLOOKUP($T$1521,'TAR FIN'!$A$1:$O$120,15,0)),0,VLOOKUP($T$1521,'TAR FIN'!$A$1:$O$120,15,0))</f>
        <v>1174.6600000000001</v>
      </c>
      <c r="X1521" s="6">
        <f>IF(ISERROR(VLOOKUP($U$1521,'TAR FIN'!$A$1:$O$120,15,0)),0,VLOOKUP($U$1521,'TAR FIN'!$A$1:$O$120,15,0))</f>
        <v>430.87</v>
      </c>
      <c r="Y1521" s="6"/>
      <c r="Z1521" s="6">
        <f ca="1">('TUSD BE'!$AM$44+'TUSD BF'!$AM$44+'TUSD CVA'!$AM$44)*1</f>
        <v>1305.5497259800161</v>
      </c>
      <c r="AA1521" s="6">
        <f>('TE BE'!$AA$13+'TE BF'!$AA$13+'TE CVA'!$AA$13)*1</f>
        <v>375.69180268700768</v>
      </c>
      <c r="AB1521" s="6">
        <f>$K$1521*$V$1521</f>
        <v>0</v>
      </c>
      <c r="AC1521" s="6">
        <f>$M$1521*$W$1521</f>
        <v>73688.771120000005</v>
      </c>
      <c r="AD1521" s="6">
        <f>$O$1521*$X$1521</f>
        <v>27029.33684</v>
      </c>
      <c r="AE1521" s="6">
        <f>$K$1521*$Y$1521</f>
        <v>0</v>
      </c>
      <c r="AF1521" s="6">
        <f ca="1">$M$1521*$Z$1521</f>
        <v>81899.745410178366</v>
      </c>
      <c r="AG1521" s="6">
        <f>$O$1521*$AA$1521</f>
        <v>23567.898166161365</v>
      </c>
    </row>
    <row r="1522" spans="1:33" ht="11.25" customHeight="1" x14ac:dyDescent="0.25">
      <c r="A1522" s="4" t="s">
        <v>21</v>
      </c>
      <c r="B1522" s="4" t="s">
        <v>44</v>
      </c>
      <c r="C1522" s="4" t="s">
        <v>34</v>
      </c>
      <c r="D1522" s="4" t="s">
        <v>42</v>
      </c>
      <c r="E1522" s="4" t="s">
        <v>25</v>
      </c>
      <c r="F1522" s="4" t="s">
        <v>25</v>
      </c>
      <c r="G1522" s="4" t="s">
        <v>25</v>
      </c>
      <c r="H1522" s="4" t="s">
        <v>35</v>
      </c>
      <c r="I1522" s="5">
        <v>43862</v>
      </c>
      <c r="J1522" s="6">
        <v>0</v>
      </c>
      <c r="K1522" s="6">
        <v>0</v>
      </c>
      <c r="L1522" s="6">
        <v>608.28800000000001</v>
      </c>
      <c r="M1522" s="6">
        <v>608.28800000000001</v>
      </c>
      <c r="N1522" s="6">
        <v>608.28800000000001</v>
      </c>
      <c r="O1522" s="6">
        <v>608.28800000000001</v>
      </c>
      <c r="P1522" s="6">
        <v>0</v>
      </c>
      <c r="Q1522" s="4" t="s">
        <v>26</v>
      </c>
      <c r="R1522" s="4">
        <v>0</v>
      </c>
      <c r="S1522" s="6">
        <v>0</v>
      </c>
      <c r="T1522" s="6">
        <v>36</v>
      </c>
      <c r="U1522" s="6">
        <v>83</v>
      </c>
      <c r="V1522" s="6">
        <f>IF(ISERROR(VLOOKUP($S$1522,'TAR FIN'!$A$1:$O$120,15,0)),0,VLOOKUP($S$1522,'TAR FIN'!$A$1:$O$120,15,0))</f>
        <v>0</v>
      </c>
      <c r="W1522" s="6">
        <f>IF(ISERROR(VLOOKUP($T$1522,'TAR FIN'!$A$1:$O$120,15,0)),0,VLOOKUP($T$1522,'TAR FIN'!$A$1:$O$120,15,0))</f>
        <v>1174.6600000000001</v>
      </c>
      <c r="X1522" s="6">
        <f>IF(ISERROR(VLOOKUP($U$1522,'TAR FIN'!$A$1:$O$120,15,0)),0,VLOOKUP($U$1522,'TAR FIN'!$A$1:$O$120,15,0))</f>
        <v>430.87</v>
      </c>
      <c r="Y1522" s="6"/>
      <c r="Z1522" s="6">
        <f ca="1">('TUSD BE'!$AM$44+'TUSD BF'!$AM$44+'TUSD CVA'!$AM$44)*1</f>
        <v>1305.5497259800161</v>
      </c>
      <c r="AA1522" s="6">
        <f>('TE BE'!$AA$13+'TE BF'!$AA$13+'TE CVA'!$AA$13)*1</f>
        <v>375.69180268700768</v>
      </c>
      <c r="AB1522" s="6">
        <f>$K$1522*$V$1522</f>
        <v>0</v>
      </c>
      <c r="AC1522" s="6">
        <f>$M$1522*$W$1522</f>
        <v>714531.58208000008</v>
      </c>
      <c r="AD1522" s="6">
        <f>$O$1522*$X$1522</f>
        <v>262093.05056</v>
      </c>
      <c r="AE1522" s="6">
        <f>$K$1522*$Y$1522</f>
        <v>0</v>
      </c>
      <c r="AF1522" s="6">
        <f ca="1">$M$1522*$Z$1522</f>
        <v>794150.23171693203</v>
      </c>
      <c r="AG1522" s="6">
        <f>$O$1522*$AA$1522</f>
        <v>228528.81527287452</v>
      </c>
    </row>
    <row r="1523" spans="1:33" ht="11.25" customHeight="1" x14ac:dyDescent="0.25">
      <c r="A1523" s="4" t="s">
        <v>28</v>
      </c>
      <c r="B1523" s="4" t="s">
        <v>44</v>
      </c>
      <c r="C1523" s="4" t="s">
        <v>34</v>
      </c>
      <c r="D1523" s="4" t="s">
        <v>42</v>
      </c>
      <c r="E1523" s="4" t="s">
        <v>25</v>
      </c>
      <c r="F1523" s="4" t="s">
        <v>25</v>
      </c>
      <c r="G1523" s="4" t="s">
        <v>25</v>
      </c>
      <c r="H1523" s="4" t="s">
        <v>35</v>
      </c>
      <c r="I1523" s="5">
        <v>43862</v>
      </c>
      <c r="J1523" s="6">
        <v>0</v>
      </c>
      <c r="K1523" s="6">
        <v>0</v>
      </c>
      <c r="L1523" s="6">
        <v>79.23</v>
      </c>
      <c r="M1523" s="6">
        <v>79.23</v>
      </c>
      <c r="N1523" s="6">
        <v>79.23</v>
      </c>
      <c r="O1523" s="6">
        <v>79.23</v>
      </c>
      <c r="P1523" s="6">
        <v>0</v>
      </c>
      <c r="Q1523" s="4" t="s">
        <v>26</v>
      </c>
      <c r="R1523" s="4">
        <v>0</v>
      </c>
      <c r="S1523" s="6">
        <v>0</v>
      </c>
      <c r="T1523" s="6">
        <v>36</v>
      </c>
      <c r="U1523" s="6">
        <v>83</v>
      </c>
      <c r="V1523" s="6">
        <f>IF(ISERROR(VLOOKUP($S$1523,'TAR FIN'!$A$1:$O$120,15,0)),0,VLOOKUP($S$1523,'TAR FIN'!$A$1:$O$120,15,0))</f>
        <v>0</v>
      </c>
      <c r="W1523" s="6">
        <f>IF(ISERROR(VLOOKUP($T$1523,'TAR FIN'!$A$1:$O$120,15,0)),0,VLOOKUP($T$1523,'TAR FIN'!$A$1:$O$120,15,0))</f>
        <v>1174.6600000000001</v>
      </c>
      <c r="X1523" s="6">
        <f>IF(ISERROR(VLOOKUP($U$1523,'TAR FIN'!$A$1:$O$120,15,0)),0,VLOOKUP($U$1523,'TAR FIN'!$A$1:$O$120,15,0))</f>
        <v>430.87</v>
      </c>
      <c r="Y1523" s="6"/>
      <c r="Z1523" s="6">
        <f ca="1">('TUSD BE'!$AM$44+'TUSD BF'!$AM$44+'TUSD CVA'!$AM$44)*1</f>
        <v>1305.5497259800161</v>
      </c>
      <c r="AA1523" s="6">
        <f>('TE BE'!$AA$13+'TE BF'!$AA$13+'TE CVA'!$AA$13)*1</f>
        <v>375.69180268700768</v>
      </c>
      <c r="AB1523" s="6">
        <f>$K$1523*$V$1523</f>
        <v>0</v>
      </c>
      <c r="AC1523" s="6">
        <f>$M$1523*$W$1523</f>
        <v>93068.31180000001</v>
      </c>
      <c r="AD1523" s="6">
        <f>$O$1523*$X$1523</f>
        <v>34137.830099999999</v>
      </c>
      <c r="AE1523" s="6">
        <f>$K$1523*$Y$1523</f>
        <v>0</v>
      </c>
      <c r="AF1523" s="6">
        <f ca="1">$M$1523*$Z$1523</f>
        <v>103438.70478939668</v>
      </c>
      <c r="AG1523" s="6">
        <f>$O$1523*$AA$1523</f>
        <v>29766.061526891619</v>
      </c>
    </row>
    <row r="1524" spans="1:33" ht="11.25" customHeight="1" x14ac:dyDescent="0.25">
      <c r="A1524" s="4" t="s">
        <v>21</v>
      </c>
      <c r="B1524" s="4" t="s">
        <v>44</v>
      </c>
      <c r="C1524" s="4" t="s">
        <v>34</v>
      </c>
      <c r="D1524" s="4" t="s">
        <v>42</v>
      </c>
      <c r="E1524" s="4" t="s">
        <v>25</v>
      </c>
      <c r="F1524" s="4" t="s">
        <v>25</v>
      </c>
      <c r="G1524" s="4" t="s">
        <v>25</v>
      </c>
      <c r="H1524" s="4" t="s">
        <v>35</v>
      </c>
      <c r="I1524" s="5">
        <v>43891</v>
      </c>
      <c r="J1524" s="6">
        <v>0</v>
      </c>
      <c r="K1524" s="6">
        <v>0</v>
      </c>
      <c r="L1524" s="6">
        <v>539.90099999999995</v>
      </c>
      <c r="M1524" s="6">
        <v>539.90099999999995</v>
      </c>
      <c r="N1524" s="6">
        <v>539.90099999999995</v>
      </c>
      <c r="O1524" s="6">
        <v>539.90099999999995</v>
      </c>
      <c r="P1524" s="6">
        <v>0</v>
      </c>
      <c r="Q1524" s="4" t="s">
        <v>26</v>
      </c>
      <c r="R1524" s="4">
        <v>0</v>
      </c>
      <c r="S1524" s="6">
        <v>0</v>
      </c>
      <c r="T1524" s="6">
        <v>36</v>
      </c>
      <c r="U1524" s="6">
        <v>83</v>
      </c>
      <c r="V1524" s="6">
        <f>IF(ISERROR(VLOOKUP($S$1524,'TAR FIN'!$A$1:$O$120,15,0)),0,VLOOKUP($S$1524,'TAR FIN'!$A$1:$O$120,15,0))</f>
        <v>0</v>
      </c>
      <c r="W1524" s="6">
        <f>IF(ISERROR(VLOOKUP($T$1524,'TAR FIN'!$A$1:$O$120,15,0)),0,VLOOKUP($T$1524,'TAR FIN'!$A$1:$O$120,15,0))</f>
        <v>1174.6600000000001</v>
      </c>
      <c r="X1524" s="6">
        <f>IF(ISERROR(VLOOKUP($U$1524,'TAR FIN'!$A$1:$O$120,15,0)),0,VLOOKUP($U$1524,'TAR FIN'!$A$1:$O$120,15,0))</f>
        <v>430.87</v>
      </c>
      <c r="Y1524" s="6"/>
      <c r="Z1524" s="6">
        <f ca="1">('TUSD BE'!$AM$44+'TUSD BF'!$AM$44+'TUSD CVA'!$AM$44)*1</f>
        <v>1305.5497259800161</v>
      </c>
      <c r="AA1524" s="6">
        <f>('TE BE'!$AA$13+'TE BF'!$AA$13+'TE CVA'!$AA$13)*1</f>
        <v>375.69180268700768</v>
      </c>
      <c r="AB1524" s="6">
        <f>$K$1524*$V$1524</f>
        <v>0</v>
      </c>
      <c r="AC1524" s="6">
        <f>$M$1524*$W$1524</f>
        <v>634200.10866000003</v>
      </c>
      <c r="AD1524" s="6">
        <f>$O$1524*$X$1524</f>
        <v>232627.14386999997</v>
      </c>
      <c r="AE1524" s="6">
        <f>$K$1524*$Y$1524</f>
        <v>0</v>
      </c>
      <c r="AF1524" s="6">
        <f ca="1">$M$1524*$Z$1524</f>
        <v>704867.60260633659</v>
      </c>
      <c r="AG1524" s="6">
        <f>$O$1524*$AA$1524</f>
        <v>202836.37996251811</v>
      </c>
    </row>
    <row r="1525" spans="1:33" ht="11.25" customHeight="1" x14ac:dyDescent="0.25">
      <c r="A1525" s="4" t="s">
        <v>28</v>
      </c>
      <c r="B1525" s="4" t="s">
        <v>44</v>
      </c>
      <c r="C1525" s="4" t="s">
        <v>34</v>
      </c>
      <c r="D1525" s="4" t="s">
        <v>42</v>
      </c>
      <c r="E1525" s="4" t="s">
        <v>25</v>
      </c>
      <c r="F1525" s="4" t="s">
        <v>25</v>
      </c>
      <c r="G1525" s="4" t="s">
        <v>25</v>
      </c>
      <c r="H1525" s="4" t="s">
        <v>35</v>
      </c>
      <c r="I1525" s="5">
        <v>43891</v>
      </c>
      <c r="J1525" s="6">
        <v>0</v>
      </c>
      <c r="K1525" s="6">
        <v>0</v>
      </c>
      <c r="L1525" s="6">
        <v>63.475999999999999</v>
      </c>
      <c r="M1525" s="6">
        <v>63.475999999999999</v>
      </c>
      <c r="N1525" s="6">
        <v>63.475999999999999</v>
      </c>
      <c r="O1525" s="6">
        <v>63.475999999999999</v>
      </c>
      <c r="P1525" s="6">
        <v>0</v>
      </c>
      <c r="Q1525" s="4" t="s">
        <v>26</v>
      </c>
      <c r="R1525" s="4">
        <v>0</v>
      </c>
      <c r="S1525" s="6">
        <v>0</v>
      </c>
      <c r="T1525" s="6">
        <v>36</v>
      </c>
      <c r="U1525" s="6">
        <v>83</v>
      </c>
      <c r="V1525" s="6">
        <f>IF(ISERROR(VLOOKUP($S$1525,'TAR FIN'!$A$1:$O$120,15,0)),0,VLOOKUP($S$1525,'TAR FIN'!$A$1:$O$120,15,0))</f>
        <v>0</v>
      </c>
      <c r="W1525" s="6">
        <f>IF(ISERROR(VLOOKUP($T$1525,'TAR FIN'!$A$1:$O$120,15,0)),0,VLOOKUP($T$1525,'TAR FIN'!$A$1:$O$120,15,0))</f>
        <v>1174.6600000000001</v>
      </c>
      <c r="X1525" s="6">
        <f>IF(ISERROR(VLOOKUP($U$1525,'TAR FIN'!$A$1:$O$120,15,0)),0,VLOOKUP($U$1525,'TAR FIN'!$A$1:$O$120,15,0))</f>
        <v>430.87</v>
      </c>
      <c r="Y1525" s="6"/>
      <c r="Z1525" s="6">
        <f ca="1">('TUSD BE'!$AM$44+'TUSD BF'!$AM$44+'TUSD CVA'!$AM$44)*1</f>
        <v>1305.5497259800161</v>
      </c>
      <c r="AA1525" s="6">
        <f>('TE BE'!$AA$13+'TE BF'!$AA$13+'TE CVA'!$AA$13)*1</f>
        <v>375.69180268700768</v>
      </c>
      <c r="AB1525" s="6">
        <f>$K$1525*$V$1525</f>
        <v>0</v>
      </c>
      <c r="AC1525" s="6">
        <f>$M$1525*$W$1525</f>
        <v>74562.718160000004</v>
      </c>
      <c r="AD1525" s="6">
        <f>$O$1525*$X$1525</f>
        <v>27349.904119999999</v>
      </c>
      <c r="AE1525" s="6">
        <f>$K$1525*$Y$1525</f>
        <v>0</v>
      </c>
      <c r="AF1525" s="6">
        <f ca="1">$M$1525*$Z$1525</f>
        <v>82871.074406307496</v>
      </c>
      <c r="AG1525" s="6">
        <f>$O$1525*$AA$1525</f>
        <v>23847.412867360501</v>
      </c>
    </row>
    <row r="1526" spans="1:33" ht="11.25" customHeight="1" x14ac:dyDescent="0.25">
      <c r="A1526" s="4" t="s">
        <v>21</v>
      </c>
      <c r="B1526" s="4" t="s">
        <v>44</v>
      </c>
      <c r="C1526" s="4" t="s">
        <v>34</v>
      </c>
      <c r="D1526" s="4" t="s">
        <v>42</v>
      </c>
      <c r="E1526" s="4" t="s">
        <v>25</v>
      </c>
      <c r="F1526" s="4" t="s">
        <v>25</v>
      </c>
      <c r="G1526" s="4" t="s">
        <v>25</v>
      </c>
      <c r="H1526" s="4" t="s">
        <v>35</v>
      </c>
      <c r="I1526" s="5">
        <v>43922</v>
      </c>
      <c r="J1526" s="6">
        <v>0</v>
      </c>
      <c r="K1526" s="6">
        <v>0</v>
      </c>
      <c r="L1526" s="6">
        <v>553.68499999999995</v>
      </c>
      <c r="M1526" s="6">
        <v>553.68499999999995</v>
      </c>
      <c r="N1526" s="6">
        <v>553.68499999999995</v>
      </c>
      <c r="O1526" s="6">
        <v>553.68499999999995</v>
      </c>
      <c r="P1526" s="6">
        <v>0</v>
      </c>
      <c r="Q1526" s="4" t="s">
        <v>26</v>
      </c>
      <c r="R1526" s="4">
        <v>0</v>
      </c>
      <c r="S1526" s="6">
        <v>0</v>
      </c>
      <c r="T1526" s="6">
        <v>36</v>
      </c>
      <c r="U1526" s="6">
        <v>83</v>
      </c>
      <c r="V1526" s="6">
        <f>IF(ISERROR(VLOOKUP($S$1526,'TAR FIN'!$A$1:$O$120,15,0)),0,VLOOKUP($S$1526,'TAR FIN'!$A$1:$O$120,15,0))</f>
        <v>0</v>
      </c>
      <c r="W1526" s="6">
        <f>IF(ISERROR(VLOOKUP($T$1526,'TAR FIN'!$A$1:$O$120,15,0)),0,VLOOKUP($T$1526,'TAR FIN'!$A$1:$O$120,15,0))</f>
        <v>1174.6600000000001</v>
      </c>
      <c r="X1526" s="6">
        <f>IF(ISERROR(VLOOKUP($U$1526,'TAR FIN'!$A$1:$O$120,15,0)),0,VLOOKUP($U$1526,'TAR FIN'!$A$1:$O$120,15,0))</f>
        <v>430.87</v>
      </c>
      <c r="Y1526" s="6"/>
      <c r="Z1526" s="6">
        <f ca="1">('TUSD BE'!$AM$44+'TUSD BF'!$AM$44+'TUSD CVA'!$AM$44)*1</f>
        <v>1305.5497259800161</v>
      </c>
      <c r="AA1526" s="6">
        <f>('TE BE'!$AA$13+'TE BF'!$AA$13+'TE CVA'!$AA$13)*1</f>
        <v>375.69180268700768</v>
      </c>
      <c r="AB1526" s="6">
        <f>$K$1526*$V$1526</f>
        <v>0</v>
      </c>
      <c r="AC1526" s="6">
        <f>$M$1526*$W$1526</f>
        <v>650391.62210000004</v>
      </c>
      <c r="AD1526" s="6">
        <f>$O$1526*$X$1526</f>
        <v>238566.25594999999</v>
      </c>
      <c r="AE1526" s="6">
        <f>$K$1526*$Y$1526</f>
        <v>0</v>
      </c>
      <c r="AF1526" s="6">
        <f ca="1">$M$1526*$Z$1526</f>
        <v>722863.30002924509</v>
      </c>
      <c r="AG1526" s="6">
        <f>$O$1526*$AA$1526</f>
        <v>208014.91577075582</v>
      </c>
    </row>
    <row r="1527" spans="1:33" ht="11.25" customHeight="1" x14ac:dyDescent="0.25">
      <c r="A1527" s="4" t="s">
        <v>27</v>
      </c>
      <c r="B1527" s="4" t="s">
        <v>44</v>
      </c>
      <c r="C1527" s="4" t="s">
        <v>34</v>
      </c>
      <c r="D1527" s="4" t="s">
        <v>42</v>
      </c>
      <c r="E1527" s="4" t="s">
        <v>25</v>
      </c>
      <c r="F1527" s="4" t="s">
        <v>25</v>
      </c>
      <c r="G1527" s="4" t="s">
        <v>25</v>
      </c>
      <c r="H1527" s="4" t="s">
        <v>35</v>
      </c>
      <c r="I1527" s="5">
        <v>43922</v>
      </c>
      <c r="J1527" s="6">
        <v>0</v>
      </c>
      <c r="K1527" s="6">
        <v>0</v>
      </c>
      <c r="L1527" s="6">
        <v>67.489999999999995</v>
      </c>
      <c r="M1527" s="6">
        <v>67.489999999999995</v>
      </c>
      <c r="N1527" s="6">
        <v>67.489999999999995</v>
      </c>
      <c r="O1527" s="6">
        <v>67.489999999999995</v>
      </c>
      <c r="P1527" s="6">
        <v>0</v>
      </c>
      <c r="Q1527" s="4" t="s">
        <v>26</v>
      </c>
      <c r="R1527" s="4">
        <v>0</v>
      </c>
      <c r="S1527" s="6">
        <v>0</v>
      </c>
      <c r="T1527" s="6">
        <v>36</v>
      </c>
      <c r="U1527" s="6">
        <v>83</v>
      </c>
      <c r="V1527" s="6">
        <f>IF(ISERROR(VLOOKUP($S$1527,'TAR FIN'!$A$1:$O$120,15,0)),0,VLOOKUP($S$1527,'TAR FIN'!$A$1:$O$120,15,0))</f>
        <v>0</v>
      </c>
      <c r="W1527" s="6">
        <f>IF(ISERROR(VLOOKUP($T$1527,'TAR FIN'!$A$1:$O$120,15,0)),0,VLOOKUP($T$1527,'TAR FIN'!$A$1:$O$120,15,0))</f>
        <v>1174.6600000000001</v>
      </c>
      <c r="X1527" s="6">
        <f>IF(ISERROR(VLOOKUP($U$1527,'TAR FIN'!$A$1:$O$120,15,0)),0,VLOOKUP($U$1527,'TAR FIN'!$A$1:$O$120,15,0))</f>
        <v>430.87</v>
      </c>
      <c r="Y1527" s="6"/>
      <c r="Z1527" s="6">
        <f ca="1">('TUSD BE'!$AM$44+'TUSD BF'!$AM$44+'TUSD CVA'!$AM$44)*1</f>
        <v>1305.5497259800161</v>
      </c>
      <c r="AA1527" s="6">
        <f>('TE BE'!$AA$13+'TE BF'!$AA$13+'TE CVA'!$AA$13)*1</f>
        <v>375.69180268700768</v>
      </c>
      <c r="AB1527" s="6">
        <f>$K$1527*$V$1527</f>
        <v>0</v>
      </c>
      <c r="AC1527" s="6">
        <f>$M$1527*$W$1527</f>
        <v>79277.803400000004</v>
      </c>
      <c r="AD1527" s="6">
        <f>$O$1527*$X$1527</f>
        <v>29079.416299999997</v>
      </c>
      <c r="AE1527" s="6">
        <f>$K$1527*$Y$1527</f>
        <v>0</v>
      </c>
      <c r="AF1527" s="6">
        <f ca="1">$M$1527*$Z$1527</f>
        <v>88111.551006391281</v>
      </c>
      <c r="AG1527" s="6">
        <f>$O$1527*$AA$1527</f>
        <v>25355.439763346145</v>
      </c>
    </row>
    <row r="1528" spans="1:33" ht="11.25" customHeight="1" x14ac:dyDescent="0.25">
      <c r="A1528" s="4" t="s">
        <v>28</v>
      </c>
      <c r="B1528" s="4" t="s">
        <v>44</v>
      </c>
      <c r="C1528" s="4" t="s">
        <v>34</v>
      </c>
      <c r="D1528" s="4" t="s">
        <v>42</v>
      </c>
      <c r="E1528" s="4" t="s">
        <v>25</v>
      </c>
      <c r="F1528" s="4" t="s">
        <v>25</v>
      </c>
      <c r="G1528" s="4" t="s">
        <v>25</v>
      </c>
      <c r="H1528" s="4" t="s">
        <v>35</v>
      </c>
      <c r="I1528" s="5">
        <v>43922</v>
      </c>
      <c r="J1528" s="6">
        <v>0</v>
      </c>
      <c r="K1528" s="6">
        <v>0</v>
      </c>
      <c r="L1528" s="6">
        <v>53.984999999999999</v>
      </c>
      <c r="M1528" s="6">
        <v>53.984999999999999</v>
      </c>
      <c r="N1528" s="6">
        <v>53.984999999999999</v>
      </c>
      <c r="O1528" s="6">
        <v>53.984999999999999</v>
      </c>
      <c r="P1528" s="6">
        <v>0</v>
      </c>
      <c r="Q1528" s="4" t="s">
        <v>26</v>
      </c>
      <c r="R1528" s="4">
        <v>0</v>
      </c>
      <c r="S1528" s="6">
        <v>0</v>
      </c>
      <c r="T1528" s="6">
        <v>36</v>
      </c>
      <c r="U1528" s="6">
        <v>83</v>
      </c>
      <c r="V1528" s="6">
        <f>IF(ISERROR(VLOOKUP($S$1528,'TAR FIN'!$A$1:$O$120,15,0)),0,VLOOKUP($S$1528,'TAR FIN'!$A$1:$O$120,15,0))</f>
        <v>0</v>
      </c>
      <c r="W1528" s="6">
        <f>IF(ISERROR(VLOOKUP($T$1528,'TAR FIN'!$A$1:$O$120,15,0)),0,VLOOKUP($T$1528,'TAR FIN'!$A$1:$O$120,15,0))</f>
        <v>1174.6600000000001</v>
      </c>
      <c r="X1528" s="6">
        <f>IF(ISERROR(VLOOKUP($U$1528,'TAR FIN'!$A$1:$O$120,15,0)),0,VLOOKUP($U$1528,'TAR FIN'!$A$1:$O$120,15,0))</f>
        <v>430.87</v>
      </c>
      <c r="Y1528" s="6"/>
      <c r="Z1528" s="6">
        <f ca="1">('TUSD BE'!$AM$44+'TUSD BF'!$AM$44+'TUSD CVA'!$AM$44)*1</f>
        <v>1305.5497259800161</v>
      </c>
      <c r="AA1528" s="6">
        <f>('TE BE'!$AA$13+'TE BF'!$AA$13+'TE CVA'!$AA$13)*1</f>
        <v>375.69180268700768</v>
      </c>
      <c r="AB1528" s="6">
        <f>$K$1528*$V$1528</f>
        <v>0</v>
      </c>
      <c r="AC1528" s="6">
        <f>$M$1528*$W$1528</f>
        <v>63414.020100000002</v>
      </c>
      <c r="AD1528" s="6">
        <f>$O$1528*$X$1528</f>
        <v>23260.516950000001</v>
      </c>
      <c r="AE1528" s="6">
        <f>$K$1528*$Y$1528</f>
        <v>0</v>
      </c>
      <c r="AF1528" s="6">
        <f ca="1">$M$1528*$Z$1528</f>
        <v>70480.101957031162</v>
      </c>
      <c r="AG1528" s="6">
        <f>$O$1528*$AA$1528</f>
        <v>20281.721968058111</v>
      </c>
    </row>
    <row r="1529" spans="1:33" ht="11.25" customHeight="1" x14ac:dyDescent="0.25">
      <c r="A1529" s="4" t="s">
        <v>21</v>
      </c>
      <c r="B1529" s="4" t="s">
        <v>44</v>
      </c>
      <c r="C1529" s="4" t="s">
        <v>34</v>
      </c>
      <c r="D1529" s="4" t="s">
        <v>42</v>
      </c>
      <c r="E1529" s="4" t="s">
        <v>25</v>
      </c>
      <c r="F1529" s="4" t="s">
        <v>25</v>
      </c>
      <c r="G1529" s="4" t="s">
        <v>25</v>
      </c>
      <c r="H1529" s="4" t="s">
        <v>35</v>
      </c>
      <c r="I1529" s="5">
        <v>43952</v>
      </c>
      <c r="J1529" s="6">
        <v>0</v>
      </c>
      <c r="K1529" s="6">
        <v>0</v>
      </c>
      <c r="L1529" s="6">
        <v>368.435</v>
      </c>
      <c r="M1529" s="6">
        <v>368.435</v>
      </c>
      <c r="N1529" s="6">
        <v>368.435</v>
      </c>
      <c r="O1529" s="6">
        <v>368.435</v>
      </c>
      <c r="P1529" s="6">
        <v>0</v>
      </c>
      <c r="Q1529" s="4" t="s">
        <v>26</v>
      </c>
      <c r="R1529" s="4">
        <v>0</v>
      </c>
      <c r="S1529" s="6">
        <v>0</v>
      </c>
      <c r="T1529" s="6">
        <v>36</v>
      </c>
      <c r="U1529" s="6">
        <v>83</v>
      </c>
      <c r="V1529" s="6">
        <f>IF(ISERROR(VLOOKUP($S$1529,'TAR FIN'!$A$1:$O$120,15,0)),0,VLOOKUP($S$1529,'TAR FIN'!$A$1:$O$120,15,0))</f>
        <v>0</v>
      </c>
      <c r="W1529" s="6">
        <f>IF(ISERROR(VLOOKUP($T$1529,'TAR FIN'!$A$1:$O$120,15,0)),0,VLOOKUP($T$1529,'TAR FIN'!$A$1:$O$120,15,0))</f>
        <v>1174.6600000000001</v>
      </c>
      <c r="X1529" s="6">
        <f>IF(ISERROR(VLOOKUP($U$1529,'TAR FIN'!$A$1:$O$120,15,0)),0,VLOOKUP($U$1529,'TAR FIN'!$A$1:$O$120,15,0))</f>
        <v>430.87</v>
      </c>
      <c r="Y1529" s="6"/>
      <c r="Z1529" s="6">
        <f ca="1">('TUSD BE'!$AM$44+'TUSD BF'!$AM$44+'TUSD CVA'!$AM$44)*1</f>
        <v>1305.5497259800161</v>
      </c>
      <c r="AA1529" s="6">
        <f>('TE BE'!$AA$13+'TE BF'!$AA$13+'TE CVA'!$AA$13)*1</f>
        <v>375.69180268700768</v>
      </c>
      <c r="AB1529" s="6">
        <f>$K$1529*$V$1529</f>
        <v>0</v>
      </c>
      <c r="AC1529" s="6">
        <f>$M$1529*$W$1529</f>
        <v>432785.85710000002</v>
      </c>
      <c r="AD1529" s="6">
        <f>$O$1529*$X$1529</f>
        <v>158747.58845000001</v>
      </c>
      <c r="AE1529" s="6">
        <f>$K$1529*$Y$1529</f>
        <v>0</v>
      </c>
      <c r="AF1529" s="6">
        <f ca="1">$M$1529*$Z$1529</f>
        <v>481010.21329144726</v>
      </c>
      <c r="AG1529" s="6">
        <f>$O$1529*$AA$1529</f>
        <v>138418.00932298767</v>
      </c>
    </row>
    <row r="1530" spans="1:33" ht="11.25" customHeight="1" x14ac:dyDescent="0.25">
      <c r="A1530" s="4" t="s">
        <v>28</v>
      </c>
      <c r="B1530" s="4" t="s">
        <v>44</v>
      </c>
      <c r="C1530" s="4" t="s">
        <v>34</v>
      </c>
      <c r="D1530" s="4" t="s">
        <v>42</v>
      </c>
      <c r="E1530" s="4" t="s">
        <v>25</v>
      </c>
      <c r="F1530" s="4" t="s">
        <v>25</v>
      </c>
      <c r="G1530" s="4" t="s">
        <v>25</v>
      </c>
      <c r="H1530" s="4" t="s">
        <v>35</v>
      </c>
      <c r="I1530" s="5">
        <v>43952</v>
      </c>
      <c r="J1530" s="6">
        <v>0</v>
      </c>
      <c r="K1530" s="6">
        <v>0</v>
      </c>
      <c r="L1530" s="6">
        <v>32.951000000000001</v>
      </c>
      <c r="M1530" s="6">
        <v>32.951000000000001</v>
      </c>
      <c r="N1530" s="6">
        <v>32.951000000000001</v>
      </c>
      <c r="O1530" s="6">
        <v>32.951000000000001</v>
      </c>
      <c r="P1530" s="6">
        <v>0</v>
      </c>
      <c r="Q1530" s="4" t="s">
        <v>26</v>
      </c>
      <c r="R1530" s="4">
        <v>0</v>
      </c>
      <c r="S1530" s="6">
        <v>0</v>
      </c>
      <c r="T1530" s="6">
        <v>36</v>
      </c>
      <c r="U1530" s="6">
        <v>83</v>
      </c>
      <c r="V1530" s="6">
        <f>IF(ISERROR(VLOOKUP($S$1530,'TAR FIN'!$A$1:$O$120,15,0)),0,VLOOKUP($S$1530,'TAR FIN'!$A$1:$O$120,15,0))</f>
        <v>0</v>
      </c>
      <c r="W1530" s="6">
        <f>IF(ISERROR(VLOOKUP($T$1530,'TAR FIN'!$A$1:$O$120,15,0)),0,VLOOKUP($T$1530,'TAR FIN'!$A$1:$O$120,15,0))</f>
        <v>1174.6600000000001</v>
      </c>
      <c r="X1530" s="6">
        <f>IF(ISERROR(VLOOKUP($U$1530,'TAR FIN'!$A$1:$O$120,15,0)),0,VLOOKUP($U$1530,'TAR FIN'!$A$1:$O$120,15,0))</f>
        <v>430.87</v>
      </c>
      <c r="Y1530" s="6"/>
      <c r="Z1530" s="6">
        <f ca="1">('TUSD BE'!$AM$44+'TUSD BF'!$AM$44+'TUSD CVA'!$AM$44)*1</f>
        <v>1305.5497259800161</v>
      </c>
      <c r="AA1530" s="6">
        <f>('TE BE'!$AA$13+'TE BF'!$AA$13+'TE CVA'!$AA$13)*1</f>
        <v>375.69180268700768</v>
      </c>
      <c r="AB1530" s="6">
        <f>$K$1530*$V$1530</f>
        <v>0</v>
      </c>
      <c r="AC1530" s="6">
        <f>$M$1530*$W$1530</f>
        <v>38706.221660000003</v>
      </c>
      <c r="AD1530" s="6">
        <f>$O$1530*$X$1530</f>
        <v>14197.59737</v>
      </c>
      <c r="AE1530" s="6">
        <f>$K$1530*$Y$1530</f>
        <v>0</v>
      </c>
      <c r="AF1530" s="6">
        <f ca="1">$M$1530*$Z$1530</f>
        <v>43019.169020767513</v>
      </c>
      <c r="AG1530" s="6">
        <f>$O$1530*$AA$1530</f>
        <v>12379.42059033959</v>
      </c>
    </row>
    <row r="1531" spans="1:33" ht="11.25" customHeight="1" x14ac:dyDescent="0.25">
      <c r="A1531" s="4" t="s">
        <v>21</v>
      </c>
      <c r="B1531" s="4" t="s">
        <v>44</v>
      </c>
      <c r="C1531" s="4" t="s">
        <v>34</v>
      </c>
      <c r="D1531" s="4" t="s">
        <v>42</v>
      </c>
      <c r="E1531" s="4" t="s">
        <v>25</v>
      </c>
      <c r="F1531" s="4" t="s">
        <v>25</v>
      </c>
      <c r="G1531" s="4" t="s">
        <v>25</v>
      </c>
      <c r="H1531" s="4" t="s">
        <v>35</v>
      </c>
      <c r="I1531" s="5">
        <v>43983</v>
      </c>
      <c r="J1531" s="6">
        <v>0</v>
      </c>
      <c r="K1531" s="6">
        <v>0</v>
      </c>
      <c r="L1531" s="6">
        <v>414.92500000000001</v>
      </c>
      <c r="M1531" s="6">
        <v>414.92500000000001</v>
      </c>
      <c r="N1531" s="6">
        <v>414.92500000000001</v>
      </c>
      <c r="O1531" s="6">
        <v>414.92500000000001</v>
      </c>
      <c r="P1531" s="6">
        <v>0</v>
      </c>
      <c r="Q1531" s="4" t="s">
        <v>26</v>
      </c>
      <c r="R1531" s="4">
        <v>0</v>
      </c>
      <c r="S1531" s="6">
        <v>0</v>
      </c>
      <c r="T1531" s="6">
        <v>36</v>
      </c>
      <c r="U1531" s="6">
        <v>83</v>
      </c>
      <c r="V1531" s="6">
        <f>IF(ISERROR(VLOOKUP($S$1531,'TAR FIN'!$A$1:$O$120,15,0)),0,VLOOKUP($S$1531,'TAR FIN'!$A$1:$O$120,15,0))</f>
        <v>0</v>
      </c>
      <c r="W1531" s="6">
        <f>IF(ISERROR(VLOOKUP($T$1531,'TAR FIN'!$A$1:$O$120,15,0)),0,VLOOKUP($T$1531,'TAR FIN'!$A$1:$O$120,15,0))</f>
        <v>1174.6600000000001</v>
      </c>
      <c r="X1531" s="6">
        <f>IF(ISERROR(VLOOKUP($U$1531,'TAR FIN'!$A$1:$O$120,15,0)),0,VLOOKUP($U$1531,'TAR FIN'!$A$1:$O$120,15,0))</f>
        <v>430.87</v>
      </c>
      <c r="Y1531" s="6"/>
      <c r="Z1531" s="6">
        <f ca="1">('TUSD BE'!$AM$44+'TUSD BF'!$AM$44+'TUSD CVA'!$AM$44)*1</f>
        <v>1305.5497259800161</v>
      </c>
      <c r="AA1531" s="6">
        <f>('TE BE'!$AA$13+'TE BF'!$AA$13+'TE CVA'!$AA$13)*1</f>
        <v>375.69180268700768</v>
      </c>
      <c r="AB1531" s="6">
        <f>$K$1531*$V$1531</f>
        <v>0</v>
      </c>
      <c r="AC1531" s="6">
        <f>$M$1531*$W$1531</f>
        <v>487395.80050000007</v>
      </c>
      <c r="AD1531" s="6">
        <f>$O$1531*$X$1531</f>
        <v>178778.73475</v>
      </c>
      <c r="AE1531" s="6">
        <f>$K$1531*$Y$1531</f>
        <v>0</v>
      </c>
      <c r="AF1531" s="6">
        <f ca="1">$M$1531*$Z$1531</f>
        <v>541705.22005225823</v>
      </c>
      <c r="AG1531" s="6">
        <f>$O$1531*$AA$1531</f>
        <v>155883.92122990667</v>
      </c>
    </row>
    <row r="1532" spans="1:33" ht="11.25" customHeight="1" x14ac:dyDescent="0.25">
      <c r="A1532" s="4" t="s">
        <v>27</v>
      </c>
      <c r="B1532" s="4" t="s">
        <v>44</v>
      </c>
      <c r="C1532" s="4" t="s">
        <v>34</v>
      </c>
      <c r="D1532" s="4" t="s">
        <v>42</v>
      </c>
      <c r="E1532" s="4" t="s">
        <v>25</v>
      </c>
      <c r="F1532" s="4" t="s">
        <v>25</v>
      </c>
      <c r="G1532" s="4" t="s">
        <v>25</v>
      </c>
      <c r="H1532" s="4" t="s">
        <v>35</v>
      </c>
      <c r="I1532" s="5">
        <v>43983</v>
      </c>
      <c r="J1532" s="6">
        <v>0</v>
      </c>
      <c r="K1532" s="6">
        <v>0</v>
      </c>
      <c r="L1532" s="6">
        <v>14.092000000000001</v>
      </c>
      <c r="M1532" s="6">
        <v>14.092000000000001</v>
      </c>
      <c r="N1532" s="6">
        <v>14.092000000000001</v>
      </c>
      <c r="O1532" s="6">
        <v>14.092000000000001</v>
      </c>
      <c r="P1532" s="6">
        <v>0</v>
      </c>
      <c r="Q1532" s="4" t="s">
        <v>26</v>
      </c>
      <c r="R1532" s="4">
        <v>0</v>
      </c>
      <c r="S1532" s="6">
        <v>0</v>
      </c>
      <c r="T1532" s="6">
        <v>36</v>
      </c>
      <c r="U1532" s="6">
        <v>83</v>
      </c>
      <c r="V1532" s="6">
        <f>IF(ISERROR(VLOOKUP($S$1532,'TAR FIN'!$A$1:$O$120,15,0)),0,VLOOKUP($S$1532,'TAR FIN'!$A$1:$O$120,15,0))</f>
        <v>0</v>
      </c>
      <c r="W1532" s="6">
        <f>IF(ISERROR(VLOOKUP($T$1532,'TAR FIN'!$A$1:$O$120,15,0)),0,VLOOKUP($T$1532,'TAR FIN'!$A$1:$O$120,15,0))</f>
        <v>1174.6600000000001</v>
      </c>
      <c r="X1532" s="6">
        <f>IF(ISERROR(VLOOKUP($U$1532,'TAR FIN'!$A$1:$O$120,15,0)),0,VLOOKUP($U$1532,'TAR FIN'!$A$1:$O$120,15,0))</f>
        <v>430.87</v>
      </c>
      <c r="Y1532" s="6"/>
      <c r="Z1532" s="6">
        <f ca="1">('TUSD BE'!$AM$44+'TUSD BF'!$AM$44+'TUSD CVA'!$AM$44)*1</f>
        <v>1305.5497259800161</v>
      </c>
      <c r="AA1532" s="6">
        <f>('TE BE'!$AA$13+'TE BF'!$AA$13+'TE CVA'!$AA$13)*1</f>
        <v>375.69180268700768</v>
      </c>
      <c r="AB1532" s="6">
        <f>$K$1532*$V$1532</f>
        <v>0</v>
      </c>
      <c r="AC1532" s="6">
        <f>$M$1532*$W$1532</f>
        <v>16553.308720000001</v>
      </c>
      <c r="AD1532" s="6">
        <f>$O$1532*$X$1532</f>
        <v>6071.8200400000005</v>
      </c>
      <c r="AE1532" s="6">
        <f>$K$1532*$Y$1532</f>
        <v>0</v>
      </c>
      <c r="AF1532" s="6">
        <f ca="1">$M$1532*$Z$1532</f>
        <v>18397.806738510386</v>
      </c>
      <c r="AG1532" s="6">
        <f>$O$1532*$AA$1532</f>
        <v>5294.2488834653122</v>
      </c>
    </row>
    <row r="1533" spans="1:33" ht="11.25" customHeight="1" x14ac:dyDescent="0.25">
      <c r="A1533" s="4" t="s">
        <v>28</v>
      </c>
      <c r="B1533" s="4" t="s">
        <v>44</v>
      </c>
      <c r="C1533" s="4" t="s">
        <v>34</v>
      </c>
      <c r="D1533" s="4" t="s">
        <v>42</v>
      </c>
      <c r="E1533" s="4" t="s">
        <v>25</v>
      </c>
      <c r="F1533" s="4" t="s">
        <v>25</v>
      </c>
      <c r="G1533" s="4" t="s">
        <v>25</v>
      </c>
      <c r="H1533" s="4" t="s">
        <v>35</v>
      </c>
      <c r="I1533" s="5">
        <v>43983</v>
      </c>
      <c r="J1533" s="6">
        <v>0</v>
      </c>
      <c r="K1533" s="6">
        <v>0</v>
      </c>
      <c r="L1533" s="6">
        <v>33.442</v>
      </c>
      <c r="M1533" s="6">
        <v>33.442</v>
      </c>
      <c r="N1533" s="6">
        <v>33.442</v>
      </c>
      <c r="O1533" s="6">
        <v>33.442</v>
      </c>
      <c r="P1533" s="6">
        <v>0</v>
      </c>
      <c r="Q1533" s="4" t="s">
        <v>26</v>
      </c>
      <c r="R1533" s="4">
        <v>0</v>
      </c>
      <c r="S1533" s="6">
        <v>0</v>
      </c>
      <c r="T1533" s="6">
        <v>36</v>
      </c>
      <c r="U1533" s="6">
        <v>83</v>
      </c>
      <c r="V1533" s="6">
        <f>IF(ISERROR(VLOOKUP($S$1533,'TAR FIN'!$A$1:$O$120,15,0)),0,VLOOKUP($S$1533,'TAR FIN'!$A$1:$O$120,15,0))</f>
        <v>0</v>
      </c>
      <c r="W1533" s="6">
        <f>IF(ISERROR(VLOOKUP($T$1533,'TAR FIN'!$A$1:$O$120,15,0)),0,VLOOKUP($T$1533,'TAR FIN'!$A$1:$O$120,15,0))</f>
        <v>1174.6600000000001</v>
      </c>
      <c r="X1533" s="6">
        <f>IF(ISERROR(VLOOKUP($U$1533,'TAR FIN'!$A$1:$O$120,15,0)),0,VLOOKUP($U$1533,'TAR FIN'!$A$1:$O$120,15,0))</f>
        <v>430.87</v>
      </c>
      <c r="Y1533" s="6"/>
      <c r="Z1533" s="6">
        <f ca="1">('TUSD BE'!$AM$44+'TUSD BF'!$AM$44+'TUSD CVA'!$AM$44)*1</f>
        <v>1305.5497259800161</v>
      </c>
      <c r="AA1533" s="6">
        <f>('TE BE'!$AA$13+'TE BF'!$AA$13+'TE CVA'!$AA$13)*1</f>
        <v>375.69180268700768</v>
      </c>
      <c r="AB1533" s="6">
        <f>$K$1533*$V$1533</f>
        <v>0</v>
      </c>
      <c r="AC1533" s="6">
        <f>$M$1533*$W$1533</f>
        <v>39282.979720000003</v>
      </c>
      <c r="AD1533" s="6">
        <f>$O$1533*$X$1533</f>
        <v>14409.15454</v>
      </c>
      <c r="AE1533" s="6">
        <f>$K$1533*$Y$1533</f>
        <v>0</v>
      </c>
      <c r="AF1533" s="6">
        <f ca="1">$M$1533*$Z$1533</f>
        <v>43660.193936223695</v>
      </c>
      <c r="AG1533" s="6">
        <f>$O$1533*$AA$1533</f>
        <v>12563.88526545891</v>
      </c>
    </row>
    <row r="1534" spans="1:33" ht="11.25" customHeight="1" x14ac:dyDescent="0.25">
      <c r="A1534" s="4" t="s">
        <v>21</v>
      </c>
      <c r="B1534" s="4" t="s">
        <v>44</v>
      </c>
      <c r="C1534" s="4" t="s">
        <v>34</v>
      </c>
      <c r="D1534" s="4" t="s">
        <v>42</v>
      </c>
      <c r="E1534" s="4" t="s">
        <v>25</v>
      </c>
      <c r="F1534" s="4" t="s">
        <v>25</v>
      </c>
      <c r="G1534" s="4" t="s">
        <v>25</v>
      </c>
      <c r="H1534" s="4" t="s">
        <v>35</v>
      </c>
      <c r="I1534" s="5">
        <v>44013</v>
      </c>
      <c r="J1534" s="6">
        <v>0</v>
      </c>
      <c r="K1534" s="6">
        <v>0</v>
      </c>
      <c r="L1534" s="6">
        <v>344.95</v>
      </c>
      <c r="M1534" s="6">
        <v>344.95</v>
      </c>
      <c r="N1534" s="6">
        <v>344.95</v>
      </c>
      <c r="O1534" s="6">
        <v>344.95</v>
      </c>
      <c r="P1534" s="6">
        <v>0</v>
      </c>
      <c r="Q1534" s="4" t="s">
        <v>26</v>
      </c>
      <c r="R1534" s="4">
        <v>0</v>
      </c>
      <c r="S1534" s="6">
        <v>0</v>
      </c>
      <c r="T1534" s="6">
        <v>36</v>
      </c>
      <c r="U1534" s="6">
        <v>83</v>
      </c>
      <c r="V1534" s="6">
        <f>IF(ISERROR(VLOOKUP($S$1534,'TAR FIN'!$A$1:$O$120,15,0)),0,VLOOKUP($S$1534,'TAR FIN'!$A$1:$O$120,15,0))</f>
        <v>0</v>
      </c>
      <c r="W1534" s="6">
        <f>IF(ISERROR(VLOOKUP($T$1534,'TAR FIN'!$A$1:$O$120,15,0)),0,VLOOKUP($T$1534,'TAR FIN'!$A$1:$O$120,15,0))</f>
        <v>1174.6600000000001</v>
      </c>
      <c r="X1534" s="6">
        <f>IF(ISERROR(VLOOKUP($U$1534,'TAR FIN'!$A$1:$O$120,15,0)),0,VLOOKUP($U$1534,'TAR FIN'!$A$1:$O$120,15,0))</f>
        <v>430.87</v>
      </c>
      <c r="Y1534" s="6"/>
      <c r="Z1534" s="6">
        <f ca="1">('TUSD BE'!$AM$44+'TUSD BF'!$AM$44+'TUSD CVA'!$AM$44)*1</f>
        <v>1305.5497259800161</v>
      </c>
      <c r="AA1534" s="6">
        <f>('TE BE'!$AA$13+'TE BF'!$AA$13+'TE CVA'!$AA$13)*1</f>
        <v>375.69180268700768</v>
      </c>
      <c r="AB1534" s="6">
        <f>$K$1534*$V$1534</f>
        <v>0</v>
      </c>
      <c r="AC1534" s="6">
        <f>$M$1534*$W$1534</f>
        <v>405198.967</v>
      </c>
      <c r="AD1534" s="6">
        <f>$O$1534*$X$1534</f>
        <v>148628.60649999999</v>
      </c>
      <c r="AE1534" s="6">
        <f>$K$1534*$Y$1534</f>
        <v>0</v>
      </c>
      <c r="AF1534" s="6">
        <f ca="1">$M$1534*$Z$1534</f>
        <v>450349.37797680654</v>
      </c>
      <c r="AG1534" s="6">
        <f>$O$1534*$AA$1534</f>
        <v>129594.8873368833</v>
      </c>
    </row>
    <row r="1535" spans="1:33" ht="11.25" customHeight="1" x14ac:dyDescent="0.25">
      <c r="A1535" s="4" t="s">
        <v>27</v>
      </c>
      <c r="B1535" s="4" t="s">
        <v>44</v>
      </c>
      <c r="C1535" s="4" t="s">
        <v>34</v>
      </c>
      <c r="D1535" s="4" t="s">
        <v>42</v>
      </c>
      <c r="E1535" s="4" t="s">
        <v>25</v>
      </c>
      <c r="F1535" s="4" t="s">
        <v>25</v>
      </c>
      <c r="G1535" s="4" t="s">
        <v>25</v>
      </c>
      <c r="H1535" s="4" t="s">
        <v>35</v>
      </c>
      <c r="I1535" s="5">
        <v>44013</v>
      </c>
      <c r="J1535" s="6">
        <v>0</v>
      </c>
      <c r="K1535" s="6">
        <v>0</v>
      </c>
      <c r="L1535" s="6">
        <v>12.898999999999999</v>
      </c>
      <c r="M1535" s="6">
        <v>12.898999999999999</v>
      </c>
      <c r="N1535" s="6">
        <v>12.898999999999999</v>
      </c>
      <c r="O1535" s="6">
        <v>12.898999999999999</v>
      </c>
      <c r="P1535" s="6">
        <v>0</v>
      </c>
      <c r="Q1535" s="4" t="s">
        <v>26</v>
      </c>
      <c r="R1535" s="4">
        <v>0</v>
      </c>
      <c r="S1535" s="6">
        <v>0</v>
      </c>
      <c r="T1535" s="6">
        <v>36</v>
      </c>
      <c r="U1535" s="6">
        <v>83</v>
      </c>
      <c r="V1535" s="6">
        <f>IF(ISERROR(VLOOKUP($S$1535,'TAR FIN'!$A$1:$O$120,15,0)),0,VLOOKUP($S$1535,'TAR FIN'!$A$1:$O$120,15,0))</f>
        <v>0</v>
      </c>
      <c r="W1535" s="6">
        <f>IF(ISERROR(VLOOKUP($T$1535,'TAR FIN'!$A$1:$O$120,15,0)),0,VLOOKUP($T$1535,'TAR FIN'!$A$1:$O$120,15,0))</f>
        <v>1174.6600000000001</v>
      </c>
      <c r="X1535" s="6">
        <f>IF(ISERROR(VLOOKUP($U$1535,'TAR FIN'!$A$1:$O$120,15,0)),0,VLOOKUP($U$1535,'TAR FIN'!$A$1:$O$120,15,0))</f>
        <v>430.87</v>
      </c>
      <c r="Y1535" s="6"/>
      <c r="Z1535" s="6">
        <f ca="1">('TUSD BE'!$AM$44+'TUSD BF'!$AM$44+'TUSD CVA'!$AM$44)*1</f>
        <v>1305.5497259800161</v>
      </c>
      <c r="AA1535" s="6">
        <f>('TE BE'!$AA$13+'TE BF'!$AA$13+'TE CVA'!$AA$13)*1</f>
        <v>375.69180268700768</v>
      </c>
      <c r="AB1535" s="6">
        <f>$K$1535*$V$1535</f>
        <v>0</v>
      </c>
      <c r="AC1535" s="6">
        <f>$M$1535*$W$1535</f>
        <v>15151.939340000001</v>
      </c>
      <c r="AD1535" s="6">
        <f>$O$1535*$X$1535</f>
        <v>5557.7921299999998</v>
      </c>
      <c r="AE1535" s="6">
        <f>$K$1535*$Y$1535</f>
        <v>0</v>
      </c>
      <c r="AF1535" s="6">
        <f ca="1">$M$1535*$Z$1535</f>
        <v>16840.285915416225</v>
      </c>
      <c r="AG1535" s="6">
        <f>$O$1535*$AA$1535</f>
        <v>4846.0485628597116</v>
      </c>
    </row>
    <row r="1536" spans="1:33" ht="11.25" customHeight="1" x14ac:dyDescent="0.25">
      <c r="A1536" s="4" t="s">
        <v>28</v>
      </c>
      <c r="B1536" s="4" t="s">
        <v>44</v>
      </c>
      <c r="C1536" s="4" t="s">
        <v>34</v>
      </c>
      <c r="D1536" s="4" t="s">
        <v>42</v>
      </c>
      <c r="E1536" s="4" t="s">
        <v>25</v>
      </c>
      <c r="F1536" s="4" t="s">
        <v>25</v>
      </c>
      <c r="G1536" s="4" t="s">
        <v>25</v>
      </c>
      <c r="H1536" s="4" t="s">
        <v>35</v>
      </c>
      <c r="I1536" s="5">
        <v>44013</v>
      </c>
      <c r="J1536" s="6">
        <v>0</v>
      </c>
      <c r="K1536" s="6">
        <v>0</v>
      </c>
      <c r="L1536" s="6">
        <v>26.837</v>
      </c>
      <c r="M1536" s="6">
        <v>26.837</v>
      </c>
      <c r="N1536" s="6">
        <v>26.837</v>
      </c>
      <c r="O1536" s="6">
        <v>26.837</v>
      </c>
      <c r="P1536" s="6">
        <v>0</v>
      </c>
      <c r="Q1536" s="4" t="s">
        <v>26</v>
      </c>
      <c r="R1536" s="4">
        <v>0</v>
      </c>
      <c r="S1536" s="6">
        <v>0</v>
      </c>
      <c r="T1536" s="6">
        <v>36</v>
      </c>
      <c r="U1536" s="6">
        <v>83</v>
      </c>
      <c r="V1536" s="6">
        <f>IF(ISERROR(VLOOKUP($S$1536,'TAR FIN'!$A$1:$O$120,15,0)),0,VLOOKUP($S$1536,'TAR FIN'!$A$1:$O$120,15,0))</f>
        <v>0</v>
      </c>
      <c r="W1536" s="6">
        <f>IF(ISERROR(VLOOKUP($T$1536,'TAR FIN'!$A$1:$O$120,15,0)),0,VLOOKUP($T$1536,'TAR FIN'!$A$1:$O$120,15,0))</f>
        <v>1174.6600000000001</v>
      </c>
      <c r="X1536" s="6">
        <f>IF(ISERROR(VLOOKUP($U$1536,'TAR FIN'!$A$1:$O$120,15,0)),0,VLOOKUP($U$1536,'TAR FIN'!$A$1:$O$120,15,0))</f>
        <v>430.87</v>
      </c>
      <c r="Y1536" s="6"/>
      <c r="Z1536" s="6">
        <f ca="1">('TUSD BE'!$AM$44+'TUSD BF'!$AM$44+'TUSD CVA'!$AM$44)*1</f>
        <v>1305.5497259800161</v>
      </c>
      <c r="AA1536" s="6">
        <f>('TE BE'!$AA$13+'TE BF'!$AA$13+'TE CVA'!$AA$13)*1</f>
        <v>375.69180268700768</v>
      </c>
      <c r="AB1536" s="6">
        <f>$K$1536*$V$1536</f>
        <v>0</v>
      </c>
      <c r="AC1536" s="6">
        <f>$M$1536*$W$1536</f>
        <v>31524.350420000002</v>
      </c>
      <c r="AD1536" s="6">
        <f>$O$1536*$X$1536</f>
        <v>11563.25819</v>
      </c>
      <c r="AE1536" s="6">
        <f>$K$1536*$Y$1536</f>
        <v>0</v>
      </c>
      <c r="AF1536" s="6">
        <f ca="1">$M$1536*$Z$1536</f>
        <v>35037.037996125691</v>
      </c>
      <c r="AG1536" s="6">
        <f>$O$1536*$AA$1536</f>
        <v>10082.440908711225</v>
      </c>
    </row>
    <row r="1537" spans="1:33" ht="11.25" customHeight="1" x14ac:dyDescent="0.25">
      <c r="A1537" s="4" t="s">
        <v>21</v>
      </c>
      <c r="B1537" s="4" t="s">
        <v>44</v>
      </c>
      <c r="C1537" s="4" t="s">
        <v>34</v>
      </c>
      <c r="D1537" s="4" t="s">
        <v>42</v>
      </c>
      <c r="E1537" s="4" t="s">
        <v>25</v>
      </c>
      <c r="F1537" s="4" t="s">
        <v>25</v>
      </c>
      <c r="G1537" s="4" t="s">
        <v>25</v>
      </c>
      <c r="H1537" s="4" t="s">
        <v>35</v>
      </c>
      <c r="I1537" s="5">
        <v>44044</v>
      </c>
      <c r="J1537" s="6">
        <v>0</v>
      </c>
      <c r="K1537" s="6">
        <v>0</v>
      </c>
      <c r="L1537" s="6">
        <v>382.06700000000001</v>
      </c>
      <c r="M1537" s="6">
        <v>382.06700000000001</v>
      </c>
      <c r="N1537" s="6">
        <v>382.06700000000001</v>
      </c>
      <c r="O1537" s="6">
        <v>382.06700000000001</v>
      </c>
      <c r="P1537" s="6">
        <v>0</v>
      </c>
      <c r="Q1537" s="4" t="s">
        <v>26</v>
      </c>
      <c r="R1537" s="4">
        <v>0</v>
      </c>
      <c r="S1537" s="6">
        <v>0</v>
      </c>
      <c r="T1537" s="6">
        <v>36</v>
      </c>
      <c r="U1537" s="6">
        <v>83</v>
      </c>
      <c r="V1537" s="6">
        <f>IF(ISERROR(VLOOKUP($S$1537,'TAR FIN'!$A$1:$O$120,15,0)),0,VLOOKUP($S$1537,'TAR FIN'!$A$1:$O$120,15,0))</f>
        <v>0</v>
      </c>
      <c r="W1537" s="6">
        <f>IF(ISERROR(VLOOKUP($T$1537,'TAR FIN'!$A$1:$O$120,15,0)),0,VLOOKUP($T$1537,'TAR FIN'!$A$1:$O$120,15,0))</f>
        <v>1174.6600000000001</v>
      </c>
      <c r="X1537" s="6">
        <f>IF(ISERROR(VLOOKUP($U$1537,'TAR FIN'!$A$1:$O$120,15,0)),0,VLOOKUP($U$1537,'TAR FIN'!$A$1:$O$120,15,0))</f>
        <v>430.87</v>
      </c>
      <c r="Y1537" s="6"/>
      <c r="Z1537" s="6">
        <f ca="1">('TUSD BE'!$AM$44+'TUSD BF'!$AM$44+'TUSD CVA'!$AM$44)*1</f>
        <v>1305.5497259800161</v>
      </c>
      <c r="AA1537" s="6">
        <f>('TE BE'!$AA$13+'TE BF'!$AA$13+'TE CVA'!$AA$13)*1</f>
        <v>375.69180268700768</v>
      </c>
      <c r="AB1537" s="6">
        <f>$K$1537*$V$1537</f>
        <v>0</v>
      </c>
      <c r="AC1537" s="6">
        <f>$M$1537*$W$1537</f>
        <v>448798.82222000003</v>
      </c>
      <c r="AD1537" s="6">
        <f>$O$1537*$X$1537</f>
        <v>164621.20829000001</v>
      </c>
      <c r="AE1537" s="6">
        <f>$K$1537*$Y$1537</f>
        <v>0</v>
      </c>
      <c r="AF1537" s="6">
        <f ca="1">$M$1537*$Z$1537</f>
        <v>498807.46715600684</v>
      </c>
      <c r="AG1537" s="6">
        <f>$O$1537*$AA$1537</f>
        <v>143539.43997721697</v>
      </c>
    </row>
    <row r="1538" spans="1:33" ht="11.25" customHeight="1" x14ac:dyDescent="0.25">
      <c r="A1538" s="4" t="s">
        <v>27</v>
      </c>
      <c r="B1538" s="4" t="s">
        <v>44</v>
      </c>
      <c r="C1538" s="4" t="s">
        <v>34</v>
      </c>
      <c r="D1538" s="4" t="s">
        <v>42</v>
      </c>
      <c r="E1538" s="4" t="s">
        <v>25</v>
      </c>
      <c r="F1538" s="4" t="s">
        <v>25</v>
      </c>
      <c r="G1538" s="4" t="s">
        <v>25</v>
      </c>
      <c r="H1538" s="4" t="s">
        <v>35</v>
      </c>
      <c r="I1538" s="5">
        <v>44044</v>
      </c>
      <c r="J1538" s="6">
        <v>0</v>
      </c>
      <c r="K1538" s="6">
        <v>0</v>
      </c>
      <c r="L1538" s="6">
        <v>14.215999999999999</v>
      </c>
      <c r="M1538" s="6">
        <v>14.215999999999999</v>
      </c>
      <c r="N1538" s="6">
        <v>14.215999999999999</v>
      </c>
      <c r="O1538" s="6">
        <v>14.215999999999999</v>
      </c>
      <c r="P1538" s="6">
        <v>0</v>
      </c>
      <c r="Q1538" s="4" t="s">
        <v>26</v>
      </c>
      <c r="R1538" s="4">
        <v>0</v>
      </c>
      <c r="S1538" s="6">
        <v>0</v>
      </c>
      <c r="T1538" s="6">
        <v>36</v>
      </c>
      <c r="U1538" s="6">
        <v>83</v>
      </c>
      <c r="V1538" s="6">
        <f>IF(ISERROR(VLOOKUP($S$1538,'TAR FIN'!$A$1:$O$120,15,0)),0,VLOOKUP($S$1538,'TAR FIN'!$A$1:$O$120,15,0))</f>
        <v>0</v>
      </c>
      <c r="W1538" s="6">
        <f>IF(ISERROR(VLOOKUP($T$1538,'TAR FIN'!$A$1:$O$120,15,0)),0,VLOOKUP($T$1538,'TAR FIN'!$A$1:$O$120,15,0))</f>
        <v>1174.6600000000001</v>
      </c>
      <c r="X1538" s="6">
        <f>IF(ISERROR(VLOOKUP($U$1538,'TAR FIN'!$A$1:$O$120,15,0)),0,VLOOKUP($U$1538,'TAR FIN'!$A$1:$O$120,15,0))</f>
        <v>430.87</v>
      </c>
      <c r="Y1538" s="6"/>
      <c r="Z1538" s="6">
        <f ca="1">('TUSD BE'!$AM$44+'TUSD BF'!$AM$44+'TUSD CVA'!$AM$44)*1</f>
        <v>1305.5497259800161</v>
      </c>
      <c r="AA1538" s="6">
        <f>('TE BE'!$AA$13+'TE BF'!$AA$13+'TE CVA'!$AA$13)*1</f>
        <v>375.69180268700768</v>
      </c>
      <c r="AB1538" s="6">
        <f>$K$1538*$V$1538</f>
        <v>0</v>
      </c>
      <c r="AC1538" s="6">
        <f>$M$1538*$W$1538</f>
        <v>16698.966560000001</v>
      </c>
      <c r="AD1538" s="6">
        <f>$O$1538*$X$1538</f>
        <v>6125.2479199999998</v>
      </c>
      <c r="AE1538" s="6">
        <f>$K$1538*$Y$1538</f>
        <v>0</v>
      </c>
      <c r="AF1538" s="6">
        <f ca="1">$M$1538*$Z$1538</f>
        <v>18559.694904531909</v>
      </c>
      <c r="AG1538" s="6">
        <f>$O$1538*$AA$1538</f>
        <v>5340.8346669985012</v>
      </c>
    </row>
    <row r="1539" spans="1:33" ht="11.25" customHeight="1" x14ac:dyDescent="0.25">
      <c r="A1539" s="4" t="s">
        <v>28</v>
      </c>
      <c r="B1539" s="4" t="s">
        <v>44</v>
      </c>
      <c r="C1539" s="4" t="s">
        <v>34</v>
      </c>
      <c r="D1539" s="4" t="s">
        <v>42</v>
      </c>
      <c r="E1539" s="4" t="s">
        <v>25</v>
      </c>
      <c r="F1539" s="4" t="s">
        <v>25</v>
      </c>
      <c r="G1539" s="4" t="s">
        <v>25</v>
      </c>
      <c r="H1539" s="4" t="s">
        <v>35</v>
      </c>
      <c r="I1539" s="5">
        <v>44044</v>
      </c>
      <c r="J1539" s="6">
        <v>0</v>
      </c>
      <c r="K1539" s="6">
        <v>0</v>
      </c>
      <c r="L1539" s="6">
        <v>32.156999999999996</v>
      </c>
      <c r="M1539" s="6">
        <v>32.156999999999996</v>
      </c>
      <c r="N1539" s="6">
        <v>32.156999999999996</v>
      </c>
      <c r="O1539" s="6">
        <v>32.156999999999996</v>
      </c>
      <c r="P1539" s="6">
        <v>0</v>
      </c>
      <c r="Q1539" s="4" t="s">
        <v>26</v>
      </c>
      <c r="R1539" s="4">
        <v>0</v>
      </c>
      <c r="S1539" s="6">
        <v>0</v>
      </c>
      <c r="T1539" s="6">
        <v>36</v>
      </c>
      <c r="U1539" s="6">
        <v>83</v>
      </c>
      <c r="V1539" s="6">
        <f>IF(ISERROR(VLOOKUP($S$1539,'TAR FIN'!$A$1:$O$120,15,0)),0,VLOOKUP($S$1539,'TAR FIN'!$A$1:$O$120,15,0))</f>
        <v>0</v>
      </c>
      <c r="W1539" s="6">
        <f>IF(ISERROR(VLOOKUP($T$1539,'TAR FIN'!$A$1:$O$120,15,0)),0,VLOOKUP($T$1539,'TAR FIN'!$A$1:$O$120,15,0))</f>
        <v>1174.6600000000001</v>
      </c>
      <c r="X1539" s="6">
        <f>IF(ISERROR(VLOOKUP($U$1539,'TAR FIN'!$A$1:$O$120,15,0)),0,VLOOKUP($U$1539,'TAR FIN'!$A$1:$O$120,15,0))</f>
        <v>430.87</v>
      </c>
      <c r="Y1539" s="6"/>
      <c r="Z1539" s="6">
        <f ca="1">('TUSD BE'!$AM$44+'TUSD BF'!$AM$44+'TUSD CVA'!$AM$44)*1</f>
        <v>1305.5497259800161</v>
      </c>
      <c r="AA1539" s="6">
        <f>('TE BE'!$AA$13+'TE BF'!$AA$13+'TE CVA'!$AA$13)*1</f>
        <v>375.69180268700768</v>
      </c>
      <c r="AB1539" s="6">
        <f>$K$1539*$V$1539</f>
        <v>0</v>
      </c>
      <c r="AC1539" s="6">
        <f>$M$1539*$W$1539</f>
        <v>37773.541619999996</v>
      </c>
      <c r="AD1539" s="6">
        <f>$O$1539*$X$1539</f>
        <v>13855.486589999999</v>
      </c>
      <c r="AE1539" s="6">
        <f>$K$1539*$Y$1539</f>
        <v>0</v>
      </c>
      <c r="AF1539" s="6">
        <f ca="1">$M$1539*$Z$1539</f>
        <v>41982.562538339371</v>
      </c>
      <c r="AG1539" s="6">
        <f>$O$1539*$AA$1539</f>
        <v>12081.121299006105</v>
      </c>
    </row>
    <row r="1540" spans="1:33" ht="11.25" customHeight="1" x14ac:dyDescent="0.25">
      <c r="A1540" s="4" t="s">
        <v>59</v>
      </c>
      <c r="B1540" s="4" t="s">
        <v>44</v>
      </c>
      <c r="C1540" s="4" t="s">
        <v>34</v>
      </c>
      <c r="D1540" s="4" t="s">
        <v>42</v>
      </c>
      <c r="E1540" s="4" t="s">
        <v>25</v>
      </c>
      <c r="F1540" s="4" t="s">
        <v>25</v>
      </c>
      <c r="G1540" s="4" t="s">
        <v>25</v>
      </c>
      <c r="H1540" s="4" t="s">
        <v>35</v>
      </c>
      <c r="I1540" s="5">
        <v>44075</v>
      </c>
      <c r="J1540" s="6">
        <v>0</v>
      </c>
      <c r="K1540" s="6">
        <v>0</v>
      </c>
      <c r="L1540" s="6">
        <v>382.06700000000001</v>
      </c>
      <c r="M1540" s="6">
        <v>382.06700000000001</v>
      </c>
      <c r="N1540" s="6">
        <v>382.06700000000001</v>
      </c>
      <c r="O1540" s="6">
        <v>382.06700000000001</v>
      </c>
      <c r="P1540" s="6">
        <v>0</v>
      </c>
      <c r="Q1540" s="4" t="s">
        <v>26</v>
      </c>
      <c r="R1540" s="4">
        <v>0</v>
      </c>
      <c r="S1540" s="6">
        <v>0</v>
      </c>
      <c r="T1540" s="6">
        <v>36</v>
      </c>
      <c r="U1540" s="6">
        <v>83</v>
      </c>
      <c r="V1540" s="6">
        <f>IF(ISERROR(VLOOKUP($S$1540,'TAR FIN'!$A$1:$O$120,15,0)),0,VLOOKUP($S$1540,'TAR FIN'!$A$1:$O$120,15,0))</f>
        <v>0</v>
      </c>
      <c r="W1540" s="6">
        <f>IF(ISERROR(VLOOKUP($T$1540,'TAR FIN'!$A$1:$O$120,15,0)),0,VLOOKUP($T$1540,'TAR FIN'!$A$1:$O$120,15,0))</f>
        <v>1174.6600000000001</v>
      </c>
      <c r="X1540" s="6">
        <f>IF(ISERROR(VLOOKUP($U$1540,'TAR FIN'!$A$1:$O$120,15,0)),0,VLOOKUP($U$1540,'TAR FIN'!$A$1:$O$120,15,0))</f>
        <v>430.87</v>
      </c>
      <c r="Y1540" s="6"/>
      <c r="Z1540" s="6">
        <f ca="1">('TUSD BE'!$AM$44+'TUSD BF'!$AM$44+'TUSD CVA'!$AM$44)*1</f>
        <v>1305.5497259800161</v>
      </c>
      <c r="AA1540" s="6">
        <f>('TE BE'!$AA$13+'TE BF'!$AA$13+'TE CVA'!$AA$13)*1</f>
        <v>375.69180268700768</v>
      </c>
      <c r="AB1540" s="6">
        <f>$K$1540*$V$1540</f>
        <v>0</v>
      </c>
      <c r="AC1540" s="6">
        <f>$M$1540*$W$1540</f>
        <v>448798.82222000003</v>
      </c>
      <c r="AD1540" s="6">
        <f>$O$1540*$X$1540</f>
        <v>164621.20829000001</v>
      </c>
      <c r="AE1540" s="6">
        <f>$K$1540*$Y$1540</f>
        <v>0</v>
      </c>
      <c r="AF1540" s="6">
        <f ca="1">$M$1540*$Z$1540</f>
        <v>498807.46715600684</v>
      </c>
      <c r="AG1540" s="6">
        <f>$O$1540*$AA$1540</f>
        <v>143539.43997721697</v>
      </c>
    </row>
    <row r="1541" spans="1:33" ht="11.25" customHeight="1" x14ac:dyDescent="0.25">
      <c r="A1541" s="4" t="s">
        <v>59</v>
      </c>
      <c r="B1541" s="4" t="s">
        <v>44</v>
      </c>
      <c r="C1541" s="4" t="s">
        <v>34</v>
      </c>
      <c r="D1541" s="4" t="s">
        <v>42</v>
      </c>
      <c r="E1541" s="4" t="s">
        <v>25</v>
      </c>
      <c r="F1541" s="4" t="s">
        <v>25</v>
      </c>
      <c r="G1541" s="4" t="s">
        <v>25</v>
      </c>
      <c r="H1541" s="4" t="s">
        <v>35</v>
      </c>
      <c r="I1541" s="5">
        <v>44075</v>
      </c>
      <c r="J1541" s="6">
        <v>0</v>
      </c>
      <c r="K1541" s="6">
        <v>0</v>
      </c>
      <c r="L1541" s="6">
        <v>14.215999999999999</v>
      </c>
      <c r="M1541" s="6">
        <v>14.215999999999999</v>
      </c>
      <c r="N1541" s="6">
        <v>14.215999999999999</v>
      </c>
      <c r="O1541" s="6">
        <v>14.215999999999999</v>
      </c>
      <c r="P1541" s="6">
        <v>0</v>
      </c>
      <c r="Q1541" s="4" t="s">
        <v>26</v>
      </c>
      <c r="R1541" s="4">
        <v>0</v>
      </c>
      <c r="S1541" s="6">
        <v>0</v>
      </c>
      <c r="T1541" s="6">
        <v>36</v>
      </c>
      <c r="U1541" s="6">
        <v>83</v>
      </c>
      <c r="V1541" s="6">
        <f>IF(ISERROR(VLOOKUP($S$1541,'TAR FIN'!$A$1:$O$120,15,0)),0,VLOOKUP($S$1541,'TAR FIN'!$A$1:$O$120,15,0))</f>
        <v>0</v>
      </c>
      <c r="W1541" s="6">
        <f>IF(ISERROR(VLOOKUP($T$1541,'TAR FIN'!$A$1:$O$120,15,0)),0,VLOOKUP($T$1541,'TAR FIN'!$A$1:$O$120,15,0))</f>
        <v>1174.6600000000001</v>
      </c>
      <c r="X1541" s="6">
        <f>IF(ISERROR(VLOOKUP($U$1541,'TAR FIN'!$A$1:$O$120,15,0)),0,VLOOKUP($U$1541,'TAR FIN'!$A$1:$O$120,15,0))</f>
        <v>430.87</v>
      </c>
      <c r="Y1541" s="6"/>
      <c r="Z1541" s="6">
        <f ca="1">('TUSD BE'!$AM$44+'TUSD BF'!$AM$44+'TUSD CVA'!$AM$44)*1</f>
        <v>1305.5497259800161</v>
      </c>
      <c r="AA1541" s="6">
        <f>('TE BE'!$AA$13+'TE BF'!$AA$13+'TE CVA'!$AA$13)*1</f>
        <v>375.69180268700768</v>
      </c>
      <c r="AB1541" s="6">
        <f>$K$1541*$V$1541</f>
        <v>0</v>
      </c>
      <c r="AC1541" s="6">
        <f>$M$1541*$W$1541</f>
        <v>16698.966560000001</v>
      </c>
      <c r="AD1541" s="6">
        <f>$O$1541*$X$1541</f>
        <v>6125.2479199999998</v>
      </c>
      <c r="AE1541" s="6">
        <f>$K$1541*$Y$1541</f>
        <v>0</v>
      </c>
      <c r="AF1541" s="6">
        <f ca="1">$M$1541*$Z$1541</f>
        <v>18559.694904531909</v>
      </c>
      <c r="AG1541" s="6">
        <f>$O$1541*$AA$1541</f>
        <v>5340.8346669985012</v>
      </c>
    </row>
    <row r="1542" spans="1:33" ht="11.25" customHeight="1" x14ac:dyDescent="0.25">
      <c r="A1542" s="4" t="s">
        <v>59</v>
      </c>
      <c r="B1542" s="4" t="s">
        <v>44</v>
      </c>
      <c r="C1542" s="4" t="s">
        <v>34</v>
      </c>
      <c r="D1542" s="4" t="s">
        <v>42</v>
      </c>
      <c r="E1542" s="4" t="s">
        <v>25</v>
      </c>
      <c r="F1542" s="4" t="s">
        <v>25</v>
      </c>
      <c r="G1542" s="4" t="s">
        <v>25</v>
      </c>
      <c r="H1542" s="4" t="s">
        <v>35</v>
      </c>
      <c r="I1542" s="5">
        <v>44075</v>
      </c>
      <c r="J1542" s="6">
        <v>0</v>
      </c>
      <c r="K1542" s="6">
        <v>0</v>
      </c>
      <c r="L1542" s="6">
        <v>32.156999999999996</v>
      </c>
      <c r="M1542" s="6">
        <v>32.156999999999996</v>
      </c>
      <c r="N1542" s="6">
        <v>32.156999999999996</v>
      </c>
      <c r="O1542" s="6">
        <v>32.156999999999996</v>
      </c>
      <c r="P1542" s="6">
        <v>0</v>
      </c>
      <c r="Q1542" s="4" t="s">
        <v>26</v>
      </c>
      <c r="R1542" s="4">
        <v>0</v>
      </c>
      <c r="S1542" s="6">
        <v>0</v>
      </c>
      <c r="T1542" s="6">
        <v>36</v>
      </c>
      <c r="U1542" s="6">
        <v>83</v>
      </c>
      <c r="V1542" s="6">
        <f>IF(ISERROR(VLOOKUP($S$1542,'TAR FIN'!$A$1:$O$120,15,0)),0,VLOOKUP($S$1542,'TAR FIN'!$A$1:$O$120,15,0))</f>
        <v>0</v>
      </c>
      <c r="W1542" s="6">
        <f>IF(ISERROR(VLOOKUP($T$1542,'TAR FIN'!$A$1:$O$120,15,0)),0,VLOOKUP($T$1542,'TAR FIN'!$A$1:$O$120,15,0))</f>
        <v>1174.6600000000001</v>
      </c>
      <c r="X1542" s="6">
        <f>IF(ISERROR(VLOOKUP($U$1542,'TAR FIN'!$A$1:$O$120,15,0)),0,VLOOKUP($U$1542,'TAR FIN'!$A$1:$O$120,15,0))</f>
        <v>430.87</v>
      </c>
      <c r="Y1542" s="6"/>
      <c r="Z1542" s="6">
        <f ca="1">('TUSD BE'!$AM$44+'TUSD BF'!$AM$44+'TUSD CVA'!$AM$44)*1</f>
        <v>1305.5497259800161</v>
      </c>
      <c r="AA1542" s="6">
        <f>('TE BE'!$AA$13+'TE BF'!$AA$13+'TE CVA'!$AA$13)*1</f>
        <v>375.69180268700768</v>
      </c>
      <c r="AB1542" s="6">
        <f>$K$1542*$V$1542</f>
        <v>0</v>
      </c>
      <c r="AC1542" s="6">
        <f>$M$1542*$W$1542</f>
        <v>37773.541619999996</v>
      </c>
      <c r="AD1542" s="6">
        <f>$O$1542*$X$1542</f>
        <v>13855.486589999999</v>
      </c>
      <c r="AE1542" s="6">
        <f>$K$1542*$Y$1542</f>
        <v>0</v>
      </c>
      <c r="AF1542" s="6">
        <f ca="1">$M$1542*$Z$1542</f>
        <v>41982.562538339371</v>
      </c>
      <c r="AG1542" s="6">
        <f>$O$1542*$AA$1542</f>
        <v>12081.121299006105</v>
      </c>
    </row>
    <row r="1543" spans="1:33" ht="11.25" customHeight="1" x14ac:dyDescent="0.25">
      <c r="A1543" s="4" t="s">
        <v>21</v>
      </c>
      <c r="B1543" s="4" t="s">
        <v>44</v>
      </c>
      <c r="C1543" s="4" t="s">
        <v>34</v>
      </c>
      <c r="D1543" s="4" t="s">
        <v>40</v>
      </c>
      <c r="E1543" s="4" t="s">
        <v>25</v>
      </c>
      <c r="F1543" s="4" t="s">
        <v>63</v>
      </c>
      <c r="G1543" s="4" t="s">
        <v>25</v>
      </c>
      <c r="H1543" s="4" t="s">
        <v>36</v>
      </c>
      <c r="I1543" s="5">
        <v>43739</v>
      </c>
      <c r="J1543" s="6">
        <v>0</v>
      </c>
      <c r="K1543" s="6">
        <v>0</v>
      </c>
      <c r="L1543" s="6">
        <v>2216.1469999999999</v>
      </c>
      <c r="M1543" s="6">
        <v>2216.1469999999999</v>
      </c>
      <c r="N1543" s="6">
        <v>0</v>
      </c>
      <c r="O1543" s="6">
        <v>0</v>
      </c>
      <c r="P1543" s="6">
        <v>0</v>
      </c>
      <c r="Q1543" s="4" t="s">
        <v>60</v>
      </c>
      <c r="R1543" s="4">
        <v>0</v>
      </c>
      <c r="S1543" s="6">
        <v>0</v>
      </c>
      <c r="T1543" s="6">
        <v>37</v>
      </c>
      <c r="U1543" s="6">
        <v>0</v>
      </c>
      <c r="V1543" s="6">
        <f>IF(ISERROR(VLOOKUP($S$1543,'TAR FIN'!$A$1:$O$120,15,0)),0,VLOOKUP($S$1543,'TAR FIN'!$A$1:$O$120,15,0))</f>
        <v>0</v>
      </c>
      <c r="W1543" s="6">
        <f>IF(ISERROR(VLOOKUP($T$1543,'TAR FIN'!$A$1:$O$120,15,0)),0,VLOOKUP($T$1543,'TAR FIN'!$A$1:$O$120,15,0))</f>
        <v>109.75</v>
      </c>
      <c r="X1543" s="6">
        <f>IF(ISERROR(VLOOKUP($U$1543,'TAR FIN'!$A$1:$O$120,15,0)),0,VLOOKUP($U$1543,'TAR FIN'!$A$1:$O$120,15,0))</f>
        <v>0</v>
      </c>
      <c r="Y1543" s="6"/>
      <c r="Z1543" s="6">
        <f ca="1">('TUSD BE'!$AM$45+'TUSD BF'!$AM$45+'TUSD CVA'!$AM$45)*1</f>
        <v>112.97896283052546</v>
      </c>
      <c r="AA1543" s="6"/>
      <c r="AB1543" s="6">
        <f>$K$1543*$V$1543</f>
        <v>0</v>
      </c>
      <c r="AC1543" s="6">
        <f>$M$1543*$W$1543</f>
        <v>243222.13324999998</v>
      </c>
      <c r="AD1543" s="6">
        <f>$O$1543*$X$1543</f>
        <v>0</v>
      </c>
      <c r="AE1543" s="6">
        <f>$K$1543*$Y$1543</f>
        <v>0</v>
      </c>
      <c r="AF1543" s="6">
        <f ca="1">$M$1543*$Z$1543</f>
        <v>250377.98953998051</v>
      </c>
      <c r="AG1543" s="6">
        <f>$O$1543*$AA$1543</f>
        <v>0</v>
      </c>
    </row>
    <row r="1544" spans="1:33" ht="11.25" customHeight="1" x14ac:dyDescent="0.25">
      <c r="A1544" s="4" t="s">
        <v>21</v>
      </c>
      <c r="B1544" s="4" t="s">
        <v>44</v>
      </c>
      <c r="C1544" s="4" t="s">
        <v>34</v>
      </c>
      <c r="D1544" s="4" t="s">
        <v>40</v>
      </c>
      <c r="E1544" s="4" t="s">
        <v>25</v>
      </c>
      <c r="F1544" s="4" t="s">
        <v>63</v>
      </c>
      <c r="G1544" s="4" t="s">
        <v>25</v>
      </c>
      <c r="H1544" s="4" t="s">
        <v>36</v>
      </c>
      <c r="I1544" s="5">
        <v>43770</v>
      </c>
      <c r="J1544" s="6">
        <v>0</v>
      </c>
      <c r="K1544" s="6">
        <v>0</v>
      </c>
      <c r="L1544" s="6">
        <v>2075.64</v>
      </c>
      <c r="M1544" s="6">
        <v>2075.64</v>
      </c>
      <c r="N1544" s="6">
        <v>0</v>
      </c>
      <c r="O1544" s="6">
        <v>0</v>
      </c>
      <c r="P1544" s="6">
        <v>0</v>
      </c>
      <c r="Q1544" s="4" t="s">
        <v>60</v>
      </c>
      <c r="R1544" s="4">
        <v>0</v>
      </c>
      <c r="S1544" s="6">
        <v>0</v>
      </c>
      <c r="T1544" s="6">
        <v>37</v>
      </c>
      <c r="U1544" s="6">
        <v>0</v>
      </c>
      <c r="V1544" s="6">
        <f>IF(ISERROR(VLOOKUP($S$1544,'TAR FIN'!$A$1:$O$120,15,0)),0,VLOOKUP($S$1544,'TAR FIN'!$A$1:$O$120,15,0))</f>
        <v>0</v>
      </c>
      <c r="W1544" s="6">
        <f>IF(ISERROR(VLOOKUP($T$1544,'TAR FIN'!$A$1:$O$120,15,0)),0,VLOOKUP($T$1544,'TAR FIN'!$A$1:$O$120,15,0))</f>
        <v>109.75</v>
      </c>
      <c r="X1544" s="6">
        <f>IF(ISERROR(VLOOKUP($U$1544,'TAR FIN'!$A$1:$O$120,15,0)),0,VLOOKUP($U$1544,'TAR FIN'!$A$1:$O$120,15,0))</f>
        <v>0</v>
      </c>
      <c r="Y1544" s="6"/>
      <c r="Z1544" s="6">
        <f ca="1">('TUSD BE'!$AM$45+'TUSD BF'!$AM$45+'TUSD CVA'!$AM$45)*1</f>
        <v>112.97896283052546</v>
      </c>
      <c r="AA1544" s="6"/>
      <c r="AB1544" s="6">
        <f>$K$1544*$V$1544</f>
        <v>0</v>
      </c>
      <c r="AC1544" s="6">
        <f>$M$1544*$W$1544</f>
        <v>227801.49</v>
      </c>
      <c r="AD1544" s="6">
        <f>$O$1544*$X$1544</f>
        <v>0</v>
      </c>
      <c r="AE1544" s="6">
        <f>$K$1544*$Y$1544</f>
        <v>0</v>
      </c>
      <c r="AF1544" s="6">
        <f ca="1">$M$1544*$Z$1544</f>
        <v>234503.65440955185</v>
      </c>
      <c r="AG1544" s="6">
        <f>$O$1544*$AA$1544</f>
        <v>0</v>
      </c>
    </row>
    <row r="1545" spans="1:33" ht="11.25" customHeight="1" x14ac:dyDescent="0.25">
      <c r="A1545" s="4" t="s">
        <v>21</v>
      </c>
      <c r="B1545" s="4" t="s">
        <v>44</v>
      </c>
      <c r="C1545" s="4" t="s">
        <v>34</v>
      </c>
      <c r="D1545" s="4" t="s">
        <v>40</v>
      </c>
      <c r="E1545" s="4" t="s">
        <v>25</v>
      </c>
      <c r="F1545" s="4" t="s">
        <v>63</v>
      </c>
      <c r="G1545" s="4" t="s">
        <v>25</v>
      </c>
      <c r="H1545" s="4" t="s">
        <v>36</v>
      </c>
      <c r="I1545" s="5">
        <v>43800</v>
      </c>
      <c r="J1545" s="6">
        <v>0</v>
      </c>
      <c r="K1545" s="6">
        <v>0</v>
      </c>
      <c r="L1545" s="6">
        <v>2183.33</v>
      </c>
      <c r="M1545" s="6">
        <v>2183.33</v>
      </c>
      <c r="N1545" s="6">
        <v>0</v>
      </c>
      <c r="O1545" s="6">
        <v>0</v>
      </c>
      <c r="P1545" s="6">
        <v>0</v>
      </c>
      <c r="Q1545" s="4" t="s">
        <v>60</v>
      </c>
      <c r="R1545" s="4">
        <v>0</v>
      </c>
      <c r="S1545" s="6">
        <v>0</v>
      </c>
      <c r="T1545" s="6">
        <v>37</v>
      </c>
      <c r="U1545" s="6">
        <v>0</v>
      </c>
      <c r="V1545" s="6">
        <f>IF(ISERROR(VLOOKUP($S$1545,'TAR FIN'!$A$1:$O$120,15,0)),0,VLOOKUP($S$1545,'TAR FIN'!$A$1:$O$120,15,0))</f>
        <v>0</v>
      </c>
      <c r="W1545" s="6">
        <f>IF(ISERROR(VLOOKUP($T$1545,'TAR FIN'!$A$1:$O$120,15,0)),0,VLOOKUP($T$1545,'TAR FIN'!$A$1:$O$120,15,0))</f>
        <v>109.75</v>
      </c>
      <c r="X1545" s="6">
        <f>IF(ISERROR(VLOOKUP($U$1545,'TAR FIN'!$A$1:$O$120,15,0)),0,VLOOKUP($U$1545,'TAR FIN'!$A$1:$O$120,15,0))</f>
        <v>0</v>
      </c>
      <c r="Y1545" s="6"/>
      <c r="Z1545" s="6">
        <f ca="1">('TUSD BE'!$AM$45+'TUSD BF'!$AM$45+'TUSD CVA'!$AM$45)*1</f>
        <v>112.97896283052546</v>
      </c>
      <c r="AA1545" s="6"/>
      <c r="AB1545" s="6">
        <f>$K$1545*$V$1545</f>
        <v>0</v>
      </c>
      <c r="AC1545" s="6">
        <f>$M$1545*$W$1545</f>
        <v>239620.4675</v>
      </c>
      <c r="AD1545" s="6">
        <f>$O$1545*$X$1545</f>
        <v>0</v>
      </c>
      <c r="AE1545" s="6">
        <f>$K$1545*$Y$1545</f>
        <v>0</v>
      </c>
      <c r="AF1545" s="6">
        <f ca="1">$M$1545*$Z$1545</f>
        <v>246670.35891677113</v>
      </c>
      <c r="AG1545" s="6">
        <f>$O$1545*$AA$1545</f>
        <v>0</v>
      </c>
    </row>
    <row r="1546" spans="1:33" ht="11.25" customHeight="1" x14ac:dyDescent="0.25">
      <c r="A1546" s="4" t="s">
        <v>21</v>
      </c>
      <c r="B1546" s="4" t="s">
        <v>44</v>
      </c>
      <c r="C1546" s="4" t="s">
        <v>34</v>
      </c>
      <c r="D1546" s="4" t="s">
        <v>40</v>
      </c>
      <c r="E1546" s="4" t="s">
        <v>25</v>
      </c>
      <c r="F1546" s="4" t="s">
        <v>63</v>
      </c>
      <c r="G1546" s="4" t="s">
        <v>25</v>
      </c>
      <c r="H1546" s="4" t="s">
        <v>36</v>
      </c>
      <c r="I1546" s="5">
        <v>43831</v>
      </c>
      <c r="J1546" s="6">
        <v>0</v>
      </c>
      <c r="K1546" s="6">
        <v>0</v>
      </c>
      <c r="L1546" s="6">
        <v>2192.85</v>
      </c>
      <c r="M1546" s="6">
        <v>2192.85</v>
      </c>
      <c r="N1546" s="6">
        <v>0</v>
      </c>
      <c r="O1546" s="6">
        <v>0</v>
      </c>
      <c r="P1546" s="6">
        <v>0</v>
      </c>
      <c r="Q1546" s="4" t="s">
        <v>60</v>
      </c>
      <c r="R1546" s="4">
        <v>0</v>
      </c>
      <c r="S1546" s="6">
        <v>0</v>
      </c>
      <c r="T1546" s="6">
        <v>37</v>
      </c>
      <c r="U1546" s="6">
        <v>0</v>
      </c>
      <c r="V1546" s="6">
        <f>IF(ISERROR(VLOOKUP($S$1546,'TAR FIN'!$A$1:$O$120,15,0)),0,VLOOKUP($S$1546,'TAR FIN'!$A$1:$O$120,15,0))</f>
        <v>0</v>
      </c>
      <c r="W1546" s="6">
        <f>IF(ISERROR(VLOOKUP($T$1546,'TAR FIN'!$A$1:$O$120,15,0)),0,VLOOKUP($T$1546,'TAR FIN'!$A$1:$O$120,15,0))</f>
        <v>109.75</v>
      </c>
      <c r="X1546" s="6">
        <f>IF(ISERROR(VLOOKUP($U$1546,'TAR FIN'!$A$1:$O$120,15,0)),0,VLOOKUP($U$1546,'TAR FIN'!$A$1:$O$120,15,0))</f>
        <v>0</v>
      </c>
      <c r="Y1546" s="6"/>
      <c r="Z1546" s="6">
        <f ca="1">('TUSD BE'!$AM$45+'TUSD BF'!$AM$45+'TUSD CVA'!$AM$45)*1</f>
        <v>112.97896283052546</v>
      </c>
      <c r="AA1546" s="6"/>
      <c r="AB1546" s="6">
        <f>$K$1546*$V$1546</f>
        <v>0</v>
      </c>
      <c r="AC1546" s="6">
        <f>$M$1546*$W$1546</f>
        <v>240665.28749999998</v>
      </c>
      <c r="AD1546" s="6">
        <f>$O$1546*$X$1546</f>
        <v>0</v>
      </c>
      <c r="AE1546" s="6">
        <f>$K$1546*$Y$1546</f>
        <v>0</v>
      </c>
      <c r="AF1546" s="6">
        <f ca="1">$M$1546*$Z$1546</f>
        <v>247745.91864291774</v>
      </c>
      <c r="AG1546" s="6">
        <f>$O$1546*$AA$1546</f>
        <v>0</v>
      </c>
    </row>
    <row r="1547" spans="1:33" ht="11.25" customHeight="1" x14ac:dyDescent="0.25">
      <c r="A1547" s="4" t="s">
        <v>21</v>
      </c>
      <c r="B1547" s="4" t="s">
        <v>44</v>
      </c>
      <c r="C1547" s="4" t="s">
        <v>34</v>
      </c>
      <c r="D1547" s="4" t="s">
        <v>40</v>
      </c>
      <c r="E1547" s="4" t="s">
        <v>25</v>
      </c>
      <c r="F1547" s="4" t="s">
        <v>63</v>
      </c>
      <c r="G1547" s="4" t="s">
        <v>25</v>
      </c>
      <c r="H1547" s="4" t="s">
        <v>36</v>
      </c>
      <c r="I1547" s="5">
        <v>43862</v>
      </c>
      <c r="J1547" s="6">
        <v>0</v>
      </c>
      <c r="K1547" s="6">
        <v>0</v>
      </c>
      <c r="L1547" s="6">
        <v>1960.819</v>
      </c>
      <c r="M1547" s="6">
        <v>1960.819</v>
      </c>
      <c r="N1547" s="6">
        <v>0</v>
      </c>
      <c r="O1547" s="6">
        <v>0</v>
      </c>
      <c r="P1547" s="6">
        <v>0</v>
      </c>
      <c r="Q1547" s="4" t="s">
        <v>60</v>
      </c>
      <c r="R1547" s="4">
        <v>0</v>
      </c>
      <c r="S1547" s="6">
        <v>0</v>
      </c>
      <c r="T1547" s="6">
        <v>37</v>
      </c>
      <c r="U1547" s="6">
        <v>0</v>
      </c>
      <c r="V1547" s="6">
        <f>IF(ISERROR(VLOOKUP($S$1547,'TAR FIN'!$A$1:$O$120,15,0)),0,VLOOKUP($S$1547,'TAR FIN'!$A$1:$O$120,15,0))</f>
        <v>0</v>
      </c>
      <c r="W1547" s="6">
        <f>IF(ISERROR(VLOOKUP($T$1547,'TAR FIN'!$A$1:$O$120,15,0)),0,VLOOKUP($T$1547,'TAR FIN'!$A$1:$O$120,15,0))</f>
        <v>109.75</v>
      </c>
      <c r="X1547" s="6">
        <f>IF(ISERROR(VLOOKUP($U$1547,'TAR FIN'!$A$1:$O$120,15,0)),0,VLOOKUP($U$1547,'TAR FIN'!$A$1:$O$120,15,0))</f>
        <v>0</v>
      </c>
      <c r="Y1547" s="6"/>
      <c r="Z1547" s="6">
        <f ca="1">('TUSD BE'!$AM$45+'TUSD BF'!$AM$45+'TUSD CVA'!$AM$45)*1</f>
        <v>112.97896283052546</v>
      </c>
      <c r="AA1547" s="6"/>
      <c r="AB1547" s="6">
        <f>$K$1547*$V$1547</f>
        <v>0</v>
      </c>
      <c r="AC1547" s="6">
        <f>$M$1547*$W$1547</f>
        <v>215199.88524999999</v>
      </c>
      <c r="AD1547" s="6">
        <f>$O$1547*$X$1547</f>
        <v>0</v>
      </c>
      <c r="AE1547" s="6">
        <f>$K$1547*$Y$1547</f>
        <v>0</v>
      </c>
      <c r="AF1547" s="6">
        <f ca="1">$M$1547*$Z$1547</f>
        <v>221531.29691838811</v>
      </c>
      <c r="AG1547" s="6">
        <f>$O$1547*$AA$1547</f>
        <v>0</v>
      </c>
    </row>
    <row r="1548" spans="1:33" ht="11.25" customHeight="1" x14ac:dyDescent="0.25">
      <c r="A1548" s="4" t="s">
        <v>21</v>
      </c>
      <c r="B1548" s="4" t="s">
        <v>44</v>
      </c>
      <c r="C1548" s="4" t="s">
        <v>34</v>
      </c>
      <c r="D1548" s="4" t="s">
        <v>40</v>
      </c>
      <c r="E1548" s="4" t="s">
        <v>25</v>
      </c>
      <c r="F1548" s="4" t="s">
        <v>63</v>
      </c>
      <c r="G1548" s="4" t="s">
        <v>25</v>
      </c>
      <c r="H1548" s="4" t="s">
        <v>36</v>
      </c>
      <c r="I1548" s="5">
        <v>43891</v>
      </c>
      <c r="J1548" s="6">
        <v>0</v>
      </c>
      <c r="K1548" s="6">
        <v>0</v>
      </c>
      <c r="L1548" s="6">
        <v>2094.172</v>
      </c>
      <c r="M1548" s="6">
        <v>2094.172</v>
      </c>
      <c r="N1548" s="6">
        <v>0</v>
      </c>
      <c r="O1548" s="6">
        <v>0</v>
      </c>
      <c r="P1548" s="6">
        <v>0</v>
      </c>
      <c r="Q1548" s="4" t="s">
        <v>60</v>
      </c>
      <c r="R1548" s="4">
        <v>0</v>
      </c>
      <c r="S1548" s="6">
        <v>0</v>
      </c>
      <c r="T1548" s="6">
        <v>37</v>
      </c>
      <c r="U1548" s="6">
        <v>0</v>
      </c>
      <c r="V1548" s="6">
        <f>IF(ISERROR(VLOOKUP($S$1548,'TAR FIN'!$A$1:$O$120,15,0)),0,VLOOKUP($S$1548,'TAR FIN'!$A$1:$O$120,15,0))</f>
        <v>0</v>
      </c>
      <c r="W1548" s="6">
        <f>IF(ISERROR(VLOOKUP($T$1548,'TAR FIN'!$A$1:$O$120,15,0)),0,VLOOKUP($T$1548,'TAR FIN'!$A$1:$O$120,15,0))</f>
        <v>109.75</v>
      </c>
      <c r="X1548" s="6">
        <f>IF(ISERROR(VLOOKUP($U$1548,'TAR FIN'!$A$1:$O$120,15,0)),0,VLOOKUP($U$1548,'TAR FIN'!$A$1:$O$120,15,0))</f>
        <v>0</v>
      </c>
      <c r="Y1548" s="6"/>
      <c r="Z1548" s="6">
        <f ca="1">('TUSD BE'!$AM$45+'TUSD BF'!$AM$45+'TUSD CVA'!$AM$45)*1</f>
        <v>112.97896283052546</v>
      </c>
      <c r="AA1548" s="6"/>
      <c r="AB1548" s="6">
        <f>$K$1548*$V$1548</f>
        <v>0</v>
      </c>
      <c r="AC1548" s="6">
        <f>$M$1548*$W$1548</f>
        <v>229835.37700000001</v>
      </c>
      <c r="AD1548" s="6">
        <f>$O$1548*$X$1548</f>
        <v>0</v>
      </c>
      <c r="AE1548" s="6">
        <f>$K$1548*$Y$1548</f>
        <v>0</v>
      </c>
      <c r="AF1548" s="6">
        <f ca="1">$M$1548*$Z$1548</f>
        <v>236597.38054872717</v>
      </c>
      <c r="AG1548" s="6">
        <f>$O$1548*$AA$1548</f>
        <v>0</v>
      </c>
    </row>
    <row r="1549" spans="1:33" ht="11.25" customHeight="1" x14ac:dyDescent="0.25">
      <c r="A1549" s="4" t="s">
        <v>21</v>
      </c>
      <c r="B1549" s="4" t="s">
        <v>44</v>
      </c>
      <c r="C1549" s="4" t="s">
        <v>34</v>
      </c>
      <c r="D1549" s="4" t="s">
        <v>40</v>
      </c>
      <c r="E1549" s="4" t="s">
        <v>25</v>
      </c>
      <c r="F1549" s="4" t="s">
        <v>63</v>
      </c>
      <c r="G1549" s="4" t="s">
        <v>25</v>
      </c>
      <c r="H1549" s="4" t="s">
        <v>36</v>
      </c>
      <c r="I1549" s="5">
        <v>43922</v>
      </c>
      <c r="J1549" s="6">
        <v>0</v>
      </c>
      <c r="K1549" s="6">
        <v>0</v>
      </c>
      <c r="L1549" s="6">
        <v>1934.481</v>
      </c>
      <c r="M1549" s="6">
        <v>1934.481</v>
      </c>
      <c r="N1549" s="6">
        <v>0</v>
      </c>
      <c r="O1549" s="6">
        <v>0</v>
      </c>
      <c r="P1549" s="6">
        <v>0</v>
      </c>
      <c r="Q1549" s="4" t="s">
        <v>60</v>
      </c>
      <c r="R1549" s="4">
        <v>0</v>
      </c>
      <c r="S1549" s="6">
        <v>0</v>
      </c>
      <c r="T1549" s="6">
        <v>37</v>
      </c>
      <c r="U1549" s="6">
        <v>0</v>
      </c>
      <c r="V1549" s="6">
        <f>IF(ISERROR(VLOOKUP($S$1549,'TAR FIN'!$A$1:$O$120,15,0)),0,VLOOKUP($S$1549,'TAR FIN'!$A$1:$O$120,15,0))</f>
        <v>0</v>
      </c>
      <c r="W1549" s="6">
        <f>IF(ISERROR(VLOOKUP($T$1549,'TAR FIN'!$A$1:$O$120,15,0)),0,VLOOKUP($T$1549,'TAR FIN'!$A$1:$O$120,15,0))</f>
        <v>109.75</v>
      </c>
      <c r="X1549" s="6">
        <f>IF(ISERROR(VLOOKUP($U$1549,'TAR FIN'!$A$1:$O$120,15,0)),0,VLOOKUP($U$1549,'TAR FIN'!$A$1:$O$120,15,0))</f>
        <v>0</v>
      </c>
      <c r="Y1549" s="6"/>
      <c r="Z1549" s="6">
        <f ca="1">('TUSD BE'!$AM$45+'TUSD BF'!$AM$45+'TUSD CVA'!$AM$45)*1</f>
        <v>112.97896283052546</v>
      </c>
      <c r="AA1549" s="6"/>
      <c r="AB1549" s="6">
        <f>$K$1549*$V$1549</f>
        <v>0</v>
      </c>
      <c r="AC1549" s="6">
        <f>$M$1549*$W$1549</f>
        <v>212309.28975</v>
      </c>
      <c r="AD1549" s="6">
        <f>$O$1549*$X$1549</f>
        <v>0</v>
      </c>
      <c r="AE1549" s="6">
        <f>$K$1549*$Y$1549</f>
        <v>0</v>
      </c>
      <c r="AF1549" s="6">
        <f ca="1">$M$1549*$Z$1549</f>
        <v>218555.65699535771</v>
      </c>
      <c r="AG1549" s="6">
        <f>$O$1549*$AA$1549</f>
        <v>0</v>
      </c>
    </row>
    <row r="1550" spans="1:33" ht="11.25" customHeight="1" x14ac:dyDescent="0.25">
      <c r="A1550" s="4" t="s">
        <v>21</v>
      </c>
      <c r="B1550" s="4" t="s">
        <v>44</v>
      </c>
      <c r="C1550" s="4" t="s">
        <v>34</v>
      </c>
      <c r="D1550" s="4" t="s">
        <v>40</v>
      </c>
      <c r="E1550" s="4" t="s">
        <v>25</v>
      </c>
      <c r="F1550" s="4" t="s">
        <v>63</v>
      </c>
      <c r="G1550" s="4" t="s">
        <v>25</v>
      </c>
      <c r="H1550" s="4" t="s">
        <v>36</v>
      </c>
      <c r="I1550" s="5">
        <v>43952</v>
      </c>
      <c r="J1550" s="6">
        <v>0</v>
      </c>
      <c r="K1550" s="6">
        <v>0</v>
      </c>
      <c r="L1550" s="6">
        <v>1943.2639999999999</v>
      </c>
      <c r="M1550" s="6">
        <v>1943.2639999999999</v>
      </c>
      <c r="N1550" s="6">
        <v>0</v>
      </c>
      <c r="O1550" s="6">
        <v>0</v>
      </c>
      <c r="P1550" s="6">
        <v>0</v>
      </c>
      <c r="Q1550" s="4" t="s">
        <v>60</v>
      </c>
      <c r="R1550" s="4">
        <v>0</v>
      </c>
      <c r="S1550" s="6">
        <v>0</v>
      </c>
      <c r="T1550" s="6">
        <v>37</v>
      </c>
      <c r="U1550" s="6">
        <v>0</v>
      </c>
      <c r="V1550" s="6">
        <f>IF(ISERROR(VLOOKUP($S$1550,'TAR FIN'!$A$1:$O$120,15,0)),0,VLOOKUP($S$1550,'TAR FIN'!$A$1:$O$120,15,0))</f>
        <v>0</v>
      </c>
      <c r="W1550" s="6">
        <f>IF(ISERROR(VLOOKUP($T$1550,'TAR FIN'!$A$1:$O$120,15,0)),0,VLOOKUP($T$1550,'TAR FIN'!$A$1:$O$120,15,0))</f>
        <v>109.75</v>
      </c>
      <c r="X1550" s="6">
        <f>IF(ISERROR(VLOOKUP($U$1550,'TAR FIN'!$A$1:$O$120,15,0)),0,VLOOKUP($U$1550,'TAR FIN'!$A$1:$O$120,15,0))</f>
        <v>0</v>
      </c>
      <c r="Y1550" s="6"/>
      <c r="Z1550" s="6">
        <f ca="1">('TUSD BE'!$AM$45+'TUSD BF'!$AM$45+'TUSD CVA'!$AM$45)*1</f>
        <v>112.97896283052546</v>
      </c>
      <c r="AA1550" s="6"/>
      <c r="AB1550" s="6">
        <f>$K$1550*$V$1550</f>
        <v>0</v>
      </c>
      <c r="AC1550" s="6">
        <f>$M$1550*$W$1550</f>
        <v>213273.22399999999</v>
      </c>
      <c r="AD1550" s="6">
        <f>$O$1550*$X$1550</f>
        <v>0</v>
      </c>
      <c r="AE1550" s="6">
        <f>$K$1550*$Y$1550</f>
        <v>0</v>
      </c>
      <c r="AF1550" s="6">
        <f ca="1">$M$1550*$Z$1550</f>
        <v>219547.95122589823</v>
      </c>
      <c r="AG1550" s="6">
        <f>$O$1550*$AA$1550</f>
        <v>0</v>
      </c>
    </row>
    <row r="1551" spans="1:33" ht="11.25" customHeight="1" x14ac:dyDescent="0.25">
      <c r="A1551" s="4" t="s">
        <v>21</v>
      </c>
      <c r="B1551" s="4" t="s">
        <v>44</v>
      </c>
      <c r="C1551" s="4" t="s">
        <v>34</v>
      </c>
      <c r="D1551" s="4" t="s">
        <v>40</v>
      </c>
      <c r="E1551" s="4" t="s">
        <v>25</v>
      </c>
      <c r="F1551" s="4" t="s">
        <v>63</v>
      </c>
      <c r="G1551" s="4" t="s">
        <v>25</v>
      </c>
      <c r="H1551" s="4" t="s">
        <v>36</v>
      </c>
      <c r="I1551" s="5">
        <v>43983</v>
      </c>
      <c r="J1551" s="6">
        <v>0</v>
      </c>
      <c r="K1551" s="6">
        <v>0</v>
      </c>
      <c r="L1551" s="6">
        <v>1943.2639999999999</v>
      </c>
      <c r="M1551" s="6">
        <v>1943.2639999999999</v>
      </c>
      <c r="N1551" s="6">
        <v>0</v>
      </c>
      <c r="O1551" s="6">
        <v>0</v>
      </c>
      <c r="P1551" s="6">
        <v>0</v>
      </c>
      <c r="Q1551" s="4" t="s">
        <v>60</v>
      </c>
      <c r="R1551" s="4">
        <v>0</v>
      </c>
      <c r="S1551" s="6">
        <v>0</v>
      </c>
      <c r="T1551" s="6">
        <v>37</v>
      </c>
      <c r="U1551" s="6">
        <v>0</v>
      </c>
      <c r="V1551" s="6">
        <f>IF(ISERROR(VLOOKUP($S$1551,'TAR FIN'!$A$1:$O$120,15,0)),0,VLOOKUP($S$1551,'TAR FIN'!$A$1:$O$120,15,0))</f>
        <v>0</v>
      </c>
      <c r="W1551" s="6">
        <f>IF(ISERROR(VLOOKUP($T$1551,'TAR FIN'!$A$1:$O$120,15,0)),0,VLOOKUP($T$1551,'TAR FIN'!$A$1:$O$120,15,0))</f>
        <v>109.75</v>
      </c>
      <c r="X1551" s="6">
        <f>IF(ISERROR(VLOOKUP($U$1551,'TAR FIN'!$A$1:$O$120,15,0)),0,VLOOKUP($U$1551,'TAR FIN'!$A$1:$O$120,15,0))</f>
        <v>0</v>
      </c>
      <c r="Y1551" s="6"/>
      <c r="Z1551" s="6">
        <f ca="1">('TUSD BE'!$AM$45+'TUSD BF'!$AM$45+'TUSD CVA'!$AM$45)*1</f>
        <v>112.97896283052546</v>
      </c>
      <c r="AA1551" s="6"/>
      <c r="AB1551" s="6">
        <f>$K$1551*$V$1551</f>
        <v>0</v>
      </c>
      <c r="AC1551" s="6">
        <f>$M$1551*$W$1551</f>
        <v>213273.22399999999</v>
      </c>
      <c r="AD1551" s="6">
        <f>$O$1551*$X$1551</f>
        <v>0</v>
      </c>
      <c r="AE1551" s="6">
        <f>$K$1551*$Y$1551</f>
        <v>0</v>
      </c>
      <c r="AF1551" s="6">
        <f ca="1">$M$1551*$Z$1551</f>
        <v>219547.95122589823</v>
      </c>
      <c r="AG1551" s="6">
        <f>$O$1551*$AA$1551</f>
        <v>0</v>
      </c>
    </row>
    <row r="1552" spans="1:33" ht="11.25" customHeight="1" x14ac:dyDescent="0.25">
      <c r="A1552" s="4" t="s">
        <v>21</v>
      </c>
      <c r="B1552" s="4" t="s">
        <v>44</v>
      </c>
      <c r="C1552" s="4" t="s">
        <v>34</v>
      </c>
      <c r="D1552" s="4" t="s">
        <v>40</v>
      </c>
      <c r="E1552" s="4" t="s">
        <v>25</v>
      </c>
      <c r="F1552" s="4" t="s">
        <v>63</v>
      </c>
      <c r="G1552" s="4" t="s">
        <v>25</v>
      </c>
      <c r="H1552" s="4" t="s">
        <v>36</v>
      </c>
      <c r="I1552" s="5">
        <v>44013</v>
      </c>
      <c r="J1552" s="6">
        <v>0</v>
      </c>
      <c r="K1552" s="6">
        <v>0</v>
      </c>
      <c r="L1552" s="6">
        <v>1682.3130000000001</v>
      </c>
      <c r="M1552" s="6">
        <v>1682.3130000000001</v>
      </c>
      <c r="N1552" s="6">
        <v>0</v>
      </c>
      <c r="O1552" s="6">
        <v>0</v>
      </c>
      <c r="P1552" s="6">
        <v>0</v>
      </c>
      <c r="Q1552" s="4" t="s">
        <v>60</v>
      </c>
      <c r="R1552" s="4">
        <v>0</v>
      </c>
      <c r="S1552" s="6">
        <v>0</v>
      </c>
      <c r="T1552" s="6">
        <v>37</v>
      </c>
      <c r="U1552" s="6">
        <v>0</v>
      </c>
      <c r="V1552" s="6">
        <f>IF(ISERROR(VLOOKUP($S$1552,'TAR FIN'!$A$1:$O$120,15,0)),0,VLOOKUP($S$1552,'TAR FIN'!$A$1:$O$120,15,0))</f>
        <v>0</v>
      </c>
      <c r="W1552" s="6">
        <f>IF(ISERROR(VLOOKUP($T$1552,'TAR FIN'!$A$1:$O$120,15,0)),0,VLOOKUP($T$1552,'TAR FIN'!$A$1:$O$120,15,0))</f>
        <v>109.75</v>
      </c>
      <c r="X1552" s="6">
        <f>IF(ISERROR(VLOOKUP($U$1552,'TAR FIN'!$A$1:$O$120,15,0)),0,VLOOKUP($U$1552,'TAR FIN'!$A$1:$O$120,15,0))</f>
        <v>0</v>
      </c>
      <c r="Y1552" s="6"/>
      <c r="Z1552" s="6">
        <f ca="1">('TUSD BE'!$AM$45+'TUSD BF'!$AM$45+'TUSD CVA'!$AM$45)*1</f>
        <v>112.97896283052546</v>
      </c>
      <c r="AA1552" s="6"/>
      <c r="AB1552" s="6">
        <f>$K$1552*$V$1552</f>
        <v>0</v>
      </c>
      <c r="AC1552" s="6">
        <f>$M$1552*$W$1552</f>
        <v>184633.85175</v>
      </c>
      <c r="AD1552" s="6">
        <f>$O$1552*$X$1552</f>
        <v>0</v>
      </c>
      <c r="AE1552" s="6">
        <f>$K$1552*$Y$1552</f>
        <v>0</v>
      </c>
      <c r="AF1552" s="6">
        <f ca="1">$M$1552*$Z$1552</f>
        <v>190065.97789630978</v>
      </c>
      <c r="AG1552" s="6">
        <f>$O$1552*$AA$1552</f>
        <v>0</v>
      </c>
    </row>
    <row r="1553" spans="1:33" ht="11.25" customHeight="1" x14ac:dyDescent="0.25">
      <c r="A1553" s="4" t="s">
        <v>21</v>
      </c>
      <c r="B1553" s="4" t="s">
        <v>44</v>
      </c>
      <c r="C1553" s="4" t="s">
        <v>34</v>
      </c>
      <c r="D1553" s="4" t="s">
        <v>40</v>
      </c>
      <c r="E1553" s="4" t="s">
        <v>25</v>
      </c>
      <c r="F1553" s="4" t="s">
        <v>63</v>
      </c>
      <c r="G1553" s="4" t="s">
        <v>25</v>
      </c>
      <c r="H1553" s="4" t="s">
        <v>36</v>
      </c>
      <c r="I1553" s="5">
        <v>44044</v>
      </c>
      <c r="J1553" s="6">
        <v>0</v>
      </c>
      <c r="K1553" s="6">
        <v>0</v>
      </c>
      <c r="L1553" s="6">
        <v>2074.7269999999999</v>
      </c>
      <c r="M1553" s="6">
        <v>2074.7269999999999</v>
      </c>
      <c r="N1553" s="6">
        <v>0</v>
      </c>
      <c r="O1553" s="6">
        <v>0</v>
      </c>
      <c r="P1553" s="6">
        <v>0</v>
      </c>
      <c r="Q1553" s="4" t="s">
        <v>60</v>
      </c>
      <c r="R1553" s="4">
        <v>0</v>
      </c>
      <c r="S1553" s="6">
        <v>0</v>
      </c>
      <c r="T1553" s="6">
        <v>37</v>
      </c>
      <c r="U1553" s="6">
        <v>0</v>
      </c>
      <c r="V1553" s="6">
        <f>IF(ISERROR(VLOOKUP($S$1553,'TAR FIN'!$A$1:$O$120,15,0)),0,VLOOKUP($S$1553,'TAR FIN'!$A$1:$O$120,15,0))</f>
        <v>0</v>
      </c>
      <c r="W1553" s="6">
        <f>IF(ISERROR(VLOOKUP($T$1553,'TAR FIN'!$A$1:$O$120,15,0)),0,VLOOKUP($T$1553,'TAR FIN'!$A$1:$O$120,15,0))</f>
        <v>109.75</v>
      </c>
      <c r="X1553" s="6">
        <f>IF(ISERROR(VLOOKUP($U$1553,'TAR FIN'!$A$1:$O$120,15,0)),0,VLOOKUP($U$1553,'TAR FIN'!$A$1:$O$120,15,0))</f>
        <v>0</v>
      </c>
      <c r="Y1553" s="6"/>
      <c r="Z1553" s="6">
        <f ca="1">('TUSD BE'!$AM$45+'TUSD BF'!$AM$45+'TUSD CVA'!$AM$45)*1</f>
        <v>112.97896283052546</v>
      </c>
      <c r="AA1553" s="6"/>
      <c r="AB1553" s="6">
        <f>$K$1553*$V$1553</f>
        <v>0</v>
      </c>
      <c r="AC1553" s="6">
        <f>$M$1553*$W$1553</f>
        <v>227701.28824999998</v>
      </c>
      <c r="AD1553" s="6">
        <f>$O$1553*$X$1553</f>
        <v>0</v>
      </c>
      <c r="AE1553" s="6">
        <f>$K$1553*$Y$1553</f>
        <v>0</v>
      </c>
      <c r="AF1553" s="6">
        <f ca="1">$M$1553*$Z$1553</f>
        <v>234400.5046164876</v>
      </c>
      <c r="AG1553" s="6">
        <f>$O$1553*$AA$1553</f>
        <v>0</v>
      </c>
    </row>
    <row r="1554" spans="1:33" ht="11.25" customHeight="1" x14ac:dyDescent="0.25">
      <c r="A1554" s="4" t="s">
        <v>59</v>
      </c>
      <c r="B1554" s="4" t="s">
        <v>44</v>
      </c>
      <c r="C1554" s="4" t="s">
        <v>34</v>
      </c>
      <c r="D1554" s="4" t="s">
        <v>40</v>
      </c>
      <c r="E1554" s="4" t="s">
        <v>25</v>
      </c>
      <c r="F1554" s="4" t="s">
        <v>63</v>
      </c>
      <c r="G1554" s="4" t="s">
        <v>25</v>
      </c>
      <c r="H1554" s="4" t="s">
        <v>36</v>
      </c>
      <c r="I1554" s="5">
        <v>44075</v>
      </c>
      <c r="J1554" s="6">
        <v>0</v>
      </c>
      <c r="K1554" s="6">
        <v>0</v>
      </c>
      <c r="L1554" s="6">
        <v>2074.7269999999999</v>
      </c>
      <c r="M1554" s="6">
        <v>2074.7269999999999</v>
      </c>
      <c r="N1554" s="6">
        <v>0</v>
      </c>
      <c r="O1554" s="6">
        <v>0</v>
      </c>
      <c r="P1554" s="6">
        <v>0</v>
      </c>
      <c r="Q1554" s="4" t="s">
        <v>60</v>
      </c>
      <c r="R1554" s="4">
        <v>0</v>
      </c>
      <c r="S1554" s="6">
        <v>0</v>
      </c>
      <c r="T1554" s="6">
        <v>37</v>
      </c>
      <c r="U1554" s="6">
        <v>0</v>
      </c>
      <c r="V1554" s="6">
        <f>IF(ISERROR(VLOOKUP($S$1554,'TAR FIN'!$A$1:$O$120,15,0)),0,VLOOKUP($S$1554,'TAR FIN'!$A$1:$O$120,15,0))</f>
        <v>0</v>
      </c>
      <c r="W1554" s="6">
        <f>IF(ISERROR(VLOOKUP($T$1554,'TAR FIN'!$A$1:$O$120,15,0)),0,VLOOKUP($T$1554,'TAR FIN'!$A$1:$O$120,15,0))</f>
        <v>109.75</v>
      </c>
      <c r="X1554" s="6">
        <f>IF(ISERROR(VLOOKUP($U$1554,'TAR FIN'!$A$1:$O$120,15,0)),0,VLOOKUP($U$1554,'TAR FIN'!$A$1:$O$120,15,0))</f>
        <v>0</v>
      </c>
      <c r="Y1554" s="6"/>
      <c r="Z1554" s="6">
        <f ca="1">('TUSD BE'!$AM$45+'TUSD BF'!$AM$45+'TUSD CVA'!$AM$45)*1</f>
        <v>112.97896283052546</v>
      </c>
      <c r="AA1554" s="6"/>
      <c r="AB1554" s="6">
        <f>$K$1554*$V$1554</f>
        <v>0</v>
      </c>
      <c r="AC1554" s="6">
        <f>$M$1554*$W$1554</f>
        <v>227701.28824999998</v>
      </c>
      <c r="AD1554" s="6">
        <f>$O$1554*$X$1554</f>
        <v>0</v>
      </c>
      <c r="AE1554" s="6">
        <f>$K$1554*$Y$1554</f>
        <v>0</v>
      </c>
      <c r="AF1554" s="6">
        <f ca="1">$M$1554*$Z$1554</f>
        <v>234400.5046164876</v>
      </c>
      <c r="AG1554" s="6">
        <f>$O$1554*$AA$1554</f>
        <v>0</v>
      </c>
    </row>
    <row r="1555" spans="1:33" ht="11.25" customHeight="1" x14ac:dyDescent="0.25">
      <c r="A1555" s="4" t="s">
        <v>21</v>
      </c>
      <c r="B1555" s="4" t="s">
        <v>44</v>
      </c>
      <c r="C1555" s="4" t="s">
        <v>34</v>
      </c>
      <c r="D1555" s="4" t="s">
        <v>40</v>
      </c>
      <c r="E1555" s="4" t="s">
        <v>25</v>
      </c>
      <c r="F1555" s="4" t="s">
        <v>63</v>
      </c>
      <c r="G1555" s="4" t="s">
        <v>25</v>
      </c>
      <c r="H1555" s="4" t="s">
        <v>25</v>
      </c>
      <c r="I1555" s="5">
        <v>43739</v>
      </c>
      <c r="J1555" s="6">
        <v>9073</v>
      </c>
      <c r="K1555" s="6">
        <v>5630.4092904199997</v>
      </c>
      <c r="L1555" s="6">
        <v>0</v>
      </c>
      <c r="M1555" s="6">
        <v>0</v>
      </c>
      <c r="N1555" s="6">
        <v>0</v>
      </c>
      <c r="O1555" s="6">
        <v>0</v>
      </c>
      <c r="P1555" s="6">
        <v>17</v>
      </c>
      <c r="Q1555" s="4" t="s">
        <v>60</v>
      </c>
      <c r="R1555" s="4">
        <v>0</v>
      </c>
      <c r="S1555" s="6">
        <v>35</v>
      </c>
      <c r="T1555" s="6">
        <v>0</v>
      </c>
      <c r="U1555" s="6">
        <v>0</v>
      </c>
      <c r="V1555" s="6">
        <f>IF(ISERROR(VLOOKUP($S$1555,'TAR FIN'!$A$1:$O$120,15,0)),0,VLOOKUP($S$1555,'TAR FIN'!$A$1:$O$120,15,0))</f>
        <v>12.24</v>
      </c>
      <c r="W1555" s="6">
        <f>IF(ISERROR(VLOOKUP($T$1555,'TAR FIN'!$A$1:$O$120,15,0)),0,VLOOKUP($T$1555,'TAR FIN'!$A$1:$O$120,15,0))</f>
        <v>0</v>
      </c>
      <c r="X1555" s="6">
        <f>IF(ISERROR(VLOOKUP($U$1555,'TAR FIN'!$A$1:$O$120,15,0)),0,VLOOKUP($U$1555,'TAR FIN'!$A$1:$O$120,15,0))</f>
        <v>0</v>
      </c>
      <c r="Y1555" s="6">
        <f ca="1">('TUSD BE'!$AM$43+'TUSD BF'!$AM$43+'TUSD CVA'!$AM$43)*1</f>
        <v>16.00053546174815</v>
      </c>
      <c r="Z1555" s="6"/>
      <c r="AA1555" s="6"/>
      <c r="AB1555" s="6">
        <f>$K$1555*$V$1555</f>
        <v>68916.209714740791</v>
      </c>
      <c r="AC1555" s="6">
        <f>$M$1555*$W$1555</f>
        <v>0</v>
      </c>
      <c r="AD1555" s="6">
        <f>$O$1555*$X$1555</f>
        <v>0</v>
      </c>
      <c r="AE1555" s="6">
        <f ca="1">$K$1555*$Y$1555</f>
        <v>90089.56351552144</v>
      </c>
      <c r="AF1555" s="6">
        <f>$M$1555*$Z$1555</f>
        <v>0</v>
      </c>
      <c r="AG1555" s="6">
        <f>$O$1555*$AA$1555</f>
        <v>0</v>
      </c>
    </row>
    <row r="1556" spans="1:33" ht="11.25" customHeight="1" x14ac:dyDescent="0.25">
      <c r="A1556" s="4" t="s">
        <v>21</v>
      </c>
      <c r="B1556" s="4" t="s">
        <v>44</v>
      </c>
      <c r="C1556" s="4" t="s">
        <v>34</v>
      </c>
      <c r="D1556" s="4" t="s">
        <v>40</v>
      </c>
      <c r="E1556" s="4" t="s">
        <v>25</v>
      </c>
      <c r="F1556" s="4" t="s">
        <v>63</v>
      </c>
      <c r="G1556" s="4" t="s">
        <v>25</v>
      </c>
      <c r="H1556" s="4" t="s">
        <v>25</v>
      </c>
      <c r="I1556" s="5">
        <v>43770</v>
      </c>
      <c r="J1556" s="6">
        <v>9073</v>
      </c>
      <c r="K1556" s="6">
        <v>5949.4595208199999</v>
      </c>
      <c r="L1556" s="6">
        <v>0</v>
      </c>
      <c r="M1556" s="6">
        <v>0</v>
      </c>
      <c r="N1556" s="6">
        <v>0</v>
      </c>
      <c r="O1556" s="6">
        <v>0</v>
      </c>
      <c r="P1556" s="6">
        <v>17</v>
      </c>
      <c r="Q1556" s="4" t="s">
        <v>60</v>
      </c>
      <c r="R1556" s="4">
        <v>0</v>
      </c>
      <c r="S1556" s="6">
        <v>35</v>
      </c>
      <c r="T1556" s="6">
        <v>0</v>
      </c>
      <c r="U1556" s="6">
        <v>0</v>
      </c>
      <c r="V1556" s="6">
        <f>IF(ISERROR(VLOOKUP($S$1556,'TAR FIN'!$A$1:$O$120,15,0)),0,VLOOKUP($S$1556,'TAR FIN'!$A$1:$O$120,15,0))</f>
        <v>12.24</v>
      </c>
      <c r="W1556" s="6">
        <f>IF(ISERROR(VLOOKUP($T$1556,'TAR FIN'!$A$1:$O$120,15,0)),0,VLOOKUP($T$1556,'TAR FIN'!$A$1:$O$120,15,0))</f>
        <v>0</v>
      </c>
      <c r="X1556" s="6">
        <f>IF(ISERROR(VLOOKUP($U$1556,'TAR FIN'!$A$1:$O$120,15,0)),0,VLOOKUP($U$1556,'TAR FIN'!$A$1:$O$120,15,0))</f>
        <v>0</v>
      </c>
      <c r="Y1556" s="6">
        <f ca="1">('TUSD BE'!$AM$43+'TUSD BF'!$AM$43+'TUSD CVA'!$AM$43)*1</f>
        <v>16.00053546174815</v>
      </c>
      <c r="Z1556" s="6"/>
      <c r="AA1556" s="6"/>
      <c r="AB1556" s="6">
        <f>$K$1556*$V$1556</f>
        <v>72821.384534836805</v>
      </c>
      <c r="AC1556" s="6">
        <f>$M$1556*$W$1556</f>
        <v>0</v>
      </c>
      <c r="AD1556" s="6">
        <f>$O$1556*$X$1556</f>
        <v>0</v>
      </c>
      <c r="AE1556" s="6">
        <f ca="1">$K$1556*$Y$1556</f>
        <v>95194.538041115564</v>
      </c>
      <c r="AF1556" s="6">
        <f>$M$1556*$Z$1556</f>
        <v>0</v>
      </c>
      <c r="AG1556" s="6">
        <f>$O$1556*$AA$1556</f>
        <v>0</v>
      </c>
    </row>
    <row r="1557" spans="1:33" ht="11.25" customHeight="1" x14ac:dyDescent="0.25">
      <c r="A1557" s="4" t="s">
        <v>21</v>
      </c>
      <c r="B1557" s="4" t="s">
        <v>44</v>
      </c>
      <c r="C1557" s="4" t="s">
        <v>34</v>
      </c>
      <c r="D1557" s="4" t="s">
        <v>40</v>
      </c>
      <c r="E1557" s="4" t="s">
        <v>25</v>
      </c>
      <c r="F1557" s="4" t="s">
        <v>63</v>
      </c>
      <c r="G1557" s="4" t="s">
        <v>25</v>
      </c>
      <c r="H1557" s="4" t="s">
        <v>25</v>
      </c>
      <c r="I1557" s="5">
        <v>43800</v>
      </c>
      <c r="J1557" s="6">
        <v>9513</v>
      </c>
      <c r="K1557" s="6">
        <v>5972.0757062399998</v>
      </c>
      <c r="L1557" s="6">
        <v>0</v>
      </c>
      <c r="M1557" s="6">
        <v>0</v>
      </c>
      <c r="N1557" s="6">
        <v>0</v>
      </c>
      <c r="O1557" s="6">
        <v>0</v>
      </c>
      <c r="P1557" s="6">
        <v>18</v>
      </c>
      <c r="Q1557" s="4" t="s">
        <v>60</v>
      </c>
      <c r="R1557" s="4">
        <v>0</v>
      </c>
      <c r="S1557" s="6">
        <v>35</v>
      </c>
      <c r="T1557" s="6">
        <v>0</v>
      </c>
      <c r="U1557" s="6">
        <v>0</v>
      </c>
      <c r="V1557" s="6">
        <f>IF(ISERROR(VLOOKUP($S$1557,'TAR FIN'!$A$1:$O$120,15,0)),0,VLOOKUP($S$1557,'TAR FIN'!$A$1:$O$120,15,0))</f>
        <v>12.24</v>
      </c>
      <c r="W1557" s="6">
        <f>IF(ISERROR(VLOOKUP($T$1557,'TAR FIN'!$A$1:$O$120,15,0)),0,VLOOKUP($T$1557,'TAR FIN'!$A$1:$O$120,15,0))</f>
        <v>0</v>
      </c>
      <c r="X1557" s="6">
        <f>IF(ISERROR(VLOOKUP($U$1557,'TAR FIN'!$A$1:$O$120,15,0)),0,VLOOKUP($U$1557,'TAR FIN'!$A$1:$O$120,15,0))</f>
        <v>0</v>
      </c>
      <c r="Y1557" s="6">
        <f ca="1">('TUSD BE'!$AM$43+'TUSD BF'!$AM$43+'TUSD CVA'!$AM$43)*1</f>
        <v>16.00053546174815</v>
      </c>
      <c r="Z1557" s="6"/>
      <c r="AA1557" s="6"/>
      <c r="AB1557" s="6">
        <f>$K$1557*$V$1557</f>
        <v>73098.206644377598</v>
      </c>
      <c r="AC1557" s="6">
        <f>$M$1557*$W$1557</f>
        <v>0</v>
      </c>
      <c r="AD1557" s="6">
        <f>$O$1557*$X$1557</f>
        <v>0</v>
      </c>
      <c r="AE1557" s="6">
        <f ca="1">$K$1557*$Y$1557</f>
        <v>95556.409117937743</v>
      </c>
      <c r="AF1557" s="6">
        <f>$M$1557*$Z$1557</f>
        <v>0</v>
      </c>
      <c r="AG1557" s="6">
        <f>$O$1557*$AA$1557</f>
        <v>0</v>
      </c>
    </row>
    <row r="1558" spans="1:33" ht="11.25" customHeight="1" x14ac:dyDescent="0.25">
      <c r="A1558" s="4" t="s">
        <v>21</v>
      </c>
      <c r="B1558" s="4" t="s">
        <v>44</v>
      </c>
      <c r="C1558" s="4" t="s">
        <v>34</v>
      </c>
      <c r="D1558" s="4" t="s">
        <v>40</v>
      </c>
      <c r="E1558" s="4" t="s">
        <v>25</v>
      </c>
      <c r="F1558" s="4" t="s">
        <v>63</v>
      </c>
      <c r="G1558" s="4" t="s">
        <v>25</v>
      </c>
      <c r="H1558" s="4" t="s">
        <v>25</v>
      </c>
      <c r="I1558" s="5">
        <v>43831</v>
      </c>
      <c r="J1558" s="6">
        <v>9513</v>
      </c>
      <c r="K1558" s="6">
        <v>6120.0328221899999</v>
      </c>
      <c r="L1558" s="6">
        <v>0</v>
      </c>
      <c r="M1558" s="6">
        <v>0</v>
      </c>
      <c r="N1558" s="6">
        <v>0</v>
      </c>
      <c r="O1558" s="6">
        <v>0</v>
      </c>
      <c r="P1558" s="6">
        <v>18</v>
      </c>
      <c r="Q1558" s="4" t="s">
        <v>60</v>
      </c>
      <c r="R1558" s="4">
        <v>0</v>
      </c>
      <c r="S1558" s="6">
        <v>35</v>
      </c>
      <c r="T1558" s="6">
        <v>0</v>
      </c>
      <c r="U1558" s="6">
        <v>0</v>
      </c>
      <c r="V1558" s="6">
        <f>IF(ISERROR(VLOOKUP($S$1558,'TAR FIN'!$A$1:$O$120,15,0)),0,VLOOKUP($S$1558,'TAR FIN'!$A$1:$O$120,15,0))</f>
        <v>12.24</v>
      </c>
      <c r="W1558" s="6">
        <f>IF(ISERROR(VLOOKUP($T$1558,'TAR FIN'!$A$1:$O$120,15,0)),0,VLOOKUP($T$1558,'TAR FIN'!$A$1:$O$120,15,0))</f>
        <v>0</v>
      </c>
      <c r="X1558" s="6">
        <f>IF(ISERROR(VLOOKUP($U$1558,'TAR FIN'!$A$1:$O$120,15,0)),0,VLOOKUP($U$1558,'TAR FIN'!$A$1:$O$120,15,0))</f>
        <v>0</v>
      </c>
      <c r="Y1558" s="6">
        <f ca="1">('TUSD BE'!$AM$43+'TUSD BF'!$AM$43+'TUSD CVA'!$AM$43)*1</f>
        <v>16.00053546174815</v>
      </c>
      <c r="Z1558" s="6"/>
      <c r="AA1558" s="6"/>
      <c r="AB1558" s="6">
        <f>$K$1558*$V$1558</f>
        <v>74909.201743605605</v>
      </c>
      <c r="AC1558" s="6">
        <f>$M$1558*$W$1558</f>
        <v>0</v>
      </c>
      <c r="AD1558" s="6">
        <f>$O$1558*$X$1558</f>
        <v>0</v>
      </c>
      <c r="AE1558" s="6">
        <f ca="1">$K$1558*$Y$1558</f>
        <v>97923.802198513702</v>
      </c>
      <c r="AF1558" s="6">
        <f>$M$1558*$Z$1558</f>
        <v>0</v>
      </c>
      <c r="AG1558" s="6">
        <f>$O$1558*$AA$1558</f>
        <v>0</v>
      </c>
    </row>
    <row r="1559" spans="1:33" ht="11.25" customHeight="1" x14ac:dyDescent="0.25">
      <c r="A1559" s="4" t="s">
        <v>21</v>
      </c>
      <c r="B1559" s="4" t="s">
        <v>44</v>
      </c>
      <c r="C1559" s="4" t="s">
        <v>34</v>
      </c>
      <c r="D1559" s="4" t="s">
        <v>40</v>
      </c>
      <c r="E1559" s="4" t="s">
        <v>25</v>
      </c>
      <c r="F1559" s="4" t="s">
        <v>63</v>
      </c>
      <c r="G1559" s="4" t="s">
        <v>25</v>
      </c>
      <c r="H1559" s="4" t="s">
        <v>25</v>
      </c>
      <c r="I1559" s="5">
        <v>43862</v>
      </c>
      <c r="J1559" s="6">
        <v>9513</v>
      </c>
      <c r="K1559" s="6">
        <v>5888.6965443600002</v>
      </c>
      <c r="L1559" s="6">
        <v>0</v>
      </c>
      <c r="M1559" s="6">
        <v>0</v>
      </c>
      <c r="N1559" s="6">
        <v>0</v>
      </c>
      <c r="O1559" s="6">
        <v>0</v>
      </c>
      <c r="P1559" s="6">
        <v>18</v>
      </c>
      <c r="Q1559" s="4" t="s">
        <v>60</v>
      </c>
      <c r="R1559" s="4">
        <v>0</v>
      </c>
      <c r="S1559" s="6">
        <v>35</v>
      </c>
      <c r="T1559" s="6">
        <v>0</v>
      </c>
      <c r="U1559" s="6">
        <v>0</v>
      </c>
      <c r="V1559" s="6">
        <f>IF(ISERROR(VLOOKUP($S$1559,'TAR FIN'!$A$1:$O$120,15,0)),0,VLOOKUP($S$1559,'TAR FIN'!$A$1:$O$120,15,0))</f>
        <v>12.24</v>
      </c>
      <c r="W1559" s="6">
        <f>IF(ISERROR(VLOOKUP($T$1559,'TAR FIN'!$A$1:$O$120,15,0)),0,VLOOKUP($T$1559,'TAR FIN'!$A$1:$O$120,15,0))</f>
        <v>0</v>
      </c>
      <c r="X1559" s="6">
        <f>IF(ISERROR(VLOOKUP($U$1559,'TAR FIN'!$A$1:$O$120,15,0)),0,VLOOKUP($U$1559,'TAR FIN'!$A$1:$O$120,15,0))</f>
        <v>0</v>
      </c>
      <c r="Y1559" s="6">
        <f ca="1">('TUSD BE'!$AM$43+'TUSD BF'!$AM$43+'TUSD CVA'!$AM$43)*1</f>
        <v>16.00053546174815</v>
      </c>
      <c r="Z1559" s="6"/>
      <c r="AA1559" s="6"/>
      <c r="AB1559" s="6">
        <f>$K$1559*$V$1559</f>
        <v>72077.645702966402</v>
      </c>
      <c r="AC1559" s="6">
        <f>$M$1559*$W$1559</f>
        <v>0</v>
      </c>
      <c r="AD1559" s="6">
        <f>$O$1559*$X$1559</f>
        <v>0</v>
      </c>
      <c r="AE1559" s="6">
        <f ca="1">$K$1559*$Y$1559</f>
        <v>94222.297881505976</v>
      </c>
      <c r="AF1559" s="6">
        <f>$M$1559*$Z$1559</f>
        <v>0</v>
      </c>
      <c r="AG1559" s="6">
        <f>$O$1559*$AA$1559</f>
        <v>0</v>
      </c>
    </row>
    <row r="1560" spans="1:33" ht="11.25" customHeight="1" x14ac:dyDescent="0.25">
      <c r="A1560" s="4" t="s">
        <v>21</v>
      </c>
      <c r="B1560" s="4" t="s">
        <v>44</v>
      </c>
      <c r="C1560" s="4" t="s">
        <v>34</v>
      </c>
      <c r="D1560" s="4" t="s">
        <v>40</v>
      </c>
      <c r="E1560" s="4" t="s">
        <v>25</v>
      </c>
      <c r="F1560" s="4" t="s">
        <v>63</v>
      </c>
      <c r="G1560" s="4" t="s">
        <v>25</v>
      </c>
      <c r="H1560" s="4" t="s">
        <v>25</v>
      </c>
      <c r="I1560" s="5">
        <v>43891</v>
      </c>
      <c r="J1560" s="6">
        <v>10363</v>
      </c>
      <c r="K1560" s="6">
        <v>6508.9693146299996</v>
      </c>
      <c r="L1560" s="6">
        <v>0</v>
      </c>
      <c r="M1560" s="6">
        <v>0</v>
      </c>
      <c r="N1560" s="6">
        <v>0</v>
      </c>
      <c r="O1560" s="6">
        <v>0</v>
      </c>
      <c r="P1560" s="6">
        <v>19</v>
      </c>
      <c r="Q1560" s="4" t="s">
        <v>60</v>
      </c>
      <c r="R1560" s="4">
        <v>0</v>
      </c>
      <c r="S1560" s="6">
        <v>35</v>
      </c>
      <c r="T1560" s="6">
        <v>0</v>
      </c>
      <c r="U1560" s="6">
        <v>0</v>
      </c>
      <c r="V1560" s="6">
        <f>IF(ISERROR(VLOOKUP($S$1560,'TAR FIN'!$A$1:$O$120,15,0)),0,VLOOKUP($S$1560,'TAR FIN'!$A$1:$O$120,15,0))</f>
        <v>12.24</v>
      </c>
      <c r="W1560" s="6">
        <f>IF(ISERROR(VLOOKUP($T$1560,'TAR FIN'!$A$1:$O$120,15,0)),0,VLOOKUP($T$1560,'TAR FIN'!$A$1:$O$120,15,0))</f>
        <v>0</v>
      </c>
      <c r="X1560" s="6">
        <f>IF(ISERROR(VLOOKUP($U$1560,'TAR FIN'!$A$1:$O$120,15,0)),0,VLOOKUP($U$1560,'TAR FIN'!$A$1:$O$120,15,0))</f>
        <v>0</v>
      </c>
      <c r="Y1560" s="6">
        <f ca="1">('TUSD BE'!$AM$43+'TUSD BF'!$AM$43+'TUSD CVA'!$AM$43)*1</f>
        <v>16.00053546174815</v>
      </c>
      <c r="Z1560" s="6"/>
      <c r="AA1560" s="6"/>
      <c r="AB1560" s="6">
        <f>$K$1560*$V$1560</f>
        <v>79669.784411071203</v>
      </c>
      <c r="AC1560" s="6">
        <f>$M$1560*$W$1560</f>
        <v>0</v>
      </c>
      <c r="AD1560" s="6">
        <f>$O$1560*$X$1560</f>
        <v>0</v>
      </c>
      <c r="AE1560" s="6">
        <f ca="1">$K$1560*$Y$1560</f>
        <v>104146.99433816786</v>
      </c>
      <c r="AF1560" s="6">
        <f>$M$1560*$Z$1560</f>
        <v>0</v>
      </c>
      <c r="AG1560" s="6">
        <f>$O$1560*$AA$1560</f>
        <v>0</v>
      </c>
    </row>
    <row r="1561" spans="1:33" ht="11.25" customHeight="1" x14ac:dyDescent="0.25">
      <c r="A1561" s="4" t="s">
        <v>21</v>
      </c>
      <c r="B1561" s="4" t="s">
        <v>44</v>
      </c>
      <c r="C1561" s="4" t="s">
        <v>34</v>
      </c>
      <c r="D1561" s="4" t="s">
        <v>40</v>
      </c>
      <c r="E1561" s="4" t="s">
        <v>25</v>
      </c>
      <c r="F1561" s="4" t="s">
        <v>63</v>
      </c>
      <c r="G1561" s="4" t="s">
        <v>25</v>
      </c>
      <c r="H1561" s="4" t="s">
        <v>25</v>
      </c>
      <c r="I1561" s="5">
        <v>43922</v>
      </c>
      <c r="J1561" s="6">
        <v>11998</v>
      </c>
      <c r="K1561" s="6">
        <v>7444.2273686199997</v>
      </c>
      <c r="L1561" s="6">
        <v>0</v>
      </c>
      <c r="M1561" s="6">
        <v>0</v>
      </c>
      <c r="N1561" s="6">
        <v>0</v>
      </c>
      <c r="O1561" s="6">
        <v>0</v>
      </c>
      <c r="P1561" s="6">
        <v>21</v>
      </c>
      <c r="Q1561" s="4" t="s">
        <v>60</v>
      </c>
      <c r="R1561" s="4">
        <v>0</v>
      </c>
      <c r="S1561" s="6">
        <v>35</v>
      </c>
      <c r="T1561" s="6">
        <v>0</v>
      </c>
      <c r="U1561" s="6">
        <v>0</v>
      </c>
      <c r="V1561" s="6">
        <f>IF(ISERROR(VLOOKUP($S$1561,'TAR FIN'!$A$1:$O$120,15,0)),0,VLOOKUP($S$1561,'TAR FIN'!$A$1:$O$120,15,0))</f>
        <v>12.24</v>
      </c>
      <c r="W1561" s="6">
        <f>IF(ISERROR(VLOOKUP($T$1561,'TAR FIN'!$A$1:$O$120,15,0)),0,VLOOKUP($T$1561,'TAR FIN'!$A$1:$O$120,15,0))</f>
        <v>0</v>
      </c>
      <c r="X1561" s="6">
        <f>IF(ISERROR(VLOOKUP($U$1561,'TAR FIN'!$A$1:$O$120,15,0)),0,VLOOKUP($U$1561,'TAR FIN'!$A$1:$O$120,15,0))</f>
        <v>0</v>
      </c>
      <c r="Y1561" s="6">
        <f ca="1">('TUSD BE'!$AM$43+'TUSD BF'!$AM$43+'TUSD CVA'!$AM$43)*1</f>
        <v>16.00053546174815</v>
      </c>
      <c r="Z1561" s="6"/>
      <c r="AA1561" s="6"/>
      <c r="AB1561" s="6">
        <f>$K$1561*$V$1561</f>
        <v>91117.342991908794</v>
      </c>
      <c r="AC1561" s="6">
        <f>$M$1561*$W$1561</f>
        <v>0</v>
      </c>
      <c r="AD1561" s="6">
        <f>$O$1561*$X$1561</f>
        <v>0</v>
      </c>
      <c r="AE1561" s="6">
        <f ca="1">$K$1561*$Y$1561</f>
        <v>119111.62399692042</v>
      </c>
      <c r="AF1561" s="6">
        <f>$M$1561*$Z$1561</f>
        <v>0</v>
      </c>
      <c r="AG1561" s="6">
        <f>$O$1561*$AA$1561</f>
        <v>0</v>
      </c>
    </row>
    <row r="1562" spans="1:33" ht="11.25" customHeight="1" x14ac:dyDescent="0.25">
      <c r="A1562" s="4" t="s">
        <v>21</v>
      </c>
      <c r="B1562" s="4" t="s">
        <v>44</v>
      </c>
      <c r="C1562" s="4" t="s">
        <v>34</v>
      </c>
      <c r="D1562" s="4" t="s">
        <v>40</v>
      </c>
      <c r="E1562" s="4" t="s">
        <v>25</v>
      </c>
      <c r="F1562" s="4" t="s">
        <v>63</v>
      </c>
      <c r="G1562" s="4" t="s">
        <v>25</v>
      </c>
      <c r="H1562" s="4" t="s">
        <v>25</v>
      </c>
      <c r="I1562" s="5">
        <v>43952</v>
      </c>
      <c r="J1562" s="6">
        <v>12378</v>
      </c>
      <c r="K1562" s="6">
        <v>7589.1920569800004</v>
      </c>
      <c r="L1562" s="6">
        <v>0</v>
      </c>
      <c r="M1562" s="6">
        <v>0</v>
      </c>
      <c r="N1562" s="6">
        <v>0</v>
      </c>
      <c r="O1562" s="6">
        <v>0</v>
      </c>
      <c r="P1562" s="6">
        <v>22</v>
      </c>
      <c r="Q1562" s="4" t="s">
        <v>60</v>
      </c>
      <c r="R1562" s="4">
        <v>0</v>
      </c>
      <c r="S1562" s="6">
        <v>35</v>
      </c>
      <c r="T1562" s="6">
        <v>0</v>
      </c>
      <c r="U1562" s="6">
        <v>0</v>
      </c>
      <c r="V1562" s="6">
        <f>IF(ISERROR(VLOOKUP($S$1562,'TAR FIN'!$A$1:$O$120,15,0)),0,VLOOKUP($S$1562,'TAR FIN'!$A$1:$O$120,15,0))</f>
        <v>12.24</v>
      </c>
      <c r="W1562" s="6">
        <f>IF(ISERROR(VLOOKUP($T$1562,'TAR FIN'!$A$1:$O$120,15,0)),0,VLOOKUP($T$1562,'TAR FIN'!$A$1:$O$120,15,0))</f>
        <v>0</v>
      </c>
      <c r="X1562" s="6">
        <f>IF(ISERROR(VLOOKUP($U$1562,'TAR FIN'!$A$1:$O$120,15,0)),0,VLOOKUP($U$1562,'TAR FIN'!$A$1:$O$120,15,0))</f>
        <v>0</v>
      </c>
      <c r="Y1562" s="6">
        <f ca="1">('TUSD BE'!$AM$43+'TUSD BF'!$AM$43+'TUSD CVA'!$AM$43)*1</f>
        <v>16.00053546174815</v>
      </c>
      <c r="Z1562" s="6"/>
      <c r="AA1562" s="6"/>
      <c r="AB1562" s="6">
        <f>$K$1562*$V$1562</f>
        <v>92891.710777435204</v>
      </c>
      <c r="AC1562" s="6">
        <f>$M$1562*$W$1562</f>
        <v>0</v>
      </c>
      <c r="AD1562" s="6">
        <f>$O$1562*$X$1562</f>
        <v>0</v>
      </c>
      <c r="AE1562" s="6">
        <f ca="1">$K$1562*$Y$1562</f>
        <v>121431.13663372588</v>
      </c>
      <c r="AF1562" s="6">
        <f>$M$1562*$Z$1562</f>
        <v>0</v>
      </c>
      <c r="AG1562" s="6">
        <f>$O$1562*$AA$1562</f>
        <v>0</v>
      </c>
    </row>
    <row r="1563" spans="1:33" ht="11.25" customHeight="1" x14ac:dyDescent="0.25">
      <c r="A1563" s="4" t="s">
        <v>21</v>
      </c>
      <c r="B1563" s="4" t="s">
        <v>44</v>
      </c>
      <c r="C1563" s="4" t="s">
        <v>34</v>
      </c>
      <c r="D1563" s="4" t="s">
        <v>40</v>
      </c>
      <c r="E1563" s="4" t="s">
        <v>25</v>
      </c>
      <c r="F1563" s="4" t="s">
        <v>63</v>
      </c>
      <c r="G1563" s="4" t="s">
        <v>25</v>
      </c>
      <c r="H1563" s="4" t="s">
        <v>25</v>
      </c>
      <c r="I1563" s="5">
        <v>43983</v>
      </c>
      <c r="J1563" s="6">
        <v>12378</v>
      </c>
      <c r="K1563" s="6">
        <v>7653.0947197799997</v>
      </c>
      <c r="L1563" s="6">
        <v>0</v>
      </c>
      <c r="M1563" s="6">
        <v>0</v>
      </c>
      <c r="N1563" s="6">
        <v>0</v>
      </c>
      <c r="O1563" s="6">
        <v>0</v>
      </c>
      <c r="P1563" s="6">
        <v>22</v>
      </c>
      <c r="Q1563" s="4" t="s">
        <v>60</v>
      </c>
      <c r="R1563" s="4">
        <v>0</v>
      </c>
      <c r="S1563" s="6">
        <v>35</v>
      </c>
      <c r="T1563" s="6">
        <v>0</v>
      </c>
      <c r="U1563" s="6">
        <v>0</v>
      </c>
      <c r="V1563" s="6">
        <f>IF(ISERROR(VLOOKUP($S$1563,'TAR FIN'!$A$1:$O$120,15,0)),0,VLOOKUP($S$1563,'TAR FIN'!$A$1:$O$120,15,0))</f>
        <v>12.24</v>
      </c>
      <c r="W1563" s="6">
        <f>IF(ISERROR(VLOOKUP($T$1563,'TAR FIN'!$A$1:$O$120,15,0)),0,VLOOKUP($T$1563,'TAR FIN'!$A$1:$O$120,15,0))</f>
        <v>0</v>
      </c>
      <c r="X1563" s="6">
        <f>IF(ISERROR(VLOOKUP($U$1563,'TAR FIN'!$A$1:$O$120,15,0)),0,VLOOKUP($U$1563,'TAR FIN'!$A$1:$O$120,15,0))</f>
        <v>0</v>
      </c>
      <c r="Y1563" s="6">
        <f ca="1">('TUSD BE'!$AM$43+'TUSD BF'!$AM$43+'TUSD CVA'!$AM$43)*1</f>
        <v>16.00053546174815</v>
      </c>
      <c r="Z1563" s="6"/>
      <c r="AA1563" s="6"/>
      <c r="AB1563" s="6">
        <f>$K$1563*$V$1563</f>
        <v>93673.879370107199</v>
      </c>
      <c r="AC1563" s="6">
        <f>$M$1563*$W$1563</f>
        <v>0</v>
      </c>
      <c r="AD1563" s="6">
        <f>$O$1563*$X$1563</f>
        <v>0</v>
      </c>
      <c r="AE1563" s="6">
        <f ca="1">$K$1563*$Y$1563</f>
        <v>122453.61345595741</v>
      </c>
      <c r="AF1563" s="6">
        <f>$M$1563*$Z$1563</f>
        <v>0</v>
      </c>
      <c r="AG1563" s="6">
        <f>$O$1563*$AA$1563</f>
        <v>0</v>
      </c>
    </row>
    <row r="1564" spans="1:33" ht="11.25" customHeight="1" x14ac:dyDescent="0.25">
      <c r="A1564" s="4" t="s">
        <v>21</v>
      </c>
      <c r="B1564" s="4" t="s">
        <v>44</v>
      </c>
      <c r="C1564" s="4" t="s">
        <v>34</v>
      </c>
      <c r="D1564" s="4" t="s">
        <v>40</v>
      </c>
      <c r="E1564" s="4" t="s">
        <v>25</v>
      </c>
      <c r="F1564" s="4" t="s">
        <v>63</v>
      </c>
      <c r="G1564" s="4" t="s">
        <v>25</v>
      </c>
      <c r="H1564" s="4" t="s">
        <v>25</v>
      </c>
      <c r="I1564" s="5">
        <v>44013</v>
      </c>
      <c r="J1564" s="6">
        <v>8838</v>
      </c>
      <c r="K1564" s="6">
        <v>5382.5778862200004</v>
      </c>
      <c r="L1564" s="6">
        <v>0</v>
      </c>
      <c r="M1564" s="6">
        <v>0</v>
      </c>
      <c r="N1564" s="6">
        <v>0</v>
      </c>
      <c r="O1564" s="6">
        <v>0</v>
      </c>
      <c r="P1564" s="6">
        <v>16</v>
      </c>
      <c r="Q1564" s="4" t="s">
        <v>60</v>
      </c>
      <c r="R1564" s="4">
        <v>0</v>
      </c>
      <c r="S1564" s="6">
        <v>35</v>
      </c>
      <c r="T1564" s="6">
        <v>0</v>
      </c>
      <c r="U1564" s="6">
        <v>0</v>
      </c>
      <c r="V1564" s="6">
        <f>IF(ISERROR(VLOOKUP($S$1564,'TAR FIN'!$A$1:$O$120,15,0)),0,VLOOKUP($S$1564,'TAR FIN'!$A$1:$O$120,15,0))</f>
        <v>12.24</v>
      </c>
      <c r="W1564" s="6">
        <f>IF(ISERROR(VLOOKUP($T$1564,'TAR FIN'!$A$1:$O$120,15,0)),0,VLOOKUP($T$1564,'TAR FIN'!$A$1:$O$120,15,0))</f>
        <v>0</v>
      </c>
      <c r="X1564" s="6">
        <f>IF(ISERROR(VLOOKUP($U$1564,'TAR FIN'!$A$1:$O$120,15,0)),0,VLOOKUP($U$1564,'TAR FIN'!$A$1:$O$120,15,0))</f>
        <v>0</v>
      </c>
      <c r="Y1564" s="6">
        <f ca="1">('TUSD BE'!$AM$43+'TUSD BF'!$AM$43+'TUSD CVA'!$AM$43)*1</f>
        <v>16.00053546174815</v>
      </c>
      <c r="Z1564" s="6"/>
      <c r="AA1564" s="6"/>
      <c r="AB1564" s="6">
        <f>$K$1564*$V$1564</f>
        <v>65882.753327332801</v>
      </c>
      <c r="AC1564" s="6">
        <f>$M$1564*$W$1564</f>
        <v>0</v>
      </c>
      <c r="AD1564" s="6">
        <f>$O$1564*$X$1564</f>
        <v>0</v>
      </c>
      <c r="AE1564" s="6">
        <f ca="1">$K$1564*$Y$1564</f>
        <v>86124.128344084515</v>
      </c>
      <c r="AF1564" s="6">
        <f>$M$1564*$Z$1564</f>
        <v>0</v>
      </c>
      <c r="AG1564" s="6">
        <f>$O$1564*$AA$1564</f>
        <v>0</v>
      </c>
    </row>
    <row r="1565" spans="1:33" ht="11.25" customHeight="1" x14ac:dyDescent="0.25">
      <c r="A1565" s="4" t="s">
        <v>21</v>
      </c>
      <c r="B1565" s="4" t="s">
        <v>44</v>
      </c>
      <c r="C1565" s="4" t="s">
        <v>34</v>
      </c>
      <c r="D1565" s="4" t="s">
        <v>40</v>
      </c>
      <c r="E1565" s="4" t="s">
        <v>25</v>
      </c>
      <c r="F1565" s="4" t="s">
        <v>63</v>
      </c>
      <c r="G1565" s="4" t="s">
        <v>25</v>
      </c>
      <c r="H1565" s="4" t="s">
        <v>25</v>
      </c>
      <c r="I1565" s="5">
        <v>44044</v>
      </c>
      <c r="J1565" s="6">
        <v>12378</v>
      </c>
      <c r="K1565" s="6">
        <v>7550.58</v>
      </c>
      <c r="L1565" s="6">
        <v>0</v>
      </c>
      <c r="M1565" s="6">
        <v>0</v>
      </c>
      <c r="N1565" s="6">
        <v>0</v>
      </c>
      <c r="O1565" s="6">
        <v>0</v>
      </c>
      <c r="P1565" s="6">
        <v>22</v>
      </c>
      <c r="Q1565" s="4" t="s">
        <v>60</v>
      </c>
      <c r="R1565" s="4">
        <v>0</v>
      </c>
      <c r="S1565" s="6">
        <v>35</v>
      </c>
      <c r="T1565" s="6">
        <v>0</v>
      </c>
      <c r="U1565" s="6">
        <v>0</v>
      </c>
      <c r="V1565" s="6">
        <f>IF(ISERROR(VLOOKUP($S$1565,'TAR FIN'!$A$1:$O$120,15,0)),0,VLOOKUP($S$1565,'TAR FIN'!$A$1:$O$120,15,0))</f>
        <v>12.24</v>
      </c>
      <c r="W1565" s="6">
        <f>IF(ISERROR(VLOOKUP($T$1565,'TAR FIN'!$A$1:$O$120,15,0)),0,VLOOKUP($T$1565,'TAR FIN'!$A$1:$O$120,15,0))</f>
        <v>0</v>
      </c>
      <c r="X1565" s="6">
        <f>IF(ISERROR(VLOOKUP($U$1565,'TAR FIN'!$A$1:$O$120,15,0)),0,VLOOKUP($U$1565,'TAR FIN'!$A$1:$O$120,15,0))</f>
        <v>0</v>
      </c>
      <c r="Y1565" s="6">
        <f ca="1">('TUSD BE'!$AM$43+'TUSD BF'!$AM$43+'TUSD CVA'!$AM$43)*1</f>
        <v>16.00053546174815</v>
      </c>
      <c r="Z1565" s="6"/>
      <c r="AA1565" s="6"/>
      <c r="AB1565" s="6">
        <f>$K$1565*$V$1565</f>
        <v>92419.099199999997</v>
      </c>
      <c r="AC1565" s="6">
        <f>$M$1565*$W$1565</f>
        <v>0</v>
      </c>
      <c r="AD1565" s="6">
        <f>$O$1565*$X$1565</f>
        <v>0</v>
      </c>
      <c r="AE1565" s="6">
        <f ca="1">$K$1565*$Y$1565</f>
        <v>120813.32304676635</v>
      </c>
      <c r="AF1565" s="6">
        <f>$M$1565*$Z$1565</f>
        <v>0</v>
      </c>
      <c r="AG1565" s="6">
        <f>$O$1565*$AA$1565</f>
        <v>0</v>
      </c>
    </row>
    <row r="1566" spans="1:33" ht="11.25" customHeight="1" x14ac:dyDescent="0.25">
      <c r="A1566" s="4" t="s">
        <v>59</v>
      </c>
      <c r="B1566" s="4" t="s">
        <v>44</v>
      </c>
      <c r="C1566" s="4" t="s">
        <v>34</v>
      </c>
      <c r="D1566" s="4" t="s">
        <v>40</v>
      </c>
      <c r="E1566" s="4" t="s">
        <v>25</v>
      </c>
      <c r="F1566" s="4" t="s">
        <v>63</v>
      </c>
      <c r="G1566" s="4" t="s">
        <v>25</v>
      </c>
      <c r="H1566" s="4" t="s">
        <v>25</v>
      </c>
      <c r="I1566" s="5">
        <v>44075</v>
      </c>
      <c r="J1566" s="6">
        <v>12378</v>
      </c>
      <c r="K1566" s="6">
        <v>7550.58</v>
      </c>
      <c r="L1566" s="6">
        <v>0</v>
      </c>
      <c r="M1566" s="6">
        <v>0</v>
      </c>
      <c r="N1566" s="6">
        <v>0</v>
      </c>
      <c r="O1566" s="6">
        <v>0</v>
      </c>
      <c r="P1566" s="6">
        <v>22</v>
      </c>
      <c r="Q1566" s="4" t="s">
        <v>60</v>
      </c>
      <c r="R1566" s="4">
        <v>0</v>
      </c>
      <c r="S1566" s="6">
        <v>35</v>
      </c>
      <c r="T1566" s="6">
        <v>0</v>
      </c>
      <c r="U1566" s="6">
        <v>0</v>
      </c>
      <c r="V1566" s="6">
        <f>IF(ISERROR(VLOOKUP($S$1566,'TAR FIN'!$A$1:$O$120,15,0)),0,VLOOKUP($S$1566,'TAR FIN'!$A$1:$O$120,15,0))</f>
        <v>12.24</v>
      </c>
      <c r="W1566" s="6">
        <f>IF(ISERROR(VLOOKUP($T$1566,'TAR FIN'!$A$1:$O$120,15,0)),0,VLOOKUP($T$1566,'TAR FIN'!$A$1:$O$120,15,0))</f>
        <v>0</v>
      </c>
      <c r="X1566" s="6">
        <f>IF(ISERROR(VLOOKUP($U$1566,'TAR FIN'!$A$1:$O$120,15,0)),0,VLOOKUP($U$1566,'TAR FIN'!$A$1:$O$120,15,0))</f>
        <v>0</v>
      </c>
      <c r="Y1566" s="6">
        <f ca="1">('TUSD BE'!$AM$43+'TUSD BF'!$AM$43+'TUSD CVA'!$AM$43)*1</f>
        <v>16.00053546174815</v>
      </c>
      <c r="Z1566" s="6"/>
      <c r="AA1566" s="6"/>
      <c r="AB1566" s="6">
        <f>$K$1566*$V$1566</f>
        <v>92419.099199999997</v>
      </c>
      <c r="AC1566" s="6">
        <f>$M$1566*$W$1566</f>
        <v>0</v>
      </c>
      <c r="AD1566" s="6">
        <f>$O$1566*$X$1566</f>
        <v>0</v>
      </c>
      <c r="AE1566" s="6">
        <f ca="1">$K$1566*$Y$1566</f>
        <v>120813.32304676635</v>
      </c>
      <c r="AF1566" s="6">
        <f>$M$1566*$Z$1566</f>
        <v>0</v>
      </c>
      <c r="AG1566" s="6">
        <f>$O$1566*$AA$1566</f>
        <v>0</v>
      </c>
    </row>
    <row r="1567" spans="1:33" ht="11.25" customHeight="1" x14ac:dyDescent="0.25">
      <c r="A1567" s="4" t="s">
        <v>21</v>
      </c>
      <c r="B1567" s="4" t="s">
        <v>44</v>
      </c>
      <c r="C1567" s="4" t="s">
        <v>34</v>
      </c>
      <c r="D1567" s="4" t="s">
        <v>40</v>
      </c>
      <c r="E1567" s="4" t="s">
        <v>25</v>
      </c>
      <c r="F1567" s="4" t="s">
        <v>63</v>
      </c>
      <c r="G1567" s="4" t="s">
        <v>25</v>
      </c>
      <c r="H1567" s="4" t="s">
        <v>35</v>
      </c>
      <c r="I1567" s="5">
        <v>43739</v>
      </c>
      <c r="J1567" s="6">
        <v>0</v>
      </c>
      <c r="K1567" s="6">
        <v>0</v>
      </c>
      <c r="L1567" s="6">
        <v>297.952</v>
      </c>
      <c r="M1567" s="6">
        <v>195.44079503200001</v>
      </c>
      <c r="N1567" s="6">
        <v>0</v>
      </c>
      <c r="O1567" s="6">
        <v>0</v>
      </c>
      <c r="P1567" s="6">
        <v>0</v>
      </c>
      <c r="Q1567" s="4" t="s">
        <v>60</v>
      </c>
      <c r="R1567" s="4">
        <v>0</v>
      </c>
      <c r="S1567" s="6">
        <v>0</v>
      </c>
      <c r="T1567" s="6">
        <v>36</v>
      </c>
      <c r="U1567" s="6">
        <v>0</v>
      </c>
      <c r="V1567" s="6">
        <f>IF(ISERROR(VLOOKUP($S$1567,'TAR FIN'!$A$1:$O$120,15,0)),0,VLOOKUP($S$1567,'TAR FIN'!$A$1:$O$120,15,0))</f>
        <v>0</v>
      </c>
      <c r="W1567" s="6">
        <f>IF(ISERROR(VLOOKUP($T$1567,'TAR FIN'!$A$1:$O$120,15,0)),0,VLOOKUP($T$1567,'TAR FIN'!$A$1:$O$120,15,0))</f>
        <v>1174.6600000000001</v>
      </c>
      <c r="X1567" s="6">
        <f>IF(ISERROR(VLOOKUP($U$1567,'TAR FIN'!$A$1:$O$120,15,0)),0,VLOOKUP($U$1567,'TAR FIN'!$A$1:$O$120,15,0))</f>
        <v>0</v>
      </c>
      <c r="Y1567" s="6"/>
      <c r="Z1567" s="6">
        <f ca="1">('TUSD BE'!$AM$44+'TUSD BF'!$AM$44+'TUSD CVA'!$AM$44)*1</f>
        <v>1305.5497259800161</v>
      </c>
      <c r="AA1567" s="6"/>
      <c r="AB1567" s="6">
        <f>$K$1567*$V$1567</f>
        <v>0</v>
      </c>
      <c r="AC1567" s="6">
        <f>$M$1567*$W$1567</f>
        <v>229576.48429228915</v>
      </c>
      <c r="AD1567" s="6">
        <f>$O$1567*$X$1567</f>
        <v>0</v>
      </c>
      <c r="AE1567" s="6">
        <f>$K$1567*$Y$1567</f>
        <v>0</v>
      </c>
      <c r="AF1567" s="6">
        <f ca="1">$M$1567*$Z$1567</f>
        <v>255157.67639934411</v>
      </c>
      <c r="AG1567" s="6">
        <f>$O$1567*$AA$1567</f>
        <v>0</v>
      </c>
    </row>
    <row r="1568" spans="1:33" ht="11.25" customHeight="1" x14ac:dyDescent="0.25">
      <c r="A1568" s="4" t="s">
        <v>21</v>
      </c>
      <c r="B1568" s="4" t="s">
        <v>44</v>
      </c>
      <c r="C1568" s="4" t="s">
        <v>34</v>
      </c>
      <c r="D1568" s="4" t="s">
        <v>40</v>
      </c>
      <c r="E1568" s="4" t="s">
        <v>25</v>
      </c>
      <c r="F1568" s="4" t="s">
        <v>63</v>
      </c>
      <c r="G1568" s="4" t="s">
        <v>25</v>
      </c>
      <c r="H1568" s="4" t="s">
        <v>35</v>
      </c>
      <c r="I1568" s="5">
        <v>43770</v>
      </c>
      <c r="J1568" s="6">
        <v>0</v>
      </c>
      <c r="K1568" s="6">
        <v>0</v>
      </c>
      <c r="L1568" s="6">
        <v>259.803</v>
      </c>
      <c r="M1568" s="6">
        <v>161.49602332062</v>
      </c>
      <c r="N1568" s="6">
        <v>0</v>
      </c>
      <c r="O1568" s="6">
        <v>0</v>
      </c>
      <c r="P1568" s="6">
        <v>0</v>
      </c>
      <c r="Q1568" s="4" t="s">
        <v>60</v>
      </c>
      <c r="R1568" s="4">
        <v>0</v>
      </c>
      <c r="S1568" s="6">
        <v>0</v>
      </c>
      <c r="T1568" s="6">
        <v>36</v>
      </c>
      <c r="U1568" s="6">
        <v>0</v>
      </c>
      <c r="V1568" s="6">
        <f>IF(ISERROR(VLOOKUP($S$1568,'TAR FIN'!$A$1:$O$120,15,0)),0,VLOOKUP($S$1568,'TAR FIN'!$A$1:$O$120,15,0))</f>
        <v>0</v>
      </c>
      <c r="W1568" s="6">
        <f>IF(ISERROR(VLOOKUP($T$1568,'TAR FIN'!$A$1:$O$120,15,0)),0,VLOOKUP($T$1568,'TAR FIN'!$A$1:$O$120,15,0))</f>
        <v>1174.6600000000001</v>
      </c>
      <c r="X1568" s="6">
        <f>IF(ISERROR(VLOOKUP($U$1568,'TAR FIN'!$A$1:$O$120,15,0)),0,VLOOKUP($U$1568,'TAR FIN'!$A$1:$O$120,15,0))</f>
        <v>0</v>
      </c>
      <c r="Y1568" s="6"/>
      <c r="Z1568" s="6">
        <f ca="1">('TUSD BE'!$AM$44+'TUSD BF'!$AM$44+'TUSD CVA'!$AM$44)*1</f>
        <v>1305.5497259800161</v>
      </c>
      <c r="AA1568" s="6"/>
      <c r="AB1568" s="6">
        <f>$K$1568*$V$1568</f>
        <v>0</v>
      </c>
      <c r="AC1568" s="6">
        <f>$M$1568*$W$1568</f>
        <v>189702.91875379949</v>
      </c>
      <c r="AD1568" s="6">
        <f>$O$1568*$X$1568</f>
        <v>0</v>
      </c>
      <c r="AE1568" s="6">
        <f>$K$1568*$Y$1568</f>
        <v>0</v>
      </c>
      <c r="AF1568" s="6">
        <f ca="1">$M$1568*$Z$1568</f>
        <v>210841.08899309771</v>
      </c>
      <c r="AG1568" s="6">
        <f>$O$1568*$AA$1568</f>
        <v>0</v>
      </c>
    </row>
    <row r="1569" spans="1:33" ht="11.25" customHeight="1" x14ac:dyDescent="0.25">
      <c r="A1569" s="4" t="s">
        <v>21</v>
      </c>
      <c r="B1569" s="4" t="s">
        <v>44</v>
      </c>
      <c r="C1569" s="4" t="s">
        <v>34</v>
      </c>
      <c r="D1569" s="4" t="s">
        <v>40</v>
      </c>
      <c r="E1569" s="4" t="s">
        <v>25</v>
      </c>
      <c r="F1569" s="4" t="s">
        <v>63</v>
      </c>
      <c r="G1569" s="4" t="s">
        <v>25</v>
      </c>
      <c r="H1569" s="4" t="s">
        <v>35</v>
      </c>
      <c r="I1569" s="5">
        <v>43800</v>
      </c>
      <c r="J1569" s="6">
        <v>0</v>
      </c>
      <c r="K1569" s="6">
        <v>0</v>
      </c>
      <c r="L1569" s="6">
        <v>264.79500000000002</v>
      </c>
      <c r="M1569" s="6">
        <v>175.42622410875001</v>
      </c>
      <c r="N1569" s="6">
        <v>0</v>
      </c>
      <c r="O1569" s="6">
        <v>0</v>
      </c>
      <c r="P1569" s="6">
        <v>0</v>
      </c>
      <c r="Q1569" s="4" t="s">
        <v>60</v>
      </c>
      <c r="R1569" s="4">
        <v>0</v>
      </c>
      <c r="S1569" s="6">
        <v>0</v>
      </c>
      <c r="T1569" s="6">
        <v>36</v>
      </c>
      <c r="U1569" s="6">
        <v>0</v>
      </c>
      <c r="V1569" s="6">
        <f>IF(ISERROR(VLOOKUP($S$1569,'TAR FIN'!$A$1:$O$120,15,0)),0,VLOOKUP($S$1569,'TAR FIN'!$A$1:$O$120,15,0))</f>
        <v>0</v>
      </c>
      <c r="W1569" s="6">
        <f>IF(ISERROR(VLOOKUP($T$1569,'TAR FIN'!$A$1:$O$120,15,0)),0,VLOOKUP($T$1569,'TAR FIN'!$A$1:$O$120,15,0))</f>
        <v>1174.6600000000001</v>
      </c>
      <c r="X1569" s="6">
        <f>IF(ISERROR(VLOOKUP($U$1569,'TAR FIN'!$A$1:$O$120,15,0)),0,VLOOKUP($U$1569,'TAR FIN'!$A$1:$O$120,15,0))</f>
        <v>0</v>
      </c>
      <c r="Y1569" s="6"/>
      <c r="Z1569" s="6">
        <f ca="1">('TUSD BE'!$AM$44+'TUSD BF'!$AM$44+'TUSD CVA'!$AM$44)*1</f>
        <v>1305.5497259800161</v>
      </c>
      <c r="AA1569" s="6"/>
      <c r="AB1569" s="6">
        <f>$K$1569*$V$1569</f>
        <v>0</v>
      </c>
      <c r="AC1569" s="6">
        <f>$M$1569*$W$1569</f>
        <v>206066.16841158431</v>
      </c>
      <c r="AD1569" s="6">
        <f>$O$1569*$X$1569</f>
        <v>0</v>
      </c>
      <c r="AE1569" s="6">
        <f>$K$1569*$Y$1569</f>
        <v>0</v>
      </c>
      <c r="AF1569" s="6">
        <f ca="1">$M$1569*$Z$1569</f>
        <v>229027.65881488746</v>
      </c>
      <c r="AG1569" s="6">
        <f>$O$1569*$AA$1569</f>
        <v>0</v>
      </c>
    </row>
    <row r="1570" spans="1:33" ht="11.25" customHeight="1" x14ac:dyDescent="0.25">
      <c r="A1570" s="4" t="s">
        <v>21</v>
      </c>
      <c r="B1570" s="4" t="s">
        <v>44</v>
      </c>
      <c r="C1570" s="4" t="s">
        <v>34</v>
      </c>
      <c r="D1570" s="4" t="s">
        <v>40</v>
      </c>
      <c r="E1570" s="4" t="s">
        <v>25</v>
      </c>
      <c r="F1570" s="4" t="s">
        <v>63</v>
      </c>
      <c r="G1570" s="4" t="s">
        <v>25</v>
      </c>
      <c r="H1570" s="4" t="s">
        <v>35</v>
      </c>
      <c r="I1570" s="5">
        <v>43831</v>
      </c>
      <c r="J1570" s="6">
        <v>0</v>
      </c>
      <c r="K1570" s="6">
        <v>0</v>
      </c>
      <c r="L1570" s="6">
        <v>289.28399999999999</v>
      </c>
      <c r="M1570" s="6">
        <v>198.51033734975999</v>
      </c>
      <c r="N1570" s="6">
        <v>0</v>
      </c>
      <c r="O1570" s="6">
        <v>0</v>
      </c>
      <c r="P1570" s="6">
        <v>0</v>
      </c>
      <c r="Q1570" s="4" t="s">
        <v>60</v>
      </c>
      <c r="R1570" s="4">
        <v>0</v>
      </c>
      <c r="S1570" s="6">
        <v>0</v>
      </c>
      <c r="T1570" s="6">
        <v>36</v>
      </c>
      <c r="U1570" s="6">
        <v>0</v>
      </c>
      <c r="V1570" s="6">
        <f>IF(ISERROR(VLOOKUP($S$1570,'TAR FIN'!$A$1:$O$120,15,0)),0,VLOOKUP($S$1570,'TAR FIN'!$A$1:$O$120,15,0))</f>
        <v>0</v>
      </c>
      <c r="W1570" s="6">
        <f>IF(ISERROR(VLOOKUP($T$1570,'TAR FIN'!$A$1:$O$120,15,0)),0,VLOOKUP($T$1570,'TAR FIN'!$A$1:$O$120,15,0))</f>
        <v>1174.6600000000001</v>
      </c>
      <c r="X1570" s="6">
        <f>IF(ISERROR(VLOOKUP($U$1570,'TAR FIN'!$A$1:$O$120,15,0)),0,VLOOKUP($U$1570,'TAR FIN'!$A$1:$O$120,15,0))</f>
        <v>0</v>
      </c>
      <c r="Y1570" s="6"/>
      <c r="Z1570" s="6">
        <f ca="1">('TUSD BE'!$AM$44+'TUSD BF'!$AM$44+'TUSD CVA'!$AM$44)*1</f>
        <v>1305.5497259800161</v>
      </c>
      <c r="AA1570" s="6"/>
      <c r="AB1570" s="6">
        <f>$K$1570*$V$1570</f>
        <v>0</v>
      </c>
      <c r="AC1570" s="6">
        <f>$M$1570*$W$1570</f>
        <v>233182.15287126909</v>
      </c>
      <c r="AD1570" s="6">
        <f>$O$1570*$X$1570</f>
        <v>0</v>
      </c>
      <c r="AE1570" s="6">
        <f>$K$1570*$Y$1570</f>
        <v>0</v>
      </c>
      <c r="AF1570" s="6">
        <f ca="1">$M$1570*$Z$1570</f>
        <v>259165.11653117972</v>
      </c>
      <c r="AG1570" s="6">
        <f>$O$1570*$AA$1570</f>
        <v>0</v>
      </c>
    </row>
    <row r="1571" spans="1:33" ht="11.25" customHeight="1" x14ac:dyDescent="0.25">
      <c r="A1571" s="4" t="s">
        <v>21</v>
      </c>
      <c r="B1571" s="4" t="s">
        <v>44</v>
      </c>
      <c r="C1571" s="4" t="s">
        <v>34</v>
      </c>
      <c r="D1571" s="4" t="s">
        <v>40</v>
      </c>
      <c r="E1571" s="4" t="s">
        <v>25</v>
      </c>
      <c r="F1571" s="4" t="s">
        <v>63</v>
      </c>
      <c r="G1571" s="4" t="s">
        <v>25</v>
      </c>
      <c r="H1571" s="4" t="s">
        <v>35</v>
      </c>
      <c r="I1571" s="5">
        <v>43862</v>
      </c>
      <c r="J1571" s="6">
        <v>0</v>
      </c>
      <c r="K1571" s="6">
        <v>0</v>
      </c>
      <c r="L1571" s="6">
        <v>240.24600000000001</v>
      </c>
      <c r="M1571" s="6">
        <v>157.09251815478001</v>
      </c>
      <c r="N1571" s="6">
        <v>0</v>
      </c>
      <c r="O1571" s="6">
        <v>0</v>
      </c>
      <c r="P1571" s="6">
        <v>0</v>
      </c>
      <c r="Q1571" s="4" t="s">
        <v>60</v>
      </c>
      <c r="R1571" s="4">
        <v>0</v>
      </c>
      <c r="S1571" s="6">
        <v>0</v>
      </c>
      <c r="T1571" s="6">
        <v>36</v>
      </c>
      <c r="U1571" s="6">
        <v>0</v>
      </c>
      <c r="V1571" s="6">
        <f>IF(ISERROR(VLOOKUP($S$1571,'TAR FIN'!$A$1:$O$120,15,0)),0,VLOOKUP($S$1571,'TAR FIN'!$A$1:$O$120,15,0))</f>
        <v>0</v>
      </c>
      <c r="W1571" s="6">
        <f>IF(ISERROR(VLOOKUP($T$1571,'TAR FIN'!$A$1:$O$120,15,0)),0,VLOOKUP($T$1571,'TAR FIN'!$A$1:$O$120,15,0))</f>
        <v>1174.6600000000001</v>
      </c>
      <c r="X1571" s="6">
        <f>IF(ISERROR(VLOOKUP($U$1571,'TAR FIN'!$A$1:$O$120,15,0)),0,VLOOKUP($U$1571,'TAR FIN'!$A$1:$O$120,15,0))</f>
        <v>0</v>
      </c>
      <c r="Y1571" s="6"/>
      <c r="Z1571" s="6">
        <f ca="1">('TUSD BE'!$AM$44+'TUSD BF'!$AM$44+'TUSD CVA'!$AM$44)*1</f>
        <v>1305.5497259800161</v>
      </c>
      <c r="AA1571" s="6"/>
      <c r="AB1571" s="6">
        <f>$K$1571*$V$1571</f>
        <v>0</v>
      </c>
      <c r="AC1571" s="6">
        <f>$M$1571*$W$1571</f>
        <v>184530.29737569389</v>
      </c>
      <c r="AD1571" s="6">
        <f>$O$1571*$X$1571</f>
        <v>0</v>
      </c>
      <c r="AE1571" s="6">
        <f>$K$1571*$Y$1571</f>
        <v>0</v>
      </c>
      <c r="AF1571" s="6">
        <f ca="1">$M$1571*$Z$1571</f>
        <v>205092.09403048374</v>
      </c>
      <c r="AG1571" s="6">
        <f>$O$1571*$AA$1571</f>
        <v>0</v>
      </c>
    </row>
    <row r="1572" spans="1:33" ht="11.25" customHeight="1" x14ac:dyDescent="0.25">
      <c r="A1572" s="4" t="s">
        <v>21</v>
      </c>
      <c r="B1572" s="4" t="s">
        <v>44</v>
      </c>
      <c r="C1572" s="4" t="s">
        <v>34</v>
      </c>
      <c r="D1572" s="4" t="s">
        <v>40</v>
      </c>
      <c r="E1572" s="4" t="s">
        <v>25</v>
      </c>
      <c r="F1572" s="4" t="s">
        <v>63</v>
      </c>
      <c r="G1572" s="4" t="s">
        <v>25</v>
      </c>
      <c r="H1572" s="4" t="s">
        <v>35</v>
      </c>
      <c r="I1572" s="5">
        <v>43891</v>
      </c>
      <c r="J1572" s="6">
        <v>0</v>
      </c>
      <c r="K1572" s="6">
        <v>0</v>
      </c>
      <c r="L1572" s="6">
        <v>264.87900000000002</v>
      </c>
      <c r="M1572" s="6">
        <v>176.56615349946</v>
      </c>
      <c r="N1572" s="6">
        <v>0</v>
      </c>
      <c r="O1572" s="6">
        <v>0</v>
      </c>
      <c r="P1572" s="6">
        <v>0</v>
      </c>
      <c r="Q1572" s="4" t="s">
        <v>60</v>
      </c>
      <c r="R1572" s="4">
        <v>0</v>
      </c>
      <c r="S1572" s="6">
        <v>0</v>
      </c>
      <c r="T1572" s="6">
        <v>36</v>
      </c>
      <c r="U1572" s="6">
        <v>0</v>
      </c>
      <c r="V1572" s="6">
        <f>IF(ISERROR(VLOOKUP($S$1572,'TAR FIN'!$A$1:$O$120,15,0)),0,VLOOKUP($S$1572,'TAR FIN'!$A$1:$O$120,15,0))</f>
        <v>0</v>
      </c>
      <c r="W1572" s="6">
        <f>IF(ISERROR(VLOOKUP($T$1572,'TAR FIN'!$A$1:$O$120,15,0)),0,VLOOKUP($T$1572,'TAR FIN'!$A$1:$O$120,15,0))</f>
        <v>1174.6600000000001</v>
      </c>
      <c r="X1572" s="6">
        <f>IF(ISERROR(VLOOKUP($U$1572,'TAR FIN'!$A$1:$O$120,15,0)),0,VLOOKUP($U$1572,'TAR FIN'!$A$1:$O$120,15,0))</f>
        <v>0</v>
      </c>
      <c r="Y1572" s="6"/>
      <c r="Z1572" s="6">
        <f ca="1">('TUSD BE'!$AM$44+'TUSD BF'!$AM$44+'TUSD CVA'!$AM$44)*1</f>
        <v>1305.5497259800161</v>
      </c>
      <c r="AA1572" s="6"/>
      <c r="AB1572" s="6">
        <f>$K$1572*$V$1572</f>
        <v>0</v>
      </c>
      <c r="AC1572" s="6">
        <f>$M$1572*$W$1572</f>
        <v>207405.1978696757</v>
      </c>
      <c r="AD1572" s="6">
        <f>$O$1572*$X$1572</f>
        <v>0</v>
      </c>
      <c r="AE1572" s="6">
        <f>$K$1572*$Y$1572</f>
        <v>0</v>
      </c>
      <c r="AF1572" s="6">
        <f ca="1">$M$1572*$Z$1572</f>
        <v>230515.89331856548</v>
      </c>
      <c r="AG1572" s="6">
        <f>$O$1572*$AA$1572</f>
        <v>0</v>
      </c>
    </row>
    <row r="1573" spans="1:33" ht="11.25" customHeight="1" x14ac:dyDescent="0.25">
      <c r="A1573" s="4" t="s">
        <v>21</v>
      </c>
      <c r="B1573" s="4" t="s">
        <v>44</v>
      </c>
      <c r="C1573" s="4" t="s">
        <v>34</v>
      </c>
      <c r="D1573" s="4" t="s">
        <v>40</v>
      </c>
      <c r="E1573" s="4" t="s">
        <v>25</v>
      </c>
      <c r="F1573" s="4" t="s">
        <v>63</v>
      </c>
      <c r="G1573" s="4" t="s">
        <v>25</v>
      </c>
      <c r="H1573" s="4" t="s">
        <v>35</v>
      </c>
      <c r="I1573" s="5">
        <v>43922</v>
      </c>
      <c r="J1573" s="6">
        <v>0</v>
      </c>
      <c r="K1573" s="6">
        <v>0</v>
      </c>
      <c r="L1573" s="6">
        <v>249.36</v>
      </c>
      <c r="M1573" s="6">
        <v>164.96038006800001</v>
      </c>
      <c r="N1573" s="6">
        <v>0</v>
      </c>
      <c r="O1573" s="6">
        <v>0</v>
      </c>
      <c r="P1573" s="6">
        <v>0</v>
      </c>
      <c r="Q1573" s="4" t="s">
        <v>60</v>
      </c>
      <c r="R1573" s="4">
        <v>0</v>
      </c>
      <c r="S1573" s="6">
        <v>0</v>
      </c>
      <c r="T1573" s="6">
        <v>36</v>
      </c>
      <c r="U1573" s="6">
        <v>0</v>
      </c>
      <c r="V1573" s="6">
        <f>IF(ISERROR(VLOOKUP($S$1573,'TAR FIN'!$A$1:$O$120,15,0)),0,VLOOKUP($S$1573,'TAR FIN'!$A$1:$O$120,15,0))</f>
        <v>0</v>
      </c>
      <c r="W1573" s="6">
        <f>IF(ISERROR(VLOOKUP($T$1573,'TAR FIN'!$A$1:$O$120,15,0)),0,VLOOKUP($T$1573,'TAR FIN'!$A$1:$O$120,15,0))</f>
        <v>1174.6600000000001</v>
      </c>
      <c r="X1573" s="6">
        <f>IF(ISERROR(VLOOKUP($U$1573,'TAR FIN'!$A$1:$O$120,15,0)),0,VLOOKUP($U$1573,'TAR FIN'!$A$1:$O$120,15,0))</f>
        <v>0</v>
      </c>
      <c r="Y1573" s="6"/>
      <c r="Z1573" s="6">
        <f ca="1">('TUSD BE'!$AM$44+'TUSD BF'!$AM$44+'TUSD CVA'!$AM$44)*1</f>
        <v>1305.5497259800161</v>
      </c>
      <c r="AA1573" s="6"/>
      <c r="AB1573" s="6">
        <f>$K$1573*$V$1573</f>
        <v>0</v>
      </c>
      <c r="AC1573" s="6">
        <f>$M$1573*$W$1573</f>
        <v>193772.36005067691</v>
      </c>
      <c r="AD1573" s="6">
        <f>$O$1573*$X$1573</f>
        <v>0</v>
      </c>
      <c r="AE1573" s="6">
        <f>$K$1573*$Y$1573</f>
        <v>0</v>
      </c>
      <c r="AF1573" s="6">
        <f ca="1">$M$1573*$Z$1573</f>
        <v>215363.97899533671</v>
      </c>
      <c r="AG1573" s="6">
        <f>$O$1573*$AA$1573</f>
        <v>0</v>
      </c>
    </row>
    <row r="1574" spans="1:33" ht="11.25" customHeight="1" x14ac:dyDescent="0.25">
      <c r="A1574" s="4" t="s">
        <v>21</v>
      </c>
      <c r="B1574" s="4" t="s">
        <v>44</v>
      </c>
      <c r="C1574" s="4" t="s">
        <v>34</v>
      </c>
      <c r="D1574" s="4" t="s">
        <v>40</v>
      </c>
      <c r="E1574" s="4" t="s">
        <v>25</v>
      </c>
      <c r="F1574" s="4" t="s">
        <v>63</v>
      </c>
      <c r="G1574" s="4" t="s">
        <v>25</v>
      </c>
      <c r="H1574" s="4" t="s">
        <v>35</v>
      </c>
      <c r="I1574" s="5">
        <v>43952</v>
      </c>
      <c r="J1574" s="6">
        <v>0</v>
      </c>
      <c r="K1574" s="6">
        <v>0</v>
      </c>
      <c r="L1574" s="6">
        <v>220.82599999999999</v>
      </c>
      <c r="M1574" s="6">
        <v>145.75165890918001</v>
      </c>
      <c r="N1574" s="6">
        <v>0</v>
      </c>
      <c r="O1574" s="6">
        <v>0</v>
      </c>
      <c r="P1574" s="6">
        <v>0</v>
      </c>
      <c r="Q1574" s="4" t="s">
        <v>60</v>
      </c>
      <c r="R1574" s="4">
        <v>0</v>
      </c>
      <c r="S1574" s="6">
        <v>0</v>
      </c>
      <c r="T1574" s="6">
        <v>36</v>
      </c>
      <c r="U1574" s="6">
        <v>0</v>
      </c>
      <c r="V1574" s="6">
        <f>IF(ISERROR(VLOOKUP($S$1574,'TAR FIN'!$A$1:$O$120,15,0)),0,VLOOKUP($S$1574,'TAR FIN'!$A$1:$O$120,15,0))</f>
        <v>0</v>
      </c>
      <c r="W1574" s="6">
        <f>IF(ISERROR(VLOOKUP($T$1574,'TAR FIN'!$A$1:$O$120,15,0)),0,VLOOKUP($T$1574,'TAR FIN'!$A$1:$O$120,15,0))</f>
        <v>1174.6600000000001</v>
      </c>
      <c r="X1574" s="6">
        <f>IF(ISERROR(VLOOKUP($U$1574,'TAR FIN'!$A$1:$O$120,15,0)),0,VLOOKUP($U$1574,'TAR FIN'!$A$1:$O$120,15,0))</f>
        <v>0</v>
      </c>
      <c r="Y1574" s="6"/>
      <c r="Z1574" s="6">
        <f ca="1">('TUSD BE'!$AM$44+'TUSD BF'!$AM$44+'TUSD CVA'!$AM$44)*1</f>
        <v>1305.5497259800161</v>
      </c>
      <c r="AA1574" s="6"/>
      <c r="AB1574" s="6">
        <f>$K$1574*$V$1574</f>
        <v>0</v>
      </c>
      <c r="AC1574" s="6">
        <f>$M$1574*$W$1574</f>
        <v>171208.64365425741</v>
      </c>
      <c r="AD1574" s="6">
        <f>$O$1574*$X$1574</f>
        <v>0</v>
      </c>
      <c r="AE1574" s="6">
        <f>$K$1574*$Y$1574</f>
        <v>0</v>
      </c>
      <c r="AF1574" s="6">
        <f ca="1">$M$1574*$Z$1574</f>
        <v>190286.03835001274</v>
      </c>
      <c r="AG1574" s="6">
        <f>$O$1574*$AA$1574</f>
        <v>0</v>
      </c>
    </row>
    <row r="1575" spans="1:33" ht="11.25" customHeight="1" x14ac:dyDescent="0.25">
      <c r="A1575" s="4" t="s">
        <v>21</v>
      </c>
      <c r="B1575" s="4" t="s">
        <v>44</v>
      </c>
      <c r="C1575" s="4" t="s">
        <v>34</v>
      </c>
      <c r="D1575" s="4" t="s">
        <v>40</v>
      </c>
      <c r="E1575" s="4" t="s">
        <v>25</v>
      </c>
      <c r="F1575" s="4" t="s">
        <v>63</v>
      </c>
      <c r="G1575" s="4" t="s">
        <v>25</v>
      </c>
      <c r="H1575" s="4" t="s">
        <v>35</v>
      </c>
      <c r="I1575" s="5">
        <v>43983</v>
      </c>
      <c r="J1575" s="6">
        <v>0</v>
      </c>
      <c r="K1575" s="6">
        <v>0</v>
      </c>
      <c r="L1575" s="6">
        <v>220.82599999999999</v>
      </c>
      <c r="M1575" s="6">
        <v>147.78605376633999</v>
      </c>
      <c r="N1575" s="6">
        <v>0</v>
      </c>
      <c r="O1575" s="6">
        <v>0</v>
      </c>
      <c r="P1575" s="6">
        <v>0</v>
      </c>
      <c r="Q1575" s="4" t="s">
        <v>60</v>
      </c>
      <c r="R1575" s="4">
        <v>0</v>
      </c>
      <c r="S1575" s="6">
        <v>0</v>
      </c>
      <c r="T1575" s="6">
        <v>36</v>
      </c>
      <c r="U1575" s="6">
        <v>0</v>
      </c>
      <c r="V1575" s="6">
        <f>IF(ISERROR(VLOOKUP($S$1575,'TAR FIN'!$A$1:$O$120,15,0)),0,VLOOKUP($S$1575,'TAR FIN'!$A$1:$O$120,15,0))</f>
        <v>0</v>
      </c>
      <c r="W1575" s="6">
        <f>IF(ISERROR(VLOOKUP($T$1575,'TAR FIN'!$A$1:$O$120,15,0)),0,VLOOKUP($T$1575,'TAR FIN'!$A$1:$O$120,15,0))</f>
        <v>1174.6600000000001</v>
      </c>
      <c r="X1575" s="6">
        <f>IF(ISERROR(VLOOKUP($U$1575,'TAR FIN'!$A$1:$O$120,15,0)),0,VLOOKUP($U$1575,'TAR FIN'!$A$1:$O$120,15,0))</f>
        <v>0</v>
      </c>
      <c r="Y1575" s="6"/>
      <c r="Z1575" s="6">
        <f ca="1">('TUSD BE'!$AM$44+'TUSD BF'!$AM$44+'TUSD CVA'!$AM$44)*1</f>
        <v>1305.5497259800161</v>
      </c>
      <c r="AA1575" s="6"/>
      <c r="AB1575" s="6">
        <f>$K$1575*$V$1575</f>
        <v>0</v>
      </c>
      <c r="AC1575" s="6">
        <f>$M$1575*$W$1575</f>
        <v>173598.36591716894</v>
      </c>
      <c r="AD1575" s="6">
        <f>$O$1575*$X$1575</f>
        <v>0</v>
      </c>
      <c r="AE1575" s="6">
        <f>$K$1575*$Y$1575</f>
        <v>0</v>
      </c>
      <c r="AF1575" s="6">
        <f ca="1">$M$1575*$Z$1575</f>
        <v>192942.0419983131</v>
      </c>
      <c r="AG1575" s="6">
        <f>$O$1575*$AA$1575</f>
        <v>0</v>
      </c>
    </row>
    <row r="1576" spans="1:33" ht="11.25" customHeight="1" x14ac:dyDescent="0.25">
      <c r="A1576" s="4" t="s">
        <v>21</v>
      </c>
      <c r="B1576" s="4" t="s">
        <v>44</v>
      </c>
      <c r="C1576" s="4" t="s">
        <v>34</v>
      </c>
      <c r="D1576" s="4" t="s">
        <v>40</v>
      </c>
      <c r="E1576" s="4" t="s">
        <v>25</v>
      </c>
      <c r="F1576" s="4" t="s">
        <v>63</v>
      </c>
      <c r="G1576" s="4" t="s">
        <v>25</v>
      </c>
      <c r="H1576" s="4" t="s">
        <v>35</v>
      </c>
      <c r="I1576" s="5">
        <v>44013</v>
      </c>
      <c r="J1576" s="6">
        <v>0</v>
      </c>
      <c r="K1576" s="6">
        <v>0</v>
      </c>
      <c r="L1576" s="6">
        <v>228.57300000000001</v>
      </c>
      <c r="M1576" s="6">
        <v>146.40605567757001</v>
      </c>
      <c r="N1576" s="6">
        <v>0</v>
      </c>
      <c r="O1576" s="6">
        <v>0</v>
      </c>
      <c r="P1576" s="6">
        <v>0</v>
      </c>
      <c r="Q1576" s="4" t="s">
        <v>60</v>
      </c>
      <c r="R1576" s="4">
        <v>0</v>
      </c>
      <c r="S1576" s="6">
        <v>0</v>
      </c>
      <c r="T1576" s="6">
        <v>36</v>
      </c>
      <c r="U1576" s="6">
        <v>0</v>
      </c>
      <c r="V1576" s="6">
        <f>IF(ISERROR(VLOOKUP($S$1576,'TAR FIN'!$A$1:$O$120,15,0)),0,VLOOKUP($S$1576,'TAR FIN'!$A$1:$O$120,15,0))</f>
        <v>0</v>
      </c>
      <c r="W1576" s="6">
        <f>IF(ISERROR(VLOOKUP($T$1576,'TAR FIN'!$A$1:$O$120,15,0)),0,VLOOKUP($T$1576,'TAR FIN'!$A$1:$O$120,15,0))</f>
        <v>1174.6600000000001</v>
      </c>
      <c r="X1576" s="6">
        <f>IF(ISERROR(VLOOKUP($U$1576,'TAR FIN'!$A$1:$O$120,15,0)),0,VLOOKUP($U$1576,'TAR FIN'!$A$1:$O$120,15,0))</f>
        <v>0</v>
      </c>
      <c r="Y1576" s="6"/>
      <c r="Z1576" s="6">
        <f ca="1">('TUSD BE'!$AM$44+'TUSD BF'!$AM$44+'TUSD CVA'!$AM$44)*1</f>
        <v>1305.5497259800161</v>
      </c>
      <c r="AA1576" s="6"/>
      <c r="AB1576" s="6">
        <f>$K$1576*$V$1576</f>
        <v>0</v>
      </c>
      <c r="AC1576" s="6">
        <f>$M$1576*$W$1576</f>
        <v>171977.3373622144</v>
      </c>
      <c r="AD1576" s="6">
        <f>$O$1576*$X$1576</f>
        <v>0</v>
      </c>
      <c r="AE1576" s="6">
        <f>$K$1576*$Y$1576</f>
        <v>0</v>
      </c>
      <c r="AF1576" s="6">
        <f ca="1">$M$1576*$Z$1576</f>
        <v>191140.38587166651</v>
      </c>
      <c r="AG1576" s="6">
        <f>$O$1576*$AA$1576</f>
        <v>0</v>
      </c>
    </row>
    <row r="1577" spans="1:33" ht="11.25" customHeight="1" x14ac:dyDescent="0.25">
      <c r="A1577" s="4" t="s">
        <v>21</v>
      </c>
      <c r="B1577" s="4" t="s">
        <v>44</v>
      </c>
      <c r="C1577" s="4" t="s">
        <v>34</v>
      </c>
      <c r="D1577" s="4" t="s">
        <v>40</v>
      </c>
      <c r="E1577" s="4" t="s">
        <v>25</v>
      </c>
      <c r="F1577" s="4" t="s">
        <v>63</v>
      </c>
      <c r="G1577" s="4" t="s">
        <v>25</v>
      </c>
      <c r="H1577" s="4" t="s">
        <v>35</v>
      </c>
      <c r="I1577" s="5">
        <v>44044</v>
      </c>
      <c r="J1577" s="6">
        <v>0</v>
      </c>
      <c r="K1577" s="6">
        <v>0</v>
      </c>
      <c r="L1577" s="6">
        <v>265.601</v>
      </c>
      <c r="M1577" s="6">
        <v>175.29666</v>
      </c>
      <c r="N1577" s="6">
        <v>0</v>
      </c>
      <c r="O1577" s="6">
        <v>0</v>
      </c>
      <c r="P1577" s="6">
        <v>0</v>
      </c>
      <c r="Q1577" s="4" t="s">
        <v>60</v>
      </c>
      <c r="R1577" s="4">
        <v>0</v>
      </c>
      <c r="S1577" s="6">
        <v>0</v>
      </c>
      <c r="T1577" s="6">
        <v>36</v>
      </c>
      <c r="U1577" s="6">
        <v>0</v>
      </c>
      <c r="V1577" s="6">
        <f>IF(ISERROR(VLOOKUP($S$1577,'TAR FIN'!$A$1:$O$120,15,0)),0,VLOOKUP($S$1577,'TAR FIN'!$A$1:$O$120,15,0))</f>
        <v>0</v>
      </c>
      <c r="W1577" s="6">
        <f>IF(ISERROR(VLOOKUP($T$1577,'TAR FIN'!$A$1:$O$120,15,0)),0,VLOOKUP($T$1577,'TAR FIN'!$A$1:$O$120,15,0))</f>
        <v>1174.6600000000001</v>
      </c>
      <c r="X1577" s="6">
        <f>IF(ISERROR(VLOOKUP($U$1577,'TAR FIN'!$A$1:$O$120,15,0)),0,VLOOKUP($U$1577,'TAR FIN'!$A$1:$O$120,15,0))</f>
        <v>0</v>
      </c>
      <c r="Y1577" s="6"/>
      <c r="Z1577" s="6">
        <f ca="1">('TUSD BE'!$AM$44+'TUSD BF'!$AM$44+'TUSD CVA'!$AM$44)*1</f>
        <v>1305.5497259800161</v>
      </c>
      <c r="AA1577" s="6"/>
      <c r="AB1577" s="6">
        <f>$K$1577*$V$1577</f>
        <v>0</v>
      </c>
      <c r="AC1577" s="6">
        <f>$M$1577*$W$1577</f>
        <v>205913.97463560003</v>
      </c>
      <c r="AD1577" s="6">
        <f>$O$1577*$X$1577</f>
        <v>0</v>
      </c>
      <c r="AE1577" s="6">
        <f>$K$1577*$Y$1577</f>
        <v>0</v>
      </c>
      <c r="AF1577" s="6">
        <f ca="1">$M$1577*$Z$1577</f>
        <v>228858.50642821204</v>
      </c>
      <c r="AG1577" s="6">
        <f>$O$1577*$AA$1577</f>
        <v>0</v>
      </c>
    </row>
    <row r="1578" spans="1:33" ht="11.25" customHeight="1" x14ac:dyDescent="0.25">
      <c r="A1578" s="4" t="s">
        <v>59</v>
      </c>
      <c r="B1578" s="4" t="s">
        <v>44</v>
      </c>
      <c r="C1578" s="4" t="s">
        <v>34</v>
      </c>
      <c r="D1578" s="4" t="s">
        <v>40</v>
      </c>
      <c r="E1578" s="4" t="s">
        <v>25</v>
      </c>
      <c r="F1578" s="4" t="s">
        <v>63</v>
      </c>
      <c r="G1578" s="4" t="s">
        <v>25</v>
      </c>
      <c r="H1578" s="4" t="s">
        <v>35</v>
      </c>
      <c r="I1578" s="5">
        <v>44075</v>
      </c>
      <c r="J1578" s="6">
        <v>0</v>
      </c>
      <c r="K1578" s="6">
        <v>0</v>
      </c>
      <c r="L1578" s="6">
        <v>265.601</v>
      </c>
      <c r="M1578" s="6">
        <v>175.29666</v>
      </c>
      <c r="N1578" s="6">
        <v>0</v>
      </c>
      <c r="O1578" s="6">
        <v>0</v>
      </c>
      <c r="P1578" s="6">
        <v>0</v>
      </c>
      <c r="Q1578" s="4" t="s">
        <v>60</v>
      </c>
      <c r="R1578" s="4">
        <v>0</v>
      </c>
      <c r="S1578" s="6">
        <v>0</v>
      </c>
      <c r="T1578" s="6">
        <v>36</v>
      </c>
      <c r="U1578" s="6">
        <v>0</v>
      </c>
      <c r="V1578" s="6">
        <f>IF(ISERROR(VLOOKUP($S$1578,'TAR FIN'!$A$1:$O$120,15,0)),0,VLOOKUP($S$1578,'TAR FIN'!$A$1:$O$120,15,0))</f>
        <v>0</v>
      </c>
      <c r="W1578" s="6">
        <f>IF(ISERROR(VLOOKUP($T$1578,'TAR FIN'!$A$1:$O$120,15,0)),0,VLOOKUP($T$1578,'TAR FIN'!$A$1:$O$120,15,0))</f>
        <v>1174.6600000000001</v>
      </c>
      <c r="X1578" s="6">
        <f>IF(ISERROR(VLOOKUP($U$1578,'TAR FIN'!$A$1:$O$120,15,0)),0,VLOOKUP($U$1578,'TAR FIN'!$A$1:$O$120,15,0))</f>
        <v>0</v>
      </c>
      <c r="Y1578" s="6"/>
      <c r="Z1578" s="6">
        <f ca="1">('TUSD BE'!$AM$44+'TUSD BF'!$AM$44+'TUSD CVA'!$AM$44)*1</f>
        <v>1305.5497259800161</v>
      </c>
      <c r="AA1578" s="6"/>
      <c r="AB1578" s="6">
        <f>$K$1578*$V$1578</f>
        <v>0</v>
      </c>
      <c r="AC1578" s="6">
        <f>$M$1578*$W$1578</f>
        <v>205913.97463560003</v>
      </c>
      <c r="AD1578" s="6">
        <f>$O$1578*$X$1578</f>
        <v>0</v>
      </c>
      <c r="AE1578" s="6">
        <f>$K$1578*$Y$1578</f>
        <v>0</v>
      </c>
      <c r="AF1578" s="6">
        <f ca="1">$M$1578*$Z$1578</f>
        <v>228858.50642821204</v>
      </c>
      <c r="AG1578" s="6">
        <f>$O$1578*$AA$1578</f>
        <v>0</v>
      </c>
    </row>
    <row r="1579" spans="1:33" ht="11.25" customHeight="1" x14ac:dyDescent="0.25">
      <c r="A1579" s="4" t="s">
        <v>21</v>
      </c>
      <c r="B1579" s="4" t="s">
        <v>44</v>
      </c>
      <c r="C1579" s="4" t="s">
        <v>34</v>
      </c>
      <c r="D1579" s="4" t="s">
        <v>48</v>
      </c>
      <c r="E1579" s="4" t="s">
        <v>25</v>
      </c>
      <c r="F1579" s="4" t="s">
        <v>25</v>
      </c>
      <c r="G1579" s="4" t="s">
        <v>25</v>
      </c>
      <c r="H1579" s="4" t="s">
        <v>36</v>
      </c>
      <c r="I1579" s="5">
        <v>43739</v>
      </c>
      <c r="J1579" s="6">
        <v>0</v>
      </c>
      <c r="K1579" s="6">
        <v>0</v>
      </c>
      <c r="L1579" s="6">
        <v>14299.428</v>
      </c>
      <c r="M1579" s="6">
        <v>14299.428</v>
      </c>
      <c r="N1579" s="6">
        <v>14299.428</v>
      </c>
      <c r="O1579" s="6">
        <v>14299.428</v>
      </c>
      <c r="P1579" s="6">
        <v>0</v>
      </c>
      <c r="Q1579" s="4" t="s">
        <v>26</v>
      </c>
      <c r="R1579" s="4">
        <v>0</v>
      </c>
      <c r="S1579" s="6">
        <v>0</v>
      </c>
      <c r="T1579" s="6">
        <v>37</v>
      </c>
      <c r="U1579" s="6">
        <v>84</v>
      </c>
      <c r="V1579" s="6">
        <f>IF(ISERROR(VLOOKUP($S$1579,'TAR FIN'!$A$1:$O$120,15,0)),0,VLOOKUP($S$1579,'TAR FIN'!$A$1:$O$120,15,0))</f>
        <v>0</v>
      </c>
      <c r="W1579" s="6">
        <f>IF(ISERROR(VLOOKUP($T$1579,'TAR FIN'!$A$1:$O$120,15,0)),0,VLOOKUP($T$1579,'TAR FIN'!$A$1:$O$120,15,0))</f>
        <v>109.75</v>
      </c>
      <c r="X1579" s="6">
        <f>IF(ISERROR(VLOOKUP($U$1579,'TAR FIN'!$A$1:$O$120,15,0)),0,VLOOKUP($U$1579,'TAR FIN'!$A$1:$O$120,15,0))</f>
        <v>256.38</v>
      </c>
      <c r="Y1579" s="6"/>
      <c r="Z1579" s="6">
        <f ca="1">('TUSD BE'!$AM$45+'TUSD BF'!$AM$45+'TUSD CVA'!$AM$45)*1</f>
        <v>112.97896283052546</v>
      </c>
      <c r="AA1579" s="6">
        <f>('TE BE'!$AA$14+'TE BF'!$AA$14+'TE CVA'!$AA$14)*1</f>
        <v>230.83420940933817</v>
      </c>
      <c r="AB1579" s="6">
        <f>$K$1579*$V$1579</f>
        <v>0</v>
      </c>
      <c r="AC1579" s="6">
        <f>$M$1579*$W$1579</f>
        <v>1569362.223</v>
      </c>
      <c r="AD1579" s="6">
        <f>$O$1579*$X$1579</f>
        <v>3666087.3506399998</v>
      </c>
      <c r="AE1579" s="6">
        <f>$K$1579*$Y$1579</f>
        <v>0</v>
      </c>
      <c r="AF1579" s="6">
        <f ca="1">$M$1579*$Z$1579</f>
        <v>1615534.544509775</v>
      </c>
      <c r="AG1579" s="6">
        <f>$O$1579*$AA$1579</f>
        <v>3300797.1573857535</v>
      </c>
    </row>
    <row r="1580" spans="1:33" ht="11.25" customHeight="1" x14ac:dyDescent="0.25">
      <c r="A1580" s="4" t="s">
        <v>28</v>
      </c>
      <c r="B1580" s="4" t="s">
        <v>44</v>
      </c>
      <c r="C1580" s="4" t="s">
        <v>34</v>
      </c>
      <c r="D1580" s="4" t="s">
        <v>48</v>
      </c>
      <c r="E1580" s="4" t="s">
        <v>25</v>
      </c>
      <c r="F1580" s="4" t="s">
        <v>25</v>
      </c>
      <c r="G1580" s="4" t="s">
        <v>25</v>
      </c>
      <c r="H1580" s="4" t="s">
        <v>36</v>
      </c>
      <c r="I1580" s="5">
        <v>43739</v>
      </c>
      <c r="J1580" s="6">
        <v>0</v>
      </c>
      <c r="K1580" s="6">
        <v>0</v>
      </c>
      <c r="L1580" s="6">
        <v>832.93200000000002</v>
      </c>
      <c r="M1580" s="6">
        <v>832.93200000000002</v>
      </c>
      <c r="N1580" s="6">
        <v>832.93200000000002</v>
      </c>
      <c r="O1580" s="6">
        <v>832.93200000000002</v>
      </c>
      <c r="P1580" s="6">
        <v>0</v>
      </c>
      <c r="Q1580" s="4" t="s">
        <v>26</v>
      </c>
      <c r="R1580" s="4">
        <v>0</v>
      </c>
      <c r="S1580" s="6">
        <v>0</v>
      </c>
      <c r="T1580" s="6">
        <v>37</v>
      </c>
      <c r="U1580" s="6">
        <v>84</v>
      </c>
      <c r="V1580" s="6">
        <f>IF(ISERROR(VLOOKUP($S$1580,'TAR FIN'!$A$1:$O$120,15,0)),0,VLOOKUP($S$1580,'TAR FIN'!$A$1:$O$120,15,0))</f>
        <v>0</v>
      </c>
      <c r="W1580" s="6">
        <f>IF(ISERROR(VLOOKUP($T$1580,'TAR FIN'!$A$1:$O$120,15,0)),0,VLOOKUP($T$1580,'TAR FIN'!$A$1:$O$120,15,0))</f>
        <v>109.75</v>
      </c>
      <c r="X1580" s="6">
        <f>IF(ISERROR(VLOOKUP($U$1580,'TAR FIN'!$A$1:$O$120,15,0)),0,VLOOKUP($U$1580,'TAR FIN'!$A$1:$O$120,15,0))</f>
        <v>256.38</v>
      </c>
      <c r="Y1580" s="6"/>
      <c r="Z1580" s="6">
        <f ca="1">('TUSD BE'!$AM$45+'TUSD BF'!$AM$45+'TUSD CVA'!$AM$45)*1</f>
        <v>112.97896283052546</v>
      </c>
      <c r="AA1580" s="6">
        <f>('TE BE'!$AA$14+'TE BF'!$AA$14+'TE CVA'!$AA$14)*1</f>
        <v>230.83420940933817</v>
      </c>
      <c r="AB1580" s="6">
        <f>$K$1580*$V$1580</f>
        <v>0</v>
      </c>
      <c r="AC1580" s="6">
        <f>$M$1580*$W$1580</f>
        <v>91414.286999999997</v>
      </c>
      <c r="AD1580" s="6">
        <f>$O$1580*$X$1580</f>
        <v>213547.10616</v>
      </c>
      <c r="AE1580" s="6">
        <f>$K$1580*$Y$1580</f>
        <v>0</v>
      </c>
      <c r="AF1580" s="6">
        <f ca="1">$M$1580*$Z$1580</f>
        <v>94103.79346835523</v>
      </c>
      <c r="AG1580" s="6">
        <f>$O$1580*$AA$1580</f>
        <v>192269.19971173885</v>
      </c>
    </row>
    <row r="1581" spans="1:33" ht="11.25" customHeight="1" x14ac:dyDescent="0.25">
      <c r="A1581" s="4" t="s">
        <v>21</v>
      </c>
      <c r="B1581" s="4" t="s">
        <v>44</v>
      </c>
      <c r="C1581" s="4" t="s">
        <v>34</v>
      </c>
      <c r="D1581" s="4" t="s">
        <v>48</v>
      </c>
      <c r="E1581" s="4" t="s">
        <v>25</v>
      </c>
      <c r="F1581" s="4" t="s">
        <v>25</v>
      </c>
      <c r="G1581" s="4" t="s">
        <v>25</v>
      </c>
      <c r="H1581" s="4" t="s">
        <v>36</v>
      </c>
      <c r="I1581" s="5">
        <v>43770</v>
      </c>
      <c r="J1581" s="6">
        <v>0</v>
      </c>
      <c r="K1581" s="6">
        <v>0</v>
      </c>
      <c r="L1581" s="6">
        <v>13923.145</v>
      </c>
      <c r="M1581" s="6">
        <v>13923.145</v>
      </c>
      <c r="N1581" s="6">
        <v>13923.145</v>
      </c>
      <c r="O1581" s="6">
        <v>13923.145</v>
      </c>
      <c r="P1581" s="6">
        <v>0</v>
      </c>
      <c r="Q1581" s="4" t="s">
        <v>26</v>
      </c>
      <c r="R1581" s="4">
        <v>0</v>
      </c>
      <c r="S1581" s="6">
        <v>0</v>
      </c>
      <c r="T1581" s="6">
        <v>37</v>
      </c>
      <c r="U1581" s="6">
        <v>84</v>
      </c>
      <c r="V1581" s="6">
        <f>IF(ISERROR(VLOOKUP($S$1581,'TAR FIN'!$A$1:$O$120,15,0)),0,VLOOKUP($S$1581,'TAR FIN'!$A$1:$O$120,15,0))</f>
        <v>0</v>
      </c>
      <c r="W1581" s="6">
        <f>IF(ISERROR(VLOOKUP($T$1581,'TAR FIN'!$A$1:$O$120,15,0)),0,VLOOKUP($T$1581,'TAR FIN'!$A$1:$O$120,15,0))</f>
        <v>109.75</v>
      </c>
      <c r="X1581" s="6">
        <f>IF(ISERROR(VLOOKUP($U$1581,'TAR FIN'!$A$1:$O$120,15,0)),0,VLOOKUP($U$1581,'TAR FIN'!$A$1:$O$120,15,0))</f>
        <v>256.38</v>
      </c>
      <c r="Y1581" s="6"/>
      <c r="Z1581" s="6">
        <f ca="1">('TUSD BE'!$AM$45+'TUSD BF'!$AM$45+'TUSD CVA'!$AM$45)*1</f>
        <v>112.97896283052546</v>
      </c>
      <c r="AA1581" s="6">
        <f>('TE BE'!$AA$14+'TE BF'!$AA$14+'TE CVA'!$AA$14)*1</f>
        <v>230.83420940933817</v>
      </c>
      <c r="AB1581" s="6">
        <f>$K$1581*$V$1581</f>
        <v>0</v>
      </c>
      <c r="AC1581" s="6">
        <f>$M$1581*$W$1581</f>
        <v>1528065.1637500001</v>
      </c>
      <c r="AD1581" s="6">
        <f>$O$1581*$X$1581</f>
        <v>3569615.9150999999</v>
      </c>
      <c r="AE1581" s="6">
        <f>$K$1581*$Y$1581</f>
        <v>0</v>
      </c>
      <c r="AF1581" s="6">
        <f ca="1">$M$1581*$Z$1581</f>
        <v>1573022.4814390165</v>
      </c>
      <c r="AG1581" s="6">
        <f>$O$1581*$AA$1581</f>
        <v>3213938.1685665799</v>
      </c>
    </row>
    <row r="1582" spans="1:33" ht="11.25" customHeight="1" x14ac:dyDescent="0.25">
      <c r="A1582" s="4" t="s">
        <v>28</v>
      </c>
      <c r="B1582" s="4" t="s">
        <v>44</v>
      </c>
      <c r="C1582" s="4" t="s">
        <v>34</v>
      </c>
      <c r="D1582" s="4" t="s">
        <v>48</v>
      </c>
      <c r="E1582" s="4" t="s">
        <v>25</v>
      </c>
      <c r="F1582" s="4" t="s">
        <v>25</v>
      </c>
      <c r="G1582" s="4" t="s">
        <v>25</v>
      </c>
      <c r="H1582" s="4" t="s">
        <v>36</v>
      </c>
      <c r="I1582" s="5">
        <v>43770</v>
      </c>
      <c r="J1582" s="6">
        <v>0</v>
      </c>
      <c r="K1582" s="6">
        <v>0</v>
      </c>
      <c r="L1582" s="6">
        <v>892.69299999999998</v>
      </c>
      <c r="M1582" s="6">
        <v>892.69299999999998</v>
      </c>
      <c r="N1582" s="6">
        <v>892.69299999999998</v>
      </c>
      <c r="O1582" s="6">
        <v>892.69299999999998</v>
      </c>
      <c r="P1582" s="6">
        <v>0</v>
      </c>
      <c r="Q1582" s="4" t="s">
        <v>26</v>
      </c>
      <c r="R1582" s="4">
        <v>0</v>
      </c>
      <c r="S1582" s="6">
        <v>0</v>
      </c>
      <c r="T1582" s="6">
        <v>37</v>
      </c>
      <c r="U1582" s="6">
        <v>84</v>
      </c>
      <c r="V1582" s="6">
        <f>IF(ISERROR(VLOOKUP($S$1582,'TAR FIN'!$A$1:$O$120,15,0)),0,VLOOKUP($S$1582,'TAR FIN'!$A$1:$O$120,15,0))</f>
        <v>0</v>
      </c>
      <c r="W1582" s="6">
        <f>IF(ISERROR(VLOOKUP($T$1582,'TAR FIN'!$A$1:$O$120,15,0)),0,VLOOKUP($T$1582,'TAR FIN'!$A$1:$O$120,15,0))</f>
        <v>109.75</v>
      </c>
      <c r="X1582" s="6">
        <f>IF(ISERROR(VLOOKUP($U$1582,'TAR FIN'!$A$1:$O$120,15,0)),0,VLOOKUP($U$1582,'TAR FIN'!$A$1:$O$120,15,0))</f>
        <v>256.38</v>
      </c>
      <c r="Y1582" s="6"/>
      <c r="Z1582" s="6">
        <f ca="1">('TUSD BE'!$AM$45+'TUSD BF'!$AM$45+'TUSD CVA'!$AM$45)*1</f>
        <v>112.97896283052546</v>
      </c>
      <c r="AA1582" s="6">
        <f>('TE BE'!$AA$14+'TE BF'!$AA$14+'TE CVA'!$AA$14)*1</f>
        <v>230.83420940933817</v>
      </c>
      <c r="AB1582" s="6">
        <f>$K$1582*$V$1582</f>
        <v>0</v>
      </c>
      <c r="AC1582" s="6">
        <f>$M$1582*$W$1582</f>
        <v>97973.056750000003</v>
      </c>
      <c r="AD1582" s="6">
        <f>$O$1582*$X$1582</f>
        <v>228868.63133999999</v>
      </c>
      <c r="AE1582" s="6">
        <f>$K$1582*$Y$1582</f>
        <v>0</v>
      </c>
      <c r="AF1582" s="6">
        <f ca="1">$M$1582*$Z$1582</f>
        <v>100855.52926607027</v>
      </c>
      <c r="AG1582" s="6">
        <f>$O$1582*$AA$1582</f>
        <v>206064.08290025033</v>
      </c>
    </row>
    <row r="1583" spans="1:33" ht="11.25" customHeight="1" x14ac:dyDescent="0.25">
      <c r="A1583" s="4" t="s">
        <v>21</v>
      </c>
      <c r="B1583" s="4" t="s">
        <v>44</v>
      </c>
      <c r="C1583" s="4" t="s">
        <v>34</v>
      </c>
      <c r="D1583" s="4" t="s">
        <v>48</v>
      </c>
      <c r="E1583" s="4" t="s">
        <v>25</v>
      </c>
      <c r="F1583" s="4" t="s">
        <v>25</v>
      </c>
      <c r="G1583" s="4" t="s">
        <v>25</v>
      </c>
      <c r="H1583" s="4" t="s">
        <v>36</v>
      </c>
      <c r="I1583" s="5">
        <v>43800</v>
      </c>
      <c r="J1583" s="6">
        <v>0</v>
      </c>
      <c r="K1583" s="6">
        <v>0</v>
      </c>
      <c r="L1583" s="6">
        <v>12725.377</v>
      </c>
      <c r="M1583" s="6">
        <v>12725.377</v>
      </c>
      <c r="N1583" s="6">
        <v>12725.377</v>
      </c>
      <c r="O1583" s="6">
        <v>12725.377</v>
      </c>
      <c r="P1583" s="6">
        <v>0</v>
      </c>
      <c r="Q1583" s="4" t="s">
        <v>26</v>
      </c>
      <c r="R1583" s="4">
        <v>0</v>
      </c>
      <c r="S1583" s="6">
        <v>0</v>
      </c>
      <c r="T1583" s="6">
        <v>37</v>
      </c>
      <c r="U1583" s="6">
        <v>84</v>
      </c>
      <c r="V1583" s="6">
        <f>IF(ISERROR(VLOOKUP($S$1583,'TAR FIN'!$A$1:$O$120,15,0)),0,VLOOKUP($S$1583,'TAR FIN'!$A$1:$O$120,15,0))</f>
        <v>0</v>
      </c>
      <c r="W1583" s="6">
        <f>IF(ISERROR(VLOOKUP($T$1583,'TAR FIN'!$A$1:$O$120,15,0)),0,VLOOKUP($T$1583,'TAR FIN'!$A$1:$O$120,15,0))</f>
        <v>109.75</v>
      </c>
      <c r="X1583" s="6">
        <f>IF(ISERROR(VLOOKUP($U$1583,'TAR FIN'!$A$1:$O$120,15,0)),0,VLOOKUP($U$1583,'TAR FIN'!$A$1:$O$120,15,0))</f>
        <v>256.38</v>
      </c>
      <c r="Y1583" s="6"/>
      <c r="Z1583" s="6">
        <f ca="1">('TUSD BE'!$AM$45+'TUSD BF'!$AM$45+'TUSD CVA'!$AM$45)*1</f>
        <v>112.97896283052546</v>
      </c>
      <c r="AA1583" s="6">
        <f>('TE BE'!$AA$14+'TE BF'!$AA$14+'TE CVA'!$AA$14)*1</f>
        <v>230.83420940933817</v>
      </c>
      <c r="AB1583" s="6">
        <f>$K$1583*$V$1583</f>
        <v>0</v>
      </c>
      <c r="AC1583" s="6">
        <f>$M$1583*$W$1583</f>
        <v>1396610.1257500001</v>
      </c>
      <c r="AD1583" s="6">
        <f>$O$1583*$X$1583</f>
        <v>3262532.1552599999</v>
      </c>
      <c r="AE1583" s="6">
        <f>$K$1583*$Y$1583</f>
        <v>0</v>
      </c>
      <c r="AF1583" s="6">
        <f ca="1">$M$1583*$Z$1583</f>
        <v>1437699.8950874237</v>
      </c>
      <c r="AG1583" s="6">
        <f>$O$1583*$AA$1583</f>
        <v>2937452.3392307758</v>
      </c>
    </row>
    <row r="1584" spans="1:33" ht="11.25" customHeight="1" x14ac:dyDescent="0.25">
      <c r="A1584" s="4" t="s">
        <v>27</v>
      </c>
      <c r="B1584" s="4" t="s">
        <v>44</v>
      </c>
      <c r="C1584" s="4" t="s">
        <v>34</v>
      </c>
      <c r="D1584" s="4" t="s">
        <v>48</v>
      </c>
      <c r="E1584" s="4" t="s">
        <v>25</v>
      </c>
      <c r="F1584" s="4" t="s">
        <v>25</v>
      </c>
      <c r="G1584" s="4" t="s">
        <v>25</v>
      </c>
      <c r="H1584" s="4" t="s">
        <v>36</v>
      </c>
      <c r="I1584" s="5">
        <v>43800</v>
      </c>
      <c r="J1584" s="6">
        <v>0</v>
      </c>
      <c r="K1584" s="6">
        <v>0</v>
      </c>
      <c r="L1584" s="6">
        <v>338.55799999999999</v>
      </c>
      <c r="M1584" s="6">
        <v>338.55799999999999</v>
      </c>
      <c r="N1584" s="6">
        <v>338.55799999999999</v>
      </c>
      <c r="O1584" s="6">
        <v>338.55799999999999</v>
      </c>
      <c r="P1584" s="6">
        <v>0</v>
      </c>
      <c r="Q1584" s="4" t="s">
        <v>26</v>
      </c>
      <c r="R1584" s="4">
        <v>0</v>
      </c>
      <c r="S1584" s="6">
        <v>0</v>
      </c>
      <c r="T1584" s="6">
        <v>37</v>
      </c>
      <c r="U1584" s="6">
        <v>84</v>
      </c>
      <c r="V1584" s="6">
        <f>IF(ISERROR(VLOOKUP($S$1584,'TAR FIN'!$A$1:$O$120,15,0)),0,VLOOKUP($S$1584,'TAR FIN'!$A$1:$O$120,15,0))</f>
        <v>0</v>
      </c>
      <c r="W1584" s="6">
        <f>IF(ISERROR(VLOOKUP($T$1584,'TAR FIN'!$A$1:$O$120,15,0)),0,VLOOKUP($T$1584,'TAR FIN'!$A$1:$O$120,15,0))</f>
        <v>109.75</v>
      </c>
      <c r="X1584" s="6">
        <f>IF(ISERROR(VLOOKUP($U$1584,'TAR FIN'!$A$1:$O$120,15,0)),0,VLOOKUP($U$1584,'TAR FIN'!$A$1:$O$120,15,0))</f>
        <v>256.38</v>
      </c>
      <c r="Y1584" s="6"/>
      <c r="Z1584" s="6">
        <f ca="1">('TUSD BE'!$AM$45+'TUSD BF'!$AM$45+'TUSD CVA'!$AM$45)*1</f>
        <v>112.97896283052546</v>
      </c>
      <c r="AA1584" s="6">
        <f>('TE BE'!$AA$14+'TE BF'!$AA$14+'TE CVA'!$AA$14)*1</f>
        <v>230.83420940933817</v>
      </c>
      <c r="AB1584" s="6">
        <f>$K$1584*$V$1584</f>
        <v>0</v>
      </c>
      <c r="AC1584" s="6">
        <f>$M$1584*$W$1584</f>
        <v>37156.7405</v>
      </c>
      <c r="AD1584" s="6">
        <f>$O$1584*$X$1584</f>
        <v>86799.500039999999</v>
      </c>
      <c r="AE1584" s="6">
        <f>$K$1584*$Y$1584</f>
        <v>0</v>
      </c>
      <c r="AF1584" s="6">
        <f ca="1">$M$1584*$Z$1584</f>
        <v>38249.931697977037</v>
      </c>
      <c r="AG1584" s="6">
        <f>$O$1584*$AA$1584</f>
        <v>78150.768269206717</v>
      </c>
    </row>
    <row r="1585" spans="1:33" ht="11.25" customHeight="1" x14ac:dyDescent="0.25">
      <c r="A1585" s="4" t="s">
        <v>28</v>
      </c>
      <c r="B1585" s="4" t="s">
        <v>44</v>
      </c>
      <c r="C1585" s="4" t="s">
        <v>34</v>
      </c>
      <c r="D1585" s="4" t="s">
        <v>48</v>
      </c>
      <c r="E1585" s="4" t="s">
        <v>25</v>
      </c>
      <c r="F1585" s="4" t="s">
        <v>25</v>
      </c>
      <c r="G1585" s="4" t="s">
        <v>25</v>
      </c>
      <c r="H1585" s="4" t="s">
        <v>36</v>
      </c>
      <c r="I1585" s="5">
        <v>43800</v>
      </c>
      <c r="J1585" s="6">
        <v>0</v>
      </c>
      <c r="K1585" s="6">
        <v>0</v>
      </c>
      <c r="L1585" s="6">
        <v>943.03899999999999</v>
      </c>
      <c r="M1585" s="6">
        <v>943.03899999999999</v>
      </c>
      <c r="N1585" s="6">
        <v>943.03899999999999</v>
      </c>
      <c r="O1585" s="6">
        <v>943.03899999999999</v>
      </c>
      <c r="P1585" s="6">
        <v>0</v>
      </c>
      <c r="Q1585" s="4" t="s">
        <v>26</v>
      </c>
      <c r="R1585" s="4">
        <v>0</v>
      </c>
      <c r="S1585" s="6">
        <v>0</v>
      </c>
      <c r="T1585" s="6">
        <v>37</v>
      </c>
      <c r="U1585" s="6">
        <v>84</v>
      </c>
      <c r="V1585" s="6">
        <f>IF(ISERROR(VLOOKUP($S$1585,'TAR FIN'!$A$1:$O$120,15,0)),0,VLOOKUP($S$1585,'TAR FIN'!$A$1:$O$120,15,0))</f>
        <v>0</v>
      </c>
      <c r="W1585" s="6">
        <f>IF(ISERROR(VLOOKUP($T$1585,'TAR FIN'!$A$1:$O$120,15,0)),0,VLOOKUP($T$1585,'TAR FIN'!$A$1:$O$120,15,0))</f>
        <v>109.75</v>
      </c>
      <c r="X1585" s="6">
        <f>IF(ISERROR(VLOOKUP($U$1585,'TAR FIN'!$A$1:$O$120,15,0)),0,VLOOKUP($U$1585,'TAR FIN'!$A$1:$O$120,15,0))</f>
        <v>256.38</v>
      </c>
      <c r="Y1585" s="6"/>
      <c r="Z1585" s="6">
        <f ca="1">('TUSD BE'!$AM$45+'TUSD BF'!$AM$45+'TUSD CVA'!$AM$45)*1</f>
        <v>112.97896283052546</v>
      </c>
      <c r="AA1585" s="6">
        <f>('TE BE'!$AA$14+'TE BF'!$AA$14+'TE CVA'!$AA$14)*1</f>
        <v>230.83420940933817</v>
      </c>
      <c r="AB1585" s="6">
        <f>$K$1585*$V$1585</f>
        <v>0</v>
      </c>
      <c r="AC1585" s="6">
        <f>$M$1585*$W$1585</f>
        <v>103498.53025</v>
      </c>
      <c r="AD1585" s="6">
        <f>$O$1585*$X$1585</f>
        <v>241776.33882</v>
      </c>
      <c r="AE1585" s="6">
        <f>$K$1585*$Y$1585</f>
        <v>0</v>
      </c>
      <c r="AF1585" s="6">
        <f ca="1">$M$1585*$Z$1585</f>
        <v>106543.5681287359</v>
      </c>
      <c r="AG1585" s="6">
        <f>$O$1585*$AA$1585</f>
        <v>217685.66200717285</v>
      </c>
    </row>
    <row r="1586" spans="1:33" ht="11.25" customHeight="1" x14ac:dyDescent="0.25">
      <c r="A1586" s="4" t="s">
        <v>21</v>
      </c>
      <c r="B1586" s="4" t="s">
        <v>44</v>
      </c>
      <c r="C1586" s="4" t="s">
        <v>34</v>
      </c>
      <c r="D1586" s="4" t="s">
        <v>48</v>
      </c>
      <c r="E1586" s="4" t="s">
        <v>25</v>
      </c>
      <c r="F1586" s="4" t="s">
        <v>25</v>
      </c>
      <c r="G1586" s="4" t="s">
        <v>25</v>
      </c>
      <c r="H1586" s="4" t="s">
        <v>36</v>
      </c>
      <c r="I1586" s="5">
        <v>43831</v>
      </c>
      <c r="J1586" s="6">
        <v>0</v>
      </c>
      <c r="K1586" s="6">
        <v>0</v>
      </c>
      <c r="L1586" s="6">
        <v>12259.43</v>
      </c>
      <c r="M1586" s="6">
        <v>12259.43</v>
      </c>
      <c r="N1586" s="6">
        <v>12259.43</v>
      </c>
      <c r="O1586" s="6">
        <v>12259.43</v>
      </c>
      <c r="P1586" s="6">
        <v>0</v>
      </c>
      <c r="Q1586" s="4" t="s">
        <v>26</v>
      </c>
      <c r="R1586" s="4">
        <v>0</v>
      </c>
      <c r="S1586" s="6">
        <v>0</v>
      </c>
      <c r="T1586" s="6">
        <v>37</v>
      </c>
      <c r="U1586" s="6">
        <v>84</v>
      </c>
      <c r="V1586" s="6">
        <f>IF(ISERROR(VLOOKUP($S$1586,'TAR FIN'!$A$1:$O$120,15,0)),0,VLOOKUP($S$1586,'TAR FIN'!$A$1:$O$120,15,0))</f>
        <v>0</v>
      </c>
      <c r="W1586" s="6">
        <f>IF(ISERROR(VLOOKUP($T$1586,'TAR FIN'!$A$1:$O$120,15,0)),0,VLOOKUP($T$1586,'TAR FIN'!$A$1:$O$120,15,0))</f>
        <v>109.75</v>
      </c>
      <c r="X1586" s="6">
        <f>IF(ISERROR(VLOOKUP($U$1586,'TAR FIN'!$A$1:$O$120,15,0)),0,VLOOKUP($U$1586,'TAR FIN'!$A$1:$O$120,15,0))</f>
        <v>256.38</v>
      </c>
      <c r="Y1586" s="6"/>
      <c r="Z1586" s="6">
        <f ca="1">('TUSD BE'!$AM$45+'TUSD BF'!$AM$45+'TUSD CVA'!$AM$45)*1</f>
        <v>112.97896283052546</v>
      </c>
      <c r="AA1586" s="6">
        <f>('TE BE'!$AA$14+'TE BF'!$AA$14+'TE CVA'!$AA$14)*1</f>
        <v>230.83420940933817</v>
      </c>
      <c r="AB1586" s="6">
        <f>$K$1586*$V$1586</f>
        <v>0</v>
      </c>
      <c r="AC1586" s="6">
        <f>$M$1586*$W$1586</f>
        <v>1345472.4425000001</v>
      </c>
      <c r="AD1586" s="6">
        <f>$O$1586*$X$1586</f>
        <v>3143072.6634</v>
      </c>
      <c r="AE1586" s="6">
        <f>$K$1586*$Y$1586</f>
        <v>0</v>
      </c>
      <c r="AF1586" s="6">
        <f ca="1">$M$1586*$Z$1586</f>
        <v>1385057.6862934288</v>
      </c>
      <c r="AG1586" s="6">
        <f>$O$1586*$AA$1586</f>
        <v>2829895.831859123</v>
      </c>
    </row>
    <row r="1587" spans="1:33" ht="11.25" customHeight="1" x14ac:dyDescent="0.25">
      <c r="A1587" s="4" t="s">
        <v>28</v>
      </c>
      <c r="B1587" s="4" t="s">
        <v>44</v>
      </c>
      <c r="C1587" s="4" t="s">
        <v>34</v>
      </c>
      <c r="D1587" s="4" t="s">
        <v>48</v>
      </c>
      <c r="E1587" s="4" t="s">
        <v>25</v>
      </c>
      <c r="F1587" s="4" t="s">
        <v>25</v>
      </c>
      <c r="G1587" s="4" t="s">
        <v>25</v>
      </c>
      <c r="H1587" s="4" t="s">
        <v>36</v>
      </c>
      <c r="I1587" s="5">
        <v>43831</v>
      </c>
      <c r="J1587" s="6">
        <v>0</v>
      </c>
      <c r="K1587" s="6">
        <v>0</v>
      </c>
      <c r="L1587" s="6">
        <v>857.06799999999998</v>
      </c>
      <c r="M1587" s="6">
        <v>857.06799999999998</v>
      </c>
      <c r="N1587" s="6">
        <v>857.06799999999998</v>
      </c>
      <c r="O1587" s="6">
        <v>857.06799999999998</v>
      </c>
      <c r="P1587" s="6">
        <v>0</v>
      </c>
      <c r="Q1587" s="4" t="s">
        <v>26</v>
      </c>
      <c r="R1587" s="4">
        <v>0</v>
      </c>
      <c r="S1587" s="6">
        <v>0</v>
      </c>
      <c r="T1587" s="6">
        <v>37</v>
      </c>
      <c r="U1587" s="6">
        <v>84</v>
      </c>
      <c r="V1587" s="6">
        <f>IF(ISERROR(VLOOKUP($S$1587,'TAR FIN'!$A$1:$O$120,15,0)),0,VLOOKUP($S$1587,'TAR FIN'!$A$1:$O$120,15,0))</f>
        <v>0</v>
      </c>
      <c r="W1587" s="6">
        <f>IF(ISERROR(VLOOKUP($T$1587,'TAR FIN'!$A$1:$O$120,15,0)),0,VLOOKUP($T$1587,'TAR FIN'!$A$1:$O$120,15,0))</f>
        <v>109.75</v>
      </c>
      <c r="X1587" s="6">
        <f>IF(ISERROR(VLOOKUP($U$1587,'TAR FIN'!$A$1:$O$120,15,0)),0,VLOOKUP($U$1587,'TAR FIN'!$A$1:$O$120,15,0))</f>
        <v>256.38</v>
      </c>
      <c r="Y1587" s="6"/>
      <c r="Z1587" s="6">
        <f ca="1">('TUSD BE'!$AM$45+'TUSD BF'!$AM$45+'TUSD CVA'!$AM$45)*1</f>
        <v>112.97896283052546</v>
      </c>
      <c r="AA1587" s="6">
        <f>('TE BE'!$AA$14+'TE BF'!$AA$14+'TE CVA'!$AA$14)*1</f>
        <v>230.83420940933817</v>
      </c>
      <c r="AB1587" s="6">
        <f>$K$1587*$V$1587</f>
        <v>0</v>
      </c>
      <c r="AC1587" s="6">
        <f>$M$1587*$W$1587</f>
        <v>94063.213000000003</v>
      </c>
      <c r="AD1587" s="6">
        <f>$O$1587*$X$1587</f>
        <v>219735.09383999999</v>
      </c>
      <c r="AE1587" s="6">
        <f>$K$1587*$Y$1587</f>
        <v>0</v>
      </c>
      <c r="AF1587" s="6">
        <f ca="1">$M$1587*$Z$1587</f>
        <v>96830.653715232795</v>
      </c>
      <c r="AG1587" s="6">
        <f>$O$1587*$AA$1587</f>
        <v>197840.61419004263</v>
      </c>
    </row>
    <row r="1588" spans="1:33" ht="11.25" customHeight="1" x14ac:dyDescent="0.25">
      <c r="A1588" s="4" t="s">
        <v>21</v>
      </c>
      <c r="B1588" s="4" t="s">
        <v>44</v>
      </c>
      <c r="C1588" s="4" t="s">
        <v>34</v>
      </c>
      <c r="D1588" s="4" t="s">
        <v>48</v>
      </c>
      <c r="E1588" s="4" t="s">
        <v>25</v>
      </c>
      <c r="F1588" s="4" t="s">
        <v>25</v>
      </c>
      <c r="G1588" s="4" t="s">
        <v>25</v>
      </c>
      <c r="H1588" s="4" t="s">
        <v>36</v>
      </c>
      <c r="I1588" s="5">
        <v>43862</v>
      </c>
      <c r="J1588" s="6">
        <v>0</v>
      </c>
      <c r="K1588" s="6">
        <v>0</v>
      </c>
      <c r="L1588" s="6">
        <v>13232.063</v>
      </c>
      <c r="M1588" s="6">
        <v>13232.063</v>
      </c>
      <c r="N1588" s="6">
        <v>13232.063</v>
      </c>
      <c r="O1588" s="6">
        <v>13232.063</v>
      </c>
      <c r="P1588" s="6">
        <v>0</v>
      </c>
      <c r="Q1588" s="4" t="s">
        <v>26</v>
      </c>
      <c r="R1588" s="4">
        <v>0</v>
      </c>
      <c r="S1588" s="6">
        <v>0</v>
      </c>
      <c r="T1588" s="6">
        <v>37</v>
      </c>
      <c r="U1588" s="6">
        <v>84</v>
      </c>
      <c r="V1588" s="6">
        <f>IF(ISERROR(VLOOKUP($S$1588,'TAR FIN'!$A$1:$O$120,15,0)),0,VLOOKUP($S$1588,'TAR FIN'!$A$1:$O$120,15,0))</f>
        <v>0</v>
      </c>
      <c r="W1588" s="6">
        <f>IF(ISERROR(VLOOKUP($T$1588,'TAR FIN'!$A$1:$O$120,15,0)),0,VLOOKUP($T$1588,'TAR FIN'!$A$1:$O$120,15,0))</f>
        <v>109.75</v>
      </c>
      <c r="X1588" s="6">
        <f>IF(ISERROR(VLOOKUP($U$1588,'TAR FIN'!$A$1:$O$120,15,0)),0,VLOOKUP($U$1588,'TAR FIN'!$A$1:$O$120,15,0))</f>
        <v>256.38</v>
      </c>
      <c r="Y1588" s="6"/>
      <c r="Z1588" s="6">
        <f ca="1">('TUSD BE'!$AM$45+'TUSD BF'!$AM$45+'TUSD CVA'!$AM$45)*1</f>
        <v>112.97896283052546</v>
      </c>
      <c r="AA1588" s="6">
        <f>('TE BE'!$AA$14+'TE BF'!$AA$14+'TE CVA'!$AA$14)*1</f>
        <v>230.83420940933817</v>
      </c>
      <c r="AB1588" s="6">
        <f>$K$1588*$V$1588</f>
        <v>0</v>
      </c>
      <c r="AC1588" s="6">
        <f>$M$1588*$W$1588</f>
        <v>1452218.9142499999</v>
      </c>
      <c r="AD1588" s="6">
        <f>$O$1588*$X$1588</f>
        <v>3392436.3119399999</v>
      </c>
      <c r="AE1588" s="6">
        <f>$K$1588*$Y$1588</f>
        <v>0</v>
      </c>
      <c r="AF1588" s="6">
        <f ca="1">$M$1588*$Z$1588</f>
        <v>1494944.7538481713</v>
      </c>
      <c r="AG1588" s="6">
        <f>$O$1588*$AA$1588</f>
        <v>3054412.8014595555</v>
      </c>
    </row>
    <row r="1589" spans="1:33" ht="11.25" customHeight="1" x14ac:dyDescent="0.25">
      <c r="A1589" s="4" t="s">
        <v>28</v>
      </c>
      <c r="B1589" s="4" t="s">
        <v>44</v>
      </c>
      <c r="C1589" s="4" t="s">
        <v>34</v>
      </c>
      <c r="D1589" s="4" t="s">
        <v>48</v>
      </c>
      <c r="E1589" s="4" t="s">
        <v>25</v>
      </c>
      <c r="F1589" s="4" t="s">
        <v>25</v>
      </c>
      <c r="G1589" s="4" t="s">
        <v>25</v>
      </c>
      <c r="H1589" s="4" t="s">
        <v>36</v>
      </c>
      <c r="I1589" s="5">
        <v>43862</v>
      </c>
      <c r="J1589" s="6">
        <v>0</v>
      </c>
      <c r="K1589" s="6">
        <v>0</v>
      </c>
      <c r="L1589" s="6">
        <v>943.62199999999996</v>
      </c>
      <c r="M1589" s="6">
        <v>943.62199999999996</v>
      </c>
      <c r="N1589" s="6">
        <v>943.62199999999996</v>
      </c>
      <c r="O1589" s="6">
        <v>943.62199999999996</v>
      </c>
      <c r="P1589" s="6">
        <v>0</v>
      </c>
      <c r="Q1589" s="4" t="s">
        <v>26</v>
      </c>
      <c r="R1589" s="4">
        <v>0</v>
      </c>
      <c r="S1589" s="6">
        <v>0</v>
      </c>
      <c r="T1589" s="6">
        <v>37</v>
      </c>
      <c r="U1589" s="6">
        <v>84</v>
      </c>
      <c r="V1589" s="6">
        <f>IF(ISERROR(VLOOKUP($S$1589,'TAR FIN'!$A$1:$O$120,15,0)),0,VLOOKUP($S$1589,'TAR FIN'!$A$1:$O$120,15,0))</f>
        <v>0</v>
      </c>
      <c r="W1589" s="6">
        <f>IF(ISERROR(VLOOKUP($T$1589,'TAR FIN'!$A$1:$O$120,15,0)),0,VLOOKUP($T$1589,'TAR FIN'!$A$1:$O$120,15,0))</f>
        <v>109.75</v>
      </c>
      <c r="X1589" s="6">
        <f>IF(ISERROR(VLOOKUP($U$1589,'TAR FIN'!$A$1:$O$120,15,0)),0,VLOOKUP($U$1589,'TAR FIN'!$A$1:$O$120,15,0))</f>
        <v>256.38</v>
      </c>
      <c r="Y1589" s="6"/>
      <c r="Z1589" s="6">
        <f ca="1">('TUSD BE'!$AM$45+'TUSD BF'!$AM$45+'TUSD CVA'!$AM$45)*1</f>
        <v>112.97896283052546</v>
      </c>
      <c r="AA1589" s="6">
        <f>('TE BE'!$AA$14+'TE BF'!$AA$14+'TE CVA'!$AA$14)*1</f>
        <v>230.83420940933817</v>
      </c>
      <c r="AB1589" s="6">
        <f>$K$1589*$V$1589</f>
        <v>0</v>
      </c>
      <c r="AC1589" s="6">
        <f>$M$1589*$W$1589</f>
        <v>103562.51449999999</v>
      </c>
      <c r="AD1589" s="6">
        <f>$O$1589*$X$1589</f>
        <v>241925.80836</v>
      </c>
      <c r="AE1589" s="6">
        <f>$K$1589*$Y$1589</f>
        <v>0</v>
      </c>
      <c r="AF1589" s="6">
        <f ca="1">$M$1589*$Z$1589</f>
        <v>106609.43486406609</v>
      </c>
      <c r="AG1589" s="6">
        <f>$O$1589*$AA$1589</f>
        <v>217820.23835125851</v>
      </c>
    </row>
    <row r="1590" spans="1:33" ht="11.25" customHeight="1" x14ac:dyDescent="0.25">
      <c r="A1590" s="4" t="s">
        <v>21</v>
      </c>
      <c r="B1590" s="4" t="s">
        <v>44</v>
      </c>
      <c r="C1590" s="4" t="s">
        <v>34</v>
      </c>
      <c r="D1590" s="4" t="s">
        <v>48</v>
      </c>
      <c r="E1590" s="4" t="s">
        <v>25</v>
      </c>
      <c r="F1590" s="4" t="s">
        <v>25</v>
      </c>
      <c r="G1590" s="4" t="s">
        <v>25</v>
      </c>
      <c r="H1590" s="4" t="s">
        <v>36</v>
      </c>
      <c r="I1590" s="5">
        <v>43891</v>
      </c>
      <c r="J1590" s="6">
        <v>0</v>
      </c>
      <c r="K1590" s="6">
        <v>0</v>
      </c>
      <c r="L1590" s="6">
        <v>11712.858</v>
      </c>
      <c r="M1590" s="6">
        <v>11712.858</v>
      </c>
      <c r="N1590" s="6">
        <v>11712.858</v>
      </c>
      <c r="O1590" s="6">
        <v>11712.858</v>
      </c>
      <c r="P1590" s="6">
        <v>0</v>
      </c>
      <c r="Q1590" s="4" t="s">
        <v>26</v>
      </c>
      <c r="R1590" s="4">
        <v>0</v>
      </c>
      <c r="S1590" s="6">
        <v>0</v>
      </c>
      <c r="T1590" s="6">
        <v>37</v>
      </c>
      <c r="U1590" s="6">
        <v>84</v>
      </c>
      <c r="V1590" s="6">
        <f>IF(ISERROR(VLOOKUP($S$1590,'TAR FIN'!$A$1:$O$120,15,0)),0,VLOOKUP($S$1590,'TAR FIN'!$A$1:$O$120,15,0))</f>
        <v>0</v>
      </c>
      <c r="W1590" s="6">
        <f>IF(ISERROR(VLOOKUP($T$1590,'TAR FIN'!$A$1:$O$120,15,0)),0,VLOOKUP($T$1590,'TAR FIN'!$A$1:$O$120,15,0))</f>
        <v>109.75</v>
      </c>
      <c r="X1590" s="6">
        <f>IF(ISERROR(VLOOKUP($U$1590,'TAR FIN'!$A$1:$O$120,15,0)),0,VLOOKUP($U$1590,'TAR FIN'!$A$1:$O$120,15,0))</f>
        <v>256.38</v>
      </c>
      <c r="Y1590" s="6"/>
      <c r="Z1590" s="6">
        <f ca="1">('TUSD BE'!$AM$45+'TUSD BF'!$AM$45+'TUSD CVA'!$AM$45)*1</f>
        <v>112.97896283052546</v>
      </c>
      <c r="AA1590" s="6">
        <f>('TE BE'!$AA$14+'TE BF'!$AA$14+'TE CVA'!$AA$14)*1</f>
        <v>230.83420940933817</v>
      </c>
      <c r="AB1590" s="6">
        <f>$K$1590*$V$1590</f>
        <v>0</v>
      </c>
      <c r="AC1590" s="6">
        <f>$M$1590*$W$1590</f>
        <v>1285486.1655000001</v>
      </c>
      <c r="AD1590" s="6">
        <f>$O$1590*$X$1590</f>
        <v>3002942.5340399998</v>
      </c>
      <c r="AE1590" s="6">
        <f>$K$1590*$Y$1590</f>
        <v>0</v>
      </c>
      <c r="AF1590" s="6">
        <f ca="1">$M$1590*$Z$1590</f>
        <v>1323306.5486212228</v>
      </c>
      <c r="AG1590" s="6">
        <f>$O$1590*$AA$1590</f>
        <v>2703728.3163538422</v>
      </c>
    </row>
    <row r="1591" spans="1:33" ht="11.25" customHeight="1" x14ac:dyDescent="0.25">
      <c r="A1591" s="4" t="s">
        <v>28</v>
      </c>
      <c r="B1591" s="4" t="s">
        <v>44</v>
      </c>
      <c r="C1591" s="4" t="s">
        <v>34</v>
      </c>
      <c r="D1591" s="4" t="s">
        <v>48</v>
      </c>
      <c r="E1591" s="4" t="s">
        <v>25</v>
      </c>
      <c r="F1591" s="4" t="s">
        <v>25</v>
      </c>
      <c r="G1591" s="4" t="s">
        <v>25</v>
      </c>
      <c r="H1591" s="4" t="s">
        <v>36</v>
      </c>
      <c r="I1591" s="5">
        <v>43891</v>
      </c>
      <c r="J1591" s="6">
        <v>0</v>
      </c>
      <c r="K1591" s="6">
        <v>0</v>
      </c>
      <c r="L1591" s="6">
        <v>835.23400000000004</v>
      </c>
      <c r="M1591" s="6">
        <v>835.23400000000004</v>
      </c>
      <c r="N1591" s="6">
        <v>835.23400000000004</v>
      </c>
      <c r="O1591" s="6">
        <v>835.23400000000004</v>
      </c>
      <c r="P1591" s="6">
        <v>0</v>
      </c>
      <c r="Q1591" s="4" t="s">
        <v>26</v>
      </c>
      <c r="R1591" s="4">
        <v>0</v>
      </c>
      <c r="S1591" s="6">
        <v>0</v>
      </c>
      <c r="T1591" s="6">
        <v>37</v>
      </c>
      <c r="U1591" s="6">
        <v>84</v>
      </c>
      <c r="V1591" s="6">
        <f>IF(ISERROR(VLOOKUP($S$1591,'TAR FIN'!$A$1:$O$120,15,0)),0,VLOOKUP($S$1591,'TAR FIN'!$A$1:$O$120,15,0))</f>
        <v>0</v>
      </c>
      <c r="W1591" s="6">
        <f>IF(ISERROR(VLOOKUP($T$1591,'TAR FIN'!$A$1:$O$120,15,0)),0,VLOOKUP($T$1591,'TAR FIN'!$A$1:$O$120,15,0))</f>
        <v>109.75</v>
      </c>
      <c r="X1591" s="6">
        <f>IF(ISERROR(VLOOKUP($U$1591,'TAR FIN'!$A$1:$O$120,15,0)),0,VLOOKUP($U$1591,'TAR FIN'!$A$1:$O$120,15,0))</f>
        <v>256.38</v>
      </c>
      <c r="Y1591" s="6"/>
      <c r="Z1591" s="6">
        <f ca="1">('TUSD BE'!$AM$45+'TUSD BF'!$AM$45+'TUSD CVA'!$AM$45)*1</f>
        <v>112.97896283052546</v>
      </c>
      <c r="AA1591" s="6">
        <f>('TE BE'!$AA$14+'TE BF'!$AA$14+'TE CVA'!$AA$14)*1</f>
        <v>230.83420940933817</v>
      </c>
      <c r="AB1591" s="6">
        <f>$K$1591*$V$1591</f>
        <v>0</v>
      </c>
      <c r="AC1591" s="6">
        <f>$M$1591*$W$1591</f>
        <v>91666.931500000006</v>
      </c>
      <c r="AD1591" s="6">
        <f>$O$1591*$X$1591</f>
        <v>214137.29292000001</v>
      </c>
      <c r="AE1591" s="6">
        <f>$K$1591*$Y$1591</f>
        <v>0</v>
      </c>
      <c r="AF1591" s="6">
        <f ca="1">$M$1591*$Z$1591</f>
        <v>94363.871040791113</v>
      </c>
      <c r="AG1591" s="6">
        <f>$O$1591*$AA$1591</f>
        <v>192800.58006179918</v>
      </c>
    </row>
    <row r="1592" spans="1:33" ht="11.25" customHeight="1" x14ac:dyDescent="0.25">
      <c r="A1592" s="4" t="s">
        <v>21</v>
      </c>
      <c r="B1592" s="4" t="s">
        <v>44</v>
      </c>
      <c r="C1592" s="4" t="s">
        <v>34</v>
      </c>
      <c r="D1592" s="4" t="s">
        <v>48</v>
      </c>
      <c r="E1592" s="4" t="s">
        <v>25</v>
      </c>
      <c r="F1592" s="4" t="s">
        <v>25</v>
      </c>
      <c r="G1592" s="4" t="s">
        <v>25</v>
      </c>
      <c r="H1592" s="4" t="s">
        <v>36</v>
      </c>
      <c r="I1592" s="5">
        <v>43922</v>
      </c>
      <c r="J1592" s="6">
        <v>0</v>
      </c>
      <c r="K1592" s="6">
        <v>0</v>
      </c>
      <c r="L1592" s="6">
        <v>10897.46</v>
      </c>
      <c r="M1592" s="6">
        <v>10897.46</v>
      </c>
      <c r="N1592" s="6">
        <v>10897.46</v>
      </c>
      <c r="O1592" s="6">
        <v>10897.46</v>
      </c>
      <c r="P1592" s="6">
        <v>0</v>
      </c>
      <c r="Q1592" s="4" t="s">
        <v>26</v>
      </c>
      <c r="R1592" s="4">
        <v>0</v>
      </c>
      <c r="S1592" s="6">
        <v>0</v>
      </c>
      <c r="T1592" s="6">
        <v>37</v>
      </c>
      <c r="U1592" s="6">
        <v>84</v>
      </c>
      <c r="V1592" s="6">
        <f>IF(ISERROR(VLOOKUP($S$1592,'TAR FIN'!$A$1:$O$120,15,0)),0,VLOOKUP($S$1592,'TAR FIN'!$A$1:$O$120,15,0))</f>
        <v>0</v>
      </c>
      <c r="W1592" s="6">
        <f>IF(ISERROR(VLOOKUP($T$1592,'TAR FIN'!$A$1:$O$120,15,0)),0,VLOOKUP($T$1592,'TAR FIN'!$A$1:$O$120,15,0))</f>
        <v>109.75</v>
      </c>
      <c r="X1592" s="6">
        <f>IF(ISERROR(VLOOKUP($U$1592,'TAR FIN'!$A$1:$O$120,15,0)),0,VLOOKUP($U$1592,'TAR FIN'!$A$1:$O$120,15,0))</f>
        <v>256.38</v>
      </c>
      <c r="Y1592" s="6"/>
      <c r="Z1592" s="6">
        <f ca="1">('TUSD BE'!$AM$45+'TUSD BF'!$AM$45+'TUSD CVA'!$AM$45)*1</f>
        <v>112.97896283052546</v>
      </c>
      <c r="AA1592" s="6">
        <f>('TE BE'!$AA$14+'TE BF'!$AA$14+'TE CVA'!$AA$14)*1</f>
        <v>230.83420940933817</v>
      </c>
      <c r="AB1592" s="6">
        <f>$K$1592*$V$1592</f>
        <v>0</v>
      </c>
      <c r="AC1592" s="6">
        <f>$M$1592*$W$1592</f>
        <v>1195996.2349999999</v>
      </c>
      <c r="AD1592" s="6">
        <f>$O$1592*$X$1592</f>
        <v>2793890.7947999998</v>
      </c>
      <c r="AE1592" s="6">
        <f>$K$1592*$Y$1592</f>
        <v>0</v>
      </c>
      <c r="AF1592" s="6">
        <f ca="1">$M$1592*$Z$1592</f>
        <v>1231183.7282871378</v>
      </c>
      <c r="AG1592" s="6">
        <f>$O$1592*$AA$1592</f>
        <v>2515506.563669886</v>
      </c>
    </row>
    <row r="1593" spans="1:33" ht="11.25" customHeight="1" x14ac:dyDescent="0.25">
      <c r="A1593" s="4" t="s">
        <v>27</v>
      </c>
      <c r="B1593" s="4" t="s">
        <v>44</v>
      </c>
      <c r="C1593" s="4" t="s">
        <v>34</v>
      </c>
      <c r="D1593" s="4" t="s">
        <v>48</v>
      </c>
      <c r="E1593" s="4" t="s">
        <v>25</v>
      </c>
      <c r="F1593" s="4" t="s">
        <v>25</v>
      </c>
      <c r="G1593" s="4" t="s">
        <v>25</v>
      </c>
      <c r="H1593" s="4" t="s">
        <v>36</v>
      </c>
      <c r="I1593" s="5">
        <v>43922</v>
      </c>
      <c r="J1593" s="6">
        <v>0</v>
      </c>
      <c r="K1593" s="6">
        <v>0</v>
      </c>
      <c r="L1593" s="6">
        <v>152.595</v>
      </c>
      <c r="M1593" s="6">
        <v>152.595</v>
      </c>
      <c r="N1593" s="6">
        <v>152.595</v>
      </c>
      <c r="O1593" s="6">
        <v>152.595</v>
      </c>
      <c r="P1593" s="6">
        <v>0</v>
      </c>
      <c r="Q1593" s="4" t="s">
        <v>26</v>
      </c>
      <c r="R1593" s="4">
        <v>0</v>
      </c>
      <c r="S1593" s="6">
        <v>0</v>
      </c>
      <c r="T1593" s="6">
        <v>37</v>
      </c>
      <c r="U1593" s="6">
        <v>84</v>
      </c>
      <c r="V1593" s="6">
        <f>IF(ISERROR(VLOOKUP($S$1593,'TAR FIN'!$A$1:$O$120,15,0)),0,VLOOKUP($S$1593,'TAR FIN'!$A$1:$O$120,15,0))</f>
        <v>0</v>
      </c>
      <c r="W1593" s="6">
        <f>IF(ISERROR(VLOOKUP($T$1593,'TAR FIN'!$A$1:$O$120,15,0)),0,VLOOKUP($T$1593,'TAR FIN'!$A$1:$O$120,15,0))</f>
        <v>109.75</v>
      </c>
      <c r="X1593" s="6">
        <f>IF(ISERROR(VLOOKUP($U$1593,'TAR FIN'!$A$1:$O$120,15,0)),0,VLOOKUP($U$1593,'TAR FIN'!$A$1:$O$120,15,0))</f>
        <v>256.38</v>
      </c>
      <c r="Y1593" s="6"/>
      <c r="Z1593" s="6">
        <f ca="1">('TUSD BE'!$AM$45+'TUSD BF'!$AM$45+'TUSD CVA'!$AM$45)*1</f>
        <v>112.97896283052546</v>
      </c>
      <c r="AA1593" s="6">
        <f>('TE BE'!$AA$14+'TE BF'!$AA$14+'TE CVA'!$AA$14)*1</f>
        <v>230.83420940933817</v>
      </c>
      <c r="AB1593" s="6">
        <f>$K$1593*$V$1593</f>
        <v>0</v>
      </c>
      <c r="AC1593" s="6">
        <f>$M$1593*$W$1593</f>
        <v>16747.30125</v>
      </c>
      <c r="AD1593" s="6">
        <f>$O$1593*$X$1593</f>
        <v>39122.306100000002</v>
      </c>
      <c r="AE1593" s="6">
        <f>$K$1593*$Y$1593</f>
        <v>0</v>
      </c>
      <c r="AF1593" s="6">
        <f ca="1">$M$1593*$Z$1593</f>
        <v>17240.024833124033</v>
      </c>
      <c r="AG1593" s="6">
        <f>$O$1593*$AA$1593</f>
        <v>35224.146184817961</v>
      </c>
    </row>
    <row r="1594" spans="1:33" ht="11.25" customHeight="1" x14ac:dyDescent="0.25">
      <c r="A1594" s="4" t="s">
        <v>28</v>
      </c>
      <c r="B1594" s="4" t="s">
        <v>44</v>
      </c>
      <c r="C1594" s="4" t="s">
        <v>34</v>
      </c>
      <c r="D1594" s="4" t="s">
        <v>48</v>
      </c>
      <c r="E1594" s="4" t="s">
        <v>25</v>
      </c>
      <c r="F1594" s="4" t="s">
        <v>25</v>
      </c>
      <c r="G1594" s="4" t="s">
        <v>25</v>
      </c>
      <c r="H1594" s="4" t="s">
        <v>36</v>
      </c>
      <c r="I1594" s="5">
        <v>43922</v>
      </c>
      <c r="J1594" s="6">
        <v>0</v>
      </c>
      <c r="K1594" s="6">
        <v>0</v>
      </c>
      <c r="L1594" s="6">
        <v>730.22900000000004</v>
      </c>
      <c r="M1594" s="6">
        <v>730.22900000000004</v>
      </c>
      <c r="N1594" s="6">
        <v>730.22900000000004</v>
      </c>
      <c r="O1594" s="6">
        <v>730.22900000000004</v>
      </c>
      <c r="P1594" s="6">
        <v>0</v>
      </c>
      <c r="Q1594" s="4" t="s">
        <v>26</v>
      </c>
      <c r="R1594" s="4">
        <v>0</v>
      </c>
      <c r="S1594" s="6">
        <v>0</v>
      </c>
      <c r="T1594" s="6">
        <v>37</v>
      </c>
      <c r="U1594" s="6">
        <v>84</v>
      </c>
      <c r="V1594" s="6">
        <f>IF(ISERROR(VLOOKUP($S$1594,'TAR FIN'!$A$1:$O$120,15,0)),0,VLOOKUP($S$1594,'TAR FIN'!$A$1:$O$120,15,0))</f>
        <v>0</v>
      </c>
      <c r="W1594" s="6">
        <f>IF(ISERROR(VLOOKUP($T$1594,'TAR FIN'!$A$1:$O$120,15,0)),0,VLOOKUP($T$1594,'TAR FIN'!$A$1:$O$120,15,0))</f>
        <v>109.75</v>
      </c>
      <c r="X1594" s="6">
        <f>IF(ISERROR(VLOOKUP($U$1594,'TAR FIN'!$A$1:$O$120,15,0)),0,VLOOKUP($U$1594,'TAR FIN'!$A$1:$O$120,15,0))</f>
        <v>256.38</v>
      </c>
      <c r="Y1594" s="6"/>
      <c r="Z1594" s="6">
        <f ca="1">('TUSD BE'!$AM$45+'TUSD BF'!$AM$45+'TUSD CVA'!$AM$45)*1</f>
        <v>112.97896283052546</v>
      </c>
      <c r="AA1594" s="6">
        <f>('TE BE'!$AA$14+'TE BF'!$AA$14+'TE CVA'!$AA$14)*1</f>
        <v>230.83420940933817</v>
      </c>
      <c r="AB1594" s="6">
        <f>$K$1594*$V$1594</f>
        <v>0</v>
      </c>
      <c r="AC1594" s="6">
        <f>$M$1594*$W$1594</f>
        <v>80142.632750000004</v>
      </c>
      <c r="AD1594" s="6">
        <f>$O$1594*$X$1594</f>
        <v>187216.11102000001</v>
      </c>
      <c r="AE1594" s="6">
        <f>$K$1594*$Y$1594</f>
        <v>0</v>
      </c>
      <c r="AF1594" s="6">
        <f ca="1">$M$1594*$Z$1594</f>
        <v>82500.515048771776</v>
      </c>
      <c r="AG1594" s="6">
        <f>$O$1594*$AA$1594</f>
        <v>168561.83390277161</v>
      </c>
    </row>
    <row r="1595" spans="1:33" ht="11.25" customHeight="1" x14ac:dyDescent="0.25">
      <c r="A1595" s="4" t="s">
        <v>21</v>
      </c>
      <c r="B1595" s="4" t="s">
        <v>44</v>
      </c>
      <c r="C1595" s="4" t="s">
        <v>34</v>
      </c>
      <c r="D1595" s="4" t="s">
        <v>48</v>
      </c>
      <c r="E1595" s="4" t="s">
        <v>25</v>
      </c>
      <c r="F1595" s="4" t="s">
        <v>25</v>
      </c>
      <c r="G1595" s="4" t="s">
        <v>25</v>
      </c>
      <c r="H1595" s="4" t="s">
        <v>36</v>
      </c>
      <c r="I1595" s="5">
        <v>43952</v>
      </c>
      <c r="J1595" s="6">
        <v>0</v>
      </c>
      <c r="K1595" s="6">
        <v>0</v>
      </c>
      <c r="L1595" s="6">
        <v>8335.4920000000002</v>
      </c>
      <c r="M1595" s="6">
        <v>8335.4920000000002</v>
      </c>
      <c r="N1595" s="6">
        <v>8335.4920000000002</v>
      </c>
      <c r="O1595" s="6">
        <v>8335.4920000000002</v>
      </c>
      <c r="P1595" s="6">
        <v>0</v>
      </c>
      <c r="Q1595" s="4" t="s">
        <v>26</v>
      </c>
      <c r="R1595" s="4">
        <v>0</v>
      </c>
      <c r="S1595" s="6">
        <v>0</v>
      </c>
      <c r="T1595" s="6">
        <v>37</v>
      </c>
      <c r="U1595" s="6">
        <v>84</v>
      </c>
      <c r="V1595" s="6">
        <f>IF(ISERROR(VLOOKUP($S$1595,'TAR FIN'!$A$1:$O$120,15,0)),0,VLOOKUP($S$1595,'TAR FIN'!$A$1:$O$120,15,0))</f>
        <v>0</v>
      </c>
      <c r="W1595" s="6">
        <f>IF(ISERROR(VLOOKUP($T$1595,'TAR FIN'!$A$1:$O$120,15,0)),0,VLOOKUP($T$1595,'TAR FIN'!$A$1:$O$120,15,0))</f>
        <v>109.75</v>
      </c>
      <c r="X1595" s="6">
        <f>IF(ISERROR(VLOOKUP($U$1595,'TAR FIN'!$A$1:$O$120,15,0)),0,VLOOKUP($U$1595,'TAR FIN'!$A$1:$O$120,15,0))</f>
        <v>256.38</v>
      </c>
      <c r="Y1595" s="6"/>
      <c r="Z1595" s="6">
        <f ca="1">('TUSD BE'!$AM$45+'TUSD BF'!$AM$45+'TUSD CVA'!$AM$45)*1</f>
        <v>112.97896283052546</v>
      </c>
      <c r="AA1595" s="6">
        <f>('TE BE'!$AA$14+'TE BF'!$AA$14+'TE CVA'!$AA$14)*1</f>
        <v>230.83420940933817</v>
      </c>
      <c r="AB1595" s="6">
        <f>$K$1595*$V$1595</f>
        <v>0</v>
      </c>
      <c r="AC1595" s="6">
        <f>$M$1595*$W$1595</f>
        <v>914820.24699999997</v>
      </c>
      <c r="AD1595" s="6">
        <f>$O$1595*$X$1595</f>
        <v>2137053.4389599999</v>
      </c>
      <c r="AE1595" s="6">
        <f>$K$1595*$Y$1595</f>
        <v>0</v>
      </c>
      <c r="AF1595" s="6">
        <f ca="1">$M$1595*$Z$1595</f>
        <v>941735.24084214238</v>
      </c>
      <c r="AG1595" s="6">
        <f>$O$1595*$AA$1595</f>
        <v>1924116.7058578632</v>
      </c>
    </row>
    <row r="1596" spans="1:33" ht="11.25" customHeight="1" x14ac:dyDescent="0.25">
      <c r="A1596" s="4" t="s">
        <v>28</v>
      </c>
      <c r="B1596" s="4" t="s">
        <v>44</v>
      </c>
      <c r="C1596" s="4" t="s">
        <v>34</v>
      </c>
      <c r="D1596" s="4" t="s">
        <v>48</v>
      </c>
      <c r="E1596" s="4" t="s">
        <v>25</v>
      </c>
      <c r="F1596" s="4" t="s">
        <v>25</v>
      </c>
      <c r="G1596" s="4" t="s">
        <v>25</v>
      </c>
      <c r="H1596" s="4" t="s">
        <v>36</v>
      </c>
      <c r="I1596" s="5">
        <v>43952</v>
      </c>
      <c r="J1596" s="6">
        <v>0</v>
      </c>
      <c r="K1596" s="6">
        <v>0</v>
      </c>
      <c r="L1596" s="6">
        <v>536.40099999999995</v>
      </c>
      <c r="M1596" s="6">
        <v>536.40099999999995</v>
      </c>
      <c r="N1596" s="6">
        <v>536.40099999999995</v>
      </c>
      <c r="O1596" s="6">
        <v>536.40099999999995</v>
      </c>
      <c r="P1596" s="6">
        <v>0</v>
      </c>
      <c r="Q1596" s="4" t="s">
        <v>26</v>
      </c>
      <c r="R1596" s="4">
        <v>0</v>
      </c>
      <c r="S1596" s="6">
        <v>0</v>
      </c>
      <c r="T1596" s="6">
        <v>37</v>
      </c>
      <c r="U1596" s="6">
        <v>84</v>
      </c>
      <c r="V1596" s="6">
        <f>IF(ISERROR(VLOOKUP($S$1596,'TAR FIN'!$A$1:$O$120,15,0)),0,VLOOKUP($S$1596,'TAR FIN'!$A$1:$O$120,15,0))</f>
        <v>0</v>
      </c>
      <c r="W1596" s="6">
        <f>IF(ISERROR(VLOOKUP($T$1596,'TAR FIN'!$A$1:$O$120,15,0)),0,VLOOKUP($T$1596,'TAR FIN'!$A$1:$O$120,15,0))</f>
        <v>109.75</v>
      </c>
      <c r="X1596" s="6">
        <f>IF(ISERROR(VLOOKUP($U$1596,'TAR FIN'!$A$1:$O$120,15,0)),0,VLOOKUP($U$1596,'TAR FIN'!$A$1:$O$120,15,0))</f>
        <v>256.38</v>
      </c>
      <c r="Y1596" s="6"/>
      <c r="Z1596" s="6">
        <f ca="1">('TUSD BE'!$AM$45+'TUSD BF'!$AM$45+'TUSD CVA'!$AM$45)*1</f>
        <v>112.97896283052546</v>
      </c>
      <c r="AA1596" s="6">
        <f>('TE BE'!$AA$14+'TE BF'!$AA$14+'TE CVA'!$AA$14)*1</f>
        <v>230.83420940933817</v>
      </c>
      <c r="AB1596" s="6">
        <f>$K$1596*$V$1596</f>
        <v>0</v>
      </c>
      <c r="AC1596" s="6">
        <f>$M$1596*$W$1596</f>
        <v>58870.009749999997</v>
      </c>
      <c r="AD1596" s="6">
        <f>$O$1596*$X$1596</f>
        <v>137522.48838</v>
      </c>
      <c r="AE1596" s="6">
        <f>$K$1596*$Y$1596</f>
        <v>0</v>
      </c>
      <c r="AF1596" s="6">
        <f ca="1">$M$1596*$Z$1596</f>
        <v>60602.028641256686</v>
      </c>
      <c r="AG1596" s="6">
        <f>$O$1596*$AA$1596</f>
        <v>123819.70076137839</v>
      </c>
    </row>
    <row r="1597" spans="1:33" ht="11.25" customHeight="1" x14ac:dyDescent="0.25">
      <c r="A1597" s="4" t="s">
        <v>21</v>
      </c>
      <c r="B1597" s="4" t="s">
        <v>44</v>
      </c>
      <c r="C1597" s="4" t="s">
        <v>34</v>
      </c>
      <c r="D1597" s="4" t="s">
        <v>48</v>
      </c>
      <c r="E1597" s="4" t="s">
        <v>25</v>
      </c>
      <c r="F1597" s="4" t="s">
        <v>25</v>
      </c>
      <c r="G1597" s="4" t="s">
        <v>25</v>
      </c>
      <c r="H1597" s="4" t="s">
        <v>36</v>
      </c>
      <c r="I1597" s="5">
        <v>43983</v>
      </c>
      <c r="J1597" s="6">
        <v>0</v>
      </c>
      <c r="K1597" s="6">
        <v>0</v>
      </c>
      <c r="L1597" s="6">
        <v>8333.5319999999992</v>
      </c>
      <c r="M1597" s="6">
        <v>8333.5319999999992</v>
      </c>
      <c r="N1597" s="6">
        <v>8333.5319999999992</v>
      </c>
      <c r="O1597" s="6">
        <v>8333.5319999999992</v>
      </c>
      <c r="P1597" s="6">
        <v>0</v>
      </c>
      <c r="Q1597" s="4" t="s">
        <v>26</v>
      </c>
      <c r="R1597" s="4">
        <v>0</v>
      </c>
      <c r="S1597" s="6">
        <v>0</v>
      </c>
      <c r="T1597" s="6">
        <v>37</v>
      </c>
      <c r="U1597" s="6">
        <v>84</v>
      </c>
      <c r="V1597" s="6">
        <f>IF(ISERROR(VLOOKUP($S$1597,'TAR FIN'!$A$1:$O$120,15,0)),0,VLOOKUP($S$1597,'TAR FIN'!$A$1:$O$120,15,0))</f>
        <v>0</v>
      </c>
      <c r="W1597" s="6">
        <f>IF(ISERROR(VLOOKUP($T$1597,'TAR FIN'!$A$1:$O$120,15,0)),0,VLOOKUP($T$1597,'TAR FIN'!$A$1:$O$120,15,0))</f>
        <v>109.75</v>
      </c>
      <c r="X1597" s="6">
        <f>IF(ISERROR(VLOOKUP($U$1597,'TAR FIN'!$A$1:$O$120,15,0)),0,VLOOKUP($U$1597,'TAR FIN'!$A$1:$O$120,15,0))</f>
        <v>256.38</v>
      </c>
      <c r="Y1597" s="6"/>
      <c r="Z1597" s="6">
        <f ca="1">('TUSD BE'!$AM$45+'TUSD BF'!$AM$45+'TUSD CVA'!$AM$45)*1</f>
        <v>112.97896283052546</v>
      </c>
      <c r="AA1597" s="6">
        <f>('TE BE'!$AA$14+'TE BF'!$AA$14+'TE CVA'!$AA$14)*1</f>
        <v>230.83420940933817</v>
      </c>
      <c r="AB1597" s="6">
        <f>$K$1597*$V$1597</f>
        <v>0</v>
      </c>
      <c r="AC1597" s="6">
        <f>$M$1597*$W$1597</f>
        <v>914605.13699999987</v>
      </c>
      <c r="AD1597" s="6">
        <f>$O$1597*$X$1597</f>
        <v>2136550.9341599997</v>
      </c>
      <c r="AE1597" s="6">
        <f>$K$1597*$Y$1597</f>
        <v>0</v>
      </c>
      <c r="AF1597" s="6">
        <f ca="1">$M$1597*$Z$1597</f>
        <v>941513.80207499443</v>
      </c>
      <c r="AG1597" s="6">
        <f>$O$1597*$AA$1597</f>
        <v>1923664.2708074206</v>
      </c>
    </row>
    <row r="1598" spans="1:33" ht="11.25" customHeight="1" x14ac:dyDescent="0.25">
      <c r="A1598" s="4" t="s">
        <v>28</v>
      </c>
      <c r="B1598" s="4" t="s">
        <v>44</v>
      </c>
      <c r="C1598" s="4" t="s">
        <v>34</v>
      </c>
      <c r="D1598" s="4" t="s">
        <v>48</v>
      </c>
      <c r="E1598" s="4" t="s">
        <v>25</v>
      </c>
      <c r="F1598" s="4" t="s">
        <v>25</v>
      </c>
      <c r="G1598" s="4" t="s">
        <v>25</v>
      </c>
      <c r="H1598" s="4" t="s">
        <v>36</v>
      </c>
      <c r="I1598" s="5">
        <v>43983</v>
      </c>
      <c r="J1598" s="6">
        <v>0</v>
      </c>
      <c r="K1598" s="6">
        <v>0</v>
      </c>
      <c r="L1598" s="6">
        <v>769.31</v>
      </c>
      <c r="M1598" s="6">
        <v>769.31</v>
      </c>
      <c r="N1598" s="6">
        <v>769.31</v>
      </c>
      <c r="O1598" s="6">
        <v>769.31</v>
      </c>
      <c r="P1598" s="6">
        <v>0</v>
      </c>
      <c r="Q1598" s="4" t="s">
        <v>26</v>
      </c>
      <c r="R1598" s="4">
        <v>0</v>
      </c>
      <c r="S1598" s="6">
        <v>0</v>
      </c>
      <c r="T1598" s="6">
        <v>37</v>
      </c>
      <c r="U1598" s="6">
        <v>84</v>
      </c>
      <c r="V1598" s="6">
        <f>IF(ISERROR(VLOOKUP($S$1598,'TAR FIN'!$A$1:$O$120,15,0)),0,VLOOKUP($S$1598,'TAR FIN'!$A$1:$O$120,15,0))</f>
        <v>0</v>
      </c>
      <c r="W1598" s="6">
        <f>IF(ISERROR(VLOOKUP($T$1598,'TAR FIN'!$A$1:$O$120,15,0)),0,VLOOKUP($T$1598,'TAR FIN'!$A$1:$O$120,15,0))</f>
        <v>109.75</v>
      </c>
      <c r="X1598" s="6">
        <f>IF(ISERROR(VLOOKUP($U$1598,'TAR FIN'!$A$1:$O$120,15,0)),0,VLOOKUP($U$1598,'TAR FIN'!$A$1:$O$120,15,0))</f>
        <v>256.38</v>
      </c>
      <c r="Y1598" s="6"/>
      <c r="Z1598" s="6">
        <f ca="1">('TUSD BE'!$AM$45+'TUSD BF'!$AM$45+'TUSD CVA'!$AM$45)*1</f>
        <v>112.97896283052546</v>
      </c>
      <c r="AA1598" s="6">
        <f>('TE BE'!$AA$14+'TE BF'!$AA$14+'TE CVA'!$AA$14)*1</f>
        <v>230.83420940933817</v>
      </c>
      <c r="AB1598" s="6">
        <f>$K$1598*$V$1598</f>
        <v>0</v>
      </c>
      <c r="AC1598" s="6">
        <f>$M$1598*$W$1598</f>
        <v>84431.772499999992</v>
      </c>
      <c r="AD1598" s="6">
        <f>$O$1598*$X$1598</f>
        <v>197235.69779999999</v>
      </c>
      <c r="AE1598" s="6">
        <f>$K$1598*$Y$1598</f>
        <v>0</v>
      </c>
      <c r="AF1598" s="6">
        <f ca="1">$M$1598*$Z$1598</f>
        <v>86915.845895151535</v>
      </c>
      <c r="AG1598" s="6">
        <f>$O$1598*$AA$1598</f>
        <v>177583.06564069793</v>
      </c>
    </row>
    <row r="1599" spans="1:33" ht="11.25" customHeight="1" x14ac:dyDescent="0.25">
      <c r="A1599" s="4" t="s">
        <v>21</v>
      </c>
      <c r="B1599" s="4" t="s">
        <v>44</v>
      </c>
      <c r="C1599" s="4" t="s">
        <v>34</v>
      </c>
      <c r="D1599" s="4" t="s">
        <v>48</v>
      </c>
      <c r="E1599" s="4" t="s">
        <v>25</v>
      </c>
      <c r="F1599" s="4" t="s">
        <v>25</v>
      </c>
      <c r="G1599" s="4" t="s">
        <v>25</v>
      </c>
      <c r="H1599" s="4" t="s">
        <v>36</v>
      </c>
      <c r="I1599" s="5">
        <v>44013</v>
      </c>
      <c r="J1599" s="6">
        <v>0</v>
      </c>
      <c r="K1599" s="6">
        <v>0</v>
      </c>
      <c r="L1599" s="6">
        <v>7726.7879999999996</v>
      </c>
      <c r="M1599" s="6">
        <v>7726.7879999999996</v>
      </c>
      <c r="N1599" s="6">
        <v>7726.7879999999996</v>
      </c>
      <c r="O1599" s="6">
        <v>7726.7879999999996</v>
      </c>
      <c r="P1599" s="6">
        <v>0</v>
      </c>
      <c r="Q1599" s="4" t="s">
        <v>26</v>
      </c>
      <c r="R1599" s="4">
        <v>0</v>
      </c>
      <c r="S1599" s="6">
        <v>0</v>
      </c>
      <c r="T1599" s="6">
        <v>37</v>
      </c>
      <c r="U1599" s="6">
        <v>84</v>
      </c>
      <c r="V1599" s="6">
        <f>IF(ISERROR(VLOOKUP($S$1599,'TAR FIN'!$A$1:$O$120,15,0)),0,VLOOKUP($S$1599,'TAR FIN'!$A$1:$O$120,15,0))</f>
        <v>0</v>
      </c>
      <c r="W1599" s="6">
        <f>IF(ISERROR(VLOOKUP($T$1599,'TAR FIN'!$A$1:$O$120,15,0)),0,VLOOKUP($T$1599,'TAR FIN'!$A$1:$O$120,15,0))</f>
        <v>109.75</v>
      </c>
      <c r="X1599" s="6">
        <f>IF(ISERROR(VLOOKUP($U$1599,'TAR FIN'!$A$1:$O$120,15,0)),0,VLOOKUP($U$1599,'TAR FIN'!$A$1:$O$120,15,0))</f>
        <v>256.38</v>
      </c>
      <c r="Y1599" s="6"/>
      <c r="Z1599" s="6">
        <f ca="1">('TUSD BE'!$AM$45+'TUSD BF'!$AM$45+'TUSD CVA'!$AM$45)*1</f>
        <v>112.97896283052546</v>
      </c>
      <c r="AA1599" s="6">
        <f>('TE BE'!$AA$14+'TE BF'!$AA$14+'TE CVA'!$AA$14)*1</f>
        <v>230.83420940933817</v>
      </c>
      <c r="AB1599" s="6">
        <f>$K$1599*$V$1599</f>
        <v>0</v>
      </c>
      <c r="AC1599" s="6">
        <f>$M$1599*$W$1599</f>
        <v>848014.98300000001</v>
      </c>
      <c r="AD1599" s="6">
        <f>$O$1599*$X$1599</f>
        <v>1980993.9074399997</v>
      </c>
      <c r="AE1599" s="6">
        <f>$K$1599*$Y$1599</f>
        <v>0</v>
      </c>
      <c r="AF1599" s="6">
        <f ca="1">$M$1599*$Z$1599</f>
        <v>872964.49425135006</v>
      </c>
      <c r="AG1599" s="6">
        <f>$O$1599*$AA$1599</f>
        <v>1783606.9992535613</v>
      </c>
    </row>
    <row r="1600" spans="1:33" ht="11.25" customHeight="1" x14ac:dyDescent="0.25">
      <c r="A1600" s="4" t="s">
        <v>28</v>
      </c>
      <c r="B1600" s="4" t="s">
        <v>44</v>
      </c>
      <c r="C1600" s="4" t="s">
        <v>34</v>
      </c>
      <c r="D1600" s="4" t="s">
        <v>48</v>
      </c>
      <c r="E1600" s="4" t="s">
        <v>25</v>
      </c>
      <c r="F1600" s="4" t="s">
        <v>25</v>
      </c>
      <c r="G1600" s="4" t="s">
        <v>25</v>
      </c>
      <c r="H1600" s="4" t="s">
        <v>36</v>
      </c>
      <c r="I1600" s="5">
        <v>44013</v>
      </c>
      <c r="J1600" s="6">
        <v>0</v>
      </c>
      <c r="K1600" s="6">
        <v>0</v>
      </c>
      <c r="L1600" s="6">
        <v>723.62300000000005</v>
      </c>
      <c r="M1600" s="6">
        <v>723.62300000000005</v>
      </c>
      <c r="N1600" s="6">
        <v>723.62300000000005</v>
      </c>
      <c r="O1600" s="6">
        <v>723.62300000000005</v>
      </c>
      <c r="P1600" s="6">
        <v>0</v>
      </c>
      <c r="Q1600" s="4" t="s">
        <v>26</v>
      </c>
      <c r="R1600" s="4">
        <v>0</v>
      </c>
      <c r="S1600" s="6">
        <v>0</v>
      </c>
      <c r="T1600" s="6">
        <v>37</v>
      </c>
      <c r="U1600" s="6">
        <v>84</v>
      </c>
      <c r="V1600" s="6">
        <f>IF(ISERROR(VLOOKUP($S$1600,'TAR FIN'!$A$1:$O$120,15,0)),0,VLOOKUP($S$1600,'TAR FIN'!$A$1:$O$120,15,0))</f>
        <v>0</v>
      </c>
      <c r="W1600" s="6">
        <f>IF(ISERROR(VLOOKUP($T$1600,'TAR FIN'!$A$1:$O$120,15,0)),0,VLOOKUP($T$1600,'TAR FIN'!$A$1:$O$120,15,0))</f>
        <v>109.75</v>
      </c>
      <c r="X1600" s="6">
        <f>IF(ISERROR(VLOOKUP($U$1600,'TAR FIN'!$A$1:$O$120,15,0)),0,VLOOKUP($U$1600,'TAR FIN'!$A$1:$O$120,15,0))</f>
        <v>256.38</v>
      </c>
      <c r="Y1600" s="6"/>
      <c r="Z1600" s="6">
        <f ca="1">('TUSD BE'!$AM$45+'TUSD BF'!$AM$45+'TUSD CVA'!$AM$45)*1</f>
        <v>112.97896283052546</v>
      </c>
      <c r="AA1600" s="6">
        <f>('TE BE'!$AA$14+'TE BF'!$AA$14+'TE CVA'!$AA$14)*1</f>
        <v>230.83420940933817</v>
      </c>
      <c r="AB1600" s="6">
        <f>$K$1600*$V$1600</f>
        <v>0</v>
      </c>
      <c r="AC1600" s="6">
        <f>$M$1600*$W$1600</f>
        <v>79417.624250000008</v>
      </c>
      <c r="AD1600" s="6">
        <f>$O$1600*$X$1600</f>
        <v>185522.46474</v>
      </c>
      <c r="AE1600" s="6">
        <f>$K$1600*$Y$1600</f>
        <v>0</v>
      </c>
      <c r="AF1600" s="6">
        <f ca="1">$M$1600*$Z$1600</f>
        <v>81754.176020313331</v>
      </c>
      <c r="AG1600" s="6">
        <f>$O$1600*$AA$1600</f>
        <v>167036.94311541354</v>
      </c>
    </row>
    <row r="1601" spans="1:33" ht="11.25" customHeight="1" x14ac:dyDescent="0.25">
      <c r="A1601" s="4" t="s">
        <v>21</v>
      </c>
      <c r="B1601" s="4" t="s">
        <v>44</v>
      </c>
      <c r="C1601" s="4" t="s">
        <v>34</v>
      </c>
      <c r="D1601" s="4" t="s">
        <v>48</v>
      </c>
      <c r="E1601" s="4" t="s">
        <v>25</v>
      </c>
      <c r="F1601" s="4" t="s">
        <v>25</v>
      </c>
      <c r="G1601" s="4" t="s">
        <v>25</v>
      </c>
      <c r="H1601" s="4" t="s">
        <v>36</v>
      </c>
      <c r="I1601" s="5">
        <v>44044</v>
      </c>
      <c r="J1601" s="6">
        <v>0</v>
      </c>
      <c r="K1601" s="6">
        <v>0</v>
      </c>
      <c r="L1601" s="6">
        <v>7336.2430000000004</v>
      </c>
      <c r="M1601" s="6">
        <v>7336.2430000000004</v>
      </c>
      <c r="N1601" s="6">
        <v>7336.2430000000004</v>
      </c>
      <c r="O1601" s="6">
        <v>7336.2430000000004</v>
      </c>
      <c r="P1601" s="6">
        <v>0</v>
      </c>
      <c r="Q1601" s="4" t="s">
        <v>26</v>
      </c>
      <c r="R1601" s="4">
        <v>0</v>
      </c>
      <c r="S1601" s="6">
        <v>0</v>
      </c>
      <c r="T1601" s="6">
        <v>37</v>
      </c>
      <c r="U1601" s="6">
        <v>84</v>
      </c>
      <c r="V1601" s="6">
        <f>IF(ISERROR(VLOOKUP($S$1601,'TAR FIN'!$A$1:$O$120,15,0)),0,VLOOKUP($S$1601,'TAR FIN'!$A$1:$O$120,15,0))</f>
        <v>0</v>
      </c>
      <c r="W1601" s="6">
        <f>IF(ISERROR(VLOOKUP($T$1601,'TAR FIN'!$A$1:$O$120,15,0)),0,VLOOKUP($T$1601,'TAR FIN'!$A$1:$O$120,15,0))</f>
        <v>109.75</v>
      </c>
      <c r="X1601" s="6">
        <f>IF(ISERROR(VLOOKUP($U$1601,'TAR FIN'!$A$1:$O$120,15,0)),0,VLOOKUP($U$1601,'TAR FIN'!$A$1:$O$120,15,0))</f>
        <v>256.38</v>
      </c>
      <c r="Y1601" s="6"/>
      <c r="Z1601" s="6">
        <f ca="1">('TUSD BE'!$AM$45+'TUSD BF'!$AM$45+'TUSD CVA'!$AM$45)*1</f>
        <v>112.97896283052546</v>
      </c>
      <c r="AA1601" s="6">
        <f>('TE BE'!$AA$14+'TE BF'!$AA$14+'TE CVA'!$AA$14)*1</f>
        <v>230.83420940933817</v>
      </c>
      <c r="AB1601" s="6">
        <f>$K$1601*$V$1601</f>
        <v>0</v>
      </c>
      <c r="AC1601" s="6">
        <f>$M$1601*$W$1601</f>
        <v>805152.66925000004</v>
      </c>
      <c r="AD1601" s="6">
        <f>$O$1601*$X$1601</f>
        <v>1880865.98034</v>
      </c>
      <c r="AE1601" s="6">
        <f>$K$1601*$Y$1601</f>
        <v>0</v>
      </c>
      <c r="AF1601" s="6">
        <f ca="1">$M$1601*$Z$1601</f>
        <v>828841.12521270267</v>
      </c>
      <c r="AG1601" s="6">
        <f>$O$1601*$AA$1601</f>
        <v>1693455.8529397913</v>
      </c>
    </row>
    <row r="1602" spans="1:33" ht="11.25" customHeight="1" x14ac:dyDescent="0.25">
      <c r="A1602" s="4" t="s">
        <v>27</v>
      </c>
      <c r="B1602" s="4" t="s">
        <v>44</v>
      </c>
      <c r="C1602" s="4" t="s">
        <v>34</v>
      </c>
      <c r="D1602" s="4" t="s">
        <v>48</v>
      </c>
      <c r="E1602" s="4" t="s">
        <v>25</v>
      </c>
      <c r="F1602" s="4" t="s">
        <v>25</v>
      </c>
      <c r="G1602" s="4" t="s">
        <v>25</v>
      </c>
      <c r="H1602" s="4" t="s">
        <v>36</v>
      </c>
      <c r="I1602" s="5">
        <v>44044</v>
      </c>
      <c r="J1602" s="6">
        <v>0</v>
      </c>
      <c r="K1602" s="6">
        <v>0</v>
      </c>
      <c r="L1602" s="6">
        <v>246.01599999999999</v>
      </c>
      <c r="M1602" s="6">
        <v>246.01599999999999</v>
      </c>
      <c r="N1602" s="6">
        <v>246.01599999999999</v>
      </c>
      <c r="O1602" s="6">
        <v>246.01599999999999</v>
      </c>
      <c r="P1602" s="6">
        <v>0</v>
      </c>
      <c r="Q1602" s="4" t="s">
        <v>26</v>
      </c>
      <c r="R1602" s="4">
        <v>0</v>
      </c>
      <c r="S1602" s="6">
        <v>0</v>
      </c>
      <c r="T1602" s="6">
        <v>37</v>
      </c>
      <c r="U1602" s="6">
        <v>84</v>
      </c>
      <c r="V1602" s="6">
        <f>IF(ISERROR(VLOOKUP($S$1602,'TAR FIN'!$A$1:$O$120,15,0)),0,VLOOKUP($S$1602,'TAR FIN'!$A$1:$O$120,15,0))</f>
        <v>0</v>
      </c>
      <c r="W1602" s="6">
        <f>IF(ISERROR(VLOOKUP($T$1602,'TAR FIN'!$A$1:$O$120,15,0)),0,VLOOKUP($T$1602,'TAR FIN'!$A$1:$O$120,15,0))</f>
        <v>109.75</v>
      </c>
      <c r="X1602" s="6">
        <f>IF(ISERROR(VLOOKUP($U$1602,'TAR FIN'!$A$1:$O$120,15,0)),0,VLOOKUP($U$1602,'TAR FIN'!$A$1:$O$120,15,0))</f>
        <v>256.38</v>
      </c>
      <c r="Y1602" s="6"/>
      <c r="Z1602" s="6">
        <f ca="1">('TUSD BE'!$AM$45+'TUSD BF'!$AM$45+'TUSD CVA'!$AM$45)*1</f>
        <v>112.97896283052546</v>
      </c>
      <c r="AA1602" s="6">
        <f>('TE BE'!$AA$14+'TE BF'!$AA$14+'TE CVA'!$AA$14)*1</f>
        <v>230.83420940933817</v>
      </c>
      <c r="AB1602" s="6">
        <f>$K$1602*$V$1602</f>
        <v>0</v>
      </c>
      <c r="AC1602" s="6">
        <f>$M$1602*$W$1602</f>
        <v>27000.255999999998</v>
      </c>
      <c r="AD1602" s="6">
        <f>$O$1602*$X$1602</f>
        <v>63073.58208</v>
      </c>
      <c r="AE1602" s="6">
        <f>$K$1602*$Y$1602</f>
        <v>0</v>
      </c>
      <c r="AF1602" s="6">
        <f ca="1">$M$1602*$Z$1602</f>
        <v>27794.632519714552</v>
      </c>
      <c r="AG1602" s="6">
        <f>$O$1602*$AA$1602</f>
        <v>56788.908862047734</v>
      </c>
    </row>
    <row r="1603" spans="1:33" ht="11.25" customHeight="1" x14ac:dyDescent="0.25">
      <c r="A1603" s="4" t="s">
        <v>28</v>
      </c>
      <c r="B1603" s="4" t="s">
        <v>44</v>
      </c>
      <c r="C1603" s="4" t="s">
        <v>34</v>
      </c>
      <c r="D1603" s="4" t="s">
        <v>48</v>
      </c>
      <c r="E1603" s="4" t="s">
        <v>25</v>
      </c>
      <c r="F1603" s="4" t="s">
        <v>25</v>
      </c>
      <c r="G1603" s="4" t="s">
        <v>25</v>
      </c>
      <c r="H1603" s="4" t="s">
        <v>36</v>
      </c>
      <c r="I1603" s="5">
        <v>44044</v>
      </c>
      <c r="J1603" s="6">
        <v>0</v>
      </c>
      <c r="K1603" s="6">
        <v>0</v>
      </c>
      <c r="L1603" s="6">
        <v>757.66300000000001</v>
      </c>
      <c r="M1603" s="6">
        <v>757.66300000000001</v>
      </c>
      <c r="N1603" s="6">
        <v>757.66300000000001</v>
      </c>
      <c r="O1603" s="6">
        <v>757.66300000000001</v>
      </c>
      <c r="P1603" s="6">
        <v>0</v>
      </c>
      <c r="Q1603" s="4" t="s">
        <v>26</v>
      </c>
      <c r="R1603" s="4">
        <v>0</v>
      </c>
      <c r="S1603" s="6">
        <v>0</v>
      </c>
      <c r="T1603" s="6">
        <v>37</v>
      </c>
      <c r="U1603" s="6">
        <v>84</v>
      </c>
      <c r="V1603" s="6">
        <f>IF(ISERROR(VLOOKUP($S$1603,'TAR FIN'!$A$1:$O$120,15,0)),0,VLOOKUP($S$1603,'TAR FIN'!$A$1:$O$120,15,0))</f>
        <v>0</v>
      </c>
      <c r="W1603" s="6">
        <f>IF(ISERROR(VLOOKUP($T$1603,'TAR FIN'!$A$1:$O$120,15,0)),0,VLOOKUP($T$1603,'TAR FIN'!$A$1:$O$120,15,0))</f>
        <v>109.75</v>
      </c>
      <c r="X1603" s="6">
        <f>IF(ISERROR(VLOOKUP($U$1603,'TAR FIN'!$A$1:$O$120,15,0)),0,VLOOKUP($U$1603,'TAR FIN'!$A$1:$O$120,15,0))</f>
        <v>256.38</v>
      </c>
      <c r="Y1603" s="6"/>
      <c r="Z1603" s="6">
        <f ca="1">('TUSD BE'!$AM$45+'TUSD BF'!$AM$45+'TUSD CVA'!$AM$45)*1</f>
        <v>112.97896283052546</v>
      </c>
      <c r="AA1603" s="6">
        <f>('TE BE'!$AA$14+'TE BF'!$AA$14+'TE CVA'!$AA$14)*1</f>
        <v>230.83420940933817</v>
      </c>
      <c r="AB1603" s="6">
        <f>$K$1603*$V$1603</f>
        <v>0</v>
      </c>
      <c r="AC1603" s="6">
        <f>$M$1603*$W$1603</f>
        <v>83153.514250000007</v>
      </c>
      <c r="AD1603" s="6">
        <f>$O$1603*$X$1603</f>
        <v>194249.63993999999</v>
      </c>
      <c r="AE1603" s="6">
        <f>$K$1603*$Y$1603</f>
        <v>0</v>
      </c>
      <c r="AF1603" s="6">
        <f ca="1">$M$1603*$Z$1603</f>
        <v>85599.97991506441</v>
      </c>
      <c r="AG1603" s="6">
        <f>$O$1603*$AA$1603</f>
        <v>174894.53960370738</v>
      </c>
    </row>
    <row r="1604" spans="1:33" ht="11.25" customHeight="1" x14ac:dyDescent="0.25">
      <c r="A1604" s="4" t="s">
        <v>59</v>
      </c>
      <c r="B1604" s="4" t="s">
        <v>44</v>
      </c>
      <c r="C1604" s="4" t="s">
        <v>34</v>
      </c>
      <c r="D1604" s="4" t="s">
        <v>48</v>
      </c>
      <c r="E1604" s="4" t="s">
        <v>25</v>
      </c>
      <c r="F1604" s="4" t="s">
        <v>25</v>
      </c>
      <c r="G1604" s="4" t="s">
        <v>25</v>
      </c>
      <c r="H1604" s="4" t="s">
        <v>36</v>
      </c>
      <c r="I1604" s="5">
        <v>44075</v>
      </c>
      <c r="J1604" s="6">
        <v>0</v>
      </c>
      <c r="K1604" s="6">
        <v>0</v>
      </c>
      <c r="L1604" s="6">
        <v>7336.2430000000004</v>
      </c>
      <c r="M1604" s="6">
        <v>7336.2430000000004</v>
      </c>
      <c r="N1604" s="6">
        <v>7336.2430000000004</v>
      </c>
      <c r="O1604" s="6">
        <v>7336.2430000000004</v>
      </c>
      <c r="P1604" s="6">
        <v>0</v>
      </c>
      <c r="Q1604" s="4" t="s">
        <v>26</v>
      </c>
      <c r="R1604" s="4">
        <v>0</v>
      </c>
      <c r="S1604" s="6">
        <v>0</v>
      </c>
      <c r="T1604" s="6">
        <v>37</v>
      </c>
      <c r="U1604" s="6">
        <v>84</v>
      </c>
      <c r="V1604" s="6">
        <f>IF(ISERROR(VLOOKUP($S$1604,'TAR FIN'!$A$1:$O$120,15,0)),0,VLOOKUP($S$1604,'TAR FIN'!$A$1:$O$120,15,0))</f>
        <v>0</v>
      </c>
      <c r="W1604" s="6">
        <f>IF(ISERROR(VLOOKUP($T$1604,'TAR FIN'!$A$1:$O$120,15,0)),0,VLOOKUP($T$1604,'TAR FIN'!$A$1:$O$120,15,0))</f>
        <v>109.75</v>
      </c>
      <c r="X1604" s="6">
        <f>IF(ISERROR(VLOOKUP($U$1604,'TAR FIN'!$A$1:$O$120,15,0)),0,VLOOKUP($U$1604,'TAR FIN'!$A$1:$O$120,15,0))</f>
        <v>256.38</v>
      </c>
      <c r="Y1604" s="6"/>
      <c r="Z1604" s="6">
        <f ca="1">('TUSD BE'!$AM$45+'TUSD BF'!$AM$45+'TUSD CVA'!$AM$45)*1</f>
        <v>112.97896283052546</v>
      </c>
      <c r="AA1604" s="6">
        <f>('TE BE'!$AA$14+'TE BF'!$AA$14+'TE CVA'!$AA$14)*1</f>
        <v>230.83420940933817</v>
      </c>
      <c r="AB1604" s="6">
        <f>$K$1604*$V$1604</f>
        <v>0</v>
      </c>
      <c r="AC1604" s="6">
        <f>$M$1604*$W$1604</f>
        <v>805152.66925000004</v>
      </c>
      <c r="AD1604" s="6">
        <f>$O$1604*$X$1604</f>
        <v>1880865.98034</v>
      </c>
      <c r="AE1604" s="6">
        <f>$K$1604*$Y$1604</f>
        <v>0</v>
      </c>
      <c r="AF1604" s="6">
        <f ca="1">$M$1604*$Z$1604</f>
        <v>828841.12521270267</v>
      </c>
      <c r="AG1604" s="6">
        <f>$O$1604*$AA$1604</f>
        <v>1693455.8529397913</v>
      </c>
    </row>
    <row r="1605" spans="1:33" ht="11.25" customHeight="1" x14ac:dyDescent="0.25">
      <c r="A1605" s="4" t="s">
        <v>59</v>
      </c>
      <c r="B1605" s="4" t="s">
        <v>44</v>
      </c>
      <c r="C1605" s="4" t="s">
        <v>34</v>
      </c>
      <c r="D1605" s="4" t="s">
        <v>48</v>
      </c>
      <c r="E1605" s="4" t="s">
        <v>25</v>
      </c>
      <c r="F1605" s="4" t="s">
        <v>25</v>
      </c>
      <c r="G1605" s="4" t="s">
        <v>25</v>
      </c>
      <c r="H1605" s="4" t="s">
        <v>36</v>
      </c>
      <c r="I1605" s="5">
        <v>44075</v>
      </c>
      <c r="J1605" s="6">
        <v>0</v>
      </c>
      <c r="K1605" s="6">
        <v>0</v>
      </c>
      <c r="L1605" s="6">
        <v>246.01599999999999</v>
      </c>
      <c r="M1605" s="6">
        <v>246.01599999999999</v>
      </c>
      <c r="N1605" s="6">
        <v>246.01599999999999</v>
      </c>
      <c r="O1605" s="6">
        <v>246.01599999999999</v>
      </c>
      <c r="P1605" s="6">
        <v>0</v>
      </c>
      <c r="Q1605" s="4" t="s">
        <v>26</v>
      </c>
      <c r="R1605" s="4">
        <v>0</v>
      </c>
      <c r="S1605" s="6">
        <v>0</v>
      </c>
      <c r="T1605" s="6">
        <v>37</v>
      </c>
      <c r="U1605" s="6">
        <v>84</v>
      </c>
      <c r="V1605" s="6">
        <f>IF(ISERROR(VLOOKUP($S$1605,'TAR FIN'!$A$1:$O$120,15,0)),0,VLOOKUP($S$1605,'TAR FIN'!$A$1:$O$120,15,0))</f>
        <v>0</v>
      </c>
      <c r="W1605" s="6">
        <f>IF(ISERROR(VLOOKUP($T$1605,'TAR FIN'!$A$1:$O$120,15,0)),0,VLOOKUP($T$1605,'TAR FIN'!$A$1:$O$120,15,0))</f>
        <v>109.75</v>
      </c>
      <c r="X1605" s="6">
        <f>IF(ISERROR(VLOOKUP($U$1605,'TAR FIN'!$A$1:$O$120,15,0)),0,VLOOKUP($U$1605,'TAR FIN'!$A$1:$O$120,15,0))</f>
        <v>256.38</v>
      </c>
      <c r="Y1605" s="6"/>
      <c r="Z1605" s="6">
        <f ca="1">('TUSD BE'!$AM$45+'TUSD BF'!$AM$45+'TUSD CVA'!$AM$45)*1</f>
        <v>112.97896283052546</v>
      </c>
      <c r="AA1605" s="6">
        <f>('TE BE'!$AA$14+'TE BF'!$AA$14+'TE CVA'!$AA$14)*1</f>
        <v>230.83420940933817</v>
      </c>
      <c r="AB1605" s="6">
        <f>$K$1605*$V$1605</f>
        <v>0</v>
      </c>
      <c r="AC1605" s="6">
        <f>$M$1605*$W$1605</f>
        <v>27000.255999999998</v>
      </c>
      <c r="AD1605" s="6">
        <f>$O$1605*$X$1605</f>
        <v>63073.58208</v>
      </c>
      <c r="AE1605" s="6">
        <f>$K$1605*$Y$1605</f>
        <v>0</v>
      </c>
      <c r="AF1605" s="6">
        <f ca="1">$M$1605*$Z$1605</f>
        <v>27794.632519714552</v>
      </c>
      <c r="AG1605" s="6">
        <f>$O$1605*$AA$1605</f>
        <v>56788.908862047734</v>
      </c>
    </row>
    <row r="1606" spans="1:33" ht="11.25" customHeight="1" x14ac:dyDescent="0.25">
      <c r="A1606" s="4" t="s">
        <v>59</v>
      </c>
      <c r="B1606" s="4" t="s">
        <v>44</v>
      </c>
      <c r="C1606" s="4" t="s">
        <v>34</v>
      </c>
      <c r="D1606" s="4" t="s">
        <v>48</v>
      </c>
      <c r="E1606" s="4" t="s">
        <v>25</v>
      </c>
      <c r="F1606" s="4" t="s">
        <v>25</v>
      </c>
      <c r="G1606" s="4" t="s">
        <v>25</v>
      </c>
      <c r="H1606" s="4" t="s">
        <v>36</v>
      </c>
      <c r="I1606" s="5">
        <v>44075</v>
      </c>
      <c r="J1606" s="6">
        <v>0</v>
      </c>
      <c r="K1606" s="6">
        <v>0</v>
      </c>
      <c r="L1606" s="6">
        <v>757.66300000000001</v>
      </c>
      <c r="M1606" s="6">
        <v>757.66300000000001</v>
      </c>
      <c r="N1606" s="6">
        <v>757.66300000000001</v>
      </c>
      <c r="O1606" s="6">
        <v>757.66300000000001</v>
      </c>
      <c r="P1606" s="6">
        <v>0</v>
      </c>
      <c r="Q1606" s="4" t="s">
        <v>26</v>
      </c>
      <c r="R1606" s="4">
        <v>0</v>
      </c>
      <c r="S1606" s="6">
        <v>0</v>
      </c>
      <c r="T1606" s="6">
        <v>37</v>
      </c>
      <c r="U1606" s="6">
        <v>84</v>
      </c>
      <c r="V1606" s="6">
        <f>IF(ISERROR(VLOOKUP($S$1606,'TAR FIN'!$A$1:$O$120,15,0)),0,VLOOKUP($S$1606,'TAR FIN'!$A$1:$O$120,15,0))</f>
        <v>0</v>
      </c>
      <c r="W1606" s="6">
        <f>IF(ISERROR(VLOOKUP($T$1606,'TAR FIN'!$A$1:$O$120,15,0)),0,VLOOKUP($T$1606,'TAR FIN'!$A$1:$O$120,15,0))</f>
        <v>109.75</v>
      </c>
      <c r="X1606" s="6">
        <f>IF(ISERROR(VLOOKUP($U$1606,'TAR FIN'!$A$1:$O$120,15,0)),0,VLOOKUP($U$1606,'TAR FIN'!$A$1:$O$120,15,0))</f>
        <v>256.38</v>
      </c>
      <c r="Y1606" s="6"/>
      <c r="Z1606" s="6">
        <f ca="1">('TUSD BE'!$AM$45+'TUSD BF'!$AM$45+'TUSD CVA'!$AM$45)*1</f>
        <v>112.97896283052546</v>
      </c>
      <c r="AA1606" s="6">
        <f>('TE BE'!$AA$14+'TE BF'!$AA$14+'TE CVA'!$AA$14)*1</f>
        <v>230.83420940933817</v>
      </c>
      <c r="AB1606" s="6">
        <f>$K$1606*$V$1606</f>
        <v>0</v>
      </c>
      <c r="AC1606" s="6">
        <f>$M$1606*$W$1606</f>
        <v>83153.514250000007</v>
      </c>
      <c r="AD1606" s="6">
        <f>$O$1606*$X$1606</f>
        <v>194249.63993999999</v>
      </c>
      <c r="AE1606" s="6">
        <f>$K$1606*$Y$1606</f>
        <v>0</v>
      </c>
      <c r="AF1606" s="6">
        <f ca="1">$M$1606*$Z$1606</f>
        <v>85599.97991506441</v>
      </c>
      <c r="AG1606" s="6">
        <f>$O$1606*$AA$1606</f>
        <v>174894.53960370738</v>
      </c>
    </row>
    <row r="1607" spans="1:33" ht="11.25" customHeight="1" x14ac:dyDescent="0.25">
      <c r="A1607" s="4" t="s">
        <v>21</v>
      </c>
      <c r="B1607" s="4" t="s">
        <v>44</v>
      </c>
      <c r="C1607" s="4" t="s">
        <v>34</v>
      </c>
      <c r="D1607" s="4" t="s">
        <v>48</v>
      </c>
      <c r="E1607" s="4" t="s">
        <v>25</v>
      </c>
      <c r="F1607" s="4" t="s">
        <v>25</v>
      </c>
      <c r="G1607" s="4" t="s">
        <v>25</v>
      </c>
      <c r="H1607" s="4" t="s">
        <v>25</v>
      </c>
      <c r="I1607" s="5">
        <v>43739</v>
      </c>
      <c r="J1607" s="6">
        <v>64253</v>
      </c>
      <c r="K1607" s="6">
        <v>64253</v>
      </c>
      <c r="L1607" s="6">
        <v>0</v>
      </c>
      <c r="M1607" s="6">
        <v>0</v>
      </c>
      <c r="N1607" s="6">
        <v>0</v>
      </c>
      <c r="O1607" s="6">
        <v>0</v>
      </c>
      <c r="P1607" s="6">
        <v>86</v>
      </c>
      <c r="Q1607" s="4" t="s">
        <v>26</v>
      </c>
      <c r="R1607" s="4">
        <v>0</v>
      </c>
      <c r="S1607" s="6">
        <v>35</v>
      </c>
      <c r="T1607" s="6">
        <v>0</v>
      </c>
      <c r="U1607" s="6">
        <v>0</v>
      </c>
      <c r="V1607" s="6">
        <f>IF(ISERROR(VLOOKUP($S$1607,'TAR FIN'!$A$1:$O$120,15,0)),0,VLOOKUP($S$1607,'TAR FIN'!$A$1:$O$120,15,0))</f>
        <v>12.24</v>
      </c>
      <c r="W1607" s="6">
        <f>IF(ISERROR(VLOOKUP($T$1607,'TAR FIN'!$A$1:$O$120,15,0)),0,VLOOKUP($T$1607,'TAR FIN'!$A$1:$O$120,15,0))</f>
        <v>0</v>
      </c>
      <c r="X1607" s="6">
        <f>IF(ISERROR(VLOOKUP($U$1607,'TAR FIN'!$A$1:$O$120,15,0)),0,VLOOKUP($U$1607,'TAR FIN'!$A$1:$O$120,15,0))</f>
        <v>0</v>
      </c>
      <c r="Y1607" s="6">
        <f ca="1">('TUSD BE'!$AM$43+'TUSD BF'!$AM$43+'TUSD CVA'!$AM$43)*1</f>
        <v>16.00053546174815</v>
      </c>
      <c r="Z1607" s="6"/>
      <c r="AA1607" s="6"/>
      <c r="AB1607" s="6">
        <f>$K$1607*$V$1607</f>
        <v>786456.72</v>
      </c>
      <c r="AC1607" s="6">
        <f>$M$1607*$W$1607</f>
        <v>0</v>
      </c>
      <c r="AD1607" s="6">
        <f>$O$1607*$X$1607</f>
        <v>0</v>
      </c>
      <c r="AE1607" s="6">
        <f ca="1">$K$1607*$Y$1607</f>
        <v>1028082.4050237039</v>
      </c>
      <c r="AF1607" s="6">
        <f>$M$1607*$Z$1607</f>
        <v>0</v>
      </c>
      <c r="AG1607" s="6">
        <f>$O$1607*$AA$1607</f>
        <v>0</v>
      </c>
    </row>
    <row r="1608" spans="1:33" ht="11.25" customHeight="1" x14ac:dyDescent="0.25">
      <c r="A1608" s="4" t="s">
        <v>28</v>
      </c>
      <c r="B1608" s="4" t="s">
        <v>44</v>
      </c>
      <c r="C1608" s="4" t="s">
        <v>34</v>
      </c>
      <c r="D1608" s="4" t="s">
        <v>48</v>
      </c>
      <c r="E1608" s="4" t="s">
        <v>25</v>
      </c>
      <c r="F1608" s="4" t="s">
        <v>25</v>
      </c>
      <c r="G1608" s="4" t="s">
        <v>25</v>
      </c>
      <c r="H1608" s="4" t="s">
        <v>25</v>
      </c>
      <c r="I1608" s="5">
        <v>43739</v>
      </c>
      <c r="J1608" s="6">
        <v>4700</v>
      </c>
      <c r="K1608" s="6">
        <v>4700</v>
      </c>
      <c r="L1608" s="6">
        <v>0</v>
      </c>
      <c r="M1608" s="6">
        <v>0</v>
      </c>
      <c r="N1608" s="6">
        <v>0</v>
      </c>
      <c r="O1608" s="6">
        <v>0</v>
      </c>
      <c r="P1608" s="6">
        <v>4</v>
      </c>
      <c r="Q1608" s="4" t="s">
        <v>26</v>
      </c>
      <c r="R1608" s="4">
        <v>0</v>
      </c>
      <c r="S1608" s="6">
        <v>35</v>
      </c>
      <c r="T1608" s="6">
        <v>0</v>
      </c>
      <c r="U1608" s="6">
        <v>0</v>
      </c>
      <c r="V1608" s="6">
        <f>IF(ISERROR(VLOOKUP($S$1608,'TAR FIN'!$A$1:$O$120,15,0)),0,VLOOKUP($S$1608,'TAR FIN'!$A$1:$O$120,15,0))</f>
        <v>12.24</v>
      </c>
      <c r="W1608" s="6">
        <f>IF(ISERROR(VLOOKUP($T$1608,'TAR FIN'!$A$1:$O$120,15,0)),0,VLOOKUP($T$1608,'TAR FIN'!$A$1:$O$120,15,0))</f>
        <v>0</v>
      </c>
      <c r="X1608" s="6">
        <f>IF(ISERROR(VLOOKUP($U$1608,'TAR FIN'!$A$1:$O$120,15,0)),0,VLOOKUP($U$1608,'TAR FIN'!$A$1:$O$120,15,0))</f>
        <v>0</v>
      </c>
      <c r="Y1608" s="6">
        <f ca="1">('TUSD BE'!$AM$43+'TUSD BF'!$AM$43+'TUSD CVA'!$AM$43)*1</f>
        <v>16.00053546174815</v>
      </c>
      <c r="Z1608" s="6"/>
      <c r="AA1608" s="6"/>
      <c r="AB1608" s="6">
        <f>$K$1608*$V$1608</f>
        <v>57528</v>
      </c>
      <c r="AC1608" s="6">
        <f>$M$1608*$W$1608</f>
        <v>0</v>
      </c>
      <c r="AD1608" s="6">
        <f>$O$1608*$X$1608</f>
        <v>0</v>
      </c>
      <c r="AE1608" s="6">
        <f ca="1">$K$1608*$Y$1608</f>
        <v>75202.516670216311</v>
      </c>
      <c r="AF1608" s="6">
        <f>$M$1608*$Z$1608</f>
        <v>0</v>
      </c>
      <c r="AG1608" s="6">
        <f>$O$1608*$AA$1608</f>
        <v>0</v>
      </c>
    </row>
    <row r="1609" spans="1:33" ht="11.25" customHeight="1" x14ac:dyDescent="0.25">
      <c r="A1609" s="4" t="s">
        <v>21</v>
      </c>
      <c r="B1609" s="4" t="s">
        <v>44</v>
      </c>
      <c r="C1609" s="4" t="s">
        <v>34</v>
      </c>
      <c r="D1609" s="4" t="s">
        <v>48</v>
      </c>
      <c r="E1609" s="4" t="s">
        <v>25</v>
      </c>
      <c r="F1609" s="4" t="s">
        <v>25</v>
      </c>
      <c r="G1609" s="4" t="s">
        <v>25</v>
      </c>
      <c r="H1609" s="4" t="s">
        <v>25</v>
      </c>
      <c r="I1609" s="5">
        <v>43770</v>
      </c>
      <c r="J1609" s="6">
        <v>63221</v>
      </c>
      <c r="K1609" s="6">
        <v>63221</v>
      </c>
      <c r="L1609" s="6">
        <v>0</v>
      </c>
      <c r="M1609" s="6">
        <v>0</v>
      </c>
      <c r="N1609" s="6">
        <v>0</v>
      </c>
      <c r="O1609" s="6">
        <v>0</v>
      </c>
      <c r="P1609" s="6">
        <v>85</v>
      </c>
      <c r="Q1609" s="4" t="s">
        <v>26</v>
      </c>
      <c r="R1609" s="4">
        <v>0</v>
      </c>
      <c r="S1609" s="6">
        <v>35</v>
      </c>
      <c r="T1609" s="6">
        <v>0</v>
      </c>
      <c r="U1609" s="6">
        <v>0</v>
      </c>
      <c r="V1609" s="6">
        <f>IF(ISERROR(VLOOKUP($S$1609,'TAR FIN'!$A$1:$O$120,15,0)),0,VLOOKUP($S$1609,'TAR FIN'!$A$1:$O$120,15,0))</f>
        <v>12.24</v>
      </c>
      <c r="W1609" s="6">
        <f>IF(ISERROR(VLOOKUP($T$1609,'TAR FIN'!$A$1:$O$120,15,0)),0,VLOOKUP($T$1609,'TAR FIN'!$A$1:$O$120,15,0))</f>
        <v>0</v>
      </c>
      <c r="X1609" s="6">
        <f>IF(ISERROR(VLOOKUP($U$1609,'TAR FIN'!$A$1:$O$120,15,0)),0,VLOOKUP($U$1609,'TAR FIN'!$A$1:$O$120,15,0))</f>
        <v>0</v>
      </c>
      <c r="Y1609" s="6">
        <f ca="1">('TUSD BE'!$AM$43+'TUSD BF'!$AM$43+'TUSD CVA'!$AM$43)*1</f>
        <v>16.00053546174815</v>
      </c>
      <c r="Z1609" s="6"/>
      <c r="AA1609" s="6"/>
      <c r="AB1609" s="6">
        <f>$K$1609*$V$1609</f>
        <v>773825.04</v>
      </c>
      <c r="AC1609" s="6">
        <f>$M$1609*$W$1609</f>
        <v>0</v>
      </c>
      <c r="AD1609" s="6">
        <f>$O$1609*$X$1609</f>
        <v>0</v>
      </c>
      <c r="AE1609" s="6">
        <f ca="1">$K$1609*$Y$1609</f>
        <v>1011569.8524271798</v>
      </c>
      <c r="AF1609" s="6">
        <f>$M$1609*$Z$1609</f>
        <v>0</v>
      </c>
      <c r="AG1609" s="6">
        <f>$O$1609*$AA$1609</f>
        <v>0</v>
      </c>
    </row>
    <row r="1610" spans="1:33" ht="11.25" customHeight="1" x14ac:dyDescent="0.25">
      <c r="A1610" s="4" t="s">
        <v>28</v>
      </c>
      <c r="B1610" s="4" t="s">
        <v>44</v>
      </c>
      <c r="C1610" s="4" t="s">
        <v>34</v>
      </c>
      <c r="D1610" s="4" t="s">
        <v>48</v>
      </c>
      <c r="E1610" s="4" t="s">
        <v>25</v>
      </c>
      <c r="F1610" s="4" t="s">
        <v>25</v>
      </c>
      <c r="G1610" s="4" t="s">
        <v>25</v>
      </c>
      <c r="H1610" s="4" t="s">
        <v>25</v>
      </c>
      <c r="I1610" s="5">
        <v>43770</v>
      </c>
      <c r="J1610" s="6">
        <v>4700</v>
      </c>
      <c r="K1610" s="6">
        <v>4700</v>
      </c>
      <c r="L1610" s="6">
        <v>0</v>
      </c>
      <c r="M1610" s="6">
        <v>0</v>
      </c>
      <c r="N1610" s="6">
        <v>0</v>
      </c>
      <c r="O1610" s="6">
        <v>0</v>
      </c>
      <c r="P1610" s="6">
        <v>4</v>
      </c>
      <c r="Q1610" s="4" t="s">
        <v>26</v>
      </c>
      <c r="R1610" s="4">
        <v>0</v>
      </c>
      <c r="S1610" s="6">
        <v>35</v>
      </c>
      <c r="T1610" s="6">
        <v>0</v>
      </c>
      <c r="U1610" s="6">
        <v>0</v>
      </c>
      <c r="V1610" s="6">
        <f>IF(ISERROR(VLOOKUP($S$1610,'TAR FIN'!$A$1:$O$120,15,0)),0,VLOOKUP($S$1610,'TAR FIN'!$A$1:$O$120,15,0))</f>
        <v>12.24</v>
      </c>
      <c r="W1610" s="6">
        <f>IF(ISERROR(VLOOKUP($T$1610,'TAR FIN'!$A$1:$O$120,15,0)),0,VLOOKUP($T$1610,'TAR FIN'!$A$1:$O$120,15,0))</f>
        <v>0</v>
      </c>
      <c r="X1610" s="6">
        <f>IF(ISERROR(VLOOKUP($U$1610,'TAR FIN'!$A$1:$O$120,15,0)),0,VLOOKUP($U$1610,'TAR FIN'!$A$1:$O$120,15,0))</f>
        <v>0</v>
      </c>
      <c r="Y1610" s="6">
        <f ca="1">('TUSD BE'!$AM$43+'TUSD BF'!$AM$43+'TUSD CVA'!$AM$43)*1</f>
        <v>16.00053546174815</v>
      </c>
      <c r="Z1610" s="6"/>
      <c r="AA1610" s="6"/>
      <c r="AB1610" s="6">
        <f>$K$1610*$V$1610</f>
        <v>57528</v>
      </c>
      <c r="AC1610" s="6">
        <f>$M$1610*$W$1610</f>
        <v>0</v>
      </c>
      <c r="AD1610" s="6">
        <f>$O$1610*$X$1610</f>
        <v>0</v>
      </c>
      <c r="AE1610" s="6">
        <f ca="1">$K$1610*$Y$1610</f>
        <v>75202.516670216311</v>
      </c>
      <c r="AF1610" s="6">
        <f>$M$1610*$Z$1610</f>
        <v>0</v>
      </c>
      <c r="AG1610" s="6">
        <f>$O$1610*$AA$1610</f>
        <v>0</v>
      </c>
    </row>
    <row r="1611" spans="1:33" ht="11.25" customHeight="1" x14ac:dyDescent="0.25">
      <c r="A1611" s="4" t="s">
        <v>21</v>
      </c>
      <c r="B1611" s="4" t="s">
        <v>44</v>
      </c>
      <c r="C1611" s="4" t="s">
        <v>34</v>
      </c>
      <c r="D1611" s="4" t="s">
        <v>48</v>
      </c>
      <c r="E1611" s="4" t="s">
        <v>25</v>
      </c>
      <c r="F1611" s="4" t="s">
        <v>25</v>
      </c>
      <c r="G1611" s="4" t="s">
        <v>25</v>
      </c>
      <c r="H1611" s="4" t="s">
        <v>25</v>
      </c>
      <c r="I1611" s="5">
        <v>43800</v>
      </c>
      <c r="J1611" s="6">
        <v>63128</v>
      </c>
      <c r="K1611" s="6">
        <v>63128</v>
      </c>
      <c r="L1611" s="6">
        <v>0</v>
      </c>
      <c r="M1611" s="6">
        <v>0</v>
      </c>
      <c r="N1611" s="6">
        <v>0</v>
      </c>
      <c r="O1611" s="6">
        <v>0</v>
      </c>
      <c r="P1611" s="6">
        <v>86</v>
      </c>
      <c r="Q1611" s="4" t="s">
        <v>26</v>
      </c>
      <c r="R1611" s="4">
        <v>0</v>
      </c>
      <c r="S1611" s="6">
        <v>35</v>
      </c>
      <c r="T1611" s="6">
        <v>0</v>
      </c>
      <c r="U1611" s="6">
        <v>0</v>
      </c>
      <c r="V1611" s="6">
        <f>IF(ISERROR(VLOOKUP($S$1611,'TAR FIN'!$A$1:$O$120,15,0)),0,VLOOKUP($S$1611,'TAR FIN'!$A$1:$O$120,15,0))</f>
        <v>12.24</v>
      </c>
      <c r="W1611" s="6">
        <f>IF(ISERROR(VLOOKUP($T$1611,'TAR FIN'!$A$1:$O$120,15,0)),0,VLOOKUP($T$1611,'TAR FIN'!$A$1:$O$120,15,0))</f>
        <v>0</v>
      </c>
      <c r="X1611" s="6">
        <f>IF(ISERROR(VLOOKUP($U$1611,'TAR FIN'!$A$1:$O$120,15,0)),0,VLOOKUP($U$1611,'TAR FIN'!$A$1:$O$120,15,0))</f>
        <v>0</v>
      </c>
      <c r="Y1611" s="6">
        <f ca="1">('TUSD BE'!$AM$43+'TUSD BF'!$AM$43+'TUSD CVA'!$AM$43)*1</f>
        <v>16.00053546174815</v>
      </c>
      <c r="Z1611" s="6"/>
      <c r="AA1611" s="6"/>
      <c r="AB1611" s="6">
        <f>$K$1611*$V$1611</f>
        <v>772686.72</v>
      </c>
      <c r="AC1611" s="6">
        <f>$M$1611*$W$1611</f>
        <v>0</v>
      </c>
      <c r="AD1611" s="6">
        <f>$O$1611*$X$1611</f>
        <v>0</v>
      </c>
      <c r="AE1611" s="6">
        <f ca="1">$K$1611*$Y$1611</f>
        <v>1010081.8026292372</v>
      </c>
      <c r="AF1611" s="6">
        <f>$M$1611*$Z$1611</f>
        <v>0</v>
      </c>
      <c r="AG1611" s="6">
        <f>$O$1611*$AA$1611</f>
        <v>0</v>
      </c>
    </row>
    <row r="1612" spans="1:33" ht="11.25" customHeight="1" x14ac:dyDescent="0.25">
      <c r="A1612" s="4" t="s">
        <v>27</v>
      </c>
      <c r="B1612" s="4" t="s">
        <v>44</v>
      </c>
      <c r="C1612" s="4" t="s">
        <v>34</v>
      </c>
      <c r="D1612" s="4" t="s">
        <v>48</v>
      </c>
      <c r="E1612" s="4" t="s">
        <v>25</v>
      </c>
      <c r="F1612" s="4" t="s">
        <v>25</v>
      </c>
      <c r="G1612" s="4" t="s">
        <v>25</v>
      </c>
      <c r="H1612" s="4" t="s">
        <v>25</v>
      </c>
      <c r="I1612" s="5">
        <v>43800</v>
      </c>
      <c r="J1612" s="6">
        <v>1250</v>
      </c>
      <c r="K1612" s="6">
        <v>1250</v>
      </c>
      <c r="L1612" s="6">
        <v>0</v>
      </c>
      <c r="M1612" s="6">
        <v>0</v>
      </c>
      <c r="N1612" s="6">
        <v>0</v>
      </c>
      <c r="O1612" s="6">
        <v>0</v>
      </c>
      <c r="P1612" s="6">
        <v>0</v>
      </c>
      <c r="Q1612" s="4" t="s">
        <v>26</v>
      </c>
      <c r="R1612" s="4">
        <v>0</v>
      </c>
      <c r="S1612" s="6">
        <v>35</v>
      </c>
      <c r="T1612" s="6">
        <v>0</v>
      </c>
      <c r="U1612" s="6">
        <v>0</v>
      </c>
      <c r="V1612" s="6">
        <f>IF(ISERROR(VLOOKUP($S$1612,'TAR FIN'!$A$1:$O$120,15,0)),0,VLOOKUP($S$1612,'TAR FIN'!$A$1:$O$120,15,0))</f>
        <v>12.24</v>
      </c>
      <c r="W1612" s="6">
        <f>IF(ISERROR(VLOOKUP($T$1612,'TAR FIN'!$A$1:$O$120,15,0)),0,VLOOKUP($T$1612,'TAR FIN'!$A$1:$O$120,15,0))</f>
        <v>0</v>
      </c>
      <c r="X1612" s="6">
        <f>IF(ISERROR(VLOOKUP($U$1612,'TAR FIN'!$A$1:$O$120,15,0)),0,VLOOKUP($U$1612,'TAR FIN'!$A$1:$O$120,15,0))</f>
        <v>0</v>
      </c>
      <c r="Y1612" s="6">
        <f ca="1">('TUSD BE'!$AM$43+'TUSD BF'!$AM$43+'TUSD CVA'!$AM$43)*1</f>
        <v>16.00053546174815</v>
      </c>
      <c r="Z1612" s="6"/>
      <c r="AA1612" s="6"/>
      <c r="AB1612" s="6">
        <f>$K$1612*$V$1612</f>
        <v>15300</v>
      </c>
      <c r="AC1612" s="6">
        <f>$M$1612*$W$1612</f>
        <v>0</v>
      </c>
      <c r="AD1612" s="6">
        <f>$O$1612*$X$1612</f>
        <v>0</v>
      </c>
      <c r="AE1612" s="6">
        <f ca="1">$K$1612*$Y$1612</f>
        <v>20000.669327185187</v>
      </c>
      <c r="AF1612" s="6">
        <f>$M$1612*$Z$1612</f>
        <v>0</v>
      </c>
      <c r="AG1612" s="6">
        <f>$O$1612*$AA$1612</f>
        <v>0</v>
      </c>
    </row>
    <row r="1613" spans="1:33" ht="11.25" customHeight="1" x14ac:dyDescent="0.25">
      <c r="A1613" s="4" t="s">
        <v>28</v>
      </c>
      <c r="B1613" s="4" t="s">
        <v>44</v>
      </c>
      <c r="C1613" s="4" t="s">
        <v>34</v>
      </c>
      <c r="D1613" s="4" t="s">
        <v>48</v>
      </c>
      <c r="E1613" s="4" t="s">
        <v>25</v>
      </c>
      <c r="F1613" s="4" t="s">
        <v>25</v>
      </c>
      <c r="G1613" s="4" t="s">
        <v>25</v>
      </c>
      <c r="H1613" s="4" t="s">
        <v>25</v>
      </c>
      <c r="I1613" s="5">
        <v>43800</v>
      </c>
      <c r="J1613" s="6">
        <v>4700</v>
      </c>
      <c r="K1613" s="6">
        <v>4700</v>
      </c>
      <c r="L1613" s="6">
        <v>0</v>
      </c>
      <c r="M1613" s="6">
        <v>0</v>
      </c>
      <c r="N1613" s="6">
        <v>0</v>
      </c>
      <c r="O1613" s="6">
        <v>0</v>
      </c>
      <c r="P1613" s="6">
        <v>4</v>
      </c>
      <c r="Q1613" s="4" t="s">
        <v>26</v>
      </c>
      <c r="R1613" s="4">
        <v>0</v>
      </c>
      <c r="S1613" s="6">
        <v>35</v>
      </c>
      <c r="T1613" s="6">
        <v>0</v>
      </c>
      <c r="U1613" s="6">
        <v>0</v>
      </c>
      <c r="V1613" s="6">
        <f>IF(ISERROR(VLOOKUP($S$1613,'TAR FIN'!$A$1:$O$120,15,0)),0,VLOOKUP($S$1613,'TAR FIN'!$A$1:$O$120,15,0))</f>
        <v>12.24</v>
      </c>
      <c r="W1613" s="6">
        <f>IF(ISERROR(VLOOKUP($T$1613,'TAR FIN'!$A$1:$O$120,15,0)),0,VLOOKUP($T$1613,'TAR FIN'!$A$1:$O$120,15,0))</f>
        <v>0</v>
      </c>
      <c r="X1613" s="6">
        <f>IF(ISERROR(VLOOKUP($U$1613,'TAR FIN'!$A$1:$O$120,15,0)),0,VLOOKUP($U$1613,'TAR FIN'!$A$1:$O$120,15,0))</f>
        <v>0</v>
      </c>
      <c r="Y1613" s="6">
        <f ca="1">('TUSD BE'!$AM$43+'TUSD BF'!$AM$43+'TUSD CVA'!$AM$43)*1</f>
        <v>16.00053546174815</v>
      </c>
      <c r="Z1613" s="6"/>
      <c r="AA1613" s="6"/>
      <c r="AB1613" s="6">
        <f>$K$1613*$V$1613</f>
        <v>57528</v>
      </c>
      <c r="AC1613" s="6">
        <f>$M$1613*$W$1613</f>
        <v>0</v>
      </c>
      <c r="AD1613" s="6">
        <f>$O$1613*$X$1613</f>
        <v>0</v>
      </c>
      <c r="AE1613" s="6">
        <f ca="1">$K$1613*$Y$1613</f>
        <v>75202.516670216311</v>
      </c>
      <c r="AF1613" s="6">
        <f>$M$1613*$Z$1613</f>
        <v>0</v>
      </c>
      <c r="AG1613" s="6">
        <f>$O$1613*$AA$1613</f>
        <v>0</v>
      </c>
    </row>
    <row r="1614" spans="1:33" ht="11.25" customHeight="1" x14ac:dyDescent="0.25">
      <c r="A1614" s="4" t="s">
        <v>21</v>
      </c>
      <c r="B1614" s="4" t="s">
        <v>44</v>
      </c>
      <c r="C1614" s="4" t="s">
        <v>34</v>
      </c>
      <c r="D1614" s="4" t="s">
        <v>48</v>
      </c>
      <c r="E1614" s="4" t="s">
        <v>25</v>
      </c>
      <c r="F1614" s="4" t="s">
        <v>25</v>
      </c>
      <c r="G1614" s="4" t="s">
        <v>25</v>
      </c>
      <c r="H1614" s="4" t="s">
        <v>25</v>
      </c>
      <c r="I1614" s="5">
        <v>43831</v>
      </c>
      <c r="J1614" s="6">
        <v>62511</v>
      </c>
      <c r="K1614" s="6">
        <v>62511</v>
      </c>
      <c r="L1614" s="6">
        <v>0</v>
      </c>
      <c r="M1614" s="6">
        <v>0</v>
      </c>
      <c r="N1614" s="6">
        <v>0</v>
      </c>
      <c r="O1614" s="6">
        <v>0</v>
      </c>
      <c r="P1614" s="6">
        <v>85</v>
      </c>
      <c r="Q1614" s="4" t="s">
        <v>26</v>
      </c>
      <c r="R1614" s="4">
        <v>0</v>
      </c>
      <c r="S1614" s="6">
        <v>35</v>
      </c>
      <c r="T1614" s="6">
        <v>0</v>
      </c>
      <c r="U1614" s="6">
        <v>0</v>
      </c>
      <c r="V1614" s="6">
        <f>IF(ISERROR(VLOOKUP($S$1614,'TAR FIN'!$A$1:$O$120,15,0)),0,VLOOKUP($S$1614,'TAR FIN'!$A$1:$O$120,15,0))</f>
        <v>12.24</v>
      </c>
      <c r="W1614" s="6">
        <f>IF(ISERROR(VLOOKUP($T$1614,'TAR FIN'!$A$1:$O$120,15,0)),0,VLOOKUP($T$1614,'TAR FIN'!$A$1:$O$120,15,0))</f>
        <v>0</v>
      </c>
      <c r="X1614" s="6">
        <f>IF(ISERROR(VLOOKUP($U$1614,'TAR FIN'!$A$1:$O$120,15,0)),0,VLOOKUP($U$1614,'TAR FIN'!$A$1:$O$120,15,0))</f>
        <v>0</v>
      </c>
      <c r="Y1614" s="6">
        <f ca="1">('TUSD BE'!$AM$43+'TUSD BF'!$AM$43+'TUSD CVA'!$AM$43)*1</f>
        <v>16.00053546174815</v>
      </c>
      <c r="Z1614" s="6"/>
      <c r="AA1614" s="6"/>
      <c r="AB1614" s="6">
        <f>$K$1614*$V$1614</f>
        <v>765134.64</v>
      </c>
      <c r="AC1614" s="6">
        <f>$M$1614*$W$1614</f>
        <v>0</v>
      </c>
      <c r="AD1614" s="6">
        <f>$O$1614*$X$1614</f>
        <v>0</v>
      </c>
      <c r="AE1614" s="6">
        <f ca="1">$K$1614*$Y$1614</f>
        <v>1000209.4722493386</v>
      </c>
      <c r="AF1614" s="6">
        <f>$M$1614*$Z$1614</f>
        <v>0</v>
      </c>
      <c r="AG1614" s="6">
        <f>$O$1614*$AA$1614</f>
        <v>0</v>
      </c>
    </row>
    <row r="1615" spans="1:33" ht="11.25" customHeight="1" x14ac:dyDescent="0.25">
      <c r="A1615" s="4" t="s">
        <v>28</v>
      </c>
      <c r="B1615" s="4" t="s">
        <v>44</v>
      </c>
      <c r="C1615" s="4" t="s">
        <v>34</v>
      </c>
      <c r="D1615" s="4" t="s">
        <v>48</v>
      </c>
      <c r="E1615" s="4" t="s">
        <v>25</v>
      </c>
      <c r="F1615" s="4" t="s">
        <v>25</v>
      </c>
      <c r="G1615" s="4" t="s">
        <v>25</v>
      </c>
      <c r="H1615" s="4" t="s">
        <v>25</v>
      </c>
      <c r="I1615" s="5">
        <v>43831</v>
      </c>
      <c r="J1615" s="6">
        <v>5200</v>
      </c>
      <c r="K1615" s="6">
        <v>5200</v>
      </c>
      <c r="L1615" s="6">
        <v>0</v>
      </c>
      <c r="M1615" s="6">
        <v>0</v>
      </c>
      <c r="N1615" s="6">
        <v>0</v>
      </c>
      <c r="O1615" s="6">
        <v>0</v>
      </c>
      <c r="P1615" s="6">
        <v>6</v>
      </c>
      <c r="Q1615" s="4" t="s">
        <v>26</v>
      </c>
      <c r="R1615" s="4">
        <v>0</v>
      </c>
      <c r="S1615" s="6">
        <v>35</v>
      </c>
      <c r="T1615" s="6">
        <v>0</v>
      </c>
      <c r="U1615" s="6">
        <v>0</v>
      </c>
      <c r="V1615" s="6">
        <f>IF(ISERROR(VLOOKUP($S$1615,'TAR FIN'!$A$1:$O$120,15,0)),0,VLOOKUP($S$1615,'TAR FIN'!$A$1:$O$120,15,0))</f>
        <v>12.24</v>
      </c>
      <c r="W1615" s="6">
        <f>IF(ISERROR(VLOOKUP($T$1615,'TAR FIN'!$A$1:$O$120,15,0)),0,VLOOKUP($T$1615,'TAR FIN'!$A$1:$O$120,15,0))</f>
        <v>0</v>
      </c>
      <c r="X1615" s="6">
        <f>IF(ISERROR(VLOOKUP($U$1615,'TAR FIN'!$A$1:$O$120,15,0)),0,VLOOKUP($U$1615,'TAR FIN'!$A$1:$O$120,15,0))</f>
        <v>0</v>
      </c>
      <c r="Y1615" s="6">
        <f ca="1">('TUSD BE'!$AM$43+'TUSD BF'!$AM$43+'TUSD CVA'!$AM$43)*1</f>
        <v>16.00053546174815</v>
      </c>
      <c r="Z1615" s="6"/>
      <c r="AA1615" s="6"/>
      <c r="AB1615" s="6">
        <f>$K$1615*$V$1615</f>
        <v>63648</v>
      </c>
      <c r="AC1615" s="6">
        <f>$M$1615*$W$1615</f>
        <v>0</v>
      </c>
      <c r="AD1615" s="6">
        <f>$O$1615*$X$1615</f>
        <v>0</v>
      </c>
      <c r="AE1615" s="6">
        <f ca="1">$K$1615*$Y$1615</f>
        <v>83202.784401090379</v>
      </c>
      <c r="AF1615" s="6">
        <f>$M$1615*$Z$1615</f>
        <v>0</v>
      </c>
      <c r="AG1615" s="6">
        <f>$O$1615*$AA$1615</f>
        <v>0</v>
      </c>
    </row>
    <row r="1616" spans="1:33" ht="11.25" customHeight="1" x14ac:dyDescent="0.25">
      <c r="A1616" s="4" t="s">
        <v>21</v>
      </c>
      <c r="B1616" s="4" t="s">
        <v>44</v>
      </c>
      <c r="C1616" s="4" t="s">
        <v>34</v>
      </c>
      <c r="D1616" s="4" t="s">
        <v>48</v>
      </c>
      <c r="E1616" s="4" t="s">
        <v>25</v>
      </c>
      <c r="F1616" s="4" t="s">
        <v>25</v>
      </c>
      <c r="G1616" s="4" t="s">
        <v>25</v>
      </c>
      <c r="H1616" s="4" t="s">
        <v>25</v>
      </c>
      <c r="I1616" s="5">
        <v>43862</v>
      </c>
      <c r="J1616" s="6">
        <v>62889</v>
      </c>
      <c r="K1616" s="6">
        <v>62889</v>
      </c>
      <c r="L1616" s="6">
        <v>0</v>
      </c>
      <c r="M1616" s="6">
        <v>0</v>
      </c>
      <c r="N1616" s="6">
        <v>0</v>
      </c>
      <c r="O1616" s="6">
        <v>0</v>
      </c>
      <c r="P1616" s="6">
        <v>85</v>
      </c>
      <c r="Q1616" s="4" t="s">
        <v>26</v>
      </c>
      <c r="R1616" s="4">
        <v>0</v>
      </c>
      <c r="S1616" s="6">
        <v>35</v>
      </c>
      <c r="T1616" s="6">
        <v>0</v>
      </c>
      <c r="U1616" s="6">
        <v>0</v>
      </c>
      <c r="V1616" s="6">
        <f>IF(ISERROR(VLOOKUP($S$1616,'TAR FIN'!$A$1:$O$120,15,0)),0,VLOOKUP($S$1616,'TAR FIN'!$A$1:$O$120,15,0))</f>
        <v>12.24</v>
      </c>
      <c r="W1616" s="6">
        <f>IF(ISERROR(VLOOKUP($T$1616,'TAR FIN'!$A$1:$O$120,15,0)),0,VLOOKUP($T$1616,'TAR FIN'!$A$1:$O$120,15,0))</f>
        <v>0</v>
      </c>
      <c r="X1616" s="6">
        <f>IF(ISERROR(VLOOKUP($U$1616,'TAR FIN'!$A$1:$O$120,15,0)),0,VLOOKUP($U$1616,'TAR FIN'!$A$1:$O$120,15,0))</f>
        <v>0</v>
      </c>
      <c r="Y1616" s="6">
        <f ca="1">('TUSD BE'!$AM$43+'TUSD BF'!$AM$43+'TUSD CVA'!$AM$43)*1</f>
        <v>16.00053546174815</v>
      </c>
      <c r="Z1616" s="6"/>
      <c r="AA1616" s="6"/>
      <c r="AB1616" s="6">
        <f>$K$1616*$V$1616</f>
        <v>769761.36</v>
      </c>
      <c r="AC1616" s="6">
        <f>$M$1616*$W$1616</f>
        <v>0</v>
      </c>
      <c r="AD1616" s="6">
        <f>$O$1616*$X$1616</f>
        <v>0</v>
      </c>
      <c r="AE1616" s="6">
        <f ca="1">$K$1616*$Y$1616</f>
        <v>1006257.6746538794</v>
      </c>
      <c r="AF1616" s="6">
        <f>$M$1616*$Z$1616</f>
        <v>0</v>
      </c>
      <c r="AG1616" s="6">
        <f>$O$1616*$AA$1616</f>
        <v>0</v>
      </c>
    </row>
    <row r="1617" spans="1:33" ht="11.25" customHeight="1" x14ac:dyDescent="0.25">
      <c r="A1617" s="4" t="s">
        <v>28</v>
      </c>
      <c r="B1617" s="4" t="s">
        <v>44</v>
      </c>
      <c r="C1617" s="4" t="s">
        <v>34</v>
      </c>
      <c r="D1617" s="4" t="s">
        <v>48</v>
      </c>
      <c r="E1617" s="4" t="s">
        <v>25</v>
      </c>
      <c r="F1617" s="4" t="s">
        <v>25</v>
      </c>
      <c r="G1617" s="4" t="s">
        <v>25</v>
      </c>
      <c r="H1617" s="4" t="s">
        <v>25</v>
      </c>
      <c r="I1617" s="5">
        <v>43862</v>
      </c>
      <c r="J1617" s="6">
        <v>5200</v>
      </c>
      <c r="K1617" s="6">
        <v>5200</v>
      </c>
      <c r="L1617" s="6">
        <v>0</v>
      </c>
      <c r="M1617" s="6">
        <v>0</v>
      </c>
      <c r="N1617" s="6">
        <v>0</v>
      </c>
      <c r="O1617" s="6">
        <v>0</v>
      </c>
      <c r="P1617" s="6">
        <v>6</v>
      </c>
      <c r="Q1617" s="4" t="s">
        <v>26</v>
      </c>
      <c r="R1617" s="4">
        <v>0</v>
      </c>
      <c r="S1617" s="6">
        <v>35</v>
      </c>
      <c r="T1617" s="6">
        <v>0</v>
      </c>
      <c r="U1617" s="6">
        <v>0</v>
      </c>
      <c r="V1617" s="6">
        <f>IF(ISERROR(VLOOKUP($S$1617,'TAR FIN'!$A$1:$O$120,15,0)),0,VLOOKUP($S$1617,'TAR FIN'!$A$1:$O$120,15,0))</f>
        <v>12.24</v>
      </c>
      <c r="W1617" s="6">
        <f>IF(ISERROR(VLOOKUP($T$1617,'TAR FIN'!$A$1:$O$120,15,0)),0,VLOOKUP($T$1617,'TAR FIN'!$A$1:$O$120,15,0))</f>
        <v>0</v>
      </c>
      <c r="X1617" s="6">
        <f>IF(ISERROR(VLOOKUP($U$1617,'TAR FIN'!$A$1:$O$120,15,0)),0,VLOOKUP($U$1617,'TAR FIN'!$A$1:$O$120,15,0))</f>
        <v>0</v>
      </c>
      <c r="Y1617" s="6">
        <f ca="1">('TUSD BE'!$AM$43+'TUSD BF'!$AM$43+'TUSD CVA'!$AM$43)*1</f>
        <v>16.00053546174815</v>
      </c>
      <c r="Z1617" s="6"/>
      <c r="AA1617" s="6"/>
      <c r="AB1617" s="6">
        <f>$K$1617*$V$1617</f>
        <v>63648</v>
      </c>
      <c r="AC1617" s="6">
        <f>$M$1617*$W$1617</f>
        <v>0</v>
      </c>
      <c r="AD1617" s="6">
        <f>$O$1617*$X$1617</f>
        <v>0</v>
      </c>
      <c r="AE1617" s="6">
        <f ca="1">$K$1617*$Y$1617</f>
        <v>83202.784401090379</v>
      </c>
      <c r="AF1617" s="6">
        <f>$M$1617*$Z$1617</f>
        <v>0</v>
      </c>
      <c r="AG1617" s="6">
        <f>$O$1617*$AA$1617</f>
        <v>0</v>
      </c>
    </row>
    <row r="1618" spans="1:33" ht="11.25" customHeight="1" x14ac:dyDescent="0.25">
      <c r="A1618" s="4" t="s">
        <v>21</v>
      </c>
      <c r="B1618" s="4" t="s">
        <v>44</v>
      </c>
      <c r="C1618" s="4" t="s">
        <v>34</v>
      </c>
      <c r="D1618" s="4" t="s">
        <v>48</v>
      </c>
      <c r="E1618" s="4" t="s">
        <v>25</v>
      </c>
      <c r="F1618" s="4" t="s">
        <v>25</v>
      </c>
      <c r="G1618" s="4" t="s">
        <v>25</v>
      </c>
      <c r="H1618" s="4" t="s">
        <v>25</v>
      </c>
      <c r="I1618" s="5">
        <v>43891</v>
      </c>
      <c r="J1618" s="6">
        <v>62123</v>
      </c>
      <c r="K1618" s="6">
        <v>62123</v>
      </c>
      <c r="L1618" s="6">
        <v>0</v>
      </c>
      <c r="M1618" s="6">
        <v>0</v>
      </c>
      <c r="N1618" s="6">
        <v>0</v>
      </c>
      <c r="O1618" s="6">
        <v>0</v>
      </c>
      <c r="P1618" s="6">
        <v>85</v>
      </c>
      <c r="Q1618" s="4" t="s">
        <v>26</v>
      </c>
      <c r="R1618" s="4">
        <v>0</v>
      </c>
      <c r="S1618" s="6">
        <v>35</v>
      </c>
      <c r="T1618" s="6">
        <v>0</v>
      </c>
      <c r="U1618" s="6">
        <v>0</v>
      </c>
      <c r="V1618" s="6">
        <f>IF(ISERROR(VLOOKUP($S$1618,'TAR FIN'!$A$1:$O$120,15,0)),0,VLOOKUP($S$1618,'TAR FIN'!$A$1:$O$120,15,0))</f>
        <v>12.24</v>
      </c>
      <c r="W1618" s="6">
        <f>IF(ISERROR(VLOOKUP($T$1618,'TAR FIN'!$A$1:$O$120,15,0)),0,VLOOKUP($T$1618,'TAR FIN'!$A$1:$O$120,15,0))</f>
        <v>0</v>
      </c>
      <c r="X1618" s="6">
        <f>IF(ISERROR(VLOOKUP($U$1618,'TAR FIN'!$A$1:$O$120,15,0)),0,VLOOKUP($U$1618,'TAR FIN'!$A$1:$O$120,15,0))</f>
        <v>0</v>
      </c>
      <c r="Y1618" s="6">
        <f ca="1">('TUSD BE'!$AM$43+'TUSD BF'!$AM$43+'TUSD CVA'!$AM$43)*1</f>
        <v>16.00053546174815</v>
      </c>
      <c r="Z1618" s="6"/>
      <c r="AA1618" s="6"/>
      <c r="AB1618" s="6">
        <f>$K$1618*$V$1618</f>
        <v>760385.52</v>
      </c>
      <c r="AC1618" s="6">
        <f>$M$1618*$W$1618</f>
        <v>0</v>
      </c>
      <c r="AD1618" s="6">
        <f>$O$1618*$X$1618</f>
        <v>0</v>
      </c>
      <c r="AE1618" s="6">
        <f ca="1">$K$1618*$Y$1618</f>
        <v>994001.2644901803</v>
      </c>
      <c r="AF1618" s="6">
        <f>$M$1618*$Z$1618</f>
        <v>0</v>
      </c>
      <c r="AG1618" s="6">
        <f>$O$1618*$AA$1618</f>
        <v>0</v>
      </c>
    </row>
    <row r="1619" spans="1:33" ht="11.25" customHeight="1" x14ac:dyDescent="0.25">
      <c r="A1619" s="4" t="s">
        <v>28</v>
      </c>
      <c r="B1619" s="4" t="s">
        <v>44</v>
      </c>
      <c r="C1619" s="4" t="s">
        <v>34</v>
      </c>
      <c r="D1619" s="4" t="s">
        <v>48</v>
      </c>
      <c r="E1619" s="4" t="s">
        <v>25</v>
      </c>
      <c r="F1619" s="4" t="s">
        <v>25</v>
      </c>
      <c r="G1619" s="4" t="s">
        <v>25</v>
      </c>
      <c r="H1619" s="4" t="s">
        <v>25</v>
      </c>
      <c r="I1619" s="5">
        <v>43891</v>
      </c>
      <c r="J1619" s="6">
        <v>5350</v>
      </c>
      <c r="K1619" s="6">
        <v>5350</v>
      </c>
      <c r="L1619" s="6">
        <v>0</v>
      </c>
      <c r="M1619" s="6">
        <v>0</v>
      </c>
      <c r="N1619" s="6">
        <v>0</v>
      </c>
      <c r="O1619" s="6">
        <v>0</v>
      </c>
      <c r="P1619" s="6">
        <v>6</v>
      </c>
      <c r="Q1619" s="4" t="s">
        <v>26</v>
      </c>
      <c r="R1619" s="4">
        <v>0</v>
      </c>
      <c r="S1619" s="6">
        <v>35</v>
      </c>
      <c r="T1619" s="6">
        <v>0</v>
      </c>
      <c r="U1619" s="6">
        <v>0</v>
      </c>
      <c r="V1619" s="6">
        <f>IF(ISERROR(VLOOKUP($S$1619,'TAR FIN'!$A$1:$O$120,15,0)),0,VLOOKUP($S$1619,'TAR FIN'!$A$1:$O$120,15,0))</f>
        <v>12.24</v>
      </c>
      <c r="W1619" s="6">
        <f>IF(ISERROR(VLOOKUP($T$1619,'TAR FIN'!$A$1:$O$120,15,0)),0,VLOOKUP($T$1619,'TAR FIN'!$A$1:$O$120,15,0))</f>
        <v>0</v>
      </c>
      <c r="X1619" s="6">
        <f>IF(ISERROR(VLOOKUP($U$1619,'TAR FIN'!$A$1:$O$120,15,0)),0,VLOOKUP($U$1619,'TAR FIN'!$A$1:$O$120,15,0))</f>
        <v>0</v>
      </c>
      <c r="Y1619" s="6">
        <f ca="1">('TUSD BE'!$AM$43+'TUSD BF'!$AM$43+'TUSD CVA'!$AM$43)*1</f>
        <v>16.00053546174815</v>
      </c>
      <c r="Z1619" s="6"/>
      <c r="AA1619" s="6"/>
      <c r="AB1619" s="6">
        <f>$K$1619*$V$1619</f>
        <v>65484</v>
      </c>
      <c r="AC1619" s="6">
        <f>$M$1619*$W$1619</f>
        <v>0</v>
      </c>
      <c r="AD1619" s="6">
        <f>$O$1619*$X$1619</f>
        <v>0</v>
      </c>
      <c r="AE1619" s="6">
        <f ca="1">$K$1619*$Y$1619</f>
        <v>85602.864720352605</v>
      </c>
      <c r="AF1619" s="6">
        <f>$M$1619*$Z$1619</f>
        <v>0</v>
      </c>
      <c r="AG1619" s="6">
        <f>$O$1619*$AA$1619</f>
        <v>0</v>
      </c>
    </row>
    <row r="1620" spans="1:33" ht="11.25" customHeight="1" x14ac:dyDescent="0.25">
      <c r="A1620" s="4" t="s">
        <v>21</v>
      </c>
      <c r="B1620" s="4" t="s">
        <v>44</v>
      </c>
      <c r="C1620" s="4" t="s">
        <v>34</v>
      </c>
      <c r="D1620" s="4" t="s">
        <v>48</v>
      </c>
      <c r="E1620" s="4" t="s">
        <v>25</v>
      </c>
      <c r="F1620" s="4" t="s">
        <v>25</v>
      </c>
      <c r="G1620" s="4" t="s">
        <v>25</v>
      </c>
      <c r="H1620" s="4" t="s">
        <v>25</v>
      </c>
      <c r="I1620" s="5">
        <v>43922</v>
      </c>
      <c r="J1620" s="6">
        <v>60185</v>
      </c>
      <c r="K1620" s="6">
        <v>60185</v>
      </c>
      <c r="L1620" s="6">
        <v>0</v>
      </c>
      <c r="M1620" s="6">
        <v>0</v>
      </c>
      <c r="N1620" s="6">
        <v>0</v>
      </c>
      <c r="O1620" s="6">
        <v>0</v>
      </c>
      <c r="P1620" s="6">
        <v>84</v>
      </c>
      <c r="Q1620" s="4" t="s">
        <v>26</v>
      </c>
      <c r="R1620" s="4">
        <v>0</v>
      </c>
      <c r="S1620" s="6">
        <v>35</v>
      </c>
      <c r="T1620" s="6">
        <v>0</v>
      </c>
      <c r="U1620" s="6">
        <v>0</v>
      </c>
      <c r="V1620" s="6">
        <f>IF(ISERROR(VLOOKUP($S$1620,'TAR FIN'!$A$1:$O$120,15,0)),0,VLOOKUP($S$1620,'TAR FIN'!$A$1:$O$120,15,0))</f>
        <v>12.24</v>
      </c>
      <c r="W1620" s="6">
        <f>IF(ISERROR(VLOOKUP($T$1620,'TAR FIN'!$A$1:$O$120,15,0)),0,VLOOKUP($T$1620,'TAR FIN'!$A$1:$O$120,15,0))</f>
        <v>0</v>
      </c>
      <c r="X1620" s="6">
        <f>IF(ISERROR(VLOOKUP($U$1620,'TAR FIN'!$A$1:$O$120,15,0)),0,VLOOKUP($U$1620,'TAR FIN'!$A$1:$O$120,15,0))</f>
        <v>0</v>
      </c>
      <c r="Y1620" s="6">
        <f ca="1">('TUSD BE'!$AM$43+'TUSD BF'!$AM$43+'TUSD CVA'!$AM$43)*1</f>
        <v>16.00053546174815</v>
      </c>
      <c r="Z1620" s="6"/>
      <c r="AA1620" s="6"/>
      <c r="AB1620" s="6">
        <f>$K$1620*$V$1620</f>
        <v>736664.4</v>
      </c>
      <c r="AC1620" s="6">
        <f>$M$1620*$W$1620</f>
        <v>0</v>
      </c>
      <c r="AD1620" s="6">
        <f>$O$1620*$X$1620</f>
        <v>0</v>
      </c>
      <c r="AE1620" s="6">
        <f ca="1">$K$1620*$Y$1620</f>
        <v>962992.22676531237</v>
      </c>
      <c r="AF1620" s="6">
        <f>$M$1620*$Z$1620</f>
        <v>0</v>
      </c>
      <c r="AG1620" s="6">
        <f>$O$1620*$AA$1620</f>
        <v>0</v>
      </c>
    </row>
    <row r="1621" spans="1:33" ht="11.25" customHeight="1" x14ac:dyDescent="0.25">
      <c r="A1621" s="4" t="s">
        <v>27</v>
      </c>
      <c r="B1621" s="4" t="s">
        <v>44</v>
      </c>
      <c r="C1621" s="4" t="s">
        <v>34</v>
      </c>
      <c r="D1621" s="4" t="s">
        <v>48</v>
      </c>
      <c r="E1621" s="4" t="s">
        <v>25</v>
      </c>
      <c r="F1621" s="4" t="s">
        <v>25</v>
      </c>
      <c r="G1621" s="4" t="s">
        <v>25</v>
      </c>
      <c r="H1621" s="4" t="s">
        <v>25</v>
      </c>
      <c r="I1621" s="5">
        <v>43922</v>
      </c>
      <c r="J1621" s="6">
        <v>750</v>
      </c>
      <c r="K1621" s="6">
        <v>750</v>
      </c>
      <c r="L1621" s="6">
        <v>0</v>
      </c>
      <c r="M1621" s="6">
        <v>0</v>
      </c>
      <c r="N1621" s="6">
        <v>0</v>
      </c>
      <c r="O1621" s="6">
        <v>0</v>
      </c>
      <c r="P1621" s="6">
        <v>1</v>
      </c>
      <c r="Q1621" s="4" t="s">
        <v>26</v>
      </c>
      <c r="R1621" s="4">
        <v>0</v>
      </c>
      <c r="S1621" s="6">
        <v>35</v>
      </c>
      <c r="T1621" s="6">
        <v>0</v>
      </c>
      <c r="U1621" s="6">
        <v>0</v>
      </c>
      <c r="V1621" s="6">
        <f>IF(ISERROR(VLOOKUP($S$1621,'TAR FIN'!$A$1:$O$120,15,0)),0,VLOOKUP($S$1621,'TAR FIN'!$A$1:$O$120,15,0))</f>
        <v>12.24</v>
      </c>
      <c r="W1621" s="6">
        <f>IF(ISERROR(VLOOKUP($T$1621,'TAR FIN'!$A$1:$O$120,15,0)),0,VLOOKUP($T$1621,'TAR FIN'!$A$1:$O$120,15,0))</f>
        <v>0</v>
      </c>
      <c r="X1621" s="6">
        <f>IF(ISERROR(VLOOKUP($U$1621,'TAR FIN'!$A$1:$O$120,15,0)),0,VLOOKUP($U$1621,'TAR FIN'!$A$1:$O$120,15,0))</f>
        <v>0</v>
      </c>
      <c r="Y1621" s="6">
        <f ca="1">('TUSD BE'!$AM$43+'TUSD BF'!$AM$43+'TUSD CVA'!$AM$43)*1</f>
        <v>16.00053546174815</v>
      </c>
      <c r="Z1621" s="6"/>
      <c r="AA1621" s="6"/>
      <c r="AB1621" s="6">
        <f>$K$1621*$V$1621</f>
        <v>9180</v>
      </c>
      <c r="AC1621" s="6">
        <f>$M$1621*$W$1621</f>
        <v>0</v>
      </c>
      <c r="AD1621" s="6">
        <f>$O$1621*$X$1621</f>
        <v>0</v>
      </c>
      <c r="AE1621" s="6">
        <f ca="1">$K$1621*$Y$1621</f>
        <v>12000.401596311112</v>
      </c>
      <c r="AF1621" s="6">
        <f>$M$1621*$Z$1621</f>
        <v>0</v>
      </c>
      <c r="AG1621" s="6">
        <f>$O$1621*$AA$1621</f>
        <v>0</v>
      </c>
    </row>
    <row r="1622" spans="1:33" ht="11.25" customHeight="1" x14ac:dyDescent="0.25">
      <c r="A1622" s="4" t="s">
        <v>28</v>
      </c>
      <c r="B1622" s="4" t="s">
        <v>44</v>
      </c>
      <c r="C1622" s="4" t="s">
        <v>34</v>
      </c>
      <c r="D1622" s="4" t="s">
        <v>48</v>
      </c>
      <c r="E1622" s="4" t="s">
        <v>25</v>
      </c>
      <c r="F1622" s="4" t="s">
        <v>25</v>
      </c>
      <c r="G1622" s="4" t="s">
        <v>25</v>
      </c>
      <c r="H1622" s="4" t="s">
        <v>25</v>
      </c>
      <c r="I1622" s="5">
        <v>43922</v>
      </c>
      <c r="J1622" s="6">
        <v>5350</v>
      </c>
      <c r="K1622" s="6">
        <v>5350</v>
      </c>
      <c r="L1622" s="6">
        <v>0</v>
      </c>
      <c r="M1622" s="6">
        <v>0</v>
      </c>
      <c r="N1622" s="6">
        <v>0</v>
      </c>
      <c r="O1622" s="6">
        <v>0</v>
      </c>
      <c r="P1622" s="6">
        <v>6</v>
      </c>
      <c r="Q1622" s="4" t="s">
        <v>26</v>
      </c>
      <c r="R1622" s="4">
        <v>0</v>
      </c>
      <c r="S1622" s="6">
        <v>35</v>
      </c>
      <c r="T1622" s="6">
        <v>0</v>
      </c>
      <c r="U1622" s="6">
        <v>0</v>
      </c>
      <c r="V1622" s="6">
        <f>IF(ISERROR(VLOOKUP($S$1622,'TAR FIN'!$A$1:$O$120,15,0)),0,VLOOKUP($S$1622,'TAR FIN'!$A$1:$O$120,15,0))</f>
        <v>12.24</v>
      </c>
      <c r="W1622" s="6">
        <f>IF(ISERROR(VLOOKUP($T$1622,'TAR FIN'!$A$1:$O$120,15,0)),0,VLOOKUP($T$1622,'TAR FIN'!$A$1:$O$120,15,0))</f>
        <v>0</v>
      </c>
      <c r="X1622" s="6">
        <f>IF(ISERROR(VLOOKUP($U$1622,'TAR FIN'!$A$1:$O$120,15,0)),0,VLOOKUP($U$1622,'TAR FIN'!$A$1:$O$120,15,0))</f>
        <v>0</v>
      </c>
      <c r="Y1622" s="6">
        <f ca="1">('TUSD BE'!$AM$43+'TUSD BF'!$AM$43+'TUSD CVA'!$AM$43)*1</f>
        <v>16.00053546174815</v>
      </c>
      <c r="Z1622" s="6"/>
      <c r="AA1622" s="6"/>
      <c r="AB1622" s="6">
        <f>$K$1622*$V$1622</f>
        <v>65484</v>
      </c>
      <c r="AC1622" s="6">
        <f>$M$1622*$W$1622</f>
        <v>0</v>
      </c>
      <c r="AD1622" s="6">
        <f>$O$1622*$X$1622</f>
        <v>0</v>
      </c>
      <c r="AE1622" s="6">
        <f ca="1">$K$1622*$Y$1622</f>
        <v>85602.864720352605</v>
      </c>
      <c r="AF1622" s="6">
        <f>$M$1622*$Z$1622</f>
        <v>0</v>
      </c>
      <c r="AG1622" s="6">
        <f>$O$1622*$AA$1622</f>
        <v>0</v>
      </c>
    </row>
    <row r="1623" spans="1:33" ht="11.25" customHeight="1" x14ac:dyDescent="0.25">
      <c r="A1623" s="4" t="s">
        <v>21</v>
      </c>
      <c r="B1623" s="4" t="s">
        <v>44</v>
      </c>
      <c r="C1623" s="4" t="s">
        <v>34</v>
      </c>
      <c r="D1623" s="4" t="s">
        <v>48</v>
      </c>
      <c r="E1623" s="4" t="s">
        <v>25</v>
      </c>
      <c r="F1623" s="4" t="s">
        <v>25</v>
      </c>
      <c r="G1623" s="4" t="s">
        <v>25</v>
      </c>
      <c r="H1623" s="4" t="s">
        <v>25</v>
      </c>
      <c r="I1623" s="5">
        <v>43952</v>
      </c>
      <c r="J1623" s="6">
        <v>60733</v>
      </c>
      <c r="K1623" s="6">
        <v>60733</v>
      </c>
      <c r="L1623" s="6">
        <v>0</v>
      </c>
      <c r="M1623" s="6">
        <v>0</v>
      </c>
      <c r="N1623" s="6">
        <v>0</v>
      </c>
      <c r="O1623" s="6">
        <v>0</v>
      </c>
      <c r="P1623" s="6">
        <v>85</v>
      </c>
      <c r="Q1623" s="4" t="s">
        <v>26</v>
      </c>
      <c r="R1623" s="4">
        <v>0</v>
      </c>
      <c r="S1623" s="6">
        <v>35</v>
      </c>
      <c r="T1623" s="6">
        <v>0</v>
      </c>
      <c r="U1623" s="6">
        <v>0</v>
      </c>
      <c r="V1623" s="6">
        <f>IF(ISERROR(VLOOKUP($S$1623,'TAR FIN'!$A$1:$O$120,15,0)),0,VLOOKUP($S$1623,'TAR FIN'!$A$1:$O$120,15,0))</f>
        <v>12.24</v>
      </c>
      <c r="W1623" s="6">
        <f>IF(ISERROR(VLOOKUP($T$1623,'TAR FIN'!$A$1:$O$120,15,0)),0,VLOOKUP($T$1623,'TAR FIN'!$A$1:$O$120,15,0))</f>
        <v>0</v>
      </c>
      <c r="X1623" s="6">
        <f>IF(ISERROR(VLOOKUP($U$1623,'TAR FIN'!$A$1:$O$120,15,0)),0,VLOOKUP($U$1623,'TAR FIN'!$A$1:$O$120,15,0))</f>
        <v>0</v>
      </c>
      <c r="Y1623" s="6">
        <f ca="1">('TUSD BE'!$AM$43+'TUSD BF'!$AM$43+'TUSD CVA'!$AM$43)*1</f>
        <v>16.00053546174815</v>
      </c>
      <c r="Z1623" s="6"/>
      <c r="AA1623" s="6"/>
      <c r="AB1623" s="6">
        <f>$K$1623*$V$1623</f>
        <v>743371.92</v>
      </c>
      <c r="AC1623" s="6">
        <f>$M$1623*$W$1623</f>
        <v>0</v>
      </c>
      <c r="AD1623" s="6">
        <f>$O$1623*$X$1623</f>
        <v>0</v>
      </c>
      <c r="AE1623" s="6">
        <f ca="1">$K$1623*$Y$1623</f>
        <v>971760.52019835042</v>
      </c>
      <c r="AF1623" s="6">
        <f>$M$1623*$Z$1623</f>
        <v>0</v>
      </c>
      <c r="AG1623" s="6">
        <f>$O$1623*$AA$1623</f>
        <v>0</v>
      </c>
    </row>
    <row r="1624" spans="1:33" ht="11.25" customHeight="1" x14ac:dyDescent="0.25">
      <c r="A1624" s="4" t="s">
        <v>28</v>
      </c>
      <c r="B1624" s="4" t="s">
        <v>44</v>
      </c>
      <c r="C1624" s="4" t="s">
        <v>34</v>
      </c>
      <c r="D1624" s="4" t="s">
        <v>48</v>
      </c>
      <c r="E1624" s="4" t="s">
        <v>25</v>
      </c>
      <c r="F1624" s="4" t="s">
        <v>25</v>
      </c>
      <c r="G1624" s="4" t="s">
        <v>25</v>
      </c>
      <c r="H1624" s="4" t="s">
        <v>25</v>
      </c>
      <c r="I1624" s="5">
        <v>43952</v>
      </c>
      <c r="J1624" s="6">
        <v>5350</v>
      </c>
      <c r="K1624" s="6">
        <v>5350</v>
      </c>
      <c r="L1624" s="6">
        <v>0</v>
      </c>
      <c r="M1624" s="6">
        <v>0</v>
      </c>
      <c r="N1624" s="6">
        <v>0</v>
      </c>
      <c r="O1624" s="6">
        <v>0</v>
      </c>
      <c r="P1624" s="6">
        <v>6</v>
      </c>
      <c r="Q1624" s="4" t="s">
        <v>26</v>
      </c>
      <c r="R1624" s="4">
        <v>0</v>
      </c>
      <c r="S1624" s="6">
        <v>35</v>
      </c>
      <c r="T1624" s="6">
        <v>0</v>
      </c>
      <c r="U1624" s="6">
        <v>0</v>
      </c>
      <c r="V1624" s="6">
        <f>IF(ISERROR(VLOOKUP($S$1624,'TAR FIN'!$A$1:$O$120,15,0)),0,VLOOKUP($S$1624,'TAR FIN'!$A$1:$O$120,15,0))</f>
        <v>12.24</v>
      </c>
      <c r="W1624" s="6">
        <f>IF(ISERROR(VLOOKUP($T$1624,'TAR FIN'!$A$1:$O$120,15,0)),0,VLOOKUP($T$1624,'TAR FIN'!$A$1:$O$120,15,0))</f>
        <v>0</v>
      </c>
      <c r="X1624" s="6">
        <f>IF(ISERROR(VLOOKUP($U$1624,'TAR FIN'!$A$1:$O$120,15,0)),0,VLOOKUP($U$1624,'TAR FIN'!$A$1:$O$120,15,0))</f>
        <v>0</v>
      </c>
      <c r="Y1624" s="6">
        <f ca="1">('TUSD BE'!$AM$43+'TUSD BF'!$AM$43+'TUSD CVA'!$AM$43)*1</f>
        <v>16.00053546174815</v>
      </c>
      <c r="Z1624" s="6"/>
      <c r="AA1624" s="6"/>
      <c r="AB1624" s="6">
        <f>$K$1624*$V$1624</f>
        <v>65484</v>
      </c>
      <c r="AC1624" s="6">
        <f>$M$1624*$W$1624</f>
        <v>0</v>
      </c>
      <c r="AD1624" s="6">
        <f>$O$1624*$X$1624</f>
        <v>0</v>
      </c>
      <c r="AE1624" s="6">
        <f ca="1">$K$1624*$Y$1624</f>
        <v>85602.864720352605</v>
      </c>
      <c r="AF1624" s="6">
        <f>$M$1624*$Z$1624</f>
        <v>0</v>
      </c>
      <c r="AG1624" s="6">
        <f>$O$1624*$AA$1624</f>
        <v>0</v>
      </c>
    </row>
    <row r="1625" spans="1:33" ht="11.25" customHeight="1" x14ac:dyDescent="0.25">
      <c r="A1625" s="4" t="s">
        <v>21</v>
      </c>
      <c r="B1625" s="4" t="s">
        <v>44</v>
      </c>
      <c r="C1625" s="4" t="s">
        <v>34</v>
      </c>
      <c r="D1625" s="4" t="s">
        <v>48</v>
      </c>
      <c r="E1625" s="4" t="s">
        <v>25</v>
      </c>
      <c r="F1625" s="4" t="s">
        <v>25</v>
      </c>
      <c r="G1625" s="4" t="s">
        <v>25</v>
      </c>
      <c r="H1625" s="4" t="s">
        <v>25</v>
      </c>
      <c r="I1625" s="5">
        <v>43983</v>
      </c>
      <c r="J1625" s="6">
        <v>59614</v>
      </c>
      <c r="K1625" s="6">
        <v>59614</v>
      </c>
      <c r="L1625" s="6">
        <v>0</v>
      </c>
      <c r="M1625" s="6">
        <v>0</v>
      </c>
      <c r="N1625" s="6">
        <v>0</v>
      </c>
      <c r="O1625" s="6">
        <v>0</v>
      </c>
      <c r="P1625" s="6">
        <v>85</v>
      </c>
      <c r="Q1625" s="4" t="s">
        <v>26</v>
      </c>
      <c r="R1625" s="4">
        <v>0</v>
      </c>
      <c r="S1625" s="6">
        <v>35</v>
      </c>
      <c r="T1625" s="6">
        <v>0</v>
      </c>
      <c r="U1625" s="6">
        <v>0</v>
      </c>
      <c r="V1625" s="6">
        <f>IF(ISERROR(VLOOKUP($S$1625,'TAR FIN'!$A$1:$O$120,15,0)),0,VLOOKUP($S$1625,'TAR FIN'!$A$1:$O$120,15,0))</f>
        <v>12.24</v>
      </c>
      <c r="W1625" s="6">
        <f>IF(ISERROR(VLOOKUP($T$1625,'TAR FIN'!$A$1:$O$120,15,0)),0,VLOOKUP($T$1625,'TAR FIN'!$A$1:$O$120,15,0))</f>
        <v>0</v>
      </c>
      <c r="X1625" s="6">
        <f>IF(ISERROR(VLOOKUP($U$1625,'TAR FIN'!$A$1:$O$120,15,0)),0,VLOOKUP($U$1625,'TAR FIN'!$A$1:$O$120,15,0))</f>
        <v>0</v>
      </c>
      <c r="Y1625" s="6">
        <f ca="1">('TUSD BE'!$AM$43+'TUSD BF'!$AM$43+'TUSD CVA'!$AM$43)*1</f>
        <v>16.00053546174815</v>
      </c>
      <c r="Z1625" s="6"/>
      <c r="AA1625" s="6"/>
      <c r="AB1625" s="6">
        <f>$K$1625*$V$1625</f>
        <v>729675.36</v>
      </c>
      <c r="AC1625" s="6">
        <f>$M$1625*$W$1625</f>
        <v>0</v>
      </c>
      <c r="AD1625" s="6">
        <f>$O$1625*$X$1625</f>
        <v>0</v>
      </c>
      <c r="AE1625" s="6">
        <f ca="1">$K$1625*$Y$1625</f>
        <v>953855.92101665423</v>
      </c>
      <c r="AF1625" s="6">
        <f>$M$1625*$Z$1625</f>
        <v>0</v>
      </c>
      <c r="AG1625" s="6">
        <f>$O$1625*$AA$1625</f>
        <v>0</v>
      </c>
    </row>
    <row r="1626" spans="1:33" ht="11.25" customHeight="1" x14ac:dyDescent="0.25">
      <c r="A1626" s="4" t="s">
        <v>28</v>
      </c>
      <c r="B1626" s="4" t="s">
        <v>44</v>
      </c>
      <c r="C1626" s="4" t="s">
        <v>34</v>
      </c>
      <c r="D1626" s="4" t="s">
        <v>48</v>
      </c>
      <c r="E1626" s="4" t="s">
        <v>25</v>
      </c>
      <c r="F1626" s="4" t="s">
        <v>25</v>
      </c>
      <c r="G1626" s="4" t="s">
        <v>25</v>
      </c>
      <c r="H1626" s="4" t="s">
        <v>25</v>
      </c>
      <c r="I1626" s="5">
        <v>43983</v>
      </c>
      <c r="J1626" s="6">
        <v>6600</v>
      </c>
      <c r="K1626" s="6">
        <v>6600</v>
      </c>
      <c r="L1626" s="6">
        <v>0</v>
      </c>
      <c r="M1626" s="6">
        <v>0</v>
      </c>
      <c r="N1626" s="6">
        <v>0</v>
      </c>
      <c r="O1626" s="6">
        <v>0</v>
      </c>
      <c r="P1626" s="6">
        <v>7</v>
      </c>
      <c r="Q1626" s="4" t="s">
        <v>26</v>
      </c>
      <c r="R1626" s="4">
        <v>0</v>
      </c>
      <c r="S1626" s="6">
        <v>35</v>
      </c>
      <c r="T1626" s="6">
        <v>0</v>
      </c>
      <c r="U1626" s="6">
        <v>0</v>
      </c>
      <c r="V1626" s="6">
        <f>IF(ISERROR(VLOOKUP($S$1626,'TAR FIN'!$A$1:$O$120,15,0)),0,VLOOKUP($S$1626,'TAR FIN'!$A$1:$O$120,15,0))</f>
        <v>12.24</v>
      </c>
      <c r="W1626" s="6">
        <f>IF(ISERROR(VLOOKUP($T$1626,'TAR FIN'!$A$1:$O$120,15,0)),0,VLOOKUP($T$1626,'TAR FIN'!$A$1:$O$120,15,0))</f>
        <v>0</v>
      </c>
      <c r="X1626" s="6">
        <f>IF(ISERROR(VLOOKUP($U$1626,'TAR FIN'!$A$1:$O$120,15,0)),0,VLOOKUP($U$1626,'TAR FIN'!$A$1:$O$120,15,0))</f>
        <v>0</v>
      </c>
      <c r="Y1626" s="6">
        <f ca="1">('TUSD BE'!$AM$43+'TUSD BF'!$AM$43+'TUSD CVA'!$AM$43)*1</f>
        <v>16.00053546174815</v>
      </c>
      <c r="Z1626" s="6"/>
      <c r="AA1626" s="6"/>
      <c r="AB1626" s="6">
        <f>$K$1626*$V$1626</f>
        <v>80784</v>
      </c>
      <c r="AC1626" s="6">
        <f>$M$1626*$W$1626</f>
        <v>0</v>
      </c>
      <c r="AD1626" s="6">
        <f>$O$1626*$X$1626</f>
        <v>0</v>
      </c>
      <c r="AE1626" s="6">
        <f ca="1">$K$1626*$Y$1626</f>
        <v>105603.53404753779</v>
      </c>
      <c r="AF1626" s="6">
        <f>$M$1626*$Z$1626</f>
        <v>0</v>
      </c>
      <c r="AG1626" s="6">
        <f>$O$1626*$AA$1626</f>
        <v>0</v>
      </c>
    </row>
    <row r="1627" spans="1:33" ht="11.25" customHeight="1" x14ac:dyDescent="0.25">
      <c r="A1627" s="4" t="s">
        <v>21</v>
      </c>
      <c r="B1627" s="4" t="s">
        <v>44</v>
      </c>
      <c r="C1627" s="4" t="s">
        <v>34</v>
      </c>
      <c r="D1627" s="4" t="s">
        <v>48</v>
      </c>
      <c r="E1627" s="4" t="s">
        <v>25</v>
      </c>
      <c r="F1627" s="4" t="s">
        <v>25</v>
      </c>
      <c r="G1627" s="4" t="s">
        <v>25</v>
      </c>
      <c r="H1627" s="4" t="s">
        <v>25</v>
      </c>
      <c r="I1627" s="5">
        <v>44013</v>
      </c>
      <c r="J1627" s="6">
        <v>58967</v>
      </c>
      <c r="K1627" s="6">
        <v>58967</v>
      </c>
      <c r="L1627" s="6">
        <v>0</v>
      </c>
      <c r="M1627" s="6">
        <v>0</v>
      </c>
      <c r="N1627" s="6">
        <v>0</v>
      </c>
      <c r="O1627" s="6">
        <v>0</v>
      </c>
      <c r="P1627" s="6">
        <v>83</v>
      </c>
      <c r="Q1627" s="4" t="s">
        <v>26</v>
      </c>
      <c r="R1627" s="4">
        <v>0</v>
      </c>
      <c r="S1627" s="6">
        <v>35</v>
      </c>
      <c r="T1627" s="6">
        <v>0</v>
      </c>
      <c r="U1627" s="6">
        <v>0</v>
      </c>
      <c r="V1627" s="6">
        <f>IF(ISERROR(VLOOKUP($S$1627,'TAR FIN'!$A$1:$O$120,15,0)),0,VLOOKUP($S$1627,'TAR FIN'!$A$1:$O$120,15,0))</f>
        <v>12.24</v>
      </c>
      <c r="W1627" s="6">
        <f>IF(ISERROR(VLOOKUP($T$1627,'TAR FIN'!$A$1:$O$120,15,0)),0,VLOOKUP($T$1627,'TAR FIN'!$A$1:$O$120,15,0))</f>
        <v>0</v>
      </c>
      <c r="X1627" s="6">
        <f>IF(ISERROR(VLOOKUP($U$1627,'TAR FIN'!$A$1:$O$120,15,0)),0,VLOOKUP($U$1627,'TAR FIN'!$A$1:$O$120,15,0))</f>
        <v>0</v>
      </c>
      <c r="Y1627" s="6">
        <f ca="1">('TUSD BE'!$AM$43+'TUSD BF'!$AM$43+'TUSD CVA'!$AM$43)*1</f>
        <v>16.00053546174815</v>
      </c>
      <c r="Z1627" s="6"/>
      <c r="AA1627" s="6"/>
      <c r="AB1627" s="6">
        <f>$K$1627*$V$1627</f>
        <v>721756.08</v>
      </c>
      <c r="AC1627" s="6">
        <f>$M$1627*$W$1627</f>
        <v>0</v>
      </c>
      <c r="AD1627" s="6">
        <f>$O$1627*$X$1627</f>
        <v>0</v>
      </c>
      <c r="AE1627" s="6">
        <f ca="1">$K$1627*$Y$1627</f>
        <v>943503.57457290322</v>
      </c>
      <c r="AF1627" s="6">
        <f>$M$1627*$Z$1627</f>
        <v>0</v>
      </c>
      <c r="AG1627" s="6">
        <f>$O$1627*$AA$1627</f>
        <v>0</v>
      </c>
    </row>
    <row r="1628" spans="1:33" ht="11.25" customHeight="1" x14ac:dyDescent="0.25">
      <c r="A1628" s="4" t="s">
        <v>28</v>
      </c>
      <c r="B1628" s="4" t="s">
        <v>44</v>
      </c>
      <c r="C1628" s="4" t="s">
        <v>34</v>
      </c>
      <c r="D1628" s="4" t="s">
        <v>48</v>
      </c>
      <c r="E1628" s="4" t="s">
        <v>25</v>
      </c>
      <c r="F1628" s="4" t="s">
        <v>25</v>
      </c>
      <c r="G1628" s="4" t="s">
        <v>25</v>
      </c>
      <c r="H1628" s="4" t="s">
        <v>25</v>
      </c>
      <c r="I1628" s="5">
        <v>44013</v>
      </c>
      <c r="J1628" s="6">
        <v>6600</v>
      </c>
      <c r="K1628" s="6">
        <v>6600</v>
      </c>
      <c r="L1628" s="6">
        <v>0</v>
      </c>
      <c r="M1628" s="6">
        <v>0</v>
      </c>
      <c r="N1628" s="6">
        <v>0</v>
      </c>
      <c r="O1628" s="6">
        <v>0</v>
      </c>
      <c r="P1628" s="6">
        <v>6</v>
      </c>
      <c r="Q1628" s="4" t="s">
        <v>26</v>
      </c>
      <c r="R1628" s="4">
        <v>0</v>
      </c>
      <c r="S1628" s="6">
        <v>35</v>
      </c>
      <c r="T1628" s="6">
        <v>0</v>
      </c>
      <c r="U1628" s="6">
        <v>0</v>
      </c>
      <c r="V1628" s="6">
        <f>IF(ISERROR(VLOOKUP($S$1628,'TAR FIN'!$A$1:$O$120,15,0)),0,VLOOKUP($S$1628,'TAR FIN'!$A$1:$O$120,15,0))</f>
        <v>12.24</v>
      </c>
      <c r="W1628" s="6">
        <f>IF(ISERROR(VLOOKUP($T$1628,'TAR FIN'!$A$1:$O$120,15,0)),0,VLOOKUP($T$1628,'TAR FIN'!$A$1:$O$120,15,0))</f>
        <v>0</v>
      </c>
      <c r="X1628" s="6">
        <f>IF(ISERROR(VLOOKUP($U$1628,'TAR FIN'!$A$1:$O$120,15,0)),0,VLOOKUP($U$1628,'TAR FIN'!$A$1:$O$120,15,0))</f>
        <v>0</v>
      </c>
      <c r="Y1628" s="6">
        <f ca="1">('TUSD BE'!$AM$43+'TUSD BF'!$AM$43+'TUSD CVA'!$AM$43)*1</f>
        <v>16.00053546174815</v>
      </c>
      <c r="Z1628" s="6"/>
      <c r="AA1628" s="6"/>
      <c r="AB1628" s="6">
        <f>$K$1628*$V$1628</f>
        <v>80784</v>
      </c>
      <c r="AC1628" s="6">
        <f>$M$1628*$W$1628</f>
        <v>0</v>
      </c>
      <c r="AD1628" s="6">
        <f>$O$1628*$X$1628</f>
        <v>0</v>
      </c>
      <c r="AE1628" s="6">
        <f ca="1">$K$1628*$Y$1628</f>
        <v>105603.53404753779</v>
      </c>
      <c r="AF1628" s="6">
        <f>$M$1628*$Z$1628</f>
        <v>0</v>
      </c>
      <c r="AG1628" s="6">
        <f>$O$1628*$AA$1628</f>
        <v>0</v>
      </c>
    </row>
    <row r="1629" spans="1:33" ht="11.25" customHeight="1" x14ac:dyDescent="0.25">
      <c r="A1629" s="4" t="s">
        <v>21</v>
      </c>
      <c r="B1629" s="4" t="s">
        <v>44</v>
      </c>
      <c r="C1629" s="4" t="s">
        <v>34</v>
      </c>
      <c r="D1629" s="4" t="s">
        <v>48</v>
      </c>
      <c r="E1629" s="4" t="s">
        <v>25</v>
      </c>
      <c r="F1629" s="4" t="s">
        <v>25</v>
      </c>
      <c r="G1629" s="4" t="s">
        <v>25</v>
      </c>
      <c r="H1629" s="4" t="s">
        <v>25</v>
      </c>
      <c r="I1629" s="5">
        <v>44044</v>
      </c>
      <c r="J1629" s="6">
        <v>57091</v>
      </c>
      <c r="K1629" s="6">
        <v>57091</v>
      </c>
      <c r="L1629" s="6">
        <v>0</v>
      </c>
      <c r="M1629" s="6">
        <v>0</v>
      </c>
      <c r="N1629" s="6">
        <v>0</v>
      </c>
      <c r="O1629" s="6">
        <v>0</v>
      </c>
      <c r="P1629" s="6">
        <v>82</v>
      </c>
      <c r="Q1629" s="4" t="s">
        <v>26</v>
      </c>
      <c r="R1629" s="4">
        <v>0</v>
      </c>
      <c r="S1629" s="6">
        <v>35</v>
      </c>
      <c r="T1629" s="6">
        <v>0</v>
      </c>
      <c r="U1629" s="6">
        <v>0</v>
      </c>
      <c r="V1629" s="6">
        <f>IF(ISERROR(VLOOKUP($S$1629,'TAR FIN'!$A$1:$O$120,15,0)),0,VLOOKUP($S$1629,'TAR FIN'!$A$1:$O$120,15,0))</f>
        <v>12.24</v>
      </c>
      <c r="W1629" s="6">
        <f>IF(ISERROR(VLOOKUP($T$1629,'TAR FIN'!$A$1:$O$120,15,0)),0,VLOOKUP($T$1629,'TAR FIN'!$A$1:$O$120,15,0))</f>
        <v>0</v>
      </c>
      <c r="X1629" s="6">
        <f>IF(ISERROR(VLOOKUP($U$1629,'TAR FIN'!$A$1:$O$120,15,0)),0,VLOOKUP($U$1629,'TAR FIN'!$A$1:$O$120,15,0))</f>
        <v>0</v>
      </c>
      <c r="Y1629" s="6">
        <f ca="1">('TUSD BE'!$AM$43+'TUSD BF'!$AM$43+'TUSD CVA'!$AM$43)*1</f>
        <v>16.00053546174815</v>
      </c>
      <c r="Z1629" s="6"/>
      <c r="AA1629" s="6"/>
      <c r="AB1629" s="6">
        <f>$K$1629*$V$1629</f>
        <v>698793.84</v>
      </c>
      <c r="AC1629" s="6">
        <f>$M$1629*$W$1629</f>
        <v>0</v>
      </c>
      <c r="AD1629" s="6">
        <f>$O$1629*$X$1629</f>
        <v>0</v>
      </c>
      <c r="AE1629" s="6">
        <f ca="1">$K$1629*$Y$1629</f>
        <v>913486.57004666363</v>
      </c>
      <c r="AF1629" s="6">
        <f>$M$1629*$Z$1629</f>
        <v>0</v>
      </c>
      <c r="AG1629" s="6">
        <f>$O$1629*$AA$1629</f>
        <v>0</v>
      </c>
    </row>
    <row r="1630" spans="1:33" ht="11.25" customHeight="1" x14ac:dyDescent="0.25">
      <c r="A1630" s="4" t="s">
        <v>27</v>
      </c>
      <c r="B1630" s="4" t="s">
        <v>44</v>
      </c>
      <c r="C1630" s="4" t="s">
        <v>34</v>
      </c>
      <c r="D1630" s="4" t="s">
        <v>48</v>
      </c>
      <c r="E1630" s="4" t="s">
        <v>25</v>
      </c>
      <c r="F1630" s="4" t="s">
        <v>25</v>
      </c>
      <c r="G1630" s="4" t="s">
        <v>25</v>
      </c>
      <c r="H1630" s="4" t="s">
        <v>25</v>
      </c>
      <c r="I1630" s="5">
        <v>44044</v>
      </c>
      <c r="J1630" s="6">
        <v>1930</v>
      </c>
      <c r="K1630" s="6">
        <v>1930</v>
      </c>
      <c r="L1630" s="6">
        <v>0</v>
      </c>
      <c r="M1630" s="6">
        <v>0</v>
      </c>
      <c r="N1630" s="6">
        <v>0</v>
      </c>
      <c r="O1630" s="6">
        <v>0</v>
      </c>
      <c r="P1630" s="6">
        <v>1</v>
      </c>
      <c r="Q1630" s="4" t="s">
        <v>26</v>
      </c>
      <c r="R1630" s="4">
        <v>0</v>
      </c>
      <c r="S1630" s="6">
        <v>35</v>
      </c>
      <c r="T1630" s="6">
        <v>0</v>
      </c>
      <c r="U1630" s="6">
        <v>0</v>
      </c>
      <c r="V1630" s="6">
        <f>IF(ISERROR(VLOOKUP($S$1630,'TAR FIN'!$A$1:$O$120,15,0)),0,VLOOKUP($S$1630,'TAR FIN'!$A$1:$O$120,15,0))</f>
        <v>12.24</v>
      </c>
      <c r="W1630" s="6">
        <f>IF(ISERROR(VLOOKUP($T$1630,'TAR FIN'!$A$1:$O$120,15,0)),0,VLOOKUP($T$1630,'TAR FIN'!$A$1:$O$120,15,0))</f>
        <v>0</v>
      </c>
      <c r="X1630" s="6">
        <f>IF(ISERROR(VLOOKUP($U$1630,'TAR FIN'!$A$1:$O$120,15,0)),0,VLOOKUP($U$1630,'TAR FIN'!$A$1:$O$120,15,0))</f>
        <v>0</v>
      </c>
      <c r="Y1630" s="6">
        <f ca="1">('TUSD BE'!$AM$43+'TUSD BF'!$AM$43+'TUSD CVA'!$AM$43)*1</f>
        <v>16.00053546174815</v>
      </c>
      <c r="Z1630" s="6"/>
      <c r="AA1630" s="6"/>
      <c r="AB1630" s="6">
        <f>$K$1630*$V$1630</f>
        <v>23623.200000000001</v>
      </c>
      <c r="AC1630" s="6">
        <f>$M$1630*$W$1630</f>
        <v>0</v>
      </c>
      <c r="AD1630" s="6">
        <f>$O$1630*$X$1630</f>
        <v>0</v>
      </c>
      <c r="AE1630" s="6">
        <f ca="1">$K$1630*$Y$1630</f>
        <v>30881.033441173931</v>
      </c>
      <c r="AF1630" s="6">
        <f>$M$1630*$Z$1630</f>
        <v>0</v>
      </c>
      <c r="AG1630" s="6">
        <f>$O$1630*$AA$1630</f>
        <v>0</v>
      </c>
    </row>
    <row r="1631" spans="1:33" ht="11.25" customHeight="1" x14ac:dyDescent="0.25">
      <c r="A1631" s="4" t="s">
        <v>28</v>
      </c>
      <c r="B1631" s="4" t="s">
        <v>44</v>
      </c>
      <c r="C1631" s="4" t="s">
        <v>34</v>
      </c>
      <c r="D1631" s="4" t="s">
        <v>48</v>
      </c>
      <c r="E1631" s="4" t="s">
        <v>25</v>
      </c>
      <c r="F1631" s="4" t="s">
        <v>25</v>
      </c>
      <c r="G1631" s="4" t="s">
        <v>25</v>
      </c>
      <c r="H1631" s="4" t="s">
        <v>25</v>
      </c>
      <c r="I1631" s="5">
        <v>44044</v>
      </c>
      <c r="J1631" s="6">
        <v>6600</v>
      </c>
      <c r="K1631" s="6">
        <v>6600</v>
      </c>
      <c r="L1631" s="6">
        <v>0</v>
      </c>
      <c r="M1631" s="6">
        <v>0</v>
      </c>
      <c r="N1631" s="6">
        <v>0</v>
      </c>
      <c r="O1631" s="6">
        <v>0</v>
      </c>
      <c r="P1631" s="6">
        <v>7</v>
      </c>
      <c r="Q1631" s="4" t="s">
        <v>26</v>
      </c>
      <c r="R1631" s="4">
        <v>0</v>
      </c>
      <c r="S1631" s="6">
        <v>35</v>
      </c>
      <c r="T1631" s="6">
        <v>0</v>
      </c>
      <c r="U1631" s="6">
        <v>0</v>
      </c>
      <c r="V1631" s="6">
        <f>IF(ISERROR(VLOOKUP($S$1631,'TAR FIN'!$A$1:$O$120,15,0)),0,VLOOKUP($S$1631,'TAR FIN'!$A$1:$O$120,15,0))</f>
        <v>12.24</v>
      </c>
      <c r="W1631" s="6">
        <f>IF(ISERROR(VLOOKUP($T$1631,'TAR FIN'!$A$1:$O$120,15,0)),0,VLOOKUP($T$1631,'TAR FIN'!$A$1:$O$120,15,0))</f>
        <v>0</v>
      </c>
      <c r="X1631" s="6">
        <f>IF(ISERROR(VLOOKUP($U$1631,'TAR FIN'!$A$1:$O$120,15,0)),0,VLOOKUP($U$1631,'TAR FIN'!$A$1:$O$120,15,0))</f>
        <v>0</v>
      </c>
      <c r="Y1631" s="6">
        <f ca="1">('TUSD BE'!$AM$43+'TUSD BF'!$AM$43+'TUSD CVA'!$AM$43)*1</f>
        <v>16.00053546174815</v>
      </c>
      <c r="Z1631" s="6"/>
      <c r="AA1631" s="6"/>
      <c r="AB1631" s="6">
        <f>$K$1631*$V$1631</f>
        <v>80784</v>
      </c>
      <c r="AC1631" s="6">
        <f>$M$1631*$W$1631</f>
        <v>0</v>
      </c>
      <c r="AD1631" s="6">
        <f>$O$1631*$X$1631</f>
        <v>0</v>
      </c>
      <c r="AE1631" s="6">
        <f ca="1">$K$1631*$Y$1631</f>
        <v>105603.53404753779</v>
      </c>
      <c r="AF1631" s="6">
        <f>$M$1631*$Z$1631</f>
        <v>0</v>
      </c>
      <c r="AG1631" s="6">
        <f>$O$1631*$AA$1631</f>
        <v>0</v>
      </c>
    </row>
    <row r="1632" spans="1:33" ht="11.25" customHeight="1" x14ac:dyDescent="0.25">
      <c r="A1632" s="4" t="s">
        <v>59</v>
      </c>
      <c r="B1632" s="4" t="s">
        <v>44</v>
      </c>
      <c r="C1632" s="4" t="s">
        <v>34</v>
      </c>
      <c r="D1632" s="4" t="s">
        <v>48</v>
      </c>
      <c r="E1632" s="4" t="s">
        <v>25</v>
      </c>
      <c r="F1632" s="4" t="s">
        <v>25</v>
      </c>
      <c r="G1632" s="4" t="s">
        <v>25</v>
      </c>
      <c r="H1632" s="4" t="s">
        <v>25</v>
      </c>
      <c r="I1632" s="5">
        <v>44075</v>
      </c>
      <c r="J1632" s="6">
        <v>57091</v>
      </c>
      <c r="K1632" s="6">
        <v>57091</v>
      </c>
      <c r="L1632" s="6">
        <v>0</v>
      </c>
      <c r="M1632" s="6">
        <v>0</v>
      </c>
      <c r="N1632" s="6">
        <v>0</v>
      </c>
      <c r="O1632" s="6">
        <v>0</v>
      </c>
      <c r="P1632" s="6">
        <v>82</v>
      </c>
      <c r="Q1632" s="4" t="s">
        <v>26</v>
      </c>
      <c r="R1632" s="4">
        <v>0</v>
      </c>
      <c r="S1632" s="6">
        <v>35</v>
      </c>
      <c r="T1632" s="6">
        <v>0</v>
      </c>
      <c r="U1632" s="6">
        <v>0</v>
      </c>
      <c r="V1632" s="6">
        <f>IF(ISERROR(VLOOKUP($S$1632,'TAR FIN'!$A$1:$O$120,15,0)),0,VLOOKUP($S$1632,'TAR FIN'!$A$1:$O$120,15,0))</f>
        <v>12.24</v>
      </c>
      <c r="W1632" s="6">
        <f>IF(ISERROR(VLOOKUP($T$1632,'TAR FIN'!$A$1:$O$120,15,0)),0,VLOOKUP($T$1632,'TAR FIN'!$A$1:$O$120,15,0))</f>
        <v>0</v>
      </c>
      <c r="X1632" s="6">
        <f>IF(ISERROR(VLOOKUP($U$1632,'TAR FIN'!$A$1:$O$120,15,0)),0,VLOOKUP($U$1632,'TAR FIN'!$A$1:$O$120,15,0))</f>
        <v>0</v>
      </c>
      <c r="Y1632" s="6">
        <f ca="1">('TUSD BE'!$AM$43+'TUSD BF'!$AM$43+'TUSD CVA'!$AM$43)*1</f>
        <v>16.00053546174815</v>
      </c>
      <c r="Z1632" s="6"/>
      <c r="AA1632" s="6"/>
      <c r="AB1632" s="6">
        <f>$K$1632*$V$1632</f>
        <v>698793.84</v>
      </c>
      <c r="AC1632" s="6">
        <f>$M$1632*$W$1632</f>
        <v>0</v>
      </c>
      <c r="AD1632" s="6">
        <f>$O$1632*$X$1632</f>
        <v>0</v>
      </c>
      <c r="AE1632" s="6">
        <f ca="1">$K$1632*$Y$1632</f>
        <v>913486.57004666363</v>
      </c>
      <c r="AF1632" s="6">
        <f>$M$1632*$Z$1632</f>
        <v>0</v>
      </c>
      <c r="AG1632" s="6">
        <f>$O$1632*$AA$1632</f>
        <v>0</v>
      </c>
    </row>
    <row r="1633" spans="1:33" ht="11.25" customHeight="1" x14ac:dyDescent="0.25">
      <c r="A1633" s="4" t="s">
        <v>59</v>
      </c>
      <c r="B1633" s="4" t="s">
        <v>44</v>
      </c>
      <c r="C1633" s="4" t="s">
        <v>34</v>
      </c>
      <c r="D1633" s="4" t="s">
        <v>48</v>
      </c>
      <c r="E1633" s="4" t="s">
        <v>25</v>
      </c>
      <c r="F1633" s="4" t="s">
        <v>25</v>
      </c>
      <c r="G1633" s="4" t="s">
        <v>25</v>
      </c>
      <c r="H1633" s="4" t="s">
        <v>25</v>
      </c>
      <c r="I1633" s="5">
        <v>44075</v>
      </c>
      <c r="J1633" s="6">
        <v>1930</v>
      </c>
      <c r="K1633" s="6">
        <v>1930</v>
      </c>
      <c r="L1633" s="6">
        <v>0</v>
      </c>
      <c r="M1633" s="6">
        <v>0</v>
      </c>
      <c r="N1633" s="6">
        <v>0</v>
      </c>
      <c r="O1633" s="6">
        <v>0</v>
      </c>
      <c r="P1633" s="6">
        <v>1</v>
      </c>
      <c r="Q1633" s="4" t="s">
        <v>26</v>
      </c>
      <c r="R1633" s="4">
        <v>0</v>
      </c>
      <c r="S1633" s="6">
        <v>35</v>
      </c>
      <c r="T1633" s="6">
        <v>0</v>
      </c>
      <c r="U1633" s="6">
        <v>0</v>
      </c>
      <c r="V1633" s="6">
        <f>IF(ISERROR(VLOOKUP($S$1633,'TAR FIN'!$A$1:$O$120,15,0)),0,VLOOKUP($S$1633,'TAR FIN'!$A$1:$O$120,15,0))</f>
        <v>12.24</v>
      </c>
      <c r="W1633" s="6">
        <f>IF(ISERROR(VLOOKUP($T$1633,'TAR FIN'!$A$1:$O$120,15,0)),0,VLOOKUP($T$1633,'TAR FIN'!$A$1:$O$120,15,0))</f>
        <v>0</v>
      </c>
      <c r="X1633" s="6">
        <f>IF(ISERROR(VLOOKUP($U$1633,'TAR FIN'!$A$1:$O$120,15,0)),0,VLOOKUP($U$1633,'TAR FIN'!$A$1:$O$120,15,0))</f>
        <v>0</v>
      </c>
      <c r="Y1633" s="6">
        <f ca="1">('TUSD BE'!$AM$43+'TUSD BF'!$AM$43+'TUSD CVA'!$AM$43)*1</f>
        <v>16.00053546174815</v>
      </c>
      <c r="Z1633" s="6"/>
      <c r="AA1633" s="6"/>
      <c r="AB1633" s="6">
        <f>$K$1633*$V$1633</f>
        <v>23623.200000000001</v>
      </c>
      <c r="AC1633" s="6">
        <f>$M$1633*$W$1633</f>
        <v>0</v>
      </c>
      <c r="AD1633" s="6">
        <f>$O$1633*$X$1633</f>
        <v>0</v>
      </c>
      <c r="AE1633" s="6">
        <f ca="1">$K$1633*$Y$1633</f>
        <v>30881.033441173931</v>
      </c>
      <c r="AF1633" s="6">
        <f>$M$1633*$Z$1633</f>
        <v>0</v>
      </c>
      <c r="AG1633" s="6">
        <f>$O$1633*$AA$1633</f>
        <v>0</v>
      </c>
    </row>
    <row r="1634" spans="1:33" ht="11.25" customHeight="1" x14ac:dyDescent="0.25">
      <c r="A1634" s="4" t="s">
        <v>59</v>
      </c>
      <c r="B1634" s="4" t="s">
        <v>44</v>
      </c>
      <c r="C1634" s="4" t="s">
        <v>34</v>
      </c>
      <c r="D1634" s="4" t="s">
        <v>48</v>
      </c>
      <c r="E1634" s="4" t="s">
        <v>25</v>
      </c>
      <c r="F1634" s="4" t="s">
        <v>25</v>
      </c>
      <c r="G1634" s="4" t="s">
        <v>25</v>
      </c>
      <c r="H1634" s="4" t="s">
        <v>25</v>
      </c>
      <c r="I1634" s="5">
        <v>44075</v>
      </c>
      <c r="J1634" s="6">
        <v>6600</v>
      </c>
      <c r="K1634" s="6">
        <v>6600</v>
      </c>
      <c r="L1634" s="6">
        <v>0</v>
      </c>
      <c r="M1634" s="6">
        <v>0</v>
      </c>
      <c r="N1634" s="6">
        <v>0</v>
      </c>
      <c r="O1634" s="6">
        <v>0</v>
      </c>
      <c r="P1634" s="6">
        <v>7</v>
      </c>
      <c r="Q1634" s="4" t="s">
        <v>26</v>
      </c>
      <c r="R1634" s="4">
        <v>0</v>
      </c>
      <c r="S1634" s="6">
        <v>35</v>
      </c>
      <c r="T1634" s="6">
        <v>0</v>
      </c>
      <c r="U1634" s="6">
        <v>0</v>
      </c>
      <c r="V1634" s="6">
        <f>IF(ISERROR(VLOOKUP($S$1634,'TAR FIN'!$A$1:$O$120,15,0)),0,VLOOKUP($S$1634,'TAR FIN'!$A$1:$O$120,15,0))</f>
        <v>12.24</v>
      </c>
      <c r="W1634" s="6">
        <f>IF(ISERROR(VLOOKUP($T$1634,'TAR FIN'!$A$1:$O$120,15,0)),0,VLOOKUP($T$1634,'TAR FIN'!$A$1:$O$120,15,0))</f>
        <v>0</v>
      </c>
      <c r="X1634" s="6">
        <f>IF(ISERROR(VLOOKUP($U$1634,'TAR FIN'!$A$1:$O$120,15,0)),0,VLOOKUP($U$1634,'TAR FIN'!$A$1:$O$120,15,0))</f>
        <v>0</v>
      </c>
      <c r="Y1634" s="6">
        <f ca="1">('TUSD BE'!$AM$43+'TUSD BF'!$AM$43+'TUSD CVA'!$AM$43)*1</f>
        <v>16.00053546174815</v>
      </c>
      <c r="Z1634" s="6"/>
      <c r="AA1634" s="6"/>
      <c r="AB1634" s="6">
        <f>$K$1634*$V$1634</f>
        <v>80784</v>
      </c>
      <c r="AC1634" s="6">
        <f>$M$1634*$W$1634</f>
        <v>0</v>
      </c>
      <c r="AD1634" s="6">
        <f>$O$1634*$X$1634</f>
        <v>0</v>
      </c>
      <c r="AE1634" s="6">
        <f ca="1">$K$1634*$Y$1634</f>
        <v>105603.53404753779</v>
      </c>
      <c r="AF1634" s="6">
        <f>$M$1634*$Z$1634</f>
        <v>0</v>
      </c>
      <c r="AG1634" s="6">
        <f>$O$1634*$AA$1634</f>
        <v>0</v>
      </c>
    </row>
    <row r="1635" spans="1:33" ht="11.25" customHeight="1" x14ac:dyDescent="0.25">
      <c r="A1635" s="4" t="s">
        <v>21</v>
      </c>
      <c r="B1635" s="4" t="s">
        <v>44</v>
      </c>
      <c r="C1635" s="4" t="s">
        <v>34</v>
      </c>
      <c r="D1635" s="4" t="s">
        <v>48</v>
      </c>
      <c r="E1635" s="4" t="s">
        <v>25</v>
      </c>
      <c r="F1635" s="4" t="s">
        <v>25</v>
      </c>
      <c r="G1635" s="4" t="s">
        <v>25</v>
      </c>
      <c r="H1635" s="4" t="s">
        <v>35</v>
      </c>
      <c r="I1635" s="5">
        <v>43739</v>
      </c>
      <c r="J1635" s="6">
        <v>0</v>
      </c>
      <c r="K1635" s="6">
        <v>0</v>
      </c>
      <c r="L1635" s="6">
        <v>1416.6110000000001</v>
      </c>
      <c r="M1635" s="6">
        <v>1416.6110000000001</v>
      </c>
      <c r="N1635" s="6">
        <v>1416.6110000000001</v>
      </c>
      <c r="O1635" s="6">
        <v>1416.6110000000001</v>
      </c>
      <c r="P1635" s="6">
        <v>0</v>
      </c>
      <c r="Q1635" s="4" t="s">
        <v>26</v>
      </c>
      <c r="R1635" s="4">
        <v>0</v>
      </c>
      <c r="S1635" s="6">
        <v>0</v>
      </c>
      <c r="T1635" s="6">
        <v>36</v>
      </c>
      <c r="U1635" s="6">
        <v>83</v>
      </c>
      <c r="V1635" s="6">
        <f>IF(ISERROR(VLOOKUP($S$1635,'TAR FIN'!$A$1:$O$120,15,0)),0,VLOOKUP($S$1635,'TAR FIN'!$A$1:$O$120,15,0))</f>
        <v>0</v>
      </c>
      <c r="W1635" s="6">
        <f>IF(ISERROR(VLOOKUP($T$1635,'TAR FIN'!$A$1:$O$120,15,0)),0,VLOOKUP($T$1635,'TAR FIN'!$A$1:$O$120,15,0))</f>
        <v>1174.6600000000001</v>
      </c>
      <c r="X1635" s="6">
        <f>IF(ISERROR(VLOOKUP($U$1635,'TAR FIN'!$A$1:$O$120,15,0)),0,VLOOKUP($U$1635,'TAR FIN'!$A$1:$O$120,15,0))</f>
        <v>430.87</v>
      </c>
      <c r="Y1635" s="6"/>
      <c r="Z1635" s="6">
        <f ca="1">('TUSD BE'!$AM$44+'TUSD BF'!$AM$44+'TUSD CVA'!$AM$44)*1</f>
        <v>1305.5497259800161</v>
      </c>
      <c r="AA1635" s="6">
        <f>('TE BE'!$AA$13+'TE BF'!$AA$13+'TE CVA'!$AA$13)*1</f>
        <v>375.69180268700768</v>
      </c>
      <c r="AB1635" s="6">
        <f>$K$1635*$V$1635</f>
        <v>0</v>
      </c>
      <c r="AC1635" s="6">
        <f>$M$1635*$W$1635</f>
        <v>1664036.2772600004</v>
      </c>
      <c r="AD1635" s="6">
        <f>$O$1635*$X$1635</f>
        <v>610375.18157000002</v>
      </c>
      <c r="AE1635" s="6">
        <f>$K$1635*$Y$1635</f>
        <v>0</v>
      </c>
      <c r="AF1635" s="6">
        <f ca="1">$M$1635*$Z$1635</f>
        <v>1849456.1028702767</v>
      </c>
      <c r="AG1635" s="6">
        <f>$O$1635*$AA$1635</f>
        <v>532209.14029624464</v>
      </c>
    </row>
    <row r="1636" spans="1:33" ht="11.25" customHeight="1" x14ac:dyDescent="0.25">
      <c r="A1636" s="4" t="s">
        <v>21</v>
      </c>
      <c r="B1636" s="4" t="s">
        <v>44</v>
      </c>
      <c r="C1636" s="4" t="s">
        <v>34</v>
      </c>
      <c r="D1636" s="4" t="s">
        <v>48</v>
      </c>
      <c r="E1636" s="4" t="s">
        <v>25</v>
      </c>
      <c r="F1636" s="4" t="s">
        <v>25</v>
      </c>
      <c r="G1636" s="4" t="s">
        <v>25</v>
      </c>
      <c r="H1636" s="4" t="s">
        <v>35</v>
      </c>
      <c r="I1636" s="5">
        <v>43770</v>
      </c>
      <c r="J1636" s="6">
        <v>0</v>
      </c>
      <c r="K1636" s="6">
        <v>0</v>
      </c>
      <c r="L1636" s="6">
        <v>1353.77</v>
      </c>
      <c r="M1636" s="6">
        <v>1353.77</v>
      </c>
      <c r="N1636" s="6">
        <v>1353.77</v>
      </c>
      <c r="O1636" s="6">
        <v>1353.77</v>
      </c>
      <c r="P1636" s="6">
        <v>0</v>
      </c>
      <c r="Q1636" s="4" t="s">
        <v>26</v>
      </c>
      <c r="R1636" s="4">
        <v>0</v>
      </c>
      <c r="S1636" s="6">
        <v>0</v>
      </c>
      <c r="T1636" s="6">
        <v>36</v>
      </c>
      <c r="U1636" s="6">
        <v>83</v>
      </c>
      <c r="V1636" s="6">
        <f>IF(ISERROR(VLOOKUP($S$1636,'TAR FIN'!$A$1:$O$120,15,0)),0,VLOOKUP($S$1636,'TAR FIN'!$A$1:$O$120,15,0))</f>
        <v>0</v>
      </c>
      <c r="W1636" s="6">
        <f>IF(ISERROR(VLOOKUP($T$1636,'TAR FIN'!$A$1:$O$120,15,0)),0,VLOOKUP($T$1636,'TAR FIN'!$A$1:$O$120,15,0))</f>
        <v>1174.6600000000001</v>
      </c>
      <c r="X1636" s="6">
        <f>IF(ISERROR(VLOOKUP($U$1636,'TAR FIN'!$A$1:$O$120,15,0)),0,VLOOKUP($U$1636,'TAR FIN'!$A$1:$O$120,15,0))</f>
        <v>430.87</v>
      </c>
      <c r="Y1636" s="6"/>
      <c r="Z1636" s="6">
        <f ca="1">('TUSD BE'!$AM$44+'TUSD BF'!$AM$44+'TUSD CVA'!$AM$44)*1</f>
        <v>1305.5497259800161</v>
      </c>
      <c r="AA1636" s="6">
        <f>('TE BE'!$AA$13+'TE BF'!$AA$13+'TE CVA'!$AA$13)*1</f>
        <v>375.69180268700768</v>
      </c>
      <c r="AB1636" s="6">
        <f>$K$1636*$V$1636</f>
        <v>0</v>
      </c>
      <c r="AC1636" s="6">
        <f>$M$1636*$W$1636</f>
        <v>1590219.4682</v>
      </c>
      <c r="AD1636" s="6">
        <f>$O$1636*$X$1636</f>
        <v>583298.87989999994</v>
      </c>
      <c r="AE1636" s="6">
        <f>$K$1636*$Y$1636</f>
        <v>0</v>
      </c>
      <c r="AF1636" s="6">
        <f ca="1">$M$1636*$Z$1636</f>
        <v>1767414.0525399663</v>
      </c>
      <c r="AG1636" s="6">
        <f>$O$1636*$AA$1636</f>
        <v>508600.2917235904</v>
      </c>
    </row>
    <row r="1637" spans="1:33" ht="11.25" customHeight="1" x14ac:dyDescent="0.25">
      <c r="A1637" s="4" t="s">
        <v>28</v>
      </c>
      <c r="B1637" s="4" t="s">
        <v>44</v>
      </c>
      <c r="C1637" s="4" t="s">
        <v>34</v>
      </c>
      <c r="D1637" s="4" t="s">
        <v>48</v>
      </c>
      <c r="E1637" s="4" t="s">
        <v>25</v>
      </c>
      <c r="F1637" s="4" t="s">
        <v>25</v>
      </c>
      <c r="G1637" s="4" t="s">
        <v>25</v>
      </c>
      <c r="H1637" s="4" t="s">
        <v>35</v>
      </c>
      <c r="I1637" s="5">
        <v>43770</v>
      </c>
      <c r="J1637" s="6">
        <v>0</v>
      </c>
      <c r="K1637" s="6">
        <v>0</v>
      </c>
      <c r="L1637" s="6">
        <v>140.84</v>
      </c>
      <c r="M1637" s="6">
        <v>140.84</v>
      </c>
      <c r="N1637" s="6">
        <v>140.84</v>
      </c>
      <c r="O1637" s="6">
        <v>140.84</v>
      </c>
      <c r="P1637" s="6">
        <v>0</v>
      </c>
      <c r="Q1637" s="4" t="s">
        <v>26</v>
      </c>
      <c r="R1637" s="4">
        <v>0</v>
      </c>
      <c r="S1637" s="6">
        <v>0</v>
      </c>
      <c r="T1637" s="6">
        <v>36</v>
      </c>
      <c r="U1637" s="6">
        <v>83</v>
      </c>
      <c r="V1637" s="6">
        <f>IF(ISERROR(VLOOKUP($S$1637,'TAR FIN'!$A$1:$O$120,15,0)),0,VLOOKUP($S$1637,'TAR FIN'!$A$1:$O$120,15,0))</f>
        <v>0</v>
      </c>
      <c r="W1637" s="6">
        <f>IF(ISERROR(VLOOKUP($T$1637,'TAR FIN'!$A$1:$O$120,15,0)),0,VLOOKUP($T$1637,'TAR FIN'!$A$1:$O$120,15,0))</f>
        <v>1174.6600000000001</v>
      </c>
      <c r="X1637" s="6">
        <f>IF(ISERROR(VLOOKUP($U$1637,'TAR FIN'!$A$1:$O$120,15,0)),0,VLOOKUP($U$1637,'TAR FIN'!$A$1:$O$120,15,0))</f>
        <v>430.87</v>
      </c>
      <c r="Y1637" s="6"/>
      <c r="Z1637" s="6">
        <f ca="1">('TUSD BE'!$AM$44+'TUSD BF'!$AM$44+'TUSD CVA'!$AM$44)*1</f>
        <v>1305.5497259800161</v>
      </c>
      <c r="AA1637" s="6">
        <f>('TE BE'!$AA$13+'TE BF'!$AA$13+'TE CVA'!$AA$13)*1</f>
        <v>375.69180268700768</v>
      </c>
      <c r="AB1637" s="6">
        <f>$K$1637*$V$1637</f>
        <v>0</v>
      </c>
      <c r="AC1637" s="6">
        <f>$M$1637*$W$1637</f>
        <v>165439.11440000002</v>
      </c>
      <c r="AD1637" s="6">
        <f>$O$1637*$X$1637</f>
        <v>60683.730800000005</v>
      </c>
      <c r="AE1637" s="6">
        <f>$K$1637*$Y$1637</f>
        <v>0</v>
      </c>
      <c r="AF1637" s="6">
        <f ca="1">$M$1637*$Z$1637</f>
        <v>183873.62340702547</v>
      </c>
      <c r="AG1637" s="6">
        <f>$O$1637*$AA$1637</f>
        <v>52912.433490438161</v>
      </c>
    </row>
    <row r="1638" spans="1:33" ht="11.25" customHeight="1" x14ac:dyDescent="0.25">
      <c r="A1638" s="4" t="s">
        <v>21</v>
      </c>
      <c r="B1638" s="4" t="s">
        <v>44</v>
      </c>
      <c r="C1638" s="4" t="s">
        <v>34</v>
      </c>
      <c r="D1638" s="4" t="s">
        <v>48</v>
      </c>
      <c r="E1638" s="4" t="s">
        <v>25</v>
      </c>
      <c r="F1638" s="4" t="s">
        <v>25</v>
      </c>
      <c r="G1638" s="4" t="s">
        <v>25</v>
      </c>
      <c r="H1638" s="4" t="s">
        <v>35</v>
      </c>
      <c r="I1638" s="5">
        <v>43800</v>
      </c>
      <c r="J1638" s="6">
        <v>0</v>
      </c>
      <c r="K1638" s="6">
        <v>0</v>
      </c>
      <c r="L1638" s="6">
        <v>1242.97</v>
      </c>
      <c r="M1638" s="6">
        <v>1242.97</v>
      </c>
      <c r="N1638" s="6">
        <v>1242.97</v>
      </c>
      <c r="O1638" s="6">
        <v>1242.97</v>
      </c>
      <c r="P1638" s="6">
        <v>0</v>
      </c>
      <c r="Q1638" s="4" t="s">
        <v>26</v>
      </c>
      <c r="R1638" s="4">
        <v>0</v>
      </c>
      <c r="S1638" s="6">
        <v>0</v>
      </c>
      <c r="T1638" s="6">
        <v>36</v>
      </c>
      <c r="U1638" s="6">
        <v>83</v>
      </c>
      <c r="V1638" s="6">
        <f>IF(ISERROR(VLOOKUP($S$1638,'TAR FIN'!$A$1:$O$120,15,0)),0,VLOOKUP($S$1638,'TAR FIN'!$A$1:$O$120,15,0))</f>
        <v>0</v>
      </c>
      <c r="W1638" s="6">
        <f>IF(ISERROR(VLOOKUP($T$1638,'TAR FIN'!$A$1:$O$120,15,0)),0,VLOOKUP($T$1638,'TAR FIN'!$A$1:$O$120,15,0))</f>
        <v>1174.6600000000001</v>
      </c>
      <c r="X1638" s="6">
        <f>IF(ISERROR(VLOOKUP($U$1638,'TAR FIN'!$A$1:$O$120,15,0)),0,VLOOKUP($U$1638,'TAR FIN'!$A$1:$O$120,15,0))</f>
        <v>430.87</v>
      </c>
      <c r="Y1638" s="6"/>
      <c r="Z1638" s="6">
        <f ca="1">('TUSD BE'!$AM$44+'TUSD BF'!$AM$44+'TUSD CVA'!$AM$44)*1</f>
        <v>1305.5497259800161</v>
      </c>
      <c r="AA1638" s="6">
        <f>('TE BE'!$AA$13+'TE BF'!$AA$13+'TE CVA'!$AA$13)*1</f>
        <v>375.69180268700768</v>
      </c>
      <c r="AB1638" s="6">
        <f>$K$1638*$V$1638</f>
        <v>0</v>
      </c>
      <c r="AC1638" s="6">
        <f>$M$1638*$W$1638</f>
        <v>1460067.1402</v>
      </c>
      <c r="AD1638" s="6">
        <f>$O$1638*$X$1638</f>
        <v>535558.48389999999</v>
      </c>
      <c r="AE1638" s="6">
        <f>$K$1638*$Y$1638</f>
        <v>0</v>
      </c>
      <c r="AF1638" s="6">
        <f ca="1">$M$1638*$Z$1638</f>
        <v>1622759.1429013805</v>
      </c>
      <c r="AG1638" s="6">
        <f>$O$1638*$AA$1638</f>
        <v>466973.63998586993</v>
      </c>
    </row>
    <row r="1639" spans="1:33" ht="11.25" customHeight="1" x14ac:dyDescent="0.25">
      <c r="A1639" s="4" t="s">
        <v>27</v>
      </c>
      <c r="B1639" s="4" t="s">
        <v>44</v>
      </c>
      <c r="C1639" s="4" t="s">
        <v>34</v>
      </c>
      <c r="D1639" s="4" t="s">
        <v>48</v>
      </c>
      <c r="E1639" s="4" t="s">
        <v>25</v>
      </c>
      <c r="F1639" s="4" t="s">
        <v>25</v>
      </c>
      <c r="G1639" s="4" t="s">
        <v>25</v>
      </c>
      <c r="H1639" s="4" t="s">
        <v>35</v>
      </c>
      <c r="I1639" s="5">
        <v>43800</v>
      </c>
      <c r="J1639" s="6">
        <v>0</v>
      </c>
      <c r="K1639" s="6">
        <v>0</v>
      </c>
      <c r="L1639" s="6">
        <v>46.033999999999999</v>
      </c>
      <c r="M1639" s="6">
        <v>46.033999999999999</v>
      </c>
      <c r="N1639" s="6">
        <v>46.033999999999999</v>
      </c>
      <c r="O1639" s="6">
        <v>46.033999999999999</v>
      </c>
      <c r="P1639" s="6">
        <v>0</v>
      </c>
      <c r="Q1639" s="4" t="s">
        <v>26</v>
      </c>
      <c r="R1639" s="4">
        <v>0</v>
      </c>
      <c r="S1639" s="6">
        <v>0</v>
      </c>
      <c r="T1639" s="6">
        <v>36</v>
      </c>
      <c r="U1639" s="6">
        <v>83</v>
      </c>
      <c r="V1639" s="6">
        <f>IF(ISERROR(VLOOKUP($S$1639,'TAR FIN'!$A$1:$O$120,15,0)),0,VLOOKUP($S$1639,'TAR FIN'!$A$1:$O$120,15,0))</f>
        <v>0</v>
      </c>
      <c r="W1639" s="6">
        <f>IF(ISERROR(VLOOKUP($T$1639,'TAR FIN'!$A$1:$O$120,15,0)),0,VLOOKUP($T$1639,'TAR FIN'!$A$1:$O$120,15,0))</f>
        <v>1174.6600000000001</v>
      </c>
      <c r="X1639" s="6">
        <f>IF(ISERROR(VLOOKUP($U$1639,'TAR FIN'!$A$1:$O$120,15,0)),0,VLOOKUP($U$1639,'TAR FIN'!$A$1:$O$120,15,0))</f>
        <v>430.87</v>
      </c>
      <c r="Y1639" s="6"/>
      <c r="Z1639" s="6">
        <f ca="1">('TUSD BE'!$AM$44+'TUSD BF'!$AM$44+'TUSD CVA'!$AM$44)*1</f>
        <v>1305.5497259800161</v>
      </c>
      <c r="AA1639" s="6">
        <f>('TE BE'!$AA$13+'TE BF'!$AA$13+'TE CVA'!$AA$13)*1</f>
        <v>375.69180268700768</v>
      </c>
      <c r="AB1639" s="6">
        <f>$K$1639*$V$1639</f>
        <v>0</v>
      </c>
      <c r="AC1639" s="6">
        <f>$M$1639*$W$1639</f>
        <v>54074.298440000006</v>
      </c>
      <c r="AD1639" s="6">
        <f>$O$1639*$X$1639</f>
        <v>19834.669579999998</v>
      </c>
      <c r="AE1639" s="6">
        <f>$K$1639*$Y$1639</f>
        <v>0</v>
      </c>
      <c r="AF1639" s="6">
        <f ca="1">$M$1639*$Z$1639</f>
        <v>60099.676085764062</v>
      </c>
      <c r="AG1639" s="6">
        <f>$O$1639*$AA$1639</f>
        <v>17294.596444893712</v>
      </c>
    </row>
    <row r="1640" spans="1:33" ht="11.25" customHeight="1" x14ac:dyDescent="0.25">
      <c r="A1640" s="4" t="s">
        <v>28</v>
      </c>
      <c r="B1640" s="4" t="s">
        <v>44</v>
      </c>
      <c r="C1640" s="4" t="s">
        <v>34</v>
      </c>
      <c r="D1640" s="4" t="s">
        <v>48</v>
      </c>
      <c r="E1640" s="4" t="s">
        <v>25</v>
      </c>
      <c r="F1640" s="4" t="s">
        <v>25</v>
      </c>
      <c r="G1640" s="4" t="s">
        <v>25</v>
      </c>
      <c r="H1640" s="4" t="s">
        <v>35</v>
      </c>
      <c r="I1640" s="5">
        <v>43800</v>
      </c>
      <c r="J1640" s="6">
        <v>0</v>
      </c>
      <c r="K1640" s="6">
        <v>0</v>
      </c>
      <c r="L1640" s="6">
        <v>123.247</v>
      </c>
      <c r="M1640" s="6">
        <v>123.247</v>
      </c>
      <c r="N1640" s="6">
        <v>123.247</v>
      </c>
      <c r="O1640" s="6">
        <v>123.247</v>
      </c>
      <c r="P1640" s="6">
        <v>0</v>
      </c>
      <c r="Q1640" s="4" t="s">
        <v>26</v>
      </c>
      <c r="R1640" s="4">
        <v>0</v>
      </c>
      <c r="S1640" s="6">
        <v>0</v>
      </c>
      <c r="T1640" s="6">
        <v>36</v>
      </c>
      <c r="U1640" s="6">
        <v>83</v>
      </c>
      <c r="V1640" s="6">
        <f>IF(ISERROR(VLOOKUP($S$1640,'TAR FIN'!$A$1:$O$120,15,0)),0,VLOOKUP($S$1640,'TAR FIN'!$A$1:$O$120,15,0))</f>
        <v>0</v>
      </c>
      <c r="W1640" s="6">
        <f>IF(ISERROR(VLOOKUP($T$1640,'TAR FIN'!$A$1:$O$120,15,0)),0,VLOOKUP($T$1640,'TAR FIN'!$A$1:$O$120,15,0))</f>
        <v>1174.6600000000001</v>
      </c>
      <c r="X1640" s="6">
        <f>IF(ISERROR(VLOOKUP($U$1640,'TAR FIN'!$A$1:$O$120,15,0)),0,VLOOKUP($U$1640,'TAR FIN'!$A$1:$O$120,15,0))</f>
        <v>430.87</v>
      </c>
      <c r="Y1640" s="6"/>
      <c r="Z1640" s="6">
        <f ca="1">('TUSD BE'!$AM$44+'TUSD BF'!$AM$44+'TUSD CVA'!$AM$44)*1</f>
        <v>1305.5497259800161</v>
      </c>
      <c r="AA1640" s="6">
        <f>('TE BE'!$AA$13+'TE BF'!$AA$13+'TE CVA'!$AA$13)*1</f>
        <v>375.69180268700768</v>
      </c>
      <c r="AB1640" s="6">
        <f>$K$1640*$V$1640</f>
        <v>0</v>
      </c>
      <c r="AC1640" s="6">
        <f>$M$1640*$W$1640</f>
        <v>144773.32102</v>
      </c>
      <c r="AD1640" s="6">
        <f>$O$1640*$X$1640</f>
        <v>53103.434890000004</v>
      </c>
      <c r="AE1640" s="6">
        <f>$K$1640*$Y$1640</f>
        <v>0</v>
      </c>
      <c r="AF1640" s="6">
        <f ca="1">$M$1640*$Z$1640</f>
        <v>160905.08707785903</v>
      </c>
      <c r="AG1640" s="6">
        <f>$O$1640*$AA$1640</f>
        <v>46302.887605765638</v>
      </c>
    </row>
    <row r="1641" spans="1:33" ht="11.25" customHeight="1" x14ac:dyDescent="0.25">
      <c r="A1641" s="4" t="s">
        <v>21</v>
      </c>
      <c r="B1641" s="4" t="s">
        <v>44</v>
      </c>
      <c r="C1641" s="4" t="s">
        <v>34</v>
      </c>
      <c r="D1641" s="4" t="s">
        <v>48</v>
      </c>
      <c r="E1641" s="4" t="s">
        <v>25</v>
      </c>
      <c r="F1641" s="4" t="s">
        <v>25</v>
      </c>
      <c r="G1641" s="4" t="s">
        <v>25</v>
      </c>
      <c r="H1641" s="4" t="s">
        <v>35</v>
      </c>
      <c r="I1641" s="5">
        <v>43831</v>
      </c>
      <c r="J1641" s="6">
        <v>0</v>
      </c>
      <c r="K1641" s="6">
        <v>0</v>
      </c>
      <c r="L1641" s="6">
        <v>1156.829</v>
      </c>
      <c r="M1641" s="6">
        <v>1156.829</v>
      </c>
      <c r="N1641" s="6">
        <v>1156.829</v>
      </c>
      <c r="O1641" s="6">
        <v>1156.829</v>
      </c>
      <c r="P1641" s="6">
        <v>0</v>
      </c>
      <c r="Q1641" s="4" t="s">
        <v>26</v>
      </c>
      <c r="R1641" s="4">
        <v>0</v>
      </c>
      <c r="S1641" s="6">
        <v>0</v>
      </c>
      <c r="T1641" s="6">
        <v>36</v>
      </c>
      <c r="U1641" s="6">
        <v>83</v>
      </c>
      <c r="V1641" s="6">
        <f>IF(ISERROR(VLOOKUP($S$1641,'TAR FIN'!$A$1:$O$120,15,0)),0,VLOOKUP($S$1641,'TAR FIN'!$A$1:$O$120,15,0))</f>
        <v>0</v>
      </c>
      <c r="W1641" s="6">
        <f>IF(ISERROR(VLOOKUP($T$1641,'TAR FIN'!$A$1:$O$120,15,0)),0,VLOOKUP($T$1641,'TAR FIN'!$A$1:$O$120,15,0))</f>
        <v>1174.6600000000001</v>
      </c>
      <c r="X1641" s="6">
        <f>IF(ISERROR(VLOOKUP($U$1641,'TAR FIN'!$A$1:$O$120,15,0)),0,VLOOKUP($U$1641,'TAR FIN'!$A$1:$O$120,15,0))</f>
        <v>430.87</v>
      </c>
      <c r="Y1641" s="6"/>
      <c r="Z1641" s="6">
        <f ca="1">('TUSD BE'!$AM$44+'TUSD BF'!$AM$44+'TUSD CVA'!$AM$44)*1</f>
        <v>1305.5497259800161</v>
      </c>
      <c r="AA1641" s="6">
        <f>('TE BE'!$AA$13+'TE BF'!$AA$13+'TE CVA'!$AA$13)*1</f>
        <v>375.69180268700768</v>
      </c>
      <c r="AB1641" s="6">
        <f>$K$1641*$V$1641</f>
        <v>0</v>
      </c>
      <c r="AC1641" s="6">
        <f>$M$1641*$W$1641</f>
        <v>1358880.7531399999</v>
      </c>
      <c r="AD1641" s="6">
        <f>$O$1641*$X$1641</f>
        <v>498442.91122999997</v>
      </c>
      <c r="AE1641" s="6">
        <f>$K$1641*$Y$1641</f>
        <v>0</v>
      </c>
      <c r="AF1641" s="6">
        <f ca="1">$M$1641*$Z$1641</f>
        <v>1510297.7839557361</v>
      </c>
      <c r="AG1641" s="6">
        <f>$O$1641*$AA$1641</f>
        <v>434611.17241060839</v>
      </c>
    </row>
    <row r="1642" spans="1:33" ht="11.25" customHeight="1" x14ac:dyDescent="0.25">
      <c r="A1642" s="4" t="s">
        <v>28</v>
      </c>
      <c r="B1642" s="4" t="s">
        <v>44</v>
      </c>
      <c r="C1642" s="4" t="s">
        <v>34</v>
      </c>
      <c r="D1642" s="4" t="s">
        <v>48</v>
      </c>
      <c r="E1642" s="4" t="s">
        <v>25</v>
      </c>
      <c r="F1642" s="4" t="s">
        <v>25</v>
      </c>
      <c r="G1642" s="4" t="s">
        <v>25</v>
      </c>
      <c r="H1642" s="4" t="s">
        <v>35</v>
      </c>
      <c r="I1642" s="5">
        <v>43831</v>
      </c>
      <c r="J1642" s="6">
        <v>0</v>
      </c>
      <c r="K1642" s="6">
        <v>0</v>
      </c>
      <c r="L1642" s="6">
        <v>120.679</v>
      </c>
      <c r="M1642" s="6">
        <v>120.679</v>
      </c>
      <c r="N1642" s="6">
        <v>120.679</v>
      </c>
      <c r="O1642" s="6">
        <v>120.679</v>
      </c>
      <c r="P1642" s="6">
        <v>0</v>
      </c>
      <c r="Q1642" s="4" t="s">
        <v>26</v>
      </c>
      <c r="R1642" s="4">
        <v>0</v>
      </c>
      <c r="S1642" s="6">
        <v>0</v>
      </c>
      <c r="T1642" s="6">
        <v>36</v>
      </c>
      <c r="U1642" s="6">
        <v>83</v>
      </c>
      <c r="V1642" s="6">
        <f>IF(ISERROR(VLOOKUP($S$1642,'TAR FIN'!$A$1:$O$120,15,0)),0,VLOOKUP($S$1642,'TAR FIN'!$A$1:$O$120,15,0))</f>
        <v>0</v>
      </c>
      <c r="W1642" s="6">
        <f>IF(ISERROR(VLOOKUP($T$1642,'TAR FIN'!$A$1:$O$120,15,0)),0,VLOOKUP($T$1642,'TAR FIN'!$A$1:$O$120,15,0))</f>
        <v>1174.6600000000001</v>
      </c>
      <c r="X1642" s="6">
        <f>IF(ISERROR(VLOOKUP($U$1642,'TAR FIN'!$A$1:$O$120,15,0)),0,VLOOKUP($U$1642,'TAR FIN'!$A$1:$O$120,15,0))</f>
        <v>430.87</v>
      </c>
      <c r="Y1642" s="6"/>
      <c r="Z1642" s="6">
        <f ca="1">('TUSD BE'!$AM$44+'TUSD BF'!$AM$44+'TUSD CVA'!$AM$44)*1</f>
        <v>1305.5497259800161</v>
      </c>
      <c r="AA1642" s="6">
        <f>('TE BE'!$AA$13+'TE BF'!$AA$13+'TE CVA'!$AA$13)*1</f>
        <v>375.69180268700768</v>
      </c>
      <c r="AB1642" s="6">
        <f>$K$1642*$V$1642</f>
        <v>0</v>
      </c>
      <c r="AC1642" s="6">
        <f>$M$1642*$W$1642</f>
        <v>141756.79414000001</v>
      </c>
      <c r="AD1642" s="6">
        <f>$O$1642*$X$1642</f>
        <v>51996.960729999999</v>
      </c>
      <c r="AE1642" s="6">
        <f>$K$1642*$Y$1642</f>
        <v>0</v>
      </c>
      <c r="AF1642" s="6">
        <f ca="1">$M$1642*$Z$1642</f>
        <v>157552.43538154237</v>
      </c>
      <c r="AG1642" s="6">
        <f>$O$1642*$AA$1642</f>
        <v>45338.111056465401</v>
      </c>
    </row>
    <row r="1643" spans="1:33" ht="11.25" customHeight="1" x14ac:dyDescent="0.25">
      <c r="A1643" s="4" t="s">
        <v>21</v>
      </c>
      <c r="B1643" s="4" t="s">
        <v>44</v>
      </c>
      <c r="C1643" s="4" t="s">
        <v>34</v>
      </c>
      <c r="D1643" s="4" t="s">
        <v>48</v>
      </c>
      <c r="E1643" s="4" t="s">
        <v>25</v>
      </c>
      <c r="F1643" s="4" t="s">
        <v>25</v>
      </c>
      <c r="G1643" s="4" t="s">
        <v>25</v>
      </c>
      <c r="H1643" s="4" t="s">
        <v>35</v>
      </c>
      <c r="I1643" s="5">
        <v>43862</v>
      </c>
      <c r="J1643" s="6">
        <v>0</v>
      </c>
      <c r="K1643" s="6">
        <v>0</v>
      </c>
      <c r="L1643" s="6">
        <v>1239.336</v>
      </c>
      <c r="M1643" s="6">
        <v>1239.336</v>
      </c>
      <c r="N1643" s="6">
        <v>1239.336</v>
      </c>
      <c r="O1643" s="6">
        <v>1239.336</v>
      </c>
      <c r="P1643" s="6">
        <v>0</v>
      </c>
      <c r="Q1643" s="4" t="s">
        <v>26</v>
      </c>
      <c r="R1643" s="4">
        <v>0</v>
      </c>
      <c r="S1643" s="6">
        <v>0</v>
      </c>
      <c r="T1643" s="6">
        <v>36</v>
      </c>
      <c r="U1643" s="6">
        <v>83</v>
      </c>
      <c r="V1643" s="6">
        <f>IF(ISERROR(VLOOKUP($S$1643,'TAR FIN'!$A$1:$O$120,15,0)),0,VLOOKUP($S$1643,'TAR FIN'!$A$1:$O$120,15,0))</f>
        <v>0</v>
      </c>
      <c r="W1643" s="6">
        <f>IF(ISERROR(VLOOKUP($T$1643,'TAR FIN'!$A$1:$O$120,15,0)),0,VLOOKUP($T$1643,'TAR FIN'!$A$1:$O$120,15,0))</f>
        <v>1174.6600000000001</v>
      </c>
      <c r="X1643" s="6">
        <f>IF(ISERROR(VLOOKUP($U$1643,'TAR FIN'!$A$1:$O$120,15,0)),0,VLOOKUP($U$1643,'TAR FIN'!$A$1:$O$120,15,0))</f>
        <v>430.87</v>
      </c>
      <c r="Y1643" s="6"/>
      <c r="Z1643" s="6">
        <f ca="1">('TUSD BE'!$AM$44+'TUSD BF'!$AM$44+'TUSD CVA'!$AM$44)*1</f>
        <v>1305.5497259800161</v>
      </c>
      <c r="AA1643" s="6">
        <f>('TE BE'!$AA$13+'TE BF'!$AA$13+'TE CVA'!$AA$13)*1</f>
        <v>375.69180268700768</v>
      </c>
      <c r="AB1643" s="6">
        <f>$K$1643*$V$1643</f>
        <v>0</v>
      </c>
      <c r="AC1643" s="6">
        <f>$M$1643*$W$1643</f>
        <v>1455798.42576</v>
      </c>
      <c r="AD1643" s="6">
        <f>$O$1643*$X$1643</f>
        <v>533992.70232000004</v>
      </c>
      <c r="AE1643" s="6">
        <f>$K$1643*$Y$1643</f>
        <v>0</v>
      </c>
      <c r="AF1643" s="6">
        <f ca="1">$M$1643*$Z$1643</f>
        <v>1618014.7751971693</v>
      </c>
      <c r="AG1643" s="6">
        <f>$O$1643*$AA$1643</f>
        <v>465608.37597490533</v>
      </c>
    </row>
    <row r="1644" spans="1:33" ht="11.25" customHeight="1" x14ac:dyDescent="0.25">
      <c r="A1644" s="4" t="s">
        <v>28</v>
      </c>
      <c r="B1644" s="4" t="s">
        <v>44</v>
      </c>
      <c r="C1644" s="4" t="s">
        <v>34</v>
      </c>
      <c r="D1644" s="4" t="s">
        <v>48</v>
      </c>
      <c r="E1644" s="4" t="s">
        <v>25</v>
      </c>
      <c r="F1644" s="4" t="s">
        <v>25</v>
      </c>
      <c r="G1644" s="4" t="s">
        <v>25</v>
      </c>
      <c r="H1644" s="4" t="s">
        <v>35</v>
      </c>
      <c r="I1644" s="5">
        <v>43862</v>
      </c>
      <c r="J1644" s="6">
        <v>0</v>
      </c>
      <c r="K1644" s="6">
        <v>0</v>
      </c>
      <c r="L1644" s="6">
        <v>138.80799999999999</v>
      </c>
      <c r="M1644" s="6">
        <v>138.80799999999999</v>
      </c>
      <c r="N1644" s="6">
        <v>138.80799999999999</v>
      </c>
      <c r="O1644" s="6">
        <v>138.80799999999999</v>
      </c>
      <c r="P1644" s="6">
        <v>0</v>
      </c>
      <c r="Q1644" s="4" t="s">
        <v>26</v>
      </c>
      <c r="R1644" s="4">
        <v>0</v>
      </c>
      <c r="S1644" s="6">
        <v>0</v>
      </c>
      <c r="T1644" s="6">
        <v>36</v>
      </c>
      <c r="U1644" s="6">
        <v>83</v>
      </c>
      <c r="V1644" s="6">
        <f>IF(ISERROR(VLOOKUP($S$1644,'TAR FIN'!$A$1:$O$120,15,0)),0,VLOOKUP($S$1644,'TAR FIN'!$A$1:$O$120,15,0))</f>
        <v>0</v>
      </c>
      <c r="W1644" s="6">
        <f>IF(ISERROR(VLOOKUP($T$1644,'TAR FIN'!$A$1:$O$120,15,0)),0,VLOOKUP($T$1644,'TAR FIN'!$A$1:$O$120,15,0))</f>
        <v>1174.6600000000001</v>
      </c>
      <c r="X1644" s="6">
        <f>IF(ISERROR(VLOOKUP($U$1644,'TAR FIN'!$A$1:$O$120,15,0)),0,VLOOKUP($U$1644,'TAR FIN'!$A$1:$O$120,15,0))</f>
        <v>430.87</v>
      </c>
      <c r="Y1644" s="6"/>
      <c r="Z1644" s="6">
        <f ca="1">('TUSD BE'!$AM$44+'TUSD BF'!$AM$44+'TUSD CVA'!$AM$44)*1</f>
        <v>1305.5497259800161</v>
      </c>
      <c r="AA1644" s="6">
        <f>('TE BE'!$AA$13+'TE BF'!$AA$13+'TE CVA'!$AA$13)*1</f>
        <v>375.69180268700768</v>
      </c>
      <c r="AB1644" s="6">
        <f>$K$1644*$V$1644</f>
        <v>0</v>
      </c>
      <c r="AC1644" s="6">
        <f>$M$1644*$W$1644</f>
        <v>163052.20527999999</v>
      </c>
      <c r="AD1644" s="6">
        <f>$O$1644*$X$1644</f>
        <v>59808.202959999995</v>
      </c>
      <c r="AE1644" s="6">
        <f>$K$1644*$Y$1644</f>
        <v>0</v>
      </c>
      <c r="AF1644" s="6">
        <f ca="1">$M$1644*$Z$1644</f>
        <v>181220.74636383407</v>
      </c>
      <c r="AG1644" s="6">
        <f>$O$1644*$AA$1644</f>
        <v>52149.027747378161</v>
      </c>
    </row>
    <row r="1645" spans="1:33" ht="11.25" customHeight="1" x14ac:dyDescent="0.25">
      <c r="A1645" s="4" t="s">
        <v>21</v>
      </c>
      <c r="B1645" s="4" t="s">
        <v>44</v>
      </c>
      <c r="C1645" s="4" t="s">
        <v>34</v>
      </c>
      <c r="D1645" s="4" t="s">
        <v>48</v>
      </c>
      <c r="E1645" s="4" t="s">
        <v>25</v>
      </c>
      <c r="F1645" s="4" t="s">
        <v>25</v>
      </c>
      <c r="G1645" s="4" t="s">
        <v>25</v>
      </c>
      <c r="H1645" s="4" t="s">
        <v>35</v>
      </c>
      <c r="I1645" s="5">
        <v>43891</v>
      </c>
      <c r="J1645" s="6">
        <v>0</v>
      </c>
      <c r="K1645" s="6">
        <v>0</v>
      </c>
      <c r="L1645" s="6">
        <v>1159.279</v>
      </c>
      <c r="M1645" s="6">
        <v>1159.279</v>
      </c>
      <c r="N1645" s="6">
        <v>1159.279</v>
      </c>
      <c r="O1645" s="6">
        <v>1159.279</v>
      </c>
      <c r="P1645" s="6">
        <v>0</v>
      </c>
      <c r="Q1645" s="4" t="s">
        <v>26</v>
      </c>
      <c r="R1645" s="4">
        <v>0</v>
      </c>
      <c r="S1645" s="6">
        <v>0</v>
      </c>
      <c r="T1645" s="6">
        <v>36</v>
      </c>
      <c r="U1645" s="6">
        <v>83</v>
      </c>
      <c r="V1645" s="6">
        <f>IF(ISERROR(VLOOKUP($S$1645,'TAR FIN'!$A$1:$O$120,15,0)),0,VLOOKUP($S$1645,'TAR FIN'!$A$1:$O$120,15,0))</f>
        <v>0</v>
      </c>
      <c r="W1645" s="6">
        <f>IF(ISERROR(VLOOKUP($T$1645,'TAR FIN'!$A$1:$O$120,15,0)),0,VLOOKUP($T$1645,'TAR FIN'!$A$1:$O$120,15,0))</f>
        <v>1174.6600000000001</v>
      </c>
      <c r="X1645" s="6">
        <f>IF(ISERROR(VLOOKUP($U$1645,'TAR FIN'!$A$1:$O$120,15,0)),0,VLOOKUP($U$1645,'TAR FIN'!$A$1:$O$120,15,0))</f>
        <v>430.87</v>
      </c>
      <c r="Y1645" s="6"/>
      <c r="Z1645" s="6">
        <f ca="1">('TUSD BE'!$AM$44+'TUSD BF'!$AM$44+'TUSD CVA'!$AM$44)*1</f>
        <v>1305.5497259800161</v>
      </c>
      <c r="AA1645" s="6">
        <f>('TE BE'!$AA$13+'TE BF'!$AA$13+'TE CVA'!$AA$13)*1</f>
        <v>375.69180268700768</v>
      </c>
      <c r="AB1645" s="6">
        <f>$K$1645*$V$1645</f>
        <v>0</v>
      </c>
      <c r="AC1645" s="6">
        <f>$M$1645*$W$1645</f>
        <v>1361758.6701400001</v>
      </c>
      <c r="AD1645" s="6">
        <f>$O$1645*$X$1645</f>
        <v>499498.54272999999</v>
      </c>
      <c r="AE1645" s="6">
        <f>$K$1645*$Y$1645</f>
        <v>0</v>
      </c>
      <c r="AF1645" s="6">
        <f ca="1">$M$1645*$Z$1645</f>
        <v>1513496.380784387</v>
      </c>
      <c r="AG1645" s="6">
        <f>$O$1645*$AA$1645</f>
        <v>435531.61732719158</v>
      </c>
    </row>
    <row r="1646" spans="1:33" ht="11.25" customHeight="1" x14ac:dyDescent="0.25">
      <c r="A1646" s="4" t="s">
        <v>28</v>
      </c>
      <c r="B1646" s="4" t="s">
        <v>44</v>
      </c>
      <c r="C1646" s="4" t="s">
        <v>34</v>
      </c>
      <c r="D1646" s="4" t="s">
        <v>48</v>
      </c>
      <c r="E1646" s="4" t="s">
        <v>25</v>
      </c>
      <c r="F1646" s="4" t="s">
        <v>25</v>
      </c>
      <c r="G1646" s="4" t="s">
        <v>25</v>
      </c>
      <c r="H1646" s="4" t="s">
        <v>35</v>
      </c>
      <c r="I1646" s="5">
        <v>43891</v>
      </c>
      <c r="J1646" s="6">
        <v>0</v>
      </c>
      <c r="K1646" s="6">
        <v>0</v>
      </c>
      <c r="L1646" s="6">
        <v>120.955</v>
      </c>
      <c r="M1646" s="6">
        <v>120.955</v>
      </c>
      <c r="N1646" s="6">
        <v>120.955</v>
      </c>
      <c r="O1646" s="6">
        <v>120.955</v>
      </c>
      <c r="P1646" s="6">
        <v>0</v>
      </c>
      <c r="Q1646" s="4" t="s">
        <v>26</v>
      </c>
      <c r="R1646" s="4">
        <v>0</v>
      </c>
      <c r="S1646" s="6">
        <v>0</v>
      </c>
      <c r="T1646" s="6">
        <v>36</v>
      </c>
      <c r="U1646" s="6">
        <v>83</v>
      </c>
      <c r="V1646" s="6">
        <f>IF(ISERROR(VLOOKUP($S$1646,'TAR FIN'!$A$1:$O$120,15,0)),0,VLOOKUP($S$1646,'TAR FIN'!$A$1:$O$120,15,0))</f>
        <v>0</v>
      </c>
      <c r="W1646" s="6">
        <f>IF(ISERROR(VLOOKUP($T$1646,'TAR FIN'!$A$1:$O$120,15,0)),0,VLOOKUP($T$1646,'TAR FIN'!$A$1:$O$120,15,0))</f>
        <v>1174.6600000000001</v>
      </c>
      <c r="X1646" s="6">
        <f>IF(ISERROR(VLOOKUP($U$1646,'TAR FIN'!$A$1:$O$120,15,0)),0,VLOOKUP($U$1646,'TAR FIN'!$A$1:$O$120,15,0))</f>
        <v>430.87</v>
      </c>
      <c r="Y1646" s="6"/>
      <c r="Z1646" s="6">
        <f ca="1">('TUSD BE'!$AM$44+'TUSD BF'!$AM$44+'TUSD CVA'!$AM$44)*1</f>
        <v>1305.5497259800161</v>
      </c>
      <c r="AA1646" s="6">
        <f>('TE BE'!$AA$13+'TE BF'!$AA$13+'TE CVA'!$AA$13)*1</f>
        <v>375.69180268700768</v>
      </c>
      <c r="AB1646" s="6">
        <f>$K$1646*$V$1646</f>
        <v>0</v>
      </c>
      <c r="AC1646" s="6">
        <f>$M$1646*$W$1646</f>
        <v>142081.00030000001</v>
      </c>
      <c r="AD1646" s="6">
        <f>$O$1646*$X$1646</f>
        <v>52115.880850000001</v>
      </c>
      <c r="AE1646" s="6">
        <f>$K$1646*$Y$1646</f>
        <v>0</v>
      </c>
      <c r="AF1646" s="6">
        <f ca="1">$M$1646*$Z$1646</f>
        <v>157912.76710591285</v>
      </c>
      <c r="AG1646" s="6">
        <f>$O$1646*$AA$1646</f>
        <v>45441.801994007015</v>
      </c>
    </row>
    <row r="1647" spans="1:33" ht="11.25" customHeight="1" x14ac:dyDescent="0.25">
      <c r="A1647" s="4" t="s">
        <v>21</v>
      </c>
      <c r="B1647" s="4" t="s">
        <v>44</v>
      </c>
      <c r="C1647" s="4" t="s">
        <v>34</v>
      </c>
      <c r="D1647" s="4" t="s">
        <v>48</v>
      </c>
      <c r="E1647" s="4" t="s">
        <v>25</v>
      </c>
      <c r="F1647" s="4" t="s">
        <v>25</v>
      </c>
      <c r="G1647" s="4" t="s">
        <v>25</v>
      </c>
      <c r="H1647" s="4" t="s">
        <v>35</v>
      </c>
      <c r="I1647" s="5">
        <v>43922</v>
      </c>
      <c r="J1647" s="6">
        <v>0</v>
      </c>
      <c r="K1647" s="6">
        <v>0</v>
      </c>
      <c r="L1647" s="6">
        <v>1097.1990000000001</v>
      </c>
      <c r="M1647" s="6">
        <v>1097.1990000000001</v>
      </c>
      <c r="N1647" s="6">
        <v>1097.1990000000001</v>
      </c>
      <c r="O1647" s="6">
        <v>1097.1990000000001</v>
      </c>
      <c r="P1647" s="6">
        <v>0</v>
      </c>
      <c r="Q1647" s="4" t="s">
        <v>26</v>
      </c>
      <c r="R1647" s="4">
        <v>0</v>
      </c>
      <c r="S1647" s="6">
        <v>0</v>
      </c>
      <c r="T1647" s="6">
        <v>36</v>
      </c>
      <c r="U1647" s="6">
        <v>83</v>
      </c>
      <c r="V1647" s="6">
        <f>IF(ISERROR(VLOOKUP($S$1647,'TAR FIN'!$A$1:$O$120,15,0)),0,VLOOKUP($S$1647,'TAR FIN'!$A$1:$O$120,15,0))</f>
        <v>0</v>
      </c>
      <c r="W1647" s="6">
        <f>IF(ISERROR(VLOOKUP($T$1647,'TAR FIN'!$A$1:$O$120,15,0)),0,VLOOKUP($T$1647,'TAR FIN'!$A$1:$O$120,15,0))</f>
        <v>1174.6600000000001</v>
      </c>
      <c r="X1647" s="6">
        <f>IF(ISERROR(VLOOKUP($U$1647,'TAR FIN'!$A$1:$O$120,15,0)),0,VLOOKUP($U$1647,'TAR FIN'!$A$1:$O$120,15,0))</f>
        <v>430.87</v>
      </c>
      <c r="Y1647" s="6"/>
      <c r="Z1647" s="6">
        <f ca="1">('TUSD BE'!$AM$44+'TUSD BF'!$AM$44+'TUSD CVA'!$AM$44)*1</f>
        <v>1305.5497259800161</v>
      </c>
      <c r="AA1647" s="6">
        <f>('TE BE'!$AA$13+'TE BF'!$AA$13+'TE CVA'!$AA$13)*1</f>
        <v>375.69180268700768</v>
      </c>
      <c r="AB1647" s="6">
        <f>$K$1647*$V$1647</f>
        <v>0</v>
      </c>
      <c r="AC1647" s="6">
        <f>$M$1647*$W$1647</f>
        <v>1288835.7773400003</v>
      </c>
      <c r="AD1647" s="6">
        <f>$O$1647*$X$1647</f>
        <v>472750.13313000003</v>
      </c>
      <c r="AE1647" s="6">
        <f>$K$1647*$Y$1647</f>
        <v>0</v>
      </c>
      <c r="AF1647" s="6">
        <f ca="1">$M$1647*$Z$1647</f>
        <v>1432447.8537955477</v>
      </c>
      <c r="AG1647" s="6">
        <f>$O$1647*$AA$1647</f>
        <v>412208.67021638219</v>
      </c>
    </row>
    <row r="1648" spans="1:33" ht="11.25" customHeight="1" x14ac:dyDescent="0.25">
      <c r="A1648" s="4" t="s">
        <v>27</v>
      </c>
      <c r="B1648" s="4" t="s">
        <v>44</v>
      </c>
      <c r="C1648" s="4" t="s">
        <v>34</v>
      </c>
      <c r="D1648" s="4" t="s">
        <v>48</v>
      </c>
      <c r="E1648" s="4" t="s">
        <v>25</v>
      </c>
      <c r="F1648" s="4" t="s">
        <v>25</v>
      </c>
      <c r="G1648" s="4" t="s">
        <v>25</v>
      </c>
      <c r="H1648" s="4" t="s">
        <v>35</v>
      </c>
      <c r="I1648" s="5">
        <v>43922</v>
      </c>
      <c r="J1648" s="6">
        <v>0</v>
      </c>
      <c r="K1648" s="6">
        <v>0</v>
      </c>
      <c r="L1648" s="6">
        <v>19.425000000000001</v>
      </c>
      <c r="M1648" s="6">
        <v>19.425000000000001</v>
      </c>
      <c r="N1648" s="6">
        <v>19.425000000000001</v>
      </c>
      <c r="O1648" s="6">
        <v>19.425000000000001</v>
      </c>
      <c r="P1648" s="6">
        <v>0</v>
      </c>
      <c r="Q1648" s="4" t="s">
        <v>26</v>
      </c>
      <c r="R1648" s="4">
        <v>0</v>
      </c>
      <c r="S1648" s="6">
        <v>0</v>
      </c>
      <c r="T1648" s="6">
        <v>36</v>
      </c>
      <c r="U1648" s="6">
        <v>83</v>
      </c>
      <c r="V1648" s="6">
        <f>IF(ISERROR(VLOOKUP($S$1648,'TAR FIN'!$A$1:$O$120,15,0)),0,VLOOKUP($S$1648,'TAR FIN'!$A$1:$O$120,15,0))</f>
        <v>0</v>
      </c>
      <c r="W1648" s="6">
        <f>IF(ISERROR(VLOOKUP($T$1648,'TAR FIN'!$A$1:$O$120,15,0)),0,VLOOKUP($T$1648,'TAR FIN'!$A$1:$O$120,15,0))</f>
        <v>1174.6600000000001</v>
      </c>
      <c r="X1648" s="6">
        <f>IF(ISERROR(VLOOKUP($U$1648,'TAR FIN'!$A$1:$O$120,15,0)),0,VLOOKUP($U$1648,'TAR FIN'!$A$1:$O$120,15,0))</f>
        <v>430.87</v>
      </c>
      <c r="Y1648" s="6"/>
      <c r="Z1648" s="6">
        <f ca="1">('TUSD BE'!$AM$44+'TUSD BF'!$AM$44+'TUSD CVA'!$AM$44)*1</f>
        <v>1305.5497259800161</v>
      </c>
      <c r="AA1648" s="6">
        <f>('TE BE'!$AA$13+'TE BF'!$AA$13+'TE CVA'!$AA$13)*1</f>
        <v>375.69180268700768</v>
      </c>
      <c r="AB1648" s="6">
        <f>$K$1648*$V$1648</f>
        <v>0</v>
      </c>
      <c r="AC1648" s="6">
        <f>$M$1648*$W$1648</f>
        <v>22817.770500000002</v>
      </c>
      <c r="AD1648" s="6">
        <f>$O$1648*$X$1648</f>
        <v>8369.6497500000005</v>
      </c>
      <c r="AE1648" s="6">
        <f>$K$1648*$Y$1648</f>
        <v>0</v>
      </c>
      <c r="AF1648" s="6">
        <f ca="1">$M$1648*$Z$1648</f>
        <v>25360.303427161813</v>
      </c>
      <c r="AG1648" s="6">
        <f>$O$1648*$AA$1648</f>
        <v>7297.8132671951244</v>
      </c>
    </row>
    <row r="1649" spans="1:33" ht="11.25" customHeight="1" x14ac:dyDescent="0.25">
      <c r="A1649" s="4" t="s">
        <v>28</v>
      </c>
      <c r="B1649" s="4" t="s">
        <v>44</v>
      </c>
      <c r="C1649" s="4" t="s">
        <v>34</v>
      </c>
      <c r="D1649" s="4" t="s">
        <v>48</v>
      </c>
      <c r="E1649" s="4" t="s">
        <v>25</v>
      </c>
      <c r="F1649" s="4" t="s">
        <v>25</v>
      </c>
      <c r="G1649" s="4" t="s">
        <v>25</v>
      </c>
      <c r="H1649" s="4" t="s">
        <v>35</v>
      </c>
      <c r="I1649" s="5">
        <v>43922</v>
      </c>
      <c r="J1649" s="6">
        <v>0</v>
      </c>
      <c r="K1649" s="6">
        <v>0</v>
      </c>
      <c r="L1649" s="6">
        <v>107.123</v>
      </c>
      <c r="M1649" s="6">
        <v>107.123</v>
      </c>
      <c r="N1649" s="6">
        <v>107.123</v>
      </c>
      <c r="O1649" s="6">
        <v>107.123</v>
      </c>
      <c r="P1649" s="6">
        <v>0</v>
      </c>
      <c r="Q1649" s="4" t="s">
        <v>26</v>
      </c>
      <c r="R1649" s="4">
        <v>0</v>
      </c>
      <c r="S1649" s="6">
        <v>0</v>
      </c>
      <c r="T1649" s="6">
        <v>36</v>
      </c>
      <c r="U1649" s="6">
        <v>83</v>
      </c>
      <c r="V1649" s="6">
        <f>IF(ISERROR(VLOOKUP($S$1649,'TAR FIN'!$A$1:$O$120,15,0)),0,VLOOKUP($S$1649,'TAR FIN'!$A$1:$O$120,15,0))</f>
        <v>0</v>
      </c>
      <c r="W1649" s="6">
        <f>IF(ISERROR(VLOOKUP($T$1649,'TAR FIN'!$A$1:$O$120,15,0)),0,VLOOKUP($T$1649,'TAR FIN'!$A$1:$O$120,15,0))</f>
        <v>1174.6600000000001</v>
      </c>
      <c r="X1649" s="6">
        <f>IF(ISERROR(VLOOKUP($U$1649,'TAR FIN'!$A$1:$O$120,15,0)),0,VLOOKUP($U$1649,'TAR FIN'!$A$1:$O$120,15,0))</f>
        <v>430.87</v>
      </c>
      <c r="Y1649" s="6"/>
      <c r="Z1649" s="6">
        <f ca="1">('TUSD BE'!$AM$44+'TUSD BF'!$AM$44+'TUSD CVA'!$AM$44)*1</f>
        <v>1305.5497259800161</v>
      </c>
      <c r="AA1649" s="6">
        <f>('TE BE'!$AA$13+'TE BF'!$AA$13+'TE CVA'!$AA$13)*1</f>
        <v>375.69180268700768</v>
      </c>
      <c r="AB1649" s="6">
        <f>$K$1649*$V$1649</f>
        <v>0</v>
      </c>
      <c r="AC1649" s="6">
        <f>$M$1649*$W$1649</f>
        <v>125833.10318000002</v>
      </c>
      <c r="AD1649" s="6">
        <f>$O$1649*$X$1649</f>
        <v>46156.087010000003</v>
      </c>
      <c r="AE1649" s="6">
        <f>$K$1649*$Y$1649</f>
        <v>0</v>
      </c>
      <c r="AF1649" s="6">
        <f ca="1">$M$1649*$Z$1649</f>
        <v>139854.40329615728</v>
      </c>
      <c r="AG1649" s="6">
        <f>$O$1649*$AA$1649</f>
        <v>40245.232979240325</v>
      </c>
    </row>
    <row r="1650" spans="1:33" ht="11.25" customHeight="1" x14ac:dyDescent="0.25">
      <c r="A1650" s="4" t="s">
        <v>21</v>
      </c>
      <c r="B1650" s="4" t="s">
        <v>44</v>
      </c>
      <c r="C1650" s="4" t="s">
        <v>34</v>
      </c>
      <c r="D1650" s="4" t="s">
        <v>48</v>
      </c>
      <c r="E1650" s="4" t="s">
        <v>25</v>
      </c>
      <c r="F1650" s="4" t="s">
        <v>25</v>
      </c>
      <c r="G1650" s="4" t="s">
        <v>25</v>
      </c>
      <c r="H1650" s="4" t="s">
        <v>35</v>
      </c>
      <c r="I1650" s="5">
        <v>43952</v>
      </c>
      <c r="J1650" s="6">
        <v>0</v>
      </c>
      <c r="K1650" s="6">
        <v>0</v>
      </c>
      <c r="L1650" s="6">
        <v>785.47</v>
      </c>
      <c r="M1650" s="6">
        <v>785.47</v>
      </c>
      <c r="N1650" s="6">
        <v>785.47</v>
      </c>
      <c r="O1650" s="6">
        <v>785.47</v>
      </c>
      <c r="P1650" s="6">
        <v>0</v>
      </c>
      <c r="Q1650" s="4" t="s">
        <v>26</v>
      </c>
      <c r="R1650" s="4">
        <v>0</v>
      </c>
      <c r="S1650" s="6">
        <v>0</v>
      </c>
      <c r="T1650" s="6">
        <v>36</v>
      </c>
      <c r="U1650" s="6">
        <v>83</v>
      </c>
      <c r="V1650" s="6">
        <f>IF(ISERROR(VLOOKUP($S$1650,'TAR FIN'!$A$1:$O$120,15,0)),0,VLOOKUP($S$1650,'TAR FIN'!$A$1:$O$120,15,0))</f>
        <v>0</v>
      </c>
      <c r="W1650" s="6">
        <f>IF(ISERROR(VLOOKUP($T$1650,'TAR FIN'!$A$1:$O$120,15,0)),0,VLOOKUP($T$1650,'TAR FIN'!$A$1:$O$120,15,0))</f>
        <v>1174.6600000000001</v>
      </c>
      <c r="X1650" s="6">
        <f>IF(ISERROR(VLOOKUP($U$1650,'TAR FIN'!$A$1:$O$120,15,0)),0,VLOOKUP($U$1650,'TAR FIN'!$A$1:$O$120,15,0))</f>
        <v>430.87</v>
      </c>
      <c r="Y1650" s="6"/>
      <c r="Z1650" s="6">
        <f ca="1">('TUSD BE'!$AM$44+'TUSD BF'!$AM$44+'TUSD CVA'!$AM$44)*1</f>
        <v>1305.5497259800161</v>
      </c>
      <c r="AA1650" s="6">
        <f>('TE BE'!$AA$13+'TE BF'!$AA$13+'TE CVA'!$AA$13)*1</f>
        <v>375.69180268700768</v>
      </c>
      <c r="AB1650" s="6">
        <f>$K$1650*$V$1650</f>
        <v>0</v>
      </c>
      <c r="AC1650" s="6">
        <f>$M$1650*$W$1650</f>
        <v>922660.19020000007</v>
      </c>
      <c r="AD1650" s="6">
        <f>$O$1650*$X$1650</f>
        <v>338435.45890000003</v>
      </c>
      <c r="AE1650" s="6">
        <f>$K$1650*$Y$1650</f>
        <v>0</v>
      </c>
      <c r="AF1650" s="6">
        <f ca="1">$M$1650*$Z$1650</f>
        <v>1025470.1432655232</v>
      </c>
      <c r="AG1650" s="6">
        <f>$O$1650*$AA$1650</f>
        <v>295094.64025656396</v>
      </c>
    </row>
    <row r="1651" spans="1:33" ht="11.25" customHeight="1" x14ac:dyDescent="0.25">
      <c r="A1651" s="4" t="s">
        <v>28</v>
      </c>
      <c r="B1651" s="4" t="s">
        <v>44</v>
      </c>
      <c r="C1651" s="4" t="s">
        <v>34</v>
      </c>
      <c r="D1651" s="4" t="s">
        <v>48</v>
      </c>
      <c r="E1651" s="4" t="s">
        <v>25</v>
      </c>
      <c r="F1651" s="4" t="s">
        <v>25</v>
      </c>
      <c r="G1651" s="4" t="s">
        <v>25</v>
      </c>
      <c r="H1651" s="4" t="s">
        <v>35</v>
      </c>
      <c r="I1651" s="5">
        <v>43952</v>
      </c>
      <c r="J1651" s="6">
        <v>0</v>
      </c>
      <c r="K1651" s="6">
        <v>0</v>
      </c>
      <c r="L1651" s="6">
        <v>67.614999999999995</v>
      </c>
      <c r="M1651" s="6">
        <v>67.614999999999995</v>
      </c>
      <c r="N1651" s="6">
        <v>67.614999999999995</v>
      </c>
      <c r="O1651" s="6">
        <v>67.614999999999995</v>
      </c>
      <c r="P1651" s="6">
        <v>0</v>
      </c>
      <c r="Q1651" s="4" t="s">
        <v>26</v>
      </c>
      <c r="R1651" s="4">
        <v>0</v>
      </c>
      <c r="S1651" s="6">
        <v>0</v>
      </c>
      <c r="T1651" s="6">
        <v>36</v>
      </c>
      <c r="U1651" s="6">
        <v>83</v>
      </c>
      <c r="V1651" s="6">
        <f>IF(ISERROR(VLOOKUP($S$1651,'TAR FIN'!$A$1:$O$120,15,0)),0,VLOOKUP($S$1651,'TAR FIN'!$A$1:$O$120,15,0))</f>
        <v>0</v>
      </c>
      <c r="W1651" s="6">
        <f>IF(ISERROR(VLOOKUP($T$1651,'TAR FIN'!$A$1:$O$120,15,0)),0,VLOOKUP($T$1651,'TAR FIN'!$A$1:$O$120,15,0))</f>
        <v>1174.6600000000001</v>
      </c>
      <c r="X1651" s="6">
        <f>IF(ISERROR(VLOOKUP($U$1651,'TAR FIN'!$A$1:$O$120,15,0)),0,VLOOKUP($U$1651,'TAR FIN'!$A$1:$O$120,15,0))</f>
        <v>430.87</v>
      </c>
      <c r="Y1651" s="6"/>
      <c r="Z1651" s="6">
        <f ca="1">('TUSD BE'!$AM$44+'TUSD BF'!$AM$44+'TUSD CVA'!$AM$44)*1</f>
        <v>1305.5497259800161</v>
      </c>
      <c r="AA1651" s="6">
        <f>('TE BE'!$AA$13+'TE BF'!$AA$13+'TE CVA'!$AA$13)*1</f>
        <v>375.69180268700768</v>
      </c>
      <c r="AB1651" s="6">
        <f>$K$1651*$V$1651</f>
        <v>0</v>
      </c>
      <c r="AC1651" s="6">
        <f>$M$1651*$W$1651</f>
        <v>79424.635899999994</v>
      </c>
      <c r="AD1651" s="6">
        <f>$O$1651*$X$1651</f>
        <v>29133.275049999997</v>
      </c>
      <c r="AE1651" s="6">
        <f>$K$1651*$Y$1651</f>
        <v>0</v>
      </c>
      <c r="AF1651" s="6">
        <f ca="1">$M$1651*$Z$1651</f>
        <v>88274.744722138785</v>
      </c>
      <c r="AG1651" s="6">
        <f>$O$1651*$AA$1651</f>
        <v>25402.401238682021</v>
      </c>
    </row>
    <row r="1652" spans="1:33" ht="11.25" customHeight="1" x14ac:dyDescent="0.25">
      <c r="A1652" s="4" t="s">
        <v>21</v>
      </c>
      <c r="B1652" s="4" t="s">
        <v>44</v>
      </c>
      <c r="C1652" s="4" t="s">
        <v>34</v>
      </c>
      <c r="D1652" s="4" t="s">
        <v>48</v>
      </c>
      <c r="E1652" s="4" t="s">
        <v>25</v>
      </c>
      <c r="F1652" s="4" t="s">
        <v>25</v>
      </c>
      <c r="G1652" s="4" t="s">
        <v>25</v>
      </c>
      <c r="H1652" s="4" t="s">
        <v>35</v>
      </c>
      <c r="I1652" s="5">
        <v>43983</v>
      </c>
      <c r="J1652" s="6">
        <v>0</v>
      </c>
      <c r="K1652" s="6">
        <v>0</v>
      </c>
      <c r="L1652" s="6">
        <v>833.30700000000002</v>
      </c>
      <c r="M1652" s="6">
        <v>833.30700000000002</v>
      </c>
      <c r="N1652" s="6">
        <v>833.30700000000002</v>
      </c>
      <c r="O1652" s="6">
        <v>833.30700000000002</v>
      </c>
      <c r="P1652" s="6">
        <v>0</v>
      </c>
      <c r="Q1652" s="4" t="s">
        <v>26</v>
      </c>
      <c r="R1652" s="4">
        <v>0</v>
      </c>
      <c r="S1652" s="6">
        <v>0</v>
      </c>
      <c r="T1652" s="6">
        <v>36</v>
      </c>
      <c r="U1652" s="6">
        <v>83</v>
      </c>
      <c r="V1652" s="6">
        <f>IF(ISERROR(VLOOKUP($S$1652,'TAR FIN'!$A$1:$O$120,15,0)),0,VLOOKUP($S$1652,'TAR FIN'!$A$1:$O$120,15,0))</f>
        <v>0</v>
      </c>
      <c r="W1652" s="6">
        <f>IF(ISERROR(VLOOKUP($T$1652,'TAR FIN'!$A$1:$O$120,15,0)),0,VLOOKUP($T$1652,'TAR FIN'!$A$1:$O$120,15,0))</f>
        <v>1174.6600000000001</v>
      </c>
      <c r="X1652" s="6">
        <f>IF(ISERROR(VLOOKUP($U$1652,'TAR FIN'!$A$1:$O$120,15,0)),0,VLOOKUP($U$1652,'TAR FIN'!$A$1:$O$120,15,0))</f>
        <v>430.87</v>
      </c>
      <c r="Y1652" s="6"/>
      <c r="Z1652" s="6">
        <f ca="1">('TUSD BE'!$AM$44+'TUSD BF'!$AM$44+'TUSD CVA'!$AM$44)*1</f>
        <v>1305.5497259800161</v>
      </c>
      <c r="AA1652" s="6">
        <f>('TE BE'!$AA$13+'TE BF'!$AA$13+'TE CVA'!$AA$13)*1</f>
        <v>375.69180268700768</v>
      </c>
      <c r="AB1652" s="6">
        <f>$K$1652*$V$1652</f>
        <v>0</v>
      </c>
      <c r="AC1652" s="6">
        <f>$M$1652*$W$1652</f>
        <v>978852.40062000009</v>
      </c>
      <c r="AD1652" s="6">
        <f>$O$1652*$X$1652</f>
        <v>359046.98709000001</v>
      </c>
      <c r="AE1652" s="6">
        <f>$K$1652*$Y$1652</f>
        <v>0</v>
      </c>
      <c r="AF1652" s="6">
        <f ca="1">$M$1652*$Z$1652</f>
        <v>1087923.7255072293</v>
      </c>
      <c r="AG1652" s="6">
        <f>$O$1652*$AA$1652</f>
        <v>313066.60902170232</v>
      </c>
    </row>
    <row r="1653" spans="1:33" ht="11.25" customHeight="1" x14ac:dyDescent="0.25">
      <c r="A1653" s="4" t="s">
        <v>28</v>
      </c>
      <c r="B1653" s="4" t="s">
        <v>44</v>
      </c>
      <c r="C1653" s="4" t="s">
        <v>34</v>
      </c>
      <c r="D1653" s="4" t="s">
        <v>48</v>
      </c>
      <c r="E1653" s="4" t="s">
        <v>25</v>
      </c>
      <c r="F1653" s="4" t="s">
        <v>25</v>
      </c>
      <c r="G1653" s="4" t="s">
        <v>25</v>
      </c>
      <c r="H1653" s="4" t="s">
        <v>35</v>
      </c>
      <c r="I1653" s="5">
        <v>43983</v>
      </c>
      <c r="J1653" s="6">
        <v>0</v>
      </c>
      <c r="K1653" s="6">
        <v>0</v>
      </c>
      <c r="L1653" s="6">
        <v>95.42</v>
      </c>
      <c r="M1653" s="6">
        <v>95.42</v>
      </c>
      <c r="N1653" s="6">
        <v>95.42</v>
      </c>
      <c r="O1653" s="6">
        <v>95.42</v>
      </c>
      <c r="P1653" s="6">
        <v>0</v>
      </c>
      <c r="Q1653" s="4" t="s">
        <v>26</v>
      </c>
      <c r="R1653" s="4">
        <v>0</v>
      </c>
      <c r="S1653" s="6">
        <v>0</v>
      </c>
      <c r="T1653" s="6">
        <v>36</v>
      </c>
      <c r="U1653" s="6">
        <v>83</v>
      </c>
      <c r="V1653" s="6">
        <f>IF(ISERROR(VLOOKUP($S$1653,'TAR FIN'!$A$1:$O$120,15,0)),0,VLOOKUP($S$1653,'TAR FIN'!$A$1:$O$120,15,0))</f>
        <v>0</v>
      </c>
      <c r="W1653" s="6">
        <f>IF(ISERROR(VLOOKUP($T$1653,'TAR FIN'!$A$1:$O$120,15,0)),0,VLOOKUP($T$1653,'TAR FIN'!$A$1:$O$120,15,0))</f>
        <v>1174.6600000000001</v>
      </c>
      <c r="X1653" s="6">
        <f>IF(ISERROR(VLOOKUP($U$1653,'TAR FIN'!$A$1:$O$120,15,0)),0,VLOOKUP($U$1653,'TAR FIN'!$A$1:$O$120,15,0))</f>
        <v>430.87</v>
      </c>
      <c r="Y1653" s="6"/>
      <c r="Z1653" s="6">
        <f ca="1">('TUSD BE'!$AM$44+'TUSD BF'!$AM$44+'TUSD CVA'!$AM$44)*1</f>
        <v>1305.5497259800161</v>
      </c>
      <c r="AA1653" s="6">
        <f>('TE BE'!$AA$13+'TE BF'!$AA$13+'TE CVA'!$AA$13)*1</f>
        <v>375.69180268700768</v>
      </c>
      <c r="AB1653" s="6">
        <f>$K$1653*$V$1653</f>
        <v>0</v>
      </c>
      <c r="AC1653" s="6">
        <f>$M$1653*$W$1653</f>
        <v>112086.05720000001</v>
      </c>
      <c r="AD1653" s="6">
        <f>$O$1653*$X$1653</f>
        <v>41113.615400000002</v>
      </c>
      <c r="AE1653" s="6">
        <f>$K$1653*$Y$1653</f>
        <v>0</v>
      </c>
      <c r="AF1653" s="6">
        <f ca="1">$M$1653*$Z$1653</f>
        <v>124575.55485301313</v>
      </c>
      <c r="AG1653" s="6">
        <f>$O$1653*$AA$1653</f>
        <v>35848.511812394274</v>
      </c>
    </row>
    <row r="1654" spans="1:33" ht="11.25" customHeight="1" x14ac:dyDescent="0.25">
      <c r="A1654" s="4" t="s">
        <v>21</v>
      </c>
      <c r="B1654" s="4" t="s">
        <v>44</v>
      </c>
      <c r="C1654" s="4" t="s">
        <v>34</v>
      </c>
      <c r="D1654" s="4" t="s">
        <v>48</v>
      </c>
      <c r="E1654" s="4" t="s">
        <v>25</v>
      </c>
      <c r="F1654" s="4" t="s">
        <v>25</v>
      </c>
      <c r="G1654" s="4" t="s">
        <v>25</v>
      </c>
      <c r="H1654" s="4" t="s">
        <v>35</v>
      </c>
      <c r="I1654" s="5">
        <v>44013</v>
      </c>
      <c r="J1654" s="6">
        <v>0</v>
      </c>
      <c r="K1654" s="6">
        <v>0</v>
      </c>
      <c r="L1654" s="6">
        <v>788.65200000000004</v>
      </c>
      <c r="M1654" s="6">
        <v>788.65200000000004</v>
      </c>
      <c r="N1654" s="6">
        <v>788.65200000000004</v>
      </c>
      <c r="O1654" s="6">
        <v>788.65200000000004</v>
      </c>
      <c r="P1654" s="6">
        <v>0</v>
      </c>
      <c r="Q1654" s="4" t="s">
        <v>26</v>
      </c>
      <c r="R1654" s="4">
        <v>0</v>
      </c>
      <c r="S1654" s="6">
        <v>0</v>
      </c>
      <c r="T1654" s="6">
        <v>36</v>
      </c>
      <c r="U1654" s="6">
        <v>83</v>
      </c>
      <c r="V1654" s="6">
        <f>IF(ISERROR(VLOOKUP($S$1654,'TAR FIN'!$A$1:$O$120,15,0)),0,VLOOKUP($S$1654,'TAR FIN'!$A$1:$O$120,15,0))</f>
        <v>0</v>
      </c>
      <c r="W1654" s="6">
        <f>IF(ISERROR(VLOOKUP($T$1654,'TAR FIN'!$A$1:$O$120,15,0)),0,VLOOKUP($T$1654,'TAR FIN'!$A$1:$O$120,15,0))</f>
        <v>1174.6600000000001</v>
      </c>
      <c r="X1654" s="6">
        <f>IF(ISERROR(VLOOKUP($U$1654,'TAR FIN'!$A$1:$O$120,15,0)),0,VLOOKUP($U$1654,'TAR FIN'!$A$1:$O$120,15,0))</f>
        <v>430.87</v>
      </c>
      <c r="Y1654" s="6"/>
      <c r="Z1654" s="6">
        <f ca="1">('TUSD BE'!$AM$44+'TUSD BF'!$AM$44+'TUSD CVA'!$AM$44)*1</f>
        <v>1305.5497259800161</v>
      </c>
      <c r="AA1654" s="6">
        <f>('TE BE'!$AA$13+'TE BF'!$AA$13+'TE CVA'!$AA$13)*1</f>
        <v>375.69180268700768</v>
      </c>
      <c r="AB1654" s="6">
        <f>$K$1654*$V$1654</f>
        <v>0</v>
      </c>
      <c r="AC1654" s="6">
        <f>$M$1654*$W$1654</f>
        <v>926397.95832000009</v>
      </c>
      <c r="AD1654" s="6">
        <f>$O$1654*$X$1654</f>
        <v>339806.48724000005</v>
      </c>
      <c r="AE1654" s="6">
        <f>$K$1654*$Y$1654</f>
        <v>0</v>
      </c>
      <c r="AF1654" s="6">
        <f ca="1">$M$1654*$Z$1654</f>
        <v>1029624.4024935917</v>
      </c>
      <c r="AG1654" s="6">
        <f>$O$1654*$AA$1654</f>
        <v>296290.09157271398</v>
      </c>
    </row>
    <row r="1655" spans="1:33" ht="11.25" customHeight="1" x14ac:dyDescent="0.25">
      <c r="A1655" s="4" t="s">
        <v>28</v>
      </c>
      <c r="B1655" s="4" t="s">
        <v>44</v>
      </c>
      <c r="C1655" s="4" t="s">
        <v>34</v>
      </c>
      <c r="D1655" s="4" t="s">
        <v>48</v>
      </c>
      <c r="E1655" s="4" t="s">
        <v>25</v>
      </c>
      <c r="F1655" s="4" t="s">
        <v>25</v>
      </c>
      <c r="G1655" s="4" t="s">
        <v>25</v>
      </c>
      <c r="H1655" s="4" t="s">
        <v>35</v>
      </c>
      <c r="I1655" s="5">
        <v>44013</v>
      </c>
      <c r="J1655" s="6">
        <v>0</v>
      </c>
      <c r="K1655" s="6">
        <v>0</v>
      </c>
      <c r="L1655" s="6">
        <v>93.974000000000004</v>
      </c>
      <c r="M1655" s="6">
        <v>93.974000000000004</v>
      </c>
      <c r="N1655" s="6">
        <v>93.974000000000004</v>
      </c>
      <c r="O1655" s="6">
        <v>93.974000000000004</v>
      </c>
      <c r="P1655" s="6">
        <v>0</v>
      </c>
      <c r="Q1655" s="4" t="s">
        <v>26</v>
      </c>
      <c r="R1655" s="4">
        <v>0</v>
      </c>
      <c r="S1655" s="6">
        <v>0</v>
      </c>
      <c r="T1655" s="6">
        <v>36</v>
      </c>
      <c r="U1655" s="6">
        <v>83</v>
      </c>
      <c r="V1655" s="6">
        <f>IF(ISERROR(VLOOKUP($S$1655,'TAR FIN'!$A$1:$O$120,15,0)),0,VLOOKUP($S$1655,'TAR FIN'!$A$1:$O$120,15,0))</f>
        <v>0</v>
      </c>
      <c r="W1655" s="6">
        <f>IF(ISERROR(VLOOKUP($T$1655,'TAR FIN'!$A$1:$O$120,15,0)),0,VLOOKUP($T$1655,'TAR FIN'!$A$1:$O$120,15,0))</f>
        <v>1174.6600000000001</v>
      </c>
      <c r="X1655" s="6">
        <f>IF(ISERROR(VLOOKUP($U$1655,'TAR FIN'!$A$1:$O$120,15,0)),0,VLOOKUP($U$1655,'TAR FIN'!$A$1:$O$120,15,0))</f>
        <v>430.87</v>
      </c>
      <c r="Y1655" s="6"/>
      <c r="Z1655" s="6">
        <f ca="1">('TUSD BE'!$AM$44+'TUSD BF'!$AM$44+'TUSD CVA'!$AM$44)*1</f>
        <v>1305.5497259800161</v>
      </c>
      <c r="AA1655" s="6">
        <f>('TE BE'!$AA$13+'TE BF'!$AA$13+'TE CVA'!$AA$13)*1</f>
        <v>375.69180268700768</v>
      </c>
      <c r="AB1655" s="6">
        <f>$K$1655*$V$1655</f>
        <v>0</v>
      </c>
      <c r="AC1655" s="6">
        <f>$M$1655*$W$1655</f>
        <v>110387.49884000001</v>
      </c>
      <c r="AD1655" s="6">
        <f>$O$1655*$X$1655</f>
        <v>40490.577380000002</v>
      </c>
      <c r="AE1655" s="6">
        <f>$K$1655*$Y$1655</f>
        <v>0</v>
      </c>
      <c r="AF1655" s="6">
        <f ca="1">$M$1655*$Z$1655</f>
        <v>122687.72994924604</v>
      </c>
      <c r="AG1655" s="6">
        <f>$O$1655*$AA$1655</f>
        <v>35305.261465708863</v>
      </c>
    </row>
    <row r="1656" spans="1:33" ht="11.25" customHeight="1" x14ac:dyDescent="0.25">
      <c r="A1656" s="4" t="s">
        <v>21</v>
      </c>
      <c r="B1656" s="4" t="s">
        <v>44</v>
      </c>
      <c r="C1656" s="4" t="s">
        <v>34</v>
      </c>
      <c r="D1656" s="4" t="s">
        <v>48</v>
      </c>
      <c r="E1656" s="4" t="s">
        <v>25</v>
      </c>
      <c r="F1656" s="4" t="s">
        <v>25</v>
      </c>
      <c r="G1656" s="4" t="s">
        <v>25</v>
      </c>
      <c r="H1656" s="4" t="s">
        <v>35</v>
      </c>
      <c r="I1656" s="5">
        <v>44044</v>
      </c>
      <c r="J1656" s="6">
        <v>0</v>
      </c>
      <c r="K1656" s="6">
        <v>0</v>
      </c>
      <c r="L1656" s="6">
        <v>757.30399999999997</v>
      </c>
      <c r="M1656" s="6">
        <v>757.30399999999997</v>
      </c>
      <c r="N1656" s="6">
        <v>757.30399999999997</v>
      </c>
      <c r="O1656" s="6">
        <v>757.30399999999997</v>
      </c>
      <c r="P1656" s="6">
        <v>0</v>
      </c>
      <c r="Q1656" s="4" t="s">
        <v>26</v>
      </c>
      <c r="R1656" s="4">
        <v>0</v>
      </c>
      <c r="S1656" s="6">
        <v>0</v>
      </c>
      <c r="T1656" s="6">
        <v>36</v>
      </c>
      <c r="U1656" s="6">
        <v>83</v>
      </c>
      <c r="V1656" s="6">
        <f>IF(ISERROR(VLOOKUP($S$1656,'TAR FIN'!$A$1:$O$120,15,0)),0,VLOOKUP($S$1656,'TAR FIN'!$A$1:$O$120,15,0))</f>
        <v>0</v>
      </c>
      <c r="W1656" s="6">
        <f>IF(ISERROR(VLOOKUP($T$1656,'TAR FIN'!$A$1:$O$120,15,0)),0,VLOOKUP($T$1656,'TAR FIN'!$A$1:$O$120,15,0))</f>
        <v>1174.6600000000001</v>
      </c>
      <c r="X1656" s="6">
        <f>IF(ISERROR(VLOOKUP($U$1656,'TAR FIN'!$A$1:$O$120,15,0)),0,VLOOKUP($U$1656,'TAR FIN'!$A$1:$O$120,15,0))</f>
        <v>430.87</v>
      </c>
      <c r="Y1656" s="6"/>
      <c r="Z1656" s="6">
        <f ca="1">('TUSD BE'!$AM$44+'TUSD BF'!$AM$44+'TUSD CVA'!$AM$44)*1</f>
        <v>1305.5497259800161</v>
      </c>
      <c r="AA1656" s="6">
        <f>('TE BE'!$AA$13+'TE BF'!$AA$13+'TE CVA'!$AA$13)*1</f>
        <v>375.69180268700768</v>
      </c>
      <c r="AB1656" s="6">
        <f>$K$1656*$V$1656</f>
        <v>0</v>
      </c>
      <c r="AC1656" s="6">
        <f>$M$1656*$W$1656</f>
        <v>889574.71664</v>
      </c>
      <c r="AD1656" s="6">
        <f>$O$1656*$X$1656</f>
        <v>326299.57448000001</v>
      </c>
      <c r="AE1656" s="6">
        <f>$K$1656*$Y$1656</f>
        <v>0</v>
      </c>
      <c r="AF1656" s="6">
        <f ca="1">$M$1656*$Z$1656</f>
        <v>988698.02968357003</v>
      </c>
      <c r="AG1656" s="6">
        <f>$O$1656*$AA$1656</f>
        <v>284512.90494208166</v>
      </c>
    </row>
    <row r="1657" spans="1:33" ht="11.25" customHeight="1" x14ac:dyDescent="0.25">
      <c r="A1657" s="4" t="s">
        <v>27</v>
      </c>
      <c r="B1657" s="4" t="s">
        <v>44</v>
      </c>
      <c r="C1657" s="4" t="s">
        <v>34</v>
      </c>
      <c r="D1657" s="4" t="s">
        <v>48</v>
      </c>
      <c r="E1657" s="4" t="s">
        <v>25</v>
      </c>
      <c r="F1657" s="4" t="s">
        <v>25</v>
      </c>
      <c r="G1657" s="4" t="s">
        <v>25</v>
      </c>
      <c r="H1657" s="4" t="s">
        <v>35</v>
      </c>
      <c r="I1657" s="5">
        <v>44044</v>
      </c>
      <c r="J1657" s="6">
        <v>0</v>
      </c>
      <c r="K1657" s="6">
        <v>0</v>
      </c>
      <c r="L1657" s="6">
        <v>19.332999999999998</v>
      </c>
      <c r="M1657" s="6">
        <v>19.332999999999998</v>
      </c>
      <c r="N1657" s="6">
        <v>19.332999999999998</v>
      </c>
      <c r="O1657" s="6">
        <v>19.332999999999998</v>
      </c>
      <c r="P1657" s="6">
        <v>0</v>
      </c>
      <c r="Q1657" s="4" t="s">
        <v>26</v>
      </c>
      <c r="R1657" s="4">
        <v>0</v>
      </c>
      <c r="S1657" s="6">
        <v>0</v>
      </c>
      <c r="T1657" s="6">
        <v>36</v>
      </c>
      <c r="U1657" s="6">
        <v>83</v>
      </c>
      <c r="V1657" s="6">
        <f>IF(ISERROR(VLOOKUP($S$1657,'TAR FIN'!$A$1:$O$120,15,0)),0,VLOOKUP($S$1657,'TAR FIN'!$A$1:$O$120,15,0))</f>
        <v>0</v>
      </c>
      <c r="W1657" s="6">
        <f>IF(ISERROR(VLOOKUP($T$1657,'TAR FIN'!$A$1:$O$120,15,0)),0,VLOOKUP($T$1657,'TAR FIN'!$A$1:$O$120,15,0))</f>
        <v>1174.6600000000001</v>
      </c>
      <c r="X1657" s="6">
        <f>IF(ISERROR(VLOOKUP($U$1657,'TAR FIN'!$A$1:$O$120,15,0)),0,VLOOKUP($U$1657,'TAR FIN'!$A$1:$O$120,15,0))</f>
        <v>430.87</v>
      </c>
      <c r="Y1657" s="6"/>
      <c r="Z1657" s="6">
        <f ca="1">('TUSD BE'!$AM$44+'TUSD BF'!$AM$44+'TUSD CVA'!$AM$44)*1</f>
        <v>1305.5497259800161</v>
      </c>
      <c r="AA1657" s="6">
        <f>('TE BE'!$AA$13+'TE BF'!$AA$13+'TE CVA'!$AA$13)*1</f>
        <v>375.69180268700768</v>
      </c>
      <c r="AB1657" s="6">
        <f>$K$1657*$V$1657</f>
        <v>0</v>
      </c>
      <c r="AC1657" s="6">
        <f>$M$1657*$W$1657</f>
        <v>22709.701779999999</v>
      </c>
      <c r="AD1657" s="6">
        <f>$O$1657*$X$1657</f>
        <v>8330.0097100000003</v>
      </c>
      <c r="AE1657" s="6">
        <f>$K$1657*$Y$1657</f>
        <v>0</v>
      </c>
      <c r="AF1657" s="6">
        <f ca="1">$M$1657*$Z$1657</f>
        <v>25240.192852371649</v>
      </c>
      <c r="AG1657" s="6">
        <f>$O$1657*$AA$1657</f>
        <v>7263.2496213479189</v>
      </c>
    </row>
    <row r="1658" spans="1:33" ht="11.25" customHeight="1" x14ac:dyDescent="0.25">
      <c r="A1658" s="4" t="s">
        <v>28</v>
      </c>
      <c r="B1658" s="4" t="s">
        <v>44</v>
      </c>
      <c r="C1658" s="4" t="s">
        <v>34</v>
      </c>
      <c r="D1658" s="4" t="s">
        <v>48</v>
      </c>
      <c r="E1658" s="4" t="s">
        <v>25</v>
      </c>
      <c r="F1658" s="4" t="s">
        <v>25</v>
      </c>
      <c r="G1658" s="4" t="s">
        <v>25</v>
      </c>
      <c r="H1658" s="4" t="s">
        <v>35</v>
      </c>
      <c r="I1658" s="5">
        <v>44044</v>
      </c>
      <c r="J1658" s="6">
        <v>0</v>
      </c>
      <c r="K1658" s="6">
        <v>0</v>
      </c>
      <c r="L1658" s="6">
        <v>93.763999999999996</v>
      </c>
      <c r="M1658" s="6">
        <v>93.763999999999996</v>
      </c>
      <c r="N1658" s="6">
        <v>93.763999999999996</v>
      </c>
      <c r="O1658" s="6">
        <v>93.763999999999996</v>
      </c>
      <c r="P1658" s="6">
        <v>0</v>
      </c>
      <c r="Q1658" s="4" t="s">
        <v>26</v>
      </c>
      <c r="R1658" s="4">
        <v>0</v>
      </c>
      <c r="S1658" s="6">
        <v>0</v>
      </c>
      <c r="T1658" s="6">
        <v>36</v>
      </c>
      <c r="U1658" s="6">
        <v>83</v>
      </c>
      <c r="V1658" s="6">
        <f>IF(ISERROR(VLOOKUP($S$1658,'TAR FIN'!$A$1:$O$120,15,0)),0,VLOOKUP($S$1658,'TAR FIN'!$A$1:$O$120,15,0))</f>
        <v>0</v>
      </c>
      <c r="W1658" s="6">
        <f>IF(ISERROR(VLOOKUP($T$1658,'TAR FIN'!$A$1:$O$120,15,0)),0,VLOOKUP($T$1658,'TAR FIN'!$A$1:$O$120,15,0))</f>
        <v>1174.6600000000001</v>
      </c>
      <c r="X1658" s="6">
        <f>IF(ISERROR(VLOOKUP($U$1658,'TAR FIN'!$A$1:$O$120,15,0)),0,VLOOKUP($U$1658,'TAR FIN'!$A$1:$O$120,15,0))</f>
        <v>430.87</v>
      </c>
      <c r="Y1658" s="6"/>
      <c r="Z1658" s="6">
        <f ca="1">('TUSD BE'!$AM$44+'TUSD BF'!$AM$44+'TUSD CVA'!$AM$44)*1</f>
        <v>1305.5497259800161</v>
      </c>
      <c r="AA1658" s="6">
        <f>('TE BE'!$AA$13+'TE BF'!$AA$13+'TE CVA'!$AA$13)*1</f>
        <v>375.69180268700768</v>
      </c>
      <c r="AB1658" s="6">
        <f>$K$1658*$V$1658</f>
        <v>0</v>
      </c>
      <c r="AC1658" s="6">
        <f>$M$1658*$W$1658</f>
        <v>110140.82024</v>
      </c>
      <c r="AD1658" s="6">
        <f>$O$1658*$X$1658</f>
        <v>40400.094680000002</v>
      </c>
      <c r="AE1658" s="6">
        <f>$K$1658*$Y$1658</f>
        <v>0</v>
      </c>
      <c r="AF1658" s="6">
        <f ca="1">$M$1658*$Z$1658</f>
        <v>122413.56450679022</v>
      </c>
      <c r="AG1658" s="6">
        <f>$O$1658*$AA$1658</f>
        <v>35226.366187144587</v>
      </c>
    </row>
    <row r="1659" spans="1:33" ht="11.25" customHeight="1" x14ac:dyDescent="0.25">
      <c r="A1659" s="4" t="s">
        <v>59</v>
      </c>
      <c r="B1659" s="4" t="s">
        <v>44</v>
      </c>
      <c r="C1659" s="4" t="s">
        <v>34</v>
      </c>
      <c r="D1659" s="4" t="s">
        <v>48</v>
      </c>
      <c r="E1659" s="4" t="s">
        <v>25</v>
      </c>
      <c r="F1659" s="4" t="s">
        <v>25</v>
      </c>
      <c r="G1659" s="4" t="s">
        <v>25</v>
      </c>
      <c r="H1659" s="4" t="s">
        <v>35</v>
      </c>
      <c r="I1659" s="5">
        <v>44075</v>
      </c>
      <c r="J1659" s="6">
        <v>0</v>
      </c>
      <c r="K1659" s="6">
        <v>0</v>
      </c>
      <c r="L1659" s="6">
        <v>757.30399999999997</v>
      </c>
      <c r="M1659" s="6">
        <v>757.30399999999997</v>
      </c>
      <c r="N1659" s="6">
        <v>757.30399999999997</v>
      </c>
      <c r="O1659" s="6">
        <v>757.30399999999997</v>
      </c>
      <c r="P1659" s="6">
        <v>0</v>
      </c>
      <c r="Q1659" s="4" t="s">
        <v>26</v>
      </c>
      <c r="R1659" s="4">
        <v>0</v>
      </c>
      <c r="S1659" s="6">
        <v>0</v>
      </c>
      <c r="T1659" s="6">
        <v>36</v>
      </c>
      <c r="U1659" s="6">
        <v>83</v>
      </c>
      <c r="V1659" s="6">
        <f>IF(ISERROR(VLOOKUP($S$1659,'TAR FIN'!$A$1:$O$120,15,0)),0,VLOOKUP($S$1659,'TAR FIN'!$A$1:$O$120,15,0))</f>
        <v>0</v>
      </c>
      <c r="W1659" s="6">
        <f>IF(ISERROR(VLOOKUP($T$1659,'TAR FIN'!$A$1:$O$120,15,0)),0,VLOOKUP($T$1659,'TAR FIN'!$A$1:$O$120,15,0))</f>
        <v>1174.6600000000001</v>
      </c>
      <c r="X1659" s="6">
        <f>IF(ISERROR(VLOOKUP($U$1659,'TAR FIN'!$A$1:$O$120,15,0)),0,VLOOKUP($U$1659,'TAR FIN'!$A$1:$O$120,15,0))</f>
        <v>430.87</v>
      </c>
      <c r="Y1659" s="6"/>
      <c r="Z1659" s="6">
        <f ca="1">('TUSD BE'!$AM$44+'TUSD BF'!$AM$44+'TUSD CVA'!$AM$44)*1</f>
        <v>1305.5497259800161</v>
      </c>
      <c r="AA1659" s="6">
        <f>('TE BE'!$AA$13+'TE BF'!$AA$13+'TE CVA'!$AA$13)*1</f>
        <v>375.69180268700768</v>
      </c>
      <c r="AB1659" s="6">
        <f>$K$1659*$V$1659</f>
        <v>0</v>
      </c>
      <c r="AC1659" s="6">
        <f>$M$1659*$W$1659</f>
        <v>889574.71664</v>
      </c>
      <c r="AD1659" s="6">
        <f>$O$1659*$X$1659</f>
        <v>326299.57448000001</v>
      </c>
      <c r="AE1659" s="6">
        <f>$K$1659*$Y$1659</f>
        <v>0</v>
      </c>
      <c r="AF1659" s="6">
        <f ca="1">$M$1659*$Z$1659</f>
        <v>988698.02968357003</v>
      </c>
      <c r="AG1659" s="6">
        <f>$O$1659*$AA$1659</f>
        <v>284512.90494208166</v>
      </c>
    </row>
    <row r="1660" spans="1:33" ht="11.25" customHeight="1" x14ac:dyDescent="0.25">
      <c r="A1660" s="4" t="s">
        <v>59</v>
      </c>
      <c r="B1660" s="4" t="s">
        <v>44</v>
      </c>
      <c r="C1660" s="4" t="s">
        <v>34</v>
      </c>
      <c r="D1660" s="4" t="s">
        <v>48</v>
      </c>
      <c r="E1660" s="4" t="s">
        <v>25</v>
      </c>
      <c r="F1660" s="4" t="s">
        <v>25</v>
      </c>
      <c r="G1660" s="4" t="s">
        <v>25</v>
      </c>
      <c r="H1660" s="4" t="s">
        <v>35</v>
      </c>
      <c r="I1660" s="5">
        <v>44075</v>
      </c>
      <c r="J1660" s="6">
        <v>0</v>
      </c>
      <c r="K1660" s="6">
        <v>0</v>
      </c>
      <c r="L1660" s="6">
        <v>19.332999999999998</v>
      </c>
      <c r="M1660" s="6">
        <v>19.332999999999998</v>
      </c>
      <c r="N1660" s="6">
        <v>19.332999999999998</v>
      </c>
      <c r="O1660" s="6">
        <v>19.332999999999998</v>
      </c>
      <c r="P1660" s="6">
        <v>0</v>
      </c>
      <c r="Q1660" s="4" t="s">
        <v>26</v>
      </c>
      <c r="R1660" s="4">
        <v>0</v>
      </c>
      <c r="S1660" s="6">
        <v>0</v>
      </c>
      <c r="T1660" s="6">
        <v>36</v>
      </c>
      <c r="U1660" s="6">
        <v>83</v>
      </c>
      <c r="V1660" s="6">
        <f>IF(ISERROR(VLOOKUP($S$1660,'TAR FIN'!$A$1:$O$120,15,0)),0,VLOOKUP($S$1660,'TAR FIN'!$A$1:$O$120,15,0))</f>
        <v>0</v>
      </c>
      <c r="W1660" s="6">
        <f>IF(ISERROR(VLOOKUP($T$1660,'TAR FIN'!$A$1:$O$120,15,0)),0,VLOOKUP($T$1660,'TAR FIN'!$A$1:$O$120,15,0))</f>
        <v>1174.6600000000001</v>
      </c>
      <c r="X1660" s="6">
        <f>IF(ISERROR(VLOOKUP($U$1660,'TAR FIN'!$A$1:$O$120,15,0)),0,VLOOKUP($U$1660,'TAR FIN'!$A$1:$O$120,15,0))</f>
        <v>430.87</v>
      </c>
      <c r="Y1660" s="6"/>
      <c r="Z1660" s="6">
        <f ca="1">('TUSD BE'!$AM$44+'TUSD BF'!$AM$44+'TUSD CVA'!$AM$44)*1</f>
        <v>1305.5497259800161</v>
      </c>
      <c r="AA1660" s="6">
        <f>('TE BE'!$AA$13+'TE BF'!$AA$13+'TE CVA'!$AA$13)*1</f>
        <v>375.69180268700768</v>
      </c>
      <c r="AB1660" s="6">
        <f>$K$1660*$V$1660</f>
        <v>0</v>
      </c>
      <c r="AC1660" s="6">
        <f>$M$1660*$W$1660</f>
        <v>22709.701779999999</v>
      </c>
      <c r="AD1660" s="6">
        <f>$O$1660*$X$1660</f>
        <v>8330.0097100000003</v>
      </c>
      <c r="AE1660" s="6">
        <f>$K$1660*$Y$1660</f>
        <v>0</v>
      </c>
      <c r="AF1660" s="6">
        <f ca="1">$M$1660*$Z$1660</f>
        <v>25240.192852371649</v>
      </c>
      <c r="AG1660" s="6">
        <f>$O$1660*$AA$1660</f>
        <v>7263.2496213479189</v>
      </c>
    </row>
    <row r="1661" spans="1:33" ht="11.25" customHeight="1" x14ac:dyDescent="0.25">
      <c r="A1661" s="4" t="s">
        <v>59</v>
      </c>
      <c r="B1661" s="4" t="s">
        <v>44</v>
      </c>
      <c r="C1661" s="4" t="s">
        <v>34</v>
      </c>
      <c r="D1661" s="4" t="s">
        <v>48</v>
      </c>
      <c r="E1661" s="4" t="s">
        <v>25</v>
      </c>
      <c r="F1661" s="4" t="s">
        <v>25</v>
      </c>
      <c r="G1661" s="4" t="s">
        <v>25</v>
      </c>
      <c r="H1661" s="4" t="s">
        <v>35</v>
      </c>
      <c r="I1661" s="5">
        <v>44075</v>
      </c>
      <c r="J1661" s="6">
        <v>0</v>
      </c>
      <c r="K1661" s="6">
        <v>0</v>
      </c>
      <c r="L1661" s="6">
        <v>93.763999999999996</v>
      </c>
      <c r="M1661" s="6">
        <v>93.763999999999996</v>
      </c>
      <c r="N1661" s="6">
        <v>93.763999999999996</v>
      </c>
      <c r="O1661" s="6">
        <v>93.763999999999996</v>
      </c>
      <c r="P1661" s="6">
        <v>0</v>
      </c>
      <c r="Q1661" s="4" t="s">
        <v>26</v>
      </c>
      <c r="R1661" s="4">
        <v>0</v>
      </c>
      <c r="S1661" s="6">
        <v>0</v>
      </c>
      <c r="T1661" s="6">
        <v>36</v>
      </c>
      <c r="U1661" s="6">
        <v>83</v>
      </c>
      <c r="V1661" s="6">
        <f>IF(ISERROR(VLOOKUP($S$1661,'TAR FIN'!$A$1:$O$120,15,0)),0,VLOOKUP($S$1661,'TAR FIN'!$A$1:$O$120,15,0))</f>
        <v>0</v>
      </c>
      <c r="W1661" s="6">
        <f>IF(ISERROR(VLOOKUP($T$1661,'TAR FIN'!$A$1:$O$120,15,0)),0,VLOOKUP($T$1661,'TAR FIN'!$A$1:$O$120,15,0))</f>
        <v>1174.6600000000001</v>
      </c>
      <c r="X1661" s="6">
        <f>IF(ISERROR(VLOOKUP($U$1661,'TAR FIN'!$A$1:$O$120,15,0)),0,VLOOKUP($U$1661,'TAR FIN'!$A$1:$O$120,15,0))</f>
        <v>430.87</v>
      </c>
      <c r="Y1661" s="6"/>
      <c r="Z1661" s="6">
        <f ca="1">('TUSD BE'!$AM$44+'TUSD BF'!$AM$44+'TUSD CVA'!$AM$44)*1</f>
        <v>1305.5497259800161</v>
      </c>
      <c r="AA1661" s="6">
        <f>('TE BE'!$AA$13+'TE BF'!$AA$13+'TE CVA'!$AA$13)*1</f>
        <v>375.69180268700768</v>
      </c>
      <c r="AB1661" s="6">
        <f>$K$1661*$V$1661</f>
        <v>0</v>
      </c>
      <c r="AC1661" s="6">
        <f>$M$1661*$W$1661</f>
        <v>110140.82024</v>
      </c>
      <c r="AD1661" s="6">
        <f>$O$1661*$X$1661</f>
        <v>40400.094680000002</v>
      </c>
      <c r="AE1661" s="6">
        <f>$K$1661*$Y$1661</f>
        <v>0</v>
      </c>
      <c r="AF1661" s="6">
        <f ca="1">$M$1661*$Z$1661</f>
        <v>122413.56450679022</v>
      </c>
      <c r="AG1661" s="6">
        <f>$O$1661*$AA$1661</f>
        <v>35226.366187144587</v>
      </c>
    </row>
    <row r="1662" spans="1:33" ht="11.25" customHeight="1" x14ac:dyDescent="0.25">
      <c r="A1662" s="4" t="s">
        <v>21</v>
      </c>
      <c r="B1662" s="4" t="s">
        <v>22</v>
      </c>
      <c r="C1662" s="4" t="s">
        <v>37</v>
      </c>
      <c r="D1662" s="4" t="s">
        <v>24</v>
      </c>
      <c r="E1662" s="4" t="s">
        <v>24</v>
      </c>
      <c r="F1662" s="4" t="s">
        <v>25</v>
      </c>
      <c r="G1662" s="4" t="s">
        <v>25</v>
      </c>
      <c r="H1662" s="4" t="s">
        <v>36</v>
      </c>
      <c r="I1662" s="5">
        <v>43739</v>
      </c>
      <c r="J1662" s="6">
        <v>0</v>
      </c>
      <c r="K1662" s="6">
        <v>0</v>
      </c>
      <c r="L1662" s="6">
        <v>188.077</v>
      </c>
      <c r="M1662" s="6">
        <v>188.077</v>
      </c>
      <c r="N1662" s="6">
        <v>188.077</v>
      </c>
      <c r="O1662" s="6">
        <v>188.077</v>
      </c>
      <c r="P1662" s="6">
        <v>0</v>
      </c>
      <c r="Q1662" s="4" t="s">
        <v>26</v>
      </c>
      <c r="R1662" s="4">
        <v>0</v>
      </c>
      <c r="S1662" s="6">
        <v>0</v>
      </c>
      <c r="T1662" s="6">
        <v>44</v>
      </c>
      <c r="U1662" s="6">
        <v>87</v>
      </c>
      <c r="V1662" s="6">
        <f>IF(ISERROR(VLOOKUP($S$1662,'TAR FIN'!$A$1:$O$120,15,0)),0,VLOOKUP($S$1662,'TAR FIN'!$A$1:$O$120,15,0))</f>
        <v>0</v>
      </c>
      <c r="W1662" s="6">
        <f>IF(ISERROR(VLOOKUP($T$1662,'TAR FIN'!$A$1:$O$120,15,0)),0,VLOOKUP($T$1662,'TAR FIN'!$A$1:$O$120,15,0))</f>
        <v>187.49</v>
      </c>
      <c r="X1662" s="6">
        <f>IF(ISERROR(VLOOKUP($U$1662,'TAR FIN'!$A$1:$O$120,15,0)),0,VLOOKUP($U$1662,'TAR FIN'!$A$1:$O$120,15,0))</f>
        <v>256.38</v>
      </c>
      <c r="Y1662" s="6"/>
      <c r="Z1662" s="6">
        <f ca="1">('TUSD BE'!$AM$54+'TUSD BF'!$AM$54+'TUSD CVA'!$AM$54)*1</f>
        <v>202.69024964776463</v>
      </c>
      <c r="AA1662" s="6">
        <f>('TE BE'!$AA$18+'TE BF'!$AA$18+'TE CVA'!$AA$18)*1</f>
        <v>230.83420940933817</v>
      </c>
      <c r="AB1662" s="6">
        <f>$K$1662*$V$1662</f>
        <v>0</v>
      </c>
      <c r="AC1662" s="6">
        <f>$M$1662*$W$1662</f>
        <v>35262.556730000004</v>
      </c>
      <c r="AD1662" s="6">
        <f>$O$1662*$X$1662</f>
        <v>48219.181259999998</v>
      </c>
      <c r="AE1662" s="6">
        <f>$K$1662*$Y$1662</f>
        <v>0</v>
      </c>
      <c r="AF1662" s="6">
        <f ca="1">$M$1662*$Z$1662</f>
        <v>38121.374083002629</v>
      </c>
      <c r="AG1662" s="6">
        <f>$O$1662*$AA$1662</f>
        <v>43414.605603080097</v>
      </c>
    </row>
    <row r="1663" spans="1:33" ht="11.25" customHeight="1" x14ac:dyDescent="0.25">
      <c r="A1663" s="4" t="s">
        <v>27</v>
      </c>
      <c r="B1663" s="4" t="s">
        <v>22</v>
      </c>
      <c r="C1663" s="4" t="s">
        <v>37</v>
      </c>
      <c r="D1663" s="4" t="s">
        <v>24</v>
      </c>
      <c r="E1663" s="4" t="s">
        <v>24</v>
      </c>
      <c r="F1663" s="4" t="s">
        <v>25</v>
      </c>
      <c r="G1663" s="4" t="s">
        <v>25</v>
      </c>
      <c r="H1663" s="4" t="s">
        <v>36</v>
      </c>
      <c r="I1663" s="5">
        <v>43739</v>
      </c>
      <c r="J1663" s="6">
        <v>0</v>
      </c>
      <c r="K1663" s="6">
        <v>0</v>
      </c>
      <c r="L1663" s="6">
        <v>4.3760000000000003</v>
      </c>
      <c r="M1663" s="6">
        <v>4.3760000000000003</v>
      </c>
      <c r="N1663" s="6">
        <v>4.3760000000000003</v>
      </c>
      <c r="O1663" s="6">
        <v>4.3760000000000003</v>
      </c>
      <c r="P1663" s="6">
        <v>0</v>
      </c>
      <c r="Q1663" s="4" t="s">
        <v>26</v>
      </c>
      <c r="R1663" s="4">
        <v>0</v>
      </c>
      <c r="S1663" s="6">
        <v>0</v>
      </c>
      <c r="T1663" s="6">
        <v>44</v>
      </c>
      <c r="U1663" s="6">
        <v>87</v>
      </c>
      <c r="V1663" s="6">
        <f>IF(ISERROR(VLOOKUP($S$1663,'TAR FIN'!$A$1:$O$120,15,0)),0,VLOOKUP($S$1663,'TAR FIN'!$A$1:$O$120,15,0))</f>
        <v>0</v>
      </c>
      <c r="W1663" s="6">
        <f>IF(ISERROR(VLOOKUP($T$1663,'TAR FIN'!$A$1:$O$120,15,0)),0,VLOOKUP($T$1663,'TAR FIN'!$A$1:$O$120,15,0))</f>
        <v>187.49</v>
      </c>
      <c r="X1663" s="6">
        <f>IF(ISERROR(VLOOKUP($U$1663,'TAR FIN'!$A$1:$O$120,15,0)),0,VLOOKUP($U$1663,'TAR FIN'!$A$1:$O$120,15,0))</f>
        <v>256.38</v>
      </c>
      <c r="Y1663" s="6"/>
      <c r="Z1663" s="6">
        <f ca="1">('TUSD BE'!$AM$54+'TUSD BF'!$AM$54+'TUSD CVA'!$AM$54)*1</f>
        <v>202.69024964776463</v>
      </c>
      <c r="AA1663" s="6">
        <f>('TE BE'!$AA$18+'TE BF'!$AA$18+'TE CVA'!$AA$18)*1</f>
        <v>230.83420940933817</v>
      </c>
      <c r="AB1663" s="6">
        <f>$K$1663*$V$1663</f>
        <v>0</v>
      </c>
      <c r="AC1663" s="6">
        <f>$M$1663*$W$1663</f>
        <v>820.45624000000009</v>
      </c>
      <c r="AD1663" s="6">
        <f>$O$1663*$X$1663</f>
        <v>1121.9188800000002</v>
      </c>
      <c r="AE1663" s="6">
        <f>$K$1663*$Y$1663</f>
        <v>0</v>
      </c>
      <c r="AF1663" s="6">
        <f ca="1">$M$1663*$Z$1663</f>
        <v>886.97253245861805</v>
      </c>
      <c r="AG1663" s="6">
        <f>$O$1663*$AA$1663</f>
        <v>1010.1305003752639</v>
      </c>
    </row>
    <row r="1664" spans="1:33" ht="11.25" customHeight="1" x14ac:dyDescent="0.25">
      <c r="A1664" s="4" t="s">
        <v>28</v>
      </c>
      <c r="B1664" s="4" t="s">
        <v>22</v>
      </c>
      <c r="C1664" s="4" t="s">
        <v>37</v>
      </c>
      <c r="D1664" s="4" t="s">
        <v>24</v>
      </c>
      <c r="E1664" s="4" t="s">
        <v>24</v>
      </c>
      <c r="F1664" s="4" t="s">
        <v>25</v>
      </c>
      <c r="G1664" s="4" t="s">
        <v>25</v>
      </c>
      <c r="H1664" s="4" t="s">
        <v>36</v>
      </c>
      <c r="I1664" s="5">
        <v>43739</v>
      </c>
      <c r="J1664" s="6">
        <v>0</v>
      </c>
      <c r="K1664" s="6">
        <v>0</v>
      </c>
      <c r="L1664" s="6">
        <v>0.04</v>
      </c>
      <c r="M1664" s="6">
        <v>0.04</v>
      </c>
      <c r="N1664" s="6">
        <v>0.04</v>
      </c>
      <c r="O1664" s="6">
        <v>0.04</v>
      </c>
      <c r="P1664" s="6">
        <v>0</v>
      </c>
      <c r="Q1664" s="4" t="s">
        <v>26</v>
      </c>
      <c r="R1664" s="4">
        <v>0</v>
      </c>
      <c r="S1664" s="6">
        <v>0</v>
      </c>
      <c r="T1664" s="6">
        <v>44</v>
      </c>
      <c r="U1664" s="6">
        <v>87</v>
      </c>
      <c r="V1664" s="6">
        <f>IF(ISERROR(VLOOKUP($S$1664,'TAR FIN'!$A$1:$O$120,15,0)),0,VLOOKUP($S$1664,'TAR FIN'!$A$1:$O$120,15,0))</f>
        <v>0</v>
      </c>
      <c r="W1664" s="6">
        <f>IF(ISERROR(VLOOKUP($T$1664,'TAR FIN'!$A$1:$O$120,15,0)),0,VLOOKUP($T$1664,'TAR FIN'!$A$1:$O$120,15,0))</f>
        <v>187.49</v>
      </c>
      <c r="X1664" s="6">
        <f>IF(ISERROR(VLOOKUP($U$1664,'TAR FIN'!$A$1:$O$120,15,0)),0,VLOOKUP($U$1664,'TAR FIN'!$A$1:$O$120,15,0))</f>
        <v>256.38</v>
      </c>
      <c r="Y1664" s="6"/>
      <c r="Z1664" s="6">
        <f ca="1">('TUSD BE'!$AM$54+'TUSD BF'!$AM$54+'TUSD CVA'!$AM$54)*1</f>
        <v>202.69024964776463</v>
      </c>
      <c r="AA1664" s="6">
        <f>('TE BE'!$AA$18+'TE BF'!$AA$18+'TE CVA'!$AA$18)*1</f>
        <v>230.83420940933817</v>
      </c>
      <c r="AB1664" s="6">
        <f>$K$1664*$V$1664</f>
        <v>0</v>
      </c>
      <c r="AC1664" s="6">
        <f>$M$1664*$W$1664</f>
        <v>7.4996000000000009</v>
      </c>
      <c r="AD1664" s="6">
        <f>$O$1664*$X$1664</f>
        <v>10.2552</v>
      </c>
      <c r="AE1664" s="6">
        <f>$K$1664*$Y$1664</f>
        <v>0</v>
      </c>
      <c r="AF1664" s="6">
        <f ca="1">$M$1664*$Z$1664</f>
        <v>8.1076099859105852</v>
      </c>
      <c r="AG1664" s="6">
        <f>$O$1664*$AA$1664</f>
        <v>9.2333683763735266</v>
      </c>
    </row>
    <row r="1665" spans="1:33" ht="11.25" customHeight="1" x14ac:dyDescent="0.25">
      <c r="A1665" s="4" t="s">
        <v>21</v>
      </c>
      <c r="B1665" s="4" t="s">
        <v>22</v>
      </c>
      <c r="C1665" s="4" t="s">
        <v>37</v>
      </c>
      <c r="D1665" s="4" t="s">
        <v>24</v>
      </c>
      <c r="E1665" s="4" t="s">
        <v>24</v>
      </c>
      <c r="F1665" s="4" t="s">
        <v>25</v>
      </c>
      <c r="G1665" s="4" t="s">
        <v>25</v>
      </c>
      <c r="H1665" s="4" t="s">
        <v>36</v>
      </c>
      <c r="I1665" s="5">
        <v>43770</v>
      </c>
      <c r="J1665" s="6">
        <v>0</v>
      </c>
      <c r="K1665" s="6">
        <v>0</v>
      </c>
      <c r="L1665" s="6">
        <v>200.804</v>
      </c>
      <c r="M1665" s="6">
        <v>200.804</v>
      </c>
      <c r="N1665" s="6">
        <v>200.804</v>
      </c>
      <c r="O1665" s="6">
        <v>200.804</v>
      </c>
      <c r="P1665" s="6">
        <v>0</v>
      </c>
      <c r="Q1665" s="4" t="s">
        <v>26</v>
      </c>
      <c r="R1665" s="4">
        <v>0</v>
      </c>
      <c r="S1665" s="6">
        <v>0</v>
      </c>
      <c r="T1665" s="6">
        <v>44</v>
      </c>
      <c r="U1665" s="6">
        <v>87</v>
      </c>
      <c r="V1665" s="6">
        <f>IF(ISERROR(VLOOKUP($S$1665,'TAR FIN'!$A$1:$O$120,15,0)),0,VLOOKUP($S$1665,'TAR FIN'!$A$1:$O$120,15,0))</f>
        <v>0</v>
      </c>
      <c r="W1665" s="6">
        <f>IF(ISERROR(VLOOKUP($T$1665,'TAR FIN'!$A$1:$O$120,15,0)),0,VLOOKUP($T$1665,'TAR FIN'!$A$1:$O$120,15,0))</f>
        <v>187.49</v>
      </c>
      <c r="X1665" s="6">
        <f>IF(ISERROR(VLOOKUP($U$1665,'TAR FIN'!$A$1:$O$120,15,0)),0,VLOOKUP($U$1665,'TAR FIN'!$A$1:$O$120,15,0))</f>
        <v>256.38</v>
      </c>
      <c r="Y1665" s="6"/>
      <c r="Z1665" s="6">
        <f ca="1">('TUSD BE'!$AM$54+'TUSD BF'!$AM$54+'TUSD CVA'!$AM$54)*1</f>
        <v>202.69024964776463</v>
      </c>
      <c r="AA1665" s="6">
        <f>('TE BE'!$AA$18+'TE BF'!$AA$18+'TE CVA'!$AA$18)*1</f>
        <v>230.83420940933817</v>
      </c>
      <c r="AB1665" s="6">
        <f>$K$1665*$V$1665</f>
        <v>0</v>
      </c>
      <c r="AC1665" s="6">
        <f>$M$1665*$W$1665</f>
        <v>37648.741959999999</v>
      </c>
      <c r="AD1665" s="6">
        <f>$O$1665*$X$1665</f>
        <v>51482.129520000002</v>
      </c>
      <c r="AE1665" s="6">
        <f>$K$1665*$Y$1665</f>
        <v>0</v>
      </c>
      <c r="AF1665" s="6">
        <f ca="1">$M$1665*$Z$1665</f>
        <v>40701.012890269732</v>
      </c>
      <c r="AG1665" s="6">
        <f>$O$1665*$AA$1665</f>
        <v>46352.432586232746</v>
      </c>
    </row>
    <row r="1666" spans="1:33" ht="11.25" customHeight="1" x14ac:dyDescent="0.25">
      <c r="A1666" s="4" t="s">
        <v>27</v>
      </c>
      <c r="B1666" s="4" t="s">
        <v>22</v>
      </c>
      <c r="C1666" s="4" t="s">
        <v>37</v>
      </c>
      <c r="D1666" s="4" t="s">
        <v>24</v>
      </c>
      <c r="E1666" s="4" t="s">
        <v>24</v>
      </c>
      <c r="F1666" s="4" t="s">
        <v>25</v>
      </c>
      <c r="G1666" s="4" t="s">
        <v>25</v>
      </c>
      <c r="H1666" s="4" t="s">
        <v>36</v>
      </c>
      <c r="I1666" s="5">
        <v>43770</v>
      </c>
      <c r="J1666" s="6">
        <v>0</v>
      </c>
      <c r="K1666" s="6">
        <v>0</v>
      </c>
      <c r="L1666" s="6">
        <v>2.2429999999999999</v>
      </c>
      <c r="M1666" s="6">
        <v>2.2429999999999999</v>
      </c>
      <c r="N1666" s="6">
        <v>2.2429999999999999</v>
      </c>
      <c r="O1666" s="6">
        <v>2.2429999999999999</v>
      </c>
      <c r="P1666" s="6">
        <v>0</v>
      </c>
      <c r="Q1666" s="4" t="s">
        <v>26</v>
      </c>
      <c r="R1666" s="4">
        <v>0</v>
      </c>
      <c r="S1666" s="6">
        <v>0</v>
      </c>
      <c r="T1666" s="6">
        <v>44</v>
      </c>
      <c r="U1666" s="6">
        <v>87</v>
      </c>
      <c r="V1666" s="6">
        <f>IF(ISERROR(VLOOKUP($S$1666,'TAR FIN'!$A$1:$O$120,15,0)),0,VLOOKUP($S$1666,'TAR FIN'!$A$1:$O$120,15,0))</f>
        <v>0</v>
      </c>
      <c r="W1666" s="6">
        <f>IF(ISERROR(VLOOKUP($T$1666,'TAR FIN'!$A$1:$O$120,15,0)),0,VLOOKUP($T$1666,'TAR FIN'!$A$1:$O$120,15,0))</f>
        <v>187.49</v>
      </c>
      <c r="X1666" s="6">
        <f>IF(ISERROR(VLOOKUP($U$1666,'TAR FIN'!$A$1:$O$120,15,0)),0,VLOOKUP($U$1666,'TAR FIN'!$A$1:$O$120,15,0))</f>
        <v>256.38</v>
      </c>
      <c r="Y1666" s="6"/>
      <c r="Z1666" s="6">
        <f ca="1">('TUSD BE'!$AM$54+'TUSD BF'!$AM$54+'TUSD CVA'!$AM$54)*1</f>
        <v>202.69024964776463</v>
      </c>
      <c r="AA1666" s="6">
        <f>('TE BE'!$AA$18+'TE BF'!$AA$18+'TE CVA'!$AA$18)*1</f>
        <v>230.83420940933817</v>
      </c>
      <c r="AB1666" s="6">
        <f>$K$1666*$V$1666</f>
        <v>0</v>
      </c>
      <c r="AC1666" s="6">
        <f>$M$1666*$W$1666</f>
        <v>420.54007000000001</v>
      </c>
      <c r="AD1666" s="6">
        <f>$O$1666*$X$1666</f>
        <v>575.06034</v>
      </c>
      <c r="AE1666" s="6">
        <f>$K$1666*$Y$1666</f>
        <v>0</v>
      </c>
      <c r="AF1666" s="6">
        <f ca="1">$M$1666*$Z$1666</f>
        <v>454.63422995993602</v>
      </c>
      <c r="AG1666" s="6">
        <f>$O$1666*$AA$1666</f>
        <v>517.76113170514554</v>
      </c>
    </row>
    <row r="1667" spans="1:33" ht="11.25" customHeight="1" x14ac:dyDescent="0.25">
      <c r="A1667" s="4" t="s">
        <v>28</v>
      </c>
      <c r="B1667" s="4" t="s">
        <v>22</v>
      </c>
      <c r="C1667" s="4" t="s">
        <v>37</v>
      </c>
      <c r="D1667" s="4" t="s">
        <v>24</v>
      </c>
      <c r="E1667" s="4" t="s">
        <v>24</v>
      </c>
      <c r="F1667" s="4" t="s">
        <v>25</v>
      </c>
      <c r="G1667" s="4" t="s">
        <v>25</v>
      </c>
      <c r="H1667" s="4" t="s">
        <v>36</v>
      </c>
      <c r="I1667" s="5">
        <v>43770</v>
      </c>
      <c r="J1667" s="6">
        <v>0</v>
      </c>
      <c r="K1667" s="6">
        <v>0</v>
      </c>
      <c r="L1667" s="6">
        <v>0.113</v>
      </c>
      <c r="M1667" s="6">
        <v>0.113</v>
      </c>
      <c r="N1667" s="6">
        <v>0.113</v>
      </c>
      <c r="O1667" s="6">
        <v>0.113</v>
      </c>
      <c r="P1667" s="6">
        <v>0</v>
      </c>
      <c r="Q1667" s="4" t="s">
        <v>26</v>
      </c>
      <c r="R1667" s="4">
        <v>0</v>
      </c>
      <c r="S1667" s="6">
        <v>0</v>
      </c>
      <c r="T1667" s="6">
        <v>44</v>
      </c>
      <c r="U1667" s="6">
        <v>87</v>
      </c>
      <c r="V1667" s="6">
        <f>IF(ISERROR(VLOOKUP($S$1667,'TAR FIN'!$A$1:$O$120,15,0)),0,VLOOKUP($S$1667,'TAR FIN'!$A$1:$O$120,15,0))</f>
        <v>0</v>
      </c>
      <c r="W1667" s="6">
        <f>IF(ISERROR(VLOOKUP($T$1667,'TAR FIN'!$A$1:$O$120,15,0)),0,VLOOKUP($T$1667,'TAR FIN'!$A$1:$O$120,15,0))</f>
        <v>187.49</v>
      </c>
      <c r="X1667" s="6">
        <f>IF(ISERROR(VLOOKUP($U$1667,'TAR FIN'!$A$1:$O$120,15,0)),0,VLOOKUP($U$1667,'TAR FIN'!$A$1:$O$120,15,0))</f>
        <v>256.38</v>
      </c>
      <c r="Y1667" s="6"/>
      <c r="Z1667" s="6">
        <f ca="1">('TUSD BE'!$AM$54+'TUSD BF'!$AM$54+'TUSD CVA'!$AM$54)*1</f>
        <v>202.69024964776463</v>
      </c>
      <c r="AA1667" s="6">
        <f>('TE BE'!$AA$18+'TE BF'!$AA$18+'TE CVA'!$AA$18)*1</f>
        <v>230.83420940933817</v>
      </c>
      <c r="AB1667" s="6">
        <f>$K$1667*$V$1667</f>
        <v>0</v>
      </c>
      <c r="AC1667" s="6">
        <f>$M$1667*$W$1667</f>
        <v>21.18637</v>
      </c>
      <c r="AD1667" s="6">
        <f>$O$1667*$X$1667</f>
        <v>28.970939999999999</v>
      </c>
      <c r="AE1667" s="6">
        <f>$K$1667*$Y$1667</f>
        <v>0</v>
      </c>
      <c r="AF1667" s="6">
        <f ca="1">$M$1667*$Z$1667</f>
        <v>22.903998210197404</v>
      </c>
      <c r="AG1667" s="6">
        <f>$O$1667*$AA$1667</f>
        <v>26.084265663255213</v>
      </c>
    </row>
    <row r="1668" spans="1:33" ht="11.25" customHeight="1" x14ac:dyDescent="0.25">
      <c r="A1668" s="4" t="s">
        <v>28</v>
      </c>
      <c r="B1668" s="4" t="s">
        <v>22</v>
      </c>
      <c r="C1668" s="4" t="s">
        <v>37</v>
      </c>
      <c r="D1668" s="4" t="s">
        <v>24</v>
      </c>
      <c r="E1668" s="4" t="s">
        <v>24</v>
      </c>
      <c r="F1668" s="4" t="s">
        <v>25</v>
      </c>
      <c r="G1668" s="4" t="s">
        <v>25</v>
      </c>
      <c r="H1668" s="4" t="s">
        <v>36</v>
      </c>
      <c r="I1668" s="5">
        <v>43770</v>
      </c>
      <c r="J1668" s="6">
        <v>0</v>
      </c>
      <c r="K1668" s="6">
        <v>0</v>
      </c>
      <c r="L1668" s="6">
        <v>0.113</v>
      </c>
      <c r="M1668" s="6">
        <v>0.113</v>
      </c>
      <c r="N1668" s="6">
        <v>0.113</v>
      </c>
      <c r="O1668" s="6">
        <v>0.113</v>
      </c>
      <c r="P1668" s="6">
        <v>0</v>
      </c>
      <c r="Q1668" s="4" t="s">
        <v>26</v>
      </c>
      <c r="R1668" s="4">
        <v>0</v>
      </c>
      <c r="S1668" s="6">
        <v>0</v>
      </c>
      <c r="T1668" s="6">
        <v>44</v>
      </c>
      <c r="U1668" s="6">
        <v>87</v>
      </c>
      <c r="V1668" s="6">
        <f>IF(ISERROR(VLOOKUP($S$1668,'TAR FIN'!$A$1:$O$120,15,0)),0,VLOOKUP($S$1668,'TAR FIN'!$A$1:$O$120,15,0))</f>
        <v>0</v>
      </c>
      <c r="W1668" s="6">
        <f>IF(ISERROR(VLOOKUP($T$1668,'TAR FIN'!$A$1:$O$120,15,0)),0,VLOOKUP($T$1668,'TAR FIN'!$A$1:$O$120,15,0))</f>
        <v>187.49</v>
      </c>
      <c r="X1668" s="6">
        <f>IF(ISERROR(VLOOKUP($U$1668,'TAR FIN'!$A$1:$O$120,15,0)),0,VLOOKUP($U$1668,'TAR FIN'!$A$1:$O$120,15,0))</f>
        <v>256.38</v>
      </c>
      <c r="Y1668" s="6"/>
      <c r="Z1668" s="6">
        <f ca="1">('TUSD BE'!$AM$54+'TUSD BF'!$AM$54+'TUSD CVA'!$AM$54)*1</f>
        <v>202.69024964776463</v>
      </c>
      <c r="AA1668" s="6">
        <f>('TE BE'!$AA$18+'TE BF'!$AA$18+'TE CVA'!$AA$18)*1</f>
        <v>230.83420940933817</v>
      </c>
      <c r="AB1668" s="6">
        <f>$K$1668*$V$1668</f>
        <v>0</v>
      </c>
      <c r="AC1668" s="6">
        <f>$M$1668*$W$1668</f>
        <v>21.18637</v>
      </c>
      <c r="AD1668" s="6">
        <f>$O$1668*$X$1668</f>
        <v>28.970939999999999</v>
      </c>
      <c r="AE1668" s="6">
        <f>$K$1668*$Y$1668</f>
        <v>0</v>
      </c>
      <c r="AF1668" s="6">
        <f ca="1">$M$1668*$Z$1668</f>
        <v>22.903998210197404</v>
      </c>
      <c r="AG1668" s="6">
        <f>$O$1668*$AA$1668</f>
        <v>26.084265663255213</v>
      </c>
    </row>
    <row r="1669" spans="1:33" ht="11.25" customHeight="1" x14ac:dyDescent="0.25">
      <c r="A1669" s="4" t="s">
        <v>21</v>
      </c>
      <c r="B1669" s="4" t="s">
        <v>22</v>
      </c>
      <c r="C1669" s="4" t="s">
        <v>37</v>
      </c>
      <c r="D1669" s="4" t="s">
        <v>24</v>
      </c>
      <c r="E1669" s="4" t="s">
        <v>24</v>
      </c>
      <c r="F1669" s="4" t="s">
        <v>25</v>
      </c>
      <c r="G1669" s="4" t="s">
        <v>25</v>
      </c>
      <c r="H1669" s="4" t="s">
        <v>36</v>
      </c>
      <c r="I1669" s="5">
        <v>43800</v>
      </c>
      <c r="J1669" s="6">
        <v>0</v>
      </c>
      <c r="K1669" s="6">
        <v>0</v>
      </c>
      <c r="L1669" s="6">
        <v>168.14</v>
      </c>
      <c r="M1669" s="6">
        <v>168.14</v>
      </c>
      <c r="N1669" s="6">
        <v>168.14</v>
      </c>
      <c r="O1669" s="6">
        <v>168.14</v>
      </c>
      <c r="P1669" s="6">
        <v>0</v>
      </c>
      <c r="Q1669" s="4" t="s">
        <v>26</v>
      </c>
      <c r="R1669" s="4">
        <v>0</v>
      </c>
      <c r="S1669" s="6">
        <v>0</v>
      </c>
      <c r="T1669" s="6">
        <v>44</v>
      </c>
      <c r="U1669" s="6">
        <v>87</v>
      </c>
      <c r="V1669" s="6">
        <f>IF(ISERROR(VLOOKUP($S$1669,'TAR FIN'!$A$1:$O$120,15,0)),0,VLOOKUP($S$1669,'TAR FIN'!$A$1:$O$120,15,0))</f>
        <v>0</v>
      </c>
      <c r="W1669" s="6">
        <f>IF(ISERROR(VLOOKUP($T$1669,'TAR FIN'!$A$1:$O$120,15,0)),0,VLOOKUP($T$1669,'TAR FIN'!$A$1:$O$120,15,0))</f>
        <v>187.49</v>
      </c>
      <c r="X1669" s="6">
        <f>IF(ISERROR(VLOOKUP($U$1669,'TAR FIN'!$A$1:$O$120,15,0)),0,VLOOKUP($U$1669,'TAR FIN'!$A$1:$O$120,15,0))</f>
        <v>256.38</v>
      </c>
      <c r="Y1669" s="6"/>
      <c r="Z1669" s="6">
        <f ca="1">('TUSD BE'!$AM$54+'TUSD BF'!$AM$54+'TUSD CVA'!$AM$54)*1</f>
        <v>202.69024964776463</v>
      </c>
      <c r="AA1669" s="6">
        <f>('TE BE'!$AA$18+'TE BF'!$AA$18+'TE CVA'!$AA$18)*1</f>
        <v>230.83420940933817</v>
      </c>
      <c r="AB1669" s="6">
        <f>$K$1669*$V$1669</f>
        <v>0</v>
      </c>
      <c r="AC1669" s="6">
        <f>$M$1669*$W$1669</f>
        <v>31524.568599999999</v>
      </c>
      <c r="AD1669" s="6">
        <f>$O$1669*$X$1669</f>
        <v>43107.733199999995</v>
      </c>
      <c r="AE1669" s="6">
        <f>$K$1669*$Y$1669</f>
        <v>0</v>
      </c>
      <c r="AF1669" s="6">
        <f ca="1">$M$1669*$Z$1669</f>
        <v>34080.338575775146</v>
      </c>
      <c r="AG1669" s="6">
        <f>$O$1669*$AA$1669</f>
        <v>38812.463970086115</v>
      </c>
    </row>
    <row r="1670" spans="1:33" ht="11.25" customHeight="1" x14ac:dyDescent="0.25">
      <c r="A1670" s="4" t="s">
        <v>27</v>
      </c>
      <c r="B1670" s="4" t="s">
        <v>22</v>
      </c>
      <c r="C1670" s="4" t="s">
        <v>37</v>
      </c>
      <c r="D1670" s="4" t="s">
        <v>24</v>
      </c>
      <c r="E1670" s="4" t="s">
        <v>24</v>
      </c>
      <c r="F1670" s="4" t="s">
        <v>25</v>
      </c>
      <c r="G1670" s="4" t="s">
        <v>25</v>
      </c>
      <c r="H1670" s="4" t="s">
        <v>36</v>
      </c>
      <c r="I1670" s="5">
        <v>43800</v>
      </c>
      <c r="J1670" s="6">
        <v>0</v>
      </c>
      <c r="K1670" s="6">
        <v>0</v>
      </c>
      <c r="L1670" s="6">
        <v>5.0540000000000003</v>
      </c>
      <c r="M1670" s="6">
        <v>5.0540000000000003</v>
      </c>
      <c r="N1670" s="6">
        <v>5.0540000000000003</v>
      </c>
      <c r="O1670" s="6">
        <v>5.0540000000000003</v>
      </c>
      <c r="P1670" s="6">
        <v>0</v>
      </c>
      <c r="Q1670" s="4" t="s">
        <v>26</v>
      </c>
      <c r="R1670" s="4">
        <v>0</v>
      </c>
      <c r="S1670" s="6">
        <v>0</v>
      </c>
      <c r="T1670" s="6">
        <v>44</v>
      </c>
      <c r="U1670" s="6">
        <v>87</v>
      </c>
      <c r="V1670" s="6">
        <f>IF(ISERROR(VLOOKUP($S$1670,'TAR FIN'!$A$1:$O$120,15,0)),0,VLOOKUP($S$1670,'TAR FIN'!$A$1:$O$120,15,0))</f>
        <v>0</v>
      </c>
      <c r="W1670" s="6">
        <f>IF(ISERROR(VLOOKUP($T$1670,'TAR FIN'!$A$1:$O$120,15,0)),0,VLOOKUP($T$1670,'TAR FIN'!$A$1:$O$120,15,0))</f>
        <v>187.49</v>
      </c>
      <c r="X1670" s="6">
        <f>IF(ISERROR(VLOOKUP($U$1670,'TAR FIN'!$A$1:$O$120,15,0)),0,VLOOKUP($U$1670,'TAR FIN'!$A$1:$O$120,15,0))</f>
        <v>256.38</v>
      </c>
      <c r="Y1670" s="6"/>
      <c r="Z1670" s="6">
        <f ca="1">('TUSD BE'!$AM$54+'TUSD BF'!$AM$54+'TUSD CVA'!$AM$54)*1</f>
        <v>202.69024964776463</v>
      </c>
      <c r="AA1670" s="6">
        <f>('TE BE'!$AA$18+'TE BF'!$AA$18+'TE CVA'!$AA$18)*1</f>
        <v>230.83420940933817</v>
      </c>
      <c r="AB1670" s="6">
        <f>$K$1670*$V$1670</f>
        <v>0</v>
      </c>
      <c r="AC1670" s="6">
        <f>$M$1670*$W$1670</f>
        <v>947.57446000000004</v>
      </c>
      <c r="AD1670" s="6">
        <f>$O$1670*$X$1670</f>
        <v>1295.74452</v>
      </c>
      <c r="AE1670" s="6">
        <f>$K$1670*$Y$1670</f>
        <v>0</v>
      </c>
      <c r="AF1670" s="6">
        <f ca="1">$M$1670*$Z$1670</f>
        <v>1024.3965217198024</v>
      </c>
      <c r="AG1670" s="6">
        <f>$O$1670*$AA$1670</f>
        <v>1166.6360943547952</v>
      </c>
    </row>
    <row r="1671" spans="1:33" ht="11.25" customHeight="1" x14ac:dyDescent="0.25">
      <c r="A1671" s="4" t="s">
        <v>28</v>
      </c>
      <c r="B1671" s="4" t="s">
        <v>22</v>
      </c>
      <c r="C1671" s="4" t="s">
        <v>37</v>
      </c>
      <c r="D1671" s="4" t="s">
        <v>24</v>
      </c>
      <c r="E1671" s="4" t="s">
        <v>24</v>
      </c>
      <c r="F1671" s="4" t="s">
        <v>25</v>
      </c>
      <c r="G1671" s="4" t="s">
        <v>25</v>
      </c>
      <c r="H1671" s="4" t="s">
        <v>36</v>
      </c>
      <c r="I1671" s="5">
        <v>43800</v>
      </c>
      <c r="J1671" s="6">
        <v>0</v>
      </c>
      <c r="K1671" s="6">
        <v>0</v>
      </c>
      <c r="L1671" s="6">
        <v>2.9000000000000001E-2</v>
      </c>
      <c r="M1671" s="6">
        <v>2.9000000000000001E-2</v>
      </c>
      <c r="N1671" s="6">
        <v>2.9000000000000001E-2</v>
      </c>
      <c r="O1671" s="6">
        <v>2.9000000000000001E-2</v>
      </c>
      <c r="P1671" s="6">
        <v>0</v>
      </c>
      <c r="Q1671" s="4" t="s">
        <v>26</v>
      </c>
      <c r="R1671" s="4">
        <v>0</v>
      </c>
      <c r="S1671" s="6">
        <v>0</v>
      </c>
      <c r="T1671" s="6">
        <v>44</v>
      </c>
      <c r="U1671" s="6">
        <v>87</v>
      </c>
      <c r="V1671" s="6">
        <f>IF(ISERROR(VLOOKUP($S$1671,'TAR FIN'!$A$1:$O$120,15,0)),0,VLOOKUP($S$1671,'TAR FIN'!$A$1:$O$120,15,0))</f>
        <v>0</v>
      </c>
      <c r="W1671" s="6">
        <f>IF(ISERROR(VLOOKUP($T$1671,'TAR FIN'!$A$1:$O$120,15,0)),0,VLOOKUP($T$1671,'TAR FIN'!$A$1:$O$120,15,0))</f>
        <v>187.49</v>
      </c>
      <c r="X1671" s="6">
        <f>IF(ISERROR(VLOOKUP($U$1671,'TAR FIN'!$A$1:$O$120,15,0)),0,VLOOKUP($U$1671,'TAR FIN'!$A$1:$O$120,15,0))</f>
        <v>256.38</v>
      </c>
      <c r="Y1671" s="6"/>
      <c r="Z1671" s="6">
        <f ca="1">('TUSD BE'!$AM$54+'TUSD BF'!$AM$54+'TUSD CVA'!$AM$54)*1</f>
        <v>202.69024964776463</v>
      </c>
      <c r="AA1671" s="6">
        <f>('TE BE'!$AA$18+'TE BF'!$AA$18+'TE CVA'!$AA$18)*1</f>
        <v>230.83420940933817</v>
      </c>
      <c r="AB1671" s="6">
        <f>$K$1671*$V$1671</f>
        <v>0</v>
      </c>
      <c r="AC1671" s="6">
        <f>$M$1671*$W$1671</f>
        <v>5.4372100000000003</v>
      </c>
      <c r="AD1671" s="6">
        <f>$O$1671*$X$1671</f>
        <v>7.4350200000000006</v>
      </c>
      <c r="AE1671" s="6">
        <f>$K$1671*$Y$1671</f>
        <v>0</v>
      </c>
      <c r="AF1671" s="6">
        <f ca="1">$M$1671*$Z$1671</f>
        <v>5.8780172397851747</v>
      </c>
      <c r="AG1671" s="6">
        <f>$O$1671*$AA$1671</f>
        <v>6.6941920728708073</v>
      </c>
    </row>
    <row r="1672" spans="1:33" ht="11.25" customHeight="1" x14ac:dyDescent="0.25">
      <c r="A1672" s="4" t="s">
        <v>21</v>
      </c>
      <c r="B1672" s="4" t="s">
        <v>22</v>
      </c>
      <c r="C1672" s="4" t="s">
        <v>37</v>
      </c>
      <c r="D1672" s="4" t="s">
        <v>24</v>
      </c>
      <c r="E1672" s="4" t="s">
        <v>24</v>
      </c>
      <c r="F1672" s="4" t="s">
        <v>25</v>
      </c>
      <c r="G1672" s="4" t="s">
        <v>25</v>
      </c>
      <c r="H1672" s="4" t="s">
        <v>36</v>
      </c>
      <c r="I1672" s="5">
        <v>43831</v>
      </c>
      <c r="J1672" s="6">
        <v>0</v>
      </c>
      <c r="K1672" s="6">
        <v>0</v>
      </c>
      <c r="L1672" s="6">
        <v>186.04</v>
      </c>
      <c r="M1672" s="6">
        <v>186.04</v>
      </c>
      <c r="N1672" s="6">
        <v>186.04</v>
      </c>
      <c r="O1672" s="6">
        <v>186.04</v>
      </c>
      <c r="P1672" s="6">
        <v>0</v>
      </c>
      <c r="Q1672" s="4" t="s">
        <v>26</v>
      </c>
      <c r="R1672" s="4">
        <v>0</v>
      </c>
      <c r="S1672" s="6">
        <v>0</v>
      </c>
      <c r="T1672" s="6">
        <v>44</v>
      </c>
      <c r="U1672" s="6">
        <v>87</v>
      </c>
      <c r="V1672" s="6">
        <f>IF(ISERROR(VLOOKUP($S$1672,'TAR FIN'!$A$1:$O$120,15,0)),0,VLOOKUP($S$1672,'TAR FIN'!$A$1:$O$120,15,0))</f>
        <v>0</v>
      </c>
      <c r="W1672" s="6">
        <f>IF(ISERROR(VLOOKUP($T$1672,'TAR FIN'!$A$1:$O$120,15,0)),0,VLOOKUP($T$1672,'TAR FIN'!$A$1:$O$120,15,0))</f>
        <v>187.49</v>
      </c>
      <c r="X1672" s="6">
        <f>IF(ISERROR(VLOOKUP($U$1672,'TAR FIN'!$A$1:$O$120,15,0)),0,VLOOKUP($U$1672,'TAR FIN'!$A$1:$O$120,15,0))</f>
        <v>256.38</v>
      </c>
      <c r="Y1672" s="6"/>
      <c r="Z1672" s="6">
        <f ca="1">('TUSD BE'!$AM$54+'TUSD BF'!$AM$54+'TUSD CVA'!$AM$54)*1</f>
        <v>202.69024964776463</v>
      </c>
      <c r="AA1672" s="6">
        <f>('TE BE'!$AA$18+'TE BF'!$AA$18+'TE CVA'!$AA$18)*1</f>
        <v>230.83420940933817</v>
      </c>
      <c r="AB1672" s="6">
        <f>$K$1672*$V$1672</f>
        <v>0</v>
      </c>
      <c r="AC1672" s="6">
        <f>$M$1672*$W$1672</f>
        <v>34880.639600000002</v>
      </c>
      <c r="AD1672" s="6">
        <f>$O$1672*$X$1672</f>
        <v>47696.9352</v>
      </c>
      <c r="AE1672" s="6">
        <f>$K$1672*$Y$1672</f>
        <v>0</v>
      </c>
      <c r="AF1672" s="6">
        <f ca="1">$M$1672*$Z$1672</f>
        <v>37708.494044470128</v>
      </c>
      <c r="AG1672" s="6">
        <f>$O$1672*$AA$1672</f>
        <v>42944.396318513274</v>
      </c>
    </row>
    <row r="1673" spans="1:33" ht="11.25" customHeight="1" x14ac:dyDescent="0.25">
      <c r="A1673" s="4" t="s">
        <v>27</v>
      </c>
      <c r="B1673" s="4" t="s">
        <v>22</v>
      </c>
      <c r="C1673" s="4" t="s">
        <v>37</v>
      </c>
      <c r="D1673" s="4" t="s">
        <v>24</v>
      </c>
      <c r="E1673" s="4" t="s">
        <v>24</v>
      </c>
      <c r="F1673" s="4" t="s">
        <v>25</v>
      </c>
      <c r="G1673" s="4" t="s">
        <v>25</v>
      </c>
      <c r="H1673" s="4" t="s">
        <v>36</v>
      </c>
      <c r="I1673" s="5">
        <v>43831</v>
      </c>
      <c r="J1673" s="6">
        <v>0</v>
      </c>
      <c r="K1673" s="6">
        <v>0</v>
      </c>
      <c r="L1673" s="6">
        <v>3.5249999999999999</v>
      </c>
      <c r="M1673" s="6">
        <v>3.5249999999999999</v>
      </c>
      <c r="N1673" s="6">
        <v>3.5249999999999999</v>
      </c>
      <c r="O1673" s="6">
        <v>3.5249999999999999</v>
      </c>
      <c r="P1673" s="6">
        <v>0</v>
      </c>
      <c r="Q1673" s="4" t="s">
        <v>26</v>
      </c>
      <c r="R1673" s="4">
        <v>0</v>
      </c>
      <c r="S1673" s="6">
        <v>0</v>
      </c>
      <c r="T1673" s="6">
        <v>44</v>
      </c>
      <c r="U1673" s="6">
        <v>87</v>
      </c>
      <c r="V1673" s="6">
        <f>IF(ISERROR(VLOOKUP($S$1673,'TAR FIN'!$A$1:$O$120,15,0)),0,VLOOKUP($S$1673,'TAR FIN'!$A$1:$O$120,15,0))</f>
        <v>0</v>
      </c>
      <c r="W1673" s="6">
        <f>IF(ISERROR(VLOOKUP($T$1673,'TAR FIN'!$A$1:$O$120,15,0)),0,VLOOKUP($T$1673,'TAR FIN'!$A$1:$O$120,15,0))</f>
        <v>187.49</v>
      </c>
      <c r="X1673" s="6">
        <f>IF(ISERROR(VLOOKUP($U$1673,'TAR FIN'!$A$1:$O$120,15,0)),0,VLOOKUP($U$1673,'TAR FIN'!$A$1:$O$120,15,0))</f>
        <v>256.38</v>
      </c>
      <c r="Y1673" s="6"/>
      <c r="Z1673" s="6">
        <f ca="1">('TUSD BE'!$AM$54+'TUSD BF'!$AM$54+'TUSD CVA'!$AM$54)*1</f>
        <v>202.69024964776463</v>
      </c>
      <c r="AA1673" s="6">
        <f>('TE BE'!$AA$18+'TE BF'!$AA$18+'TE CVA'!$AA$18)*1</f>
        <v>230.83420940933817</v>
      </c>
      <c r="AB1673" s="6">
        <f>$K$1673*$V$1673</f>
        <v>0</v>
      </c>
      <c r="AC1673" s="6">
        <f>$M$1673*$W$1673</f>
        <v>660.90224999999998</v>
      </c>
      <c r="AD1673" s="6">
        <f>$O$1673*$X$1673</f>
        <v>903.73949999999991</v>
      </c>
      <c r="AE1673" s="6">
        <f>$K$1673*$Y$1673</f>
        <v>0</v>
      </c>
      <c r="AF1673" s="6">
        <f ca="1">$M$1673*$Z$1673</f>
        <v>714.48313000837027</v>
      </c>
      <c r="AG1673" s="6">
        <f>$O$1673*$AA$1673</f>
        <v>813.69058816791699</v>
      </c>
    </row>
    <row r="1674" spans="1:33" ht="11.25" customHeight="1" x14ac:dyDescent="0.25">
      <c r="A1674" s="4" t="s">
        <v>28</v>
      </c>
      <c r="B1674" s="4" t="s">
        <v>22</v>
      </c>
      <c r="C1674" s="4" t="s">
        <v>37</v>
      </c>
      <c r="D1674" s="4" t="s">
        <v>24</v>
      </c>
      <c r="E1674" s="4" t="s">
        <v>24</v>
      </c>
      <c r="F1674" s="4" t="s">
        <v>25</v>
      </c>
      <c r="G1674" s="4" t="s">
        <v>25</v>
      </c>
      <c r="H1674" s="4" t="s">
        <v>36</v>
      </c>
      <c r="I1674" s="5">
        <v>43831</v>
      </c>
      <c r="J1674" s="6">
        <v>0</v>
      </c>
      <c r="K1674" s="6">
        <v>0</v>
      </c>
      <c r="L1674" s="6">
        <v>2.1999999999999999E-2</v>
      </c>
      <c r="M1674" s="6">
        <v>2.1999999999999999E-2</v>
      </c>
      <c r="N1674" s="6">
        <v>2.1999999999999999E-2</v>
      </c>
      <c r="O1674" s="6">
        <v>2.1999999999999999E-2</v>
      </c>
      <c r="P1674" s="6">
        <v>0</v>
      </c>
      <c r="Q1674" s="4" t="s">
        <v>26</v>
      </c>
      <c r="R1674" s="4">
        <v>0</v>
      </c>
      <c r="S1674" s="6">
        <v>0</v>
      </c>
      <c r="T1674" s="6">
        <v>44</v>
      </c>
      <c r="U1674" s="6">
        <v>87</v>
      </c>
      <c r="V1674" s="6">
        <f>IF(ISERROR(VLOOKUP($S$1674,'TAR FIN'!$A$1:$O$120,15,0)),0,VLOOKUP($S$1674,'TAR FIN'!$A$1:$O$120,15,0))</f>
        <v>0</v>
      </c>
      <c r="W1674" s="6">
        <f>IF(ISERROR(VLOOKUP($T$1674,'TAR FIN'!$A$1:$O$120,15,0)),0,VLOOKUP($T$1674,'TAR FIN'!$A$1:$O$120,15,0))</f>
        <v>187.49</v>
      </c>
      <c r="X1674" s="6">
        <f>IF(ISERROR(VLOOKUP($U$1674,'TAR FIN'!$A$1:$O$120,15,0)),0,VLOOKUP($U$1674,'TAR FIN'!$A$1:$O$120,15,0))</f>
        <v>256.38</v>
      </c>
      <c r="Y1674" s="6"/>
      <c r="Z1674" s="6">
        <f ca="1">('TUSD BE'!$AM$54+'TUSD BF'!$AM$54+'TUSD CVA'!$AM$54)*1</f>
        <v>202.69024964776463</v>
      </c>
      <c r="AA1674" s="6">
        <f>('TE BE'!$AA$18+'TE BF'!$AA$18+'TE CVA'!$AA$18)*1</f>
        <v>230.83420940933817</v>
      </c>
      <c r="AB1674" s="6">
        <f>$K$1674*$V$1674</f>
        <v>0</v>
      </c>
      <c r="AC1674" s="6">
        <f>$M$1674*$W$1674</f>
        <v>4.1247800000000003</v>
      </c>
      <c r="AD1674" s="6">
        <f>$O$1674*$X$1674</f>
        <v>5.6403599999999994</v>
      </c>
      <c r="AE1674" s="6">
        <f>$K$1674*$Y$1674</f>
        <v>0</v>
      </c>
      <c r="AF1674" s="6">
        <f ca="1">$M$1674*$Z$1674</f>
        <v>4.4591854922508221</v>
      </c>
      <c r="AG1674" s="6">
        <f>$O$1674*$AA$1674</f>
        <v>5.0783526070054394</v>
      </c>
    </row>
    <row r="1675" spans="1:33" ht="11.25" customHeight="1" x14ac:dyDescent="0.25">
      <c r="A1675" s="4" t="s">
        <v>21</v>
      </c>
      <c r="B1675" s="4" t="s">
        <v>22</v>
      </c>
      <c r="C1675" s="4" t="s">
        <v>37</v>
      </c>
      <c r="D1675" s="4" t="s">
        <v>24</v>
      </c>
      <c r="E1675" s="4" t="s">
        <v>24</v>
      </c>
      <c r="F1675" s="4" t="s">
        <v>25</v>
      </c>
      <c r="G1675" s="4" t="s">
        <v>25</v>
      </c>
      <c r="H1675" s="4" t="s">
        <v>36</v>
      </c>
      <c r="I1675" s="5">
        <v>43862</v>
      </c>
      <c r="J1675" s="6">
        <v>0</v>
      </c>
      <c r="K1675" s="6">
        <v>0</v>
      </c>
      <c r="L1675" s="6">
        <v>171.82900000000001</v>
      </c>
      <c r="M1675" s="6">
        <v>171.82900000000001</v>
      </c>
      <c r="N1675" s="6">
        <v>171.82900000000001</v>
      </c>
      <c r="O1675" s="6">
        <v>171.82900000000001</v>
      </c>
      <c r="P1675" s="6">
        <v>0</v>
      </c>
      <c r="Q1675" s="4" t="s">
        <v>26</v>
      </c>
      <c r="R1675" s="4">
        <v>0</v>
      </c>
      <c r="S1675" s="6">
        <v>0</v>
      </c>
      <c r="T1675" s="6">
        <v>44</v>
      </c>
      <c r="U1675" s="6">
        <v>87</v>
      </c>
      <c r="V1675" s="6">
        <f>IF(ISERROR(VLOOKUP($S$1675,'TAR FIN'!$A$1:$O$120,15,0)),0,VLOOKUP($S$1675,'TAR FIN'!$A$1:$O$120,15,0))</f>
        <v>0</v>
      </c>
      <c r="W1675" s="6">
        <f>IF(ISERROR(VLOOKUP($T$1675,'TAR FIN'!$A$1:$O$120,15,0)),0,VLOOKUP($T$1675,'TAR FIN'!$A$1:$O$120,15,0))</f>
        <v>187.49</v>
      </c>
      <c r="X1675" s="6">
        <f>IF(ISERROR(VLOOKUP($U$1675,'TAR FIN'!$A$1:$O$120,15,0)),0,VLOOKUP($U$1675,'TAR FIN'!$A$1:$O$120,15,0))</f>
        <v>256.38</v>
      </c>
      <c r="Y1675" s="6"/>
      <c r="Z1675" s="6">
        <f ca="1">('TUSD BE'!$AM$54+'TUSD BF'!$AM$54+'TUSD CVA'!$AM$54)*1</f>
        <v>202.69024964776463</v>
      </c>
      <c r="AA1675" s="6">
        <f>('TE BE'!$AA$18+'TE BF'!$AA$18+'TE CVA'!$AA$18)*1</f>
        <v>230.83420940933817</v>
      </c>
      <c r="AB1675" s="6">
        <f>$K$1675*$V$1675</f>
        <v>0</v>
      </c>
      <c r="AC1675" s="6">
        <f>$M$1675*$W$1675</f>
        <v>32216.219210000003</v>
      </c>
      <c r="AD1675" s="6">
        <f>$O$1675*$X$1675</f>
        <v>44053.51902</v>
      </c>
      <c r="AE1675" s="6">
        <f>$K$1675*$Y$1675</f>
        <v>0</v>
      </c>
      <c r="AF1675" s="6">
        <f ca="1">$M$1675*$Z$1675</f>
        <v>34828.062906725747</v>
      </c>
      <c r="AG1675" s="6">
        <f>$O$1675*$AA$1675</f>
        <v>39664.011368597174</v>
      </c>
    </row>
    <row r="1676" spans="1:33" ht="11.25" customHeight="1" x14ac:dyDescent="0.25">
      <c r="A1676" s="4" t="s">
        <v>27</v>
      </c>
      <c r="B1676" s="4" t="s">
        <v>22</v>
      </c>
      <c r="C1676" s="4" t="s">
        <v>37</v>
      </c>
      <c r="D1676" s="4" t="s">
        <v>24</v>
      </c>
      <c r="E1676" s="4" t="s">
        <v>24</v>
      </c>
      <c r="F1676" s="4" t="s">
        <v>25</v>
      </c>
      <c r="G1676" s="4" t="s">
        <v>25</v>
      </c>
      <c r="H1676" s="4" t="s">
        <v>36</v>
      </c>
      <c r="I1676" s="5">
        <v>43862</v>
      </c>
      <c r="J1676" s="6">
        <v>0</v>
      </c>
      <c r="K1676" s="6">
        <v>0</v>
      </c>
      <c r="L1676" s="6">
        <v>0.89600000000000002</v>
      </c>
      <c r="M1676" s="6">
        <v>0.89600000000000002</v>
      </c>
      <c r="N1676" s="6">
        <v>0.89600000000000002</v>
      </c>
      <c r="O1676" s="6">
        <v>0.89600000000000002</v>
      </c>
      <c r="P1676" s="6">
        <v>0</v>
      </c>
      <c r="Q1676" s="4" t="s">
        <v>26</v>
      </c>
      <c r="R1676" s="4">
        <v>0</v>
      </c>
      <c r="S1676" s="6">
        <v>0</v>
      </c>
      <c r="T1676" s="6">
        <v>44</v>
      </c>
      <c r="U1676" s="6">
        <v>87</v>
      </c>
      <c r="V1676" s="6">
        <f>IF(ISERROR(VLOOKUP($S$1676,'TAR FIN'!$A$1:$O$120,15,0)),0,VLOOKUP($S$1676,'TAR FIN'!$A$1:$O$120,15,0))</f>
        <v>0</v>
      </c>
      <c r="W1676" s="6">
        <f>IF(ISERROR(VLOOKUP($T$1676,'TAR FIN'!$A$1:$O$120,15,0)),0,VLOOKUP($T$1676,'TAR FIN'!$A$1:$O$120,15,0))</f>
        <v>187.49</v>
      </c>
      <c r="X1676" s="6">
        <f>IF(ISERROR(VLOOKUP($U$1676,'TAR FIN'!$A$1:$O$120,15,0)),0,VLOOKUP($U$1676,'TAR FIN'!$A$1:$O$120,15,0))</f>
        <v>256.38</v>
      </c>
      <c r="Y1676" s="6"/>
      <c r="Z1676" s="6">
        <f ca="1">('TUSD BE'!$AM$54+'TUSD BF'!$AM$54+'TUSD CVA'!$AM$54)*1</f>
        <v>202.69024964776463</v>
      </c>
      <c r="AA1676" s="6">
        <f>('TE BE'!$AA$18+'TE BF'!$AA$18+'TE CVA'!$AA$18)*1</f>
        <v>230.83420940933817</v>
      </c>
      <c r="AB1676" s="6">
        <f>$K$1676*$V$1676</f>
        <v>0</v>
      </c>
      <c r="AC1676" s="6">
        <f>$M$1676*$W$1676</f>
        <v>167.99104</v>
      </c>
      <c r="AD1676" s="6">
        <f>$O$1676*$X$1676</f>
        <v>229.71647999999999</v>
      </c>
      <c r="AE1676" s="6">
        <f>$K$1676*$Y$1676</f>
        <v>0</v>
      </c>
      <c r="AF1676" s="6">
        <f ca="1">$M$1676*$Z$1676</f>
        <v>181.6104636843971</v>
      </c>
      <c r="AG1676" s="6">
        <f>$O$1676*$AA$1676</f>
        <v>206.827451630767</v>
      </c>
    </row>
    <row r="1677" spans="1:33" ht="11.25" customHeight="1" x14ac:dyDescent="0.25">
      <c r="A1677" s="4" t="s">
        <v>21</v>
      </c>
      <c r="B1677" s="4" t="s">
        <v>22</v>
      </c>
      <c r="C1677" s="4" t="s">
        <v>37</v>
      </c>
      <c r="D1677" s="4" t="s">
        <v>24</v>
      </c>
      <c r="E1677" s="4" t="s">
        <v>24</v>
      </c>
      <c r="F1677" s="4" t="s">
        <v>25</v>
      </c>
      <c r="G1677" s="4" t="s">
        <v>25</v>
      </c>
      <c r="H1677" s="4" t="s">
        <v>36</v>
      </c>
      <c r="I1677" s="5">
        <v>43891</v>
      </c>
      <c r="J1677" s="6">
        <v>0</v>
      </c>
      <c r="K1677" s="6">
        <v>0</v>
      </c>
      <c r="L1677" s="6">
        <v>170.30099999999999</v>
      </c>
      <c r="M1677" s="6">
        <v>170.30099999999999</v>
      </c>
      <c r="N1677" s="6">
        <v>170.30099999999999</v>
      </c>
      <c r="O1677" s="6">
        <v>170.30099999999999</v>
      </c>
      <c r="P1677" s="6">
        <v>0</v>
      </c>
      <c r="Q1677" s="4" t="s">
        <v>26</v>
      </c>
      <c r="R1677" s="4">
        <v>0</v>
      </c>
      <c r="S1677" s="6">
        <v>0</v>
      </c>
      <c r="T1677" s="6">
        <v>44</v>
      </c>
      <c r="U1677" s="6">
        <v>87</v>
      </c>
      <c r="V1677" s="6">
        <f>IF(ISERROR(VLOOKUP($S$1677,'TAR FIN'!$A$1:$O$120,15,0)),0,VLOOKUP($S$1677,'TAR FIN'!$A$1:$O$120,15,0))</f>
        <v>0</v>
      </c>
      <c r="W1677" s="6">
        <f>IF(ISERROR(VLOOKUP($T$1677,'TAR FIN'!$A$1:$O$120,15,0)),0,VLOOKUP($T$1677,'TAR FIN'!$A$1:$O$120,15,0))</f>
        <v>187.49</v>
      </c>
      <c r="X1677" s="6">
        <f>IF(ISERROR(VLOOKUP($U$1677,'TAR FIN'!$A$1:$O$120,15,0)),0,VLOOKUP($U$1677,'TAR FIN'!$A$1:$O$120,15,0))</f>
        <v>256.38</v>
      </c>
      <c r="Y1677" s="6"/>
      <c r="Z1677" s="6">
        <f ca="1">('TUSD BE'!$AM$54+'TUSD BF'!$AM$54+'TUSD CVA'!$AM$54)*1</f>
        <v>202.69024964776463</v>
      </c>
      <c r="AA1677" s="6">
        <f>('TE BE'!$AA$18+'TE BF'!$AA$18+'TE CVA'!$AA$18)*1</f>
        <v>230.83420940933817</v>
      </c>
      <c r="AB1677" s="6">
        <f>$K$1677*$V$1677</f>
        <v>0</v>
      </c>
      <c r="AC1677" s="6">
        <f>$M$1677*$W$1677</f>
        <v>31929.734489999999</v>
      </c>
      <c r="AD1677" s="6">
        <f>$O$1677*$X$1677</f>
        <v>43661.770379999994</v>
      </c>
      <c r="AE1677" s="6">
        <f>$K$1677*$Y$1677</f>
        <v>0</v>
      </c>
      <c r="AF1677" s="6">
        <f ca="1">$M$1677*$Z$1677</f>
        <v>34518.35220526396</v>
      </c>
      <c r="AG1677" s="6">
        <f>$O$1677*$AA$1677</f>
        <v>39311.296696619698</v>
      </c>
    </row>
    <row r="1678" spans="1:33" ht="11.25" customHeight="1" x14ac:dyDescent="0.25">
      <c r="A1678" s="4" t="s">
        <v>27</v>
      </c>
      <c r="B1678" s="4" t="s">
        <v>22</v>
      </c>
      <c r="C1678" s="4" t="s">
        <v>37</v>
      </c>
      <c r="D1678" s="4" t="s">
        <v>24</v>
      </c>
      <c r="E1678" s="4" t="s">
        <v>24</v>
      </c>
      <c r="F1678" s="4" t="s">
        <v>25</v>
      </c>
      <c r="G1678" s="4" t="s">
        <v>25</v>
      </c>
      <c r="H1678" s="4" t="s">
        <v>36</v>
      </c>
      <c r="I1678" s="5">
        <v>43891</v>
      </c>
      <c r="J1678" s="6">
        <v>0</v>
      </c>
      <c r="K1678" s="6">
        <v>0</v>
      </c>
      <c r="L1678" s="6">
        <v>0.30399999999999999</v>
      </c>
      <c r="M1678" s="6">
        <v>0.30399999999999999</v>
      </c>
      <c r="N1678" s="6">
        <v>0.30399999999999999</v>
      </c>
      <c r="O1678" s="6">
        <v>0.30399999999999999</v>
      </c>
      <c r="P1678" s="6">
        <v>0</v>
      </c>
      <c r="Q1678" s="4" t="s">
        <v>26</v>
      </c>
      <c r="R1678" s="4">
        <v>0</v>
      </c>
      <c r="S1678" s="6">
        <v>0</v>
      </c>
      <c r="T1678" s="6">
        <v>44</v>
      </c>
      <c r="U1678" s="6">
        <v>87</v>
      </c>
      <c r="V1678" s="6">
        <f>IF(ISERROR(VLOOKUP($S$1678,'TAR FIN'!$A$1:$O$120,15,0)),0,VLOOKUP($S$1678,'TAR FIN'!$A$1:$O$120,15,0))</f>
        <v>0</v>
      </c>
      <c r="W1678" s="6">
        <f>IF(ISERROR(VLOOKUP($T$1678,'TAR FIN'!$A$1:$O$120,15,0)),0,VLOOKUP($T$1678,'TAR FIN'!$A$1:$O$120,15,0))</f>
        <v>187.49</v>
      </c>
      <c r="X1678" s="6">
        <f>IF(ISERROR(VLOOKUP($U$1678,'TAR FIN'!$A$1:$O$120,15,0)),0,VLOOKUP($U$1678,'TAR FIN'!$A$1:$O$120,15,0))</f>
        <v>256.38</v>
      </c>
      <c r="Y1678" s="6"/>
      <c r="Z1678" s="6">
        <f ca="1">('TUSD BE'!$AM$54+'TUSD BF'!$AM$54+'TUSD CVA'!$AM$54)*1</f>
        <v>202.69024964776463</v>
      </c>
      <c r="AA1678" s="6">
        <f>('TE BE'!$AA$18+'TE BF'!$AA$18+'TE CVA'!$AA$18)*1</f>
        <v>230.83420940933817</v>
      </c>
      <c r="AB1678" s="6">
        <f>$K$1678*$V$1678</f>
        <v>0</v>
      </c>
      <c r="AC1678" s="6">
        <f>$M$1678*$W$1678</f>
        <v>56.996960000000001</v>
      </c>
      <c r="AD1678" s="6">
        <f>$O$1678*$X$1678</f>
        <v>77.939520000000002</v>
      </c>
      <c r="AE1678" s="6">
        <f>$K$1678*$Y$1678</f>
        <v>0</v>
      </c>
      <c r="AF1678" s="6">
        <f ca="1">$M$1678*$Z$1678</f>
        <v>61.617835892920446</v>
      </c>
      <c r="AG1678" s="6">
        <f>$O$1678*$AA$1678</f>
        <v>70.173599660438796</v>
      </c>
    </row>
    <row r="1679" spans="1:33" ht="11.25" customHeight="1" x14ac:dyDescent="0.25">
      <c r="A1679" s="4" t="s">
        <v>21</v>
      </c>
      <c r="B1679" s="4" t="s">
        <v>22</v>
      </c>
      <c r="C1679" s="4" t="s">
        <v>37</v>
      </c>
      <c r="D1679" s="4" t="s">
        <v>24</v>
      </c>
      <c r="E1679" s="4" t="s">
        <v>24</v>
      </c>
      <c r="F1679" s="4" t="s">
        <v>25</v>
      </c>
      <c r="G1679" s="4" t="s">
        <v>25</v>
      </c>
      <c r="H1679" s="4" t="s">
        <v>36</v>
      </c>
      <c r="I1679" s="5">
        <v>43922</v>
      </c>
      <c r="J1679" s="6">
        <v>0</v>
      </c>
      <c r="K1679" s="6">
        <v>0</v>
      </c>
      <c r="L1679" s="6">
        <v>179.27699999999999</v>
      </c>
      <c r="M1679" s="6">
        <v>179.27699999999999</v>
      </c>
      <c r="N1679" s="6">
        <v>179.27699999999999</v>
      </c>
      <c r="O1679" s="6">
        <v>179.27699999999999</v>
      </c>
      <c r="P1679" s="6">
        <v>0</v>
      </c>
      <c r="Q1679" s="4" t="s">
        <v>26</v>
      </c>
      <c r="R1679" s="4">
        <v>0</v>
      </c>
      <c r="S1679" s="6">
        <v>0</v>
      </c>
      <c r="T1679" s="6">
        <v>44</v>
      </c>
      <c r="U1679" s="6">
        <v>87</v>
      </c>
      <c r="V1679" s="6">
        <f>IF(ISERROR(VLOOKUP($S$1679,'TAR FIN'!$A$1:$O$120,15,0)),0,VLOOKUP($S$1679,'TAR FIN'!$A$1:$O$120,15,0))</f>
        <v>0</v>
      </c>
      <c r="W1679" s="6">
        <f>IF(ISERROR(VLOOKUP($T$1679,'TAR FIN'!$A$1:$O$120,15,0)),0,VLOOKUP($T$1679,'TAR FIN'!$A$1:$O$120,15,0))</f>
        <v>187.49</v>
      </c>
      <c r="X1679" s="6">
        <f>IF(ISERROR(VLOOKUP($U$1679,'TAR FIN'!$A$1:$O$120,15,0)),0,VLOOKUP($U$1679,'TAR FIN'!$A$1:$O$120,15,0))</f>
        <v>256.38</v>
      </c>
      <c r="Y1679" s="6"/>
      <c r="Z1679" s="6">
        <f ca="1">('TUSD BE'!$AM$54+'TUSD BF'!$AM$54+'TUSD CVA'!$AM$54)*1</f>
        <v>202.69024964776463</v>
      </c>
      <c r="AA1679" s="6">
        <f>('TE BE'!$AA$18+'TE BF'!$AA$18+'TE CVA'!$AA$18)*1</f>
        <v>230.83420940933817</v>
      </c>
      <c r="AB1679" s="6">
        <f>$K$1679*$V$1679</f>
        <v>0</v>
      </c>
      <c r="AC1679" s="6">
        <f>$M$1679*$W$1679</f>
        <v>33612.64473</v>
      </c>
      <c r="AD1679" s="6">
        <f>$O$1679*$X$1679</f>
        <v>45963.037259999997</v>
      </c>
      <c r="AE1679" s="6">
        <f>$K$1679*$Y$1679</f>
        <v>0</v>
      </c>
      <c r="AF1679" s="6">
        <f ca="1">$M$1679*$Z$1679</f>
        <v>36337.699886102295</v>
      </c>
      <c r="AG1679" s="6">
        <f>$O$1679*$AA$1679</f>
        <v>41383.264560277916</v>
      </c>
    </row>
    <row r="1680" spans="1:33" ht="11.25" customHeight="1" x14ac:dyDescent="0.25">
      <c r="A1680" s="4" t="s">
        <v>27</v>
      </c>
      <c r="B1680" s="4" t="s">
        <v>22</v>
      </c>
      <c r="C1680" s="4" t="s">
        <v>37</v>
      </c>
      <c r="D1680" s="4" t="s">
        <v>24</v>
      </c>
      <c r="E1680" s="4" t="s">
        <v>24</v>
      </c>
      <c r="F1680" s="4" t="s">
        <v>25</v>
      </c>
      <c r="G1680" s="4" t="s">
        <v>25</v>
      </c>
      <c r="H1680" s="4" t="s">
        <v>36</v>
      </c>
      <c r="I1680" s="5">
        <v>43922</v>
      </c>
      <c r="J1680" s="6">
        <v>0</v>
      </c>
      <c r="K1680" s="6">
        <v>0</v>
      </c>
      <c r="L1680" s="6">
        <v>0.65600000000000003</v>
      </c>
      <c r="M1680" s="6">
        <v>0.65600000000000003</v>
      </c>
      <c r="N1680" s="6">
        <v>0.65600000000000003</v>
      </c>
      <c r="O1680" s="6">
        <v>0.65600000000000003</v>
      </c>
      <c r="P1680" s="6">
        <v>0</v>
      </c>
      <c r="Q1680" s="4" t="s">
        <v>26</v>
      </c>
      <c r="R1680" s="4">
        <v>0</v>
      </c>
      <c r="S1680" s="6">
        <v>0</v>
      </c>
      <c r="T1680" s="6">
        <v>44</v>
      </c>
      <c r="U1680" s="6">
        <v>87</v>
      </c>
      <c r="V1680" s="6">
        <f>IF(ISERROR(VLOOKUP($S$1680,'TAR FIN'!$A$1:$O$120,15,0)),0,VLOOKUP($S$1680,'TAR FIN'!$A$1:$O$120,15,0))</f>
        <v>0</v>
      </c>
      <c r="W1680" s="6">
        <f>IF(ISERROR(VLOOKUP($T$1680,'TAR FIN'!$A$1:$O$120,15,0)),0,VLOOKUP($T$1680,'TAR FIN'!$A$1:$O$120,15,0))</f>
        <v>187.49</v>
      </c>
      <c r="X1680" s="6">
        <f>IF(ISERROR(VLOOKUP($U$1680,'TAR FIN'!$A$1:$O$120,15,0)),0,VLOOKUP($U$1680,'TAR FIN'!$A$1:$O$120,15,0))</f>
        <v>256.38</v>
      </c>
      <c r="Y1680" s="6"/>
      <c r="Z1680" s="6">
        <f ca="1">('TUSD BE'!$AM$54+'TUSD BF'!$AM$54+'TUSD CVA'!$AM$54)*1</f>
        <v>202.69024964776463</v>
      </c>
      <c r="AA1680" s="6">
        <f>('TE BE'!$AA$18+'TE BF'!$AA$18+'TE CVA'!$AA$18)*1</f>
        <v>230.83420940933817</v>
      </c>
      <c r="AB1680" s="6">
        <f>$K$1680*$V$1680</f>
        <v>0</v>
      </c>
      <c r="AC1680" s="6">
        <f>$M$1680*$W$1680</f>
        <v>122.99344000000001</v>
      </c>
      <c r="AD1680" s="6">
        <f>$O$1680*$X$1680</f>
        <v>168.18528000000001</v>
      </c>
      <c r="AE1680" s="6">
        <f>$K$1680*$Y$1680</f>
        <v>0</v>
      </c>
      <c r="AF1680" s="6">
        <f ca="1">$M$1680*$Z$1680</f>
        <v>132.96480376893359</v>
      </c>
      <c r="AG1680" s="6">
        <f>$O$1680*$AA$1680</f>
        <v>151.42724137252586</v>
      </c>
    </row>
    <row r="1681" spans="1:33" ht="11.25" customHeight="1" x14ac:dyDescent="0.25">
      <c r="A1681" s="4" t="s">
        <v>21</v>
      </c>
      <c r="B1681" s="4" t="s">
        <v>22</v>
      </c>
      <c r="C1681" s="4" t="s">
        <v>37</v>
      </c>
      <c r="D1681" s="4" t="s">
        <v>24</v>
      </c>
      <c r="E1681" s="4" t="s">
        <v>24</v>
      </c>
      <c r="F1681" s="4" t="s">
        <v>25</v>
      </c>
      <c r="G1681" s="4" t="s">
        <v>25</v>
      </c>
      <c r="H1681" s="4" t="s">
        <v>36</v>
      </c>
      <c r="I1681" s="5">
        <v>43952</v>
      </c>
      <c r="J1681" s="6">
        <v>0</v>
      </c>
      <c r="K1681" s="6">
        <v>0</v>
      </c>
      <c r="L1681" s="6">
        <v>157.38800000000001</v>
      </c>
      <c r="M1681" s="6">
        <v>157.38800000000001</v>
      </c>
      <c r="N1681" s="6">
        <v>157.38800000000001</v>
      </c>
      <c r="O1681" s="6">
        <v>157.38800000000001</v>
      </c>
      <c r="P1681" s="6">
        <v>0</v>
      </c>
      <c r="Q1681" s="4" t="s">
        <v>26</v>
      </c>
      <c r="R1681" s="4">
        <v>0</v>
      </c>
      <c r="S1681" s="6">
        <v>0</v>
      </c>
      <c r="T1681" s="6">
        <v>44</v>
      </c>
      <c r="U1681" s="6">
        <v>87</v>
      </c>
      <c r="V1681" s="6">
        <f>IF(ISERROR(VLOOKUP($S$1681,'TAR FIN'!$A$1:$O$120,15,0)),0,VLOOKUP($S$1681,'TAR FIN'!$A$1:$O$120,15,0))</f>
        <v>0</v>
      </c>
      <c r="W1681" s="6">
        <f>IF(ISERROR(VLOOKUP($T$1681,'TAR FIN'!$A$1:$O$120,15,0)),0,VLOOKUP($T$1681,'TAR FIN'!$A$1:$O$120,15,0))</f>
        <v>187.49</v>
      </c>
      <c r="X1681" s="6">
        <f>IF(ISERROR(VLOOKUP($U$1681,'TAR FIN'!$A$1:$O$120,15,0)),0,VLOOKUP($U$1681,'TAR FIN'!$A$1:$O$120,15,0))</f>
        <v>256.38</v>
      </c>
      <c r="Y1681" s="6"/>
      <c r="Z1681" s="6">
        <f ca="1">('TUSD BE'!$AM$54+'TUSD BF'!$AM$54+'TUSD CVA'!$AM$54)*1</f>
        <v>202.69024964776463</v>
      </c>
      <c r="AA1681" s="6">
        <f>('TE BE'!$AA$18+'TE BF'!$AA$18+'TE CVA'!$AA$18)*1</f>
        <v>230.83420940933817</v>
      </c>
      <c r="AB1681" s="6">
        <f>$K$1681*$V$1681</f>
        <v>0</v>
      </c>
      <c r="AC1681" s="6">
        <f>$M$1681*$W$1681</f>
        <v>29508.676120000004</v>
      </c>
      <c r="AD1681" s="6">
        <f>$O$1681*$X$1681</f>
        <v>40351.135439999998</v>
      </c>
      <c r="AE1681" s="6">
        <f>$K$1681*$Y$1681</f>
        <v>0</v>
      </c>
      <c r="AF1681" s="6">
        <f ca="1">$M$1681*$Z$1681</f>
        <v>31901.01301156238</v>
      </c>
      <c r="AG1681" s="6">
        <f>$O$1681*$AA$1681</f>
        <v>36330.534550516917</v>
      </c>
    </row>
    <row r="1682" spans="1:33" ht="11.25" customHeight="1" x14ac:dyDescent="0.25">
      <c r="A1682" s="4" t="s">
        <v>27</v>
      </c>
      <c r="B1682" s="4" t="s">
        <v>22</v>
      </c>
      <c r="C1682" s="4" t="s">
        <v>37</v>
      </c>
      <c r="D1682" s="4" t="s">
        <v>24</v>
      </c>
      <c r="E1682" s="4" t="s">
        <v>24</v>
      </c>
      <c r="F1682" s="4" t="s">
        <v>25</v>
      </c>
      <c r="G1682" s="4" t="s">
        <v>25</v>
      </c>
      <c r="H1682" s="4" t="s">
        <v>36</v>
      </c>
      <c r="I1682" s="5">
        <v>43952</v>
      </c>
      <c r="J1682" s="6">
        <v>0</v>
      </c>
      <c r="K1682" s="6">
        <v>0</v>
      </c>
      <c r="L1682" s="6">
        <v>0.89900000000000002</v>
      </c>
      <c r="M1682" s="6">
        <v>0.89900000000000002</v>
      </c>
      <c r="N1682" s="6">
        <v>0.89900000000000002</v>
      </c>
      <c r="O1682" s="6">
        <v>0.89900000000000002</v>
      </c>
      <c r="P1682" s="6">
        <v>0</v>
      </c>
      <c r="Q1682" s="4" t="s">
        <v>26</v>
      </c>
      <c r="R1682" s="4">
        <v>0</v>
      </c>
      <c r="S1682" s="6">
        <v>0</v>
      </c>
      <c r="T1682" s="6">
        <v>44</v>
      </c>
      <c r="U1682" s="6">
        <v>87</v>
      </c>
      <c r="V1682" s="6">
        <f>IF(ISERROR(VLOOKUP($S$1682,'TAR FIN'!$A$1:$O$120,15,0)),0,VLOOKUP($S$1682,'TAR FIN'!$A$1:$O$120,15,0))</f>
        <v>0</v>
      </c>
      <c r="W1682" s="6">
        <f>IF(ISERROR(VLOOKUP($T$1682,'TAR FIN'!$A$1:$O$120,15,0)),0,VLOOKUP($T$1682,'TAR FIN'!$A$1:$O$120,15,0))</f>
        <v>187.49</v>
      </c>
      <c r="X1682" s="6">
        <f>IF(ISERROR(VLOOKUP($U$1682,'TAR FIN'!$A$1:$O$120,15,0)),0,VLOOKUP($U$1682,'TAR FIN'!$A$1:$O$120,15,0))</f>
        <v>256.38</v>
      </c>
      <c r="Y1682" s="6"/>
      <c r="Z1682" s="6">
        <f ca="1">('TUSD BE'!$AM$54+'TUSD BF'!$AM$54+'TUSD CVA'!$AM$54)*1</f>
        <v>202.69024964776463</v>
      </c>
      <c r="AA1682" s="6">
        <f>('TE BE'!$AA$18+'TE BF'!$AA$18+'TE CVA'!$AA$18)*1</f>
        <v>230.83420940933817</v>
      </c>
      <c r="AB1682" s="6">
        <f>$K$1682*$V$1682</f>
        <v>0</v>
      </c>
      <c r="AC1682" s="6">
        <f>$M$1682*$W$1682</f>
        <v>168.55351000000002</v>
      </c>
      <c r="AD1682" s="6">
        <f>$O$1682*$X$1682</f>
        <v>230.48562000000001</v>
      </c>
      <c r="AE1682" s="6">
        <f>$K$1682*$Y$1682</f>
        <v>0</v>
      </c>
      <c r="AF1682" s="6">
        <f ca="1">$M$1682*$Z$1682</f>
        <v>182.21853443334041</v>
      </c>
      <c r="AG1682" s="6">
        <f>$O$1682*$AA$1682</f>
        <v>207.51995425899503</v>
      </c>
    </row>
    <row r="1683" spans="1:33" ht="11.25" customHeight="1" x14ac:dyDescent="0.25">
      <c r="A1683" s="4" t="s">
        <v>21</v>
      </c>
      <c r="B1683" s="4" t="s">
        <v>22</v>
      </c>
      <c r="C1683" s="4" t="s">
        <v>37</v>
      </c>
      <c r="D1683" s="4" t="s">
        <v>24</v>
      </c>
      <c r="E1683" s="4" t="s">
        <v>24</v>
      </c>
      <c r="F1683" s="4" t="s">
        <v>25</v>
      </c>
      <c r="G1683" s="4" t="s">
        <v>25</v>
      </c>
      <c r="H1683" s="4" t="s">
        <v>36</v>
      </c>
      <c r="I1683" s="5">
        <v>43983</v>
      </c>
      <c r="J1683" s="6">
        <v>0</v>
      </c>
      <c r="K1683" s="6">
        <v>0</v>
      </c>
      <c r="L1683" s="6">
        <v>149.21799999999999</v>
      </c>
      <c r="M1683" s="6">
        <v>149.21799999999999</v>
      </c>
      <c r="N1683" s="6">
        <v>149.21799999999999</v>
      </c>
      <c r="O1683" s="6">
        <v>149.21799999999999</v>
      </c>
      <c r="P1683" s="6">
        <v>0</v>
      </c>
      <c r="Q1683" s="4" t="s">
        <v>26</v>
      </c>
      <c r="R1683" s="4">
        <v>0</v>
      </c>
      <c r="S1683" s="6">
        <v>0</v>
      </c>
      <c r="T1683" s="6">
        <v>44</v>
      </c>
      <c r="U1683" s="6">
        <v>87</v>
      </c>
      <c r="V1683" s="6">
        <f>IF(ISERROR(VLOOKUP($S$1683,'TAR FIN'!$A$1:$O$120,15,0)),0,VLOOKUP($S$1683,'TAR FIN'!$A$1:$O$120,15,0))</f>
        <v>0</v>
      </c>
      <c r="W1683" s="6">
        <f>IF(ISERROR(VLOOKUP($T$1683,'TAR FIN'!$A$1:$O$120,15,0)),0,VLOOKUP($T$1683,'TAR FIN'!$A$1:$O$120,15,0))</f>
        <v>187.49</v>
      </c>
      <c r="X1683" s="6">
        <f>IF(ISERROR(VLOOKUP($U$1683,'TAR FIN'!$A$1:$O$120,15,0)),0,VLOOKUP($U$1683,'TAR FIN'!$A$1:$O$120,15,0))</f>
        <v>256.38</v>
      </c>
      <c r="Y1683" s="6"/>
      <c r="Z1683" s="6">
        <f ca="1">('TUSD BE'!$AM$54+'TUSD BF'!$AM$54+'TUSD CVA'!$AM$54)*1</f>
        <v>202.69024964776463</v>
      </c>
      <c r="AA1683" s="6">
        <f>('TE BE'!$AA$18+'TE BF'!$AA$18+'TE CVA'!$AA$18)*1</f>
        <v>230.83420940933817</v>
      </c>
      <c r="AB1683" s="6">
        <f>$K$1683*$V$1683</f>
        <v>0</v>
      </c>
      <c r="AC1683" s="6">
        <f>$M$1683*$W$1683</f>
        <v>27976.882819999999</v>
      </c>
      <c r="AD1683" s="6">
        <f>$O$1683*$X$1683</f>
        <v>38256.510839999995</v>
      </c>
      <c r="AE1683" s="6">
        <f>$K$1683*$Y$1683</f>
        <v>0</v>
      </c>
      <c r="AF1683" s="6">
        <f ca="1">$M$1683*$Z$1683</f>
        <v>30245.033671940142</v>
      </c>
      <c r="AG1683" s="6">
        <f>$O$1683*$AA$1683</f>
        <v>34444.619059642624</v>
      </c>
    </row>
    <row r="1684" spans="1:33" ht="11.25" customHeight="1" x14ac:dyDescent="0.25">
      <c r="A1684" s="4" t="s">
        <v>27</v>
      </c>
      <c r="B1684" s="4" t="s">
        <v>22</v>
      </c>
      <c r="C1684" s="4" t="s">
        <v>37</v>
      </c>
      <c r="D1684" s="4" t="s">
        <v>24</v>
      </c>
      <c r="E1684" s="4" t="s">
        <v>24</v>
      </c>
      <c r="F1684" s="4" t="s">
        <v>25</v>
      </c>
      <c r="G1684" s="4" t="s">
        <v>25</v>
      </c>
      <c r="H1684" s="4" t="s">
        <v>36</v>
      </c>
      <c r="I1684" s="5">
        <v>43983</v>
      </c>
      <c r="J1684" s="6">
        <v>0</v>
      </c>
      <c r="K1684" s="6">
        <v>0</v>
      </c>
      <c r="L1684" s="6">
        <v>1.5760000000000001</v>
      </c>
      <c r="M1684" s="6">
        <v>1.5760000000000001</v>
      </c>
      <c r="N1684" s="6">
        <v>1.5760000000000001</v>
      </c>
      <c r="O1684" s="6">
        <v>1.5760000000000001</v>
      </c>
      <c r="P1684" s="6">
        <v>0</v>
      </c>
      <c r="Q1684" s="4" t="s">
        <v>26</v>
      </c>
      <c r="R1684" s="4">
        <v>0</v>
      </c>
      <c r="S1684" s="6">
        <v>0</v>
      </c>
      <c r="T1684" s="6">
        <v>44</v>
      </c>
      <c r="U1684" s="6">
        <v>87</v>
      </c>
      <c r="V1684" s="6">
        <f>IF(ISERROR(VLOOKUP($S$1684,'TAR FIN'!$A$1:$O$120,15,0)),0,VLOOKUP($S$1684,'TAR FIN'!$A$1:$O$120,15,0))</f>
        <v>0</v>
      </c>
      <c r="W1684" s="6">
        <f>IF(ISERROR(VLOOKUP($T$1684,'TAR FIN'!$A$1:$O$120,15,0)),0,VLOOKUP($T$1684,'TAR FIN'!$A$1:$O$120,15,0))</f>
        <v>187.49</v>
      </c>
      <c r="X1684" s="6">
        <f>IF(ISERROR(VLOOKUP($U$1684,'TAR FIN'!$A$1:$O$120,15,0)),0,VLOOKUP($U$1684,'TAR FIN'!$A$1:$O$120,15,0))</f>
        <v>256.38</v>
      </c>
      <c r="Y1684" s="6"/>
      <c r="Z1684" s="6">
        <f ca="1">('TUSD BE'!$AM$54+'TUSD BF'!$AM$54+'TUSD CVA'!$AM$54)*1</f>
        <v>202.69024964776463</v>
      </c>
      <c r="AA1684" s="6">
        <f>('TE BE'!$AA$18+'TE BF'!$AA$18+'TE CVA'!$AA$18)*1</f>
        <v>230.83420940933817</v>
      </c>
      <c r="AB1684" s="6">
        <f>$K$1684*$V$1684</f>
        <v>0</v>
      </c>
      <c r="AC1684" s="6">
        <f>$M$1684*$W$1684</f>
        <v>295.48424</v>
      </c>
      <c r="AD1684" s="6">
        <f>$O$1684*$X$1684</f>
        <v>404.05488000000003</v>
      </c>
      <c r="AE1684" s="6">
        <f>$K$1684*$Y$1684</f>
        <v>0</v>
      </c>
      <c r="AF1684" s="6">
        <f ca="1">$M$1684*$Z$1684</f>
        <v>319.43983344487708</v>
      </c>
      <c r="AG1684" s="6">
        <f>$O$1684*$AA$1684</f>
        <v>363.79471402911696</v>
      </c>
    </row>
    <row r="1685" spans="1:33" ht="11.25" customHeight="1" x14ac:dyDescent="0.25">
      <c r="A1685" s="4" t="s">
        <v>21</v>
      </c>
      <c r="B1685" s="4" t="s">
        <v>22</v>
      </c>
      <c r="C1685" s="4" t="s">
        <v>37</v>
      </c>
      <c r="D1685" s="4" t="s">
        <v>24</v>
      </c>
      <c r="E1685" s="4" t="s">
        <v>24</v>
      </c>
      <c r="F1685" s="4" t="s">
        <v>25</v>
      </c>
      <c r="G1685" s="4" t="s">
        <v>25</v>
      </c>
      <c r="H1685" s="4" t="s">
        <v>36</v>
      </c>
      <c r="I1685" s="5">
        <v>44013</v>
      </c>
      <c r="J1685" s="6">
        <v>0</v>
      </c>
      <c r="K1685" s="6">
        <v>0</v>
      </c>
      <c r="L1685" s="6">
        <v>154.20599999999999</v>
      </c>
      <c r="M1685" s="6">
        <v>154.20599999999999</v>
      </c>
      <c r="N1685" s="6">
        <v>154.20599999999999</v>
      </c>
      <c r="O1685" s="6">
        <v>154.20599999999999</v>
      </c>
      <c r="P1685" s="6">
        <v>0</v>
      </c>
      <c r="Q1685" s="4" t="s">
        <v>26</v>
      </c>
      <c r="R1685" s="4">
        <v>0</v>
      </c>
      <c r="S1685" s="6">
        <v>0</v>
      </c>
      <c r="T1685" s="6">
        <v>44</v>
      </c>
      <c r="U1685" s="6">
        <v>87</v>
      </c>
      <c r="V1685" s="6">
        <f>IF(ISERROR(VLOOKUP($S$1685,'TAR FIN'!$A$1:$O$120,15,0)),0,VLOOKUP($S$1685,'TAR FIN'!$A$1:$O$120,15,0))</f>
        <v>0</v>
      </c>
      <c r="W1685" s="6">
        <f>IF(ISERROR(VLOOKUP($T$1685,'TAR FIN'!$A$1:$O$120,15,0)),0,VLOOKUP($T$1685,'TAR FIN'!$A$1:$O$120,15,0))</f>
        <v>187.49</v>
      </c>
      <c r="X1685" s="6">
        <f>IF(ISERROR(VLOOKUP($U$1685,'TAR FIN'!$A$1:$O$120,15,0)),0,VLOOKUP($U$1685,'TAR FIN'!$A$1:$O$120,15,0))</f>
        <v>256.38</v>
      </c>
      <c r="Y1685" s="6"/>
      <c r="Z1685" s="6">
        <f ca="1">('TUSD BE'!$AM$54+'TUSD BF'!$AM$54+'TUSD CVA'!$AM$54)*1</f>
        <v>202.69024964776463</v>
      </c>
      <c r="AA1685" s="6">
        <f>('TE BE'!$AA$18+'TE BF'!$AA$18+'TE CVA'!$AA$18)*1</f>
        <v>230.83420940933817</v>
      </c>
      <c r="AB1685" s="6">
        <f>$K$1685*$V$1685</f>
        <v>0</v>
      </c>
      <c r="AC1685" s="6">
        <f>$M$1685*$W$1685</f>
        <v>28912.08294</v>
      </c>
      <c r="AD1685" s="6">
        <f>$O$1685*$X$1685</f>
        <v>39535.334279999995</v>
      </c>
      <c r="AE1685" s="6">
        <f>$K$1685*$Y$1685</f>
        <v>0</v>
      </c>
      <c r="AF1685" s="6">
        <f ca="1">$M$1685*$Z$1685</f>
        <v>31256.052637183191</v>
      </c>
      <c r="AG1685" s="6">
        <f>$O$1685*$AA$1685</f>
        <v>35596.020096176399</v>
      </c>
    </row>
    <row r="1686" spans="1:33" ht="11.25" customHeight="1" x14ac:dyDescent="0.25">
      <c r="A1686" s="4" t="s">
        <v>27</v>
      </c>
      <c r="B1686" s="4" t="s">
        <v>22</v>
      </c>
      <c r="C1686" s="4" t="s">
        <v>37</v>
      </c>
      <c r="D1686" s="4" t="s">
        <v>24</v>
      </c>
      <c r="E1686" s="4" t="s">
        <v>24</v>
      </c>
      <c r="F1686" s="4" t="s">
        <v>25</v>
      </c>
      <c r="G1686" s="4" t="s">
        <v>25</v>
      </c>
      <c r="H1686" s="4" t="s">
        <v>36</v>
      </c>
      <c r="I1686" s="5">
        <v>44013</v>
      </c>
      <c r="J1686" s="6">
        <v>0</v>
      </c>
      <c r="K1686" s="6">
        <v>0</v>
      </c>
      <c r="L1686" s="6">
        <v>1.657</v>
      </c>
      <c r="M1686" s="6">
        <v>1.657</v>
      </c>
      <c r="N1686" s="6">
        <v>1.657</v>
      </c>
      <c r="O1686" s="6">
        <v>1.657</v>
      </c>
      <c r="P1686" s="6">
        <v>0</v>
      </c>
      <c r="Q1686" s="4" t="s">
        <v>26</v>
      </c>
      <c r="R1686" s="4">
        <v>0</v>
      </c>
      <c r="S1686" s="6">
        <v>0</v>
      </c>
      <c r="T1686" s="6">
        <v>44</v>
      </c>
      <c r="U1686" s="6">
        <v>87</v>
      </c>
      <c r="V1686" s="6">
        <f>IF(ISERROR(VLOOKUP($S$1686,'TAR FIN'!$A$1:$O$120,15,0)),0,VLOOKUP($S$1686,'TAR FIN'!$A$1:$O$120,15,0))</f>
        <v>0</v>
      </c>
      <c r="W1686" s="6">
        <f>IF(ISERROR(VLOOKUP($T$1686,'TAR FIN'!$A$1:$O$120,15,0)),0,VLOOKUP($T$1686,'TAR FIN'!$A$1:$O$120,15,0))</f>
        <v>187.49</v>
      </c>
      <c r="X1686" s="6">
        <f>IF(ISERROR(VLOOKUP($U$1686,'TAR FIN'!$A$1:$O$120,15,0)),0,VLOOKUP($U$1686,'TAR FIN'!$A$1:$O$120,15,0))</f>
        <v>256.38</v>
      </c>
      <c r="Y1686" s="6"/>
      <c r="Z1686" s="6">
        <f ca="1">('TUSD BE'!$AM$54+'TUSD BF'!$AM$54+'TUSD CVA'!$AM$54)*1</f>
        <v>202.69024964776463</v>
      </c>
      <c r="AA1686" s="6">
        <f>('TE BE'!$AA$18+'TE BF'!$AA$18+'TE CVA'!$AA$18)*1</f>
        <v>230.83420940933817</v>
      </c>
      <c r="AB1686" s="6">
        <f>$K$1686*$V$1686</f>
        <v>0</v>
      </c>
      <c r="AC1686" s="6">
        <f>$M$1686*$W$1686</f>
        <v>310.67093</v>
      </c>
      <c r="AD1686" s="6">
        <f>$O$1686*$X$1686</f>
        <v>424.82166000000001</v>
      </c>
      <c r="AE1686" s="6">
        <f>$K$1686*$Y$1686</f>
        <v>0</v>
      </c>
      <c r="AF1686" s="6">
        <f ca="1">$M$1686*$Z$1686</f>
        <v>335.85774366634598</v>
      </c>
      <c r="AG1686" s="6">
        <f>$O$1686*$AA$1686</f>
        <v>382.49228499127338</v>
      </c>
    </row>
    <row r="1687" spans="1:33" ht="11.25" customHeight="1" x14ac:dyDescent="0.25">
      <c r="A1687" s="4" t="s">
        <v>21</v>
      </c>
      <c r="B1687" s="4" t="s">
        <v>22</v>
      </c>
      <c r="C1687" s="4" t="s">
        <v>37</v>
      </c>
      <c r="D1687" s="4" t="s">
        <v>24</v>
      </c>
      <c r="E1687" s="4" t="s">
        <v>24</v>
      </c>
      <c r="F1687" s="4" t="s">
        <v>25</v>
      </c>
      <c r="G1687" s="4" t="s">
        <v>25</v>
      </c>
      <c r="H1687" s="4" t="s">
        <v>36</v>
      </c>
      <c r="I1687" s="5">
        <v>44044</v>
      </c>
      <c r="J1687" s="6">
        <v>0</v>
      </c>
      <c r="K1687" s="6">
        <v>0</v>
      </c>
      <c r="L1687" s="6">
        <v>183.77099999999999</v>
      </c>
      <c r="M1687" s="6">
        <v>183.77099999999999</v>
      </c>
      <c r="N1687" s="6">
        <v>183.77099999999999</v>
      </c>
      <c r="O1687" s="6">
        <v>183.77099999999999</v>
      </c>
      <c r="P1687" s="6">
        <v>0</v>
      </c>
      <c r="Q1687" s="4" t="s">
        <v>26</v>
      </c>
      <c r="R1687" s="4">
        <v>0</v>
      </c>
      <c r="S1687" s="6">
        <v>0</v>
      </c>
      <c r="T1687" s="6">
        <v>44</v>
      </c>
      <c r="U1687" s="6">
        <v>87</v>
      </c>
      <c r="V1687" s="6">
        <f>IF(ISERROR(VLOOKUP($S$1687,'TAR FIN'!$A$1:$O$120,15,0)),0,VLOOKUP($S$1687,'TAR FIN'!$A$1:$O$120,15,0))</f>
        <v>0</v>
      </c>
      <c r="W1687" s="6">
        <f>IF(ISERROR(VLOOKUP($T$1687,'TAR FIN'!$A$1:$O$120,15,0)),0,VLOOKUP($T$1687,'TAR FIN'!$A$1:$O$120,15,0))</f>
        <v>187.49</v>
      </c>
      <c r="X1687" s="6">
        <f>IF(ISERROR(VLOOKUP($U$1687,'TAR FIN'!$A$1:$O$120,15,0)),0,VLOOKUP($U$1687,'TAR FIN'!$A$1:$O$120,15,0))</f>
        <v>256.38</v>
      </c>
      <c r="Y1687" s="6"/>
      <c r="Z1687" s="6">
        <f ca="1">('TUSD BE'!$AM$54+'TUSD BF'!$AM$54+'TUSD CVA'!$AM$54)*1</f>
        <v>202.69024964776463</v>
      </c>
      <c r="AA1687" s="6">
        <f>('TE BE'!$AA$18+'TE BF'!$AA$18+'TE CVA'!$AA$18)*1</f>
        <v>230.83420940933817</v>
      </c>
      <c r="AB1687" s="6">
        <f>$K$1687*$V$1687</f>
        <v>0</v>
      </c>
      <c r="AC1687" s="6">
        <f>$M$1687*$W$1687</f>
        <v>34455.22479</v>
      </c>
      <c r="AD1687" s="6">
        <f>$O$1687*$X$1687</f>
        <v>47115.208979999996</v>
      </c>
      <c r="AE1687" s="6">
        <f>$K$1687*$Y$1687</f>
        <v>0</v>
      </c>
      <c r="AF1687" s="6">
        <f ca="1">$M$1687*$Z$1687</f>
        <v>37248.58986801935</v>
      </c>
      <c r="AG1687" s="6">
        <f>$O$1687*$AA$1687</f>
        <v>42420.63349736348</v>
      </c>
    </row>
    <row r="1688" spans="1:33" ht="11.25" customHeight="1" x14ac:dyDescent="0.25">
      <c r="A1688" s="4" t="s">
        <v>27</v>
      </c>
      <c r="B1688" s="4" t="s">
        <v>22</v>
      </c>
      <c r="C1688" s="4" t="s">
        <v>37</v>
      </c>
      <c r="D1688" s="4" t="s">
        <v>24</v>
      </c>
      <c r="E1688" s="4" t="s">
        <v>24</v>
      </c>
      <c r="F1688" s="4" t="s">
        <v>25</v>
      </c>
      <c r="G1688" s="4" t="s">
        <v>25</v>
      </c>
      <c r="H1688" s="4" t="s">
        <v>36</v>
      </c>
      <c r="I1688" s="5">
        <v>44044</v>
      </c>
      <c r="J1688" s="6">
        <v>0</v>
      </c>
      <c r="K1688" s="6">
        <v>0</v>
      </c>
      <c r="L1688" s="6">
        <v>1.123</v>
      </c>
      <c r="M1688" s="6">
        <v>1.123</v>
      </c>
      <c r="N1688" s="6">
        <v>1.123</v>
      </c>
      <c r="O1688" s="6">
        <v>1.123</v>
      </c>
      <c r="P1688" s="6">
        <v>0</v>
      </c>
      <c r="Q1688" s="4" t="s">
        <v>26</v>
      </c>
      <c r="R1688" s="4">
        <v>0</v>
      </c>
      <c r="S1688" s="6">
        <v>0</v>
      </c>
      <c r="T1688" s="6">
        <v>44</v>
      </c>
      <c r="U1688" s="6">
        <v>87</v>
      </c>
      <c r="V1688" s="6">
        <f>IF(ISERROR(VLOOKUP($S$1688,'TAR FIN'!$A$1:$O$120,15,0)),0,VLOOKUP($S$1688,'TAR FIN'!$A$1:$O$120,15,0))</f>
        <v>0</v>
      </c>
      <c r="W1688" s="6">
        <f>IF(ISERROR(VLOOKUP($T$1688,'TAR FIN'!$A$1:$O$120,15,0)),0,VLOOKUP($T$1688,'TAR FIN'!$A$1:$O$120,15,0))</f>
        <v>187.49</v>
      </c>
      <c r="X1688" s="6">
        <f>IF(ISERROR(VLOOKUP($U$1688,'TAR FIN'!$A$1:$O$120,15,0)),0,VLOOKUP($U$1688,'TAR FIN'!$A$1:$O$120,15,0))</f>
        <v>256.38</v>
      </c>
      <c r="Y1688" s="6"/>
      <c r="Z1688" s="6">
        <f ca="1">('TUSD BE'!$AM$54+'TUSD BF'!$AM$54+'TUSD CVA'!$AM$54)*1</f>
        <v>202.69024964776463</v>
      </c>
      <c r="AA1688" s="6">
        <f>('TE BE'!$AA$18+'TE BF'!$AA$18+'TE CVA'!$AA$18)*1</f>
        <v>230.83420940933817</v>
      </c>
      <c r="AB1688" s="6">
        <f>$K$1688*$V$1688</f>
        <v>0</v>
      </c>
      <c r="AC1688" s="6">
        <f>$M$1688*$W$1688</f>
        <v>210.55127000000002</v>
      </c>
      <c r="AD1688" s="6">
        <f>$O$1688*$X$1688</f>
        <v>287.91473999999999</v>
      </c>
      <c r="AE1688" s="6">
        <f>$K$1688*$Y$1688</f>
        <v>0</v>
      </c>
      <c r="AF1688" s="6">
        <f ca="1">$M$1688*$Z$1688</f>
        <v>227.62115035443969</v>
      </c>
      <c r="AG1688" s="6">
        <f>$O$1688*$AA$1688</f>
        <v>259.22681716668677</v>
      </c>
    </row>
    <row r="1689" spans="1:33" ht="11.25" customHeight="1" x14ac:dyDescent="0.25">
      <c r="A1689" s="4" t="s">
        <v>59</v>
      </c>
      <c r="B1689" s="4" t="s">
        <v>22</v>
      </c>
      <c r="C1689" s="4" t="s">
        <v>37</v>
      </c>
      <c r="D1689" s="4" t="s">
        <v>24</v>
      </c>
      <c r="E1689" s="4" t="s">
        <v>24</v>
      </c>
      <c r="F1689" s="4" t="s">
        <v>25</v>
      </c>
      <c r="G1689" s="4" t="s">
        <v>25</v>
      </c>
      <c r="H1689" s="4" t="s">
        <v>36</v>
      </c>
      <c r="I1689" s="5">
        <v>44075</v>
      </c>
      <c r="J1689" s="6">
        <v>0</v>
      </c>
      <c r="K1689" s="6">
        <v>0</v>
      </c>
      <c r="L1689" s="6">
        <v>183.77099999999999</v>
      </c>
      <c r="M1689" s="6">
        <v>183.77099999999999</v>
      </c>
      <c r="N1689" s="6">
        <v>183.77099999999999</v>
      </c>
      <c r="O1689" s="6">
        <v>183.77099999999999</v>
      </c>
      <c r="P1689" s="6">
        <v>0</v>
      </c>
      <c r="Q1689" s="4" t="s">
        <v>26</v>
      </c>
      <c r="R1689" s="4">
        <v>0</v>
      </c>
      <c r="S1689" s="6">
        <v>0</v>
      </c>
      <c r="T1689" s="6">
        <v>44</v>
      </c>
      <c r="U1689" s="6">
        <v>87</v>
      </c>
      <c r="V1689" s="6">
        <f>IF(ISERROR(VLOOKUP($S$1689,'TAR FIN'!$A$1:$O$120,15,0)),0,VLOOKUP($S$1689,'TAR FIN'!$A$1:$O$120,15,0))</f>
        <v>0</v>
      </c>
      <c r="W1689" s="6">
        <f>IF(ISERROR(VLOOKUP($T$1689,'TAR FIN'!$A$1:$O$120,15,0)),0,VLOOKUP($T$1689,'TAR FIN'!$A$1:$O$120,15,0))</f>
        <v>187.49</v>
      </c>
      <c r="X1689" s="6">
        <f>IF(ISERROR(VLOOKUP($U$1689,'TAR FIN'!$A$1:$O$120,15,0)),0,VLOOKUP($U$1689,'TAR FIN'!$A$1:$O$120,15,0))</f>
        <v>256.38</v>
      </c>
      <c r="Y1689" s="6"/>
      <c r="Z1689" s="6">
        <f ca="1">('TUSD BE'!$AM$54+'TUSD BF'!$AM$54+'TUSD CVA'!$AM$54)*1</f>
        <v>202.69024964776463</v>
      </c>
      <c r="AA1689" s="6">
        <f>('TE BE'!$AA$18+'TE BF'!$AA$18+'TE CVA'!$AA$18)*1</f>
        <v>230.83420940933817</v>
      </c>
      <c r="AB1689" s="6">
        <f>$K$1689*$V$1689</f>
        <v>0</v>
      </c>
      <c r="AC1689" s="6">
        <f>$M$1689*$W$1689</f>
        <v>34455.22479</v>
      </c>
      <c r="AD1689" s="6">
        <f>$O$1689*$X$1689</f>
        <v>47115.208979999996</v>
      </c>
      <c r="AE1689" s="6">
        <f>$K$1689*$Y$1689</f>
        <v>0</v>
      </c>
      <c r="AF1689" s="6">
        <f ca="1">$M$1689*$Z$1689</f>
        <v>37248.58986801935</v>
      </c>
      <c r="AG1689" s="6">
        <f>$O$1689*$AA$1689</f>
        <v>42420.63349736348</v>
      </c>
    </row>
    <row r="1690" spans="1:33" ht="11.25" customHeight="1" x14ac:dyDescent="0.25">
      <c r="A1690" s="4" t="s">
        <v>59</v>
      </c>
      <c r="B1690" s="4" t="s">
        <v>22</v>
      </c>
      <c r="C1690" s="4" t="s">
        <v>37</v>
      </c>
      <c r="D1690" s="4" t="s">
        <v>24</v>
      </c>
      <c r="E1690" s="4" t="s">
        <v>24</v>
      </c>
      <c r="F1690" s="4" t="s">
        <v>25</v>
      </c>
      <c r="G1690" s="4" t="s">
        <v>25</v>
      </c>
      <c r="H1690" s="4" t="s">
        <v>36</v>
      </c>
      <c r="I1690" s="5">
        <v>44075</v>
      </c>
      <c r="J1690" s="6">
        <v>0</v>
      </c>
      <c r="K1690" s="6">
        <v>0</v>
      </c>
      <c r="L1690" s="6">
        <v>1.123</v>
      </c>
      <c r="M1690" s="6">
        <v>1.123</v>
      </c>
      <c r="N1690" s="6">
        <v>1.123</v>
      </c>
      <c r="O1690" s="6">
        <v>1.123</v>
      </c>
      <c r="P1690" s="6">
        <v>0</v>
      </c>
      <c r="Q1690" s="4" t="s">
        <v>26</v>
      </c>
      <c r="R1690" s="4">
        <v>0</v>
      </c>
      <c r="S1690" s="6">
        <v>0</v>
      </c>
      <c r="T1690" s="6">
        <v>44</v>
      </c>
      <c r="U1690" s="6">
        <v>87</v>
      </c>
      <c r="V1690" s="6">
        <f>IF(ISERROR(VLOOKUP($S$1690,'TAR FIN'!$A$1:$O$120,15,0)),0,VLOOKUP($S$1690,'TAR FIN'!$A$1:$O$120,15,0))</f>
        <v>0</v>
      </c>
      <c r="W1690" s="6">
        <f>IF(ISERROR(VLOOKUP($T$1690,'TAR FIN'!$A$1:$O$120,15,0)),0,VLOOKUP($T$1690,'TAR FIN'!$A$1:$O$120,15,0))</f>
        <v>187.49</v>
      </c>
      <c r="X1690" s="6">
        <f>IF(ISERROR(VLOOKUP($U$1690,'TAR FIN'!$A$1:$O$120,15,0)),0,VLOOKUP($U$1690,'TAR FIN'!$A$1:$O$120,15,0))</f>
        <v>256.38</v>
      </c>
      <c r="Y1690" s="6"/>
      <c r="Z1690" s="6">
        <f ca="1">('TUSD BE'!$AM$54+'TUSD BF'!$AM$54+'TUSD CVA'!$AM$54)*1</f>
        <v>202.69024964776463</v>
      </c>
      <c r="AA1690" s="6">
        <f>('TE BE'!$AA$18+'TE BF'!$AA$18+'TE CVA'!$AA$18)*1</f>
        <v>230.83420940933817</v>
      </c>
      <c r="AB1690" s="6">
        <f>$K$1690*$V$1690</f>
        <v>0</v>
      </c>
      <c r="AC1690" s="6">
        <f>$M$1690*$W$1690</f>
        <v>210.55127000000002</v>
      </c>
      <c r="AD1690" s="6">
        <f>$O$1690*$X$1690</f>
        <v>287.91473999999999</v>
      </c>
      <c r="AE1690" s="6">
        <f>$K$1690*$Y$1690</f>
        <v>0</v>
      </c>
      <c r="AF1690" s="6">
        <f ca="1">$M$1690*$Z$1690</f>
        <v>227.62115035443969</v>
      </c>
      <c r="AG1690" s="6">
        <f>$O$1690*$AA$1690</f>
        <v>259.22681716668677</v>
      </c>
    </row>
    <row r="1691" spans="1:33" ht="11.25" customHeight="1" x14ac:dyDescent="0.25">
      <c r="A1691" s="4" t="s">
        <v>21</v>
      </c>
      <c r="B1691" s="4" t="s">
        <v>22</v>
      </c>
      <c r="C1691" s="4" t="s">
        <v>37</v>
      </c>
      <c r="D1691" s="4" t="s">
        <v>24</v>
      </c>
      <c r="E1691" s="4" t="s">
        <v>24</v>
      </c>
      <c r="F1691" s="4" t="s">
        <v>25</v>
      </c>
      <c r="G1691" s="4" t="s">
        <v>25</v>
      </c>
      <c r="H1691" s="4" t="s">
        <v>38</v>
      </c>
      <c r="I1691" s="5">
        <v>43739</v>
      </c>
      <c r="J1691" s="6">
        <v>0</v>
      </c>
      <c r="K1691" s="6">
        <v>0</v>
      </c>
      <c r="L1691" s="6">
        <v>14.584</v>
      </c>
      <c r="M1691" s="6">
        <v>14.584</v>
      </c>
      <c r="N1691" s="6">
        <v>14.584</v>
      </c>
      <c r="O1691" s="6">
        <v>14.584</v>
      </c>
      <c r="P1691" s="6">
        <v>0</v>
      </c>
      <c r="Q1691" s="4" t="s">
        <v>26</v>
      </c>
      <c r="R1691" s="4">
        <v>0</v>
      </c>
      <c r="S1691" s="6">
        <v>0</v>
      </c>
      <c r="T1691" s="6">
        <v>43</v>
      </c>
      <c r="U1691" s="6">
        <v>86</v>
      </c>
      <c r="V1691" s="6">
        <f>IF(ISERROR(VLOOKUP($S$1691,'TAR FIN'!$A$1:$O$120,15,0)),0,VLOOKUP($S$1691,'TAR FIN'!$A$1:$O$120,15,0))</f>
        <v>0</v>
      </c>
      <c r="W1691" s="6">
        <f>IF(ISERROR(VLOOKUP($T$1691,'TAR FIN'!$A$1:$O$120,15,0)),0,VLOOKUP($T$1691,'TAR FIN'!$A$1:$O$120,15,0))</f>
        <v>345.5</v>
      </c>
      <c r="X1691" s="6">
        <f>IF(ISERROR(VLOOKUP($U$1691,'TAR FIN'!$A$1:$O$120,15,0)),0,VLOOKUP($U$1691,'TAR FIN'!$A$1:$O$120,15,0))</f>
        <v>256.38</v>
      </c>
      <c r="Y1691" s="6"/>
      <c r="Z1691" s="6">
        <f ca="1">('TUSD BE'!$AM$53+'TUSD BF'!$AM$53+'TUSD CVA'!$AM$53)*1</f>
        <v>386.10985205084637</v>
      </c>
      <c r="AA1691" s="6">
        <f>('TE BE'!$AA$17+'TE BF'!$AA$17+'TE CVA'!$AA$17)*1</f>
        <v>230.83420940933817</v>
      </c>
      <c r="AB1691" s="6">
        <f>$K$1691*$V$1691</f>
        <v>0</v>
      </c>
      <c r="AC1691" s="6">
        <f>$M$1691*$W$1691</f>
        <v>5038.7719999999999</v>
      </c>
      <c r="AD1691" s="6">
        <f>$O$1691*$X$1691</f>
        <v>3739.04592</v>
      </c>
      <c r="AE1691" s="6">
        <f>$K$1691*$Y$1691</f>
        <v>0</v>
      </c>
      <c r="AF1691" s="6">
        <f ca="1">$M$1691*$Z$1691</f>
        <v>5631.0260823095432</v>
      </c>
      <c r="AG1691" s="6">
        <f>$O$1691*$AA$1691</f>
        <v>3366.4861100257876</v>
      </c>
    </row>
    <row r="1692" spans="1:33" ht="11.25" customHeight="1" x14ac:dyDescent="0.25">
      <c r="A1692" s="4" t="s">
        <v>27</v>
      </c>
      <c r="B1692" s="4" t="s">
        <v>22</v>
      </c>
      <c r="C1692" s="4" t="s">
        <v>37</v>
      </c>
      <c r="D1692" s="4" t="s">
        <v>24</v>
      </c>
      <c r="E1692" s="4" t="s">
        <v>24</v>
      </c>
      <c r="F1692" s="4" t="s">
        <v>25</v>
      </c>
      <c r="G1692" s="4" t="s">
        <v>25</v>
      </c>
      <c r="H1692" s="4" t="s">
        <v>38</v>
      </c>
      <c r="I1692" s="5">
        <v>43739</v>
      </c>
      <c r="J1692" s="6">
        <v>0</v>
      </c>
      <c r="K1692" s="6">
        <v>0</v>
      </c>
      <c r="L1692" s="6">
        <v>0.36699999999999999</v>
      </c>
      <c r="M1692" s="6">
        <v>0.36699999999999999</v>
      </c>
      <c r="N1692" s="6">
        <v>0.36699999999999999</v>
      </c>
      <c r="O1692" s="6">
        <v>0.36699999999999999</v>
      </c>
      <c r="P1692" s="6">
        <v>0</v>
      </c>
      <c r="Q1692" s="4" t="s">
        <v>26</v>
      </c>
      <c r="R1692" s="4">
        <v>0</v>
      </c>
      <c r="S1692" s="6">
        <v>0</v>
      </c>
      <c r="T1692" s="6">
        <v>43</v>
      </c>
      <c r="U1692" s="6">
        <v>86</v>
      </c>
      <c r="V1692" s="6">
        <f>IF(ISERROR(VLOOKUP($S$1692,'TAR FIN'!$A$1:$O$120,15,0)),0,VLOOKUP($S$1692,'TAR FIN'!$A$1:$O$120,15,0))</f>
        <v>0</v>
      </c>
      <c r="W1692" s="6">
        <f>IF(ISERROR(VLOOKUP($T$1692,'TAR FIN'!$A$1:$O$120,15,0)),0,VLOOKUP($T$1692,'TAR FIN'!$A$1:$O$120,15,0))</f>
        <v>345.5</v>
      </c>
      <c r="X1692" s="6">
        <f>IF(ISERROR(VLOOKUP($U$1692,'TAR FIN'!$A$1:$O$120,15,0)),0,VLOOKUP($U$1692,'TAR FIN'!$A$1:$O$120,15,0))</f>
        <v>256.38</v>
      </c>
      <c r="Y1692" s="6"/>
      <c r="Z1692" s="6">
        <f ca="1">('TUSD BE'!$AM$53+'TUSD BF'!$AM$53+'TUSD CVA'!$AM$53)*1</f>
        <v>386.10985205084637</v>
      </c>
      <c r="AA1692" s="6">
        <f>('TE BE'!$AA$17+'TE BF'!$AA$17+'TE CVA'!$AA$17)*1</f>
        <v>230.83420940933817</v>
      </c>
      <c r="AB1692" s="6">
        <f>$K$1692*$V$1692</f>
        <v>0</v>
      </c>
      <c r="AC1692" s="6">
        <f>$M$1692*$W$1692</f>
        <v>126.7985</v>
      </c>
      <c r="AD1692" s="6">
        <f>$O$1692*$X$1692</f>
        <v>94.091459999999998</v>
      </c>
      <c r="AE1692" s="6">
        <f>$K$1692*$Y$1692</f>
        <v>0</v>
      </c>
      <c r="AF1692" s="6">
        <f ca="1">$M$1692*$Z$1692</f>
        <v>141.70231570266063</v>
      </c>
      <c r="AG1692" s="6">
        <f>$O$1692*$AA$1692</f>
        <v>84.71615485322711</v>
      </c>
    </row>
    <row r="1693" spans="1:33" ht="11.25" customHeight="1" x14ac:dyDescent="0.25">
      <c r="A1693" s="4" t="s">
        <v>28</v>
      </c>
      <c r="B1693" s="4" t="s">
        <v>22</v>
      </c>
      <c r="C1693" s="4" t="s">
        <v>37</v>
      </c>
      <c r="D1693" s="4" t="s">
        <v>24</v>
      </c>
      <c r="E1693" s="4" t="s">
        <v>24</v>
      </c>
      <c r="F1693" s="4" t="s">
        <v>25</v>
      </c>
      <c r="G1693" s="4" t="s">
        <v>25</v>
      </c>
      <c r="H1693" s="4" t="s">
        <v>38</v>
      </c>
      <c r="I1693" s="5">
        <v>43739</v>
      </c>
      <c r="J1693" s="6">
        <v>0</v>
      </c>
      <c r="K1693" s="6">
        <v>0</v>
      </c>
      <c r="L1693" s="6">
        <v>3.0000000000000001E-3</v>
      </c>
      <c r="M1693" s="6">
        <v>3.0000000000000001E-3</v>
      </c>
      <c r="N1693" s="6">
        <v>3.0000000000000001E-3</v>
      </c>
      <c r="O1693" s="6">
        <v>3.0000000000000001E-3</v>
      </c>
      <c r="P1693" s="6">
        <v>0</v>
      </c>
      <c r="Q1693" s="4" t="s">
        <v>26</v>
      </c>
      <c r="R1693" s="4">
        <v>0</v>
      </c>
      <c r="S1693" s="6">
        <v>0</v>
      </c>
      <c r="T1693" s="6">
        <v>43</v>
      </c>
      <c r="U1693" s="6">
        <v>86</v>
      </c>
      <c r="V1693" s="6">
        <f>IF(ISERROR(VLOOKUP($S$1693,'TAR FIN'!$A$1:$O$120,15,0)),0,VLOOKUP($S$1693,'TAR FIN'!$A$1:$O$120,15,0))</f>
        <v>0</v>
      </c>
      <c r="W1693" s="6">
        <f>IF(ISERROR(VLOOKUP($T$1693,'TAR FIN'!$A$1:$O$120,15,0)),0,VLOOKUP($T$1693,'TAR FIN'!$A$1:$O$120,15,0))</f>
        <v>345.5</v>
      </c>
      <c r="X1693" s="6">
        <f>IF(ISERROR(VLOOKUP($U$1693,'TAR FIN'!$A$1:$O$120,15,0)),0,VLOOKUP($U$1693,'TAR FIN'!$A$1:$O$120,15,0))</f>
        <v>256.38</v>
      </c>
      <c r="Y1693" s="6"/>
      <c r="Z1693" s="6">
        <f ca="1">('TUSD BE'!$AM$53+'TUSD BF'!$AM$53+'TUSD CVA'!$AM$53)*1</f>
        <v>386.10985205084637</v>
      </c>
      <c r="AA1693" s="6">
        <f>('TE BE'!$AA$17+'TE BF'!$AA$17+'TE CVA'!$AA$17)*1</f>
        <v>230.83420940933817</v>
      </c>
      <c r="AB1693" s="6">
        <f>$K$1693*$V$1693</f>
        <v>0</v>
      </c>
      <c r="AC1693" s="6">
        <f>$M$1693*$W$1693</f>
        <v>1.0365</v>
      </c>
      <c r="AD1693" s="6">
        <f>$O$1693*$X$1693</f>
        <v>0.76914000000000005</v>
      </c>
      <c r="AE1693" s="6">
        <f>$K$1693*$Y$1693</f>
        <v>0</v>
      </c>
      <c r="AF1693" s="6">
        <f ca="1">$M$1693*$Z$1693</f>
        <v>1.1583295561525391</v>
      </c>
      <c r="AG1693" s="6">
        <f>$O$1693*$AA$1693</f>
        <v>0.69250262822801456</v>
      </c>
    </row>
    <row r="1694" spans="1:33" ht="11.25" customHeight="1" x14ac:dyDescent="0.25">
      <c r="A1694" s="4" t="s">
        <v>21</v>
      </c>
      <c r="B1694" s="4" t="s">
        <v>22</v>
      </c>
      <c r="C1694" s="4" t="s">
        <v>37</v>
      </c>
      <c r="D1694" s="4" t="s">
        <v>24</v>
      </c>
      <c r="E1694" s="4" t="s">
        <v>24</v>
      </c>
      <c r="F1694" s="4" t="s">
        <v>25</v>
      </c>
      <c r="G1694" s="4" t="s">
        <v>25</v>
      </c>
      <c r="H1694" s="4" t="s">
        <v>38</v>
      </c>
      <c r="I1694" s="5">
        <v>43770</v>
      </c>
      <c r="J1694" s="6">
        <v>0</v>
      </c>
      <c r="K1694" s="6">
        <v>0</v>
      </c>
      <c r="L1694" s="6">
        <v>14.778</v>
      </c>
      <c r="M1694" s="6">
        <v>14.778</v>
      </c>
      <c r="N1694" s="6">
        <v>14.778</v>
      </c>
      <c r="O1694" s="6">
        <v>14.778</v>
      </c>
      <c r="P1694" s="6">
        <v>0</v>
      </c>
      <c r="Q1694" s="4" t="s">
        <v>26</v>
      </c>
      <c r="R1694" s="4">
        <v>0</v>
      </c>
      <c r="S1694" s="6">
        <v>0</v>
      </c>
      <c r="T1694" s="6">
        <v>43</v>
      </c>
      <c r="U1694" s="6">
        <v>86</v>
      </c>
      <c r="V1694" s="6">
        <f>IF(ISERROR(VLOOKUP($S$1694,'TAR FIN'!$A$1:$O$120,15,0)),0,VLOOKUP($S$1694,'TAR FIN'!$A$1:$O$120,15,0))</f>
        <v>0</v>
      </c>
      <c r="W1694" s="6">
        <f>IF(ISERROR(VLOOKUP($T$1694,'TAR FIN'!$A$1:$O$120,15,0)),0,VLOOKUP($T$1694,'TAR FIN'!$A$1:$O$120,15,0))</f>
        <v>345.5</v>
      </c>
      <c r="X1694" s="6">
        <f>IF(ISERROR(VLOOKUP($U$1694,'TAR FIN'!$A$1:$O$120,15,0)),0,VLOOKUP($U$1694,'TAR FIN'!$A$1:$O$120,15,0))</f>
        <v>256.38</v>
      </c>
      <c r="Y1694" s="6"/>
      <c r="Z1694" s="6">
        <f ca="1">('TUSD BE'!$AM$53+'TUSD BF'!$AM$53+'TUSD CVA'!$AM$53)*1</f>
        <v>386.10985205084637</v>
      </c>
      <c r="AA1694" s="6">
        <f>('TE BE'!$AA$17+'TE BF'!$AA$17+'TE CVA'!$AA$17)*1</f>
        <v>230.83420940933817</v>
      </c>
      <c r="AB1694" s="6">
        <f>$K$1694*$V$1694</f>
        <v>0</v>
      </c>
      <c r="AC1694" s="6">
        <f>$M$1694*$W$1694</f>
        <v>5105.799</v>
      </c>
      <c r="AD1694" s="6">
        <f>$O$1694*$X$1694</f>
        <v>3788.7836400000001</v>
      </c>
      <c r="AE1694" s="6">
        <f>$K$1694*$Y$1694</f>
        <v>0</v>
      </c>
      <c r="AF1694" s="6">
        <f ca="1">$M$1694*$Z$1694</f>
        <v>5705.9313936074077</v>
      </c>
      <c r="AG1694" s="6">
        <f>$O$1694*$AA$1694</f>
        <v>3411.2679466511995</v>
      </c>
    </row>
    <row r="1695" spans="1:33" ht="11.25" customHeight="1" x14ac:dyDescent="0.25">
      <c r="A1695" s="4" t="s">
        <v>27</v>
      </c>
      <c r="B1695" s="4" t="s">
        <v>22</v>
      </c>
      <c r="C1695" s="4" t="s">
        <v>37</v>
      </c>
      <c r="D1695" s="4" t="s">
        <v>24</v>
      </c>
      <c r="E1695" s="4" t="s">
        <v>24</v>
      </c>
      <c r="F1695" s="4" t="s">
        <v>25</v>
      </c>
      <c r="G1695" s="4" t="s">
        <v>25</v>
      </c>
      <c r="H1695" s="4" t="s">
        <v>38</v>
      </c>
      <c r="I1695" s="5">
        <v>43770</v>
      </c>
      <c r="J1695" s="6">
        <v>0</v>
      </c>
      <c r="K1695" s="6">
        <v>0</v>
      </c>
      <c r="L1695" s="6">
        <v>0.123</v>
      </c>
      <c r="M1695" s="6">
        <v>0.123</v>
      </c>
      <c r="N1695" s="6">
        <v>0.123</v>
      </c>
      <c r="O1695" s="6">
        <v>0.123</v>
      </c>
      <c r="P1695" s="6">
        <v>0</v>
      </c>
      <c r="Q1695" s="4" t="s">
        <v>26</v>
      </c>
      <c r="R1695" s="4">
        <v>0</v>
      </c>
      <c r="S1695" s="6">
        <v>0</v>
      </c>
      <c r="T1695" s="6">
        <v>43</v>
      </c>
      <c r="U1695" s="6">
        <v>86</v>
      </c>
      <c r="V1695" s="6">
        <f>IF(ISERROR(VLOOKUP($S$1695,'TAR FIN'!$A$1:$O$120,15,0)),0,VLOOKUP($S$1695,'TAR FIN'!$A$1:$O$120,15,0))</f>
        <v>0</v>
      </c>
      <c r="W1695" s="6">
        <f>IF(ISERROR(VLOOKUP($T$1695,'TAR FIN'!$A$1:$O$120,15,0)),0,VLOOKUP($T$1695,'TAR FIN'!$A$1:$O$120,15,0))</f>
        <v>345.5</v>
      </c>
      <c r="X1695" s="6">
        <f>IF(ISERROR(VLOOKUP($U$1695,'TAR FIN'!$A$1:$O$120,15,0)),0,VLOOKUP($U$1695,'TAR FIN'!$A$1:$O$120,15,0))</f>
        <v>256.38</v>
      </c>
      <c r="Y1695" s="6"/>
      <c r="Z1695" s="6">
        <f ca="1">('TUSD BE'!$AM$53+'TUSD BF'!$AM$53+'TUSD CVA'!$AM$53)*1</f>
        <v>386.10985205084637</v>
      </c>
      <c r="AA1695" s="6">
        <f>('TE BE'!$AA$17+'TE BF'!$AA$17+'TE CVA'!$AA$17)*1</f>
        <v>230.83420940933817</v>
      </c>
      <c r="AB1695" s="6">
        <f>$K$1695*$V$1695</f>
        <v>0</v>
      </c>
      <c r="AC1695" s="6">
        <f>$M$1695*$W$1695</f>
        <v>42.496499999999997</v>
      </c>
      <c r="AD1695" s="6">
        <f>$O$1695*$X$1695</f>
        <v>31.534739999999999</v>
      </c>
      <c r="AE1695" s="6">
        <f>$K$1695*$Y$1695</f>
        <v>0</v>
      </c>
      <c r="AF1695" s="6">
        <f ca="1">$M$1695*$Z$1695</f>
        <v>47.491511802254102</v>
      </c>
      <c r="AG1695" s="6">
        <f>$O$1695*$AA$1695</f>
        <v>28.392607757348596</v>
      </c>
    </row>
    <row r="1696" spans="1:33" ht="11.25" customHeight="1" x14ac:dyDescent="0.25">
      <c r="A1696" s="4" t="s">
        <v>28</v>
      </c>
      <c r="B1696" s="4" t="s">
        <v>22</v>
      </c>
      <c r="C1696" s="4" t="s">
        <v>37</v>
      </c>
      <c r="D1696" s="4" t="s">
        <v>24</v>
      </c>
      <c r="E1696" s="4" t="s">
        <v>24</v>
      </c>
      <c r="F1696" s="4" t="s">
        <v>25</v>
      </c>
      <c r="G1696" s="4" t="s">
        <v>25</v>
      </c>
      <c r="H1696" s="4" t="s">
        <v>38</v>
      </c>
      <c r="I1696" s="5">
        <v>43770</v>
      </c>
      <c r="J1696" s="6">
        <v>0</v>
      </c>
      <c r="K1696" s="6">
        <v>0</v>
      </c>
      <c r="L1696" s="6">
        <v>3.6999999999999998E-2</v>
      </c>
      <c r="M1696" s="6">
        <v>3.6999999999999998E-2</v>
      </c>
      <c r="N1696" s="6">
        <v>3.6999999999999998E-2</v>
      </c>
      <c r="O1696" s="6">
        <v>3.6999999999999998E-2</v>
      </c>
      <c r="P1696" s="6">
        <v>0</v>
      </c>
      <c r="Q1696" s="4" t="s">
        <v>26</v>
      </c>
      <c r="R1696" s="4">
        <v>0</v>
      </c>
      <c r="S1696" s="6">
        <v>0</v>
      </c>
      <c r="T1696" s="6">
        <v>43</v>
      </c>
      <c r="U1696" s="6">
        <v>86</v>
      </c>
      <c r="V1696" s="6">
        <f>IF(ISERROR(VLOOKUP($S$1696,'TAR FIN'!$A$1:$O$120,15,0)),0,VLOOKUP($S$1696,'TAR FIN'!$A$1:$O$120,15,0))</f>
        <v>0</v>
      </c>
      <c r="W1696" s="6">
        <f>IF(ISERROR(VLOOKUP($T$1696,'TAR FIN'!$A$1:$O$120,15,0)),0,VLOOKUP($T$1696,'TAR FIN'!$A$1:$O$120,15,0))</f>
        <v>345.5</v>
      </c>
      <c r="X1696" s="6">
        <f>IF(ISERROR(VLOOKUP($U$1696,'TAR FIN'!$A$1:$O$120,15,0)),0,VLOOKUP($U$1696,'TAR FIN'!$A$1:$O$120,15,0))</f>
        <v>256.38</v>
      </c>
      <c r="Y1696" s="6"/>
      <c r="Z1696" s="6">
        <f ca="1">('TUSD BE'!$AM$53+'TUSD BF'!$AM$53+'TUSD CVA'!$AM$53)*1</f>
        <v>386.10985205084637</v>
      </c>
      <c r="AA1696" s="6">
        <f>('TE BE'!$AA$17+'TE BF'!$AA$17+'TE CVA'!$AA$17)*1</f>
        <v>230.83420940933817</v>
      </c>
      <c r="AB1696" s="6">
        <f>$K$1696*$V$1696</f>
        <v>0</v>
      </c>
      <c r="AC1696" s="6">
        <f>$M$1696*$W$1696</f>
        <v>12.7835</v>
      </c>
      <c r="AD1696" s="6">
        <f>$O$1696*$X$1696</f>
        <v>9.4860600000000002</v>
      </c>
      <c r="AE1696" s="6">
        <f>$K$1696*$Y$1696</f>
        <v>0</v>
      </c>
      <c r="AF1696" s="6">
        <f ca="1">$M$1696*$Z$1696</f>
        <v>14.286064525881315</v>
      </c>
      <c r="AG1696" s="6">
        <f>$O$1696*$AA$1696</f>
        <v>8.5408657481455119</v>
      </c>
    </row>
    <row r="1697" spans="1:33" ht="11.25" customHeight="1" x14ac:dyDescent="0.25">
      <c r="A1697" s="4" t="s">
        <v>28</v>
      </c>
      <c r="B1697" s="4" t="s">
        <v>22</v>
      </c>
      <c r="C1697" s="4" t="s">
        <v>37</v>
      </c>
      <c r="D1697" s="4" t="s">
        <v>24</v>
      </c>
      <c r="E1697" s="4" t="s">
        <v>24</v>
      </c>
      <c r="F1697" s="4" t="s">
        <v>25</v>
      </c>
      <c r="G1697" s="4" t="s">
        <v>25</v>
      </c>
      <c r="H1697" s="4" t="s">
        <v>38</v>
      </c>
      <c r="I1697" s="5">
        <v>43770</v>
      </c>
      <c r="J1697" s="6">
        <v>0</v>
      </c>
      <c r="K1697" s="6">
        <v>0</v>
      </c>
      <c r="L1697" s="6">
        <v>3.6999999999999998E-2</v>
      </c>
      <c r="M1697" s="6">
        <v>3.6999999999999998E-2</v>
      </c>
      <c r="N1697" s="6">
        <v>3.6999999999999998E-2</v>
      </c>
      <c r="O1697" s="6">
        <v>3.6999999999999998E-2</v>
      </c>
      <c r="P1697" s="6">
        <v>0</v>
      </c>
      <c r="Q1697" s="4" t="s">
        <v>26</v>
      </c>
      <c r="R1697" s="4">
        <v>0</v>
      </c>
      <c r="S1697" s="6">
        <v>0</v>
      </c>
      <c r="T1697" s="6">
        <v>43</v>
      </c>
      <c r="U1697" s="6">
        <v>86</v>
      </c>
      <c r="V1697" s="6">
        <f>IF(ISERROR(VLOOKUP($S$1697,'TAR FIN'!$A$1:$O$120,15,0)),0,VLOOKUP($S$1697,'TAR FIN'!$A$1:$O$120,15,0))</f>
        <v>0</v>
      </c>
      <c r="W1697" s="6">
        <f>IF(ISERROR(VLOOKUP($T$1697,'TAR FIN'!$A$1:$O$120,15,0)),0,VLOOKUP($T$1697,'TAR FIN'!$A$1:$O$120,15,0))</f>
        <v>345.5</v>
      </c>
      <c r="X1697" s="6">
        <f>IF(ISERROR(VLOOKUP($U$1697,'TAR FIN'!$A$1:$O$120,15,0)),0,VLOOKUP($U$1697,'TAR FIN'!$A$1:$O$120,15,0))</f>
        <v>256.38</v>
      </c>
      <c r="Y1697" s="6"/>
      <c r="Z1697" s="6">
        <f ca="1">('TUSD BE'!$AM$53+'TUSD BF'!$AM$53+'TUSD CVA'!$AM$53)*1</f>
        <v>386.10985205084637</v>
      </c>
      <c r="AA1697" s="6">
        <f>('TE BE'!$AA$17+'TE BF'!$AA$17+'TE CVA'!$AA$17)*1</f>
        <v>230.83420940933817</v>
      </c>
      <c r="AB1697" s="6">
        <f>$K$1697*$V$1697</f>
        <v>0</v>
      </c>
      <c r="AC1697" s="6">
        <f>$M$1697*$W$1697</f>
        <v>12.7835</v>
      </c>
      <c r="AD1697" s="6">
        <f>$O$1697*$X$1697</f>
        <v>9.4860600000000002</v>
      </c>
      <c r="AE1697" s="6">
        <f>$K$1697*$Y$1697</f>
        <v>0</v>
      </c>
      <c r="AF1697" s="6">
        <f ca="1">$M$1697*$Z$1697</f>
        <v>14.286064525881315</v>
      </c>
      <c r="AG1697" s="6">
        <f>$O$1697*$AA$1697</f>
        <v>8.5408657481455119</v>
      </c>
    </row>
    <row r="1698" spans="1:33" ht="11.25" customHeight="1" x14ac:dyDescent="0.25">
      <c r="A1698" s="4" t="s">
        <v>21</v>
      </c>
      <c r="B1698" s="4" t="s">
        <v>22</v>
      </c>
      <c r="C1698" s="4" t="s">
        <v>37</v>
      </c>
      <c r="D1698" s="4" t="s">
        <v>24</v>
      </c>
      <c r="E1698" s="4" t="s">
        <v>24</v>
      </c>
      <c r="F1698" s="4" t="s">
        <v>25</v>
      </c>
      <c r="G1698" s="4" t="s">
        <v>25</v>
      </c>
      <c r="H1698" s="4" t="s">
        <v>38</v>
      </c>
      <c r="I1698" s="5">
        <v>43800</v>
      </c>
      <c r="J1698" s="6">
        <v>0</v>
      </c>
      <c r="K1698" s="6">
        <v>0</v>
      </c>
      <c r="L1698" s="6">
        <v>12.145</v>
      </c>
      <c r="M1698" s="6">
        <v>12.145</v>
      </c>
      <c r="N1698" s="6">
        <v>12.145</v>
      </c>
      <c r="O1698" s="6">
        <v>12.145</v>
      </c>
      <c r="P1698" s="6">
        <v>0</v>
      </c>
      <c r="Q1698" s="4" t="s">
        <v>26</v>
      </c>
      <c r="R1698" s="4">
        <v>0</v>
      </c>
      <c r="S1698" s="6">
        <v>0</v>
      </c>
      <c r="T1698" s="6">
        <v>43</v>
      </c>
      <c r="U1698" s="6">
        <v>86</v>
      </c>
      <c r="V1698" s="6">
        <f>IF(ISERROR(VLOOKUP($S$1698,'TAR FIN'!$A$1:$O$120,15,0)),0,VLOOKUP($S$1698,'TAR FIN'!$A$1:$O$120,15,0))</f>
        <v>0</v>
      </c>
      <c r="W1698" s="6">
        <f>IF(ISERROR(VLOOKUP($T$1698,'TAR FIN'!$A$1:$O$120,15,0)),0,VLOOKUP($T$1698,'TAR FIN'!$A$1:$O$120,15,0))</f>
        <v>345.5</v>
      </c>
      <c r="X1698" s="6">
        <f>IF(ISERROR(VLOOKUP($U$1698,'TAR FIN'!$A$1:$O$120,15,0)),0,VLOOKUP($U$1698,'TAR FIN'!$A$1:$O$120,15,0))</f>
        <v>256.38</v>
      </c>
      <c r="Y1698" s="6"/>
      <c r="Z1698" s="6">
        <f ca="1">('TUSD BE'!$AM$53+'TUSD BF'!$AM$53+'TUSD CVA'!$AM$53)*1</f>
        <v>386.10985205084637</v>
      </c>
      <c r="AA1698" s="6">
        <f>('TE BE'!$AA$17+'TE BF'!$AA$17+'TE CVA'!$AA$17)*1</f>
        <v>230.83420940933817</v>
      </c>
      <c r="AB1698" s="6">
        <f>$K$1698*$V$1698</f>
        <v>0</v>
      </c>
      <c r="AC1698" s="6">
        <f>$M$1698*$W$1698</f>
        <v>4196.0974999999999</v>
      </c>
      <c r="AD1698" s="6">
        <f>$O$1698*$X$1698</f>
        <v>3113.7350999999999</v>
      </c>
      <c r="AE1698" s="6">
        <f>$K$1698*$Y$1698</f>
        <v>0</v>
      </c>
      <c r="AF1698" s="6">
        <f ca="1">$M$1698*$Z$1698</f>
        <v>4689.3041531575291</v>
      </c>
      <c r="AG1698" s="6">
        <f>$O$1698*$AA$1698</f>
        <v>2803.4814732764121</v>
      </c>
    </row>
    <row r="1699" spans="1:33" ht="11.25" customHeight="1" x14ac:dyDescent="0.25">
      <c r="A1699" s="4" t="s">
        <v>27</v>
      </c>
      <c r="B1699" s="4" t="s">
        <v>22</v>
      </c>
      <c r="C1699" s="4" t="s">
        <v>37</v>
      </c>
      <c r="D1699" s="4" t="s">
        <v>24</v>
      </c>
      <c r="E1699" s="4" t="s">
        <v>24</v>
      </c>
      <c r="F1699" s="4" t="s">
        <v>25</v>
      </c>
      <c r="G1699" s="4" t="s">
        <v>25</v>
      </c>
      <c r="H1699" s="4" t="s">
        <v>38</v>
      </c>
      <c r="I1699" s="5">
        <v>43800</v>
      </c>
      <c r="J1699" s="6">
        <v>0</v>
      </c>
      <c r="K1699" s="6">
        <v>0</v>
      </c>
      <c r="L1699" s="6">
        <v>0.33200000000000002</v>
      </c>
      <c r="M1699" s="6">
        <v>0.33200000000000002</v>
      </c>
      <c r="N1699" s="6">
        <v>0.33200000000000002</v>
      </c>
      <c r="O1699" s="6">
        <v>0.33200000000000002</v>
      </c>
      <c r="P1699" s="6">
        <v>0</v>
      </c>
      <c r="Q1699" s="4" t="s">
        <v>26</v>
      </c>
      <c r="R1699" s="4">
        <v>0</v>
      </c>
      <c r="S1699" s="6">
        <v>0</v>
      </c>
      <c r="T1699" s="6">
        <v>43</v>
      </c>
      <c r="U1699" s="6">
        <v>86</v>
      </c>
      <c r="V1699" s="6">
        <f>IF(ISERROR(VLOOKUP($S$1699,'TAR FIN'!$A$1:$O$120,15,0)),0,VLOOKUP($S$1699,'TAR FIN'!$A$1:$O$120,15,0))</f>
        <v>0</v>
      </c>
      <c r="W1699" s="6">
        <f>IF(ISERROR(VLOOKUP($T$1699,'TAR FIN'!$A$1:$O$120,15,0)),0,VLOOKUP($T$1699,'TAR FIN'!$A$1:$O$120,15,0))</f>
        <v>345.5</v>
      </c>
      <c r="X1699" s="6">
        <f>IF(ISERROR(VLOOKUP($U$1699,'TAR FIN'!$A$1:$O$120,15,0)),0,VLOOKUP($U$1699,'TAR FIN'!$A$1:$O$120,15,0))</f>
        <v>256.38</v>
      </c>
      <c r="Y1699" s="6"/>
      <c r="Z1699" s="6">
        <f ca="1">('TUSD BE'!$AM$53+'TUSD BF'!$AM$53+'TUSD CVA'!$AM$53)*1</f>
        <v>386.10985205084637</v>
      </c>
      <c r="AA1699" s="6">
        <f>('TE BE'!$AA$17+'TE BF'!$AA$17+'TE CVA'!$AA$17)*1</f>
        <v>230.83420940933817</v>
      </c>
      <c r="AB1699" s="6">
        <f>$K$1699*$V$1699</f>
        <v>0</v>
      </c>
      <c r="AC1699" s="6">
        <f>$M$1699*$W$1699</f>
        <v>114.706</v>
      </c>
      <c r="AD1699" s="6">
        <f>$O$1699*$X$1699</f>
        <v>85.118160000000003</v>
      </c>
      <c r="AE1699" s="6">
        <f>$K$1699*$Y$1699</f>
        <v>0</v>
      </c>
      <c r="AF1699" s="6">
        <f ca="1">$M$1699*$Z$1699</f>
        <v>128.188470880881</v>
      </c>
      <c r="AG1699" s="6">
        <f>$O$1699*$AA$1699</f>
        <v>76.636957523900278</v>
      </c>
    </row>
    <row r="1700" spans="1:33" ht="11.25" customHeight="1" x14ac:dyDescent="0.25">
      <c r="A1700" s="4" t="s">
        <v>28</v>
      </c>
      <c r="B1700" s="4" t="s">
        <v>22</v>
      </c>
      <c r="C1700" s="4" t="s">
        <v>37</v>
      </c>
      <c r="D1700" s="4" t="s">
        <v>24</v>
      </c>
      <c r="E1700" s="4" t="s">
        <v>24</v>
      </c>
      <c r="F1700" s="4" t="s">
        <v>25</v>
      </c>
      <c r="G1700" s="4" t="s">
        <v>25</v>
      </c>
      <c r="H1700" s="4" t="s">
        <v>38</v>
      </c>
      <c r="I1700" s="5">
        <v>43800</v>
      </c>
      <c r="J1700" s="6">
        <v>0</v>
      </c>
      <c r="K1700" s="6">
        <v>0</v>
      </c>
      <c r="L1700" s="6">
        <v>1.9E-2</v>
      </c>
      <c r="M1700" s="6">
        <v>1.9E-2</v>
      </c>
      <c r="N1700" s="6">
        <v>1.9E-2</v>
      </c>
      <c r="O1700" s="6">
        <v>1.9E-2</v>
      </c>
      <c r="P1700" s="6">
        <v>0</v>
      </c>
      <c r="Q1700" s="4" t="s">
        <v>26</v>
      </c>
      <c r="R1700" s="4">
        <v>0</v>
      </c>
      <c r="S1700" s="6">
        <v>0</v>
      </c>
      <c r="T1700" s="6">
        <v>43</v>
      </c>
      <c r="U1700" s="6">
        <v>86</v>
      </c>
      <c r="V1700" s="6">
        <f>IF(ISERROR(VLOOKUP($S$1700,'TAR FIN'!$A$1:$O$120,15,0)),0,VLOOKUP($S$1700,'TAR FIN'!$A$1:$O$120,15,0))</f>
        <v>0</v>
      </c>
      <c r="W1700" s="6">
        <f>IF(ISERROR(VLOOKUP($T$1700,'TAR FIN'!$A$1:$O$120,15,0)),0,VLOOKUP($T$1700,'TAR FIN'!$A$1:$O$120,15,0))</f>
        <v>345.5</v>
      </c>
      <c r="X1700" s="6">
        <f>IF(ISERROR(VLOOKUP($U$1700,'TAR FIN'!$A$1:$O$120,15,0)),0,VLOOKUP($U$1700,'TAR FIN'!$A$1:$O$120,15,0))</f>
        <v>256.38</v>
      </c>
      <c r="Y1700" s="6"/>
      <c r="Z1700" s="6">
        <f ca="1">('TUSD BE'!$AM$53+'TUSD BF'!$AM$53+'TUSD CVA'!$AM$53)*1</f>
        <v>386.10985205084637</v>
      </c>
      <c r="AA1700" s="6">
        <f>('TE BE'!$AA$17+'TE BF'!$AA$17+'TE CVA'!$AA$17)*1</f>
        <v>230.83420940933817</v>
      </c>
      <c r="AB1700" s="6">
        <f>$K$1700*$V$1700</f>
        <v>0</v>
      </c>
      <c r="AC1700" s="6">
        <f>$M$1700*$W$1700</f>
        <v>6.5644999999999998</v>
      </c>
      <c r="AD1700" s="6">
        <f>$O$1700*$X$1700</f>
        <v>4.8712200000000001</v>
      </c>
      <c r="AE1700" s="6">
        <f>$K$1700*$Y$1700</f>
        <v>0</v>
      </c>
      <c r="AF1700" s="6">
        <f ca="1">$M$1700*$Z$1700</f>
        <v>7.336087188966081</v>
      </c>
      <c r="AG1700" s="6">
        <f>$O$1700*$AA$1700</f>
        <v>4.3858499787774248</v>
      </c>
    </row>
    <row r="1701" spans="1:33" ht="11.25" customHeight="1" x14ac:dyDescent="0.25">
      <c r="A1701" s="4" t="s">
        <v>21</v>
      </c>
      <c r="B1701" s="4" t="s">
        <v>22</v>
      </c>
      <c r="C1701" s="4" t="s">
        <v>37</v>
      </c>
      <c r="D1701" s="4" t="s">
        <v>24</v>
      </c>
      <c r="E1701" s="4" t="s">
        <v>24</v>
      </c>
      <c r="F1701" s="4" t="s">
        <v>25</v>
      </c>
      <c r="G1701" s="4" t="s">
        <v>25</v>
      </c>
      <c r="H1701" s="4" t="s">
        <v>38</v>
      </c>
      <c r="I1701" s="5">
        <v>43831</v>
      </c>
      <c r="J1701" s="6">
        <v>0</v>
      </c>
      <c r="K1701" s="6">
        <v>0</v>
      </c>
      <c r="L1701" s="6">
        <v>13.917999999999999</v>
      </c>
      <c r="M1701" s="6">
        <v>13.917999999999999</v>
      </c>
      <c r="N1701" s="6">
        <v>13.917999999999999</v>
      </c>
      <c r="O1701" s="6">
        <v>13.917999999999999</v>
      </c>
      <c r="P1701" s="6">
        <v>0</v>
      </c>
      <c r="Q1701" s="4" t="s">
        <v>26</v>
      </c>
      <c r="R1701" s="4">
        <v>0</v>
      </c>
      <c r="S1701" s="6">
        <v>0</v>
      </c>
      <c r="T1701" s="6">
        <v>43</v>
      </c>
      <c r="U1701" s="6">
        <v>86</v>
      </c>
      <c r="V1701" s="6">
        <f>IF(ISERROR(VLOOKUP($S$1701,'TAR FIN'!$A$1:$O$120,15,0)),0,VLOOKUP($S$1701,'TAR FIN'!$A$1:$O$120,15,0))</f>
        <v>0</v>
      </c>
      <c r="W1701" s="6">
        <f>IF(ISERROR(VLOOKUP($T$1701,'TAR FIN'!$A$1:$O$120,15,0)),0,VLOOKUP($T$1701,'TAR FIN'!$A$1:$O$120,15,0))</f>
        <v>345.5</v>
      </c>
      <c r="X1701" s="6">
        <f>IF(ISERROR(VLOOKUP($U$1701,'TAR FIN'!$A$1:$O$120,15,0)),0,VLOOKUP($U$1701,'TAR FIN'!$A$1:$O$120,15,0))</f>
        <v>256.38</v>
      </c>
      <c r="Y1701" s="6"/>
      <c r="Z1701" s="6">
        <f ca="1">('TUSD BE'!$AM$53+'TUSD BF'!$AM$53+'TUSD CVA'!$AM$53)*1</f>
        <v>386.10985205084637</v>
      </c>
      <c r="AA1701" s="6">
        <f>('TE BE'!$AA$17+'TE BF'!$AA$17+'TE CVA'!$AA$17)*1</f>
        <v>230.83420940933817</v>
      </c>
      <c r="AB1701" s="6">
        <f>$K$1701*$V$1701</f>
        <v>0</v>
      </c>
      <c r="AC1701" s="6">
        <f>$M$1701*$W$1701</f>
        <v>4808.6689999999999</v>
      </c>
      <c r="AD1701" s="6">
        <f>$O$1701*$X$1701</f>
        <v>3568.29684</v>
      </c>
      <c r="AE1701" s="6">
        <f>$K$1701*$Y$1701</f>
        <v>0</v>
      </c>
      <c r="AF1701" s="6">
        <f ca="1">$M$1701*$Z$1701</f>
        <v>5373.8769208436797</v>
      </c>
      <c r="AG1701" s="6">
        <f>$O$1701*$AA$1701</f>
        <v>3212.7505265591685</v>
      </c>
    </row>
    <row r="1702" spans="1:33" ht="11.25" customHeight="1" x14ac:dyDescent="0.25">
      <c r="A1702" s="4" t="s">
        <v>27</v>
      </c>
      <c r="B1702" s="4" t="s">
        <v>22</v>
      </c>
      <c r="C1702" s="4" t="s">
        <v>37</v>
      </c>
      <c r="D1702" s="4" t="s">
        <v>24</v>
      </c>
      <c r="E1702" s="4" t="s">
        <v>24</v>
      </c>
      <c r="F1702" s="4" t="s">
        <v>25</v>
      </c>
      <c r="G1702" s="4" t="s">
        <v>25</v>
      </c>
      <c r="H1702" s="4" t="s">
        <v>38</v>
      </c>
      <c r="I1702" s="5">
        <v>43831</v>
      </c>
      <c r="J1702" s="6">
        <v>0</v>
      </c>
      <c r="K1702" s="6">
        <v>0</v>
      </c>
      <c r="L1702" s="6">
        <v>0.111</v>
      </c>
      <c r="M1702" s="6">
        <v>0.111</v>
      </c>
      <c r="N1702" s="6">
        <v>0.111</v>
      </c>
      <c r="O1702" s="6">
        <v>0.111</v>
      </c>
      <c r="P1702" s="6">
        <v>0</v>
      </c>
      <c r="Q1702" s="4" t="s">
        <v>26</v>
      </c>
      <c r="R1702" s="4">
        <v>0</v>
      </c>
      <c r="S1702" s="6">
        <v>0</v>
      </c>
      <c r="T1702" s="6">
        <v>43</v>
      </c>
      <c r="U1702" s="6">
        <v>86</v>
      </c>
      <c r="V1702" s="6">
        <f>IF(ISERROR(VLOOKUP($S$1702,'TAR FIN'!$A$1:$O$120,15,0)),0,VLOOKUP($S$1702,'TAR FIN'!$A$1:$O$120,15,0))</f>
        <v>0</v>
      </c>
      <c r="W1702" s="6">
        <f>IF(ISERROR(VLOOKUP($T$1702,'TAR FIN'!$A$1:$O$120,15,0)),0,VLOOKUP($T$1702,'TAR FIN'!$A$1:$O$120,15,0))</f>
        <v>345.5</v>
      </c>
      <c r="X1702" s="6">
        <f>IF(ISERROR(VLOOKUP($U$1702,'TAR FIN'!$A$1:$O$120,15,0)),0,VLOOKUP($U$1702,'TAR FIN'!$A$1:$O$120,15,0))</f>
        <v>256.38</v>
      </c>
      <c r="Y1702" s="6"/>
      <c r="Z1702" s="6">
        <f ca="1">('TUSD BE'!$AM$53+'TUSD BF'!$AM$53+'TUSD CVA'!$AM$53)*1</f>
        <v>386.10985205084637</v>
      </c>
      <c r="AA1702" s="6">
        <f>('TE BE'!$AA$17+'TE BF'!$AA$17+'TE CVA'!$AA$17)*1</f>
        <v>230.83420940933817</v>
      </c>
      <c r="AB1702" s="6">
        <f>$K$1702*$V$1702</f>
        <v>0</v>
      </c>
      <c r="AC1702" s="6">
        <f>$M$1702*$W$1702</f>
        <v>38.350500000000004</v>
      </c>
      <c r="AD1702" s="6">
        <f>$O$1702*$X$1702</f>
        <v>28.458179999999999</v>
      </c>
      <c r="AE1702" s="6">
        <f>$K$1702*$Y$1702</f>
        <v>0</v>
      </c>
      <c r="AF1702" s="6">
        <f ca="1">$M$1702*$Z$1702</f>
        <v>42.858193577643945</v>
      </c>
      <c r="AG1702" s="6">
        <f>$O$1702*$AA$1702</f>
        <v>25.622597244436538</v>
      </c>
    </row>
    <row r="1703" spans="1:33" ht="11.25" customHeight="1" x14ac:dyDescent="0.25">
      <c r="A1703" s="4" t="s">
        <v>28</v>
      </c>
      <c r="B1703" s="4" t="s">
        <v>22</v>
      </c>
      <c r="C1703" s="4" t="s">
        <v>37</v>
      </c>
      <c r="D1703" s="4" t="s">
        <v>24</v>
      </c>
      <c r="E1703" s="4" t="s">
        <v>24</v>
      </c>
      <c r="F1703" s="4" t="s">
        <v>25</v>
      </c>
      <c r="G1703" s="4" t="s">
        <v>25</v>
      </c>
      <c r="H1703" s="4" t="s">
        <v>38</v>
      </c>
      <c r="I1703" s="5">
        <v>43831</v>
      </c>
      <c r="J1703" s="6">
        <v>0</v>
      </c>
      <c r="K1703" s="6">
        <v>0</v>
      </c>
      <c r="L1703" s="6">
        <v>1.6E-2</v>
      </c>
      <c r="M1703" s="6">
        <v>1.6E-2</v>
      </c>
      <c r="N1703" s="6">
        <v>1.6E-2</v>
      </c>
      <c r="O1703" s="6">
        <v>1.6E-2</v>
      </c>
      <c r="P1703" s="6">
        <v>0</v>
      </c>
      <c r="Q1703" s="4" t="s">
        <v>26</v>
      </c>
      <c r="R1703" s="4">
        <v>0</v>
      </c>
      <c r="S1703" s="6">
        <v>0</v>
      </c>
      <c r="T1703" s="6">
        <v>43</v>
      </c>
      <c r="U1703" s="6">
        <v>86</v>
      </c>
      <c r="V1703" s="6">
        <f>IF(ISERROR(VLOOKUP($S$1703,'TAR FIN'!$A$1:$O$120,15,0)),0,VLOOKUP($S$1703,'TAR FIN'!$A$1:$O$120,15,0))</f>
        <v>0</v>
      </c>
      <c r="W1703" s="6">
        <f>IF(ISERROR(VLOOKUP($T$1703,'TAR FIN'!$A$1:$O$120,15,0)),0,VLOOKUP($T$1703,'TAR FIN'!$A$1:$O$120,15,0))</f>
        <v>345.5</v>
      </c>
      <c r="X1703" s="6">
        <f>IF(ISERROR(VLOOKUP($U$1703,'TAR FIN'!$A$1:$O$120,15,0)),0,VLOOKUP($U$1703,'TAR FIN'!$A$1:$O$120,15,0))</f>
        <v>256.38</v>
      </c>
      <c r="Y1703" s="6"/>
      <c r="Z1703" s="6">
        <f ca="1">('TUSD BE'!$AM$53+'TUSD BF'!$AM$53+'TUSD CVA'!$AM$53)*1</f>
        <v>386.10985205084637</v>
      </c>
      <c r="AA1703" s="6">
        <f>('TE BE'!$AA$17+'TE BF'!$AA$17+'TE CVA'!$AA$17)*1</f>
        <v>230.83420940933817</v>
      </c>
      <c r="AB1703" s="6">
        <f>$K$1703*$V$1703</f>
        <v>0</v>
      </c>
      <c r="AC1703" s="6">
        <f>$M$1703*$W$1703</f>
        <v>5.5280000000000005</v>
      </c>
      <c r="AD1703" s="6">
        <f>$O$1703*$X$1703</f>
        <v>4.1020799999999999</v>
      </c>
      <c r="AE1703" s="6">
        <f>$K$1703*$Y$1703</f>
        <v>0</v>
      </c>
      <c r="AF1703" s="6">
        <f ca="1">$M$1703*$Z$1703</f>
        <v>6.1777576328135417</v>
      </c>
      <c r="AG1703" s="6">
        <f>$O$1703*$AA$1703</f>
        <v>3.693347350549411</v>
      </c>
    </row>
    <row r="1704" spans="1:33" ht="11.25" customHeight="1" x14ac:dyDescent="0.25">
      <c r="A1704" s="4" t="s">
        <v>21</v>
      </c>
      <c r="B1704" s="4" t="s">
        <v>22</v>
      </c>
      <c r="C1704" s="4" t="s">
        <v>37</v>
      </c>
      <c r="D1704" s="4" t="s">
        <v>24</v>
      </c>
      <c r="E1704" s="4" t="s">
        <v>24</v>
      </c>
      <c r="F1704" s="4" t="s">
        <v>25</v>
      </c>
      <c r="G1704" s="4" t="s">
        <v>25</v>
      </c>
      <c r="H1704" s="4" t="s">
        <v>38</v>
      </c>
      <c r="I1704" s="5">
        <v>43862</v>
      </c>
      <c r="J1704" s="6">
        <v>0</v>
      </c>
      <c r="K1704" s="6">
        <v>0</v>
      </c>
      <c r="L1704" s="6">
        <v>13.444000000000001</v>
      </c>
      <c r="M1704" s="6">
        <v>13.444000000000001</v>
      </c>
      <c r="N1704" s="6">
        <v>13.444000000000001</v>
      </c>
      <c r="O1704" s="6">
        <v>13.444000000000001</v>
      </c>
      <c r="P1704" s="6">
        <v>0</v>
      </c>
      <c r="Q1704" s="4" t="s">
        <v>26</v>
      </c>
      <c r="R1704" s="4">
        <v>0</v>
      </c>
      <c r="S1704" s="6">
        <v>0</v>
      </c>
      <c r="T1704" s="6">
        <v>43</v>
      </c>
      <c r="U1704" s="6">
        <v>86</v>
      </c>
      <c r="V1704" s="6">
        <f>IF(ISERROR(VLOOKUP($S$1704,'TAR FIN'!$A$1:$O$120,15,0)),0,VLOOKUP($S$1704,'TAR FIN'!$A$1:$O$120,15,0))</f>
        <v>0</v>
      </c>
      <c r="W1704" s="6">
        <f>IF(ISERROR(VLOOKUP($T$1704,'TAR FIN'!$A$1:$O$120,15,0)),0,VLOOKUP($T$1704,'TAR FIN'!$A$1:$O$120,15,0))</f>
        <v>345.5</v>
      </c>
      <c r="X1704" s="6">
        <f>IF(ISERROR(VLOOKUP($U$1704,'TAR FIN'!$A$1:$O$120,15,0)),0,VLOOKUP($U$1704,'TAR FIN'!$A$1:$O$120,15,0))</f>
        <v>256.38</v>
      </c>
      <c r="Y1704" s="6"/>
      <c r="Z1704" s="6">
        <f ca="1">('TUSD BE'!$AM$53+'TUSD BF'!$AM$53+'TUSD CVA'!$AM$53)*1</f>
        <v>386.10985205084637</v>
      </c>
      <c r="AA1704" s="6">
        <f>('TE BE'!$AA$17+'TE BF'!$AA$17+'TE CVA'!$AA$17)*1</f>
        <v>230.83420940933817</v>
      </c>
      <c r="AB1704" s="6">
        <f>$K$1704*$V$1704</f>
        <v>0</v>
      </c>
      <c r="AC1704" s="6">
        <f>$M$1704*$W$1704</f>
        <v>4644.902</v>
      </c>
      <c r="AD1704" s="6">
        <f>$O$1704*$X$1704</f>
        <v>3446.7727199999999</v>
      </c>
      <c r="AE1704" s="6">
        <f>$K$1704*$Y$1704</f>
        <v>0</v>
      </c>
      <c r="AF1704" s="6">
        <f ca="1">$M$1704*$Z$1704</f>
        <v>5190.8608509715787</v>
      </c>
      <c r="AG1704" s="6">
        <f>$O$1704*$AA$1704</f>
        <v>3103.3351112991427</v>
      </c>
    </row>
    <row r="1705" spans="1:33" ht="11.25" customHeight="1" x14ac:dyDescent="0.25">
      <c r="A1705" s="4" t="s">
        <v>27</v>
      </c>
      <c r="B1705" s="4" t="s">
        <v>22</v>
      </c>
      <c r="C1705" s="4" t="s">
        <v>37</v>
      </c>
      <c r="D1705" s="4" t="s">
        <v>24</v>
      </c>
      <c r="E1705" s="4" t="s">
        <v>24</v>
      </c>
      <c r="F1705" s="4" t="s">
        <v>25</v>
      </c>
      <c r="G1705" s="4" t="s">
        <v>25</v>
      </c>
      <c r="H1705" s="4" t="s">
        <v>38</v>
      </c>
      <c r="I1705" s="5">
        <v>43862</v>
      </c>
      <c r="J1705" s="6">
        <v>0</v>
      </c>
      <c r="K1705" s="6">
        <v>0</v>
      </c>
      <c r="L1705" s="6">
        <v>0.19400000000000001</v>
      </c>
      <c r="M1705" s="6">
        <v>0.19400000000000001</v>
      </c>
      <c r="N1705" s="6">
        <v>0.19400000000000001</v>
      </c>
      <c r="O1705" s="6">
        <v>0.19400000000000001</v>
      </c>
      <c r="P1705" s="6">
        <v>0</v>
      </c>
      <c r="Q1705" s="4" t="s">
        <v>26</v>
      </c>
      <c r="R1705" s="4">
        <v>0</v>
      </c>
      <c r="S1705" s="6">
        <v>0</v>
      </c>
      <c r="T1705" s="6">
        <v>43</v>
      </c>
      <c r="U1705" s="6">
        <v>86</v>
      </c>
      <c r="V1705" s="6">
        <f>IF(ISERROR(VLOOKUP($S$1705,'TAR FIN'!$A$1:$O$120,15,0)),0,VLOOKUP($S$1705,'TAR FIN'!$A$1:$O$120,15,0))</f>
        <v>0</v>
      </c>
      <c r="W1705" s="6">
        <f>IF(ISERROR(VLOOKUP($T$1705,'TAR FIN'!$A$1:$O$120,15,0)),0,VLOOKUP($T$1705,'TAR FIN'!$A$1:$O$120,15,0))</f>
        <v>345.5</v>
      </c>
      <c r="X1705" s="6">
        <f>IF(ISERROR(VLOOKUP($U$1705,'TAR FIN'!$A$1:$O$120,15,0)),0,VLOOKUP($U$1705,'TAR FIN'!$A$1:$O$120,15,0))</f>
        <v>256.38</v>
      </c>
      <c r="Y1705" s="6"/>
      <c r="Z1705" s="6">
        <f ca="1">('TUSD BE'!$AM$53+'TUSD BF'!$AM$53+'TUSD CVA'!$AM$53)*1</f>
        <v>386.10985205084637</v>
      </c>
      <c r="AA1705" s="6">
        <f>('TE BE'!$AA$17+'TE BF'!$AA$17+'TE CVA'!$AA$17)*1</f>
        <v>230.83420940933817</v>
      </c>
      <c r="AB1705" s="6">
        <f>$K$1705*$V$1705</f>
        <v>0</v>
      </c>
      <c r="AC1705" s="6">
        <f>$M$1705*$W$1705</f>
        <v>67.027000000000001</v>
      </c>
      <c r="AD1705" s="6">
        <f>$O$1705*$X$1705</f>
        <v>49.737720000000003</v>
      </c>
      <c r="AE1705" s="6">
        <f>$K$1705*$Y$1705</f>
        <v>0</v>
      </c>
      <c r="AF1705" s="6">
        <f ca="1">$M$1705*$Z$1705</f>
        <v>74.905311297864202</v>
      </c>
      <c r="AG1705" s="6">
        <f>$O$1705*$AA$1705</f>
        <v>44.781836625411607</v>
      </c>
    </row>
    <row r="1706" spans="1:33" ht="11.25" customHeight="1" x14ac:dyDescent="0.25">
      <c r="A1706" s="4" t="s">
        <v>21</v>
      </c>
      <c r="B1706" s="4" t="s">
        <v>22</v>
      </c>
      <c r="C1706" s="4" t="s">
        <v>37</v>
      </c>
      <c r="D1706" s="4" t="s">
        <v>24</v>
      </c>
      <c r="E1706" s="4" t="s">
        <v>24</v>
      </c>
      <c r="F1706" s="4" t="s">
        <v>25</v>
      </c>
      <c r="G1706" s="4" t="s">
        <v>25</v>
      </c>
      <c r="H1706" s="4" t="s">
        <v>38</v>
      </c>
      <c r="I1706" s="5">
        <v>43891</v>
      </c>
      <c r="J1706" s="6">
        <v>0</v>
      </c>
      <c r="K1706" s="6">
        <v>0</v>
      </c>
      <c r="L1706" s="6">
        <v>12.813000000000001</v>
      </c>
      <c r="M1706" s="6">
        <v>12.813000000000001</v>
      </c>
      <c r="N1706" s="6">
        <v>12.813000000000001</v>
      </c>
      <c r="O1706" s="6">
        <v>12.813000000000001</v>
      </c>
      <c r="P1706" s="6">
        <v>0</v>
      </c>
      <c r="Q1706" s="4" t="s">
        <v>26</v>
      </c>
      <c r="R1706" s="4">
        <v>0</v>
      </c>
      <c r="S1706" s="6">
        <v>0</v>
      </c>
      <c r="T1706" s="6">
        <v>43</v>
      </c>
      <c r="U1706" s="6">
        <v>86</v>
      </c>
      <c r="V1706" s="6">
        <f>IF(ISERROR(VLOOKUP($S$1706,'TAR FIN'!$A$1:$O$120,15,0)),0,VLOOKUP($S$1706,'TAR FIN'!$A$1:$O$120,15,0))</f>
        <v>0</v>
      </c>
      <c r="W1706" s="6">
        <f>IF(ISERROR(VLOOKUP($T$1706,'TAR FIN'!$A$1:$O$120,15,0)),0,VLOOKUP($T$1706,'TAR FIN'!$A$1:$O$120,15,0))</f>
        <v>345.5</v>
      </c>
      <c r="X1706" s="6">
        <f>IF(ISERROR(VLOOKUP($U$1706,'TAR FIN'!$A$1:$O$120,15,0)),0,VLOOKUP($U$1706,'TAR FIN'!$A$1:$O$120,15,0))</f>
        <v>256.38</v>
      </c>
      <c r="Y1706" s="6"/>
      <c r="Z1706" s="6">
        <f ca="1">('TUSD BE'!$AM$53+'TUSD BF'!$AM$53+'TUSD CVA'!$AM$53)*1</f>
        <v>386.10985205084637</v>
      </c>
      <c r="AA1706" s="6">
        <f>('TE BE'!$AA$17+'TE BF'!$AA$17+'TE CVA'!$AA$17)*1</f>
        <v>230.83420940933817</v>
      </c>
      <c r="AB1706" s="6">
        <f>$K$1706*$V$1706</f>
        <v>0</v>
      </c>
      <c r="AC1706" s="6">
        <f>$M$1706*$W$1706</f>
        <v>4426.8915000000006</v>
      </c>
      <c r="AD1706" s="6">
        <f>$O$1706*$X$1706</f>
        <v>3284.99694</v>
      </c>
      <c r="AE1706" s="6">
        <f>$K$1706*$Y$1706</f>
        <v>0</v>
      </c>
      <c r="AF1706" s="6">
        <f ca="1">$M$1706*$Z$1706</f>
        <v>4947.2255343274946</v>
      </c>
      <c r="AG1706" s="6">
        <f>$O$1706*$AA$1706</f>
        <v>2957.6787251618503</v>
      </c>
    </row>
    <row r="1707" spans="1:33" ht="11.25" customHeight="1" x14ac:dyDescent="0.25">
      <c r="A1707" s="4" t="s">
        <v>27</v>
      </c>
      <c r="B1707" s="4" t="s">
        <v>22</v>
      </c>
      <c r="C1707" s="4" t="s">
        <v>37</v>
      </c>
      <c r="D1707" s="4" t="s">
        <v>24</v>
      </c>
      <c r="E1707" s="4" t="s">
        <v>24</v>
      </c>
      <c r="F1707" s="4" t="s">
        <v>25</v>
      </c>
      <c r="G1707" s="4" t="s">
        <v>25</v>
      </c>
      <c r="H1707" s="4" t="s">
        <v>38</v>
      </c>
      <c r="I1707" s="5">
        <v>43891</v>
      </c>
      <c r="J1707" s="6">
        <v>0</v>
      </c>
      <c r="K1707" s="6">
        <v>0</v>
      </c>
      <c r="L1707" s="6">
        <v>1.6E-2</v>
      </c>
      <c r="M1707" s="6">
        <v>1.6E-2</v>
      </c>
      <c r="N1707" s="6">
        <v>1.6E-2</v>
      </c>
      <c r="O1707" s="6">
        <v>1.6E-2</v>
      </c>
      <c r="P1707" s="6">
        <v>0</v>
      </c>
      <c r="Q1707" s="4" t="s">
        <v>26</v>
      </c>
      <c r="R1707" s="4">
        <v>0</v>
      </c>
      <c r="S1707" s="6">
        <v>0</v>
      </c>
      <c r="T1707" s="6">
        <v>43</v>
      </c>
      <c r="U1707" s="6">
        <v>86</v>
      </c>
      <c r="V1707" s="6">
        <f>IF(ISERROR(VLOOKUP($S$1707,'TAR FIN'!$A$1:$O$120,15,0)),0,VLOOKUP($S$1707,'TAR FIN'!$A$1:$O$120,15,0))</f>
        <v>0</v>
      </c>
      <c r="W1707" s="6">
        <f>IF(ISERROR(VLOOKUP($T$1707,'TAR FIN'!$A$1:$O$120,15,0)),0,VLOOKUP($T$1707,'TAR FIN'!$A$1:$O$120,15,0))</f>
        <v>345.5</v>
      </c>
      <c r="X1707" s="6">
        <f>IF(ISERROR(VLOOKUP($U$1707,'TAR FIN'!$A$1:$O$120,15,0)),0,VLOOKUP($U$1707,'TAR FIN'!$A$1:$O$120,15,0))</f>
        <v>256.38</v>
      </c>
      <c r="Y1707" s="6"/>
      <c r="Z1707" s="6">
        <f ca="1">('TUSD BE'!$AM$53+'TUSD BF'!$AM$53+'TUSD CVA'!$AM$53)*1</f>
        <v>386.10985205084637</v>
      </c>
      <c r="AA1707" s="6">
        <f>('TE BE'!$AA$17+'TE BF'!$AA$17+'TE CVA'!$AA$17)*1</f>
        <v>230.83420940933817</v>
      </c>
      <c r="AB1707" s="6">
        <f>$K$1707*$V$1707</f>
        <v>0</v>
      </c>
      <c r="AC1707" s="6">
        <f>$M$1707*$W$1707</f>
        <v>5.5280000000000005</v>
      </c>
      <c r="AD1707" s="6">
        <f>$O$1707*$X$1707</f>
        <v>4.1020799999999999</v>
      </c>
      <c r="AE1707" s="6">
        <f>$K$1707*$Y$1707</f>
        <v>0</v>
      </c>
      <c r="AF1707" s="6">
        <f ca="1">$M$1707*$Z$1707</f>
        <v>6.1777576328135417</v>
      </c>
      <c r="AG1707" s="6">
        <f>$O$1707*$AA$1707</f>
        <v>3.693347350549411</v>
      </c>
    </row>
    <row r="1708" spans="1:33" ht="11.25" customHeight="1" x14ac:dyDescent="0.25">
      <c r="A1708" s="4" t="s">
        <v>21</v>
      </c>
      <c r="B1708" s="4" t="s">
        <v>22</v>
      </c>
      <c r="C1708" s="4" t="s">
        <v>37</v>
      </c>
      <c r="D1708" s="4" t="s">
        <v>24</v>
      </c>
      <c r="E1708" s="4" t="s">
        <v>24</v>
      </c>
      <c r="F1708" s="4" t="s">
        <v>25</v>
      </c>
      <c r="G1708" s="4" t="s">
        <v>25</v>
      </c>
      <c r="H1708" s="4" t="s">
        <v>38</v>
      </c>
      <c r="I1708" s="5">
        <v>43922</v>
      </c>
      <c r="J1708" s="6">
        <v>0</v>
      </c>
      <c r="K1708" s="6">
        <v>0</v>
      </c>
      <c r="L1708" s="6">
        <v>13.818</v>
      </c>
      <c r="M1708" s="6">
        <v>13.818</v>
      </c>
      <c r="N1708" s="6">
        <v>13.818</v>
      </c>
      <c r="O1708" s="6">
        <v>13.818</v>
      </c>
      <c r="P1708" s="6">
        <v>0</v>
      </c>
      <c r="Q1708" s="4" t="s">
        <v>26</v>
      </c>
      <c r="R1708" s="4">
        <v>0</v>
      </c>
      <c r="S1708" s="6">
        <v>0</v>
      </c>
      <c r="T1708" s="6">
        <v>43</v>
      </c>
      <c r="U1708" s="6">
        <v>86</v>
      </c>
      <c r="V1708" s="6">
        <f>IF(ISERROR(VLOOKUP($S$1708,'TAR FIN'!$A$1:$O$120,15,0)),0,VLOOKUP($S$1708,'TAR FIN'!$A$1:$O$120,15,0))</f>
        <v>0</v>
      </c>
      <c r="W1708" s="6">
        <f>IF(ISERROR(VLOOKUP($T$1708,'TAR FIN'!$A$1:$O$120,15,0)),0,VLOOKUP($T$1708,'TAR FIN'!$A$1:$O$120,15,0))</f>
        <v>345.5</v>
      </c>
      <c r="X1708" s="6">
        <f>IF(ISERROR(VLOOKUP($U$1708,'TAR FIN'!$A$1:$O$120,15,0)),0,VLOOKUP($U$1708,'TAR FIN'!$A$1:$O$120,15,0))</f>
        <v>256.38</v>
      </c>
      <c r="Y1708" s="6"/>
      <c r="Z1708" s="6">
        <f ca="1">('TUSD BE'!$AM$53+'TUSD BF'!$AM$53+'TUSD CVA'!$AM$53)*1</f>
        <v>386.10985205084637</v>
      </c>
      <c r="AA1708" s="6">
        <f>('TE BE'!$AA$17+'TE BF'!$AA$17+'TE CVA'!$AA$17)*1</f>
        <v>230.83420940933817</v>
      </c>
      <c r="AB1708" s="6">
        <f>$K$1708*$V$1708</f>
        <v>0</v>
      </c>
      <c r="AC1708" s="6">
        <f>$M$1708*$W$1708</f>
        <v>4774.1189999999997</v>
      </c>
      <c r="AD1708" s="6">
        <f>$O$1708*$X$1708</f>
        <v>3542.6588400000001</v>
      </c>
      <c r="AE1708" s="6">
        <f>$K$1708*$Y$1708</f>
        <v>0</v>
      </c>
      <c r="AF1708" s="6">
        <f ca="1">$M$1708*$Z$1708</f>
        <v>5335.2659356385948</v>
      </c>
      <c r="AG1708" s="6">
        <f>$O$1708*$AA$1708</f>
        <v>3189.6671056182349</v>
      </c>
    </row>
    <row r="1709" spans="1:33" ht="11.25" customHeight="1" x14ac:dyDescent="0.25">
      <c r="A1709" s="4" t="s">
        <v>27</v>
      </c>
      <c r="B1709" s="4" t="s">
        <v>22</v>
      </c>
      <c r="C1709" s="4" t="s">
        <v>37</v>
      </c>
      <c r="D1709" s="4" t="s">
        <v>24</v>
      </c>
      <c r="E1709" s="4" t="s">
        <v>24</v>
      </c>
      <c r="F1709" s="4" t="s">
        <v>25</v>
      </c>
      <c r="G1709" s="4" t="s">
        <v>25</v>
      </c>
      <c r="H1709" s="4" t="s">
        <v>38</v>
      </c>
      <c r="I1709" s="5">
        <v>43922</v>
      </c>
      <c r="J1709" s="6">
        <v>0</v>
      </c>
      <c r="K1709" s="6">
        <v>0</v>
      </c>
      <c r="L1709" s="6">
        <v>4.5999999999999999E-2</v>
      </c>
      <c r="M1709" s="6">
        <v>4.5999999999999999E-2</v>
      </c>
      <c r="N1709" s="6">
        <v>4.5999999999999999E-2</v>
      </c>
      <c r="O1709" s="6">
        <v>4.5999999999999999E-2</v>
      </c>
      <c r="P1709" s="6">
        <v>0</v>
      </c>
      <c r="Q1709" s="4" t="s">
        <v>26</v>
      </c>
      <c r="R1709" s="4">
        <v>0</v>
      </c>
      <c r="S1709" s="6">
        <v>0</v>
      </c>
      <c r="T1709" s="6">
        <v>43</v>
      </c>
      <c r="U1709" s="6">
        <v>86</v>
      </c>
      <c r="V1709" s="6">
        <f>IF(ISERROR(VLOOKUP($S$1709,'TAR FIN'!$A$1:$O$120,15,0)),0,VLOOKUP($S$1709,'TAR FIN'!$A$1:$O$120,15,0))</f>
        <v>0</v>
      </c>
      <c r="W1709" s="6">
        <f>IF(ISERROR(VLOOKUP($T$1709,'TAR FIN'!$A$1:$O$120,15,0)),0,VLOOKUP($T$1709,'TAR FIN'!$A$1:$O$120,15,0))</f>
        <v>345.5</v>
      </c>
      <c r="X1709" s="6">
        <f>IF(ISERROR(VLOOKUP($U$1709,'TAR FIN'!$A$1:$O$120,15,0)),0,VLOOKUP($U$1709,'TAR FIN'!$A$1:$O$120,15,0))</f>
        <v>256.38</v>
      </c>
      <c r="Y1709" s="6"/>
      <c r="Z1709" s="6">
        <f ca="1">('TUSD BE'!$AM$53+'TUSD BF'!$AM$53+'TUSD CVA'!$AM$53)*1</f>
        <v>386.10985205084637</v>
      </c>
      <c r="AA1709" s="6">
        <f>('TE BE'!$AA$17+'TE BF'!$AA$17+'TE CVA'!$AA$17)*1</f>
        <v>230.83420940933817</v>
      </c>
      <c r="AB1709" s="6">
        <f>$K$1709*$V$1709</f>
        <v>0</v>
      </c>
      <c r="AC1709" s="6">
        <f>$M$1709*$W$1709</f>
        <v>15.892999999999999</v>
      </c>
      <c r="AD1709" s="6">
        <f>$O$1709*$X$1709</f>
        <v>11.793479999999999</v>
      </c>
      <c r="AE1709" s="6">
        <f>$K$1709*$Y$1709</f>
        <v>0</v>
      </c>
      <c r="AF1709" s="6">
        <f ca="1">$M$1709*$Z$1709</f>
        <v>17.761053194338931</v>
      </c>
      <c r="AG1709" s="6">
        <f>$O$1709*$AA$1709</f>
        <v>10.618373632829556</v>
      </c>
    </row>
    <row r="1710" spans="1:33" ht="11.25" customHeight="1" x14ac:dyDescent="0.25">
      <c r="A1710" s="4" t="s">
        <v>21</v>
      </c>
      <c r="B1710" s="4" t="s">
        <v>22</v>
      </c>
      <c r="C1710" s="4" t="s">
        <v>37</v>
      </c>
      <c r="D1710" s="4" t="s">
        <v>24</v>
      </c>
      <c r="E1710" s="4" t="s">
        <v>24</v>
      </c>
      <c r="F1710" s="4" t="s">
        <v>25</v>
      </c>
      <c r="G1710" s="4" t="s">
        <v>25</v>
      </c>
      <c r="H1710" s="4" t="s">
        <v>38</v>
      </c>
      <c r="I1710" s="5">
        <v>43952</v>
      </c>
      <c r="J1710" s="6">
        <v>0</v>
      </c>
      <c r="K1710" s="6">
        <v>0</v>
      </c>
      <c r="L1710" s="6">
        <v>12.731</v>
      </c>
      <c r="M1710" s="6">
        <v>12.731</v>
      </c>
      <c r="N1710" s="6">
        <v>12.731</v>
      </c>
      <c r="O1710" s="6">
        <v>12.731</v>
      </c>
      <c r="P1710" s="6">
        <v>0</v>
      </c>
      <c r="Q1710" s="4" t="s">
        <v>26</v>
      </c>
      <c r="R1710" s="4">
        <v>0</v>
      </c>
      <c r="S1710" s="6">
        <v>0</v>
      </c>
      <c r="T1710" s="6">
        <v>43</v>
      </c>
      <c r="U1710" s="6">
        <v>86</v>
      </c>
      <c r="V1710" s="6">
        <f>IF(ISERROR(VLOOKUP($S$1710,'TAR FIN'!$A$1:$O$120,15,0)),0,VLOOKUP($S$1710,'TAR FIN'!$A$1:$O$120,15,0))</f>
        <v>0</v>
      </c>
      <c r="W1710" s="6">
        <f>IF(ISERROR(VLOOKUP($T$1710,'TAR FIN'!$A$1:$O$120,15,0)),0,VLOOKUP($T$1710,'TAR FIN'!$A$1:$O$120,15,0))</f>
        <v>345.5</v>
      </c>
      <c r="X1710" s="6">
        <f>IF(ISERROR(VLOOKUP($U$1710,'TAR FIN'!$A$1:$O$120,15,0)),0,VLOOKUP($U$1710,'TAR FIN'!$A$1:$O$120,15,0))</f>
        <v>256.38</v>
      </c>
      <c r="Y1710" s="6"/>
      <c r="Z1710" s="6">
        <f ca="1">('TUSD BE'!$AM$53+'TUSD BF'!$AM$53+'TUSD CVA'!$AM$53)*1</f>
        <v>386.10985205084637</v>
      </c>
      <c r="AA1710" s="6">
        <f>('TE BE'!$AA$17+'TE BF'!$AA$17+'TE CVA'!$AA$17)*1</f>
        <v>230.83420940933817</v>
      </c>
      <c r="AB1710" s="6">
        <f>$K$1710*$V$1710</f>
        <v>0</v>
      </c>
      <c r="AC1710" s="6">
        <f>$M$1710*$W$1710</f>
        <v>4398.5604999999996</v>
      </c>
      <c r="AD1710" s="6">
        <f>$O$1710*$X$1710</f>
        <v>3263.9737799999998</v>
      </c>
      <c r="AE1710" s="6">
        <f>$K$1710*$Y$1710</f>
        <v>0</v>
      </c>
      <c r="AF1710" s="6">
        <f ca="1">$M$1710*$Z$1710</f>
        <v>4915.564526459325</v>
      </c>
      <c r="AG1710" s="6">
        <f>$O$1710*$AA$1710</f>
        <v>2938.7503199902844</v>
      </c>
    </row>
    <row r="1711" spans="1:33" ht="11.25" customHeight="1" x14ac:dyDescent="0.25">
      <c r="A1711" s="4" t="s">
        <v>27</v>
      </c>
      <c r="B1711" s="4" t="s">
        <v>22</v>
      </c>
      <c r="C1711" s="4" t="s">
        <v>37</v>
      </c>
      <c r="D1711" s="4" t="s">
        <v>24</v>
      </c>
      <c r="E1711" s="4" t="s">
        <v>24</v>
      </c>
      <c r="F1711" s="4" t="s">
        <v>25</v>
      </c>
      <c r="G1711" s="4" t="s">
        <v>25</v>
      </c>
      <c r="H1711" s="4" t="s">
        <v>38</v>
      </c>
      <c r="I1711" s="5">
        <v>43952</v>
      </c>
      <c r="J1711" s="6">
        <v>0</v>
      </c>
      <c r="K1711" s="6">
        <v>0</v>
      </c>
      <c r="L1711" s="6">
        <v>0.186</v>
      </c>
      <c r="M1711" s="6">
        <v>0.186</v>
      </c>
      <c r="N1711" s="6">
        <v>0.186</v>
      </c>
      <c r="O1711" s="6">
        <v>0.186</v>
      </c>
      <c r="P1711" s="6">
        <v>0</v>
      </c>
      <c r="Q1711" s="4" t="s">
        <v>26</v>
      </c>
      <c r="R1711" s="4">
        <v>0</v>
      </c>
      <c r="S1711" s="6">
        <v>0</v>
      </c>
      <c r="T1711" s="6">
        <v>43</v>
      </c>
      <c r="U1711" s="6">
        <v>86</v>
      </c>
      <c r="V1711" s="6">
        <f>IF(ISERROR(VLOOKUP($S$1711,'TAR FIN'!$A$1:$O$120,15,0)),0,VLOOKUP($S$1711,'TAR FIN'!$A$1:$O$120,15,0))</f>
        <v>0</v>
      </c>
      <c r="W1711" s="6">
        <f>IF(ISERROR(VLOOKUP($T$1711,'TAR FIN'!$A$1:$O$120,15,0)),0,VLOOKUP($T$1711,'TAR FIN'!$A$1:$O$120,15,0))</f>
        <v>345.5</v>
      </c>
      <c r="X1711" s="6">
        <f>IF(ISERROR(VLOOKUP($U$1711,'TAR FIN'!$A$1:$O$120,15,0)),0,VLOOKUP($U$1711,'TAR FIN'!$A$1:$O$120,15,0))</f>
        <v>256.38</v>
      </c>
      <c r="Y1711" s="6"/>
      <c r="Z1711" s="6">
        <f ca="1">('TUSD BE'!$AM$53+'TUSD BF'!$AM$53+'TUSD CVA'!$AM$53)*1</f>
        <v>386.10985205084637</v>
      </c>
      <c r="AA1711" s="6">
        <f>('TE BE'!$AA$17+'TE BF'!$AA$17+'TE CVA'!$AA$17)*1</f>
        <v>230.83420940933817</v>
      </c>
      <c r="AB1711" s="6">
        <f>$K$1711*$V$1711</f>
        <v>0</v>
      </c>
      <c r="AC1711" s="6">
        <f>$M$1711*$W$1711</f>
        <v>64.263000000000005</v>
      </c>
      <c r="AD1711" s="6">
        <f>$O$1711*$X$1711</f>
        <v>47.686679999999996</v>
      </c>
      <c r="AE1711" s="6">
        <f>$K$1711*$Y$1711</f>
        <v>0</v>
      </c>
      <c r="AF1711" s="6">
        <f ca="1">$M$1711*$Z$1711</f>
        <v>71.816432481457426</v>
      </c>
      <c r="AG1711" s="6">
        <f>$O$1711*$AA$1711</f>
        <v>42.935162950136899</v>
      </c>
    </row>
    <row r="1712" spans="1:33" ht="11.25" customHeight="1" x14ac:dyDescent="0.25">
      <c r="A1712" s="4" t="s">
        <v>21</v>
      </c>
      <c r="B1712" s="4" t="s">
        <v>22</v>
      </c>
      <c r="C1712" s="4" t="s">
        <v>37</v>
      </c>
      <c r="D1712" s="4" t="s">
        <v>24</v>
      </c>
      <c r="E1712" s="4" t="s">
        <v>24</v>
      </c>
      <c r="F1712" s="4" t="s">
        <v>25</v>
      </c>
      <c r="G1712" s="4" t="s">
        <v>25</v>
      </c>
      <c r="H1712" s="4" t="s">
        <v>38</v>
      </c>
      <c r="I1712" s="5">
        <v>43983</v>
      </c>
      <c r="J1712" s="6">
        <v>0</v>
      </c>
      <c r="K1712" s="6">
        <v>0</v>
      </c>
      <c r="L1712" s="6">
        <v>11.597</v>
      </c>
      <c r="M1712" s="6">
        <v>11.597</v>
      </c>
      <c r="N1712" s="6">
        <v>11.597</v>
      </c>
      <c r="O1712" s="6">
        <v>11.597</v>
      </c>
      <c r="P1712" s="6">
        <v>0</v>
      </c>
      <c r="Q1712" s="4" t="s">
        <v>26</v>
      </c>
      <c r="R1712" s="4">
        <v>0</v>
      </c>
      <c r="S1712" s="6">
        <v>0</v>
      </c>
      <c r="T1712" s="6">
        <v>43</v>
      </c>
      <c r="U1712" s="6">
        <v>86</v>
      </c>
      <c r="V1712" s="6">
        <f>IF(ISERROR(VLOOKUP($S$1712,'TAR FIN'!$A$1:$O$120,15,0)),0,VLOOKUP($S$1712,'TAR FIN'!$A$1:$O$120,15,0))</f>
        <v>0</v>
      </c>
      <c r="W1712" s="6">
        <f>IF(ISERROR(VLOOKUP($T$1712,'TAR FIN'!$A$1:$O$120,15,0)),0,VLOOKUP($T$1712,'TAR FIN'!$A$1:$O$120,15,0))</f>
        <v>345.5</v>
      </c>
      <c r="X1712" s="6">
        <f>IF(ISERROR(VLOOKUP($U$1712,'TAR FIN'!$A$1:$O$120,15,0)),0,VLOOKUP($U$1712,'TAR FIN'!$A$1:$O$120,15,0))</f>
        <v>256.38</v>
      </c>
      <c r="Y1712" s="6"/>
      <c r="Z1712" s="6">
        <f ca="1">('TUSD BE'!$AM$53+'TUSD BF'!$AM$53+'TUSD CVA'!$AM$53)*1</f>
        <v>386.10985205084637</v>
      </c>
      <c r="AA1712" s="6">
        <f>('TE BE'!$AA$17+'TE BF'!$AA$17+'TE CVA'!$AA$17)*1</f>
        <v>230.83420940933817</v>
      </c>
      <c r="AB1712" s="6">
        <f>$K$1712*$V$1712</f>
        <v>0</v>
      </c>
      <c r="AC1712" s="6">
        <f>$M$1712*$W$1712</f>
        <v>4006.7635</v>
      </c>
      <c r="AD1712" s="6">
        <f>$O$1712*$X$1712</f>
        <v>2973.2388599999999</v>
      </c>
      <c r="AE1712" s="6">
        <f>$K$1712*$Y$1712</f>
        <v>0</v>
      </c>
      <c r="AF1712" s="6">
        <f ca="1">$M$1712*$Z$1712</f>
        <v>4477.7159542336649</v>
      </c>
      <c r="AG1712" s="6">
        <f>$O$1712*$AA$1712</f>
        <v>2676.9843265200948</v>
      </c>
    </row>
    <row r="1713" spans="1:33" ht="11.25" customHeight="1" x14ac:dyDescent="0.25">
      <c r="A1713" s="4" t="s">
        <v>27</v>
      </c>
      <c r="B1713" s="4" t="s">
        <v>22</v>
      </c>
      <c r="C1713" s="4" t="s">
        <v>37</v>
      </c>
      <c r="D1713" s="4" t="s">
        <v>24</v>
      </c>
      <c r="E1713" s="4" t="s">
        <v>24</v>
      </c>
      <c r="F1713" s="4" t="s">
        <v>25</v>
      </c>
      <c r="G1713" s="4" t="s">
        <v>25</v>
      </c>
      <c r="H1713" s="4" t="s">
        <v>38</v>
      </c>
      <c r="I1713" s="5">
        <v>43983</v>
      </c>
      <c r="J1713" s="6">
        <v>0</v>
      </c>
      <c r="K1713" s="6">
        <v>0</v>
      </c>
      <c r="L1713" s="6">
        <v>0.14299999999999999</v>
      </c>
      <c r="M1713" s="6">
        <v>0.14299999999999999</v>
      </c>
      <c r="N1713" s="6">
        <v>0.14299999999999999</v>
      </c>
      <c r="O1713" s="6">
        <v>0.14299999999999999</v>
      </c>
      <c r="P1713" s="6">
        <v>0</v>
      </c>
      <c r="Q1713" s="4" t="s">
        <v>26</v>
      </c>
      <c r="R1713" s="4">
        <v>0</v>
      </c>
      <c r="S1713" s="6">
        <v>0</v>
      </c>
      <c r="T1713" s="6">
        <v>43</v>
      </c>
      <c r="U1713" s="6">
        <v>86</v>
      </c>
      <c r="V1713" s="6">
        <f>IF(ISERROR(VLOOKUP($S$1713,'TAR FIN'!$A$1:$O$120,15,0)),0,VLOOKUP($S$1713,'TAR FIN'!$A$1:$O$120,15,0))</f>
        <v>0</v>
      </c>
      <c r="W1713" s="6">
        <f>IF(ISERROR(VLOOKUP($T$1713,'TAR FIN'!$A$1:$O$120,15,0)),0,VLOOKUP($T$1713,'TAR FIN'!$A$1:$O$120,15,0))</f>
        <v>345.5</v>
      </c>
      <c r="X1713" s="6">
        <f>IF(ISERROR(VLOOKUP($U$1713,'TAR FIN'!$A$1:$O$120,15,0)),0,VLOOKUP($U$1713,'TAR FIN'!$A$1:$O$120,15,0))</f>
        <v>256.38</v>
      </c>
      <c r="Y1713" s="6"/>
      <c r="Z1713" s="6">
        <f ca="1">('TUSD BE'!$AM$53+'TUSD BF'!$AM$53+'TUSD CVA'!$AM$53)*1</f>
        <v>386.10985205084637</v>
      </c>
      <c r="AA1713" s="6">
        <f>('TE BE'!$AA$17+'TE BF'!$AA$17+'TE CVA'!$AA$17)*1</f>
        <v>230.83420940933817</v>
      </c>
      <c r="AB1713" s="6">
        <f>$K$1713*$V$1713</f>
        <v>0</v>
      </c>
      <c r="AC1713" s="6">
        <f>$M$1713*$W$1713</f>
        <v>49.406499999999994</v>
      </c>
      <c r="AD1713" s="6">
        <f>$O$1713*$X$1713</f>
        <v>36.662339999999993</v>
      </c>
      <c r="AE1713" s="6">
        <f>$K$1713*$Y$1713</f>
        <v>0</v>
      </c>
      <c r="AF1713" s="6">
        <f ca="1">$M$1713*$Z$1713</f>
        <v>55.213708843271029</v>
      </c>
      <c r="AG1713" s="6">
        <f>$O$1713*$AA$1713</f>
        <v>33.009291945535352</v>
      </c>
    </row>
    <row r="1714" spans="1:33" ht="11.25" customHeight="1" x14ac:dyDescent="0.25">
      <c r="A1714" s="4" t="s">
        <v>21</v>
      </c>
      <c r="B1714" s="4" t="s">
        <v>22</v>
      </c>
      <c r="C1714" s="4" t="s">
        <v>37</v>
      </c>
      <c r="D1714" s="4" t="s">
        <v>24</v>
      </c>
      <c r="E1714" s="4" t="s">
        <v>24</v>
      </c>
      <c r="F1714" s="4" t="s">
        <v>25</v>
      </c>
      <c r="G1714" s="4" t="s">
        <v>25</v>
      </c>
      <c r="H1714" s="4" t="s">
        <v>38</v>
      </c>
      <c r="I1714" s="5">
        <v>44013</v>
      </c>
      <c r="J1714" s="6">
        <v>0</v>
      </c>
      <c r="K1714" s="6">
        <v>0</v>
      </c>
      <c r="L1714" s="6">
        <v>13.442</v>
      </c>
      <c r="M1714" s="6">
        <v>13.442</v>
      </c>
      <c r="N1714" s="6">
        <v>13.442</v>
      </c>
      <c r="O1714" s="6">
        <v>13.442</v>
      </c>
      <c r="P1714" s="6">
        <v>0</v>
      </c>
      <c r="Q1714" s="4" t="s">
        <v>26</v>
      </c>
      <c r="R1714" s="4">
        <v>0</v>
      </c>
      <c r="S1714" s="6">
        <v>0</v>
      </c>
      <c r="T1714" s="6">
        <v>43</v>
      </c>
      <c r="U1714" s="6">
        <v>86</v>
      </c>
      <c r="V1714" s="6">
        <f>IF(ISERROR(VLOOKUP($S$1714,'TAR FIN'!$A$1:$O$120,15,0)),0,VLOOKUP($S$1714,'TAR FIN'!$A$1:$O$120,15,0))</f>
        <v>0</v>
      </c>
      <c r="W1714" s="6">
        <f>IF(ISERROR(VLOOKUP($T$1714,'TAR FIN'!$A$1:$O$120,15,0)),0,VLOOKUP($T$1714,'TAR FIN'!$A$1:$O$120,15,0))</f>
        <v>345.5</v>
      </c>
      <c r="X1714" s="6">
        <f>IF(ISERROR(VLOOKUP($U$1714,'TAR FIN'!$A$1:$O$120,15,0)),0,VLOOKUP($U$1714,'TAR FIN'!$A$1:$O$120,15,0))</f>
        <v>256.38</v>
      </c>
      <c r="Y1714" s="6"/>
      <c r="Z1714" s="6">
        <f ca="1">('TUSD BE'!$AM$53+'TUSD BF'!$AM$53+'TUSD CVA'!$AM$53)*1</f>
        <v>386.10985205084637</v>
      </c>
      <c r="AA1714" s="6">
        <f>('TE BE'!$AA$17+'TE BF'!$AA$17+'TE CVA'!$AA$17)*1</f>
        <v>230.83420940933817</v>
      </c>
      <c r="AB1714" s="6">
        <f>$K$1714*$V$1714</f>
        <v>0</v>
      </c>
      <c r="AC1714" s="6">
        <f>$M$1714*$W$1714</f>
        <v>4644.2110000000002</v>
      </c>
      <c r="AD1714" s="6">
        <f>$O$1714*$X$1714</f>
        <v>3446.2599599999999</v>
      </c>
      <c r="AE1714" s="6">
        <f>$K$1714*$Y$1714</f>
        <v>0</v>
      </c>
      <c r="AF1714" s="6">
        <f ca="1">$M$1714*$Z$1714</f>
        <v>5190.0886312674766</v>
      </c>
      <c r="AG1714" s="6">
        <f>$O$1714*$AA$1714</f>
        <v>3102.8734428803236</v>
      </c>
    </row>
    <row r="1715" spans="1:33" ht="11.25" customHeight="1" x14ac:dyDescent="0.25">
      <c r="A1715" s="4" t="s">
        <v>27</v>
      </c>
      <c r="B1715" s="4" t="s">
        <v>22</v>
      </c>
      <c r="C1715" s="4" t="s">
        <v>37</v>
      </c>
      <c r="D1715" s="4" t="s">
        <v>24</v>
      </c>
      <c r="E1715" s="4" t="s">
        <v>24</v>
      </c>
      <c r="F1715" s="4" t="s">
        <v>25</v>
      </c>
      <c r="G1715" s="4" t="s">
        <v>25</v>
      </c>
      <c r="H1715" s="4" t="s">
        <v>38</v>
      </c>
      <c r="I1715" s="5">
        <v>44013</v>
      </c>
      <c r="J1715" s="6">
        <v>0</v>
      </c>
      <c r="K1715" s="6">
        <v>0</v>
      </c>
      <c r="L1715" s="6">
        <v>0.158</v>
      </c>
      <c r="M1715" s="6">
        <v>0.158</v>
      </c>
      <c r="N1715" s="6">
        <v>0.158</v>
      </c>
      <c r="O1715" s="6">
        <v>0.158</v>
      </c>
      <c r="P1715" s="6">
        <v>0</v>
      </c>
      <c r="Q1715" s="4" t="s">
        <v>26</v>
      </c>
      <c r="R1715" s="4">
        <v>0</v>
      </c>
      <c r="S1715" s="6">
        <v>0</v>
      </c>
      <c r="T1715" s="6">
        <v>43</v>
      </c>
      <c r="U1715" s="6">
        <v>86</v>
      </c>
      <c r="V1715" s="6">
        <f>IF(ISERROR(VLOOKUP($S$1715,'TAR FIN'!$A$1:$O$120,15,0)),0,VLOOKUP($S$1715,'TAR FIN'!$A$1:$O$120,15,0))</f>
        <v>0</v>
      </c>
      <c r="W1715" s="6">
        <f>IF(ISERROR(VLOOKUP($T$1715,'TAR FIN'!$A$1:$O$120,15,0)),0,VLOOKUP($T$1715,'TAR FIN'!$A$1:$O$120,15,0))</f>
        <v>345.5</v>
      </c>
      <c r="X1715" s="6">
        <f>IF(ISERROR(VLOOKUP($U$1715,'TAR FIN'!$A$1:$O$120,15,0)),0,VLOOKUP($U$1715,'TAR FIN'!$A$1:$O$120,15,0))</f>
        <v>256.38</v>
      </c>
      <c r="Y1715" s="6"/>
      <c r="Z1715" s="6">
        <f ca="1">('TUSD BE'!$AM$53+'TUSD BF'!$AM$53+'TUSD CVA'!$AM$53)*1</f>
        <v>386.10985205084637</v>
      </c>
      <c r="AA1715" s="6">
        <f>('TE BE'!$AA$17+'TE BF'!$AA$17+'TE CVA'!$AA$17)*1</f>
        <v>230.83420940933817</v>
      </c>
      <c r="AB1715" s="6">
        <f>$K$1715*$V$1715</f>
        <v>0</v>
      </c>
      <c r="AC1715" s="6">
        <f>$M$1715*$W$1715</f>
        <v>54.588999999999999</v>
      </c>
      <c r="AD1715" s="6">
        <f>$O$1715*$X$1715</f>
        <v>40.508040000000001</v>
      </c>
      <c r="AE1715" s="6">
        <f>$K$1715*$Y$1715</f>
        <v>0</v>
      </c>
      <c r="AF1715" s="6">
        <f ca="1">$M$1715*$Z$1715</f>
        <v>61.00535662403373</v>
      </c>
      <c r="AG1715" s="6">
        <f>$O$1715*$AA$1715</f>
        <v>36.471805086675431</v>
      </c>
    </row>
    <row r="1716" spans="1:33" ht="11.25" customHeight="1" x14ac:dyDescent="0.25">
      <c r="A1716" s="4" t="s">
        <v>21</v>
      </c>
      <c r="B1716" s="4" t="s">
        <v>22</v>
      </c>
      <c r="C1716" s="4" t="s">
        <v>37</v>
      </c>
      <c r="D1716" s="4" t="s">
        <v>24</v>
      </c>
      <c r="E1716" s="4" t="s">
        <v>24</v>
      </c>
      <c r="F1716" s="4" t="s">
        <v>25</v>
      </c>
      <c r="G1716" s="4" t="s">
        <v>25</v>
      </c>
      <c r="H1716" s="4" t="s">
        <v>38</v>
      </c>
      <c r="I1716" s="5">
        <v>44044</v>
      </c>
      <c r="J1716" s="6">
        <v>0</v>
      </c>
      <c r="K1716" s="6">
        <v>0</v>
      </c>
      <c r="L1716" s="6">
        <v>15.189</v>
      </c>
      <c r="M1716" s="6">
        <v>15.189</v>
      </c>
      <c r="N1716" s="6">
        <v>15.189</v>
      </c>
      <c r="O1716" s="6">
        <v>15.189</v>
      </c>
      <c r="P1716" s="6">
        <v>0</v>
      </c>
      <c r="Q1716" s="4" t="s">
        <v>26</v>
      </c>
      <c r="R1716" s="4">
        <v>0</v>
      </c>
      <c r="S1716" s="6">
        <v>0</v>
      </c>
      <c r="T1716" s="6">
        <v>43</v>
      </c>
      <c r="U1716" s="6">
        <v>86</v>
      </c>
      <c r="V1716" s="6">
        <f>IF(ISERROR(VLOOKUP($S$1716,'TAR FIN'!$A$1:$O$120,15,0)),0,VLOOKUP($S$1716,'TAR FIN'!$A$1:$O$120,15,0))</f>
        <v>0</v>
      </c>
      <c r="W1716" s="6">
        <f>IF(ISERROR(VLOOKUP($T$1716,'TAR FIN'!$A$1:$O$120,15,0)),0,VLOOKUP($T$1716,'TAR FIN'!$A$1:$O$120,15,0))</f>
        <v>345.5</v>
      </c>
      <c r="X1716" s="6">
        <f>IF(ISERROR(VLOOKUP($U$1716,'TAR FIN'!$A$1:$O$120,15,0)),0,VLOOKUP($U$1716,'TAR FIN'!$A$1:$O$120,15,0))</f>
        <v>256.38</v>
      </c>
      <c r="Y1716" s="6"/>
      <c r="Z1716" s="6">
        <f ca="1">('TUSD BE'!$AM$53+'TUSD BF'!$AM$53+'TUSD CVA'!$AM$53)*1</f>
        <v>386.10985205084637</v>
      </c>
      <c r="AA1716" s="6">
        <f>('TE BE'!$AA$17+'TE BF'!$AA$17+'TE CVA'!$AA$17)*1</f>
        <v>230.83420940933817</v>
      </c>
      <c r="AB1716" s="6">
        <f>$K$1716*$V$1716</f>
        <v>0</v>
      </c>
      <c r="AC1716" s="6">
        <f>$M$1716*$W$1716</f>
        <v>5247.7995000000001</v>
      </c>
      <c r="AD1716" s="6">
        <f>$O$1716*$X$1716</f>
        <v>3894.1558199999999</v>
      </c>
      <c r="AE1716" s="6">
        <f>$K$1716*$Y$1716</f>
        <v>0</v>
      </c>
      <c r="AF1716" s="6">
        <f ca="1">$M$1716*$Z$1716</f>
        <v>5864.6225428003054</v>
      </c>
      <c r="AG1716" s="6">
        <f>$O$1716*$AA$1716</f>
        <v>3506.1408067184375</v>
      </c>
    </row>
    <row r="1717" spans="1:33" ht="11.25" customHeight="1" x14ac:dyDescent="0.25">
      <c r="A1717" s="4" t="s">
        <v>27</v>
      </c>
      <c r="B1717" s="4" t="s">
        <v>22</v>
      </c>
      <c r="C1717" s="4" t="s">
        <v>37</v>
      </c>
      <c r="D1717" s="4" t="s">
        <v>24</v>
      </c>
      <c r="E1717" s="4" t="s">
        <v>24</v>
      </c>
      <c r="F1717" s="4" t="s">
        <v>25</v>
      </c>
      <c r="G1717" s="4" t="s">
        <v>25</v>
      </c>
      <c r="H1717" s="4" t="s">
        <v>38</v>
      </c>
      <c r="I1717" s="5">
        <v>44044</v>
      </c>
      <c r="J1717" s="6">
        <v>0</v>
      </c>
      <c r="K1717" s="6">
        <v>0</v>
      </c>
      <c r="L1717" s="6">
        <v>0.129</v>
      </c>
      <c r="M1717" s="6">
        <v>0.129</v>
      </c>
      <c r="N1717" s="6">
        <v>0.129</v>
      </c>
      <c r="O1717" s="6">
        <v>0.129</v>
      </c>
      <c r="P1717" s="6">
        <v>0</v>
      </c>
      <c r="Q1717" s="4" t="s">
        <v>26</v>
      </c>
      <c r="R1717" s="4">
        <v>0</v>
      </c>
      <c r="S1717" s="6">
        <v>0</v>
      </c>
      <c r="T1717" s="6">
        <v>43</v>
      </c>
      <c r="U1717" s="6">
        <v>86</v>
      </c>
      <c r="V1717" s="6">
        <f>IF(ISERROR(VLOOKUP($S$1717,'TAR FIN'!$A$1:$O$120,15,0)),0,VLOOKUP($S$1717,'TAR FIN'!$A$1:$O$120,15,0))</f>
        <v>0</v>
      </c>
      <c r="W1717" s="6">
        <f>IF(ISERROR(VLOOKUP($T$1717,'TAR FIN'!$A$1:$O$120,15,0)),0,VLOOKUP($T$1717,'TAR FIN'!$A$1:$O$120,15,0))</f>
        <v>345.5</v>
      </c>
      <c r="X1717" s="6">
        <f>IF(ISERROR(VLOOKUP($U$1717,'TAR FIN'!$A$1:$O$120,15,0)),0,VLOOKUP($U$1717,'TAR FIN'!$A$1:$O$120,15,0))</f>
        <v>256.38</v>
      </c>
      <c r="Y1717" s="6"/>
      <c r="Z1717" s="6">
        <f ca="1">('TUSD BE'!$AM$53+'TUSD BF'!$AM$53+'TUSD CVA'!$AM$53)*1</f>
        <v>386.10985205084637</v>
      </c>
      <c r="AA1717" s="6">
        <f>('TE BE'!$AA$17+'TE BF'!$AA$17+'TE CVA'!$AA$17)*1</f>
        <v>230.83420940933817</v>
      </c>
      <c r="AB1717" s="6">
        <f>$K$1717*$V$1717</f>
        <v>0</v>
      </c>
      <c r="AC1717" s="6">
        <f>$M$1717*$W$1717</f>
        <v>44.569499999999998</v>
      </c>
      <c r="AD1717" s="6">
        <f>$O$1717*$X$1717</f>
        <v>33.07302</v>
      </c>
      <c r="AE1717" s="6">
        <f>$K$1717*$Y$1717</f>
        <v>0</v>
      </c>
      <c r="AF1717" s="6">
        <f ca="1">$M$1717*$Z$1717</f>
        <v>49.808170914559184</v>
      </c>
      <c r="AG1717" s="6">
        <f>$O$1717*$AA$1717</f>
        <v>29.777613013804626</v>
      </c>
    </row>
    <row r="1718" spans="1:33" ht="11.25" customHeight="1" x14ac:dyDescent="0.25">
      <c r="A1718" s="4" t="s">
        <v>59</v>
      </c>
      <c r="B1718" s="4" t="s">
        <v>22</v>
      </c>
      <c r="C1718" s="4" t="s">
        <v>37</v>
      </c>
      <c r="D1718" s="4" t="s">
        <v>24</v>
      </c>
      <c r="E1718" s="4" t="s">
        <v>24</v>
      </c>
      <c r="F1718" s="4" t="s">
        <v>25</v>
      </c>
      <c r="G1718" s="4" t="s">
        <v>25</v>
      </c>
      <c r="H1718" s="4" t="s">
        <v>38</v>
      </c>
      <c r="I1718" s="5">
        <v>44075</v>
      </c>
      <c r="J1718" s="6">
        <v>0</v>
      </c>
      <c r="K1718" s="6">
        <v>0</v>
      </c>
      <c r="L1718" s="6">
        <v>15.189</v>
      </c>
      <c r="M1718" s="6">
        <v>15.189</v>
      </c>
      <c r="N1718" s="6">
        <v>15.189</v>
      </c>
      <c r="O1718" s="6">
        <v>15.189</v>
      </c>
      <c r="P1718" s="6">
        <v>0</v>
      </c>
      <c r="Q1718" s="4" t="s">
        <v>26</v>
      </c>
      <c r="R1718" s="4">
        <v>0</v>
      </c>
      <c r="S1718" s="6">
        <v>0</v>
      </c>
      <c r="T1718" s="6">
        <v>43</v>
      </c>
      <c r="U1718" s="6">
        <v>86</v>
      </c>
      <c r="V1718" s="6">
        <f>IF(ISERROR(VLOOKUP($S$1718,'TAR FIN'!$A$1:$O$120,15,0)),0,VLOOKUP($S$1718,'TAR FIN'!$A$1:$O$120,15,0))</f>
        <v>0</v>
      </c>
      <c r="W1718" s="6">
        <f>IF(ISERROR(VLOOKUP($T$1718,'TAR FIN'!$A$1:$O$120,15,0)),0,VLOOKUP($T$1718,'TAR FIN'!$A$1:$O$120,15,0))</f>
        <v>345.5</v>
      </c>
      <c r="X1718" s="6">
        <f>IF(ISERROR(VLOOKUP($U$1718,'TAR FIN'!$A$1:$O$120,15,0)),0,VLOOKUP($U$1718,'TAR FIN'!$A$1:$O$120,15,0))</f>
        <v>256.38</v>
      </c>
      <c r="Y1718" s="6"/>
      <c r="Z1718" s="6">
        <f ca="1">('TUSD BE'!$AM$53+'TUSD BF'!$AM$53+'TUSD CVA'!$AM$53)*1</f>
        <v>386.10985205084637</v>
      </c>
      <c r="AA1718" s="6">
        <f>('TE BE'!$AA$17+'TE BF'!$AA$17+'TE CVA'!$AA$17)*1</f>
        <v>230.83420940933817</v>
      </c>
      <c r="AB1718" s="6">
        <f>$K$1718*$V$1718</f>
        <v>0</v>
      </c>
      <c r="AC1718" s="6">
        <f>$M$1718*$W$1718</f>
        <v>5247.7995000000001</v>
      </c>
      <c r="AD1718" s="6">
        <f>$O$1718*$X$1718</f>
        <v>3894.1558199999999</v>
      </c>
      <c r="AE1718" s="6">
        <f>$K$1718*$Y$1718</f>
        <v>0</v>
      </c>
      <c r="AF1718" s="6">
        <f ca="1">$M$1718*$Z$1718</f>
        <v>5864.6225428003054</v>
      </c>
      <c r="AG1718" s="6">
        <f>$O$1718*$AA$1718</f>
        <v>3506.1408067184375</v>
      </c>
    </row>
    <row r="1719" spans="1:33" ht="11.25" customHeight="1" x14ac:dyDescent="0.25">
      <c r="A1719" s="4" t="s">
        <v>59</v>
      </c>
      <c r="B1719" s="4" t="s">
        <v>22</v>
      </c>
      <c r="C1719" s="4" t="s">
        <v>37</v>
      </c>
      <c r="D1719" s="4" t="s">
        <v>24</v>
      </c>
      <c r="E1719" s="4" t="s">
        <v>24</v>
      </c>
      <c r="F1719" s="4" t="s">
        <v>25</v>
      </c>
      <c r="G1719" s="4" t="s">
        <v>25</v>
      </c>
      <c r="H1719" s="4" t="s">
        <v>38</v>
      </c>
      <c r="I1719" s="5">
        <v>44075</v>
      </c>
      <c r="J1719" s="6">
        <v>0</v>
      </c>
      <c r="K1719" s="6">
        <v>0</v>
      </c>
      <c r="L1719" s="6">
        <v>0.129</v>
      </c>
      <c r="M1719" s="6">
        <v>0.129</v>
      </c>
      <c r="N1719" s="6">
        <v>0.129</v>
      </c>
      <c r="O1719" s="6">
        <v>0.129</v>
      </c>
      <c r="P1719" s="6">
        <v>0</v>
      </c>
      <c r="Q1719" s="4" t="s">
        <v>26</v>
      </c>
      <c r="R1719" s="4">
        <v>0</v>
      </c>
      <c r="S1719" s="6">
        <v>0</v>
      </c>
      <c r="T1719" s="6">
        <v>43</v>
      </c>
      <c r="U1719" s="6">
        <v>86</v>
      </c>
      <c r="V1719" s="6">
        <f>IF(ISERROR(VLOOKUP($S$1719,'TAR FIN'!$A$1:$O$120,15,0)),0,VLOOKUP($S$1719,'TAR FIN'!$A$1:$O$120,15,0))</f>
        <v>0</v>
      </c>
      <c r="W1719" s="6">
        <f>IF(ISERROR(VLOOKUP($T$1719,'TAR FIN'!$A$1:$O$120,15,0)),0,VLOOKUP($T$1719,'TAR FIN'!$A$1:$O$120,15,0))</f>
        <v>345.5</v>
      </c>
      <c r="X1719" s="6">
        <f>IF(ISERROR(VLOOKUP($U$1719,'TAR FIN'!$A$1:$O$120,15,0)),0,VLOOKUP($U$1719,'TAR FIN'!$A$1:$O$120,15,0))</f>
        <v>256.38</v>
      </c>
      <c r="Y1719" s="6"/>
      <c r="Z1719" s="6">
        <f ca="1">('TUSD BE'!$AM$53+'TUSD BF'!$AM$53+'TUSD CVA'!$AM$53)*1</f>
        <v>386.10985205084637</v>
      </c>
      <c r="AA1719" s="6">
        <f>('TE BE'!$AA$17+'TE BF'!$AA$17+'TE CVA'!$AA$17)*1</f>
        <v>230.83420940933817</v>
      </c>
      <c r="AB1719" s="6">
        <f>$K$1719*$V$1719</f>
        <v>0</v>
      </c>
      <c r="AC1719" s="6">
        <f>$M$1719*$W$1719</f>
        <v>44.569499999999998</v>
      </c>
      <c r="AD1719" s="6">
        <f>$O$1719*$X$1719</f>
        <v>33.07302</v>
      </c>
      <c r="AE1719" s="6">
        <f>$K$1719*$Y$1719</f>
        <v>0</v>
      </c>
      <c r="AF1719" s="6">
        <f ca="1">$M$1719*$Z$1719</f>
        <v>49.808170914559184</v>
      </c>
      <c r="AG1719" s="6">
        <f>$O$1719*$AA$1719</f>
        <v>29.777613013804626</v>
      </c>
    </row>
    <row r="1720" spans="1:33" ht="11.25" customHeight="1" x14ac:dyDescent="0.25">
      <c r="A1720" s="4" t="s">
        <v>21</v>
      </c>
      <c r="B1720" s="4" t="s">
        <v>22</v>
      </c>
      <c r="C1720" s="4" t="s">
        <v>37</v>
      </c>
      <c r="D1720" s="4" t="s">
        <v>24</v>
      </c>
      <c r="E1720" s="4" t="s">
        <v>24</v>
      </c>
      <c r="F1720" s="4" t="s">
        <v>25</v>
      </c>
      <c r="G1720" s="4" t="s">
        <v>25</v>
      </c>
      <c r="H1720" s="4" t="s">
        <v>35</v>
      </c>
      <c r="I1720" s="5">
        <v>43739</v>
      </c>
      <c r="J1720" s="6">
        <v>0</v>
      </c>
      <c r="K1720" s="6">
        <v>0</v>
      </c>
      <c r="L1720" s="6">
        <v>22.004000000000001</v>
      </c>
      <c r="M1720" s="6">
        <v>22.004000000000001</v>
      </c>
      <c r="N1720" s="6">
        <v>22.004000000000001</v>
      </c>
      <c r="O1720" s="6">
        <v>22.004000000000001</v>
      </c>
      <c r="P1720" s="6">
        <v>0</v>
      </c>
      <c r="Q1720" s="4" t="s">
        <v>26</v>
      </c>
      <c r="R1720" s="4">
        <v>0</v>
      </c>
      <c r="S1720" s="6">
        <v>0</v>
      </c>
      <c r="T1720" s="6">
        <v>42</v>
      </c>
      <c r="U1720" s="6">
        <v>85</v>
      </c>
      <c r="V1720" s="6">
        <f>IF(ISERROR(VLOOKUP($S$1720,'TAR FIN'!$A$1:$O$120,15,0)),0,VLOOKUP($S$1720,'TAR FIN'!$A$1:$O$120,15,0))</f>
        <v>0</v>
      </c>
      <c r="W1720" s="6">
        <f>IF(ISERROR(VLOOKUP($T$1720,'TAR FIN'!$A$1:$O$120,15,0)),0,VLOOKUP($T$1720,'TAR FIN'!$A$1:$O$120,15,0))</f>
        <v>503.5</v>
      </c>
      <c r="X1720" s="6">
        <f>IF(ISERROR(VLOOKUP($U$1720,'TAR FIN'!$A$1:$O$120,15,0)),0,VLOOKUP($U$1720,'TAR FIN'!$A$1:$O$120,15,0))</f>
        <v>430.87</v>
      </c>
      <c r="Y1720" s="6"/>
      <c r="Z1720" s="6">
        <f ca="1">('TUSD BE'!$AM$52+'TUSD BF'!$AM$52+'TUSD CVA'!$AM$52)*1</f>
        <v>569.53010942783328</v>
      </c>
      <c r="AA1720" s="6">
        <f>('TE BE'!$AA$16+'TE BF'!$AA$16+'TE CVA'!$AA$16)*1</f>
        <v>375.69180268700768</v>
      </c>
      <c r="AB1720" s="6">
        <f>$K$1720*$V$1720</f>
        <v>0</v>
      </c>
      <c r="AC1720" s="6">
        <f>$M$1720*$W$1720</f>
        <v>11079.014000000001</v>
      </c>
      <c r="AD1720" s="6">
        <f>$O$1720*$X$1720</f>
        <v>9480.86348</v>
      </c>
      <c r="AE1720" s="6">
        <f>$K$1720*$Y$1720</f>
        <v>0</v>
      </c>
      <c r="AF1720" s="6">
        <f ca="1">$M$1720*$Z$1720</f>
        <v>12531.940527850044</v>
      </c>
      <c r="AG1720" s="6">
        <f>$O$1720*$AA$1720</f>
        <v>8266.7224263249173</v>
      </c>
    </row>
    <row r="1721" spans="1:33" ht="11.25" customHeight="1" x14ac:dyDescent="0.25">
      <c r="A1721" s="4" t="s">
        <v>27</v>
      </c>
      <c r="B1721" s="4" t="s">
        <v>22</v>
      </c>
      <c r="C1721" s="4" t="s">
        <v>37</v>
      </c>
      <c r="D1721" s="4" t="s">
        <v>24</v>
      </c>
      <c r="E1721" s="4" t="s">
        <v>24</v>
      </c>
      <c r="F1721" s="4" t="s">
        <v>25</v>
      </c>
      <c r="G1721" s="4" t="s">
        <v>25</v>
      </c>
      <c r="H1721" s="4" t="s">
        <v>35</v>
      </c>
      <c r="I1721" s="5">
        <v>43739</v>
      </c>
      <c r="J1721" s="6">
        <v>0</v>
      </c>
      <c r="K1721" s="6">
        <v>0</v>
      </c>
      <c r="L1721" s="6">
        <v>0.5</v>
      </c>
      <c r="M1721" s="6">
        <v>0.5</v>
      </c>
      <c r="N1721" s="6">
        <v>0.5</v>
      </c>
      <c r="O1721" s="6">
        <v>0.5</v>
      </c>
      <c r="P1721" s="6">
        <v>0</v>
      </c>
      <c r="Q1721" s="4" t="s">
        <v>26</v>
      </c>
      <c r="R1721" s="4">
        <v>0</v>
      </c>
      <c r="S1721" s="6">
        <v>0</v>
      </c>
      <c r="T1721" s="6">
        <v>42</v>
      </c>
      <c r="U1721" s="6">
        <v>85</v>
      </c>
      <c r="V1721" s="6">
        <f>IF(ISERROR(VLOOKUP($S$1721,'TAR FIN'!$A$1:$O$120,15,0)),0,VLOOKUP($S$1721,'TAR FIN'!$A$1:$O$120,15,0))</f>
        <v>0</v>
      </c>
      <c r="W1721" s="6">
        <f>IF(ISERROR(VLOOKUP($T$1721,'TAR FIN'!$A$1:$O$120,15,0)),0,VLOOKUP($T$1721,'TAR FIN'!$A$1:$O$120,15,0))</f>
        <v>503.5</v>
      </c>
      <c r="X1721" s="6">
        <f>IF(ISERROR(VLOOKUP($U$1721,'TAR FIN'!$A$1:$O$120,15,0)),0,VLOOKUP($U$1721,'TAR FIN'!$A$1:$O$120,15,0))</f>
        <v>430.87</v>
      </c>
      <c r="Y1721" s="6"/>
      <c r="Z1721" s="6">
        <f ca="1">('TUSD BE'!$AM$52+'TUSD BF'!$AM$52+'TUSD CVA'!$AM$52)*1</f>
        <v>569.53010942783328</v>
      </c>
      <c r="AA1721" s="6">
        <f>('TE BE'!$AA$16+'TE BF'!$AA$16+'TE CVA'!$AA$16)*1</f>
        <v>375.69180268700768</v>
      </c>
      <c r="AB1721" s="6">
        <f>$K$1721*$V$1721</f>
        <v>0</v>
      </c>
      <c r="AC1721" s="6">
        <f>$M$1721*$W$1721</f>
        <v>251.75</v>
      </c>
      <c r="AD1721" s="6">
        <f>$O$1721*$X$1721</f>
        <v>215.435</v>
      </c>
      <c r="AE1721" s="6">
        <f>$K$1721*$Y$1721</f>
        <v>0</v>
      </c>
      <c r="AF1721" s="6">
        <f ca="1">$M$1721*$Z$1721</f>
        <v>284.76505471391664</v>
      </c>
      <c r="AG1721" s="6">
        <f>$O$1721*$AA$1721</f>
        <v>187.84590134350384</v>
      </c>
    </row>
    <row r="1722" spans="1:33" ht="11.25" customHeight="1" x14ac:dyDescent="0.25">
      <c r="A1722" s="4" t="s">
        <v>28</v>
      </c>
      <c r="B1722" s="4" t="s">
        <v>22</v>
      </c>
      <c r="C1722" s="4" t="s">
        <v>37</v>
      </c>
      <c r="D1722" s="4" t="s">
        <v>24</v>
      </c>
      <c r="E1722" s="4" t="s">
        <v>24</v>
      </c>
      <c r="F1722" s="4" t="s">
        <v>25</v>
      </c>
      <c r="G1722" s="4" t="s">
        <v>25</v>
      </c>
      <c r="H1722" s="4" t="s">
        <v>35</v>
      </c>
      <c r="I1722" s="5">
        <v>43739</v>
      </c>
      <c r="J1722" s="6">
        <v>0</v>
      </c>
      <c r="K1722" s="6">
        <v>0</v>
      </c>
      <c r="L1722" s="6">
        <v>3.5999999999999997E-2</v>
      </c>
      <c r="M1722" s="6">
        <v>3.5999999999999997E-2</v>
      </c>
      <c r="N1722" s="6">
        <v>3.5999999999999997E-2</v>
      </c>
      <c r="O1722" s="6">
        <v>3.5999999999999997E-2</v>
      </c>
      <c r="P1722" s="6">
        <v>0</v>
      </c>
      <c r="Q1722" s="4" t="s">
        <v>26</v>
      </c>
      <c r="R1722" s="4">
        <v>0</v>
      </c>
      <c r="S1722" s="6">
        <v>0</v>
      </c>
      <c r="T1722" s="6">
        <v>42</v>
      </c>
      <c r="U1722" s="6">
        <v>85</v>
      </c>
      <c r="V1722" s="6">
        <f>IF(ISERROR(VLOOKUP($S$1722,'TAR FIN'!$A$1:$O$120,15,0)),0,VLOOKUP($S$1722,'TAR FIN'!$A$1:$O$120,15,0))</f>
        <v>0</v>
      </c>
      <c r="W1722" s="6">
        <f>IF(ISERROR(VLOOKUP($T$1722,'TAR FIN'!$A$1:$O$120,15,0)),0,VLOOKUP($T$1722,'TAR FIN'!$A$1:$O$120,15,0))</f>
        <v>503.5</v>
      </c>
      <c r="X1722" s="6">
        <f>IF(ISERROR(VLOOKUP($U$1722,'TAR FIN'!$A$1:$O$120,15,0)),0,VLOOKUP($U$1722,'TAR FIN'!$A$1:$O$120,15,0))</f>
        <v>430.87</v>
      </c>
      <c r="Y1722" s="6"/>
      <c r="Z1722" s="6">
        <f ca="1">('TUSD BE'!$AM$52+'TUSD BF'!$AM$52+'TUSD CVA'!$AM$52)*1</f>
        <v>569.53010942783328</v>
      </c>
      <c r="AA1722" s="6">
        <f>('TE BE'!$AA$16+'TE BF'!$AA$16+'TE CVA'!$AA$16)*1</f>
        <v>375.69180268700768</v>
      </c>
      <c r="AB1722" s="6">
        <f>$K$1722*$V$1722</f>
        <v>0</v>
      </c>
      <c r="AC1722" s="6">
        <f>$M$1722*$W$1722</f>
        <v>18.125999999999998</v>
      </c>
      <c r="AD1722" s="6">
        <f>$O$1722*$X$1722</f>
        <v>15.51132</v>
      </c>
      <c r="AE1722" s="6">
        <f>$K$1722*$Y$1722</f>
        <v>0</v>
      </c>
      <c r="AF1722" s="6">
        <f ca="1">$M$1722*$Z$1722</f>
        <v>20.503083939401996</v>
      </c>
      <c r="AG1722" s="6">
        <f>$O$1722*$AA$1722</f>
        <v>13.524904896732275</v>
      </c>
    </row>
    <row r="1723" spans="1:33" ht="11.25" customHeight="1" x14ac:dyDescent="0.25">
      <c r="A1723" s="4" t="s">
        <v>21</v>
      </c>
      <c r="B1723" s="4" t="s">
        <v>22</v>
      </c>
      <c r="C1723" s="4" t="s">
        <v>37</v>
      </c>
      <c r="D1723" s="4" t="s">
        <v>24</v>
      </c>
      <c r="E1723" s="4" t="s">
        <v>24</v>
      </c>
      <c r="F1723" s="4" t="s">
        <v>25</v>
      </c>
      <c r="G1723" s="4" t="s">
        <v>25</v>
      </c>
      <c r="H1723" s="4" t="s">
        <v>35</v>
      </c>
      <c r="I1723" s="5">
        <v>43770</v>
      </c>
      <c r="J1723" s="6">
        <v>0</v>
      </c>
      <c r="K1723" s="6">
        <v>0</v>
      </c>
      <c r="L1723" s="6">
        <v>21.875</v>
      </c>
      <c r="M1723" s="6">
        <v>21.875</v>
      </c>
      <c r="N1723" s="6">
        <v>21.875</v>
      </c>
      <c r="O1723" s="6">
        <v>21.875</v>
      </c>
      <c r="P1723" s="6">
        <v>0</v>
      </c>
      <c r="Q1723" s="4" t="s">
        <v>26</v>
      </c>
      <c r="R1723" s="4">
        <v>0</v>
      </c>
      <c r="S1723" s="6">
        <v>0</v>
      </c>
      <c r="T1723" s="6">
        <v>42</v>
      </c>
      <c r="U1723" s="6">
        <v>85</v>
      </c>
      <c r="V1723" s="6">
        <f>IF(ISERROR(VLOOKUP($S$1723,'TAR FIN'!$A$1:$O$120,15,0)),0,VLOOKUP($S$1723,'TAR FIN'!$A$1:$O$120,15,0))</f>
        <v>0</v>
      </c>
      <c r="W1723" s="6">
        <f>IF(ISERROR(VLOOKUP($T$1723,'TAR FIN'!$A$1:$O$120,15,0)),0,VLOOKUP($T$1723,'TAR FIN'!$A$1:$O$120,15,0))</f>
        <v>503.5</v>
      </c>
      <c r="X1723" s="6">
        <f>IF(ISERROR(VLOOKUP($U$1723,'TAR FIN'!$A$1:$O$120,15,0)),0,VLOOKUP($U$1723,'TAR FIN'!$A$1:$O$120,15,0))</f>
        <v>430.87</v>
      </c>
      <c r="Y1723" s="6"/>
      <c r="Z1723" s="6">
        <f ca="1">('TUSD BE'!$AM$52+'TUSD BF'!$AM$52+'TUSD CVA'!$AM$52)*1</f>
        <v>569.53010942783328</v>
      </c>
      <c r="AA1723" s="6">
        <f>('TE BE'!$AA$16+'TE BF'!$AA$16+'TE CVA'!$AA$16)*1</f>
        <v>375.69180268700768</v>
      </c>
      <c r="AB1723" s="6">
        <f>$K$1723*$V$1723</f>
        <v>0</v>
      </c>
      <c r="AC1723" s="6">
        <f>$M$1723*$W$1723</f>
        <v>11014.0625</v>
      </c>
      <c r="AD1723" s="6">
        <f>$O$1723*$X$1723</f>
        <v>9425.28125</v>
      </c>
      <c r="AE1723" s="6">
        <f>$K$1723*$Y$1723</f>
        <v>0</v>
      </c>
      <c r="AF1723" s="6">
        <f ca="1">$M$1723*$Z$1723</f>
        <v>12458.471143733854</v>
      </c>
      <c r="AG1723" s="6">
        <f>$O$1723*$AA$1723</f>
        <v>8218.2581837782927</v>
      </c>
    </row>
    <row r="1724" spans="1:33" ht="11.25" customHeight="1" x14ac:dyDescent="0.25">
      <c r="A1724" s="4" t="s">
        <v>27</v>
      </c>
      <c r="B1724" s="4" t="s">
        <v>22</v>
      </c>
      <c r="C1724" s="4" t="s">
        <v>37</v>
      </c>
      <c r="D1724" s="4" t="s">
        <v>24</v>
      </c>
      <c r="E1724" s="4" t="s">
        <v>24</v>
      </c>
      <c r="F1724" s="4" t="s">
        <v>25</v>
      </c>
      <c r="G1724" s="4" t="s">
        <v>25</v>
      </c>
      <c r="H1724" s="4" t="s">
        <v>35</v>
      </c>
      <c r="I1724" s="5">
        <v>43770</v>
      </c>
      <c r="J1724" s="6">
        <v>0</v>
      </c>
      <c r="K1724" s="6">
        <v>0</v>
      </c>
      <c r="L1724" s="6">
        <v>0.11899999999999999</v>
      </c>
      <c r="M1724" s="6">
        <v>0.11899999999999999</v>
      </c>
      <c r="N1724" s="6">
        <v>0.11899999999999999</v>
      </c>
      <c r="O1724" s="6">
        <v>0.11899999999999999</v>
      </c>
      <c r="P1724" s="6">
        <v>0</v>
      </c>
      <c r="Q1724" s="4" t="s">
        <v>26</v>
      </c>
      <c r="R1724" s="4">
        <v>0</v>
      </c>
      <c r="S1724" s="6">
        <v>0</v>
      </c>
      <c r="T1724" s="6">
        <v>42</v>
      </c>
      <c r="U1724" s="6">
        <v>85</v>
      </c>
      <c r="V1724" s="6">
        <f>IF(ISERROR(VLOOKUP($S$1724,'TAR FIN'!$A$1:$O$120,15,0)),0,VLOOKUP($S$1724,'TAR FIN'!$A$1:$O$120,15,0))</f>
        <v>0</v>
      </c>
      <c r="W1724" s="6">
        <f>IF(ISERROR(VLOOKUP($T$1724,'TAR FIN'!$A$1:$O$120,15,0)),0,VLOOKUP($T$1724,'TAR FIN'!$A$1:$O$120,15,0))</f>
        <v>503.5</v>
      </c>
      <c r="X1724" s="6">
        <f>IF(ISERROR(VLOOKUP($U$1724,'TAR FIN'!$A$1:$O$120,15,0)),0,VLOOKUP($U$1724,'TAR FIN'!$A$1:$O$120,15,0))</f>
        <v>430.87</v>
      </c>
      <c r="Y1724" s="6"/>
      <c r="Z1724" s="6">
        <f ca="1">('TUSD BE'!$AM$52+'TUSD BF'!$AM$52+'TUSD CVA'!$AM$52)*1</f>
        <v>569.53010942783328</v>
      </c>
      <c r="AA1724" s="6">
        <f>('TE BE'!$AA$16+'TE BF'!$AA$16+'TE CVA'!$AA$16)*1</f>
        <v>375.69180268700768</v>
      </c>
      <c r="AB1724" s="6">
        <f>$K$1724*$V$1724</f>
        <v>0</v>
      </c>
      <c r="AC1724" s="6">
        <f>$M$1724*$W$1724</f>
        <v>59.916499999999999</v>
      </c>
      <c r="AD1724" s="6">
        <f>$O$1724*$X$1724</f>
        <v>51.273530000000001</v>
      </c>
      <c r="AE1724" s="6">
        <f>$K$1724*$Y$1724</f>
        <v>0</v>
      </c>
      <c r="AF1724" s="6">
        <f ca="1">$M$1724*$Z$1724</f>
        <v>67.774083021912162</v>
      </c>
      <c r="AG1724" s="6">
        <f>$O$1724*$AA$1724</f>
        <v>44.707324519753911</v>
      </c>
    </row>
    <row r="1725" spans="1:33" ht="11.25" customHeight="1" x14ac:dyDescent="0.25">
      <c r="A1725" s="4" t="s">
        <v>28</v>
      </c>
      <c r="B1725" s="4" t="s">
        <v>22</v>
      </c>
      <c r="C1725" s="4" t="s">
        <v>37</v>
      </c>
      <c r="D1725" s="4" t="s">
        <v>24</v>
      </c>
      <c r="E1725" s="4" t="s">
        <v>24</v>
      </c>
      <c r="F1725" s="4" t="s">
        <v>25</v>
      </c>
      <c r="G1725" s="4" t="s">
        <v>25</v>
      </c>
      <c r="H1725" s="4" t="s">
        <v>35</v>
      </c>
      <c r="I1725" s="5">
        <v>43770</v>
      </c>
      <c r="J1725" s="6">
        <v>0</v>
      </c>
      <c r="K1725" s="6">
        <v>0</v>
      </c>
      <c r="L1725" s="6">
        <v>3.7999999999999999E-2</v>
      </c>
      <c r="M1725" s="6">
        <v>3.7999999999999999E-2</v>
      </c>
      <c r="N1725" s="6">
        <v>3.7999999999999999E-2</v>
      </c>
      <c r="O1725" s="6">
        <v>3.7999999999999999E-2</v>
      </c>
      <c r="P1725" s="6">
        <v>0</v>
      </c>
      <c r="Q1725" s="4" t="s">
        <v>26</v>
      </c>
      <c r="R1725" s="4">
        <v>0</v>
      </c>
      <c r="S1725" s="6">
        <v>0</v>
      </c>
      <c r="T1725" s="6">
        <v>42</v>
      </c>
      <c r="U1725" s="6">
        <v>85</v>
      </c>
      <c r="V1725" s="6">
        <f>IF(ISERROR(VLOOKUP($S$1725,'TAR FIN'!$A$1:$O$120,15,0)),0,VLOOKUP($S$1725,'TAR FIN'!$A$1:$O$120,15,0))</f>
        <v>0</v>
      </c>
      <c r="W1725" s="6">
        <f>IF(ISERROR(VLOOKUP($T$1725,'TAR FIN'!$A$1:$O$120,15,0)),0,VLOOKUP($T$1725,'TAR FIN'!$A$1:$O$120,15,0))</f>
        <v>503.5</v>
      </c>
      <c r="X1725" s="6">
        <f>IF(ISERROR(VLOOKUP($U$1725,'TAR FIN'!$A$1:$O$120,15,0)),0,VLOOKUP($U$1725,'TAR FIN'!$A$1:$O$120,15,0))</f>
        <v>430.87</v>
      </c>
      <c r="Y1725" s="6"/>
      <c r="Z1725" s="6">
        <f ca="1">('TUSD BE'!$AM$52+'TUSD BF'!$AM$52+'TUSD CVA'!$AM$52)*1</f>
        <v>569.53010942783328</v>
      </c>
      <c r="AA1725" s="6">
        <f>('TE BE'!$AA$16+'TE BF'!$AA$16+'TE CVA'!$AA$16)*1</f>
        <v>375.69180268700768</v>
      </c>
      <c r="AB1725" s="6">
        <f>$K$1725*$V$1725</f>
        <v>0</v>
      </c>
      <c r="AC1725" s="6">
        <f>$M$1725*$W$1725</f>
        <v>19.132999999999999</v>
      </c>
      <c r="AD1725" s="6">
        <f>$O$1725*$X$1725</f>
        <v>16.373059999999999</v>
      </c>
      <c r="AE1725" s="6">
        <f>$K$1725*$Y$1725</f>
        <v>0</v>
      </c>
      <c r="AF1725" s="6">
        <f ca="1">$M$1725*$Z$1725</f>
        <v>21.642144158257665</v>
      </c>
      <c r="AG1725" s="6">
        <f>$O$1725*$AA$1725</f>
        <v>14.276288502106292</v>
      </c>
    </row>
    <row r="1726" spans="1:33" ht="11.25" customHeight="1" x14ac:dyDescent="0.25">
      <c r="A1726" s="4" t="s">
        <v>28</v>
      </c>
      <c r="B1726" s="4" t="s">
        <v>22</v>
      </c>
      <c r="C1726" s="4" t="s">
        <v>37</v>
      </c>
      <c r="D1726" s="4" t="s">
        <v>24</v>
      </c>
      <c r="E1726" s="4" t="s">
        <v>24</v>
      </c>
      <c r="F1726" s="4" t="s">
        <v>25</v>
      </c>
      <c r="G1726" s="4" t="s">
        <v>25</v>
      </c>
      <c r="H1726" s="4" t="s">
        <v>35</v>
      </c>
      <c r="I1726" s="5">
        <v>43770</v>
      </c>
      <c r="J1726" s="6">
        <v>0</v>
      </c>
      <c r="K1726" s="6">
        <v>0</v>
      </c>
      <c r="L1726" s="6">
        <v>3.7999999999999999E-2</v>
      </c>
      <c r="M1726" s="6">
        <v>3.7999999999999999E-2</v>
      </c>
      <c r="N1726" s="6">
        <v>3.7999999999999999E-2</v>
      </c>
      <c r="O1726" s="6">
        <v>3.7999999999999999E-2</v>
      </c>
      <c r="P1726" s="6">
        <v>0</v>
      </c>
      <c r="Q1726" s="4" t="s">
        <v>26</v>
      </c>
      <c r="R1726" s="4">
        <v>0</v>
      </c>
      <c r="S1726" s="6">
        <v>0</v>
      </c>
      <c r="T1726" s="6">
        <v>42</v>
      </c>
      <c r="U1726" s="6">
        <v>85</v>
      </c>
      <c r="V1726" s="6">
        <f>IF(ISERROR(VLOOKUP($S$1726,'TAR FIN'!$A$1:$O$120,15,0)),0,VLOOKUP($S$1726,'TAR FIN'!$A$1:$O$120,15,0))</f>
        <v>0</v>
      </c>
      <c r="W1726" s="6">
        <f>IF(ISERROR(VLOOKUP($T$1726,'TAR FIN'!$A$1:$O$120,15,0)),0,VLOOKUP($T$1726,'TAR FIN'!$A$1:$O$120,15,0))</f>
        <v>503.5</v>
      </c>
      <c r="X1726" s="6">
        <f>IF(ISERROR(VLOOKUP($U$1726,'TAR FIN'!$A$1:$O$120,15,0)),0,VLOOKUP($U$1726,'TAR FIN'!$A$1:$O$120,15,0))</f>
        <v>430.87</v>
      </c>
      <c r="Y1726" s="6"/>
      <c r="Z1726" s="6">
        <f ca="1">('TUSD BE'!$AM$52+'TUSD BF'!$AM$52+'TUSD CVA'!$AM$52)*1</f>
        <v>569.53010942783328</v>
      </c>
      <c r="AA1726" s="6">
        <f>('TE BE'!$AA$16+'TE BF'!$AA$16+'TE CVA'!$AA$16)*1</f>
        <v>375.69180268700768</v>
      </c>
      <c r="AB1726" s="6">
        <f>$K$1726*$V$1726</f>
        <v>0</v>
      </c>
      <c r="AC1726" s="6">
        <f>$M$1726*$W$1726</f>
        <v>19.132999999999999</v>
      </c>
      <c r="AD1726" s="6">
        <f>$O$1726*$X$1726</f>
        <v>16.373059999999999</v>
      </c>
      <c r="AE1726" s="6">
        <f>$K$1726*$Y$1726</f>
        <v>0</v>
      </c>
      <c r="AF1726" s="6">
        <f ca="1">$M$1726*$Z$1726</f>
        <v>21.642144158257665</v>
      </c>
      <c r="AG1726" s="6">
        <f>$O$1726*$AA$1726</f>
        <v>14.276288502106292</v>
      </c>
    </row>
    <row r="1727" spans="1:33" ht="11.25" customHeight="1" x14ac:dyDescent="0.25">
      <c r="A1727" s="4" t="s">
        <v>21</v>
      </c>
      <c r="B1727" s="4" t="s">
        <v>22</v>
      </c>
      <c r="C1727" s="4" t="s">
        <v>37</v>
      </c>
      <c r="D1727" s="4" t="s">
        <v>24</v>
      </c>
      <c r="E1727" s="4" t="s">
        <v>24</v>
      </c>
      <c r="F1727" s="4" t="s">
        <v>25</v>
      </c>
      <c r="G1727" s="4" t="s">
        <v>25</v>
      </c>
      <c r="H1727" s="4" t="s">
        <v>35</v>
      </c>
      <c r="I1727" s="5">
        <v>43800</v>
      </c>
      <c r="J1727" s="6">
        <v>0</v>
      </c>
      <c r="K1727" s="6">
        <v>0</v>
      </c>
      <c r="L1727" s="6">
        <v>18.416</v>
      </c>
      <c r="M1727" s="6">
        <v>18.416</v>
      </c>
      <c r="N1727" s="6">
        <v>18.416</v>
      </c>
      <c r="O1727" s="6">
        <v>18.416</v>
      </c>
      <c r="P1727" s="6">
        <v>0</v>
      </c>
      <c r="Q1727" s="4" t="s">
        <v>26</v>
      </c>
      <c r="R1727" s="4">
        <v>0</v>
      </c>
      <c r="S1727" s="6">
        <v>0</v>
      </c>
      <c r="T1727" s="6">
        <v>42</v>
      </c>
      <c r="U1727" s="6">
        <v>85</v>
      </c>
      <c r="V1727" s="6">
        <f>IF(ISERROR(VLOOKUP($S$1727,'TAR FIN'!$A$1:$O$120,15,0)),0,VLOOKUP($S$1727,'TAR FIN'!$A$1:$O$120,15,0))</f>
        <v>0</v>
      </c>
      <c r="W1727" s="6">
        <f>IF(ISERROR(VLOOKUP($T$1727,'TAR FIN'!$A$1:$O$120,15,0)),0,VLOOKUP($T$1727,'TAR FIN'!$A$1:$O$120,15,0))</f>
        <v>503.5</v>
      </c>
      <c r="X1727" s="6">
        <f>IF(ISERROR(VLOOKUP($U$1727,'TAR FIN'!$A$1:$O$120,15,0)),0,VLOOKUP($U$1727,'TAR FIN'!$A$1:$O$120,15,0))</f>
        <v>430.87</v>
      </c>
      <c r="Y1727" s="6"/>
      <c r="Z1727" s="6">
        <f ca="1">('TUSD BE'!$AM$52+'TUSD BF'!$AM$52+'TUSD CVA'!$AM$52)*1</f>
        <v>569.53010942783328</v>
      </c>
      <c r="AA1727" s="6">
        <f>('TE BE'!$AA$16+'TE BF'!$AA$16+'TE CVA'!$AA$16)*1</f>
        <v>375.69180268700768</v>
      </c>
      <c r="AB1727" s="6">
        <f>$K$1727*$V$1727</f>
        <v>0</v>
      </c>
      <c r="AC1727" s="6">
        <f>$M$1727*$W$1727</f>
        <v>9272.4560000000001</v>
      </c>
      <c r="AD1727" s="6">
        <f>$O$1727*$X$1727</f>
        <v>7934.9019200000002</v>
      </c>
      <c r="AE1727" s="6">
        <f>$K$1727*$Y$1727</f>
        <v>0</v>
      </c>
      <c r="AF1727" s="6">
        <f ca="1">$M$1727*$Z$1727</f>
        <v>10488.466495222978</v>
      </c>
      <c r="AG1727" s="6">
        <f>$O$1727*$AA$1727</f>
        <v>6918.7402382839336</v>
      </c>
    </row>
    <row r="1728" spans="1:33" ht="11.25" customHeight="1" x14ac:dyDescent="0.25">
      <c r="A1728" s="4" t="s">
        <v>27</v>
      </c>
      <c r="B1728" s="4" t="s">
        <v>22</v>
      </c>
      <c r="C1728" s="4" t="s">
        <v>37</v>
      </c>
      <c r="D1728" s="4" t="s">
        <v>24</v>
      </c>
      <c r="E1728" s="4" t="s">
        <v>24</v>
      </c>
      <c r="F1728" s="4" t="s">
        <v>25</v>
      </c>
      <c r="G1728" s="4" t="s">
        <v>25</v>
      </c>
      <c r="H1728" s="4" t="s">
        <v>35</v>
      </c>
      <c r="I1728" s="5">
        <v>43800</v>
      </c>
      <c r="J1728" s="6">
        <v>0</v>
      </c>
      <c r="K1728" s="6">
        <v>0</v>
      </c>
      <c r="L1728" s="6">
        <v>0.45300000000000001</v>
      </c>
      <c r="M1728" s="6">
        <v>0.45300000000000001</v>
      </c>
      <c r="N1728" s="6">
        <v>0.45300000000000001</v>
      </c>
      <c r="O1728" s="6">
        <v>0.45300000000000001</v>
      </c>
      <c r="P1728" s="6">
        <v>0</v>
      </c>
      <c r="Q1728" s="4" t="s">
        <v>26</v>
      </c>
      <c r="R1728" s="4">
        <v>0</v>
      </c>
      <c r="S1728" s="6">
        <v>0</v>
      </c>
      <c r="T1728" s="6">
        <v>42</v>
      </c>
      <c r="U1728" s="6">
        <v>85</v>
      </c>
      <c r="V1728" s="6">
        <f>IF(ISERROR(VLOOKUP($S$1728,'TAR FIN'!$A$1:$O$120,15,0)),0,VLOOKUP($S$1728,'TAR FIN'!$A$1:$O$120,15,0))</f>
        <v>0</v>
      </c>
      <c r="W1728" s="6">
        <f>IF(ISERROR(VLOOKUP($T$1728,'TAR FIN'!$A$1:$O$120,15,0)),0,VLOOKUP($T$1728,'TAR FIN'!$A$1:$O$120,15,0))</f>
        <v>503.5</v>
      </c>
      <c r="X1728" s="6">
        <f>IF(ISERROR(VLOOKUP($U$1728,'TAR FIN'!$A$1:$O$120,15,0)),0,VLOOKUP($U$1728,'TAR FIN'!$A$1:$O$120,15,0))</f>
        <v>430.87</v>
      </c>
      <c r="Y1728" s="6"/>
      <c r="Z1728" s="6">
        <f ca="1">('TUSD BE'!$AM$52+'TUSD BF'!$AM$52+'TUSD CVA'!$AM$52)*1</f>
        <v>569.53010942783328</v>
      </c>
      <c r="AA1728" s="6">
        <f>('TE BE'!$AA$16+'TE BF'!$AA$16+'TE CVA'!$AA$16)*1</f>
        <v>375.69180268700768</v>
      </c>
      <c r="AB1728" s="6">
        <f>$K$1728*$V$1728</f>
        <v>0</v>
      </c>
      <c r="AC1728" s="6">
        <f>$M$1728*$W$1728</f>
        <v>228.0855</v>
      </c>
      <c r="AD1728" s="6">
        <f>$O$1728*$X$1728</f>
        <v>195.18411</v>
      </c>
      <c r="AE1728" s="6">
        <f>$K$1728*$Y$1728</f>
        <v>0</v>
      </c>
      <c r="AF1728" s="6">
        <f ca="1">$M$1728*$Z$1728</f>
        <v>257.99713957080849</v>
      </c>
      <c r="AG1728" s="6">
        <f>$O$1728*$AA$1728</f>
        <v>170.18838661721449</v>
      </c>
    </row>
    <row r="1729" spans="1:33" ht="11.25" customHeight="1" x14ac:dyDescent="0.25">
      <c r="A1729" s="4" t="s">
        <v>28</v>
      </c>
      <c r="B1729" s="4" t="s">
        <v>22</v>
      </c>
      <c r="C1729" s="4" t="s">
        <v>37</v>
      </c>
      <c r="D1729" s="4" t="s">
        <v>24</v>
      </c>
      <c r="E1729" s="4" t="s">
        <v>24</v>
      </c>
      <c r="F1729" s="4" t="s">
        <v>25</v>
      </c>
      <c r="G1729" s="4" t="s">
        <v>25</v>
      </c>
      <c r="H1729" s="4" t="s">
        <v>35</v>
      </c>
      <c r="I1729" s="5">
        <v>43800</v>
      </c>
      <c r="J1729" s="6">
        <v>0</v>
      </c>
      <c r="K1729" s="6">
        <v>0</v>
      </c>
      <c r="L1729" s="6">
        <v>0.03</v>
      </c>
      <c r="M1729" s="6">
        <v>0.03</v>
      </c>
      <c r="N1729" s="6">
        <v>0.03</v>
      </c>
      <c r="O1729" s="6">
        <v>0.03</v>
      </c>
      <c r="P1729" s="6">
        <v>0</v>
      </c>
      <c r="Q1729" s="4" t="s">
        <v>26</v>
      </c>
      <c r="R1729" s="4">
        <v>0</v>
      </c>
      <c r="S1729" s="6">
        <v>0</v>
      </c>
      <c r="T1729" s="6">
        <v>42</v>
      </c>
      <c r="U1729" s="6">
        <v>85</v>
      </c>
      <c r="V1729" s="6">
        <f>IF(ISERROR(VLOOKUP($S$1729,'TAR FIN'!$A$1:$O$120,15,0)),0,VLOOKUP($S$1729,'TAR FIN'!$A$1:$O$120,15,0))</f>
        <v>0</v>
      </c>
      <c r="W1729" s="6">
        <f>IF(ISERROR(VLOOKUP($T$1729,'TAR FIN'!$A$1:$O$120,15,0)),0,VLOOKUP($T$1729,'TAR FIN'!$A$1:$O$120,15,0))</f>
        <v>503.5</v>
      </c>
      <c r="X1729" s="6">
        <f>IF(ISERROR(VLOOKUP($U$1729,'TAR FIN'!$A$1:$O$120,15,0)),0,VLOOKUP($U$1729,'TAR FIN'!$A$1:$O$120,15,0))</f>
        <v>430.87</v>
      </c>
      <c r="Y1729" s="6"/>
      <c r="Z1729" s="6">
        <f ca="1">('TUSD BE'!$AM$52+'TUSD BF'!$AM$52+'TUSD CVA'!$AM$52)*1</f>
        <v>569.53010942783328</v>
      </c>
      <c r="AA1729" s="6">
        <f>('TE BE'!$AA$16+'TE BF'!$AA$16+'TE CVA'!$AA$16)*1</f>
        <v>375.69180268700768</v>
      </c>
      <c r="AB1729" s="6">
        <f>$K$1729*$V$1729</f>
        <v>0</v>
      </c>
      <c r="AC1729" s="6">
        <f>$M$1729*$W$1729</f>
        <v>15.104999999999999</v>
      </c>
      <c r="AD1729" s="6">
        <f>$O$1729*$X$1729</f>
        <v>12.9261</v>
      </c>
      <c r="AE1729" s="6">
        <f>$K$1729*$Y$1729</f>
        <v>0</v>
      </c>
      <c r="AF1729" s="6">
        <f ca="1">$M$1729*$Z$1729</f>
        <v>17.085903282834998</v>
      </c>
      <c r="AG1729" s="6">
        <f>$O$1729*$AA$1729</f>
        <v>11.27075408061023</v>
      </c>
    </row>
    <row r="1730" spans="1:33" ht="11.25" customHeight="1" x14ac:dyDescent="0.25">
      <c r="A1730" s="4" t="s">
        <v>21</v>
      </c>
      <c r="B1730" s="4" t="s">
        <v>22</v>
      </c>
      <c r="C1730" s="4" t="s">
        <v>37</v>
      </c>
      <c r="D1730" s="4" t="s">
        <v>24</v>
      </c>
      <c r="E1730" s="4" t="s">
        <v>24</v>
      </c>
      <c r="F1730" s="4" t="s">
        <v>25</v>
      </c>
      <c r="G1730" s="4" t="s">
        <v>25</v>
      </c>
      <c r="H1730" s="4" t="s">
        <v>35</v>
      </c>
      <c r="I1730" s="5">
        <v>43831</v>
      </c>
      <c r="J1730" s="6">
        <v>0</v>
      </c>
      <c r="K1730" s="6">
        <v>0</v>
      </c>
      <c r="L1730" s="6">
        <v>20.158000000000001</v>
      </c>
      <c r="M1730" s="6">
        <v>20.158000000000001</v>
      </c>
      <c r="N1730" s="6">
        <v>20.158000000000001</v>
      </c>
      <c r="O1730" s="6">
        <v>20.158000000000001</v>
      </c>
      <c r="P1730" s="6">
        <v>0</v>
      </c>
      <c r="Q1730" s="4" t="s">
        <v>26</v>
      </c>
      <c r="R1730" s="4">
        <v>0</v>
      </c>
      <c r="S1730" s="6">
        <v>0</v>
      </c>
      <c r="T1730" s="6">
        <v>42</v>
      </c>
      <c r="U1730" s="6">
        <v>85</v>
      </c>
      <c r="V1730" s="6">
        <f>IF(ISERROR(VLOOKUP($S$1730,'TAR FIN'!$A$1:$O$120,15,0)),0,VLOOKUP($S$1730,'TAR FIN'!$A$1:$O$120,15,0))</f>
        <v>0</v>
      </c>
      <c r="W1730" s="6">
        <f>IF(ISERROR(VLOOKUP($T$1730,'TAR FIN'!$A$1:$O$120,15,0)),0,VLOOKUP($T$1730,'TAR FIN'!$A$1:$O$120,15,0))</f>
        <v>503.5</v>
      </c>
      <c r="X1730" s="6">
        <f>IF(ISERROR(VLOOKUP($U$1730,'TAR FIN'!$A$1:$O$120,15,0)),0,VLOOKUP($U$1730,'TAR FIN'!$A$1:$O$120,15,0))</f>
        <v>430.87</v>
      </c>
      <c r="Y1730" s="6"/>
      <c r="Z1730" s="6">
        <f ca="1">('TUSD BE'!$AM$52+'TUSD BF'!$AM$52+'TUSD CVA'!$AM$52)*1</f>
        <v>569.53010942783328</v>
      </c>
      <c r="AA1730" s="6">
        <f>('TE BE'!$AA$16+'TE BF'!$AA$16+'TE CVA'!$AA$16)*1</f>
        <v>375.69180268700768</v>
      </c>
      <c r="AB1730" s="6">
        <f>$K$1730*$V$1730</f>
        <v>0</v>
      </c>
      <c r="AC1730" s="6">
        <f>$M$1730*$W$1730</f>
        <v>10149.553</v>
      </c>
      <c r="AD1730" s="6">
        <f>$O$1730*$X$1730</f>
        <v>8685.4774600000001</v>
      </c>
      <c r="AE1730" s="6">
        <f>$K$1730*$Y$1730</f>
        <v>0</v>
      </c>
      <c r="AF1730" s="6">
        <f ca="1">$M$1730*$Z$1730</f>
        <v>11480.587945846264</v>
      </c>
      <c r="AG1730" s="6">
        <f>$O$1730*$AA$1730</f>
        <v>7573.1953585647016</v>
      </c>
    </row>
    <row r="1731" spans="1:33" ht="11.25" customHeight="1" x14ac:dyDescent="0.25">
      <c r="A1731" s="4" t="s">
        <v>27</v>
      </c>
      <c r="B1731" s="4" t="s">
        <v>22</v>
      </c>
      <c r="C1731" s="4" t="s">
        <v>37</v>
      </c>
      <c r="D1731" s="4" t="s">
        <v>24</v>
      </c>
      <c r="E1731" s="4" t="s">
        <v>24</v>
      </c>
      <c r="F1731" s="4" t="s">
        <v>25</v>
      </c>
      <c r="G1731" s="4" t="s">
        <v>25</v>
      </c>
      <c r="H1731" s="4" t="s">
        <v>35</v>
      </c>
      <c r="I1731" s="5">
        <v>43831</v>
      </c>
      <c r="J1731" s="6">
        <v>0</v>
      </c>
      <c r="K1731" s="6">
        <v>0</v>
      </c>
      <c r="L1731" s="6">
        <v>0.17199999999999999</v>
      </c>
      <c r="M1731" s="6">
        <v>0.17199999999999999</v>
      </c>
      <c r="N1731" s="6">
        <v>0.17199999999999999</v>
      </c>
      <c r="O1731" s="6">
        <v>0.17199999999999999</v>
      </c>
      <c r="P1731" s="6">
        <v>0</v>
      </c>
      <c r="Q1731" s="4" t="s">
        <v>26</v>
      </c>
      <c r="R1731" s="4">
        <v>0</v>
      </c>
      <c r="S1731" s="6">
        <v>0</v>
      </c>
      <c r="T1731" s="6">
        <v>42</v>
      </c>
      <c r="U1731" s="6">
        <v>85</v>
      </c>
      <c r="V1731" s="6">
        <f>IF(ISERROR(VLOOKUP($S$1731,'TAR FIN'!$A$1:$O$120,15,0)),0,VLOOKUP($S$1731,'TAR FIN'!$A$1:$O$120,15,0))</f>
        <v>0</v>
      </c>
      <c r="W1731" s="6">
        <f>IF(ISERROR(VLOOKUP($T$1731,'TAR FIN'!$A$1:$O$120,15,0)),0,VLOOKUP($T$1731,'TAR FIN'!$A$1:$O$120,15,0))</f>
        <v>503.5</v>
      </c>
      <c r="X1731" s="6">
        <f>IF(ISERROR(VLOOKUP($U$1731,'TAR FIN'!$A$1:$O$120,15,0)),0,VLOOKUP($U$1731,'TAR FIN'!$A$1:$O$120,15,0))</f>
        <v>430.87</v>
      </c>
      <c r="Y1731" s="6"/>
      <c r="Z1731" s="6">
        <f ca="1">('TUSD BE'!$AM$52+'TUSD BF'!$AM$52+'TUSD CVA'!$AM$52)*1</f>
        <v>569.53010942783328</v>
      </c>
      <c r="AA1731" s="6">
        <f>('TE BE'!$AA$16+'TE BF'!$AA$16+'TE CVA'!$AA$16)*1</f>
        <v>375.69180268700768</v>
      </c>
      <c r="AB1731" s="6">
        <f>$K$1731*$V$1731</f>
        <v>0</v>
      </c>
      <c r="AC1731" s="6">
        <f>$M$1731*$W$1731</f>
        <v>86.60199999999999</v>
      </c>
      <c r="AD1731" s="6">
        <f>$O$1731*$X$1731</f>
        <v>74.109639999999999</v>
      </c>
      <c r="AE1731" s="6">
        <f>$K$1731*$Y$1731</f>
        <v>0</v>
      </c>
      <c r="AF1731" s="6">
        <f ca="1">$M$1731*$Z$1731</f>
        <v>97.959178821587315</v>
      </c>
      <c r="AG1731" s="6">
        <f>$O$1731*$AA$1731</f>
        <v>64.618990062165309</v>
      </c>
    </row>
    <row r="1732" spans="1:33" ht="11.25" customHeight="1" x14ac:dyDescent="0.25">
      <c r="A1732" s="4" t="s">
        <v>28</v>
      </c>
      <c r="B1732" s="4" t="s">
        <v>22</v>
      </c>
      <c r="C1732" s="4" t="s">
        <v>37</v>
      </c>
      <c r="D1732" s="4" t="s">
        <v>24</v>
      </c>
      <c r="E1732" s="4" t="s">
        <v>24</v>
      </c>
      <c r="F1732" s="4" t="s">
        <v>25</v>
      </c>
      <c r="G1732" s="4" t="s">
        <v>25</v>
      </c>
      <c r="H1732" s="4" t="s">
        <v>35</v>
      </c>
      <c r="I1732" s="5">
        <v>43831</v>
      </c>
      <c r="J1732" s="6">
        <v>0</v>
      </c>
      <c r="K1732" s="6">
        <v>0</v>
      </c>
      <c r="L1732" s="6">
        <v>3.5000000000000003E-2</v>
      </c>
      <c r="M1732" s="6">
        <v>3.5000000000000003E-2</v>
      </c>
      <c r="N1732" s="6">
        <v>3.5000000000000003E-2</v>
      </c>
      <c r="O1732" s="6">
        <v>3.5000000000000003E-2</v>
      </c>
      <c r="P1732" s="6">
        <v>0</v>
      </c>
      <c r="Q1732" s="4" t="s">
        <v>26</v>
      </c>
      <c r="R1732" s="4">
        <v>0</v>
      </c>
      <c r="S1732" s="6">
        <v>0</v>
      </c>
      <c r="T1732" s="6">
        <v>42</v>
      </c>
      <c r="U1732" s="6">
        <v>85</v>
      </c>
      <c r="V1732" s="6">
        <f>IF(ISERROR(VLOOKUP($S$1732,'TAR FIN'!$A$1:$O$120,15,0)),0,VLOOKUP($S$1732,'TAR FIN'!$A$1:$O$120,15,0))</f>
        <v>0</v>
      </c>
      <c r="W1732" s="6">
        <f>IF(ISERROR(VLOOKUP($T$1732,'TAR FIN'!$A$1:$O$120,15,0)),0,VLOOKUP($T$1732,'TAR FIN'!$A$1:$O$120,15,0))</f>
        <v>503.5</v>
      </c>
      <c r="X1732" s="6">
        <f>IF(ISERROR(VLOOKUP($U$1732,'TAR FIN'!$A$1:$O$120,15,0)),0,VLOOKUP($U$1732,'TAR FIN'!$A$1:$O$120,15,0))</f>
        <v>430.87</v>
      </c>
      <c r="Y1732" s="6"/>
      <c r="Z1732" s="6">
        <f ca="1">('TUSD BE'!$AM$52+'TUSD BF'!$AM$52+'TUSD CVA'!$AM$52)*1</f>
        <v>569.53010942783328</v>
      </c>
      <c r="AA1732" s="6">
        <f>('TE BE'!$AA$16+'TE BF'!$AA$16+'TE CVA'!$AA$16)*1</f>
        <v>375.69180268700768</v>
      </c>
      <c r="AB1732" s="6">
        <f>$K$1732*$V$1732</f>
        <v>0</v>
      </c>
      <c r="AC1732" s="6">
        <f>$M$1732*$W$1732</f>
        <v>17.622500000000002</v>
      </c>
      <c r="AD1732" s="6">
        <f>$O$1732*$X$1732</f>
        <v>15.080450000000001</v>
      </c>
      <c r="AE1732" s="6">
        <f>$K$1732*$Y$1732</f>
        <v>0</v>
      </c>
      <c r="AF1732" s="6">
        <f ca="1">$M$1732*$Z$1732</f>
        <v>19.933553829974166</v>
      </c>
      <c r="AG1732" s="6">
        <f>$O$1732*$AA$1732</f>
        <v>13.149213094045271</v>
      </c>
    </row>
    <row r="1733" spans="1:33" ht="11.25" customHeight="1" x14ac:dyDescent="0.25">
      <c r="A1733" s="4" t="s">
        <v>21</v>
      </c>
      <c r="B1733" s="4" t="s">
        <v>22</v>
      </c>
      <c r="C1733" s="4" t="s">
        <v>37</v>
      </c>
      <c r="D1733" s="4" t="s">
        <v>24</v>
      </c>
      <c r="E1733" s="4" t="s">
        <v>24</v>
      </c>
      <c r="F1733" s="4" t="s">
        <v>25</v>
      </c>
      <c r="G1733" s="4" t="s">
        <v>25</v>
      </c>
      <c r="H1733" s="4" t="s">
        <v>35</v>
      </c>
      <c r="I1733" s="5">
        <v>43862</v>
      </c>
      <c r="J1733" s="6">
        <v>0</v>
      </c>
      <c r="K1733" s="6">
        <v>0</v>
      </c>
      <c r="L1733" s="6">
        <v>19.827000000000002</v>
      </c>
      <c r="M1733" s="6">
        <v>19.827000000000002</v>
      </c>
      <c r="N1733" s="6">
        <v>19.827000000000002</v>
      </c>
      <c r="O1733" s="6">
        <v>19.827000000000002</v>
      </c>
      <c r="P1733" s="6">
        <v>0</v>
      </c>
      <c r="Q1733" s="4" t="s">
        <v>26</v>
      </c>
      <c r="R1733" s="4">
        <v>0</v>
      </c>
      <c r="S1733" s="6">
        <v>0</v>
      </c>
      <c r="T1733" s="6">
        <v>42</v>
      </c>
      <c r="U1733" s="6">
        <v>85</v>
      </c>
      <c r="V1733" s="6">
        <f>IF(ISERROR(VLOOKUP($S$1733,'TAR FIN'!$A$1:$O$120,15,0)),0,VLOOKUP($S$1733,'TAR FIN'!$A$1:$O$120,15,0))</f>
        <v>0</v>
      </c>
      <c r="W1733" s="6">
        <f>IF(ISERROR(VLOOKUP($T$1733,'TAR FIN'!$A$1:$O$120,15,0)),0,VLOOKUP($T$1733,'TAR FIN'!$A$1:$O$120,15,0))</f>
        <v>503.5</v>
      </c>
      <c r="X1733" s="6">
        <f>IF(ISERROR(VLOOKUP($U$1733,'TAR FIN'!$A$1:$O$120,15,0)),0,VLOOKUP($U$1733,'TAR FIN'!$A$1:$O$120,15,0))</f>
        <v>430.87</v>
      </c>
      <c r="Y1733" s="6"/>
      <c r="Z1733" s="6">
        <f ca="1">('TUSD BE'!$AM$52+'TUSD BF'!$AM$52+'TUSD CVA'!$AM$52)*1</f>
        <v>569.53010942783328</v>
      </c>
      <c r="AA1733" s="6">
        <f>('TE BE'!$AA$16+'TE BF'!$AA$16+'TE CVA'!$AA$16)*1</f>
        <v>375.69180268700768</v>
      </c>
      <c r="AB1733" s="6">
        <f>$K$1733*$V$1733</f>
        <v>0</v>
      </c>
      <c r="AC1733" s="6">
        <f>$M$1733*$W$1733</f>
        <v>9982.8945000000003</v>
      </c>
      <c r="AD1733" s="6">
        <f>$O$1733*$X$1733</f>
        <v>8542.8594900000007</v>
      </c>
      <c r="AE1733" s="6">
        <f>$K$1733*$Y$1733</f>
        <v>0</v>
      </c>
      <c r="AF1733" s="6">
        <f ca="1">$M$1733*$Z$1733</f>
        <v>11292.073479625651</v>
      </c>
      <c r="AG1733" s="6">
        <f>$O$1733*$AA$1733</f>
        <v>7448.8413718753018</v>
      </c>
    </row>
    <row r="1734" spans="1:33" ht="11.25" customHeight="1" x14ac:dyDescent="0.25">
      <c r="A1734" s="4" t="s">
        <v>27</v>
      </c>
      <c r="B1734" s="4" t="s">
        <v>22</v>
      </c>
      <c r="C1734" s="4" t="s">
        <v>37</v>
      </c>
      <c r="D1734" s="4" t="s">
        <v>24</v>
      </c>
      <c r="E1734" s="4" t="s">
        <v>24</v>
      </c>
      <c r="F1734" s="4" t="s">
        <v>25</v>
      </c>
      <c r="G1734" s="4" t="s">
        <v>25</v>
      </c>
      <c r="H1734" s="4" t="s">
        <v>35</v>
      </c>
      <c r="I1734" s="5">
        <v>43862</v>
      </c>
      <c r="J1734" s="6">
        <v>0</v>
      </c>
      <c r="K1734" s="6">
        <v>0</v>
      </c>
      <c r="L1734" s="6">
        <v>0.11700000000000001</v>
      </c>
      <c r="M1734" s="6">
        <v>0.11700000000000001</v>
      </c>
      <c r="N1734" s="6">
        <v>0.11700000000000001</v>
      </c>
      <c r="O1734" s="6">
        <v>0.11700000000000001</v>
      </c>
      <c r="P1734" s="6">
        <v>0</v>
      </c>
      <c r="Q1734" s="4" t="s">
        <v>26</v>
      </c>
      <c r="R1734" s="4">
        <v>0</v>
      </c>
      <c r="S1734" s="6">
        <v>0</v>
      </c>
      <c r="T1734" s="6">
        <v>42</v>
      </c>
      <c r="U1734" s="6">
        <v>85</v>
      </c>
      <c r="V1734" s="6">
        <f>IF(ISERROR(VLOOKUP($S$1734,'TAR FIN'!$A$1:$O$120,15,0)),0,VLOOKUP($S$1734,'TAR FIN'!$A$1:$O$120,15,0))</f>
        <v>0</v>
      </c>
      <c r="W1734" s="6">
        <f>IF(ISERROR(VLOOKUP($T$1734,'TAR FIN'!$A$1:$O$120,15,0)),0,VLOOKUP($T$1734,'TAR FIN'!$A$1:$O$120,15,0))</f>
        <v>503.5</v>
      </c>
      <c r="X1734" s="6">
        <f>IF(ISERROR(VLOOKUP($U$1734,'TAR FIN'!$A$1:$O$120,15,0)),0,VLOOKUP($U$1734,'TAR FIN'!$A$1:$O$120,15,0))</f>
        <v>430.87</v>
      </c>
      <c r="Y1734" s="6"/>
      <c r="Z1734" s="6">
        <f ca="1">('TUSD BE'!$AM$52+'TUSD BF'!$AM$52+'TUSD CVA'!$AM$52)*1</f>
        <v>569.53010942783328</v>
      </c>
      <c r="AA1734" s="6">
        <f>('TE BE'!$AA$16+'TE BF'!$AA$16+'TE CVA'!$AA$16)*1</f>
        <v>375.69180268700768</v>
      </c>
      <c r="AB1734" s="6">
        <f>$K$1734*$V$1734</f>
        <v>0</v>
      </c>
      <c r="AC1734" s="6">
        <f>$M$1734*$W$1734</f>
        <v>58.909500000000001</v>
      </c>
      <c r="AD1734" s="6">
        <f>$O$1734*$X$1734</f>
        <v>50.411790000000003</v>
      </c>
      <c r="AE1734" s="6">
        <f>$K$1734*$Y$1734</f>
        <v>0</v>
      </c>
      <c r="AF1734" s="6">
        <f ca="1">$M$1734*$Z$1734</f>
        <v>66.635022803056501</v>
      </c>
      <c r="AG1734" s="6">
        <f>$O$1734*$AA$1734</f>
        <v>43.955940914379902</v>
      </c>
    </row>
    <row r="1735" spans="1:33" ht="11.25" customHeight="1" x14ac:dyDescent="0.25">
      <c r="A1735" s="4" t="s">
        <v>21</v>
      </c>
      <c r="B1735" s="4" t="s">
        <v>22</v>
      </c>
      <c r="C1735" s="4" t="s">
        <v>37</v>
      </c>
      <c r="D1735" s="4" t="s">
        <v>24</v>
      </c>
      <c r="E1735" s="4" t="s">
        <v>24</v>
      </c>
      <c r="F1735" s="4" t="s">
        <v>25</v>
      </c>
      <c r="G1735" s="4" t="s">
        <v>25</v>
      </c>
      <c r="H1735" s="4" t="s">
        <v>35</v>
      </c>
      <c r="I1735" s="5">
        <v>43891</v>
      </c>
      <c r="J1735" s="6">
        <v>0</v>
      </c>
      <c r="K1735" s="6">
        <v>0</v>
      </c>
      <c r="L1735" s="6">
        <v>19.361999999999998</v>
      </c>
      <c r="M1735" s="6">
        <v>19.361999999999998</v>
      </c>
      <c r="N1735" s="6">
        <v>19.361999999999998</v>
      </c>
      <c r="O1735" s="6">
        <v>19.361999999999998</v>
      </c>
      <c r="P1735" s="6">
        <v>0</v>
      </c>
      <c r="Q1735" s="4" t="s">
        <v>26</v>
      </c>
      <c r="R1735" s="4">
        <v>0</v>
      </c>
      <c r="S1735" s="6">
        <v>0</v>
      </c>
      <c r="T1735" s="6">
        <v>42</v>
      </c>
      <c r="U1735" s="6">
        <v>85</v>
      </c>
      <c r="V1735" s="6">
        <f>IF(ISERROR(VLOOKUP($S$1735,'TAR FIN'!$A$1:$O$120,15,0)),0,VLOOKUP($S$1735,'TAR FIN'!$A$1:$O$120,15,0))</f>
        <v>0</v>
      </c>
      <c r="W1735" s="6">
        <f>IF(ISERROR(VLOOKUP($T$1735,'TAR FIN'!$A$1:$O$120,15,0)),0,VLOOKUP($T$1735,'TAR FIN'!$A$1:$O$120,15,0))</f>
        <v>503.5</v>
      </c>
      <c r="X1735" s="6">
        <f>IF(ISERROR(VLOOKUP($U$1735,'TAR FIN'!$A$1:$O$120,15,0)),0,VLOOKUP($U$1735,'TAR FIN'!$A$1:$O$120,15,0))</f>
        <v>430.87</v>
      </c>
      <c r="Y1735" s="6"/>
      <c r="Z1735" s="6">
        <f ca="1">('TUSD BE'!$AM$52+'TUSD BF'!$AM$52+'TUSD CVA'!$AM$52)*1</f>
        <v>569.53010942783328</v>
      </c>
      <c r="AA1735" s="6">
        <f>('TE BE'!$AA$16+'TE BF'!$AA$16+'TE CVA'!$AA$16)*1</f>
        <v>375.69180268700768</v>
      </c>
      <c r="AB1735" s="6">
        <f>$K$1735*$V$1735</f>
        <v>0</v>
      </c>
      <c r="AC1735" s="6">
        <f>$M$1735*$W$1735</f>
        <v>9748.7669999999998</v>
      </c>
      <c r="AD1735" s="6">
        <f>$O$1735*$X$1735</f>
        <v>8342.5049399999989</v>
      </c>
      <c r="AE1735" s="6">
        <f>$K$1735*$Y$1735</f>
        <v>0</v>
      </c>
      <c r="AF1735" s="6">
        <f ca="1">$M$1735*$Z$1735</f>
        <v>11027.241978741707</v>
      </c>
      <c r="AG1735" s="6">
        <f>$O$1735*$AA$1735</f>
        <v>7274.1446836258419</v>
      </c>
    </row>
    <row r="1736" spans="1:33" ht="11.25" customHeight="1" x14ac:dyDescent="0.25">
      <c r="A1736" s="4" t="s">
        <v>27</v>
      </c>
      <c r="B1736" s="4" t="s">
        <v>22</v>
      </c>
      <c r="C1736" s="4" t="s">
        <v>37</v>
      </c>
      <c r="D1736" s="4" t="s">
        <v>24</v>
      </c>
      <c r="E1736" s="4" t="s">
        <v>24</v>
      </c>
      <c r="F1736" s="4" t="s">
        <v>25</v>
      </c>
      <c r="G1736" s="4" t="s">
        <v>25</v>
      </c>
      <c r="H1736" s="4" t="s">
        <v>35</v>
      </c>
      <c r="I1736" s="5">
        <v>43891</v>
      </c>
      <c r="J1736" s="6">
        <v>0</v>
      </c>
      <c r="K1736" s="6">
        <v>0</v>
      </c>
      <c r="L1736" s="6">
        <v>2.5000000000000001E-2</v>
      </c>
      <c r="M1736" s="6">
        <v>2.5000000000000001E-2</v>
      </c>
      <c r="N1736" s="6">
        <v>2.5000000000000001E-2</v>
      </c>
      <c r="O1736" s="6">
        <v>2.5000000000000001E-2</v>
      </c>
      <c r="P1736" s="6">
        <v>0</v>
      </c>
      <c r="Q1736" s="4" t="s">
        <v>26</v>
      </c>
      <c r="R1736" s="4">
        <v>0</v>
      </c>
      <c r="S1736" s="6">
        <v>0</v>
      </c>
      <c r="T1736" s="6">
        <v>42</v>
      </c>
      <c r="U1736" s="6">
        <v>85</v>
      </c>
      <c r="V1736" s="6">
        <f>IF(ISERROR(VLOOKUP($S$1736,'TAR FIN'!$A$1:$O$120,15,0)),0,VLOOKUP($S$1736,'TAR FIN'!$A$1:$O$120,15,0))</f>
        <v>0</v>
      </c>
      <c r="W1736" s="6">
        <f>IF(ISERROR(VLOOKUP($T$1736,'TAR FIN'!$A$1:$O$120,15,0)),0,VLOOKUP($T$1736,'TAR FIN'!$A$1:$O$120,15,0))</f>
        <v>503.5</v>
      </c>
      <c r="X1736" s="6">
        <f>IF(ISERROR(VLOOKUP($U$1736,'TAR FIN'!$A$1:$O$120,15,0)),0,VLOOKUP($U$1736,'TAR FIN'!$A$1:$O$120,15,0))</f>
        <v>430.87</v>
      </c>
      <c r="Y1736" s="6"/>
      <c r="Z1736" s="6">
        <f ca="1">('TUSD BE'!$AM$52+'TUSD BF'!$AM$52+'TUSD CVA'!$AM$52)*1</f>
        <v>569.53010942783328</v>
      </c>
      <c r="AA1736" s="6">
        <f>('TE BE'!$AA$16+'TE BF'!$AA$16+'TE CVA'!$AA$16)*1</f>
        <v>375.69180268700768</v>
      </c>
      <c r="AB1736" s="6">
        <f>$K$1736*$V$1736</f>
        <v>0</v>
      </c>
      <c r="AC1736" s="6">
        <f>$M$1736*$W$1736</f>
        <v>12.5875</v>
      </c>
      <c r="AD1736" s="6">
        <f>$O$1736*$X$1736</f>
        <v>10.771750000000001</v>
      </c>
      <c r="AE1736" s="6">
        <f>$K$1736*$Y$1736</f>
        <v>0</v>
      </c>
      <c r="AF1736" s="6">
        <f ca="1">$M$1736*$Z$1736</f>
        <v>14.238252735695832</v>
      </c>
      <c r="AG1736" s="6">
        <f>$O$1736*$AA$1736</f>
        <v>9.3922950671751924</v>
      </c>
    </row>
    <row r="1737" spans="1:33" ht="11.25" customHeight="1" x14ac:dyDescent="0.25">
      <c r="A1737" s="4" t="s">
        <v>21</v>
      </c>
      <c r="B1737" s="4" t="s">
        <v>22</v>
      </c>
      <c r="C1737" s="4" t="s">
        <v>37</v>
      </c>
      <c r="D1737" s="4" t="s">
        <v>24</v>
      </c>
      <c r="E1737" s="4" t="s">
        <v>24</v>
      </c>
      <c r="F1737" s="4" t="s">
        <v>25</v>
      </c>
      <c r="G1737" s="4" t="s">
        <v>25</v>
      </c>
      <c r="H1737" s="4" t="s">
        <v>35</v>
      </c>
      <c r="I1737" s="5">
        <v>43922</v>
      </c>
      <c r="J1737" s="6">
        <v>0</v>
      </c>
      <c r="K1737" s="6">
        <v>0</v>
      </c>
      <c r="L1737" s="6">
        <v>21.719000000000001</v>
      </c>
      <c r="M1737" s="6">
        <v>21.719000000000001</v>
      </c>
      <c r="N1737" s="6">
        <v>21.719000000000001</v>
      </c>
      <c r="O1737" s="6">
        <v>21.719000000000001</v>
      </c>
      <c r="P1737" s="6">
        <v>0</v>
      </c>
      <c r="Q1737" s="4" t="s">
        <v>26</v>
      </c>
      <c r="R1737" s="4">
        <v>0</v>
      </c>
      <c r="S1737" s="6">
        <v>0</v>
      </c>
      <c r="T1737" s="6">
        <v>42</v>
      </c>
      <c r="U1737" s="6">
        <v>85</v>
      </c>
      <c r="V1737" s="6">
        <f>IF(ISERROR(VLOOKUP($S$1737,'TAR FIN'!$A$1:$O$120,15,0)),0,VLOOKUP($S$1737,'TAR FIN'!$A$1:$O$120,15,0))</f>
        <v>0</v>
      </c>
      <c r="W1737" s="6">
        <f>IF(ISERROR(VLOOKUP($T$1737,'TAR FIN'!$A$1:$O$120,15,0)),0,VLOOKUP($T$1737,'TAR FIN'!$A$1:$O$120,15,0))</f>
        <v>503.5</v>
      </c>
      <c r="X1737" s="6">
        <f>IF(ISERROR(VLOOKUP($U$1737,'TAR FIN'!$A$1:$O$120,15,0)),0,VLOOKUP($U$1737,'TAR FIN'!$A$1:$O$120,15,0))</f>
        <v>430.87</v>
      </c>
      <c r="Y1737" s="6"/>
      <c r="Z1737" s="6">
        <f ca="1">('TUSD BE'!$AM$52+'TUSD BF'!$AM$52+'TUSD CVA'!$AM$52)*1</f>
        <v>569.53010942783328</v>
      </c>
      <c r="AA1737" s="6">
        <f>('TE BE'!$AA$16+'TE BF'!$AA$16+'TE CVA'!$AA$16)*1</f>
        <v>375.69180268700768</v>
      </c>
      <c r="AB1737" s="6">
        <f>$K$1737*$V$1737</f>
        <v>0</v>
      </c>
      <c r="AC1737" s="6">
        <f>$M$1737*$W$1737</f>
        <v>10935.5165</v>
      </c>
      <c r="AD1737" s="6">
        <f>$O$1737*$X$1737</f>
        <v>9358.0655299999999</v>
      </c>
      <c r="AE1737" s="6">
        <f>$K$1737*$Y$1737</f>
        <v>0</v>
      </c>
      <c r="AF1737" s="6">
        <f ca="1">$M$1737*$Z$1737</f>
        <v>12369.624446663112</v>
      </c>
      <c r="AG1737" s="6">
        <f>$O$1737*$AA$1737</f>
        <v>8159.6502625591202</v>
      </c>
    </row>
    <row r="1738" spans="1:33" ht="11.25" customHeight="1" x14ac:dyDescent="0.25">
      <c r="A1738" s="4" t="s">
        <v>27</v>
      </c>
      <c r="B1738" s="4" t="s">
        <v>22</v>
      </c>
      <c r="C1738" s="4" t="s">
        <v>37</v>
      </c>
      <c r="D1738" s="4" t="s">
        <v>24</v>
      </c>
      <c r="E1738" s="4" t="s">
        <v>24</v>
      </c>
      <c r="F1738" s="4" t="s">
        <v>25</v>
      </c>
      <c r="G1738" s="4" t="s">
        <v>25</v>
      </c>
      <c r="H1738" s="4" t="s">
        <v>35</v>
      </c>
      <c r="I1738" s="5">
        <v>43922</v>
      </c>
      <c r="J1738" s="6">
        <v>0</v>
      </c>
      <c r="K1738" s="6">
        <v>0</v>
      </c>
      <c r="L1738" s="6">
        <v>5.8000000000000003E-2</v>
      </c>
      <c r="M1738" s="6">
        <v>5.8000000000000003E-2</v>
      </c>
      <c r="N1738" s="6">
        <v>5.8000000000000003E-2</v>
      </c>
      <c r="O1738" s="6">
        <v>5.8000000000000003E-2</v>
      </c>
      <c r="P1738" s="6">
        <v>0</v>
      </c>
      <c r="Q1738" s="4" t="s">
        <v>26</v>
      </c>
      <c r="R1738" s="4">
        <v>0</v>
      </c>
      <c r="S1738" s="6">
        <v>0</v>
      </c>
      <c r="T1738" s="6">
        <v>42</v>
      </c>
      <c r="U1738" s="6">
        <v>85</v>
      </c>
      <c r="V1738" s="6">
        <f>IF(ISERROR(VLOOKUP($S$1738,'TAR FIN'!$A$1:$O$120,15,0)),0,VLOOKUP($S$1738,'TAR FIN'!$A$1:$O$120,15,0))</f>
        <v>0</v>
      </c>
      <c r="W1738" s="6">
        <f>IF(ISERROR(VLOOKUP($T$1738,'TAR FIN'!$A$1:$O$120,15,0)),0,VLOOKUP($T$1738,'TAR FIN'!$A$1:$O$120,15,0))</f>
        <v>503.5</v>
      </c>
      <c r="X1738" s="6">
        <f>IF(ISERROR(VLOOKUP($U$1738,'TAR FIN'!$A$1:$O$120,15,0)),0,VLOOKUP($U$1738,'TAR FIN'!$A$1:$O$120,15,0))</f>
        <v>430.87</v>
      </c>
      <c r="Y1738" s="6"/>
      <c r="Z1738" s="6">
        <f ca="1">('TUSD BE'!$AM$52+'TUSD BF'!$AM$52+'TUSD CVA'!$AM$52)*1</f>
        <v>569.53010942783328</v>
      </c>
      <c r="AA1738" s="6">
        <f>('TE BE'!$AA$16+'TE BF'!$AA$16+'TE CVA'!$AA$16)*1</f>
        <v>375.69180268700768</v>
      </c>
      <c r="AB1738" s="6">
        <f>$K$1738*$V$1738</f>
        <v>0</v>
      </c>
      <c r="AC1738" s="6">
        <f>$M$1738*$W$1738</f>
        <v>29.203000000000003</v>
      </c>
      <c r="AD1738" s="6">
        <f>$O$1738*$X$1738</f>
        <v>24.990460000000002</v>
      </c>
      <c r="AE1738" s="6">
        <f>$K$1738*$Y$1738</f>
        <v>0</v>
      </c>
      <c r="AF1738" s="6">
        <f ca="1">$M$1738*$Z$1738</f>
        <v>33.032746346814335</v>
      </c>
      <c r="AG1738" s="6">
        <f>$O$1738*$AA$1738</f>
        <v>21.790124555846447</v>
      </c>
    </row>
    <row r="1739" spans="1:33" ht="11.25" customHeight="1" x14ac:dyDescent="0.25">
      <c r="A1739" s="4" t="s">
        <v>21</v>
      </c>
      <c r="B1739" s="4" t="s">
        <v>22</v>
      </c>
      <c r="C1739" s="4" t="s">
        <v>37</v>
      </c>
      <c r="D1739" s="4" t="s">
        <v>24</v>
      </c>
      <c r="E1739" s="4" t="s">
        <v>24</v>
      </c>
      <c r="F1739" s="4" t="s">
        <v>25</v>
      </c>
      <c r="G1739" s="4" t="s">
        <v>25</v>
      </c>
      <c r="H1739" s="4" t="s">
        <v>35</v>
      </c>
      <c r="I1739" s="5">
        <v>43952</v>
      </c>
      <c r="J1739" s="6">
        <v>0</v>
      </c>
      <c r="K1739" s="6">
        <v>0</v>
      </c>
      <c r="L1739" s="6">
        <v>20.113</v>
      </c>
      <c r="M1739" s="6">
        <v>20.113</v>
      </c>
      <c r="N1739" s="6">
        <v>20.113</v>
      </c>
      <c r="O1739" s="6">
        <v>20.113</v>
      </c>
      <c r="P1739" s="6">
        <v>0</v>
      </c>
      <c r="Q1739" s="4" t="s">
        <v>26</v>
      </c>
      <c r="R1739" s="4">
        <v>0</v>
      </c>
      <c r="S1739" s="6">
        <v>0</v>
      </c>
      <c r="T1739" s="6">
        <v>42</v>
      </c>
      <c r="U1739" s="6">
        <v>85</v>
      </c>
      <c r="V1739" s="6">
        <f>IF(ISERROR(VLOOKUP($S$1739,'TAR FIN'!$A$1:$O$120,15,0)),0,VLOOKUP($S$1739,'TAR FIN'!$A$1:$O$120,15,0))</f>
        <v>0</v>
      </c>
      <c r="W1739" s="6">
        <f>IF(ISERROR(VLOOKUP($T$1739,'TAR FIN'!$A$1:$O$120,15,0)),0,VLOOKUP($T$1739,'TAR FIN'!$A$1:$O$120,15,0))</f>
        <v>503.5</v>
      </c>
      <c r="X1739" s="6">
        <f>IF(ISERROR(VLOOKUP($U$1739,'TAR FIN'!$A$1:$O$120,15,0)),0,VLOOKUP($U$1739,'TAR FIN'!$A$1:$O$120,15,0))</f>
        <v>430.87</v>
      </c>
      <c r="Y1739" s="6"/>
      <c r="Z1739" s="6">
        <f ca="1">('TUSD BE'!$AM$52+'TUSD BF'!$AM$52+'TUSD CVA'!$AM$52)*1</f>
        <v>569.53010942783328</v>
      </c>
      <c r="AA1739" s="6">
        <f>('TE BE'!$AA$16+'TE BF'!$AA$16+'TE CVA'!$AA$16)*1</f>
        <v>375.69180268700768</v>
      </c>
      <c r="AB1739" s="6">
        <f>$K$1739*$V$1739</f>
        <v>0</v>
      </c>
      <c r="AC1739" s="6">
        <f>$M$1739*$W$1739</f>
        <v>10126.895500000001</v>
      </c>
      <c r="AD1739" s="6">
        <f>$O$1739*$X$1739</f>
        <v>8666.0883099999992</v>
      </c>
      <c r="AE1739" s="6">
        <f>$K$1739*$Y$1739</f>
        <v>0</v>
      </c>
      <c r="AF1739" s="6">
        <f ca="1">$M$1739*$Z$1739</f>
        <v>11454.95909092201</v>
      </c>
      <c r="AG1739" s="6">
        <f>$O$1739*$AA$1739</f>
        <v>7556.2892274437854</v>
      </c>
    </row>
    <row r="1740" spans="1:33" ht="11.25" customHeight="1" x14ac:dyDescent="0.25">
      <c r="A1740" s="4" t="s">
        <v>27</v>
      </c>
      <c r="B1740" s="4" t="s">
        <v>22</v>
      </c>
      <c r="C1740" s="4" t="s">
        <v>37</v>
      </c>
      <c r="D1740" s="4" t="s">
        <v>24</v>
      </c>
      <c r="E1740" s="4" t="s">
        <v>24</v>
      </c>
      <c r="F1740" s="4" t="s">
        <v>25</v>
      </c>
      <c r="G1740" s="4" t="s">
        <v>25</v>
      </c>
      <c r="H1740" s="4" t="s">
        <v>35</v>
      </c>
      <c r="I1740" s="5">
        <v>43952</v>
      </c>
      <c r="J1740" s="6">
        <v>0</v>
      </c>
      <c r="K1740" s="6">
        <v>0</v>
      </c>
      <c r="L1740" s="6">
        <v>0.111</v>
      </c>
      <c r="M1740" s="6">
        <v>0.111</v>
      </c>
      <c r="N1740" s="6">
        <v>0.111</v>
      </c>
      <c r="O1740" s="6">
        <v>0.111</v>
      </c>
      <c r="P1740" s="6">
        <v>0</v>
      </c>
      <c r="Q1740" s="4" t="s">
        <v>26</v>
      </c>
      <c r="R1740" s="4">
        <v>0</v>
      </c>
      <c r="S1740" s="6">
        <v>0</v>
      </c>
      <c r="T1740" s="6">
        <v>42</v>
      </c>
      <c r="U1740" s="6">
        <v>85</v>
      </c>
      <c r="V1740" s="6">
        <f>IF(ISERROR(VLOOKUP($S$1740,'TAR FIN'!$A$1:$O$120,15,0)),0,VLOOKUP($S$1740,'TAR FIN'!$A$1:$O$120,15,0))</f>
        <v>0</v>
      </c>
      <c r="W1740" s="6">
        <f>IF(ISERROR(VLOOKUP($T$1740,'TAR FIN'!$A$1:$O$120,15,0)),0,VLOOKUP($T$1740,'TAR FIN'!$A$1:$O$120,15,0))</f>
        <v>503.5</v>
      </c>
      <c r="X1740" s="6">
        <f>IF(ISERROR(VLOOKUP($U$1740,'TAR FIN'!$A$1:$O$120,15,0)),0,VLOOKUP($U$1740,'TAR FIN'!$A$1:$O$120,15,0))</f>
        <v>430.87</v>
      </c>
      <c r="Y1740" s="6"/>
      <c r="Z1740" s="6">
        <f ca="1">('TUSD BE'!$AM$52+'TUSD BF'!$AM$52+'TUSD CVA'!$AM$52)*1</f>
        <v>569.53010942783328</v>
      </c>
      <c r="AA1740" s="6">
        <f>('TE BE'!$AA$16+'TE BF'!$AA$16+'TE CVA'!$AA$16)*1</f>
        <v>375.69180268700768</v>
      </c>
      <c r="AB1740" s="6">
        <f>$K$1740*$V$1740</f>
        <v>0</v>
      </c>
      <c r="AC1740" s="6">
        <f>$M$1740*$W$1740</f>
        <v>55.888500000000001</v>
      </c>
      <c r="AD1740" s="6">
        <f>$O$1740*$X$1740</f>
        <v>47.826570000000004</v>
      </c>
      <c r="AE1740" s="6">
        <f>$K$1740*$Y$1740</f>
        <v>0</v>
      </c>
      <c r="AF1740" s="6">
        <f ca="1">$M$1740*$Z$1740</f>
        <v>63.217842146489495</v>
      </c>
      <c r="AG1740" s="6">
        <f>$O$1740*$AA$1740</f>
        <v>41.701790098257852</v>
      </c>
    </row>
    <row r="1741" spans="1:33" ht="11.25" customHeight="1" x14ac:dyDescent="0.25">
      <c r="A1741" s="4" t="s">
        <v>21</v>
      </c>
      <c r="B1741" s="4" t="s">
        <v>22</v>
      </c>
      <c r="C1741" s="4" t="s">
        <v>37</v>
      </c>
      <c r="D1741" s="4" t="s">
        <v>24</v>
      </c>
      <c r="E1741" s="4" t="s">
        <v>24</v>
      </c>
      <c r="F1741" s="4" t="s">
        <v>25</v>
      </c>
      <c r="G1741" s="4" t="s">
        <v>25</v>
      </c>
      <c r="H1741" s="4" t="s">
        <v>35</v>
      </c>
      <c r="I1741" s="5">
        <v>43983</v>
      </c>
      <c r="J1741" s="6">
        <v>0</v>
      </c>
      <c r="K1741" s="6">
        <v>0</v>
      </c>
      <c r="L1741" s="6">
        <v>20.027000000000001</v>
      </c>
      <c r="M1741" s="6">
        <v>20.027000000000001</v>
      </c>
      <c r="N1741" s="6">
        <v>20.027000000000001</v>
      </c>
      <c r="O1741" s="6">
        <v>20.027000000000001</v>
      </c>
      <c r="P1741" s="6">
        <v>0</v>
      </c>
      <c r="Q1741" s="4" t="s">
        <v>26</v>
      </c>
      <c r="R1741" s="4">
        <v>0</v>
      </c>
      <c r="S1741" s="6">
        <v>0</v>
      </c>
      <c r="T1741" s="6">
        <v>42</v>
      </c>
      <c r="U1741" s="6">
        <v>85</v>
      </c>
      <c r="V1741" s="6">
        <f>IF(ISERROR(VLOOKUP($S$1741,'TAR FIN'!$A$1:$O$120,15,0)),0,VLOOKUP($S$1741,'TAR FIN'!$A$1:$O$120,15,0))</f>
        <v>0</v>
      </c>
      <c r="W1741" s="6">
        <f>IF(ISERROR(VLOOKUP($T$1741,'TAR FIN'!$A$1:$O$120,15,0)),0,VLOOKUP($T$1741,'TAR FIN'!$A$1:$O$120,15,0))</f>
        <v>503.5</v>
      </c>
      <c r="X1741" s="6">
        <f>IF(ISERROR(VLOOKUP($U$1741,'TAR FIN'!$A$1:$O$120,15,0)),0,VLOOKUP($U$1741,'TAR FIN'!$A$1:$O$120,15,0))</f>
        <v>430.87</v>
      </c>
      <c r="Y1741" s="6"/>
      <c r="Z1741" s="6">
        <f ca="1">('TUSD BE'!$AM$52+'TUSD BF'!$AM$52+'TUSD CVA'!$AM$52)*1</f>
        <v>569.53010942783328</v>
      </c>
      <c r="AA1741" s="6">
        <f>('TE BE'!$AA$16+'TE BF'!$AA$16+'TE CVA'!$AA$16)*1</f>
        <v>375.69180268700768</v>
      </c>
      <c r="AB1741" s="6">
        <f>$K$1741*$V$1741</f>
        <v>0</v>
      </c>
      <c r="AC1741" s="6">
        <f>$M$1741*$W$1741</f>
        <v>10083.594500000001</v>
      </c>
      <c r="AD1741" s="6">
        <f>$O$1741*$X$1741</f>
        <v>8629.0334899999998</v>
      </c>
      <c r="AE1741" s="6">
        <f>$K$1741*$Y$1741</f>
        <v>0</v>
      </c>
      <c r="AF1741" s="6">
        <f ca="1">$M$1741*$Z$1741</f>
        <v>11405.979501511218</v>
      </c>
      <c r="AG1741" s="6">
        <f>$O$1741*$AA$1741</f>
        <v>7523.979732412703</v>
      </c>
    </row>
    <row r="1742" spans="1:33" ht="11.25" customHeight="1" x14ac:dyDescent="0.25">
      <c r="A1742" s="4" t="s">
        <v>27</v>
      </c>
      <c r="B1742" s="4" t="s">
        <v>22</v>
      </c>
      <c r="C1742" s="4" t="s">
        <v>37</v>
      </c>
      <c r="D1742" s="4" t="s">
        <v>24</v>
      </c>
      <c r="E1742" s="4" t="s">
        <v>24</v>
      </c>
      <c r="F1742" s="4" t="s">
        <v>25</v>
      </c>
      <c r="G1742" s="4" t="s">
        <v>25</v>
      </c>
      <c r="H1742" s="4" t="s">
        <v>35</v>
      </c>
      <c r="I1742" s="5">
        <v>43983</v>
      </c>
      <c r="J1742" s="6">
        <v>0</v>
      </c>
      <c r="K1742" s="6">
        <v>0</v>
      </c>
      <c r="L1742" s="6">
        <v>0.17699999999999999</v>
      </c>
      <c r="M1742" s="6">
        <v>0.17699999999999999</v>
      </c>
      <c r="N1742" s="6">
        <v>0.17699999999999999</v>
      </c>
      <c r="O1742" s="6">
        <v>0.17699999999999999</v>
      </c>
      <c r="P1742" s="6">
        <v>0</v>
      </c>
      <c r="Q1742" s="4" t="s">
        <v>26</v>
      </c>
      <c r="R1742" s="4">
        <v>0</v>
      </c>
      <c r="S1742" s="6">
        <v>0</v>
      </c>
      <c r="T1742" s="6">
        <v>42</v>
      </c>
      <c r="U1742" s="6">
        <v>85</v>
      </c>
      <c r="V1742" s="6">
        <f>IF(ISERROR(VLOOKUP($S$1742,'TAR FIN'!$A$1:$O$120,15,0)),0,VLOOKUP($S$1742,'TAR FIN'!$A$1:$O$120,15,0))</f>
        <v>0</v>
      </c>
      <c r="W1742" s="6">
        <f>IF(ISERROR(VLOOKUP($T$1742,'TAR FIN'!$A$1:$O$120,15,0)),0,VLOOKUP($T$1742,'TAR FIN'!$A$1:$O$120,15,0))</f>
        <v>503.5</v>
      </c>
      <c r="X1742" s="6">
        <f>IF(ISERROR(VLOOKUP($U$1742,'TAR FIN'!$A$1:$O$120,15,0)),0,VLOOKUP($U$1742,'TAR FIN'!$A$1:$O$120,15,0))</f>
        <v>430.87</v>
      </c>
      <c r="Y1742" s="6"/>
      <c r="Z1742" s="6">
        <f ca="1">('TUSD BE'!$AM$52+'TUSD BF'!$AM$52+'TUSD CVA'!$AM$52)*1</f>
        <v>569.53010942783328</v>
      </c>
      <c r="AA1742" s="6">
        <f>('TE BE'!$AA$16+'TE BF'!$AA$16+'TE CVA'!$AA$16)*1</f>
        <v>375.69180268700768</v>
      </c>
      <c r="AB1742" s="6">
        <f>$K$1742*$V$1742</f>
        <v>0</v>
      </c>
      <c r="AC1742" s="6">
        <f>$M$1742*$W$1742</f>
        <v>89.119500000000002</v>
      </c>
      <c r="AD1742" s="6">
        <f>$O$1742*$X$1742</f>
        <v>76.263989999999993</v>
      </c>
      <c r="AE1742" s="6">
        <f>$K$1742*$Y$1742</f>
        <v>0</v>
      </c>
      <c r="AF1742" s="6">
        <f ca="1">$M$1742*$Z$1742</f>
        <v>100.80682936872648</v>
      </c>
      <c r="AG1742" s="6">
        <f>$O$1742*$AA$1742</f>
        <v>66.497449075600358</v>
      </c>
    </row>
    <row r="1743" spans="1:33" ht="11.25" customHeight="1" x14ac:dyDescent="0.25">
      <c r="A1743" s="4" t="s">
        <v>21</v>
      </c>
      <c r="B1743" s="4" t="s">
        <v>22</v>
      </c>
      <c r="C1743" s="4" t="s">
        <v>37</v>
      </c>
      <c r="D1743" s="4" t="s">
        <v>24</v>
      </c>
      <c r="E1743" s="4" t="s">
        <v>24</v>
      </c>
      <c r="F1743" s="4" t="s">
        <v>25</v>
      </c>
      <c r="G1743" s="4" t="s">
        <v>25</v>
      </c>
      <c r="H1743" s="4" t="s">
        <v>35</v>
      </c>
      <c r="I1743" s="5">
        <v>44013</v>
      </c>
      <c r="J1743" s="6">
        <v>0</v>
      </c>
      <c r="K1743" s="6">
        <v>0</v>
      </c>
      <c r="L1743" s="6">
        <v>20.957999999999998</v>
      </c>
      <c r="M1743" s="6">
        <v>20.957999999999998</v>
      </c>
      <c r="N1743" s="6">
        <v>20.957999999999998</v>
      </c>
      <c r="O1743" s="6">
        <v>20.957999999999998</v>
      </c>
      <c r="P1743" s="6">
        <v>0</v>
      </c>
      <c r="Q1743" s="4" t="s">
        <v>26</v>
      </c>
      <c r="R1743" s="4">
        <v>0</v>
      </c>
      <c r="S1743" s="6">
        <v>0</v>
      </c>
      <c r="T1743" s="6">
        <v>42</v>
      </c>
      <c r="U1743" s="6">
        <v>85</v>
      </c>
      <c r="V1743" s="6">
        <f>IF(ISERROR(VLOOKUP($S$1743,'TAR FIN'!$A$1:$O$120,15,0)),0,VLOOKUP($S$1743,'TAR FIN'!$A$1:$O$120,15,0))</f>
        <v>0</v>
      </c>
      <c r="W1743" s="6">
        <f>IF(ISERROR(VLOOKUP($T$1743,'TAR FIN'!$A$1:$O$120,15,0)),0,VLOOKUP($T$1743,'TAR FIN'!$A$1:$O$120,15,0))</f>
        <v>503.5</v>
      </c>
      <c r="X1743" s="6">
        <f>IF(ISERROR(VLOOKUP($U$1743,'TAR FIN'!$A$1:$O$120,15,0)),0,VLOOKUP($U$1743,'TAR FIN'!$A$1:$O$120,15,0))</f>
        <v>430.87</v>
      </c>
      <c r="Y1743" s="6"/>
      <c r="Z1743" s="6">
        <f ca="1">('TUSD BE'!$AM$52+'TUSD BF'!$AM$52+'TUSD CVA'!$AM$52)*1</f>
        <v>569.53010942783328</v>
      </c>
      <c r="AA1743" s="6">
        <f>('TE BE'!$AA$16+'TE BF'!$AA$16+'TE CVA'!$AA$16)*1</f>
        <v>375.69180268700768</v>
      </c>
      <c r="AB1743" s="6">
        <f>$K$1743*$V$1743</f>
        <v>0</v>
      </c>
      <c r="AC1743" s="6">
        <f>$M$1743*$W$1743</f>
        <v>10552.352999999999</v>
      </c>
      <c r="AD1743" s="6">
        <f>$O$1743*$X$1743</f>
        <v>9030.17346</v>
      </c>
      <c r="AE1743" s="6">
        <f>$K$1743*$Y$1743</f>
        <v>0</v>
      </c>
      <c r="AF1743" s="6">
        <f ca="1">$M$1743*$Z$1743</f>
        <v>11936.212033388529</v>
      </c>
      <c r="AG1743" s="6">
        <f>$O$1743*$AA$1743</f>
        <v>7873.7488007143065</v>
      </c>
    </row>
    <row r="1744" spans="1:33" ht="11.25" customHeight="1" x14ac:dyDescent="0.25">
      <c r="A1744" s="4" t="s">
        <v>27</v>
      </c>
      <c r="B1744" s="4" t="s">
        <v>22</v>
      </c>
      <c r="C1744" s="4" t="s">
        <v>37</v>
      </c>
      <c r="D1744" s="4" t="s">
        <v>24</v>
      </c>
      <c r="E1744" s="4" t="s">
        <v>24</v>
      </c>
      <c r="F1744" s="4" t="s">
        <v>25</v>
      </c>
      <c r="G1744" s="4" t="s">
        <v>25</v>
      </c>
      <c r="H1744" s="4" t="s">
        <v>35</v>
      </c>
      <c r="I1744" s="5">
        <v>44013</v>
      </c>
      <c r="J1744" s="6">
        <v>0</v>
      </c>
      <c r="K1744" s="6">
        <v>0</v>
      </c>
      <c r="L1744" s="6">
        <v>0.20699999999999999</v>
      </c>
      <c r="M1744" s="6">
        <v>0.20699999999999999</v>
      </c>
      <c r="N1744" s="6">
        <v>0.20699999999999999</v>
      </c>
      <c r="O1744" s="6">
        <v>0.20699999999999999</v>
      </c>
      <c r="P1744" s="6">
        <v>0</v>
      </c>
      <c r="Q1744" s="4" t="s">
        <v>26</v>
      </c>
      <c r="R1744" s="4">
        <v>0</v>
      </c>
      <c r="S1744" s="6">
        <v>0</v>
      </c>
      <c r="T1744" s="6">
        <v>42</v>
      </c>
      <c r="U1744" s="6">
        <v>85</v>
      </c>
      <c r="V1744" s="6">
        <f>IF(ISERROR(VLOOKUP($S$1744,'TAR FIN'!$A$1:$O$120,15,0)),0,VLOOKUP($S$1744,'TAR FIN'!$A$1:$O$120,15,0))</f>
        <v>0</v>
      </c>
      <c r="W1744" s="6">
        <f>IF(ISERROR(VLOOKUP($T$1744,'TAR FIN'!$A$1:$O$120,15,0)),0,VLOOKUP($T$1744,'TAR FIN'!$A$1:$O$120,15,0))</f>
        <v>503.5</v>
      </c>
      <c r="X1744" s="6">
        <f>IF(ISERROR(VLOOKUP($U$1744,'TAR FIN'!$A$1:$O$120,15,0)),0,VLOOKUP($U$1744,'TAR FIN'!$A$1:$O$120,15,0))</f>
        <v>430.87</v>
      </c>
      <c r="Y1744" s="6"/>
      <c r="Z1744" s="6">
        <f ca="1">('TUSD BE'!$AM$52+'TUSD BF'!$AM$52+'TUSD CVA'!$AM$52)*1</f>
        <v>569.53010942783328</v>
      </c>
      <c r="AA1744" s="6">
        <f>('TE BE'!$AA$16+'TE BF'!$AA$16+'TE CVA'!$AA$16)*1</f>
        <v>375.69180268700768</v>
      </c>
      <c r="AB1744" s="6">
        <f>$K$1744*$V$1744</f>
        <v>0</v>
      </c>
      <c r="AC1744" s="6">
        <f>$M$1744*$W$1744</f>
        <v>104.22449999999999</v>
      </c>
      <c r="AD1744" s="6">
        <f>$O$1744*$X$1744</f>
        <v>89.190089999999998</v>
      </c>
      <c r="AE1744" s="6">
        <f>$K$1744*$Y$1744</f>
        <v>0</v>
      </c>
      <c r="AF1744" s="6">
        <f ca="1">$M$1744*$Z$1744</f>
        <v>117.89273265156149</v>
      </c>
      <c r="AG1744" s="6">
        <f>$O$1744*$AA$1744</f>
        <v>77.768203156210589</v>
      </c>
    </row>
    <row r="1745" spans="1:33" ht="11.25" customHeight="1" x14ac:dyDescent="0.25">
      <c r="A1745" s="4" t="s">
        <v>21</v>
      </c>
      <c r="B1745" s="4" t="s">
        <v>22</v>
      </c>
      <c r="C1745" s="4" t="s">
        <v>37</v>
      </c>
      <c r="D1745" s="4" t="s">
        <v>24</v>
      </c>
      <c r="E1745" s="4" t="s">
        <v>24</v>
      </c>
      <c r="F1745" s="4" t="s">
        <v>25</v>
      </c>
      <c r="G1745" s="4" t="s">
        <v>25</v>
      </c>
      <c r="H1745" s="4" t="s">
        <v>35</v>
      </c>
      <c r="I1745" s="5">
        <v>44044</v>
      </c>
      <c r="J1745" s="6">
        <v>0</v>
      </c>
      <c r="K1745" s="6">
        <v>0</v>
      </c>
      <c r="L1745" s="6">
        <v>23.411000000000001</v>
      </c>
      <c r="M1745" s="6">
        <v>23.411000000000001</v>
      </c>
      <c r="N1745" s="6">
        <v>23.411000000000001</v>
      </c>
      <c r="O1745" s="6">
        <v>23.411000000000001</v>
      </c>
      <c r="P1745" s="6">
        <v>0</v>
      </c>
      <c r="Q1745" s="4" t="s">
        <v>26</v>
      </c>
      <c r="R1745" s="4">
        <v>0</v>
      </c>
      <c r="S1745" s="6">
        <v>0</v>
      </c>
      <c r="T1745" s="6">
        <v>42</v>
      </c>
      <c r="U1745" s="6">
        <v>85</v>
      </c>
      <c r="V1745" s="6">
        <f>IF(ISERROR(VLOOKUP($S$1745,'TAR FIN'!$A$1:$O$120,15,0)),0,VLOOKUP($S$1745,'TAR FIN'!$A$1:$O$120,15,0))</f>
        <v>0</v>
      </c>
      <c r="W1745" s="6">
        <f>IF(ISERROR(VLOOKUP($T$1745,'TAR FIN'!$A$1:$O$120,15,0)),0,VLOOKUP($T$1745,'TAR FIN'!$A$1:$O$120,15,0))</f>
        <v>503.5</v>
      </c>
      <c r="X1745" s="6">
        <f>IF(ISERROR(VLOOKUP($U$1745,'TAR FIN'!$A$1:$O$120,15,0)),0,VLOOKUP($U$1745,'TAR FIN'!$A$1:$O$120,15,0))</f>
        <v>430.87</v>
      </c>
      <c r="Y1745" s="6"/>
      <c r="Z1745" s="6">
        <f ca="1">('TUSD BE'!$AM$52+'TUSD BF'!$AM$52+'TUSD CVA'!$AM$52)*1</f>
        <v>569.53010942783328</v>
      </c>
      <c r="AA1745" s="6">
        <f>('TE BE'!$AA$16+'TE BF'!$AA$16+'TE CVA'!$AA$16)*1</f>
        <v>375.69180268700768</v>
      </c>
      <c r="AB1745" s="6">
        <f>$K$1745*$V$1745</f>
        <v>0</v>
      </c>
      <c r="AC1745" s="6">
        <f>$M$1745*$W$1745</f>
        <v>11787.4385</v>
      </c>
      <c r="AD1745" s="6">
        <f>$O$1745*$X$1745</f>
        <v>10087.09757</v>
      </c>
      <c r="AE1745" s="6">
        <f>$K$1745*$Y$1745</f>
        <v>0</v>
      </c>
      <c r="AF1745" s="6">
        <f ca="1">$M$1745*$Z$1745</f>
        <v>13333.269391815005</v>
      </c>
      <c r="AG1745" s="6">
        <f>$O$1745*$AA$1745</f>
        <v>8795.3207927055373</v>
      </c>
    </row>
    <row r="1746" spans="1:33" ht="11.25" customHeight="1" x14ac:dyDescent="0.25">
      <c r="A1746" s="4" t="s">
        <v>27</v>
      </c>
      <c r="B1746" s="4" t="s">
        <v>22</v>
      </c>
      <c r="C1746" s="4" t="s">
        <v>37</v>
      </c>
      <c r="D1746" s="4" t="s">
        <v>24</v>
      </c>
      <c r="E1746" s="4" t="s">
        <v>24</v>
      </c>
      <c r="F1746" s="4" t="s">
        <v>25</v>
      </c>
      <c r="G1746" s="4" t="s">
        <v>25</v>
      </c>
      <c r="H1746" s="4" t="s">
        <v>35</v>
      </c>
      <c r="I1746" s="5">
        <v>44044</v>
      </c>
      <c r="J1746" s="6">
        <v>0</v>
      </c>
      <c r="K1746" s="6">
        <v>0</v>
      </c>
      <c r="L1746" s="6">
        <v>0.114</v>
      </c>
      <c r="M1746" s="6">
        <v>0.114</v>
      </c>
      <c r="N1746" s="6">
        <v>0.114</v>
      </c>
      <c r="O1746" s="6">
        <v>0.114</v>
      </c>
      <c r="P1746" s="6">
        <v>0</v>
      </c>
      <c r="Q1746" s="4" t="s">
        <v>26</v>
      </c>
      <c r="R1746" s="4">
        <v>0</v>
      </c>
      <c r="S1746" s="6">
        <v>0</v>
      </c>
      <c r="T1746" s="6">
        <v>42</v>
      </c>
      <c r="U1746" s="6">
        <v>85</v>
      </c>
      <c r="V1746" s="6">
        <f>IF(ISERROR(VLOOKUP($S$1746,'TAR FIN'!$A$1:$O$120,15,0)),0,VLOOKUP($S$1746,'TAR FIN'!$A$1:$O$120,15,0))</f>
        <v>0</v>
      </c>
      <c r="W1746" s="6">
        <f>IF(ISERROR(VLOOKUP($T$1746,'TAR FIN'!$A$1:$O$120,15,0)),0,VLOOKUP($T$1746,'TAR FIN'!$A$1:$O$120,15,0))</f>
        <v>503.5</v>
      </c>
      <c r="X1746" s="6">
        <f>IF(ISERROR(VLOOKUP($U$1746,'TAR FIN'!$A$1:$O$120,15,0)),0,VLOOKUP($U$1746,'TAR FIN'!$A$1:$O$120,15,0))</f>
        <v>430.87</v>
      </c>
      <c r="Y1746" s="6"/>
      <c r="Z1746" s="6">
        <f ca="1">('TUSD BE'!$AM$52+'TUSD BF'!$AM$52+'TUSD CVA'!$AM$52)*1</f>
        <v>569.53010942783328</v>
      </c>
      <c r="AA1746" s="6">
        <f>('TE BE'!$AA$16+'TE BF'!$AA$16+'TE CVA'!$AA$16)*1</f>
        <v>375.69180268700768</v>
      </c>
      <c r="AB1746" s="6">
        <f>$K$1746*$V$1746</f>
        <v>0</v>
      </c>
      <c r="AC1746" s="6">
        <f>$M$1746*$W$1746</f>
        <v>57.399000000000001</v>
      </c>
      <c r="AD1746" s="6">
        <f>$O$1746*$X$1746</f>
        <v>49.11918</v>
      </c>
      <c r="AE1746" s="6">
        <f>$K$1746*$Y$1746</f>
        <v>0</v>
      </c>
      <c r="AF1746" s="6">
        <f ca="1">$M$1746*$Z$1746</f>
        <v>64.926432474772994</v>
      </c>
      <c r="AG1746" s="6">
        <f>$O$1746*$AA$1746</f>
        <v>42.828865506318877</v>
      </c>
    </row>
    <row r="1747" spans="1:33" ht="11.25" customHeight="1" x14ac:dyDescent="0.25">
      <c r="A1747" s="4" t="s">
        <v>59</v>
      </c>
      <c r="B1747" s="4" t="s">
        <v>22</v>
      </c>
      <c r="C1747" s="4" t="s">
        <v>37</v>
      </c>
      <c r="D1747" s="4" t="s">
        <v>24</v>
      </c>
      <c r="E1747" s="4" t="s">
        <v>24</v>
      </c>
      <c r="F1747" s="4" t="s">
        <v>25</v>
      </c>
      <c r="G1747" s="4" t="s">
        <v>25</v>
      </c>
      <c r="H1747" s="4" t="s">
        <v>35</v>
      </c>
      <c r="I1747" s="5">
        <v>44075</v>
      </c>
      <c r="J1747" s="6">
        <v>0</v>
      </c>
      <c r="K1747" s="6">
        <v>0</v>
      </c>
      <c r="L1747" s="6">
        <v>23.411000000000001</v>
      </c>
      <c r="M1747" s="6">
        <v>23.411000000000001</v>
      </c>
      <c r="N1747" s="6">
        <v>23.411000000000001</v>
      </c>
      <c r="O1747" s="6">
        <v>23.411000000000001</v>
      </c>
      <c r="P1747" s="6">
        <v>0</v>
      </c>
      <c r="Q1747" s="4" t="s">
        <v>26</v>
      </c>
      <c r="R1747" s="4">
        <v>0</v>
      </c>
      <c r="S1747" s="6">
        <v>0</v>
      </c>
      <c r="T1747" s="6">
        <v>42</v>
      </c>
      <c r="U1747" s="6">
        <v>85</v>
      </c>
      <c r="V1747" s="6">
        <f>IF(ISERROR(VLOOKUP($S$1747,'TAR FIN'!$A$1:$O$120,15,0)),0,VLOOKUP($S$1747,'TAR FIN'!$A$1:$O$120,15,0))</f>
        <v>0</v>
      </c>
      <c r="W1747" s="6">
        <f>IF(ISERROR(VLOOKUP($T$1747,'TAR FIN'!$A$1:$O$120,15,0)),0,VLOOKUP($T$1747,'TAR FIN'!$A$1:$O$120,15,0))</f>
        <v>503.5</v>
      </c>
      <c r="X1747" s="6">
        <f>IF(ISERROR(VLOOKUP($U$1747,'TAR FIN'!$A$1:$O$120,15,0)),0,VLOOKUP($U$1747,'TAR FIN'!$A$1:$O$120,15,0))</f>
        <v>430.87</v>
      </c>
      <c r="Y1747" s="6"/>
      <c r="Z1747" s="6">
        <f ca="1">('TUSD BE'!$AM$52+'TUSD BF'!$AM$52+'TUSD CVA'!$AM$52)*1</f>
        <v>569.53010942783328</v>
      </c>
      <c r="AA1747" s="6">
        <f>('TE BE'!$AA$16+'TE BF'!$AA$16+'TE CVA'!$AA$16)*1</f>
        <v>375.69180268700768</v>
      </c>
      <c r="AB1747" s="6">
        <f>$K$1747*$V$1747</f>
        <v>0</v>
      </c>
      <c r="AC1747" s="6">
        <f>$M$1747*$W$1747</f>
        <v>11787.4385</v>
      </c>
      <c r="AD1747" s="6">
        <f>$O$1747*$X$1747</f>
        <v>10087.09757</v>
      </c>
      <c r="AE1747" s="6">
        <f>$K$1747*$Y$1747</f>
        <v>0</v>
      </c>
      <c r="AF1747" s="6">
        <f ca="1">$M$1747*$Z$1747</f>
        <v>13333.269391815005</v>
      </c>
      <c r="AG1747" s="6">
        <f>$O$1747*$AA$1747</f>
        <v>8795.3207927055373</v>
      </c>
    </row>
    <row r="1748" spans="1:33" ht="11.25" customHeight="1" x14ac:dyDescent="0.25">
      <c r="A1748" s="4" t="s">
        <v>59</v>
      </c>
      <c r="B1748" s="4" t="s">
        <v>22</v>
      </c>
      <c r="C1748" s="4" t="s">
        <v>37</v>
      </c>
      <c r="D1748" s="4" t="s">
        <v>24</v>
      </c>
      <c r="E1748" s="4" t="s">
        <v>24</v>
      </c>
      <c r="F1748" s="4" t="s">
        <v>25</v>
      </c>
      <c r="G1748" s="4" t="s">
        <v>25</v>
      </c>
      <c r="H1748" s="4" t="s">
        <v>35</v>
      </c>
      <c r="I1748" s="5">
        <v>44075</v>
      </c>
      <c r="J1748" s="6">
        <v>0</v>
      </c>
      <c r="K1748" s="6">
        <v>0</v>
      </c>
      <c r="L1748" s="6">
        <v>0.114</v>
      </c>
      <c r="M1748" s="6">
        <v>0.114</v>
      </c>
      <c r="N1748" s="6">
        <v>0.114</v>
      </c>
      <c r="O1748" s="6">
        <v>0.114</v>
      </c>
      <c r="P1748" s="6">
        <v>0</v>
      </c>
      <c r="Q1748" s="4" t="s">
        <v>26</v>
      </c>
      <c r="R1748" s="4">
        <v>0</v>
      </c>
      <c r="S1748" s="6">
        <v>0</v>
      </c>
      <c r="T1748" s="6">
        <v>42</v>
      </c>
      <c r="U1748" s="6">
        <v>85</v>
      </c>
      <c r="V1748" s="6">
        <f>IF(ISERROR(VLOOKUP($S$1748,'TAR FIN'!$A$1:$O$120,15,0)),0,VLOOKUP($S$1748,'TAR FIN'!$A$1:$O$120,15,0))</f>
        <v>0</v>
      </c>
      <c r="W1748" s="6">
        <f>IF(ISERROR(VLOOKUP($T$1748,'TAR FIN'!$A$1:$O$120,15,0)),0,VLOOKUP($T$1748,'TAR FIN'!$A$1:$O$120,15,0))</f>
        <v>503.5</v>
      </c>
      <c r="X1748" s="6">
        <f>IF(ISERROR(VLOOKUP($U$1748,'TAR FIN'!$A$1:$O$120,15,0)),0,VLOOKUP($U$1748,'TAR FIN'!$A$1:$O$120,15,0))</f>
        <v>430.87</v>
      </c>
      <c r="Y1748" s="6"/>
      <c r="Z1748" s="6">
        <f ca="1">('TUSD BE'!$AM$52+'TUSD BF'!$AM$52+'TUSD CVA'!$AM$52)*1</f>
        <v>569.53010942783328</v>
      </c>
      <c r="AA1748" s="6">
        <f>('TE BE'!$AA$16+'TE BF'!$AA$16+'TE CVA'!$AA$16)*1</f>
        <v>375.69180268700768</v>
      </c>
      <c r="AB1748" s="6">
        <f>$K$1748*$V$1748</f>
        <v>0</v>
      </c>
      <c r="AC1748" s="6">
        <f>$M$1748*$W$1748</f>
        <v>57.399000000000001</v>
      </c>
      <c r="AD1748" s="6">
        <f>$O$1748*$X$1748</f>
        <v>49.11918</v>
      </c>
      <c r="AE1748" s="6">
        <f>$K$1748*$Y$1748</f>
        <v>0</v>
      </c>
      <c r="AF1748" s="6">
        <f ca="1">$M$1748*$Z$1748</f>
        <v>64.926432474772994</v>
      </c>
      <c r="AG1748" s="6">
        <f>$O$1748*$AA$1748</f>
        <v>42.828865506318877</v>
      </c>
    </row>
    <row r="1749" spans="1:33" ht="11.25" customHeight="1" x14ac:dyDescent="0.25">
      <c r="A1749" s="4" t="s">
        <v>21</v>
      </c>
      <c r="B1749" s="4" t="s">
        <v>22</v>
      </c>
      <c r="C1749" s="4" t="s">
        <v>23</v>
      </c>
      <c r="D1749" s="4" t="s">
        <v>24</v>
      </c>
      <c r="E1749" s="4" t="s">
        <v>24</v>
      </c>
      <c r="F1749" s="4" t="s">
        <v>25</v>
      </c>
      <c r="G1749" s="4" t="s">
        <v>25</v>
      </c>
      <c r="H1749" s="4" t="s">
        <v>25</v>
      </c>
      <c r="I1749" s="5">
        <v>43739</v>
      </c>
      <c r="J1749" s="6">
        <v>0</v>
      </c>
      <c r="K1749" s="6">
        <v>0</v>
      </c>
      <c r="L1749" s="6">
        <v>195401.87700000001</v>
      </c>
      <c r="M1749" s="6">
        <v>195401.87700000001</v>
      </c>
      <c r="N1749" s="6">
        <v>195401.87700000001</v>
      </c>
      <c r="O1749" s="6">
        <v>195401.87700000001</v>
      </c>
      <c r="P1749" s="6">
        <v>942675</v>
      </c>
      <c r="Q1749" s="4" t="s">
        <v>26</v>
      </c>
      <c r="R1749" s="4">
        <v>0</v>
      </c>
      <c r="S1749" s="6">
        <v>0</v>
      </c>
      <c r="T1749" s="6">
        <v>45</v>
      </c>
      <c r="U1749" s="6">
        <v>88</v>
      </c>
      <c r="V1749" s="6">
        <f>IF(ISERROR(VLOOKUP($S$1749,'TAR FIN'!$A$1:$O$120,15,0)),0,VLOOKUP($S$1749,'TAR FIN'!$A$1:$O$120,15,0))</f>
        <v>0</v>
      </c>
      <c r="W1749" s="6">
        <f>IF(ISERROR(VLOOKUP($T$1749,'TAR FIN'!$A$1:$O$120,15,0)),0,VLOOKUP($T$1749,'TAR FIN'!$A$1:$O$120,15,0))</f>
        <v>247.09</v>
      </c>
      <c r="X1749" s="6">
        <f>IF(ISERROR(VLOOKUP($U$1749,'TAR FIN'!$A$1:$O$120,15,0)),0,VLOOKUP($U$1749,'TAR FIN'!$A$1:$O$120,15,0))</f>
        <v>270.92</v>
      </c>
      <c r="Y1749" s="6"/>
      <c r="Z1749" s="6">
        <f ca="1">('TUSD BE'!$AM$55+'TUSD BF'!$AM$55+'TUSD CVA'!$AM$55)*1</f>
        <v>271.87486773292784</v>
      </c>
      <c r="AA1749" s="6">
        <f>('TE BE'!$AA$19+'TE BF'!$AA$19+'TE CVA'!$AA$19)*1</f>
        <v>242.90567551581066</v>
      </c>
      <c r="AB1749" s="6">
        <f>$K$1749*$V$1749</f>
        <v>0</v>
      </c>
      <c r="AC1749" s="6">
        <f>$M$1749*$W$1749</f>
        <v>48281849.787930004</v>
      </c>
      <c r="AD1749" s="6">
        <f>$O$1749*$X$1749</f>
        <v>52938276.516840003</v>
      </c>
      <c r="AE1749" s="6">
        <f>$K$1749*$Y$1749</f>
        <v>0</v>
      </c>
      <c r="AF1749" s="6">
        <f ca="1">$M$1749*$Z$1749</f>
        <v>53124859.46414084</v>
      </c>
      <c r="AG1749" s="6">
        <f>$O$1749*$AA$1749</f>
        <v>47464224.929742344</v>
      </c>
    </row>
    <row r="1750" spans="1:33" ht="11.25" customHeight="1" x14ac:dyDescent="0.25">
      <c r="A1750" s="4" t="s">
        <v>27</v>
      </c>
      <c r="B1750" s="4" t="s">
        <v>22</v>
      </c>
      <c r="C1750" s="4" t="s">
        <v>23</v>
      </c>
      <c r="D1750" s="4" t="s">
        <v>24</v>
      </c>
      <c r="E1750" s="4" t="s">
        <v>24</v>
      </c>
      <c r="F1750" s="4" t="s">
        <v>25</v>
      </c>
      <c r="G1750" s="4" t="s">
        <v>25</v>
      </c>
      <c r="H1750" s="4" t="s">
        <v>25</v>
      </c>
      <c r="I1750" s="5">
        <v>43739</v>
      </c>
      <c r="J1750" s="6">
        <v>0</v>
      </c>
      <c r="K1750" s="6">
        <v>0</v>
      </c>
      <c r="L1750" s="6">
        <v>134.36799999999999</v>
      </c>
      <c r="M1750" s="6">
        <v>134.36799999999999</v>
      </c>
      <c r="N1750" s="6">
        <v>134.36799999999999</v>
      </c>
      <c r="O1750" s="6">
        <v>134.36799999999999</v>
      </c>
      <c r="P1750" s="6">
        <v>238</v>
      </c>
      <c r="Q1750" s="4" t="s">
        <v>26</v>
      </c>
      <c r="R1750" s="4">
        <v>0</v>
      </c>
      <c r="S1750" s="6">
        <v>0</v>
      </c>
      <c r="T1750" s="6">
        <v>45</v>
      </c>
      <c r="U1750" s="6">
        <v>88</v>
      </c>
      <c r="V1750" s="6">
        <f>IF(ISERROR(VLOOKUP($S$1750,'TAR FIN'!$A$1:$O$120,15,0)),0,VLOOKUP($S$1750,'TAR FIN'!$A$1:$O$120,15,0))</f>
        <v>0</v>
      </c>
      <c r="W1750" s="6">
        <f>IF(ISERROR(VLOOKUP($T$1750,'TAR FIN'!$A$1:$O$120,15,0)),0,VLOOKUP($T$1750,'TAR FIN'!$A$1:$O$120,15,0))</f>
        <v>247.09</v>
      </c>
      <c r="X1750" s="6">
        <f>IF(ISERROR(VLOOKUP($U$1750,'TAR FIN'!$A$1:$O$120,15,0)),0,VLOOKUP($U$1750,'TAR FIN'!$A$1:$O$120,15,0))</f>
        <v>270.92</v>
      </c>
      <c r="Y1750" s="6"/>
      <c r="Z1750" s="6">
        <f ca="1">('TUSD BE'!$AM$55+'TUSD BF'!$AM$55+'TUSD CVA'!$AM$55)*1</f>
        <v>271.87486773292784</v>
      </c>
      <c r="AA1750" s="6">
        <f>('TE BE'!$AA$19+'TE BF'!$AA$19+'TE CVA'!$AA$19)*1</f>
        <v>242.90567551581066</v>
      </c>
      <c r="AB1750" s="6">
        <f>$K$1750*$V$1750</f>
        <v>0</v>
      </c>
      <c r="AC1750" s="6">
        <f>$M$1750*$W$1750</f>
        <v>33200.989119999998</v>
      </c>
      <c r="AD1750" s="6">
        <f>$O$1750*$X$1750</f>
        <v>36402.978560000003</v>
      </c>
      <c r="AE1750" s="6">
        <f>$K$1750*$Y$1750</f>
        <v>0</v>
      </c>
      <c r="AF1750" s="6">
        <f ca="1">$M$1750*$Z$1750</f>
        <v>36531.282227538046</v>
      </c>
      <c r="AG1750" s="6">
        <f>$O$1750*$AA$1750</f>
        <v>32638.749807708446</v>
      </c>
    </row>
    <row r="1751" spans="1:33" ht="11.25" customHeight="1" x14ac:dyDescent="0.25">
      <c r="A1751" s="4" t="s">
        <v>28</v>
      </c>
      <c r="B1751" s="4" t="s">
        <v>22</v>
      </c>
      <c r="C1751" s="4" t="s">
        <v>23</v>
      </c>
      <c r="D1751" s="4" t="s">
        <v>24</v>
      </c>
      <c r="E1751" s="4" t="s">
        <v>24</v>
      </c>
      <c r="F1751" s="4" t="s">
        <v>25</v>
      </c>
      <c r="G1751" s="4" t="s">
        <v>25</v>
      </c>
      <c r="H1751" s="4" t="s">
        <v>25</v>
      </c>
      <c r="I1751" s="5">
        <v>43739</v>
      </c>
      <c r="J1751" s="6">
        <v>0</v>
      </c>
      <c r="K1751" s="6">
        <v>0</v>
      </c>
      <c r="L1751" s="6">
        <v>414.495</v>
      </c>
      <c r="M1751" s="6">
        <v>414.495</v>
      </c>
      <c r="N1751" s="6">
        <v>414.495</v>
      </c>
      <c r="O1751" s="6">
        <v>414.495</v>
      </c>
      <c r="P1751" s="6">
        <v>1300</v>
      </c>
      <c r="Q1751" s="4" t="s">
        <v>26</v>
      </c>
      <c r="R1751" s="4">
        <v>0</v>
      </c>
      <c r="S1751" s="6">
        <v>0</v>
      </c>
      <c r="T1751" s="6">
        <v>45</v>
      </c>
      <c r="U1751" s="6">
        <v>88</v>
      </c>
      <c r="V1751" s="6">
        <f>IF(ISERROR(VLOOKUP($S$1751,'TAR FIN'!$A$1:$O$120,15,0)),0,VLOOKUP($S$1751,'TAR FIN'!$A$1:$O$120,15,0))</f>
        <v>0</v>
      </c>
      <c r="W1751" s="6">
        <f>IF(ISERROR(VLOOKUP($T$1751,'TAR FIN'!$A$1:$O$120,15,0)),0,VLOOKUP($T$1751,'TAR FIN'!$A$1:$O$120,15,0))</f>
        <v>247.09</v>
      </c>
      <c r="X1751" s="6">
        <f>IF(ISERROR(VLOOKUP($U$1751,'TAR FIN'!$A$1:$O$120,15,0)),0,VLOOKUP($U$1751,'TAR FIN'!$A$1:$O$120,15,0))</f>
        <v>270.92</v>
      </c>
      <c r="Y1751" s="6"/>
      <c r="Z1751" s="6">
        <f ca="1">('TUSD BE'!$AM$55+'TUSD BF'!$AM$55+'TUSD CVA'!$AM$55)*1</f>
        <v>271.87486773292784</v>
      </c>
      <c r="AA1751" s="6">
        <f>('TE BE'!$AA$19+'TE BF'!$AA$19+'TE CVA'!$AA$19)*1</f>
        <v>242.90567551581066</v>
      </c>
      <c r="AB1751" s="6">
        <f>$K$1751*$V$1751</f>
        <v>0</v>
      </c>
      <c r="AC1751" s="6">
        <f>$M$1751*$W$1751</f>
        <v>102417.56955</v>
      </c>
      <c r="AD1751" s="6">
        <f>$O$1751*$X$1751</f>
        <v>112294.98540000001</v>
      </c>
      <c r="AE1751" s="6">
        <f>$K$1751*$Y$1751</f>
        <v>0</v>
      </c>
      <c r="AF1751" s="6">
        <f ca="1">$M$1751*$Z$1751</f>
        <v>112690.77330095993</v>
      </c>
      <c r="AG1751" s="6">
        <f>$O$1751*$AA$1751</f>
        <v>100683.18797292594</v>
      </c>
    </row>
    <row r="1752" spans="1:33" ht="11.25" customHeight="1" x14ac:dyDescent="0.25">
      <c r="A1752" s="4" t="s">
        <v>28</v>
      </c>
      <c r="B1752" s="4" t="s">
        <v>22</v>
      </c>
      <c r="C1752" s="4" t="s">
        <v>23</v>
      </c>
      <c r="D1752" s="4" t="s">
        <v>24</v>
      </c>
      <c r="E1752" s="4" t="s">
        <v>24</v>
      </c>
      <c r="F1752" s="4" t="s">
        <v>25</v>
      </c>
      <c r="G1752" s="4" t="s">
        <v>25</v>
      </c>
      <c r="H1752" s="4" t="s">
        <v>25</v>
      </c>
      <c r="I1752" s="5">
        <v>43739</v>
      </c>
      <c r="J1752" s="6">
        <v>0</v>
      </c>
      <c r="K1752" s="6">
        <v>0</v>
      </c>
      <c r="L1752" s="6">
        <v>1.64</v>
      </c>
      <c r="M1752" s="6">
        <v>1.64</v>
      </c>
      <c r="N1752" s="6">
        <v>1.64</v>
      </c>
      <c r="O1752" s="6">
        <v>1.64</v>
      </c>
      <c r="P1752" s="6">
        <v>2</v>
      </c>
      <c r="Q1752" s="4" t="s">
        <v>26</v>
      </c>
      <c r="R1752" s="4">
        <v>0</v>
      </c>
      <c r="S1752" s="6">
        <v>0</v>
      </c>
      <c r="T1752" s="6">
        <v>45</v>
      </c>
      <c r="U1752" s="6">
        <v>88</v>
      </c>
      <c r="V1752" s="6">
        <f>IF(ISERROR(VLOOKUP($S$1752,'TAR FIN'!$A$1:$O$120,15,0)),0,VLOOKUP($S$1752,'TAR FIN'!$A$1:$O$120,15,0))</f>
        <v>0</v>
      </c>
      <c r="W1752" s="6">
        <f>IF(ISERROR(VLOOKUP($T$1752,'TAR FIN'!$A$1:$O$120,15,0)),0,VLOOKUP($T$1752,'TAR FIN'!$A$1:$O$120,15,0))</f>
        <v>247.09</v>
      </c>
      <c r="X1752" s="6">
        <f>IF(ISERROR(VLOOKUP($U$1752,'TAR FIN'!$A$1:$O$120,15,0)),0,VLOOKUP($U$1752,'TAR FIN'!$A$1:$O$120,15,0))</f>
        <v>270.92</v>
      </c>
      <c r="Y1752" s="6"/>
      <c r="Z1752" s="6">
        <f ca="1">('TUSD BE'!$AM$55+'TUSD BF'!$AM$55+'TUSD CVA'!$AM$55)*1</f>
        <v>271.87486773292784</v>
      </c>
      <c r="AA1752" s="6">
        <f>('TE BE'!$AA$19+'TE BF'!$AA$19+'TE CVA'!$AA$19)*1</f>
        <v>242.90567551581066</v>
      </c>
      <c r="AB1752" s="6">
        <f>$K$1752*$V$1752</f>
        <v>0</v>
      </c>
      <c r="AC1752" s="6">
        <f>$M$1752*$W$1752</f>
        <v>405.2276</v>
      </c>
      <c r="AD1752" s="6">
        <f>$O$1752*$X$1752</f>
        <v>444.30880000000002</v>
      </c>
      <c r="AE1752" s="6">
        <f>$K$1752*$Y$1752</f>
        <v>0</v>
      </c>
      <c r="AF1752" s="6">
        <f ca="1">$M$1752*$Z$1752</f>
        <v>445.87478308200161</v>
      </c>
      <c r="AG1752" s="6">
        <f>$O$1752*$AA$1752</f>
        <v>398.36530784592946</v>
      </c>
    </row>
    <row r="1753" spans="1:33" ht="11.25" customHeight="1" x14ac:dyDescent="0.25">
      <c r="A1753" s="4" t="s">
        <v>21</v>
      </c>
      <c r="B1753" s="4" t="s">
        <v>22</v>
      </c>
      <c r="C1753" s="4" t="s">
        <v>23</v>
      </c>
      <c r="D1753" s="4" t="s">
        <v>24</v>
      </c>
      <c r="E1753" s="4" t="s">
        <v>24</v>
      </c>
      <c r="F1753" s="4" t="s">
        <v>25</v>
      </c>
      <c r="G1753" s="4" t="s">
        <v>25</v>
      </c>
      <c r="H1753" s="4" t="s">
        <v>25</v>
      </c>
      <c r="I1753" s="5">
        <v>43770</v>
      </c>
      <c r="J1753" s="6">
        <v>0</v>
      </c>
      <c r="K1753" s="6">
        <v>0</v>
      </c>
      <c r="L1753" s="6">
        <v>207331.63500000001</v>
      </c>
      <c r="M1753" s="6">
        <v>207331.63500000001</v>
      </c>
      <c r="N1753" s="6">
        <v>207331.63500000001</v>
      </c>
      <c r="O1753" s="6">
        <v>207331.63500000001</v>
      </c>
      <c r="P1753" s="6">
        <v>938244</v>
      </c>
      <c r="Q1753" s="4" t="s">
        <v>26</v>
      </c>
      <c r="R1753" s="4">
        <v>0</v>
      </c>
      <c r="S1753" s="6">
        <v>0</v>
      </c>
      <c r="T1753" s="6">
        <v>45</v>
      </c>
      <c r="U1753" s="6">
        <v>88</v>
      </c>
      <c r="V1753" s="6">
        <f>IF(ISERROR(VLOOKUP($S$1753,'TAR FIN'!$A$1:$O$120,15,0)),0,VLOOKUP($S$1753,'TAR FIN'!$A$1:$O$120,15,0))</f>
        <v>0</v>
      </c>
      <c r="W1753" s="6">
        <f>IF(ISERROR(VLOOKUP($T$1753,'TAR FIN'!$A$1:$O$120,15,0)),0,VLOOKUP($T$1753,'TAR FIN'!$A$1:$O$120,15,0))</f>
        <v>247.09</v>
      </c>
      <c r="X1753" s="6">
        <f>IF(ISERROR(VLOOKUP($U$1753,'TAR FIN'!$A$1:$O$120,15,0)),0,VLOOKUP($U$1753,'TAR FIN'!$A$1:$O$120,15,0))</f>
        <v>270.92</v>
      </c>
      <c r="Y1753" s="6"/>
      <c r="Z1753" s="6">
        <f ca="1">('TUSD BE'!$AM$55+'TUSD BF'!$AM$55+'TUSD CVA'!$AM$55)*1</f>
        <v>271.87486773292784</v>
      </c>
      <c r="AA1753" s="6">
        <f>('TE BE'!$AA$19+'TE BF'!$AA$19+'TE CVA'!$AA$19)*1</f>
        <v>242.90567551581066</v>
      </c>
      <c r="AB1753" s="6">
        <f>$K$1753*$V$1753</f>
        <v>0</v>
      </c>
      <c r="AC1753" s="6">
        <f>$M$1753*$W$1753</f>
        <v>51229573.692150004</v>
      </c>
      <c r="AD1753" s="6">
        <f>$O$1753*$X$1753</f>
        <v>56170286.554200009</v>
      </c>
      <c r="AE1753" s="6">
        <f>$K$1753*$Y$1753</f>
        <v>0</v>
      </c>
      <c r="AF1753" s="6">
        <f ca="1">$M$1753*$Z$1753</f>
        <v>56368260.842476673</v>
      </c>
      <c r="AG1753" s="6">
        <f>$O$1753*$AA$1753</f>
        <v>50362030.855472498</v>
      </c>
    </row>
    <row r="1754" spans="1:33" ht="11.25" customHeight="1" x14ac:dyDescent="0.25">
      <c r="A1754" s="4" t="s">
        <v>27</v>
      </c>
      <c r="B1754" s="4" t="s">
        <v>22</v>
      </c>
      <c r="C1754" s="4" t="s">
        <v>23</v>
      </c>
      <c r="D1754" s="4" t="s">
        <v>24</v>
      </c>
      <c r="E1754" s="4" t="s">
        <v>24</v>
      </c>
      <c r="F1754" s="4" t="s">
        <v>25</v>
      </c>
      <c r="G1754" s="4" t="s">
        <v>25</v>
      </c>
      <c r="H1754" s="4" t="s">
        <v>25</v>
      </c>
      <c r="I1754" s="5">
        <v>43770</v>
      </c>
      <c r="J1754" s="6">
        <v>0</v>
      </c>
      <c r="K1754" s="6">
        <v>0</v>
      </c>
      <c r="L1754" s="6">
        <v>102.38800000000001</v>
      </c>
      <c r="M1754" s="6">
        <v>102.38800000000001</v>
      </c>
      <c r="N1754" s="6">
        <v>102.38800000000001</v>
      </c>
      <c r="O1754" s="6">
        <v>102.38800000000001</v>
      </c>
      <c r="P1754" s="6">
        <v>184</v>
      </c>
      <c r="Q1754" s="4" t="s">
        <v>26</v>
      </c>
      <c r="R1754" s="4">
        <v>0</v>
      </c>
      <c r="S1754" s="6">
        <v>0</v>
      </c>
      <c r="T1754" s="6">
        <v>45</v>
      </c>
      <c r="U1754" s="6">
        <v>88</v>
      </c>
      <c r="V1754" s="6">
        <f>IF(ISERROR(VLOOKUP($S$1754,'TAR FIN'!$A$1:$O$120,15,0)),0,VLOOKUP($S$1754,'TAR FIN'!$A$1:$O$120,15,0))</f>
        <v>0</v>
      </c>
      <c r="W1754" s="6">
        <f>IF(ISERROR(VLOOKUP($T$1754,'TAR FIN'!$A$1:$O$120,15,0)),0,VLOOKUP($T$1754,'TAR FIN'!$A$1:$O$120,15,0))</f>
        <v>247.09</v>
      </c>
      <c r="X1754" s="6">
        <f>IF(ISERROR(VLOOKUP($U$1754,'TAR FIN'!$A$1:$O$120,15,0)),0,VLOOKUP($U$1754,'TAR FIN'!$A$1:$O$120,15,0))</f>
        <v>270.92</v>
      </c>
      <c r="Y1754" s="6"/>
      <c r="Z1754" s="6">
        <f ca="1">('TUSD BE'!$AM$55+'TUSD BF'!$AM$55+'TUSD CVA'!$AM$55)*1</f>
        <v>271.87486773292784</v>
      </c>
      <c r="AA1754" s="6">
        <f>('TE BE'!$AA$19+'TE BF'!$AA$19+'TE CVA'!$AA$19)*1</f>
        <v>242.90567551581066</v>
      </c>
      <c r="AB1754" s="6">
        <f>$K$1754*$V$1754</f>
        <v>0</v>
      </c>
      <c r="AC1754" s="6">
        <f>$M$1754*$W$1754</f>
        <v>25299.050920000001</v>
      </c>
      <c r="AD1754" s="6">
        <f>$O$1754*$X$1754</f>
        <v>27738.956960000003</v>
      </c>
      <c r="AE1754" s="6">
        <f>$K$1754*$Y$1754</f>
        <v>0</v>
      </c>
      <c r="AF1754" s="6">
        <f ca="1">$M$1754*$Z$1754</f>
        <v>27836.723957439019</v>
      </c>
      <c r="AG1754" s="6">
        <f>$O$1754*$AA$1754</f>
        <v>24870.626304712823</v>
      </c>
    </row>
    <row r="1755" spans="1:33" ht="11.25" customHeight="1" x14ac:dyDescent="0.25">
      <c r="A1755" s="4" t="s">
        <v>28</v>
      </c>
      <c r="B1755" s="4" t="s">
        <v>22</v>
      </c>
      <c r="C1755" s="4" t="s">
        <v>23</v>
      </c>
      <c r="D1755" s="4" t="s">
        <v>24</v>
      </c>
      <c r="E1755" s="4" t="s">
        <v>24</v>
      </c>
      <c r="F1755" s="4" t="s">
        <v>25</v>
      </c>
      <c r="G1755" s="4" t="s">
        <v>25</v>
      </c>
      <c r="H1755" s="4" t="s">
        <v>25</v>
      </c>
      <c r="I1755" s="5">
        <v>43770</v>
      </c>
      <c r="J1755" s="6">
        <v>0</v>
      </c>
      <c r="K1755" s="6">
        <v>0</v>
      </c>
      <c r="L1755" s="6">
        <v>392.61700000000002</v>
      </c>
      <c r="M1755" s="6">
        <v>392.61700000000002</v>
      </c>
      <c r="N1755" s="6">
        <v>392.61700000000002</v>
      </c>
      <c r="O1755" s="6">
        <v>392.61700000000002</v>
      </c>
      <c r="P1755" s="6">
        <v>1294</v>
      </c>
      <c r="Q1755" s="4" t="s">
        <v>26</v>
      </c>
      <c r="R1755" s="4">
        <v>0</v>
      </c>
      <c r="S1755" s="6">
        <v>0</v>
      </c>
      <c r="T1755" s="6">
        <v>45</v>
      </c>
      <c r="U1755" s="6">
        <v>88</v>
      </c>
      <c r="V1755" s="6">
        <f>IF(ISERROR(VLOOKUP($S$1755,'TAR FIN'!$A$1:$O$120,15,0)),0,VLOOKUP($S$1755,'TAR FIN'!$A$1:$O$120,15,0))</f>
        <v>0</v>
      </c>
      <c r="W1755" s="6">
        <f>IF(ISERROR(VLOOKUP($T$1755,'TAR FIN'!$A$1:$O$120,15,0)),0,VLOOKUP($T$1755,'TAR FIN'!$A$1:$O$120,15,0))</f>
        <v>247.09</v>
      </c>
      <c r="X1755" s="6">
        <f>IF(ISERROR(VLOOKUP($U$1755,'TAR FIN'!$A$1:$O$120,15,0)),0,VLOOKUP($U$1755,'TAR FIN'!$A$1:$O$120,15,0))</f>
        <v>270.92</v>
      </c>
      <c r="Y1755" s="6"/>
      <c r="Z1755" s="6">
        <f ca="1">('TUSD BE'!$AM$55+'TUSD BF'!$AM$55+'TUSD CVA'!$AM$55)*1</f>
        <v>271.87486773292784</v>
      </c>
      <c r="AA1755" s="6">
        <f>('TE BE'!$AA$19+'TE BF'!$AA$19+'TE CVA'!$AA$19)*1</f>
        <v>242.90567551581066</v>
      </c>
      <c r="AB1755" s="6">
        <f>$K$1755*$V$1755</f>
        <v>0</v>
      </c>
      <c r="AC1755" s="6">
        <f>$M$1755*$W$1755</f>
        <v>97011.734530000002</v>
      </c>
      <c r="AD1755" s="6">
        <f>$O$1755*$X$1755</f>
        <v>106367.79764</v>
      </c>
      <c r="AE1755" s="6">
        <f>$K$1755*$Y$1755</f>
        <v>0</v>
      </c>
      <c r="AF1755" s="6">
        <f ca="1">$M$1755*$Z$1755</f>
        <v>106742.69494469893</v>
      </c>
      <c r="AG1755" s="6">
        <f>$O$1755*$AA$1755</f>
        <v>95368.897603991034</v>
      </c>
    </row>
    <row r="1756" spans="1:33" ht="11.25" customHeight="1" x14ac:dyDescent="0.25">
      <c r="A1756" s="4" t="s">
        <v>28</v>
      </c>
      <c r="B1756" s="4" t="s">
        <v>22</v>
      </c>
      <c r="C1756" s="4" t="s">
        <v>23</v>
      </c>
      <c r="D1756" s="4" t="s">
        <v>24</v>
      </c>
      <c r="E1756" s="4" t="s">
        <v>24</v>
      </c>
      <c r="F1756" s="4" t="s">
        <v>25</v>
      </c>
      <c r="G1756" s="4" t="s">
        <v>25</v>
      </c>
      <c r="H1756" s="4" t="s">
        <v>25</v>
      </c>
      <c r="I1756" s="5">
        <v>43770</v>
      </c>
      <c r="J1756" s="6">
        <v>0</v>
      </c>
      <c r="K1756" s="6">
        <v>0</v>
      </c>
      <c r="L1756" s="6">
        <v>0.1</v>
      </c>
      <c r="M1756" s="6">
        <v>0.1</v>
      </c>
      <c r="N1756" s="6">
        <v>0.1</v>
      </c>
      <c r="O1756" s="6">
        <v>0.1</v>
      </c>
      <c r="P1756" s="6">
        <v>1</v>
      </c>
      <c r="Q1756" s="4" t="s">
        <v>26</v>
      </c>
      <c r="R1756" s="4">
        <v>0</v>
      </c>
      <c r="S1756" s="6">
        <v>0</v>
      </c>
      <c r="T1756" s="6">
        <v>45</v>
      </c>
      <c r="U1756" s="6">
        <v>88</v>
      </c>
      <c r="V1756" s="6">
        <f>IF(ISERROR(VLOOKUP($S$1756,'TAR FIN'!$A$1:$O$120,15,0)),0,VLOOKUP($S$1756,'TAR FIN'!$A$1:$O$120,15,0))</f>
        <v>0</v>
      </c>
      <c r="W1756" s="6">
        <f>IF(ISERROR(VLOOKUP($T$1756,'TAR FIN'!$A$1:$O$120,15,0)),0,VLOOKUP($T$1756,'TAR FIN'!$A$1:$O$120,15,0))</f>
        <v>247.09</v>
      </c>
      <c r="X1756" s="6">
        <f>IF(ISERROR(VLOOKUP($U$1756,'TAR FIN'!$A$1:$O$120,15,0)),0,VLOOKUP($U$1756,'TAR FIN'!$A$1:$O$120,15,0))</f>
        <v>270.92</v>
      </c>
      <c r="Y1756" s="6"/>
      <c r="Z1756" s="6">
        <f ca="1">('TUSD BE'!$AM$55+'TUSD BF'!$AM$55+'TUSD CVA'!$AM$55)*1</f>
        <v>271.87486773292784</v>
      </c>
      <c r="AA1756" s="6">
        <f>('TE BE'!$AA$19+'TE BF'!$AA$19+'TE CVA'!$AA$19)*1</f>
        <v>242.90567551581066</v>
      </c>
      <c r="AB1756" s="6">
        <f>$K$1756*$V$1756</f>
        <v>0</v>
      </c>
      <c r="AC1756" s="6">
        <f>$M$1756*$W$1756</f>
        <v>24.709000000000003</v>
      </c>
      <c r="AD1756" s="6">
        <f>$O$1756*$X$1756</f>
        <v>27.092000000000002</v>
      </c>
      <c r="AE1756" s="6">
        <f>$K$1756*$Y$1756</f>
        <v>0</v>
      </c>
      <c r="AF1756" s="6">
        <f ca="1">$M$1756*$Z$1756</f>
        <v>27.187486773292786</v>
      </c>
      <c r="AG1756" s="6">
        <f>$O$1756*$AA$1756</f>
        <v>24.290567551581066</v>
      </c>
    </row>
    <row r="1757" spans="1:33" ht="11.25" customHeight="1" x14ac:dyDescent="0.25">
      <c r="A1757" s="4" t="s">
        <v>21</v>
      </c>
      <c r="B1757" s="4" t="s">
        <v>22</v>
      </c>
      <c r="C1757" s="4" t="s">
        <v>23</v>
      </c>
      <c r="D1757" s="4" t="s">
        <v>24</v>
      </c>
      <c r="E1757" s="4" t="s">
        <v>24</v>
      </c>
      <c r="F1757" s="4" t="s">
        <v>25</v>
      </c>
      <c r="G1757" s="4" t="s">
        <v>25</v>
      </c>
      <c r="H1757" s="4" t="s">
        <v>25</v>
      </c>
      <c r="I1757" s="5">
        <v>43800</v>
      </c>
      <c r="J1757" s="6">
        <v>0</v>
      </c>
      <c r="K1757" s="6">
        <v>0</v>
      </c>
      <c r="L1757" s="6">
        <v>179007.51</v>
      </c>
      <c r="M1757" s="6">
        <v>179007.51</v>
      </c>
      <c r="N1757" s="6">
        <v>179007.51</v>
      </c>
      <c r="O1757" s="6">
        <v>179007.51</v>
      </c>
      <c r="P1757" s="6">
        <v>940006</v>
      </c>
      <c r="Q1757" s="4" t="s">
        <v>26</v>
      </c>
      <c r="R1757" s="4">
        <v>0</v>
      </c>
      <c r="S1757" s="6">
        <v>0</v>
      </c>
      <c r="T1757" s="6">
        <v>45</v>
      </c>
      <c r="U1757" s="6">
        <v>88</v>
      </c>
      <c r="V1757" s="6">
        <f>IF(ISERROR(VLOOKUP($S$1757,'TAR FIN'!$A$1:$O$120,15,0)),0,VLOOKUP($S$1757,'TAR FIN'!$A$1:$O$120,15,0))</f>
        <v>0</v>
      </c>
      <c r="W1757" s="6">
        <f>IF(ISERROR(VLOOKUP($T$1757,'TAR FIN'!$A$1:$O$120,15,0)),0,VLOOKUP($T$1757,'TAR FIN'!$A$1:$O$120,15,0))</f>
        <v>247.09</v>
      </c>
      <c r="X1757" s="6">
        <f>IF(ISERROR(VLOOKUP($U$1757,'TAR FIN'!$A$1:$O$120,15,0)),0,VLOOKUP($U$1757,'TAR FIN'!$A$1:$O$120,15,0))</f>
        <v>270.92</v>
      </c>
      <c r="Y1757" s="6"/>
      <c r="Z1757" s="6">
        <f ca="1">('TUSD BE'!$AM$55+'TUSD BF'!$AM$55+'TUSD CVA'!$AM$55)*1</f>
        <v>271.87486773292784</v>
      </c>
      <c r="AA1757" s="6">
        <f>('TE BE'!$AA$19+'TE BF'!$AA$19+'TE CVA'!$AA$19)*1</f>
        <v>242.90567551581066</v>
      </c>
      <c r="AB1757" s="6">
        <f>$K$1757*$V$1757</f>
        <v>0</v>
      </c>
      <c r="AC1757" s="6">
        <f>$M$1757*$W$1757</f>
        <v>44230965.645900004</v>
      </c>
      <c r="AD1757" s="6">
        <f>$O$1757*$X$1757</f>
        <v>48496714.609200008</v>
      </c>
      <c r="AE1757" s="6">
        <f>$K$1757*$Y$1757</f>
        <v>0</v>
      </c>
      <c r="AF1757" s="6">
        <f ca="1">$M$1757*$Z$1757</f>
        <v>48667643.104450762</v>
      </c>
      <c r="AG1757" s="6">
        <f>$O$1757*$AA$1757</f>
        <v>43481940.138953231</v>
      </c>
    </row>
    <row r="1758" spans="1:33" ht="11.25" customHeight="1" x14ac:dyDescent="0.25">
      <c r="A1758" s="4" t="s">
        <v>27</v>
      </c>
      <c r="B1758" s="4" t="s">
        <v>22</v>
      </c>
      <c r="C1758" s="4" t="s">
        <v>23</v>
      </c>
      <c r="D1758" s="4" t="s">
        <v>24</v>
      </c>
      <c r="E1758" s="4" t="s">
        <v>24</v>
      </c>
      <c r="F1758" s="4" t="s">
        <v>25</v>
      </c>
      <c r="G1758" s="4" t="s">
        <v>25</v>
      </c>
      <c r="H1758" s="4" t="s">
        <v>25</v>
      </c>
      <c r="I1758" s="5">
        <v>43800</v>
      </c>
      <c r="J1758" s="6">
        <v>0</v>
      </c>
      <c r="K1758" s="6">
        <v>0</v>
      </c>
      <c r="L1758" s="6">
        <v>129.339</v>
      </c>
      <c r="M1758" s="6">
        <v>129.339</v>
      </c>
      <c r="N1758" s="6">
        <v>129.339</v>
      </c>
      <c r="O1758" s="6">
        <v>129.339</v>
      </c>
      <c r="P1758" s="6">
        <v>255</v>
      </c>
      <c r="Q1758" s="4" t="s">
        <v>26</v>
      </c>
      <c r="R1758" s="4">
        <v>0</v>
      </c>
      <c r="S1758" s="6">
        <v>0</v>
      </c>
      <c r="T1758" s="6">
        <v>45</v>
      </c>
      <c r="U1758" s="6">
        <v>88</v>
      </c>
      <c r="V1758" s="6">
        <f>IF(ISERROR(VLOOKUP($S$1758,'TAR FIN'!$A$1:$O$120,15,0)),0,VLOOKUP($S$1758,'TAR FIN'!$A$1:$O$120,15,0))</f>
        <v>0</v>
      </c>
      <c r="W1758" s="6">
        <f>IF(ISERROR(VLOOKUP($T$1758,'TAR FIN'!$A$1:$O$120,15,0)),0,VLOOKUP($T$1758,'TAR FIN'!$A$1:$O$120,15,0))</f>
        <v>247.09</v>
      </c>
      <c r="X1758" s="6">
        <f>IF(ISERROR(VLOOKUP($U$1758,'TAR FIN'!$A$1:$O$120,15,0)),0,VLOOKUP($U$1758,'TAR FIN'!$A$1:$O$120,15,0))</f>
        <v>270.92</v>
      </c>
      <c r="Y1758" s="6"/>
      <c r="Z1758" s="6">
        <f ca="1">('TUSD BE'!$AM$55+'TUSD BF'!$AM$55+'TUSD CVA'!$AM$55)*1</f>
        <v>271.87486773292784</v>
      </c>
      <c r="AA1758" s="6">
        <f>('TE BE'!$AA$19+'TE BF'!$AA$19+'TE CVA'!$AA$19)*1</f>
        <v>242.90567551581066</v>
      </c>
      <c r="AB1758" s="6">
        <f>$K$1758*$V$1758</f>
        <v>0</v>
      </c>
      <c r="AC1758" s="6">
        <f>$M$1758*$W$1758</f>
        <v>31958.373510000001</v>
      </c>
      <c r="AD1758" s="6">
        <f>$O$1758*$X$1758</f>
        <v>35040.52188</v>
      </c>
      <c r="AE1758" s="6">
        <f>$K$1758*$Y$1758</f>
        <v>0</v>
      </c>
      <c r="AF1758" s="6">
        <f ca="1">$M$1758*$Z$1758</f>
        <v>35164.023517709153</v>
      </c>
      <c r="AG1758" s="6">
        <f>$O$1758*$AA$1758</f>
        <v>31417.177165539433</v>
      </c>
    </row>
    <row r="1759" spans="1:33" ht="11.25" customHeight="1" x14ac:dyDescent="0.25">
      <c r="A1759" s="4" t="s">
        <v>28</v>
      </c>
      <c r="B1759" s="4" t="s">
        <v>22</v>
      </c>
      <c r="C1759" s="4" t="s">
        <v>23</v>
      </c>
      <c r="D1759" s="4" t="s">
        <v>24</v>
      </c>
      <c r="E1759" s="4" t="s">
        <v>24</v>
      </c>
      <c r="F1759" s="4" t="s">
        <v>25</v>
      </c>
      <c r="G1759" s="4" t="s">
        <v>25</v>
      </c>
      <c r="H1759" s="4" t="s">
        <v>25</v>
      </c>
      <c r="I1759" s="5">
        <v>43800</v>
      </c>
      <c r="J1759" s="6">
        <v>0</v>
      </c>
      <c r="K1759" s="6">
        <v>0</v>
      </c>
      <c r="L1759" s="6">
        <v>368.75200000000001</v>
      </c>
      <c r="M1759" s="6">
        <v>368.75200000000001</v>
      </c>
      <c r="N1759" s="6">
        <v>368.75200000000001</v>
      </c>
      <c r="O1759" s="6">
        <v>368.75200000000001</v>
      </c>
      <c r="P1759" s="6">
        <v>1295</v>
      </c>
      <c r="Q1759" s="4" t="s">
        <v>26</v>
      </c>
      <c r="R1759" s="4">
        <v>0</v>
      </c>
      <c r="S1759" s="6">
        <v>0</v>
      </c>
      <c r="T1759" s="6">
        <v>45</v>
      </c>
      <c r="U1759" s="6">
        <v>88</v>
      </c>
      <c r="V1759" s="6">
        <f>IF(ISERROR(VLOOKUP($S$1759,'TAR FIN'!$A$1:$O$120,15,0)),0,VLOOKUP($S$1759,'TAR FIN'!$A$1:$O$120,15,0))</f>
        <v>0</v>
      </c>
      <c r="W1759" s="6">
        <f>IF(ISERROR(VLOOKUP($T$1759,'TAR FIN'!$A$1:$O$120,15,0)),0,VLOOKUP($T$1759,'TAR FIN'!$A$1:$O$120,15,0))</f>
        <v>247.09</v>
      </c>
      <c r="X1759" s="6">
        <f>IF(ISERROR(VLOOKUP($U$1759,'TAR FIN'!$A$1:$O$120,15,0)),0,VLOOKUP($U$1759,'TAR FIN'!$A$1:$O$120,15,0))</f>
        <v>270.92</v>
      </c>
      <c r="Y1759" s="6"/>
      <c r="Z1759" s="6">
        <f ca="1">('TUSD BE'!$AM$55+'TUSD BF'!$AM$55+'TUSD CVA'!$AM$55)*1</f>
        <v>271.87486773292784</v>
      </c>
      <c r="AA1759" s="6">
        <f>('TE BE'!$AA$19+'TE BF'!$AA$19+'TE CVA'!$AA$19)*1</f>
        <v>242.90567551581066</v>
      </c>
      <c r="AB1759" s="6">
        <f>$K$1759*$V$1759</f>
        <v>0</v>
      </c>
      <c r="AC1759" s="6">
        <f>$M$1759*$W$1759</f>
        <v>91114.931680000009</v>
      </c>
      <c r="AD1759" s="6">
        <f>$O$1759*$X$1759</f>
        <v>99902.291840000005</v>
      </c>
      <c r="AE1759" s="6">
        <f>$K$1759*$Y$1759</f>
        <v>0</v>
      </c>
      <c r="AF1759" s="6">
        <f ca="1">$M$1759*$Z$1759</f>
        <v>100254.40122625261</v>
      </c>
      <c r="AG1759" s="6">
        <f>$O$1759*$AA$1759</f>
        <v>89571.953657806211</v>
      </c>
    </row>
    <row r="1760" spans="1:33" ht="11.25" customHeight="1" x14ac:dyDescent="0.25">
      <c r="A1760" s="4" t="s">
        <v>21</v>
      </c>
      <c r="B1760" s="4" t="s">
        <v>22</v>
      </c>
      <c r="C1760" s="4" t="s">
        <v>23</v>
      </c>
      <c r="D1760" s="4" t="s">
        <v>24</v>
      </c>
      <c r="E1760" s="4" t="s">
        <v>24</v>
      </c>
      <c r="F1760" s="4" t="s">
        <v>25</v>
      </c>
      <c r="G1760" s="4" t="s">
        <v>25</v>
      </c>
      <c r="H1760" s="4" t="s">
        <v>25</v>
      </c>
      <c r="I1760" s="5">
        <v>43831</v>
      </c>
      <c r="J1760" s="6">
        <v>0</v>
      </c>
      <c r="K1760" s="6">
        <v>0</v>
      </c>
      <c r="L1760" s="6">
        <v>194795.829</v>
      </c>
      <c r="M1760" s="6">
        <v>194795.829</v>
      </c>
      <c r="N1760" s="6">
        <v>194795.829</v>
      </c>
      <c r="O1760" s="6">
        <v>194795.829</v>
      </c>
      <c r="P1760" s="6">
        <v>940719</v>
      </c>
      <c r="Q1760" s="4" t="s">
        <v>26</v>
      </c>
      <c r="R1760" s="4">
        <v>0</v>
      </c>
      <c r="S1760" s="6">
        <v>0</v>
      </c>
      <c r="T1760" s="6">
        <v>45</v>
      </c>
      <c r="U1760" s="6">
        <v>88</v>
      </c>
      <c r="V1760" s="6">
        <f>IF(ISERROR(VLOOKUP($S$1760,'TAR FIN'!$A$1:$O$120,15,0)),0,VLOOKUP($S$1760,'TAR FIN'!$A$1:$O$120,15,0))</f>
        <v>0</v>
      </c>
      <c r="W1760" s="6">
        <f>IF(ISERROR(VLOOKUP($T$1760,'TAR FIN'!$A$1:$O$120,15,0)),0,VLOOKUP($T$1760,'TAR FIN'!$A$1:$O$120,15,0))</f>
        <v>247.09</v>
      </c>
      <c r="X1760" s="6">
        <f>IF(ISERROR(VLOOKUP($U$1760,'TAR FIN'!$A$1:$O$120,15,0)),0,VLOOKUP($U$1760,'TAR FIN'!$A$1:$O$120,15,0))</f>
        <v>270.92</v>
      </c>
      <c r="Y1760" s="6"/>
      <c r="Z1760" s="6">
        <f ca="1">('TUSD BE'!$AM$55+'TUSD BF'!$AM$55+'TUSD CVA'!$AM$55)*1</f>
        <v>271.87486773292784</v>
      </c>
      <c r="AA1760" s="6">
        <f>('TE BE'!$AA$19+'TE BF'!$AA$19+'TE CVA'!$AA$19)*1</f>
        <v>242.90567551581066</v>
      </c>
      <c r="AB1760" s="6">
        <f>$K$1760*$V$1760</f>
        <v>0</v>
      </c>
      <c r="AC1760" s="6">
        <f>$M$1760*$W$1760</f>
        <v>48132101.387610003</v>
      </c>
      <c r="AD1760" s="6">
        <f>$O$1760*$X$1760</f>
        <v>52774085.992680006</v>
      </c>
      <c r="AE1760" s="6">
        <f>$K$1760*$Y$1760</f>
        <v>0</v>
      </c>
      <c r="AF1760" s="6">
        <f ca="1">$M$1760*$Z$1760</f>
        <v>52960090.244301029</v>
      </c>
      <c r="AG1760" s="6">
        <f>$O$1760*$AA$1760</f>
        <v>47317012.430907339</v>
      </c>
    </row>
    <row r="1761" spans="1:33" ht="11.25" customHeight="1" x14ac:dyDescent="0.25">
      <c r="A1761" s="4" t="s">
        <v>27</v>
      </c>
      <c r="B1761" s="4" t="s">
        <v>22</v>
      </c>
      <c r="C1761" s="4" t="s">
        <v>23</v>
      </c>
      <c r="D1761" s="4" t="s">
        <v>24</v>
      </c>
      <c r="E1761" s="4" t="s">
        <v>24</v>
      </c>
      <c r="F1761" s="4" t="s">
        <v>25</v>
      </c>
      <c r="G1761" s="4" t="s">
        <v>25</v>
      </c>
      <c r="H1761" s="4" t="s">
        <v>25</v>
      </c>
      <c r="I1761" s="5">
        <v>43831</v>
      </c>
      <c r="J1761" s="6">
        <v>0</v>
      </c>
      <c r="K1761" s="6">
        <v>0</v>
      </c>
      <c r="L1761" s="6">
        <v>160.214</v>
      </c>
      <c r="M1761" s="6">
        <v>160.214</v>
      </c>
      <c r="N1761" s="6">
        <v>160.214</v>
      </c>
      <c r="O1761" s="6">
        <v>160.214</v>
      </c>
      <c r="P1761" s="6">
        <v>268</v>
      </c>
      <c r="Q1761" s="4" t="s">
        <v>26</v>
      </c>
      <c r="R1761" s="4">
        <v>0</v>
      </c>
      <c r="S1761" s="6">
        <v>0</v>
      </c>
      <c r="T1761" s="6">
        <v>45</v>
      </c>
      <c r="U1761" s="6">
        <v>88</v>
      </c>
      <c r="V1761" s="6">
        <f>IF(ISERROR(VLOOKUP($S$1761,'TAR FIN'!$A$1:$O$120,15,0)),0,VLOOKUP($S$1761,'TAR FIN'!$A$1:$O$120,15,0))</f>
        <v>0</v>
      </c>
      <c r="W1761" s="6">
        <f>IF(ISERROR(VLOOKUP($T$1761,'TAR FIN'!$A$1:$O$120,15,0)),0,VLOOKUP($T$1761,'TAR FIN'!$A$1:$O$120,15,0))</f>
        <v>247.09</v>
      </c>
      <c r="X1761" s="6">
        <f>IF(ISERROR(VLOOKUP($U$1761,'TAR FIN'!$A$1:$O$120,15,0)),0,VLOOKUP($U$1761,'TAR FIN'!$A$1:$O$120,15,0))</f>
        <v>270.92</v>
      </c>
      <c r="Y1761" s="6"/>
      <c r="Z1761" s="6">
        <f ca="1">('TUSD BE'!$AM$55+'TUSD BF'!$AM$55+'TUSD CVA'!$AM$55)*1</f>
        <v>271.87486773292784</v>
      </c>
      <c r="AA1761" s="6">
        <f>('TE BE'!$AA$19+'TE BF'!$AA$19+'TE CVA'!$AA$19)*1</f>
        <v>242.90567551581066</v>
      </c>
      <c r="AB1761" s="6">
        <f>$K$1761*$V$1761</f>
        <v>0</v>
      </c>
      <c r="AC1761" s="6">
        <f>$M$1761*$W$1761</f>
        <v>39587.277260000003</v>
      </c>
      <c r="AD1761" s="6">
        <f>$O$1761*$X$1761</f>
        <v>43405.176879999999</v>
      </c>
      <c r="AE1761" s="6">
        <f>$K$1761*$Y$1761</f>
        <v>0</v>
      </c>
      <c r="AF1761" s="6">
        <f ca="1">$M$1761*$Z$1761</f>
        <v>43558.160058963302</v>
      </c>
      <c r="AG1761" s="6">
        <f>$O$1761*$AA$1761</f>
        <v>38916.889897090092</v>
      </c>
    </row>
    <row r="1762" spans="1:33" ht="11.25" customHeight="1" x14ac:dyDescent="0.25">
      <c r="A1762" s="4" t="s">
        <v>28</v>
      </c>
      <c r="B1762" s="4" t="s">
        <v>22</v>
      </c>
      <c r="C1762" s="4" t="s">
        <v>23</v>
      </c>
      <c r="D1762" s="4" t="s">
        <v>24</v>
      </c>
      <c r="E1762" s="4" t="s">
        <v>24</v>
      </c>
      <c r="F1762" s="4" t="s">
        <v>25</v>
      </c>
      <c r="G1762" s="4" t="s">
        <v>25</v>
      </c>
      <c r="H1762" s="4" t="s">
        <v>25</v>
      </c>
      <c r="I1762" s="5">
        <v>43831</v>
      </c>
      <c r="J1762" s="6">
        <v>0</v>
      </c>
      <c r="K1762" s="6">
        <v>0</v>
      </c>
      <c r="L1762" s="6">
        <v>359.54899999999998</v>
      </c>
      <c r="M1762" s="6">
        <v>359.54899999999998</v>
      </c>
      <c r="N1762" s="6">
        <v>359.54899999999998</v>
      </c>
      <c r="O1762" s="6">
        <v>359.54899999999998</v>
      </c>
      <c r="P1762" s="6">
        <v>1292</v>
      </c>
      <c r="Q1762" s="4" t="s">
        <v>26</v>
      </c>
      <c r="R1762" s="4">
        <v>0</v>
      </c>
      <c r="S1762" s="6">
        <v>0</v>
      </c>
      <c r="T1762" s="6">
        <v>45</v>
      </c>
      <c r="U1762" s="6">
        <v>88</v>
      </c>
      <c r="V1762" s="6">
        <f>IF(ISERROR(VLOOKUP($S$1762,'TAR FIN'!$A$1:$O$120,15,0)),0,VLOOKUP($S$1762,'TAR FIN'!$A$1:$O$120,15,0))</f>
        <v>0</v>
      </c>
      <c r="W1762" s="6">
        <f>IF(ISERROR(VLOOKUP($T$1762,'TAR FIN'!$A$1:$O$120,15,0)),0,VLOOKUP($T$1762,'TAR FIN'!$A$1:$O$120,15,0))</f>
        <v>247.09</v>
      </c>
      <c r="X1762" s="6">
        <f>IF(ISERROR(VLOOKUP($U$1762,'TAR FIN'!$A$1:$O$120,15,0)),0,VLOOKUP($U$1762,'TAR FIN'!$A$1:$O$120,15,0))</f>
        <v>270.92</v>
      </c>
      <c r="Y1762" s="6"/>
      <c r="Z1762" s="6">
        <f ca="1">('TUSD BE'!$AM$55+'TUSD BF'!$AM$55+'TUSD CVA'!$AM$55)*1</f>
        <v>271.87486773292784</v>
      </c>
      <c r="AA1762" s="6">
        <f>('TE BE'!$AA$19+'TE BF'!$AA$19+'TE CVA'!$AA$19)*1</f>
        <v>242.90567551581066</v>
      </c>
      <c r="AB1762" s="6">
        <f>$K$1762*$V$1762</f>
        <v>0</v>
      </c>
      <c r="AC1762" s="6">
        <f>$M$1762*$W$1762</f>
        <v>88840.962409999993</v>
      </c>
      <c r="AD1762" s="6">
        <f>$O$1762*$X$1762</f>
        <v>97409.015079999997</v>
      </c>
      <c r="AE1762" s="6">
        <f>$K$1762*$Y$1762</f>
        <v>0</v>
      </c>
      <c r="AF1762" s="6">
        <f ca="1">$M$1762*$Z$1762</f>
        <v>97752.336818506461</v>
      </c>
      <c r="AG1762" s="6">
        <f>$O$1762*$AA$1762</f>
        <v>87336.492726034194</v>
      </c>
    </row>
    <row r="1763" spans="1:33" ht="11.25" customHeight="1" x14ac:dyDescent="0.25">
      <c r="A1763" s="4" t="s">
        <v>28</v>
      </c>
      <c r="B1763" s="4" t="s">
        <v>22</v>
      </c>
      <c r="C1763" s="4" t="s">
        <v>23</v>
      </c>
      <c r="D1763" s="4" t="s">
        <v>24</v>
      </c>
      <c r="E1763" s="4" t="s">
        <v>24</v>
      </c>
      <c r="F1763" s="4" t="s">
        <v>25</v>
      </c>
      <c r="G1763" s="4" t="s">
        <v>25</v>
      </c>
      <c r="H1763" s="4" t="s">
        <v>25</v>
      </c>
      <c r="I1763" s="5">
        <v>43831</v>
      </c>
      <c r="J1763" s="6">
        <v>0</v>
      </c>
      <c r="K1763" s="6">
        <v>0</v>
      </c>
      <c r="L1763" s="6">
        <v>3.6619999999999999</v>
      </c>
      <c r="M1763" s="6">
        <v>3.6619999999999999</v>
      </c>
      <c r="N1763" s="6">
        <v>3.6619999999999999</v>
      </c>
      <c r="O1763" s="6">
        <v>3.6619999999999999</v>
      </c>
      <c r="P1763" s="6">
        <v>2</v>
      </c>
      <c r="Q1763" s="4" t="s">
        <v>26</v>
      </c>
      <c r="R1763" s="4">
        <v>0</v>
      </c>
      <c r="S1763" s="6">
        <v>0</v>
      </c>
      <c r="T1763" s="6">
        <v>45</v>
      </c>
      <c r="U1763" s="6">
        <v>88</v>
      </c>
      <c r="V1763" s="6">
        <f>IF(ISERROR(VLOOKUP($S$1763,'TAR FIN'!$A$1:$O$120,15,0)),0,VLOOKUP($S$1763,'TAR FIN'!$A$1:$O$120,15,0))</f>
        <v>0</v>
      </c>
      <c r="W1763" s="6">
        <f>IF(ISERROR(VLOOKUP($T$1763,'TAR FIN'!$A$1:$O$120,15,0)),0,VLOOKUP($T$1763,'TAR FIN'!$A$1:$O$120,15,0))</f>
        <v>247.09</v>
      </c>
      <c r="X1763" s="6">
        <f>IF(ISERROR(VLOOKUP($U$1763,'TAR FIN'!$A$1:$O$120,15,0)),0,VLOOKUP($U$1763,'TAR FIN'!$A$1:$O$120,15,0))</f>
        <v>270.92</v>
      </c>
      <c r="Y1763" s="6"/>
      <c r="Z1763" s="6">
        <f ca="1">('TUSD BE'!$AM$55+'TUSD BF'!$AM$55+'TUSD CVA'!$AM$55)*1</f>
        <v>271.87486773292784</v>
      </c>
      <c r="AA1763" s="6">
        <f>('TE BE'!$AA$19+'TE BF'!$AA$19+'TE CVA'!$AA$19)*1</f>
        <v>242.90567551581066</v>
      </c>
      <c r="AB1763" s="6">
        <f>$K$1763*$V$1763</f>
        <v>0</v>
      </c>
      <c r="AC1763" s="6">
        <f>$M$1763*$W$1763</f>
        <v>904.84357999999997</v>
      </c>
      <c r="AD1763" s="6">
        <f>$O$1763*$X$1763</f>
        <v>992.10904000000005</v>
      </c>
      <c r="AE1763" s="6">
        <f>$K$1763*$Y$1763</f>
        <v>0</v>
      </c>
      <c r="AF1763" s="6">
        <f ca="1">$M$1763*$Z$1763</f>
        <v>995.60576563798168</v>
      </c>
      <c r="AG1763" s="6">
        <f>$O$1763*$AA$1763</f>
        <v>889.52058373889861</v>
      </c>
    </row>
    <row r="1764" spans="1:33" ht="11.25" customHeight="1" x14ac:dyDescent="0.25">
      <c r="A1764" s="4" t="s">
        <v>21</v>
      </c>
      <c r="B1764" s="4" t="s">
        <v>22</v>
      </c>
      <c r="C1764" s="4" t="s">
        <v>23</v>
      </c>
      <c r="D1764" s="4" t="s">
        <v>24</v>
      </c>
      <c r="E1764" s="4" t="s">
        <v>24</v>
      </c>
      <c r="F1764" s="4" t="s">
        <v>25</v>
      </c>
      <c r="G1764" s="4" t="s">
        <v>25</v>
      </c>
      <c r="H1764" s="4" t="s">
        <v>25</v>
      </c>
      <c r="I1764" s="5">
        <v>43862</v>
      </c>
      <c r="J1764" s="6">
        <v>0</v>
      </c>
      <c r="K1764" s="6">
        <v>0</v>
      </c>
      <c r="L1764" s="6">
        <v>182485.511</v>
      </c>
      <c r="M1764" s="6">
        <v>182485.511</v>
      </c>
      <c r="N1764" s="6">
        <v>182485.511</v>
      </c>
      <c r="O1764" s="6">
        <v>182485.511</v>
      </c>
      <c r="P1764" s="6">
        <v>944128</v>
      </c>
      <c r="Q1764" s="4" t="s">
        <v>26</v>
      </c>
      <c r="R1764" s="4">
        <v>0</v>
      </c>
      <c r="S1764" s="6">
        <v>0</v>
      </c>
      <c r="T1764" s="6">
        <v>45</v>
      </c>
      <c r="U1764" s="6">
        <v>88</v>
      </c>
      <c r="V1764" s="6">
        <f>IF(ISERROR(VLOOKUP($S$1764,'TAR FIN'!$A$1:$O$120,15,0)),0,VLOOKUP($S$1764,'TAR FIN'!$A$1:$O$120,15,0))</f>
        <v>0</v>
      </c>
      <c r="W1764" s="6">
        <f>IF(ISERROR(VLOOKUP($T$1764,'TAR FIN'!$A$1:$O$120,15,0)),0,VLOOKUP($T$1764,'TAR FIN'!$A$1:$O$120,15,0))</f>
        <v>247.09</v>
      </c>
      <c r="X1764" s="6">
        <f>IF(ISERROR(VLOOKUP($U$1764,'TAR FIN'!$A$1:$O$120,15,0)),0,VLOOKUP($U$1764,'TAR FIN'!$A$1:$O$120,15,0))</f>
        <v>270.92</v>
      </c>
      <c r="Y1764" s="6"/>
      <c r="Z1764" s="6">
        <f ca="1">('TUSD BE'!$AM$55+'TUSD BF'!$AM$55+'TUSD CVA'!$AM$55)*1</f>
        <v>271.87486773292784</v>
      </c>
      <c r="AA1764" s="6">
        <f>('TE BE'!$AA$19+'TE BF'!$AA$19+'TE CVA'!$AA$19)*1</f>
        <v>242.90567551581066</v>
      </c>
      <c r="AB1764" s="6">
        <f>$K$1764*$V$1764</f>
        <v>0</v>
      </c>
      <c r="AC1764" s="6">
        <f>$M$1764*$W$1764</f>
        <v>45090344.912990004</v>
      </c>
      <c r="AD1764" s="6">
        <f>$O$1764*$X$1764</f>
        <v>49438974.64012</v>
      </c>
      <c r="AE1764" s="6">
        <f>$K$1764*$Y$1764</f>
        <v>0</v>
      </c>
      <c r="AF1764" s="6">
        <f ca="1">$M$1764*$Z$1764</f>
        <v>49613224.166300751</v>
      </c>
      <c r="AG1764" s="6">
        <f>$O$1764*$AA$1764</f>
        <v>44326766.321302898</v>
      </c>
    </row>
    <row r="1765" spans="1:33" ht="11.25" customHeight="1" x14ac:dyDescent="0.25">
      <c r="A1765" s="4" t="s">
        <v>27</v>
      </c>
      <c r="B1765" s="4" t="s">
        <v>22</v>
      </c>
      <c r="C1765" s="4" t="s">
        <v>23</v>
      </c>
      <c r="D1765" s="4" t="s">
        <v>24</v>
      </c>
      <c r="E1765" s="4" t="s">
        <v>24</v>
      </c>
      <c r="F1765" s="4" t="s">
        <v>25</v>
      </c>
      <c r="G1765" s="4" t="s">
        <v>25</v>
      </c>
      <c r="H1765" s="4" t="s">
        <v>25</v>
      </c>
      <c r="I1765" s="5">
        <v>43862</v>
      </c>
      <c r="J1765" s="6">
        <v>0</v>
      </c>
      <c r="K1765" s="6">
        <v>0</v>
      </c>
      <c r="L1765" s="6">
        <v>115.705</v>
      </c>
      <c r="M1765" s="6">
        <v>115.705</v>
      </c>
      <c r="N1765" s="6">
        <v>115.705</v>
      </c>
      <c r="O1765" s="6">
        <v>115.705</v>
      </c>
      <c r="P1765" s="6">
        <v>244</v>
      </c>
      <c r="Q1765" s="4" t="s">
        <v>26</v>
      </c>
      <c r="R1765" s="4">
        <v>0</v>
      </c>
      <c r="S1765" s="6">
        <v>0</v>
      </c>
      <c r="T1765" s="6">
        <v>45</v>
      </c>
      <c r="U1765" s="6">
        <v>88</v>
      </c>
      <c r="V1765" s="6">
        <f>IF(ISERROR(VLOOKUP($S$1765,'TAR FIN'!$A$1:$O$120,15,0)),0,VLOOKUP($S$1765,'TAR FIN'!$A$1:$O$120,15,0))</f>
        <v>0</v>
      </c>
      <c r="W1765" s="6">
        <f>IF(ISERROR(VLOOKUP($T$1765,'TAR FIN'!$A$1:$O$120,15,0)),0,VLOOKUP($T$1765,'TAR FIN'!$A$1:$O$120,15,0))</f>
        <v>247.09</v>
      </c>
      <c r="X1765" s="6">
        <f>IF(ISERROR(VLOOKUP($U$1765,'TAR FIN'!$A$1:$O$120,15,0)),0,VLOOKUP($U$1765,'TAR FIN'!$A$1:$O$120,15,0))</f>
        <v>270.92</v>
      </c>
      <c r="Y1765" s="6"/>
      <c r="Z1765" s="6">
        <f ca="1">('TUSD BE'!$AM$55+'TUSD BF'!$AM$55+'TUSD CVA'!$AM$55)*1</f>
        <v>271.87486773292784</v>
      </c>
      <c r="AA1765" s="6">
        <f>('TE BE'!$AA$19+'TE BF'!$AA$19+'TE CVA'!$AA$19)*1</f>
        <v>242.90567551581066</v>
      </c>
      <c r="AB1765" s="6">
        <f>$K$1765*$V$1765</f>
        <v>0</v>
      </c>
      <c r="AC1765" s="6">
        <f>$M$1765*$W$1765</f>
        <v>28589.548449999998</v>
      </c>
      <c r="AD1765" s="6">
        <f>$O$1765*$X$1765</f>
        <v>31346.798600000002</v>
      </c>
      <c r="AE1765" s="6">
        <f>$K$1765*$Y$1765</f>
        <v>0</v>
      </c>
      <c r="AF1765" s="6">
        <f ca="1">$M$1765*$Z$1765</f>
        <v>31457.281571038417</v>
      </c>
      <c r="AG1765" s="6">
        <f>$O$1765*$AA$1765</f>
        <v>28105.401185556871</v>
      </c>
    </row>
    <row r="1766" spans="1:33" ht="11.25" customHeight="1" x14ac:dyDescent="0.25">
      <c r="A1766" s="4" t="s">
        <v>28</v>
      </c>
      <c r="B1766" s="4" t="s">
        <v>22</v>
      </c>
      <c r="C1766" s="4" t="s">
        <v>23</v>
      </c>
      <c r="D1766" s="4" t="s">
        <v>24</v>
      </c>
      <c r="E1766" s="4" t="s">
        <v>24</v>
      </c>
      <c r="F1766" s="4" t="s">
        <v>25</v>
      </c>
      <c r="G1766" s="4" t="s">
        <v>25</v>
      </c>
      <c r="H1766" s="4" t="s">
        <v>25</v>
      </c>
      <c r="I1766" s="5">
        <v>43862</v>
      </c>
      <c r="J1766" s="6">
        <v>0</v>
      </c>
      <c r="K1766" s="6">
        <v>0</v>
      </c>
      <c r="L1766" s="6">
        <v>381.16800000000001</v>
      </c>
      <c r="M1766" s="6">
        <v>381.16800000000001</v>
      </c>
      <c r="N1766" s="6">
        <v>381.16800000000001</v>
      </c>
      <c r="O1766" s="6">
        <v>381.16800000000001</v>
      </c>
      <c r="P1766" s="6">
        <v>1297</v>
      </c>
      <c r="Q1766" s="4" t="s">
        <v>26</v>
      </c>
      <c r="R1766" s="4">
        <v>0</v>
      </c>
      <c r="S1766" s="6">
        <v>0</v>
      </c>
      <c r="T1766" s="6">
        <v>45</v>
      </c>
      <c r="U1766" s="6">
        <v>88</v>
      </c>
      <c r="V1766" s="6">
        <f>IF(ISERROR(VLOOKUP($S$1766,'TAR FIN'!$A$1:$O$120,15,0)),0,VLOOKUP($S$1766,'TAR FIN'!$A$1:$O$120,15,0))</f>
        <v>0</v>
      </c>
      <c r="W1766" s="6">
        <f>IF(ISERROR(VLOOKUP($T$1766,'TAR FIN'!$A$1:$O$120,15,0)),0,VLOOKUP($T$1766,'TAR FIN'!$A$1:$O$120,15,0))</f>
        <v>247.09</v>
      </c>
      <c r="X1766" s="6">
        <f>IF(ISERROR(VLOOKUP($U$1766,'TAR FIN'!$A$1:$O$120,15,0)),0,VLOOKUP($U$1766,'TAR FIN'!$A$1:$O$120,15,0))</f>
        <v>270.92</v>
      </c>
      <c r="Y1766" s="6"/>
      <c r="Z1766" s="6">
        <f ca="1">('TUSD BE'!$AM$55+'TUSD BF'!$AM$55+'TUSD CVA'!$AM$55)*1</f>
        <v>271.87486773292784</v>
      </c>
      <c r="AA1766" s="6">
        <f>('TE BE'!$AA$19+'TE BF'!$AA$19+'TE CVA'!$AA$19)*1</f>
        <v>242.90567551581066</v>
      </c>
      <c r="AB1766" s="6">
        <f>$K$1766*$V$1766</f>
        <v>0</v>
      </c>
      <c r="AC1766" s="6">
        <f>$M$1766*$W$1766</f>
        <v>94182.801120000004</v>
      </c>
      <c r="AD1766" s="6">
        <f>$O$1766*$X$1766</f>
        <v>103266.03456000001</v>
      </c>
      <c r="AE1766" s="6">
        <f>$K$1766*$Y$1766</f>
        <v>0</v>
      </c>
      <c r="AF1766" s="6">
        <f ca="1">$M$1766*$Z$1766</f>
        <v>103629.99958402464</v>
      </c>
      <c r="AG1766" s="6">
        <f>$O$1766*$AA$1766</f>
        <v>92587.870525010512</v>
      </c>
    </row>
    <row r="1767" spans="1:33" ht="11.25" customHeight="1" x14ac:dyDescent="0.25">
      <c r="A1767" s="4" t="s">
        <v>28</v>
      </c>
      <c r="B1767" s="4" t="s">
        <v>22</v>
      </c>
      <c r="C1767" s="4" t="s">
        <v>23</v>
      </c>
      <c r="D1767" s="4" t="s">
        <v>24</v>
      </c>
      <c r="E1767" s="4" t="s">
        <v>24</v>
      </c>
      <c r="F1767" s="4" t="s">
        <v>25</v>
      </c>
      <c r="G1767" s="4" t="s">
        <v>25</v>
      </c>
      <c r="H1767" s="4" t="s">
        <v>25</v>
      </c>
      <c r="I1767" s="5">
        <v>43862</v>
      </c>
      <c r="J1767" s="6">
        <v>0</v>
      </c>
      <c r="K1767" s="6">
        <v>0</v>
      </c>
      <c r="L1767" s="6">
        <v>6.3369999999999997</v>
      </c>
      <c r="M1767" s="6">
        <v>6.3369999999999997</v>
      </c>
      <c r="N1767" s="6">
        <v>6.3369999999999997</v>
      </c>
      <c r="O1767" s="6">
        <v>6.3369999999999997</v>
      </c>
      <c r="P1767" s="6">
        <v>2</v>
      </c>
      <c r="Q1767" s="4" t="s">
        <v>26</v>
      </c>
      <c r="R1767" s="4">
        <v>0</v>
      </c>
      <c r="S1767" s="6">
        <v>0</v>
      </c>
      <c r="T1767" s="6">
        <v>45</v>
      </c>
      <c r="U1767" s="6">
        <v>88</v>
      </c>
      <c r="V1767" s="6">
        <f>IF(ISERROR(VLOOKUP($S$1767,'TAR FIN'!$A$1:$O$120,15,0)),0,VLOOKUP($S$1767,'TAR FIN'!$A$1:$O$120,15,0))</f>
        <v>0</v>
      </c>
      <c r="W1767" s="6">
        <f>IF(ISERROR(VLOOKUP($T$1767,'TAR FIN'!$A$1:$O$120,15,0)),0,VLOOKUP($T$1767,'TAR FIN'!$A$1:$O$120,15,0))</f>
        <v>247.09</v>
      </c>
      <c r="X1767" s="6">
        <f>IF(ISERROR(VLOOKUP($U$1767,'TAR FIN'!$A$1:$O$120,15,0)),0,VLOOKUP($U$1767,'TAR FIN'!$A$1:$O$120,15,0))</f>
        <v>270.92</v>
      </c>
      <c r="Y1767" s="6"/>
      <c r="Z1767" s="6">
        <f ca="1">('TUSD BE'!$AM$55+'TUSD BF'!$AM$55+'TUSD CVA'!$AM$55)*1</f>
        <v>271.87486773292784</v>
      </c>
      <c r="AA1767" s="6">
        <f>('TE BE'!$AA$19+'TE BF'!$AA$19+'TE CVA'!$AA$19)*1</f>
        <v>242.90567551581066</v>
      </c>
      <c r="AB1767" s="6">
        <f>$K$1767*$V$1767</f>
        <v>0</v>
      </c>
      <c r="AC1767" s="6">
        <f>$M$1767*$W$1767</f>
        <v>1565.80933</v>
      </c>
      <c r="AD1767" s="6">
        <f>$O$1767*$X$1767</f>
        <v>1716.8200400000001</v>
      </c>
      <c r="AE1767" s="6">
        <f>$K$1767*$Y$1767</f>
        <v>0</v>
      </c>
      <c r="AF1767" s="6">
        <f ca="1">$M$1767*$Z$1767</f>
        <v>1722.8710368235636</v>
      </c>
      <c r="AG1767" s="6">
        <f>$O$1767*$AA$1767</f>
        <v>1539.293265743692</v>
      </c>
    </row>
    <row r="1768" spans="1:33" ht="11.25" customHeight="1" x14ac:dyDescent="0.25">
      <c r="A1768" s="4" t="s">
        <v>21</v>
      </c>
      <c r="B1768" s="4" t="s">
        <v>22</v>
      </c>
      <c r="C1768" s="4" t="s">
        <v>23</v>
      </c>
      <c r="D1768" s="4" t="s">
        <v>24</v>
      </c>
      <c r="E1768" s="4" t="s">
        <v>24</v>
      </c>
      <c r="F1768" s="4" t="s">
        <v>25</v>
      </c>
      <c r="G1768" s="4" t="s">
        <v>25</v>
      </c>
      <c r="H1768" s="4" t="s">
        <v>25</v>
      </c>
      <c r="I1768" s="5">
        <v>43891</v>
      </c>
      <c r="J1768" s="6">
        <v>0</v>
      </c>
      <c r="K1768" s="6">
        <v>0</v>
      </c>
      <c r="L1768" s="6">
        <v>187028.478</v>
      </c>
      <c r="M1768" s="6">
        <v>187028.478</v>
      </c>
      <c r="N1768" s="6">
        <v>187028.478</v>
      </c>
      <c r="O1768" s="6">
        <v>187028.478</v>
      </c>
      <c r="P1768" s="6">
        <v>940596</v>
      </c>
      <c r="Q1768" s="4" t="s">
        <v>26</v>
      </c>
      <c r="R1768" s="4">
        <v>0</v>
      </c>
      <c r="S1768" s="6">
        <v>0</v>
      </c>
      <c r="T1768" s="6">
        <v>45</v>
      </c>
      <c r="U1768" s="6">
        <v>88</v>
      </c>
      <c r="V1768" s="6">
        <f>IF(ISERROR(VLOOKUP($S$1768,'TAR FIN'!$A$1:$O$120,15,0)),0,VLOOKUP($S$1768,'TAR FIN'!$A$1:$O$120,15,0))</f>
        <v>0</v>
      </c>
      <c r="W1768" s="6">
        <f>IF(ISERROR(VLOOKUP($T$1768,'TAR FIN'!$A$1:$O$120,15,0)),0,VLOOKUP($T$1768,'TAR FIN'!$A$1:$O$120,15,0))</f>
        <v>247.09</v>
      </c>
      <c r="X1768" s="6">
        <f>IF(ISERROR(VLOOKUP($U$1768,'TAR FIN'!$A$1:$O$120,15,0)),0,VLOOKUP($U$1768,'TAR FIN'!$A$1:$O$120,15,0))</f>
        <v>270.92</v>
      </c>
      <c r="Y1768" s="6"/>
      <c r="Z1768" s="6">
        <f ca="1">('TUSD BE'!$AM$55+'TUSD BF'!$AM$55+'TUSD CVA'!$AM$55)*1</f>
        <v>271.87486773292784</v>
      </c>
      <c r="AA1768" s="6">
        <f>('TE BE'!$AA$19+'TE BF'!$AA$19+'TE CVA'!$AA$19)*1</f>
        <v>242.90567551581066</v>
      </c>
      <c r="AB1768" s="6">
        <f>$K$1768*$V$1768</f>
        <v>0</v>
      </c>
      <c r="AC1768" s="6">
        <f>$M$1768*$W$1768</f>
        <v>46212866.629019998</v>
      </c>
      <c r="AD1768" s="6">
        <f>$O$1768*$X$1768</f>
        <v>50669755.259760007</v>
      </c>
      <c r="AE1768" s="6">
        <f>$K$1768*$Y$1768</f>
        <v>0</v>
      </c>
      <c r="AF1768" s="6">
        <f ca="1">$M$1768*$Z$1768</f>
        <v>50848342.718540803</v>
      </c>
      <c r="AG1768" s="6">
        <f>$O$1768*$AA$1768</f>
        <v>45430278.789283931</v>
      </c>
    </row>
    <row r="1769" spans="1:33" ht="11.25" customHeight="1" x14ac:dyDescent="0.25">
      <c r="A1769" s="4" t="s">
        <v>27</v>
      </c>
      <c r="B1769" s="4" t="s">
        <v>22</v>
      </c>
      <c r="C1769" s="4" t="s">
        <v>23</v>
      </c>
      <c r="D1769" s="4" t="s">
        <v>24</v>
      </c>
      <c r="E1769" s="4" t="s">
        <v>24</v>
      </c>
      <c r="F1769" s="4" t="s">
        <v>25</v>
      </c>
      <c r="G1769" s="4" t="s">
        <v>25</v>
      </c>
      <c r="H1769" s="4" t="s">
        <v>25</v>
      </c>
      <c r="I1769" s="5">
        <v>43891</v>
      </c>
      <c r="J1769" s="6">
        <v>0</v>
      </c>
      <c r="K1769" s="6">
        <v>0</v>
      </c>
      <c r="L1769" s="6">
        <v>130.26400000000001</v>
      </c>
      <c r="M1769" s="6">
        <v>130.26400000000001</v>
      </c>
      <c r="N1769" s="6">
        <v>130.26400000000001</v>
      </c>
      <c r="O1769" s="6">
        <v>130.26400000000001</v>
      </c>
      <c r="P1769" s="6">
        <v>272</v>
      </c>
      <c r="Q1769" s="4" t="s">
        <v>26</v>
      </c>
      <c r="R1769" s="4">
        <v>0</v>
      </c>
      <c r="S1769" s="6">
        <v>0</v>
      </c>
      <c r="T1769" s="6">
        <v>45</v>
      </c>
      <c r="U1769" s="6">
        <v>88</v>
      </c>
      <c r="V1769" s="6">
        <f>IF(ISERROR(VLOOKUP($S$1769,'TAR FIN'!$A$1:$O$120,15,0)),0,VLOOKUP($S$1769,'TAR FIN'!$A$1:$O$120,15,0))</f>
        <v>0</v>
      </c>
      <c r="W1769" s="6">
        <f>IF(ISERROR(VLOOKUP($T$1769,'TAR FIN'!$A$1:$O$120,15,0)),0,VLOOKUP($T$1769,'TAR FIN'!$A$1:$O$120,15,0))</f>
        <v>247.09</v>
      </c>
      <c r="X1769" s="6">
        <f>IF(ISERROR(VLOOKUP($U$1769,'TAR FIN'!$A$1:$O$120,15,0)),0,VLOOKUP($U$1769,'TAR FIN'!$A$1:$O$120,15,0))</f>
        <v>270.92</v>
      </c>
      <c r="Y1769" s="6"/>
      <c r="Z1769" s="6">
        <f ca="1">('TUSD BE'!$AM$55+'TUSD BF'!$AM$55+'TUSD CVA'!$AM$55)*1</f>
        <v>271.87486773292784</v>
      </c>
      <c r="AA1769" s="6">
        <f>('TE BE'!$AA$19+'TE BF'!$AA$19+'TE CVA'!$AA$19)*1</f>
        <v>242.90567551581066</v>
      </c>
      <c r="AB1769" s="6">
        <f>$K$1769*$V$1769</f>
        <v>0</v>
      </c>
      <c r="AC1769" s="6">
        <f>$M$1769*$W$1769</f>
        <v>32186.931760000003</v>
      </c>
      <c r="AD1769" s="6">
        <f>$O$1769*$X$1769</f>
        <v>35291.122880000003</v>
      </c>
      <c r="AE1769" s="6">
        <f>$K$1769*$Y$1769</f>
        <v>0</v>
      </c>
      <c r="AF1769" s="6">
        <f ca="1">$M$1769*$Z$1769</f>
        <v>35415.507770362114</v>
      </c>
      <c r="AG1769" s="6">
        <f>$O$1769*$AA$1769</f>
        <v>31641.864915391561</v>
      </c>
    </row>
    <row r="1770" spans="1:33" ht="11.25" customHeight="1" x14ac:dyDescent="0.25">
      <c r="A1770" s="4" t="s">
        <v>28</v>
      </c>
      <c r="B1770" s="4" t="s">
        <v>22</v>
      </c>
      <c r="C1770" s="4" t="s">
        <v>23</v>
      </c>
      <c r="D1770" s="4" t="s">
        <v>24</v>
      </c>
      <c r="E1770" s="4" t="s">
        <v>24</v>
      </c>
      <c r="F1770" s="4" t="s">
        <v>25</v>
      </c>
      <c r="G1770" s="4" t="s">
        <v>25</v>
      </c>
      <c r="H1770" s="4" t="s">
        <v>25</v>
      </c>
      <c r="I1770" s="5">
        <v>43891</v>
      </c>
      <c r="J1770" s="6">
        <v>0</v>
      </c>
      <c r="K1770" s="6">
        <v>0</v>
      </c>
      <c r="L1770" s="6">
        <v>405.14100000000002</v>
      </c>
      <c r="M1770" s="6">
        <v>405.14100000000002</v>
      </c>
      <c r="N1770" s="6">
        <v>405.14100000000002</v>
      </c>
      <c r="O1770" s="6">
        <v>405.14100000000002</v>
      </c>
      <c r="P1770" s="6">
        <v>1286</v>
      </c>
      <c r="Q1770" s="4" t="s">
        <v>26</v>
      </c>
      <c r="R1770" s="4">
        <v>0</v>
      </c>
      <c r="S1770" s="6">
        <v>0</v>
      </c>
      <c r="T1770" s="6">
        <v>45</v>
      </c>
      <c r="U1770" s="6">
        <v>88</v>
      </c>
      <c r="V1770" s="6">
        <f>IF(ISERROR(VLOOKUP($S$1770,'TAR FIN'!$A$1:$O$120,15,0)),0,VLOOKUP($S$1770,'TAR FIN'!$A$1:$O$120,15,0))</f>
        <v>0</v>
      </c>
      <c r="W1770" s="6">
        <f>IF(ISERROR(VLOOKUP($T$1770,'TAR FIN'!$A$1:$O$120,15,0)),0,VLOOKUP($T$1770,'TAR FIN'!$A$1:$O$120,15,0))</f>
        <v>247.09</v>
      </c>
      <c r="X1770" s="6">
        <f>IF(ISERROR(VLOOKUP($U$1770,'TAR FIN'!$A$1:$O$120,15,0)),0,VLOOKUP($U$1770,'TAR FIN'!$A$1:$O$120,15,0))</f>
        <v>270.92</v>
      </c>
      <c r="Y1770" s="6"/>
      <c r="Z1770" s="6">
        <f ca="1">('TUSD BE'!$AM$55+'TUSD BF'!$AM$55+'TUSD CVA'!$AM$55)*1</f>
        <v>271.87486773292784</v>
      </c>
      <c r="AA1770" s="6">
        <f>('TE BE'!$AA$19+'TE BF'!$AA$19+'TE CVA'!$AA$19)*1</f>
        <v>242.90567551581066</v>
      </c>
      <c r="AB1770" s="6">
        <f>$K$1770*$V$1770</f>
        <v>0</v>
      </c>
      <c r="AC1770" s="6">
        <f>$M$1770*$W$1770</f>
        <v>100106.28969000001</v>
      </c>
      <c r="AD1770" s="6">
        <f>$O$1770*$X$1770</f>
        <v>109760.79972000001</v>
      </c>
      <c r="AE1770" s="6">
        <f>$K$1770*$Y$1770</f>
        <v>0</v>
      </c>
      <c r="AF1770" s="6">
        <f ca="1">$M$1770*$Z$1770</f>
        <v>110147.65578818612</v>
      </c>
      <c r="AG1770" s="6">
        <f>$O$1770*$AA$1770</f>
        <v>98411.048284151053</v>
      </c>
    </row>
    <row r="1771" spans="1:33" ht="11.25" customHeight="1" x14ac:dyDescent="0.25">
      <c r="A1771" s="4" t="s">
        <v>28</v>
      </c>
      <c r="B1771" s="4" t="s">
        <v>22</v>
      </c>
      <c r="C1771" s="4" t="s">
        <v>23</v>
      </c>
      <c r="D1771" s="4" t="s">
        <v>24</v>
      </c>
      <c r="E1771" s="4" t="s">
        <v>24</v>
      </c>
      <c r="F1771" s="4" t="s">
        <v>25</v>
      </c>
      <c r="G1771" s="4" t="s">
        <v>25</v>
      </c>
      <c r="H1771" s="4" t="s">
        <v>25</v>
      </c>
      <c r="I1771" s="5">
        <v>43891</v>
      </c>
      <c r="J1771" s="6">
        <v>0</v>
      </c>
      <c r="K1771" s="6">
        <v>0</v>
      </c>
      <c r="L1771" s="6">
        <v>0.80200000000000005</v>
      </c>
      <c r="M1771" s="6">
        <v>0.80200000000000005</v>
      </c>
      <c r="N1771" s="6">
        <v>0.80200000000000005</v>
      </c>
      <c r="O1771" s="6">
        <v>0.80200000000000005</v>
      </c>
      <c r="P1771" s="6">
        <v>1</v>
      </c>
      <c r="Q1771" s="4" t="s">
        <v>26</v>
      </c>
      <c r="R1771" s="4">
        <v>0</v>
      </c>
      <c r="S1771" s="6">
        <v>0</v>
      </c>
      <c r="T1771" s="6">
        <v>45</v>
      </c>
      <c r="U1771" s="6">
        <v>88</v>
      </c>
      <c r="V1771" s="6">
        <f>IF(ISERROR(VLOOKUP($S$1771,'TAR FIN'!$A$1:$O$120,15,0)),0,VLOOKUP($S$1771,'TAR FIN'!$A$1:$O$120,15,0))</f>
        <v>0</v>
      </c>
      <c r="W1771" s="6">
        <f>IF(ISERROR(VLOOKUP($T$1771,'TAR FIN'!$A$1:$O$120,15,0)),0,VLOOKUP($T$1771,'TAR FIN'!$A$1:$O$120,15,0))</f>
        <v>247.09</v>
      </c>
      <c r="X1771" s="6">
        <f>IF(ISERROR(VLOOKUP($U$1771,'TAR FIN'!$A$1:$O$120,15,0)),0,VLOOKUP($U$1771,'TAR FIN'!$A$1:$O$120,15,0))</f>
        <v>270.92</v>
      </c>
      <c r="Y1771" s="6"/>
      <c r="Z1771" s="6">
        <f ca="1">('TUSD BE'!$AM$55+'TUSD BF'!$AM$55+'TUSD CVA'!$AM$55)*1</f>
        <v>271.87486773292784</v>
      </c>
      <c r="AA1771" s="6">
        <f>('TE BE'!$AA$19+'TE BF'!$AA$19+'TE CVA'!$AA$19)*1</f>
        <v>242.90567551581066</v>
      </c>
      <c r="AB1771" s="6">
        <f>$K$1771*$V$1771</f>
        <v>0</v>
      </c>
      <c r="AC1771" s="6">
        <f>$M$1771*$W$1771</f>
        <v>198.16618000000003</v>
      </c>
      <c r="AD1771" s="6">
        <f>$O$1771*$X$1771</f>
        <v>217.27784000000003</v>
      </c>
      <c r="AE1771" s="6">
        <f>$K$1771*$Y$1771</f>
        <v>0</v>
      </c>
      <c r="AF1771" s="6">
        <f ca="1">$M$1771*$Z$1771</f>
        <v>218.04364392180813</v>
      </c>
      <c r="AG1771" s="6">
        <f>$O$1771*$AA$1771</f>
        <v>194.81035176368016</v>
      </c>
    </row>
    <row r="1772" spans="1:33" ht="11.25" customHeight="1" x14ac:dyDescent="0.25">
      <c r="A1772" s="4" t="s">
        <v>21</v>
      </c>
      <c r="B1772" s="4" t="s">
        <v>22</v>
      </c>
      <c r="C1772" s="4" t="s">
        <v>23</v>
      </c>
      <c r="D1772" s="4" t="s">
        <v>24</v>
      </c>
      <c r="E1772" s="4" t="s">
        <v>24</v>
      </c>
      <c r="F1772" s="4" t="s">
        <v>25</v>
      </c>
      <c r="G1772" s="4" t="s">
        <v>25</v>
      </c>
      <c r="H1772" s="4" t="s">
        <v>25</v>
      </c>
      <c r="I1772" s="5">
        <v>43922</v>
      </c>
      <c r="J1772" s="6">
        <v>0</v>
      </c>
      <c r="K1772" s="6">
        <v>0</v>
      </c>
      <c r="L1772" s="6">
        <v>203196.59099999999</v>
      </c>
      <c r="M1772" s="6">
        <v>203196.59099999999</v>
      </c>
      <c r="N1772" s="6">
        <v>203196.59099999999</v>
      </c>
      <c r="O1772" s="6">
        <v>203196.59099999999</v>
      </c>
      <c r="P1772" s="6">
        <v>938774</v>
      </c>
      <c r="Q1772" s="4" t="s">
        <v>26</v>
      </c>
      <c r="R1772" s="4">
        <v>0</v>
      </c>
      <c r="S1772" s="6">
        <v>0</v>
      </c>
      <c r="T1772" s="6">
        <v>45</v>
      </c>
      <c r="U1772" s="6">
        <v>88</v>
      </c>
      <c r="V1772" s="6">
        <f>IF(ISERROR(VLOOKUP($S$1772,'TAR FIN'!$A$1:$O$120,15,0)),0,VLOOKUP($S$1772,'TAR FIN'!$A$1:$O$120,15,0))</f>
        <v>0</v>
      </c>
      <c r="W1772" s="6">
        <f>IF(ISERROR(VLOOKUP($T$1772,'TAR FIN'!$A$1:$O$120,15,0)),0,VLOOKUP($T$1772,'TAR FIN'!$A$1:$O$120,15,0))</f>
        <v>247.09</v>
      </c>
      <c r="X1772" s="6">
        <f>IF(ISERROR(VLOOKUP($U$1772,'TAR FIN'!$A$1:$O$120,15,0)),0,VLOOKUP($U$1772,'TAR FIN'!$A$1:$O$120,15,0))</f>
        <v>270.92</v>
      </c>
      <c r="Y1772" s="6"/>
      <c r="Z1772" s="6">
        <f ca="1">('TUSD BE'!$AM$55+'TUSD BF'!$AM$55+'TUSD CVA'!$AM$55)*1</f>
        <v>271.87486773292784</v>
      </c>
      <c r="AA1772" s="6">
        <f>('TE BE'!$AA$19+'TE BF'!$AA$19+'TE CVA'!$AA$19)*1</f>
        <v>242.90567551581066</v>
      </c>
      <c r="AB1772" s="6">
        <f>$K$1772*$V$1772</f>
        <v>0</v>
      </c>
      <c r="AC1772" s="6">
        <f>$M$1772*$W$1772</f>
        <v>50207845.670189999</v>
      </c>
      <c r="AD1772" s="6">
        <f>$O$1772*$X$1772</f>
        <v>55050020.43372</v>
      </c>
      <c r="AE1772" s="6">
        <f>$K$1772*$Y$1772</f>
        <v>0</v>
      </c>
      <c r="AF1772" s="6">
        <f ca="1">$M$1772*$Z$1772</f>
        <v>55244046.301906832</v>
      </c>
      <c r="AG1772" s="6">
        <f>$O$1772*$AA$1772</f>
        <v>49357605.199364886</v>
      </c>
    </row>
    <row r="1773" spans="1:33" ht="11.25" customHeight="1" x14ac:dyDescent="0.25">
      <c r="A1773" s="4" t="s">
        <v>27</v>
      </c>
      <c r="B1773" s="4" t="s">
        <v>22</v>
      </c>
      <c r="C1773" s="4" t="s">
        <v>23</v>
      </c>
      <c r="D1773" s="4" t="s">
        <v>24</v>
      </c>
      <c r="E1773" s="4" t="s">
        <v>24</v>
      </c>
      <c r="F1773" s="4" t="s">
        <v>25</v>
      </c>
      <c r="G1773" s="4" t="s">
        <v>25</v>
      </c>
      <c r="H1773" s="4" t="s">
        <v>25</v>
      </c>
      <c r="I1773" s="5">
        <v>43922</v>
      </c>
      <c r="J1773" s="6">
        <v>0</v>
      </c>
      <c r="K1773" s="6">
        <v>0</v>
      </c>
      <c r="L1773" s="6">
        <v>168.87899999999999</v>
      </c>
      <c r="M1773" s="6">
        <v>168.87899999999999</v>
      </c>
      <c r="N1773" s="6">
        <v>168.87899999999999</v>
      </c>
      <c r="O1773" s="6">
        <v>168.87899999999999</v>
      </c>
      <c r="P1773" s="6">
        <v>283</v>
      </c>
      <c r="Q1773" s="4" t="s">
        <v>26</v>
      </c>
      <c r="R1773" s="4">
        <v>0</v>
      </c>
      <c r="S1773" s="6">
        <v>0</v>
      </c>
      <c r="T1773" s="6">
        <v>45</v>
      </c>
      <c r="U1773" s="6">
        <v>88</v>
      </c>
      <c r="V1773" s="6">
        <f>IF(ISERROR(VLOOKUP($S$1773,'TAR FIN'!$A$1:$O$120,15,0)),0,VLOOKUP($S$1773,'TAR FIN'!$A$1:$O$120,15,0))</f>
        <v>0</v>
      </c>
      <c r="W1773" s="6">
        <f>IF(ISERROR(VLOOKUP($T$1773,'TAR FIN'!$A$1:$O$120,15,0)),0,VLOOKUP($T$1773,'TAR FIN'!$A$1:$O$120,15,0))</f>
        <v>247.09</v>
      </c>
      <c r="X1773" s="6">
        <f>IF(ISERROR(VLOOKUP($U$1773,'TAR FIN'!$A$1:$O$120,15,0)),0,VLOOKUP($U$1773,'TAR FIN'!$A$1:$O$120,15,0))</f>
        <v>270.92</v>
      </c>
      <c r="Y1773" s="6"/>
      <c r="Z1773" s="6">
        <f ca="1">('TUSD BE'!$AM$55+'TUSD BF'!$AM$55+'TUSD CVA'!$AM$55)*1</f>
        <v>271.87486773292784</v>
      </c>
      <c r="AA1773" s="6">
        <f>('TE BE'!$AA$19+'TE BF'!$AA$19+'TE CVA'!$AA$19)*1</f>
        <v>242.90567551581066</v>
      </c>
      <c r="AB1773" s="6">
        <f>$K$1773*$V$1773</f>
        <v>0</v>
      </c>
      <c r="AC1773" s="6">
        <f>$M$1773*$W$1773</f>
        <v>41728.312109999999</v>
      </c>
      <c r="AD1773" s="6">
        <f>$O$1773*$X$1773</f>
        <v>45752.698680000001</v>
      </c>
      <c r="AE1773" s="6">
        <f>$K$1773*$Y$1773</f>
        <v>0</v>
      </c>
      <c r="AF1773" s="6">
        <f ca="1">$M$1773*$Z$1773</f>
        <v>45913.955787869119</v>
      </c>
      <c r="AG1773" s="6">
        <f>$O$1773*$AA$1773</f>
        <v>41021.667575434585</v>
      </c>
    </row>
    <row r="1774" spans="1:33" ht="11.25" customHeight="1" x14ac:dyDescent="0.25">
      <c r="A1774" s="4" t="s">
        <v>28</v>
      </c>
      <c r="B1774" s="4" t="s">
        <v>22</v>
      </c>
      <c r="C1774" s="4" t="s">
        <v>23</v>
      </c>
      <c r="D1774" s="4" t="s">
        <v>24</v>
      </c>
      <c r="E1774" s="4" t="s">
        <v>24</v>
      </c>
      <c r="F1774" s="4" t="s">
        <v>25</v>
      </c>
      <c r="G1774" s="4" t="s">
        <v>25</v>
      </c>
      <c r="H1774" s="4" t="s">
        <v>25</v>
      </c>
      <c r="I1774" s="5">
        <v>43922</v>
      </c>
      <c r="J1774" s="6">
        <v>0</v>
      </c>
      <c r="K1774" s="6">
        <v>0</v>
      </c>
      <c r="L1774" s="6">
        <v>455.44600000000003</v>
      </c>
      <c r="M1774" s="6">
        <v>455.44600000000003</v>
      </c>
      <c r="N1774" s="6">
        <v>455.44600000000003</v>
      </c>
      <c r="O1774" s="6">
        <v>455.44600000000003</v>
      </c>
      <c r="P1774" s="6">
        <v>1279</v>
      </c>
      <c r="Q1774" s="4" t="s">
        <v>26</v>
      </c>
      <c r="R1774" s="4">
        <v>0</v>
      </c>
      <c r="S1774" s="6">
        <v>0</v>
      </c>
      <c r="T1774" s="6">
        <v>45</v>
      </c>
      <c r="U1774" s="6">
        <v>88</v>
      </c>
      <c r="V1774" s="6">
        <f>IF(ISERROR(VLOOKUP($S$1774,'TAR FIN'!$A$1:$O$120,15,0)),0,VLOOKUP($S$1774,'TAR FIN'!$A$1:$O$120,15,0))</f>
        <v>0</v>
      </c>
      <c r="W1774" s="6">
        <f>IF(ISERROR(VLOOKUP($T$1774,'TAR FIN'!$A$1:$O$120,15,0)),0,VLOOKUP($T$1774,'TAR FIN'!$A$1:$O$120,15,0))</f>
        <v>247.09</v>
      </c>
      <c r="X1774" s="6">
        <f>IF(ISERROR(VLOOKUP($U$1774,'TAR FIN'!$A$1:$O$120,15,0)),0,VLOOKUP($U$1774,'TAR FIN'!$A$1:$O$120,15,0))</f>
        <v>270.92</v>
      </c>
      <c r="Y1774" s="6"/>
      <c r="Z1774" s="6">
        <f ca="1">('TUSD BE'!$AM$55+'TUSD BF'!$AM$55+'TUSD CVA'!$AM$55)*1</f>
        <v>271.87486773292784</v>
      </c>
      <c r="AA1774" s="6">
        <f>('TE BE'!$AA$19+'TE BF'!$AA$19+'TE CVA'!$AA$19)*1</f>
        <v>242.90567551581066</v>
      </c>
      <c r="AB1774" s="6">
        <f>$K$1774*$V$1774</f>
        <v>0</v>
      </c>
      <c r="AC1774" s="6">
        <f>$M$1774*$W$1774</f>
        <v>112536.15214000001</v>
      </c>
      <c r="AD1774" s="6">
        <f>$O$1774*$X$1774</f>
        <v>123389.43032000001</v>
      </c>
      <c r="AE1774" s="6">
        <f>$K$1774*$Y$1774</f>
        <v>0</v>
      </c>
      <c r="AF1774" s="6">
        <f ca="1">$M$1774*$Z$1774</f>
        <v>123824.32100949106</v>
      </c>
      <c r="AG1774" s="6">
        <f>$O$1774*$AA$1774</f>
        <v>110630.4182909739</v>
      </c>
    </row>
    <row r="1775" spans="1:33" ht="11.25" customHeight="1" x14ac:dyDescent="0.25">
      <c r="A1775" s="4" t="s">
        <v>28</v>
      </c>
      <c r="B1775" s="4" t="s">
        <v>22</v>
      </c>
      <c r="C1775" s="4" t="s">
        <v>23</v>
      </c>
      <c r="D1775" s="4" t="s">
        <v>24</v>
      </c>
      <c r="E1775" s="4" t="s">
        <v>24</v>
      </c>
      <c r="F1775" s="4" t="s">
        <v>25</v>
      </c>
      <c r="G1775" s="4" t="s">
        <v>25</v>
      </c>
      <c r="H1775" s="4" t="s">
        <v>25</v>
      </c>
      <c r="I1775" s="5">
        <v>43922</v>
      </c>
      <c r="J1775" s="6">
        <v>0</v>
      </c>
      <c r="K1775" s="6">
        <v>0</v>
      </c>
      <c r="L1775" s="6">
        <v>1.0509999999999999</v>
      </c>
      <c r="M1775" s="6">
        <v>1.0509999999999999</v>
      </c>
      <c r="N1775" s="6">
        <v>1.0509999999999999</v>
      </c>
      <c r="O1775" s="6">
        <v>1.0509999999999999</v>
      </c>
      <c r="P1775" s="6">
        <v>2</v>
      </c>
      <c r="Q1775" s="4" t="s">
        <v>26</v>
      </c>
      <c r="R1775" s="4">
        <v>0</v>
      </c>
      <c r="S1775" s="6">
        <v>0</v>
      </c>
      <c r="T1775" s="6">
        <v>45</v>
      </c>
      <c r="U1775" s="6">
        <v>88</v>
      </c>
      <c r="V1775" s="6">
        <f>IF(ISERROR(VLOOKUP($S$1775,'TAR FIN'!$A$1:$O$120,15,0)),0,VLOOKUP($S$1775,'TAR FIN'!$A$1:$O$120,15,0))</f>
        <v>0</v>
      </c>
      <c r="W1775" s="6">
        <f>IF(ISERROR(VLOOKUP($T$1775,'TAR FIN'!$A$1:$O$120,15,0)),0,VLOOKUP($T$1775,'TAR FIN'!$A$1:$O$120,15,0))</f>
        <v>247.09</v>
      </c>
      <c r="X1775" s="6">
        <f>IF(ISERROR(VLOOKUP($U$1775,'TAR FIN'!$A$1:$O$120,15,0)),0,VLOOKUP($U$1775,'TAR FIN'!$A$1:$O$120,15,0))</f>
        <v>270.92</v>
      </c>
      <c r="Y1775" s="6"/>
      <c r="Z1775" s="6">
        <f ca="1">('TUSD BE'!$AM$55+'TUSD BF'!$AM$55+'TUSD CVA'!$AM$55)*1</f>
        <v>271.87486773292784</v>
      </c>
      <c r="AA1775" s="6">
        <f>('TE BE'!$AA$19+'TE BF'!$AA$19+'TE CVA'!$AA$19)*1</f>
        <v>242.90567551581066</v>
      </c>
      <c r="AB1775" s="6">
        <f>$K$1775*$V$1775</f>
        <v>0</v>
      </c>
      <c r="AC1775" s="6">
        <f>$M$1775*$W$1775</f>
        <v>259.69158999999996</v>
      </c>
      <c r="AD1775" s="6">
        <f>$O$1775*$X$1775</f>
        <v>284.73692</v>
      </c>
      <c r="AE1775" s="6">
        <f>$K$1775*$Y$1775</f>
        <v>0</v>
      </c>
      <c r="AF1775" s="6">
        <f ca="1">$M$1775*$Z$1775</f>
        <v>285.74048598730712</v>
      </c>
      <c r="AG1775" s="6">
        <f>$O$1775*$AA$1775</f>
        <v>255.29386496711697</v>
      </c>
    </row>
    <row r="1776" spans="1:33" ht="11.25" customHeight="1" x14ac:dyDescent="0.25">
      <c r="A1776" s="4" t="s">
        <v>21</v>
      </c>
      <c r="B1776" s="4" t="s">
        <v>22</v>
      </c>
      <c r="C1776" s="4" t="s">
        <v>23</v>
      </c>
      <c r="D1776" s="4" t="s">
        <v>24</v>
      </c>
      <c r="E1776" s="4" t="s">
        <v>24</v>
      </c>
      <c r="F1776" s="4" t="s">
        <v>25</v>
      </c>
      <c r="G1776" s="4" t="s">
        <v>25</v>
      </c>
      <c r="H1776" s="4" t="s">
        <v>25</v>
      </c>
      <c r="I1776" s="5">
        <v>43952</v>
      </c>
      <c r="J1776" s="6">
        <v>0</v>
      </c>
      <c r="K1776" s="6">
        <v>0</v>
      </c>
      <c r="L1776" s="6">
        <v>199167.98300000001</v>
      </c>
      <c r="M1776" s="6">
        <v>199167.98300000001</v>
      </c>
      <c r="N1776" s="6">
        <v>199167.98300000001</v>
      </c>
      <c r="O1776" s="6">
        <v>199167.98300000001</v>
      </c>
      <c r="P1776" s="6">
        <v>936578</v>
      </c>
      <c r="Q1776" s="4" t="s">
        <v>26</v>
      </c>
      <c r="R1776" s="4">
        <v>0</v>
      </c>
      <c r="S1776" s="6">
        <v>0</v>
      </c>
      <c r="T1776" s="6">
        <v>45</v>
      </c>
      <c r="U1776" s="6">
        <v>88</v>
      </c>
      <c r="V1776" s="6">
        <f>IF(ISERROR(VLOOKUP($S$1776,'TAR FIN'!$A$1:$O$120,15,0)),0,VLOOKUP($S$1776,'TAR FIN'!$A$1:$O$120,15,0))</f>
        <v>0</v>
      </c>
      <c r="W1776" s="6">
        <f>IF(ISERROR(VLOOKUP($T$1776,'TAR FIN'!$A$1:$O$120,15,0)),0,VLOOKUP($T$1776,'TAR FIN'!$A$1:$O$120,15,0))</f>
        <v>247.09</v>
      </c>
      <c r="X1776" s="6">
        <f>IF(ISERROR(VLOOKUP($U$1776,'TAR FIN'!$A$1:$O$120,15,0)),0,VLOOKUP($U$1776,'TAR FIN'!$A$1:$O$120,15,0))</f>
        <v>270.92</v>
      </c>
      <c r="Y1776" s="6"/>
      <c r="Z1776" s="6">
        <f ca="1">('TUSD BE'!$AM$55+'TUSD BF'!$AM$55+'TUSD CVA'!$AM$55)*1</f>
        <v>271.87486773292784</v>
      </c>
      <c r="AA1776" s="6">
        <f>('TE BE'!$AA$19+'TE BF'!$AA$19+'TE CVA'!$AA$19)*1</f>
        <v>242.90567551581066</v>
      </c>
      <c r="AB1776" s="6">
        <f>$K$1776*$V$1776</f>
        <v>0</v>
      </c>
      <c r="AC1776" s="6">
        <f>$M$1776*$W$1776</f>
        <v>49212416.919470005</v>
      </c>
      <c r="AD1776" s="6">
        <f>$O$1776*$X$1776</f>
        <v>53958589.954360008</v>
      </c>
      <c r="AE1776" s="6">
        <f>$K$1776*$Y$1776</f>
        <v>0</v>
      </c>
      <c r="AF1776" s="6">
        <f ca="1">$M$1776*$Z$1776</f>
        <v>54148769.034759022</v>
      </c>
      <c r="AG1776" s="6">
        <f>$O$1776*$AA$1776</f>
        <v>48379033.451736495</v>
      </c>
    </row>
    <row r="1777" spans="1:33" ht="11.25" customHeight="1" x14ac:dyDescent="0.25">
      <c r="A1777" s="4" t="s">
        <v>27</v>
      </c>
      <c r="B1777" s="4" t="s">
        <v>22</v>
      </c>
      <c r="C1777" s="4" t="s">
        <v>23</v>
      </c>
      <c r="D1777" s="4" t="s">
        <v>24</v>
      </c>
      <c r="E1777" s="4" t="s">
        <v>24</v>
      </c>
      <c r="F1777" s="4" t="s">
        <v>25</v>
      </c>
      <c r="G1777" s="4" t="s">
        <v>25</v>
      </c>
      <c r="H1777" s="4" t="s">
        <v>25</v>
      </c>
      <c r="I1777" s="5">
        <v>43952</v>
      </c>
      <c r="J1777" s="6">
        <v>0</v>
      </c>
      <c r="K1777" s="6">
        <v>0</v>
      </c>
      <c r="L1777" s="6">
        <v>120.601</v>
      </c>
      <c r="M1777" s="6">
        <v>120.601</v>
      </c>
      <c r="N1777" s="6">
        <v>120.601</v>
      </c>
      <c r="O1777" s="6">
        <v>120.601</v>
      </c>
      <c r="P1777" s="6">
        <v>185</v>
      </c>
      <c r="Q1777" s="4" t="s">
        <v>26</v>
      </c>
      <c r="R1777" s="4">
        <v>0</v>
      </c>
      <c r="S1777" s="6">
        <v>0</v>
      </c>
      <c r="T1777" s="6">
        <v>45</v>
      </c>
      <c r="U1777" s="6">
        <v>88</v>
      </c>
      <c r="V1777" s="6">
        <f>IF(ISERROR(VLOOKUP($S$1777,'TAR FIN'!$A$1:$O$120,15,0)),0,VLOOKUP($S$1777,'TAR FIN'!$A$1:$O$120,15,0))</f>
        <v>0</v>
      </c>
      <c r="W1777" s="6">
        <f>IF(ISERROR(VLOOKUP($T$1777,'TAR FIN'!$A$1:$O$120,15,0)),0,VLOOKUP($T$1777,'TAR FIN'!$A$1:$O$120,15,0))</f>
        <v>247.09</v>
      </c>
      <c r="X1777" s="6">
        <f>IF(ISERROR(VLOOKUP($U$1777,'TAR FIN'!$A$1:$O$120,15,0)),0,VLOOKUP($U$1777,'TAR FIN'!$A$1:$O$120,15,0))</f>
        <v>270.92</v>
      </c>
      <c r="Y1777" s="6"/>
      <c r="Z1777" s="6">
        <f ca="1">('TUSD BE'!$AM$55+'TUSD BF'!$AM$55+'TUSD CVA'!$AM$55)*1</f>
        <v>271.87486773292784</v>
      </c>
      <c r="AA1777" s="6">
        <f>('TE BE'!$AA$19+'TE BF'!$AA$19+'TE CVA'!$AA$19)*1</f>
        <v>242.90567551581066</v>
      </c>
      <c r="AB1777" s="6">
        <f>$K$1777*$V$1777</f>
        <v>0</v>
      </c>
      <c r="AC1777" s="6">
        <f>$M$1777*$W$1777</f>
        <v>29799.301090000001</v>
      </c>
      <c r="AD1777" s="6">
        <f>$O$1777*$X$1777</f>
        <v>32673.22292</v>
      </c>
      <c r="AE1777" s="6">
        <f>$K$1777*$Y$1777</f>
        <v>0</v>
      </c>
      <c r="AF1777" s="6">
        <f ca="1">$M$1777*$Z$1777</f>
        <v>32788.380923458833</v>
      </c>
      <c r="AG1777" s="6">
        <f>$O$1777*$AA$1777</f>
        <v>29294.667372882283</v>
      </c>
    </row>
    <row r="1778" spans="1:33" ht="11.25" customHeight="1" x14ac:dyDescent="0.25">
      <c r="A1778" s="4" t="s">
        <v>28</v>
      </c>
      <c r="B1778" s="4" t="s">
        <v>22</v>
      </c>
      <c r="C1778" s="4" t="s">
        <v>23</v>
      </c>
      <c r="D1778" s="4" t="s">
        <v>24</v>
      </c>
      <c r="E1778" s="4" t="s">
        <v>24</v>
      </c>
      <c r="F1778" s="4" t="s">
        <v>25</v>
      </c>
      <c r="G1778" s="4" t="s">
        <v>25</v>
      </c>
      <c r="H1778" s="4" t="s">
        <v>25</v>
      </c>
      <c r="I1778" s="5">
        <v>43952</v>
      </c>
      <c r="J1778" s="6">
        <v>0</v>
      </c>
      <c r="K1778" s="6">
        <v>0</v>
      </c>
      <c r="L1778" s="6">
        <v>459.70800000000003</v>
      </c>
      <c r="M1778" s="6">
        <v>459.70800000000003</v>
      </c>
      <c r="N1778" s="6">
        <v>459.70800000000003</v>
      </c>
      <c r="O1778" s="6">
        <v>459.70800000000003</v>
      </c>
      <c r="P1778" s="6">
        <v>1281</v>
      </c>
      <c r="Q1778" s="4" t="s">
        <v>26</v>
      </c>
      <c r="R1778" s="4">
        <v>0</v>
      </c>
      <c r="S1778" s="6">
        <v>0</v>
      </c>
      <c r="T1778" s="6">
        <v>45</v>
      </c>
      <c r="U1778" s="6">
        <v>88</v>
      </c>
      <c r="V1778" s="6">
        <f>IF(ISERROR(VLOOKUP($S$1778,'TAR FIN'!$A$1:$O$120,15,0)),0,VLOOKUP($S$1778,'TAR FIN'!$A$1:$O$120,15,0))</f>
        <v>0</v>
      </c>
      <c r="W1778" s="6">
        <f>IF(ISERROR(VLOOKUP($T$1778,'TAR FIN'!$A$1:$O$120,15,0)),0,VLOOKUP($T$1778,'TAR FIN'!$A$1:$O$120,15,0))</f>
        <v>247.09</v>
      </c>
      <c r="X1778" s="6">
        <f>IF(ISERROR(VLOOKUP($U$1778,'TAR FIN'!$A$1:$O$120,15,0)),0,VLOOKUP($U$1778,'TAR FIN'!$A$1:$O$120,15,0))</f>
        <v>270.92</v>
      </c>
      <c r="Y1778" s="6"/>
      <c r="Z1778" s="6">
        <f ca="1">('TUSD BE'!$AM$55+'TUSD BF'!$AM$55+'TUSD CVA'!$AM$55)*1</f>
        <v>271.87486773292784</v>
      </c>
      <c r="AA1778" s="6">
        <f>('TE BE'!$AA$19+'TE BF'!$AA$19+'TE CVA'!$AA$19)*1</f>
        <v>242.90567551581066</v>
      </c>
      <c r="AB1778" s="6">
        <f>$K$1778*$V$1778</f>
        <v>0</v>
      </c>
      <c r="AC1778" s="6">
        <f>$M$1778*$W$1778</f>
        <v>113589.24972000001</v>
      </c>
      <c r="AD1778" s="6">
        <f>$O$1778*$X$1778</f>
        <v>124544.09136000002</v>
      </c>
      <c r="AE1778" s="6">
        <f>$K$1778*$Y$1778</f>
        <v>0</v>
      </c>
      <c r="AF1778" s="6">
        <f ca="1">$M$1778*$Z$1778</f>
        <v>124983.05169576879</v>
      </c>
      <c r="AG1778" s="6">
        <f>$O$1778*$AA$1778</f>
        <v>111665.68228002229</v>
      </c>
    </row>
    <row r="1779" spans="1:33" ht="11.25" customHeight="1" x14ac:dyDescent="0.25">
      <c r="A1779" s="4" t="s">
        <v>21</v>
      </c>
      <c r="B1779" s="4" t="s">
        <v>22</v>
      </c>
      <c r="C1779" s="4" t="s">
        <v>23</v>
      </c>
      <c r="D1779" s="4" t="s">
        <v>24</v>
      </c>
      <c r="E1779" s="4" t="s">
        <v>24</v>
      </c>
      <c r="F1779" s="4" t="s">
        <v>25</v>
      </c>
      <c r="G1779" s="4" t="s">
        <v>25</v>
      </c>
      <c r="H1779" s="4" t="s">
        <v>25</v>
      </c>
      <c r="I1779" s="5">
        <v>43983</v>
      </c>
      <c r="J1779" s="6">
        <v>0</v>
      </c>
      <c r="K1779" s="6">
        <v>0</v>
      </c>
      <c r="L1779" s="6">
        <v>181012.848</v>
      </c>
      <c r="M1779" s="6">
        <v>181012.848</v>
      </c>
      <c r="N1779" s="6">
        <v>181012.848</v>
      </c>
      <c r="O1779" s="6">
        <v>181012.848</v>
      </c>
      <c r="P1779" s="6">
        <v>935691</v>
      </c>
      <c r="Q1779" s="4" t="s">
        <v>26</v>
      </c>
      <c r="R1779" s="4">
        <v>0</v>
      </c>
      <c r="S1779" s="6">
        <v>0</v>
      </c>
      <c r="T1779" s="6">
        <v>45</v>
      </c>
      <c r="U1779" s="6">
        <v>88</v>
      </c>
      <c r="V1779" s="6">
        <f>IF(ISERROR(VLOOKUP($S$1779,'TAR FIN'!$A$1:$O$120,15,0)),0,VLOOKUP($S$1779,'TAR FIN'!$A$1:$O$120,15,0))</f>
        <v>0</v>
      </c>
      <c r="W1779" s="6">
        <f>IF(ISERROR(VLOOKUP($T$1779,'TAR FIN'!$A$1:$O$120,15,0)),0,VLOOKUP($T$1779,'TAR FIN'!$A$1:$O$120,15,0))</f>
        <v>247.09</v>
      </c>
      <c r="X1779" s="6">
        <f>IF(ISERROR(VLOOKUP($U$1779,'TAR FIN'!$A$1:$O$120,15,0)),0,VLOOKUP($U$1779,'TAR FIN'!$A$1:$O$120,15,0))</f>
        <v>270.92</v>
      </c>
      <c r="Y1779" s="6"/>
      <c r="Z1779" s="6">
        <f ca="1">('TUSD BE'!$AM$55+'TUSD BF'!$AM$55+'TUSD CVA'!$AM$55)*1</f>
        <v>271.87486773292784</v>
      </c>
      <c r="AA1779" s="6">
        <f>('TE BE'!$AA$19+'TE BF'!$AA$19+'TE CVA'!$AA$19)*1</f>
        <v>242.90567551581066</v>
      </c>
      <c r="AB1779" s="6">
        <f>$K$1779*$V$1779</f>
        <v>0</v>
      </c>
      <c r="AC1779" s="6">
        <f>$M$1779*$W$1779</f>
        <v>44726464.612319998</v>
      </c>
      <c r="AD1779" s="6">
        <f>$O$1779*$X$1779</f>
        <v>49040000.780160002</v>
      </c>
      <c r="AE1779" s="6">
        <f>$K$1779*$Y$1779</f>
        <v>0</v>
      </c>
      <c r="AF1779" s="6">
        <f ca="1">$M$1779*$Z$1779</f>
        <v>49212844.107960574</v>
      </c>
      <c r="AG1779" s="6">
        <f>$O$1779*$AA$1779</f>
        <v>43969048.120480753</v>
      </c>
    </row>
    <row r="1780" spans="1:33" ht="11.25" customHeight="1" x14ac:dyDescent="0.25">
      <c r="A1780" s="4" t="s">
        <v>27</v>
      </c>
      <c r="B1780" s="4" t="s">
        <v>22</v>
      </c>
      <c r="C1780" s="4" t="s">
        <v>23</v>
      </c>
      <c r="D1780" s="4" t="s">
        <v>24</v>
      </c>
      <c r="E1780" s="4" t="s">
        <v>24</v>
      </c>
      <c r="F1780" s="4" t="s">
        <v>25</v>
      </c>
      <c r="G1780" s="4" t="s">
        <v>25</v>
      </c>
      <c r="H1780" s="4" t="s">
        <v>25</v>
      </c>
      <c r="I1780" s="5">
        <v>43983</v>
      </c>
      <c r="J1780" s="6">
        <v>0</v>
      </c>
      <c r="K1780" s="6">
        <v>0</v>
      </c>
      <c r="L1780" s="6">
        <v>107.893</v>
      </c>
      <c r="M1780" s="6">
        <v>107.893</v>
      </c>
      <c r="N1780" s="6">
        <v>107.893</v>
      </c>
      <c r="O1780" s="6">
        <v>107.893</v>
      </c>
      <c r="P1780" s="6">
        <v>203</v>
      </c>
      <c r="Q1780" s="4" t="s">
        <v>26</v>
      </c>
      <c r="R1780" s="4">
        <v>0</v>
      </c>
      <c r="S1780" s="6">
        <v>0</v>
      </c>
      <c r="T1780" s="6">
        <v>45</v>
      </c>
      <c r="U1780" s="6">
        <v>88</v>
      </c>
      <c r="V1780" s="6">
        <f>IF(ISERROR(VLOOKUP($S$1780,'TAR FIN'!$A$1:$O$120,15,0)),0,VLOOKUP($S$1780,'TAR FIN'!$A$1:$O$120,15,0))</f>
        <v>0</v>
      </c>
      <c r="W1780" s="6">
        <f>IF(ISERROR(VLOOKUP($T$1780,'TAR FIN'!$A$1:$O$120,15,0)),0,VLOOKUP($T$1780,'TAR FIN'!$A$1:$O$120,15,0))</f>
        <v>247.09</v>
      </c>
      <c r="X1780" s="6">
        <f>IF(ISERROR(VLOOKUP($U$1780,'TAR FIN'!$A$1:$O$120,15,0)),0,VLOOKUP($U$1780,'TAR FIN'!$A$1:$O$120,15,0))</f>
        <v>270.92</v>
      </c>
      <c r="Y1780" s="6"/>
      <c r="Z1780" s="6">
        <f ca="1">('TUSD BE'!$AM$55+'TUSD BF'!$AM$55+'TUSD CVA'!$AM$55)*1</f>
        <v>271.87486773292784</v>
      </c>
      <c r="AA1780" s="6">
        <f>('TE BE'!$AA$19+'TE BF'!$AA$19+'TE CVA'!$AA$19)*1</f>
        <v>242.90567551581066</v>
      </c>
      <c r="AB1780" s="6">
        <f>$K$1780*$V$1780</f>
        <v>0</v>
      </c>
      <c r="AC1780" s="6">
        <f>$M$1780*$W$1780</f>
        <v>26659.281370000001</v>
      </c>
      <c r="AD1780" s="6">
        <f>$O$1780*$X$1780</f>
        <v>29230.371560000003</v>
      </c>
      <c r="AE1780" s="6">
        <f>$K$1780*$Y$1780</f>
        <v>0</v>
      </c>
      <c r="AF1780" s="6">
        <f ca="1">$M$1780*$Z$1780</f>
        <v>29333.395104308784</v>
      </c>
      <c r="AG1780" s="6">
        <f>$O$1780*$AA$1780</f>
        <v>26207.822048427359</v>
      </c>
    </row>
    <row r="1781" spans="1:33" ht="11.25" customHeight="1" x14ac:dyDescent="0.25">
      <c r="A1781" s="4" t="s">
        <v>28</v>
      </c>
      <c r="B1781" s="4" t="s">
        <v>22</v>
      </c>
      <c r="C1781" s="4" t="s">
        <v>23</v>
      </c>
      <c r="D1781" s="4" t="s">
        <v>24</v>
      </c>
      <c r="E1781" s="4" t="s">
        <v>24</v>
      </c>
      <c r="F1781" s="4" t="s">
        <v>25</v>
      </c>
      <c r="G1781" s="4" t="s">
        <v>25</v>
      </c>
      <c r="H1781" s="4" t="s">
        <v>25</v>
      </c>
      <c r="I1781" s="5">
        <v>43983</v>
      </c>
      <c r="J1781" s="6">
        <v>0</v>
      </c>
      <c r="K1781" s="6">
        <v>0</v>
      </c>
      <c r="L1781" s="6">
        <v>441.90899999999999</v>
      </c>
      <c r="M1781" s="6">
        <v>441.90899999999999</v>
      </c>
      <c r="N1781" s="6">
        <v>441.90899999999999</v>
      </c>
      <c r="O1781" s="6">
        <v>441.90899999999999</v>
      </c>
      <c r="P1781" s="6">
        <v>1292</v>
      </c>
      <c r="Q1781" s="4" t="s">
        <v>26</v>
      </c>
      <c r="R1781" s="4">
        <v>0</v>
      </c>
      <c r="S1781" s="6">
        <v>0</v>
      </c>
      <c r="T1781" s="6">
        <v>45</v>
      </c>
      <c r="U1781" s="6">
        <v>88</v>
      </c>
      <c r="V1781" s="6">
        <f>IF(ISERROR(VLOOKUP($S$1781,'TAR FIN'!$A$1:$O$120,15,0)),0,VLOOKUP($S$1781,'TAR FIN'!$A$1:$O$120,15,0))</f>
        <v>0</v>
      </c>
      <c r="W1781" s="6">
        <f>IF(ISERROR(VLOOKUP($T$1781,'TAR FIN'!$A$1:$O$120,15,0)),0,VLOOKUP($T$1781,'TAR FIN'!$A$1:$O$120,15,0))</f>
        <v>247.09</v>
      </c>
      <c r="X1781" s="6">
        <f>IF(ISERROR(VLOOKUP($U$1781,'TAR FIN'!$A$1:$O$120,15,0)),0,VLOOKUP($U$1781,'TAR FIN'!$A$1:$O$120,15,0))</f>
        <v>270.92</v>
      </c>
      <c r="Y1781" s="6"/>
      <c r="Z1781" s="6">
        <f ca="1">('TUSD BE'!$AM$55+'TUSD BF'!$AM$55+'TUSD CVA'!$AM$55)*1</f>
        <v>271.87486773292784</v>
      </c>
      <c r="AA1781" s="6">
        <f>('TE BE'!$AA$19+'TE BF'!$AA$19+'TE CVA'!$AA$19)*1</f>
        <v>242.90567551581066</v>
      </c>
      <c r="AB1781" s="6">
        <f>$K$1781*$V$1781</f>
        <v>0</v>
      </c>
      <c r="AC1781" s="6">
        <f>$M$1781*$W$1781</f>
        <v>109191.29481000001</v>
      </c>
      <c r="AD1781" s="6">
        <f>$O$1781*$X$1781</f>
        <v>119721.98628000001</v>
      </c>
      <c r="AE1781" s="6">
        <f>$K$1781*$Y$1781</f>
        <v>0</v>
      </c>
      <c r="AF1781" s="6">
        <f ca="1">$M$1781*$Z$1781</f>
        <v>120143.95092499041</v>
      </c>
      <c r="AG1781" s="6">
        <f>$O$1781*$AA$1781</f>
        <v>107342.20416151638</v>
      </c>
    </row>
    <row r="1782" spans="1:33" ht="11.25" customHeight="1" x14ac:dyDescent="0.25">
      <c r="A1782" s="4" t="s">
        <v>28</v>
      </c>
      <c r="B1782" s="4" t="s">
        <v>22</v>
      </c>
      <c r="C1782" s="4" t="s">
        <v>23</v>
      </c>
      <c r="D1782" s="4" t="s">
        <v>24</v>
      </c>
      <c r="E1782" s="4" t="s">
        <v>24</v>
      </c>
      <c r="F1782" s="4" t="s">
        <v>25</v>
      </c>
      <c r="G1782" s="4" t="s">
        <v>25</v>
      </c>
      <c r="H1782" s="4" t="s">
        <v>25</v>
      </c>
      <c r="I1782" s="5">
        <v>43983</v>
      </c>
      <c r="J1782" s="6">
        <v>0</v>
      </c>
      <c r="K1782" s="6">
        <v>0</v>
      </c>
      <c r="L1782" s="6">
        <v>3.0030000000000001</v>
      </c>
      <c r="M1782" s="6">
        <v>3.0030000000000001</v>
      </c>
      <c r="N1782" s="6">
        <v>3.0030000000000001</v>
      </c>
      <c r="O1782" s="6">
        <v>3.0030000000000001</v>
      </c>
      <c r="P1782" s="6">
        <v>2</v>
      </c>
      <c r="Q1782" s="4" t="s">
        <v>26</v>
      </c>
      <c r="R1782" s="4">
        <v>0</v>
      </c>
      <c r="S1782" s="6">
        <v>0</v>
      </c>
      <c r="T1782" s="6">
        <v>45</v>
      </c>
      <c r="U1782" s="6">
        <v>88</v>
      </c>
      <c r="V1782" s="6">
        <f>IF(ISERROR(VLOOKUP($S$1782,'TAR FIN'!$A$1:$O$120,15,0)),0,VLOOKUP($S$1782,'TAR FIN'!$A$1:$O$120,15,0))</f>
        <v>0</v>
      </c>
      <c r="W1782" s="6">
        <f>IF(ISERROR(VLOOKUP($T$1782,'TAR FIN'!$A$1:$O$120,15,0)),0,VLOOKUP($T$1782,'TAR FIN'!$A$1:$O$120,15,0))</f>
        <v>247.09</v>
      </c>
      <c r="X1782" s="6">
        <f>IF(ISERROR(VLOOKUP($U$1782,'TAR FIN'!$A$1:$O$120,15,0)),0,VLOOKUP($U$1782,'TAR FIN'!$A$1:$O$120,15,0))</f>
        <v>270.92</v>
      </c>
      <c r="Y1782" s="6"/>
      <c r="Z1782" s="6">
        <f ca="1">('TUSD BE'!$AM$55+'TUSD BF'!$AM$55+'TUSD CVA'!$AM$55)*1</f>
        <v>271.87486773292784</v>
      </c>
      <c r="AA1782" s="6">
        <f>('TE BE'!$AA$19+'TE BF'!$AA$19+'TE CVA'!$AA$19)*1</f>
        <v>242.90567551581066</v>
      </c>
      <c r="AB1782" s="6">
        <f>$K$1782*$V$1782</f>
        <v>0</v>
      </c>
      <c r="AC1782" s="6">
        <f>$M$1782*$W$1782</f>
        <v>742.01127000000008</v>
      </c>
      <c r="AD1782" s="6">
        <f>$O$1782*$X$1782</f>
        <v>813.57276000000013</v>
      </c>
      <c r="AE1782" s="6">
        <f>$K$1782*$Y$1782</f>
        <v>0</v>
      </c>
      <c r="AF1782" s="6">
        <f ca="1">$M$1782*$Z$1782</f>
        <v>816.44022780198236</v>
      </c>
      <c r="AG1782" s="6">
        <f>$O$1782*$AA$1782</f>
        <v>729.44574357397948</v>
      </c>
    </row>
    <row r="1783" spans="1:33" ht="11.25" customHeight="1" x14ac:dyDescent="0.25">
      <c r="A1783" s="4" t="s">
        <v>21</v>
      </c>
      <c r="B1783" s="4" t="s">
        <v>22</v>
      </c>
      <c r="C1783" s="4" t="s">
        <v>23</v>
      </c>
      <c r="D1783" s="4" t="s">
        <v>24</v>
      </c>
      <c r="E1783" s="4" t="s">
        <v>24</v>
      </c>
      <c r="F1783" s="4" t="s">
        <v>25</v>
      </c>
      <c r="G1783" s="4" t="s">
        <v>25</v>
      </c>
      <c r="H1783" s="4" t="s">
        <v>25</v>
      </c>
      <c r="I1783" s="5">
        <v>44013</v>
      </c>
      <c r="J1783" s="6">
        <v>0</v>
      </c>
      <c r="K1783" s="6">
        <v>0</v>
      </c>
      <c r="L1783" s="6">
        <v>184711.89499999999</v>
      </c>
      <c r="M1783" s="6">
        <v>184711.89499999999</v>
      </c>
      <c r="N1783" s="6">
        <v>184711.89499999999</v>
      </c>
      <c r="O1783" s="6">
        <v>184711.89499999999</v>
      </c>
      <c r="P1783" s="6">
        <v>935296</v>
      </c>
      <c r="Q1783" s="4" t="s">
        <v>26</v>
      </c>
      <c r="R1783" s="4">
        <v>0</v>
      </c>
      <c r="S1783" s="6">
        <v>0</v>
      </c>
      <c r="T1783" s="6">
        <v>45</v>
      </c>
      <c r="U1783" s="6">
        <v>88</v>
      </c>
      <c r="V1783" s="6">
        <f>IF(ISERROR(VLOOKUP($S$1783,'TAR FIN'!$A$1:$O$120,15,0)),0,VLOOKUP($S$1783,'TAR FIN'!$A$1:$O$120,15,0))</f>
        <v>0</v>
      </c>
      <c r="W1783" s="6">
        <f>IF(ISERROR(VLOOKUP($T$1783,'TAR FIN'!$A$1:$O$120,15,0)),0,VLOOKUP($T$1783,'TAR FIN'!$A$1:$O$120,15,0))</f>
        <v>247.09</v>
      </c>
      <c r="X1783" s="6">
        <f>IF(ISERROR(VLOOKUP($U$1783,'TAR FIN'!$A$1:$O$120,15,0)),0,VLOOKUP($U$1783,'TAR FIN'!$A$1:$O$120,15,0))</f>
        <v>270.92</v>
      </c>
      <c r="Y1783" s="6"/>
      <c r="Z1783" s="6">
        <f ca="1">('TUSD BE'!$AM$55+'TUSD BF'!$AM$55+'TUSD CVA'!$AM$55)*1</f>
        <v>271.87486773292784</v>
      </c>
      <c r="AA1783" s="6">
        <f>('TE BE'!$AA$19+'TE BF'!$AA$19+'TE CVA'!$AA$19)*1</f>
        <v>242.90567551581066</v>
      </c>
      <c r="AB1783" s="6">
        <f>$K$1783*$V$1783</f>
        <v>0</v>
      </c>
      <c r="AC1783" s="6">
        <f>$M$1783*$W$1783</f>
        <v>45640462.13555</v>
      </c>
      <c r="AD1783" s="6">
        <f>$O$1783*$X$1783</f>
        <v>50042146.593400002</v>
      </c>
      <c r="AE1783" s="6">
        <f>$K$1783*$Y$1783</f>
        <v>0</v>
      </c>
      <c r="AF1783" s="6">
        <f ca="1">$M$1783*$Z$1783</f>
        <v>50218522.021823451</v>
      </c>
      <c r="AG1783" s="6">
        <f>$O$1783*$AA$1783</f>
        <v>44867567.630780488</v>
      </c>
    </row>
    <row r="1784" spans="1:33" ht="11.25" customHeight="1" x14ac:dyDescent="0.25">
      <c r="A1784" s="4" t="s">
        <v>27</v>
      </c>
      <c r="B1784" s="4" t="s">
        <v>22</v>
      </c>
      <c r="C1784" s="4" t="s">
        <v>23</v>
      </c>
      <c r="D1784" s="4" t="s">
        <v>24</v>
      </c>
      <c r="E1784" s="4" t="s">
        <v>24</v>
      </c>
      <c r="F1784" s="4" t="s">
        <v>25</v>
      </c>
      <c r="G1784" s="4" t="s">
        <v>25</v>
      </c>
      <c r="H1784" s="4" t="s">
        <v>25</v>
      </c>
      <c r="I1784" s="5">
        <v>44013</v>
      </c>
      <c r="J1784" s="6">
        <v>0</v>
      </c>
      <c r="K1784" s="6">
        <v>0</v>
      </c>
      <c r="L1784" s="6">
        <v>153.864</v>
      </c>
      <c r="M1784" s="6">
        <v>153.864</v>
      </c>
      <c r="N1784" s="6">
        <v>153.864</v>
      </c>
      <c r="O1784" s="6">
        <v>153.864</v>
      </c>
      <c r="P1784" s="6">
        <v>282</v>
      </c>
      <c r="Q1784" s="4" t="s">
        <v>26</v>
      </c>
      <c r="R1784" s="4">
        <v>0</v>
      </c>
      <c r="S1784" s="6">
        <v>0</v>
      </c>
      <c r="T1784" s="6">
        <v>45</v>
      </c>
      <c r="U1784" s="6">
        <v>88</v>
      </c>
      <c r="V1784" s="6">
        <f>IF(ISERROR(VLOOKUP($S$1784,'TAR FIN'!$A$1:$O$120,15,0)),0,VLOOKUP($S$1784,'TAR FIN'!$A$1:$O$120,15,0))</f>
        <v>0</v>
      </c>
      <c r="W1784" s="6">
        <f>IF(ISERROR(VLOOKUP($T$1784,'TAR FIN'!$A$1:$O$120,15,0)),0,VLOOKUP($T$1784,'TAR FIN'!$A$1:$O$120,15,0))</f>
        <v>247.09</v>
      </c>
      <c r="X1784" s="6">
        <f>IF(ISERROR(VLOOKUP($U$1784,'TAR FIN'!$A$1:$O$120,15,0)),0,VLOOKUP($U$1784,'TAR FIN'!$A$1:$O$120,15,0))</f>
        <v>270.92</v>
      </c>
      <c r="Y1784" s="6"/>
      <c r="Z1784" s="6">
        <f ca="1">('TUSD BE'!$AM$55+'TUSD BF'!$AM$55+'TUSD CVA'!$AM$55)*1</f>
        <v>271.87486773292784</v>
      </c>
      <c r="AA1784" s="6">
        <f>('TE BE'!$AA$19+'TE BF'!$AA$19+'TE CVA'!$AA$19)*1</f>
        <v>242.90567551581066</v>
      </c>
      <c r="AB1784" s="6">
        <f>$K$1784*$V$1784</f>
        <v>0</v>
      </c>
      <c r="AC1784" s="6">
        <f>$M$1784*$W$1784</f>
        <v>38018.25576</v>
      </c>
      <c r="AD1784" s="6">
        <f>$O$1784*$X$1784</f>
        <v>41684.834880000002</v>
      </c>
      <c r="AE1784" s="6">
        <f>$K$1784*$Y$1784</f>
        <v>0</v>
      </c>
      <c r="AF1784" s="6">
        <f ca="1">$M$1784*$Z$1784</f>
        <v>41831.754648859212</v>
      </c>
      <c r="AG1784" s="6">
        <f>$O$1784*$AA$1784</f>
        <v>37374.438857564695</v>
      </c>
    </row>
    <row r="1785" spans="1:33" ht="11.25" customHeight="1" x14ac:dyDescent="0.25">
      <c r="A1785" s="4" t="s">
        <v>28</v>
      </c>
      <c r="B1785" s="4" t="s">
        <v>22</v>
      </c>
      <c r="C1785" s="4" t="s">
        <v>23</v>
      </c>
      <c r="D1785" s="4" t="s">
        <v>24</v>
      </c>
      <c r="E1785" s="4" t="s">
        <v>24</v>
      </c>
      <c r="F1785" s="4" t="s">
        <v>25</v>
      </c>
      <c r="G1785" s="4" t="s">
        <v>25</v>
      </c>
      <c r="H1785" s="4" t="s">
        <v>25</v>
      </c>
      <c r="I1785" s="5">
        <v>44013</v>
      </c>
      <c r="J1785" s="6">
        <v>0</v>
      </c>
      <c r="K1785" s="6">
        <v>0</v>
      </c>
      <c r="L1785" s="6">
        <v>427.38900000000001</v>
      </c>
      <c r="M1785" s="6">
        <v>427.38900000000001</v>
      </c>
      <c r="N1785" s="6">
        <v>427.38900000000001</v>
      </c>
      <c r="O1785" s="6">
        <v>427.38900000000001</v>
      </c>
      <c r="P1785" s="6">
        <v>1282</v>
      </c>
      <c r="Q1785" s="4" t="s">
        <v>26</v>
      </c>
      <c r="R1785" s="4">
        <v>0</v>
      </c>
      <c r="S1785" s="6">
        <v>0</v>
      </c>
      <c r="T1785" s="6">
        <v>45</v>
      </c>
      <c r="U1785" s="6">
        <v>88</v>
      </c>
      <c r="V1785" s="6">
        <f>IF(ISERROR(VLOOKUP($S$1785,'TAR FIN'!$A$1:$O$120,15,0)),0,VLOOKUP($S$1785,'TAR FIN'!$A$1:$O$120,15,0))</f>
        <v>0</v>
      </c>
      <c r="W1785" s="6">
        <f>IF(ISERROR(VLOOKUP($T$1785,'TAR FIN'!$A$1:$O$120,15,0)),0,VLOOKUP($T$1785,'TAR FIN'!$A$1:$O$120,15,0))</f>
        <v>247.09</v>
      </c>
      <c r="X1785" s="6">
        <f>IF(ISERROR(VLOOKUP($U$1785,'TAR FIN'!$A$1:$O$120,15,0)),0,VLOOKUP($U$1785,'TAR FIN'!$A$1:$O$120,15,0))</f>
        <v>270.92</v>
      </c>
      <c r="Y1785" s="6"/>
      <c r="Z1785" s="6">
        <f ca="1">('TUSD BE'!$AM$55+'TUSD BF'!$AM$55+'TUSD CVA'!$AM$55)*1</f>
        <v>271.87486773292784</v>
      </c>
      <c r="AA1785" s="6">
        <f>('TE BE'!$AA$19+'TE BF'!$AA$19+'TE CVA'!$AA$19)*1</f>
        <v>242.90567551581066</v>
      </c>
      <c r="AB1785" s="6">
        <f>$K$1785*$V$1785</f>
        <v>0</v>
      </c>
      <c r="AC1785" s="6">
        <f>$M$1785*$W$1785</f>
        <v>105603.54801</v>
      </c>
      <c r="AD1785" s="6">
        <f>$O$1785*$X$1785</f>
        <v>115788.22788000001</v>
      </c>
      <c r="AE1785" s="6">
        <f>$K$1785*$Y$1785</f>
        <v>0</v>
      </c>
      <c r="AF1785" s="6">
        <f ca="1">$M$1785*$Z$1785</f>
        <v>116196.32784550831</v>
      </c>
      <c r="AG1785" s="6">
        <f>$O$1785*$AA$1785</f>
        <v>103815.21375302681</v>
      </c>
    </row>
    <row r="1786" spans="1:33" ht="11.25" customHeight="1" x14ac:dyDescent="0.25">
      <c r="A1786" s="4" t="s">
        <v>28</v>
      </c>
      <c r="B1786" s="4" t="s">
        <v>22</v>
      </c>
      <c r="C1786" s="4" t="s">
        <v>23</v>
      </c>
      <c r="D1786" s="4" t="s">
        <v>24</v>
      </c>
      <c r="E1786" s="4" t="s">
        <v>24</v>
      </c>
      <c r="F1786" s="4" t="s">
        <v>25</v>
      </c>
      <c r="G1786" s="4" t="s">
        <v>25</v>
      </c>
      <c r="H1786" s="4" t="s">
        <v>25</v>
      </c>
      <c r="I1786" s="5">
        <v>44013</v>
      </c>
      <c r="J1786" s="6">
        <v>0</v>
      </c>
      <c r="K1786" s="6">
        <v>0</v>
      </c>
      <c r="L1786" s="6">
        <v>2.625</v>
      </c>
      <c r="M1786" s="6">
        <v>2.625</v>
      </c>
      <c r="N1786" s="6">
        <v>2.625</v>
      </c>
      <c r="O1786" s="6">
        <v>2.625</v>
      </c>
      <c r="P1786" s="6">
        <v>2</v>
      </c>
      <c r="Q1786" s="4" t="s">
        <v>26</v>
      </c>
      <c r="R1786" s="4">
        <v>0</v>
      </c>
      <c r="S1786" s="6">
        <v>0</v>
      </c>
      <c r="T1786" s="6">
        <v>45</v>
      </c>
      <c r="U1786" s="6">
        <v>88</v>
      </c>
      <c r="V1786" s="6">
        <f>IF(ISERROR(VLOOKUP($S$1786,'TAR FIN'!$A$1:$O$120,15,0)),0,VLOOKUP($S$1786,'TAR FIN'!$A$1:$O$120,15,0))</f>
        <v>0</v>
      </c>
      <c r="W1786" s="6">
        <f>IF(ISERROR(VLOOKUP($T$1786,'TAR FIN'!$A$1:$O$120,15,0)),0,VLOOKUP($T$1786,'TAR FIN'!$A$1:$O$120,15,0))</f>
        <v>247.09</v>
      </c>
      <c r="X1786" s="6">
        <f>IF(ISERROR(VLOOKUP($U$1786,'TAR FIN'!$A$1:$O$120,15,0)),0,VLOOKUP($U$1786,'TAR FIN'!$A$1:$O$120,15,0))</f>
        <v>270.92</v>
      </c>
      <c r="Y1786" s="6"/>
      <c r="Z1786" s="6">
        <f ca="1">('TUSD BE'!$AM$55+'TUSD BF'!$AM$55+'TUSD CVA'!$AM$55)*1</f>
        <v>271.87486773292784</v>
      </c>
      <c r="AA1786" s="6">
        <f>('TE BE'!$AA$19+'TE BF'!$AA$19+'TE CVA'!$AA$19)*1</f>
        <v>242.90567551581066</v>
      </c>
      <c r="AB1786" s="6">
        <f>$K$1786*$V$1786</f>
        <v>0</v>
      </c>
      <c r="AC1786" s="6">
        <f>$M$1786*$W$1786</f>
        <v>648.61125000000004</v>
      </c>
      <c r="AD1786" s="6">
        <f>$O$1786*$X$1786</f>
        <v>711.16500000000008</v>
      </c>
      <c r="AE1786" s="6">
        <f>$K$1786*$Y$1786</f>
        <v>0</v>
      </c>
      <c r="AF1786" s="6">
        <f ca="1">$M$1786*$Z$1786</f>
        <v>713.67152779893559</v>
      </c>
      <c r="AG1786" s="6">
        <f>$O$1786*$AA$1786</f>
        <v>637.62739822900301</v>
      </c>
    </row>
    <row r="1787" spans="1:33" ht="11.25" customHeight="1" x14ac:dyDescent="0.25">
      <c r="A1787" s="4" t="s">
        <v>21</v>
      </c>
      <c r="B1787" s="4" t="s">
        <v>22</v>
      </c>
      <c r="C1787" s="4" t="s">
        <v>23</v>
      </c>
      <c r="D1787" s="4" t="s">
        <v>24</v>
      </c>
      <c r="E1787" s="4" t="s">
        <v>24</v>
      </c>
      <c r="F1787" s="4" t="s">
        <v>25</v>
      </c>
      <c r="G1787" s="4" t="s">
        <v>25</v>
      </c>
      <c r="H1787" s="4" t="s">
        <v>25</v>
      </c>
      <c r="I1787" s="5">
        <v>44044</v>
      </c>
      <c r="J1787" s="6">
        <v>0</v>
      </c>
      <c r="K1787" s="6">
        <v>0</v>
      </c>
      <c r="L1787" s="6">
        <v>200899.79800000001</v>
      </c>
      <c r="M1787" s="6">
        <v>200899.79800000001</v>
      </c>
      <c r="N1787" s="6">
        <v>200899.79800000001</v>
      </c>
      <c r="O1787" s="6">
        <v>200899.79800000001</v>
      </c>
      <c r="P1787" s="6">
        <v>936940</v>
      </c>
      <c r="Q1787" s="4" t="s">
        <v>26</v>
      </c>
      <c r="R1787" s="4">
        <v>0</v>
      </c>
      <c r="S1787" s="6">
        <v>0</v>
      </c>
      <c r="T1787" s="6">
        <v>45</v>
      </c>
      <c r="U1787" s="6">
        <v>88</v>
      </c>
      <c r="V1787" s="6">
        <f>IF(ISERROR(VLOOKUP($S$1787,'TAR FIN'!$A$1:$O$120,15,0)),0,VLOOKUP($S$1787,'TAR FIN'!$A$1:$O$120,15,0))</f>
        <v>0</v>
      </c>
      <c r="W1787" s="6">
        <f>IF(ISERROR(VLOOKUP($T$1787,'TAR FIN'!$A$1:$O$120,15,0)),0,VLOOKUP($T$1787,'TAR FIN'!$A$1:$O$120,15,0))</f>
        <v>247.09</v>
      </c>
      <c r="X1787" s="6">
        <f>IF(ISERROR(VLOOKUP($U$1787,'TAR FIN'!$A$1:$O$120,15,0)),0,VLOOKUP($U$1787,'TAR FIN'!$A$1:$O$120,15,0))</f>
        <v>270.92</v>
      </c>
      <c r="Y1787" s="6"/>
      <c r="Z1787" s="6">
        <f ca="1">('TUSD BE'!$AM$55+'TUSD BF'!$AM$55+'TUSD CVA'!$AM$55)*1</f>
        <v>271.87486773292784</v>
      </c>
      <c r="AA1787" s="6">
        <f>('TE BE'!$AA$19+'TE BF'!$AA$19+'TE CVA'!$AA$19)*1</f>
        <v>242.90567551581066</v>
      </c>
      <c r="AB1787" s="6">
        <f>$K$1787*$V$1787</f>
        <v>0</v>
      </c>
      <c r="AC1787" s="6">
        <f>$M$1787*$W$1787</f>
        <v>49640331.087820001</v>
      </c>
      <c r="AD1787" s="6">
        <f>$O$1787*$X$1787</f>
        <v>54427773.274160005</v>
      </c>
      <c r="AE1787" s="6">
        <f>$K$1787*$Y$1787</f>
        <v>0</v>
      </c>
      <c r="AF1787" s="6">
        <f ca="1">$M$1787*$Z$1787</f>
        <v>54619606.008821927</v>
      </c>
      <c r="AG1787" s="6">
        <f>$O$1787*$AA$1787</f>
        <v>48799701.14417991</v>
      </c>
    </row>
    <row r="1788" spans="1:33" ht="11.25" customHeight="1" x14ac:dyDescent="0.25">
      <c r="A1788" s="4" t="s">
        <v>27</v>
      </c>
      <c r="B1788" s="4" t="s">
        <v>22</v>
      </c>
      <c r="C1788" s="4" t="s">
        <v>23</v>
      </c>
      <c r="D1788" s="4" t="s">
        <v>24</v>
      </c>
      <c r="E1788" s="4" t="s">
        <v>24</v>
      </c>
      <c r="F1788" s="4" t="s">
        <v>25</v>
      </c>
      <c r="G1788" s="4" t="s">
        <v>25</v>
      </c>
      <c r="H1788" s="4" t="s">
        <v>25</v>
      </c>
      <c r="I1788" s="5">
        <v>44044</v>
      </c>
      <c r="J1788" s="6">
        <v>0</v>
      </c>
      <c r="K1788" s="6">
        <v>0</v>
      </c>
      <c r="L1788" s="6">
        <v>119.798</v>
      </c>
      <c r="M1788" s="6">
        <v>119.798</v>
      </c>
      <c r="N1788" s="6">
        <v>119.798</v>
      </c>
      <c r="O1788" s="6">
        <v>119.798</v>
      </c>
      <c r="P1788" s="6">
        <v>243</v>
      </c>
      <c r="Q1788" s="4" t="s">
        <v>26</v>
      </c>
      <c r="R1788" s="4">
        <v>0</v>
      </c>
      <c r="S1788" s="6">
        <v>0</v>
      </c>
      <c r="T1788" s="6">
        <v>45</v>
      </c>
      <c r="U1788" s="6">
        <v>88</v>
      </c>
      <c r="V1788" s="6">
        <f>IF(ISERROR(VLOOKUP($S$1788,'TAR FIN'!$A$1:$O$120,15,0)),0,VLOOKUP($S$1788,'TAR FIN'!$A$1:$O$120,15,0))</f>
        <v>0</v>
      </c>
      <c r="W1788" s="6">
        <f>IF(ISERROR(VLOOKUP($T$1788,'TAR FIN'!$A$1:$O$120,15,0)),0,VLOOKUP($T$1788,'TAR FIN'!$A$1:$O$120,15,0))</f>
        <v>247.09</v>
      </c>
      <c r="X1788" s="6">
        <f>IF(ISERROR(VLOOKUP($U$1788,'TAR FIN'!$A$1:$O$120,15,0)),0,VLOOKUP($U$1788,'TAR FIN'!$A$1:$O$120,15,0))</f>
        <v>270.92</v>
      </c>
      <c r="Y1788" s="6"/>
      <c r="Z1788" s="6">
        <f ca="1">('TUSD BE'!$AM$55+'TUSD BF'!$AM$55+'TUSD CVA'!$AM$55)*1</f>
        <v>271.87486773292784</v>
      </c>
      <c r="AA1788" s="6">
        <f>('TE BE'!$AA$19+'TE BF'!$AA$19+'TE CVA'!$AA$19)*1</f>
        <v>242.90567551581066</v>
      </c>
      <c r="AB1788" s="6">
        <f>$K$1788*$V$1788</f>
        <v>0</v>
      </c>
      <c r="AC1788" s="6">
        <f>$M$1788*$W$1788</f>
        <v>29600.88782</v>
      </c>
      <c r="AD1788" s="6">
        <f>$O$1788*$X$1788</f>
        <v>32455.674160000002</v>
      </c>
      <c r="AE1788" s="6">
        <f>$K$1788*$Y$1788</f>
        <v>0</v>
      </c>
      <c r="AF1788" s="6">
        <f ca="1">$M$1788*$Z$1788</f>
        <v>32570.065404669291</v>
      </c>
      <c r="AG1788" s="6">
        <f>$O$1788*$AA$1788</f>
        <v>29099.614115443084</v>
      </c>
    </row>
    <row r="1789" spans="1:33" ht="11.25" customHeight="1" x14ac:dyDescent="0.25">
      <c r="A1789" s="4" t="s">
        <v>28</v>
      </c>
      <c r="B1789" s="4" t="s">
        <v>22</v>
      </c>
      <c r="C1789" s="4" t="s">
        <v>23</v>
      </c>
      <c r="D1789" s="4" t="s">
        <v>24</v>
      </c>
      <c r="E1789" s="4" t="s">
        <v>24</v>
      </c>
      <c r="F1789" s="4" t="s">
        <v>25</v>
      </c>
      <c r="G1789" s="4" t="s">
        <v>25</v>
      </c>
      <c r="H1789" s="4" t="s">
        <v>25</v>
      </c>
      <c r="I1789" s="5">
        <v>44044</v>
      </c>
      <c r="J1789" s="6">
        <v>0</v>
      </c>
      <c r="K1789" s="6">
        <v>0</v>
      </c>
      <c r="L1789" s="6">
        <v>423.89</v>
      </c>
      <c r="M1789" s="6">
        <v>423.89</v>
      </c>
      <c r="N1789" s="6">
        <v>423.89</v>
      </c>
      <c r="O1789" s="6">
        <v>423.89</v>
      </c>
      <c r="P1789" s="6">
        <v>1277</v>
      </c>
      <c r="Q1789" s="4" t="s">
        <v>26</v>
      </c>
      <c r="R1789" s="4">
        <v>0</v>
      </c>
      <c r="S1789" s="6">
        <v>0</v>
      </c>
      <c r="T1789" s="6">
        <v>45</v>
      </c>
      <c r="U1789" s="6">
        <v>88</v>
      </c>
      <c r="V1789" s="6">
        <f>IF(ISERROR(VLOOKUP($S$1789,'TAR FIN'!$A$1:$O$120,15,0)),0,VLOOKUP($S$1789,'TAR FIN'!$A$1:$O$120,15,0))</f>
        <v>0</v>
      </c>
      <c r="W1789" s="6">
        <f>IF(ISERROR(VLOOKUP($T$1789,'TAR FIN'!$A$1:$O$120,15,0)),0,VLOOKUP($T$1789,'TAR FIN'!$A$1:$O$120,15,0))</f>
        <v>247.09</v>
      </c>
      <c r="X1789" s="6">
        <f>IF(ISERROR(VLOOKUP($U$1789,'TAR FIN'!$A$1:$O$120,15,0)),0,VLOOKUP($U$1789,'TAR FIN'!$A$1:$O$120,15,0))</f>
        <v>270.92</v>
      </c>
      <c r="Y1789" s="6"/>
      <c r="Z1789" s="6">
        <f ca="1">('TUSD BE'!$AM$55+'TUSD BF'!$AM$55+'TUSD CVA'!$AM$55)*1</f>
        <v>271.87486773292784</v>
      </c>
      <c r="AA1789" s="6">
        <f>('TE BE'!$AA$19+'TE BF'!$AA$19+'TE CVA'!$AA$19)*1</f>
        <v>242.90567551581066</v>
      </c>
      <c r="AB1789" s="6">
        <f>$K$1789*$V$1789</f>
        <v>0</v>
      </c>
      <c r="AC1789" s="6">
        <f>$M$1789*$W$1789</f>
        <v>104738.9801</v>
      </c>
      <c r="AD1789" s="6">
        <f>$O$1789*$X$1789</f>
        <v>114840.2788</v>
      </c>
      <c r="AE1789" s="6">
        <f>$K$1789*$Y$1789</f>
        <v>0</v>
      </c>
      <c r="AF1789" s="6">
        <f ca="1">$M$1789*$Z$1789</f>
        <v>115245.03768331077</v>
      </c>
      <c r="AG1789" s="6">
        <f>$O$1789*$AA$1789</f>
        <v>102965.28679439698</v>
      </c>
    </row>
    <row r="1790" spans="1:33" ht="11.25" customHeight="1" x14ac:dyDescent="0.25">
      <c r="A1790" s="4" t="s">
        <v>28</v>
      </c>
      <c r="B1790" s="4" t="s">
        <v>22</v>
      </c>
      <c r="C1790" s="4" t="s">
        <v>23</v>
      </c>
      <c r="D1790" s="4" t="s">
        <v>24</v>
      </c>
      <c r="E1790" s="4" t="s">
        <v>24</v>
      </c>
      <c r="F1790" s="4" t="s">
        <v>25</v>
      </c>
      <c r="G1790" s="4" t="s">
        <v>25</v>
      </c>
      <c r="H1790" s="4" t="s">
        <v>25</v>
      </c>
      <c r="I1790" s="5">
        <v>44044</v>
      </c>
      <c r="J1790" s="6">
        <v>0</v>
      </c>
      <c r="K1790" s="6">
        <v>0</v>
      </c>
      <c r="L1790" s="6">
        <v>0.377</v>
      </c>
      <c r="M1790" s="6">
        <v>0.377</v>
      </c>
      <c r="N1790" s="6">
        <v>0.377</v>
      </c>
      <c r="O1790" s="6">
        <v>0.377</v>
      </c>
      <c r="P1790" s="6">
        <v>2</v>
      </c>
      <c r="Q1790" s="4" t="s">
        <v>26</v>
      </c>
      <c r="R1790" s="4">
        <v>0</v>
      </c>
      <c r="S1790" s="6">
        <v>0</v>
      </c>
      <c r="T1790" s="6">
        <v>45</v>
      </c>
      <c r="U1790" s="6">
        <v>88</v>
      </c>
      <c r="V1790" s="6">
        <f>IF(ISERROR(VLOOKUP($S$1790,'TAR FIN'!$A$1:$O$120,15,0)),0,VLOOKUP($S$1790,'TAR FIN'!$A$1:$O$120,15,0))</f>
        <v>0</v>
      </c>
      <c r="W1790" s="6">
        <f>IF(ISERROR(VLOOKUP($T$1790,'TAR FIN'!$A$1:$O$120,15,0)),0,VLOOKUP($T$1790,'TAR FIN'!$A$1:$O$120,15,0))</f>
        <v>247.09</v>
      </c>
      <c r="X1790" s="6">
        <f>IF(ISERROR(VLOOKUP($U$1790,'TAR FIN'!$A$1:$O$120,15,0)),0,VLOOKUP($U$1790,'TAR FIN'!$A$1:$O$120,15,0))</f>
        <v>270.92</v>
      </c>
      <c r="Y1790" s="6"/>
      <c r="Z1790" s="6">
        <f ca="1">('TUSD BE'!$AM$55+'TUSD BF'!$AM$55+'TUSD CVA'!$AM$55)*1</f>
        <v>271.87486773292784</v>
      </c>
      <c r="AA1790" s="6">
        <f>('TE BE'!$AA$19+'TE BF'!$AA$19+'TE CVA'!$AA$19)*1</f>
        <v>242.90567551581066</v>
      </c>
      <c r="AB1790" s="6">
        <f>$K$1790*$V$1790</f>
        <v>0</v>
      </c>
      <c r="AC1790" s="6">
        <f>$M$1790*$W$1790</f>
        <v>93.152929999999998</v>
      </c>
      <c r="AD1790" s="6">
        <f>$O$1790*$X$1790</f>
        <v>102.13684000000001</v>
      </c>
      <c r="AE1790" s="6">
        <f>$K$1790*$Y$1790</f>
        <v>0</v>
      </c>
      <c r="AF1790" s="6">
        <f ca="1">$M$1790*$Z$1790</f>
        <v>102.4968251353138</v>
      </c>
      <c r="AG1790" s="6">
        <f>$O$1790*$AA$1790</f>
        <v>91.575439669460621</v>
      </c>
    </row>
    <row r="1791" spans="1:33" ht="11.25" customHeight="1" x14ac:dyDescent="0.25">
      <c r="A1791" s="4" t="s">
        <v>59</v>
      </c>
      <c r="B1791" s="4" t="s">
        <v>22</v>
      </c>
      <c r="C1791" s="4" t="s">
        <v>23</v>
      </c>
      <c r="D1791" s="4" t="s">
        <v>24</v>
      </c>
      <c r="E1791" s="4" t="s">
        <v>24</v>
      </c>
      <c r="F1791" s="4" t="s">
        <v>25</v>
      </c>
      <c r="G1791" s="4" t="s">
        <v>25</v>
      </c>
      <c r="H1791" s="4" t="s">
        <v>25</v>
      </c>
      <c r="I1791" s="5">
        <v>44075</v>
      </c>
      <c r="J1791" s="6">
        <v>0</v>
      </c>
      <c r="K1791" s="6">
        <v>0</v>
      </c>
      <c r="L1791" s="6">
        <v>200899.79800000001</v>
      </c>
      <c r="M1791" s="6">
        <v>200899.79800000001</v>
      </c>
      <c r="N1791" s="6">
        <v>200899.79800000001</v>
      </c>
      <c r="O1791" s="6">
        <v>200899.79800000001</v>
      </c>
      <c r="P1791" s="6">
        <v>936940</v>
      </c>
      <c r="Q1791" s="4" t="s">
        <v>26</v>
      </c>
      <c r="R1791" s="4">
        <v>0</v>
      </c>
      <c r="S1791" s="6">
        <v>0</v>
      </c>
      <c r="T1791" s="6">
        <v>45</v>
      </c>
      <c r="U1791" s="6">
        <v>88</v>
      </c>
      <c r="V1791" s="6">
        <f>IF(ISERROR(VLOOKUP($S$1791,'TAR FIN'!$A$1:$O$120,15,0)),0,VLOOKUP($S$1791,'TAR FIN'!$A$1:$O$120,15,0))</f>
        <v>0</v>
      </c>
      <c r="W1791" s="6">
        <f>IF(ISERROR(VLOOKUP($T$1791,'TAR FIN'!$A$1:$O$120,15,0)),0,VLOOKUP($T$1791,'TAR FIN'!$A$1:$O$120,15,0))</f>
        <v>247.09</v>
      </c>
      <c r="X1791" s="6">
        <f>IF(ISERROR(VLOOKUP($U$1791,'TAR FIN'!$A$1:$O$120,15,0)),0,VLOOKUP($U$1791,'TAR FIN'!$A$1:$O$120,15,0))</f>
        <v>270.92</v>
      </c>
      <c r="Y1791" s="6"/>
      <c r="Z1791" s="6">
        <f ca="1">('TUSD BE'!$AM$55+'TUSD BF'!$AM$55+'TUSD CVA'!$AM$55)*1</f>
        <v>271.87486773292784</v>
      </c>
      <c r="AA1791" s="6">
        <f>('TE BE'!$AA$19+'TE BF'!$AA$19+'TE CVA'!$AA$19)*1</f>
        <v>242.90567551581066</v>
      </c>
      <c r="AB1791" s="6">
        <f>$K$1791*$V$1791</f>
        <v>0</v>
      </c>
      <c r="AC1791" s="6">
        <f>$M$1791*$W$1791</f>
        <v>49640331.087820001</v>
      </c>
      <c r="AD1791" s="6">
        <f>$O$1791*$X$1791</f>
        <v>54427773.274160005</v>
      </c>
      <c r="AE1791" s="6">
        <f>$K$1791*$Y$1791</f>
        <v>0</v>
      </c>
      <c r="AF1791" s="6">
        <f ca="1">$M$1791*$Z$1791</f>
        <v>54619606.008821927</v>
      </c>
      <c r="AG1791" s="6">
        <f>$O$1791*$AA$1791</f>
        <v>48799701.14417991</v>
      </c>
    </row>
    <row r="1792" spans="1:33" ht="11.25" customHeight="1" x14ac:dyDescent="0.25">
      <c r="A1792" s="4" t="s">
        <v>59</v>
      </c>
      <c r="B1792" s="4" t="s">
        <v>22</v>
      </c>
      <c r="C1792" s="4" t="s">
        <v>23</v>
      </c>
      <c r="D1792" s="4" t="s">
        <v>24</v>
      </c>
      <c r="E1792" s="4" t="s">
        <v>24</v>
      </c>
      <c r="F1792" s="4" t="s">
        <v>25</v>
      </c>
      <c r="G1792" s="4" t="s">
        <v>25</v>
      </c>
      <c r="H1792" s="4" t="s">
        <v>25</v>
      </c>
      <c r="I1792" s="5">
        <v>44075</v>
      </c>
      <c r="J1792" s="6">
        <v>0</v>
      </c>
      <c r="K1792" s="6">
        <v>0</v>
      </c>
      <c r="L1792" s="6">
        <v>119.798</v>
      </c>
      <c r="M1792" s="6">
        <v>119.798</v>
      </c>
      <c r="N1792" s="6">
        <v>119.798</v>
      </c>
      <c r="O1792" s="6">
        <v>119.798</v>
      </c>
      <c r="P1792" s="6">
        <v>243</v>
      </c>
      <c r="Q1792" s="4" t="s">
        <v>26</v>
      </c>
      <c r="R1792" s="4">
        <v>0</v>
      </c>
      <c r="S1792" s="6">
        <v>0</v>
      </c>
      <c r="T1792" s="6">
        <v>45</v>
      </c>
      <c r="U1792" s="6">
        <v>88</v>
      </c>
      <c r="V1792" s="6">
        <f>IF(ISERROR(VLOOKUP($S$1792,'TAR FIN'!$A$1:$O$120,15,0)),0,VLOOKUP($S$1792,'TAR FIN'!$A$1:$O$120,15,0))</f>
        <v>0</v>
      </c>
      <c r="W1792" s="6">
        <f>IF(ISERROR(VLOOKUP($T$1792,'TAR FIN'!$A$1:$O$120,15,0)),0,VLOOKUP($T$1792,'TAR FIN'!$A$1:$O$120,15,0))</f>
        <v>247.09</v>
      </c>
      <c r="X1792" s="6">
        <f>IF(ISERROR(VLOOKUP($U$1792,'TAR FIN'!$A$1:$O$120,15,0)),0,VLOOKUP($U$1792,'TAR FIN'!$A$1:$O$120,15,0))</f>
        <v>270.92</v>
      </c>
      <c r="Y1792" s="6"/>
      <c r="Z1792" s="6">
        <f ca="1">('TUSD BE'!$AM$55+'TUSD BF'!$AM$55+'TUSD CVA'!$AM$55)*1</f>
        <v>271.87486773292784</v>
      </c>
      <c r="AA1792" s="6">
        <f>('TE BE'!$AA$19+'TE BF'!$AA$19+'TE CVA'!$AA$19)*1</f>
        <v>242.90567551581066</v>
      </c>
      <c r="AB1792" s="6">
        <f>$K$1792*$V$1792</f>
        <v>0</v>
      </c>
      <c r="AC1792" s="6">
        <f>$M$1792*$W$1792</f>
        <v>29600.88782</v>
      </c>
      <c r="AD1792" s="6">
        <f>$O$1792*$X$1792</f>
        <v>32455.674160000002</v>
      </c>
      <c r="AE1792" s="6">
        <f>$K$1792*$Y$1792</f>
        <v>0</v>
      </c>
      <c r="AF1792" s="6">
        <f ca="1">$M$1792*$Z$1792</f>
        <v>32570.065404669291</v>
      </c>
      <c r="AG1792" s="6">
        <f>$O$1792*$AA$1792</f>
        <v>29099.614115443084</v>
      </c>
    </row>
    <row r="1793" spans="1:33" ht="11.25" customHeight="1" x14ac:dyDescent="0.25">
      <c r="A1793" s="4" t="s">
        <v>59</v>
      </c>
      <c r="B1793" s="4" t="s">
        <v>22</v>
      </c>
      <c r="C1793" s="4" t="s">
        <v>23</v>
      </c>
      <c r="D1793" s="4" t="s">
        <v>24</v>
      </c>
      <c r="E1793" s="4" t="s">
        <v>24</v>
      </c>
      <c r="F1793" s="4" t="s">
        <v>25</v>
      </c>
      <c r="G1793" s="4" t="s">
        <v>25</v>
      </c>
      <c r="H1793" s="4" t="s">
        <v>25</v>
      </c>
      <c r="I1793" s="5">
        <v>44075</v>
      </c>
      <c r="J1793" s="6">
        <v>0</v>
      </c>
      <c r="K1793" s="6">
        <v>0</v>
      </c>
      <c r="L1793" s="6">
        <v>423.89</v>
      </c>
      <c r="M1793" s="6">
        <v>423.89</v>
      </c>
      <c r="N1793" s="6">
        <v>423.89</v>
      </c>
      <c r="O1793" s="6">
        <v>423.89</v>
      </c>
      <c r="P1793" s="6">
        <v>1277</v>
      </c>
      <c r="Q1793" s="4" t="s">
        <v>26</v>
      </c>
      <c r="R1793" s="4">
        <v>0</v>
      </c>
      <c r="S1793" s="6">
        <v>0</v>
      </c>
      <c r="T1793" s="6">
        <v>45</v>
      </c>
      <c r="U1793" s="6">
        <v>88</v>
      </c>
      <c r="V1793" s="6">
        <f>IF(ISERROR(VLOOKUP($S$1793,'TAR FIN'!$A$1:$O$120,15,0)),0,VLOOKUP($S$1793,'TAR FIN'!$A$1:$O$120,15,0))</f>
        <v>0</v>
      </c>
      <c r="W1793" s="6">
        <f>IF(ISERROR(VLOOKUP($T$1793,'TAR FIN'!$A$1:$O$120,15,0)),0,VLOOKUP($T$1793,'TAR FIN'!$A$1:$O$120,15,0))</f>
        <v>247.09</v>
      </c>
      <c r="X1793" s="6">
        <f>IF(ISERROR(VLOOKUP($U$1793,'TAR FIN'!$A$1:$O$120,15,0)),0,VLOOKUP($U$1793,'TAR FIN'!$A$1:$O$120,15,0))</f>
        <v>270.92</v>
      </c>
      <c r="Y1793" s="6"/>
      <c r="Z1793" s="6">
        <f ca="1">('TUSD BE'!$AM$55+'TUSD BF'!$AM$55+'TUSD CVA'!$AM$55)*1</f>
        <v>271.87486773292784</v>
      </c>
      <c r="AA1793" s="6">
        <f>('TE BE'!$AA$19+'TE BF'!$AA$19+'TE CVA'!$AA$19)*1</f>
        <v>242.90567551581066</v>
      </c>
      <c r="AB1793" s="6">
        <f>$K$1793*$V$1793</f>
        <v>0</v>
      </c>
      <c r="AC1793" s="6">
        <f>$M$1793*$W$1793</f>
        <v>104738.9801</v>
      </c>
      <c r="AD1793" s="6">
        <f>$O$1793*$X$1793</f>
        <v>114840.2788</v>
      </c>
      <c r="AE1793" s="6">
        <f>$K$1793*$Y$1793</f>
        <v>0</v>
      </c>
      <c r="AF1793" s="6">
        <f ca="1">$M$1793*$Z$1793</f>
        <v>115245.03768331077</v>
      </c>
      <c r="AG1793" s="6">
        <f>$O$1793*$AA$1793</f>
        <v>102965.28679439698</v>
      </c>
    </row>
    <row r="1794" spans="1:33" ht="11.25" customHeight="1" x14ac:dyDescent="0.25">
      <c r="A1794" s="4" t="s">
        <v>59</v>
      </c>
      <c r="B1794" s="4" t="s">
        <v>22</v>
      </c>
      <c r="C1794" s="4" t="s">
        <v>23</v>
      </c>
      <c r="D1794" s="4" t="s">
        <v>24</v>
      </c>
      <c r="E1794" s="4" t="s">
        <v>24</v>
      </c>
      <c r="F1794" s="4" t="s">
        <v>25</v>
      </c>
      <c r="G1794" s="4" t="s">
        <v>25</v>
      </c>
      <c r="H1794" s="4" t="s">
        <v>25</v>
      </c>
      <c r="I1794" s="5">
        <v>44075</v>
      </c>
      <c r="J1794" s="6">
        <v>0</v>
      </c>
      <c r="K1794" s="6">
        <v>0</v>
      </c>
      <c r="L1794" s="6">
        <v>0.377</v>
      </c>
      <c r="M1794" s="6">
        <v>0.377</v>
      </c>
      <c r="N1794" s="6">
        <v>0.377</v>
      </c>
      <c r="O1794" s="6">
        <v>0.377</v>
      </c>
      <c r="P1794" s="6">
        <v>2</v>
      </c>
      <c r="Q1794" s="4" t="s">
        <v>26</v>
      </c>
      <c r="R1794" s="4">
        <v>0</v>
      </c>
      <c r="S1794" s="6">
        <v>0</v>
      </c>
      <c r="T1794" s="6">
        <v>45</v>
      </c>
      <c r="U1794" s="6">
        <v>88</v>
      </c>
      <c r="V1794" s="6">
        <f>IF(ISERROR(VLOOKUP($S$1794,'TAR FIN'!$A$1:$O$120,15,0)),0,VLOOKUP($S$1794,'TAR FIN'!$A$1:$O$120,15,0))</f>
        <v>0</v>
      </c>
      <c r="W1794" s="6">
        <f>IF(ISERROR(VLOOKUP($T$1794,'TAR FIN'!$A$1:$O$120,15,0)),0,VLOOKUP($T$1794,'TAR FIN'!$A$1:$O$120,15,0))</f>
        <v>247.09</v>
      </c>
      <c r="X1794" s="6">
        <f>IF(ISERROR(VLOOKUP($U$1794,'TAR FIN'!$A$1:$O$120,15,0)),0,VLOOKUP($U$1794,'TAR FIN'!$A$1:$O$120,15,0))</f>
        <v>270.92</v>
      </c>
      <c r="Y1794" s="6"/>
      <c r="Z1794" s="6">
        <f ca="1">('TUSD BE'!$AM$55+'TUSD BF'!$AM$55+'TUSD CVA'!$AM$55)*1</f>
        <v>271.87486773292784</v>
      </c>
      <c r="AA1794" s="6">
        <f>('TE BE'!$AA$19+'TE BF'!$AA$19+'TE CVA'!$AA$19)*1</f>
        <v>242.90567551581066</v>
      </c>
      <c r="AB1794" s="6">
        <f>$K$1794*$V$1794</f>
        <v>0</v>
      </c>
      <c r="AC1794" s="6">
        <f>$M$1794*$W$1794</f>
        <v>93.152929999999998</v>
      </c>
      <c r="AD1794" s="6">
        <f>$O$1794*$X$1794</f>
        <v>102.13684000000001</v>
      </c>
      <c r="AE1794" s="6">
        <f>$K$1794*$Y$1794</f>
        <v>0</v>
      </c>
      <c r="AF1794" s="6">
        <f ca="1">$M$1794*$Z$1794</f>
        <v>102.4968251353138</v>
      </c>
      <c r="AG1794" s="6">
        <f>$O$1794*$AA$1794</f>
        <v>91.575439669460621</v>
      </c>
    </row>
    <row r="1795" spans="1:33" ht="11.25" customHeight="1" x14ac:dyDescent="0.25">
      <c r="A1795" s="4" t="s">
        <v>21</v>
      </c>
      <c r="B1795" s="4" t="s">
        <v>22</v>
      </c>
      <c r="C1795" s="4" t="s">
        <v>23</v>
      </c>
      <c r="D1795" s="4" t="s">
        <v>24</v>
      </c>
      <c r="E1795" s="4" t="s">
        <v>29</v>
      </c>
      <c r="F1795" s="4" t="s">
        <v>25</v>
      </c>
      <c r="G1795" s="4" t="s">
        <v>25</v>
      </c>
      <c r="H1795" s="4" t="s">
        <v>25</v>
      </c>
      <c r="I1795" s="5">
        <v>43739</v>
      </c>
      <c r="J1795" s="6">
        <v>0</v>
      </c>
      <c r="K1795" s="6">
        <v>0</v>
      </c>
      <c r="L1795" s="6">
        <v>259.98</v>
      </c>
      <c r="M1795" s="6">
        <v>259.98</v>
      </c>
      <c r="N1795" s="6">
        <v>259.98</v>
      </c>
      <c r="O1795" s="6">
        <v>259.98</v>
      </c>
      <c r="P1795" s="6">
        <v>461</v>
      </c>
      <c r="Q1795" s="4" t="s">
        <v>26</v>
      </c>
      <c r="R1795" s="4">
        <v>0</v>
      </c>
      <c r="S1795" s="6">
        <v>0</v>
      </c>
      <c r="T1795" s="6">
        <v>46</v>
      </c>
      <c r="U1795" s="6">
        <v>89</v>
      </c>
      <c r="V1795" s="6">
        <f>IF(ISERROR(VLOOKUP($S$1795,'TAR FIN'!$A$1:$O$120,15,0)),0,VLOOKUP($S$1795,'TAR FIN'!$A$1:$O$120,15,0))</f>
        <v>0</v>
      </c>
      <c r="W1795" s="6">
        <f>IF(ISERROR(VLOOKUP($T$1795,'TAR FIN'!$A$1:$O$120,15,0)),0,VLOOKUP($T$1795,'TAR FIN'!$A$1:$O$120,15,0))</f>
        <v>64.09</v>
      </c>
      <c r="X1795" s="6">
        <f>IF(ISERROR(VLOOKUP($U$1795,'TAR FIN'!$A$1:$O$120,15,0)),0,VLOOKUP($U$1795,'TAR FIN'!$A$1:$O$120,15,0))</f>
        <v>94.82</v>
      </c>
      <c r="Y1795" s="6"/>
      <c r="Z1795" s="6">
        <f ca="1">('TUSD BE'!$AM$56+'TUSD BF'!$AM$56+'TUSD CVA'!$AM$56-('TUSD BE'!$P$56+'TUSD BF'!$P$56+'TUSD CVA'!$P$56)-('TUSD BE'!$Q$56+'TUSD BF'!$Q$56+'TUSD CVA'!$Q$56)-('TUSD BE'!$R$56+'TUSD BF'!$R$56+'TUSD CVA'!$R$56))*(1-CUSTOS!$M$34)</f>
        <v>69.479758346682061</v>
      </c>
      <c r="AA1795" s="6">
        <f>('TE BE'!$AA$20+'TE BF'!$AA$20+'TE CVA'!$AA$20)*(1-CUSTOS!$M$34)</f>
        <v>85.01698643053372</v>
      </c>
      <c r="AB1795" s="6">
        <f>$K$1795*$V$1795</f>
        <v>0</v>
      </c>
      <c r="AC1795" s="6">
        <f>$M$1795*$W$1795</f>
        <v>16662.118200000001</v>
      </c>
      <c r="AD1795" s="6">
        <f>$O$1795*$X$1795</f>
        <v>24651.303599999999</v>
      </c>
      <c r="AE1795" s="6">
        <f>$K$1795*$Y$1795</f>
        <v>0</v>
      </c>
      <c r="AF1795" s="6">
        <f ca="1">$M$1795*$Z$1795</f>
        <v>18063.347574970405</v>
      </c>
      <c r="AG1795" s="6">
        <f>$O$1795*$AA$1795</f>
        <v>22102.716132210157</v>
      </c>
    </row>
    <row r="1796" spans="1:33" ht="11.25" customHeight="1" x14ac:dyDescent="0.25">
      <c r="A1796" s="4" t="s">
        <v>27</v>
      </c>
      <c r="B1796" s="4" t="s">
        <v>22</v>
      </c>
      <c r="C1796" s="4" t="s">
        <v>23</v>
      </c>
      <c r="D1796" s="4" t="s">
        <v>24</v>
      </c>
      <c r="E1796" s="4" t="s">
        <v>29</v>
      </c>
      <c r="F1796" s="4" t="s">
        <v>25</v>
      </c>
      <c r="G1796" s="4" t="s">
        <v>25</v>
      </c>
      <c r="H1796" s="4" t="s">
        <v>25</v>
      </c>
      <c r="I1796" s="5">
        <v>43739</v>
      </c>
      <c r="J1796" s="6">
        <v>0</v>
      </c>
      <c r="K1796" s="6">
        <v>0</v>
      </c>
      <c r="L1796" s="6">
        <v>0.09</v>
      </c>
      <c r="M1796" s="6">
        <v>0.09</v>
      </c>
      <c r="N1796" s="6">
        <v>0.09</v>
      </c>
      <c r="O1796" s="6">
        <v>0.09</v>
      </c>
      <c r="P1796" s="6">
        <v>0</v>
      </c>
      <c r="Q1796" s="4" t="s">
        <v>26</v>
      </c>
      <c r="R1796" s="4">
        <v>0</v>
      </c>
      <c r="S1796" s="6">
        <v>0</v>
      </c>
      <c r="T1796" s="6">
        <v>46</v>
      </c>
      <c r="U1796" s="6">
        <v>89</v>
      </c>
      <c r="V1796" s="6">
        <f>IF(ISERROR(VLOOKUP($S$1796,'TAR FIN'!$A$1:$O$120,15,0)),0,VLOOKUP($S$1796,'TAR FIN'!$A$1:$O$120,15,0))</f>
        <v>0</v>
      </c>
      <c r="W1796" s="6">
        <f>IF(ISERROR(VLOOKUP($T$1796,'TAR FIN'!$A$1:$O$120,15,0)),0,VLOOKUP($T$1796,'TAR FIN'!$A$1:$O$120,15,0))</f>
        <v>64.09</v>
      </c>
      <c r="X1796" s="6">
        <f>IF(ISERROR(VLOOKUP($U$1796,'TAR FIN'!$A$1:$O$120,15,0)),0,VLOOKUP($U$1796,'TAR FIN'!$A$1:$O$120,15,0))</f>
        <v>94.82</v>
      </c>
      <c r="Y1796" s="6"/>
      <c r="Z1796" s="6">
        <f ca="1">('TUSD BE'!$AM$56+'TUSD BF'!$AM$56+'TUSD CVA'!$AM$56-('TUSD BE'!$P$56+'TUSD BF'!$P$56+'TUSD CVA'!$P$56)-('TUSD BE'!$Q$56+'TUSD BF'!$Q$56+'TUSD CVA'!$Q$56)-('TUSD BE'!$R$56+'TUSD BF'!$R$56+'TUSD CVA'!$R$56))*(1-CUSTOS!$M$34)</f>
        <v>69.479758346682061</v>
      </c>
      <c r="AA1796" s="6">
        <f>('TE BE'!$AA$20+'TE BF'!$AA$20+'TE CVA'!$AA$20)*(1-CUSTOS!$M$34)</f>
        <v>85.01698643053372</v>
      </c>
      <c r="AB1796" s="6">
        <f>$K$1796*$V$1796</f>
        <v>0</v>
      </c>
      <c r="AC1796" s="6">
        <f>$M$1796*$W$1796</f>
        <v>5.7681000000000004</v>
      </c>
      <c r="AD1796" s="6">
        <f>$O$1796*$X$1796</f>
        <v>8.5337999999999994</v>
      </c>
      <c r="AE1796" s="6">
        <f>$K$1796*$Y$1796</f>
        <v>0</v>
      </c>
      <c r="AF1796" s="6">
        <f ca="1">$M$1796*$Z$1796</f>
        <v>6.2531782512013852</v>
      </c>
      <c r="AG1796" s="6">
        <f>$O$1796*$AA$1796</f>
        <v>7.6515287787480348</v>
      </c>
    </row>
    <row r="1797" spans="1:33" ht="11.25" customHeight="1" x14ac:dyDescent="0.25">
      <c r="A1797" s="4" t="s">
        <v>21</v>
      </c>
      <c r="B1797" s="4" t="s">
        <v>22</v>
      </c>
      <c r="C1797" s="4" t="s">
        <v>23</v>
      </c>
      <c r="D1797" s="4" t="s">
        <v>24</v>
      </c>
      <c r="E1797" s="4" t="s">
        <v>29</v>
      </c>
      <c r="F1797" s="4" t="s">
        <v>25</v>
      </c>
      <c r="G1797" s="4" t="s">
        <v>25</v>
      </c>
      <c r="H1797" s="4" t="s">
        <v>25</v>
      </c>
      <c r="I1797" s="5">
        <v>43770</v>
      </c>
      <c r="J1797" s="6">
        <v>0</v>
      </c>
      <c r="K1797" s="6">
        <v>0</v>
      </c>
      <c r="L1797" s="6">
        <v>266.10000000000002</v>
      </c>
      <c r="M1797" s="6">
        <v>266.10000000000002</v>
      </c>
      <c r="N1797" s="6">
        <v>266.10000000000002</v>
      </c>
      <c r="O1797" s="6">
        <v>266.10000000000002</v>
      </c>
      <c r="P1797" s="6">
        <v>410</v>
      </c>
      <c r="Q1797" s="4" t="s">
        <v>26</v>
      </c>
      <c r="R1797" s="4">
        <v>0</v>
      </c>
      <c r="S1797" s="6">
        <v>0</v>
      </c>
      <c r="T1797" s="6">
        <v>46</v>
      </c>
      <c r="U1797" s="6">
        <v>89</v>
      </c>
      <c r="V1797" s="6">
        <f>IF(ISERROR(VLOOKUP($S$1797,'TAR FIN'!$A$1:$O$120,15,0)),0,VLOOKUP($S$1797,'TAR FIN'!$A$1:$O$120,15,0))</f>
        <v>0</v>
      </c>
      <c r="W1797" s="6">
        <f>IF(ISERROR(VLOOKUP($T$1797,'TAR FIN'!$A$1:$O$120,15,0)),0,VLOOKUP($T$1797,'TAR FIN'!$A$1:$O$120,15,0))</f>
        <v>64.09</v>
      </c>
      <c r="X1797" s="6">
        <f>IF(ISERROR(VLOOKUP($U$1797,'TAR FIN'!$A$1:$O$120,15,0)),0,VLOOKUP($U$1797,'TAR FIN'!$A$1:$O$120,15,0))</f>
        <v>94.82</v>
      </c>
      <c r="Y1797" s="6"/>
      <c r="Z1797" s="6">
        <f ca="1">('TUSD BE'!$AM$56+'TUSD BF'!$AM$56+'TUSD CVA'!$AM$56-('TUSD BE'!$P$56+'TUSD BF'!$P$56+'TUSD CVA'!$P$56)-('TUSD BE'!$Q$56+'TUSD BF'!$Q$56+'TUSD CVA'!$Q$56)-('TUSD BE'!$R$56+'TUSD BF'!$R$56+'TUSD CVA'!$R$56))*(1-CUSTOS!$M$34)</f>
        <v>69.479758346682061</v>
      </c>
      <c r="AA1797" s="6">
        <f>('TE BE'!$AA$20+'TE BF'!$AA$20+'TE CVA'!$AA$20)*(1-CUSTOS!$M$34)</f>
        <v>85.01698643053372</v>
      </c>
      <c r="AB1797" s="6">
        <f>$K$1797*$V$1797</f>
        <v>0</v>
      </c>
      <c r="AC1797" s="6">
        <f>$M$1797*$W$1797</f>
        <v>17054.349000000002</v>
      </c>
      <c r="AD1797" s="6">
        <f>$O$1797*$X$1797</f>
        <v>25231.601999999999</v>
      </c>
      <c r="AE1797" s="6">
        <f>$K$1797*$Y$1797</f>
        <v>0</v>
      </c>
      <c r="AF1797" s="6">
        <f ca="1">$M$1797*$Z$1797</f>
        <v>18488.563696052097</v>
      </c>
      <c r="AG1797" s="6">
        <f>$O$1797*$AA$1797</f>
        <v>22623.020089165024</v>
      </c>
    </row>
    <row r="1798" spans="1:33" ht="11.25" customHeight="1" x14ac:dyDescent="0.25">
      <c r="A1798" s="4" t="s">
        <v>27</v>
      </c>
      <c r="B1798" s="4" t="s">
        <v>22</v>
      </c>
      <c r="C1798" s="4" t="s">
        <v>23</v>
      </c>
      <c r="D1798" s="4" t="s">
        <v>24</v>
      </c>
      <c r="E1798" s="4" t="s">
        <v>29</v>
      </c>
      <c r="F1798" s="4" t="s">
        <v>25</v>
      </c>
      <c r="G1798" s="4" t="s">
        <v>25</v>
      </c>
      <c r="H1798" s="4" t="s">
        <v>25</v>
      </c>
      <c r="I1798" s="5">
        <v>43770</v>
      </c>
      <c r="J1798" s="6">
        <v>0</v>
      </c>
      <c r="K1798" s="6">
        <v>0</v>
      </c>
      <c r="L1798" s="6">
        <v>0.15</v>
      </c>
      <c r="M1798" s="6">
        <v>0.15</v>
      </c>
      <c r="N1798" s="6">
        <v>0.15</v>
      </c>
      <c r="O1798" s="6">
        <v>0.15</v>
      </c>
      <c r="P1798" s="6">
        <v>0</v>
      </c>
      <c r="Q1798" s="4" t="s">
        <v>26</v>
      </c>
      <c r="R1798" s="4">
        <v>0</v>
      </c>
      <c r="S1798" s="6">
        <v>0</v>
      </c>
      <c r="T1798" s="6">
        <v>46</v>
      </c>
      <c r="U1798" s="6">
        <v>89</v>
      </c>
      <c r="V1798" s="6">
        <f>IF(ISERROR(VLOOKUP($S$1798,'TAR FIN'!$A$1:$O$120,15,0)),0,VLOOKUP($S$1798,'TAR FIN'!$A$1:$O$120,15,0))</f>
        <v>0</v>
      </c>
      <c r="W1798" s="6">
        <f>IF(ISERROR(VLOOKUP($T$1798,'TAR FIN'!$A$1:$O$120,15,0)),0,VLOOKUP($T$1798,'TAR FIN'!$A$1:$O$120,15,0))</f>
        <v>64.09</v>
      </c>
      <c r="X1798" s="6">
        <f>IF(ISERROR(VLOOKUP($U$1798,'TAR FIN'!$A$1:$O$120,15,0)),0,VLOOKUP($U$1798,'TAR FIN'!$A$1:$O$120,15,0))</f>
        <v>94.82</v>
      </c>
      <c r="Y1798" s="6"/>
      <c r="Z1798" s="6">
        <f ca="1">('TUSD BE'!$AM$56+'TUSD BF'!$AM$56+'TUSD CVA'!$AM$56-('TUSD BE'!$P$56+'TUSD BF'!$P$56+'TUSD CVA'!$P$56)-('TUSD BE'!$Q$56+'TUSD BF'!$Q$56+'TUSD CVA'!$Q$56)-('TUSD BE'!$R$56+'TUSD BF'!$R$56+'TUSD CVA'!$R$56))*(1-CUSTOS!$M$34)</f>
        <v>69.479758346682061</v>
      </c>
      <c r="AA1798" s="6">
        <f>('TE BE'!$AA$20+'TE BF'!$AA$20+'TE CVA'!$AA$20)*(1-CUSTOS!$M$34)</f>
        <v>85.01698643053372</v>
      </c>
      <c r="AB1798" s="6">
        <f>$K$1798*$V$1798</f>
        <v>0</v>
      </c>
      <c r="AC1798" s="6">
        <f>$M$1798*$W$1798</f>
        <v>9.6135000000000002</v>
      </c>
      <c r="AD1798" s="6">
        <f>$O$1798*$X$1798</f>
        <v>14.222999999999999</v>
      </c>
      <c r="AE1798" s="6">
        <f>$K$1798*$Y$1798</f>
        <v>0</v>
      </c>
      <c r="AF1798" s="6">
        <f ca="1">$M$1798*$Z$1798</f>
        <v>10.421963752002309</v>
      </c>
      <c r="AG1798" s="6">
        <f>$O$1798*$AA$1798</f>
        <v>12.752547964580058</v>
      </c>
    </row>
    <row r="1799" spans="1:33" ht="11.25" customHeight="1" x14ac:dyDescent="0.25">
      <c r="A1799" s="4" t="s">
        <v>21</v>
      </c>
      <c r="B1799" s="4" t="s">
        <v>22</v>
      </c>
      <c r="C1799" s="4" t="s">
        <v>23</v>
      </c>
      <c r="D1799" s="4" t="s">
        <v>24</v>
      </c>
      <c r="E1799" s="4" t="s">
        <v>29</v>
      </c>
      <c r="F1799" s="4" t="s">
        <v>25</v>
      </c>
      <c r="G1799" s="4" t="s">
        <v>25</v>
      </c>
      <c r="H1799" s="4" t="s">
        <v>25</v>
      </c>
      <c r="I1799" s="5">
        <v>43800</v>
      </c>
      <c r="J1799" s="6">
        <v>0</v>
      </c>
      <c r="K1799" s="6">
        <v>0</v>
      </c>
      <c r="L1799" s="6">
        <v>272.55</v>
      </c>
      <c r="M1799" s="6">
        <v>272.55</v>
      </c>
      <c r="N1799" s="6">
        <v>272.55</v>
      </c>
      <c r="O1799" s="6">
        <v>272.55</v>
      </c>
      <c r="P1799" s="6">
        <v>488</v>
      </c>
      <c r="Q1799" s="4" t="s">
        <v>26</v>
      </c>
      <c r="R1799" s="4">
        <v>0</v>
      </c>
      <c r="S1799" s="6">
        <v>0</v>
      </c>
      <c r="T1799" s="6">
        <v>46</v>
      </c>
      <c r="U1799" s="6">
        <v>89</v>
      </c>
      <c r="V1799" s="6">
        <f>IF(ISERROR(VLOOKUP($S$1799,'TAR FIN'!$A$1:$O$120,15,0)),0,VLOOKUP($S$1799,'TAR FIN'!$A$1:$O$120,15,0))</f>
        <v>0</v>
      </c>
      <c r="W1799" s="6">
        <f>IF(ISERROR(VLOOKUP($T$1799,'TAR FIN'!$A$1:$O$120,15,0)),0,VLOOKUP($T$1799,'TAR FIN'!$A$1:$O$120,15,0))</f>
        <v>64.09</v>
      </c>
      <c r="X1799" s="6">
        <f>IF(ISERROR(VLOOKUP($U$1799,'TAR FIN'!$A$1:$O$120,15,0)),0,VLOOKUP($U$1799,'TAR FIN'!$A$1:$O$120,15,0))</f>
        <v>94.82</v>
      </c>
      <c r="Y1799" s="6"/>
      <c r="Z1799" s="6">
        <f ca="1">('TUSD BE'!$AM$56+'TUSD BF'!$AM$56+'TUSD CVA'!$AM$56-('TUSD BE'!$P$56+'TUSD BF'!$P$56+'TUSD CVA'!$P$56)-('TUSD BE'!$Q$56+'TUSD BF'!$Q$56+'TUSD CVA'!$Q$56)-('TUSD BE'!$R$56+'TUSD BF'!$R$56+'TUSD CVA'!$R$56))*(1-CUSTOS!$M$34)</f>
        <v>69.479758346682061</v>
      </c>
      <c r="AA1799" s="6">
        <f>('TE BE'!$AA$20+'TE BF'!$AA$20+'TE CVA'!$AA$20)*(1-CUSTOS!$M$34)</f>
        <v>85.01698643053372</v>
      </c>
      <c r="AB1799" s="6">
        <f>$K$1799*$V$1799</f>
        <v>0</v>
      </c>
      <c r="AC1799" s="6">
        <f>$M$1799*$W$1799</f>
        <v>17467.729500000001</v>
      </c>
      <c r="AD1799" s="6">
        <f>$O$1799*$X$1799</f>
        <v>25843.190999999999</v>
      </c>
      <c r="AE1799" s="6">
        <f>$K$1799*$Y$1799</f>
        <v>0</v>
      </c>
      <c r="AF1799" s="6">
        <f ca="1">$M$1799*$Z$1799</f>
        <v>18936.708137388196</v>
      </c>
      <c r="AG1799" s="6">
        <f>$O$1799*$AA$1799</f>
        <v>23171.379651641968</v>
      </c>
    </row>
    <row r="1800" spans="1:33" ht="11.25" customHeight="1" x14ac:dyDescent="0.25">
      <c r="A1800" s="4" t="s">
        <v>27</v>
      </c>
      <c r="B1800" s="4" t="s">
        <v>22</v>
      </c>
      <c r="C1800" s="4" t="s">
        <v>23</v>
      </c>
      <c r="D1800" s="4" t="s">
        <v>24</v>
      </c>
      <c r="E1800" s="4" t="s">
        <v>29</v>
      </c>
      <c r="F1800" s="4" t="s">
        <v>25</v>
      </c>
      <c r="G1800" s="4" t="s">
        <v>25</v>
      </c>
      <c r="H1800" s="4" t="s">
        <v>25</v>
      </c>
      <c r="I1800" s="5">
        <v>43800</v>
      </c>
      <c r="J1800" s="6">
        <v>0</v>
      </c>
      <c r="K1800" s="6">
        <v>0</v>
      </c>
      <c r="L1800" s="6">
        <v>0.12</v>
      </c>
      <c r="M1800" s="6">
        <v>0.12</v>
      </c>
      <c r="N1800" s="6">
        <v>0.12</v>
      </c>
      <c r="O1800" s="6">
        <v>0.12</v>
      </c>
      <c r="P1800" s="6">
        <v>2</v>
      </c>
      <c r="Q1800" s="4" t="s">
        <v>26</v>
      </c>
      <c r="R1800" s="4">
        <v>0</v>
      </c>
      <c r="S1800" s="6">
        <v>0</v>
      </c>
      <c r="T1800" s="6">
        <v>46</v>
      </c>
      <c r="U1800" s="6">
        <v>89</v>
      </c>
      <c r="V1800" s="6">
        <f>IF(ISERROR(VLOOKUP($S$1800,'TAR FIN'!$A$1:$O$120,15,0)),0,VLOOKUP($S$1800,'TAR FIN'!$A$1:$O$120,15,0))</f>
        <v>0</v>
      </c>
      <c r="W1800" s="6">
        <f>IF(ISERROR(VLOOKUP($T$1800,'TAR FIN'!$A$1:$O$120,15,0)),0,VLOOKUP($T$1800,'TAR FIN'!$A$1:$O$120,15,0))</f>
        <v>64.09</v>
      </c>
      <c r="X1800" s="6">
        <f>IF(ISERROR(VLOOKUP($U$1800,'TAR FIN'!$A$1:$O$120,15,0)),0,VLOOKUP($U$1800,'TAR FIN'!$A$1:$O$120,15,0))</f>
        <v>94.82</v>
      </c>
      <c r="Y1800" s="6"/>
      <c r="Z1800" s="6">
        <f ca="1">('TUSD BE'!$AM$56+'TUSD BF'!$AM$56+'TUSD CVA'!$AM$56-('TUSD BE'!$P$56+'TUSD BF'!$P$56+'TUSD CVA'!$P$56)-('TUSD BE'!$Q$56+'TUSD BF'!$Q$56+'TUSD CVA'!$Q$56)-('TUSD BE'!$R$56+'TUSD BF'!$R$56+'TUSD CVA'!$R$56))*(1-CUSTOS!$M$34)</f>
        <v>69.479758346682061</v>
      </c>
      <c r="AA1800" s="6">
        <f>('TE BE'!$AA$20+'TE BF'!$AA$20+'TE CVA'!$AA$20)*(1-CUSTOS!$M$34)</f>
        <v>85.01698643053372</v>
      </c>
      <c r="AB1800" s="6">
        <f>$K$1800*$V$1800</f>
        <v>0</v>
      </c>
      <c r="AC1800" s="6">
        <f>$M$1800*$W$1800</f>
        <v>7.6908000000000003</v>
      </c>
      <c r="AD1800" s="6">
        <f>$O$1800*$X$1800</f>
        <v>11.378399999999999</v>
      </c>
      <c r="AE1800" s="6">
        <f>$K$1800*$Y$1800</f>
        <v>0</v>
      </c>
      <c r="AF1800" s="6">
        <f ca="1">$M$1800*$Z$1800</f>
        <v>8.3375710016018463</v>
      </c>
      <c r="AG1800" s="6">
        <f>$O$1800*$AA$1800</f>
        <v>10.202038371664045</v>
      </c>
    </row>
    <row r="1801" spans="1:33" ht="11.25" customHeight="1" x14ac:dyDescent="0.25">
      <c r="A1801" s="4" t="s">
        <v>21</v>
      </c>
      <c r="B1801" s="4" t="s">
        <v>22</v>
      </c>
      <c r="C1801" s="4" t="s">
        <v>23</v>
      </c>
      <c r="D1801" s="4" t="s">
        <v>24</v>
      </c>
      <c r="E1801" s="4" t="s">
        <v>29</v>
      </c>
      <c r="F1801" s="4" t="s">
        <v>25</v>
      </c>
      <c r="G1801" s="4" t="s">
        <v>25</v>
      </c>
      <c r="H1801" s="4" t="s">
        <v>25</v>
      </c>
      <c r="I1801" s="5">
        <v>43831</v>
      </c>
      <c r="J1801" s="6">
        <v>0</v>
      </c>
      <c r="K1801" s="6">
        <v>0</v>
      </c>
      <c r="L1801" s="6">
        <v>275.61</v>
      </c>
      <c r="M1801" s="6">
        <v>275.61</v>
      </c>
      <c r="N1801" s="6">
        <v>275.61</v>
      </c>
      <c r="O1801" s="6">
        <v>275.61</v>
      </c>
      <c r="P1801" s="6">
        <v>515</v>
      </c>
      <c r="Q1801" s="4" t="s">
        <v>26</v>
      </c>
      <c r="R1801" s="4">
        <v>0</v>
      </c>
      <c r="S1801" s="6">
        <v>0</v>
      </c>
      <c r="T1801" s="6">
        <v>46</v>
      </c>
      <c r="U1801" s="6">
        <v>89</v>
      </c>
      <c r="V1801" s="6">
        <f>IF(ISERROR(VLOOKUP($S$1801,'TAR FIN'!$A$1:$O$120,15,0)),0,VLOOKUP($S$1801,'TAR FIN'!$A$1:$O$120,15,0))</f>
        <v>0</v>
      </c>
      <c r="W1801" s="6">
        <f>IF(ISERROR(VLOOKUP($T$1801,'TAR FIN'!$A$1:$O$120,15,0)),0,VLOOKUP($T$1801,'TAR FIN'!$A$1:$O$120,15,0))</f>
        <v>64.09</v>
      </c>
      <c r="X1801" s="6">
        <f>IF(ISERROR(VLOOKUP($U$1801,'TAR FIN'!$A$1:$O$120,15,0)),0,VLOOKUP($U$1801,'TAR FIN'!$A$1:$O$120,15,0))</f>
        <v>94.82</v>
      </c>
      <c r="Y1801" s="6"/>
      <c r="Z1801" s="6">
        <f ca="1">('TUSD BE'!$AM$56+'TUSD BF'!$AM$56+'TUSD CVA'!$AM$56-('TUSD BE'!$P$56+'TUSD BF'!$P$56+'TUSD CVA'!$P$56)-('TUSD BE'!$Q$56+'TUSD BF'!$Q$56+'TUSD CVA'!$Q$56)-('TUSD BE'!$R$56+'TUSD BF'!$R$56+'TUSD CVA'!$R$56))*(1-CUSTOS!$M$34)</f>
        <v>69.479758346682061</v>
      </c>
      <c r="AA1801" s="6">
        <f>('TE BE'!$AA$20+'TE BF'!$AA$20+'TE CVA'!$AA$20)*(1-CUSTOS!$M$34)</f>
        <v>85.01698643053372</v>
      </c>
      <c r="AB1801" s="6">
        <f>$K$1801*$V$1801</f>
        <v>0</v>
      </c>
      <c r="AC1801" s="6">
        <f>$M$1801*$W$1801</f>
        <v>17663.8449</v>
      </c>
      <c r="AD1801" s="6">
        <f>$O$1801*$X$1801</f>
        <v>26133.340199999999</v>
      </c>
      <c r="AE1801" s="6">
        <f>$K$1801*$Y$1801</f>
        <v>0</v>
      </c>
      <c r="AF1801" s="6">
        <f ca="1">$M$1801*$Z$1801</f>
        <v>19149.316197929045</v>
      </c>
      <c r="AG1801" s="6">
        <f>$O$1801*$AA$1801</f>
        <v>23431.5316301194</v>
      </c>
    </row>
    <row r="1802" spans="1:33" ht="11.25" customHeight="1" x14ac:dyDescent="0.25">
      <c r="A1802" s="4" t="s">
        <v>27</v>
      </c>
      <c r="B1802" s="4" t="s">
        <v>22</v>
      </c>
      <c r="C1802" s="4" t="s">
        <v>23</v>
      </c>
      <c r="D1802" s="4" t="s">
        <v>24</v>
      </c>
      <c r="E1802" s="4" t="s">
        <v>29</v>
      </c>
      <c r="F1802" s="4" t="s">
        <v>25</v>
      </c>
      <c r="G1802" s="4" t="s">
        <v>25</v>
      </c>
      <c r="H1802" s="4" t="s">
        <v>25</v>
      </c>
      <c r="I1802" s="5">
        <v>43831</v>
      </c>
      <c r="J1802" s="6">
        <v>0</v>
      </c>
      <c r="K1802" s="6">
        <v>0</v>
      </c>
      <c r="L1802" s="6">
        <v>0.21</v>
      </c>
      <c r="M1802" s="6">
        <v>0.21</v>
      </c>
      <c r="N1802" s="6">
        <v>0.21</v>
      </c>
      <c r="O1802" s="6">
        <v>0.21</v>
      </c>
      <c r="P1802" s="6">
        <v>1</v>
      </c>
      <c r="Q1802" s="4" t="s">
        <v>26</v>
      </c>
      <c r="R1802" s="4">
        <v>0</v>
      </c>
      <c r="S1802" s="6">
        <v>0</v>
      </c>
      <c r="T1802" s="6">
        <v>46</v>
      </c>
      <c r="U1802" s="6">
        <v>89</v>
      </c>
      <c r="V1802" s="6">
        <f>IF(ISERROR(VLOOKUP($S$1802,'TAR FIN'!$A$1:$O$120,15,0)),0,VLOOKUP($S$1802,'TAR FIN'!$A$1:$O$120,15,0))</f>
        <v>0</v>
      </c>
      <c r="W1802" s="6">
        <f>IF(ISERROR(VLOOKUP($T$1802,'TAR FIN'!$A$1:$O$120,15,0)),0,VLOOKUP($T$1802,'TAR FIN'!$A$1:$O$120,15,0))</f>
        <v>64.09</v>
      </c>
      <c r="X1802" s="6">
        <f>IF(ISERROR(VLOOKUP($U$1802,'TAR FIN'!$A$1:$O$120,15,0)),0,VLOOKUP($U$1802,'TAR FIN'!$A$1:$O$120,15,0))</f>
        <v>94.82</v>
      </c>
      <c r="Y1802" s="6"/>
      <c r="Z1802" s="6">
        <f ca="1">('TUSD BE'!$AM$56+'TUSD BF'!$AM$56+'TUSD CVA'!$AM$56-('TUSD BE'!$P$56+'TUSD BF'!$P$56+'TUSD CVA'!$P$56)-('TUSD BE'!$Q$56+'TUSD BF'!$Q$56+'TUSD CVA'!$Q$56)-('TUSD BE'!$R$56+'TUSD BF'!$R$56+'TUSD CVA'!$R$56))*(1-CUSTOS!$M$34)</f>
        <v>69.479758346682061</v>
      </c>
      <c r="AA1802" s="6">
        <f>('TE BE'!$AA$20+'TE BF'!$AA$20+'TE CVA'!$AA$20)*(1-CUSTOS!$M$34)</f>
        <v>85.01698643053372</v>
      </c>
      <c r="AB1802" s="6">
        <f>$K$1802*$V$1802</f>
        <v>0</v>
      </c>
      <c r="AC1802" s="6">
        <f>$M$1802*$W$1802</f>
        <v>13.4589</v>
      </c>
      <c r="AD1802" s="6">
        <f>$O$1802*$X$1802</f>
        <v>19.912199999999999</v>
      </c>
      <c r="AE1802" s="6">
        <f>$K$1802*$Y$1802</f>
        <v>0</v>
      </c>
      <c r="AF1802" s="6">
        <f ca="1">$M$1802*$Z$1802</f>
        <v>14.590749252803231</v>
      </c>
      <c r="AG1802" s="6">
        <f>$O$1802*$AA$1802</f>
        <v>17.853567150412079</v>
      </c>
    </row>
    <row r="1803" spans="1:33" ht="11.25" customHeight="1" x14ac:dyDescent="0.25">
      <c r="A1803" s="4" t="s">
        <v>21</v>
      </c>
      <c r="B1803" s="4" t="s">
        <v>22</v>
      </c>
      <c r="C1803" s="4" t="s">
        <v>23</v>
      </c>
      <c r="D1803" s="4" t="s">
        <v>24</v>
      </c>
      <c r="E1803" s="4" t="s">
        <v>29</v>
      </c>
      <c r="F1803" s="4" t="s">
        <v>25</v>
      </c>
      <c r="G1803" s="4" t="s">
        <v>25</v>
      </c>
      <c r="H1803" s="4" t="s">
        <v>25</v>
      </c>
      <c r="I1803" s="5">
        <v>43862</v>
      </c>
      <c r="J1803" s="6">
        <v>0</v>
      </c>
      <c r="K1803" s="6">
        <v>0</v>
      </c>
      <c r="L1803" s="6">
        <v>276.45</v>
      </c>
      <c r="M1803" s="6">
        <v>276.45</v>
      </c>
      <c r="N1803" s="6">
        <v>276.45</v>
      </c>
      <c r="O1803" s="6">
        <v>276.45</v>
      </c>
      <c r="P1803" s="6">
        <v>502</v>
      </c>
      <c r="Q1803" s="4" t="s">
        <v>26</v>
      </c>
      <c r="R1803" s="4">
        <v>0</v>
      </c>
      <c r="S1803" s="6">
        <v>0</v>
      </c>
      <c r="T1803" s="6">
        <v>46</v>
      </c>
      <c r="U1803" s="6">
        <v>89</v>
      </c>
      <c r="V1803" s="6">
        <f>IF(ISERROR(VLOOKUP($S$1803,'TAR FIN'!$A$1:$O$120,15,0)),0,VLOOKUP($S$1803,'TAR FIN'!$A$1:$O$120,15,0))</f>
        <v>0</v>
      </c>
      <c r="W1803" s="6">
        <f>IF(ISERROR(VLOOKUP($T$1803,'TAR FIN'!$A$1:$O$120,15,0)),0,VLOOKUP($T$1803,'TAR FIN'!$A$1:$O$120,15,0))</f>
        <v>64.09</v>
      </c>
      <c r="X1803" s="6">
        <f>IF(ISERROR(VLOOKUP($U$1803,'TAR FIN'!$A$1:$O$120,15,0)),0,VLOOKUP($U$1803,'TAR FIN'!$A$1:$O$120,15,0))</f>
        <v>94.82</v>
      </c>
      <c r="Y1803" s="6"/>
      <c r="Z1803" s="6">
        <f ca="1">('TUSD BE'!$AM$56+'TUSD BF'!$AM$56+'TUSD CVA'!$AM$56-('TUSD BE'!$P$56+'TUSD BF'!$P$56+'TUSD CVA'!$P$56)-('TUSD BE'!$Q$56+'TUSD BF'!$Q$56+'TUSD CVA'!$Q$56)-('TUSD BE'!$R$56+'TUSD BF'!$R$56+'TUSD CVA'!$R$56))*(1-CUSTOS!$M$34)</f>
        <v>69.479758346682061</v>
      </c>
      <c r="AA1803" s="6">
        <f>('TE BE'!$AA$20+'TE BF'!$AA$20+'TE CVA'!$AA$20)*(1-CUSTOS!$M$34)</f>
        <v>85.01698643053372</v>
      </c>
      <c r="AB1803" s="6">
        <f>$K$1803*$V$1803</f>
        <v>0</v>
      </c>
      <c r="AC1803" s="6">
        <f>$M$1803*$W$1803</f>
        <v>17717.680499999999</v>
      </c>
      <c r="AD1803" s="6">
        <f>$O$1803*$X$1803</f>
        <v>26212.988999999998</v>
      </c>
      <c r="AE1803" s="6">
        <f>$K$1803*$Y$1803</f>
        <v>0</v>
      </c>
      <c r="AF1803" s="6">
        <f ca="1">$M$1803*$Z$1803</f>
        <v>19207.679194940254</v>
      </c>
      <c r="AG1803" s="6">
        <f>$O$1803*$AA$1803</f>
        <v>23502.945898721046</v>
      </c>
    </row>
    <row r="1804" spans="1:33" ht="11.25" customHeight="1" x14ac:dyDescent="0.25">
      <c r="A1804" s="4" t="s">
        <v>21</v>
      </c>
      <c r="B1804" s="4" t="s">
        <v>22</v>
      </c>
      <c r="C1804" s="4" t="s">
        <v>23</v>
      </c>
      <c r="D1804" s="4" t="s">
        <v>24</v>
      </c>
      <c r="E1804" s="4" t="s">
        <v>29</v>
      </c>
      <c r="F1804" s="4" t="s">
        <v>25</v>
      </c>
      <c r="G1804" s="4" t="s">
        <v>25</v>
      </c>
      <c r="H1804" s="4" t="s">
        <v>25</v>
      </c>
      <c r="I1804" s="5">
        <v>43891</v>
      </c>
      <c r="J1804" s="6">
        <v>0</v>
      </c>
      <c r="K1804" s="6">
        <v>0</v>
      </c>
      <c r="L1804" s="6">
        <v>256.35000000000002</v>
      </c>
      <c r="M1804" s="6">
        <v>256.35000000000002</v>
      </c>
      <c r="N1804" s="6">
        <v>256.35000000000002</v>
      </c>
      <c r="O1804" s="6">
        <v>256.35000000000002</v>
      </c>
      <c r="P1804" s="6">
        <v>411</v>
      </c>
      <c r="Q1804" s="4" t="s">
        <v>26</v>
      </c>
      <c r="R1804" s="4">
        <v>0</v>
      </c>
      <c r="S1804" s="6">
        <v>0</v>
      </c>
      <c r="T1804" s="6">
        <v>46</v>
      </c>
      <c r="U1804" s="6">
        <v>89</v>
      </c>
      <c r="V1804" s="6">
        <f>IF(ISERROR(VLOOKUP($S$1804,'TAR FIN'!$A$1:$O$120,15,0)),0,VLOOKUP($S$1804,'TAR FIN'!$A$1:$O$120,15,0))</f>
        <v>0</v>
      </c>
      <c r="W1804" s="6">
        <f>IF(ISERROR(VLOOKUP($T$1804,'TAR FIN'!$A$1:$O$120,15,0)),0,VLOOKUP($T$1804,'TAR FIN'!$A$1:$O$120,15,0))</f>
        <v>64.09</v>
      </c>
      <c r="X1804" s="6">
        <f>IF(ISERROR(VLOOKUP($U$1804,'TAR FIN'!$A$1:$O$120,15,0)),0,VLOOKUP($U$1804,'TAR FIN'!$A$1:$O$120,15,0))</f>
        <v>94.82</v>
      </c>
      <c r="Y1804" s="6"/>
      <c r="Z1804" s="6">
        <f ca="1">('TUSD BE'!$AM$56+'TUSD BF'!$AM$56+'TUSD CVA'!$AM$56-('TUSD BE'!$P$56+'TUSD BF'!$P$56+'TUSD CVA'!$P$56)-('TUSD BE'!$Q$56+'TUSD BF'!$Q$56+'TUSD CVA'!$Q$56)-('TUSD BE'!$R$56+'TUSD BF'!$R$56+'TUSD CVA'!$R$56))*(1-CUSTOS!$M$34)</f>
        <v>69.479758346682061</v>
      </c>
      <c r="AA1804" s="6">
        <f>('TE BE'!$AA$20+'TE BF'!$AA$20+'TE CVA'!$AA$20)*(1-CUSTOS!$M$34)</f>
        <v>85.01698643053372</v>
      </c>
      <c r="AB1804" s="6">
        <f>$K$1804*$V$1804</f>
        <v>0</v>
      </c>
      <c r="AC1804" s="6">
        <f>$M$1804*$W$1804</f>
        <v>16429.471500000003</v>
      </c>
      <c r="AD1804" s="6">
        <f>$O$1804*$X$1804</f>
        <v>24307.107</v>
      </c>
      <c r="AE1804" s="6">
        <f>$K$1804*$Y$1804</f>
        <v>0</v>
      </c>
      <c r="AF1804" s="6">
        <f ca="1">$M$1804*$Z$1804</f>
        <v>17811.136052171947</v>
      </c>
      <c r="AG1804" s="6">
        <f>$O$1804*$AA$1804</f>
        <v>21794.104471467323</v>
      </c>
    </row>
    <row r="1805" spans="1:33" ht="11.25" customHeight="1" x14ac:dyDescent="0.25">
      <c r="A1805" s="4" t="s">
        <v>27</v>
      </c>
      <c r="B1805" s="4" t="s">
        <v>22</v>
      </c>
      <c r="C1805" s="4" t="s">
        <v>23</v>
      </c>
      <c r="D1805" s="4" t="s">
        <v>24</v>
      </c>
      <c r="E1805" s="4" t="s">
        <v>29</v>
      </c>
      <c r="F1805" s="4" t="s">
        <v>25</v>
      </c>
      <c r="G1805" s="4" t="s">
        <v>25</v>
      </c>
      <c r="H1805" s="4" t="s">
        <v>25</v>
      </c>
      <c r="I1805" s="5">
        <v>43891</v>
      </c>
      <c r="J1805" s="6">
        <v>0</v>
      </c>
      <c r="K1805" s="6">
        <v>0</v>
      </c>
      <c r="L1805" s="6">
        <v>0.24</v>
      </c>
      <c r="M1805" s="6">
        <v>0.24</v>
      </c>
      <c r="N1805" s="6">
        <v>0.24</v>
      </c>
      <c r="O1805" s="6">
        <v>0.24</v>
      </c>
      <c r="P1805" s="6">
        <v>0</v>
      </c>
      <c r="Q1805" s="4" t="s">
        <v>26</v>
      </c>
      <c r="R1805" s="4">
        <v>0</v>
      </c>
      <c r="S1805" s="6">
        <v>0</v>
      </c>
      <c r="T1805" s="6">
        <v>46</v>
      </c>
      <c r="U1805" s="6">
        <v>89</v>
      </c>
      <c r="V1805" s="6">
        <f>IF(ISERROR(VLOOKUP($S$1805,'TAR FIN'!$A$1:$O$120,15,0)),0,VLOOKUP($S$1805,'TAR FIN'!$A$1:$O$120,15,0))</f>
        <v>0</v>
      </c>
      <c r="W1805" s="6">
        <f>IF(ISERROR(VLOOKUP($T$1805,'TAR FIN'!$A$1:$O$120,15,0)),0,VLOOKUP($T$1805,'TAR FIN'!$A$1:$O$120,15,0))</f>
        <v>64.09</v>
      </c>
      <c r="X1805" s="6">
        <f>IF(ISERROR(VLOOKUP($U$1805,'TAR FIN'!$A$1:$O$120,15,0)),0,VLOOKUP($U$1805,'TAR FIN'!$A$1:$O$120,15,0))</f>
        <v>94.82</v>
      </c>
      <c r="Y1805" s="6"/>
      <c r="Z1805" s="6">
        <f ca="1">('TUSD BE'!$AM$56+'TUSD BF'!$AM$56+'TUSD CVA'!$AM$56-('TUSD BE'!$P$56+'TUSD BF'!$P$56+'TUSD CVA'!$P$56)-('TUSD BE'!$Q$56+'TUSD BF'!$Q$56+'TUSD CVA'!$Q$56)-('TUSD BE'!$R$56+'TUSD BF'!$R$56+'TUSD CVA'!$R$56))*(1-CUSTOS!$M$34)</f>
        <v>69.479758346682061</v>
      </c>
      <c r="AA1805" s="6">
        <f>('TE BE'!$AA$20+'TE BF'!$AA$20+'TE CVA'!$AA$20)*(1-CUSTOS!$M$34)</f>
        <v>85.01698643053372</v>
      </c>
      <c r="AB1805" s="6">
        <f>$K$1805*$V$1805</f>
        <v>0</v>
      </c>
      <c r="AC1805" s="6">
        <f>$M$1805*$W$1805</f>
        <v>15.381600000000001</v>
      </c>
      <c r="AD1805" s="6">
        <f>$O$1805*$X$1805</f>
        <v>22.756799999999998</v>
      </c>
      <c r="AE1805" s="6">
        <f>$K$1805*$Y$1805</f>
        <v>0</v>
      </c>
      <c r="AF1805" s="6">
        <f ca="1">$M$1805*$Z$1805</f>
        <v>16.675142003203693</v>
      </c>
      <c r="AG1805" s="6">
        <f>$O$1805*$AA$1805</f>
        <v>20.404076743328091</v>
      </c>
    </row>
    <row r="1806" spans="1:33" ht="11.25" customHeight="1" x14ac:dyDescent="0.25">
      <c r="A1806" s="4" t="s">
        <v>21</v>
      </c>
      <c r="B1806" s="4" t="s">
        <v>22</v>
      </c>
      <c r="C1806" s="4" t="s">
        <v>23</v>
      </c>
      <c r="D1806" s="4" t="s">
        <v>24</v>
      </c>
      <c r="E1806" s="4" t="s">
        <v>29</v>
      </c>
      <c r="F1806" s="4" t="s">
        <v>25</v>
      </c>
      <c r="G1806" s="4" t="s">
        <v>25</v>
      </c>
      <c r="H1806" s="4" t="s">
        <v>25</v>
      </c>
      <c r="I1806" s="5">
        <v>43922</v>
      </c>
      <c r="J1806" s="6">
        <v>0</v>
      </c>
      <c r="K1806" s="6">
        <v>0</v>
      </c>
      <c r="L1806" s="6">
        <v>251.94</v>
      </c>
      <c r="M1806" s="6">
        <v>251.94</v>
      </c>
      <c r="N1806" s="6">
        <v>251.94</v>
      </c>
      <c r="O1806" s="6">
        <v>251.94</v>
      </c>
      <c r="P1806" s="6">
        <v>324</v>
      </c>
      <c r="Q1806" s="4" t="s">
        <v>26</v>
      </c>
      <c r="R1806" s="4">
        <v>0</v>
      </c>
      <c r="S1806" s="6">
        <v>0</v>
      </c>
      <c r="T1806" s="6">
        <v>46</v>
      </c>
      <c r="U1806" s="6">
        <v>89</v>
      </c>
      <c r="V1806" s="6">
        <f>IF(ISERROR(VLOOKUP($S$1806,'TAR FIN'!$A$1:$O$120,15,0)),0,VLOOKUP($S$1806,'TAR FIN'!$A$1:$O$120,15,0))</f>
        <v>0</v>
      </c>
      <c r="W1806" s="6">
        <f>IF(ISERROR(VLOOKUP($T$1806,'TAR FIN'!$A$1:$O$120,15,0)),0,VLOOKUP($T$1806,'TAR FIN'!$A$1:$O$120,15,0))</f>
        <v>64.09</v>
      </c>
      <c r="X1806" s="6">
        <f>IF(ISERROR(VLOOKUP($U$1806,'TAR FIN'!$A$1:$O$120,15,0)),0,VLOOKUP($U$1806,'TAR FIN'!$A$1:$O$120,15,0))</f>
        <v>94.82</v>
      </c>
      <c r="Y1806" s="6"/>
      <c r="Z1806" s="6">
        <f ca="1">('TUSD BE'!$AM$56+'TUSD BF'!$AM$56+'TUSD CVA'!$AM$56-('TUSD BE'!$P$56+'TUSD BF'!$P$56+'TUSD CVA'!$P$56)-('TUSD BE'!$Q$56+'TUSD BF'!$Q$56+'TUSD CVA'!$Q$56)-('TUSD BE'!$R$56+'TUSD BF'!$R$56+'TUSD CVA'!$R$56))*(1-CUSTOS!$M$34)</f>
        <v>69.479758346682061</v>
      </c>
      <c r="AA1806" s="6">
        <f>('TE BE'!$AA$20+'TE BF'!$AA$20+'TE CVA'!$AA$20)*(1-CUSTOS!$M$34)</f>
        <v>85.01698643053372</v>
      </c>
      <c r="AB1806" s="6">
        <f>$K$1806*$V$1806</f>
        <v>0</v>
      </c>
      <c r="AC1806" s="6">
        <f>$M$1806*$W$1806</f>
        <v>16146.8346</v>
      </c>
      <c r="AD1806" s="6">
        <f>$O$1806*$X$1806</f>
        <v>23888.950799999999</v>
      </c>
      <c r="AE1806" s="6">
        <f>$K$1806*$Y$1806</f>
        <v>0</v>
      </c>
      <c r="AF1806" s="6">
        <f ca="1">$M$1806*$Z$1806</f>
        <v>17504.730317863079</v>
      </c>
      <c r="AG1806" s="6">
        <f>$O$1806*$AA$1806</f>
        <v>21419.179561308665</v>
      </c>
    </row>
    <row r="1807" spans="1:33" ht="11.25" customHeight="1" x14ac:dyDescent="0.25">
      <c r="A1807" s="4" t="s">
        <v>27</v>
      </c>
      <c r="B1807" s="4" t="s">
        <v>22</v>
      </c>
      <c r="C1807" s="4" t="s">
        <v>23</v>
      </c>
      <c r="D1807" s="4" t="s">
        <v>24</v>
      </c>
      <c r="E1807" s="4" t="s">
        <v>29</v>
      </c>
      <c r="F1807" s="4" t="s">
        <v>25</v>
      </c>
      <c r="G1807" s="4" t="s">
        <v>25</v>
      </c>
      <c r="H1807" s="4" t="s">
        <v>25</v>
      </c>
      <c r="I1807" s="5">
        <v>43922</v>
      </c>
      <c r="J1807" s="6">
        <v>0</v>
      </c>
      <c r="K1807" s="6">
        <v>0</v>
      </c>
      <c r="L1807" s="6">
        <v>0.96</v>
      </c>
      <c r="M1807" s="6">
        <v>0.96</v>
      </c>
      <c r="N1807" s="6">
        <v>0.96</v>
      </c>
      <c r="O1807" s="6">
        <v>0.96</v>
      </c>
      <c r="P1807" s="6">
        <v>0</v>
      </c>
      <c r="Q1807" s="4" t="s">
        <v>26</v>
      </c>
      <c r="R1807" s="4">
        <v>0</v>
      </c>
      <c r="S1807" s="6">
        <v>0</v>
      </c>
      <c r="T1807" s="6">
        <v>46</v>
      </c>
      <c r="U1807" s="6">
        <v>89</v>
      </c>
      <c r="V1807" s="6">
        <f>IF(ISERROR(VLOOKUP($S$1807,'TAR FIN'!$A$1:$O$120,15,0)),0,VLOOKUP($S$1807,'TAR FIN'!$A$1:$O$120,15,0))</f>
        <v>0</v>
      </c>
      <c r="W1807" s="6">
        <f>IF(ISERROR(VLOOKUP($T$1807,'TAR FIN'!$A$1:$O$120,15,0)),0,VLOOKUP($T$1807,'TAR FIN'!$A$1:$O$120,15,0))</f>
        <v>64.09</v>
      </c>
      <c r="X1807" s="6">
        <f>IF(ISERROR(VLOOKUP($U$1807,'TAR FIN'!$A$1:$O$120,15,0)),0,VLOOKUP($U$1807,'TAR FIN'!$A$1:$O$120,15,0))</f>
        <v>94.82</v>
      </c>
      <c r="Y1807" s="6"/>
      <c r="Z1807" s="6">
        <f ca="1">('TUSD BE'!$AM$56+'TUSD BF'!$AM$56+'TUSD CVA'!$AM$56-('TUSD BE'!$P$56+'TUSD BF'!$P$56+'TUSD CVA'!$P$56)-('TUSD BE'!$Q$56+'TUSD BF'!$Q$56+'TUSD CVA'!$Q$56)-('TUSD BE'!$R$56+'TUSD BF'!$R$56+'TUSD CVA'!$R$56))*(1-CUSTOS!$M$34)</f>
        <v>69.479758346682061</v>
      </c>
      <c r="AA1807" s="6">
        <f>('TE BE'!$AA$20+'TE BF'!$AA$20+'TE CVA'!$AA$20)*(1-CUSTOS!$M$34)</f>
        <v>85.01698643053372</v>
      </c>
      <c r="AB1807" s="6">
        <f>$K$1807*$V$1807</f>
        <v>0</v>
      </c>
      <c r="AC1807" s="6">
        <f>$M$1807*$W$1807</f>
        <v>61.526400000000002</v>
      </c>
      <c r="AD1807" s="6">
        <f>$O$1807*$X$1807</f>
        <v>91.027199999999993</v>
      </c>
      <c r="AE1807" s="6">
        <f>$K$1807*$Y$1807</f>
        <v>0</v>
      </c>
      <c r="AF1807" s="6">
        <f ca="1">$M$1807*$Z$1807</f>
        <v>66.70056801281477</v>
      </c>
      <c r="AG1807" s="6">
        <f>$O$1807*$AA$1807</f>
        <v>81.616306973312362</v>
      </c>
    </row>
    <row r="1808" spans="1:33" ht="11.25" customHeight="1" x14ac:dyDescent="0.25">
      <c r="A1808" s="4" t="s">
        <v>21</v>
      </c>
      <c r="B1808" s="4" t="s">
        <v>22</v>
      </c>
      <c r="C1808" s="4" t="s">
        <v>23</v>
      </c>
      <c r="D1808" s="4" t="s">
        <v>24</v>
      </c>
      <c r="E1808" s="4" t="s">
        <v>29</v>
      </c>
      <c r="F1808" s="4" t="s">
        <v>25</v>
      </c>
      <c r="G1808" s="4" t="s">
        <v>25</v>
      </c>
      <c r="H1808" s="4" t="s">
        <v>25</v>
      </c>
      <c r="I1808" s="5">
        <v>43952</v>
      </c>
      <c r="J1808" s="6">
        <v>0</v>
      </c>
      <c r="K1808" s="6">
        <v>0</v>
      </c>
      <c r="L1808" s="6">
        <v>298.23</v>
      </c>
      <c r="M1808" s="6">
        <v>298.23</v>
      </c>
      <c r="N1808" s="6">
        <v>298.23</v>
      </c>
      <c r="O1808" s="6">
        <v>298.23</v>
      </c>
      <c r="P1808" s="6">
        <v>356</v>
      </c>
      <c r="Q1808" s="4" t="s">
        <v>26</v>
      </c>
      <c r="R1808" s="4">
        <v>0</v>
      </c>
      <c r="S1808" s="6">
        <v>0</v>
      </c>
      <c r="T1808" s="6">
        <v>46</v>
      </c>
      <c r="U1808" s="6">
        <v>89</v>
      </c>
      <c r="V1808" s="6">
        <f>IF(ISERROR(VLOOKUP($S$1808,'TAR FIN'!$A$1:$O$120,15,0)),0,VLOOKUP($S$1808,'TAR FIN'!$A$1:$O$120,15,0))</f>
        <v>0</v>
      </c>
      <c r="W1808" s="6">
        <f>IF(ISERROR(VLOOKUP($T$1808,'TAR FIN'!$A$1:$O$120,15,0)),0,VLOOKUP($T$1808,'TAR FIN'!$A$1:$O$120,15,0))</f>
        <v>64.09</v>
      </c>
      <c r="X1808" s="6">
        <f>IF(ISERROR(VLOOKUP($U$1808,'TAR FIN'!$A$1:$O$120,15,0)),0,VLOOKUP($U$1808,'TAR FIN'!$A$1:$O$120,15,0))</f>
        <v>94.82</v>
      </c>
      <c r="Y1808" s="6"/>
      <c r="Z1808" s="6">
        <f ca="1">('TUSD BE'!$AM$56+'TUSD BF'!$AM$56+'TUSD CVA'!$AM$56-('TUSD BE'!$P$56+'TUSD BF'!$P$56+'TUSD CVA'!$P$56)-('TUSD BE'!$Q$56+'TUSD BF'!$Q$56+'TUSD CVA'!$Q$56)-('TUSD BE'!$R$56+'TUSD BF'!$R$56+'TUSD CVA'!$R$56))*(1-CUSTOS!$M$34)</f>
        <v>69.479758346682061</v>
      </c>
      <c r="AA1808" s="6">
        <f>('TE BE'!$AA$20+'TE BF'!$AA$20+'TE CVA'!$AA$20)*(1-CUSTOS!$M$34)</f>
        <v>85.01698643053372</v>
      </c>
      <c r="AB1808" s="6">
        <f>$K$1808*$V$1808</f>
        <v>0</v>
      </c>
      <c r="AC1808" s="6">
        <f>$M$1808*$W$1808</f>
        <v>19113.560700000002</v>
      </c>
      <c r="AD1808" s="6">
        <f>$O$1808*$X$1808</f>
        <v>28278.168600000001</v>
      </c>
      <c r="AE1808" s="6">
        <f>$K$1808*$Y$1808</f>
        <v>0</v>
      </c>
      <c r="AF1808" s="6">
        <f ca="1">$M$1808*$Z$1808</f>
        <v>20720.948331730993</v>
      </c>
      <c r="AG1808" s="6">
        <f>$O$1808*$AA$1808</f>
        <v>25354.615863178075</v>
      </c>
    </row>
    <row r="1809" spans="1:33" ht="11.25" customHeight="1" x14ac:dyDescent="0.25">
      <c r="A1809" s="4" t="s">
        <v>27</v>
      </c>
      <c r="B1809" s="4" t="s">
        <v>22</v>
      </c>
      <c r="C1809" s="4" t="s">
        <v>23</v>
      </c>
      <c r="D1809" s="4" t="s">
        <v>24</v>
      </c>
      <c r="E1809" s="4" t="s">
        <v>29</v>
      </c>
      <c r="F1809" s="4" t="s">
        <v>25</v>
      </c>
      <c r="G1809" s="4" t="s">
        <v>25</v>
      </c>
      <c r="H1809" s="4" t="s">
        <v>25</v>
      </c>
      <c r="I1809" s="5">
        <v>43952</v>
      </c>
      <c r="J1809" s="6">
        <v>0</v>
      </c>
      <c r="K1809" s="6">
        <v>0</v>
      </c>
      <c r="L1809" s="6">
        <v>2.46</v>
      </c>
      <c r="M1809" s="6">
        <v>2.46</v>
      </c>
      <c r="N1809" s="6">
        <v>2.46</v>
      </c>
      <c r="O1809" s="6">
        <v>2.46</v>
      </c>
      <c r="P1809" s="6">
        <v>0</v>
      </c>
      <c r="Q1809" s="4" t="s">
        <v>26</v>
      </c>
      <c r="R1809" s="4">
        <v>0</v>
      </c>
      <c r="S1809" s="6">
        <v>0</v>
      </c>
      <c r="T1809" s="6">
        <v>46</v>
      </c>
      <c r="U1809" s="6">
        <v>89</v>
      </c>
      <c r="V1809" s="6">
        <f>IF(ISERROR(VLOOKUP($S$1809,'TAR FIN'!$A$1:$O$120,15,0)),0,VLOOKUP($S$1809,'TAR FIN'!$A$1:$O$120,15,0))</f>
        <v>0</v>
      </c>
      <c r="W1809" s="6">
        <f>IF(ISERROR(VLOOKUP($T$1809,'TAR FIN'!$A$1:$O$120,15,0)),0,VLOOKUP($T$1809,'TAR FIN'!$A$1:$O$120,15,0))</f>
        <v>64.09</v>
      </c>
      <c r="X1809" s="6">
        <f>IF(ISERROR(VLOOKUP($U$1809,'TAR FIN'!$A$1:$O$120,15,0)),0,VLOOKUP($U$1809,'TAR FIN'!$A$1:$O$120,15,0))</f>
        <v>94.82</v>
      </c>
      <c r="Y1809" s="6"/>
      <c r="Z1809" s="6">
        <f ca="1">('TUSD BE'!$AM$56+'TUSD BF'!$AM$56+'TUSD CVA'!$AM$56-('TUSD BE'!$P$56+'TUSD BF'!$P$56+'TUSD CVA'!$P$56)-('TUSD BE'!$Q$56+'TUSD BF'!$Q$56+'TUSD CVA'!$Q$56)-('TUSD BE'!$R$56+'TUSD BF'!$R$56+'TUSD CVA'!$R$56))*(1-CUSTOS!$M$34)</f>
        <v>69.479758346682061</v>
      </c>
      <c r="AA1809" s="6">
        <f>('TE BE'!$AA$20+'TE BF'!$AA$20+'TE CVA'!$AA$20)*(1-CUSTOS!$M$34)</f>
        <v>85.01698643053372</v>
      </c>
      <c r="AB1809" s="6">
        <f>$K$1809*$V$1809</f>
        <v>0</v>
      </c>
      <c r="AC1809" s="6">
        <f>$M$1809*$W$1809</f>
        <v>157.66140000000001</v>
      </c>
      <c r="AD1809" s="6">
        <f>$O$1809*$X$1809</f>
        <v>233.25719999999998</v>
      </c>
      <c r="AE1809" s="6">
        <f>$K$1809*$Y$1809</f>
        <v>0</v>
      </c>
      <c r="AF1809" s="6">
        <f ca="1">$M$1809*$Z$1809</f>
        <v>170.92020553283785</v>
      </c>
      <c r="AG1809" s="6">
        <f>$O$1809*$AA$1809</f>
        <v>209.14178661911293</v>
      </c>
    </row>
    <row r="1810" spans="1:33" ht="11.25" customHeight="1" x14ac:dyDescent="0.25">
      <c r="A1810" s="4" t="s">
        <v>21</v>
      </c>
      <c r="B1810" s="4" t="s">
        <v>22</v>
      </c>
      <c r="C1810" s="4" t="s">
        <v>23</v>
      </c>
      <c r="D1810" s="4" t="s">
        <v>24</v>
      </c>
      <c r="E1810" s="4" t="s">
        <v>29</v>
      </c>
      <c r="F1810" s="4" t="s">
        <v>25</v>
      </c>
      <c r="G1810" s="4" t="s">
        <v>25</v>
      </c>
      <c r="H1810" s="4" t="s">
        <v>25</v>
      </c>
      <c r="I1810" s="5">
        <v>43983</v>
      </c>
      <c r="J1810" s="6">
        <v>0</v>
      </c>
      <c r="K1810" s="6">
        <v>0</v>
      </c>
      <c r="L1810" s="6">
        <v>324.12</v>
      </c>
      <c r="M1810" s="6">
        <v>324.12</v>
      </c>
      <c r="N1810" s="6">
        <v>324.12</v>
      </c>
      <c r="O1810" s="6">
        <v>324.12</v>
      </c>
      <c r="P1810" s="6">
        <v>347</v>
      </c>
      <c r="Q1810" s="4" t="s">
        <v>26</v>
      </c>
      <c r="R1810" s="4">
        <v>0</v>
      </c>
      <c r="S1810" s="6">
        <v>0</v>
      </c>
      <c r="T1810" s="6">
        <v>46</v>
      </c>
      <c r="U1810" s="6">
        <v>89</v>
      </c>
      <c r="V1810" s="6">
        <f>IF(ISERROR(VLOOKUP($S$1810,'TAR FIN'!$A$1:$O$120,15,0)),0,VLOOKUP($S$1810,'TAR FIN'!$A$1:$O$120,15,0))</f>
        <v>0</v>
      </c>
      <c r="W1810" s="6">
        <f>IF(ISERROR(VLOOKUP($T$1810,'TAR FIN'!$A$1:$O$120,15,0)),0,VLOOKUP($T$1810,'TAR FIN'!$A$1:$O$120,15,0))</f>
        <v>64.09</v>
      </c>
      <c r="X1810" s="6">
        <f>IF(ISERROR(VLOOKUP($U$1810,'TAR FIN'!$A$1:$O$120,15,0)),0,VLOOKUP($U$1810,'TAR FIN'!$A$1:$O$120,15,0))</f>
        <v>94.82</v>
      </c>
      <c r="Y1810" s="6"/>
      <c r="Z1810" s="6">
        <f ca="1">('TUSD BE'!$AM$56+'TUSD BF'!$AM$56+'TUSD CVA'!$AM$56-('TUSD BE'!$P$56+'TUSD BF'!$P$56+'TUSD CVA'!$P$56)-('TUSD BE'!$Q$56+'TUSD BF'!$Q$56+'TUSD CVA'!$Q$56)-('TUSD BE'!$R$56+'TUSD BF'!$R$56+'TUSD CVA'!$R$56))*(1-CUSTOS!$M$34)</f>
        <v>69.479758346682061</v>
      </c>
      <c r="AA1810" s="6">
        <f>('TE BE'!$AA$20+'TE BF'!$AA$20+'TE CVA'!$AA$20)*(1-CUSTOS!$M$34)</f>
        <v>85.01698643053372</v>
      </c>
      <c r="AB1810" s="6">
        <f>$K$1810*$V$1810</f>
        <v>0</v>
      </c>
      <c r="AC1810" s="6">
        <f>$M$1810*$W$1810</f>
        <v>20772.8508</v>
      </c>
      <c r="AD1810" s="6">
        <f>$O$1810*$X$1810</f>
        <v>30733.058399999998</v>
      </c>
      <c r="AE1810" s="6">
        <f>$K$1810*$Y$1810</f>
        <v>0</v>
      </c>
      <c r="AF1810" s="6">
        <f ca="1">$M$1810*$Z$1810</f>
        <v>22519.779275326589</v>
      </c>
      <c r="AG1810" s="6">
        <f>$O$1810*$AA$1810</f>
        <v>27555.705641864588</v>
      </c>
    </row>
    <row r="1811" spans="1:33" ht="11.25" customHeight="1" x14ac:dyDescent="0.25">
      <c r="A1811" s="4" t="s">
        <v>27</v>
      </c>
      <c r="B1811" s="4" t="s">
        <v>22</v>
      </c>
      <c r="C1811" s="4" t="s">
        <v>23</v>
      </c>
      <c r="D1811" s="4" t="s">
        <v>24</v>
      </c>
      <c r="E1811" s="4" t="s">
        <v>29</v>
      </c>
      <c r="F1811" s="4" t="s">
        <v>25</v>
      </c>
      <c r="G1811" s="4" t="s">
        <v>25</v>
      </c>
      <c r="H1811" s="4" t="s">
        <v>25</v>
      </c>
      <c r="I1811" s="5">
        <v>43983</v>
      </c>
      <c r="J1811" s="6">
        <v>0</v>
      </c>
      <c r="K1811" s="6">
        <v>0</v>
      </c>
      <c r="L1811" s="6">
        <v>0.21</v>
      </c>
      <c r="M1811" s="6">
        <v>0.21</v>
      </c>
      <c r="N1811" s="6">
        <v>0.21</v>
      </c>
      <c r="O1811" s="6">
        <v>0.21</v>
      </c>
      <c r="P1811" s="6">
        <v>0</v>
      </c>
      <c r="Q1811" s="4" t="s">
        <v>26</v>
      </c>
      <c r="R1811" s="4">
        <v>0</v>
      </c>
      <c r="S1811" s="6">
        <v>0</v>
      </c>
      <c r="T1811" s="6">
        <v>46</v>
      </c>
      <c r="U1811" s="6">
        <v>89</v>
      </c>
      <c r="V1811" s="6">
        <f>IF(ISERROR(VLOOKUP($S$1811,'TAR FIN'!$A$1:$O$120,15,0)),0,VLOOKUP($S$1811,'TAR FIN'!$A$1:$O$120,15,0))</f>
        <v>0</v>
      </c>
      <c r="W1811" s="6">
        <f>IF(ISERROR(VLOOKUP($T$1811,'TAR FIN'!$A$1:$O$120,15,0)),0,VLOOKUP($T$1811,'TAR FIN'!$A$1:$O$120,15,0))</f>
        <v>64.09</v>
      </c>
      <c r="X1811" s="6">
        <f>IF(ISERROR(VLOOKUP($U$1811,'TAR FIN'!$A$1:$O$120,15,0)),0,VLOOKUP($U$1811,'TAR FIN'!$A$1:$O$120,15,0))</f>
        <v>94.82</v>
      </c>
      <c r="Y1811" s="6"/>
      <c r="Z1811" s="6">
        <f ca="1">('TUSD BE'!$AM$56+'TUSD BF'!$AM$56+'TUSD CVA'!$AM$56-('TUSD BE'!$P$56+'TUSD BF'!$P$56+'TUSD CVA'!$P$56)-('TUSD BE'!$Q$56+'TUSD BF'!$Q$56+'TUSD CVA'!$Q$56)-('TUSD BE'!$R$56+'TUSD BF'!$R$56+'TUSD CVA'!$R$56))*(1-CUSTOS!$M$34)</f>
        <v>69.479758346682061</v>
      </c>
      <c r="AA1811" s="6">
        <f>('TE BE'!$AA$20+'TE BF'!$AA$20+'TE CVA'!$AA$20)*(1-CUSTOS!$M$34)</f>
        <v>85.01698643053372</v>
      </c>
      <c r="AB1811" s="6">
        <f>$K$1811*$V$1811</f>
        <v>0</v>
      </c>
      <c r="AC1811" s="6">
        <f>$M$1811*$W$1811</f>
        <v>13.4589</v>
      </c>
      <c r="AD1811" s="6">
        <f>$O$1811*$X$1811</f>
        <v>19.912199999999999</v>
      </c>
      <c r="AE1811" s="6">
        <f>$K$1811*$Y$1811</f>
        <v>0</v>
      </c>
      <c r="AF1811" s="6">
        <f ca="1">$M$1811*$Z$1811</f>
        <v>14.590749252803231</v>
      </c>
      <c r="AG1811" s="6">
        <f>$O$1811*$AA$1811</f>
        <v>17.853567150412079</v>
      </c>
    </row>
    <row r="1812" spans="1:33" ht="11.25" customHeight="1" x14ac:dyDescent="0.25">
      <c r="A1812" s="4" t="s">
        <v>21</v>
      </c>
      <c r="B1812" s="4" t="s">
        <v>22</v>
      </c>
      <c r="C1812" s="4" t="s">
        <v>23</v>
      </c>
      <c r="D1812" s="4" t="s">
        <v>24</v>
      </c>
      <c r="E1812" s="4" t="s">
        <v>29</v>
      </c>
      <c r="F1812" s="4" t="s">
        <v>25</v>
      </c>
      <c r="G1812" s="4" t="s">
        <v>25</v>
      </c>
      <c r="H1812" s="4" t="s">
        <v>25</v>
      </c>
      <c r="I1812" s="5">
        <v>44013</v>
      </c>
      <c r="J1812" s="6">
        <v>0</v>
      </c>
      <c r="K1812" s="6">
        <v>0</v>
      </c>
      <c r="L1812" s="6">
        <v>336.48</v>
      </c>
      <c r="M1812" s="6">
        <v>336.48</v>
      </c>
      <c r="N1812" s="6">
        <v>336.48</v>
      </c>
      <c r="O1812" s="6">
        <v>336.48</v>
      </c>
      <c r="P1812" s="6">
        <v>335</v>
      </c>
      <c r="Q1812" s="4" t="s">
        <v>26</v>
      </c>
      <c r="R1812" s="4">
        <v>0</v>
      </c>
      <c r="S1812" s="6">
        <v>0</v>
      </c>
      <c r="T1812" s="6">
        <v>46</v>
      </c>
      <c r="U1812" s="6">
        <v>89</v>
      </c>
      <c r="V1812" s="6">
        <f>IF(ISERROR(VLOOKUP($S$1812,'TAR FIN'!$A$1:$O$120,15,0)),0,VLOOKUP($S$1812,'TAR FIN'!$A$1:$O$120,15,0))</f>
        <v>0</v>
      </c>
      <c r="W1812" s="6">
        <f>IF(ISERROR(VLOOKUP($T$1812,'TAR FIN'!$A$1:$O$120,15,0)),0,VLOOKUP($T$1812,'TAR FIN'!$A$1:$O$120,15,0))</f>
        <v>64.09</v>
      </c>
      <c r="X1812" s="6">
        <f>IF(ISERROR(VLOOKUP($U$1812,'TAR FIN'!$A$1:$O$120,15,0)),0,VLOOKUP($U$1812,'TAR FIN'!$A$1:$O$120,15,0))</f>
        <v>94.82</v>
      </c>
      <c r="Y1812" s="6"/>
      <c r="Z1812" s="6">
        <f ca="1">('TUSD BE'!$AM$56+'TUSD BF'!$AM$56+'TUSD CVA'!$AM$56-('TUSD BE'!$P$56+'TUSD BF'!$P$56+'TUSD CVA'!$P$56)-('TUSD BE'!$Q$56+'TUSD BF'!$Q$56+'TUSD CVA'!$Q$56)-('TUSD BE'!$R$56+'TUSD BF'!$R$56+'TUSD CVA'!$R$56))*(1-CUSTOS!$M$34)</f>
        <v>69.479758346682061</v>
      </c>
      <c r="AA1812" s="6">
        <f>('TE BE'!$AA$20+'TE BF'!$AA$20+'TE CVA'!$AA$20)*(1-CUSTOS!$M$34)</f>
        <v>85.01698643053372</v>
      </c>
      <c r="AB1812" s="6">
        <f>$K$1812*$V$1812</f>
        <v>0</v>
      </c>
      <c r="AC1812" s="6">
        <f>$M$1812*$W$1812</f>
        <v>21565.003200000003</v>
      </c>
      <c r="AD1812" s="6">
        <f>$O$1812*$X$1812</f>
        <v>31905.033599999999</v>
      </c>
      <c r="AE1812" s="6">
        <f>$K$1812*$Y$1812</f>
        <v>0</v>
      </c>
      <c r="AF1812" s="6">
        <f ca="1">$M$1812*$Z$1812</f>
        <v>23378.549088491582</v>
      </c>
      <c r="AG1812" s="6">
        <f>$O$1812*$AA$1812</f>
        <v>28606.515594145989</v>
      </c>
    </row>
    <row r="1813" spans="1:33" ht="11.25" customHeight="1" x14ac:dyDescent="0.25">
      <c r="A1813" s="4" t="s">
        <v>27</v>
      </c>
      <c r="B1813" s="4" t="s">
        <v>22</v>
      </c>
      <c r="C1813" s="4" t="s">
        <v>23</v>
      </c>
      <c r="D1813" s="4" t="s">
        <v>24</v>
      </c>
      <c r="E1813" s="4" t="s">
        <v>29</v>
      </c>
      <c r="F1813" s="4" t="s">
        <v>25</v>
      </c>
      <c r="G1813" s="4" t="s">
        <v>25</v>
      </c>
      <c r="H1813" s="4" t="s">
        <v>25</v>
      </c>
      <c r="I1813" s="5">
        <v>44013</v>
      </c>
      <c r="J1813" s="6">
        <v>0</v>
      </c>
      <c r="K1813" s="6">
        <v>0</v>
      </c>
      <c r="L1813" s="6">
        <v>0.12</v>
      </c>
      <c r="M1813" s="6">
        <v>0.12</v>
      </c>
      <c r="N1813" s="6">
        <v>0.12</v>
      </c>
      <c r="O1813" s="6">
        <v>0.12</v>
      </c>
      <c r="P1813" s="6">
        <v>0</v>
      </c>
      <c r="Q1813" s="4" t="s">
        <v>26</v>
      </c>
      <c r="R1813" s="4">
        <v>0</v>
      </c>
      <c r="S1813" s="6">
        <v>0</v>
      </c>
      <c r="T1813" s="6">
        <v>46</v>
      </c>
      <c r="U1813" s="6">
        <v>89</v>
      </c>
      <c r="V1813" s="6">
        <f>IF(ISERROR(VLOOKUP($S$1813,'TAR FIN'!$A$1:$O$120,15,0)),0,VLOOKUP($S$1813,'TAR FIN'!$A$1:$O$120,15,0))</f>
        <v>0</v>
      </c>
      <c r="W1813" s="6">
        <f>IF(ISERROR(VLOOKUP($T$1813,'TAR FIN'!$A$1:$O$120,15,0)),0,VLOOKUP($T$1813,'TAR FIN'!$A$1:$O$120,15,0))</f>
        <v>64.09</v>
      </c>
      <c r="X1813" s="6">
        <f>IF(ISERROR(VLOOKUP($U$1813,'TAR FIN'!$A$1:$O$120,15,0)),0,VLOOKUP($U$1813,'TAR FIN'!$A$1:$O$120,15,0))</f>
        <v>94.82</v>
      </c>
      <c r="Y1813" s="6"/>
      <c r="Z1813" s="6">
        <f ca="1">('TUSD BE'!$AM$56+'TUSD BF'!$AM$56+'TUSD CVA'!$AM$56-('TUSD BE'!$P$56+'TUSD BF'!$P$56+'TUSD CVA'!$P$56)-('TUSD BE'!$Q$56+'TUSD BF'!$Q$56+'TUSD CVA'!$Q$56)-('TUSD BE'!$R$56+'TUSD BF'!$R$56+'TUSD CVA'!$R$56))*(1-CUSTOS!$M$34)</f>
        <v>69.479758346682061</v>
      </c>
      <c r="AA1813" s="6">
        <f>('TE BE'!$AA$20+'TE BF'!$AA$20+'TE CVA'!$AA$20)*(1-CUSTOS!$M$34)</f>
        <v>85.01698643053372</v>
      </c>
      <c r="AB1813" s="6">
        <f>$K$1813*$V$1813</f>
        <v>0</v>
      </c>
      <c r="AC1813" s="6">
        <f>$M$1813*$W$1813</f>
        <v>7.6908000000000003</v>
      </c>
      <c r="AD1813" s="6">
        <f>$O$1813*$X$1813</f>
        <v>11.378399999999999</v>
      </c>
      <c r="AE1813" s="6">
        <f>$K$1813*$Y$1813</f>
        <v>0</v>
      </c>
      <c r="AF1813" s="6">
        <f ca="1">$M$1813*$Z$1813</f>
        <v>8.3375710016018463</v>
      </c>
      <c r="AG1813" s="6">
        <f>$O$1813*$AA$1813</f>
        <v>10.202038371664045</v>
      </c>
    </row>
    <row r="1814" spans="1:33" ht="11.25" customHeight="1" x14ac:dyDescent="0.25">
      <c r="A1814" s="4" t="s">
        <v>21</v>
      </c>
      <c r="B1814" s="4" t="s">
        <v>22</v>
      </c>
      <c r="C1814" s="4" t="s">
        <v>23</v>
      </c>
      <c r="D1814" s="4" t="s">
        <v>24</v>
      </c>
      <c r="E1814" s="4" t="s">
        <v>29</v>
      </c>
      <c r="F1814" s="4" t="s">
        <v>25</v>
      </c>
      <c r="G1814" s="4" t="s">
        <v>25</v>
      </c>
      <c r="H1814" s="4" t="s">
        <v>25</v>
      </c>
      <c r="I1814" s="5">
        <v>44044</v>
      </c>
      <c r="J1814" s="6">
        <v>0</v>
      </c>
      <c r="K1814" s="6">
        <v>0</v>
      </c>
      <c r="L1814" s="6">
        <v>342.18</v>
      </c>
      <c r="M1814" s="6">
        <v>342.18</v>
      </c>
      <c r="N1814" s="6">
        <v>342.18</v>
      </c>
      <c r="O1814" s="6">
        <v>342.18</v>
      </c>
      <c r="P1814" s="6">
        <v>318</v>
      </c>
      <c r="Q1814" s="4" t="s">
        <v>26</v>
      </c>
      <c r="R1814" s="4">
        <v>0</v>
      </c>
      <c r="S1814" s="6">
        <v>0</v>
      </c>
      <c r="T1814" s="6">
        <v>46</v>
      </c>
      <c r="U1814" s="6">
        <v>89</v>
      </c>
      <c r="V1814" s="6">
        <f>IF(ISERROR(VLOOKUP($S$1814,'TAR FIN'!$A$1:$O$120,15,0)),0,VLOOKUP($S$1814,'TAR FIN'!$A$1:$O$120,15,0))</f>
        <v>0</v>
      </c>
      <c r="W1814" s="6">
        <f>IF(ISERROR(VLOOKUP($T$1814,'TAR FIN'!$A$1:$O$120,15,0)),0,VLOOKUP($T$1814,'TAR FIN'!$A$1:$O$120,15,0))</f>
        <v>64.09</v>
      </c>
      <c r="X1814" s="6">
        <f>IF(ISERROR(VLOOKUP($U$1814,'TAR FIN'!$A$1:$O$120,15,0)),0,VLOOKUP($U$1814,'TAR FIN'!$A$1:$O$120,15,0))</f>
        <v>94.82</v>
      </c>
      <c r="Y1814" s="6"/>
      <c r="Z1814" s="6">
        <f ca="1">('TUSD BE'!$AM$56+'TUSD BF'!$AM$56+'TUSD CVA'!$AM$56-('TUSD BE'!$P$56+'TUSD BF'!$P$56+'TUSD CVA'!$P$56)-('TUSD BE'!$Q$56+'TUSD BF'!$Q$56+'TUSD CVA'!$Q$56)-('TUSD BE'!$R$56+'TUSD BF'!$R$56+'TUSD CVA'!$R$56))*(1-CUSTOS!$M$34)</f>
        <v>69.479758346682061</v>
      </c>
      <c r="AA1814" s="6">
        <f>('TE BE'!$AA$20+'TE BF'!$AA$20+'TE CVA'!$AA$20)*(1-CUSTOS!$M$34)</f>
        <v>85.01698643053372</v>
      </c>
      <c r="AB1814" s="6">
        <f>$K$1814*$V$1814</f>
        <v>0</v>
      </c>
      <c r="AC1814" s="6">
        <f>$M$1814*$W$1814</f>
        <v>21930.316200000001</v>
      </c>
      <c r="AD1814" s="6">
        <f>$O$1814*$X$1814</f>
        <v>32445.507599999997</v>
      </c>
      <c r="AE1814" s="6">
        <f>$K$1814*$Y$1814</f>
        <v>0</v>
      </c>
      <c r="AF1814" s="6">
        <f ca="1">$M$1814*$Z$1814</f>
        <v>23774.583711067669</v>
      </c>
      <c r="AG1814" s="6">
        <f>$O$1814*$AA$1814</f>
        <v>29091.112416800028</v>
      </c>
    </row>
    <row r="1815" spans="1:33" ht="11.25" customHeight="1" x14ac:dyDescent="0.25">
      <c r="A1815" s="4" t="s">
        <v>27</v>
      </c>
      <c r="B1815" s="4" t="s">
        <v>22</v>
      </c>
      <c r="C1815" s="4" t="s">
        <v>23</v>
      </c>
      <c r="D1815" s="4" t="s">
        <v>24</v>
      </c>
      <c r="E1815" s="4" t="s">
        <v>29</v>
      </c>
      <c r="F1815" s="4" t="s">
        <v>25</v>
      </c>
      <c r="G1815" s="4" t="s">
        <v>25</v>
      </c>
      <c r="H1815" s="4" t="s">
        <v>25</v>
      </c>
      <c r="I1815" s="5">
        <v>44044</v>
      </c>
      <c r="J1815" s="6">
        <v>0</v>
      </c>
      <c r="K1815" s="6">
        <v>0</v>
      </c>
      <c r="L1815" s="6">
        <v>0.12</v>
      </c>
      <c r="M1815" s="6">
        <v>0.12</v>
      </c>
      <c r="N1815" s="6">
        <v>0.12</v>
      </c>
      <c r="O1815" s="6">
        <v>0.12</v>
      </c>
      <c r="P1815" s="6">
        <v>1</v>
      </c>
      <c r="Q1815" s="4" t="s">
        <v>26</v>
      </c>
      <c r="R1815" s="4">
        <v>0</v>
      </c>
      <c r="S1815" s="6">
        <v>0</v>
      </c>
      <c r="T1815" s="6">
        <v>46</v>
      </c>
      <c r="U1815" s="6">
        <v>89</v>
      </c>
      <c r="V1815" s="6">
        <f>IF(ISERROR(VLOOKUP($S$1815,'TAR FIN'!$A$1:$O$120,15,0)),0,VLOOKUP($S$1815,'TAR FIN'!$A$1:$O$120,15,0))</f>
        <v>0</v>
      </c>
      <c r="W1815" s="6">
        <f>IF(ISERROR(VLOOKUP($T$1815,'TAR FIN'!$A$1:$O$120,15,0)),0,VLOOKUP($T$1815,'TAR FIN'!$A$1:$O$120,15,0))</f>
        <v>64.09</v>
      </c>
      <c r="X1815" s="6">
        <f>IF(ISERROR(VLOOKUP($U$1815,'TAR FIN'!$A$1:$O$120,15,0)),0,VLOOKUP($U$1815,'TAR FIN'!$A$1:$O$120,15,0))</f>
        <v>94.82</v>
      </c>
      <c r="Y1815" s="6"/>
      <c r="Z1815" s="6">
        <f ca="1">('TUSD BE'!$AM$56+'TUSD BF'!$AM$56+'TUSD CVA'!$AM$56-('TUSD BE'!$P$56+'TUSD BF'!$P$56+'TUSD CVA'!$P$56)-('TUSD BE'!$Q$56+'TUSD BF'!$Q$56+'TUSD CVA'!$Q$56)-('TUSD BE'!$R$56+'TUSD BF'!$R$56+'TUSD CVA'!$R$56))*(1-CUSTOS!$M$34)</f>
        <v>69.479758346682061</v>
      </c>
      <c r="AA1815" s="6">
        <f>('TE BE'!$AA$20+'TE BF'!$AA$20+'TE CVA'!$AA$20)*(1-CUSTOS!$M$34)</f>
        <v>85.01698643053372</v>
      </c>
      <c r="AB1815" s="6">
        <f>$K$1815*$V$1815</f>
        <v>0</v>
      </c>
      <c r="AC1815" s="6">
        <f>$M$1815*$W$1815</f>
        <v>7.6908000000000003</v>
      </c>
      <c r="AD1815" s="6">
        <f>$O$1815*$X$1815</f>
        <v>11.378399999999999</v>
      </c>
      <c r="AE1815" s="6">
        <f>$K$1815*$Y$1815</f>
        <v>0</v>
      </c>
      <c r="AF1815" s="6">
        <f ca="1">$M$1815*$Z$1815</f>
        <v>8.3375710016018463</v>
      </c>
      <c r="AG1815" s="6">
        <f>$O$1815*$AA$1815</f>
        <v>10.202038371664045</v>
      </c>
    </row>
    <row r="1816" spans="1:33" ht="11.25" customHeight="1" x14ac:dyDescent="0.25">
      <c r="A1816" s="4" t="s">
        <v>59</v>
      </c>
      <c r="B1816" s="4" t="s">
        <v>22</v>
      </c>
      <c r="C1816" s="4" t="s">
        <v>23</v>
      </c>
      <c r="D1816" s="4" t="s">
        <v>24</v>
      </c>
      <c r="E1816" s="4" t="s">
        <v>29</v>
      </c>
      <c r="F1816" s="4" t="s">
        <v>25</v>
      </c>
      <c r="G1816" s="4" t="s">
        <v>25</v>
      </c>
      <c r="H1816" s="4" t="s">
        <v>25</v>
      </c>
      <c r="I1816" s="5">
        <v>44075</v>
      </c>
      <c r="J1816" s="6">
        <v>0</v>
      </c>
      <c r="K1816" s="6">
        <v>0</v>
      </c>
      <c r="L1816" s="6">
        <v>342.18</v>
      </c>
      <c r="M1816" s="6">
        <v>342.18</v>
      </c>
      <c r="N1816" s="6">
        <v>342.18</v>
      </c>
      <c r="O1816" s="6">
        <v>342.18</v>
      </c>
      <c r="P1816" s="6">
        <v>318</v>
      </c>
      <c r="Q1816" s="4" t="s">
        <v>26</v>
      </c>
      <c r="R1816" s="4">
        <v>0</v>
      </c>
      <c r="S1816" s="6">
        <v>0</v>
      </c>
      <c r="T1816" s="6">
        <v>46</v>
      </c>
      <c r="U1816" s="6">
        <v>89</v>
      </c>
      <c r="V1816" s="6">
        <f>IF(ISERROR(VLOOKUP($S$1816,'TAR FIN'!$A$1:$O$120,15,0)),0,VLOOKUP($S$1816,'TAR FIN'!$A$1:$O$120,15,0))</f>
        <v>0</v>
      </c>
      <c r="W1816" s="6">
        <f>IF(ISERROR(VLOOKUP($T$1816,'TAR FIN'!$A$1:$O$120,15,0)),0,VLOOKUP($T$1816,'TAR FIN'!$A$1:$O$120,15,0))</f>
        <v>64.09</v>
      </c>
      <c r="X1816" s="6">
        <f>IF(ISERROR(VLOOKUP($U$1816,'TAR FIN'!$A$1:$O$120,15,0)),0,VLOOKUP($U$1816,'TAR FIN'!$A$1:$O$120,15,0))</f>
        <v>94.82</v>
      </c>
      <c r="Y1816" s="6"/>
      <c r="Z1816" s="6">
        <f ca="1">('TUSD BE'!$AM$56+'TUSD BF'!$AM$56+'TUSD CVA'!$AM$56-('TUSD BE'!$P$56+'TUSD BF'!$P$56+'TUSD CVA'!$P$56)-('TUSD BE'!$Q$56+'TUSD BF'!$Q$56+'TUSD CVA'!$Q$56)-('TUSD BE'!$R$56+'TUSD BF'!$R$56+'TUSD CVA'!$R$56))*(1-CUSTOS!$M$34)</f>
        <v>69.479758346682061</v>
      </c>
      <c r="AA1816" s="6">
        <f>('TE BE'!$AA$20+'TE BF'!$AA$20+'TE CVA'!$AA$20)*(1-CUSTOS!$M$34)</f>
        <v>85.01698643053372</v>
      </c>
      <c r="AB1816" s="6">
        <f>$K$1816*$V$1816</f>
        <v>0</v>
      </c>
      <c r="AC1816" s="6">
        <f>$M$1816*$W$1816</f>
        <v>21930.316200000001</v>
      </c>
      <c r="AD1816" s="6">
        <f>$O$1816*$X$1816</f>
        <v>32445.507599999997</v>
      </c>
      <c r="AE1816" s="6">
        <f>$K$1816*$Y$1816</f>
        <v>0</v>
      </c>
      <c r="AF1816" s="6">
        <f ca="1">$M$1816*$Z$1816</f>
        <v>23774.583711067669</v>
      </c>
      <c r="AG1816" s="6">
        <f>$O$1816*$AA$1816</f>
        <v>29091.112416800028</v>
      </c>
    </row>
    <row r="1817" spans="1:33" ht="11.25" customHeight="1" x14ac:dyDescent="0.25">
      <c r="A1817" s="4" t="s">
        <v>59</v>
      </c>
      <c r="B1817" s="4" t="s">
        <v>22</v>
      </c>
      <c r="C1817" s="4" t="s">
        <v>23</v>
      </c>
      <c r="D1817" s="4" t="s">
        <v>24</v>
      </c>
      <c r="E1817" s="4" t="s">
        <v>29</v>
      </c>
      <c r="F1817" s="4" t="s">
        <v>25</v>
      </c>
      <c r="G1817" s="4" t="s">
        <v>25</v>
      </c>
      <c r="H1817" s="4" t="s">
        <v>25</v>
      </c>
      <c r="I1817" s="5">
        <v>44075</v>
      </c>
      <c r="J1817" s="6">
        <v>0</v>
      </c>
      <c r="K1817" s="6">
        <v>0</v>
      </c>
      <c r="L1817" s="6">
        <v>0.12</v>
      </c>
      <c r="M1817" s="6">
        <v>0.12</v>
      </c>
      <c r="N1817" s="6">
        <v>0.12</v>
      </c>
      <c r="O1817" s="6">
        <v>0.12</v>
      </c>
      <c r="P1817" s="6">
        <v>1</v>
      </c>
      <c r="Q1817" s="4" t="s">
        <v>26</v>
      </c>
      <c r="R1817" s="4">
        <v>0</v>
      </c>
      <c r="S1817" s="6">
        <v>0</v>
      </c>
      <c r="T1817" s="6">
        <v>46</v>
      </c>
      <c r="U1817" s="6">
        <v>89</v>
      </c>
      <c r="V1817" s="6">
        <f>IF(ISERROR(VLOOKUP($S$1817,'TAR FIN'!$A$1:$O$120,15,0)),0,VLOOKUP($S$1817,'TAR FIN'!$A$1:$O$120,15,0))</f>
        <v>0</v>
      </c>
      <c r="W1817" s="6">
        <f>IF(ISERROR(VLOOKUP($T$1817,'TAR FIN'!$A$1:$O$120,15,0)),0,VLOOKUP($T$1817,'TAR FIN'!$A$1:$O$120,15,0))</f>
        <v>64.09</v>
      </c>
      <c r="X1817" s="6">
        <f>IF(ISERROR(VLOOKUP($U$1817,'TAR FIN'!$A$1:$O$120,15,0)),0,VLOOKUP($U$1817,'TAR FIN'!$A$1:$O$120,15,0))</f>
        <v>94.82</v>
      </c>
      <c r="Y1817" s="6"/>
      <c r="Z1817" s="6">
        <f ca="1">('TUSD BE'!$AM$56+'TUSD BF'!$AM$56+'TUSD CVA'!$AM$56-('TUSD BE'!$P$56+'TUSD BF'!$P$56+'TUSD CVA'!$P$56)-('TUSD BE'!$Q$56+'TUSD BF'!$Q$56+'TUSD CVA'!$Q$56)-('TUSD BE'!$R$56+'TUSD BF'!$R$56+'TUSD CVA'!$R$56))*(1-CUSTOS!$M$34)</f>
        <v>69.479758346682061</v>
      </c>
      <c r="AA1817" s="6">
        <f>('TE BE'!$AA$20+'TE BF'!$AA$20+'TE CVA'!$AA$20)*(1-CUSTOS!$M$34)</f>
        <v>85.01698643053372</v>
      </c>
      <c r="AB1817" s="6">
        <f>$K$1817*$V$1817</f>
        <v>0</v>
      </c>
      <c r="AC1817" s="6">
        <f>$M$1817*$W$1817</f>
        <v>7.6908000000000003</v>
      </c>
      <c r="AD1817" s="6">
        <f>$O$1817*$X$1817</f>
        <v>11.378399999999999</v>
      </c>
      <c r="AE1817" s="6">
        <f>$K$1817*$Y$1817</f>
        <v>0</v>
      </c>
      <c r="AF1817" s="6">
        <f ca="1">$M$1817*$Z$1817</f>
        <v>8.3375710016018463</v>
      </c>
      <c r="AG1817" s="6">
        <f>$O$1817*$AA$1817</f>
        <v>10.202038371664045</v>
      </c>
    </row>
    <row r="1818" spans="1:33" ht="11.25" customHeight="1" x14ac:dyDescent="0.25">
      <c r="A1818" s="4" t="s">
        <v>21</v>
      </c>
      <c r="B1818" s="4" t="s">
        <v>22</v>
      </c>
      <c r="C1818" s="4" t="s">
        <v>23</v>
      </c>
      <c r="D1818" s="4" t="s">
        <v>24</v>
      </c>
      <c r="E1818" s="4" t="s">
        <v>30</v>
      </c>
      <c r="F1818" s="4" t="s">
        <v>25</v>
      </c>
      <c r="G1818" s="4" t="s">
        <v>25</v>
      </c>
      <c r="H1818" s="4" t="s">
        <v>25</v>
      </c>
      <c r="I1818" s="5">
        <v>43739</v>
      </c>
      <c r="J1818" s="6">
        <v>0</v>
      </c>
      <c r="K1818" s="6">
        <v>0</v>
      </c>
      <c r="L1818" s="6">
        <v>543.95899999999995</v>
      </c>
      <c r="M1818" s="6">
        <v>543.95899999999995</v>
      </c>
      <c r="N1818" s="6">
        <v>543.95899999999995</v>
      </c>
      <c r="O1818" s="6">
        <v>543.95899999999995</v>
      </c>
      <c r="P1818" s="6">
        <v>1306</v>
      </c>
      <c r="Q1818" s="4" t="s">
        <v>26</v>
      </c>
      <c r="R1818" s="4">
        <v>0</v>
      </c>
      <c r="S1818" s="6">
        <v>0</v>
      </c>
      <c r="T1818" s="6">
        <v>47</v>
      </c>
      <c r="U1818" s="6">
        <v>90</v>
      </c>
      <c r="V1818" s="6">
        <f>IF(ISERROR(VLOOKUP($S$1818,'TAR FIN'!$A$1:$O$120,15,0)),0,VLOOKUP($S$1818,'TAR FIN'!$A$1:$O$120,15,0))</f>
        <v>0</v>
      </c>
      <c r="W1818" s="6">
        <f>IF(ISERROR(VLOOKUP($T$1818,'TAR FIN'!$A$1:$O$120,15,0)),0,VLOOKUP($T$1818,'TAR FIN'!$A$1:$O$120,15,0))</f>
        <v>109.87</v>
      </c>
      <c r="X1818" s="6">
        <f>IF(ISERROR(VLOOKUP($U$1818,'TAR FIN'!$A$1:$O$120,15,0)),0,VLOOKUP($U$1818,'TAR FIN'!$A$1:$O$120,15,0))</f>
        <v>162.55000000000001</v>
      </c>
      <c r="Y1818" s="6"/>
      <c r="Z1818" s="6">
        <f ca="1">('TUSD BE'!$AM$57+'TUSD BF'!$AM$57+'TUSD CVA'!$AM$57-('TUSD BE'!$P$57+'TUSD BF'!$P$57+'TUSD CVA'!$P$57)-('TUSD BE'!$Q$57+'TUSD BF'!$Q$57+'TUSD CVA'!$Q$57)-('TUSD BE'!$R$57+'TUSD BF'!$R$57+'TUSD CVA'!$R$57))*(1-CUSTOS!$M$35)</f>
        <v>119.10815716574068</v>
      </c>
      <c r="AA1818" s="6">
        <f>('TE BE'!$AA$21+'TE BF'!$AA$21+'TE CVA'!$AA$21)*(1-CUSTOS!$M$35)</f>
        <v>145.74340530948638</v>
      </c>
      <c r="AB1818" s="6">
        <f>$K$1818*$V$1818</f>
        <v>0</v>
      </c>
      <c r="AC1818" s="6">
        <f>$M$1818*$W$1818</f>
        <v>59764.775329999997</v>
      </c>
      <c r="AD1818" s="6">
        <f>$O$1818*$X$1818</f>
        <v>88420.535449999996</v>
      </c>
      <c r="AE1818" s="6">
        <f>$K$1818*$Y$1818</f>
        <v>0</v>
      </c>
      <c r="AF1818" s="6">
        <f ca="1">$M$1818*$Z$1818</f>
        <v>64789.954063719124</v>
      </c>
      <c r="AG1818" s="6">
        <f>$O$1818*$AA$1818</f>
        <v>79278.437008742898</v>
      </c>
    </row>
    <row r="1819" spans="1:33" ht="11.25" customHeight="1" x14ac:dyDescent="0.25">
      <c r="A1819" s="4" t="s">
        <v>27</v>
      </c>
      <c r="B1819" s="4" t="s">
        <v>22</v>
      </c>
      <c r="C1819" s="4" t="s">
        <v>23</v>
      </c>
      <c r="D1819" s="4" t="s">
        <v>24</v>
      </c>
      <c r="E1819" s="4" t="s">
        <v>30</v>
      </c>
      <c r="F1819" s="4" t="s">
        <v>25</v>
      </c>
      <c r="G1819" s="4" t="s">
        <v>25</v>
      </c>
      <c r="H1819" s="4" t="s">
        <v>25</v>
      </c>
      <c r="I1819" s="5">
        <v>43739</v>
      </c>
      <c r="J1819" s="6">
        <v>0</v>
      </c>
      <c r="K1819" s="6">
        <v>0</v>
      </c>
      <c r="L1819" s="6">
        <v>0.17</v>
      </c>
      <c r="M1819" s="6">
        <v>0.17</v>
      </c>
      <c r="N1819" s="6">
        <v>0.17</v>
      </c>
      <c r="O1819" s="6">
        <v>0.17</v>
      </c>
      <c r="P1819" s="6">
        <v>0</v>
      </c>
      <c r="Q1819" s="4" t="s">
        <v>26</v>
      </c>
      <c r="R1819" s="4">
        <v>0</v>
      </c>
      <c r="S1819" s="6">
        <v>0</v>
      </c>
      <c r="T1819" s="6">
        <v>47</v>
      </c>
      <c r="U1819" s="6">
        <v>90</v>
      </c>
      <c r="V1819" s="6">
        <f>IF(ISERROR(VLOOKUP($S$1819,'TAR FIN'!$A$1:$O$120,15,0)),0,VLOOKUP($S$1819,'TAR FIN'!$A$1:$O$120,15,0))</f>
        <v>0</v>
      </c>
      <c r="W1819" s="6">
        <f>IF(ISERROR(VLOOKUP($T$1819,'TAR FIN'!$A$1:$O$120,15,0)),0,VLOOKUP($T$1819,'TAR FIN'!$A$1:$O$120,15,0))</f>
        <v>109.87</v>
      </c>
      <c r="X1819" s="6">
        <f>IF(ISERROR(VLOOKUP($U$1819,'TAR FIN'!$A$1:$O$120,15,0)),0,VLOOKUP($U$1819,'TAR FIN'!$A$1:$O$120,15,0))</f>
        <v>162.55000000000001</v>
      </c>
      <c r="Y1819" s="6"/>
      <c r="Z1819" s="6">
        <f ca="1">('TUSD BE'!$AM$57+'TUSD BF'!$AM$57+'TUSD CVA'!$AM$57-('TUSD BE'!$P$57+'TUSD BF'!$P$57+'TUSD CVA'!$P$57)-('TUSD BE'!$Q$57+'TUSD BF'!$Q$57+'TUSD CVA'!$Q$57)-('TUSD BE'!$R$57+'TUSD BF'!$R$57+'TUSD CVA'!$R$57))*(1-CUSTOS!$M$35)</f>
        <v>119.10815716574068</v>
      </c>
      <c r="AA1819" s="6">
        <f>('TE BE'!$AA$21+'TE BF'!$AA$21+'TE CVA'!$AA$21)*(1-CUSTOS!$M$35)</f>
        <v>145.74340530948638</v>
      </c>
      <c r="AB1819" s="6">
        <f>$K$1819*$V$1819</f>
        <v>0</v>
      </c>
      <c r="AC1819" s="6">
        <f>$M$1819*$W$1819</f>
        <v>18.677900000000001</v>
      </c>
      <c r="AD1819" s="6">
        <f>$O$1819*$X$1819</f>
        <v>27.633500000000005</v>
      </c>
      <c r="AE1819" s="6">
        <f>$K$1819*$Y$1819</f>
        <v>0</v>
      </c>
      <c r="AF1819" s="6">
        <f ca="1">$M$1819*$Z$1819</f>
        <v>20.248386718175915</v>
      </c>
      <c r="AG1819" s="6">
        <f>$O$1819*$AA$1819</f>
        <v>24.776378902612684</v>
      </c>
    </row>
    <row r="1820" spans="1:33" ht="11.25" customHeight="1" x14ac:dyDescent="0.25">
      <c r="A1820" s="4" t="s">
        <v>21</v>
      </c>
      <c r="B1820" s="4" t="s">
        <v>22</v>
      </c>
      <c r="C1820" s="4" t="s">
        <v>23</v>
      </c>
      <c r="D1820" s="4" t="s">
        <v>24</v>
      </c>
      <c r="E1820" s="4" t="s">
        <v>30</v>
      </c>
      <c r="F1820" s="4" t="s">
        <v>25</v>
      </c>
      <c r="G1820" s="4" t="s">
        <v>25</v>
      </c>
      <c r="H1820" s="4" t="s">
        <v>25</v>
      </c>
      <c r="I1820" s="5">
        <v>43770</v>
      </c>
      <c r="J1820" s="6">
        <v>0</v>
      </c>
      <c r="K1820" s="6">
        <v>0</v>
      </c>
      <c r="L1820" s="6">
        <v>566.62099999999998</v>
      </c>
      <c r="M1820" s="6">
        <v>566.62099999999998</v>
      </c>
      <c r="N1820" s="6">
        <v>566.62099999999998</v>
      </c>
      <c r="O1820" s="6">
        <v>566.62099999999998</v>
      </c>
      <c r="P1820" s="6">
        <v>1079</v>
      </c>
      <c r="Q1820" s="4" t="s">
        <v>26</v>
      </c>
      <c r="R1820" s="4">
        <v>0</v>
      </c>
      <c r="S1820" s="6">
        <v>0</v>
      </c>
      <c r="T1820" s="6">
        <v>47</v>
      </c>
      <c r="U1820" s="6">
        <v>90</v>
      </c>
      <c r="V1820" s="6">
        <f>IF(ISERROR(VLOOKUP($S$1820,'TAR FIN'!$A$1:$O$120,15,0)),0,VLOOKUP($S$1820,'TAR FIN'!$A$1:$O$120,15,0))</f>
        <v>0</v>
      </c>
      <c r="W1820" s="6">
        <f>IF(ISERROR(VLOOKUP($T$1820,'TAR FIN'!$A$1:$O$120,15,0)),0,VLOOKUP($T$1820,'TAR FIN'!$A$1:$O$120,15,0))</f>
        <v>109.87</v>
      </c>
      <c r="X1820" s="6">
        <f>IF(ISERROR(VLOOKUP($U$1820,'TAR FIN'!$A$1:$O$120,15,0)),0,VLOOKUP($U$1820,'TAR FIN'!$A$1:$O$120,15,0))</f>
        <v>162.55000000000001</v>
      </c>
      <c r="Y1820" s="6"/>
      <c r="Z1820" s="6">
        <f ca="1">('TUSD BE'!$AM$57+'TUSD BF'!$AM$57+'TUSD CVA'!$AM$57-('TUSD BE'!$P$57+'TUSD BF'!$P$57+'TUSD CVA'!$P$57)-('TUSD BE'!$Q$57+'TUSD BF'!$Q$57+'TUSD CVA'!$Q$57)-('TUSD BE'!$R$57+'TUSD BF'!$R$57+'TUSD CVA'!$R$57))*(1-CUSTOS!$M$35)</f>
        <v>119.10815716574068</v>
      </c>
      <c r="AA1820" s="6">
        <f>('TE BE'!$AA$21+'TE BF'!$AA$21+'TE CVA'!$AA$21)*(1-CUSTOS!$M$35)</f>
        <v>145.74340530948638</v>
      </c>
      <c r="AB1820" s="6">
        <f>$K$1820*$V$1820</f>
        <v>0</v>
      </c>
      <c r="AC1820" s="6">
        <f>$M$1820*$W$1820</f>
        <v>62254.649270000002</v>
      </c>
      <c r="AD1820" s="6">
        <f>$O$1820*$X$1820</f>
        <v>92104.243549999999</v>
      </c>
      <c r="AE1820" s="6">
        <f>$K$1820*$Y$1820</f>
        <v>0</v>
      </c>
      <c r="AF1820" s="6">
        <f ca="1">$M$1820*$Z$1820</f>
        <v>67489.183121409151</v>
      </c>
      <c r="AG1820" s="6">
        <f>$O$1820*$AA$1820</f>
        <v>82581.274059866482</v>
      </c>
    </row>
    <row r="1821" spans="1:33" ht="11.25" customHeight="1" x14ac:dyDescent="0.25">
      <c r="A1821" s="4" t="s">
        <v>27</v>
      </c>
      <c r="B1821" s="4" t="s">
        <v>22</v>
      </c>
      <c r="C1821" s="4" t="s">
        <v>23</v>
      </c>
      <c r="D1821" s="4" t="s">
        <v>24</v>
      </c>
      <c r="E1821" s="4" t="s">
        <v>30</v>
      </c>
      <c r="F1821" s="4" t="s">
        <v>25</v>
      </c>
      <c r="G1821" s="4" t="s">
        <v>25</v>
      </c>
      <c r="H1821" s="4" t="s">
        <v>25</v>
      </c>
      <c r="I1821" s="5">
        <v>43770</v>
      </c>
      <c r="J1821" s="6">
        <v>0</v>
      </c>
      <c r="K1821" s="6">
        <v>0</v>
      </c>
      <c r="L1821" s="6">
        <v>0.32800000000000001</v>
      </c>
      <c r="M1821" s="6">
        <v>0.32800000000000001</v>
      </c>
      <c r="N1821" s="6">
        <v>0.32800000000000001</v>
      </c>
      <c r="O1821" s="6">
        <v>0.32800000000000001</v>
      </c>
      <c r="P1821" s="6">
        <v>1</v>
      </c>
      <c r="Q1821" s="4" t="s">
        <v>26</v>
      </c>
      <c r="R1821" s="4">
        <v>0</v>
      </c>
      <c r="S1821" s="6">
        <v>0</v>
      </c>
      <c r="T1821" s="6">
        <v>47</v>
      </c>
      <c r="U1821" s="6">
        <v>90</v>
      </c>
      <c r="V1821" s="6">
        <f>IF(ISERROR(VLOOKUP($S$1821,'TAR FIN'!$A$1:$O$120,15,0)),0,VLOOKUP($S$1821,'TAR FIN'!$A$1:$O$120,15,0))</f>
        <v>0</v>
      </c>
      <c r="W1821" s="6">
        <f>IF(ISERROR(VLOOKUP($T$1821,'TAR FIN'!$A$1:$O$120,15,0)),0,VLOOKUP($T$1821,'TAR FIN'!$A$1:$O$120,15,0))</f>
        <v>109.87</v>
      </c>
      <c r="X1821" s="6">
        <f>IF(ISERROR(VLOOKUP($U$1821,'TAR FIN'!$A$1:$O$120,15,0)),0,VLOOKUP($U$1821,'TAR FIN'!$A$1:$O$120,15,0))</f>
        <v>162.55000000000001</v>
      </c>
      <c r="Y1821" s="6"/>
      <c r="Z1821" s="6">
        <f ca="1">('TUSD BE'!$AM$57+'TUSD BF'!$AM$57+'TUSD CVA'!$AM$57-('TUSD BE'!$P$57+'TUSD BF'!$P$57+'TUSD CVA'!$P$57)-('TUSD BE'!$Q$57+'TUSD BF'!$Q$57+'TUSD CVA'!$Q$57)-('TUSD BE'!$R$57+'TUSD BF'!$R$57+'TUSD CVA'!$R$57))*(1-CUSTOS!$M$35)</f>
        <v>119.10815716574068</v>
      </c>
      <c r="AA1821" s="6">
        <f>('TE BE'!$AA$21+'TE BF'!$AA$21+'TE CVA'!$AA$21)*(1-CUSTOS!$M$35)</f>
        <v>145.74340530948638</v>
      </c>
      <c r="AB1821" s="6">
        <f>$K$1821*$V$1821</f>
        <v>0</v>
      </c>
      <c r="AC1821" s="6">
        <f>$M$1821*$W$1821</f>
        <v>36.03736</v>
      </c>
      <c r="AD1821" s="6">
        <f>$O$1821*$X$1821</f>
        <v>53.316400000000009</v>
      </c>
      <c r="AE1821" s="6">
        <f>$K$1821*$Y$1821</f>
        <v>0</v>
      </c>
      <c r="AF1821" s="6">
        <f ca="1">$M$1821*$Z$1821</f>
        <v>39.067475550362943</v>
      </c>
      <c r="AG1821" s="6">
        <f>$O$1821*$AA$1821</f>
        <v>47.803836941511534</v>
      </c>
    </row>
    <row r="1822" spans="1:33" ht="11.25" customHeight="1" x14ac:dyDescent="0.25">
      <c r="A1822" s="4" t="s">
        <v>21</v>
      </c>
      <c r="B1822" s="4" t="s">
        <v>22</v>
      </c>
      <c r="C1822" s="4" t="s">
        <v>23</v>
      </c>
      <c r="D1822" s="4" t="s">
        <v>24</v>
      </c>
      <c r="E1822" s="4" t="s">
        <v>30</v>
      </c>
      <c r="F1822" s="4" t="s">
        <v>25</v>
      </c>
      <c r="G1822" s="4" t="s">
        <v>25</v>
      </c>
      <c r="H1822" s="4" t="s">
        <v>25</v>
      </c>
      <c r="I1822" s="5">
        <v>43800</v>
      </c>
      <c r="J1822" s="6">
        <v>0</v>
      </c>
      <c r="K1822" s="6">
        <v>0</v>
      </c>
      <c r="L1822" s="6">
        <v>561.79999999999995</v>
      </c>
      <c r="M1822" s="6">
        <v>561.79999999999995</v>
      </c>
      <c r="N1822" s="6">
        <v>561.79999999999995</v>
      </c>
      <c r="O1822" s="6">
        <v>561.79999999999995</v>
      </c>
      <c r="P1822" s="6">
        <v>1669</v>
      </c>
      <c r="Q1822" s="4" t="s">
        <v>26</v>
      </c>
      <c r="R1822" s="4">
        <v>0</v>
      </c>
      <c r="S1822" s="6">
        <v>0</v>
      </c>
      <c r="T1822" s="6">
        <v>47</v>
      </c>
      <c r="U1822" s="6">
        <v>90</v>
      </c>
      <c r="V1822" s="6">
        <f>IF(ISERROR(VLOOKUP($S$1822,'TAR FIN'!$A$1:$O$120,15,0)),0,VLOOKUP($S$1822,'TAR FIN'!$A$1:$O$120,15,0))</f>
        <v>0</v>
      </c>
      <c r="W1822" s="6">
        <f>IF(ISERROR(VLOOKUP($T$1822,'TAR FIN'!$A$1:$O$120,15,0)),0,VLOOKUP($T$1822,'TAR FIN'!$A$1:$O$120,15,0))</f>
        <v>109.87</v>
      </c>
      <c r="X1822" s="6">
        <f>IF(ISERROR(VLOOKUP($U$1822,'TAR FIN'!$A$1:$O$120,15,0)),0,VLOOKUP($U$1822,'TAR FIN'!$A$1:$O$120,15,0))</f>
        <v>162.55000000000001</v>
      </c>
      <c r="Y1822" s="6"/>
      <c r="Z1822" s="6">
        <f ca="1">('TUSD BE'!$AM$57+'TUSD BF'!$AM$57+'TUSD CVA'!$AM$57-('TUSD BE'!$P$57+'TUSD BF'!$P$57+'TUSD CVA'!$P$57)-('TUSD BE'!$Q$57+'TUSD BF'!$Q$57+'TUSD CVA'!$Q$57)-('TUSD BE'!$R$57+'TUSD BF'!$R$57+'TUSD CVA'!$R$57))*(1-CUSTOS!$M$35)</f>
        <v>119.10815716574068</v>
      </c>
      <c r="AA1822" s="6">
        <f>('TE BE'!$AA$21+'TE BF'!$AA$21+'TE CVA'!$AA$21)*(1-CUSTOS!$M$35)</f>
        <v>145.74340530948638</v>
      </c>
      <c r="AB1822" s="6">
        <f>$K$1822*$V$1822</f>
        <v>0</v>
      </c>
      <c r="AC1822" s="6">
        <f>$M$1822*$W$1822</f>
        <v>61724.966</v>
      </c>
      <c r="AD1822" s="6">
        <f>$O$1822*$X$1822</f>
        <v>91320.59</v>
      </c>
      <c r="AE1822" s="6">
        <f>$K$1822*$Y$1822</f>
        <v>0</v>
      </c>
      <c r="AF1822" s="6">
        <f ca="1">$M$1822*$Z$1822</f>
        <v>66914.962695713111</v>
      </c>
      <c r="AG1822" s="6">
        <f>$O$1822*$AA$1822</f>
        <v>81878.645102869443</v>
      </c>
    </row>
    <row r="1823" spans="1:33" ht="11.25" customHeight="1" x14ac:dyDescent="0.25">
      <c r="A1823" s="4" t="s">
        <v>27</v>
      </c>
      <c r="B1823" s="4" t="s">
        <v>22</v>
      </c>
      <c r="C1823" s="4" t="s">
        <v>23</v>
      </c>
      <c r="D1823" s="4" t="s">
        <v>24</v>
      </c>
      <c r="E1823" s="4" t="s">
        <v>30</v>
      </c>
      <c r="F1823" s="4" t="s">
        <v>25</v>
      </c>
      <c r="G1823" s="4" t="s">
        <v>25</v>
      </c>
      <c r="H1823" s="4" t="s">
        <v>25</v>
      </c>
      <c r="I1823" s="5">
        <v>43800</v>
      </c>
      <c r="J1823" s="6">
        <v>0</v>
      </c>
      <c r="K1823" s="6">
        <v>0</v>
      </c>
      <c r="L1823" s="6">
        <v>0.14000000000000001</v>
      </c>
      <c r="M1823" s="6">
        <v>0.14000000000000001</v>
      </c>
      <c r="N1823" s="6">
        <v>0.14000000000000001</v>
      </c>
      <c r="O1823" s="6">
        <v>0.14000000000000001</v>
      </c>
      <c r="P1823" s="6">
        <v>0</v>
      </c>
      <c r="Q1823" s="4" t="s">
        <v>26</v>
      </c>
      <c r="R1823" s="4">
        <v>0</v>
      </c>
      <c r="S1823" s="6">
        <v>0</v>
      </c>
      <c r="T1823" s="6">
        <v>47</v>
      </c>
      <c r="U1823" s="6">
        <v>90</v>
      </c>
      <c r="V1823" s="6">
        <f>IF(ISERROR(VLOOKUP($S$1823,'TAR FIN'!$A$1:$O$120,15,0)),0,VLOOKUP($S$1823,'TAR FIN'!$A$1:$O$120,15,0))</f>
        <v>0</v>
      </c>
      <c r="W1823" s="6">
        <f>IF(ISERROR(VLOOKUP($T$1823,'TAR FIN'!$A$1:$O$120,15,0)),0,VLOOKUP($T$1823,'TAR FIN'!$A$1:$O$120,15,0))</f>
        <v>109.87</v>
      </c>
      <c r="X1823" s="6">
        <f>IF(ISERROR(VLOOKUP($U$1823,'TAR FIN'!$A$1:$O$120,15,0)),0,VLOOKUP($U$1823,'TAR FIN'!$A$1:$O$120,15,0))</f>
        <v>162.55000000000001</v>
      </c>
      <c r="Y1823" s="6"/>
      <c r="Z1823" s="6">
        <f ca="1">('TUSD BE'!$AM$57+'TUSD BF'!$AM$57+'TUSD CVA'!$AM$57-('TUSD BE'!$P$57+'TUSD BF'!$P$57+'TUSD CVA'!$P$57)-('TUSD BE'!$Q$57+'TUSD BF'!$Q$57+'TUSD CVA'!$Q$57)-('TUSD BE'!$R$57+'TUSD BF'!$R$57+'TUSD CVA'!$R$57))*(1-CUSTOS!$M$35)</f>
        <v>119.10815716574068</v>
      </c>
      <c r="AA1823" s="6">
        <f>('TE BE'!$AA$21+'TE BF'!$AA$21+'TE CVA'!$AA$21)*(1-CUSTOS!$M$35)</f>
        <v>145.74340530948638</v>
      </c>
      <c r="AB1823" s="6">
        <f>$K$1823*$V$1823</f>
        <v>0</v>
      </c>
      <c r="AC1823" s="6">
        <f>$M$1823*$W$1823</f>
        <v>15.381800000000002</v>
      </c>
      <c r="AD1823" s="6">
        <f>$O$1823*$X$1823</f>
        <v>22.757000000000005</v>
      </c>
      <c r="AE1823" s="6">
        <f>$K$1823*$Y$1823</f>
        <v>0</v>
      </c>
      <c r="AF1823" s="6">
        <f ca="1">$M$1823*$Z$1823</f>
        <v>16.675142003203696</v>
      </c>
      <c r="AG1823" s="6">
        <f>$O$1823*$AA$1823</f>
        <v>20.404076743328094</v>
      </c>
    </row>
    <row r="1824" spans="1:33" ht="11.25" customHeight="1" x14ac:dyDescent="0.25">
      <c r="A1824" s="4" t="s">
        <v>21</v>
      </c>
      <c r="B1824" s="4" t="s">
        <v>22</v>
      </c>
      <c r="C1824" s="4" t="s">
        <v>23</v>
      </c>
      <c r="D1824" s="4" t="s">
        <v>24</v>
      </c>
      <c r="E1824" s="4" t="s">
        <v>30</v>
      </c>
      <c r="F1824" s="4" t="s">
        <v>25</v>
      </c>
      <c r="G1824" s="4" t="s">
        <v>25</v>
      </c>
      <c r="H1824" s="4" t="s">
        <v>25</v>
      </c>
      <c r="I1824" s="5">
        <v>43831</v>
      </c>
      <c r="J1824" s="6">
        <v>0</v>
      </c>
      <c r="K1824" s="6">
        <v>0</v>
      </c>
      <c r="L1824" s="6">
        <v>571.98199999999997</v>
      </c>
      <c r="M1824" s="6">
        <v>571.98199999999997</v>
      </c>
      <c r="N1824" s="6">
        <v>571.98199999999997</v>
      </c>
      <c r="O1824" s="6">
        <v>571.98199999999997</v>
      </c>
      <c r="P1824" s="6">
        <v>1397</v>
      </c>
      <c r="Q1824" s="4" t="s">
        <v>26</v>
      </c>
      <c r="R1824" s="4">
        <v>0</v>
      </c>
      <c r="S1824" s="6">
        <v>0</v>
      </c>
      <c r="T1824" s="6">
        <v>47</v>
      </c>
      <c r="U1824" s="6">
        <v>90</v>
      </c>
      <c r="V1824" s="6">
        <f>IF(ISERROR(VLOOKUP($S$1824,'TAR FIN'!$A$1:$O$120,15,0)),0,VLOOKUP($S$1824,'TAR FIN'!$A$1:$O$120,15,0))</f>
        <v>0</v>
      </c>
      <c r="W1824" s="6">
        <f>IF(ISERROR(VLOOKUP($T$1824,'TAR FIN'!$A$1:$O$120,15,0)),0,VLOOKUP($T$1824,'TAR FIN'!$A$1:$O$120,15,0))</f>
        <v>109.87</v>
      </c>
      <c r="X1824" s="6">
        <f>IF(ISERROR(VLOOKUP($U$1824,'TAR FIN'!$A$1:$O$120,15,0)),0,VLOOKUP($U$1824,'TAR FIN'!$A$1:$O$120,15,0))</f>
        <v>162.55000000000001</v>
      </c>
      <c r="Y1824" s="6"/>
      <c r="Z1824" s="6">
        <f ca="1">('TUSD BE'!$AM$57+'TUSD BF'!$AM$57+'TUSD CVA'!$AM$57-('TUSD BE'!$P$57+'TUSD BF'!$P$57+'TUSD CVA'!$P$57)-('TUSD BE'!$Q$57+'TUSD BF'!$Q$57+'TUSD CVA'!$Q$57)-('TUSD BE'!$R$57+'TUSD BF'!$R$57+'TUSD CVA'!$R$57))*(1-CUSTOS!$M$35)</f>
        <v>119.10815716574068</v>
      </c>
      <c r="AA1824" s="6">
        <f>('TE BE'!$AA$21+'TE BF'!$AA$21+'TE CVA'!$AA$21)*(1-CUSTOS!$M$35)</f>
        <v>145.74340530948638</v>
      </c>
      <c r="AB1824" s="6">
        <f>$K$1824*$V$1824</f>
        <v>0</v>
      </c>
      <c r="AC1824" s="6">
        <f>$M$1824*$W$1824</f>
        <v>62843.662340000003</v>
      </c>
      <c r="AD1824" s="6">
        <f>$O$1824*$X$1824</f>
        <v>92975.674100000004</v>
      </c>
      <c r="AE1824" s="6">
        <f>$K$1824*$Y$1824</f>
        <v>0</v>
      </c>
      <c r="AF1824" s="6">
        <f ca="1">$M$1824*$Z$1824</f>
        <v>68127.721951974687</v>
      </c>
      <c r="AG1824" s="6">
        <f>$O$1824*$AA$1824</f>
        <v>83362.60445573063</v>
      </c>
    </row>
    <row r="1825" spans="1:33" ht="11.25" customHeight="1" x14ac:dyDescent="0.25">
      <c r="A1825" s="4" t="s">
        <v>27</v>
      </c>
      <c r="B1825" s="4" t="s">
        <v>22</v>
      </c>
      <c r="C1825" s="4" t="s">
        <v>23</v>
      </c>
      <c r="D1825" s="4" t="s">
        <v>24</v>
      </c>
      <c r="E1825" s="4" t="s">
        <v>30</v>
      </c>
      <c r="F1825" s="4" t="s">
        <v>25</v>
      </c>
      <c r="G1825" s="4" t="s">
        <v>25</v>
      </c>
      <c r="H1825" s="4" t="s">
        <v>25</v>
      </c>
      <c r="I1825" s="5">
        <v>43831</v>
      </c>
      <c r="J1825" s="6">
        <v>0</v>
      </c>
      <c r="K1825" s="6">
        <v>0</v>
      </c>
      <c r="L1825" s="6">
        <v>0.35499999999999998</v>
      </c>
      <c r="M1825" s="6">
        <v>0.35499999999999998</v>
      </c>
      <c r="N1825" s="6">
        <v>0.35499999999999998</v>
      </c>
      <c r="O1825" s="6">
        <v>0.35499999999999998</v>
      </c>
      <c r="P1825" s="6">
        <v>0</v>
      </c>
      <c r="Q1825" s="4" t="s">
        <v>26</v>
      </c>
      <c r="R1825" s="4">
        <v>0</v>
      </c>
      <c r="S1825" s="6">
        <v>0</v>
      </c>
      <c r="T1825" s="6">
        <v>47</v>
      </c>
      <c r="U1825" s="6">
        <v>90</v>
      </c>
      <c r="V1825" s="6">
        <f>IF(ISERROR(VLOOKUP($S$1825,'TAR FIN'!$A$1:$O$120,15,0)),0,VLOOKUP($S$1825,'TAR FIN'!$A$1:$O$120,15,0))</f>
        <v>0</v>
      </c>
      <c r="W1825" s="6">
        <f>IF(ISERROR(VLOOKUP($T$1825,'TAR FIN'!$A$1:$O$120,15,0)),0,VLOOKUP($T$1825,'TAR FIN'!$A$1:$O$120,15,0))</f>
        <v>109.87</v>
      </c>
      <c r="X1825" s="6">
        <f>IF(ISERROR(VLOOKUP($U$1825,'TAR FIN'!$A$1:$O$120,15,0)),0,VLOOKUP($U$1825,'TAR FIN'!$A$1:$O$120,15,0))</f>
        <v>162.55000000000001</v>
      </c>
      <c r="Y1825" s="6"/>
      <c r="Z1825" s="6">
        <f ca="1">('TUSD BE'!$AM$57+'TUSD BF'!$AM$57+'TUSD CVA'!$AM$57-('TUSD BE'!$P$57+'TUSD BF'!$P$57+'TUSD CVA'!$P$57)-('TUSD BE'!$Q$57+'TUSD BF'!$Q$57+'TUSD CVA'!$Q$57)-('TUSD BE'!$R$57+'TUSD BF'!$R$57+'TUSD CVA'!$R$57))*(1-CUSTOS!$M$35)</f>
        <v>119.10815716574068</v>
      </c>
      <c r="AA1825" s="6">
        <f>('TE BE'!$AA$21+'TE BF'!$AA$21+'TE CVA'!$AA$21)*(1-CUSTOS!$M$35)</f>
        <v>145.74340530948638</v>
      </c>
      <c r="AB1825" s="6">
        <f>$K$1825*$V$1825</f>
        <v>0</v>
      </c>
      <c r="AC1825" s="6">
        <f>$M$1825*$W$1825</f>
        <v>39.00385</v>
      </c>
      <c r="AD1825" s="6">
        <f>$O$1825*$X$1825</f>
        <v>57.705249999999999</v>
      </c>
      <c r="AE1825" s="6">
        <f>$K$1825*$Y$1825</f>
        <v>0</v>
      </c>
      <c r="AF1825" s="6">
        <f ca="1">$M$1825*$Z$1825</f>
        <v>42.28339579383794</v>
      </c>
      <c r="AG1825" s="6">
        <f>$O$1825*$AA$1825</f>
        <v>51.738908884867662</v>
      </c>
    </row>
    <row r="1826" spans="1:33" ht="11.25" customHeight="1" x14ac:dyDescent="0.25">
      <c r="A1826" s="4" t="s">
        <v>21</v>
      </c>
      <c r="B1826" s="4" t="s">
        <v>22</v>
      </c>
      <c r="C1826" s="4" t="s">
        <v>23</v>
      </c>
      <c r="D1826" s="4" t="s">
        <v>24</v>
      </c>
      <c r="E1826" s="4" t="s">
        <v>30</v>
      </c>
      <c r="F1826" s="4" t="s">
        <v>25</v>
      </c>
      <c r="G1826" s="4" t="s">
        <v>25</v>
      </c>
      <c r="H1826" s="4" t="s">
        <v>25</v>
      </c>
      <c r="I1826" s="5">
        <v>43862</v>
      </c>
      <c r="J1826" s="6">
        <v>0</v>
      </c>
      <c r="K1826" s="6">
        <v>0</v>
      </c>
      <c r="L1826" s="6">
        <v>564.67499999999995</v>
      </c>
      <c r="M1826" s="6">
        <v>564.67499999999995</v>
      </c>
      <c r="N1826" s="6">
        <v>564.67499999999995</v>
      </c>
      <c r="O1826" s="6">
        <v>564.67499999999995</v>
      </c>
      <c r="P1826" s="6">
        <v>1744</v>
      </c>
      <c r="Q1826" s="4" t="s">
        <v>26</v>
      </c>
      <c r="R1826" s="4">
        <v>0</v>
      </c>
      <c r="S1826" s="6">
        <v>0</v>
      </c>
      <c r="T1826" s="6">
        <v>47</v>
      </c>
      <c r="U1826" s="6">
        <v>90</v>
      </c>
      <c r="V1826" s="6">
        <f>IF(ISERROR(VLOOKUP($S$1826,'TAR FIN'!$A$1:$O$120,15,0)),0,VLOOKUP($S$1826,'TAR FIN'!$A$1:$O$120,15,0))</f>
        <v>0</v>
      </c>
      <c r="W1826" s="6">
        <f>IF(ISERROR(VLOOKUP($T$1826,'TAR FIN'!$A$1:$O$120,15,0)),0,VLOOKUP($T$1826,'TAR FIN'!$A$1:$O$120,15,0))</f>
        <v>109.87</v>
      </c>
      <c r="X1826" s="6">
        <f>IF(ISERROR(VLOOKUP($U$1826,'TAR FIN'!$A$1:$O$120,15,0)),0,VLOOKUP($U$1826,'TAR FIN'!$A$1:$O$120,15,0))</f>
        <v>162.55000000000001</v>
      </c>
      <c r="Y1826" s="6"/>
      <c r="Z1826" s="6">
        <f ca="1">('TUSD BE'!$AM$57+'TUSD BF'!$AM$57+'TUSD CVA'!$AM$57-('TUSD BE'!$P$57+'TUSD BF'!$P$57+'TUSD CVA'!$P$57)-('TUSD BE'!$Q$57+'TUSD BF'!$Q$57+'TUSD CVA'!$Q$57)-('TUSD BE'!$R$57+'TUSD BF'!$R$57+'TUSD CVA'!$R$57))*(1-CUSTOS!$M$35)</f>
        <v>119.10815716574068</v>
      </c>
      <c r="AA1826" s="6">
        <f>('TE BE'!$AA$21+'TE BF'!$AA$21+'TE CVA'!$AA$21)*(1-CUSTOS!$M$35)</f>
        <v>145.74340530948638</v>
      </c>
      <c r="AB1826" s="6">
        <f>$K$1826*$V$1826</f>
        <v>0</v>
      </c>
      <c r="AC1826" s="6">
        <f>$M$1826*$W$1826</f>
        <v>62040.842249999994</v>
      </c>
      <c r="AD1826" s="6">
        <f>$O$1826*$X$1826</f>
        <v>91787.921249999999</v>
      </c>
      <c r="AE1826" s="6">
        <f>$K$1826*$Y$1826</f>
        <v>0</v>
      </c>
      <c r="AF1826" s="6">
        <f ca="1">$M$1826*$Z$1826</f>
        <v>67257.398647564609</v>
      </c>
      <c r="AG1826" s="6">
        <f>$O$1826*$AA$1826</f>
        <v>82297.657393134214</v>
      </c>
    </row>
    <row r="1827" spans="1:33" ht="11.25" customHeight="1" x14ac:dyDescent="0.25">
      <c r="A1827" s="4" t="s">
        <v>21</v>
      </c>
      <c r="B1827" s="4" t="s">
        <v>22</v>
      </c>
      <c r="C1827" s="4" t="s">
        <v>23</v>
      </c>
      <c r="D1827" s="4" t="s">
        <v>24</v>
      </c>
      <c r="E1827" s="4" t="s">
        <v>30</v>
      </c>
      <c r="F1827" s="4" t="s">
        <v>25</v>
      </c>
      <c r="G1827" s="4" t="s">
        <v>25</v>
      </c>
      <c r="H1827" s="4" t="s">
        <v>25</v>
      </c>
      <c r="I1827" s="5">
        <v>43891</v>
      </c>
      <c r="J1827" s="6">
        <v>0</v>
      </c>
      <c r="K1827" s="6">
        <v>0</v>
      </c>
      <c r="L1827" s="6">
        <v>532.59799999999996</v>
      </c>
      <c r="M1827" s="6">
        <v>532.59799999999996</v>
      </c>
      <c r="N1827" s="6">
        <v>532.59799999999996</v>
      </c>
      <c r="O1827" s="6">
        <v>532.59799999999996</v>
      </c>
      <c r="P1827" s="6">
        <v>1472</v>
      </c>
      <c r="Q1827" s="4" t="s">
        <v>26</v>
      </c>
      <c r="R1827" s="4">
        <v>0</v>
      </c>
      <c r="S1827" s="6">
        <v>0</v>
      </c>
      <c r="T1827" s="6">
        <v>47</v>
      </c>
      <c r="U1827" s="6">
        <v>90</v>
      </c>
      <c r="V1827" s="6">
        <f>IF(ISERROR(VLOOKUP($S$1827,'TAR FIN'!$A$1:$O$120,15,0)),0,VLOOKUP($S$1827,'TAR FIN'!$A$1:$O$120,15,0))</f>
        <v>0</v>
      </c>
      <c r="W1827" s="6">
        <f>IF(ISERROR(VLOOKUP($T$1827,'TAR FIN'!$A$1:$O$120,15,0)),0,VLOOKUP($T$1827,'TAR FIN'!$A$1:$O$120,15,0))</f>
        <v>109.87</v>
      </c>
      <c r="X1827" s="6">
        <f>IF(ISERROR(VLOOKUP($U$1827,'TAR FIN'!$A$1:$O$120,15,0)),0,VLOOKUP($U$1827,'TAR FIN'!$A$1:$O$120,15,0))</f>
        <v>162.55000000000001</v>
      </c>
      <c r="Y1827" s="6"/>
      <c r="Z1827" s="6">
        <f ca="1">('TUSD BE'!$AM$57+'TUSD BF'!$AM$57+'TUSD CVA'!$AM$57-('TUSD BE'!$P$57+'TUSD BF'!$P$57+'TUSD CVA'!$P$57)-('TUSD BE'!$Q$57+'TUSD BF'!$Q$57+'TUSD CVA'!$Q$57)-('TUSD BE'!$R$57+'TUSD BF'!$R$57+'TUSD CVA'!$R$57))*(1-CUSTOS!$M$35)</f>
        <v>119.10815716574068</v>
      </c>
      <c r="AA1827" s="6">
        <f>('TE BE'!$AA$21+'TE BF'!$AA$21+'TE CVA'!$AA$21)*(1-CUSTOS!$M$35)</f>
        <v>145.74340530948638</v>
      </c>
      <c r="AB1827" s="6">
        <f>$K$1827*$V$1827</f>
        <v>0</v>
      </c>
      <c r="AC1827" s="6">
        <f>$M$1827*$W$1827</f>
        <v>58516.542259999995</v>
      </c>
      <c r="AD1827" s="6">
        <f>$O$1827*$X$1827</f>
        <v>86573.804900000003</v>
      </c>
      <c r="AE1827" s="6">
        <f>$K$1827*$Y$1827</f>
        <v>0</v>
      </c>
      <c r="AF1827" s="6">
        <f ca="1">$M$1827*$Z$1827</f>
        <v>63436.766290159147</v>
      </c>
      <c r="AG1827" s="6">
        <f>$O$1827*$AA$1827</f>
        <v>77622.646181021817</v>
      </c>
    </row>
    <row r="1828" spans="1:33" ht="11.25" customHeight="1" x14ac:dyDescent="0.25">
      <c r="A1828" s="4" t="s">
        <v>27</v>
      </c>
      <c r="B1828" s="4" t="s">
        <v>22</v>
      </c>
      <c r="C1828" s="4" t="s">
        <v>23</v>
      </c>
      <c r="D1828" s="4" t="s">
        <v>24</v>
      </c>
      <c r="E1828" s="4" t="s">
        <v>30</v>
      </c>
      <c r="F1828" s="4" t="s">
        <v>25</v>
      </c>
      <c r="G1828" s="4" t="s">
        <v>25</v>
      </c>
      <c r="H1828" s="4" t="s">
        <v>25</v>
      </c>
      <c r="I1828" s="5">
        <v>43891</v>
      </c>
      <c r="J1828" s="6">
        <v>0</v>
      </c>
      <c r="K1828" s="6">
        <v>0</v>
      </c>
      <c r="L1828" s="6">
        <v>0.48399999999999999</v>
      </c>
      <c r="M1828" s="6">
        <v>0.48399999999999999</v>
      </c>
      <c r="N1828" s="6">
        <v>0.48399999999999999</v>
      </c>
      <c r="O1828" s="6">
        <v>0.48399999999999999</v>
      </c>
      <c r="P1828" s="6">
        <v>1</v>
      </c>
      <c r="Q1828" s="4" t="s">
        <v>26</v>
      </c>
      <c r="R1828" s="4">
        <v>0</v>
      </c>
      <c r="S1828" s="6">
        <v>0</v>
      </c>
      <c r="T1828" s="6">
        <v>47</v>
      </c>
      <c r="U1828" s="6">
        <v>90</v>
      </c>
      <c r="V1828" s="6">
        <f>IF(ISERROR(VLOOKUP($S$1828,'TAR FIN'!$A$1:$O$120,15,0)),0,VLOOKUP($S$1828,'TAR FIN'!$A$1:$O$120,15,0))</f>
        <v>0</v>
      </c>
      <c r="W1828" s="6">
        <f>IF(ISERROR(VLOOKUP($T$1828,'TAR FIN'!$A$1:$O$120,15,0)),0,VLOOKUP($T$1828,'TAR FIN'!$A$1:$O$120,15,0))</f>
        <v>109.87</v>
      </c>
      <c r="X1828" s="6">
        <f>IF(ISERROR(VLOOKUP($U$1828,'TAR FIN'!$A$1:$O$120,15,0)),0,VLOOKUP($U$1828,'TAR FIN'!$A$1:$O$120,15,0))</f>
        <v>162.55000000000001</v>
      </c>
      <c r="Y1828" s="6"/>
      <c r="Z1828" s="6">
        <f ca="1">('TUSD BE'!$AM$57+'TUSD BF'!$AM$57+'TUSD CVA'!$AM$57-('TUSD BE'!$P$57+'TUSD BF'!$P$57+'TUSD CVA'!$P$57)-('TUSD BE'!$Q$57+'TUSD BF'!$Q$57+'TUSD CVA'!$Q$57)-('TUSD BE'!$R$57+'TUSD BF'!$R$57+'TUSD CVA'!$R$57))*(1-CUSTOS!$M$35)</f>
        <v>119.10815716574068</v>
      </c>
      <c r="AA1828" s="6">
        <f>('TE BE'!$AA$21+'TE BF'!$AA$21+'TE CVA'!$AA$21)*(1-CUSTOS!$M$35)</f>
        <v>145.74340530948638</v>
      </c>
      <c r="AB1828" s="6">
        <f>$K$1828*$V$1828</f>
        <v>0</v>
      </c>
      <c r="AC1828" s="6">
        <f>$M$1828*$W$1828</f>
        <v>53.177080000000004</v>
      </c>
      <c r="AD1828" s="6">
        <f>$O$1828*$X$1828</f>
        <v>78.674199999999999</v>
      </c>
      <c r="AE1828" s="6">
        <f>$K$1828*$Y$1828</f>
        <v>0</v>
      </c>
      <c r="AF1828" s="6">
        <f ca="1">$M$1828*$Z$1828</f>
        <v>57.648348068218489</v>
      </c>
      <c r="AG1828" s="6">
        <f>$O$1828*$AA$1828</f>
        <v>70.539808169791399</v>
      </c>
    </row>
    <row r="1829" spans="1:33" ht="11.25" customHeight="1" x14ac:dyDescent="0.25">
      <c r="A1829" s="4" t="s">
        <v>21</v>
      </c>
      <c r="B1829" s="4" t="s">
        <v>22</v>
      </c>
      <c r="C1829" s="4" t="s">
        <v>23</v>
      </c>
      <c r="D1829" s="4" t="s">
        <v>24</v>
      </c>
      <c r="E1829" s="4" t="s">
        <v>30</v>
      </c>
      <c r="F1829" s="4" t="s">
        <v>25</v>
      </c>
      <c r="G1829" s="4" t="s">
        <v>25</v>
      </c>
      <c r="H1829" s="4" t="s">
        <v>25</v>
      </c>
      <c r="I1829" s="5">
        <v>43922</v>
      </c>
      <c r="J1829" s="6">
        <v>0</v>
      </c>
      <c r="K1829" s="6">
        <v>0</v>
      </c>
      <c r="L1829" s="6">
        <v>536.19799999999998</v>
      </c>
      <c r="M1829" s="6">
        <v>536.19799999999998</v>
      </c>
      <c r="N1829" s="6">
        <v>536.19799999999998</v>
      </c>
      <c r="O1829" s="6">
        <v>536.19799999999998</v>
      </c>
      <c r="P1829" s="6">
        <v>1169</v>
      </c>
      <c r="Q1829" s="4" t="s">
        <v>26</v>
      </c>
      <c r="R1829" s="4">
        <v>0</v>
      </c>
      <c r="S1829" s="6">
        <v>0</v>
      </c>
      <c r="T1829" s="6">
        <v>47</v>
      </c>
      <c r="U1829" s="6">
        <v>90</v>
      </c>
      <c r="V1829" s="6">
        <f>IF(ISERROR(VLOOKUP($S$1829,'TAR FIN'!$A$1:$O$120,15,0)),0,VLOOKUP($S$1829,'TAR FIN'!$A$1:$O$120,15,0))</f>
        <v>0</v>
      </c>
      <c r="W1829" s="6">
        <f>IF(ISERROR(VLOOKUP($T$1829,'TAR FIN'!$A$1:$O$120,15,0)),0,VLOOKUP($T$1829,'TAR FIN'!$A$1:$O$120,15,0))</f>
        <v>109.87</v>
      </c>
      <c r="X1829" s="6">
        <f>IF(ISERROR(VLOOKUP($U$1829,'TAR FIN'!$A$1:$O$120,15,0)),0,VLOOKUP($U$1829,'TAR FIN'!$A$1:$O$120,15,0))</f>
        <v>162.55000000000001</v>
      </c>
      <c r="Y1829" s="6"/>
      <c r="Z1829" s="6">
        <f ca="1">('TUSD BE'!$AM$57+'TUSD BF'!$AM$57+'TUSD CVA'!$AM$57-('TUSD BE'!$P$57+'TUSD BF'!$P$57+'TUSD CVA'!$P$57)-('TUSD BE'!$Q$57+'TUSD BF'!$Q$57+'TUSD CVA'!$Q$57)-('TUSD BE'!$R$57+'TUSD BF'!$R$57+'TUSD CVA'!$R$57))*(1-CUSTOS!$M$35)</f>
        <v>119.10815716574068</v>
      </c>
      <c r="AA1829" s="6">
        <f>('TE BE'!$AA$21+'TE BF'!$AA$21+'TE CVA'!$AA$21)*(1-CUSTOS!$M$35)</f>
        <v>145.74340530948638</v>
      </c>
      <c r="AB1829" s="6">
        <f>$K$1829*$V$1829</f>
        <v>0</v>
      </c>
      <c r="AC1829" s="6">
        <f>$M$1829*$W$1829</f>
        <v>58912.074260000001</v>
      </c>
      <c r="AD1829" s="6">
        <f>$O$1829*$X$1829</f>
        <v>87158.984899999996</v>
      </c>
      <c r="AE1829" s="6">
        <f>$K$1829*$Y$1829</f>
        <v>0</v>
      </c>
      <c r="AF1829" s="6">
        <f ca="1">$M$1829*$Z$1829</f>
        <v>63865.555655955817</v>
      </c>
      <c r="AG1829" s="6">
        <f>$O$1829*$AA$1829</f>
        <v>78147.322440135977</v>
      </c>
    </row>
    <row r="1830" spans="1:33" ht="11.25" customHeight="1" x14ac:dyDescent="0.25">
      <c r="A1830" s="4" t="s">
        <v>27</v>
      </c>
      <c r="B1830" s="4" t="s">
        <v>22</v>
      </c>
      <c r="C1830" s="4" t="s">
        <v>23</v>
      </c>
      <c r="D1830" s="4" t="s">
        <v>24</v>
      </c>
      <c r="E1830" s="4" t="s">
        <v>30</v>
      </c>
      <c r="F1830" s="4" t="s">
        <v>25</v>
      </c>
      <c r="G1830" s="4" t="s">
        <v>25</v>
      </c>
      <c r="H1830" s="4" t="s">
        <v>25</v>
      </c>
      <c r="I1830" s="5">
        <v>43922</v>
      </c>
      <c r="J1830" s="6">
        <v>0</v>
      </c>
      <c r="K1830" s="6">
        <v>0</v>
      </c>
      <c r="L1830" s="6">
        <v>2.2400000000000002</v>
      </c>
      <c r="M1830" s="6">
        <v>2.2400000000000002</v>
      </c>
      <c r="N1830" s="6">
        <v>2.2400000000000002</v>
      </c>
      <c r="O1830" s="6">
        <v>2.2400000000000002</v>
      </c>
      <c r="P1830" s="6">
        <v>0</v>
      </c>
      <c r="Q1830" s="4" t="s">
        <v>26</v>
      </c>
      <c r="R1830" s="4">
        <v>0</v>
      </c>
      <c r="S1830" s="6">
        <v>0</v>
      </c>
      <c r="T1830" s="6">
        <v>47</v>
      </c>
      <c r="U1830" s="6">
        <v>90</v>
      </c>
      <c r="V1830" s="6">
        <f>IF(ISERROR(VLOOKUP($S$1830,'TAR FIN'!$A$1:$O$120,15,0)),0,VLOOKUP($S$1830,'TAR FIN'!$A$1:$O$120,15,0))</f>
        <v>0</v>
      </c>
      <c r="W1830" s="6">
        <f>IF(ISERROR(VLOOKUP($T$1830,'TAR FIN'!$A$1:$O$120,15,0)),0,VLOOKUP($T$1830,'TAR FIN'!$A$1:$O$120,15,0))</f>
        <v>109.87</v>
      </c>
      <c r="X1830" s="6">
        <f>IF(ISERROR(VLOOKUP($U$1830,'TAR FIN'!$A$1:$O$120,15,0)),0,VLOOKUP($U$1830,'TAR FIN'!$A$1:$O$120,15,0))</f>
        <v>162.55000000000001</v>
      </c>
      <c r="Y1830" s="6"/>
      <c r="Z1830" s="6">
        <f ca="1">('TUSD BE'!$AM$57+'TUSD BF'!$AM$57+'TUSD CVA'!$AM$57-('TUSD BE'!$P$57+'TUSD BF'!$P$57+'TUSD CVA'!$P$57)-('TUSD BE'!$Q$57+'TUSD BF'!$Q$57+'TUSD CVA'!$Q$57)-('TUSD BE'!$R$57+'TUSD BF'!$R$57+'TUSD CVA'!$R$57))*(1-CUSTOS!$M$35)</f>
        <v>119.10815716574068</v>
      </c>
      <c r="AA1830" s="6">
        <f>('TE BE'!$AA$21+'TE BF'!$AA$21+'TE CVA'!$AA$21)*(1-CUSTOS!$M$35)</f>
        <v>145.74340530948638</v>
      </c>
      <c r="AB1830" s="6">
        <f>$K$1830*$V$1830</f>
        <v>0</v>
      </c>
      <c r="AC1830" s="6">
        <f>$M$1830*$W$1830</f>
        <v>246.10880000000003</v>
      </c>
      <c r="AD1830" s="6">
        <f>$O$1830*$X$1830</f>
        <v>364.11200000000008</v>
      </c>
      <c r="AE1830" s="6">
        <f>$K$1830*$Y$1830</f>
        <v>0</v>
      </c>
      <c r="AF1830" s="6">
        <f ca="1">$M$1830*$Z$1830</f>
        <v>266.80227205125914</v>
      </c>
      <c r="AG1830" s="6">
        <f>$O$1830*$AA$1830</f>
        <v>326.46522789324951</v>
      </c>
    </row>
    <row r="1831" spans="1:33" ht="11.25" customHeight="1" x14ac:dyDescent="0.25">
      <c r="A1831" s="4" t="s">
        <v>21</v>
      </c>
      <c r="B1831" s="4" t="s">
        <v>22</v>
      </c>
      <c r="C1831" s="4" t="s">
        <v>23</v>
      </c>
      <c r="D1831" s="4" t="s">
        <v>24</v>
      </c>
      <c r="E1831" s="4" t="s">
        <v>30</v>
      </c>
      <c r="F1831" s="4" t="s">
        <v>25</v>
      </c>
      <c r="G1831" s="4" t="s">
        <v>25</v>
      </c>
      <c r="H1831" s="4" t="s">
        <v>25</v>
      </c>
      <c r="I1831" s="5">
        <v>43952</v>
      </c>
      <c r="J1831" s="6">
        <v>0</v>
      </c>
      <c r="K1831" s="6">
        <v>0</v>
      </c>
      <c r="L1831" s="6">
        <v>635.86900000000003</v>
      </c>
      <c r="M1831" s="6">
        <v>635.86900000000003</v>
      </c>
      <c r="N1831" s="6">
        <v>635.86900000000003</v>
      </c>
      <c r="O1831" s="6">
        <v>635.86900000000003</v>
      </c>
      <c r="P1831" s="6">
        <v>1424</v>
      </c>
      <c r="Q1831" s="4" t="s">
        <v>26</v>
      </c>
      <c r="R1831" s="4">
        <v>0</v>
      </c>
      <c r="S1831" s="6">
        <v>0</v>
      </c>
      <c r="T1831" s="6">
        <v>47</v>
      </c>
      <c r="U1831" s="6">
        <v>90</v>
      </c>
      <c r="V1831" s="6">
        <f>IF(ISERROR(VLOOKUP($S$1831,'TAR FIN'!$A$1:$O$120,15,0)),0,VLOOKUP($S$1831,'TAR FIN'!$A$1:$O$120,15,0))</f>
        <v>0</v>
      </c>
      <c r="W1831" s="6">
        <f>IF(ISERROR(VLOOKUP($T$1831,'TAR FIN'!$A$1:$O$120,15,0)),0,VLOOKUP($T$1831,'TAR FIN'!$A$1:$O$120,15,0))</f>
        <v>109.87</v>
      </c>
      <c r="X1831" s="6">
        <f>IF(ISERROR(VLOOKUP($U$1831,'TAR FIN'!$A$1:$O$120,15,0)),0,VLOOKUP($U$1831,'TAR FIN'!$A$1:$O$120,15,0))</f>
        <v>162.55000000000001</v>
      </c>
      <c r="Y1831" s="6"/>
      <c r="Z1831" s="6">
        <f ca="1">('TUSD BE'!$AM$57+'TUSD BF'!$AM$57+'TUSD CVA'!$AM$57-('TUSD BE'!$P$57+'TUSD BF'!$P$57+'TUSD CVA'!$P$57)-('TUSD BE'!$Q$57+'TUSD BF'!$Q$57+'TUSD CVA'!$Q$57)-('TUSD BE'!$R$57+'TUSD BF'!$R$57+'TUSD CVA'!$R$57))*(1-CUSTOS!$M$35)</f>
        <v>119.10815716574068</v>
      </c>
      <c r="AA1831" s="6">
        <f>('TE BE'!$AA$21+'TE BF'!$AA$21+'TE CVA'!$AA$21)*(1-CUSTOS!$M$35)</f>
        <v>145.74340530948638</v>
      </c>
      <c r="AB1831" s="6">
        <f>$K$1831*$V$1831</f>
        <v>0</v>
      </c>
      <c r="AC1831" s="6">
        <f>$M$1831*$W$1831</f>
        <v>69862.927030000006</v>
      </c>
      <c r="AD1831" s="6">
        <f>$O$1831*$X$1831</f>
        <v>103360.50595000001</v>
      </c>
      <c r="AE1831" s="6">
        <f>$K$1831*$Y$1831</f>
        <v>0</v>
      </c>
      <c r="AF1831" s="6">
        <f ca="1">$M$1831*$Z$1831</f>
        <v>75737.184788822356</v>
      </c>
      <c r="AG1831" s="6">
        <f>$O$1831*$AA$1831</f>
        <v>92673.713390737801</v>
      </c>
    </row>
    <row r="1832" spans="1:33" ht="11.25" customHeight="1" x14ac:dyDescent="0.25">
      <c r="A1832" s="4" t="s">
        <v>27</v>
      </c>
      <c r="B1832" s="4" t="s">
        <v>22</v>
      </c>
      <c r="C1832" s="4" t="s">
        <v>23</v>
      </c>
      <c r="D1832" s="4" t="s">
        <v>24</v>
      </c>
      <c r="E1832" s="4" t="s">
        <v>30</v>
      </c>
      <c r="F1832" s="4" t="s">
        <v>25</v>
      </c>
      <c r="G1832" s="4" t="s">
        <v>25</v>
      </c>
      <c r="H1832" s="4" t="s">
        <v>25</v>
      </c>
      <c r="I1832" s="5">
        <v>43952</v>
      </c>
      <c r="J1832" s="6">
        <v>0</v>
      </c>
      <c r="K1832" s="6">
        <v>0</v>
      </c>
      <c r="L1832" s="6">
        <v>5.74</v>
      </c>
      <c r="M1832" s="6">
        <v>5.74</v>
      </c>
      <c r="N1832" s="6">
        <v>5.74</v>
      </c>
      <c r="O1832" s="6">
        <v>5.74</v>
      </c>
      <c r="P1832" s="6">
        <v>0</v>
      </c>
      <c r="Q1832" s="4" t="s">
        <v>26</v>
      </c>
      <c r="R1832" s="4">
        <v>0</v>
      </c>
      <c r="S1832" s="6">
        <v>0</v>
      </c>
      <c r="T1832" s="6">
        <v>47</v>
      </c>
      <c r="U1832" s="6">
        <v>90</v>
      </c>
      <c r="V1832" s="6">
        <f>IF(ISERROR(VLOOKUP($S$1832,'TAR FIN'!$A$1:$O$120,15,0)),0,VLOOKUP($S$1832,'TAR FIN'!$A$1:$O$120,15,0))</f>
        <v>0</v>
      </c>
      <c r="W1832" s="6">
        <f>IF(ISERROR(VLOOKUP($T$1832,'TAR FIN'!$A$1:$O$120,15,0)),0,VLOOKUP($T$1832,'TAR FIN'!$A$1:$O$120,15,0))</f>
        <v>109.87</v>
      </c>
      <c r="X1832" s="6">
        <f>IF(ISERROR(VLOOKUP($U$1832,'TAR FIN'!$A$1:$O$120,15,0)),0,VLOOKUP($U$1832,'TAR FIN'!$A$1:$O$120,15,0))</f>
        <v>162.55000000000001</v>
      </c>
      <c r="Y1832" s="6"/>
      <c r="Z1832" s="6">
        <f ca="1">('TUSD BE'!$AM$57+'TUSD BF'!$AM$57+'TUSD CVA'!$AM$57-('TUSD BE'!$P$57+'TUSD BF'!$P$57+'TUSD CVA'!$P$57)-('TUSD BE'!$Q$57+'TUSD BF'!$Q$57+'TUSD CVA'!$Q$57)-('TUSD BE'!$R$57+'TUSD BF'!$R$57+'TUSD CVA'!$R$57))*(1-CUSTOS!$M$35)</f>
        <v>119.10815716574068</v>
      </c>
      <c r="AA1832" s="6">
        <f>('TE BE'!$AA$21+'TE BF'!$AA$21+'TE CVA'!$AA$21)*(1-CUSTOS!$M$35)</f>
        <v>145.74340530948638</v>
      </c>
      <c r="AB1832" s="6">
        <f>$K$1832*$V$1832</f>
        <v>0</v>
      </c>
      <c r="AC1832" s="6">
        <f>$M$1832*$W$1832</f>
        <v>630.65380000000005</v>
      </c>
      <c r="AD1832" s="6">
        <f>$O$1832*$X$1832</f>
        <v>933.03700000000015</v>
      </c>
      <c r="AE1832" s="6">
        <f>$K$1832*$Y$1832</f>
        <v>0</v>
      </c>
      <c r="AF1832" s="6">
        <f ca="1">$M$1832*$Z$1832</f>
        <v>683.68082213135153</v>
      </c>
      <c r="AG1832" s="6">
        <f>$O$1832*$AA$1832</f>
        <v>836.56714647645185</v>
      </c>
    </row>
    <row r="1833" spans="1:33" ht="11.25" customHeight="1" x14ac:dyDescent="0.25">
      <c r="A1833" s="4" t="s">
        <v>21</v>
      </c>
      <c r="B1833" s="4" t="s">
        <v>22</v>
      </c>
      <c r="C1833" s="4" t="s">
        <v>23</v>
      </c>
      <c r="D1833" s="4" t="s">
        <v>24</v>
      </c>
      <c r="E1833" s="4" t="s">
        <v>30</v>
      </c>
      <c r="F1833" s="4" t="s">
        <v>25</v>
      </c>
      <c r="G1833" s="4" t="s">
        <v>25</v>
      </c>
      <c r="H1833" s="4" t="s">
        <v>25</v>
      </c>
      <c r="I1833" s="5">
        <v>43983</v>
      </c>
      <c r="J1833" s="6">
        <v>0</v>
      </c>
      <c r="K1833" s="6">
        <v>0</v>
      </c>
      <c r="L1833" s="6">
        <v>683.36500000000001</v>
      </c>
      <c r="M1833" s="6">
        <v>683.36500000000001</v>
      </c>
      <c r="N1833" s="6">
        <v>683.36500000000001</v>
      </c>
      <c r="O1833" s="6">
        <v>683.36500000000001</v>
      </c>
      <c r="P1833" s="6">
        <v>1934</v>
      </c>
      <c r="Q1833" s="4" t="s">
        <v>26</v>
      </c>
      <c r="R1833" s="4">
        <v>0</v>
      </c>
      <c r="S1833" s="6">
        <v>0</v>
      </c>
      <c r="T1833" s="6">
        <v>47</v>
      </c>
      <c r="U1833" s="6">
        <v>90</v>
      </c>
      <c r="V1833" s="6">
        <f>IF(ISERROR(VLOOKUP($S$1833,'TAR FIN'!$A$1:$O$120,15,0)),0,VLOOKUP($S$1833,'TAR FIN'!$A$1:$O$120,15,0))</f>
        <v>0</v>
      </c>
      <c r="W1833" s="6">
        <f>IF(ISERROR(VLOOKUP($T$1833,'TAR FIN'!$A$1:$O$120,15,0)),0,VLOOKUP($T$1833,'TAR FIN'!$A$1:$O$120,15,0))</f>
        <v>109.87</v>
      </c>
      <c r="X1833" s="6">
        <f>IF(ISERROR(VLOOKUP($U$1833,'TAR FIN'!$A$1:$O$120,15,0)),0,VLOOKUP($U$1833,'TAR FIN'!$A$1:$O$120,15,0))</f>
        <v>162.55000000000001</v>
      </c>
      <c r="Y1833" s="6"/>
      <c r="Z1833" s="6">
        <f ca="1">('TUSD BE'!$AM$57+'TUSD BF'!$AM$57+'TUSD CVA'!$AM$57-('TUSD BE'!$P$57+'TUSD BF'!$P$57+'TUSD CVA'!$P$57)-('TUSD BE'!$Q$57+'TUSD BF'!$Q$57+'TUSD CVA'!$Q$57)-('TUSD BE'!$R$57+'TUSD BF'!$R$57+'TUSD CVA'!$R$57))*(1-CUSTOS!$M$35)</f>
        <v>119.10815716574068</v>
      </c>
      <c r="AA1833" s="6">
        <f>('TE BE'!$AA$21+'TE BF'!$AA$21+'TE CVA'!$AA$21)*(1-CUSTOS!$M$35)</f>
        <v>145.74340530948638</v>
      </c>
      <c r="AB1833" s="6">
        <f>$K$1833*$V$1833</f>
        <v>0</v>
      </c>
      <c r="AC1833" s="6">
        <f>$M$1833*$W$1833</f>
        <v>75081.312550000002</v>
      </c>
      <c r="AD1833" s="6">
        <f>$O$1833*$X$1833</f>
        <v>111080.98075</v>
      </c>
      <c r="AE1833" s="6">
        <f>$K$1833*$Y$1833</f>
        <v>0</v>
      </c>
      <c r="AF1833" s="6">
        <f ca="1">$M$1833*$Z$1833</f>
        <v>81394.345821566385</v>
      </c>
      <c r="AG1833" s="6">
        <f>$O$1833*$AA$1833</f>
        <v>99595.942169317161</v>
      </c>
    </row>
    <row r="1834" spans="1:33" ht="11.25" customHeight="1" x14ac:dyDescent="0.25">
      <c r="A1834" s="4" t="s">
        <v>27</v>
      </c>
      <c r="B1834" s="4" t="s">
        <v>22</v>
      </c>
      <c r="C1834" s="4" t="s">
        <v>23</v>
      </c>
      <c r="D1834" s="4" t="s">
        <v>24</v>
      </c>
      <c r="E1834" s="4" t="s">
        <v>30</v>
      </c>
      <c r="F1834" s="4" t="s">
        <v>25</v>
      </c>
      <c r="G1834" s="4" t="s">
        <v>25</v>
      </c>
      <c r="H1834" s="4" t="s">
        <v>25</v>
      </c>
      <c r="I1834" s="5">
        <v>43983</v>
      </c>
      <c r="J1834" s="6">
        <v>0</v>
      </c>
      <c r="K1834" s="6">
        <v>0</v>
      </c>
      <c r="L1834" s="6">
        <v>0.49</v>
      </c>
      <c r="M1834" s="6">
        <v>0.49</v>
      </c>
      <c r="N1834" s="6">
        <v>0.49</v>
      </c>
      <c r="O1834" s="6">
        <v>0.49</v>
      </c>
      <c r="P1834" s="6">
        <v>0</v>
      </c>
      <c r="Q1834" s="4" t="s">
        <v>26</v>
      </c>
      <c r="R1834" s="4">
        <v>0</v>
      </c>
      <c r="S1834" s="6">
        <v>0</v>
      </c>
      <c r="T1834" s="6">
        <v>47</v>
      </c>
      <c r="U1834" s="6">
        <v>90</v>
      </c>
      <c r="V1834" s="6">
        <f>IF(ISERROR(VLOOKUP($S$1834,'TAR FIN'!$A$1:$O$120,15,0)),0,VLOOKUP($S$1834,'TAR FIN'!$A$1:$O$120,15,0))</f>
        <v>0</v>
      </c>
      <c r="W1834" s="6">
        <f>IF(ISERROR(VLOOKUP($T$1834,'TAR FIN'!$A$1:$O$120,15,0)),0,VLOOKUP($T$1834,'TAR FIN'!$A$1:$O$120,15,0))</f>
        <v>109.87</v>
      </c>
      <c r="X1834" s="6">
        <f>IF(ISERROR(VLOOKUP($U$1834,'TAR FIN'!$A$1:$O$120,15,0)),0,VLOOKUP($U$1834,'TAR FIN'!$A$1:$O$120,15,0))</f>
        <v>162.55000000000001</v>
      </c>
      <c r="Y1834" s="6"/>
      <c r="Z1834" s="6">
        <f ca="1">('TUSD BE'!$AM$57+'TUSD BF'!$AM$57+'TUSD CVA'!$AM$57-('TUSD BE'!$P$57+'TUSD BF'!$P$57+'TUSD CVA'!$P$57)-('TUSD BE'!$Q$57+'TUSD BF'!$Q$57+'TUSD CVA'!$Q$57)-('TUSD BE'!$R$57+'TUSD BF'!$R$57+'TUSD CVA'!$R$57))*(1-CUSTOS!$M$35)</f>
        <v>119.10815716574068</v>
      </c>
      <c r="AA1834" s="6">
        <f>('TE BE'!$AA$21+'TE BF'!$AA$21+'TE CVA'!$AA$21)*(1-CUSTOS!$M$35)</f>
        <v>145.74340530948638</v>
      </c>
      <c r="AB1834" s="6">
        <f>$K$1834*$V$1834</f>
        <v>0</v>
      </c>
      <c r="AC1834" s="6">
        <f>$M$1834*$W$1834</f>
        <v>53.836300000000001</v>
      </c>
      <c r="AD1834" s="6">
        <f>$O$1834*$X$1834</f>
        <v>79.649500000000003</v>
      </c>
      <c r="AE1834" s="6">
        <f>$K$1834*$Y$1834</f>
        <v>0</v>
      </c>
      <c r="AF1834" s="6">
        <f ca="1">$M$1834*$Z$1834</f>
        <v>58.362997011212933</v>
      </c>
      <c r="AG1834" s="6">
        <f>$O$1834*$AA$1834</f>
        <v>71.414268601648317</v>
      </c>
    </row>
    <row r="1835" spans="1:33" ht="11.25" customHeight="1" x14ac:dyDescent="0.25">
      <c r="A1835" s="4" t="s">
        <v>21</v>
      </c>
      <c r="B1835" s="4" t="s">
        <v>22</v>
      </c>
      <c r="C1835" s="4" t="s">
        <v>23</v>
      </c>
      <c r="D1835" s="4" t="s">
        <v>24</v>
      </c>
      <c r="E1835" s="4" t="s">
        <v>30</v>
      </c>
      <c r="F1835" s="4" t="s">
        <v>25</v>
      </c>
      <c r="G1835" s="4" t="s">
        <v>25</v>
      </c>
      <c r="H1835" s="4" t="s">
        <v>25</v>
      </c>
      <c r="I1835" s="5">
        <v>44013</v>
      </c>
      <c r="J1835" s="6">
        <v>0</v>
      </c>
      <c r="K1835" s="6">
        <v>0</v>
      </c>
      <c r="L1835" s="6">
        <v>714.41399999999999</v>
      </c>
      <c r="M1835" s="6">
        <v>714.41399999999999</v>
      </c>
      <c r="N1835" s="6">
        <v>714.41399999999999</v>
      </c>
      <c r="O1835" s="6">
        <v>714.41399999999999</v>
      </c>
      <c r="P1835" s="6">
        <v>1862</v>
      </c>
      <c r="Q1835" s="4" t="s">
        <v>26</v>
      </c>
      <c r="R1835" s="4">
        <v>0</v>
      </c>
      <c r="S1835" s="6">
        <v>0</v>
      </c>
      <c r="T1835" s="6">
        <v>47</v>
      </c>
      <c r="U1835" s="6">
        <v>90</v>
      </c>
      <c r="V1835" s="6">
        <f>IF(ISERROR(VLOOKUP($S$1835,'TAR FIN'!$A$1:$O$120,15,0)),0,VLOOKUP($S$1835,'TAR FIN'!$A$1:$O$120,15,0))</f>
        <v>0</v>
      </c>
      <c r="W1835" s="6">
        <f>IF(ISERROR(VLOOKUP($T$1835,'TAR FIN'!$A$1:$O$120,15,0)),0,VLOOKUP($T$1835,'TAR FIN'!$A$1:$O$120,15,0))</f>
        <v>109.87</v>
      </c>
      <c r="X1835" s="6">
        <f>IF(ISERROR(VLOOKUP($U$1835,'TAR FIN'!$A$1:$O$120,15,0)),0,VLOOKUP($U$1835,'TAR FIN'!$A$1:$O$120,15,0))</f>
        <v>162.55000000000001</v>
      </c>
      <c r="Y1835" s="6"/>
      <c r="Z1835" s="6">
        <f ca="1">('TUSD BE'!$AM$57+'TUSD BF'!$AM$57+'TUSD CVA'!$AM$57-('TUSD BE'!$P$57+'TUSD BF'!$P$57+'TUSD CVA'!$P$57)-('TUSD BE'!$Q$57+'TUSD BF'!$Q$57+'TUSD CVA'!$Q$57)-('TUSD BE'!$R$57+'TUSD BF'!$R$57+'TUSD CVA'!$R$57))*(1-CUSTOS!$M$35)</f>
        <v>119.10815716574068</v>
      </c>
      <c r="AA1835" s="6">
        <f>('TE BE'!$AA$21+'TE BF'!$AA$21+'TE CVA'!$AA$21)*(1-CUSTOS!$M$35)</f>
        <v>145.74340530948638</v>
      </c>
      <c r="AB1835" s="6">
        <f>$K$1835*$V$1835</f>
        <v>0</v>
      </c>
      <c r="AC1835" s="6">
        <f>$M$1835*$W$1835</f>
        <v>78492.66618</v>
      </c>
      <c r="AD1835" s="6">
        <f>$O$1835*$X$1835</f>
        <v>116127.9957</v>
      </c>
      <c r="AE1835" s="6">
        <f>$K$1835*$Y$1835</f>
        <v>0</v>
      </c>
      <c r="AF1835" s="6">
        <f ca="1">$M$1835*$Z$1835</f>
        <v>85092.534993405454</v>
      </c>
      <c r="AG1835" s="6">
        <f>$O$1835*$AA$1835</f>
        <v>104121.12916077139</v>
      </c>
    </row>
    <row r="1836" spans="1:33" ht="11.25" customHeight="1" x14ac:dyDescent="0.25">
      <c r="A1836" s="4" t="s">
        <v>27</v>
      </c>
      <c r="B1836" s="4" t="s">
        <v>22</v>
      </c>
      <c r="C1836" s="4" t="s">
        <v>23</v>
      </c>
      <c r="D1836" s="4" t="s">
        <v>24</v>
      </c>
      <c r="E1836" s="4" t="s">
        <v>30</v>
      </c>
      <c r="F1836" s="4" t="s">
        <v>25</v>
      </c>
      <c r="G1836" s="4" t="s">
        <v>25</v>
      </c>
      <c r="H1836" s="4" t="s">
        <v>25</v>
      </c>
      <c r="I1836" s="5">
        <v>44013</v>
      </c>
      <c r="J1836" s="6">
        <v>0</v>
      </c>
      <c r="K1836" s="6">
        <v>0</v>
      </c>
      <c r="L1836" s="6">
        <v>0.28000000000000003</v>
      </c>
      <c r="M1836" s="6">
        <v>0.28000000000000003</v>
      </c>
      <c r="N1836" s="6">
        <v>0.28000000000000003</v>
      </c>
      <c r="O1836" s="6">
        <v>0.28000000000000003</v>
      </c>
      <c r="P1836" s="6">
        <v>0</v>
      </c>
      <c r="Q1836" s="4" t="s">
        <v>26</v>
      </c>
      <c r="R1836" s="4">
        <v>0</v>
      </c>
      <c r="S1836" s="6">
        <v>0</v>
      </c>
      <c r="T1836" s="6">
        <v>47</v>
      </c>
      <c r="U1836" s="6">
        <v>90</v>
      </c>
      <c r="V1836" s="6">
        <f>IF(ISERROR(VLOOKUP($S$1836,'TAR FIN'!$A$1:$O$120,15,0)),0,VLOOKUP($S$1836,'TAR FIN'!$A$1:$O$120,15,0))</f>
        <v>0</v>
      </c>
      <c r="W1836" s="6">
        <f>IF(ISERROR(VLOOKUP($T$1836,'TAR FIN'!$A$1:$O$120,15,0)),0,VLOOKUP($T$1836,'TAR FIN'!$A$1:$O$120,15,0))</f>
        <v>109.87</v>
      </c>
      <c r="X1836" s="6">
        <f>IF(ISERROR(VLOOKUP($U$1836,'TAR FIN'!$A$1:$O$120,15,0)),0,VLOOKUP($U$1836,'TAR FIN'!$A$1:$O$120,15,0))</f>
        <v>162.55000000000001</v>
      </c>
      <c r="Y1836" s="6"/>
      <c r="Z1836" s="6">
        <f ca="1">('TUSD BE'!$AM$57+'TUSD BF'!$AM$57+'TUSD CVA'!$AM$57-('TUSD BE'!$P$57+'TUSD BF'!$P$57+'TUSD CVA'!$P$57)-('TUSD BE'!$Q$57+'TUSD BF'!$Q$57+'TUSD CVA'!$Q$57)-('TUSD BE'!$R$57+'TUSD BF'!$R$57+'TUSD CVA'!$R$57))*(1-CUSTOS!$M$35)</f>
        <v>119.10815716574068</v>
      </c>
      <c r="AA1836" s="6">
        <f>('TE BE'!$AA$21+'TE BF'!$AA$21+'TE CVA'!$AA$21)*(1-CUSTOS!$M$35)</f>
        <v>145.74340530948638</v>
      </c>
      <c r="AB1836" s="6">
        <f>$K$1836*$V$1836</f>
        <v>0</v>
      </c>
      <c r="AC1836" s="6">
        <f>$M$1836*$W$1836</f>
        <v>30.763600000000004</v>
      </c>
      <c r="AD1836" s="6">
        <f>$O$1836*$X$1836</f>
        <v>45.51400000000001</v>
      </c>
      <c r="AE1836" s="6">
        <f>$K$1836*$Y$1836</f>
        <v>0</v>
      </c>
      <c r="AF1836" s="6">
        <f ca="1">$M$1836*$Z$1836</f>
        <v>33.350284006407392</v>
      </c>
      <c r="AG1836" s="6">
        <f>$O$1836*$AA$1836</f>
        <v>40.808153486656188</v>
      </c>
    </row>
    <row r="1837" spans="1:33" ht="11.25" customHeight="1" x14ac:dyDescent="0.25">
      <c r="A1837" s="4" t="s">
        <v>21</v>
      </c>
      <c r="B1837" s="4" t="s">
        <v>22</v>
      </c>
      <c r="C1837" s="4" t="s">
        <v>23</v>
      </c>
      <c r="D1837" s="4" t="s">
        <v>24</v>
      </c>
      <c r="E1837" s="4" t="s">
        <v>30</v>
      </c>
      <c r="F1837" s="4" t="s">
        <v>25</v>
      </c>
      <c r="G1837" s="4" t="s">
        <v>25</v>
      </c>
      <c r="H1837" s="4" t="s">
        <v>25</v>
      </c>
      <c r="I1837" s="5">
        <v>44044</v>
      </c>
      <c r="J1837" s="6">
        <v>0</v>
      </c>
      <c r="K1837" s="6">
        <v>0</v>
      </c>
      <c r="L1837" s="6">
        <v>736.76400000000001</v>
      </c>
      <c r="M1837" s="6">
        <v>736.76400000000001</v>
      </c>
      <c r="N1837" s="6">
        <v>736.76400000000001</v>
      </c>
      <c r="O1837" s="6">
        <v>736.76400000000001</v>
      </c>
      <c r="P1837" s="6">
        <v>1564</v>
      </c>
      <c r="Q1837" s="4" t="s">
        <v>26</v>
      </c>
      <c r="R1837" s="4">
        <v>0</v>
      </c>
      <c r="S1837" s="6">
        <v>0</v>
      </c>
      <c r="T1837" s="6">
        <v>47</v>
      </c>
      <c r="U1837" s="6">
        <v>90</v>
      </c>
      <c r="V1837" s="6">
        <f>IF(ISERROR(VLOOKUP($S$1837,'TAR FIN'!$A$1:$O$120,15,0)),0,VLOOKUP($S$1837,'TAR FIN'!$A$1:$O$120,15,0))</f>
        <v>0</v>
      </c>
      <c r="W1837" s="6">
        <f>IF(ISERROR(VLOOKUP($T$1837,'TAR FIN'!$A$1:$O$120,15,0)),0,VLOOKUP($T$1837,'TAR FIN'!$A$1:$O$120,15,0))</f>
        <v>109.87</v>
      </c>
      <c r="X1837" s="6">
        <f>IF(ISERROR(VLOOKUP($U$1837,'TAR FIN'!$A$1:$O$120,15,0)),0,VLOOKUP($U$1837,'TAR FIN'!$A$1:$O$120,15,0))</f>
        <v>162.55000000000001</v>
      </c>
      <c r="Y1837" s="6"/>
      <c r="Z1837" s="6">
        <f ca="1">('TUSD BE'!$AM$57+'TUSD BF'!$AM$57+'TUSD CVA'!$AM$57-('TUSD BE'!$P$57+'TUSD BF'!$P$57+'TUSD CVA'!$P$57)-('TUSD BE'!$Q$57+'TUSD BF'!$Q$57+'TUSD CVA'!$Q$57)-('TUSD BE'!$R$57+'TUSD BF'!$R$57+'TUSD CVA'!$R$57))*(1-CUSTOS!$M$35)</f>
        <v>119.10815716574068</v>
      </c>
      <c r="AA1837" s="6">
        <f>('TE BE'!$AA$21+'TE BF'!$AA$21+'TE CVA'!$AA$21)*(1-CUSTOS!$M$35)</f>
        <v>145.74340530948638</v>
      </c>
      <c r="AB1837" s="6">
        <f>$K$1837*$V$1837</f>
        <v>0</v>
      </c>
      <c r="AC1837" s="6">
        <f>$M$1837*$W$1837</f>
        <v>80948.260680000007</v>
      </c>
      <c r="AD1837" s="6">
        <f>$O$1837*$X$1837</f>
        <v>119760.98820000001</v>
      </c>
      <c r="AE1837" s="6">
        <f>$K$1837*$Y$1837</f>
        <v>0</v>
      </c>
      <c r="AF1837" s="6">
        <f ca="1">$M$1837*$Z$1837</f>
        <v>87754.602306059765</v>
      </c>
      <c r="AG1837" s="6">
        <f>$O$1837*$AA$1837</f>
        <v>107378.49426943842</v>
      </c>
    </row>
    <row r="1838" spans="1:33" ht="11.25" customHeight="1" x14ac:dyDescent="0.25">
      <c r="A1838" s="4" t="s">
        <v>27</v>
      </c>
      <c r="B1838" s="4" t="s">
        <v>22</v>
      </c>
      <c r="C1838" s="4" t="s">
        <v>23</v>
      </c>
      <c r="D1838" s="4" t="s">
        <v>24</v>
      </c>
      <c r="E1838" s="4" t="s">
        <v>30</v>
      </c>
      <c r="F1838" s="4" t="s">
        <v>25</v>
      </c>
      <c r="G1838" s="4" t="s">
        <v>25</v>
      </c>
      <c r="H1838" s="4" t="s">
        <v>25</v>
      </c>
      <c r="I1838" s="5">
        <v>44044</v>
      </c>
      <c r="J1838" s="6">
        <v>0</v>
      </c>
      <c r="K1838" s="6">
        <v>0</v>
      </c>
      <c r="L1838" s="6">
        <v>0.21</v>
      </c>
      <c r="M1838" s="6">
        <v>0.21</v>
      </c>
      <c r="N1838" s="6">
        <v>0.21</v>
      </c>
      <c r="O1838" s="6">
        <v>0.21</v>
      </c>
      <c r="P1838" s="6">
        <v>0</v>
      </c>
      <c r="Q1838" s="4" t="s">
        <v>26</v>
      </c>
      <c r="R1838" s="4">
        <v>0</v>
      </c>
      <c r="S1838" s="6">
        <v>0</v>
      </c>
      <c r="T1838" s="6">
        <v>47</v>
      </c>
      <c r="U1838" s="6">
        <v>90</v>
      </c>
      <c r="V1838" s="6">
        <f>IF(ISERROR(VLOOKUP($S$1838,'TAR FIN'!$A$1:$O$120,15,0)),0,VLOOKUP($S$1838,'TAR FIN'!$A$1:$O$120,15,0))</f>
        <v>0</v>
      </c>
      <c r="W1838" s="6">
        <f>IF(ISERROR(VLOOKUP($T$1838,'TAR FIN'!$A$1:$O$120,15,0)),0,VLOOKUP($T$1838,'TAR FIN'!$A$1:$O$120,15,0))</f>
        <v>109.87</v>
      </c>
      <c r="X1838" s="6">
        <f>IF(ISERROR(VLOOKUP($U$1838,'TAR FIN'!$A$1:$O$120,15,0)),0,VLOOKUP($U$1838,'TAR FIN'!$A$1:$O$120,15,0))</f>
        <v>162.55000000000001</v>
      </c>
      <c r="Y1838" s="6"/>
      <c r="Z1838" s="6">
        <f ca="1">('TUSD BE'!$AM$57+'TUSD BF'!$AM$57+'TUSD CVA'!$AM$57-('TUSD BE'!$P$57+'TUSD BF'!$P$57+'TUSD CVA'!$P$57)-('TUSD BE'!$Q$57+'TUSD BF'!$Q$57+'TUSD CVA'!$Q$57)-('TUSD BE'!$R$57+'TUSD BF'!$R$57+'TUSD CVA'!$R$57))*(1-CUSTOS!$M$35)</f>
        <v>119.10815716574068</v>
      </c>
      <c r="AA1838" s="6">
        <f>('TE BE'!$AA$21+'TE BF'!$AA$21+'TE CVA'!$AA$21)*(1-CUSTOS!$M$35)</f>
        <v>145.74340530948638</v>
      </c>
      <c r="AB1838" s="6">
        <f>$K$1838*$V$1838</f>
        <v>0</v>
      </c>
      <c r="AC1838" s="6">
        <f>$M$1838*$W$1838</f>
        <v>23.072700000000001</v>
      </c>
      <c r="AD1838" s="6">
        <f>$O$1838*$X$1838</f>
        <v>34.1355</v>
      </c>
      <c r="AE1838" s="6">
        <f>$K$1838*$Y$1838</f>
        <v>0</v>
      </c>
      <c r="AF1838" s="6">
        <f ca="1">$M$1838*$Z$1838</f>
        <v>25.012713004805541</v>
      </c>
      <c r="AG1838" s="6">
        <f>$O$1838*$AA$1838</f>
        <v>30.606115114992139</v>
      </c>
    </row>
    <row r="1839" spans="1:33" ht="11.25" customHeight="1" x14ac:dyDescent="0.25">
      <c r="A1839" s="4" t="s">
        <v>59</v>
      </c>
      <c r="B1839" s="4" t="s">
        <v>22</v>
      </c>
      <c r="C1839" s="4" t="s">
        <v>23</v>
      </c>
      <c r="D1839" s="4" t="s">
        <v>24</v>
      </c>
      <c r="E1839" s="4" t="s">
        <v>30</v>
      </c>
      <c r="F1839" s="4" t="s">
        <v>25</v>
      </c>
      <c r="G1839" s="4" t="s">
        <v>25</v>
      </c>
      <c r="H1839" s="4" t="s">
        <v>25</v>
      </c>
      <c r="I1839" s="5">
        <v>44075</v>
      </c>
      <c r="J1839" s="6">
        <v>0</v>
      </c>
      <c r="K1839" s="6">
        <v>0</v>
      </c>
      <c r="L1839" s="6">
        <v>736.76400000000001</v>
      </c>
      <c r="M1839" s="6">
        <v>736.76400000000001</v>
      </c>
      <c r="N1839" s="6">
        <v>736.76400000000001</v>
      </c>
      <c r="O1839" s="6">
        <v>736.76400000000001</v>
      </c>
      <c r="P1839" s="6">
        <v>1564</v>
      </c>
      <c r="Q1839" s="4" t="s">
        <v>26</v>
      </c>
      <c r="R1839" s="4">
        <v>0</v>
      </c>
      <c r="S1839" s="6">
        <v>0</v>
      </c>
      <c r="T1839" s="6">
        <v>47</v>
      </c>
      <c r="U1839" s="6">
        <v>90</v>
      </c>
      <c r="V1839" s="6">
        <f>IF(ISERROR(VLOOKUP($S$1839,'TAR FIN'!$A$1:$O$120,15,0)),0,VLOOKUP($S$1839,'TAR FIN'!$A$1:$O$120,15,0))</f>
        <v>0</v>
      </c>
      <c r="W1839" s="6">
        <f>IF(ISERROR(VLOOKUP($T$1839,'TAR FIN'!$A$1:$O$120,15,0)),0,VLOOKUP($T$1839,'TAR FIN'!$A$1:$O$120,15,0))</f>
        <v>109.87</v>
      </c>
      <c r="X1839" s="6">
        <f>IF(ISERROR(VLOOKUP($U$1839,'TAR FIN'!$A$1:$O$120,15,0)),0,VLOOKUP($U$1839,'TAR FIN'!$A$1:$O$120,15,0))</f>
        <v>162.55000000000001</v>
      </c>
      <c r="Y1839" s="6"/>
      <c r="Z1839" s="6">
        <f ca="1">('TUSD BE'!$AM$57+'TUSD BF'!$AM$57+'TUSD CVA'!$AM$57-('TUSD BE'!$P$57+'TUSD BF'!$P$57+'TUSD CVA'!$P$57)-('TUSD BE'!$Q$57+'TUSD BF'!$Q$57+'TUSD CVA'!$Q$57)-('TUSD BE'!$R$57+'TUSD BF'!$R$57+'TUSD CVA'!$R$57))*(1-CUSTOS!$M$35)</f>
        <v>119.10815716574068</v>
      </c>
      <c r="AA1839" s="6">
        <f>('TE BE'!$AA$21+'TE BF'!$AA$21+'TE CVA'!$AA$21)*(1-CUSTOS!$M$35)</f>
        <v>145.74340530948638</v>
      </c>
      <c r="AB1839" s="6">
        <f>$K$1839*$V$1839</f>
        <v>0</v>
      </c>
      <c r="AC1839" s="6">
        <f>$M$1839*$W$1839</f>
        <v>80948.260680000007</v>
      </c>
      <c r="AD1839" s="6">
        <f>$O$1839*$X$1839</f>
        <v>119760.98820000001</v>
      </c>
      <c r="AE1839" s="6">
        <f>$K$1839*$Y$1839</f>
        <v>0</v>
      </c>
      <c r="AF1839" s="6">
        <f ca="1">$M$1839*$Z$1839</f>
        <v>87754.602306059765</v>
      </c>
      <c r="AG1839" s="6">
        <f>$O$1839*$AA$1839</f>
        <v>107378.49426943842</v>
      </c>
    </row>
    <row r="1840" spans="1:33" ht="11.25" customHeight="1" x14ac:dyDescent="0.25">
      <c r="A1840" s="4" t="s">
        <v>59</v>
      </c>
      <c r="B1840" s="4" t="s">
        <v>22</v>
      </c>
      <c r="C1840" s="4" t="s">
        <v>23</v>
      </c>
      <c r="D1840" s="4" t="s">
        <v>24</v>
      </c>
      <c r="E1840" s="4" t="s">
        <v>30</v>
      </c>
      <c r="F1840" s="4" t="s">
        <v>25</v>
      </c>
      <c r="G1840" s="4" t="s">
        <v>25</v>
      </c>
      <c r="H1840" s="4" t="s">
        <v>25</v>
      </c>
      <c r="I1840" s="5">
        <v>44075</v>
      </c>
      <c r="J1840" s="6">
        <v>0</v>
      </c>
      <c r="K1840" s="6">
        <v>0</v>
      </c>
      <c r="L1840" s="6">
        <v>0.21</v>
      </c>
      <c r="M1840" s="6">
        <v>0.21</v>
      </c>
      <c r="N1840" s="6">
        <v>0.21</v>
      </c>
      <c r="O1840" s="6">
        <v>0.21</v>
      </c>
      <c r="P1840" s="6">
        <v>0</v>
      </c>
      <c r="Q1840" s="4" t="s">
        <v>26</v>
      </c>
      <c r="R1840" s="4">
        <v>0</v>
      </c>
      <c r="S1840" s="6">
        <v>0</v>
      </c>
      <c r="T1840" s="6">
        <v>47</v>
      </c>
      <c r="U1840" s="6">
        <v>90</v>
      </c>
      <c r="V1840" s="6">
        <f>IF(ISERROR(VLOOKUP($S$1840,'TAR FIN'!$A$1:$O$120,15,0)),0,VLOOKUP($S$1840,'TAR FIN'!$A$1:$O$120,15,0))</f>
        <v>0</v>
      </c>
      <c r="W1840" s="6">
        <f>IF(ISERROR(VLOOKUP($T$1840,'TAR FIN'!$A$1:$O$120,15,0)),0,VLOOKUP($T$1840,'TAR FIN'!$A$1:$O$120,15,0))</f>
        <v>109.87</v>
      </c>
      <c r="X1840" s="6">
        <f>IF(ISERROR(VLOOKUP($U$1840,'TAR FIN'!$A$1:$O$120,15,0)),0,VLOOKUP($U$1840,'TAR FIN'!$A$1:$O$120,15,0))</f>
        <v>162.55000000000001</v>
      </c>
      <c r="Y1840" s="6"/>
      <c r="Z1840" s="6">
        <f ca="1">('TUSD BE'!$AM$57+'TUSD BF'!$AM$57+'TUSD CVA'!$AM$57-('TUSD BE'!$P$57+'TUSD BF'!$P$57+'TUSD CVA'!$P$57)-('TUSD BE'!$Q$57+'TUSD BF'!$Q$57+'TUSD CVA'!$Q$57)-('TUSD BE'!$R$57+'TUSD BF'!$R$57+'TUSD CVA'!$R$57))*(1-CUSTOS!$M$35)</f>
        <v>119.10815716574068</v>
      </c>
      <c r="AA1840" s="6">
        <f>('TE BE'!$AA$21+'TE BF'!$AA$21+'TE CVA'!$AA$21)*(1-CUSTOS!$M$35)</f>
        <v>145.74340530948638</v>
      </c>
      <c r="AB1840" s="6">
        <f>$K$1840*$V$1840</f>
        <v>0</v>
      </c>
      <c r="AC1840" s="6">
        <f>$M$1840*$W$1840</f>
        <v>23.072700000000001</v>
      </c>
      <c r="AD1840" s="6">
        <f>$O$1840*$X$1840</f>
        <v>34.1355</v>
      </c>
      <c r="AE1840" s="6">
        <f>$K$1840*$Y$1840</f>
        <v>0</v>
      </c>
      <c r="AF1840" s="6">
        <f ca="1">$M$1840*$Z$1840</f>
        <v>25.012713004805541</v>
      </c>
      <c r="AG1840" s="6">
        <f>$O$1840*$AA$1840</f>
        <v>30.606115114992139</v>
      </c>
    </row>
    <row r="1841" spans="1:33" ht="11.25" customHeight="1" x14ac:dyDescent="0.25">
      <c r="A1841" s="4" t="s">
        <v>21</v>
      </c>
      <c r="B1841" s="4" t="s">
        <v>22</v>
      </c>
      <c r="C1841" s="4" t="s">
        <v>23</v>
      </c>
      <c r="D1841" s="4" t="s">
        <v>24</v>
      </c>
      <c r="E1841" s="4" t="s">
        <v>31</v>
      </c>
      <c r="F1841" s="4" t="s">
        <v>25</v>
      </c>
      <c r="G1841" s="4" t="s">
        <v>25</v>
      </c>
      <c r="H1841" s="4" t="s">
        <v>25</v>
      </c>
      <c r="I1841" s="5">
        <v>43739</v>
      </c>
      <c r="J1841" s="6">
        <v>0</v>
      </c>
      <c r="K1841" s="6">
        <v>0</v>
      </c>
      <c r="L1841" s="6">
        <v>522.31299999999999</v>
      </c>
      <c r="M1841" s="6">
        <v>522.31299999999999</v>
      </c>
      <c r="N1841" s="6">
        <v>522.31299999999999</v>
      </c>
      <c r="O1841" s="6">
        <v>522.31299999999999</v>
      </c>
      <c r="P1841" s="6">
        <v>4784</v>
      </c>
      <c r="Q1841" s="4" t="s">
        <v>26</v>
      </c>
      <c r="R1841" s="4">
        <v>0</v>
      </c>
      <c r="S1841" s="6">
        <v>0</v>
      </c>
      <c r="T1841" s="6">
        <v>48</v>
      </c>
      <c r="U1841" s="6">
        <v>91</v>
      </c>
      <c r="V1841" s="6">
        <f>IF(ISERROR(VLOOKUP($S$1841,'TAR FIN'!$A$1:$O$120,15,0)),0,VLOOKUP($S$1841,'TAR FIN'!$A$1:$O$120,15,0))</f>
        <v>0</v>
      </c>
      <c r="W1841" s="6">
        <f>IF(ISERROR(VLOOKUP($T$1841,'TAR FIN'!$A$1:$O$120,15,0)),0,VLOOKUP($T$1841,'TAR FIN'!$A$1:$O$120,15,0))</f>
        <v>164.81</v>
      </c>
      <c r="X1841" s="6">
        <f>IF(ISERROR(VLOOKUP($U$1841,'TAR FIN'!$A$1:$O$120,15,0)),0,VLOOKUP($U$1841,'TAR FIN'!$A$1:$O$120,15,0))</f>
        <v>243.83</v>
      </c>
      <c r="Y1841" s="6"/>
      <c r="Z1841" s="6">
        <f ca="1">('TUSD BE'!$AM$58+'TUSD BF'!$AM$58+'TUSD CVA'!$AM$58-('TUSD BE'!$P$58+'TUSD BF'!$P$58+'TUSD CVA'!$P$58)-('TUSD BE'!$Q$58+'TUSD BF'!$Q$58+'TUSD CVA'!$Q$58)-('TUSD BE'!$R$58+'TUSD BF'!$R$58+'TUSD CVA'!$R$58))*(1-CUSTOS!$M$36)</f>
        <v>178.66223574861104</v>
      </c>
      <c r="AA1841" s="6">
        <f>('TE BE'!$AA$22+'TE BF'!$AA$22+'TE CVA'!$AA$22)*(1-CUSTOS!$M$36)</f>
        <v>218.61510796422959</v>
      </c>
      <c r="AB1841" s="6">
        <f>$K$1841*$V$1841</f>
        <v>0</v>
      </c>
      <c r="AC1841" s="6">
        <f>$M$1841*$W$1841</f>
        <v>86082.405530000004</v>
      </c>
      <c r="AD1841" s="6">
        <f>$O$1841*$X$1841</f>
        <v>127355.57879</v>
      </c>
      <c r="AE1841" s="6">
        <f>$K$1841*$Y$1841</f>
        <v>0</v>
      </c>
      <c r="AF1841" s="6">
        <f ca="1">$M$1841*$Z$1841</f>
        <v>93317.608340564271</v>
      </c>
      <c r="AG1841" s="6">
        <f>$O$1841*$AA$1841</f>
        <v>114185.51288612065</v>
      </c>
    </row>
    <row r="1842" spans="1:33" ht="11.25" customHeight="1" x14ac:dyDescent="0.25">
      <c r="A1842" s="4" t="s">
        <v>27</v>
      </c>
      <c r="B1842" s="4" t="s">
        <v>22</v>
      </c>
      <c r="C1842" s="4" t="s">
        <v>23</v>
      </c>
      <c r="D1842" s="4" t="s">
        <v>24</v>
      </c>
      <c r="E1842" s="4" t="s">
        <v>31</v>
      </c>
      <c r="F1842" s="4" t="s">
        <v>25</v>
      </c>
      <c r="G1842" s="4" t="s">
        <v>25</v>
      </c>
      <c r="H1842" s="4" t="s">
        <v>25</v>
      </c>
      <c r="I1842" s="5">
        <v>43739</v>
      </c>
      <c r="J1842" s="6">
        <v>0</v>
      </c>
      <c r="K1842" s="6">
        <v>0</v>
      </c>
      <c r="L1842" s="6">
        <v>0.16200000000000001</v>
      </c>
      <c r="M1842" s="6">
        <v>0.16200000000000001</v>
      </c>
      <c r="N1842" s="6">
        <v>0.16200000000000001</v>
      </c>
      <c r="O1842" s="6">
        <v>0.16200000000000001</v>
      </c>
      <c r="P1842" s="6">
        <v>1</v>
      </c>
      <c r="Q1842" s="4" t="s">
        <v>26</v>
      </c>
      <c r="R1842" s="4">
        <v>0</v>
      </c>
      <c r="S1842" s="6">
        <v>0</v>
      </c>
      <c r="T1842" s="6">
        <v>48</v>
      </c>
      <c r="U1842" s="6">
        <v>91</v>
      </c>
      <c r="V1842" s="6">
        <f>IF(ISERROR(VLOOKUP($S$1842,'TAR FIN'!$A$1:$O$120,15,0)),0,VLOOKUP($S$1842,'TAR FIN'!$A$1:$O$120,15,0))</f>
        <v>0</v>
      </c>
      <c r="W1842" s="6">
        <f>IF(ISERROR(VLOOKUP($T$1842,'TAR FIN'!$A$1:$O$120,15,0)),0,VLOOKUP($T$1842,'TAR FIN'!$A$1:$O$120,15,0))</f>
        <v>164.81</v>
      </c>
      <c r="X1842" s="6">
        <f>IF(ISERROR(VLOOKUP($U$1842,'TAR FIN'!$A$1:$O$120,15,0)),0,VLOOKUP($U$1842,'TAR FIN'!$A$1:$O$120,15,0))</f>
        <v>243.83</v>
      </c>
      <c r="Y1842" s="6"/>
      <c r="Z1842" s="6">
        <f ca="1">('TUSD BE'!$AM$58+'TUSD BF'!$AM$58+'TUSD CVA'!$AM$58-('TUSD BE'!$P$58+'TUSD BF'!$P$58+'TUSD CVA'!$P$58)-('TUSD BE'!$Q$58+'TUSD BF'!$Q$58+'TUSD CVA'!$Q$58)-('TUSD BE'!$R$58+'TUSD BF'!$R$58+'TUSD CVA'!$R$58))*(1-CUSTOS!$M$36)</f>
        <v>178.66223574861104</v>
      </c>
      <c r="AA1842" s="6">
        <f>('TE BE'!$AA$22+'TE BF'!$AA$22+'TE CVA'!$AA$22)*(1-CUSTOS!$M$36)</f>
        <v>218.61510796422959</v>
      </c>
      <c r="AB1842" s="6">
        <f>$K$1842*$V$1842</f>
        <v>0</v>
      </c>
      <c r="AC1842" s="6">
        <f>$M$1842*$W$1842</f>
        <v>26.69922</v>
      </c>
      <c r="AD1842" s="6">
        <f>$O$1842*$X$1842</f>
        <v>39.500460000000004</v>
      </c>
      <c r="AE1842" s="6">
        <f>$K$1842*$Y$1842</f>
        <v>0</v>
      </c>
      <c r="AF1842" s="6">
        <f ca="1">$M$1842*$Z$1842</f>
        <v>28.943282191274989</v>
      </c>
      <c r="AG1842" s="6">
        <f>$O$1842*$AA$1842</f>
        <v>35.415647490205195</v>
      </c>
    </row>
    <row r="1843" spans="1:33" ht="11.25" customHeight="1" x14ac:dyDescent="0.25">
      <c r="A1843" s="4" t="s">
        <v>21</v>
      </c>
      <c r="B1843" s="4" t="s">
        <v>22</v>
      </c>
      <c r="C1843" s="4" t="s">
        <v>23</v>
      </c>
      <c r="D1843" s="4" t="s">
        <v>24</v>
      </c>
      <c r="E1843" s="4" t="s">
        <v>31</v>
      </c>
      <c r="F1843" s="4" t="s">
        <v>25</v>
      </c>
      <c r="G1843" s="4" t="s">
        <v>25</v>
      </c>
      <c r="H1843" s="4" t="s">
        <v>25</v>
      </c>
      <c r="I1843" s="5">
        <v>43770</v>
      </c>
      <c r="J1843" s="6">
        <v>0</v>
      </c>
      <c r="K1843" s="6">
        <v>0</v>
      </c>
      <c r="L1843" s="6">
        <v>591.92100000000005</v>
      </c>
      <c r="M1843" s="6">
        <v>591.92100000000005</v>
      </c>
      <c r="N1843" s="6">
        <v>591.92100000000005</v>
      </c>
      <c r="O1843" s="6">
        <v>591.92100000000005</v>
      </c>
      <c r="P1843" s="6">
        <v>4780</v>
      </c>
      <c r="Q1843" s="4" t="s">
        <v>26</v>
      </c>
      <c r="R1843" s="4">
        <v>0</v>
      </c>
      <c r="S1843" s="6">
        <v>0</v>
      </c>
      <c r="T1843" s="6">
        <v>48</v>
      </c>
      <c r="U1843" s="6">
        <v>91</v>
      </c>
      <c r="V1843" s="6">
        <f>IF(ISERROR(VLOOKUP($S$1843,'TAR FIN'!$A$1:$O$120,15,0)),0,VLOOKUP($S$1843,'TAR FIN'!$A$1:$O$120,15,0))</f>
        <v>0</v>
      </c>
      <c r="W1843" s="6">
        <f>IF(ISERROR(VLOOKUP($T$1843,'TAR FIN'!$A$1:$O$120,15,0)),0,VLOOKUP($T$1843,'TAR FIN'!$A$1:$O$120,15,0))</f>
        <v>164.81</v>
      </c>
      <c r="X1843" s="6">
        <f>IF(ISERROR(VLOOKUP($U$1843,'TAR FIN'!$A$1:$O$120,15,0)),0,VLOOKUP($U$1843,'TAR FIN'!$A$1:$O$120,15,0))</f>
        <v>243.83</v>
      </c>
      <c r="Y1843" s="6"/>
      <c r="Z1843" s="6">
        <f ca="1">('TUSD BE'!$AM$58+'TUSD BF'!$AM$58+'TUSD CVA'!$AM$58-('TUSD BE'!$P$58+'TUSD BF'!$P$58+'TUSD CVA'!$P$58)-('TUSD BE'!$Q$58+'TUSD BF'!$Q$58+'TUSD CVA'!$Q$58)-('TUSD BE'!$R$58+'TUSD BF'!$R$58+'TUSD CVA'!$R$58))*(1-CUSTOS!$M$36)</f>
        <v>178.66223574861104</v>
      </c>
      <c r="AA1843" s="6">
        <f>('TE BE'!$AA$22+'TE BF'!$AA$22+'TE CVA'!$AA$22)*(1-CUSTOS!$M$36)</f>
        <v>218.61510796422959</v>
      </c>
      <c r="AB1843" s="6">
        <f>$K$1843*$V$1843</f>
        <v>0</v>
      </c>
      <c r="AC1843" s="6">
        <f>$M$1843*$W$1843</f>
        <v>97554.500010000003</v>
      </c>
      <c r="AD1843" s="6">
        <f>$O$1843*$X$1843</f>
        <v>144328.09743000002</v>
      </c>
      <c r="AE1843" s="6">
        <f>$K$1843*$Y$1843</f>
        <v>0</v>
      </c>
      <c r="AF1843" s="6">
        <f ca="1">$M$1843*$Z$1843</f>
        <v>105753.9292465536</v>
      </c>
      <c r="AG1843" s="6">
        <f>$O$1843*$AA$1843</f>
        <v>129402.87332129476</v>
      </c>
    </row>
    <row r="1844" spans="1:33" ht="11.25" customHeight="1" x14ac:dyDescent="0.25">
      <c r="A1844" s="4" t="s">
        <v>27</v>
      </c>
      <c r="B1844" s="4" t="s">
        <v>22</v>
      </c>
      <c r="C1844" s="4" t="s">
        <v>23</v>
      </c>
      <c r="D1844" s="4" t="s">
        <v>24</v>
      </c>
      <c r="E1844" s="4" t="s">
        <v>31</v>
      </c>
      <c r="F1844" s="4" t="s">
        <v>25</v>
      </c>
      <c r="G1844" s="4" t="s">
        <v>25</v>
      </c>
      <c r="H1844" s="4" t="s">
        <v>25</v>
      </c>
      <c r="I1844" s="5">
        <v>43770</v>
      </c>
      <c r="J1844" s="6">
        <v>0</v>
      </c>
      <c r="K1844" s="6">
        <v>0</v>
      </c>
      <c r="L1844" s="6">
        <v>0.36899999999999999</v>
      </c>
      <c r="M1844" s="6">
        <v>0.36899999999999999</v>
      </c>
      <c r="N1844" s="6">
        <v>0.36899999999999999</v>
      </c>
      <c r="O1844" s="6">
        <v>0.36899999999999999</v>
      </c>
      <c r="P1844" s="6">
        <v>0</v>
      </c>
      <c r="Q1844" s="4" t="s">
        <v>26</v>
      </c>
      <c r="R1844" s="4">
        <v>0</v>
      </c>
      <c r="S1844" s="6">
        <v>0</v>
      </c>
      <c r="T1844" s="6">
        <v>48</v>
      </c>
      <c r="U1844" s="6">
        <v>91</v>
      </c>
      <c r="V1844" s="6">
        <f>IF(ISERROR(VLOOKUP($S$1844,'TAR FIN'!$A$1:$O$120,15,0)),0,VLOOKUP($S$1844,'TAR FIN'!$A$1:$O$120,15,0))</f>
        <v>0</v>
      </c>
      <c r="W1844" s="6">
        <f>IF(ISERROR(VLOOKUP($T$1844,'TAR FIN'!$A$1:$O$120,15,0)),0,VLOOKUP($T$1844,'TAR FIN'!$A$1:$O$120,15,0))</f>
        <v>164.81</v>
      </c>
      <c r="X1844" s="6">
        <f>IF(ISERROR(VLOOKUP($U$1844,'TAR FIN'!$A$1:$O$120,15,0)),0,VLOOKUP($U$1844,'TAR FIN'!$A$1:$O$120,15,0))</f>
        <v>243.83</v>
      </c>
      <c r="Y1844" s="6"/>
      <c r="Z1844" s="6">
        <f ca="1">('TUSD BE'!$AM$58+'TUSD BF'!$AM$58+'TUSD CVA'!$AM$58-('TUSD BE'!$P$58+'TUSD BF'!$P$58+'TUSD CVA'!$P$58)-('TUSD BE'!$Q$58+'TUSD BF'!$Q$58+'TUSD CVA'!$Q$58)-('TUSD BE'!$R$58+'TUSD BF'!$R$58+'TUSD CVA'!$R$58))*(1-CUSTOS!$M$36)</f>
        <v>178.66223574861104</v>
      </c>
      <c r="AA1844" s="6">
        <f>('TE BE'!$AA$22+'TE BF'!$AA$22+'TE CVA'!$AA$22)*(1-CUSTOS!$M$36)</f>
        <v>218.61510796422959</v>
      </c>
      <c r="AB1844" s="6">
        <f>$K$1844*$V$1844</f>
        <v>0</v>
      </c>
      <c r="AC1844" s="6">
        <f>$M$1844*$W$1844</f>
        <v>60.814889999999998</v>
      </c>
      <c r="AD1844" s="6">
        <f>$O$1844*$X$1844</f>
        <v>89.973269999999999</v>
      </c>
      <c r="AE1844" s="6">
        <f>$K$1844*$Y$1844</f>
        <v>0</v>
      </c>
      <c r="AF1844" s="6">
        <f ca="1">$M$1844*$Z$1844</f>
        <v>65.926364991237477</v>
      </c>
      <c r="AG1844" s="6">
        <f>$O$1844*$AA$1844</f>
        <v>80.668974838800722</v>
      </c>
    </row>
    <row r="1845" spans="1:33" ht="11.25" customHeight="1" x14ac:dyDescent="0.25">
      <c r="A1845" s="4" t="s">
        <v>21</v>
      </c>
      <c r="B1845" s="4" t="s">
        <v>22</v>
      </c>
      <c r="C1845" s="4" t="s">
        <v>23</v>
      </c>
      <c r="D1845" s="4" t="s">
        <v>24</v>
      </c>
      <c r="E1845" s="4" t="s">
        <v>31</v>
      </c>
      <c r="F1845" s="4" t="s">
        <v>25</v>
      </c>
      <c r="G1845" s="4" t="s">
        <v>25</v>
      </c>
      <c r="H1845" s="4" t="s">
        <v>25</v>
      </c>
      <c r="I1845" s="5">
        <v>43800</v>
      </c>
      <c r="J1845" s="6">
        <v>0</v>
      </c>
      <c r="K1845" s="6">
        <v>0</v>
      </c>
      <c r="L1845" s="6">
        <v>497.43099999999998</v>
      </c>
      <c r="M1845" s="6">
        <v>497.43099999999998</v>
      </c>
      <c r="N1845" s="6">
        <v>497.43099999999998</v>
      </c>
      <c r="O1845" s="6">
        <v>497.43099999999998</v>
      </c>
      <c r="P1845" s="6">
        <v>5077</v>
      </c>
      <c r="Q1845" s="4" t="s">
        <v>26</v>
      </c>
      <c r="R1845" s="4">
        <v>0</v>
      </c>
      <c r="S1845" s="6">
        <v>0</v>
      </c>
      <c r="T1845" s="6">
        <v>48</v>
      </c>
      <c r="U1845" s="6">
        <v>91</v>
      </c>
      <c r="V1845" s="6">
        <f>IF(ISERROR(VLOOKUP($S$1845,'TAR FIN'!$A$1:$O$120,15,0)),0,VLOOKUP($S$1845,'TAR FIN'!$A$1:$O$120,15,0))</f>
        <v>0</v>
      </c>
      <c r="W1845" s="6">
        <f>IF(ISERROR(VLOOKUP($T$1845,'TAR FIN'!$A$1:$O$120,15,0)),0,VLOOKUP($T$1845,'TAR FIN'!$A$1:$O$120,15,0))</f>
        <v>164.81</v>
      </c>
      <c r="X1845" s="6">
        <f>IF(ISERROR(VLOOKUP($U$1845,'TAR FIN'!$A$1:$O$120,15,0)),0,VLOOKUP($U$1845,'TAR FIN'!$A$1:$O$120,15,0))</f>
        <v>243.83</v>
      </c>
      <c r="Y1845" s="6"/>
      <c r="Z1845" s="6">
        <f ca="1">('TUSD BE'!$AM$58+'TUSD BF'!$AM$58+'TUSD CVA'!$AM$58-('TUSD BE'!$P$58+'TUSD BF'!$P$58+'TUSD CVA'!$P$58)-('TUSD BE'!$Q$58+'TUSD BF'!$Q$58+'TUSD CVA'!$Q$58)-('TUSD BE'!$R$58+'TUSD BF'!$R$58+'TUSD CVA'!$R$58))*(1-CUSTOS!$M$36)</f>
        <v>178.66223574861104</v>
      </c>
      <c r="AA1845" s="6">
        <f>('TE BE'!$AA$22+'TE BF'!$AA$22+'TE CVA'!$AA$22)*(1-CUSTOS!$M$36)</f>
        <v>218.61510796422959</v>
      </c>
      <c r="AB1845" s="6">
        <f>$K$1845*$V$1845</f>
        <v>0</v>
      </c>
      <c r="AC1845" s="6">
        <f>$M$1845*$W$1845</f>
        <v>81981.603109999996</v>
      </c>
      <c r="AD1845" s="6">
        <f>$O$1845*$X$1845</f>
        <v>121288.60073000001</v>
      </c>
      <c r="AE1845" s="6">
        <f>$K$1845*$Y$1845</f>
        <v>0</v>
      </c>
      <c r="AF1845" s="6">
        <f ca="1">$M$1845*$Z$1845</f>
        <v>88872.134590667338</v>
      </c>
      <c r="AG1845" s="6">
        <f>$O$1845*$AA$1845</f>
        <v>108745.93176975469</v>
      </c>
    </row>
    <row r="1846" spans="1:33" ht="11.25" customHeight="1" x14ac:dyDescent="0.25">
      <c r="A1846" s="4" t="s">
        <v>27</v>
      </c>
      <c r="B1846" s="4" t="s">
        <v>22</v>
      </c>
      <c r="C1846" s="4" t="s">
        <v>23</v>
      </c>
      <c r="D1846" s="4" t="s">
        <v>24</v>
      </c>
      <c r="E1846" s="4" t="s">
        <v>31</v>
      </c>
      <c r="F1846" s="4" t="s">
        <v>25</v>
      </c>
      <c r="G1846" s="4" t="s">
        <v>25</v>
      </c>
      <c r="H1846" s="4" t="s">
        <v>25</v>
      </c>
      <c r="I1846" s="5">
        <v>43800</v>
      </c>
      <c r="J1846" s="6">
        <v>0</v>
      </c>
      <c r="K1846" s="6">
        <v>0</v>
      </c>
      <c r="L1846" s="6">
        <v>0.13</v>
      </c>
      <c r="M1846" s="6">
        <v>0.13</v>
      </c>
      <c r="N1846" s="6">
        <v>0.13</v>
      </c>
      <c r="O1846" s="6">
        <v>0.13</v>
      </c>
      <c r="P1846" s="6">
        <v>1</v>
      </c>
      <c r="Q1846" s="4" t="s">
        <v>26</v>
      </c>
      <c r="R1846" s="4">
        <v>0</v>
      </c>
      <c r="S1846" s="6">
        <v>0</v>
      </c>
      <c r="T1846" s="6">
        <v>48</v>
      </c>
      <c r="U1846" s="6">
        <v>91</v>
      </c>
      <c r="V1846" s="6">
        <f>IF(ISERROR(VLOOKUP($S$1846,'TAR FIN'!$A$1:$O$120,15,0)),0,VLOOKUP($S$1846,'TAR FIN'!$A$1:$O$120,15,0))</f>
        <v>0</v>
      </c>
      <c r="W1846" s="6">
        <f>IF(ISERROR(VLOOKUP($T$1846,'TAR FIN'!$A$1:$O$120,15,0)),0,VLOOKUP($T$1846,'TAR FIN'!$A$1:$O$120,15,0))</f>
        <v>164.81</v>
      </c>
      <c r="X1846" s="6">
        <f>IF(ISERROR(VLOOKUP($U$1846,'TAR FIN'!$A$1:$O$120,15,0)),0,VLOOKUP($U$1846,'TAR FIN'!$A$1:$O$120,15,0))</f>
        <v>243.83</v>
      </c>
      <c r="Y1846" s="6"/>
      <c r="Z1846" s="6">
        <f ca="1">('TUSD BE'!$AM$58+'TUSD BF'!$AM$58+'TUSD CVA'!$AM$58-('TUSD BE'!$P$58+'TUSD BF'!$P$58+'TUSD CVA'!$P$58)-('TUSD BE'!$Q$58+'TUSD BF'!$Q$58+'TUSD CVA'!$Q$58)-('TUSD BE'!$R$58+'TUSD BF'!$R$58+'TUSD CVA'!$R$58))*(1-CUSTOS!$M$36)</f>
        <v>178.66223574861104</v>
      </c>
      <c r="AA1846" s="6">
        <f>('TE BE'!$AA$22+'TE BF'!$AA$22+'TE CVA'!$AA$22)*(1-CUSTOS!$M$36)</f>
        <v>218.61510796422959</v>
      </c>
      <c r="AB1846" s="6">
        <f>$K$1846*$V$1846</f>
        <v>0</v>
      </c>
      <c r="AC1846" s="6">
        <f>$M$1846*$W$1846</f>
        <v>21.4253</v>
      </c>
      <c r="AD1846" s="6">
        <f>$O$1846*$X$1846</f>
        <v>31.697900000000004</v>
      </c>
      <c r="AE1846" s="6">
        <f>$K$1846*$Y$1846</f>
        <v>0</v>
      </c>
      <c r="AF1846" s="6">
        <f ca="1">$M$1846*$Z$1846</f>
        <v>23.226090647319435</v>
      </c>
      <c r="AG1846" s="6">
        <f>$O$1846*$AA$1846</f>
        <v>28.419964035349849</v>
      </c>
    </row>
    <row r="1847" spans="1:33" ht="11.25" customHeight="1" x14ac:dyDescent="0.25">
      <c r="A1847" s="4" t="s">
        <v>21</v>
      </c>
      <c r="B1847" s="4" t="s">
        <v>22</v>
      </c>
      <c r="C1847" s="4" t="s">
        <v>23</v>
      </c>
      <c r="D1847" s="4" t="s">
        <v>24</v>
      </c>
      <c r="E1847" s="4" t="s">
        <v>31</v>
      </c>
      <c r="F1847" s="4" t="s">
        <v>25</v>
      </c>
      <c r="G1847" s="4" t="s">
        <v>25</v>
      </c>
      <c r="H1847" s="4" t="s">
        <v>25</v>
      </c>
      <c r="I1847" s="5">
        <v>43831</v>
      </c>
      <c r="J1847" s="6">
        <v>0</v>
      </c>
      <c r="K1847" s="6">
        <v>0</v>
      </c>
      <c r="L1847" s="6">
        <v>572.14</v>
      </c>
      <c r="M1847" s="6">
        <v>572.14</v>
      </c>
      <c r="N1847" s="6">
        <v>572.14</v>
      </c>
      <c r="O1847" s="6">
        <v>572.14</v>
      </c>
      <c r="P1847" s="6">
        <v>4787</v>
      </c>
      <c r="Q1847" s="4" t="s">
        <v>26</v>
      </c>
      <c r="R1847" s="4">
        <v>0</v>
      </c>
      <c r="S1847" s="6">
        <v>0</v>
      </c>
      <c r="T1847" s="6">
        <v>48</v>
      </c>
      <c r="U1847" s="6">
        <v>91</v>
      </c>
      <c r="V1847" s="6">
        <f>IF(ISERROR(VLOOKUP($S$1847,'TAR FIN'!$A$1:$O$120,15,0)),0,VLOOKUP($S$1847,'TAR FIN'!$A$1:$O$120,15,0))</f>
        <v>0</v>
      </c>
      <c r="W1847" s="6">
        <f>IF(ISERROR(VLOOKUP($T$1847,'TAR FIN'!$A$1:$O$120,15,0)),0,VLOOKUP($T$1847,'TAR FIN'!$A$1:$O$120,15,0))</f>
        <v>164.81</v>
      </c>
      <c r="X1847" s="6">
        <f>IF(ISERROR(VLOOKUP($U$1847,'TAR FIN'!$A$1:$O$120,15,0)),0,VLOOKUP($U$1847,'TAR FIN'!$A$1:$O$120,15,0))</f>
        <v>243.83</v>
      </c>
      <c r="Y1847" s="6"/>
      <c r="Z1847" s="6">
        <f ca="1">('TUSD BE'!$AM$58+'TUSD BF'!$AM$58+'TUSD CVA'!$AM$58-('TUSD BE'!$P$58+'TUSD BF'!$P$58+'TUSD CVA'!$P$58)-('TUSD BE'!$Q$58+'TUSD BF'!$Q$58+'TUSD CVA'!$Q$58)-('TUSD BE'!$R$58+'TUSD BF'!$R$58+'TUSD CVA'!$R$58))*(1-CUSTOS!$M$36)</f>
        <v>178.66223574861104</v>
      </c>
      <c r="AA1847" s="6">
        <f>('TE BE'!$AA$22+'TE BF'!$AA$22+'TE CVA'!$AA$22)*(1-CUSTOS!$M$36)</f>
        <v>218.61510796422959</v>
      </c>
      <c r="AB1847" s="6">
        <f>$K$1847*$V$1847</f>
        <v>0</v>
      </c>
      <c r="AC1847" s="6">
        <f>$M$1847*$W$1847</f>
        <v>94294.393400000001</v>
      </c>
      <c r="AD1847" s="6">
        <f>$O$1847*$X$1847</f>
        <v>139504.89620000002</v>
      </c>
      <c r="AE1847" s="6">
        <f>$K$1847*$Y$1847</f>
        <v>0</v>
      </c>
      <c r="AF1847" s="6">
        <f ca="1">$M$1847*$Z$1847</f>
        <v>102219.81156121031</v>
      </c>
      <c r="AG1847" s="6">
        <f>$O$1847*$AA$1847</f>
        <v>125078.44787065432</v>
      </c>
    </row>
    <row r="1848" spans="1:33" ht="11.25" customHeight="1" x14ac:dyDescent="0.25">
      <c r="A1848" s="4" t="s">
        <v>27</v>
      </c>
      <c r="B1848" s="4" t="s">
        <v>22</v>
      </c>
      <c r="C1848" s="4" t="s">
        <v>23</v>
      </c>
      <c r="D1848" s="4" t="s">
        <v>24</v>
      </c>
      <c r="E1848" s="4" t="s">
        <v>31</v>
      </c>
      <c r="F1848" s="4" t="s">
        <v>25</v>
      </c>
      <c r="G1848" s="4" t="s">
        <v>25</v>
      </c>
      <c r="H1848" s="4" t="s">
        <v>25</v>
      </c>
      <c r="I1848" s="5">
        <v>43831</v>
      </c>
      <c r="J1848" s="6">
        <v>0</v>
      </c>
      <c r="K1848" s="6">
        <v>0</v>
      </c>
      <c r="L1848" s="6">
        <v>0.47199999999999998</v>
      </c>
      <c r="M1848" s="6">
        <v>0.47199999999999998</v>
      </c>
      <c r="N1848" s="6">
        <v>0.47199999999999998</v>
      </c>
      <c r="O1848" s="6">
        <v>0.47199999999999998</v>
      </c>
      <c r="P1848" s="6">
        <v>1</v>
      </c>
      <c r="Q1848" s="4" t="s">
        <v>26</v>
      </c>
      <c r="R1848" s="4">
        <v>0</v>
      </c>
      <c r="S1848" s="6">
        <v>0</v>
      </c>
      <c r="T1848" s="6">
        <v>48</v>
      </c>
      <c r="U1848" s="6">
        <v>91</v>
      </c>
      <c r="V1848" s="6">
        <f>IF(ISERROR(VLOOKUP($S$1848,'TAR FIN'!$A$1:$O$120,15,0)),0,VLOOKUP($S$1848,'TAR FIN'!$A$1:$O$120,15,0))</f>
        <v>0</v>
      </c>
      <c r="W1848" s="6">
        <f>IF(ISERROR(VLOOKUP($T$1848,'TAR FIN'!$A$1:$O$120,15,0)),0,VLOOKUP($T$1848,'TAR FIN'!$A$1:$O$120,15,0))</f>
        <v>164.81</v>
      </c>
      <c r="X1848" s="6">
        <f>IF(ISERROR(VLOOKUP($U$1848,'TAR FIN'!$A$1:$O$120,15,0)),0,VLOOKUP($U$1848,'TAR FIN'!$A$1:$O$120,15,0))</f>
        <v>243.83</v>
      </c>
      <c r="Y1848" s="6"/>
      <c r="Z1848" s="6">
        <f ca="1">('TUSD BE'!$AM$58+'TUSD BF'!$AM$58+'TUSD CVA'!$AM$58-('TUSD BE'!$P$58+'TUSD BF'!$P$58+'TUSD CVA'!$P$58)-('TUSD BE'!$Q$58+'TUSD BF'!$Q$58+'TUSD CVA'!$Q$58)-('TUSD BE'!$R$58+'TUSD BF'!$R$58+'TUSD CVA'!$R$58))*(1-CUSTOS!$M$36)</f>
        <v>178.66223574861104</v>
      </c>
      <c r="AA1848" s="6">
        <f>('TE BE'!$AA$22+'TE BF'!$AA$22+'TE CVA'!$AA$22)*(1-CUSTOS!$M$36)</f>
        <v>218.61510796422959</v>
      </c>
      <c r="AB1848" s="6">
        <f>$K$1848*$V$1848</f>
        <v>0</v>
      </c>
      <c r="AC1848" s="6">
        <f>$M$1848*$W$1848</f>
        <v>77.790319999999994</v>
      </c>
      <c r="AD1848" s="6">
        <f>$O$1848*$X$1848</f>
        <v>115.08776</v>
      </c>
      <c r="AE1848" s="6">
        <f>$K$1848*$Y$1848</f>
        <v>0</v>
      </c>
      <c r="AF1848" s="6">
        <f ca="1">$M$1848*$Z$1848</f>
        <v>84.328575273344413</v>
      </c>
      <c r="AG1848" s="6">
        <f>$O$1848*$AA$1848</f>
        <v>103.18633095911636</v>
      </c>
    </row>
    <row r="1849" spans="1:33" ht="11.25" customHeight="1" x14ac:dyDescent="0.25">
      <c r="A1849" s="4" t="s">
        <v>21</v>
      </c>
      <c r="B1849" s="4" t="s">
        <v>22</v>
      </c>
      <c r="C1849" s="4" t="s">
        <v>23</v>
      </c>
      <c r="D1849" s="4" t="s">
        <v>24</v>
      </c>
      <c r="E1849" s="4" t="s">
        <v>31</v>
      </c>
      <c r="F1849" s="4" t="s">
        <v>25</v>
      </c>
      <c r="G1849" s="4" t="s">
        <v>25</v>
      </c>
      <c r="H1849" s="4" t="s">
        <v>25</v>
      </c>
      <c r="I1849" s="5">
        <v>43862</v>
      </c>
      <c r="J1849" s="6">
        <v>0</v>
      </c>
      <c r="K1849" s="6">
        <v>0</v>
      </c>
      <c r="L1849" s="6">
        <v>504.05099999999999</v>
      </c>
      <c r="M1849" s="6">
        <v>504.05099999999999</v>
      </c>
      <c r="N1849" s="6">
        <v>504.05099999999999</v>
      </c>
      <c r="O1849" s="6">
        <v>504.05099999999999</v>
      </c>
      <c r="P1849" s="6">
        <v>5056</v>
      </c>
      <c r="Q1849" s="4" t="s">
        <v>26</v>
      </c>
      <c r="R1849" s="4">
        <v>0</v>
      </c>
      <c r="S1849" s="6">
        <v>0</v>
      </c>
      <c r="T1849" s="6">
        <v>48</v>
      </c>
      <c r="U1849" s="6">
        <v>91</v>
      </c>
      <c r="V1849" s="6">
        <f>IF(ISERROR(VLOOKUP($S$1849,'TAR FIN'!$A$1:$O$120,15,0)),0,VLOOKUP($S$1849,'TAR FIN'!$A$1:$O$120,15,0))</f>
        <v>0</v>
      </c>
      <c r="W1849" s="6">
        <f>IF(ISERROR(VLOOKUP($T$1849,'TAR FIN'!$A$1:$O$120,15,0)),0,VLOOKUP($T$1849,'TAR FIN'!$A$1:$O$120,15,0))</f>
        <v>164.81</v>
      </c>
      <c r="X1849" s="6">
        <f>IF(ISERROR(VLOOKUP($U$1849,'TAR FIN'!$A$1:$O$120,15,0)),0,VLOOKUP($U$1849,'TAR FIN'!$A$1:$O$120,15,0))</f>
        <v>243.83</v>
      </c>
      <c r="Y1849" s="6"/>
      <c r="Z1849" s="6">
        <f ca="1">('TUSD BE'!$AM$58+'TUSD BF'!$AM$58+'TUSD CVA'!$AM$58-('TUSD BE'!$P$58+'TUSD BF'!$P$58+'TUSD CVA'!$P$58)-('TUSD BE'!$Q$58+'TUSD BF'!$Q$58+'TUSD CVA'!$Q$58)-('TUSD BE'!$R$58+'TUSD BF'!$R$58+'TUSD CVA'!$R$58))*(1-CUSTOS!$M$36)</f>
        <v>178.66223574861104</v>
      </c>
      <c r="AA1849" s="6">
        <f>('TE BE'!$AA$22+'TE BF'!$AA$22+'TE CVA'!$AA$22)*(1-CUSTOS!$M$36)</f>
        <v>218.61510796422959</v>
      </c>
      <c r="AB1849" s="6">
        <f>$K$1849*$V$1849</f>
        <v>0</v>
      </c>
      <c r="AC1849" s="6">
        <f>$M$1849*$W$1849</f>
        <v>83072.645309999993</v>
      </c>
      <c r="AD1849" s="6">
        <f>$O$1849*$X$1849</f>
        <v>122902.75533</v>
      </c>
      <c r="AE1849" s="6">
        <f>$K$1849*$Y$1849</f>
        <v>0</v>
      </c>
      <c r="AF1849" s="6">
        <f ca="1">$M$1849*$Z$1849</f>
        <v>90054.87859132314</v>
      </c>
      <c r="AG1849" s="6">
        <f>$O$1849*$AA$1849</f>
        <v>110193.16378447789</v>
      </c>
    </row>
    <row r="1850" spans="1:33" ht="11.25" customHeight="1" x14ac:dyDescent="0.25">
      <c r="A1850" s="4" t="s">
        <v>21</v>
      </c>
      <c r="B1850" s="4" t="s">
        <v>22</v>
      </c>
      <c r="C1850" s="4" t="s">
        <v>23</v>
      </c>
      <c r="D1850" s="4" t="s">
        <v>24</v>
      </c>
      <c r="E1850" s="4" t="s">
        <v>31</v>
      </c>
      <c r="F1850" s="4" t="s">
        <v>25</v>
      </c>
      <c r="G1850" s="4" t="s">
        <v>25</v>
      </c>
      <c r="H1850" s="4" t="s">
        <v>25</v>
      </c>
      <c r="I1850" s="5">
        <v>43891</v>
      </c>
      <c r="J1850" s="6">
        <v>0</v>
      </c>
      <c r="K1850" s="6">
        <v>0</v>
      </c>
      <c r="L1850" s="6">
        <v>494.346</v>
      </c>
      <c r="M1850" s="6">
        <v>494.346</v>
      </c>
      <c r="N1850" s="6">
        <v>494.346</v>
      </c>
      <c r="O1850" s="6">
        <v>494.346</v>
      </c>
      <c r="P1850" s="6">
        <v>4739</v>
      </c>
      <c r="Q1850" s="4" t="s">
        <v>26</v>
      </c>
      <c r="R1850" s="4">
        <v>0</v>
      </c>
      <c r="S1850" s="6">
        <v>0</v>
      </c>
      <c r="T1850" s="6">
        <v>48</v>
      </c>
      <c r="U1850" s="6">
        <v>91</v>
      </c>
      <c r="V1850" s="6">
        <f>IF(ISERROR(VLOOKUP($S$1850,'TAR FIN'!$A$1:$O$120,15,0)),0,VLOOKUP($S$1850,'TAR FIN'!$A$1:$O$120,15,0))</f>
        <v>0</v>
      </c>
      <c r="W1850" s="6">
        <f>IF(ISERROR(VLOOKUP($T$1850,'TAR FIN'!$A$1:$O$120,15,0)),0,VLOOKUP($T$1850,'TAR FIN'!$A$1:$O$120,15,0))</f>
        <v>164.81</v>
      </c>
      <c r="X1850" s="6">
        <f>IF(ISERROR(VLOOKUP($U$1850,'TAR FIN'!$A$1:$O$120,15,0)),0,VLOOKUP($U$1850,'TAR FIN'!$A$1:$O$120,15,0))</f>
        <v>243.83</v>
      </c>
      <c r="Y1850" s="6"/>
      <c r="Z1850" s="6">
        <f ca="1">('TUSD BE'!$AM$58+'TUSD BF'!$AM$58+'TUSD CVA'!$AM$58-('TUSD BE'!$P$58+'TUSD BF'!$P$58+'TUSD CVA'!$P$58)-('TUSD BE'!$Q$58+'TUSD BF'!$Q$58+'TUSD CVA'!$Q$58)-('TUSD BE'!$R$58+'TUSD BF'!$R$58+'TUSD CVA'!$R$58))*(1-CUSTOS!$M$36)</f>
        <v>178.66223574861104</v>
      </c>
      <c r="AA1850" s="6">
        <f>('TE BE'!$AA$22+'TE BF'!$AA$22+'TE CVA'!$AA$22)*(1-CUSTOS!$M$36)</f>
        <v>218.61510796422959</v>
      </c>
      <c r="AB1850" s="6">
        <f>$K$1850*$V$1850</f>
        <v>0</v>
      </c>
      <c r="AC1850" s="6">
        <f>$M$1850*$W$1850</f>
        <v>81473.164260000005</v>
      </c>
      <c r="AD1850" s="6">
        <f>$O$1850*$X$1850</f>
        <v>120536.38518000001</v>
      </c>
      <c r="AE1850" s="6">
        <f>$K$1850*$Y$1850</f>
        <v>0</v>
      </c>
      <c r="AF1850" s="6">
        <f ca="1">$M$1850*$Z$1850</f>
        <v>88320.961593382875</v>
      </c>
      <c r="AG1850" s="6">
        <f>$O$1850*$AA$1850</f>
        <v>108071.50416168505</v>
      </c>
    </row>
    <row r="1851" spans="1:33" ht="11.25" customHeight="1" x14ac:dyDescent="0.25">
      <c r="A1851" s="4" t="s">
        <v>27</v>
      </c>
      <c r="B1851" s="4" t="s">
        <v>22</v>
      </c>
      <c r="C1851" s="4" t="s">
        <v>23</v>
      </c>
      <c r="D1851" s="4" t="s">
        <v>24</v>
      </c>
      <c r="E1851" s="4" t="s">
        <v>31</v>
      </c>
      <c r="F1851" s="4" t="s">
        <v>25</v>
      </c>
      <c r="G1851" s="4" t="s">
        <v>25</v>
      </c>
      <c r="H1851" s="4" t="s">
        <v>25</v>
      </c>
      <c r="I1851" s="5">
        <v>43891</v>
      </c>
      <c r="J1851" s="6">
        <v>0</v>
      </c>
      <c r="K1851" s="6">
        <v>0</v>
      </c>
      <c r="L1851" s="6">
        <v>0.503</v>
      </c>
      <c r="M1851" s="6">
        <v>0.503</v>
      </c>
      <c r="N1851" s="6">
        <v>0.503</v>
      </c>
      <c r="O1851" s="6">
        <v>0.503</v>
      </c>
      <c r="P1851" s="6">
        <v>1</v>
      </c>
      <c r="Q1851" s="4" t="s">
        <v>26</v>
      </c>
      <c r="R1851" s="4">
        <v>0</v>
      </c>
      <c r="S1851" s="6">
        <v>0</v>
      </c>
      <c r="T1851" s="6">
        <v>48</v>
      </c>
      <c r="U1851" s="6">
        <v>91</v>
      </c>
      <c r="V1851" s="6">
        <f>IF(ISERROR(VLOOKUP($S$1851,'TAR FIN'!$A$1:$O$120,15,0)),0,VLOOKUP($S$1851,'TAR FIN'!$A$1:$O$120,15,0))</f>
        <v>0</v>
      </c>
      <c r="W1851" s="6">
        <f>IF(ISERROR(VLOOKUP($T$1851,'TAR FIN'!$A$1:$O$120,15,0)),0,VLOOKUP($T$1851,'TAR FIN'!$A$1:$O$120,15,0))</f>
        <v>164.81</v>
      </c>
      <c r="X1851" s="6">
        <f>IF(ISERROR(VLOOKUP($U$1851,'TAR FIN'!$A$1:$O$120,15,0)),0,VLOOKUP($U$1851,'TAR FIN'!$A$1:$O$120,15,0))</f>
        <v>243.83</v>
      </c>
      <c r="Y1851" s="6"/>
      <c r="Z1851" s="6">
        <f ca="1">('TUSD BE'!$AM$58+'TUSD BF'!$AM$58+'TUSD CVA'!$AM$58-('TUSD BE'!$P$58+'TUSD BF'!$P$58+'TUSD CVA'!$P$58)-('TUSD BE'!$Q$58+'TUSD BF'!$Q$58+'TUSD CVA'!$Q$58)-('TUSD BE'!$R$58+'TUSD BF'!$R$58+'TUSD CVA'!$R$58))*(1-CUSTOS!$M$36)</f>
        <v>178.66223574861104</v>
      </c>
      <c r="AA1851" s="6">
        <f>('TE BE'!$AA$22+'TE BF'!$AA$22+'TE CVA'!$AA$22)*(1-CUSTOS!$M$36)</f>
        <v>218.61510796422959</v>
      </c>
      <c r="AB1851" s="6">
        <f>$K$1851*$V$1851</f>
        <v>0</v>
      </c>
      <c r="AC1851" s="6">
        <f>$M$1851*$W$1851</f>
        <v>82.899429999999995</v>
      </c>
      <c r="AD1851" s="6">
        <f>$O$1851*$X$1851</f>
        <v>122.64649</v>
      </c>
      <c r="AE1851" s="6">
        <f>$K$1851*$Y$1851</f>
        <v>0</v>
      </c>
      <c r="AF1851" s="6">
        <f ca="1">$M$1851*$Z$1851</f>
        <v>89.867104581551359</v>
      </c>
      <c r="AG1851" s="6">
        <f>$O$1851*$AA$1851</f>
        <v>109.96339930600749</v>
      </c>
    </row>
    <row r="1852" spans="1:33" ht="11.25" customHeight="1" x14ac:dyDescent="0.25">
      <c r="A1852" s="4" t="s">
        <v>21</v>
      </c>
      <c r="B1852" s="4" t="s">
        <v>22</v>
      </c>
      <c r="C1852" s="4" t="s">
        <v>23</v>
      </c>
      <c r="D1852" s="4" t="s">
        <v>24</v>
      </c>
      <c r="E1852" s="4" t="s">
        <v>31</v>
      </c>
      <c r="F1852" s="4" t="s">
        <v>25</v>
      </c>
      <c r="G1852" s="4" t="s">
        <v>25</v>
      </c>
      <c r="H1852" s="4" t="s">
        <v>25</v>
      </c>
      <c r="I1852" s="5">
        <v>43922</v>
      </c>
      <c r="J1852" s="6">
        <v>0</v>
      </c>
      <c r="K1852" s="6">
        <v>0</v>
      </c>
      <c r="L1852" s="6">
        <v>559.23</v>
      </c>
      <c r="M1852" s="6">
        <v>559.23</v>
      </c>
      <c r="N1852" s="6">
        <v>559.23</v>
      </c>
      <c r="O1852" s="6">
        <v>559.23</v>
      </c>
      <c r="P1852" s="6">
        <v>4441</v>
      </c>
      <c r="Q1852" s="4" t="s">
        <v>26</v>
      </c>
      <c r="R1852" s="4">
        <v>0</v>
      </c>
      <c r="S1852" s="6">
        <v>0</v>
      </c>
      <c r="T1852" s="6">
        <v>48</v>
      </c>
      <c r="U1852" s="6">
        <v>91</v>
      </c>
      <c r="V1852" s="6">
        <f>IF(ISERROR(VLOOKUP($S$1852,'TAR FIN'!$A$1:$O$120,15,0)),0,VLOOKUP($S$1852,'TAR FIN'!$A$1:$O$120,15,0))</f>
        <v>0</v>
      </c>
      <c r="W1852" s="6">
        <f>IF(ISERROR(VLOOKUP($T$1852,'TAR FIN'!$A$1:$O$120,15,0)),0,VLOOKUP($T$1852,'TAR FIN'!$A$1:$O$120,15,0))</f>
        <v>164.81</v>
      </c>
      <c r="X1852" s="6">
        <f>IF(ISERROR(VLOOKUP($U$1852,'TAR FIN'!$A$1:$O$120,15,0)),0,VLOOKUP($U$1852,'TAR FIN'!$A$1:$O$120,15,0))</f>
        <v>243.83</v>
      </c>
      <c r="Y1852" s="6"/>
      <c r="Z1852" s="6">
        <f ca="1">('TUSD BE'!$AM$58+'TUSD BF'!$AM$58+'TUSD CVA'!$AM$58-('TUSD BE'!$P$58+'TUSD BF'!$P$58+'TUSD CVA'!$P$58)-('TUSD BE'!$Q$58+'TUSD BF'!$Q$58+'TUSD CVA'!$Q$58)-('TUSD BE'!$R$58+'TUSD BF'!$R$58+'TUSD CVA'!$R$58))*(1-CUSTOS!$M$36)</f>
        <v>178.66223574861104</v>
      </c>
      <c r="AA1852" s="6">
        <f>('TE BE'!$AA$22+'TE BF'!$AA$22+'TE CVA'!$AA$22)*(1-CUSTOS!$M$36)</f>
        <v>218.61510796422959</v>
      </c>
      <c r="AB1852" s="6">
        <f>$K$1852*$V$1852</f>
        <v>0</v>
      </c>
      <c r="AC1852" s="6">
        <f>$M$1852*$W$1852</f>
        <v>92166.696300000011</v>
      </c>
      <c r="AD1852" s="6">
        <f>$O$1852*$X$1852</f>
        <v>136357.0509</v>
      </c>
      <c r="AE1852" s="6">
        <f>$K$1852*$Y$1852</f>
        <v>0</v>
      </c>
      <c r="AF1852" s="6">
        <f ca="1">$M$1852*$Z$1852</f>
        <v>99913.282097695759</v>
      </c>
      <c r="AG1852" s="6">
        <f>$O$1852*$AA$1852</f>
        <v>122256.12682683612</v>
      </c>
    </row>
    <row r="1853" spans="1:33" ht="11.25" customHeight="1" x14ac:dyDescent="0.25">
      <c r="A1853" s="4" t="s">
        <v>27</v>
      </c>
      <c r="B1853" s="4" t="s">
        <v>22</v>
      </c>
      <c r="C1853" s="4" t="s">
        <v>23</v>
      </c>
      <c r="D1853" s="4" t="s">
        <v>24</v>
      </c>
      <c r="E1853" s="4" t="s">
        <v>31</v>
      </c>
      <c r="F1853" s="4" t="s">
        <v>25</v>
      </c>
      <c r="G1853" s="4" t="s">
        <v>25</v>
      </c>
      <c r="H1853" s="4" t="s">
        <v>25</v>
      </c>
      <c r="I1853" s="5">
        <v>43922</v>
      </c>
      <c r="J1853" s="6">
        <v>0</v>
      </c>
      <c r="K1853" s="6">
        <v>0</v>
      </c>
      <c r="L1853" s="6">
        <v>3.6040000000000001</v>
      </c>
      <c r="M1853" s="6">
        <v>3.6040000000000001</v>
      </c>
      <c r="N1853" s="6">
        <v>3.6040000000000001</v>
      </c>
      <c r="O1853" s="6">
        <v>3.6040000000000001</v>
      </c>
      <c r="P1853" s="6">
        <v>2</v>
      </c>
      <c r="Q1853" s="4" t="s">
        <v>26</v>
      </c>
      <c r="R1853" s="4">
        <v>0</v>
      </c>
      <c r="S1853" s="6">
        <v>0</v>
      </c>
      <c r="T1853" s="6">
        <v>48</v>
      </c>
      <c r="U1853" s="6">
        <v>91</v>
      </c>
      <c r="V1853" s="6">
        <f>IF(ISERROR(VLOOKUP($S$1853,'TAR FIN'!$A$1:$O$120,15,0)),0,VLOOKUP($S$1853,'TAR FIN'!$A$1:$O$120,15,0))</f>
        <v>0</v>
      </c>
      <c r="W1853" s="6">
        <f>IF(ISERROR(VLOOKUP($T$1853,'TAR FIN'!$A$1:$O$120,15,0)),0,VLOOKUP($T$1853,'TAR FIN'!$A$1:$O$120,15,0))</f>
        <v>164.81</v>
      </c>
      <c r="X1853" s="6">
        <f>IF(ISERROR(VLOOKUP($U$1853,'TAR FIN'!$A$1:$O$120,15,0)),0,VLOOKUP($U$1853,'TAR FIN'!$A$1:$O$120,15,0))</f>
        <v>243.83</v>
      </c>
      <c r="Y1853" s="6"/>
      <c r="Z1853" s="6">
        <f ca="1">('TUSD BE'!$AM$58+'TUSD BF'!$AM$58+'TUSD CVA'!$AM$58-('TUSD BE'!$P$58+'TUSD BF'!$P$58+'TUSD CVA'!$P$58)-('TUSD BE'!$Q$58+'TUSD BF'!$Q$58+'TUSD CVA'!$Q$58)-('TUSD BE'!$R$58+'TUSD BF'!$R$58+'TUSD CVA'!$R$58))*(1-CUSTOS!$M$36)</f>
        <v>178.66223574861104</v>
      </c>
      <c r="AA1853" s="6">
        <f>('TE BE'!$AA$22+'TE BF'!$AA$22+'TE CVA'!$AA$22)*(1-CUSTOS!$M$36)</f>
        <v>218.61510796422959</v>
      </c>
      <c r="AB1853" s="6">
        <f>$K$1853*$V$1853</f>
        <v>0</v>
      </c>
      <c r="AC1853" s="6">
        <f>$M$1853*$W$1853</f>
        <v>593.97523999999999</v>
      </c>
      <c r="AD1853" s="6">
        <f>$O$1853*$X$1853</f>
        <v>878.76332000000002</v>
      </c>
      <c r="AE1853" s="6">
        <f>$K$1853*$Y$1853</f>
        <v>0</v>
      </c>
      <c r="AF1853" s="6">
        <f ca="1">$M$1853*$Z$1853</f>
        <v>643.89869763799425</v>
      </c>
      <c r="AG1853" s="6">
        <f>$O$1853*$AA$1853</f>
        <v>787.88884910308343</v>
      </c>
    </row>
    <row r="1854" spans="1:33" ht="11.25" customHeight="1" x14ac:dyDescent="0.25">
      <c r="A1854" s="4" t="s">
        <v>21</v>
      </c>
      <c r="B1854" s="4" t="s">
        <v>22</v>
      </c>
      <c r="C1854" s="4" t="s">
        <v>23</v>
      </c>
      <c r="D1854" s="4" t="s">
        <v>24</v>
      </c>
      <c r="E1854" s="4" t="s">
        <v>31</v>
      </c>
      <c r="F1854" s="4" t="s">
        <v>25</v>
      </c>
      <c r="G1854" s="4" t="s">
        <v>25</v>
      </c>
      <c r="H1854" s="4" t="s">
        <v>25</v>
      </c>
      <c r="I1854" s="5">
        <v>43952</v>
      </c>
      <c r="J1854" s="6">
        <v>0</v>
      </c>
      <c r="K1854" s="6">
        <v>0</v>
      </c>
      <c r="L1854" s="6">
        <v>650.62800000000004</v>
      </c>
      <c r="M1854" s="6">
        <v>650.62800000000004</v>
      </c>
      <c r="N1854" s="6">
        <v>650.62800000000004</v>
      </c>
      <c r="O1854" s="6">
        <v>650.62800000000004</v>
      </c>
      <c r="P1854" s="6">
        <v>5488</v>
      </c>
      <c r="Q1854" s="4" t="s">
        <v>26</v>
      </c>
      <c r="R1854" s="4">
        <v>0</v>
      </c>
      <c r="S1854" s="6">
        <v>0</v>
      </c>
      <c r="T1854" s="6">
        <v>48</v>
      </c>
      <c r="U1854" s="6">
        <v>91</v>
      </c>
      <c r="V1854" s="6">
        <f>IF(ISERROR(VLOOKUP($S$1854,'TAR FIN'!$A$1:$O$120,15,0)),0,VLOOKUP($S$1854,'TAR FIN'!$A$1:$O$120,15,0))</f>
        <v>0</v>
      </c>
      <c r="W1854" s="6">
        <f>IF(ISERROR(VLOOKUP($T$1854,'TAR FIN'!$A$1:$O$120,15,0)),0,VLOOKUP($T$1854,'TAR FIN'!$A$1:$O$120,15,0))</f>
        <v>164.81</v>
      </c>
      <c r="X1854" s="6">
        <f>IF(ISERROR(VLOOKUP($U$1854,'TAR FIN'!$A$1:$O$120,15,0)),0,VLOOKUP($U$1854,'TAR FIN'!$A$1:$O$120,15,0))</f>
        <v>243.83</v>
      </c>
      <c r="Y1854" s="6"/>
      <c r="Z1854" s="6">
        <f ca="1">('TUSD BE'!$AM$58+'TUSD BF'!$AM$58+'TUSD CVA'!$AM$58-('TUSD BE'!$P$58+'TUSD BF'!$P$58+'TUSD CVA'!$P$58)-('TUSD BE'!$Q$58+'TUSD BF'!$Q$58+'TUSD CVA'!$Q$58)-('TUSD BE'!$R$58+'TUSD BF'!$R$58+'TUSD CVA'!$R$58))*(1-CUSTOS!$M$36)</f>
        <v>178.66223574861104</v>
      </c>
      <c r="AA1854" s="6">
        <f>('TE BE'!$AA$22+'TE BF'!$AA$22+'TE CVA'!$AA$22)*(1-CUSTOS!$M$36)</f>
        <v>218.61510796422959</v>
      </c>
      <c r="AB1854" s="6">
        <f>$K$1854*$V$1854</f>
        <v>0</v>
      </c>
      <c r="AC1854" s="6">
        <f>$M$1854*$W$1854</f>
        <v>107230.00068000001</v>
      </c>
      <c r="AD1854" s="6">
        <f>$O$1854*$X$1854</f>
        <v>158642.62524000002</v>
      </c>
      <c r="AE1854" s="6">
        <f>$K$1854*$Y$1854</f>
        <v>0</v>
      </c>
      <c r="AF1854" s="6">
        <f ca="1">$M$1854*$Z$1854</f>
        <v>116242.65312064732</v>
      </c>
      <c r="AG1854" s="6">
        <f>$O$1854*$AA$1854</f>
        <v>142237.11046455079</v>
      </c>
    </row>
    <row r="1855" spans="1:33" ht="11.25" customHeight="1" x14ac:dyDescent="0.25">
      <c r="A1855" s="4" t="s">
        <v>27</v>
      </c>
      <c r="B1855" s="4" t="s">
        <v>22</v>
      </c>
      <c r="C1855" s="4" t="s">
        <v>23</v>
      </c>
      <c r="D1855" s="4" t="s">
        <v>24</v>
      </c>
      <c r="E1855" s="4" t="s">
        <v>31</v>
      </c>
      <c r="F1855" s="4" t="s">
        <v>25</v>
      </c>
      <c r="G1855" s="4" t="s">
        <v>25</v>
      </c>
      <c r="H1855" s="4" t="s">
        <v>25</v>
      </c>
      <c r="I1855" s="5">
        <v>43952</v>
      </c>
      <c r="J1855" s="6">
        <v>0</v>
      </c>
      <c r="K1855" s="6">
        <v>0</v>
      </c>
      <c r="L1855" s="6">
        <v>9.8010000000000002</v>
      </c>
      <c r="M1855" s="6">
        <v>9.8010000000000002</v>
      </c>
      <c r="N1855" s="6">
        <v>9.8010000000000002</v>
      </c>
      <c r="O1855" s="6">
        <v>9.8010000000000002</v>
      </c>
      <c r="P1855" s="6">
        <v>0</v>
      </c>
      <c r="Q1855" s="4" t="s">
        <v>26</v>
      </c>
      <c r="R1855" s="4">
        <v>0</v>
      </c>
      <c r="S1855" s="6">
        <v>0</v>
      </c>
      <c r="T1855" s="6">
        <v>48</v>
      </c>
      <c r="U1855" s="6">
        <v>91</v>
      </c>
      <c r="V1855" s="6">
        <f>IF(ISERROR(VLOOKUP($S$1855,'TAR FIN'!$A$1:$O$120,15,0)),0,VLOOKUP($S$1855,'TAR FIN'!$A$1:$O$120,15,0))</f>
        <v>0</v>
      </c>
      <c r="W1855" s="6">
        <f>IF(ISERROR(VLOOKUP($T$1855,'TAR FIN'!$A$1:$O$120,15,0)),0,VLOOKUP($T$1855,'TAR FIN'!$A$1:$O$120,15,0))</f>
        <v>164.81</v>
      </c>
      <c r="X1855" s="6">
        <f>IF(ISERROR(VLOOKUP($U$1855,'TAR FIN'!$A$1:$O$120,15,0)),0,VLOOKUP($U$1855,'TAR FIN'!$A$1:$O$120,15,0))</f>
        <v>243.83</v>
      </c>
      <c r="Y1855" s="6"/>
      <c r="Z1855" s="6">
        <f ca="1">('TUSD BE'!$AM$58+'TUSD BF'!$AM$58+'TUSD CVA'!$AM$58-('TUSD BE'!$P$58+'TUSD BF'!$P$58+'TUSD CVA'!$P$58)-('TUSD BE'!$Q$58+'TUSD BF'!$Q$58+'TUSD CVA'!$Q$58)-('TUSD BE'!$R$58+'TUSD BF'!$R$58+'TUSD CVA'!$R$58))*(1-CUSTOS!$M$36)</f>
        <v>178.66223574861104</v>
      </c>
      <c r="AA1855" s="6">
        <f>('TE BE'!$AA$22+'TE BF'!$AA$22+'TE CVA'!$AA$22)*(1-CUSTOS!$M$36)</f>
        <v>218.61510796422959</v>
      </c>
      <c r="AB1855" s="6">
        <f>$K$1855*$V$1855</f>
        <v>0</v>
      </c>
      <c r="AC1855" s="6">
        <f>$M$1855*$W$1855</f>
        <v>1615.3028100000001</v>
      </c>
      <c r="AD1855" s="6">
        <f>$O$1855*$X$1855</f>
        <v>2389.77783</v>
      </c>
      <c r="AE1855" s="6">
        <f>$K$1855*$Y$1855</f>
        <v>0</v>
      </c>
      <c r="AF1855" s="6">
        <f ca="1">$M$1855*$Z$1855</f>
        <v>1751.0685725721369</v>
      </c>
      <c r="AG1855" s="6">
        <f>$O$1855*$AA$1855</f>
        <v>2142.6466731574142</v>
      </c>
    </row>
    <row r="1856" spans="1:33" ht="11.25" customHeight="1" x14ac:dyDescent="0.25">
      <c r="A1856" s="4" t="s">
        <v>21</v>
      </c>
      <c r="B1856" s="4" t="s">
        <v>22</v>
      </c>
      <c r="C1856" s="4" t="s">
        <v>23</v>
      </c>
      <c r="D1856" s="4" t="s">
        <v>24</v>
      </c>
      <c r="E1856" s="4" t="s">
        <v>31</v>
      </c>
      <c r="F1856" s="4" t="s">
        <v>25</v>
      </c>
      <c r="G1856" s="4" t="s">
        <v>25</v>
      </c>
      <c r="H1856" s="4" t="s">
        <v>25</v>
      </c>
      <c r="I1856" s="5">
        <v>43983</v>
      </c>
      <c r="J1856" s="6">
        <v>0</v>
      </c>
      <c r="K1856" s="6">
        <v>0</v>
      </c>
      <c r="L1856" s="6">
        <v>631.74699999999996</v>
      </c>
      <c r="M1856" s="6">
        <v>631.74699999999996</v>
      </c>
      <c r="N1856" s="6">
        <v>631.74699999999996</v>
      </c>
      <c r="O1856" s="6">
        <v>631.74699999999996</v>
      </c>
      <c r="P1856" s="6">
        <v>6146</v>
      </c>
      <c r="Q1856" s="4" t="s">
        <v>26</v>
      </c>
      <c r="R1856" s="4">
        <v>0</v>
      </c>
      <c r="S1856" s="6">
        <v>0</v>
      </c>
      <c r="T1856" s="6">
        <v>48</v>
      </c>
      <c r="U1856" s="6">
        <v>91</v>
      </c>
      <c r="V1856" s="6">
        <f>IF(ISERROR(VLOOKUP($S$1856,'TAR FIN'!$A$1:$O$120,15,0)),0,VLOOKUP($S$1856,'TAR FIN'!$A$1:$O$120,15,0))</f>
        <v>0</v>
      </c>
      <c r="W1856" s="6">
        <f>IF(ISERROR(VLOOKUP($T$1856,'TAR FIN'!$A$1:$O$120,15,0)),0,VLOOKUP($T$1856,'TAR FIN'!$A$1:$O$120,15,0))</f>
        <v>164.81</v>
      </c>
      <c r="X1856" s="6">
        <f>IF(ISERROR(VLOOKUP($U$1856,'TAR FIN'!$A$1:$O$120,15,0)),0,VLOOKUP($U$1856,'TAR FIN'!$A$1:$O$120,15,0))</f>
        <v>243.83</v>
      </c>
      <c r="Y1856" s="6"/>
      <c r="Z1856" s="6">
        <f ca="1">('TUSD BE'!$AM$58+'TUSD BF'!$AM$58+'TUSD CVA'!$AM$58-('TUSD BE'!$P$58+'TUSD BF'!$P$58+'TUSD CVA'!$P$58)-('TUSD BE'!$Q$58+'TUSD BF'!$Q$58+'TUSD CVA'!$Q$58)-('TUSD BE'!$R$58+'TUSD BF'!$R$58+'TUSD CVA'!$R$58))*(1-CUSTOS!$M$36)</f>
        <v>178.66223574861104</v>
      </c>
      <c r="AA1856" s="6">
        <f>('TE BE'!$AA$22+'TE BF'!$AA$22+'TE CVA'!$AA$22)*(1-CUSTOS!$M$36)</f>
        <v>218.61510796422959</v>
      </c>
      <c r="AB1856" s="6">
        <f>$K$1856*$V$1856</f>
        <v>0</v>
      </c>
      <c r="AC1856" s="6">
        <f>$M$1856*$W$1856</f>
        <v>104118.22306999999</v>
      </c>
      <c r="AD1856" s="6">
        <f>$O$1856*$X$1856</f>
        <v>154038.87101</v>
      </c>
      <c r="AE1856" s="6">
        <f>$K$1856*$Y$1856</f>
        <v>0</v>
      </c>
      <c r="AF1856" s="6">
        <f ca="1">$M$1856*$Z$1856</f>
        <v>112869.33144747777</v>
      </c>
      <c r="AG1856" s="6">
        <f>$O$1856*$AA$1856</f>
        <v>138109.43861107813</v>
      </c>
    </row>
    <row r="1857" spans="1:33" ht="11.25" customHeight="1" x14ac:dyDescent="0.25">
      <c r="A1857" s="4" t="s">
        <v>27</v>
      </c>
      <c r="B1857" s="4" t="s">
        <v>22</v>
      </c>
      <c r="C1857" s="4" t="s">
        <v>23</v>
      </c>
      <c r="D1857" s="4" t="s">
        <v>24</v>
      </c>
      <c r="E1857" s="4" t="s">
        <v>31</v>
      </c>
      <c r="F1857" s="4" t="s">
        <v>25</v>
      </c>
      <c r="G1857" s="4" t="s">
        <v>25</v>
      </c>
      <c r="H1857" s="4" t="s">
        <v>25</v>
      </c>
      <c r="I1857" s="5">
        <v>43983</v>
      </c>
      <c r="J1857" s="6">
        <v>0</v>
      </c>
      <c r="K1857" s="6">
        <v>0</v>
      </c>
      <c r="L1857" s="6">
        <v>0.84</v>
      </c>
      <c r="M1857" s="6">
        <v>0.84</v>
      </c>
      <c r="N1857" s="6">
        <v>0.84</v>
      </c>
      <c r="O1857" s="6">
        <v>0.84</v>
      </c>
      <c r="P1857" s="6">
        <v>0</v>
      </c>
      <c r="Q1857" s="4" t="s">
        <v>26</v>
      </c>
      <c r="R1857" s="4">
        <v>0</v>
      </c>
      <c r="S1857" s="6">
        <v>0</v>
      </c>
      <c r="T1857" s="6">
        <v>48</v>
      </c>
      <c r="U1857" s="6">
        <v>91</v>
      </c>
      <c r="V1857" s="6">
        <f>IF(ISERROR(VLOOKUP($S$1857,'TAR FIN'!$A$1:$O$120,15,0)),0,VLOOKUP($S$1857,'TAR FIN'!$A$1:$O$120,15,0))</f>
        <v>0</v>
      </c>
      <c r="W1857" s="6">
        <f>IF(ISERROR(VLOOKUP($T$1857,'TAR FIN'!$A$1:$O$120,15,0)),0,VLOOKUP($T$1857,'TAR FIN'!$A$1:$O$120,15,0))</f>
        <v>164.81</v>
      </c>
      <c r="X1857" s="6">
        <f>IF(ISERROR(VLOOKUP($U$1857,'TAR FIN'!$A$1:$O$120,15,0)),0,VLOOKUP($U$1857,'TAR FIN'!$A$1:$O$120,15,0))</f>
        <v>243.83</v>
      </c>
      <c r="Y1857" s="6"/>
      <c r="Z1857" s="6">
        <f ca="1">('TUSD BE'!$AM$58+'TUSD BF'!$AM$58+'TUSD CVA'!$AM$58-('TUSD BE'!$P$58+'TUSD BF'!$P$58+'TUSD CVA'!$P$58)-('TUSD BE'!$Q$58+'TUSD BF'!$Q$58+'TUSD CVA'!$Q$58)-('TUSD BE'!$R$58+'TUSD BF'!$R$58+'TUSD CVA'!$R$58))*(1-CUSTOS!$M$36)</f>
        <v>178.66223574861104</v>
      </c>
      <c r="AA1857" s="6">
        <f>('TE BE'!$AA$22+'TE BF'!$AA$22+'TE CVA'!$AA$22)*(1-CUSTOS!$M$36)</f>
        <v>218.61510796422959</v>
      </c>
      <c r="AB1857" s="6">
        <f>$K$1857*$V$1857</f>
        <v>0</v>
      </c>
      <c r="AC1857" s="6">
        <f>$M$1857*$W$1857</f>
        <v>138.44039999999998</v>
      </c>
      <c r="AD1857" s="6">
        <f>$O$1857*$X$1857</f>
        <v>204.81720000000001</v>
      </c>
      <c r="AE1857" s="6">
        <f>$K$1857*$Y$1857</f>
        <v>0</v>
      </c>
      <c r="AF1857" s="6">
        <f ca="1">$M$1857*$Z$1857</f>
        <v>150.07627802883326</v>
      </c>
      <c r="AG1857" s="6">
        <f>$O$1857*$AA$1857</f>
        <v>183.63669068995284</v>
      </c>
    </row>
    <row r="1858" spans="1:33" ht="11.25" customHeight="1" x14ac:dyDescent="0.25">
      <c r="A1858" s="4" t="s">
        <v>21</v>
      </c>
      <c r="B1858" s="4" t="s">
        <v>22</v>
      </c>
      <c r="C1858" s="4" t="s">
        <v>23</v>
      </c>
      <c r="D1858" s="4" t="s">
        <v>24</v>
      </c>
      <c r="E1858" s="4" t="s">
        <v>31</v>
      </c>
      <c r="F1858" s="4" t="s">
        <v>25</v>
      </c>
      <c r="G1858" s="4" t="s">
        <v>25</v>
      </c>
      <c r="H1858" s="4" t="s">
        <v>25</v>
      </c>
      <c r="I1858" s="5">
        <v>44013</v>
      </c>
      <c r="J1858" s="6">
        <v>0</v>
      </c>
      <c r="K1858" s="6">
        <v>0</v>
      </c>
      <c r="L1858" s="6">
        <v>691.83699999999999</v>
      </c>
      <c r="M1858" s="6">
        <v>691.83699999999999</v>
      </c>
      <c r="N1858" s="6">
        <v>691.83699999999999</v>
      </c>
      <c r="O1858" s="6">
        <v>691.83699999999999</v>
      </c>
      <c r="P1858" s="6">
        <v>6209</v>
      </c>
      <c r="Q1858" s="4" t="s">
        <v>26</v>
      </c>
      <c r="R1858" s="4">
        <v>0</v>
      </c>
      <c r="S1858" s="6">
        <v>0</v>
      </c>
      <c r="T1858" s="6">
        <v>48</v>
      </c>
      <c r="U1858" s="6">
        <v>91</v>
      </c>
      <c r="V1858" s="6">
        <f>IF(ISERROR(VLOOKUP($S$1858,'TAR FIN'!$A$1:$O$120,15,0)),0,VLOOKUP($S$1858,'TAR FIN'!$A$1:$O$120,15,0))</f>
        <v>0</v>
      </c>
      <c r="W1858" s="6">
        <f>IF(ISERROR(VLOOKUP($T$1858,'TAR FIN'!$A$1:$O$120,15,0)),0,VLOOKUP($T$1858,'TAR FIN'!$A$1:$O$120,15,0))</f>
        <v>164.81</v>
      </c>
      <c r="X1858" s="6">
        <f>IF(ISERROR(VLOOKUP($U$1858,'TAR FIN'!$A$1:$O$120,15,0)),0,VLOOKUP($U$1858,'TAR FIN'!$A$1:$O$120,15,0))</f>
        <v>243.83</v>
      </c>
      <c r="Y1858" s="6"/>
      <c r="Z1858" s="6">
        <f ca="1">('TUSD BE'!$AM$58+'TUSD BF'!$AM$58+'TUSD CVA'!$AM$58-('TUSD BE'!$P$58+'TUSD BF'!$P$58+'TUSD CVA'!$P$58)-('TUSD BE'!$Q$58+'TUSD BF'!$Q$58+'TUSD CVA'!$Q$58)-('TUSD BE'!$R$58+'TUSD BF'!$R$58+'TUSD CVA'!$R$58))*(1-CUSTOS!$M$36)</f>
        <v>178.66223574861104</v>
      </c>
      <c r="AA1858" s="6">
        <f>('TE BE'!$AA$22+'TE BF'!$AA$22+'TE CVA'!$AA$22)*(1-CUSTOS!$M$36)</f>
        <v>218.61510796422959</v>
      </c>
      <c r="AB1858" s="6">
        <f>$K$1858*$V$1858</f>
        <v>0</v>
      </c>
      <c r="AC1858" s="6">
        <f>$M$1858*$W$1858</f>
        <v>114021.65596999999</v>
      </c>
      <c r="AD1858" s="6">
        <f>$O$1858*$X$1858</f>
        <v>168690.61571000001</v>
      </c>
      <c r="AE1858" s="6">
        <f>$K$1858*$Y$1858</f>
        <v>0</v>
      </c>
      <c r="AF1858" s="6">
        <f ca="1">$M$1858*$Z$1858</f>
        <v>123605.14519361181</v>
      </c>
      <c r="AG1858" s="6">
        <f>$O$1858*$AA$1858</f>
        <v>151246.02044864872</v>
      </c>
    </row>
    <row r="1859" spans="1:33" ht="11.25" customHeight="1" x14ac:dyDescent="0.25">
      <c r="A1859" s="4" t="s">
        <v>27</v>
      </c>
      <c r="B1859" s="4" t="s">
        <v>22</v>
      </c>
      <c r="C1859" s="4" t="s">
        <v>23</v>
      </c>
      <c r="D1859" s="4" t="s">
        <v>24</v>
      </c>
      <c r="E1859" s="4" t="s">
        <v>31</v>
      </c>
      <c r="F1859" s="4" t="s">
        <v>25</v>
      </c>
      <c r="G1859" s="4" t="s">
        <v>25</v>
      </c>
      <c r="H1859" s="4" t="s">
        <v>25</v>
      </c>
      <c r="I1859" s="5">
        <v>44013</v>
      </c>
      <c r="J1859" s="6">
        <v>0</v>
      </c>
      <c r="K1859" s="6">
        <v>0</v>
      </c>
      <c r="L1859" s="6">
        <v>0.48</v>
      </c>
      <c r="M1859" s="6">
        <v>0.48</v>
      </c>
      <c r="N1859" s="6">
        <v>0.48</v>
      </c>
      <c r="O1859" s="6">
        <v>0.48</v>
      </c>
      <c r="P1859" s="6">
        <v>0</v>
      </c>
      <c r="Q1859" s="4" t="s">
        <v>26</v>
      </c>
      <c r="R1859" s="4">
        <v>0</v>
      </c>
      <c r="S1859" s="6">
        <v>0</v>
      </c>
      <c r="T1859" s="6">
        <v>48</v>
      </c>
      <c r="U1859" s="6">
        <v>91</v>
      </c>
      <c r="V1859" s="6">
        <f>IF(ISERROR(VLOOKUP($S$1859,'TAR FIN'!$A$1:$O$120,15,0)),0,VLOOKUP($S$1859,'TAR FIN'!$A$1:$O$120,15,0))</f>
        <v>0</v>
      </c>
      <c r="W1859" s="6">
        <f>IF(ISERROR(VLOOKUP($T$1859,'TAR FIN'!$A$1:$O$120,15,0)),0,VLOOKUP($T$1859,'TAR FIN'!$A$1:$O$120,15,0))</f>
        <v>164.81</v>
      </c>
      <c r="X1859" s="6">
        <f>IF(ISERROR(VLOOKUP($U$1859,'TAR FIN'!$A$1:$O$120,15,0)),0,VLOOKUP($U$1859,'TAR FIN'!$A$1:$O$120,15,0))</f>
        <v>243.83</v>
      </c>
      <c r="Y1859" s="6"/>
      <c r="Z1859" s="6">
        <f ca="1">('TUSD BE'!$AM$58+'TUSD BF'!$AM$58+'TUSD CVA'!$AM$58-('TUSD BE'!$P$58+'TUSD BF'!$P$58+'TUSD CVA'!$P$58)-('TUSD BE'!$Q$58+'TUSD BF'!$Q$58+'TUSD CVA'!$Q$58)-('TUSD BE'!$R$58+'TUSD BF'!$R$58+'TUSD CVA'!$R$58))*(1-CUSTOS!$M$36)</f>
        <v>178.66223574861104</v>
      </c>
      <c r="AA1859" s="6">
        <f>('TE BE'!$AA$22+'TE BF'!$AA$22+'TE CVA'!$AA$22)*(1-CUSTOS!$M$36)</f>
        <v>218.61510796422959</v>
      </c>
      <c r="AB1859" s="6">
        <f>$K$1859*$V$1859</f>
        <v>0</v>
      </c>
      <c r="AC1859" s="6">
        <f>$M$1859*$W$1859</f>
        <v>79.108800000000002</v>
      </c>
      <c r="AD1859" s="6">
        <f>$O$1859*$X$1859</f>
        <v>117.0384</v>
      </c>
      <c r="AE1859" s="6">
        <f>$K$1859*$Y$1859</f>
        <v>0</v>
      </c>
      <c r="AF1859" s="6">
        <f ca="1">$M$1859*$Z$1859</f>
        <v>85.7578731593333</v>
      </c>
      <c r="AG1859" s="6">
        <f>$O$1859*$AA$1859</f>
        <v>104.9352518228302</v>
      </c>
    </row>
    <row r="1860" spans="1:33" ht="11.25" customHeight="1" x14ac:dyDescent="0.25">
      <c r="A1860" s="4" t="s">
        <v>21</v>
      </c>
      <c r="B1860" s="4" t="s">
        <v>22</v>
      </c>
      <c r="C1860" s="4" t="s">
        <v>23</v>
      </c>
      <c r="D1860" s="4" t="s">
        <v>24</v>
      </c>
      <c r="E1860" s="4" t="s">
        <v>31</v>
      </c>
      <c r="F1860" s="4" t="s">
        <v>25</v>
      </c>
      <c r="G1860" s="4" t="s">
        <v>25</v>
      </c>
      <c r="H1860" s="4" t="s">
        <v>25</v>
      </c>
      <c r="I1860" s="5">
        <v>44044</v>
      </c>
      <c r="J1860" s="6">
        <v>0</v>
      </c>
      <c r="K1860" s="6">
        <v>0</v>
      </c>
      <c r="L1860" s="6">
        <v>781.39599999999996</v>
      </c>
      <c r="M1860" s="6">
        <v>781.39599999999996</v>
      </c>
      <c r="N1860" s="6">
        <v>781.39599999999996</v>
      </c>
      <c r="O1860" s="6">
        <v>781.39599999999996</v>
      </c>
      <c r="P1860" s="6">
        <v>6036</v>
      </c>
      <c r="Q1860" s="4" t="s">
        <v>26</v>
      </c>
      <c r="R1860" s="4">
        <v>0</v>
      </c>
      <c r="S1860" s="6">
        <v>0</v>
      </c>
      <c r="T1860" s="6">
        <v>48</v>
      </c>
      <c r="U1860" s="6">
        <v>91</v>
      </c>
      <c r="V1860" s="6">
        <f>IF(ISERROR(VLOOKUP($S$1860,'TAR FIN'!$A$1:$O$120,15,0)),0,VLOOKUP($S$1860,'TAR FIN'!$A$1:$O$120,15,0))</f>
        <v>0</v>
      </c>
      <c r="W1860" s="6">
        <f>IF(ISERROR(VLOOKUP($T$1860,'TAR FIN'!$A$1:$O$120,15,0)),0,VLOOKUP($T$1860,'TAR FIN'!$A$1:$O$120,15,0))</f>
        <v>164.81</v>
      </c>
      <c r="X1860" s="6">
        <f>IF(ISERROR(VLOOKUP($U$1860,'TAR FIN'!$A$1:$O$120,15,0)),0,VLOOKUP($U$1860,'TAR FIN'!$A$1:$O$120,15,0))</f>
        <v>243.83</v>
      </c>
      <c r="Y1860" s="6"/>
      <c r="Z1860" s="6">
        <f ca="1">('TUSD BE'!$AM$58+'TUSD BF'!$AM$58+'TUSD CVA'!$AM$58-('TUSD BE'!$P$58+'TUSD BF'!$P$58+'TUSD CVA'!$P$58)-('TUSD BE'!$Q$58+'TUSD BF'!$Q$58+'TUSD CVA'!$Q$58)-('TUSD BE'!$R$58+'TUSD BF'!$R$58+'TUSD CVA'!$R$58))*(1-CUSTOS!$M$36)</f>
        <v>178.66223574861104</v>
      </c>
      <c r="AA1860" s="6">
        <f>('TE BE'!$AA$22+'TE BF'!$AA$22+'TE CVA'!$AA$22)*(1-CUSTOS!$M$36)</f>
        <v>218.61510796422959</v>
      </c>
      <c r="AB1860" s="6">
        <f>$K$1860*$V$1860</f>
        <v>0</v>
      </c>
      <c r="AC1860" s="6">
        <f>$M$1860*$W$1860</f>
        <v>128781.87475999999</v>
      </c>
      <c r="AD1860" s="6">
        <f>$O$1860*$X$1860</f>
        <v>190527.78667999999</v>
      </c>
      <c r="AE1860" s="6">
        <f>$K$1860*$Y$1860</f>
        <v>0</v>
      </c>
      <c r="AF1860" s="6">
        <f ca="1">$M$1860*$Z$1860</f>
        <v>139605.95636502167</v>
      </c>
      <c r="AG1860" s="6">
        <f>$O$1860*$AA$1860</f>
        <v>170824.97090281715</v>
      </c>
    </row>
    <row r="1861" spans="1:33" ht="11.25" customHeight="1" x14ac:dyDescent="0.25">
      <c r="A1861" s="4" t="s">
        <v>27</v>
      </c>
      <c r="B1861" s="4" t="s">
        <v>22</v>
      </c>
      <c r="C1861" s="4" t="s">
        <v>23</v>
      </c>
      <c r="D1861" s="4" t="s">
        <v>24</v>
      </c>
      <c r="E1861" s="4" t="s">
        <v>31</v>
      </c>
      <c r="F1861" s="4" t="s">
        <v>25</v>
      </c>
      <c r="G1861" s="4" t="s">
        <v>25</v>
      </c>
      <c r="H1861" s="4" t="s">
        <v>25</v>
      </c>
      <c r="I1861" s="5">
        <v>44044</v>
      </c>
      <c r="J1861" s="6">
        <v>0</v>
      </c>
      <c r="K1861" s="6">
        <v>0</v>
      </c>
      <c r="L1861" s="6">
        <v>0.28199999999999997</v>
      </c>
      <c r="M1861" s="6">
        <v>0.28199999999999997</v>
      </c>
      <c r="N1861" s="6">
        <v>0.28199999999999997</v>
      </c>
      <c r="O1861" s="6">
        <v>0.28199999999999997</v>
      </c>
      <c r="P1861" s="6">
        <v>2</v>
      </c>
      <c r="Q1861" s="4" t="s">
        <v>26</v>
      </c>
      <c r="R1861" s="4">
        <v>0</v>
      </c>
      <c r="S1861" s="6">
        <v>0</v>
      </c>
      <c r="T1861" s="6">
        <v>48</v>
      </c>
      <c r="U1861" s="6">
        <v>91</v>
      </c>
      <c r="V1861" s="6">
        <f>IF(ISERROR(VLOOKUP($S$1861,'TAR FIN'!$A$1:$O$120,15,0)),0,VLOOKUP($S$1861,'TAR FIN'!$A$1:$O$120,15,0))</f>
        <v>0</v>
      </c>
      <c r="W1861" s="6">
        <f>IF(ISERROR(VLOOKUP($T$1861,'TAR FIN'!$A$1:$O$120,15,0)),0,VLOOKUP($T$1861,'TAR FIN'!$A$1:$O$120,15,0))</f>
        <v>164.81</v>
      </c>
      <c r="X1861" s="6">
        <f>IF(ISERROR(VLOOKUP($U$1861,'TAR FIN'!$A$1:$O$120,15,0)),0,VLOOKUP($U$1861,'TAR FIN'!$A$1:$O$120,15,0))</f>
        <v>243.83</v>
      </c>
      <c r="Y1861" s="6"/>
      <c r="Z1861" s="6">
        <f ca="1">('TUSD BE'!$AM$58+'TUSD BF'!$AM$58+'TUSD CVA'!$AM$58-('TUSD BE'!$P$58+'TUSD BF'!$P$58+'TUSD CVA'!$P$58)-('TUSD BE'!$Q$58+'TUSD BF'!$Q$58+'TUSD CVA'!$Q$58)-('TUSD BE'!$R$58+'TUSD BF'!$R$58+'TUSD CVA'!$R$58))*(1-CUSTOS!$M$36)</f>
        <v>178.66223574861104</v>
      </c>
      <c r="AA1861" s="6">
        <f>('TE BE'!$AA$22+'TE BF'!$AA$22+'TE CVA'!$AA$22)*(1-CUSTOS!$M$36)</f>
        <v>218.61510796422959</v>
      </c>
      <c r="AB1861" s="6">
        <f>$K$1861*$V$1861</f>
        <v>0</v>
      </c>
      <c r="AC1861" s="6">
        <f>$M$1861*$W$1861</f>
        <v>46.476419999999997</v>
      </c>
      <c r="AD1861" s="6">
        <f>$O$1861*$X$1861</f>
        <v>68.760059999999996</v>
      </c>
      <c r="AE1861" s="6">
        <f>$K$1861*$Y$1861</f>
        <v>0</v>
      </c>
      <c r="AF1861" s="6">
        <f ca="1">$M$1861*$Z$1861</f>
        <v>50.38275048110831</v>
      </c>
      <c r="AG1861" s="6">
        <f>$O$1861*$AA$1861</f>
        <v>61.649460445912737</v>
      </c>
    </row>
    <row r="1862" spans="1:33" ht="11.25" customHeight="1" x14ac:dyDescent="0.25">
      <c r="A1862" s="4" t="s">
        <v>59</v>
      </c>
      <c r="B1862" s="4" t="s">
        <v>22</v>
      </c>
      <c r="C1862" s="4" t="s">
        <v>23</v>
      </c>
      <c r="D1862" s="4" t="s">
        <v>24</v>
      </c>
      <c r="E1862" s="4" t="s">
        <v>31</v>
      </c>
      <c r="F1862" s="4" t="s">
        <v>25</v>
      </c>
      <c r="G1862" s="4" t="s">
        <v>25</v>
      </c>
      <c r="H1862" s="4" t="s">
        <v>25</v>
      </c>
      <c r="I1862" s="5">
        <v>44075</v>
      </c>
      <c r="J1862" s="6">
        <v>0</v>
      </c>
      <c r="K1862" s="6">
        <v>0</v>
      </c>
      <c r="L1862" s="6">
        <v>781.39599999999996</v>
      </c>
      <c r="M1862" s="6">
        <v>781.39599999999996</v>
      </c>
      <c r="N1862" s="6">
        <v>781.39599999999996</v>
      </c>
      <c r="O1862" s="6">
        <v>781.39599999999996</v>
      </c>
      <c r="P1862" s="6">
        <v>6036</v>
      </c>
      <c r="Q1862" s="4" t="s">
        <v>26</v>
      </c>
      <c r="R1862" s="4">
        <v>0</v>
      </c>
      <c r="S1862" s="6">
        <v>0</v>
      </c>
      <c r="T1862" s="6">
        <v>48</v>
      </c>
      <c r="U1862" s="6">
        <v>91</v>
      </c>
      <c r="V1862" s="6">
        <f>IF(ISERROR(VLOOKUP($S$1862,'TAR FIN'!$A$1:$O$120,15,0)),0,VLOOKUP($S$1862,'TAR FIN'!$A$1:$O$120,15,0))</f>
        <v>0</v>
      </c>
      <c r="W1862" s="6">
        <f>IF(ISERROR(VLOOKUP($T$1862,'TAR FIN'!$A$1:$O$120,15,0)),0,VLOOKUP($T$1862,'TAR FIN'!$A$1:$O$120,15,0))</f>
        <v>164.81</v>
      </c>
      <c r="X1862" s="6">
        <f>IF(ISERROR(VLOOKUP($U$1862,'TAR FIN'!$A$1:$O$120,15,0)),0,VLOOKUP($U$1862,'TAR FIN'!$A$1:$O$120,15,0))</f>
        <v>243.83</v>
      </c>
      <c r="Y1862" s="6"/>
      <c r="Z1862" s="6">
        <f ca="1">('TUSD BE'!$AM$58+'TUSD BF'!$AM$58+'TUSD CVA'!$AM$58-('TUSD BE'!$P$58+'TUSD BF'!$P$58+'TUSD CVA'!$P$58)-('TUSD BE'!$Q$58+'TUSD BF'!$Q$58+'TUSD CVA'!$Q$58)-('TUSD BE'!$R$58+'TUSD BF'!$R$58+'TUSD CVA'!$R$58))*(1-CUSTOS!$M$36)</f>
        <v>178.66223574861104</v>
      </c>
      <c r="AA1862" s="6">
        <f>('TE BE'!$AA$22+'TE BF'!$AA$22+'TE CVA'!$AA$22)*(1-CUSTOS!$M$36)</f>
        <v>218.61510796422959</v>
      </c>
      <c r="AB1862" s="6">
        <f>$K$1862*$V$1862</f>
        <v>0</v>
      </c>
      <c r="AC1862" s="6">
        <f>$M$1862*$W$1862</f>
        <v>128781.87475999999</v>
      </c>
      <c r="AD1862" s="6">
        <f>$O$1862*$X$1862</f>
        <v>190527.78667999999</v>
      </c>
      <c r="AE1862" s="6">
        <f>$K$1862*$Y$1862</f>
        <v>0</v>
      </c>
      <c r="AF1862" s="6">
        <f ca="1">$M$1862*$Z$1862</f>
        <v>139605.95636502167</v>
      </c>
      <c r="AG1862" s="6">
        <f>$O$1862*$AA$1862</f>
        <v>170824.97090281715</v>
      </c>
    </row>
    <row r="1863" spans="1:33" ht="11.25" customHeight="1" x14ac:dyDescent="0.25">
      <c r="A1863" s="4" t="s">
        <v>59</v>
      </c>
      <c r="B1863" s="4" t="s">
        <v>22</v>
      </c>
      <c r="C1863" s="4" t="s">
        <v>23</v>
      </c>
      <c r="D1863" s="4" t="s">
        <v>24</v>
      </c>
      <c r="E1863" s="4" t="s">
        <v>31</v>
      </c>
      <c r="F1863" s="4" t="s">
        <v>25</v>
      </c>
      <c r="G1863" s="4" t="s">
        <v>25</v>
      </c>
      <c r="H1863" s="4" t="s">
        <v>25</v>
      </c>
      <c r="I1863" s="5">
        <v>44075</v>
      </c>
      <c r="J1863" s="6">
        <v>0</v>
      </c>
      <c r="K1863" s="6">
        <v>0</v>
      </c>
      <c r="L1863" s="6">
        <v>0.28199999999999997</v>
      </c>
      <c r="M1863" s="6">
        <v>0.28199999999999997</v>
      </c>
      <c r="N1863" s="6">
        <v>0.28199999999999997</v>
      </c>
      <c r="O1863" s="6">
        <v>0.28199999999999997</v>
      </c>
      <c r="P1863" s="6">
        <v>2</v>
      </c>
      <c r="Q1863" s="4" t="s">
        <v>26</v>
      </c>
      <c r="R1863" s="4">
        <v>0</v>
      </c>
      <c r="S1863" s="6">
        <v>0</v>
      </c>
      <c r="T1863" s="6">
        <v>48</v>
      </c>
      <c r="U1863" s="6">
        <v>91</v>
      </c>
      <c r="V1863" s="6">
        <f>IF(ISERROR(VLOOKUP($S$1863,'TAR FIN'!$A$1:$O$120,15,0)),0,VLOOKUP($S$1863,'TAR FIN'!$A$1:$O$120,15,0))</f>
        <v>0</v>
      </c>
      <c r="W1863" s="6">
        <f>IF(ISERROR(VLOOKUP($T$1863,'TAR FIN'!$A$1:$O$120,15,0)),0,VLOOKUP($T$1863,'TAR FIN'!$A$1:$O$120,15,0))</f>
        <v>164.81</v>
      </c>
      <c r="X1863" s="6">
        <f>IF(ISERROR(VLOOKUP($U$1863,'TAR FIN'!$A$1:$O$120,15,0)),0,VLOOKUP($U$1863,'TAR FIN'!$A$1:$O$120,15,0))</f>
        <v>243.83</v>
      </c>
      <c r="Y1863" s="6"/>
      <c r="Z1863" s="6">
        <f ca="1">('TUSD BE'!$AM$58+'TUSD BF'!$AM$58+'TUSD CVA'!$AM$58-('TUSD BE'!$P$58+'TUSD BF'!$P$58+'TUSD CVA'!$P$58)-('TUSD BE'!$Q$58+'TUSD BF'!$Q$58+'TUSD CVA'!$Q$58)-('TUSD BE'!$R$58+'TUSD BF'!$R$58+'TUSD CVA'!$R$58))*(1-CUSTOS!$M$36)</f>
        <v>178.66223574861104</v>
      </c>
      <c r="AA1863" s="6">
        <f>('TE BE'!$AA$22+'TE BF'!$AA$22+'TE CVA'!$AA$22)*(1-CUSTOS!$M$36)</f>
        <v>218.61510796422959</v>
      </c>
      <c r="AB1863" s="6">
        <f>$K$1863*$V$1863</f>
        <v>0</v>
      </c>
      <c r="AC1863" s="6">
        <f>$M$1863*$W$1863</f>
        <v>46.476419999999997</v>
      </c>
      <c r="AD1863" s="6">
        <f>$O$1863*$X$1863</f>
        <v>68.760059999999996</v>
      </c>
      <c r="AE1863" s="6">
        <f>$K$1863*$Y$1863</f>
        <v>0</v>
      </c>
      <c r="AF1863" s="6">
        <f ca="1">$M$1863*$Z$1863</f>
        <v>50.38275048110831</v>
      </c>
      <c r="AG1863" s="6">
        <f>$O$1863*$AA$1863</f>
        <v>61.649460445912737</v>
      </c>
    </row>
    <row r="1864" spans="1:33" ht="11.25" customHeight="1" x14ac:dyDescent="0.25">
      <c r="A1864" s="4" t="s">
        <v>21</v>
      </c>
      <c r="B1864" s="4" t="s">
        <v>22</v>
      </c>
      <c r="C1864" s="4" t="s">
        <v>23</v>
      </c>
      <c r="D1864" s="4" t="s">
        <v>24</v>
      </c>
      <c r="E1864" s="4" t="s">
        <v>32</v>
      </c>
      <c r="F1864" s="4" t="s">
        <v>25</v>
      </c>
      <c r="G1864" s="4" t="s">
        <v>25</v>
      </c>
      <c r="H1864" s="4" t="s">
        <v>25</v>
      </c>
      <c r="I1864" s="5">
        <v>43739</v>
      </c>
      <c r="J1864" s="6">
        <v>0</v>
      </c>
      <c r="K1864" s="6">
        <v>0</v>
      </c>
      <c r="L1864" s="6">
        <v>187.739</v>
      </c>
      <c r="M1864" s="6">
        <v>187.739</v>
      </c>
      <c r="N1864" s="6">
        <v>187.739</v>
      </c>
      <c r="O1864" s="6">
        <v>187.739</v>
      </c>
      <c r="P1864" s="6">
        <v>2112</v>
      </c>
      <c r="Q1864" s="4" t="s">
        <v>26</v>
      </c>
      <c r="R1864" s="4">
        <v>0</v>
      </c>
      <c r="S1864" s="6">
        <v>0</v>
      </c>
      <c r="T1864" s="6">
        <v>49</v>
      </c>
      <c r="U1864" s="6">
        <v>92</v>
      </c>
      <c r="V1864" s="6">
        <f>IF(ISERROR(VLOOKUP($S$1864,'TAR FIN'!$A$1:$O$120,15,0)),0,VLOOKUP($S$1864,'TAR FIN'!$A$1:$O$120,15,0))</f>
        <v>0</v>
      </c>
      <c r="W1864" s="6">
        <f>IF(ISERROR(VLOOKUP($T$1864,'TAR FIN'!$A$1:$O$120,15,0)),0,VLOOKUP($T$1864,'TAR FIN'!$A$1:$O$120,15,0))</f>
        <v>183.12</v>
      </c>
      <c r="X1864" s="6">
        <f>IF(ISERROR(VLOOKUP($U$1864,'TAR FIN'!$A$1:$O$120,15,0)),0,VLOOKUP($U$1864,'TAR FIN'!$A$1:$O$120,15,0))</f>
        <v>270.92</v>
      </c>
      <c r="Y1864" s="6"/>
      <c r="Z1864" s="6">
        <f ca="1">('TUSD BE'!$AM$59+'TUSD BF'!$AM$59+'TUSD CVA'!$AM$59-('TUSD BE'!$P$59+'TUSD BF'!$P$59+'TUSD CVA'!$P$59)-('TUSD BE'!$Q$59+'TUSD BF'!$Q$59+'TUSD CVA'!$Q$59)-('TUSD BE'!$R$59+'TUSD BF'!$R$59+'TUSD CVA'!$R$59))*(1-CUSTOS!$M$37)</f>
        <v>198.51359527623447</v>
      </c>
      <c r="AA1864" s="6">
        <f>('TE BE'!$AA$23+'TE BF'!$AA$23+'TE CVA'!$AA$23)*(1-CUSTOS!$M$37)</f>
        <v>242.90567551581066</v>
      </c>
      <c r="AB1864" s="6">
        <f>$K$1864*$V$1864</f>
        <v>0</v>
      </c>
      <c r="AC1864" s="6">
        <f>$M$1864*$W$1864</f>
        <v>34378.765680000004</v>
      </c>
      <c r="AD1864" s="6">
        <f>$O$1864*$X$1864</f>
        <v>50862.249880000003</v>
      </c>
      <c r="AE1864" s="6">
        <f>$K$1864*$Y$1864</f>
        <v>0</v>
      </c>
      <c r="AF1864" s="6">
        <f ca="1">$M$1864*$Z$1864</f>
        <v>37268.743863564981</v>
      </c>
      <c r="AG1864" s="6">
        <f>$O$1864*$AA$1864</f>
        <v>45602.868615662781</v>
      </c>
    </row>
    <row r="1865" spans="1:33" ht="11.25" customHeight="1" x14ac:dyDescent="0.25">
      <c r="A1865" s="4" t="s">
        <v>27</v>
      </c>
      <c r="B1865" s="4" t="s">
        <v>22</v>
      </c>
      <c r="C1865" s="4" t="s">
        <v>23</v>
      </c>
      <c r="D1865" s="4" t="s">
        <v>24</v>
      </c>
      <c r="E1865" s="4" t="s">
        <v>32</v>
      </c>
      <c r="F1865" s="4" t="s">
        <v>25</v>
      </c>
      <c r="G1865" s="4" t="s">
        <v>25</v>
      </c>
      <c r="H1865" s="4" t="s">
        <v>25</v>
      </c>
      <c r="I1865" s="5">
        <v>43739</v>
      </c>
      <c r="J1865" s="6">
        <v>0</v>
      </c>
      <c r="K1865" s="6">
        <v>0</v>
      </c>
      <c r="L1865" s="6">
        <v>0.14699999999999999</v>
      </c>
      <c r="M1865" s="6">
        <v>0.14699999999999999</v>
      </c>
      <c r="N1865" s="6">
        <v>0.14699999999999999</v>
      </c>
      <c r="O1865" s="6">
        <v>0.14699999999999999</v>
      </c>
      <c r="P1865" s="6">
        <v>1</v>
      </c>
      <c r="Q1865" s="4" t="s">
        <v>26</v>
      </c>
      <c r="R1865" s="4">
        <v>0</v>
      </c>
      <c r="S1865" s="6">
        <v>0</v>
      </c>
      <c r="T1865" s="6">
        <v>49</v>
      </c>
      <c r="U1865" s="6">
        <v>92</v>
      </c>
      <c r="V1865" s="6">
        <f>IF(ISERROR(VLOOKUP($S$1865,'TAR FIN'!$A$1:$O$120,15,0)),0,VLOOKUP($S$1865,'TAR FIN'!$A$1:$O$120,15,0))</f>
        <v>0</v>
      </c>
      <c r="W1865" s="6">
        <f>IF(ISERROR(VLOOKUP($T$1865,'TAR FIN'!$A$1:$O$120,15,0)),0,VLOOKUP($T$1865,'TAR FIN'!$A$1:$O$120,15,0))</f>
        <v>183.12</v>
      </c>
      <c r="X1865" s="6">
        <f>IF(ISERROR(VLOOKUP($U$1865,'TAR FIN'!$A$1:$O$120,15,0)),0,VLOOKUP($U$1865,'TAR FIN'!$A$1:$O$120,15,0))</f>
        <v>270.92</v>
      </c>
      <c r="Y1865" s="6"/>
      <c r="Z1865" s="6">
        <f ca="1">('TUSD BE'!$AM$59+'TUSD BF'!$AM$59+'TUSD CVA'!$AM$59-('TUSD BE'!$P$59+'TUSD BF'!$P$59+'TUSD CVA'!$P$59)-('TUSD BE'!$Q$59+'TUSD BF'!$Q$59+'TUSD CVA'!$Q$59)-('TUSD BE'!$R$59+'TUSD BF'!$R$59+'TUSD CVA'!$R$59))*(1-CUSTOS!$M$37)</f>
        <v>198.51359527623447</v>
      </c>
      <c r="AA1865" s="6">
        <f>('TE BE'!$AA$23+'TE BF'!$AA$23+'TE CVA'!$AA$23)*(1-CUSTOS!$M$37)</f>
        <v>242.90567551581066</v>
      </c>
      <c r="AB1865" s="6">
        <f>$K$1865*$V$1865</f>
        <v>0</v>
      </c>
      <c r="AC1865" s="6">
        <f>$M$1865*$W$1865</f>
        <v>26.91864</v>
      </c>
      <c r="AD1865" s="6">
        <f>$O$1865*$X$1865</f>
        <v>39.825240000000001</v>
      </c>
      <c r="AE1865" s="6">
        <f>$K$1865*$Y$1865</f>
        <v>0</v>
      </c>
      <c r="AF1865" s="6">
        <f ca="1">$M$1865*$Z$1865</f>
        <v>29.181498505606466</v>
      </c>
      <c r="AG1865" s="6">
        <f>$O$1865*$AA$1865</f>
        <v>35.707134300824166</v>
      </c>
    </row>
    <row r="1866" spans="1:33" ht="11.25" customHeight="1" x14ac:dyDescent="0.25">
      <c r="A1866" s="4" t="s">
        <v>21</v>
      </c>
      <c r="B1866" s="4" t="s">
        <v>22</v>
      </c>
      <c r="C1866" s="4" t="s">
        <v>23</v>
      </c>
      <c r="D1866" s="4" t="s">
        <v>24</v>
      </c>
      <c r="E1866" s="4" t="s">
        <v>32</v>
      </c>
      <c r="F1866" s="4" t="s">
        <v>25</v>
      </c>
      <c r="G1866" s="4" t="s">
        <v>25</v>
      </c>
      <c r="H1866" s="4" t="s">
        <v>25</v>
      </c>
      <c r="I1866" s="5">
        <v>43770</v>
      </c>
      <c r="J1866" s="6">
        <v>0</v>
      </c>
      <c r="K1866" s="6">
        <v>0</v>
      </c>
      <c r="L1866" s="6">
        <v>236.78100000000001</v>
      </c>
      <c r="M1866" s="6">
        <v>236.78100000000001</v>
      </c>
      <c r="N1866" s="6">
        <v>236.78100000000001</v>
      </c>
      <c r="O1866" s="6">
        <v>236.78100000000001</v>
      </c>
      <c r="P1866" s="6">
        <v>2599</v>
      </c>
      <c r="Q1866" s="4" t="s">
        <v>26</v>
      </c>
      <c r="R1866" s="4">
        <v>0</v>
      </c>
      <c r="S1866" s="6">
        <v>0</v>
      </c>
      <c r="T1866" s="6">
        <v>49</v>
      </c>
      <c r="U1866" s="6">
        <v>92</v>
      </c>
      <c r="V1866" s="6">
        <f>IF(ISERROR(VLOOKUP($S$1866,'TAR FIN'!$A$1:$O$120,15,0)),0,VLOOKUP($S$1866,'TAR FIN'!$A$1:$O$120,15,0))</f>
        <v>0</v>
      </c>
      <c r="W1866" s="6">
        <f>IF(ISERROR(VLOOKUP($T$1866,'TAR FIN'!$A$1:$O$120,15,0)),0,VLOOKUP($T$1866,'TAR FIN'!$A$1:$O$120,15,0))</f>
        <v>183.12</v>
      </c>
      <c r="X1866" s="6">
        <f>IF(ISERROR(VLOOKUP($U$1866,'TAR FIN'!$A$1:$O$120,15,0)),0,VLOOKUP($U$1866,'TAR FIN'!$A$1:$O$120,15,0))</f>
        <v>270.92</v>
      </c>
      <c r="Y1866" s="6"/>
      <c r="Z1866" s="6">
        <f ca="1">('TUSD BE'!$AM$59+'TUSD BF'!$AM$59+'TUSD CVA'!$AM$59-('TUSD BE'!$P$59+'TUSD BF'!$P$59+'TUSD CVA'!$P$59)-('TUSD BE'!$Q$59+'TUSD BF'!$Q$59+'TUSD CVA'!$Q$59)-('TUSD BE'!$R$59+'TUSD BF'!$R$59+'TUSD CVA'!$R$59))*(1-CUSTOS!$M$37)</f>
        <v>198.51359527623447</v>
      </c>
      <c r="AA1866" s="6">
        <f>('TE BE'!$AA$23+'TE BF'!$AA$23+'TE CVA'!$AA$23)*(1-CUSTOS!$M$37)</f>
        <v>242.90567551581066</v>
      </c>
      <c r="AB1866" s="6">
        <f>$K$1866*$V$1866</f>
        <v>0</v>
      </c>
      <c r="AC1866" s="6">
        <f>$M$1866*$W$1866</f>
        <v>43359.336719999999</v>
      </c>
      <c r="AD1866" s="6">
        <f>$O$1866*$X$1866</f>
        <v>64148.708520000007</v>
      </c>
      <c r="AE1866" s="6">
        <f>$K$1866*$Y$1866</f>
        <v>0</v>
      </c>
      <c r="AF1866" s="6">
        <f ca="1">$M$1866*$Z$1866</f>
        <v>47004.247603102078</v>
      </c>
      <c r="AG1866" s="6">
        <f>$O$1866*$AA$1866</f>
        <v>57515.448754309167</v>
      </c>
    </row>
    <row r="1867" spans="1:33" ht="11.25" customHeight="1" x14ac:dyDescent="0.25">
      <c r="A1867" s="4" t="s">
        <v>27</v>
      </c>
      <c r="B1867" s="4" t="s">
        <v>22</v>
      </c>
      <c r="C1867" s="4" t="s">
        <v>23</v>
      </c>
      <c r="D1867" s="4" t="s">
        <v>24</v>
      </c>
      <c r="E1867" s="4" t="s">
        <v>32</v>
      </c>
      <c r="F1867" s="4" t="s">
        <v>25</v>
      </c>
      <c r="G1867" s="4" t="s">
        <v>25</v>
      </c>
      <c r="H1867" s="4" t="s">
        <v>25</v>
      </c>
      <c r="I1867" s="5">
        <v>43770</v>
      </c>
      <c r="J1867" s="6">
        <v>0</v>
      </c>
      <c r="K1867" s="6">
        <v>0</v>
      </c>
      <c r="L1867" s="6">
        <v>0.13300000000000001</v>
      </c>
      <c r="M1867" s="6">
        <v>0.13300000000000001</v>
      </c>
      <c r="N1867" s="6">
        <v>0.13300000000000001</v>
      </c>
      <c r="O1867" s="6">
        <v>0.13300000000000001</v>
      </c>
      <c r="P1867" s="6">
        <v>1</v>
      </c>
      <c r="Q1867" s="4" t="s">
        <v>26</v>
      </c>
      <c r="R1867" s="4">
        <v>0</v>
      </c>
      <c r="S1867" s="6">
        <v>0</v>
      </c>
      <c r="T1867" s="6">
        <v>49</v>
      </c>
      <c r="U1867" s="6">
        <v>92</v>
      </c>
      <c r="V1867" s="6">
        <f>IF(ISERROR(VLOOKUP($S$1867,'TAR FIN'!$A$1:$O$120,15,0)),0,VLOOKUP($S$1867,'TAR FIN'!$A$1:$O$120,15,0))</f>
        <v>0</v>
      </c>
      <c r="W1867" s="6">
        <f>IF(ISERROR(VLOOKUP($T$1867,'TAR FIN'!$A$1:$O$120,15,0)),0,VLOOKUP($T$1867,'TAR FIN'!$A$1:$O$120,15,0))</f>
        <v>183.12</v>
      </c>
      <c r="X1867" s="6">
        <f>IF(ISERROR(VLOOKUP($U$1867,'TAR FIN'!$A$1:$O$120,15,0)),0,VLOOKUP($U$1867,'TAR FIN'!$A$1:$O$120,15,0))</f>
        <v>270.92</v>
      </c>
      <c r="Y1867" s="6"/>
      <c r="Z1867" s="6">
        <f ca="1">('TUSD BE'!$AM$59+'TUSD BF'!$AM$59+'TUSD CVA'!$AM$59-('TUSD BE'!$P$59+'TUSD BF'!$P$59+'TUSD CVA'!$P$59)-('TUSD BE'!$Q$59+'TUSD BF'!$Q$59+'TUSD CVA'!$Q$59)-('TUSD BE'!$R$59+'TUSD BF'!$R$59+'TUSD CVA'!$R$59))*(1-CUSTOS!$M$37)</f>
        <v>198.51359527623447</v>
      </c>
      <c r="AA1867" s="6">
        <f>('TE BE'!$AA$23+'TE BF'!$AA$23+'TE CVA'!$AA$23)*(1-CUSTOS!$M$37)</f>
        <v>242.90567551581066</v>
      </c>
      <c r="AB1867" s="6">
        <f>$K$1867*$V$1867</f>
        <v>0</v>
      </c>
      <c r="AC1867" s="6">
        <f>$M$1867*$W$1867</f>
        <v>24.354960000000002</v>
      </c>
      <c r="AD1867" s="6">
        <f>$O$1867*$X$1867</f>
        <v>36.032360000000004</v>
      </c>
      <c r="AE1867" s="6">
        <f>$K$1867*$Y$1867</f>
        <v>0</v>
      </c>
      <c r="AF1867" s="6">
        <f ca="1">$M$1867*$Z$1867</f>
        <v>26.402308171739186</v>
      </c>
      <c r="AG1867" s="6">
        <f>$O$1867*$AA$1867</f>
        <v>32.306454843602822</v>
      </c>
    </row>
    <row r="1868" spans="1:33" ht="11.25" customHeight="1" x14ac:dyDescent="0.25">
      <c r="A1868" s="4" t="s">
        <v>21</v>
      </c>
      <c r="B1868" s="4" t="s">
        <v>22</v>
      </c>
      <c r="C1868" s="4" t="s">
        <v>23</v>
      </c>
      <c r="D1868" s="4" t="s">
        <v>24</v>
      </c>
      <c r="E1868" s="4" t="s">
        <v>32</v>
      </c>
      <c r="F1868" s="4" t="s">
        <v>25</v>
      </c>
      <c r="G1868" s="4" t="s">
        <v>25</v>
      </c>
      <c r="H1868" s="4" t="s">
        <v>25</v>
      </c>
      <c r="I1868" s="5">
        <v>43800</v>
      </c>
      <c r="J1868" s="6">
        <v>0</v>
      </c>
      <c r="K1868" s="6">
        <v>0</v>
      </c>
      <c r="L1868" s="6">
        <v>149.327</v>
      </c>
      <c r="M1868" s="6">
        <v>149.327</v>
      </c>
      <c r="N1868" s="6">
        <v>149.327</v>
      </c>
      <c r="O1868" s="6">
        <v>149.327</v>
      </c>
      <c r="P1868" s="6">
        <v>1858</v>
      </c>
      <c r="Q1868" s="4" t="s">
        <v>26</v>
      </c>
      <c r="R1868" s="4">
        <v>0</v>
      </c>
      <c r="S1868" s="6">
        <v>0</v>
      </c>
      <c r="T1868" s="6">
        <v>49</v>
      </c>
      <c r="U1868" s="6">
        <v>92</v>
      </c>
      <c r="V1868" s="6">
        <f>IF(ISERROR(VLOOKUP($S$1868,'TAR FIN'!$A$1:$O$120,15,0)),0,VLOOKUP($S$1868,'TAR FIN'!$A$1:$O$120,15,0))</f>
        <v>0</v>
      </c>
      <c r="W1868" s="6">
        <f>IF(ISERROR(VLOOKUP($T$1868,'TAR FIN'!$A$1:$O$120,15,0)),0,VLOOKUP($T$1868,'TAR FIN'!$A$1:$O$120,15,0))</f>
        <v>183.12</v>
      </c>
      <c r="X1868" s="6">
        <f>IF(ISERROR(VLOOKUP($U$1868,'TAR FIN'!$A$1:$O$120,15,0)),0,VLOOKUP($U$1868,'TAR FIN'!$A$1:$O$120,15,0))</f>
        <v>270.92</v>
      </c>
      <c r="Y1868" s="6"/>
      <c r="Z1868" s="6">
        <f ca="1">('TUSD BE'!$AM$59+'TUSD BF'!$AM$59+'TUSD CVA'!$AM$59-('TUSD BE'!$P$59+'TUSD BF'!$P$59+'TUSD CVA'!$P$59)-('TUSD BE'!$Q$59+'TUSD BF'!$Q$59+'TUSD CVA'!$Q$59)-('TUSD BE'!$R$59+'TUSD BF'!$R$59+'TUSD CVA'!$R$59))*(1-CUSTOS!$M$37)</f>
        <v>198.51359527623447</v>
      </c>
      <c r="AA1868" s="6">
        <f>('TE BE'!$AA$23+'TE BF'!$AA$23+'TE CVA'!$AA$23)*(1-CUSTOS!$M$37)</f>
        <v>242.90567551581066</v>
      </c>
      <c r="AB1868" s="6">
        <f>$K$1868*$V$1868</f>
        <v>0</v>
      </c>
      <c r="AC1868" s="6">
        <f>$M$1868*$W$1868</f>
        <v>27344.76024</v>
      </c>
      <c r="AD1868" s="6">
        <f>$O$1868*$X$1868</f>
        <v>40455.670839999999</v>
      </c>
      <c r="AE1868" s="6">
        <f>$K$1868*$Y$1868</f>
        <v>0</v>
      </c>
      <c r="AF1868" s="6">
        <f ca="1">$M$1868*$Z$1868</f>
        <v>29643.439641814264</v>
      </c>
      <c r="AG1868" s="6">
        <f>$O$1868*$AA$1868</f>
        <v>36272.375807749457</v>
      </c>
    </row>
    <row r="1869" spans="1:33" ht="11.25" customHeight="1" x14ac:dyDescent="0.25">
      <c r="A1869" s="4" t="s">
        <v>21</v>
      </c>
      <c r="B1869" s="4" t="s">
        <v>22</v>
      </c>
      <c r="C1869" s="4" t="s">
        <v>23</v>
      </c>
      <c r="D1869" s="4" t="s">
        <v>24</v>
      </c>
      <c r="E1869" s="4" t="s">
        <v>32</v>
      </c>
      <c r="F1869" s="4" t="s">
        <v>25</v>
      </c>
      <c r="G1869" s="4" t="s">
        <v>25</v>
      </c>
      <c r="H1869" s="4" t="s">
        <v>25</v>
      </c>
      <c r="I1869" s="5">
        <v>43831</v>
      </c>
      <c r="J1869" s="6">
        <v>0</v>
      </c>
      <c r="K1869" s="6">
        <v>0</v>
      </c>
      <c r="L1869" s="6">
        <v>219.71600000000001</v>
      </c>
      <c r="M1869" s="6">
        <v>219.71600000000001</v>
      </c>
      <c r="N1869" s="6">
        <v>219.71600000000001</v>
      </c>
      <c r="O1869" s="6">
        <v>219.71600000000001</v>
      </c>
      <c r="P1869" s="6">
        <v>2483</v>
      </c>
      <c r="Q1869" s="4" t="s">
        <v>26</v>
      </c>
      <c r="R1869" s="4">
        <v>0</v>
      </c>
      <c r="S1869" s="6">
        <v>0</v>
      </c>
      <c r="T1869" s="6">
        <v>49</v>
      </c>
      <c r="U1869" s="6">
        <v>92</v>
      </c>
      <c r="V1869" s="6">
        <f>IF(ISERROR(VLOOKUP($S$1869,'TAR FIN'!$A$1:$O$120,15,0)),0,VLOOKUP($S$1869,'TAR FIN'!$A$1:$O$120,15,0))</f>
        <v>0</v>
      </c>
      <c r="W1869" s="6">
        <f>IF(ISERROR(VLOOKUP($T$1869,'TAR FIN'!$A$1:$O$120,15,0)),0,VLOOKUP($T$1869,'TAR FIN'!$A$1:$O$120,15,0))</f>
        <v>183.12</v>
      </c>
      <c r="X1869" s="6">
        <f>IF(ISERROR(VLOOKUP($U$1869,'TAR FIN'!$A$1:$O$120,15,0)),0,VLOOKUP($U$1869,'TAR FIN'!$A$1:$O$120,15,0))</f>
        <v>270.92</v>
      </c>
      <c r="Y1869" s="6"/>
      <c r="Z1869" s="6">
        <f ca="1">('TUSD BE'!$AM$59+'TUSD BF'!$AM$59+'TUSD CVA'!$AM$59-('TUSD BE'!$P$59+'TUSD BF'!$P$59+'TUSD CVA'!$P$59)-('TUSD BE'!$Q$59+'TUSD BF'!$Q$59+'TUSD CVA'!$Q$59)-('TUSD BE'!$R$59+'TUSD BF'!$R$59+'TUSD CVA'!$R$59))*(1-CUSTOS!$M$37)</f>
        <v>198.51359527623447</v>
      </c>
      <c r="AA1869" s="6">
        <f>('TE BE'!$AA$23+'TE BF'!$AA$23+'TE CVA'!$AA$23)*(1-CUSTOS!$M$37)</f>
        <v>242.90567551581066</v>
      </c>
      <c r="AB1869" s="6">
        <f>$K$1869*$V$1869</f>
        <v>0</v>
      </c>
      <c r="AC1869" s="6">
        <f>$M$1869*$W$1869</f>
        <v>40234.393920000002</v>
      </c>
      <c r="AD1869" s="6">
        <f>$O$1869*$X$1869</f>
        <v>59525.458720000002</v>
      </c>
      <c r="AE1869" s="6">
        <f>$K$1869*$Y$1869</f>
        <v>0</v>
      </c>
      <c r="AF1869" s="6">
        <f ca="1">$M$1869*$Z$1869</f>
        <v>43616.613099713133</v>
      </c>
      <c r="AG1869" s="6">
        <f>$O$1869*$AA$1869</f>
        <v>53370.263401631855</v>
      </c>
    </row>
    <row r="1870" spans="1:33" ht="11.25" customHeight="1" x14ac:dyDescent="0.25">
      <c r="A1870" s="4" t="s">
        <v>27</v>
      </c>
      <c r="B1870" s="4" t="s">
        <v>22</v>
      </c>
      <c r="C1870" s="4" t="s">
        <v>23</v>
      </c>
      <c r="D1870" s="4" t="s">
        <v>24</v>
      </c>
      <c r="E1870" s="4" t="s">
        <v>32</v>
      </c>
      <c r="F1870" s="4" t="s">
        <v>25</v>
      </c>
      <c r="G1870" s="4" t="s">
        <v>25</v>
      </c>
      <c r="H1870" s="4" t="s">
        <v>25</v>
      </c>
      <c r="I1870" s="5">
        <v>43831</v>
      </c>
      <c r="J1870" s="6">
        <v>0</v>
      </c>
      <c r="K1870" s="6">
        <v>0</v>
      </c>
      <c r="L1870" s="6">
        <v>0.161</v>
      </c>
      <c r="M1870" s="6">
        <v>0.161</v>
      </c>
      <c r="N1870" s="6">
        <v>0.161</v>
      </c>
      <c r="O1870" s="6">
        <v>0.161</v>
      </c>
      <c r="P1870" s="6">
        <v>2</v>
      </c>
      <c r="Q1870" s="4" t="s">
        <v>26</v>
      </c>
      <c r="R1870" s="4">
        <v>0</v>
      </c>
      <c r="S1870" s="6">
        <v>0</v>
      </c>
      <c r="T1870" s="6">
        <v>49</v>
      </c>
      <c r="U1870" s="6">
        <v>92</v>
      </c>
      <c r="V1870" s="6">
        <f>IF(ISERROR(VLOOKUP($S$1870,'TAR FIN'!$A$1:$O$120,15,0)),0,VLOOKUP($S$1870,'TAR FIN'!$A$1:$O$120,15,0))</f>
        <v>0</v>
      </c>
      <c r="W1870" s="6">
        <f>IF(ISERROR(VLOOKUP($T$1870,'TAR FIN'!$A$1:$O$120,15,0)),0,VLOOKUP($T$1870,'TAR FIN'!$A$1:$O$120,15,0))</f>
        <v>183.12</v>
      </c>
      <c r="X1870" s="6">
        <f>IF(ISERROR(VLOOKUP($U$1870,'TAR FIN'!$A$1:$O$120,15,0)),0,VLOOKUP($U$1870,'TAR FIN'!$A$1:$O$120,15,0))</f>
        <v>270.92</v>
      </c>
      <c r="Y1870" s="6"/>
      <c r="Z1870" s="6">
        <f ca="1">('TUSD BE'!$AM$59+'TUSD BF'!$AM$59+'TUSD CVA'!$AM$59-('TUSD BE'!$P$59+'TUSD BF'!$P$59+'TUSD CVA'!$P$59)-('TUSD BE'!$Q$59+'TUSD BF'!$Q$59+'TUSD CVA'!$Q$59)-('TUSD BE'!$R$59+'TUSD BF'!$R$59+'TUSD CVA'!$R$59))*(1-CUSTOS!$M$37)</f>
        <v>198.51359527623447</v>
      </c>
      <c r="AA1870" s="6">
        <f>('TE BE'!$AA$23+'TE BF'!$AA$23+'TE CVA'!$AA$23)*(1-CUSTOS!$M$37)</f>
        <v>242.90567551581066</v>
      </c>
      <c r="AB1870" s="6">
        <f>$K$1870*$V$1870</f>
        <v>0</v>
      </c>
      <c r="AC1870" s="6">
        <f>$M$1870*$W$1870</f>
        <v>29.482320000000001</v>
      </c>
      <c r="AD1870" s="6">
        <f>$O$1870*$X$1870</f>
        <v>43.618120000000005</v>
      </c>
      <c r="AE1870" s="6">
        <f>$K$1870*$Y$1870</f>
        <v>0</v>
      </c>
      <c r="AF1870" s="6">
        <f ca="1">$M$1870*$Z$1870</f>
        <v>31.96068883947375</v>
      </c>
      <c r="AG1870" s="6">
        <f>$O$1870*$AA$1870</f>
        <v>39.107813758045516</v>
      </c>
    </row>
    <row r="1871" spans="1:33" ht="11.25" customHeight="1" x14ac:dyDescent="0.25">
      <c r="A1871" s="4" t="s">
        <v>21</v>
      </c>
      <c r="B1871" s="4" t="s">
        <v>22</v>
      </c>
      <c r="C1871" s="4" t="s">
        <v>23</v>
      </c>
      <c r="D1871" s="4" t="s">
        <v>24</v>
      </c>
      <c r="E1871" s="4" t="s">
        <v>32</v>
      </c>
      <c r="F1871" s="4" t="s">
        <v>25</v>
      </c>
      <c r="G1871" s="4" t="s">
        <v>25</v>
      </c>
      <c r="H1871" s="4" t="s">
        <v>25</v>
      </c>
      <c r="I1871" s="5">
        <v>43862</v>
      </c>
      <c r="J1871" s="6">
        <v>0</v>
      </c>
      <c r="K1871" s="6">
        <v>0</v>
      </c>
      <c r="L1871" s="6">
        <v>154.23699999999999</v>
      </c>
      <c r="M1871" s="6">
        <v>154.23699999999999</v>
      </c>
      <c r="N1871" s="6">
        <v>154.23699999999999</v>
      </c>
      <c r="O1871" s="6">
        <v>154.23699999999999</v>
      </c>
      <c r="P1871" s="6">
        <v>1911</v>
      </c>
      <c r="Q1871" s="4" t="s">
        <v>26</v>
      </c>
      <c r="R1871" s="4">
        <v>0</v>
      </c>
      <c r="S1871" s="6">
        <v>0</v>
      </c>
      <c r="T1871" s="6">
        <v>49</v>
      </c>
      <c r="U1871" s="6">
        <v>92</v>
      </c>
      <c r="V1871" s="6">
        <f>IF(ISERROR(VLOOKUP($S$1871,'TAR FIN'!$A$1:$O$120,15,0)),0,VLOOKUP($S$1871,'TAR FIN'!$A$1:$O$120,15,0))</f>
        <v>0</v>
      </c>
      <c r="W1871" s="6">
        <f>IF(ISERROR(VLOOKUP($T$1871,'TAR FIN'!$A$1:$O$120,15,0)),0,VLOOKUP($T$1871,'TAR FIN'!$A$1:$O$120,15,0))</f>
        <v>183.12</v>
      </c>
      <c r="X1871" s="6">
        <f>IF(ISERROR(VLOOKUP($U$1871,'TAR FIN'!$A$1:$O$120,15,0)),0,VLOOKUP($U$1871,'TAR FIN'!$A$1:$O$120,15,0))</f>
        <v>270.92</v>
      </c>
      <c r="Y1871" s="6"/>
      <c r="Z1871" s="6">
        <f ca="1">('TUSD BE'!$AM$59+'TUSD BF'!$AM$59+'TUSD CVA'!$AM$59-('TUSD BE'!$P$59+'TUSD BF'!$P$59+'TUSD CVA'!$P$59)-('TUSD BE'!$Q$59+'TUSD BF'!$Q$59+'TUSD CVA'!$Q$59)-('TUSD BE'!$R$59+'TUSD BF'!$R$59+'TUSD CVA'!$R$59))*(1-CUSTOS!$M$37)</f>
        <v>198.51359527623447</v>
      </c>
      <c r="AA1871" s="6">
        <f>('TE BE'!$AA$23+'TE BF'!$AA$23+'TE CVA'!$AA$23)*(1-CUSTOS!$M$37)</f>
        <v>242.90567551581066</v>
      </c>
      <c r="AB1871" s="6">
        <f>$K$1871*$V$1871</f>
        <v>0</v>
      </c>
      <c r="AC1871" s="6">
        <f>$M$1871*$W$1871</f>
        <v>28243.879440000001</v>
      </c>
      <c r="AD1871" s="6">
        <f>$O$1871*$X$1871</f>
        <v>41785.888039999998</v>
      </c>
      <c r="AE1871" s="6">
        <f>$K$1871*$Y$1871</f>
        <v>0</v>
      </c>
      <c r="AF1871" s="6">
        <f ca="1">$M$1871*$Z$1871</f>
        <v>30618.141394620576</v>
      </c>
      <c r="AG1871" s="6">
        <f>$O$1871*$AA$1871</f>
        <v>37465.042674532087</v>
      </c>
    </row>
    <row r="1872" spans="1:33" ht="11.25" customHeight="1" x14ac:dyDescent="0.25">
      <c r="A1872" s="4" t="s">
        <v>21</v>
      </c>
      <c r="B1872" s="4" t="s">
        <v>22</v>
      </c>
      <c r="C1872" s="4" t="s">
        <v>23</v>
      </c>
      <c r="D1872" s="4" t="s">
        <v>24</v>
      </c>
      <c r="E1872" s="4" t="s">
        <v>32</v>
      </c>
      <c r="F1872" s="4" t="s">
        <v>25</v>
      </c>
      <c r="G1872" s="4" t="s">
        <v>25</v>
      </c>
      <c r="H1872" s="4" t="s">
        <v>25</v>
      </c>
      <c r="I1872" s="5">
        <v>43891</v>
      </c>
      <c r="J1872" s="6">
        <v>0</v>
      </c>
      <c r="K1872" s="6">
        <v>0</v>
      </c>
      <c r="L1872" s="6">
        <v>163.06700000000001</v>
      </c>
      <c r="M1872" s="6">
        <v>163.06700000000001</v>
      </c>
      <c r="N1872" s="6">
        <v>163.06700000000001</v>
      </c>
      <c r="O1872" s="6">
        <v>163.06700000000001</v>
      </c>
      <c r="P1872" s="6">
        <v>1921</v>
      </c>
      <c r="Q1872" s="4" t="s">
        <v>26</v>
      </c>
      <c r="R1872" s="4">
        <v>0</v>
      </c>
      <c r="S1872" s="6">
        <v>0</v>
      </c>
      <c r="T1872" s="6">
        <v>49</v>
      </c>
      <c r="U1872" s="6">
        <v>92</v>
      </c>
      <c r="V1872" s="6">
        <f>IF(ISERROR(VLOOKUP($S$1872,'TAR FIN'!$A$1:$O$120,15,0)),0,VLOOKUP($S$1872,'TAR FIN'!$A$1:$O$120,15,0))</f>
        <v>0</v>
      </c>
      <c r="W1872" s="6">
        <f>IF(ISERROR(VLOOKUP($T$1872,'TAR FIN'!$A$1:$O$120,15,0)),0,VLOOKUP($T$1872,'TAR FIN'!$A$1:$O$120,15,0))</f>
        <v>183.12</v>
      </c>
      <c r="X1872" s="6">
        <f>IF(ISERROR(VLOOKUP($U$1872,'TAR FIN'!$A$1:$O$120,15,0)),0,VLOOKUP($U$1872,'TAR FIN'!$A$1:$O$120,15,0))</f>
        <v>270.92</v>
      </c>
      <c r="Y1872" s="6"/>
      <c r="Z1872" s="6">
        <f ca="1">('TUSD BE'!$AM$59+'TUSD BF'!$AM$59+'TUSD CVA'!$AM$59-('TUSD BE'!$P$59+'TUSD BF'!$P$59+'TUSD CVA'!$P$59)-('TUSD BE'!$Q$59+'TUSD BF'!$Q$59+'TUSD CVA'!$Q$59)-('TUSD BE'!$R$59+'TUSD BF'!$R$59+'TUSD CVA'!$R$59))*(1-CUSTOS!$M$37)</f>
        <v>198.51359527623447</v>
      </c>
      <c r="AA1872" s="6">
        <f>('TE BE'!$AA$23+'TE BF'!$AA$23+'TE CVA'!$AA$23)*(1-CUSTOS!$M$37)</f>
        <v>242.90567551581066</v>
      </c>
      <c r="AB1872" s="6">
        <f>$K$1872*$V$1872</f>
        <v>0</v>
      </c>
      <c r="AC1872" s="6">
        <f>$M$1872*$W$1872</f>
        <v>29860.829040000001</v>
      </c>
      <c r="AD1872" s="6">
        <f>$O$1872*$X$1872</f>
        <v>44178.111640000003</v>
      </c>
      <c r="AE1872" s="6">
        <f>$K$1872*$Y$1872</f>
        <v>0</v>
      </c>
      <c r="AF1872" s="6">
        <f ca="1">$M$1872*$Z$1872</f>
        <v>32371.016440909727</v>
      </c>
      <c r="AG1872" s="6">
        <f>$O$1872*$AA$1872</f>
        <v>39609.899789336698</v>
      </c>
    </row>
    <row r="1873" spans="1:33" ht="11.25" customHeight="1" x14ac:dyDescent="0.25">
      <c r="A1873" s="4" t="s">
        <v>27</v>
      </c>
      <c r="B1873" s="4" t="s">
        <v>22</v>
      </c>
      <c r="C1873" s="4" t="s">
        <v>23</v>
      </c>
      <c r="D1873" s="4" t="s">
        <v>24</v>
      </c>
      <c r="E1873" s="4" t="s">
        <v>32</v>
      </c>
      <c r="F1873" s="4" t="s">
        <v>25</v>
      </c>
      <c r="G1873" s="4" t="s">
        <v>25</v>
      </c>
      <c r="H1873" s="4" t="s">
        <v>25</v>
      </c>
      <c r="I1873" s="5">
        <v>43891</v>
      </c>
      <c r="J1873" s="6">
        <v>0</v>
      </c>
      <c r="K1873" s="6">
        <v>0</v>
      </c>
      <c r="L1873" s="6">
        <v>0.218</v>
      </c>
      <c r="M1873" s="6">
        <v>0.218</v>
      </c>
      <c r="N1873" s="6">
        <v>0.218</v>
      </c>
      <c r="O1873" s="6">
        <v>0.218</v>
      </c>
      <c r="P1873" s="6">
        <v>2</v>
      </c>
      <c r="Q1873" s="4" t="s">
        <v>26</v>
      </c>
      <c r="R1873" s="4">
        <v>0</v>
      </c>
      <c r="S1873" s="6">
        <v>0</v>
      </c>
      <c r="T1873" s="6">
        <v>49</v>
      </c>
      <c r="U1873" s="6">
        <v>92</v>
      </c>
      <c r="V1873" s="6">
        <f>IF(ISERROR(VLOOKUP($S$1873,'TAR FIN'!$A$1:$O$120,15,0)),0,VLOOKUP($S$1873,'TAR FIN'!$A$1:$O$120,15,0))</f>
        <v>0</v>
      </c>
      <c r="W1873" s="6">
        <f>IF(ISERROR(VLOOKUP($T$1873,'TAR FIN'!$A$1:$O$120,15,0)),0,VLOOKUP($T$1873,'TAR FIN'!$A$1:$O$120,15,0))</f>
        <v>183.12</v>
      </c>
      <c r="X1873" s="6">
        <f>IF(ISERROR(VLOOKUP($U$1873,'TAR FIN'!$A$1:$O$120,15,0)),0,VLOOKUP($U$1873,'TAR FIN'!$A$1:$O$120,15,0))</f>
        <v>270.92</v>
      </c>
      <c r="Y1873" s="6"/>
      <c r="Z1873" s="6">
        <f ca="1">('TUSD BE'!$AM$59+'TUSD BF'!$AM$59+'TUSD CVA'!$AM$59-('TUSD BE'!$P$59+'TUSD BF'!$P$59+'TUSD CVA'!$P$59)-('TUSD BE'!$Q$59+'TUSD BF'!$Q$59+'TUSD CVA'!$Q$59)-('TUSD BE'!$R$59+'TUSD BF'!$R$59+'TUSD CVA'!$R$59))*(1-CUSTOS!$M$37)</f>
        <v>198.51359527623447</v>
      </c>
      <c r="AA1873" s="6">
        <f>('TE BE'!$AA$23+'TE BF'!$AA$23+'TE CVA'!$AA$23)*(1-CUSTOS!$M$37)</f>
        <v>242.90567551581066</v>
      </c>
      <c r="AB1873" s="6">
        <f>$K$1873*$V$1873</f>
        <v>0</v>
      </c>
      <c r="AC1873" s="6">
        <f>$M$1873*$W$1873</f>
        <v>39.920160000000003</v>
      </c>
      <c r="AD1873" s="6">
        <f>$O$1873*$X$1873</f>
        <v>59.060560000000002</v>
      </c>
      <c r="AE1873" s="6">
        <f>$K$1873*$Y$1873</f>
        <v>0</v>
      </c>
      <c r="AF1873" s="6">
        <f ca="1">$M$1873*$Z$1873</f>
        <v>43.275963770219114</v>
      </c>
      <c r="AG1873" s="6">
        <f>$O$1873*$AA$1873</f>
        <v>52.95343726244672</v>
      </c>
    </row>
    <row r="1874" spans="1:33" ht="11.25" customHeight="1" x14ac:dyDescent="0.25">
      <c r="A1874" s="4" t="s">
        <v>21</v>
      </c>
      <c r="B1874" s="4" t="s">
        <v>22</v>
      </c>
      <c r="C1874" s="4" t="s">
        <v>23</v>
      </c>
      <c r="D1874" s="4" t="s">
        <v>24</v>
      </c>
      <c r="E1874" s="4" t="s">
        <v>32</v>
      </c>
      <c r="F1874" s="4" t="s">
        <v>25</v>
      </c>
      <c r="G1874" s="4" t="s">
        <v>25</v>
      </c>
      <c r="H1874" s="4" t="s">
        <v>25</v>
      </c>
      <c r="I1874" s="5">
        <v>43922</v>
      </c>
      <c r="J1874" s="6">
        <v>0</v>
      </c>
      <c r="K1874" s="6">
        <v>0</v>
      </c>
      <c r="L1874" s="6">
        <v>226.65199999999999</v>
      </c>
      <c r="M1874" s="6">
        <v>226.65199999999999</v>
      </c>
      <c r="N1874" s="6">
        <v>226.65199999999999</v>
      </c>
      <c r="O1874" s="6">
        <v>226.65199999999999</v>
      </c>
      <c r="P1874" s="6">
        <v>2463</v>
      </c>
      <c r="Q1874" s="4" t="s">
        <v>26</v>
      </c>
      <c r="R1874" s="4">
        <v>0</v>
      </c>
      <c r="S1874" s="6">
        <v>0</v>
      </c>
      <c r="T1874" s="6">
        <v>49</v>
      </c>
      <c r="U1874" s="6">
        <v>92</v>
      </c>
      <c r="V1874" s="6">
        <f>IF(ISERROR(VLOOKUP($S$1874,'TAR FIN'!$A$1:$O$120,15,0)),0,VLOOKUP($S$1874,'TAR FIN'!$A$1:$O$120,15,0))</f>
        <v>0</v>
      </c>
      <c r="W1874" s="6">
        <f>IF(ISERROR(VLOOKUP($T$1874,'TAR FIN'!$A$1:$O$120,15,0)),0,VLOOKUP($T$1874,'TAR FIN'!$A$1:$O$120,15,0))</f>
        <v>183.12</v>
      </c>
      <c r="X1874" s="6">
        <f>IF(ISERROR(VLOOKUP($U$1874,'TAR FIN'!$A$1:$O$120,15,0)),0,VLOOKUP($U$1874,'TAR FIN'!$A$1:$O$120,15,0))</f>
        <v>270.92</v>
      </c>
      <c r="Y1874" s="6"/>
      <c r="Z1874" s="6">
        <f ca="1">('TUSD BE'!$AM$59+'TUSD BF'!$AM$59+'TUSD CVA'!$AM$59-('TUSD BE'!$P$59+'TUSD BF'!$P$59+'TUSD CVA'!$P$59)-('TUSD BE'!$Q$59+'TUSD BF'!$Q$59+'TUSD CVA'!$Q$59)-('TUSD BE'!$R$59+'TUSD BF'!$R$59+'TUSD CVA'!$R$59))*(1-CUSTOS!$M$37)</f>
        <v>198.51359527623447</v>
      </c>
      <c r="AA1874" s="6">
        <f>('TE BE'!$AA$23+'TE BF'!$AA$23+'TE CVA'!$AA$23)*(1-CUSTOS!$M$37)</f>
        <v>242.90567551581066</v>
      </c>
      <c r="AB1874" s="6">
        <f>$K$1874*$V$1874</f>
        <v>0</v>
      </c>
      <c r="AC1874" s="6">
        <f>$M$1874*$W$1874</f>
        <v>41504.514239999997</v>
      </c>
      <c r="AD1874" s="6">
        <f>$O$1874*$X$1874</f>
        <v>61404.559840000002</v>
      </c>
      <c r="AE1874" s="6">
        <f>$K$1874*$Y$1874</f>
        <v>0</v>
      </c>
      <c r="AF1874" s="6">
        <f ca="1">$M$1874*$Z$1874</f>
        <v>44993.503396549095</v>
      </c>
      <c r="AG1874" s="6">
        <f>$O$1874*$AA$1874</f>
        <v>55055.057167009516</v>
      </c>
    </row>
    <row r="1875" spans="1:33" ht="11.25" customHeight="1" x14ac:dyDescent="0.25">
      <c r="A1875" s="4" t="s">
        <v>27</v>
      </c>
      <c r="B1875" s="4" t="s">
        <v>22</v>
      </c>
      <c r="C1875" s="4" t="s">
        <v>23</v>
      </c>
      <c r="D1875" s="4" t="s">
        <v>24</v>
      </c>
      <c r="E1875" s="4" t="s">
        <v>32</v>
      </c>
      <c r="F1875" s="4" t="s">
        <v>25</v>
      </c>
      <c r="G1875" s="4" t="s">
        <v>25</v>
      </c>
      <c r="H1875" s="4" t="s">
        <v>25</v>
      </c>
      <c r="I1875" s="5">
        <v>43922</v>
      </c>
      <c r="J1875" s="6">
        <v>0</v>
      </c>
      <c r="K1875" s="6">
        <v>0</v>
      </c>
      <c r="L1875" s="6">
        <v>1.794</v>
      </c>
      <c r="M1875" s="6">
        <v>1.794</v>
      </c>
      <c r="N1875" s="6">
        <v>1.794</v>
      </c>
      <c r="O1875" s="6">
        <v>1.794</v>
      </c>
      <c r="P1875" s="6">
        <v>29</v>
      </c>
      <c r="Q1875" s="4" t="s">
        <v>26</v>
      </c>
      <c r="R1875" s="4">
        <v>0</v>
      </c>
      <c r="S1875" s="6">
        <v>0</v>
      </c>
      <c r="T1875" s="6">
        <v>49</v>
      </c>
      <c r="U1875" s="6">
        <v>92</v>
      </c>
      <c r="V1875" s="6">
        <f>IF(ISERROR(VLOOKUP($S$1875,'TAR FIN'!$A$1:$O$120,15,0)),0,VLOOKUP($S$1875,'TAR FIN'!$A$1:$O$120,15,0))</f>
        <v>0</v>
      </c>
      <c r="W1875" s="6">
        <f>IF(ISERROR(VLOOKUP($T$1875,'TAR FIN'!$A$1:$O$120,15,0)),0,VLOOKUP($T$1875,'TAR FIN'!$A$1:$O$120,15,0))</f>
        <v>183.12</v>
      </c>
      <c r="X1875" s="6">
        <f>IF(ISERROR(VLOOKUP($U$1875,'TAR FIN'!$A$1:$O$120,15,0)),0,VLOOKUP($U$1875,'TAR FIN'!$A$1:$O$120,15,0))</f>
        <v>270.92</v>
      </c>
      <c r="Y1875" s="6"/>
      <c r="Z1875" s="6">
        <f ca="1">('TUSD BE'!$AM$59+'TUSD BF'!$AM$59+'TUSD CVA'!$AM$59-('TUSD BE'!$P$59+'TUSD BF'!$P$59+'TUSD CVA'!$P$59)-('TUSD BE'!$Q$59+'TUSD BF'!$Q$59+'TUSD CVA'!$Q$59)-('TUSD BE'!$R$59+'TUSD BF'!$R$59+'TUSD CVA'!$R$59))*(1-CUSTOS!$M$37)</f>
        <v>198.51359527623447</v>
      </c>
      <c r="AA1875" s="6">
        <f>('TE BE'!$AA$23+'TE BF'!$AA$23+'TE CVA'!$AA$23)*(1-CUSTOS!$M$37)</f>
        <v>242.90567551581066</v>
      </c>
      <c r="AB1875" s="6">
        <f>$K$1875*$V$1875</f>
        <v>0</v>
      </c>
      <c r="AC1875" s="6">
        <f>$M$1875*$W$1875</f>
        <v>328.51728000000003</v>
      </c>
      <c r="AD1875" s="6">
        <f>$O$1875*$X$1875</f>
        <v>486.03048000000001</v>
      </c>
      <c r="AE1875" s="6">
        <f>$K$1875*$Y$1875</f>
        <v>0</v>
      </c>
      <c r="AF1875" s="6">
        <f ca="1">$M$1875*$Z$1875</f>
        <v>356.13338992556464</v>
      </c>
      <c r="AG1875" s="6">
        <f>$O$1875*$AA$1875</f>
        <v>435.77278187536433</v>
      </c>
    </row>
    <row r="1876" spans="1:33" ht="11.25" customHeight="1" x14ac:dyDescent="0.25">
      <c r="A1876" s="4" t="s">
        <v>21</v>
      </c>
      <c r="B1876" s="4" t="s">
        <v>22</v>
      </c>
      <c r="C1876" s="4" t="s">
        <v>23</v>
      </c>
      <c r="D1876" s="4" t="s">
        <v>24</v>
      </c>
      <c r="E1876" s="4" t="s">
        <v>32</v>
      </c>
      <c r="F1876" s="4" t="s">
        <v>25</v>
      </c>
      <c r="G1876" s="4" t="s">
        <v>25</v>
      </c>
      <c r="H1876" s="4" t="s">
        <v>25</v>
      </c>
      <c r="I1876" s="5">
        <v>43952</v>
      </c>
      <c r="J1876" s="6">
        <v>0</v>
      </c>
      <c r="K1876" s="6">
        <v>0</v>
      </c>
      <c r="L1876" s="6">
        <v>233.749</v>
      </c>
      <c r="M1876" s="6">
        <v>233.749</v>
      </c>
      <c r="N1876" s="6">
        <v>233.749</v>
      </c>
      <c r="O1876" s="6">
        <v>233.749</v>
      </c>
      <c r="P1876" s="6">
        <v>2857</v>
      </c>
      <c r="Q1876" s="4" t="s">
        <v>26</v>
      </c>
      <c r="R1876" s="4">
        <v>0</v>
      </c>
      <c r="S1876" s="6">
        <v>0</v>
      </c>
      <c r="T1876" s="6">
        <v>49</v>
      </c>
      <c r="U1876" s="6">
        <v>92</v>
      </c>
      <c r="V1876" s="6">
        <f>IF(ISERROR(VLOOKUP($S$1876,'TAR FIN'!$A$1:$O$120,15,0)),0,VLOOKUP($S$1876,'TAR FIN'!$A$1:$O$120,15,0))</f>
        <v>0</v>
      </c>
      <c r="W1876" s="6">
        <f>IF(ISERROR(VLOOKUP($T$1876,'TAR FIN'!$A$1:$O$120,15,0)),0,VLOOKUP($T$1876,'TAR FIN'!$A$1:$O$120,15,0))</f>
        <v>183.12</v>
      </c>
      <c r="X1876" s="6">
        <f>IF(ISERROR(VLOOKUP($U$1876,'TAR FIN'!$A$1:$O$120,15,0)),0,VLOOKUP($U$1876,'TAR FIN'!$A$1:$O$120,15,0))</f>
        <v>270.92</v>
      </c>
      <c r="Y1876" s="6"/>
      <c r="Z1876" s="6">
        <f ca="1">('TUSD BE'!$AM$59+'TUSD BF'!$AM$59+'TUSD CVA'!$AM$59-('TUSD BE'!$P$59+'TUSD BF'!$P$59+'TUSD CVA'!$P$59)-('TUSD BE'!$Q$59+'TUSD BF'!$Q$59+'TUSD CVA'!$Q$59)-('TUSD BE'!$R$59+'TUSD BF'!$R$59+'TUSD CVA'!$R$59))*(1-CUSTOS!$M$37)</f>
        <v>198.51359527623447</v>
      </c>
      <c r="AA1876" s="6">
        <f>('TE BE'!$AA$23+'TE BF'!$AA$23+'TE CVA'!$AA$23)*(1-CUSTOS!$M$37)</f>
        <v>242.90567551581066</v>
      </c>
      <c r="AB1876" s="6">
        <f>$K$1876*$V$1876</f>
        <v>0</v>
      </c>
      <c r="AC1876" s="6">
        <f>$M$1876*$W$1876</f>
        <v>42804.116880000001</v>
      </c>
      <c r="AD1876" s="6">
        <f>$O$1876*$X$1876</f>
        <v>63327.27908</v>
      </c>
      <c r="AE1876" s="6">
        <f>$K$1876*$Y$1876</f>
        <v>0</v>
      </c>
      <c r="AF1876" s="6">
        <f ca="1">$M$1876*$Z$1876</f>
        <v>46402.354382224526</v>
      </c>
      <c r="AG1876" s="6">
        <f>$O$1876*$AA$1876</f>
        <v>56778.958746145225</v>
      </c>
    </row>
    <row r="1877" spans="1:33" ht="11.25" customHeight="1" x14ac:dyDescent="0.25">
      <c r="A1877" s="4" t="s">
        <v>27</v>
      </c>
      <c r="B1877" s="4" t="s">
        <v>22</v>
      </c>
      <c r="C1877" s="4" t="s">
        <v>23</v>
      </c>
      <c r="D1877" s="4" t="s">
        <v>24</v>
      </c>
      <c r="E1877" s="4" t="s">
        <v>32</v>
      </c>
      <c r="F1877" s="4" t="s">
        <v>25</v>
      </c>
      <c r="G1877" s="4" t="s">
        <v>25</v>
      </c>
      <c r="H1877" s="4" t="s">
        <v>25</v>
      </c>
      <c r="I1877" s="5">
        <v>43952</v>
      </c>
      <c r="J1877" s="6">
        <v>0</v>
      </c>
      <c r="K1877" s="6">
        <v>0</v>
      </c>
      <c r="L1877" s="6">
        <v>6.8559999999999999</v>
      </c>
      <c r="M1877" s="6">
        <v>6.8559999999999999</v>
      </c>
      <c r="N1877" s="6">
        <v>6.8559999999999999</v>
      </c>
      <c r="O1877" s="6">
        <v>6.8559999999999999</v>
      </c>
      <c r="P1877" s="6">
        <v>4</v>
      </c>
      <c r="Q1877" s="4" t="s">
        <v>26</v>
      </c>
      <c r="R1877" s="4">
        <v>0</v>
      </c>
      <c r="S1877" s="6">
        <v>0</v>
      </c>
      <c r="T1877" s="6">
        <v>49</v>
      </c>
      <c r="U1877" s="6">
        <v>92</v>
      </c>
      <c r="V1877" s="6">
        <f>IF(ISERROR(VLOOKUP($S$1877,'TAR FIN'!$A$1:$O$120,15,0)),0,VLOOKUP($S$1877,'TAR FIN'!$A$1:$O$120,15,0))</f>
        <v>0</v>
      </c>
      <c r="W1877" s="6">
        <f>IF(ISERROR(VLOOKUP($T$1877,'TAR FIN'!$A$1:$O$120,15,0)),0,VLOOKUP($T$1877,'TAR FIN'!$A$1:$O$120,15,0))</f>
        <v>183.12</v>
      </c>
      <c r="X1877" s="6">
        <f>IF(ISERROR(VLOOKUP($U$1877,'TAR FIN'!$A$1:$O$120,15,0)),0,VLOOKUP($U$1877,'TAR FIN'!$A$1:$O$120,15,0))</f>
        <v>270.92</v>
      </c>
      <c r="Y1877" s="6"/>
      <c r="Z1877" s="6">
        <f ca="1">('TUSD BE'!$AM$59+'TUSD BF'!$AM$59+'TUSD CVA'!$AM$59-('TUSD BE'!$P$59+'TUSD BF'!$P$59+'TUSD CVA'!$P$59)-('TUSD BE'!$Q$59+'TUSD BF'!$Q$59+'TUSD CVA'!$Q$59)-('TUSD BE'!$R$59+'TUSD BF'!$R$59+'TUSD CVA'!$R$59))*(1-CUSTOS!$M$37)</f>
        <v>198.51359527623447</v>
      </c>
      <c r="AA1877" s="6">
        <f>('TE BE'!$AA$23+'TE BF'!$AA$23+'TE CVA'!$AA$23)*(1-CUSTOS!$M$37)</f>
        <v>242.90567551581066</v>
      </c>
      <c r="AB1877" s="6">
        <f>$K$1877*$V$1877</f>
        <v>0</v>
      </c>
      <c r="AC1877" s="6">
        <f>$M$1877*$W$1877</f>
        <v>1255.47072</v>
      </c>
      <c r="AD1877" s="6">
        <f>$O$1877*$X$1877</f>
        <v>1857.4275200000002</v>
      </c>
      <c r="AE1877" s="6">
        <f>$K$1877*$Y$1877</f>
        <v>0</v>
      </c>
      <c r="AF1877" s="6">
        <f ca="1">$M$1877*$Z$1877</f>
        <v>1361.0092092138634</v>
      </c>
      <c r="AG1877" s="6">
        <f>$O$1877*$AA$1877</f>
        <v>1665.3613113363979</v>
      </c>
    </row>
    <row r="1878" spans="1:33" ht="11.25" customHeight="1" x14ac:dyDescent="0.25">
      <c r="A1878" s="4" t="s">
        <v>21</v>
      </c>
      <c r="B1878" s="4" t="s">
        <v>22</v>
      </c>
      <c r="C1878" s="4" t="s">
        <v>23</v>
      </c>
      <c r="D1878" s="4" t="s">
        <v>24</v>
      </c>
      <c r="E1878" s="4" t="s">
        <v>32</v>
      </c>
      <c r="F1878" s="4" t="s">
        <v>25</v>
      </c>
      <c r="G1878" s="4" t="s">
        <v>25</v>
      </c>
      <c r="H1878" s="4" t="s">
        <v>25</v>
      </c>
      <c r="I1878" s="5">
        <v>43983</v>
      </c>
      <c r="J1878" s="6">
        <v>0</v>
      </c>
      <c r="K1878" s="6">
        <v>0</v>
      </c>
      <c r="L1878" s="6">
        <v>181.435</v>
      </c>
      <c r="M1878" s="6">
        <v>181.435</v>
      </c>
      <c r="N1878" s="6">
        <v>181.435</v>
      </c>
      <c r="O1878" s="6">
        <v>181.435</v>
      </c>
      <c r="P1878" s="6">
        <v>2393</v>
      </c>
      <c r="Q1878" s="4" t="s">
        <v>26</v>
      </c>
      <c r="R1878" s="4">
        <v>0</v>
      </c>
      <c r="S1878" s="6">
        <v>0</v>
      </c>
      <c r="T1878" s="6">
        <v>49</v>
      </c>
      <c r="U1878" s="6">
        <v>92</v>
      </c>
      <c r="V1878" s="6">
        <f>IF(ISERROR(VLOOKUP($S$1878,'TAR FIN'!$A$1:$O$120,15,0)),0,VLOOKUP($S$1878,'TAR FIN'!$A$1:$O$120,15,0))</f>
        <v>0</v>
      </c>
      <c r="W1878" s="6">
        <f>IF(ISERROR(VLOOKUP($T$1878,'TAR FIN'!$A$1:$O$120,15,0)),0,VLOOKUP($T$1878,'TAR FIN'!$A$1:$O$120,15,0))</f>
        <v>183.12</v>
      </c>
      <c r="X1878" s="6">
        <f>IF(ISERROR(VLOOKUP($U$1878,'TAR FIN'!$A$1:$O$120,15,0)),0,VLOOKUP($U$1878,'TAR FIN'!$A$1:$O$120,15,0))</f>
        <v>270.92</v>
      </c>
      <c r="Y1878" s="6"/>
      <c r="Z1878" s="6">
        <f ca="1">('TUSD BE'!$AM$59+'TUSD BF'!$AM$59+'TUSD CVA'!$AM$59-('TUSD BE'!$P$59+'TUSD BF'!$P$59+'TUSD CVA'!$P$59)-('TUSD BE'!$Q$59+'TUSD BF'!$Q$59+'TUSD CVA'!$Q$59)-('TUSD BE'!$R$59+'TUSD BF'!$R$59+'TUSD CVA'!$R$59))*(1-CUSTOS!$M$37)</f>
        <v>198.51359527623447</v>
      </c>
      <c r="AA1878" s="6">
        <f>('TE BE'!$AA$23+'TE BF'!$AA$23+'TE CVA'!$AA$23)*(1-CUSTOS!$M$37)</f>
        <v>242.90567551581066</v>
      </c>
      <c r="AB1878" s="6">
        <f>$K$1878*$V$1878</f>
        <v>0</v>
      </c>
      <c r="AC1878" s="6">
        <f>$M$1878*$W$1878</f>
        <v>33224.377200000003</v>
      </c>
      <c r="AD1878" s="6">
        <f>$O$1878*$X$1878</f>
        <v>49154.370200000005</v>
      </c>
      <c r="AE1878" s="6">
        <f>$K$1878*$Y$1878</f>
        <v>0</v>
      </c>
      <c r="AF1878" s="6">
        <f ca="1">$M$1878*$Z$1878</f>
        <v>36017.314158943598</v>
      </c>
      <c r="AG1878" s="6">
        <f>$O$1878*$AA$1878</f>
        <v>44071.591237211105</v>
      </c>
    </row>
    <row r="1879" spans="1:33" ht="11.25" customHeight="1" x14ac:dyDescent="0.25">
      <c r="A1879" s="4" t="s">
        <v>27</v>
      </c>
      <c r="B1879" s="4" t="s">
        <v>22</v>
      </c>
      <c r="C1879" s="4" t="s">
        <v>23</v>
      </c>
      <c r="D1879" s="4" t="s">
        <v>24</v>
      </c>
      <c r="E1879" s="4" t="s">
        <v>32</v>
      </c>
      <c r="F1879" s="4" t="s">
        <v>25</v>
      </c>
      <c r="G1879" s="4" t="s">
        <v>25</v>
      </c>
      <c r="H1879" s="4" t="s">
        <v>25</v>
      </c>
      <c r="I1879" s="5">
        <v>43983</v>
      </c>
      <c r="J1879" s="6">
        <v>0</v>
      </c>
      <c r="K1879" s="6">
        <v>0</v>
      </c>
      <c r="L1879" s="6">
        <v>0.34</v>
      </c>
      <c r="M1879" s="6">
        <v>0.34</v>
      </c>
      <c r="N1879" s="6">
        <v>0.34</v>
      </c>
      <c r="O1879" s="6">
        <v>0.34</v>
      </c>
      <c r="P1879" s="6">
        <v>1</v>
      </c>
      <c r="Q1879" s="4" t="s">
        <v>26</v>
      </c>
      <c r="R1879" s="4">
        <v>0</v>
      </c>
      <c r="S1879" s="6">
        <v>0</v>
      </c>
      <c r="T1879" s="6">
        <v>49</v>
      </c>
      <c r="U1879" s="6">
        <v>92</v>
      </c>
      <c r="V1879" s="6">
        <f>IF(ISERROR(VLOOKUP($S$1879,'TAR FIN'!$A$1:$O$120,15,0)),0,VLOOKUP($S$1879,'TAR FIN'!$A$1:$O$120,15,0))</f>
        <v>0</v>
      </c>
      <c r="W1879" s="6">
        <f>IF(ISERROR(VLOOKUP($T$1879,'TAR FIN'!$A$1:$O$120,15,0)),0,VLOOKUP($T$1879,'TAR FIN'!$A$1:$O$120,15,0))</f>
        <v>183.12</v>
      </c>
      <c r="X1879" s="6">
        <f>IF(ISERROR(VLOOKUP($U$1879,'TAR FIN'!$A$1:$O$120,15,0)),0,VLOOKUP($U$1879,'TAR FIN'!$A$1:$O$120,15,0))</f>
        <v>270.92</v>
      </c>
      <c r="Y1879" s="6"/>
      <c r="Z1879" s="6">
        <f ca="1">('TUSD BE'!$AM$59+'TUSD BF'!$AM$59+'TUSD CVA'!$AM$59-('TUSD BE'!$P$59+'TUSD BF'!$P$59+'TUSD CVA'!$P$59)-('TUSD BE'!$Q$59+'TUSD BF'!$Q$59+'TUSD CVA'!$Q$59)-('TUSD BE'!$R$59+'TUSD BF'!$R$59+'TUSD CVA'!$R$59))*(1-CUSTOS!$M$37)</f>
        <v>198.51359527623447</v>
      </c>
      <c r="AA1879" s="6">
        <f>('TE BE'!$AA$23+'TE BF'!$AA$23+'TE CVA'!$AA$23)*(1-CUSTOS!$M$37)</f>
        <v>242.90567551581066</v>
      </c>
      <c r="AB1879" s="6">
        <f>$K$1879*$V$1879</f>
        <v>0</v>
      </c>
      <c r="AC1879" s="6">
        <f>$M$1879*$W$1879</f>
        <v>62.260800000000003</v>
      </c>
      <c r="AD1879" s="6">
        <f>$O$1879*$X$1879</f>
        <v>92.112800000000007</v>
      </c>
      <c r="AE1879" s="6">
        <f>$K$1879*$Y$1879</f>
        <v>0</v>
      </c>
      <c r="AF1879" s="6">
        <f ca="1">$M$1879*$Z$1879</f>
        <v>67.494622393919727</v>
      </c>
      <c r="AG1879" s="6">
        <f>$O$1879*$AA$1879</f>
        <v>82.587929675375634</v>
      </c>
    </row>
    <row r="1880" spans="1:33" ht="11.25" customHeight="1" x14ac:dyDescent="0.25">
      <c r="A1880" s="4" t="s">
        <v>21</v>
      </c>
      <c r="B1880" s="4" t="s">
        <v>22</v>
      </c>
      <c r="C1880" s="4" t="s">
        <v>23</v>
      </c>
      <c r="D1880" s="4" t="s">
        <v>24</v>
      </c>
      <c r="E1880" s="4" t="s">
        <v>32</v>
      </c>
      <c r="F1880" s="4" t="s">
        <v>25</v>
      </c>
      <c r="G1880" s="4" t="s">
        <v>25</v>
      </c>
      <c r="H1880" s="4" t="s">
        <v>25</v>
      </c>
      <c r="I1880" s="5">
        <v>44013</v>
      </c>
      <c r="J1880" s="6">
        <v>0</v>
      </c>
      <c r="K1880" s="6">
        <v>0</v>
      </c>
      <c r="L1880" s="6">
        <v>223.99600000000001</v>
      </c>
      <c r="M1880" s="6">
        <v>223.99600000000001</v>
      </c>
      <c r="N1880" s="6">
        <v>223.99600000000001</v>
      </c>
      <c r="O1880" s="6">
        <v>223.99600000000001</v>
      </c>
      <c r="P1880" s="6">
        <v>2785</v>
      </c>
      <c r="Q1880" s="4" t="s">
        <v>26</v>
      </c>
      <c r="R1880" s="4">
        <v>0</v>
      </c>
      <c r="S1880" s="6">
        <v>0</v>
      </c>
      <c r="T1880" s="6">
        <v>49</v>
      </c>
      <c r="U1880" s="6">
        <v>92</v>
      </c>
      <c r="V1880" s="6">
        <f>IF(ISERROR(VLOOKUP($S$1880,'TAR FIN'!$A$1:$O$120,15,0)),0,VLOOKUP($S$1880,'TAR FIN'!$A$1:$O$120,15,0))</f>
        <v>0</v>
      </c>
      <c r="W1880" s="6">
        <f>IF(ISERROR(VLOOKUP($T$1880,'TAR FIN'!$A$1:$O$120,15,0)),0,VLOOKUP($T$1880,'TAR FIN'!$A$1:$O$120,15,0))</f>
        <v>183.12</v>
      </c>
      <c r="X1880" s="6">
        <f>IF(ISERROR(VLOOKUP($U$1880,'TAR FIN'!$A$1:$O$120,15,0)),0,VLOOKUP($U$1880,'TAR FIN'!$A$1:$O$120,15,0))</f>
        <v>270.92</v>
      </c>
      <c r="Y1880" s="6"/>
      <c r="Z1880" s="6">
        <f ca="1">('TUSD BE'!$AM$59+'TUSD BF'!$AM$59+'TUSD CVA'!$AM$59-('TUSD BE'!$P$59+'TUSD BF'!$P$59+'TUSD CVA'!$P$59)-('TUSD BE'!$Q$59+'TUSD BF'!$Q$59+'TUSD CVA'!$Q$59)-('TUSD BE'!$R$59+'TUSD BF'!$R$59+'TUSD CVA'!$R$59))*(1-CUSTOS!$M$37)</f>
        <v>198.51359527623447</v>
      </c>
      <c r="AA1880" s="6">
        <f>('TE BE'!$AA$23+'TE BF'!$AA$23+'TE CVA'!$AA$23)*(1-CUSTOS!$M$37)</f>
        <v>242.90567551581066</v>
      </c>
      <c r="AB1880" s="6">
        <f>$K$1880*$V$1880</f>
        <v>0</v>
      </c>
      <c r="AC1880" s="6">
        <f>$M$1880*$W$1880</f>
        <v>41018.147520000006</v>
      </c>
      <c r="AD1880" s="6">
        <f>$O$1880*$X$1880</f>
        <v>60684.996320000006</v>
      </c>
      <c r="AE1880" s="6">
        <f>$K$1880*$Y$1880</f>
        <v>0</v>
      </c>
      <c r="AF1880" s="6">
        <f ca="1">$M$1880*$Z$1880</f>
        <v>44466.251287495419</v>
      </c>
      <c r="AG1880" s="6">
        <f>$O$1880*$AA$1880</f>
        <v>54409.899692839528</v>
      </c>
    </row>
    <row r="1881" spans="1:33" ht="11.25" customHeight="1" x14ac:dyDescent="0.25">
      <c r="A1881" s="4" t="s">
        <v>27</v>
      </c>
      <c r="B1881" s="4" t="s">
        <v>22</v>
      </c>
      <c r="C1881" s="4" t="s">
        <v>23</v>
      </c>
      <c r="D1881" s="4" t="s">
        <v>24</v>
      </c>
      <c r="E1881" s="4" t="s">
        <v>32</v>
      </c>
      <c r="F1881" s="4" t="s">
        <v>25</v>
      </c>
      <c r="G1881" s="4" t="s">
        <v>25</v>
      </c>
      <c r="H1881" s="4" t="s">
        <v>25</v>
      </c>
      <c r="I1881" s="5">
        <v>44013</v>
      </c>
      <c r="J1881" s="6">
        <v>0</v>
      </c>
      <c r="K1881" s="6">
        <v>0</v>
      </c>
      <c r="L1881" s="6">
        <v>0.56799999999999995</v>
      </c>
      <c r="M1881" s="6">
        <v>0.56799999999999995</v>
      </c>
      <c r="N1881" s="6">
        <v>0.56799999999999995</v>
      </c>
      <c r="O1881" s="6">
        <v>0.56799999999999995</v>
      </c>
      <c r="P1881" s="6">
        <v>2</v>
      </c>
      <c r="Q1881" s="4" t="s">
        <v>26</v>
      </c>
      <c r="R1881" s="4">
        <v>0</v>
      </c>
      <c r="S1881" s="6">
        <v>0</v>
      </c>
      <c r="T1881" s="6">
        <v>49</v>
      </c>
      <c r="U1881" s="6">
        <v>92</v>
      </c>
      <c r="V1881" s="6">
        <f>IF(ISERROR(VLOOKUP($S$1881,'TAR FIN'!$A$1:$O$120,15,0)),0,VLOOKUP($S$1881,'TAR FIN'!$A$1:$O$120,15,0))</f>
        <v>0</v>
      </c>
      <c r="W1881" s="6">
        <f>IF(ISERROR(VLOOKUP($T$1881,'TAR FIN'!$A$1:$O$120,15,0)),0,VLOOKUP($T$1881,'TAR FIN'!$A$1:$O$120,15,0))</f>
        <v>183.12</v>
      </c>
      <c r="X1881" s="6">
        <f>IF(ISERROR(VLOOKUP($U$1881,'TAR FIN'!$A$1:$O$120,15,0)),0,VLOOKUP($U$1881,'TAR FIN'!$A$1:$O$120,15,0))</f>
        <v>270.92</v>
      </c>
      <c r="Y1881" s="6"/>
      <c r="Z1881" s="6">
        <f ca="1">('TUSD BE'!$AM$59+'TUSD BF'!$AM$59+'TUSD CVA'!$AM$59-('TUSD BE'!$P$59+'TUSD BF'!$P$59+'TUSD CVA'!$P$59)-('TUSD BE'!$Q$59+'TUSD BF'!$Q$59+'TUSD CVA'!$Q$59)-('TUSD BE'!$R$59+'TUSD BF'!$R$59+'TUSD CVA'!$R$59))*(1-CUSTOS!$M$37)</f>
        <v>198.51359527623447</v>
      </c>
      <c r="AA1881" s="6">
        <f>('TE BE'!$AA$23+'TE BF'!$AA$23+'TE CVA'!$AA$23)*(1-CUSTOS!$M$37)</f>
        <v>242.90567551581066</v>
      </c>
      <c r="AB1881" s="6">
        <f>$K$1881*$V$1881</f>
        <v>0</v>
      </c>
      <c r="AC1881" s="6">
        <f>$M$1881*$W$1881</f>
        <v>104.01215999999999</v>
      </c>
      <c r="AD1881" s="6">
        <f>$O$1881*$X$1881</f>
        <v>153.88255999999998</v>
      </c>
      <c r="AE1881" s="6">
        <f>$K$1881*$Y$1881</f>
        <v>0</v>
      </c>
      <c r="AF1881" s="6">
        <f ca="1">$M$1881*$Z$1881</f>
        <v>112.75572211690117</v>
      </c>
      <c r="AG1881" s="6">
        <f>$O$1881*$AA$1881</f>
        <v>137.97042369298043</v>
      </c>
    </row>
    <row r="1882" spans="1:33" ht="11.25" customHeight="1" x14ac:dyDescent="0.25">
      <c r="A1882" s="4" t="s">
        <v>21</v>
      </c>
      <c r="B1882" s="4" t="s">
        <v>22</v>
      </c>
      <c r="C1882" s="4" t="s">
        <v>23</v>
      </c>
      <c r="D1882" s="4" t="s">
        <v>24</v>
      </c>
      <c r="E1882" s="4" t="s">
        <v>32</v>
      </c>
      <c r="F1882" s="4" t="s">
        <v>25</v>
      </c>
      <c r="G1882" s="4" t="s">
        <v>25</v>
      </c>
      <c r="H1882" s="4" t="s">
        <v>25</v>
      </c>
      <c r="I1882" s="5">
        <v>44044</v>
      </c>
      <c r="J1882" s="6">
        <v>0</v>
      </c>
      <c r="K1882" s="6">
        <v>0</v>
      </c>
      <c r="L1882" s="6">
        <v>307.68599999999998</v>
      </c>
      <c r="M1882" s="6">
        <v>307.68599999999998</v>
      </c>
      <c r="N1882" s="6">
        <v>307.68599999999998</v>
      </c>
      <c r="O1882" s="6">
        <v>307.68599999999998</v>
      </c>
      <c r="P1882" s="6">
        <v>3445</v>
      </c>
      <c r="Q1882" s="4" t="s">
        <v>26</v>
      </c>
      <c r="R1882" s="4">
        <v>0</v>
      </c>
      <c r="S1882" s="6">
        <v>0</v>
      </c>
      <c r="T1882" s="6">
        <v>49</v>
      </c>
      <c r="U1882" s="6">
        <v>92</v>
      </c>
      <c r="V1882" s="6">
        <f>IF(ISERROR(VLOOKUP($S$1882,'TAR FIN'!$A$1:$O$120,15,0)),0,VLOOKUP($S$1882,'TAR FIN'!$A$1:$O$120,15,0))</f>
        <v>0</v>
      </c>
      <c r="W1882" s="6">
        <f>IF(ISERROR(VLOOKUP($T$1882,'TAR FIN'!$A$1:$O$120,15,0)),0,VLOOKUP($T$1882,'TAR FIN'!$A$1:$O$120,15,0))</f>
        <v>183.12</v>
      </c>
      <c r="X1882" s="6">
        <f>IF(ISERROR(VLOOKUP($U$1882,'TAR FIN'!$A$1:$O$120,15,0)),0,VLOOKUP($U$1882,'TAR FIN'!$A$1:$O$120,15,0))</f>
        <v>270.92</v>
      </c>
      <c r="Y1882" s="6"/>
      <c r="Z1882" s="6">
        <f ca="1">('TUSD BE'!$AM$59+'TUSD BF'!$AM$59+'TUSD CVA'!$AM$59-('TUSD BE'!$P$59+'TUSD BF'!$P$59+'TUSD CVA'!$P$59)-('TUSD BE'!$Q$59+'TUSD BF'!$Q$59+'TUSD CVA'!$Q$59)-('TUSD BE'!$R$59+'TUSD BF'!$R$59+'TUSD CVA'!$R$59))*(1-CUSTOS!$M$37)</f>
        <v>198.51359527623447</v>
      </c>
      <c r="AA1882" s="6">
        <f>('TE BE'!$AA$23+'TE BF'!$AA$23+'TE CVA'!$AA$23)*(1-CUSTOS!$M$37)</f>
        <v>242.90567551581066</v>
      </c>
      <c r="AB1882" s="6">
        <f>$K$1882*$V$1882</f>
        <v>0</v>
      </c>
      <c r="AC1882" s="6">
        <f>$M$1882*$W$1882</f>
        <v>56343.460319999998</v>
      </c>
      <c r="AD1882" s="6">
        <f>$O$1882*$X$1882</f>
        <v>83358.291119999994</v>
      </c>
      <c r="AE1882" s="6">
        <f>$K$1882*$Y$1882</f>
        <v>0</v>
      </c>
      <c r="AF1882" s="6">
        <f ca="1">$M$1882*$Z$1882</f>
        <v>61079.854076163472</v>
      </c>
      <c r="AG1882" s="6">
        <f>$O$1882*$AA$1882</f>
        <v>74738.675676757717</v>
      </c>
    </row>
    <row r="1883" spans="1:33" ht="11.25" customHeight="1" x14ac:dyDescent="0.25">
      <c r="A1883" s="4" t="s">
        <v>27</v>
      </c>
      <c r="B1883" s="4" t="s">
        <v>22</v>
      </c>
      <c r="C1883" s="4" t="s">
        <v>23</v>
      </c>
      <c r="D1883" s="4" t="s">
        <v>24</v>
      </c>
      <c r="E1883" s="4" t="s">
        <v>32</v>
      </c>
      <c r="F1883" s="4" t="s">
        <v>25</v>
      </c>
      <c r="G1883" s="4" t="s">
        <v>25</v>
      </c>
      <c r="H1883" s="4" t="s">
        <v>25</v>
      </c>
      <c r="I1883" s="5">
        <v>44044</v>
      </c>
      <c r="J1883" s="6">
        <v>0</v>
      </c>
      <c r="K1883" s="6">
        <v>0</v>
      </c>
      <c r="L1883" s="6">
        <v>5.8999999999999997E-2</v>
      </c>
      <c r="M1883" s="6">
        <v>5.8999999999999997E-2</v>
      </c>
      <c r="N1883" s="6">
        <v>5.8999999999999997E-2</v>
      </c>
      <c r="O1883" s="6">
        <v>5.8999999999999997E-2</v>
      </c>
      <c r="P1883" s="6">
        <v>0</v>
      </c>
      <c r="Q1883" s="4" t="s">
        <v>26</v>
      </c>
      <c r="R1883" s="4">
        <v>0</v>
      </c>
      <c r="S1883" s="6">
        <v>0</v>
      </c>
      <c r="T1883" s="6">
        <v>49</v>
      </c>
      <c r="U1883" s="6">
        <v>92</v>
      </c>
      <c r="V1883" s="6">
        <f>IF(ISERROR(VLOOKUP($S$1883,'TAR FIN'!$A$1:$O$120,15,0)),0,VLOOKUP($S$1883,'TAR FIN'!$A$1:$O$120,15,0))</f>
        <v>0</v>
      </c>
      <c r="W1883" s="6">
        <f>IF(ISERROR(VLOOKUP($T$1883,'TAR FIN'!$A$1:$O$120,15,0)),0,VLOOKUP($T$1883,'TAR FIN'!$A$1:$O$120,15,0))</f>
        <v>183.12</v>
      </c>
      <c r="X1883" s="6">
        <f>IF(ISERROR(VLOOKUP($U$1883,'TAR FIN'!$A$1:$O$120,15,0)),0,VLOOKUP($U$1883,'TAR FIN'!$A$1:$O$120,15,0))</f>
        <v>270.92</v>
      </c>
      <c r="Y1883" s="6"/>
      <c r="Z1883" s="6">
        <f ca="1">('TUSD BE'!$AM$59+'TUSD BF'!$AM$59+'TUSD CVA'!$AM$59-('TUSD BE'!$P$59+'TUSD BF'!$P$59+'TUSD CVA'!$P$59)-('TUSD BE'!$Q$59+'TUSD BF'!$Q$59+'TUSD CVA'!$Q$59)-('TUSD BE'!$R$59+'TUSD BF'!$R$59+'TUSD CVA'!$R$59))*(1-CUSTOS!$M$37)</f>
        <v>198.51359527623447</v>
      </c>
      <c r="AA1883" s="6">
        <f>('TE BE'!$AA$23+'TE BF'!$AA$23+'TE CVA'!$AA$23)*(1-CUSTOS!$M$37)</f>
        <v>242.90567551581066</v>
      </c>
      <c r="AB1883" s="6">
        <f>$K$1883*$V$1883</f>
        <v>0</v>
      </c>
      <c r="AC1883" s="6">
        <f>$M$1883*$W$1883</f>
        <v>10.804079999999999</v>
      </c>
      <c r="AD1883" s="6">
        <f>$O$1883*$X$1883</f>
        <v>15.98428</v>
      </c>
      <c r="AE1883" s="6">
        <f>$K$1883*$Y$1883</f>
        <v>0</v>
      </c>
      <c r="AF1883" s="6">
        <f ca="1">$M$1883*$Z$1883</f>
        <v>11.712302121297833</v>
      </c>
      <c r="AG1883" s="6">
        <f>$O$1883*$AA$1883</f>
        <v>14.331434855432828</v>
      </c>
    </row>
    <row r="1884" spans="1:33" ht="11.25" customHeight="1" x14ac:dyDescent="0.25">
      <c r="A1884" s="4" t="s">
        <v>59</v>
      </c>
      <c r="B1884" s="4" t="s">
        <v>22</v>
      </c>
      <c r="C1884" s="4" t="s">
        <v>23</v>
      </c>
      <c r="D1884" s="4" t="s">
        <v>24</v>
      </c>
      <c r="E1884" s="4" t="s">
        <v>32</v>
      </c>
      <c r="F1884" s="4" t="s">
        <v>25</v>
      </c>
      <c r="G1884" s="4" t="s">
        <v>25</v>
      </c>
      <c r="H1884" s="4" t="s">
        <v>25</v>
      </c>
      <c r="I1884" s="5">
        <v>44075</v>
      </c>
      <c r="J1884" s="6">
        <v>0</v>
      </c>
      <c r="K1884" s="6">
        <v>0</v>
      </c>
      <c r="L1884" s="6">
        <v>307.68599999999998</v>
      </c>
      <c r="M1884" s="6">
        <v>307.68599999999998</v>
      </c>
      <c r="N1884" s="6">
        <v>307.68599999999998</v>
      </c>
      <c r="O1884" s="6">
        <v>307.68599999999998</v>
      </c>
      <c r="P1884" s="6">
        <v>3445</v>
      </c>
      <c r="Q1884" s="4" t="s">
        <v>26</v>
      </c>
      <c r="R1884" s="4">
        <v>0</v>
      </c>
      <c r="S1884" s="6">
        <v>0</v>
      </c>
      <c r="T1884" s="6">
        <v>49</v>
      </c>
      <c r="U1884" s="6">
        <v>92</v>
      </c>
      <c r="V1884" s="6">
        <f>IF(ISERROR(VLOOKUP($S$1884,'TAR FIN'!$A$1:$O$120,15,0)),0,VLOOKUP($S$1884,'TAR FIN'!$A$1:$O$120,15,0))</f>
        <v>0</v>
      </c>
      <c r="W1884" s="6">
        <f>IF(ISERROR(VLOOKUP($T$1884,'TAR FIN'!$A$1:$O$120,15,0)),0,VLOOKUP($T$1884,'TAR FIN'!$A$1:$O$120,15,0))</f>
        <v>183.12</v>
      </c>
      <c r="X1884" s="6">
        <f>IF(ISERROR(VLOOKUP($U$1884,'TAR FIN'!$A$1:$O$120,15,0)),0,VLOOKUP($U$1884,'TAR FIN'!$A$1:$O$120,15,0))</f>
        <v>270.92</v>
      </c>
      <c r="Y1884" s="6"/>
      <c r="Z1884" s="6">
        <f ca="1">('TUSD BE'!$AM$59+'TUSD BF'!$AM$59+'TUSD CVA'!$AM$59-('TUSD BE'!$P$59+'TUSD BF'!$P$59+'TUSD CVA'!$P$59)-('TUSD BE'!$Q$59+'TUSD BF'!$Q$59+'TUSD CVA'!$Q$59)-('TUSD BE'!$R$59+'TUSD BF'!$R$59+'TUSD CVA'!$R$59))*(1-CUSTOS!$M$37)</f>
        <v>198.51359527623447</v>
      </c>
      <c r="AA1884" s="6">
        <f>('TE BE'!$AA$23+'TE BF'!$AA$23+'TE CVA'!$AA$23)*(1-CUSTOS!$M$37)</f>
        <v>242.90567551581066</v>
      </c>
      <c r="AB1884" s="6">
        <f>$K$1884*$V$1884</f>
        <v>0</v>
      </c>
      <c r="AC1884" s="6">
        <f>$M$1884*$W$1884</f>
        <v>56343.460319999998</v>
      </c>
      <c r="AD1884" s="6">
        <f>$O$1884*$X$1884</f>
        <v>83358.291119999994</v>
      </c>
      <c r="AE1884" s="6">
        <f>$K$1884*$Y$1884</f>
        <v>0</v>
      </c>
      <c r="AF1884" s="6">
        <f ca="1">$M$1884*$Z$1884</f>
        <v>61079.854076163472</v>
      </c>
      <c r="AG1884" s="6">
        <f>$O$1884*$AA$1884</f>
        <v>74738.675676757717</v>
      </c>
    </row>
    <row r="1885" spans="1:33" ht="11.25" customHeight="1" x14ac:dyDescent="0.25">
      <c r="A1885" s="4" t="s">
        <v>59</v>
      </c>
      <c r="B1885" s="4" t="s">
        <v>22</v>
      </c>
      <c r="C1885" s="4" t="s">
        <v>23</v>
      </c>
      <c r="D1885" s="4" t="s">
        <v>24</v>
      </c>
      <c r="E1885" s="4" t="s">
        <v>32</v>
      </c>
      <c r="F1885" s="4" t="s">
        <v>25</v>
      </c>
      <c r="G1885" s="4" t="s">
        <v>25</v>
      </c>
      <c r="H1885" s="4" t="s">
        <v>25</v>
      </c>
      <c r="I1885" s="5">
        <v>44075</v>
      </c>
      <c r="J1885" s="6">
        <v>0</v>
      </c>
      <c r="K1885" s="6">
        <v>0</v>
      </c>
      <c r="L1885" s="6">
        <v>5.8999999999999997E-2</v>
      </c>
      <c r="M1885" s="6">
        <v>5.8999999999999997E-2</v>
      </c>
      <c r="N1885" s="6">
        <v>5.8999999999999997E-2</v>
      </c>
      <c r="O1885" s="6">
        <v>5.8999999999999997E-2</v>
      </c>
      <c r="P1885" s="6">
        <v>0</v>
      </c>
      <c r="Q1885" s="4" t="s">
        <v>26</v>
      </c>
      <c r="R1885" s="4">
        <v>0</v>
      </c>
      <c r="S1885" s="6">
        <v>0</v>
      </c>
      <c r="T1885" s="6">
        <v>49</v>
      </c>
      <c r="U1885" s="6">
        <v>92</v>
      </c>
      <c r="V1885" s="6">
        <f>IF(ISERROR(VLOOKUP($S$1885,'TAR FIN'!$A$1:$O$120,15,0)),0,VLOOKUP($S$1885,'TAR FIN'!$A$1:$O$120,15,0))</f>
        <v>0</v>
      </c>
      <c r="W1885" s="6">
        <f>IF(ISERROR(VLOOKUP($T$1885,'TAR FIN'!$A$1:$O$120,15,0)),0,VLOOKUP($T$1885,'TAR FIN'!$A$1:$O$120,15,0))</f>
        <v>183.12</v>
      </c>
      <c r="X1885" s="6">
        <f>IF(ISERROR(VLOOKUP($U$1885,'TAR FIN'!$A$1:$O$120,15,0)),0,VLOOKUP($U$1885,'TAR FIN'!$A$1:$O$120,15,0))</f>
        <v>270.92</v>
      </c>
      <c r="Y1885" s="6"/>
      <c r="Z1885" s="6">
        <f ca="1">('TUSD BE'!$AM$59+'TUSD BF'!$AM$59+'TUSD CVA'!$AM$59-('TUSD BE'!$P$59+'TUSD BF'!$P$59+'TUSD CVA'!$P$59)-('TUSD BE'!$Q$59+'TUSD BF'!$Q$59+'TUSD CVA'!$Q$59)-('TUSD BE'!$R$59+'TUSD BF'!$R$59+'TUSD CVA'!$R$59))*(1-CUSTOS!$M$37)</f>
        <v>198.51359527623447</v>
      </c>
      <c r="AA1885" s="6">
        <f>('TE BE'!$AA$23+'TE BF'!$AA$23+'TE CVA'!$AA$23)*(1-CUSTOS!$M$37)</f>
        <v>242.90567551581066</v>
      </c>
      <c r="AB1885" s="6">
        <f>$K$1885*$V$1885</f>
        <v>0</v>
      </c>
      <c r="AC1885" s="6">
        <f>$M$1885*$W$1885</f>
        <v>10.804079999999999</v>
      </c>
      <c r="AD1885" s="6">
        <f>$O$1885*$X$1885</f>
        <v>15.98428</v>
      </c>
      <c r="AE1885" s="6">
        <f>$K$1885*$Y$1885</f>
        <v>0</v>
      </c>
      <c r="AF1885" s="6">
        <f ca="1">$M$1885*$Z$1885</f>
        <v>11.712302121297833</v>
      </c>
      <c r="AG1885" s="6">
        <f>$O$1885*$AA$1885</f>
        <v>14.331434855432828</v>
      </c>
    </row>
    <row r="1886" spans="1:33" ht="11.25" customHeight="1" x14ac:dyDescent="0.25">
      <c r="A1886" s="4" t="s">
        <v>21</v>
      </c>
      <c r="B1886" s="4" t="s">
        <v>46</v>
      </c>
      <c r="C1886" s="4" t="s">
        <v>37</v>
      </c>
      <c r="D1886" s="4" t="s">
        <v>47</v>
      </c>
      <c r="E1886" s="4" t="s">
        <v>25</v>
      </c>
      <c r="F1886" s="4" t="s">
        <v>25</v>
      </c>
      <c r="G1886" s="4" t="s">
        <v>25</v>
      </c>
      <c r="H1886" s="4" t="s">
        <v>36</v>
      </c>
      <c r="I1886" s="5">
        <v>43739</v>
      </c>
      <c r="J1886" s="6">
        <v>0</v>
      </c>
      <c r="K1886" s="6">
        <v>0</v>
      </c>
      <c r="L1886" s="6">
        <v>0.443</v>
      </c>
      <c r="M1886" s="6">
        <v>0.443</v>
      </c>
      <c r="N1886" s="6">
        <v>0.443</v>
      </c>
      <c r="O1886" s="6">
        <v>0.443</v>
      </c>
      <c r="P1886" s="6">
        <v>0</v>
      </c>
      <c r="Q1886" s="4" t="s">
        <v>26</v>
      </c>
      <c r="R1886" s="4">
        <v>0</v>
      </c>
      <c r="S1886" s="6">
        <v>0</v>
      </c>
      <c r="T1886" s="6">
        <v>57</v>
      </c>
      <c r="U1886" s="6">
        <v>100</v>
      </c>
      <c r="V1886" s="6">
        <f>IF(ISERROR(VLOOKUP($S$1886,'TAR FIN'!$A$1:$O$120,15,0)),0,VLOOKUP($S$1886,'TAR FIN'!$A$1:$O$120,15,0))</f>
        <v>0</v>
      </c>
      <c r="W1886" s="6">
        <f>IF(ISERROR(VLOOKUP($T$1886,'TAR FIN'!$A$1:$O$120,15,0)),0,VLOOKUP($T$1886,'TAR FIN'!$A$1:$O$120,15,0))</f>
        <v>149.87</v>
      </c>
      <c r="X1886" s="6">
        <f>IF(ISERROR(VLOOKUP($U$1886,'TAR FIN'!$A$1:$O$120,15,0)),0,VLOOKUP($U$1886,'TAR FIN'!$A$1:$O$120,15,0))</f>
        <v>194.85</v>
      </c>
      <c r="Y1886" s="6"/>
      <c r="Z1886" s="6">
        <f ca="1">('TUSD BE'!$AM$67+'TUSD BF'!$AM$67+'TUSD CVA'!$AM$67)*(1-CUSTOS!$M$38)</f>
        <v>175.44164536010888</v>
      </c>
      <c r="AA1886" s="6">
        <f>('TE BE'!$AA$31+'TE BF'!$AA$31+'TE CVA'!$AA$31)*(1-CUSTOS!$M$38)</f>
        <v>189.28405171565731</v>
      </c>
      <c r="AB1886" s="6">
        <f>$K$1886*$V$1886</f>
        <v>0</v>
      </c>
      <c r="AC1886" s="6">
        <f>$M$1886*$W$1886</f>
        <v>66.392409999999998</v>
      </c>
      <c r="AD1886" s="6">
        <f>$O$1886*$X$1886</f>
        <v>86.318550000000002</v>
      </c>
      <c r="AE1886" s="6">
        <f>$K$1886*$Y$1886</f>
        <v>0</v>
      </c>
      <c r="AF1886" s="6">
        <f ca="1">$M$1886*$Z$1886</f>
        <v>77.720648894528239</v>
      </c>
      <c r="AG1886" s="6">
        <f>$O$1886*$AA$1886</f>
        <v>83.852834910036194</v>
      </c>
    </row>
    <row r="1887" spans="1:33" ht="11.25" customHeight="1" x14ac:dyDescent="0.25">
      <c r="A1887" s="4" t="s">
        <v>21</v>
      </c>
      <c r="B1887" s="4" t="s">
        <v>46</v>
      </c>
      <c r="C1887" s="4" t="s">
        <v>37</v>
      </c>
      <c r="D1887" s="4" t="s">
        <v>47</v>
      </c>
      <c r="E1887" s="4" t="s">
        <v>25</v>
      </c>
      <c r="F1887" s="4" t="s">
        <v>25</v>
      </c>
      <c r="G1887" s="4" t="s">
        <v>25</v>
      </c>
      <c r="H1887" s="4" t="s">
        <v>36</v>
      </c>
      <c r="I1887" s="5">
        <v>43770</v>
      </c>
      <c r="J1887" s="6">
        <v>0</v>
      </c>
      <c r="K1887" s="6">
        <v>0</v>
      </c>
      <c r="L1887" s="6">
        <v>0.44400000000000001</v>
      </c>
      <c r="M1887" s="6">
        <v>0.44400000000000001</v>
      </c>
      <c r="N1887" s="6">
        <v>0.44400000000000001</v>
      </c>
      <c r="O1887" s="6">
        <v>0.44400000000000001</v>
      </c>
      <c r="P1887" s="6">
        <v>0</v>
      </c>
      <c r="Q1887" s="4" t="s">
        <v>26</v>
      </c>
      <c r="R1887" s="4">
        <v>0</v>
      </c>
      <c r="S1887" s="6">
        <v>0</v>
      </c>
      <c r="T1887" s="6">
        <v>57</v>
      </c>
      <c r="U1887" s="6">
        <v>100</v>
      </c>
      <c r="V1887" s="6">
        <f>IF(ISERROR(VLOOKUP($S$1887,'TAR FIN'!$A$1:$O$120,15,0)),0,VLOOKUP($S$1887,'TAR FIN'!$A$1:$O$120,15,0))</f>
        <v>0</v>
      </c>
      <c r="W1887" s="6">
        <f>IF(ISERROR(VLOOKUP($T$1887,'TAR FIN'!$A$1:$O$120,15,0)),0,VLOOKUP($T$1887,'TAR FIN'!$A$1:$O$120,15,0))</f>
        <v>149.87</v>
      </c>
      <c r="X1887" s="6">
        <f>IF(ISERROR(VLOOKUP($U$1887,'TAR FIN'!$A$1:$O$120,15,0)),0,VLOOKUP($U$1887,'TAR FIN'!$A$1:$O$120,15,0))</f>
        <v>194.85</v>
      </c>
      <c r="Y1887" s="6"/>
      <c r="Z1887" s="6">
        <f ca="1">('TUSD BE'!$AM$67+'TUSD BF'!$AM$67+'TUSD CVA'!$AM$67)*(1-CUSTOS!$M$38)</f>
        <v>175.44164536010888</v>
      </c>
      <c r="AA1887" s="6">
        <f>('TE BE'!$AA$31+'TE BF'!$AA$31+'TE CVA'!$AA$31)*(1-CUSTOS!$M$38)</f>
        <v>189.28405171565731</v>
      </c>
      <c r="AB1887" s="6">
        <f>$K$1887*$V$1887</f>
        <v>0</v>
      </c>
      <c r="AC1887" s="6">
        <f>$M$1887*$W$1887</f>
        <v>66.542280000000005</v>
      </c>
      <c r="AD1887" s="6">
        <f>$O$1887*$X$1887</f>
        <v>86.513400000000004</v>
      </c>
      <c r="AE1887" s="6">
        <f>$K$1887*$Y$1887</f>
        <v>0</v>
      </c>
      <c r="AF1887" s="6">
        <f ca="1">$M$1887*$Z$1887</f>
        <v>77.896090539888348</v>
      </c>
      <c r="AG1887" s="6">
        <f>$O$1887*$AA$1887</f>
        <v>84.042118961751854</v>
      </c>
    </row>
    <row r="1888" spans="1:33" ht="11.25" customHeight="1" x14ac:dyDescent="0.25">
      <c r="A1888" s="4" t="s">
        <v>21</v>
      </c>
      <c r="B1888" s="4" t="s">
        <v>46</v>
      </c>
      <c r="C1888" s="4" t="s">
        <v>37</v>
      </c>
      <c r="D1888" s="4" t="s">
        <v>47</v>
      </c>
      <c r="E1888" s="4" t="s">
        <v>25</v>
      </c>
      <c r="F1888" s="4" t="s">
        <v>25</v>
      </c>
      <c r="G1888" s="4" t="s">
        <v>25</v>
      </c>
      <c r="H1888" s="4" t="s">
        <v>36</v>
      </c>
      <c r="I1888" s="5">
        <v>43800</v>
      </c>
      <c r="J1888" s="6">
        <v>0</v>
      </c>
      <c r="K1888" s="6">
        <v>0</v>
      </c>
      <c r="L1888" s="6">
        <v>0.36799999999999999</v>
      </c>
      <c r="M1888" s="6">
        <v>0.36799999999999999</v>
      </c>
      <c r="N1888" s="6">
        <v>0.36799999999999999</v>
      </c>
      <c r="O1888" s="6">
        <v>0.36799999999999999</v>
      </c>
      <c r="P1888" s="6">
        <v>0</v>
      </c>
      <c r="Q1888" s="4" t="s">
        <v>26</v>
      </c>
      <c r="R1888" s="4">
        <v>0</v>
      </c>
      <c r="S1888" s="6">
        <v>0</v>
      </c>
      <c r="T1888" s="6">
        <v>57</v>
      </c>
      <c r="U1888" s="6">
        <v>100</v>
      </c>
      <c r="V1888" s="6">
        <f>IF(ISERROR(VLOOKUP($S$1888,'TAR FIN'!$A$1:$O$120,15,0)),0,VLOOKUP($S$1888,'TAR FIN'!$A$1:$O$120,15,0))</f>
        <v>0</v>
      </c>
      <c r="W1888" s="6">
        <f>IF(ISERROR(VLOOKUP($T$1888,'TAR FIN'!$A$1:$O$120,15,0)),0,VLOOKUP($T$1888,'TAR FIN'!$A$1:$O$120,15,0))</f>
        <v>149.87</v>
      </c>
      <c r="X1888" s="6">
        <f>IF(ISERROR(VLOOKUP($U$1888,'TAR FIN'!$A$1:$O$120,15,0)),0,VLOOKUP($U$1888,'TAR FIN'!$A$1:$O$120,15,0))</f>
        <v>194.85</v>
      </c>
      <c r="Y1888" s="6"/>
      <c r="Z1888" s="6">
        <f ca="1">('TUSD BE'!$AM$67+'TUSD BF'!$AM$67+'TUSD CVA'!$AM$67)*(1-CUSTOS!$M$38)</f>
        <v>175.44164536010888</v>
      </c>
      <c r="AA1888" s="6">
        <f>('TE BE'!$AA$31+'TE BF'!$AA$31+'TE CVA'!$AA$31)*(1-CUSTOS!$M$38)</f>
        <v>189.28405171565731</v>
      </c>
      <c r="AB1888" s="6">
        <f>$K$1888*$V$1888</f>
        <v>0</v>
      </c>
      <c r="AC1888" s="6">
        <f>$M$1888*$W$1888</f>
        <v>55.152160000000002</v>
      </c>
      <c r="AD1888" s="6">
        <f>$O$1888*$X$1888</f>
        <v>71.704799999999992</v>
      </c>
      <c r="AE1888" s="6">
        <f>$K$1888*$Y$1888</f>
        <v>0</v>
      </c>
      <c r="AF1888" s="6">
        <f ca="1">$M$1888*$Z$1888</f>
        <v>64.562525492520066</v>
      </c>
      <c r="AG1888" s="6">
        <f>$O$1888*$AA$1888</f>
        <v>69.656531031361894</v>
      </c>
    </row>
    <row r="1889" spans="1:33" ht="11.25" customHeight="1" x14ac:dyDescent="0.25">
      <c r="A1889" s="4" t="s">
        <v>21</v>
      </c>
      <c r="B1889" s="4" t="s">
        <v>46</v>
      </c>
      <c r="C1889" s="4" t="s">
        <v>37</v>
      </c>
      <c r="D1889" s="4" t="s">
        <v>47</v>
      </c>
      <c r="E1889" s="4" t="s">
        <v>25</v>
      </c>
      <c r="F1889" s="4" t="s">
        <v>25</v>
      </c>
      <c r="G1889" s="4" t="s">
        <v>25</v>
      </c>
      <c r="H1889" s="4" t="s">
        <v>36</v>
      </c>
      <c r="I1889" s="5">
        <v>43831</v>
      </c>
      <c r="J1889" s="6">
        <v>0</v>
      </c>
      <c r="K1889" s="6">
        <v>0</v>
      </c>
      <c r="L1889" s="6">
        <v>0.437</v>
      </c>
      <c r="M1889" s="6">
        <v>0.437</v>
      </c>
      <c r="N1889" s="6">
        <v>0.437</v>
      </c>
      <c r="O1889" s="6">
        <v>0.437</v>
      </c>
      <c r="P1889" s="6">
        <v>0</v>
      </c>
      <c r="Q1889" s="4" t="s">
        <v>26</v>
      </c>
      <c r="R1889" s="4">
        <v>0</v>
      </c>
      <c r="S1889" s="6">
        <v>0</v>
      </c>
      <c r="T1889" s="6">
        <v>57</v>
      </c>
      <c r="U1889" s="6">
        <v>100</v>
      </c>
      <c r="V1889" s="6">
        <f>IF(ISERROR(VLOOKUP($S$1889,'TAR FIN'!$A$1:$O$120,15,0)),0,VLOOKUP($S$1889,'TAR FIN'!$A$1:$O$120,15,0))</f>
        <v>0</v>
      </c>
      <c r="W1889" s="6">
        <f>IF(ISERROR(VLOOKUP($T$1889,'TAR FIN'!$A$1:$O$120,15,0)),0,VLOOKUP($T$1889,'TAR FIN'!$A$1:$O$120,15,0))</f>
        <v>149.87</v>
      </c>
      <c r="X1889" s="6">
        <f>IF(ISERROR(VLOOKUP($U$1889,'TAR FIN'!$A$1:$O$120,15,0)),0,VLOOKUP($U$1889,'TAR FIN'!$A$1:$O$120,15,0))</f>
        <v>194.85</v>
      </c>
      <c r="Y1889" s="6"/>
      <c r="Z1889" s="6">
        <f ca="1">('TUSD BE'!$AM$67+'TUSD BF'!$AM$67+'TUSD CVA'!$AM$67)*(1-CUSTOS!$M$38)</f>
        <v>175.44164536010888</v>
      </c>
      <c r="AA1889" s="6">
        <f>('TE BE'!$AA$31+'TE BF'!$AA$31+'TE CVA'!$AA$31)*(1-CUSTOS!$M$38)</f>
        <v>189.28405171565731</v>
      </c>
      <c r="AB1889" s="6">
        <f>$K$1889*$V$1889</f>
        <v>0</v>
      </c>
      <c r="AC1889" s="6">
        <f>$M$1889*$W$1889</f>
        <v>65.493189999999998</v>
      </c>
      <c r="AD1889" s="6">
        <f>$O$1889*$X$1889</f>
        <v>85.149450000000002</v>
      </c>
      <c r="AE1889" s="6">
        <f>$K$1889*$Y$1889</f>
        <v>0</v>
      </c>
      <c r="AF1889" s="6">
        <f ca="1">$M$1889*$Z$1889</f>
        <v>76.667999022367582</v>
      </c>
      <c r="AG1889" s="6">
        <f>$O$1889*$AA$1889</f>
        <v>82.717130599742248</v>
      </c>
    </row>
    <row r="1890" spans="1:33" ht="11.25" customHeight="1" x14ac:dyDescent="0.25">
      <c r="A1890" s="4" t="s">
        <v>21</v>
      </c>
      <c r="B1890" s="4" t="s">
        <v>46</v>
      </c>
      <c r="C1890" s="4" t="s">
        <v>37</v>
      </c>
      <c r="D1890" s="4" t="s">
        <v>47</v>
      </c>
      <c r="E1890" s="4" t="s">
        <v>25</v>
      </c>
      <c r="F1890" s="4" t="s">
        <v>25</v>
      </c>
      <c r="G1890" s="4" t="s">
        <v>25</v>
      </c>
      <c r="H1890" s="4" t="s">
        <v>36</v>
      </c>
      <c r="I1890" s="5">
        <v>43862</v>
      </c>
      <c r="J1890" s="6">
        <v>0</v>
      </c>
      <c r="K1890" s="6">
        <v>0</v>
      </c>
      <c r="L1890" s="6">
        <v>0.35899999999999999</v>
      </c>
      <c r="M1890" s="6">
        <v>0.35899999999999999</v>
      </c>
      <c r="N1890" s="6">
        <v>0.35899999999999999</v>
      </c>
      <c r="O1890" s="6">
        <v>0.35899999999999999</v>
      </c>
      <c r="P1890" s="6">
        <v>0</v>
      </c>
      <c r="Q1890" s="4" t="s">
        <v>26</v>
      </c>
      <c r="R1890" s="4">
        <v>0</v>
      </c>
      <c r="S1890" s="6">
        <v>0</v>
      </c>
      <c r="T1890" s="6">
        <v>57</v>
      </c>
      <c r="U1890" s="6">
        <v>100</v>
      </c>
      <c r="V1890" s="6">
        <f>IF(ISERROR(VLOOKUP($S$1890,'TAR FIN'!$A$1:$O$120,15,0)),0,VLOOKUP($S$1890,'TAR FIN'!$A$1:$O$120,15,0))</f>
        <v>0</v>
      </c>
      <c r="W1890" s="6">
        <f>IF(ISERROR(VLOOKUP($T$1890,'TAR FIN'!$A$1:$O$120,15,0)),0,VLOOKUP($T$1890,'TAR FIN'!$A$1:$O$120,15,0))</f>
        <v>149.87</v>
      </c>
      <c r="X1890" s="6">
        <f>IF(ISERROR(VLOOKUP($U$1890,'TAR FIN'!$A$1:$O$120,15,0)),0,VLOOKUP($U$1890,'TAR FIN'!$A$1:$O$120,15,0))</f>
        <v>194.85</v>
      </c>
      <c r="Y1890" s="6"/>
      <c r="Z1890" s="6">
        <f ca="1">('TUSD BE'!$AM$67+'TUSD BF'!$AM$67+'TUSD CVA'!$AM$67)*(1-CUSTOS!$M$38)</f>
        <v>175.44164536010888</v>
      </c>
      <c r="AA1890" s="6">
        <f>('TE BE'!$AA$31+'TE BF'!$AA$31+'TE CVA'!$AA$31)*(1-CUSTOS!$M$38)</f>
        <v>189.28405171565731</v>
      </c>
      <c r="AB1890" s="6">
        <f>$K$1890*$V$1890</f>
        <v>0</v>
      </c>
      <c r="AC1890" s="6">
        <f>$M$1890*$W$1890</f>
        <v>53.803330000000003</v>
      </c>
      <c r="AD1890" s="6">
        <f>$O$1890*$X$1890</f>
        <v>69.951149999999998</v>
      </c>
      <c r="AE1890" s="6">
        <f>$K$1890*$Y$1890</f>
        <v>0</v>
      </c>
      <c r="AF1890" s="6">
        <f ca="1">$M$1890*$Z$1890</f>
        <v>62.983550684279088</v>
      </c>
      <c r="AG1890" s="6">
        <f>$O$1890*$AA$1890</f>
        <v>67.952974565920968</v>
      </c>
    </row>
    <row r="1891" spans="1:33" ht="11.25" customHeight="1" x14ac:dyDescent="0.25">
      <c r="A1891" s="4" t="s">
        <v>21</v>
      </c>
      <c r="B1891" s="4" t="s">
        <v>46</v>
      </c>
      <c r="C1891" s="4" t="s">
        <v>37</v>
      </c>
      <c r="D1891" s="4" t="s">
        <v>47</v>
      </c>
      <c r="E1891" s="4" t="s">
        <v>25</v>
      </c>
      <c r="F1891" s="4" t="s">
        <v>25</v>
      </c>
      <c r="G1891" s="4" t="s">
        <v>25</v>
      </c>
      <c r="H1891" s="4" t="s">
        <v>36</v>
      </c>
      <c r="I1891" s="5">
        <v>43891</v>
      </c>
      <c r="J1891" s="6">
        <v>0</v>
      </c>
      <c r="K1891" s="6">
        <v>0</v>
      </c>
      <c r="L1891" s="6">
        <v>0.435</v>
      </c>
      <c r="M1891" s="6">
        <v>0.435</v>
      </c>
      <c r="N1891" s="6">
        <v>0.435</v>
      </c>
      <c r="O1891" s="6">
        <v>0.435</v>
      </c>
      <c r="P1891" s="6">
        <v>0</v>
      </c>
      <c r="Q1891" s="4" t="s">
        <v>26</v>
      </c>
      <c r="R1891" s="4">
        <v>0</v>
      </c>
      <c r="S1891" s="6">
        <v>0</v>
      </c>
      <c r="T1891" s="6">
        <v>57</v>
      </c>
      <c r="U1891" s="6">
        <v>100</v>
      </c>
      <c r="V1891" s="6">
        <f>IF(ISERROR(VLOOKUP($S$1891,'TAR FIN'!$A$1:$O$120,15,0)),0,VLOOKUP($S$1891,'TAR FIN'!$A$1:$O$120,15,0))</f>
        <v>0</v>
      </c>
      <c r="W1891" s="6">
        <f>IF(ISERROR(VLOOKUP($T$1891,'TAR FIN'!$A$1:$O$120,15,0)),0,VLOOKUP($T$1891,'TAR FIN'!$A$1:$O$120,15,0))</f>
        <v>149.87</v>
      </c>
      <c r="X1891" s="6">
        <f>IF(ISERROR(VLOOKUP($U$1891,'TAR FIN'!$A$1:$O$120,15,0)),0,VLOOKUP($U$1891,'TAR FIN'!$A$1:$O$120,15,0))</f>
        <v>194.85</v>
      </c>
      <c r="Y1891" s="6"/>
      <c r="Z1891" s="6">
        <f ca="1">('TUSD BE'!$AM$67+'TUSD BF'!$AM$67+'TUSD CVA'!$AM$67)*(1-CUSTOS!$M$38)</f>
        <v>175.44164536010888</v>
      </c>
      <c r="AA1891" s="6">
        <f>('TE BE'!$AA$31+'TE BF'!$AA$31+'TE CVA'!$AA$31)*(1-CUSTOS!$M$38)</f>
        <v>189.28405171565731</v>
      </c>
      <c r="AB1891" s="6">
        <f>$K$1891*$V$1891</f>
        <v>0</v>
      </c>
      <c r="AC1891" s="6">
        <f>$M$1891*$W$1891</f>
        <v>65.193449999999999</v>
      </c>
      <c r="AD1891" s="6">
        <f>$O$1891*$X$1891</f>
        <v>84.759749999999997</v>
      </c>
      <c r="AE1891" s="6">
        <f>$K$1891*$Y$1891</f>
        <v>0</v>
      </c>
      <c r="AF1891" s="6">
        <f ca="1">$M$1891*$Z$1891</f>
        <v>76.317115731647363</v>
      </c>
      <c r="AG1891" s="6">
        <f>$O$1891*$AA$1891</f>
        <v>82.338562496310928</v>
      </c>
    </row>
    <row r="1892" spans="1:33" ht="11.25" customHeight="1" x14ac:dyDescent="0.25">
      <c r="A1892" s="4" t="s">
        <v>21</v>
      </c>
      <c r="B1892" s="4" t="s">
        <v>46</v>
      </c>
      <c r="C1892" s="4" t="s">
        <v>37</v>
      </c>
      <c r="D1892" s="4" t="s">
        <v>47</v>
      </c>
      <c r="E1892" s="4" t="s">
        <v>25</v>
      </c>
      <c r="F1892" s="4" t="s">
        <v>25</v>
      </c>
      <c r="G1892" s="4" t="s">
        <v>25</v>
      </c>
      <c r="H1892" s="4" t="s">
        <v>36</v>
      </c>
      <c r="I1892" s="5">
        <v>43922</v>
      </c>
      <c r="J1892" s="6">
        <v>0</v>
      </c>
      <c r="K1892" s="6">
        <v>0</v>
      </c>
      <c r="L1892" s="6">
        <v>0.434</v>
      </c>
      <c r="M1892" s="6">
        <v>0.434</v>
      </c>
      <c r="N1892" s="6">
        <v>0.434</v>
      </c>
      <c r="O1892" s="6">
        <v>0.434</v>
      </c>
      <c r="P1892" s="6">
        <v>0</v>
      </c>
      <c r="Q1892" s="4" t="s">
        <v>26</v>
      </c>
      <c r="R1892" s="4">
        <v>0</v>
      </c>
      <c r="S1892" s="6">
        <v>0</v>
      </c>
      <c r="T1892" s="6">
        <v>57</v>
      </c>
      <c r="U1892" s="6">
        <v>100</v>
      </c>
      <c r="V1892" s="6">
        <f>IF(ISERROR(VLOOKUP($S$1892,'TAR FIN'!$A$1:$O$120,15,0)),0,VLOOKUP($S$1892,'TAR FIN'!$A$1:$O$120,15,0))</f>
        <v>0</v>
      </c>
      <c r="W1892" s="6">
        <f>IF(ISERROR(VLOOKUP($T$1892,'TAR FIN'!$A$1:$O$120,15,0)),0,VLOOKUP($T$1892,'TAR FIN'!$A$1:$O$120,15,0))</f>
        <v>149.87</v>
      </c>
      <c r="X1892" s="6">
        <f>IF(ISERROR(VLOOKUP($U$1892,'TAR FIN'!$A$1:$O$120,15,0)),0,VLOOKUP($U$1892,'TAR FIN'!$A$1:$O$120,15,0))</f>
        <v>194.85</v>
      </c>
      <c r="Y1892" s="6"/>
      <c r="Z1892" s="6">
        <f ca="1">('TUSD BE'!$AM$67+'TUSD BF'!$AM$67+'TUSD CVA'!$AM$67)*(1-CUSTOS!$M$38)</f>
        <v>175.44164536010888</v>
      </c>
      <c r="AA1892" s="6">
        <f>('TE BE'!$AA$31+'TE BF'!$AA$31+'TE CVA'!$AA$31)*(1-CUSTOS!$M$38)</f>
        <v>189.28405171565731</v>
      </c>
      <c r="AB1892" s="6">
        <f>$K$1892*$V$1892</f>
        <v>0</v>
      </c>
      <c r="AC1892" s="6">
        <f>$M$1892*$W$1892</f>
        <v>65.043580000000006</v>
      </c>
      <c r="AD1892" s="6">
        <f>$O$1892*$X$1892</f>
        <v>84.564899999999994</v>
      </c>
      <c r="AE1892" s="6">
        <f>$K$1892*$Y$1892</f>
        <v>0</v>
      </c>
      <c r="AF1892" s="6">
        <f ca="1">$M$1892*$Z$1892</f>
        <v>76.141674086287253</v>
      </c>
      <c r="AG1892" s="6">
        <f>$O$1892*$AA$1892</f>
        <v>82.149278444595268</v>
      </c>
    </row>
    <row r="1893" spans="1:33" ht="11.25" customHeight="1" x14ac:dyDescent="0.25">
      <c r="A1893" s="4" t="s">
        <v>21</v>
      </c>
      <c r="B1893" s="4" t="s">
        <v>46</v>
      </c>
      <c r="C1893" s="4" t="s">
        <v>37</v>
      </c>
      <c r="D1893" s="4" t="s">
        <v>47</v>
      </c>
      <c r="E1893" s="4" t="s">
        <v>25</v>
      </c>
      <c r="F1893" s="4" t="s">
        <v>25</v>
      </c>
      <c r="G1893" s="4" t="s">
        <v>25</v>
      </c>
      <c r="H1893" s="4" t="s">
        <v>36</v>
      </c>
      <c r="I1893" s="5">
        <v>43952</v>
      </c>
      <c r="J1893" s="6">
        <v>0</v>
      </c>
      <c r="K1893" s="6">
        <v>0</v>
      </c>
      <c r="L1893" s="6">
        <v>0.40699999999999997</v>
      </c>
      <c r="M1893" s="6">
        <v>0.40699999999999997</v>
      </c>
      <c r="N1893" s="6">
        <v>0.40699999999999997</v>
      </c>
      <c r="O1893" s="6">
        <v>0.40699999999999997</v>
      </c>
      <c r="P1893" s="6">
        <v>0</v>
      </c>
      <c r="Q1893" s="4" t="s">
        <v>26</v>
      </c>
      <c r="R1893" s="4">
        <v>0</v>
      </c>
      <c r="S1893" s="6">
        <v>0</v>
      </c>
      <c r="T1893" s="6">
        <v>57</v>
      </c>
      <c r="U1893" s="6">
        <v>100</v>
      </c>
      <c r="V1893" s="6">
        <f>IF(ISERROR(VLOOKUP($S$1893,'TAR FIN'!$A$1:$O$120,15,0)),0,VLOOKUP($S$1893,'TAR FIN'!$A$1:$O$120,15,0))</f>
        <v>0</v>
      </c>
      <c r="W1893" s="6">
        <f>IF(ISERROR(VLOOKUP($T$1893,'TAR FIN'!$A$1:$O$120,15,0)),0,VLOOKUP($T$1893,'TAR FIN'!$A$1:$O$120,15,0))</f>
        <v>149.87</v>
      </c>
      <c r="X1893" s="6">
        <f>IF(ISERROR(VLOOKUP($U$1893,'TAR FIN'!$A$1:$O$120,15,0)),0,VLOOKUP($U$1893,'TAR FIN'!$A$1:$O$120,15,0))</f>
        <v>194.85</v>
      </c>
      <c r="Y1893" s="6"/>
      <c r="Z1893" s="6">
        <f ca="1">('TUSD BE'!$AM$67+'TUSD BF'!$AM$67+'TUSD CVA'!$AM$67)*(1-CUSTOS!$M$38)</f>
        <v>175.44164536010888</v>
      </c>
      <c r="AA1893" s="6">
        <f>('TE BE'!$AA$31+'TE BF'!$AA$31+'TE CVA'!$AA$31)*(1-CUSTOS!$M$38)</f>
        <v>189.28405171565731</v>
      </c>
      <c r="AB1893" s="6">
        <f>$K$1893*$V$1893</f>
        <v>0</v>
      </c>
      <c r="AC1893" s="6">
        <f>$M$1893*$W$1893</f>
        <v>60.99709</v>
      </c>
      <c r="AD1893" s="6">
        <f>$O$1893*$X$1893</f>
        <v>79.303949999999986</v>
      </c>
      <c r="AE1893" s="6">
        <f>$K$1893*$Y$1893</f>
        <v>0</v>
      </c>
      <c r="AF1893" s="6">
        <f ca="1">$M$1893*$Z$1893</f>
        <v>71.40474966156431</v>
      </c>
      <c r="AG1893" s="6">
        <f>$O$1893*$AA$1893</f>
        <v>77.038609048272519</v>
      </c>
    </row>
    <row r="1894" spans="1:33" ht="11.25" customHeight="1" x14ac:dyDescent="0.25">
      <c r="A1894" s="4" t="s">
        <v>21</v>
      </c>
      <c r="B1894" s="4" t="s">
        <v>46</v>
      </c>
      <c r="C1894" s="4" t="s">
        <v>37</v>
      </c>
      <c r="D1894" s="4" t="s">
        <v>47</v>
      </c>
      <c r="E1894" s="4" t="s">
        <v>25</v>
      </c>
      <c r="F1894" s="4" t="s">
        <v>25</v>
      </c>
      <c r="G1894" s="4" t="s">
        <v>25</v>
      </c>
      <c r="H1894" s="4" t="s">
        <v>36</v>
      </c>
      <c r="I1894" s="5">
        <v>43983</v>
      </c>
      <c r="J1894" s="6">
        <v>0</v>
      </c>
      <c r="K1894" s="6">
        <v>0</v>
      </c>
      <c r="L1894" s="6">
        <v>0.38700000000000001</v>
      </c>
      <c r="M1894" s="6">
        <v>0.38700000000000001</v>
      </c>
      <c r="N1894" s="6">
        <v>0.38700000000000001</v>
      </c>
      <c r="O1894" s="6">
        <v>0.38700000000000001</v>
      </c>
      <c r="P1894" s="6">
        <v>0</v>
      </c>
      <c r="Q1894" s="4" t="s">
        <v>26</v>
      </c>
      <c r="R1894" s="4">
        <v>0</v>
      </c>
      <c r="S1894" s="6">
        <v>0</v>
      </c>
      <c r="T1894" s="6">
        <v>57</v>
      </c>
      <c r="U1894" s="6">
        <v>100</v>
      </c>
      <c r="V1894" s="6">
        <f>IF(ISERROR(VLOOKUP($S$1894,'TAR FIN'!$A$1:$O$120,15,0)),0,VLOOKUP($S$1894,'TAR FIN'!$A$1:$O$120,15,0))</f>
        <v>0</v>
      </c>
      <c r="W1894" s="6">
        <f>IF(ISERROR(VLOOKUP($T$1894,'TAR FIN'!$A$1:$O$120,15,0)),0,VLOOKUP($T$1894,'TAR FIN'!$A$1:$O$120,15,0))</f>
        <v>149.87</v>
      </c>
      <c r="X1894" s="6">
        <f>IF(ISERROR(VLOOKUP($U$1894,'TAR FIN'!$A$1:$O$120,15,0)),0,VLOOKUP($U$1894,'TAR FIN'!$A$1:$O$120,15,0))</f>
        <v>194.85</v>
      </c>
      <c r="Y1894" s="6"/>
      <c r="Z1894" s="6">
        <f ca="1">('TUSD BE'!$AM$67+'TUSD BF'!$AM$67+'TUSD CVA'!$AM$67)*(1-CUSTOS!$M$38)</f>
        <v>175.44164536010888</v>
      </c>
      <c r="AA1894" s="6">
        <f>('TE BE'!$AA$31+'TE BF'!$AA$31+'TE CVA'!$AA$31)*(1-CUSTOS!$M$38)</f>
        <v>189.28405171565731</v>
      </c>
      <c r="AB1894" s="6">
        <f>$K$1894*$V$1894</f>
        <v>0</v>
      </c>
      <c r="AC1894" s="6">
        <f>$M$1894*$W$1894</f>
        <v>57.999690000000001</v>
      </c>
      <c r="AD1894" s="6">
        <f>$O$1894*$X$1894</f>
        <v>75.406949999999995</v>
      </c>
      <c r="AE1894" s="6">
        <f>$K$1894*$Y$1894</f>
        <v>0</v>
      </c>
      <c r="AF1894" s="6">
        <f ca="1">$M$1894*$Z$1894</f>
        <v>67.895916754362133</v>
      </c>
      <c r="AG1894" s="6">
        <f>$O$1894*$AA$1894</f>
        <v>73.252928013959377</v>
      </c>
    </row>
    <row r="1895" spans="1:33" ht="11.25" customHeight="1" x14ac:dyDescent="0.25">
      <c r="A1895" s="4" t="s">
        <v>21</v>
      </c>
      <c r="B1895" s="4" t="s">
        <v>46</v>
      </c>
      <c r="C1895" s="4" t="s">
        <v>37</v>
      </c>
      <c r="D1895" s="4" t="s">
        <v>47</v>
      </c>
      <c r="E1895" s="4" t="s">
        <v>25</v>
      </c>
      <c r="F1895" s="4" t="s">
        <v>25</v>
      </c>
      <c r="G1895" s="4" t="s">
        <v>25</v>
      </c>
      <c r="H1895" s="4" t="s">
        <v>36</v>
      </c>
      <c r="I1895" s="5">
        <v>44013</v>
      </c>
      <c r="J1895" s="6">
        <v>0</v>
      </c>
      <c r="K1895" s="6">
        <v>0</v>
      </c>
      <c r="L1895" s="6">
        <v>0.38400000000000001</v>
      </c>
      <c r="M1895" s="6">
        <v>0.38400000000000001</v>
      </c>
      <c r="N1895" s="6">
        <v>0.38400000000000001</v>
      </c>
      <c r="O1895" s="6">
        <v>0.38400000000000001</v>
      </c>
      <c r="P1895" s="6">
        <v>0</v>
      </c>
      <c r="Q1895" s="4" t="s">
        <v>26</v>
      </c>
      <c r="R1895" s="4">
        <v>0</v>
      </c>
      <c r="S1895" s="6">
        <v>0</v>
      </c>
      <c r="T1895" s="6">
        <v>57</v>
      </c>
      <c r="U1895" s="6">
        <v>100</v>
      </c>
      <c r="V1895" s="6">
        <f>IF(ISERROR(VLOOKUP($S$1895,'TAR FIN'!$A$1:$O$120,15,0)),0,VLOOKUP($S$1895,'TAR FIN'!$A$1:$O$120,15,0))</f>
        <v>0</v>
      </c>
      <c r="W1895" s="6">
        <f>IF(ISERROR(VLOOKUP($T$1895,'TAR FIN'!$A$1:$O$120,15,0)),0,VLOOKUP($T$1895,'TAR FIN'!$A$1:$O$120,15,0))</f>
        <v>149.87</v>
      </c>
      <c r="X1895" s="6">
        <f>IF(ISERROR(VLOOKUP($U$1895,'TAR FIN'!$A$1:$O$120,15,0)),0,VLOOKUP($U$1895,'TAR FIN'!$A$1:$O$120,15,0))</f>
        <v>194.85</v>
      </c>
      <c r="Y1895" s="6"/>
      <c r="Z1895" s="6">
        <f ca="1">('TUSD BE'!$AM$67+'TUSD BF'!$AM$67+'TUSD CVA'!$AM$67)*(1-CUSTOS!$M$38)</f>
        <v>175.44164536010888</v>
      </c>
      <c r="AA1895" s="6">
        <f>('TE BE'!$AA$31+'TE BF'!$AA$31+'TE CVA'!$AA$31)*(1-CUSTOS!$M$38)</f>
        <v>189.28405171565731</v>
      </c>
      <c r="AB1895" s="6">
        <f>$K$1895*$V$1895</f>
        <v>0</v>
      </c>
      <c r="AC1895" s="6">
        <f>$M$1895*$W$1895</f>
        <v>57.550080000000001</v>
      </c>
      <c r="AD1895" s="6">
        <f>$O$1895*$X$1895</f>
        <v>74.822400000000002</v>
      </c>
      <c r="AE1895" s="6">
        <f>$K$1895*$Y$1895</f>
        <v>0</v>
      </c>
      <c r="AF1895" s="6">
        <f ca="1">$M$1895*$Z$1895</f>
        <v>67.369591818281805</v>
      </c>
      <c r="AG1895" s="6">
        <f>$O$1895*$AA$1895</f>
        <v>72.685075858812411</v>
      </c>
    </row>
    <row r="1896" spans="1:33" ht="11.25" customHeight="1" x14ac:dyDescent="0.25">
      <c r="A1896" s="4" t="s">
        <v>21</v>
      </c>
      <c r="B1896" s="4" t="s">
        <v>46</v>
      </c>
      <c r="C1896" s="4" t="s">
        <v>37</v>
      </c>
      <c r="D1896" s="4" t="s">
        <v>47</v>
      </c>
      <c r="E1896" s="4" t="s">
        <v>25</v>
      </c>
      <c r="F1896" s="4" t="s">
        <v>25</v>
      </c>
      <c r="G1896" s="4" t="s">
        <v>25</v>
      </c>
      <c r="H1896" s="4" t="s">
        <v>36</v>
      </c>
      <c r="I1896" s="5">
        <v>44044</v>
      </c>
      <c r="J1896" s="6">
        <v>0</v>
      </c>
      <c r="K1896" s="6">
        <v>0</v>
      </c>
      <c r="L1896" s="6">
        <v>0.45700000000000002</v>
      </c>
      <c r="M1896" s="6">
        <v>0.45700000000000002</v>
      </c>
      <c r="N1896" s="6">
        <v>0.45700000000000002</v>
      </c>
      <c r="O1896" s="6">
        <v>0.45700000000000002</v>
      </c>
      <c r="P1896" s="6">
        <v>0</v>
      </c>
      <c r="Q1896" s="4" t="s">
        <v>26</v>
      </c>
      <c r="R1896" s="4">
        <v>0</v>
      </c>
      <c r="S1896" s="6">
        <v>0</v>
      </c>
      <c r="T1896" s="6">
        <v>57</v>
      </c>
      <c r="U1896" s="6">
        <v>100</v>
      </c>
      <c r="V1896" s="6">
        <f>IF(ISERROR(VLOOKUP($S$1896,'TAR FIN'!$A$1:$O$120,15,0)),0,VLOOKUP($S$1896,'TAR FIN'!$A$1:$O$120,15,0))</f>
        <v>0</v>
      </c>
      <c r="W1896" s="6">
        <f>IF(ISERROR(VLOOKUP($T$1896,'TAR FIN'!$A$1:$O$120,15,0)),0,VLOOKUP($T$1896,'TAR FIN'!$A$1:$O$120,15,0))</f>
        <v>149.87</v>
      </c>
      <c r="X1896" s="6">
        <f>IF(ISERROR(VLOOKUP($U$1896,'TAR FIN'!$A$1:$O$120,15,0)),0,VLOOKUP($U$1896,'TAR FIN'!$A$1:$O$120,15,0))</f>
        <v>194.85</v>
      </c>
      <c r="Y1896" s="6"/>
      <c r="Z1896" s="6">
        <f ca="1">('TUSD BE'!$AM$67+'TUSD BF'!$AM$67+'TUSD CVA'!$AM$67)*(1-CUSTOS!$M$38)</f>
        <v>175.44164536010888</v>
      </c>
      <c r="AA1896" s="6">
        <f>('TE BE'!$AA$31+'TE BF'!$AA$31+'TE CVA'!$AA$31)*(1-CUSTOS!$M$38)</f>
        <v>189.28405171565731</v>
      </c>
      <c r="AB1896" s="6">
        <f>$K$1896*$V$1896</f>
        <v>0</v>
      </c>
      <c r="AC1896" s="6">
        <f>$M$1896*$W$1896</f>
        <v>68.490590000000012</v>
      </c>
      <c r="AD1896" s="6">
        <f>$O$1896*$X$1896</f>
        <v>89.046450000000007</v>
      </c>
      <c r="AE1896" s="6">
        <f>$K$1896*$Y$1896</f>
        <v>0</v>
      </c>
      <c r="AF1896" s="6">
        <f ca="1">$M$1896*$Z$1896</f>
        <v>80.176831929569758</v>
      </c>
      <c r="AG1896" s="6">
        <f>$O$1896*$AA$1896</f>
        <v>86.502811634055391</v>
      </c>
    </row>
    <row r="1897" spans="1:33" ht="11.25" customHeight="1" x14ac:dyDescent="0.25">
      <c r="A1897" s="4" t="s">
        <v>59</v>
      </c>
      <c r="B1897" s="4" t="s">
        <v>46</v>
      </c>
      <c r="C1897" s="4" t="s">
        <v>37</v>
      </c>
      <c r="D1897" s="4" t="s">
        <v>47</v>
      </c>
      <c r="E1897" s="4" t="s">
        <v>25</v>
      </c>
      <c r="F1897" s="4" t="s">
        <v>25</v>
      </c>
      <c r="G1897" s="4" t="s">
        <v>25</v>
      </c>
      <c r="H1897" s="4" t="s">
        <v>36</v>
      </c>
      <c r="I1897" s="5">
        <v>44075</v>
      </c>
      <c r="J1897" s="6">
        <v>0</v>
      </c>
      <c r="K1897" s="6">
        <v>0</v>
      </c>
      <c r="L1897" s="6">
        <v>0.45700000000000002</v>
      </c>
      <c r="M1897" s="6">
        <v>0.45700000000000002</v>
      </c>
      <c r="N1897" s="6">
        <v>0.45700000000000002</v>
      </c>
      <c r="O1897" s="6">
        <v>0.45700000000000002</v>
      </c>
      <c r="P1897" s="6">
        <v>0</v>
      </c>
      <c r="Q1897" s="4" t="s">
        <v>26</v>
      </c>
      <c r="R1897" s="4">
        <v>0</v>
      </c>
      <c r="S1897" s="6">
        <v>0</v>
      </c>
      <c r="T1897" s="6">
        <v>57</v>
      </c>
      <c r="U1897" s="6">
        <v>100</v>
      </c>
      <c r="V1897" s="6">
        <f>IF(ISERROR(VLOOKUP($S$1897,'TAR FIN'!$A$1:$O$120,15,0)),0,VLOOKUP($S$1897,'TAR FIN'!$A$1:$O$120,15,0))</f>
        <v>0</v>
      </c>
      <c r="W1897" s="6">
        <f>IF(ISERROR(VLOOKUP($T$1897,'TAR FIN'!$A$1:$O$120,15,0)),0,VLOOKUP($T$1897,'TAR FIN'!$A$1:$O$120,15,0))</f>
        <v>149.87</v>
      </c>
      <c r="X1897" s="6">
        <f>IF(ISERROR(VLOOKUP($U$1897,'TAR FIN'!$A$1:$O$120,15,0)),0,VLOOKUP($U$1897,'TAR FIN'!$A$1:$O$120,15,0))</f>
        <v>194.85</v>
      </c>
      <c r="Y1897" s="6"/>
      <c r="Z1897" s="6">
        <f ca="1">('TUSD BE'!$AM$67+'TUSD BF'!$AM$67+'TUSD CVA'!$AM$67)*(1-CUSTOS!$M$38)</f>
        <v>175.44164536010888</v>
      </c>
      <c r="AA1897" s="6">
        <f>('TE BE'!$AA$31+'TE BF'!$AA$31+'TE CVA'!$AA$31)*(1-CUSTOS!$M$38)</f>
        <v>189.28405171565731</v>
      </c>
      <c r="AB1897" s="6">
        <f>$K$1897*$V$1897</f>
        <v>0</v>
      </c>
      <c r="AC1897" s="6">
        <f>$M$1897*$W$1897</f>
        <v>68.490590000000012</v>
      </c>
      <c r="AD1897" s="6">
        <f>$O$1897*$X$1897</f>
        <v>89.046450000000007</v>
      </c>
      <c r="AE1897" s="6">
        <f>$K$1897*$Y$1897</f>
        <v>0</v>
      </c>
      <c r="AF1897" s="6">
        <f ca="1">$M$1897*$Z$1897</f>
        <v>80.176831929569758</v>
      </c>
      <c r="AG1897" s="6">
        <f>$O$1897*$AA$1897</f>
        <v>86.502811634055391</v>
      </c>
    </row>
    <row r="1898" spans="1:33" ht="11.25" customHeight="1" x14ac:dyDescent="0.25">
      <c r="A1898" s="4" t="s">
        <v>21</v>
      </c>
      <c r="B1898" s="4" t="s">
        <v>46</v>
      </c>
      <c r="C1898" s="4" t="s">
        <v>37</v>
      </c>
      <c r="D1898" s="4" t="s">
        <v>47</v>
      </c>
      <c r="E1898" s="4" t="s">
        <v>25</v>
      </c>
      <c r="F1898" s="4" t="s">
        <v>25</v>
      </c>
      <c r="G1898" s="4" t="s">
        <v>25</v>
      </c>
      <c r="H1898" s="4" t="s">
        <v>38</v>
      </c>
      <c r="I1898" s="5">
        <v>43739</v>
      </c>
      <c r="J1898" s="6">
        <v>0</v>
      </c>
      <c r="K1898" s="6">
        <v>0</v>
      </c>
      <c r="L1898" s="6">
        <v>4.5999999999999999E-2</v>
      </c>
      <c r="M1898" s="6">
        <v>4.5999999999999999E-2</v>
      </c>
      <c r="N1898" s="6">
        <v>4.5999999999999999E-2</v>
      </c>
      <c r="O1898" s="6">
        <v>4.5999999999999999E-2</v>
      </c>
      <c r="P1898" s="6">
        <v>0</v>
      </c>
      <c r="Q1898" s="4" t="s">
        <v>26</v>
      </c>
      <c r="R1898" s="4">
        <v>0</v>
      </c>
      <c r="S1898" s="6">
        <v>0</v>
      </c>
      <c r="T1898" s="6">
        <v>56</v>
      </c>
      <c r="U1898" s="6">
        <v>99</v>
      </c>
      <c r="V1898" s="6">
        <f>IF(ISERROR(VLOOKUP($S$1898,'TAR FIN'!$A$1:$O$120,15,0)),0,VLOOKUP($S$1898,'TAR FIN'!$A$1:$O$120,15,0))</f>
        <v>0</v>
      </c>
      <c r="W1898" s="6">
        <f>IF(ISERROR(VLOOKUP($T$1898,'TAR FIN'!$A$1:$O$120,15,0)),0,VLOOKUP($T$1898,'TAR FIN'!$A$1:$O$120,15,0))</f>
        <v>284.7</v>
      </c>
      <c r="X1898" s="6">
        <f>IF(ISERROR(VLOOKUP($U$1898,'TAR FIN'!$A$1:$O$120,15,0)),0,VLOOKUP($U$1898,'TAR FIN'!$A$1:$O$120,15,0))</f>
        <v>194.85</v>
      </c>
      <c r="Y1898" s="6"/>
      <c r="Z1898" s="6">
        <f ca="1">('TUSD BE'!$AM$66+'TUSD BF'!$AM$66+'TUSD CVA'!$AM$66)*(1-CUSTOS!$M$38)</f>
        <v>344.31597108726555</v>
      </c>
      <c r="AA1898" s="6">
        <f>('TE BE'!$AA$30+'TE BF'!$AA$30+'TE CVA'!$AA$30)*(1-CUSTOS!$M$38)</f>
        <v>189.28405171565731</v>
      </c>
      <c r="AB1898" s="6">
        <f>$K$1898*$V$1898</f>
        <v>0</v>
      </c>
      <c r="AC1898" s="6">
        <f>$M$1898*$W$1898</f>
        <v>13.0962</v>
      </c>
      <c r="AD1898" s="6">
        <f>$O$1898*$X$1898</f>
        <v>8.963099999999999</v>
      </c>
      <c r="AE1898" s="6">
        <f>$K$1898*$Y$1898</f>
        <v>0</v>
      </c>
      <c r="AF1898" s="6">
        <f ca="1">$M$1898*$Z$1898</f>
        <v>15.838534670014216</v>
      </c>
      <c r="AG1898" s="6">
        <f>$O$1898*$AA$1898</f>
        <v>8.7070663789202367</v>
      </c>
    </row>
    <row r="1899" spans="1:33" ht="11.25" customHeight="1" x14ac:dyDescent="0.25">
      <c r="A1899" s="4" t="s">
        <v>21</v>
      </c>
      <c r="B1899" s="4" t="s">
        <v>46</v>
      </c>
      <c r="C1899" s="4" t="s">
        <v>37</v>
      </c>
      <c r="D1899" s="4" t="s">
        <v>47</v>
      </c>
      <c r="E1899" s="4" t="s">
        <v>25</v>
      </c>
      <c r="F1899" s="4" t="s">
        <v>25</v>
      </c>
      <c r="G1899" s="4" t="s">
        <v>25</v>
      </c>
      <c r="H1899" s="4" t="s">
        <v>38</v>
      </c>
      <c r="I1899" s="5">
        <v>43770</v>
      </c>
      <c r="J1899" s="6">
        <v>0</v>
      </c>
      <c r="K1899" s="6">
        <v>0</v>
      </c>
      <c r="L1899" s="6">
        <v>4.2999999999999997E-2</v>
      </c>
      <c r="M1899" s="6">
        <v>4.2999999999999997E-2</v>
      </c>
      <c r="N1899" s="6">
        <v>4.2999999999999997E-2</v>
      </c>
      <c r="O1899" s="6">
        <v>4.2999999999999997E-2</v>
      </c>
      <c r="P1899" s="6">
        <v>0</v>
      </c>
      <c r="Q1899" s="4" t="s">
        <v>26</v>
      </c>
      <c r="R1899" s="4">
        <v>0</v>
      </c>
      <c r="S1899" s="6">
        <v>0</v>
      </c>
      <c r="T1899" s="6">
        <v>56</v>
      </c>
      <c r="U1899" s="6">
        <v>99</v>
      </c>
      <c r="V1899" s="6">
        <f>IF(ISERROR(VLOOKUP($S$1899,'TAR FIN'!$A$1:$O$120,15,0)),0,VLOOKUP($S$1899,'TAR FIN'!$A$1:$O$120,15,0))</f>
        <v>0</v>
      </c>
      <c r="W1899" s="6">
        <f>IF(ISERROR(VLOOKUP($T$1899,'TAR FIN'!$A$1:$O$120,15,0)),0,VLOOKUP($T$1899,'TAR FIN'!$A$1:$O$120,15,0))</f>
        <v>284.7</v>
      </c>
      <c r="X1899" s="6">
        <f>IF(ISERROR(VLOOKUP($U$1899,'TAR FIN'!$A$1:$O$120,15,0)),0,VLOOKUP($U$1899,'TAR FIN'!$A$1:$O$120,15,0))</f>
        <v>194.85</v>
      </c>
      <c r="Y1899" s="6"/>
      <c r="Z1899" s="6">
        <f ca="1">('TUSD BE'!$AM$66+'TUSD BF'!$AM$66+'TUSD CVA'!$AM$66)*(1-CUSTOS!$M$38)</f>
        <v>344.31597108726555</v>
      </c>
      <c r="AA1899" s="6">
        <f>('TE BE'!$AA$30+'TE BF'!$AA$30+'TE CVA'!$AA$30)*(1-CUSTOS!$M$38)</f>
        <v>189.28405171565731</v>
      </c>
      <c r="AB1899" s="6">
        <f>$K$1899*$V$1899</f>
        <v>0</v>
      </c>
      <c r="AC1899" s="6">
        <f>$M$1899*$W$1899</f>
        <v>12.242099999999999</v>
      </c>
      <c r="AD1899" s="6">
        <f>$O$1899*$X$1899</f>
        <v>8.3785499999999988</v>
      </c>
      <c r="AE1899" s="6">
        <f>$K$1899*$Y$1899</f>
        <v>0</v>
      </c>
      <c r="AF1899" s="6">
        <f ca="1">$M$1899*$Z$1899</f>
        <v>14.805586756752417</v>
      </c>
      <c r="AG1899" s="6">
        <f>$O$1899*$AA$1899</f>
        <v>8.1392142237732639</v>
      </c>
    </row>
    <row r="1900" spans="1:33" ht="11.25" customHeight="1" x14ac:dyDescent="0.25">
      <c r="A1900" s="4" t="s">
        <v>21</v>
      </c>
      <c r="B1900" s="4" t="s">
        <v>46</v>
      </c>
      <c r="C1900" s="4" t="s">
        <v>37</v>
      </c>
      <c r="D1900" s="4" t="s">
        <v>47</v>
      </c>
      <c r="E1900" s="4" t="s">
        <v>25</v>
      </c>
      <c r="F1900" s="4" t="s">
        <v>25</v>
      </c>
      <c r="G1900" s="4" t="s">
        <v>25</v>
      </c>
      <c r="H1900" s="4" t="s">
        <v>38</v>
      </c>
      <c r="I1900" s="5">
        <v>43800</v>
      </c>
      <c r="J1900" s="6">
        <v>0</v>
      </c>
      <c r="K1900" s="6">
        <v>0</v>
      </c>
      <c r="L1900" s="6">
        <v>3.4000000000000002E-2</v>
      </c>
      <c r="M1900" s="6">
        <v>3.4000000000000002E-2</v>
      </c>
      <c r="N1900" s="6">
        <v>3.4000000000000002E-2</v>
      </c>
      <c r="O1900" s="6">
        <v>3.4000000000000002E-2</v>
      </c>
      <c r="P1900" s="6">
        <v>0</v>
      </c>
      <c r="Q1900" s="4" t="s">
        <v>26</v>
      </c>
      <c r="R1900" s="4">
        <v>0</v>
      </c>
      <c r="S1900" s="6">
        <v>0</v>
      </c>
      <c r="T1900" s="6">
        <v>56</v>
      </c>
      <c r="U1900" s="6">
        <v>99</v>
      </c>
      <c r="V1900" s="6">
        <f>IF(ISERROR(VLOOKUP($S$1900,'TAR FIN'!$A$1:$O$120,15,0)),0,VLOOKUP($S$1900,'TAR FIN'!$A$1:$O$120,15,0))</f>
        <v>0</v>
      </c>
      <c r="W1900" s="6">
        <f>IF(ISERROR(VLOOKUP($T$1900,'TAR FIN'!$A$1:$O$120,15,0)),0,VLOOKUP($T$1900,'TAR FIN'!$A$1:$O$120,15,0))</f>
        <v>284.7</v>
      </c>
      <c r="X1900" s="6">
        <f>IF(ISERROR(VLOOKUP($U$1900,'TAR FIN'!$A$1:$O$120,15,0)),0,VLOOKUP($U$1900,'TAR FIN'!$A$1:$O$120,15,0))</f>
        <v>194.85</v>
      </c>
      <c r="Y1900" s="6"/>
      <c r="Z1900" s="6">
        <f ca="1">('TUSD BE'!$AM$66+'TUSD BF'!$AM$66+'TUSD CVA'!$AM$66)*(1-CUSTOS!$M$38)</f>
        <v>344.31597108726555</v>
      </c>
      <c r="AA1900" s="6">
        <f>('TE BE'!$AA$30+'TE BF'!$AA$30+'TE CVA'!$AA$30)*(1-CUSTOS!$M$38)</f>
        <v>189.28405171565731</v>
      </c>
      <c r="AB1900" s="6">
        <f>$K$1900*$V$1900</f>
        <v>0</v>
      </c>
      <c r="AC1900" s="6">
        <f>$M$1900*$W$1900</f>
        <v>9.6798000000000002</v>
      </c>
      <c r="AD1900" s="6">
        <f>$O$1900*$X$1900</f>
        <v>6.6249000000000002</v>
      </c>
      <c r="AE1900" s="6">
        <f>$K$1900*$Y$1900</f>
        <v>0</v>
      </c>
      <c r="AF1900" s="6">
        <f ca="1">$M$1900*$Z$1900</f>
        <v>11.70674301696703</v>
      </c>
      <c r="AG1900" s="6">
        <f>$O$1900*$AA$1900</f>
        <v>6.4356577583323489</v>
      </c>
    </row>
    <row r="1901" spans="1:33" ht="11.25" customHeight="1" x14ac:dyDescent="0.25">
      <c r="A1901" s="4" t="s">
        <v>21</v>
      </c>
      <c r="B1901" s="4" t="s">
        <v>46</v>
      </c>
      <c r="C1901" s="4" t="s">
        <v>37</v>
      </c>
      <c r="D1901" s="4" t="s">
        <v>47</v>
      </c>
      <c r="E1901" s="4" t="s">
        <v>25</v>
      </c>
      <c r="F1901" s="4" t="s">
        <v>25</v>
      </c>
      <c r="G1901" s="4" t="s">
        <v>25</v>
      </c>
      <c r="H1901" s="4" t="s">
        <v>38</v>
      </c>
      <c r="I1901" s="5">
        <v>43831</v>
      </c>
      <c r="J1901" s="6">
        <v>0</v>
      </c>
      <c r="K1901" s="6">
        <v>0</v>
      </c>
      <c r="L1901" s="6">
        <v>4.4999999999999998E-2</v>
      </c>
      <c r="M1901" s="6">
        <v>4.4999999999999998E-2</v>
      </c>
      <c r="N1901" s="6">
        <v>4.4999999999999998E-2</v>
      </c>
      <c r="O1901" s="6">
        <v>4.4999999999999998E-2</v>
      </c>
      <c r="P1901" s="6">
        <v>0</v>
      </c>
      <c r="Q1901" s="4" t="s">
        <v>26</v>
      </c>
      <c r="R1901" s="4">
        <v>0</v>
      </c>
      <c r="S1901" s="6">
        <v>0</v>
      </c>
      <c r="T1901" s="6">
        <v>56</v>
      </c>
      <c r="U1901" s="6">
        <v>99</v>
      </c>
      <c r="V1901" s="6">
        <f>IF(ISERROR(VLOOKUP($S$1901,'TAR FIN'!$A$1:$O$120,15,0)),0,VLOOKUP($S$1901,'TAR FIN'!$A$1:$O$120,15,0))</f>
        <v>0</v>
      </c>
      <c r="W1901" s="6">
        <f>IF(ISERROR(VLOOKUP($T$1901,'TAR FIN'!$A$1:$O$120,15,0)),0,VLOOKUP($T$1901,'TAR FIN'!$A$1:$O$120,15,0))</f>
        <v>284.7</v>
      </c>
      <c r="X1901" s="6">
        <f>IF(ISERROR(VLOOKUP($U$1901,'TAR FIN'!$A$1:$O$120,15,0)),0,VLOOKUP($U$1901,'TAR FIN'!$A$1:$O$120,15,0))</f>
        <v>194.85</v>
      </c>
      <c r="Y1901" s="6"/>
      <c r="Z1901" s="6">
        <f ca="1">('TUSD BE'!$AM$66+'TUSD BF'!$AM$66+'TUSD CVA'!$AM$66)*(1-CUSTOS!$M$38)</f>
        <v>344.31597108726555</v>
      </c>
      <c r="AA1901" s="6">
        <f>('TE BE'!$AA$30+'TE BF'!$AA$30+'TE CVA'!$AA$30)*(1-CUSTOS!$M$38)</f>
        <v>189.28405171565731</v>
      </c>
      <c r="AB1901" s="6">
        <f>$K$1901*$V$1901</f>
        <v>0</v>
      </c>
      <c r="AC1901" s="6">
        <f>$M$1901*$W$1901</f>
        <v>12.811499999999999</v>
      </c>
      <c r="AD1901" s="6">
        <f>$O$1901*$X$1901</f>
        <v>8.7682500000000001</v>
      </c>
      <c r="AE1901" s="6">
        <f>$K$1901*$Y$1901</f>
        <v>0</v>
      </c>
      <c r="AF1901" s="6">
        <f ca="1">$M$1901*$Z$1901</f>
        <v>15.49421869892695</v>
      </c>
      <c r="AG1901" s="6">
        <f>$O$1901*$AA$1901</f>
        <v>8.5177823272045785</v>
      </c>
    </row>
    <row r="1902" spans="1:33" ht="11.25" customHeight="1" x14ac:dyDescent="0.25">
      <c r="A1902" s="4" t="s">
        <v>21</v>
      </c>
      <c r="B1902" s="4" t="s">
        <v>46</v>
      </c>
      <c r="C1902" s="4" t="s">
        <v>37</v>
      </c>
      <c r="D1902" s="4" t="s">
        <v>47</v>
      </c>
      <c r="E1902" s="4" t="s">
        <v>25</v>
      </c>
      <c r="F1902" s="4" t="s">
        <v>25</v>
      </c>
      <c r="G1902" s="4" t="s">
        <v>25</v>
      </c>
      <c r="H1902" s="4" t="s">
        <v>38</v>
      </c>
      <c r="I1902" s="5">
        <v>43862</v>
      </c>
      <c r="J1902" s="6">
        <v>0</v>
      </c>
      <c r="K1902" s="6">
        <v>0</v>
      </c>
      <c r="L1902" s="6">
        <v>3.9E-2</v>
      </c>
      <c r="M1902" s="6">
        <v>3.9E-2</v>
      </c>
      <c r="N1902" s="6">
        <v>3.9E-2</v>
      </c>
      <c r="O1902" s="6">
        <v>3.9E-2</v>
      </c>
      <c r="P1902" s="6">
        <v>0</v>
      </c>
      <c r="Q1902" s="4" t="s">
        <v>26</v>
      </c>
      <c r="R1902" s="4">
        <v>0</v>
      </c>
      <c r="S1902" s="6">
        <v>0</v>
      </c>
      <c r="T1902" s="6">
        <v>56</v>
      </c>
      <c r="U1902" s="6">
        <v>99</v>
      </c>
      <c r="V1902" s="6">
        <f>IF(ISERROR(VLOOKUP($S$1902,'TAR FIN'!$A$1:$O$120,15,0)),0,VLOOKUP($S$1902,'TAR FIN'!$A$1:$O$120,15,0))</f>
        <v>0</v>
      </c>
      <c r="W1902" s="6">
        <f>IF(ISERROR(VLOOKUP($T$1902,'TAR FIN'!$A$1:$O$120,15,0)),0,VLOOKUP($T$1902,'TAR FIN'!$A$1:$O$120,15,0))</f>
        <v>284.7</v>
      </c>
      <c r="X1902" s="6">
        <f>IF(ISERROR(VLOOKUP($U$1902,'TAR FIN'!$A$1:$O$120,15,0)),0,VLOOKUP($U$1902,'TAR FIN'!$A$1:$O$120,15,0))</f>
        <v>194.85</v>
      </c>
      <c r="Y1902" s="6"/>
      <c r="Z1902" s="6">
        <f ca="1">('TUSD BE'!$AM$66+'TUSD BF'!$AM$66+'TUSD CVA'!$AM$66)*(1-CUSTOS!$M$38)</f>
        <v>344.31597108726555</v>
      </c>
      <c r="AA1902" s="6">
        <f>('TE BE'!$AA$30+'TE BF'!$AA$30+'TE CVA'!$AA$30)*(1-CUSTOS!$M$38)</f>
        <v>189.28405171565731</v>
      </c>
      <c r="AB1902" s="6">
        <f>$K$1902*$V$1902</f>
        <v>0</v>
      </c>
      <c r="AC1902" s="6">
        <f>$M$1902*$W$1902</f>
        <v>11.103299999999999</v>
      </c>
      <c r="AD1902" s="6">
        <f>$O$1902*$X$1902</f>
        <v>7.5991499999999998</v>
      </c>
      <c r="AE1902" s="6">
        <f>$K$1902*$Y$1902</f>
        <v>0</v>
      </c>
      <c r="AF1902" s="6">
        <f ca="1">$M$1902*$Z$1902</f>
        <v>13.428322872403356</v>
      </c>
      <c r="AG1902" s="6">
        <f>$O$1902*$AA$1902</f>
        <v>7.3820780169106355</v>
      </c>
    </row>
    <row r="1903" spans="1:33" ht="11.25" customHeight="1" x14ac:dyDescent="0.25">
      <c r="A1903" s="4" t="s">
        <v>21</v>
      </c>
      <c r="B1903" s="4" t="s">
        <v>46</v>
      </c>
      <c r="C1903" s="4" t="s">
        <v>37</v>
      </c>
      <c r="D1903" s="4" t="s">
        <v>47</v>
      </c>
      <c r="E1903" s="4" t="s">
        <v>25</v>
      </c>
      <c r="F1903" s="4" t="s">
        <v>25</v>
      </c>
      <c r="G1903" s="4" t="s">
        <v>25</v>
      </c>
      <c r="H1903" s="4" t="s">
        <v>38</v>
      </c>
      <c r="I1903" s="5">
        <v>43891</v>
      </c>
      <c r="J1903" s="6">
        <v>0</v>
      </c>
      <c r="K1903" s="6">
        <v>0</v>
      </c>
      <c r="L1903" s="6">
        <v>5.1999999999999998E-2</v>
      </c>
      <c r="M1903" s="6">
        <v>5.1999999999999998E-2</v>
      </c>
      <c r="N1903" s="6">
        <v>5.1999999999999998E-2</v>
      </c>
      <c r="O1903" s="6">
        <v>5.1999999999999998E-2</v>
      </c>
      <c r="P1903" s="6">
        <v>0</v>
      </c>
      <c r="Q1903" s="4" t="s">
        <v>26</v>
      </c>
      <c r="R1903" s="4">
        <v>0</v>
      </c>
      <c r="S1903" s="6">
        <v>0</v>
      </c>
      <c r="T1903" s="6">
        <v>56</v>
      </c>
      <c r="U1903" s="6">
        <v>99</v>
      </c>
      <c r="V1903" s="6">
        <f>IF(ISERROR(VLOOKUP($S$1903,'TAR FIN'!$A$1:$O$120,15,0)),0,VLOOKUP($S$1903,'TAR FIN'!$A$1:$O$120,15,0))</f>
        <v>0</v>
      </c>
      <c r="W1903" s="6">
        <f>IF(ISERROR(VLOOKUP($T$1903,'TAR FIN'!$A$1:$O$120,15,0)),0,VLOOKUP($T$1903,'TAR FIN'!$A$1:$O$120,15,0))</f>
        <v>284.7</v>
      </c>
      <c r="X1903" s="6">
        <f>IF(ISERROR(VLOOKUP($U$1903,'TAR FIN'!$A$1:$O$120,15,0)),0,VLOOKUP($U$1903,'TAR FIN'!$A$1:$O$120,15,0))</f>
        <v>194.85</v>
      </c>
      <c r="Y1903" s="6"/>
      <c r="Z1903" s="6">
        <f ca="1">('TUSD BE'!$AM$66+'TUSD BF'!$AM$66+'TUSD CVA'!$AM$66)*(1-CUSTOS!$M$38)</f>
        <v>344.31597108726555</v>
      </c>
      <c r="AA1903" s="6">
        <f>('TE BE'!$AA$30+'TE BF'!$AA$30+'TE CVA'!$AA$30)*(1-CUSTOS!$M$38)</f>
        <v>189.28405171565731</v>
      </c>
      <c r="AB1903" s="6">
        <f>$K$1903*$V$1903</f>
        <v>0</v>
      </c>
      <c r="AC1903" s="6">
        <f>$M$1903*$W$1903</f>
        <v>14.804399999999999</v>
      </c>
      <c r="AD1903" s="6">
        <f>$O$1903*$X$1903</f>
        <v>10.132199999999999</v>
      </c>
      <c r="AE1903" s="6">
        <f>$K$1903*$Y$1903</f>
        <v>0</v>
      </c>
      <c r="AF1903" s="6">
        <f ca="1">$M$1903*$Z$1903</f>
        <v>17.90443049653781</v>
      </c>
      <c r="AG1903" s="6">
        <f>$O$1903*$AA$1903</f>
        <v>9.8427706892141806</v>
      </c>
    </row>
    <row r="1904" spans="1:33" ht="11.25" customHeight="1" x14ac:dyDescent="0.25">
      <c r="A1904" s="4" t="s">
        <v>21</v>
      </c>
      <c r="B1904" s="4" t="s">
        <v>46</v>
      </c>
      <c r="C1904" s="4" t="s">
        <v>37</v>
      </c>
      <c r="D1904" s="4" t="s">
        <v>47</v>
      </c>
      <c r="E1904" s="4" t="s">
        <v>25</v>
      </c>
      <c r="F1904" s="4" t="s">
        <v>25</v>
      </c>
      <c r="G1904" s="4" t="s">
        <v>25</v>
      </c>
      <c r="H1904" s="4" t="s">
        <v>38</v>
      </c>
      <c r="I1904" s="5">
        <v>43922</v>
      </c>
      <c r="J1904" s="6">
        <v>0</v>
      </c>
      <c r="K1904" s="6">
        <v>0</v>
      </c>
      <c r="L1904" s="6">
        <v>5.1999999999999998E-2</v>
      </c>
      <c r="M1904" s="6">
        <v>5.1999999999999998E-2</v>
      </c>
      <c r="N1904" s="6">
        <v>5.1999999999999998E-2</v>
      </c>
      <c r="O1904" s="6">
        <v>5.1999999999999998E-2</v>
      </c>
      <c r="P1904" s="6">
        <v>0</v>
      </c>
      <c r="Q1904" s="4" t="s">
        <v>26</v>
      </c>
      <c r="R1904" s="4">
        <v>0</v>
      </c>
      <c r="S1904" s="6">
        <v>0</v>
      </c>
      <c r="T1904" s="6">
        <v>56</v>
      </c>
      <c r="U1904" s="6">
        <v>99</v>
      </c>
      <c r="V1904" s="6">
        <f>IF(ISERROR(VLOOKUP($S$1904,'TAR FIN'!$A$1:$O$120,15,0)),0,VLOOKUP($S$1904,'TAR FIN'!$A$1:$O$120,15,0))</f>
        <v>0</v>
      </c>
      <c r="W1904" s="6">
        <f>IF(ISERROR(VLOOKUP($T$1904,'TAR FIN'!$A$1:$O$120,15,0)),0,VLOOKUP($T$1904,'TAR FIN'!$A$1:$O$120,15,0))</f>
        <v>284.7</v>
      </c>
      <c r="X1904" s="6">
        <f>IF(ISERROR(VLOOKUP($U$1904,'TAR FIN'!$A$1:$O$120,15,0)),0,VLOOKUP($U$1904,'TAR FIN'!$A$1:$O$120,15,0))</f>
        <v>194.85</v>
      </c>
      <c r="Y1904" s="6"/>
      <c r="Z1904" s="6">
        <f ca="1">('TUSD BE'!$AM$66+'TUSD BF'!$AM$66+'TUSD CVA'!$AM$66)*(1-CUSTOS!$M$38)</f>
        <v>344.31597108726555</v>
      </c>
      <c r="AA1904" s="6">
        <f>('TE BE'!$AA$30+'TE BF'!$AA$30+'TE CVA'!$AA$30)*(1-CUSTOS!$M$38)</f>
        <v>189.28405171565731</v>
      </c>
      <c r="AB1904" s="6">
        <f>$K$1904*$V$1904</f>
        <v>0</v>
      </c>
      <c r="AC1904" s="6">
        <f>$M$1904*$W$1904</f>
        <v>14.804399999999999</v>
      </c>
      <c r="AD1904" s="6">
        <f>$O$1904*$X$1904</f>
        <v>10.132199999999999</v>
      </c>
      <c r="AE1904" s="6">
        <f>$K$1904*$Y$1904</f>
        <v>0</v>
      </c>
      <c r="AF1904" s="6">
        <f ca="1">$M$1904*$Z$1904</f>
        <v>17.90443049653781</v>
      </c>
      <c r="AG1904" s="6">
        <f>$O$1904*$AA$1904</f>
        <v>9.8427706892141806</v>
      </c>
    </row>
    <row r="1905" spans="1:33" ht="11.25" customHeight="1" x14ac:dyDescent="0.25">
      <c r="A1905" s="4" t="s">
        <v>21</v>
      </c>
      <c r="B1905" s="4" t="s">
        <v>46</v>
      </c>
      <c r="C1905" s="4" t="s">
        <v>37</v>
      </c>
      <c r="D1905" s="4" t="s">
        <v>47</v>
      </c>
      <c r="E1905" s="4" t="s">
        <v>25</v>
      </c>
      <c r="F1905" s="4" t="s">
        <v>25</v>
      </c>
      <c r="G1905" s="4" t="s">
        <v>25</v>
      </c>
      <c r="H1905" s="4" t="s">
        <v>38</v>
      </c>
      <c r="I1905" s="5">
        <v>43952</v>
      </c>
      <c r="J1905" s="6">
        <v>0</v>
      </c>
      <c r="K1905" s="6">
        <v>0</v>
      </c>
      <c r="L1905" s="6">
        <v>5.2999999999999999E-2</v>
      </c>
      <c r="M1905" s="6">
        <v>5.2999999999999999E-2</v>
      </c>
      <c r="N1905" s="6">
        <v>5.2999999999999999E-2</v>
      </c>
      <c r="O1905" s="6">
        <v>5.2999999999999999E-2</v>
      </c>
      <c r="P1905" s="6">
        <v>0</v>
      </c>
      <c r="Q1905" s="4" t="s">
        <v>26</v>
      </c>
      <c r="R1905" s="4">
        <v>0</v>
      </c>
      <c r="S1905" s="6">
        <v>0</v>
      </c>
      <c r="T1905" s="6">
        <v>56</v>
      </c>
      <c r="U1905" s="6">
        <v>99</v>
      </c>
      <c r="V1905" s="6">
        <f>IF(ISERROR(VLOOKUP($S$1905,'TAR FIN'!$A$1:$O$120,15,0)),0,VLOOKUP($S$1905,'TAR FIN'!$A$1:$O$120,15,0))</f>
        <v>0</v>
      </c>
      <c r="W1905" s="6">
        <f>IF(ISERROR(VLOOKUP($T$1905,'TAR FIN'!$A$1:$O$120,15,0)),0,VLOOKUP($T$1905,'TAR FIN'!$A$1:$O$120,15,0))</f>
        <v>284.7</v>
      </c>
      <c r="X1905" s="6">
        <f>IF(ISERROR(VLOOKUP($U$1905,'TAR FIN'!$A$1:$O$120,15,0)),0,VLOOKUP($U$1905,'TAR FIN'!$A$1:$O$120,15,0))</f>
        <v>194.85</v>
      </c>
      <c r="Y1905" s="6"/>
      <c r="Z1905" s="6">
        <f ca="1">('TUSD BE'!$AM$66+'TUSD BF'!$AM$66+'TUSD CVA'!$AM$66)*(1-CUSTOS!$M$38)</f>
        <v>344.31597108726555</v>
      </c>
      <c r="AA1905" s="6">
        <f>('TE BE'!$AA$30+'TE BF'!$AA$30+'TE CVA'!$AA$30)*(1-CUSTOS!$M$38)</f>
        <v>189.28405171565731</v>
      </c>
      <c r="AB1905" s="6">
        <f>$K$1905*$V$1905</f>
        <v>0</v>
      </c>
      <c r="AC1905" s="6">
        <f>$M$1905*$W$1905</f>
        <v>15.089099999999998</v>
      </c>
      <c r="AD1905" s="6">
        <f>$O$1905*$X$1905</f>
        <v>10.32705</v>
      </c>
      <c r="AE1905" s="6">
        <f>$K$1905*$Y$1905</f>
        <v>0</v>
      </c>
      <c r="AF1905" s="6">
        <f ca="1">$M$1905*$Z$1905</f>
        <v>18.248746467625075</v>
      </c>
      <c r="AG1905" s="6">
        <f>$O$1905*$AA$1905</f>
        <v>10.032054740929837</v>
      </c>
    </row>
    <row r="1906" spans="1:33" ht="11.25" customHeight="1" x14ac:dyDescent="0.25">
      <c r="A1906" s="4" t="s">
        <v>21</v>
      </c>
      <c r="B1906" s="4" t="s">
        <v>46</v>
      </c>
      <c r="C1906" s="4" t="s">
        <v>37</v>
      </c>
      <c r="D1906" s="4" t="s">
        <v>47</v>
      </c>
      <c r="E1906" s="4" t="s">
        <v>25</v>
      </c>
      <c r="F1906" s="4" t="s">
        <v>25</v>
      </c>
      <c r="G1906" s="4" t="s">
        <v>25</v>
      </c>
      <c r="H1906" s="4" t="s">
        <v>38</v>
      </c>
      <c r="I1906" s="5">
        <v>43983</v>
      </c>
      <c r="J1906" s="6">
        <v>0</v>
      </c>
      <c r="K1906" s="6">
        <v>0</v>
      </c>
      <c r="L1906" s="6">
        <v>4.9000000000000002E-2</v>
      </c>
      <c r="M1906" s="6">
        <v>4.9000000000000002E-2</v>
      </c>
      <c r="N1906" s="6">
        <v>4.9000000000000002E-2</v>
      </c>
      <c r="O1906" s="6">
        <v>4.9000000000000002E-2</v>
      </c>
      <c r="P1906" s="6">
        <v>0</v>
      </c>
      <c r="Q1906" s="4" t="s">
        <v>26</v>
      </c>
      <c r="R1906" s="4">
        <v>0</v>
      </c>
      <c r="S1906" s="6">
        <v>0</v>
      </c>
      <c r="T1906" s="6">
        <v>56</v>
      </c>
      <c r="U1906" s="6">
        <v>99</v>
      </c>
      <c r="V1906" s="6">
        <f>IF(ISERROR(VLOOKUP($S$1906,'TAR FIN'!$A$1:$O$120,15,0)),0,VLOOKUP($S$1906,'TAR FIN'!$A$1:$O$120,15,0))</f>
        <v>0</v>
      </c>
      <c r="W1906" s="6">
        <f>IF(ISERROR(VLOOKUP($T$1906,'TAR FIN'!$A$1:$O$120,15,0)),0,VLOOKUP($T$1906,'TAR FIN'!$A$1:$O$120,15,0))</f>
        <v>284.7</v>
      </c>
      <c r="X1906" s="6">
        <f>IF(ISERROR(VLOOKUP($U$1906,'TAR FIN'!$A$1:$O$120,15,0)),0,VLOOKUP($U$1906,'TAR FIN'!$A$1:$O$120,15,0))</f>
        <v>194.85</v>
      </c>
      <c r="Y1906" s="6"/>
      <c r="Z1906" s="6">
        <f ca="1">('TUSD BE'!$AM$66+'TUSD BF'!$AM$66+'TUSD CVA'!$AM$66)*(1-CUSTOS!$M$38)</f>
        <v>344.31597108726555</v>
      </c>
      <c r="AA1906" s="6">
        <f>('TE BE'!$AA$30+'TE BF'!$AA$30+'TE CVA'!$AA$30)*(1-CUSTOS!$M$38)</f>
        <v>189.28405171565731</v>
      </c>
      <c r="AB1906" s="6">
        <f>$K$1906*$V$1906</f>
        <v>0</v>
      </c>
      <c r="AC1906" s="6">
        <f>$M$1906*$W$1906</f>
        <v>13.9503</v>
      </c>
      <c r="AD1906" s="6">
        <f>$O$1906*$X$1906</f>
        <v>9.5476500000000009</v>
      </c>
      <c r="AE1906" s="6">
        <f>$K$1906*$Y$1906</f>
        <v>0</v>
      </c>
      <c r="AF1906" s="6">
        <f ca="1">$M$1906*$Z$1906</f>
        <v>16.871482583276013</v>
      </c>
      <c r="AG1906" s="6">
        <f>$O$1906*$AA$1906</f>
        <v>9.2749185340672096</v>
      </c>
    </row>
    <row r="1907" spans="1:33" ht="11.25" customHeight="1" x14ac:dyDescent="0.25">
      <c r="A1907" s="4" t="s">
        <v>21</v>
      </c>
      <c r="B1907" s="4" t="s">
        <v>46</v>
      </c>
      <c r="C1907" s="4" t="s">
        <v>37</v>
      </c>
      <c r="D1907" s="4" t="s">
        <v>47</v>
      </c>
      <c r="E1907" s="4" t="s">
        <v>25</v>
      </c>
      <c r="F1907" s="4" t="s">
        <v>25</v>
      </c>
      <c r="G1907" s="4" t="s">
        <v>25</v>
      </c>
      <c r="H1907" s="4" t="s">
        <v>38</v>
      </c>
      <c r="I1907" s="5">
        <v>44013</v>
      </c>
      <c r="J1907" s="6">
        <v>0</v>
      </c>
      <c r="K1907" s="6">
        <v>0</v>
      </c>
      <c r="L1907" s="6">
        <v>0.05</v>
      </c>
      <c r="M1907" s="6">
        <v>0.05</v>
      </c>
      <c r="N1907" s="6">
        <v>0.05</v>
      </c>
      <c r="O1907" s="6">
        <v>0.05</v>
      </c>
      <c r="P1907" s="6">
        <v>0</v>
      </c>
      <c r="Q1907" s="4" t="s">
        <v>26</v>
      </c>
      <c r="R1907" s="4">
        <v>0</v>
      </c>
      <c r="S1907" s="6">
        <v>0</v>
      </c>
      <c r="T1907" s="6">
        <v>56</v>
      </c>
      <c r="U1907" s="6">
        <v>99</v>
      </c>
      <c r="V1907" s="6">
        <f>IF(ISERROR(VLOOKUP($S$1907,'TAR FIN'!$A$1:$O$120,15,0)),0,VLOOKUP($S$1907,'TAR FIN'!$A$1:$O$120,15,0))</f>
        <v>0</v>
      </c>
      <c r="W1907" s="6">
        <f>IF(ISERROR(VLOOKUP($T$1907,'TAR FIN'!$A$1:$O$120,15,0)),0,VLOOKUP($T$1907,'TAR FIN'!$A$1:$O$120,15,0))</f>
        <v>284.7</v>
      </c>
      <c r="X1907" s="6">
        <f>IF(ISERROR(VLOOKUP($U$1907,'TAR FIN'!$A$1:$O$120,15,0)),0,VLOOKUP($U$1907,'TAR FIN'!$A$1:$O$120,15,0))</f>
        <v>194.85</v>
      </c>
      <c r="Y1907" s="6"/>
      <c r="Z1907" s="6">
        <f ca="1">('TUSD BE'!$AM$66+'TUSD BF'!$AM$66+'TUSD CVA'!$AM$66)*(1-CUSTOS!$M$38)</f>
        <v>344.31597108726555</v>
      </c>
      <c r="AA1907" s="6">
        <f>('TE BE'!$AA$30+'TE BF'!$AA$30+'TE CVA'!$AA$30)*(1-CUSTOS!$M$38)</f>
        <v>189.28405171565731</v>
      </c>
      <c r="AB1907" s="6">
        <f>$K$1907*$V$1907</f>
        <v>0</v>
      </c>
      <c r="AC1907" s="6">
        <f>$M$1907*$W$1907</f>
        <v>14.234999999999999</v>
      </c>
      <c r="AD1907" s="6">
        <f>$O$1907*$X$1907</f>
        <v>9.7424999999999997</v>
      </c>
      <c r="AE1907" s="6">
        <f>$K$1907*$Y$1907</f>
        <v>0</v>
      </c>
      <c r="AF1907" s="6">
        <f ca="1">$M$1907*$Z$1907</f>
        <v>17.215798554363278</v>
      </c>
      <c r="AG1907" s="6">
        <f>$O$1907*$AA$1907</f>
        <v>9.464202585782866</v>
      </c>
    </row>
    <row r="1908" spans="1:33" ht="11.25" customHeight="1" x14ac:dyDescent="0.25">
      <c r="A1908" s="4" t="s">
        <v>21</v>
      </c>
      <c r="B1908" s="4" t="s">
        <v>46</v>
      </c>
      <c r="C1908" s="4" t="s">
        <v>37</v>
      </c>
      <c r="D1908" s="4" t="s">
        <v>47</v>
      </c>
      <c r="E1908" s="4" t="s">
        <v>25</v>
      </c>
      <c r="F1908" s="4" t="s">
        <v>25</v>
      </c>
      <c r="G1908" s="4" t="s">
        <v>25</v>
      </c>
      <c r="H1908" s="4" t="s">
        <v>38</v>
      </c>
      <c r="I1908" s="5">
        <v>44044</v>
      </c>
      <c r="J1908" s="6">
        <v>0</v>
      </c>
      <c r="K1908" s="6">
        <v>0</v>
      </c>
      <c r="L1908" s="6">
        <v>5.7000000000000002E-2</v>
      </c>
      <c r="M1908" s="6">
        <v>5.7000000000000002E-2</v>
      </c>
      <c r="N1908" s="6">
        <v>5.7000000000000002E-2</v>
      </c>
      <c r="O1908" s="6">
        <v>5.7000000000000002E-2</v>
      </c>
      <c r="P1908" s="6">
        <v>0</v>
      </c>
      <c r="Q1908" s="4" t="s">
        <v>26</v>
      </c>
      <c r="R1908" s="4">
        <v>0</v>
      </c>
      <c r="S1908" s="6">
        <v>0</v>
      </c>
      <c r="T1908" s="6">
        <v>56</v>
      </c>
      <c r="U1908" s="6">
        <v>99</v>
      </c>
      <c r="V1908" s="6">
        <f>IF(ISERROR(VLOOKUP($S$1908,'TAR FIN'!$A$1:$O$120,15,0)),0,VLOOKUP($S$1908,'TAR FIN'!$A$1:$O$120,15,0))</f>
        <v>0</v>
      </c>
      <c r="W1908" s="6">
        <f>IF(ISERROR(VLOOKUP($T$1908,'TAR FIN'!$A$1:$O$120,15,0)),0,VLOOKUP($T$1908,'TAR FIN'!$A$1:$O$120,15,0))</f>
        <v>284.7</v>
      </c>
      <c r="X1908" s="6">
        <f>IF(ISERROR(VLOOKUP($U$1908,'TAR FIN'!$A$1:$O$120,15,0)),0,VLOOKUP($U$1908,'TAR FIN'!$A$1:$O$120,15,0))</f>
        <v>194.85</v>
      </c>
      <c r="Y1908" s="6"/>
      <c r="Z1908" s="6">
        <f ca="1">('TUSD BE'!$AM$66+'TUSD BF'!$AM$66+'TUSD CVA'!$AM$66)*(1-CUSTOS!$M$38)</f>
        <v>344.31597108726555</v>
      </c>
      <c r="AA1908" s="6">
        <f>('TE BE'!$AA$30+'TE BF'!$AA$30+'TE CVA'!$AA$30)*(1-CUSTOS!$M$38)</f>
        <v>189.28405171565731</v>
      </c>
      <c r="AB1908" s="6">
        <f>$K$1908*$V$1908</f>
        <v>0</v>
      </c>
      <c r="AC1908" s="6">
        <f>$M$1908*$W$1908</f>
        <v>16.227899999999998</v>
      </c>
      <c r="AD1908" s="6">
        <f>$O$1908*$X$1908</f>
        <v>11.106450000000001</v>
      </c>
      <c r="AE1908" s="6">
        <f>$K$1908*$Y$1908</f>
        <v>0</v>
      </c>
      <c r="AF1908" s="6">
        <f ca="1">$M$1908*$Z$1908</f>
        <v>19.626010351974138</v>
      </c>
      <c r="AG1908" s="6">
        <f>$O$1908*$AA$1908</f>
        <v>10.789190947792466</v>
      </c>
    </row>
    <row r="1909" spans="1:33" ht="11.25" customHeight="1" x14ac:dyDescent="0.25">
      <c r="A1909" s="4" t="s">
        <v>59</v>
      </c>
      <c r="B1909" s="4" t="s">
        <v>46</v>
      </c>
      <c r="C1909" s="4" t="s">
        <v>37</v>
      </c>
      <c r="D1909" s="4" t="s">
        <v>47</v>
      </c>
      <c r="E1909" s="4" t="s">
        <v>25</v>
      </c>
      <c r="F1909" s="4" t="s">
        <v>25</v>
      </c>
      <c r="G1909" s="4" t="s">
        <v>25</v>
      </c>
      <c r="H1909" s="4" t="s">
        <v>38</v>
      </c>
      <c r="I1909" s="5">
        <v>44075</v>
      </c>
      <c r="J1909" s="6">
        <v>0</v>
      </c>
      <c r="K1909" s="6">
        <v>0</v>
      </c>
      <c r="L1909" s="6">
        <v>5.7000000000000002E-2</v>
      </c>
      <c r="M1909" s="6">
        <v>5.7000000000000002E-2</v>
      </c>
      <c r="N1909" s="6">
        <v>5.7000000000000002E-2</v>
      </c>
      <c r="O1909" s="6">
        <v>5.7000000000000002E-2</v>
      </c>
      <c r="P1909" s="6">
        <v>0</v>
      </c>
      <c r="Q1909" s="4" t="s">
        <v>26</v>
      </c>
      <c r="R1909" s="4">
        <v>0</v>
      </c>
      <c r="S1909" s="6">
        <v>0</v>
      </c>
      <c r="T1909" s="6">
        <v>56</v>
      </c>
      <c r="U1909" s="6">
        <v>99</v>
      </c>
      <c r="V1909" s="6">
        <f>IF(ISERROR(VLOOKUP($S$1909,'TAR FIN'!$A$1:$O$120,15,0)),0,VLOOKUP($S$1909,'TAR FIN'!$A$1:$O$120,15,0))</f>
        <v>0</v>
      </c>
      <c r="W1909" s="6">
        <f>IF(ISERROR(VLOOKUP($T$1909,'TAR FIN'!$A$1:$O$120,15,0)),0,VLOOKUP($T$1909,'TAR FIN'!$A$1:$O$120,15,0))</f>
        <v>284.7</v>
      </c>
      <c r="X1909" s="6">
        <f>IF(ISERROR(VLOOKUP($U$1909,'TAR FIN'!$A$1:$O$120,15,0)),0,VLOOKUP($U$1909,'TAR FIN'!$A$1:$O$120,15,0))</f>
        <v>194.85</v>
      </c>
      <c r="Y1909" s="6"/>
      <c r="Z1909" s="6">
        <f ca="1">('TUSD BE'!$AM$66+'TUSD BF'!$AM$66+'TUSD CVA'!$AM$66)*(1-CUSTOS!$M$38)</f>
        <v>344.31597108726555</v>
      </c>
      <c r="AA1909" s="6">
        <f>('TE BE'!$AA$30+'TE BF'!$AA$30+'TE CVA'!$AA$30)*(1-CUSTOS!$M$38)</f>
        <v>189.28405171565731</v>
      </c>
      <c r="AB1909" s="6">
        <f>$K$1909*$V$1909</f>
        <v>0</v>
      </c>
      <c r="AC1909" s="6">
        <f>$M$1909*$W$1909</f>
        <v>16.227899999999998</v>
      </c>
      <c r="AD1909" s="6">
        <f>$O$1909*$X$1909</f>
        <v>11.106450000000001</v>
      </c>
      <c r="AE1909" s="6">
        <f>$K$1909*$Y$1909</f>
        <v>0</v>
      </c>
      <c r="AF1909" s="6">
        <f ca="1">$M$1909*$Z$1909</f>
        <v>19.626010351974138</v>
      </c>
      <c r="AG1909" s="6">
        <f>$O$1909*$AA$1909</f>
        <v>10.789190947792466</v>
      </c>
    </row>
    <row r="1910" spans="1:33" ht="11.25" customHeight="1" x14ac:dyDescent="0.25">
      <c r="A1910" s="4" t="s">
        <v>21</v>
      </c>
      <c r="B1910" s="4" t="s">
        <v>46</v>
      </c>
      <c r="C1910" s="4" t="s">
        <v>37</v>
      </c>
      <c r="D1910" s="4" t="s">
        <v>47</v>
      </c>
      <c r="E1910" s="4" t="s">
        <v>25</v>
      </c>
      <c r="F1910" s="4" t="s">
        <v>25</v>
      </c>
      <c r="G1910" s="4" t="s">
        <v>25</v>
      </c>
      <c r="H1910" s="4" t="s">
        <v>35</v>
      </c>
      <c r="I1910" s="5">
        <v>43739</v>
      </c>
      <c r="J1910" s="6">
        <v>0</v>
      </c>
      <c r="K1910" s="6">
        <v>0</v>
      </c>
      <c r="L1910" s="6">
        <v>8.1000000000000003E-2</v>
      </c>
      <c r="M1910" s="6">
        <v>8.1000000000000003E-2</v>
      </c>
      <c r="N1910" s="6">
        <v>8.1000000000000003E-2</v>
      </c>
      <c r="O1910" s="6">
        <v>8.1000000000000003E-2</v>
      </c>
      <c r="P1910" s="6">
        <v>0</v>
      </c>
      <c r="Q1910" s="4" t="s">
        <v>26</v>
      </c>
      <c r="R1910" s="4">
        <v>0</v>
      </c>
      <c r="S1910" s="6">
        <v>0</v>
      </c>
      <c r="T1910" s="6">
        <v>55</v>
      </c>
      <c r="U1910" s="6">
        <v>98</v>
      </c>
      <c r="V1910" s="6">
        <f>IF(ISERROR(VLOOKUP($S$1910,'TAR FIN'!$A$1:$O$120,15,0)),0,VLOOKUP($S$1910,'TAR FIN'!$A$1:$O$120,15,0))</f>
        <v>0</v>
      </c>
      <c r="W1910" s="6">
        <f>IF(ISERROR(VLOOKUP($T$1910,'TAR FIN'!$A$1:$O$120,15,0)),0,VLOOKUP($T$1910,'TAR FIN'!$A$1:$O$120,15,0))</f>
        <v>419.53</v>
      </c>
      <c r="X1910" s="6">
        <f>IF(ISERROR(VLOOKUP($U$1910,'TAR FIN'!$A$1:$O$120,15,0)),0,VLOOKUP($U$1910,'TAR FIN'!$A$1:$O$120,15,0))</f>
        <v>327.45999999999998</v>
      </c>
      <c r="Y1910" s="6"/>
      <c r="Z1910" s="6">
        <f ca="1">('TUSD BE'!$AM$65+'TUSD BF'!$AM$65+'TUSD CVA'!$AM$65)*(1-CUSTOS!$M$38)</f>
        <v>513.19123360320418</v>
      </c>
      <c r="AA1910" s="6">
        <f>('TE BE'!$AA$29+'TE BF'!$AA$29+'TE CVA'!$AA$29)*(1-CUSTOS!$M$38)</f>
        <v>308.06727820334635</v>
      </c>
      <c r="AB1910" s="6">
        <f>$K$1910*$V$1910</f>
        <v>0</v>
      </c>
      <c r="AC1910" s="6">
        <f>$M$1910*$W$1910</f>
        <v>33.981929999999998</v>
      </c>
      <c r="AD1910" s="6">
        <f>$O$1910*$X$1910</f>
        <v>26.524259999999998</v>
      </c>
      <c r="AE1910" s="6">
        <f>$K$1910*$Y$1910</f>
        <v>0</v>
      </c>
      <c r="AF1910" s="6">
        <f ca="1">$M$1910*$Z$1910</f>
        <v>41.568489921859538</v>
      </c>
      <c r="AG1910" s="6">
        <f>$O$1910*$AA$1910</f>
        <v>24.953449534471055</v>
      </c>
    </row>
    <row r="1911" spans="1:33" ht="11.25" customHeight="1" x14ac:dyDescent="0.25">
      <c r="A1911" s="4" t="s">
        <v>21</v>
      </c>
      <c r="B1911" s="4" t="s">
        <v>46</v>
      </c>
      <c r="C1911" s="4" t="s">
        <v>37</v>
      </c>
      <c r="D1911" s="4" t="s">
        <v>47</v>
      </c>
      <c r="E1911" s="4" t="s">
        <v>25</v>
      </c>
      <c r="F1911" s="4" t="s">
        <v>25</v>
      </c>
      <c r="G1911" s="4" t="s">
        <v>25</v>
      </c>
      <c r="H1911" s="4" t="s">
        <v>35</v>
      </c>
      <c r="I1911" s="5">
        <v>43770</v>
      </c>
      <c r="J1911" s="6">
        <v>0</v>
      </c>
      <c r="K1911" s="6">
        <v>0</v>
      </c>
      <c r="L1911" s="6">
        <v>7.6999999999999999E-2</v>
      </c>
      <c r="M1911" s="6">
        <v>7.6999999999999999E-2</v>
      </c>
      <c r="N1911" s="6">
        <v>7.6999999999999999E-2</v>
      </c>
      <c r="O1911" s="6">
        <v>7.6999999999999999E-2</v>
      </c>
      <c r="P1911" s="6">
        <v>0</v>
      </c>
      <c r="Q1911" s="4" t="s">
        <v>26</v>
      </c>
      <c r="R1911" s="4">
        <v>0</v>
      </c>
      <c r="S1911" s="6">
        <v>0</v>
      </c>
      <c r="T1911" s="6">
        <v>55</v>
      </c>
      <c r="U1911" s="6">
        <v>98</v>
      </c>
      <c r="V1911" s="6">
        <f>IF(ISERROR(VLOOKUP($S$1911,'TAR FIN'!$A$1:$O$120,15,0)),0,VLOOKUP($S$1911,'TAR FIN'!$A$1:$O$120,15,0))</f>
        <v>0</v>
      </c>
      <c r="W1911" s="6">
        <f>IF(ISERROR(VLOOKUP($T$1911,'TAR FIN'!$A$1:$O$120,15,0)),0,VLOOKUP($T$1911,'TAR FIN'!$A$1:$O$120,15,0))</f>
        <v>419.53</v>
      </c>
      <c r="X1911" s="6">
        <f>IF(ISERROR(VLOOKUP($U$1911,'TAR FIN'!$A$1:$O$120,15,0)),0,VLOOKUP($U$1911,'TAR FIN'!$A$1:$O$120,15,0))</f>
        <v>327.45999999999998</v>
      </c>
      <c r="Y1911" s="6"/>
      <c r="Z1911" s="6">
        <f ca="1">('TUSD BE'!$AM$65+'TUSD BF'!$AM$65+'TUSD CVA'!$AM$65)*(1-CUSTOS!$M$38)</f>
        <v>513.19123360320418</v>
      </c>
      <c r="AA1911" s="6">
        <f>('TE BE'!$AA$29+'TE BF'!$AA$29+'TE CVA'!$AA$29)*(1-CUSTOS!$M$38)</f>
        <v>308.06727820334635</v>
      </c>
      <c r="AB1911" s="6">
        <f>$K$1911*$V$1911</f>
        <v>0</v>
      </c>
      <c r="AC1911" s="6">
        <f>$M$1911*$W$1911</f>
        <v>32.303809999999999</v>
      </c>
      <c r="AD1911" s="6">
        <f>$O$1911*$X$1911</f>
        <v>25.214419999999997</v>
      </c>
      <c r="AE1911" s="6">
        <f>$K$1911*$Y$1911</f>
        <v>0</v>
      </c>
      <c r="AF1911" s="6">
        <f ca="1">$M$1911*$Z$1911</f>
        <v>39.515724987446724</v>
      </c>
      <c r="AG1911" s="6">
        <f>$O$1911*$AA$1911</f>
        <v>23.721180421657667</v>
      </c>
    </row>
    <row r="1912" spans="1:33" ht="11.25" customHeight="1" x14ac:dyDescent="0.25">
      <c r="A1912" s="4" t="s">
        <v>21</v>
      </c>
      <c r="B1912" s="4" t="s">
        <v>46</v>
      </c>
      <c r="C1912" s="4" t="s">
        <v>37</v>
      </c>
      <c r="D1912" s="4" t="s">
        <v>47</v>
      </c>
      <c r="E1912" s="4" t="s">
        <v>25</v>
      </c>
      <c r="F1912" s="4" t="s">
        <v>25</v>
      </c>
      <c r="G1912" s="4" t="s">
        <v>25</v>
      </c>
      <c r="H1912" s="4" t="s">
        <v>35</v>
      </c>
      <c r="I1912" s="5">
        <v>43800</v>
      </c>
      <c r="J1912" s="6">
        <v>0</v>
      </c>
      <c r="K1912" s="6">
        <v>0</v>
      </c>
      <c r="L1912" s="6">
        <v>7.0000000000000007E-2</v>
      </c>
      <c r="M1912" s="6">
        <v>7.0000000000000007E-2</v>
      </c>
      <c r="N1912" s="6">
        <v>7.0000000000000007E-2</v>
      </c>
      <c r="O1912" s="6">
        <v>7.0000000000000007E-2</v>
      </c>
      <c r="P1912" s="6">
        <v>0</v>
      </c>
      <c r="Q1912" s="4" t="s">
        <v>26</v>
      </c>
      <c r="R1912" s="4">
        <v>0</v>
      </c>
      <c r="S1912" s="6">
        <v>0</v>
      </c>
      <c r="T1912" s="6">
        <v>55</v>
      </c>
      <c r="U1912" s="6">
        <v>98</v>
      </c>
      <c r="V1912" s="6">
        <f>IF(ISERROR(VLOOKUP($S$1912,'TAR FIN'!$A$1:$O$120,15,0)),0,VLOOKUP($S$1912,'TAR FIN'!$A$1:$O$120,15,0))</f>
        <v>0</v>
      </c>
      <c r="W1912" s="6">
        <f>IF(ISERROR(VLOOKUP($T$1912,'TAR FIN'!$A$1:$O$120,15,0)),0,VLOOKUP($T$1912,'TAR FIN'!$A$1:$O$120,15,0))</f>
        <v>419.53</v>
      </c>
      <c r="X1912" s="6">
        <f>IF(ISERROR(VLOOKUP($U$1912,'TAR FIN'!$A$1:$O$120,15,0)),0,VLOOKUP($U$1912,'TAR FIN'!$A$1:$O$120,15,0))</f>
        <v>327.45999999999998</v>
      </c>
      <c r="Y1912" s="6"/>
      <c r="Z1912" s="6">
        <f ca="1">('TUSD BE'!$AM$65+'TUSD BF'!$AM$65+'TUSD CVA'!$AM$65)*(1-CUSTOS!$M$38)</f>
        <v>513.19123360320418</v>
      </c>
      <c r="AA1912" s="6">
        <f>('TE BE'!$AA$29+'TE BF'!$AA$29+'TE CVA'!$AA$29)*(1-CUSTOS!$M$38)</f>
        <v>308.06727820334635</v>
      </c>
      <c r="AB1912" s="6">
        <f>$K$1912*$V$1912</f>
        <v>0</v>
      </c>
      <c r="AC1912" s="6">
        <f>$M$1912*$W$1912</f>
        <v>29.367100000000001</v>
      </c>
      <c r="AD1912" s="6">
        <f>$O$1912*$X$1912</f>
        <v>22.9222</v>
      </c>
      <c r="AE1912" s="6">
        <f>$K$1912*$Y$1912</f>
        <v>0</v>
      </c>
      <c r="AF1912" s="6">
        <f ca="1">$M$1912*$Z$1912</f>
        <v>35.923386352224298</v>
      </c>
      <c r="AG1912" s="6">
        <f>$O$1912*$AA$1912</f>
        <v>21.564709474234245</v>
      </c>
    </row>
    <row r="1913" spans="1:33" ht="11.25" customHeight="1" x14ac:dyDescent="0.25">
      <c r="A1913" s="4" t="s">
        <v>21</v>
      </c>
      <c r="B1913" s="4" t="s">
        <v>46</v>
      </c>
      <c r="C1913" s="4" t="s">
        <v>37</v>
      </c>
      <c r="D1913" s="4" t="s">
        <v>47</v>
      </c>
      <c r="E1913" s="4" t="s">
        <v>25</v>
      </c>
      <c r="F1913" s="4" t="s">
        <v>25</v>
      </c>
      <c r="G1913" s="4" t="s">
        <v>25</v>
      </c>
      <c r="H1913" s="4" t="s">
        <v>35</v>
      </c>
      <c r="I1913" s="5">
        <v>43831</v>
      </c>
      <c r="J1913" s="6">
        <v>0</v>
      </c>
      <c r="K1913" s="6">
        <v>0</v>
      </c>
      <c r="L1913" s="6">
        <v>8.5000000000000006E-2</v>
      </c>
      <c r="M1913" s="6">
        <v>8.5000000000000006E-2</v>
      </c>
      <c r="N1913" s="6">
        <v>8.5000000000000006E-2</v>
      </c>
      <c r="O1913" s="6">
        <v>8.5000000000000006E-2</v>
      </c>
      <c r="P1913" s="6">
        <v>0</v>
      </c>
      <c r="Q1913" s="4" t="s">
        <v>26</v>
      </c>
      <c r="R1913" s="4">
        <v>0</v>
      </c>
      <c r="S1913" s="6">
        <v>0</v>
      </c>
      <c r="T1913" s="6">
        <v>55</v>
      </c>
      <c r="U1913" s="6">
        <v>98</v>
      </c>
      <c r="V1913" s="6">
        <f>IF(ISERROR(VLOOKUP($S$1913,'TAR FIN'!$A$1:$O$120,15,0)),0,VLOOKUP($S$1913,'TAR FIN'!$A$1:$O$120,15,0))</f>
        <v>0</v>
      </c>
      <c r="W1913" s="6">
        <f>IF(ISERROR(VLOOKUP($T$1913,'TAR FIN'!$A$1:$O$120,15,0)),0,VLOOKUP($T$1913,'TAR FIN'!$A$1:$O$120,15,0))</f>
        <v>419.53</v>
      </c>
      <c r="X1913" s="6">
        <f>IF(ISERROR(VLOOKUP($U$1913,'TAR FIN'!$A$1:$O$120,15,0)),0,VLOOKUP($U$1913,'TAR FIN'!$A$1:$O$120,15,0))</f>
        <v>327.45999999999998</v>
      </c>
      <c r="Y1913" s="6"/>
      <c r="Z1913" s="6">
        <f ca="1">('TUSD BE'!$AM$65+'TUSD BF'!$AM$65+'TUSD CVA'!$AM$65)*(1-CUSTOS!$M$38)</f>
        <v>513.19123360320418</v>
      </c>
      <c r="AA1913" s="6">
        <f>('TE BE'!$AA$29+'TE BF'!$AA$29+'TE CVA'!$AA$29)*(1-CUSTOS!$M$38)</f>
        <v>308.06727820334635</v>
      </c>
      <c r="AB1913" s="6">
        <f>$K$1913*$V$1913</f>
        <v>0</v>
      </c>
      <c r="AC1913" s="6">
        <f>$M$1913*$W$1913</f>
        <v>35.660049999999998</v>
      </c>
      <c r="AD1913" s="6">
        <f>$O$1913*$X$1913</f>
        <v>27.834099999999999</v>
      </c>
      <c r="AE1913" s="6">
        <f>$K$1913*$Y$1913</f>
        <v>0</v>
      </c>
      <c r="AF1913" s="6">
        <f ca="1">$M$1913*$Z$1913</f>
        <v>43.621254856272358</v>
      </c>
      <c r="AG1913" s="6">
        <f>$O$1913*$AA$1913</f>
        <v>26.185718647284443</v>
      </c>
    </row>
    <row r="1914" spans="1:33" ht="11.25" customHeight="1" x14ac:dyDescent="0.25">
      <c r="A1914" s="4" t="s">
        <v>21</v>
      </c>
      <c r="B1914" s="4" t="s">
        <v>46</v>
      </c>
      <c r="C1914" s="4" t="s">
        <v>37</v>
      </c>
      <c r="D1914" s="4" t="s">
        <v>47</v>
      </c>
      <c r="E1914" s="4" t="s">
        <v>25</v>
      </c>
      <c r="F1914" s="4" t="s">
        <v>25</v>
      </c>
      <c r="G1914" s="4" t="s">
        <v>25</v>
      </c>
      <c r="H1914" s="4" t="s">
        <v>35</v>
      </c>
      <c r="I1914" s="5">
        <v>43862</v>
      </c>
      <c r="J1914" s="6">
        <v>0</v>
      </c>
      <c r="K1914" s="6">
        <v>0</v>
      </c>
      <c r="L1914" s="6">
        <v>7.5999999999999998E-2</v>
      </c>
      <c r="M1914" s="6">
        <v>7.5999999999999998E-2</v>
      </c>
      <c r="N1914" s="6">
        <v>7.5999999999999998E-2</v>
      </c>
      <c r="O1914" s="6">
        <v>7.5999999999999998E-2</v>
      </c>
      <c r="P1914" s="6">
        <v>0</v>
      </c>
      <c r="Q1914" s="4" t="s">
        <v>26</v>
      </c>
      <c r="R1914" s="4">
        <v>0</v>
      </c>
      <c r="S1914" s="6">
        <v>0</v>
      </c>
      <c r="T1914" s="6">
        <v>55</v>
      </c>
      <c r="U1914" s="6">
        <v>98</v>
      </c>
      <c r="V1914" s="6">
        <f>IF(ISERROR(VLOOKUP($S$1914,'TAR FIN'!$A$1:$O$120,15,0)),0,VLOOKUP($S$1914,'TAR FIN'!$A$1:$O$120,15,0))</f>
        <v>0</v>
      </c>
      <c r="W1914" s="6">
        <f>IF(ISERROR(VLOOKUP($T$1914,'TAR FIN'!$A$1:$O$120,15,0)),0,VLOOKUP($T$1914,'TAR FIN'!$A$1:$O$120,15,0))</f>
        <v>419.53</v>
      </c>
      <c r="X1914" s="6">
        <f>IF(ISERROR(VLOOKUP($U$1914,'TAR FIN'!$A$1:$O$120,15,0)),0,VLOOKUP($U$1914,'TAR FIN'!$A$1:$O$120,15,0))</f>
        <v>327.45999999999998</v>
      </c>
      <c r="Y1914" s="6"/>
      <c r="Z1914" s="6">
        <f ca="1">('TUSD BE'!$AM$65+'TUSD BF'!$AM$65+'TUSD CVA'!$AM$65)*(1-CUSTOS!$M$38)</f>
        <v>513.19123360320418</v>
      </c>
      <c r="AA1914" s="6">
        <f>('TE BE'!$AA$29+'TE BF'!$AA$29+'TE CVA'!$AA$29)*(1-CUSTOS!$M$38)</f>
        <v>308.06727820334635</v>
      </c>
      <c r="AB1914" s="6">
        <f>$K$1914*$V$1914</f>
        <v>0</v>
      </c>
      <c r="AC1914" s="6">
        <f>$M$1914*$W$1914</f>
        <v>31.884279999999997</v>
      </c>
      <c r="AD1914" s="6">
        <f>$O$1914*$X$1914</f>
        <v>24.886959999999998</v>
      </c>
      <c r="AE1914" s="6">
        <f>$K$1914*$Y$1914</f>
        <v>0</v>
      </c>
      <c r="AF1914" s="6">
        <f ca="1">$M$1914*$Z$1914</f>
        <v>39.002533753843515</v>
      </c>
      <c r="AG1914" s="6">
        <f>$O$1914*$AA$1914</f>
        <v>23.413113143454321</v>
      </c>
    </row>
    <row r="1915" spans="1:33" ht="11.25" customHeight="1" x14ac:dyDescent="0.25">
      <c r="A1915" s="4" t="s">
        <v>21</v>
      </c>
      <c r="B1915" s="4" t="s">
        <v>46</v>
      </c>
      <c r="C1915" s="4" t="s">
        <v>37</v>
      </c>
      <c r="D1915" s="4" t="s">
        <v>47</v>
      </c>
      <c r="E1915" s="4" t="s">
        <v>25</v>
      </c>
      <c r="F1915" s="4" t="s">
        <v>25</v>
      </c>
      <c r="G1915" s="4" t="s">
        <v>25</v>
      </c>
      <c r="H1915" s="4" t="s">
        <v>35</v>
      </c>
      <c r="I1915" s="5">
        <v>43891</v>
      </c>
      <c r="J1915" s="6">
        <v>0</v>
      </c>
      <c r="K1915" s="6">
        <v>0</v>
      </c>
      <c r="L1915" s="6">
        <v>8.4000000000000005E-2</v>
      </c>
      <c r="M1915" s="6">
        <v>8.4000000000000005E-2</v>
      </c>
      <c r="N1915" s="6">
        <v>8.4000000000000005E-2</v>
      </c>
      <c r="O1915" s="6">
        <v>8.4000000000000005E-2</v>
      </c>
      <c r="P1915" s="6">
        <v>0</v>
      </c>
      <c r="Q1915" s="4" t="s">
        <v>26</v>
      </c>
      <c r="R1915" s="4">
        <v>0</v>
      </c>
      <c r="S1915" s="6">
        <v>0</v>
      </c>
      <c r="T1915" s="6">
        <v>55</v>
      </c>
      <c r="U1915" s="6">
        <v>98</v>
      </c>
      <c r="V1915" s="6">
        <f>IF(ISERROR(VLOOKUP($S$1915,'TAR FIN'!$A$1:$O$120,15,0)),0,VLOOKUP($S$1915,'TAR FIN'!$A$1:$O$120,15,0))</f>
        <v>0</v>
      </c>
      <c r="W1915" s="6">
        <f>IF(ISERROR(VLOOKUP($T$1915,'TAR FIN'!$A$1:$O$120,15,0)),0,VLOOKUP($T$1915,'TAR FIN'!$A$1:$O$120,15,0))</f>
        <v>419.53</v>
      </c>
      <c r="X1915" s="6">
        <f>IF(ISERROR(VLOOKUP($U$1915,'TAR FIN'!$A$1:$O$120,15,0)),0,VLOOKUP($U$1915,'TAR FIN'!$A$1:$O$120,15,0))</f>
        <v>327.45999999999998</v>
      </c>
      <c r="Y1915" s="6"/>
      <c r="Z1915" s="6">
        <f ca="1">('TUSD BE'!$AM$65+'TUSD BF'!$AM$65+'TUSD CVA'!$AM$65)*(1-CUSTOS!$M$38)</f>
        <v>513.19123360320418</v>
      </c>
      <c r="AA1915" s="6">
        <f>('TE BE'!$AA$29+'TE BF'!$AA$29+'TE CVA'!$AA$29)*(1-CUSTOS!$M$38)</f>
        <v>308.06727820334635</v>
      </c>
      <c r="AB1915" s="6">
        <f>$K$1915*$V$1915</f>
        <v>0</v>
      </c>
      <c r="AC1915" s="6">
        <f>$M$1915*$W$1915</f>
        <v>35.240519999999997</v>
      </c>
      <c r="AD1915" s="6">
        <f>$O$1915*$X$1915</f>
        <v>27.506640000000001</v>
      </c>
      <c r="AE1915" s="6">
        <f>$K$1915*$Y$1915</f>
        <v>0</v>
      </c>
      <c r="AF1915" s="6">
        <f ca="1">$M$1915*$Z$1915</f>
        <v>43.108063622669157</v>
      </c>
      <c r="AG1915" s="6">
        <f>$O$1915*$AA$1915</f>
        <v>25.877651369081097</v>
      </c>
    </row>
    <row r="1916" spans="1:33" ht="11.25" customHeight="1" x14ac:dyDescent="0.25">
      <c r="A1916" s="4" t="s">
        <v>21</v>
      </c>
      <c r="B1916" s="4" t="s">
        <v>46</v>
      </c>
      <c r="C1916" s="4" t="s">
        <v>37</v>
      </c>
      <c r="D1916" s="4" t="s">
        <v>47</v>
      </c>
      <c r="E1916" s="4" t="s">
        <v>25</v>
      </c>
      <c r="F1916" s="4" t="s">
        <v>25</v>
      </c>
      <c r="G1916" s="4" t="s">
        <v>25</v>
      </c>
      <c r="H1916" s="4" t="s">
        <v>35</v>
      </c>
      <c r="I1916" s="5">
        <v>43922</v>
      </c>
      <c r="J1916" s="6">
        <v>0</v>
      </c>
      <c r="K1916" s="6">
        <v>0</v>
      </c>
      <c r="L1916" s="6">
        <v>0.108</v>
      </c>
      <c r="M1916" s="6">
        <v>0.108</v>
      </c>
      <c r="N1916" s="6">
        <v>0.108</v>
      </c>
      <c r="O1916" s="6">
        <v>0.108</v>
      </c>
      <c r="P1916" s="6">
        <v>0</v>
      </c>
      <c r="Q1916" s="4" t="s">
        <v>26</v>
      </c>
      <c r="R1916" s="4">
        <v>0</v>
      </c>
      <c r="S1916" s="6">
        <v>0</v>
      </c>
      <c r="T1916" s="6">
        <v>55</v>
      </c>
      <c r="U1916" s="6">
        <v>98</v>
      </c>
      <c r="V1916" s="6">
        <f>IF(ISERROR(VLOOKUP($S$1916,'TAR FIN'!$A$1:$O$120,15,0)),0,VLOOKUP($S$1916,'TAR FIN'!$A$1:$O$120,15,0))</f>
        <v>0</v>
      </c>
      <c r="W1916" s="6">
        <f>IF(ISERROR(VLOOKUP($T$1916,'TAR FIN'!$A$1:$O$120,15,0)),0,VLOOKUP($T$1916,'TAR FIN'!$A$1:$O$120,15,0))</f>
        <v>419.53</v>
      </c>
      <c r="X1916" s="6">
        <f>IF(ISERROR(VLOOKUP($U$1916,'TAR FIN'!$A$1:$O$120,15,0)),0,VLOOKUP($U$1916,'TAR FIN'!$A$1:$O$120,15,0))</f>
        <v>327.45999999999998</v>
      </c>
      <c r="Y1916" s="6"/>
      <c r="Z1916" s="6">
        <f ca="1">('TUSD BE'!$AM$65+'TUSD BF'!$AM$65+'TUSD CVA'!$AM$65)*(1-CUSTOS!$M$38)</f>
        <v>513.19123360320418</v>
      </c>
      <c r="AA1916" s="6">
        <f>('TE BE'!$AA$29+'TE BF'!$AA$29+'TE CVA'!$AA$29)*(1-CUSTOS!$M$38)</f>
        <v>308.06727820334635</v>
      </c>
      <c r="AB1916" s="6">
        <f>$K$1916*$V$1916</f>
        <v>0</v>
      </c>
      <c r="AC1916" s="6">
        <f>$M$1916*$W$1916</f>
        <v>45.309239999999996</v>
      </c>
      <c r="AD1916" s="6">
        <f>$O$1916*$X$1916</f>
        <v>35.365679999999998</v>
      </c>
      <c r="AE1916" s="6">
        <f>$K$1916*$Y$1916</f>
        <v>0</v>
      </c>
      <c r="AF1916" s="6">
        <f ca="1">$M$1916*$Z$1916</f>
        <v>55.424653229146053</v>
      </c>
      <c r="AG1916" s="6">
        <f>$O$1916*$AA$1916</f>
        <v>33.271266045961404</v>
      </c>
    </row>
    <row r="1917" spans="1:33" ht="11.25" customHeight="1" x14ac:dyDescent="0.25">
      <c r="A1917" s="4" t="s">
        <v>21</v>
      </c>
      <c r="B1917" s="4" t="s">
        <v>46</v>
      </c>
      <c r="C1917" s="4" t="s">
        <v>37</v>
      </c>
      <c r="D1917" s="4" t="s">
        <v>47</v>
      </c>
      <c r="E1917" s="4" t="s">
        <v>25</v>
      </c>
      <c r="F1917" s="4" t="s">
        <v>25</v>
      </c>
      <c r="G1917" s="4" t="s">
        <v>25</v>
      </c>
      <c r="H1917" s="4" t="s">
        <v>35</v>
      </c>
      <c r="I1917" s="5">
        <v>43952</v>
      </c>
      <c r="J1917" s="6">
        <v>0</v>
      </c>
      <c r="K1917" s="6">
        <v>0</v>
      </c>
      <c r="L1917" s="6">
        <v>8.8999999999999996E-2</v>
      </c>
      <c r="M1917" s="6">
        <v>8.8999999999999996E-2</v>
      </c>
      <c r="N1917" s="6">
        <v>8.8999999999999996E-2</v>
      </c>
      <c r="O1917" s="6">
        <v>8.8999999999999996E-2</v>
      </c>
      <c r="P1917" s="6">
        <v>0</v>
      </c>
      <c r="Q1917" s="4" t="s">
        <v>26</v>
      </c>
      <c r="R1917" s="4">
        <v>0</v>
      </c>
      <c r="S1917" s="6">
        <v>0</v>
      </c>
      <c r="T1917" s="6">
        <v>55</v>
      </c>
      <c r="U1917" s="6">
        <v>98</v>
      </c>
      <c r="V1917" s="6">
        <f>IF(ISERROR(VLOOKUP($S$1917,'TAR FIN'!$A$1:$O$120,15,0)),0,VLOOKUP($S$1917,'TAR FIN'!$A$1:$O$120,15,0))</f>
        <v>0</v>
      </c>
      <c r="W1917" s="6">
        <f>IF(ISERROR(VLOOKUP($T$1917,'TAR FIN'!$A$1:$O$120,15,0)),0,VLOOKUP($T$1917,'TAR FIN'!$A$1:$O$120,15,0))</f>
        <v>419.53</v>
      </c>
      <c r="X1917" s="6">
        <f>IF(ISERROR(VLOOKUP($U$1917,'TAR FIN'!$A$1:$O$120,15,0)),0,VLOOKUP($U$1917,'TAR FIN'!$A$1:$O$120,15,0))</f>
        <v>327.45999999999998</v>
      </c>
      <c r="Y1917" s="6"/>
      <c r="Z1917" s="6">
        <f ca="1">('TUSD BE'!$AM$65+'TUSD BF'!$AM$65+'TUSD CVA'!$AM$65)*(1-CUSTOS!$M$38)</f>
        <v>513.19123360320418</v>
      </c>
      <c r="AA1917" s="6">
        <f>('TE BE'!$AA$29+'TE BF'!$AA$29+'TE CVA'!$AA$29)*(1-CUSTOS!$M$38)</f>
        <v>308.06727820334635</v>
      </c>
      <c r="AB1917" s="6">
        <f>$K$1917*$V$1917</f>
        <v>0</v>
      </c>
      <c r="AC1917" s="6">
        <f>$M$1917*$W$1917</f>
        <v>37.338169999999998</v>
      </c>
      <c r="AD1917" s="6">
        <f>$O$1917*$X$1917</f>
        <v>29.143939999999997</v>
      </c>
      <c r="AE1917" s="6">
        <f>$K$1917*$Y$1917</f>
        <v>0</v>
      </c>
      <c r="AF1917" s="6">
        <f ca="1">$M$1917*$Z$1917</f>
        <v>45.674019790685172</v>
      </c>
      <c r="AG1917" s="6">
        <f>$O$1917*$AA$1917</f>
        <v>27.417987760097823</v>
      </c>
    </row>
    <row r="1918" spans="1:33" ht="11.25" customHeight="1" x14ac:dyDescent="0.25">
      <c r="A1918" s="4" t="s">
        <v>21</v>
      </c>
      <c r="B1918" s="4" t="s">
        <v>46</v>
      </c>
      <c r="C1918" s="4" t="s">
        <v>37</v>
      </c>
      <c r="D1918" s="4" t="s">
        <v>47</v>
      </c>
      <c r="E1918" s="4" t="s">
        <v>25</v>
      </c>
      <c r="F1918" s="4" t="s">
        <v>25</v>
      </c>
      <c r="G1918" s="4" t="s">
        <v>25</v>
      </c>
      <c r="H1918" s="4" t="s">
        <v>35</v>
      </c>
      <c r="I1918" s="5">
        <v>43983</v>
      </c>
      <c r="J1918" s="6">
        <v>0</v>
      </c>
      <c r="K1918" s="6">
        <v>0</v>
      </c>
      <c r="L1918" s="6">
        <v>9.2999999999999999E-2</v>
      </c>
      <c r="M1918" s="6">
        <v>9.2999999999999999E-2</v>
      </c>
      <c r="N1918" s="6">
        <v>9.2999999999999999E-2</v>
      </c>
      <c r="O1918" s="6">
        <v>9.2999999999999999E-2</v>
      </c>
      <c r="P1918" s="6">
        <v>0</v>
      </c>
      <c r="Q1918" s="4" t="s">
        <v>26</v>
      </c>
      <c r="R1918" s="4">
        <v>0</v>
      </c>
      <c r="S1918" s="6">
        <v>0</v>
      </c>
      <c r="T1918" s="6">
        <v>55</v>
      </c>
      <c r="U1918" s="6">
        <v>98</v>
      </c>
      <c r="V1918" s="6">
        <f>IF(ISERROR(VLOOKUP($S$1918,'TAR FIN'!$A$1:$O$120,15,0)),0,VLOOKUP($S$1918,'TAR FIN'!$A$1:$O$120,15,0))</f>
        <v>0</v>
      </c>
      <c r="W1918" s="6">
        <f>IF(ISERROR(VLOOKUP($T$1918,'TAR FIN'!$A$1:$O$120,15,0)),0,VLOOKUP($T$1918,'TAR FIN'!$A$1:$O$120,15,0))</f>
        <v>419.53</v>
      </c>
      <c r="X1918" s="6">
        <f>IF(ISERROR(VLOOKUP($U$1918,'TAR FIN'!$A$1:$O$120,15,0)),0,VLOOKUP($U$1918,'TAR FIN'!$A$1:$O$120,15,0))</f>
        <v>327.45999999999998</v>
      </c>
      <c r="Y1918" s="6"/>
      <c r="Z1918" s="6">
        <f ca="1">('TUSD BE'!$AM$65+'TUSD BF'!$AM$65+'TUSD CVA'!$AM$65)*(1-CUSTOS!$M$38)</f>
        <v>513.19123360320418</v>
      </c>
      <c r="AA1918" s="6">
        <f>('TE BE'!$AA$29+'TE BF'!$AA$29+'TE CVA'!$AA$29)*(1-CUSTOS!$M$38)</f>
        <v>308.06727820334635</v>
      </c>
      <c r="AB1918" s="6">
        <f>$K$1918*$V$1918</f>
        <v>0</v>
      </c>
      <c r="AC1918" s="6">
        <f>$M$1918*$W$1918</f>
        <v>39.016289999999998</v>
      </c>
      <c r="AD1918" s="6">
        <f>$O$1918*$X$1918</f>
        <v>30.453779999999998</v>
      </c>
      <c r="AE1918" s="6">
        <f>$K$1918*$Y$1918</f>
        <v>0</v>
      </c>
      <c r="AF1918" s="6">
        <f ca="1">$M$1918*$Z$1918</f>
        <v>47.726784725097986</v>
      </c>
      <c r="AG1918" s="6">
        <f>$O$1918*$AA$1918</f>
        <v>28.650256872911211</v>
      </c>
    </row>
    <row r="1919" spans="1:33" ht="11.25" customHeight="1" x14ac:dyDescent="0.25">
      <c r="A1919" s="4" t="s">
        <v>21</v>
      </c>
      <c r="B1919" s="4" t="s">
        <v>46</v>
      </c>
      <c r="C1919" s="4" t="s">
        <v>37</v>
      </c>
      <c r="D1919" s="4" t="s">
        <v>47</v>
      </c>
      <c r="E1919" s="4" t="s">
        <v>25</v>
      </c>
      <c r="F1919" s="4" t="s">
        <v>25</v>
      </c>
      <c r="G1919" s="4" t="s">
        <v>25</v>
      </c>
      <c r="H1919" s="4" t="s">
        <v>35</v>
      </c>
      <c r="I1919" s="5">
        <v>44013</v>
      </c>
      <c r="J1919" s="6">
        <v>0</v>
      </c>
      <c r="K1919" s="6">
        <v>0</v>
      </c>
      <c r="L1919" s="6">
        <v>0.09</v>
      </c>
      <c r="M1919" s="6">
        <v>0.09</v>
      </c>
      <c r="N1919" s="6">
        <v>0.09</v>
      </c>
      <c r="O1919" s="6">
        <v>0.09</v>
      </c>
      <c r="P1919" s="6">
        <v>0</v>
      </c>
      <c r="Q1919" s="4" t="s">
        <v>26</v>
      </c>
      <c r="R1919" s="4">
        <v>0</v>
      </c>
      <c r="S1919" s="6">
        <v>0</v>
      </c>
      <c r="T1919" s="6">
        <v>55</v>
      </c>
      <c r="U1919" s="6">
        <v>98</v>
      </c>
      <c r="V1919" s="6">
        <f>IF(ISERROR(VLOOKUP($S$1919,'TAR FIN'!$A$1:$O$120,15,0)),0,VLOOKUP($S$1919,'TAR FIN'!$A$1:$O$120,15,0))</f>
        <v>0</v>
      </c>
      <c r="W1919" s="6">
        <f>IF(ISERROR(VLOOKUP($T$1919,'TAR FIN'!$A$1:$O$120,15,0)),0,VLOOKUP($T$1919,'TAR FIN'!$A$1:$O$120,15,0))</f>
        <v>419.53</v>
      </c>
      <c r="X1919" s="6">
        <f>IF(ISERROR(VLOOKUP($U$1919,'TAR FIN'!$A$1:$O$120,15,0)),0,VLOOKUP($U$1919,'TAR FIN'!$A$1:$O$120,15,0))</f>
        <v>327.45999999999998</v>
      </c>
      <c r="Y1919" s="6"/>
      <c r="Z1919" s="6">
        <f ca="1">('TUSD BE'!$AM$65+'TUSD BF'!$AM$65+'TUSD CVA'!$AM$65)*(1-CUSTOS!$M$38)</f>
        <v>513.19123360320418</v>
      </c>
      <c r="AA1919" s="6">
        <f>('TE BE'!$AA$29+'TE BF'!$AA$29+'TE CVA'!$AA$29)*(1-CUSTOS!$M$38)</f>
        <v>308.06727820334635</v>
      </c>
      <c r="AB1919" s="6">
        <f>$K$1919*$V$1919</f>
        <v>0</v>
      </c>
      <c r="AC1919" s="6">
        <f>$M$1919*$W$1919</f>
        <v>37.757699999999993</v>
      </c>
      <c r="AD1919" s="6">
        <f>$O$1919*$X$1919</f>
        <v>29.471399999999996</v>
      </c>
      <c r="AE1919" s="6">
        <f>$K$1919*$Y$1919</f>
        <v>0</v>
      </c>
      <c r="AF1919" s="6">
        <f ca="1">$M$1919*$Z$1919</f>
        <v>46.187211024288374</v>
      </c>
      <c r="AG1919" s="6">
        <f>$O$1919*$AA$1919</f>
        <v>27.726055038301169</v>
      </c>
    </row>
    <row r="1920" spans="1:33" ht="11.25" customHeight="1" x14ac:dyDescent="0.25">
      <c r="A1920" s="4" t="s">
        <v>21</v>
      </c>
      <c r="B1920" s="4" t="s">
        <v>46</v>
      </c>
      <c r="C1920" s="4" t="s">
        <v>37</v>
      </c>
      <c r="D1920" s="4" t="s">
        <v>47</v>
      </c>
      <c r="E1920" s="4" t="s">
        <v>25</v>
      </c>
      <c r="F1920" s="4" t="s">
        <v>25</v>
      </c>
      <c r="G1920" s="4" t="s">
        <v>25</v>
      </c>
      <c r="H1920" s="4" t="s">
        <v>35</v>
      </c>
      <c r="I1920" s="5">
        <v>44044</v>
      </c>
      <c r="J1920" s="6">
        <v>0</v>
      </c>
      <c r="K1920" s="6">
        <v>0</v>
      </c>
      <c r="L1920" s="6">
        <v>0.10100000000000001</v>
      </c>
      <c r="M1920" s="6">
        <v>0.10100000000000001</v>
      </c>
      <c r="N1920" s="6">
        <v>0.10100000000000001</v>
      </c>
      <c r="O1920" s="6">
        <v>0.10100000000000001</v>
      </c>
      <c r="P1920" s="6">
        <v>0</v>
      </c>
      <c r="Q1920" s="4" t="s">
        <v>26</v>
      </c>
      <c r="R1920" s="4">
        <v>0</v>
      </c>
      <c r="S1920" s="6">
        <v>0</v>
      </c>
      <c r="T1920" s="6">
        <v>55</v>
      </c>
      <c r="U1920" s="6">
        <v>98</v>
      </c>
      <c r="V1920" s="6">
        <f>IF(ISERROR(VLOOKUP($S$1920,'TAR FIN'!$A$1:$O$120,15,0)),0,VLOOKUP($S$1920,'TAR FIN'!$A$1:$O$120,15,0))</f>
        <v>0</v>
      </c>
      <c r="W1920" s="6">
        <f>IF(ISERROR(VLOOKUP($T$1920,'TAR FIN'!$A$1:$O$120,15,0)),0,VLOOKUP($T$1920,'TAR FIN'!$A$1:$O$120,15,0))</f>
        <v>419.53</v>
      </c>
      <c r="X1920" s="6">
        <f>IF(ISERROR(VLOOKUP($U$1920,'TAR FIN'!$A$1:$O$120,15,0)),0,VLOOKUP($U$1920,'TAR FIN'!$A$1:$O$120,15,0))</f>
        <v>327.45999999999998</v>
      </c>
      <c r="Y1920" s="6"/>
      <c r="Z1920" s="6">
        <f ca="1">('TUSD BE'!$AM$65+'TUSD BF'!$AM$65+'TUSD CVA'!$AM$65)*(1-CUSTOS!$M$38)</f>
        <v>513.19123360320418</v>
      </c>
      <c r="AA1920" s="6">
        <f>('TE BE'!$AA$29+'TE BF'!$AA$29+'TE CVA'!$AA$29)*(1-CUSTOS!$M$38)</f>
        <v>308.06727820334635</v>
      </c>
      <c r="AB1920" s="6">
        <f>$K$1920*$V$1920</f>
        <v>0</v>
      </c>
      <c r="AC1920" s="6">
        <f>$M$1920*$W$1920</f>
        <v>42.372529999999998</v>
      </c>
      <c r="AD1920" s="6">
        <f>$O$1920*$X$1920</f>
        <v>33.073459999999997</v>
      </c>
      <c r="AE1920" s="6">
        <f>$K$1920*$Y$1920</f>
        <v>0</v>
      </c>
      <c r="AF1920" s="6">
        <f ca="1">$M$1920*$Z$1920</f>
        <v>51.832314593923627</v>
      </c>
      <c r="AG1920" s="6">
        <f>$O$1920*$AA$1920</f>
        <v>31.114795098537982</v>
      </c>
    </row>
    <row r="1921" spans="1:33" ht="11.25" customHeight="1" x14ac:dyDescent="0.25">
      <c r="A1921" s="4" t="s">
        <v>59</v>
      </c>
      <c r="B1921" s="4" t="s">
        <v>46</v>
      </c>
      <c r="C1921" s="4" t="s">
        <v>37</v>
      </c>
      <c r="D1921" s="4" t="s">
        <v>47</v>
      </c>
      <c r="E1921" s="4" t="s">
        <v>25</v>
      </c>
      <c r="F1921" s="4" t="s">
        <v>25</v>
      </c>
      <c r="G1921" s="4" t="s">
        <v>25</v>
      </c>
      <c r="H1921" s="4" t="s">
        <v>35</v>
      </c>
      <c r="I1921" s="5">
        <v>44075</v>
      </c>
      <c r="J1921" s="6">
        <v>0</v>
      </c>
      <c r="K1921" s="6">
        <v>0</v>
      </c>
      <c r="L1921" s="6">
        <v>0.10100000000000001</v>
      </c>
      <c r="M1921" s="6">
        <v>0.10100000000000001</v>
      </c>
      <c r="N1921" s="6">
        <v>0.10100000000000001</v>
      </c>
      <c r="O1921" s="6">
        <v>0.10100000000000001</v>
      </c>
      <c r="P1921" s="6">
        <v>0</v>
      </c>
      <c r="Q1921" s="4" t="s">
        <v>26</v>
      </c>
      <c r="R1921" s="4">
        <v>0</v>
      </c>
      <c r="S1921" s="6">
        <v>0</v>
      </c>
      <c r="T1921" s="6">
        <v>55</v>
      </c>
      <c r="U1921" s="6">
        <v>98</v>
      </c>
      <c r="V1921" s="6">
        <f>IF(ISERROR(VLOOKUP($S$1921,'TAR FIN'!$A$1:$O$120,15,0)),0,VLOOKUP($S$1921,'TAR FIN'!$A$1:$O$120,15,0))</f>
        <v>0</v>
      </c>
      <c r="W1921" s="6">
        <f>IF(ISERROR(VLOOKUP($T$1921,'TAR FIN'!$A$1:$O$120,15,0)),0,VLOOKUP($T$1921,'TAR FIN'!$A$1:$O$120,15,0))</f>
        <v>419.53</v>
      </c>
      <c r="X1921" s="6">
        <f>IF(ISERROR(VLOOKUP($U$1921,'TAR FIN'!$A$1:$O$120,15,0)),0,VLOOKUP($U$1921,'TAR FIN'!$A$1:$O$120,15,0))</f>
        <v>327.45999999999998</v>
      </c>
      <c r="Y1921" s="6"/>
      <c r="Z1921" s="6">
        <f ca="1">('TUSD BE'!$AM$65+'TUSD BF'!$AM$65+'TUSD CVA'!$AM$65)*(1-CUSTOS!$M$38)</f>
        <v>513.19123360320418</v>
      </c>
      <c r="AA1921" s="6">
        <f>('TE BE'!$AA$29+'TE BF'!$AA$29+'TE CVA'!$AA$29)*(1-CUSTOS!$M$38)</f>
        <v>308.06727820334635</v>
      </c>
      <c r="AB1921" s="6">
        <f>$K$1921*$V$1921</f>
        <v>0</v>
      </c>
      <c r="AC1921" s="6">
        <f>$M$1921*$W$1921</f>
        <v>42.372529999999998</v>
      </c>
      <c r="AD1921" s="6">
        <f>$O$1921*$X$1921</f>
        <v>33.073459999999997</v>
      </c>
      <c r="AE1921" s="6">
        <f>$K$1921*$Y$1921</f>
        <v>0</v>
      </c>
      <c r="AF1921" s="6">
        <f ca="1">$M$1921*$Z$1921</f>
        <v>51.832314593923627</v>
      </c>
      <c r="AG1921" s="6">
        <f>$O$1921*$AA$1921</f>
        <v>31.114795098537982</v>
      </c>
    </row>
    <row r="1922" spans="1:33" ht="11.25" customHeight="1" x14ac:dyDescent="0.25">
      <c r="A1922" s="4" t="s">
        <v>21</v>
      </c>
      <c r="B1922" s="4" t="s">
        <v>46</v>
      </c>
      <c r="C1922" s="4" t="s">
        <v>23</v>
      </c>
      <c r="D1922" s="4" t="s">
        <v>47</v>
      </c>
      <c r="E1922" s="4" t="s">
        <v>55</v>
      </c>
      <c r="F1922" s="4" t="s">
        <v>56</v>
      </c>
      <c r="G1922" s="4" t="s">
        <v>25</v>
      </c>
      <c r="H1922" s="4" t="s">
        <v>25</v>
      </c>
      <c r="I1922" s="5">
        <v>43739</v>
      </c>
      <c r="J1922" s="6">
        <v>0</v>
      </c>
      <c r="K1922" s="6">
        <v>0</v>
      </c>
      <c r="L1922" s="6">
        <v>14.704000000000001</v>
      </c>
      <c r="M1922" s="6">
        <v>14.704000000000001</v>
      </c>
      <c r="N1922" s="6">
        <v>14.704000000000001</v>
      </c>
      <c r="O1922" s="6">
        <v>14.704000000000001</v>
      </c>
      <c r="P1922" s="6">
        <v>0</v>
      </c>
      <c r="Q1922" s="4" t="s">
        <v>26</v>
      </c>
      <c r="R1922" s="4">
        <v>0</v>
      </c>
      <c r="S1922" s="6">
        <v>0</v>
      </c>
      <c r="T1922" s="6">
        <v>58</v>
      </c>
      <c r="U1922" s="6">
        <v>101</v>
      </c>
      <c r="V1922" s="6">
        <f>IF(ISERROR(VLOOKUP($S$1922,'TAR FIN'!$A$1:$O$120,15,0)),0,VLOOKUP($S$1922,'TAR FIN'!$A$1:$O$120,15,0))</f>
        <v>0</v>
      </c>
      <c r="W1922" s="6">
        <f>IF(ISERROR(VLOOKUP($T$1922,'TAR FIN'!$A$1:$O$120,15,0)),0,VLOOKUP($T$1922,'TAR FIN'!$A$1:$O$120,15,0))</f>
        <v>187.79</v>
      </c>
      <c r="X1922" s="6">
        <f>IF(ISERROR(VLOOKUP($U$1922,'TAR FIN'!$A$1:$O$120,15,0)),0,VLOOKUP($U$1922,'TAR FIN'!$A$1:$O$120,15,0))</f>
        <v>205.9</v>
      </c>
      <c r="Y1922" s="6"/>
      <c r="Z1922" s="6">
        <f ca="1">('TUSD BE'!$AM$68+'TUSD BF'!$AM$68+'TUSD CVA'!$AM$68)*(1-CUSTOS!$M$38)</f>
        <v>222.93739154100084</v>
      </c>
      <c r="AA1922" s="6">
        <f>('TE BE'!$AA$32+'TE BF'!$AA$32+'TE CVA'!$AA$32)*(1-CUSTOS!$M$38)</f>
        <v>199.18265392296476</v>
      </c>
      <c r="AB1922" s="6">
        <f>$K$1922*$V$1922</f>
        <v>0</v>
      </c>
      <c r="AC1922" s="6">
        <f>$M$1922*$W$1922</f>
        <v>2761.2641600000002</v>
      </c>
      <c r="AD1922" s="6">
        <f>$O$1922*$X$1922</f>
        <v>3027.5536000000002</v>
      </c>
      <c r="AE1922" s="6">
        <f>$K$1922*$Y$1922</f>
        <v>0</v>
      </c>
      <c r="AF1922" s="6">
        <f ca="1">$M$1922*$Z$1922</f>
        <v>3278.0714052188764</v>
      </c>
      <c r="AG1922" s="6">
        <f>$O$1922*$AA$1922</f>
        <v>2928.781743283274</v>
      </c>
    </row>
    <row r="1923" spans="1:33" ht="11.25" customHeight="1" x14ac:dyDescent="0.25">
      <c r="A1923" s="4" t="s">
        <v>28</v>
      </c>
      <c r="B1923" s="4" t="s">
        <v>46</v>
      </c>
      <c r="C1923" s="4" t="s">
        <v>23</v>
      </c>
      <c r="D1923" s="4" t="s">
        <v>47</v>
      </c>
      <c r="E1923" s="4" t="s">
        <v>55</v>
      </c>
      <c r="F1923" s="4" t="s">
        <v>56</v>
      </c>
      <c r="G1923" s="4" t="s">
        <v>25</v>
      </c>
      <c r="H1923" s="4" t="s">
        <v>25</v>
      </c>
      <c r="I1923" s="5">
        <v>43739</v>
      </c>
      <c r="J1923" s="6">
        <v>0</v>
      </c>
      <c r="K1923" s="6">
        <v>0</v>
      </c>
      <c r="L1923" s="6">
        <v>4.7869999999999999</v>
      </c>
      <c r="M1923" s="6">
        <v>4.7869999999999999</v>
      </c>
      <c r="N1923" s="6">
        <v>4.7869999999999999</v>
      </c>
      <c r="O1923" s="6">
        <v>4.7869999999999999</v>
      </c>
      <c r="P1923" s="6">
        <v>0</v>
      </c>
      <c r="Q1923" s="4" t="s">
        <v>26</v>
      </c>
      <c r="R1923" s="4">
        <v>0</v>
      </c>
      <c r="S1923" s="6">
        <v>0</v>
      </c>
      <c r="T1923" s="6">
        <v>58</v>
      </c>
      <c r="U1923" s="6">
        <v>101</v>
      </c>
      <c r="V1923" s="6">
        <f>IF(ISERROR(VLOOKUP($S$1923,'TAR FIN'!$A$1:$O$120,15,0)),0,VLOOKUP($S$1923,'TAR FIN'!$A$1:$O$120,15,0))</f>
        <v>0</v>
      </c>
      <c r="W1923" s="6">
        <f>IF(ISERROR(VLOOKUP($T$1923,'TAR FIN'!$A$1:$O$120,15,0)),0,VLOOKUP($T$1923,'TAR FIN'!$A$1:$O$120,15,0))</f>
        <v>187.79</v>
      </c>
      <c r="X1923" s="6">
        <f>IF(ISERROR(VLOOKUP($U$1923,'TAR FIN'!$A$1:$O$120,15,0)),0,VLOOKUP($U$1923,'TAR FIN'!$A$1:$O$120,15,0))</f>
        <v>205.9</v>
      </c>
      <c r="Y1923" s="6"/>
      <c r="Z1923" s="6">
        <f ca="1">('TUSD BE'!$AM$68+'TUSD BF'!$AM$68+'TUSD CVA'!$AM$68)*(1-CUSTOS!$M$38)</f>
        <v>222.93739154100084</v>
      </c>
      <c r="AA1923" s="6">
        <f>('TE BE'!$AA$32+'TE BF'!$AA$32+'TE CVA'!$AA$32)*(1-CUSTOS!$M$38)</f>
        <v>199.18265392296476</v>
      </c>
      <c r="AB1923" s="6">
        <f>$K$1923*$V$1923</f>
        <v>0</v>
      </c>
      <c r="AC1923" s="6">
        <f>$M$1923*$W$1923</f>
        <v>898.95072999999991</v>
      </c>
      <c r="AD1923" s="6">
        <f>$O$1923*$X$1923</f>
        <v>985.64330000000007</v>
      </c>
      <c r="AE1923" s="6">
        <f>$K$1923*$Y$1923</f>
        <v>0</v>
      </c>
      <c r="AF1923" s="6">
        <f ca="1">$M$1923*$Z$1923</f>
        <v>1067.201293306771</v>
      </c>
      <c r="AG1923" s="6">
        <f>$O$1923*$AA$1923</f>
        <v>953.48736432923226</v>
      </c>
    </row>
    <row r="1924" spans="1:33" ht="11.25" customHeight="1" x14ac:dyDescent="0.25">
      <c r="A1924" s="4" t="s">
        <v>21</v>
      </c>
      <c r="B1924" s="4" t="s">
        <v>46</v>
      </c>
      <c r="C1924" s="4" t="s">
        <v>23</v>
      </c>
      <c r="D1924" s="4" t="s">
        <v>47</v>
      </c>
      <c r="E1924" s="4" t="s">
        <v>55</v>
      </c>
      <c r="F1924" s="4" t="s">
        <v>56</v>
      </c>
      <c r="G1924" s="4" t="s">
        <v>25</v>
      </c>
      <c r="H1924" s="4" t="s">
        <v>25</v>
      </c>
      <c r="I1924" s="5">
        <v>43770</v>
      </c>
      <c r="J1924" s="6">
        <v>0</v>
      </c>
      <c r="K1924" s="6">
        <v>0</v>
      </c>
      <c r="L1924" s="6">
        <v>42.212000000000003</v>
      </c>
      <c r="M1924" s="6">
        <v>42.212000000000003</v>
      </c>
      <c r="N1924" s="6">
        <v>42.212000000000003</v>
      </c>
      <c r="O1924" s="6">
        <v>42.212000000000003</v>
      </c>
      <c r="P1924" s="6">
        <v>0</v>
      </c>
      <c r="Q1924" s="4" t="s">
        <v>26</v>
      </c>
      <c r="R1924" s="4">
        <v>0</v>
      </c>
      <c r="S1924" s="6">
        <v>0</v>
      </c>
      <c r="T1924" s="6">
        <v>58</v>
      </c>
      <c r="U1924" s="6">
        <v>101</v>
      </c>
      <c r="V1924" s="6">
        <f>IF(ISERROR(VLOOKUP($S$1924,'TAR FIN'!$A$1:$O$120,15,0)),0,VLOOKUP($S$1924,'TAR FIN'!$A$1:$O$120,15,0))</f>
        <v>0</v>
      </c>
      <c r="W1924" s="6">
        <f>IF(ISERROR(VLOOKUP($T$1924,'TAR FIN'!$A$1:$O$120,15,0)),0,VLOOKUP($T$1924,'TAR FIN'!$A$1:$O$120,15,0))</f>
        <v>187.79</v>
      </c>
      <c r="X1924" s="6">
        <f>IF(ISERROR(VLOOKUP($U$1924,'TAR FIN'!$A$1:$O$120,15,0)),0,VLOOKUP($U$1924,'TAR FIN'!$A$1:$O$120,15,0))</f>
        <v>205.9</v>
      </c>
      <c r="Y1924" s="6"/>
      <c r="Z1924" s="6">
        <f ca="1">('TUSD BE'!$AM$68+'TUSD BF'!$AM$68+'TUSD CVA'!$AM$68)*(1-CUSTOS!$M$38)</f>
        <v>222.93739154100084</v>
      </c>
      <c r="AA1924" s="6">
        <f>('TE BE'!$AA$32+'TE BF'!$AA$32+'TE CVA'!$AA$32)*(1-CUSTOS!$M$38)</f>
        <v>199.18265392296476</v>
      </c>
      <c r="AB1924" s="6">
        <f>$K$1924*$V$1924</f>
        <v>0</v>
      </c>
      <c r="AC1924" s="6">
        <f>$M$1924*$W$1924</f>
        <v>7926.9914800000006</v>
      </c>
      <c r="AD1924" s="6">
        <f>$O$1924*$X$1924</f>
        <v>8691.4508000000005</v>
      </c>
      <c r="AE1924" s="6">
        <f>$K$1924*$Y$1924</f>
        <v>0</v>
      </c>
      <c r="AF1924" s="6">
        <f ca="1">$M$1924*$Z$1924</f>
        <v>9410.6331717287285</v>
      </c>
      <c r="AG1924" s="6">
        <f>$O$1924*$AA$1924</f>
        <v>8407.8981873961893</v>
      </c>
    </row>
    <row r="1925" spans="1:33" ht="11.25" customHeight="1" x14ac:dyDescent="0.25">
      <c r="A1925" s="4" t="s">
        <v>21</v>
      </c>
      <c r="B1925" s="4" t="s">
        <v>46</v>
      </c>
      <c r="C1925" s="4" t="s">
        <v>23</v>
      </c>
      <c r="D1925" s="4" t="s">
        <v>47</v>
      </c>
      <c r="E1925" s="4" t="s">
        <v>55</v>
      </c>
      <c r="F1925" s="4" t="s">
        <v>56</v>
      </c>
      <c r="G1925" s="4" t="s">
        <v>25</v>
      </c>
      <c r="H1925" s="4" t="s">
        <v>25</v>
      </c>
      <c r="I1925" s="5">
        <v>43800</v>
      </c>
      <c r="J1925" s="6">
        <v>0</v>
      </c>
      <c r="K1925" s="6">
        <v>0</v>
      </c>
      <c r="L1925" s="6">
        <v>6.9649999999999999</v>
      </c>
      <c r="M1925" s="6">
        <v>6.9649999999999999</v>
      </c>
      <c r="N1925" s="6">
        <v>6.9649999999999999</v>
      </c>
      <c r="O1925" s="6">
        <v>6.9649999999999999</v>
      </c>
      <c r="P1925" s="6">
        <v>0</v>
      </c>
      <c r="Q1925" s="4" t="s">
        <v>26</v>
      </c>
      <c r="R1925" s="4">
        <v>0</v>
      </c>
      <c r="S1925" s="6">
        <v>0</v>
      </c>
      <c r="T1925" s="6">
        <v>58</v>
      </c>
      <c r="U1925" s="6">
        <v>101</v>
      </c>
      <c r="V1925" s="6">
        <f>IF(ISERROR(VLOOKUP($S$1925,'TAR FIN'!$A$1:$O$120,15,0)),0,VLOOKUP($S$1925,'TAR FIN'!$A$1:$O$120,15,0))</f>
        <v>0</v>
      </c>
      <c r="W1925" s="6">
        <f>IF(ISERROR(VLOOKUP($T$1925,'TAR FIN'!$A$1:$O$120,15,0)),0,VLOOKUP($T$1925,'TAR FIN'!$A$1:$O$120,15,0))</f>
        <v>187.79</v>
      </c>
      <c r="X1925" s="6">
        <f>IF(ISERROR(VLOOKUP($U$1925,'TAR FIN'!$A$1:$O$120,15,0)),0,VLOOKUP($U$1925,'TAR FIN'!$A$1:$O$120,15,0))</f>
        <v>205.9</v>
      </c>
      <c r="Y1925" s="6"/>
      <c r="Z1925" s="6">
        <f ca="1">('TUSD BE'!$AM$68+'TUSD BF'!$AM$68+'TUSD CVA'!$AM$68)*(1-CUSTOS!$M$38)</f>
        <v>222.93739154100084</v>
      </c>
      <c r="AA1925" s="6">
        <f>('TE BE'!$AA$32+'TE BF'!$AA$32+'TE CVA'!$AA$32)*(1-CUSTOS!$M$38)</f>
        <v>199.18265392296476</v>
      </c>
      <c r="AB1925" s="6">
        <f>$K$1925*$V$1925</f>
        <v>0</v>
      </c>
      <c r="AC1925" s="6">
        <f>$M$1925*$W$1925</f>
        <v>1307.9573499999999</v>
      </c>
      <c r="AD1925" s="6">
        <f>$O$1925*$X$1925</f>
        <v>1434.0934999999999</v>
      </c>
      <c r="AE1925" s="6">
        <f>$K$1925*$Y$1925</f>
        <v>0</v>
      </c>
      <c r="AF1925" s="6">
        <f ca="1">$M$1925*$Z$1925</f>
        <v>1552.7589320830707</v>
      </c>
      <c r="AG1925" s="6">
        <f>$O$1925*$AA$1925</f>
        <v>1387.3071845734496</v>
      </c>
    </row>
    <row r="1926" spans="1:33" ht="11.25" customHeight="1" x14ac:dyDescent="0.25">
      <c r="A1926" s="4" t="s">
        <v>28</v>
      </c>
      <c r="B1926" s="4" t="s">
        <v>46</v>
      </c>
      <c r="C1926" s="4" t="s">
        <v>23</v>
      </c>
      <c r="D1926" s="4" t="s">
        <v>47</v>
      </c>
      <c r="E1926" s="4" t="s">
        <v>55</v>
      </c>
      <c r="F1926" s="4" t="s">
        <v>56</v>
      </c>
      <c r="G1926" s="4" t="s">
        <v>25</v>
      </c>
      <c r="H1926" s="4" t="s">
        <v>25</v>
      </c>
      <c r="I1926" s="5">
        <v>43800</v>
      </c>
      <c r="J1926" s="6">
        <v>0</v>
      </c>
      <c r="K1926" s="6">
        <v>0</v>
      </c>
      <c r="L1926" s="6">
        <v>0.20799999999999999</v>
      </c>
      <c r="M1926" s="6">
        <v>0.20799999999999999</v>
      </c>
      <c r="N1926" s="6">
        <v>0.20799999999999999</v>
      </c>
      <c r="O1926" s="6">
        <v>0.20799999999999999</v>
      </c>
      <c r="P1926" s="6">
        <v>0</v>
      </c>
      <c r="Q1926" s="4" t="s">
        <v>26</v>
      </c>
      <c r="R1926" s="4">
        <v>0</v>
      </c>
      <c r="S1926" s="6">
        <v>0</v>
      </c>
      <c r="T1926" s="6">
        <v>58</v>
      </c>
      <c r="U1926" s="6">
        <v>101</v>
      </c>
      <c r="V1926" s="6">
        <f>IF(ISERROR(VLOOKUP($S$1926,'TAR FIN'!$A$1:$O$120,15,0)),0,VLOOKUP($S$1926,'TAR FIN'!$A$1:$O$120,15,0))</f>
        <v>0</v>
      </c>
      <c r="W1926" s="6">
        <f>IF(ISERROR(VLOOKUP($T$1926,'TAR FIN'!$A$1:$O$120,15,0)),0,VLOOKUP($T$1926,'TAR FIN'!$A$1:$O$120,15,0))</f>
        <v>187.79</v>
      </c>
      <c r="X1926" s="6">
        <f>IF(ISERROR(VLOOKUP($U$1926,'TAR FIN'!$A$1:$O$120,15,0)),0,VLOOKUP($U$1926,'TAR FIN'!$A$1:$O$120,15,0))</f>
        <v>205.9</v>
      </c>
      <c r="Y1926" s="6"/>
      <c r="Z1926" s="6">
        <f ca="1">('TUSD BE'!$AM$68+'TUSD BF'!$AM$68+'TUSD CVA'!$AM$68)*(1-CUSTOS!$M$38)</f>
        <v>222.93739154100084</v>
      </c>
      <c r="AA1926" s="6">
        <f>('TE BE'!$AA$32+'TE BF'!$AA$32+'TE CVA'!$AA$32)*(1-CUSTOS!$M$38)</f>
        <v>199.18265392296476</v>
      </c>
      <c r="AB1926" s="6">
        <f>$K$1926*$V$1926</f>
        <v>0</v>
      </c>
      <c r="AC1926" s="6">
        <f>$M$1926*$W$1926</f>
        <v>39.060319999999997</v>
      </c>
      <c r="AD1926" s="6">
        <f>$O$1926*$X$1926</f>
        <v>42.827199999999998</v>
      </c>
      <c r="AE1926" s="6">
        <f>$K$1926*$Y$1926</f>
        <v>0</v>
      </c>
      <c r="AF1926" s="6">
        <f ca="1">$M$1926*$Z$1926</f>
        <v>46.370977440528172</v>
      </c>
      <c r="AG1926" s="6">
        <f>$O$1926*$AA$1926</f>
        <v>41.429992015976666</v>
      </c>
    </row>
    <row r="1927" spans="1:33" ht="11.25" customHeight="1" x14ac:dyDescent="0.25">
      <c r="A1927" s="4" t="s">
        <v>21</v>
      </c>
      <c r="B1927" s="4" t="s">
        <v>46</v>
      </c>
      <c r="C1927" s="4" t="s">
        <v>23</v>
      </c>
      <c r="D1927" s="4" t="s">
        <v>47</v>
      </c>
      <c r="E1927" s="4" t="s">
        <v>55</v>
      </c>
      <c r="F1927" s="4" t="s">
        <v>56</v>
      </c>
      <c r="G1927" s="4" t="s">
        <v>25</v>
      </c>
      <c r="H1927" s="4" t="s">
        <v>25</v>
      </c>
      <c r="I1927" s="5">
        <v>43831</v>
      </c>
      <c r="J1927" s="6">
        <v>0</v>
      </c>
      <c r="K1927" s="6">
        <v>0</v>
      </c>
      <c r="L1927" s="6">
        <v>11.85</v>
      </c>
      <c r="M1927" s="6">
        <v>11.85</v>
      </c>
      <c r="N1927" s="6">
        <v>11.85</v>
      </c>
      <c r="O1927" s="6">
        <v>11.85</v>
      </c>
      <c r="P1927" s="6">
        <v>0</v>
      </c>
      <c r="Q1927" s="4" t="s">
        <v>26</v>
      </c>
      <c r="R1927" s="4">
        <v>0</v>
      </c>
      <c r="S1927" s="6">
        <v>0</v>
      </c>
      <c r="T1927" s="6">
        <v>58</v>
      </c>
      <c r="U1927" s="6">
        <v>101</v>
      </c>
      <c r="V1927" s="6">
        <f>IF(ISERROR(VLOOKUP($S$1927,'TAR FIN'!$A$1:$O$120,15,0)),0,VLOOKUP($S$1927,'TAR FIN'!$A$1:$O$120,15,0))</f>
        <v>0</v>
      </c>
      <c r="W1927" s="6">
        <f>IF(ISERROR(VLOOKUP($T$1927,'TAR FIN'!$A$1:$O$120,15,0)),0,VLOOKUP($T$1927,'TAR FIN'!$A$1:$O$120,15,0))</f>
        <v>187.79</v>
      </c>
      <c r="X1927" s="6">
        <f>IF(ISERROR(VLOOKUP($U$1927,'TAR FIN'!$A$1:$O$120,15,0)),0,VLOOKUP($U$1927,'TAR FIN'!$A$1:$O$120,15,0))</f>
        <v>205.9</v>
      </c>
      <c r="Y1927" s="6"/>
      <c r="Z1927" s="6">
        <f ca="1">('TUSD BE'!$AM$68+'TUSD BF'!$AM$68+'TUSD CVA'!$AM$68)*(1-CUSTOS!$M$38)</f>
        <v>222.93739154100084</v>
      </c>
      <c r="AA1927" s="6">
        <f>('TE BE'!$AA$32+'TE BF'!$AA$32+'TE CVA'!$AA$32)*(1-CUSTOS!$M$38)</f>
        <v>199.18265392296476</v>
      </c>
      <c r="AB1927" s="6">
        <f>$K$1927*$V$1927</f>
        <v>0</v>
      </c>
      <c r="AC1927" s="6">
        <f>$M$1927*$W$1927</f>
        <v>2225.3114999999998</v>
      </c>
      <c r="AD1927" s="6">
        <f>$O$1927*$X$1927</f>
        <v>2439.915</v>
      </c>
      <c r="AE1927" s="6">
        <f>$K$1927*$Y$1927</f>
        <v>0</v>
      </c>
      <c r="AF1927" s="6">
        <f ca="1">$M$1927*$Z$1927</f>
        <v>2641.8080897608597</v>
      </c>
      <c r="AG1927" s="6">
        <f>$O$1927*$AA$1927</f>
        <v>2360.3144489871324</v>
      </c>
    </row>
    <row r="1928" spans="1:33" ht="11.25" customHeight="1" x14ac:dyDescent="0.25">
      <c r="A1928" s="4" t="s">
        <v>28</v>
      </c>
      <c r="B1928" s="4" t="s">
        <v>46</v>
      </c>
      <c r="C1928" s="4" t="s">
        <v>23</v>
      </c>
      <c r="D1928" s="4" t="s">
        <v>47</v>
      </c>
      <c r="E1928" s="4" t="s">
        <v>55</v>
      </c>
      <c r="F1928" s="4" t="s">
        <v>56</v>
      </c>
      <c r="G1928" s="4" t="s">
        <v>25</v>
      </c>
      <c r="H1928" s="4" t="s">
        <v>25</v>
      </c>
      <c r="I1928" s="5">
        <v>43831</v>
      </c>
      <c r="J1928" s="6">
        <v>0</v>
      </c>
      <c r="K1928" s="6">
        <v>0</v>
      </c>
      <c r="L1928" s="6">
        <v>0.1</v>
      </c>
      <c r="M1928" s="6">
        <v>0.1</v>
      </c>
      <c r="N1928" s="6">
        <v>0.1</v>
      </c>
      <c r="O1928" s="6">
        <v>0.1</v>
      </c>
      <c r="P1928" s="6">
        <v>0</v>
      </c>
      <c r="Q1928" s="4" t="s">
        <v>26</v>
      </c>
      <c r="R1928" s="4">
        <v>0</v>
      </c>
      <c r="S1928" s="6">
        <v>0</v>
      </c>
      <c r="T1928" s="6">
        <v>58</v>
      </c>
      <c r="U1928" s="6">
        <v>101</v>
      </c>
      <c r="V1928" s="6">
        <f>IF(ISERROR(VLOOKUP($S$1928,'TAR FIN'!$A$1:$O$120,15,0)),0,VLOOKUP($S$1928,'TAR FIN'!$A$1:$O$120,15,0))</f>
        <v>0</v>
      </c>
      <c r="W1928" s="6">
        <f>IF(ISERROR(VLOOKUP($T$1928,'TAR FIN'!$A$1:$O$120,15,0)),0,VLOOKUP($T$1928,'TAR FIN'!$A$1:$O$120,15,0))</f>
        <v>187.79</v>
      </c>
      <c r="X1928" s="6">
        <f>IF(ISERROR(VLOOKUP($U$1928,'TAR FIN'!$A$1:$O$120,15,0)),0,VLOOKUP($U$1928,'TAR FIN'!$A$1:$O$120,15,0))</f>
        <v>205.9</v>
      </c>
      <c r="Y1928" s="6"/>
      <c r="Z1928" s="6">
        <f ca="1">('TUSD BE'!$AM$68+'TUSD BF'!$AM$68+'TUSD CVA'!$AM$68)*(1-CUSTOS!$M$38)</f>
        <v>222.93739154100084</v>
      </c>
      <c r="AA1928" s="6">
        <f>('TE BE'!$AA$32+'TE BF'!$AA$32+'TE CVA'!$AA$32)*(1-CUSTOS!$M$38)</f>
        <v>199.18265392296476</v>
      </c>
      <c r="AB1928" s="6">
        <f>$K$1928*$V$1928</f>
        <v>0</v>
      </c>
      <c r="AC1928" s="6">
        <f>$M$1928*$W$1928</f>
        <v>18.779</v>
      </c>
      <c r="AD1928" s="6">
        <f>$O$1928*$X$1928</f>
        <v>20.590000000000003</v>
      </c>
      <c r="AE1928" s="6">
        <f>$K$1928*$Y$1928</f>
        <v>0</v>
      </c>
      <c r="AF1928" s="6">
        <f ca="1">$M$1928*$Z$1928</f>
        <v>22.293739154100084</v>
      </c>
      <c r="AG1928" s="6">
        <f>$O$1928*$AA$1928</f>
        <v>19.918265392296476</v>
      </c>
    </row>
    <row r="1929" spans="1:33" ht="11.25" customHeight="1" x14ac:dyDescent="0.25">
      <c r="A1929" s="4" t="s">
        <v>21</v>
      </c>
      <c r="B1929" s="4" t="s">
        <v>46</v>
      </c>
      <c r="C1929" s="4" t="s">
        <v>23</v>
      </c>
      <c r="D1929" s="4" t="s">
        <v>47</v>
      </c>
      <c r="E1929" s="4" t="s">
        <v>55</v>
      </c>
      <c r="F1929" s="4" t="s">
        <v>56</v>
      </c>
      <c r="G1929" s="4" t="s">
        <v>25</v>
      </c>
      <c r="H1929" s="4" t="s">
        <v>25</v>
      </c>
      <c r="I1929" s="5">
        <v>43862</v>
      </c>
      <c r="J1929" s="6">
        <v>0</v>
      </c>
      <c r="K1929" s="6">
        <v>0</v>
      </c>
      <c r="L1929" s="6">
        <v>6.2640000000000002</v>
      </c>
      <c r="M1929" s="6">
        <v>6.2640000000000002</v>
      </c>
      <c r="N1929" s="6">
        <v>6.2640000000000002</v>
      </c>
      <c r="O1929" s="6">
        <v>6.2640000000000002</v>
      </c>
      <c r="P1929" s="6">
        <v>0</v>
      </c>
      <c r="Q1929" s="4" t="s">
        <v>26</v>
      </c>
      <c r="R1929" s="4">
        <v>0</v>
      </c>
      <c r="S1929" s="6">
        <v>0</v>
      </c>
      <c r="T1929" s="6">
        <v>58</v>
      </c>
      <c r="U1929" s="6">
        <v>101</v>
      </c>
      <c r="V1929" s="6">
        <f>IF(ISERROR(VLOOKUP($S$1929,'TAR FIN'!$A$1:$O$120,15,0)),0,VLOOKUP($S$1929,'TAR FIN'!$A$1:$O$120,15,0))</f>
        <v>0</v>
      </c>
      <c r="W1929" s="6">
        <f>IF(ISERROR(VLOOKUP($T$1929,'TAR FIN'!$A$1:$O$120,15,0)),0,VLOOKUP($T$1929,'TAR FIN'!$A$1:$O$120,15,0))</f>
        <v>187.79</v>
      </c>
      <c r="X1929" s="6">
        <f>IF(ISERROR(VLOOKUP($U$1929,'TAR FIN'!$A$1:$O$120,15,0)),0,VLOOKUP($U$1929,'TAR FIN'!$A$1:$O$120,15,0))</f>
        <v>205.9</v>
      </c>
      <c r="Y1929" s="6"/>
      <c r="Z1929" s="6">
        <f ca="1">('TUSD BE'!$AM$68+'TUSD BF'!$AM$68+'TUSD CVA'!$AM$68)*(1-CUSTOS!$M$38)</f>
        <v>222.93739154100084</v>
      </c>
      <c r="AA1929" s="6">
        <f>('TE BE'!$AA$32+'TE BF'!$AA$32+'TE CVA'!$AA$32)*(1-CUSTOS!$M$38)</f>
        <v>199.18265392296476</v>
      </c>
      <c r="AB1929" s="6">
        <f>$K$1929*$V$1929</f>
        <v>0</v>
      </c>
      <c r="AC1929" s="6">
        <f>$M$1929*$W$1929</f>
        <v>1176.31656</v>
      </c>
      <c r="AD1929" s="6">
        <f>$O$1929*$X$1929</f>
        <v>1289.7576000000001</v>
      </c>
      <c r="AE1929" s="6">
        <f>$K$1929*$Y$1929</f>
        <v>0</v>
      </c>
      <c r="AF1929" s="6">
        <f ca="1">$M$1929*$Z$1929</f>
        <v>1396.4798206128294</v>
      </c>
      <c r="AG1929" s="6">
        <f>$O$1929*$AA$1929</f>
        <v>1247.6801441734513</v>
      </c>
    </row>
    <row r="1930" spans="1:33" ht="11.25" customHeight="1" x14ac:dyDescent="0.25">
      <c r="A1930" s="4" t="s">
        <v>28</v>
      </c>
      <c r="B1930" s="4" t="s">
        <v>46</v>
      </c>
      <c r="C1930" s="4" t="s">
        <v>23</v>
      </c>
      <c r="D1930" s="4" t="s">
        <v>47</v>
      </c>
      <c r="E1930" s="4" t="s">
        <v>55</v>
      </c>
      <c r="F1930" s="4" t="s">
        <v>56</v>
      </c>
      <c r="G1930" s="4" t="s">
        <v>25</v>
      </c>
      <c r="H1930" s="4" t="s">
        <v>25</v>
      </c>
      <c r="I1930" s="5">
        <v>43862</v>
      </c>
      <c r="J1930" s="6">
        <v>0</v>
      </c>
      <c r="K1930" s="6">
        <v>0</v>
      </c>
      <c r="L1930" s="6">
        <v>0.1</v>
      </c>
      <c r="M1930" s="6">
        <v>0.1</v>
      </c>
      <c r="N1930" s="6">
        <v>0.1</v>
      </c>
      <c r="O1930" s="6">
        <v>0.1</v>
      </c>
      <c r="P1930" s="6">
        <v>0</v>
      </c>
      <c r="Q1930" s="4" t="s">
        <v>26</v>
      </c>
      <c r="R1930" s="4">
        <v>0</v>
      </c>
      <c r="S1930" s="6">
        <v>0</v>
      </c>
      <c r="T1930" s="6">
        <v>58</v>
      </c>
      <c r="U1930" s="6">
        <v>101</v>
      </c>
      <c r="V1930" s="6">
        <f>IF(ISERROR(VLOOKUP($S$1930,'TAR FIN'!$A$1:$O$120,15,0)),0,VLOOKUP($S$1930,'TAR FIN'!$A$1:$O$120,15,0))</f>
        <v>0</v>
      </c>
      <c r="W1930" s="6">
        <f>IF(ISERROR(VLOOKUP($T$1930,'TAR FIN'!$A$1:$O$120,15,0)),0,VLOOKUP($T$1930,'TAR FIN'!$A$1:$O$120,15,0))</f>
        <v>187.79</v>
      </c>
      <c r="X1930" s="6">
        <f>IF(ISERROR(VLOOKUP($U$1930,'TAR FIN'!$A$1:$O$120,15,0)),0,VLOOKUP($U$1930,'TAR FIN'!$A$1:$O$120,15,0))</f>
        <v>205.9</v>
      </c>
      <c r="Y1930" s="6"/>
      <c r="Z1930" s="6">
        <f ca="1">('TUSD BE'!$AM$68+'TUSD BF'!$AM$68+'TUSD CVA'!$AM$68)*(1-CUSTOS!$M$38)</f>
        <v>222.93739154100084</v>
      </c>
      <c r="AA1930" s="6">
        <f>('TE BE'!$AA$32+'TE BF'!$AA$32+'TE CVA'!$AA$32)*(1-CUSTOS!$M$38)</f>
        <v>199.18265392296476</v>
      </c>
      <c r="AB1930" s="6">
        <f>$K$1930*$V$1930</f>
        <v>0</v>
      </c>
      <c r="AC1930" s="6">
        <f>$M$1930*$W$1930</f>
        <v>18.779</v>
      </c>
      <c r="AD1930" s="6">
        <f>$O$1930*$X$1930</f>
        <v>20.590000000000003</v>
      </c>
      <c r="AE1930" s="6">
        <f>$K$1930*$Y$1930</f>
        <v>0</v>
      </c>
      <c r="AF1930" s="6">
        <f ca="1">$M$1930*$Z$1930</f>
        <v>22.293739154100084</v>
      </c>
      <c r="AG1930" s="6">
        <f>$O$1930*$AA$1930</f>
        <v>19.918265392296476</v>
      </c>
    </row>
    <row r="1931" spans="1:33" ht="11.25" customHeight="1" x14ac:dyDescent="0.25">
      <c r="A1931" s="4" t="s">
        <v>21</v>
      </c>
      <c r="B1931" s="4" t="s">
        <v>46</v>
      </c>
      <c r="C1931" s="4" t="s">
        <v>23</v>
      </c>
      <c r="D1931" s="4" t="s">
        <v>47</v>
      </c>
      <c r="E1931" s="4" t="s">
        <v>55</v>
      </c>
      <c r="F1931" s="4" t="s">
        <v>56</v>
      </c>
      <c r="G1931" s="4" t="s">
        <v>25</v>
      </c>
      <c r="H1931" s="4" t="s">
        <v>25</v>
      </c>
      <c r="I1931" s="5">
        <v>43891</v>
      </c>
      <c r="J1931" s="6">
        <v>0</v>
      </c>
      <c r="K1931" s="6">
        <v>0</v>
      </c>
      <c r="L1931" s="6">
        <v>5.016</v>
      </c>
      <c r="M1931" s="6">
        <v>5.016</v>
      </c>
      <c r="N1931" s="6">
        <v>5.016</v>
      </c>
      <c r="O1931" s="6">
        <v>5.016</v>
      </c>
      <c r="P1931" s="6">
        <v>0</v>
      </c>
      <c r="Q1931" s="4" t="s">
        <v>26</v>
      </c>
      <c r="R1931" s="4">
        <v>0</v>
      </c>
      <c r="S1931" s="6">
        <v>0</v>
      </c>
      <c r="T1931" s="6">
        <v>58</v>
      </c>
      <c r="U1931" s="6">
        <v>101</v>
      </c>
      <c r="V1931" s="6">
        <f>IF(ISERROR(VLOOKUP($S$1931,'TAR FIN'!$A$1:$O$120,15,0)),0,VLOOKUP($S$1931,'TAR FIN'!$A$1:$O$120,15,0))</f>
        <v>0</v>
      </c>
      <c r="W1931" s="6">
        <f>IF(ISERROR(VLOOKUP($T$1931,'TAR FIN'!$A$1:$O$120,15,0)),0,VLOOKUP($T$1931,'TAR FIN'!$A$1:$O$120,15,0))</f>
        <v>187.79</v>
      </c>
      <c r="X1931" s="6">
        <f>IF(ISERROR(VLOOKUP($U$1931,'TAR FIN'!$A$1:$O$120,15,0)),0,VLOOKUP($U$1931,'TAR FIN'!$A$1:$O$120,15,0))</f>
        <v>205.9</v>
      </c>
      <c r="Y1931" s="6"/>
      <c r="Z1931" s="6">
        <f ca="1">('TUSD BE'!$AM$68+'TUSD BF'!$AM$68+'TUSD CVA'!$AM$68)*(1-CUSTOS!$M$38)</f>
        <v>222.93739154100084</v>
      </c>
      <c r="AA1931" s="6">
        <f>('TE BE'!$AA$32+'TE BF'!$AA$32+'TE CVA'!$AA$32)*(1-CUSTOS!$M$38)</f>
        <v>199.18265392296476</v>
      </c>
      <c r="AB1931" s="6">
        <f>$K$1931*$V$1931</f>
        <v>0</v>
      </c>
      <c r="AC1931" s="6">
        <f>$M$1931*$W$1931</f>
        <v>941.95463999999993</v>
      </c>
      <c r="AD1931" s="6">
        <f>$O$1931*$X$1931</f>
        <v>1032.7944</v>
      </c>
      <c r="AE1931" s="6">
        <f>$K$1931*$Y$1931</f>
        <v>0</v>
      </c>
      <c r="AF1931" s="6">
        <f ca="1">$M$1931*$Z$1931</f>
        <v>1118.2539559696602</v>
      </c>
      <c r="AG1931" s="6">
        <f>$O$1931*$AA$1931</f>
        <v>999.10019207759126</v>
      </c>
    </row>
    <row r="1932" spans="1:33" ht="11.25" customHeight="1" x14ac:dyDescent="0.25">
      <c r="A1932" s="4" t="s">
        <v>28</v>
      </c>
      <c r="B1932" s="4" t="s">
        <v>46</v>
      </c>
      <c r="C1932" s="4" t="s">
        <v>23</v>
      </c>
      <c r="D1932" s="4" t="s">
        <v>47</v>
      </c>
      <c r="E1932" s="4" t="s">
        <v>55</v>
      </c>
      <c r="F1932" s="4" t="s">
        <v>56</v>
      </c>
      <c r="G1932" s="4" t="s">
        <v>25</v>
      </c>
      <c r="H1932" s="4" t="s">
        <v>25</v>
      </c>
      <c r="I1932" s="5">
        <v>43891</v>
      </c>
      <c r="J1932" s="6">
        <v>0</v>
      </c>
      <c r="K1932" s="6">
        <v>0</v>
      </c>
      <c r="L1932" s="6">
        <v>0.1</v>
      </c>
      <c r="M1932" s="6">
        <v>0.1</v>
      </c>
      <c r="N1932" s="6">
        <v>0.1</v>
      </c>
      <c r="O1932" s="6">
        <v>0.1</v>
      </c>
      <c r="P1932" s="6">
        <v>0</v>
      </c>
      <c r="Q1932" s="4" t="s">
        <v>26</v>
      </c>
      <c r="R1932" s="4">
        <v>0</v>
      </c>
      <c r="S1932" s="6">
        <v>0</v>
      </c>
      <c r="T1932" s="6">
        <v>58</v>
      </c>
      <c r="U1932" s="6">
        <v>101</v>
      </c>
      <c r="V1932" s="6">
        <f>IF(ISERROR(VLOOKUP($S$1932,'TAR FIN'!$A$1:$O$120,15,0)),0,VLOOKUP($S$1932,'TAR FIN'!$A$1:$O$120,15,0))</f>
        <v>0</v>
      </c>
      <c r="W1932" s="6">
        <f>IF(ISERROR(VLOOKUP($T$1932,'TAR FIN'!$A$1:$O$120,15,0)),0,VLOOKUP($T$1932,'TAR FIN'!$A$1:$O$120,15,0))</f>
        <v>187.79</v>
      </c>
      <c r="X1932" s="6">
        <f>IF(ISERROR(VLOOKUP($U$1932,'TAR FIN'!$A$1:$O$120,15,0)),0,VLOOKUP($U$1932,'TAR FIN'!$A$1:$O$120,15,0))</f>
        <v>205.9</v>
      </c>
      <c r="Y1932" s="6"/>
      <c r="Z1932" s="6">
        <f ca="1">('TUSD BE'!$AM$68+'TUSD BF'!$AM$68+'TUSD CVA'!$AM$68)*(1-CUSTOS!$M$38)</f>
        <v>222.93739154100084</v>
      </c>
      <c r="AA1932" s="6">
        <f>('TE BE'!$AA$32+'TE BF'!$AA$32+'TE CVA'!$AA$32)*(1-CUSTOS!$M$38)</f>
        <v>199.18265392296476</v>
      </c>
      <c r="AB1932" s="6">
        <f>$K$1932*$V$1932</f>
        <v>0</v>
      </c>
      <c r="AC1932" s="6">
        <f>$M$1932*$W$1932</f>
        <v>18.779</v>
      </c>
      <c r="AD1932" s="6">
        <f>$O$1932*$X$1932</f>
        <v>20.590000000000003</v>
      </c>
      <c r="AE1932" s="6">
        <f>$K$1932*$Y$1932</f>
        <v>0</v>
      </c>
      <c r="AF1932" s="6">
        <f ca="1">$M$1932*$Z$1932</f>
        <v>22.293739154100084</v>
      </c>
      <c r="AG1932" s="6">
        <f>$O$1932*$AA$1932</f>
        <v>19.918265392296476</v>
      </c>
    </row>
    <row r="1933" spans="1:33" ht="11.25" customHeight="1" x14ac:dyDescent="0.25">
      <c r="A1933" s="4" t="s">
        <v>21</v>
      </c>
      <c r="B1933" s="4" t="s">
        <v>46</v>
      </c>
      <c r="C1933" s="4" t="s">
        <v>23</v>
      </c>
      <c r="D1933" s="4" t="s">
        <v>47</v>
      </c>
      <c r="E1933" s="4" t="s">
        <v>55</v>
      </c>
      <c r="F1933" s="4" t="s">
        <v>56</v>
      </c>
      <c r="G1933" s="4" t="s">
        <v>25</v>
      </c>
      <c r="H1933" s="4" t="s">
        <v>25</v>
      </c>
      <c r="I1933" s="5">
        <v>43922</v>
      </c>
      <c r="J1933" s="6">
        <v>0</v>
      </c>
      <c r="K1933" s="6">
        <v>0</v>
      </c>
      <c r="L1933" s="6">
        <v>5.5380000000000003</v>
      </c>
      <c r="M1933" s="6">
        <v>5.5380000000000003</v>
      </c>
      <c r="N1933" s="6">
        <v>5.5380000000000003</v>
      </c>
      <c r="O1933" s="6">
        <v>5.5380000000000003</v>
      </c>
      <c r="P1933" s="6">
        <v>0</v>
      </c>
      <c r="Q1933" s="4" t="s">
        <v>26</v>
      </c>
      <c r="R1933" s="4">
        <v>0</v>
      </c>
      <c r="S1933" s="6">
        <v>0</v>
      </c>
      <c r="T1933" s="6">
        <v>58</v>
      </c>
      <c r="U1933" s="6">
        <v>101</v>
      </c>
      <c r="V1933" s="6">
        <f>IF(ISERROR(VLOOKUP($S$1933,'TAR FIN'!$A$1:$O$120,15,0)),0,VLOOKUP($S$1933,'TAR FIN'!$A$1:$O$120,15,0))</f>
        <v>0</v>
      </c>
      <c r="W1933" s="6">
        <f>IF(ISERROR(VLOOKUP($T$1933,'TAR FIN'!$A$1:$O$120,15,0)),0,VLOOKUP($T$1933,'TAR FIN'!$A$1:$O$120,15,0))</f>
        <v>187.79</v>
      </c>
      <c r="X1933" s="6">
        <f>IF(ISERROR(VLOOKUP($U$1933,'TAR FIN'!$A$1:$O$120,15,0)),0,VLOOKUP($U$1933,'TAR FIN'!$A$1:$O$120,15,0))</f>
        <v>205.9</v>
      </c>
      <c r="Y1933" s="6"/>
      <c r="Z1933" s="6">
        <f ca="1">('TUSD BE'!$AM$68+'TUSD BF'!$AM$68+'TUSD CVA'!$AM$68)*(1-CUSTOS!$M$38)</f>
        <v>222.93739154100084</v>
      </c>
      <c r="AA1933" s="6">
        <f>('TE BE'!$AA$32+'TE BF'!$AA$32+'TE CVA'!$AA$32)*(1-CUSTOS!$M$38)</f>
        <v>199.18265392296476</v>
      </c>
      <c r="AB1933" s="6">
        <f>$K$1933*$V$1933</f>
        <v>0</v>
      </c>
      <c r="AC1933" s="6">
        <f>$M$1933*$W$1933</f>
        <v>1039.9810199999999</v>
      </c>
      <c r="AD1933" s="6">
        <f>$O$1933*$X$1933</f>
        <v>1140.2742000000001</v>
      </c>
      <c r="AE1933" s="6">
        <f>$K$1933*$Y$1933</f>
        <v>0</v>
      </c>
      <c r="AF1933" s="6">
        <f ca="1">$M$1933*$Z$1933</f>
        <v>1234.6272743540626</v>
      </c>
      <c r="AG1933" s="6">
        <f>$O$1933*$AA$1933</f>
        <v>1103.0735374253788</v>
      </c>
    </row>
    <row r="1934" spans="1:33" ht="11.25" customHeight="1" x14ac:dyDescent="0.25">
      <c r="A1934" s="4" t="s">
        <v>28</v>
      </c>
      <c r="B1934" s="4" t="s">
        <v>46</v>
      </c>
      <c r="C1934" s="4" t="s">
        <v>23</v>
      </c>
      <c r="D1934" s="4" t="s">
        <v>47</v>
      </c>
      <c r="E1934" s="4" t="s">
        <v>55</v>
      </c>
      <c r="F1934" s="4" t="s">
        <v>56</v>
      </c>
      <c r="G1934" s="4" t="s">
        <v>25</v>
      </c>
      <c r="H1934" s="4" t="s">
        <v>25</v>
      </c>
      <c r="I1934" s="5">
        <v>43922</v>
      </c>
      <c r="J1934" s="6">
        <v>0</v>
      </c>
      <c r="K1934" s="6">
        <v>0</v>
      </c>
      <c r="L1934" s="6">
        <v>0.1</v>
      </c>
      <c r="M1934" s="6">
        <v>0.1</v>
      </c>
      <c r="N1934" s="6">
        <v>0.1</v>
      </c>
      <c r="O1934" s="6">
        <v>0.1</v>
      </c>
      <c r="P1934" s="6">
        <v>0</v>
      </c>
      <c r="Q1934" s="4" t="s">
        <v>26</v>
      </c>
      <c r="R1934" s="4">
        <v>0</v>
      </c>
      <c r="S1934" s="6">
        <v>0</v>
      </c>
      <c r="T1934" s="6">
        <v>58</v>
      </c>
      <c r="U1934" s="6">
        <v>101</v>
      </c>
      <c r="V1934" s="6">
        <f>IF(ISERROR(VLOOKUP($S$1934,'TAR FIN'!$A$1:$O$120,15,0)),0,VLOOKUP($S$1934,'TAR FIN'!$A$1:$O$120,15,0))</f>
        <v>0</v>
      </c>
      <c r="W1934" s="6">
        <f>IF(ISERROR(VLOOKUP($T$1934,'TAR FIN'!$A$1:$O$120,15,0)),0,VLOOKUP($T$1934,'TAR FIN'!$A$1:$O$120,15,0))</f>
        <v>187.79</v>
      </c>
      <c r="X1934" s="6">
        <f>IF(ISERROR(VLOOKUP($U$1934,'TAR FIN'!$A$1:$O$120,15,0)),0,VLOOKUP($U$1934,'TAR FIN'!$A$1:$O$120,15,0))</f>
        <v>205.9</v>
      </c>
      <c r="Y1934" s="6"/>
      <c r="Z1934" s="6">
        <f ca="1">('TUSD BE'!$AM$68+'TUSD BF'!$AM$68+'TUSD CVA'!$AM$68)*(1-CUSTOS!$M$38)</f>
        <v>222.93739154100084</v>
      </c>
      <c r="AA1934" s="6">
        <f>('TE BE'!$AA$32+'TE BF'!$AA$32+'TE CVA'!$AA$32)*(1-CUSTOS!$M$38)</f>
        <v>199.18265392296476</v>
      </c>
      <c r="AB1934" s="6">
        <f>$K$1934*$V$1934</f>
        <v>0</v>
      </c>
      <c r="AC1934" s="6">
        <f>$M$1934*$W$1934</f>
        <v>18.779</v>
      </c>
      <c r="AD1934" s="6">
        <f>$O$1934*$X$1934</f>
        <v>20.590000000000003</v>
      </c>
      <c r="AE1934" s="6">
        <f>$K$1934*$Y$1934</f>
        <v>0</v>
      </c>
      <c r="AF1934" s="6">
        <f ca="1">$M$1934*$Z$1934</f>
        <v>22.293739154100084</v>
      </c>
      <c r="AG1934" s="6">
        <f>$O$1934*$AA$1934</f>
        <v>19.918265392296476</v>
      </c>
    </row>
    <row r="1935" spans="1:33" ht="11.25" customHeight="1" x14ac:dyDescent="0.25">
      <c r="A1935" s="4" t="s">
        <v>21</v>
      </c>
      <c r="B1935" s="4" t="s">
        <v>46</v>
      </c>
      <c r="C1935" s="4" t="s">
        <v>23</v>
      </c>
      <c r="D1935" s="4" t="s">
        <v>47</v>
      </c>
      <c r="E1935" s="4" t="s">
        <v>55</v>
      </c>
      <c r="F1935" s="4" t="s">
        <v>56</v>
      </c>
      <c r="G1935" s="4" t="s">
        <v>25</v>
      </c>
      <c r="H1935" s="4" t="s">
        <v>25</v>
      </c>
      <c r="I1935" s="5">
        <v>43952</v>
      </c>
      <c r="J1935" s="6">
        <v>0</v>
      </c>
      <c r="K1935" s="6">
        <v>0</v>
      </c>
      <c r="L1935" s="6">
        <v>6.0789999999999997</v>
      </c>
      <c r="M1935" s="6">
        <v>6.0789999999999997</v>
      </c>
      <c r="N1935" s="6">
        <v>6.0789999999999997</v>
      </c>
      <c r="O1935" s="6">
        <v>6.0789999999999997</v>
      </c>
      <c r="P1935" s="6">
        <v>0</v>
      </c>
      <c r="Q1935" s="4" t="s">
        <v>26</v>
      </c>
      <c r="R1935" s="4">
        <v>0</v>
      </c>
      <c r="S1935" s="6">
        <v>0</v>
      </c>
      <c r="T1935" s="6">
        <v>58</v>
      </c>
      <c r="U1935" s="6">
        <v>101</v>
      </c>
      <c r="V1935" s="6">
        <f>IF(ISERROR(VLOOKUP($S$1935,'TAR FIN'!$A$1:$O$120,15,0)),0,VLOOKUP($S$1935,'TAR FIN'!$A$1:$O$120,15,0))</f>
        <v>0</v>
      </c>
      <c r="W1935" s="6">
        <f>IF(ISERROR(VLOOKUP($T$1935,'TAR FIN'!$A$1:$O$120,15,0)),0,VLOOKUP($T$1935,'TAR FIN'!$A$1:$O$120,15,0))</f>
        <v>187.79</v>
      </c>
      <c r="X1935" s="6">
        <f>IF(ISERROR(VLOOKUP($U$1935,'TAR FIN'!$A$1:$O$120,15,0)),0,VLOOKUP($U$1935,'TAR FIN'!$A$1:$O$120,15,0))</f>
        <v>205.9</v>
      </c>
      <c r="Y1935" s="6"/>
      <c r="Z1935" s="6">
        <f ca="1">('TUSD BE'!$AM$68+'TUSD BF'!$AM$68+'TUSD CVA'!$AM$68)*(1-CUSTOS!$M$38)</f>
        <v>222.93739154100084</v>
      </c>
      <c r="AA1935" s="6">
        <f>('TE BE'!$AA$32+'TE BF'!$AA$32+'TE CVA'!$AA$32)*(1-CUSTOS!$M$38)</f>
        <v>199.18265392296476</v>
      </c>
      <c r="AB1935" s="6">
        <f>$K$1935*$V$1935</f>
        <v>0</v>
      </c>
      <c r="AC1935" s="6">
        <f>$M$1935*$W$1935</f>
        <v>1141.5754099999999</v>
      </c>
      <c r="AD1935" s="6">
        <f>$O$1935*$X$1935</f>
        <v>1251.6660999999999</v>
      </c>
      <c r="AE1935" s="6">
        <f>$K$1935*$Y$1935</f>
        <v>0</v>
      </c>
      <c r="AF1935" s="6">
        <f ca="1">$M$1935*$Z$1935</f>
        <v>1355.236403177744</v>
      </c>
      <c r="AG1935" s="6">
        <f>$O$1935*$AA$1935</f>
        <v>1210.8313531977028</v>
      </c>
    </row>
    <row r="1936" spans="1:33" ht="11.25" customHeight="1" x14ac:dyDescent="0.25">
      <c r="A1936" s="4" t="s">
        <v>28</v>
      </c>
      <c r="B1936" s="4" t="s">
        <v>46</v>
      </c>
      <c r="C1936" s="4" t="s">
        <v>23</v>
      </c>
      <c r="D1936" s="4" t="s">
        <v>47</v>
      </c>
      <c r="E1936" s="4" t="s">
        <v>55</v>
      </c>
      <c r="F1936" s="4" t="s">
        <v>56</v>
      </c>
      <c r="G1936" s="4" t="s">
        <v>25</v>
      </c>
      <c r="H1936" s="4" t="s">
        <v>25</v>
      </c>
      <c r="I1936" s="5">
        <v>43952</v>
      </c>
      <c r="J1936" s="6">
        <v>0</v>
      </c>
      <c r="K1936" s="6">
        <v>0</v>
      </c>
      <c r="L1936" s="6">
        <v>0.1</v>
      </c>
      <c r="M1936" s="6">
        <v>0.1</v>
      </c>
      <c r="N1936" s="6">
        <v>0.1</v>
      </c>
      <c r="O1936" s="6">
        <v>0.1</v>
      </c>
      <c r="P1936" s="6">
        <v>0</v>
      </c>
      <c r="Q1936" s="4" t="s">
        <v>26</v>
      </c>
      <c r="R1936" s="4">
        <v>0</v>
      </c>
      <c r="S1936" s="6">
        <v>0</v>
      </c>
      <c r="T1936" s="6">
        <v>58</v>
      </c>
      <c r="U1936" s="6">
        <v>101</v>
      </c>
      <c r="V1936" s="6">
        <f>IF(ISERROR(VLOOKUP($S$1936,'TAR FIN'!$A$1:$O$120,15,0)),0,VLOOKUP($S$1936,'TAR FIN'!$A$1:$O$120,15,0))</f>
        <v>0</v>
      </c>
      <c r="W1936" s="6">
        <f>IF(ISERROR(VLOOKUP($T$1936,'TAR FIN'!$A$1:$O$120,15,0)),0,VLOOKUP($T$1936,'TAR FIN'!$A$1:$O$120,15,0))</f>
        <v>187.79</v>
      </c>
      <c r="X1936" s="6">
        <f>IF(ISERROR(VLOOKUP($U$1936,'TAR FIN'!$A$1:$O$120,15,0)),0,VLOOKUP($U$1936,'TAR FIN'!$A$1:$O$120,15,0))</f>
        <v>205.9</v>
      </c>
      <c r="Y1936" s="6"/>
      <c r="Z1936" s="6">
        <f ca="1">('TUSD BE'!$AM$68+'TUSD BF'!$AM$68+'TUSD CVA'!$AM$68)*(1-CUSTOS!$M$38)</f>
        <v>222.93739154100084</v>
      </c>
      <c r="AA1936" s="6">
        <f>('TE BE'!$AA$32+'TE BF'!$AA$32+'TE CVA'!$AA$32)*(1-CUSTOS!$M$38)</f>
        <v>199.18265392296476</v>
      </c>
      <c r="AB1936" s="6">
        <f>$K$1936*$V$1936</f>
        <v>0</v>
      </c>
      <c r="AC1936" s="6">
        <f>$M$1936*$W$1936</f>
        <v>18.779</v>
      </c>
      <c r="AD1936" s="6">
        <f>$O$1936*$X$1936</f>
        <v>20.590000000000003</v>
      </c>
      <c r="AE1936" s="6">
        <f>$K$1936*$Y$1936</f>
        <v>0</v>
      </c>
      <c r="AF1936" s="6">
        <f ca="1">$M$1936*$Z$1936</f>
        <v>22.293739154100084</v>
      </c>
      <c r="AG1936" s="6">
        <f>$O$1936*$AA$1936</f>
        <v>19.918265392296476</v>
      </c>
    </row>
    <row r="1937" spans="1:33" ht="11.25" customHeight="1" x14ac:dyDescent="0.25">
      <c r="A1937" s="4" t="s">
        <v>21</v>
      </c>
      <c r="B1937" s="4" t="s">
        <v>46</v>
      </c>
      <c r="C1937" s="4" t="s">
        <v>23</v>
      </c>
      <c r="D1937" s="4" t="s">
        <v>47</v>
      </c>
      <c r="E1937" s="4" t="s">
        <v>55</v>
      </c>
      <c r="F1937" s="4" t="s">
        <v>56</v>
      </c>
      <c r="G1937" s="4" t="s">
        <v>25</v>
      </c>
      <c r="H1937" s="4" t="s">
        <v>25</v>
      </c>
      <c r="I1937" s="5">
        <v>43983</v>
      </c>
      <c r="J1937" s="6">
        <v>0</v>
      </c>
      <c r="K1937" s="6">
        <v>0</v>
      </c>
      <c r="L1937" s="6">
        <v>9.0909999999999993</v>
      </c>
      <c r="M1937" s="6">
        <v>9.0909999999999993</v>
      </c>
      <c r="N1937" s="6">
        <v>9.0909999999999993</v>
      </c>
      <c r="O1937" s="6">
        <v>9.0909999999999993</v>
      </c>
      <c r="P1937" s="6">
        <v>0</v>
      </c>
      <c r="Q1937" s="4" t="s">
        <v>26</v>
      </c>
      <c r="R1937" s="4">
        <v>0</v>
      </c>
      <c r="S1937" s="6">
        <v>0</v>
      </c>
      <c r="T1937" s="6">
        <v>58</v>
      </c>
      <c r="U1937" s="6">
        <v>101</v>
      </c>
      <c r="V1937" s="6">
        <f>IF(ISERROR(VLOOKUP($S$1937,'TAR FIN'!$A$1:$O$120,15,0)),0,VLOOKUP($S$1937,'TAR FIN'!$A$1:$O$120,15,0))</f>
        <v>0</v>
      </c>
      <c r="W1937" s="6">
        <f>IF(ISERROR(VLOOKUP($T$1937,'TAR FIN'!$A$1:$O$120,15,0)),0,VLOOKUP($T$1937,'TAR FIN'!$A$1:$O$120,15,0))</f>
        <v>187.79</v>
      </c>
      <c r="X1937" s="6">
        <f>IF(ISERROR(VLOOKUP($U$1937,'TAR FIN'!$A$1:$O$120,15,0)),0,VLOOKUP($U$1937,'TAR FIN'!$A$1:$O$120,15,0))</f>
        <v>205.9</v>
      </c>
      <c r="Y1937" s="6"/>
      <c r="Z1937" s="6">
        <f ca="1">('TUSD BE'!$AM$68+'TUSD BF'!$AM$68+'TUSD CVA'!$AM$68)*(1-CUSTOS!$M$38)</f>
        <v>222.93739154100084</v>
      </c>
      <c r="AA1937" s="6">
        <f>('TE BE'!$AA$32+'TE BF'!$AA$32+'TE CVA'!$AA$32)*(1-CUSTOS!$M$38)</f>
        <v>199.18265392296476</v>
      </c>
      <c r="AB1937" s="6">
        <f>$K$1937*$V$1937</f>
        <v>0</v>
      </c>
      <c r="AC1937" s="6">
        <f>$M$1937*$W$1937</f>
        <v>1707.1988899999999</v>
      </c>
      <c r="AD1937" s="6">
        <f>$O$1937*$X$1937</f>
        <v>1871.8369</v>
      </c>
      <c r="AE1937" s="6">
        <f>$K$1937*$Y$1937</f>
        <v>0</v>
      </c>
      <c r="AF1937" s="6">
        <f ca="1">$M$1937*$Z$1937</f>
        <v>2026.7238264992384</v>
      </c>
      <c r="AG1937" s="6">
        <f>$O$1937*$AA$1937</f>
        <v>1810.7695068136725</v>
      </c>
    </row>
    <row r="1938" spans="1:33" ht="11.25" customHeight="1" x14ac:dyDescent="0.25">
      <c r="A1938" s="4" t="s">
        <v>28</v>
      </c>
      <c r="B1938" s="4" t="s">
        <v>46</v>
      </c>
      <c r="C1938" s="4" t="s">
        <v>23</v>
      </c>
      <c r="D1938" s="4" t="s">
        <v>47</v>
      </c>
      <c r="E1938" s="4" t="s">
        <v>55</v>
      </c>
      <c r="F1938" s="4" t="s">
        <v>56</v>
      </c>
      <c r="G1938" s="4" t="s">
        <v>25</v>
      </c>
      <c r="H1938" s="4" t="s">
        <v>25</v>
      </c>
      <c r="I1938" s="5">
        <v>43983</v>
      </c>
      <c r="J1938" s="6">
        <v>0</v>
      </c>
      <c r="K1938" s="6">
        <v>0</v>
      </c>
      <c r="L1938" s="6">
        <v>1.075</v>
      </c>
      <c r="M1938" s="6">
        <v>1.075</v>
      </c>
      <c r="N1938" s="6">
        <v>1.075</v>
      </c>
      <c r="O1938" s="6">
        <v>1.075</v>
      </c>
      <c r="P1938" s="6">
        <v>0</v>
      </c>
      <c r="Q1938" s="4" t="s">
        <v>26</v>
      </c>
      <c r="R1938" s="4">
        <v>0</v>
      </c>
      <c r="S1938" s="6">
        <v>0</v>
      </c>
      <c r="T1938" s="6">
        <v>58</v>
      </c>
      <c r="U1938" s="6">
        <v>101</v>
      </c>
      <c r="V1938" s="6">
        <f>IF(ISERROR(VLOOKUP($S$1938,'TAR FIN'!$A$1:$O$120,15,0)),0,VLOOKUP($S$1938,'TAR FIN'!$A$1:$O$120,15,0))</f>
        <v>0</v>
      </c>
      <c r="W1938" s="6">
        <f>IF(ISERROR(VLOOKUP($T$1938,'TAR FIN'!$A$1:$O$120,15,0)),0,VLOOKUP($T$1938,'TAR FIN'!$A$1:$O$120,15,0))</f>
        <v>187.79</v>
      </c>
      <c r="X1938" s="6">
        <f>IF(ISERROR(VLOOKUP($U$1938,'TAR FIN'!$A$1:$O$120,15,0)),0,VLOOKUP($U$1938,'TAR FIN'!$A$1:$O$120,15,0))</f>
        <v>205.9</v>
      </c>
      <c r="Y1938" s="6"/>
      <c r="Z1938" s="6">
        <f ca="1">('TUSD BE'!$AM$68+'TUSD BF'!$AM$68+'TUSD CVA'!$AM$68)*(1-CUSTOS!$M$38)</f>
        <v>222.93739154100084</v>
      </c>
      <c r="AA1938" s="6">
        <f>('TE BE'!$AA$32+'TE BF'!$AA$32+'TE CVA'!$AA$32)*(1-CUSTOS!$M$38)</f>
        <v>199.18265392296476</v>
      </c>
      <c r="AB1938" s="6">
        <f>$K$1938*$V$1938</f>
        <v>0</v>
      </c>
      <c r="AC1938" s="6">
        <f>$M$1938*$W$1938</f>
        <v>201.87424999999999</v>
      </c>
      <c r="AD1938" s="6">
        <f>$O$1938*$X$1938</f>
        <v>221.3425</v>
      </c>
      <c r="AE1938" s="6">
        <f>$K$1938*$Y$1938</f>
        <v>0</v>
      </c>
      <c r="AF1938" s="6">
        <f ca="1">$M$1938*$Z$1938</f>
        <v>239.6576959065759</v>
      </c>
      <c r="AG1938" s="6">
        <f>$O$1938*$AA$1938</f>
        <v>214.12135296718711</v>
      </c>
    </row>
    <row r="1939" spans="1:33" ht="11.25" customHeight="1" x14ac:dyDescent="0.25">
      <c r="A1939" s="4" t="s">
        <v>21</v>
      </c>
      <c r="B1939" s="4" t="s">
        <v>46</v>
      </c>
      <c r="C1939" s="4" t="s">
        <v>23</v>
      </c>
      <c r="D1939" s="4" t="s">
        <v>47</v>
      </c>
      <c r="E1939" s="4" t="s">
        <v>55</v>
      </c>
      <c r="F1939" s="4" t="s">
        <v>56</v>
      </c>
      <c r="G1939" s="4" t="s">
        <v>25</v>
      </c>
      <c r="H1939" s="4" t="s">
        <v>25</v>
      </c>
      <c r="I1939" s="5">
        <v>44013</v>
      </c>
      <c r="J1939" s="6">
        <v>0</v>
      </c>
      <c r="K1939" s="6">
        <v>0</v>
      </c>
      <c r="L1939" s="6">
        <v>10.349</v>
      </c>
      <c r="M1939" s="6">
        <v>10.349</v>
      </c>
      <c r="N1939" s="6">
        <v>10.349</v>
      </c>
      <c r="O1939" s="6">
        <v>10.349</v>
      </c>
      <c r="P1939" s="6">
        <v>0</v>
      </c>
      <c r="Q1939" s="4" t="s">
        <v>26</v>
      </c>
      <c r="R1939" s="4">
        <v>0</v>
      </c>
      <c r="S1939" s="6">
        <v>0</v>
      </c>
      <c r="T1939" s="6">
        <v>58</v>
      </c>
      <c r="U1939" s="6">
        <v>101</v>
      </c>
      <c r="V1939" s="6">
        <f>IF(ISERROR(VLOOKUP($S$1939,'TAR FIN'!$A$1:$O$120,15,0)),0,VLOOKUP($S$1939,'TAR FIN'!$A$1:$O$120,15,0))</f>
        <v>0</v>
      </c>
      <c r="W1939" s="6">
        <f>IF(ISERROR(VLOOKUP($T$1939,'TAR FIN'!$A$1:$O$120,15,0)),0,VLOOKUP($T$1939,'TAR FIN'!$A$1:$O$120,15,0))</f>
        <v>187.79</v>
      </c>
      <c r="X1939" s="6">
        <f>IF(ISERROR(VLOOKUP($U$1939,'TAR FIN'!$A$1:$O$120,15,0)),0,VLOOKUP($U$1939,'TAR FIN'!$A$1:$O$120,15,0))</f>
        <v>205.9</v>
      </c>
      <c r="Y1939" s="6"/>
      <c r="Z1939" s="6">
        <f ca="1">('TUSD BE'!$AM$68+'TUSD BF'!$AM$68+'TUSD CVA'!$AM$68)*(1-CUSTOS!$M$38)</f>
        <v>222.93739154100084</v>
      </c>
      <c r="AA1939" s="6">
        <f>('TE BE'!$AA$32+'TE BF'!$AA$32+'TE CVA'!$AA$32)*(1-CUSTOS!$M$38)</f>
        <v>199.18265392296476</v>
      </c>
      <c r="AB1939" s="6">
        <f>$K$1939*$V$1939</f>
        <v>0</v>
      </c>
      <c r="AC1939" s="6">
        <f>$M$1939*$W$1939</f>
        <v>1943.4387099999999</v>
      </c>
      <c r="AD1939" s="6">
        <f>$O$1939*$X$1939</f>
        <v>2130.8591000000001</v>
      </c>
      <c r="AE1939" s="6">
        <f>$K$1939*$Y$1939</f>
        <v>0</v>
      </c>
      <c r="AF1939" s="6">
        <f ca="1">$M$1939*$Z$1939</f>
        <v>2307.1790650578178</v>
      </c>
      <c r="AG1939" s="6">
        <f>$O$1939*$AA$1939</f>
        <v>2061.3412854487624</v>
      </c>
    </row>
    <row r="1940" spans="1:33" ht="11.25" customHeight="1" x14ac:dyDescent="0.25">
      <c r="A1940" s="4" t="s">
        <v>28</v>
      </c>
      <c r="B1940" s="4" t="s">
        <v>46</v>
      </c>
      <c r="C1940" s="4" t="s">
        <v>23</v>
      </c>
      <c r="D1940" s="4" t="s">
        <v>47</v>
      </c>
      <c r="E1940" s="4" t="s">
        <v>55</v>
      </c>
      <c r="F1940" s="4" t="s">
        <v>56</v>
      </c>
      <c r="G1940" s="4" t="s">
        <v>25</v>
      </c>
      <c r="H1940" s="4" t="s">
        <v>25</v>
      </c>
      <c r="I1940" s="5">
        <v>44013</v>
      </c>
      <c r="J1940" s="6">
        <v>0</v>
      </c>
      <c r="K1940" s="6">
        <v>0</v>
      </c>
      <c r="L1940" s="6">
        <v>0.1</v>
      </c>
      <c r="M1940" s="6">
        <v>0.1</v>
      </c>
      <c r="N1940" s="6">
        <v>0.1</v>
      </c>
      <c r="O1940" s="6">
        <v>0.1</v>
      </c>
      <c r="P1940" s="6">
        <v>0</v>
      </c>
      <c r="Q1940" s="4" t="s">
        <v>26</v>
      </c>
      <c r="R1940" s="4">
        <v>0</v>
      </c>
      <c r="S1940" s="6">
        <v>0</v>
      </c>
      <c r="T1940" s="6">
        <v>58</v>
      </c>
      <c r="U1940" s="6">
        <v>101</v>
      </c>
      <c r="V1940" s="6">
        <f>IF(ISERROR(VLOOKUP($S$1940,'TAR FIN'!$A$1:$O$120,15,0)),0,VLOOKUP($S$1940,'TAR FIN'!$A$1:$O$120,15,0))</f>
        <v>0</v>
      </c>
      <c r="W1940" s="6">
        <f>IF(ISERROR(VLOOKUP($T$1940,'TAR FIN'!$A$1:$O$120,15,0)),0,VLOOKUP($T$1940,'TAR FIN'!$A$1:$O$120,15,0))</f>
        <v>187.79</v>
      </c>
      <c r="X1940" s="6">
        <f>IF(ISERROR(VLOOKUP($U$1940,'TAR FIN'!$A$1:$O$120,15,0)),0,VLOOKUP($U$1940,'TAR FIN'!$A$1:$O$120,15,0))</f>
        <v>205.9</v>
      </c>
      <c r="Y1940" s="6"/>
      <c r="Z1940" s="6">
        <f ca="1">('TUSD BE'!$AM$68+'TUSD BF'!$AM$68+'TUSD CVA'!$AM$68)*(1-CUSTOS!$M$38)</f>
        <v>222.93739154100084</v>
      </c>
      <c r="AA1940" s="6">
        <f>('TE BE'!$AA$32+'TE BF'!$AA$32+'TE CVA'!$AA$32)*(1-CUSTOS!$M$38)</f>
        <v>199.18265392296476</v>
      </c>
      <c r="AB1940" s="6">
        <f>$K$1940*$V$1940</f>
        <v>0</v>
      </c>
      <c r="AC1940" s="6">
        <f>$M$1940*$W$1940</f>
        <v>18.779</v>
      </c>
      <c r="AD1940" s="6">
        <f>$O$1940*$X$1940</f>
        <v>20.590000000000003</v>
      </c>
      <c r="AE1940" s="6">
        <f>$K$1940*$Y$1940</f>
        <v>0</v>
      </c>
      <c r="AF1940" s="6">
        <f ca="1">$M$1940*$Z$1940</f>
        <v>22.293739154100084</v>
      </c>
      <c r="AG1940" s="6">
        <f>$O$1940*$AA$1940</f>
        <v>19.918265392296476</v>
      </c>
    </row>
    <row r="1941" spans="1:33" ht="11.25" customHeight="1" x14ac:dyDescent="0.25">
      <c r="A1941" s="4" t="s">
        <v>21</v>
      </c>
      <c r="B1941" s="4" t="s">
        <v>46</v>
      </c>
      <c r="C1941" s="4" t="s">
        <v>23</v>
      </c>
      <c r="D1941" s="4" t="s">
        <v>47</v>
      </c>
      <c r="E1941" s="4" t="s">
        <v>55</v>
      </c>
      <c r="F1941" s="4" t="s">
        <v>56</v>
      </c>
      <c r="G1941" s="4" t="s">
        <v>25</v>
      </c>
      <c r="H1941" s="4" t="s">
        <v>25</v>
      </c>
      <c r="I1941" s="5">
        <v>44044</v>
      </c>
      <c r="J1941" s="6">
        <v>0</v>
      </c>
      <c r="K1941" s="6">
        <v>0</v>
      </c>
      <c r="L1941" s="6">
        <v>19.2</v>
      </c>
      <c r="M1941" s="6">
        <v>19.2</v>
      </c>
      <c r="N1941" s="6">
        <v>19.2</v>
      </c>
      <c r="O1941" s="6">
        <v>19.2</v>
      </c>
      <c r="P1941" s="6">
        <v>0</v>
      </c>
      <c r="Q1941" s="4" t="s">
        <v>26</v>
      </c>
      <c r="R1941" s="4">
        <v>0</v>
      </c>
      <c r="S1941" s="6">
        <v>0</v>
      </c>
      <c r="T1941" s="6">
        <v>58</v>
      </c>
      <c r="U1941" s="6">
        <v>101</v>
      </c>
      <c r="V1941" s="6">
        <f>IF(ISERROR(VLOOKUP($S$1941,'TAR FIN'!$A$1:$O$120,15,0)),0,VLOOKUP($S$1941,'TAR FIN'!$A$1:$O$120,15,0))</f>
        <v>0</v>
      </c>
      <c r="W1941" s="6">
        <f>IF(ISERROR(VLOOKUP($T$1941,'TAR FIN'!$A$1:$O$120,15,0)),0,VLOOKUP($T$1941,'TAR FIN'!$A$1:$O$120,15,0))</f>
        <v>187.79</v>
      </c>
      <c r="X1941" s="6">
        <f>IF(ISERROR(VLOOKUP($U$1941,'TAR FIN'!$A$1:$O$120,15,0)),0,VLOOKUP($U$1941,'TAR FIN'!$A$1:$O$120,15,0))</f>
        <v>205.9</v>
      </c>
      <c r="Y1941" s="6"/>
      <c r="Z1941" s="6">
        <f ca="1">('TUSD BE'!$AM$68+'TUSD BF'!$AM$68+'TUSD CVA'!$AM$68)*(1-CUSTOS!$M$38)</f>
        <v>222.93739154100084</v>
      </c>
      <c r="AA1941" s="6">
        <f>('TE BE'!$AA$32+'TE BF'!$AA$32+'TE CVA'!$AA$32)*(1-CUSTOS!$M$38)</f>
        <v>199.18265392296476</v>
      </c>
      <c r="AB1941" s="6">
        <f>$K$1941*$V$1941</f>
        <v>0</v>
      </c>
      <c r="AC1941" s="6">
        <f>$M$1941*$W$1941</f>
        <v>3605.5679999999998</v>
      </c>
      <c r="AD1941" s="6">
        <f>$O$1941*$X$1941</f>
        <v>3953.2799999999997</v>
      </c>
      <c r="AE1941" s="6">
        <f>$K$1941*$Y$1941</f>
        <v>0</v>
      </c>
      <c r="AF1941" s="6">
        <f ca="1">$M$1941*$Z$1941</f>
        <v>4280.3979175872155</v>
      </c>
      <c r="AG1941" s="6">
        <f>$O$1941*$AA$1941</f>
        <v>3824.3069553209234</v>
      </c>
    </row>
    <row r="1942" spans="1:33" ht="11.25" customHeight="1" x14ac:dyDescent="0.25">
      <c r="A1942" s="4" t="s">
        <v>28</v>
      </c>
      <c r="B1942" s="4" t="s">
        <v>46</v>
      </c>
      <c r="C1942" s="4" t="s">
        <v>23</v>
      </c>
      <c r="D1942" s="4" t="s">
        <v>47</v>
      </c>
      <c r="E1942" s="4" t="s">
        <v>55</v>
      </c>
      <c r="F1942" s="4" t="s">
        <v>56</v>
      </c>
      <c r="G1942" s="4" t="s">
        <v>25</v>
      </c>
      <c r="H1942" s="4" t="s">
        <v>25</v>
      </c>
      <c r="I1942" s="5">
        <v>44044</v>
      </c>
      <c r="J1942" s="6">
        <v>0</v>
      </c>
      <c r="K1942" s="6">
        <v>0</v>
      </c>
      <c r="L1942" s="6">
        <v>0.1</v>
      </c>
      <c r="M1942" s="6">
        <v>0.1</v>
      </c>
      <c r="N1942" s="6">
        <v>0.1</v>
      </c>
      <c r="O1942" s="6">
        <v>0.1</v>
      </c>
      <c r="P1942" s="6">
        <v>0</v>
      </c>
      <c r="Q1942" s="4" t="s">
        <v>26</v>
      </c>
      <c r="R1942" s="4">
        <v>0</v>
      </c>
      <c r="S1942" s="6">
        <v>0</v>
      </c>
      <c r="T1942" s="6">
        <v>58</v>
      </c>
      <c r="U1942" s="6">
        <v>101</v>
      </c>
      <c r="V1942" s="6">
        <f>IF(ISERROR(VLOOKUP($S$1942,'TAR FIN'!$A$1:$O$120,15,0)),0,VLOOKUP($S$1942,'TAR FIN'!$A$1:$O$120,15,0))</f>
        <v>0</v>
      </c>
      <c r="W1942" s="6">
        <f>IF(ISERROR(VLOOKUP($T$1942,'TAR FIN'!$A$1:$O$120,15,0)),0,VLOOKUP($T$1942,'TAR FIN'!$A$1:$O$120,15,0))</f>
        <v>187.79</v>
      </c>
      <c r="X1942" s="6">
        <f>IF(ISERROR(VLOOKUP($U$1942,'TAR FIN'!$A$1:$O$120,15,0)),0,VLOOKUP($U$1942,'TAR FIN'!$A$1:$O$120,15,0))</f>
        <v>205.9</v>
      </c>
      <c r="Y1942" s="6"/>
      <c r="Z1942" s="6">
        <f ca="1">('TUSD BE'!$AM$68+'TUSD BF'!$AM$68+'TUSD CVA'!$AM$68)*(1-CUSTOS!$M$38)</f>
        <v>222.93739154100084</v>
      </c>
      <c r="AA1942" s="6">
        <f>('TE BE'!$AA$32+'TE BF'!$AA$32+'TE CVA'!$AA$32)*(1-CUSTOS!$M$38)</f>
        <v>199.18265392296476</v>
      </c>
      <c r="AB1942" s="6">
        <f>$K$1942*$V$1942</f>
        <v>0</v>
      </c>
      <c r="AC1942" s="6">
        <f>$M$1942*$W$1942</f>
        <v>18.779</v>
      </c>
      <c r="AD1942" s="6">
        <f>$O$1942*$X$1942</f>
        <v>20.590000000000003</v>
      </c>
      <c r="AE1942" s="6">
        <f>$K$1942*$Y$1942</f>
        <v>0</v>
      </c>
      <c r="AF1942" s="6">
        <f ca="1">$M$1942*$Z$1942</f>
        <v>22.293739154100084</v>
      </c>
      <c r="AG1942" s="6">
        <f>$O$1942*$AA$1942</f>
        <v>19.918265392296476</v>
      </c>
    </row>
    <row r="1943" spans="1:33" ht="11.25" customHeight="1" x14ac:dyDescent="0.25">
      <c r="A1943" s="4" t="s">
        <v>59</v>
      </c>
      <c r="B1943" s="4" t="s">
        <v>46</v>
      </c>
      <c r="C1943" s="4" t="s">
        <v>23</v>
      </c>
      <c r="D1943" s="4" t="s">
        <v>47</v>
      </c>
      <c r="E1943" s="4" t="s">
        <v>55</v>
      </c>
      <c r="F1943" s="4" t="s">
        <v>56</v>
      </c>
      <c r="G1943" s="4" t="s">
        <v>25</v>
      </c>
      <c r="H1943" s="4" t="s">
        <v>25</v>
      </c>
      <c r="I1943" s="5">
        <v>44075</v>
      </c>
      <c r="J1943" s="6">
        <v>0</v>
      </c>
      <c r="K1943" s="6">
        <v>0</v>
      </c>
      <c r="L1943" s="6">
        <v>19.2</v>
      </c>
      <c r="M1943" s="6">
        <v>19.2</v>
      </c>
      <c r="N1943" s="6">
        <v>19.2</v>
      </c>
      <c r="O1943" s="6">
        <v>19.2</v>
      </c>
      <c r="P1943" s="6">
        <v>0</v>
      </c>
      <c r="Q1943" s="4" t="s">
        <v>26</v>
      </c>
      <c r="R1943" s="4">
        <v>0</v>
      </c>
      <c r="S1943" s="6">
        <v>0</v>
      </c>
      <c r="T1943" s="6">
        <v>58</v>
      </c>
      <c r="U1943" s="6">
        <v>101</v>
      </c>
      <c r="V1943" s="6">
        <f>IF(ISERROR(VLOOKUP($S$1943,'TAR FIN'!$A$1:$O$120,15,0)),0,VLOOKUP($S$1943,'TAR FIN'!$A$1:$O$120,15,0))</f>
        <v>0</v>
      </c>
      <c r="W1943" s="6">
        <f>IF(ISERROR(VLOOKUP($T$1943,'TAR FIN'!$A$1:$O$120,15,0)),0,VLOOKUP($T$1943,'TAR FIN'!$A$1:$O$120,15,0))</f>
        <v>187.79</v>
      </c>
      <c r="X1943" s="6">
        <f>IF(ISERROR(VLOOKUP($U$1943,'TAR FIN'!$A$1:$O$120,15,0)),0,VLOOKUP($U$1943,'TAR FIN'!$A$1:$O$120,15,0))</f>
        <v>205.9</v>
      </c>
      <c r="Y1943" s="6"/>
      <c r="Z1943" s="6">
        <f ca="1">('TUSD BE'!$AM$68+'TUSD BF'!$AM$68+'TUSD CVA'!$AM$68)*(1-CUSTOS!$M$38)</f>
        <v>222.93739154100084</v>
      </c>
      <c r="AA1943" s="6">
        <f>('TE BE'!$AA$32+'TE BF'!$AA$32+'TE CVA'!$AA$32)*(1-CUSTOS!$M$38)</f>
        <v>199.18265392296476</v>
      </c>
      <c r="AB1943" s="6">
        <f>$K$1943*$V$1943</f>
        <v>0</v>
      </c>
      <c r="AC1943" s="6">
        <f>$M$1943*$W$1943</f>
        <v>3605.5679999999998</v>
      </c>
      <c r="AD1943" s="6">
        <f>$O$1943*$X$1943</f>
        <v>3953.2799999999997</v>
      </c>
      <c r="AE1943" s="6">
        <f>$K$1943*$Y$1943</f>
        <v>0</v>
      </c>
      <c r="AF1943" s="6">
        <f ca="1">$M$1943*$Z$1943</f>
        <v>4280.3979175872155</v>
      </c>
      <c r="AG1943" s="6">
        <f>$O$1943*$AA$1943</f>
        <v>3824.3069553209234</v>
      </c>
    </row>
    <row r="1944" spans="1:33" ht="11.25" customHeight="1" x14ac:dyDescent="0.25">
      <c r="A1944" s="4" t="s">
        <v>59</v>
      </c>
      <c r="B1944" s="4" t="s">
        <v>46</v>
      </c>
      <c r="C1944" s="4" t="s">
        <v>23</v>
      </c>
      <c r="D1944" s="4" t="s">
        <v>47</v>
      </c>
      <c r="E1944" s="4" t="s">
        <v>55</v>
      </c>
      <c r="F1944" s="4" t="s">
        <v>56</v>
      </c>
      <c r="G1944" s="4" t="s">
        <v>25</v>
      </c>
      <c r="H1944" s="4" t="s">
        <v>25</v>
      </c>
      <c r="I1944" s="5">
        <v>44075</v>
      </c>
      <c r="J1944" s="6">
        <v>0</v>
      </c>
      <c r="K1944" s="6">
        <v>0</v>
      </c>
      <c r="L1944" s="6">
        <v>0.1</v>
      </c>
      <c r="M1944" s="6">
        <v>0.1</v>
      </c>
      <c r="N1944" s="6">
        <v>0.1</v>
      </c>
      <c r="O1944" s="6">
        <v>0.1</v>
      </c>
      <c r="P1944" s="6">
        <v>0</v>
      </c>
      <c r="Q1944" s="4" t="s">
        <v>26</v>
      </c>
      <c r="R1944" s="4">
        <v>0</v>
      </c>
      <c r="S1944" s="6">
        <v>0</v>
      </c>
      <c r="T1944" s="6">
        <v>58</v>
      </c>
      <c r="U1944" s="6">
        <v>101</v>
      </c>
      <c r="V1944" s="6">
        <f>IF(ISERROR(VLOOKUP($S$1944,'TAR FIN'!$A$1:$O$120,15,0)),0,VLOOKUP($S$1944,'TAR FIN'!$A$1:$O$120,15,0))</f>
        <v>0</v>
      </c>
      <c r="W1944" s="6">
        <f>IF(ISERROR(VLOOKUP($T$1944,'TAR FIN'!$A$1:$O$120,15,0)),0,VLOOKUP($T$1944,'TAR FIN'!$A$1:$O$120,15,0))</f>
        <v>187.79</v>
      </c>
      <c r="X1944" s="6">
        <f>IF(ISERROR(VLOOKUP($U$1944,'TAR FIN'!$A$1:$O$120,15,0)),0,VLOOKUP($U$1944,'TAR FIN'!$A$1:$O$120,15,0))</f>
        <v>205.9</v>
      </c>
      <c r="Y1944" s="6"/>
      <c r="Z1944" s="6">
        <f ca="1">('TUSD BE'!$AM$68+'TUSD BF'!$AM$68+'TUSD CVA'!$AM$68)*(1-CUSTOS!$M$38)</f>
        <v>222.93739154100084</v>
      </c>
      <c r="AA1944" s="6">
        <f>('TE BE'!$AA$32+'TE BF'!$AA$32+'TE CVA'!$AA$32)*(1-CUSTOS!$M$38)</f>
        <v>199.18265392296476</v>
      </c>
      <c r="AB1944" s="6">
        <f>$K$1944*$V$1944</f>
        <v>0</v>
      </c>
      <c r="AC1944" s="6">
        <f>$M$1944*$W$1944</f>
        <v>18.779</v>
      </c>
      <c r="AD1944" s="6">
        <f>$O$1944*$X$1944</f>
        <v>20.590000000000003</v>
      </c>
      <c r="AE1944" s="6">
        <f>$K$1944*$Y$1944</f>
        <v>0</v>
      </c>
      <c r="AF1944" s="6">
        <f ca="1">$M$1944*$Z$1944</f>
        <v>22.293739154100084</v>
      </c>
      <c r="AG1944" s="6">
        <f>$O$1944*$AA$1944</f>
        <v>19.918265392296476</v>
      </c>
    </row>
    <row r="1945" spans="1:33" ht="11.25" customHeight="1" x14ac:dyDescent="0.25">
      <c r="A1945" s="4" t="s">
        <v>21</v>
      </c>
      <c r="B1945" s="4" t="s">
        <v>46</v>
      </c>
      <c r="C1945" s="4" t="s">
        <v>23</v>
      </c>
      <c r="D1945" s="4" t="s">
        <v>47</v>
      </c>
      <c r="E1945" s="4" t="s">
        <v>55</v>
      </c>
      <c r="F1945" s="4" t="s">
        <v>57</v>
      </c>
      <c r="G1945" s="4" t="s">
        <v>25</v>
      </c>
      <c r="H1945" s="4" t="s">
        <v>25</v>
      </c>
      <c r="I1945" s="5">
        <v>43739</v>
      </c>
      <c r="J1945" s="6">
        <v>0</v>
      </c>
      <c r="K1945" s="6">
        <v>0</v>
      </c>
      <c r="L1945" s="6">
        <v>13.048999999999999</v>
      </c>
      <c r="M1945" s="6">
        <v>4.3061699999999998</v>
      </c>
      <c r="N1945" s="6">
        <v>13.048999999999999</v>
      </c>
      <c r="O1945" s="6">
        <v>4.3061699999999998</v>
      </c>
      <c r="P1945" s="6">
        <v>0</v>
      </c>
      <c r="Q1945" s="4" t="s">
        <v>26</v>
      </c>
      <c r="R1945" s="4">
        <v>0</v>
      </c>
      <c r="S1945" s="6">
        <v>0</v>
      </c>
      <c r="T1945" s="6">
        <v>58</v>
      </c>
      <c r="U1945" s="6">
        <v>101</v>
      </c>
      <c r="V1945" s="6">
        <f>IF(ISERROR(VLOOKUP($S$1945,'TAR FIN'!$A$1:$O$120,15,0)),0,VLOOKUP($S$1945,'TAR FIN'!$A$1:$O$120,15,0))</f>
        <v>0</v>
      </c>
      <c r="W1945" s="6">
        <f>IF(ISERROR(VLOOKUP($T$1945,'TAR FIN'!$A$1:$O$120,15,0)),0,VLOOKUP($T$1945,'TAR FIN'!$A$1:$O$120,15,0))</f>
        <v>187.79</v>
      </c>
      <c r="X1945" s="6">
        <f>IF(ISERROR(VLOOKUP($U$1945,'TAR FIN'!$A$1:$O$120,15,0)),0,VLOOKUP($U$1945,'TAR FIN'!$A$1:$O$120,15,0))</f>
        <v>205.9</v>
      </c>
      <c r="Y1945" s="6"/>
      <c r="Z1945" s="6">
        <f ca="1">('TUSD BE'!$AM$68+'TUSD BF'!$AM$68+'TUSD CVA'!$AM$68)*(1-CUSTOS!$M$38)</f>
        <v>222.93739154100084</v>
      </c>
      <c r="AA1945" s="6">
        <f>('TE BE'!$AA$32+'TE BF'!$AA$32+'TE CVA'!$AA$32)*(1-CUSTOS!$M$38)</f>
        <v>199.18265392296476</v>
      </c>
      <c r="AB1945" s="6">
        <f>$K$1945*$V$1945</f>
        <v>0</v>
      </c>
      <c r="AC1945" s="6">
        <f>$M$1945*$W$1945</f>
        <v>808.6556642999999</v>
      </c>
      <c r="AD1945" s="6">
        <f>$O$1945*$X$1945</f>
        <v>886.64040299999999</v>
      </c>
      <c r="AE1945" s="6">
        <f>$K$1945*$Y$1945</f>
        <v>0</v>
      </c>
      <c r="AF1945" s="6">
        <f ca="1">$M$1945*$Z$1945</f>
        <v>960.00630733211153</v>
      </c>
      <c r="AG1945" s="6">
        <f>$O$1945*$AA$1945</f>
        <v>857.71436884345314</v>
      </c>
    </row>
    <row r="1946" spans="1:33" ht="11.25" customHeight="1" x14ac:dyDescent="0.25">
      <c r="A1946" s="4" t="s">
        <v>28</v>
      </c>
      <c r="B1946" s="4" t="s">
        <v>46</v>
      </c>
      <c r="C1946" s="4" t="s">
        <v>23</v>
      </c>
      <c r="D1946" s="4" t="s">
        <v>47</v>
      </c>
      <c r="E1946" s="4" t="s">
        <v>55</v>
      </c>
      <c r="F1946" s="4" t="s">
        <v>57</v>
      </c>
      <c r="G1946" s="4" t="s">
        <v>25</v>
      </c>
      <c r="H1946" s="4" t="s">
        <v>25</v>
      </c>
      <c r="I1946" s="5">
        <v>43739</v>
      </c>
      <c r="J1946" s="6">
        <v>0</v>
      </c>
      <c r="K1946" s="6">
        <v>0</v>
      </c>
      <c r="L1946" s="6">
        <v>2.379</v>
      </c>
      <c r="M1946" s="6">
        <v>0.78507000000000005</v>
      </c>
      <c r="N1946" s="6">
        <v>2.379</v>
      </c>
      <c r="O1946" s="6">
        <v>0.78507000000000005</v>
      </c>
      <c r="P1946" s="6">
        <v>0</v>
      </c>
      <c r="Q1946" s="4" t="s">
        <v>26</v>
      </c>
      <c r="R1946" s="4">
        <v>0</v>
      </c>
      <c r="S1946" s="6">
        <v>0</v>
      </c>
      <c r="T1946" s="6">
        <v>58</v>
      </c>
      <c r="U1946" s="6">
        <v>101</v>
      </c>
      <c r="V1946" s="6">
        <f>IF(ISERROR(VLOOKUP($S$1946,'TAR FIN'!$A$1:$O$120,15,0)),0,VLOOKUP($S$1946,'TAR FIN'!$A$1:$O$120,15,0))</f>
        <v>0</v>
      </c>
      <c r="W1946" s="6">
        <f>IF(ISERROR(VLOOKUP($T$1946,'TAR FIN'!$A$1:$O$120,15,0)),0,VLOOKUP($T$1946,'TAR FIN'!$A$1:$O$120,15,0))</f>
        <v>187.79</v>
      </c>
      <c r="X1946" s="6">
        <f>IF(ISERROR(VLOOKUP($U$1946,'TAR FIN'!$A$1:$O$120,15,0)),0,VLOOKUP($U$1946,'TAR FIN'!$A$1:$O$120,15,0))</f>
        <v>205.9</v>
      </c>
      <c r="Y1946" s="6"/>
      <c r="Z1946" s="6">
        <f ca="1">('TUSD BE'!$AM$68+'TUSD BF'!$AM$68+'TUSD CVA'!$AM$68)*(1-CUSTOS!$M$38)</f>
        <v>222.93739154100084</v>
      </c>
      <c r="AA1946" s="6">
        <f>('TE BE'!$AA$32+'TE BF'!$AA$32+'TE CVA'!$AA$32)*(1-CUSTOS!$M$38)</f>
        <v>199.18265392296476</v>
      </c>
      <c r="AB1946" s="6">
        <f>$K$1946*$V$1946</f>
        <v>0</v>
      </c>
      <c r="AC1946" s="6">
        <f>$M$1946*$W$1946</f>
        <v>147.4282953</v>
      </c>
      <c r="AD1946" s="6">
        <f>$O$1946*$X$1946</f>
        <v>161.64591300000001</v>
      </c>
      <c r="AE1946" s="6">
        <f>$K$1946*$Y$1946</f>
        <v>0</v>
      </c>
      <c r="AF1946" s="6">
        <f ca="1">$M$1946*$Z$1946</f>
        <v>175.02145797709355</v>
      </c>
      <c r="AG1946" s="6">
        <f>$O$1946*$AA$1946</f>
        <v>156.37232611530195</v>
      </c>
    </row>
    <row r="1947" spans="1:33" ht="11.25" customHeight="1" x14ac:dyDescent="0.25">
      <c r="A1947" s="4" t="s">
        <v>21</v>
      </c>
      <c r="B1947" s="4" t="s">
        <v>46</v>
      </c>
      <c r="C1947" s="4" t="s">
        <v>23</v>
      </c>
      <c r="D1947" s="4" t="s">
        <v>47</v>
      </c>
      <c r="E1947" s="4" t="s">
        <v>55</v>
      </c>
      <c r="F1947" s="4" t="s">
        <v>57</v>
      </c>
      <c r="G1947" s="4" t="s">
        <v>25</v>
      </c>
      <c r="H1947" s="4" t="s">
        <v>25</v>
      </c>
      <c r="I1947" s="5">
        <v>43770</v>
      </c>
      <c r="J1947" s="6">
        <v>0</v>
      </c>
      <c r="K1947" s="6">
        <v>0</v>
      </c>
      <c r="L1947" s="6">
        <v>17.673999999999999</v>
      </c>
      <c r="M1947" s="6">
        <v>5.8324199999999999</v>
      </c>
      <c r="N1947" s="6">
        <v>17.673999999999999</v>
      </c>
      <c r="O1947" s="6">
        <v>5.8324199999999999</v>
      </c>
      <c r="P1947" s="6">
        <v>0</v>
      </c>
      <c r="Q1947" s="4" t="s">
        <v>26</v>
      </c>
      <c r="R1947" s="4">
        <v>0</v>
      </c>
      <c r="S1947" s="6">
        <v>0</v>
      </c>
      <c r="T1947" s="6">
        <v>58</v>
      </c>
      <c r="U1947" s="6">
        <v>101</v>
      </c>
      <c r="V1947" s="6">
        <f>IF(ISERROR(VLOOKUP($S$1947,'TAR FIN'!$A$1:$O$120,15,0)),0,VLOOKUP($S$1947,'TAR FIN'!$A$1:$O$120,15,0))</f>
        <v>0</v>
      </c>
      <c r="W1947" s="6">
        <f>IF(ISERROR(VLOOKUP($T$1947,'TAR FIN'!$A$1:$O$120,15,0)),0,VLOOKUP($T$1947,'TAR FIN'!$A$1:$O$120,15,0))</f>
        <v>187.79</v>
      </c>
      <c r="X1947" s="6">
        <f>IF(ISERROR(VLOOKUP($U$1947,'TAR FIN'!$A$1:$O$120,15,0)),0,VLOOKUP($U$1947,'TAR FIN'!$A$1:$O$120,15,0))</f>
        <v>205.9</v>
      </c>
      <c r="Y1947" s="6"/>
      <c r="Z1947" s="6">
        <f ca="1">('TUSD BE'!$AM$68+'TUSD BF'!$AM$68+'TUSD CVA'!$AM$68)*(1-CUSTOS!$M$38)</f>
        <v>222.93739154100084</v>
      </c>
      <c r="AA1947" s="6">
        <f>('TE BE'!$AA$32+'TE BF'!$AA$32+'TE CVA'!$AA$32)*(1-CUSTOS!$M$38)</f>
        <v>199.18265392296476</v>
      </c>
      <c r="AB1947" s="6">
        <f>$K$1947*$V$1947</f>
        <v>0</v>
      </c>
      <c r="AC1947" s="6">
        <f>$M$1947*$W$1947</f>
        <v>1095.2701517999999</v>
      </c>
      <c r="AD1947" s="6">
        <f>$O$1947*$X$1947</f>
        <v>1200.895278</v>
      </c>
      <c r="AE1947" s="6">
        <f>$K$1947*$Y$1947</f>
        <v>0</v>
      </c>
      <c r="AF1947" s="6">
        <f ca="1">$M$1947*$Z$1947</f>
        <v>1300.264501171564</v>
      </c>
      <c r="AG1947" s="6">
        <f>$O$1947*$AA$1947</f>
        <v>1161.7168943933782</v>
      </c>
    </row>
    <row r="1948" spans="1:33" ht="11.25" customHeight="1" x14ac:dyDescent="0.25">
      <c r="A1948" s="4" t="s">
        <v>28</v>
      </c>
      <c r="B1948" s="4" t="s">
        <v>46</v>
      </c>
      <c r="C1948" s="4" t="s">
        <v>23</v>
      </c>
      <c r="D1948" s="4" t="s">
        <v>47</v>
      </c>
      <c r="E1948" s="4" t="s">
        <v>55</v>
      </c>
      <c r="F1948" s="4" t="s">
        <v>57</v>
      </c>
      <c r="G1948" s="4" t="s">
        <v>25</v>
      </c>
      <c r="H1948" s="4" t="s">
        <v>25</v>
      </c>
      <c r="I1948" s="5">
        <v>43770</v>
      </c>
      <c r="J1948" s="6">
        <v>0</v>
      </c>
      <c r="K1948" s="6">
        <v>0</v>
      </c>
      <c r="L1948" s="6">
        <v>1.8080000000000001</v>
      </c>
      <c r="M1948" s="6">
        <v>0.59663999999999995</v>
      </c>
      <c r="N1948" s="6">
        <v>1.8080000000000001</v>
      </c>
      <c r="O1948" s="6">
        <v>0.59663999999999995</v>
      </c>
      <c r="P1948" s="6">
        <v>0</v>
      </c>
      <c r="Q1948" s="4" t="s">
        <v>26</v>
      </c>
      <c r="R1948" s="4">
        <v>0</v>
      </c>
      <c r="S1948" s="6">
        <v>0</v>
      </c>
      <c r="T1948" s="6">
        <v>58</v>
      </c>
      <c r="U1948" s="6">
        <v>101</v>
      </c>
      <c r="V1948" s="6">
        <f>IF(ISERROR(VLOOKUP($S$1948,'TAR FIN'!$A$1:$O$120,15,0)),0,VLOOKUP($S$1948,'TAR FIN'!$A$1:$O$120,15,0))</f>
        <v>0</v>
      </c>
      <c r="W1948" s="6">
        <f>IF(ISERROR(VLOOKUP($T$1948,'TAR FIN'!$A$1:$O$120,15,0)),0,VLOOKUP($T$1948,'TAR FIN'!$A$1:$O$120,15,0))</f>
        <v>187.79</v>
      </c>
      <c r="X1948" s="6">
        <f>IF(ISERROR(VLOOKUP($U$1948,'TAR FIN'!$A$1:$O$120,15,0)),0,VLOOKUP($U$1948,'TAR FIN'!$A$1:$O$120,15,0))</f>
        <v>205.9</v>
      </c>
      <c r="Y1948" s="6"/>
      <c r="Z1948" s="6">
        <f ca="1">('TUSD BE'!$AM$68+'TUSD BF'!$AM$68+'TUSD CVA'!$AM$68)*(1-CUSTOS!$M$38)</f>
        <v>222.93739154100084</v>
      </c>
      <c r="AA1948" s="6">
        <f>('TE BE'!$AA$32+'TE BF'!$AA$32+'TE CVA'!$AA$32)*(1-CUSTOS!$M$38)</f>
        <v>199.18265392296476</v>
      </c>
      <c r="AB1948" s="6">
        <f>$K$1948*$V$1948</f>
        <v>0</v>
      </c>
      <c r="AC1948" s="6">
        <f>$M$1948*$W$1948</f>
        <v>112.04302559999998</v>
      </c>
      <c r="AD1948" s="6">
        <f>$O$1948*$X$1948</f>
        <v>122.848176</v>
      </c>
      <c r="AE1948" s="6">
        <f>$K$1948*$Y$1948</f>
        <v>0</v>
      </c>
      <c r="AF1948" s="6">
        <f ca="1">$M$1948*$Z$1948</f>
        <v>133.01336528902272</v>
      </c>
      <c r="AG1948" s="6">
        <f>$O$1948*$AA$1948</f>
        <v>118.84033863659768</v>
      </c>
    </row>
    <row r="1949" spans="1:33" ht="11.25" customHeight="1" x14ac:dyDescent="0.25">
      <c r="A1949" s="4" t="s">
        <v>21</v>
      </c>
      <c r="B1949" s="4" t="s">
        <v>46</v>
      </c>
      <c r="C1949" s="4" t="s">
        <v>23</v>
      </c>
      <c r="D1949" s="4" t="s">
        <v>47</v>
      </c>
      <c r="E1949" s="4" t="s">
        <v>55</v>
      </c>
      <c r="F1949" s="4" t="s">
        <v>57</v>
      </c>
      <c r="G1949" s="4" t="s">
        <v>25</v>
      </c>
      <c r="H1949" s="4" t="s">
        <v>25</v>
      </c>
      <c r="I1949" s="5">
        <v>43800</v>
      </c>
      <c r="J1949" s="6">
        <v>0</v>
      </c>
      <c r="K1949" s="6">
        <v>0</v>
      </c>
      <c r="L1949" s="6">
        <v>3.8290000000000002</v>
      </c>
      <c r="M1949" s="6">
        <v>1.2635700000000001</v>
      </c>
      <c r="N1949" s="6">
        <v>3.8290000000000002</v>
      </c>
      <c r="O1949" s="6">
        <v>1.2635700000000001</v>
      </c>
      <c r="P1949" s="6">
        <v>0</v>
      </c>
      <c r="Q1949" s="4" t="s">
        <v>26</v>
      </c>
      <c r="R1949" s="4">
        <v>0</v>
      </c>
      <c r="S1949" s="6">
        <v>0</v>
      </c>
      <c r="T1949" s="6">
        <v>58</v>
      </c>
      <c r="U1949" s="6">
        <v>101</v>
      </c>
      <c r="V1949" s="6">
        <f>IF(ISERROR(VLOOKUP($S$1949,'TAR FIN'!$A$1:$O$120,15,0)),0,VLOOKUP($S$1949,'TAR FIN'!$A$1:$O$120,15,0))</f>
        <v>0</v>
      </c>
      <c r="W1949" s="6">
        <f>IF(ISERROR(VLOOKUP($T$1949,'TAR FIN'!$A$1:$O$120,15,0)),0,VLOOKUP($T$1949,'TAR FIN'!$A$1:$O$120,15,0))</f>
        <v>187.79</v>
      </c>
      <c r="X1949" s="6">
        <f>IF(ISERROR(VLOOKUP($U$1949,'TAR FIN'!$A$1:$O$120,15,0)),0,VLOOKUP($U$1949,'TAR FIN'!$A$1:$O$120,15,0))</f>
        <v>205.9</v>
      </c>
      <c r="Y1949" s="6"/>
      <c r="Z1949" s="6">
        <f ca="1">('TUSD BE'!$AM$68+'TUSD BF'!$AM$68+'TUSD CVA'!$AM$68)*(1-CUSTOS!$M$38)</f>
        <v>222.93739154100084</v>
      </c>
      <c r="AA1949" s="6">
        <f>('TE BE'!$AA$32+'TE BF'!$AA$32+'TE CVA'!$AA$32)*(1-CUSTOS!$M$38)</f>
        <v>199.18265392296476</v>
      </c>
      <c r="AB1949" s="6">
        <f>$K$1949*$V$1949</f>
        <v>0</v>
      </c>
      <c r="AC1949" s="6">
        <f>$M$1949*$W$1949</f>
        <v>237.28581030000001</v>
      </c>
      <c r="AD1949" s="6">
        <f>$O$1949*$X$1949</f>
        <v>260.16906300000005</v>
      </c>
      <c r="AE1949" s="6">
        <f>$K$1949*$Y$1949</f>
        <v>0</v>
      </c>
      <c r="AF1949" s="6">
        <f ca="1">$M$1949*$Z$1949</f>
        <v>281.69699982946247</v>
      </c>
      <c r="AG1949" s="6">
        <f>$O$1949*$AA$1949</f>
        <v>251.68122601744059</v>
      </c>
    </row>
    <row r="1950" spans="1:33" ht="11.25" customHeight="1" x14ac:dyDescent="0.25">
      <c r="A1950" s="4" t="s">
        <v>21</v>
      </c>
      <c r="B1950" s="4" t="s">
        <v>46</v>
      </c>
      <c r="C1950" s="4" t="s">
        <v>23</v>
      </c>
      <c r="D1950" s="4" t="s">
        <v>47</v>
      </c>
      <c r="E1950" s="4" t="s">
        <v>55</v>
      </c>
      <c r="F1950" s="4" t="s">
        <v>57</v>
      </c>
      <c r="G1950" s="4" t="s">
        <v>25</v>
      </c>
      <c r="H1950" s="4" t="s">
        <v>25</v>
      </c>
      <c r="I1950" s="5">
        <v>43831</v>
      </c>
      <c r="J1950" s="6">
        <v>0</v>
      </c>
      <c r="K1950" s="6">
        <v>0</v>
      </c>
      <c r="L1950" s="6">
        <v>4.1340000000000003</v>
      </c>
      <c r="M1950" s="6">
        <v>1.36422</v>
      </c>
      <c r="N1950" s="6">
        <v>4.1340000000000003</v>
      </c>
      <c r="O1950" s="6">
        <v>1.36422</v>
      </c>
      <c r="P1950" s="6">
        <v>0</v>
      </c>
      <c r="Q1950" s="4" t="s">
        <v>26</v>
      </c>
      <c r="R1950" s="4">
        <v>0</v>
      </c>
      <c r="S1950" s="6">
        <v>0</v>
      </c>
      <c r="T1950" s="6">
        <v>58</v>
      </c>
      <c r="U1950" s="6">
        <v>101</v>
      </c>
      <c r="V1950" s="6">
        <f>IF(ISERROR(VLOOKUP($S$1950,'TAR FIN'!$A$1:$O$120,15,0)),0,VLOOKUP($S$1950,'TAR FIN'!$A$1:$O$120,15,0))</f>
        <v>0</v>
      </c>
      <c r="W1950" s="6">
        <f>IF(ISERROR(VLOOKUP($T$1950,'TAR FIN'!$A$1:$O$120,15,0)),0,VLOOKUP($T$1950,'TAR FIN'!$A$1:$O$120,15,0))</f>
        <v>187.79</v>
      </c>
      <c r="X1950" s="6">
        <f>IF(ISERROR(VLOOKUP($U$1950,'TAR FIN'!$A$1:$O$120,15,0)),0,VLOOKUP($U$1950,'TAR FIN'!$A$1:$O$120,15,0))</f>
        <v>205.9</v>
      </c>
      <c r="Y1950" s="6"/>
      <c r="Z1950" s="6">
        <f ca="1">('TUSD BE'!$AM$68+'TUSD BF'!$AM$68+'TUSD CVA'!$AM$68)*(1-CUSTOS!$M$38)</f>
        <v>222.93739154100084</v>
      </c>
      <c r="AA1950" s="6">
        <f>('TE BE'!$AA$32+'TE BF'!$AA$32+'TE CVA'!$AA$32)*(1-CUSTOS!$M$38)</f>
        <v>199.18265392296476</v>
      </c>
      <c r="AB1950" s="6">
        <f>$K$1950*$V$1950</f>
        <v>0</v>
      </c>
      <c r="AC1950" s="6">
        <f>$M$1950*$W$1950</f>
        <v>256.1868738</v>
      </c>
      <c r="AD1950" s="6">
        <f>$O$1950*$X$1950</f>
        <v>280.892898</v>
      </c>
      <c r="AE1950" s="6">
        <f>$K$1950*$Y$1950</f>
        <v>0</v>
      </c>
      <c r="AF1950" s="6">
        <f ca="1">$M$1950*$Z$1950</f>
        <v>304.13564828806415</v>
      </c>
      <c r="AG1950" s="6">
        <f>$O$1950*$AA$1950</f>
        <v>271.72896013478697</v>
      </c>
    </row>
    <row r="1951" spans="1:33" ht="11.25" customHeight="1" x14ac:dyDescent="0.25">
      <c r="A1951" s="4" t="s">
        <v>21</v>
      </c>
      <c r="B1951" s="4" t="s">
        <v>46</v>
      </c>
      <c r="C1951" s="4" t="s">
        <v>23</v>
      </c>
      <c r="D1951" s="4" t="s">
        <v>47</v>
      </c>
      <c r="E1951" s="4" t="s">
        <v>55</v>
      </c>
      <c r="F1951" s="4" t="s">
        <v>57</v>
      </c>
      <c r="G1951" s="4" t="s">
        <v>25</v>
      </c>
      <c r="H1951" s="4" t="s">
        <v>25</v>
      </c>
      <c r="I1951" s="5">
        <v>43862</v>
      </c>
      <c r="J1951" s="6">
        <v>0</v>
      </c>
      <c r="K1951" s="6">
        <v>0</v>
      </c>
      <c r="L1951" s="6">
        <v>3.5939999999999999</v>
      </c>
      <c r="M1951" s="6">
        <v>1.1860200000000001</v>
      </c>
      <c r="N1951" s="6">
        <v>3.5939999999999999</v>
      </c>
      <c r="O1951" s="6">
        <v>1.1860200000000001</v>
      </c>
      <c r="P1951" s="6">
        <v>0</v>
      </c>
      <c r="Q1951" s="4" t="s">
        <v>26</v>
      </c>
      <c r="R1951" s="4">
        <v>0</v>
      </c>
      <c r="S1951" s="6">
        <v>0</v>
      </c>
      <c r="T1951" s="6">
        <v>58</v>
      </c>
      <c r="U1951" s="6">
        <v>101</v>
      </c>
      <c r="V1951" s="6">
        <f>IF(ISERROR(VLOOKUP($S$1951,'TAR FIN'!$A$1:$O$120,15,0)),0,VLOOKUP($S$1951,'TAR FIN'!$A$1:$O$120,15,0))</f>
        <v>0</v>
      </c>
      <c r="W1951" s="6">
        <f>IF(ISERROR(VLOOKUP($T$1951,'TAR FIN'!$A$1:$O$120,15,0)),0,VLOOKUP($T$1951,'TAR FIN'!$A$1:$O$120,15,0))</f>
        <v>187.79</v>
      </c>
      <c r="X1951" s="6">
        <f>IF(ISERROR(VLOOKUP($U$1951,'TAR FIN'!$A$1:$O$120,15,0)),0,VLOOKUP($U$1951,'TAR FIN'!$A$1:$O$120,15,0))</f>
        <v>205.9</v>
      </c>
      <c r="Y1951" s="6"/>
      <c r="Z1951" s="6">
        <f ca="1">('TUSD BE'!$AM$68+'TUSD BF'!$AM$68+'TUSD CVA'!$AM$68)*(1-CUSTOS!$M$38)</f>
        <v>222.93739154100084</v>
      </c>
      <c r="AA1951" s="6">
        <f>('TE BE'!$AA$32+'TE BF'!$AA$32+'TE CVA'!$AA$32)*(1-CUSTOS!$M$38)</f>
        <v>199.18265392296476</v>
      </c>
      <c r="AB1951" s="6">
        <f>$K$1951*$V$1951</f>
        <v>0</v>
      </c>
      <c r="AC1951" s="6">
        <f>$M$1951*$W$1951</f>
        <v>222.7226958</v>
      </c>
      <c r="AD1951" s="6">
        <f>$O$1951*$X$1951</f>
        <v>244.20151800000002</v>
      </c>
      <c r="AE1951" s="6">
        <f>$K$1951*$Y$1951</f>
        <v>0</v>
      </c>
      <c r="AF1951" s="6">
        <f ca="1">$M$1951*$Z$1951</f>
        <v>264.4082051154578</v>
      </c>
      <c r="AG1951" s="6">
        <f>$O$1951*$AA$1951</f>
        <v>236.23461120571469</v>
      </c>
    </row>
    <row r="1952" spans="1:33" ht="11.25" customHeight="1" x14ac:dyDescent="0.25">
      <c r="A1952" s="4" t="s">
        <v>21</v>
      </c>
      <c r="B1952" s="4" t="s">
        <v>46</v>
      </c>
      <c r="C1952" s="4" t="s">
        <v>23</v>
      </c>
      <c r="D1952" s="4" t="s">
        <v>47</v>
      </c>
      <c r="E1952" s="4" t="s">
        <v>55</v>
      </c>
      <c r="F1952" s="4" t="s">
        <v>57</v>
      </c>
      <c r="G1952" s="4" t="s">
        <v>25</v>
      </c>
      <c r="H1952" s="4" t="s">
        <v>25</v>
      </c>
      <c r="I1952" s="5">
        <v>43891</v>
      </c>
      <c r="J1952" s="6">
        <v>0</v>
      </c>
      <c r="K1952" s="6">
        <v>0</v>
      </c>
      <c r="L1952" s="6">
        <v>2.4689999999999999</v>
      </c>
      <c r="M1952" s="6">
        <v>0.81476999999999999</v>
      </c>
      <c r="N1952" s="6">
        <v>2.4689999999999999</v>
      </c>
      <c r="O1952" s="6">
        <v>0.81476999999999999</v>
      </c>
      <c r="P1952" s="6">
        <v>0</v>
      </c>
      <c r="Q1952" s="4" t="s">
        <v>26</v>
      </c>
      <c r="R1952" s="4">
        <v>0</v>
      </c>
      <c r="S1952" s="6">
        <v>0</v>
      </c>
      <c r="T1952" s="6">
        <v>58</v>
      </c>
      <c r="U1952" s="6">
        <v>101</v>
      </c>
      <c r="V1952" s="6">
        <f>IF(ISERROR(VLOOKUP($S$1952,'TAR FIN'!$A$1:$O$120,15,0)),0,VLOOKUP($S$1952,'TAR FIN'!$A$1:$O$120,15,0))</f>
        <v>0</v>
      </c>
      <c r="W1952" s="6">
        <f>IF(ISERROR(VLOOKUP($T$1952,'TAR FIN'!$A$1:$O$120,15,0)),0,VLOOKUP($T$1952,'TAR FIN'!$A$1:$O$120,15,0))</f>
        <v>187.79</v>
      </c>
      <c r="X1952" s="6">
        <f>IF(ISERROR(VLOOKUP($U$1952,'TAR FIN'!$A$1:$O$120,15,0)),0,VLOOKUP($U$1952,'TAR FIN'!$A$1:$O$120,15,0))</f>
        <v>205.9</v>
      </c>
      <c r="Y1952" s="6"/>
      <c r="Z1952" s="6">
        <f ca="1">('TUSD BE'!$AM$68+'TUSD BF'!$AM$68+'TUSD CVA'!$AM$68)*(1-CUSTOS!$M$38)</f>
        <v>222.93739154100084</v>
      </c>
      <c r="AA1952" s="6">
        <f>('TE BE'!$AA$32+'TE BF'!$AA$32+'TE CVA'!$AA$32)*(1-CUSTOS!$M$38)</f>
        <v>199.18265392296476</v>
      </c>
      <c r="AB1952" s="6">
        <f>$K$1952*$V$1952</f>
        <v>0</v>
      </c>
      <c r="AC1952" s="6">
        <f>$M$1952*$W$1952</f>
        <v>153.00565829999999</v>
      </c>
      <c r="AD1952" s="6">
        <f>$O$1952*$X$1952</f>
        <v>167.761143</v>
      </c>
      <c r="AE1952" s="6">
        <f>$K$1952*$Y$1952</f>
        <v>0</v>
      </c>
      <c r="AF1952" s="6">
        <f ca="1">$M$1952*$Z$1952</f>
        <v>181.64269850586126</v>
      </c>
      <c r="AG1952" s="6">
        <f>$O$1952*$AA$1952</f>
        <v>162.28805093681399</v>
      </c>
    </row>
    <row r="1953" spans="1:33" ht="11.25" customHeight="1" x14ac:dyDescent="0.25">
      <c r="A1953" s="4" t="s">
        <v>21</v>
      </c>
      <c r="B1953" s="4" t="s">
        <v>46</v>
      </c>
      <c r="C1953" s="4" t="s">
        <v>23</v>
      </c>
      <c r="D1953" s="4" t="s">
        <v>47</v>
      </c>
      <c r="E1953" s="4" t="s">
        <v>55</v>
      </c>
      <c r="F1953" s="4" t="s">
        <v>57</v>
      </c>
      <c r="G1953" s="4" t="s">
        <v>25</v>
      </c>
      <c r="H1953" s="4" t="s">
        <v>25</v>
      </c>
      <c r="I1953" s="5">
        <v>43922</v>
      </c>
      <c r="J1953" s="6">
        <v>0</v>
      </c>
      <c r="K1953" s="6">
        <v>0</v>
      </c>
      <c r="L1953" s="6">
        <v>1.161</v>
      </c>
      <c r="M1953" s="6">
        <v>0.38313000000000003</v>
      </c>
      <c r="N1953" s="6">
        <v>1.161</v>
      </c>
      <c r="O1953" s="6">
        <v>0.38313000000000003</v>
      </c>
      <c r="P1953" s="6">
        <v>0</v>
      </c>
      <c r="Q1953" s="4" t="s">
        <v>26</v>
      </c>
      <c r="R1953" s="4">
        <v>0</v>
      </c>
      <c r="S1953" s="6">
        <v>0</v>
      </c>
      <c r="T1953" s="6">
        <v>58</v>
      </c>
      <c r="U1953" s="6">
        <v>101</v>
      </c>
      <c r="V1953" s="6">
        <f>IF(ISERROR(VLOOKUP($S$1953,'TAR FIN'!$A$1:$O$120,15,0)),0,VLOOKUP($S$1953,'TAR FIN'!$A$1:$O$120,15,0))</f>
        <v>0</v>
      </c>
      <c r="W1953" s="6">
        <f>IF(ISERROR(VLOOKUP($T$1953,'TAR FIN'!$A$1:$O$120,15,0)),0,VLOOKUP($T$1953,'TAR FIN'!$A$1:$O$120,15,0))</f>
        <v>187.79</v>
      </c>
      <c r="X1953" s="6">
        <f>IF(ISERROR(VLOOKUP($U$1953,'TAR FIN'!$A$1:$O$120,15,0)),0,VLOOKUP($U$1953,'TAR FIN'!$A$1:$O$120,15,0))</f>
        <v>205.9</v>
      </c>
      <c r="Y1953" s="6"/>
      <c r="Z1953" s="6">
        <f ca="1">('TUSD BE'!$AM$68+'TUSD BF'!$AM$68+'TUSD CVA'!$AM$68)*(1-CUSTOS!$M$38)</f>
        <v>222.93739154100084</v>
      </c>
      <c r="AA1953" s="6">
        <f>('TE BE'!$AA$32+'TE BF'!$AA$32+'TE CVA'!$AA$32)*(1-CUSTOS!$M$38)</f>
        <v>199.18265392296476</v>
      </c>
      <c r="AB1953" s="6">
        <f>$K$1953*$V$1953</f>
        <v>0</v>
      </c>
      <c r="AC1953" s="6">
        <f>$M$1953*$W$1953</f>
        <v>71.947982699999997</v>
      </c>
      <c r="AD1953" s="6">
        <f>$O$1953*$X$1953</f>
        <v>78.88646700000001</v>
      </c>
      <c r="AE1953" s="6">
        <f>$K$1953*$Y$1953</f>
        <v>0</v>
      </c>
      <c r="AF1953" s="6">
        <f ca="1">$M$1953*$Z$1953</f>
        <v>85.414002821103651</v>
      </c>
      <c r="AG1953" s="6">
        <f>$O$1953*$AA$1953</f>
        <v>76.312850197505497</v>
      </c>
    </row>
    <row r="1954" spans="1:33" ht="11.25" customHeight="1" x14ac:dyDescent="0.25">
      <c r="A1954" s="4" t="s">
        <v>21</v>
      </c>
      <c r="B1954" s="4" t="s">
        <v>46</v>
      </c>
      <c r="C1954" s="4" t="s">
        <v>23</v>
      </c>
      <c r="D1954" s="4" t="s">
        <v>47</v>
      </c>
      <c r="E1954" s="4" t="s">
        <v>55</v>
      </c>
      <c r="F1954" s="4" t="s">
        <v>57</v>
      </c>
      <c r="G1954" s="4" t="s">
        <v>25</v>
      </c>
      <c r="H1954" s="4" t="s">
        <v>25</v>
      </c>
      <c r="I1954" s="5">
        <v>43952</v>
      </c>
      <c r="J1954" s="6">
        <v>0</v>
      </c>
      <c r="K1954" s="6">
        <v>0</v>
      </c>
      <c r="L1954" s="6">
        <v>1.4610000000000001</v>
      </c>
      <c r="M1954" s="6">
        <v>0.48213</v>
      </c>
      <c r="N1954" s="6">
        <v>1.4610000000000001</v>
      </c>
      <c r="O1954" s="6">
        <v>0.48213</v>
      </c>
      <c r="P1954" s="6">
        <v>0</v>
      </c>
      <c r="Q1954" s="4" t="s">
        <v>26</v>
      </c>
      <c r="R1954" s="4">
        <v>0</v>
      </c>
      <c r="S1954" s="6">
        <v>0</v>
      </c>
      <c r="T1954" s="6">
        <v>58</v>
      </c>
      <c r="U1954" s="6">
        <v>101</v>
      </c>
      <c r="V1954" s="6">
        <f>IF(ISERROR(VLOOKUP($S$1954,'TAR FIN'!$A$1:$O$120,15,0)),0,VLOOKUP($S$1954,'TAR FIN'!$A$1:$O$120,15,0))</f>
        <v>0</v>
      </c>
      <c r="W1954" s="6">
        <f>IF(ISERROR(VLOOKUP($T$1954,'TAR FIN'!$A$1:$O$120,15,0)),0,VLOOKUP($T$1954,'TAR FIN'!$A$1:$O$120,15,0))</f>
        <v>187.79</v>
      </c>
      <c r="X1954" s="6">
        <f>IF(ISERROR(VLOOKUP($U$1954,'TAR FIN'!$A$1:$O$120,15,0)),0,VLOOKUP($U$1954,'TAR FIN'!$A$1:$O$120,15,0))</f>
        <v>205.9</v>
      </c>
      <c r="Y1954" s="6"/>
      <c r="Z1954" s="6">
        <f ca="1">('TUSD BE'!$AM$68+'TUSD BF'!$AM$68+'TUSD CVA'!$AM$68)*(1-CUSTOS!$M$38)</f>
        <v>222.93739154100084</v>
      </c>
      <c r="AA1954" s="6">
        <f>('TE BE'!$AA$32+'TE BF'!$AA$32+'TE CVA'!$AA$32)*(1-CUSTOS!$M$38)</f>
        <v>199.18265392296476</v>
      </c>
      <c r="AB1954" s="6">
        <f>$K$1954*$V$1954</f>
        <v>0</v>
      </c>
      <c r="AC1954" s="6">
        <f>$M$1954*$W$1954</f>
        <v>90.539192700000001</v>
      </c>
      <c r="AD1954" s="6">
        <f>$O$1954*$X$1954</f>
        <v>99.270567</v>
      </c>
      <c r="AE1954" s="6">
        <f>$K$1954*$Y$1954</f>
        <v>0</v>
      </c>
      <c r="AF1954" s="6">
        <f ca="1">$M$1954*$Z$1954</f>
        <v>107.48480458366274</v>
      </c>
      <c r="AG1954" s="6">
        <f>$O$1954*$AA$1954</f>
        <v>96.031932935878999</v>
      </c>
    </row>
    <row r="1955" spans="1:33" ht="11.25" customHeight="1" x14ac:dyDescent="0.25">
      <c r="A1955" s="4" t="s">
        <v>21</v>
      </c>
      <c r="B1955" s="4" t="s">
        <v>46</v>
      </c>
      <c r="C1955" s="4" t="s">
        <v>23</v>
      </c>
      <c r="D1955" s="4" t="s">
        <v>47</v>
      </c>
      <c r="E1955" s="4" t="s">
        <v>55</v>
      </c>
      <c r="F1955" s="4" t="s">
        <v>57</v>
      </c>
      <c r="G1955" s="4" t="s">
        <v>25</v>
      </c>
      <c r="H1955" s="4" t="s">
        <v>25</v>
      </c>
      <c r="I1955" s="5">
        <v>43983</v>
      </c>
      <c r="J1955" s="6">
        <v>0</v>
      </c>
      <c r="K1955" s="6">
        <v>0</v>
      </c>
      <c r="L1955" s="6">
        <v>3.0550000000000002</v>
      </c>
      <c r="M1955" s="6">
        <v>1.0081500000000001</v>
      </c>
      <c r="N1955" s="6">
        <v>3.0550000000000002</v>
      </c>
      <c r="O1955" s="6">
        <v>1.0081500000000001</v>
      </c>
      <c r="P1955" s="6">
        <v>0</v>
      </c>
      <c r="Q1955" s="4" t="s">
        <v>26</v>
      </c>
      <c r="R1955" s="4">
        <v>0</v>
      </c>
      <c r="S1955" s="6">
        <v>0</v>
      </c>
      <c r="T1955" s="6">
        <v>58</v>
      </c>
      <c r="U1955" s="6">
        <v>101</v>
      </c>
      <c r="V1955" s="6">
        <f>IF(ISERROR(VLOOKUP($S$1955,'TAR FIN'!$A$1:$O$120,15,0)),0,VLOOKUP($S$1955,'TAR FIN'!$A$1:$O$120,15,0))</f>
        <v>0</v>
      </c>
      <c r="W1955" s="6">
        <f>IF(ISERROR(VLOOKUP($T$1955,'TAR FIN'!$A$1:$O$120,15,0)),0,VLOOKUP($T$1955,'TAR FIN'!$A$1:$O$120,15,0))</f>
        <v>187.79</v>
      </c>
      <c r="X1955" s="6">
        <f>IF(ISERROR(VLOOKUP($U$1955,'TAR FIN'!$A$1:$O$120,15,0)),0,VLOOKUP($U$1955,'TAR FIN'!$A$1:$O$120,15,0))</f>
        <v>205.9</v>
      </c>
      <c r="Y1955" s="6"/>
      <c r="Z1955" s="6">
        <f ca="1">('TUSD BE'!$AM$68+'TUSD BF'!$AM$68+'TUSD CVA'!$AM$68)*(1-CUSTOS!$M$38)</f>
        <v>222.93739154100084</v>
      </c>
      <c r="AA1955" s="6">
        <f>('TE BE'!$AA$32+'TE BF'!$AA$32+'TE CVA'!$AA$32)*(1-CUSTOS!$M$38)</f>
        <v>199.18265392296476</v>
      </c>
      <c r="AB1955" s="6">
        <f>$K$1955*$V$1955</f>
        <v>0</v>
      </c>
      <c r="AC1955" s="6">
        <f>$M$1955*$W$1955</f>
        <v>189.32048850000001</v>
      </c>
      <c r="AD1955" s="6">
        <f>$O$1955*$X$1955</f>
        <v>207.57808500000002</v>
      </c>
      <c r="AE1955" s="6">
        <f>$K$1955*$Y$1955</f>
        <v>0</v>
      </c>
      <c r="AF1955" s="6">
        <f ca="1">$M$1955*$Z$1955</f>
        <v>224.75433128206001</v>
      </c>
      <c r="AG1955" s="6">
        <f>$O$1955*$AA$1955</f>
        <v>200.80599255243695</v>
      </c>
    </row>
    <row r="1956" spans="1:33" ht="11.25" customHeight="1" x14ac:dyDescent="0.25">
      <c r="A1956" s="4" t="s">
        <v>28</v>
      </c>
      <c r="B1956" s="4" t="s">
        <v>46</v>
      </c>
      <c r="C1956" s="4" t="s">
        <v>23</v>
      </c>
      <c r="D1956" s="4" t="s">
        <v>47</v>
      </c>
      <c r="E1956" s="4" t="s">
        <v>55</v>
      </c>
      <c r="F1956" s="4" t="s">
        <v>57</v>
      </c>
      <c r="G1956" s="4" t="s">
        <v>25</v>
      </c>
      <c r="H1956" s="4" t="s">
        <v>25</v>
      </c>
      <c r="I1956" s="5">
        <v>43983</v>
      </c>
      <c r="J1956" s="6">
        <v>0</v>
      </c>
      <c r="K1956" s="6">
        <v>0</v>
      </c>
      <c r="L1956" s="6">
        <v>1.7030000000000001</v>
      </c>
      <c r="M1956" s="6">
        <v>0.56198999999999999</v>
      </c>
      <c r="N1956" s="6">
        <v>1.7030000000000001</v>
      </c>
      <c r="O1956" s="6">
        <v>0.56198999999999999</v>
      </c>
      <c r="P1956" s="6">
        <v>0</v>
      </c>
      <c r="Q1956" s="4" t="s">
        <v>26</v>
      </c>
      <c r="R1956" s="4">
        <v>0</v>
      </c>
      <c r="S1956" s="6">
        <v>0</v>
      </c>
      <c r="T1956" s="6">
        <v>58</v>
      </c>
      <c r="U1956" s="6">
        <v>101</v>
      </c>
      <c r="V1956" s="6">
        <f>IF(ISERROR(VLOOKUP($S$1956,'TAR FIN'!$A$1:$O$120,15,0)),0,VLOOKUP($S$1956,'TAR FIN'!$A$1:$O$120,15,0))</f>
        <v>0</v>
      </c>
      <c r="W1956" s="6">
        <f>IF(ISERROR(VLOOKUP($T$1956,'TAR FIN'!$A$1:$O$120,15,0)),0,VLOOKUP($T$1956,'TAR FIN'!$A$1:$O$120,15,0))</f>
        <v>187.79</v>
      </c>
      <c r="X1956" s="6">
        <f>IF(ISERROR(VLOOKUP($U$1956,'TAR FIN'!$A$1:$O$120,15,0)),0,VLOOKUP($U$1956,'TAR FIN'!$A$1:$O$120,15,0))</f>
        <v>205.9</v>
      </c>
      <c r="Y1956" s="6"/>
      <c r="Z1956" s="6">
        <f ca="1">('TUSD BE'!$AM$68+'TUSD BF'!$AM$68+'TUSD CVA'!$AM$68)*(1-CUSTOS!$M$38)</f>
        <v>222.93739154100084</v>
      </c>
      <c r="AA1956" s="6">
        <f>('TE BE'!$AA$32+'TE BF'!$AA$32+'TE CVA'!$AA$32)*(1-CUSTOS!$M$38)</f>
        <v>199.18265392296476</v>
      </c>
      <c r="AB1956" s="6">
        <f>$K$1956*$V$1956</f>
        <v>0</v>
      </c>
      <c r="AC1956" s="6">
        <f>$M$1956*$W$1956</f>
        <v>105.53610209999999</v>
      </c>
      <c r="AD1956" s="6">
        <f>$O$1956*$X$1956</f>
        <v>115.713741</v>
      </c>
      <c r="AE1956" s="6">
        <f>$K$1956*$Y$1956</f>
        <v>0</v>
      </c>
      <c r="AF1956" s="6">
        <f ca="1">$M$1956*$Z$1956</f>
        <v>125.28858467212706</v>
      </c>
      <c r="AG1956" s="6">
        <f>$O$1956*$AA$1956</f>
        <v>111.93865967816697</v>
      </c>
    </row>
    <row r="1957" spans="1:33" ht="11.25" customHeight="1" x14ac:dyDescent="0.25">
      <c r="A1957" s="4" t="s">
        <v>21</v>
      </c>
      <c r="B1957" s="4" t="s">
        <v>46</v>
      </c>
      <c r="C1957" s="4" t="s">
        <v>23</v>
      </c>
      <c r="D1957" s="4" t="s">
        <v>47</v>
      </c>
      <c r="E1957" s="4" t="s">
        <v>55</v>
      </c>
      <c r="F1957" s="4" t="s">
        <v>57</v>
      </c>
      <c r="G1957" s="4" t="s">
        <v>25</v>
      </c>
      <c r="H1957" s="4" t="s">
        <v>25</v>
      </c>
      <c r="I1957" s="5">
        <v>44013</v>
      </c>
      <c r="J1957" s="6">
        <v>0</v>
      </c>
      <c r="K1957" s="6">
        <v>0</v>
      </c>
      <c r="L1957" s="6">
        <v>3.7679999999999998</v>
      </c>
      <c r="M1957" s="6">
        <v>1.2434400000000001</v>
      </c>
      <c r="N1957" s="6">
        <v>3.7679999999999998</v>
      </c>
      <c r="O1957" s="6">
        <v>1.2434400000000001</v>
      </c>
      <c r="P1957" s="6">
        <v>0</v>
      </c>
      <c r="Q1957" s="4" t="s">
        <v>26</v>
      </c>
      <c r="R1957" s="4">
        <v>0</v>
      </c>
      <c r="S1957" s="6">
        <v>0</v>
      </c>
      <c r="T1957" s="6">
        <v>58</v>
      </c>
      <c r="U1957" s="6">
        <v>101</v>
      </c>
      <c r="V1957" s="6">
        <f>IF(ISERROR(VLOOKUP($S$1957,'TAR FIN'!$A$1:$O$120,15,0)),0,VLOOKUP($S$1957,'TAR FIN'!$A$1:$O$120,15,0))</f>
        <v>0</v>
      </c>
      <c r="W1957" s="6">
        <f>IF(ISERROR(VLOOKUP($T$1957,'TAR FIN'!$A$1:$O$120,15,0)),0,VLOOKUP($T$1957,'TAR FIN'!$A$1:$O$120,15,0))</f>
        <v>187.79</v>
      </c>
      <c r="X1957" s="6">
        <f>IF(ISERROR(VLOOKUP($U$1957,'TAR FIN'!$A$1:$O$120,15,0)),0,VLOOKUP($U$1957,'TAR FIN'!$A$1:$O$120,15,0))</f>
        <v>205.9</v>
      </c>
      <c r="Y1957" s="6"/>
      <c r="Z1957" s="6">
        <f ca="1">('TUSD BE'!$AM$68+'TUSD BF'!$AM$68+'TUSD CVA'!$AM$68)*(1-CUSTOS!$M$38)</f>
        <v>222.93739154100084</v>
      </c>
      <c r="AA1957" s="6">
        <f>('TE BE'!$AA$32+'TE BF'!$AA$32+'TE CVA'!$AA$32)*(1-CUSTOS!$M$38)</f>
        <v>199.18265392296476</v>
      </c>
      <c r="AB1957" s="6">
        <f>$K$1957*$V$1957</f>
        <v>0</v>
      </c>
      <c r="AC1957" s="6">
        <f>$M$1957*$W$1957</f>
        <v>233.50559760000002</v>
      </c>
      <c r="AD1957" s="6">
        <f>$O$1957*$X$1957</f>
        <v>256.02429600000005</v>
      </c>
      <c r="AE1957" s="6">
        <f>$K$1957*$Y$1957</f>
        <v>0</v>
      </c>
      <c r="AF1957" s="6">
        <f ca="1">$M$1957*$Z$1957</f>
        <v>277.20927013774212</v>
      </c>
      <c r="AG1957" s="6">
        <f>$O$1957*$AA$1957</f>
        <v>247.67167919397133</v>
      </c>
    </row>
    <row r="1958" spans="1:33" ht="11.25" customHeight="1" x14ac:dyDescent="0.25">
      <c r="A1958" s="4" t="s">
        <v>28</v>
      </c>
      <c r="B1958" s="4" t="s">
        <v>46</v>
      </c>
      <c r="C1958" s="4" t="s">
        <v>23</v>
      </c>
      <c r="D1958" s="4" t="s">
        <v>47</v>
      </c>
      <c r="E1958" s="4" t="s">
        <v>55</v>
      </c>
      <c r="F1958" s="4" t="s">
        <v>57</v>
      </c>
      <c r="G1958" s="4" t="s">
        <v>25</v>
      </c>
      <c r="H1958" s="4" t="s">
        <v>25</v>
      </c>
      <c r="I1958" s="5">
        <v>44013</v>
      </c>
      <c r="J1958" s="6">
        <v>0</v>
      </c>
      <c r="K1958" s="6">
        <v>0</v>
      </c>
      <c r="L1958" s="6">
        <v>0.31900000000000001</v>
      </c>
      <c r="M1958" s="6">
        <v>0.10527</v>
      </c>
      <c r="N1958" s="6">
        <v>0.31900000000000001</v>
      </c>
      <c r="O1958" s="6">
        <v>0.10527</v>
      </c>
      <c r="P1958" s="6">
        <v>0</v>
      </c>
      <c r="Q1958" s="4" t="s">
        <v>26</v>
      </c>
      <c r="R1958" s="4">
        <v>0</v>
      </c>
      <c r="S1958" s="6">
        <v>0</v>
      </c>
      <c r="T1958" s="6">
        <v>58</v>
      </c>
      <c r="U1958" s="6">
        <v>101</v>
      </c>
      <c r="V1958" s="6">
        <f>IF(ISERROR(VLOOKUP($S$1958,'TAR FIN'!$A$1:$O$120,15,0)),0,VLOOKUP($S$1958,'TAR FIN'!$A$1:$O$120,15,0))</f>
        <v>0</v>
      </c>
      <c r="W1958" s="6">
        <f>IF(ISERROR(VLOOKUP($T$1958,'TAR FIN'!$A$1:$O$120,15,0)),0,VLOOKUP($T$1958,'TAR FIN'!$A$1:$O$120,15,0))</f>
        <v>187.79</v>
      </c>
      <c r="X1958" s="6">
        <f>IF(ISERROR(VLOOKUP($U$1958,'TAR FIN'!$A$1:$O$120,15,0)),0,VLOOKUP($U$1958,'TAR FIN'!$A$1:$O$120,15,0))</f>
        <v>205.9</v>
      </c>
      <c r="Y1958" s="6"/>
      <c r="Z1958" s="6">
        <f ca="1">('TUSD BE'!$AM$68+'TUSD BF'!$AM$68+'TUSD CVA'!$AM$68)*(1-CUSTOS!$M$38)</f>
        <v>222.93739154100084</v>
      </c>
      <c r="AA1958" s="6">
        <f>('TE BE'!$AA$32+'TE BF'!$AA$32+'TE CVA'!$AA$32)*(1-CUSTOS!$M$38)</f>
        <v>199.18265392296476</v>
      </c>
      <c r="AB1958" s="6">
        <f>$K$1958*$V$1958</f>
        <v>0</v>
      </c>
      <c r="AC1958" s="6">
        <f>$M$1958*$W$1958</f>
        <v>19.7686533</v>
      </c>
      <c r="AD1958" s="6">
        <f>$O$1958*$X$1958</f>
        <v>21.675093</v>
      </c>
      <c r="AE1958" s="6">
        <f>$K$1958*$Y$1958</f>
        <v>0</v>
      </c>
      <c r="AF1958" s="6">
        <f ca="1">$M$1958*$Z$1958</f>
        <v>23.468619207521158</v>
      </c>
      <c r="AG1958" s="6">
        <f>$O$1958*$AA$1958</f>
        <v>20.967957978470501</v>
      </c>
    </row>
    <row r="1959" spans="1:33" ht="11.25" customHeight="1" x14ac:dyDescent="0.25">
      <c r="A1959" s="4" t="s">
        <v>21</v>
      </c>
      <c r="B1959" s="4" t="s">
        <v>46</v>
      </c>
      <c r="C1959" s="4" t="s">
        <v>23</v>
      </c>
      <c r="D1959" s="4" t="s">
        <v>47</v>
      </c>
      <c r="E1959" s="4" t="s">
        <v>55</v>
      </c>
      <c r="F1959" s="4" t="s">
        <v>57</v>
      </c>
      <c r="G1959" s="4" t="s">
        <v>25</v>
      </c>
      <c r="H1959" s="4" t="s">
        <v>25</v>
      </c>
      <c r="I1959" s="5">
        <v>44044</v>
      </c>
      <c r="J1959" s="6">
        <v>0</v>
      </c>
      <c r="K1959" s="6">
        <v>0</v>
      </c>
      <c r="L1959" s="6">
        <v>11.41</v>
      </c>
      <c r="M1959" s="6">
        <v>3.7652999999999999</v>
      </c>
      <c r="N1959" s="6">
        <v>11.41</v>
      </c>
      <c r="O1959" s="6">
        <v>3.7652999999999999</v>
      </c>
      <c r="P1959" s="6">
        <v>0</v>
      </c>
      <c r="Q1959" s="4" t="s">
        <v>26</v>
      </c>
      <c r="R1959" s="4">
        <v>0</v>
      </c>
      <c r="S1959" s="6">
        <v>0</v>
      </c>
      <c r="T1959" s="6">
        <v>58</v>
      </c>
      <c r="U1959" s="6">
        <v>101</v>
      </c>
      <c r="V1959" s="6">
        <f>IF(ISERROR(VLOOKUP($S$1959,'TAR FIN'!$A$1:$O$120,15,0)),0,VLOOKUP($S$1959,'TAR FIN'!$A$1:$O$120,15,0))</f>
        <v>0</v>
      </c>
      <c r="W1959" s="6">
        <f>IF(ISERROR(VLOOKUP($T$1959,'TAR FIN'!$A$1:$O$120,15,0)),0,VLOOKUP($T$1959,'TAR FIN'!$A$1:$O$120,15,0))</f>
        <v>187.79</v>
      </c>
      <c r="X1959" s="6">
        <f>IF(ISERROR(VLOOKUP($U$1959,'TAR FIN'!$A$1:$O$120,15,0)),0,VLOOKUP($U$1959,'TAR FIN'!$A$1:$O$120,15,0))</f>
        <v>205.9</v>
      </c>
      <c r="Y1959" s="6"/>
      <c r="Z1959" s="6">
        <f ca="1">('TUSD BE'!$AM$68+'TUSD BF'!$AM$68+'TUSD CVA'!$AM$68)*(1-CUSTOS!$M$38)</f>
        <v>222.93739154100084</v>
      </c>
      <c r="AA1959" s="6">
        <f>('TE BE'!$AA$32+'TE BF'!$AA$32+'TE CVA'!$AA$32)*(1-CUSTOS!$M$38)</f>
        <v>199.18265392296476</v>
      </c>
      <c r="AB1959" s="6">
        <f>$K$1959*$V$1959</f>
        <v>0</v>
      </c>
      <c r="AC1959" s="6">
        <f>$M$1959*$W$1959</f>
        <v>707.08568699999989</v>
      </c>
      <c r="AD1959" s="6">
        <f>$O$1959*$X$1959</f>
        <v>775.27526999999998</v>
      </c>
      <c r="AE1959" s="6">
        <f>$K$1959*$Y$1959</f>
        <v>0</v>
      </c>
      <c r="AF1959" s="6">
        <f ca="1">$M$1959*$Z$1959</f>
        <v>839.42616036933043</v>
      </c>
      <c r="AG1959" s="6">
        <f>$O$1959*$AA$1959</f>
        <v>749.98244681613915</v>
      </c>
    </row>
    <row r="1960" spans="1:33" ht="11.25" customHeight="1" x14ac:dyDescent="0.25">
      <c r="A1960" s="4" t="s">
        <v>59</v>
      </c>
      <c r="B1960" s="4" t="s">
        <v>46</v>
      </c>
      <c r="C1960" s="4" t="s">
        <v>23</v>
      </c>
      <c r="D1960" s="4" t="s">
        <v>47</v>
      </c>
      <c r="E1960" s="4" t="s">
        <v>55</v>
      </c>
      <c r="F1960" s="4" t="s">
        <v>57</v>
      </c>
      <c r="G1960" s="4" t="s">
        <v>25</v>
      </c>
      <c r="H1960" s="4" t="s">
        <v>25</v>
      </c>
      <c r="I1960" s="5">
        <v>44075</v>
      </c>
      <c r="J1960" s="6">
        <v>0</v>
      </c>
      <c r="K1960" s="6">
        <v>0</v>
      </c>
      <c r="L1960" s="6">
        <v>11.41</v>
      </c>
      <c r="M1960" s="6">
        <v>3.7652999999999999</v>
      </c>
      <c r="N1960" s="6">
        <v>11.41</v>
      </c>
      <c r="O1960" s="6">
        <v>3.7652999999999999</v>
      </c>
      <c r="P1960" s="6">
        <v>0</v>
      </c>
      <c r="Q1960" s="4" t="s">
        <v>26</v>
      </c>
      <c r="R1960" s="4">
        <v>0</v>
      </c>
      <c r="S1960" s="6">
        <v>0</v>
      </c>
      <c r="T1960" s="6">
        <v>58</v>
      </c>
      <c r="U1960" s="6">
        <v>101</v>
      </c>
      <c r="V1960" s="6">
        <f>IF(ISERROR(VLOOKUP($S$1960,'TAR FIN'!$A$1:$O$120,15,0)),0,VLOOKUP($S$1960,'TAR FIN'!$A$1:$O$120,15,0))</f>
        <v>0</v>
      </c>
      <c r="W1960" s="6">
        <f>IF(ISERROR(VLOOKUP($T$1960,'TAR FIN'!$A$1:$O$120,15,0)),0,VLOOKUP($T$1960,'TAR FIN'!$A$1:$O$120,15,0))</f>
        <v>187.79</v>
      </c>
      <c r="X1960" s="6">
        <f>IF(ISERROR(VLOOKUP($U$1960,'TAR FIN'!$A$1:$O$120,15,0)),0,VLOOKUP($U$1960,'TAR FIN'!$A$1:$O$120,15,0))</f>
        <v>205.9</v>
      </c>
      <c r="Y1960" s="6"/>
      <c r="Z1960" s="6">
        <f ca="1">('TUSD BE'!$AM$68+'TUSD BF'!$AM$68+'TUSD CVA'!$AM$68)*(1-CUSTOS!$M$38)</f>
        <v>222.93739154100084</v>
      </c>
      <c r="AA1960" s="6">
        <f>('TE BE'!$AA$32+'TE BF'!$AA$32+'TE CVA'!$AA$32)*(1-CUSTOS!$M$38)</f>
        <v>199.18265392296476</v>
      </c>
      <c r="AB1960" s="6">
        <f>$K$1960*$V$1960</f>
        <v>0</v>
      </c>
      <c r="AC1960" s="6">
        <f>$M$1960*$W$1960</f>
        <v>707.08568699999989</v>
      </c>
      <c r="AD1960" s="6">
        <f>$O$1960*$X$1960</f>
        <v>775.27526999999998</v>
      </c>
      <c r="AE1960" s="6">
        <f>$K$1960*$Y$1960</f>
        <v>0</v>
      </c>
      <c r="AF1960" s="6">
        <f ca="1">$M$1960*$Z$1960</f>
        <v>839.42616036933043</v>
      </c>
      <c r="AG1960" s="6">
        <f>$O$1960*$AA$1960</f>
        <v>749.98244681613915</v>
      </c>
    </row>
    <row r="1961" spans="1:33" ht="11.25" customHeight="1" x14ac:dyDescent="0.25">
      <c r="A1961" s="4" t="s">
        <v>21</v>
      </c>
      <c r="B1961" s="4" t="s">
        <v>46</v>
      </c>
      <c r="C1961" s="4" t="s">
        <v>23</v>
      </c>
      <c r="D1961" s="4" t="s">
        <v>47</v>
      </c>
      <c r="E1961" s="4" t="s">
        <v>25</v>
      </c>
      <c r="F1961" s="4" t="s">
        <v>25</v>
      </c>
      <c r="G1961" s="4" t="s">
        <v>25</v>
      </c>
      <c r="H1961" s="4" t="s">
        <v>25</v>
      </c>
      <c r="I1961" s="5">
        <v>43739</v>
      </c>
      <c r="J1961" s="6">
        <v>0</v>
      </c>
      <c r="K1961" s="6">
        <v>0</v>
      </c>
      <c r="L1961" s="6">
        <v>7720.8940000000002</v>
      </c>
      <c r="M1961" s="6">
        <v>7720.8940000000002</v>
      </c>
      <c r="N1961" s="6">
        <v>7720.8940000000002</v>
      </c>
      <c r="O1961" s="6">
        <v>7720.8940000000002</v>
      </c>
      <c r="P1961" s="6">
        <v>10456</v>
      </c>
      <c r="Q1961" s="4" t="s">
        <v>26</v>
      </c>
      <c r="R1961" s="4">
        <v>0</v>
      </c>
      <c r="S1961" s="6">
        <v>0</v>
      </c>
      <c r="T1961" s="6">
        <v>58</v>
      </c>
      <c r="U1961" s="6">
        <v>101</v>
      </c>
      <c r="V1961" s="6">
        <f>IF(ISERROR(VLOOKUP($S$1961,'TAR FIN'!$A$1:$O$120,15,0)),0,VLOOKUP($S$1961,'TAR FIN'!$A$1:$O$120,15,0))</f>
        <v>0</v>
      </c>
      <c r="W1961" s="6">
        <f>IF(ISERROR(VLOOKUP($T$1961,'TAR FIN'!$A$1:$O$120,15,0)),0,VLOOKUP($T$1961,'TAR FIN'!$A$1:$O$120,15,0))</f>
        <v>187.79</v>
      </c>
      <c r="X1961" s="6">
        <f>IF(ISERROR(VLOOKUP($U$1961,'TAR FIN'!$A$1:$O$120,15,0)),0,VLOOKUP($U$1961,'TAR FIN'!$A$1:$O$120,15,0))</f>
        <v>205.9</v>
      </c>
      <c r="Y1961" s="6"/>
      <c r="Z1961" s="6">
        <f ca="1">('TUSD BE'!$AM$68+'TUSD BF'!$AM$68+'TUSD CVA'!$AM$68)*(1-CUSTOS!$M$38)</f>
        <v>222.93739154100084</v>
      </c>
      <c r="AA1961" s="6">
        <f>('TE BE'!$AA$32+'TE BF'!$AA$32+'TE CVA'!$AA$32)*(1-CUSTOS!$M$38)</f>
        <v>199.18265392296476</v>
      </c>
      <c r="AB1961" s="6">
        <f>$K$1961*$V$1961</f>
        <v>0</v>
      </c>
      <c r="AC1961" s="6">
        <f>$M$1961*$W$1961</f>
        <v>1449906.68426</v>
      </c>
      <c r="AD1961" s="6">
        <f>$O$1961*$X$1961</f>
        <v>1589732.0746000002</v>
      </c>
      <c r="AE1961" s="6">
        <f>$K$1961*$Y$1961</f>
        <v>0</v>
      </c>
      <c r="AF1961" s="6">
        <f ca="1">$M$1961*$Z$1961</f>
        <v>1721275.9687245642</v>
      </c>
      <c r="AG1961" s="6">
        <f>$O$1961*$AA$1961</f>
        <v>1537868.1575778951</v>
      </c>
    </row>
    <row r="1962" spans="1:33" ht="11.25" customHeight="1" x14ac:dyDescent="0.25">
      <c r="A1962" s="4" t="s">
        <v>27</v>
      </c>
      <c r="B1962" s="4" t="s">
        <v>46</v>
      </c>
      <c r="C1962" s="4" t="s">
        <v>23</v>
      </c>
      <c r="D1962" s="4" t="s">
        <v>47</v>
      </c>
      <c r="E1962" s="4" t="s">
        <v>25</v>
      </c>
      <c r="F1962" s="4" t="s">
        <v>25</v>
      </c>
      <c r="G1962" s="4" t="s">
        <v>25</v>
      </c>
      <c r="H1962" s="4" t="s">
        <v>25</v>
      </c>
      <c r="I1962" s="5">
        <v>43739</v>
      </c>
      <c r="J1962" s="6">
        <v>0</v>
      </c>
      <c r="K1962" s="6">
        <v>0</v>
      </c>
      <c r="L1962" s="6">
        <v>42.47</v>
      </c>
      <c r="M1962" s="6">
        <v>42.47</v>
      </c>
      <c r="N1962" s="6">
        <v>42.47</v>
      </c>
      <c r="O1962" s="6">
        <v>42.47</v>
      </c>
      <c r="P1962" s="6">
        <v>3</v>
      </c>
      <c r="Q1962" s="4" t="s">
        <v>26</v>
      </c>
      <c r="R1962" s="4">
        <v>0</v>
      </c>
      <c r="S1962" s="6">
        <v>0</v>
      </c>
      <c r="T1962" s="6">
        <v>58</v>
      </c>
      <c r="U1962" s="6">
        <v>101</v>
      </c>
      <c r="V1962" s="6">
        <f>IF(ISERROR(VLOOKUP($S$1962,'TAR FIN'!$A$1:$O$120,15,0)),0,VLOOKUP($S$1962,'TAR FIN'!$A$1:$O$120,15,0))</f>
        <v>0</v>
      </c>
      <c r="W1962" s="6">
        <f>IF(ISERROR(VLOOKUP($T$1962,'TAR FIN'!$A$1:$O$120,15,0)),0,VLOOKUP($T$1962,'TAR FIN'!$A$1:$O$120,15,0))</f>
        <v>187.79</v>
      </c>
      <c r="X1962" s="6">
        <f>IF(ISERROR(VLOOKUP($U$1962,'TAR FIN'!$A$1:$O$120,15,0)),0,VLOOKUP($U$1962,'TAR FIN'!$A$1:$O$120,15,0))</f>
        <v>205.9</v>
      </c>
      <c r="Y1962" s="6"/>
      <c r="Z1962" s="6">
        <f ca="1">('TUSD BE'!$AM$68+'TUSD BF'!$AM$68+'TUSD CVA'!$AM$68)*(1-CUSTOS!$M$38)</f>
        <v>222.93739154100084</v>
      </c>
      <c r="AA1962" s="6">
        <f>('TE BE'!$AA$32+'TE BF'!$AA$32+'TE CVA'!$AA$32)*(1-CUSTOS!$M$38)</f>
        <v>199.18265392296476</v>
      </c>
      <c r="AB1962" s="6">
        <f>$K$1962*$V$1962</f>
        <v>0</v>
      </c>
      <c r="AC1962" s="6">
        <f>$M$1962*$W$1962</f>
        <v>7975.4412999999995</v>
      </c>
      <c r="AD1962" s="6">
        <f>$O$1962*$X$1962</f>
        <v>8744.5730000000003</v>
      </c>
      <c r="AE1962" s="6">
        <f>$K$1962*$Y$1962</f>
        <v>0</v>
      </c>
      <c r="AF1962" s="6">
        <f ca="1">$M$1962*$Z$1962</f>
        <v>9468.1510187463045</v>
      </c>
      <c r="AG1962" s="6">
        <f>$O$1962*$AA$1962</f>
        <v>8459.2873121083139</v>
      </c>
    </row>
    <row r="1963" spans="1:33" ht="11.25" customHeight="1" x14ac:dyDescent="0.25">
      <c r="A1963" s="4" t="s">
        <v>28</v>
      </c>
      <c r="B1963" s="4" t="s">
        <v>46</v>
      </c>
      <c r="C1963" s="4" t="s">
        <v>23</v>
      </c>
      <c r="D1963" s="4" t="s">
        <v>47</v>
      </c>
      <c r="E1963" s="4" t="s">
        <v>25</v>
      </c>
      <c r="F1963" s="4" t="s">
        <v>25</v>
      </c>
      <c r="G1963" s="4" t="s">
        <v>25</v>
      </c>
      <c r="H1963" s="4" t="s">
        <v>25</v>
      </c>
      <c r="I1963" s="5">
        <v>43739</v>
      </c>
      <c r="J1963" s="6">
        <v>0</v>
      </c>
      <c r="K1963" s="6">
        <v>0</v>
      </c>
      <c r="L1963" s="6">
        <v>50.860999999999997</v>
      </c>
      <c r="M1963" s="6">
        <v>50.860999999999997</v>
      </c>
      <c r="N1963" s="6">
        <v>50.860999999999997</v>
      </c>
      <c r="O1963" s="6">
        <v>50.860999999999997</v>
      </c>
      <c r="P1963" s="6">
        <v>37</v>
      </c>
      <c r="Q1963" s="4" t="s">
        <v>26</v>
      </c>
      <c r="R1963" s="4">
        <v>0</v>
      </c>
      <c r="S1963" s="6">
        <v>0</v>
      </c>
      <c r="T1963" s="6">
        <v>58</v>
      </c>
      <c r="U1963" s="6">
        <v>101</v>
      </c>
      <c r="V1963" s="6">
        <f>IF(ISERROR(VLOOKUP($S$1963,'TAR FIN'!$A$1:$O$120,15,0)),0,VLOOKUP($S$1963,'TAR FIN'!$A$1:$O$120,15,0))</f>
        <v>0</v>
      </c>
      <c r="W1963" s="6">
        <f>IF(ISERROR(VLOOKUP($T$1963,'TAR FIN'!$A$1:$O$120,15,0)),0,VLOOKUP($T$1963,'TAR FIN'!$A$1:$O$120,15,0))</f>
        <v>187.79</v>
      </c>
      <c r="X1963" s="6">
        <f>IF(ISERROR(VLOOKUP($U$1963,'TAR FIN'!$A$1:$O$120,15,0)),0,VLOOKUP($U$1963,'TAR FIN'!$A$1:$O$120,15,0))</f>
        <v>205.9</v>
      </c>
      <c r="Y1963" s="6"/>
      <c r="Z1963" s="6">
        <f ca="1">('TUSD BE'!$AM$68+'TUSD BF'!$AM$68+'TUSD CVA'!$AM$68)*(1-CUSTOS!$M$38)</f>
        <v>222.93739154100084</v>
      </c>
      <c r="AA1963" s="6">
        <f>('TE BE'!$AA$32+'TE BF'!$AA$32+'TE CVA'!$AA$32)*(1-CUSTOS!$M$38)</f>
        <v>199.18265392296476</v>
      </c>
      <c r="AB1963" s="6">
        <f>$K$1963*$V$1963</f>
        <v>0</v>
      </c>
      <c r="AC1963" s="6">
        <f>$M$1963*$W$1963</f>
        <v>9551.1871899999987</v>
      </c>
      <c r="AD1963" s="6">
        <f>$O$1963*$X$1963</f>
        <v>10472.2799</v>
      </c>
      <c r="AE1963" s="6">
        <f>$K$1963*$Y$1963</f>
        <v>0</v>
      </c>
      <c r="AF1963" s="6">
        <f ca="1">$M$1963*$Z$1963</f>
        <v>11338.818671166842</v>
      </c>
      <c r="AG1963" s="6">
        <f>$O$1963*$AA$1963</f>
        <v>10130.628961175909</v>
      </c>
    </row>
    <row r="1964" spans="1:33" ht="11.25" customHeight="1" x14ac:dyDescent="0.25">
      <c r="A1964" s="4" t="s">
        <v>21</v>
      </c>
      <c r="B1964" s="4" t="s">
        <v>46</v>
      </c>
      <c r="C1964" s="4" t="s">
        <v>23</v>
      </c>
      <c r="D1964" s="4" t="s">
        <v>47</v>
      </c>
      <c r="E1964" s="4" t="s">
        <v>25</v>
      </c>
      <c r="F1964" s="4" t="s">
        <v>25</v>
      </c>
      <c r="G1964" s="4" t="s">
        <v>25</v>
      </c>
      <c r="H1964" s="4" t="s">
        <v>25</v>
      </c>
      <c r="I1964" s="5">
        <v>43770</v>
      </c>
      <c r="J1964" s="6">
        <v>0</v>
      </c>
      <c r="K1964" s="6">
        <v>0</v>
      </c>
      <c r="L1964" s="6">
        <v>7581.4989999999998</v>
      </c>
      <c r="M1964" s="6">
        <v>7581.4989999999998</v>
      </c>
      <c r="N1964" s="6">
        <v>7581.4989999999998</v>
      </c>
      <c r="O1964" s="6">
        <v>7581.4989999999998</v>
      </c>
      <c r="P1964" s="6">
        <v>10432</v>
      </c>
      <c r="Q1964" s="4" t="s">
        <v>26</v>
      </c>
      <c r="R1964" s="4">
        <v>0</v>
      </c>
      <c r="S1964" s="6">
        <v>0</v>
      </c>
      <c r="T1964" s="6">
        <v>58</v>
      </c>
      <c r="U1964" s="6">
        <v>101</v>
      </c>
      <c r="V1964" s="6">
        <f>IF(ISERROR(VLOOKUP($S$1964,'TAR FIN'!$A$1:$O$120,15,0)),0,VLOOKUP($S$1964,'TAR FIN'!$A$1:$O$120,15,0))</f>
        <v>0</v>
      </c>
      <c r="W1964" s="6">
        <f>IF(ISERROR(VLOOKUP($T$1964,'TAR FIN'!$A$1:$O$120,15,0)),0,VLOOKUP($T$1964,'TAR FIN'!$A$1:$O$120,15,0))</f>
        <v>187.79</v>
      </c>
      <c r="X1964" s="6">
        <f>IF(ISERROR(VLOOKUP($U$1964,'TAR FIN'!$A$1:$O$120,15,0)),0,VLOOKUP($U$1964,'TAR FIN'!$A$1:$O$120,15,0))</f>
        <v>205.9</v>
      </c>
      <c r="Y1964" s="6"/>
      <c r="Z1964" s="6">
        <f ca="1">('TUSD BE'!$AM$68+'TUSD BF'!$AM$68+'TUSD CVA'!$AM$68)*(1-CUSTOS!$M$38)</f>
        <v>222.93739154100084</v>
      </c>
      <c r="AA1964" s="6">
        <f>('TE BE'!$AA$32+'TE BF'!$AA$32+'TE CVA'!$AA$32)*(1-CUSTOS!$M$38)</f>
        <v>199.18265392296476</v>
      </c>
      <c r="AB1964" s="6">
        <f>$K$1964*$V$1964</f>
        <v>0</v>
      </c>
      <c r="AC1964" s="6">
        <f>$M$1964*$W$1964</f>
        <v>1423729.6972099999</v>
      </c>
      <c r="AD1964" s="6">
        <f>$O$1964*$X$1964</f>
        <v>1561030.6440999999</v>
      </c>
      <c r="AE1964" s="6">
        <f>$K$1964*$Y$1964</f>
        <v>0</v>
      </c>
      <c r="AF1964" s="6">
        <f ca="1">$M$1964*$Z$1964</f>
        <v>1690199.6110307062</v>
      </c>
      <c r="AG1964" s="6">
        <f>$O$1964*$AA$1964</f>
        <v>1510103.0915343033</v>
      </c>
    </row>
    <row r="1965" spans="1:33" ht="11.25" customHeight="1" x14ac:dyDescent="0.25">
      <c r="A1965" s="4" t="s">
        <v>27</v>
      </c>
      <c r="B1965" s="4" t="s">
        <v>46</v>
      </c>
      <c r="C1965" s="4" t="s">
        <v>23</v>
      </c>
      <c r="D1965" s="4" t="s">
        <v>47</v>
      </c>
      <c r="E1965" s="4" t="s">
        <v>25</v>
      </c>
      <c r="F1965" s="4" t="s">
        <v>25</v>
      </c>
      <c r="G1965" s="4" t="s">
        <v>25</v>
      </c>
      <c r="H1965" s="4" t="s">
        <v>25</v>
      </c>
      <c r="I1965" s="5">
        <v>43770</v>
      </c>
      <c r="J1965" s="6">
        <v>0</v>
      </c>
      <c r="K1965" s="6">
        <v>0</v>
      </c>
      <c r="L1965" s="6">
        <v>4.6390000000000002</v>
      </c>
      <c r="M1965" s="6">
        <v>4.6390000000000002</v>
      </c>
      <c r="N1965" s="6">
        <v>4.6390000000000002</v>
      </c>
      <c r="O1965" s="6">
        <v>4.6390000000000002</v>
      </c>
      <c r="P1965" s="6">
        <v>2</v>
      </c>
      <c r="Q1965" s="4" t="s">
        <v>26</v>
      </c>
      <c r="R1965" s="4">
        <v>0</v>
      </c>
      <c r="S1965" s="6">
        <v>0</v>
      </c>
      <c r="T1965" s="6">
        <v>58</v>
      </c>
      <c r="U1965" s="6">
        <v>101</v>
      </c>
      <c r="V1965" s="6">
        <f>IF(ISERROR(VLOOKUP($S$1965,'TAR FIN'!$A$1:$O$120,15,0)),0,VLOOKUP($S$1965,'TAR FIN'!$A$1:$O$120,15,0))</f>
        <v>0</v>
      </c>
      <c r="W1965" s="6">
        <f>IF(ISERROR(VLOOKUP($T$1965,'TAR FIN'!$A$1:$O$120,15,0)),0,VLOOKUP($T$1965,'TAR FIN'!$A$1:$O$120,15,0))</f>
        <v>187.79</v>
      </c>
      <c r="X1965" s="6">
        <f>IF(ISERROR(VLOOKUP($U$1965,'TAR FIN'!$A$1:$O$120,15,0)),0,VLOOKUP($U$1965,'TAR FIN'!$A$1:$O$120,15,0))</f>
        <v>205.9</v>
      </c>
      <c r="Y1965" s="6"/>
      <c r="Z1965" s="6">
        <f ca="1">('TUSD BE'!$AM$68+'TUSD BF'!$AM$68+'TUSD CVA'!$AM$68)*(1-CUSTOS!$M$38)</f>
        <v>222.93739154100084</v>
      </c>
      <c r="AA1965" s="6">
        <f>('TE BE'!$AA$32+'TE BF'!$AA$32+'TE CVA'!$AA$32)*(1-CUSTOS!$M$38)</f>
        <v>199.18265392296476</v>
      </c>
      <c r="AB1965" s="6">
        <f>$K$1965*$V$1965</f>
        <v>0</v>
      </c>
      <c r="AC1965" s="6">
        <f>$M$1965*$W$1965</f>
        <v>871.15781000000004</v>
      </c>
      <c r="AD1965" s="6">
        <f>$O$1965*$X$1965</f>
        <v>955.17010000000005</v>
      </c>
      <c r="AE1965" s="6">
        <f>$K$1965*$Y$1965</f>
        <v>0</v>
      </c>
      <c r="AF1965" s="6">
        <f ca="1">$M$1965*$Z$1965</f>
        <v>1034.2065593587029</v>
      </c>
      <c r="AG1965" s="6">
        <f>$O$1965*$AA$1965</f>
        <v>924.00833154863358</v>
      </c>
    </row>
    <row r="1966" spans="1:33" ht="11.25" customHeight="1" x14ac:dyDescent="0.25">
      <c r="A1966" s="4" t="s">
        <v>28</v>
      </c>
      <c r="B1966" s="4" t="s">
        <v>46</v>
      </c>
      <c r="C1966" s="4" t="s">
        <v>23</v>
      </c>
      <c r="D1966" s="4" t="s">
        <v>47</v>
      </c>
      <c r="E1966" s="4" t="s">
        <v>25</v>
      </c>
      <c r="F1966" s="4" t="s">
        <v>25</v>
      </c>
      <c r="G1966" s="4" t="s">
        <v>25</v>
      </c>
      <c r="H1966" s="4" t="s">
        <v>25</v>
      </c>
      <c r="I1966" s="5">
        <v>43770</v>
      </c>
      <c r="J1966" s="6">
        <v>0</v>
      </c>
      <c r="K1966" s="6">
        <v>0</v>
      </c>
      <c r="L1966" s="6">
        <v>58.378999999999998</v>
      </c>
      <c r="M1966" s="6">
        <v>58.378999999999998</v>
      </c>
      <c r="N1966" s="6">
        <v>58.378999999999998</v>
      </c>
      <c r="O1966" s="6">
        <v>58.378999999999998</v>
      </c>
      <c r="P1966" s="6">
        <v>37</v>
      </c>
      <c r="Q1966" s="4" t="s">
        <v>26</v>
      </c>
      <c r="R1966" s="4">
        <v>0</v>
      </c>
      <c r="S1966" s="6">
        <v>0</v>
      </c>
      <c r="T1966" s="6">
        <v>58</v>
      </c>
      <c r="U1966" s="6">
        <v>101</v>
      </c>
      <c r="V1966" s="6">
        <f>IF(ISERROR(VLOOKUP($S$1966,'TAR FIN'!$A$1:$O$120,15,0)),0,VLOOKUP($S$1966,'TAR FIN'!$A$1:$O$120,15,0))</f>
        <v>0</v>
      </c>
      <c r="W1966" s="6">
        <f>IF(ISERROR(VLOOKUP($T$1966,'TAR FIN'!$A$1:$O$120,15,0)),0,VLOOKUP($T$1966,'TAR FIN'!$A$1:$O$120,15,0))</f>
        <v>187.79</v>
      </c>
      <c r="X1966" s="6">
        <f>IF(ISERROR(VLOOKUP($U$1966,'TAR FIN'!$A$1:$O$120,15,0)),0,VLOOKUP($U$1966,'TAR FIN'!$A$1:$O$120,15,0))</f>
        <v>205.9</v>
      </c>
      <c r="Y1966" s="6"/>
      <c r="Z1966" s="6">
        <f ca="1">('TUSD BE'!$AM$68+'TUSD BF'!$AM$68+'TUSD CVA'!$AM$68)*(1-CUSTOS!$M$38)</f>
        <v>222.93739154100084</v>
      </c>
      <c r="AA1966" s="6">
        <f>('TE BE'!$AA$32+'TE BF'!$AA$32+'TE CVA'!$AA$32)*(1-CUSTOS!$M$38)</f>
        <v>199.18265392296476</v>
      </c>
      <c r="AB1966" s="6">
        <f>$K$1966*$V$1966</f>
        <v>0</v>
      </c>
      <c r="AC1966" s="6">
        <f>$M$1966*$W$1966</f>
        <v>10962.992409999999</v>
      </c>
      <c r="AD1966" s="6">
        <f>$O$1966*$X$1966</f>
        <v>12020.2361</v>
      </c>
      <c r="AE1966" s="6">
        <f>$K$1966*$Y$1966</f>
        <v>0</v>
      </c>
      <c r="AF1966" s="6">
        <f ca="1">$M$1966*$Z$1966</f>
        <v>13014.861980772088</v>
      </c>
      <c r="AG1966" s="6">
        <f>$O$1966*$AA$1966</f>
        <v>11628.08415336876</v>
      </c>
    </row>
    <row r="1967" spans="1:33" ht="11.25" customHeight="1" x14ac:dyDescent="0.25">
      <c r="A1967" s="4" t="s">
        <v>28</v>
      </c>
      <c r="B1967" s="4" t="s">
        <v>46</v>
      </c>
      <c r="C1967" s="4" t="s">
        <v>23</v>
      </c>
      <c r="D1967" s="4" t="s">
        <v>47</v>
      </c>
      <c r="E1967" s="4" t="s">
        <v>25</v>
      </c>
      <c r="F1967" s="4" t="s">
        <v>25</v>
      </c>
      <c r="G1967" s="4" t="s">
        <v>25</v>
      </c>
      <c r="H1967" s="4" t="s">
        <v>25</v>
      </c>
      <c r="I1967" s="5">
        <v>43770</v>
      </c>
      <c r="J1967" s="6">
        <v>0</v>
      </c>
      <c r="K1967" s="6">
        <v>0</v>
      </c>
      <c r="L1967" s="6">
        <v>18.405999999999999</v>
      </c>
      <c r="M1967" s="6">
        <v>18.405999999999999</v>
      </c>
      <c r="N1967" s="6">
        <v>18.405999999999999</v>
      </c>
      <c r="O1967" s="6">
        <v>18.405999999999999</v>
      </c>
      <c r="P1967" s="6">
        <v>1</v>
      </c>
      <c r="Q1967" s="4" t="s">
        <v>26</v>
      </c>
      <c r="R1967" s="4">
        <v>0</v>
      </c>
      <c r="S1967" s="6">
        <v>0</v>
      </c>
      <c r="T1967" s="6">
        <v>58</v>
      </c>
      <c r="U1967" s="6">
        <v>101</v>
      </c>
      <c r="V1967" s="6">
        <f>IF(ISERROR(VLOOKUP($S$1967,'TAR FIN'!$A$1:$O$120,15,0)),0,VLOOKUP($S$1967,'TAR FIN'!$A$1:$O$120,15,0))</f>
        <v>0</v>
      </c>
      <c r="W1967" s="6">
        <f>IF(ISERROR(VLOOKUP($T$1967,'TAR FIN'!$A$1:$O$120,15,0)),0,VLOOKUP($T$1967,'TAR FIN'!$A$1:$O$120,15,0))</f>
        <v>187.79</v>
      </c>
      <c r="X1967" s="6">
        <f>IF(ISERROR(VLOOKUP($U$1967,'TAR FIN'!$A$1:$O$120,15,0)),0,VLOOKUP($U$1967,'TAR FIN'!$A$1:$O$120,15,0))</f>
        <v>205.9</v>
      </c>
      <c r="Y1967" s="6"/>
      <c r="Z1967" s="6">
        <f ca="1">('TUSD BE'!$AM$68+'TUSD BF'!$AM$68+'TUSD CVA'!$AM$68)*(1-CUSTOS!$M$38)</f>
        <v>222.93739154100084</v>
      </c>
      <c r="AA1967" s="6">
        <f>('TE BE'!$AA$32+'TE BF'!$AA$32+'TE CVA'!$AA$32)*(1-CUSTOS!$M$38)</f>
        <v>199.18265392296476</v>
      </c>
      <c r="AB1967" s="6">
        <f>$K$1967*$V$1967</f>
        <v>0</v>
      </c>
      <c r="AC1967" s="6">
        <f>$M$1967*$W$1967</f>
        <v>3456.4627399999995</v>
      </c>
      <c r="AD1967" s="6">
        <f>$O$1967*$X$1967</f>
        <v>3789.7954</v>
      </c>
      <c r="AE1967" s="6">
        <f>$K$1967*$Y$1967</f>
        <v>0</v>
      </c>
      <c r="AF1967" s="6">
        <f ca="1">$M$1967*$Z$1967</f>
        <v>4103.3856287036615</v>
      </c>
      <c r="AG1967" s="6">
        <f>$O$1967*$AA$1967</f>
        <v>3666.155928106089</v>
      </c>
    </row>
    <row r="1968" spans="1:33" ht="11.25" customHeight="1" x14ac:dyDescent="0.25">
      <c r="A1968" s="4" t="s">
        <v>21</v>
      </c>
      <c r="B1968" s="4" t="s">
        <v>46</v>
      </c>
      <c r="C1968" s="4" t="s">
        <v>23</v>
      </c>
      <c r="D1968" s="4" t="s">
        <v>47</v>
      </c>
      <c r="E1968" s="4" t="s">
        <v>25</v>
      </c>
      <c r="F1968" s="4" t="s">
        <v>25</v>
      </c>
      <c r="G1968" s="4" t="s">
        <v>25</v>
      </c>
      <c r="H1968" s="4" t="s">
        <v>25</v>
      </c>
      <c r="I1968" s="5">
        <v>43800</v>
      </c>
      <c r="J1968" s="6">
        <v>0</v>
      </c>
      <c r="K1968" s="6">
        <v>0</v>
      </c>
      <c r="L1968" s="6">
        <v>6202.0659999999998</v>
      </c>
      <c r="M1968" s="6">
        <v>6202.0659999999998</v>
      </c>
      <c r="N1968" s="6">
        <v>6202.0659999999998</v>
      </c>
      <c r="O1968" s="6">
        <v>6202.0659999999998</v>
      </c>
      <c r="P1968" s="6">
        <v>10445</v>
      </c>
      <c r="Q1968" s="4" t="s">
        <v>26</v>
      </c>
      <c r="R1968" s="4">
        <v>0</v>
      </c>
      <c r="S1968" s="6">
        <v>0</v>
      </c>
      <c r="T1968" s="6">
        <v>58</v>
      </c>
      <c r="U1968" s="6">
        <v>101</v>
      </c>
      <c r="V1968" s="6">
        <f>IF(ISERROR(VLOOKUP($S$1968,'TAR FIN'!$A$1:$O$120,15,0)),0,VLOOKUP($S$1968,'TAR FIN'!$A$1:$O$120,15,0))</f>
        <v>0</v>
      </c>
      <c r="W1968" s="6">
        <f>IF(ISERROR(VLOOKUP($T$1968,'TAR FIN'!$A$1:$O$120,15,0)),0,VLOOKUP($T$1968,'TAR FIN'!$A$1:$O$120,15,0))</f>
        <v>187.79</v>
      </c>
      <c r="X1968" s="6">
        <f>IF(ISERROR(VLOOKUP($U$1968,'TAR FIN'!$A$1:$O$120,15,0)),0,VLOOKUP($U$1968,'TAR FIN'!$A$1:$O$120,15,0))</f>
        <v>205.9</v>
      </c>
      <c r="Y1968" s="6"/>
      <c r="Z1968" s="6">
        <f ca="1">('TUSD BE'!$AM$68+'TUSD BF'!$AM$68+'TUSD CVA'!$AM$68)*(1-CUSTOS!$M$38)</f>
        <v>222.93739154100084</v>
      </c>
      <c r="AA1968" s="6">
        <f>('TE BE'!$AA$32+'TE BF'!$AA$32+'TE CVA'!$AA$32)*(1-CUSTOS!$M$38)</f>
        <v>199.18265392296476</v>
      </c>
      <c r="AB1968" s="6">
        <f>$K$1968*$V$1968</f>
        <v>0</v>
      </c>
      <c r="AC1968" s="6">
        <f>$M$1968*$W$1968</f>
        <v>1164685.9741399998</v>
      </c>
      <c r="AD1968" s="6">
        <f>$O$1968*$X$1968</f>
        <v>1277005.3894</v>
      </c>
      <c r="AE1968" s="6">
        <f>$K$1968*$Y$1968</f>
        <v>0</v>
      </c>
      <c r="AF1968" s="6">
        <f ca="1">$M$1968*$Z$1968</f>
        <v>1382672.4162051289</v>
      </c>
      <c r="AG1968" s="6">
        <f>$O$1968*$AA$1968</f>
        <v>1235343.9656853862</v>
      </c>
    </row>
    <row r="1969" spans="1:33" ht="11.25" customHeight="1" x14ac:dyDescent="0.25">
      <c r="A1969" s="4" t="s">
        <v>27</v>
      </c>
      <c r="B1969" s="4" t="s">
        <v>46</v>
      </c>
      <c r="C1969" s="4" t="s">
        <v>23</v>
      </c>
      <c r="D1969" s="4" t="s">
        <v>47</v>
      </c>
      <c r="E1969" s="4" t="s">
        <v>25</v>
      </c>
      <c r="F1969" s="4" t="s">
        <v>25</v>
      </c>
      <c r="G1969" s="4" t="s">
        <v>25</v>
      </c>
      <c r="H1969" s="4" t="s">
        <v>25</v>
      </c>
      <c r="I1969" s="5">
        <v>43800</v>
      </c>
      <c r="J1969" s="6">
        <v>0</v>
      </c>
      <c r="K1969" s="6">
        <v>0</v>
      </c>
      <c r="L1969" s="6">
        <v>64.376000000000005</v>
      </c>
      <c r="M1969" s="6">
        <v>64.376000000000005</v>
      </c>
      <c r="N1969" s="6">
        <v>64.376000000000005</v>
      </c>
      <c r="O1969" s="6">
        <v>64.376000000000005</v>
      </c>
      <c r="P1969" s="6">
        <v>3</v>
      </c>
      <c r="Q1969" s="4" t="s">
        <v>26</v>
      </c>
      <c r="R1969" s="4">
        <v>0</v>
      </c>
      <c r="S1969" s="6">
        <v>0</v>
      </c>
      <c r="T1969" s="6">
        <v>58</v>
      </c>
      <c r="U1969" s="6">
        <v>101</v>
      </c>
      <c r="V1969" s="6">
        <f>IF(ISERROR(VLOOKUP($S$1969,'TAR FIN'!$A$1:$O$120,15,0)),0,VLOOKUP($S$1969,'TAR FIN'!$A$1:$O$120,15,0))</f>
        <v>0</v>
      </c>
      <c r="W1969" s="6">
        <f>IF(ISERROR(VLOOKUP($T$1969,'TAR FIN'!$A$1:$O$120,15,0)),0,VLOOKUP($T$1969,'TAR FIN'!$A$1:$O$120,15,0))</f>
        <v>187.79</v>
      </c>
      <c r="X1969" s="6">
        <f>IF(ISERROR(VLOOKUP($U$1969,'TAR FIN'!$A$1:$O$120,15,0)),0,VLOOKUP($U$1969,'TAR FIN'!$A$1:$O$120,15,0))</f>
        <v>205.9</v>
      </c>
      <c r="Y1969" s="6"/>
      <c r="Z1969" s="6">
        <f ca="1">('TUSD BE'!$AM$68+'TUSD BF'!$AM$68+'TUSD CVA'!$AM$68)*(1-CUSTOS!$M$38)</f>
        <v>222.93739154100084</v>
      </c>
      <c r="AA1969" s="6">
        <f>('TE BE'!$AA$32+'TE BF'!$AA$32+'TE CVA'!$AA$32)*(1-CUSTOS!$M$38)</f>
        <v>199.18265392296476</v>
      </c>
      <c r="AB1969" s="6">
        <f>$K$1969*$V$1969</f>
        <v>0</v>
      </c>
      <c r="AC1969" s="6">
        <f>$M$1969*$W$1969</f>
        <v>12089.169040000001</v>
      </c>
      <c r="AD1969" s="6">
        <f>$O$1969*$X$1969</f>
        <v>13255.018400000001</v>
      </c>
      <c r="AE1969" s="6">
        <f>$K$1969*$Y$1969</f>
        <v>0</v>
      </c>
      <c r="AF1969" s="6">
        <f ca="1">$M$1969*$Z$1969</f>
        <v>14351.81751784347</v>
      </c>
      <c r="AG1969" s="6">
        <f>$O$1969*$AA$1969</f>
        <v>12822.58252894478</v>
      </c>
    </row>
    <row r="1970" spans="1:33" ht="11.25" customHeight="1" x14ac:dyDescent="0.25">
      <c r="A1970" s="4" t="s">
        <v>28</v>
      </c>
      <c r="B1970" s="4" t="s">
        <v>46</v>
      </c>
      <c r="C1970" s="4" t="s">
        <v>23</v>
      </c>
      <c r="D1970" s="4" t="s">
        <v>47</v>
      </c>
      <c r="E1970" s="4" t="s">
        <v>25</v>
      </c>
      <c r="F1970" s="4" t="s">
        <v>25</v>
      </c>
      <c r="G1970" s="4" t="s">
        <v>25</v>
      </c>
      <c r="H1970" s="4" t="s">
        <v>25</v>
      </c>
      <c r="I1970" s="5">
        <v>43800</v>
      </c>
      <c r="J1970" s="6">
        <v>0</v>
      </c>
      <c r="K1970" s="6">
        <v>0</v>
      </c>
      <c r="L1970" s="6">
        <v>33.963000000000001</v>
      </c>
      <c r="M1970" s="6">
        <v>33.963000000000001</v>
      </c>
      <c r="N1970" s="6">
        <v>33.963000000000001</v>
      </c>
      <c r="O1970" s="6">
        <v>33.963000000000001</v>
      </c>
      <c r="P1970" s="6">
        <v>37</v>
      </c>
      <c r="Q1970" s="4" t="s">
        <v>26</v>
      </c>
      <c r="R1970" s="4">
        <v>0</v>
      </c>
      <c r="S1970" s="6">
        <v>0</v>
      </c>
      <c r="T1970" s="6">
        <v>58</v>
      </c>
      <c r="U1970" s="6">
        <v>101</v>
      </c>
      <c r="V1970" s="6">
        <f>IF(ISERROR(VLOOKUP($S$1970,'TAR FIN'!$A$1:$O$120,15,0)),0,VLOOKUP($S$1970,'TAR FIN'!$A$1:$O$120,15,0))</f>
        <v>0</v>
      </c>
      <c r="W1970" s="6">
        <f>IF(ISERROR(VLOOKUP($T$1970,'TAR FIN'!$A$1:$O$120,15,0)),0,VLOOKUP($T$1970,'TAR FIN'!$A$1:$O$120,15,0))</f>
        <v>187.79</v>
      </c>
      <c r="X1970" s="6">
        <f>IF(ISERROR(VLOOKUP($U$1970,'TAR FIN'!$A$1:$O$120,15,0)),0,VLOOKUP($U$1970,'TAR FIN'!$A$1:$O$120,15,0))</f>
        <v>205.9</v>
      </c>
      <c r="Y1970" s="6"/>
      <c r="Z1970" s="6">
        <f ca="1">('TUSD BE'!$AM$68+'TUSD BF'!$AM$68+'TUSD CVA'!$AM$68)*(1-CUSTOS!$M$38)</f>
        <v>222.93739154100084</v>
      </c>
      <c r="AA1970" s="6">
        <f>('TE BE'!$AA$32+'TE BF'!$AA$32+'TE CVA'!$AA$32)*(1-CUSTOS!$M$38)</f>
        <v>199.18265392296476</v>
      </c>
      <c r="AB1970" s="6">
        <f>$K$1970*$V$1970</f>
        <v>0</v>
      </c>
      <c r="AC1970" s="6">
        <f>$M$1970*$W$1970</f>
        <v>6377.9117699999997</v>
      </c>
      <c r="AD1970" s="6">
        <f>$O$1970*$X$1970</f>
        <v>6992.9817000000003</v>
      </c>
      <c r="AE1970" s="6">
        <f>$K$1970*$Y$1970</f>
        <v>0</v>
      </c>
      <c r="AF1970" s="6">
        <f ca="1">$M$1970*$Z$1970</f>
        <v>7571.6226289070119</v>
      </c>
      <c r="AG1970" s="6">
        <f>$O$1970*$AA$1970</f>
        <v>6764.8404751856524</v>
      </c>
    </row>
    <row r="1971" spans="1:33" ht="11.25" customHeight="1" x14ac:dyDescent="0.25">
      <c r="A1971" s="4" t="s">
        <v>21</v>
      </c>
      <c r="B1971" s="4" t="s">
        <v>46</v>
      </c>
      <c r="C1971" s="4" t="s">
        <v>23</v>
      </c>
      <c r="D1971" s="4" t="s">
        <v>47</v>
      </c>
      <c r="E1971" s="4" t="s">
        <v>25</v>
      </c>
      <c r="F1971" s="4" t="s">
        <v>25</v>
      </c>
      <c r="G1971" s="4" t="s">
        <v>25</v>
      </c>
      <c r="H1971" s="4" t="s">
        <v>25</v>
      </c>
      <c r="I1971" s="5">
        <v>43831</v>
      </c>
      <c r="J1971" s="6">
        <v>0</v>
      </c>
      <c r="K1971" s="6">
        <v>0</v>
      </c>
      <c r="L1971" s="6">
        <v>6740.6080000000002</v>
      </c>
      <c r="M1971" s="6">
        <v>6740.6080000000002</v>
      </c>
      <c r="N1971" s="6">
        <v>6740.6080000000002</v>
      </c>
      <c r="O1971" s="6">
        <v>6740.6080000000002</v>
      </c>
      <c r="P1971" s="6">
        <v>10125</v>
      </c>
      <c r="Q1971" s="4" t="s">
        <v>26</v>
      </c>
      <c r="R1971" s="4">
        <v>0</v>
      </c>
      <c r="S1971" s="6">
        <v>0</v>
      </c>
      <c r="T1971" s="6">
        <v>58</v>
      </c>
      <c r="U1971" s="6">
        <v>101</v>
      </c>
      <c r="V1971" s="6">
        <f>IF(ISERROR(VLOOKUP($S$1971,'TAR FIN'!$A$1:$O$120,15,0)),0,VLOOKUP($S$1971,'TAR FIN'!$A$1:$O$120,15,0))</f>
        <v>0</v>
      </c>
      <c r="W1971" s="6">
        <f>IF(ISERROR(VLOOKUP($T$1971,'TAR FIN'!$A$1:$O$120,15,0)),0,VLOOKUP($T$1971,'TAR FIN'!$A$1:$O$120,15,0))</f>
        <v>187.79</v>
      </c>
      <c r="X1971" s="6">
        <f>IF(ISERROR(VLOOKUP($U$1971,'TAR FIN'!$A$1:$O$120,15,0)),0,VLOOKUP($U$1971,'TAR FIN'!$A$1:$O$120,15,0))</f>
        <v>205.9</v>
      </c>
      <c r="Y1971" s="6"/>
      <c r="Z1971" s="6">
        <f ca="1">('TUSD BE'!$AM$68+'TUSD BF'!$AM$68+'TUSD CVA'!$AM$68)*(1-CUSTOS!$M$38)</f>
        <v>222.93739154100084</v>
      </c>
      <c r="AA1971" s="6">
        <f>('TE BE'!$AA$32+'TE BF'!$AA$32+'TE CVA'!$AA$32)*(1-CUSTOS!$M$38)</f>
        <v>199.18265392296476</v>
      </c>
      <c r="AB1971" s="6">
        <f>$K$1971*$V$1971</f>
        <v>0</v>
      </c>
      <c r="AC1971" s="6">
        <f>$M$1971*$W$1971</f>
        <v>1265818.7763199999</v>
      </c>
      <c r="AD1971" s="6">
        <f>$O$1971*$X$1971</f>
        <v>1387891.1872</v>
      </c>
      <c r="AE1971" s="6">
        <f>$K$1971*$Y$1971</f>
        <v>0</v>
      </c>
      <c r="AF1971" s="6">
        <f ca="1">$M$1971*$Z$1971</f>
        <v>1502733.5649204026</v>
      </c>
      <c r="AG1971" s="6">
        <f>$O$1971*$AA$1971</f>
        <v>1342612.1904943676</v>
      </c>
    </row>
    <row r="1972" spans="1:33" ht="11.25" customHeight="1" x14ac:dyDescent="0.25">
      <c r="A1972" s="4" t="s">
        <v>27</v>
      </c>
      <c r="B1972" s="4" t="s">
        <v>46</v>
      </c>
      <c r="C1972" s="4" t="s">
        <v>23</v>
      </c>
      <c r="D1972" s="4" t="s">
        <v>47</v>
      </c>
      <c r="E1972" s="4" t="s">
        <v>25</v>
      </c>
      <c r="F1972" s="4" t="s">
        <v>25</v>
      </c>
      <c r="G1972" s="4" t="s">
        <v>25</v>
      </c>
      <c r="H1972" s="4" t="s">
        <v>25</v>
      </c>
      <c r="I1972" s="5">
        <v>43831</v>
      </c>
      <c r="J1972" s="6">
        <v>0</v>
      </c>
      <c r="K1972" s="6">
        <v>0</v>
      </c>
      <c r="L1972" s="6">
        <v>20.719000000000001</v>
      </c>
      <c r="M1972" s="6">
        <v>20.719000000000001</v>
      </c>
      <c r="N1972" s="6">
        <v>20.719000000000001</v>
      </c>
      <c r="O1972" s="6">
        <v>20.719000000000001</v>
      </c>
      <c r="P1972" s="6">
        <v>9</v>
      </c>
      <c r="Q1972" s="4" t="s">
        <v>26</v>
      </c>
      <c r="R1972" s="4">
        <v>0</v>
      </c>
      <c r="S1972" s="6">
        <v>0</v>
      </c>
      <c r="T1972" s="6">
        <v>58</v>
      </c>
      <c r="U1972" s="6">
        <v>101</v>
      </c>
      <c r="V1972" s="6">
        <f>IF(ISERROR(VLOOKUP($S$1972,'TAR FIN'!$A$1:$O$120,15,0)),0,VLOOKUP($S$1972,'TAR FIN'!$A$1:$O$120,15,0))</f>
        <v>0</v>
      </c>
      <c r="W1972" s="6">
        <f>IF(ISERROR(VLOOKUP($T$1972,'TAR FIN'!$A$1:$O$120,15,0)),0,VLOOKUP($T$1972,'TAR FIN'!$A$1:$O$120,15,0))</f>
        <v>187.79</v>
      </c>
      <c r="X1972" s="6">
        <f>IF(ISERROR(VLOOKUP($U$1972,'TAR FIN'!$A$1:$O$120,15,0)),0,VLOOKUP($U$1972,'TAR FIN'!$A$1:$O$120,15,0))</f>
        <v>205.9</v>
      </c>
      <c r="Y1972" s="6"/>
      <c r="Z1972" s="6">
        <f ca="1">('TUSD BE'!$AM$68+'TUSD BF'!$AM$68+'TUSD CVA'!$AM$68)*(1-CUSTOS!$M$38)</f>
        <v>222.93739154100084</v>
      </c>
      <c r="AA1972" s="6">
        <f>('TE BE'!$AA$32+'TE BF'!$AA$32+'TE CVA'!$AA$32)*(1-CUSTOS!$M$38)</f>
        <v>199.18265392296476</v>
      </c>
      <c r="AB1972" s="6">
        <f>$K$1972*$V$1972</f>
        <v>0</v>
      </c>
      <c r="AC1972" s="6">
        <f>$M$1972*$W$1972</f>
        <v>3890.8210100000001</v>
      </c>
      <c r="AD1972" s="6">
        <f>$O$1972*$X$1972</f>
        <v>4266.0421000000006</v>
      </c>
      <c r="AE1972" s="6">
        <f>$K$1972*$Y$1972</f>
        <v>0</v>
      </c>
      <c r="AF1972" s="6">
        <f ca="1">$M$1972*$Z$1972</f>
        <v>4619.0398153379965</v>
      </c>
      <c r="AG1972" s="6">
        <f>$O$1972*$AA$1972</f>
        <v>4126.8654066299068</v>
      </c>
    </row>
    <row r="1973" spans="1:33" ht="11.25" customHeight="1" x14ac:dyDescent="0.25">
      <c r="A1973" s="4" t="s">
        <v>28</v>
      </c>
      <c r="B1973" s="4" t="s">
        <v>46</v>
      </c>
      <c r="C1973" s="4" t="s">
        <v>23</v>
      </c>
      <c r="D1973" s="4" t="s">
        <v>47</v>
      </c>
      <c r="E1973" s="4" t="s">
        <v>25</v>
      </c>
      <c r="F1973" s="4" t="s">
        <v>25</v>
      </c>
      <c r="G1973" s="4" t="s">
        <v>25</v>
      </c>
      <c r="H1973" s="4" t="s">
        <v>25</v>
      </c>
      <c r="I1973" s="5">
        <v>43831</v>
      </c>
      <c r="J1973" s="6">
        <v>0</v>
      </c>
      <c r="K1973" s="6">
        <v>0</v>
      </c>
      <c r="L1973" s="6">
        <v>29.292999999999999</v>
      </c>
      <c r="M1973" s="6">
        <v>29.292999999999999</v>
      </c>
      <c r="N1973" s="6">
        <v>29.292999999999999</v>
      </c>
      <c r="O1973" s="6">
        <v>29.292999999999999</v>
      </c>
      <c r="P1973" s="6">
        <v>39</v>
      </c>
      <c r="Q1973" s="4" t="s">
        <v>26</v>
      </c>
      <c r="R1973" s="4">
        <v>0</v>
      </c>
      <c r="S1973" s="6">
        <v>0</v>
      </c>
      <c r="T1973" s="6">
        <v>58</v>
      </c>
      <c r="U1973" s="6">
        <v>101</v>
      </c>
      <c r="V1973" s="6">
        <f>IF(ISERROR(VLOOKUP($S$1973,'TAR FIN'!$A$1:$O$120,15,0)),0,VLOOKUP($S$1973,'TAR FIN'!$A$1:$O$120,15,0))</f>
        <v>0</v>
      </c>
      <c r="W1973" s="6">
        <f>IF(ISERROR(VLOOKUP($T$1973,'TAR FIN'!$A$1:$O$120,15,0)),0,VLOOKUP($T$1973,'TAR FIN'!$A$1:$O$120,15,0))</f>
        <v>187.79</v>
      </c>
      <c r="X1973" s="6">
        <f>IF(ISERROR(VLOOKUP($U$1973,'TAR FIN'!$A$1:$O$120,15,0)),0,VLOOKUP($U$1973,'TAR FIN'!$A$1:$O$120,15,0))</f>
        <v>205.9</v>
      </c>
      <c r="Y1973" s="6"/>
      <c r="Z1973" s="6">
        <f ca="1">('TUSD BE'!$AM$68+'TUSD BF'!$AM$68+'TUSD CVA'!$AM$68)*(1-CUSTOS!$M$38)</f>
        <v>222.93739154100084</v>
      </c>
      <c r="AA1973" s="6">
        <f>('TE BE'!$AA$32+'TE BF'!$AA$32+'TE CVA'!$AA$32)*(1-CUSTOS!$M$38)</f>
        <v>199.18265392296476</v>
      </c>
      <c r="AB1973" s="6">
        <f>$K$1973*$V$1973</f>
        <v>0</v>
      </c>
      <c r="AC1973" s="6">
        <f>$M$1973*$W$1973</f>
        <v>5500.9324699999997</v>
      </c>
      <c r="AD1973" s="6">
        <f>$O$1973*$X$1973</f>
        <v>6031.4287000000004</v>
      </c>
      <c r="AE1973" s="6">
        <f>$K$1973*$Y$1973</f>
        <v>0</v>
      </c>
      <c r="AF1973" s="6">
        <f ca="1">$M$1973*$Z$1973</f>
        <v>6530.5050104105376</v>
      </c>
      <c r="AG1973" s="6">
        <f>$O$1973*$AA$1973</f>
        <v>5834.657481365407</v>
      </c>
    </row>
    <row r="1974" spans="1:33" ht="11.25" customHeight="1" x14ac:dyDescent="0.25">
      <c r="A1974" s="4" t="s">
        <v>21</v>
      </c>
      <c r="B1974" s="4" t="s">
        <v>46</v>
      </c>
      <c r="C1974" s="4" t="s">
        <v>23</v>
      </c>
      <c r="D1974" s="4" t="s">
        <v>47</v>
      </c>
      <c r="E1974" s="4" t="s">
        <v>25</v>
      </c>
      <c r="F1974" s="4" t="s">
        <v>25</v>
      </c>
      <c r="G1974" s="4" t="s">
        <v>25</v>
      </c>
      <c r="H1974" s="4" t="s">
        <v>25</v>
      </c>
      <c r="I1974" s="5">
        <v>43862</v>
      </c>
      <c r="J1974" s="6">
        <v>0</v>
      </c>
      <c r="K1974" s="6">
        <v>0</v>
      </c>
      <c r="L1974" s="6">
        <v>3066.2669999999998</v>
      </c>
      <c r="M1974" s="6">
        <v>3066.2669999999998</v>
      </c>
      <c r="N1974" s="6">
        <v>3066.2669999999998</v>
      </c>
      <c r="O1974" s="6">
        <v>3066.2669999999998</v>
      </c>
      <c r="P1974" s="6">
        <v>4423</v>
      </c>
      <c r="Q1974" s="4" t="s">
        <v>26</v>
      </c>
      <c r="R1974" s="4">
        <v>0</v>
      </c>
      <c r="S1974" s="6">
        <v>0</v>
      </c>
      <c r="T1974" s="6">
        <v>58</v>
      </c>
      <c r="U1974" s="6">
        <v>101</v>
      </c>
      <c r="V1974" s="6">
        <f>IF(ISERROR(VLOOKUP($S$1974,'TAR FIN'!$A$1:$O$120,15,0)),0,VLOOKUP($S$1974,'TAR FIN'!$A$1:$O$120,15,0))</f>
        <v>0</v>
      </c>
      <c r="W1974" s="6">
        <f>IF(ISERROR(VLOOKUP($T$1974,'TAR FIN'!$A$1:$O$120,15,0)),0,VLOOKUP($T$1974,'TAR FIN'!$A$1:$O$120,15,0))</f>
        <v>187.79</v>
      </c>
      <c r="X1974" s="6">
        <f>IF(ISERROR(VLOOKUP($U$1974,'TAR FIN'!$A$1:$O$120,15,0)),0,VLOOKUP($U$1974,'TAR FIN'!$A$1:$O$120,15,0))</f>
        <v>205.9</v>
      </c>
      <c r="Y1974" s="6"/>
      <c r="Z1974" s="6">
        <f ca="1">('TUSD BE'!$AM$68+'TUSD BF'!$AM$68+'TUSD CVA'!$AM$68)*(1-CUSTOS!$M$38)</f>
        <v>222.93739154100084</v>
      </c>
      <c r="AA1974" s="6">
        <f>('TE BE'!$AA$32+'TE BF'!$AA$32+'TE CVA'!$AA$32)*(1-CUSTOS!$M$38)</f>
        <v>199.18265392296476</v>
      </c>
      <c r="AB1974" s="6">
        <f>$K$1974*$V$1974</f>
        <v>0</v>
      </c>
      <c r="AC1974" s="6">
        <f>$M$1974*$W$1974</f>
        <v>575814.27992999996</v>
      </c>
      <c r="AD1974" s="6">
        <f>$O$1974*$X$1974</f>
        <v>631344.37529999996</v>
      </c>
      <c r="AE1974" s="6">
        <f>$K$1974*$Y$1974</f>
        <v>0</v>
      </c>
      <c r="AF1974" s="6">
        <f ca="1">$M$1974*$Z$1974</f>
        <v>683585.56674824993</v>
      </c>
      <c r="AG1974" s="6">
        <f>$O$1974*$AA$1974</f>
        <v>610747.19869640737</v>
      </c>
    </row>
    <row r="1975" spans="1:33" ht="11.25" customHeight="1" x14ac:dyDescent="0.25">
      <c r="A1975" s="4" t="s">
        <v>27</v>
      </c>
      <c r="B1975" s="4" t="s">
        <v>46</v>
      </c>
      <c r="C1975" s="4" t="s">
        <v>23</v>
      </c>
      <c r="D1975" s="4" t="s">
        <v>47</v>
      </c>
      <c r="E1975" s="4" t="s">
        <v>25</v>
      </c>
      <c r="F1975" s="4" t="s">
        <v>25</v>
      </c>
      <c r="G1975" s="4" t="s">
        <v>25</v>
      </c>
      <c r="H1975" s="4" t="s">
        <v>25</v>
      </c>
      <c r="I1975" s="5">
        <v>43862</v>
      </c>
      <c r="J1975" s="6">
        <v>0</v>
      </c>
      <c r="K1975" s="6">
        <v>0</v>
      </c>
      <c r="L1975" s="6">
        <v>119.587</v>
      </c>
      <c r="M1975" s="6">
        <v>119.587</v>
      </c>
      <c r="N1975" s="6">
        <v>119.587</v>
      </c>
      <c r="O1975" s="6">
        <v>119.587</v>
      </c>
      <c r="P1975" s="6">
        <v>59</v>
      </c>
      <c r="Q1975" s="4" t="s">
        <v>26</v>
      </c>
      <c r="R1975" s="4">
        <v>0</v>
      </c>
      <c r="S1975" s="6">
        <v>0</v>
      </c>
      <c r="T1975" s="6">
        <v>58</v>
      </c>
      <c r="U1975" s="6">
        <v>101</v>
      </c>
      <c r="V1975" s="6">
        <f>IF(ISERROR(VLOOKUP($S$1975,'TAR FIN'!$A$1:$O$120,15,0)),0,VLOOKUP($S$1975,'TAR FIN'!$A$1:$O$120,15,0))</f>
        <v>0</v>
      </c>
      <c r="W1975" s="6">
        <f>IF(ISERROR(VLOOKUP($T$1975,'TAR FIN'!$A$1:$O$120,15,0)),0,VLOOKUP($T$1975,'TAR FIN'!$A$1:$O$120,15,0))</f>
        <v>187.79</v>
      </c>
      <c r="X1975" s="6">
        <f>IF(ISERROR(VLOOKUP($U$1975,'TAR FIN'!$A$1:$O$120,15,0)),0,VLOOKUP($U$1975,'TAR FIN'!$A$1:$O$120,15,0))</f>
        <v>205.9</v>
      </c>
      <c r="Y1975" s="6"/>
      <c r="Z1975" s="6">
        <f ca="1">('TUSD BE'!$AM$68+'TUSD BF'!$AM$68+'TUSD CVA'!$AM$68)*(1-CUSTOS!$M$38)</f>
        <v>222.93739154100084</v>
      </c>
      <c r="AA1975" s="6">
        <f>('TE BE'!$AA$32+'TE BF'!$AA$32+'TE CVA'!$AA$32)*(1-CUSTOS!$M$38)</f>
        <v>199.18265392296476</v>
      </c>
      <c r="AB1975" s="6">
        <f>$K$1975*$V$1975</f>
        <v>0</v>
      </c>
      <c r="AC1975" s="6">
        <f>$M$1975*$W$1975</f>
        <v>22457.242729999998</v>
      </c>
      <c r="AD1975" s="6">
        <f>$O$1975*$X$1975</f>
        <v>24622.963300000003</v>
      </c>
      <c r="AE1975" s="6">
        <f>$K$1975*$Y$1975</f>
        <v>0</v>
      </c>
      <c r="AF1975" s="6">
        <f ca="1">$M$1975*$Z$1975</f>
        <v>26660.413842213668</v>
      </c>
      <c r="AG1975" s="6">
        <f>$O$1975*$AA$1975</f>
        <v>23819.656034685588</v>
      </c>
    </row>
    <row r="1976" spans="1:33" ht="11.25" customHeight="1" x14ac:dyDescent="0.25">
      <c r="A1976" s="4" t="s">
        <v>28</v>
      </c>
      <c r="B1976" s="4" t="s">
        <v>46</v>
      </c>
      <c r="C1976" s="4" t="s">
        <v>23</v>
      </c>
      <c r="D1976" s="4" t="s">
        <v>47</v>
      </c>
      <c r="E1976" s="4" t="s">
        <v>25</v>
      </c>
      <c r="F1976" s="4" t="s">
        <v>25</v>
      </c>
      <c r="G1976" s="4" t="s">
        <v>25</v>
      </c>
      <c r="H1976" s="4" t="s">
        <v>25</v>
      </c>
      <c r="I1976" s="5">
        <v>43862</v>
      </c>
      <c r="J1976" s="6">
        <v>0</v>
      </c>
      <c r="K1976" s="6">
        <v>0</v>
      </c>
      <c r="L1976" s="6">
        <v>35.061999999999998</v>
      </c>
      <c r="M1976" s="6">
        <v>35.061999999999998</v>
      </c>
      <c r="N1976" s="6">
        <v>35.061999999999998</v>
      </c>
      <c r="O1976" s="6">
        <v>35.061999999999998</v>
      </c>
      <c r="P1976" s="6">
        <v>33</v>
      </c>
      <c r="Q1976" s="4" t="s">
        <v>26</v>
      </c>
      <c r="R1976" s="4">
        <v>0</v>
      </c>
      <c r="S1976" s="6">
        <v>0</v>
      </c>
      <c r="T1976" s="6">
        <v>58</v>
      </c>
      <c r="U1976" s="6">
        <v>101</v>
      </c>
      <c r="V1976" s="6">
        <f>IF(ISERROR(VLOOKUP($S$1976,'TAR FIN'!$A$1:$O$120,15,0)),0,VLOOKUP($S$1976,'TAR FIN'!$A$1:$O$120,15,0))</f>
        <v>0</v>
      </c>
      <c r="W1976" s="6">
        <f>IF(ISERROR(VLOOKUP($T$1976,'TAR FIN'!$A$1:$O$120,15,0)),0,VLOOKUP($T$1976,'TAR FIN'!$A$1:$O$120,15,0))</f>
        <v>187.79</v>
      </c>
      <c r="X1976" s="6">
        <f>IF(ISERROR(VLOOKUP($U$1976,'TAR FIN'!$A$1:$O$120,15,0)),0,VLOOKUP($U$1976,'TAR FIN'!$A$1:$O$120,15,0))</f>
        <v>205.9</v>
      </c>
      <c r="Y1976" s="6"/>
      <c r="Z1976" s="6">
        <f ca="1">('TUSD BE'!$AM$68+'TUSD BF'!$AM$68+'TUSD CVA'!$AM$68)*(1-CUSTOS!$M$38)</f>
        <v>222.93739154100084</v>
      </c>
      <c r="AA1976" s="6">
        <f>('TE BE'!$AA$32+'TE BF'!$AA$32+'TE CVA'!$AA$32)*(1-CUSTOS!$M$38)</f>
        <v>199.18265392296476</v>
      </c>
      <c r="AB1976" s="6">
        <f>$K$1976*$V$1976</f>
        <v>0</v>
      </c>
      <c r="AC1976" s="6">
        <f>$M$1976*$W$1976</f>
        <v>6584.2929799999993</v>
      </c>
      <c r="AD1976" s="6">
        <f>$O$1976*$X$1976</f>
        <v>7219.2658000000001</v>
      </c>
      <c r="AE1976" s="6">
        <f>$K$1976*$Y$1976</f>
        <v>0</v>
      </c>
      <c r="AF1976" s="6">
        <f ca="1">$M$1976*$Z$1976</f>
        <v>7816.6308222105708</v>
      </c>
      <c r="AG1976" s="6">
        <f>$O$1976*$AA$1976</f>
        <v>6983.7422118469904</v>
      </c>
    </row>
    <row r="1977" spans="1:33" ht="11.25" customHeight="1" x14ac:dyDescent="0.25">
      <c r="A1977" s="4" t="s">
        <v>21</v>
      </c>
      <c r="B1977" s="4" t="s">
        <v>46</v>
      </c>
      <c r="C1977" s="4" t="s">
        <v>23</v>
      </c>
      <c r="D1977" s="4" t="s">
        <v>47</v>
      </c>
      <c r="E1977" s="4" t="s">
        <v>25</v>
      </c>
      <c r="F1977" s="4" t="s">
        <v>25</v>
      </c>
      <c r="G1977" s="4" t="s">
        <v>25</v>
      </c>
      <c r="H1977" s="4" t="s">
        <v>25</v>
      </c>
      <c r="I1977" s="5">
        <v>43891</v>
      </c>
      <c r="J1977" s="6">
        <v>0</v>
      </c>
      <c r="K1977" s="6">
        <v>0</v>
      </c>
      <c r="L1977" s="6">
        <v>5807.4170000000004</v>
      </c>
      <c r="M1977" s="6">
        <v>5807.4170000000004</v>
      </c>
      <c r="N1977" s="6">
        <v>5807.4170000000004</v>
      </c>
      <c r="O1977" s="6">
        <v>5807.4170000000004</v>
      </c>
      <c r="P1977" s="6">
        <v>9583</v>
      </c>
      <c r="Q1977" s="4" t="s">
        <v>26</v>
      </c>
      <c r="R1977" s="4">
        <v>0</v>
      </c>
      <c r="S1977" s="6">
        <v>0</v>
      </c>
      <c r="T1977" s="6">
        <v>58</v>
      </c>
      <c r="U1977" s="6">
        <v>101</v>
      </c>
      <c r="V1977" s="6">
        <f>IF(ISERROR(VLOOKUP($S$1977,'TAR FIN'!$A$1:$O$120,15,0)),0,VLOOKUP($S$1977,'TAR FIN'!$A$1:$O$120,15,0))</f>
        <v>0</v>
      </c>
      <c r="W1977" s="6">
        <f>IF(ISERROR(VLOOKUP($T$1977,'TAR FIN'!$A$1:$O$120,15,0)),0,VLOOKUP($T$1977,'TAR FIN'!$A$1:$O$120,15,0))</f>
        <v>187.79</v>
      </c>
      <c r="X1977" s="6">
        <f>IF(ISERROR(VLOOKUP($U$1977,'TAR FIN'!$A$1:$O$120,15,0)),0,VLOOKUP($U$1977,'TAR FIN'!$A$1:$O$120,15,0))</f>
        <v>205.9</v>
      </c>
      <c r="Y1977" s="6"/>
      <c r="Z1977" s="6">
        <f ca="1">('TUSD BE'!$AM$68+'TUSD BF'!$AM$68+'TUSD CVA'!$AM$68)*(1-CUSTOS!$M$38)</f>
        <v>222.93739154100084</v>
      </c>
      <c r="AA1977" s="6">
        <f>('TE BE'!$AA$32+'TE BF'!$AA$32+'TE CVA'!$AA$32)*(1-CUSTOS!$M$38)</f>
        <v>199.18265392296476</v>
      </c>
      <c r="AB1977" s="6">
        <f>$K$1977*$V$1977</f>
        <v>0</v>
      </c>
      <c r="AC1977" s="6">
        <f>$M$1977*$W$1977</f>
        <v>1090574.83843</v>
      </c>
      <c r="AD1977" s="6">
        <f>$O$1977*$X$1977</f>
        <v>1195747.1603000001</v>
      </c>
      <c r="AE1977" s="6">
        <f>$K$1977*$Y$1977</f>
        <v>0</v>
      </c>
      <c r="AF1977" s="6">
        <f ca="1">$M$1977*$Z$1977</f>
        <v>1294690.3975708645</v>
      </c>
      <c r="AG1977" s="6">
        <f>$O$1977*$AA$1977</f>
        <v>1156736.7304973423</v>
      </c>
    </row>
    <row r="1978" spans="1:33" ht="11.25" customHeight="1" x14ac:dyDescent="0.25">
      <c r="A1978" s="4" t="s">
        <v>27</v>
      </c>
      <c r="B1978" s="4" t="s">
        <v>46</v>
      </c>
      <c r="C1978" s="4" t="s">
        <v>23</v>
      </c>
      <c r="D1978" s="4" t="s">
        <v>47</v>
      </c>
      <c r="E1978" s="4" t="s">
        <v>25</v>
      </c>
      <c r="F1978" s="4" t="s">
        <v>25</v>
      </c>
      <c r="G1978" s="4" t="s">
        <v>25</v>
      </c>
      <c r="H1978" s="4" t="s">
        <v>25</v>
      </c>
      <c r="I1978" s="5">
        <v>43891</v>
      </c>
      <c r="J1978" s="6">
        <v>0</v>
      </c>
      <c r="K1978" s="6">
        <v>0</v>
      </c>
      <c r="L1978" s="6">
        <v>179.71700000000001</v>
      </c>
      <c r="M1978" s="6">
        <v>179.71700000000001</v>
      </c>
      <c r="N1978" s="6">
        <v>179.71700000000001</v>
      </c>
      <c r="O1978" s="6">
        <v>179.71700000000001</v>
      </c>
      <c r="P1978" s="6">
        <v>34</v>
      </c>
      <c r="Q1978" s="4" t="s">
        <v>26</v>
      </c>
      <c r="R1978" s="4">
        <v>0</v>
      </c>
      <c r="S1978" s="6">
        <v>0</v>
      </c>
      <c r="T1978" s="6">
        <v>58</v>
      </c>
      <c r="U1978" s="6">
        <v>101</v>
      </c>
      <c r="V1978" s="6">
        <f>IF(ISERROR(VLOOKUP($S$1978,'TAR FIN'!$A$1:$O$120,15,0)),0,VLOOKUP($S$1978,'TAR FIN'!$A$1:$O$120,15,0))</f>
        <v>0</v>
      </c>
      <c r="W1978" s="6">
        <f>IF(ISERROR(VLOOKUP($T$1978,'TAR FIN'!$A$1:$O$120,15,0)),0,VLOOKUP($T$1978,'TAR FIN'!$A$1:$O$120,15,0))</f>
        <v>187.79</v>
      </c>
      <c r="X1978" s="6">
        <f>IF(ISERROR(VLOOKUP($U$1978,'TAR FIN'!$A$1:$O$120,15,0)),0,VLOOKUP($U$1978,'TAR FIN'!$A$1:$O$120,15,0))</f>
        <v>205.9</v>
      </c>
      <c r="Y1978" s="6"/>
      <c r="Z1978" s="6">
        <f ca="1">('TUSD BE'!$AM$68+'TUSD BF'!$AM$68+'TUSD CVA'!$AM$68)*(1-CUSTOS!$M$38)</f>
        <v>222.93739154100084</v>
      </c>
      <c r="AA1978" s="6">
        <f>('TE BE'!$AA$32+'TE BF'!$AA$32+'TE CVA'!$AA$32)*(1-CUSTOS!$M$38)</f>
        <v>199.18265392296476</v>
      </c>
      <c r="AB1978" s="6">
        <f>$K$1978*$V$1978</f>
        <v>0</v>
      </c>
      <c r="AC1978" s="6">
        <f>$M$1978*$W$1978</f>
        <v>33749.05543</v>
      </c>
      <c r="AD1978" s="6">
        <f>$O$1978*$X$1978</f>
        <v>37003.730300000003</v>
      </c>
      <c r="AE1978" s="6">
        <f>$K$1978*$Y$1978</f>
        <v>0</v>
      </c>
      <c r="AF1978" s="6">
        <f ca="1">$M$1978*$Z$1978</f>
        <v>40065.639195574047</v>
      </c>
      <c r="AG1978" s="6">
        <f>$O$1978*$AA$1978</f>
        <v>35796.509015073461</v>
      </c>
    </row>
    <row r="1979" spans="1:33" ht="11.25" customHeight="1" x14ac:dyDescent="0.25">
      <c r="A1979" s="4" t="s">
        <v>28</v>
      </c>
      <c r="B1979" s="4" t="s">
        <v>46</v>
      </c>
      <c r="C1979" s="4" t="s">
        <v>23</v>
      </c>
      <c r="D1979" s="4" t="s">
        <v>47</v>
      </c>
      <c r="E1979" s="4" t="s">
        <v>25</v>
      </c>
      <c r="F1979" s="4" t="s">
        <v>25</v>
      </c>
      <c r="G1979" s="4" t="s">
        <v>25</v>
      </c>
      <c r="H1979" s="4" t="s">
        <v>25</v>
      </c>
      <c r="I1979" s="5">
        <v>43891</v>
      </c>
      <c r="J1979" s="6">
        <v>0</v>
      </c>
      <c r="K1979" s="6">
        <v>0</v>
      </c>
      <c r="L1979" s="6">
        <v>33.993000000000002</v>
      </c>
      <c r="M1979" s="6">
        <v>33.993000000000002</v>
      </c>
      <c r="N1979" s="6">
        <v>33.993000000000002</v>
      </c>
      <c r="O1979" s="6">
        <v>33.993000000000002</v>
      </c>
      <c r="P1979" s="6">
        <v>35</v>
      </c>
      <c r="Q1979" s="4" t="s">
        <v>26</v>
      </c>
      <c r="R1979" s="4">
        <v>0</v>
      </c>
      <c r="S1979" s="6">
        <v>0</v>
      </c>
      <c r="T1979" s="6">
        <v>58</v>
      </c>
      <c r="U1979" s="6">
        <v>101</v>
      </c>
      <c r="V1979" s="6">
        <f>IF(ISERROR(VLOOKUP($S$1979,'TAR FIN'!$A$1:$O$120,15,0)),0,VLOOKUP($S$1979,'TAR FIN'!$A$1:$O$120,15,0))</f>
        <v>0</v>
      </c>
      <c r="W1979" s="6">
        <f>IF(ISERROR(VLOOKUP($T$1979,'TAR FIN'!$A$1:$O$120,15,0)),0,VLOOKUP($T$1979,'TAR FIN'!$A$1:$O$120,15,0))</f>
        <v>187.79</v>
      </c>
      <c r="X1979" s="6">
        <f>IF(ISERROR(VLOOKUP($U$1979,'TAR FIN'!$A$1:$O$120,15,0)),0,VLOOKUP($U$1979,'TAR FIN'!$A$1:$O$120,15,0))</f>
        <v>205.9</v>
      </c>
      <c r="Y1979" s="6"/>
      <c r="Z1979" s="6">
        <f ca="1">('TUSD BE'!$AM$68+'TUSD BF'!$AM$68+'TUSD CVA'!$AM$68)*(1-CUSTOS!$M$38)</f>
        <v>222.93739154100084</v>
      </c>
      <c r="AA1979" s="6">
        <f>('TE BE'!$AA$32+'TE BF'!$AA$32+'TE CVA'!$AA$32)*(1-CUSTOS!$M$38)</f>
        <v>199.18265392296476</v>
      </c>
      <c r="AB1979" s="6">
        <f>$K$1979*$V$1979</f>
        <v>0</v>
      </c>
      <c r="AC1979" s="6">
        <f>$M$1979*$W$1979</f>
        <v>6383.54547</v>
      </c>
      <c r="AD1979" s="6">
        <f>$O$1979*$X$1979</f>
        <v>6999.1587000000009</v>
      </c>
      <c r="AE1979" s="6">
        <f>$K$1979*$Y$1979</f>
        <v>0</v>
      </c>
      <c r="AF1979" s="6">
        <f ca="1">$M$1979*$Z$1979</f>
        <v>7578.3107506532415</v>
      </c>
      <c r="AG1979" s="6">
        <f>$O$1979*$AA$1979</f>
        <v>6770.8159548033418</v>
      </c>
    </row>
    <row r="1980" spans="1:33" ht="11.25" customHeight="1" x14ac:dyDescent="0.25">
      <c r="A1980" s="4" t="s">
        <v>28</v>
      </c>
      <c r="B1980" s="4" t="s">
        <v>46</v>
      </c>
      <c r="C1980" s="4" t="s">
        <v>23</v>
      </c>
      <c r="D1980" s="4" t="s">
        <v>47</v>
      </c>
      <c r="E1980" s="4" t="s">
        <v>25</v>
      </c>
      <c r="F1980" s="4" t="s">
        <v>25</v>
      </c>
      <c r="G1980" s="4" t="s">
        <v>25</v>
      </c>
      <c r="H1980" s="4" t="s">
        <v>25</v>
      </c>
      <c r="I1980" s="5">
        <v>43891</v>
      </c>
      <c r="J1980" s="6">
        <v>0</v>
      </c>
      <c r="K1980" s="6">
        <v>0</v>
      </c>
      <c r="L1980" s="6">
        <v>6.673</v>
      </c>
      <c r="M1980" s="6">
        <v>6.673</v>
      </c>
      <c r="N1980" s="6">
        <v>6.673</v>
      </c>
      <c r="O1980" s="6">
        <v>6.673</v>
      </c>
      <c r="P1980" s="6">
        <v>0</v>
      </c>
      <c r="Q1980" s="4" t="s">
        <v>26</v>
      </c>
      <c r="R1980" s="4">
        <v>0</v>
      </c>
      <c r="S1980" s="6">
        <v>0</v>
      </c>
      <c r="T1980" s="6">
        <v>58</v>
      </c>
      <c r="U1980" s="6">
        <v>101</v>
      </c>
      <c r="V1980" s="6">
        <f>IF(ISERROR(VLOOKUP($S$1980,'TAR FIN'!$A$1:$O$120,15,0)),0,VLOOKUP($S$1980,'TAR FIN'!$A$1:$O$120,15,0))</f>
        <v>0</v>
      </c>
      <c r="W1980" s="6">
        <f>IF(ISERROR(VLOOKUP($T$1980,'TAR FIN'!$A$1:$O$120,15,0)),0,VLOOKUP($T$1980,'TAR FIN'!$A$1:$O$120,15,0))</f>
        <v>187.79</v>
      </c>
      <c r="X1980" s="6">
        <f>IF(ISERROR(VLOOKUP($U$1980,'TAR FIN'!$A$1:$O$120,15,0)),0,VLOOKUP($U$1980,'TAR FIN'!$A$1:$O$120,15,0))</f>
        <v>205.9</v>
      </c>
      <c r="Y1980" s="6"/>
      <c r="Z1980" s="6">
        <f ca="1">('TUSD BE'!$AM$68+'TUSD BF'!$AM$68+'TUSD CVA'!$AM$68)*(1-CUSTOS!$M$38)</f>
        <v>222.93739154100084</v>
      </c>
      <c r="AA1980" s="6">
        <f>('TE BE'!$AA$32+'TE BF'!$AA$32+'TE CVA'!$AA$32)*(1-CUSTOS!$M$38)</f>
        <v>199.18265392296476</v>
      </c>
      <c r="AB1980" s="6">
        <f>$K$1980*$V$1980</f>
        <v>0</v>
      </c>
      <c r="AC1980" s="6">
        <f>$M$1980*$W$1980</f>
        <v>1253.12267</v>
      </c>
      <c r="AD1980" s="6">
        <f>$O$1980*$X$1980</f>
        <v>1373.9707000000001</v>
      </c>
      <c r="AE1980" s="6">
        <f>$K$1980*$Y$1980</f>
        <v>0</v>
      </c>
      <c r="AF1980" s="6">
        <f ca="1">$M$1980*$Z$1980</f>
        <v>1487.6612137530985</v>
      </c>
      <c r="AG1980" s="6">
        <f>$O$1980*$AA$1980</f>
        <v>1329.1458496279438</v>
      </c>
    </row>
    <row r="1981" spans="1:33" ht="11.25" customHeight="1" x14ac:dyDescent="0.25">
      <c r="A1981" s="4" t="s">
        <v>21</v>
      </c>
      <c r="B1981" s="4" t="s">
        <v>46</v>
      </c>
      <c r="C1981" s="4" t="s">
        <v>23</v>
      </c>
      <c r="D1981" s="4" t="s">
        <v>47</v>
      </c>
      <c r="E1981" s="4" t="s">
        <v>25</v>
      </c>
      <c r="F1981" s="4" t="s">
        <v>25</v>
      </c>
      <c r="G1981" s="4" t="s">
        <v>25</v>
      </c>
      <c r="H1981" s="4" t="s">
        <v>25</v>
      </c>
      <c r="I1981" s="5">
        <v>43922</v>
      </c>
      <c r="J1981" s="6">
        <v>0</v>
      </c>
      <c r="K1981" s="6">
        <v>0</v>
      </c>
      <c r="L1981" s="6">
        <v>6744.4669999999996</v>
      </c>
      <c r="M1981" s="6">
        <v>6744.4669999999996</v>
      </c>
      <c r="N1981" s="6">
        <v>6744.4669999999996</v>
      </c>
      <c r="O1981" s="6">
        <v>6744.4669999999996</v>
      </c>
      <c r="P1981" s="6">
        <v>10431</v>
      </c>
      <c r="Q1981" s="4" t="s">
        <v>26</v>
      </c>
      <c r="R1981" s="4">
        <v>0</v>
      </c>
      <c r="S1981" s="6">
        <v>0</v>
      </c>
      <c r="T1981" s="6">
        <v>58</v>
      </c>
      <c r="U1981" s="6">
        <v>101</v>
      </c>
      <c r="V1981" s="6">
        <f>IF(ISERROR(VLOOKUP($S$1981,'TAR FIN'!$A$1:$O$120,15,0)),0,VLOOKUP($S$1981,'TAR FIN'!$A$1:$O$120,15,0))</f>
        <v>0</v>
      </c>
      <c r="W1981" s="6">
        <f>IF(ISERROR(VLOOKUP($T$1981,'TAR FIN'!$A$1:$O$120,15,0)),0,VLOOKUP($T$1981,'TAR FIN'!$A$1:$O$120,15,0))</f>
        <v>187.79</v>
      </c>
      <c r="X1981" s="6">
        <f>IF(ISERROR(VLOOKUP($U$1981,'TAR FIN'!$A$1:$O$120,15,0)),0,VLOOKUP($U$1981,'TAR FIN'!$A$1:$O$120,15,0))</f>
        <v>205.9</v>
      </c>
      <c r="Y1981" s="6"/>
      <c r="Z1981" s="6">
        <f ca="1">('TUSD BE'!$AM$68+'TUSD BF'!$AM$68+'TUSD CVA'!$AM$68)*(1-CUSTOS!$M$38)</f>
        <v>222.93739154100084</v>
      </c>
      <c r="AA1981" s="6">
        <f>('TE BE'!$AA$32+'TE BF'!$AA$32+'TE CVA'!$AA$32)*(1-CUSTOS!$M$38)</f>
        <v>199.18265392296476</v>
      </c>
      <c r="AB1981" s="6">
        <f>$K$1981*$V$1981</f>
        <v>0</v>
      </c>
      <c r="AC1981" s="6">
        <f>$M$1981*$W$1981</f>
        <v>1266543.4579299998</v>
      </c>
      <c r="AD1981" s="6">
        <f>$O$1981*$X$1981</f>
        <v>1388685.7553000001</v>
      </c>
      <c r="AE1981" s="6">
        <f>$K$1981*$Y$1981</f>
        <v>0</v>
      </c>
      <c r="AF1981" s="6">
        <f ca="1">$M$1981*$Z$1981</f>
        <v>1503593.8803143592</v>
      </c>
      <c r="AG1981" s="6">
        <f>$O$1981*$AA$1981</f>
        <v>1343380.8363558564</v>
      </c>
    </row>
    <row r="1982" spans="1:33" ht="11.25" customHeight="1" x14ac:dyDescent="0.25">
      <c r="A1982" s="4" t="s">
        <v>27</v>
      </c>
      <c r="B1982" s="4" t="s">
        <v>46</v>
      </c>
      <c r="C1982" s="4" t="s">
        <v>23</v>
      </c>
      <c r="D1982" s="4" t="s">
        <v>47</v>
      </c>
      <c r="E1982" s="4" t="s">
        <v>25</v>
      </c>
      <c r="F1982" s="4" t="s">
        <v>25</v>
      </c>
      <c r="G1982" s="4" t="s">
        <v>25</v>
      </c>
      <c r="H1982" s="4" t="s">
        <v>25</v>
      </c>
      <c r="I1982" s="5">
        <v>43922</v>
      </c>
      <c r="J1982" s="6">
        <v>0</v>
      </c>
      <c r="K1982" s="6">
        <v>0</v>
      </c>
      <c r="L1982" s="6">
        <v>86.701999999999998</v>
      </c>
      <c r="M1982" s="6">
        <v>86.701999999999998</v>
      </c>
      <c r="N1982" s="6">
        <v>86.701999999999998</v>
      </c>
      <c r="O1982" s="6">
        <v>86.701999999999998</v>
      </c>
      <c r="P1982" s="6">
        <v>3</v>
      </c>
      <c r="Q1982" s="4" t="s">
        <v>26</v>
      </c>
      <c r="R1982" s="4">
        <v>0</v>
      </c>
      <c r="S1982" s="6">
        <v>0</v>
      </c>
      <c r="T1982" s="6">
        <v>58</v>
      </c>
      <c r="U1982" s="6">
        <v>101</v>
      </c>
      <c r="V1982" s="6">
        <f>IF(ISERROR(VLOOKUP($S$1982,'TAR FIN'!$A$1:$O$120,15,0)),0,VLOOKUP($S$1982,'TAR FIN'!$A$1:$O$120,15,0))</f>
        <v>0</v>
      </c>
      <c r="W1982" s="6">
        <f>IF(ISERROR(VLOOKUP($T$1982,'TAR FIN'!$A$1:$O$120,15,0)),0,VLOOKUP($T$1982,'TAR FIN'!$A$1:$O$120,15,0))</f>
        <v>187.79</v>
      </c>
      <c r="X1982" s="6">
        <f>IF(ISERROR(VLOOKUP($U$1982,'TAR FIN'!$A$1:$O$120,15,0)),0,VLOOKUP($U$1982,'TAR FIN'!$A$1:$O$120,15,0))</f>
        <v>205.9</v>
      </c>
      <c r="Y1982" s="6"/>
      <c r="Z1982" s="6">
        <f ca="1">('TUSD BE'!$AM$68+'TUSD BF'!$AM$68+'TUSD CVA'!$AM$68)*(1-CUSTOS!$M$38)</f>
        <v>222.93739154100084</v>
      </c>
      <c r="AA1982" s="6">
        <f>('TE BE'!$AA$32+'TE BF'!$AA$32+'TE CVA'!$AA$32)*(1-CUSTOS!$M$38)</f>
        <v>199.18265392296476</v>
      </c>
      <c r="AB1982" s="6">
        <f>$K$1982*$V$1982</f>
        <v>0</v>
      </c>
      <c r="AC1982" s="6">
        <f>$M$1982*$W$1982</f>
        <v>16281.768579999998</v>
      </c>
      <c r="AD1982" s="6">
        <f>$O$1982*$X$1982</f>
        <v>17851.941800000001</v>
      </c>
      <c r="AE1982" s="6">
        <f>$K$1982*$Y$1982</f>
        <v>0</v>
      </c>
      <c r="AF1982" s="6">
        <f ca="1">$M$1982*$Z$1982</f>
        <v>19329.117721387855</v>
      </c>
      <c r="AG1982" s="6">
        <f>$O$1982*$AA$1982</f>
        <v>17269.534460428891</v>
      </c>
    </row>
    <row r="1983" spans="1:33" ht="11.25" customHeight="1" x14ac:dyDescent="0.25">
      <c r="A1983" s="4" t="s">
        <v>28</v>
      </c>
      <c r="B1983" s="4" t="s">
        <v>46</v>
      </c>
      <c r="C1983" s="4" t="s">
        <v>23</v>
      </c>
      <c r="D1983" s="4" t="s">
        <v>47</v>
      </c>
      <c r="E1983" s="4" t="s">
        <v>25</v>
      </c>
      <c r="F1983" s="4" t="s">
        <v>25</v>
      </c>
      <c r="G1983" s="4" t="s">
        <v>25</v>
      </c>
      <c r="H1983" s="4" t="s">
        <v>25</v>
      </c>
      <c r="I1983" s="5">
        <v>43922</v>
      </c>
      <c r="J1983" s="6">
        <v>0</v>
      </c>
      <c r="K1983" s="6">
        <v>0</v>
      </c>
      <c r="L1983" s="6">
        <v>40.667999999999999</v>
      </c>
      <c r="M1983" s="6">
        <v>40.667999999999999</v>
      </c>
      <c r="N1983" s="6">
        <v>40.667999999999999</v>
      </c>
      <c r="O1983" s="6">
        <v>40.667999999999999</v>
      </c>
      <c r="P1983" s="6">
        <v>36</v>
      </c>
      <c r="Q1983" s="4" t="s">
        <v>26</v>
      </c>
      <c r="R1983" s="4">
        <v>0</v>
      </c>
      <c r="S1983" s="6">
        <v>0</v>
      </c>
      <c r="T1983" s="6">
        <v>58</v>
      </c>
      <c r="U1983" s="6">
        <v>101</v>
      </c>
      <c r="V1983" s="6">
        <f>IF(ISERROR(VLOOKUP($S$1983,'TAR FIN'!$A$1:$O$120,15,0)),0,VLOOKUP($S$1983,'TAR FIN'!$A$1:$O$120,15,0))</f>
        <v>0</v>
      </c>
      <c r="W1983" s="6">
        <f>IF(ISERROR(VLOOKUP($T$1983,'TAR FIN'!$A$1:$O$120,15,0)),0,VLOOKUP($T$1983,'TAR FIN'!$A$1:$O$120,15,0))</f>
        <v>187.79</v>
      </c>
      <c r="X1983" s="6">
        <f>IF(ISERROR(VLOOKUP($U$1983,'TAR FIN'!$A$1:$O$120,15,0)),0,VLOOKUP($U$1983,'TAR FIN'!$A$1:$O$120,15,0))</f>
        <v>205.9</v>
      </c>
      <c r="Y1983" s="6"/>
      <c r="Z1983" s="6">
        <f ca="1">('TUSD BE'!$AM$68+'TUSD BF'!$AM$68+'TUSD CVA'!$AM$68)*(1-CUSTOS!$M$38)</f>
        <v>222.93739154100084</v>
      </c>
      <c r="AA1983" s="6">
        <f>('TE BE'!$AA$32+'TE BF'!$AA$32+'TE CVA'!$AA$32)*(1-CUSTOS!$M$38)</f>
        <v>199.18265392296476</v>
      </c>
      <c r="AB1983" s="6">
        <f>$K$1983*$V$1983</f>
        <v>0</v>
      </c>
      <c r="AC1983" s="6">
        <f>$M$1983*$W$1983</f>
        <v>7637.0437199999997</v>
      </c>
      <c r="AD1983" s="6">
        <f>$O$1983*$X$1983</f>
        <v>8373.5411999999997</v>
      </c>
      <c r="AE1983" s="6">
        <f>$K$1983*$Y$1983</f>
        <v>0</v>
      </c>
      <c r="AF1983" s="6">
        <f ca="1">$M$1983*$Z$1983</f>
        <v>9066.417839189422</v>
      </c>
      <c r="AG1983" s="6">
        <f>$O$1983*$AA$1983</f>
        <v>8100.3601697391305</v>
      </c>
    </row>
    <row r="1984" spans="1:33" ht="11.25" customHeight="1" x14ac:dyDescent="0.25">
      <c r="A1984" s="4" t="s">
        <v>21</v>
      </c>
      <c r="B1984" s="4" t="s">
        <v>46</v>
      </c>
      <c r="C1984" s="4" t="s">
        <v>23</v>
      </c>
      <c r="D1984" s="4" t="s">
        <v>47</v>
      </c>
      <c r="E1984" s="4" t="s">
        <v>25</v>
      </c>
      <c r="F1984" s="4" t="s">
        <v>25</v>
      </c>
      <c r="G1984" s="4" t="s">
        <v>25</v>
      </c>
      <c r="H1984" s="4" t="s">
        <v>25</v>
      </c>
      <c r="I1984" s="5">
        <v>43952</v>
      </c>
      <c r="J1984" s="6">
        <v>0</v>
      </c>
      <c r="K1984" s="6">
        <v>0</v>
      </c>
      <c r="L1984" s="6">
        <v>6967.4480000000003</v>
      </c>
      <c r="M1984" s="6">
        <v>6967.4480000000003</v>
      </c>
      <c r="N1984" s="6">
        <v>6967.4480000000003</v>
      </c>
      <c r="O1984" s="6">
        <v>6967.4480000000003</v>
      </c>
      <c r="P1984" s="6">
        <v>10429</v>
      </c>
      <c r="Q1984" s="4" t="s">
        <v>26</v>
      </c>
      <c r="R1984" s="4">
        <v>0</v>
      </c>
      <c r="S1984" s="6">
        <v>0</v>
      </c>
      <c r="T1984" s="6">
        <v>58</v>
      </c>
      <c r="U1984" s="6">
        <v>101</v>
      </c>
      <c r="V1984" s="6">
        <f>IF(ISERROR(VLOOKUP($S$1984,'TAR FIN'!$A$1:$O$120,15,0)),0,VLOOKUP($S$1984,'TAR FIN'!$A$1:$O$120,15,0))</f>
        <v>0</v>
      </c>
      <c r="W1984" s="6">
        <f>IF(ISERROR(VLOOKUP($T$1984,'TAR FIN'!$A$1:$O$120,15,0)),0,VLOOKUP($T$1984,'TAR FIN'!$A$1:$O$120,15,0))</f>
        <v>187.79</v>
      </c>
      <c r="X1984" s="6">
        <f>IF(ISERROR(VLOOKUP($U$1984,'TAR FIN'!$A$1:$O$120,15,0)),0,VLOOKUP($U$1984,'TAR FIN'!$A$1:$O$120,15,0))</f>
        <v>205.9</v>
      </c>
      <c r="Y1984" s="6"/>
      <c r="Z1984" s="6">
        <f ca="1">('TUSD BE'!$AM$68+'TUSD BF'!$AM$68+'TUSD CVA'!$AM$68)*(1-CUSTOS!$M$38)</f>
        <v>222.93739154100084</v>
      </c>
      <c r="AA1984" s="6">
        <f>('TE BE'!$AA$32+'TE BF'!$AA$32+'TE CVA'!$AA$32)*(1-CUSTOS!$M$38)</f>
        <v>199.18265392296476</v>
      </c>
      <c r="AB1984" s="6">
        <f>$K$1984*$V$1984</f>
        <v>0</v>
      </c>
      <c r="AC1984" s="6">
        <f>$M$1984*$W$1984</f>
        <v>1308417.0599199999</v>
      </c>
      <c r="AD1984" s="6">
        <f>$O$1984*$X$1984</f>
        <v>1434597.5432000002</v>
      </c>
      <c r="AE1984" s="6">
        <f>$K$1984*$Y$1984</f>
        <v>0</v>
      </c>
      <c r="AF1984" s="6">
        <f ca="1">$M$1984*$Z$1984</f>
        <v>1553304.6828175632</v>
      </c>
      <c r="AG1984" s="6">
        <f>$O$1984*$AA$1984</f>
        <v>1387794.783710253</v>
      </c>
    </row>
    <row r="1985" spans="1:33" ht="11.25" customHeight="1" x14ac:dyDescent="0.25">
      <c r="A1985" s="4" t="s">
        <v>27</v>
      </c>
      <c r="B1985" s="4" t="s">
        <v>46</v>
      </c>
      <c r="C1985" s="4" t="s">
        <v>23</v>
      </c>
      <c r="D1985" s="4" t="s">
        <v>47</v>
      </c>
      <c r="E1985" s="4" t="s">
        <v>25</v>
      </c>
      <c r="F1985" s="4" t="s">
        <v>25</v>
      </c>
      <c r="G1985" s="4" t="s">
        <v>25</v>
      </c>
      <c r="H1985" s="4" t="s">
        <v>25</v>
      </c>
      <c r="I1985" s="5">
        <v>43952</v>
      </c>
      <c r="J1985" s="6">
        <v>0</v>
      </c>
      <c r="K1985" s="6">
        <v>0</v>
      </c>
      <c r="L1985" s="6">
        <v>5.4370000000000003</v>
      </c>
      <c r="M1985" s="6">
        <v>5.4370000000000003</v>
      </c>
      <c r="N1985" s="6">
        <v>5.4370000000000003</v>
      </c>
      <c r="O1985" s="6">
        <v>5.4370000000000003</v>
      </c>
      <c r="P1985" s="6">
        <v>2</v>
      </c>
      <c r="Q1985" s="4" t="s">
        <v>26</v>
      </c>
      <c r="R1985" s="4">
        <v>0</v>
      </c>
      <c r="S1985" s="6">
        <v>0</v>
      </c>
      <c r="T1985" s="6">
        <v>58</v>
      </c>
      <c r="U1985" s="6">
        <v>101</v>
      </c>
      <c r="V1985" s="6">
        <f>IF(ISERROR(VLOOKUP($S$1985,'TAR FIN'!$A$1:$O$120,15,0)),0,VLOOKUP($S$1985,'TAR FIN'!$A$1:$O$120,15,0))</f>
        <v>0</v>
      </c>
      <c r="W1985" s="6">
        <f>IF(ISERROR(VLOOKUP($T$1985,'TAR FIN'!$A$1:$O$120,15,0)),0,VLOOKUP($T$1985,'TAR FIN'!$A$1:$O$120,15,0))</f>
        <v>187.79</v>
      </c>
      <c r="X1985" s="6">
        <f>IF(ISERROR(VLOOKUP($U$1985,'TAR FIN'!$A$1:$O$120,15,0)),0,VLOOKUP($U$1985,'TAR FIN'!$A$1:$O$120,15,0))</f>
        <v>205.9</v>
      </c>
      <c r="Y1985" s="6"/>
      <c r="Z1985" s="6">
        <f ca="1">('TUSD BE'!$AM$68+'TUSD BF'!$AM$68+'TUSD CVA'!$AM$68)*(1-CUSTOS!$M$38)</f>
        <v>222.93739154100084</v>
      </c>
      <c r="AA1985" s="6">
        <f>('TE BE'!$AA$32+'TE BF'!$AA$32+'TE CVA'!$AA$32)*(1-CUSTOS!$M$38)</f>
        <v>199.18265392296476</v>
      </c>
      <c r="AB1985" s="6">
        <f>$K$1985*$V$1985</f>
        <v>0</v>
      </c>
      <c r="AC1985" s="6">
        <f>$M$1985*$W$1985</f>
        <v>1021.01423</v>
      </c>
      <c r="AD1985" s="6">
        <f>$O$1985*$X$1985</f>
        <v>1119.4783</v>
      </c>
      <c r="AE1985" s="6">
        <f>$K$1985*$Y$1985</f>
        <v>0</v>
      </c>
      <c r="AF1985" s="6">
        <f ca="1">$M$1985*$Z$1985</f>
        <v>1212.1105978084215</v>
      </c>
      <c r="AG1985" s="6">
        <f>$O$1985*$AA$1985</f>
        <v>1082.9560893791595</v>
      </c>
    </row>
    <row r="1986" spans="1:33" ht="11.25" customHeight="1" x14ac:dyDescent="0.25">
      <c r="A1986" s="4" t="s">
        <v>28</v>
      </c>
      <c r="B1986" s="4" t="s">
        <v>46</v>
      </c>
      <c r="C1986" s="4" t="s">
        <v>23</v>
      </c>
      <c r="D1986" s="4" t="s">
        <v>47</v>
      </c>
      <c r="E1986" s="4" t="s">
        <v>25</v>
      </c>
      <c r="F1986" s="4" t="s">
        <v>25</v>
      </c>
      <c r="G1986" s="4" t="s">
        <v>25</v>
      </c>
      <c r="H1986" s="4" t="s">
        <v>25</v>
      </c>
      <c r="I1986" s="5">
        <v>43952</v>
      </c>
      <c r="J1986" s="6">
        <v>0</v>
      </c>
      <c r="K1986" s="6">
        <v>0</v>
      </c>
      <c r="L1986" s="6">
        <v>45.226999999999997</v>
      </c>
      <c r="M1986" s="6">
        <v>45.226999999999997</v>
      </c>
      <c r="N1986" s="6">
        <v>45.226999999999997</v>
      </c>
      <c r="O1986" s="6">
        <v>45.226999999999997</v>
      </c>
      <c r="P1986" s="6">
        <v>37</v>
      </c>
      <c r="Q1986" s="4" t="s">
        <v>26</v>
      </c>
      <c r="R1986" s="4">
        <v>0</v>
      </c>
      <c r="S1986" s="6">
        <v>0</v>
      </c>
      <c r="T1986" s="6">
        <v>58</v>
      </c>
      <c r="U1986" s="6">
        <v>101</v>
      </c>
      <c r="V1986" s="6">
        <f>IF(ISERROR(VLOOKUP($S$1986,'TAR FIN'!$A$1:$O$120,15,0)),0,VLOOKUP($S$1986,'TAR FIN'!$A$1:$O$120,15,0))</f>
        <v>0</v>
      </c>
      <c r="W1986" s="6">
        <f>IF(ISERROR(VLOOKUP($T$1986,'TAR FIN'!$A$1:$O$120,15,0)),0,VLOOKUP($T$1986,'TAR FIN'!$A$1:$O$120,15,0))</f>
        <v>187.79</v>
      </c>
      <c r="X1986" s="6">
        <f>IF(ISERROR(VLOOKUP($U$1986,'TAR FIN'!$A$1:$O$120,15,0)),0,VLOOKUP($U$1986,'TAR FIN'!$A$1:$O$120,15,0))</f>
        <v>205.9</v>
      </c>
      <c r="Y1986" s="6"/>
      <c r="Z1986" s="6">
        <f ca="1">('TUSD BE'!$AM$68+'TUSD BF'!$AM$68+'TUSD CVA'!$AM$68)*(1-CUSTOS!$M$38)</f>
        <v>222.93739154100084</v>
      </c>
      <c r="AA1986" s="6">
        <f>('TE BE'!$AA$32+'TE BF'!$AA$32+'TE CVA'!$AA$32)*(1-CUSTOS!$M$38)</f>
        <v>199.18265392296476</v>
      </c>
      <c r="AB1986" s="6">
        <f>$K$1986*$V$1986</f>
        <v>0</v>
      </c>
      <c r="AC1986" s="6">
        <f>$M$1986*$W$1986</f>
        <v>8493.1783299999988</v>
      </c>
      <c r="AD1986" s="6">
        <f>$O$1986*$X$1986</f>
        <v>9312.2392999999993</v>
      </c>
      <c r="AE1986" s="6">
        <f>$K$1986*$Y$1986</f>
        <v>0</v>
      </c>
      <c r="AF1986" s="6">
        <f ca="1">$M$1986*$Z$1986</f>
        <v>10082.789407224844</v>
      </c>
      <c r="AG1986" s="6">
        <f>$O$1986*$AA$1986</f>
        <v>9008.4338889739265</v>
      </c>
    </row>
    <row r="1987" spans="1:33" ht="11.25" customHeight="1" x14ac:dyDescent="0.25">
      <c r="A1987" s="4" t="s">
        <v>21</v>
      </c>
      <c r="B1987" s="4" t="s">
        <v>46</v>
      </c>
      <c r="C1987" s="4" t="s">
        <v>23</v>
      </c>
      <c r="D1987" s="4" t="s">
        <v>47</v>
      </c>
      <c r="E1987" s="4" t="s">
        <v>25</v>
      </c>
      <c r="F1987" s="4" t="s">
        <v>25</v>
      </c>
      <c r="G1987" s="4" t="s">
        <v>25</v>
      </c>
      <c r="H1987" s="4" t="s">
        <v>25</v>
      </c>
      <c r="I1987" s="5">
        <v>43983</v>
      </c>
      <c r="J1987" s="6">
        <v>0</v>
      </c>
      <c r="K1987" s="6">
        <v>0</v>
      </c>
      <c r="L1987" s="6">
        <v>6586.8239999999996</v>
      </c>
      <c r="M1987" s="6">
        <v>6586.8239999999996</v>
      </c>
      <c r="N1987" s="6">
        <v>6586.8239999999996</v>
      </c>
      <c r="O1987" s="6">
        <v>6586.8239999999996</v>
      </c>
      <c r="P1987" s="6">
        <v>10420</v>
      </c>
      <c r="Q1987" s="4" t="s">
        <v>26</v>
      </c>
      <c r="R1987" s="4">
        <v>0</v>
      </c>
      <c r="S1987" s="6">
        <v>0</v>
      </c>
      <c r="T1987" s="6">
        <v>58</v>
      </c>
      <c r="U1987" s="6">
        <v>101</v>
      </c>
      <c r="V1987" s="6">
        <f>IF(ISERROR(VLOOKUP($S$1987,'TAR FIN'!$A$1:$O$120,15,0)),0,VLOOKUP($S$1987,'TAR FIN'!$A$1:$O$120,15,0))</f>
        <v>0</v>
      </c>
      <c r="W1987" s="6">
        <f>IF(ISERROR(VLOOKUP($T$1987,'TAR FIN'!$A$1:$O$120,15,0)),0,VLOOKUP($T$1987,'TAR FIN'!$A$1:$O$120,15,0))</f>
        <v>187.79</v>
      </c>
      <c r="X1987" s="6">
        <f>IF(ISERROR(VLOOKUP($U$1987,'TAR FIN'!$A$1:$O$120,15,0)),0,VLOOKUP($U$1987,'TAR FIN'!$A$1:$O$120,15,0))</f>
        <v>205.9</v>
      </c>
      <c r="Y1987" s="6"/>
      <c r="Z1987" s="6">
        <f ca="1">('TUSD BE'!$AM$68+'TUSD BF'!$AM$68+'TUSD CVA'!$AM$68)*(1-CUSTOS!$M$38)</f>
        <v>222.93739154100084</v>
      </c>
      <c r="AA1987" s="6">
        <f>('TE BE'!$AA$32+'TE BF'!$AA$32+'TE CVA'!$AA$32)*(1-CUSTOS!$M$38)</f>
        <v>199.18265392296476</v>
      </c>
      <c r="AB1987" s="6">
        <f>$K$1987*$V$1987</f>
        <v>0</v>
      </c>
      <c r="AC1987" s="6">
        <f>$M$1987*$W$1987</f>
        <v>1236939.6789599999</v>
      </c>
      <c r="AD1987" s="6">
        <f>$O$1987*$X$1987</f>
        <v>1356227.0615999999</v>
      </c>
      <c r="AE1987" s="6">
        <f>$K$1987*$Y$1987</f>
        <v>0</v>
      </c>
      <c r="AF1987" s="6">
        <f ca="1">$M$1987*$Z$1987</f>
        <v>1468449.3610996611</v>
      </c>
      <c r="AG1987" s="6">
        <f>$O$1987*$AA$1987</f>
        <v>1311981.0852434784</v>
      </c>
    </row>
    <row r="1988" spans="1:33" ht="11.25" customHeight="1" x14ac:dyDescent="0.25">
      <c r="A1988" s="4" t="s">
        <v>27</v>
      </c>
      <c r="B1988" s="4" t="s">
        <v>46</v>
      </c>
      <c r="C1988" s="4" t="s">
        <v>23</v>
      </c>
      <c r="D1988" s="4" t="s">
        <v>47</v>
      </c>
      <c r="E1988" s="4" t="s">
        <v>25</v>
      </c>
      <c r="F1988" s="4" t="s">
        <v>25</v>
      </c>
      <c r="G1988" s="4" t="s">
        <v>25</v>
      </c>
      <c r="H1988" s="4" t="s">
        <v>25</v>
      </c>
      <c r="I1988" s="5">
        <v>43983</v>
      </c>
      <c r="J1988" s="6">
        <v>0</v>
      </c>
      <c r="K1988" s="6">
        <v>0</v>
      </c>
      <c r="L1988" s="6">
        <v>9.1639999999999997</v>
      </c>
      <c r="M1988" s="6">
        <v>9.1639999999999997</v>
      </c>
      <c r="N1988" s="6">
        <v>9.1639999999999997</v>
      </c>
      <c r="O1988" s="6">
        <v>9.1639999999999997</v>
      </c>
      <c r="P1988" s="6">
        <v>4</v>
      </c>
      <c r="Q1988" s="4" t="s">
        <v>26</v>
      </c>
      <c r="R1988" s="4">
        <v>0</v>
      </c>
      <c r="S1988" s="6">
        <v>0</v>
      </c>
      <c r="T1988" s="6">
        <v>58</v>
      </c>
      <c r="U1988" s="6">
        <v>101</v>
      </c>
      <c r="V1988" s="6">
        <f>IF(ISERROR(VLOOKUP($S$1988,'TAR FIN'!$A$1:$O$120,15,0)),0,VLOOKUP($S$1988,'TAR FIN'!$A$1:$O$120,15,0))</f>
        <v>0</v>
      </c>
      <c r="W1988" s="6">
        <f>IF(ISERROR(VLOOKUP($T$1988,'TAR FIN'!$A$1:$O$120,15,0)),0,VLOOKUP($T$1988,'TAR FIN'!$A$1:$O$120,15,0))</f>
        <v>187.79</v>
      </c>
      <c r="X1988" s="6">
        <f>IF(ISERROR(VLOOKUP($U$1988,'TAR FIN'!$A$1:$O$120,15,0)),0,VLOOKUP($U$1988,'TAR FIN'!$A$1:$O$120,15,0))</f>
        <v>205.9</v>
      </c>
      <c r="Y1988" s="6"/>
      <c r="Z1988" s="6">
        <f ca="1">('TUSD BE'!$AM$68+'TUSD BF'!$AM$68+'TUSD CVA'!$AM$68)*(1-CUSTOS!$M$38)</f>
        <v>222.93739154100084</v>
      </c>
      <c r="AA1988" s="6">
        <f>('TE BE'!$AA$32+'TE BF'!$AA$32+'TE CVA'!$AA$32)*(1-CUSTOS!$M$38)</f>
        <v>199.18265392296476</v>
      </c>
      <c r="AB1988" s="6">
        <f>$K$1988*$V$1988</f>
        <v>0</v>
      </c>
      <c r="AC1988" s="6">
        <f>$M$1988*$W$1988</f>
        <v>1720.9075599999999</v>
      </c>
      <c r="AD1988" s="6">
        <f>$O$1988*$X$1988</f>
        <v>1886.8676</v>
      </c>
      <c r="AE1988" s="6">
        <f>$K$1988*$Y$1988</f>
        <v>0</v>
      </c>
      <c r="AF1988" s="6">
        <f ca="1">$M$1988*$Z$1988</f>
        <v>2042.9982560817316</v>
      </c>
      <c r="AG1988" s="6">
        <f>$O$1988*$AA$1988</f>
        <v>1825.3098405500491</v>
      </c>
    </row>
    <row r="1989" spans="1:33" ht="11.25" customHeight="1" x14ac:dyDescent="0.25">
      <c r="A1989" s="4" t="s">
        <v>28</v>
      </c>
      <c r="B1989" s="4" t="s">
        <v>46</v>
      </c>
      <c r="C1989" s="4" t="s">
        <v>23</v>
      </c>
      <c r="D1989" s="4" t="s">
        <v>47</v>
      </c>
      <c r="E1989" s="4" t="s">
        <v>25</v>
      </c>
      <c r="F1989" s="4" t="s">
        <v>25</v>
      </c>
      <c r="G1989" s="4" t="s">
        <v>25</v>
      </c>
      <c r="H1989" s="4" t="s">
        <v>25</v>
      </c>
      <c r="I1989" s="5">
        <v>43983</v>
      </c>
      <c r="J1989" s="6">
        <v>0</v>
      </c>
      <c r="K1989" s="6">
        <v>0</v>
      </c>
      <c r="L1989" s="6">
        <v>25.783000000000001</v>
      </c>
      <c r="M1989" s="6">
        <v>25.783000000000001</v>
      </c>
      <c r="N1989" s="6">
        <v>25.783000000000001</v>
      </c>
      <c r="O1989" s="6">
        <v>25.783000000000001</v>
      </c>
      <c r="P1989" s="6">
        <v>37</v>
      </c>
      <c r="Q1989" s="4" t="s">
        <v>26</v>
      </c>
      <c r="R1989" s="4">
        <v>0</v>
      </c>
      <c r="S1989" s="6">
        <v>0</v>
      </c>
      <c r="T1989" s="6">
        <v>58</v>
      </c>
      <c r="U1989" s="6">
        <v>101</v>
      </c>
      <c r="V1989" s="6">
        <f>IF(ISERROR(VLOOKUP($S$1989,'TAR FIN'!$A$1:$O$120,15,0)),0,VLOOKUP($S$1989,'TAR FIN'!$A$1:$O$120,15,0))</f>
        <v>0</v>
      </c>
      <c r="W1989" s="6">
        <f>IF(ISERROR(VLOOKUP($T$1989,'TAR FIN'!$A$1:$O$120,15,0)),0,VLOOKUP($T$1989,'TAR FIN'!$A$1:$O$120,15,0))</f>
        <v>187.79</v>
      </c>
      <c r="X1989" s="6">
        <f>IF(ISERROR(VLOOKUP($U$1989,'TAR FIN'!$A$1:$O$120,15,0)),0,VLOOKUP($U$1989,'TAR FIN'!$A$1:$O$120,15,0))</f>
        <v>205.9</v>
      </c>
      <c r="Y1989" s="6"/>
      <c r="Z1989" s="6">
        <f ca="1">('TUSD BE'!$AM$68+'TUSD BF'!$AM$68+'TUSD CVA'!$AM$68)*(1-CUSTOS!$M$38)</f>
        <v>222.93739154100084</v>
      </c>
      <c r="AA1989" s="6">
        <f>('TE BE'!$AA$32+'TE BF'!$AA$32+'TE CVA'!$AA$32)*(1-CUSTOS!$M$38)</f>
        <v>199.18265392296476</v>
      </c>
      <c r="AB1989" s="6">
        <f>$K$1989*$V$1989</f>
        <v>0</v>
      </c>
      <c r="AC1989" s="6">
        <f>$M$1989*$W$1989</f>
        <v>4841.7895699999999</v>
      </c>
      <c r="AD1989" s="6">
        <f>$O$1989*$X$1989</f>
        <v>5308.7197000000006</v>
      </c>
      <c r="AE1989" s="6">
        <f>$K$1989*$Y$1989</f>
        <v>0</v>
      </c>
      <c r="AF1989" s="6">
        <f ca="1">$M$1989*$Z$1989</f>
        <v>5747.9947661016249</v>
      </c>
      <c r="AG1989" s="6">
        <f>$O$1989*$AA$1989</f>
        <v>5135.5263660958008</v>
      </c>
    </row>
    <row r="1990" spans="1:33" ht="11.25" customHeight="1" x14ac:dyDescent="0.25">
      <c r="A1990" s="4" t="s">
        <v>21</v>
      </c>
      <c r="B1990" s="4" t="s">
        <v>46</v>
      </c>
      <c r="C1990" s="4" t="s">
        <v>23</v>
      </c>
      <c r="D1990" s="4" t="s">
        <v>47</v>
      </c>
      <c r="E1990" s="4" t="s">
        <v>25</v>
      </c>
      <c r="F1990" s="4" t="s">
        <v>25</v>
      </c>
      <c r="G1990" s="4" t="s">
        <v>25</v>
      </c>
      <c r="H1990" s="4" t="s">
        <v>25</v>
      </c>
      <c r="I1990" s="5">
        <v>44013</v>
      </c>
      <c r="J1990" s="6">
        <v>0</v>
      </c>
      <c r="K1990" s="6">
        <v>0</v>
      </c>
      <c r="L1990" s="6">
        <v>6982.9350000000004</v>
      </c>
      <c r="M1990" s="6">
        <v>6982.9350000000004</v>
      </c>
      <c r="N1990" s="6">
        <v>6982.9350000000004</v>
      </c>
      <c r="O1990" s="6">
        <v>6982.9350000000004</v>
      </c>
      <c r="P1990" s="6">
        <v>10416</v>
      </c>
      <c r="Q1990" s="4" t="s">
        <v>26</v>
      </c>
      <c r="R1990" s="4">
        <v>0</v>
      </c>
      <c r="S1990" s="6">
        <v>0</v>
      </c>
      <c r="T1990" s="6">
        <v>58</v>
      </c>
      <c r="U1990" s="6">
        <v>101</v>
      </c>
      <c r="V1990" s="6">
        <f>IF(ISERROR(VLOOKUP($S$1990,'TAR FIN'!$A$1:$O$120,15,0)),0,VLOOKUP($S$1990,'TAR FIN'!$A$1:$O$120,15,0))</f>
        <v>0</v>
      </c>
      <c r="W1990" s="6">
        <f>IF(ISERROR(VLOOKUP($T$1990,'TAR FIN'!$A$1:$O$120,15,0)),0,VLOOKUP($T$1990,'TAR FIN'!$A$1:$O$120,15,0))</f>
        <v>187.79</v>
      </c>
      <c r="X1990" s="6">
        <f>IF(ISERROR(VLOOKUP($U$1990,'TAR FIN'!$A$1:$O$120,15,0)),0,VLOOKUP($U$1990,'TAR FIN'!$A$1:$O$120,15,0))</f>
        <v>205.9</v>
      </c>
      <c r="Y1990" s="6"/>
      <c r="Z1990" s="6">
        <f ca="1">('TUSD BE'!$AM$68+'TUSD BF'!$AM$68+'TUSD CVA'!$AM$68)*(1-CUSTOS!$M$38)</f>
        <v>222.93739154100084</v>
      </c>
      <c r="AA1990" s="6">
        <f>('TE BE'!$AA$32+'TE BF'!$AA$32+'TE CVA'!$AA$32)*(1-CUSTOS!$M$38)</f>
        <v>199.18265392296476</v>
      </c>
      <c r="AB1990" s="6">
        <f>$K$1990*$V$1990</f>
        <v>0</v>
      </c>
      <c r="AC1990" s="6">
        <f>$M$1990*$W$1990</f>
        <v>1311325.36365</v>
      </c>
      <c r="AD1990" s="6">
        <f>$O$1990*$X$1990</f>
        <v>1437786.3165000002</v>
      </c>
      <c r="AE1990" s="6">
        <f>$K$1990*$Y$1990</f>
        <v>0</v>
      </c>
      <c r="AF1990" s="6">
        <f ca="1">$M$1990*$Z$1990</f>
        <v>1556757.3142003587</v>
      </c>
      <c r="AG1990" s="6">
        <f>$O$1990*$AA$1990</f>
        <v>1390879.5254715581</v>
      </c>
    </row>
    <row r="1991" spans="1:33" ht="11.25" customHeight="1" x14ac:dyDescent="0.25">
      <c r="A1991" s="4" t="s">
        <v>27</v>
      </c>
      <c r="B1991" s="4" t="s">
        <v>46</v>
      </c>
      <c r="C1991" s="4" t="s">
        <v>23</v>
      </c>
      <c r="D1991" s="4" t="s">
        <v>47</v>
      </c>
      <c r="E1991" s="4" t="s">
        <v>25</v>
      </c>
      <c r="F1991" s="4" t="s">
        <v>25</v>
      </c>
      <c r="G1991" s="4" t="s">
        <v>25</v>
      </c>
      <c r="H1991" s="4" t="s">
        <v>25</v>
      </c>
      <c r="I1991" s="5">
        <v>44013</v>
      </c>
      <c r="J1991" s="6">
        <v>0</v>
      </c>
      <c r="K1991" s="6">
        <v>0</v>
      </c>
      <c r="L1991" s="6">
        <v>19.53</v>
      </c>
      <c r="M1991" s="6">
        <v>19.53</v>
      </c>
      <c r="N1991" s="6">
        <v>19.53</v>
      </c>
      <c r="O1991" s="6">
        <v>19.53</v>
      </c>
      <c r="P1991" s="6">
        <v>8</v>
      </c>
      <c r="Q1991" s="4" t="s">
        <v>26</v>
      </c>
      <c r="R1991" s="4">
        <v>0</v>
      </c>
      <c r="S1991" s="6">
        <v>0</v>
      </c>
      <c r="T1991" s="6">
        <v>58</v>
      </c>
      <c r="U1991" s="6">
        <v>101</v>
      </c>
      <c r="V1991" s="6">
        <f>IF(ISERROR(VLOOKUP($S$1991,'TAR FIN'!$A$1:$O$120,15,0)),0,VLOOKUP($S$1991,'TAR FIN'!$A$1:$O$120,15,0))</f>
        <v>0</v>
      </c>
      <c r="W1991" s="6">
        <f>IF(ISERROR(VLOOKUP($T$1991,'TAR FIN'!$A$1:$O$120,15,0)),0,VLOOKUP($T$1991,'TAR FIN'!$A$1:$O$120,15,0))</f>
        <v>187.79</v>
      </c>
      <c r="X1991" s="6">
        <f>IF(ISERROR(VLOOKUP($U$1991,'TAR FIN'!$A$1:$O$120,15,0)),0,VLOOKUP($U$1991,'TAR FIN'!$A$1:$O$120,15,0))</f>
        <v>205.9</v>
      </c>
      <c r="Y1991" s="6"/>
      <c r="Z1991" s="6">
        <f ca="1">('TUSD BE'!$AM$68+'TUSD BF'!$AM$68+'TUSD CVA'!$AM$68)*(1-CUSTOS!$M$38)</f>
        <v>222.93739154100084</v>
      </c>
      <c r="AA1991" s="6">
        <f>('TE BE'!$AA$32+'TE BF'!$AA$32+'TE CVA'!$AA$32)*(1-CUSTOS!$M$38)</f>
        <v>199.18265392296476</v>
      </c>
      <c r="AB1991" s="6">
        <f>$K$1991*$V$1991</f>
        <v>0</v>
      </c>
      <c r="AC1991" s="6">
        <f>$M$1991*$W$1991</f>
        <v>3667.5387000000001</v>
      </c>
      <c r="AD1991" s="6">
        <f>$O$1991*$X$1991</f>
        <v>4021.2270000000003</v>
      </c>
      <c r="AE1991" s="6">
        <f>$K$1991*$Y$1991</f>
        <v>0</v>
      </c>
      <c r="AF1991" s="6">
        <f ca="1">$M$1991*$Z$1991</f>
        <v>4353.9672567957468</v>
      </c>
      <c r="AG1991" s="6">
        <f>$O$1991*$AA$1991</f>
        <v>3890.037231115502</v>
      </c>
    </row>
    <row r="1992" spans="1:33" ht="11.25" customHeight="1" x14ac:dyDescent="0.25">
      <c r="A1992" s="4" t="s">
        <v>28</v>
      </c>
      <c r="B1992" s="4" t="s">
        <v>46</v>
      </c>
      <c r="C1992" s="4" t="s">
        <v>23</v>
      </c>
      <c r="D1992" s="4" t="s">
        <v>47</v>
      </c>
      <c r="E1992" s="4" t="s">
        <v>25</v>
      </c>
      <c r="F1992" s="4" t="s">
        <v>25</v>
      </c>
      <c r="G1992" s="4" t="s">
        <v>25</v>
      </c>
      <c r="H1992" s="4" t="s">
        <v>25</v>
      </c>
      <c r="I1992" s="5">
        <v>44013</v>
      </c>
      <c r="J1992" s="6">
        <v>0</v>
      </c>
      <c r="K1992" s="6">
        <v>0</v>
      </c>
      <c r="L1992" s="6">
        <v>23.128</v>
      </c>
      <c r="M1992" s="6">
        <v>23.128</v>
      </c>
      <c r="N1992" s="6">
        <v>23.128</v>
      </c>
      <c r="O1992" s="6">
        <v>23.128</v>
      </c>
      <c r="P1992" s="6">
        <v>36</v>
      </c>
      <c r="Q1992" s="4" t="s">
        <v>26</v>
      </c>
      <c r="R1992" s="4">
        <v>0</v>
      </c>
      <c r="S1992" s="6">
        <v>0</v>
      </c>
      <c r="T1992" s="6">
        <v>58</v>
      </c>
      <c r="U1992" s="6">
        <v>101</v>
      </c>
      <c r="V1992" s="6">
        <f>IF(ISERROR(VLOOKUP($S$1992,'TAR FIN'!$A$1:$O$120,15,0)),0,VLOOKUP($S$1992,'TAR FIN'!$A$1:$O$120,15,0))</f>
        <v>0</v>
      </c>
      <c r="W1992" s="6">
        <f>IF(ISERROR(VLOOKUP($T$1992,'TAR FIN'!$A$1:$O$120,15,0)),0,VLOOKUP($T$1992,'TAR FIN'!$A$1:$O$120,15,0))</f>
        <v>187.79</v>
      </c>
      <c r="X1992" s="6">
        <f>IF(ISERROR(VLOOKUP($U$1992,'TAR FIN'!$A$1:$O$120,15,0)),0,VLOOKUP($U$1992,'TAR FIN'!$A$1:$O$120,15,0))</f>
        <v>205.9</v>
      </c>
      <c r="Y1992" s="6"/>
      <c r="Z1992" s="6">
        <f ca="1">('TUSD BE'!$AM$68+'TUSD BF'!$AM$68+'TUSD CVA'!$AM$68)*(1-CUSTOS!$M$38)</f>
        <v>222.93739154100084</v>
      </c>
      <c r="AA1992" s="6">
        <f>('TE BE'!$AA$32+'TE BF'!$AA$32+'TE CVA'!$AA$32)*(1-CUSTOS!$M$38)</f>
        <v>199.18265392296476</v>
      </c>
      <c r="AB1992" s="6">
        <f>$K$1992*$V$1992</f>
        <v>0</v>
      </c>
      <c r="AC1992" s="6">
        <f>$M$1992*$W$1992</f>
        <v>4343.20712</v>
      </c>
      <c r="AD1992" s="6">
        <f>$O$1992*$X$1992</f>
        <v>4762.0551999999998</v>
      </c>
      <c r="AE1992" s="6">
        <f>$K$1992*$Y$1992</f>
        <v>0</v>
      </c>
      <c r="AF1992" s="6">
        <f ca="1">$M$1992*$Z$1992</f>
        <v>5156.0959915602671</v>
      </c>
      <c r="AG1992" s="6">
        <f>$O$1992*$AA$1992</f>
        <v>4606.6964199303293</v>
      </c>
    </row>
    <row r="1993" spans="1:33" ht="11.25" customHeight="1" x14ac:dyDescent="0.25">
      <c r="A1993" s="4" t="s">
        <v>21</v>
      </c>
      <c r="B1993" s="4" t="s">
        <v>46</v>
      </c>
      <c r="C1993" s="4" t="s">
        <v>23</v>
      </c>
      <c r="D1993" s="4" t="s">
        <v>47</v>
      </c>
      <c r="E1993" s="4" t="s">
        <v>25</v>
      </c>
      <c r="F1993" s="4" t="s">
        <v>25</v>
      </c>
      <c r="G1993" s="4" t="s">
        <v>25</v>
      </c>
      <c r="H1993" s="4" t="s">
        <v>25</v>
      </c>
      <c r="I1993" s="5">
        <v>44044</v>
      </c>
      <c r="J1993" s="6">
        <v>0</v>
      </c>
      <c r="K1993" s="6">
        <v>0</v>
      </c>
      <c r="L1993" s="6">
        <v>7965.4070000000002</v>
      </c>
      <c r="M1993" s="6">
        <v>7965.4070000000002</v>
      </c>
      <c r="N1993" s="6">
        <v>7965.4070000000002</v>
      </c>
      <c r="O1993" s="6">
        <v>7965.4070000000002</v>
      </c>
      <c r="P1993" s="6">
        <v>10423</v>
      </c>
      <c r="Q1993" s="4" t="s">
        <v>26</v>
      </c>
      <c r="R1993" s="4">
        <v>0</v>
      </c>
      <c r="S1993" s="6">
        <v>0</v>
      </c>
      <c r="T1993" s="6">
        <v>58</v>
      </c>
      <c r="U1993" s="6">
        <v>101</v>
      </c>
      <c r="V1993" s="6">
        <f>IF(ISERROR(VLOOKUP($S$1993,'TAR FIN'!$A$1:$O$120,15,0)),0,VLOOKUP($S$1993,'TAR FIN'!$A$1:$O$120,15,0))</f>
        <v>0</v>
      </c>
      <c r="W1993" s="6">
        <f>IF(ISERROR(VLOOKUP($T$1993,'TAR FIN'!$A$1:$O$120,15,0)),0,VLOOKUP($T$1993,'TAR FIN'!$A$1:$O$120,15,0))</f>
        <v>187.79</v>
      </c>
      <c r="X1993" s="6">
        <f>IF(ISERROR(VLOOKUP($U$1993,'TAR FIN'!$A$1:$O$120,15,0)),0,VLOOKUP($U$1993,'TAR FIN'!$A$1:$O$120,15,0))</f>
        <v>205.9</v>
      </c>
      <c r="Y1993" s="6"/>
      <c r="Z1993" s="6">
        <f ca="1">('TUSD BE'!$AM$68+'TUSD BF'!$AM$68+'TUSD CVA'!$AM$68)*(1-CUSTOS!$M$38)</f>
        <v>222.93739154100084</v>
      </c>
      <c r="AA1993" s="6">
        <f>('TE BE'!$AA$32+'TE BF'!$AA$32+'TE CVA'!$AA$32)*(1-CUSTOS!$M$38)</f>
        <v>199.18265392296476</v>
      </c>
      <c r="AB1993" s="6">
        <f>$K$1993*$V$1993</f>
        <v>0</v>
      </c>
      <c r="AC1993" s="6">
        <f>$M$1993*$W$1993</f>
        <v>1495823.7805299999</v>
      </c>
      <c r="AD1993" s="6">
        <f>$O$1993*$X$1993</f>
        <v>1640077.3013000002</v>
      </c>
      <c r="AE1993" s="6">
        <f>$K$1993*$Y$1993</f>
        <v>0</v>
      </c>
      <c r="AF1993" s="6">
        <f ca="1">$M$1993*$Z$1993</f>
        <v>1775787.0591424289</v>
      </c>
      <c r="AG1993" s="6">
        <f>$O$1993*$AA$1993</f>
        <v>1586570.905836561</v>
      </c>
    </row>
    <row r="1994" spans="1:33" ht="11.25" customHeight="1" x14ac:dyDescent="0.25">
      <c r="A1994" s="4" t="s">
        <v>27</v>
      </c>
      <c r="B1994" s="4" t="s">
        <v>46</v>
      </c>
      <c r="C1994" s="4" t="s">
        <v>23</v>
      </c>
      <c r="D1994" s="4" t="s">
        <v>47</v>
      </c>
      <c r="E1994" s="4" t="s">
        <v>25</v>
      </c>
      <c r="F1994" s="4" t="s">
        <v>25</v>
      </c>
      <c r="G1994" s="4" t="s">
        <v>25</v>
      </c>
      <c r="H1994" s="4" t="s">
        <v>25</v>
      </c>
      <c r="I1994" s="5">
        <v>44044</v>
      </c>
      <c r="J1994" s="6">
        <v>0</v>
      </c>
      <c r="K1994" s="6">
        <v>0</v>
      </c>
      <c r="L1994" s="6">
        <v>33.576999999999998</v>
      </c>
      <c r="M1994" s="6">
        <v>33.576999999999998</v>
      </c>
      <c r="N1994" s="6">
        <v>33.576999999999998</v>
      </c>
      <c r="O1994" s="6">
        <v>33.576999999999998</v>
      </c>
      <c r="P1994" s="6">
        <v>7</v>
      </c>
      <c r="Q1994" s="4" t="s">
        <v>26</v>
      </c>
      <c r="R1994" s="4">
        <v>0</v>
      </c>
      <c r="S1994" s="6">
        <v>0</v>
      </c>
      <c r="T1994" s="6">
        <v>58</v>
      </c>
      <c r="U1994" s="6">
        <v>101</v>
      </c>
      <c r="V1994" s="6">
        <f>IF(ISERROR(VLOOKUP($S$1994,'TAR FIN'!$A$1:$O$120,15,0)),0,VLOOKUP($S$1994,'TAR FIN'!$A$1:$O$120,15,0))</f>
        <v>0</v>
      </c>
      <c r="W1994" s="6">
        <f>IF(ISERROR(VLOOKUP($T$1994,'TAR FIN'!$A$1:$O$120,15,0)),0,VLOOKUP($T$1994,'TAR FIN'!$A$1:$O$120,15,0))</f>
        <v>187.79</v>
      </c>
      <c r="X1994" s="6">
        <f>IF(ISERROR(VLOOKUP($U$1994,'TAR FIN'!$A$1:$O$120,15,0)),0,VLOOKUP($U$1994,'TAR FIN'!$A$1:$O$120,15,0))</f>
        <v>205.9</v>
      </c>
      <c r="Y1994" s="6"/>
      <c r="Z1994" s="6">
        <f ca="1">('TUSD BE'!$AM$68+'TUSD BF'!$AM$68+'TUSD CVA'!$AM$68)*(1-CUSTOS!$M$38)</f>
        <v>222.93739154100084</v>
      </c>
      <c r="AA1994" s="6">
        <f>('TE BE'!$AA$32+'TE BF'!$AA$32+'TE CVA'!$AA$32)*(1-CUSTOS!$M$38)</f>
        <v>199.18265392296476</v>
      </c>
      <c r="AB1994" s="6">
        <f>$K$1994*$V$1994</f>
        <v>0</v>
      </c>
      <c r="AC1994" s="6">
        <f>$M$1994*$W$1994</f>
        <v>6305.424829999999</v>
      </c>
      <c r="AD1994" s="6">
        <f>$O$1994*$X$1994</f>
        <v>6913.5042999999996</v>
      </c>
      <c r="AE1994" s="6">
        <f>$K$1994*$Y$1994</f>
        <v>0</v>
      </c>
      <c r="AF1994" s="6">
        <f ca="1">$M$1994*$Z$1994</f>
        <v>7485.5687957721848</v>
      </c>
      <c r="AG1994" s="6">
        <f>$O$1994*$AA$1994</f>
        <v>6687.955970771387</v>
      </c>
    </row>
    <row r="1995" spans="1:33" ht="11.25" customHeight="1" x14ac:dyDescent="0.25">
      <c r="A1995" s="4" t="s">
        <v>28</v>
      </c>
      <c r="B1995" s="4" t="s">
        <v>46</v>
      </c>
      <c r="C1995" s="4" t="s">
        <v>23</v>
      </c>
      <c r="D1995" s="4" t="s">
        <v>47</v>
      </c>
      <c r="E1995" s="4" t="s">
        <v>25</v>
      </c>
      <c r="F1995" s="4" t="s">
        <v>25</v>
      </c>
      <c r="G1995" s="4" t="s">
        <v>25</v>
      </c>
      <c r="H1995" s="4" t="s">
        <v>25</v>
      </c>
      <c r="I1995" s="5">
        <v>44044</v>
      </c>
      <c r="J1995" s="6">
        <v>0</v>
      </c>
      <c r="K1995" s="6">
        <v>0</v>
      </c>
      <c r="L1995" s="6">
        <v>19.637</v>
      </c>
      <c r="M1995" s="6">
        <v>19.637</v>
      </c>
      <c r="N1995" s="6">
        <v>19.637</v>
      </c>
      <c r="O1995" s="6">
        <v>19.637</v>
      </c>
      <c r="P1995" s="6">
        <v>36</v>
      </c>
      <c r="Q1995" s="4" t="s">
        <v>26</v>
      </c>
      <c r="R1995" s="4">
        <v>0</v>
      </c>
      <c r="S1995" s="6">
        <v>0</v>
      </c>
      <c r="T1995" s="6">
        <v>58</v>
      </c>
      <c r="U1995" s="6">
        <v>101</v>
      </c>
      <c r="V1995" s="6">
        <f>IF(ISERROR(VLOOKUP($S$1995,'TAR FIN'!$A$1:$O$120,15,0)),0,VLOOKUP($S$1995,'TAR FIN'!$A$1:$O$120,15,0))</f>
        <v>0</v>
      </c>
      <c r="W1995" s="6">
        <f>IF(ISERROR(VLOOKUP($T$1995,'TAR FIN'!$A$1:$O$120,15,0)),0,VLOOKUP($T$1995,'TAR FIN'!$A$1:$O$120,15,0))</f>
        <v>187.79</v>
      </c>
      <c r="X1995" s="6">
        <f>IF(ISERROR(VLOOKUP($U$1995,'TAR FIN'!$A$1:$O$120,15,0)),0,VLOOKUP($U$1995,'TAR FIN'!$A$1:$O$120,15,0))</f>
        <v>205.9</v>
      </c>
      <c r="Y1995" s="6"/>
      <c r="Z1995" s="6">
        <f ca="1">('TUSD BE'!$AM$68+'TUSD BF'!$AM$68+'TUSD CVA'!$AM$68)*(1-CUSTOS!$M$38)</f>
        <v>222.93739154100084</v>
      </c>
      <c r="AA1995" s="6">
        <f>('TE BE'!$AA$32+'TE BF'!$AA$32+'TE CVA'!$AA$32)*(1-CUSTOS!$M$38)</f>
        <v>199.18265392296476</v>
      </c>
      <c r="AB1995" s="6">
        <f>$K$1995*$V$1995</f>
        <v>0</v>
      </c>
      <c r="AC1995" s="6">
        <f>$M$1995*$W$1995</f>
        <v>3687.6322299999997</v>
      </c>
      <c r="AD1995" s="6">
        <f>$O$1995*$X$1995</f>
        <v>4043.2583000000004</v>
      </c>
      <c r="AE1995" s="6">
        <f>$K$1995*$Y$1995</f>
        <v>0</v>
      </c>
      <c r="AF1995" s="6">
        <f ca="1">$M$1995*$Z$1995</f>
        <v>4377.8215576906332</v>
      </c>
      <c r="AG1995" s="6">
        <f>$O$1995*$AA$1995</f>
        <v>3911.3497750852589</v>
      </c>
    </row>
    <row r="1996" spans="1:33" ht="11.25" customHeight="1" x14ac:dyDescent="0.25">
      <c r="A1996" s="4" t="s">
        <v>59</v>
      </c>
      <c r="B1996" s="4" t="s">
        <v>46</v>
      </c>
      <c r="C1996" s="4" t="s">
        <v>23</v>
      </c>
      <c r="D1996" s="4" t="s">
        <v>47</v>
      </c>
      <c r="E1996" s="4" t="s">
        <v>25</v>
      </c>
      <c r="F1996" s="4" t="s">
        <v>25</v>
      </c>
      <c r="G1996" s="4" t="s">
        <v>25</v>
      </c>
      <c r="H1996" s="4" t="s">
        <v>25</v>
      </c>
      <c r="I1996" s="5">
        <v>44075</v>
      </c>
      <c r="J1996" s="6">
        <v>0</v>
      </c>
      <c r="K1996" s="6">
        <v>0</v>
      </c>
      <c r="L1996" s="6">
        <v>7965.4070000000002</v>
      </c>
      <c r="M1996" s="6">
        <v>7965.4070000000002</v>
      </c>
      <c r="N1996" s="6">
        <v>7965.4070000000002</v>
      </c>
      <c r="O1996" s="6">
        <v>7965.4070000000002</v>
      </c>
      <c r="P1996" s="6">
        <v>10423</v>
      </c>
      <c r="Q1996" s="4" t="s">
        <v>26</v>
      </c>
      <c r="R1996" s="4">
        <v>0</v>
      </c>
      <c r="S1996" s="6">
        <v>0</v>
      </c>
      <c r="T1996" s="6">
        <v>58</v>
      </c>
      <c r="U1996" s="6">
        <v>101</v>
      </c>
      <c r="V1996" s="6">
        <f>IF(ISERROR(VLOOKUP($S$1996,'TAR FIN'!$A$1:$O$120,15,0)),0,VLOOKUP($S$1996,'TAR FIN'!$A$1:$O$120,15,0))</f>
        <v>0</v>
      </c>
      <c r="W1996" s="6">
        <f>IF(ISERROR(VLOOKUP($T$1996,'TAR FIN'!$A$1:$O$120,15,0)),0,VLOOKUP($T$1996,'TAR FIN'!$A$1:$O$120,15,0))</f>
        <v>187.79</v>
      </c>
      <c r="X1996" s="6">
        <f>IF(ISERROR(VLOOKUP($U$1996,'TAR FIN'!$A$1:$O$120,15,0)),0,VLOOKUP($U$1996,'TAR FIN'!$A$1:$O$120,15,0))</f>
        <v>205.9</v>
      </c>
      <c r="Y1996" s="6"/>
      <c r="Z1996" s="6">
        <f ca="1">('TUSD BE'!$AM$68+'TUSD BF'!$AM$68+'TUSD CVA'!$AM$68)*(1-CUSTOS!$M$38)</f>
        <v>222.93739154100084</v>
      </c>
      <c r="AA1996" s="6">
        <f>('TE BE'!$AA$32+'TE BF'!$AA$32+'TE CVA'!$AA$32)*(1-CUSTOS!$M$38)</f>
        <v>199.18265392296476</v>
      </c>
      <c r="AB1996" s="6">
        <f>$K$1996*$V$1996</f>
        <v>0</v>
      </c>
      <c r="AC1996" s="6">
        <f>$M$1996*$W$1996</f>
        <v>1495823.7805299999</v>
      </c>
      <c r="AD1996" s="6">
        <f>$O$1996*$X$1996</f>
        <v>1640077.3013000002</v>
      </c>
      <c r="AE1996" s="6">
        <f>$K$1996*$Y$1996</f>
        <v>0</v>
      </c>
      <c r="AF1996" s="6">
        <f ca="1">$M$1996*$Z$1996</f>
        <v>1775787.0591424289</v>
      </c>
      <c r="AG1996" s="6">
        <f>$O$1996*$AA$1996</f>
        <v>1586570.905836561</v>
      </c>
    </row>
    <row r="1997" spans="1:33" ht="11.25" customHeight="1" x14ac:dyDescent="0.25">
      <c r="A1997" s="4" t="s">
        <v>59</v>
      </c>
      <c r="B1997" s="4" t="s">
        <v>46</v>
      </c>
      <c r="C1997" s="4" t="s">
        <v>23</v>
      </c>
      <c r="D1997" s="4" t="s">
        <v>47</v>
      </c>
      <c r="E1997" s="4" t="s">
        <v>25</v>
      </c>
      <c r="F1997" s="4" t="s">
        <v>25</v>
      </c>
      <c r="G1997" s="4" t="s">
        <v>25</v>
      </c>
      <c r="H1997" s="4" t="s">
        <v>25</v>
      </c>
      <c r="I1997" s="5">
        <v>44075</v>
      </c>
      <c r="J1997" s="6">
        <v>0</v>
      </c>
      <c r="K1997" s="6">
        <v>0</v>
      </c>
      <c r="L1997" s="6">
        <v>33.576999999999998</v>
      </c>
      <c r="M1997" s="6">
        <v>33.576999999999998</v>
      </c>
      <c r="N1997" s="6">
        <v>33.576999999999998</v>
      </c>
      <c r="O1997" s="6">
        <v>33.576999999999998</v>
      </c>
      <c r="P1997" s="6">
        <v>7</v>
      </c>
      <c r="Q1997" s="4" t="s">
        <v>26</v>
      </c>
      <c r="R1997" s="4">
        <v>0</v>
      </c>
      <c r="S1997" s="6">
        <v>0</v>
      </c>
      <c r="T1997" s="6">
        <v>58</v>
      </c>
      <c r="U1997" s="6">
        <v>101</v>
      </c>
      <c r="V1997" s="6">
        <f>IF(ISERROR(VLOOKUP($S$1997,'TAR FIN'!$A$1:$O$120,15,0)),0,VLOOKUP($S$1997,'TAR FIN'!$A$1:$O$120,15,0))</f>
        <v>0</v>
      </c>
      <c r="W1997" s="6">
        <f>IF(ISERROR(VLOOKUP($T$1997,'TAR FIN'!$A$1:$O$120,15,0)),0,VLOOKUP($T$1997,'TAR FIN'!$A$1:$O$120,15,0))</f>
        <v>187.79</v>
      </c>
      <c r="X1997" s="6">
        <f>IF(ISERROR(VLOOKUP($U$1997,'TAR FIN'!$A$1:$O$120,15,0)),0,VLOOKUP($U$1997,'TAR FIN'!$A$1:$O$120,15,0))</f>
        <v>205.9</v>
      </c>
      <c r="Y1997" s="6"/>
      <c r="Z1997" s="6">
        <f ca="1">('TUSD BE'!$AM$68+'TUSD BF'!$AM$68+'TUSD CVA'!$AM$68)*(1-CUSTOS!$M$38)</f>
        <v>222.93739154100084</v>
      </c>
      <c r="AA1997" s="6">
        <f>('TE BE'!$AA$32+'TE BF'!$AA$32+'TE CVA'!$AA$32)*(1-CUSTOS!$M$38)</f>
        <v>199.18265392296476</v>
      </c>
      <c r="AB1997" s="6">
        <f>$K$1997*$V$1997</f>
        <v>0</v>
      </c>
      <c r="AC1997" s="6">
        <f>$M$1997*$W$1997</f>
        <v>6305.424829999999</v>
      </c>
      <c r="AD1997" s="6">
        <f>$O$1997*$X$1997</f>
        <v>6913.5042999999996</v>
      </c>
      <c r="AE1997" s="6">
        <f>$K$1997*$Y$1997</f>
        <v>0</v>
      </c>
      <c r="AF1997" s="6">
        <f ca="1">$M$1997*$Z$1997</f>
        <v>7485.5687957721848</v>
      </c>
      <c r="AG1997" s="6">
        <f>$O$1997*$AA$1997</f>
        <v>6687.955970771387</v>
      </c>
    </row>
    <row r="1998" spans="1:33" ht="11.25" customHeight="1" x14ac:dyDescent="0.25">
      <c r="A1998" s="4" t="s">
        <v>59</v>
      </c>
      <c r="B1998" s="4" t="s">
        <v>46</v>
      </c>
      <c r="C1998" s="4" t="s">
        <v>23</v>
      </c>
      <c r="D1998" s="4" t="s">
        <v>47</v>
      </c>
      <c r="E1998" s="4" t="s">
        <v>25</v>
      </c>
      <c r="F1998" s="4" t="s">
        <v>25</v>
      </c>
      <c r="G1998" s="4" t="s">
        <v>25</v>
      </c>
      <c r="H1998" s="4" t="s">
        <v>25</v>
      </c>
      <c r="I1998" s="5">
        <v>44075</v>
      </c>
      <c r="J1998" s="6">
        <v>0</v>
      </c>
      <c r="K1998" s="6">
        <v>0</v>
      </c>
      <c r="L1998" s="6">
        <v>19.637</v>
      </c>
      <c r="M1998" s="6">
        <v>19.637</v>
      </c>
      <c r="N1998" s="6">
        <v>19.637</v>
      </c>
      <c r="O1998" s="6">
        <v>19.637</v>
      </c>
      <c r="P1998" s="6">
        <v>36</v>
      </c>
      <c r="Q1998" s="4" t="s">
        <v>26</v>
      </c>
      <c r="R1998" s="4">
        <v>0</v>
      </c>
      <c r="S1998" s="6">
        <v>0</v>
      </c>
      <c r="T1998" s="6">
        <v>58</v>
      </c>
      <c r="U1998" s="6">
        <v>101</v>
      </c>
      <c r="V1998" s="6">
        <f>IF(ISERROR(VLOOKUP($S$1998,'TAR FIN'!$A$1:$O$120,15,0)),0,VLOOKUP($S$1998,'TAR FIN'!$A$1:$O$120,15,0))</f>
        <v>0</v>
      </c>
      <c r="W1998" s="6">
        <f>IF(ISERROR(VLOOKUP($T$1998,'TAR FIN'!$A$1:$O$120,15,0)),0,VLOOKUP($T$1998,'TAR FIN'!$A$1:$O$120,15,0))</f>
        <v>187.79</v>
      </c>
      <c r="X1998" s="6">
        <f>IF(ISERROR(VLOOKUP($U$1998,'TAR FIN'!$A$1:$O$120,15,0)),0,VLOOKUP($U$1998,'TAR FIN'!$A$1:$O$120,15,0))</f>
        <v>205.9</v>
      </c>
      <c r="Y1998" s="6"/>
      <c r="Z1998" s="6">
        <f ca="1">('TUSD BE'!$AM$68+'TUSD BF'!$AM$68+'TUSD CVA'!$AM$68)*(1-CUSTOS!$M$38)</f>
        <v>222.93739154100084</v>
      </c>
      <c r="AA1998" s="6">
        <f>('TE BE'!$AA$32+'TE BF'!$AA$32+'TE CVA'!$AA$32)*(1-CUSTOS!$M$38)</f>
        <v>199.18265392296476</v>
      </c>
      <c r="AB1998" s="6">
        <f>$K$1998*$V$1998</f>
        <v>0</v>
      </c>
      <c r="AC1998" s="6">
        <f>$M$1998*$W$1998</f>
        <v>3687.6322299999997</v>
      </c>
      <c r="AD1998" s="6">
        <f>$O$1998*$X$1998</f>
        <v>4043.2583000000004</v>
      </c>
      <c r="AE1998" s="6">
        <f>$K$1998*$Y$1998</f>
        <v>0</v>
      </c>
      <c r="AF1998" s="6">
        <f ca="1">$M$1998*$Z$1998</f>
        <v>4377.8215576906332</v>
      </c>
      <c r="AG1998" s="6">
        <f>$O$1998*$AA$1998</f>
        <v>3911.3497750852589</v>
      </c>
    </row>
    <row r="1999" spans="1:33" ht="11.25" customHeight="1" x14ac:dyDescent="0.25">
      <c r="A1999" s="4" t="s">
        <v>21</v>
      </c>
      <c r="B1999" s="4" t="s">
        <v>39</v>
      </c>
      <c r="C1999" s="4" t="s">
        <v>37</v>
      </c>
      <c r="D1999" s="4" t="s">
        <v>42</v>
      </c>
      <c r="E1999" s="4" t="s">
        <v>25</v>
      </c>
      <c r="F1999" s="4" t="s">
        <v>25</v>
      </c>
      <c r="G1999" s="4" t="s">
        <v>25</v>
      </c>
      <c r="H1999" s="4" t="s">
        <v>36</v>
      </c>
      <c r="I1999" s="5">
        <v>43739</v>
      </c>
      <c r="J1999" s="6">
        <v>0</v>
      </c>
      <c r="K1999" s="6">
        <v>0</v>
      </c>
      <c r="L1999" s="6">
        <v>356.14499999999998</v>
      </c>
      <c r="M1999" s="6">
        <v>356.14499999999998</v>
      </c>
      <c r="N1999" s="6">
        <v>356.14499999999998</v>
      </c>
      <c r="O1999" s="6">
        <v>356.14499999999998</v>
      </c>
      <c r="P1999" s="6">
        <v>0</v>
      </c>
      <c r="Q1999" s="4" t="s">
        <v>26</v>
      </c>
      <c r="R1999" s="4">
        <v>0</v>
      </c>
      <c r="S1999" s="6">
        <v>0</v>
      </c>
      <c r="T1999" s="6">
        <v>72</v>
      </c>
      <c r="U1999" s="6">
        <v>115</v>
      </c>
      <c r="V1999" s="6">
        <f>IF(ISERROR(VLOOKUP($S$1999,'TAR FIN'!$A$1:$O$120,15,0)),0,VLOOKUP($S$1999,'TAR FIN'!$A$1:$O$120,15,0))</f>
        <v>0</v>
      </c>
      <c r="W1999" s="6">
        <f>IF(ISERROR(VLOOKUP($T$1999,'TAR FIN'!$A$1:$O$120,15,0)),0,VLOOKUP($T$1999,'TAR FIN'!$A$1:$O$120,15,0))</f>
        <v>197.19</v>
      </c>
      <c r="X1999" s="6">
        <f>IF(ISERROR(VLOOKUP($U$1999,'TAR FIN'!$A$1:$O$120,15,0)),0,VLOOKUP($U$1999,'TAR FIN'!$A$1:$O$120,15,0))</f>
        <v>256.38</v>
      </c>
      <c r="Y1999" s="6"/>
      <c r="Z1999" s="6">
        <f ca="1">('TUSD BE'!$AM$82+'TUSD BF'!$AM$82+'TUSD CVA'!$AM$82)*1</f>
        <v>213.95322604891325</v>
      </c>
      <c r="AA1999" s="6">
        <f>('TE BE'!$AA$46+'TE BF'!$AA$46+'TE CVA'!$AA$46)*1</f>
        <v>230.83420940933817</v>
      </c>
      <c r="AB1999" s="6">
        <f>$K$1999*$V$1999</f>
        <v>0</v>
      </c>
      <c r="AC1999" s="6">
        <f>$M$1999*$W$1999</f>
        <v>70228.232550000001</v>
      </c>
      <c r="AD1999" s="6">
        <f>$O$1999*$X$1999</f>
        <v>91308.455099999992</v>
      </c>
      <c r="AE1999" s="6">
        <f>$K$1999*$Y$1999</f>
        <v>0</v>
      </c>
      <c r="AF1999" s="6">
        <f ca="1">$M$1999*$Z$1999</f>
        <v>76198.371691190201</v>
      </c>
      <c r="AG1999" s="6">
        <f>$O$1999*$AA$1999</f>
        <v>82210.449510088743</v>
      </c>
    </row>
    <row r="2000" spans="1:33" ht="11.25" customHeight="1" x14ac:dyDescent="0.25">
      <c r="A2000" s="4" t="s">
        <v>27</v>
      </c>
      <c r="B2000" s="4" t="s">
        <v>39</v>
      </c>
      <c r="C2000" s="4" t="s">
        <v>37</v>
      </c>
      <c r="D2000" s="4" t="s">
        <v>42</v>
      </c>
      <c r="E2000" s="4" t="s">
        <v>25</v>
      </c>
      <c r="F2000" s="4" t="s">
        <v>25</v>
      </c>
      <c r="G2000" s="4" t="s">
        <v>25</v>
      </c>
      <c r="H2000" s="4" t="s">
        <v>36</v>
      </c>
      <c r="I2000" s="5">
        <v>43739</v>
      </c>
      <c r="J2000" s="6">
        <v>0</v>
      </c>
      <c r="K2000" s="6">
        <v>0</v>
      </c>
      <c r="L2000" s="6">
        <v>4.3330000000000002</v>
      </c>
      <c r="M2000" s="6">
        <v>4.3330000000000002</v>
      </c>
      <c r="N2000" s="6">
        <v>4.3330000000000002</v>
      </c>
      <c r="O2000" s="6">
        <v>4.3330000000000002</v>
      </c>
      <c r="P2000" s="6">
        <v>0</v>
      </c>
      <c r="Q2000" s="4" t="s">
        <v>26</v>
      </c>
      <c r="R2000" s="4">
        <v>0</v>
      </c>
      <c r="S2000" s="6">
        <v>0</v>
      </c>
      <c r="T2000" s="6">
        <v>72</v>
      </c>
      <c r="U2000" s="6">
        <v>115</v>
      </c>
      <c r="V2000" s="6">
        <f>IF(ISERROR(VLOOKUP($S$2000,'TAR FIN'!$A$1:$O$120,15,0)),0,VLOOKUP($S$2000,'TAR FIN'!$A$1:$O$120,15,0))</f>
        <v>0</v>
      </c>
      <c r="W2000" s="6">
        <f>IF(ISERROR(VLOOKUP($T$2000,'TAR FIN'!$A$1:$O$120,15,0)),0,VLOOKUP($T$2000,'TAR FIN'!$A$1:$O$120,15,0))</f>
        <v>197.19</v>
      </c>
      <c r="X2000" s="6">
        <f>IF(ISERROR(VLOOKUP($U$2000,'TAR FIN'!$A$1:$O$120,15,0)),0,VLOOKUP($U$2000,'TAR FIN'!$A$1:$O$120,15,0))</f>
        <v>256.38</v>
      </c>
      <c r="Y2000" s="6"/>
      <c r="Z2000" s="6">
        <f ca="1">('TUSD BE'!$AM$82+'TUSD BF'!$AM$82+'TUSD CVA'!$AM$82)*1</f>
        <v>213.95322604891325</v>
      </c>
      <c r="AA2000" s="6">
        <f>('TE BE'!$AA$46+'TE BF'!$AA$46+'TE CVA'!$AA$46)*1</f>
        <v>230.83420940933817</v>
      </c>
      <c r="AB2000" s="6">
        <f>$K$2000*$V$2000</f>
        <v>0</v>
      </c>
      <c r="AC2000" s="6">
        <f>$M$2000*$W$2000</f>
        <v>854.42426999999998</v>
      </c>
      <c r="AD2000" s="6">
        <f>$O$2000*$X$2000</f>
        <v>1110.89454</v>
      </c>
      <c r="AE2000" s="6">
        <f>$K$2000*$Y$2000</f>
        <v>0</v>
      </c>
      <c r="AF2000" s="6">
        <f ca="1">$M$2000*$Z$2000</f>
        <v>927.05932846994119</v>
      </c>
      <c r="AG2000" s="6">
        <f>$O$2000*$AA$2000</f>
        <v>1000.2046293706624</v>
      </c>
    </row>
    <row r="2001" spans="1:33" ht="11.25" customHeight="1" x14ac:dyDescent="0.25">
      <c r="A2001" s="4" t="s">
        <v>21</v>
      </c>
      <c r="B2001" s="4" t="s">
        <v>39</v>
      </c>
      <c r="C2001" s="4" t="s">
        <v>37</v>
      </c>
      <c r="D2001" s="4" t="s">
        <v>42</v>
      </c>
      <c r="E2001" s="4" t="s">
        <v>25</v>
      </c>
      <c r="F2001" s="4" t="s">
        <v>25</v>
      </c>
      <c r="G2001" s="4" t="s">
        <v>25</v>
      </c>
      <c r="H2001" s="4" t="s">
        <v>36</v>
      </c>
      <c r="I2001" s="5">
        <v>43770</v>
      </c>
      <c r="J2001" s="6">
        <v>0</v>
      </c>
      <c r="K2001" s="6">
        <v>0</v>
      </c>
      <c r="L2001" s="6">
        <v>1406.1969999999999</v>
      </c>
      <c r="M2001" s="6">
        <v>1406.1969999999999</v>
      </c>
      <c r="N2001" s="6">
        <v>1406.1969999999999</v>
      </c>
      <c r="O2001" s="6">
        <v>1406.1969999999999</v>
      </c>
      <c r="P2001" s="6">
        <v>0</v>
      </c>
      <c r="Q2001" s="4" t="s">
        <v>26</v>
      </c>
      <c r="R2001" s="4">
        <v>0</v>
      </c>
      <c r="S2001" s="6">
        <v>0</v>
      </c>
      <c r="T2001" s="6">
        <v>72</v>
      </c>
      <c r="U2001" s="6">
        <v>115</v>
      </c>
      <c r="V2001" s="6">
        <f>IF(ISERROR(VLOOKUP($S$2001,'TAR FIN'!$A$1:$O$120,15,0)),0,VLOOKUP($S$2001,'TAR FIN'!$A$1:$O$120,15,0))</f>
        <v>0</v>
      </c>
      <c r="W2001" s="6">
        <f>IF(ISERROR(VLOOKUP($T$2001,'TAR FIN'!$A$1:$O$120,15,0)),0,VLOOKUP($T$2001,'TAR FIN'!$A$1:$O$120,15,0))</f>
        <v>197.19</v>
      </c>
      <c r="X2001" s="6">
        <f>IF(ISERROR(VLOOKUP($U$2001,'TAR FIN'!$A$1:$O$120,15,0)),0,VLOOKUP($U$2001,'TAR FIN'!$A$1:$O$120,15,0))</f>
        <v>256.38</v>
      </c>
      <c r="Y2001" s="6"/>
      <c r="Z2001" s="6">
        <f ca="1">('TUSD BE'!$AM$82+'TUSD BF'!$AM$82+'TUSD CVA'!$AM$82)*1</f>
        <v>213.95322604891325</v>
      </c>
      <c r="AA2001" s="6">
        <f>('TE BE'!$AA$46+'TE BF'!$AA$46+'TE CVA'!$AA$46)*1</f>
        <v>230.83420940933817</v>
      </c>
      <c r="AB2001" s="6">
        <f>$K$2001*$V$2001</f>
        <v>0</v>
      </c>
      <c r="AC2001" s="6">
        <f>$M$2001*$W$2001</f>
        <v>277287.98642999999</v>
      </c>
      <c r="AD2001" s="6">
        <f>$O$2001*$X$2001</f>
        <v>360520.78685999999</v>
      </c>
      <c r="AE2001" s="6">
        <f>$K$2001*$Y$2001</f>
        <v>0</v>
      </c>
      <c r="AF2001" s="6">
        <f ca="1">$M$2001*$Z$2001</f>
        <v>300860.38461030362</v>
      </c>
      <c r="AG2001" s="6">
        <f>$O$2001*$AA$2001</f>
        <v>324598.37276878307</v>
      </c>
    </row>
    <row r="2002" spans="1:33" ht="11.25" customHeight="1" x14ac:dyDescent="0.25">
      <c r="A2002" s="4" t="s">
        <v>27</v>
      </c>
      <c r="B2002" s="4" t="s">
        <v>39</v>
      </c>
      <c r="C2002" s="4" t="s">
        <v>37</v>
      </c>
      <c r="D2002" s="4" t="s">
        <v>42</v>
      </c>
      <c r="E2002" s="4" t="s">
        <v>25</v>
      </c>
      <c r="F2002" s="4" t="s">
        <v>25</v>
      </c>
      <c r="G2002" s="4" t="s">
        <v>25</v>
      </c>
      <c r="H2002" s="4" t="s">
        <v>36</v>
      </c>
      <c r="I2002" s="5">
        <v>43770</v>
      </c>
      <c r="J2002" s="6">
        <v>0</v>
      </c>
      <c r="K2002" s="6">
        <v>0</v>
      </c>
      <c r="L2002" s="6">
        <v>6.7350000000000003</v>
      </c>
      <c r="M2002" s="6">
        <v>6.7350000000000003</v>
      </c>
      <c r="N2002" s="6">
        <v>6.7350000000000003</v>
      </c>
      <c r="O2002" s="6">
        <v>6.7350000000000003</v>
      </c>
      <c r="P2002" s="6">
        <v>0</v>
      </c>
      <c r="Q2002" s="4" t="s">
        <v>26</v>
      </c>
      <c r="R2002" s="4">
        <v>0</v>
      </c>
      <c r="S2002" s="6">
        <v>0</v>
      </c>
      <c r="T2002" s="6">
        <v>72</v>
      </c>
      <c r="U2002" s="6">
        <v>115</v>
      </c>
      <c r="V2002" s="6">
        <f>IF(ISERROR(VLOOKUP($S$2002,'TAR FIN'!$A$1:$O$120,15,0)),0,VLOOKUP($S$2002,'TAR FIN'!$A$1:$O$120,15,0))</f>
        <v>0</v>
      </c>
      <c r="W2002" s="6">
        <f>IF(ISERROR(VLOOKUP($T$2002,'TAR FIN'!$A$1:$O$120,15,0)),0,VLOOKUP($T$2002,'TAR FIN'!$A$1:$O$120,15,0))</f>
        <v>197.19</v>
      </c>
      <c r="X2002" s="6">
        <f>IF(ISERROR(VLOOKUP($U$2002,'TAR FIN'!$A$1:$O$120,15,0)),0,VLOOKUP($U$2002,'TAR FIN'!$A$1:$O$120,15,0))</f>
        <v>256.38</v>
      </c>
      <c r="Y2002" s="6"/>
      <c r="Z2002" s="6">
        <f ca="1">('TUSD BE'!$AM$82+'TUSD BF'!$AM$82+'TUSD CVA'!$AM$82)*1</f>
        <v>213.95322604891325</v>
      </c>
      <c r="AA2002" s="6">
        <f>('TE BE'!$AA$46+'TE BF'!$AA$46+'TE CVA'!$AA$46)*1</f>
        <v>230.83420940933817</v>
      </c>
      <c r="AB2002" s="6">
        <f>$K$2002*$V$2002</f>
        <v>0</v>
      </c>
      <c r="AC2002" s="6">
        <f>$M$2002*$W$2002</f>
        <v>1328.07465</v>
      </c>
      <c r="AD2002" s="6">
        <f>$O$2002*$X$2002</f>
        <v>1726.7193</v>
      </c>
      <c r="AE2002" s="6">
        <f>$K$2002*$Y$2002</f>
        <v>0</v>
      </c>
      <c r="AF2002" s="6">
        <f ca="1">$M$2002*$Z$2002</f>
        <v>1440.9749774394309</v>
      </c>
      <c r="AG2002" s="6">
        <f>$O$2002*$AA$2002</f>
        <v>1554.6684003718926</v>
      </c>
    </row>
    <row r="2003" spans="1:33" ht="11.25" customHeight="1" x14ac:dyDescent="0.25">
      <c r="A2003" s="4" t="s">
        <v>27</v>
      </c>
      <c r="B2003" s="4" t="s">
        <v>39</v>
      </c>
      <c r="C2003" s="4" t="s">
        <v>37</v>
      </c>
      <c r="D2003" s="4" t="s">
        <v>42</v>
      </c>
      <c r="E2003" s="4" t="s">
        <v>25</v>
      </c>
      <c r="F2003" s="4" t="s">
        <v>25</v>
      </c>
      <c r="G2003" s="4" t="s">
        <v>25</v>
      </c>
      <c r="H2003" s="4" t="s">
        <v>36</v>
      </c>
      <c r="I2003" s="5">
        <v>43800</v>
      </c>
      <c r="J2003" s="6">
        <v>0</v>
      </c>
      <c r="K2003" s="6">
        <v>0</v>
      </c>
      <c r="L2003" s="6">
        <v>-612.67399999999998</v>
      </c>
      <c r="M2003" s="6">
        <v>-612.67399999999998</v>
      </c>
      <c r="N2003" s="6">
        <v>-612.67399999999998</v>
      </c>
      <c r="O2003" s="6">
        <v>-612.67399999999998</v>
      </c>
      <c r="P2003" s="6">
        <v>0</v>
      </c>
      <c r="Q2003" s="4" t="s">
        <v>26</v>
      </c>
      <c r="R2003" s="4">
        <v>0</v>
      </c>
      <c r="S2003" s="6">
        <v>0</v>
      </c>
      <c r="T2003" s="6">
        <v>72</v>
      </c>
      <c r="U2003" s="6">
        <v>115</v>
      </c>
      <c r="V2003" s="6">
        <f>IF(ISERROR(VLOOKUP($S$2003,'TAR FIN'!$A$1:$O$120,15,0)),0,VLOOKUP($S$2003,'TAR FIN'!$A$1:$O$120,15,0))</f>
        <v>0</v>
      </c>
      <c r="W2003" s="6">
        <f>IF(ISERROR(VLOOKUP($T$2003,'TAR FIN'!$A$1:$O$120,15,0)),0,VLOOKUP($T$2003,'TAR FIN'!$A$1:$O$120,15,0))</f>
        <v>197.19</v>
      </c>
      <c r="X2003" s="6">
        <f>IF(ISERROR(VLOOKUP($U$2003,'TAR FIN'!$A$1:$O$120,15,0)),0,VLOOKUP($U$2003,'TAR FIN'!$A$1:$O$120,15,0))</f>
        <v>256.38</v>
      </c>
      <c r="Y2003" s="6"/>
      <c r="Z2003" s="6">
        <f ca="1">('TUSD BE'!$AM$82+'TUSD BF'!$AM$82+'TUSD CVA'!$AM$82)*1</f>
        <v>213.95322604891325</v>
      </c>
      <c r="AA2003" s="6">
        <f>('TE BE'!$AA$46+'TE BF'!$AA$46+'TE CVA'!$AA$46)*1</f>
        <v>230.83420940933817</v>
      </c>
      <c r="AB2003" s="6">
        <f>$K$2003*$V$2003</f>
        <v>0</v>
      </c>
      <c r="AC2003" s="6">
        <f>$M$2003*$W$2003</f>
        <v>-120813.18605999999</v>
      </c>
      <c r="AD2003" s="6">
        <f>$O$2003*$X$2003</f>
        <v>-157077.36012</v>
      </c>
      <c r="AE2003" s="6">
        <f>$K$2003*$Y$2003</f>
        <v>0</v>
      </c>
      <c r="AF2003" s="6">
        <f ca="1">$M$2003*$Z$2003</f>
        <v>-131083.57881629188</v>
      </c>
      <c r="AG2003" s="6">
        <f>$O$2003*$AA$2003</f>
        <v>-141426.11841565685</v>
      </c>
    </row>
    <row r="2004" spans="1:33" ht="11.25" customHeight="1" x14ac:dyDescent="0.25">
      <c r="A2004" s="4" t="s">
        <v>21</v>
      </c>
      <c r="B2004" s="4" t="s">
        <v>39</v>
      </c>
      <c r="C2004" s="4" t="s">
        <v>37</v>
      </c>
      <c r="D2004" s="4" t="s">
        <v>42</v>
      </c>
      <c r="E2004" s="4" t="s">
        <v>25</v>
      </c>
      <c r="F2004" s="4" t="s">
        <v>25</v>
      </c>
      <c r="G2004" s="4" t="s">
        <v>25</v>
      </c>
      <c r="H2004" s="4" t="s">
        <v>36</v>
      </c>
      <c r="I2004" s="5">
        <v>43831</v>
      </c>
      <c r="J2004" s="6">
        <v>0</v>
      </c>
      <c r="K2004" s="6">
        <v>0</v>
      </c>
      <c r="L2004" s="6">
        <v>371.50200000000001</v>
      </c>
      <c r="M2004" s="6">
        <v>371.50200000000001</v>
      </c>
      <c r="N2004" s="6">
        <v>371.50200000000001</v>
      </c>
      <c r="O2004" s="6">
        <v>371.50200000000001</v>
      </c>
      <c r="P2004" s="6">
        <v>0</v>
      </c>
      <c r="Q2004" s="4" t="s">
        <v>26</v>
      </c>
      <c r="R2004" s="4">
        <v>0</v>
      </c>
      <c r="S2004" s="6">
        <v>0</v>
      </c>
      <c r="T2004" s="6">
        <v>72</v>
      </c>
      <c r="U2004" s="6">
        <v>115</v>
      </c>
      <c r="V2004" s="6">
        <f>IF(ISERROR(VLOOKUP($S$2004,'TAR FIN'!$A$1:$O$120,15,0)),0,VLOOKUP($S$2004,'TAR FIN'!$A$1:$O$120,15,0))</f>
        <v>0</v>
      </c>
      <c r="W2004" s="6">
        <f>IF(ISERROR(VLOOKUP($T$2004,'TAR FIN'!$A$1:$O$120,15,0)),0,VLOOKUP($T$2004,'TAR FIN'!$A$1:$O$120,15,0))</f>
        <v>197.19</v>
      </c>
      <c r="X2004" s="6">
        <f>IF(ISERROR(VLOOKUP($U$2004,'TAR FIN'!$A$1:$O$120,15,0)),0,VLOOKUP($U$2004,'TAR FIN'!$A$1:$O$120,15,0))</f>
        <v>256.38</v>
      </c>
      <c r="Y2004" s="6"/>
      <c r="Z2004" s="6">
        <f ca="1">('TUSD BE'!$AM$82+'TUSD BF'!$AM$82+'TUSD CVA'!$AM$82)*1</f>
        <v>213.95322604891325</v>
      </c>
      <c r="AA2004" s="6">
        <f>('TE BE'!$AA$46+'TE BF'!$AA$46+'TE CVA'!$AA$46)*1</f>
        <v>230.83420940933817</v>
      </c>
      <c r="AB2004" s="6">
        <f>$K$2004*$V$2004</f>
        <v>0</v>
      </c>
      <c r="AC2004" s="6">
        <f>$M$2004*$W$2004</f>
        <v>73256.479380000004</v>
      </c>
      <c r="AD2004" s="6">
        <f>$O$2004*$X$2004</f>
        <v>95245.682759999996</v>
      </c>
      <c r="AE2004" s="6">
        <f>$K$2004*$Y$2004</f>
        <v>0</v>
      </c>
      <c r="AF2004" s="6">
        <f ca="1">$M$2004*$Z$2004</f>
        <v>79484.051383623373</v>
      </c>
      <c r="AG2004" s="6">
        <f>$O$2004*$AA$2004</f>
        <v>85755.370463987958</v>
      </c>
    </row>
    <row r="2005" spans="1:33" ht="11.25" customHeight="1" x14ac:dyDescent="0.25">
      <c r="A2005" s="4" t="s">
        <v>27</v>
      </c>
      <c r="B2005" s="4" t="s">
        <v>39</v>
      </c>
      <c r="C2005" s="4" t="s">
        <v>37</v>
      </c>
      <c r="D2005" s="4" t="s">
        <v>42</v>
      </c>
      <c r="E2005" s="4" t="s">
        <v>25</v>
      </c>
      <c r="F2005" s="4" t="s">
        <v>25</v>
      </c>
      <c r="G2005" s="4" t="s">
        <v>25</v>
      </c>
      <c r="H2005" s="4" t="s">
        <v>36</v>
      </c>
      <c r="I2005" s="5">
        <v>43831</v>
      </c>
      <c r="J2005" s="6">
        <v>0</v>
      </c>
      <c r="K2005" s="6">
        <v>0</v>
      </c>
      <c r="L2005" s="6">
        <v>2.9089999999999998</v>
      </c>
      <c r="M2005" s="6">
        <v>2.9089999999999998</v>
      </c>
      <c r="N2005" s="6">
        <v>2.9089999999999998</v>
      </c>
      <c r="O2005" s="6">
        <v>2.9089999999999998</v>
      </c>
      <c r="P2005" s="6">
        <v>0</v>
      </c>
      <c r="Q2005" s="4" t="s">
        <v>26</v>
      </c>
      <c r="R2005" s="4">
        <v>0</v>
      </c>
      <c r="S2005" s="6">
        <v>0</v>
      </c>
      <c r="T2005" s="6">
        <v>72</v>
      </c>
      <c r="U2005" s="6">
        <v>115</v>
      </c>
      <c r="V2005" s="6">
        <f>IF(ISERROR(VLOOKUP($S$2005,'TAR FIN'!$A$1:$O$120,15,0)),0,VLOOKUP($S$2005,'TAR FIN'!$A$1:$O$120,15,0))</f>
        <v>0</v>
      </c>
      <c r="W2005" s="6">
        <f>IF(ISERROR(VLOOKUP($T$2005,'TAR FIN'!$A$1:$O$120,15,0)),0,VLOOKUP($T$2005,'TAR FIN'!$A$1:$O$120,15,0))</f>
        <v>197.19</v>
      </c>
      <c r="X2005" s="6">
        <f>IF(ISERROR(VLOOKUP($U$2005,'TAR FIN'!$A$1:$O$120,15,0)),0,VLOOKUP($U$2005,'TAR FIN'!$A$1:$O$120,15,0))</f>
        <v>256.38</v>
      </c>
      <c r="Y2005" s="6"/>
      <c r="Z2005" s="6">
        <f ca="1">('TUSD BE'!$AM$82+'TUSD BF'!$AM$82+'TUSD CVA'!$AM$82)*1</f>
        <v>213.95322604891325</v>
      </c>
      <c r="AA2005" s="6">
        <f>('TE BE'!$AA$46+'TE BF'!$AA$46+'TE CVA'!$AA$46)*1</f>
        <v>230.83420940933817</v>
      </c>
      <c r="AB2005" s="6">
        <f>$K$2005*$V$2005</f>
        <v>0</v>
      </c>
      <c r="AC2005" s="6">
        <f>$M$2005*$W$2005</f>
        <v>573.62570999999991</v>
      </c>
      <c r="AD2005" s="6">
        <f>$O$2005*$X$2005</f>
        <v>745.80941999999993</v>
      </c>
      <c r="AE2005" s="6">
        <f>$K$2005*$Y$2005</f>
        <v>0</v>
      </c>
      <c r="AF2005" s="6">
        <f ca="1">$M$2005*$Z$2005</f>
        <v>622.38993457628862</v>
      </c>
      <c r="AG2005" s="6">
        <f>$O$2005*$AA$2005</f>
        <v>671.49671517176466</v>
      </c>
    </row>
    <row r="2006" spans="1:33" ht="11.25" customHeight="1" x14ac:dyDescent="0.25">
      <c r="A2006" s="4" t="s">
        <v>21</v>
      </c>
      <c r="B2006" s="4" t="s">
        <v>39</v>
      </c>
      <c r="C2006" s="4" t="s">
        <v>37</v>
      </c>
      <c r="D2006" s="4" t="s">
        <v>42</v>
      </c>
      <c r="E2006" s="4" t="s">
        <v>25</v>
      </c>
      <c r="F2006" s="4" t="s">
        <v>25</v>
      </c>
      <c r="G2006" s="4" t="s">
        <v>25</v>
      </c>
      <c r="H2006" s="4" t="s">
        <v>36</v>
      </c>
      <c r="I2006" s="5">
        <v>43862</v>
      </c>
      <c r="J2006" s="6">
        <v>0</v>
      </c>
      <c r="K2006" s="6">
        <v>0</v>
      </c>
      <c r="L2006" s="6">
        <v>340.529</v>
      </c>
      <c r="M2006" s="6">
        <v>340.529</v>
      </c>
      <c r="N2006" s="6">
        <v>340.529</v>
      </c>
      <c r="O2006" s="6">
        <v>340.529</v>
      </c>
      <c r="P2006" s="6">
        <v>0</v>
      </c>
      <c r="Q2006" s="4" t="s">
        <v>26</v>
      </c>
      <c r="R2006" s="4">
        <v>0</v>
      </c>
      <c r="S2006" s="6">
        <v>0</v>
      </c>
      <c r="T2006" s="6">
        <v>72</v>
      </c>
      <c r="U2006" s="6">
        <v>115</v>
      </c>
      <c r="V2006" s="6">
        <f>IF(ISERROR(VLOOKUP($S$2006,'TAR FIN'!$A$1:$O$120,15,0)),0,VLOOKUP($S$2006,'TAR FIN'!$A$1:$O$120,15,0))</f>
        <v>0</v>
      </c>
      <c r="W2006" s="6">
        <f>IF(ISERROR(VLOOKUP($T$2006,'TAR FIN'!$A$1:$O$120,15,0)),0,VLOOKUP($T$2006,'TAR FIN'!$A$1:$O$120,15,0))</f>
        <v>197.19</v>
      </c>
      <c r="X2006" s="6">
        <f>IF(ISERROR(VLOOKUP($U$2006,'TAR FIN'!$A$1:$O$120,15,0)),0,VLOOKUP($U$2006,'TAR FIN'!$A$1:$O$120,15,0))</f>
        <v>256.38</v>
      </c>
      <c r="Y2006" s="6"/>
      <c r="Z2006" s="6">
        <f ca="1">('TUSD BE'!$AM$82+'TUSD BF'!$AM$82+'TUSD CVA'!$AM$82)*1</f>
        <v>213.95322604891325</v>
      </c>
      <c r="AA2006" s="6">
        <f>('TE BE'!$AA$46+'TE BF'!$AA$46+'TE CVA'!$AA$46)*1</f>
        <v>230.83420940933817</v>
      </c>
      <c r="AB2006" s="6">
        <f>$K$2006*$V$2006</f>
        <v>0</v>
      </c>
      <c r="AC2006" s="6">
        <f>$M$2006*$W$2006</f>
        <v>67148.913509999998</v>
      </c>
      <c r="AD2006" s="6">
        <f>$O$2006*$X$2006</f>
        <v>87304.825020000004</v>
      </c>
      <c r="AE2006" s="6">
        <f>$K$2006*$Y$2006</f>
        <v>0</v>
      </c>
      <c r="AF2006" s="6">
        <f ca="1">$M$2006*$Z$2006</f>
        <v>72857.278113210385</v>
      </c>
      <c r="AG2006" s="6">
        <f>$O$2006*$AA$2006</f>
        <v>78605.742495952523</v>
      </c>
    </row>
    <row r="2007" spans="1:33" ht="11.25" customHeight="1" x14ac:dyDescent="0.25">
      <c r="A2007" s="4" t="s">
        <v>27</v>
      </c>
      <c r="B2007" s="4" t="s">
        <v>39</v>
      </c>
      <c r="C2007" s="4" t="s">
        <v>37</v>
      </c>
      <c r="D2007" s="4" t="s">
        <v>42</v>
      </c>
      <c r="E2007" s="4" t="s">
        <v>25</v>
      </c>
      <c r="F2007" s="4" t="s">
        <v>25</v>
      </c>
      <c r="G2007" s="4" t="s">
        <v>25</v>
      </c>
      <c r="H2007" s="4" t="s">
        <v>36</v>
      </c>
      <c r="I2007" s="5">
        <v>43862</v>
      </c>
      <c r="J2007" s="6">
        <v>0</v>
      </c>
      <c r="K2007" s="6">
        <v>0</v>
      </c>
      <c r="L2007" s="6">
        <v>10.749000000000001</v>
      </c>
      <c r="M2007" s="6">
        <v>10.749000000000001</v>
      </c>
      <c r="N2007" s="6">
        <v>10.749000000000001</v>
      </c>
      <c r="O2007" s="6">
        <v>10.749000000000001</v>
      </c>
      <c r="P2007" s="6">
        <v>0</v>
      </c>
      <c r="Q2007" s="4" t="s">
        <v>26</v>
      </c>
      <c r="R2007" s="4">
        <v>0</v>
      </c>
      <c r="S2007" s="6">
        <v>0</v>
      </c>
      <c r="T2007" s="6">
        <v>72</v>
      </c>
      <c r="U2007" s="6">
        <v>115</v>
      </c>
      <c r="V2007" s="6">
        <f>IF(ISERROR(VLOOKUP($S$2007,'TAR FIN'!$A$1:$O$120,15,0)),0,VLOOKUP($S$2007,'TAR FIN'!$A$1:$O$120,15,0))</f>
        <v>0</v>
      </c>
      <c r="W2007" s="6">
        <f>IF(ISERROR(VLOOKUP($T$2007,'TAR FIN'!$A$1:$O$120,15,0)),0,VLOOKUP($T$2007,'TAR FIN'!$A$1:$O$120,15,0))</f>
        <v>197.19</v>
      </c>
      <c r="X2007" s="6">
        <f>IF(ISERROR(VLOOKUP($U$2007,'TAR FIN'!$A$1:$O$120,15,0)),0,VLOOKUP($U$2007,'TAR FIN'!$A$1:$O$120,15,0))</f>
        <v>256.38</v>
      </c>
      <c r="Y2007" s="6"/>
      <c r="Z2007" s="6">
        <f ca="1">('TUSD BE'!$AM$82+'TUSD BF'!$AM$82+'TUSD CVA'!$AM$82)*1</f>
        <v>213.95322604891325</v>
      </c>
      <c r="AA2007" s="6">
        <f>('TE BE'!$AA$46+'TE BF'!$AA$46+'TE CVA'!$AA$46)*1</f>
        <v>230.83420940933817</v>
      </c>
      <c r="AB2007" s="6">
        <f>$K$2007*$V$2007</f>
        <v>0</v>
      </c>
      <c r="AC2007" s="6">
        <f>$M$2007*$W$2007</f>
        <v>2119.5953100000002</v>
      </c>
      <c r="AD2007" s="6">
        <f>$O$2007*$X$2007</f>
        <v>2755.8286200000002</v>
      </c>
      <c r="AE2007" s="6">
        <f>$K$2007*$Y$2007</f>
        <v>0</v>
      </c>
      <c r="AF2007" s="6">
        <f ca="1">$M$2007*$Z$2007</f>
        <v>2299.7832267997687</v>
      </c>
      <c r="AG2007" s="6">
        <f>$O$2007*$AA$2007</f>
        <v>2481.2369169409762</v>
      </c>
    </row>
    <row r="2008" spans="1:33" ht="11.25" customHeight="1" x14ac:dyDescent="0.25">
      <c r="A2008" s="4" t="s">
        <v>21</v>
      </c>
      <c r="B2008" s="4" t="s">
        <v>39</v>
      </c>
      <c r="C2008" s="4" t="s">
        <v>37</v>
      </c>
      <c r="D2008" s="4" t="s">
        <v>42</v>
      </c>
      <c r="E2008" s="4" t="s">
        <v>25</v>
      </c>
      <c r="F2008" s="4" t="s">
        <v>25</v>
      </c>
      <c r="G2008" s="4" t="s">
        <v>25</v>
      </c>
      <c r="H2008" s="4" t="s">
        <v>36</v>
      </c>
      <c r="I2008" s="5">
        <v>43891</v>
      </c>
      <c r="J2008" s="6">
        <v>0</v>
      </c>
      <c r="K2008" s="6">
        <v>0</v>
      </c>
      <c r="L2008" s="6">
        <v>329.55099999999999</v>
      </c>
      <c r="M2008" s="6">
        <v>329.55099999999999</v>
      </c>
      <c r="N2008" s="6">
        <v>329.55099999999999</v>
      </c>
      <c r="O2008" s="6">
        <v>329.55099999999999</v>
      </c>
      <c r="P2008" s="6">
        <v>0</v>
      </c>
      <c r="Q2008" s="4" t="s">
        <v>26</v>
      </c>
      <c r="R2008" s="4">
        <v>0</v>
      </c>
      <c r="S2008" s="6">
        <v>0</v>
      </c>
      <c r="T2008" s="6">
        <v>72</v>
      </c>
      <c r="U2008" s="6">
        <v>115</v>
      </c>
      <c r="V2008" s="6">
        <f>IF(ISERROR(VLOOKUP($S$2008,'TAR FIN'!$A$1:$O$120,15,0)),0,VLOOKUP($S$2008,'TAR FIN'!$A$1:$O$120,15,0))</f>
        <v>0</v>
      </c>
      <c r="W2008" s="6">
        <f>IF(ISERROR(VLOOKUP($T$2008,'TAR FIN'!$A$1:$O$120,15,0)),0,VLOOKUP($T$2008,'TAR FIN'!$A$1:$O$120,15,0))</f>
        <v>197.19</v>
      </c>
      <c r="X2008" s="6">
        <f>IF(ISERROR(VLOOKUP($U$2008,'TAR FIN'!$A$1:$O$120,15,0)),0,VLOOKUP($U$2008,'TAR FIN'!$A$1:$O$120,15,0))</f>
        <v>256.38</v>
      </c>
      <c r="Y2008" s="6"/>
      <c r="Z2008" s="6">
        <f ca="1">('TUSD BE'!$AM$82+'TUSD BF'!$AM$82+'TUSD CVA'!$AM$82)*1</f>
        <v>213.95322604891325</v>
      </c>
      <c r="AA2008" s="6">
        <f>('TE BE'!$AA$46+'TE BF'!$AA$46+'TE CVA'!$AA$46)*1</f>
        <v>230.83420940933817</v>
      </c>
      <c r="AB2008" s="6">
        <f>$K$2008*$V$2008</f>
        <v>0</v>
      </c>
      <c r="AC2008" s="6">
        <f>$M$2008*$W$2008</f>
        <v>64984.161689999994</v>
      </c>
      <c r="AD2008" s="6">
        <f>$O$2008*$X$2008</f>
        <v>84490.285380000001</v>
      </c>
      <c r="AE2008" s="6">
        <f>$K$2008*$Y$2008</f>
        <v>0</v>
      </c>
      <c r="AF2008" s="6">
        <f ca="1">$M$2008*$Z$2008</f>
        <v>70508.499597645408</v>
      </c>
      <c r="AG2008" s="6">
        <f>$O$2008*$AA$2008</f>
        <v>76071.644545056799</v>
      </c>
    </row>
    <row r="2009" spans="1:33" ht="11.25" customHeight="1" x14ac:dyDescent="0.25">
      <c r="A2009" s="4" t="s">
        <v>27</v>
      </c>
      <c r="B2009" s="4" t="s">
        <v>39</v>
      </c>
      <c r="C2009" s="4" t="s">
        <v>37</v>
      </c>
      <c r="D2009" s="4" t="s">
        <v>42</v>
      </c>
      <c r="E2009" s="4" t="s">
        <v>25</v>
      </c>
      <c r="F2009" s="4" t="s">
        <v>25</v>
      </c>
      <c r="G2009" s="4" t="s">
        <v>25</v>
      </c>
      <c r="H2009" s="4" t="s">
        <v>36</v>
      </c>
      <c r="I2009" s="5">
        <v>43891</v>
      </c>
      <c r="J2009" s="6">
        <v>0</v>
      </c>
      <c r="K2009" s="6">
        <v>0</v>
      </c>
      <c r="L2009" s="6">
        <v>9.5969999999999995</v>
      </c>
      <c r="M2009" s="6">
        <v>9.5969999999999995</v>
      </c>
      <c r="N2009" s="6">
        <v>9.5969999999999995</v>
      </c>
      <c r="O2009" s="6">
        <v>9.5969999999999995</v>
      </c>
      <c r="P2009" s="6">
        <v>0</v>
      </c>
      <c r="Q2009" s="4" t="s">
        <v>26</v>
      </c>
      <c r="R2009" s="4">
        <v>0</v>
      </c>
      <c r="S2009" s="6">
        <v>0</v>
      </c>
      <c r="T2009" s="6">
        <v>72</v>
      </c>
      <c r="U2009" s="6">
        <v>115</v>
      </c>
      <c r="V2009" s="6">
        <f>IF(ISERROR(VLOOKUP($S$2009,'TAR FIN'!$A$1:$O$120,15,0)),0,VLOOKUP($S$2009,'TAR FIN'!$A$1:$O$120,15,0))</f>
        <v>0</v>
      </c>
      <c r="W2009" s="6">
        <f>IF(ISERROR(VLOOKUP($T$2009,'TAR FIN'!$A$1:$O$120,15,0)),0,VLOOKUP($T$2009,'TAR FIN'!$A$1:$O$120,15,0))</f>
        <v>197.19</v>
      </c>
      <c r="X2009" s="6">
        <f>IF(ISERROR(VLOOKUP($U$2009,'TAR FIN'!$A$1:$O$120,15,0)),0,VLOOKUP($U$2009,'TAR FIN'!$A$1:$O$120,15,0))</f>
        <v>256.38</v>
      </c>
      <c r="Y2009" s="6"/>
      <c r="Z2009" s="6">
        <f ca="1">('TUSD BE'!$AM$82+'TUSD BF'!$AM$82+'TUSD CVA'!$AM$82)*1</f>
        <v>213.95322604891325</v>
      </c>
      <c r="AA2009" s="6">
        <f>('TE BE'!$AA$46+'TE BF'!$AA$46+'TE CVA'!$AA$46)*1</f>
        <v>230.83420940933817</v>
      </c>
      <c r="AB2009" s="6">
        <f>$K$2009*$V$2009</f>
        <v>0</v>
      </c>
      <c r="AC2009" s="6">
        <f>$M$2009*$W$2009</f>
        <v>1892.4324299999998</v>
      </c>
      <c r="AD2009" s="6">
        <f>$O$2009*$X$2009</f>
        <v>2460.4788599999997</v>
      </c>
      <c r="AE2009" s="6">
        <f>$K$2009*$Y$2009</f>
        <v>0</v>
      </c>
      <c r="AF2009" s="6">
        <f ca="1">$M$2009*$Z$2009</f>
        <v>2053.3091103914203</v>
      </c>
      <c r="AG2009" s="6">
        <f>$O$2009*$AA$2009</f>
        <v>2215.3159077014184</v>
      </c>
    </row>
    <row r="2010" spans="1:33" ht="11.25" customHeight="1" x14ac:dyDescent="0.25">
      <c r="A2010" s="4" t="s">
        <v>21</v>
      </c>
      <c r="B2010" s="4" t="s">
        <v>39</v>
      </c>
      <c r="C2010" s="4" t="s">
        <v>37</v>
      </c>
      <c r="D2010" s="4" t="s">
        <v>42</v>
      </c>
      <c r="E2010" s="4" t="s">
        <v>25</v>
      </c>
      <c r="F2010" s="4" t="s">
        <v>25</v>
      </c>
      <c r="G2010" s="4" t="s">
        <v>25</v>
      </c>
      <c r="H2010" s="4" t="s">
        <v>36</v>
      </c>
      <c r="I2010" s="5">
        <v>43922</v>
      </c>
      <c r="J2010" s="6">
        <v>0</v>
      </c>
      <c r="K2010" s="6">
        <v>0</v>
      </c>
      <c r="L2010" s="6">
        <v>286.34399999999999</v>
      </c>
      <c r="M2010" s="6">
        <v>286.34399999999999</v>
      </c>
      <c r="N2010" s="6">
        <v>286.34399999999999</v>
      </c>
      <c r="O2010" s="6">
        <v>286.34399999999999</v>
      </c>
      <c r="P2010" s="6">
        <v>0</v>
      </c>
      <c r="Q2010" s="4" t="s">
        <v>26</v>
      </c>
      <c r="R2010" s="4">
        <v>0</v>
      </c>
      <c r="S2010" s="6">
        <v>0</v>
      </c>
      <c r="T2010" s="6">
        <v>72</v>
      </c>
      <c r="U2010" s="6">
        <v>115</v>
      </c>
      <c r="V2010" s="6">
        <f>IF(ISERROR(VLOOKUP($S$2010,'TAR FIN'!$A$1:$O$120,15,0)),0,VLOOKUP($S$2010,'TAR FIN'!$A$1:$O$120,15,0))</f>
        <v>0</v>
      </c>
      <c r="W2010" s="6">
        <f>IF(ISERROR(VLOOKUP($T$2010,'TAR FIN'!$A$1:$O$120,15,0)),0,VLOOKUP($T$2010,'TAR FIN'!$A$1:$O$120,15,0))</f>
        <v>197.19</v>
      </c>
      <c r="X2010" s="6">
        <f>IF(ISERROR(VLOOKUP($U$2010,'TAR FIN'!$A$1:$O$120,15,0)),0,VLOOKUP($U$2010,'TAR FIN'!$A$1:$O$120,15,0))</f>
        <v>256.38</v>
      </c>
      <c r="Y2010" s="6"/>
      <c r="Z2010" s="6">
        <f ca="1">('TUSD BE'!$AM$82+'TUSD BF'!$AM$82+'TUSD CVA'!$AM$82)*1</f>
        <v>213.95322604891325</v>
      </c>
      <c r="AA2010" s="6">
        <f>('TE BE'!$AA$46+'TE BF'!$AA$46+'TE CVA'!$AA$46)*1</f>
        <v>230.83420940933817</v>
      </c>
      <c r="AB2010" s="6">
        <f>$K$2010*$V$2010</f>
        <v>0</v>
      </c>
      <c r="AC2010" s="6">
        <f>$M$2010*$W$2010</f>
        <v>56464.173360000001</v>
      </c>
      <c r="AD2010" s="6">
        <f>$O$2010*$X$2010</f>
        <v>73412.874719999993</v>
      </c>
      <c r="AE2010" s="6">
        <f>$K$2010*$Y$2010</f>
        <v>0</v>
      </c>
      <c r="AF2010" s="6">
        <f ca="1">$M$2010*$Z$2010</f>
        <v>61264.222559750015</v>
      </c>
      <c r="AG2010" s="6">
        <f>$O$2010*$AA$2010</f>
        <v>66097.990859107522</v>
      </c>
    </row>
    <row r="2011" spans="1:33" ht="11.25" customHeight="1" x14ac:dyDescent="0.25">
      <c r="A2011" s="4" t="s">
        <v>27</v>
      </c>
      <c r="B2011" s="4" t="s">
        <v>39</v>
      </c>
      <c r="C2011" s="4" t="s">
        <v>37</v>
      </c>
      <c r="D2011" s="4" t="s">
        <v>42</v>
      </c>
      <c r="E2011" s="4" t="s">
        <v>25</v>
      </c>
      <c r="F2011" s="4" t="s">
        <v>25</v>
      </c>
      <c r="G2011" s="4" t="s">
        <v>25</v>
      </c>
      <c r="H2011" s="4" t="s">
        <v>36</v>
      </c>
      <c r="I2011" s="5">
        <v>43922</v>
      </c>
      <c r="J2011" s="6">
        <v>0</v>
      </c>
      <c r="K2011" s="6">
        <v>0</v>
      </c>
      <c r="L2011" s="6">
        <v>3.1139999999999999</v>
      </c>
      <c r="M2011" s="6">
        <v>3.1139999999999999</v>
      </c>
      <c r="N2011" s="6">
        <v>3.1139999999999999</v>
      </c>
      <c r="O2011" s="6">
        <v>3.1139999999999999</v>
      </c>
      <c r="P2011" s="6">
        <v>0</v>
      </c>
      <c r="Q2011" s="4" t="s">
        <v>26</v>
      </c>
      <c r="R2011" s="4">
        <v>0</v>
      </c>
      <c r="S2011" s="6">
        <v>0</v>
      </c>
      <c r="T2011" s="6">
        <v>72</v>
      </c>
      <c r="U2011" s="6">
        <v>115</v>
      </c>
      <c r="V2011" s="6">
        <f>IF(ISERROR(VLOOKUP($S$2011,'TAR FIN'!$A$1:$O$120,15,0)),0,VLOOKUP($S$2011,'TAR FIN'!$A$1:$O$120,15,0))</f>
        <v>0</v>
      </c>
      <c r="W2011" s="6">
        <f>IF(ISERROR(VLOOKUP($T$2011,'TAR FIN'!$A$1:$O$120,15,0)),0,VLOOKUP($T$2011,'TAR FIN'!$A$1:$O$120,15,0))</f>
        <v>197.19</v>
      </c>
      <c r="X2011" s="6">
        <f>IF(ISERROR(VLOOKUP($U$2011,'TAR FIN'!$A$1:$O$120,15,0)),0,VLOOKUP($U$2011,'TAR FIN'!$A$1:$O$120,15,0))</f>
        <v>256.38</v>
      </c>
      <c r="Y2011" s="6"/>
      <c r="Z2011" s="6">
        <f ca="1">('TUSD BE'!$AM$82+'TUSD BF'!$AM$82+'TUSD CVA'!$AM$82)*1</f>
        <v>213.95322604891325</v>
      </c>
      <c r="AA2011" s="6">
        <f>('TE BE'!$AA$46+'TE BF'!$AA$46+'TE CVA'!$AA$46)*1</f>
        <v>230.83420940933817</v>
      </c>
      <c r="AB2011" s="6">
        <f>$K$2011*$V$2011</f>
        <v>0</v>
      </c>
      <c r="AC2011" s="6">
        <f>$M$2011*$W$2011</f>
        <v>614.04966000000002</v>
      </c>
      <c r="AD2011" s="6">
        <f>$O$2011*$X$2011</f>
        <v>798.36731999999995</v>
      </c>
      <c r="AE2011" s="6">
        <f>$K$2011*$Y$2011</f>
        <v>0</v>
      </c>
      <c r="AF2011" s="6">
        <f ca="1">$M$2011*$Z$2011</f>
        <v>666.25034591631584</v>
      </c>
      <c r="AG2011" s="6">
        <f>$O$2011*$AA$2011</f>
        <v>718.81772810067901</v>
      </c>
    </row>
    <row r="2012" spans="1:33" ht="11.25" customHeight="1" x14ac:dyDescent="0.25">
      <c r="A2012" s="4" t="s">
        <v>21</v>
      </c>
      <c r="B2012" s="4" t="s">
        <v>39</v>
      </c>
      <c r="C2012" s="4" t="s">
        <v>37</v>
      </c>
      <c r="D2012" s="4" t="s">
        <v>42</v>
      </c>
      <c r="E2012" s="4" t="s">
        <v>25</v>
      </c>
      <c r="F2012" s="4" t="s">
        <v>25</v>
      </c>
      <c r="G2012" s="4" t="s">
        <v>25</v>
      </c>
      <c r="H2012" s="4" t="s">
        <v>36</v>
      </c>
      <c r="I2012" s="5">
        <v>43952</v>
      </c>
      <c r="J2012" s="6">
        <v>0</v>
      </c>
      <c r="K2012" s="6">
        <v>0</v>
      </c>
      <c r="L2012" s="6">
        <v>231.03899999999999</v>
      </c>
      <c r="M2012" s="6">
        <v>231.03899999999999</v>
      </c>
      <c r="N2012" s="6">
        <v>231.03899999999999</v>
      </c>
      <c r="O2012" s="6">
        <v>231.03899999999999</v>
      </c>
      <c r="P2012" s="6">
        <v>0</v>
      </c>
      <c r="Q2012" s="4" t="s">
        <v>26</v>
      </c>
      <c r="R2012" s="4">
        <v>0</v>
      </c>
      <c r="S2012" s="6">
        <v>0</v>
      </c>
      <c r="T2012" s="6">
        <v>72</v>
      </c>
      <c r="U2012" s="6">
        <v>115</v>
      </c>
      <c r="V2012" s="6">
        <f>IF(ISERROR(VLOOKUP($S$2012,'TAR FIN'!$A$1:$O$120,15,0)),0,VLOOKUP($S$2012,'TAR FIN'!$A$1:$O$120,15,0))</f>
        <v>0</v>
      </c>
      <c r="W2012" s="6">
        <f>IF(ISERROR(VLOOKUP($T$2012,'TAR FIN'!$A$1:$O$120,15,0)),0,VLOOKUP($T$2012,'TAR FIN'!$A$1:$O$120,15,0))</f>
        <v>197.19</v>
      </c>
      <c r="X2012" s="6">
        <f>IF(ISERROR(VLOOKUP($U$2012,'TAR FIN'!$A$1:$O$120,15,0)),0,VLOOKUP($U$2012,'TAR FIN'!$A$1:$O$120,15,0))</f>
        <v>256.38</v>
      </c>
      <c r="Y2012" s="6"/>
      <c r="Z2012" s="6">
        <f ca="1">('TUSD BE'!$AM$82+'TUSD BF'!$AM$82+'TUSD CVA'!$AM$82)*1</f>
        <v>213.95322604891325</v>
      </c>
      <c r="AA2012" s="6">
        <f>('TE BE'!$AA$46+'TE BF'!$AA$46+'TE CVA'!$AA$46)*1</f>
        <v>230.83420940933817</v>
      </c>
      <c r="AB2012" s="6">
        <f>$K$2012*$V$2012</f>
        <v>0</v>
      </c>
      <c r="AC2012" s="6">
        <f>$M$2012*$W$2012</f>
        <v>45558.580409999995</v>
      </c>
      <c r="AD2012" s="6">
        <f>$O$2012*$X$2012</f>
        <v>59233.778819999992</v>
      </c>
      <c r="AE2012" s="6">
        <f>$K$2012*$Y$2012</f>
        <v>0</v>
      </c>
      <c r="AF2012" s="6">
        <f ca="1">$M$2012*$Z$2012</f>
        <v>49431.539393114865</v>
      </c>
      <c r="AG2012" s="6">
        <f>$O$2012*$AA$2012</f>
        <v>53331.704907724081</v>
      </c>
    </row>
    <row r="2013" spans="1:33" ht="11.25" customHeight="1" x14ac:dyDescent="0.25">
      <c r="A2013" s="4" t="s">
        <v>27</v>
      </c>
      <c r="B2013" s="4" t="s">
        <v>39</v>
      </c>
      <c r="C2013" s="4" t="s">
        <v>37</v>
      </c>
      <c r="D2013" s="4" t="s">
        <v>42</v>
      </c>
      <c r="E2013" s="4" t="s">
        <v>25</v>
      </c>
      <c r="F2013" s="4" t="s">
        <v>25</v>
      </c>
      <c r="G2013" s="4" t="s">
        <v>25</v>
      </c>
      <c r="H2013" s="4" t="s">
        <v>36</v>
      </c>
      <c r="I2013" s="5">
        <v>43952</v>
      </c>
      <c r="J2013" s="6">
        <v>0</v>
      </c>
      <c r="K2013" s="6">
        <v>0</v>
      </c>
      <c r="L2013" s="6">
        <v>15.269</v>
      </c>
      <c r="M2013" s="6">
        <v>15.269</v>
      </c>
      <c r="N2013" s="6">
        <v>15.269</v>
      </c>
      <c r="O2013" s="6">
        <v>15.269</v>
      </c>
      <c r="P2013" s="6">
        <v>0</v>
      </c>
      <c r="Q2013" s="4" t="s">
        <v>26</v>
      </c>
      <c r="R2013" s="4">
        <v>0</v>
      </c>
      <c r="S2013" s="6">
        <v>0</v>
      </c>
      <c r="T2013" s="6">
        <v>72</v>
      </c>
      <c r="U2013" s="6">
        <v>115</v>
      </c>
      <c r="V2013" s="6">
        <f>IF(ISERROR(VLOOKUP($S$2013,'TAR FIN'!$A$1:$O$120,15,0)),0,VLOOKUP($S$2013,'TAR FIN'!$A$1:$O$120,15,0))</f>
        <v>0</v>
      </c>
      <c r="W2013" s="6">
        <f>IF(ISERROR(VLOOKUP($T$2013,'TAR FIN'!$A$1:$O$120,15,0)),0,VLOOKUP($T$2013,'TAR FIN'!$A$1:$O$120,15,0))</f>
        <v>197.19</v>
      </c>
      <c r="X2013" s="6">
        <f>IF(ISERROR(VLOOKUP($U$2013,'TAR FIN'!$A$1:$O$120,15,0)),0,VLOOKUP($U$2013,'TAR FIN'!$A$1:$O$120,15,0))</f>
        <v>256.38</v>
      </c>
      <c r="Y2013" s="6"/>
      <c r="Z2013" s="6">
        <f ca="1">('TUSD BE'!$AM$82+'TUSD BF'!$AM$82+'TUSD CVA'!$AM$82)*1</f>
        <v>213.95322604891325</v>
      </c>
      <c r="AA2013" s="6">
        <f>('TE BE'!$AA$46+'TE BF'!$AA$46+'TE CVA'!$AA$46)*1</f>
        <v>230.83420940933817</v>
      </c>
      <c r="AB2013" s="6">
        <f>$K$2013*$V$2013</f>
        <v>0</v>
      </c>
      <c r="AC2013" s="6">
        <f>$M$2013*$W$2013</f>
        <v>3010.8941100000002</v>
      </c>
      <c r="AD2013" s="6">
        <f>$O$2013*$X$2013</f>
        <v>3914.6662200000001</v>
      </c>
      <c r="AE2013" s="6">
        <f>$K$2013*$Y$2013</f>
        <v>0</v>
      </c>
      <c r="AF2013" s="6">
        <f ca="1">$M$2013*$Z$2013</f>
        <v>3266.8518085408564</v>
      </c>
      <c r="AG2013" s="6">
        <f>$O$2013*$AA$2013</f>
        <v>3524.6075434711847</v>
      </c>
    </row>
    <row r="2014" spans="1:33" ht="11.25" customHeight="1" x14ac:dyDescent="0.25">
      <c r="A2014" s="4" t="s">
        <v>21</v>
      </c>
      <c r="B2014" s="4" t="s">
        <v>39</v>
      </c>
      <c r="C2014" s="4" t="s">
        <v>37</v>
      </c>
      <c r="D2014" s="4" t="s">
        <v>42</v>
      </c>
      <c r="E2014" s="4" t="s">
        <v>25</v>
      </c>
      <c r="F2014" s="4" t="s">
        <v>25</v>
      </c>
      <c r="G2014" s="4" t="s">
        <v>25</v>
      </c>
      <c r="H2014" s="4" t="s">
        <v>36</v>
      </c>
      <c r="I2014" s="5">
        <v>43983</v>
      </c>
      <c r="J2014" s="6">
        <v>0</v>
      </c>
      <c r="K2014" s="6">
        <v>0</v>
      </c>
      <c r="L2014" s="6">
        <v>219.911</v>
      </c>
      <c r="M2014" s="6">
        <v>219.911</v>
      </c>
      <c r="N2014" s="6">
        <v>219.911</v>
      </c>
      <c r="O2014" s="6">
        <v>219.911</v>
      </c>
      <c r="P2014" s="6">
        <v>0</v>
      </c>
      <c r="Q2014" s="4" t="s">
        <v>26</v>
      </c>
      <c r="R2014" s="4">
        <v>0</v>
      </c>
      <c r="S2014" s="6">
        <v>0</v>
      </c>
      <c r="T2014" s="6">
        <v>72</v>
      </c>
      <c r="U2014" s="6">
        <v>115</v>
      </c>
      <c r="V2014" s="6">
        <f>IF(ISERROR(VLOOKUP($S$2014,'TAR FIN'!$A$1:$O$120,15,0)),0,VLOOKUP($S$2014,'TAR FIN'!$A$1:$O$120,15,0))</f>
        <v>0</v>
      </c>
      <c r="W2014" s="6">
        <f>IF(ISERROR(VLOOKUP($T$2014,'TAR FIN'!$A$1:$O$120,15,0)),0,VLOOKUP($T$2014,'TAR FIN'!$A$1:$O$120,15,0))</f>
        <v>197.19</v>
      </c>
      <c r="X2014" s="6">
        <f>IF(ISERROR(VLOOKUP($U$2014,'TAR FIN'!$A$1:$O$120,15,0)),0,VLOOKUP($U$2014,'TAR FIN'!$A$1:$O$120,15,0))</f>
        <v>256.38</v>
      </c>
      <c r="Y2014" s="6"/>
      <c r="Z2014" s="6">
        <f ca="1">('TUSD BE'!$AM$82+'TUSD BF'!$AM$82+'TUSD CVA'!$AM$82)*1</f>
        <v>213.95322604891325</v>
      </c>
      <c r="AA2014" s="6">
        <f>('TE BE'!$AA$46+'TE BF'!$AA$46+'TE CVA'!$AA$46)*1</f>
        <v>230.83420940933817</v>
      </c>
      <c r="AB2014" s="6">
        <f>$K$2014*$V$2014</f>
        <v>0</v>
      </c>
      <c r="AC2014" s="6">
        <f>$M$2014*$W$2014</f>
        <v>43364.250090000001</v>
      </c>
      <c r="AD2014" s="6">
        <f>$O$2014*$X$2014</f>
        <v>56380.782180000002</v>
      </c>
      <c r="AE2014" s="6">
        <f>$K$2014*$Y$2014</f>
        <v>0</v>
      </c>
      <c r="AF2014" s="6">
        <f ca="1">$M$2014*$Z$2014</f>
        <v>47050.66789364256</v>
      </c>
      <c r="AG2014" s="6">
        <f>$O$2014*$AA$2014</f>
        <v>50762.981825416966</v>
      </c>
    </row>
    <row r="2015" spans="1:33" ht="11.25" customHeight="1" x14ac:dyDescent="0.25">
      <c r="A2015" s="4" t="s">
        <v>27</v>
      </c>
      <c r="B2015" s="4" t="s">
        <v>39</v>
      </c>
      <c r="C2015" s="4" t="s">
        <v>37</v>
      </c>
      <c r="D2015" s="4" t="s">
        <v>42</v>
      </c>
      <c r="E2015" s="4" t="s">
        <v>25</v>
      </c>
      <c r="F2015" s="4" t="s">
        <v>25</v>
      </c>
      <c r="G2015" s="4" t="s">
        <v>25</v>
      </c>
      <c r="H2015" s="4" t="s">
        <v>36</v>
      </c>
      <c r="I2015" s="5">
        <v>43983</v>
      </c>
      <c r="J2015" s="6">
        <v>0</v>
      </c>
      <c r="K2015" s="6">
        <v>0</v>
      </c>
      <c r="L2015" s="6">
        <v>8.19</v>
      </c>
      <c r="M2015" s="6">
        <v>8.19</v>
      </c>
      <c r="N2015" s="6">
        <v>8.19</v>
      </c>
      <c r="O2015" s="6">
        <v>8.19</v>
      </c>
      <c r="P2015" s="6">
        <v>0</v>
      </c>
      <c r="Q2015" s="4" t="s">
        <v>26</v>
      </c>
      <c r="R2015" s="4">
        <v>0</v>
      </c>
      <c r="S2015" s="6">
        <v>0</v>
      </c>
      <c r="T2015" s="6">
        <v>72</v>
      </c>
      <c r="U2015" s="6">
        <v>115</v>
      </c>
      <c r="V2015" s="6">
        <f>IF(ISERROR(VLOOKUP($S$2015,'TAR FIN'!$A$1:$O$120,15,0)),0,VLOOKUP($S$2015,'TAR FIN'!$A$1:$O$120,15,0))</f>
        <v>0</v>
      </c>
      <c r="W2015" s="6">
        <f>IF(ISERROR(VLOOKUP($T$2015,'TAR FIN'!$A$1:$O$120,15,0)),0,VLOOKUP($T$2015,'TAR FIN'!$A$1:$O$120,15,0))</f>
        <v>197.19</v>
      </c>
      <c r="X2015" s="6">
        <f>IF(ISERROR(VLOOKUP($U$2015,'TAR FIN'!$A$1:$O$120,15,0)),0,VLOOKUP($U$2015,'TAR FIN'!$A$1:$O$120,15,0))</f>
        <v>256.38</v>
      </c>
      <c r="Y2015" s="6"/>
      <c r="Z2015" s="6">
        <f ca="1">('TUSD BE'!$AM$82+'TUSD BF'!$AM$82+'TUSD CVA'!$AM$82)*1</f>
        <v>213.95322604891325</v>
      </c>
      <c r="AA2015" s="6">
        <f>('TE BE'!$AA$46+'TE BF'!$AA$46+'TE CVA'!$AA$46)*1</f>
        <v>230.83420940933817</v>
      </c>
      <c r="AB2015" s="6">
        <f>$K$2015*$V$2015</f>
        <v>0</v>
      </c>
      <c r="AC2015" s="6">
        <f>$M$2015*$W$2015</f>
        <v>1614.9860999999999</v>
      </c>
      <c r="AD2015" s="6">
        <f>$O$2015*$X$2015</f>
        <v>2099.7521999999999</v>
      </c>
      <c r="AE2015" s="6">
        <f>$K$2015*$Y$2015</f>
        <v>0</v>
      </c>
      <c r="AF2015" s="6">
        <f ca="1">$M$2015*$Z$2015</f>
        <v>1752.2769213405995</v>
      </c>
      <c r="AG2015" s="6">
        <f>$O$2015*$AA$2015</f>
        <v>1890.5321750624796</v>
      </c>
    </row>
    <row r="2016" spans="1:33" ht="11.25" customHeight="1" x14ac:dyDescent="0.25">
      <c r="A2016" s="4" t="s">
        <v>21</v>
      </c>
      <c r="B2016" s="4" t="s">
        <v>39</v>
      </c>
      <c r="C2016" s="4" t="s">
        <v>37</v>
      </c>
      <c r="D2016" s="4" t="s">
        <v>42</v>
      </c>
      <c r="E2016" s="4" t="s">
        <v>25</v>
      </c>
      <c r="F2016" s="4" t="s">
        <v>25</v>
      </c>
      <c r="G2016" s="4" t="s">
        <v>25</v>
      </c>
      <c r="H2016" s="4" t="s">
        <v>36</v>
      </c>
      <c r="I2016" s="5">
        <v>44013</v>
      </c>
      <c r="J2016" s="6">
        <v>0</v>
      </c>
      <c r="K2016" s="6">
        <v>0</v>
      </c>
      <c r="L2016" s="6">
        <v>244.19200000000001</v>
      </c>
      <c r="M2016" s="6">
        <v>244.19200000000001</v>
      </c>
      <c r="N2016" s="6">
        <v>244.19200000000001</v>
      </c>
      <c r="O2016" s="6">
        <v>244.19200000000001</v>
      </c>
      <c r="P2016" s="6">
        <v>0</v>
      </c>
      <c r="Q2016" s="4" t="s">
        <v>26</v>
      </c>
      <c r="R2016" s="4">
        <v>0</v>
      </c>
      <c r="S2016" s="6">
        <v>0</v>
      </c>
      <c r="T2016" s="6">
        <v>72</v>
      </c>
      <c r="U2016" s="6">
        <v>115</v>
      </c>
      <c r="V2016" s="6">
        <f>IF(ISERROR(VLOOKUP($S$2016,'TAR FIN'!$A$1:$O$120,15,0)),0,VLOOKUP($S$2016,'TAR FIN'!$A$1:$O$120,15,0))</f>
        <v>0</v>
      </c>
      <c r="W2016" s="6">
        <f>IF(ISERROR(VLOOKUP($T$2016,'TAR FIN'!$A$1:$O$120,15,0)),0,VLOOKUP($T$2016,'TAR FIN'!$A$1:$O$120,15,0))</f>
        <v>197.19</v>
      </c>
      <c r="X2016" s="6">
        <f>IF(ISERROR(VLOOKUP($U$2016,'TAR FIN'!$A$1:$O$120,15,0)),0,VLOOKUP($U$2016,'TAR FIN'!$A$1:$O$120,15,0))</f>
        <v>256.38</v>
      </c>
      <c r="Y2016" s="6"/>
      <c r="Z2016" s="6">
        <f ca="1">('TUSD BE'!$AM$82+'TUSD BF'!$AM$82+'TUSD CVA'!$AM$82)*1</f>
        <v>213.95322604891325</v>
      </c>
      <c r="AA2016" s="6">
        <f>('TE BE'!$AA$46+'TE BF'!$AA$46+'TE CVA'!$AA$46)*1</f>
        <v>230.83420940933817</v>
      </c>
      <c r="AB2016" s="6">
        <f>$K$2016*$V$2016</f>
        <v>0</v>
      </c>
      <c r="AC2016" s="6">
        <f>$M$2016*$W$2016</f>
        <v>48152.220480000004</v>
      </c>
      <c r="AD2016" s="6">
        <f>$O$2016*$X$2016</f>
        <v>62605.944960000001</v>
      </c>
      <c r="AE2016" s="6">
        <f>$K$2016*$Y$2016</f>
        <v>0</v>
      </c>
      <c r="AF2016" s="6">
        <f ca="1">$M$2016*$Z$2016</f>
        <v>52245.666175336228</v>
      </c>
      <c r="AG2016" s="6">
        <f>$O$2016*$AA$2016</f>
        <v>56367.867264085107</v>
      </c>
    </row>
    <row r="2017" spans="1:33" ht="11.25" customHeight="1" x14ac:dyDescent="0.25">
      <c r="A2017" s="4" t="s">
        <v>27</v>
      </c>
      <c r="B2017" s="4" t="s">
        <v>39</v>
      </c>
      <c r="C2017" s="4" t="s">
        <v>37</v>
      </c>
      <c r="D2017" s="4" t="s">
        <v>42</v>
      </c>
      <c r="E2017" s="4" t="s">
        <v>25</v>
      </c>
      <c r="F2017" s="4" t="s">
        <v>25</v>
      </c>
      <c r="G2017" s="4" t="s">
        <v>25</v>
      </c>
      <c r="H2017" s="4" t="s">
        <v>36</v>
      </c>
      <c r="I2017" s="5">
        <v>44013</v>
      </c>
      <c r="J2017" s="6">
        <v>0</v>
      </c>
      <c r="K2017" s="6">
        <v>0</v>
      </c>
      <c r="L2017" s="6">
        <v>0.77200000000000002</v>
      </c>
      <c r="M2017" s="6">
        <v>0.77200000000000002</v>
      </c>
      <c r="N2017" s="6">
        <v>0.77200000000000002</v>
      </c>
      <c r="O2017" s="6">
        <v>0.77200000000000002</v>
      </c>
      <c r="P2017" s="6">
        <v>0</v>
      </c>
      <c r="Q2017" s="4" t="s">
        <v>26</v>
      </c>
      <c r="R2017" s="4">
        <v>0</v>
      </c>
      <c r="S2017" s="6">
        <v>0</v>
      </c>
      <c r="T2017" s="6">
        <v>72</v>
      </c>
      <c r="U2017" s="6">
        <v>115</v>
      </c>
      <c r="V2017" s="6">
        <f>IF(ISERROR(VLOOKUP($S$2017,'TAR FIN'!$A$1:$O$120,15,0)),0,VLOOKUP($S$2017,'TAR FIN'!$A$1:$O$120,15,0))</f>
        <v>0</v>
      </c>
      <c r="W2017" s="6">
        <f>IF(ISERROR(VLOOKUP($T$2017,'TAR FIN'!$A$1:$O$120,15,0)),0,VLOOKUP($T$2017,'TAR FIN'!$A$1:$O$120,15,0))</f>
        <v>197.19</v>
      </c>
      <c r="X2017" s="6">
        <f>IF(ISERROR(VLOOKUP($U$2017,'TAR FIN'!$A$1:$O$120,15,0)),0,VLOOKUP($U$2017,'TAR FIN'!$A$1:$O$120,15,0))</f>
        <v>256.38</v>
      </c>
      <c r="Y2017" s="6"/>
      <c r="Z2017" s="6">
        <f ca="1">('TUSD BE'!$AM$82+'TUSD BF'!$AM$82+'TUSD CVA'!$AM$82)*1</f>
        <v>213.95322604891325</v>
      </c>
      <c r="AA2017" s="6">
        <f>('TE BE'!$AA$46+'TE BF'!$AA$46+'TE CVA'!$AA$46)*1</f>
        <v>230.83420940933817</v>
      </c>
      <c r="AB2017" s="6">
        <f>$K$2017*$V$2017</f>
        <v>0</v>
      </c>
      <c r="AC2017" s="6">
        <f>$M$2017*$W$2017</f>
        <v>152.23068000000001</v>
      </c>
      <c r="AD2017" s="6">
        <f>$O$2017*$X$2017</f>
        <v>197.92536000000001</v>
      </c>
      <c r="AE2017" s="6">
        <f>$K$2017*$Y$2017</f>
        <v>0</v>
      </c>
      <c r="AF2017" s="6">
        <f ca="1">$M$2017*$Z$2017</f>
        <v>165.17189050976103</v>
      </c>
      <c r="AG2017" s="6">
        <f>$O$2017*$AA$2017</f>
        <v>178.20400966400908</v>
      </c>
    </row>
    <row r="2018" spans="1:33" ht="11.25" customHeight="1" x14ac:dyDescent="0.25">
      <c r="A2018" s="4" t="s">
        <v>21</v>
      </c>
      <c r="B2018" s="4" t="s">
        <v>39</v>
      </c>
      <c r="C2018" s="4" t="s">
        <v>37</v>
      </c>
      <c r="D2018" s="4" t="s">
        <v>42</v>
      </c>
      <c r="E2018" s="4" t="s">
        <v>25</v>
      </c>
      <c r="F2018" s="4" t="s">
        <v>25</v>
      </c>
      <c r="G2018" s="4" t="s">
        <v>25</v>
      </c>
      <c r="H2018" s="4" t="s">
        <v>36</v>
      </c>
      <c r="I2018" s="5">
        <v>44044</v>
      </c>
      <c r="J2018" s="6">
        <v>0</v>
      </c>
      <c r="K2018" s="6">
        <v>0</v>
      </c>
      <c r="L2018" s="6">
        <v>252.02600000000001</v>
      </c>
      <c r="M2018" s="6">
        <v>252.02600000000001</v>
      </c>
      <c r="N2018" s="6">
        <v>252.02600000000001</v>
      </c>
      <c r="O2018" s="6">
        <v>252.02600000000001</v>
      </c>
      <c r="P2018" s="6">
        <v>0</v>
      </c>
      <c r="Q2018" s="4" t="s">
        <v>26</v>
      </c>
      <c r="R2018" s="4">
        <v>0</v>
      </c>
      <c r="S2018" s="6">
        <v>0</v>
      </c>
      <c r="T2018" s="6">
        <v>72</v>
      </c>
      <c r="U2018" s="6">
        <v>115</v>
      </c>
      <c r="V2018" s="6">
        <f>IF(ISERROR(VLOOKUP($S$2018,'TAR FIN'!$A$1:$O$120,15,0)),0,VLOOKUP($S$2018,'TAR FIN'!$A$1:$O$120,15,0))</f>
        <v>0</v>
      </c>
      <c r="W2018" s="6">
        <f>IF(ISERROR(VLOOKUP($T$2018,'TAR FIN'!$A$1:$O$120,15,0)),0,VLOOKUP($T$2018,'TAR FIN'!$A$1:$O$120,15,0))</f>
        <v>197.19</v>
      </c>
      <c r="X2018" s="6">
        <f>IF(ISERROR(VLOOKUP($U$2018,'TAR FIN'!$A$1:$O$120,15,0)),0,VLOOKUP($U$2018,'TAR FIN'!$A$1:$O$120,15,0))</f>
        <v>256.38</v>
      </c>
      <c r="Y2018" s="6"/>
      <c r="Z2018" s="6">
        <f ca="1">('TUSD BE'!$AM$82+'TUSD BF'!$AM$82+'TUSD CVA'!$AM$82)*1</f>
        <v>213.95322604891325</v>
      </c>
      <c r="AA2018" s="6">
        <f>('TE BE'!$AA$46+'TE BF'!$AA$46+'TE CVA'!$AA$46)*1</f>
        <v>230.83420940933817</v>
      </c>
      <c r="AB2018" s="6">
        <f>$K$2018*$V$2018</f>
        <v>0</v>
      </c>
      <c r="AC2018" s="6">
        <f>$M$2018*$W$2018</f>
        <v>49697.006939999999</v>
      </c>
      <c r="AD2018" s="6">
        <f>$O$2018*$X$2018</f>
        <v>64614.425880000003</v>
      </c>
      <c r="AE2018" s="6">
        <f>$K$2018*$Y$2018</f>
        <v>0</v>
      </c>
      <c r="AF2018" s="6">
        <f ca="1">$M$2018*$Z$2018</f>
        <v>53921.775748203414</v>
      </c>
      <c r="AG2018" s="6">
        <f>$O$2018*$AA$2018</f>
        <v>58176.222460597863</v>
      </c>
    </row>
    <row r="2019" spans="1:33" ht="11.25" customHeight="1" x14ac:dyDescent="0.25">
      <c r="A2019" s="4" t="s">
        <v>27</v>
      </c>
      <c r="B2019" s="4" t="s">
        <v>39</v>
      </c>
      <c r="C2019" s="4" t="s">
        <v>37</v>
      </c>
      <c r="D2019" s="4" t="s">
        <v>42</v>
      </c>
      <c r="E2019" s="4" t="s">
        <v>25</v>
      </c>
      <c r="F2019" s="4" t="s">
        <v>25</v>
      </c>
      <c r="G2019" s="4" t="s">
        <v>25</v>
      </c>
      <c r="H2019" s="4" t="s">
        <v>36</v>
      </c>
      <c r="I2019" s="5">
        <v>44044</v>
      </c>
      <c r="J2019" s="6">
        <v>0</v>
      </c>
      <c r="K2019" s="6">
        <v>0</v>
      </c>
      <c r="L2019" s="6">
        <v>17.361000000000001</v>
      </c>
      <c r="M2019" s="6">
        <v>17.361000000000001</v>
      </c>
      <c r="N2019" s="6">
        <v>17.361000000000001</v>
      </c>
      <c r="O2019" s="6">
        <v>17.361000000000001</v>
      </c>
      <c r="P2019" s="6">
        <v>0</v>
      </c>
      <c r="Q2019" s="4" t="s">
        <v>26</v>
      </c>
      <c r="R2019" s="4">
        <v>0</v>
      </c>
      <c r="S2019" s="6">
        <v>0</v>
      </c>
      <c r="T2019" s="6">
        <v>72</v>
      </c>
      <c r="U2019" s="6">
        <v>115</v>
      </c>
      <c r="V2019" s="6">
        <f>IF(ISERROR(VLOOKUP($S$2019,'TAR FIN'!$A$1:$O$120,15,0)),0,VLOOKUP($S$2019,'TAR FIN'!$A$1:$O$120,15,0))</f>
        <v>0</v>
      </c>
      <c r="W2019" s="6">
        <f>IF(ISERROR(VLOOKUP($T$2019,'TAR FIN'!$A$1:$O$120,15,0)),0,VLOOKUP($T$2019,'TAR FIN'!$A$1:$O$120,15,0))</f>
        <v>197.19</v>
      </c>
      <c r="X2019" s="6">
        <f>IF(ISERROR(VLOOKUP($U$2019,'TAR FIN'!$A$1:$O$120,15,0)),0,VLOOKUP($U$2019,'TAR FIN'!$A$1:$O$120,15,0))</f>
        <v>256.38</v>
      </c>
      <c r="Y2019" s="6"/>
      <c r="Z2019" s="6">
        <f ca="1">('TUSD BE'!$AM$82+'TUSD BF'!$AM$82+'TUSD CVA'!$AM$82)*1</f>
        <v>213.95322604891325</v>
      </c>
      <c r="AA2019" s="6">
        <f>('TE BE'!$AA$46+'TE BF'!$AA$46+'TE CVA'!$AA$46)*1</f>
        <v>230.83420940933817</v>
      </c>
      <c r="AB2019" s="6">
        <f>$K$2019*$V$2019</f>
        <v>0</v>
      </c>
      <c r="AC2019" s="6">
        <f>$M$2019*$W$2019</f>
        <v>3423.4155900000001</v>
      </c>
      <c r="AD2019" s="6">
        <f>$O$2019*$X$2019</f>
        <v>4451.0131799999999</v>
      </c>
      <c r="AE2019" s="6">
        <f>$K$2019*$Y$2019</f>
        <v>0</v>
      </c>
      <c r="AF2019" s="6">
        <f ca="1">$M$2019*$Z$2019</f>
        <v>3714.4419574351832</v>
      </c>
      <c r="AG2019" s="6">
        <f>$O$2019*$AA$2019</f>
        <v>4007.5127095555204</v>
      </c>
    </row>
    <row r="2020" spans="1:33" ht="11.25" customHeight="1" x14ac:dyDescent="0.25">
      <c r="A2020" s="4" t="s">
        <v>59</v>
      </c>
      <c r="B2020" s="4" t="s">
        <v>39</v>
      </c>
      <c r="C2020" s="4" t="s">
        <v>37</v>
      </c>
      <c r="D2020" s="4" t="s">
        <v>42</v>
      </c>
      <c r="E2020" s="4" t="s">
        <v>25</v>
      </c>
      <c r="F2020" s="4" t="s">
        <v>25</v>
      </c>
      <c r="G2020" s="4" t="s">
        <v>25</v>
      </c>
      <c r="H2020" s="4" t="s">
        <v>36</v>
      </c>
      <c r="I2020" s="5">
        <v>44075</v>
      </c>
      <c r="J2020" s="6">
        <v>0</v>
      </c>
      <c r="K2020" s="6">
        <v>0</v>
      </c>
      <c r="L2020" s="6">
        <v>252.02600000000001</v>
      </c>
      <c r="M2020" s="6">
        <v>252.02600000000001</v>
      </c>
      <c r="N2020" s="6">
        <v>252.02600000000001</v>
      </c>
      <c r="O2020" s="6">
        <v>252.02600000000001</v>
      </c>
      <c r="P2020" s="6">
        <v>0</v>
      </c>
      <c r="Q2020" s="4" t="s">
        <v>26</v>
      </c>
      <c r="R2020" s="4">
        <v>0</v>
      </c>
      <c r="S2020" s="6">
        <v>0</v>
      </c>
      <c r="T2020" s="6">
        <v>72</v>
      </c>
      <c r="U2020" s="6">
        <v>115</v>
      </c>
      <c r="V2020" s="6">
        <f>IF(ISERROR(VLOOKUP($S$2020,'TAR FIN'!$A$1:$O$120,15,0)),0,VLOOKUP($S$2020,'TAR FIN'!$A$1:$O$120,15,0))</f>
        <v>0</v>
      </c>
      <c r="W2020" s="6">
        <f>IF(ISERROR(VLOOKUP($T$2020,'TAR FIN'!$A$1:$O$120,15,0)),0,VLOOKUP($T$2020,'TAR FIN'!$A$1:$O$120,15,0))</f>
        <v>197.19</v>
      </c>
      <c r="X2020" s="6">
        <f>IF(ISERROR(VLOOKUP($U$2020,'TAR FIN'!$A$1:$O$120,15,0)),0,VLOOKUP($U$2020,'TAR FIN'!$A$1:$O$120,15,0))</f>
        <v>256.38</v>
      </c>
      <c r="Y2020" s="6"/>
      <c r="Z2020" s="6">
        <f ca="1">('TUSD BE'!$AM$82+'TUSD BF'!$AM$82+'TUSD CVA'!$AM$82)*1</f>
        <v>213.95322604891325</v>
      </c>
      <c r="AA2020" s="6">
        <f>('TE BE'!$AA$46+'TE BF'!$AA$46+'TE CVA'!$AA$46)*1</f>
        <v>230.83420940933817</v>
      </c>
      <c r="AB2020" s="6">
        <f>$K$2020*$V$2020</f>
        <v>0</v>
      </c>
      <c r="AC2020" s="6">
        <f>$M$2020*$W$2020</f>
        <v>49697.006939999999</v>
      </c>
      <c r="AD2020" s="6">
        <f>$O$2020*$X$2020</f>
        <v>64614.425880000003</v>
      </c>
      <c r="AE2020" s="6">
        <f>$K$2020*$Y$2020</f>
        <v>0</v>
      </c>
      <c r="AF2020" s="6">
        <f ca="1">$M$2020*$Z$2020</f>
        <v>53921.775748203414</v>
      </c>
      <c r="AG2020" s="6">
        <f>$O$2020*$AA$2020</f>
        <v>58176.222460597863</v>
      </c>
    </row>
    <row r="2021" spans="1:33" ht="11.25" customHeight="1" x14ac:dyDescent="0.25">
      <c r="A2021" s="4" t="s">
        <v>59</v>
      </c>
      <c r="B2021" s="4" t="s">
        <v>39</v>
      </c>
      <c r="C2021" s="4" t="s">
        <v>37</v>
      </c>
      <c r="D2021" s="4" t="s">
        <v>42</v>
      </c>
      <c r="E2021" s="4" t="s">
        <v>25</v>
      </c>
      <c r="F2021" s="4" t="s">
        <v>25</v>
      </c>
      <c r="G2021" s="4" t="s">
        <v>25</v>
      </c>
      <c r="H2021" s="4" t="s">
        <v>36</v>
      </c>
      <c r="I2021" s="5">
        <v>44075</v>
      </c>
      <c r="J2021" s="6">
        <v>0</v>
      </c>
      <c r="K2021" s="6">
        <v>0</v>
      </c>
      <c r="L2021" s="6">
        <v>17.361000000000001</v>
      </c>
      <c r="M2021" s="6">
        <v>17.361000000000001</v>
      </c>
      <c r="N2021" s="6">
        <v>17.361000000000001</v>
      </c>
      <c r="O2021" s="6">
        <v>17.361000000000001</v>
      </c>
      <c r="P2021" s="6">
        <v>0</v>
      </c>
      <c r="Q2021" s="4" t="s">
        <v>26</v>
      </c>
      <c r="R2021" s="4">
        <v>0</v>
      </c>
      <c r="S2021" s="6">
        <v>0</v>
      </c>
      <c r="T2021" s="6">
        <v>72</v>
      </c>
      <c r="U2021" s="6">
        <v>115</v>
      </c>
      <c r="V2021" s="6">
        <f>IF(ISERROR(VLOOKUP($S$2021,'TAR FIN'!$A$1:$O$120,15,0)),0,VLOOKUP($S$2021,'TAR FIN'!$A$1:$O$120,15,0))</f>
        <v>0</v>
      </c>
      <c r="W2021" s="6">
        <f>IF(ISERROR(VLOOKUP($T$2021,'TAR FIN'!$A$1:$O$120,15,0)),0,VLOOKUP($T$2021,'TAR FIN'!$A$1:$O$120,15,0))</f>
        <v>197.19</v>
      </c>
      <c r="X2021" s="6">
        <f>IF(ISERROR(VLOOKUP($U$2021,'TAR FIN'!$A$1:$O$120,15,0)),0,VLOOKUP($U$2021,'TAR FIN'!$A$1:$O$120,15,0))</f>
        <v>256.38</v>
      </c>
      <c r="Y2021" s="6"/>
      <c r="Z2021" s="6">
        <f ca="1">('TUSD BE'!$AM$82+'TUSD BF'!$AM$82+'TUSD CVA'!$AM$82)*1</f>
        <v>213.95322604891325</v>
      </c>
      <c r="AA2021" s="6">
        <f>('TE BE'!$AA$46+'TE BF'!$AA$46+'TE CVA'!$AA$46)*1</f>
        <v>230.83420940933817</v>
      </c>
      <c r="AB2021" s="6">
        <f>$K$2021*$V$2021</f>
        <v>0</v>
      </c>
      <c r="AC2021" s="6">
        <f>$M$2021*$W$2021</f>
        <v>3423.4155900000001</v>
      </c>
      <c r="AD2021" s="6">
        <f>$O$2021*$X$2021</f>
        <v>4451.0131799999999</v>
      </c>
      <c r="AE2021" s="6">
        <f>$K$2021*$Y$2021</f>
        <v>0</v>
      </c>
      <c r="AF2021" s="6">
        <f ca="1">$M$2021*$Z$2021</f>
        <v>3714.4419574351832</v>
      </c>
      <c r="AG2021" s="6">
        <f>$O$2021*$AA$2021</f>
        <v>4007.5127095555204</v>
      </c>
    </row>
    <row r="2022" spans="1:33" ht="11.25" customHeight="1" x14ac:dyDescent="0.25">
      <c r="A2022" s="4" t="s">
        <v>21</v>
      </c>
      <c r="B2022" s="4" t="s">
        <v>39</v>
      </c>
      <c r="C2022" s="4" t="s">
        <v>37</v>
      </c>
      <c r="D2022" s="4" t="s">
        <v>42</v>
      </c>
      <c r="E2022" s="4" t="s">
        <v>25</v>
      </c>
      <c r="F2022" s="4" t="s">
        <v>25</v>
      </c>
      <c r="G2022" s="4" t="s">
        <v>25</v>
      </c>
      <c r="H2022" s="4" t="s">
        <v>38</v>
      </c>
      <c r="I2022" s="5">
        <v>43739</v>
      </c>
      <c r="J2022" s="6">
        <v>0</v>
      </c>
      <c r="K2022" s="6">
        <v>0</v>
      </c>
      <c r="L2022" s="6">
        <v>23.257999999999999</v>
      </c>
      <c r="M2022" s="6">
        <v>23.257999999999999</v>
      </c>
      <c r="N2022" s="6">
        <v>23.257999999999999</v>
      </c>
      <c r="O2022" s="6">
        <v>23.257999999999999</v>
      </c>
      <c r="P2022" s="6">
        <v>0</v>
      </c>
      <c r="Q2022" s="4" t="s">
        <v>26</v>
      </c>
      <c r="R2022" s="4">
        <v>0</v>
      </c>
      <c r="S2022" s="6">
        <v>0</v>
      </c>
      <c r="T2022" s="6">
        <v>71</v>
      </c>
      <c r="U2022" s="6">
        <v>114</v>
      </c>
      <c r="V2022" s="6">
        <f>IF(ISERROR(VLOOKUP($S$2022,'TAR FIN'!$A$1:$O$120,15,0)),0,VLOOKUP($S$2022,'TAR FIN'!$A$1:$O$120,15,0))</f>
        <v>0</v>
      </c>
      <c r="W2022" s="6">
        <f>IF(ISERROR(VLOOKUP($T$2022,'TAR FIN'!$A$1:$O$120,15,0)),0,VLOOKUP($T$2022,'TAR FIN'!$A$1:$O$120,15,0))</f>
        <v>374.6</v>
      </c>
      <c r="X2022" s="6">
        <f>IF(ISERROR(VLOOKUP($U$2022,'TAR FIN'!$A$1:$O$120,15,0)),0,VLOOKUP($U$2022,'TAR FIN'!$A$1:$O$120,15,0))</f>
        <v>256.38</v>
      </c>
      <c r="Y2022" s="6"/>
      <c r="Z2022" s="6">
        <f ca="1">('TUSD BE'!$AM$81+'TUSD BF'!$AM$81+'TUSD CVA'!$AM$81)*1</f>
        <v>419.89752571617748</v>
      </c>
      <c r="AA2022" s="6">
        <f>('TE BE'!$AA$45+'TE BF'!$AA$45+'TE CVA'!$AA$45)*1</f>
        <v>230.83420940933817</v>
      </c>
      <c r="AB2022" s="6">
        <f>$K$2022*$V$2022</f>
        <v>0</v>
      </c>
      <c r="AC2022" s="6">
        <f>$M$2022*$W$2022</f>
        <v>8712.4467999999997</v>
      </c>
      <c r="AD2022" s="6">
        <f>$O$2022*$X$2022</f>
        <v>5962.8860399999994</v>
      </c>
      <c r="AE2022" s="6">
        <f>$K$2022*$Y$2022</f>
        <v>0</v>
      </c>
      <c r="AF2022" s="6">
        <f ca="1">$M$2022*$Z$2022</f>
        <v>9765.9766531068562</v>
      </c>
      <c r="AG2022" s="6">
        <f>$O$2022*$AA$2022</f>
        <v>5368.7420424423872</v>
      </c>
    </row>
    <row r="2023" spans="1:33" ht="11.25" customHeight="1" x14ac:dyDescent="0.25">
      <c r="A2023" s="4" t="s">
        <v>27</v>
      </c>
      <c r="B2023" s="4" t="s">
        <v>39</v>
      </c>
      <c r="C2023" s="4" t="s">
        <v>37</v>
      </c>
      <c r="D2023" s="4" t="s">
        <v>42</v>
      </c>
      <c r="E2023" s="4" t="s">
        <v>25</v>
      </c>
      <c r="F2023" s="4" t="s">
        <v>25</v>
      </c>
      <c r="G2023" s="4" t="s">
        <v>25</v>
      </c>
      <c r="H2023" s="4" t="s">
        <v>38</v>
      </c>
      <c r="I2023" s="5">
        <v>43739</v>
      </c>
      <c r="J2023" s="6">
        <v>0</v>
      </c>
      <c r="K2023" s="6">
        <v>0</v>
      </c>
      <c r="L2023" s="6">
        <v>0.223</v>
      </c>
      <c r="M2023" s="6">
        <v>0.223</v>
      </c>
      <c r="N2023" s="6">
        <v>0.223</v>
      </c>
      <c r="O2023" s="6">
        <v>0.223</v>
      </c>
      <c r="P2023" s="6">
        <v>0</v>
      </c>
      <c r="Q2023" s="4" t="s">
        <v>26</v>
      </c>
      <c r="R2023" s="4">
        <v>0</v>
      </c>
      <c r="S2023" s="6">
        <v>0</v>
      </c>
      <c r="T2023" s="6">
        <v>71</v>
      </c>
      <c r="U2023" s="6">
        <v>114</v>
      </c>
      <c r="V2023" s="6">
        <f>IF(ISERROR(VLOOKUP($S$2023,'TAR FIN'!$A$1:$O$120,15,0)),0,VLOOKUP($S$2023,'TAR FIN'!$A$1:$O$120,15,0))</f>
        <v>0</v>
      </c>
      <c r="W2023" s="6">
        <f>IF(ISERROR(VLOOKUP($T$2023,'TAR FIN'!$A$1:$O$120,15,0)),0,VLOOKUP($T$2023,'TAR FIN'!$A$1:$O$120,15,0))</f>
        <v>374.6</v>
      </c>
      <c r="X2023" s="6">
        <f>IF(ISERROR(VLOOKUP($U$2023,'TAR FIN'!$A$1:$O$120,15,0)),0,VLOOKUP($U$2023,'TAR FIN'!$A$1:$O$120,15,0))</f>
        <v>256.38</v>
      </c>
      <c r="Y2023" s="6"/>
      <c r="Z2023" s="6">
        <f ca="1">('TUSD BE'!$AM$81+'TUSD BF'!$AM$81+'TUSD CVA'!$AM$81)*1</f>
        <v>419.89752571617748</v>
      </c>
      <c r="AA2023" s="6">
        <f>('TE BE'!$AA$45+'TE BF'!$AA$45+'TE CVA'!$AA$45)*1</f>
        <v>230.83420940933817</v>
      </c>
      <c r="AB2023" s="6">
        <f>$K$2023*$V$2023</f>
        <v>0</v>
      </c>
      <c r="AC2023" s="6">
        <f>$M$2023*$W$2023</f>
        <v>83.535800000000009</v>
      </c>
      <c r="AD2023" s="6">
        <f>$O$2023*$X$2023</f>
        <v>57.172739999999997</v>
      </c>
      <c r="AE2023" s="6">
        <f>$K$2023*$Y$2023</f>
        <v>0</v>
      </c>
      <c r="AF2023" s="6">
        <f ca="1">$M$2023*$Z$2023</f>
        <v>93.637148234707581</v>
      </c>
      <c r="AG2023" s="6">
        <f>$O$2023*$AA$2023</f>
        <v>51.476028698282413</v>
      </c>
    </row>
    <row r="2024" spans="1:33" ht="11.25" customHeight="1" x14ac:dyDescent="0.25">
      <c r="A2024" s="4" t="s">
        <v>28</v>
      </c>
      <c r="B2024" s="4" t="s">
        <v>39</v>
      </c>
      <c r="C2024" s="4" t="s">
        <v>37</v>
      </c>
      <c r="D2024" s="4" t="s">
        <v>42</v>
      </c>
      <c r="E2024" s="4" t="s">
        <v>25</v>
      </c>
      <c r="F2024" s="4" t="s">
        <v>25</v>
      </c>
      <c r="G2024" s="4" t="s">
        <v>25</v>
      </c>
      <c r="H2024" s="4" t="s">
        <v>38</v>
      </c>
      <c r="I2024" s="5">
        <v>43739</v>
      </c>
      <c r="J2024" s="6">
        <v>0</v>
      </c>
      <c r="K2024" s="6">
        <v>0</v>
      </c>
      <c r="L2024" s="6">
        <v>1.6</v>
      </c>
      <c r="M2024" s="6">
        <v>1.6</v>
      </c>
      <c r="N2024" s="6">
        <v>1.6</v>
      </c>
      <c r="O2024" s="6">
        <v>1.6</v>
      </c>
      <c r="P2024" s="6">
        <v>0</v>
      </c>
      <c r="Q2024" s="4" t="s">
        <v>26</v>
      </c>
      <c r="R2024" s="4">
        <v>0</v>
      </c>
      <c r="S2024" s="6">
        <v>0</v>
      </c>
      <c r="T2024" s="6">
        <v>71</v>
      </c>
      <c r="U2024" s="6">
        <v>114</v>
      </c>
      <c r="V2024" s="6">
        <f>IF(ISERROR(VLOOKUP($S$2024,'TAR FIN'!$A$1:$O$120,15,0)),0,VLOOKUP($S$2024,'TAR FIN'!$A$1:$O$120,15,0))</f>
        <v>0</v>
      </c>
      <c r="W2024" s="6">
        <f>IF(ISERROR(VLOOKUP($T$2024,'TAR FIN'!$A$1:$O$120,15,0)),0,VLOOKUP($T$2024,'TAR FIN'!$A$1:$O$120,15,0))</f>
        <v>374.6</v>
      </c>
      <c r="X2024" s="6">
        <f>IF(ISERROR(VLOOKUP($U$2024,'TAR FIN'!$A$1:$O$120,15,0)),0,VLOOKUP($U$2024,'TAR FIN'!$A$1:$O$120,15,0))</f>
        <v>256.38</v>
      </c>
      <c r="Y2024" s="6"/>
      <c r="Z2024" s="6">
        <f ca="1">('TUSD BE'!$AM$81+'TUSD BF'!$AM$81+'TUSD CVA'!$AM$81)*1</f>
        <v>419.89752571617748</v>
      </c>
      <c r="AA2024" s="6">
        <f>('TE BE'!$AA$45+'TE BF'!$AA$45+'TE CVA'!$AA$45)*1</f>
        <v>230.83420940933817</v>
      </c>
      <c r="AB2024" s="6">
        <f>$K$2024*$V$2024</f>
        <v>0</v>
      </c>
      <c r="AC2024" s="6">
        <f>$M$2024*$W$2024</f>
        <v>599.36</v>
      </c>
      <c r="AD2024" s="6">
        <f>$O$2024*$X$2024</f>
        <v>410.20800000000003</v>
      </c>
      <c r="AE2024" s="6">
        <f>$K$2024*$Y$2024</f>
        <v>0</v>
      </c>
      <c r="AF2024" s="6">
        <f ca="1">$M$2024*$Z$2024</f>
        <v>671.836041145884</v>
      </c>
      <c r="AG2024" s="6">
        <f>$O$2024*$AA$2024</f>
        <v>369.33473505494112</v>
      </c>
    </row>
    <row r="2025" spans="1:33" ht="11.25" customHeight="1" x14ac:dyDescent="0.25">
      <c r="A2025" s="4" t="s">
        <v>21</v>
      </c>
      <c r="B2025" s="4" t="s">
        <v>39</v>
      </c>
      <c r="C2025" s="4" t="s">
        <v>37</v>
      </c>
      <c r="D2025" s="4" t="s">
        <v>42</v>
      </c>
      <c r="E2025" s="4" t="s">
        <v>25</v>
      </c>
      <c r="F2025" s="4" t="s">
        <v>25</v>
      </c>
      <c r="G2025" s="4" t="s">
        <v>25</v>
      </c>
      <c r="H2025" s="4" t="s">
        <v>38</v>
      </c>
      <c r="I2025" s="5">
        <v>43770</v>
      </c>
      <c r="J2025" s="6">
        <v>0</v>
      </c>
      <c r="K2025" s="6">
        <v>0</v>
      </c>
      <c r="L2025" s="6">
        <v>1025.3979999999999</v>
      </c>
      <c r="M2025" s="6">
        <v>1025.3979999999999</v>
      </c>
      <c r="N2025" s="6">
        <v>1025.3979999999999</v>
      </c>
      <c r="O2025" s="6">
        <v>1025.3979999999999</v>
      </c>
      <c r="P2025" s="6">
        <v>0</v>
      </c>
      <c r="Q2025" s="4" t="s">
        <v>26</v>
      </c>
      <c r="R2025" s="4">
        <v>0</v>
      </c>
      <c r="S2025" s="6">
        <v>0</v>
      </c>
      <c r="T2025" s="6">
        <v>71</v>
      </c>
      <c r="U2025" s="6">
        <v>114</v>
      </c>
      <c r="V2025" s="6">
        <f>IF(ISERROR(VLOOKUP($S$2025,'TAR FIN'!$A$1:$O$120,15,0)),0,VLOOKUP($S$2025,'TAR FIN'!$A$1:$O$120,15,0))</f>
        <v>0</v>
      </c>
      <c r="W2025" s="6">
        <f>IF(ISERROR(VLOOKUP($T$2025,'TAR FIN'!$A$1:$O$120,15,0)),0,VLOOKUP($T$2025,'TAR FIN'!$A$1:$O$120,15,0))</f>
        <v>374.6</v>
      </c>
      <c r="X2025" s="6">
        <f>IF(ISERROR(VLOOKUP($U$2025,'TAR FIN'!$A$1:$O$120,15,0)),0,VLOOKUP($U$2025,'TAR FIN'!$A$1:$O$120,15,0))</f>
        <v>256.38</v>
      </c>
      <c r="Y2025" s="6"/>
      <c r="Z2025" s="6">
        <f ca="1">('TUSD BE'!$AM$81+'TUSD BF'!$AM$81+'TUSD CVA'!$AM$81)*1</f>
        <v>419.89752571617748</v>
      </c>
      <c r="AA2025" s="6">
        <f>('TE BE'!$AA$45+'TE BF'!$AA$45+'TE CVA'!$AA$45)*1</f>
        <v>230.83420940933817</v>
      </c>
      <c r="AB2025" s="6">
        <f>$K$2025*$V$2025</f>
        <v>0</v>
      </c>
      <c r="AC2025" s="6">
        <f>$M$2025*$W$2025</f>
        <v>384114.09080000001</v>
      </c>
      <c r="AD2025" s="6">
        <f>$O$2025*$X$2025</f>
        <v>262891.53923999995</v>
      </c>
      <c r="AE2025" s="6">
        <f>$K$2025*$Y$2025</f>
        <v>0</v>
      </c>
      <c r="AF2025" s="6">
        <f ca="1">$M$2025*$Z$2025</f>
        <v>430562.08307431691</v>
      </c>
      <c r="AG2025" s="6">
        <f>$O$2025*$AA$2025</f>
        <v>236696.93665991651</v>
      </c>
    </row>
    <row r="2026" spans="1:33" ht="11.25" customHeight="1" x14ac:dyDescent="0.25">
      <c r="A2026" s="4" t="s">
        <v>27</v>
      </c>
      <c r="B2026" s="4" t="s">
        <v>39</v>
      </c>
      <c r="C2026" s="4" t="s">
        <v>37</v>
      </c>
      <c r="D2026" s="4" t="s">
        <v>42</v>
      </c>
      <c r="E2026" s="4" t="s">
        <v>25</v>
      </c>
      <c r="F2026" s="4" t="s">
        <v>25</v>
      </c>
      <c r="G2026" s="4" t="s">
        <v>25</v>
      </c>
      <c r="H2026" s="4" t="s">
        <v>38</v>
      </c>
      <c r="I2026" s="5">
        <v>43770</v>
      </c>
      <c r="J2026" s="6">
        <v>0</v>
      </c>
      <c r="K2026" s="6">
        <v>0</v>
      </c>
      <c r="L2026" s="6">
        <v>0.27800000000000002</v>
      </c>
      <c r="M2026" s="6">
        <v>0.27800000000000002</v>
      </c>
      <c r="N2026" s="6">
        <v>0.27800000000000002</v>
      </c>
      <c r="O2026" s="6">
        <v>0.27800000000000002</v>
      </c>
      <c r="P2026" s="6">
        <v>0</v>
      </c>
      <c r="Q2026" s="4" t="s">
        <v>26</v>
      </c>
      <c r="R2026" s="4">
        <v>0</v>
      </c>
      <c r="S2026" s="6">
        <v>0</v>
      </c>
      <c r="T2026" s="6">
        <v>71</v>
      </c>
      <c r="U2026" s="6">
        <v>114</v>
      </c>
      <c r="V2026" s="6">
        <f>IF(ISERROR(VLOOKUP($S$2026,'TAR FIN'!$A$1:$O$120,15,0)),0,VLOOKUP($S$2026,'TAR FIN'!$A$1:$O$120,15,0))</f>
        <v>0</v>
      </c>
      <c r="W2026" s="6">
        <f>IF(ISERROR(VLOOKUP($T$2026,'TAR FIN'!$A$1:$O$120,15,0)),0,VLOOKUP($T$2026,'TAR FIN'!$A$1:$O$120,15,0))</f>
        <v>374.6</v>
      </c>
      <c r="X2026" s="6">
        <f>IF(ISERROR(VLOOKUP($U$2026,'TAR FIN'!$A$1:$O$120,15,0)),0,VLOOKUP($U$2026,'TAR FIN'!$A$1:$O$120,15,0))</f>
        <v>256.38</v>
      </c>
      <c r="Y2026" s="6"/>
      <c r="Z2026" s="6">
        <f ca="1">('TUSD BE'!$AM$81+'TUSD BF'!$AM$81+'TUSD CVA'!$AM$81)*1</f>
        <v>419.89752571617748</v>
      </c>
      <c r="AA2026" s="6">
        <f>('TE BE'!$AA$45+'TE BF'!$AA$45+'TE CVA'!$AA$45)*1</f>
        <v>230.83420940933817</v>
      </c>
      <c r="AB2026" s="6">
        <f>$K$2026*$V$2026</f>
        <v>0</v>
      </c>
      <c r="AC2026" s="6">
        <f>$M$2026*$W$2026</f>
        <v>104.13880000000002</v>
      </c>
      <c r="AD2026" s="6">
        <f>$O$2026*$X$2026</f>
        <v>71.27364</v>
      </c>
      <c r="AE2026" s="6">
        <f>$K$2026*$Y$2026</f>
        <v>0</v>
      </c>
      <c r="AF2026" s="6">
        <f ca="1">$M$2026*$Z$2026</f>
        <v>116.73151214909736</v>
      </c>
      <c r="AG2026" s="6">
        <f>$O$2026*$AA$2026</f>
        <v>64.171910215796018</v>
      </c>
    </row>
    <row r="2027" spans="1:33" ht="11.25" customHeight="1" x14ac:dyDescent="0.25">
      <c r="A2027" s="4" t="s">
        <v>28</v>
      </c>
      <c r="B2027" s="4" t="s">
        <v>39</v>
      </c>
      <c r="C2027" s="4" t="s">
        <v>37</v>
      </c>
      <c r="D2027" s="4" t="s">
        <v>42</v>
      </c>
      <c r="E2027" s="4" t="s">
        <v>25</v>
      </c>
      <c r="F2027" s="4" t="s">
        <v>25</v>
      </c>
      <c r="G2027" s="4" t="s">
        <v>25</v>
      </c>
      <c r="H2027" s="4" t="s">
        <v>38</v>
      </c>
      <c r="I2027" s="5">
        <v>43770</v>
      </c>
      <c r="J2027" s="6">
        <v>0</v>
      </c>
      <c r="K2027" s="6">
        <v>0</v>
      </c>
      <c r="L2027" s="6">
        <v>3.52</v>
      </c>
      <c r="M2027" s="6">
        <v>3.52</v>
      </c>
      <c r="N2027" s="6">
        <v>3.52</v>
      </c>
      <c r="O2027" s="6">
        <v>3.52</v>
      </c>
      <c r="P2027" s="6">
        <v>0</v>
      </c>
      <c r="Q2027" s="4" t="s">
        <v>26</v>
      </c>
      <c r="R2027" s="4">
        <v>0</v>
      </c>
      <c r="S2027" s="6">
        <v>0</v>
      </c>
      <c r="T2027" s="6">
        <v>71</v>
      </c>
      <c r="U2027" s="6">
        <v>114</v>
      </c>
      <c r="V2027" s="6">
        <f>IF(ISERROR(VLOOKUP($S$2027,'TAR FIN'!$A$1:$O$120,15,0)),0,VLOOKUP($S$2027,'TAR FIN'!$A$1:$O$120,15,0))</f>
        <v>0</v>
      </c>
      <c r="W2027" s="6">
        <f>IF(ISERROR(VLOOKUP($T$2027,'TAR FIN'!$A$1:$O$120,15,0)),0,VLOOKUP($T$2027,'TAR FIN'!$A$1:$O$120,15,0))</f>
        <v>374.6</v>
      </c>
      <c r="X2027" s="6">
        <f>IF(ISERROR(VLOOKUP($U$2027,'TAR FIN'!$A$1:$O$120,15,0)),0,VLOOKUP($U$2027,'TAR FIN'!$A$1:$O$120,15,0))</f>
        <v>256.38</v>
      </c>
      <c r="Y2027" s="6"/>
      <c r="Z2027" s="6">
        <f ca="1">('TUSD BE'!$AM$81+'TUSD BF'!$AM$81+'TUSD CVA'!$AM$81)*1</f>
        <v>419.89752571617748</v>
      </c>
      <c r="AA2027" s="6">
        <f>('TE BE'!$AA$45+'TE BF'!$AA$45+'TE CVA'!$AA$45)*1</f>
        <v>230.83420940933817</v>
      </c>
      <c r="AB2027" s="6">
        <f>$K$2027*$V$2027</f>
        <v>0</v>
      </c>
      <c r="AC2027" s="6">
        <f>$M$2027*$W$2027</f>
        <v>1318.5920000000001</v>
      </c>
      <c r="AD2027" s="6">
        <f>$O$2027*$X$2027</f>
        <v>902.45759999999996</v>
      </c>
      <c r="AE2027" s="6">
        <f>$K$2027*$Y$2027</f>
        <v>0</v>
      </c>
      <c r="AF2027" s="6">
        <f ca="1">$M$2027*$Z$2027</f>
        <v>1478.0392905209449</v>
      </c>
      <c r="AG2027" s="6">
        <f>$O$2027*$AA$2027</f>
        <v>812.5364171208704</v>
      </c>
    </row>
    <row r="2028" spans="1:33" ht="11.25" customHeight="1" x14ac:dyDescent="0.25">
      <c r="A2028" s="4" t="s">
        <v>27</v>
      </c>
      <c r="B2028" s="4" t="s">
        <v>39</v>
      </c>
      <c r="C2028" s="4" t="s">
        <v>37</v>
      </c>
      <c r="D2028" s="4" t="s">
        <v>42</v>
      </c>
      <c r="E2028" s="4" t="s">
        <v>25</v>
      </c>
      <c r="F2028" s="4" t="s">
        <v>25</v>
      </c>
      <c r="G2028" s="4" t="s">
        <v>25</v>
      </c>
      <c r="H2028" s="4" t="s">
        <v>38</v>
      </c>
      <c r="I2028" s="5">
        <v>43800</v>
      </c>
      <c r="J2028" s="6">
        <v>0</v>
      </c>
      <c r="K2028" s="6">
        <v>0</v>
      </c>
      <c r="L2028" s="6">
        <v>-973.471</v>
      </c>
      <c r="M2028" s="6">
        <v>-973.471</v>
      </c>
      <c r="N2028" s="6">
        <v>-973.471</v>
      </c>
      <c r="O2028" s="6">
        <v>-973.471</v>
      </c>
      <c r="P2028" s="6">
        <v>0</v>
      </c>
      <c r="Q2028" s="4" t="s">
        <v>26</v>
      </c>
      <c r="R2028" s="4">
        <v>0</v>
      </c>
      <c r="S2028" s="6">
        <v>0</v>
      </c>
      <c r="T2028" s="6">
        <v>71</v>
      </c>
      <c r="U2028" s="6">
        <v>114</v>
      </c>
      <c r="V2028" s="6">
        <f>IF(ISERROR(VLOOKUP($S$2028,'TAR FIN'!$A$1:$O$120,15,0)),0,VLOOKUP($S$2028,'TAR FIN'!$A$1:$O$120,15,0))</f>
        <v>0</v>
      </c>
      <c r="W2028" s="6">
        <f>IF(ISERROR(VLOOKUP($T$2028,'TAR FIN'!$A$1:$O$120,15,0)),0,VLOOKUP($T$2028,'TAR FIN'!$A$1:$O$120,15,0))</f>
        <v>374.6</v>
      </c>
      <c r="X2028" s="6">
        <f>IF(ISERROR(VLOOKUP($U$2028,'TAR FIN'!$A$1:$O$120,15,0)),0,VLOOKUP($U$2028,'TAR FIN'!$A$1:$O$120,15,0))</f>
        <v>256.38</v>
      </c>
      <c r="Y2028" s="6"/>
      <c r="Z2028" s="6">
        <f ca="1">('TUSD BE'!$AM$81+'TUSD BF'!$AM$81+'TUSD CVA'!$AM$81)*1</f>
        <v>419.89752571617748</v>
      </c>
      <c r="AA2028" s="6">
        <f>('TE BE'!$AA$45+'TE BF'!$AA$45+'TE CVA'!$AA$45)*1</f>
        <v>230.83420940933817</v>
      </c>
      <c r="AB2028" s="6">
        <f>$K$2028*$V$2028</f>
        <v>0</v>
      </c>
      <c r="AC2028" s="6">
        <f>$M$2028*$W$2028</f>
        <v>-364662.2366</v>
      </c>
      <c r="AD2028" s="6">
        <f>$O$2028*$X$2028</f>
        <v>-249578.49497999999</v>
      </c>
      <c r="AE2028" s="6">
        <f>$K$2028*$Y$2028</f>
        <v>0</v>
      </c>
      <c r="AF2028" s="6">
        <f ca="1">$M$2028*$Z$2028</f>
        <v>-408758.06425645301</v>
      </c>
      <c r="AG2028" s="6">
        <f>$O$2028*$AA$2028</f>
        <v>-224710.40866791783</v>
      </c>
    </row>
    <row r="2029" spans="1:33" ht="11.25" customHeight="1" x14ac:dyDescent="0.25">
      <c r="A2029" s="4" t="s">
        <v>28</v>
      </c>
      <c r="B2029" s="4" t="s">
        <v>39</v>
      </c>
      <c r="C2029" s="4" t="s">
        <v>37</v>
      </c>
      <c r="D2029" s="4" t="s">
        <v>42</v>
      </c>
      <c r="E2029" s="4" t="s">
        <v>25</v>
      </c>
      <c r="F2029" s="4" t="s">
        <v>25</v>
      </c>
      <c r="G2029" s="4" t="s">
        <v>25</v>
      </c>
      <c r="H2029" s="4" t="s">
        <v>38</v>
      </c>
      <c r="I2029" s="5">
        <v>43800</v>
      </c>
      <c r="J2029" s="6">
        <v>0</v>
      </c>
      <c r="K2029" s="6">
        <v>0</v>
      </c>
      <c r="L2029" s="6">
        <v>1.28</v>
      </c>
      <c r="M2029" s="6">
        <v>1.28</v>
      </c>
      <c r="N2029" s="6">
        <v>1.28</v>
      </c>
      <c r="O2029" s="6">
        <v>1.28</v>
      </c>
      <c r="P2029" s="6">
        <v>0</v>
      </c>
      <c r="Q2029" s="4" t="s">
        <v>26</v>
      </c>
      <c r="R2029" s="4">
        <v>0</v>
      </c>
      <c r="S2029" s="6">
        <v>0</v>
      </c>
      <c r="T2029" s="6">
        <v>71</v>
      </c>
      <c r="U2029" s="6">
        <v>114</v>
      </c>
      <c r="V2029" s="6">
        <f>IF(ISERROR(VLOOKUP($S$2029,'TAR FIN'!$A$1:$O$120,15,0)),0,VLOOKUP($S$2029,'TAR FIN'!$A$1:$O$120,15,0))</f>
        <v>0</v>
      </c>
      <c r="W2029" s="6">
        <f>IF(ISERROR(VLOOKUP($T$2029,'TAR FIN'!$A$1:$O$120,15,0)),0,VLOOKUP($T$2029,'TAR FIN'!$A$1:$O$120,15,0))</f>
        <v>374.6</v>
      </c>
      <c r="X2029" s="6">
        <f>IF(ISERROR(VLOOKUP($U$2029,'TAR FIN'!$A$1:$O$120,15,0)),0,VLOOKUP($U$2029,'TAR FIN'!$A$1:$O$120,15,0))</f>
        <v>256.38</v>
      </c>
      <c r="Y2029" s="6"/>
      <c r="Z2029" s="6">
        <f ca="1">('TUSD BE'!$AM$81+'TUSD BF'!$AM$81+'TUSD CVA'!$AM$81)*1</f>
        <v>419.89752571617748</v>
      </c>
      <c r="AA2029" s="6">
        <f>('TE BE'!$AA$45+'TE BF'!$AA$45+'TE CVA'!$AA$45)*1</f>
        <v>230.83420940933817</v>
      </c>
      <c r="AB2029" s="6">
        <f>$K$2029*$V$2029</f>
        <v>0</v>
      </c>
      <c r="AC2029" s="6">
        <f>$M$2029*$W$2029</f>
        <v>479.48800000000006</v>
      </c>
      <c r="AD2029" s="6">
        <f>$O$2029*$X$2029</f>
        <v>328.16640000000001</v>
      </c>
      <c r="AE2029" s="6">
        <f>$K$2029*$Y$2029</f>
        <v>0</v>
      </c>
      <c r="AF2029" s="6">
        <f ca="1">$M$2029*$Z$2029</f>
        <v>537.46883291670724</v>
      </c>
      <c r="AG2029" s="6">
        <f>$O$2029*$AA$2029</f>
        <v>295.46778804395285</v>
      </c>
    </row>
    <row r="2030" spans="1:33" ht="11.25" customHeight="1" x14ac:dyDescent="0.25">
      <c r="A2030" s="4" t="s">
        <v>21</v>
      </c>
      <c r="B2030" s="4" t="s">
        <v>39</v>
      </c>
      <c r="C2030" s="4" t="s">
        <v>37</v>
      </c>
      <c r="D2030" s="4" t="s">
        <v>42</v>
      </c>
      <c r="E2030" s="4" t="s">
        <v>25</v>
      </c>
      <c r="F2030" s="4" t="s">
        <v>25</v>
      </c>
      <c r="G2030" s="4" t="s">
        <v>25</v>
      </c>
      <c r="H2030" s="4" t="s">
        <v>38</v>
      </c>
      <c r="I2030" s="5">
        <v>43831</v>
      </c>
      <c r="J2030" s="6">
        <v>0</v>
      </c>
      <c r="K2030" s="6">
        <v>0</v>
      </c>
      <c r="L2030" s="6">
        <v>16.927</v>
      </c>
      <c r="M2030" s="6">
        <v>16.927</v>
      </c>
      <c r="N2030" s="6">
        <v>16.927</v>
      </c>
      <c r="O2030" s="6">
        <v>16.927</v>
      </c>
      <c r="P2030" s="6">
        <v>0</v>
      </c>
      <c r="Q2030" s="4" t="s">
        <v>26</v>
      </c>
      <c r="R2030" s="4">
        <v>0</v>
      </c>
      <c r="S2030" s="6">
        <v>0</v>
      </c>
      <c r="T2030" s="6">
        <v>71</v>
      </c>
      <c r="U2030" s="6">
        <v>114</v>
      </c>
      <c r="V2030" s="6">
        <f>IF(ISERROR(VLOOKUP($S$2030,'TAR FIN'!$A$1:$O$120,15,0)),0,VLOOKUP($S$2030,'TAR FIN'!$A$1:$O$120,15,0))</f>
        <v>0</v>
      </c>
      <c r="W2030" s="6">
        <f>IF(ISERROR(VLOOKUP($T$2030,'TAR FIN'!$A$1:$O$120,15,0)),0,VLOOKUP($T$2030,'TAR FIN'!$A$1:$O$120,15,0))</f>
        <v>374.6</v>
      </c>
      <c r="X2030" s="6">
        <f>IF(ISERROR(VLOOKUP($U$2030,'TAR FIN'!$A$1:$O$120,15,0)),0,VLOOKUP($U$2030,'TAR FIN'!$A$1:$O$120,15,0))</f>
        <v>256.38</v>
      </c>
      <c r="Y2030" s="6"/>
      <c r="Z2030" s="6">
        <f ca="1">('TUSD BE'!$AM$81+'TUSD BF'!$AM$81+'TUSD CVA'!$AM$81)*1</f>
        <v>419.89752571617748</v>
      </c>
      <c r="AA2030" s="6">
        <f>('TE BE'!$AA$45+'TE BF'!$AA$45+'TE CVA'!$AA$45)*1</f>
        <v>230.83420940933817</v>
      </c>
      <c r="AB2030" s="6">
        <f>$K$2030*$V$2030</f>
        <v>0</v>
      </c>
      <c r="AC2030" s="6">
        <f>$M$2030*$W$2030</f>
        <v>6340.8542000000007</v>
      </c>
      <c r="AD2030" s="6">
        <f>$O$2030*$X$2030</f>
        <v>4339.7442599999995</v>
      </c>
      <c r="AE2030" s="6">
        <f>$K$2030*$Y$2030</f>
        <v>0</v>
      </c>
      <c r="AF2030" s="6">
        <f ca="1">$M$2030*$Z$2030</f>
        <v>7107.6054177977358</v>
      </c>
      <c r="AG2030" s="6">
        <f>$O$2030*$AA$2030</f>
        <v>3907.3306626718672</v>
      </c>
    </row>
    <row r="2031" spans="1:33" ht="11.25" customHeight="1" x14ac:dyDescent="0.25">
      <c r="A2031" s="4" t="s">
        <v>27</v>
      </c>
      <c r="B2031" s="4" t="s">
        <v>39</v>
      </c>
      <c r="C2031" s="4" t="s">
        <v>37</v>
      </c>
      <c r="D2031" s="4" t="s">
        <v>42</v>
      </c>
      <c r="E2031" s="4" t="s">
        <v>25</v>
      </c>
      <c r="F2031" s="4" t="s">
        <v>25</v>
      </c>
      <c r="G2031" s="4" t="s">
        <v>25</v>
      </c>
      <c r="H2031" s="4" t="s">
        <v>38</v>
      </c>
      <c r="I2031" s="5">
        <v>43831</v>
      </c>
      <c r="J2031" s="6">
        <v>0</v>
      </c>
      <c r="K2031" s="6">
        <v>0</v>
      </c>
      <c r="L2031" s="6">
        <v>0.30499999999999999</v>
      </c>
      <c r="M2031" s="6">
        <v>0.30499999999999999</v>
      </c>
      <c r="N2031" s="6">
        <v>0.30499999999999999</v>
      </c>
      <c r="O2031" s="6">
        <v>0.30499999999999999</v>
      </c>
      <c r="P2031" s="6">
        <v>0</v>
      </c>
      <c r="Q2031" s="4" t="s">
        <v>26</v>
      </c>
      <c r="R2031" s="4">
        <v>0</v>
      </c>
      <c r="S2031" s="6">
        <v>0</v>
      </c>
      <c r="T2031" s="6">
        <v>71</v>
      </c>
      <c r="U2031" s="6">
        <v>114</v>
      </c>
      <c r="V2031" s="6">
        <f>IF(ISERROR(VLOOKUP($S$2031,'TAR FIN'!$A$1:$O$120,15,0)),0,VLOOKUP($S$2031,'TAR FIN'!$A$1:$O$120,15,0))</f>
        <v>0</v>
      </c>
      <c r="W2031" s="6">
        <f>IF(ISERROR(VLOOKUP($T$2031,'TAR FIN'!$A$1:$O$120,15,0)),0,VLOOKUP($T$2031,'TAR FIN'!$A$1:$O$120,15,0))</f>
        <v>374.6</v>
      </c>
      <c r="X2031" s="6">
        <f>IF(ISERROR(VLOOKUP($U$2031,'TAR FIN'!$A$1:$O$120,15,0)),0,VLOOKUP($U$2031,'TAR FIN'!$A$1:$O$120,15,0))</f>
        <v>256.38</v>
      </c>
      <c r="Y2031" s="6"/>
      <c r="Z2031" s="6">
        <f ca="1">('TUSD BE'!$AM$81+'TUSD BF'!$AM$81+'TUSD CVA'!$AM$81)*1</f>
        <v>419.89752571617748</v>
      </c>
      <c r="AA2031" s="6">
        <f>('TE BE'!$AA$45+'TE BF'!$AA$45+'TE CVA'!$AA$45)*1</f>
        <v>230.83420940933817</v>
      </c>
      <c r="AB2031" s="6">
        <f>$K$2031*$V$2031</f>
        <v>0</v>
      </c>
      <c r="AC2031" s="6">
        <f>$M$2031*$W$2031</f>
        <v>114.253</v>
      </c>
      <c r="AD2031" s="6">
        <f>$O$2031*$X$2031</f>
        <v>78.195899999999995</v>
      </c>
      <c r="AE2031" s="6">
        <f>$K$2031*$Y$2031</f>
        <v>0</v>
      </c>
      <c r="AF2031" s="6">
        <f ca="1">$M$2031*$Z$2031</f>
        <v>128.06874534343413</v>
      </c>
      <c r="AG2031" s="6">
        <f>$O$2031*$AA$2031</f>
        <v>70.404433869848134</v>
      </c>
    </row>
    <row r="2032" spans="1:33" ht="11.25" customHeight="1" x14ac:dyDescent="0.25">
      <c r="A2032" s="4" t="s">
        <v>21</v>
      </c>
      <c r="B2032" s="4" t="s">
        <v>39</v>
      </c>
      <c r="C2032" s="4" t="s">
        <v>37</v>
      </c>
      <c r="D2032" s="4" t="s">
        <v>42</v>
      </c>
      <c r="E2032" s="4" t="s">
        <v>25</v>
      </c>
      <c r="F2032" s="4" t="s">
        <v>25</v>
      </c>
      <c r="G2032" s="4" t="s">
        <v>25</v>
      </c>
      <c r="H2032" s="4" t="s">
        <v>38</v>
      </c>
      <c r="I2032" s="5">
        <v>43862</v>
      </c>
      <c r="J2032" s="6">
        <v>0</v>
      </c>
      <c r="K2032" s="6">
        <v>0</v>
      </c>
      <c r="L2032" s="6">
        <v>22.152999999999999</v>
      </c>
      <c r="M2032" s="6">
        <v>22.152999999999999</v>
      </c>
      <c r="N2032" s="6">
        <v>22.152999999999999</v>
      </c>
      <c r="O2032" s="6">
        <v>22.152999999999999</v>
      </c>
      <c r="P2032" s="6">
        <v>0</v>
      </c>
      <c r="Q2032" s="4" t="s">
        <v>26</v>
      </c>
      <c r="R2032" s="4">
        <v>0</v>
      </c>
      <c r="S2032" s="6">
        <v>0</v>
      </c>
      <c r="T2032" s="6">
        <v>71</v>
      </c>
      <c r="U2032" s="6">
        <v>114</v>
      </c>
      <c r="V2032" s="6">
        <f>IF(ISERROR(VLOOKUP($S$2032,'TAR FIN'!$A$1:$O$120,15,0)),0,VLOOKUP($S$2032,'TAR FIN'!$A$1:$O$120,15,0))</f>
        <v>0</v>
      </c>
      <c r="W2032" s="6">
        <f>IF(ISERROR(VLOOKUP($T$2032,'TAR FIN'!$A$1:$O$120,15,0)),0,VLOOKUP($T$2032,'TAR FIN'!$A$1:$O$120,15,0))</f>
        <v>374.6</v>
      </c>
      <c r="X2032" s="6">
        <f>IF(ISERROR(VLOOKUP($U$2032,'TAR FIN'!$A$1:$O$120,15,0)),0,VLOOKUP($U$2032,'TAR FIN'!$A$1:$O$120,15,0))</f>
        <v>256.38</v>
      </c>
      <c r="Y2032" s="6"/>
      <c r="Z2032" s="6">
        <f ca="1">('TUSD BE'!$AM$81+'TUSD BF'!$AM$81+'TUSD CVA'!$AM$81)*1</f>
        <v>419.89752571617748</v>
      </c>
      <c r="AA2032" s="6">
        <f>('TE BE'!$AA$45+'TE BF'!$AA$45+'TE CVA'!$AA$45)*1</f>
        <v>230.83420940933817</v>
      </c>
      <c r="AB2032" s="6">
        <f>$K$2032*$V$2032</f>
        <v>0</v>
      </c>
      <c r="AC2032" s="6">
        <f>$M$2032*$W$2032</f>
        <v>8298.5138000000006</v>
      </c>
      <c r="AD2032" s="6">
        <f>$O$2032*$X$2032</f>
        <v>5679.5861399999994</v>
      </c>
      <c r="AE2032" s="6">
        <f>$K$2032*$Y$2032</f>
        <v>0</v>
      </c>
      <c r="AF2032" s="6">
        <f ca="1">$M$2032*$Z$2032</f>
        <v>9301.9898871904788</v>
      </c>
      <c r="AG2032" s="6">
        <f>$O$2032*$AA$2032</f>
        <v>5113.670241045068</v>
      </c>
    </row>
    <row r="2033" spans="1:33" ht="11.25" customHeight="1" x14ac:dyDescent="0.25">
      <c r="A2033" s="4" t="s">
        <v>27</v>
      </c>
      <c r="B2033" s="4" t="s">
        <v>39</v>
      </c>
      <c r="C2033" s="4" t="s">
        <v>37</v>
      </c>
      <c r="D2033" s="4" t="s">
        <v>42</v>
      </c>
      <c r="E2033" s="4" t="s">
        <v>25</v>
      </c>
      <c r="F2033" s="4" t="s">
        <v>25</v>
      </c>
      <c r="G2033" s="4" t="s">
        <v>25</v>
      </c>
      <c r="H2033" s="4" t="s">
        <v>38</v>
      </c>
      <c r="I2033" s="5">
        <v>43862</v>
      </c>
      <c r="J2033" s="6">
        <v>0</v>
      </c>
      <c r="K2033" s="6">
        <v>0</v>
      </c>
      <c r="L2033" s="6">
        <v>0.94499999999999995</v>
      </c>
      <c r="M2033" s="6">
        <v>0.94499999999999995</v>
      </c>
      <c r="N2033" s="6">
        <v>0.94499999999999995</v>
      </c>
      <c r="O2033" s="6">
        <v>0.94499999999999995</v>
      </c>
      <c r="P2033" s="6">
        <v>0</v>
      </c>
      <c r="Q2033" s="4" t="s">
        <v>26</v>
      </c>
      <c r="R2033" s="4">
        <v>0</v>
      </c>
      <c r="S2033" s="6">
        <v>0</v>
      </c>
      <c r="T2033" s="6">
        <v>71</v>
      </c>
      <c r="U2033" s="6">
        <v>114</v>
      </c>
      <c r="V2033" s="6">
        <f>IF(ISERROR(VLOOKUP($S$2033,'TAR FIN'!$A$1:$O$120,15,0)),0,VLOOKUP($S$2033,'TAR FIN'!$A$1:$O$120,15,0))</f>
        <v>0</v>
      </c>
      <c r="W2033" s="6">
        <f>IF(ISERROR(VLOOKUP($T$2033,'TAR FIN'!$A$1:$O$120,15,0)),0,VLOOKUP($T$2033,'TAR FIN'!$A$1:$O$120,15,0))</f>
        <v>374.6</v>
      </c>
      <c r="X2033" s="6">
        <f>IF(ISERROR(VLOOKUP($U$2033,'TAR FIN'!$A$1:$O$120,15,0)),0,VLOOKUP($U$2033,'TAR FIN'!$A$1:$O$120,15,0))</f>
        <v>256.38</v>
      </c>
      <c r="Y2033" s="6"/>
      <c r="Z2033" s="6">
        <f ca="1">('TUSD BE'!$AM$81+'TUSD BF'!$AM$81+'TUSD CVA'!$AM$81)*1</f>
        <v>419.89752571617748</v>
      </c>
      <c r="AA2033" s="6">
        <f>('TE BE'!$AA$45+'TE BF'!$AA$45+'TE CVA'!$AA$45)*1</f>
        <v>230.83420940933817</v>
      </c>
      <c r="AB2033" s="6">
        <f>$K$2033*$V$2033</f>
        <v>0</v>
      </c>
      <c r="AC2033" s="6">
        <f>$M$2033*$W$2033</f>
        <v>353.99700000000001</v>
      </c>
      <c r="AD2033" s="6">
        <f>$O$2033*$X$2033</f>
        <v>242.27909999999997</v>
      </c>
      <c r="AE2033" s="6">
        <f>$K$2033*$Y$2033</f>
        <v>0</v>
      </c>
      <c r="AF2033" s="6">
        <f ca="1">$M$2033*$Z$2033</f>
        <v>396.80316180178772</v>
      </c>
      <c r="AG2033" s="6">
        <f>$O$2033*$AA$2033</f>
        <v>218.13832789182456</v>
      </c>
    </row>
    <row r="2034" spans="1:33" ht="11.25" customHeight="1" x14ac:dyDescent="0.25">
      <c r="A2034" s="4" t="s">
        <v>21</v>
      </c>
      <c r="B2034" s="4" t="s">
        <v>39</v>
      </c>
      <c r="C2034" s="4" t="s">
        <v>37</v>
      </c>
      <c r="D2034" s="4" t="s">
        <v>42</v>
      </c>
      <c r="E2034" s="4" t="s">
        <v>25</v>
      </c>
      <c r="F2034" s="4" t="s">
        <v>25</v>
      </c>
      <c r="G2034" s="4" t="s">
        <v>25</v>
      </c>
      <c r="H2034" s="4" t="s">
        <v>38</v>
      </c>
      <c r="I2034" s="5">
        <v>43891</v>
      </c>
      <c r="J2034" s="6">
        <v>0</v>
      </c>
      <c r="K2034" s="6">
        <v>0</v>
      </c>
      <c r="L2034" s="6">
        <v>19.853000000000002</v>
      </c>
      <c r="M2034" s="6">
        <v>19.853000000000002</v>
      </c>
      <c r="N2034" s="6">
        <v>19.853000000000002</v>
      </c>
      <c r="O2034" s="6">
        <v>19.853000000000002</v>
      </c>
      <c r="P2034" s="6">
        <v>0</v>
      </c>
      <c r="Q2034" s="4" t="s">
        <v>26</v>
      </c>
      <c r="R2034" s="4">
        <v>0</v>
      </c>
      <c r="S2034" s="6">
        <v>0</v>
      </c>
      <c r="T2034" s="6">
        <v>71</v>
      </c>
      <c r="U2034" s="6">
        <v>114</v>
      </c>
      <c r="V2034" s="6">
        <f>IF(ISERROR(VLOOKUP($S$2034,'TAR FIN'!$A$1:$O$120,15,0)),0,VLOOKUP($S$2034,'TAR FIN'!$A$1:$O$120,15,0))</f>
        <v>0</v>
      </c>
      <c r="W2034" s="6">
        <f>IF(ISERROR(VLOOKUP($T$2034,'TAR FIN'!$A$1:$O$120,15,0)),0,VLOOKUP($T$2034,'TAR FIN'!$A$1:$O$120,15,0))</f>
        <v>374.6</v>
      </c>
      <c r="X2034" s="6">
        <f>IF(ISERROR(VLOOKUP($U$2034,'TAR FIN'!$A$1:$O$120,15,0)),0,VLOOKUP($U$2034,'TAR FIN'!$A$1:$O$120,15,0))</f>
        <v>256.38</v>
      </c>
      <c r="Y2034" s="6"/>
      <c r="Z2034" s="6">
        <f ca="1">('TUSD BE'!$AM$81+'TUSD BF'!$AM$81+'TUSD CVA'!$AM$81)*1</f>
        <v>419.89752571617748</v>
      </c>
      <c r="AA2034" s="6">
        <f>('TE BE'!$AA$45+'TE BF'!$AA$45+'TE CVA'!$AA$45)*1</f>
        <v>230.83420940933817</v>
      </c>
      <c r="AB2034" s="6">
        <f>$K$2034*$V$2034</f>
        <v>0</v>
      </c>
      <c r="AC2034" s="6">
        <f>$M$2034*$W$2034</f>
        <v>7436.9338000000007</v>
      </c>
      <c r="AD2034" s="6">
        <f>$O$2034*$X$2034</f>
        <v>5089.9121400000004</v>
      </c>
      <c r="AE2034" s="6">
        <f>$K$2034*$Y$2034</f>
        <v>0</v>
      </c>
      <c r="AF2034" s="6">
        <f ca="1">$M$2034*$Z$2034</f>
        <v>8336.2255780432715</v>
      </c>
      <c r="AG2034" s="6">
        <f>$O$2034*$AA$2034</f>
        <v>4582.7515594035913</v>
      </c>
    </row>
    <row r="2035" spans="1:33" ht="11.25" customHeight="1" x14ac:dyDescent="0.25">
      <c r="A2035" s="4" t="s">
        <v>27</v>
      </c>
      <c r="B2035" s="4" t="s">
        <v>39</v>
      </c>
      <c r="C2035" s="4" t="s">
        <v>37</v>
      </c>
      <c r="D2035" s="4" t="s">
        <v>42</v>
      </c>
      <c r="E2035" s="4" t="s">
        <v>25</v>
      </c>
      <c r="F2035" s="4" t="s">
        <v>25</v>
      </c>
      <c r="G2035" s="4" t="s">
        <v>25</v>
      </c>
      <c r="H2035" s="4" t="s">
        <v>38</v>
      </c>
      <c r="I2035" s="5">
        <v>43891</v>
      </c>
      <c r="J2035" s="6">
        <v>0</v>
      </c>
      <c r="K2035" s="6">
        <v>0</v>
      </c>
      <c r="L2035" s="6">
        <v>0.66</v>
      </c>
      <c r="M2035" s="6">
        <v>0.66</v>
      </c>
      <c r="N2035" s="6">
        <v>0.66</v>
      </c>
      <c r="O2035" s="6">
        <v>0.66</v>
      </c>
      <c r="P2035" s="6">
        <v>0</v>
      </c>
      <c r="Q2035" s="4" t="s">
        <v>26</v>
      </c>
      <c r="R2035" s="4">
        <v>0</v>
      </c>
      <c r="S2035" s="6">
        <v>0</v>
      </c>
      <c r="T2035" s="6">
        <v>71</v>
      </c>
      <c r="U2035" s="6">
        <v>114</v>
      </c>
      <c r="V2035" s="6">
        <f>IF(ISERROR(VLOOKUP($S$2035,'TAR FIN'!$A$1:$O$120,15,0)),0,VLOOKUP($S$2035,'TAR FIN'!$A$1:$O$120,15,0))</f>
        <v>0</v>
      </c>
      <c r="W2035" s="6">
        <f>IF(ISERROR(VLOOKUP($T$2035,'TAR FIN'!$A$1:$O$120,15,0)),0,VLOOKUP($T$2035,'TAR FIN'!$A$1:$O$120,15,0))</f>
        <v>374.6</v>
      </c>
      <c r="X2035" s="6">
        <f>IF(ISERROR(VLOOKUP($U$2035,'TAR FIN'!$A$1:$O$120,15,0)),0,VLOOKUP($U$2035,'TAR FIN'!$A$1:$O$120,15,0))</f>
        <v>256.38</v>
      </c>
      <c r="Y2035" s="6"/>
      <c r="Z2035" s="6">
        <f ca="1">('TUSD BE'!$AM$81+'TUSD BF'!$AM$81+'TUSD CVA'!$AM$81)*1</f>
        <v>419.89752571617748</v>
      </c>
      <c r="AA2035" s="6">
        <f>('TE BE'!$AA$45+'TE BF'!$AA$45+'TE CVA'!$AA$45)*1</f>
        <v>230.83420940933817</v>
      </c>
      <c r="AB2035" s="6">
        <f>$K$2035*$V$2035</f>
        <v>0</v>
      </c>
      <c r="AC2035" s="6">
        <f>$M$2035*$W$2035</f>
        <v>247.23600000000002</v>
      </c>
      <c r="AD2035" s="6">
        <f>$O$2035*$X$2035</f>
        <v>169.21080000000001</v>
      </c>
      <c r="AE2035" s="6">
        <f>$K$2035*$Y$2035</f>
        <v>0</v>
      </c>
      <c r="AF2035" s="6">
        <f ca="1">$M$2035*$Z$2035</f>
        <v>277.13236697267718</v>
      </c>
      <c r="AG2035" s="6">
        <f>$O$2035*$AA$2035</f>
        <v>152.35057821016321</v>
      </c>
    </row>
    <row r="2036" spans="1:33" ht="11.25" customHeight="1" x14ac:dyDescent="0.25">
      <c r="A2036" s="4" t="s">
        <v>21</v>
      </c>
      <c r="B2036" s="4" t="s">
        <v>39</v>
      </c>
      <c r="C2036" s="4" t="s">
        <v>37</v>
      </c>
      <c r="D2036" s="4" t="s">
        <v>42</v>
      </c>
      <c r="E2036" s="4" t="s">
        <v>25</v>
      </c>
      <c r="F2036" s="4" t="s">
        <v>25</v>
      </c>
      <c r="G2036" s="4" t="s">
        <v>25</v>
      </c>
      <c r="H2036" s="4" t="s">
        <v>38</v>
      </c>
      <c r="I2036" s="5">
        <v>43922</v>
      </c>
      <c r="J2036" s="6">
        <v>0</v>
      </c>
      <c r="K2036" s="6">
        <v>0</v>
      </c>
      <c r="L2036" s="6">
        <v>17.064</v>
      </c>
      <c r="M2036" s="6">
        <v>17.064</v>
      </c>
      <c r="N2036" s="6">
        <v>17.064</v>
      </c>
      <c r="O2036" s="6">
        <v>17.064</v>
      </c>
      <c r="P2036" s="6">
        <v>0</v>
      </c>
      <c r="Q2036" s="4" t="s">
        <v>26</v>
      </c>
      <c r="R2036" s="4">
        <v>0</v>
      </c>
      <c r="S2036" s="6">
        <v>0</v>
      </c>
      <c r="T2036" s="6">
        <v>71</v>
      </c>
      <c r="U2036" s="6">
        <v>114</v>
      </c>
      <c r="V2036" s="6">
        <f>IF(ISERROR(VLOOKUP($S$2036,'TAR FIN'!$A$1:$O$120,15,0)),0,VLOOKUP($S$2036,'TAR FIN'!$A$1:$O$120,15,0))</f>
        <v>0</v>
      </c>
      <c r="W2036" s="6">
        <f>IF(ISERROR(VLOOKUP($T$2036,'TAR FIN'!$A$1:$O$120,15,0)),0,VLOOKUP($T$2036,'TAR FIN'!$A$1:$O$120,15,0))</f>
        <v>374.6</v>
      </c>
      <c r="X2036" s="6">
        <f>IF(ISERROR(VLOOKUP($U$2036,'TAR FIN'!$A$1:$O$120,15,0)),0,VLOOKUP($U$2036,'TAR FIN'!$A$1:$O$120,15,0))</f>
        <v>256.38</v>
      </c>
      <c r="Y2036" s="6"/>
      <c r="Z2036" s="6">
        <f ca="1">('TUSD BE'!$AM$81+'TUSD BF'!$AM$81+'TUSD CVA'!$AM$81)*1</f>
        <v>419.89752571617748</v>
      </c>
      <c r="AA2036" s="6">
        <f>('TE BE'!$AA$45+'TE BF'!$AA$45+'TE CVA'!$AA$45)*1</f>
        <v>230.83420940933817</v>
      </c>
      <c r="AB2036" s="6">
        <f>$K$2036*$V$2036</f>
        <v>0</v>
      </c>
      <c r="AC2036" s="6">
        <f>$M$2036*$W$2036</f>
        <v>6392.1744000000008</v>
      </c>
      <c r="AD2036" s="6">
        <f>$O$2036*$X$2036</f>
        <v>4374.8683199999996</v>
      </c>
      <c r="AE2036" s="6">
        <f>$K$2036*$Y$2036</f>
        <v>0</v>
      </c>
      <c r="AF2036" s="6">
        <f ca="1">$M$2036*$Z$2036</f>
        <v>7165.1313788208527</v>
      </c>
      <c r="AG2036" s="6">
        <f>$O$2036*$AA$2036</f>
        <v>3938.9549493609466</v>
      </c>
    </row>
    <row r="2037" spans="1:33" ht="11.25" customHeight="1" x14ac:dyDescent="0.25">
      <c r="A2037" s="4" t="s">
        <v>27</v>
      </c>
      <c r="B2037" s="4" t="s">
        <v>39</v>
      </c>
      <c r="C2037" s="4" t="s">
        <v>37</v>
      </c>
      <c r="D2037" s="4" t="s">
        <v>42</v>
      </c>
      <c r="E2037" s="4" t="s">
        <v>25</v>
      </c>
      <c r="F2037" s="4" t="s">
        <v>25</v>
      </c>
      <c r="G2037" s="4" t="s">
        <v>25</v>
      </c>
      <c r="H2037" s="4" t="s">
        <v>38</v>
      </c>
      <c r="I2037" s="5">
        <v>43922</v>
      </c>
      <c r="J2037" s="6">
        <v>0</v>
      </c>
      <c r="K2037" s="6">
        <v>0</v>
      </c>
      <c r="L2037" s="6">
        <v>0.42199999999999999</v>
      </c>
      <c r="M2037" s="6">
        <v>0.42199999999999999</v>
      </c>
      <c r="N2037" s="6">
        <v>0.42199999999999999</v>
      </c>
      <c r="O2037" s="6">
        <v>0.42199999999999999</v>
      </c>
      <c r="P2037" s="6">
        <v>0</v>
      </c>
      <c r="Q2037" s="4" t="s">
        <v>26</v>
      </c>
      <c r="R2037" s="4">
        <v>0</v>
      </c>
      <c r="S2037" s="6">
        <v>0</v>
      </c>
      <c r="T2037" s="6">
        <v>71</v>
      </c>
      <c r="U2037" s="6">
        <v>114</v>
      </c>
      <c r="V2037" s="6">
        <f>IF(ISERROR(VLOOKUP($S$2037,'TAR FIN'!$A$1:$O$120,15,0)),0,VLOOKUP($S$2037,'TAR FIN'!$A$1:$O$120,15,0))</f>
        <v>0</v>
      </c>
      <c r="W2037" s="6">
        <f>IF(ISERROR(VLOOKUP($T$2037,'TAR FIN'!$A$1:$O$120,15,0)),0,VLOOKUP($T$2037,'TAR FIN'!$A$1:$O$120,15,0))</f>
        <v>374.6</v>
      </c>
      <c r="X2037" s="6">
        <f>IF(ISERROR(VLOOKUP($U$2037,'TAR FIN'!$A$1:$O$120,15,0)),0,VLOOKUP($U$2037,'TAR FIN'!$A$1:$O$120,15,0))</f>
        <v>256.38</v>
      </c>
      <c r="Y2037" s="6"/>
      <c r="Z2037" s="6">
        <f ca="1">('TUSD BE'!$AM$81+'TUSD BF'!$AM$81+'TUSD CVA'!$AM$81)*1</f>
        <v>419.89752571617748</v>
      </c>
      <c r="AA2037" s="6">
        <f>('TE BE'!$AA$45+'TE BF'!$AA$45+'TE CVA'!$AA$45)*1</f>
        <v>230.83420940933817</v>
      </c>
      <c r="AB2037" s="6">
        <f>$K$2037*$V$2037</f>
        <v>0</v>
      </c>
      <c r="AC2037" s="6">
        <f>$M$2037*$W$2037</f>
        <v>158.0812</v>
      </c>
      <c r="AD2037" s="6">
        <f>$O$2037*$X$2037</f>
        <v>108.19235999999999</v>
      </c>
      <c r="AE2037" s="6">
        <f>$K$2037*$Y$2037</f>
        <v>0</v>
      </c>
      <c r="AF2037" s="6">
        <f ca="1">$M$2037*$Z$2037</f>
        <v>177.19675585222689</v>
      </c>
      <c r="AG2037" s="6">
        <f>$O$2037*$AA$2037</f>
        <v>97.412036370740708</v>
      </c>
    </row>
    <row r="2038" spans="1:33" ht="11.25" customHeight="1" x14ac:dyDescent="0.25">
      <c r="A2038" s="4" t="s">
        <v>21</v>
      </c>
      <c r="B2038" s="4" t="s">
        <v>39</v>
      </c>
      <c r="C2038" s="4" t="s">
        <v>37</v>
      </c>
      <c r="D2038" s="4" t="s">
        <v>42</v>
      </c>
      <c r="E2038" s="4" t="s">
        <v>25</v>
      </c>
      <c r="F2038" s="4" t="s">
        <v>25</v>
      </c>
      <c r="G2038" s="4" t="s">
        <v>25</v>
      </c>
      <c r="H2038" s="4" t="s">
        <v>38</v>
      </c>
      <c r="I2038" s="5">
        <v>43952</v>
      </c>
      <c r="J2038" s="6">
        <v>0</v>
      </c>
      <c r="K2038" s="6">
        <v>0</v>
      </c>
      <c r="L2038" s="6">
        <v>13.89</v>
      </c>
      <c r="M2038" s="6">
        <v>13.89</v>
      </c>
      <c r="N2038" s="6">
        <v>13.89</v>
      </c>
      <c r="O2038" s="6">
        <v>13.89</v>
      </c>
      <c r="P2038" s="6">
        <v>0</v>
      </c>
      <c r="Q2038" s="4" t="s">
        <v>26</v>
      </c>
      <c r="R2038" s="4">
        <v>0</v>
      </c>
      <c r="S2038" s="6">
        <v>0</v>
      </c>
      <c r="T2038" s="6">
        <v>71</v>
      </c>
      <c r="U2038" s="6">
        <v>114</v>
      </c>
      <c r="V2038" s="6">
        <f>IF(ISERROR(VLOOKUP($S$2038,'TAR FIN'!$A$1:$O$120,15,0)),0,VLOOKUP($S$2038,'TAR FIN'!$A$1:$O$120,15,0))</f>
        <v>0</v>
      </c>
      <c r="W2038" s="6">
        <f>IF(ISERROR(VLOOKUP($T$2038,'TAR FIN'!$A$1:$O$120,15,0)),0,VLOOKUP($T$2038,'TAR FIN'!$A$1:$O$120,15,0))</f>
        <v>374.6</v>
      </c>
      <c r="X2038" s="6">
        <f>IF(ISERROR(VLOOKUP($U$2038,'TAR FIN'!$A$1:$O$120,15,0)),0,VLOOKUP($U$2038,'TAR FIN'!$A$1:$O$120,15,0))</f>
        <v>256.38</v>
      </c>
      <c r="Y2038" s="6"/>
      <c r="Z2038" s="6">
        <f ca="1">('TUSD BE'!$AM$81+'TUSD BF'!$AM$81+'TUSD CVA'!$AM$81)*1</f>
        <v>419.89752571617748</v>
      </c>
      <c r="AA2038" s="6">
        <f>('TE BE'!$AA$45+'TE BF'!$AA$45+'TE CVA'!$AA$45)*1</f>
        <v>230.83420940933817</v>
      </c>
      <c r="AB2038" s="6">
        <f>$K$2038*$V$2038</f>
        <v>0</v>
      </c>
      <c r="AC2038" s="6">
        <f>$M$2038*$W$2038</f>
        <v>5203.1940000000004</v>
      </c>
      <c r="AD2038" s="6">
        <f>$O$2038*$X$2038</f>
        <v>3561.1181999999999</v>
      </c>
      <c r="AE2038" s="6">
        <f>$K$2038*$Y$2038</f>
        <v>0</v>
      </c>
      <c r="AF2038" s="6">
        <f ca="1">$M$2038*$Z$2038</f>
        <v>5832.3766321977055</v>
      </c>
      <c r="AG2038" s="6">
        <f>$O$2038*$AA$2038</f>
        <v>3206.2871686957074</v>
      </c>
    </row>
    <row r="2039" spans="1:33" ht="11.25" customHeight="1" x14ac:dyDescent="0.25">
      <c r="A2039" s="4" t="s">
        <v>27</v>
      </c>
      <c r="B2039" s="4" t="s">
        <v>39</v>
      </c>
      <c r="C2039" s="4" t="s">
        <v>37</v>
      </c>
      <c r="D2039" s="4" t="s">
        <v>42</v>
      </c>
      <c r="E2039" s="4" t="s">
        <v>25</v>
      </c>
      <c r="F2039" s="4" t="s">
        <v>25</v>
      </c>
      <c r="G2039" s="4" t="s">
        <v>25</v>
      </c>
      <c r="H2039" s="4" t="s">
        <v>38</v>
      </c>
      <c r="I2039" s="5">
        <v>43952</v>
      </c>
      <c r="J2039" s="6">
        <v>0</v>
      </c>
      <c r="K2039" s="6">
        <v>0</v>
      </c>
      <c r="L2039" s="6">
        <v>0.70199999999999996</v>
      </c>
      <c r="M2039" s="6">
        <v>0.70199999999999996</v>
      </c>
      <c r="N2039" s="6">
        <v>0.70199999999999996</v>
      </c>
      <c r="O2039" s="6">
        <v>0.70199999999999996</v>
      </c>
      <c r="P2039" s="6">
        <v>0</v>
      </c>
      <c r="Q2039" s="4" t="s">
        <v>26</v>
      </c>
      <c r="R2039" s="4">
        <v>0</v>
      </c>
      <c r="S2039" s="6">
        <v>0</v>
      </c>
      <c r="T2039" s="6">
        <v>71</v>
      </c>
      <c r="U2039" s="6">
        <v>114</v>
      </c>
      <c r="V2039" s="6">
        <f>IF(ISERROR(VLOOKUP($S$2039,'TAR FIN'!$A$1:$O$120,15,0)),0,VLOOKUP($S$2039,'TAR FIN'!$A$1:$O$120,15,0))</f>
        <v>0</v>
      </c>
      <c r="W2039" s="6">
        <f>IF(ISERROR(VLOOKUP($T$2039,'TAR FIN'!$A$1:$O$120,15,0)),0,VLOOKUP($T$2039,'TAR FIN'!$A$1:$O$120,15,0))</f>
        <v>374.6</v>
      </c>
      <c r="X2039" s="6">
        <f>IF(ISERROR(VLOOKUP($U$2039,'TAR FIN'!$A$1:$O$120,15,0)),0,VLOOKUP($U$2039,'TAR FIN'!$A$1:$O$120,15,0))</f>
        <v>256.38</v>
      </c>
      <c r="Y2039" s="6"/>
      <c r="Z2039" s="6">
        <f ca="1">('TUSD BE'!$AM$81+'TUSD BF'!$AM$81+'TUSD CVA'!$AM$81)*1</f>
        <v>419.89752571617748</v>
      </c>
      <c r="AA2039" s="6">
        <f>('TE BE'!$AA$45+'TE BF'!$AA$45+'TE CVA'!$AA$45)*1</f>
        <v>230.83420940933817</v>
      </c>
      <c r="AB2039" s="6">
        <f>$K$2039*$V$2039</f>
        <v>0</v>
      </c>
      <c r="AC2039" s="6">
        <f>$M$2039*$W$2039</f>
        <v>262.9692</v>
      </c>
      <c r="AD2039" s="6">
        <f>$O$2039*$X$2039</f>
        <v>179.97875999999999</v>
      </c>
      <c r="AE2039" s="6">
        <f>$K$2039*$Y$2039</f>
        <v>0</v>
      </c>
      <c r="AF2039" s="6">
        <f ca="1">$M$2039*$Z$2039</f>
        <v>294.76806305275659</v>
      </c>
      <c r="AG2039" s="6">
        <f>$O$2039*$AA$2039</f>
        <v>162.04561500535539</v>
      </c>
    </row>
    <row r="2040" spans="1:33" ht="11.25" customHeight="1" x14ac:dyDescent="0.25">
      <c r="A2040" s="4" t="s">
        <v>21</v>
      </c>
      <c r="B2040" s="4" t="s">
        <v>39</v>
      </c>
      <c r="C2040" s="4" t="s">
        <v>37</v>
      </c>
      <c r="D2040" s="4" t="s">
        <v>42</v>
      </c>
      <c r="E2040" s="4" t="s">
        <v>25</v>
      </c>
      <c r="F2040" s="4" t="s">
        <v>25</v>
      </c>
      <c r="G2040" s="4" t="s">
        <v>25</v>
      </c>
      <c r="H2040" s="4" t="s">
        <v>38</v>
      </c>
      <c r="I2040" s="5">
        <v>43983</v>
      </c>
      <c r="J2040" s="6">
        <v>0</v>
      </c>
      <c r="K2040" s="6">
        <v>0</v>
      </c>
      <c r="L2040" s="6">
        <v>109.244</v>
      </c>
      <c r="M2040" s="6">
        <v>109.244</v>
      </c>
      <c r="N2040" s="6">
        <v>109.244</v>
      </c>
      <c r="O2040" s="6">
        <v>109.244</v>
      </c>
      <c r="P2040" s="6">
        <v>0</v>
      </c>
      <c r="Q2040" s="4" t="s">
        <v>26</v>
      </c>
      <c r="R2040" s="4">
        <v>0</v>
      </c>
      <c r="S2040" s="6">
        <v>0</v>
      </c>
      <c r="T2040" s="6">
        <v>71</v>
      </c>
      <c r="U2040" s="6">
        <v>114</v>
      </c>
      <c r="V2040" s="6">
        <f>IF(ISERROR(VLOOKUP($S$2040,'TAR FIN'!$A$1:$O$120,15,0)),0,VLOOKUP($S$2040,'TAR FIN'!$A$1:$O$120,15,0))</f>
        <v>0</v>
      </c>
      <c r="W2040" s="6">
        <f>IF(ISERROR(VLOOKUP($T$2040,'TAR FIN'!$A$1:$O$120,15,0)),0,VLOOKUP($T$2040,'TAR FIN'!$A$1:$O$120,15,0))</f>
        <v>374.6</v>
      </c>
      <c r="X2040" s="6">
        <f>IF(ISERROR(VLOOKUP($U$2040,'TAR FIN'!$A$1:$O$120,15,0)),0,VLOOKUP($U$2040,'TAR FIN'!$A$1:$O$120,15,0))</f>
        <v>256.38</v>
      </c>
      <c r="Y2040" s="6"/>
      <c r="Z2040" s="6">
        <f ca="1">('TUSD BE'!$AM$81+'TUSD BF'!$AM$81+'TUSD CVA'!$AM$81)*1</f>
        <v>419.89752571617748</v>
      </c>
      <c r="AA2040" s="6">
        <f>('TE BE'!$AA$45+'TE BF'!$AA$45+'TE CVA'!$AA$45)*1</f>
        <v>230.83420940933817</v>
      </c>
      <c r="AB2040" s="6">
        <f>$K$2040*$V$2040</f>
        <v>0</v>
      </c>
      <c r="AC2040" s="6">
        <f>$M$2040*$W$2040</f>
        <v>40922.8024</v>
      </c>
      <c r="AD2040" s="6">
        <f>$O$2040*$X$2040</f>
        <v>28007.976719999999</v>
      </c>
      <c r="AE2040" s="6">
        <f>$K$2040*$Y$2040</f>
        <v>0</v>
      </c>
      <c r="AF2040" s="6">
        <f ca="1">$M$2040*$Z$2040</f>
        <v>45871.285299338095</v>
      </c>
      <c r="AG2040" s="6">
        <f>$O$2040*$AA$2040</f>
        <v>25217.252372713738</v>
      </c>
    </row>
    <row r="2041" spans="1:33" ht="11.25" customHeight="1" x14ac:dyDescent="0.25">
      <c r="A2041" s="4" t="s">
        <v>27</v>
      </c>
      <c r="B2041" s="4" t="s">
        <v>39</v>
      </c>
      <c r="C2041" s="4" t="s">
        <v>37</v>
      </c>
      <c r="D2041" s="4" t="s">
        <v>42</v>
      </c>
      <c r="E2041" s="4" t="s">
        <v>25</v>
      </c>
      <c r="F2041" s="4" t="s">
        <v>25</v>
      </c>
      <c r="G2041" s="4" t="s">
        <v>25</v>
      </c>
      <c r="H2041" s="4" t="s">
        <v>38</v>
      </c>
      <c r="I2041" s="5">
        <v>43983</v>
      </c>
      <c r="J2041" s="6">
        <v>0</v>
      </c>
      <c r="K2041" s="6">
        <v>0</v>
      </c>
      <c r="L2041" s="6">
        <v>0.15</v>
      </c>
      <c r="M2041" s="6">
        <v>0.15</v>
      </c>
      <c r="N2041" s="6">
        <v>0.15</v>
      </c>
      <c r="O2041" s="6">
        <v>0.15</v>
      </c>
      <c r="P2041" s="6">
        <v>0</v>
      </c>
      <c r="Q2041" s="4" t="s">
        <v>26</v>
      </c>
      <c r="R2041" s="4">
        <v>0</v>
      </c>
      <c r="S2041" s="6">
        <v>0</v>
      </c>
      <c r="T2041" s="6">
        <v>71</v>
      </c>
      <c r="U2041" s="6">
        <v>114</v>
      </c>
      <c r="V2041" s="6">
        <f>IF(ISERROR(VLOOKUP($S$2041,'TAR FIN'!$A$1:$O$120,15,0)),0,VLOOKUP($S$2041,'TAR FIN'!$A$1:$O$120,15,0))</f>
        <v>0</v>
      </c>
      <c r="W2041" s="6">
        <f>IF(ISERROR(VLOOKUP($T$2041,'TAR FIN'!$A$1:$O$120,15,0)),0,VLOOKUP($T$2041,'TAR FIN'!$A$1:$O$120,15,0))</f>
        <v>374.6</v>
      </c>
      <c r="X2041" s="6">
        <f>IF(ISERROR(VLOOKUP($U$2041,'TAR FIN'!$A$1:$O$120,15,0)),0,VLOOKUP($U$2041,'TAR FIN'!$A$1:$O$120,15,0))</f>
        <v>256.38</v>
      </c>
      <c r="Y2041" s="6"/>
      <c r="Z2041" s="6">
        <f ca="1">('TUSD BE'!$AM$81+'TUSD BF'!$AM$81+'TUSD CVA'!$AM$81)*1</f>
        <v>419.89752571617748</v>
      </c>
      <c r="AA2041" s="6">
        <f>('TE BE'!$AA$45+'TE BF'!$AA$45+'TE CVA'!$AA$45)*1</f>
        <v>230.83420940933817</v>
      </c>
      <c r="AB2041" s="6">
        <f>$K$2041*$V$2041</f>
        <v>0</v>
      </c>
      <c r="AC2041" s="6">
        <f>$M$2041*$W$2041</f>
        <v>56.190000000000005</v>
      </c>
      <c r="AD2041" s="6">
        <f>$O$2041*$X$2041</f>
        <v>38.457000000000001</v>
      </c>
      <c r="AE2041" s="6">
        <f>$K$2041*$Y$2041</f>
        <v>0</v>
      </c>
      <c r="AF2041" s="6">
        <f ca="1">$M$2041*$Z$2041</f>
        <v>62.984628857426621</v>
      </c>
      <c r="AG2041" s="6">
        <f>$O$2041*$AA$2041</f>
        <v>34.625131411400723</v>
      </c>
    </row>
    <row r="2042" spans="1:33" ht="11.25" customHeight="1" x14ac:dyDescent="0.25">
      <c r="A2042" s="4" t="s">
        <v>21</v>
      </c>
      <c r="B2042" s="4" t="s">
        <v>39</v>
      </c>
      <c r="C2042" s="4" t="s">
        <v>37</v>
      </c>
      <c r="D2042" s="4" t="s">
        <v>42</v>
      </c>
      <c r="E2042" s="4" t="s">
        <v>25</v>
      </c>
      <c r="F2042" s="4" t="s">
        <v>25</v>
      </c>
      <c r="G2042" s="4" t="s">
        <v>25</v>
      </c>
      <c r="H2042" s="4" t="s">
        <v>38</v>
      </c>
      <c r="I2042" s="5">
        <v>44013</v>
      </c>
      <c r="J2042" s="6">
        <v>0</v>
      </c>
      <c r="K2042" s="6">
        <v>0</v>
      </c>
      <c r="L2042" s="6">
        <v>118.586</v>
      </c>
      <c r="M2042" s="6">
        <v>118.586</v>
      </c>
      <c r="N2042" s="6">
        <v>118.586</v>
      </c>
      <c r="O2042" s="6">
        <v>118.586</v>
      </c>
      <c r="P2042" s="6">
        <v>0</v>
      </c>
      <c r="Q2042" s="4" t="s">
        <v>26</v>
      </c>
      <c r="R2042" s="4">
        <v>0</v>
      </c>
      <c r="S2042" s="6">
        <v>0</v>
      </c>
      <c r="T2042" s="6">
        <v>71</v>
      </c>
      <c r="U2042" s="6">
        <v>114</v>
      </c>
      <c r="V2042" s="6">
        <f>IF(ISERROR(VLOOKUP($S$2042,'TAR FIN'!$A$1:$O$120,15,0)),0,VLOOKUP($S$2042,'TAR FIN'!$A$1:$O$120,15,0))</f>
        <v>0</v>
      </c>
      <c r="W2042" s="6">
        <f>IF(ISERROR(VLOOKUP($T$2042,'TAR FIN'!$A$1:$O$120,15,0)),0,VLOOKUP($T$2042,'TAR FIN'!$A$1:$O$120,15,0))</f>
        <v>374.6</v>
      </c>
      <c r="X2042" s="6">
        <f>IF(ISERROR(VLOOKUP($U$2042,'TAR FIN'!$A$1:$O$120,15,0)),0,VLOOKUP($U$2042,'TAR FIN'!$A$1:$O$120,15,0))</f>
        <v>256.38</v>
      </c>
      <c r="Y2042" s="6"/>
      <c r="Z2042" s="6">
        <f ca="1">('TUSD BE'!$AM$81+'TUSD BF'!$AM$81+'TUSD CVA'!$AM$81)*1</f>
        <v>419.89752571617748</v>
      </c>
      <c r="AA2042" s="6">
        <f>('TE BE'!$AA$45+'TE BF'!$AA$45+'TE CVA'!$AA$45)*1</f>
        <v>230.83420940933817</v>
      </c>
      <c r="AB2042" s="6">
        <f>$K$2042*$V$2042</f>
        <v>0</v>
      </c>
      <c r="AC2042" s="6">
        <f>$M$2042*$W$2042</f>
        <v>44422.315600000002</v>
      </c>
      <c r="AD2042" s="6">
        <f>$O$2042*$X$2042</f>
        <v>30403.078679999999</v>
      </c>
      <c r="AE2042" s="6">
        <f>$K$2042*$Y$2042</f>
        <v>0</v>
      </c>
      <c r="AF2042" s="6">
        <f ca="1">$M$2042*$Z$2042</f>
        <v>49793.967984578623</v>
      </c>
      <c r="AG2042" s="6">
        <f>$O$2042*$AA$2042</f>
        <v>27373.705557015775</v>
      </c>
    </row>
    <row r="2043" spans="1:33" ht="11.25" customHeight="1" x14ac:dyDescent="0.25">
      <c r="A2043" s="4" t="s">
        <v>27</v>
      </c>
      <c r="B2043" s="4" t="s">
        <v>39</v>
      </c>
      <c r="C2043" s="4" t="s">
        <v>37</v>
      </c>
      <c r="D2043" s="4" t="s">
        <v>42</v>
      </c>
      <c r="E2043" s="4" t="s">
        <v>25</v>
      </c>
      <c r="F2043" s="4" t="s">
        <v>25</v>
      </c>
      <c r="G2043" s="4" t="s">
        <v>25</v>
      </c>
      <c r="H2043" s="4" t="s">
        <v>38</v>
      </c>
      <c r="I2043" s="5">
        <v>44013</v>
      </c>
      <c r="J2043" s="6">
        <v>0</v>
      </c>
      <c r="K2043" s="6">
        <v>0</v>
      </c>
      <c r="L2043" s="6">
        <v>0.27200000000000002</v>
      </c>
      <c r="M2043" s="6">
        <v>0.27200000000000002</v>
      </c>
      <c r="N2043" s="6">
        <v>0.27200000000000002</v>
      </c>
      <c r="O2043" s="6">
        <v>0.27200000000000002</v>
      </c>
      <c r="P2043" s="6">
        <v>0</v>
      </c>
      <c r="Q2043" s="4" t="s">
        <v>26</v>
      </c>
      <c r="R2043" s="4">
        <v>0</v>
      </c>
      <c r="S2043" s="6">
        <v>0</v>
      </c>
      <c r="T2043" s="6">
        <v>71</v>
      </c>
      <c r="U2043" s="6">
        <v>114</v>
      </c>
      <c r="V2043" s="6">
        <f>IF(ISERROR(VLOOKUP($S$2043,'TAR FIN'!$A$1:$O$120,15,0)),0,VLOOKUP($S$2043,'TAR FIN'!$A$1:$O$120,15,0))</f>
        <v>0</v>
      </c>
      <c r="W2043" s="6">
        <f>IF(ISERROR(VLOOKUP($T$2043,'TAR FIN'!$A$1:$O$120,15,0)),0,VLOOKUP($T$2043,'TAR FIN'!$A$1:$O$120,15,0))</f>
        <v>374.6</v>
      </c>
      <c r="X2043" s="6">
        <f>IF(ISERROR(VLOOKUP($U$2043,'TAR FIN'!$A$1:$O$120,15,0)),0,VLOOKUP($U$2043,'TAR FIN'!$A$1:$O$120,15,0))</f>
        <v>256.38</v>
      </c>
      <c r="Y2043" s="6"/>
      <c r="Z2043" s="6">
        <f ca="1">('TUSD BE'!$AM$81+'TUSD BF'!$AM$81+'TUSD CVA'!$AM$81)*1</f>
        <v>419.89752571617748</v>
      </c>
      <c r="AA2043" s="6">
        <f>('TE BE'!$AA$45+'TE BF'!$AA$45+'TE CVA'!$AA$45)*1</f>
        <v>230.83420940933817</v>
      </c>
      <c r="AB2043" s="6">
        <f>$K$2043*$V$2043</f>
        <v>0</v>
      </c>
      <c r="AC2043" s="6">
        <f>$M$2043*$W$2043</f>
        <v>101.89120000000001</v>
      </c>
      <c r="AD2043" s="6">
        <f>$O$2043*$X$2043</f>
        <v>69.73536</v>
      </c>
      <c r="AE2043" s="6">
        <f>$K$2043*$Y$2043</f>
        <v>0</v>
      </c>
      <c r="AF2043" s="6">
        <f ca="1">$M$2043*$Z$2043</f>
        <v>114.21212699480029</v>
      </c>
      <c r="AG2043" s="6">
        <f>$O$2043*$AA$2043</f>
        <v>62.786904959339985</v>
      </c>
    </row>
    <row r="2044" spans="1:33" ht="11.25" customHeight="1" x14ac:dyDescent="0.25">
      <c r="A2044" s="4" t="s">
        <v>27</v>
      </c>
      <c r="B2044" s="4" t="s">
        <v>39</v>
      </c>
      <c r="C2044" s="4" t="s">
        <v>37</v>
      </c>
      <c r="D2044" s="4" t="s">
        <v>42</v>
      </c>
      <c r="E2044" s="4" t="s">
        <v>25</v>
      </c>
      <c r="F2044" s="4" t="s">
        <v>25</v>
      </c>
      <c r="G2044" s="4" t="s">
        <v>25</v>
      </c>
      <c r="H2044" s="4" t="s">
        <v>38</v>
      </c>
      <c r="I2044" s="5">
        <v>44044</v>
      </c>
      <c r="J2044" s="6">
        <v>0</v>
      </c>
      <c r="K2044" s="6">
        <v>0</v>
      </c>
      <c r="L2044" s="6">
        <v>-183.06</v>
      </c>
      <c r="M2044" s="6">
        <v>-183.06</v>
      </c>
      <c r="N2044" s="6">
        <v>-183.06</v>
      </c>
      <c r="O2044" s="6">
        <v>-183.06</v>
      </c>
      <c r="P2044" s="6">
        <v>0</v>
      </c>
      <c r="Q2044" s="4" t="s">
        <v>26</v>
      </c>
      <c r="R2044" s="4">
        <v>0</v>
      </c>
      <c r="S2044" s="6">
        <v>0</v>
      </c>
      <c r="T2044" s="6">
        <v>71</v>
      </c>
      <c r="U2044" s="6">
        <v>114</v>
      </c>
      <c r="V2044" s="6">
        <f>IF(ISERROR(VLOOKUP($S$2044,'TAR FIN'!$A$1:$O$120,15,0)),0,VLOOKUP($S$2044,'TAR FIN'!$A$1:$O$120,15,0))</f>
        <v>0</v>
      </c>
      <c r="W2044" s="6">
        <f>IF(ISERROR(VLOOKUP($T$2044,'TAR FIN'!$A$1:$O$120,15,0)),0,VLOOKUP($T$2044,'TAR FIN'!$A$1:$O$120,15,0))</f>
        <v>374.6</v>
      </c>
      <c r="X2044" s="6">
        <f>IF(ISERROR(VLOOKUP($U$2044,'TAR FIN'!$A$1:$O$120,15,0)),0,VLOOKUP($U$2044,'TAR FIN'!$A$1:$O$120,15,0))</f>
        <v>256.38</v>
      </c>
      <c r="Y2044" s="6"/>
      <c r="Z2044" s="6">
        <f ca="1">('TUSD BE'!$AM$81+'TUSD BF'!$AM$81+'TUSD CVA'!$AM$81)*1</f>
        <v>419.89752571617748</v>
      </c>
      <c r="AA2044" s="6">
        <f>('TE BE'!$AA$45+'TE BF'!$AA$45+'TE CVA'!$AA$45)*1</f>
        <v>230.83420940933817</v>
      </c>
      <c r="AB2044" s="6">
        <f>$K$2044*$V$2044</f>
        <v>0</v>
      </c>
      <c r="AC2044" s="6">
        <f>$M$2044*$W$2044</f>
        <v>-68574.275999999998</v>
      </c>
      <c r="AD2044" s="6">
        <f>$O$2044*$X$2044</f>
        <v>-46932.9228</v>
      </c>
      <c r="AE2044" s="6">
        <f>$K$2044*$Y$2044</f>
        <v>0</v>
      </c>
      <c r="AF2044" s="6">
        <f ca="1">$M$2044*$Z$2044</f>
        <v>-76866.441057603457</v>
      </c>
      <c r="AG2044" s="6">
        <f>$O$2044*$AA$2044</f>
        <v>-42256.510374473444</v>
      </c>
    </row>
    <row r="2045" spans="1:33" ht="11.25" customHeight="1" x14ac:dyDescent="0.25">
      <c r="A2045" s="4" t="s">
        <v>59</v>
      </c>
      <c r="B2045" s="4" t="s">
        <v>39</v>
      </c>
      <c r="C2045" s="4" t="s">
        <v>37</v>
      </c>
      <c r="D2045" s="4" t="s">
        <v>42</v>
      </c>
      <c r="E2045" s="4" t="s">
        <v>25</v>
      </c>
      <c r="F2045" s="4" t="s">
        <v>25</v>
      </c>
      <c r="G2045" s="4" t="s">
        <v>25</v>
      </c>
      <c r="H2045" s="4" t="s">
        <v>38</v>
      </c>
      <c r="I2045" s="5">
        <v>44075</v>
      </c>
      <c r="J2045" s="6">
        <v>0</v>
      </c>
      <c r="K2045" s="6">
        <v>0</v>
      </c>
      <c r="L2045" s="6">
        <v>-183.06</v>
      </c>
      <c r="M2045" s="6">
        <v>-183.06</v>
      </c>
      <c r="N2045" s="6">
        <v>-183.06</v>
      </c>
      <c r="O2045" s="6">
        <v>-183.06</v>
      </c>
      <c r="P2045" s="6">
        <v>0</v>
      </c>
      <c r="Q2045" s="4" t="s">
        <v>26</v>
      </c>
      <c r="R2045" s="4">
        <v>0</v>
      </c>
      <c r="S2045" s="6">
        <v>0</v>
      </c>
      <c r="T2045" s="6">
        <v>71</v>
      </c>
      <c r="U2045" s="6">
        <v>114</v>
      </c>
      <c r="V2045" s="6">
        <f>IF(ISERROR(VLOOKUP($S$2045,'TAR FIN'!$A$1:$O$120,15,0)),0,VLOOKUP($S$2045,'TAR FIN'!$A$1:$O$120,15,0))</f>
        <v>0</v>
      </c>
      <c r="W2045" s="6">
        <f>IF(ISERROR(VLOOKUP($T$2045,'TAR FIN'!$A$1:$O$120,15,0)),0,VLOOKUP($T$2045,'TAR FIN'!$A$1:$O$120,15,0))</f>
        <v>374.6</v>
      </c>
      <c r="X2045" s="6">
        <f>IF(ISERROR(VLOOKUP($U$2045,'TAR FIN'!$A$1:$O$120,15,0)),0,VLOOKUP($U$2045,'TAR FIN'!$A$1:$O$120,15,0))</f>
        <v>256.38</v>
      </c>
      <c r="Y2045" s="6"/>
      <c r="Z2045" s="6">
        <f ca="1">('TUSD BE'!$AM$81+'TUSD BF'!$AM$81+'TUSD CVA'!$AM$81)*1</f>
        <v>419.89752571617748</v>
      </c>
      <c r="AA2045" s="6">
        <f>('TE BE'!$AA$45+'TE BF'!$AA$45+'TE CVA'!$AA$45)*1</f>
        <v>230.83420940933817</v>
      </c>
      <c r="AB2045" s="6">
        <f>$K$2045*$V$2045</f>
        <v>0</v>
      </c>
      <c r="AC2045" s="6">
        <f>$M$2045*$W$2045</f>
        <v>-68574.275999999998</v>
      </c>
      <c r="AD2045" s="6">
        <f>$O$2045*$X$2045</f>
        <v>-46932.9228</v>
      </c>
      <c r="AE2045" s="6">
        <f>$K$2045*$Y$2045</f>
        <v>0</v>
      </c>
      <c r="AF2045" s="6">
        <f ca="1">$M$2045*$Z$2045</f>
        <v>-76866.441057603457</v>
      </c>
      <c r="AG2045" s="6">
        <f>$O$2045*$AA$2045</f>
        <v>-42256.510374473444</v>
      </c>
    </row>
    <row r="2046" spans="1:33" ht="11.25" customHeight="1" x14ac:dyDescent="0.25">
      <c r="A2046" s="4" t="s">
        <v>21</v>
      </c>
      <c r="B2046" s="4" t="s">
        <v>39</v>
      </c>
      <c r="C2046" s="4" t="s">
        <v>37</v>
      </c>
      <c r="D2046" s="4" t="s">
        <v>42</v>
      </c>
      <c r="E2046" s="4" t="s">
        <v>25</v>
      </c>
      <c r="F2046" s="4" t="s">
        <v>25</v>
      </c>
      <c r="G2046" s="4" t="s">
        <v>25</v>
      </c>
      <c r="H2046" s="4" t="s">
        <v>35</v>
      </c>
      <c r="I2046" s="5">
        <v>43739</v>
      </c>
      <c r="J2046" s="6">
        <v>0</v>
      </c>
      <c r="K2046" s="6">
        <v>0</v>
      </c>
      <c r="L2046" s="6">
        <v>27.413</v>
      </c>
      <c r="M2046" s="6">
        <v>27.413</v>
      </c>
      <c r="N2046" s="6">
        <v>27.413</v>
      </c>
      <c r="O2046" s="6">
        <v>27.413</v>
      </c>
      <c r="P2046" s="6">
        <v>0</v>
      </c>
      <c r="Q2046" s="4" t="s">
        <v>26</v>
      </c>
      <c r="R2046" s="4">
        <v>0</v>
      </c>
      <c r="S2046" s="6">
        <v>0</v>
      </c>
      <c r="T2046" s="6">
        <v>70</v>
      </c>
      <c r="U2046" s="6">
        <v>113</v>
      </c>
      <c r="V2046" s="6">
        <f>IF(ISERROR(VLOOKUP($S$2046,'TAR FIN'!$A$1:$O$120,15,0)),0,VLOOKUP($S$2046,'TAR FIN'!$A$1:$O$120,15,0))</f>
        <v>0</v>
      </c>
      <c r="W2046" s="6">
        <f>IF(ISERROR(VLOOKUP($T$2046,'TAR FIN'!$A$1:$O$120,15,0)),0,VLOOKUP($T$2046,'TAR FIN'!$A$1:$O$120,15,0))</f>
        <v>552.01</v>
      </c>
      <c r="X2046" s="6">
        <f>IF(ISERROR(VLOOKUP($U$2046,'TAR FIN'!$A$1:$O$120,15,0)),0,VLOOKUP($U$2046,'TAR FIN'!$A$1:$O$120,15,0))</f>
        <v>430.87</v>
      </c>
      <c r="Y2046" s="6"/>
      <c r="Z2046" s="6">
        <f ca="1">('TUSD BE'!$AM$80+'TUSD BF'!$AM$80+'TUSD CVA'!$AM$80)*1</f>
        <v>625.84296780878549</v>
      </c>
      <c r="AA2046" s="6">
        <f>('TE BE'!$AA$44+'TE BF'!$AA$44+'TE CVA'!$AA$44)*1</f>
        <v>375.69180268700768</v>
      </c>
      <c r="AB2046" s="6">
        <f>$K$2046*$V$2046</f>
        <v>0</v>
      </c>
      <c r="AC2046" s="6">
        <f>$M$2046*$W$2046</f>
        <v>15132.25013</v>
      </c>
      <c r="AD2046" s="6">
        <f>$O$2046*$X$2046</f>
        <v>11811.43931</v>
      </c>
      <c r="AE2046" s="6">
        <f>$K$2046*$Y$2046</f>
        <v>0</v>
      </c>
      <c r="AF2046" s="6">
        <f ca="1">$M$2046*$Z$2046</f>
        <v>17156.233276542236</v>
      </c>
      <c r="AG2046" s="6">
        <f>$O$2046*$AA$2046</f>
        <v>10298.839387058943</v>
      </c>
    </row>
    <row r="2047" spans="1:33" ht="11.25" customHeight="1" x14ac:dyDescent="0.25">
      <c r="A2047" s="4" t="s">
        <v>27</v>
      </c>
      <c r="B2047" s="4" t="s">
        <v>39</v>
      </c>
      <c r="C2047" s="4" t="s">
        <v>37</v>
      </c>
      <c r="D2047" s="4" t="s">
        <v>42</v>
      </c>
      <c r="E2047" s="4" t="s">
        <v>25</v>
      </c>
      <c r="F2047" s="4" t="s">
        <v>25</v>
      </c>
      <c r="G2047" s="4" t="s">
        <v>25</v>
      </c>
      <c r="H2047" s="4" t="s">
        <v>35</v>
      </c>
      <c r="I2047" s="5">
        <v>43739</v>
      </c>
      <c r="J2047" s="6">
        <v>0</v>
      </c>
      <c r="K2047" s="6">
        <v>0</v>
      </c>
      <c r="L2047" s="6">
        <v>0.26500000000000001</v>
      </c>
      <c r="M2047" s="6">
        <v>0.26500000000000001</v>
      </c>
      <c r="N2047" s="6">
        <v>0.26500000000000001</v>
      </c>
      <c r="O2047" s="6">
        <v>0.26500000000000001</v>
      </c>
      <c r="P2047" s="6">
        <v>0</v>
      </c>
      <c r="Q2047" s="4" t="s">
        <v>26</v>
      </c>
      <c r="R2047" s="4">
        <v>0</v>
      </c>
      <c r="S2047" s="6">
        <v>0</v>
      </c>
      <c r="T2047" s="6">
        <v>70</v>
      </c>
      <c r="U2047" s="6">
        <v>113</v>
      </c>
      <c r="V2047" s="6">
        <f>IF(ISERROR(VLOOKUP($S$2047,'TAR FIN'!$A$1:$O$120,15,0)),0,VLOOKUP($S$2047,'TAR FIN'!$A$1:$O$120,15,0))</f>
        <v>0</v>
      </c>
      <c r="W2047" s="6">
        <f>IF(ISERROR(VLOOKUP($T$2047,'TAR FIN'!$A$1:$O$120,15,0)),0,VLOOKUP($T$2047,'TAR FIN'!$A$1:$O$120,15,0))</f>
        <v>552.01</v>
      </c>
      <c r="X2047" s="6">
        <f>IF(ISERROR(VLOOKUP($U$2047,'TAR FIN'!$A$1:$O$120,15,0)),0,VLOOKUP($U$2047,'TAR FIN'!$A$1:$O$120,15,0))</f>
        <v>430.87</v>
      </c>
      <c r="Y2047" s="6"/>
      <c r="Z2047" s="6">
        <f ca="1">('TUSD BE'!$AM$80+'TUSD BF'!$AM$80+'TUSD CVA'!$AM$80)*1</f>
        <v>625.84296780878549</v>
      </c>
      <c r="AA2047" s="6">
        <f>('TE BE'!$AA$44+'TE BF'!$AA$44+'TE CVA'!$AA$44)*1</f>
        <v>375.69180268700768</v>
      </c>
      <c r="AB2047" s="6">
        <f>$K$2047*$V$2047</f>
        <v>0</v>
      </c>
      <c r="AC2047" s="6">
        <f>$M$2047*$W$2047</f>
        <v>146.28265000000002</v>
      </c>
      <c r="AD2047" s="6">
        <f>$O$2047*$X$2047</f>
        <v>114.18055000000001</v>
      </c>
      <c r="AE2047" s="6">
        <f>$K$2047*$Y$2047</f>
        <v>0</v>
      </c>
      <c r="AF2047" s="6">
        <f ca="1">$M$2047*$Z$2047</f>
        <v>165.84838646932818</v>
      </c>
      <c r="AG2047" s="6">
        <f>$O$2047*$AA$2047</f>
        <v>99.558327712057036</v>
      </c>
    </row>
    <row r="2048" spans="1:33" ht="11.25" customHeight="1" x14ac:dyDescent="0.25">
      <c r="A2048" s="4" t="s">
        <v>28</v>
      </c>
      <c r="B2048" s="4" t="s">
        <v>39</v>
      </c>
      <c r="C2048" s="4" t="s">
        <v>37</v>
      </c>
      <c r="D2048" s="4" t="s">
        <v>42</v>
      </c>
      <c r="E2048" s="4" t="s">
        <v>25</v>
      </c>
      <c r="F2048" s="4" t="s">
        <v>25</v>
      </c>
      <c r="G2048" s="4" t="s">
        <v>25</v>
      </c>
      <c r="H2048" s="4" t="s">
        <v>35</v>
      </c>
      <c r="I2048" s="5">
        <v>43739</v>
      </c>
      <c r="J2048" s="6">
        <v>0</v>
      </c>
      <c r="K2048" s="6">
        <v>0</v>
      </c>
      <c r="L2048" s="6">
        <v>2.3199999999999998</v>
      </c>
      <c r="M2048" s="6">
        <v>2.3199999999999998</v>
      </c>
      <c r="N2048" s="6">
        <v>2.3199999999999998</v>
      </c>
      <c r="O2048" s="6">
        <v>2.3199999999999998</v>
      </c>
      <c r="P2048" s="6">
        <v>0</v>
      </c>
      <c r="Q2048" s="4" t="s">
        <v>26</v>
      </c>
      <c r="R2048" s="4">
        <v>0</v>
      </c>
      <c r="S2048" s="6">
        <v>0</v>
      </c>
      <c r="T2048" s="6">
        <v>70</v>
      </c>
      <c r="U2048" s="6">
        <v>113</v>
      </c>
      <c r="V2048" s="6">
        <f>IF(ISERROR(VLOOKUP($S$2048,'TAR FIN'!$A$1:$O$120,15,0)),0,VLOOKUP($S$2048,'TAR FIN'!$A$1:$O$120,15,0))</f>
        <v>0</v>
      </c>
      <c r="W2048" s="6">
        <f>IF(ISERROR(VLOOKUP($T$2048,'TAR FIN'!$A$1:$O$120,15,0)),0,VLOOKUP($T$2048,'TAR FIN'!$A$1:$O$120,15,0))</f>
        <v>552.01</v>
      </c>
      <c r="X2048" s="6">
        <f>IF(ISERROR(VLOOKUP($U$2048,'TAR FIN'!$A$1:$O$120,15,0)),0,VLOOKUP($U$2048,'TAR FIN'!$A$1:$O$120,15,0))</f>
        <v>430.87</v>
      </c>
      <c r="Y2048" s="6"/>
      <c r="Z2048" s="6">
        <f ca="1">('TUSD BE'!$AM$80+'TUSD BF'!$AM$80+'TUSD CVA'!$AM$80)*1</f>
        <v>625.84296780878549</v>
      </c>
      <c r="AA2048" s="6">
        <f>('TE BE'!$AA$44+'TE BF'!$AA$44+'TE CVA'!$AA$44)*1</f>
        <v>375.69180268700768</v>
      </c>
      <c r="AB2048" s="6">
        <f>$K$2048*$V$2048</f>
        <v>0</v>
      </c>
      <c r="AC2048" s="6">
        <f>$M$2048*$W$2048</f>
        <v>1280.6632</v>
      </c>
      <c r="AD2048" s="6">
        <f>$O$2048*$X$2048</f>
        <v>999.61839999999995</v>
      </c>
      <c r="AE2048" s="6">
        <f>$K$2048*$Y$2048</f>
        <v>0</v>
      </c>
      <c r="AF2048" s="6">
        <f ca="1">$M$2048*$Z$2048</f>
        <v>1451.9556853163822</v>
      </c>
      <c r="AG2048" s="6">
        <f>$O$2048*$AA$2048</f>
        <v>871.60498223385775</v>
      </c>
    </row>
    <row r="2049" spans="1:33" ht="11.25" customHeight="1" x14ac:dyDescent="0.25">
      <c r="A2049" s="4" t="s">
        <v>21</v>
      </c>
      <c r="B2049" s="4" t="s">
        <v>39</v>
      </c>
      <c r="C2049" s="4" t="s">
        <v>37</v>
      </c>
      <c r="D2049" s="4" t="s">
        <v>42</v>
      </c>
      <c r="E2049" s="4" t="s">
        <v>25</v>
      </c>
      <c r="F2049" s="4" t="s">
        <v>25</v>
      </c>
      <c r="G2049" s="4" t="s">
        <v>25</v>
      </c>
      <c r="H2049" s="4" t="s">
        <v>35</v>
      </c>
      <c r="I2049" s="5">
        <v>43770</v>
      </c>
      <c r="J2049" s="6">
        <v>0</v>
      </c>
      <c r="K2049" s="6">
        <v>0</v>
      </c>
      <c r="L2049" s="6">
        <v>1032.9100000000001</v>
      </c>
      <c r="M2049" s="6">
        <v>1032.9100000000001</v>
      </c>
      <c r="N2049" s="6">
        <v>1032.9100000000001</v>
      </c>
      <c r="O2049" s="6">
        <v>1032.9100000000001</v>
      </c>
      <c r="P2049" s="6">
        <v>0</v>
      </c>
      <c r="Q2049" s="4" t="s">
        <v>26</v>
      </c>
      <c r="R2049" s="4">
        <v>0</v>
      </c>
      <c r="S2049" s="6">
        <v>0</v>
      </c>
      <c r="T2049" s="6">
        <v>70</v>
      </c>
      <c r="U2049" s="6">
        <v>113</v>
      </c>
      <c r="V2049" s="6">
        <f>IF(ISERROR(VLOOKUP($S$2049,'TAR FIN'!$A$1:$O$120,15,0)),0,VLOOKUP($S$2049,'TAR FIN'!$A$1:$O$120,15,0))</f>
        <v>0</v>
      </c>
      <c r="W2049" s="6">
        <f>IF(ISERROR(VLOOKUP($T$2049,'TAR FIN'!$A$1:$O$120,15,0)),0,VLOOKUP($T$2049,'TAR FIN'!$A$1:$O$120,15,0))</f>
        <v>552.01</v>
      </c>
      <c r="X2049" s="6">
        <f>IF(ISERROR(VLOOKUP($U$2049,'TAR FIN'!$A$1:$O$120,15,0)),0,VLOOKUP($U$2049,'TAR FIN'!$A$1:$O$120,15,0))</f>
        <v>430.87</v>
      </c>
      <c r="Y2049" s="6"/>
      <c r="Z2049" s="6">
        <f ca="1">('TUSD BE'!$AM$80+'TUSD BF'!$AM$80+'TUSD CVA'!$AM$80)*1</f>
        <v>625.84296780878549</v>
      </c>
      <c r="AA2049" s="6">
        <f>('TE BE'!$AA$44+'TE BF'!$AA$44+'TE CVA'!$AA$44)*1</f>
        <v>375.69180268700768</v>
      </c>
      <c r="AB2049" s="6">
        <f>$K$2049*$V$2049</f>
        <v>0</v>
      </c>
      <c r="AC2049" s="6">
        <f>$M$2049*$W$2049</f>
        <v>570176.64910000004</v>
      </c>
      <c r="AD2049" s="6">
        <f>$O$2049*$X$2049</f>
        <v>445049.93170000002</v>
      </c>
      <c r="AE2049" s="6">
        <f>$K$2049*$Y$2049</f>
        <v>0</v>
      </c>
      <c r="AF2049" s="6">
        <f ca="1">$M$2049*$Z$2049</f>
        <v>646439.45987937262</v>
      </c>
      <c r="AG2049" s="6">
        <f>$O$2049*$AA$2049</f>
        <v>388055.81991343712</v>
      </c>
    </row>
    <row r="2050" spans="1:33" ht="11.25" customHeight="1" x14ac:dyDescent="0.25">
      <c r="A2050" s="4" t="s">
        <v>27</v>
      </c>
      <c r="B2050" s="4" t="s">
        <v>39</v>
      </c>
      <c r="C2050" s="4" t="s">
        <v>37</v>
      </c>
      <c r="D2050" s="4" t="s">
        <v>42</v>
      </c>
      <c r="E2050" s="4" t="s">
        <v>25</v>
      </c>
      <c r="F2050" s="4" t="s">
        <v>25</v>
      </c>
      <c r="G2050" s="4" t="s">
        <v>25</v>
      </c>
      <c r="H2050" s="4" t="s">
        <v>35</v>
      </c>
      <c r="I2050" s="5">
        <v>43770</v>
      </c>
      <c r="J2050" s="6">
        <v>0</v>
      </c>
      <c r="K2050" s="6">
        <v>0</v>
      </c>
      <c r="L2050" s="6">
        <v>0.317</v>
      </c>
      <c r="M2050" s="6">
        <v>0.317</v>
      </c>
      <c r="N2050" s="6">
        <v>0.317</v>
      </c>
      <c r="O2050" s="6">
        <v>0.317</v>
      </c>
      <c r="P2050" s="6">
        <v>0</v>
      </c>
      <c r="Q2050" s="4" t="s">
        <v>26</v>
      </c>
      <c r="R2050" s="4">
        <v>0</v>
      </c>
      <c r="S2050" s="6">
        <v>0</v>
      </c>
      <c r="T2050" s="6">
        <v>70</v>
      </c>
      <c r="U2050" s="6">
        <v>113</v>
      </c>
      <c r="V2050" s="6">
        <f>IF(ISERROR(VLOOKUP($S$2050,'TAR FIN'!$A$1:$O$120,15,0)),0,VLOOKUP($S$2050,'TAR FIN'!$A$1:$O$120,15,0))</f>
        <v>0</v>
      </c>
      <c r="W2050" s="6">
        <f>IF(ISERROR(VLOOKUP($T$2050,'TAR FIN'!$A$1:$O$120,15,0)),0,VLOOKUP($T$2050,'TAR FIN'!$A$1:$O$120,15,0))</f>
        <v>552.01</v>
      </c>
      <c r="X2050" s="6">
        <f>IF(ISERROR(VLOOKUP($U$2050,'TAR FIN'!$A$1:$O$120,15,0)),0,VLOOKUP($U$2050,'TAR FIN'!$A$1:$O$120,15,0))</f>
        <v>430.87</v>
      </c>
      <c r="Y2050" s="6"/>
      <c r="Z2050" s="6">
        <f ca="1">('TUSD BE'!$AM$80+'TUSD BF'!$AM$80+'TUSD CVA'!$AM$80)*1</f>
        <v>625.84296780878549</v>
      </c>
      <c r="AA2050" s="6">
        <f>('TE BE'!$AA$44+'TE BF'!$AA$44+'TE CVA'!$AA$44)*1</f>
        <v>375.69180268700768</v>
      </c>
      <c r="AB2050" s="6">
        <f>$K$2050*$V$2050</f>
        <v>0</v>
      </c>
      <c r="AC2050" s="6">
        <f>$M$2050*$W$2050</f>
        <v>174.98716999999999</v>
      </c>
      <c r="AD2050" s="6">
        <f>$O$2050*$X$2050</f>
        <v>136.58579</v>
      </c>
      <c r="AE2050" s="6">
        <f>$K$2050*$Y$2050</f>
        <v>0</v>
      </c>
      <c r="AF2050" s="6">
        <f ca="1">$M$2050*$Z$2050</f>
        <v>198.39222079538501</v>
      </c>
      <c r="AG2050" s="6">
        <f>$O$2050*$AA$2050</f>
        <v>119.09430145178143</v>
      </c>
    </row>
    <row r="2051" spans="1:33" ht="11.25" customHeight="1" x14ac:dyDescent="0.25">
      <c r="A2051" s="4" t="s">
        <v>28</v>
      </c>
      <c r="B2051" s="4" t="s">
        <v>39</v>
      </c>
      <c r="C2051" s="4" t="s">
        <v>37</v>
      </c>
      <c r="D2051" s="4" t="s">
        <v>42</v>
      </c>
      <c r="E2051" s="4" t="s">
        <v>25</v>
      </c>
      <c r="F2051" s="4" t="s">
        <v>25</v>
      </c>
      <c r="G2051" s="4" t="s">
        <v>25</v>
      </c>
      <c r="H2051" s="4" t="s">
        <v>35</v>
      </c>
      <c r="I2051" s="5">
        <v>43770</v>
      </c>
      <c r="J2051" s="6">
        <v>0</v>
      </c>
      <c r="K2051" s="6">
        <v>0</v>
      </c>
      <c r="L2051" s="6">
        <v>4.72</v>
      </c>
      <c r="M2051" s="6">
        <v>4.72</v>
      </c>
      <c r="N2051" s="6">
        <v>4.72</v>
      </c>
      <c r="O2051" s="6">
        <v>4.72</v>
      </c>
      <c r="P2051" s="6">
        <v>0</v>
      </c>
      <c r="Q2051" s="4" t="s">
        <v>26</v>
      </c>
      <c r="R2051" s="4">
        <v>0</v>
      </c>
      <c r="S2051" s="6">
        <v>0</v>
      </c>
      <c r="T2051" s="6">
        <v>70</v>
      </c>
      <c r="U2051" s="6">
        <v>113</v>
      </c>
      <c r="V2051" s="6">
        <f>IF(ISERROR(VLOOKUP($S$2051,'TAR FIN'!$A$1:$O$120,15,0)),0,VLOOKUP($S$2051,'TAR FIN'!$A$1:$O$120,15,0))</f>
        <v>0</v>
      </c>
      <c r="W2051" s="6">
        <f>IF(ISERROR(VLOOKUP($T$2051,'TAR FIN'!$A$1:$O$120,15,0)),0,VLOOKUP($T$2051,'TAR FIN'!$A$1:$O$120,15,0))</f>
        <v>552.01</v>
      </c>
      <c r="X2051" s="6">
        <f>IF(ISERROR(VLOOKUP($U$2051,'TAR FIN'!$A$1:$O$120,15,0)),0,VLOOKUP($U$2051,'TAR FIN'!$A$1:$O$120,15,0))</f>
        <v>430.87</v>
      </c>
      <c r="Y2051" s="6"/>
      <c r="Z2051" s="6">
        <f ca="1">('TUSD BE'!$AM$80+'TUSD BF'!$AM$80+'TUSD CVA'!$AM$80)*1</f>
        <v>625.84296780878549</v>
      </c>
      <c r="AA2051" s="6">
        <f>('TE BE'!$AA$44+'TE BF'!$AA$44+'TE CVA'!$AA$44)*1</f>
        <v>375.69180268700768</v>
      </c>
      <c r="AB2051" s="6">
        <f>$K$2051*$V$2051</f>
        <v>0</v>
      </c>
      <c r="AC2051" s="6">
        <f>$M$2051*$W$2051</f>
        <v>2605.4872</v>
      </c>
      <c r="AD2051" s="6">
        <f>$O$2051*$X$2051</f>
        <v>2033.7063999999998</v>
      </c>
      <c r="AE2051" s="6">
        <f>$K$2051*$Y$2051</f>
        <v>0</v>
      </c>
      <c r="AF2051" s="6">
        <f ca="1">$M$2051*$Z$2051</f>
        <v>2953.9788080574672</v>
      </c>
      <c r="AG2051" s="6">
        <f>$O$2051*$AA$2051</f>
        <v>1773.2653086826761</v>
      </c>
    </row>
    <row r="2052" spans="1:33" ht="11.25" customHeight="1" x14ac:dyDescent="0.25">
      <c r="A2052" s="4" t="s">
        <v>27</v>
      </c>
      <c r="B2052" s="4" t="s">
        <v>39</v>
      </c>
      <c r="C2052" s="4" t="s">
        <v>37</v>
      </c>
      <c r="D2052" s="4" t="s">
        <v>42</v>
      </c>
      <c r="E2052" s="4" t="s">
        <v>25</v>
      </c>
      <c r="F2052" s="4" t="s">
        <v>25</v>
      </c>
      <c r="G2052" s="4" t="s">
        <v>25</v>
      </c>
      <c r="H2052" s="4" t="s">
        <v>35</v>
      </c>
      <c r="I2052" s="5">
        <v>43800</v>
      </c>
      <c r="J2052" s="6">
        <v>0</v>
      </c>
      <c r="K2052" s="6">
        <v>0</v>
      </c>
      <c r="L2052" s="6">
        <v>-969.87400000000002</v>
      </c>
      <c r="M2052" s="6">
        <v>-969.87400000000002</v>
      </c>
      <c r="N2052" s="6">
        <v>-969.87400000000002</v>
      </c>
      <c r="O2052" s="6">
        <v>-969.87400000000002</v>
      </c>
      <c r="P2052" s="6">
        <v>0</v>
      </c>
      <c r="Q2052" s="4" t="s">
        <v>26</v>
      </c>
      <c r="R2052" s="4">
        <v>0</v>
      </c>
      <c r="S2052" s="6">
        <v>0</v>
      </c>
      <c r="T2052" s="6">
        <v>70</v>
      </c>
      <c r="U2052" s="6">
        <v>113</v>
      </c>
      <c r="V2052" s="6">
        <f>IF(ISERROR(VLOOKUP($S$2052,'TAR FIN'!$A$1:$O$120,15,0)),0,VLOOKUP($S$2052,'TAR FIN'!$A$1:$O$120,15,0))</f>
        <v>0</v>
      </c>
      <c r="W2052" s="6">
        <f>IF(ISERROR(VLOOKUP($T$2052,'TAR FIN'!$A$1:$O$120,15,0)),0,VLOOKUP($T$2052,'TAR FIN'!$A$1:$O$120,15,0))</f>
        <v>552.01</v>
      </c>
      <c r="X2052" s="6">
        <f>IF(ISERROR(VLOOKUP($U$2052,'TAR FIN'!$A$1:$O$120,15,0)),0,VLOOKUP($U$2052,'TAR FIN'!$A$1:$O$120,15,0))</f>
        <v>430.87</v>
      </c>
      <c r="Y2052" s="6"/>
      <c r="Z2052" s="6">
        <f ca="1">('TUSD BE'!$AM$80+'TUSD BF'!$AM$80+'TUSD CVA'!$AM$80)*1</f>
        <v>625.84296780878549</v>
      </c>
      <c r="AA2052" s="6">
        <f>('TE BE'!$AA$44+'TE BF'!$AA$44+'TE CVA'!$AA$44)*1</f>
        <v>375.69180268700768</v>
      </c>
      <c r="AB2052" s="6">
        <f>$K$2052*$V$2052</f>
        <v>0</v>
      </c>
      <c r="AC2052" s="6">
        <f>$M$2052*$W$2052</f>
        <v>-535380.14674</v>
      </c>
      <c r="AD2052" s="6">
        <f>$O$2052*$X$2052</f>
        <v>-417889.61038000003</v>
      </c>
      <c r="AE2052" s="6">
        <f>$K$2052*$Y$2052</f>
        <v>0</v>
      </c>
      <c r="AF2052" s="6">
        <f ca="1">$M$2052*$Z$2052</f>
        <v>-606988.822560578</v>
      </c>
      <c r="AG2052" s="6">
        <f>$O$2052*$AA$2052</f>
        <v>-364373.71143925888</v>
      </c>
    </row>
    <row r="2053" spans="1:33" ht="11.25" customHeight="1" x14ac:dyDescent="0.25">
      <c r="A2053" s="4" t="s">
        <v>28</v>
      </c>
      <c r="B2053" s="4" t="s">
        <v>39</v>
      </c>
      <c r="C2053" s="4" t="s">
        <v>37</v>
      </c>
      <c r="D2053" s="4" t="s">
        <v>42</v>
      </c>
      <c r="E2053" s="4" t="s">
        <v>25</v>
      </c>
      <c r="F2053" s="4" t="s">
        <v>25</v>
      </c>
      <c r="G2053" s="4" t="s">
        <v>25</v>
      </c>
      <c r="H2053" s="4" t="s">
        <v>35</v>
      </c>
      <c r="I2053" s="5">
        <v>43800</v>
      </c>
      <c r="J2053" s="6">
        <v>0</v>
      </c>
      <c r="K2053" s="6">
        <v>0</v>
      </c>
      <c r="L2053" s="6">
        <v>1.92</v>
      </c>
      <c r="M2053" s="6">
        <v>1.92</v>
      </c>
      <c r="N2053" s="6">
        <v>1.92</v>
      </c>
      <c r="O2053" s="6">
        <v>1.92</v>
      </c>
      <c r="P2053" s="6">
        <v>0</v>
      </c>
      <c r="Q2053" s="4" t="s">
        <v>26</v>
      </c>
      <c r="R2053" s="4">
        <v>0</v>
      </c>
      <c r="S2053" s="6">
        <v>0</v>
      </c>
      <c r="T2053" s="6">
        <v>70</v>
      </c>
      <c r="U2053" s="6">
        <v>113</v>
      </c>
      <c r="V2053" s="6">
        <f>IF(ISERROR(VLOOKUP($S$2053,'TAR FIN'!$A$1:$O$120,15,0)),0,VLOOKUP($S$2053,'TAR FIN'!$A$1:$O$120,15,0))</f>
        <v>0</v>
      </c>
      <c r="W2053" s="6">
        <f>IF(ISERROR(VLOOKUP($T$2053,'TAR FIN'!$A$1:$O$120,15,0)),0,VLOOKUP($T$2053,'TAR FIN'!$A$1:$O$120,15,0))</f>
        <v>552.01</v>
      </c>
      <c r="X2053" s="6">
        <f>IF(ISERROR(VLOOKUP($U$2053,'TAR FIN'!$A$1:$O$120,15,0)),0,VLOOKUP($U$2053,'TAR FIN'!$A$1:$O$120,15,0))</f>
        <v>430.87</v>
      </c>
      <c r="Y2053" s="6"/>
      <c r="Z2053" s="6">
        <f ca="1">('TUSD BE'!$AM$80+'TUSD BF'!$AM$80+'TUSD CVA'!$AM$80)*1</f>
        <v>625.84296780878549</v>
      </c>
      <c r="AA2053" s="6">
        <f>('TE BE'!$AA$44+'TE BF'!$AA$44+'TE CVA'!$AA$44)*1</f>
        <v>375.69180268700768</v>
      </c>
      <c r="AB2053" s="6">
        <f>$K$2053*$V$2053</f>
        <v>0</v>
      </c>
      <c r="AC2053" s="6">
        <f>$M$2053*$W$2053</f>
        <v>1059.8591999999999</v>
      </c>
      <c r="AD2053" s="6">
        <f>$O$2053*$X$2053</f>
        <v>827.2704</v>
      </c>
      <c r="AE2053" s="6">
        <f>$K$2053*$Y$2053</f>
        <v>0</v>
      </c>
      <c r="AF2053" s="6">
        <f ca="1">$M$2053*$Z$2053</f>
        <v>1201.6184981928682</v>
      </c>
      <c r="AG2053" s="6">
        <f>$O$2053*$AA$2053</f>
        <v>721.3282611590547</v>
      </c>
    </row>
    <row r="2054" spans="1:33" ht="11.25" customHeight="1" x14ac:dyDescent="0.25">
      <c r="A2054" s="4" t="s">
        <v>21</v>
      </c>
      <c r="B2054" s="4" t="s">
        <v>39</v>
      </c>
      <c r="C2054" s="4" t="s">
        <v>37</v>
      </c>
      <c r="D2054" s="4" t="s">
        <v>42</v>
      </c>
      <c r="E2054" s="4" t="s">
        <v>25</v>
      </c>
      <c r="F2054" s="4" t="s">
        <v>25</v>
      </c>
      <c r="G2054" s="4" t="s">
        <v>25</v>
      </c>
      <c r="H2054" s="4" t="s">
        <v>35</v>
      </c>
      <c r="I2054" s="5">
        <v>43831</v>
      </c>
      <c r="J2054" s="6">
        <v>0</v>
      </c>
      <c r="K2054" s="6">
        <v>0</v>
      </c>
      <c r="L2054" s="6">
        <v>28.818999999999999</v>
      </c>
      <c r="M2054" s="6">
        <v>28.818999999999999</v>
      </c>
      <c r="N2054" s="6">
        <v>28.818999999999999</v>
      </c>
      <c r="O2054" s="6">
        <v>28.818999999999999</v>
      </c>
      <c r="P2054" s="6">
        <v>0</v>
      </c>
      <c r="Q2054" s="4" t="s">
        <v>26</v>
      </c>
      <c r="R2054" s="4">
        <v>0</v>
      </c>
      <c r="S2054" s="6">
        <v>0</v>
      </c>
      <c r="T2054" s="6">
        <v>70</v>
      </c>
      <c r="U2054" s="6">
        <v>113</v>
      </c>
      <c r="V2054" s="6">
        <f>IF(ISERROR(VLOOKUP($S$2054,'TAR FIN'!$A$1:$O$120,15,0)),0,VLOOKUP($S$2054,'TAR FIN'!$A$1:$O$120,15,0))</f>
        <v>0</v>
      </c>
      <c r="W2054" s="6">
        <f>IF(ISERROR(VLOOKUP($T$2054,'TAR FIN'!$A$1:$O$120,15,0)),0,VLOOKUP($T$2054,'TAR FIN'!$A$1:$O$120,15,0))</f>
        <v>552.01</v>
      </c>
      <c r="X2054" s="6">
        <f>IF(ISERROR(VLOOKUP($U$2054,'TAR FIN'!$A$1:$O$120,15,0)),0,VLOOKUP($U$2054,'TAR FIN'!$A$1:$O$120,15,0))</f>
        <v>430.87</v>
      </c>
      <c r="Y2054" s="6"/>
      <c r="Z2054" s="6">
        <f ca="1">('TUSD BE'!$AM$80+'TUSD BF'!$AM$80+'TUSD CVA'!$AM$80)*1</f>
        <v>625.84296780878549</v>
      </c>
      <c r="AA2054" s="6">
        <f>('TE BE'!$AA$44+'TE BF'!$AA$44+'TE CVA'!$AA$44)*1</f>
        <v>375.69180268700768</v>
      </c>
      <c r="AB2054" s="6">
        <f>$K$2054*$V$2054</f>
        <v>0</v>
      </c>
      <c r="AC2054" s="6">
        <f>$M$2054*$W$2054</f>
        <v>15908.376189999999</v>
      </c>
      <c r="AD2054" s="6">
        <f>$O$2054*$X$2054</f>
        <v>12417.24253</v>
      </c>
      <c r="AE2054" s="6">
        <f>$K$2054*$Y$2054</f>
        <v>0</v>
      </c>
      <c r="AF2054" s="6">
        <f ca="1">$M$2054*$Z$2054</f>
        <v>18036.16848928139</v>
      </c>
      <c r="AG2054" s="6">
        <f>$O$2054*$AA$2054</f>
        <v>10827.062061636874</v>
      </c>
    </row>
    <row r="2055" spans="1:33" ht="11.25" customHeight="1" x14ac:dyDescent="0.25">
      <c r="A2055" s="4" t="s">
        <v>27</v>
      </c>
      <c r="B2055" s="4" t="s">
        <v>39</v>
      </c>
      <c r="C2055" s="4" t="s">
        <v>37</v>
      </c>
      <c r="D2055" s="4" t="s">
        <v>42</v>
      </c>
      <c r="E2055" s="4" t="s">
        <v>25</v>
      </c>
      <c r="F2055" s="4" t="s">
        <v>25</v>
      </c>
      <c r="G2055" s="4" t="s">
        <v>25</v>
      </c>
      <c r="H2055" s="4" t="s">
        <v>35</v>
      </c>
      <c r="I2055" s="5">
        <v>43831</v>
      </c>
      <c r="J2055" s="6">
        <v>0</v>
      </c>
      <c r="K2055" s="6">
        <v>0</v>
      </c>
      <c r="L2055" s="6">
        <v>0.315</v>
      </c>
      <c r="M2055" s="6">
        <v>0.315</v>
      </c>
      <c r="N2055" s="6">
        <v>0.315</v>
      </c>
      <c r="O2055" s="6">
        <v>0.315</v>
      </c>
      <c r="P2055" s="6">
        <v>0</v>
      </c>
      <c r="Q2055" s="4" t="s">
        <v>26</v>
      </c>
      <c r="R2055" s="4">
        <v>0</v>
      </c>
      <c r="S2055" s="6">
        <v>0</v>
      </c>
      <c r="T2055" s="6">
        <v>70</v>
      </c>
      <c r="U2055" s="6">
        <v>113</v>
      </c>
      <c r="V2055" s="6">
        <f>IF(ISERROR(VLOOKUP($S$2055,'TAR FIN'!$A$1:$O$120,15,0)),0,VLOOKUP($S$2055,'TAR FIN'!$A$1:$O$120,15,0))</f>
        <v>0</v>
      </c>
      <c r="W2055" s="6">
        <f>IF(ISERROR(VLOOKUP($T$2055,'TAR FIN'!$A$1:$O$120,15,0)),0,VLOOKUP($T$2055,'TAR FIN'!$A$1:$O$120,15,0))</f>
        <v>552.01</v>
      </c>
      <c r="X2055" s="6">
        <f>IF(ISERROR(VLOOKUP($U$2055,'TAR FIN'!$A$1:$O$120,15,0)),0,VLOOKUP($U$2055,'TAR FIN'!$A$1:$O$120,15,0))</f>
        <v>430.87</v>
      </c>
      <c r="Y2055" s="6"/>
      <c r="Z2055" s="6">
        <f ca="1">('TUSD BE'!$AM$80+'TUSD BF'!$AM$80+'TUSD CVA'!$AM$80)*1</f>
        <v>625.84296780878549</v>
      </c>
      <c r="AA2055" s="6">
        <f>('TE BE'!$AA$44+'TE BF'!$AA$44+'TE CVA'!$AA$44)*1</f>
        <v>375.69180268700768</v>
      </c>
      <c r="AB2055" s="6">
        <f>$K$2055*$V$2055</f>
        <v>0</v>
      </c>
      <c r="AC2055" s="6">
        <f>$M$2055*$W$2055</f>
        <v>173.88315</v>
      </c>
      <c r="AD2055" s="6">
        <f>$O$2055*$X$2055</f>
        <v>135.72405000000001</v>
      </c>
      <c r="AE2055" s="6">
        <f>$K$2055*$Y$2055</f>
        <v>0</v>
      </c>
      <c r="AF2055" s="6">
        <f ca="1">$M$2055*$Z$2055</f>
        <v>197.14053485976743</v>
      </c>
      <c r="AG2055" s="6">
        <f>$O$2055*$AA$2055</f>
        <v>118.34291784640742</v>
      </c>
    </row>
    <row r="2056" spans="1:33" ht="11.25" customHeight="1" x14ac:dyDescent="0.25">
      <c r="A2056" s="4" t="s">
        <v>21</v>
      </c>
      <c r="B2056" s="4" t="s">
        <v>39</v>
      </c>
      <c r="C2056" s="4" t="s">
        <v>37</v>
      </c>
      <c r="D2056" s="4" t="s">
        <v>42</v>
      </c>
      <c r="E2056" s="4" t="s">
        <v>25</v>
      </c>
      <c r="F2056" s="4" t="s">
        <v>25</v>
      </c>
      <c r="G2056" s="4" t="s">
        <v>25</v>
      </c>
      <c r="H2056" s="4" t="s">
        <v>35</v>
      </c>
      <c r="I2056" s="5">
        <v>43862</v>
      </c>
      <c r="J2056" s="6">
        <v>0</v>
      </c>
      <c r="K2056" s="6">
        <v>0</v>
      </c>
      <c r="L2056" s="6">
        <v>28.786999999999999</v>
      </c>
      <c r="M2056" s="6">
        <v>28.786999999999999</v>
      </c>
      <c r="N2056" s="6">
        <v>28.786999999999999</v>
      </c>
      <c r="O2056" s="6">
        <v>28.786999999999999</v>
      </c>
      <c r="P2056" s="6">
        <v>0</v>
      </c>
      <c r="Q2056" s="4" t="s">
        <v>26</v>
      </c>
      <c r="R2056" s="4">
        <v>0</v>
      </c>
      <c r="S2056" s="6">
        <v>0</v>
      </c>
      <c r="T2056" s="6">
        <v>70</v>
      </c>
      <c r="U2056" s="6">
        <v>113</v>
      </c>
      <c r="V2056" s="6">
        <f>IF(ISERROR(VLOOKUP($S$2056,'TAR FIN'!$A$1:$O$120,15,0)),0,VLOOKUP($S$2056,'TAR FIN'!$A$1:$O$120,15,0))</f>
        <v>0</v>
      </c>
      <c r="W2056" s="6">
        <f>IF(ISERROR(VLOOKUP($T$2056,'TAR FIN'!$A$1:$O$120,15,0)),0,VLOOKUP($T$2056,'TAR FIN'!$A$1:$O$120,15,0))</f>
        <v>552.01</v>
      </c>
      <c r="X2056" s="6">
        <f>IF(ISERROR(VLOOKUP($U$2056,'TAR FIN'!$A$1:$O$120,15,0)),0,VLOOKUP($U$2056,'TAR FIN'!$A$1:$O$120,15,0))</f>
        <v>430.87</v>
      </c>
      <c r="Y2056" s="6"/>
      <c r="Z2056" s="6">
        <f ca="1">('TUSD BE'!$AM$80+'TUSD BF'!$AM$80+'TUSD CVA'!$AM$80)*1</f>
        <v>625.84296780878549</v>
      </c>
      <c r="AA2056" s="6">
        <f>('TE BE'!$AA$44+'TE BF'!$AA$44+'TE CVA'!$AA$44)*1</f>
        <v>375.69180268700768</v>
      </c>
      <c r="AB2056" s="6">
        <f>$K$2056*$V$2056</f>
        <v>0</v>
      </c>
      <c r="AC2056" s="6">
        <f>$M$2056*$W$2056</f>
        <v>15890.711869999999</v>
      </c>
      <c r="AD2056" s="6">
        <f>$O$2056*$X$2056</f>
        <v>12403.45469</v>
      </c>
      <c r="AE2056" s="6">
        <f>$K$2056*$Y$2056</f>
        <v>0</v>
      </c>
      <c r="AF2056" s="6">
        <f ca="1">$M$2056*$Z$2056</f>
        <v>18016.141514311508</v>
      </c>
      <c r="AG2056" s="6">
        <f>$O$2056*$AA$2056</f>
        <v>10815.03992395089</v>
      </c>
    </row>
    <row r="2057" spans="1:33" ht="11.25" customHeight="1" x14ac:dyDescent="0.25">
      <c r="A2057" s="4" t="s">
        <v>27</v>
      </c>
      <c r="B2057" s="4" t="s">
        <v>39</v>
      </c>
      <c r="C2057" s="4" t="s">
        <v>37</v>
      </c>
      <c r="D2057" s="4" t="s">
        <v>42</v>
      </c>
      <c r="E2057" s="4" t="s">
        <v>25</v>
      </c>
      <c r="F2057" s="4" t="s">
        <v>25</v>
      </c>
      <c r="G2057" s="4" t="s">
        <v>25</v>
      </c>
      <c r="H2057" s="4" t="s">
        <v>35</v>
      </c>
      <c r="I2057" s="5">
        <v>43862</v>
      </c>
      <c r="J2057" s="6">
        <v>0</v>
      </c>
      <c r="K2057" s="6">
        <v>0</v>
      </c>
      <c r="L2057" s="6">
        <v>1.502</v>
      </c>
      <c r="M2057" s="6">
        <v>1.502</v>
      </c>
      <c r="N2057" s="6">
        <v>1.502</v>
      </c>
      <c r="O2057" s="6">
        <v>1.502</v>
      </c>
      <c r="P2057" s="6">
        <v>0</v>
      </c>
      <c r="Q2057" s="4" t="s">
        <v>26</v>
      </c>
      <c r="R2057" s="4">
        <v>0</v>
      </c>
      <c r="S2057" s="6">
        <v>0</v>
      </c>
      <c r="T2057" s="6">
        <v>70</v>
      </c>
      <c r="U2057" s="6">
        <v>113</v>
      </c>
      <c r="V2057" s="6">
        <f>IF(ISERROR(VLOOKUP($S$2057,'TAR FIN'!$A$1:$O$120,15,0)),0,VLOOKUP($S$2057,'TAR FIN'!$A$1:$O$120,15,0))</f>
        <v>0</v>
      </c>
      <c r="W2057" s="6">
        <f>IF(ISERROR(VLOOKUP($T$2057,'TAR FIN'!$A$1:$O$120,15,0)),0,VLOOKUP($T$2057,'TAR FIN'!$A$1:$O$120,15,0))</f>
        <v>552.01</v>
      </c>
      <c r="X2057" s="6">
        <f>IF(ISERROR(VLOOKUP($U$2057,'TAR FIN'!$A$1:$O$120,15,0)),0,VLOOKUP($U$2057,'TAR FIN'!$A$1:$O$120,15,0))</f>
        <v>430.87</v>
      </c>
      <c r="Y2057" s="6"/>
      <c r="Z2057" s="6">
        <f ca="1">('TUSD BE'!$AM$80+'TUSD BF'!$AM$80+'TUSD CVA'!$AM$80)*1</f>
        <v>625.84296780878549</v>
      </c>
      <c r="AA2057" s="6">
        <f>('TE BE'!$AA$44+'TE BF'!$AA$44+'TE CVA'!$AA$44)*1</f>
        <v>375.69180268700768</v>
      </c>
      <c r="AB2057" s="6">
        <f>$K$2057*$V$2057</f>
        <v>0</v>
      </c>
      <c r="AC2057" s="6">
        <f>$M$2057*$W$2057</f>
        <v>829.11901999999998</v>
      </c>
      <c r="AD2057" s="6">
        <f>$O$2057*$X$2057</f>
        <v>647.16674</v>
      </c>
      <c r="AE2057" s="6">
        <f>$K$2057*$Y$2057</f>
        <v>0</v>
      </c>
      <c r="AF2057" s="6">
        <f ca="1">$M$2057*$Z$2057</f>
        <v>940.01613764879585</v>
      </c>
      <c r="AG2057" s="6">
        <f>$O$2057*$AA$2057</f>
        <v>564.28908763588549</v>
      </c>
    </row>
    <row r="2058" spans="1:33" ht="11.25" customHeight="1" x14ac:dyDescent="0.25">
      <c r="A2058" s="4" t="s">
        <v>21</v>
      </c>
      <c r="B2058" s="4" t="s">
        <v>39</v>
      </c>
      <c r="C2058" s="4" t="s">
        <v>37</v>
      </c>
      <c r="D2058" s="4" t="s">
        <v>42</v>
      </c>
      <c r="E2058" s="4" t="s">
        <v>25</v>
      </c>
      <c r="F2058" s="4" t="s">
        <v>25</v>
      </c>
      <c r="G2058" s="4" t="s">
        <v>25</v>
      </c>
      <c r="H2058" s="4" t="s">
        <v>35</v>
      </c>
      <c r="I2058" s="5">
        <v>43891</v>
      </c>
      <c r="J2058" s="6">
        <v>0</v>
      </c>
      <c r="K2058" s="6">
        <v>0</v>
      </c>
      <c r="L2058" s="6">
        <v>25.922999999999998</v>
      </c>
      <c r="M2058" s="6">
        <v>25.922999999999998</v>
      </c>
      <c r="N2058" s="6">
        <v>25.922999999999998</v>
      </c>
      <c r="O2058" s="6">
        <v>25.922999999999998</v>
      </c>
      <c r="P2058" s="6">
        <v>0</v>
      </c>
      <c r="Q2058" s="4" t="s">
        <v>26</v>
      </c>
      <c r="R2058" s="4">
        <v>0</v>
      </c>
      <c r="S2058" s="6">
        <v>0</v>
      </c>
      <c r="T2058" s="6">
        <v>70</v>
      </c>
      <c r="U2058" s="6">
        <v>113</v>
      </c>
      <c r="V2058" s="6">
        <f>IF(ISERROR(VLOOKUP($S$2058,'TAR FIN'!$A$1:$O$120,15,0)),0,VLOOKUP($S$2058,'TAR FIN'!$A$1:$O$120,15,0))</f>
        <v>0</v>
      </c>
      <c r="W2058" s="6">
        <f>IF(ISERROR(VLOOKUP($T$2058,'TAR FIN'!$A$1:$O$120,15,0)),0,VLOOKUP($T$2058,'TAR FIN'!$A$1:$O$120,15,0))</f>
        <v>552.01</v>
      </c>
      <c r="X2058" s="6">
        <f>IF(ISERROR(VLOOKUP($U$2058,'TAR FIN'!$A$1:$O$120,15,0)),0,VLOOKUP($U$2058,'TAR FIN'!$A$1:$O$120,15,0))</f>
        <v>430.87</v>
      </c>
      <c r="Y2058" s="6"/>
      <c r="Z2058" s="6">
        <f ca="1">('TUSD BE'!$AM$80+'TUSD BF'!$AM$80+'TUSD CVA'!$AM$80)*1</f>
        <v>625.84296780878549</v>
      </c>
      <c r="AA2058" s="6">
        <f>('TE BE'!$AA$44+'TE BF'!$AA$44+'TE CVA'!$AA$44)*1</f>
        <v>375.69180268700768</v>
      </c>
      <c r="AB2058" s="6">
        <f>$K$2058*$V$2058</f>
        <v>0</v>
      </c>
      <c r="AC2058" s="6">
        <f>$M$2058*$W$2058</f>
        <v>14309.755229999999</v>
      </c>
      <c r="AD2058" s="6">
        <f>$O$2058*$X$2058</f>
        <v>11169.443009999999</v>
      </c>
      <c r="AE2058" s="6">
        <f>$K$2058*$Y$2058</f>
        <v>0</v>
      </c>
      <c r="AF2058" s="6">
        <f ca="1">$M$2058*$Z$2058</f>
        <v>16223.727254507145</v>
      </c>
      <c r="AG2058" s="6">
        <f>$O$2058*$AA$2058</f>
        <v>9739.0586010552997</v>
      </c>
    </row>
    <row r="2059" spans="1:33" ht="11.25" customHeight="1" x14ac:dyDescent="0.25">
      <c r="A2059" s="4" t="s">
        <v>27</v>
      </c>
      <c r="B2059" s="4" t="s">
        <v>39</v>
      </c>
      <c r="C2059" s="4" t="s">
        <v>37</v>
      </c>
      <c r="D2059" s="4" t="s">
        <v>42</v>
      </c>
      <c r="E2059" s="4" t="s">
        <v>25</v>
      </c>
      <c r="F2059" s="4" t="s">
        <v>25</v>
      </c>
      <c r="G2059" s="4" t="s">
        <v>25</v>
      </c>
      <c r="H2059" s="4" t="s">
        <v>35</v>
      </c>
      <c r="I2059" s="5">
        <v>43891</v>
      </c>
      <c r="J2059" s="6">
        <v>0</v>
      </c>
      <c r="K2059" s="6">
        <v>0</v>
      </c>
      <c r="L2059" s="6">
        <v>1.159</v>
      </c>
      <c r="M2059" s="6">
        <v>1.159</v>
      </c>
      <c r="N2059" s="6">
        <v>1.159</v>
      </c>
      <c r="O2059" s="6">
        <v>1.159</v>
      </c>
      <c r="P2059" s="6">
        <v>0</v>
      </c>
      <c r="Q2059" s="4" t="s">
        <v>26</v>
      </c>
      <c r="R2059" s="4">
        <v>0</v>
      </c>
      <c r="S2059" s="6">
        <v>0</v>
      </c>
      <c r="T2059" s="6">
        <v>70</v>
      </c>
      <c r="U2059" s="6">
        <v>113</v>
      </c>
      <c r="V2059" s="6">
        <f>IF(ISERROR(VLOOKUP($S$2059,'TAR FIN'!$A$1:$O$120,15,0)),0,VLOOKUP($S$2059,'TAR FIN'!$A$1:$O$120,15,0))</f>
        <v>0</v>
      </c>
      <c r="W2059" s="6">
        <f>IF(ISERROR(VLOOKUP($T$2059,'TAR FIN'!$A$1:$O$120,15,0)),0,VLOOKUP($T$2059,'TAR FIN'!$A$1:$O$120,15,0))</f>
        <v>552.01</v>
      </c>
      <c r="X2059" s="6">
        <f>IF(ISERROR(VLOOKUP($U$2059,'TAR FIN'!$A$1:$O$120,15,0)),0,VLOOKUP($U$2059,'TAR FIN'!$A$1:$O$120,15,0))</f>
        <v>430.87</v>
      </c>
      <c r="Y2059" s="6"/>
      <c r="Z2059" s="6">
        <f ca="1">('TUSD BE'!$AM$80+'TUSD BF'!$AM$80+'TUSD CVA'!$AM$80)*1</f>
        <v>625.84296780878549</v>
      </c>
      <c r="AA2059" s="6">
        <f>('TE BE'!$AA$44+'TE BF'!$AA$44+'TE CVA'!$AA$44)*1</f>
        <v>375.69180268700768</v>
      </c>
      <c r="AB2059" s="6">
        <f>$K$2059*$V$2059</f>
        <v>0</v>
      </c>
      <c r="AC2059" s="6">
        <f>$M$2059*$W$2059</f>
        <v>639.77958999999998</v>
      </c>
      <c r="AD2059" s="6">
        <f>$O$2059*$X$2059</f>
        <v>499.37833000000001</v>
      </c>
      <c r="AE2059" s="6">
        <f>$K$2059*$Y$2059</f>
        <v>0</v>
      </c>
      <c r="AF2059" s="6">
        <f ca="1">$M$2059*$Z$2059</f>
        <v>725.3519996903824</v>
      </c>
      <c r="AG2059" s="6">
        <f>$O$2059*$AA$2059</f>
        <v>435.42679931424192</v>
      </c>
    </row>
    <row r="2060" spans="1:33" ht="11.25" customHeight="1" x14ac:dyDescent="0.25">
      <c r="A2060" s="4" t="s">
        <v>21</v>
      </c>
      <c r="B2060" s="4" t="s">
        <v>39</v>
      </c>
      <c r="C2060" s="4" t="s">
        <v>37</v>
      </c>
      <c r="D2060" s="4" t="s">
        <v>42</v>
      </c>
      <c r="E2060" s="4" t="s">
        <v>25</v>
      </c>
      <c r="F2060" s="4" t="s">
        <v>25</v>
      </c>
      <c r="G2060" s="4" t="s">
        <v>25</v>
      </c>
      <c r="H2060" s="4" t="s">
        <v>35</v>
      </c>
      <c r="I2060" s="5">
        <v>43922</v>
      </c>
      <c r="J2060" s="6">
        <v>0</v>
      </c>
      <c r="K2060" s="6">
        <v>0</v>
      </c>
      <c r="L2060" s="6">
        <v>25.893000000000001</v>
      </c>
      <c r="M2060" s="6">
        <v>25.893000000000001</v>
      </c>
      <c r="N2060" s="6">
        <v>25.893000000000001</v>
      </c>
      <c r="O2060" s="6">
        <v>25.893000000000001</v>
      </c>
      <c r="P2060" s="6">
        <v>0</v>
      </c>
      <c r="Q2060" s="4" t="s">
        <v>26</v>
      </c>
      <c r="R2060" s="4">
        <v>0</v>
      </c>
      <c r="S2060" s="6">
        <v>0</v>
      </c>
      <c r="T2060" s="6">
        <v>70</v>
      </c>
      <c r="U2060" s="6">
        <v>113</v>
      </c>
      <c r="V2060" s="6">
        <f>IF(ISERROR(VLOOKUP($S$2060,'TAR FIN'!$A$1:$O$120,15,0)),0,VLOOKUP($S$2060,'TAR FIN'!$A$1:$O$120,15,0))</f>
        <v>0</v>
      </c>
      <c r="W2060" s="6">
        <f>IF(ISERROR(VLOOKUP($T$2060,'TAR FIN'!$A$1:$O$120,15,0)),0,VLOOKUP($T$2060,'TAR FIN'!$A$1:$O$120,15,0))</f>
        <v>552.01</v>
      </c>
      <c r="X2060" s="6">
        <f>IF(ISERROR(VLOOKUP($U$2060,'TAR FIN'!$A$1:$O$120,15,0)),0,VLOOKUP($U$2060,'TAR FIN'!$A$1:$O$120,15,0))</f>
        <v>430.87</v>
      </c>
      <c r="Y2060" s="6"/>
      <c r="Z2060" s="6">
        <f ca="1">('TUSD BE'!$AM$80+'TUSD BF'!$AM$80+'TUSD CVA'!$AM$80)*1</f>
        <v>625.84296780878549</v>
      </c>
      <c r="AA2060" s="6">
        <f>('TE BE'!$AA$44+'TE BF'!$AA$44+'TE CVA'!$AA$44)*1</f>
        <v>375.69180268700768</v>
      </c>
      <c r="AB2060" s="6">
        <f>$K$2060*$V$2060</f>
        <v>0</v>
      </c>
      <c r="AC2060" s="6">
        <f>$M$2060*$W$2060</f>
        <v>14293.19493</v>
      </c>
      <c r="AD2060" s="6">
        <f>$O$2060*$X$2060</f>
        <v>11156.51691</v>
      </c>
      <c r="AE2060" s="6">
        <f>$K$2060*$Y$2060</f>
        <v>0</v>
      </c>
      <c r="AF2060" s="6">
        <f ca="1">$M$2060*$Z$2060</f>
        <v>16204.951965472883</v>
      </c>
      <c r="AG2060" s="6">
        <f>$O$2060*$AA$2060</f>
        <v>9727.7878469746902</v>
      </c>
    </row>
    <row r="2061" spans="1:33" ht="11.25" customHeight="1" x14ac:dyDescent="0.25">
      <c r="A2061" s="4" t="s">
        <v>27</v>
      </c>
      <c r="B2061" s="4" t="s">
        <v>39</v>
      </c>
      <c r="C2061" s="4" t="s">
        <v>37</v>
      </c>
      <c r="D2061" s="4" t="s">
        <v>42</v>
      </c>
      <c r="E2061" s="4" t="s">
        <v>25</v>
      </c>
      <c r="F2061" s="4" t="s">
        <v>25</v>
      </c>
      <c r="G2061" s="4" t="s">
        <v>25</v>
      </c>
      <c r="H2061" s="4" t="s">
        <v>35</v>
      </c>
      <c r="I2061" s="5">
        <v>43922</v>
      </c>
      <c r="J2061" s="6">
        <v>0</v>
      </c>
      <c r="K2061" s="6">
        <v>0</v>
      </c>
      <c r="L2061" s="6">
        <v>0.26500000000000001</v>
      </c>
      <c r="M2061" s="6">
        <v>0.26500000000000001</v>
      </c>
      <c r="N2061" s="6">
        <v>0.26500000000000001</v>
      </c>
      <c r="O2061" s="6">
        <v>0.26500000000000001</v>
      </c>
      <c r="P2061" s="6">
        <v>0</v>
      </c>
      <c r="Q2061" s="4" t="s">
        <v>26</v>
      </c>
      <c r="R2061" s="4">
        <v>0</v>
      </c>
      <c r="S2061" s="6">
        <v>0</v>
      </c>
      <c r="T2061" s="6">
        <v>70</v>
      </c>
      <c r="U2061" s="6">
        <v>113</v>
      </c>
      <c r="V2061" s="6">
        <f>IF(ISERROR(VLOOKUP($S$2061,'TAR FIN'!$A$1:$O$120,15,0)),0,VLOOKUP($S$2061,'TAR FIN'!$A$1:$O$120,15,0))</f>
        <v>0</v>
      </c>
      <c r="W2061" s="6">
        <f>IF(ISERROR(VLOOKUP($T$2061,'TAR FIN'!$A$1:$O$120,15,0)),0,VLOOKUP($T$2061,'TAR FIN'!$A$1:$O$120,15,0))</f>
        <v>552.01</v>
      </c>
      <c r="X2061" s="6">
        <f>IF(ISERROR(VLOOKUP($U$2061,'TAR FIN'!$A$1:$O$120,15,0)),0,VLOOKUP($U$2061,'TAR FIN'!$A$1:$O$120,15,0))</f>
        <v>430.87</v>
      </c>
      <c r="Y2061" s="6"/>
      <c r="Z2061" s="6">
        <f ca="1">('TUSD BE'!$AM$80+'TUSD BF'!$AM$80+'TUSD CVA'!$AM$80)*1</f>
        <v>625.84296780878549</v>
      </c>
      <c r="AA2061" s="6">
        <f>('TE BE'!$AA$44+'TE BF'!$AA$44+'TE CVA'!$AA$44)*1</f>
        <v>375.69180268700768</v>
      </c>
      <c r="AB2061" s="6">
        <f>$K$2061*$V$2061</f>
        <v>0</v>
      </c>
      <c r="AC2061" s="6">
        <f>$M$2061*$W$2061</f>
        <v>146.28265000000002</v>
      </c>
      <c r="AD2061" s="6">
        <f>$O$2061*$X$2061</f>
        <v>114.18055000000001</v>
      </c>
      <c r="AE2061" s="6">
        <f>$K$2061*$Y$2061</f>
        <v>0</v>
      </c>
      <c r="AF2061" s="6">
        <f ca="1">$M$2061*$Z$2061</f>
        <v>165.84838646932818</v>
      </c>
      <c r="AG2061" s="6">
        <f>$O$2061*$AA$2061</f>
        <v>99.558327712057036</v>
      </c>
    </row>
    <row r="2062" spans="1:33" ht="11.25" customHeight="1" x14ac:dyDescent="0.25">
      <c r="A2062" s="4" t="s">
        <v>21</v>
      </c>
      <c r="B2062" s="4" t="s">
        <v>39</v>
      </c>
      <c r="C2062" s="4" t="s">
        <v>37</v>
      </c>
      <c r="D2062" s="4" t="s">
        <v>42</v>
      </c>
      <c r="E2062" s="4" t="s">
        <v>25</v>
      </c>
      <c r="F2062" s="4" t="s">
        <v>25</v>
      </c>
      <c r="G2062" s="4" t="s">
        <v>25</v>
      </c>
      <c r="H2062" s="4" t="s">
        <v>35</v>
      </c>
      <c r="I2062" s="5">
        <v>43952</v>
      </c>
      <c r="J2062" s="6">
        <v>0</v>
      </c>
      <c r="K2062" s="6">
        <v>0</v>
      </c>
      <c r="L2062" s="6">
        <v>18.023</v>
      </c>
      <c r="M2062" s="6">
        <v>18.023</v>
      </c>
      <c r="N2062" s="6">
        <v>18.023</v>
      </c>
      <c r="O2062" s="6">
        <v>18.023</v>
      </c>
      <c r="P2062" s="6">
        <v>0</v>
      </c>
      <c r="Q2062" s="4" t="s">
        <v>26</v>
      </c>
      <c r="R2062" s="4">
        <v>0</v>
      </c>
      <c r="S2062" s="6">
        <v>0</v>
      </c>
      <c r="T2062" s="6">
        <v>70</v>
      </c>
      <c r="U2062" s="6">
        <v>113</v>
      </c>
      <c r="V2062" s="6">
        <f>IF(ISERROR(VLOOKUP($S$2062,'TAR FIN'!$A$1:$O$120,15,0)),0,VLOOKUP($S$2062,'TAR FIN'!$A$1:$O$120,15,0))</f>
        <v>0</v>
      </c>
      <c r="W2062" s="6">
        <f>IF(ISERROR(VLOOKUP($T$2062,'TAR FIN'!$A$1:$O$120,15,0)),0,VLOOKUP($T$2062,'TAR FIN'!$A$1:$O$120,15,0))</f>
        <v>552.01</v>
      </c>
      <c r="X2062" s="6">
        <f>IF(ISERROR(VLOOKUP($U$2062,'TAR FIN'!$A$1:$O$120,15,0)),0,VLOOKUP($U$2062,'TAR FIN'!$A$1:$O$120,15,0))</f>
        <v>430.87</v>
      </c>
      <c r="Y2062" s="6"/>
      <c r="Z2062" s="6">
        <f ca="1">('TUSD BE'!$AM$80+'TUSD BF'!$AM$80+'TUSD CVA'!$AM$80)*1</f>
        <v>625.84296780878549</v>
      </c>
      <c r="AA2062" s="6">
        <f>('TE BE'!$AA$44+'TE BF'!$AA$44+'TE CVA'!$AA$44)*1</f>
        <v>375.69180268700768</v>
      </c>
      <c r="AB2062" s="6">
        <f>$K$2062*$V$2062</f>
        <v>0</v>
      </c>
      <c r="AC2062" s="6">
        <f>$M$2062*$W$2062</f>
        <v>9948.8762299999999</v>
      </c>
      <c r="AD2062" s="6">
        <f>$O$2062*$X$2062</f>
        <v>7765.5700100000004</v>
      </c>
      <c r="AE2062" s="6">
        <f>$K$2062*$Y$2062</f>
        <v>0</v>
      </c>
      <c r="AF2062" s="6">
        <f ca="1">$M$2062*$Z$2062</f>
        <v>11279.567808817741</v>
      </c>
      <c r="AG2062" s="6">
        <f>$O$2062*$AA$2062</f>
        <v>6771.0933598279389</v>
      </c>
    </row>
    <row r="2063" spans="1:33" ht="11.25" customHeight="1" x14ac:dyDescent="0.25">
      <c r="A2063" s="4" t="s">
        <v>27</v>
      </c>
      <c r="B2063" s="4" t="s">
        <v>39</v>
      </c>
      <c r="C2063" s="4" t="s">
        <v>37</v>
      </c>
      <c r="D2063" s="4" t="s">
        <v>42</v>
      </c>
      <c r="E2063" s="4" t="s">
        <v>25</v>
      </c>
      <c r="F2063" s="4" t="s">
        <v>25</v>
      </c>
      <c r="G2063" s="4" t="s">
        <v>25</v>
      </c>
      <c r="H2063" s="4" t="s">
        <v>35</v>
      </c>
      <c r="I2063" s="5">
        <v>43952</v>
      </c>
      <c r="J2063" s="6">
        <v>0</v>
      </c>
      <c r="K2063" s="6">
        <v>0</v>
      </c>
      <c r="L2063" s="6">
        <v>0.81299999999999994</v>
      </c>
      <c r="M2063" s="6">
        <v>0.81299999999999994</v>
      </c>
      <c r="N2063" s="6">
        <v>0.81299999999999994</v>
      </c>
      <c r="O2063" s="6">
        <v>0.81299999999999994</v>
      </c>
      <c r="P2063" s="6">
        <v>0</v>
      </c>
      <c r="Q2063" s="4" t="s">
        <v>26</v>
      </c>
      <c r="R2063" s="4">
        <v>0</v>
      </c>
      <c r="S2063" s="6">
        <v>0</v>
      </c>
      <c r="T2063" s="6">
        <v>70</v>
      </c>
      <c r="U2063" s="6">
        <v>113</v>
      </c>
      <c r="V2063" s="6">
        <f>IF(ISERROR(VLOOKUP($S$2063,'TAR FIN'!$A$1:$O$120,15,0)),0,VLOOKUP($S$2063,'TAR FIN'!$A$1:$O$120,15,0))</f>
        <v>0</v>
      </c>
      <c r="W2063" s="6">
        <f>IF(ISERROR(VLOOKUP($T$2063,'TAR FIN'!$A$1:$O$120,15,0)),0,VLOOKUP($T$2063,'TAR FIN'!$A$1:$O$120,15,0))</f>
        <v>552.01</v>
      </c>
      <c r="X2063" s="6">
        <f>IF(ISERROR(VLOOKUP($U$2063,'TAR FIN'!$A$1:$O$120,15,0)),0,VLOOKUP($U$2063,'TAR FIN'!$A$1:$O$120,15,0))</f>
        <v>430.87</v>
      </c>
      <c r="Y2063" s="6"/>
      <c r="Z2063" s="6">
        <f ca="1">('TUSD BE'!$AM$80+'TUSD BF'!$AM$80+'TUSD CVA'!$AM$80)*1</f>
        <v>625.84296780878549</v>
      </c>
      <c r="AA2063" s="6">
        <f>('TE BE'!$AA$44+'TE BF'!$AA$44+'TE CVA'!$AA$44)*1</f>
        <v>375.69180268700768</v>
      </c>
      <c r="AB2063" s="6">
        <f>$K$2063*$V$2063</f>
        <v>0</v>
      </c>
      <c r="AC2063" s="6">
        <f>$M$2063*$W$2063</f>
        <v>448.78412999999995</v>
      </c>
      <c r="AD2063" s="6">
        <f>$O$2063*$X$2063</f>
        <v>350.29730999999998</v>
      </c>
      <c r="AE2063" s="6">
        <f>$K$2063*$Y$2063</f>
        <v>0</v>
      </c>
      <c r="AF2063" s="6">
        <f ca="1">$M$2063*$Z$2063</f>
        <v>508.81033282854258</v>
      </c>
      <c r="AG2063" s="6">
        <f>$O$2063*$AA$2063</f>
        <v>305.43743558453724</v>
      </c>
    </row>
    <row r="2064" spans="1:33" ht="11.25" customHeight="1" x14ac:dyDescent="0.25">
      <c r="A2064" s="4" t="s">
        <v>21</v>
      </c>
      <c r="B2064" s="4" t="s">
        <v>39</v>
      </c>
      <c r="C2064" s="4" t="s">
        <v>37</v>
      </c>
      <c r="D2064" s="4" t="s">
        <v>42</v>
      </c>
      <c r="E2064" s="4" t="s">
        <v>25</v>
      </c>
      <c r="F2064" s="4" t="s">
        <v>25</v>
      </c>
      <c r="G2064" s="4" t="s">
        <v>25</v>
      </c>
      <c r="H2064" s="4" t="s">
        <v>35</v>
      </c>
      <c r="I2064" s="5">
        <v>43983</v>
      </c>
      <c r="J2064" s="6">
        <v>0</v>
      </c>
      <c r="K2064" s="6">
        <v>0</v>
      </c>
      <c r="L2064" s="6">
        <v>114.015</v>
      </c>
      <c r="M2064" s="6">
        <v>114.015</v>
      </c>
      <c r="N2064" s="6">
        <v>114.015</v>
      </c>
      <c r="O2064" s="6">
        <v>114.015</v>
      </c>
      <c r="P2064" s="6">
        <v>0</v>
      </c>
      <c r="Q2064" s="4" t="s">
        <v>26</v>
      </c>
      <c r="R2064" s="4">
        <v>0</v>
      </c>
      <c r="S2064" s="6">
        <v>0</v>
      </c>
      <c r="T2064" s="6">
        <v>70</v>
      </c>
      <c r="U2064" s="6">
        <v>113</v>
      </c>
      <c r="V2064" s="6">
        <f>IF(ISERROR(VLOOKUP($S$2064,'TAR FIN'!$A$1:$O$120,15,0)),0,VLOOKUP($S$2064,'TAR FIN'!$A$1:$O$120,15,0))</f>
        <v>0</v>
      </c>
      <c r="W2064" s="6">
        <f>IF(ISERROR(VLOOKUP($T$2064,'TAR FIN'!$A$1:$O$120,15,0)),0,VLOOKUP($T$2064,'TAR FIN'!$A$1:$O$120,15,0))</f>
        <v>552.01</v>
      </c>
      <c r="X2064" s="6">
        <f>IF(ISERROR(VLOOKUP($U$2064,'TAR FIN'!$A$1:$O$120,15,0)),0,VLOOKUP($U$2064,'TAR FIN'!$A$1:$O$120,15,0))</f>
        <v>430.87</v>
      </c>
      <c r="Y2064" s="6"/>
      <c r="Z2064" s="6">
        <f ca="1">('TUSD BE'!$AM$80+'TUSD BF'!$AM$80+'TUSD CVA'!$AM$80)*1</f>
        <v>625.84296780878549</v>
      </c>
      <c r="AA2064" s="6">
        <f>('TE BE'!$AA$44+'TE BF'!$AA$44+'TE CVA'!$AA$44)*1</f>
        <v>375.69180268700768</v>
      </c>
      <c r="AB2064" s="6">
        <f>$K$2064*$V$2064</f>
        <v>0</v>
      </c>
      <c r="AC2064" s="6">
        <f>$M$2064*$W$2064</f>
        <v>62937.420149999998</v>
      </c>
      <c r="AD2064" s="6">
        <f>$O$2064*$X$2064</f>
        <v>49125.643049999999</v>
      </c>
      <c r="AE2064" s="6">
        <f>$K$2064*$Y$2064</f>
        <v>0</v>
      </c>
      <c r="AF2064" s="6">
        <f ca="1">$M$2064*$Z$2064</f>
        <v>71355.485974718671</v>
      </c>
      <c r="AG2064" s="6">
        <f>$O$2064*$AA$2064</f>
        <v>42834.500883359178</v>
      </c>
    </row>
    <row r="2065" spans="1:33" ht="11.25" customHeight="1" x14ac:dyDescent="0.25">
      <c r="A2065" s="4" t="s">
        <v>27</v>
      </c>
      <c r="B2065" s="4" t="s">
        <v>39</v>
      </c>
      <c r="C2065" s="4" t="s">
        <v>37</v>
      </c>
      <c r="D2065" s="4" t="s">
        <v>42</v>
      </c>
      <c r="E2065" s="4" t="s">
        <v>25</v>
      </c>
      <c r="F2065" s="4" t="s">
        <v>25</v>
      </c>
      <c r="G2065" s="4" t="s">
        <v>25</v>
      </c>
      <c r="H2065" s="4" t="s">
        <v>35</v>
      </c>
      <c r="I2065" s="5">
        <v>43983</v>
      </c>
      <c r="J2065" s="6">
        <v>0</v>
      </c>
      <c r="K2065" s="6">
        <v>0</v>
      </c>
      <c r="L2065" s="6">
        <v>0.215</v>
      </c>
      <c r="M2065" s="6">
        <v>0.215</v>
      </c>
      <c r="N2065" s="6">
        <v>0.215</v>
      </c>
      <c r="O2065" s="6">
        <v>0.215</v>
      </c>
      <c r="P2065" s="6">
        <v>0</v>
      </c>
      <c r="Q2065" s="4" t="s">
        <v>26</v>
      </c>
      <c r="R2065" s="4">
        <v>0</v>
      </c>
      <c r="S2065" s="6">
        <v>0</v>
      </c>
      <c r="T2065" s="6">
        <v>70</v>
      </c>
      <c r="U2065" s="6">
        <v>113</v>
      </c>
      <c r="V2065" s="6">
        <f>IF(ISERROR(VLOOKUP($S$2065,'TAR FIN'!$A$1:$O$120,15,0)),0,VLOOKUP($S$2065,'TAR FIN'!$A$1:$O$120,15,0))</f>
        <v>0</v>
      </c>
      <c r="W2065" s="6">
        <f>IF(ISERROR(VLOOKUP($T$2065,'TAR FIN'!$A$1:$O$120,15,0)),0,VLOOKUP($T$2065,'TAR FIN'!$A$1:$O$120,15,0))</f>
        <v>552.01</v>
      </c>
      <c r="X2065" s="6">
        <f>IF(ISERROR(VLOOKUP($U$2065,'TAR FIN'!$A$1:$O$120,15,0)),0,VLOOKUP($U$2065,'TAR FIN'!$A$1:$O$120,15,0))</f>
        <v>430.87</v>
      </c>
      <c r="Y2065" s="6"/>
      <c r="Z2065" s="6">
        <f ca="1">('TUSD BE'!$AM$80+'TUSD BF'!$AM$80+'TUSD CVA'!$AM$80)*1</f>
        <v>625.84296780878549</v>
      </c>
      <c r="AA2065" s="6">
        <f>('TE BE'!$AA$44+'TE BF'!$AA$44+'TE CVA'!$AA$44)*1</f>
        <v>375.69180268700768</v>
      </c>
      <c r="AB2065" s="6">
        <f>$K$2065*$V$2065</f>
        <v>0</v>
      </c>
      <c r="AC2065" s="6">
        <f>$M$2065*$W$2065</f>
        <v>118.68214999999999</v>
      </c>
      <c r="AD2065" s="6">
        <f>$O$2065*$X$2065</f>
        <v>92.637050000000002</v>
      </c>
      <c r="AE2065" s="6">
        <f>$K$2065*$Y$2065</f>
        <v>0</v>
      </c>
      <c r="AF2065" s="6">
        <f ca="1">$M$2065*$Z$2065</f>
        <v>134.55623807888887</v>
      </c>
      <c r="AG2065" s="6">
        <f>$O$2065*$AA$2065</f>
        <v>80.773737577706655</v>
      </c>
    </row>
    <row r="2066" spans="1:33" ht="11.25" customHeight="1" x14ac:dyDescent="0.25">
      <c r="A2066" s="4" t="s">
        <v>21</v>
      </c>
      <c r="B2066" s="4" t="s">
        <v>39</v>
      </c>
      <c r="C2066" s="4" t="s">
        <v>37</v>
      </c>
      <c r="D2066" s="4" t="s">
        <v>42</v>
      </c>
      <c r="E2066" s="4" t="s">
        <v>25</v>
      </c>
      <c r="F2066" s="4" t="s">
        <v>25</v>
      </c>
      <c r="G2066" s="4" t="s">
        <v>25</v>
      </c>
      <c r="H2066" s="4" t="s">
        <v>35</v>
      </c>
      <c r="I2066" s="5">
        <v>44013</v>
      </c>
      <c r="J2066" s="6">
        <v>0</v>
      </c>
      <c r="K2066" s="6">
        <v>0</v>
      </c>
      <c r="L2066" s="6">
        <v>123.503</v>
      </c>
      <c r="M2066" s="6">
        <v>123.503</v>
      </c>
      <c r="N2066" s="6">
        <v>123.503</v>
      </c>
      <c r="O2066" s="6">
        <v>123.503</v>
      </c>
      <c r="P2066" s="6">
        <v>0</v>
      </c>
      <c r="Q2066" s="4" t="s">
        <v>26</v>
      </c>
      <c r="R2066" s="4">
        <v>0</v>
      </c>
      <c r="S2066" s="6">
        <v>0</v>
      </c>
      <c r="T2066" s="6">
        <v>70</v>
      </c>
      <c r="U2066" s="6">
        <v>113</v>
      </c>
      <c r="V2066" s="6">
        <f>IF(ISERROR(VLOOKUP($S$2066,'TAR FIN'!$A$1:$O$120,15,0)),0,VLOOKUP($S$2066,'TAR FIN'!$A$1:$O$120,15,0))</f>
        <v>0</v>
      </c>
      <c r="W2066" s="6">
        <f>IF(ISERROR(VLOOKUP($T$2066,'TAR FIN'!$A$1:$O$120,15,0)),0,VLOOKUP($T$2066,'TAR FIN'!$A$1:$O$120,15,0))</f>
        <v>552.01</v>
      </c>
      <c r="X2066" s="6">
        <f>IF(ISERROR(VLOOKUP($U$2066,'TAR FIN'!$A$1:$O$120,15,0)),0,VLOOKUP($U$2066,'TAR FIN'!$A$1:$O$120,15,0))</f>
        <v>430.87</v>
      </c>
      <c r="Y2066" s="6"/>
      <c r="Z2066" s="6">
        <f ca="1">('TUSD BE'!$AM$80+'TUSD BF'!$AM$80+'TUSD CVA'!$AM$80)*1</f>
        <v>625.84296780878549</v>
      </c>
      <c r="AA2066" s="6">
        <f>('TE BE'!$AA$44+'TE BF'!$AA$44+'TE CVA'!$AA$44)*1</f>
        <v>375.69180268700768</v>
      </c>
      <c r="AB2066" s="6">
        <f>$K$2066*$V$2066</f>
        <v>0</v>
      </c>
      <c r="AC2066" s="6">
        <f>$M$2066*$W$2066</f>
        <v>68174.891029999999</v>
      </c>
      <c r="AD2066" s="6">
        <f>$O$2066*$X$2066</f>
        <v>53213.737610000004</v>
      </c>
      <c r="AE2066" s="6">
        <f>$K$2066*$Y$2066</f>
        <v>0</v>
      </c>
      <c r="AF2066" s="6">
        <f ca="1">$M$2066*$Z$2066</f>
        <v>77293.484053288441</v>
      </c>
      <c r="AG2066" s="6">
        <f>$O$2066*$AA$2066</f>
        <v>46399.064707253507</v>
      </c>
    </row>
    <row r="2067" spans="1:33" ht="11.25" customHeight="1" x14ac:dyDescent="0.25">
      <c r="A2067" s="4" t="s">
        <v>27</v>
      </c>
      <c r="B2067" s="4" t="s">
        <v>39</v>
      </c>
      <c r="C2067" s="4" t="s">
        <v>37</v>
      </c>
      <c r="D2067" s="4" t="s">
        <v>42</v>
      </c>
      <c r="E2067" s="4" t="s">
        <v>25</v>
      </c>
      <c r="F2067" s="4" t="s">
        <v>25</v>
      </c>
      <c r="G2067" s="4" t="s">
        <v>25</v>
      </c>
      <c r="H2067" s="4" t="s">
        <v>35</v>
      </c>
      <c r="I2067" s="5">
        <v>44013</v>
      </c>
      <c r="J2067" s="6">
        <v>0</v>
      </c>
      <c r="K2067" s="6">
        <v>0</v>
      </c>
      <c r="L2067" s="6">
        <v>6.4000000000000001E-2</v>
      </c>
      <c r="M2067" s="6">
        <v>6.4000000000000001E-2</v>
      </c>
      <c r="N2067" s="6">
        <v>6.4000000000000001E-2</v>
      </c>
      <c r="O2067" s="6">
        <v>6.4000000000000001E-2</v>
      </c>
      <c r="P2067" s="6">
        <v>0</v>
      </c>
      <c r="Q2067" s="4" t="s">
        <v>26</v>
      </c>
      <c r="R2067" s="4">
        <v>0</v>
      </c>
      <c r="S2067" s="6">
        <v>0</v>
      </c>
      <c r="T2067" s="6">
        <v>70</v>
      </c>
      <c r="U2067" s="6">
        <v>113</v>
      </c>
      <c r="V2067" s="6">
        <f>IF(ISERROR(VLOOKUP($S$2067,'TAR FIN'!$A$1:$O$120,15,0)),0,VLOOKUP($S$2067,'TAR FIN'!$A$1:$O$120,15,0))</f>
        <v>0</v>
      </c>
      <c r="W2067" s="6">
        <f>IF(ISERROR(VLOOKUP($T$2067,'TAR FIN'!$A$1:$O$120,15,0)),0,VLOOKUP($T$2067,'TAR FIN'!$A$1:$O$120,15,0))</f>
        <v>552.01</v>
      </c>
      <c r="X2067" s="6">
        <f>IF(ISERROR(VLOOKUP($U$2067,'TAR FIN'!$A$1:$O$120,15,0)),0,VLOOKUP($U$2067,'TAR FIN'!$A$1:$O$120,15,0))</f>
        <v>430.87</v>
      </c>
      <c r="Y2067" s="6"/>
      <c r="Z2067" s="6">
        <f ca="1">('TUSD BE'!$AM$80+'TUSD BF'!$AM$80+'TUSD CVA'!$AM$80)*1</f>
        <v>625.84296780878549</v>
      </c>
      <c r="AA2067" s="6">
        <f>('TE BE'!$AA$44+'TE BF'!$AA$44+'TE CVA'!$AA$44)*1</f>
        <v>375.69180268700768</v>
      </c>
      <c r="AB2067" s="6">
        <f>$K$2067*$V$2067</f>
        <v>0</v>
      </c>
      <c r="AC2067" s="6">
        <f>$M$2067*$W$2067</f>
        <v>35.32864</v>
      </c>
      <c r="AD2067" s="6">
        <f>$O$2067*$X$2067</f>
        <v>27.575680000000002</v>
      </c>
      <c r="AE2067" s="6">
        <f>$K$2067*$Y$2067</f>
        <v>0</v>
      </c>
      <c r="AF2067" s="6">
        <f ca="1">$M$2067*$Z$2067</f>
        <v>40.053949939762269</v>
      </c>
      <c r="AG2067" s="6">
        <f>$O$2067*$AA$2067</f>
        <v>24.044275371968492</v>
      </c>
    </row>
    <row r="2068" spans="1:33" ht="11.25" customHeight="1" x14ac:dyDescent="0.25">
      <c r="A2068" s="4" t="s">
        <v>27</v>
      </c>
      <c r="B2068" s="4" t="s">
        <v>39</v>
      </c>
      <c r="C2068" s="4" t="s">
        <v>37</v>
      </c>
      <c r="D2068" s="4" t="s">
        <v>42</v>
      </c>
      <c r="E2068" s="4" t="s">
        <v>25</v>
      </c>
      <c r="F2068" s="4" t="s">
        <v>25</v>
      </c>
      <c r="G2068" s="4" t="s">
        <v>25</v>
      </c>
      <c r="H2068" s="4" t="s">
        <v>35</v>
      </c>
      <c r="I2068" s="5">
        <v>44044</v>
      </c>
      <c r="J2068" s="6">
        <v>0</v>
      </c>
      <c r="K2068" s="6">
        <v>0</v>
      </c>
      <c r="L2068" s="6">
        <v>-176.52600000000001</v>
      </c>
      <c r="M2068" s="6">
        <v>-176.52600000000001</v>
      </c>
      <c r="N2068" s="6">
        <v>-176.52600000000001</v>
      </c>
      <c r="O2068" s="6">
        <v>-176.52600000000001</v>
      </c>
      <c r="P2068" s="6">
        <v>0</v>
      </c>
      <c r="Q2068" s="4" t="s">
        <v>26</v>
      </c>
      <c r="R2068" s="4">
        <v>0</v>
      </c>
      <c r="S2068" s="6">
        <v>0</v>
      </c>
      <c r="T2068" s="6">
        <v>70</v>
      </c>
      <c r="U2068" s="6">
        <v>113</v>
      </c>
      <c r="V2068" s="6">
        <f>IF(ISERROR(VLOOKUP($S$2068,'TAR FIN'!$A$1:$O$120,15,0)),0,VLOOKUP($S$2068,'TAR FIN'!$A$1:$O$120,15,0))</f>
        <v>0</v>
      </c>
      <c r="W2068" s="6">
        <f>IF(ISERROR(VLOOKUP($T$2068,'TAR FIN'!$A$1:$O$120,15,0)),0,VLOOKUP($T$2068,'TAR FIN'!$A$1:$O$120,15,0))</f>
        <v>552.01</v>
      </c>
      <c r="X2068" s="6">
        <f>IF(ISERROR(VLOOKUP($U$2068,'TAR FIN'!$A$1:$O$120,15,0)),0,VLOOKUP($U$2068,'TAR FIN'!$A$1:$O$120,15,0))</f>
        <v>430.87</v>
      </c>
      <c r="Y2068" s="6"/>
      <c r="Z2068" s="6">
        <f ca="1">('TUSD BE'!$AM$80+'TUSD BF'!$AM$80+'TUSD CVA'!$AM$80)*1</f>
        <v>625.84296780878549</v>
      </c>
      <c r="AA2068" s="6">
        <f>('TE BE'!$AA$44+'TE BF'!$AA$44+'TE CVA'!$AA$44)*1</f>
        <v>375.69180268700768</v>
      </c>
      <c r="AB2068" s="6">
        <f>$K$2068*$V$2068</f>
        <v>0</v>
      </c>
      <c r="AC2068" s="6">
        <f>$M$2068*$W$2068</f>
        <v>-97444.117259999999</v>
      </c>
      <c r="AD2068" s="6">
        <f>$O$2068*$X$2068</f>
        <v>-76059.757620000004</v>
      </c>
      <c r="AE2068" s="6">
        <f>$K$2068*$Y$2068</f>
        <v>0</v>
      </c>
      <c r="AF2068" s="6">
        <f ca="1">$M$2068*$Z$2068</f>
        <v>-110477.55573541367</v>
      </c>
      <c r="AG2068" s="6">
        <f>$O$2068*$AA$2068</f>
        <v>-66319.371161126721</v>
      </c>
    </row>
    <row r="2069" spans="1:33" ht="11.25" customHeight="1" x14ac:dyDescent="0.25">
      <c r="A2069" s="4" t="s">
        <v>59</v>
      </c>
      <c r="B2069" s="4" t="s">
        <v>39</v>
      </c>
      <c r="C2069" s="4" t="s">
        <v>37</v>
      </c>
      <c r="D2069" s="4" t="s">
        <v>42</v>
      </c>
      <c r="E2069" s="4" t="s">
        <v>25</v>
      </c>
      <c r="F2069" s="4" t="s">
        <v>25</v>
      </c>
      <c r="G2069" s="4" t="s">
        <v>25</v>
      </c>
      <c r="H2069" s="4" t="s">
        <v>35</v>
      </c>
      <c r="I2069" s="5">
        <v>44075</v>
      </c>
      <c r="J2069" s="6">
        <v>0</v>
      </c>
      <c r="K2069" s="6">
        <v>0</v>
      </c>
      <c r="L2069" s="6">
        <v>-176.52600000000001</v>
      </c>
      <c r="M2069" s="6">
        <v>-176.52600000000001</v>
      </c>
      <c r="N2069" s="6">
        <v>-176.52600000000001</v>
      </c>
      <c r="O2069" s="6">
        <v>-176.52600000000001</v>
      </c>
      <c r="P2069" s="6">
        <v>0</v>
      </c>
      <c r="Q2069" s="4" t="s">
        <v>26</v>
      </c>
      <c r="R2069" s="4">
        <v>0</v>
      </c>
      <c r="S2069" s="6">
        <v>0</v>
      </c>
      <c r="T2069" s="6">
        <v>70</v>
      </c>
      <c r="U2069" s="6">
        <v>113</v>
      </c>
      <c r="V2069" s="6">
        <f>IF(ISERROR(VLOOKUP($S$2069,'TAR FIN'!$A$1:$O$120,15,0)),0,VLOOKUP($S$2069,'TAR FIN'!$A$1:$O$120,15,0))</f>
        <v>0</v>
      </c>
      <c r="W2069" s="6">
        <f>IF(ISERROR(VLOOKUP($T$2069,'TAR FIN'!$A$1:$O$120,15,0)),0,VLOOKUP($T$2069,'TAR FIN'!$A$1:$O$120,15,0))</f>
        <v>552.01</v>
      </c>
      <c r="X2069" s="6">
        <f>IF(ISERROR(VLOOKUP($U$2069,'TAR FIN'!$A$1:$O$120,15,0)),0,VLOOKUP($U$2069,'TAR FIN'!$A$1:$O$120,15,0))</f>
        <v>430.87</v>
      </c>
      <c r="Y2069" s="6"/>
      <c r="Z2069" s="6">
        <f ca="1">('TUSD BE'!$AM$80+'TUSD BF'!$AM$80+'TUSD CVA'!$AM$80)*1</f>
        <v>625.84296780878549</v>
      </c>
      <c r="AA2069" s="6">
        <f>('TE BE'!$AA$44+'TE BF'!$AA$44+'TE CVA'!$AA$44)*1</f>
        <v>375.69180268700768</v>
      </c>
      <c r="AB2069" s="6">
        <f>$K$2069*$V$2069</f>
        <v>0</v>
      </c>
      <c r="AC2069" s="6">
        <f>$M$2069*$W$2069</f>
        <v>-97444.117259999999</v>
      </c>
      <c r="AD2069" s="6">
        <f>$O$2069*$X$2069</f>
        <v>-76059.757620000004</v>
      </c>
      <c r="AE2069" s="6">
        <f>$K$2069*$Y$2069</f>
        <v>0</v>
      </c>
      <c r="AF2069" s="6">
        <f ca="1">$M$2069*$Z$2069</f>
        <v>-110477.55573541367</v>
      </c>
      <c r="AG2069" s="6">
        <f>$O$2069*$AA$2069</f>
        <v>-66319.371161126721</v>
      </c>
    </row>
    <row r="2070" spans="1:33" ht="11.25" customHeight="1" x14ac:dyDescent="0.25">
      <c r="A2070" s="4" t="s">
        <v>21</v>
      </c>
      <c r="B2070" s="4" t="s">
        <v>39</v>
      </c>
      <c r="C2070" s="4" t="s">
        <v>37</v>
      </c>
      <c r="D2070" s="4" t="s">
        <v>40</v>
      </c>
      <c r="E2070" s="4" t="s">
        <v>25</v>
      </c>
      <c r="F2070" s="4" t="s">
        <v>25</v>
      </c>
      <c r="G2070" s="4" t="s">
        <v>25</v>
      </c>
      <c r="H2070" s="4" t="s">
        <v>36</v>
      </c>
      <c r="I2070" s="5">
        <v>43739</v>
      </c>
      <c r="J2070" s="6">
        <v>0</v>
      </c>
      <c r="K2070" s="6">
        <v>0</v>
      </c>
      <c r="L2070" s="6">
        <v>33.978999999999999</v>
      </c>
      <c r="M2070" s="6">
        <v>33.978999999999999</v>
      </c>
      <c r="N2070" s="6">
        <v>33.978999999999999</v>
      </c>
      <c r="O2070" s="6">
        <v>33.978999999999999</v>
      </c>
      <c r="P2070" s="6">
        <v>0</v>
      </c>
      <c r="Q2070" s="4" t="s">
        <v>26</v>
      </c>
      <c r="R2070" s="4">
        <v>0</v>
      </c>
      <c r="S2070" s="6">
        <v>0</v>
      </c>
      <c r="T2070" s="6">
        <v>72</v>
      </c>
      <c r="U2070" s="6">
        <v>115</v>
      </c>
      <c r="V2070" s="6">
        <f>IF(ISERROR(VLOOKUP($S$2070,'TAR FIN'!$A$1:$O$120,15,0)),0,VLOOKUP($S$2070,'TAR FIN'!$A$1:$O$120,15,0))</f>
        <v>0</v>
      </c>
      <c r="W2070" s="6">
        <f>IF(ISERROR(VLOOKUP($T$2070,'TAR FIN'!$A$1:$O$120,15,0)),0,VLOOKUP($T$2070,'TAR FIN'!$A$1:$O$120,15,0))</f>
        <v>197.19</v>
      </c>
      <c r="X2070" s="6">
        <f>IF(ISERROR(VLOOKUP($U$2070,'TAR FIN'!$A$1:$O$120,15,0)),0,VLOOKUP($U$2070,'TAR FIN'!$A$1:$O$120,15,0))</f>
        <v>256.38</v>
      </c>
      <c r="Y2070" s="6"/>
      <c r="Z2070" s="6">
        <f ca="1">('TUSD BE'!$AM$82+'TUSD BF'!$AM$82+'TUSD CVA'!$AM$82)*1</f>
        <v>213.95322604891325</v>
      </c>
      <c r="AA2070" s="6">
        <f>('TE BE'!$AA$46+'TE BF'!$AA$46+'TE CVA'!$AA$46)*1</f>
        <v>230.83420940933817</v>
      </c>
      <c r="AB2070" s="6">
        <f>$K$2070*$V$2070</f>
        <v>0</v>
      </c>
      <c r="AC2070" s="6">
        <f>$M$2070*$W$2070</f>
        <v>6700.3190100000002</v>
      </c>
      <c r="AD2070" s="6">
        <f>$O$2070*$X$2070</f>
        <v>8711.5360199999996</v>
      </c>
      <c r="AE2070" s="6">
        <f>$K$2070*$Y$2070</f>
        <v>0</v>
      </c>
      <c r="AF2070" s="6">
        <f ca="1">$M$2070*$Z$2070</f>
        <v>7269.9166679160235</v>
      </c>
      <c r="AG2070" s="6">
        <f>$O$2070*$AA$2070</f>
        <v>7843.5156015199018</v>
      </c>
    </row>
    <row r="2071" spans="1:33" ht="11.25" customHeight="1" x14ac:dyDescent="0.25">
      <c r="A2071" s="4" t="s">
        <v>21</v>
      </c>
      <c r="B2071" s="4" t="s">
        <v>39</v>
      </c>
      <c r="C2071" s="4" t="s">
        <v>37</v>
      </c>
      <c r="D2071" s="4" t="s">
        <v>40</v>
      </c>
      <c r="E2071" s="4" t="s">
        <v>25</v>
      </c>
      <c r="F2071" s="4" t="s">
        <v>25</v>
      </c>
      <c r="G2071" s="4" t="s">
        <v>25</v>
      </c>
      <c r="H2071" s="4" t="s">
        <v>36</v>
      </c>
      <c r="I2071" s="5">
        <v>43770</v>
      </c>
      <c r="J2071" s="6">
        <v>0</v>
      </c>
      <c r="K2071" s="6">
        <v>0</v>
      </c>
      <c r="L2071" s="6">
        <v>35.18</v>
      </c>
      <c r="M2071" s="6">
        <v>35.18</v>
      </c>
      <c r="N2071" s="6">
        <v>35.18</v>
      </c>
      <c r="O2071" s="6">
        <v>35.18</v>
      </c>
      <c r="P2071" s="6">
        <v>0</v>
      </c>
      <c r="Q2071" s="4" t="s">
        <v>26</v>
      </c>
      <c r="R2071" s="4">
        <v>0</v>
      </c>
      <c r="S2071" s="6">
        <v>0</v>
      </c>
      <c r="T2071" s="6">
        <v>72</v>
      </c>
      <c r="U2071" s="6">
        <v>115</v>
      </c>
      <c r="V2071" s="6">
        <f>IF(ISERROR(VLOOKUP($S$2071,'TAR FIN'!$A$1:$O$120,15,0)),0,VLOOKUP($S$2071,'TAR FIN'!$A$1:$O$120,15,0))</f>
        <v>0</v>
      </c>
      <c r="W2071" s="6">
        <f>IF(ISERROR(VLOOKUP($T$2071,'TAR FIN'!$A$1:$O$120,15,0)),0,VLOOKUP($T$2071,'TAR FIN'!$A$1:$O$120,15,0))</f>
        <v>197.19</v>
      </c>
      <c r="X2071" s="6">
        <f>IF(ISERROR(VLOOKUP($U$2071,'TAR FIN'!$A$1:$O$120,15,0)),0,VLOOKUP($U$2071,'TAR FIN'!$A$1:$O$120,15,0))</f>
        <v>256.38</v>
      </c>
      <c r="Y2071" s="6"/>
      <c r="Z2071" s="6">
        <f ca="1">('TUSD BE'!$AM$82+'TUSD BF'!$AM$82+'TUSD CVA'!$AM$82)*1</f>
        <v>213.95322604891325</v>
      </c>
      <c r="AA2071" s="6">
        <f>('TE BE'!$AA$46+'TE BF'!$AA$46+'TE CVA'!$AA$46)*1</f>
        <v>230.83420940933817</v>
      </c>
      <c r="AB2071" s="6">
        <f>$K$2071*$V$2071</f>
        <v>0</v>
      </c>
      <c r="AC2071" s="6">
        <f>$M$2071*$W$2071</f>
        <v>6937.1441999999997</v>
      </c>
      <c r="AD2071" s="6">
        <f>$O$2071*$X$2071</f>
        <v>9019.4483999999993</v>
      </c>
      <c r="AE2071" s="6">
        <f>$K$2071*$Y$2071</f>
        <v>0</v>
      </c>
      <c r="AF2071" s="6">
        <f ca="1">$M$2071*$Z$2071</f>
        <v>7526.8744924007678</v>
      </c>
      <c r="AG2071" s="6">
        <f>$O$2071*$AA$2071</f>
        <v>8120.7474870205169</v>
      </c>
    </row>
    <row r="2072" spans="1:33" ht="11.25" customHeight="1" x14ac:dyDescent="0.25">
      <c r="A2072" s="4" t="s">
        <v>21</v>
      </c>
      <c r="B2072" s="4" t="s">
        <v>39</v>
      </c>
      <c r="C2072" s="4" t="s">
        <v>37</v>
      </c>
      <c r="D2072" s="4" t="s">
        <v>40</v>
      </c>
      <c r="E2072" s="4" t="s">
        <v>25</v>
      </c>
      <c r="F2072" s="4" t="s">
        <v>25</v>
      </c>
      <c r="G2072" s="4" t="s">
        <v>25</v>
      </c>
      <c r="H2072" s="4" t="s">
        <v>36</v>
      </c>
      <c r="I2072" s="5">
        <v>43800</v>
      </c>
      <c r="J2072" s="6">
        <v>0</v>
      </c>
      <c r="K2072" s="6">
        <v>0</v>
      </c>
      <c r="L2072" s="6">
        <v>32.433</v>
      </c>
      <c r="M2072" s="6">
        <v>32.433</v>
      </c>
      <c r="N2072" s="6">
        <v>32.433</v>
      </c>
      <c r="O2072" s="6">
        <v>32.433</v>
      </c>
      <c r="P2072" s="6">
        <v>0</v>
      </c>
      <c r="Q2072" s="4" t="s">
        <v>26</v>
      </c>
      <c r="R2072" s="4">
        <v>0</v>
      </c>
      <c r="S2072" s="6">
        <v>0</v>
      </c>
      <c r="T2072" s="6">
        <v>72</v>
      </c>
      <c r="U2072" s="6">
        <v>115</v>
      </c>
      <c r="V2072" s="6">
        <f>IF(ISERROR(VLOOKUP($S$2072,'TAR FIN'!$A$1:$O$120,15,0)),0,VLOOKUP($S$2072,'TAR FIN'!$A$1:$O$120,15,0))</f>
        <v>0</v>
      </c>
      <c r="W2072" s="6">
        <f>IF(ISERROR(VLOOKUP($T$2072,'TAR FIN'!$A$1:$O$120,15,0)),0,VLOOKUP($T$2072,'TAR FIN'!$A$1:$O$120,15,0))</f>
        <v>197.19</v>
      </c>
      <c r="X2072" s="6">
        <f>IF(ISERROR(VLOOKUP($U$2072,'TAR FIN'!$A$1:$O$120,15,0)),0,VLOOKUP($U$2072,'TAR FIN'!$A$1:$O$120,15,0))</f>
        <v>256.38</v>
      </c>
      <c r="Y2072" s="6"/>
      <c r="Z2072" s="6">
        <f ca="1">('TUSD BE'!$AM$82+'TUSD BF'!$AM$82+'TUSD CVA'!$AM$82)*1</f>
        <v>213.95322604891325</v>
      </c>
      <c r="AA2072" s="6">
        <f>('TE BE'!$AA$46+'TE BF'!$AA$46+'TE CVA'!$AA$46)*1</f>
        <v>230.83420940933817</v>
      </c>
      <c r="AB2072" s="6">
        <f>$K$2072*$V$2072</f>
        <v>0</v>
      </c>
      <c r="AC2072" s="6">
        <f>$M$2072*$W$2072</f>
        <v>6395.4632700000002</v>
      </c>
      <c r="AD2072" s="6">
        <f>$O$2072*$X$2072</f>
        <v>8315.1725399999996</v>
      </c>
      <c r="AE2072" s="6">
        <f>$K$2072*$Y$2072</f>
        <v>0</v>
      </c>
      <c r="AF2072" s="6">
        <f ca="1">$M$2072*$Z$2072</f>
        <v>6939.1449804444037</v>
      </c>
      <c r="AG2072" s="6">
        <f>$O$2072*$AA$2072</f>
        <v>7486.6459137730653</v>
      </c>
    </row>
    <row r="2073" spans="1:33" ht="11.25" customHeight="1" x14ac:dyDescent="0.25">
      <c r="A2073" s="4" t="s">
        <v>21</v>
      </c>
      <c r="B2073" s="4" t="s">
        <v>39</v>
      </c>
      <c r="C2073" s="4" t="s">
        <v>37</v>
      </c>
      <c r="D2073" s="4" t="s">
        <v>40</v>
      </c>
      <c r="E2073" s="4" t="s">
        <v>25</v>
      </c>
      <c r="F2073" s="4" t="s">
        <v>25</v>
      </c>
      <c r="G2073" s="4" t="s">
        <v>25</v>
      </c>
      <c r="H2073" s="4" t="s">
        <v>36</v>
      </c>
      <c r="I2073" s="5">
        <v>43831</v>
      </c>
      <c r="J2073" s="6">
        <v>0</v>
      </c>
      <c r="K2073" s="6">
        <v>0</v>
      </c>
      <c r="L2073" s="6">
        <v>31.699000000000002</v>
      </c>
      <c r="M2073" s="6">
        <v>31.699000000000002</v>
      </c>
      <c r="N2073" s="6">
        <v>31.699000000000002</v>
      </c>
      <c r="O2073" s="6">
        <v>31.699000000000002</v>
      </c>
      <c r="P2073" s="6">
        <v>0</v>
      </c>
      <c r="Q2073" s="4" t="s">
        <v>26</v>
      </c>
      <c r="R2073" s="4">
        <v>0</v>
      </c>
      <c r="S2073" s="6">
        <v>0</v>
      </c>
      <c r="T2073" s="6">
        <v>72</v>
      </c>
      <c r="U2073" s="6">
        <v>115</v>
      </c>
      <c r="V2073" s="6">
        <f>IF(ISERROR(VLOOKUP($S$2073,'TAR FIN'!$A$1:$O$120,15,0)),0,VLOOKUP($S$2073,'TAR FIN'!$A$1:$O$120,15,0))</f>
        <v>0</v>
      </c>
      <c r="W2073" s="6">
        <f>IF(ISERROR(VLOOKUP($T$2073,'TAR FIN'!$A$1:$O$120,15,0)),0,VLOOKUP($T$2073,'TAR FIN'!$A$1:$O$120,15,0))</f>
        <v>197.19</v>
      </c>
      <c r="X2073" s="6">
        <f>IF(ISERROR(VLOOKUP($U$2073,'TAR FIN'!$A$1:$O$120,15,0)),0,VLOOKUP($U$2073,'TAR FIN'!$A$1:$O$120,15,0))</f>
        <v>256.38</v>
      </c>
      <c r="Y2073" s="6"/>
      <c r="Z2073" s="6">
        <f ca="1">('TUSD BE'!$AM$82+'TUSD BF'!$AM$82+'TUSD CVA'!$AM$82)*1</f>
        <v>213.95322604891325</v>
      </c>
      <c r="AA2073" s="6">
        <f>('TE BE'!$AA$46+'TE BF'!$AA$46+'TE CVA'!$AA$46)*1</f>
        <v>230.83420940933817</v>
      </c>
      <c r="AB2073" s="6">
        <f>$K$2073*$V$2073</f>
        <v>0</v>
      </c>
      <c r="AC2073" s="6">
        <f>$M$2073*$W$2073</f>
        <v>6250.7258099999999</v>
      </c>
      <c r="AD2073" s="6">
        <f>$O$2073*$X$2073</f>
        <v>8126.9896200000003</v>
      </c>
      <c r="AE2073" s="6">
        <f>$K$2073*$Y$2073</f>
        <v>0</v>
      </c>
      <c r="AF2073" s="6">
        <f ca="1">$M$2073*$Z$2073</f>
        <v>6782.1033125245012</v>
      </c>
      <c r="AG2073" s="6">
        <f>$O$2073*$AA$2073</f>
        <v>7317.213604066611</v>
      </c>
    </row>
    <row r="2074" spans="1:33" ht="11.25" customHeight="1" x14ac:dyDescent="0.25">
      <c r="A2074" s="4" t="s">
        <v>21</v>
      </c>
      <c r="B2074" s="4" t="s">
        <v>39</v>
      </c>
      <c r="C2074" s="4" t="s">
        <v>37</v>
      </c>
      <c r="D2074" s="4" t="s">
        <v>40</v>
      </c>
      <c r="E2074" s="4" t="s">
        <v>25</v>
      </c>
      <c r="F2074" s="4" t="s">
        <v>25</v>
      </c>
      <c r="G2074" s="4" t="s">
        <v>25</v>
      </c>
      <c r="H2074" s="4" t="s">
        <v>36</v>
      </c>
      <c r="I2074" s="5">
        <v>43862</v>
      </c>
      <c r="J2074" s="6">
        <v>0</v>
      </c>
      <c r="K2074" s="6">
        <v>0</v>
      </c>
      <c r="L2074" s="6">
        <v>35.018999999999998</v>
      </c>
      <c r="M2074" s="6">
        <v>35.018999999999998</v>
      </c>
      <c r="N2074" s="6">
        <v>35.018999999999998</v>
      </c>
      <c r="O2074" s="6">
        <v>35.018999999999998</v>
      </c>
      <c r="P2074" s="6">
        <v>0</v>
      </c>
      <c r="Q2074" s="4" t="s">
        <v>26</v>
      </c>
      <c r="R2074" s="4">
        <v>0</v>
      </c>
      <c r="S2074" s="6">
        <v>0</v>
      </c>
      <c r="T2074" s="6">
        <v>72</v>
      </c>
      <c r="U2074" s="6">
        <v>115</v>
      </c>
      <c r="V2074" s="6">
        <f>IF(ISERROR(VLOOKUP($S$2074,'TAR FIN'!$A$1:$O$120,15,0)),0,VLOOKUP($S$2074,'TAR FIN'!$A$1:$O$120,15,0))</f>
        <v>0</v>
      </c>
      <c r="W2074" s="6">
        <f>IF(ISERROR(VLOOKUP($T$2074,'TAR FIN'!$A$1:$O$120,15,0)),0,VLOOKUP($T$2074,'TAR FIN'!$A$1:$O$120,15,0))</f>
        <v>197.19</v>
      </c>
      <c r="X2074" s="6">
        <f>IF(ISERROR(VLOOKUP($U$2074,'TAR FIN'!$A$1:$O$120,15,0)),0,VLOOKUP($U$2074,'TAR FIN'!$A$1:$O$120,15,0))</f>
        <v>256.38</v>
      </c>
      <c r="Y2074" s="6"/>
      <c r="Z2074" s="6">
        <f ca="1">('TUSD BE'!$AM$82+'TUSD BF'!$AM$82+'TUSD CVA'!$AM$82)*1</f>
        <v>213.95322604891325</v>
      </c>
      <c r="AA2074" s="6">
        <f>('TE BE'!$AA$46+'TE BF'!$AA$46+'TE CVA'!$AA$46)*1</f>
        <v>230.83420940933817</v>
      </c>
      <c r="AB2074" s="6">
        <f>$K$2074*$V$2074</f>
        <v>0</v>
      </c>
      <c r="AC2074" s="6">
        <f>$M$2074*$W$2074</f>
        <v>6905.3966099999998</v>
      </c>
      <c r="AD2074" s="6">
        <f>$O$2074*$X$2074</f>
        <v>8978.1712200000002</v>
      </c>
      <c r="AE2074" s="6">
        <f>$K$2074*$Y$2074</f>
        <v>0</v>
      </c>
      <c r="AF2074" s="6">
        <f ca="1">$M$2074*$Z$2074</f>
        <v>7492.4280230068925</v>
      </c>
      <c r="AG2074" s="6">
        <f>$O$2074*$AA$2074</f>
        <v>8083.5831793056132</v>
      </c>
    </row>
    <row r="2075" spans="1:33" ht="11.25" customHeight="1" x14ac:dyDescent="0.25">
      <c r="A2075" s="4" t="s">
        <v>21</v>
      </c>
      <c r="B2075" s="4" t="s">
        <v>39</v>
      </c>
      <c r="C2075" s="4" t="s">
        <v>37</v>
      </c>
      <c r="D2075" s="4" t="s">
        <v>40</v>
      </c>
      <c r="E2075" s="4" t="s">
        <v>25</v>
      </c>
      <c r="F2075" s="4" t="s">
        <v>25</v>
      </c>
      <c r="G2075" s="4" t="s">
        <v>25</v>
      </c>
      <c r="H2075" s="4" t="s">
        <v>36</v>
      </c>
      <c r="I2075" s="5">
        <v>43891</v>
      </c>
      <c r="J2075" s="6">
        <v>0</v>
      </c>
      <c r="K2075" s="6">
        <v>0</v>
      </c>
      <c r="L2075" s="6">
        <v>22.169</v>
      </c>
      <c r="M2075" s="6">
        <v>22.169</v>
      </c>
      <c r="N2075" s="6">
        <v>22.169</v>
      </c>
      <c r="O2075" s="6">
        <v>22.169</v>
      </c>
      <c r="P2075" s="6">
        <v>0</v>
      </c>
      <c r="Q2075" s="4" t="s">
        <v>26</v>
      </c>
      <c r="R2075" s="4">
        <v>0</v>
      </c>
      <c r="S2075" s="6">
        <v>0</v>
      </c>
      <c r="T2075" s="6">
        <v>72</v>
      </c>
      <c r="U2075" s="6">
        <v>115</v>
      </c>
      <c r="V2075" s="6">
        <f>IF(ISERROR(VLOOKUP($S$2075,'TAR FIN'!$A$1:$O$120,15,0)),0,VLOOKUP($S$2075,'TAR FIN'!$A$1:$O$120,15,0))</f>
        <v>0</v>
      </c>
      <c r="W2075" s="6">
        <f>IF(ISERROR(VLOOKUP($T$2075,'TAR FIN'!$A$1:$O$120,15,0)),0,VLOOKUP($T$2075,'TAR FIN'!$A$1:$O$120,15,0))</f>
        <v>197.19</v>
      </c>
      <c r="X2075" s="6">
        <f>IF(ISERROR(VLOOKUP($U$2075,'TAR FIN'!$A$1:$O$120,15,0)),0,VLOOKUP($U$2075,'TAR FIN'!$A$1:$O$120,15,0))</f>
        <v>256.38</v>
      </c>
      <c r="Y2075" s="6"/>
      <c r="Z2075" s="6">
        <f ca="1">('TUSD BE'!$AM$82+'TUSD BF'!$AM$82+'TUSD CVA'!$AM$82)*1</f>
        <v>213.95322604891325</v>
      </c>
      <c r="AA2075" s="6">
        <f>('TE BE'!$AA$46+'TE BF'!$AA$46+'TE CVA'!$AA$46)*1</f>
        <v>230.83420940933817</v>
      </c>
      <c r="AB2075" s="6">
        <f>$K$2075*$V$2075</f>
        <v>0</v>
      </c>
      <c r="AC2075" s="6">
        <f>$M$2075*$W$2075</f>
        <v>4371.5051100000001</v>
      </c>
      <c r="AD2075" s="6">
        <f>$O$2075*$X$2075</f>
        <v>5683.68822</v>
      </c>
      <c r="AE2075" s="6">
        <f>$K$2075*$Y$2075</f>
        <v>0</v>
      </c>
      <c r="AF2075" s="6">
        <f ca="1">$M$2075*$Z$2075</f>
        <v>4743.1290682783583</v>
      </c>
      <c r="AG2075" s="6">
        <f>$O$2075*$AA$2075</f>
        <v>5117.3635883956176</v>
      </c>
    </row>
    <row r="2076" spans="1:33" ht="11.25" customHeight="1" x14ac:dyDescent="0.25">
      <c r="A2076" s="4" t="s">
        <v>27</v>
      </c>
      <c r="B2076" s="4" t="s">
        <v>39</v>
      </c>
      <c r="C2076" s="4" t="s">
        <v>37</v>
      </c>
      <c r="D2076" s="4" t="s">
        <v>40</v>
      </c>
      <c r="E2076" s="4" t="s">
        <v>25</v>
      </c>
      <c r="F2076" s="4" t="s">
        <v>25</v>
      </c>
      <c r="G2076" s="4" t="s">
        <v>25</v>
      </c>
      <c r="H2076" s="4" t="s">
        <v>36</v>
      </c>
      <c r="I2076" s="5">
        <v>43891</v>
      </c>
      <c r="J2076" s="6">
        <v>0</v>
      </c>
      <c r="K2076" s="6">
        <v>0</v>
      </c>
      <c r="L2076" s="6">
        <v>9.4459999999999997</v>
      </c>
      <c r="M2076" s="6">
        <v>9.4459999999999997</v>
      </c>
      <c r="N2076" s="6">
        <v>9.4459999999999997</v>
      </c>
      <c r="O2076" s="6">
        <v>9.4459999999999997</v>
      </c>
      <c r="P2076" s="6">
        <v>0</v>
      </c>
      <c r="Q2076" s="4" t="s">
        <v>26</v>
      </c>
      <c r="R2076" s="4">
        <v>0</v>
      </c>
      <c r="S2076" s="6">
        <v>0</v>
      </c>
      <c r="T2076" s="6">
        <v>72</v>
      </c>
      <c r="U2076" s="6">
        <v>115</v>
      </c>
      <c r="V2076" s="6">
        <f>IF(ISERROR(VLOOKUP($S$2076,'TAR FIN'!$A$1:$O$120,15,0)),0,VLOOKUP($S$2076,'TAR FIN'!$A$1:$O$120,15,0))</f>
        <v>0</v>
      </c>
      <c r="W2076" s="6">
        <f>IF(ISERROR(VLOOKUP($T$2076,'TAR FIN'!$A$1:$O$120,15,0)),0,VLOOKUP($T$2076,'TAR FIN'!$A$1:$O$120,15,0))</f>
        <v>197.19</v>
      </c>
      <c r="X2076" s="6">
        <f>IF(ISERROR(VLOOKUP($U$2076,'TAR FIN'!$A$1:$O$120,15,0)),0,VLOOKUP($U$2076,'TAR FIN'!$A$1:$O$120,15,0))</f>
        <v>256.38</v>
      </c>
      <c r="Y2076" s="6"/>
      <c r="Z2076" s="6">
        <f ca="1">('TUSD BE'!$AM$82+'TUSD BF'!$AM$82+'TUSD CVA'!$AM$82)*1</f>
        <v>213.95322604891325</v>
      </c>
      <c r="AA2076" s="6">
        <f>('TE BE'!$AA$46+'TE BF'!$AA$46+'TE CVA'!$AA$46)*1</f>
        <v>230.83420940933817</v>
      </c>
      <c r="AB2076" s="6">
        <f>$K$2076*$V$2076</f>
        <v>0</v>
      </c>
      <c r="AC2076" s="6">
        <f>$M$2076*$W$2076</f>
        <v>1862.6567399999999</v>
      </c>
      <c r="AD2076" s="6">
        <f>$O$2076*$X$2076</f>
        <v>2421.76548</v>
      </c>
      <c r="AE2076" s="6">
        <f>$K$2076*$Y$2076</f>
        <v>0</v>
      </c>
      <c r="AF2076" s="6">
        <f ca="1">$M$2076*$Z$2076</f>
        <v>2021.0021732580344</v>
      </c>
      <c r="AG2076" s="6">
        <f>$O$2076*$AA$2076</f>
        <v>2180.4599420806085</v>
      </c>
    </row>
    <row r="2077" spans="1:33" ht="11.25" customHeight="1" x14ac:dyDescent="0.25">
      <c r="A2077" s="4" t="s">
        <v>21</v>
      </c>
      <c r="B2077" s="4" t="s">
        <v>39</v>
      </c>
      <c r="C2077" s="4" t="s">
        <v>37</v>
      </c>
      <c r="D2077" s="4" t="s">
        <v>40</v>
      </c>
      <c r="E2077" s="4" t="s">
        <v>25</v>
      </c>
      <c r="F2077" s="4" t="s">
        <v>25</v>
      </c>
      <c r="G2077" s="4" t="s">
        <v>25</v>
      </c>
      <c r="H2077" s="4" t="s">
        <v>36</v>
      </c>
      <c r="I2077" s="5">
        <v>43922</v>
      </c>
      <c r="J2077" s="6">
        <v>0</v>
      </c>
      <c r="K2077" s="6">
        <v>0</v>
      </c>
      <c r="L2077" s="6">
        <v>32.130000000000003</v>
      </c>
      <c r="M2077" s="6">
        <v>32.130000000000003</v>
      </c>
      <c r="N2077" s="6">
        <v>32.130000000000003</v>
      </c>
      <c r="O2077" s="6">
        <v>32.130000000000003</v>
      </c>
      <c r="P2077" s="6">
        <v>0</v>
      </c>
      <c r="Q2077" s="4" t="s">
        <v>26</v>
      </c>
      <c r="R2077" s="4">
        <v>0</v>
      </c>
      <c r="S2077" s="6">
        <v>0</v>
      </c>
      <c r="T2077" s="6">
        <v>72</v>
      </c>
      <c r="U2077" s="6">
        <v>115</v>
      </c>
      <c r="V2077" s="6">
        <f>IF(ISERROR(VLOOKUP($S$2077,'TAR FIN'!$A$1:$O$120,15,0)),0,VLOOKUP($S$2077,'TAR FIN'!$A$1:$O$120,15,0))</f>
        <v>0</v>
      </c>
      <c r="W2077" s="6">
        <f>IF(ISERROR(VLOOKUP($T$2077,'TAR FIN'!$A$1:$O$120,15,0)),0,VLOOKUP($T$2077,'TAR FIN'!$A$1:$O$120,15,0))</f>
        <v>197.19</v>
      </c>
      <c r="X2077" s="6">
        <f>IF(ISERROR(VLOOKUP($U$2077,'TAR FIN'!$A$1:$O$120,15,0)),0,VLOOKUP($U$2077,'TAR FIN'!$A$1:$O$120,15,0))</f>
        <v>256.38</v>
      </c>
      <c r="Y2077" s="6"/>
      <c r="Z2077" s="6">
        <f ca="1">('TUSD BE'!$AM$82+'TUSD BF'!$AM$82+'TUSD CVA'!$AM$82)*1</f>
        <v>213.95322604891325</v>
      </c>
      <c r="AA2077" s="6">
        <f>('TE BE'!$AA$46+'TE BF'!$AA$46+'TE CVA'!$AA$46)*1</f>
        <v>230.83420940933817</v>
      </c>
      <c r="AB2077" s="6">
        <f>$K$2077*$V$2077</f>
        <v>0</v>
      </c>
      <c r="AC2077" s="6">
        <f>$M$2077*$W$2077</f>
        <v>6335.7147000000004</v>
      </c>
      <c r="AD2077" s="6">
        <f>$O$2077*$X$2077</f>
        <v>8237.4894000000004</v>
      </c>
      <c r="AE2077" s="6">
        <f>$K$2077*$Y$2077</f>
        <v>0</v>
      </c>
      <c r="AF2077" s="6">
        <f ca="1">$M$2077*$Z$2077</f>
        <v>6874.317152951583</v>
      </c>
      <c r="AG2077" s="6">
        <f>$O$2077*$AA$2077</f>
        <v>7416.7031483220362</v>
      </c>
    </row>
    <row r="2078" spans="1:33" ht="11.25" customHeight="1" x14ac:dyDescent="0.25">
      <c r="A2078" s="4" t="s">
        <v>21</v>
      </c>
      <c r="B2078" s="4" t="s">
        <v>39</v>
      </c>
      <c r="C2078" s="4" t="s">
        <v>37</v>
      </c>
      <c r="D2078" s="4" t="s">
        <v>40</v>
      </c>
      <c r="E2078" s="4" t="s">
        <v>25</v>
      </c>
      <c r="F2078" s="4" t="s">
        <v>25</v>
      </c>
      <c r="G2078" s="4" t="s">
        <v>25</v>
      </c>
      <c r="H2078" s="4" t="s">
        <v>36</v>
      </c>
      <c r="I2078" s="5">
        <v>43952</v>
      </c>
      <c r="J2078" s="6">
        <v>0</v>
      </c>
      <c r="K2078" s="6">
        <v>0</v>
      </c>
      <c r="L2078" s="6">
        <v>30.245000000000001</v>
      </c>
      <c r="M2078" s="6">
        <v>30.245000000000001</v>
      </c>
      <c r="N2078" s="6">
        <v>30.245000000000001</v>
      </c>
      <c r="O2078" s="6">
        <v>30.245000000000001</v>
      </c>
      <c r="P2078" s="6">
        <v>0</v>
      </c>
      <c r="Q2078" s="4" t="s">
        <v>26</v>
      </c>
      <c r="R2078" s="4">
        <v>0</v>
      </c>
      <c r="S2078" s="6">
        <v>0</v>
      </c>
      <c r="T2078" s="6">
        <v>72</v>
      </c>
      <c r="U2078" s="6">
        <v>115</v>
      </c>
      <c r="V2078" s="6">
        <f>IF(ISERROR(VLOOKUP($S$2078,'TAR FIN'!$A$1:$O$120,15,0)),0,VLOOKUP($S$2078,'TAR FIN'!$A$1:$O$120,15,0))</f>
        <v>0</v>
      </c>
      <c r="W2078" s="6">
        <f>IF(ISERROR(VLOOKUP($T$2078,'TAR FIN'!$A$1:$O$120,15,0)),0,VLOOKUP($T$2078,'TAR FIN'!$A$1:$O$120,15,0))</f>
        <v>197.19</v>
      </c>
      <c r="X2078" s="6">
        <f>IF(ISERROR(VLOOKUP($U$2078,'TAR FIN'!$A$1:$O$120,15,0)),0,VLOOKUP($U$2078,'TAR FIN'!$A$1:$O$120,15,0))</f>
        <v>256.38</v>
      </c>
      <c r="Y2078" s="6"/>
      <c r="Z2078" s="6">
        <f ca="1">('TUSD BE'!$AM$82+'TUSD BF'!$AM$82+'TUSD CVA'!$AM$82)*1</f>
        <v>213.95322604891325</v>
      </c>
      <c r="AA2078" s="6">
        <f>('TE BE'!$AA$46+'TE BF'!$AA$46+'TE CVA'!$AA$46)*1</f>
        <v>230.83420940933817</v>
      </c>
      <c r="AB2078" s="6">
        <f>$K$2078*$V$2078</f>
        <v>0</v>
      </c>
      <c r="AC2078" s="6">
        <f>$M$2078*$W$2078</f>
        <v>5964.0115500000002</v>
      </c>
      <c r="AD2078" s="6">
        <f>$O$2078*$X$2078</f>
        <v>7754.2130999999999</v>
      </c>
      <c r="AE2078" s="6">
        <f>$K$2078*$Y$2078</f>
        <v>0</v>
      </c>
      <c r="AF2078" s="6">
        <f ca="1">$M$2078*$Z$2078</f>
        <v>6471.0153218493815</v>
      </c>
      <c r="AG2078" s="6">
        <f>$O$2078*$AA$2078</f>
        <v>6981.5806635854333</v>
      </c>
    </row>
    <row r="2079" spans="1:33" ht="11.25" customHeight="1" x14ac:dyDescent="0.25">
      <c r="A2079" s="4" t="s">
        <v>21</v>
      </c>
      <c r="B2079" s="4" t="s">
        <v>39</v>
      </c>
      <c r="C2079" s="4" t="s">
        <v>37</v>
      </c>
      <c r="D2079" s="4" t="s">
        <v>40</v>
      </c>
      <c r="E2079" s="4" t="s">
        <v>25</v>
      </c>
      <c r="F2079" s="4" t="s">
        <v>25</v>
      </c>
      <c r="G2079" s="4" t="s">
        <v>25</v>
      </c>
      <c r="H2079" s="4" t="s">
        <v>36</v>
      </c>
      <c r="I2079" s="5">
        <v>43983</v>
      </c>
      <c r="J2079" s="6">
        <v>0</v>
      </c>
      <c r="K2079" s="6">
        <v>0</v>
      </c>
      <c r="L2079" s="6">
        <v>29.972999999999999</v>
      </c>
      <c r="M2079" s="6">
        <v>29.972999999999999</v>
      </c>
      <c r="N2079" s="6">
        <v>29.972999999999999</v>
      </c>
      <c r="O2079" s="6">
        <v>29.972999999999999</v>
      </c>
      <c r="P2079" s="6">
        <v>0</v>
      </c>
      <c r="Q2079" s="4" t="s">
        <v>26</v>
      </c>
      <c r="R2079" s="4">
        <v>0</v>
      </c>
      <c r="S2079" s="6">
        <v>0</v>
      </c>
      <c r="T2079" s="6">
        <v>72</v>
      </c>
      <c r="U2079" s="6">
        <v>115</v>
      </c>
      <c r="V2079" s="6">
        <f>IF(ISERROR(VLOOKUP($S$2079,'TAR FIN'!$A$1:$O$120,15,0)),0,VLOOKUP($S$2079,'TAR FIN'!$A$1:$O$120,15,0))</f>
        <v>0</v>
      </c>
      <c r="W2079" s="6">
        <f>IF(ISERROR(VLOOKUP($T$2079,'TAR FIN'!$A$1:$O$120,15,0)),0,VLOOKUP($T$2079,'TAR FIN'!$A$1:$O$120,15,0))</f>
        <v>197.19</v>
      </c>
      <c r="X2079" s="6">
        <f>IF(ISERROR(VLOOKUP($U$2079,'TAR FIN'!$A$1:$O$120,15,0)),0,VLOOKUP($U$2079,'TAR FIN'!$A$1:$O$120,15,0))</f>
        <v>256.38</v>
      </c>
      <c r="Y2079" s="6"/>
      <c r="Z2079" s="6">
        <f ca="1">('TUSD BE'!$AM$82+'TUSD BF'!$AM$82+'TUSD CVA'!$AM$82)*1</f>
        <v>213.95322604891325</v>
      </c>
      <c r="AA2079" s="6">
        <f>('TE BE'!$AA$46+'TE BF'!$AA$46+'TE CVA'!$AA$46)*1</f>
        <v>230.83420940933817</v>
      </c>
      <c r="AB2079" s="6">
        <f>$K$2079*$V$2079</f>
        <v>0</v>
      </c>
      <c r="AC2079" s="6">
        <f>$M$2079*$W$2079</f>
        <v>5910.3758699999998</v>
      </c>
      <c r="AD2079" s="6">
        <f>$O$2079*$X$2079</f>
        <v>7684.4777399999994</v>
      </c>
      <c r="AE2079" s="6">
        <f>$K$2079*$Y$2079</f>
        <v>0</v>
      </c>
      <c r="AF2079" s="6">
        <f ca="1">$M$2079*$Z$2079</f>
        <v>6412.8200443640762</v>
      </c>
      <c r="AG2079" s="6">
        <f>$O$2079*$AA$2079</f>
        <v>6918.7937586260932</v>
      </c>
    </row>
    <row r="2080" spans="1:33" ht="11.25" customHeight="1" x14ac:dyDescent="0.25">
      <c r="A2080" s="4" t="s">
        <v>21</v>
      </c>
      <c r="B2080" s="4" t="s">
        <v>39</v>
      </c>
      <c r="C2080" s="4" t="s">
        <v>37</v>
      </c>
      <c r="D2080" s="4" t="s">
        <v>40</v>
      </c>
      <c r="E2080" s="4" t="s">
        <v>25</v>
      </c>
      <c r="F2080" s="4" t="s">
        <v>25</v>
      </c>
      <c r="G2080" s="4" t="s">
        <v>25</v>
      </c>
      <c r="H2080" s="4" t="s">
        <v>36</v>
      </c>
      <c r="I2080" s="5">
        <v>44013</v>
      </c>
      <c r="J2080" s="6">
        <v>0</v>
      </c>
      <c r="K2080" s="6">
        <v>0</v>
      </c>
      <c r="L2080" s="6">
        <v>31.661000000000001</v>
      </c>
      <c r="M2080" s="6">
        <v>31.661000000000001</v>
      </c>
      <c r="N2080" s="6">
        <v>31.661000000000001</v>
      </c>
      <c r="O2080" s="6">
        <v>31.661000000000001</v>
      </c>
      <c r="P2080" s="6">
        <v>0</v>
      </c>
      <c r="Q2080" s="4" t="s">
        <v>26</v>
      </c>
      <c r="R2080" s="4">
        <v>0</v>
      </c>
      <c r="S2080" s="6">
        <v>0</v>
      </c>
      <c r="T2080" s="6">
        <v>72</v>
      </c>
      <c r="U2080" s="6">
        <v>115</v>
      </c>
      <c r="V2080" s="6">
        <f>IF(ISERROR(VLOOKUP($S$2080,'TAR FIN'!$A$1:$O$120,15,0)),0,VLOOKUP($S$2080,'TAR FIN'!$A$1:$O$120,15,0))</f>
        <v>0</v>
      </c>
      <c r="W2080" s="6">
        <f>IF(ISERROR(VLOOKUP($T$2080,'TAR FIN'!$A$1:$O$120,15,0)),0,VLOOKUP($T$2080,'TAR FIN'!$A$1:$O$120,15,0))</f>
        <v>197.19</v>
      </c>
      <c r="X2080" s="6">
        <f>IF(ISERROR(VLOOKUP($U$2080,'TAR FIN'!$A$1:$O$120,15,0)),0,VLOOKUP($U$2080,'TAR FIN'!$A$1:$O$120,15,0))</f>
        <v>256.38</v>
      </c>
      <c r="Y2080" s="6"/>
      <c r="Z2080" s="6">
        <f ca="1">('TUSD BE'!$AM$82+'TUSD BF'!$AM$82+'TUSD CVA'!$AM$82)*1</f>
        <v>213.95322604891325</v>
      </c>
      <c r="AA2080" s="6">
        <f>('TE BE'!$AA$46+'TE BF'!$AA$46+'TE CVA'!$AA$46)*1</f>
        <v>230.83420940933817</v>
      </c>
      <c r="AB2080" s="6">
        <f>$K$2080*$V$2080</f>
        <v>0</v>
      </c>
      <c r="AC2080" s="6">
        <f>$M$2080*$W$2080</f>
        <v>6243.2325900000005</v>
      </c>
      <c r="AD2080" s="6">
        <f>$O$2080*$X$2080</f>
        <v>8117.2471800000003</v>
      </c>
      <c r="AE2080" s="6">
        <f>$K$2080*$Y$2080</f>
        <v>0</v>
      </c>
      <c r="AF2080" s="6">
        <f ca="1">$M$2080*$Z$2080</f>
        <v>6773.9730899346423</v>
      </c>
      <c r="AG2080" s="6">
        <f>$O$2080*$AA$2080</f>
        <v>7308.4419041090559</v>
      </c>
    </row>
    <row r="2081" spans="1:33" ht="11.25" customHeight="1" x14ac:dyDescent="0.25">
      <c r="A2081" s="4" t="s">
        <v>21</v>
      </c>
      <c r="B2081" s="4" t="s">
        <v>39</v>
      </c>
      <c r="C2081" s="4" t="s">
        <v>37</v>
      </c>
      <c r="D2081" s="4" t="s">
        <v>40</v>
      </c>
      <c r="E2081" s="4" t="s">
        <v>25</v>
      </c>
      <c r="F2081" s="4" t="s">
        <v>25</v>
      </c>
      <c r="G2081" s="4" t="s">
        <v>25</v>
      </c>
      <c r="H2081" s="4" t="s">
        <v>36</v>
      </c>
      <c r="I2081" s="5">
        <v>44044</v>
      </c>
      <c r="J2081" s="6">
        <v>0</v>
      </c>
      <c r="K2081" s="6">
        <v>0</v>
      </c>
      <c r="L2081" s="6">
        <v>33.029000000000003</v>
      </c>
      <c r="M2081" s="6">
        <v>33.029000000000003</v>
      </c>
      <c r="N2081" s="6">
        <v>33.029000000000003</v>
      </c>
      <c r="O2081" s="6">
        <v>33.029000000000003</v>
      </c>
      <c r="P2081" s="6">
        <v>0</v>
      </c>
      <c r="Q2081" s="4" t="s">
        <v>26</v>
      </c>
      <c r="R2081" s="4">
        <v>0</v>
      </c>
      <c r="S2081" s="6">
        <v>0</v>
      </c>
      <c r="T2081" s="6">
        <v>72</v>
      </c>
      <c r="U2081" s="6">
        <v>115</v>
      </c>
      <c r="V2081" s="6">
        <f>IF(ISERROR(VLOOKUP($S$2081,'TAR FIN'!$A$1:$O$120,15,0)),0,VLOOKUP($S$2081,'TAR FIN'!$A$1:$O$120,15,0))</f>
        <v>0</v>
      </c>
      <c r="W2081" s="6">
        <f>IF(ISERROR(VLOOKUP($T$2081,'TAR FIN'!$A$1:$O$120,15,0)),0,VLOOKUP($T$2081,'TAR FIN'!$A$1:$O$120,15,0))</f>
        <v>197.19</v>
      </c>
      <c r="X2081" s="6">
        <f>IF(ISERROR(VLOOKUP($U$2081,'TAR FIN'!$A$1:$O$120,15,0)),0,VLOOKUP($U$2081,'TAR FIN'!$A$1:$O$120,15,0))</f>
        <v>256.38</v>
      </c>
      <c r="Y2081" s="6"/>
      <c r="Z2081" s="6">
        <f ca="1">('TUSD BE'!$AM$82+'TUSD BF'!$AM$82+'TUSD CVA'!$AM$82)*1</f>
        <v>213.95322604891325</v>
      </c>
      <c r="AA2081" s="6">
        <f>('TE BE'!$AA$46+'TE BF'!$AA$46+'TE CVA'!$AA$46)*1</f>
        <v>230.83420940933817</v>
      </c>
      <c r="AB2081" s="6">
        <f>$K$2081*$V$2081</f>
        <v>0</v>
      </c>
      <c r="AC2081" s="6">
        <f>$M$2081*$W$2081</f>
        <v>6512.988510000001</v>
      </c>
      <c r="AD2081" s="6">
        <f>$O$2081*$X$2081</f>
        <v>8467.9750199999999</v>
      </c>
      <c r="AE2081" s="6">
        <f>$K$2081*$Y$2081</f>
        <v>0</v>
      </c>
      <c r="AF2081" s="6">
        <f ca="1">$M$2081*$Z$2081</f>
        <v>7066.6611031695566</v>
      </c>
      <c r="AG2081" s="6">
        <f>$O$2081*$AA$2081</f>
        <v>7624.2231025810315</v>
      </c>
    </row>
    <row r="2082" spans="1:33" ht="11.25" customHeight="1" x14ac:dyDescent="0.25">
      <c r="A2082" s="4" t="s">
        <v>59</v>
      </c>
      <c r="B2082" s="4" t="s">
        <v>39</v>
      </c>
      <c r="C2082" s="4" t="s">
        <v>37</v>
      </c>
      <c r="D2082" s="4" t="s">
        <v>40</v>
      </c>
      <c r="E2082" s="4" t="s">
        <v>25</v>
      </c>
      <c r="F2082" s="4" t="s">
        <v>25</v>
      </c>
      <c r="G2082" s="4" t="s">
        <v>25</v>
      </c>
      <c r="H2082" s="4" t="s">
        <v>36</v>
      </c>
      <c r="I2082" s="5">
        <v>44075</v>
      </c>
      <c r="J2082" s="6">
        <v>0</v>
      </c>
      <c r="K2082" s="6">
        <v>0</v>
      </c>
      <c r="L2082" s="6">
        <v>33.029000000000003</v>
      </c>
      <c r="M2082" s="6">
        <v>33.029000000000003</v>
      </c>
      <c r="N2082" s="6">
        <v>33.029000000000003</v>
      </c>
      <c r="O2082" s="6">
        <v>33.029000000000003</v>
      </c>
      <c r="P2082" s="6">
        <v>0</v>
      </c>
      <c r="Q2082" s="4" t="s">
        <v>26</v>
      </c>
      <c r="R2082" s="4">
        <v>0</v>
      </c>
      <c r="S2082" s="6">
        <v>0</v>
      </c>
      <c r="T2082" s="6">
        <v>72</v>
      </c>
      <c r="U2082" s="6">
        <v>115</v>
      </c>
      <c r="V2082" s="6">
        <f>IF(ISERROR(VLOOKUP($S$2082,'TAR FIN'!$A$1:$O$120,15,0)),0,VLOOKUP($S$2082,'TAR FIN'!$A$1:$O$120,15,0))</f>
        <v>0</v>
      </c>
      <c r="W2082" s="6">
        <f>IF(ISERROR(VLOOKUP($T$2082,'TAR FIN'!$A$1:$O$120,15,0)),0,VLOOKUP($T$2082,'TAR FIN'!$A$1:$O$120,15,0))</f>
        <v>197.19</v>
      </c>
      <c r="X2082" s="6">
        <f>IF(ISERROR(VLOOKUP($U$2082,'TAR FIN'!$A$1:$O$120,15,0)),0,VLOOKUP($U$2082,'TAR FIN'!$A$1:$O$120,15,0))</f>
        <v>256.38</v>
      </c>
      <c r="Y2082" s="6"/>
      <c r="Z2082" s="6">
        <f ca="1">('TUSD BE'!$AM$82+'TUSD BF'!$AM$82+'TUSD CVA'!$AM$82)*1</f>
        <v>213.95322604891325</v>
      </c>
      <c r="AA2082" s="6">
        <f>('TE BE'!$AA$46+'TE BF'!$AA$46+'TE CVA'!$AA$46)*1</f>
        <v>230.83420940933817</v>
      </c>
      <c r="AB2082" s="6">
        <f>$K$2082*$V$2082</f>
        <v>0</v>
      </c>
      <c r="AC2082" s="6">
        <f>$M$2082*$W$2082</f>
        <v>6512.988510000001</v>
      </c>
      <c r="AD2082" s="6">
        <f>$O$2082*$X$2082</f>
        <v>8467.9750199999999</v>
      </c>
      <c r="AE2082" s="6">
        <f>$K$2082*$Y$2082</f>
        <v>0</v>
      </c>
      <c r="AF2082" s="6">
        <f ca="1">$M$2082*$Z$2082</f>
        <v>7066.6611031695566</v>
      </c>
      <c r="AG2082" s="6">
        <f>$O$2082*$AA$2082</f>
        <v>7624.2231025810315</v>
      </c>
    </row>
    <row r="2083" spans="1:33" ht="11.25" customHeight="1" x14ac:dyDescent="0.25">
      <c r="A2083" s="4" t="s">
        <v>21</v>
      </c>
      <c r="B2083" s="4" t="s">
        <v>39</v>
      </c>
      <c r="C2083" s="4" t="s">
        <v>37</v>
      </c>
      <c r="D2083" s="4" t="s">
        <v>40</v>
      </c>
      <c r="E2083" s="4" t="s">
        <v>25</v>
      </c>
      <c r="F2083" s="4" t="s">
        <v>25</v>
      </c>
      <c r="G2083" s="4" t="s">
        <v>25</v>
      </c>
      <c r="H2083" s="4" t="s">
        <v>38</v>
      </c>
      <c r="I2083" s="5">
        <v>43739</v>
      </c>
      <c r="J2083" s="6">
        <v>0</v>
      </c>
      <c r="K2083" s="6">
        <v>0</v>
      </c>
      <c r="L2083" s="6">
        <v>1.4370000000000001</v>
      </c>
      <c r="M2083" s="6">
        <v>1.4370000000000001</v>
      </c>
      <c r="N2083" s="6">
        <v>1.4370000000000001</v>
      </c>
      <c r="O2083" s="6">
        <v>1.4370000000000001</v>
      </c>
      <c r="P2083" s="6">
        <v>0</v>
      </c>
      <c r="Q2083" s="4" t="s">
        <v>26</v>
      </c>
      <c r="R2083" s="4">
        <v>0</v>
      </c>
      <c r="S2083" s="6">
        <v>0</v>
      </c>
      <c r="T2083" s="6">
        <v>71</v>
      </c>
      <c r="U2083" s="6">
        <v>114</v>
      </c>
      <c r="V2083" s="6">
        <f>IF(ISERROR(VLOOKUP($S$2083,'TAR FIN'!$A$1:$O$120,15,0)),0,VLOOKUP($S$2083,'TAR FIN'!$A$1:$O$120,15,0))</f>
        <v>0</v>
      </c>
      <c r="W2083" s="6">
        <f>IF(ISERROR(VLOOKUP($T$2083,'TAR FIN'!$A$1:$O$120,15,0)),0,VLOOKUP($T$2083,'TAR FIN'!$A$1:$O$120,15,0))</f>
        <v>374.6</v>
      </c>
      <c r="X2083" s="6">
        <f>IF(ISERROR(VLOOKUP($U$2083,'TAR FIN'!$A$1:$O$120,15,0)),0,VLOOKUP($U$2083,'TAR FIN'!$A$1:$O$120,15,0))</f>
        <v>256.38</v>
      </c>
      <c r="Y2083" s="6"/>
      <c r="Z2083" s="6">
        <f ca="1">('TUSD BE'!$AM$81+'TUSD BF'!$AM$81+'TUSD CVA'!$AM$81)*1</f>
        <v>419.89752571617748</v>
      </c>
      <c r="AA2083" s="6">
        <f>('TE BE'!$AA$45+'TE BF'!$AA$45+'TE CVA'!$AA$45)*1</f>
        <v>230.83420940933817</v>
      </c>
      <c r="AB2083" s="6">
        <f>$K$2083*$V$2083</f>
        <v>0</v>
      </c>
      <c r="AC2083" s="6">
        <f>$M$2083*$W$2083</f>
        <v>538.30020000000002</v>
      </c>
      <c r="AD2083" s="6">
        <f>$O$2083*$X$2083</f>
        <v>368.41806000000003</v>
      </c>
      <c r="AE2083" s="6">
        <f>$K$2083*$Y$2083</f>
        <v>0</v>
      </c>
      <c r="AF2083" s="6">
        <f ca="1">$M$2083*$Z$2083</f>
        <v>603.39274445414708</v>
      </c>
      <c r="AG2083" s="6">
        <f>$O$2083*$AA$2083</f>
        <v>331.70875892121899</v>
      </c>
    </row>
    <row r="2084" spans="1:33" ht="11.25" customHeight="1" x14ac:dyDescent="0.25">
      <c r="A2084" s="4" t="s">
        <v>21</v>
      </c>
      <c r="B2084" s="4" t="s">
        <v>39</v>
      </c>
      <c r="C2084" s="4" t="s">
        <v>37</v>
      </c>
      <c r="D2084" s="4" t="s">
        <v>40</v>
      </c>
      <c r="E2084" s="4" t="s">
        <v>25</v>
      </c>
      <c r="F2084" s="4" t="s">
        <v>25</v>
      </c>
      <c r="G2084" s="4" t="s">
        <v>25</v>
      </c>
      <c r="H2084" s="4" t="s">
        <v>38</v>
      </c>
      <c r="I2084" s="5">
        <v>43770</v>
      </c>
      <c r="J2084" s="6">
        <v>0</v>
      </c>
      <c r="K2084" s="6">
        <v>0</v>
      </c>
      <c r="L2084" s="6">
        <v>1.6040000000000001</v>
      </c>
      <c r="M2084" s="6">
        <v>1.6040000000000001</v>
      </c>
      <c r="N2084" s="6">
        <v>1.6040000000000001</v>
      </c>
      <c r="O2084" s="6">
        <v>1.6040000000000001</v>
      </c>
      <c r="P2084" s="6">
        <v>0</v>
      </c>
      <c r="Q2084" s="4" t="s">
        <v>26</v>
      </c>
      <c r="R2084" s="4">
        <v>0</v>
      </c>
      <c r="S2084" s="6">
        <v>0</v>
      </c>
      <c r="T2084" s="6">
        <v>71</v>
      </c>
      <c r="U2084" s="6">
        <v>114</v>
      </c>
      <c r="V2084" s="6">
        <f>IF(ISERROR(VLOOKUP($S$2084,'TAR FIN'!$A$1:$O$120,15,0)),0,VLOOKUP($S$2084,'TAR FIN'!$A$1:$O$120,15,0))</f>
        <v>0</v>
      </c>
      <c r="W2084" s="6">
        <f>IF(ISERROR(VLOOKUP($T$2084,'TAR FIN'!$A$1:$O$120,15,0)),0,VLOOKUP($T$2084,'TAR FIN'!$A$1:$O$120,15,0))</f>
        <v>374.6</v>
      </c>
      <c r="X2084" s="6">
        <f>IF(ISERROR(VLOOKUP($U$2084,'TAR FIN'!$A$1:$O$120,15,0)),0,VLOOKUP($U$2084,'TAR FIN'!$A$1:$O$120,15,0))</f>
        <v>256.38</v>
      </c>
      <c r="Y2084" s="6"/>
      <c r="Z2084" s="6">
        <f ca="1">('TUSD BE'!$AM$81+'TUSD BF'!$AM$81+'TUSD CVA'!$AM$81)*1</f>
        <v>419.89752571617748</v>
      </c>
      <c r="AA2084" s="6">
        <f>('TE BE'!$AA$45+'TE BF'!$AA$45+'TE CVA'!$AA$45)*1</f>
        <v>230.83420940933817</v>
      </c>
      <c r="AB2084" s="6">
        <f>$K$2084*$V$2084</f>
        <v>0</v>
      </c>
      <c r="AC2084" s="6">
        <f>$M$2084*$W$2084</f>
        <v>600.85840000000007</v>
      </c>
      <c r="AD2084" s="6">
        <f>$O$2084*$X$2084</f>
        <v>411.23352</v>
      </c>
      <c r="AE2084" s="6">
        <f>$K$2084*$Y$2084</f>
        <v>0</v>
      </c>
      <c r="AF2084" s="6">
        <f ca="1">$M$2084*$Z$2084</f>
        <v>673.51563124874872</v>
      </c>
      <c r="AG2084" s="6">
        <f>$O$2084*$AA$2084</f>
        <v>370.25807189257847</v>
      </c>
    </row>
    <row r="2085" spans="1:33" ht="11.25" customHeight="1" x14ac:dyDescent="0.25">
      <c r="A2085" s="4" t="s">
        <v>21</v>
      </c>
      <c r="B2085" s="4" t="s">
        <v>39</v>
      </c>
      <c r="C2085" s="4" t="s">
        <v>37</v>
      </c>
      <c r="D2085" s="4" t="s">
        <v>40</v>
      </c>
      <c r="E2085" s="4" t="s">
        <v>25</v>
      </c>
      <c r="F2085" s="4" t="s">
        <v>25</v>
      </c>
      <c r="G2085" s="4" t="s">
        <v>25</v>
      </c>
      <c r="H2085" s="4" t="s">
        <v>38</v>
      </c>
      <c r="I2085" s="5">
        <v>43800</v>
      </c>
      <c r="J2085" s="6">
        <v>0</v>
      </c>
      <c r="K2085" s="6">
        <v>0</v>
      </c>
      <c r="L2085" s="6">
        <v>1.3560000000000001</v>
      </c>
      <c r="M2085" s="6">
        <v>1.3560000000000001</v>
      </c>
      <c r="N2085" s="6">
        <v>1.3560000000000001</v>
      </c>
      <c r="O2085" s="6">
        <v>1.3560000000000001</v>
      </c>
      <c r="P2085" s="6">
        <v>0</v>
      </c>
      <c r="Q2085" s="4" t="s">
        <v>26</v>
      </c>
      <c r="R2085" s="4">
        <v>0</v>
      </c>
      <c r="S2085" s="6">
        <v>0</v>
      </c>
      <c r="T2085" s="6">
        <v>71</v>
      </c>
      <c r="U2085" s="6">
        <v>114</v>
      </c>
      <c r="V2085" s="6">
        <f>IF(ISERROR(VLOOKUP($S$2085,'TAR FIN'!$A$1:$O$120,15,0)),0,VLOOKUP($S$2085,'TAR FIN'!$A$1:$O$120,15,0))</f>
        <v>0</v>
      </c>
      <c r="W2085" s="6">
        <f>IF(ISERROR(VLOOKUP($T$2085,'TAR FIN'!$A$1:$O$120,15,0)),0,VLOOKUP($T$2085,'TAR FIN'!$A$1:$O$120,15,0))</f>
        <v>374.6</v>
      </c>
      <c r="X2085" s="6">
        <f>IF(ISERROR(VLOOKUP($U$2085,'TAR FIN'!$A$1:$O$120,15,0)),0,VLOOKUP($U$2085,'TAR FIN'!$A$1:$O$120,15,0))</f>
        <v>256.38</v>
      </c>
      <c r="Y2085" s="6"/>
      <c r="Z2085" s="6">
        <f ca="1">('TUSD BE'!$AM$81+'TUSD BF'!$AM$81+'TUSD CVA'!$AM$81)*1</f>
        <v>419.89752571617748</v>
      </c>
      <c r="AA2085" s="6">
        <f>('TE BE'!$AA$45+'TE BF'!$AA$45+'TE CVA'!$AA$45)*1</f>
        <v>230.83420940933817</v>
      </c>
      <c r="AB2085" s="6">
        <f>$K$2085*$V$2085</f>
        <v>0</v>
      </c>
      <c r="AC2085" s="6">
        <f>$M$2085*$W$2085</f>
        <v>507.95760000000007</v>
      </c>
      <c r="AD2085" s="6">
        <f>$O$2085*$X$2085</f>
        <v>347.65128000000004</v>
      </c>
      <c r="AE2085" s="6">
        <f>$K$2085*$Y$2085</f>
        <v>0</v>
      </c>
      <c r="AF2085" s="6">
        <f ca="1">$M$2085*$Z$2085</f>
        <v>569.38104487113674</v>
      </c>
      <c r="AG2085" s="6">
        <f>$O$2085*$AA$2085</f>
        <v>313.01118795906257</v>
      </c>
    </row>
    <row r="2086" spans="1:33" ht="11.25" customHeight="1" x14ac:dyDescent="0.25">
      <c r="A2086" s="4" t="s">
        <v>21</v>
      </c>
      <c r="B2086" s="4" t="s">
        <v>39</v>
      </c>
      <c r="C2086" s="4" t="s">
        <v>37</v>
      </c>
      <c r="D2086" s="4" t="s">
        <v>40</v>
      </c>
      <c r="E2086" s="4" t="s">
        <v>25</v>
      </c>
      <c r="F2086" s="4" t="s">
        <v>25</v>
      </c>
      <c r="G2086" s="4" t="s">
        <v>25</v>
      </c>
      <c r="H2086" s="4" t="s">
        <v>38</v>
      </c>
      <c r="I2086" s="5">
        <v>43831</v>
      </c>
      <c r="J2086" s="6">
        <v>0</v>
      </c>
      <c r="K2086" s="6">
        <v>0</v>
      </c>
      <c r="L2086" s="6">
        <v>1.2929999999999999</v>
      </c>
      <c r="M2086" s="6">
        <v>1.2929999999999999</v>
      </c>
      <c r="N2086" s="6">
        <v>1.2929999999999999</v>
      </c>
      <c r="O2086" s="6">
        <v>1.2929999999999999</v>
      </c>
      <c r="P2086" s="6">
        <v>0</v>
      </c>
      <c r="Q2086" s="4" t="s">
        <v>26</v>
      </c>
      <c r="R2086" s="4">
        <v>0</v>
      </c>
      <c r="S2086" s="6">
        <v>0</v>
      </c>
      <c r="T2086" s="6">
        <v>71</v>
      </c>
      <c r="U2086" s="6">
        <v>114</v>
      </c>
      <c r="V2086" s="6">
        <f>IF(ISERROR(VLOOKUP($S$2086,'TAR FIN'!$A$1:$O$120,15,0)),0,VLOOKUP($S$2086,'TAR FIN'!$A$1:$O$120,15,0))</f>
        <v>0</v>
      </c>
      <c r="W2086" s="6">
        <f>IF(ISERROR(VLOOKUP($T$2086,'TAR FIN'!$A$1:$O$120,15,0)),0,VLOOKUP($T$2086,'TAR FIN'!$A$1:$O$120,15,0))</f>
        <v>374.6</v>
      </c>
      <c r="X2086" s="6">
        <f>IF(ISERROR(VLOOKUP($U$2086,'TAR FIN'!$A$1:$O$120,15,0)),0,VLOOKUP($U$2086,'TAR FIN'!$A$1:$O$120,15,0))</f>
        <v>256.38</v>
      </c>
      <c r="Y2086" s="6"/>
      <c r="Z2086" s="6">
        <f ca="1">('TUSD BE'!$AM$81+'TUSD BF'!$AM$81+'TUSD CVA'!$AM$81)*1</f>
        <v>419.89752571617748</v>
      </c>
      <c r="AA2086" s="6">
        <f>('TE BE'!$AA$45+'TE BF'!$AA$45+'TE CVA'!$AA$45)*1</f>
        <v>230.83420940933817</v>
      </c>
      <c r="AB2086" s="6">
        <f>$K$2086*$V$2086</f>
        <v>0</v>
      </c>
      <c r="AC2086" s="6">
        <f>$M$2086*$W$2086</f>
        <v>484.3578</v>
      </c>
      <c r="AD2086" s="6">
        <f>$O$2086*$X$2086</f>
        <v>331.49933999999996</v>
      </c>
      <c r="AE2086" s="6">
        <f>$K$2086*$Y$2086</f>
        <v>0</v>
      </c>
      <c r="AF2086" s="6">
        <f ca="1">$M$2086*$Z$2086</f>
        <v>542.92750075101742</v>
      </c>
      <c r="AG2086" s="6">
        <f>$O$2086*$AA$2086</f>
        <v>298.46863276627425</v>
      </c>
    </row>
    <row r="2087" spans="1:33" ht="11.25" customHeight="1" x14ac:dyDescent="0.25">
      <c r="A2087" s="4" t="s">
        <v>21</v>
      </c>
      <c r="B2087" s="4" t="s">
        <v>39</v>
      </c>
      <c r="C2087" s="4" t="s">
        <v>37</v>
      </c>
      <c r="D2087" s="4" t="s">
        <v>40</v>
      </c>
      <c r="E2087" s="4" t="s">
        <v>25</v>
      </c>
      <c r="F2087" s="4" t="s">
        <v>25</v>
      </c>
      <c r="G2087" s="4" t="s">
        <v>25</v>
      </c>
      <c r="H2087" s="4" t="s">
        <v>38</v>
      </c>
      <c r="I2087" s="5">
        <v>43862</v>
      </c>
      <c r="J2087" s="6">
        <v>0</v>
      </c>
      <c r="K2087" s="6">
        <v>0</v>
      </c>
      <c r="L2087" s="6">
        <v>1.3640000000000001</v>
      </c>
      <c r="M2087" s="6">
        <v>1.3640000000000001</v>
      </c>
      <c r="N2087" s="6">
        <v>1.3640000000000001</v>
      </c>
      <c r="O2087" s="6">
        <v>1.3640000000000001</v>
      </c>
      <c r="P2087" s="6">
        <v>0</v>
      </c>
      <c r="Q2087" s="4" t="s">
        <v>26</v>
      </c>
      <c r="R2087" s="4">
        <v>0</v>
      </c>
      <c r="S2087" s="6">
        <v>0</v>
      </c>
      <c r="T2087" s="6">
        <v>71</v>
      </c>
      <c r="U2087" s="6">
        <v>114</v>
      </c>
      <c r="V2087" s="6">
        <f>IF(ISERROR(VLOOKUP($S$2087,'TAR FIN'!$A$1:$O$120,15,0)),0,VLOOKUP($S$2087,'TAR FIN'!$A$1:$O$120,15,0))</f>
        <v>0</v>
      </c>
      <c r="W2087" s="6">
        <f>IF(ISERROR(VLOOKUP($T$2087,'TAR FIN'!$A$1:$O$120,15,0)),0,VLOOKUP($T$2087,'TAR FIN'!$A$1:$O$120,15,0))</f>
        <v>374.6</v>
      </c>
      <c r="X2087" s="6">
        <f>IF(ISERROR(VLOOKUP($U$2087,'TAR FIN'!$A$1:$O$120,15,0)),0,VLOOKUP($U$2087,'TAR FIN'!$A$1:$O$120,15,0))</f>
        <v>256.38</v>
      </c>
      <c r="Y2087" s="6"/>
      <c r="Z2087" s="6">
        <f ca="1">('TUSD BE'!$AM$81+'TUSD BF'!$AM$81+'TUSD CVA'!$AM$81)*1</f>
        <v>419.89752571617748</v>
      </c>
      <c r="AA2087" s="6">
        <f>('TE BE'!$AA$45+'TE BF'!$AA$45+'TE CVA'!$AA$45)*1</f>
        <v>230.83420940933817</v>
      </c>
      <c r="AB2087" s="6">
        <f>$K$2087*$V$2087</f>
        <v>0</v>
      </c>
      <c r="AC2087" s="6">
        <f>$M$2087*$W$2087</f>
        <v>510.95440000000008</v>
      </c>
      <c r="AD2087" s="6">
        <f>$O$2087*$X$2087</f>
        <v>349.70232000000004</v>
      </c>
      <c r="AE2087" s="6">
        <f>$K$2087*$Y$2087</f>
        <v>0</v>
      </c>
      <c r="AF2087" s="6">
        <f ca="1">$M$2087*$Z$2087</f>
        <v>572.74022507686618</v>
      </c>
      <c r="AG2087" s="6">
        <f>$O$2087*$AA$2087</f>
        <v>314.85786163433727</v>
      </c>
    </row>
    <row r="2088" spans="1:33" ht="11.25" customHeight="1" x14ac:dyDescent="0.25">
      <c r="A2088" s="4" t="s">
        <v>21</v>
      </c>
      <c r="B2088" s="4" t="s">
        <v>39</v>
      </c>
      <c r="C2088" s="4" t="s">
        <v>37</v>
      </c>
      <c r="D2088" s="4" t="s">
        <v>40</v>
      </c>
      <c r="E2088" s="4" t="s">
        <v>25</v>
      </c>
      <c r="F2088" s="4" t="s">
        <v>25</v>
      </c>
      <c r="G2088" s="4" t="s">
        <v>25</v>
      </c>
      <c r="H2088" s="4" t="s">
        <v>38</v>
      </c>
      <c r="I2088" s="5">
        <v>43891</v>
      </c>
      <c r="J2088" s="6">
        <v>0</v>
      </c>
      <c r="K2088" s="6">
        <v>0</v>
      </c>
      <c r="L2088" s="6">
        <v>0.67400000000000004</v>
      </c>
      <c r="M2088" s="6">
        <v>0.67400000000000004</v>
      </c>
      <c r="N2088" s="6">
        <v>0.67400000000000004</v>
      </c>
      <c r="O2088" s="6">
        <v>0.67400000000000004</v>
      </c>
      <c r="P2088" s="6">
        <v>0</v>
      </c>
      <c r="Q2088" s="4" t="s">
        <v>26</v>
      </c>
      <c r="R2088" s="4">
        <v>0</v>
      </c>
      <c r="S2088" s="6">
        <v>0</v>
      </c>
      <c r="T2088" s="6">
        <v>71</v>
      </c>
      <c r="U2088" s="6">
        <v>114</v>
      </c>
      <c r="V2088" s="6">
        <f>IF(ISERROR(VLOOKUP($S$2088,'TAR FIN'!$A$1:$O$120,15,0)),0,VLOOKUP($S$2088,'TAR FIN'!$A$1:$O$120,15,0))</f>
        <v>0</v>
      </c>
      <c r="W2088" s="6">
        <f>IF(ISERROR(VLOOKUP($T$2088,'TAR FIN'!$A$1:$O$120,15,0)),0,VLOOKUP($T$2088,'TAR FIN'!$A$1:$O$120,15,0))</f>
        <v>374.6</v>
      </c>
      <c r="X2088" s="6">
        <f>IF(ISERROR(VLOOKUP($U$2088,'TAR FIN'!$A$1:$O$120,15,0)),0,VLOOKUP($U$2088,'TAR FIN'!$A$1:$O$120,15,0))</f>
        <v>256.38</v>
      </c>
      <c r="Y2088" s="6"/>
      <c r="Z2088" s="6">
        <f ca="1">('TUSD BE'!$AM$81+'TUSD BF'!$AM$81+'TUSD CVA'!$AM$81)*1</f>
        <v>419.89752571617748</v>
      </c>
      <c r="AA2088" s="6">
        <f>('TE BE'!$AA$45+'TE BF'!$AA$45+'TE CVA'!$AA$45)*1</f>
        <v>230.83420940933817</v>
      </c>
      <c r="AB2088" s="6">
        <f>$K$2088*$V$2088</f>
        <v>0</v>
      </c>
      <c r="AC2088" s="6">
        <f>$M$2088*$W$2088</f>
        <v>252.48040000000003</v>
      </c>
      <c r="AD2088" s="6">
        <f>$O$2088*$X$2088</f>
        <v>172.80012000000002</v>
      </c>
      <c r="AE2088" s="6">
        <f>$K$2088*$Y$2088</f>
        <v>0</v>
      </c>
      <c r="AF2088" s="6">
        <f ca="1">$M$2088*$Z$2088</f>
        <v>283.01093233270365</v>
      </c>
      <c r="AG2088" s="6">
        <f>$O$2088*$AA$2088</f>
        <v>155.58225714189393</v>
      </c>
    </row>
    <row r="2089" spans="1:33" ht="11.25" customHeight="1" x14ac:dyDescent="0.25">
      <c r="A2089" s="4" t="s">
        <v>27</v>
      </c>
      <c r="B2089" s="4" t="s">
        <v>39</v>
      </c>
      <c r="C2089" s="4" t="s">
        <v>37</v>
      </c>
      <c r="D2089" s="4" t="s">
        <v>40</v>
      </c>
      <c r="E2089" s="4" t="s">
        <v>25</v>
      </c>
      <c r="F2089" s="4" t="s">
        <v>25</v>
      </c>
      <c r="G2089" s="4" t="s">
        <v>25</v>
      </c>
      <c r="H2089" s="4" t="s">
        <v>38</v>
      </c>
      <c r="I2089" s="5">
        <v>43891</v>
      </c>
      <c r="J2089" s="6">
        <v>0</v>
      </c>
      <c r="K2089" s="6">
        <v>0</v>
      </c>
      <c r="L2089" s="6">
        <v>0.47799999999999998</v>
      </c>
      <c r="M2089" s="6">
        <v>0.47799999999999998</v>
      </c>
      <c r="N2089" s="6">
        <v>0.47799999999999998</v>
      </c>
      <c r="O2089" s="6">
        <v>0.47799999999999998</v>
      </c>
      <c r="P2089" s="6">
        <v>0</v>
      </c>
      <c r="Q2089" s="4" t="s">
        <v>26</v>
      </c>
      <c r="R2089" s="4">
        <v>0</v>
      </c>
      <c r="S2089" s="6">
        <v>0</v>
      </c>
      <c r="T2089" s="6">
        <v>71</v>
      </c>
      <c r="U2089" s="6">
        <v>114</v>
      </c>
      <c r="V2089" s="6">
        <f>IF(ISERROR(VLOOKUP($S$2089,'TAR FIN'!$A$1:$O$120,15,0)),0,VLOOKUP($S$2089,'TAR FIN'!$A$1:$O$120,15,0))</f>
        <v>0</v>
      </c>
      <c r="W2089" s="6">
        <f>IF(ISERROR(VLOOKUP($T$2089,'TAR FIN'!$A$1:$O$120,15,0)),0,VLOOKUP($T$2089,'TAR FIN'!$A$1:$O$120,15,0))</f>
        <v>374.6</v>
      </c>
      <c r="X2089" s="6">
        <f>IF(ISERROR(VLOOKUP($U$2089,'TAR FIN'!$A$1:$O$120,15,0)),0,VLOOKUP($U$2089,'TAR FIN'!$A$1:$O$120,15,0))</f>
        <v>256.38</v>
      </c>
      <c r="Y2089" s="6"/>
      <c r="Z2089" s="6">
        <f ca="1">('TUSD BE'!$AM$81+'TUSD BF'!$AM$81+'TUSD CVA'!$AM$81)*1</f>
        <v>419.89752571617748</v>
      </c>
      <c r="AA2089" s="6">
        <f>('TE BE'!$AA$45+'TE BF'!$AA$45+'TE CVA'!$AA$45)*1</f>
        <v>230.83420940933817</v>
      </c>
      <c r="AB2089" s="6">
        <f>$K$2089*$V$2089</f>
        <v>0</v>
      </c>
      <c r="AC2089" s="6">
        <f>$M$2089*$W$2089</f>
        <v>179.05879999999999</v>
      </c>
      <c r="AD2089" s="6">
        <f>$O$2089*$X$2089</f>
        <v>122.54964</v>
      </c>
      <c r="AE2089" s="6">
        <f>$K$2089*$Y$2089</f>
        <v>0</v>
      </c>
      <c r="AF2089" s="6">
        <f ca="1">$M$2089*$Z$2089</f>
        <v>200.71101729233283</v>
      </c>
      <c r="AG2089" s="6">
        <f>$O$2089*$AA$2089</f>
        <v>110.33875209766364</v>
      </c>
    </row>
    <row r="2090" spans="1:33" ht="11.25" customHeight="1" x14ac:dyDescent="0.25">
      <c r="A2090" s="4" t="s">
        <v>21</v>
      </c>
      <c r="B2090" s="4" t="s">
        <v>39</v>
      </c>
      <c r="C2090" s="4" t="s">
        <v>37</v>
      </c>
      <c r="D2090" s="4" t="s">
        <v>40</v>
      </c>
      <c r="E2090" s="4" t="s">
        <v>25</v>
      </c>
      <c r="F2090" s="4" t="s">
        <v>25</v>
      </c>
      <c r="G2090" s="4" t="s">
        <v>25</v>
      </c>
      <c r="H2090" s="4" t="s">
        <v>38</v>
      </c>
      <c r="I2090" s="5">
        <v>43922</v>
      </c>
      <c r="J2090" s="6">
        <v>0</v>
      </c>
      <c r="K2090" s="6">
        <v>0</v>
      </c>
      <c r="L2090" s="6">
        <v>1.0660000000000001</v>
      </c>
      <c r="M2090" s="6">
        <v>1.0660000000000001</v>
      </c>
      <c r="N2090" s="6">
        <v>1.0660000000000001</v>
      </c>
      <c r="O2090" s="6">
        <v>1.0660000000000001</v>
      </c>
      <c r="P2090" s="6">
        <v>0</v>
      </c>
      <c r="Q2090" s="4" t="s">
        <v>26</v>
      </c>
      <c r="R2090" s="4">
        <v>0</v>
      </c>
      <c r="S2090" s="6">
        <v>0</v>
      </c>
      <c r="T2090" s="6">
        <v>71</v>
      </c>
      <c r="U2090" s="6">
        <v>114</v>
      </c>
      <c r="V2090" s="6">
        <f>IF(ISERROR(VLOOKUP($S$2090,'TAR FIN'!$A$1:$O$120,15,0)),0,VLOOKUP($S$2090,'TAR FIN'!$A$1:$O$120,15,0))</f>
        <v>0</v>
      </c>
      <c r="W2090" s="6">
        <f>IF(ISERROR(VLOOKUP($T$2090,'TAR FIN'!$A$1:$O$120,15,0)),0,VLOOKUP($T$2090,'TAR FIN'!$A$1:$O$120,15,0))</f>
        <v>374.6</v>
      </c>
      <c r="X2090" s="6">
        <f>IF(ISERROR(VLOOKUP($U$2090,'TAR FIN'!$A$1:$O$120,15,0)),0,VLOOKUP($U$2090,'TAR FIN'!$A$1:$O$120,15,0))</f>
        <v>256.38</v>
      </c>
      <c r="Y2090" s="6"/>
      <c r="Z2090" s="6">
        <f ca="1">('TUSD BE'!$AM$81+'TUSD BF'!$AM$81+'TUSD CVA'!$AM$81)*1</f>
        <v>419.89752571617748</v>
      </c>
      <c r="AA2090" s="6">
        <f>('TE BE'!$AA$45+'TE BF'!$AA$45+'TE CVA'!$AA$45)*1</f>
        <v>230.83420940933817</v>
      </c>
      <c r="AB2090" s="6">
        <f>$K$2090*$V$2090</f>
        <v>0</v>
      </c>
      <c r="AC2090" s="6">
        <f>$M$2090*$W$2090</f>
        <v>399.32360000000006</v>
      </c>
      <c r="AD2090" s="6">
        <f>$O$2090*$X$2090</f>
        <v>273.30108000000001</v>
      </c>
      <c r="AE2090" s="6">
        <f>$K$2090*$Y$2090</f>
        <v>0</v>
      </c>
      <c r="AF2090" s="6">
        <f ca="1">$M$2090*$Z$2090</f>
        <v>447.61076241344523</v>
      </c>
      <c r="AG2090" s="6">
        <f>$O$2090*$AA$2090</f>
        <v>246.06926723035451</v>
      </c>
    </row>
    <row r="2091" spans="1:33" ht="11.25" customHeight="1" x14ac:dyDescent="0.25">
      <c r="A2091" s="4" t="s">
        <v>21</v>
      </c>
      <c r="B2091" s="4" t="s">
        <v>39</v>
      </c>
      <c r="C2091" s="4" t="s">
        <v>37</v>
      </c>
      <c r="D2091" s="4" t="s">
        <v>40</v>
      </c>
      <c r="E2091" s="4" t="s">
        <v>25</v>
      </c>
      <c r="F2091" s="4" t="s">
        <v>25</v>
      </c>
      <c r="G2091" s="4" t="s">
        <v>25</v>
      </c>
      <c r="H2091" s="4" t="s">
        <v>38</v>
      </c>
      <c r="I2091" s="5">
        <v>43952</v>
      </c>
      <c r="J2091" s="6">
        <v>0</v>
      </c>
      <c r="K2091" s="6">
        <v>0</v>
      </c>
      <c r="L2091" s="6">
        <v>0.95899999999999996</v>
      </c>
      <c r="M2091" s="6">
        <v>0.95899999999999996</v>
      </c>
      <c r="N2091" s="6">
        <v>0.95899999999999996</v>
      </c>
      <c r="O2091" s="6">
        <v>0.95899999999999996</v>
      </c>
      <c r="P2091" s="6">
        <v>0</v>
      </c>
      <c r="Q2091" s="4" t="s">
        <v>26</v>
      </c>
      <c r="R2091" s="4">
        <v>0</v>
      </c>
      <c r="S2091" s="6">
        <v>0</v>
      </c>
      <c r="T2091" s="6">
        <v>71</v>
      </c>
      <c r="U2091" s="6">
        <v>114</v>
      </c>
      <c r="V2091" s="6">
        <f>IF(ISERROR(VLOOKUP($S$2091,'TAR FIN'!$A$1:$O$120,15,0)),0,VLOOKUP($S$2091,'TAR FIN'!$A$1:$O$120,15,0))</f>
        <v>0</v>
      </c>
      <c r="W2091" s="6">
        <f>IF(ISERROR(VLOOKUP($T$2091,'TAR FIN'!$A$1:$O$120,15,0)),0,VLOOKUP($T$2091,'TAR FIN'!$A$1:$O$120,15,0))</f>
        <v>374.6</v>
      </c>
      <c r="X2091" s="6">
        <f>IF(ISERROR(VLOOKUP($U$2091,'TAR FIN'!$A$1:$O$120,15,0)),0,VLOOKUP($U$2091,'TAR FIN'!$A$1:$O$120,15,0))</f>
        <v>256.38</v>
      </c>
      <c r="Y2091" s="6"/>
      <c r="Z2091" s="6">
        <f ca="1">('TUSD BE'!$AM$81+'TUSD BF'!$AM$81+'TUSD CVA'!$AM$81)*1</f>
        <v>419.89752571617748</v>
      </c>
      <c r="AA2091" s="6">
        <f>('TE BE'!$AA$45+'TE BF'!$AA$45+'TE CVA'!$AA$45)*1</f>
        <v>230.83420940933817</v>
      </c>
      <c r="AB2091" s="6">
        <f>$K$2091*$V$2091</f>
        <v>0</v>
      </c>
      <c r="AC2091" s="6">
        <f>$M$2091*$W$2091</f>
        <v>359.2414</v>
      </c>
      <c r="AD2091" s="6">
        <f>$O$2091*$X$2091</f>
        <v>245.86841999999999</v>
      </c>
      <c r="AE2091" s="6">
        <f>$K$2091*$Y$2091</f>
        <v>0</v>
      </c>
      <c r="AF2091" s="6">
        <f ca="1">$M$2091*$Z$2091</f>
        <v>402.68172716181419</v>
      </c>
      <c r="AG2091" s="6">
        <f>$O$2091*$AA$2091</f>
        <v>221.37000682355529</v>
      </c>
    </row>
    <row r="2092" spans="1:33" ht="11.25" customHeight="1" x14ac:dyDescent="0.25">
      <c r="A2092" s="4" t="s">
        <v>21</v>
      </c>
      <c r="B2092" s="4" t="s">
        <v>39</v>
      </c>
      <c r="C2092" s="4" t="s">
        <v>37</v>
      </c>
      <c r="D2092" s="4" t="s">
        <v>40</v>
      </c>
      <c r="E2092" s="4" t="s">
        <v>25</v>
      </c>
      <c r="F2092" s="4" t="s">
        <v>25</v>
      </c>
      <c r="G2092" s="4" t="s">
        <v>25</v>
      </c>
      <c r="H2092" s="4" t="s">
        <v>38</v>
      </c>
      <c r="I2092" s="5">
        <v>43983</v>
      </c>
      <c r="J2092" s="6">
        <v>0</v>
      </c>
      <c r="K2092" s="6">
        <v>0</v>
      </c>
      <c r="L2092" s="6">
        <v>0.96399999999999997</v>
      </c>
      <c r="M2092" s="6">
        <v>0.96399999999999997</v>
      </c>
      <c r="N2092" s="6">
        <v>0.96399999999999997</v>
      </c>
      <c r="O2092" s="6">
        <v>0.96399999999999997</v>
      </c>
      <c r="P2092" s="6">
        <v>0</v>
      </c>
      <c r="Q2092" s="4" t="s">
        <v>26</v>
      </c>
      <c r="R2092" s="4">
        <v>0</v>
      </c>
      <c r="S2092" s="6">
        <v>0</v>
      </c>
      <c r="T2092" s="6">
        <v>71</v>
      </c>
      <c r="U2092" s="6">
        <v>114</v>
      </c>
      <c r="V2092" s="6">
        <f>IF(ISERROR(VLOOKUP($S$2092,'TAR FIN'!$A$1:$O$120,15,0)),0,VLOOKUP($S$2092,'TAR FIN'!$A$1:$O$120,15,0))</f>
        <v>0</v>
      </c>
      <c r="W2092" s="6">
        <f>IF(ISERROR(VLOOKUP($T$2092,'TAR FIN'!$A$1:$O$120,15,0)),0,VLOOKUP($T$2092,'TAR FIN'!$A$1:$O$120,15,0))</f>
        <v>374.6</v>
      </c>
      <c r="X2092" s="6">
        <f>IF(ISERROR(VLOOKUP($U$2092,'TAR FIN'!$A$1:$O$120,15,0)),0,VLOOKUP($U$2092,'TAR FIN'!$A$1:$O$120,15,0))</f>
        <v>256.38</v>
      </c>
      <c r="Y2092" s="6"/>
      <c r="Z2092" s="6">
        <f ca="1">('TUSD BE'!$AM$81+'TUSD BF'!$AM$81+'TUSD CVA'!$AM$81)*1</f>
        <v>419.89752571617748</v>
      </c>
      <c r="AA2092" s="6">
        <f>('TE BE'!$AA$45+'TE BF'!$AA$45+'TE CVA'!$AA$45)*1</f>
        <v>230.83420940933817</v>
      </c>
      <c r="AB2092" s="6">
        <f>$K$2092*$V$2092</f>
        <v>0</v>
      </c>
      <c r="AC2092" s="6">
        <f>$M$2092*$W$2092</f>
        <v>361.11439999999999</v>
      </c>
      <c r="AD2092" s="6">
        <f>$O$2092*$X$2092</f>
        <v>247.15031999999999</v>
      </c>
      <c r="AE2092" s="6">
        <f>$K$2092*$Y$2092</f>
        <v>0</v>
      </c>
      <c r="AF2092" s="6">
        <f ca="1">$M$2092*$Z$2092</f>
        <v>404.7812147903951</v>
      </c>
      <c r="AG2092" s="6">
        <f>$O$2092*$AA$2092</f>
        <v>222.52417787060199</v>
      </c>
    </row>
    <row r="2093" spans="1:33" ht="11.25" customHeight="1" x14ac:dyDescent="0.25">
      <c r="A2093" s="4" t="s">
        <v>21</v>
      </c>
      <c r="B2093" s="4" t="s">
        <v>39</v>
      </c>
      <c r="C2093" s="4" t="s">
        <v>37</v>
      </c>
      <c r="D2093" s="4" t="s">
        <v>40</v>
      </c>
      <c r="E2093" s="4" t="s">
        <v>25</v>
      </c>
      <c r="F2093" s="4" t="s">
        <v>25</v>
      </c>
      <c r="G2093" s="4" t="s">
        <v>25</v>
      </c>
      <c r="H2093" s="4" t="s">
        <v>38</v>
      </c>
      <c r="I2093" s="5">
        <v>44013</v>
      </c>
      <c r="J2093" s="6">
        <v>0</v>
      </c>
      <c r="K2093" s="6">
        <v>0</v>
      </c>
      <c r="L2093" s="6">
        <v>1.002</v>
      </c>
      <c r="M2093" s="6">
        <v>1.002</v>
      </c>
      <c r="N2093" s="6">
        <v>1.002</v>
      </c>
      <c r="O2093" s="6">
        <v>1.002</v>
      </c>
      <c r="P2093" s="6">
        <v>0</v>
      </c>
      <c r="Q2093" s="4" t="s">
        <v>26</v>
      </c>
      <c r="R2093" s="4">
        <v>0</v>
      </c>
      <c r="S2093" s="6">
        <v>0</v>
      </c>
      <c r="T2093" s="6">
        <v>71</v>
      </c>
      <c r="U2093" s="6">
        <v>114</v>
      </c>
      <c r="V2093" s="6">
        <f>IF(ISERROR(VLOOKUP($S$2093,'TAR FIN'!$A$1:$O$120,15,0)),0,VLOOKUP($S$2093,'TAR FIN'!$A$1:$O$120,15,0))</f>
        <v>0</v>
      </c>
      <c r="W2093" s="6">
        <f>IF(ISERROR(VLOOKUP($T$2093,'TAR FIN'!$A$1:$O$120,15,0)),0,VLOOKUP($T$2093,'TAR FIN'!$A$1:$O$120,15,0))</f>
        <v>374.6</v>
      </c>
      <c r="X2093" s="6">
        <f>IF(ISERROR(VLOOKUP($U$2093,'TAR FIN'!$A$1:$O$120,15,0)),0,VLOOKUP($U$2093,'TAR FIN'!$A$1:$O$120,15,0))</f>
        <v>256.38</v>
      </c>
      <c r="Y2093" s="6"/>
      <c r="Z2093" s="6">
        <f ca="1">('TUSD BE'!$AM$81+'TUSD BF'!$AM$81+'TUSD CVA'!$AM$81)*1</f>
        <v>419.89752571617748</v>
      </c>
      <c r="AA2093" s="6">
        <f>('TE BE'!$AA$45+'TE BF'!$AA$45+'TE CVA'!$AA$45)*1</f>
        <v>230.83420940933817</v>
      </c>
      <c r="AB2093" s="6">
        <f>$K$2093*$V$2093</f>
        <v>0</v>
      </c>
      <c r="AC2093" s="6">
        <f>$M$2093*$W$2093</f>
        <v>375.3492</v>
      </c>
      <c r="AD2093" s="6">
        <f>$O$2093*$X$2093</f>
        <v>256.89276000000001</v>
      </c>
      <c r="AE2093" s="6">
        <f>$K$2093*$Y$2093</f>
        <v>0</v>
      </c>
      <c r="AF2093" s="6">
        <f ca="1">$M$2093*$Z$2093</f>
        <v>420.73732076760984</v>
      </c>
      <c r="AG2093" s="6">
        <f>$O$2093*$AA$2093</f>
        <v>231.29587782815685</v>
      </c>
    </row>
    <row r="2094" spans="1:33" ht="11.25" customHeight="1" x14ac:dyDescent="0.25">
      <c r="A2094" s="4" t="s">
        <v>21</v>
      </c>
      <c r="B2094" s="4" t="s">
        <v>39</v>
      </c>
      <c r="C2094" s="4" t="s">
        <v>37</v>
      </c>
      <c r="D2094" s="4" t="s">
        <v>40</v>
      </c>
      <c r="E2094" s="4" t="s">
        <v>25</v>
      </c>
      <c r="F2094" s="4" t="s">
        <v>25</v>
      </c>
      <c r="G2094" s="4" t="s">
        <v>25</v>
      </c>
      <c r="H2094" s="4" t="s">
        <v>38</v>
      </c>
      <c r="I2094" s="5">
        <v>44044</v>
      </c>
      <c r="J2094" s="6">
        <v>0</v>
      </c>
      <c r="K2094" s="6">
        <v>0</v>
      </c>
      <c r="L2094" s="6">
        <v>1.1739999999999999</v>
      </c>
      <c r="M2094" s="6">
        <v>1.1739999999999999</v>
      </c>
      <c r="N2094" s="6">
        <v>1.1739999999999999</v>
      </c>
      <c r="O2094" s="6">
        <v>1.1739999999999999</v>
      </c>
      <c r="P2094" s="6">
        <v>0</v>
      </c>
      <c r="Q2094" s="4" t="s">
        <v>26</v>
      </c>
      <c r="R2094" s="4">
        <v>0</v>
      </c>
      <c r="S2094" s="6">
        <v>0</v>
      </c>
      <c r="T2094" s="6">
        <v>71</v>
      </c>
      <c r="U2094" s="6">
        <v>114</v>
      </c>
      <c r="V2094" s="6">
        <f>IF(ISERROR(VLOOKUP($S$2094,'TAR FIN'!$A$1:$O$120,15,0)),0,VLOOKUP($S$2094,'TAR FIN'!$A$1:$O$120,15,0))</f>
        <v>0</v>
      </c>
      <c r="W2094" s="6">
        <f>IF(ISERROR(VLOOKUP($T$2094,'TAR FIN'!$A$1:$O$120,15,0)),0,VLOOKUP($T$2094,'TAR FIN'!$A$1:$O$120,15,0))</f>
        <v>374.6</v>
      </c>
      <c r="X2094" s="6">
        <f>IF(ISERROR(VLOOKUP($U$2094,'TAR FIN'!$A$1:$O$120,15,0)),0,VLOOKUP($U$2094,'TAR FIN'!$A$1:$O$120,15,0))</f>
        <v>256.38</v>
      </c>
      <c r="Y2094" s="6"/>
      <c r="Z2094" s="6">
        <f ca="1">('TUSD BE'!$AM$81+'TUSD BF'!$AM$81+'TUSD CVA'!$AM$81)*1</f>
        <v>419.89752571617748</v>
      </c>
      <c r="AA2094" s="6">
        <f>('TE BE'!$AA$45+'TE BF'!$AA$45+'TE CVA'!$AA$45)*1</f>
        <v>230.83420940933817</v>
      </c>
      <c r="AB2094" s="6">
        <f>$K$2094*$V$2094</f>
        <v>0</v>
      </c>
      <c r="AC2094" s="6">
        <f>$M$2094*$W$2094</f>
        <v>439.78039999999999</v>
      </c>
      <c r="AD2094" s="6">
        <f>$O$2094*$X$2094</f>
        <v>300.99011999999999</v>
      </c>
      <c r="AE2094" s="6">
        <f>$K$2094*$Y$2094</f>
        <v>0</v>
      </c>
      <c r="AF2094" s="6">
        <f ca="1">$M$2094*$Z$2094</f>
        <v>492.95969519079233</v>
      </c>
      <c r="AG2094" s="6">
        <f>$O$2094*$AA$2094</f>
        <v>270.99936184656298</v>
      </c>
    </row>
    <row r="2095" spans="1:33" ht="11.25" customHeight="1" x14ac:dyDescent="0.25">
      <c r="A2095" s="4" t="s">
        <v>59</v>
      </c>
      <c r="B2095" s="4" t="s">
        <v>39</v>
      </c>
      <c r="C2095" s="4" t="s">
        <v>37</v>
      </c>
      <c r="D2095" s="4" t="s">
        <v>40</v>
      </c>
      <c r="E2095" s="4" t="s">
        <v>25</v>
      </c>
      <c r="F2095" s="4" t="s">
        <v>25</v>
      </c>
      <c r="G2095" s="4" t="s">
        <v>25</v>
      </c>
      <c r="H2095" s="4" t="s">
        <v>38</v>
      </c>
      <c r="I2095" s="5">
        <v>44075</v>
      </c>
      <c r="J2095" s="6">
        <v>0</v>
      </c>
      <c r="K2095" s="6">
        <v>0</v>
      </c>
      <c r="L2095" s="6">
        <v>1.1739999999999999</v>
      </c>
      <c r="M2095" s="6">
        <v>1.1739999999999999</v>
      </c>
      <c r="N2095" s="6">
        <v>1.1739999999999999</v>
      </c>
      <c r="O2095" s="6">
        <v>1.1739999999999999</v>
      </c>
      <c r="P2095" s="6">
        <v>0</v>
      </c>
      <c r="Q2095" s="4" t="s">
        <v>26</v>
      </c>
      <c r="R2095" s="4">
        <v>0</v>
      </c>
      <c r="S2095" s="6">
        <v>0</v>
      </c>
      <c r="T2095" s="6">
        <v>71</v>
      </c>
      <c r="U2095" s="6">
        <v>114</v>
      </c>
      <c r="V2095" s="6">
        <f>IF(ISERROR(VLOOKUP($S$2095,'TAR FIN'!$A$1:$O$120,15,0)),0,VLOOKUP($S$2095,'TAR FIN'!$A$1:$O$120,15,0))</f>
        <v>0</v>
      </c>
      <c r="W2095" s="6">
        <f>IF(ISERROR(VLOOKUP($T$2095,'TAR FIN'!$A$1:$O$120,15,0)),0,VLOOKUP($T$2095,'TAR FIN'!$A$1:$O$120,15,0))</f>
        <v>374.6</v>
      </c>
      <c r="X2095" s="6">
        <f>IF(ISERROR(VLOOKUP($U$2095,'TAR FIN'!$A$1:$O$120,15,0)),0,VLOOKUP($U$2095,'TAR FIN'!$A$1:$O$120,15,0))</f>
        <v>256.38</v>
      </c>
      <c r="Y2095" s="6"/>
      <c r="Z2095" s="6">
        <f ca="1">('TUSD BE'!$AM$81+'TUSD BF'!$AM$81+'TUSD CVA'!$AM$81)*1</f>
        <v>419.89752571617748</v>
      </c>
      <c r="AA2095" s="6">
        <f>('TE BE'!$AA$45+'TE BF'!$AA$45+'TE CVA'!$AA$45)*1</f>
        <v>230.83420940933817</v>
      </c>
      <c r="AB2095" s="6">
        <f>$K$2095*$V$2095</f>
        <v>0</v>
      </c>
      <c r="AC2095" s="6">
        <f>$M$2095*$W$2095</f>
        <v>439.78039999999999</v>
      </c>
      <c r="AD2095" s="6">
        <f>$O$2095*$X$2095</f>
        <v>300.99011999999999</v>
      </c>
      <c r="AE2095" s="6">
        <f>$K$2095*$Y$2095</f>
        <v>0</v>
      </c>
      <c r="AF2095" s="6">
        <f ca="1">$M$2095*$Z$2095</f>
        <v>492.95969519079233</v>
      </c>
      <c r="AG2095" s="6">
        <f>$O$2095*$AA$2095</f>
        <v>270.99936184656298</v>
      </c>
    </row>
    <row r="2096" spans="1:33" ht="11.25" customHeight="1" x14ac:dyDescent="0.25">
      <c r="A2096" s="4" t="s">
        <v>21</v>
      </c>
      <c r="B2096" s="4" t="s">
        <v>39</v>
      </c>
      <c r="C2096" s="4" t="s">
        <v>37</v>
      </c>
      <c r="D2096" s="4" t="s">
        <v>40</v>
      </c>
      <c r="E2096" s="4" t="s">
        <v>25</v>
      </c>
      <c r="F2096" s="4" t="s">
        <v>25</v>
      </c>
      <c r="G2096" s="4" t="s">
        <v>25</v>
      </c>
      <c r="H2096" s="4" t="s">
        <v>35</v>
      </c>
      <c r="I2096" s="5">
        <v>43739</v>
      </c>
      <c r="J2096" s="6">
        <v>0</v>
      </c>
      <c r="K2096" s="6">
        <v>0</v>
      </c>
      <c r="L2096" s="6">
        <v>1.5469999999999999</v>
      </c>
      <c r="M2096" s="6">
        <v>1.5469999999999999</v>
      </c>
      <c r="N2096" s="6">
        <v>1.5469999999999999</v>
      </c>
      <c r="O2096" s="6">
        <v>1.5469999999999999</v>
      </c>
      <c r="P2096" s="6">
        <v>0</v>
      </c>
      <c r="Q2096" s="4" t="s">
        <v>26</v>
      </c>
      <c r="R2096" s="4">
        <v>0</v>
      </c>
      <c r="S2096" s="6">
        <v>0</v>
      </c>
      <c r="T2096" s="6">
        <v>70</v>
      </c>
      <c r="U2096" s="6">
        <v>113</v>
      </c>
      <c r="V2096" s="6">
        <f>IF(ISERROR(VLOOKUP($S$2096,'TAR FIN'!$A$1:$O$120,15,0)),0,VLOOKUP($S$2096,'TAR FIN'!$A$1:$O$120,15,0))</f>
        <v>0</v>
      </c>
      <c r="W2096" s="6">
        <f>IF(ISERROR(VLOOKUP($T$2096,'TAR FIN'!$A$1:$O$120,15,0)),0,VLOOKUP($T$2096,'TAR FIN'!$A$1:$O$120,15,0))</f>
        <v>552.01</v>
      </c>
      <c r="X2096" s="6">
        <f>IF(ISERROR(VLOOKUP($U$2096,'TAR FIN'!$A$1:$O$120,15,0)),0,VLOOKUP($U$2096,'TAR FIN'!$A$1:$O$120,15,0))</f>
        <v>430.87</v>
      </c>
      <c r="Y2096" s="6"/>
      <c r="Z2096" s="6">
        <f ca="1">('TUSD BE'!$AM$80+'TUSD BF'!$AM$80+'TUSD CVA'!$AM$80)*1</f>
        <v>625.84296780878549</v>
      </c>
      <c r="AA2096" s="6">
        <f>('TE BE'!$AA$44+'TE BF'!$AA$44+'TE CVA'!$AA$44)*1</f>
        <v>375.69180268700768</v>
      </c>
      <c r="AB2096" s="6">
        <f>$K$2096*$V$2096</f>
        <v>0</v>
      </c>
      <c r="AC2096" s="6">
        <f>$M$2096*$W$2096</f>
        <v>853.9594699999999</v>
      </c>
      <c r="AD2096" s="6">
        <f>$O$2096*$X$2096</f>
        <v>666.55588999999998</v>
      </c>
      <c r="AE2096" s="6">
        <f>$K$2096*$Y$2096</f>
        <v>0</v>
      </c>
      <c r="AF2096" s="6">
        <f ca="1">$M$2096*$Z$2096</f>
        <v>968.17907120019106</v>
      </c>
      <c r="AG2096" s="6">
        <f>$O$2096*$AA$2096</f>
        <v>581.19521875680084</v>
      </c>
    </row>
    <row r="2097" spans="1:33" ht="11.25" customHeight="1" x14ac:dyDescent="0.25">
      <c r="A2097" s="4" t="s">
        <v>21</v>
      </c>
      <c r="B2097" s="4" t="s">
        <v>39</v>
      </c>
      <c r="C2097" s="4" t="s">
        <v>37</v>
      </c>
      <c r="D2097" s="4" t="s">
        <v>40</v>
      </c>
      <c r="E2097" s="4" t="s">
        <v>25</v>
      </c>
      <c r="F2097" s="4" t="s">
        <v>25</v>
      </c>
      <c r="G2097" s="4" t="s">
        <v>25</v>
      </c>
      <c r="H2097" s="4" t="s">
        <v>35</v>
      </c>
      <c r="I2097" s="5">
        <v>43770</v>
      </c>
      <c r="J2097" s="6">
        <v>0</v>
      </c>
      <c r="K2097" s="6">
        <v>0</v>
      </c>
      <c r="L2097" s="6">
        <v>1.65</v>
      </c>
      <c r="M2097" s="6">
        <v>1.65</v>
      </c>
      <c r="N2097" s="6">
        <v>1.65</v>
      </c>
      <c r="O2097" s="6">
        <v>1.65</v>
      </c>
      <c r="P2097" s="6">
        <v>0</v>
      </c>
      <c r="Q2097" s="4" t="s">
        <v>26</v>
      </c>
      <c r="R2097" s="4">
        <v>0</v>
      </c>
      <c r="S2097" s="6">
        <v>0</v>
      </c>
      <c r="T2097" s="6">
        <v>70</v>
      </c>
      <c r="U2097" s="6">
        <v>113</v>
      </c>
      <c r="V2097" s="6">
        <f>IF(ISERROR(VLOOKUP($S$2097,'TAR FIN'!$A$1:$O$120,15,0)),0,VLOOKUP($S$2097,'TAR FIN'!$A$1:$O$120,15,0))</f>
        <v>0</v>
      </c>
      <c r="W2097" s="6">
        <f>IF(ISERROR(VLOOKUP($T$2097,'TAR FIN'!$A$1:$O$120,15,0)),0,VLOOKUP($T$2097,'TAR FIN'!$A$1:$O$120,15,0))</f>
        <v>552.01</v>
      </c>
      <c r="X2097" s="6">
        <f>IF(ISERROR(VLOOKUP($U$2097,'TAR FIN'!$A$1:$O$120,15,0)),0,VLOOKUP($U$2097,'TAR FIN'!$A$1:$O$120,15,0))</f>
        <v>430.87</v>
      </c>
      <c r="Y2097" s="6"/>
      <c r="Z2097" s="6">
        <f ca="1">('TUSD BE'!$AM$80+'TUSD BF'!$AM$80+'TUSD CVA'!$AM$80)*1</f>
        <v>625.84296780878549</v>
      </c>
      <c r="AA2097" s="6">
        <f>('TE BE'!$AA$44+'TE BF'!$AA$44+'TE CVA'!$AA$44)*1</f>
        <v>375.69180268700768</v>
      </c>
      <c r="AB2097" s="6">
        <f>$K$2097*$V$2097</f>
        <v>0</v>
      </c>
      <c r="AC2097" s="6">
        <f>$M$2097*$W$2097</f>
        <v>910.81649999999991</v>
      </c>
      <c r="AD2097" s="6">
        <f>$O$2097*$X$2097</f>
        <v>710.93549999999993</v>
      </c>
      <c r="AE2097" s="6">
        <f>$K$2097*$Y$2097</f>
        <v>0</v>
      </c>
      <c r="AF2097" s="6">
        <f ca="1">$M$2097*$Z$2097</f>
        <v>1032.640896884496</v>
      </c>
      <c r="AG2097" s="6">
        <f>$O$2097*$AA$2097</f>
        <v>619.89147443356262</v>
      </c>
    </row>
    <row r="2098" spans="1:33" ht="11.25" customHeight="1" x14ac:dyDescent="0.25">
      <c r="A2098" s="4" t="s">
        <v>21</v>
      </c>
      <c r="B2098" s="4" t="s">
        <v>39</v>
      </c>
      <c r="C2098" s="4" t="s">
        <v>37</v>
      </c>
      <c r="D2098" s="4" t="s">
        <v>40</v>
      </c>
      <c r="E2098" s="4" t="s">
        <v>25</v>
      </c>
      <c r="F2098" s="4" t="s">
        <v>25</v>
      </c>
      <c r="G2098" s="4" t="s">
        <v>25</v>
      </c>
      <c r="H2098" s="4" t="s">
        <v>35</v>
      </c>
      <c r="I2098" s="5">
        <v>43800</v>
      </c>
      <c r="J2098" s="6">
        <v>0</v>
      </c>
      <c r="K2098" s="6">
        <v>0</v>
      </c>
      <c r="L2098" s="6">
        <v>1.403</v>
      </c>
      <c r="M2098" s="6">
        <v>1.403</v>
      </c>
      <c r="N2098" s="6">
        <v>1.403</v>
      </c>
      <c r="O2098" s="6">
        <v>1.403</v>
      </c>
      <c r="P2098" s="6">
        <v>0</v>
      </c>
      <c r="Q2098" s="4" t="s">
        <v>26</v>
      </c>
      <c r="R2098" s="4">
        <v>0</v>
      </c>
      <c r="S2098" s="6">
        <v>0</v>
      </c>
      <c r="T2098" s="6">
        <v>70</v>
      </c>
      <c r="U2098" s="6">
        <v>113</v>
      </c>
      <c r="V2098" s="6">
        <f>IF(ISERROR(VLOOKUP($S$2098,'TAR FIN'!$A$1:$O$120,15,0)),0,VLOOKUP($S$2098,'TAR FIN'!$A$1:$O$120,15,0))</f>
        <v>0</v>
      </c>
      <c r="W2098" s="6">
        <f>IF(ISERROR(VLOOKUP($T$2098,'TAR FIN'!$A$1:$O$120,15,0)),0,VLOOKUP($T$2098,'TAR FIN'!$A$1:$O$120,15,0))</f>
        <v>552.01</v>
      </c>
      <c r="X2098" s="6">
        <f>IF(ISERROR(VLOOKUP($U$2098,'TAR FIN'!$A$1:$O$120,15,0)),0,VLOOKUP($U$2098,'TAR FIN'!$A$1:$O$120,15,0))</f>
        <v>430.87</v>
      </c>
      <c r="Y2098" s="6"/>
      <c r="Z2098" s="6">
        <f ca="1">('TUSD BE'!$AM$80+'TUSD BF'!$AM$80+'TUSD CVA'!$AM$80)*1</f>
        <v>625.84296780878549</v>
      </c>
      <c r="AA2098" s="6">
        <f>('TE BE'!$AA$44+'TE BF'!$AA$44+'TE CVA'!$AA$44)*1</f>
        <v>375.69180268700768</v>
      </c>
      <c r="AB2098" s="6">
        <f>$K$2098*$V$2098</f>
        <v>0</v>
      </c>
      <c r="AC2098" s="6">
        <f>$M$2098*$W$2098</f>
        <v>774.47002999999995</v>
      </c>
      <c r="AD2098" s="6">
        <f>$O$2098*$X$2098</f>
        <v>604.51061000000004</v>
      </c>
      <c r="AE2098" s="6">
        <f>$K$2098*$Y$2098</f>
        <v>0</v>
      </c>
      <c r="AF2098" s="6">
        <f ca="1">$M$2098*$Z$2098</f>
        <v>878.05768383572604</v>
      </c>
      <c r="AG2098" s="6">
        <f>$O$2098*$AA$2098</f>
        <v>527.09559916987178</v>
      </c>
    </row>
    <row r="2099" spans="1:33" ht="11.25" customHeight="1" x14ac:dyDescent="0.25">
      <c r="A2099" s="4" t="s">
        <v>21</v>
      </c>
      <c r="B2099" s="4" t="s">
        <v>39</v>
      </c>
      <c r="C2099" s="4" t="s">
        <v>37</v>
      </c>
      <c r="D2099" s="4" t="s">
        <v>40</v>
      </c>
      <c r="E2099" s="4" t="s">
        <v>25</v>
      </c>
      <c r="F2099" s="4" t="s">
        <v>25</v>
      </c>
      <c r="G2099" s="4" t="s">
        <v>25</v>
      </c>
      <c r="H2099" s="4" t="s">
        <v>35</v>
      </c>
      <c r="I2099" s="5">
        <v>43831</v>
      </c>
      <c r="J2099" s="6">
        <v>0</v>
      </c>
      <c r="K2099" s="6">
        <v>0</v>
      </c>
      <c r="L2099" s="6">
        <v>1.4219999999999999</v>
      </c>
      <c r="M2099" s="6">
        <v>1.4219999999999999</v>
      </c>
      <c r="N2099" s="6">
        <v>1.4219999999999999</v>
      </c>
      <c r="O2099" s="6">
        <v>1.4219999999999999</v>
      </c>
      <c r="P2099" s="6">
        <v>0</v>
      </c>
      <c r="Q2099" s="4" t="s">
        <v>26</v>
      </c>
      <c r="R2099" s="4">
        <v>0</v>
      </c>
      <c r="S2099" s="6">
        <v>0</v>
      </c>
      <c r="T2099" s="6">
        <v>70</v>
      </c>
      <c r="U2099" s="6">
        <v>113</v>
      </c>
      <c r="V2099" s="6">
        <f>IF(ISERROR(VLOOKUP($S$2099,'TAR FIN'!$A$1:$O$120,15,0)),0,VLOOKUP($S$2099,'TAR FIN'!$A$1:$O$120,15,0))</f>
        <v>0</v>
      </c>
      <c r="W2099" s="6">
        <f>IF(ISERROR(VLOOKUP($T$2099,'TAR FIN'!$A$1:$O$120,15,0)),0,VLOOKUP($T$2099,'TAR FIN'!$A$1:$O$120,15,0))</f>
        <v>552.01</v>
      </c>
      <c r="X2099" s="6">
        <f>IF(ISERROR(VLOOKUP($U$2099,'TAR FIN'!$A$1:$O$120,15,0)),0,VLOOKUP($U$2099,'TAR FIN'!$A$1:$O$120,15,0))</f>
        <v>430.87</v>
      </c>
      <c r="Y2099" s="6"/>
      <c r="Z2099" s="6">
        <f ca="1">('TUSD BE'!$AM$80+'TUSD BF'!$AM$80+'TUSD CVA'!$AM$80)*1</f>
        <v>625.84296780878549</v>
      </c>
      <c r="AA2099" s="6">
        <f>('TE BE'!$AA$44+'TE BF'!$AA$44+'TE CVA'!$AA$44)*1</f>
        <v>375.69180268700768</v>
      </c>
      <c r="AB2099" s="6">
        <f>$K$2099*$V$2099</f>
        <v>0</v>
      </c>
      <c r="AC2099" s="6">
        <f>$M$2099*$W$2099</f>
        <v>784.95821999999998</v>
      </c>
      <c r="AD2099" s="6">
        <f>$O$2099*$X$2099</f>
        <v>612.69713999999999</v>
      </c>
      <c r="AE2099" s="6">
        <f>$K$2099*$Y$2099</f>
        <v>0</v>
      </c>
      <c r="AF2099" s="6">
        <f ca="1">$M$2099*$Z$2099</f>
        <v>889.94870022409293</v>
      </c>
      <c r="AG2099" s="6">
        <f>$O$2099*$AA$2099</f>
        <v>534.23374342092484</v>
      </c>
    </row>
    <row r="2100" spans="1:33" ht="11.25" customHeight="1" x14ac:dyDescent="0.25">
      <c r="A2100" s="4" t="s">
        <v>21</v>
      </c>
      <c r="B2100" s="4" t="s">
        <v>39</v>
      </c>
      <c r="C2100" s="4" t="s">
        <v>37</v>
      </c>
      <c r="D2100" s="4" t="s">
        <v>40</v>
      </c>
      <c r="E2100" s="4" t="s">
        <v>25</v>
      </c>
      <c r="F2100" s="4" t="s">
        <v>25</v>
      </c>
      <c r="G2100" s="4" t="s">
        <v>25</v>
      </c>
      <c r="H2100" s="4" t="s">
        <v>35</v>
      </c>
      <c r="I2100" s="5">
        <v>43862</v>
      </c>
      <c r="J2100" s="6">
        <v>0</v>
      </c>
      <c r="K2100" s="6">
        <v>0</v>
      </c>
      <c r="L2100" s="6">
        <v>1.391</v>
      </c>
      <c r="M2100" s="6">
        <v>1.391</v>
      </c>
      <c r="N2100" s="6">
        <v>1.391</v>
      </c>
      <c r="O2100" s="6">
        <v>1.391</v>
      </c>
      <c r="P2100" s="6">
        <v>0</v>
      </c>
      <c r="Q2100" s="4" t="s">
        <v>26</v>
      </c>
      <c r="R2100" s="4">
        <v>0</v>
      </c>
      <c r="S2100" s="6">
        <v>0</v>
      </c>
      <c r="T2100" s="6">
        <v>70</v>
      </c>
      <c r="U2100" s="6">
        <v>113</v>
      </c>
      <c r="V2100" s="6">
        <f>IF(ISERROR(VLOOKUP($S$2100,'TAR FIN'!$A$1:$O$120,15,0)),0,VLOOKUP($S$2100,'TAR FIN'!$A$1:$O$120,15,0))</f>
        <v>0</v>
      </c>
      <c r="W2100" s="6">
        <f>IF(ISERROR(VLOOKUP($T$2100,'TAR FIN'!$A$1:$O$120,15,0)),0,VLOOKUP($T$2100,'TAR FIN'!$A$1:$O$120,15,0))</f>
        <v>552.01</v>
      </c>
      <c r="X2100" s="6">
        <f>IF(ISERROR(VLOOKUP($U$2100,'TAR FIN'!$A$1:$O$120,15,0)),0,VLOOKUP($U$2100,'TAR FIN'!$A$1:$O$120,15,0))</f>
        <v>430.87</v>
      </c>
      <c r="Y2100" s="6"/>
      <c r="Z2100" s="6">
        <f ca="1">('TUSD BE'!$AM$80+'TUSD BF'!$AM$80+'TUSD CVA'!$AM$80)*1</f>
        <v>625.84296780878549</v>
      </c>
      <c r="AA2100" s="6">
        <f>('TE BE'!$AA$44+'TE BF'!$AA$44+'TE CVA'!$AA$44)*1</f>
        <v>375.69180268700768</v>
      </c>
      <c r="AB2100" s="6">
        <f>$K$2100*$V$2100</f>
        <v>0</v>
      </c>
      <c r="AC2100" s="6">
        <f>$M$2100*$W$2100</f>
        <v>767.84591</v>
      </c>
      <c r="AD2100" s="6">
        <f>$O$2100*$X$2100</f>
        <v>599.34017000000006</v>
      </c>
      <c r="AE2100" s="6">
        <f>$K$2100*$Y$2100</f>
        <v>0</v>
      </c>
      <c r="AF2100" s="6">
        <f ca="1">$M$2100*$Z$2100</f>
        <v>870.54756822202057</v>
      </c>
      <c r="AG2100" s="6">
        <f>$O$2100*$AA$2100</f>
        <v>522.58729753762771</v>
      </c>
    </row>
    <row r="2101" spans="1:33" ht="11.25" customHeight="1" x14ac:dyDescent="0.25">
      <c r="A2101" s="4" t="s">
        <v>21</v>
      </c>
      <c r="B2101" s="4" t="s">
        <v>39</v>
      </c>
      <c r="C2101" s="4" t="s">
        <v>37</v>
      </c>
      <c r="D2101" s="4" t="s">
        <v>40</v>
      </c>
      <c r="E2101" s="4" t="s">
        <v>25</v>
      </c>
      <c r="F2101" s="4" t="s">
        <v>25</v>
      </c>
      <c r="G2101" s="4" t="s">
        <v>25</v>
      </c>
      <c r="H2101" s="4" t="s">
        <v>35</v>
      </c>
      <c r="I2101" s="5">
        <v>43891</v>
      </c>
      <c r="J2101" s="6">
        <v>0</v>
      </c>
      <c r="K2101" s="6">
        <v>0</v>
      </c>
      <c r="L2101" s="6">
        <v>0.76200000000000001</v>
      </c>
      <c r="M2101" s="6">
        <v>0.76200000000000001</v>
      </c>
      <c r="N2101" s="6">
        <v>0.76200000000000001</v>
      </c>
      <c r="O2101" s="6">
        <v>0.76200000000000001</v>
      </c>
      <c r="P2101" s="6">
        <v>0</v>
      </c>
      <c r="Q2101" s="4" t="s">
        <v>26</v>
      </c>
      <c r="R2101" s="4">
        <v>0</v>
      </c>
      <c r="S2101" s="6">
        <v>0</v>
      </c>
      <c r="T2101" s="6">
        <v>70</v>
      </c>
      <c r="U2101" s="6">
        <v>113</v>
      </c>
      <c r="V2101" s="6">
        <f>IF(ISERROR(VLOOKUP($S$2101,'TAR FIN'!$A$1:$O$120,15,0)),0,VLOOKUP($S$2101,'TAR FIN'!$A$1:$O$120,15,0))</f>
        <v>0</v>
      </c>
      <c r="W2101" s="6">
        <f>IF(ISERROR(VLOOKUP($T$2101,'TAR FIN'!$A$1:$O$120,15,0)),0,VLOOKUP($T$2101,'TAR FIN'!$A$1:$O$120,15,0))</f>
        <v>552.01</v>
      </c>
      <c r="X2101" s="6">
        <f>IF(ISERROR(VLOOKUP($U$2101,'TAR FIN'!$A$1:$O$120,15,0)),0,VLOOKUP($U$2101,'TAR FIN'!$A$1:$O$120,15,0))</f>
        <v>430.87</v>
      </c>
      <c r="Y2101" s="6"/>
      <c r="Z2101" s="6">
        <f ca="1">('TUSD BE'!$AM$80+'TUSD BF'!$AM$80+'TUSD CVA'!$AM$80)*1</f>
        <v>625.84296780878549</v>
      </c>
      <c r="AA2101" s="6">
        <f>('TE BE'!$AA$44+'TE BF'!$AA$44+'TE CVA'!$AA$44)*1</f>
        <v>375.69180268700768</v>
      </c>
      <c r="AB2101" s="6">
        <f>$K$2101*$V$2101</f>
        <v>0</v>
      </c>
      <c r="AC2101" s="6">
        <f>$M$2101*$W$2101</f>
        <v>420.63162</v>
      </c>
      <c r="AD2101" s="6">
        <f>$O$2101*$X$2101</f>
        <v>328.32294000000002</v>
      </c>
      <c r="AE2101" s="6">
        <f>$K$2101*$Y$2101</f>
        <v>0</v>
      </c>
      <c r="AF2101" s="6">
        <f ca="1">$M$2101*$Z$2101</f>
        <v>476.89234147029453</v>
      </c>
      <c r="AG2101" s="6">
        <f>$O$2101*$AA$2101</f>
        <v>286.27715364749986</v>
      </c>
    </row>
    <row r="2102" spans="1:33" ht="11.25" customHeight="1" x14ac:dyDescent="0.25">
      <c r="A2102" s="4" t="s">
        <v>27</v>
      </c>
      <c r="B2102" s="4" t="s">
        <v>39</v>
      </c>
      <c r="C2102" s="4" t="s">
        <v>37</v>
      </c>
      <c r="D2102" s="4" t="s">
        <v>40</v>
      </c>
      <c r="E2102" s="4" t="s">
        <v>25</v>
      </c>
      <c r="F2102" s="4" t="s">
        <v>25</v>
      </c>
      <c r="G2102" s="4" t="s">
        <v>25</v>
      </c>
      <c r="H2102" s="4" t="s">
        <v>35</v>
      </c>
      <c r="I2102" s="5">
        <v>43891</v>
      </c>
      <c r="J2102" s="6">
        <v>0</v>
      </c>
      <c r="K2102" s="6">
        <v>0</v>
      </c>
      <c r="L2102" s="6">
        <v>0.48199999999999998</v>
      </c>
      <c r="M2102" s="6">
        <v>0.48199999999999998</v>
      </c>
      <c r="N2102" s="6">
        <v>0.48199999999999998</v>
      </c>
      <c r="O2102" s="6">
        <v>0.48199999999999998</v>
      </c>
      <c r="P2102" s="6">
        <v>0</v>
      </c>
      <c r="Q2102" s="4" t="s">
        <v>26</v>
      </c>
      <c r="R2102" s="4">
        <v>0</v>
      </c>
      <c r="S2102" s="6">
        <v>0</v>
      </c>
      <c r="T2102" s="6">
        <v>70</v>
      </c>
      <c r="U2102" s="6">
        <v>113</v>
      </c>
      <c r="V2102" s="6">
        <f>IF(ISERROR(VLOOKUP($S$2102,'TAR FIN'!$A$1:$O$120,15,0)),0,VLOOKUP($S$2102,'TAR FIN'!$A$1:$O$120,15,0))</f>
        <v>0</v>
      </c>
      <c r="W2102" s="6">
        <f>IF(ISERROR(VLOOKUP($T$2102,'TAR FIN'!$A$1:$O$120,15,0)),0,VLOOKUP($T$2102,'TAR FIN'!$A$1:$O$120,15,0))</f>
        <v>552.01</v>
      </c>
      <c r="X2102" s="6">
        <f>IF(ISERROR(VLOOKUP($U$2102,'TAR FIN'!$A$1:$O$120,15,0)),0,VLOOKUP($U$2102,'TAR FIN'!$A$1:$O$120,15,0))</f>
        <v>430.87</v>
      </c>
      <c r="Y2102" s="6"/>
      <c r="Z2102" s="6">
        <f ca="1">('TUSD BE'!$AM$80+'TUSD BF'!$AM$80+'TUSD CVA'!$AM$80)*1</f>
        <v>625.84296780878549</v>
      </c>
      <c r="AA2102" s="6">
        <f>('TE BE'!$AA$44+'TE BF'!$AA$44+'TE CVA'!$AA$44)*1</f>
        <v>375.69180268700768</v>
      </c>
      <c r="AB2102" s="6">
        <f>$K$2102*$V$2102</f>
        <v>0</v>
      </c>
      <c r="AC2102" s="6">
        <f>$M$2102*$W$2102</f>
        <v>266.06881999999996</v>
      </c>
      <c r="AD2102" s="6">
        <f>$O$2102*$X$2102</f>
        <v>207.67934</v>
      </c>
      <c r="AE2102" s="6">
        <f>$K$2102*$Y$2102</f>
        <v>0</v>
      </c>
      <c r="AF2102" s="6">
        <f ca="1">$M$2102*$Z$2102</f>
        <v>301.6563104838346</v>
      </c>
      <c r="AG2102" s="6">
        <f>$O$2102*$AA$2102</f>
        <v>181.08344889513771</v>
      </c>
    </row>
    <row r="2103" spans="1:33" ht="11.25" customHeight="1" x14ac:dyDescent="0.25">
      <c r="A2103" s="4" t="s">
        <v>21</v>
      </c>
      <c r="B2103" s="4" t="s">
        <v>39</v>
      </c>
      <c r="C2103" s="4" t="s">
        <v>37</v>
      </c>
      <c r="D2103" s="4" t="s">
        <v>40</v>
      </c>
      <c r="E2103" s="4" t="s">
        <v>25</v>
      </c>
      <c r="F2103" s="4" t="s">
        <v>25</v>
      </c>
      <c r="G2103" s="4" t="s">
        <v>25</v>
      </c>
      <c r="H2103" s="4" t="s">
        <v>35</v>
      </c>
      <c r="I2103" s="5">
        <v>43922</v>
      </c>
      <c r="J2103" s="6">
        <v>0</v>
      </c>
      <c r="K2103" s="6">
        <v>0</v>
      </c>
      <c r="L2103" s="6">
        <v>1.2889999999999999</v>
      </c>
      <c r="M2103" s="6">
        <v>1.2889999999999999</v>
      </c>
      <c r="N2103" s="6">
        <v>1.2889999999999999</v>
      </c>
      <c r="O2103" s="6">
        <v>1.2889999999999999</v>
      </c>
      <c r="P2103" s="6">
        <v>0</v>
      </c>
      <c r="Q2103" s="4" t="s">
        <v>26</v>
      </c>
      <c r="R2103" s="4">
        <v>0</v>
      </c>
      <c r="S2103" s="6">
        <v>0</v>
      </c>
      <c r="T2103" s="6">
        <v>70</v>
      </c>
      <c r="U2103" s="6">
        <v>113</v>
      </c>
      <c r="V2103" s="6">
        <f>IF(ISERROR(VLOOKUP($S$2103,'TAR FIN'!$A$1:$O$120,15,0)),0,VLOOKUP($S$2103,'TAR FIN'!$A$1:$O$120,15,0))</f>
        <v>0</v>
      </c>
      <c r="W2103" s="6">
        <f>IF(ISERROR(VLOOKUP($T$2103,'TAR FIN'!$A$1:$O$120,15,0)),0,VLOOKUP($T$2103,'TAR FIN'!$A$1:$O$120,15,0))</f>
        <v>552.01</v>
      </c>
      <c r="X2103" s="6">
        <f>IF(ISERROR(VLOOKUP($U$2103,'TAR FIN'!$A$1:$O$120,15,0)),0,VLOOKUP($U$2103,'TAR FIN'!$A$1:$O$120,15,0))</f>
        <v>430.87</v>
      </c>
      <c r="Y2103" s="6"/>
      <c r="Z2103" s="6">
        <f ca="1">('TUSD BE'!$AM$80+'TUSD BF'!$AM$80+'TUSD CVA'!$AM$80)*1</f>
        <v>625.84296780878549</v>
      </c>
      <c r="AA2103" s="6">
        <f>('TE BE'!$AA$44+'TE BF'!$AA$44+'TE CVA'!$AA$44)*1</f>
        <v>375.69180268700768</v>
      </c>
      <c r="AB2103" s="6">
        <f>$K$2103*$V$2103</f>
        <v>0</v>
      </c>
      <c r="AC2103" s="6">
        <f>$M$2103*$W$2103</f>
        <v>711.54088999999999</v>
      </c>
      <c r="AD2103" s="6">
        <f>$O$2103*$X$2103</f>
        <v>555.39143000000001</v>
      </c>
      <c r="AE2103" s="6">
        <f>$K$2103*$Y$2103</f>
        <v>0</v>
      </c>
      <c r="AF2103" s="6">
        <f ca="1">$M$2103*$Z$2103</f>
        <v>806.71158550552445</v>
      </c>
      <c r="AG2103" s="6">
        <f>$O$2103*$AA$2103</f>
        <v>484.26673366355288</v>
      </c>
    </row>
    <row r="2104" spans="1:33" ht="11.25" customHeight="1" x14ac:dyDescent="0.25">
      <c r="A2104" s="4" t="s">
        <v>21</v>
      </c>
      <c r="B2104" s="4" t="s">
        <v>39</v>
      </c>
      <c r="C2104" s="4" t="s">
        <v>37</v>
      </c>
      <c r="D2104" s="4" t="s">
        <v>40</v>
      </c>
      <c r="E2104" s="4" t="s">
        <v>25</v>
      </c>
      <c r="F2104" s="4" t="s">
        <v>25</v>
      </c>
      <c r="G2104" s="4" t="s">
        <v>25</v>
      </c>
      <c r="H2104" s="4" t="s">
        <v>35</v>
      </c>
      <c r="I2104" s="5">
        <v>43952</v>
      </c>
      <c r="J2104" s="6">
        <v>0</v>
      </c>
      <c r="K2104" s="6">
        <v>0</v>
      </c>
      <c r="L2104" s="6">
        <v>1.0669999999999999</v>
      </c>
      <c r="M2104" s="6">
        <v>1.0669999999999999</v>
      </c>
      <c r="N2104" s="6">
        <v>1.0669999999999999</v>
      </c>
      <c r="O2104" s="6">
        <v>1.0669999999999999</v>
      </c>
      <c r="P2104" s="6">
        <v>0</v>
      </c>
      <c r="Q2104" s="4" t="s">
        <v>26</v>
      </c>
      <c r="R2104" s="4">
        <v>0</v>
      </c>
      <c r="S2104" s="6">
        <v>0</v>
      </c>
      <c r="T2104" s="6">
        <v>70</v>
      </c>
      <c r="U2104" s="6">
        <v>113</v>
      </c>
      <c r="V2104" s="6">
        <f>IF(ISERROR(VLOOKUP($S$2104,'TAR FIN'!$A$1:$O$120,15,0)),0,VLOOKUP($S$2104,'TAR FIN'!$A$1:$O$120,15,0))</f>
        <v>0</v>
      </c>
      <c r="W2104" s="6">
        <f>IF(ISERROR(VLOOKUP($T$2104,'TAR FIN'!$A$1:$O$120,15,0)),0,VLOOKUP($T$2104,'TAR FIN'!$A$1:$O$120,15,0))</f>
        <v>552.01</v>
      </c>
      <c r="X2104" s="6">
        <f>IF(ISERROR(VLOOKUP($U$2104,'TAR FIN'!$A$1:$O$120,15,0)),0,VLOOKUP($U$2104,'TAR FIN'!$A$1:$O$120,15,0))</f>
        <v>430.87</v>
      </c>
      <c r="Y2104" s="6"/>
      <c r="Z2104" s="6">
        <f ca="1">('TUSD BE'!$AM$80+'TUSD BF'!$AM$80+'TUSD CVA'!$AM$80)*1</f>
        <v>625.84296780878549</v>
      </c>
      <c r="AA2104" s="6">
        <f>('TE BE'!$AA$44+'TE BF'!$AA$44+'TE CVA'!$AA$44)*1</f>
        <v>375.69180268700768</v>
      </c>
      <c r="AB2104" s="6">
        <f>$K$2104*$V$2104</f>
        <v>0</v>
      </c>
      <c r="AC2104" s="6">
        <f>$M$2104*$W$2104</f>
        <v>588.99466999999993</v>
      </c>
      <c r="AD2104" s="6">
        <f>$O$2104*$X$2104</f>
        <v>459.73829000000001</v>
      </c>
      <c r="AE2104" s="6">
        <f>$K$2104*$Y$2104</f>
        <v>0</v>
      </c>
      <c r="AF2104" s="6">
        <f ca="1">$M$2104*$Z$2104</f>
        <v>667.77444665197413</v>
      </c>
      <c r="AG2104" s="6">
        <f>$O$2104*$AA$2104</f>
        <v>400.86315346703719</v>
      </c>
    </row>
    <row r="2105" spans="1:33" ht="11.25" customHeight="1" x14ac:dyDescent="0.25">
      <c r="A2105" s="4" t="s">
        <v>21</v>
      </c>
      <c r="B2105" s="4" t="s">
        <v>39</v>
      </c>
      <c r="C2105" s="4" t="s">
        <v>37</v>
      </c>
      <c r="D2105" s="4" t="s">
        <v>40</v>
      </c>
      <c r="E2105" s="4" t="s">
        <v>25</v>
      </c>
      <c r="F2105" s="4" t="s">
        <v>25</v>
      </c>
      <c r="G2105" s="4" t="s">
        <v>25</v>
      </c>
      <c r="H2105" s="4" t="s">
        <v>35</v>
      </c>
      <c r="I2105" s="5">
        <v>43983</v>
      </c>
      <c r="J2105" s="6">
        <v>0</v>
      </c>
      <c r="K2105" s="6">
        <v>0</v>
      </c>
      <c r="L2105" s="6">
        <v>1.054</v>
      </c>
      <c r="M2105" s="6">
        <v>1.054</v>
      </c>
      <c r="N2105" s="6">
        <v>1.054</v>
      </c>
      <c r="O2105" s="6">
        <v>1.054</v>
      </c>
      <c r="P2105" s="6">
        <v>0</v>
      </c>
      <c r="Q2105" s="4" t="s">
        <v>26</v>
      </c>
      <c r="R2105" s="4">
        <v>0</v>
      </c>
      <c r="S2105" s="6">
        <v>0</v>
      </c>
      <c r="T2105" s="6">
        <v>70</v>
      </c>
      <c r="U2105" s="6">
        <v>113</v>
      </c>
      <c r="V2105" s="6">
        <f>IF(ISERROR(VLOOKUP($S$2105,'TAR FIN'!$A$1:$O$120,15,0)),0,VLOOKUP($S$2105,'TAR FIN'!$A$1:$O$120,15,0))</f>
        <v>0</v>
      </c>
      <c r="W2105" s="6">
        <f>IF(ISERROR(VLOOKUP($T$2105,'TAR FIN'!$A$1:$O$120,15,0)),0,VLOOKUP($T$2105,'TAR FIN'!$A$1:$O$120,15,0))</f>
        <v>552.01</v>
      </c>
      <c r="X2105" s="6">
        <f>IF(ISERROR(VLOOKUP($U$2105,'TAR FIN'!$A$1:$O$120,15,0)),0,VLOOKUP($U$2105,'TAR FIN'!$A$1:$O$120,15,0))</f>
        <v>430.87</v>
      </c>
      <c r="Y2105" s="6"/>
      <c r="Z2105" s="6">
        <f ca="1">('TUSD BE'!$AM$80+'TUSD BF'!$AM$80+'TUSD CVA'!$AM$80)*1</f>
        <v>625.84296780878549</v>
      </c>
      <c r="AA2105" s="6">
        <f>('TE BE'!$AA$44+'TE BF'!$AA$44+'TE CVA'!$AA$44)*1</f>
        <v>375.69180268700768</v>
      </c>
      <c r="AB2105" s="6">
        <f>$K$2105*$V$2105</f>
        <v>0</v>
      </c>
      <c r="AC2105" s="6">
        <f>$M$2105*$W$2105</f>
        <v>581.81853999999998</v>
      </c>
      <c r="AD2105" s="6">
        <f>$O$2105*$X$2105</f>
        <v>454.13698000000005</v>
      </c>
      <c r="AE2105" s="6">
        <f>$K$2105*$Y$2105</f>
        <v>0</v>
      </c>
      <c r="AF2105" s="6">
        <f ca="1">$M$2105*$Z$2105</f>
        <v>659.63848807045997</v>
      </c>
      <c r="AG2105" s="6">
        <f>$O$2105*$AA$2105</f>
        <v>395.97916003210611</v>
      </c>
    </row>
    <row r="2106" spans="1:33" ht="11.25" customHeight="1" x14ac:dyDescent="0.25">
      <c r="A2106" s="4" t="s">
        <v>21</v>
      </c>
      <c r="B2106" s="4" t="s">
        <v>39</v>
      </c>
      <c r="C2106" s="4" t="s">
        <v>37</v>
      </c>
      <c r="D2106" s="4" t="s">
        <v>40</v>
      </c>
      <c r="E2106" s="4" t="s">
        <v>25</v>
      </c>
      <c r="F2106" s="4" t="s">
        <v>25</v>
      </c>
      <c r="G2106" s="4" t="s">
        <v>25</v>
      </c>
      <c r="H2106" s="4" t="s">
        <v>35</v>
      </c>
      <c r="I2106" s="5">
        <v>44013</v>
      </c>
      <c r="J2106" s="6">
        <v>0</v>
      </c>
      <c r="K2106" s="6">
        <v>0</v>
      </c>
      <c r="L2106" s="6">
        <v>1.135</v>
      </c>
      <c r="M2106" s="6">
        <v>1.135</v>
      </c>
      <c r="N2106" s="6">
        <v>1.135</v>
      </c>
      <c r="O2106" s="6">
        <v>1.135</v>
      </c>
      <c r="P2106" s="6">
        <v>0</v>
      </c>
      <c r="Q2106" s="4" t="s">
        <v>26</v>
      </c>
      <c r="R2106" s="4">
        <v>0</v>
      </c>
      <c r="S2106" s="6">
        <v>0</v>
      </c>
      <c r="T2106" s="6">
        <v>70</v>
      </c>
      <c r="U2106" s="6">
        <v>113</v>
      </c>
      <c r="V2106" s="6">
        <f>IF(ISERROR(VLOOKUP($S$2106,'TAR FIN'!$A$1:$O$120,15,0)),0,VLOOKUP($S$2106,'TAR FIN'!$A$1:$O$120,15,0))</f>
        <v>0</v>
      </c>
      <c r="W2106" s="6">
        <f>IF(ISERROR(VLOOKUP($T$2106,'TAR FIN'!$A$1:$O$120,15,0)),0,VLOOKUP($T$2106,'TAR FIN'!$A$1:$O$120,15,0))</f>
        <v>552.01</v>
      </c>
      <c r="X2106" s="6">
        <f>IF(ISERROR(VLOOKUP($U$2106,'TAR FIN'!$A$1:$O$120,15,0)),0,VLOOKUP($U$2106,'TAR FIN'!$A$1:$O$120,15,0))</f>
        <v>430.87</v>
      </c>
      <c r="Y2106" s="6"/>
      <c r="Z2106" s="6">
        <f ca="1">('TUSD BE'!$AM$80+'TUSD BF'!$AM$80+'TUSD CVA'!$AM$80)*1</f>
        <v>625.84296780878549</v>
      </c>
      <c r="AA2106" s="6">
        <f>('TE BE'!$AA$44+'TE BF'!$AA$44+'TE CVA'!$AA$44)*1</f>
        <v>375.69180268700768</v>
      </c>
      <c r="AB2106" s="6">
        <f>$K$2106*$V$2106</f>
        <v>0</v>
      </c>
      <c r="AC2106" s="6">
        <f>$M$2106*$W$2106</f>
        <v>626.53134999999997</v>
      </c>
      <c r="AD2106" s="6">
        <f>$O$2106*$X$2106</f>
        <v>489.03745000000004</v>
      </c>
      <c r="AE2106" s="6">
        <f>$K$2106*$Y$2106</f>
        <v>0</v>
      </c>
      <c r="AF2106" s="6">
        <f ca="1">$M$2106*$Z$2106</f>
        <v>710.33176846297158</v>
      </c>
      <c r="AG2106" s="6">
        <f>$O$2106*$AA$2106</f>
        <v>426.41019604975372</v>
      </c>
    </row>
    <row r="2107" spans="1:33" ht="11.25" customHeight="1" x14ac:dyDescent="0.25">
      <c r="A2107" s="4" t="s">
        <v>21</v>
      </c>
      <c r="B2107" s="4" t="s">
        <v>39</v>
      </c>
      <c r="C2107" s="4" t="s">
        <v>37</v>
      </c>
      <c r="D2107" s="4" t="s">
        <v>40</v>
      </c>
      <c r="E2107" s="4" t="s">
        <v>25</v>
      </c>
      <c r="F2107" s="4" t="s">
        <v>25</v>
      </c>
      <c r="G2107" s="4" t="s">
        <v>25</v>
      </c>
      <c r="H2107" s="4" t="s">
        <v>35</v>
      </c>
      <c r="I2107" s="5">
        <v>44044</v>
      </c>
      <c r="J2107" s="6">
        <v>0</v>
      </c>
      <c r="K2107" s="6">
        <v>0</v>
      </c>
      <c r="L2107" s="6">
        <v>1.29</v>
      </c>
      <c r="M2107" s="6">
        <v>1.29</v>
      </c>
      <c r="N2107" s="6">
        <v>1.29</v>
      </c>
      <c r="O2107" s="6">
        <v>1.29</v>
      </c>
      <c r="P2107" s="6">
        <v>0</v>
      </c>
      <c r="Q2107" s="4" t="s">
        <v>26</v>
      </c>
      <c r="R2107" s="4">
        <v>0</v>
      </c>
      <c r="S2107" s="6">
        <v>0</v>
      </c>
      <c r="T2107" s="6">
        <v>70</v>
      </c>
      <c r="U2107" s="6">
        <v>113</v>
      </c>
      <c r="V2107" s="6">
        <f>IF(ISERROR(VLOOKUP($S$2107,'TAR FIN'!$A$1:$O$120,15,0)),0,VLOOKUP($S$2107,'TAR FIN'!$A$1:$O$120,15,0))</f>
        <v>0</v>
      </c>
      <c r="W2107" s="6">
        <f>IF(ISERROR(VLOOKUP($T$2107,'TAR FIN'!$A$1:$O$120,15,0)),0,VLOOKUP($T$2107,'TAR FIN'!$A$1:$O$120,15,0))</f>
        <v>552.01</v>
      </c>
      <c r="X2107" s="6">
        <f>IF(ISERROR(VLOOKUP($U$2107,'TAR FIN'!$A$1:$O$120,15,0)),0,VLOOKUP($U$2107,'TAR FIN'!$A$1:$O$120,15,0))</f>
        <v>430.87</v>
      </c>
      <c r="Y2107" s="6"/>
      <c r="Z2107" s="6">
        <f ca="1">('TUSD BE'!$AM$80+'TUSD BF'!$AM$80+'TUSD CVA'!$AM$80)*1</f>
        <v>625.84296780878549</v>
      </c>
      <c r="AA2107" s="6">
        <f>('TE BE'!$AA$44+'TE BF'!$AA$44+'TE CVA'!$AA$44)*1</f>
        <v>375.69180268700768</v>
      </c>
      <c r="AB2107" s="6">
        <f>$K$2107*$V$2107</f>
        <v>0</v>
      </c>
      <c r="AC2107" s="6">
        <f>$M$2107*$W$2107</f>
        <v>712.09289999999999</v>
      </c>
      <c r="AD2107" s="6">
        <f>$O$2107*$X$2107</f>
        <v>555.82230000000004</v>
      </c>
      <c r="AE2107" s="6">
        <f>$K$2107*$Y$2107</f>
        <v>0</v>
      </c>
      <c r="AF2107" s="6">
        <f ca="1">$M$2107*$Z$2107</f>
        <v>807.33742847333326</v>
      </c>
      <c r="AG2107" s="6">
        <f>$O$2107*$AA$2107</f>
        <v>484.6424254662399</v>
      </c>
    </row>
    <row r="2108" spans="1:33" ht="11.25" customHeight="1" x14ac:dyDescent="0.25">
      <c r="A2108" s="4" t="s">
        <v>59</v>
      </c>
      <c r="B2108" s="4" t="s">
        <v>39</v>
      </c>
      <c r="C2108" s="4" t="s">
        <v>37</v>
      </c>
      <c r="D2108" s="4" t="s">
        <v>40</v>
      </c>
      <c r="E2108" s="4" t="s">
        <v>25</v>
      </c>
      <c r="F2108" s="4" t="s">
        <v>25</v>
      </c>
      <c r="G2108" s="4" t="s">
        <v>25</v>
      </c>
      <c r="H2108" s="4" t="s">
        <v>35</v>
      </c>
      <c r="I2108" s="5">
        <v>44075</v>
      </c>
      <c r="J2108" s="6">
        <v>0</v>
      </c>
      <c r="K2108" s="6">
        <v>0</v>
      </c>
      <c r="L2108" s="6">
        <v>1.29</v>
      </c>
      <c r="M2108" s="6">
        <v>1.29</v>
      </c>
      <c r="N2108" s="6">
        <v>1.29</v>
      </c>
      <c r="O2108" s="6">
        <v>1.29</v>
      </c>
      <c r="P2108" s="6">
        <v>0</v>
      </c>
      <c r="Q2108" s="4" t="s">
        <v>26</v>
      </c>
      <c r="R2108" s="4">
        <v>0</v>
      </c>
      <c r="S2108" s="6">
        <v>0</v>
      </c>
      <c r="T2108" s="6">
        <v>70</v>
      </c>
      <c r="U2108" s="6">
        <v>113</v>
      </c>
      <c r="V2108" s="6">
        <f>IF(ISERROR(VLOOKUP($S$2108,'TAR FIN'!$A$1:$O$120,15,0)),0,VLOOKUP($S$2108,'TAR FIN'!$A$1:$O$120,15,0))</f>
        <v>0</v>
      </c>
      <c r="W2108" s="6">
        <f>IF(ISERROR(VLOOKUP($T$2108,'TAR FIN'!$A$1:$O$120,15,0)),0,VLOOKUP($T$2108,'TAR FIN'!$A$1:$O$120,15,0))</f>
        <v>552.01</v>
      </c>
      <c r="X2108" s="6">
        <f>IF(ISERROR(VLOOKUP($U$2108,'TAR FIN'!$A$1:$O$120,15,0)),0,VLOOKUP($U$2108,'TAR FIN'!$A$1:$O$120,15,0))</f>
        <v>430.87</v>
      </c>
      <c r="Y2108" s="6"/>
      <c r="Z2108" s="6">
        <f ca="1">('TUSD BE'!$AM$80+'TUSD BF'!$AM$80+'TUSD CVA'!$AM$80)*1</f>
        <v>625.84296780878549</v>
      </c>
      <c r="AA2108" s="6">
        <f>('TE BE'!$AA$44+'TE BF'!$AA$44+'TE CVA'!$AA$44)*1</f>
        <v>375.69180268700768</v>
      </c>
      <c r="AB2108" s="6">
        <f>$K$2108*$V$2108</f>
        <v>0</v>
      </c>
      <c r="AC2108" s="6">
        <f>$M$2108*$W$2108</f>
        <v>712.09289999999999</v>
      </c>
      <c r="AD2108" s="6">
        <f>$O$2108*$X$2108</f>
        <v>555.82230000000004</v>
      </c>
      <c r="AE2108" s="6">
        <f>$K$2108*$Y$2108</f>
        <v>0</v>
      </c>
      <c r="AF2108" s="6">
        <f ca="1">$M$2108*$Z$2108</f>
        <v>807.33742847333326</v>
      </c>
      <c r="AG2108" s="6">
        <f>$O$2108*$AA$2108</f>
        <v>484.6424254662399</v>
      </c>
    </row>
    <row r="2109" spans="1:33" ht="11.25" customHeight="1" x14ac:dyDescent="0.25">
      <c r="A2109" s="4" t="s">
        <v>21</v>
      </c>
      <c r="B2109" s="4" t="s">
        <v>39</v>
      </c>
      <c r="C2109" s="4" t="s">
        <v>37</v>
      </c>
      <c r="D2109" s="4" t="s">
        <v>48</v>
      </c>
      <c r="E2109" s="4" t="s">
        <v>25</v>
      </c>
      <c r="F2109" s="4" t="s">
        <v>25</v>
      </c>
      <c r="G2109" s="4" t="s">
        <v>25</v>
      </c>
      <c r="H2109" s="4" t="s">
        <v>36</v>
      </c>
      <c r="I2109" s="5">
        <v>43922</v>
      </c>
      <c r="J2109" s="6">
        <v>0</v>
      </c>
      <c r="K2109" s="6">
        <v>0</v>
      </c>
      <c r="L2109" s="6">
        <v>1.7529999999999999</v>
      </c>
      <c r="M2109" s="6">
        <v>1.7529999999999999</v>
      </c>
      <c r="N2109" s="6">
        <v>1.7529999999999999</v>
      </c>
      <c r="O2109" s="6">
        <v>1.7529999999999999</v>
      </c>
      <c r="P2109" s="6">
        <v>0</v>
      </c>
      <c r="Q2109" s="4" t="s">
        <v>26</v>
      </c>
      <c r="R2109" s="4">
        <v>0</v>
      </c>
      <c r="S2109" s="6">
        <v>0</v>
      </c>
      <c r="T2109" s="6">
        <v>72</v>
      </c>
      <c r="U2109" s="6">
        <v>115</v>
      </c>
      <c r="V2109" s="6">
        <f>IF(ISERROR(VLOOKUP($S$2109,'TAR FIN'!$A$1:$O$120,15,0)),0,VLOOKUP($S$2109,'TAR FIN'!$A$1:$O$120,15,0))</f>
        <v>0</v>
      </c>
      <c r="W2109" s="6">
        <f>IF(ISERROR(VLOOKUP($T$2109,'TAR FIN'!$A$1:$O$120,15,0)),0,VLOOKUP($T$2109,'TAR FIN'!$A$1:$O$120,15,0))</f>
        <v>197.19</v>
      </c>
      <c r="X2109" s="6">
        <f>IF(ISERROR(VLOOKUP($U$2109,'TAR FIN'!$A$1:$O$120,15,0)),0,VLOOKUP($U$2109,'TAR FIN'!$A$1:$O$120,15,0))</f>
        <v>256.38</v>
      </c>
      <c r="Y2109" s="6"/>
      <c r="Z2109" s="6">
        <f ca="1">('TUSD BE'!$AM$82+'TUSD BF'!$AM$82+'TUSD CVA'!$AM$82)*1</f>
        <v>213.95322604891325</v>
      </c>
      <c r="AA2109" s="6">
        <f>('TE BE'!$AA$46+'TE BF'!$AA$46+'TE CVA'!$AA$46)*1</f>
        <v>230.83420940933817</v>
      </c>
      <c r="AB2109" s="6">
        <f>$K$2109*$V$2109</f>
        <v>0</v>
      </c>
      <c r="AC2109" s="6">
        <f>$M$2109*$W$2109</f>
        <v>345.67406999999997</v>
      </c>
      <c r="AD2109" s="6">
        <f>$O$2109*$X$2109</f>
        <v>449.43413999999996</v>
      </c>
      <c r="AE2109" s="6">
        <f>$K$2109*$Y$2109</f>
        <v>0</v>
      </c>
      <c r="AF2109" s="6">
        <f ca="1">$M$2109*$Z$2109</f>
        <v>375.06000526374493</v>
      </c>
      <c r="AG2109" s="6">
        <f>$O$2109*$AA$2109</f>
        <v>404.65236909456979</v>
      </c>
    </row>
    <row r="2110" spans="1:33" ht="11.25" customHeight="1" x14ac:dyDescent="0.25">
      <c r="A2110" s="4" t="s">
        <v>21</v>
      </c>
      <c r="B2110" s="4" t="s">
        <v>39</v>
      </c>
      <c r="C2110" s="4" t="s">
        <v>37</v>
      </c>
      <c r="D2110" s="4" t="s">
        <v>48</v>
      </c>
      <c r="E2110" s="4" t="s">
        <v>25</v>
      </c>
      <c r="F2110" s="4" t="s">
        <v>25</v>
      </c>
      <c r="G2110" s="4" t="s">
        <v>25</v>
      </c>
      <c r="H2110" s="4" t="s">
        <v>36</v>
      </c>
      <c r="I2110" s="5">
        <v>43952</v>
      </c>
      <c r="J2110" s="6">
        <v>0</v>
      </c>
      <c r="K2110" s="6">
        <v>0</v>
      </c>
      <c r="L2110" s="6">
        <v>1.1739999999999999</v>
      </c>
      <c r="M2110" s="6">
        <v>1.1739999999999999</v>
      </c>
      <c r="N2110" s="6">
        <v>1.1739999999999999</v>
      </c>
      <c r="O2110" s="6">
        <v>1.1739999999999999</v>
      </c>
      <c r="P2110" s="6">
        <v>0</v>
      </c>
      <c r="Q2110" s="4" t="s">
        <v>26</v>
      </c>
      <c r="R2110" s="4">
        <v>0</v>
      </c>
      <c r="S2110" s="6">
        <v>0</v>
      </c>
      <c r="T2110" s="6">
        <v>72</v>
      </c>
      <c r="U2110" s="6">
        <v>115</v>
      </c>
      <c r="V2110" s="6">
        <f>IF(ISERROR(VLOOKUP($S$2110,'TAR FIN'!$A$1:$O$120,15,0)),0,VLOOKUP($S$2110,'TAR FIN'!$A$1:$O$120,15,0))</f>
        <v>0</v>
      </c>
      <c r="W2110" s="6">
        <f>IF(ISERROR(VLOOKUP($T$2110,'TAR FIN'!$A$1:$O$120,15,0)),0,VLOOKUP($T$2110,'TAR FIN'!$A$1:$O$120,15,0))</f>
        <v>197.19</v>
      </c>
      <c r="X2110" s="6">
        <f>IF(ISERROR(VLOOKUP($U$2110,'TAR FIN'!$A$1:$O$120,15,0)),0,VLOOKUP($U$2110,'TAR FIN'!$A$1:$O$120,15,0))</f>
        <v>256.38</v>
      </c>
      <c r="Y2110" s="6"/>
      <c r="Z2110" s="6">
        <f ca="1">('TUSD BE'!$AM$82+'TUSD BF'!$AM$82+'TUSD CVA'!$AM$82)*1</f>
        <v>213.95322604891325</v>
      </c>
      <c r="AA2110" s="6">
        <f>('TE BE'!$AA$46+'TE BF'!$AA$46+'TE CVA'!$AA$46)*1</f>
        <v>230.83420940933817</v>
      </c>
      <c r="AB2110" s="6">
        <f>$K$2110*$V$2110</f>
        <v>0</v>
      </c>
      <c r="AC2110" s="6">
        <f>$M$2110*$W$2110</f>
        <v>231.50106</v>
      </c>
      <c r="AD2110" s="6">
        <f>$O$2110*$X$2110</f>
        <v>300.99011999999999</v>
      </c>
      <c r="AE2110" s="6">
        <f>$K$2110*$Y$2110</f>
        <v>0</v>
      </c>
      <c r="AF2110" s="6">
        <f ca="1">$M$2110*$Z$2110</f>
        <v>251.18108738142413</v>
      </c>
      <c r="AG2110" s="6">
        <f>$O$2110*$AA$2110</f>
        <v>270.99936184656298</v>
      </c>
    </row>
    <row r="2111" spans="1:33" ht="11.25" customHeight="1" x14ac:dyDescent="0.25">
      <c r="A2111" s="4" t="s">
        <v>21</v>
      </c>
      <c r="B2111" s="4" t="s">
        <v>39</v>
      </c>
      <c r="C2111" s="4" t="s">
        <v>37</v>
      </c>
      <c r="D2111" s="4" t="s">
        <v>48</v>
      </c>
      <c r="E2111" s="4" t="s">
        <v>25</v>
      </c>
      <c r="F2111" s="4" t="s">
        <v>25</v>
      </c>
      <c r="G2111" s="4" t="s">
        <v>25</v>
      </c>
      <c r="H2111" s="4" t="s">
        <v>36</v>
      </c>
      <c r="I2111" s="5">
        <v>43983</v>
      </c>
      <c r="J2111" s="6">
        <v>0</v>
      </c>
      <c r="K2111" s="6">
        <v>0</v>
      </c>
      <c r="L2111" s="6">
        <v>1.2909999999999999</v>
      </c>
      <c r="M2111" s="6">
        <v>1.2909999999999999</v>
      </c>
      <c r="N2111" s="6">
        <v>1.2909999999999999</v>
      </c>
      <c r="O2111" s="6">
        <v>1.2909999999999999</v>
      </c>
      <c r="P2111" s="6">
        <v>0</v>
      </c>
      <c r="Q2111" s="4" t="s">
        <v>26</v>
      </c>
      <c r="R2111" s="4">
        <v>0</v>
      </c>
      <c r="S2111" s="6">
        <v>0</v>
      </c>
      <c r="T2111" s="6">
        <v>72</v>
      </c>
      <c r="U2111" s="6">
        <v>115</v>
      </c>
      <c r="V2111" s="6">
        <f>IF(ISERROR(VLOOKUP($S$2111,'TAR FIN'!$A$1:$O$120,15,0)),0,VLOOKUP($S$2111,'TAR FIN'!$A$1:$O$120,15,0))</f>
        <v>0</v>
      </c>
      <c r="W2111" s="6">
        <f>IF(ISERROR(VLOOKUP($T$2111,'TAR FIN'!$A$1:$O$120,15,0)),0,VLOOKUP($T$2111,'TAR FIN'!$A$1:$O$120,15,0))</f>
        <v>197.19</v>
      </c>
      <c r="X2111" s="6">
        <f>IF(ISERROR(VLOOKUP($U$2111,'TAR FIN'!$A$1:$O$120,15,0)),0,VLOOKUP($U$2111,'TAR FIN'!$A$1:$O$120,15,0))</f>
        <v>256.38</v>
      </c>
      <c r="Y2111" s="6"/>
      <c r="Z2111" s="6">
        <f ca="1">('TUSD BE'!$AM$82+'TUSD BF'!$AM$82+'TUSD CVA'!$AM$82)*1</f>
        <v>213.95322604891325</v>
      </c>
      <c r="AA2111" s="6">
        <f>('TE BE'!$AA$46+'TE BF'!$AA$46+'TE CVA'!$AA$46)*1</f>
        <v>230.83420940933817</v>
      </c>
      <c r="AB2111" s="6">
        <f>$K$2111*$V$2111</f>
        <v>0</v>
      </c>
      <c r="AC2111" s="6">
        <f>$M$2111*$W$2111</f>
        <v>254.57228999999998</v>
      </c>
      <c r="AD2111" s="6">
        <f>$O$2111*$X$2111</f>
        <v>330.98657999999995</v>
      </c>
      <c r="AE2111" s="6">
        <f>$K$2111*$Y$2111</f>
        <v>0</v>
      </c>
      <c r="AF2111" s="6">
        <f ca="1">$M$2111*$Z$2111</f>
        <v>276.21361482914699</v>
      </c>
      <c r="AG2111" s="6">
        <f>$O$2111*$AA$2111</f>
        <v>298.00696434745555</v>
      </c>
    </row>
    <row r="2112" spans="1:33" ht="11.25" customHeight="1" x14ac:dyDescent="0.25">
      <c r="A2112" s="4" t="s">
        <v>21</v>
      </c>
      <c r="B2112" s="4" t="s">
        <v>39</v>
      </c>
      <c r="C2112" s="4" t="s">
        <v>37</v>
      </c>
      <c r="D2112" s="4" t="s">
        <v>48</v>
      </c>
      <c r="E2112" s="4" t="s">
        <v>25</v>
      </c>
      <c r="F2112" s="4" t="s">
        <v>25</v>
      </c>
      <c r="G2112" s="4" t="s">
        <v>25</v>
      </c>
      <c r="H2112" s="4" t="s">
        <v>36</v>
      </c>
      <c r="I2112" s="5">
        <v>44013</v>
      </c>
      <c r="J2112" s="6">
        <v>0</v>
      </c>
      <c r="K2112" s="6">
        <v>0</v>
      </c>
      <c r="L2112" s="6">
        <v>1.4390000000000001</v>
      </c>
      <c r="M2112" s="6">
        <v>1.4390000000000001</v>
      </c>
      <c r="N2112" s="6">
        <v>1.4390000000000001</v>
      </c>
      <c r="O2112" s="6">
        <v>1.4390000000000001</v>
      </c>
      <c r="P2112" s="6">
        <v>0</v>
      </c>
      <c r="Q2112" s="4" t="s">
        <v>26</v>
      </c>
      <c r="R2112" s="4">
        <v>0</v>
      </c>
      <c r="S2112" s="6">
        <v>0</v>
      </c>
      <c r="T2112" s="6">
        <v>72</v>
      </c>
      <c r="U2112" s="6">
        <v>115</v>
      </c>
      <c r="V2112" s="6">
        <f>IF(ISERROR(VLOOKUP($S$2112,'TAR FIN'!$A$1:$O$120,15,0)),0,VLOOKUP($S$2112,'TAR FIN'!$A$1:$O$120,15,0))</f>
        <v>0</v>
      </c>
      <c r="W2112" s="6">
        <f>IF(ISERROR(VLOOKUP($T$2112,'TAR FIN'!$A$1:$O$120,15,0)),0,VLOOKUP($T$2112,'TAR FIN'!$A$1:$O$120,15,0))</f>
        <v>197.19</v>
      </c>
      <c r="X2112" s="6">
        <f>IF(ISERROR(VLOOKUP($U$2112,'TAR FIN'!$A$1:$O$120,15,0)),0,VLOOKUP($U$2112,'TAR FIN'!$A$1:$O$120,15,0))</f>
        <v>256.38</v>
      </c>
      <c r="Y2112" s="6"/>
      <c r="Z2112" s="6">
        <f ca="1">('TUSD BE'!$AM$82+'TUSD BF'!$AM$82+'TUSD CVA'!$AM$82)*1</f>
        <v>213.95322604891325</v>
      </c>
      <c r="AA2112" s="6">
        <f>('TE BE'!$AA$46+'TE BF'!$AA$46+'TE CVA'!$AA$46)*1</f>
        <v>230.83420940933817</v>
      </c>
      <c r="AB2112" s="6">
        <f>$K$2112*$V$2112</f>
        <v>0</v>
      </c>
      <c r="AC2112" s="6">
        <f>$M$2112*$W$2112</f>
        <v>283.75641000000002</v>
      </c>
      <c r="AD2112" s="6">
        <f>$O$2112*$X$2112</f>
        <v>368.93081999999998</v>
      </c>
      <c r="AE2112" s="6">
        <f>$K$2112*$Y$2112</f>
        <v>0</v>
      </c>
      <c r="AF2112" s="6">
        <f ca="1">$M$2112*$Z$2112</f>
        <v>307.8786922843862</v>
      </c>
      <c r="AG2112" s="6">
        <f>$O$2112*$AA$2112</f>
        <v>332.17042734003763</v>
      </c>
    </row>
    <row r="2113" spans="1:33" ht="11.25" customHeight="1" x14ac:dyDescent="0.25">
      <c r="A2113" s="4" t="s">
        <v>21</v>
      </c>
      <c r="B2113" s="4" t="s">
        <v>39</v>
      </c>
      <c r="C2113" s="4" t="s">
        <v>37</v>
      </c>
      <c r="D2113" s="4" t="s">
        <v>48</v>
      </c>
      <c r="E2113" s="4" t="s">
        <v>25</v>
      </c>
      <c r="F2113" s="4" t="s">
        <v>25</v>
      </c>
      <c r="G2113" s="4" t="s">
        <v>25</v>
      </c>
      <c r="H2113" s="4" t="s">
        <v>36</v>
      </c>
      <c r="I2113" s="5">
        <v>44044</v>
      </c>
      <c r="J2113" s="6">
        <v>0</v>
      </c>
      <c r="K2113" s="6">
        <v>0</v>
      </c>
      <c r="L2113" s="6">
        <v>1.6759999999999999</v>
      </c>
      <c r="M2113" s="6">
        <v>1.6759999999999999</v>
      </c>
      <c r="N2113" s="6">
        <v>1.6759999999999999</v>
      </c>
      <c r="O2113" s="6">
        <v>1.6759999999999999</v>
      </c>
      <c r="P2113" s="6">
        <v>0</v>
      </c>
      <c r="Q2113" s="4" t="s">
        <v>26</v>
      </c>
      <c r="R2113" s="4">
        <v>0</v>
      </c>
      <c r="S2113" s="6">
        <v>0</v>
      </c>
      <c r="T2113" s="6">
        <v>72</v>
      </c>
      <c r="U2113" s="6">
        <v>115</v>
      </c>
      <c r="V2113" s="6">
        <f>IF(ISERROR(VLOOKUP($S$2113,'TAR FIN'!$A$1:$O$120,15,0)),0,VLOOKUP($S$2113,'TAR FIN'!$A$1:$O$120,15,0))</f>
        <v>0</v>
      </c>
      <c r="W2113" s="6">
        <f>IF(ISERROR(VLOOKUP($T$2113,'TAR FIN'!$A$1:$O$120,15,0)),0,VLOOKUP($T$2113,'TAR FIN'!$A$1:$O$120,15,0))</f>
        <v>197.19</v>
      </c>
      <c r="X2113" s="6">
        <f>IF(ISERROR(VLOOKUP($U$2113,'TAR FIN'!$A$1:$O$120,15,0)),0,VLOOKUP($U$2113,'TAR FIN'!$A$1:$O$120,15,0))</f>
        <v>256.38</v>
      </c>
      <c r="Y2113" s="6"/>
      <c r="Z2113" s="6">
        <f ca="1">('TUSD BE'!$AM$82+'TUSD BF'!$AM$82+'TUSD CVA'!$AM$82)*1</f>
        <v>213.95322604891325</v>
      </c>
      <c r="AA2113" s="6">
        <f>('TE BE'!$AA$46+'TE BF'!$AA$46+'TE CVA'!$AA$46)*1</f>
        <v>230.83420940933817</v>
      </c>
      <c r="AB2113" s="6">
        <f>$K$2113*$V$2113</f>
        <v>0</v>
      </c>
      <c r="AC2113" s="6">
        <f>$M$2113*$W$2113</f>
        <v>330.49043999999998</v>
      </c>
      <c r="AD2113" s="6">
        <f>$O$2113*$X$2113</f>
        <v>429.69288</v>
      </c>
      <c r="AE2113" s="6">
        <f>$K$2113*$Y$2113</f>
        <v>0</v>
      </c>
      <c r="AF2113" s="6">
        <f ca="1">$M$2113*$Z$2113</f>
        <v>358.58560685797858</v>
      </c>
      <c r="AG2113" s="6">
        <f>$O$2113*$AA$2113</f>
        <v>386.87813497005078</v>
      </c>
    </row>
    <row r="2114" spans="1:33" ht="11.25" customHeight="1" x14ac:dyDescent="0.25">
      <c r="A2114" s="4" t="s">
        <v>59</v>
      </c>
      <c r="B2114" s="4" t="s">
        <v>39</v>
      </c>
      <c r="C2114" s="4" t="s">
        <v>37</v>
      </c>
      <c r="D2114" s="4" t="s">
        <v>48</v>
      </c>
      <c r="E2114" s="4" t="s">
        <v>25</v>
      </c>
      <c r="F2114" s="4" t="s">
        <v>25</v>
      </c>
      <c r="G2114" s="4" t="s">
        <v>25</v>
      </c>
      <c r="H2114" s="4" t="s">
        <v>36</v>
      </c>
      <c r="I2114" s="5">
        <v>44075</v>
      </c>
      <c r="J2114" s="6">
        <v>0</v>
      </c>
      <c r="K2114" s="6">
        <v>0</v>
      </c>
      <c r="L2114" s="6">
        <v>1.6759999999999999</v>
      </c>
      <c r="M2114" s="6">
        <v>1.6759999999999999</v>
      </c>
      <c r="N2114" s="6">
        <v>1.6759999999999999</v>
      </c>
      <c r="O2114" s="6">
        <v>1.6759999999999999</v>
      </c>
      <c r="P2114" s="6">
        <v>0</v>
      </c>
      <c r="Q2114" s="4" t="s">
        <v>26</v>
      </c>
      <c r="R2114" s="4">
        <v>0</v>
      </c>
      <c r="S2114" s="6">
        <v>0</v>
      </c>
      <c r="T2114" s="6">
        <v>72</v>
      </c>
      <c r="U2114" s="6">
        <v>115</v>
      </c>
      <c r="V2114" s="6">
        <f>IF(ISERROR(VLOOKUP($S$2114,'TAR FIN'!$A$1:$O$120,15,0)),0,VLOOKUP($S$2114,'TAR FIN'!$A$1:$O$120,15,0))</f>
        <v>0</v>
      </c>
      <c r="W2114" s="6">
        <f>IF(ISERROR(VLOOKUP($T$2114,'TAR FIN'!$A$1:$O$120,15,0)),0,VLOOKUP($T$2114,'TAR FIN'!$A$1:$O$120,15,0))</f>
        <v>197.19</v>
      </c>
      <c r="X2114" s="6">
        <f>IF(ISERROR(VLOOKUP($U$2114,'TAR FIN'!$A$1:$O$120,15,0)),0,VLOOKUP($U$2114,'TAR FIN'!$A$1:$O$120,15,0))</f>
        <v>256.38</v>
      </c>
      <c r="Y2114" s="6"/>
      <c r="Z2114" s="6">
        <f ca="1">('TUSD BE'!$AM$82+'TUSD BF'!$AM$82+'TUSD CVA'!$AM$82)*1</f>
        <v>213.95322604891325</v>
      </c>
      <c r="AA2114" s="6">
        <f>('TE BE'!$AA$46+'TE BF'!$AA$46+'TE CVA'!$AA$46)*1</f>
        <v>230.83420940933817</v>
      </c>
      <c r="AB2114" s="6">
        <f>$K$2114*$V$2114</f>
        <v>0</v>
      </c>
      <c r="AC2114" s="6">
        <f>$M$2114*$W$2114</f>
        <v>330.49043999999998</v>
      </c>
      <c r="AD2114" s="6">
        <f>$O$2114*$X$2114</f>
        <v>429.69288</v>
      </c>
      <c r="AE2114" s="6">
        <f>$K$2114*$Y$2114</f>
        <v>0</v>
      </c>
      <c r="AF2114" s="6">
        <f ca="1">$M$2114*$Z$2114</f>
        <v>358.58560685797858</v>
      </c>
      <c r="AG2114" s="6">
        <f>$O$2114*$AA$2114</f>
        <v>386.87813497005078</v>
      </c>
    </row>
    <row r="2115" spans="1:33" ht="11.25" customHeight="1" x14ac:dyDescent="0.25">
      <c r="A2115" s="4" t="s">
        <v>21</v>
      </c>
      <c r="B2115" s="4" t="s">
        <v>39</v>
      </c>
      <c r="C2115" s="4" t="s">
        <v>37</v>
      </c>
      <c r="D2115" s="4" t="s">
        <v>48</v>
      </c>
      <c r="E2115" s="4" t="s">
        <v>25</v>
      </c>
      <c r="F2115" s="4" t="s">
        <v>25</v>
      </c>
      <c r="G2115" s="4" t="s">
        <v>25</v>
      </c>
      <c r="H2115" s="4" t="s">
        <v>38</v>
      </c>
      <c r="I2115" s="5">
        <v>43922</v>
      </c>
      <c r="J2115" s="6">
        <v>0</v>
      </c>
      <c r="K2115" s="6">
        <v>0</v>
      </c>
      <c r="L2115" s="6">
        <v>8.1000000000000003E-2</v>
      </c>
      <c r="M2115" s="6">
        <v>8.1000000000000003E-2</v>
      </c>
      <c r="N2115" s="6">
        <v>8.1000000000000003E-2</v>
      </c>
      <c r="O2115" s="6">
        <v>8.1000000000000003E-2</v>
      </c>
      <c r="P2115" s="6">
        <v>0</v>
      </c>
      <c r="Q2115" s="4" t="s">
        <v>26</v>
      </c>
      <c r="R2115" s="4">
        <v>0</v>
      </c>
      <c r="S2115" s="6">
        <v>0</v>
      </c>
      <c r="T2115" s="6">
        <v>71</v>
      </c>
      <c r="U2115" s="6">
        <v>114</v>
      </c>
      <c r="V2115" s="6">
        <f>IF(ISERROR(VLOOKUP($S$2115,'TAR FIN'!$A$1:$O$120,15,0)),0,VLOOKUP($S$2115,'TAR FIN'!$A$1:$O$120,15,0))</f>
        <v>0</v>
      </c>
      <c r="W2115" s="6">
        <f>IF(ISERROR(VLOOKUP($T$2115,'TAR FIN'!$A$1:$O$120,15,0)),0,VLOOKUP($T$2115,'TAR FIN'!$A$1:$O$120,15,0))</f>
        <v>374.6</v>
      </c>
      <c r="X2115" s="6">
        <f>IF(ISERROR(VLOOKUP($U$2115,'TAR FIN'!$A$1:$O$120,15,0)),0,VLOOKUP($U$2115,'TAR FIN'!$A$1:$O$120,15,0))</f>
        <v>256.38</v>
      </c>
      <c r="Y2115" s="6"/>
      <c r="Z2115" s="6">
        <f ca="1">('TUSD BE'!$AM$81+'TUSD BF'!$AM$81+'TUSD CVA'!$AM$81)*1</f>
        <v>419.89752571617748</v>
      </c>
      <c r="AA2115" s="6">
        <f>('TE BE'!$AA$45+'TE BF'!$AA$45+'TE CVA'!$AA$45)*1</f>
        <v>230.83420940933817</v>
      </c>
      <c r="AB2115" s="6">
        <f>$K$2115*$V$2115</f>
        <v>0</v>
      </c>
      <c r="AC2115" s="6">
        <f>$M$2115*$W$2115</f>
        <v>30.342600000000004</v>
      </c>
      <c r="AD2115" s="6">
        <f>$O$2115*$X$2115</f>
        <v>20.766780000000001</v>
      </c>
      <c r="AE2115" s="6">
        <f>$K$2115*$Y$2115</f>
        <v>0</v>
      </c>
      <c r="AF2115" s="6">
        <f ca="1">$M$2115*$Z$2115</f>
        <v>34.011699583010376</v>
      </c>
      <c r="AG2115" s="6">
        <f>$O$2115*$AA$2115</f>
        <v>18.697570962156391</v>
      </c>
    </row>
    <row r="2116" spans="1:33" ht="11.25" customHeight="1" x14ac:dyDescent="0.25">
      <c r="A2116" s="4" t="s">
        <v>21</v>
      </c>
      <c r="B2116" s="4" t="s">
        <v>39</v>
      </c>
      <c r="C2116" s="4" t="s">
        <v>37</v>
      </c>
      <c r="D2116" s="4" t="s">
        <v>48</v>
      </c>
      <c r="E2116" s="4" t="s">
        <v>25</v>
      </c>
      <c r="F2116" s="4" t="s">
        <v>25</v>
      </c>
      <c r="G2116" s="4" t="s">
        <v>25</v>
      </c>
      <c r="H2116" s="4" t="s">
        <v>38</v>
      </c>
      <c r="I2116" s="5">
        <v>43952</v>
      </c>
      <c r="J2116" s="6">
        <v>0</v>
      </c>
      <c r="K2116" s="6">
        <v>0</v>
      </c>
      <c r="L2116" s="6">
        <v>8.6999999999999994E-2</v>
      </c>
      <c r="M2116" s="6">
        <v>8.6999999999999994E-2</v>
      </c>
      <c r="N2116" s="6">
        <v>8.6999999999999994E-2</v>
      </c>
      <c r="O2116" s="6">
        <v>8.6999999999999994E-2</v>
      </c>
      <c r="P2116" s="6">
        <v>0</v>
      </c>
      <c r="Q2116" s="4" t="s">
        <v>26</v>
      </c>
      <c r="R2116" s="4">
        <v>0</v>
      </c>
      <c r="S2116" s="6">
        <v>0</v>
      </c>
      <c r="T2116" s="6">
        <v>71</v>
      </c>
      <c r="U2116" s="6">
        <v>114</v>
      </c>
      <c r="V2116" s="6">
        <f>IF(ISERROR(VLOOKUP($S$2116,'TAR FIN'!$A$1:$O$120,15,0)),0,VLOOKUP($S$2116,'TAR FIN'!$A$1:$O$120,15,0))</f>
        <v>0</v>
      </c>
      <c r="W2116" s="6">
        <f>IF(ISERROR(VLOOKUP($T$2116,'TAR FIN'!$A$1:$O$120,15,0)),0,VLOOKUP($T$2116,'TAR FIN'!$A$1:$O$120,15,0))</f>
        <v>374.6</v>
      </c>
      <c r="X2116" s="6">
        <f>IF(ISERROR(VLOOKUP($U$2116,'TAR FIN'!$A$1:$O$120,15,0)),0,VLOOKUP($U$2116,'TAR FIN'!$A$1:$O$120,15,0))</f>
        <v>256.38</v>
      </c>
      <c r="Y2116" s="6"/>
      <c r="Z2116" s="6">
        <f ca="1">('TUSD BE'!$AM$81+'TUSD BF'!$AM$81+'TUSD CVA'!$AM$81)*1</f>
        <v>419.89752571617748</v>
      </c>
      <c r="AA2116" s="6">
        <f>('TE BE'!$AA$45+'TE BF'!$AA$45+'TE CVA'!$AA$45)*1</f>
        <v>230.83420940933817</v>
      </c>
      <c r="AB2116" s="6">
        <f>$K$2116*$V$2116</f>
        <v>0</v>
      </c>
      <c r="AC2116" s="6">
        <f>$M$2116*$W$2116</f>
        <v>32.590200000000003</v>
      </c>
      <c r="AD2116" s="6">
        <f>$O$2116*$X$2116</f>
        <v>22.305059999999997</v>
      </c>
      <c r="AE2116" s="6">
        <f>$K$2116*$Y$2116</f>
        <v>0</v>
      </c>
      <c r="AF2116" s="6">
        <f ca="1">$M$2116*$Z$2116</f>
        <v>36.531084737307438</v>
      </c>
      <c r="AG2116" s="6">
        <f>$O$2116*$AA$2116</f>
        <v>20.08257621861242</v>
      </c>
    </row>
    <row r="2117" spans="1:33" ht="11.25" customHeight="1" x14ac:dyDescent="0.25">
      <c r="A2117" s="4" t="s">
        <v>21</v>
      </c>
      <c r="B2117" s="4" t="s">
        <v>39</v>
      </c>
      <c r="C2117" s="4" t="s">
        <v>37</v>
      </c>
      <c r="D2117" s="4" t="s">
        <v>48</v>
      </c>
      <c r="E2117" s="4" t="s">
        <v>25</v>
      </c>
      <c r="F2117" s="4" t="s">
        <v>25</v>
      </c>
      <c r="G2117" s="4" t="s">
        <v>25</v>
      </c>
      <c r="H2117" s="4" t="s">
        <v>38</v>
      </c>
      <c r="I2117" s="5">
        <v>43983</v>
      </c>
      <c r="J2117" s="6">
        <v>0</v>
      </c>
      <c r="K2117" s="6">
        <v>0</v>
      </c>
      <c r="L2117" s="6">
        <v>0.12</v>
      </c>
      <c r="M2117" s="6">
        <v>0.12</v>
      </c>
      <c r="N2117" s="6">
        <v>0.12</v>
      </c>
      <c r="O2117" s="6">
        <v>0.12</v>
      </c>
      <c r="P2117" s="6">
        <v>0</v>
      </c>
      <c r="Q2117" s="4" t="s">
        <v>26</v>
      </c>
      <c r="R2117" s="4">
        <v>0</v>
      </c>
      <c r="S2117" s="6">
        <v>0</v>
      </c>
      <c r="T2117" s="6">
        <v>71</v>
      </c>
      <c r="U2117" s="6">
        <v>114</v>
      </c>
      <c r="V2117" s="6">
        <f>IF(ISERROR(VLOOKUP($S$2117,'TAR FIN'!$A$1:$O$120,15,0)),0,VLOOKUP($S$2117,'TAR FIN'!$A$1:$O$120,15,0))</f>
        <v>0</v>
      </c>
      <c r="W2117" s="6">
        <f>IF(ISERROR(VLOOKUP($T$2117,'TAR FIN'!$A$1:$O$120,15,0)),0,VLOOKUP($T$2117,'TAR FIN'!$A$1:$O$120,15,0))</f>
        <v>374.6</v>
      </c>
      <c r="X2117" s="6">
        <f>IF(ISERROR(VLOOKUP($U$2117,'TAR FIN'!$A$1:$O$120,15,0)),0,VLOOKUP($U$2117,'TAR FIN'!$A$1:$O$120,15,0))</f>
        <v>256.38</v>
      </c>
      <c r="Y2117" s="6"/>
      <c r="Z2117" s="6">
        <f ca="1">('TUSD BE'!$AM$81+'TUSD BF'!$AM$81+'TUSD CVA'!$AM$81)*1</f>
        <v>419.89752571617748</v>
      </c>
      <c r="AA2117" s="6">
        <f>('TE BE'!$AA$45+'TE BF'!$AA$45+'TE CVA'!$AA$45)*1</f>
        <v>230.83420940933817</v>
      </c>
      <c r="AB2117" s="6">
        <f>$K$2117*$V$2117</f>
        <v>0</v>
      </c>
      <c r="AC2117" s="6">
        <f>$M$2117*$W$2117</f>
        <v>44.951999999999998</v>
      </c>
      <c r="AD2117" s="6">
        <f>$O$2117*$X$2117</f>
        <v>30.765599999999999</v>
      </c>
      <c r="AE2117" s="6">
        <f>$K$2117*$Y$2117</f>
        <v>0</v>
      </c>
      <c r="AF2117" s="6">
        <f ca="1">$M$2117*$Z$2117</f>
        <v>50.387703085941297</v>
      </c>
      <c r="AG2117" s="6">
        <f>$O$2117*$AA$2117</f>
        <v>27.70010512912058</v>
      </c>
    </row>
    <row r="2118" spans="1:33" ht="11.25" customHeight="1" x14ac:dyDescent="0.25">
      <c r="A2118" s="4" t="s">
        <v>21</v>
      </c>
      <c r="B2118" s="4" t="s">
        <v>39</v>
      </c>
      <c r="C2118" s="4" t="s">
        <v>37</v>
      </c>
      <c r="D2118" s="4" t="s">
        <v>48</v>
      </c>
      <c r="E2118" s="4" t="s">
        <v>25</v>
      </c>
      <c r="F2118" s="4" t="s">
        <v>25</v>
      </c>
      <c r="G2118" s="4" t="s">
        <v>25</v>
      </c>
      <c r="H2118" s="4" t="s">
        <v>38</v>
      </c>
      <c r="I2118" s="5">
        <v>44013</v>
      </c>
      <c r="J2118" s="6">
        <v>0</v>
      </c>
      <c r="K2118" s="6">
        <v>0</v>
      </c>
      <c r="L2118" s="6">
        <v>0.124</v>
      </c>
      <c r="M2118" s="6">
        <v>0.124</v>
      </c>
      <c r="N2118" s="6">
        <v>0.124</v>
      </c>
      <c r="O2118" s="6">
        <v>0.124</v>
      </c>
      <c r="P2118" s="6">
        <v>0</v>
      </c>
      <c r="Q2118" s="4" t="s">
        <v>26</v>
      </c>
      <c r="R2118" s="4">
        <v>0</v>
      </c>
      <c r="S2118" s="6">
        <v>0</v>
      </c>
      <c r="T2118" s="6">
        <v>71</v>
      </c>
      <c r="U2118" s="6">
        <v>114</v>
      </c>
      <c r="V2118" s="6">
        <f>IF(ISERROR(VLOOKUP($S$2118,'TAR FIN'!$A$1:$O$120,15,0)),0,VLOOKUP($S$2118,'TAR FIN'!$A$1:$O$120,15,0))</f>
        <v>0</v>
      </c>
      <c r="W2118" s="6">
        <f>IF(ISERROR(VLOOKUP($T$2118,'TAR FIN'!$A$1:$O$120,15,0)),0,VLOOKUP($T$2118,'TAR FIN'!$A$1:$O$120,15,0))</f>
        <v>374.6</v>
      </c>
      <c r="X2118" s="6">
        <f>IF(ISERROR(VLOOKUP($U$2118,'TAR FIN'!$A$1:$O$120,15,0)),0,VLOOKUP($U$2118,'TAR FIN'!$A$1:$O$120,15,0))</f>
        <v>256.38</v>
      </c>
      <c r="Y2118" s="6"/>
      <c r="Z2118" s="6">
        <f ca="1">('TUSD BE'!$AM$81+'TUSD BF'!$AM$81+'TUSD CVA'!$AM$81)*1</f>
        <v>419.89752571617748</v>
      </c>
      <c r="AA2118" s="6">
        <f>('TE BE'!$AA$45+'TE BF'!$AA$45+'TE CVA'!$AA$45)*1</f>
        <v>230.83420940933817</v>
      </c>
      <c r="AB2118" s="6">
        <f>$K$2118*$V$2118</f>
        <v>0</v>
      </c>
      <c r="AC2118" s="6">
        <f>$M$2118*$W$2118</f>
        <v>46.450400000000002</v>
      </c>
      <c r="AD2118" s="6">
        <f>$O$2118*$X$2118</f>
        <v>31.791119999999999</v>
      </c>
      <c r="AE2118" s="6">
        <f>$K$2118*$Y$2118</f>
        <v>0</v>
      </c>
      <c r="AF2118" s="6">
        <f ca="1">$M$2118*$Z$2118</f>
        <v>52.067293188806005</v>
      </c>
      <c r="AG2118" s="6">
        <f>$O$2118*$AA$2118</f>
        <v>28.623441966757934</v>
      </c>
    </row>
    <row r="2119" spans="1:33" ht="11.25" customHeight="1" x14ac:dyDescent="0.25">
      <c r="A2119" s="4" t="s">
        <v>21</v>
      </c>
      <c r="B2119" s="4" t="s">
        <v>39</v>
      </c>
      <c r="C2119" s="4" t="s">
        <v>37</v>
      </c>
      <c r="D2119" s="4" t="s">
        <v>48</v>
      </c>
      <c r="E2119" s="4" t="s">
        <v>25</v>
      </c>
      <c r="F2119" s="4" t="s">
        <v>25</v>
      </c>
      <c r="G2119" s="4" t="s">
        <v>25</v>
      </c>
      <c r="H2119" s="4" t="s">
        <v>38</v>
      </c>
      <c r="I2119" s="5">
        <v>44044</v>
      </c>
      <c r="J2119" s="6">
        <v>0</v>
      </c>
      <c r="K2119" s="6">
        <v>0</v>
      </c>
      <c r="L2119" s="6">
        <v>0.129</v>
      </c>
      <c r="M2119" s="6">
        <v>0.129</v>
      </c>
      <c r="N2119" s="6">
        <v>0.129</v>
      </c>
      <c r="O2119" s="6">
        <v>0.129</v>
      </c>
      <c r="P2119" s="6">
        <v>0</v>
      </c>
      <c r="Q2119" s="4" t="s">
        <v>26</v>
      </c>
      <c r="R2119" s="4">
        <v>0</v>
      </c>
      <c r="S2119" s="6">
        <v>0</v>
      </c>
      <c r="T2119" s="6">
        <v>71</v>
      </c>
      <c r="U2119" s="6">
        <v>114</v>
      </c>
      <c r="V2119" s="6">
        <f>IF(ISERROR(VLOOKUP($S$2119,'TAR FIN'!$A$1:$O$120,15,0)),0,VLOOKUP($S$2119,'TAR FIN'!$A$1:$O$120,15,0))</f>
        <v>0</v>
      </c>
      <c r="W2119" s="6">
        <f>IF(ISERROR(VLOOKUP($T$2119,'TAR FIN'!$A$1:$O$120,15,0)),0,VLOOKUP($T$2119,'TAR FIN'!$A$1:$O$120,15,0))</f>
        <v>374.6</v>
      </c>
      <c r="X2119" s="6">
        <f>IF(ISERROR(VLOOKUP($U$2119,'TAR FIN'!$A$1:$O$120,15,0)),0,VLOOKUP($U$2119,'TAR FIN'!$A$1:$O$120,15,0))</f>
        <v>256.38</v>
      </c>
      <c r="Y2119" s="6"/>
      <c r="Z2119" s="6">
        <f ca="1">('TUSD BE'!$AM$81+'TUSD BF'!$AM$81+'TUSD CVA'!$AM$81)*1</f>
        <v>419.89752571617748</v>
      </c>
      <c r="AA2119" s="6">
        <f>('TE BE'!$AA$45+'TE BF'!$AA$45+'TE CVA'!$AA$45)*1</f>
        <v>230.83420940933817</v>
      </c>
      <c r="AB2119" s="6">
        <f>$K$2119*$V$2119</f>
        <v>0</v>
      </c>
      <c r="AC2119" s="6">
        <f>$M$2119*$W$2119</f>
        <v>48.323400000000007</v>
      </c>
      <c r="AD2119" s="6">
        <f>$O$2119*$X$2119</f>
        <v>33.07302</v>
      </c>
      <c r="AE2119" s="6">
        <f>$K$2119*$Y$2119</f>
        <v>0</v>
      </c>
      <c r="AF2119" s="6">
        <f ca="1">$M$2119*$Z$2119</f>
        <v>54.166780817386893</v>
      </c>
      <c r="AG2119" s="6">
        <f>$O$2119*$AA$2119</f>
        <v>29.777613013804626</v>
      </c>
    </row>
    <row r="2120" spans="1:33" ht="11.25" customHeight="1" x14ac:dyDescent="0.25">
      <c r="A2120" s="4" t="s">
        <v>59</v>
      </c>
      <c r="B2120" s="4" t="s">
        <v>39</v>
      </c>
      <c r="C2120" s="4" t="s">
        <v>37</v>
      </c>
      <c r="D2120" s="4" t="s">
        <v>48</v>
      </c>
      <c r="E2120" s="4" t="s">
        <v>25</v>
      </c>
      <c r="F2120" s="4" t="s">
        <v>25</v>
      </c>
      <c r="G2120" s="4" t="s">
        <v>25</v>
      </c>
      <c r="H2120" s="4" t="s">
        <v>38</v>
      </c>
      <c r="I2120" s="5">
        <v>44075</v>
      </c>
      <c r="J2120" s="6">
        <v>0</v>
      </c>
      <c r="K2120" s="6">
        <v>0</v>
      </c>
      <c r="L2120" s="6">
        <v>0.129</v>
      </c>
      <c r="M2120" s="6">
        <v>0.129</v>
      </c>
      <c r="N2120" s="6">
        <v>0.129</v>
      </c>
      <c r="O2120" s="6">
        <v>0.129</v>
      </c>
      <c r="P2120" s="6">
        <v>0</v>
      </c>
      <c r="Q2120" s="4" t="s">
        <v>26</v>
      </c>
      <c r="R2120" s="4">
        <v>0</v>
      </c>
      <c r="S2120" s="6">
        <v>0</v>
      </c>
      <c r="T2120" s="6">
        <v>71</v>
      </c>
      <c r="U2120" s="6">
        <v>114</v>
      </c>
      <c r="V2120" s="6">
        <f>IF(ISERROR(VLOOKUP($S$2120,'TAR FIN'!$A$1:$O$120,15,0)),0,VLOOKUP($S$2120,'TAR FIN'!$A$1:$O$120,15,0))</f>
        <v>0</v>
      </c>
      <c r="W2120" s="6">
        <f>IF(ISERROR(VLOOKUP($T$2120,'TAR FIN'!$A$1:$O$120,15,0)),0,VLOOKUP($T$2120,'TAR FIN'!$A$1:$O$120,15,0))</f>
        <v>374.6</v>
      </c>
      <c r="X2120" s="6">
        <f>IF(ISERROR(VLOOKUP($U$2120,'TAR FIN'!$A$1:$O$120,15,0)),0,VLOOKUP($U$2120,'TAR FIN'!$A$1:$O$120,15,0))</f>
        <v>256.38</v>
      </c>
      <c r="Y2120" s="6"/>
      <c r="Z2120" s="6">
        <f ca="1">('TUSD BE'!$AM$81+'TUSD BF'!$AM$81+'TUSD CVA'!$AM$81)*1</f>
        <v>419.89752571617748</v>
      </c>
      <c r="AA2120" s="6">
        <f>('TE BE'!$AA$45+'TE BF'!$AA$45+'TE CVA'!$AA$45)*1</f>
        <v>230.83420940933817</v>
      </c>
      <c r="AB2120" s="6">
        <f>$K$2120*$V$2120</f>
        <v>0</v>
      </c>
      <c r="AC2120" s="6">
        <f>$M$2120*$W$2120</f>
        <v>48.323400000000007</v>
      </c>
      <c r="AD2120" s="6">
        <f>$O$2120*$X$2120</f>
        <v>33.07302</v>
      </c>
      <c r="AE2120" s="6">
        <f>$K$2120*$Y$2120</f>
        <v>0</v>
      </c>
      <c r="AF2120" s="6">
        <f ca="1">$M$2120*$Z$2120</f>
        <v>54.166780817386893</v>
      </c>
      <c r="AG2120" s="6">
        <f>$O$2120*$AA$2120</f>
        <v>29.777613013804626</v>
      </c>
    </row>
    <row r="2121" spans="1:33" ht="11.25" customHeight="1" x14ac:dyDescent="0.25">
      <c r="A2121" s="4" t="s">
        <v>21</v>
      </c>
      <c r="B2121" s="4" t="s">
        <v>39</v>
      </c>
      <c r="C2121" s="4" t="s">
        <v>37</v>
      </c>
      <c r="D2121" s="4" t="s">
        <v>48</v>
      </c>
      <c r="E2121" s="4" t="s">
        <v>25</v>
      </c>
      <c r="F2121" s="4" t="s">
        <v>25</v>
      </c>
      <c r="G2121" s="4" t="s">
        <v>25</v>
      </c>
      <c r="H2121" s="4" t="s">
        <v>35</v>
      </c>
      <c r="I2121" s="5">
        <v>43922</v>
      </c>
      <c r="J2121" s="6">
        <v>0</v>
      </c>
      <c r="K2121" s="6">
        <v>0</v>
      </c>
      <c r="L2121" s="6">
        <v>0.20499999999999999</v>
      </c>
      <c r="M2121" s="6">
        <v>0.20499999999999999</v>
      </c>
      <c r="N2121" s="6">
        <v>0.20499999999999999</v>
      </c>
      <c r="O2121" s="6">
        <v>0.20499999999999999</v>
      </c>
      <c r="P2121" s="6">
        <v>0</v>
      </c>
      <c r="Q2121" s="4" t="s">
        <v>26</v>
      </c>
      <c r="R2121" s="4">
        <v>0</v>
      </c>
      <c r="S2121" s="6">
        <v>0</v>
      </c>
      <c r="T2121" s="6">
        <v>70</v>
      </c>
      <c r="U2121" s="6">
        <v>113</v>
      </c>
      <c r="V2121" s="6">
        <f>IF(ISERROR(VLOOKUP($S$2121,'TAR FIN'!$A$1:$O$120,15,0)),0,VLOOKUP($S$2121,'TAR FIN'!$A$1:$O$120,15,0))</f>
        <v>0</v>
      </c>
      <c r="W2121" s="6">
        <f>IF(ISERROR(VLOOKUP($T$2121,'TAR FIN'!$A$1:$O$120,15,0)),0,VLOOKUP($T$2121,'TAR FIN'!$A$1:$O$120,15,0))</f>
        <v>552.01</v>
      </c>
      <c r="X2121" s="6">
        <f>IF(ISERROR(VLOOKUP($U$2121,'TAR FIN'!$A$1:$O$120,15,0)),0,VLOOKUP($U$2121,'TAR FIN'!$A$1:$O$120,15,0))</f>
        <v>430.87</v>
      </c>
      <c r="Y2121" s="6"/>
      <c r="Z2121" s="6">
        <f ca="1">('TUSD BE'!$AM$80+'TUSD BF'!$AM$80+'TUSD CVA'!$AM$80)*1</f>
        <v>625.84296780878549</v>
      </c>
      <c r="AA2121" s="6">
        <f>('TE BE'!$AA$44+'TE BF'!$AA$44+'TE CVA'!$AA$44)*1</f>
        <v>375.69180268700768</v>
      </c>
      <c r="AB2121" s="6">
        <f>$K$2121*$V$2121</f>
        <v>0</v>
      </c>
      <c r="AC2121" s="6">
        <f>$M$2121*$W$2121</f>
        <v>113.16204999999999</v>
      </c>
      <c r="AD2121" s="6">
        <f>$O$2121*$X$2121</f>
        <v>88.32835</v>
      </c>
      <c r="AE2121" s="6">
        <f>$K$2121*$Y$2121</f>
        <v>0</v>
      </c>
      <c r="AF2121" s="6">
        <f ca="1">$M$2121*$Z$2121</f>
        <v>128.29780840080102</v>
      </c>
      <c r="AG2121" s="6">
        <f>$O$2121*$AA$2121</f>
        <v>77.016819550836573</v>
      </c>
    </row>
    <row r="2122" spans="1:33" ht="11.25" customHeight="1" x14ac:dyDescent="0.25">
      <c r="A2122" s="4" t="s">
        <v>21</v>
      </c>
      <c r="B2122" s="4" t="s">
        <v>39</v>
      </c>
      <c r="C2122" s="4" t="s">
        <v>37</v>
      </c>
      <c r="D2122" s="4" t="s">
        <v>48</v>
      </c>
      <c r="E2122" s="4" t="s">
        <v>25</v>
      </c>
      <c r="F2122" s="4" t="s">
        <v>25</v>
      </c>
      <c r="G2122" s="4" t="s">
        <v>25</v>
      </c>
      <c r="H2122" s="4" t="s">
        <v>35</v>
      </c>
      <c r="I2122" s="5">
        <v>43952</v>
      </c>
      <c r="J2122" s="6">
        <v>0</v>
      </c>
      <c r="K2122" s="6">
        <v>0</v>
      </c>
      <c r="L2122" s="6">
        <v>0.19500000000000001</v>
      </c>
      <c r="M2122" s="6">
        <v>0.19500000000000001</v>
      </c>
      <c r="N2122" s="6">
        <v>0.19500000000000001</v>
      </c>
      <c r="O2122" s="6">
        <v>0.19500000000000001</v>
      </c>
      <c r="P2122" s="6">
        <v>0</v>
      </c>
      <c r="Q2122" s="4" t="s">
        <v>26</v>
      </c>
      <c r="R2122" s="4">
        <v>0</v>
      </c>
      <c r="S2122" s="6">
        <v>0</v>
      </c>
      <c r="T2122" s="6">
        <v>70</v>
      </c>
      <c r="U2122" s="6">
        <v>113</v>
      </c>
      <c r="V2122" s="6">
        <f>IF(ISERROR(VLOOKUP($S$2122,'TAR FIN'!$A$1:$O$120,15,0)),0,VLOOKUP($S$2122,'TAR FIN'!$A$1:$O$120,15,0))</f>
        <v>0</v>
      </c>
      <c r="W2122" s="6">
        <f>IF(ISERROR(VLOOKUP($T$2122,'TAR FIN'!$A$1:$O$120,15,0)),0,VLOOKUP($T$2122,'TAR FIN'!$A$1:$O$120,15,0))</f>
        <v>552.01</v>
      </c>
      <c r="X2122" s="6">
        <f>IF(ISERROR(VLOOKUP($U$2122,'TAR FIN'!$A$1:$O$120,15,0)),0,VLOOKUP($U$2122,'TAR FIN'!$A$1:$O$120,15,0))</f>
        <v>430.87</v>
      </c>
      <c r="Y2122" s="6"/>
      <c r="Z2122" s="6">
        <f ca="1">('TUSD BE'!$AM$80+'TUSD BF'!$AM$80+'TUSD CVA'!$AM$80)*1</f>
        <v>625.84296780878549</v>
      </c>
      <c r="AA2122" s="6">
        <f>('TE BE'!$AA$44+'TE BF'!$AA$44+'TE CVA'!$AA$44)*1</f>
        <v>375.69180268700768</v>
      </c>
      <c r="AB2122" s="6">
        <f>$K$2122*$V$2122</f>
        <v>0</v>
      </c>
      <c r="AC2122" s="6">
        <f>$M$2122*$W$2122</f>
        <v>107.64195000000001</v>
      </c>
      <c r="AD2122" s="6">
        <f>$O$2122*$X$2122</f>
        <v>84.019649999999999</v>
      </c>
      <c r="AE2122" s="6">
        <f>$K$2122*$Y$2122</f>
        <v>0</v>
      </c>
      <c r="AF2122" s="6">
        <f ca="1">$M$2122*$Z$2122</f>
        <v>122.03937872271318</v>
      </c>
      <c r="AG2122" s="6">
        <f>$O$2122*$AA$2122</f>
        <v>73.259901523966505</v>
      </c>
    </row>
    <row r="2123" spans="1:33" ht="11.25" customHeight="1" x14ac:dyDescent="0.25">
      <c r="A2123" s="4" t="s">
        <v>21</v>
      </c>
      <c r="B2123" s="4" t="s">
        <v>39</v>
      </c>
      <c r="C2123" s="4" t="s">
        <v>37</v>
      </c>
      <c r="D2123" s="4" t="s">
        <v>48</v>
      </c>
      <c r="E2123" s="4" t="s">
        <v>25</v>
      </c>
      <c r="F2123" s="4" t="s">
        <v>25</v>
      </c>
      <c r="G2123" s="4" t="s">
        <v>25</v>
      </c>
      <c r="H2123" s="4" t="s">
        <v>35</v>
      </c>
      <c r="I2123" s="5">
        <v>43983</v>
      </c>
      <c r="J2123" s="6">
        <v>0</v>
      </c>
      <c r="K2123" s="6">
        <v>0</v>
      </c>
      <c r="L2123" s="6">
        <v>0.26900000000000002</v>
      </c>
      <c r="M2123" s="6">
        <v>0.26900000000000002</v>
      </c>
      <c r="N2123" s="6">
        <v>0.26900000000000002</v>
      </c>
      <c r="O2123" s="6">
        <v>0.26900000000000002</v>
      </c>
      <c r="P2123" s="6">
        <v>0</v>
      </c>
      <c r="Q2123" s="4" t="s">
        <v>26</v>
      </c>
      <c r="R2123" s="4">
        <v>0</v>
      </c>
      <c r="S2123" s="6">
        <v>0</v>
      </c>
      <c r="T2123" s="6">
        <v>70</v>
      </c>
      <c r="U2123" s="6">
        <v>113</v>
      </c>
      <c r="V2123" s="6">
        <f>IF(ISERROR(VLOOKUP($S$2123,'TAR FIN'!$A$1:$O$120,15,0)),0,VLOOKUP($S$2123,'TAR FIN'!$A$1:$O$120,15,0))</f>
        <v>0</v>
      </c>
      <c r="W2123" s="6">
        <f>IF(ISERROR(VLOOKUP($T$2123,'TAR FIN'!$A$1:$O$120,15,0)),0,VLOOKUP($T$2123,'TAR FIN'!$A$1:$O$120,15,0))</f>
        <v>552.01</v>
      </c>
      <c r="X2123" s="6">
        <f>IF(ISERROR(VLOOKUP($U$2123,'TAR FIN'!$A$1:$O$120,15,0)),0,VLOOKUP($U$2123,'TAR FIN'!$A$1:$O$120,15,0))</f>
        <v>430.87</v>
      </c>
      <c r="Y2123" s="6"/>
      <c r="Z2123" s="6">
        <f ca="1">('TUSD BE'!$AM$80+'TUSD BF'!$AM$80+'TUSD CVA'!$AM$80)*1</f>
        <v>625.84296780878549</v>
      </c>
      <c r="AA2123" s="6">
        <f>('TE BE'!$AA$44+'TE BF'!$AA$44+'TE CVA'!$AA$44)*1</f>
        <v>375.69180268700768</v>
      </c>
      <c r="AB2123" s="6">
        <f>$K$2123*$V$2123</f>
        <v>0</v>
      </c>
      <c r="AC2123" s="6">
        <f>$M$2123*$W$2123</f>
        <v>148.49069</v>
      </c>
      <c r="AD2123" s="6">
        <f>$O$2123*$X$2123</f>
        <v>115.90403000000001</v>
      </c>
      <c r="AE2123" s="6">
        <f>$K$2123*$Y$2123</f>
        <v>0</v>
      </c>
      <c r="AF2123" s="6">
        <f ca="1">$M$2123*$Z$2123</f>
        <v>168.35175834056329</v>
      </c>
      <c r="AG2123" s="6">
        <f>$O$2123*$AA$2123</f>
        <v>101.06109492280507</v>
      </c>
    </row>
    <row r="2124" spans="1:33" ht="11.25" customHeight="1" x14ac:dyDescent="0.25">
      <c r="A2124" s="4" t="s">
        <v>21</v>
      </c>
      <c r="B2124" s="4" t="s">
        <v>39</v>
      </c>
      <c r="C2124" s="4" t="s">
        <v>37</v>
      </c>
      <c r="D2124" s="4" t="s">
        <v>48</v>
      </c>
      <c r="E2124" s="4" t="s">
        <v>25</v>
      </c>
      <c r="F2124" s="4" t="s">
        <v>25</v>
      </c>
      <c r="G2124" s="4" t="s">
        <v>25</v>
      </c>
      <c r="H2124" s="4" t="s">
        <v>35</v>
      </c>
      <c r="I2124" s="5">
        <v>44013</v>
      </c>
      <c r="J2124" s="6">
        <v>0</v>
      </c>
      <c r="K2124" s="6">
        <v>0</v>
      </c>
      <c r="L2124" s="6">
        <v>0.29299999999999998</v>
      </c>
      <c r="M2124" s="6">
        <v>0.29299999999999998</v>
      </c>
      <c r="N2124" s="6">
        <v>0.29299999999999998</v>
      </c>
      <c r="O2124" s="6">
        <v>0.29299999999999998</v>
      </c>
      <c r="P2124" s="6">
        <v>0</v>
      </c>
      <c r="Q2124" s="4" t="s">
        <v>26</v>
      </c>
      <c r="R2124" s="4">
        <v>0</v>
      </c>
      <c r="S2124" s="6">
        <v>0</v>
      </c>
      <c r="T2124" s="6">
        <v>70</v>
      </c>
      <c r="U2124" s="6">
        <v>113</v>
      </c>
      <c r="V2124" s="6">
        <f>IF(ISERROR(VLOOKUP($S$2124,'TAR FIN'!$A$1:$O$120,15,0)),0,VLOOKUP($S$2124,'TAR FIN'!$A$1:$O$120,15,0))</f>
        <v>0</v>
      </c>
      <c r="W2124" s="6">
        <f>IF(ISERROR(VLOOKUP($T$2124,'TAR FIN'!$A$1:$O$120,15,0)),0,VLOOKUP($T$2124,'TAR FIN'!$A$1:$O$120,15,0))</f>
        <v>552.01</v>
      </c>
      <c r="X2124" s="6">
        <f>IF(ISERROR(VLOOKUP($U$2124,'TAR FIN'!$A$1:$O$120,15,0)),0,VLOOKUP($U$2124,'TAR FIN'!$A$1:$O$120,15,0))</f>
        <v>430.87</v>
      </c>
      <c r="Y2124" s="6"/>
      <c r="Z2124" s="6">
        <f ca="1">('TUSD BE'!$AM$80+'TUSD BF'!$AM$80+'TUSD CVA'!$AM$80)*1</f>
        <v>625.84296780878549</v>
      </c>
      <c r="AA2124" s="6">
        <f>('TE BE'!$AA$44+'TE BF'!$AA$44+'TE CVA'!$AA$44)*1</f>
        <v>375.69180268700768</v>
      </c>
      <c r="AB2124" s="6">
        <f>$K$2124*$V$2124</f>
        <v>0</v>
      </c>
      <c r="AC2124" s="6">
        <f>$M$2124*$W$2124</f>
        <v>161.73892999999998</v>
      </c>
      <c r="AD2124" s="6">
        <f>$O$2124*$X$2124</f>
        <v>126.24490999999999</v>
      </c>
      <c r="AE2124" s="6">
        <f>$K$2124*$Y$2124</f>
        <v>0</v>
      </c>
      <c r="AF2124" s="6">
        <f ca="1">$M$2124*$Z$2124</f>
        <v>183.37198956797414</v>
      </c>
      <c r="AG2124" s="6">
        <f>$O$2124*$AA$2124</f>
        <v>110.07769818729324</v>
      </c>
    </row>
    <row r="2125" spans="1:33" ht="11.25" customHeight="1" x14ac:dyDescent="0.25">
      <c r="A2125" s="4" t="s">
        <v>21</v>
      </c>
      <c r="B2125" s="4" t="s">
        <v>39</v>
      </c>
      <c r="C2125" s="4" t="s">
        <v>37</v>
      </c>
      <c r="D2125" s="4" t="s">
        <v>48</v>
      </c>
      <c r="E2125" s="4" t="s">
        <v>25</v>
      </c>
      <c r="F2125" s="4" t="s">
        <v>25</v>
      </c>
      <c r="G2125" s="4" t="s">
        <v>25</v>
      </c>
      <c r="H2125" s="4" t="s">
        <v>35</v>
      </c>
      <c r="I2125" s="5">
        <v>44044</v>
      </c>
      <c r="J2125" s="6">
        <v>0</v>
      </c>
      <c r="K2125" s="6">
        <v>0</v>
      </c>
      <c r="L2125" s="6">
        <v>0.34599999999999997</v>
      </c>
      <c r="M2125" s="6">
        <v>0.34599999999999997</v>
      </c>
      <c r="N2125" s="6">
        <v>0.34599999999999997</v>
      </c>
      <c r="O2125" s="6">
        <v>0.34599999999999997</v>
      </c>
      <c r="P2125" s="6">
        <v>0</v>
      </c>
      <c r="Q2125" s="4" t="s">
        <v>26</v>
      </c>
      <c r="R2125" s="4">
        <v>0</v>
      </c>
      <c r="S2125" s="6">
        <v>0</v>
      </c>
      <c r="T2125" s="6">
        <v>70</v>
      </c>
      <c r="U2125" s="6">
        <v>113</v>
      </c>
      <c r="V2125" s="6">
        <f>IF(ISERROR(VLOOKUP($S$2125,'TAR FIN'!$A$1:$O$120,15,0)),0,VLOOKUP($S$2125,'TAR FIN'!$A$1:$O$120,15,0))</f>
        <v>0</v>
      </c>
      <c r="W2125" s="6">
        <f>IF(ISERROR(VLOOKUP($T$2125,'TAR FIN'!$A$1:$O$120,15,0)),0,VLOOKUP($T$2125,'TAR FIN'!$A$1:$O$120,15,0))</f>
        <v>552.01</v>
      </c>
      <c r="X2125" s="6">
        <f>IF(ISERROR(VLOOKUP($U$2125,'TAR FIN'!$A$1:$O$120,15,0)),0,VLOOKUP($U$2125,'TAR FIN'!$A$1:$O$120,15,0))</f>
        <v>430.87</v>
      </c>
      <c r="Y2125" s="6"/>
      <c r="Z2125" s="6">
        <f ca="1">('TUSD BE'!$AM$80+'TUSD BF'!$AM$80+'TUSD CVA'!$AM$80)*1</f>
        <v>625.84296780878549</v>
      </c>
      <c r="AA2125" s="6">
        <f>('TE BE'!$AA$44+'TE BF'!$AA$44+'TE CVA'!$AA$44)*1</f>
        <v>375.69180268700768</v>
      </c>
      <c r="AB2125" s="6">
        <f>$K$2125*$V$2125</f>
        <v>0</v>
      </c>
      <c r="AC2125" s="6">
        <f>$M$2125*$W$2125</f>
        <v>190.99545999999998</v>
      </c>
      <c r="AD2125" s="6">
        <f>$O$2125*$X$2125</f>
        <v>149.08102</v>
      </c>
      <c r="AE2125" s="6">
        <f>$K$2125*$Y$2125</f>
        <v>0</v>
      </c>
      <c r="AF2125" s="6">
        <f ca="1">$M$2125*$Z$2125</f>
        <v>216.54166686183976</v>
      </c>
      <c r="AG2125" s="6">
        <f>$O$2125*$AA$2125</f>
        <v>129.98936372970465</v>
      </c>
    </row>
    <row r="2126" spans="1:33" ht="11.25" customHeight="1" x14ac:dyDescent="0.25">
      <c r="A2126" s="4" t="s">
        <v>59</v>
      </c>
      <c r="B2126" s="4" t="s">
        <v>39</v>
      </c>
      <c r="C2126" s="4" t="s">
        <v>37</v>
      </c>
      <c r="D2126" s="4" t="s">
        <v>48</v>
      </c>
      <c r="E2126" s="4" t="s">
        <v>25</v>
      </c>
      <c r="F2126" s="4" t="s">
        <v>25</v>
      </c>
      <c r="G2126" s="4" t="s">
        <v>25</v>
      </c>
      <c r="H2126" s="4" t="s">
        <v>35</v>
      </c>
      <c r="I2126" s="5">
        <v>44075</v>
      </c>
      <c r="J2126" s="6">
        <v>0</v>
      </c>
      <c r="K2126" s="6">
        <v>0</v>
      </c>
      <c r="L2126" s="6">
        <v>0.34599999999999997</v>
      </c>
      <c r="M2126" s="6">
        <v>0.34599999999999997</v>
      </c>
      <c r="N2126" s="6">
        <v>0.34599999999999997</v>
      </c>
      <c r="O2126" s="6">
        <v>0.34599999999999997</v>
      </c>
      <c r="P2126" s="6">
        <v>0</v>
      </c>
      <c r="Q2126" s="4" t="s">
        <v>26</v>
      </c>
      <c r="R2126" s="4">
        <v>0</v>
      </c>
      <c r="S2126" s="6">
        <v>0</v>
      </c>
      <c r="T2126" s="6">
        <v>70</v>
      </c>
      <c r="U2126" s="6">
        <v>113</v>
      </c>
      <c r="V2126" s="6">
        <f>IF(ISERROR(VLOOKUP($S$2126,'TAR FIN'!$A$1:$O$120,15,0)),0,VLOOKUP($S$2126,'TAR FIN'!$A$1:$O$120,15,0))</f>
        <v>0</v>
      </c>
      <c r="W2126" s="6">
        <f>IF(ISERROR(VLOOKUP($T$2126,'TAR FIN'!$A$1:$O$120,15,0)),0,VLOOKUP($T$2126,'TAR FIN'!$A$1:$O$120,15,0))</f>
        <v>552.01</v>
      </c>
      <c r="X2126" s="6">
        <f>IF(ISERROR(VLOOKUP($U$2126,'TAR FIN'!$A$1:$O$120,15,0)),0,VLOOKUP($U$2126,'TAR FIN'!$A$1:$O$120,15,0))</f>
        <v>430.87</v>
      </c>
      <c r="Y2126" s="6"/>
      <c r="Z2126" s="6">
        <f ca="1">('TUSD BE'!$AM$80+'TUSD BF'!$AM$80+'TUSD CVA'!$AM$80)*1</f>
        <v>625.84296780878549</v>
      </c>
      <c r="AA2126" s="6">
        <f>('TE BE'!$AA$44+'TE BF'!$AA$44+'TE CVA'!$AA$44)*1</f>
        <v>375.69180268700768</v>
      </c>
      <c r="AB2126" s="6">
        <f>$K$2126*$V$2126</f>
        <v>0</v>
      </c>
      <c r="AC2126" s="6">
        <f>$M$2126*$W$2126</f>
        <v>190.99545999999998</v>
      </c>
      <c r="AD2126" s="6">
        <f>$O$2126*$X$2126</f>
        <v>149.08102</v>
      </c>
      <c r="AE2126" s="6">
        <f>$K$2126*$Y$2126</f>
        <v>0</v>
      </c>
      <c r="AF2126" s="6">
        <f ca="1">$M$2126*$Z$2126</f>
        <v>216.54166686183976</v>
      </c>
      <c r="AG2126" s="6">
        <f>$O$2126*$AA$2126</f>
        <v>129.98936372970465</v>
      </c>
    </row>
    <row r="2127" spans="1:33" ht="11.25" customHeight="1" x14ac:dyDescent="0.25">
      <c r="A2127" s="4" t="s">
        <v>21</v>
      </c>
      <c r="B2127" s="4" t="s">
        <v>39</v>
      </c>
      <c r="C2127" s="4" t="s">
        <v>23</v>
      </c>
      <c r="D2127" s="4" t="s">
        <v>42</v>
      </c>
      <c r="E2127" s="4" t="s">
        <v>25</v>
      </c>
      <c r="F2127" s="4" t="s">
        <v>25</v>
      </c>
      <c r="G2127" s="4" t="s">
        <v>25</v>
      </c>
      <c r="H2127" s="4" t="s">
        <v>25</v>
      </c>
      <c r="I2127" s="5">
        <v>43739</v>
      </c>
      <c r="J2127" s="6">
        <v>0</v>
      </c>
      <c r="K2127" s="6">
        <v>0</v>
      </c>
      <c r="L2127" s="6">
        <v>87253.073999999993</v>
      </c>
      <c r="M2127" s="6">
        <v>87253.073999999993</v>
      </c>
      <c r="N2127" s="6">
        <v>87253.073999999993</v>
      </c>
      <c r="O2127" s="6">
        <v>87253.073999999993</v>
      </c>
      <c r="P2127" s="6">
        <v>114140</v>
      </c>
      <c r="Q2127" s="4" t="s">
        <v>26</v>
      </c>
      <c r="R2127" s="4">
        <v>0</v>
      </c>
      <c r="S2127" s="6">
        <v>0</v>
      </c>
      <c r="T2127" s="6">
        <v>73</v>
      </c>
      <c r="U2127" s="6">
        <v>116</v>
      </c>
      <c r="V2127" s="6">
        <f>IF(ISERROR(VLOOKUP($S$2127,'TAR FIN'!$A$1:$O$120,15,0)),0,VLOOKUP($S$2127,'TAR FIN'!$A$1:$O$120,15,0))</f>
        <v>0</v>
      </c>
      <c r="W2127" s="6">
        <f>IF(ISERROR(VLOOKUP($T$2127,'TAR FIN'!$A$1:$O$120,15,0)),0,VLOOKUP($T$2127,'TAR FIN'!$A$1:$O$120,15,0))</f>
        <v>247.09</v>
      </c>
      <c r="X2127" s="6">
        <f>IF(ISERROR(VLOOKUP($U$2127,'TAR FIN'!$A$1:$O$120,15,0)),0,VLOOKUP($U$2127,'TAR FIN'!$A$1:$O$120,15,0))</f>
        <v>270.92</v>
      </c>
      <c r="Y2127" s="6"/>
      <c r="Z2127" s="6">
        <f ca="1">('TUSD BE'!$AM$83+'TUSD BF'!$AM$83+'TUSD CVA'!$AM$83)*1</f>
        <v>271.87486773292784</v>
      </c>
      <c r="AA2127" s="6">
        <f>('TE BE'!$AA$47+'TE BF'!$AA$47+'TE CVA'!$AA$47)*1</f>
        <v>242.90567551581066</v>
      </c>
      <c r="AB2127" s="6">
        <f>$K$2127*$V$2127</f>
        <v>0</v>
      </c>
      <c r="AC2127" s="6">
        <f>$M$2127*$W$2127</f>
        <v>21559362.05466</v>
      </c>
      <c r="AD2127" s="6">
        <f>$O$2127*$X$2127</f>
        <v>23638602.808079999</v>
      </c>
      <c r="AE2127" s="6">
        <f>$K$2127*$Y$2127</f>
        <v>0</v>
      </c>
      <c r="AF2127" s="6">
        <f ca="1">$M$2127*$Z$2127</f>
        <v>23721917.953041364</v>
      </c>
      <c r="AG2127" s="6">
        <f>$O$2127*$AA$2127</f>
        <v>21194266.880801015</v>
      </c>
    </row>
    <row r="2128" spans="1:33" ht="11.25" customHeight="1" x14ac:dyDescent="0.25">
      <c r="A2128" s="4" t="s">
        <v>27</v>
      </c>
      <c r="B2128" s="4" t="s">
        <v>39</v>
      </c>
      <c r="C2128" s="4" t="s">
        <v>23</v>
      </c>
      <c r="D2128" s="4" t="s">
        <v>42</v>
      </c>
      <c r="E2128" s="4" t="s">
        <v>25</v>
      </c>
      <c r="F2128" s="4" t="s">
        <v>25</v>
      </c>
      <c r="G2128" s="4" t="s">
        <v>25</v>
      </c>
      <c r="H2128" s="4" t="s">
        <v>25</v>
      </c>
      <c r="I2128" s="5">
        <v>43739</v>
      </c>
      <c r="J2128" s="6">
        <v>0</v>
      </c>
      <c r="K2128" s="6">
        <v>0</v>
      </c>
      <c r="L2128" s="6">
        <v>184.732</v>
      </c>
      <c r="M2128" s="6">
        <v>184.732</v>
      </c>
      <c r="N2128" s="6">
        <v>184.732</v>
      </c>
      <c r="O2128" s="6">
        <v>184.732</v>
      </c>
      <c r="P2128" s="6">
        <v>81</v>
      </c>
      <c r="Q2128" s="4" t="s">
        <v>26</v>
      </c>
      <c r="R2128" s="4">
        <v>0</v>
      </c>
      <c r="S2128" s="6">
        <v>0</v>
      </c>
      <c r="T2128" s="6">
        <v>73</v>
      </c>
      <c r="U2128" s="6">
        <v>116</v>
      </c>
      <c r="V2128" s="6">
        <f>IF(ISERROR(VLOOKUP($S$2128,'TAR FIN'!$A$1:$O$120,15,0)),0,VLOOKUP($S$2128,'TAR FIN'!$A$1:$O$120,15,0))</f>
        <v>0</v>
      </c>
      <c r="W2128" s="6">
        <f>IF(ISERROR(VLOOKUP($T$2128,'TAR FIN'!$A$1:$O$120,15,0)),0,VLOOKUP($T$2128,'TAR FIN'!$A$1:$O$120,15,0))</f>
        <v>247.09</v>
      </c>
      <c r="X2128" s="6">
        <f>IF(ISERROR(VLOOKUP($U$2128,'TAR FIN'!$A$1:$O$120,15,0)),0,VLOOKUP($U$2128,'TAR FIN'!$A$1:$O$120,15,0))</f>
        <v>270.92</v>
      </c>
      <c r="Y2128" s="6"/>
      <c r="Z2128" s="6">
        <f ca="1">('TUSD BE'!$AM$83+'TUSD BF'!$AM$83+'TUSD CVA'!$AM$83)*1</f>
        <v>271.87486773292784</v>
      </c>
      <c r="AA2128" s="6">
        <f>('TE BE'!$AA$47+'TE BF'!$AA$47+'TE CVA'!$AA$47)*1</f>
        <v>242.90567551581066</v>
      </c>
      <c r="AB2128" s="6">
        <f>$K$2128*$V$2128</f>
        <v>0</v>
      </c>
      <c r="AC2128" s="6">
        <f>$M$2128*$W$2128</f>
        <v>45645.429880000003</v>
      </c>
      <c r="AD2128" s="6">
        <f>$O$2128*$X$2128</f>
        <v>50047.593440000004</v>
      </c>
      <c r="AE2128" s="6">
        <f>$K$2128*$Y$2128</f>
        <v>0</v>
      </c>
      <c r="AF2128" s="6">
        <f ca="1">$M$2128*$Z$2128</f>
        <v>50223.988066039223</v>
      </c>
      <c r="AG2128" s="6">
        <f>$O$2128*$AA$2128</f>
        <v>44872.451249386737</v>
      </c>
    </row>
    <row r="2129" spans="1:33" ht="11.25" customHeight="1" x14ac:dyDescent="0.25">
      <c r="A2129" s="4" t="s">
        <v>28</v>
      </c>
      <c r="B2129" s="4" t="s">
        <v>39</v>
      </c>
      <c r="C2129" s="4" t="s">
        <v>23</v>
      </c>
      <c r="D2129" s="4" t="s">
        <v>42</v>
      </c>
      <c r="E2129" s="4" t="s">
        <v>25</v>
      </c>
      <c r="F2129" s="4" t="s">
        <v>25</v>
      </c>
      <c r="G2129" s="4" t="s">
        <v>25</v>
      </c>
      <c r="H2129" s="4" t="s">
        <v>25</v>
      </c>
      <c r="I2129" s="5">
        <v>43739</v>
      </c>
      <c r="J2129" s="6">
        <v>0</v>
      </c>
      <c r="K2129" s="6">
        <v>0</v>
      </c>
      <c r="L2129" s="6">
        <v>589.06399999999996</v>
      </c>
      <c r="M2129" s="6">
        <v>589.06399999999996</v>
      </c>
      <c r="N2129" s="6">
        <v>589.06399999999996</v>
      </c>
      <c r="O2129" s="6">
        <v>589.06399999999996</v>
      </c>
      <c r="P2129" s="6">
        <v>131</v>
      </c>
      <c r="Q2129" s="4" t="s">
        <v>26</v>
      </c>
      <c r="R2129" s="4">
        <v>0</v>
      </c>
      <c r="S2129" s="6">
        <v>0</v>
      </c>
      <c r="T2129" s="6">
        <v>73</v>
      </c>
      <c r="U2129" s="6">
        <v>116</v>
      </c>
      <c r="V2129" s="6">
        <f>IF(ISERROR(VLOOKUP($S$2129,'TAR FIN'!$A$1:$O$120,15,0)),0,VLOOKUP($S$2129,'TAR FIN'!$A$1:$O$120,15,0))</f>
        <v>0</v>
      </c>
      <c r="W2129" s="6">
        <f>IF(ISERROR(VLOOKUP($T$2129,'TAR FIN'!$A$1:$O$120,15,0)),0,VLOOKUP($T$2129,'TAR FIN'!$A$1:$O$120,15,0))</f>
        <v>247.09</v>
      </c>
      <c r="X2129" s="6">
        <f>IF(ISERROR(VLOOKUP($U$2129,'TAR FIN'!$A$1:$O$120,15,0)),0,VLOOKUP($U$2129,'TAR FIN'!$A$1:$O$120,15,0))</f>
        <v>270.92</v>
      </c>
      <c r="Y2129" s="6"/>
      <c r="Z2129" s="6">
        <f ca="1">('TUSD BE'!$AM$83+'TUSD BF'!$AM$83+'TUSD CVA'!$AM$83)*1</f>
        <v>271.87486773292784</v>
      </c>
      <c r="AA2129" s="6">
        <f>('TE BE'!$AA$47+'TE BF'!$AA$47+'TE CVA'!$AA$47)*1</f>
        <v>242.90567551581066</v>
      </c>
      <c r="AB2129" s="6">
        <f>$K$2129*$V$2129</f>
        <v>0</v>
      </c>
      <c r="AC2129" s="6">
        <f>$M$2129*$W$2129</f>
        <v>145551.82376</v>
      </c>
      <c r="AD2129" s="6">
        <f>$O$2129*$X$2129</f>
        <v>159589.21888</v>
      </c>
      <c r="AE2129" s="6">
        <f>$K$2129*$Y$2129</f>
        <v>0</v>
      </c>
      <c r="AF2129" s="6">
        <f ca="1">$M$2129*$Z$2129</f>
        <v>160151.6970862294</v>
      </c>
      <c r="AG2129" s="6">
        <f>$O$2129*$AA$2129</f>
        <v>143086.98884204548</v>
      </c>
    </row>
    <row r="2130" spans="1:33" ht="11.25" customHeight="1" x14ac:dyDescent="0.25">
      <c r="A2130" s="4" t="s">
        <v>28</v>
      </c>
      <c r="B2130" s="4" t="s">
        <v>39</v>
      </c>
      <c r="C2130" s="4" t="s">
        <v>23</v>
      </c>
      <c r="D2130" s="4" t="s">
        <v>42</v>
      </c>
      <c r="E2130" s="4" t="s">
        <v>25</v>
      </c>
      <c r="F2130" s="4" t="s">
        <v>25</v>
      </c>
      <c r="G2130" s="4" t="s">
        <v>25</v>
      </c>
      <c r="H2130" s="4" t="s">
        <v>25</v>
      </c>
      <c r="I2130" s="5">
        <v>43739</v>
      </c>
      <c r="J2130" s="6">
        <v>0</v>
      </c>
      <c r="K2130" s="6">
        <v>0</v>
      </c>
      <c r="L2130" s="6">
        <v>4.4370000000000003</v>
      </c>
      <c r="M2130" s="6">
        <v>4.4370000000000003</v>
      </c>
      <c r="N2130" s="6">
        <v>4.4370000000000003</v>
      </c>
      <c r="O2130" s="6">
        <v>4.4370000000000003</v>
      </c>
      <c r="P2130" s="6">
        <v>1</v>
      </c>
      <c r="Q2130" s="4" t="s">
        <v>26</v>
      </c>
      <c r="R2130" s="4">
        <v>0</v>
      </c>
      <c r="S2130" s="6">
        <v>0</v>
      </c>
      <c r="T2130" s="6">
        <v>73</v>
      </c>
      <c r="U2130" s="6">
        <v>116</v>
      </c>
      <c r="V2130" s="6">
        <f>IF(ISERROR(VLOOKUP($S$2130,'TAR FIN'!$A$1:$O$120,15,0)),0,VLOOKUP($S$2130,'TAR FIN'!$A$1:$O$120,15,0))</f>
        <v>0</v>
      </c>
      <c r="W2130" s="6">
        <f>IF(ISERROR(VLOOKUP($T$2130,'TAR FIN'!$A$1:$O$120,15,0)),0,VLOOKUP($T$2130,'TAR FIN'!$A$1:$O$120,15,0))</f>
        <v>247.09</v>
      </c>
      <c r="X2130" s="6">
        <f>IF(ISERROR(VLOOKUP($U$2130,'TAR FIN'!$A$1:$O$120,15,0)),0,VLOOKUP($U$2130,'TAR FIN'!$A$1:$O$120,15,0))</f>
        <v>270.92</v>
      </c>
      <c r="Y2130" s="6"/>
      <c r="Z2130" s="6">
        <f ca="1">('TUSD BE'!$AM$83+'TUSD BF'!$AM$83+'TUSD CVA'!$AM$83)*1</f>
        <v>271.87486773292784</v>
      </c>
      <c r="AA2130" s="6">
        <f>('TE BE'!$AA$47+'TE BF'!$AA$47+'TE CVA'!$AA$47)*1</f>
        <v>242.90567551581066</v>
      </c>
      <c r="AB2130" s="6">
        <f>$K$2130*$V$2130</f>
        <v>0</v>
      </c>
      <c r="AC2130" s="6">
        <f>$M$2130*$W$2130</f>
        <v>1096.33833</v>
      </c>
      <c r="AD2130" s="6">
        <f>$O$2130*$X$2130</f>
        <v>1202.0720400000002</v>
      </c>
      <c r="AE2130" s="6">
        <f>$K$2130*$Y$2130</f>
        <v>0</v>
      </c>
      <c r="AF2130" s="6">
        <f ca="1">$M$2130*$Z$2130</f>
        <v>1206.3087881310009</v>
      </c>
      <c r="AG2130" s="6">
        <f>$O$2130*$AA$2130</f>
        <v>1077.7724822636519</v>
      </c>
    </row>
    <row r="2131" spans="1:33" ht="11.25" customHeight="1" x14ac:dyDescent="0.25">
      <c r="A2131" s="4" t="s">
        <v>21</v>
      </c>
      <c r="B2131" s="4" t="s">
        <v>39</v>
      </c>
      <c r="C2131" s="4" t="s">
        <v>23</v>
      </c>
      <c r="D2131" s="4" t="s">
        <v>42</v>
      </c>
      <c r="E2131" s="4" t="s">
        <v>25</v>
      </c>
      <c r="F2131" s="4" t="s">
        <v>25</v>
      </c>
      <c r="G2131" s="4" t="s">
        <v>25</v>
      </c>
      <c r="H2131" s="4" t="s">
        <v>25</v>
      </c>
      <c r="I2131" s="5">
        <v>43770</v>
      </c>
      <c r="J2131" s="6">
        <v>0</v>
      </c>
      <c r="K2131" s="6">
        <v>0</v>
      </c>
      <c r="L2131" s="6">
        <v>93633.592999999993</v>
      </c>
      <c r="M2131" s="6">
        <v>93633.592999999993</v>
      </c>
      <c r="N2131" s="6">
        <v>93633.592999999993</v>
      </c>
      <c r="O2131" s="6">
        <v>93633.592999999993</v>
      </c>
      <c r="P2131" s="6">
        <v>113136</v>
      </c>
      <c r="Q2131" s="4" t="s">
        <v>26</v>
      </c>
      <c r="R2131" s="4">
        <v>0</v>
      </c>
      <c r="S2131" s="6">
        <v>0</v>
      </c>
      <c r="T2131" s="6">
        <v>73</v>
      </c>
      <c r="U2131" s="6">
        <v>116</v>
      </c>
      <c r="V2131" s="6">
        <f>IF(ISERROR(VLOOKUP($S$2131,'TAR FIN'!$A$1:$O$120,15,0)),0,VLOOKUP($S$2131,'TAR FIN'!$A$1:$O$120,15,0))</f>
        <v>0</v>
      </c>
      <c r="W2131" s="6">
        <f>IF(ISERROR(VLOOKUP($T$2131,'TAR FIN'!$A$1:$O$120,15,0)),0,VLOOKUP($T$2131,'TAR FIN'!$A$1:$O$120,15,0))</f>
        <v>247.09</v>
      </c>
      <c r="X2131" s="6">
        <f>IF(ISERROR(VLOOKUP($U$2131,'TAR FIN'!$A$1:$O$120,15,0)),0,VLOOKUP($U$2131,'TAR FIN'!$A$1:$O$120,15,0))</f>
        <v>270.92</v>
      </c>
      <c r="Y2131" s="6"/>
      <c r="Z2131" s="6">
        <f ca="1">('TUSD BE'!$AM$83+'TUSD BF'!$AM$83+'TUSD CVA'!$AM$83)*1</f>
        <v>271.87486773292784</v>
      </c>
      <c r="AA2131" s="6">
        <f>('TE BE'!$AA$47+'TE BF'!$AA$47+'TE CVA'!$AA$47)*1</f>
        <v>242.90567551581066</v>
      </c>
      <c r="AB2131" s="6">
        <f>$K$2131*$V$2131</f>
        <v>0</v>
      </c>
      <c r="AC2131" s="6">
        <f>$M$2131*$W$2131</f>
        <v>23135924.494369999</v>
      </c>
      <c r="AD2131" s="6">
        <f>$O$2131*$X$2131</f>
        <v>25367213.015560001</v>
      </c>
      <c r="AE2131" s="6">
        <f>$K$2131*$Y$2131</f>
        <v>0</v>
      </c>
      <c r="AF2131" s="6">
        <f ca="1">$M$2131*$Z$2131</f>
        <v>25456620.712233797</v>
      </c>
      <c r="AG2131" s="6">
        <f>$O$2131*$AA$2131</f>
        <v>22744131.158637479</v>
      </c>
    </row>
    <row r="2132" spans="1:33" ht="11.25" customHeight="1" x14ac:dyDescent="0.25">
      <c r="A2132" s="4" t="s">
        <v>27</v>
      </c>
      <c r="B2132" s="4" t="s">
        <v>39</v>
      </c>
      <c r="C2132" s="4" t="s">
        <v>23</v>
      </c>
      <c r="D2132" s="4" t="s">
        <v>42</v>
      </c>
      <c r="E2132" s="4" t="s">
        <v>25</v>
      </c>
      <c r="F2132" s="4" t="s">
        <v>25</v>
      </c>
      <c r="G2132" s="4" t="s">
        <v>25</v>
      </c>
      <c r="H2132" s="4" t="s">
        <v>25</v>
      </c>
      <c r="I2132" s="5">
        <v>43770</v>
      </c>
      <c r="J2132" s="6">
        <v>0</v>
      </c>
      <c r="K2132" s="6">
        <v>0</v>
      </c>
      <c r="L2132" s="6">
        <v>321.28699999999998</v>
      </c>
      <c r="M2132" s="6">
        <v>321.28699999999998</v>
      </c>
      <c r="N2132" s="6">
        <v>321.28699999999998</v>
      </c>
      <c r="O2132" s="6">
        <v>321.28699999999998</v>
      </c>
      <c r="P2132" s="6">
        <v>63</v>
      </c>
      <c r="Q2132" s="4" t="s">
        <v>26</v>
      </c>
      <c r="R2132" s="4">
        <v>0</v>
      </c>
      <c r="S2132" s="6">
        <v>0</v>
      </c>
      <c r="T2132" s="6">
        <v>73</v>
      </c>
      <c r="U2132" s="6">
        <v>116</v>
      </c>
      <c r="V2132" s="6">
        <f>IF(ISERROR(VLOOKUP($S$2132,'TAR FIN'!$A$1:$O$120,15,0)),0,VLOOKUP($S$2132,'TAR FIN'!$A$1:$O$120,15,0))</f>
        <v>0</v>
      </c>
      <c r="W2132" s="6">
        <f>IF(ISERROR(VLOOKUP($T$2132,'TAR FIN'!$A$1:$O$120,15,0)),0,VLOOKUP($T$2132,'TAR FIN'!$A$1:$O$120,15,0))</f>
        <v>247.09</v>
      </c>
      <c r="X2132" s="6">
        <f>IF(ISERROR(VLOOKUP($U$2132,'TAR FIN'!$A$1:$O$120,15,0)),0,VLOOKUP($U$2132,'TAR FIN'!$A$1:$O$120,15,0))</f>
        <v>270.92</v>
      </c>
      <c r="Y2132" s="6"/>
      <c r="Z2132" s="6">
        <f ca="1">('TUSD BE'!$AM$83+'TUSD BF'!$AM$83+'TUSD CVA'!$AM$83)*1</f>
        <v>271.87486773292784</v>
      </c>
      <c r="AA2132" s="6">
        <f>('TE BE'!$AA$47+'TE BF'!$AA$47+'TE CVA'!$AA$47)*1</f>
        <v>242.90567551581066</v>
      </c>
      <c r="AB2132" s="6">
        <f>$K$2132*$V$2132</f>
        <v>0</v>
      </c>
      <c r="AC2132" s="6">
        <f>$M$2132*$W$2132</f>
        <v>79386.804829999994</v>
      </c>
      <c r="AD2132" s="6">
        <f>$O$2132*$X$2132</f>
        <v>87043.074039999992</v>
      </c>
      <c r="AE2132" s="6">
        <f>$K$2132*$Y$2132</f>
        <v>0</v>
      </c>
      <c r="AF2132" s="6">
        <f ca="1">$M$2132*$Z$2132</f>
        <v>87349.860629309187</v>
      </c>
      <c r="AG2132" s="6">
        <f>$O$2132*$AA$2132</f>
        <v>78042.435769448246</v>
      </c>
    </row>
    <row r="2133" spans="1:33" ht="11.25" customHeight="1" x14ac:dyDescent="0.25">
      <c r="A2133" s="4" t="s">
        <v>28</v>
      </c>
      <c r="B2133" s="4" t="s">
        <v>39</v>
      </c>
      <c r="C2133" s="4" t="s">
        <v>23</v>
      </c>
      <c r="D2133" s="4" t="s">
        <v>42</v>
      </c>
      <c r="E2133" s="4" t="s">
        <v>25</v>
      </c>
      <c r="F2133" s="4" t="s">
        <v>25</v>
      </c>
      <c r="G2133" s="4" t="s">
        <v>25</v>
      </c>
      <c r="H2133" s="4" t="s">
        <v>25</v>
      </c>
      <c r="I2133" s="5">
        <v>43770</v>
      </c>
      <c r="J2133" s="6">
        <v>0</v>
      </c>
      <c r="K2133" s="6">
        <v>0</v>
      </c>
      <c r="L2133" s="6">
        <v>592.30700000000002</v>
      </c>
      <c r="M2133" s="6">
        <v>592.30700000000002</v>
      </c>
      <c r="N2133" s="6">
        <v>592.30700000000002</v>
      </c>
      <c r="O2133" s="6">
        <v>592.30700000000002</v>
      </c>
      <c r="P2133" s="6">
        <v>131</v>
      </c>
      <c r="Q2133" s="4" t="s">
        <v>26</v>
      </c>
      <c r="R2133" s="4">
        <v>0</v>
      </c>
      <c r="S2133" s="6">
        <v>0</v>
      </c>
      <c r="T2133" s="6">
        <v>73</v>
      </c>
      <c r="U2133" s="6">
        <v>116</v>
      </c>
      <c r="V2133" s="6">
        <f>IF(ISERROR(VLOOKUP($S$2133,'TAR FIN'!$A$1:$O$120,15,0)),0,VLOOKUP($S$2133,'TAR FIN'!$A$1:$O$120,15,0))</f>
        <v>0</v>
      </c>
      <c r="W2133" s="6">
        <f>IF(ISERROR(VLOOKUP($T$2133,'TAR FIN'!$A$1:$O$120,15,0)),0,VLOOKUP($T$2133,'TAR FIN'!$A$1:$O$120,15,0))</f>
        <v>247.09</v>
      </c>
      <c r="X2133" s="6">
        <f>IF(ISERROR(VLOOKUP($U$2133,'TAR FIN'!$A$1:$O$120,15,0)),0,VLOOKUP($U$2133,'TAR FIN'!$A$1:$O$120,15,0))</f>
        <v>270.92</v>
      </c>
      <c r="Y2133" s="6"/>
      <c r="Z2133" s="6">
        <f ca="1">('TUSD BE'!$AM$83+'TUSD BF'!$AM$83+'TUSD CVA'!$AM$83)*1</f>
        <v>271.87486773292784</v>
      </c>
      <c r="AA2133" s="6">
        <f>('TE BE'!$AA$47+'TE BF'!$AA$47+'TE CVA'!$AA$47)*1</f>
        <v>242.90567551581066</v>
      </c>
      <c r="AB2133" s="6">
        <f>$K$2133*$V$2133</f>
        <v>0</v>
      </c>
      <c r="AC2133" s="6">
        <f>$M$2133*$W$2133</f>
        <v>146353.13662999999</v>
      </c>
      <c r="AD2133" s="6">
        <f>$O$2133*$X$2133</f>
        <v>160467.81244000001</v>
      </c>
      <c r="AE2133" s="6">
        <f>$K$2133*$Y$2133</f>
        <v>0</v>
      </c>
      <c r="AF2133" s="6">
        <f ca="1">$M$2133*$Z$2133</f>
        <v>161033.38728228729</v>
      </c>
      <c r="AG2133" s="6">
        <f>$O$2133*$AA$2133</f>
        <v>143874.73194774328</v>
      </c>
    </row>
    <row r="2134" spans="1:33" ht="11.25" customHeight="1" x14ac:dyDescent="0.25">
      <c r="A2134" s="4" t="s">
        <v>28</v>
      </c>
      <c r="B2134" s="4" t="s">
        <v>39</v>
      </c>
      <c r="C2134" s="4" t="s">
        <v>23</v>
      </c>
      <c r="D2134" s="4" t="s">
        <v>42</v>
      </c>
      <c r="E2134" s="4" t="s">
        <v>25</v>
      </c>
      <c r="F2134" s="4" t="s">
        <v>25</v>
      </c>
      <c r="G2134" s="4" t="s">
        <v>25</v>
      </c>
      <c r="H2134" s="4" t="s">
        <v>25</v>
      </c>
      <c r="I2134" s="5">
        <v>43770</v>
      </c>
      <c r="J2134" s="6">
        <v>0</v>
      </c>
      <c r="K2134" s="6">
        <v>0</v>
      </c>
      <c r="L2134" s="6">
        <v>9.3580000000000005</v>
      </c>
      <c r="M2134" s="6">
        <v>9.3580000000000005</v>
      </c>
      <c r="N2134" s="6">
        <v>9.3580000000000005</v>
      </c>
      <c r="O2134" s="6">
        <v>9.3580000000000005</v>
      </c>
      <c r="P2134" s="6">
        <v>0</v>
      </c>
      <c r="Q2134" s="4" t="s">
        <v>26</v>
      </c>
      <c r="R2134" s="4">
        <v>0</v>
      </c>
      <c r="S2134" s="6">
        <v>0</v>
      </c>
      <c r="T2134" s="6">
        <v>73</v>
      </c>
      <c r="U2134" s="6">
        <v>116</v>
      </c>
      <c r="V2134" s="6">
        <f>IF(ISERROR(VLOOKUP($S$2134,'TAR FIN'!$A$1:$O$120,15,0)),0,VLOOKUP($S$2134,'TAR FIN'!$A$1:$O$120,15,0))</f>
        <v>0</v>
      </c>
      <c r="W2134" s="6">
        <f>IF(ISERROR(VLOOKUP($T$2134,'TAR FIN'!$A$1:$O$120,15,0)),0,VLOOKUP($T$2134,'TAR FIN'!$A$1:$O$120,15,0))</f>
        <v>247.09</v>
      </c>
      <c r="X2134" s="6">
        <f>IF(ISERROR(VLOOKUP($U$2134,'TAR FIN'!$A$1:$O$120,15,0)),0,VLOOKUP($U$2134,'TAR FIN'!$A$1:$O$120,15,0))</f>
        <v>270.92</v>
      </c>
      <c r="Y2134" s="6"/>
      <c r="Z2134" s="6">
        <f ca="1">('TUSD BE'!$AM$83+'TUSD BF'!$AM$83+'TUSD CVA'!$AM$83)*1</f>
        <v>271.87486773292784</v>
      </c>
      <c r="AA2134" s="6">
        <f>('TE BE'!$AA$47+'TE BF'!$AA$47+'TE CVA'!$AA$47)*1</f>
        <v>242.90567551581066</v>
      </c>
      <c r="AB2134" s="6">
        <f>$K$2134*$V$2134</f>
        <v>0</v>
      </c>
      <c r="AC2134" s="6">
        <f>$M$2134*$W$2134</f>
        <v>2312.2682200000004</v>
      </c>
      <c r="AD2134" s="6">
        <f>$O$2134*$X$2134</f>
        <v>2535.2693600000002</v>
      </c>
      <c r="AE2134" s="6">
        <f>$K$2134*$Y$2134</f>
        <v>0</v>
      </c>
      <c r="AF2134" s="6">
        <f ca="1">$M$2134*$Z$2134</f>
        <v>2544.205012244739</v>
      </c>
      <c r="AG2134" s="6">
        <f>$O$2134*$AA$2134</f>
        <v>2273.1113114769564</v>
      </c>
    </row>
    <row r="2135" spans="1:33" ht="11.25" customHeight="1" x14ac:dyDescent="0.25">
      <c r="A2135" s="4" t="s">
        <v>21</v>
      </c>
      <c r="B2135" s="4" t="s">
        <v>39</v>
      </c>
      <c r="C2135" s="4" t="s">
        <v>23</v>
      </c>
      <c r="D2135" s="4" t="s">
        <v>42</v>
      </c>
      <c r="E2135" s="4" t="s">
        <v>25</v>
      </c>
      <c r="F2135" s="4" t="s">
        <v>25</v>
      </c>
      <c r="G2135" s="4" t="s">
        <v>25</v>
      </c>
      <c r="H2135" s="4" t="s">
        <v>25</v>
      </c>
      <c r="I2135" s="5">
        <v>43800</v>
      </c>
      <c r="J2135" s="6">
        <v>0</v>
      </c>
      <c r="K2135" s="6">
        <v>0</v>
      </c>
      <c r="L2135" s="6">
        <v>82355.460999999996</v>
      </c>
      <c r="M2135" s="6">
        <v>82355.460999999996</v>
      </c>
      <c r="N2135" s="6">
        <v>82355.460999999996</v>
      </c>
      <c r="O2135" s="6">
        <v>82355.460999999996</v>
      </c>
      <c r="P2135" s="6">
        <v>113611</v>
      </c>
      <c r="Q2135" s="4" t="s">
        <v>26</v>
      </c>
      <c r="R2135" s="4">
        <v>0</v>
      </c>
      <c r="S2135" s="6">
        <v>0</v>
      </c>
      <c r="T2135" s="6">
        <v>73</v>
      </c>
      <c r="U2135" s="6">
        <v>116</v>
      </c>
      <c r="V2135" s="6">
        <f>IF(ISERROR(VLOOKUP($S$2135,'TAR FIN'!$A$1:$O$120,15,0)),0,VLOOKUP($S$2135,'TAR FIN'!$A$1:$O$120,15,0))</f>
        <v>0</v>
      </c>
      <c r="W2135" s="6">
        <f>IF(ISERROR(VLOOKUP($T$2135,'TAR FIN'!$A$1:$O$120,15,0)),0,VLOOKUP($T$2135,'TAR FIN'!$A$1:$O$120,15,0))</f>
        <v>247.09</v>
      </c>
      <c r="X2135" s="6">
        <f>IF(ISERROR(VLOOKUP($U$2135,'TAR FIN'!$A$1:$O$120,15,0)),0,VLOOKUP($U$2135,'TAR FIN'!$A$1:$O$120,15,0))</f>
        <v>270.92</v>
      </c>
      <c r="Y2135" s="6"/>
      <c r="Z2135" s="6">
        <f ca="1">('TUSD BE'!$AM$83+'TUSD BF'!$AM$83+'TUSD CVA'!$AM$83)*1</f>
        <v>271.87486773292784</v>
      </c>
      <c r="AA2135" s="6">
        <f>('TE BE'!$AA$47+'TE BF'!$AA$47+'TE CVA'!$AA$47)*1</f>
        <v>242.90567551581066</v>
      </c>
      <c r="AB2135" s="6">
        <f>$K$2135*$V$2135</f>
        <v>0</v>
      </c>
      <c r="AC2135" s="6">
        <f>$M$2135*$W$2135</f>
        <v>20349210.858489998</v>
      </c>
      <c r="AD2135" s="6">
        <f>$O$2135*$X$2135</f>
        <v>22311741.494120002</v>
      </c>
      <c r="AE2135" s="6">
        <f>$K$2135*$Y$2135</f>
        <v>0</v>
      </c>
      <c r="AF2135" s="6">
        <f ca="1">$M$2135*$Z$2135</f>
        <v>22390380.066459294</v>
      </c>
      <c r="AG2135" s="6">
        <f>$O$2135*$AA$2135</f>
        <v>20004608.886620998</v>
      </c>
    </row>
    <row r="2136" spans="1:33" ht="11.25" customHeight="1" x14ac:dyDescent="0.25">
      <c r="A2136" s="4" t="s">
        <v>27</v>
      </c>
      <c r="B2136" s="4" t="s">
        <v>39</v>
      </c>
      <c r="C2136" s="4" t="s">
        <v>23</v>
      </c>
      <c r="D2136" s="4" t="s">
        <v>42</v>
      </c>
      <c r="E2136" s="4" t="s">
        <v>25</v>
      </c>
      <c r="F2136" s="4" t="s">
        <v>25</v>
      </c>
      <c r="G2136" s="4" t="s">
        <v>25</v>
      </c>
      <c r="H2136" s="4" t="s">
        <v>25</v>
      </c>
      <c r="I2136" s="5">
        <v>43800</v>
      </c>
      <c r="J2136" s="6">
        <v>0</v>
      </c>
      <c r="K2136" s="6">
        <v>0</v>
      </c>
      <c r="L2136" s="6">
        <v>297.13499999999999</v>
      </c>
      <c r="M2136" s="6">
        <v>297.13499999999999</v>
      </c>
      <c r="N2136" s="6">
        <v>297.13499999999999</v>
      </c>
      <c r="O2136" s="6">
        <v>297.13499999999999</v>
      </c>
      <c r="P2136" s="6">
        <v>57</v>
      </c>
      <c r="Q2136" s="4" t="s">
        <v>26</v>
      </c>
      <c r="R2136" s="4">
        <v>0</v>
      </c>
      <c r="S2136" s="6">
        <v>0</v>
      </c>
      <c r="T2136" s="6">
        <v>73</v>
      </c>
      <c r="U2136" s="6">
        <v>116</v>
      </c>
      <c r="V2136" s="6">
        <f>IF(ISERROR(VLOOKUP($S$2136,'TAR FIN'!$A$1:$O$120,15,0)),0,VLOOKUP($S$2136,'TAR FIN'!$A$1:$O$120,15,0))</f>
        <v>0</v>
      </c>
      <c r="W2136" s="6">
        <f>IF(ISERROR(VLOOKUP($T$2136,'TAR FIN'!$A$1:$O$120,15,0)),0,VLOOKUP($T$2136,'TAR FIN'!$A$1:$O$120,15,0))</f>
        <v>247.09</v>
      </c>
      <c r="X2136" s="6">
        <f>IF(ISERROR(VLOOKUP($U$2136,'TAR FIN'!$A$1:$O$120,15,0)),0,VLOOKUP($U$2136,'TAR FIN'!$A$1:$O$120,15,0))</f>
        <v>270.92</v>
      </c>
      <c r="Y2136" s="6"/>
      <c r="Z2136" s="6">
        <f ca="1">('TUSD BE'!$AM$83+'TUSD BF'!$AM$83+'TUSD CVA'!$AM$83)*1</f>
        <v>271.87486773292784</v>
      </c>
      <c r="AA2136" s="6">
        <f>('TE BE'!$AA$47+'TE BF'!$AA$47+'TE CVA'!$AA$47)*1</f>
        <v>242.90567551581066</v>
      </c>
      <c r="AB2136" s="6">
        <f>$K$2136*$V$2136</f>
        <v>0</v>
      </c>
      <c r="AC2136" s="6">
        <f>$M$2136*$W$2136</f>
        <v>73419.087149999992</v>
      </c>
      <c r="AD2136" s="6">
        <f>$O$2136*$X$2136</f>
        <v>80499.814200000008</v>
      </c>
      <c r="AE2136" s="6">
        <f>$K$2136*$Y$2136</f>
        <v>0</v>
      </c>
      <c r="AF2136" s="6">
        <f ca="1">$M$2136*$Z$2136</f>
        <v>80783.538823823517</v>
      </c>
      <c r="AG2136" s="6">
        <f>$O$2136*$AA$2136</f>
        <v>72175.777894390398</v>
      </c>
    </row>
    <row r="2137" spans="1:33" ht="11.25" customHeight="1" x14ac:dyDescent="0.25">
      <c r="A2137" s="4" t="s">
        <v>28</v>
      </c>
      <c r="B2137" s="4" t="s">
        <v>39</v>
      </c>
      <c r="C2137" s="4" t="s">
        <v>23</v>
      </c>
      <c r="D2137" s="4" t="s">
        <v>42</v>
      </c>
      <c r="E2137" s="4" t="s">
        <v>25</v>
      </c>
      <c r="F2137" s="4" t="s">
        <v>25</v>
      </c>
      <c r="G2137" s="4" t="s">
        <v>25</v>
      </c>
      <c r="H2137" s="4" t="s">
        <v>25</v>
      </c>
      <c r="I2137" s="5">
        <v>43800</v>
      </c>
      <c r="J2137" s="6">
        <v>0</v>
      </c>
      <c r="K2137" s="6">
        <v>0</v>
      </c>
      <c r="L2137" s="6">
        <v>411.87299999999999</v>
      </c>
      <c r="M2137" s="6">
        <v>411.87299999999999</v>
      </c>
      <c r="N2137" s="6">
        <v>411.87299999999999</v>
      </c>
      <c r="O2137" s="6">
        <v>411.87299999999999</v>
      </c>
      <c r="P2137" s="6">
        <v>134</v>
      </c>
      <c r="Q2137" s="4" t="s">
        <v>26</v>
      </c>
      <c r="R2137" s="4">
        <v>0</v>
      </c>
      <c r="S2137" s="6">
        <v>0</v>
      </c>
      <c r="T2137" s="6">
        <v>73</v>
      </c>
      <c r="U2137" s="6">
        <v>116</v>
      </c>
      <c r="V2137" s="6">
        <f>IF(ISERROR(VLOOKUP($S$2137,'TAR FIN'!$A$1:$O$120,15,0)),0,VLOOKUP($S$2137,'TAR FIN'!$A$1:$O$120,15,0))</f>
        <v>0</v>
      </c>
      <c r="W2137" s="6">
        <f>IF(ISERROR(VLOOKUP($T$2137,'TAR FIN'!$A$1:$O$120,15,0)),0,VLOOKUP($T$2137,'TAR FIN'!$A$1:$O$120,15,0))</f>
        <v>247.09</v>
      </c>
      <c r="X2137" s="6">
        <f>IF(ISERROR(VLOOKUP($U$2137,'TAR FIN'!$A$1:$O$120,15,0)),0,VLOOKUP($U$2137,'TAR FIN'!$A$1:$O$120,15,0))</f>
        <v>270.92</v>
      </c>
      <c r="Y2137" s="6"/>
      <c r="Z2137" s="6">
        <f ca="1">('TUSD BE'!$AM$83+'TUSD BF'!$AM$83+'TUSD CVA'!$AM$83)*1</f>
        <v>271.87486773292784</v>
      </c>
      <c r="AA2137" s="6">
        <f>('TE BE'!$AA$47+'TE BF'!$AA$47+'TE CVA'!$AA$47)*1</f>
        <v>242.90567551581066</v>
      </c>
      <c r="AB2137" s="6">
        <f>$K$2137*$V$2137</f>
        <v>0</v>
      </c>
      <c r="AC2137" s="6">
        <f>$M$2137*$W$2137</f>
        <v>101769.69957</v>
      </c>
      <c r="AD2137" s="6">
        <f>$O$2137*$X$2137</f>
        <v>111584.63316</v>
      </c>
      <c r="AE2137" s="6">
        <f>$K$2137*$Y$2137</f>
        <v>0</v>
      </c>
      <c r="AF2137" s="6">
        <f ca="1">$M$2137*$Z$2137</f>
        <v>111977.91739776419</v>
      </c>
      <c r="AG2137" s="6">
        <f>$O$2137*$AA$2137</f>
        <v>100046.28929172349</v>
      </c>
    </row>
    <row r="2138" spans="1:33" ht="11.25" customHeight="1" x14ac:dyDescent="0.25">
      <c r="A2138" s="4" t="s">
        <v>21</v>
      </c>
      <c r="B2138" s="4" t="s">
        <v>39</v>
      </c>
      <c r="C2138" s="4" t="s">
        <v>23</v>
      </c>
      <c r="D2138" s="4" t="s">
        <v>42</v>
      </c>
      <c r="E2138" s="4" t="s">
        <v>25</v>
      </c>
      <c r="F2138" s="4" t="s">
        <v>25</v>
      </c>
      <c r="G2138" s="4" t="s">
        <v>25</v>
      </c>
      <c r="H2138" s="4" t="s">
        <v>25</v>
      </c>
      <c r="I2138" s="5">
        <v>43831</v>
      </c>
      <c r="J2138" s="6">
        <v>0</v>
      </c>
      <c r="K2138" s="6">
        <v>0</v>
      </c>
      <c r="L2138" s="6">
        <v>84487.290999999997</v>
      </c>
      <c r="M2138" s="6">
        <v>84487.290999999997</v>
      </c>
      <c r="N2138" s="6">
        <v>84487.290999999997</v>
      </c>
      <c r="O2138" s="6">
        <v>84487.290999999997</v>
      </c>
      <c r="P2138" s="6">
        <v>113432</v>
      </c>
      <c r="Q2138" s="4" t="s">
        <v>26</v>
      </c>
      <c r="R2138" s="4">
        <v>0</v>
      </c>
      <c r="S2138" s="6">
        <v>0</v>
      </c>
      <c r="T2138" s="6">
        <v>73</v>
      </c>
      <c r="U2138" s="6">
        <v>116</v>
      </c>
      <c r="V2138" s="6">
        <f>IF(ISERROR(VLOOKUP($S$2138,'TAR FIN'!$A$1:$O$120,15,0)),0,VLOOKUP($S$2138,'TAR FIN'!$A$1:$O$120,15,0))</f>
        <v>0</v>
      </c>
      <c r="W2138" s="6">
        <f>IF(ISERROR(VLOOKUP($T$2138,'TAR FIN'!$A$1:$O$120,15,0)),0,VLOOKUP($T$2138,'TAR FIN'!$A$1:$O$120,15,0))</f>
        <v>247.09</v>
      </c>
      <c r="X2138" s="6">
        <f>IF(ISERROR(VLOOKUP($U$2138,'TAR FIN'!$A$1:$O$120,15,0)),0,VLOOKUP($U$2138,'TAR FIN'!$A$1:$O$120,15,0))</f>
        <v>270.92</v>
      </c>
      <c r="Y2138" s="6"/>
      <c r="Z2138" s="6">
        <f ca="1">('TUSD BE'!$AM$83+'TUSD BF'!$AM$83+'TUSD CVA'!$AM$83)*1</f>
        <v>271.87486773292784</v>
      </c>
      <c r="AA2138" s="6">
        <f>('TE BE'!$AA$47+'TE BF'!$AA$47+'TE CVA'!$AA$47)*1</f>
        <v>242.90567551581066</v>
      </c>
      <c r="AB2138" s="6">
        <f>$K$2138*$V$2138</f>
        <v>0</v>
      </c>
      <c r="AC2138" s="6">
        <f>$M$2138*$W$2138</f>
        <v>20875964.73319</v>
      </c>
      <c r="AD2138" s="6">
        <f>$O$2138*$X$2138</f>
        <v>22889296.877720002</v>
      </c>
      <c r="AE2138" s="6">
        <f>$K$2138*$Y$2138</f>
        <v>0</v>
      </c>
      <c r="AF2138" s="6">
        <f ca="1">$M$2138*$Z$2138</f>
        <v>22969971.065738384</v>
      </c>
      <c r="AG2138" s="6">
        <f>$O$2138*$AA$2138</f>
        <v>20522442.492855869</v>
      </c>
    </row>
    <row r="2139" spans="1:33" ht="11.25" customHeight="1" x14ac:dyDescent="0.25">
      <c r="A2139" s="4" t="s">
        <v>27</v>
      </c>
      <c r="B2139" s="4" t="s">
        <v>39</v>
      </c>
      <c r="C2139" s="4" t="s">
        <v>23</v>
      </c>
      <c r="D2139" s="4" t="s">
        <v>42</v>
      </c>
      <c r="E2139" s="4" t="s">
        <v>25</v>
      </c>
      <c r="F2139" s="4" t="s">
        <v>25</v>
      </c>
      <c r="G2139" s="4" t="s">
        <v>25</v>
      </c>
      <c r="H2139" s="4" t="s">
        <v>25</v>
      </c>
      <c r="I2139" s="5">
        <v>43831</v>
      </c>
      <c r="J2139" s="6">
        <v>0</v>
      </c>
      <c r="K2139" s="6">
        <v>0</v>
      </c>
      <c r="L2139" s="6">
        <v>223.54599999999999</v>
      </c>
      <c r="M2139" s="6">
        <v>223.54599999999999</v>
      </c>
      <c r="N2139" s="6">
        <v>223.54599999999999</v>
      </c>
      <c r="O2139" s="6">
        <v>223.54599999999999</v>
      </c>
      <c r="P2139" s="6">
        <v>79</v>
      </c>
      <c r="Q2139" s="4" t="s">
        <v>26</v>
      </c>
      <c r="R2139" s="4">
        <v>0</v>
      </c>
      <c r="S2139" s="6">
        <v>0</v>
      </c>
      <c r="T2139" s="6">
        <v>73</v>
      </c>
      <c r="U2139" s="6">
        <v>116</v>
      </c>
      <c r="V2139" s="6">
        <f>IF(ISERROR(VLOOKUP($S$2139,'TAR FIN'!$A$1:$O$120,15,0)),0,VLOOKUP($S$2139,'TAR FIN'!$A$1:$O$120,15,0))</f>
        <v>0</v>
      </c>
      <c r="W2139" s="6">
        <f>IF(ISERROR(VLOOKUP($T$2139,'TAR FIN'!$A$1:$O$120,15,0)),0,VLOOKUP($T$2139,'TAR FIN'!$A$1:$O$120,15,0))</f>
        <v>247.09</v>
      </c>
      <c r="X2139" s="6">
        <f>IF(ISERROR(VLOOKUP($U$2139,'TAR FIN'!$A$1:$O$120,15,0)),0,VLOOKUP($U$2139,'TAR FIN'!$A$1:$O$120,15,0))</f>
        <v>270.92</v>
      </c>
      <c r="Y2139" s="6"/>
      <c r="Z2139" s="6">
        <f ca="1">('TUSD BE'!$AM$83+'TUSD BF'!$AM$83+'TUSD CVA'!$AM$83)*1</f>
        <v>271.87486773292784</v>
      </c>
      <c r="AA2139" s="6">
        <f>('TE BE'!$AA$47+'TE BF'!$AA$47+'TE CVA'!$AA$47)*1</f>
        <v>242.90567551581066</v>
      </c>
      <c r="AB2139" s="6">
        <f>$K$2139*$V$2139</f>
        <v>0</v>
      </c>
      <c r="AC2139" s="6">
        <f>$M$2139*$W$2139</f>
        <v>55235.981139999996</v>
      </c>
      <c r="AD2139" s="6">
        <f>$O$2139*$X$2139</f>
        <v>60563.082320000001</v>
      </c>
      <c r="AE2139" s="6">
        <f>$K$2139*$Y$2139</f>
        <v>0</v>
      </c>
      <c r="AF2139" s="6">
        <f ca="1">$M$2139*$Z$2139</f>
        <v>60776.539182225082</v>
      </c>
      <c r="AG2139" s="6">
        <f>$O$2139*$AA$2139</f>
        <v>54300.592138857406</v>
      </c>
    </row>
    <row r="2140" spans="1:33" ht="11.25" customHeight="1" x14ac:dyDescent="0.25">
      <c r="A2140" s="4" t="s">
        <v>28</v>
      </c>
      <c r="B2140" s="4" t="s">
        <v>39</v>
      </c>
      <c r="C2140" s="4" t="s">
        <v>23</v>
      </c>
      <c r="D2140" s="4" t="s">
        <v>42</v>
      </c>
      <c r="E2140" s="4" t="s">
        <v>25</v>
      </c>
      <c r="F2140" s="4" t="s">
        <v>25</v>
      </c>
      <c r="G2140" s="4" t="s">
        <v>25</v>
      </c>
      <c r="H2140" s="4" t="s">
        <v>25</v>
      </c>
      <c r="I2140" s="5">
        <v>43831</v>
      </c>
      <c r="J2140" s="6">
        <v>0</v>
      </c>
      <c r="K2140" s="6">
        <v>0</v>
      </c>
      <c r="L2140" s="6">
        <v>540.65599999999995</v>
      </c>
      <c r="M2140" s="6">
        <v>540.65599999999995</v>
      </c>
      <c r="N2140" s="6">
        <v>540.65599999999995</v>
      </c>
      <c r="O2140" s="6">
        <v>540.65599999999995</v>
      </c>
      <c r="P2140" s="6">
        <v>137</v>
      </c>
      <c r="Q2140" s="4" t="s">
        <v>26</v>
      </c>
      <c r="R2140" s="4">
        <v>0</v>
      </c>
      <c r="S2140" s="6">
        <v>0</v>
      </c>
      <c r="T2140" s="6">
        <v>73</v>
      </c>
      <c r="U2140" s="6">
        <v>116</v>
      </c>
      <c r="V2140" s="6">
        <f>IF(ISERROR(VLOOKUP($S$2140,'TAR FIN'!$A$1:$O$120,15,0)),0,VLOOKUP($S$2140,'TAR FIN'!$A$1:$O$120,15,0))</f>
        <v>0</v>
      </c>
      <c r="W2140" s="6">
        <f>IF(ISERROR(VLOOKUP($T$2140,'TAR FIN'!$A$1:$O$120,15,0)),0,VLOOKUP($T$2140,'TAR FIN'!$A$1:$O$120,15,0))</f>
        <v>247.09</v>
      </c>
      <c r="X2140" s="6">
        <f>IF(ISERROR(VLOOKUP($U$2140,'TAR FIN'!$A$1:$O$120,15,0)),0,VLOOKUP($U$2140,'TAR FIN'!$A$1:$O$120,15,0))</f>
        <v>270.92</v>
      </c>
      <c r="Y2140" s="6"/>
      <c r="Z2140" s="6">
        <f ca="1">('TUSD BE'!$AM$83+'TUSD BF'!$AM$83+'TUSD CVA'!$AM$83)*1</f>
        <v>271.87486773292784</v>
      </c>
      <c r="AA2140" s="6">
        <f>('TE BE'!$AA$47+'TE BF'!$AA$47+'TE CVA'!$AA$47)*1</f>
        <v>242.90567551581066</v>
      </c>
      <c r="AB2140" s="6">
        <f>$K$2140*$V$2140</f>
        <v>0</v>
      </c>
      <c r="AC2140" s="6">
        <f>$M$2140*$W$2140</f>
        <v>133590.69103999998</v>
      </c>
      <c r="AD2140" s="6">
        <f>$O$2140*$X$2140</f>
        <v>146474.52351999999</v>
      </c>
      <c r="AE2140" s="6">
        <f>$K$2140*$Y$2140</f>
        <v>0</v>
      </c>
      <c r="AF2140" s="6">
        <f ca="1">$M$2140*$Z$2140</f>
        <v>146990.77848901381</v>
      </c>
      <c r="AG2140" s="6">
        <f>$O$2140*$AA$2140</f>
        <v>131328.41090167611</v>
      </c>
    </row>
    <row r="2141" spans="1:33" ht="11.25" customHeight="1" x14ac:dyDescent="0.25">
      <c r="A2141" s="4" t="s">
        <v>21</v>
      </c>
      <c r="B2141" s="4" t="s">
        <v>39</v>
      </c>
      <c r="C2141" s="4" t="s">
        <v>23</v>
      </c>
      <c r="D2141" s="4" t="s">
        <v>42</v>
      </c>
      <c r="E2141" s="4" t="s">
        <v>25</v>
      </c>
      <c r="F2141" s="4" t="s">
        <v>25</v>
      </c>
      <c r="G2141" s="4" t="s">
        <v>25</v>
      </c>
      <c r="H2141" s="4" t="s">
        <v>25</v>
      </c>
      <c r="I2141" s="5">
        <v>43862</v>
      </c>
      <c r="J2141" s="6">
        <v>0</v>
      </c>
      <c r="K2141" s="6">
        <v>0</v>
      </c>
      <c r="L2141" s="6">
        <v>81745.805999999997</v>
      </c>
      <c r="M2141" s="6">
        <v>81745.805999999997</v>
      </c>
      <c r="N2141" s="6">
        <v>81745.805999999997</v>
      </c>
      <c r="O2141" s="6">
        <v>81745.805999999997</v>
      </c>
      <c r="P2141" s="6">
        <v>113073</v>
      </c>
      <c r="Q2141" s="4" t="s">
        <v>26</v>
      </c>
      <c r="R2141" s="4">
        <v>0</v>
      </c>
      <c r="S2141" s="6">
        <v>0</v>
      </c>
      <c r="T2141" s="6">
        <v>73</v>
      </c>
      <c r="U2141" s="6">
        <v>116</v>
      </c>
      <c r="V2141" s="6">
        <f>IF(ISERROR(VLOOKUP($S$2141,'TAR FIN'!$A$1:$O$120,15,0)),0,VLOOKUP($S$2141,'TAR FIN'!$A$1:$O$120,15,0))</f>
        <v>0</v>
      </c>
      <c r="W2141" s="6">
        <f>IF(ISERROR(VLOOKUP($T$2141,'TAR FIN'!$A$1:$O$120,15,0)),0,VLOOKUP($T$2141,'TAR FIN'!$A$1:$O$120,15,0))</f>
        <v>247.09</v>
      </c>
      <c r="X2141" s="6">
        <f>IF(ISERROR(VLOOKUP($U$2141,'TAR FIN'!$A$1:$O$120,15,0)),0,VLOOKUP($U$2141,'TAR FIN'!$A$1:$O$120,15,0))</f>
        <v>270.92</v>
      </c>
      <c r="Y2141" s="6"/>
      <c r="Z2141" s="6">
        <f ca="1">('TUSD BE'!$AM$83+'TUSD BF'!$AM$83+'TUSD CVA'!$AM$83)*1</f>
        <v>271.87486773292784</v>
      </c>
      <c r="AA2141" s="6">
        <f>('TE BE'!$AA$47+'TE BF'!$AA$47+'TE CVA'!$AA$47)*1</f>
        <v>242.90567551581066</v>
      </c>
      <c r="AB2141" s="6">
        <f>$K$2141*$V$2141</f>
        <v>0</v>
      </c>
      <c r="AC2141" s="6">
        <f>$M$2141*$W$2141</f>
        <v>20198571.204539999</v>
      </c>
      <c r="AD2141" s="6">
        <f>$O$2141*$X$2141</f>
        <v>22146573.761520002</v>
      </c>
      <c r="AE2141" s="6">
        <f>$K$2141*$Y$2141</f>
        <v>0</v>
      </c>
      <c r="AF2141" s="6">
        <f ca="1">$M$2141*$Z$2141</f>
        <v>22224630.193971578</v>
      </c>
      <c r="AG2141" s="6">
        <f>$O$2141*$AA$2141</f>
        <v>19856520.227014408</v>
      </c>
    </row>
    <row r="2142" spans="1:33" ht="11.25" customHeight="1" x14ac:dyDescent="0.25">
      <c r="A2142" s="4" t="s">
        <v>27</v>
      </c>
      <c r="B2142" s="4" t="s">
        <v>39</v>
      </c>
      <c r="C2142" s="4" t="s">
        <v>23</v>
      </c>
      <c r="D2142" s="4" t="s">
        <v>42</v>
      </c>
      <c r="E2142" s="4" t="s">
        <v>25</v>
      </c>
      <c r="F2142" s="4" t="s">
        <v>25</v>
      </c>
      <c r="G2142" s="4" t="s">
        <v>25</v>
      </c>
      <c r="H2142" s="4" t="s">
        <v>25</v>
      </c>
      <c r="I2142" s="5">
        <v>43862</v>
      </c>
      <c r="J2142" s="6">
        <v>0</v>
      </c>
      <c r="K2142" s="6">
        <v>0</v>
      </c>
      <c r="L2142" s="6">
        <v>149.40299999999999</v>
      </c>
      <c r="M2142" s="6">
        <v>149.40299999999999</v>
      </c>
      <c r="N2142" s="6">
        <v>149.40299999999999</v>
      </c>
      <c r="O2142" s="6">
        <v>149.40299999999999</v>
      </c>
      <c r="P2142" s="6">
        <v>89</v>
      </c>
      <c r="Q2142" s="4" t="s">
        <v>26</v>
      </c>
      <c r="R2142" s="4">
        <v>0</v>
      </c>
      <c r="S2142" s="6">
        <v>0</v>
      </c>
      <c r="T2142" s="6">
        <v>73</v>
      </c>
      <c r="U2142" s="6">
        <v>116</v>
      </c>
      <c r="V2142" s="6">
        <f>IF(ISERROR(VLOOKUP($S$2142,'TAR FIN'!$A$1:$O$120,15,0)),0,VLOOKUP($S$2142,'TAR FIN'!$A$1:$O$120,15,0))</f>
        <v>0</v>
      </c>
      <c r="W2142" s="6">
        <f>IF(ISERROR(VLOOKUP($T$2142,'TAR FIN'!$A$1:$O$120,15,0)),0,VLOOKUP($T$2142,'TAR FIN'!$A$1:$O$120,15,0))</f>
        <v>247.09</v>
      </c>
      <c r="X2142" s="6">
        <f>IF(ISERROR(VLOOKUP($U$2142,'TAR FIN'!$A$1:$O$120,15,0)),0,VLOOKUP($U$2142,'TAR FIN'!$A$1:$O$120,15,0))</f>
        <v>270.92</v>
      </c>
      <c r="Y2142" s="6"/>
      <c r="Z2142" s="6">
        <f ca="1">('TUSD BE'!$AM$83+'TUSD BF'!$AM$83+'TUSD CVA'!$AM$83)*1</f>
        <v>271.87486773292784</v>
      </c>
      <c r="AA2142" s="6">
        <f>('TE BE'!$AA$47+'TE BF'!$AA$47+'TE CVA'!$AA$47)*1</f>
        <v>242.90567551581066</v>
      </c>
      <c r="AB2142" s="6">
        <f>$K$2142*$V$2142</f>
        <v>0</v>
      </c>
      <c r="AC2142" s="6">
        <f>$M$2142*$W$2142</f>
        <v>36915.987269999998</v>
      </c>
      <c r="AD2142" s="6">
        <f>$O$2142*$X$2142</f>
        <v>40476.260759999997</v>
      </c>
      <c r="AE2142" s="6">
        <f>$K$2142*$Y$2142</f>
        <v>0</v>
      </c>
      <c r="AF2142" s="6">
        <f ca="1">$M$2142*$Z$2142</f>
        <v>40618.920863902618</v>
      </c>
      <c r="AG2142" s="6">
        <f>$O$2142*$AA$2142</f>
        <v>36290.836639088659</v>
      </c>
    </row>
    <row r="2143" spans="1:33" ht="11.25" customHeight="1" x14ac:dyDescent="0.25">
      <c r="A2143" s="4" t="s">
        <v>28</v>
      </c>
      <c r="B2143" s="4" t="s">
        <v>39</v>
      </c>
      <c r="C2143" s="4" t="s">
        <v>23</v>
      </c>
      <c r="D2143" s="4" t="s">
        <v>42</v>
      </c>
      <c r="E2143" s="4" t="s">
        <v>25</v>
      </c>
      <c r="F2143" s="4" t="s">
        <v>25</v>
      </c>
      <c r="G2143" s="4" t="s">
        <v>25</v>
      </c>
      <c r="H2143" s="4" t="s">
        <v>25</v>
      </c>
      <c r="I2143" s="5">
        <v>43862</v>
      </c>
      <c r="J2143" s="6">
        <v>0</v>
      </c>
      <c r="K2143" s="6">
        <v>0</v>
      </c>
      <c r="L2143" s="6">
        <v>497.53699999999998</v>
      </c>
      <c r="M2143" s="6">
        <v>497.53699999999998</v>
      </c>
      <c r="N2143" s="6">
        <v>497.53699999999998</v>
      </c>
      <c r="O2143" s="6">
        <v>497.53699999999998</v>
      </c>
      <c r="P2143" s="6">
        <v>132</v>
      </c>
      <c r="Q2143" s="4" t="s">
        <v>26</v>
      </c>
      <c r="R2143" s="4">
        <v>0</v>
      </c>
      <c r="S2143" s="6">
        <v>0</v>
      </c>
      <c r="T2143" s="6">
        <v>73</v>
      </c>
      <c r="U2143" s="6">
        <v>116</v>
      </c>
      <c r="V2143" s="6">
        <f>IF(ISERROR(VLOOKUP($S$2143,'TAR FIN'!$A$1:$O$120,15,0)),0,VLOOKUP($S$2143,'TAR FIN'!$A$1:$O$120,15,0))</f>
        <v>0</v>
      </c>
      <c r="W2143" s="6">
        <f>IF(ISERROR(VLOOKUP($T$2143,'TAR FIN'!$A$1:$O$120,15,0)),0,VLOOKUP($T$2143,'TAR FIN'!$A$1:$O$120,15,0))</f>
        <v>247.09</v>
      </c>
      <c r="X2143" s="6">
        <f>IF(ISERROR(VLOOKUP($U$2143,'TAR FIN'!$A$1:$O$120,15,0)),0,VLOOKUP($U$2143,'TAR FIN'!$A$1:$O$120,15,0))</f>
        <v>270.92</v>
      </c>
      <c r="Y2143" s="6"/>
      <c r="Z2143" s="6">
        <f ca="1">('TUSD BE'!$AM$83+'TUSD BF'!$AM$83+'TUSD CVA'!$AM$83)*1</f>
        <v>271.87486773292784</v>
      </c>
      <c r="AA2143" s="6">
        <f>('TE BE'!$AA$47+'TE BF'!$AA$47+'TE CVA'!$AA$47)*1</f>
        <v>242.90567551581066</v>
      </c>
      <c r="AB2143" s="6">
        <f>$K$2143*$V$2143</f>
        <v>0</v>
      </c>
      <c r="AC2143" s="6">
        <f>$M$2143*$W$2143</f>
        <v>122936.41733</v>
      </c>
      <c r="AD2143" s="6">
        <f>$O$2143*$X$2143</f>
        <v>134792.72404</v>
      </c>
      <c r="AE2143" s="6">
        <f>$K$2143*$Y$2143</f>
        <v>0</v>
      </c>
      <c r="AF2143" s="6">
        <f ca="1">$M$2143*$Z$2143</f>
        <v>135267.80606723772</v>
      </c>
      <c r="AG2143" s="6">
        <f>$O$2143*$AA$2143</f>
        <v>120854.56107910989</v>
      </c>
    </row>
    <row r="2144" spans="1:33" ht="11.25" customHeight="1" x14ac:dyDescent="0.25">
      <c r="A2144" s="4" t="s">
        <v>28</v>
      </c>
      <c r="B2144" s="4" t="s">
        <v>39</v>
      </c>
      <c r="C2144" s="4" t="s">
        <v>23</v>
      </c>
      <c r="D2144" s="4" t="s">
        <v>42</v>
      </c>
      <c r="E2144" s="4" t="s">
        <v>25</v>
      </c>
      <c r="F2144" s="4" t="s">
        <v>25</v>
      </c>
      <c r="G2144" s="4" t="s">
        <v>25</v>
      </c>
      <c r="H2144" s="4" t="s">
        <v>25</v>
      </c>
      <c r="I2144" s="5">
        <v>43862</v>
      </c>
      <c r="J2144" s="6">
        <v>0</v>
      </c>
      <c r="K2144" s="6">
        <v>0</v>
      </c>
      <c r="L2144" s="6">
        <v>0.82099999999999995</v>
      </c>
      <c r="M2144" s="6">
        <v>0.82099999999999995</v>
      </c>
      <c r="N2144" s="6">
        <v>0.82099999999999995</v>
      </c>
      <c r="O2144" s="6">
        <v>0.82099999999999995</v>
      </c>
      <c r="P2144" s="6">
        <v>1</v>
      </c>
      <c r="Q2144" s="4" t="s">
        <v>26</v>
      </c>
      <c r="R2144" s="4">
        <v>0</v>
      </c>
      <c r="S2144" s="6">
        <v>0</v>
      </c>
      <c r="T2144" s="6">
        <v>73</v>
      </c>
      <c r="U2144" s="6">
        <v>116</v>
      </c>
      <c r="V2144" s="6">
        <f>IF(ISERROR(VLOOKUP($S$2144,'TAR FIN'!$A$1:$O$120,15,0)),0,VLOOKUP($S$2144,'TAR FIN'!$A$1:$O$120,15,0))</f>
        <v>0</v>
      </c>
      <c r="W2144" s="6">
        <f>IF(ISERROR(VLOOKUP($T$2144,'TAR FIN'!$A$1:$O$120,15,0)),0,VLOOKUP($T$2144,'TAR FIN'!$A$1:$O$120,15,0))</f>
        <v>247.09</v>
      </c>
      <c r="X2144" s="6">
        <f>IF(ISERROR(VLOOKUP($U$2144,'TAR FIN'!$A$1:$O$120,15,0)),0,VLOOKUP($U$2144,'TAR FIN'!$A$1:$O$120,15,0))</f>
        <v>270.92</v>
      </c>
      <c r="Y2144" s="6"/>
      <c r="Z2144" s="6">
        <f ca="1">('TUSD BE'!$AM$83+'TUSD BF'!$AM$83+'TUSD CVA'!$AM$83)*1</f>
        <v>271.87486773292784</v>
      </c>
      <c r="AA2144" s="6">
        <f>('TE BE'!$AA$47+'TE BF'!$AA$47+'TE CVA'!$AA$47)*1</f>
        <v>242.90567551581066</v>
      </c>
      <c r="AB2144" s="6">
        <f>$K$2144*$V$2144</f>
        <v>0</v>
      </c>
      <c r="AC2144" s="6">
        <f>$M$2144*$W$2144</f>
        <v>202.86088999999998</v>
      </c>
      <c r="AD2144" s="6">
        <f>$O$2144*$X$2144</f>
        <v>222.42532</v>
      </c>
      <c r="AE2144" s="6">
        <f>$K$2144*$Y$2144</f>
        <v>0</v>
      </c>
      <c r="AF2144" s="6">
        <f ca="1">$M$2144*$Z$2144</f>
        <v>223.20926640873375</v>
      </c>
      <c r="AG2144" s="6">
        <f>$O$2144*$AA$2144</f>
        <v>199.42555959848053</v>
      </c>
    </row>
    <row r="2145" spans="1:33" ht="11.25" customHeight="1" x14ac:dyDescent="0.25">
      <c r="A2145" s="4" t="s">
        <v>21</v>
      </c>
      <c r="B2145" s="4" t="s">
        <v>39</v>
      </c>
      <c r="C2145" s="4" t="s">
        <v>23</v>
      </c>
      <c r="D2145" s="4" t="s">
        <v>42</v>
      </c>
      <c r="E2145" s="4" t="s">
        <v>25</v>
      </c>
      <c r="F2145" s="4" t="s">
        <v>25</v>
      </c>
      <c r="G2145" s="4" t="s">
        <v>25</v>
      </c>
      <c r="H2145" s="4" t="s">
        <v>25</v>
      </c>
      <c r="I2145" s="5">
        <v>43891</v>
      </c>
      <c r="J2145" s="6">
        <v>0</v>
      </c>
      <c r="K2145" s="6">
        <v>0</v>
      </c>
      <c r="L2145" s="6">
        <v>80471.176999999996</v>
      </c>
      <c r="M2145" s="6">
        <v>80471.176999999996</v>
      </c>
      <c r="N2145" s="6">
        <v>80471.176999999996</v>
      </c>
      <c r="O2145" s="6">
        <v>80471.176999999996</v>
      </c>
      <c r="P2145" s="6">
        <v>113115</v>
      </c>
      <c r="Q2145" s="4" t="s">
        <v>26</v>
      </c>
      <c r="R2145" s="4">
        <v>0</v>
      </c>
      <c r="S2145" s="6">
        <v>0</v>
      </c>
      <c r="T2145" s="6">
        <v>73</v>
      </c>
      <c r="U2145" s="6">
        <v>116</v>
      </c>
      <c r="V2145" s="6">
        <f>IF(ISERROR(VLOOKUP($S$2145,'TAR FIN'!$A$1:$O$120,15,0)),0,VLOOKUP($S$2145,'TAR FIN'!$A$1:$O$120,15,0))</f>
        <v>0</v>
      </c>
      <c r="W2145" s="6">
        <f>IF(ISERROR(VLOOKUP($T$2145,'TAR FIN'!$A$1:$O$120,15,0)),0,VLOOKUP($T$2145,'TAR FIN'!$A$1:$O$120,15,0))</f>
        <v>247.09</v>
      </c>
      <c r="X2145" s="6">
        <f>IF(ISERROR(VLOOKUP($U$2145,'TAR FIN'!$A$1:$O$120,15,0)),0,VLOOKUP($U$2145,'TAR FIN'!$A$1:$O$120,15,0))</f>
        <v>270.92</v>
      </c>
      <c r="Y2145" s="6"/>
      <c r="Z2145" s="6">
        <f ca="1">('TUSD BE'!$AM$83+'TUSD BF'!$AM$83+'TUSD CVA'!$AM$83)*1</f>
        <v>271.87486773292784</v>
      </c>
      <c r="AA2145" s="6">
        <f>('TE BE'!$AA$47+'TE BF'!$AA$47+'TE CVA'!$AA$47)*1</f>
        <v>242.90567551581066</v>
      </c>
      <c r="AB2145" s="6">
        <f>$K$2145*$V$2145</f>
        <v>0</v>
      </c>
      <c r="AC2145" s="6">
        <f>$M$2145*$W$2145</f>
        <v>19883623.124929998</v>
      </c>
      <c r="AD2145" s="6">
        <f>$O$2145*$X$2145</f>
        <v>21801251.272840001</v>
      </c>
      <c r="AE2145" s="6">
        <f>$K$2145*$Y$2145</f>
        <v>0</v>
      </c>
      <c r="AF2145" s="6">
        <f ca="1">$M$2145*$Z$2145</f>
        <v>21878090.603188023</v>
      </c>
      <c r="AG2145" s="6">
        <f>$O$2145*$AA$2145</f>
        <v>19546905.608737364</v>
      </c>
    </row>
    <row r="2146" spans="1:33" ht="11.25" customHeight="1" x14ac:dyDescent="0.25">
      <c r="A2146" s="4" t="s">
        <v>27</v>
      </c>
      <c r="B2146" s="4" t="s">
        <v>39</v>
      </c>
      <c r="C2146" s="4" t="s">
        <v>23</v>
      </c>
      <c r="D2146" s="4" t="s">
        <v>42</v>
      </c>
      <c r="E2146" s="4" t="s">
        <v>25</v>
      </c>
      <c r="F2146" s="4" t="s">
        <v>25</v>
      </c>
      <c r="G2146" s="4" t="s">
        <v>25</v>
      </c>
      <c r="H2146" s="4" t="s">
        <v>25</v>
      </c>
      <c r="I2146" s="5">
        <v>43891</v>
      </c>
      <c r="J2146" s="6">
        <v>0</v>
      </c>
      <c r="K2146" s="6">
        <v>0</v>
      </c>
      <c r="L2146" s="6">
        <v>206.47200000000001</v>
      </c>
      <c r="M2146" s="6">
        <v>206.47200000000001</v>
      </c>
      <c r="N2146" s="6">
        <v>206.47200000000001</v>
      </c>
      <c r="O2146" s="6">
        <v>206.47200000000001</v>
      </c>
      <c r="P2146" s="6">
        <v>95</v>
      </c>
      <c r="Q2146" s="4" t="s">
        <v>26</v>
      </c>
      <c r="R2146" s="4">
        <v>0</v>
      </c>
      <c r="S2146" s="6">
        <v>0</v>
      </c>
      <c r="T2146" s="6">
        <v>73</v>
      </c>
      <c r="U2146" s="6">
        <v>116</v>
      </c>
      <c r="V2146" s="6">
        <f>IF(ISERROR(VLOOKUP($S$2146,'TAR FIN'!$A$1:$O$120,15,0)),0,VLOOKUP($S$2146,'TAR FIN'!$A$1:$O$120,15,0))</f>
        <v>0</v>
      </c>
      <c r="W2146" s="6">
        <f>IF(ISERROR(VLOOKUP($T$2146,'TAR FIN'!$A$1:$O$120,15,0)),0,VLOOKUP($T$2146,'TAR FIN'!$A$1:$O$120,15,0))</f>
        <v>247.09</v>
      </c>
      <c r="X2146" s="6">
        <f>IF(ISERROR(VLOOKUP($U$2146,'TAR FIN'!$A$1:$O$120,15,0)),0,VLOOKUP($U$2146,'TAR FIN'!$A$1:$O$120,15,0))</f>
        <v>270.92</v>
      </c>
      <c r="Y2146" s="6"/>
      <c r="Z2146" s="6">
        <f ca="1">('TUSD BE'!$AM$83+'TUSD BF'!$AM$83+'TUSD CVA'!$AM$83)*1</f>
        <v>271.87486773292784</v>
      </c>
      <c r="AA2146" s="6">
        <f>('TE BE'!$AA$47+'TE BF'!$AA$47+'TE CVA'!$AA$47)*1</f>
        <v>242.90567551581066</v>
      </c>
      <c r="AB2146" s="6">
        <f>$K$2146*$V$2146</f>
        <v>0</v>
      </c>
      <c r="AC2146" s="6">
        <f>$M$2146*$W$2146</f>
        <v>51017.16648</v>
      </c>
      <c r="AD2146" s="6">
        <f>$O$2146*$X$2146</f>
        <v>55937.394240000009</v>
      </c>
      <c r="AE2146" s="6">
        <f>$K$2146*$Y$2146</f>
        <v>0</v>
      </c>
      <c r="AF2146" s="6">
        <f ca="1">$M$2146*$Z$2146</f>
        <v>56134.547690553081</v>
      </c>
      <c r="AG2146" s="6">
        <f>$O$2146*$AA$2146</f>
        <v>50153.220635100457</v>
      </c>
    </row>
    <row r="2147" spans="1:33" ht="11.25" customHeight="1" x14ac:dyDescent="0.25">
      <c r="A2147" s="4" t="s">
        <v>28</v>
      </c>
      <c r="B2147" s="4" t="s">
        <v>39</v>
      </c>
      <c r="C2147" s="4" t="s">
        <v>23</v>
      </c>
      <c r="D2147" s="4" t="s">
        <v>42</v>
      </c>
      <c r="E2147" s="4" t="s">
        <v>25</v>
      </c>
      <c r="F2147" s="4" t="s">
        <v>25</v>
      </c>
      <c r="G2147" s="4" t="s">
        <v>25</v>
      </c>
      <c r="H2147" s="4" t="s">
        <v>25</v>
      </c>
      <c r="I2147" s="5">
        <v>43891</v>
      </c>
      <c r="J2147" s="6">
        <v>0</v>
      </c>
      <c r="K2147" s="6">
        <v>0</v>
      </c>
      <c r="L2147" s="6">
        <v>517.66099999999994</v>
      </c>
      <c r="M2147" s="6">
        <v>517.66099999999994</v>
      </c>
      <c r="N2147" s="6">
        <v>517.66099999999994</v>
      </c>
      <c r="O2147" s="6">
        <v>517.66099999999994</v>
      </c>
      <c r="P2147" s="6">
        <v>131</v>
      </c>
      <c r="Q2147" s="4" t="s">
        <v>26</v>
      </c>
      <c r="R2147" s="4">
        <v>0</v>
      </c>
      <c r="S2147" s="6">
        <v>0</v>
      </c>
      <c r="T2147" s="6">
        <v>73</v>
      </c>
      <c r="U2147" s="6">
        <v>116</v>
      </c>
      <c r="V2147" s="6">
        <f>IF(ISERROR(VLOOKUP($S$2147,'TAR FIN'!$A$1:$O$120,15,0)),0,VLOOKUP($S$2147,'TAR FIN'!$A$1:$O$120,15,0))</f>
        <v>0</v>
      </c>
      <c r="W2147" s="6">
        <f>IF(ISERROR(VLOOKUP($T$2147,'TAR FIN'!$A$1:$O$120,15,0)),0,VLOOKUP($T$2147,'TAR FIN'!$A$1:$O$120,15,0))</f>
        <v>247.09</v>
      </c>
      <c r="X2147" s="6">
        <f>IF(ISERROR(VLOOKUP($U$2147,'TAR FIN'!$A$1:$O$120,15,0)),0,VLOOKUP($U$2147,'TAR FIN'!$A$1:$O$120,15,0))</f>
        <v>270.92</v>
      </c>
      <c r="Y2147" s="6"/>
      <c r="Z2147" s="6">
        <f ca="1">('TUSD BE'!$AM$83+'TUSD BF'!$AM$83+'TUSD CVA'!$AM$83)*1</f>
        <v>271.87486773292784</v>
      </c>
      <c r="AA2147" s="6">
        <f>('TE BE'!$AA$47+'TE BF'!$AA$47+'TE CVA'!$AA$47)*1</f>
        <v>242.90567551581066</v>
      </c>
      <c r="AB2147" s="6">
        <f>$K$2147*$V$2147</f>
        <v>0</v>
      </c>
      <c r="AC2147" s="6">
        <f>$M$2147*$W$2147</f>
        <v>127908.85648999999</v>
      </c>
      <c r="AD2147" s="6">
        <f>$O$2147*$X$2147</f>
        <v>140244.71812000001</v>
      </c>
      <c r="AE2147" s="6">
        <f>$K$2147*$Y$2147</f>
        <v>0</v>
      </c>
      <c r="AF2147" s="6">
        <f ca="1">$M$2147*$Z$2147</f>
        <v>140739.01590549515</v>
      </c>
      <c r="AG2147" s="6">
        <f>$O$2147*$AA$2147</f>
        <v>125742.79489319005</v>
      </c>
    </row>
    <row r="2148" spans="1:33" ht="11.25" customHeight="1" x14ac:dyDescent="0.25">
      <c r="A2148" s="4" t="s">
        <v>21</v>
      </c>
      <c r="B2148" s="4" t="s">
        <v>39</v>
      </c>
      <c r="C2148" s="4" t="s">
        <v>23</v>
      </c>
      <c r="D2148" s="4" t="s">
        <v>42</v>
      </c>
      <c r="E2148" s="4" t="s">
        <v>25</v>
      </c>
      <c r="F2148" s="4" t="s">
        <v>25</v>
      </c>
      <c r="G2148" s="4" t="s">
        <v>25</v>
      </c>
      <c r="H2148" s="4" t="s">
        <v>25</v>
      </c>
      <c r="I2148" s="5">
        <v>43922</v>
      </c>
      <c r="J2148" s="6">
        <v>0</v>
      </c>
      <c r="K2148" s="6">
        <v>0</v>
      </c>
      <c r="L2148" s="6">
        <v>67936.459000000003</v>
      </c>
      <c r="M2148" s="6">
        <v>67936.459000000003</v>
      </c>
      <c r="N2148" s="6">
        <v>67936.459000000003</v>
      </c>
      <c r="O2148" s="6">
        <v>67936.459000000003</v>
      </c>
      <c r="P2148" s="6">
        <v>112580</v>
      </c>
      <c r="Q2148" s="4" t="s">
        <v>26</v>
      </c>
      <c r="R2148" s="4">
        <v>0</v>
      </c>
      <c r="S2148" s="6">
        <v>0</v>
      </c>
      <c r="T2148" s="6">
        <v>73</v>
      </c>
      <c r="U2148" s="6">
        <v>116</v>
      </c>
      <c r="V2148" s="6">
        <f>IF(ISERROR(VLOOKUP($S$2148,'TAR FIN'!$A$1:$O$120,15,0)),0,VLOOKUP($S$2148,'TAR FIN'!$A$1:$O$120,15,0))</f>
        <v>0</v>
      </c>
      <c r="W2148" s="6">
        <f>IF(ISERROR(VLOOKUP($T$2148,'TAR FIN'!$A$1:$O$120,15,0)),0,VLOOKUP($T$2148,'TAR FIN'!$A$1:$O$120,15,0))</f>
        <v>247.09</v>
      </c>
      <c r="X2148" s="6">
        <f>IF(ISERROR(VLOOKUP($U$2148,'TAR FIN'!$A$1:$O$120,15,0)),0,VLOOKUP($U$2148,'TAR FIN'!$A$1:$O$120,15,0))</f>
        <v>270.92</v>
      </c>
      <c r="Y2148" s="6"/>
      <c r="Z2148" s="6">
        <f ca="1">('TUSD BE'!$AM$83+'TUSD BF'!$AM$83+'TUSD CVA'!$AM$83)*1</f>
        <v>271.87486773292784</v>
      </c>
      <c r="AA2148" s="6">
        <f>('TE BE'!$AA$47+'TE BF'!$AA$47+'TE CVA'!$AA$47)*1</f>
        <v>242.90567551581066</v>
      </c>
      <c r="AB2148" s="6">
        <f>$K$2148*$V$2148</f>
        <v>0</v>
      </c>
      <c r="AC2148" s="6">
        <f>$M$2148*$W$2148</f>
        <v>16786419.654309999</v>
      </c>
      <c r="AD2148" s="6">
        <f>$O$2148*$X$2148</f>
        <v>18405345.472280003</v>
      </c>
      <c r="AE2148" s="6">
        <f>$K$2148*$Y$2148</f>
        <v>0</v>
      </c>
      <c r="AF2148" s="6">
        <f ca="1">$M$2148*$Z$2148</f>
        <v>18470215.804868475</v>
      </c>
      <c r="AG2148" s="6">
        <f>$O$2148*$AA$2148</f>
        <v>16502151.465547176</v>
      </c>
    </row>
    <row r="2149" spans="1:33" ht="11.25" customHeight="1" x14ac:dyDescent="0.25">
      <c r="A2149" s="4" t="s">
        <v>27</v>
      </c>
      <c r="B2149" s="4" t="s">
        <v>39</v>
      </c>
      <c r="C2149" s="4" t="s">
        <v>23</v>
      </c>
      <c r="D2149" s="4" t="s">
        <v>42</v>
      </c>
      <c r="E2149" s="4" t="s">
        <v>25</v>
      </c>
      <c r="F2149" s="4" t="s">
        <v>25</v>
      </c>
      <c r="G2149" s="4" t="s">
        <v>25</v>
      </c>
      <c r="H2149" s="4" t="s">
        <v>25</v>
      </c>
      <c r="I2149" s="5">
        <v>43922</v>
      </c>
      <c r="J2149" s="6">
        <v>0</v>
      </c>
      <c r="K2149" s="6">
        <v>0</v>
      </c>
      <c r="L2149" s="6">
        <v>270.70299999999997</v>
      </c>
      <c r="M2149" s="6">
        <v>270.70299999999997</v>
      </c>
      <c r="N2149" s="6">
        <v>270.70299999999997</v>
      </c>
      <c r="O2149" s="6">
        <v>270.70299999999997</v>
      </c>
      <c r="P2149" s="6">
        <v>134</v>
      </c>
      <c r="Q2149" s="4" t="s">
        <v>26</v>
      </c>
      <c r="R2149" s="4">
        <v>0</v>
      </c>
      <c r="S2149" s="6">
        <v>0</v>
      </c>
      <c r="T2149" s="6">
        <v>73</v>
      </c>
      <c r="U2149" s="6">
        <v>116</v>
      </c>
      <c r="V2149" s="6">
        <f>IF(ISERROR(VLOOKUP($S$2149,'TAR FIN'!$A$1:$O$120,15,0)),0,VLOOKUP($S$2149,'TAR FIN'!$A$1:$O$120,15,0))</f>
        <v>0</v>
      </c>
      <c r="W2149" s="6">
        <f>IF(ISERROR(VLOOKUP($T$2149,'TAR FIN'!$A$1:$O$120,15,0)),0,VLOOKUP($T$2149,'TAR FIN'!$A$1:$O$120,15,0))</f>
        <v>247.09</v>
      </c>
      <c r="X2149" s="6">
        <f>IF(ISERROR(VLOOKUP($U$2149,'TAR FIN'!$A$1:$O$120,15,0)),0,VLOOKUP($U$2149,'TAR FIN'!$A$1:$O$120,15,0))</f>
        <v>270.92</v>
      </c>
      <c r="Y2149" s="6"/>
      <c r="Z2149" s="6">
        <f ca="1">('TUSD BE'!$AM$83+'TUSD BF'!$AM$83+'TUSD CVA'!$AM$83)*1</f>
        <v>271.87486773292784</v>
      </c>
      <c r="AA2149" s="6">
        <f>('TE BE'!$AA$47+'TE BF'!$AA$47+'TE CVA'!$AA$47)*1</f>
        <v>242.90567551581066</v>
      </c>
      <c r="AB2149" s="6">
        <f>$K$2149*$V$2149</f>
        <v>0</v>
      </c>
      <c r="AC2149" s="6">
        <f>$M$2149*$W$2149</f>
        <v>66888.00426999999</v>
      </c>
      <c r="AD2149" s="6">
        <f>$O$2149*$X$2149</f>
        <v>73338.856759999995</v>
      </c>
      <c r="AE2149" s="6">
        <f>$K$2149*$Y$2149</f>
        <v>0</v>
      </c>
      <c r="AF2149" s="6">
        <f ca="1">$M$2149*$Z$2149</f>
        <v>73597.342319906762</v>
      </c>
      <c r="AG2149" s="6">
        <f>$O$2149*$AA$2149</f>
        <v>65755.29507915648</v>
      </c>
    </row>
    <row r="2150" spans="1:33" ht="11.25" customHeight="1" x14ac:dyDescent="0.25">
      <c r="A2150" s="4" t="s">
        <v>28</v>
      </c>
      <c r="B2150" s="4" t="s">
        <v>39</v>
      </c>
      <c r="C2150" s="4" t="s">
        <v>23</v>
      </c>
      <c r="D2150" s="4" t="s">
        <v>42</v>
      </c>
      <c r="E2150" s="4" t="s">
        <v>25</v>
      </c>
      <c r="F2150" s="4" t="s">
        <v>25</v>
      </c>
      <c r="G2150" s="4" t="s">
        <v>25</v>
      </c>
      <c r="H2150" s="4" t="s">
        <v>25</v>
      </c>
      <c r="I2150" s="5">
        <v>43922</v>
      </c>
      <c r="J2150" s="6">
        <v>0</v>
      </c>
      <c r="K2150" s="6">
        <v>0</v>
      </c>
      <c r="L2150" s="6">
        <v>336.35399999999998</v>
      </c>
      <c r="M2150" s="6">
        <v>336.35399999999998</v>
      </c>
      <c r="N2150" s="6">
        <v>336.35399999999998</v>
      </c>
      <c r="O2150" s="6">
        <v>336.35399999999998</v>
      </c>
      <c r="P2150" s="6">
        <v>128</v>
      </c>
      <c r="Q2150" s="4" t="s">
        <v>26</v>
      </c>
      <c r="R2150" s="4">
        <v>0</v>
      </c>
      <c r="S2150" s="6">
        <v>0</v>
      </c>
      <c r="T2150" s="6">
        <v>73</v>
      </c>
      <c r="U2150" s="6">
        <v>116</v>
      </c>
      <c r="V2150" s="6">
        <f>IF(ISERROR(VLOOKUP($S$2150,'TAR FIN'!$A$1:$O$120,15,0)),0,VLOOKUP($S$2150,'TAR FIN'!$A$1:$O$120,15,0))</f>
        <v>0</v>
      </c>
      <c r="W2150" s="6">
        <f>IF(ISERROR(VLOOKUP($T$2150,'TAR FIN'!$A$1:$O$120,15,0)),0,VLOOKUP($T$2150,'TAR FIN'!$A$1:$O$120,15,0))</f>
        <v>247.09</v>
      </c>
      <c r="X2150" s="6">
        <f>IF(ISERROR(VLOOKUP($U$2150,'TAR FIN'!$A$1:$O$120,15,0)),0,VLOOKUP($U$2150,'TAR FIN'!$A$1:$O$120,15,0))</f>
        <v>270.92</v>
      </c>
      <c r="Y2150" s="6"/>
      <c r="Z2150" s="6">
        <f ca="1">('TUSD BE'!$AM$83+'TUSD BF'!$AM$83+'TUSD CVA'!$AM$83)*1</f>
        <v>271.87486773292784</v>
      </c>
      <c r="AA2150" s="6">
        <f>('TE BE'!$AA$47+'TE BF'!$AA$47+'TE CVA'!$AA$47)*1</f>
        <v>242.90567551581066</v>
      </c>
      <c r="AB2150" s="6">
        <f>$K$2150*$V$2150</f>
        <v>0</v>
      </c>
      <c r="AC2150" s="6">
        <f>$M$2150*$W$2150</f>
        <v>83109.709860000003</v>
      </c>
      <c r="AD2150" s="6">
        <f>$O$2150*$X$2150</f>
        <v>91125.025680000006</v>
      </c>
      <c r="AE2150" s="6">
        <f>$K$2150*$Y$2150</f>
        <v>0</v>
      </c>
      <c r="AF2150" s="6">
        <f ca="1">$M$2150*$Z$2150</f>
        <v>91446.199261441201</v>
      </c>
      <c r="AG2150" s="6">
        <f>$O$2150*$AA$2150</f>
        <v>81702.295582444975</v>
      </c>
    </row>
    <row r="2151" spans="1:33" ht="11.25" customHeight="1" x14ac:dyDescent="0.25">
      <c r="A2151" s="4" t="s">
        <v>28</v>
      </c>
      <c r="B2151" s="4" t="s">
        <v>39</v>
      </c>
      <c r="C2151" s="4" t="s">
        <v>23</v>
      </c>
      <c r="D2151" s="4" t="s">
        <v>42</v>
      </c>
      <c r="E2151" s="4" t="s">
        <v>25</v>
      </c>
      <c r="F2151" s="4" t="s">
        <v>25</v>
      </c>
      <c r="G2151" s="4" t="s">
        <v>25</v>
      </c>
      <c r="H2151" s="4" t="s">
        <v>25</v>
      </c>
      <c r="I2151" s="5">
        <v>43922</v>
      </c>
      <c r="J2151" s="6">
        <v>0</v>
      </c>
      <c r="K2151" s="6">
        <v>0</v>
      </c>
      <c r="L2151" s="6">
        <v>0.1</v>
      </c>
      <c r="M2151" s="6">
        <v>0.1</v>
      </c>
      <c r="N2151" s="6">
        <v>0.1</v>
      </c>
      <c r="O2151" s="6">
        <v>0.1</v>
      </c>
      <c r="P2151" s="6">
        <v>1</v>
      </c>
      <c r="Q2151" s="4" t="s">
        <v>26</v>
      </c>
      <c r="R2151" s="4">
        <v>0</v>
      </c>
      <c r="S2151" s="6">
        <v>0</v>
      </c>
      <c r="T2151" s="6">
        <v>73</v>
      </c>
      <c r="U2151" s="6">
        <v>116</v>
      </c>
      <c r="V2151" s="6">
        <f>IF(ISERROR(VLOOKUP($S$2151,'TAR FIN'!$A$1:$O$120,15,0)),0,VLOOKUP($S$2151,'TAR FIN'!$A$1:$O$120,15,0))</f>
        <v>0</v>
      </c>
      <c r="W2151" s="6">
        <f>IF(ISERROR(VLOOKUP($T$2151,'TAR FIN'!$A$1:$O$120,15,0)),0,VLOOKUP($T$2151,'TAR FIN'!$A$1:$O$120,15,0))</f>
        <v>247.09</v>
      </c>
      <c r="X2151" s="6">
        <f>IF(ISERROR(VLOOKUP($U$2151,'TAR FIN'!$A$1:$O$120,15,0)),0,VLOOKUP($U$2151,'TAR FIN'!$A$1:$O$120,15,0))</f>
        <v>270.92</v>
      </c>
      <c r="Y2151" s="6"/>
      <c r="Z2151" s="6">
        <f ca="1">('TUSD BE'!$AM$83+'TUSD BF'!$AM$83+'TUSD CVA'!$AM$83)*1</f>
        <v>271.87486773292784</v>
      </c>
      <c r="AA2151" s="6">
        <f>('TE BE'!$AA$47+'TE BF'!$AA$47+'TE CVA'!$AA$47)*1</f>
        <v>242.90567551581066</v>
      </c>
      <c r="AB2151" s="6">
        <f>$K$2151*$V$2151</f>
        <v>0</v>
      </c>
      <c r="AC2151" s="6">
        <f>$M$2151*$W$2151</f>
        <v>24.709000000000003</v>
      </c>
      <c r="AD2151" s="6">
        <f>$O$2151*$X$2151</f>
        <v>27.092000000000002</v>
      </c>
      <c r="AE2151" s="6">
        <f>$K$2151*$Y$2151</f>
        <v>0</v>
      </c>
      <c r="AF2151" s="6">
        <f ca="1">$M$2151*$Z$2151</f>
        <v>27.187486773292786</v>
      </c>
      <c r="AG2151" s="6">
        <f>$O$2151*$AA$2151</f>
        <v>24.290567551581066</v>
      </c>
    </row>
    <row r="2152" spans="1:33" ht="11.25" customHeight="1" x14ac:dyDescent="0.25">
      <c r="A2152" s="4" t="s">
        <v>21</v>
      </c>
      <c r="B2152" s="4" t="s">
        <v>39</v>
      </c>
      <c r="C2152" s="4" t="s">
        <v>23</v>
      </c>
      <c r="D2152" s="4" t="s">
        <v>42</v>
      </c>
      <c r="E2152" s="4" t="s">
        <v>25</v>
      </c>
      <c r="F2152" s="4" t="s">
        <v>25</v>
      </c>
      <c r="G2152" s="4" t="s">
        <v>25</v>
      </c>
      <c r="H2152" s="4" t="s">
        <v>25</v>
      </c>
      <c r="I2152" s="5">
        <v>43952</v>
      </c>
      <c r="J2152" s="6">
        <v>0</v>
      </c>
      <c r="K2152" s="6">
        <v>0</v>
      </c>
      <c r="L2152" s="6">
        <v>62217.589</v>
      </c>
      <c r="M2152" s="6">
        <v>62217.589</v>
      </c>
      <c r="N2152" s="6">
        <v>62217.589</v>
      </c>
      <c r="O2152" s="6">
        <v>62217.589</v>
      </c>
      <c r="P2152" s="6">
        <v>112148</v>
      </c>
      <c r="Q2152" s="4" t="s">
        <v>26</v>
      </c>
      <c r="R2152" s="4">
        <v>0</v>
      </c>
      <c r="S2152" s="6">
        <v>0</v>
      </c>
      <c r="T2152" s="6">
        <v>73</v>
      </c>
      <c r="U2152" s="6">
        <v>116</v>
      </c>
      <c r="V2152" s="6">
        <f>IF(ISERROR(VLOOKUP($S$2152,'TAR FIN'!$A$1:$O$120,15,0)),0,VLOOKUP($S$2152,'TAR FIN'!$A$1:$O$120,15,0))</f>
        <v>0</v>
      </c>
      <c r="W2152" s="6">
        <f>IF(ISERROR(VLOOKUP($T$2152,'TAR FIN'!$A$1:$O$120,15,0)),0,VLOOKUP($T$2152,'TAR FIN'!$A$1:$O$120,15,0))</f>
        <v>247.09</v>
      </c>
      <c r="X2152" s="6">
        <f>IF(ISERROR(VLOOKUP($U$2152,'TAR FIN'!$A$1:$O$120,15,0)),0,VLOOKUP($U$2152,'TAR FIN'!$A$1:$O$120,15,0))</f>
        <v>270.92</v>
      </c>
      <c r="Y2152" s="6"/>
      <c r="Z2152" s="6">
        <f ca="1">('TUSD BE'!$AM$83+'TUSD BF'!$AM$83+'TUSD CVA'!$AM$83)*1</f>
        <v>271.87486773292784</v>
      </c>
      <c r="AA2152" s="6">
        <f>('TE BE'!$AA$47+'TE BF'!$AA$47+'TE CVA'!$AA$47)*1</f>
        <v>242.90567551581066</v>
      </c>
      <c r="AB2152" s="6">
        <f>$K$2152*$V$2152</f>
        <v>0</v>
      </c>
      <c r="AC2152" s="6">
        <f>$M$2152*$W$2152</f>
        <v>15373344.06601</v>
      </c>
      <c r="AD2152" s="6">
        <f>$O$2152*$X$2152</f>
        <v>16855989.211880002</v>
      </c>
      <c r="AE2152" s="6">
        <f>$K$2152*$Y$2152</f>
        <v>0</v>
      </c>
      <c r="AF2152" s="6">
        <f ca="1">$M$2152*$Z$2152</f>
        <v>16915398.780036665</v>
      </c>
      <c r="AG2152" s="6">
        <f>$O$2152*$AA$2152</f>
        <v>15113005.485010071</v>
      </c>
    </row>
    <row r="2153" spans="1:33" ht="11.25" customHeight="1" x14ac:dyDescent="0.25">
      <c r="A2153" s="4" t="s">
        <v>27</v>
      </c>
      <c r="B2153" s="4" t="s">
        <v>39</v>
      </c>
      <c r="C2153" s="4" t="s">
        <v>23</v>
      </c>
      <c r="D2153" s="4" t="s">
        <v>42</v>
      </c>
      <c r="E2153" s="4" t="s">
        <v>25</v>
      </c>
      <c r="F2153" s="4" t="s">
        <v>25</v>
      </c>
      <c r="G2153" s="4" t="s">
        <v>25</v>
      </c>
      <c r="H2153" s="4" t="s">
        <v>25</v>
      </c>
      <c r="I2153" s="5">
        <v>43952</v>
      </c>
      <c r="J2153" s="6">
        <v>0</v>
      </c>
      <c r="K2153" s="6">
        <v>0</v>
      </c>
      <c r="L2153" s="6">
        <v>212.08799999999999</v>
      </c>
      <c r="M2153" s="6">
        <v>212.08799999999999</v>
      </c>
      <c r="N2153" s="6">
        <v>212.08799999999999</v>
      </c>
      <c r="O2153" s="6">
        <v>212.08799999999999</v>
      </c>
      <c r="P2153" s="6">
        <v>94</v>
      </c>
      <c r="Q2153" s="4" t="s">
        <v>26</v>
      </c>
      <c r="R2153" s="4">
        <v>0</v>
      </c>
      <c r="S2153" s="6">
        <v>0</v>
      </c>
      <c r="T2153" s="6">
        <v>73</v>
      </c>
      <c r="U2153" s="6">
        <v>116</v>
      </c>
      <c r="V2153" s="6">
        <f>IF(ISERROR(VLOOKUP($S$2153,'TAR FIN'!$A$1:$O$120,15,0)),0,VLOOKUP($S$2153,'TAR FIN'!$A$1:$O$120,15,0))</f>
        <v>0</v>
      </c>
      <c r="W2153" s="6">
        <f>IF(ISERROR(VLOOKUP($T$2153,'TAR FIN'!$A$1:$O$120,15,0)),0,VLOOKUP($T$2153,'TAR FIN'!$A$1:$O$120,15,0))</f>
        <v>247.09</v>
      </c>
      <c r="X2153" s="6">
        <f>IF(ISERROR(VLOOKUP($U$2153,'TAR FIN'!$A$1:$O$120,15,0)),0,VLOOKUP($U$2153,'TAR FIN'!$A$1:$O$120,15,0))</f>
        <v>270.92</v>
      </c>
      <c r="Y2153" s="6"/>
      <c r="Z2153" s="6">
        <f ca="1">('TUSD BE'!$AM$83+'TUSD BF'!$AM$83+'TUSD CVA'!$AM$83)*1</f>
        <v>271.87486773292784</v>
      </c>
      <c r="AA2153" s="6">
        <f>('TE BE'!$AA$47+'TE BF'!$AA$47+'TE CVA'!$AA$47)*1</f>
        <v>242.90567551581066</v>
      </c>
      <c r="AB2153" s="6">
        <f>$K$2153*$V$2153</f>
        <v>0</v>
      </c>
      <c r="AC2153" s="6">
        <f>$M$2153*$W$2153</f>
        <v>52404.823920000003</v>
      </c>
      <c r="AD2153" s="6">
        <f>$O$2153*$X$2153</f>
        <v>57458.880960000002</v>
      </c>
      <c r="AE2153" s="6">
        <f>$K$2153*$Y$2153</f>
        <v>0</v>
      </c>
      <c r="AF2153" s="6">
        <f ca="1">$M$2153*$Z$2153</f>
        <v>57661.396947741196</v>
      </c>
      <c r="AG2153" s="6">
        <f>$O$2153*$AA$2153</f>
        <v>51517.378908797247</v>
      </c>
    </row>
    <row r="2154" spans="1:33" ht="11.25" customHeight="1" x14ac:dyDescent="0.25">
      <c r="A2154" s="4" t="s">
        <v>28</v>
      </c>
      <c r="B2154" s="4" t="s">
        <v>39</v>
      </c>
      <c r="C2154" s="4" t="s">
        <v>23</v>
      </c>
      <c r="D2154" s="4" t="s">
        <v>42</v>
      </c>
      <c r="E2154" s="4" t="s">
        <v>25</v>
      </c>
      <c r="F2154" s="4" t="s">
        <v>25</v>
      </c>
      <c r="G2154" s="4" t="s">
        <v>25</v>
      </c>
      <c r="H2154" s="4" t="s">
        <v>25</v>
      </c>
      <c r="I2154" s="5">
        <v>43952</v>
      </c>
      <c r="J2154" s="6">
        <v>0</v>
      </c>
      <c r="K2154" s="6">
        <v>0</v>
      </c>
      <c r="L2154" s="6">
        <v>262.22500000000002</v>
      </c>
      <c r="M2154" s="6">
        <v>262.22500000000002</v>
      </c>
      <c r="N2154" s="6">
        <v>262.22500000000002</v>
      </c>
      <c r="O2154" s="6">
        <v>262.22500000000002</v>
      </c>
      <c r="P2154" s="6">
        <v>128</v>
      </c>
      <c r="Q2154" s="4" t="s">
        <v>26</v>
      </c>
      <c r="R2154" s="4">
        <v>0</v>
      </c>
      <c r="S2154" s="6">
        <v>0</v>
      </c>
      <c r="T2154" s="6">
        <v>73</v>
      </c>
      <c r="U2154" s="6">
        <v>116</v>
      </c>
      <c r="V2154" s="6">
        <f>IF(ISERROR(VLOOKUP($S$2154,'TAR FIN'!$A$1:$O$120,15,0)),0,VLOOKUP($S$2154,'TAR FIN'!$A$1:$O$120,15,0))</f>
        <v>0</v>
      </c>
      <c r="W2154" s="6">
        <f>IF(ISERROR(VLOOKUP($T$2154,'TAR FIN'!$A$1:$O$120,15,0)),0,VLOOKUP($T$2154,'TAR FIN'!$A$1:$O$120,15,0))</f>
        <v>247.09</v>
      </c>
      <c r="X2154" s="6">
        <f>IF(ISERROR(VLOOKUP($U$2154,'TAR FIN'!$A$1:$O$120,15,0)),0,VLOOKUP($U$2154,'TAR FIN'!$A$1:$O$120,15,0))</f>
        <v>270.92</v>
      </c>
      <c r="Y2154" s="6"/>
      <c r="Z2154" s="6">
        <f ca="1">('TUSD BE'!$AM$83+'TUSD BF'!$AM$83+'TUSD CVA'!$AM$83)*1</f>
        <v>271.87486773292784</v>
      </c>
      <c r="AA2154" s="6">
        <f>('TE BE'!$AA$47+'TE BF'!$AA$47+'TE CVA'!$AA$47)*1</f>
        <v>242.90567551581066</v>
      </c>
      <c r="AB2154" s="6">
        <f>$K$2154*$V$2154</f>
        <v>0</v>
      </c>
      <c r="AC2154" s="6">
        <f>$M$2154*$W$2154</f>
        <v>64793.175250000008</v>
      </c>
      <c r="AD2154" s="6">
        <f>$O$2154*$X$2154</f>
        <v>71041.997000000018</v>
      </c>
      <c r="AE2154" s="6">
        <f>$K$2154*$Y$2154</f>
        <v>0</v>
      </c>
      <c r="AF2154" s="6">
        <f ca="1">$M$2154*$Z$2154</f>
        <v>71292.387191267015</v>
      </c>
      <c r="AG2154" s="6">
        <f>$O$2154*$AA$2154</f>
        <v>63695.940762133454</v>
      </c>
    </row>
    <row r="2155" spans="1:33" ht="11.25" customHeight="1" x14ac:dyDescent="0.25">
      <c r="A2155" s="4" t="s">
        <v>28</v>
      </c>
      <c r="B2155" s="4" t="s">
        <v>39</v>
      </c>
      <c r="C2155" s="4" t="s">
        <v>23</v>
      </c>
      <c r="D2155" s="4" t="s">
        <v>42</v>
      </c>
      <c r="E2155" s="4" t="s">
        <v>25</v>
      </c>
      <c r="F2155" s="4" t="s">
        <v>25</v>
      </c>
      <c r="G2155" s="4" t="s">
        <v>25</v>
      </c>
      <c r="H2155" s="4" t="s">
        <v>25</v>
      </c>
      <c r="I2155" s="5">
        <v>43952</v>
      </c>
      <c r="J2155" s="6">
        <v>0</v>
      </c>
      <c r="K2155" s="6">
        <v>0</v>
      </c>
      <c r="L2155" s="6">
        <v>0.1</v>
      </c>
      <c r="M2155" s="6">
        <v>0.1</v>
      </c>
      <c r="N2155" s="6">
        <v>0.1</v>
      </c>
      <c r="O2155" s="6">
        <v>0.1</v>
      </c>
      <c r="P2155" s="6">
        <v>1</v>
      </c>
      <c r="Q2155" s="4" t="s">
        <v>26</v>
      </c>
      <c r="R2155" s="4">
        <v>0</v>
      </c>
      <c r="S2155" s="6">
        <v>0</v>
      </c>
      <c r="T2155" s="6">
        <v>73</v>
      </c>
      <c r="U2155" s="6">
        <v>116</v>
      </c>
      <c r="V2155" s="6">
        <f>IF(ISERROR(VLOOKUP($S$2155,'TAR FIN'!$A$1:$O$120,15,0)),0,VLOOKUP($S$2155,'TAR FIN'!$A$1:$O$120,15,0))</f>
        <v>0</v>
      </c>
      <c r="W2155" s="6">
        <f>IF(ISERROR(VLOOKUP($T$2155,'TAR FIN'!$A$1:$O$120,15,0)),0,VLOOKUP($T$2155,'TAR FIN'!$A$1:$O$120,15,0))</f>
        <v>247.09</v>
      </c>
      <c r="X2155" s="6">
        <f>IF(ISERROR(VLOOKUP($U$2155,'TAR FIN'!$A$1:$O$120,15,0)),0,VLOOKUP($U$2155,'TAR FIN'!$A$1:$O$120,15,0))</f>
        <v>270.92</v>
      </c>
      <c r="Y2155" s="6"/>
      <c r="Z2155" s="6">
        <f ca="1">('TUSD BE'!$AM$83+'TUSD BF'!$AM$83+'TUSD CVA'!$AM$83)*1</f>
        <v>271.87486773292784</v>
      </c>
      <c r="AA2155" s="6">
        <f>('TE BE'!$AA$47+'TE BF'!$AA$47+'TE CVA'!$AA$47)*1</f>
        <v>242.90567551581066</v>
      </c>
      <c r="AB2155" s="6">
        <f>$K$2155*$V$2155</f>
        <v>0</v>
      </c>
      <c r="AC2155" s="6">
        <f>$M$2155*$W$2155</f>
        <v>24.709000000000003</v>
      </c>
      <c r="AD2155" s="6">
        <f>$O$2155*$X$2155</f>
        <v>27.092000000000002</v>
      </c>
      <c r="AE2155" s="6">
        <f>$K$2155*$Y$2155</f>
        <v>0</v>
      </c>
      <c r="AF2155" s="6">
        <f ca="1">$M$2155*$Z$2155</f>
        <v>27.187486773292786</v>
      </c>
      <c r="AG2155" s="6">
        <f>$O$2155*$AA$2155</f>
        <v>24.290567551581066</v>
      </c>
    </row>
    <row r="2156" spans="1:33" ht="11.25" customHeight="1" x14ac:dyDescent="0.25">
      <c r="A2156" s="4" t="s">
        <v>21</v>
      </c>
      <c r="B2156" s="4" t="s">
        <v>39</v>
      </c>
      <c r="C2156" s="4" t="s">
        <v>23</v>
      </c>
      <c r="D2156" s="4" t="s">
        <v>42</v>
      </c>
      <c r="E2156" s="4" t="s">
        <v>25</v>
      </c>
      <c r="F2156" s="4" t="s">
        <v>25</v>
      </c>
      <c r="G2156" s="4" t="s">
        <v>25</v>
      </c>
      <c r="H2156" s="4" t="s">
        <v>25</v>
      </c>
      <c r="I2156" s="5">
        <v>43983</v>
      </c>
      <c r="J2156" s="6">
        <v>0</v>
      </c>
      <c r="K2156" s="6">
        <v>0</v>
      </c>
      <c r="L2156" s="6">
        <v>57531.525999999998</v>
      </c>
      <c r="M2156" s="6">
        <v>57531.525999999998</v>
      </c>
      <c r="N2156" s="6">
        <v>57531.525999999998</v>
      </c>
      <c r="O2156" s="6">
        <v>57531.525999999998</v>
      </c>
      <c r="P2156" s="6">
        <v>111939</v>
      </c>
      <c r="Q2156" s="4" t="s">
        <v>26</v>
      </c>
      <c r="R2156" s="4">
        <v>0</v>
      </c>
      <c r="S2156" s="6">
        <v>0</v>
      </c>
      <c r="T2156" s="6">
        <v>73</v>
      </c>
      <c r="U2156" s="6">
        <v>116</v>
      </c>
      <c r="V2156" s="6">
        <f>IF(ISERROR(VLOOKUP($S$2156,'TAR FIN'!$A$1:$O$120,15,0)),0,VLOOKUP($S$2156,'TAR FIN'!$A$1:$O$120,15,0))</f>
        <v>0</v>
      </c>
      <c r="W2156" s="6">
        <f>IF(ISERROR(VLOOKUP($T$2156,'TAR FIN'!$A$1:$O$120,15,0)),0,VLOOKUP($T$2156,'TAR FIN'!$A$1:$O$120,15,0))</f>
        <v>247.09</v>
      </c>
      <c r="X2156" s="6">
        <f>IF(ISERROR(VLOOKUP($U$2156,'TAR FIN'!$A$1:$O$120,15,0)),0,VLOOKUP($U$2156,'TAR FIN'!$A$1:$O$120,15,0))</f>
        <v>270.92</v>
      </c>
      <c r="Y2156" s="6"/>
      <c r="Z2156" s="6">
        <f ca="1">('TUSD BE'!$AM$83+'TUSD BF'!$AM$83+'TUSD CVA'!$AM$83)*1</f>
        <v>271.87486773292784</v>
      </c>
      <c r="AA2156" s="6">
        <f>('TE BE'!$AA$47+'TE BF'!$AA$47+'TE CVA'!$AA$47)*1</f>
        <v>242.90567551581066</v>
      </c>
      <c r="AB2156" s="6">
        <f>$K$2156*$V$2156</f>
        <v>0</v>
      </c>
      <c r="AC2156" s="6">
        <f>$M$2156*$W$2156</f>
        <v>14215464.759339999</v>
      </c>
      <c r="AD2156" s="6">
        <f>$O$2156*$X$2156</f>
        <v>15586441.02392</v>
      </c>
      <c r="AE2156" s="6">
        <f>$K$2156*$Y$2156</f>
        <v>0</v>
      </c>
      <c r="AF2156" s="6">
        <f ca="1">$M$2156*$Z$2156</f>
        <v>15641376.021723498</v>
      </c>
      <c r="AG2156" s="6">
        <f>$O$2156*$AA$2156</f>
        <v>13974734.186485425</v>
      </c>
    </row>
    <row r="2157" spans="1:33" ht="11.25" customHeight="1" x14ac:dyDescent="0.25">
      <c r="A2157" s="4" t="s">
        <v>27</v>
      </c>
      <c r="B2157" s="4" t="s">
        <v>39</v>
      </c>
      <c r="C2157" s="4" t="s">
        <v>23</v>
      </c>
      <c r="D2157" s="4" t="s">
        <v>42</v>
      </c>
      <c r="E2157" s="4" t="s">
        <v>25</v>
      </c>
      <c r="F2157" s="4" t="s">
        <v>25</v>
      </c>
      <c r="G2157" s="4" t="s">
        <v>25</v>
      </c>
      <c r="H2157" s="4" t="s">
        <v>25</v>
      </c>
      <c r="I2157" s="5">
        <v>43983</v>
      </c>
      <c r="J2157" s="6">
        <v>0</v>
      </c>
      <c r="K2157" s="6">
        <v>0</v>
      </c>
      <c r="L2157" s="6">
        <v>137.68299999999999</v>
      </c>
      <c r="M2157" s="6">
        <v>137.68299999999999</v>
      </c>
      <c r="N2157" s="6">
        <v>137.68299999999999</v>
      </c>
      <c r="O2157" s="6">
        <v>137.68299999999999</v>
      </c>
      <c r="P2157" s="6">
        <v>94</v>
      </c>
      <c r="Q2157" s="4" t="s">
        <v>26</v>
      </c>
      <c r="R2157" s="4">
        <v>0</v>
      </c>
      <c r="S2157" s="6">
        <v>0</v>
      </c>
      <c r="T2157" s="6">
        <v>73</v>
      </c>
      <c r="U2157" s="6">
        <v>116</v>
      </c>
      <c r="V2157" s="6">
        <f>IF(ISERROR(VLOOKUP($S$2157,'TAR FIN'!$A$1:$O$120,15,0)),0,VLOOKUP($S$2157,'TAR FIN'!$A$1:$O$120,15,0))</f>
        <v>0</v>
      </c>
      <c r="W2157" s="6">
        <f>IF(ISERROR(VLOOKUP($T$2157,'TAR FIN'!$A$1:$O$120,15,0)),0,VLOOKUP($T$2157,'TAR FIN'!$A$1:$O$120,15,0))</f>
        <v>247.09</v>
      </c>
      <c r="X2157" s="6">
        <f>IF(ISERROR(VLOOKUP($U$2157,'TAR FIN'!$A$1:$O$120,15,0)),0,VLOOKUP($U$2157,'TAR FIN'!$A$1:$O$120,15,0))</f>
        <v>270.92</v>
      </c>
      <c r="Y2157" s="6"/>
      <c r="Z2157" s="6">
        <f ca="1">('TUSD BE'!$AM$83+'TUSD BF'!$AM$83+'TUSD CVA'!$AM$83)*1</f>
        <v>271.87486773292784</v>
      </c>
      <c r="AA2157" s="6">
        <f>('TE BE'!$AA$47+'TE BF'!$AA$47+'TE CVA'!$AA$47)*1</f>
        <v>242.90567551581066</v>
      </c>
      <c r="AB2157" s="6">
        <f>$K$2157*$V$2157</f>
        <v>0</v>
      </c>
      <c r="AC2157" s="6">
        <f>$M$2157*$W$2157</f>
        <v>34020.092469999996</v>
      </c>
      <c r="AD2157" s="6">
        <f>$O$2157*$X$2157</f>
        <v>37301.07836</v>
      </c>
      <c r="AE2157" s="6">
        <f>$K$2157*$Y$2157</f>
        <v>0</v>
      </c>
      <c r="AF2157" s="6">
        <f ca="1">$M$2157*$Z$2157</f>
        <v>37432.547414072702</v>
      </c>
      <c r="AG2157" s="6">
        <f>$O$2157*$AA$2157</f>
        <v>33443.982122043359</v>
      </c>
    </row>
    <row r="2158" spans="1:33" ht="11.25" customHeight="1" x14ac:dyDescent="0.25">
      <c r="A2158" s="4" t="s">
        <v>28</v>
      </c>
      <c r="B2158" s="4" t="s">
        <v>39</v>
      </c>
      <c r="C2158" s="4" t="s">
        <v>23</v>
      </c>
      <c r="D2158" s="4" t="s">
        <v>42</v>
      </c>
      <c r="E2158" s="4" t="s">
        <v>25</v>
      </c>
      <c r="F2158" s="4" t="s">
        <v>25</v>
      </c>
      <c r="G2158" s="4" t="s">
        <v>25</v>
      </c>
      <c r="H2158" s="4" t="s">
        <v>25</v>
      </c>
      <c r="I2158" s="5">
        <v>43983</v>
      </c>
      <c r="J2158" s="6">
        <v>0</v>
      </c>
      <c r="K2158" s="6">
        <v>0</v>
      </c>
      <c r="L2158" s="6">
        <v>273.97199999999998</v>
      </c>
      <c r="M2158" s="6">
        <v>273.97199999999998</v>
      </c>
      <c r="N2158" s="6">
        <v>273.97199999999998</v>
      </c>
      <c r="O2158" s="6">
        <v>273.97199999999998</v>
      </c>
      <c r="P2158" s="6">
        <v>129</v>
      </c>
      <c r="Q2158" s="4" t="s">
        <v>26</v>
      </c>
      <c r="R2158" s="4">
        <v>0</v>
      </c>
      <c r="S2158" s="6">
        <v>0</v>
      </c>
      <c r="T2158" s="6">
        <v>73</v>
      </c>
      <c r="U2158" s="6">
        <v>116</v>
      </c>
      <c r="V2158" s="6">
        <f>IF(ISERROR(VLOOKUP($S$2158,'TAR FIN'!$A$1:$O$120,15,0)),0,VLOOKUP($S$2158,'TAR FIN'!$A$1:$O$120,15,0))</f>
        <v>0</v>
      </c>
      <c r="W2158" s="6">
        <f>IF(ISERROR(VLOOKUP($T$2158,'TAR FIN'!$A$1:$O$120,15,0)),0,VLOOKUP($T$2158,'TAR FIN'!$A$1:$O$120,15,0))</f>
        <v>247.09</v>
      </c>
      <c r="X2158" s="6">
        <f>IF(ISERROR(VLOOKUP($U$2158,'TAR FIN'!$A$1:$O$120,15,0)),0,VLOOKUP($U$2158,'TAR FIN'!$A$1:$O$120,15,0))</f>
        <v>270.92</v>
      </c>
      <c r="Y2158" s="6"/>
      <c r="Z2158" s="6">
        <f ca="1">('TUSD BE'!$AM$83+'TUSD BF'!$AM$83+'TUSD CVA'!$AM$83)*1</f>
        <v>271.87486773292784</v>
      </c>
      <c r="AA2158" s="6">
        <f>('TE BE'!$AA$47+'TE BF'!$AA$47+'TE CVA'!$AA$47)*1</f>
        <v>242.90567551581066</v>
      </c>
      <c r="AB2158" s="6">
        <f>$K$2158*$V$2158</f>
        <v>0</v>
      </c>
      <c r="AC2158" s="6">
        <f>$M$2158*$W$2158</f>
        <v>67695.741479999997</v>
      </c>
      <c r="AD2158" s="6">
        <f>$O$2158*$X$2158</f>
        <v>74224.49424</v>
      </c>
      <c r="AE2158" s="6">
        <f>$K$2158*$Y$2158</f>
        <v>0</v>
      </c>
      <c r="AF2158" s="6">
        <f ca="1">$M$2158*$Z$2158</f>
        <v>74486.101262525699</v>
      </c>
      <c r="AG2158" s="6">
        <f>$O$2158*$AA$2158</f>
        <v>66549.353732417672</v>
      </c>
    </row>
    <row r="2159" spans="1:33" ht="11.25" customHeight="1" x14ac:dyDescent="0.25">
      <c r="A2159" s="4" t="s">
        <v>28</v>
      </c>
      <c r="B2159" s="4" t="s">
        <v>39</v>
      </c>
      <c r="C2159" s="4" t="s">
        <v>23</v>
      </c>
      <c r="D2159" s="4" t="s">
        <v>42</v>
      </c>
      <c r="E2159" s="4" t="s">
        <v>25</v>
      </c>
      <c r="F2159" s="4" t="s">
        <v>25</v>
      </c>
      <c r="G2159" s="4" t="s">
        <v>25</v>
      </c>
      <c r="H2159" s="4" t="s">
        <v>25</v>
      </c>
      <c r="I2159" s="5">
        <v>43983</v>
      </c>
      <c r="J2159" s="6">
        <v>0</v>
      </c>
      <c r="K2159" s="6">
        <v>0</v>
      </c>
      <c r="L2159" s="6">
        <v>0.1</v>
      </c>
      <c r="M2159" s="6">
        <v>0.1</v>
      </c>
      <c r="N2159" s="6">
        <v>0.1</v>
      </c>
      <c r="O2159" s="6">
        <v>0.1</v>
      </c>
      <c r="P2159" s="6">
        <v>1</v>
      </c>
      <c r="Q2159" s="4" t="s">
        <v>26</v>
      </c>
      <c r="R2159" s="4">
        <v>0</v>
      </c>
      <c r="S2159" s="6">
        <v>0</v>
      </c>
      <c r="T2159" s="6">
        <v>73</v>
      </c>
      <c r="U2159" s="6">
        <v>116</v>
      </c>
      <c r="V2159" s="6">
        <f>IF(ISERROR(VLOOKUP($S$2159,'TAR FIN'!$A$1:$O$120,15,0)),0,VLOOKUP($S$2159,'TAR FIN'!$A$1:$O$120,15,0))</f>
        <v>0</v>
      </c>
      <c r="W2159" s="6">
        <f>IF(ISERROR(VLOOKUP($T$2159,'TAR FIN'!$A$1:$O$120,15,0)),0,VLOOKUP($T$2159,'TAR FIN'!$A$1:$O$120,15,0))</f>
        <v>247.09</v>
      </c>
      <c r="X2159" s="6">
        <f>IF(ISERROR(VLOOKUP($U$2159,'TAR FIN'!$A$1:$O$120,15,0)),0,VLOOKUP($U$2159,'TAR FIN'!$A$1:$O$120,15,0))</f>
        <v>270.92</v>
      </c>
      <c r="Y2159" s="6"/>
      <c r="Z2159" s="6">
        <f ca="1">('TUSD BE'!$AM$83+'TUSD BF'!$AM$83+'TUSD CVA'!$AM$83)*1</f>
        <v>271.87486773292784</v>
      </c>
      <c r="AA2159" s="6">
        <f>('TE BE'!$AA$47+'TE BF'!$AA$47+'TE CVA'!$AA$47)*1</f>
        <v>242.90567551581066</v>
      </c>
      <c r="AB2159" s="6">
        <f>$K$2159*$V$2159</f>
        <v>0</v>
      </c>
      <c r="AC2159" s="6">
        <f>$M$2159*$W$2159</f>
        <v>24.709000000000003</v>
      </c>
      <c r="AD2159" s="6">
        <f>$O$2159*$X$2159</f>
        <v>27.092000000000002</v>
      </c>
      <c r="AE2159" s="6">
        <f>$K$2159*$Y$2159</f>
        <v>0</v>
      </c>
      <c r="AF2159" s="6">
        <f ca="1">$M$2159*$Z$2159</f>
        <v>27.187486773292786</v>
      </c>
      <c r="AG2159" s="6">
        <f>$O$2159*$AA$2159</f>
        <v>24.290567551581066</v>
      </c>
    </row>
    <row r="2160" spans="1:33" ht="11.25" customHeight="1" x14ac:dyDescent="0.25">
      <c r="A2160" s="4" t="s">
        <v>21</v>
      </c>
      <c r="B2160" s="4" t="s">
        <v>39</v>
      </c>
      <c r="C2160" s="4" t="s">
        <v>23</v>
      </c>
      <c r="D2160" s="4" t="s">
        <v>42</v>
      </c>
      <c r="E2160" s="4" t="s">
        <v>25</v>
      </c>
      <c r="F2160" s="4" t="s">
        <v>25</v>
      </c>
      <c r="G2160" s="4" t="s">
        <v>25</v>
      </c>
      <c r="H2160" s="4" t="s">
        <v>25</v>
      </c>
      <c r="I2160" s="5">
        <v>44013</v>
      </c>
      <c r="J2160" s="6">
        <v>0</v>
      </c>
      <c r="K2160" s="6">
        <v>0</v>
      </c>
      <c r="L2160" s="6">
        <v>60155.277999999998</v>
      </c>
      <c r="M2160" s="6">
        <v>60155.277999999998</v>
      </c>
      <c r="N2160" s="6">
        <v>60155.277999999998</v>
      </c>
      <c r="O2160" s="6">
        <v>60155.277999999998</v>
      </c>
      <c r="P2160" s="6">
        <v>111610</v>
      </c>
      <c r="Q2160" s="4" t="s">
        <v>26</v>
      </c>
      <c r="R2160" s="4">
        <v>0</v>
      </c>
      <c r="S2160" s="6">
        <v>0</v>
      </c>
      <c r="T2160" s="6">
        <v>73</v>
      </c>
      <c r="U2160" s="6">
        <v>116</v>
      </c>
      <c r="V2160" s="6">
        <f>IF(ISERROR(VLOOKUP($S$2160,'TAR FIN'!$A$1:$O$120,15,0)),0,VLOOKUP($S$2160,'TAR FIN'!$A$1:$O$120,15,0))</f>
        <v>0</v>
      </c>
      <c r="W2160" s="6">
        <f>IF(ISERROR(VLOOKUP($T$2160,'TAR FIN'!$A$1:$O$120,15,0)),0,VLOOKUP($T$2160,'TAR FIN'!$A$1:$O$120,15,0))</f>
        <v>247.09</v>
      </c>
      <c r="X2160" s="6">
        <f>IF(ISERROR(VLOOKUP($U$2160,'TAR FIN'!$A$1:$O$120,15,0)),0,VLOOKUP($U$2160,'TAR FIN'!$A$1:$O$120,15,0))</f>
        <v>270.92</v>
      </c>
      <c r="Y2160" s="6"/>
      <c r="Z2160" s="6">
        <f ca="1">('TUSD BE'!$AM$83+'TUSD BF'!$AM$83+'TUSD CVA'!$AM$83)*1</f>
        <v>271.87486773292784</v>
      </c>
      <c r="AA2160" s="6">
        <f>('TE BE'!$AA$47+'TE BF'!$AA$47+'TE CVA'!$AA$47)*1</f>
        <v>242.90567551581066</v>
      </c>
      <c r="AB2160" s="6">
        <f>$K$2160*$V$2160</f>
        <v>0</v>
      </c>
      <c r="AC2160" s="6">
        <f>$M$2160*$W$2160</f>
        <v>14863767.64102</v>
      </c>
      <c r="AD2160" s="6">
        <f>$O$2160*$X$2160</f>
        <v>16297267.915760001</v>
      </c>
      <c r="AE2160" s="6">
        <f>$K$2160*$Y$2160</f>
        <v>0</v>
      </c>
      <c r="AF2160" s="6">
        <f ca="1">$M$2160*$Z$2160</f>
        <v>16354708.249687504</v>
      </c>
      <c r="AG2160" s="6">
        <f>$O$2160*$AA$2160</f>
        <v>14612058.438431382</v>
      </c>
    </row>
    <row r="2161" spans="1:33" ht="11.25" customHeight="1" x14ac:dyDescent="0.25">
      <c r="A2161" s="4" t="s">
        <v>27</v>
      </c>
      <c r="B2161" s="4" t="s">
        <v>39</v>
      </c>
      <c r="C2161" s="4" t="s">
        <v>23</v>
      </c>
      <c r="D2161" s="4" t="s">
        <v>42</v>
      </c>
      <c r="E2161" s="4" t="s">
        <v>25</v>
      </c>
      <c r="F2161" s="4" t="s">
        <v>25</v>
      </c>
      <c r="G2161" s="4" t="s">
        <v>25</v>
      </c>
      <c r="H2161" s="4" t="s">
        <v>25</v>
      </c>
      <c r="I2161" s="5">
        <v>44013</v>
      </c>
      <c r="J2161" s="6">
        <v>0</v>
      </c>
      <c r="K2161" s="6">
        <v>0</v>
      </c>
      <c r="L2161" s="6">
        <v>162.63399999999999</v>
      </c>
      <c r="M2161" s="6">
        <v>162.63399999999999</v>
      </c>
      <c r="N2161" s="6">
        <v>162.63399999999999</v>
      </c>
      <c r="O2161" s="6">
        <v>162.63399999999999</v>
      </c>
      <c r="P2161" s="6">
        <v>123</v>
      </c>
      <c r="Q2161" s="4" t="s">
        <v>26</v>
      </c>
      <c r="R2161" s="4">
        <v>0</v>
      </c>
      <c r="S2161" s="6">
        <v>0</v>
      </c>
      <c r="T2161" s="6">
        <v>73</v>
      </c>
      <c r="U2161" s="6">
        <v>116</v>
      </c>
      <c r="V2161" s="6">
        <f>IF(ISERROR(VLOOKUP($S$2161,'TAR FIN'!$A$1:$O$120,15,0)),0,VLOOKUP($S$2161,'TAR FIN'!$A$1:$O$120,15,0))</f>
        <v>0</v>
      </c>
      <c r="W2161" s="6">
        <f>IF(ISERROR(VLOOKUP($T$2161,'TAR FIN'!$A$1:$O$120,15,0)),0,VLOOKUP($T$2161,'TAR FIN'!$A$1:$O$120,15,0))</f>
        <v>247.09</v>
      </c>
      <c r="X2161" s="6">
        <f>IF(ISERROR(VLOOKUP($U$2161,'TAR FIN'!$A$1:$O$120,15,0)),0,VLOOKUP($U$2161,'TAR FIN'!$A$1:$O$120,15,0))</f>
        <v>270.92</v>
      </c>
      <c r="Y2161" s="6"/>
      <c r="Z2161" s="6">
        <f ca="1">('TUSD BE'!$AM$83+'TUSD BF'!$AM$83+'TUSD CVA'!$AM$83)*1</f>
        <v>271.87486773292784</v>
      </c>
      <c r="AA2161" s="6">
        <f>('TE BE'!$AA$47+'TE BF'!$AA$47+'TE CVA'!$AA$47)*1</f>
        <v>242.90567551581066</v>
      </c>
      <c r="AB2161" s="6">
        <f>$K$2161*$V$2161</f>
        <v>0</v>
      </c>
      <c r="AC2161" s="6">
        <f>$M$2161*$W$2161</f>
        <v>40185.235059999999</v>
      </c>
      <c r="AD2161" s="6">
        <f>$O$2161*$X$2161</f>
        <v>44060.80328</v>
      </c>
      <c r="AE2161" s="6">
        <f>$K$2161*$Y$2161</f>
        <v>0</v>
      </c>
      <c r="AF2161" s="6">
        <f ca="1">$M$2161*$Z$2161</f>
        <v>44216.097238876981</v>
      </c>
      <c r="AG2161" s="6">
        <f>$O$2161*$AA$2161</f>
        <v>39504.721631838343</v>
      </c>
    </row>
    <row r="2162" spans="1:33" ht="11.25" customHeight="1" x14ac:dyDescent="0.25">
      <c r="A2162" s="4" t="s">
        <v>28</v>
      </c>
      <c r="B2162" s="4" t="s">
        <v>39</v>
      </c>
      <c r="C2162" s="4" t="s">
        <v>23</v>
      </c>
      <c r="D2162" s="4" t="s">
        <v>42</v>
      </c>
      <c r="E2162" s="4" t="s">
        <v>25</v>
      </c>
      <c r="F2162" s="4" t="s">
        <v>25</v>
      </c>
      <c r="G2162" s="4" t="s">
        <v>25</v>
      </c>
      <c r="H2162" s="4" t="s">
        <v>25</v>
      </c>
      <c r="I2162" s="5">
        <v>44013</v>
      </c>
      <c r="J2162" s="6">
        <v>0</v>
      </c>
      <c r="K2162" s="6">
        <v>0</v>
      </c>
      <c r="L2162" s="6">
        <v>283.10599999999999</v>
      </c>
      <c r="M2162" s="6">
        <v>283.10599999999999</v>
      </c>
      <c r="N2162" s="6">
        <v>283.10599999999999</v>
      </c>
      <c r="O2162" s="6">
        <v>283.10599999999999</v>
      </c>
      <c r="P2162" s="6">
        <v>130</v>
      </c>
      <c r="Q2162" s="4" t="s">
        <v>26</v>
      </c>
      <c r="R2162" s="4">
        <v>0</v>
      </c>
      <c r="S2162" s="6">
        <v>0</v>
      </c>
      <c r="T2162" s="6">
        <v>73</v>
      </c>
      <c r="U2162" s="6">
        <v>116</v>
      </c>
      <c r="V2162" s="6">
        <f>IF(ISERROR(VLOOKUP($S$2162,'TAR FIN'!$A$1:$O$120,15,0)),0,VLOOKUP($S$2162,'TAR FIN'!$A$1:$O$120,15,0))</f>
        <v>0</v>
      </c>
      <c r="W2162" s="6">
        <f>IF(ISERROR(VLOOKUP($T$2162,'TAR FIN'!$A$1:$O$120,15,0)),0,VLOOKUP($T$2162,'TAR FIN'!$A$1:$O$120,15,0))</f>
        <v>247.09</v>
      </c>
      <c r="X2162" s="6">
        <f>IF(ISERROR(VLOOKUP($U$2162,'TAR FIN'!$A$1:$O$120,15,0)),0,VLOOKUP($U$2162,'TAR FIN'!$A$1:$O$120,15,0))</f>
        <v>270.92</v>
      </c>
      <c r="Y2162" s="6"/>
      <c r="Z2162" s="6">
        <f ca="1">('TUSD BE'!$AM$83+'TUSD BF'!$AM$83+'TUSD CVA'!$AM$83)*1</f>
        <v>271.87486773292784</v>
      </c>
      <c r="AA2162" s="6">
        <f>('TE BE'!$AA$47+'TE BF'!$AA$47+'TE CVA'!$AA$47)*1</f>
        <v>242.90567551581066</v>
      </c>
      <c r="AB2162" s="6">
        <f>$K$2162*$V$2162</f>
        <v>0</v>
      </c>
      <c r="AC2162" s="6">
        <f>$M$2162*$W$2162</f>
        <v>69952.661540000001</v>
      </c>
      <c r="AD2162" s="6">
        <f>$O$2162*$X$2162</f>
        <v>76699.077520000006</v>
      </c>
      <c r="AE2162" s="6">
        <f>$K$2162*$Y$2162</f>
        <v>0</v>
      </c>
      <c r="AF2162" s="6">
        <f ca="1">$M$2162*$Z$2162</f>
        <v>76969.406304398261</v>
      </c>
      <c r="AG2162" s="6">
        <f>$O$2162*$AA$2162</f>
        <v>68768.054172579097</v>
      </c>
    </row>
    <row r="2163" spans="1:33" ht="11.25" customHeight="1" x14ac:dyDescent="0.25">
      <c r="A2163" s="4" t="s">
        <v>28</v>
      </c>
      <c r="B2163" s="4" t="s">
        <v>39</v>
      </c>
      <c r="C2163" s="4" t="s">
        <v>23</v>
      </c>
      <c r="D2163" s="4" t="s">
        <v>42</v>
      </c>
      <c r="E2163" s="4" t="s">
        <v>25</v>
      </c>
      <c r="F2163" s="4" t="s">
        <v>25</v>
      </c>
      <c r="G2163" s="4" t="s">
        <v>25</v>
      </c>
      <c r="H2163" s="4" t="s">
        <v>25</v>
      </c>
      <c r="I2163" s="5">
        <v>44013</v>
      </c>
      <c r="J2163" s="6">
        <v>0</v>
      </c>
      <c r="K2163" s="6">
        <v>0</v>
      </c>
      <c r="L2163" s="6">
        <v>0.1</v>
      </c>
      <c r="M2163" s="6">
        <v>0.1</v>
      </c>
      <c r="N2163" s="6">
        <v>0.1</v>
      </c>
      <c r="O2163" s="6">
        <v>0.1</v>
      </c>
      <c r="P2163" s="6">
        <v>0</v>
      </c>
      <c r="Q2163" s="4" t="s">
        <v>26</v>
      </c>
      <c r="R2163" s="4">
        <v>0</v>
      </c>
      <c r="S2163" s="6">
        <v>0</v>
      </c>
      <c r="T2163" s="6">
        <v>73</v>
      </c>
      <c r="U2163" s="6">
        <v>116</v>
      </c>
      <c r="V2163" s="6">
        <f>IF(ISERROR(VLOOKUP($S$2163,'TAR FIN'!$A$1:$O$120,15,0)),0,VLOOKUP($S$2163,'TAR FIN'!$A$1:$O$120,15,0))</f>
        <v>0</v>
      </c>
      <c r="W2163" s="6">
        <f>IF(ISERROR(VLOOKUP($T$2163,'TAR FIN'!$A$1:$O$120,15,0)),0,VLOOKUP($T$2163,'TAR FIN'!$A$1:$O$120,15,0))</f>
        <v>247.09</v>
      </c>
      <c r="X2163" s="6">
        <f>IF(ISERROR(VLOOKUP($U$2163,'TAR FIN'!$A$1:$O$120,15,0)),0,VLOOKUP($U$2163,'TAR FIN'!$A$1:$O$120,15,0))</f>
        <v>270.92</v>
      </c>
      <c r="Y2163" s="6"/>
      <c r="Z2163" s="6">
        <f ca="1">('TUSD BE'!$AM$83+'TUSD BF'!$AM$83+'TUSD CVA'!$AM$83)*1</f>
        <v>271.87486773292784</v>
      </c>
      <c r="AA2163" s="6">
        <f>('TE BE'!$AA$47+'TE BF'!$AA$47+'TE CVA'!$AA$47)*1</f>
        <v>242.90567551581066</v>
      </c>
      <c r="AB2163" s="6">
        <f>$K$2163*$V$2163</f>
        <v>0</v>
      </c>
      <c r="AC2163" s="6">
        <f>$M$2163*$W$2163</f>
        <v>24.709000000000003</v>
      </c>
      <c r="AD2163" s="6">
        <f>$O$2163*$X$2163</f>
        <v>27.092000000000002</v>
      </c>
      <c r="AE2163" s="6">
        <f>$K$2163*$Y$2163</f>
        <v>0</v>
      </c>
      <c r="AF2163" s="6">
        <f ca="1">$M$2163*$Z$2163</f>
        <v>27.187486773292786</v>
      </c>
      <c r="AG2163" s="6">
        <f>$O$2163*$AA$2163</f>
        <v>24.290567551581066</v>
      </c>
    </row>
    <row r="2164" spans="1:33" ht="11.25" customHeight="1" x14ac:dyDescent="0.25">
      <c r="A2164" s="4" t="s">
        <v>21</v>
      </c>
      <c r="B2164" s="4" t="s">
        <v>39</v>
      </c>
      <c r="C2164" s="4" t="s">
        <v>23</v>
      </c>
      <c r="D2164" s="4" t="s">
        <v>42</v>
      </c>
      <c r="E2164" s="4" t="s">
        <v>25</v>
      </c>
      <c r="F2164" s="4" t="s">
        <v>25</v>
      </c>
      <c r="G2164" s="4" t="s">
        <v>25</v>
      </c>
      <c r="H2164" s="4" t="s">
        <v>25</v>
      </c>
      <c r="I2164" s="5">
        <v>44044</v>
      </c>
      <c r="J2164" s="6">
        <v>0</v>
      </c>
      <c r="K2164" s="6">
        <v>0</v>
      </c>
      <c r="L2164" s="6">
        <v>66624.33</v>
      </c>
      <c r="M2164" s="6">
        <v>66624.33</v>
      </c>
      <c r="N2164" s="6">
        <v>66624.33</v>
      </c>
      <c r="O2164" s="6">
        <v>66624.33</v>
      </c>
      <c r="P2164" s="6">
        <v>111468</v>
      </c>
      <c r="Q2164" s="4" t="s">
        <v>26</v>
      </c>
      <c r="R2164" s="4">
        <v>0</v>
      </c>
      <c r="S2164" s="6">
        <v>0</v>
      </c>
      <c r="T2164" s="6">
        <v>73</v>
      </c>
      <c r="U2164" s="6">
        <v>116</v>
      </c>
      <c r="V2164" s="6">
        <f>IF(ISERROR(VLOOKUP($S$2164,'TAR FIN'!$A$1:$O$120,15,0)),0,VLOOKUP($S$2164,'TAR FIN'!$A$1:$O$120,15,0))</f>
        <v>0</v>
      </c>
      <c r="W2164" s="6">
        <f>IF(ISERROR(VLOOKUP($T$2164,'TAR FIN'!$A$1:$O$120,15,0)),0,VLOOKUP($T$2164,'TAR FIN'!$A$1:$O$120,15,0))</f>
        <v>247.09</v>
      </c>
      <c r="X2164" s="6">
        <f>IF(ISERROR(VLOOKUP($U$2164,'TAR FIN'!$A$1:$O$120,15,0)),0,VLOOKUP($U$2164,'TAR FIN'!$A$1:$O$120,15,0))</f>
        <v>270.92</v>
      </c>
      <c r="Y2164" s="6"/>
      <c r="Z2164" s="6">
        <f ca="1">('TUSD BE'!$AM$83+'TUSD BF'!$AM$83+'TUSD CVA'!$AM$83)*1</f>
        <v>271.87486773292784</v>
      </c>
      <c r="AA2164" s="6">
        <f>('TE BE'!$AA$47+'TE BF'!$AA$47+'TE CVA'!$AA$47)*1</f>
        <v>242.90567551581066</v>
      </c>
      <c r="AB2164" s="6">
        <f>$K$2164*$V$2164</f>
        <v>0</v>
      </c>
      <c r="AC2164" s="6">
        <f>$M$2164*$W$2164</f>
        <v>16462205.6997</v>
      </c>
      <c r="AD2164" s="6">
        <f>$O$2164*$X$2164</f>
        <v>18049863.483600002</v>
      </c>
      <c r="AE2164" s="6">
        <f>$K$2164*$Y$2164</f>
        <v>0</v>
      </c>
      <c r="AF2164" s="6">
        <f ca="1">$M$2164*$Z$2164</f>
        <v>18113480.906544935</v>
      </c>
      <c r="AG2164" s="6">
        <f>$O$2164*$AA$2164</f>
        <v>16183427.884438289</v>
      </c>
    </row>
    <row r="2165" spans="1:33" ht="11.25" customHeight="1" x14ac:dyDescent="0.25">
      <c r="A2165" s="4" t="s">
        <v>27</v>
      </c>
      <c r="B2165" s="4" t="s">
        <v>39</v>
      </c>
      <c r="C2165" s="4" t="s">
        <v>23</v>
      </c>
      <c r="D2165" s="4" t="s">
        <v>42</v>
      </c>
      <c r="E2165" s="4" t="s">
        <v>25</v>
      </c>
      <c r="F2165" s="4" t="s">
        <v>25</v>
      </c>
      <c r="G2165" s="4" t="s">
        <v>25</v>
      </c>
      <c r="H2165" s="4" t="s">
        <v>25</v>
      </c>
      <c r="I2165" s="5">
        <v>44044</v>
      </c>
      <c r="J2165" s="6">
        <v>0</v>
      </c>
      <c r="K2165" s="6">
        <v>0</v>
      </c>
      <c r="L2165" s="6">
        <v>230.726</v>
      </c>
      <c r="M2165" s="6">
        <v>230.726</v>
      </c>
      <c r="N2165" s="6">
        <v>230.726</v>
      </c>
      <c r="O2165" s="6">
        <v>230.726</v>
      </c>
      <c r="P2165" s="6">
        <v>164</v>
      </c>
      <c r="Q2165" s="4" t="s">
        <v>26</v>
      </c>
      <c r="R2165" s="4">
        <v>0</v>
      </c>
      <c r="S2165" s="6">
        <v>0</v>
      </c>
      <c r="T2165" s="6">
        <v>73</v>
      </c>
      <c r="U2165" s="6">
        <v>116</v>
      </c>
      <c r="V2165" s="6">
        <f>IF(ISERROR(VLOOKUP($S$2165,'TAR FIN'!$A$1:$O$120,15,0)),0,VLOOKUP($S$2165,'TAR FIN'!$A$1:$O$120,15,0))</f>
        <v>0</v>
      </c>
      <c r="W2165" s="6">
        <f>IF(ISERROR(VLOOKUP($T$2165,'TAR FIN'!$A$1:$O$120,15,0)),0,VLOOKUP($T$2165,'TAR FIN'!$A$1:$O$120,15,0))</f>
        <v>247.09</v>
      </c>
      <c r="X2165" s="6">
        <f>IF(ISERROR(VLOOKUP($U$2165,'TAR FIN'!$A$1:$O$120,15,0)),0,VLOOKUP($U$2165,'TAR FIN'!$A$1:$O$120,15,0))</f>
        <v>270.92</v>
      </c>
      <c r="Y2165" s="6"/>
      <c r="Z2165" s="6">
        <f ca="1">('TUSD BE'!$AM$83+'TUSD BF'!$AM$83+'TUSD CVA'!$AM$83)*1</f>
        <v>271.87486773292784</v>
      </c>
      <c r="AA2165" s="6">
        <f>('TE BE'!$AA$47+'TE BF'!$AA$47+'TE CVA'!$AA$47)*1</f>
        <v>242.90567551581066</v>
      </c>
      <c r="AB2165" s="6">
        <f>$K$2165*$V$2165</f>
        <v>0</v>
      </c>
      <c r="AC2165" s="6">
        <f>$M$2165*$W$2165</f>
        <v>57010.087339999998</v>
      </c>
      <c r="AD2165" s="6">
        <f>$O$2165*$X$2165</f>
        <v>62508.287920000002</v>
      </c>
      <c r="AE2165" s="6">
        <f>$K$2165*$Y$2165</f>
        <v>0</v>
      </c>
      <c r="AF2165" s="6">
        <f ca="1">$M$2165*$Z$2165</f>
        <v>62728.600732547508</v>
      </c>
      <c r="AG2165" s="6">
        <f>$O$2165*$AA$2165</f>
        <v>56044.654889060927</v>
      </c>
    </row>
    <row r="2166" spans="1:33" ht="11.25" customHeight="1" x14ac:dyDescent="0.25">
      <c r="A2166" s="4" t="s">
        <v>28</v>
      </c>
      <c r="B2166" s="4" t="s">
        <v>39</v>
      </c>
      <c r="C2166" s="4" t="s">
        <v>23</v>
      </c>
      <c r="D2166" s="4" t="s">
        <v>42</v>
      </c>
      <c r="E2166" s="4" t="s">
        <v>25</v>
      </c>
      <c r="F2166" s="4" t="s">
        <v>25</v>
      </c>
      <c r="G2166" s="4" t="s">
        <v>25</v>
      </c>
      <c r="H2166" s="4" t="s">
        <v>25</v>
      </c>
      <c r="I2166" s="5">
        <v>44044</v>
      </c>
      <c r="J2166" s="6">
        <v>0</v>
      </c>
      <c r="K2166" s="6">
        <v>0</v>
      </c>
      <c r="L2166" s="6">
        <v>319.80399999999997</v>
      </c>
      <c r="M2166" s="6">
        <v>319.80399999999997</v>
      </c>
      <c r="N2166" s="6">
        <v>319.80399999999997</v>
      </c>
      <c r="O2166" s="6">
        <v>319.80399999999997</v>
      </c>
      <c r="P2166" s="6">
        <v>137</v>
      </c>
      <c r="Q2166" s="4" t="s">
        <v>26</v>
      </c>
      <c r="R2166" s="4">
        <v>0</v>
      </c>
      <c r="S2166" s="6">
        <v>0</v>
      </c>
      <c r="T2166" s="6">
        <v>73</v>
      </c>
      <c r="U2166" s="6">
        <v>116</v>
      </c>
      <c r="V2166" s="6">
        <f>IF(ISERROR(VLOOKUP($S$2166,'TAR FIN'!$A$1:$O$120,15,0)),0,VLOOKUP($S$2166,'TAR FIN'!$A$1:$O$120,15,0))</f>
        <v>0</v>
      </c>
      <c r="W2166" s="6">
        <f>IF(ISERROR(VLOOKUP($T$2166,'TAR FIN'!$A$1:$O$120,15,0)),0,VLOOKUP($T$2166,'TAR FIN'!$A$1:$O$120,15,0))</f>
        <v>247.09</v>
      </c>
      <c r="X2166" s="6">
        <f>IF(ISERROR(VLOOKUP($U$2166,'TAR FIN'!$A$1:$O$120,15,0)),0,VLOOKUP($U$2166,'TAR FIN'!$A$1:$O$120,15,0))</f>
        <v>270.92</v>
      </c>
      <c r="Y2166" s="6"/>
      <c r="Z2166" s="6">
        <f ca="1">('TUSD BE'!$AM$83+'TUSD BF'!$AM$83+'TUSD CVA'!$AM$83)*1</f>
        <v>271.87486773292784</v>
      </c>
      <c r="AA2166" s="6">
        <f>('TE BE'!$AA$47+'TE BF'!$AA$47+'TE CVA'!$AA$47)*1</f>
        <v>242.90567551581066</v>
      </c>
      <c r="AB2166" s="6">
        <f>$K$2166*$V$2166</f>
        <v>0</v>
      </c>
      <c r="AC2166" s="6">
        <f>$M$2166*$W$2166</f>
        <v>79020.370360000001</v>
      </c>
      <c r="AD2166" s="6">
        <f>$O$2166*$X$2166</f>
        <v>86641.299679999996</v>
      </c>
      <c r="AE2166" s="6">
        <f>$K$2166*$Y$2166</f>
        <v>0</v>
      </c>
      <c r="AF2166" s="6">
        <f ca="1">$M$2166*$Z$2166</f>
        <v>86946.670200461245</v>
      </c>
      <c r="AG2166" s="6">
        <f>$O$2166*$AA$2166</f>
        <v>77682.206652658308</v>
      </c>
    </row>
    <row r="2167" spans="1:33" ht="11.25" customHeight="1" x14ac:dyDescent="0.25">
      <c r="A2167" s="4" t="s">
        <v>59</v>
      </c>
      <c r="B2167" s="4" t="s">
        <v>39</v>
      </c>
      <c r="C2167" s="4" t="s">
        <v>23</v>
      </c>
      <c r="D2167" s="4" t="s">
        <v>42</v>
      </c>
      <c r="E2167" s="4" t="s">
        <v>25</v>
      </c>
      <c r="F2167" s="4" t="s">
        <v>25</v>
      </c>
      <c r="G2167" s="4" t="s">
        <v>25</v>
      </c>
      <c r="H2167" s="4" t="s">
        <v>25</v>
      </c>
      <c r="I2167" s="5">
        <v>44075</v>
      </c>
      <c r="J2167" s="6">
        <v>0</v>
      </c>
      <c r="K2167" s="6">
        <v>0</v>
      </c>
      <c r="L2167" s="6">
        <v>66624.33</v>
      </c>
      <c r="M2167" s="6">
        <v>66624.33</v>
      </c>
      <c r="N2167" s="6">
        <v>66624.33</v>
      </c>
      <c r="O2167" s="6">
        <v>66624.33</v>
      </c>
      <c r="P2167" s="6">
        <v>111468</v>
      </c>
      <c r="Q2167" s="4" t="s">
        <v>26</v>
      </c>
      <c r="R2167" s="4">
        <v>0</v>
      </c>
      <c r="S2167" s="6">
        <v>0</v>
      </c>
      <c r="T2167" s="6">
        <v>73</v>
      </c>
      <c r="U2167" s="6">
        <v>116</v>
      </c>
      <c r="V2167" s="6">
        <f>IF(ISERROR(VLOOKUP($S$2167,'TAR FIN'!$A$1:$O$120,15,0)),0,VLOOKUP($S$2167,'TAR FIN'!$A$1:$O$120,15,0))</f>
        <v>0</v>
      </c>
      <c r="W2167" s="6">
        <f>IF(ISERROR(VLOOKUP($T$2167,'TAR FIN'!$A$1:$O$120,15,0)),0,VLOOKUP($T$2167,'TAR FIN'!$A$1:$O$120,15,0))</f>
        <v>247.09</v>
      </c>
      <c r="X2167" s="6">
        <f>IF(ISERROR(VLOOKUP($U$2167,'TAR FIN'!$A$1:$O$120,15,0)),0,VLOOKUP($U$2167,'TAR FIN'!$A$1:$O$120,15,0))</f>
        <v>270.92</v>
      </c>
      <c r="Y2167" s="6"/>
      <c r="Z2167" s="6">
        <f ca="1">('TUSD BE'!$AM$83+'TUSD BF'!$AM$83+'TUSD CVA'!$AM$83)*1</f>
        <v>271.87486773292784</v>
      </c>
      <c r="AA2167" s="6">
        <f>('TE BE'!$AA$47+'TE BF'!$AA$47+'TE CVA'!$AA$47)*1</f>
        <v>242.90567551581066</v>
      </c>
      <c r="AB2167" s="6">
        <f>$K$2167*$V$2167</f>
        <v>0</v>
      </c>
      <c r="AC2167" s="6">
        <f>$M$2167*$W$2167</f>
        <v>16462205.6997</v>
      </c>
      <c r="AD2167" s="6">
        <f>$O$2167*$X$2167</f>
        <v>18049863.483600002</v>
      </c>
      <c r="AE2167" s="6">
        <f>$K$2167*$Y$2167</f>
        <v>0</v>
      </c>
      <c r="AF2167" s="6">
        <f ca="1">$M$2167*$Z$2167</f>
        <v>18113480.906544935</v>
      </c>
      <c r="AG2167" s="6">
        <f>$O$2167*$AA$2167</f>
        <v>16183427.884438289</v>
      </c>
    </row>
    <row r="2168" spans="1:33" ht="11.25" customHeight="1" x14ac:dyDescent="0.25">
      <c r="A2168" s="4" t="s">
        <v>59</v>
      </c>
      <c r="B2168" s="4" t="s">
        <v>39</v>
      </c>
      <c r="C2168" s="4" t="s">
        <v>23</v>
      </c>
      <c r="D2168" s="4" t="s">
        <v>42</v>
      </c>
      <c r="E2168" s="4" t="s">
        <v>25</v>
      </c>
      <c r="F2168" s="4" t="s">
        <v>25</v>
      </c>
      <c r="G2168" s="4" t="s">
        <v>25</v>
      </c>
      <c r="H2168" s="4" t="s">
        <v>25</v>
      </c>
      <c r="I2168" s="5">
        <v>44075</v>
      </c>
      <c r="J2168" s="6">
        <v>0</v>
      </c>
      <c r="K2168" s="6">
        <v>0</v>
      </c>
      <c r="L2168" s="6">
        <v>230.726</v>
      </c>
      <c r="M2168" s="6">
        <v>230.726</v>
      </c>
      <c r="N2168" s="6">
        <v>230.726</v>
      </c>
      <c r="O2168" s="6">
        <v>230.726</v>
      </c>
      <c r="P2168" s="6">
        <v>164</v>
      </c>
      <c r="Q2168" s="4" t="s">
        <v>26</v>
      </c>
      <c r="R2168" s="4">
        <v>0</v>
      </c>
      <c r="S2168" s="6">
        <v>0</v>
      </c>
      <c r="T2168" s="6">
        <v>73</v>
      </c>
      <c r="U2168" s="6">
        <v>116</v>
      </c>
      <c r="V2168" s="6">
        <f>IF(ISERROR(VLOOKUP($S$2168,'TAR FIN'!$A$1:$O$120,15,0)),0,VLOOKUP($S$2168,'TAR FIN'!$A$1:$O$120,15,0))</f>
        <v>0</v>
      </c>
      <c r="W2168" s="6">
        <f>IF(ISERROR(VLOOKUP($T$2168,'TAR FIN'!$A$1:$O$120,15,0)),0,VLOOKUP($T$2168,'TAR FIN'!$A$1:$O$120,15,0))</f>
        <v>247.09</v>
      </c>
      <c r="X2168" s="6">
        <f>IF(ISERROR(VLOOKUP($U$2168,'TAR FIN'!$A$1:$O$120,15,0)),0,VLOOKUP($U$2168,'TAR FIN'!$A$1:$O$120,15,0))</f>
        <v>270.92</v>
      </c>
      <c r="Y2168" s="6"/>
      <c r="Z2168" s="6">
        <f ca="1">('TUSD BE'!$AM$83+'TUSD BF'!$AM$83+'TUSD CVA'!$AM$83)*1</f>
        <v>271.87486773292784</v>
      </c>
      <c r="AA2168" s="6">
        <f>('TE BE'!$AA$47+'TE BF'!$AA$47+'TE CVA'!$AA$47)*1</f>
        <v>242.90567551581066</v>
      </c>
      <c r="AB2168" s="6">
        <f>$K$2168*$V$2168</f>
        <v>0</v>
      </c>
      <c r="AC2168" s="6">
        <f>$M$2168*$W$2168</f>
        <v>57010.087339999998</v>
      </c>
      <c r="AD2168" s="6">
        <f>$O$2168*$X$2168</f>
        <v>62508.287920000002</v>
      </c>
      <c r="AE2168" s="6">
        <f>$K$2168*$Y$2168</f>
        <v>0</v>
      </c>
      <c r="AF2168" s="6">
        <f ca="1">$M$2168*$Z$2168</f>
        <v>62728.600732547508</v>
      </c>
      <c r="AG2168" s="6">
        <f>$O$2168*$AA$2168</f>
        <v>56044.654889060927</v>
      </c>
    </row>
    <row r="2169" spans="1:33" ht="11.25" customHeight="1" x14ac:dyDescent="0.25">
      <c r="A2169" s="4" t="s">
        <v>59</v>
      </c>
      <c r="B2169" s="4" t="s">
        <v>39</v>
      </c>
      <c r="C2169" s="4" t="s">
        <v>23</v>
      </c>
      <c r="D2169" s="4" t="s">
        <v>42</v>
      </c>
      <c r="E2169" s="4" t="s">
        <v>25</v>
      </c>
      <c r="F2169" s="4" t="s">
        <v>25</v>
      </c>
      <c r="G2169" s="4" t="s">
        <v>25</v>
      </c>
      <c r="H2169" s="4" t="s">
        <v>25</v>
      </c>
      <c r="I2169" s="5">
        <v>44075</v>
      </c>
      <c r="J2169" s="6">
        <v>0</v>
      </c>
      <c r="K2169" s="6">
        <v>0</v>
      </c>
      <c r="L2169" s="6">
        <v>319.80399999999997</v>
      </c>
      <c r="M2169" s="6">
        <v>319.80399999999997</v>
      </c>
      <c r="N2169" s="6">
        <v>319.80399999999997</v>
      </c>
      <c r="O2169" s="6">
        <v>319.80399999999997</v>
      </c>
      <c r="P2169" s="6">
        <v>137</v>
      </c>
      <c r="Q2169" s="4" t="s">
        <v>26</v>
      </c>
      <c r="R2169" s="4">
        <v>0</v>
      </c>
      <c r="S2169" s="6">
        <v>0</v>
      </c>
      <c r="T2169" s="6">
        <v>73</v>
      </c>
      <c r="U2169" s="6">
        <v>116</v>
      </c>
      <c r="V2169" s="6">
        <f>IF(ISERROR(VLOOKUP($S$2169,'TAR FIN'!$A$1:$O$120,15,0)),0,VLOOKUP($S$2169,'TAR FIN'!$A$1:$O$120,15,0))</f>
        <v>0</v>
      </c>
      <c r="W2169" s="6">
        <f>IF(ISERROR(VLOOKUP($T$2169,'TAR FIN'!$A$1:$O$120,15,0)),0,VLOOKUP($T$2169,'TAR FIN'!$A$1:$O$120,15,0))</f>
        <v>247.09</v>
      </c>
      <c r="X2169" s="6">
        <f>IF(ISERROR(VLOOKUP($U$2169,'TAR FIN'!$A$1:$O$120,15,0)),0,VLOOKUP($U$2169,'TAR FIN'!$A$1:$O$120,15,0))</f>
        <v>270.92</v>
      </c>
      <c r="Y2169" s="6"/>
      <c r="Z2169" s="6">
        <f ca="1">('TUSD BE'!$AM$83+'TUSD BF'!$AM$83+'TUSD CVA'!$AM$83)*1</f>
        <v>271.87486773292784</v>
      </c>
      <c r="AA2169" s="6">
        <f>('TE BE'!$AA$47+'TE BF'!$AA$47+'TE CVA'!$AA$47)*1</f>
        <v>242.90567551581066</v>
      </c>
      <c r="AB2169" s="6">
        <f>$K$2169*$V$2169</f>
        <v>0</v>
      </c>
      <c r="AC2169" s="6">
        <f>$M$2169*$W$2169</f>
        <v>79020.370360000001</v>
      </c>
      <c r="AD2169" s="6">
        <f>$O$2169*$X$2169</f>
        <v>86641.299679999996</v>
      </c>
      <c r="AE2169" s="6">
        <f>$K$2169*$Y$2169</f>
        <v>0</v>
      </c>
      <c r="AF2169" s="6">
        <f ca="1">$M$2169*$Z$2169</f>
        <v>86946.670200461245</v>
      </c>
      <c r="AG2169" s="6">
        <f>$O$2169*$AA$2169</f>
        <v>77682.206652658308</v>
      </c>
    </row>
    <row r="2170" spans="1:33" ht="11.25" customHeight="1" x14ac:dyDescent="0.25">
      <c r="A2170" s="4" t="s">
        <v>21</v>
      </c>
      <c r="B2170" s="4" t="s">
        <v>39</v>
      </c>
      <c r="C2170" s="4" t="s">
        <v>23</v>
      </c>
      <c r="D2170" s="4" t="s">
        <v>54</v>
      </c>
      <c r="E2170" s="4" t="s">
        <v>25</v>
      </c>
      <c r="F2170" s="4" t="s">
        <v>25</v>
      </c>
      <c r="G2170" s="4" t="s">
        <v>25</v>
      </c>
      <c r="H2170" s="4" t="s">
        <v>25</v>
      </c>
      <c r="I2170" s="5">
        <v>43739</v>
      </c>
      <c r="J2170" s="6">
        <v>0</v>
      </c>
      <c r="K2170" s="6">
        <v>0</v>
      </c>
      <c r="L2170" s="6">
        <v>107.396</v>
      </c>
      <c r="M2170" s="6">
        <v>107.396</v>
      </c>
      <c r="N2170" s="6">
        <v>107.396</v>
      </c>
      <c r="O2170" s="6">
        <v>107.396</v>
      </c>
      <c r="P2170" s="6">
        <v>41</v>
      </c>
      <c r="Q2170" s="4" t="s">
        <v>26</v>
      </c>
      <c r="R2170" s="4">
        <v>0</v>
      </c>
      <c r="S2170" s="6">
        <v>0</v>
      </c>
      <c r="T2170" s="6">
        <v>73</v>
      </c>
      <c r="U2170" s="6">
        <v>116</v>
      </c>
      <c r="V2170" s="6">
        <f>IF(ISERROR(VLOOKUP($S$2170,'TAR FIN'!$A$1:$O$120,15,0)),0,VLOOKUP($S$2170,'TAR FIN'!$A$1:$O$120,15,0))</f>
        <v>0</v>
      </c>
      <c r="W2170" s="6">
        <f>IF(ISERROR(VLOOKUP($T$2170,'TAR FIN'!$A$1:$O$120,15,0)),0,VLOOKUP($T$2170,'TAR FIN'!$A$1:$O$120,15,0))</f>
        <v>247.09</v>
      </c>
      <c r="X2170" s="6">
        <f>IF(ISERROR(VLOOKUP($U$2170,'TAR FIN'!$A$1:$O$120,15,0)),0,VLOOKUP($U$2170,'TAR FIN'!$A$1:$O$120,15,0))</f>
        <v>270.92</v>
      </c>
      <c r="Y2170" s="6"/>
      <c r="Z2170" s="6">
        <f ca="1">('TUSD BE'!$AM$83+'TUSD BF'!$AM$83+'TUSD CVA'!$AM$83)*1</f>
        <v>271.87486773292784</v>
      </c>
      <c r="AA2170" s="6">
        <f>('TE BE'!$AA$47+'TE BF'!$AA$47+'TE CVA'!$AA$47)*1</f>
        <v>242.90567551581066</v>
      </c>
      <c r="AB2170" s="6">
        <f>$K$2170*$V$2170</f>
        <v>0</v>
      </c>
      <c r="AC2170" s="6">
        <f>$M$2170*$W$2170</f>
        <v>26536.477640000001</v>
      </c>
      <c r="AD2170" s="6">
        <f>$O$2170*$X$2170</f>
        <v>29095.724320000001</v>
      </c>
      <c r="AE2170" s="6">
        <f>$K$2170*$Y$2170</f>
        <v>0</v>
      </c>
      <c r="AF2170" s="6">
        <f ca="1">$M$2170*$Z$2170</f>
        <v>29198.273295045517</v>
      </c>
      <c r="AG2170" s="6">
        <f>$O$2170*$AA$2170</f>
        <v>26087.097927696002</v>
      </c>
    </row>
    <row r="2171" spans="1:33" ht="11.25" customHeight="1" x14ac:dyDescent="0.25">
      <c r="A2171" s="4" t="s">
        <v>21</v>
      </c>
      <c r="B2171" s="4" t="s">
        <v>39</v>
      </c>
      <c r="C2171" s="4" t="s">
        <v>23</v>
      </c>
      <c r="D2171" s="4" t="s">
        <v>54</v>
      </c>
      <c r="E2171" s="4" t="s">
        <v>25</v>
      </c>
      <c r="F2171" s="4" t="s">
        <v>25</v>
      </c>
      <c r="G2171" s="4" t="s">
        <v>25</v>
      </c>
      <c r="H2171" s="4" t="s">
        <v>25</v>
      </c>
      <c r="I2171" s="5">
        <v>43770</v>
      </c>
      <c r="J2171" s="6">
        <v>0</v>
      </c>
      <c r="K2171" s="6">
        <v>0</v>
      </c>
      <c r="L2171" s="6">
        <v>108.178</v>
      </c>
      <c r="M2171" s="6">
        <v>108.178</v>
      </c>
      <c r="N2171" s="6">
        <v>108.178</v>
      </c>
      <c r="O2171" s="6">
        <v>108.178</v>
      </c>
      <c r="P2171" s="6">
        <v>41</v>
      </c>
      <c r="Q2171" s="4" t="s">
        <v>26</v>
      </c>
      <c r="R2171" s="4">
        <v>0</v>
      </c>
      <c r="S2171" s="6">
        <v>0</v>
      </c>
      <c r="T2171" s="6">
        <v>73</v>
      </c>
      <c r="U2171" s="6">
        <v>116</v>
      </c>
      <c r="V2171" s="6">
        <f>IF(ISERROR(VLOOKUP($S$2171,'TAR FIN'!$A$1:$O$120,15,0)),0,VLOOKUP($S$2171,'TAR FIN'!$A$1:$O$120,15,0))</f>
        <v>0</v>
      </c>
      <c r="W2171" s="6">
        <f>IF(ISERROR(VLOOKUP($T$2171,'TAR FIN'!$A$1:$O$120,15,0)),0,VLOOKUP($T$2171,'TAR FIN'!$A$1:$O$120,15,0))</f>
        <v>247.09</v>
      </c>
      <c r="X2171" s="6">
        <f>IF(ISERROR(VLOOKUP($U$2171,'TAR FIN'!$A$1:$O$120,15,0)),0,VLOOKUP($U$2171,'TAR FIN'!$A$1:$O$120,15,0))</f>
        <v>270.92</v>
      </c>
      <c r="Y2171" s="6"/>
      <c r="Z2171" s="6">
        <f ca="1">('TUSD BE'!$AM$83+'TUSD BF'!$AM$83+'TUSD CVA'!$AM$83)*1</f>
        <v>271.87486773292784</v>
      </c>
      <c r="AA2171" s="6">
        <f>('TE BE'!$AA$47+'TE BF'!$AA$47+'TE CVA'!$AA$47)*1</f>
        <v>242.90567551581066</v>
      </c>
      <c r="AB2171" s="6">
        <f>$K$2171*$V$2171</f>
        <v>0</v>
      </c>
      <c r="AC2171" s="6">
        <f>$M$2171*$W$2171</f>
        <v>26729.702020000001</v>
      </c>
      <c r="AD2171" s="6">
        <f>$O$2171*$X$2171</f>
        <v>29307.583760000001</v>
      </c>
      <c r="AE2171" s="6">
        <f>$K$2171*$Y$2171</f>
        <v>0</v>
      </c>
      <c r="AF2171" s="6">
        <f ca="1">$M$2171*$Z$2171</f>
        <v>29410.879441612666</v>
      </c>
      <c r="AG2171" s="6">
        <f>$O$2171*$AA$2171</f>
        <v>26277.050165949364</v>
      </c>
    </row>
    <row r="2172" spans="1:33" ht="11.25" customHeight="1" x14ac:dyDescent="0.25">
      <c r="A2172" s="4" t="s">
        <v>21</v>
      </c>
      <c r="B2172" s="4" t="s">
        <v>39</v>
      </c>
      <c r="C2172" s="4" t="s">
        <v>23</v>
      </c>
      <c r="D2172" s="4" t="s">
        <v>54</v>
      </c>
      <c r="E2172" s="4" t="s">
        <v>25</v>
      </c>
      <c r="F2172" s="4" t="s">
        <v>25</v>
      </c>
      <c r="G2172" s="4" t="s">
        <v>25</v>
      </c>
      <c r="H2172" s="4" t="s">
        <v>25</v>
      </c>
      <c r="I2172" s="5">
        <v>43800</v>
      </c>
      <c r="J2172" s="6">
        <v>0</v>
      </c>
      <c r="K2172" s="6">
        <v>0</v>
      </c>
      <c r="L2172" s="6">
        <v>104.063</v>
      </c>
      <c r="M2172" s="6">
        <v>104.063</v>
      </c>
      <c r="N2172" s="6">
        <v>104.063</v>
      </c>
      <c r="O2172" s="6">
        <v>104.063</v>
      </c>
      <c r="P2172" s="6">
        <v>41</v>
      </c>
      <c r="Q2172" s="4" t="s">
        <v>26</v>
      </c>
      <c r="R2172" s="4">
        <v>0</v>
      </c>
      <c r="S2172" s="6">
        <v>0</v>
      </c>
      <c r="T2172" s="6">
        <v>73</v>
      </c>
      <c r="U2172" s="6">
        <v>116</v>
      </c>
      <c r="V2172" s="6">
        <f>IF(ISERROR(VLOOKUP($S$2172,'TAR FIN'!$A$1:$O$120,15,0)),0,VLOOKUP($S$2172,'TAR FIN'!$A$1:$O$120,15,0))</f>
        <v>0</v>
      </c>
      <c r="W2172" s="6">
        <f>IF(ISERROR(VLOOKUP($T$2172,'TAR FIN'!$A$1:$O$120,15,0)),0,VLOOKUP($T$2172,'TAR FIN'!$A$1:$O$120,15,0))</f>
        <v>247.09</v>
      </c>
      <c r="X2172" s="6">
        <f>IF(ISERROR(VLOOKUP($U$2172,'TAR FIN'!$A$1:$O$120,15,0)),0,VLOOKUP($U$2172,'TAR FIN'!$A$1:$O$120,15,0))</f>
        <v>270.92</v>
      </c>
      <c r="Y2172" s="6"/>
      <c r="Z2172" s="6">
        <f ca="1">('TUSD BE'!$AM$83+'TUSD BF'!$AM$83+'TUSD CVA'!$AM$83)*1</f>
        <v>271.87486773292784</v>
      </c>
      <c r="AA2172" s="6">
        <f>('TE BE'!$AA$47+'TE BF'!$AA$47+'TE CVA'!$AA$47)*1</f>
        <v>242.90567551581066</v>
      </c>
      <c r="AB2172" s="6">
        <f>$K$2172*$V$2172</f>
        <v>0</v>
      </c>
      <c r="AC2172" s="6">
        <f>$M$2172*$W$2172</f>
        <v>25712.926670000001</v>
      </c>
      <c r="AD2172" s="6">
        <f>$O$2172*$X$2172</f>
        <v>28192.747960000001</v>
      </c>
      <c r="AE2172" s="6">
        <f>$K$2172*$Y$2172</f>
        <v>0</v>
      </c>
      <c r="AF2172" s="6">
        <f ca="1">$M$2172*$Z$2172</f>
        <v>28292.114360891672</v>
      </c>
      <c r="AG2172" s="6">
        <f>$O$2172*$AA$2172</f>
        <v>25277.493311201804</v>
      </c>
    </row>
    <row r="2173" spans="1:33" ht="11.25" customHeight="1" x14ac:dyDescent="0.25">
      <c r="A2173" s="4" t="s">
        <v>21</v>
      </c>
      <c r="B2173" s="4" t="s">
        <v>39</v>
      </c>
      <c r="C2173" s="4" t="s">
        <v>23</v>
      </c>
      <c r="D2173" s="4" t="s">
        <v>54</v>
      </c>
      <c r="E2173" s="4" t="s">
        <v>25</v>
      </c>
      <c r="F2173" s="4" t="s">
        <v>25</v>
      </c>
      <c r="G2173" s="4" t="s">
        <v>25</v>
      </c>
      <c r="H2173" s="4" t="s">
        <v>25</v>
      </c>
      <c r="I2173" s="5">
        <v>43831</v>
      </c>
      <c r="J2173" s="6">
        <v>0</v>
      </c>
      <c r="K2173" s="6">
        <v>0</v>
      </c>
      <c r="L2173" s="6">
        <v>104.967</v>
      </c>
      <c r="M2173" s="6">
        <v>104.967</v>
      </c>
      <c r="N2173" s="6">
        <v>104.967</v>
      </c>
      <c r="O2173" s="6">
        <v>104.967</v>
      </c>
      <c r="P2173" s="6">
        <v>41</v>
      </c>
      <c r="Q2173" s="4" t="s">
        <v>26</v>
      </c>
      <c r="R2173" s="4">
        <v>0</v>
      </c>
      <c r="S2173" s="6">
        <v>0</v>
      </c>
      <c r="T2173" s="6">
        <v>73</v>
      </c>
      <c r="U2173" s="6">
        <v>116</v>
      </c>
      <c r="V2173" s="6">
        <f>IF(ISERROR(VLOOKUP($S$2173,'TAR FIN'!$A$1:$O$120,15,0)),0,VLOOKUP($S$2173,'TAR FIN'!$A$1:$O$120,15,0))</f>
        <v>0</v>
      </c>
      <c r="W2173" s="6">
        <f>IF(ISERROR(VLOOKUP($T$2173,'TAR FIN'!$A$1:$O$120,15,0)),0,VLOOKUP($T$2173,'TAR FIN'!$A$1:$O$120,15,0))</f>
        <v>247.09</v>
      </c>
      <c r="X2173" s="6">
        <f>IF(ISERROR(VLOOKUP($U$2173,'TAR FIN'!$A$1:$O$120,15,0)),0,VLOOKUP($U$2173,'TAR FIN'!$A$1:$O$120,15,0))</f>
        <v>270.92</v>
      </c>
      <c r="Y2173" s="6"/>
      <c r="Z2173" s="6">
        <f ca="1">('TUSD BE'!$AM$83+'TUSD BF'!$AM$83+'TUSD CVA'!$AM$83)*1</f>
        <v>271.87486773292784</v>
      </c>
      <c r="AA2173" s="6">
        <f>('TE BE'!$AA$47+'TE BF'!$AA$47+'TE CVA'!$AA$47)*1</f>
        <v>242.90567551581066</v>
      </c>
      <c r="AB2173" s="6">
        <f>$K$2173*$V$2173</f>
        <v>0</v>
      </c>
      <c r="AC2173" s="6">
        <f>$M$2173*$W$2173</f>
        <v>25936.296030000001</v>
      </c>
      <c r="AD2173" s="6">
        <f>$O$2173*$X$2173</f>
        <v>28437.659640000002</v>
      </c>
      <c r="AE2173" s="6">
        <f>$K$2173*$Y$2173</f>
        <v>0</v>
      </c>
      <c r="AF2173" s="6">
        <f ca="1">$M$2173*$Z$2173</f>
        <v>28537.889241322235</v>
      </c>
      <c r="AG2173" s="6">
        <f>$O$2173*$AA$2173</f>
        <v>25497.080041868096</v>
      </c>
    </row>
    <row r="2174" spans="1:33" ht="11.25" customHeight="1" x14ac:dyDescent="0.25">
      <c r="A2174" s="4" t="s">
        <v>21</v>
      </c>
      <c r="B2174" s="4" t="s">
        <v>39</v>
      </c>
      <c r="C2174" s="4" t="s">
        <v>23</v>
      </c>
      <c r="D2174" s="4" t="s">
        <v>54</v>
      </c>
      <c r="E2174" s="4" t="s">
        <v>25</v>
      </c>
      <c r="F2174" s="4" t="s">
        <v>25</v>
      </c>
      <c r="G2174" s="4" t="s">
        <v>25</v>
      </c>
      <c r="H2174" s="4" t="s">
        <v>25</v>
      </c>
      <c r="I2174" s="5">
        <v>43862</v>
      </c>
      <c r="J2174" s="6">
        <v>0</v>
      </c>
      <c r="K2174" s="6">
        <v>0</v>
      </c>
      <c r="L2174" s="6">
        <v>105.133</v>
      </c>
      <c r="M2174" s="6">
        <v>105.133</v>
      </c>
      <c r="N2174" s="6">
        <v>105.133</v>
      </c>
      <c r="O2174" s="6">
        <v>105.133</v>
      </c>
      <c r="P2174" s="6">
        <v>41</v>
      </c>
      <c r="Q2174" s="4" t="s">
        <v>26</v>
      </c>
      <c r="R2174" s="4">
        <v>0</v>
      </c>
      <c r="S2174" s="6">
        <v>0</v>
      </c>
      <c r="T2174" s="6">
        <v>73</v>
      </c>
      <c r="U2174" s="6">
        <v>116</v>
      </c>
      <c r="V2174" s="6">
        <f>IF(ISERROR(VLOOKUP($S$2174,'TAR FIN'!$A$1:$O$120,15,0)),0,VLOOKUP($S$2174,'TAR FIN'!$A$1:$O$120,15,0))</f>
        <v>0</v>
      </c>
      <c r="W2174" s="6">
        <f>IF(ISERROR(VLOOKUP($T$2174,'TAR FIN'!$A$1:$O$120,15,0)),0,VLOOKUP($T$2174,'TAR FIN'!$A$1:$O$120,15,0))</f>
        <v>247.09</v>
      </c>
      <c r="X2174" s="6">
        <f>IF(ISERROR(VLOOKUP($U$2174,'TAR FIN'!$A$1:$O$120,15,0)),0,VLOOKUP($U$2174,'TAR FIN'!$A$1:$O$120,15,0))</f>
        <v>270.92</v>
      </c>
      <c r="Y2174" s="6"/>
      <c r="Z2174" s="6">
        <f ca="1">('TUSD BE'!$AM$83+'TUSD BF'!$AM$83+'TUSD CVA'!$AM$83)*1</f>
        <v>271.87486773292784</v>
      </c>
      <c r="AA2174" s="6">
        <f>('TE BE'!$AA$47+'TE BF'!$AA$47+'TE CVA'!$AA$47)*1</f>
        <v>242.90567551581066</v>
      </c>
      <c r="AB2174" s="6">
        <f>$K$2174*$V$2174</f>
        <v>0</v>
      </c>
      <c r="AC2174" s="6">
        <f>$M$2174*$W$2174</f>
        <v>25977.312969999999</v>
      </c>
      <c r="AD2174" s="6">
        <f>$O$2174*$X$2174</f>
        <v>28482.63236</v>
      </c>
      <c r="AE2174" s="6">
        <f>$K$2174*$Y$2174</f>
        <v>0</v>
      </c>
      <c r="AF2174" s="6">
        <f ca="1">$M$2174*$Z$2174</f>
        <v>28583.0204693659</v>
      </c>
      <c r="AG2174" s="6">
        <f>$O$2174*$AA$2174</f>
        <v>25537.402384003719</v>
      </c>
    </row>
    <row r="2175" spans="1:33" ht="11.25" customHeight="1" x14ac:dyDescent="0.25">
      <c r="A2175" s="4" t="s">
        <v>21</v>
      </c>
      <c r="B2175" s="4" t="s">
        <v>39</v>
      </c>
      <c r="C2175" s="4" t="s">
        <v>23</v>
      </c>
      <c r="D2175" s="4" t="s">
        <v>54</v>
      </c>
      <c r="E2175" s="4" t="s">
        <v>25</v>
      </c>
      <c r="F2175" s="4" t="s">
        <v>25</v>
      </c>
      <c r="G2175" s="4" t="s">
        <v>25</v>
      </c>
      <c r="H2175" s="4" t="s">
        <v>25</v>
      </c>
      <c r="I2175" s="5">
        <v>43891</v>
      </c>
      <c r="J2175" s="6">
        <v>0</v>
      </c>
      <c r="K2175" s="6">
        <v>0</v>
      </c>
      <c r="L2175" s="6">
        <v>102.923</v>
      </c>
      <c r="M2175" s="6">
        <v>102.923</v>
      </c>
      <c r="N2175" s="6">
        <v>102.923</v>
      </c>
      <c r="O2175" s="6">
        <v>102.923</v>
      </c>
      <c r="P2175" s="6">
        <v>41</v>
      </c>
      <c r="Q2175" s="4" t="s">
        <v>26</v>
      </c>
      <c r="R2175" s="4">
        <v>0</v>
      </c>
      <c r="S2175" s="6">
        <v>0</v>
      </c>
      <c r="T2175" s="6">
        <v>73</v>
      </c>
      <c r="U2175" s="6">
        <v>116</v>
      </c>
      <c r="V2175" s="6">
        <f>IF(ISERROR(VLOOKUP($S$2175,'TAR FIN'!$A$1:$O$120,15,0)),0,VLOOKUP($S$2175,'TAR FIN'!$A$1:$O$120,15,0))</f>
        <v>0</v>
      </c>
      <c r="W2175" s="6">
        <f>IF(ISERROR(VLOOKUP($T$2175,'TAR FIN'!$A$1:$O$120,15,0)),0,VLOOKUP($T$2175,'TAR FIN'!$A$1:$O$120,15,0))</f>
        <v>247.09</v>
      </c>
      <c r="X2175" s="6">
        <f>IF(ISERROR(VLOOKUP($U$2175,'TAR FIN'!$A$1:$O$120,15,0)),0,VLOOKUP($U$2175,'TAR FIN'!$A$1:$O$120,15,0))</f>
        <v>270.92</v>
      </c>
      <c r="Y2175" s="6"/>
      <c r="Z2175" s="6">
        <f ca="1">('TUSD BE'!$AM$83+'TUSD BF'!$AM$83+'TUSD CVA'!$AM$83)*1</f>
        <v>271.87486773292784</v>
      </c>
      <c r="AA2175" s="6">
        <f>('TE BE'!$AA$47+'TE BF'!$AA$47+'TE CVA'!$AA$47)*1</f>
        <v>242.90567551581066</v>
      </c>
      <c r="AB2175" s="6">
        <f>$K$2175*$V$2175</f>
        <v>0</v>
      </c>
      <c r="AC2175" s="6">
        <f>$M$2175*$W$2175</f>
        <v>25431.244070000001</v>
      </c>
      <c r="AD2175" s="6">
        <f>$O$2175*$X$2175</f>
        <v>27883.899160000001</v>
      </c>
      <c r="AE2175" s="6">
        <f>$K$2175*$Y$2175</f>
        <v>0</v>
      </c>
      <c r="AF2175" s="6">
        <f ca="1">$M$2175*$Z$2175</f>
        <v>27982.177011676133</v>
      </c>
      <c r="AG2175" s="6">
        <f>$O$2175*$AA$2175</f>
        <v>25000.58084111378</v>
      </c>
    </row>
    <row r="2176" spans="1:33" ht="11.25" customHeight="1" x14ac:dyDescent="0.25">
      <c r="A2176" s="4" t="s">
        <v>21</v>
      </c>
      <c r="B2176" s="4" t="s">
        <v>39</v>
      </c>
      <c r="C2176" s="4" t="s">
        <v>23</v>
      </c>
      <c r="D2176" s="4" t="s">
        <v>54</v>
      </c>
      <c r="E2176" s="4" t="s">
        <v>25</v>
      </c>
      <c r="F2176" s="4" t="s">
        <v>25</v>
      </c>
      <c r="G2176" s="4" t="s">
        <v>25</v>
      </c>
      <c r="H2176" s="4" t="s">
        <v>25</v>
      </c>
      <c r="I2176" s="5">
        <v>43922</v>
      </c>
      <c r="J2176" s="6">
        <v>0</v>
      </c>
      <c r="K2176" s="6">
        <v>0</v>
      </c>
      <c r="L2176" s="6">
        <v>101.43600000000001</v>
      </c>
      <c r="M2176" s="6">
        <v>101.43600000000001</v>
      </c>
      <c r="N2176" s="6">
        <v>101.43600000000001</v>
      </c>
      <c r="O2176" s="6">
        <v>101.43600000000001</v>
      </c>
      <c r="P2176" s="6">
        <v>41</v>
      </c>
      <c r="Q2176" s="4" t="s">
        <v>26</v>
      </c>
      <c r="R2176" s="4">
        <v>0</v>
      </c>
      <c r="S2176" s="6">
        <v>0</v>
      </c>
      <c r="T2176" s="6">
        <v>73</v>
      </c>
      <c r="U2176" s="6">
        <v>116</v>
      </c>
      <c r="V2176" s="6">
        <f>IF(ISERROR(VLOOKUP($S$2176,'TAR FIN'!$A$1:$O$120,15,0)),0,VLOOKUP($S$2176,'TAR FIN'!$A$1:$O$120,15,0))</f>
        <v>0</v>
      </c>
      <c r="W2176" s="6">
        <f>IF(ISERROR(VLOOKUP($T$2176,'TAR FIN'!$A$1:$O$120,15,0)),0,VLOOKUP($T$2176,'TAR FIN'!$A$1:$O$120,15,0))</f>
        <v>247.09</v>
      </c>
      <c r="X2176" s="6">
        <f>IF(ISERROR(VLOOKUP($U$2176,'TAR FIN'!$A$1:$O$120,15,0)),0,VLOOKUP($U$2176,'TAR FIN'!$A$1:$O$120,15,0))</f>
        <v>270.92</v>
      </c>
      <c r="Y2176" s="6"/>
      <c r="Z2176" s="6">
        <f ca="1">('TUSD BE'!$AM$83+'TUSD BF'!$AM$83+'TUSD CVA'!$AM$83)*1</f>
        <v>271.87486773292784</v>
      </c>
      <c r="AA2176" s="6">
        <f>('TE BE'!$AA$47+'TE BF'!$AA$47+'TE CVA'!$AA$47)*1</f>
        <v>242.90567551581066</v>
      </c>
      <c r="AB2176" s="6">
        <f>$K$2176*$V$2176</f>
        <v>0</v>
      </c>
      <c r="AC2176" s="6">
        <f>$M$2176*$W$2176</f>
        <v>25063.821240000001</v>
      </c>
      <c r="AD2176" s="6">
        <f>$O$2176*$X$2176</f>
        <v>27481.041120000005</v>
      </c>
      <c r="AE2176" s="6">
        <f>$K$2176*$Y$2176</f>
        <v>0</v>
      </c>
      <c r="AF2176" s="6">
        <f ca="1">$M$2176*$Z$2176</f>
        <v>27577.899083357272</v>
      </c>
      <c r="AG2176" s="6">
        <f>$O$2176*$AA$2176</f>
        <v>24639.380101621773</v>
      </c>
    </row>
    <row r="2177" spans="1:33" ht="11.25" customHeight="1" x14ac:dyDescent="0.25">
      <c r="A2177" s="4" t="s">
        <v>21</v>
      </c>
      <c r="B2177" s="4" t="s">
        <v>39</v>
      </c>
      <c r="C2177" s="4" t="s">
        <v>23</v>
      </c>
      <c r="D2177" s="4" t="s">
        <v>54</v>
      </c>
      <c r="E2177" s="4" t="s">
        <v>25</v>
      </c>
      <c r="F2177" s="4" t="s">
        <v>25</v>
      </c>
      <c r="G2177" s="4" t="s">
        <v>25</v>
      </c>
      <c r="H2177" s="4" t="s">
        <v>25</v>
      </c>
      <c r="I2177" s="5">
        <v>43952</v>
      </c>
      <c r="J2177" s="6">
        <v>0</v>
      </c>
      <c r="K2177" s="6">
        <v>0</v>
      </c>
      <c r="L2177" s="6">
        <v>98.555000000000007</v>
      </c>
      <c r="M2177" s="6">
        <v>98.555000000000007</v>
      </c>
      <c r="N2177" s="6">
        <v>98.555000000000007</v>
      </c>
      <c r="O2177" s="6">
        <v>98.555000000000007</v>
      </c>
      <c r="P2177" s="6">
        <v>41</v>
      </c>
      <c r="Q2177" s="4" t="s">
        <v>26</v>
      </c>
      <c r="R2177" s="4">
        <v>0</v>
      </c>
      <c r="S2177" s="6">
        <v>0</v>
      </c>
      <c r="T2177" s="6">
        <v>73</v>
      </c>
      <c r="U2177" s="6">
        <v>116</v>
      </c>
      <c r="V2177" s="6">
        <f>IF(ISERROR(VLOOKUP($S$2177,'TAR FIN'!$A$1:$O$120,15,0)),0,VLOOKUP($S$2177,'TAR FIN'!$A$1:$O$120,15,0))</f>
        <v>0</v>
      </c>
      <c r="W2177" s="6">
        <f>IF(ISERROR(VLOOKUP($T$2177,'TAR FIN'!$A$1:$O$120,15,0)),0,VLOOKUP($T$2177,'TAR FIN'!$A$1:$O$120,15,0))</f>
        <v>247.09</v>
      </c>
      <c r="X2177" s="6">
        <f>IF(ISERROR(VLOOKUP($U$2177,'TAR FIN'!$A$1:$O$120,15,0)),0,VLOOKUP($U$2177,'TAR FIN'!$A$1:$O$120,15,0))</f>
        <v>270.92</v>
      </c>
      <c r="Y2177" s="6"/>
      <c r="Z2177" s="6">
        <f ca="1">('TUSD BE'!$AM$83+'TUSD BF'!$AM$83+'TUSD CVA'!$AM$83)*1</f>
        <v>271.87486773292784</v>
      </c>
      <c r="AA2177" s="6">
        <f>('TE BE'!$AA$47+'TE BF'!$AA$47+'TE CVA'!$AA$47)*1</f>
        <v>242.90567551581066</v>
      </c>
      <c r="AB2177" s="6">
        <f>$K$2177*$V$2177</f>
        <v>0</v>
      </c>
      <c r="AC2177" s="6">
        <f>$M$2177*$W$2177</f>
        <v>24351.954950000003</v>
      </c>
      <c r="AD2177" s="6">
        <f>$O$2177*$X$2177</f>
        <v>26700.520600000003</v>
      </c>
      <c r="AE2177" s="6">
        <f>$K$2177*$Y$2177</f>
        <v>0</v>
      </c>
      <c r="AF2177" s="6">
        <f ca="1">$M$2177*$Z$2177</f>
        <v>26794.627589418706</v>
      </c>
      <c r="AG2177" s="6">
        <f>$O$2177*$AA$2177</f>
        <v>23939.568850460721</v>
      </c>
    </row>
    <row r="2178" spans="1:33" ht="11.25" customHeight="1" x14ac:dyDescent="0.25">
      <c r="A2178" s="4" t="s">
        <v>21</v>
      </c>
      <c r="B2178" s="4" t="s">
        <v>39</v>
      </c>
      <c r="C2178" s="4" t="s">
        <v>23</v>
      </c>
      <c r="D2178" s="4" t="s">
        <v>54</v>
      </c>
      <c r="E2178" s="4" t="s">
        <v>25</v>
      </c>
      <c r="F2178" s="4" t="s">
        <v>25</v>
      </c>
      <c r="G2178" s="4" t="s">
        <v>25</v>
      </c>
      <c r="H2178" s="4" t="s">
        <v>25</v>
      </c>
      <c r="I2178" s="5">
        <v>43983</v>
      </c>
      <c r="J2178" s="6">
        <v>0</v>
      </c>
      <c r="K2178" s="6">
        <v>0</v>
      </c>
      <c r="L2178" s="6">
        <v>97.262</v>
      </c>
      <c r="M2178" s="6">
        <v>97.262</v>
      </c>
      <c r="N2178" s="6">
        <v>97.262</v>
      </c>
      <c r="O2178" s="6">
        <v>97.262</v>
      </c>
      <c r="P2178" s="6">
        <v>41</v>
      </c>
      <c r="Q2178" s="4" t="s">
        <v>26</v>
      </c>
      <c r="R2178" s="4">
        <v>0</v>
      </c>
      <c r="S2178" s="6">
        <v>0</v>
      </c>
      <c r="T2178" s="6">
        <v>73</v>
      </c>
      <c r="U2178" s="6">
        <v>116</v>
      </c>
      <c r="V2178" s="6">
        <f>IF(ISERROR(VLOOKUP($S$2178,'TAR FIN'!$A$1:$O$120,15,0)),0,VLOOKUP($S$2178,'TAR FIN'!$A$1:$O$120,15,0))</f>
        <v>0</v>
      </c>
      <c r="W2178" s="6">
        <f>IF(ISERROR(VLOOKUP($T$2178,'TAR FIN'!$A$1:$O$120,15,0)),0,VLOOKUP($T$2178,'TAR FIN'!$A$1:$O$120,15,0))</f>
        <v>247.09</v>
      </c>
      <c r="X2178" s="6">
        <f>IF(ISERROR(VLOOKUP($U$2178,'TAR FIN'!$A$1:$O$120,15,0)),0,VLOOKUP($U$2178,'TAR FIN'!$A$1:$O$120,15,0))</f>
        <v>270.92</v>
      </c>
      <c r="Y2178" s="6"/>
      <c r="Z2178" s="6">
        <f ca="1">('TUSD BE'!$AM$83+'TUSD BF'!$AM$83+'TUSD CVA'!$AM$83)*1</f>
        <v>271.87486773292784</v>
      </c>
      <c r="AA2178" s="6">
        <f>('TE BE'!$AA$47+'TE BF'!$AA$47+'TE CVA'!$AA$47)*1</f>
        <v>242.90567551581066</v>
      </c>
      <c r="AB2178" s="6">
        <f>$K$2178*$V$2178</f>
        <v>0</v>
      </c>
      <c r="AC2178" s="6">
        <f>$M$2178*$W$2178</f>
        <v>24032.46758</v>
      </c>
      <c r="AD2178" s="6">
        <f>$O$2178*$X$2178</f>
        <v>26350.22104</v>
      </c>
      <c r="AE2178" s="6">
        <f>$K$2178*$Y$2178</f>
        <v>0</v>
      </c>
      <c r="AF2178" s="6">
        <f ca="1">$M$2178*$Z$2178</f>
        <v>26443.093385440028</v>
      </c>
      <c r="AG2178" s="6">
        <f>$O$2178*$AA$2178</f>
        <v>23625.491812018776</v>
      </c>
    </row>
    <row r="2179" spans="1:33" ht="11.25" customHeight="1" x14ac:dyDescent="0.25">
      <c r="A2179" s="4" t="s">
        <v>21</v>
      </c>
      <c r="B2179" s="4" t="s">
        <v>39</v>
      </c>
      <c r="C2179" s="4" t="s">
        <v>23</v>
      </c>
      <c r="D2179" s="4" t="s">
        <v>54</v>
      </c>
      <c r="E2179" s="4" t="s">
        <v>25</v>
      </c>
      <c r="F2179" s="4" t="s">
        <v>25</v>
      </c>
      <c r="G2179" s="4" t="s">
        <v>25</v>
      </c>
      <c r="H2179" s="4" t="s">
        <v>25</v>
      </c>
      <c r="I2179" s="5">
        <v>44013</v>
      </c>
      <c r="J2179" s="6">
        <v>0</v>
      </c>
      <c r="K2179" s="6">
        <v>0</v>
      </c>
      <c r="L2179" s="6">
        <v>95.206999999999994</v>
      </c>
      <c r="M2179" s="6">
        <v>95.206999999999994</v>
      </c>
      <c r="N2179" s="6">
        <v>95.206999999999994</v>
      </c>
      <c r="O2179" s="6">
        <v>95.206999999999994</v>
      </c>
      <c r="P2179" s="6">
        <v>41</v>
      </c>
      <c r="Q2179" s="4" t="s">
        <v>26</v>
      </c>
      <c r="R2179" s="4">
        <v>0</v>
      </c>
      <c r="S2179" s="6">
        <v>0</v>
      </c>
      <c r="T2179" s="6">
        <v>73</v>
      </c>
      <c r="U2179" s="6">
        <v>116</v>
      </c>
      <c r="V2179" s="6">
        <f>IF(ISERROR(VLOOKUP($S$2179,'TAR FIN'!$A$1:$O$120,15,0)),0,VLOOKUP($S$2179,'TAR FIN'!$A$1:$O$120,15,0))</f>
        <v>0</v>
      </c>
      <c r="W2179" s="6">
        <f>IF(ISERROR(VLOOKUP($T$2179,'TAR FIN'!$A$1:$O$120,15,0)),0,VLOOKUP($T$2179,'TAR FIN'!$A$1:$O$120,15,0))</f>
        <v>247.09</v>
      </c>
      <c r="X2179" s="6">
        <f>IF(ISERROR(VLOOKUP($U$2179,'TAR FIN'!$A$1:$O$120,15,0)),0,VLOOKUP($U$2179,'TAR FIN'!$A$1:$O$120,15,0))</f>
        <v>270.92</v>
      </c>
      <c r="Y2179" s="6"/>
      <c r="Z2179" s="6">
        <f ca="1">('TUSD BE'!$AM$83+'TUSD BF'!$AM$83+'TUSD CVA'!$AM$83)*1</f>
        <v>271.87486773292784</v>
      </c>
      <c r="AA2179" s="6">
        <f>('TE BE'!$AA$47+'TE BF'!$AA$47+'TE CVA'!$AA$47)*1</f>
        <v>242.90567551581066</v>
      </c>
      <c r="AB2179" s="6">
        <f>$K$2179*$V$2179</f>
        <v>0</v>
      </c>
      <c r="AC2179" s="6">
        <f>$M$2179*$W$2179</f>
        <v>23524.697629999999</v>
      </c>
      <c r="AD2179" s="6">
        <f>$O$2179*$X$2179</f>
        <v>25793.480439999999</v>
      </c>
      <c r="AE2179" s="6">
        <f>$K$2179*$Y$2179</f>
        <v>0</v>
      </c>
      <c r="AF2179" s="6">
        <f ca="1">$M$2179*$Z$2179</f>
        <v>25884.390532248861</v>
      </c>
      <c r="AG2179" s="6">
        <f>$O$2179*$AA$2179</f>
        <v>23126.320648833782</v>
      </c>
    </row>
    <row r="2180" spans="1:33" ht="11.25" customHeight="1" x14ac:dyDescent="0.25">
      <c r="A2180" s="4" t="s">
        <v>21</v>
      </c>
      <c r="B2180" s="4" t="s">
        <v>39</v>
      </c>
      <c r="C2180" s="4" t="s">
        <v>23</v>
      </c>
      <c r="D2180" s="4" t="s">
        <v>54</v>
      </c>
      <c r="E2180" s="4" t="s">
        <v>25</v>
      </c>
      <c r="F2180" s="4" t="s">
        <v>25</v>
      </c>
      <c r="G2180" s="4" t="s">
        <v>25</v>
      </c>
      <c r="H2180" s="4" t="s">
        <v>25</v>
      </c>
      <c r="I2180" s="5">
        <v>44044</v>
      </c>
      <c r="J2180" s="6">
        <v>0</v>
      </c>
      <c r="K2180" s="6">
        <v>0</v>
      </c>
      <c r="L2180" s="6">
        <v>95.861999999999995</v>
      </c>
      <c r="M2180" s="6">
        <v>95.861999999999995</v>
      </c>
      <c r="N2180" s="6">
        <v>95.861999999999995</v>
      </c>
      <c r="O2180" s="6">
        <v>95.861999999999995</v>
      </c>
      <c r="P2180" s="6">
        <v>40</v>
      </c>
      <c r="Q2180" s="4" t="s">
        <v>26</v>
      </c>
      <c r="R2180" s="4">
        <v>0</v>
      </c>
      <c r="S2180" s="6">
        <v>0</v>
      </c>
      <c r="T2180" s="6">
        <v>73</v>
      </c>
      <c r="U2180" s="6">
        <v>116</v>
      </c>
      <c r="V2180" s="6">
        <f>IF(ISERROR(VLOOKUP($S$2180,'TAR FIN'!$A$1:$O$120,15,0)),0,VLOOKUP($S$2180,'TAR FIN'!$A$1:$O$120,15,0))</f>
        <v>0</v>
      </c>
      <c r="W2180" s="6">
        <f>IF(ISERROR(VLOOKUP($T$2180,'TAR FIN'!$A$1:$O$120,15,0)),0,VLOOKUP($T$2180,'TAR FIN'!$A$1:$O$120,15,0))</f>
        <v>247.09</v>
      </c>
      <c r="X2180" s="6">
        <f>IF(ISERROR(VLOOKUP($U$2180,'TAR FIN'!$A$1:$O$120,15,0)),0,VLOOKUP($U$2180,'TAR FIN'!$A$1:$O$120,15,0))</f>
        <v>270.92</v>
      </c>
      <c r="Y2180" s="6"/>
      <c r="Z2180" s="6">
        <f ca="1">('TUSD BE'!$AM$83+'TUSD BF'!$AM$83+'TUSD CVA'!$AM$83)*1</f>
        <v>271.87486773292784</v>
      </c>
      <c r="AA2180" s="6">
        <f>('TE BE'!$AA$47+'TE BF'!$AA$47+'TE CVA'!$AA$47)*1</f>
        <v>242.90567551581066</v>
      </c>
      <c r="AB2180" s="6">
        <f>$K$2180*$V$2180</f>
        <v>0</v>
      </c>
      <c r="AC2180" s="6">
        <f>$M$2180*$W$2180</f>
        <v>23686.541579999997</v>
      </c>
      <c r="AD2180" s="6">
        <f>$O$2180*$X$2180</f>
        <v>25970.93304</v>
      </c>
      <c r="AE2180" s="6">
        <f>$K$2180*$Y$2180</f>
        <v>0</v>
      </c>
      <c r="AF2180" s="6">
        <f ca="1">$M$2180*$Z$2180</f>
        <v>26062.468570613928</v>
      </c>
      <c r="AG2180" s="6">
        <f>$O$2180*$AA$2180</f>
        <v>23285.423866296638</v>
      </c>
    </row>
    <row r="2181" spans="1:33" ht="11.25" customHeight="1" x14ac:dyDescent="0.25">
      <c r="A2181" s="4" t="s">
        <v>59</v>
      </c>
      <c r="B2181" s="4" t="s">
        <v>39</v>
      </c>
      <c r="C2181" s="4" t="s">
        <v>23</v>
      </c>
      <c r="D2181" s="4" t="s">
        <v>54</v>
      </c>
      <c r="E2181" s="4" t="s">
        <v>25</v>
      </c>
      <c r="F2181" s="4" t="s">
        <v>25</v>
      </c>
      <c r="G2181" s="4" t="s">
        <v>25</v>
      </c>
      <c r="H2181" s="4" t="s">
        <v>25</v>
      </c>
      <c r="I2181" s="5">
        <v>44075</v>
      </c>
      <c r="J2181" s="6">
        <v>0</v>
      </c>
      <c r="K2181" s="6">
        <v>0</v>
      </c>
      <c r="L2181" s="6">
        <v>95.861999999999995</v>
      </c>
      <c r="M2181" s="6">
        <v>95.861999999999995</v>
      </c>
      <c r="N2181" s="6">
        <v>95.861999999999995</v>
      </c>
      <c r="O2181" s="6">
        <v>95.861999999999995</v>
      </c>
      <c r="P2181" s="6">
        <v>40</v>
      </c>
      <c r="Q2181" s="4" t="s">
        <v>26</v>
      </c>
      <c r="R2181" s="4">
        <v>0</v>
      </c>
      <c r="S2181" s="6">
        <v>0</v>
      </c>
      <c r="T2181" s="6">
        <v>73</v>
      </c>
      <c r="U2181" s="6">
        <v>116</v>
      </c>
      <c r="V2181" s="6">
        <f>IF(ISERROR(VLOOKUP($S$2181,'TAR FIN'!$A$1:$O$120,15,0)),0,VLOOKUP($S$2181,'TAR FIN'!$A$1:$O$120,15,0))</f>
        <v>0</v>
      </c>
      <c r="W2181" s="6">
        <f>IF(ISERROR(VLOOKUP($T$2181,'TAR FIN'!$A$1:$O$120,15,0)),0,VLOOKUP($T$2181,'TAR FIN'!$A$1:$O$120,15,0))</f>
        <v>247.09</v>
      </c>
      <c r="X2181" s="6">
        <f>IF(ISERROR(VLOOKUP($U$2181,'TAR FIN'!$A$1:$O$120,15,0)),0,VLOOKUP($U$2181,'TAR FIN'!$A$1:$O$120,15,0))</f>
        <v>270.92</v>
      </c>
      <c r="Y2181" s="6"/>
      <c r="Z2181" s="6">
        <f ca="1">('TUSD BE'!$AM$83+'TUSD BF'!$AM$83+'TUSD CVA'!$AM$83)*1</f>
        <v>271.87486773292784</v>
      </c>
      <c r="AA2181" s="6">
        <f>('TE BE'!$AA$47+'TE BF'!$AA$47+'TE CVA'!$AA$47)*1</f>
        <v>242.90567551581066</v>
      </c>
      <c r="AB2181" s="6">
        <f>$K$2181*$V$2181</f>
        <v>0</v>
      </c>
      <c r="AC2181" s="6">
        <f>$M$2181*$W$2181</f>
        <v>23686.541579999997</v>
      </c>
      <c r="AD2181" s="6">
        <f>$O$2181*$X$2181</f>
        <v>25970.93304</v>
      </c>
      <c r="AE2181" s="6">
        <f>$K$2181*$Y$2181</f>
        <v>0</v>
      </c>
      <c r="AF2181" s="6">
        <f ca="1">$M$2181*$Z$2181</f>
        <v>26062.468570613928</v>
      </c>
      <c r="AG2181" s="6">
        <f>$O$2181*$AA$2181</f>
        <v>23285.423866296638</v>
      </c>
    </row>
    <row r="2182" spans="1:33" ht="11.25" customHeight="1" x14ac:dyDescent="0.25">
      <c r="A2182" s="4" t="s">
        <v>21</v>
      </c>
      <c r="B2182" s="4" t="s">
        <v>39</v>
      </c>
      <c r="C2182" s="4" t="s">
        <v>23</v>
      </c>
      <c r="D2182" s="4" t="s">
        <v>40</v>
      </c>
      <c r="E2182" s="4" t="s">
        <v>25</v>
      </c>
      <c r="F2182" s="4" t="s">
        <v>25</v>
      </c>
      <c r="G2182" s="4" t="s">
        <v>25</v>
      </c>
      <c r="H2182" s="4" t="s">
        <v>25</v>
      </c>
      <c r="I2182" s="5">
        <v>43739</v>
      </c>
      <c r="J2182" s="6">
        <v>0</v>
      </c>
      <c r="K2182" s="6">
        <v>0</v>
      </c>
      <c r="L2182" s="6">
        <v>2719.2139999999999</v>
      </c>
      <c r="M2182" s="6">
        <v>2719.2139999999999</v>
      </c>
      <c r="N2182" s="6">
        <v>2719.2139999999999</v>
      </c>
      <c r="O2182" s="6">
        <v>2719.2139999999999</v>
      </c>
      <c r="P2182" s="6">
        <v>1257</v>
      </c>
      <c r="Q2182" s="4" t="s">
        <v>26</v>
      </c>
      <c r="R2182" s="4">
        <v>0</v>
      </c>
      <c r="S2182" s="6">
        <v>0</v>
      </c>
      <c r="T2182" s="6">
        <v>73</v>
      </c>
      <c r="U2182" s="6">
        <v>116</v>
      </c>
      <c r="V2182" s="6">
        <f>IF(ISERROR(VLOOKUP($S$2182,'TAR FIN'!$A$1:$O$120,15,0)),0,VLOOKUP($S$2182,'TAR FIN'!$A$1:$O$120,15,0))</f>
        <v>0</v>
      </c>
      <c r="W2182" s="6">
        <f>IF(ISERROR(VLOOKUP($T$2182,'TAR FIN'!$A$1:$O$120,15,0)),0,VLOOKUP($T$2182,'TAR FIN'!$A$1:$O$120,15,0))</f>
        <v>247.09</v>
      </c>
      <c r="X2182" s="6">
        <f>IF(ISERROR(VLOOKUP($U$2182,'TAR FIN'!$A$1:$O$120,15,0)),0,VLOOKUP($U$2182,'TAR FIN'!$A$1:$O$120,15,0))</f>
        <v>270.92</v>
      </c>
      <c r="Y2182" s="6"/>
      <c r="Z2182" s="6">
        <f ca="1">('TUSD BE'!$AM$83+'TUSD BF'!$AM$83+'TUSD CVA'!$AM$83)*1</f>
        <v>271.87486773292784</v>
      </c>
      <c r="AA2182" s="6">
        <f>('TE BE'!$AA$47+'TE BF'!$AA$47+'TE CVA'!$AA$47)*1</f>
        <v>242.90567551581066</v>
      </c>
      <c r="AB2182" s="6">
        <f>$K$2182*$V$2182</f>
        <v>0</v>
      </c>
      <c r="AC2182" s="6">
        <f>$M$2182*$W$2182</f>
        <v>671890.58725999994</v>
      </c>
      <c r="AD2182" s="6">
        <f>$O$2182*$X$2182</f>
        <v>736689.45688000007</v>
      </c>
      <c r="AE2182" s="6">
        <f>$K$2182*$Y$2182</f>
        <v>0</v>
      </c>
      <c r="AF2182" s="6">
        <f ca="1">$M$2182*$Z$2182</f>
        <v>739285.94658752566</v>
      </c>
      <c r="AG2182" s="6">
        <f>$O$2182*$AA$2182</f>
        <v>660512.51354204956</v>
      </c>
    </row>
    <row r="2183" spans="1:33" ht="11.25" customHeight="1" x14ac:dyDescent="0.25">
      <c r="A2183" s="4" t="s">
        <v>27</v>
      </c>
      <c r="B2183" s="4" t="s">
        <v>39</v>
      </c>
      <c r="C2183" s="4" t="s">
        <v>23</v>
      </c>
      <c r="D2183" s="4" t="s">
        <v>40</v>
      </c>
      <c r="E2183" s="4" t="s">
        <v>25</v>
      </c>
      <c r="F2183" s="4" t="s">
        <v>25</v>
      </c>
      <c r="G2183" s="4" t="s">
        <v>25</v>
      </c>
      <c r="H2183" s="4" t="s">
        <v>25</v>
      </c>
      <c r="I2183" s="5">
        <v>43739</v>
      </c>
      <c r="J2183" s="6">
        <v>0</v>
      </c>
      <c r="K2183" s="6">
        <v>0</v>
      </c>
      <c r="L2183" s="6">
        <v>27.277000000000001</v>
      </c>
      <c r="M2183" s="6">
        <v>27.277000000000001</v>
      </c>
      <c r="N2183" s="6">
        <v>27.277000000000001</v>
      </c>
      <c r="O2183" s="6">
        <v>27.277000000000001</v>
      </c>
      <c r="P2183" s="6">
        <v>4</v>
      </c>
      <c r="Q2183" s="4" t="s">
        <v>26</v>
      </c>
      <c r="R2183" s="4">
        <v>0</v>
      </c>
      <c r="S2183" s="6">
        <v>0</v>
      </c>
      <c r="T2183" s="6">
        <v>73</v>
      </c>
      <c r="U2183" s="6">
        <v>116</v>
      </c>
      <c r="V2183" s="6">
        <f>IF(ISERROR(VLOOKUP($S$2183,'TAR FIN'!$A$1:$O$120,15,0)),0,VLOOKUP($S$2183,'TAR FIN'!$A$1:$O$120,15,0))</f>
        <v>0</v>
      </c>
      <c r="W2183" s="6">
        <f>IF(ISERROR(VLOOKUP($T$2183,'TAR FIN'!$A$1:$O$120,15,0)),0,VLOOKUP($T$2183,'TAR FIN'!$A$1:$O$120,15,0))</f>
        <v>247.09</v>
      </c>
      <c r="X2183" s="6">
        <f>IF(ISERROR(VLOOKUP($U$2183,'TAR FIN'!$A$1:$O$120,15,0)),0,VLOOKUP($U$2183,'TAR FIN'!$A$1:$O$120,15,0))</f>
        <v>270.92</v>
      </c>
      <c r="Y2183" s="6"/>
      <c r="Z2183" s="6">
        <f ca="1">('TUSD BE'!$AM$83+'TUSD BF'!$AM$83+'TUSD CVA'!$AM$83)*1</f>
        <v>271.87486773292784</v>
      </c>
      <c r="AA2183" s="6">
        <f>('TE BE'!$AA$47+'TE BF'!$AA$47+'TE CVA'!$AA$47)*1</f>
        <v>242.90567551581066</v>
      </c>
      <c r="AB2183" s="6">
        <f>$K$2183*$V$2183</f>
        <v>0</v>
      </c>
      <c r="AC2183" s="6">
        <f>$M$2183*$W$2183</f>
        <v>6739.8739300000007</v>
      </c>
      <c r="AD2183" s="6">
        <f>$O$2183*$X$2183</f>
        <v>7389.8848400000006</v>
      </c>
      <c r="AE2183" s="6">
        <f>$K$2183*$Y$2183</f>
        <v>0</v>
      </c>
      <c r="AF2183" s="6">
        <f ca="1">$M$2183*$Z$2183</f>
        <v>7415.9307671510733</v>
      </c>
      <c r="AG2183" s="6">
        <f>$O$2183*$AA$2183</f>
        <v>6625.7381110447677</v>
      </c>
    </row>
    <row r="2184" spans="1:33" ht="11.25" customHeight="1" x14ac:dyDescent="0.25">
      <c r="A2184" s="4" t="s">
        <v>28</v>
      </c>
      <c r="B2184" s="4" t="s">
        <v>39</v>
      </c>
      <c r="C2184" s="4" t="s">
        <v>23</v>
      </c>
      <c r="D2184" s="4" t="s">
        <v>40</v>
      </c>
      <c r="E2184" s="4" t="s">
        <v>25</v>
      </c>
      <c r="F2184" s="4" t="s">
        <v>25</v>
      </c>
      <c r="G2184" s="4" t="s">
        <v>25</v>
      </c>
      <c r="H2184" s="4" t="s">
        <v>25</v>
      </c>
      <c r="I2184" s="5">
        <v>43739</v>
      </c>
      <c r="J2184" s="6">
        <v>0</v>
      </c>
      <c r="K2184" s="6">
        <v>0</v>
      </c>
      <c r="L2184" s="6">
        <v>5.25</v>
      </c>
      <c r="M2184" s="6">
        <v>5.25</v>
      </c>
      <c r="N2184" s="6">
        <v>5.25</v>
      </c>
      <c r="O2184" s="6">
        <v>5.25</v>
      </c>
      <c r="P2184" s="6">
        <v>4</v>
      </c>
      <c r="Q2184" s="4" t="s">
        <v>26</v>
      </c>
      <c r="R2184" s="4">
        <v>0</v>
      </c>
      <c r="S2184" s="6">
        <v>0</v>
      </c>
      <c r="T2184" s="6">
        <v>73</v>
      </c>
      <c r="U2184" s="6">
        <v>116</v>
      </c>
      <c r="V2184" s="6">
        <f>IF(ISERROR(VLOOKUP($S$2184,'TAR FIN'!$A$1:$O$120,15,0)),0,VLOOKUP($S$2184,'TAR FIN'!$A$1:$O$120,15,0))</f>
        <v>0</v>
      </c>
      <c r="W2184" s="6">
        <f>IF(ISERROR(VLOOKUP($T$2184,'TAR FIN'!$A$1:$O$120,15,0)),0,VLOOKUP($T$2184,'TAR FIN'!$A$1:$O$120,15,0))</f>
        <v>247.09</v>
      </c>
      <c r="X2184" s="6">
        <f>IF(ISERROR(VLOOKUP($U$2184,'TAR FIN'!$A$1:$O$120,15,0)),0,VLOOKUP($U$2184,'TAR FIN'!$A$1:$O$120,15,0))</f>
        <v>270.92</v>
      </c>
      <c r="Y2184" s="6"/>
      <c r="Z2184" s="6">
        <f ca="1">('TUSD BE'!$AM$83+'TUSD BF'!$AM$83+'TUSD CVA'!$AM$83)*1</f>
        <v>271.87486773292784</v>
      </c>
      <c r="AA2184" s="6">
        <f>('TE BE'!$AA$47+'TE BF'!$AA$47+'TE CVA'!$AA$47)*1</f>
        <v>242.90567551581066</v>
      </c>
      <c r="AB2184" s="6">
        <f>$K$2184*$V$2184</f>
        <v>0</v>
      </c>
      <c r="AC2184" s="6">
        <f>$M$2184*$W$2184</f>
        <v>1297.2225000000001</v>
      </c>
      <c r="AD2184" s="6">
        <f>$O$2184*$X$2184</f>
        <v>1422.3300000000002</v>
      </c>
      <c r="AE2184" s="6">
        <f>$K$2184*$Y$2184</f>
        <v>0</v>
      </c>
      <c r="AF2184" s="6">
        <f ca="1">$M$2184*$Z$2184</f>
        <v>1427.3430555978712</v>
      </c>
      <c r="AG2184" s="6">
        <f>$O$2184*$AA$2184</f>
        <v>1275.254796458006</v>
      </c>
    </row>
    <row r="2185" spans="1:33" ht="11.25" customHeight="1" x14ac:dyDescent="0.25">
      <c r="A2185" s="4" t="s">
        <v>21</v>
      </c>
      <c r="B2185" s="4" t="s">
        <v>39</v>
      </c>
      <c r="C2185" s="4" t="s">
        <v>23</v>
      </c>
      <c r="D2185" s="4" t="s">
        <v>40</v>
      </c>
      <c r="E2185" s="4" t="s">
        <v>25</v>
      </c>
      <c r="F2185" s="4" t="s">
        <v>25</v>
      </c>
      <c r="G2185" s="4" t="s">
        <v>25</v>
      </c>
      <c r="H2185" s="4" t="s">
        <v>25</v>
      </c>
      <c r="I2185" s="5">
        <v>43770</v>
      </c>
      <c r="J2185" s="6">
        <v>0</v>
      </c>
      <c r="K2185" s="6">
        <v>0</v>
      </c>
      <c r="L2185" s="6">
        <v>2952.7260000000001</v>
      </c>
      <c r="M2185" s="6">
        <v>2952.7260000000001</v>
      </c>
      <c r="N2185" s="6">
        <v>2952.7260000000001</v>
      </c>
      <c r="O2185" s="6">
        <v>2952.7260000000001</v>
      </c>
      <c r="P2185" s="6">
        <v>1250</v>
      </c>
      <c r="Q2185" s="4" t="s">
        <v>26</v>
      </c>
      <c r="R2185" s="4">
        <v>0</v>
      </c>
      <c r="S2185" s="6">
        <v>0</v>
      </c>
      <c r="T2185" s="6">
        <v>73</v>
      </c>
      <c r="U2185" s="6">
        <v>116</v>
      </c>
      <c r="V2185" s="6">
        <f>IF(ISERROR(VLOOKUP($S$2185,'TAR FIN'!$A$1:$O$120,15,0)),0,VLOOKUP($S$2185,'TAR FIN'!$A$1:$O$120,15,0))</f>
        <v>0</v>
      </c>
      <c r="W2185" s="6">
        <f>IF(ISERROR(VLOOKUP($T$2185,'TAR FIN'!$A$1:$O$120,15,0)),0,VLOOKUP($T$2185,'TAR FIN'!$A$1:$O$120,15,0))</f>
        <v>247.09</v>
      </c>
      <c r="X2185" s="6">
        <f>IF(ISERROR(VLOOKUP($U$2185,'TAR FIN'!$A$1:$O$120,15,0)),0,VLOOKUP($U$2185,'TAR FIN'!$A$1:$O$120,15,0))</f>
        <v>270.92</v>
      </c>
      <c r="Y2185" s="6"/>
      <c r="Z2185" s="6">
        <f ca="1">('TUSD BE'!$AM$83+'TUSD BF'!$AM$83+'TUSD CVA'!$AM$83)*1</f>
        <v>271.87486773292784</v>
      </c>
      <c r="AA2185" s="6">
        <f>('TE BE'!$AA$47+'TE BF'!$AA$47+'TE CVA'!$AA$47)*1</f>
        <v>242.90567551581066</v>
      </c>
      <c r="AB2185" s="6">
        <f>$K$2185*$V$2185</f>
        <v>0</v>
      </c>
      <c r="AC2185" s="6">
        <f>$M$2185*$W$2185</f>
        <v>729589.06734000007</v>
      </c>
      <c r="AD2185" s="6">
        <f>$O$2185*$X$2185</f>
        <v>799952.52792000002</v>
      </c>
      <c r="AE2185" s="6">
        <f>$K$2185*$Y$2185</f>
        <v>0</v>
      </c>
      <c r="AF2185" s="6">
        <f ca="1">$M$2185*$Z$2185</f>
        <v>802771.99070157716</v>
      </c>
      <c r="AG2185" s="6">
        <f>$O$2185*$AA$2185</f>
        <v>717233.90364309761</v>
      </c>
    </row>
    <row r="2186" spans="1:33" ht="11.25" customHeight="1" x14ac:dyDescent="0.25">
      <c r="A2186" s="4" t="s">
        <v>27</v>
      </c>
      <c r="B2186" s="4" t="s">
        <v>39</v>
      </c>
      <c r="C2186" s="4" t="s">
        <v>23</v>
      </c>
      <c r="D2186" s="4" t="s">
        <v>40</v>
      </c>
      <c r="E2186" s="4" t="s">
        <v>25</v>
      </c>
      <c r="F2186" s="4" t="s">
        <v>25</v>
      </c>
      <c r="G2186" s="4" t="s">
        <v>25</v>
      </c>
      <c r="H2186" s="4" t="s">
        <v>25</v>
      </c>
      <c r="I2186" s="5">
        <v>43770</v>
      </c>
      <c r="J2186" s="6">
        <v>0</v>
      </c>
      <c r="K2186" s="6">
        <v>0</v>
      </c>
      <c r="L2186" s="6">
        <v>4.6399999999999997</v>
      </c>
      <c r="M2186" s="6">
        <v>4.6399999999999997</v>
      </c>
      <c r="N2186" s="6">
        <v>4.6399999999999997</v>
      </c>
      <c r="O2186" s="6">
        <v>4.6399999999999997</v>
      </c>
      <c r="P2186" s="6">
        <v>2</v>
      </c>
      <c r="Q2186" s="4" t="s">
        <v>26</v>
      </c>
      <c r="R2186" s="4">
        <v>0</v>
      </c>
      <c r="S2186" s="6">
        <v>0</v>
      </c>
      <c r="T2186" s="6">
        <v>73</v>
      </c>
      <c r="U2186" s="6">
        <v>116</v>
      </c>
      <c r="V2186" s="6">
        <f>IF(ISERROR(VLOOKUP($S$2186,'TAR FIN'!$A$1:$O$120,15,0)),0,VLOOKUP($S$2186,'TAR FIN'!$A$1:$O$120,15,0))</f>
        <v>0</v>
      </c>
      <c r="W2186" s="6">
        <f>IF(ISERROR(VLOOKUP($T$2186,'TAR FIN'!$A$1:$O$120,15,0)),0,VLOOKUP($T$2186,'TAR FIN'!$A$1:$O$120,15,0))</f>
        <v>247.09</v>
      </c>
      <c r="X2186" s="6">
        <f>IF(ISERROR(VLOOKUP($U$2186,'TAR FIN'!$A$1:$O$120,15,0)),0,VLOOKUP($U$2186,'TAR FIN'!$A$1:$O$120,15,0))</f>
        <v>270.92</v>
      </c>
      <c r="Y2186" s="6"/>
      <c r="Z2186" s="6">
        <f ca="1">('TUSD BE'!$AM$83+'TUSD BF'!$AM$83+'TUSD CVA'!$AM$83)*1</f>
        <v>271.87486773292784</v>
      </c>
      <c r="AA2186" s="6">
        <f>('TE BE'!$AA$47+'TE BF'!$AA$47+'TE CVA'!$AA$47)*1</f>
        <v>242.90567551581066</v>
      </c>
      <c r="AB2186" s="6">
        <f>$K$2186*$V$2186</f>
        <v>0</v>
      </c>
      <c r="AC2186" s="6">
        <f>$M$2186*$W$2186</f>
        <v>1146.4975999999999</v>
      </c>
      <c r="AD2186" s="6">
        <f>$O$2186*$X$2186</f>
        <v>1257.0688</v>
      </c>
      <c r="AE2186" s="6">
        <f>$K$2186*$Y$2186</f>
        <v>0</v>
      </c>
      <c r="AF2186" s="6">
        <f ca="1">$M$2186*$Z$2186</f>
        <v>1261.4993862807851</v>
      </c>
      <c r="AG2186" s="6">
        <f>$O$2186*$AA$2186</f>
        <v>1127.0823343933614</v>
      </c>
    </row>
    <row r="2187" spans="1:33" ht="11.25" customHeight="1" x14ac:dyDescent="0.25">
      <c r="A2187" s="4" t="s">
        <v>28</v>
      </c>
      <c r="B2187" s="4" t="s">
        <v>39</v>
      </c>
      <c r="C2187" s="4" t="s">
        <v>23</v>
      </c>
      <c r="D2187" s="4" t="s">
        <v>40</v>
      </c>
      <c r="E2187" s="4" t="s">
        <v>25</v>
      </c>
      <c r="F2187" s="4" t="s">
        <v>25</v>
      </c>
      <c r="G2187" s="4" t="s">
        <v>25</v>
      </c>
      <c r="H2187" s="4" t="s">
        <v>25</v>
      </c>
      <c r="I2187" s="5">
        <v>43770</v>
      </c>
      <c r="J2187" s="6">
        <v>0</v>
      </c>
      <c r="K2187" s="6">
        <v>0</v>
      </c>
      <c r="L2187" s="6">
        <v>5.843</v>
      </c>
      <c r="M2187" s="6">
        <v>5.843</v>
      </c>
      <c r="N2187" s="6">
        <v>5.843</v>
      </c>
      <c r="O2187" s="6">
        <v>5.843</v>
      </c>
      <c r="P2187" s="6">
        <v>4</v>
      </c>
      <c r="Q2187" s="4" t="s">
        <v>26</v>
      </c>
      <c r="R2187" s="4">
        <v>0</v>
      </c>
      <c r="S2187" s="6">
        <v>0</v>
      </c>
      <c r="T2187" s="6">
        <v>73</v>
      </c>
      <c r="U2187" s="6">
        <v>116</v>
      </c>
      <c r="V2187" s="6">
        <f>IF(ISERROR(VLOOKUP($S$2187,'TAR FIN'!$A$1:$O$120,15,0)),0,VLOOKUP($S$2187,'TAR FIN'!$A$1:$O$120,15,0))</f>
        <v>0</v>
      </c>
      <c r="W2187" s="6">
        <f>IF(ISERROR(VLOOKUP($T$2187,'TAR FIN'!$A$1:$O$120,15,0)),0,VLOOKUP($T$2187,'TAR FIN'!$A$1:$O$120,15,0))</f>
        <v>247.09</v>
      </c>
      <c r="X2187" s="6">
        <f>IF(ISERROR(VLOOKUP($U$2187,'TAR FIN'!$A$1:$O$120,15,0)),0,VLOOKUP($U$2187,'TAR FIN'!$A$1:$O$120,15,0))</f>
        <v>270.92</v>
      </c>
      <c r="Y2187" s="6"/>
      <c r="Z2187" s="6">
        <f ca="1">('TUSD BE'!$AM$83+'TUSD BF'!$AM$83+'TUSD CVA'!$AM$83)*1</f>
        <v>271.87486773292784</v>
      </c>
      <c r="AA2187" s="6">
        <f>('TE BE'!$AA$47+'TE BF'!$AA$47+'TE CVA'!$AA$47)*1</f>
        <v>242.90567551581066</v>
      </c>
      <c r="AB2187" s="6">
        <f>$K$2187*$V$2187</f>
        <v>0</v>
      </c>
      <c r="AC2187" s="6">
        <f>$M$2187*$W$2187</f>
        <v>1443.7468699999999</v>
      </c>
      <c r="AD2187" s="6">
        <f>$O$2187*$X$2187</f>
        <v>1582.9855600000001</v>
      </c>
      <c r="AE2187" s="6">
        <f>$K$2187*$Y$2187</f>
        <v>0</v>
      </c>
      <c r="AF2187" s="6">
        <f ca="1">$M$2187*$Z$2187</f>
        <v>1588.5648521634973</v>
      </c>
      <c r="AG2187" s="6">
        <f>$O$2187*$AA$2187</f>
        <v>1419.2978620388817</v>
      </c>
    </row>
    <row r="2188" spans="1:33" ht="11.25" customHeight="1" x14ac:dyDescent="0.25">
      <c r="A2188" s="4" t="s">
        <v>21</v>
      </c>
      <c r="B2188" s="4" t="s">
        <v>39</v>
      </c>
      <c r="C2188" s="4" t="s">
        <v>23</v>
      </c>
      <c r="D2188" s="4" t="s">
        <v>40</v>
      </c>
      <c r="E2188" s="4" t="s">
        <v>25</v>
      </c>
      <c r="F2188" s="4" t="s">
        <v>25</v>
      </c>
      <c r="G2188" s="4" t="s">
        <v>25</v>
      </c>
      <c r="H2188" s="4" t="s">
        <v>25</v>
      </c>
      <c r="I2188" s="5">
        <v>43800</v>
      </c>
      <c r="J2188" s="6">
        <v>0</v>
      </c>
      <c r="K2188" s="6">
        <v>0</v>
      </c>
      <c r="L2188" s="6">
        <v>2625.2190000000001</v>
      </c>
      <c r="M2188" s="6">
        <v>2625.2190000000001</v>
      </c>
      <c r="N2188" s="6">
        <v>2625.2190000000001</v>
      </c>
      <c r="O2188" s="6">
        <v>2625.2190000000001</v>
      </c>
      <c r="P2188" s="6">
        <v>1242</v>
      </c>
      <c r="Q2188" s="4" t="s">
        <v>26</v>
      </c>
      <c r="R2188" s="4">
        <v>0</v>
      </c>
      <c r="S2188" s="6">
        <v>0</v>
      </c>
      <c r="T2188" s="6">
        <v>73</v>
      </c>
      <c r="U2188" s="6">
        <v>116</v>
      </c>
      <c r="V2188" s="6">
        <f>IF(ISERROR(VLOOKUP($S$2188,'TAR FIN'!$A$1:$O$120,15,0)),0,VLOOKUP($S$2188,'TAR FIN'!$A$1:$O$120,15,0))</f>
        <v>0</v>
      </c>
      <c r="W2188" s="6">
        <f>IF(ISERROR(VLOOKUP($T$2188,'TAR FIN'!$A$1:$O$120,15,0)),0,VLOOKUP($T$2188,'TAR FIN'!$A$1:$O$120,15,0))</f>
        <v>247.09</v>
      </c>
      <c r="X2188" s="6">
        <f>IF(ISERROR(VLOOKUP($U$2188,'TAR FIN'!$A$1:$O$120,15,0)),0,VLOOKUP($U$2188,'TAR FIN'!$A$1:$O$120,15,0))</f>
        <v>270.92</v>
      </c>
      <c r="Y2188" s="6"/>
      <c r="Z2188" s="6">
        <f ca="1">('TUSD BE'!$AM$83+'TUSD BF'!$AM$83+'TUSD CVA'!$AM$83)*1</f>
        <v>271.87486773292784</v>
      </c>
      <c r="AA2188" s="6">
        <f>('TE BE'!$AA$47+'TE BF'!$AA$47+'TE CVA'!$AA$47)*1</f>
        <v>242.90567551581066</v>
      </c>
      <c r="AB2188" s="6">
        <f>$K$2188*$V$2188</f>
        <v>0</v>
      </c>
      <c r="AC2188" s="6">
        <f>$M$2188*$W$2188</f>
        <v>648665.36271000002</v>
      </c>
      <c r="AD2188" s="6">
        <f>$O$2188*$X$2188</f>
        <v>711224.33148000005</v>
      </c>
      <c r="AE2188" s="6">
        <f>$K$2188*$Y$2188</f>
        <v>0</v>
      </c>
      <c r="AF2188" s="6">
        <f ca="1">$M$2188*$Z$2188</f>
        <v>713731.0683949691</v>
      </c>
      <c r="AG2188" s="6">
        <f>$O$2188*$AA$2188</f>
        <v>637680.59457194095</v>
      </c>
    </row>
    <row r="2189" spans="1:33" ht="11.25" customHeight="1" x14ac:dyDescent="0.25">
      <c r="A2189" s="4" t="s">
        <v>27</v>
      </c>
      <c r="B2189" s="4" t="s">
        <v>39</v>
      </c>
      <c r="C2189" s="4" t="s">
        <v>23</v>
      </c>
      <c r="D2189" s="4" t="s">
        <v>40</v>
      </c>
      <c r="E2189" s="4" t="s">
        <v>25</v>
      </c>
      <c r="F2189" s="4" t="s">
        <v>25</v>
      </c>
      <c r="G2189" s="4" t="s">
        <v>25</v>
      </c>
      <c r="H2189" s="4" t="s">
        <v>25</v>
      </c>
      <c r="I2189" s="5">
        <v>43800</v>
      </c>
      <c r="J2189" s="6">
        <v>0</v>
      </c>
      <c r="K2189" s="6">
        <v>0</v>
      </c>
      <c r="L2189" s="6">
        <v>1.2609999999999999</v>
      </c>
      <c r="M2189" s="6">
        <v>1.2609999999999999</v>
      </c>
      <c r="N2189" s="6">
        <v>1.2609999999999999</v>
      </c>
      <c r="O2189" s="6">
        <v>1.2609999999999999</v>
      </c>
      <c r="P2189" s="6">
        <v>2</v>
      </c>
      <c r="Q2189" s="4" t="s">
        <v>26</v>
      </c>
      <c r="R2189" s="4">
        <v>0</v>
      </c>
      <c r="S2189" s="6">
        <v>0</v>
      </c>
      <c r="T2189" s="6">
        <v>73</v>
      </c>
      <c r="U2189" s="6">
        <v>116</v>
      </c>
      <c r="V2189" s="6">
        <f>IF(ISERROR(VLOOKUP($S$2189,'TAR FIN'!$A$1:$O$120,15,0)),0,VLOOKUP($S$2189,'TAR FIN'!$A$1:$O$120,15,0))</f>
        <v>0</v>
      </c>
      <c r="W2189" s="6">
        <f>IF(ISERROR(VLOOKUP($T$2189,'TAR FIN'!$A$1:$O$120,15,0)),0,VLOOKUP($T$2189,'TAR FIN'!$A$1:$O$120,15,0))</f>
        <v>247.09</v>
      </c>
      <c r="X2189" s="6">
        <f>IF(ISERROR(VLOOKUP($U$2189,'TAR FIN'!$A$1:$O$120,15,0)),0,VLOOKUP($U$2189,'TAR FIN'!$A$1:$O$120,15,0))</f>
        <v>270.92</v>
      </c>
      <c r="Y2189" s="6"/>
      <c r="Z2189" s="6">
        <f ca="1">('TUSD BE'!$AM$83+'TUSD BF'!$AM$83+'TUSD CVA'!$AM$83)*1</f>
        <v>271.87486773292784</v>
      </c>
      <c r="AA2189" s="6">
        <f>('TE BE'!$AA$47+'TE BF'!$AA$47+'TE CVA'!$AA$47)*1</f>
        <v>242.90567551581066</v>
      </c>
      <c r="AB2189" s="6">
        <f>$K$2189*$V$2189</f>
        <v>0</v>
      </c>
      <c r="AC2189" s="6">
        <f>$M$2189*$W$2189</f>
        <v>311.58049</v>
      </c>
      <c r="AD2189" s="6">
        <f>$O$2189*$X$2189</f>
        <v>341.63011999999998</v>
      </c>
      <c r="AE2189" s="6">
        <f>$K$2189*$Y$2189</f>
        <v>0</v>
      </c>
      <c r="AF2189" s="6">
        <f ca="1">$M$2189*$Z$2189</f>
        <v>342.83420821122201</v>
      </c>
      <c r="AG2189" s="6">
        <f>$O$2189*$AA$2189</f>
        <v>306.30405682543721</v>
      </c>
    </row>
    <row r="2190" spans="1:33" ht="11.25" customHeight="1" x14ac:dyDescent="0.25">
      <c r="A2190" s="4" t="s">
        <v>28</v>
      </c>
      <c r="B2190" s="4" t="s">
        <v>39</v>
      </c>
      <c r="C2190" s="4" t="s">
        <v>23</v>
      </c>
      <c r="D2190" s="4" t="s">
        <v>40</v>
      </c>
      <c r="E2190" s="4" t="s">
        <v>25</v>
      </c>
      <c r="F2190" s="4" t="s">
        <v>25</v>
      </c>
      <c r="G2190" s="4" t="s">
        <v>25</v>
      </c>
      <c r="H2190" s="4" t="s">
        <v>25</v>
      </c>
      <c r="I2190" s="5">
        <v>43800</v>
      </c>
      <c r="J2190" s="6">
        <v>0</v>
      </c>
      <c r="K2190" s="6">
        <v>0</v>
      </c>
      <c r="L2190" s="6">
        <v>6.0739999999999998</v>
      </c>
      <c r="M2190" s="6">
        <v>6.0739999999999998</v>
      </c>
      <c r="N2190" s="6">
        <v>6.0739999999999998</v>
      </c>
      <c r="O2190" s="6">
        <v>6.0739999999999998</v>
      </c>
      <c r="P2190" s="6">
        <v>4</v>
      </c>
      <c r="Q2190" s="4" t="s">
        <v>26</v>
      </c>
      <c r="R2190" s="4">
        <v>0</v>
      </c>
      <c r="S2190" s="6">
        <v>0</v>
      </c>
      <c r="T2190" s="6">
        <v>73</v>
      </c>
      <c r="U2190" s="6">
        <v>116</v>
      </c>
      <c r="V2190" s="6">
        <f>IF(ISERROR(VLOOKUP($S$2190,'TAR FIN'!$A$1:$O$120,15,0)),0,VLOOKUP($S$2190,'TAR FIN'!$A$1:$O$120,15,0))</f>
        <v>0</v>
      </c>
      <c r="W2190" s="6">
        <f>IF(ISERROR(VLOOKUP($T$2190,'TAR FIN'!$A$1:$O$120,15,0)),0,VLOOKUP($T$2190,'TAR FIN'!$A$1:$O$120,15,0))</f>
        <v>247.09</v>
      </c>
      <c r="X2190" s="6">
        <f>IF(ISERROR(VLOOKUP($U$2190,'TAR FIN'!$A$1:$O$120,15,0)),0,VLOOKUP($U$2190,'TAR FIN'!$A$1:$O$120,15,0))</f>
        <v>270.92</v>
      </c>
      <c r="Y2190" s="6"/>
      <c r="Z2190" s="6">
        <f ca="1">('TUSD BE'!$AM$83+'TUSD BF'!$AM$83+'TUSD CVA'!$AM$83)*1</f>
        <v>271.87486773292784</v>
      </c>
      <c r="AA2190" s="6">
        <f>('TE BE'!$AA$47+'TE BF'!$AA$47+'TE CVA'!$AA$47)*1</f>
        <v>242.90567551581066</v>
      </c>
      <c r="AB2190" s="6">
        <f>$K$2190*$V$2190</f>
        <v>0</v>
      </c>
      <c r="AC2190" s="6">
        <f>$M$2190*$W$2190</f>
        <v>1500.82466</v>
      </c>
      <c r="AD2190" s="6">
        <f>$O$2190*$X$2190</f>
        <v>1645.56808</v>
      </c>
      <c r="AE2190" s="6">
        <f>$K$2190*$Y$2190</f>
        <v>0</v>
      </c>
      <c r="AF2190" s="6">
        <f ca="1">$M$2190*$Z$2190</f>
        <v>1651.3679466098038</v>
      </c>
      <c r="AG2190" s="6">
        <f>$O$2190*$AA$2190</f>
        <v>1475.4090730830339</v>
      </c>
    </row>
    <row r="2191" spans="1:33" ht="11.25" customHeight="1" x14ac:dyDescent="0.25">
      <c r="A2191" s="4" t="s">
        <v>21</v>
      </c>
      <c r="B2191" s="4" t="s">
        <v>39</v>
      </c>
      <c r="C2191" s="4" t="s">
        <v>23</v>
      </c>
      <c r="D2191" s="4" t="s">
        <v>40</v>
      </c>
      <c r="E2191" s="4" t="s">
        <v>25</v>
      </c>
      <c r="F2191" s="4" t="s">
        <v>25</v>
      </c>
      <c r="G2191" s="4" t="s">
        <v>25</v>
      </c>
      <c r="H2191" s="4" t="s">
        <v>25</v>
      </c>
      <c r="I2191" s="5">
        <v>43831</v>
      </c>
      <c r="J2191" s="6">
        <v>0</v>
      </c>
      <c r="K2191" s="6">
        <v>0</v>
      </c>
      <c r="L2191" s="6">
        <v>2724.377</v>
      </c>
      <c r="M2191" s="6">
        <v>2724.377</v>
      </c>
      <c r="N2191" s="6">
        <v>2724.377</v>
      </c>
      <c r="O2191" s="6">
        <v>2724.377</v>
      </c>
      <c r="P2191" s="6">
        <v>1247</v>
      </c>
      <c r="Q2191" s="4" t="s">
        <v>26</v>
      </c>
      <c r="R2191" s="4">
        <v>0</v>
      </c>
      <c r="S2191" s="6">
        <v>0</v>
      </c>
      <c r="T2191" s="6">
        <v>73</v>
      </c>
      <c r="U2191" s="6">
        <v>116</v>
      </c>
      <c r="V2191" s="6">
        <f>IF(ISERROR(VLOOKUP($S$2191,'TAR FIN'!$A$1:$O$120,15,0)),0,VLOOKUP($S$2191,'TAR FIN'!$A$1:$O$120,15,0))</f>
        <v>0</v>
      </c>
      <c r="W2191" s="6">
        <f>IF(ISERROR(VLOOKUP($T$2191,'TAR FIN'!$A$1:$O$120,15,0)),0,VLOOKUP($T$2191,'TAR FIN'!$A$1:$O$120,15,0))</f>
        <v>247.09</v>
      </c>
      <c r="X2191" s="6">
        <f>IF(ISERROR(VLOOKUP($U$2191,'TAR FIN'!$A$1:$O$120,15,0)),0,VLOOKUP($U$2191,'TAR FIN'!$A$1:$O$120,15,0))</f>
        <v>270.92</v>
      </c>
      <c r="Y2191" s="6"/>
      <c r="Z2191" s="6">
        <f ca="1">('TUSD BE'!$AM$83+'TUSD BF'!$AM$83+'TUSD CVA'!$AM$83)*1</f>
        <v>271.87486773292784</v>
      </c>
      <c r="AA2191" s="6">
        <f>('TE BE'!$AA$47+'TE BF'!$AA$47+'TE CVA'!$AA$47)*1</f>
        <v>242.90567551581066</v>
      </c>
      <c r="AB2191" s="6">
        <f>$K$2191*$V$2191</f>
        <v>0</v>
      </c>
      <c r="AC2191" s="6">
        <f>$M$2191*$W$2191</f>
        <v>673166.31293000001</v>
      </c>
      <c r="AD2191" s="6">
        <f>$O$2191*$X$2191</f>
        <v>738088.21684000001</v>
      </c>
      <c r="AE2191" s="6">
        <f>$K$2191*$Y$2191</f>
        <v>0</v>
      </c>
      <c r="AF2191" s="6">
        <f ca="1">$M$2191*$Z$2191</f>
        <v>740689.63652963075</v>
      </c>
      <c r="AG2191" s="6">
        <f>$O$2191*$AA$2191</f>
        <v>661766.63554473768</v>
      </c>
    </row>
    <row r="2192" spans="1:33" ht="11.25" customHeight="1" x14ac:dyDescent="0.25">
      <c r="A2192" s="4" t="s">
        <v>27</v>
      </c>
      <c r="B2192" s="4" t="s">
        <v>39</v>
      </c>
      <c r="C2192" s="4" t="s">
        <v>23</v>
      </c>
      <c r="D2192" s="4" t="s">
        <v>40</v>
      </c>
      <c r="E2192" s="4" t="s">
        <v>25</v>
      </c>
      <c r="F2192" s="4" t="s">
        <v>25</v>
      </c>
      <c r="G2192" s="4" t="s">
        <v>25</v>
      </c>
      <c r="H2192" s="4" t="s">
        <v>25</v>
      </c>
      <c r="I2192" s="5">
        <v>43831</v>
      </c>
      <c r="J2192" s="6">
        <v>0</v>
      </c>
      <c r="K2192" s="6">
        <v>0</v>
      </c>
      <c r="L2192" s="6">
        <v>6.3029999999999999</v>
      </c>
      <c r="M2192" s="6">
        <v>6.3029999999999999</v>
      </c>
      <c r="N2192" s="6">
        <v>6.3029999999999999</v>
      </c>
      <c r="O2192" s="6">
        <v>6.3029999999999999</v>
      </c>
      <c r="P2192" s="6">
        <v>2</v>
      </c>
      <c r="Q2192" s="4" t="s">
        <v>26</v>
      </c>
      <c r="R2192" s="4">
        <v>0</v>
      </c>
      <c r="S2192" s="6">
        <v>0</v>
      </c>
      <c r="T2192" s="6">
        <v>73</v>
      </c>
      <c r="U2192" s="6">
        <v>116</v>
      </c>
      <c r="V2192" s="6">
        <f>IF(ISERROR(VLOOKUP($S$2192,'TAR FIN'!$A$1:$O$120,15,0)),0,VLOOKUP($S$2192,'TAR FIN'!$A$1:$O$120,15,0))</f>
        <v>0</v>
      </c>
      <c r="W2192" s="6">
        <f>IF(ISERROR(VLOOKUP($T$2192,'TAR FIN'!$A$1:$O$120,15,0)),0,VLOOKUP($T$2192,'TAR FIN'!$A$1:$O$120,15,0))</f>
        <v>247.09</v>
      </c>
      <c r="X2192" s="6">
        <f>IF(ISERROR(VLOOKUP($U$2192,'TAR FIN'!$A$1:$O$120,15,0)),0,VLOOKUP($U$2192,'TAR FIN'!$A$1:$O$120,15,0))</f>
        <v>270.92</v>
      </c>
      <c r="Y2192" s="6"/>
      <c r="Z2192" s="6">
        <f ca="1">('TUSD BE'!$AM$83+'TUSD BF'!$AM$83+'TUSD CVA'!$AM$83)*1</f>
        <v>271.87486773292784</v>
      </c>
      <c r="AA2192" s="6">
        <f>('TE BE'!$AA$47+'TE BF'!$AA$47+'TE CVA'!$AA$47)*1</f>
        <v>242.90567551581066</v>
      </c>
      <c r="AB2192" s="6">
        <f>$K$2192*$V$2192</f>
        <v>0</v>
      </c>
      <c r="AC2192" s="6">
        <f>$M$2192*$W$2192</f>
        <v>1557.4082699999999</v>
      </c>
      <c r="AD2192" s="6">
        <f>$O$2192*$X$2192</f>
        <v>1707.6087600000001</v>
      </c>
      <c r="AE2192" s="6">
        <f>$K$2192*$Y$2192</f>
        <v>0</v>
      </c>
      <c r="AF2192" s="6">
        <f ca="1">$M$2192*$Z$2192</f>
        <v>1713.6272913206442</v>
      </c>
      <c r="AG2192" s="6">
        <f>$O$2192*$AA$2192</f>
        <v>1531.0344727761546</v>
      </c>
    </row>
    <row r="2193" spans="1:33" ht="11.25" customHeight="1" x14ac:dyDescent="0.25">
      <c r="A2193" s="4" t="s">
        <v>28</v>
      </c>
      <c r="B2193" s="4" t="s">
        <v>39</v>
      </c>
      <c r="C2193" s="4" t="s">
        <v>23</v>
      </c>
      <c r="D2193" s="4" t="s">
        <v>40</v>
      </c>
      <c r="E2193" s="4" t="s">
        <v>25</v>
      </c>
      <c r="F2193" s="4" t="s">
        <v>25</v>
      </c>
      <c r="G2193" s="4" t="s">
        <v>25</v>
      </c>
      <c r="H2193" s="4" t="s">
        <v>25</v>
      </c>
      <c r="I2193" s="5">
        <v>43831</v>
      </c>
      <c r="J2193" s="6">
        <v>0</v>
      </c>
      <c r="K2193" s="6">
        <v>0</v>
      </c>
      <c r="L2193" s="6">
        <v>1.39</v>
      </c>
      <c r="M2193" s="6">
        <v>1.39</v>
      </c>
      <c r="N2193" s="6">
        <v>1.39</v>
      </c>
      <c r="O2193" s="6">
        <v>1.39</v>
      </c>
      <c r="P2193" s="6">
        <v>3</v>
      </c>
      <c r="Q2193" s="4" t="s">
        <v>26</v>
      </c>
      <c r="R2193" s="4">
        <v>0</v>
      </c>
      <c r="S2193" s="6">
        <v>0</v>
      </c>
      <c r="T2193" s="6">
        <v>73</v>
      </c>
      <c r="U2193" s="6">
        <v>116</v>
      </c>
      <c r="V2193" s="6">
        <f>IF(ISERROR(VLOOKUP($S$2193,'TAR FIN'!$A$1:$O$120,15,0)),0,VLOOKUP($S$2193,'TAR FIN'!$A$1:$O$120,15,0))</f>
        <v>0</v>
      </c>
      <c r="W2193" s="6">
        <f>IF(ISERROR(VLOOKUP($T$2193,'TAR FIN'!$A$1:$O$120,15,0)),0,VLOOKUP($T$2193,'TAR FIN'!$A$1:$O$120,15,0))</f>
        <v>247.09</v>
      </c>
      <c r="X2193" s="6">
        <f>IF(ISERROR(VLOOKUP($U$2193,'TAR FIN'!$A$1:$O$120,15,0)),0,VLOOKUP($U$2193,'TAR FIN'!$A$1:$O$120,15,0))</f>
        <v>270.92</v>
      </c>
      <c r="Y2193" s="6"/>
      <c r="Z2193" s="6">
        <f ca="1">('TUSD BE'!$AM$83+'TUSD BF'!$AM$83+'TUSD CVA'!$AM$83)*1</f>
        <v>271.87486773292784</v>
      </c>
      <c r="AA2193" s="6">
        <f>('TE BE'!$AA$47+'TE BF'!$AA$47+'TE CVA'!$AA$47)*1</f>
        <v>242.90567551581066</v>
      </c>
      <c r="AB2193" s="6">
        <f>$K$2193*$V$2193</f>
        <v>0</v>
      </c>
      <c r="AC2193" s="6">
        <f>$M$2193*$W$2193</f>
        <v>343.45509999999996</v>
      </c>
      <c r="AD2193" s="6">
        <f>$O$2193*$X$2193</f>
        <v>376.5788</v>
      </c>
      <c r="AE2193" s="6">
        <f>$K$2193*$Y$2193</f>
        <v>0</v>
      </c>
      <c r="AF2193" s="6">
        <f ca="1">$M$2193*$Z$2193</f>
        <v>377.9060661487697</v>
      </c>
      <c r="AG2193" s="6">
        <f>$O$2193*$AA$2193</f>
        <v>337.63888896697677</v>
      </c>
    </row>
    <row r="2194" spans="1:33" ht="11.25" customHeight="1" x14ac:dyDescent="0.25">
      <c r="A2194" s="4" t="s">
        <v>21</v>
      </c>
      <c r="B2194" s="4" t="s">
        <v>39</v>
      </c>
      <c r="C2194" s="4" t="s">
        <v>23</v>
      </c>
      <c r="D2194" s="4" t="s">
        <v>40</v>
      </c>
      <c r="E2194" s="4" t="s">
        <v>25</v>
      </c>
      <c r="F2194" s="4" t="s">
        <v>25</v>
      </c>
      <c r="G2194" s="4" t="s">
        <v>25</v>
      </c>
      <c r="H2194" s="4" t="s">
        <v>25</v>
      </c>
      <c r="I2194" s="5">
        <v>43862</v>
      </c>
      <c r="J2194" s="6">
        <v>0</v>
      </c>
      <c r="K2194" s="6">
        <v>0</v>
      </c>
      <c r="L2194" s="6">
        <v>2564.0349999999999</v>
      </c>
      <c r="M2194" s="6">
        <v>2564.0349999999999</v>
      </c>
      <c r="N2194" s="6">
        <v>2564.0349999999999</v>
      </c>
      <c r="O2194" s="6">
        <v>2564.0349999999999</v>
      </c>
      <c r="P2194" s="6">
        <v>1237</v>
      </c>
      <c r="Q2194" s="4" t="s">
        <v>26</v>
      </c>
      <c r="R2194" s="4">
        <v>0</v>
      </c>
      <c r="S2194" s="6">
        <v>0</v>
      </c>
      <c r="T2194" s="6">
        <v>73</v>
      </c>
      <c r="U2194" s="6">
        <v>116</v>
      </c>
      <c r="V2194" s="6">
        <f>IF(ISERROR(VLOOKUP($S$2194,'TAR FIN'!$A$1:$O$120,15,0)),0,VLOOKUP($S$2194,'TAR FIN'!$A$1:$O$120,15,0))</f>
        <v>0</v>
      </c>
      <c r="W2194" s="6">
        <f>IF(ISERROR(VLOOKUP($T$2194,'TAR FIN'!$A$1:$O$120,15,0)),0,VLOOKUP($T$2194,'TAR FIN'!$A$1:$O$120,15,0))</f>
        <v>247.09</v>
      </c>
      <c r="X2194" s="6">
        <f>IF(ISERROR(VLOOKUP($U$2194,'TAR FIN'!$A$1:$O$120,15,0)),0,VLOOKUP($U$2194,'TAR FIN'!$A$1:$O$120,15,0))</f>
        <v>270.92</v>
      </c>
      <c r="Y2194" s="6"/>
      <c r="Z2194" s="6">
        <f ca="1">('TUSD BE'!$AM$83+'TUSD BF'!$AM$83+'TUSD CVA'!$AM$83)*1</f>
        <v>271.87486773292784</v>
      </c>
      <c r="AA2194" s="6">
        <f>('TE BE'!$AA$47+'TE BF'!$AA$47+'TE CVA'!$AA$47)*1</f>
        <v>242.90567551581066</v>
      </c>
      <c r="AB2194" s="6">
        <f>$K$2194*$V$2194</f>
        <v>0</v>
      </c>
      <c r="AC2194" s="6">
        <f>$M$2194*$W$2194</f>
        <v>633547.40814999992</v>
      </c>
      <c r="AD2194" s="6">
        <f>$O$2194*$X$2194</f>
        <v>694648.36219999997</v>
      </c>
      <c r="AE2194" s="6">
        <f>$K$2194*$Y$2194</f>
        <v>0</v>
      </c>
      <c r="AF2194" s="6">
        <f ca="1">$M$2194*$Z$2194</f>
        <v>697096.67648759764</v>
      </c>
      <c r="AG2194" s="6">
        <f>$O$2194*$AA$2194</f>
        <v>622818.65372118156</v>
      </c>
    </row>
    <row r="2195" spans="1:33" ht="11.25" customHeight="1" x14ac:dyDescent="0.25">
      <c r="A2195" s="4" t="s">
        <v>27</v>
      </c>
      <c r="B2195" s="4" t="s">
        <v>39</v>
      </c>
      <c r="C2195" s="4" t="s">
        <v>23</v>
      </c>
      <c r="D2195" s="4" t="s">
        <v>40</v>
      </c>
      <c r="E2195" s="4" t="s">
        <v>25</v>
      </c>
      <c r="F2195" s="4" t="s">
        <v>25</v>
      </c>
      <c r="G2195" s="4" t="s">
        <v>25</v>
      </c>
      <c r="H2195" s="4" t="s">
        <v>25</v>
      </c>
      <c r="I2195" s="5">
        <v>43862</v>
      </c>
      <c r="J2195" s="6">
        <v>0</v>
      </c>
      <c r="K2195" s="6">
        <v>0</v>
      </c>
      <c r="L2195" s="6">
        <v>13.612</v>
      </c>
      <c r="M2195" s="6">
        <v>13.612</v>
      </c>
      <c r="N2195" s="6">
        <v>13.612</v>
      </c>
      <c r="O2195" s="6">
        <v>13.612</v>
      </c>
      <c r="P2195" s="6">
        <v>3</v>
      </c>
      <c r="Q2195" s="4" t="s">
        <v>26</v>
      </c>
      <c r="R2195" s="4">
        <v>0</v>
      </c>
      <c r="S2195" s="6">
        <v>0</v>
      </c>
      <c r="T2195" s="6">
        <v>73</v>
      </c>
      <c r="U2195" s="6">
        <v>116</v>
      </c>
      <c r="V2195" s="6">
        <f>IF(ISERROR(VLOOKUP($S$2195,'TAR FIN'!$A$1:$O$120,15,0)),0,VLOOKUP($S$2195,'TAR FIN'!$A$1:$O$120,15,0))</f>
        <v>0</v>
      </c>
      <c r="W2195" s="6">
        <f>IF(ISERROR(VLOOKUP($T$2195,'TAR FIN'!$A$1:$O$120,15,0)),0,VLOOKUP($T$2195,'TAR FIN'!$A$1:$O$120,15,0))</f>
        <v>247.09</v>
      </c>
      <c r="X2195" s="6">
        <f>IF(ISERROR(VLOOKUP($U$2195,'TAR FIN'!$A$1:$O$120,15,0)),0,VLOOKUP($U$2195,'TAR FIN'!$A$1:$O$120,15,0))</f>
        <v>270.92</v>
      </c>
      <c r="Y2195" s="6"/>
      <c r="Z2195" s="6">
        <f ca="1">('TUSD BE'!$AM$83+'TUSD BF'!$AM$83+'TUSD CVA'!$AM$83)*1</f>
        <v>271.87486773292784</v>
      </c>
      <c r="AA2195" s="6">
        <f>('TE BE'!$AA$47+'TE BF'!$AA$47+'TE CVA'!$AA$47)*1</f>
        <v>242.90567551581066</v>
      </c>
      <c r="AB2195" s="6">
        <f>$K$2195*$V$2195</f>
        <v>0</v>
      </c>
      <c r="AC2195" s="6">
        <f>$M$2195*$W$2195</f>
        <v>3363.3890799999999</v>
      </c>
      <c r="AD2195" s="6">
        <f>$O$2195*$X$2195</f>
        <v>3687.7630400000003</v>
      </c>
      <c r="AE2195" s="6">
        <f>$K$2195*$Y$2195</f>
        <v>0</v>
      </c>
      <c r="AF2195" s="6">
        <f ca="1">$M$2195*$Z$2195</f>
        <v>3700.7606995806136</v>
      </c>
      <c r="AG2195" s="6">
        <f>$O$2195*$AA$2195</f>
        <v>3306.4320551212145</v>
      </c>
    </row>
    <row r="2196" spans="1:33" ht="11.25" customHeight="1" x14ac:dyDescent="0.25">
      <c r="A2196" s="4" t="s">
        <v>28</v>
      </c>
      <c r="B2196" s="4" t="s">
        <v>39</v>
      </c>
      <c r="C2196" s="4" t="s">
        <v>23</v>
      </c>
      <c r="D2196" s="4" t="s">
        <v>40</v>
      </c>
      <c r="E2196" s="4" t="s">
        <v>25</v>
      </c>
      <c r="F2196" s="4" t="s">
        <v>25</v>
      </c>
      <c r="G2196" s="4" t="s">
        <v>25</v>
      </c>
      <c r="H2196" s="4" t="s">
        <v>25</v>
      </c>
      <c r="I2196" s="5">
        <v>43862</v>
      </c>
      <c r="J2196" s="6">
        <v>0</v>
      </c>
      <c r="K2196" s="6">
        <v>0</v>
      </c>
      <c r="L2196" s="6">
        <v>4.415</v>
      </c>
      <c r="M2196" s="6">
        <v>4.415</v>
      </c>
      <c r="N2196" s="6">
        <v>4.415</v>
      </c>
      <c r="O2196" s="6">
        <v>4.415</v>
      </c>
      <c r="P2196" s="6">
        <v>3</v>
      </c>
      <c r="Q2196" s="4" t="s">
        <v>26</v>
      </c>
      <c r="R2196" s="4">
        <v>0</v>
      </c>
      <c r="S2196" s="6">
        <v>0</v>
      </c>
      <c r="T2196" s="6">
        <v>73</v>
      </c>
      <c r="U2196" s="6">
        <v>116</v>
      </c>
      <c r="V2196" s="6">
        <f>IF(ISERROR(VLOOKUP($S$2196,'TAR FIN'!$A$1:$O$120,15,0)),0,VLOOKUP($S$2196,'TAR FIN'!$A$1:$O$120,15,0))</f>
        <v>0</v>
      </c>
      <c r="W2196" s="6">
        <f>IF(ISERROR(VLOOKUP($T$2196,'TAR FIN'!$A$1:$O$120,15,0)),0,VLOOKUP($T$2196,'TAR FIN'!$A$1:$O$120,15,0))</f>
        <v>247.09</v>
      </c>
      <c r="X2196" s="6">
        <f>IF(ISERROR(VLOOKUP($U$2196,'TAR FIN'!$A$1:$O$120,15,0)),0,VLOOKUP($U$2196,'TAR FIN'!$A$1:$O$120,15,0))</f>
        <v>270.92</v>
      </c>
      <c r="Y2196" s="6"/>
      <c r="Z2196" s="6">
        <f ca="1">('TUSD BE'!$AM$83+'TUSD BF'!$AM$83+'TUSD CVA'!$AM$83)*1</f>
        <v>271.87486773292784</v>
      </c>
      <c r="AA2196" s="6">
        <f>('TE BE'!$AA$47+'TE BF'!$AA$47+'TE CVA'!$AA$47)*1</f>
        <v>242.90567551581066</v>
      </c>
      <c r="AB2196" s="6">
        <f>$K$2196*$V$2196</f>
        <v>0</v>
      </c>
      <c r="AC2196" s="6">
        <f>$M$2196*$W$2196</f>
        <v>1090.9023500000001</v>
      </c>
      <c r="AD2196" s="6">
        <f>$O$2196*$X$2196</f>
        <v>1196.1118000000001</v>
      </c>
      <c r="AE2196" s="6">
        <f>$K$2196*$Y$2196</f>
        <v>0</v>
      </c>
      <c r="AF2196" s="6">
        <f ca="1">$M$2196*$Z$2196</f>
        <v>1200.3275410408764</v>
      </c>
      <c r="AG2196" s="6">
        <f>$O$2196*$AA$2196</f>
        <v>1072.428557402304</v>
      </c>
    </row>
    <row r="2197" spans="1:33" ht="11.25" customHeight="1" x14ac:dyDescent="0.25">
      <c r="A2197" s="4" t="s">
        <v>21</v>
      </c>
      <c r="B2197" s="4" t="s">
        <v>39</v>
      </c>
      <c r="C2197" s="4" t="s">
        <v>23</v>
      </c>
      <c r="D2197" s="4" t="s">
        <v>40</v>
      </c>
      <c r="E2197" s="4" t="s">
        <v>25</v>
      </c>
      <c r="F2197" s="4" t="s">
        <v>25</v>
      </c>
      <c r="G2197" s="4" t="s">
        <v>25</v>
      </c>
      <c r="H2197" s="4" t="s">
        <v>25</v>
      </c>
      <c r="I2197" s="5">
        <v>43891</v>
      </c>
      <c r="J2197" s="6">
        <v>0</v>
      </c>
      <c r="K2197" s="6">
        <v>0</v>
      </c>
      <c r="L2197" s="6">
        <v>2587.1819999999998</v>
      </c>
      <c r="M2197" s="6">
        <v>2587.1819999999998</v>
      </c>
      <c r="N2197" s="6">
        <v>2587.1819999999998</v>
      </c>
      <c r="O2197" s="6">
        <v>2587.1819999999998</v>
      </c>
      <c r="P2197" s="6">
        <v>1235</v>
      </c>
      <c r="Q2197" s="4" t="s">
        <v>26</v>
      </c>
      <c r="R2197" s="4">
        <v>0</v>
      </c>
      <c r="S2197" s="6">
        <v>0</v>
      </c>
      <c r="T2197" s="6">
        <v>73</v>
      </c>
      <c r="U2197" s="6">
        <v>116</v>
      </c>
      <c r="V2197" s="6">
        <f>IF(ISERROR(VLOOKUP($S$2197,'TAR FIN'!$A$1:$O$120,15,0)),0,VLOOKUP($S$2197,'TAR FIN'!$A$1:$O$120,15,0))</f>
        <v>0</v>
      </c>
      <c r="W2197" s="6">
        <f>IF(ISERROR(VLOOKUP($T$2197,'TAR FIN'!$A$1:$O$120,15,0)),0,VLOOKUP($T$2197,'TAR FIN'!$A$1:$O$120,15,0))</f>
        <v>247.09</v>
      </c>
      <c r="X2197" s="6">
        <f>IF(ISERROR(VLOOKUP($U$2197,'TAR FIN'!$A$1:$O$120,15,0)),0,VLOOKUP($U$2197,'TAR FIN'!$A$1:$O$120,15,0))</f>
        <v>270.92</v>
      </c>
      <c r="Y2197" s="6"/>
      <c r="Z2197" s="6">
        <f ca="1">('TUSD BE'!$AM$83+'TUSD BF'!$AM$83+'TUSD CVA'!$AM$83)*1</f>
        <v>271.87486773292784</v>
      </c>
      <c r="AA2197" s="6">
        <f>('TE BE'!$AA$47+'TE BF'!$AA$47+'TE CVA'!$AA$47)*1</f>
        <v>242.90567551581066</v>
      </c>
      <c r="AB2197" s="6">
        <f>$K$2197*$V$2197</f>
        <v>0</v>
      </c>
      <c r="AC2197" s="6">
        <f>$M$2197*$W$2197</f>
        <v>639266.80037999991</v>
      </c>
      <c r="AD2197" s="6">
        <f>$O$2197*$X$2197</f>
        <v>700919.34744000004</v>
      </c>
      <c r="AE2197" s="6">
        <f>$K$2197*$Y$2197</f>
        <v>0</v>
      </c>
      <c r="AF2197" s="6">
        <f ca="1">$M$2197*$Z$2197</f>
        <v>703389.76405101165</v>
      </c>
      <c r="AG2197" s="6">
        <f>$O$2197*$AA$2197</f>
        <v>628441.19139234605</v>
      </c>
    </row>
    <row r="2198" spans="1:33" ht="11.25" customHeight="1" x14ac:dyDescent="0.25">
      <c r="A2198" s="4" t="s">
        <v>27</v>
      </c>
      <c r="B2198" s="4" t="s">
        <v>39</v>
      </c>
      <c r="C2198" s="4" t="s">
        <v>23</v>
      </c>
      <c r="D2198" s="4" t="s">
        <v>40</v>
      </c>
      <c r="E2198" s="4" t="s">
        <v>25</v>
      </c>
      <c r="F2198" s="4" t="s">
        <v>25</v>
      </c>
      <c r="G2198" s="4" t="s">
        <v>25</v>
      </c>
      <c r="H2198" s="4" t="s">
        <v>25</v>
      </c>
      <c r="I2198" s="5">
        <v>43891</v>
      </c>
      <c r="J2198" s="6">
        <v>0</v>
      </c>
      <c r="K2198" s="6">
        <v>0</v>
      </c>
      <c r="L2198" s="6">
        <v>3.206</v>
      </c>
      <c r="M2198" s="6">
        <v>3.206</v>
      </c>
      <c r="N2198" s="6">
        <v>3.206</v>
      </c>
      <c r="O2198" s="6">
        <v>3.206</v>
      </c>
      <c r="P2198" s="6">
        <v>2</v>
      </c>
      <c r="Q2198" s="4" t="s">
        <v>26</v>
      </c>
      <c r="R2198" s="4">
        <v>0</v>
      </c>
      <c r="S2198" s="6">
        <v>0</v>
      </c>
      <c r="T2198" s="6">
        <v>73</v>
      </c>
      <c r="U2198" s="6">
        <v>116</v>
      </c>
      <c r="V2198" s="6">
        <f>IF(ISERROR(VLOOKUP($S$2198,'TAR FIN'!$A$1:$O$120,15,0)),0,VLOOKUP($S$2198,'TAR FIN'!$A$1:$O$120,15,0))</f>
        <v>0</v>
      </c>
      <c r="W2198" s="6">
        <f>IF(ISERROR(VLOOKUP($T$2198,'TAR FIN'!$A$1:$O$120,15,0)),0,VLOOKUP($T$2198,'TAR FIN'!$A$1:$O$120,15,0))</f>
        <v>247.09</v>
      </c>
      <c r="X2198" s="6">
        <f>IF(ISERROR(VLOOKUP($U$2198,'TAR FIN'!$A$1:$O$120,15,0)),0,VLOOKUP($U$2198,'TAR FIN'!$A$1:$O$120,15,0))</f>
        <v>270.92</v>
      </c>
      <c r="Y2198" s="6"/>
      <c r="Z2198" s="6">
        <f ca="1">('TUSD BE'!$AM$83+'TUSD BF'!$AM$83+'TUSD CVA'!$AM$83)*1</f>
        <v>271.87486773292784</v>
      </c>
      <c r="AA2198" s="6">
        <f>('TE BE'!$AA$47+'TE BF'!$AA$47+'TE CVA'!$AA$47)*1</f>
        <v>242.90567551581066</v>
      </c>
      <c r="AB2198" s="6">
        <f>$K$2198*$V$2198</f>
        <v>0</v>
      </c>
      <c r="AC2198" s="6">
        <f>$M$2198*$W$2198</f>
        <v>792.17053999999996</v>
      </c>
      <c r="AD2198" s="6">
        <f>$O$2198*$X$2198</f>
        <v>868.56952000000001</v>
      </c>
      <c r="AE2198" s="6">
        <f>$K$2198*$Y$2198</f>
        <v>0</v>
      </c>
      <c r="AF2198" s="6">
        <f ca="1">$M$2198*$Z$2198</f>
        <v>871.63082595176661</v>
      </c>
      <c r="AG2198" s="6">
        <f>$O$2198*$AA$2198</f>
        <v>778.75559570368898</v>
      </c>
    </row>
    <row r="2199" spans="1:33" ht="11.25" customHeight="1" x14ac:dyDescent="0.25">
      <c r="A2199" s="4" t="s">
        <v>28</v>
      </c>
      <c r="B2199" s="4" t="s">
        <v>39</v>
      </c>
      <c r="C2199" s="4" t="s">
        <v>23</v>
      </c>
      <c r="D2199" s="4" t="s">
        <v>40</v>
      </c>
      <c r="E2199" s="4" t="s">
        <v>25</v>
      </c>
      <c r="F2199" s="4" t="s">
        <v>25</v>
      </c>
      <c r="G2199" s="4" t="s">
        <v>25</v>
      </c>
      <c r="H2199" s="4" t="s">
        <v>25</v>
      </c>
      <c r="I2199" s="5">
        <v>43891</v>
      </c>
      <c r="J2199" s="6">
        <v>0</v>
      </c>
      <c r="K2199" s="6">
        <v>0</v>
      </c>
      <c r="L2199" s="6">
        <v>3.2120000000000002</v>
      </c>
      <c r="M2199" s="6">
        <v>3.2120000000000002</v>
      </c>
      <c r="N2199" s="6">
        <v>3.2120000000000002</v>
      </c>
      <c r="O2199" s="6">
        <v>3.2120000000000002</v>
      </c>
      <c r="P2199" s="6">
        <v>3</v>
      </c>
      <c r="Q2199" s="4" t="s">
        <v>26</v>
      </c>
      <c r="R2199" s="4">
        <v>0</v>
      </c>
      <c r="S2199" s="6">
        <v>0</v>
      </c>
      <c r="T2199" s="6">
        <v>73</v>
      </c>
      <c r="U2199" s="6">
        <v>116</v>
      </c>
      <c r="V2199" s="6">
        <f>IF(ISERROR(VLOOKUP($S$2199,'TAR FIN'!$A$1:$O$120,15,0)),0,VLOOKUP($S$2199,'TAR FIN'!$A$1:$O$120,15,0))</f>
        <v>0</v>
      </c>
      <c r="W2199" s="6">
        <f>IF(ISERROR(VLOOKUP($T$2199,'TAR FIN'!$A$1:$O$120,15,0)),0,VLOOKUP($T$2199,'TAR FIN'!$A$1:$O$120,15,0))</f>
        <v>247.09</v>
      </c>
      <c r="X2199" s="6">
        <f>IF(ISERROR(VLOOKUP($U$2199,'TAR FIN'!$A$1:$O$120,15,0)),0,VLOOKUP($U$2199,'TAR FIN'!$A$1:$O$120,15,0))</f>
        <v>270.92</v>
      </c>
      <c r="Y2199" s="6"/>
      <c r="Z2199" s="6">
        <f ca="1">('TUSD BE'!$AM$83+'TUSD BF'!$AM$83+'TUSD CVA'!$AM$83)*1</f>
        <v>271.87486773292784</v>
      </c>
      <c r="AA2199" s="6">
        <f>('TE BE'!$AA$47+'TE BF'!$AA$47+'TE CVA'!$AA$47)*1</f>
        <v>242.90567551581066</v>
      </c>
      <c r="AB2199" s="6">
        <f>$K$2199*$V$2199</f>
        <v>0</v>
      </c>
      <c r="AC2199" s="6">
        <f>$M$2199*$W$2199</f>
        <v>793.65308000000005</v>
      </c>
      <c r="AD2199" s="6">
        <f>$O$2199*$X$2199</f>
        <v>870.19504000000006</v>
      </c>
      <c r="AE2199" s="6">
        <f>$K$2199*$Y$2199</f>
        <v>0</v>
      </c>
      <c r="AF2199" s="6">
        <f ca="1">$M$2199*$Z$2199</f>
        <v>873.26207515816429</v>
      </c>
      <c r="AG2199" s="6">
        <f>$O$2199*$AA$2199</f>
        <v>780.21302975678384</v>
      </c>
    </row>
    <row r="2200" spans="1:33" ht="11.25" customHeight="1" x14ac:dyDescent="0.25">
      <c r="A2200" s="4" t="s">
        <v>21</v>
      </c>
      <c r="B2200" s="4" t="s">
        <v>39</v>
      </c>
      <c r="C2200" s="4" t="s">
        <v>23</v>
      </c>
      <c r="D2200" s="4" t="s">
        <v>40</v>
      </c>
      <c r="E2200" s="4" t="s">
        <v>25</v>
      </c>
      <c r="F2200" s="4" t="s">
        <v>25</v>
      </c>
      <c r="G2200" s="4" t="s">
        <v>25</v>
      </c>
      <c r="H2200" s="4" t="s">
        <v>25</v>
      </c>
      <c r="I2200" s="5">
        <v>43922</v>
      </c>
      <c r="J2200" s="6">
        <v>0</v>
      </c>
      <c r="K2200" s="6">
        <v>0</v>
      </c>
      <c r="L2200" s="6">
        <v>2430.393</v>
      </c>
      <c r="M2200" s="6">
        <v>2430.393</v>
      </c>
      <c r="N2200" s="6">
        <v>2430.393</v>
      </c>
      <c r="O2200" s="6">
        <v>2430.393</v>
      </c>
      <c r="P2200" s="6">
        <v>1226</v>
      </c>
      <c r="Q2200" s="4" t="s">
        <v>26</v>
      </c>
      <c r="R2200" s="4">
        <v>0</v>
      </c>
      <c r="S2200" s="6">
        <v>0</v>
      </c>
      <c r="T2200" s="6">
        <v>73</v>
      </c>
      <c r="U2200" s="6">
        <v>116</v>
      </c>
      <c r="V2200" s="6">
        <f>IF(ISERROR(VLOOKUP($S$2200,'TAR FIN'!$A$1:$O$120,15,0)),0,VLOOKUP($S$2200,'TAR FIN'!$A$1:$O$120,15,0))</f>
        <v>0</v>
      </c>
      <c r="W2200" s="6">
        <f>IF(ISERROR(VLOOKUP($T$2200,'TAR FIN'!$A$1:$O$120,15,0)),0,VLOOKUP($T$2200,'TAR FIN'!$A$1:$O$120,15,0))</f>
        <v>247.09</v>
      </c>
      <c r="X2200" s="6">
        <f>IF(ISERROR(VLOOKUP($U$2200,'TAR FIN'!$A$1:$O$120,15,0)),0,VLOOKUP($U$2200,'TAR FIN'!$A$1:$O$120,15,0))</f>
        <v>270.92</v>
      </c>
      <c r="Y2200" s="6"/>
      <c r="Z2200" s="6">
        <f ca="1">('TUSD BE'!$AM$83+'TUSD BF'!$AM$83+'TUSD CVA'!$AM$83)*1</f>
        <v>271.87486773292784</v>
      </c>
      <c r="AA2200" s="6">
        <f>('TE BE'!$AA$47+'TE BF'!$AA$47+'TE CVA'!$AA$47)*1</f>
        <v>242.90567551581066</v>
      </c>
      <c r="AB2200" s="6">
        <f>$K$2200*$V$2200</f>
        <v>0</v>
      </c>
      <c r="AC2200" s="6">
        <f>$M$2200*$W$2200</f>
        <v>600525.80637000001</v>
      </c>
      <c r="AD2200" s="6">
        <f>$O$2200*$X$2200</f>
        <v>658442.07156000007</v>
      </c>
      <c r="AE2200" s="6">
        <f>$K$2200*$Y$2200</f>
        <v>0</v>
      </c>
      <c r="AF2200" s="6">
        <f ca="1">$M$2200*$Z$2200</f>
        <v>660762.77541403368</v>
      </c>
      <c r="AG2200" s="6">
        <f>$O$2200*$AA$2200</f>
        <v>590356.25343389763</v>
      </c>
    </row>
    <row r="2201" spans="1:33" ht="11.25" customHeight="1" x14ac:dyDescent="0.25">
      <c r="A2201" s="4" t="s">
        <v>27</v>
      </c>
      <c r="B2201" s="4" t="s">
        <v>39</v>
      </c>
      <c r="C2201" s="4" t="s">
        <v>23</v>
      </c>
      <c r="D2201" s="4" t="s">
        <v>40</v>
      </c>
      <c r="E2201" s="4" t="s">
        <v>25</v>
      </c>
      <c r="F2201" s="4" t="s">
        <v>25</v>
      </c>
      <c r="G2201" s="4" t="s">
        <v>25</v>
      </c>
      <c r="H2201" s="4" t="s">
        <v>25</v>
      </c>
      <c r="I2201" s="5">
        <v>43922</v>
      </c>
      <c r="J2201" s="6">
        <v>0</v>
      </c>
      <c r="K2201" s="6">
        <v>0</v>
      </c>
      <c r="L2201" s="6">
        <v>1.212</v>
      </c>
      <c r="M2201" s="6">
        <v>1.212</v>
      </c>
      <c r="N2201" s="6">
        <v>1.212</v>
      </c>
      <c r="O2201" s="6">
        <v>1.212</v>
      </c>
      <c r="P2201" s="6">
        <v>2</v>
      </c>
      <c r="Q2201" s="4" t="s">
        <v>26</v>
      </c>
      <c r="R2201" s="4">
        <v>0</v>
      </c>
      <c r="S2201" s="6">
        <v>0</v>
      </c>
      <c r="T2201" s="6">
        <v>73</v>
      </c>
      <c r="U2201" s="6">
        <v>116</v>
      </c>
      <c r="V2201" s="6">
        <f>IF(ISERROR(VLOOKUP($S$2201,'TAR FIN'!$A$1:$O$120,15,0)),0,VLOOKUP($S$2201,'TAR FIN'!$A$1:$O$120,15,0))</f>
        <v>0</v>
      </c>
      <c r="W2201" s="6">
        <f>IF(ISERROR(VLOOKUP($T$2201,'TAR FIN'!$A$1:$O$120,15,0)),0,VLOOKUP($T$2201,'TAR FIN'!$A$1:$O$120,15,0))</f>
        <v>247.09</v>
      </c>
      <c r="X2201" s="6">
        <f>IF(ISERROR(VLOOKUP($U$2201,'TAR FIN'!$A$1:$O$120,15,0)),0,VLOOKUP($U$2201,'TAR FIN'!$A$1:$O$120,15,0))</f>
        <v>270.92</v>
      </c>
      <c r="Y2201" s="6"/>
      <c r="Z2201" s="6">
        <f ca="1">('TUSD BE'!$AM$83+'TUSD BF'!$AM$83+'TUSD CVA'!$AM$83)*1</f>
        <v>271.87486773292784</v>
      </c>
      <c r="AA2201" s="6">
        <f>('TE BE'!$AA$47+'TE BF'!$AA$47+'TE CVA'!$AA$47)*1</f>
        <v>242.90567551581066</v>
      </c>
      <c r="AB2201" s="6">
        <f>$K$2201*$V$2201</f>
        <v>0</v>
      </c>
      <c r="AC2201" s="6">
        <f>$M$2201*$W$2201</f>
        <v>299.47307999999998</v>
      </c>
      <c r="AD2201" s="6">
        <f>$O$2201*$X$2201</f>
        <v>328.35504000000003</v>
      </c>
      <c r="AE2201" s="6">
        <f>$K$2201*$Y$2201</f>
        <v>0</v>
      </c>
      <c r="AF2201" s="6">
        <f ca="1">$M$2201*$Z$2201</f>
        <v>329.51233969230856</v>
      </c>
      <c r="AG2201" s="6">
        <f>$O$2201*$AA$2201</f>
        <v>294.40167872516253</v>
      </c>
    </row>
    <row r="2202" spans="1:33" ht="11.25" customHeight="1" x14ac:dyDescent="0.25">
      <c r="A2202" s="4" t="s">
        <v>28</v>
      </c>
      <c r="B2202" s="4" t="s">
        <v>39</v>
      </c>
      <c r="C2202" s="4" t="s">
        <v>23</v>
      </c>
      <c r="D2202" s="4" t="s">
        <v>40</v>
      </c>
      <c r="E2202" s="4" t="s">
        <v>25</v>
      </c>
      <c r="F2202" s="4" t="s">
        <v>25</v>
      </c>
      <c r="G2202" s="4" t="s">
        <v>25</v>
      </c>
      <c r="H2202" s="4" t="s">
        <v>25</v>
      </c>
      <c r="I2202" s="5">
        <v>43922</v>
      </c>
      <c r="J2202" s="6">
        <v>0</v>
      </c>
      <c r="K2202" s="6">
        <v>0</v>
      </c>
      <c r="L2202" s="6">
        <v>3.1930000000000001</v>
      </c>
      <c r="M2202" s="6">
        <v>3.1930000000000001</v>
      </c>
      <c r="N2202" s="6">
        <v>3.1930000000000001</v>
      </c>
      <c r="O2202" s="6">
        <v>3.1930000000000001</v>
      </c>
      <c r="P2202" s="6">
        <v>3</v>
      </c>
      <c r="Q2202" s="4" t="s">
        <v>26</v>
      </c>
      <c r="R2202" s="4">
        <v>0</v>
      </c>
      <c r="S2202" s="6">
        <v>0</v>
      </c>
      <c r="T2202" s="6">
        <v>73</v>
      </c>
      <c r="U2202" s="6">
        <v>116</v>
      </c>
      <c r="V2202" s="6">
        <f>IF(ISERROR(VLOOKUP($S$2202,'TAR FIN'!$A$1:$O$120,15,0)),0,VLOOKUP($S$2202,'TAR FIN'!$A$1:$O$120,15,0))</f>
        <v>0</v>
      </c>
      <c r="W2202" s="6">
        <f>IF(ISERROR(VLOOKUP($T$2202,'TAR FIN'!$A$1:$O$120,15,0)),0,VLOOKUP($T$2202,'TAR FIN'!$A$1:$O$120,15,0))</f>
        <v>247.09</v>
      </c>
      <c r="X2202" s="6">
        <f>IF(ISERROR(VLOOKUP($U$2202,'TAR FIN'!$A$1:$O$120,15,0)),0,VLOOKUP($U$2202,'TAR FIN'!$A$1:$O$120,15,0))</f>
        <v>270.92</v>
      </c>
      <c r="Y2202" s="6"/>
      <c r="Z2202" s="6">
        <f ca="1">('TUSD BE'!$AM$83+'TUSD BF'!$AM$83+'TUSD CVA'!$AM$83)*1</f>
        <v>271.87486773292784</v>
      </c>
      <c r="AA2202" s="6">
        <f>('TE BE'!$AA$47+'TE BF'!$AA$47+'TE CVA'!$AA$47)*1</f>
        <v>242.90567551581066</v>
      </c>
      <c r="AB2202" s="6">
        <f>$K$2202*$V$2202</f>
        <v>0</v>
      </c>
      <c r="AC2202" s="6">
        <f>$M$2202*$W$2202</f>
        <v>788.95837000000006</v>
      </c>
      <c r="AD2202" s="6">
        <f>$O$2202*$X$2202</f>
        <v>865.04756000000009</v>
      </c>
      <c r="AE2202" s="6">
        <f>$K$2202*$Y$2202</f>
        <v>0</v>
      </c>
      <c r="AF2202" s="6">
        <f ca="1">$M$2202*$Z$2202</f>
        <v>868.09645267123858</v>
      </c>
      <c r="AG2202" s="6">
        <f>$O$2202*$AA$2202</f>
        <v>775.5978219219835</v>
      </c>
    </row>
    <row r="2203" spans="1:33" ht="11.25" customHeight="1" x14ac:dyDescent="0.25">
      <c r="A2203" s="4" t="s">
        <v>21</v>
      </c>
      <c r="B2203" s="4" t="s">
        <v>39</v>
      </c>
      <c r="C2203" s="4" t="s">
        <v>23</v>
      </c>
      <c r="D2203" s="4" t="s">
        <v>40</v>
      </c>
      <c r="E2203" s="4" t="s">
        <v>25</v>
      </c>
      <c r="F2203" s="4" t="s">
        <v>25</v>
      </c>
      <c r="G2203" s="4" t="s">
        <v>25</v>
      </c>
      <c r="H2203" s="4" t="s">
        <v>25</v>
      </c>
      <c r="I2203" s="5">
        <v>43952</v>
      </c>
      <c r="J2203" s="6">
        <v>0</v>
      </c>
      <c r="K2203" s="6">
        <v>0</v>
      </c>
      <c r="L2203" s="6">
        <v>2270.6390000000001</v>
      </c>
      <c r="M2203" s="6">
        <v>2270.6390000000001</v>
      </c>
      <c r="N2203" s="6">
        <v>2270.6390000000001</v>
      </c>
      <c r="O2203" s="6">
        <v>2270.6390000000001</v>
      </c>
      <c r="P2203" s="6">
        <v>1222</v>
      </c>
      <c r="Q2203" s="4" t="s">
        <v>26</v>
      </c>
      <c r="R2203" s="4">
        <v>0</v>
      </c>
      <c r="S2203" s="6">
        <v>0</v>
      </c>
      <c r="T2203" s="6">
        <v>73</v>
      </c>
      <c r="U2203" s="6">
        <v>116</v>
      </c>
      <c r="V2203" s="6">
        <f>IF(ISERROR(VLOOKUP($S$2203,'TAR FIN'!$A$1:$O$120,15,0)),0,VLOOKUP($S$2203,'TAR FIN'!$A$1:$O$120,15,0))</f>
        <v>0</v>
      </c>
      <c r="W2203" s="6">
        <f>IF(ISERROR(VLOOKUP($T$2203,'TAR FIN'!$A$1:$O$120,15,0)),0,VLOOKUP($T$2203,'TAR FIN'!$A$1:$O$120,15,0))</f>
        <v>247.09</v>
      </c>
      <c r="X2203" s="6">
        <f>IF(ISERROR(VLOOKUP($U$2203,'TAR FIN'!$A$1:$O$120,15,0)),0,VLOOKUP($U$2203,'TAR FIN'!$A$1:$O$120,15,0))</f>
        <v>270.92</v>
      </c>
      <c r="Y2203" s="6"/>
      <c r="Z2203" s="6">
        <f ca="1">('TUSD BE'!$AM$83+'TUSD BF'!$AM$83+'TUSD CVA'!$AM$83)*1</f>
        <v>271.87486773292784</v>
      </c>
      <c r="AA2203" s="6">
        <f>('TE BE'!$AA$47+'TE BF'!$AA$47+'TE CVA'!$AA$47)*1</f>
        <v>242.90567551581066</v>
      </c>
      <c r="AB2203" s="6">
        <f>$K$2203*$V$2203</f>
        <v>0</v>
      </c>
      <c r="AC2203" s="6">
        <f>$M$2203*$W$2203</f>
        <v>561052.19050999999</v>
      </c>
      <c r="AD2203" s="6">
        <f>$O$2203*$X$2203</f>
        <v>615161.51788000006</v>
      </c>
      <c r="AE2203" s="6">
        <f>$K$2203*$Y$2203</f>
        <v>0</v>
      </c>
      <c r="AF2203" s="6">
        <f ca="1">$M$2203*$Z$2203</f>
        <v>617329.67779422761</v>
      </c>
      <c r="AG2203" s="6">
        <f>$O$2203*$AA$2203</f>
        <v>551551.10014754487</v>
      </c>
    </row>
    <row r="2204" spans="1:33" ht="11.25" customHeight="1" x14ac:dyDescent="0.25">
      <c r="A2204" s="4" t="s">
        <v>27</v>
      </c>
      <c r="B2204" s="4" t="s">
        <v>39</v>
      </c>
      <c r="C2204" s="4" t="s">
        <v>23</v>
      </c>
      <c r="D2204" s="4" t="s">
        <v>40</v>
      </c>
      <c r="E2204" s="4" t="s">
        <v>25</v>
      </c>
      <c r="F2204" s="4" t="s">
        <v>25</v>
      </c>
      <c r="G2204" s="4" t="s">
        <v>25</v>
      </c>
      <c r="H2204" s="4" t="s">
        <v>25</v>
      </c>
      <c r="I2204" s="5">
        <v>43952</v>
      </c>
      <c r="J2204" s="6">
        <v>0</v>
      </c>
      <c r="K2204" s="6">
        <v>0</v>
      </c>
      <c r="L2204" s="6">
        <v>0.2</v>
      </c>
      <c r="M2204" s="6">
        <v>0.2</v>
      </c>
      <c r="N2204" s="6">
        <v>0.2</v>
      </c>
      <c r="O2204" s="6">
        <v>0.2</v>
      </c>
      <c r="P2204" s="6">
        <v>1</v>
      </c>
      <c r="Q2204" s="4" t="s">
        <v>26</v>
      </c>
      <c r="R2204" s="4">
        <v>0</v>
      </c>
      <c r="S2204" s="6">
        <v>0</v>
      </c>
      <c r="T2204" s="6">
        <v>73</v>
      </c>
      <c r="U2204" s="6">
        <v>116</v>
      </c>
      <c r="V2204" s="6">
        <f>IF(ISERROR(VLOOKUP($S$2204,'TAR FIN'!$A$1:$O$120,15,0)),0,VLOOKUP($S$2204,'TAR FIN'!$A$1:$O$120,15,0))</f>
        <v>0</v>
      </c>
      <c r="W2204" s="6">
        <f>IF(ISERROR(VLOOKUP($T$2204,'TAR FIN'!$A$1:$O$120,15,0)),0,VLOOKUP($T$2204,'TAR FIN'!$A$1:$O$120,15,0))</f>
        <v>247.09</v>
      </c>
      <c r="X2204" s="6">
        <f>IF(ISERROR(VLOOKUP($U$2204,'TAR FIN'!$A$1:$O$120,15,0)),0,VLOOKUP($U$2204,'TAR FIN'!$A$1:$O$120,15,0))</f>
        <v>270.92</v>
      </c>
      <c r="Y2204" s="6"/>
      <c r="Z2204" s="6">
        <f ca="1">('TUSD BE'!$AM$83+'TUSD BF'!$AM$83+'TUSD CVA'!$AM$83)*1</f>
        <v>271.87486773292784</v>
      </c>
      <c r="AA2204" s="6">
        <f>('TE BE'!$AA$47+'TE BF'!$AA$47+'TE CVA'!$AA$47)*1</f>
        <v>242.90567551581066</v>
      </c>
      <c r="AB2204" s="6">
        <f>$K$2204*$V$2204</f>
        <v>0</v>
      </c>
      <c r="AC2204" s="6">
        <f>$M$2204*$W$2204</f>
        <v>49.418000000000006</v>
      </c>
      <c r="AD2204" s="6">
        <f>$O$2204*$X$2204</f>
        <v>54.184000000000005</v>
      </c>
      <c r="AE2204" s="6">
        <f>$K$2204*$Y$2204</f>
        <v>0</v>
      </c>
      <c r="AF2204" s="6">
        <f ca="1">$M$2204*$Z$2204</f>
        <v>54.374973546585572</v>
      </c>
      <c r="AG2204" s="6">
        <f>$O$2204*$AA$2204</f>
        <v>48.581135103162133</v>
      </c>
    </row>
    <row r="2205" spans="1:33" ht="11.25" customHeight="1" x14ac:dyDescent="0.25">
      <c r="A2205" s="4" t="s">
        <v>28</v>
      </c>
      <c r="B2205" s="4" t="s">
        <v>39</v>
      </c>
      <c r="C2205" s="4" t="s">
        <v>23</v>
      </c>
      <c r="D2205" s="4" t="s">
        <v>40</v>
      </c>
      <c r="E2205" s="4" t="s">
        <v>25</v>
      </c>
      <c r="F2205" s="4" t="s">
        <v>25</v>
      </c>
      <c r="G2205" s="4" t="s">
        <v>25</v>
      </c>
      <c r="H2205" s="4" t="s">
        <v>25</v>
      </c>
      <c r="I2205" s="5">
        <v>43952</v>
      </c>
      <c r="J2205" s="6">
        <v>0</v>
      </c>
      <c r="K2205" s="6">
        <v>0</v>
      </c>
      <c r="L2205" s="6">
        <v>3.47</v>
      </c>
      <c r="M2205" s="6">
        <v>3.47</v>
      </c>
      <c r="N2205" s="6">
        <v>3.47</v>
      </c>
      <c r="O2205" s="6">
        <v>3.47</v>
      </c>
      <c r="P2205" s="6">
        <v>4</v>
      </c>
      <c r="Q2205" s="4" t="s">
        <v>26</v>
      </c>
      <c r="R2205" s="4">
        <v>0</v>
      </c>
      <c r="S2205" s="6">
        <v>0</v>
      </c>
      <c r="T2205" s="6">
        <v>73</v>
      </c>
      <c r="U2205" s="6">
        <v>116</v>
      </c>
      <c r="V2205" s="6">
        <f>IF(ISERROR(VLOOKUP($S$2205,'TAR FIN'!$A$1:$O$120,15,0)),0,VLOOKUP($S$2205,'TAR FIN'!$A$1:$O$120,15,0))</f>
        <v>0</v>
      </c>
      <c r="W2205" s="6">
        <f>IF(ISERROR(VLOOKUP($T$2205,'TAR FIN'!$A$1:$O$120,15,0)),0,VLOOKUP($T$2205,'TAR FIN'!$A$1:$O$120,15,0))</f>
        <v>247.09</v>
      </c>
      <c r="X2205" s="6">
        <f>IF(ISERROR(VLOOKUP($U$2205,'TAR FIN'!$A$1:$O$120,15,0)),0,VLOOKUP($U$2205,'TAR FIN'!$A$1:$O$120,15,0))</f>
        <v>270.92</v>
      </c>
      <c r="Y2205" s="6"/>
      <c r="Z2205" s="6">
        <f ca="1">('TUSD BE'!$AM$83+'TUSD BF'!$AM$83+'TUSD CVA'!$AM$83)*1</f>
        <v>271.87486773292784</v>
      </c>
      <c r="AA2205" s="6">
        <f>('TE BE'!$AA$47+'TE BF'!$AA$47+'TE CVA'!$AA$47)*1</f>
        <v>242.90567551581066</v>
      </c>
      <c r="AB2205" s="6">
        <f>$K$2205*$V$2205</f>
        <v>0</v>
      </c>
      <c r="AC2205" s="6">
        <f>$M$2205*$W$2205</f>
        <v>857.40230000000008</v>
      </c>
      <c r="AD2205" s="6">
        <f>$O$2205*$X$2205</f>
        <v>940.09240000000011</v>
      </c>
      <c r="AE2205" s="6">
        <f>$K$2205*$Y$2205</f>
        <v>0</v>
      </c>
      <c r="AF2205" s="6">
        <f ca="1">$M$2205*$Z$2205</f>
        <v>943.40579103325967</v>
      </c>
      <c r="AG2205" s="6">
        <f>$O$2205*$AA$2205</f>
        <v>842.88269403986305</v>
      </c>
    </row>
    <row r="2206" spans="1:33" ht="11.25" customHeight="1" x14ac:dyDescent="0.25">
      <c r="A2206" s="4" t="s">
        <v>21</v>
      </c>
      <c r="B2206" s="4" t="s">
        <v>39</v>
      </c>
      <c r="C2206" s="4" t="s">
        <v>23</v>
      </c>
      <c r="D2206" s="4" t="s">
        <v>40</v>
      </c>
      <c r="E2206" s="4" t="s">
        <v>25</v>
      </c>
      <c r="F2206" s="4" t="s">
        <v>25</v>
      </c>
      <c r="G2206" s="4" t="s">
        <v>25</v>
      </c>
      <c r="H2206" s="4" t="s">
        <v>25</v>
      </c>
      <c r="I2206" s="5">
        <v>43983</v>
      </c>
      <c r="J2206" s="6">
        <v>0</v>
      </c>
      <c r="K2206" s="6">
        <v>0</v>
      </c>
      <c r="L2206" s="6">
        <v>2013.816</v>
      </c>
      <c r="M2206" s="6">
        <v>2013.816</v>
      </c>
      <c r="N2206" s="6">
        <v>2013.816</v>
      </c>
      <c r="O2206" s="6">
        <v>2013.816</v>
      </c>
      <c r="P2206" s="6">
        <v>1226</v>
      </c>
      <c r="Q2206" s="4" t="s">
        <v>26</v>
      </c>
      <c r="R2206" s="4">
        <v>0</v>
      </c>
      <c r="S2206" s="6">
        <v>0</v>
      </c>
      <c r="T2206" s="6">
        <v>73</v>
      </c>
      <c r="U2206" s="6">
        <v>116</v>
      </c>
      <c r="V2206" s="6">
        <f>IF(ISERROR(VLOOKUP($S$2206,'TAR FIN'!$A$1:$O$120,15,0)),0,VLOOKUP($S$2206,'TAR FIN'!$A$1:$O$120,15,0))</f>
        <v>0</v>
      </c>
      <c r="W2206" s="6">
        <f>IF(ISERROR(VLOOKUP($T$2206,'TAR FIN'!$A$1:$O$120,15,0)),0,VLOOKUP($T$2206,'TAR FIN'!$A$1:$O$120,15,0))</f>
        <v>247.09</v>
      </c>
      <c r="X2206" s="6">
        <f>IF(ISERROR(VLOOKUP($U$2206,'TAR FIN'!$A$1:$O$120,15,0)),0,VLOOKUP($U$2206,'TAR FIN'!$A$1:$O$120,15,0))</f>
        <v>270.92</v>
      </c>
      <c r="Y2206" s="6"/>
      <c r="Z2206" s="6">
        <f ca="1">('TUSD BE'!$AM$83+'TUSD BF'!$AM$83+'TUSD CVA'!$AM$83)*1</f>
        <v>271.87486773292784</v>
      </c>
      <c r="AA2206" s="6">
        <f>('TE BE'!$AA$47+'TE BF'!$AA$47+'TE CVA'!$AA$47)*1</f>
        <v>242.90567551581066</v>
      </c>
      <c r="AB2206" s="6">
        <f>$K$2206*$V$2206</f>
        <v>0</v>
      </c>
      <c r="AC2206" s="6">
        <f>$M$2206*$W$2206</f>
        <v>497593.79544000002</v>
      </c>
      <c r="AD2206" s="6">
        <f>$O$2206*$X$2206</f>
        <v>545583.03072000004</v>
      </c>
      <c r="AE2206" s="6">
        <f>$K$2206*$Y$2206</f>
        <v>0</v>
      </c>
      <c r="AF2206" s="6">
        <f ca="1">$M$2206*$Z$2206</f>
        <v>547505.95863845386</v>
      </c>
      <c r="AG2206" s="6">
        <f>$O$2206*$AA$2206</f>
        <v>489167.33584454778</v>
      </c>
    </row>
    <row r="2207" spans="1:33" ht="11.25" customHeight="1" x14ac:dyDescent="0.25">
      <c r="A2207" s="4" t="s">
        <v>27</v>
      </c>
      <c r="B2207" s="4" t="s">
        <v>39</v>
      </c>
      <c r="C2207" s="4" t="s">
        <v>23</v>
      </c>
      <c r="D2207" s="4" t="s">
        <v>40</v>
      </c>
      <c r="E2207" s="4" t="s">
        <v>25</v>
      </c>
      <c r="F2207" s="4" t="s">
        <v>25</v>
      </c>
      <c r="G2207" s="4" t="s">
        <v>25</v>
      </c>
      <c r="H2207" s="4" t="s">
        <v>25</v>
      </c>
      <c r="I2207" s="5">
        <v>43983</v>
      </c>
      <c r="J2207" s="6">
        <v>0</v>
      </c>
      <c r="K2207" s="6">
        <v>0</v>
      </c>
      <c r="L2207" s="6">
        <v>1.1719999999999999</v>
      </c>
      <c r="M2207" s="6">
        <v>1.1719999999999999</v>
      </c>
      <c r="N2207" s="6">
        <v>1.1719999999999999</v>
      </c>
      <c r="O2207" s="6">
        <v>1.1719999999999999</v>
      </c>
      <c r="P2207" s="6">
        <v>2</v>
      </c>
      <c r="Q2207" s="4" t="s">
        <v>26</v>
      </c>
      <c r="R2207" s="4">
        <v>0</v>
      </c>
      <c r="S2207" s="6">
        <v>0</v>
      </c>
      <c r="T2207" s="6">
        <v>73</v>
      </c>
      <c r="U2207" s="6">
        <v>116</v>
      </c>
      <c r="V2207" s="6">
        <f>IF(ISERROR(VLOOKUP($S$2207,'TAR FIN'!$A$1:$O$120,15,0)),0,VLOOKUP($S$2207,'TAR FIN'!$A$1:$O$120,15,0))</f>
        <v>0</v>
      </c>
      <c r="W2207" s="6">
        <f>IF(ISERROR(VLOOKUP($T$2207,'TAR FIN'!$A$1:$O$120,15,0)),0,VLOOKUP($T$2207,'TAR FIN'!$A$1:$O$120,15,0))</f>
        <v>247.09</v>
      </c>
      <c r="X2207" s="6">
        <f>IF(ISERROR(VLOOKUP($U$2207,'TAR FIN'!$A$1:$O$120,15,0)),0,VLOOKUP($U$2207,'TAR FIN'!$A$1:$O$120,15,0))</f>
        <v>270.92</v>
      </c>
      <c r="Y2207" s="6"/>
      <c r="Z2207" s="6">
        <f ca="1">('TUSD BE'!$AM$83+'TUSD BF'!$AM$83+'TUSD CVA'!$AM$83)*1</f>
        <v>271.87486773292784</v>
      </c>
      <c r="AA2207" s="6">
        <f>('TE BE'!$AA$47+'TE BF'!$AA$47+'TE CVA'!$AA$47)*1</f>
        <v>242.90567551581066</v>
      </c>
      <c r="AB2207" s="6">
        <f>$K$2207*$V$2207</f>
        <v>0</v>
      </c>
      <c r="AC2207" s="6">
        <f>$M$2207*$W$2207</f>
        <v>289.58947999999998</v>
      </c>
      <c r="AD2207" s="6">
        <f>$O$2207*$X$2207</f>
        <v>317.51823999999999</v>
      </c>
      <c r="AE2207" s="6">
        <f>$K$2207*$Y$2207</f>
        <v>0</v>
      </c>
      <c r="AF2207" s="6">
        <f ca="1">$M$2207*$Z$2207</f>
        <v>318.63734498299141</v>
      </c>
      <c r="AG2207" s="6">
        <f>$O$2207*$AA$2207</f>
        <v>284.68545170453007</v>
      </c>
    </row>
    <row r="2208" spans="1:33" ht="11.25" customHeight="1" x14ac:dyDescent="0.25">
      <c r="A2208" s="4" t="s">
        <v>28</v>
      </c>
      <c r="B2208" s="4" t="s">
        <v>39</v>
      </c>
      <c r="C2208" s="4" t="s">
        <v>23</v>
      </c>
      <c r="D2208" s="4" t="s">
        <v>40</v>
      </c>
      <c r="E2208" s="4" t="s">
        <v>25</v>
      </c>
      <c r="F2208" s="4" t="s">
        <v>25</v>
      </c>
      <c r="G2208" s="4" t="s">
        <v>25</v>
      </c>
      <c r="H2208" s="4" t="s">
        <v>25</v>
      </c>
      <c r="I2208" s="5">
        <v>43983</v>
      </c>
      <c r="J2208" s="6">
        <v>0</v>
      </c>
      <c r="K2208" s="6">
        <v>0</v>
      </c>
      <c r="L2208" s="6">
        <v>2.65</v>
      </c>
      <c r="M2208" s="6">
        <v>2.65</v>
      </c>
      <c r="N2208" s="6">
        <v>2.65</v>
      </c>
      <c r="O2208" s="6">
        <v>2.65</v>
      </c>
      <c r="P2208" s="6">
        <v>3</v>
      </c>
      <c r="Q2208" s="4" t="s">
        <v>26</v>
      </c>
      <c r="R2208" s="4">
        <v>0</v>
      </c>
      <c r="S2208" s="6">
        <v>0</v>
      </c>
      <c r="T2208" s="6">
        <v>73</v>
      </c>
      <c r="U2208" s="6">
        <v>116</v>
      </c>
      <c r="V2208" s="6">
        <f>IF(ISERROR(VLOOKUP($S$2208,'TAR FIN'!$A$1:$O$120,15,0)),0,VLOOKUP($S$2208,'TAR FIN'!$A$1:$O$120,15,0))</f>
        <v>0</v>
      </c>
      <c r="W2208" s="6">
        <f>IF(ISERROR(VLOOKUP($T$2208,'TAR FIN'!$A$1:$O$120,15,0)),0,VLOOKUP($T$2208,'TAR FIN'!$A$1:$O$120,15,0))</f>
        <v>247.09</v>
      </c>
      <c r="X2208" s="6">
        <f>IF(ISERROR(VLOOKUP($U$2208,'TAR FIN'!$A$1:$O$120,15,0)),0,VLOOKUP($U$2208,'TAR FIN'!$A$1:$O$120,15,0))</f>
        <v>270.92</v>
      </c>
      <c r="Y2208" s="6"/>
      <c r="Z2208" s="6">
        <f ca="1">('TUSD BE'!$AM$83+'TUSD BF'!$AM$83+'TUSD CVA'!$AM$83)*1</f>
        <v>271.87486773292784</v>
      </c>
      <c r="AA2208" s="6">
        <f>('TE BE'!$AA$47+'TE BF'!$AA$47+'TE CVA'!$AA$47)*1</f>
        <v>242.90567551581066</v>
      </c>
      <c r="AB2208" s="6">
        <f>$K$2208*$V$2208</f>
        <v>0</v>
      </c>
      <c r="AC2208" s="6">
        <f>$M$2208*$W$2208</f>
        <v>654.7885</v>
      </c>
      <c r="AD2208" s="6">
        <f>$O$2208*$X$2208</f>
        <v>717.93799999999999</v>
      </c>
      <c r="AE2208" s="6">
        <f>$K$2208*$Y$2208</f>
        <v>0</v>
      </c>
      <c r="AF2208" s="6">
        <f ca="1">$M$2208*$Z$2208</f>
        <v>720.46839949225875</v>
      </c>
      <c r="AG2208" s="6">
        <f>$O$2208*$AA$2208</f>
        <v>643.70004011689821</v>
      </c>
    </row>
    <row r="2209" spans="1:33" ht="11.25" customHeight="1" x14ac:dyDescent="0.25">
      <c r="A2209" s="4" t="s">
        <v>21</v>
      </c>
      <c r="B2209" s="4" t="s">
        <v>39</v>
      </c>
      <c r="C2209" s="4" t="s">
        <v>23</v>
      </c>
      <c r="D2209" s="4" t="s">
        <v>40</v>
      </c>
      <c r="E2209" s="4" t="s">
        <v>25</v>
      </c>
      <c r="F2209" s="4" t="s">
        <v>25</v>
      </c>
      <c r="G2209" s="4" t="s">
        <v>25</v>
      </c>
      <c r="H2209" s="4" t="s">
        <v>25</v>
      </c>
      <c r="I2209" s="5">
        <v>44013</v>
      </c>
      <c r="J2209" s="6">
        <v>0</v>
      </c>
      <c r="K2209" s="6">
        <v>0</v>
      </c>
      <c r="L2209" s="6">
        <v>2065.0059999999999</v>
      </c>
      <c r="M2209" s="6">
        <v>2065.0059999999999</v>
      </c>
      <c r="N2209" s="6">
        <v>2065.0059999999999</v>
      </c>
      <c r="O2209" s="6">
        <v>2065.0059999999999</v>
      </c>
      <c r="P2209" s="6">
        <v>1223</v>
      </c>
      <c r="Q2209" s="4" t="s">
        <v>26</v>
      </c>
      <c r="R2209" s="4">
        <v>0</v>
      </c>
      <c r="S2209" s="6">
        <v>0</v>
      </c>
      <c r="T2209" s="6">
        <v>73</v>
      </c>
      <c r="U2209" s="6">
        <v>116</v>
      </c>
      <c r="V2209" s="6">
        <f>IF(ISERROR(VLOOKUP($S$2209,'TAR FIN'!$A$1:$O$120,15,0)),0,VLOOKUP($S$2209,'TAR FIN'!$A$1:$O$120,15,0))</f>
        <v>0</v>
      </c>
      <c r="W2209" s="6">
        <f>IF(ISERROR(VLOOKUP($T$2209,'TAR FIN'!$A$1:$O$120,15,0)),0,VLOOKUP($T$2209,'TAR FIN'!$A$1:$O$120,15,0))</f>
        <v>247.09</v>
      </c>
      <c r="X2209" s="6">
        <f>IF(ISERROR(VLOOKUP($U$2209,'TAR FIN'!$A$1:$O$120,15,0)),0,VLOOKUP($U$2209,'TAR FIN'!$A$1:$O$120,15,0))</f>
        <v>270.92</v>
      </c>
      <c r="Y2209" s="6"/>
      <c r="Z2209" s="6">
        <f ca="1">('TUSD BE'!$AM$83+'TUSD BF'!$AM$83+'TUSD CVA'!$AM$83)*1</f>
        <v>271.87486773292784</v>
      </c>
      <c r="AA2209" s="6">
        <f>('TE BE'!$AA$47+'TE BF'!$AA$47+'TE CVA'!$AA$47)*1</f>
        <v>242.90567551581066</v>
      </c>
      <c r="AB2209" s="6">
        <f>$K$2209*$V$2209</f>
        <v>0</v>
      </c>
      <c r="AC2209" s="6">
        <f>$M$2209*$W$2209</f>
        <v>510242.33253999997</v>
      </c>
      <c r="AD2209" s="6">
        <f>$O$2209*$X$2209</f>
        <v>559451.42552000005</v>
      </c>
      <c r="AE2209" s="6">
        <f>$K$2209*$Y$2209</f>
        <v>0</v>
      </c>
      <c r="AF2209" s="6">
        <f ca="1">$M$2209*$Z$2209</f>
        <v>561423.2331177023</v>
      </c>
      <c r="AG2209" s="6">
        <f>$O$2209*$AA$2209</f>
        <v>501601.67737420206</v>
      </c>
    </row>
    <row r="2210" spans="1:33" ht="11.25" customHeight="1" x14ac:dyDescent="0.25">
      <c r="A2210" s="4" t="s">
        <v>27</v>
      </c>
      <c r="B2210" s="4" t="s">
        <v>39</v>
      </c>
      <c r="C2210" s="4" t="s">
        <v>23</v>
      </c>
      <c r="D2210" s="4" t="s">
        <v>40</v>
      </c>
      <c r="E2210" s="4" t="s">
        <v>25</v>
      </c>
      <c r="F2210" s="4" t="s">
        <v>25</v>
      </c>
      <c r="G2210" s="4" t="s">
        <v>25</v>
      </c>
      <c r="H2210" s="4" t="s">
        <v>25</v>
      </c>
      <c r="I2210" s="5">
        <v>44013</v>
      </c>
      <c r="J2210" s="6">
        <v>0</v>
      </c>
      <c r="K2210" s="6">
        <v>0</v>
      </c>
      <c r="L2210" s="6">
        <v>1.8939999999999999</v>
      </c>
      <c r="M2210" s="6">
        <v>1.8939999999999999</v>
      </c>
      <c r="N2210" s="6">
        <v>1.8939999999999999</v>
      </c>
      <c r="O2210" s="6">
        <v>1.8939999999999999</v>
      </c>
      <c r="P2210" s="6">
        <v>4</v>
      </c>
      <c r="Q2210" s="4" t="s">
        <v>26</v>
      </c>
      <c r="R2210" s="4">
        <v>0</v>
      </c>
      <c r="S2210" s="6">
        <v>0</v>
      </c>
      <c r="T2210" s="6">
        <v>73</v>
      </c>
      <c r="U2210" s="6">
        <v>116</v>
      </c>
      <c r="V2210" s="6">
        <f>IF(ISERROR(VLOOKUP($S$2210,'TAR FIN'!$A$1:$O$120,15,0)),0,VLOOKUP($S$2210,'TAR FIN'!$A$1:$O$120,15,0))</f>
        <v>0</v>
      </c>
      <c r="W2210" s="6">
        <f>IF(ISERROR(VLOOKUP($T$2210,'TAR FIN'!$A$1:$O$120,15,0)),0,VLOOKUP($T$2210,'TAR FIN'!$A$1:$O$120,15,0))</f>
        <v>247.09</v>
      </c>
      <c r="X2210" s="6">
        <f>IF(ISERROR(VLOOKUP($U$2210,'TAR FIN'!$A$1:$O$120,15,0)),0,VLOOKUP($U$2210,'TAR FIN'!$A$1:$O$120,15,0))</f>
        <v>270.92</v>
      </c>
      <c r="Y2210" s="6"/>
      <c r="Z2210" s="6">
        <f ca="1">('TUSD BE'!$AM$83+'TUSD BF'!$AM$83+'TUSD CVA'!$AM$83)*1</f>
        <v>271.87486773292784</v>
      </c>
      <c r="AA2210" s="6">
        <f>('TE BE'!$AA$47+'TE BF'!$AA$47+'TE CVA'!$AA$47)*1</f>
        <v>242.90567551581066</v>
      </c>
      <c r="AB2210" s="6">
        <f>$K$2210*$V$2210</f>
        <v>0</v>
      </c>
      <c r="AC2210" s="6">
        <f>$M$2210*$W$2210</f>
        <v>467.98845999999998</v>
      </c>
      <c r="AD2210" s="6">
        <f>$O$2210*$X$2210</f>
        <v>513.12248</v>
      </c>
      <c r="AE2210" s="6">
        <f>$K$2210*$Y$2210</f>
        <v>0</v>
      </c>
      <c r="AF2210" s="6">
        <f ca="1">$M$2210*$Z$2210</f>
        <v>514.93099948616532</v>
      </c>
      <c r="AG2210" s="6">
        <f>$O$2210*$AA$2210</f>
        <v>460.06334942694536</v>
      </c>
    </row>
    <row r="2211" spans="1:33" ht="11.25" customHeight="1" x14ac:dyDescent="0.25">
      <c r="A2211" s="4" t="s">
        <v>28</v>
      </c>
      <c r="B2211" s="4" t="s">
        <v>39</v>
      </c>
      <c r="C2211" s="4" t="s">
        <v>23</v>
      </c>
      <c r="D2211" s="4" t="s">
        <v>40</v>
      </c>
      <c r="E2211" s="4" t="s">
        <v>25</v>
      </c>
      <c r="F2211" s="4" t="s">
        <v>25</v>
      </c>
      <c r="G2211" s="4" t="s">
        <v>25</v>
      </c>
      <c r="H2211" s="4" t="s">
        <v>25</v>
      </c>
      <c r="I2211" s="5">
        <v>44013</v>
      </c>
      <c r="J2211" s="6">
        <v>0</v>
      </c>
      <c r="K2211" s="6">
        <v>0</v>
      </c>
      <c r="L2211" s="6">
        <v>3.194</v>
      </c>
      <c r="M2211" s="6">
        <v>3.194</v>
      </c>
      <c r="N2211" s="6">
        <v>3.194</v>
      </c>
      <c r="O2211" s="6">
        <v>3.194</v>
      </c>
      <c r="P2211" s="6">
        <v>3</v>
      </c>
      <c r="Q2211" s="4" t="s">
        <v>26</v>
      </c>
      <c r="R2211" s="4">
        <v>0</v>
      </c>
      <c r="S2211" s="6">
        <v>0</v>
      </c>
      <c r="T2211" s="6">
        <v>73</v>
      </c>
      <c r="U2211" s="6">
        <v>116</v>
      </c>
      <c r="V2211" s="6">
        <f>IF(ISERROR(VLOOKUP($S$2211,'TAR FIN'!$A$1:$O$120,15,0)),0,VLOOKUP($S$2211,'TAR FIN'!$A$1:$O$120,15,0))</f>
        <v>0</v>
      </c>
      <c r="W2211" s="6">
        <f>IF(ISERROR(VLOOKUP($T$2211,'TAR FIN'!$A$1:$O$120,15,0)),0,VLOOKUP($T$2211,'TAR FIN'!$A$1:$O$120,15,0))</f>
        <v>247.09</v>
      </c>
      <c r="X2211" s="6">
        <f>IF(ISERROR(VLOOKUP($U$2211,'TAR FIN'!$A$1:$O$120,15,0)),0,VLOOKUP($U$2211,'TAR FIN'!$A$1:$O$120,15,0))</f>
        <v>270.92</v>
      </c>
      <c r="Y2211" s="6"/>
      <c r="Z2211" s="6">
        <f ca="1">('TUSD BE'!$AM$83+'TUSD BF'!$AM$83+'TUSD CVA'!$AM$83)*1</f>
        <v>271.87486773292784</v>
      </c>
      <c r="AA2211" s="6">
        <f>('TE BE'!$AA$47+'TE BF'!$AA$47+'TE CVA'!$AA$47)*1</f>
        <v>242.90567551581066</v>
      </c>
      <c r="AB2211" s="6">
        <f>$K$2211*$V$2211</f>
        <v>0</v>
      </c>
      <c r="AC2211" s="6">
        <f>$M$2211*$W$2211</f>
        <v>789.20546000000002</v>
      </c>
      <c r="AD2211" s="6">
        <f>$O$2211*$X$2211</f>
        <v>865.31848000000002</v>
      </c>
      <c r="AE2211" s="6">
        <f>$K$2211*$Y$2211</f>
        <v>0</v>
      </c>
      <c r="AF2211" s="6">
        <f ca="1">$M$2211*$Z$2211</f>
        <v>868.36832753897147</v>
      </c>
      <c r="AG2211" s="6">
        <f>$O$2211*$AA$2211</f>
        <v>775.84072759749927</v>
      </c>
    </row>
    <row r="2212" spans="1:33" ht="11.25" customHeight="1" x14ac:dyDescent="0.25">
      <c r="A2212" s="4" t="s">
        <v>21</v>
      </c>
      <c r="B2212" s="4" t="s">
        <v>39</v>
      </c>
      <c r="C2212" s="4" t="s">
        <v>23</v>
      </c>
      <c r="D2212" s="4" t="s">
        <v>40</v>
      </c>
      <c r="E2212" s="4" t="s">
        <v>25</v>
      </c>
      <c r="F2212" s="4" t="s">
        <v>25</v>
      </c>
      <c r="G2212" s="4" t="s">
        <v>25</v>
      </c>
      <c r="H2212" s="4" t="s">
        <v>25</v>
      </c>
      <c r="I2212" s="5">
        <v>44044</v>
      </c>
      <c r="J2212" s="6">
        <v>0</v>
      </c>
      <c r="K2212" s="6">
        <v>0</v>
      </c>
      <c r="L2212" s="6">
        <v>2274.1030000000001</v>
      </c>
      <c r="M2212" s="6">
        <v>2274.1030000000001</v>
      </c>
      <c r="N2212" s="6">
        <v>2274.1030000000001</v>
      </c>
      <c r="O2212" s="6">
        <v>2274.1030000000001</v>
      </c>
      <c r="P2212" s="6">
        <v>1219</v>
      </c>
      <c r="Q2212" s="4" t="s">
        <v>26</v>
      </c>
      <c r="R2212" s="4">
        <v>0</v>
      </c>
      <c r="S2212" s="6">
        <v>0</v>
      </c>
      <c r="T2212" s="6">
        <v>73</v>
      </c>
      <c r="U2212" s="6">
        <v>116</v>
      </c>
      <c r="V2212" s="6">
        <f>IF(ISERROR(VLOOKUP($S$2212,'TAR FIN'!$A$1:$O$120,15,0)),0,VLOOKUP($S$2212,'TAR FIN'!$A$1:$O$120,15,0))</f>
        <v>0</v>
      </c>
      <c r="W2212" s="6">
        <f>IF(ISERROR(VLOOKUP($T$2212,'TAR FIN'!$A$1:$O$120,15,0)),0,VLOOKUP($T$2212,'TAR FIN'!$A$1:$O$120,15,0))</f>
        <v>247.09</v>
      </c>
      <c r="X2212" s="6">
        <f>IF(ISERROR(VLOOKUP($U$2212,'TAR FIN'!$A$1:$O$120,15,0)),0,VLOOKUP($U$2212,'TAR FIN'!$A$1:$O$120,15,0))</f>
        <v>270.92</v>
      </c>
      <c r="Y2212" s="6"/>
      <c r="Z2212" s="6">
        <f ca="1">('TUSD BE'!$AM$83+'TUSD BF'!$AM$83+'TUSD CVA'!$AM$83)*1</f>
        <v>271.87486773292784</v>
      </c>
      <c r="AA2212" s="6">
        <f>('TE BE'!$AA$47+'TE BF'!$AA$47+'TE CVA'!$AA$47)*1</f>
        <v>242.90567551581066</v>
      </c>
      <c r="AB2212" s="6">
        <f>$K$2212*$V$2212</f>
        <v>0</v>
      </c>
      <c r="AC2212" s="6">
        <f>$M$2212*$W$2212</f>
        <v>561908.11027000006</v>
      </c>
      <c r="AD2212" s="6">
        <f>$O$2212*$X$2212</f>
        <v>616099.98476000002</v>
      </c>
      <c r="AE2212" s="6">
        <f>$K$2212*$Y$2212</f>
        <v>0</v>
      </c>
      <c r="AF2212" s="6">
        <f ca="1">$M$2212*$Z$2212</f>
        <v>618271.45233605441</v>
      </c>
      <c r="AG2212" s="6">
        <f>$O$2212*$AA$2212</f>
        <v>552392.52540753153</v>
      </c>
    </row>
    <row r="2213" spans="1:33" ht="11.25" customHeight="1" x14ac:dyDescent="0.25">
      <c r="A2213" s="4" t="s">
        <v>27</v>
      </c>
      <c r="B2213" s="4" t="s">
        <v>39</v>
      </c>
      <c r="C2213" s="4" t="s">
        <v>23</v>
      </c>
      <c r="D2213" s="4" t="s">
        <v>40</v>
      </c>
      <c r="E2213" s="4" t="s">
        <v>25</v>
      </c>
      <c r="F2213" s="4" t="s">
        <v>25</v>
      </c>
      <c r="G2213" s="4" t="s">
        <v>25</v>
      </c>
      <c r="H2213" s="4" t="s">
        <v>25</v>
      </c>
      <c r="I2213" s="5">
        <v>44044</v>
      </c>
      <c r="J2213" s="6">
        <v>0</v>
      </c>
      <c r="K2213" s="6">
        <v>0</v>
      </c>
      <c r="L2213" s="6">
        <v>1.1659999999999999</v>
      </c>
      <c r="M2213" s="6">
        <v>1.1659999999999999</v>
      </c>
      <c r="N2213" s="6">
        <v>1.1659999999999999</v>
      </c>
      <c r="O2213" s="6">
        <v>1.1659999999999999</v>
      </c>
      <c r="P2213" s="6">
        <v>3</v>
      </c>
      <c r="Q2213" s="4" t="s">
        <v>26</v>
      </c>
      <c r="R2213" s="4">
        <v>0</v>
      </c>
      <c r="S2213" s="6">
        <v>0</v>
      </c>
      <c r="T2213" s="6">
        <v>73</v>
      </c>
      <c r="U2213" s="6">
        <v>116</v>
      </c>
      <c r="V2213" s="6">
        <f>IF(ISERROR(VLOOKUP($S$2213,'TAR FIN'!$A$1:$O$120,15,0)),0,VLOOKUP($S$2213,'TAR FIN'!$A$1:$O$120,15,0))</f>
        <v>0</v>
      </c>
      <c r="W2213" s="6">
        <f>IF(ISERROR(VLOOKUP($T$2213,'TAR FIN'!$A$1:$O$120,15,0)),0,VLOOKUP($T$2213,'TAR FIN'!$A$1:$O$120,15,0))</f>
        <v>247.09</v>
      </c>
      <c r="X2213" s="6">
        <f>IF(ISERROR(VLOOKUP($U$2213,'TAR FIN'!$A$1:$O$120,15,0)),0,VLOOKUP($U$2213,'TAR FIN'!$A$1:$O$120,15,0))</f>
        <v>270.92</v>
      </c>
      <c r="Y2213" s="6"/>
      <c r="Z2213" s="6">
        <f ca="1">('TUSD BE'!$AM$83+'TUSD BF'!$AM$83+'TUSD CVA'!$AM$83)*1</f>
        <v>271.87486773292784</v>
      </c>
      <c r="AA2213" s="6">
        <f>('TE BE'!$AA$47+'TE BF'!$AA$47+'TE CVA'!$AA$47)*1</f>
        <v>242.90567551581066</v>
      </c>
      <c r="AB2213" s="6">
        <f>$K$2213*$V$2213</f>
        <v>0</v>
      </c>
      <c r="AC2213" s="6">
        <f>$M$2213*$W$2213</f>
        <v>288.10694000000001</v>
      </c>
      <c r="AD2213" s="6">
        <f>$O$2213*$X$2213</f>
        <v>315.89272</v>
      </c>
      <c r="AE2213" s="6">
        <f>$K$2213*$Y$2213</f>
        <v>0</v>
      </c>
      <c r="AF2213" s="6">
        <f ca="1">$M$2213*$Z$2213</f>
        <v>317.00609577659384</v>
      </c>
      <c r="AG2213" s="6">
        <f>$O$2213*$AA$2213</f>
        <v>283.22801765143521</v>
      </c>
    </row>
    <row r="2214" spans="1:33" ht="11.25" customHeight="1" x14ac:dyDescent="0.25">
      <c r="A2214" s="4" t="s">
        <v>28</v>
      </c>
      <c r="B2214" s="4" t="s">
        <v>39</v>
      </c>
      <c r="C2214" s="4" t="s">
        <v>23</v>
      </c>
      <c r="D2214" s="4" t="s">
        <v>40</v>
      </c>
      <c r="E2214" s="4" t="s">
        <v>25</v>
      </c>
      <c r="F2214" s="4" t="s">
        <v>25</v>
      </c>
      <c r="G2214" s="4" t="s">
        <v>25</v>
      </c>
      <c r="H2214" s="4" t="s">
        <v>25</v>
      </c>
      <c r="I2214" s="5">
        <v>44044</v>
      </c>
      <c r="J2214" s="6">
        <v>0</v>
      </c>
      <c r="K2214" s="6">
        <v>0</v>
      </c>
      <c r="L2214" s="6">
        <v>2.6190000000000002</v>
      </c>
      <c r="M2214" s="6">
        <v>2.6190000000000002</v>
      </c>
      <c r="N2214" s="6">
        <v>2.6190000000000002</v>
      </c>
      <c r="O2214" s="6">
        <v>2.6190000000000002</v>
      </c>
      <c r="P2214" s="6">
        <v>3</v>
      </c>
      <c r="Q2214" s="4" t="s">
        <v>26</v>
      </c>
      <c r="R2214" s="4">
        <v>0</v>
      </c>
      <c r="S2214" s="6">
        <v>0</v>
      </c>
      <c r="T2214" s="6">
        <v>73</v>
      </c>
      <c r="U2214" s="6">
        <v>116</v>
      </c>
      <c r="V2214" s="6">
        <f>IF(ISERROR(VLOOKUP($S$2214,'TAR FIN'!$A$1:$O$120,15,0)),0,VLOOKUP($S$2214,'TAR FIN'!$A$1:$O$120,15,0))</f>
        <v>0</v>
      </c>
      <c r="W2214" s="6">
        <f>IF(ISERROR(VLOOKUP($T$2214,'TAR FIN'!$A$1:$O$120,15,0)),0,VLOOKUP($T$2214,'TAR FIN'!$A$1:$O$120,15,0))</f>
        <v>247.09</v>
      </c>
      <c r="X2214" s="6">
        <f>IF(ISERROR(VLOOKUP($U$2214,'TAR FIN'!$A$1:$O$120,15,0)),0,VLOOKUP($U$2214,'TAR FIN'!$A$1:$O$120,15,0))</f>
        <v>270.92</v>
      </c>
      <c r="Y2214" s="6"/>
      <c r="Z2214" s="6">
        <f ca="1">('TUSD BE'!$AM$83+'TUSD BF'!$AM$83+'TUSD CVA'!$AM$83)*1</f>
        <v>271.87486773292784</v>
      </c>
      <c r="AA2214" s="6">
        <f>('TE BE'!$AA$47+'TE BF'!$AA$47+'TE CVA'!$AA$47)*1</f>
        <v>242.90567551581066</v>
      </c>
      <c r="AB2214" s="6">
        <f>$K$2214*$V$2214</f>
        <v>0</v>
      </c>
      <c r="AC2214" s="6">
        <f>$M$2214*$W$2214</f>
        <v>647.12871000000007</v>
      </c>
      <c r="AD2214" s="6">
        <f>$O$2214*$X$2214</f>
        <v>709.53948000000014</v>
      </c>
      <c r="AE2214" s="6">
        <f>$K$2214*$Y$2214</f>
        <v>0</v>
      </c>
      <c r="AF2214" s="6">
        <f ca="1">$M$2214*$Z$2214</f>
        <v>712.04027859253802</v>
      </c>
      <c r="AG2214" s="6">
        <f>$O$2214*$AA$2214</f>
        <v>636.16996417590815</v>
      </c>
    </row>
    <row r="2215" spans="1:33" ht="11.25" customHeight="1" x14ac:dyDescent="0.25">
      <c r="A2215" s="4" t="s">
        <v>59</v>
      </c>
      <c r="B2215" s="4" t="s">
        <v>39</v>
      </c>
      <c r="C2215" s="4" t="s">
        <v>23</v>
      </c>
      <c r="D2215" s="4" t="s">
        <v>40</v>
      </c>
      <c r="E2215" s="4" t="s">
        <v>25</v>
      </c>
      <c r="F2215" s="4" t="s">
        <v>25</v>
      </c>
      <c r="G2215" s="4" t="s">
        <v>25</v>
      </c>
      <c r="H2215" s="4" t="s">
        <v>25</v>
      </c>
      <c r="I2215" s="5">
        <v>44075</v>
      </c>
      <c r="J2215" s="6">
        <v>0</v>
      </c>
      <c r="K2215" s="6">
        <v>0</v>
      </c>
      <c r="L2215" s="6">
        <v>2274.1030000000001</v>
      </c>
      <c r="M2215" s="6">
        <v>2274.1030000000001</v>
      </c>
      <c r="N2215" s="6">
        <v>2274.1030000000001</v>
      </c>
      <c r="O2215" s="6">
        <v>2274.1030000000001</v>
      </c>
      <c r="P2215" s="6">
        <v>1219</v>
      </c>
      <c r="Q2215" s="4" t="s">
        <v>26</v>
      </c>
      <c r="R2215" s="4">
        <v>0</v>
      </c>
      <c r="S2215" s="6">
        <v>0</v>
      </c>
      <c r="T2215" s="6">
        <v>73</v>
      </c>
      <c r="U2215" s="6">
        <v>116</v>
      </c>
      <c r="V2215" s="6">
        <f>IF(ISERROR(VLOOKUP($S$2215,'TAR FIN'!$A$1:$O$120,15,0)),0,VLOOKUP($S$2215,'TAR FIN'!$A$1:$O$120,15,0))</f>
        <v>0</v>
      </c>
      <c r="W2215" s="6">
        <f>IF(ISERROR(VLOOKUP($T$2215,'TAR FIN'!$A$1:$O$120,15,0)),0,VLOOKUP($T$2215,'TAR FIN'!$A$1:$O$120,15,0))</f>
        <v>247.09</v>
      </c>
      <c r="X2215" s="6">
        <f>IF(ISERROR(VLOOKUP($U$2215,'TAR FIN'!$A$1:$O$120,15,0)),0,VLOOKUP($U$2215,'TAR FIN'!$A$1:$O$120,15,0))</f>
        <v>270.92</v>
      </c>
      <c r="Y2215" s="6"/>
      <c r="Z2215" s="6">
        <f ca="1">('TUSD BE'!$AM$83+'TUSD BF'!$AM$83+'TUSD CVA'!$AM$83)*1</f>
        <v>271.87486773292784</v>
      </c>
      <c r="AA2215" s="6">
        <f>('TE BE'!$AA$47+'TE BF'!$AA$47+'TE CVA'!$AA$47)*1</f>
        <v>242.90567551581066</v>
      </c>
      <c r="AB2215" s="6">
        <f>$K$2215*$V$2215</f>
        <v>0</v>
      </c>
      <c r="AC2215" s="6">
        <f>$M$2215*$W$2215</f>
        <v>561908.11027000006</v>
      </c>
      <c r="AD2215" s="6">
        <f>$O$2215*$X$2215</f>
        <v>616099.98476000002</v>
      </c>
      <c r="AE2215" s="6">
        <f>$K$2215*$Y$2215</f>
        <v>0</v>
      </c>
      <c r="AF2215" s="6">
        <f ca="1">$M$2215*$Z$2215</f>
        <v>618271.45233605441</v>
      </c>
      <c r="AG2215" s="6">
        <f>$O$2215*$AA$2215</f>
        <v>552392.52540753153</v>
      </c>
    </row>
    <row r="2216" spans="1:33" ht="11.25" customHeight="1" x14ac:dyDescent="0.25">
      <c r="A2216" s="4" t="s">
        <v>59</v>
      </c>
      <c r="B2216" s="4" t="s">
        <v>39</v>
      </c>
      <c r="C2216" s="4" t="s">
        <v>23</v>
      </c>
      <c r="D2216" s="4" t="s">
        <v>40</v>
      </c>
      <c r="E2216" s="4" t="s">
        <v>25</v>
      </c>
      <c r="F2216" s="4" t="s">
        <v>25</v>
      </c>
      <c r="G2216" s="4" t="s">
        <v>25</v>
      </c>
      <c r="H2216" s="4" t="s">
        <v>25</v>
      </c>
      <c r="I2216" s="5">
        <v>44075</v>
      </c>
      <c r="J2216" s="6">
        <v>0</v>
      </c>
      <c r="K2216" s="6">
        <v>0</v>
      </c>
      <c r="L2216" s="6">
        <v>1.1659999999999999</v>
      </c>
      <c r="M2216" s="6">
        <v>1.1659999999999999</v>
      </c>
      <c r="N2216" s="6">
        <v>1.1659999999999999</v>
      </c>
      <c r="O2216" s="6">
        <v>1.1659999999999999</v>
      </c>
      <c r="P2216" s="6">
        <v>3</v>
      </c>
      <c r="Q2216" s="4" t="s">
        <v>26</v>
      </c>
      <c r="R2216" s="4">
        <v>0</v>
      </c>
      <c r="S2216" s="6">
        <v>0</v>
      </c>
      <c r="T2216" s="6">
        <v>73</v>
      </c>
      <c r="U2216" s="6">
        <v>116</v>
      </c>
      <c r="V2216" s="6">
        <f>IF(ISERROR(VLOOKUP($S$2216,'TAR FIN'!$A$1:$O$120,15,0)),0,VLOOKUP($S$2216,'TAR FIN'!$A$1:$O$120,15,0))</f>
        <v>0</v>
      </c>
      <c r="W2216" s="6">
        <f>IF(ISERROR(VLOOKUP($T$2216,'TAR FIN'!$A$1:$O$120,15,0)),0,VLOOKUP($T$2216,'TAR FIN'!$A$1:$O$120,15,0))</f>
        <v>247.09</v>
      </c>
      <c r="X2216" s="6">
        <f>IF(ISERROR(VLOOKUP($U$2216,'TAR FIN'!$A$1:$O$120,15,0)),0,VLOOKUP($U$2216,'TAR FIN'!$A$1:$O$120,15,0))</f>
        <v>270.92</v>
      </c>
      <c r="Y2216" s="6"/>
      <c r="Z2216" s="6">
        <f ca="1">('TUSD BE'!$AM$83+'TUSD BF'!$AM$83+'TUSD CVA'!$AM$83)*1</f>
        <v>271.87486773292784</v>
      </c>
      <c r="AA2216" s="6">
        <f>('TE BE'!$AA$47+'TE BF'!$AA$47+'TE CVA'!$AA$47)*1</f>
        <v>242.90567551581066</v>
      </c>
      <c r="AB2216" s="6">
        <f>$K$2216*$V$2216</f>
        <v>0</v>
      </c>
      <c r="AC2216" s="6">
        <f>$M$2216*$W$2216</f>
        <v>288.10694000000001</v>
      </c>
      <c r="AD2216" s="6">
        <f>$O$2216*$X$2216</f>
        <v>315.89272</v>
      </c>
      <c r="AE2216" s="6">
        <f>$K$2216*$Y$2216</f>
        <v>0</v>
      </c>
      <c r="AF2216" s="6">
        <f ca="1">$M$2216*$Z$2216</f>
        <v>317.00609577659384</v>
      </c>
      <c r="AG2216" s="6">
        <f>$O$2216*$AA$2216</f>
        <v>283.22801765143521</v>
      </c>
    </row>
    <row r="2217" spans="1:33" ht="11.25" customHeight="1" x14ac:dyDescent="0.25">
      <c r="A2217" s="4" t="s">
        <v>59</v>
      </c>
      <c r="B2217" s="4" t="s">
        <v>39</v>
      </c>
      <c r="C2217" s="4" t="s">
        <v>23</v>
      </c>
      <c r="D2217" s="4" t="s">
        <v>40</v>
      </c>
      <c r="E2217" s="4" t="s">
        <v>25</v>
      </c>
      <c r="F2217" s="4" t="s">
        <v>25</v>
      </c>
      <c r="G2217" s="4" t="s">
        <v>25</v>
      </c>
      <c r="H2217" s="4" t="s">
        <v>25</v>
      </c>
      <c r="I2217" s="5">
        <v>44075</v>
      </c>
      <c r="J2217" s="6">
        <v>0</v>
      </c>
      <c r="K2217" s="6">
        <v>0</v>
      </c>
      <c r="L2217" s="6">
        <v>2.6190000000000002</v>
      </c>
      <c r="M2217" s="6">
        <v>2.6190000000000002</v>
      </c>
      <c r="N2217" s="6">
        <v>2.6190000000000002</v>
      </c>
      <c r="O2217" s="6">
        <v>2.6190000000000002</v>
      </c>
      <c r="P2217" s="6">
        <v>3</v>
      </c>
      <c r="Q2217" s="4" t="s">
        <v>26</v>
      </c>
      <c r="R2217" s="4">
        <v>0</v>
      </c>
      <c r="S2217" s="6">
        <v>0</v>
      </c>
      <c r="T2217" s="6">
        <v>73</v>
      </c>
      <c r="U2217" s="6">
        <v>116</v>
      </c>
      <c r="V2217" s="6">
        <f>IF(ISERROR(VLOOKUP($S$2217,'TAR FIN'!$A$1:$O$120,15,0)),0,VLOOKUP($S$2217,'TAR FIN'!$A$1:$O$120,15,0))</f>
        <v>0</v>
      </c>
      <c r="W2217" s="6">
        <f>IF(ISERROR(VLOOKUP($T$2217,'TAR FIN'!$A$1:$O$120,15,0)),0,VLOOKUP($T$2217,'TAR FIN'!$A$1:$O$120,15,0))</f>
        <v>247.09</v>
      </c>
      <c r="X2217" s="6">
        <f>IF(ISERROR(VLOOKUP($U$2217,'TAR FIN'!$A$1:$O$120,15,0)),0,VLOOKUP($U$2217,'TAR FIN'!$A$1:$O$120,15,0))</f>
        <v>270.92</v>
      </c>
      <c r="Y2217" s="6"/>
      <c r="Z2217" s="6">
        <f ca="1">('TUSD BE'!$AM$83+'TUSD BF'!$AM$83+'TUSD CVA'!$AM$83)*1</f>
        <v>271.87486773292784</v>
      </c>
      <c r="AA2217" s="6">
        <f>('TE BE'!$AA$47+'TE BF'!$AA$47+'TE CVA'!$AA$47)*1</f>
        <v>242.90567551581066</v>
      </c>
      <c r="AB2217" s="6">
        <f>$K$2217*$V$2217</f>
        <v>0</v>
      </c>
      <c r="AC2217" s="6">
        <f>$M$2217*$W$2217</f>
        <v>647.12871000000007</v>
      </c>
      <c r="AD2217" s="6">
        <f>$O$2217*$X$2217</f>
        <v>709.53948000000014</v>
      </c>
      <c r="AE2217" s="6">
        <f>$K$2217*$Y$2217</f>
        <v>0</v>
      </c>
      <c r="AF2217" s="6">
        <f ca="1">$M$2217*$Z$2217</f>
        <v>712.04027859253802</v>
      </c>
      <c r="AG2217" s="6">
        <f>$O$2217*$AA$2217</f>
        <v>636.16996417590815</v>
      </c>
    </row>
    <row r="2218" spans="1:33" ht="11.25" customHeight="1" x14ac:dyDescent="0.25">
      <c r="A2218" s="4" t="s">
        <v>21</v>
      </c>
      <c r="B2218" s="4" t="s">
        <v>39</v>
      </c>
      <c r="C2218" s="4" t="s">
        <v>23</v>
      </c>
      <c r="D2218" s="4" t="s">
        <v>48</v>
      </c>
      <c r="E2218" s="4" t="s">
        <v>25</v>
      </c>
      <c r="F2218" s="4" t="s">
        <v>25</v>
      </c>
      <c r="G2218" s="4" t="s">
        <v>25</v>
      </c>
      <c r="H2218" s="4" t="s">
        <v>25</v>
      </c>
      <c r="I2218" s="5">
        <v>43739</v>
      </c>
      <c r="J2218" s="6">
        <v>0</v>
      </c>
      <c r="K2218" s="6">
        <v>0</v>
      </c>
      <c r="L2218" s="6">
        <v>10189.201999999999</v>
      </c>
      <c r="M2218" s="6">
        <v>10189.201999999999</v>
      </c>
      <c r="N2218" s="6">
        <v>10189.201999999999</v>
      </c>
      <c r="O2218" s="6">
        <v>10189.201999999999</v>
      </c>
      <c r="P2218" s="6">
        <v>5605</v>
      </c>
      <c r="Q2218" s="4" t="s">
        <v>26</v>
      </c>
      <c r="R2218" s="4">
        <v>0</v>
      </c>
      <c r="S2218" s="6">
        <v>0</v>
      </c>
      <c r="T2218" s="6">
        <v>73</v>
      </c>
      <c r="U2218" s="6">
        <v>116</v>
      </c>
      <c r="V2218" s="6">
        <f>IF(ISERROR(VLOOKUP($S$2218,'TAR FIN'!$A$1:$O$120,15,0)),0,VLOOKUP($S$2218,'TAR FIN'!$A$1:$O$120,15,0))</f>
        <v>0</v>
      </c>
      <c r="W2218" s="6">
        <f>IF(ISERROR(VLOOKUP($T$2218,'TAR FIN'!$A$1:$O$120,15,0)),0,VLOOKUP($T$2218,'TAR FIN'!$A$1:$O$120,15,0))</f>
        <v>247.09</v>
      </c>
      <c r="X2218" s="6">
        <f>IF(ISERROR(VLOOKUP($U$2218,'TAR FIN'!$A$1:$O$120,15,0)),0,VLOOKUP($U$2218,'TAR FIN'!$A$1:$O$120,15,0))</f>
        <v>270.92</v>
      </c>
      <c r="Y2218" s="6"/>
      <c r="Z2218" s="6">
        <f ca="1">('TUSD BE'!$AM$83+'TUSD BF'!$AM$83+'TUSD CVA'!$AM$83)*1</f>
        <v>271.87486773292784</v>
      </c>
      <c r="AA2218" s="6">
        <f>('TE BE'!$AA$47+'TE BF'!$AA$47+'TE CVA'!$AA$47)*1</f>
        <v>242.90567551581066</v>
      </c>
      <c r="AB2218" s="6">
        <f>$K$2218*$V$2218</f>
        <v>0</v>
      </c>
      <c r="AC2218" s="6">
        <f>$M$2218*$W$2218</f>
        <v>2517649.9221799998</v>
      </c>
      <c r="AD2218" s="6">
        <f>$O$2218*$X$2218</f>
        <v>2760458.6058399999</v>
      </c>
      <c r="AE2218" s="6">
        <f>$K$2218*$Y$2218</f>
        <v>0</v>
      </c>
      <c r="AF2218" s="6">
        <f ca="1">$M$2218*$Z$2218</f>
        <v>2770187.9460540838</v>
      </c>
      <c r="AG2218" s="6">
        <f>$O$2218*$AA$2218</f>
        <v>2475014.9947770489</v>
      </c>
    </row>
    <row r="2219" spans="1:33" ht="11.25" customHeight="1" x14ac:dyDescent="0.25">
      <c r="A2219" s="4" t="s">
        <v>27</v>
      </c>
      <c r="B2219" s="4" t="s">
        <v>39</v>
      </c>
      <c r="C2219" s="4" t="s">
        <v>23</v>
      </c>
      <c r="D2219" s="4" t="s">
        <v>48</v>
      </c>
      <c r="E2219" s="4" t="s">
        <v>25</v>
      </c>
      <c r="F2219" s="4" t="s">
        <v>25</v>
      </c>
      <c r="G2219" s="4" t="s">
        <v>25</v>
      </c>
      <c r="H2219" s="4" t="s">
        <v>25</v>
      </c>
      <c r="I2219" s="5">
        <v>43739</v>
      </c>
      <c r="J2219" s="6">
        <v>0</v>
      </c>
      <c r="K2219" s="6">
        <v>0</v>
      </c>
      <c r="L2219" s="6">
        <v>2.5710000000000002</v>
      </c>
      <c r="M2219" s="6">
        <v>2.5710000000000002</v>
      </c>
      <c r="N2219" s="6">
        <v>2.5710000000000002</v>
      </c>
      <c r="O2219" s="6">
        <v>2.5710000000000002</v>
      </c>
      <c r="P2219" s="6">
        <v>5</v>
      </c>
      <c r="Q2219" s="4" t="s">
        <v>26</v>
      </c>
      <c r="R2219" s="4">
        <v>0</v>
      </c>
      <c r="S2219" s="6">
        <v>0</v>
      </c>
      <c r="T2219" s="6">
        <v>73</v>
      </c>
      <c r="U2219" s="6">
        <v>116</v>
      </c>
      <c r="V2219" s="6">
        <f>IF(ISERROR(VLOOKUP($S$2219,'TAR FIN'!$A$1:$O$120,15,0)),0,VLOOKUP($S$2219,'TAR FIN'!$A$1:$O$120,15,0))</f>
        <v>0</v>
      </c>
      <c r="W2219" s="6">
        <f>IF(ISERROR(VLOOKUP($T$2219,'TAR FIN'!$A$1:$O$120,15,0)),0,VLOOKUP($T$2219,'TAR FIN'!$A$1:$O$120,15,0))</f>
        <v>247.09</v>
      </c>
      <c r="X2219" s="6">
        <f>IF(ISERROR(VLOOKUP($U$2219,'TAR FIN'!$A$1:$O$120,15,0)),0,VLOOKUP($U$2219,'TAR FIN'!$A$1:$O$120,15,0))</f>
        <v>270.92</v>
      </c>
      <c r="Y2219" s="6"/>
      <c r="Z2219" s="6">
        <f ca="1">('TUSD BE'!$AM$83+'TUSD BF'!$AM$83+'TUSD CVA'!$AM$83)*1</f>
        <v>271.87486773292784</v>
      </c>
      <c r="AA2219" s="6">
        <f>('TE BE'!$AA$47+'TE BF'!$AA$47+'TE CVA'!$AA$47)*1</f>
        <v>242.90567551581066</v>
      </c>
      <c r="AB2219" s="6">
        <f>$K$2219*$V$2219</f>
        <v>0</v>
      </c>
      <c r="AC2219" s="6">
        <f>$M$2219*$W$2219</f>
        <v>635.26839000000007</v>
      </c>
      <c r="AD2219" s="6">
        <f>$O$2219*$X$2219</f>
        <v>696.53532000000007</v>
      </c>
      <c r="AE2219" s="6">
        <f>$K$2219*$Y$2219</f>
        <v>0</v>
      </c>
      <c r="AF2219" s="6">
        <f ca="1">$M$2219*$Z$2219</f>
        <v>698.99028494135757</v>
      </c>
      <c r="AG2219" s="6">
        <f>$O$2219*$AA$2219</f>
        <v>624.51049175114929</v>
      </c>
    </row>
    <row r="2220" spans="1:33" ht="11.25" customHeight="1" x14ac:dyDescent="0.25">
      <c r="A2220" s="4" t="s">
        <v>28</v>
      </c>
      <c r="B2220" s="4" t="s">
        <v>39</v>
      </c>
      <c r="C2220" s="4" t="s">
        <v>23</v>
      </c>
      <c r="D2220" s="4" t="s">
        <v>48</v>
      </c>
      <c r="E2220" s="4" t="s">
        <v>25</v>
      </c>
      <c r="F2220" s="4" t="s">
        <v>25</v>
      </c>
      <c r="G2220" s="4" t="s">
        <v>25</v>
      </c>
      <c r="H2220" s="4" t="s">
        <v>25</v>
      </c>
      <c r="I2220" s="5">
        <v>43739</v>
      </c>
      <c r="J2220" s="6">
        <v>0</v>
      </c>
      <c r="K2220" s="6">
        <v>0</v>
      </c>
      <c r="L2220" s="6">
        <v>137.881</v>
      </c>
      <c r="M2220" s="6">
        <v>137.881</v>
      </c>
      <c r="N2220" s="6">
        <v>137.881</v>
      </c>
      <c r="O2220" s="6">
        <v>137.881</v>
      </c>
      <c r="P2220" s="6">
        <v>6</v>
      </c>
      <c r="Q2220" s="4" t="s">
        <v>26</v>
      </c>
      <c r="R2220" s="4">
        <v>0</v>
      </c>
      <c r="S2220" s="6">
        <v>0</v>
      </c>
      <c r="T2220" s="6">
        <v>73</v>
      </c>
      <c r="U2220" s="6">
        <v>116</v>
      </c>
      <c r="V2220" s="6">
        <f>IF(ISERROR(VLOOKUP($S$2220,'TAR FIN'!$A$1:$O$120,15,0)),0,VLOOKUP($S$2220,'TAR FIN'!$A$1:$O$120,15,0))</f>
        <v>0</v>
      </c>
      <c r="W2220" s="6">
        <f>IF(ISERROR(VLOOKUP($T$2220,'TAR FIN'!$A$1:$O$120,15,0)),0,VLOOKUP($T$2220,'TAR FIN'!$A$1:$O$120,15,0))</f>
        <v>247.09</v>
      </c>
      <c r="X2220" s="6">
        <f>IF(ISERROR(VLOOKUP($U$2220,'TAR FIN'!$A$1:$O$120,15,0)),0,VLOOKUP($U$2220,'TAR FIN'!$A$1:$O$120,15,0))</f>
        <v>270.92</v>
      </c>
      <c r="Y2220" s="6"/>
      <c r="Z2220" s="6">
        <f ca="1">('TUSD BE'!$AM$83+'TUSD BF'!$AM$83+'TUSD CVA'!$AM$83)*1</f>
        <v>271.87486773292784</v>
      </c>
      <c r="AA2220" s="6">
        <f>('TE BE'!$AA$47+'TE BF'!$AA$47+'TE CVA'!$AA$47)*1</f>
        <v>242.90567551581066</v>
      </c>
      <c r="AB2220" s="6">
        <f>$K$2220*$V$2220</f>
        <v>0</v>
      </c>
      <c r="AC2220" s="6">
        <f>$M$2220*$W$2220</f>
        <v>34069.01629</v>
      </c>
      <c r="AD2220" s="6">
        <f>$O$2220*$X$2220</f>
        <v>37354.720520000003</v>
      </c>
      <c r="AE2220" s="6">
        <f>$K$2220*$Y$2220</f>
        <v>0</v>
      </c>
      <c r="AF2220" s="6">
        <f ca="1">$M$2220*$Z$2220</f>
        <v>37486.378637883827</v>
      </c>
      <c r="AG2220" s="6">
        <f>$O$2220*$AA$2220</f>
        <v>33492.07744579549</v>
      </c>
    </row>
    <row r="2221" spans="1:33" ht="11.25" customHeight="1" x14ac:dyDescent="0.25">
      <c r="A2221" s="4" t="s">
        <v>21</v>
      </c>
      <c r="B2221" s="4" t="s">
        <v>39</v>
      </c>
      <c r="C2221" s="4" t="s">
        <v>23</v>
      </c>
      <c r="D2221" s="4" t="s">
        <v>48</v>
      </c>
      <c r="E2221" s="4" t="s">
        <v>25</v>
      </c>
      <c r="F2221" s="4" t="s">
        <v>25</v>
      </c>
      <c r="G2221" s="4" t="s">
        <v>25</v>
      </c>
      <c r="H2221" s="4" t="s">
        <v>25</v>
      </c>
      <c r="I2221" s="5">
        <v>43770</v>
      </c>
      <c r="J2221" s="6">
        <v>0</v>
      </c>
      <c r="K2221" s="6">
        <v>0</v>
      </c>
      <c r="L2221" s="6">
        <v>10438.009</v>
      </c>
      <c r="M2221" s="6">
        <v>10438.009</v>
      </c>
      <c r="N2221" s="6">
        <v>10438.009</v>
      </c>
      <c r="O2221" s="6">
        <v>10438.009</v>
      </c>
      <c r="P2221" s="6">
        <v>5609</v>
      </c>
      <c r="Q2221" s="4" t="s">
        <v>26</v>
      </c>
      <c r="R2221" s="4">
        <v>0</v>
      </c>
      <c r="S2221" s="6">
        <v>0</v>
      </c>
      <c r="T2221" s="6">
        <v>73</v>
      </c>
      <c r="U2221" s="6">
        <v>116</v>
      </c>
      <c r="V2221" s="6">
        <f>IF(ISERROR(VLOOKUP($S$2221,'TAR FIN'!$A$1:$O$120,15,0)),0,VLOOKUP($S$2221,'TAR FIN'!$A$1:$O$120,15,0))</f>
        <v>0</v>
      </c>
      <c r="W2221" s="6">
        <f>IF(ISERROR(VLOOKUP($T$2221,'TAR FIN'!$A$1:$O$120,15,0)),0,VLOOKUP($T$2221,'TAR FIN'!$A$1:$O$120,15,0))</f>
        <v>247.09</v>
      </c>
      <c r="X2221" s="6">
        <f>IF(ISERROR(VLOOKUP($U$2221,'TAR FIN'!$A$1:$O$120,15,0)),0,VLOOKUP($U$2221,'TAR FIN'!$A$1:$O$120,15,0))</f>
        <v>270.92</v>
      </c>
      <c r="Y2221" s="6"/>
      <c r="Z2221" s="6">
        <f ca="1">('TUSD BE'!$AM$83+'TUSD BF'!$AM$83+'TUSD CVA'!$AM$83)*1</f>
        <v>271.87486773292784</v>
      </c>
      <c r="AA2221" s="6">
        <f>('TE BE'!$AA$47+'TE BF'!$AA$47+'TE CVA'!$AA$47)*1</f>
        <v>242.90567551581066</v>
      </c>
      <c r="AB2221" s="6">
        <f>$K$2221*$V$2221</f>
        <v>0</v>
      </c>
      <c r="AC2221" s="6">
        <f>$M$2221*$W$2221</f>
        <v>2579127.6438100003</v>
      </c>
      <c r="AD2221" s="6">
        <f>$O$2221*$X$2221</f>
        <v>2827865.3982800003</v>
      </c>
      <c r="AE2221" s="6">
        <f>$K$2221*$Y$2221</f>
        <v>0</v>
      </c>
      <c r="AF2221" s="6">
        <f ca="1">$M$2221*$Z$2221</f>
        <v>2837832.3162701102</v>
      </c>
      <c r="AG2221" s="6">
        <f>$O$2221*$AA$2221</f>
        <v>2535451.6271851114</v>
      </c>
    </row>
    <row r="2222" spans="1:33" ht="11.25" customHeight="1" x14ac:dyDescent="0.25">
      <c r="A2222" s="4" t="s">
        <v>27</v>
      </c>
      <c r="B2222" s="4" t="s">
        <v>39</v>
      </c>
      <c r="C2222" s="4" t="s">
        <v>23</v>
      </c>
      <c r="D2222" s="4" t="s">
        <v>48</v>
      </c>
      <c r="E2222" s="4" t="s">
        <v>25</v>
      </c>
      <c r="F2222" s="4" t="s">
        <v>25</v>
      </c>
      <c r="G2222" s="4" t="s">
        <v>25</v>
      </c>
      <c r="H2222" s="4" t="s">
        <v>25</v>
      </c>
      <c r="I2222" s="5">
        <v>43770</v>
      </c>
      <c r="J2222" s="6">
        <v>0</v>
      </c>
      <c r="K2222" s="6">
        <v>0</v>
      </c>
      <c r="L2222" s="6">
        <v>272.51</v>
      </c>
      <c r="M2222" s="6">
        <v>272.51</v>
      </c>
      <c r="N2222" s="6">
        <v>272.51</v>
      </c>
      <c r="O2222" s="6">
        <v>272.51</v>
      </c>
      <c r="P2222" s="6">
        <v>5</v>
      </c>
      <c r="Q2222" s="4" t="s">
        <v>26</v>
      </c>
      <c r="R2222" s="4">
        <v>0</v>
      </c>
      <c r="S2222" s="6">
        <v>0</v>
      </c>
      <c r="T2222" s="6">
        <v>73</v>
      </c>
      <c r="U2222" s="6">
        <v>116</v>
      </c>
      <c r="V2222" s="6">
        <f>IF(ISERROR(VLOOKUP($S$2222,'TAR FIN'!$A$1:$O$120,15,0)),0,VLOOKUP($S$2222,'TAR FIN'!$A$1:$O$120,15,0))</f>
        <v>0</v>
      </c>
      <c r="W2222" s="6">
        <f>IF(ISERROR(VLOOKUP($T$2222,'TAR FIN'!$A$1:$O$120,15,0)),0,VLOOKUP($T$2222,'TAR FIN'!$A$1:$O$120,15,0))</f>
        <v>247.09</v>
      </c>
      <c r="X2222" s="6">
        <f>IF(ISERROR(VLOOKUP($U$2222,'TAR FIN'!$A$1:$O$120,15,0)),0,VLOOKUP($U$2222,'TAR FIN'!$A$1:$O$120,15,0))</f>
        <v>270.92</v>
      </c>
      <c r="Y2222" s="6"/>
      <c r="Z2222" s="6">
        <f ca="1">('TUSD BE'!$AM$83+'TUSD BF'!$AM$83+'TUSD CVA'!$AM$83)*1</f>
        <v>271.87486773292784</v>
      </c>
      <c r="AA2222" s="6">
        <f>('TE BE'!$AA$47+'TE BF'!$AA$47+'TE CVA'!$AA$47)*1</f>
        <v>242.90567551581066</v>
      </c>
      <c r="AB2222" s="6">
        <f>$K$2222*$V$2222</f>
        <v>0</v>
      </c>
      <c r="AC2222" s="6">
        <f>$M$2222*$W$2222</f>
        <v>67334.495899999994</v>
      </c>
      <c r="AD2222" s="6">
        <f>$O$2222*$X$2222</f>
        <v>73828.409199999995</v>
      </c>
      <c r="AE2222" s="6">
        <f>$K$2222*$Y$2222</f>
        <v>0</v>
      </c>
      <c r="AF2222" s="6">
        <f ca="1">$M$2222*$Z$2222</f>
        <v>74088.620205900166</v>
      </c>
      <c r="AG2222" s="6">
        <f>$O$2222*$AA$2222</f>
        <v>66194.225634813556</v>
      </c>
    </row>
    <row r="2223" spans="1:33" ht="11.25" customHeight="1" x14ac:dyDescent="0.25">
      <c r="A2223" s="4" t="s">
        <v>28</v>
      </c>
      <c r="B2223" s="4" t="s">
        <v>39</v>
      </c>
      <c r="C2223" s="4" t="s">
        <v>23</v>
      </c>
      <c r="D2223" s="4" t="s">
        <v>48</v>
      </c>
      <c r="E2223" s="4" t="s">
        <v>25</v>
      </c>
      <c r="F2223" s="4" t="s">
        <v>25</v>
      </c>
      <c r="G2223" s="4" t="s">
        <v>25</v>
      </c>
      <c r="H2223" s="4" t="s">
        <v>25</v>
      </c>
      <c r="I2223" s="5">
        <v>43770</v>
      </c>
      <c r="J2223" s="6">
        <v>0</v>
      </c>
      <c r="K2223" s="6">
        <v>0</v>
      </c>
      <c r="L2223" s="6">
        <v>157.625</v>
      </c>
      <c r="M2223" s="6">
        <v>157.625</v>
      </c>
      <c r="N2223" s="6">
        <v>157.625</v>
      </c>
      <c r="O2223" s="6">
        <v>157.625</v>
      </c>
      <c r="P2223" s="6">
        <v>6</v>
      </c>
      <c r="Q2223" s="4" t="s">
        <v>26</v>
      </c>
      <c r="R2223" s="4">
        <v>0</v>
      </c>
      <c r="S2223" s="6">
        <v>0</v>
      </c>
      <c r="T2223" s="6">
        <v>73</v>
      </c>
      <c r="U2223" s="6">
        <v>116</v>
      </c>
      <c r="V2223" s="6">
        <f>IF(ISERROR(VLOOKUP($S$2223,'TAR FIN'!$A$1:$O$120,15,0)),0,VLOOKUP($S$2223,'TAR FIN'!$A$1:$O$120,15,0))</f>
        <v>0</v>
      </c>
      <c r="W2223" s="6">
        <f>IF(ISERROR(VLOOKUP($T$2223,'TAR FIN'!$A$1:$O$120,15,0)),0,VLOOKUP($T$2223,'TAR FIN'!$A$1:$O$120,15,0))</f>
        <v>247.09</v>
      </c>
      <c r="X2223" s="6">
        <f>IF(ISERROR(VLOOKUP($U$2223,'TAR FIN'!$A$1:$O$120,15,0)),0,VLOOKUP($U$2223,'TAR FIN'!$A$1:$O$120,15,0))</f>
        <v>270.92</v>
      </c>
      <c r="Y2223" s="6"/>
      <c r="Z2223" s="6">
        <f ca="1">('TUSD BE'!$AM$83+'TUSD BF'!$AM$83+'TUSD CVA'!$AM$83)*1</f>
        <v>271.87486773292784</v>
      </c>
      <c r="AA2223" s="6">
        <f>('TE BE'!$AA$47+'TE BF'!$AA$47+'TE CVA'!$AA$47)*1</f>
        <v>242.90567551581066</v>
      </c>
      <c r="AB2223" s="6">
        <f>$K$2223*$V$2223</f>
        <v>0</v>
      </c>
      <c r="AC2223" s="6">
        <f>$M$2223*$W$2223</f>
        <v>38947.561249999999</v>
      </c>
      <c r="AD2223" s="6">
        <f>$O$2223*$X$2223</f>
        <v>42703.764999999999</v>
      </c>
      <c r="AE2223" s="6">
        <f>$K$2223*$Y$2223</f>
        <v>0</v>
      </c>
      <c r="AF2223" s="6">
        <f ca="1">$M$2223*$Z$2223</f>
        <v>42854.276026402753</v>
      </c>
      <c r="AG2223" s="6">
        <f>$O$2223*$AA$2223</f>
        <v>38288.007103179654</v>
      </c>
    </row>
    <row r="2224" spans="1:33" ht="11.25" customHeight="1" x14ac:dyDescent="0.25">
      <c r="A2224" s="4" t="s">
        <v>21</v>
      </c>
      <c r="B2224" s="4" t="s">
        <v>39</v>
      </c>
      <c r="C2224" s="4" t="s">
        <v>23</v>
      </c>
      <c r="D2224" s="4" t="s">
        <v>48</v>
      </c>
      <c r="E2224" s="4" t="s">
        <v>25</v>
      </c>
      <c r="F2224" s="4" t="s">
        <v>25</v>
      </c>
      <c r="G2224" s="4" t="s">
        <v>25</v>
      </c>
      <c r="H2224" s="4" t="s">
        <v>25</v>
      </c>
      <c r="I2224" s="5">
        <v>43800</v>
      </c>
      <c r="J2224" s="6">
        <v>0</v>
      </c>
      <c r="K2224" s="6">
        <v>0</v>
      </c>
      <c r="L2224" s="6">
        <v>9032.0490000000009</v>
      </c>
      <c r="M2224" s="6">
        <v>9032.0490000000009</v>
      </c>
      <c r="N2224" s="6">
        <v>9032.0490000000009</v>
      </c>
      <c r="O2224" s="6">
        <v>9032.0490000000009</v>
      </c>
      <c r="P2224" s="6">
        <v>5615</v>
      </c>
      <c r="Q2224" s="4" t="s">
        <v>26</v>
      </c>
      <c r="R2224" s="4">
        <v>0</v>
      </c>
      <c r="S2224" s="6">
        <v>0</v>
      </c>
      <c r="T2224" s="6">
        <v>73</v>
      </c>
      <c r="U2224" s="6">
        <v>116</v>
      </c>
      <c r="V2224" s="6">
        <f>IF(ISERROR(VLOOKUP($S$2224,'TAR FIN'!$A$1:$O$120,15,0)),0,VLOOKUP($S$2224,'TAR FIN'!$A$1:$O$120,15,0))</f>
        <v>0</v>
      </c>
      <c r="W2224" s="6">
        <f>IF(ISERROR(VLOOKUP($T$2224,'TAR FIN'!$A$1:$O$120,15,0)),0,VLOOKUP($T$2224,'TAR FIN'!$A$1:$O$120,15,0))</f>
        <v>247.09</v>
      </c>
      <c r="X2224" s="6">
        <f>IF(ISERROR(VLOOKUP($U$2224,'TAR FIN'!$A$1:$O$120,15,0)),0,VLOOKUP($U$2224,'TAR FIN'!$A$1:$O$120,15,0))</f>
        <v>270.92</v>
      </c>
      <c r="Y2224" s="6"/>
      <c r="Z2224" s="6">
        <f ca="1">('TUSD BE'!$AM$83+'TUSD BF'!$AM$83+'TUSD CVA'!$AM$83)*1</f>
        <v>271.87486773292784</v>
      </c>
      <c r="AA2224" s="6">
        <f>('TE BE'!$AA$47+'TE BF'!$AA$47+'TE CVA'!$AA$47)*1</f>
        <v>242.90567551581066</v>
      </c>
      <c r="AB2224" s="6">
        <f>$K$2224*$V$2224</f>
        <v>0</v>
      </c>
      <c r="AC2224" s="6">
        <f>$M$2224*$W$2224</f>
        <v>2231728.9874100001</v>
      </c>
      <c r="AD2224" s="6">
        <f>$O$2224*$X$2224</f>
        <v>2446962.7150800005</v>
      </c>
      <c r="AE2224" s="6">
        <f>$K$2224*$Y$2224</f>
        <v>0</v>
      </c>
      <c r="AF2224" s="6">
        <f ca="1">$M$2224*$Z$2224</f>
        <v>2455587.1272323234</v>
      </c>
      <c r="AG2224" s="6">
        <f>$O$2224*$AA$2224</f>
        <v>2193935.9636369022</v>
      </c>
    </row>
    <row r="2225" spans="1:33" ht="11.25" customHeight="1" x14ac:dyDescent="0.25">
      <c r="A2225" s="4" t="s">
        <v>27</v>
      </c>
      <c r="B2225" s="4" t="s">
        <v>39</v>
      </c>
      <c r="C2225" s="4" t="s">
        <v>23</v>
      </c>
      <c r="D2225" s="4" t="s">
        <v>48</v>
      </c>
      <c r="E2225" s="4" t="s">
        <v>25</v>
      </c>
      <c r="F2225" s="4" t="s">
        <v>25</v>
      </c>
      <c r="G2225" s="4" t="s">
        <v>25</v>
      </c>
      <c r="H2225" s="4" t="s">
        <v>25</v>
      </c>
      <c r="I2225" s="5">
        <v>43800</v>
      </c>
      <c r="J2225" s="6">
        <v>0</v>
      </c>
      <c r="K2225" s="6">
        <v>0</v>
      </c>
      <c r="L2225" s="6">
        <v>2.1789999999999998</v>
      </c>
      <c r="M2225" s="6">
        <v>2.1789999999999998</v>
      </c>
      <c r="N2225" s="6">
        <v>2.1789999999999998</v>
      </c>
      <c r="O2225" s="6">
        <v>2.1789999999999998</v>
      </c>
      <c r="P2225" s="6">
        <v>1</v>
      </c>
      <c r="Q2225" s="4" t="s">
        <v>26</v>
      </c>
      <c r="R2225" s="4">
        <v>0</v>
      </c>
      <c r="S2225" s="6">
        <v>0</v>
      </c>
      <c r="T2225" s="6">
        <v>73</v>
      </c>
      <c r="U2225" s="6">
        <v>116</v>
      </c>
      <c r="V2225" s="6">
        <f>IF(ISERROR(VLOOKUP($S$2225,'TAR FIN'!$A$1:$O$120,15,0)),0,VLOOKUP($S$2225,'TAR FIN'!$A$1:$O$120,15,0))</f>
        <v>0</v>
      </c>
      <c r="W2225" s="6">
        <f>IF(ISERROR(VLOOKUP($T$2225,'TAR FIN'!$A$1:$O$120,15,0)),0,VLOOKUP($T$2225,'TAR FIN'!$A$1:$O$120,15,0))</f>
        <v>247.09</v>
      </c>
      <c r="X2225" s="6">
        <f>IF(ISERROR(VLOOKUP($U$2225,'TAR FIN'!$A$1:$O$120,15,0)),0,VLOOKUP($U$2225,'TAR FIN'!$A$1:$O$120,15,0))</f>
        <v>270.92</v>
      </c>
      <c r="Y2225" s="6"/>
      <c r="Z2225" s="6">
        <f ca="1">('TUSD BE'!$AM$83+'TUSD BF'!$AM$83+'TUSD CVA'!$AM$83)*1</f>
        <v>271.87486773292784</v>
      </c>
      <c r="AA2225" s="6">
        <f>('TE BE'!$AA$47+'TE BF'!$AA$47+'TE CVA'!$AA$47)*1</f>
        <v>242.90567551581066</v>
      </c>
      <c r="AB2225" s="6">
        <f>$K$2225*$V$2225</f>
        <v>0</v>
      </c>
      <c r="AC2225" s="6">
        <f>$M$2225*$W$2225</f>
        <v>538.40910999999994</v>
      </c>
      <c r="AD2225" s="6">
        <f>$O$2225*$X$2225</f>
        <v>590.33467999999993</v>
      </c>
      <c r="AE2225" s="6">
        <f>$K$2225*$Y$2225</f>
        <v>0</v>
      </c>
      <c r="AF2225" s="6">
        <f ca="1">$M$2225*$Z$2225</f>
        <v>592.41533679004976</v>
      </c>
      <c r="AG2225" s="6">
        <f>$O$2225*$AA$2225</f>
        <v>529.29146694895132</v>
      </c>
    </row>
    <row r="2226" spans="1:33" ht="11.25" customHeight="1" x14ac:dyDescent="0.25">
      <c r="A2226" s="4" t="s">
        <v>28</v>
      </c>
      <c r="B2226" s="4" t="s">
        <v>39</v>
      </c>
      <c r="C2226" s="4" t="s">
        <v>23</v>
      </c>
      <c r="D2226" s="4" t="s">
        <v>48</v>
      </c>
      <c r="E2226" s="4" t="s">
        <v>25</v>
      </c>
      <c r="F2226" s="4" t="s">
        <v>25</v>
      </c>
      <c r="G2226" s="4" t="s">
        <v>25</v>
      </c>
      <c r="H2226" s="4" t="s">
        <v>25</v>
      </c>
      <c r="I2226" s="5">
        <v>43800</v>
      </c>
      <c r="J2226" s="6">
        <v>0</v>
      </c>
      <c r="K2226" s="6">
        <v>0</v>
      </c>
      <c r="L2226" s="6">
        <v>139.828</v>
      </c>
      <c r="M2226" s="6">
        <v>139.828</v>
      </c>
      <c r="N2226" s="6">
        <v>139.828</v>
      </c>
      <c r="O2226" s="6">
        <v>139.828</v>
      </c>
      <c r="P2226" s="6">
        <v>6</v>
      </c>
      <c r="Q2226" s="4" t="s">
        <v>26</v>
      </c>
      <c r="R2226" s="4">
        <v>0</v>
      </c>
      <c r="S2226" s="6">
        <v>0</v>
      </c>
      <c r="T2226" s="6">
        <v>73</v>
      </c>
      <c r="U2226" s="6">
        <v>116</v>
      </c>
      <c r="V2226" s="6">
        <f>IF(ISERROR(VLOOKUP($S$2226,'TAR FIN'!$A$1:$O$120,15,0)),0,VLOOKUP($S$2226,'TAR FIN'!$A$1:$O$120,15,0))</f>
        <v>0</v>
      </c>
      <c r="W2226" s="6">
        <f>IF(ISERROR(VLOOKUP($T$2226,'TAR FIN'!$A$1:$O$120,15,0)),0,VLOOKUP($T$2226,'TAR FIN'!$A$1:$O$120,15,0))</f>
        <v>247.09</v>
      </c>
      <c r="X2226" s="6">
        <f>IF(ISERROR(VLOOKUP($U$2226,'TAR FIN'!$A$1:$O$120,15,0)),0,VLOOKUP($U$2226,'TAR FIN'!$A$1:$O$120,15,0))</f>
        <v>270.92</v>
      </c>
      <c r="Y2226" s="6"/>
      <c r="Z2226" s="6">
        <f ca="1">('TUSD BE'!$AM$83+'TUSD BF'!$AM$83+'TUSD CVA'!$AM$83)*1</f>
        <v>271.87486773292784</v>
      </c>
      <c r="AA2226" s="6">
        <f>('TE BE'!$AA$47+'TE BF'!$AA$47+'TE CVA'!$AA$47)*1</f>
        <v>242.90567551581066</v>
      </c>
      <c r="AB2226" s="6">
        <f>$K$2226*$V$2226</f>
        <v>0</v>
      </c>
      <c r="AC2226" s="6">
        <f>$M$2226*$W$2226</f>
        <v>34550.10052</v>
      </c>
      <c r="AD2226" s="6">
        <f>$O$2226*$X$2226</f>
        <v>37882.201760000004</v>
      </c>
      <c r="AE2226" s="6">
        <f>$K$2226*$Y$2226</f>
        <v>0</v>
      </c>
      <c r="AF2226" s="6">
        <f ca="1">$M$2226*$Z$2226</f>
        <v>38015.719005359831</v>
      </c>
      <c r="AG2226" s="6">
        <f>$O$2226*$AA$2226</f>
        <v>33965.01479602477</v>
      </c>
    </row>
    <row r="2227" spans="1:33" ht="11.25" customHeight="1" x14ac:dyDescent="0.25">
      <c r="A2227" s="4" t="s">
        <v>21</v>
      </c>
      <c r="B2227" s="4" t="s">
        <v>39</v>
      </c>
      <c r="C2227" s="4" t="s">
        <v>23</v>
      </c>
      <c r="D2227" s="4" t="s">
        <v>48</v>
      </c>
      <c r="E2227" s="4" t="s">
        <v>25</v>
      </c>
      <c r="F2227" s="4" t="s">
        <v>25</v>
      </c>
      <c r="G2227" s="4" t="s">
        <v>25</v>
      </c>
      <c r="H2227" s="4" t="s">
        <v>25</v>
      </c>
      <c r="I2227" s="5">
        <v>43831</v>
      </c>
      <c r="J2227" s="6">
        <v>0</v>
      </c>
      <c r="K2227" s="6">
        <v>0</v>
      </c>
      <c r="L2227" s="6">
        <v>8249.8799999999992</v>
      </c>
      <c r="M2227" s="6">
        <v>8249.8799999999992</v>
      </c>
      <c r="N2227" s="6">
        <v>8249.8799999999992</v>
      </c>
      <c r="O2227" s="6">
        <v>8249.8799999999992</v>
      </c>
      <c r="P2227" s="6">
        <v>5612</v>
      </c>
      <c r="Q2227" s="4" t="s">
        <v>26</v>
      </c>
      <c r="R2227" s="4">
        <v>0</v>
      </c>
      <c r="S2227" s="6">
        <v>0</v>
      </c>
      <c r="T2227" s="6">
        <v>73</v>
      </c>
      <c r="U2227" s="6">
        <v>116</v>
      </c>
      <c r="V2227" s="6">
        <f>IF(ISERROR(VLOOKUP($S$2227,'TAR FIN'!$A$1:$O$120,15,0)),0,VLOOKUP($S$2227,'TAR FIN'!$A$1:$O$120,15,0))</f>
        <v>0</v>
      </c>
      <c r="W2227" s="6">
        <f>IF(ISERROR(VLOOKUP($T$2227,'TAR FIN'!$A$1:$O$120,15,0)),0,VLOOKUP($T$2227,'TAR FIN'!$A$1:$O$120,15,0))</f>
        <v>247.09</v>
      </c>
      <c r="X2227" s="6">
        <f>IF(ISERROR(VLOOKUP($U$2227,'TAR FIN'!$A$1:$O$120,15,0)),0,VLOOKUP($U$2227,'TAR FIN'!$A$1:$O$120,15,0))</f>
        <v>270.92</v>
      </c>
      <c r="Y2227" s="6"/>
      <c r="Z2227" s="6">
        <f ca="1">('TUSD BE'!$AM$83+'TUSD BF'!$AM$83+'TUSD CVA'!$AM$83)*1</f>
        <v>271.87486773292784</v>
      </c>
      <c r="AA2227" s="6">
        <f>('TE BE'!$AA$47+'TE BF'!$AA$47+'TE CVA'!$AA$47)*1</f>
        <v>242.90567551581066</v>
      </c>
      <c r="AB2227" s="6">
        <f>$K$2227*$V$2227</f>
        <v>0</v>
      </c>
      <c r="AC2227" s="6">
        <f>$M$2227*$W$2227</f>
        <v>2038462.8491999998</v>
      </c>
      <c r="AD2227" s="6">
        <f>$O$2227*$X$2227</f>
        <v>2235057.4896</v>
      </c>
      <c r="AE2227" s="6">
        <f>$K$2227*$Y$2227</f>
        <v>0</v>
      </c>
      <c r="AF2227" s="6">
        <f ca="1">$M$2227*$Z$2227</f>
        <v>2242935.0338125266</v>
      </c>
      <c r="AG2227" s="6">
        <f>$O$2227*$AA$2227</f>
        <v>2003942.6743243758</v>
      </c>
    </row>
    <row r="2228" spans="1:33" ht="11.25" customHeight="1" x14ac:dyDescent="0.25">
      <c r="A2228" s="4" t="s">
        <v>27</v>
      </c>
      <c r="B2228" s="4" t="s">
        <v>39</v>
      </c>
      <c r="C2228" s="4" t="s">
        <v>23</v>
      </c>
      <c r="D2228" s="4" t="s">
        <v>48</v>
      </c>
      <c r="E2228" s="4" t="s">
        <v>25</v>
      </c>
      <c r="F2228" s="4" t="s">
        <v>25</v>
      </c>
      <c r="G2228" s="4" t="s">
        <v>25</v>
      </c>
      <c r="H2228" s="4" t="s">
        <v>25</v>
      </c>
      <c r="I2228" s="5">
        <v>43831</v>
      </c>
      <c r="J2228" s="6">
        <v>0</v>
      </c>
      <c r="K2228" s="6">
        <v>0</v>
      </c>
      <c r="L2228" s="6">
        <v>3.2570000000000001</v>
      </c>
      <c r="M2228" s="6">
        <v>3.2570000000000001</v>
      </c>
      <c r="N2228" s="6">
        <v>3.2570000000000001</v>
      </c>
      <c r="O2228" s="6">
        <v>3.2570000000000001</v>
      </c>
      <c r="P2228" s="6">
        <v>5</v>
      </c>
      <c r="Q2228" s="4" t="s">
        <v>26</v>
      </c>
      <c r="R2228" s="4">
        <v>0</v>
      </c>
      <c r="S2228" s="6">
        <v>0</v>
      </c>
      <c r="T2228" s="6">
        <v>73</v>
      </c>
      <c r="U2228" s="6">
        <v>116</v>
      </c>
      <c r="V2228" s="6">
        <f>IF(ISERROR(VLOOKUP($S$2228,'TAR FIN'!$A$1:$O$120,15,0)),0,VLOOKUP($S$2228,'TAR FIN'!$A$1:$O$120,15,0))</f>
        <v>0</v>
      </c>
      <c r="W2228" s="6">
        <f>IF(ISERROR(VLOOKUP($T$2228,'TAR FIN'!$A$1:$O$120,15,0)),0,VLOOKUP($T$2228,'TAR FIN'!$A$1:$O$120,15,0))</f>
        <v>247.09</v>
      </c>
      <c r="X2228" s="6">
        <f>IF(ISERROR(VLOOKUP($U$2228,'TAR FIN'!$A$1:$O$120,15,0)),0,VLOOKUP($U$2228,'TAR FIN'!$A$1:$O$120,15,0))</f>
        <v>270.92</v>
      </c>
      <c r="Y2228" s="6"/>
      <c r="Z2228" s="6">
        <f ca="1">('TUSD BE'!$AM$83+'TUSD BF'!$AM$83+'TUSD CVA'!$AM$83)*1</f>
        <v>271.87486773292784</v>
      </c>
      <c r="AA2228" s="6">
        <f>('TE BE'!$AA$47+'TE BF'!$AA$47+'TE CVA'!$AA$47)*1</f>
        <v>242.90567551581066</v>
      </c>
      <c r="AB2228" s="6">
        <f>$K$2228*$V$2228</f>
        <v>0</v>
      </c>
      <c r="AC2228" s="6">
        <f>$M$2228*$W$2228</f>
        <v>804.77213000000006</v>
      </c>
      <c r="AD2228" s="6">
        <f>$O$2228*$X$2228</f>
        <v>882.38644000000011</v>
      </c>
      <c r="AE2228" s="6">
        <f>$K$2228*$Y$2228</f>
        <v>0</v>
      </c>
      <c r="AF2228" s="6">
        <f ca="1">$M$2228*$Z$2228</f>
        <v>885.49644420614595</v>
      </c>
      <c r="AG2228" s="6">
        <f>$O$2228*$AA$2228</f>
        <v>791.14378515499538</v>
      </c>
    </row>
    <row r="2229" spans="1:33" ht="11.25" customHeight="1" x14ac:dyDescent="0.25">
      <c r="A2229" s="4" t="s">
        <v>28</v>
      </c>
      <c r="B2229" s="4" t="s">
        <v>39</v>
      </c>
      <c r="C2229" s="4" t="s">
        <v>23</v>
      </c>
      <c r="D2229" s="4" t="s">
        <v>48</v>
      </c>
      <c r="E2229" s="4" t="s">
        <v>25</v>
      </c>
      <c r="F2229" s="4" t="s">
        <v>25</v>
      </c>
      <c r="G2229" s="4" t="s">
        <v>25</v>
      </c>
      <c r="H2229" s="4" t="s">
        <v>25</v>
      </c>
      <c r="I2229" s="5">
        <v>43831</v>
      </c>
      <c r="J2229" s="6">
        <v>0</v>
      </c>
      <c r="K2229" s="6">
        <v>0</v>
      </c>
      <c r="L2229" s="6">
        <v>109.256</v>
      </c>
      <c r="M2229" s="6">
        <v>109.256</v>
      </c>
      <c r="N2229" s="6">
        <v>109.256</v>
      </c>
      <c r="O2229" s="6">
        <v>109.256</v>
      </c>
      <c r="P2229" s="6">
        <v>6</v>
      </c>
      <c r="Q2229" s="4" t="s">
        <v>26</v>
      </c>
      <c r="R2229" s="4">
        <v>0</v>
      </c>
      <c r="S2229" s="6">
        <v>0</v>
      </c>
      <c r="T2229" s="6">
        <v>73</v>
      </c>
      <c r="U2229" s="6">
        <v>116</v>
      </c>
      <c r="V2229" s="6">
        <f>IF(ISERROR(VLOOKUP($S$2229,'TAR FIN'!$A$1:$O$120,15,0)),0,VLOOKUP($S$2229,'TAR FIN'!$A$1:$O$120,15,0))</f>
        <v>0</v>
      </c>
      <c r="W2229" s="6">
        <f>IF(ISERROR(VLOOKUP($T$2229,'TAR FIN'!$A$1:$O$120,15,0)),0,VLOOKUP($T$2229,'TAR FIN'!$A$1:$O$120,15,0))</f>
        <v>247.09</v>
      </c>
      <c r="X2229" s="6">
        <f>IF(ISERROR(VLOOKUP($U$2229,'TAR FIN'!$A$1:$O$120,15,0)),0,VLOOKUP($U$2229,'TAR FIN'!$A$1:$O$120,15,0))</f>
        <v>270.92</v>
      </c>
      <c r="Y2229" s="6"/>
      <c r="Z2229" s="6">
        <f ca="1">('TUSD BE'!$AM$83+'TUSD BF'!$AM$83+'TUSD CVA'!$AM$83)*1</f>
        <v>271.87486773292784</v>
      </c>
      <c r="AA2229" s="6">
        <f>('TE BE'!$AA$47+'TE BF'!$AA$47+'TE CVA'!$AA$47)*1</f>
        <v>242.90567551581066</v>
      </c>
      <c r="AB2229" s="6">
        <f>$K$2229*$V$2229</f>
        <v>0</v>
      </c>
      <c r="AC2229" s="6">
        <f>$M$2229*$W$2229</f>
        <v>26996.065040000001</v>
      </c>
      <c r="AD2229" s="6">
        <f>$O$2229*$X$2229</f>
        <v>29599.635520000003</v>
      </c>
      <c r="AE2229" s="6">
        <f>$K$2229*$Y$2229</f>
        <v>0</v>
      </c>
      <c r="AF2229" s="6">
        <f ca="1">$M$2229*$Z$2229</f>
        <v>29703.960549028765</v>
      </c>
      <c r="AG2229" s="6">
        <f>$O$2229*$AA$2229</f>
        <v>26538.902484155409</v>
      </c>
    </row>
    <row r="2230" spans="1:33" ht="11.25" customHeight="1" x14ac:dyDescent="0.25">
      <c r="A2230" s="4" t="s">
        <v>21</v>
      </c>
      <c r="B2230" s="4" t="s">
        <v>39</v>
      </c>
      <c r="C2230" s="4" t="s">
        <v>23</v>
      </c>
      <c r="D2230" s="4" t="s">
        <v>48</v>
      </c>
      <c r="E2230" s="4" t="s">
        <v>25</v>
      </c>
      <c r="F2230" s="4" t="s">
        <v>25</v>
      </c>
      <c r="G2230" s="4" t="s">
        <v>25</v>
      </c>
      <c r="H2230" s="4" t="s">
        <v>25</v>
      </c>
      <c r="I2230" s="5">
        <v>43862</v>
      </c>
      <c r="J2230" s="6">
        <v>0</v>
      </c>
      <c r="K2230" s="6">
        <v>0</v>
      </c>
      <c r="L2230" s="6">
        <v>8213.0110000000004</v>
      </c>
      <c r="M2230" s="6">
        <v>8213.0110000000004</v>
      </c>
      <c r="N2230" s="6">
        <v>8213.0110000000004</v>
      </c>
      <c r="O2230" s="6">
        <v>8213.0110000000004</v>
      </c>
      <c r="P2230" s="6">
        <v>5529</v>
      </c>
      <c r="Q2230" s="4" t="s">
        <v>26</v>
      </c>
      <c r="R2230" s="4">
        <v>0</v>
      </c>
      <c r="S2230" s="6">
        <v>0</v>
      </c>
      <c r="T2230" s="6">
        <v>73</v>
      </c>
      <c r="U2230" s="6">
        <v>116</v>
      </c>
      <c r="V2230" s="6">
        <f>IF(ISERROR(VLOOKUP($S$2230,'TAR FIN'!$A$1:$O$120,15,0)),0,VLOOKUP($S$2230,'TAR FIN'!$A$1:$O$120,15,0))</f>
        <v>0</v>
      </c>
      <c r="W2230" s="6">
        <f>IF(ISERROR(VLOOKUP($T$2230,'TAR FIN'!$A$1:$O$120,15,0)),0,VLOOKUP($T$2230,'TAR FIN'!$A$1:$O$120,15,0))</f>
        <v>247.09</v>
      </c>
      <c r="X2230" s="6">
        <f>IF(ISERROR(VLOOKUP($U$2230,'TAR FIN'!$A$1:$O$120,15,0)),0,VLOOKUP($U$2230,'TAR FIN'!$A$1:$O$120,15,0))</f>
        <v>270.92</v>
      </c>
      <c r="Y2230" s="6"/>
      <c r="Z2230" s="6">
        <f ca="1">('TUSD BE'!$AM$83+'TUSD BF'!$AM$83+'TUSD CVA'!$AM$83)*1</f>
        <v>271.87486773292784</v>
      </c>
      <c r="AA2230" s="6">
        <f>('TE BE'!$AA$47+'TE BF'!$AA$47+'TE CVA'!$AA$47)*1</f>
        <v>242.90567551581066</v>
      </c>
      <c r="AB2230" s="6">
        <f>$K$2230*$V$2230</f>
        <v>0</v>
      </c>
      <c r="AC2230" s="6">
        <f>$M$2230*$W$2230</f>
        <v>2029352.8879900002</v>
      </c>
      <c r="AD2230" s="6">
        <f>$O$2230*$X$2230</f>
        <v>2225068.9401200004</v>
      </c>
      <c r="AE2230" s="6">
        <f>$K$2230*$Y$2230</f>
        <v>0</v>
      </c>
      <c r="AF2230" s="6">
        <f ca="1">$M$2230*$Z$2230</f>
        <v>2232911.2793140817</v>
      </c>
      <c r="AG2230" s="6">
        <f>$O$2230*$AA$2230</f>
        <v>1994986.9849737836</v>
      </c>
    </row>
    <row r="2231" spans="1:33" ht="11.25" customHeight="1" x14ac:dyDescent="0.25">
      <c r="A2231" s="4" t="s">
        <v>27</v>
      </c>
      <c r="B2231" s="4" t="s">
        <v>39</v>
      </c>
      <c r="C2231" s="4" t="s">
        <v>23</v>
      </c>
      <c r="D2231" s="4" t="s">
        <v>48</v>
      </c>
      <c r="E2231" s="4" t="s">
        <v>25</v>
      </c>
      <c r="F2231" s="4" t="s">
        <v>25</v>
      </c>
      <c r="G2231" s="4" t="s">
        <v>25</v>
      </c>
      <c r="H2231" s="4" t="s">
        <v>25</v>
      </c>
      <c r="I2231" s="5">
        <v>43862</v>
      </c>
      <c r="J2231" s="6">
        <v>0</v>
      </c>
      <c r="K2231" s="6">
        <v>0</v>
      </c>
      <c r="L2231" s="6">
        <v>19.582000000000001</v>
      </c>
      <c r="M2231" s="6">
        <v>19.582000000000001</v>
      </c>
      <c r="N2231" s="6">
        <v>19.582000000000001</v>
      </c>
      <c r="O2231" s="6">
        <v>19.582000000000001</v>
      </c>
      <c r="P2231" s="6">
        <v>2</v>
      </c>
      <c r="Q2231" s="4" t="s">
        <v>26</v>
      </c>
      <c r="R2231" s="4">
        <v>0</v>
      </c>
      <c r="S2231" s="6">
        <v>0</v>
      </c>
      <c r="T2231" s="6">
        <v>73</v>
      </c>
      <c r="U2231" s="6">
        <v>116</v>
      </c>
      <c r="V2231" s="6">
        <f>IF(ISERROR(VLOOKUP($S$2231,'TAR FIN'!$A$1:$O$120,15,0)),0,VLOOKUP($S$2231,'TAR FIN'!$A$1:$O$120,15,0))</f>
        <v>0</v>
      </c>
      <c r="W2231" s="6">
        <f>IF(ISERROR(VLOOKUP($T$2231,'TAR FIN'!$A$1:$O$120,15,0)),0,VLOOKUP($T$2231,'TAR FIN'!$A$1:$O$120,15,0))</f>
        <v>247.09</v>
      </c>
      <c r="X2231" s="6">
        <f>IF(ISERROR(VLOOKUP($U$2231,'TAR FIN'!$A$1:$O$120,15,0)),0,VLOOKUP($U$2231,'TAR FIN'!$A$1:$O$120,15,0))</f>
        <v>270.92</v>
      </c>
      <c r="Y2231" s="6"/>
      <c r="Z2231" s="6">
        <f ca="1">('TUSD BE'!$AM$83+'TUSD BF'!$AM$83+'TUSD CVA'!$AM$83)*1</f>
        <v>271.87486773292784</v>
      </c>
      <c r="AA2231" s="6">
        <f>('TE BE'!$AA$47+'TE BF'!$AA$47+'TE CVA'!$AA$47)*1</f>
        <v>242.90567551581066</v>
      </c>
      <c r="AB2231" s="6">
        <f>$K$2231*$V$2231</f>
        <v>0</v>
      </c>
      <c r="AC2231" s="6">
        <f>$M$2231*$W$2231</f>
        <v>4838.51638</v>
      </c>
      <c r="AD2231" s="6">
        <f>$O$2231*$X$2231</f>
        <v>5305.1554400000005</v>
      </c>
      <c r="AE2231" s="6">
        <f>$K$2231*$Y$2231</f>
        <v>0</v>
      </c>
      <c r="AF2231" s="6">
        <f ca="1">$M$2231*$Z$2231</f>
        <v>5323.8536599461931</v>
      </c>
      <c r="AG2231" s="6">
        <f>$O$2231*$AA$2231</f>
        <v>4756.5789379506041</v>
      </c>
    </row>
    <row r="2232" spans="1:33" ht="11.25" customHeight="1" x14ac:dyDescent="0.25">
      <c r="A2232" s="4" t="s">
        <v>28</v>
      </c>
      <c r="B2232" s="4" t="s">
        <v>39</v>
      </c>
      <c r="C2232" s="4" t="s">
        <v>23</v>
      </c>
      <c r="D2232" s="4" t="s">
        <v>48</v>
      </c>
      <c r="E2232" s="4" t="s">
        <v>25</v>
      </c>
      <c r="F2232" s="4" t="s">
        <v>25</v>
      </c>
      <c r="G2232" s="4" t="s">
        <v>25</v>
      </c>
      <c r="H2232" s="4" t="s">
        <v>25</v>
      </c>
      <c r="I2232" s="5">
        <v>43862</v>
      </c>
      <c r="J2232" s="6">
        <v>0</v>
      </c>
      <c r="K2232" s="6">
        <v>0</v>
      </c>
      <c r="L2232" s="6">
        <v>137.01900000000001</v>
      </c>
      <c r="M2232" s="6">
        <v>137.01900000000001</v>
      </c>
      <c r="N2232" s="6">
        <v>137.01900000000001</v>
      </c>
      <c r="O2232" s="6">
        <v>137.01900000000001</v>
      </c>
      <c r="P2232" s="6">
        <v>5</v>
      </c>
      <c r="Q2232" s="4" t="s">
        <v>26</v>
      </c>
      <c r="R2232" s="4">
        <v>0</v>
      </c>
      <c r="S2232" s="6">
        <v>0</v>
      </c>
      <c r="T2232" s="6">
        <v>73</v>
      </c>
      <c r="U2232" s="6">
        <v>116</v>
      </c>
      <c r="V2232" s="6">
        <f>IF(ISERROR(VLOOKUP($S$2232,'TAR FIN'!$A$1:$O$120,15,0)),0,VLOOKUP($S$2232,'TAR FIN'!$A$1:$O$120,15,0))</f>
        <v>0</v>
      </c>
      <c r="W2232" s="6">
        <f>IF(ISERROR(VLOOKUP($T$2232,'TAR FIN'!$A$1:$O$120,15,0)),0,VLOOKUP($T$2232,'TAR FIN'!$A$1:$O$120,15,0))</f>
        <v>247.09</v>
      </c>
      <c r="X2232" s="6">
        <f>IF(ISERROR(VLOOKUP($U$2232,'TAR FIN'!$A$1:$O$120,15,0)),0,VLOOKUP($U$2232,'TAR FIN'!$A$1:$O$120,15,0))</f>
        <v>270.92</v>
      </c>
      <c r="Y2232" s="6"/>
      <c r="Z2232" s="6">
        <f ca="1">('TUSD BE'!$AM$83+'TUSD BF'!$AM$83+'TUSD CVA'!$AM$83)*1</f>
        <v>271.87486773292784</v>
      </c>
      <c r="AA2232" s="6">
        <f>('TE BE'!$AA$47+'TE BF'!$AA$47+'TE CVA'!$AA$47)*1</f>
        <v>242.90567551581066</v>
      </c>
      <c r="AB2232" s="6">
        <f>$K$2232*$V$2232</f>
        <v>0</v>
      </c>
      <c r="AC2232" s="6">
        <f>$M$2232*$W$2232</f>
        <v>33856.024710000005</v>
      </c>
      <c r="AD2232" s="6">
        <f>$O$2232*$X$2232</f>
        <v>37121.187480000001</v>
      </c>
      <c r="AE2232" s="6">
        <f>$K$2232*$Y$2232</f>
        <v>0</v>
      </c>
      <c r="AF2232" s="6">
        <f ca="1">$M$2232*$Z$2232</f>
        <v>37252.022501898042</v>
      </c>
      <c r="AG2232" s="6">
        <f>$O$2232*$AA$2232</f>
        <v>33282.692753500858</v>
      </c>
    </row>
    <row r="2233" spans="1:33" ht="11.25" customHeight="1" x14ac:dyDescent="0.25">
      <c r="A2233" s="4" t="s">
        <v>21</v>
      </c>
      <c r="B2233" s="4" t="s">
        <v>39</v>
      </c>
      <c r="C2233" s="4" t="s">
        <v>23</v>
      </c>
      <c r="D2233" s="4" t="s">
        <v>48</v>
      </c>
      <c r="E2233" s="4" t="s">
        <v>25</v>
      </c>
      <c r="F2233" s="4" t="s">
        <v>25</v>
      </c>
      <c r="G2233" s="4" t="s">
        <v>25</v>
      </c>
      <c r="H2233" s="4" t="s">
        <v>25</v>
      </c>
      <c r="I2233" s="5">
        <v>43891</v>
      </c>
      <c r="J2233" s="6">
        <v>0</v>
      </c>
      <c r="K2233" s="6">
        <v>0</v>
      </c>
      <c r="L2233" s="6">
        <v>8489.2900000000009</v>
      </c>
      <c r="M2233" s="6">
        <v>8489.2900000000009</v>
      </c>
      <c r="N2233" s="6">
        <v>8489.2900000000009</v>
      </c>
      <c r="O2233" s="6">
        <v>8489.2900000000009</v>
      </c>
      <c r="P2233" s="6">
        <v>5587</v>
      </c>
      <c r="Q2233" s="4" t="s">
        <v>26</v>
      </c>
      <c r="R2233" s="4">
        <v>0</v>
      </c>
      <c r="S2233" s="6">
        <v>0</v>
      </c>
      <c r="T2233" s="6">
        <v>73</v>
      </c>
      <c r="U2233" s="6">
        <v>116</v>
      </c>
      <c r="V2233" s="6">
        <f>IF(ISERROR(VLOOKUP($S$2233,'TAR FIN'!$A$1:$O$120,15,0)),0,VLOOKUP($S$2233,'TAR FIN'!$A$1:$O$120,15,0))</f>
        <v>0</v>
      </c>
      <c r="W2233" s="6">
        <f>IF(ISERROR(VLOOKUP($T$2233,'TAR FIN'!$A$1:$O$120,15,0)),0,VLOOKUP($T$2233,'TAR FIN'!$A$1:$O$120,15,0))</f>
        <v>247.09</v>
      </c>
      <c r="X2233" s="6">
        <f>IF(ISERROR(VLOOKUP($U$2233,'TAR FIN'!$A$1:$O$120,15,0)),0,VLOOKUP($U$2233,'TAR FIN'!$A$1:$O$120,15,0))</f>
        <v>270.92</v>
      </c>
      <c r="Y2233" s="6"/>
      <c r="Z2233" s="6">
        <f ca="1">('TUSD BE'!$AM$83+'TUSD BF'!$AM$83+'TUSD CVA'!$AM$83)*1</f>
        <v>271.87486773292784</v>
      </c>
      <c r="AA2233" s="6">
        <f>('TE BE'!$AA$47+'TE BF'!$AA$47+'TE CVA'!$AA$47)*1</f>
        <v>242.90567551581066</v>
      </c>
      <c r="AB2233" s="6">
        <f>$K$2233*$V$2233</f>
        <v>0</v>
      </c>
      <c r="AC2233" s="6">
        <f>$M$2233*$W$2233</f>
        <v>2097618.6661</v>
      </c>
      <c r="AD2233" s="6">
        <f>$O$2233*$X$2233</f>
        <v>2299918.4468000005</v>
      </c>
      <c r="AE2233" s="6">
        <f>$K$2233*$Y$2233</f>
        <v>0</v>
      </c>
      <c r="AF2233" s="6">
        <f ca="1">$M$2233*$Z$2233</f>
        <v>2308024.5958964671</v>
      </c>
      <c r="AG2233" s="6">
        <f>$O$2233*$AA$2233</f>
        <v>2062096.7220996164</v>
      </c>
    </row>
    <row r="2234" spans="1:33" ht="11.25" customHeight="1" x14ac:dyDescent="0.25">
      <c r="A2234" s="4" t="s">
        <v>27</v>
      </c>
      <c r="B2234" s="4" t="s">
        <v>39</v>
      </c>
      <c r="C2234" s="4" t="s">
        <v>23</v>
      </c>
      <c r="D2234" s="4" t="s">
        <v>48</v>
      </c>
      <c r="E2234" s="4" t="s">
        <v>25</v>
      </c>
      <c r="F2234" s="4" t="s">
        <v>25</v>
      </c>
      <c r="G2234" s="4" t="s">
        <v>25</v>
      </c>
      <c r="H2234" s="4" t="s">
        <v>25</v>
      </c>
      <c r="I2234" s="5">
        <v>43891</v>
      </c>
      <c r="J2234" s="6">
        <v>0</v>
      </c>
      <c r="K2234" s="6">
        <v>0</v>
      </c>
      <c r="L2234" s="6">
        <v>87.82</v>
      </c>
      <c r="M2234" s="6">
        <v>87.82</v>
      </c>
      <c r="N2234" s="6">
        <v>87.82</v>
      </c>
      <c r="O2234" s="6">
        <v>87.82</v>
      </c>
      <c r="P2234" s="6">
        <v>2</v>
      </c>
      <c r="Q2234" s="4" t="s">
        <v>26</v>
      </c>
      <c r="R2234" s="4">
        <v>0</v>
      </c>
      <c r="S2234" s="6">
        <v>0</v>
      </c>
      <c r="T2234" s="6">
        <v>73</v>
      </c>
      <c r="U2234" s="6">
        <v>116</v>
      </c>
      <c r="V2234" s="6">
        <f>IF(ISERROR(VLOOKUP($S$2234,'TAR FIN'!$A$1:$O$120,15,0)),0,VLOOKUP($S$2234,'TAR FIN'!$A$1:$O$120,15,0))</f>
        <v>0</v>
      </c>
      <c r="W2234" s="6">
        <f>IF(ISERROR(VLOOKUP($T$2234,'TAR FIN'!$A$1:$O$120,15,0)),0,VLOOKUP($T$2234,'TAR FIN'!$A$1:$O$120,15,0))</f>
        <v>247.09</v>
      </c>
      <c r="X2234" s="6">
        <f>IF(ISERROR(VLOOKUP($U$2234,'TAR FIN'!$A$1:$O$120,15,0)),0,VLOOKUP($U$2234,'TAR FIN'!$A$1:$O$120,15,0))</f>
        <v>270.92</v>
      </c>
      <c r="Y2234" s="6"/>
      <c r="Z2234" s="6">
        <f ca="1">('TUSD BE'!$AM$83+'TUSD BF'!$AM$83+'TUSD CVA'!$AM$83)*1</f>
        <v>271.87486773292784</v>
      </c>
      <c r="AA2234" s="6">
        <f>('TE BE'!$AA$47+'TE BF'!$AA$47+'TE CVA'!$AA$47)*1</f>
        <v>242.90567551581066</v>
      </c>
      <c r="AB2234" s="6">
        <f>$K$2234*$V$2234</f>
        <v>0</v>
      </c>
      <c r="AC2234" s="6">
        <f>$M$2234*$W$2234</f>
        <v>21699.443799999997</v>
      </c>
      <c r="AD2234" s="6">
        <f>$O$2234*$X$2234</f>
        <v>23792.1944</v>
      </c>
      <c r="AE2234" s="6">
        <f>$K$2234*$Y$2234</f>
        <v>0</v>
      </c>
      <c r="AF2234" s="6">
        <f ca="1">$M$2234*$Z$2234</f>
        <v>23876.050884305721</v>
      </c>
      <c r="AG2234" s="6">
        <f>$O$2234*$AA$2234</f>
        <v>21331.976423798489</v>
      </c>
    </row>
    <row r="2235" spans="1:33" ht="11.25" customHeight="1" x14ac:dyDescent="0.25">
      <c r="A2235" s="4" t="s">
        <v>28</v>
      </c>
      <c r="B2235" s="4" t="s">
        <v>39</v>
      </c>
      <c r="C2235" s="4" t="s">
        <v>23</v>
      </c>
      <c r="D2235" s="4" t="s">
        <v>48</v>
      </c>
      <c r="E2235" s="4" t="s">
        <v>25</v>
      </c>
      <c r="F2235" s="4" t="s">
        <v>25</v>
      </c>
      <c r="G2235" s="4" t="s">
        <v>25</v>
      </c>
      <c r="H2235" s="4" t="s">
        <v>25</v>
      </c>
      <c r="I2235" s="5">
        <v>43891</v>
      </c>
      <c r="J2235" s="6">
        <v>0</v>
      </c>
      <c r="K2235" s="6">
        <v>0</v>
      </c>
      <c r="L2235" s="6">
        <v>122.855</v>
      </c>
      <c r="M2235" s="6">
        <v>122.855</v>
      </c>
      <c r="N2235" s="6">
        <v>122.855</v>
      </c>
      <c r="O2235" s="6">
        <v>122.855</v>
      </c>
      <c r="P2235" s="6">
        <v>5</v>
      </c>
      <c r="Q2235" s="4" t="s">
        <v>26</v>
      </c>
      <c r="R2235" s="4">
        <v>0</v>
      </c>
      <c r="S2235" s="6">
        <v>0</v>
      </c>
      <c r="T2235" s="6">
        <v>73</v>
      </c>
      <c r="U2235" s="6">
        <v>116</v>
      </c>
      <c r="V2235" s="6">
        <f>IF(ISERROR(VLOOKUP($S$2235,'TAR FIN'!$A$1:$O$120,15,0)),0,VLOOKUP($S$2235,'TAR FIN'!$A$1:$O$120,15,0))</f>
        <v>0</v>
      </c>
      <c r="W2235" s="6">
        <f>IF(ISERROR(VLOOKUP($T$2235,'TAR FIN'!$A$1:$O$120,15,0)),0,VLOOKUP($T$2235,'TAR FIN'!$A$1:$O$120,15,0))</f>
        <v>247.09</v>
      </c>
      <c r="X2235" s="6">
        <f>IF(ISERROR(VLOOKUP($U$2235,'TAR FIN'!$A$1:$O$120,15,0)),0,VLOOKUP($U$2235,'TAR FIN'!$A$1:$O$120,15,0))</f>
        <v>270.92</v>
      </c>
      <c r="Y2235" s="6"/>
      <c r="Z2235" s="6">
        <f ca="1">('TUSD BE'!$AM$83+'TUSD BF'!$AM$83+'TUSD CVA'!$AM$83)*1</f>
        <v>271.87486773292784</v>
      </c>
      <c r="AA2235" s="6">
        <f>('TE BE'!$AA$47+'TE BF'!$AA$47+'TE CVA'!$AA$47)*1</f>
        <v>242.90567551581066</v>
      </c>
      <c r="AB2235" s="6">
        <f>$K$2235*$V$2235</f>
        <v>0</v>
      </c>
      <c r="AC2235" s="6">
        <f>$M$2235*$W$2235</f>
        <v>30356.24195</v>
      </c>
      <c r="AD2235" s="6">
        <f>$O$2235*$X$2235</f>
        <v>33283.876600000003</v>
      </c>
      <c r="AE2235" s="6">
        <f>$K$2235*$Y$2235</f>
        <v>0</v>
      </c>
      <c r="AF2235" s="6">
        <f ca="1">$M$2235*$Z$2235</f>
        <v>33401.186875328851</v>
      </c>
      <c r="AG2235" s="6">
        <f>$O$2235*$AA$2235</f>
        <v>29842.176765494918</v>
      </c>
    </row>
    <row r="2236" spans="1:33" ht="11.25" customHeight="1" x14ac:dyDescent="0.25">
      <c r="A2236" s="4" t="s">
        <v>21</v>
      </c>
      <c r="B2236" s="4" t="s">
        <v>39</v>
      </c>
      <c r="C2236" s="4" t="s">
        <v>23</v>
      </c>
      <c r="D2236" s="4" t="s">
        <v>48</v>
      </c>
      <c r="E2236" s="4" t="s">
        <v>25</v>
      </c>
      <c r="F2236" s="4" t="s">
        <v>25</v>
      </c>
      <c r="G2236" s="4" t="s">
        <v>25</v>
      </c>
      <c r="H2236" s="4" t="s">
        <v>25</v>
      </c>
      <c r="I2236" s="5">
        <v>43922</v>
      </c>
      <c r="J2236" s="6">
        <v>0</v>
      </c>
      <c r="K2236" s="6">
        <v>0</v>
      </c>
      <c r="L2236" s="6">
        <v>7367.6350000000002</v>
      </c>
      <c r="M2236" s="6">
        <v>7367.6350000000002</v>
      </c>
      <c r="N2236" s="6">
        <v>7367.6350000000002</v>
      </c>
      <c r="O2236" s="6">
        <v>7367.6350000000002</v>
      </c>
      <c r="P2236" s="6">
        <v>5567</v>
      </c>
      <c r="Q2236" s="4" t="s">
        <v>26</v>
      </c>
      <c r="R2236" s="4">
        <v>0</v>
      </c>
      <c r="S2236" s="6">
        <v>0</v>
      </c>
      <c r="T2236" s="6">
        <v>73</v>
      </c>
      <c r="U2236" s="6">
        <v>116</v>
      </c>
      <c r="V2236" s="6">
        <f>IF(ISERROR(VLOOKUP($S$2236,'TAR FIN'!$A$1:$O$120,15,0)),0,VLOOKUP($S$2236,'TAR FIN'!$A$1:$O$120,15,0))</f>
        <v>0</v>
      </c>
      <c r="W2236" s="6">
        <f>IF(ISERROR(VLOOKUP($T$2236,'TAR FIN'!$A$1:$O$120,15,0)),0,VLOOKUP($T$2236,'TAR FIN'!$A$1:$O$120,15,0))</f>
        <v>247.09</v>
      </c>
      <c r="X2236" s="6">
        <f>IF(ISERROR(VLOOKUP($U$2236,'TAR FIN'!$A$1:$O$120,15,0)),0,VLOOKUP($U$2236,'TAR FIN'!$A$1:$O$120,15,0))</f>
        <v>270.92</v>
      </c>
      <c r="Y2236" s="6"/>
      <c r="Z2236" s="6">
        <f ca="1">('TUSD BE'!$AM$83+'TUSD BF'!$AM$83+'TUSD CVA'!$AM$83)*1</f>
        <v>271.87486773292784</v>
      </c>
      <c r="AA2236" s="6">
        <f>('TE BE'!$AA$47+'TE BF'!$AA$47+'TE CVA'!$AA$47)*1</f>
        <v>242.90567551581066</v>
      </c>
      <c r="AB2236" s="6">
        <f>$K$2236*$V$2236</f>
        <v>0</v>
      </c>
      <c r="AC2236" s="6">
        <f>$M$2236*$W$2236</f>
        <v>1820468.93215</v>
      </c>
      <c r="AD2236" s="6">
        <f>$O$2236*$X$2236</f>
        <v>1996039.6742000002</v>
      </c>
      <c r="AE2236" s="6">
        <f>$K$2236*$Y$2236</f>
        <v>0</v>
      </c>
      <c r="AF2236" s="6">
        <f ca="1">$M$2236*$Z$2236</f>
        <v>2003074.7911294899</v>
      </c>
      <c r="AG2236" s="6">
        <f>$O$2236*$AA$2236</f>
        <v>1789640.3566289297</v>
      </c>
    </row>
    <row r="2237" spans="1:33" ht="11.25" customHeight="1" x14ac:dyDescent="0.25">
      <c r="A2237" s="4" t="s">
        <v>27</v>
      </c>
      <c r="B2237" s="4" t="s">
        <v>39</v>
      </c>
      <c r="C2237" s="4" t="s">
        <v>23</v>
      </c>
      <c r="D2237" s="4" t="s">
        <v>48</v>
      </c>
      <c r="E2237" s="4" t="s">
        <v>25</v>
      </c>
      <c r="F2237" s="4" t="s">
        <v>25</v>
      </c>
      <c r="G2237" s="4" t="s">
        <v>25</v>
      </c>
      <c r="H2237" s="4" t="s">
        <v>25</v>
      </c>
      <c r="I2237" s="5">
        <v>43922</v>
      </c>
      <c r="J2237" s="6">
        <v>0</v>
      </c>
      <c r="K2237" s="6">
        <v>0</v>
      </c>
      <c r="L2237" s="6">
        <v>38.052999999999997</v>
      </c>
      <c r="M2237" s="6">
        <v>38.052999999999997</v>
      </c>
      <c r="N2237" s="6">
        <v>38.052999999999997</v>
      </c>
      <c r="O2237" s="6">
        <v>38.052999999999997</v>
      </c>
      <c r="P2237" s="6">
        <v>15</v>
      </c>
      <c r="Q2237" s="4" t="s">
        <v>26</v>
      </c>
      <c r="R2237" s="4">
        <v>0</v>
      </c>
      <c r="S2237" s="6">
        <v>0</v>
      </c>
      <c r="T2237" s="6">
        <v>73</v>
      </c>
      <c r="U2237" s="6">
        <v>116</v>
      </c>
      <c r="V2237" s="6">
        <f>IF(ISERROR(VLOOKUP($S$2237,'TAR FIN'!$A$1:$O$120,15,0)),0,VLOOKUP($S$2237,'TAR FIN'!$A$1:$O$120,15,0))</f>
        <v>0</v>
      </c>
      <c r="W2237" s="6">
        <f>IF(ISERROR(VLOOKUP($T$2237,'TAR FIN'!$A$1:$O$120,15,0)),0,VLOOKUP($T$2237,'TAR FIN'!$A$1:$O$120,15,0))</f>
        <v>247.09</v>
      </c>
      <c r="X2237" s="6">
        <f>IF(ISERROR(VLOOKUP($U$2237,'TAR FIN'!$A$1:$O$120,15,0)),0,VLOOKUP($U$2237,'TAR FIN'!$A$1:$O$120,15,0))</f>
        <v>270.92</v>
      </c>
      <c r="Y2237" s="6"/>
      <c r="Z2237" s="6">
        <f ca="1">('TUSD BE'!$AM$83+'TUSD BF'!$AM$83+'TUSD CVA'!$AM$83)*1</f>
        <v>271.87486773292784</v>
      </c>
      <c r="AA2237" s="6">
        <f>('TE BE'!$AA$47+'TE BF'!$AA$47+'TE CVA'!$AA$47)*1</f>
        <v>242.90567551581066</v>
      </c>
      <c r="AB2237" s="6">
        <f>$K$2237*$V$2237</f>
        <v>0</v>
      </c>
      <c r="AC2237" s="6">
        <f>$M$2237*$W$2237</f>
        <v>9402.51577</v>
      </c>
      <c r="AD2237" s="6">
        <f>$O$2237*$X$2237</f>
        <v>10309.31876</v>
      </c>
      <c r="AE2237" s="6">
        <f>$K$2237*$Y$2237</f>
        <v>0</v>
      </c>
      <c r="AF2237" s="6">
        <f ca="1">$M$2237*$Z$2237</f>
        <v>10345.654341841102</v>
      </c>
      <c r="AG2237" s="6">
        <f>$O$2237*$AA$2237</f>
        <v>9243.2896704031427</v>
      </c>
    </row>
    <row r="2238" spans="1:33" ht="11.25" customHeight="1" x14ac:dyDescent="0.25">
      <c r="A2238" s="4" t="s">
        <v>28</v>
      </c>
      <c r="B2238" s="4" t="s">
        <v>39</v>
      </c>
      <c r="C2238" s="4" t="s">
        <v>23</v>
      </c>
      <c r="D2238" s="4" t="s">
        <v>48</v>
      </c>
      <c r="E2238" s="4" t="s">
        <v>25</v>
      </c>
      <c r="F2238" s="4" t="s">
        <v>25</v>
      </c>
      <c r="G2238" s="4" t="s">
        <v>25</v>
      </c>
      <c r="H2238" s="4" t="s">
        <v>25</v>
      </c>
      <c r="I2238" s="5">
        <v>43922</v>
      </c>
      <c r="J2238" s="6">
        <v>0</v>
      </c>
      <c r="K2238" s="6">
        <v>0</v>
      </c>
      <c r="L2238" s="6">
        <v>29.655999999999999</v>
      </c>
      <c r="M2238" s="6">
        <v>29.655999999999999</v>
      </c>
      <c r="N2238" s="6">
        <v>29.655999999999999</v>
      </c>
      <c r="O2238" s="6">
        <v>29.655999999999999</v>
      </c>
      <c r="P2238" s="6">
        <v>3</v>
      </c>
      <c r="Q2238" s="4" t="s">
        <v>26</v>
      </c>
      <c r="R2238" s="4">
        <v>0</v>
      </c>
      <c r="S2238" s="6">
        <v>0</v>
      </c>
      <c r="T2238" s="6">
        <v>73</v>
      </c>
      <c r="U2238" s="6">
        <v>116</v>
      </c>
      <c r="V2238" s="6">
        <f>IF(ISERROR(VLOOKUP($S$2238,'TAR FIN'!$A$1:$O$120,15,0)),0,VLOOKUP($S$2238,'TAR FIN'!$A$1:$O$120,15,0))</f>
        <v>0</v>
      </c>
      <c r="W2238" s="6">
        <f>IF(ISERROR(VLOOKUP($T$2238,'TAR FIN'!$A$1:$O$120,15,0)),0,VLOOKUP($T$2238,'TAR FIN'!$A$1:$O$120,15,0))</f>
        <v>247.09</v>
      </c>
      <c r="X2238" s="6">
        <f>IF(ISERROR(VLOOKUP($U$2238,'TAR FIN'!$A$1:$O$120,15,0)),0,VLOOKUP($U$2238,'TAR FIN'!$A$1:$O$120,15,0))</f>
        <v>270.92</v>
      </c>
      <c r="Y2238" s="6"/>
      <c r="Z2238" s="6">
        <f ca="1">('TUSD BE'!$AM$83+'TUSD BF'!$AM$83+'TUSD CVA'!$AM$83)*1</f>
        <v>271.87486773292784</v>
      </c>
      <c r="AA2238" s="6">
        <f>('TE BE'!$AA$47+'TE BF'!$AA$47+'TE CVA'!$AA$47)*1</f>
        <v>242.90567551581066</v>
      </c>
      <c r="AB2238" s="6">
        <f>$K$2238*$V$2238</f>
        <v>0</v>
      </c>
      <c r="AC2238" s="6">
        <f>$M$2238*$W$2238</f>
        <v>7327.7010399999999</v>
      </c>
      <c r="AD2238" s="6">
        <f>$O$2238*$X$2238</f>
        <v>8034.4035199999998</v>
      </c>
      <c r="AE2238" s="6">
        <f>$K$2238*$Y$2238</f>
        <v>0</v>
      </c>
      <c r="AF2238" s="6">
        <f ca="1">$M$2238*$Z$2238</f>
        <v>8062.7210774877076</v>
      </c>
      <c r="AG2238" s="6">
        <f>$O$2238*$AA$2238</f>
        <v>7203.6107130968803</v>
      </c>
    </row>
    <row r="2239" spans="1:33" ht="11.25" customHeight="1" x14ac:dyDescent="0.25">
      <c r="A2239" s="4" t="s">
        <v>28</v>
      </c>
      <c r="B2239" s="4" t="s">
        <v>39</v>
      </c>
      <c r="C2239" s="4" t="s">
        <v>23</v>
      </c>
      <c r="D2239" s="4" t="s">
        <v>48</v>
      </c>
      <c r="E2239" s="4" t="s">
        <v>25</v>
      </c>
      <c r="F2239" s="4" t="s">
        <v>25</v>
      </c>
      <c r="G2239" s="4" t="s">
        <v>25</v>
      </c>
      <c r="H2239" s="4" t="s">
        <v>25</v>
      </c>
      <c r="I2239" s="5">
        <v>43922</v>
      </c>
      <c r="J2239" s="6">
        <v>0</v>
      </c>
      <c r="K2239" s="6">
        <v>0</v>
      </c>
      <c r="L2239" s="6">
        <v>148</v>
      </c>
      <c r="M2239" s="6">
        <v>148</v>
      </c>
      <c r="N2239" s="6">
        <v>148</v>
      </c>
      <c r="O2239" s="6">
        <v>148</v>
      </c>
      <c r="P2239" s="6">
        <v>1</v>
      </c>
      <c r="Q2239" s="4" t="s">
        <v>26</v>
      </c>
      <c r="R2239" s="4">
        <v>0</v>
      </c>
      <c r="S2239" s="6">
        <v>0</v>
      </c>
      <c r="T2239" s="6">
        <v>73</v>
      </c>
      <c r="U2239" s="6">
        <v>116</v>
      </c>
      <c r="V2239" s="6">
        <f>IF(ISERROR(VLOOKUP($S$2239,'TAR FIN'!$A$1:$O$120,15,0)),0,VLOOKUP($S$2239,'TAR FIN'!$A$1:$O$120,15,0))</f>
        <v>0</v>
      </c>
      <c r="W2239" s="6">
        <f>IF(ISERROR(VLOOKUP($T$2239,'TAR FIN'!$A$1:$O$120,15,0)),0,VLOOKUP($T$2239,'TAR FIN'!$A$1:$O$120,15,0))</f>
        <v>247.09</v>
      </c>
      <c r="X2239" s="6">
        <f>IF(ISERROR(VLOOKUP($U$2239,'TAR FIN'!$A$1:$O$120,15,0)),0,VLOOKUP($U$2239,'TAR FIN'!$A$1:$O$120,15,0))</f>
        <v>270.92</v>
      </c>
      <c r="Y2239" s="6"/>
      <c r="Z2239" s="6">
        <f ca="1">('TUSD BE'!$AM$83+'TUSD BF'!$AM$83+'TUSD CVA'!$AM$83)*1</f>
        <v>271.87486773292784</v>
      </c>
      <c r="AA2239" s="6">
        <f>('TE BE'!$AA$47+'TE BF'!$AA$47+'TE CVA'!$AA$47)*1</f>
        <v>242.90567551581066</v>
      </c>
      <c r="AB2239" s="6">
        <f>$K$2239*$V$2239</f>
        <v>0</v>
      </c>
      <c r="AC2239" s="6">
        <f>$M$2239*$W$2239</f>
        <v>36569.32</v>
      </c>
      <c r="AD2239" s="6">
        <f>$O$2239*$X$2239</f>
        <v>40096.160000000003</v>
      </c>
      <c r="AE2239" s="6">
        <f>$K$2239*$Y$2239</f>
        <v>0</v>
      </c>
      <c r="AF2239" s="6">
        <f ca="1">$M$2239*$Z$2239</f>
        <v>40237.480424473317</v>
      </c>
      <c r="AG2239" s="6">
        <f>$O$2239*$AA$2239</f>
        <v>35950.039976339976</v>
      </c>
    </row>
    <row r="2240" spans="1:33" ht="11.25" customHeight="1" x14ac:dyDescent="0.25">
      <c r="A2240" s="4" t="s">
        <v>21</v>
      </c>
      <c r="B2240" s="4" t="s">
        <v>39</v>
      </c>
      <c r="C2240" s="4" t="s">
        <v>23</v>
      </c>
      <c r="D2240" s="4" t="s">
        <v>48</v>
      </c>
      <c r="E2240" s="4" t="s">
        <v>25</v>
      </c>
      <c r="F2240" s="4" t="s">
        <v>25</v>
      </c>
      <c r="G2240" s="4" t="s">
        <v>25</v>
      </c>
      <c r="H2240" s="4" t="s">
        <v>25</v>
      </c>
      <c r="I2240" s="5">
        <v>43952</v>
      </c>
      <c r="J2240" s="6">
        <v>0</v>
      </c>
      <c r="K2240" s="6">
        <v>0</v>
      </c>
      <c r="L2240" s="6">
        <v>6245.4560000000001</v>
      </c>
      <c r="M2240" s="6">
        <v>6245.4560000000001</v>
      </c>
      <c r="N2240" s="6">
        <v>6245.4560000000001</v>
      </c>
      <c r="O2240" s="6">
        <v>6245.4560000000001</v>
      </c>
      <c r="P2240" s="6">
        <v>5573</v>
      </c>
      <c r="Q2240" s="4" t="s">
        <v>26</v>
      </c>
      <c r="R2240" s="4">
        <v>0</v>
      </c>
      <c r="S2240" s="6">
        <v>0</v>
      </c>
      <c r="T2240" s="6">
        <v>73</v>
      </c>
      <c r="U2240" s="6">
        <v>116</v>
      </c>
      <c r="V2240" s="6">
        <f>IF(ISERROR(VLOOKUP($S$2240,'TAR FIN'!$A$1:$O$120,15,0)),0,VLOOKUP($S$2240,'TAR FIN'!$A$1:$O$120,15,0))</f>
        <v>0</v>
      </c>
      <c r="W2240" s="6">
        <f>IF(ISERROR(VLOOKUP($T$2240,'TAR FIN'!$A$1:$O$120,15,0)),0,VLOOKUP($T$2240,'TAR FIN'!$A$1:$O$120,15,0))</f>
        <v>247.09</v>
      </c>
      <c r="X2240" s="6">
        <f>IF(ISERROR(VLOOKUP($U$2240,'TAR FIN'!$A$1:$O$120,15,0)),0,VLOOKUP($U$2240,'TAR FIN'!$A$1:$O$120,15,0))</f>
        <v>270.92</v>
      </c>
      <c r="Y2240" s="6"/>
      <c r="Z2240" s="6">
        <f ca="1">('TUSD BE'!$AM$83+'TUSD BF'!$AM$83+'TUSD CVA'!$AM$83)*1</f>
        <v>271.87486773292784</v>
      </c>
      <c r="AA2240" s="6">
        <f>('TE BE'!$AA$47+'TE BF'!$AA$47+'TE CVA'!$AA$47)*1</f>
        <v>242.90567551581066</v>
      </c>
      <c r="AB2240" s="6">
        <f>$K$2240*$V$2240</f>
        <v>0</v>
      </c>
      <c r="AC2240" s="6">
        <f>$M$2240*$W$2240</f>
        <v>1543189.7230400001</v>
      </c>
      <c r="AD2240" s="6">
        <f>$O$2240*$X$2240</f>
        <v>1692018.9395200002</v>
      </c>
      <c r="AE2240" s="6">
        <f>$K$2240*$Y$2240</f>
        <v>0</v>
      </c>
      <c r="AF2240" s="6">
        <f ca="1">$M$2240*$Z$2240</f>
        <v>1697982.5239318206</v>
      </c>
      <c r="AG2240" s="6">
        <f>$O$2240*$AA$2240</f>
        <v>1517056.7085842728</v>
      </c>
    </row>
    <row r="2241" spans="1:33" ht="11.25" customHeight="1" x14ac:dyDescent="0.25">
      <c r="A2241" s="4" t="s">
        <v>27</v>
      </c>
      <c r="B2241" s="4" t="s">
        <v>39</v>
      </c>
      <c r="C2241" s="4" t="s">
        <v>23</v>
      </c>
      <c r="D2241" s="4" t="s">
        <v>48</v>
      </c>
      <c r="E2241" s="4" t="s">
        <v>25</v>
      </c>
      <c r="F2241" s="4" t="s">
        <v>25</v>
      </c>
      <c r="G2241" s="4" t="s">
        <v>25</v>
      </c>
      <c r="H2241" s="4" t="s">
        <v>25</v>
      </c>
      <c r="I2241" s="5">
        <v>43952</v>
      </c>
      <c r="J2241" s="6">
        <v>0</v>
      </c>
      <c r="K2241" s="6">
        <v>0</v>
      </c>
      <c r="L2241" s="6">
        <v>10.532</v>
      </c>
      <c r="M2241" s="6">
        <v>10.532</v>
      </c>
      <c r="N2241" s="6">
        <v>10.532</v>
      </c>
      <c r="O2241" s="6">
        <v>10.532</v>
      </c>
      <c r="P2241" s="6">
        <v>3</v>
      </c>
      <c r="Q2241" s="4" t="s">
        <v>26</v>
      </c>
      <c r="R2241" s="4">
        <v>0</v>
      </c>
      <c r="S2241" s="6">
        <v>0</v>
      </c>
      <c r="T2241" s="6">
        <v>73</v>
      </c>
      <c r="U2241" s="6">
        <v>116</v>
      </c>
      <c r="V2241" s="6">
        <f>IF(ISERROR(VLOOKUP($S$2241,'TAR FIN'!$A$1:$O$120,15,0)),0,VLOOKUP($S$2241,'TAR FIN'!$A$1:$O$120,15,0))</f>
        <v>0</v>
      </c>
      <c r="W2241" s="6">
        <f>IF(ISERROR(VLOOKUP($T$2241,'TAR FIN'!$A$1:$O$120,15,0)),0,VLOOKUP($T$2241,'TAR FIN'!$A$1:$O$120,15,0))</f>
        <v>247.09</v>
      </c>
      <c r="X2241" s="6">
        <f>IF(ISERROR(VLOOKUP($U$2241,'TAR FIN'!$A$1:$O$120,15,0)),0,VLOOKUP($U$2241,'TAR FIN'!$A$1:$O$120,15,0))</f>
        <v>270.92</v>
      </c>
      <c r="Y2241" s="6"/>
      <c r="Z2241" s="6">
        <f ca="1">('TUSD BE'!$AM$83+'TUSD BF'!$AM$83+'TUSD CVA'!$AM$83)*1</f>
        <v>271.87486773292784</v>
      </c>
      <c r="AA2241" s="6">
        <f>('TE BE'!$AA$47+'TE BF'!$AA$47+'TE CVA'!$AA$47)*1</f>
        <v>242.90567551581066</v>
      </c>
      <c r="AB2241" s="6">
        <f>$K$2241*$V$2241</f>
        <v>0</v>
      </c>
      <c r="AC2241" s="6">
        <f>$M$2241*$W$2241</f>
        <v>2602.3518800000002</v>
      </c>
      <c r="AD2241" s="6">
        <f>$O$2241*$X$2241</f>
        <v>2853.32944</v>
      </c>
      <c r="AE2241" s="6">
        <f>$K$2241*$Y$2241</f>
        <v>0</v>
      </c>
      <c r="AF2241" s="6">
        <f ca="1">$M$2241*$Z$2241</f>
        <v>2863.3861069631962</v>
      </c>
      <c r="AG2241" s="6">
        <f>$O$2241*$AA$2241</f>
        <v>2558.2825745325176</v>
      </c>
    </row>
    <row r="2242" spans="1:33" ht="11.25" customHeight="1" x14ac:dyDescent="0.25">
      <c r="A2242" s="4" t="s">
        <v>28</v>
      </c>
      <c r="B2242" s="4" t="s">
        <v>39</v>
      </c>
      <c r="C2242" s="4" t="s">
        <v>23</v>
      </c>
      <c r="D2242" s="4" t="s">
        <v>48</v>
      </c>
      <c r="E2242" s="4" t="s">
        <v>25</v>
      </c>
      <c r="F2242" s="4" t="s">
        <v>25</v>
      </c>
      <c r="G2242" s="4" t="s">
        <v>25</v>
      </c>
      <c r="H2242" s="4" t="s">
        <v>25</v>
      </c>
      <c r="I2242" s="5">
        <v>43952</v>
      </c>
      <c r="J2242" s="6">
        <v>0</v>
      </c>
      <c r="K2242" s="6">
        <v>0</v>
      </c>
      <c r="L2242" s="6">
        <v>74.325999999999993</v>
      </c>
      <c r="M2242" s="6">
        <v>74.325999999999993</v>
      </c>
      <c r="N2242" s="6">
        <v>74.325999999999993</v>
      </c>
      <c r="O2242" s="6">
        <v>74.325999999999993</v>
      </c>
      <c r="P2242" s="6">
        <v>4</v>
      </c>
      <c r="Q2242" s="4" t="s">
        <v>26</v>
      </c>
      <c r="R2242" s="4">
        <v>0</v>
      </c>
      <c r="S2242" s="6">
        <v>0</v>
      </c>
      <c r="T2242" s="6">
        <v>73</v>
      </c>
      <c r="U2242" s="6">
        <v>116</v>
      </c>
      <c r="V2242" s="6">
        <f>IF(ISERROR(VLOOKUP($S$2242,'TAR FIN'!$A$1:$O$120,15,0)),0,VLOOKUP($S$2242,'TAR FIN'!$A$1:$O$120,15,0))</f>
        <v>0</v>
      </c>
      <c r="W2242" s="6">
        <f>IF(ISERROR(VLOOKUP($T$2242,'TAR FIN'!$A$1:$O$120,15,0)),0,VLOOKUP($T$2242,'TAR FIN'!$A$1:$O$120,15,0))</f>
        <v>247.09</v>
      </c>
      <c r="X2242" s="6">
        <f>IF(ISERROR(VLOOKUP($U$2242,'TAR FIN'!$A$1:$O$120,15,0)),0,VLOOKUP($U$2242,'TAR FIN'!$A$1:$O$120,15,0))</f>
        <v>270.92</v>
      </c>
      <c r="Y2242" s="6"/>
      <c r="Z2242" s="6">
        <f ca="1">('TUSD BE'!$AM$83+'TUSD BF'!$AM$83+'TUSD CVA'!$AM$83)*1</f>
        <v>271.87486773292784</v>
      </c>
      <c r="AA2242" s="6">
        <f>('TE BE'!$AA$47+'TE BF'!$AA$47+'TE CVA'!$AA$47)*1</f>
        <v>242.90567551581066</v>
      </c>
      <c r="AB2242" s="6">
        <f>$K$2242*$V$2242</f>
        <v>0</v>
      </c>
      <c r="AC2242" s="6">
        <f>$M$2242*$W$2242</f>
        <v>18365.211339999998</v>
      </c>
      <c r="AD2242" s="6">
        <f>$O$2242*$X$2242</f>
        <v>20136.39992</v>
      </c>
      <c r="AE2242" s="6">
        <f>$K$2242*$Y$2242</f>
        <v>0</v>
      </c>
      <c r="AF2242" s="6">
        <f ca="1">$M$2242*$Z$2242</f>
        <v>20207.371419117593</v>
      </c>
      <c r="AG2242" s="6">
        <f>$O$2242*$AA$2242</f>
        <v>18054.207238388142</v>
      </c>
    </row>
    <row r="2243" spans="1:33" ht="11.25" customHeight="1" x14ac:dyDescent="0.25">
      <c r="A2243" s="4" t="s">
        <v>21</v>
      </c>
      <c r="B2243" s="4" t="s">
        <v>39</v>
      </c>
      <c r="C2243" s="4" t="s">
        <v>23</v>
      </c>
      <c r="D2243" s="4" t="s">
        <v>48</v>
      </c>
      <c r="E2243" s="4" t="s">
        <v>25</v>
      </c>
      <c r="F2243" s="4" t="s">
        <v>25</v>
      </c>
      <c r="G2243" s="4" t="s">
        <v>25</v>
      </c>
      <c r="H2243" s="4" t="s">
        <v>25</v>
      </c>
      <c r="I2243" s="5">
        <v>43983</v>
      </c>
      <c r="J2243" s="6">
        <v>0</v>
      </c>
      <c r="K2243" s="6">
        <v>0</v>
      </c>
      <c r="L2243" s="6">
        <v>5249.43</v>
      </c>
      <c r="M2243" s="6">
        <v>5249.43</v>
      </c>
      <c r="N2243" s="6">
        <v>5249.43</v>
      </c>
      <c r="O2243" s="6">
        <v>5249.43</v>
      </c>
      <c r="P2243" s="6">
        <v>5554</v>
      </c>
      <c r="Q2243" s="4" t="s">
        <v>26</v>
      </c>
      <c r="R2243" s="4">
        <v>0</v>
      </c>
      <c r="S2243" s="6">
        <v>0</v>
      </c>
      <c r="T2243" s="6">
        <v>73</v>
      </c>
      <c r="U2243" s="6">
        <v>116</v>
      </c>
      <c r="V2243" s="6">
        <f>IF(ISERROR(VLOOKUP($S$2243,'TAR FIN'!$A$1:$O$120,15,0)),0,VLOOKUP($S$2243,'TAR FIN'!$A$1:$O$120,15,0))</f>
        <v>0</v>
      </c>
      <c r="W2243" s="6">
        <f>IF(ISERROR(VLOOKUP($T$2243,'TAR FIN'!$A$1:$O$120,15,0)),0,VLOOKUP($T$2243,'TAR FIN'!$A$1:$O$120,15,0))</f>
        <v>247.09</v>
      </c>
      <c r="X2243" s="6">
        <f>IF(ISERROR(VLOOKUP($U$2243,'TAR FIN'!$A$1:$O$120,15,0)),0,VLOOKUP($U$2243,'TAR FIN'!$A$1:$O$120,15,0))</f>
        <v>270.92</v>
      </c>
      <c r="Y2243" s="6"/>
      <c r="Z2243" s="6">
        <f ca="1">('TUSD BE'!$AM$83+'TUSD BF'!$AM$83+'TUSD CVA'!$AM$83)*1</f>
        <v>271.87486773292784</v>
      </c>
      <c r="AA2243" s="6">
        <f>('TE BE'!$AA$47+'TE BF'!$AA$47+'TE CVA'!$AA$47)*1</f>
        <v>242.90567551581066</v>
      </c>
      <c r="AB2243" s="6">
        <f>$K$2243*$V$2243</f>
        <v>0</v>
      </c>
      <c r="AC2243" s="6">
        <f>$M$2243*$W$2243</f>
        <v>1297081.6587</v>
      </c>
      <c r="AD2243" s="6">
        <f>$O$2243*$X$2243</f>
        <v>1422175.5756000001</v>
      </c>
      <c r="AE2243" s="6">
        <f>$K$2243*$Y$2243</f>
        <v>0</v>
      </c>
      <c r="AF2243" s="6">
        <f ca="1">$M$2243*$Z$2243</f>
        <v>1427188.0869232635</v>
      </c>
      <c r="AG2243" s="6">
        <f>$O$2243*$AA$2243</f>
        <v>1275116.340222962</v>
      </c>
    </row>
    <row r="2244" spans="1:33" ht="11.25" customHeight="1" x14ac:dyDescent="0.25">
      <c r="A2244" s="4" t="s">
        <v>27</v>
      </c>
      <c r="B2244" s="4" t="s">
        <v>39</v>
      </c>
      <c r="C2244" s="4" t="s">
        <v>23</v>
      </c>
      <c r="D2244" s="4" t="s">
        <v>48</v>
      </c>
      <c r="E2244" s="4" t="s">
        <v>25</v>
      </c>
      <c r="F2244" s="4" t="s">
        <v>25</v>
      </c>
      <c r="G2244" s="4" t="s">
        <v>25</v>
      </c>
      <c r="H2244" s="4" t="s">
        <v>25</v>
      </c>
      <c r="I2244" s="5">
        <v>43983</v>
      </c>
      <c r="J2244" s="6">
        <v>0</v>
      </c>
      <c r="K2244" s="6">
        <v>0</v>
      </c>
      <c r="L2244" s="6">
        <v>16.440000000000001</v>
      </c>
      <c r="M2244" s="6">
        <v>16.440000000000001</v>
      </c>
      <c r="N2244" s="6">
        <v>16.440000000000001</v>
      </c>
      <c r="O2244" s="6">
        <v>16.440000000000001</v>
      </c>
      <c r="P2244" s="6">
        <v>10</v>
      </c>
      <c r="Q2244" s="4" t="s">
        <v>26</v>
      </c>
      <c r="R2244" s="4">
        <v>0</v>
      </c>
      <c r="S2244" s="6">
        <v>0</v>
      </c>
      <c r="T2244" s="6">
        <v>73</v>
      </c>
      <c r="U2244" s="6">
        <v>116</v>
      </c>
      <c r="V2244" s="6">
        <f>IF(ISERROR(VLOOKUP($S$2244,'TAR FIN'!$A$1:$O$120,15,0)),0,VLOOKUP($S$2244,'TAR FIN'!$A$1:$O$120,15,0))</f>
        <v>0</v>
      </c>
      <c r="W2244" s="6">
        <f>IF(ISERROR(VLOOKUP($T$2244,'TAR FIN'!$A$1:$O$120,15,0)),0,VLOOKUP($T$2244,'TAR FIN'!$A$1:$O$120,15,0))</f>
        <v>247.09</v>
      </c>
      <c r="X2244" s="6">
        <f>IF(ISERROR(VLOOKUP($U$2244,'TAR FIN'!$A$1:$O$120,15,0)),0,VLOOKUP($U$2244,'TAR FIN'!$A$1:$O$120,15,0))</f>
        <v>270.92</v>
      </c>
      <c r="Y2244" s="6"/>
      <c r="Z2244" s="6">
        <f ca="1">('TUSD BE'!$AM$83+'TUSD BF'!$AM$83+'TUSD CVA'!$AM$83)*1</f>
        <v>271.87486773292784</v>
      </c>
      <c r="AA2244" s="6">
        <f>('TE BE'!$AA$47+'TE BF'!$AA$47+'TE CVA'!$AA$47)*1</f>
        <v>242.90567551581066</v>
      </c>
      <c r="AB2244" s="6">
        <f>$K$2244*$V$2244</f>
        <v>0</v>
      </c>
      <c r="AC2244" s="6">
        <f>$M$2244*$W$2244</f>
        <v>4062.1596000000004</v>
      </c>
      <c r="AD2244" s="6">
        <f>$O$2244*$X$2244</f>
        <v>4453.9248000000007</v>
      </c>
      <c r="AE2244" s="6">
        <f>$K$2244*$Y$2244</f>
        <v>0</v>
      </c>
      <c r="AF2244" s="6">
        <f ca="1">$M$2244*$Z$2244</f>
        <v>4469.6228255293345</v>
      </c>
      <c r="AG2244" s="6">
        <f>$O$2244*$AA$2244</f>
        <v>3993.3693054799273</v>
      </c>
    </row>
    <row r="2245" spans="1:33" ht="11.25" customHeight="1" x14ac:dyDescent="0.25">
      <c r="A2245" s="4" t="s">
        <v>28</v>
      </c>
      <c r="B2245" s="4" t="s">
        <v>39</v>
      </c>
      <c r="C2245" s="4" t="s">
        <v>23</v>
      </c>
      <c r="D2245" s="4" t="s">
        <v>48</v>
      </c>
      <c r="E2245" s="4" t="s">
        <v>25</v>
      </c>
      <c r="F2245" s="4" t="s">
        <v>25</v>
      </c>
      <c r="G2245" s="4" t="s">
        <v>25</v>
      </c>
      <c r="H2245" s="4" t="s">
        <v>25</v>
      </c>
      <c r="I2245" s="5">
        <v>43983</v>
      </c>
      <c r="J2245" s="6">
        <v>0</v>
      </c>
      <c r="K2245" s="6">
        <v>0</v>
      </c>
      <c r="L2245" s="6">
        <v>70.025000000000006</v>
      </c>
      <c r="M2245" s="6">
        <v>70.025000000000006</v>
      </c>
      <c r="N2245" s="6">
        <v>70.025000000000006</v>
      </c>
      <c r="O2245" s="6">
        <v>70.025000000000006</v>
      </c>
      <c r="P2245" s="6">
        <v>4</v>
      </c>
      <c r="Q2245" s="4" t="s">
        <v>26</v>
      </c>
      <c r="R2245" s="4">
        <v>0</v>
      </c>
      <c r="S2245" s="6">
        <v>0</v>
      </c>
      <c r="T2245" s="6">
        <v>73</v>
      </c>
      <c r="U2245" s="6">
        <v>116</v>
      </c>
      <c r="V2245" s="6">
        <f>IF(ISERROR(VLOOKUP($S$2245,'TAR FIN'!$A$1:$O$120,15,0)),0,VLOOKUP($S$2245,'TAR FIN'!$A$1:$O$120,15,0))</f>
        <v>0</v>
      </c>
      <c r="W2245" s="6">
        <f>IF(ISERROR(VLOOKUP($T$2245,'TAR FIN'!$A$1:$O$120,15,0)),0,VLOOKUP($T$2245,'TAR FIN'!$A$1:$O$120,15,0))</f>
        <v>247.09</v>
      </c>
      <c r="X2245" s="6">
        <f>IF(ISERROR(VLOOKUP($U$2245,'TAR FIN'!$A$1:$O$120,15,0)),0,VLOOKUP($U$2245,'TAR FIN'!$A$1:$O$120,15,0))</f>
        <v>270.92</v>
      </c>
      <c r="Y2245" s="6"/>
      <c r="Z2245" s="6">
        <f ca="1">('TUSD BE'!$AM$83+'TUSD BF'!$AM$83+'TUSD CVA'!$AM$83)*1</f>
        <v>271.87486773292784</v>
      </c>
      <c r="AA2245" s="6">
        <f>('TE BE'!$AA$47+'TE BF'!$AA$47+'TE CVA'!$AA$47)*1</f>
        <v>242.90567551581066</v>
      </c>
      <c r="AB2245" s="6">
        <f>$K$2245*$V$2245</f>
        <v>0</v>
      </c>
      <c r="AC2245" s="6">
        <f>$M$2245*$W$2245</f>
        <v>17302.47725</v>
      </c>
      <c r="AD2245" s="6">
        <f>$O$2245*$X$2245</f>
        <v>18971.173000000003</v>
      </c>
      <c r="AE2245" s="6">
        <f>$K$2245*$Y$2245</f>
        <v>0</v>
      </c>
      <c r="AF2245" s="6">
        <f ca="1">$M$2245*$Z$2245</f>
        <v>19038.037612998272</v>
      </c>
      <c r="AG2245" s="6">
        <f>$O$2245*$AA$2245</f>
        <v>17009.469927994644</v>
      </c>
    </row>
    <row r="2246" spans="1:33" ht="11.25" customHeight="1" x14ac:dyDescent="0.25">
      <c r="A2246" s="4" t="s">
        <v>21</v>
      </c>
      <c r="B2246" s="4" t="s">
        <v>39</v>
      </c>
      <c r="C2246" s="4" t="s">
        <v>23</v>
      </c>
      <c r="D2246" s="4" t="s">
        <v>48</v>
      </c>
      <c r="E2246" s="4" t="s">
        <v>25</v>
      </c>
      <c r="F2246" s="4" t="s">
        <v>25</v>
      </c>
      <c r="G2246" s="4" t="s">
        <v>25</v>
      </c>
      <c r="H2246" s="4" t="s">
        <v>25</v>
      </c>
      <c r="I2246" s="5">
        <v>44013</v>
      </c>
      <c r="J2246" s="6">
        <v>0</v>
      </c>
      <c r="K2246" s="6">
        <v>0</v>
      </c>
      <c r="L2246" s="6">
        <v>5720.201</v>
      </c>
      <c r="M2246" s="6">
        <v>5720.201</v>
      </c>
      <c r="N2246" s="6">
        <v>5720.201</v>
      </c>
      <c r="O2246" s="6">
        <v>5720.201</v>
      </c>
      <c r="P2246" s="6">
        <v>5536</v>
      </c>
      <c r="Q2246" s="4" t="s">
        <v>26</v>
      </c>
      <c r="R2246" s="4">
        <v>0</v>
      </c>
      <c r="S2246" s="6">
        <v>0</v>
      </c>
      <c r="T2246" s="6">
        <v>73</v>
      </c>
      <c r="U2246" s="6">
        <v>116</v>
      </c>
      <c r="V2246" s="6">
        <f>IF(ISERROR(VLOOKUP($S$2246,'TAR FIN'!$A$1:$O$120,15,0)),0,VLOOKUP($S$2246,'TAR FIN'!$A$1:$O$120,15,0))</f>
        <v>0</v>
      </c>
      <c r="W2246" s="6">
        <f>IF(ISERROR(VLOOKUP($T$2246,'TAR FIN'!$A$1:$O$120,15,0)),0,VLOOKUP($T$2246,'TAR FIN'!$A$1:$O$120,15,0))</f>
        <v>247.09</v>
      </c>
      <c r="X2246" s="6">
        <f>IF(ISERROR(VLOOKUP($U$2246,'TAR FIN'!$A$1:$O$120,15,0)),0,VLOOKUP($U$2246,'TAR FIN'!$A$1:$O$120,15,0))</f>
        <v>270.92</v>
      </c>
      <c r="Y2246" s="6"/>
      <c r="Z2246" s="6">
        <f ca="1">('TUSD BE'!$AM$83+'TUSD BF'!$AM$83+'TUSD CVA'!$AM$83)*1</f>
        <v>271.87486773292784</v>
      </c>
      <c r="AA2246" s="6">
        <f>('TE BE'!$AA$47+'TE BF'!$AA$47+'TE CVA'!$AA$47)*1</f>
        <v>242.90567551581066</v>
      </c>
      <c r="AB2246" s="6">
        <f>$K$2246*$V$2246</f>
        <v>0</v>
      </c>
      <c r="AC2246" s="6">
        <f>$M$2246*$W$2246</f>
        <v>1413404.4650900001</v>
      </c>
      <c r="AD2246" s="6">
        <f>$O$2246*$X$2246</f>
        <v>1549716.8549200001</v>
      </c>
      <c r="AE2246" s="6">
        <f>$K$2246*$Y$2246</f>
        <v>0</v>
      </c>
      <c r="AF2246" s="6">
        <f ca="1">$M$2246*$Z$2246</f>
        <v>1555178.8902807615</v>
      </c>
      <c r="AG2246" s="6">
        <f>$O$2246*$AA$2246</f>
        <v>1389469.2879912157</v>
      </c>
    </row>
    <row r="2247" spans="1:33" ht="11.25" customHeight="1" x14ac:dyDescent="0.25">
      <c r="A2247" s="4" t="s">
        <v>27</v>
      </c>
      <c r="B2247" s="4" t="s">
        <v>39</v>
      </c>
      <c r="C2247" s="4" t="s">
        <v>23</v>
      </c>
      <c r="D2247" s="4" t="s">
        <v>48</v>
      </c>
      <c r="E2247" s="4" t="s">
        <v>25</v>
      </c>
      <c r="F2247" s="4" t="s">
        <v>25</v>
      </c>
      <c r="G2247" s="4" t="s">
        <v>25</v>
      </c>
      <c r="H2247" s="4" t="s">
        <v>25</v>
      </c>
      <c r="I2247" s="5">
        <v>44013</v>
      </c>
      <c r="J2247" s="6">
        <v>0</v>
      </c>
      <c r="K2247" s="6">
        <v>0</v>
      </c>
      <c r="L2247" s="6">
        <v>1.9</v>
      </c>
      <c r="M2247" s="6">
        <v>1.9</v>
      </c>
      <c r="N2247" s="6">
        <v>1.9</v>
      </c>
      <c r="O2247" s="6">
        <v>1.9</v>
      </c>
      <c r="P2247" s="6">
        <v>1</v>
      </c>
      <c r="Q2247" s="4" t="s">
        <v>26</v>
      </c>
      <c r="R2247" s="4">
        <v>0</v>
      </c>
      <c r="S2247" s="6">
        <v>0</v>
      </c>
      <c r="T2247" s="6">
        <v>73</v>
      </c>
      <c r="U2247" s="6">
        <v>116</v>
      </c>
      <c r="V2247" s="6">
        <f>IF(ISERROR(VLOOKUP($S$2247,'TAR FIN'!$A$1:$O$120,15,0)),0,VLOOKUP($S$2247,'TAR FIN'!$A$1:$O$120,15,0))</f>
        <v>0</v>
      </c>
      <c r="W2247" s="6">
        <f>IF(ISERROR(VLOOKUP($T$2247,'TAR FIN'!$A$1:$O$120,15,0)),0,VLOOKUP($T$2247,'TAR FIN'!$A$1:$O$120,15,0))</f>
        <v>247.09</v>
      </c>
      <c r="X2247" s="6">
        <f>IF(ISERROR(VLOOKUP($U$2247,'TAR FIN'!$A$1:$O$120,15,0)),0,VLOOKUP($U$2247,'TAR FIN'!$A$1:$O$120,15,0))</f>
        <v>270.92</v>
      </c>
      <c r="Y2247" s="6"/>
      <c r="Z2247" s="6">
        <f ca="1">('TUSD BE'!$AM$83+'TUSD BF'!$AM$83+'TUSD CVA'!$AM$83)*1</f>
        <v>271.87486773292784</v>
      </c>
      <c r="AA2247" s="6">
        <f>('TE BE'!$AA$47+'TE BF'!$AA$47+'TE CVA'!$AA$47)*1</f>
        <v>242.90567551581066</v>
      </c>
      <c r="AB2247" s="6">
        <f>$K$2247*$V$2247</f>
        <v>0</v>
      </c>
      <c r="AC2247" s="6">
        <f>$M$2247*$W$2247</f>
        <v>469.471</v>
      </c>
      <c r="AD2247" s="6">
        <f>$O$2247*$X$2247</f>
        <v>514.74800000000005</v>
      </c>
      <c r="AE2247" s="6">
        <f>$K$2247*$Y$2247</f>
        <v>0</v>
      </c>
      <c r="AF2247" s="6">
        <f ca="1">$M$2247*$Z$2247</f>
        <v>516.56224869256289</v>
      </c>
      <c r="AG2247" s="6">
        <f>$O$2247*$AA$2247</f>
        <v>461.52078348004022</v>
      </c>
    </row>
    <row r="2248" spans="1:33" ht="11.25" customHeight="1" x14ac:dyDescent="0.25">
      <c r="A2248" s="4" t="s">
        <v>28</v>
      </c>
      <c r="B2248" s="4" t="s">
        <v>39</v>
      </c>
      <c r="C2248" s="4" t="s">
        <v>23</v>
      </c>
      <c r="D2248" s="4" t="s">
        <v>48</v>
      </c>
      <c r="E2248" s="4" t="s">
        <v>25</v>
      </c>
      <c r="F2248" s="4" t="s">
        <v>25</v>
      </c>
      <c r="G2248" s="4" t="s">
        <v>25</v>
      </c>
      <c r="H2248" s="4" t="s">
        <v>25</v>
      </c>
      <c r="I2248" s="5">
        <v>44013</v>
      </c>
      <c r="J2248" s="6">
        <v>0</v>
      </c>
      <c r="K2248" s="6">
        <v>0</v>
      </c>
      <c r="L2248" s="6">
        <v>61.860999999999997</v>
      </c>
      <c r="M2248" s="6">
        <v>61.860999999999997</v>
      </c>
      <c r="N2248" s="6">
        <v>61.860999999999997</v>
      </c>
      <c r="O2248" s="6">
        <v>61.860999999999997</v>
      </c>
      <c r="P2248" s="6">
        <v>5</v>
      </c>
      <c r="Q2248" s="4" t="s">
        <v>26</v>
      </c>
      <c r="R2248" s="4">
        <v>0</v>
      </c>
      <c r="S2248" s="6">
        <v>0</v>
      </c>
      <c r="T2248" s="6">
        <v>73</v>
      </c>
      <c r="U2248" s="6">
        <v>116</v>
      </c>
      <c r="V2248" s="6">
        <f>IF(ISERROR(VLOOKUP($S$2248,'TAR FIN'!$A$1:$O$120,15,0)),0,VLOOKUP($S$2248,'TAR FIN'!$A$1:$O$120,15,0))</f>
        <v>0</v>
      </c>
      <c r="W2248" s="6">
        <f>IF(ISERROR(VLOOKUP($T$2248,'TAR FIN'!$A$1:$O$120,15,0)),0,VLOOKUP($T$2248,'TAR FIN'!$A$1:$O$120,15,0))</f>
        <v>247.09</v>
      </c>
      <c r="X2248" s="6">
        <f>IF(ISERROR(VLOOKUP($U$2248,'TAR FIN'!$A$1:$O$120,15,0)),0,VLOOKUP($U$2248,'TAR FIN'!$A$1:$O$120,15,0))</f>
        <v>270.92</v>
      </c>
      <c r="Y2248" s="6"/>
      <c r="Z2248" s="6">
        <f ca="1">('TUSD BE'!$AM$83+'TUSD BF'!$AM$83+'TUSD CVA'!$AM$83)*1</f>
        <v>271.87486773292784</v>
      </c>
      <c r="AA2248" s="6">
        <f>('TE BE'!$AA$47+'TE BF'!$AA$47+'TE CVA'!$AA$47)*1</f>
        <v>242.90567551581066</v>
      </c>
      <c r="AB2248" s="6">
        <f>$K$2248*$V$2248</f>
        <v>0</v>
      </c>
      <c r="AC2248" s="6">
        <f>$M$2248*$W$2248</f>
        <v>15285.234489999999</v>
      </c>
      <c r="AD2248" s="6">
        <f>$O$2248*$X$2248</f>
        <v>16759.382119999998</v>
      </c>
      <c r="AE2248" s="6">
        <f>$K$2248*$Y$2248</f>
        <v>0</v>
      </c>
      <c r="AF2248" s="6">
        <f ca="1">$M$2248*$Z$2248</f>
        <v>16818.451192826647</v>
      </c>
      <c r="AG2248" s="6">
        <f>$O$2248*$AA$2248</f>
        <v>15026.387993083563</v>
      </c>
    </row>
    <row r="2249" spans="1:33" ht="11.25" customHeight="1" x14ac:dyDescent="0.25">
      <c r="A2249" s="4" t="s">
        <v>21</v>
      </c>
      <c r="B2249" s="4" t="s">
        <v>39</v>
      </c>
      <c r="C2249" s="4" t="s">
        <v>23</v>
      </c>
      <c r="D2249" s="4" t="s">
        <v>48</v>
      </c>
      <c r="E2249" s="4" t="s">
        <v>25</v>
      </c>
      <c r="F2249" s="4" t="s">
        <v>25</v>
      </c>
      <c r="G2249" s="4" t="s">
        <v>25</v>
      </c>
      <c r="H2249" s="4" t="s">
        <v>25</v>
      </c>
      <c r="I2249" s="5">
        <v>44044</v>
      </c>
      <c r="J2249" s="6">
        <v>0</v>
      </c>
      <c r="K2249" s="6">
        <v>0</v>
      </c>
      <c r="L2249" s="6">
        <v>5865.5519999999997</v>
      </c>
      <c r="M2249" s="6">
        <v>5865.5519999999997</v>
      </c>
      <c r="N2249" s="6">
        <v>5865.5519999999997</v>
      </c>
      <c r="O2249" s="6">
        <v>5865.5519999999997</v>
      </c>
      <c r="P2249" s="6">
        <v>5565</v>
      </c>
      <c r="Q2249" s="4" t="s">
        <v>26</v>
      </c>
      <c r="R2249" s="4">
        <v>0</v>
      </c>
      <c r="S2249" s="6">
        <v>0</v>
      </c>
      <c r="T2249" s="6">
        <v>73</v>
      </c>
      <c r="U2249" s="6">
        <v>116</v>
      </c>
      <c r="V2249" s="6">
        <f>IF(ISERROR(VLOOKUP($S$2249,'TAR FIN'!$A$1:$O$120,15,0)),0,VLOOKUP($S$2249,'TAR FIN'!$A$1:$O$120,15,0))</f>
        <v>0</v>
      </c>
      <c r="W2249" s="6">
        <f>IF(ISERROR(VLOOKUP($T$2249,'TAR FIN'!$A$1:$O$120,15,0)),0,VLOOKUP($T$2249,'TAR FIN'!$A$1:$O$120,15,0))</f>
        <v>247.09</v>
      </c>
      <c r="X2249" s="6">
        <f>IF(ISERROR(VLOOKUP($U$2249,'TAR FIN'!$A$1:$O$120,15,0)),0,VLOOKUP($U$2249,'TAR FIN'!$A$1:$O$120,15,0))</f>
        <v>270.92</v>
      </c>
      <c r="Y2249" s="6"/>
      <c r="Z2249" s="6">
        <f ca="1">('TUSD BE'!$AM$83+'TUSD BF'!$AM$83+'TUSD CVA'!$AM$83)*1</f>
        <v>271.87486773292784</v>
      </c>
      <c r="AA2249" s="6">
        <f>('TE BE'!$AA$47+'TE BF'!$AA$47+'TE CVA'!$AA$47)*1</f>
        <v>242.90567551581066</v>
      </c>
      <c r="AB2249" s="6">
        <f>$K$2249*$V$2249</f>
        <v>0</v>
      </c>
      <c r="AC2249" s="6">
        <f>$M$2249*$W$2249</f>
        <v>1449319.2436799998</v>
      </c>
      <c r="AD2249" s="6">
        <f>$O$2249*$X$2249</f>
        <v>1589095.3478399999</v>
      </c>
      <c r="AE2249" s="6">
        <f>$K$2249*$Y$2249</f>
        <v>0</v>
      </c>
      <c r="AF2249" s="6">
        <f ca="1">$M$2249*$Z$2249</f>
        <v>1594696.1741806103</v>
      </c>
      <c r="AG2249" s="6">
        <f>$O$2249*$AA$2249</f>
        <v>1424775.8708331143</v>
      </c>
    </row>
    <row r="2250" spans="1:33" ht="11.25" customHeight="1" x14ac:dyDescent="0.25">
      <c r="A2250" s="4" t="s">
        <v>27</v>
      </c>
      <c r="B2250" s="4" t="s">
        <v>39</v>
      </c>
      <c r="C2250" s="4" t="s">
        <v>23</v>
      </c>
      <c r="D2250" s="4" t="s">
        <v>48</v>
      </c>
      <c r="E2250" s="4" t="s">
        <v>25</v>
      </c>
      <c r="F2250" s="4" t="s">
        <v>25</v>
      </c>
      <c r="G2250" s="4" t="s">
        <v>25</v>
      </c>
      <c r="H2250" s="4" t="s">
        <v>25</v>
      </c>
      <c r="I2250" s="5">
        <v>44044</v>
      </c>
      <c r="J2250" s="6">
        <v>0</v>
      </c>
      <c r="K2250" s="6">
        <v>0</v>
      </c>
      <c r="L2250" s="6">
        <v>15.702</v>
      </c>
      <c r="M2250" s="6">
        <v>15.702</v>
      </c>
      <c r="N2250" s="6">
        <v>15.702</v>
      </c>
      <c r="O2250" s="6">
        <v>15.702</v>
      </c>
      <c r="P2250" s="6">
        <v>3</v>
      </c>
      <c r="Q2250" s="4" t="s">
        <v>26</v>
      </c>
      <c r="R2250" s="4">
        <v>0</v>
      </c>
      <c r="S2250" s="6">
        <v>0</v>
      </c>
      <c r="T2250" s="6">
        <v>73</v>
      </c>
      <c r="U2250" s="6">
        <v>116</v>
      </c>
      <c r="V2250" s="6">
        <f>IF(ISERROR(VLOOKUP($S$2250,'TAR FIN'!$A$1:$O$120,15,0)),0,VLOOKUP($S$2250,'TAR FIN'!$A$1:$O$120,15,0))</f>
        <v>0</v>
      </c>
      <c r="W2250" s="6">
        <f>IF(ISERROR(VLOOKUP($T$2250,'TAR FIN'!$A$1:$O$120,15,0)),0,VLOOKUP($T$2250,'TAR FIN'!$A$1:$O$120,15,0))</f>
        <v>247.09</v>
      </c>
      <c r="X2250" s="6">
        <f>IF(ISERROR(VLOOKUP($U$2250,'TAR FIN'!$A$1:$O$120,15,0)),0,VLOOKUP($U$2250,'TAR FIN'!$A$1:$O$120,15,0))</f>
        <v>270.92</v>
      </c>
      <c r="Y2250" s="6"/>
      <c r="Z2250" s="6">
        <f ca="1">('TUSD BE'!$AM$83+'TUSD BF'!$AM$83+'TUSD CVA'!$AM$83)*1</f>
        <v>271.87486773292784</v>
      </c>
      <c r="AA2250" s="6">
        <f>('TE BE'!$AA$47+'TE BF'!$AA$47+'TE CVA'!$AA$47)*1</f>
        <v>242.90567551581066</v>
      </c>
      <c r="AB2250" s="6">
        <f>$K$2250*$V$2250</f>
        <v>0</v>
      </c>
      <c r="AC2250" s="6">
        <f>$M$2250*$W$2250</f>
        <v>3879.8071800000002</v>
      </c>
      <c r="AD2250" s="6">
        <f>$O$2250*$X$2250</f>
        <v>4253.9858400000003</v>
      </c>
      <c r="AE2250" s="6">
        <f>$K$2250*$Y$2250</f>
        <v>0</v>
      </c>
      <c r="AF2250" s="6">
        <f ca="1">$M$2250*$Z$2250</f>
        <v>4268.979173142433</v>
      </c>
      <c r="AG2250" s="6">
        <f>$O$2250*$AA$2250</f>
        <v>3814.1049169492589</v>
      </c>
    </row>
    <row r="2251" spans="1:33" ht="11.25" customHeight="1" x14ac:dyDescent="0.25">
      <c r="A2251" s="4" t="s">
        <v>28</v>
      </c>
      <c r="B2251" s="4" t="s">
        <v>39</v>
      </c>
      <c r="C2251" s="4" t="s">
        <v>23</v>
      </c>
      <c r="D2251" s="4" t="s">
        <v>48</v>
      </c>
      <c r="E2251" s="4" t="s">
        <v>25</v>
      </c>
      <c r="F2251" s="4" t="s">
        <v>25</v>
      </c>
      <c r="G2251" s="4" t="s">
        <v>25</v>
      </c>
      <c r="H2251" s="4" t="s">
        <v>25</v>
      </c>
      <c r="I2251" s="5">
        <v>44044</v>
      </c>
      <c r="J2251" s="6">
        <v>0</v>
      </c>
      <c r="K2251" s="6">
        <v>0</v>
      </c>
      <c r="L2251" s="6">
        <v>69.778000000000006</v>
      </c>
      <c r="M2251" s="6">
        <v>69.778000000000006</v>
      </c>
      <c r="N2251" s="6">
        <v>69.778000000000006</v>
      </c>
      <c r="O2251" s="6">
        <v>69.778000000000006</v>
      </c>
      <c r="P2251" s="6">
        <v>4</v>
      </c>
      <c r="Q2251" s="4" t="s">
        <v>26</v>
      </c>
      <c r="R2251" s="4">
        <v>0</v>
      </c>
      <c r="S2251" s="6">
        <v>0</v>
      </c>
      <c r="T2251" s="6">
        <v>73</v>
      </c>
      <c r="U2251" s="6">
        <v>116</v>
      </c>
      <c r="V2251" s="6">
        <f>IF(ISERROR(VLOOKUP($S$2251,'TAR FIN'!$A$1:$O$120,15,0)),0,VLOOKUP($S$2251,'TAR FIN'!$A$1:$O$120,15,0))</f>
        <v>0</v>
      </c>
      <c r="W2251" s="6">
        <f>IF(ISERROR(VLOOKUP($T$2251,'TAR FIN'!$A$1:$O$120,15,0)),0,VLOOKUP($T$2251,'TAR FIN'!$A$1:$O$120,15,0))</f>
        <v>247.09</v>
      </c>
      <c r="X2251" s="6">
        <f>IF(ISERROR(VLOOKUP($U$2251,'TAR FIN'!$A$1:$O$120,15,0)),0,VLOOKUP($U$2251,'TAR FIN'!$A$1:$O$120,15,0))</f>
        <v>270.92</v>
      </c>
      <c r="Y2251" s="6"/>
      <c r="Z2251" s="6">
        <f ca="1">('TUSD BE'!$AM$83+'TUSD BF'!$AM$83+'TUSD CVA'!$AM$83)*1</f>
        <v>271.87486773292784</v>
      </c>
      <c r="AA2251" s="6">
        <f>('TE BE'!$AA$47+'TE BF'!$AA$47+'TE CVA'!$AA$47)*1</f>
        <v>242.90567551581066</v>
      </c>
      <c r="AB2251" s="6">
        <f>$K$2251*$V$2251</f>
        <v>0</v>
      </c>
      <c r="AC2251" s="6">
        <f>$M$2251*$W$2251</f>
        <v>17241.446020000003</v>
      </c>
      <c r="AD2251" s="6">
        <f>$O$2251*$X$2251</f>
        <v>18904.255760000004</v>
      </c>
      <c r="AE2251" s="6">
        <f>$K$2251*$Y$2251</f>
        <v>0</v>
      </c>
      <c r="AF2251" s="6">
        <f ca="1">$M$2251*$Z$2251</f>
        <v>18970.884520668242</v>
      </c>
      <c r="AG2251" s="6">
        <f>$O$2251*$AA$2251</f>
        <v>16949.472226142236</v>
      </c>
    </row>
    <row r="2252" spans="1:33" ht="11.25" customHeight="1" x14ac:dyDescent="0.25">
      <c r="A2252" s="4" t="s">
        <v>59</v>
      </c>
      <c r="B2252" s="4" t="s">
        <v>39</v>
      </c>
      <c r="C2252" s="4" t="s">
        <v>23</v>
      </c>
      <c r="D2252" s="4" t="s">
        <v>48</v>
      </c>
      <c r="E2252" s="4" t="s">
        <v>25</v>
      </c>
      <c r="F2252" s="4" t="s">
        <v>25</v>
      </c>
      <c r="G2252" s="4" t="s">
        <v>25</v>
      </c>
      <c r="H2252" s="4" t="s">
        <v>25</v>
      </c>
      <c r="I2252" s="5">
        <v>44075</v>
      </c>
      <c r="J2252" s="6">
        <v>0</v>
      </c>
      <c r="K2252" s="6">
        <v>0</v>
      </c>
      <c r="L2252" s="6">
        <v>5865.5519999999997</v>
      </c>
      <c r="M2252" s="6">
        <v>5865.5519999999997</v>
      </c>
      <c r="N2252" s="6">
        <v>5865.5519999999997</v>
      </c>
      <c r="O2252" s="6">
        <v>5865.5519999999997</v>
      </c>
      <c r="P2252" s="6">
        <v>5565</v>
      </c>
      <c r="Q2252" s="4" t="s">
        <v>26</v>
      </c>
      <c r="R2252" s="4">
        <v>0</v>
      </c>
      <c r="S2252" s="6">
        <v>0</v>
      </c>
      <c r="T2252" s="6">
        <v>73</v>
      </c>
      <c r="U2252" s="6">
        <v>116</v>
      </c>
      <c r="V2252" s="6">
        <f>IF(ISERROR(VLOOKUP($S$2252,'TAR FIN'!$A$1:$O$120,15,0)),0,VLOOKUP($S$2252,'TAR FIN'!$A$1:$O$120,15,0))</f>
        <v>0</v>
      </c>
      <c r="W2252" s="6">
        <f>IF(ISERROR(VLOOKUP($T$2252,'TAR FIN'!$A$1:$O$120,15,0)),0,VLOOKUP($T$2252,'TAR FIN'!$A$1:$O$120,15,0))</f>
        <v>247.09</v>
      </c>
      <c r="X2252" s="6">
        <f>IF(ISERROR(VLOOKUP($U$2252,'TAR FIN'!$A$1:$O$120,15,0)),0,VLOOKUP($U$2252,'TAR FIN'!$A$1:$O$120,15,0))</f>
        <v>270.92</v>
      </c>
      <c r="Y2252" s="6"/>
      <c r="Z2252" s="6">
        <f ca="1">('TUSD BE'!$AM$83+'TUSD BF'!$AM$83+'TUSD CVA'!$AM$83)*1</f>
        <v>271.87486773292784</v>
      </c>
      <c r="AA2252" s="6">
        <f>('TE BE'!$AA$47+'TE BF'!$AA$47+'TE CVA'!$AA$47)*1</f>
        <v>242.90567551581066</v>
      </c>
      <c r="AB2252" s="6">
        <f>$K$2252*$V$2252</f>
        <v>0</v>
      </c>
      <c r="AC2252" s="6">
        <f>$M$2252*$W$2252</f>
        <v>1449319.2436799998</v>
      </c>
      <c r="AD2252" s="6">
        <f>$O$2252*$X$2252</f>
        <v>1589095.3478399999</v>
      </c>
      <c r="AE2252" s="6">
        <f>$K$2252*$Y$2252</f>
        <v>0</v>
      </c>
      <c r="AF2252" s="6">
        <f ca="1">$M$2252*$Z$2252</f>
        <v>1594696.1741806103</v>
      </c>
      <c r="AG2252" s="6">
        <f>$O$2252*$AA$2252</f>
        <v>1424775.8708331143</v>
      </c>
    </row>
    <row r="2253" spans="1:33" ht="11.25" customHeight="1" x14ac:dyDescent="0.25">
      <c r="A2253" s="4" t="s">
        <v>59</v>
      </c>
      <c r="B2253" s="4" t="s">
        <v>39</v>
      </c>
      <c r="C2253" s="4" t="s">
        <v>23</v>
      </c>
      <c r="D2253" s="4" t="s">
        <v>48</v>
      </c>
      <c r="E2253" s="4" t="s">
        <v>25</v>
      </c>
      <c r="F2253" s="4" t="s">
        <v>25</v>
      </c>
      <c r="G2253" s="4" t="s">
        <v>25</v>
      </c>
      <c r="H2253" s="4" t="s">
        <v>25</v>
      </c>
      <c r="I2253" s="5">
        <v>44075</v>
      </c>
      <c r="J2253" s="6">
        <v>0</v>
      </c>
      <c r="K2253" s="6">
        <v>0</v>
      </c>
      <c r="L2253" s="6">
        <v>15.702</v>
      </c>
      <c r="M2253" s="6">
        <v>15.702</v>
      </c>
      <c r="N2253" s="6">
        <v>15.702</v>
      </c>
      <c r="O2253" s="6">
        <v>15.702</v>
      </c>
      <c r="P2253" s="6">
        <v>3</v>
      </c>
      <c r="Q2253" s="4" t="s">
        <v>26</v>
      </c>
      <c r="R2253" s="4">
        <v>0</v>
      </c>
      <c r="S2253" s="6">
        <v>0</v>
      </c>
      <c r="T2253" s="6">
        <v>73</v>
      </c>
      <c r="U2253" s="6">
        <v>116</v>
      </c>
      <c r="V2253" s="6">
        <f>IF(ISERROR(VLOOKUP($S$2253,'TAR FIN'!$A$1:$O$120,15,0)),0,VLOOKUP($S$2253,'TAR FIN'!$A$1:$O$120,15,0))</f>
        <v>0</v>
      </c>
      <c r="W2253" s="6">
        <f>IF(ISERROR(VLOOKUP($T$2253,'TAR FIN'!$A$1:$O$120,15,0)),0,VLOOKUP($T$2253,'TAR FIN'!$A$1:$O$120,15,0))</f>
        <v>247.09</v>
      </c>
      <c r="X2253" s="6">
        <f>IF(ISERROR(VLOOKUP($U$2253,'TAR FIN'!$A$1:$O$120,15,0)),0,VLOOKUP($U$2253,'TAR FIN'!$A$1:$O$120,15,0))</f>
        <v>270.92</v>
      </c>
      <c r="Y2253" s="6"/>
      <c r="Z2253" s="6">
        <f ca="1">('TUSD BE'!$AM$83+'TUSD BF'!$AM$83+'TUSD CVA'!$AM$83)*1</f>
        <v>271.87486773292784</v>
      </c>
      <c r="AA2253" s="6">
        <f>('TE BE'!$AA$47+'TE BF'!$AA$47+'TE CVA'!$AA$47)*1</f>
        <v>242.90567551581066</v>
      </c>
      <c r="AB2253" s="6">
        <f>$K$2253*$V$2253</f>
        <v>0</v>
      </c>
      <c r="AC2253" s="6">
        <f>$M$2253*$W$2253</f>
        <v>3879.8071800000002</v>
      </c>
      <c r="AD2253" s="6">
        <f>$O$2253*$X$2253</f>
        <v>4253.9858400000003</v>
      </c>
      <c r="AE2253" s="6">
        <f>$K$2253*$Y$2253</f>
        <v>0</v>
      </c>
      <c r="AF2253" s="6">
        <f ca="1">$M$2253*$Z$2253</f>
        <v>4268.979173142433</v>
      </c>
      <c r="AG2253" s="6">
        <f>$O$2253*$AA$2253</f>
        <v>3814.1049169492589</v>
      </c>
    </row>
    <row r="2254" spans="1:33" ht="11.25" customHeight="1" x14ac:dyDescent="0.25">
      <c r="A2254" s="4" t="s">
        <v>59</v>
      </c>
      <c r="B2254" s="4" t="s">
        <v>39</v>
      </c>
      <c r="C2254" s="4" t="s">
        <v>23</v>
      </c>
      <c r="D2254" s="4" t="s">
        <v>48</v>
      </c>
      <c r="E2254" s="4" t="s">
        <v>25</v>
      </c>
      <c r="F2254" s="4" t="s">
        <v>25</v>
      </c>
      <c r="G2254" s="4" t="s">
        <v>25</v>
      </c>
      <c r="H2254" s="4" t="s">
        <v>25</v>
      </c>
      <c r="I2254" s="5">
        <v>44075</v>
      </c>
      <c r="J2254" s="6">
        <v>0</v>
      </c>
      <c r="K2254" s="6">
        <v>0</v>
      </c>
      <c r="L2254" s="6">
        <v>69.778000000000006</v>
      </c>
      <c r="M2254" s="6">
        <v>69.778000000000006</v>
      </c>
      <c r="N2254" s="6">
        <v>69.778000000000006</v>
      </c>
      <c r="O2254" s="6">
        <v>69.778000000000006</v>
      </c>
      <c r="P2254" s="6">
        <v>4</v>
      </c>
      <c r="Q2254" s="4" t="s">
        <v>26</v>
      </c>
      <c r="R2254" s="4">
        <v>0</v>
      </c>
      <c r="S2254" s="6">
        <v>0</v>
      </c>
      <c r="T2254" s="6">
        <v>73</v>
      </c>
      <c r="U2254" s="6">
        <v>116</v>
      </c>
      <c r="V2254" s="6">
        <f>IF(ISERROR(VLOOKUP($S$2254,'TAR FIN'!$A$1:$O$120,15,0)),0,VLOOKUP($S$2254,'TAR FIN'!$A$1:$O$120,15,0))</f>
        <v>0</v>
      </c>
      <c r="W2254" s="6">
        <f>IF(ISERROR(VLOOKUP($T$2254,'TAR FIN'!$A$1:$O$120,15,0)),0,VLOOKUP($T$2254,'TAR FIN'!$A$1:$O$120,15,0))</f>
        <v>247.09</v>
      </c>
      <c r="X2254" s="6">
        <f>IF(ISERROR(VLOOKUP($U$2254,'TAR FIN'!$A$1:$O$120,15,0)),0,VLOOKUP($U$2254,'TAR FIN'!$A$1:$O$120,15,0))</f>
        <v>270.92</v>
      </c>
      <c r="Y2254" s="6"/>
      <c r="Z2254" s="6">
        <f ca="1">('TUSD BE'!$AM$83+'TUSD BF'!$AM$83+'TUSD CVA'!$AM$83)*1</f>
        <v>271.87486773292784</v>
      </c>
      <c r="AA2254" s="6">
        <f>('TE BE'!$AA$47+'TE BF'!$AA$47+'TE CVA'!$AA$47)*1</f>
        <v>242.90567551581066</v>
      </c>
      <c r="AB2254" s="6">
        <f>$K$2254*$V$2254</f>
        <v>0</v>
      </c>
      <c r="AC2254" s="6">
        <f>$M$2254*$W$2254</f>
        <v>17241.446020000003</v>
      </c>
      <c r="AD2254" s="6">
        <f>$O$2254*$X$2254</f>
        <v>18904.255760000004</v>
      </c>
      <c r="AE2254" s="6">
        <f>$K$2254*$Y$2254</f>
        <v>0</v>
      </c>
      <c r="AF2254" s="6">
        <f ca="1">$M$2254*$Z$2254</f>
        <v>18970.884520668242</v>
      </c>
      <c r="AG2254" s="6">
        <f>$O$2254*$AA$2254</f>
        <v>16949.472226142236</v>
      </c>
    </row>
    <row r="2255" spans="1:33" ht="11.25" customHeight="1" x14ac:dyDescent="0.25">
      <c r="A2255" s="4" t="s">
        <v>21</v>
      </c>
      <c r="B2255" s="4" t="s">
        <v>39</v>
      </c>
      <c r="C2255" s="4" t="s">
        <v>23</v>
      </c>
      <c r="D2255" s="4" t="s">
        <v>52</v>
      </c>
      <c r="E2255" s="4" t="s">
        <v>53</v>
      </c>
      <c r="F2255" s="4" t="s">
        <v>25</v>
      </c>
      <c r="G2255" s="4" t="s">
        <v>25</v>
      </c>
      <c r="H2255" s="4" t="s">
        <v>25</v>
      </c>
      <c r="I2255" s="5">
        <v>43739</v>
      </c>
      <c r="J2255" s="6">
        <v>0</v>
      </c>
      <c r="K2255" s="71">
        <v>0</v>
      </c>
      <c r="L2255" s="6">
        <v>912.68499999999995</v>
      </c>
      <c r="M2255" s="71">
        <v>912.68499999999995</v>
      </c>
      <c r="N2255" s="6">
        <v>912.68499999999995</v>
      </c>
      <c r="O2255" s="71">
        <v>912.68499999999995</v>
      </c>
      <c r="P2255" s="6">
        <v>251</v>
      </c>
      <c r="Q2255" s="4" t="s">
        <v>26</v>
      </c>
      <c r="R2255" s="4">
        <v>0</v>
      </c>
      <c r="S2255" s="6">
        <v>0</v>
      </c>
      <c r="T2255" s="6">
        <v>73</v>
      </c>
      <c r="U2255" s="6">
        <v>116</v>
      </c>
      <c r="V2255" s="71">
        <f>IF(ISERROR(VLOOKUP($S$2255,'TAR FIN'!$A$1:$O$120,15,0)),0,VLOOKUP($S$2255,'TAR FIN'!$A$1:$O$120,15,0))</f>
        <v>0</v>
      </c>
      <c r="W2255" s="71">
        <f>IF(ISERROR(VLOOKUP($T$2255,'TAR FIN'!$A$1:$O$120,15,0)),0,VLOOKUP($T$2255,'TAR FIN'!$A$1:$O$120,15,0))*(1-0.12)</f>
        <v>217.4392</v>
      </c>
      <c r="X2255" s="71">
        <f>IF(ISERROR(VLOOKUP($U$2255,'TAR FIN'!$A$1:$O$120,15,0)),0,VLOOKUP($U$2255,'TAR FIN'!$A$1:$O$120,15,0))*(1-0.12)</f>
        <v>238.40960000000001</v>
      </c>
      <c r="Y2255" s="71"/>
      <c r="Z2255" s="71">
        <f ca="1">('TUSD BE'!$AM$83+'TUSD BF'!$AM$83+'TUSD CVA'!$AM$83)*1*(1-0.09)</f>
        <v>247.40612963696435</v>
      </c>
      <c r="AA2255" s="71">
        <f>('TE BE'!$AA$47+'TE BF'!$AA$47+'TE CVA'!$AA$47)*1*(1-0.09)</f>
        <v>221.04416471938771</v>
      </c>
      <c r="AB2255" s="6">
        <f>$K$2255*$V$2255</f>
        <v>0</v>
      </c>
      <c r="AC2255" s="6">
        <f>$M$2255*$W$2255</f>
        <v>198453.49625199998</v>
      </c>
      <c r="AD2255" s="6">
        <f>$O$2255*$X$2255</f>
        <v>217592.86577599999</v>
      </c>
      <c r="AE2255" s="6">
        <f>$K$2255*$Y$2255</f>
        <v>0</v>
      </c>
      <c r="AF2255" s="6">
        <f ca="1">$M$2255*$Z$2255</f>
        <v>225803.86342771279</v>
      </c>
      <c r="AG2255" s="6">
        <f>$O$2255*$AA$2255</f>
        <v>201743.69347691437</v>
      </c>
    </row>
    <row r="2256" spans="1:33" ht="11.25" customHeight="1" x14ac:dyDescent="0.25">
      <c r="A2256" s="4" t="s">
        <v>27</v>
      </c>
      <c r="B2256" s="4" t="s">
        <v>39</v>
      </c>
      <c r="C2256" s="4" t="s">
        <v>23</v>
      </c>
      <c r="D2256" s="4" t="s">
        <v>52</v>
      </c>
      <c r="E2256" s="4" t="s">
        <v>53</v>
      </c>
      <c r="F2256" s="4" t="s">
        <v>25</v>
      </c>
      <c r="G2256" s="4" t="s">
        <v>25</v>
      </c>
      <c r="H2256" s="4" t="s">
        <v>25</v>
      </c>
      <c r="I2256" s="5">
        <v>43739</v>
      </c>
      <c r="J2256" s="6">
        <v>0</v>
      </c>
      <c r="K2256" s="71">
        <v>0</v>
      </c>
      <c r="L2256" s="6">
        <v>6.5819999999999999</v>
      </c>
      <c r="M2256" s="71">
        <v>6.5819999999999999</v>
      </c>
      <c r="N2256" s="6">
        <v>6.5819999999999999</v>
      </c>
      <c r="O2256" s="71">
        <v>6.5819999999999999</v>
      </c>
      <c r="P2256" s="6">
        <v>0</v>
      </c>
      <c r="Q2256" s="4" t="s">
        <v>26</v>
      </c>
      <c r="R2256" s="4">
        <v>0</v>
      </c>
      <c r="S2256" s="6">
        <v>0</v>
      </c>
      <c r="T2256" s="6">
        <v>73</v>
      </c>
      <c r="U2256" s="6">
        <v>116</v>
      </c>
      <c r="V2256" s="71">
        <f>IF(ISERROR(VLOOKUP($S$2256,'TAR FIN'!$A$1:$O$120,15,0)),0,VLOOKUP($S$2256,'TAR FIN'!$A$1:$O$120,15,0))</f>
        <v>0</v>
      </c>
      <c r="W2256" s="71">
        <f>IF(ISERROR(VLOOKUP($T$2256,'TAR FIN'!$A$1:$O$120,15,0)),0,VLOOKUP($T$2256,'TAR FIN'!$A$1:$O$120,15,0))*(1-0.12)</f>
        <v>217.4392</v>
      </c>
      <c r="X2256" s="71">
        <f>IF(ISERROR(VLOOKUP($U$2256,'TAR FIN'!$A$1:$O$120,15,0)),0,VLOOKUP($U$2256,'TAR FIN'!$A$1:$O$120,15,0))*(1-0.12)</f>
        <v>238.40960000000001</v>
      </c>
      <c r="Y2256" s="71"/>
      <c r="Z2256" s="71">
        <f ca="1">('TUSD BE'!$AM$83+'TUSD BF'!$AM$83+'TUSD CVA'!$AM$83)*1*(1-0.09)</f>
        <v>247.40612963696435</v>
      </c>
      <c r="AA2256" s="71">
        <f>('TE BE'!$AA$47+'TE BF'!$AA$47+'TE CVA'!$AA$47)*1*(1-0.09)</f>
        <v>221.04416471938771</v>
      </c>
      <c r="AB2256" s="6">
        <f>$K$2256*$V$2256</f>
        <v>0</v>
      </c>
      <c r="AC2256" s="6">
        <f>$M$2256*$W$2256</f>
        <v>1431.1848144000001</v>
      </c>
      <c r="AD2256" s="6">
        <f>$O$2256*$X$2256</f>
        <v>1569.2119872000001</v>
      </c>
      <c r="AE2256" s="6">
        <f>$K$2256*$Y$2256</f>
        <v>0</v>
      </c>
      <c r="AF2256" s="6">
        <f ca="1">$M$2256*$Z$2256</f>
        <v>1628.4271452704993</v>
      </c>
      <c r="AG2256" s="6">
        <f>$O$2256*$AA$2256</f>
        <v>1454.9126921830098</v>
      </c>
    </row>
    <row r="2257" spans="1:33" ht="11.25" customHeight="1" x14ac:dyDescent="0.25">
      <c r="A2257" s="4" t="s">
        <v>21</v>
      </c>
      <c r="B2257" s="4" t="s">
        <v>39</v>
      </c>
      <c r="C2257" s="4" t="s">
        <v>23</v>
      </c>
      <c r="D2257" s="4" t="s">
        <v>52</v>
      </c>
      <c r="E2257" s="4" t="s">
        <v>53</v>
      </c>
      <c r="F2257" s="4" t="s">
        <v>25</v>
      </c>
      <c r="G2257" s="4" t="s">
        <v>25</v>
      </c>
      <c r="H2257" s="4" t="s">
        <v>25</v>
      </c>
      <c r="I2257" s="5">
        <v>43770</v>
      </c>
      <c r="J2257" s="6">
        <v>0</v>
      </c>
      <c r="K2257" s="71">
        <v>0</v>
      </c>
      <c r="L2257" s="6">
        <v>988.85699999999997</v>
      </c>
      <c r="M2257" s="71">
        <v>988.85699999999997</v>
      </c>
      <c r="N2257" s="6">
        <v>988.85699999999997</v>
      </c>
      <c r="O2257" s="71">
        <v>988.85699999999997</v>
      </c>
      <c r="P2257" s="6">
        <v>251</v>
      </c>
      <c r="Q2257" s="4" t="s">
        <v>26</v>
      </c>
      <c r="R2257" s="4">
        <v>0</v>
      </c>
      <c r="S2257" s="6">
        <v>0</v>
      </c>
      <c r="T2257" s="6">
        <v>73</v>
      </c>
      <c r="U2257" s="6">
        <v>116</v>
      </c>
      <c r="V2257" s="71">
        <f>IF(ISERROR(VLOOKUP($S$2257,'TAR FIN'!$A$1:$O$120,15,0)),0,VLOOKUP($S$2257,'TAR FIN'!$A$1:$O$120,15,0))</f>
        <v>0</v>
      </c>
      <c r="W2257" s="71">
        <f>IF(ISERROR(VLOOKUP($T$2257,'TAR FIN'!$A$1:$O$120,15,0)),0,VLOOKUP($T$2257,'TAR FIN'!$A$1:$O$120,15,0))*(1-0.12)</f>
        <v>217.4392</v>
      </c>
      <c r="X2257" s="71">
        <f>IF(ISERROR(VLOOKUP($U$2257,'TAR FIN'!$A$1:$O$120,15,0)),0,VLOOKUP($U$2257,'TAR FIN'!$A$1:$O$120,15,0))*(1-0.12)</f>
        <v>238.40960000000001</v>
      </c>
      <c r="Y2257" s="71"/>
      <c r="Z2257" s="71">
        <f ca="1">('TUSD BE'!$AM$83+'TUSD BF'!$AM$83+'TUSD CVA'!$AM$83)*1*(1-0.09)</f>
        <v>247.40612963696435</v>
      </c>
      <c r="AA2257" s="71">
        <f>('TE BE'!$AA$47+'TE BF'!$AA$47+'TE CVA'!$AA$47)*1*(1-0.09)</f>
        <v>221.04416471938771</v>
      </c>
      <c r="AB2257" s="6">
        <f>$K$2257*$V$2257</f>
        <v>0</v>
      </c>
      <c r="AC2257" s="6">
        <f>$M$2257*$W$2257</f>
        <v>215016.27499439998</v>
      </c>
      <c r="AD2257" s="6">
        <f>$O$2257*$X$2257</f>
        <v>235753.0018272</v>
      </c>
      <c r="AE2257" s="6">
        <f>$K$2257*$Y$2257</f>
        <v>0</v>
      </c>
      <c r="AF2257" s="6">
        <f ca="1">$M$2257*$Z$2257</f>
        <v>244649.28313441965</v>
      </c>
      <c r="AG2257" s="6">
        <f>$O$2257*$AA$2257</f>
        <v>218581.06959191957</v>
      </c>
    </row>
    <row r="2258" spans="1:33" ht="11.25" customHeight="1" x14ac:dyDescent="0.25">
      <c r="A2258" s="4" t="s">
        <v>21</v>
      </c>
      <c r="B2258" s="4" t="s">
        <v>39</v>
      </c>
      <c r="C2258" s="4" t="s">
        <v>23</v>
      </c>
      <c r="D2258" s="4" t="s">
        <v>52</v>
      </c>
      <c r="E2258" s="4" t="s">
        <v>53</v>
      </c>
      <c r="F2258" s="4" t="s">
        <v>25</v>
      </c>
      <c r="G2258" s="4" t="s">
        <v>25</v>
      </c>
      <c r="H2258" s="4" t="s">
        <v>25</v>
      </c>
      <c r="I2258" s="5">
        <v>43800</v>
      </c>
      <c r="J2258" s="6">
        <v>0</v>
      </c>
      <c r="K2258" s="71">
        <v>0</v>
      </c>
      <c r="L2258" s="6">
        <v>862.71799999999996</v>
      </c>
      <c r="M2258" s="71">
        <v>862.71799999999996</v>
      </c>
      <c r="N2258" s="6">
        <v>862.71799999999996</v>
      </c>
      <c r="O2258" s="71">
        <v>862.71799999999996</v>
      </c>
      <c r="P2258" s="6">
        <v>251</v>
      </c>
      <c r="Q2258" s="4" t="s">
        <v>26</v>
      </c>
      <c r="R2258" s="4">
        <v>0</v>
      </c>
      <c r="S2258" s="6">
        <v>0</v>
      </c>
      <c r="T2258" s="6">
        <v>73</v>
      </c>
      <c r="U2258" s="6">
        <v>116</v>
      </c>
      <c r="V2258" s="71">
        <f>IF(ISERROR(VLOOKUP($S$2258,'TAR FIN'!$A$1:$O$120,15,0)),0,VLOOKUP($S$2258,'TAR FIN'!$A$1:$O$120,15,0))</f>
        <v>0</v>
      </c>
      <c r="W2258" s="71">
        <f>IF(ISERROR(VLOOKUP($T$2258,'TAR FIN'!$A$1:$O$120,15,0)),0,VLOOKUP($T$2258,'TAR FIN'!$A$1:$O$120,15,0))*(1-0.12)</f>
        <v>217.4392</v>
      </c>
      <c r="X2258" s="71">
        <f>IF(ISERROR(VLOOKUP($U$2258,'TAR FIN'!$A$1:$O$120,15,0)),0,VLOOKUP($U$2258,'TAR FIN'!$A$1:$O$120,15,0))*(1-0.12)</f>
        <v>238.40960000000001</v>
      </c>
      <c r="Y2258" s="71"/>
      <c r="Z2258" s="71">
        <f ca="1">('TUSD BE'!$AM$83+'TUSD BF'!$AM$83+'TUSD CVA'!$AM$83)*1*(1-0.09)</f>
        <v>247.40612963696435</v>
      </c>
      <c r="AA2258" s="71">
        <f>('TE BE'!$AA$47+'TE BF'!$AA$47+'TE CVA'!$AA$47)*1*(1-0.09)</f>
        <v>221.04416471938771</v>
      </c>
      <c r="AB2258" s="6">
        <f>$K$2258*$V$2258</f>
        <v>0</v>
      </c>
      <c r="AC2258" s="6">
        <f>$M$2258*$W$2258</f>
        <v>187588.71174559998</v>
      </c>
      <c r="AD2258" s="6">
        <f>$O$2258*$X$2258</f>
        <v>205680.25329280001</v>
      </c>
      <c r="AE2258" s="6">
        <f>$K$2258*$Y$2258</f>
        <v>0</v>
      </c>
      <c r="AF2258" s="6">
        <f ca="1">$M$2258*$Z$2258</f>
        <v>213441.7213481426</v>
      </c>
      <c r="AG2258" s="6">
        <f>$O$2258*$AA$2258</f>
        <v>190698.77969838071</v>
      </c>
    </row>
    <row r="2259" spans="1:33" ht="11.25" customHeight="1" x14ac:dyDescent="0.25">
      <c r="A2259" s="4" t="s">
        <v>21</v>
      </c>
      <c r="B2259" s="4" t="s">
        <v>39</v>
      </c>
      <c r="C2259" s="4" t="s">
        <v>23</v>
      </c>
      <c r="D2259" s="4" t="s">
        <v>52</v>
      </c>
      <c r="E2259" s="4" t="s">
        <v>53</v>
      </c>
      <c r="F2259" s="4" t="s">
        <v>25</v>
      </c>
      <c r="G2259" s="4" t="s">
        <v>25</v>
      </c>
      <c r="H2259" s="4" t="s">
        <v>25</v>
      </c>
      <c r="I2259" s="5">
        <v>43831</v>
      </c>
      <c r="J2259" s="6">
        <v>0</v>
      </c>
      <c r="K2259" s="71">
        <v>0</v>
      </c>
      <c r="L2259" s="6">
        <v>899.73299999999995</v>
      </c>
      <c r="M2259" s="71">
        <v>899.73299999999995</v>
      </c>
      <c r="N2259" s="6">
        <v>899.73299999999995</v>
      </c>
      <c r="O2259" s="71">
        <v>899.73299999999995</v>
      </c>
      <c r="P2259" s="6">
        <v>251</v>
      </c>
      <c r="Q2259" s="4" t="s">
        <v>26</v>
      </c>
      <c r="R2259" s="4">
        <v>0</v>
      </c>
      <c r="S2259" s="6">
        <v>0</v>
      </c>
      <c r="T2259" s="6">
        <v>73</v>
      </c>
      <c r="U2259" s="6">
        <v>116</v>
      </c>
      <c r="V2259" s="71">
        <f>IF(ISERROR(VLOOKUP($S$2259,'TAR FIN'!$A$1:$O$120,15,0)),0,VLOOKUP($S$2259,'TAR FIN'!$A$1:$O$120,15,0))</f>
        <v>0</v>
      </c>
      <c r="W2259" s="71">
        <f>IF(ISERROR(VLOOKUP($T$2259,'TAR FIN'!$A$1:$O$120,15,0)),0,VLOOKUP($T$2259,'TAR FIN'!$A$1:$O$120,15,0))*(1-0.12)</f>
        <v>217.4392</v>
      </c>
      <c r="X2259" s="71">
        <f>IF(ISERROR(VLOOKUP($U$2259,'TAR FIN'!$A$1:$O$120,15,0)),0,VLOOKUP($U$2259,'TAR FIN'!$A$1:$O$120,15,0))*(1-0.12)</f>
        <v>238.40960000000001</v>
      </c>
      <c r="Y2259" s="71"/>
      <c r="Z2259" s="71">
        <f ca="1">('TUSD BE'!$AM$83+'TUSD BF'!$AM$83+'TUSD CVA'!$AM$83)*1*(1-0.09)</f>
        <v>247.40612963696435</v>
      </c>
      <c r="AA2259" s="71">
        <f>('TE BE'!$AA$47+'TE BF'!$AA$47+'TE CVA'!$AA$47)*1*(1-0.09)</f>
        <v>221.04416471938771</v>
      </c>
      <c r="AB2259" s="6">
        <f>$K$2259*$V$2259</f>
        <v>0</v>
      </c>
      <c r="AC2259" s="6">
        <f>$M$2259*$W$2259</f>
        <v>195637.2237336</v>
      </c>
      <c r="AD2259" s="6">
        <f>$O$2259*$X$2259</f>
        <v>214504.98463679999</v>
      </c>
      <c r="AE2259" s="6">
        <f>$K$2259*$Y$2259</f>
        <v>0</v>
      </c>
      <c r="AF2259" s="6">
        <f ca="1">$M$2259*$Z$2259</f>
        <v>222599.45923665483</v>
      </c>
      <c r="AG2259" s="6">
        <f>$O$2259*$AA$2259</f>
        <v>198880.72945546886</v>
      </c>
    </row>
    <row r="2260" spans="1:33" ht="11.25" customHeight="1" x14ac:dyDescent="0.25">
      <c r="A2260" s="4" t="s">
        <v>21</v>
      </c>
      <c r="B2260" s="4" t="s">
        <v>39</v>
      </c>
      <c r="C2260" s="4" t="s">
        <v>23</v>
      </c>
      <c r="D2260" s="4" t="s">
        <v>52</v>
      </c>
      <c r="E2260" s="4" t="s">
        <v>53</v>
      </c>
      <c r="F2260" s="4" t="s">
        <v>25</v>
      </c>
      <c r="G2260" s="4" t="s">
        <v>25</v>
      </c>
      <c r="H2260" s="4" t="s">
        <v>25</v>
      </c>
      <c r="I2260" s="5">
        <v>43862</v>
      </c>
      <c r="J2260" s="6">
        <v>0</v>
      </c>
      <c r="K2260" s="71">
        <v>0</v>
      </c>
      <c r="L2260" s="6">
        <v>837.53399999999999</v>
      </c>
      <c r="M2260" s="71">
        <v>837.53399999999999</v>
      </c>
      <c r="N2260" s="6">
        <v>837.53399999999999</v>
      </c>
      <c r="O2260" s="71">
        <v>837.53399999999999</v>
      </c>
      <c r="P2260" s="6">
        <v>251</v>
      </c>
      <c r="Q2260" s="4" t="s">
        <v>26</v>
      </c>
      <c r="R2260" s="4">
        <v>0</v>
      </c>
      <c r="S2260" s="6">
        <v>0</v>
      </c>
      <c r="T2260" s="6">
        <v>73</v>
      </c>
      <c r="U2260" s="6">
        <v>116</v>
      </c>
      <c r="V2260" s="71">
        <f>IF(ISERROR(VLOOKUP($S$2260,'TAR FIN'!$A$1:$O$120,15,0)),0,VLOOKUP($S$2260,'TAR FIN'!$A$1:$O$120,15,0))</f>
        <v>0</v>
      </c>
      <c r="W2260" s="71">
        <f>IF(ISERROR(VLOOKUP($T$2260,'TAR FIN'!$A$1:$O$120,15,0)),0,VLOOKUP($T$2260,'TAR FIN'!$A$1:$O$120,15,0))*(1-0.12)</f>
        <v>217.4392</v>
      </c>
      <c r="X2260" s="71">
        <f>IF(ISERROR(VLOOKUP($U$2260,'TAR FIN'!$A$1:$O$120,15,0)),0,VLOOKUP($U$2260,'TAR FIN'!$A$1:$O$120,15,0))*(1-0.12)</f>
        <v>238.40960000000001</v>
      </c>
      <c r="Y2260" s="71"/>
      <c r="Z2260" s="71">
        <f ca="1">('TUSD BE'!$AM$83+'TUSD BF'!$AM$83+'TUSD CVA'!$AM$83)*1*(1-0.09)</f>
        <v>247.40612963696435</v>
      </c>
      <c r="AA2260" s="71">
        <f>('TE BE'!$AA$47+'TE BF'!$AA$47+'TE CVA'!$AA$47)*1*(1-0.09)</f>
        <v>221.04416471938771</v>
      </c>
      <c r="AB2260" s="6">
        <f>$K$2260*$V$2260</f>
        <v>0</v>
      </c>
      <c r="AC2260" s="6">
        <f>$M$2260*$W$2260</f>
        <v>182112.72293280001</v>
      </c>
      <c r="AD2260" s="6">
        <f>$O$2260*$X$2260</f>
        <v>199676.1459264</v>
      </c>
      <c r="AE2260" s="6">
        <f>$K$2260*$Y$2260</f>
        <v>0</v>
      </c>
      <c r="AF2260" s="6">
        <f ca="1">$M$2260*$Z$2260</f>
        <v>207211.0453793653</v>
      </c>
      <c r="AG2260" s="6">
        <f>$O$2260*$AA$2260</f>
        <v>185132.00345408765</v>
      </c>
    </row>
    <row r="2261" spans="1:33" ht="11.25" customHeight="1" x14ac:dyDescent="0.25">
      <c r="A2261" s="4" t="s">
        <v>27</v>
      </c>
      <c r="B2261" s="4" t="s">
        <v>39</v>
      </c>
      <c r="C2261" s="4" t="s">
        <v>23</v>
      </c>
      <c r="D2261" s="4" t="s">
        <v>52</v>
      </c>
      <c r="E2261" s="4" t="s">
        <v>53</v>
      </c>
      <c r="F2261" s="4" t="s">
        <v>25</v>
      </c>
      <c r="G2261" s="4" t="s">
        <v>25</v>
      </c>
      <c r="H2261" s="4" t="s">
        <v>25</v>
      </c>
      <c r="I2261" s="5">
        <v>43862</v>
      </c>
      <c r="J2261" s="6">
        <v>0</v>
      </c>
      <c r="K2261" s="71">
        <v>0</v>
      </c>
      <c r="L2261" s="6">
        <v>0.1</v>
      </c>
      <c r="M2261" s="71">
        <v>0.1</v>
      </c>
      <c r="N2261" s="6">
        <v>0.1</v>
      </c>
      <c r="O2261" s="71">
        <v>0.1</v>
      </c>
      <c r="P2261" s="6">
        <v>0</v>
      </c>
      <c r="Q2261" s="4" t="s">
        <v>26</v>
      </c>
      <c r="R2261" s="4">
        <v>0</v>
      </c>
      <c r="S2261" s="6">
        <v>0</v>
      </c>
      <c r="T2261" s="6">
        <v>73</v>
      </c>
      <c r="U2261" s="6">
        <v>116</v>
      </c>
      <c r="V2261" s="71">
        <f>IF(ISERROR(VLOOKUP($S$2261,'TAR FIN'!$A$1:$O$120,15,0)),0,VLOOKUP($S$2261,'TAR FIN'!$A$1:$O$120,15,0))</f>
        <v>0</v>
      </c>
      <c r="W2261" s="71">
        <f>IF(ISERROR(VLOOKUP($T$2261,'TAR FIN'!$A$1:$O$120,15,0)),0,VLOOKUP($T$2261,'TAR FIN'!$A$1:$O$120,15,0))*(1-0.12)</f>
        <v>217.4392</v>
      </c>
      <c r="X2261" s="71">
        <f>IF(ISERROR(VLOOKUP($U$2261,'TAR FIN'!$A$1:$O$120,15,0)),0,VLOOKUP($U$2261,'TAR FIN'!$A$1:$O$120,15,0))*(1-0.12)</f>
        <v>238.40960000000001</v>
      </c>
      <c r="Y2261" s="71"/>
      <c r="Z2261" s="71">
        <f ca="1">('TUSD BE'!$AM$83+'TUSD BF'!$AM$83+'TUSD CVA'!$AM$83)*1*(1-0.09)</f>
        <v>247.40612963696435</v>
      </c>
      <c r="AA2261" s="71">
        <f>('TE BE'!$AA$47+'TE BF'!$AA$47+'TE CVA'!$AA$47)*1*(1-0.09)</f>
        <v>221.04416471938771</v>
      </c>
      <c r="AB2261" s="6">
        <f>$K$2261*$V$2261</f>
        <v>0</v>
      </c>
      <c r="AC2261" s="6">
        <f>$M$2261*$W$2261</f>
        <v>21.743920000000003</v>
      </c>
      <c r="AD2261" s="6">
        <f>$O$2261*$X$2261</f>
        <v>23.840960000000003</v>
      </c>
      <c r="AE2261" s="6">
        <f>$K$2261*$Y$2261</f>
        <v>0</v>
      </c>
      <c r="AF2261" s="6">
        <f ca="1">$M$2261*$Z$2261</f>
        <v>24.740612963696435</v>
      </c>
      <c r="AG2261" s="6">
        <f>$O$2261*$AA$2261</f>
        <v>22.104416471938773</v>
      </c>
    </row>
    <row r="2262" spans="1:33" ht="11.25" customHeight="1" x14ac:dyDescent="0.25">
      <c r="A2262" s="4" t="s">
        <v>21</v>
      </c>
      <c r="B2262" s="4" t="s">
        <v>39</v>
      </c>
      <c r="C2262" s="4" t="s">
        <v>23</v>
      </c>
      <c r="D2262" s="4" t="s">
        <v>52</v>
      </c>
      <c r="E2262" s="4" t="s">
        <v>53</v>
      </c>
      <c r="F2262" s="4" t="s">
        <v>25</v>
      </c>
      <c r="G2262" s="4" t="s">
        <v>25</v>
      </c>
      <c r="H2262" s="4" t="s">
        <v>25</v>
      </c>
      <c r="I2262" s="5">
        <v>43891</v>
      </c>
      <c r="J2262" s="6">
        <v>0</v>
      </c>
      <c r="K2262" s="71">
        <v>0</v>
      </c>
      <c r="L2262" s="6">
        <v>948.73400000000004</v>
      </c>
      <c r="M2262" s="71">
        <v>948.73400000000004</v>
      </c>
      <c r="N2262" s="6">
        <v>948.73400000000004</v>
      </c>
      <c r="O2262" s="71">
        <v>948.73400000000004</v>
      </c>
      <c r="P2262" s="6">
        <v>252</v>
      </c>
      <c r="Q2262" s="4" t="s">
        <v>26</v>
      </c>
      <c r="R2262" s="4">
        <v>0</v>
      </c>
      <c r="S2262" s="6">
        <v>0</v>
      </c>
      <c r="T2262" s="6">
        <v>73</v>
      </c>
      <c r="U2262" s="6">
        <v>116</v>
      </c>
      <c r="V2262" s="71">
        <f>IF(ISERROR(VLOOKUP($S$2262,'TAR FIN'!$A$1:$O$120,15,0)),0,VLOOKUP($S$2262,'TAR FIN'!$A$1:$O$120,15,0))</f>
        <v>0</v>
      </c>
      <c r="W2262" s="71">
        <f>IF(ISERROR(VLOOKUP($T$2262,'TAR FIN'!$A$1:$O$120,15,0)),0,VLOOKUP($T$2262,'TAR FIN'!$A$1:$O$120,15,0))*(1-0.12)</f>
        <v>217.4392</v>
      </c>
      <c r="X2262" s="71">
        <f>IF(ISERROR(VLOOKUP($U$2262,'TAR FIN'!$A$1:$O$120,15,0)),0,VLOOKUP($U$2262,'TAR FIN'!$A$1:$O$120,15,0))*(1-0.12)</f>
        <v>238.40960000000001</v>
      </c>
      <c r="Y2262" s="71"/>
      <c r="Z2262" s="71">
        <f ca="1">('TUSD BE'!$AM$83+'TUSD BF'!$AM$83+'TUSD CVA'!$AM$83)*1*(1-0.09)</f>
        <v>247.40612963696435</v>
      </c>
      <c r="AA2262" s="71">
        <f>('TE BE'!$AA$47+'TE BF'!$AA$47+'TE CVA'!$AA$47)*1*(1-0.09)</f>
        <v>221.04416471938771</v>
      </c>
      <c r="AB2262" s="6">
        <f>$K$2262*$V$2262</f>
        <v>0</v>
      </c>
      <c r="AC2262" s="6">
        <f>$M$2262*$W$2262</f>
        <v>206291.9619728</v>
      </c>
      <c r="AD2262" s="6">
        <f>$O$2262*$X$2262</f>
        <v>226187.29344640003</v>
      </c>
      <c r="AE2262" s="6">
        <f>$K$2262*$Y$2262</f>
        <v>0</v>
      </c>
      <c r="AF2262" s="6">
        <f ca="1">$M$2262*$Z$2262</f>
        <v>234722.60699499576</v>
      </c>
      <c r="AG2262" s="6">
        <f>$O$2262*$AA$2262</f>
        <v>209712.1145708836</v>
      </c>
    </row>
    <row r="2263" spans="1:33" ht="11.25" customHeight="1" x14ac:dyDescent="0.25">
      <c r="A2263" s="4" t="s">
        <v>21</v>
      </c>
      <c r="B2263" s="4" t="s">
        <v>39</v>
      </c>
      <c r="C2263" s="4" t="s">
        <v>23</v>
      </c>
      <c r="D2263" s="4" t="s">
        <v>52</v>
      </c>
      <c r="E2263" s="4" t="s">
        <v>53</v>
      </c>
      <c r="F2263" s="4" t="s">
        <v>25</v>
      </c>
      <c r="G2263" s="4" t="s">
        <v>25</v>
      </c>
      <c r="H2263" s="4" t="s">
        <v>25</v>
      </c>
      <c r="I2263" s="5">
        <v>43922</v>
      </c>
      <c r="J2263" s="6">
        <v>0</v>
      </c>
      <c r="K2263" s="71">
        <v>0</v>
      </c>
      <c r="L2263" s="6">
        <v>931.42600000000004</v>
      </c>
      <c r="M2263" s="71">
        <v>931.42600000000004</v>
      </c>
      <c r="N2263" s="6">
        <v>931.42600000000004</v>
      </c>
      <c r="O2263" s="71">
        <v>931.42600000000004</v>
      </c>
      <c r="P2263" s="6">
        <v>251</v>
      </c>
      <c r="Q2263" s="4" t="s">
        <v>26</v>
      </c>
      <c r="R2263" s="4">
        <v>0</v>
      </c>
      <c r="S2263" s="6">
        <v>0</v>
      </c>
      <c r="T2263" s="6">
        <v>73</v>
      </c>
      <c r="U2263" s="6">
        <v>116</v>
      </c>
      <c r="V2263" s="71">
        <f>IF(ISERROR(VLOOKUP($S$2263,'TAR FIN'!$A$1:$O$120,15,0)),0,VLOOKUP($S$2263,'TAR FIN'!$A$1:$O$120,15,0))</f>
        <v>0</v>
      </c>
      <c r="W2263" s="71">
        <f>IF(ISERROR(VLOOKUP($T$2263,'TAR FIN'!$A$1:$O$120,15,0)),0,VLOOKUP($T$2263,'TAR FIN'!$A$1:$O$120,15,0))*(1-0.12)</f>
        <v>217.4392</v>
      </c>
      <c r="X2263" s="71">
        <f>IF(ISERROR(VLOOKUP($U$2263,'TAR FIN'!$A$1:$O$120,15,0)),0,VLOOKUP($U$2263,'TAR FIN'!$A$1:$O$120,15,0))*(1-0.12)</f>
        <v>238.40960000000001</v>
      </c>
      <c r="Y2263" s="71"/>
      <c r="Z2263" s="71">
        <f ca="1">('TUSD BE'!$AM$83+'TUSD BF'!$AM$83+'TUSD CVA'!$AM$83)*1*(1-0.09)</f>
        <v>247.40612963696435</v>
      </c>
      <c r="AA2263" s="71">
        <f>('TE BE'!$AA$47+'TE BF'!$AA$47+'TE CVA'!$AA$47)*1*(1-0.09)</f>
        <v>221.04416471938771</v>
      </c>
      <c r="AB2263" s="6">
        <f>$K$2263*$V$2263</f>
        <v>0</v>
      </c>
      <c r="AC2263" s="6">
        <f>$M$2263*$W$2263</f>
        <v>202528.52429920001</v>
      </c>
      <c r="AD2263" s="6">
        <f>$O$2263*$X$2263</f>
        <v>222060.90008960001</v>
      </c>
      <c r="AE2263" s="6">
        <f>$K$2263*$Y$2263</f>
        <v>0</v>
      </c>
      <c r="AF2263" s="6">
        <f ca="1">$M$2263*$Z$2263</f>
        <v>230440.50170323916</v>
      </c>
      <c r="AG2263" s="6">
        <f>$O$2263*$AA$2263</f>
        <v>205886.28216792044</v>
      </c>
    </row>
    <row r="2264" spans="1:33" ht="11.25" customHeight="1" x14ac:dyDescent="0.25">
      <c r="A2264" s="4" t="s">
        <v>21</v>
      </c>
      <c r="B2264" s="4" t="s">
        <v>39</v>
      </c>
      <c r="C2264" s="4" t="s">
        <v>23</v>
      </c>
      <c r="D2264" s="4" t="s">
        <v>52</v>
      </c>
      <c r="E2264" s="4" t="s">
        <v>53</v>
      </c>
      <c r="F2264" s="4" t="s">
        <v>25</v>
      </c>
      <c r="G2264" s="4" t="s">
        <v>25</v>
      </c>
      <c r="H2264" s="4" t="s">
        <v>25</v>
      </c>
      <c r="I2264" s="5">
        <v>43952</v>
      </c>
      <c r="J2264" s="6">
        <v>0</v>
      </c>
      <c r="K2264" s="71">
        <v>0</v>
      </c>
      <c r="L2264" s="6">
        <v>893.15499999999997</v>
      </c>
      <c r="M2264" s="71">
        <v>893.15499999999997</v>
      </c>
      <c r="N2264" s="6">
        <v>893.15499999999997</v>
      </c>
      <c r="O2264" s="71">
        <v>893.15499999999997</v>
      </c>
      <c r="P2264" s="6">
        <v>251</v>
      </c>
      <c r="Q2264" s="4" t="s">
        <v>26</v>
      </c>
      <c r="R2264" s="4">
        <v>0</v>
      </c>
      <c r="S2264" s="6">
        <v>0</v>
      </c>
      <c r="T2264" s="6">
        <v>73</v>
      </c>
      <c r="U2264" s="6">
        <v>116</v>
      </c>
      <c r="V2264" s="71">
        <f>IF(ISERROR(VLOOKUP($S$2264,'TAR FIN'!$A$1:$O$120,15,0)),0,VLOOKUP($S$2264,'TAR FIN'!$A$1:$O$120,15,0))</f>
        <v>0</v>
      </c>
      <c r="W2264" s="71">
        <f>IF(ISERROR(VLOOKUP($T$2264,'TAR FIN'!$A$1:$O$120,15,0)),0,VLOOKUP($T$2264,'TAR FIN'!$A$1:$O$120,15,0))*(1-0.12)</f>
        <v>217.4392</v>
      </c>
      <c r="X2264" s="71">
        <f>IF(ISERROR(VLOOKUP($U$2264,'TAR FIN'!$A$1:$O$120,15,0)),0,VLOOKUP($U$2264,'TAR FIN'!$A$1:$O$120,15,0))*(1-0.12)</f>
        <v>238.40960000000001</v>
      </c>
      <c r="Y2264" s="71"/>
      <c r="Z2264" s="71">
        <f ca="1">('TUSD BE'!$AM$83+'TUSD BF'!$AM$83+'TUSD CVA'!$AM$83)*1*(1-0.09)</f>
        <v>247.40612963696435</v>
      </c>
      <c r="AA2264" s="71">
        <f>('TE BE'!$AA$47+'TE BF'!$AA$47+'TE CVA'!$AA$47)*1*(1-0.09)</f>
        <v>221.04416471938771</v>
      </c>
      <c r="AB2264" s="6">
        <f>$K$2264*$V$2264</f>
        <v>0</v>
      </c>
      <c r="AC2264" s="6">
        <f>$M$2264*$W$2264</f>
        <v>194206.90867599999</v>
      </c>
      <c r="AD2264" s="6">
        <f>$O$2264*$X$2264</f>
        <v>212936.72628800001</v>
      </c>
      <c r="AE2264" s="6">
        <f>$K$2264*$Y$2264</f>
        <v>0</v>
      </c>
      <c r="AF2264" s="6">
        <f ca="1">$M$2264*$Z$2264</f>
        <v>220972.0217159029</v>
      </c>
      <c r="AG2264" s="6">
        <f>$O$2264*$AA$2264</f>
        <v>197426.70093994471</v>
      </c>
    </row>
    <row r="2265" spans="1:33" ht="11.25" customHeight="1" x14ac:dyDescent="0.25">
      <c r="A2265" s="4" t="s">
        <v>21</v>
      </c>
      <c r="B2265" s="4" t="s">
        <v>39</v>
      </c>
      <c r="C2265" s="4" t="s">
        <v>23</v>
      </c>
      <c r="D2265" s="4" t="s">
        <v>52</v>
      </c>
      <c r="E2265" s="4" t="s">
        <v>53</v>
      </c>
      <c r="F2265" s="4" t="s">
        <v>25</v>
      </c>
      <c r="G2265" s="4" t="s">
        <v>25</v>
      </c>
      <c r="H2265" s="4" t="s">
        <v>25</v>
      </c>
      <c r="I2265" s="5">
        <v>43983</v>
      </c>
      <c r="J2265" s="6">
        <v>0</v>
      </c>
      <c r="K2265" s="71">
        <v>0</v>
      </c>
      <c r="L2265" s="6">
        <v>834.61699999999996</v>
      </c>
      <c r="M2265" s="71">
        <v>834.61699999999996</v>
      </c>
      <c r="N2265" s="6">
        <v>834.61699999999996</v>
      </c>
      <c r="O2265" s="71">
        <v>834.61699999999996</v>
      </c>
      <c r="P2265" s="6">
        <v>257</v>
      </c>
      <c r="Q2265" s="4" t="s">
        <v>26</v>
      </c>
      <c r="R2265" s="4">
        <v>0</v>
      </c>
      <c r="S2265" s="6">
        <v>0</v>
      </c>
      <c r="T2265" s="6">
        <v>73</v>
      </c>
      <c r="U2265" s="6">
        <v>116</v>
      </c>
      <c r="V2265" s="71">
        <f>IF(ISERROR(VLOOKUP($S$2265,'TAR FIN'!$A$1:$O$120,15,0)),0,VLOOKUP($S$2265,'TAR FIN'!$A$1:$O$120,15,0))</f>
        <v>0</v>
      </c>
      <c r="W2265" s="71">
        <f>IF(ISERROR(VLOOKUP($T$2265,'TAR FIN'!$A$1:$O$120,15,0)),0,VLOOKUP($T$2265,'TAR FIN'!$A$1:$O$120,15,0))*(1-0.12)</f>
        <v>217.4392</v>
      </c>
      <c r="X2265" s="71">
        <f>IF(ISERROR(VLOOKUP($U$2265,'TAR FIN'!$A$1:$O$120,15,0)),0,VLOOKUP($U$2265,'TAR FIN'!$A$1:$O$120,15,0))*(1-0.12)</f>
        <v>238.40960000000001</v>
      </c>
      <c r="Y2265" s="71"/>
      <c r="Z2265" s="71">
        <f ca="1">('TUSD BE'!$AM$83+'TUSD BF'!$AM$83+'TUSD CVA'!$AM$83)*1*(1-0.09)</f>
        <v>247.40612963696435</v>
      </c>
      <c r="AA2265" s="71">
        <f>('TE BE'!$AA$47+'TE BF'!$AA$47+'TE CVA'!$AA$47)*1*(1-0.09)</f>
        <v>221.04416471938771</v>
      </c>
      <c r="AB2265" s="6">
        <f>$K$2265*$V$2265</f>
        <v>0</v>
      </c>
      <c r="AC2265" s="6">
        <f>$M$2265*$W$2265</f>
        <v>181478.45278639998</v>
      </c>
      <c r="AD2265" s="6">
        <f>$O$2265*$X$2265</f>
        <v>198980.70512319999</v>
      </c>
      <c r="AE2265" s="6">
        <f>$K$2265*$Y$2265</f>
        <v>0</v>
      </c>
      <c r="AF2265" s="6">
        <f ca="1">$M$2265*$Z$2265</f>
        <v>206489.36169921426</v>
      </c>
      <c r="AG2265" s="6">
        <f>$O$2265*$AA$2265</f>
        <v>184487.21762560122</v>
      </c>
    </row>
    <row r="2266" spans="1:33" ht="11.25" customHeight="1" x14ac:dyDescent="0.25">
      <c r="A2266" s="4" t="s">
        <v>21</v>
      </c>
      <c r="B2266" s="4" t="s">
        <v>39</v>
      </c>
      <c r="C2266" s="4" t="s">
        <v>23</v>
      </c>
      <c r="D2266" s="4" t="s">
        <v>52</v>
      </c>
      <c r="E2266" s="4" t="s">
        <v>53</v>
      </c>
      <c r="F2266" s="4" t="s">
        <v>25</v>
      </c>
      <c r="G2266" s="4" t="s">
        <v>25</v>
      </c>
      <c r="H2266" s="4" t="s">
        <v>25</v>
      </c>
      <c r="I2266" s="5">
        <v>44013</v>
      </c>
      <c r="J2266" s="6">
        <v>0</v>
      </c>
      <c r="K2266" s="71">
        <v>0</v>
      </c>
      <c r="L2266" s="6">
        <v>938.76499999999999</v>
      </c>
      <c r="M2266" s="71">
        <v>938.76499999999999</v>
      </c>
      <c r="N2266" s="6">
        <v>938.76499999999999</v>
      </c>
      <c r="O2266" s="71">
        <v>938.76499999999999</v>
      </c>
      <c r="P2266" s="6">
        <v>258</v>
      </c>
      <c r="Q2266" s="4" t="s">
        <v>26</v>
      </c>
      <c r="R2266" s="4">
        <v>0</v>
      </c>
      <c r="S2266" s="6">
        <v>0</v>
      </c>
      <c r="T2266" s="6">
        <v>73</v>
      </c>
      <c r="U2266" s="6">
        <v>116</v>
      </c>
      <c r="V2266" s="71">
        <f>IF(ISERROR(VLOOKUP($S$2266,'TAR FIN'!$A$1:$O$120,15,0)),0,VLOOKUP($S$2266,'TAR FIN'!$A$1:$O$120,15,0))</f>
        <v>0</v>
      </c>
      <c r="W2266" s="71">
        <f>IF(ISERROR(VLOOKUP($T$2266,'TAR FIN'!$A$1:$O$120,15,0)),0,VLOOKUP($T$2266,'TAR FIN'!$A$1:$O$120,15,0))*(1-0.12)</f>
        <v>217.4392</v>
      </c>
      <c r="X2266" s="71">
        <f>IF(ISERROR(VLOOKUP($U$2266,'TAR FIN'!$A$1:$O$120,15,0)),0,VLOOKUP($U$2266,'TAR FIN'!$A$1:$O$120,15,0))*(1-0.12)</f>
        <v>238.40960000000001</v>
      </c>
      <c r="Y2266" s="71"/>
      <c r="Z2266" s="71">
        <f ca="1">('TUSD BE'!$AM$83+'TUSD BF'!$AM$83+'TUSD CVA'!$AM$83)*1*(1-0.09)</f>
        <v>247.40612963696435</v>
      </c>
      <c r="AA2266" s="71">
        <f>('TE BE'!$AA$47+'TE BF'!$AA$47+'TE CVA'!$AA$47)*1*(1-0.09)</f>
        <v>221.04416471938771</v>
      </c>
      <c r="AB2266" s="6">
        <f>$K$2266*$V$2266</f>
        <v>0</v>
      </c>
      <c r="AC2266" s="6">
        <f>$M$2266*$W$2266</f>
        <v>204124.31058799999</v>
      </c>
      <c r="AD2266" s="6">
        <f>$O$2266*$X$2266</f>
        <v>223810.58814400001</v>
      </c>
      <c r="AE2266" s="6">
        <f>$K$2266*$Y$2266</f>
        <v>0</v>
      </c>
      <c r="AF2266" s="6">
        <f ca="1">$M$2266*$Z$2266</f>
        <v>232256.21528864483</v>
      </c>
      <c r="AG2266" s="6">
        <f>$O$2266*$AA$2266</f>
        <v>207508.525292796</v>
      </c>
    </row>
    <row r="2267" spans="1:33" ht="11.25" customHeight="1" x14ac:dyDescent="0.25">
      <c r="A2267" s="4" t="s">
        <v>21</v>
      </c>
      <c r="B2267" s="4" t="s">
        <v>39</v>
      </c>
      <c r="C2267" s="4" t="s">
        <v>23</v>
      </c>
      <c r="D2267" s="4" t="s">
        <v>52</v>
      </c>
      <c r="E2267" s="4" t="s">
        <v>53</v>
      </c>
      <c r="F2267" s="4" t="s">
        <v>25</v>
      </c>
      <c r="G2267" s="4" t="s">
        <v>25</v>
      </c>
      <c r="H2267" s="4" t="s">
        <v>25</v>
      </c>
      <c r="I2267" s="5">
        <v>44044</v>
      </c>
      <c r="J2267" s="6">
        <v>0</v>
      </c>
      <c r="K2267" s="71">
        <v>0</v>
      </c>
      <c r="L2267" s="6">
        <v>874.375</v>
      </c>
      <c r="M2267" s="71">
        <v>874.375</v>
      </c>
      <c r="N2267" s="6">
        <v>874.375</v>
      </c>
      <c r="O2267" s="71">
        <v>874.375</v>
      </c>
      <c r="P2267" s="6">
        <v>259</v>
      </c>
      <c r="Q2267" s="4" t="s">
        <v>26</v>
      </c>
      <c r="R2267" s="4">
        <v>0</v>
      </c>
      <c r="S2267" s="6">
        <v>0</v>
      </c>
      <c r="T2267" s="6">
        <v>73</v>
      </c>
      <c r="U2267" s="6">
        <v>116</v>
      </c>
      <c r="V2267" s="71">
        <f>IF(ISERROR(VLOOKUP($S$2267,'TAR FIN'!$A$1:$O$120,15,0)),0,VLOOKUP($S$2267,'TAR FIN'!$A$1:$O$120,15,0))</f>
        <v>0</v>
      </c>
      <c r="W2267" s="71">
        <f>IF(ISERROR(VLOOKUP($T$2267,'TAR FIN'!$A$1:$O$120,15,0)),0,VLOOKUP($T$2267,'TAR FIN'!$A$1:$O$120,15,0))*(1-0.12)</f>
        <v>217.4392</v>
      </c>
      <c r="X2267" s="71">
        <f>IF(ISERROR(VLOOKUP($U$2267,'TAR FIN'!$A$1:$O$120,15,0)),0,VLOOKUP($U$2267,'TAR FIN'!$A$1:$O$120,15,0))*(1-0.12)</f>
        <v>238.40960000000001</v>
      </c>
      <c r="Y2267" s="71"/>
      <c r="Z2267" s="71">
        <f ca="1">('TUSD BE'!$AM$83+'TUSD BF'!$AM$83+'TUSD CVA'!$AM$83)*1*(1-0.09)</f>
        <v>247.40612963696435</v>
      </c>
      <c r="AA2267" s="71">
        <f>('TE BE'!$AA$47+'TE BF'!$AA$47+'TE CVA'!$AA$47)*1*(1-0.09)</f>
        <v>221.04416471938771</v>
      </c>
      <c r="AB2267" s="6">
        <f>$K$2267*$V$2267</f>
        <v>0</v>
      </c>
      <c r="AC2267" s="6">
        <f>$M$2267*$W$2267</f>
        <v>190123.40049999999</v>
      </c>
      <c r="AD2267" s="6">
        <f>$O$2267*$X$2267</f>
        <v>208459.394</v>
      </c>
      <c r="AE2267" s="6">
        <f>$K$2267*$Y$2267</f>
        <v>0</v>
      </c>
      <c r="AF2267" s="6">
        <f ca="1">$M$2267*$Z$2267</f>
        <v>216325.7346013207</v>
      </c>
      <c r="AG2267" s="6">
        <f>$O$2267*$AA$2267</f>
        <v>193275.49152651464</v>
      </c>
    </row>
    <row r="2268" spans="1:33" ht="11.25" customHeight="1" x14ac:dyDescent="0.25">
      <c r="A2268" s="4" t="s">
        <v>27</v>
      </c>
      <c r="B2268" s="4" t="s">
        <v>39</v>
      </c>
      <c r="C2268" s="4" t="s">
        <v>23</v>
      </c>
      <c r="D2268" s="4" t="s">
        <v>52</v>
      </c>
      <c r="E2268" s="4" t="s">
        <v>53</v>
      </c>
      <c r="F2268" s="4" t="s">
        <v>25</v>
      </c>
      <c r="G2268" s="4" t="s">
        <v>25</v>
      </c>
      <c r="H2268" s="4" t="s">
        <v>25</v>
      </c>
      <c r="I2268" s="5">
        <v>44044</v>
      </c>
      <c r="J2268" s="6">
        <v>0</v>
      </c>
      <c r="K2268" s="71">
        <v>0</v>
      </c>
      <c r="L2268" s="6">
        <v>12.766</v>
      </c>
      <c r="M2268" s="71">
        <v>12.766</v>
      </c>
      <c r="N2268" s="6">
        <v>12.766</v>
      </c>
      <c r="O2268" s="71">
        <v>12.766</v>
      </c>
      <c r="P2268" s="6">
        <v>0</v>
      </c>
      <c r="Q2268" s="4" t="s">
        <v>26</v>
      </c>
      <c r="R2268" s="4">
        <v>0</v>
      </c>
      <c r="S2268" s="6">
        <v>0</v>
      </c>
      <c r="T2268" s="6">
        <v>73</v>
      </c>
      <c r="U2268" s="6">
        <v>116</v>
      </c>
      <c r="V2268" s="71">
        <f>IF(ISERROR(VLOOKUP($S$2268,'TAR FIN'!$A$1:$O$120,15,0)),0,VLOOKUP($S$2268,'TAR FIN'!$A$1:$O$120,15,0))</f>
        <v>0</v>
      </c>
      <c r="W2268" s="71">
        <f>IF(ISERROR(VLOOKUP($T$2268,'TAR FIN'!$A$1:$O$120,15,0)),0,VLOOKUP($T$2268,'TAR FIN'!$A$1:$O$120,15,0))*(1-0.12)</f>
        <v>217.4392</v>
      </c>
      <c r="X2268" s="71">
        <f>IF(ISERROR(VLOOKUP($U$2268,'TAR FIN'!$A$1:$O$120,15,0)),0,VLOOKUP($U$2268,'TAR FIN'!$A$1:$O$120,15,0))*(1-0.12)</f>
        <v>238.40960000000001</v>
      </c>
      <c r="Y2268" s="71"/>
      <c r="Z2268" s="71">
        <f ca="1">('TUSD BE'!$AM$83+'TUSD BF'!$AM$83+'TUSD CVA'!$AM$83)*1*(1-0.09)</f>
        <v>247.40612963696435</v>
      </c>
      <c r="AA2268" s="71">
        <f>('TE BE'!$AA$47+'TE BF'!$AA$47+'TE CVA'!$AA$47)*1*(1-0.09)</f>
        <v>221.04416471938771</v>
      </c>
      <c r="AB2268" s="6">
        <f>$K$2268*$V$2268</f>
        <v>0</v>
      </c>
      <c r="AC2268" s="6">
        <f>$M$2268*$W$2268</f>
        <v>2775.8288272</v>
      </c>
      <c r="AD2268" s="6">
        <f>$O$2268*$X$2268</f>
        <v>3043.5369536000003</v>
      </c>
      <c r="AE2268" s="6">
        <f>$K$2268*$Y$2268</f>
        <v>0</v>
      </c>
      <c r="AF2268" s="6">
        <f ca="1">$M$2268*$Z$2268</f>
        <v>3158.386650945487</v>
      </c>
      <c r="AG2268" s="6">
        <f>$O$2268*$AA$2268</f>
        <v>2821.8498068077033</v>
      </c>
    </row>
    <row r="2269" spans="1:33" ht="11.25" customHeight="1" x14ac:dyDescent="0.25">
      <c r="A2269" s="4" t="s">
        <v>59</v>
      </c>
      <c r="B2269" s="4" t="s">
        <v>39</v>
      </c>
      <c r="C2269" s="4" t="s">
        <v>23</v>
      </c>
      <c r="D2269" s="4" t="s">
        <v>52</v>
      </c>
      <c r="E2269" s="4" t="s">
        <v>53</v>
      </c>
      <c r="F2269" s="4" t="s">
        <v>25</v>
      </c>
      <c r="G2269" s="4" t="s">
        <v>25</v>
      </c>
      <c r="H2269" s="4" t="s">
        <v>25</v>
      </c>
      <c r="I2269" s="5">
        <v>44075</v>
      </c>
      <c r="J2269" s="6">
        <v>0</v>
      </c>
      <c r="K2269" s="71">
        <v>0</v>
      </c>
      <c r="L2269" s="6">
        <v>874.375</v>
      </c>
      <c r="M2269" s="71">
        <v>874.375</v>
      </c>
      <c r="N2269" s="6">
        <v>874.375</v>
      </c>
      <c r="O2269" s="71">
        <v>874.375</v>
      </c>
      <c r="P2269" s="6">
        <v>259</v>
      </c>
      <c r="Q2269" s="4" t="s">
        <v>26</v>
      </c>
      <c r="R2269" s="4">
        <v>0</v>
      </c>
      <c r="S2269" s="6">
        <v>0</v>
      </c>
      <c r="T2269" s="6">
        <v>73</v>
      </c>
      <c r="U2269" s="6">
        <v>116</v>
      </c>
      <c r="V2269" s="71">
        <f>IF(ISERROR(VLOOKUP($S$2269,'TAR FIN'!$A$1:$O$120,15,0)),0,VLOOKUP($S$2269,'TAR FIN'!$A$1:$O$120,15,0))</f>
        <v>0</v>
      </c>
      <c r="W2269" s="71">
        <f>IF(ISERROR(VLOOKUP($T$2269,'TAR FIN'!$A$1:$O$120,15,0)),0,VLOOKUP($T$2269,'TAR FIN'!$A$1:$O$120,15,0))*(1-0.12)</f>
        <v>217.4392</v>
      </c>
      <c r="X2269" s="71">
        <f>IF(ISERROR(VLOOKUP($U$2269,'TAR FIN'!$A$1:$O$120,15,0)),0,VLOOKUP($U$2269,'TAR FIN'!$A$1:$O$120,15,0))*(1-0.12)</f>
        <v>238.40960000000001</v>
      </c>
      <c r="Y2269" s="71"/>
      <c r="Z2269" s="71">
        <f ca="1">('TUSD BE'!$AM$83+'TUSD BF'!$AM$83+'TUSD CVA'!$AM$83)*1*(1-0.09)</f>
        <v>247.40612963696435</v>
      </c>
      <c r="AA2269" s="71">
        <f>('TE BE'!$AA$47+'TE BF'!$AA$47+'TE CVA'!$AA$47)*1*(1-0.09)</f>
        <v>221.04416471938771</v>
      </c>
      <c r="AB2269" s="6">
        <f>$K$2269*$V$2269</f>
        <v>0</v>
      </c>
      <c r="AC2269" s="6">
        <f>$M$2269*$W$2269</f>
        <v>190123.40049999999</v>
      </c>
      <c r="AD2269" s="6">
        <f>$O$2269*$X$2269</f>
        <v>208459.394</v>
      </c>
      <c r="AE2269" s="6">
        <f>$K$2269*$Y$2269</f>
        <v>0</v>
      </c>
      <c r="AF2269" s="6">
        <f ca="1">$M$2269*$Z$2269</f>
        <v>216325.7346013207</v>
      </c>
      <c r="AG2269" s="6">
        <f>$O$2269*$AA$2269</f>
        <v>193275.49152651464</v>
      </c>
    </row>
    <row r="2270" spans="1:33" ht="11.25" customHeight="1" x14ac:dyDescent="0.25">
      <c r="A2270" s="4" t="s">
        <v>59</v>
      </c>
      <c r="B2270" s="4" t="s">
        <v>39</v>
      </c>
      <c r="C2270" s="4" t="s">
        <v>23</v>
      </c>
      <c r="D2270" s="4" t="s">
        <v>52</v>
      </c>
      <c r="E2270" s="4" t="s">
        <v>53</v>
      </c>
      <c r="F2270" s="4" t="s">
        <v>25</v>
      </c>
      <c r="G2270" s="4" t="s">
        <v>25</v>
      </c>
      <c r="H2270" s="4" t="s">
        <v>25</v>
      </c>
      <c r="I2270" s="5">
        <v>44075</v>
      </c>
      <c r="J2270" s="6">
        <v>0</v>
      </c>
      <c r="K2270" s="71">
        <v>0</v>
      </c>
      <c r="L2270" s="6">
        <v>12.766</v>
      </c>
      <c r="M2270" s="71">
        <v>12.766</v>
      </c>
      <c r="N2270" s="6">
        <v>12.766</v>
      </c>
      <c r="O2270" s="71">
        <v>12.766</v>
      </c>
      <c r="P2270" s="6">
        <v>0</v>
      </c>
      <c r="Q2270" s="4" t="s">
        <v>26</v>
      </c>
      <c r="R2270" s="4">
        <v>0</v>
      </c>
      <c r="S2270" s="6">
        <v>0</v>
      </c>
      <c r="T2270" s="6">
        <v>73</v>
      </c>
      <c r="U2270" s="6">
        <v>116</v>
      </c>
      <c r="V2270" s="71">
        <f>IF(ISERROR(VLOOKUP($S$2270,'TAR FIN'!$A$1:$O$120,15,0)),0,VLOOKUP($S$2270,'TAR FIN'!$A$1:$O$120,15,0))</f>
        <v>0</v>
      </c>
      <c r="W2270" s="71">
        <f>IF(ISERROR(VLOOKUP($T$2270,'TAR FIN'!$A$1:$O$120,15,0)),0,VLOOKUP($T$2270,'TAR FIN'!$A$1:$O$120,15,0))*(1-0.12)</f>
        <v>217.4392</v>
      </c>
      <c r="X2270" s="71">
        <f>IF(ISERROR(VLOOKUP($U$2270,'TAR FIN'!$A$1:$O$120,15,0)),0,VLOOKUP($U$2270,'TAR FIN'!$A$1:$O$120,15,0))*(1-0.12)</f>
        <v>238.40960000000001</v>
      </c>
      <c r="Y2270" s="71"/>
      <c r="Z2270" s="71">
        <f ca="1">('TUSD BE'!$AM$83+'TUSD BF'!$AM$83+'TUSD CVA'!$AM$83)*1*(1-0.09)</f>
        <v>247.40612963696435</v>
      </c>
      <c r="AA2270" s="71">
        <f>('TE BE'!$AA$47+'TE BF'!$AA$47+'TE CVA'!$AA$47)*1*(1-0.09)</f>
        <v>221.04416471938771</v>
      </c>
      <c r="AB2270" s="6">
        <f>$K$2270*$V$2270</f>
        <v>0</v>
      </c>
      <c r="AC2270" s="6">
        <f>$M$2270*$W$2270</f>
        <v>2775.8288272</v>
      </c>
      <c r="AD2270" s="6">
        <f>$O$2270*$X$2270</f>
        <v>3043.5369536000003</v>
      </c>
      <c r="AE2270" s="6">
        <f>$K$2270*$Y$2270</f>
        <v>0</v>
      </c>
      <c r="AF2270" s="6">
        <f ca="1">$M$2270*$Z$2270</f>
        <v>3158.386650945487</v>
      </c>
      <c r="AG2270" s="6">
        <f>$O$2270*$AA$2270</f>
        <v>2821.8498068077033</v>
      </c>
    </row>
    <row r="2271" spans="1:33" ht="11.25" customHeight="1" x14ac:dyDescent="0.25">
      <c r="A2271" s="4" t="s">
        <v>21</v>
      </c>
      <c r="B2271" s="4" t="s">
        <v>49</v>
      </c>
      <c r="C2271" s="4" t="s">
        <v>23</v>
      </c>
      <c r="D2271" s="4" t="s">
        <v>50</v>
      </c>
      <c r="E2271" s="4" t="s">
        <v>51</v>
      </c>
      <c r="F2271" s="4" t="s">
        <v>25</v>
      </c>
      <c r="G2271" s="4" t="s">
        <v>25</v>
      </c>
      <c r="H2271" s="4" t="s">
        <v>25</v>
      </c>
      <c r="I2271" s="5">
        <v>43739</v>
      </c>
      <c r="J2271" s="6">
        <v>0</v>
      </c>
      <c r="K2271" s="6">
        <v>0</v>
      </c>
      <c r="L2271" s="6">
        <v>0.2</v>
      </c>
      <c r="M2271" s="6">
        <v>0.2</v>
      </c>
      <c r="N2271" s="6">
        <v>0.2</v>
      </c>
      <c r="O2271" s="6">
        <v>0.2</v>
      </c>
      <c r="P2271" s="6">
        <v>23</v>
      </c>
      <c r="Q2271" s="4" t="s">
        <v>26</v>
      </c>
      <c r="R2271" s="4">
        <v>0</v>
      </c>
      <c r="S2271" s="6">
        <v>0</v>
      </c>
      <c r="T2271" s="6">
        <v>75</v>
      </c>
      <c r="U2271" s="6">
        <v>118</v>
      </c>
      <c r="V2271" s="6">
        <f>IF(ISERROR(VLOOKUP($S$2271,'TAR FIN'!$A$1:$O$120,15,0)),0,VLOOKUP($S$2271,'TAR FIN'!$A$1:$O$120,15,0))</f>
        <v>0</v>
      </c>
      <c r="W2271" s="6">
        <f>IF(ISERROR(VLOOKUP($T$2271,'TAR FIN'!$A$1:$O$120,15,0)),0,VLOOKUP($T$2271,'TAR FIN'!$A$1:$O$120,15,0))</f>
        <v>135.9</v>
      </c>
      <c r="X2271" s="6">
        <f>IF(ISERROR(VLOOKUP($U$2271,'TAR FIN'!$A$1:$O$120,15,0)),0,VLOOKUP($U$2271,'TAR FIN'!$A$1:$O$120,15,0))</f>
        <v>149.01</v>
      </c>
      <c r="Y2271" s="6"/>
      <c r="Z2271" s="6">
        <f ca="1">('TUSD BE'!$AM$85+'TUSD BF'!$AM$85+'TUSD CVA'!$AM$85)*1</f>
        <v>149.53117725311031</v>
      </c>
      <c r="AA2271" s="6">
        <f>('TE BE'!$AA$49+'TE BF'!$AA$49+'TE CVA'!$AA$49)*1</f>
        <v>133.59812153369589</v>
      </c>
      <c r="AB2271" s="6">
        <f>$K$2271*$V$2271</f>
        <v>0</v>
      </c>
      <c r="AC2271" s="6">
        <f>$M$2271*$W$2271</f>
        <v>27.180000000000003</v>
      </c>
      <c r="AD2271" s="6">
        <f>$O$2271*$X$2271</f>
        <v>29.802</v>
      </c>
      <c r="AE2271" s="6">
        <f>$K$2271*$Y$2271</f>
        <v>0</v>
      </c>
      <c r="AF2271" s="6">
        <f ca="1">$M$2271*$Z$2271</f>
        <v>29.906235450622063</v>
      </c>
      <c r="AG2271" s="6">
        <f>$O$2271*$AA$2271</f>
        <v>26.719624306739178</v>
      </c>
    </row>
    <row r="2272" spans="1:33" ht="11.25" customHeight="1" x14ac:dyDescent="0.25">
      <c r="A2272" s="4" t="s">
        <v>27</v>
      </c>
      <c r="B2272" s="4" t="s">
        <v>49</v>
      </c>
      <c r="C2272" s="4" t="s">
        <v>23</v>
      </c>
      <c r="D2272" s="4" t="s">
        <v>50</v>
      </c>
      <c r="E2272" s="4" t="s">
        <v>51</v>
      </c>
      <c r="F2272" s="4" t="s">
        <v>25</v>
      </c>
      <c r="G2272" s="4" t="s">
        <v>25</v>
      </c>
      <c r="H2272" s="4" t="s">
        <v>25</v>
      </c>
      <c r="I2272" s="5">
        <v>43739</v>
      </c>
      <c r="J2272" s="6">
        <v>0</v>
      </c>
      <c r="K2272" s="6">
        <v>0</v>
      </c>
      <c r="L2272" s="6">
        <v>35479.078999999998</v>
      </c>
      <c r="M2272" s="6">
        <v>35479.078999999998</v>
      </c>
      <c r="N2272" s="6">
        <v>35479.078999999998</v>
      </c>
      <c r="O2272" s="6">
        <v>35479.078999999998</v>
      </c>
      <c r="P2272" s="6">
        <v>0</v>
      </c>
      <c r="Q2272" s="4" t="s">
        <v>26</v>
      </c>
      <c r="R2272" s="4">
        <v>0</v>
      </c>
      <c r="S2272" s="6">
        <v>0</v>
      </c>
      <c r="T2272" s="6">
        <v>75</v>
      </c>
      <c r="U2272" s="6">
        <v>118</v>
      </c>
      <c r="V2272" s="6">
        <f>IF(ISERROR(VLOOKUP($S$2272,'TAR FIN'!$A$1:$O$120,15,0)),0,VLOOKUP($S$2272,'TAR FIN'!$A$1:$O$120,15,0))</f>
        <v>0</v>
      </c>
      <c r="W2272" s="6">
        <f>IF(ISERROR(VLOOKUP($T$2272,'TAR FIN'!$A$1:$O$120,15,0)),0,VLOOKUP($T$2272,'TAR FIN'!$A$1:$O$120,15,0))</f>
        <v>135.9</v>
      </c>
      <c r="X2272" s="6">
        <f>IF(ISERROR(VLOOKUP($U$2272,'TAR FIN'!$A$1:$O$120,15,0)),0,VLOOKUP($U$2272,'TAR FIN'!$A$1:$O$120,15,0))</f>
        <v>149.01</v>
      </c>
      <c r="Y2272" s="6"/>
      <c r="Z2272" s="6">
        <f ca="1">('TUSD BE'!$AM$85+'TUSD BF'!$AM$85+'TUSD CVA'!$AM$85)*1</f>
        <v>149.53117725311031</v>
      </c>
      <c r="AA2272" s="6">
        <f>('TE BE'!$AA$49+'TE BF'!$AA$49+'TE CVA'!$AA$49)*1</f>
        <v>133.59812153369589</v>
      </c>
      <c r="AB2272" s="6">
        <f>$K$2272*$V$2272</f>
        <v>0</v>
      </c>
      <c r="AC2272" s="6">
        <f>$M$2272*$W$2272</f>
        <v>4821606.8361</v>
      </c>
      <c r="AD2272" s="6">
        <f>$O$2272*$X$2272</f>
        <v>5286737.5617899997</v>
      </c>
      <c r="AE2272" s="6">
        <f>$K$2272*$Y$2272</f>
        <v>0</v>
      </c>
      <c r="AF2272" s="6">
        <f ca="1">$M$2272*$Z$2272</f>
        <v>5305228.450726104</v>
      </c>
      <c r="AG2272" s="6">
        <f>$O$2272*$AA$2272</f>
        <v>4739938.3081455976</v>
      </c>
    </row>
    <row r="2273" spans="1:33" ht="11.25" customHeight="1" x14ac:dyDescent="0.25">
      <c r="A2273" s="4" t="s">
        <v>27</v>
      </c>
      <c r="B2273" s="4" t="s">
        <v>49</v>
      </c>
      <c r="C2273" s="4" t="s">
        <v>23</v>
      </c>
      <c r="D2273" s="4" t="s">
        <v>50</v>
      </c>
      <c r="E2273" s="4" t="s">
        <v>51</v>
      </c>
      <c r="F2273" s="4" t="s">
        <v>25</v>
      </c>
      <c r="G2273" s="4" t="s">
        <v>25</v>
      </c>
      <c r="H2273" s="4" t="s">
        <v>25</v>
      </c>
      <c r="I2273" s="5">
        <v>43770</v>
      </c>
      <c r="J2273" s="6">
        <v>0</v>
      </c>
      <c r="K2273" s="6">
        <v>0</v>
      </c>
      <c r="L2273" s="6">
        <v>32795.887000000002</v>
      </c>
      <c r="M2273" s="6">
        <v>32795.887000000002</v>
      </c>
      <c r="N2273" s="6">
        <v>32795.887000000002</v>
      </c>
      <c r="O2273" s="6">
        <v>32795.887000000002</v>
      </c>
      <c r="P2273" s="6">
        <v>0</v>
      </c>
      <c r="Q2273" s="4" t="s">
        <v>26</v>
      </c>
      <c r="R2273" s="4">
        <v>0</v>
      </c>
      <c r="S2273" s="6">
        <v>0</v>
      </c>
      <c r="T2273" s="6">
        <v>75</v>
      </c>
      <c r="U2273" s="6">
        <v>118</v>
      </c>
      <c r="V2273" s="6">
        <f>IF(ISERROR(VLOOKUP($S$2273,'TAR FIN'!$A$1:$O$120,15,0)),0,VLOOKUP($S$2273,'TAR FIN'!$A$1:$O$120,15,0))</f>
        <v>0</v>
      </c>
      <c r="W2273" s="6">
        <f>IF(ISERROR(VLOOKUP($T$2273,'TAR FIN'!$A$1:$O$120,15,0)),0,VLOOKUP($T$2273,'TAR FIN'!$A$1:$O$120,15,0))</f>
        <v>135.9</v>
      </c>
      <c r="X2273" s="6">
        <f>IF(ISERROR(VLOOKUP($U$2273,'TAR FIN'!$A$1:$O$120,15,0)),0,VLOOKUP($U$2273,'TAR FIN'!$A$1:$O$120,15,0))</f>
        <v>149.01</v>
      </c>
      <c r="Y2273" s="6"/>
      <c r="Z2273" s="6">
        <f ca="1">('TUSD BE'!$AM$85+'TUSD BF'!$AM$85+'TUSD CVA'!$AM$85)*1</f>
        <v>149.53117725311031</v>
      </c>
      <c r="AA2273" s="6">
        <f>('TE BE'!$AA$49+'TE BF'!$AA$49+'TE CVA'!$AA$49)*1</f>
        <v>133.59812153369589</v>
      </c>
      <c r="AB2273" s="6">
        <f>$K$2273*$V$2273</f>
        <v>0</v>
      </c>
      <c r="AC2273" s="6">
        <f>$M$2273*$W$2273</f>
        <v>4456961.043300001</v>
      </c>
      <c r="AD2273" s="6">
        <f>$O$2273*$X$2273</f>
        <v>4886915.1218699999</v>
      </c>
      <c r="AE2273" s="6">
        <f>$K$2273*$Y$2273</f>
        <v>0</v>
      </c>
      <c r="AF2273" s="6">
        <f ca="1">$M$2273*$Z$2273</f>
        <v>4904007.5921699768</v>
      </c>
      <c r="AG2273" s="6">
        <f>$O$2273*$AA$2273</f>
        <v>4381468.8972313572</v>
      </c>
    </row>
    <row r="2274" spans="1:33" ht="11.25" customHeight="1" x14ac:dyDescent="0.25">
      <c r="A2274" s="4" t="s">
        <v>21</v>
      </c>
      <c r="B2274" s="4" t="s">
        <v>49</v>
      </c>
      <c r="C2274" s="4" t="s">
        <v>23</v>
      </c>
      <c r="D2274" s="4" t="s">
        <v>50</v>
      </c>
      <c r="E2274" s="4" t="s">
        <v>51</v>
      </c>
      <c r="F2274" s="4" t="s">
        <v>25</v>
      </c>
      <c r="G2274" s="4" t="s">
        <v>25</v>
      </c>
      <c r="H2274" s="4" t="s">
        <v>25</v>
      </c>
      <c r="I2274" s="5">
        <v>43800</v>
      </c>
      <c r="J2274" s="6">
        <v>0</v>
      </c>
      <c r="K2274" s="6">
        <v>0</v>
      </c>
      <c r="L2274" s="6">
        <v>35662.417000000001</v>
      </c>
      <c r="M2274" s="6">
        <v>35662.417000000001</v>
      </c>
      <c r="N2274" s="6">
        <v>35662.417000000001</v>
      </c>
      <c r="O2274" s="6">
        <v>35662.417000000001</v>
      </c>
      <c r="P2274" s="6">
        <v>23</v>
      </c>
      <c r="Q2274" s="4" t="s">
        <v>26</v>
      </c>
      <c r="R2274" s="4">
        <v>0</v>
      </c>
      <c r="S2274" s="6">
        <v>0</v>
      </c>
      <c r="T2274" s="6">
        <v>75</v>
      </c>
      <c r="U2274" s="6">
        <v>118</v>
      </c>
      <c r="V2274" s="6">
        <f>IF(ISERROR(VLOOKUP($S$2274,'TAR FIN'!$A$1:$O$120,15,0)),0,VLOOKUP($S$2274,'TAR FIN'!$A$1:$O$120,15,0))</f>
        <v>0</v>
      </c>
      <c r="W2274" s="6">
        <f>IF(ISERROR(VLOOKUP($T$2274,'TAR FIN'!$A$1:$O$120,15,0)),0,VLOOKUP($T$2274,'TAR FIN'!$A$1:$O$120,15,0))</f>
        <v>135.9</v>
      </c>
      <c r="X2274" s="6">
        <f>IF(ISERROR(VLOOKUP($U$2274,'TAR FIN'!$A$1:$O$120,15,0)),0,VLOOKUP($U$2274,'TAR FIN'!$A$1:$O$120,15,0))</f>
        <v>149.01</v>
      </c>
      <c r="Y2274" s="6"/>
      <c r="Z2274" s="6">
        <f ca="1">('TUSD BE'!$AM$85+'TUSD BF'!$AM$85+'TUSD CVA'!$AM$85)*1</f>
        <v>149.53117725311031</v>
      </c>
      <c r="AA2274" s="6">
        <f>('TE BE'!$AA$49+'TE BF'!$AA$49+'TE CVA'!$AA$49)*1</f>
        <v>133.59812153369589</v>
      </c>
      <c r="AB2274" s="6">
        <f>$K$2274*$V$2274</f>
        <v>0</v>
      </c>
      <c r="AC2274" s="6">
        <f>$M$2274*$W$2274</f>
        <v>4846522.4703000002</v>
      </c>
      <c r="AD2274" s="6">
        <f>$O$2274*$X$2274</f>
        <v>5314056.7571700001</v>
      </c>
      <c r="AE2274" s="6">
        <f>$K$2274*$Y$2274</f>
        <v>0</v>
      </c>
      <c r="AF2274" s="6">
        <f ca="1">$M$2274*$Z$2274</f>
        <v>5332643.197701335</v>
      </c>
      <c r="AG2274" s="6">
        <f>$O$2274*$AA$2274</f>
        <v>4764431.9205513429</v>
      </c>
    </row>
    <row r="2275" spans="1:33" ht="11.25" customHeight="1" x14ac:dyDescent="0.25">
      <c r="A2275" s="4" t="s">
        <v>21</v>
      </c>
      <c r="B2275" s="4" t="s">
        <v>49</v>
      </c>
      <c r="C2275" s="4" t="s">
        <v>23</v>
      </c>
      <c r="D2275" s="4" t="s">
        <v>50</v>
      </c>
      <c r="E2275" s="4" t="s">
        <v>51</v>
      </c>
      <c r="F2275" s="4" t="s">
        <v>25</v>
      </c>
      <c r="G2275" s="4" t="s">
        <v>25</v>
      </c>
      <c r="H2275" s="4" t="s">
        <v>25</v>
      </c>
      <c r="I2275" s="5">
        <v>43831</v>
      </c>
      <c r="J2275" s="6">
        <v>0</v>
      </c>
      <c r="K2275" s="6">
        <v>0</v>
      </c>
      <c r="L2275" s="6">
        <v>35556.023000000001</v>
      </c>
      <c r="M2275" s="6">
        <v>35556.023000000001</v>
      </c>
      <c r="N2275" s="6">
        <v>35556.023000000001</v>
      </c>
      <c r="O2275" s="6">
        <v>35556.023000000001</v>
      </c>
      <c r="P2275" s="6">
        <v>23</v>
      </c>
      <c r="Q2275" s="4" t="s">
        <v>26</v>
      </c>
      <c r="R2275" s="4">
        <v>0</v>
      </c>
      <c r="S2275" s="6">
        <v>0</v>
      </c>
      <c r="T2275" s="6">
        <v>75</v>
      </c>
      <c r="U2275" s="6">
        <v>118</v>
      </c>
      <c r="V2275" s="6">
        <f>IF(ISERROR(VLOOKUP($S$2275,'TAR FIN'!$A$1:$O$120,15,0)),0,VLOOKUP($S$2275,'TAR FIN'!$A$1:$O$120,15,0))</f>
        <v>0</v>
      </c>
      <c r="W2275" s="6">
        <f>IF(ISERROR(VLOOKUP($T$2275,'TAR FIN'!$A$1:$O$120,15,0)),0,VLOOKUP($T$2275,'TAR FIN'!$A$1:$O$120,15,0))</f>
        <v>135.9</v>
      </c>
      <c r="X2275" s="6">
        <f>IF(ISERROR(VLOOKUP($U$2275,'TAR FIN'!$A$1:$O$120,15,0)),0,VLOOKUP($U$2275,'TAR FIN'!$A$1:$O$120,15,0))</f>
        <v>149.01</v>
      </c>
      <c r="Y2275" s="6"/>
      <c r="Z2275" s="6">
        <f ca="1">('TUSD BE'!$AM$85+'TUSD BF'!$AM$85+'TUSD CVA'!$AM$85)*1</f>
        <v>149.53117725311031</v>
      </c>
      <c r="AA2275" s="6">
        <f>('TE BE'!$AA$49+'TE BF'!$AA$49+'TE CVA'!$AA$49)*1</f>
        <v>133.59812153369589</v>
      </c>
      <c r="AB2275" s="6">
        <f>$K$2275*$V$2275</f>
        <v>0</v>
      </c>
      <c r="AC2275" s="6">
        <f>$M$2275*$W$2275</f>
        <v>4832063.5257000001</v>
      </c>
      <c r="AD2275" s="6">
        <f>$O$2275*$X$2275</f>
        <v>5298202.9872300001</v>
      </c>
      <c r="AE2275" s="6">
        <f>$K$2275*$Y$2275</f>
        <v>0</v>
      </c>
      <c r="AF2275" s="6">
        <f ca="1">$M$2275*$Z$2275</f>
        <v>5316733.9776286669</v>
      </c>
      <c r="AG2275" s="6">
        <f>$O$2275*$AA$2275</f>
        <v>4750217.882008886</v>
      </c>
    </row>
    <row r="2276" spans="1:33" ht="11.25" customHeight="1" x14ac:dyDescent="0.25">
      <c r="A2276" s="4" t="s">
        <v>21</v>
      </c>
      <c r="B2276" s="4" t="s">
        <v>49</v>
      </c>
      <c r="C2276" s="4" t="s">
        <v>23</v>
      </c>
      <c r="D2276" s="4" t="s">
        <v>50</v>
      </c>
      <c r="E2276" s="4" t="s">
        <v>51</v>
      </c>
      <c r="F2276" s="4" t="s">
        <v>25</v>
      </c>
      <c r="G2276" s="4" t="s">
        <v>25</v>
      </c>
      <c r="H2276" s="4" t="s">
        <v>25</v>
      </c>
      <c r="I2276" s="5">
        <v>43862</v>
      </c>
      <c r="J2276" s="6">
        <v>0</v>
      </c>
      <c r="K2276" s="6">
        <v>0</v>
      </c>
      <c r="L2276" s="6">
        <v>33382.014999999999</v>
      </c>
      <c r="M2276" s="6">
        <v>33382.014999999999</v>
      </c>
      <c r="N2276" s="6">
        <v>33382.014999999999</v>
      </c>
      <c r="O2276" s="6">
        <v>33382.014999999999</v>
      </c>
      <c r="P2276" s="6">
        <v>23</v>
      </c>
      <c r="Q2276" s="4" t="s">
        <v>26</v>
      </c>
      <c r="R2276" s="4">
        <v>0</v>
      </c>
      <c r="S2276" s="6">
        <v>0</v>
      </c>
      <c r="T2276" s="6">
        <v>75</v>
      </c>
      <c r="U2276" s="6">
        <v>118</v>
      </c>
      <c r="V2276" s="6">
        <f>IF(ISERROR(VLOOKUP($S$2276,'TAR FIN'!$A$1:$O$120,15,0)),0,VLOOKUP($S$2276,'TAR FIN'!$A$1:$O$120,15,0))</f>
        <v>0</v>
      </c>
      <c r="W2276" s="6">
        <f>IF(ISERROR(VLOOKUP($T$2276,'TAR FIN'!$A$1:$O$120,15,0)),0,VLOOKUP($T$2276,'TAR FIN'!$A$1:$O$120,15,0))</f>
        <v>135.9</v>
      </c>
      <c r="X2276" s="6">
        <f>IF(ISERROR(VLOOKUP($U$2276,'TAR FIN'!$A$1:$O$120,15,0)),0,VLOOKUP($U$2276,'TAR FIN'!$A$1:$O$120,15,0))</f>
        <v>149.01</v>
      </c>
      <c r="Y2276" s="6"/>
      <c r="Z2276" s="6">
        <f ca="1">('TUSD BE'!$AM$85+'TUSD BF'!$AM$85+'TUSD CVA'!$AM$85)*1</f>
        <v>149.53117725311031</v>
      </c>
      <c r="AA2276" s="6">
        <f>('TE BE'!$AA$49+'TE BF'!$AA$49+'TE CVA'!$AA$49)*1</f>
        <v>133.59812153369589</v>
      </c>
      <c r="AB2276" s="6">
        <f>$K$2276*$V$2276</f>
        <v>0</v>
      </c>
      <c r="AC2276" s="6">
        <f>$M$2276*$W$2276</f>
        <v>4536615.8385000005</v>
      </c>
      <c r="AD2276" s="6">
        <f>$O$2276*$X$2276</f>
        <v>4974254.0551499994</v>
      </c>
      <c r="AE2276" s="6">
        <f>$K$2276*$Y$2276</f>
        <v>0</v>
      </c>
      <c r="AF2276" s="6">
        <f ca="1">$M$2276*$Z$2276</f>
        <v>4991652.0020309873</v>
      </c>
      <c r="AG2276" s="6">
        <f>$O$2276*$AA$2276</f>
        <v>4459774.4970096592</v>
      </c>
    </row>
    <row r="2277" spans="1:33" ht="11.25" customHeight="1" x14ac:dyDescent="0.25">
      <c r="A2277" s="4" t="s">
        <v>21</v>
      </c>
      <c r="B2277" s="4" t="s">
        <v>49</v>
      </c>
      <c r="C2277" s="4" t="s">
        <v>23</v>
      </c>
      <c r="D2277" s="4" t="s">
        <v>50</v>
      </c>
      <c r="E2277" s="4" t="s">
        <v>51</v>
      </c>
      <c r="F2277" s="4" t="s">
        <v>25</v>
      </c>
      <c r="G2277" s="4" t="s">
        <v>25</v>
      </c>
      <c r="H2277" s="4" t="s">
        <v>25</v>
      </c>
      <c r="I2277" s="5">
        <v>43891</v>
      </c>
      <c r="J2277" s="6">
        <v>0</v>
      </c>
      <c r="K2277" s="6">
        <v>0</v>
      </c>
      <c r="L2277" s="6">
        <v>35682.139000000003</v>
      </c>
      <c r="M2277" s="6">
        <v>35682.139000000003</v>
      </c>
      <c r="N2277" s="6">
        <v>35682.139000000003</v>
      </c>
      <c r="O2277" s="6">
        <v>35682.139000000003</v>
      </c>
      <c r="P2277" s="6">
        <v>23</v>
      </c>
      <c r="Q2277" s="4" t="s">
        <v>26</v>
      </c>
      <c r="R2277" s="4">
        <v>0</v>
      </c>
      <c r="S2277" s="6">
        <v>0</v>
      </c>
      <c r="T2277" s="6">
        <v>75</v>
      </c>
      <c r="U2277" s="6">
        <v>118</v>
      </c>
      <c r="V2277" s="6">
        <f>IF(ISERROR(VLOOKUP($S$2277,'TAR FIN'!$A$1:$O$120,15,0)),0,VLOOKUP($S$2277,'TAR FIN'!$A$1:$O$120,15,0))</f>
        <v>0</v>
      </c>
      <c r="W2277" s="6">
        <f>IF(ISERROR(VLOOKUP($T$2277,'TAR FIN'!$A$1:$O$120,15,0)),0,VLOOKUP($T$2277,'TAR FIN'!$A$1:$O$120,15,0))</f>
        <v>135.9</v>
      </c>
      <c r="X2277" s="6">
        <f>IF(ISERROR(VLOOKUP($U$2277,'TAR FIN'!$A$1:$O$120,15,0)),0,VLOOKUP($U$2277,'TAR FIN'!$A$1:$O$120,15,0))</f>
        <v>149.01</v>
      </c>
      <c r="Y2277" s="6"/>
      <c r="Z2277" s="6">
        <f ca="1">('TUSD BE'!$AM$85+'TUSD BF'!$AM$85+'TUSD CVA'!$AM$85)*1</f>
        <v>149.53117725311031</v>
      </c>
      <c r="AA2277" s="6">
        <f>('TE BE'!$AA$49+'TE BF'!$AA$49+'TE CVA'!$AA$49)*1</f>
        <v>133.59812153369589</v>
      </c>
      <c r="AB2277" s="6">
        <f>$K$2277*$V$2277</f>
        <v>0</v>
      </c>
      <c r="AC2277" s="6">
        <f>$M$2277*$W$2277</f>
        <v>4849202.6901000002</v>
      </c>
      <c r="AD2277" s="6">
        <f>$O$2277*$X$2277</f>
        <v>5316995.5323900003</v>
      </c>
      <c r="AE2277" s="6">
        <f>$K$2277*$Y$2277</f>
        <v>0</v>
      </c>
      <c r="AF2277" s="6">
        <f ca="1">$M$2277*$Z$2277</f>
        <v>5335592.2515791208</v>
      </c>
      <c r="AG2277" s="6">
        <f>$O$2277*$AA$2277</f>
        <v>4767066.7427042304</v>
      </c>
    </row>
    <row r="2278" spans="1:33" ht="11.25" customHeight="1" x14ac:dyDescent="0.25">
      <c r="A2278" s="4" t="s">
        <v>21</v>
      </c>
      <c r="B2278" s="4" t="s">
        <v>49</v>
      </c>
      <c r="C2278" s="4" t="s">
        <v>23</v>
      </c>
      <c r="D2278" s="4" t="s">
        <v>50</v>
      </c>
      <c r="E2278" s="4" t="s">
        <v>51</v>
      </c>
      <c r="F2278" s="4" t="s">
        <v>25</v>
      </c>
      <c r="G2278" s="4" t="s">
        <v>25</v>
      </c>
      <c r="H2278" s="4" t="s">
        <v>25</v>
      </c>
      <c r="I2278" s="5">
        <v>43922</v>
      </c>
      <c r="J2278" s="6">
        <v>0</v>
      </c>
      <c r="K2278" s="6">
        <v>0</v>
      </c>
      <c r="L2278" s="6">
        <v>34507.243000000002</v>
      </c>
      <c r="M2278" s="6">
        <v>34507.243000000002</v>
      </c>
      <c r="N2278" s="6">
        <v>34507.243000000002</v>
      </c>
      <c r="O2278" s="6">
        <v>34507.243000000002</v>
      </c>
      <c r="P2278" s="6">
        <v>23</v>
      </c>
      <c r="Q2278" s="4" t="s">
        <v>26</v>
      </c>
      <c r="R2278" s="4">
        <v>0</v>
      </c>
      <c r="S2278" s="6">
        <v>0</v>
      </c>
      <c r="T2278" s="6">
        <v>75</v>
      </c>
      <c r="U2278" s="6">
        <v>118</v>
      </c>
      <c r="V2278" s="6">
        <f>IF(ISERROR(VLOOKUP($S$2278,'TAR FIN'!$A$1:$O$120,15,0)),0,VLOOKUP($S$2278,'TAR FIN'!$A$1:$O$120,15,0))</f>
        <v>0</v>
      </c>
      <c r="W2278" s="6">
        <f>IF(ISERROR(VLOOKUP($T$2278,'TAR FIN'!$A$1:$O$120,15,0)),0,VLOOKUP($T$2278,'TAR FIN'!$A$1:$O$120,15,0))</f>
        <v>135.9</v>
      </c>
      <c r="X2278" s="6">
        <f>IF(ISERROR(VLOOKUP($U$2278,'TAR FIN'!$A$1:$O$120,15,0)),0,VLOOKUP($U$2278,'TAR FIN'!$A$1:$O$120,15,0))</f>
        <v>149.01</v>
      </c>
      <c r="Y2278" s="6"/>
      <c r="Z2278" s="6">
        <f ca="1">('TUSD BE'!$AM$85+'TUSD BF'!$AM$85+'TUSD CVA'!$AM$85)*1</f>
        <v>149.53117725311031</v>
      </c>
      <c r="AA2278" s="6">
        <f>('TE BE'!$AA$49+'TE BF'!$AA$49+'TE CVA'!$AA$49)*1</f>
        <v>133.59812153369589</v>
      </c>
      <c r="AB2278" s="6">
        <f>$K$2278*$V$2278</f>
        <v>0</v>
      </c>
      <c r="AC2278" s="6">
        <f>$M$2278*$W$2278</f>
        <v>4689534.3237000005</v>
      </c>
      <c r="AD2278" s="6">
        <f>$O$2278*$X$2278</f>
        <v>5141924.2794300001</v>
      </c>
      <c r="AE2278" s="6">
        <f>$K$2278*$Y$2278</f>
        <v>0</v>
      </c>
      <c r="AF2278" s="6">
        <f ca="1">$M$2278*$Z$2278</f>
        <v>5159908.6695491504</v>
      </c>
      <c r="AG2278" s="6">
        <f>$O$2278*$AA$2278</f>
        <v>4610102.8441067766</v>
      </c>
    </row>
    <row r="2279" spans="1:33" ht="11.25" customHeight="1" x14ac:dyDescent="0.25">
      <c r="A2279" s="4" t="s">
        <v>21</v>
      </c>
      <c r="B2279" s="4" t="s">
        <v>49</v>
      </c>
      <c r="C2279" s="4" t="s">
        <v>23</v>
      </c>
      <c r="D2279" s="4" t="s">
        <v>50</v>
      </c>
      <c r="E2279" s="4" t="s">
        <v>51</v>
      </c>
      <c r="F2279" s="4" t="s">
        <v>25</v>
      </c>
      <c r="G2279" s="4" t="s">
        <v>25</v>
      </c>
      <c r="H2279" s="4" t="s">
        <v>25</v>
      </c>
      <c r="I2279" s="5">
        <v>43952</v>
      </c>
      <c r="J2279" s="6">
        <v>0</v>
      </c>
      <c r="K2279" s="6">
        <v>0</v>
      </c>
      <c r="L2279" s="6">
        <v>35057.739000000001</v>
      </c>
      <c r="M2279" s="6">
        <v>35057.739000000001</v>
      </c>
      <c r="N2279" s="6">
        <v>35057.739000000001</v>
      </c>
      <c r="O2279" s="6">
        <v>35057.739000000001</v>
      </c>
      <c r="P2279" s="6">
        <v>23</v>
      </c>
      <c r="Q2279" s="4" t="s">
        <v>26</v>
      </c>
      <c r="R2279" s="4">
        <v>0</v>
      </c>
      <c r="S2279" s="6">
        <v>0</v>
      </c>
      <c r="T2279" s="6">
        <v>75</v>
      </c>
      <c r="U2279" s="6">
        <v>118</v>
      </c>
      <c r="V2279" s="6">
        <f>IF(ISERROR(VLOOKUP($S$2279,'TAR FIN'!$A$1:$O$120,15,0)),0,VLOOKUP($S$2279,'TAR FIN'!$A$1:$O$120,15,0))</f>
        <v>0</v>
      </c>
      <c r="W2279" s="6">
        <f>IF(ISERROR(VLOOKUP($T$2279,'TAR FIN'!$A$1:$O$120,15,0)),0,VLOOKUP($T$2279,'TAR FIN'!$A$1:$O$120,15,0))</f>
        <v>135.9</v>
      </c>
      <c r="X2279" s="6">
        <f>IF(ISERROR(VLOOKUP($U$2279,'TAR FIN'!$A$1:$O$120,15,0)),0,VLOOKUP($U$2279,'TAR FIN'!$A$1:$O$120,15,0))</f>
        <v>149.01</v>
      </c>
      <c r="Y2279" s="6"/>
      <c r="Z2279" s="6">
        <f ca="1">('TUSD BE'!$AM$85+'TUSD BF'!$AM$85+'TUSD CVA'!$AM$85)*1</f>
        <v>149.53117725311031</v>
      </c>
      <c r="AA2279" s="6">
        <f>('TE BE'!$AA$49+'TE BF'!$AA$49+'TE CVA'!$AA$49)*1</f>
        <v>133.59812153369589</v>
      </c>
      <c r="AB2279" s="6">
        <f>$K$2279*$V$2279</f>
        <v>0</v>
      </c>
      <c r="AC2279" s="6">
        <f>$M$2279*$W$2279</f>
        <v>4764346.7301000003</v>
      </c>
      <c r="AD2279" s="6">
        <f>$O$2279*$X$2279</f>
        <v>5223953.6883899998</v>
      </c>
      <c r="AE2279" s="6">
        <f>$K$2279*$Y$2279</f>
        <v>0</v>
      </c>
      <c r="AF2279" s="6">
        <f ca="1">$M$2279*$Z$2279</f>
        <v>5242224.9845022783</v>
      </c>
      <c r="AG2279" s="6">
        <f>$O$2279*$AA$2279</f>
        <v>4683648.0756185902</v>
      </c>
    </row>
    <row r="2280" spans="1:33" ht="11.25" customHeight="1" x14ac:dyDescent="0.25">
      <c r="A2280" s="4" t="s">
        <v>21</v>
      </c>
      <c r="B2280" s="4" t="s">
        <v>49</v>
      </c>
      <c r="C2280" s="4" t="s">
        <v>23</v>
      </c>
      <c r="D2280" s="4" t="s">
        <v>50</v>
      </c>
      <c r="E2280" s="4" t="s">
        <v>51</v>
      </c>
      <c r="F2280" s="4" t="s">
        <v>25</v>
      </c>
      <c r="G2280" s="4" t="s">
        <v>25</v>
      </c>
      <c r="H2280" s="4" t="s">
        <v>25</v>
      </c>
      <c r="I2280" s="5">
        <v>43983</v>
      </c>
      <c r="J2280" s="6">
        <v>0</v>
      </c>
      <c r="K2280" s="6">
        <v>0</v>
      </c>
      <c r="L2280" s="6">
        <v>33965.091</v>
      </c>
      <c r="M2280" s="6">
        <v>33965.091</v>
      </c>
      <c r="N2280" s="6">
        <v>33965.091</v>
      </c>
      <c r="O2280" s="6">
        <v>33965.091</v>
      </c>
      <c r="P2280" s="6">
        <v>23</v>
      </c>
      <c r="Q2280" s="4" t="s">
        <v>26</v>
      </c>
      <c r="R2280" s="4">
        <v>0</v>
      </c>
      <c r="S2280" s="6">
        <v>0</v>
      </c>
      <c r="T2280" s="6">
        <v>75</v>
      </c>
      <c r="U2280" s="6">
        <v>118</v>
      </c>
      <c r="V2280" s="6">
        <f>IF(ISERROR(VLOOKUP($S$2280,'TAR FIN'!$A$1:$O$120,15,0)),0,VLOOKUP($S$2280,'TAR FIN'!$A$1:$O$120,15,0))</f>
        <v>0</v>
      </c>
      <c r="W2280" s="6">
        <f>IF(ISERROR(VLOOKUP($T$2280,'TAR FIN'!$A$1:$O$120,15,0)),0,VLOOKUP($T$2280,'TAR FIN'!$A$1:$O$120,15,0))</f>
        <v>135.9</v>
      </c>
      <c r="X2280" s="6">
        <f>IF(ISERROR(VLOOKUP($U$2280,'TAR FIN'!$A$1:$O$120,15,0)),0,VLOOKUP($U$2280,'TAR FIN'!$A$1:$O$120,15,0))</f>
        <v>149.01</v>
      </c>
      <c r="Y2280" s="6"/>
      <c r="Z2280" s="6">
        <f ca="1">('TUSD BE'!$AM$85+'TUSD BF'!$AM$85+'TUSD CVA'!$AM$85)*1</f>
        <v>149.53117725311031</v>
      </c>
      <c r="AA2280" s="6">
        <f>('TE BE'!$AA$49+'TE BF'!$AA$49+'TE CVA'!$AA$49)*1</f>
        <v>133.59812153369589</v>
      </c>
      <c r="AB2280" s="6">
        <f>$K$2280*$V$2280</f>
        <v>0</v>
      </c>
      <c r="AC2280" s="6">
        <f>$M$2280*$W$2280</f>
        <v>4615855.8668999998</v>
      </c>
      <c r="AD2280" s="6">
        <f>$O$2280*$X$2280</f>
        <v>5061138.2099099997</v>
      </c>
      <c r="AE2280" s="6">
        <f>$K$2280*$Y$2280</f>
        <v>0</v>
      </c>
      <c r="AF2280" s="6">
        <f ca="1">$M$2280*$Z$2280</f>
        <v>5078840.0427390216</v>
      </c>
      <c r="AG2280" s="6">
        <f>$O$2280*$AA$2280</f>
        <v>4537672.3553210404</v>
      </c>
    </row>
    <row r="2281" spans="1:33" ht="11.25" customHeight="1" x14ac:dyDescent="0.25">
      <c r="A2281" s="4" t="s">
        <v>21</v>
      </c>
      <c r="B2281" s="4" t="s">
        <v>49</v>
      </c>
      <c r="C2281" s="4" t="s">
        <v>23</v>
      </c>
      <c r="D2281" s="4" t="s">
        <v>50</v>
      </c>
      <c r="E2281" s="4" t="s">
        <v>51</v>
      </c>
      <c r="F2281" s="4" t="s">
        <v>25</v>
      </c>
      <c r="G2281" s="4" t="s">
        <v>25</v>
      </c>
      <c r="H2281" s="4" t="s">
        <v>25</v>
      </c>
      <c r="I2281" s="5">
        <v>44013</v>
      </c>
      <c r="J2281" s="6">
        <v>0</v>
      </c>
      <c r="K2281" s="6">
        <v>0</v>
      </c>
      <c r="L2281" s="6">
        <v>33847.563000000002</v>
      </c>
      <c r="M2281" s="6">
        <v>33847.563000000002</v>
      </c>
      <c r="N2281" s="6">
        <v>33847.563000000002</v>
      </c>
      <c r="O2281" s="6">
        <v>33847.563000000002</v>
      </c>
      <c r="P2281" s="6">
        <v>23</v>
      </c>
      <c r="Q2281" s="4" t="s">
        <v>26</v>
      </c>
      <c r="R2281" s="4">
        <v>0</v>
      </c>
      <c r="S2281" s="6">
        <v>0</v>
      </c>
      <c r="T2281" s="6">
        <v>75</v>
      </c>
      <c r="U2281" s="6">
        <v>118</v>
      </c>
      <c r="V2281" s="6">
        <f>IF(ISERROR(VLOOKUP($S$2281,'TAR FIN'!$A$1:$O$120,15,0)),0,VLOOKUP($S$2281,'TAR FIN'!$A$1:$O$120,15,0))</f>
        <v>0</v>
      </c>
      <c r="W2281" s="6">
        <f>IF(ISERROR(VLOOKUP($T$2281,'TAR FIN'!$A$1:$O$120,15,0)),0,VLOOKUP($T$2281,'TAR FIN'!$A$1:$O$120,15,0))</f>
        <v>135.9</v>
      </c>
      <c r="X2281" s="6">
        <f>IF(ISERROR(VLOOKUP($U$2281,'TAR FIN'!$A$1:$O$120,15,0)),0,VLOOKUP($U$2281,'TAR FIN'!$A$1:$O$120,15,0))</f>
        <v>149.01</v>
      </c>
      <c r="Y2281" s="6"/>
      <c r="Z2281" s="6">
        <f ca="1">('TUSD BE'!$AM$85+'TUSD BF'!$AM$85+'TUSD CVA'!$AM$85)*1</f>
        <v>149.53117725311031</v>
      </c>
      <c r="AA2281" s="6">
        <f>('TE BE'!$AA$49+'TE BF'!$AA$49+'TE CVA'!$AA$49)*1</f>
        <v>133.59812153369589</v>
      </c>
      <c r="AB2281" s="6">
        <f>$K$2281*$V$2281</f>
        <v>0</v>
      </c>
      <c r="AC2281" s="6">
        <f>$M$2281*$W$2281</f>
        <v>4599883.8117000004</v>
      </c>
      <c r="AD2281" s="6">
        <f>$O$2281*$X$2281</f>
        <v>5043625.3626300003</v>
      </c>
      <c r="AE2281" s="6">
        <f>$K$2281*$Y$2281</f>
        <v>0</v>
      </c>
      <c r="AF2281" s="6">
        <f ca="1">$M$2281*$Z$2281</f>
        <v>5061265.9425388183</v>
      </c>
      <c r="AG2281" s="6">
        <f>$O$2281*$AA$2281</f>
        <v>4521970.835293428</v>
      </c>
    </row>
    <row r="2282" spans="1:33" ht="11.25" customHeight="1" x14ac:dyDescent="0.25">
      <c r="A2282" s="4" t="s">
        <v>21</v>
      </c>
      <c r="B2282" s="4" t="s">
        <v>49</v>
      </c>
      <c r="C2282" s="4" t="s">
        <v>23</v>
      </c>
      <c r="D2282" s="4" t="s">
        <v>50</v>
      </c>
      <c r="E2282" s="4" t="s">
        <v>51</v>
      </c>
      <c r="F2282" s="4" t="s">
        <v>25</v>
      </c>
      <c r="G2282" s="4" t="s">
        <v>25</v>
      </c>
      <c r="H2282" s="4" t="s">
        <v>25</v>
      </c>
      <c r="I2282" s="5">
        <v>44044</v>
      </c>
      <c r="J2282" s="6">
        <v>0</v>
      </c>
      <c r="K2282" s="6">
        <v>0</v>
      </c>
      <c r="L2282" s="6">
        <v>1116.1610000000001</v>
      </c>
      <c r="M2282" s="6">
        <v>1116.1610000000001</v>
      </c>
      <c r="N2282" s="6">
        <v>1116.1610000000001</v>
      </c>
      <c r="O2282" s="6">
        <v>1116.1610000000001</v>
      </c>
      <c r="P2282" s="6">
        <v>23</v>
      </c>
      <c r="Q2282" s="4" t="s">
        <v>26</v>
      </c>
      <c r="R2282" s="4">
        <v>0</v>
      </c>
      <c r="S2282" s="6">
        <v>0</v>
      </c>
      <c r="T2282" s="6">
        <v>75</v>
      </c>
      <c r="U2282" s="6">
        <v>118</v>
      </c>
      <c r="V2282" s="6">
        <f>IF(ISERROR(VLOOKUP($S$2282,'TAR FIN'!$A$1:$O$120,15,0)),0,VLOOKUP($S$2282,'TAR FIN'!$A$1:$O$120,15,0))</f>
        <v>0</v>
      </c>
      <c r="W2282" s="6">
        <f>IF(ISERROR(VLOOKUP($T$2282,'TAR FIN'!$A$1:$O$120,15,0)),0,VLOOKUP($T$2282,'TAR FIN'!$A$1:$O$120,15,0))</f>
        <v>135.9</v>
      </c>
      <c r="X2282" s="6">
        <f>IF(ISERROR(VLOOKUP($U$2282,'TAR FIN'!$A$1:$O$120,15,0)),0,VLOOKUP($U$2282,'TAR FIN'!$A$1:$O$120,15,0))</f>
        <v>149.01</v>
      </c>
      <c r="Y2282" s="6"/>
      <c r="Z2282" s="6">
        <f ca="1">('TUSD BE'!$AM$85+'TUSD BF'!$AM$85+'TUSD CVA'!$AM$85)*1</f>
        <v>149.53117725311031</v>
      </c>
      <c r="AA2282" s="6">
        <f>('TE BE'!$AA$49+'TE BF'!$AA$49+'TE CVA'!$AA$49)*1</f>
        <v>133.59812153369589</v>
      </c>
      <c r="AB2282" s="6">
        <f>$K$2282*$V$2282</f>
        <v>0</v>
      </c>
      <c r="AC2282" s="6">
        <f>$M$2282*$W$2282</f>
        <v>151686.27990000002</v>
      </c>
      <c r="AD2282" s="6">
        <f>$O$2282*$X$2282</f>
        <v>166319.15061000001</v>
      </c>
      <c r="AE2282" s="6">
        <f>$K$2282*$Y$2282</f>
        <v>0</v>
      </c>
      <c r="AF2282" s="6">
        <f ca="1">$M$2282*$Z$2282</f>
        <v>166900.86833400888</v>
      </c>
      <c r="AG2282" s="6">
        <f>$O$2282*$AA$2282</f>
        <v>149117.01292917156</v>
      </c>
    </row>
    <row r="2283" spans="1:33" ht="11.25" customHeight="1" x14ac:dyDescent="0.25">
      <c r="A2283" s="4" t="s">
        <v>27</v>
      </c>
      <c r="B2283" s="4" t="s">
        <v>49</v>
      </c>
      <c r="C2283" s="4" t="s">
        <v>23</v>
      </c>
      <c r="D2283" s="4" t="s">
        <v>50</v>
      </c>
      <c r="E2283" s="4" t="s">
        <v>51</v>
      </c>
      <c r="F2283" s="4" t="s">
        <v>25</v>
      </c>
      <c r="G2283" s="4" t="s">
        <v>25</v>
      </c>
      <c r="H2283" s="4" t="s">
        <v>25</v>
      </c>
      <c r="I2283" s="5">
        <v>44044</v>
      </c>
      <c r="J2283" s="6">
        <v>0</v>
      </c>
      <c r="K2283" s="6">
        <v>0</v>
      </c>
      <c r="L2283" s="6">
        <v>34975.610999999997</v>
      </c>
      <c r="M2283" s="6">
        <v>34975.610999999997</v>
      </c>
      <c r="N2283" s="6">
        <v>34975.610999999997</v>
      </c>
      <c r="O2283" s="6">
        <v>34975.610999999997</v>
      </c>
      <c r="P2283" s="6">
        <v>0</v>
      </c>
      <c r="Q2283" s="4" t="s">
        <v>26</v>
      </c>
      <c r="R2283" s="4">
        <v>0</v>
      </c>
      <c r="S2283" s="6">
        <v>0</v>
      </c>
      <c r="T2283" s="6">
        <v>75</v>
      </c>
      <c r="U2283" s="6">
        <v>118</v>
      </c>
      <c r="V2283" s="6">
        <f>IF(ISERROR(VLOOKUP($S$2283,'TAR FIN'!$A$1:$O$120,15,0)),0,VLOOKUP($S$2283,'TAR FIN'!$A$1:$O$120,15,0))</f>
        <v>0</v>
      </c>
      <c r="W2283" s="6">
        <f>IF(ISERROR(VLOOKUP($T$2283,'TAR FIN'!$A$1:$O$120,15,0)),0,VLOOKUP($T$2283,'TAR FIN'!$A$1:$O$120,15,0))</f>
        <v>135.9</v>
      </c>
      <c r="X2283" s="6">
        <f>IF(ISERROR(VLOOKUP($U$2283,'TAR FIN'!$A$1:$O$120,15,0)),0,VLOOKUP($U$2283,'TAR FIN'!$A$1:$O$120,15,0))</f>
        <v>149.01</v>
      </c>
      <c r="Y2283" s="6"/>
      <c r="Z2283" s="6">
        <f ca="1">('TUSD BE'!$AM$85+'TUSD BF'!$AM$85+'TUSD CVA'!$AM$85)*1</f>
        <v>149.53117725311031</v>
      </c>
      <c r="AA2283" s="6">
        <f>('TE BE'!$AA$49+'TE BF'!$AA$49+'TE CVA'!$AA$49)*1</f>
        <v>133.59812153369589</v>
      </c>
      <c r="AB2283" s="6">
        <f>$K$2283*$V$2283</f>
        <v>0</v>
      </c>
      <c r="AC2283" s="6">
        <f>$M$2283*$W$2283</f>
        <v>4753185.5348999994</v>
      </c>
      <c r="AD2283" s="6">
        <f>$O$2283*$X$2283</f>
        <v>5211715.7951099994</v>
      </c>
      <c r="AE2283" s="6">
        <f>$K$2283*$Y$2283</f>
        <v>0</v>
      </c>
      <c r="AF2283" s="6">
        <f ca="1">$M$2283*$Z$2283</f>
        <v>5229944.2879768349</v>
      </c>
      <c r="AG2283" s="6">
        <f>$O$2283*$AA$2283</f>
        <v>4672675.9290932706</v>
      </c>
    </row>
    <row r="2284" spans="1:33" ht="11.25" customHeight="1" x14ac:dyDescent="0.25">
      <c r="A2284" s="4" t="s">
        <v>59</v>
      </c>
      <c r="B2284" s="4" t="s">
        <v>49</v>
      </c>
      <c r="C2284" s="4" t="s">
        <v>23</v>
      </c>
      <c r="D2284" s="4" t="s">
        <v>50</v>
      </c>
      <c r="E2284" s="4" t="s">
        <v>51</v>
      </c>
      <c r="F2284" s="4" t="s">
        <v>25</v>
      </c>
      <c r="G2284" s="4" t="s">
        <v>25</v>
      </c>
      <c r="H2284" s="4" t="s">
        <v>25</v>
      </c>
      <c r="I2284" s="5">
        <v>44075</v>
      </c>
      <c r="J2284" s="6">
        <v>0</v>
      </c>
      <c r="K2284" s="6">
        <v>0</v>
      </c>
      <c r="L2284" s="6">
        <v>1116.1610000000001</v>
      </c>
      <c r="M2284" s="6">
        <v>1116.1610000000001</v>
      </c>
      <c r="N2284" s="6">
        <v>1116.1610000000001</v>
      </c>
      <c r="O2284" s="6">
        <v>1116.1610000000001</v>
      </c>
      <c r="P2284" s="6">
        <v>23</v>
      </c>
      <c r="Q2284" s="4" t="s">
        <v>26</v>
      </c>
      <c r="R2284" s="4">
        <v>0</v>
      </c>
      <c r="S2284" s="6">
        <v>0</v>
      </c>
      <c r="T2284" s="6">
        <v>75</v>
      </c>
      <c r="U2284" s="6">
        <v>118</v>
      </c>
      <c r="V2284" s="6">
        <f>IF(ISERROR(VLOOKUP($S$2284,'TAR FIN'!$A$1:$O$120,15,0)),0,VLOOKUP($S$2284,'TAR FIN'!$A$1:$O$120,15,0))</f>
        <v>0</v>
      </c>
      <c r="W2284" s="6">
        <f>IF(ISERROR(VLOOKUP($T$2284,'TAR FIN'!$A$1:$O$120,15,0)),0,VLOOKUP($T$2284,'TAR FIN'!$A$1:$O$120,15,0))</f>
        <v>135.9</v>
      </c>
      <c r="X2284" s="6">
        <f>IF(ISERROR(VLOOKUP($U$2284,'TAR FIN'!$A$1:$O$120,15,0)),0,VLOOKUP($U$2284,'TAR FIN'!$A$1:$O$120,15,0))</f>
        <v>149.01</v>
      </c>
      <c r="Y2284" s="6"/>
      <c r="Z2284" s="6">
        <f ca="1">('TUSD BE'!$AM$85+'TUSD BF'!$AM$85+'TUSD CVA'!$AM$85)*1</f>
        <v>149.53117725311031</v>
      </c>
      <c r="AA2284" s="6">
        <f>('TE BE'!$AA$49+'TE BF'!$AA$49+'TE CVA'!$AA$49)*1</f>
        <v>133.59812153369589</v>
      </c>
      <c r="AB2284" s="6">
        <f>$K$2284*$V$2284</f>
        <v>0</v>
      </c>
      <c r="AC2284" s="6">
        <f>$M$2284*$W$2284</f>
        <v>151686.27990000002</v>
      </c>
      <c r="AD2284" s="6">
        <f>$O$2284*$X$2284</f>
        <v>166319.15061000001</v>
      </c>
      <c r="AE2284" s="6">
        <f>$K$2284*$Y$2284</f>
        <v>0</v>
      </c>
      <c r="AF2284" s="6">
        <f ca="1">$M$2284*$Z$2284</f>
        <v>166900.86833400888</v>
      </c>
      <c r="AG2284" s="6">
        <f>$O$2284*$AA$2284</f>
        <v>149117.01292917156</v>
      </c>
    </row>
    <row r="2285" spans="1:33" ht="11.25" customHeight="1" x14ac:dyDescent="0.25">
      <c r="A2285" s="4" t="s">
        <v>59</v>
      </c>
      <c r="B2285" s="4" t="s">
        <v>49</v>
      </c>
      <c r="C2285" s="4" t="s">
        <v>23</v>
      </c>
      <c r="D2285" s="4" t="s">
        <v>50</v>
      </c>
      <c r="E2285" s="4" t="s">
        <v>51</v>
      </c>
      <c r="F2285" s="4" t="s">
        <v>25</v>
      </c>
      <c r="G2285" s="4" t="s">
        <v>25</v>
      </c>
      <c r="H2285" s="4" t="s">
        <v>25</v>
      </c>
      <c r="I2285" s="5">
        <v>44075</v>
      </c>
      <c r="J2285" s="6">
        <v>0</v>
      </c>
      <c r="K2285" s="6">
        <v>0</v>
      </c>
      <c r="L2285" s="6">
        <v>34975.610999999997</v>
      </c>
      <c r="M2285" s="6">
        <v>34975.610999999997</v>
      </c>
      <c r="N2285" s="6">
        <v>34975.610999999997</v>
      </c>
      <c r="O2285" s="6">
        <v>34975.610999999997</v>
      </c>
      <c r="P2285" s="6">
        <v>0</v>
      </c>
      <c r="Q2285" s="4" t="s">
        <v>26</v>
      </c>
      <c r="R2285" s="4">
        <v>0</v>
      </c>
      <c r="S2285" s="6">
        <v>0</v>
      </c>
      <c r="T2285" s="6">
        <v>75</v>
      </c>
      <c r="U2285" s="6">
        <v>118</v>
      </c>
      <c r="V2285" s="6">
        <f>IF(ISERROR(VLOOKUP($S$2285,'TAR FIN'!$A$1:$O$120,15,0)),0,VLOOKUP($S$2285,'TAR FIN'!$A$1:$O$120,15,0))</f>
        <v>0</v>
      </c>
      <c r="W2285" s="6">
        <f>IF(ISERROR(VLOOKUP($T$2285,'TAR FIN'!$A$1:$O$120,15,0)),0,VLOOKUP($T$2285,'TAR FIN'!$A$1:$O$120,15,0))</f>
        <v>135.9</v>
      </c>
      <c r="X2285" s="6">
        <f>IF(ISERROR(VLOOKUP($U$2285,'TAR FIN'!$A$1:$O$120,15,0)),0,VLOOKUP($U$2285,'TAR FIN'!$A$1:$O$120,15,0))</f>
        <v>149.01</v>
      </c>
      <c r="Y2285" s="6"/>
      <c r="Z2285" s="6">
        <f ca="1">('TUSD BE'!$AM$85+'TUSD BF'!$AM$85+'TUSD CVA'!$AM$85)*1</f>
        <v>149.53117725311031</v>
      </c>
      <c r="AA2285" s="6">
        <f>('TE BE'!$AA$49+'TE BF'!$AA$49+'TE CVA'!$AA$49)*1</f>
        <v>133.59812153369589</v>
      </c>
      <c r="AB2285" s="6">
        <f>$K$2285*$V$2285</f>
        <v>0</v>
      </c>
      <c r="AC2285" s="6">
        <f>$M$2285*$W$2285</f>
        <v>4753185.5348999994</v>
      </c>
      <c r="AD2285" s="6">
        <f>$O$2285*$X$2285</f>
        <v>5211715.7951099994</v>
      </c>
      <c r="AE2285" s="6">
        <f>$K$2285*$Y$2285</f>
        <v>0</v>
      </c>
      <c r="AF2285" s="6">
        <f ca="1">$M$2285*$Z$2285</f>
        <v>5229944.2879768349</v>
      </c>
      <c r="AG2285" s="6">
        <f>$O$2285*$AA$2285</f>
        <v>4672675.9290932706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0C9E9-FF27-4751-94D2-78B189AE7379}">
  <dimension ref="A1:AJ2286"/>
  <sheetViews>
    <sheetView showGridLines="0" topLeftCell="AA1" workbookViewId="0">
      <selection sqref="A1:AF833"/>
    </sheetView>
  </sheetViews>
  <sheetFormatPr defaultColWidth="8.85546875" defaultRowHeight="11.25" customHeight="1" x14ac:dyDescent="0.25"/>
  <cols>
    <col min="1" max="1" width="18" style="4" bestFit="1" customWidth="1"/>
    <col min="2" max="2" width="12.140625" style="4" bestFit="1" customWidth="1"/>
    <col min="3" max="3" width="13.5703125" style="4" bestFit="1" customWidth="1"/>
    <col min="4" max="4" width="10.42578125" style="4" bestFit="1" customWidth="1"/>
    <col min="5" max="5" width="23.140625" style="4" bestFit="1" customWidth="1"/>
    <col min="6" max="6" width="12.85546875" style="4" bestFit="1" customWidth="1"/>
    <col min="7" max="7" width="13.42578125" style="4" bestFit="1" customWidth="1"/>
    <col min="8" max="8" width="9.5703125" style="4" bestFit="1" customWidth="1"/>
    <col min="9" max="9" width="10.7109375" style="5" bestFit="1" customWidth="1"/>
    <col min="10" max="11" width="7.85546875" style="6" bestFit="1" customWidth="1"/>
    <col min="12" max="12" width="10.7109375" style="6" bestFit="1" customWidth="1"/>
    <col min="13" max="13" width="12.140625" style="6" bestFit="1" customWidth="1"/>
    <col min="14" max="14" width="8.7109375" style="6" bestFit="1" customWidth="1"/>
    <col min="15" max="15" width="10" style="6" bestFit="1" customWidth="1"/>
    <col min="16" max="16" width="7.85546875" style="6" bestFit="1" customWidth="1"/>
    <col min="17" max="17" width="10.42578125" style="4" bestFit="1" customWidth="1"/>
    <col min="18" max="18" width="12.42578125" style="4" bestFit="1" customWidth="1"/>
    <col min="19" max="19" width="21.85546875" style="4" bestFit="1" customWidth="1"/>
    <col min="20" max="20" width="23.28515625" style="4" bestFit="1" customWidth="1"/>
    <col min="21" max="21" width="21" style="4" bestFit="1" customWidth="1"/>
    <col min="22" max="22" width="14.85546875" style="4" bestFit="1" customWidth="1"/>
    <col min="23" max="23" width="16.28515625" style="4" bestFit="1" customWidth="1"/>
    <col min="24" max="24" width="14.140625" style="4" bestFit="1" customWidth="1"/>
    <col min="25" max="25" width="19.5703125" style="4" bestFit="1" customWidth="1"/>
    <col min="26" max="26" width="20.85546875" style="4" bestFit="1" customWidth="1"/>
    <col min="27" max="27" width="18.7109375" style="4" bestFit="1" customWidth="1"/>
    <col min="28" max="28" width="18.28515625" style="4" bestFit="1" customWidth="1"/>
    <col min="29" max="29" width="19.5703125" style="4" bestFit="1" customWidth="1"/>
    <col min="30" max="30" width="18.28515625" style="4" bestFit="1" customWidth="1"/>
    <col min="31" max="31" width="19.5703125" style="4" bestFit="1" customWidth="1"/>
    <col min="32" max="32" width="31.7109375" style="4" bestFit="1" customWidth="1"/>
    <col min="33" max="33" width="8.85546875" style="4"/>
    <col min="34" max="34" width="31.7109375" style="4" bestFit="1" customWidth="1"/>
    <col min="35" max="36" width="9.85546875" style="4" bestFit="1" customWidth="1"/>
    <col min="37" max="16384" width="8.85546875" style="4"/>
  </cols>
  <sheetData>
    <row r="1" spans="1:36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1100</v>
      </c>
      <c r="W1" s="1" t="s">
        <v>1101</v>
      </c>
      <c r="X1" s="1" t="s">
        <v>1102</v>
      </c>
      <c r="Y1" s="1" t="s">
        <v>1103</v>
      </c>
      <c r="Z1" s="1" t="s">
        <v>1104</v>
      </c>
      <c r="AA1" s="1" t="s">
        <v>1105</v>
      </c>
      <c r="AB1" s="1" t="s">
        <v>1143</v>
      </c>
      <c r="AC1" s="1" t="s">
        <v>1144</v>
      </c>
      <c r="AD1" s="1" t="s">
        <v>1145</v>
      </c>
      <c r="AE1" s="1" t="s">
        <v>1146</v>
      </c>
      <c r="AF1" s="1" t="s">
        <v>1147</v>
      </c>
      <c r="AH1" s="52" t="s">
        <v>1147</v>
      </c>
      <c r="AI1" s="52" t="s">
        <v>1154</v>
      </c>
      <c r="AJ1" s="52" t="s">
        <v>1155</v>
      </c>
    </row>
    <row r="2" spans="1:36" ht="11.25" customHeight="1" x14ac:dyDescent="0.25">
      <c r="A2" s="4" t="s">
        <v>21</v>
      </c>
      <c r="B2" s="4" t="s">
        <v>43</v>
      </c>
      <c r="C2" s="4" t="s">
        <v>41</v>
      </c>
      <c r="D2" s="4" t="s">
        <v>52</v>
      </c>
      <c r="E2" s="4" t="s">
        <v>53</v>
      </c>
      <c r="F2" s="4" t="s">
        <v>25</v>
      </c>
      <c r="G2" s="4" t="s">
        <v>25</v>
      </c>
      <c r="H2" s="4" t="s">
        <v>36</v>
      </c>
      <c r="I2" s="5">
        <v>43739</v>
      </c>
      <c r="J2" s="6">
        <v>18850</v>
      </c>
      <c r="K2" s="70">
        <v>18850</v>
      </c>
      <c r="L2" s="6">
        <v>8505.9789999999994</v>
      </c>
      <c r="M2" s="71">
        <v>8505.9789999999994</v>
      </c>
      <c r="N2" s="6">
        <v>8505.9789999999994</v>
      </c>
      <c r="O2" s="71">
        <v>8505.9789999999994</v>
      </c>
      <c r="P2" s="6">
        <v>0</v>
      </c>
      <c r="Q2" s="4" t="s">
        <v>26</v>
      </c>
      <c r="R2" s="4">
        <v>0</v>
      </c>
      <c r="S2" s="4">
        <v>2</v>
      </c>
      <c r="T2" s="4">
        <v>3</v>
      </c>
      <c r="U2" s="4">
        <v>78</v>
      </c>
      <c r="V2" s="71">
        <f>IF(ISERROR(VLOOKUP($S$2,'TAR FIN'!$A$1:$O$120,15,0)),0,VLOOKUP($S$2,'TAR FIN'!$A$1:$O$120,15,0))*(1-0.12)</f>
        <v>4.7520000000000007</v>
      </c>
      <c r="W2" s="71">
        <f>IF(ISERROR(VLOOKUP($T$2,'TAR FIN'!$A$1:$O$120,15,0)),0,VLOOKUP($T$2,'TAR FIN'!$A$1:$O$120,15,0))*(1-0.12)</f>
        <v>55.131999999999998</v>
      </c>
      <c r="X2" s="71">
        <f>IF(ISERROR(VLOOKUP($U$2,'TAR FIN'!$A$1:$O$120,15,0)),0,VLOOKUP($U$2,'TAR FIN'!$A$1:$O$120,15,0))*(1-0.12)</f>
        <v>225.61439999999999</v>
      </c>
      <c r="Y2" s="71">
        <f ca="1">('TUSD BE'!$AM$6+'TUSD BF'!$AM$6+'TUSD CVA'!$AM$6)*1*(1-0.09)</f>
        <v>7.5369582385975402</v>
      </c>
      <c r="Z2" s="71">
        <f ca="1">('TUSD BE'!$AM$7+'TUSD BF'!$AM$7+'TUSD CVA'!$AM$7)*1*(1-0.09)</f>
        <v>58.260148626390361</v>
      </c>
      <c r="AA2" s="71">
        <f>('TE BE'!$AA$6+'TE BF'!$AA$6+'TE CVA'!$AA$6)*1*(1-0.09)</f>
        <v>210.05913056249776</v>
      </c>
      <c r="AB2" s="71">
        <f>(SUBSIDIO!$J$2*SUBSIDIO!$V$2)*(0.12)/(1-0.12)</f>
        <v>12214.800000000001</v>
      </c>
      <c r="AC2" s="71">
        <f>((SUBSIDIO!$L$2*SUBSIDIO!$W$2)+(SUBSIDIO!$N$2*SUBSIDIO!$X$2))*(0.12)/(1-0.12)</f>
        <v>325639.49764439993</v>
      </c>
      <c r="AD2" s="71">
        <f ca="1">(SUBSIDIO!$J$2*SUBSIDIO!$Y$2)*(0.09)/(1-0.09)</f>
        <v>14051.043573385412</v>
      </c>
      <c r="AE2" s="71">
        <f ca="1">((SUBSIDIO!$L$2*SUBSIDIO!$Z$2)+(SUBSIDIO!$N$2*SUBSIDIO!$AA$2))*(0.09)/(1-0.09)</f>
        <v>225723.77348002605</v>
      </c>
      <c r="AF2" s="4" t="s">
        <v>1148</v>
      </c>
      <c r="AH2" s="53" t="s">
        <v>1150</v>
      </c>
      <c r="AI2" s="54">
        <f t="shared" ref="AI2:AI9" si="0">SUMIF($AF$2:$AF$2286,AH2,$AB$2:$AB$2286)+SUMIF($AF$2:$AF$2286,AH2,$AC$2:$AC$2286)</f>
        <v>12194534.938586801</v>
      </c>
      <c r="AJ2" s="54">
        <f t="shared" ref="AJ2:AJ9" ca="1" si="1">SUMIF($AF$2:$AF$2286,AH2,$AD$2:$AD$2286)+SUMIF($AF$2:$AF$2286,AH2,$AE$2:$AE$2286)</f>
        <v>14618076.822929341</v>
      </c>
    </row>
    <row r="3" spans="1:36" ht="11.25" customHeight="1" x14ac:dyDescent="0.25">
      <c r="A3" s="4" t="s">
        <v>21</v>
      </c>
      <c r="B3" s="4" t="s">
        <v>43</v>
      </c>
      <c r="C3" s="4" t="s">
        <v>41</v>
      </c>
      <c r="D3" s="4" t="s">
        <v>52</v>
      </c>
      <c r="E3" s="4" t="s">
        <v>53</v>
      </c>
      <c r="F3" s="4" t="s">
        <v>25</v>
      </c>
      <c r="G3" s="4" t="s">
        <v>25</v>
      </c>
      <c r="H3" s="4" t="s">
        <v>36</v>
      </c>
      <c r="I3" s="5">
        <v>43770</v>
      </c>
      <c r="J3" s="6">
        <v>18850</v>
      </c>
      <c r="K3" s="70">
        <v>18850</v>
      </c>
      <c r="L3" s="6">
        <v>8596.7639999999992</v>
      </c>
      <c r="M3" s="71">
        <v>8596.7639999999992</v>
      </c>
      <c r="N3" s="6">
        <v>8596.7639999999992</v>
      </c>
      <c r="O3" s="71">
        <v>8596.7639999999992</v>
      </c>
      <c r="P3" s="6">
        <v>0</v>
      </c>
      <c r="Q3" s="4" t="s">
        <v>26</v>
      </c>
      <c r="R3" s="4">
        <v>0</v>
      </c>
      <c r="S3" s="4">
        <v>2</v>
      </c>
      <c r="T3" s="4">
        <v>3</v>
      </c>
      <c r="U3" s="4">
        <v>78</v>
      </c>
      <c r="V3" s="71">
        <f>IF(ISERROR(VLOOKUP($S$3,'TAR FIN'!$A$1:$O$120,15,0)),0,VLOOKUP($S$3,'TAR FIN'!$A$1:$O$120,15,0))*(1-0.12)</f>
        <v>4.7520000000000007</v>
      </c>
      <c r="W3" s="71">
        <f>IF(ISERROR(VLOOKUP($T$3,'TAR FIN'!$A$1:$O$120,15,0)),0,VLOOKUP($T$3,'TAR FIN'!$A$1:$O$120,15,0))*(1-0.12)</f>
        <v>55.131999999999998</v>
      </c>
      <c r="X3" s="71">
        <f>IF(ISERROR(VLOOKUP($U$3,'TAR FIN'!$A$1:$O$120,15,0)),0,VLOOKUP($U$3,'TAR FIN'!$A$1:$O$120,15,0))*(1-0.12)</f>
        <v>225.61439999999999</v>
      </c>
      <c r="Y3" s="71">
        <f ca="1">('TUSD BE'!$AM$6+'TUSD BF'!$AM$6+'TUSD CVA'!$AM$6)*1*(1-0.09)</f>
        <v>7.5369582385975402</v>
      </c>
      <c r="Z3" s="71">
        <f ca="1">('TUSD BE'!$AM$7+'TUSD BF'!$AM$7+'TUSD CVA'!$AM$7)*1*(1-0.09)</f>
        <v>58.260148626390361</v>
      </c>
      <c r="AA3" s="71">
        <f>('TE BE'!$AA$6+'TE BF'!$AA$6+'TE CVA'!$AA$6)*1*(1-0.09)</f>
        <v>210.05913056249776</v>
      </c>
      <c r="AB3" s="71">
        <f>(SUBSIDIO!$J$3*SUBSIDIO!$V$3)*(0.12)/(1-0.12)</f>
        <v>12214.800000000001</v>
      </c>
      <c r="AC3" s="71">
        <f>((SUBSIDIO!$L$3*SUBSIDIO!$W$3)+(SUBSIDIO!$N$3*SUBSIDIO!$X$3))*(0.12)/(1-0.12)</f>
        <v>329115.07427039993</v>
      </c>
      <c r="AD3" s="71">
        <f ca="1">(SUBSIDIO!$J$3*SUBSIDIO!$Y$3)*(0.09)/(1-0.09)</f>
        <v>14051.043573385412</v>
      </c>
      <c r="AE3" s="71">
        <f ca="1">((SUBSIDIO!$L$3*SUBSIDIO!$Z$3)+(SUBSIDIO!$N$3*SUBSIDIO!$AA$3))*(0.09)/(1-0.09)</f>
        <v>228132.94152233895</v>
      </c>
      <c r="AF3" s="4" t="s">
        <v>1148</v>
      </c>
      <c r="AH3" s="53" t="s">
        <v>1149</v>
      </c>
      <c r="AI3" s="54">
        <f t="shared" si="0"/>
        <v>433792.8</v>
      </c>
      <c r="AJ3" s="54">
        <f t="shared" ca="1" si="1"/>
        <v>446576.94689449749</v>
      </c>
    </row>
    <row r="4" spans="1:36" ht="11.25" customHeight="1" x14ac:dyDescent="0.25">
      <c r="A4" s="4" t="s">
        <v>21</v>
      </c>
      <c r="B4" s="4" t="s">
        <v>43</v>
      </c>
      <c r="C4" s="4" t="s">
        <v>41</v>
      </c>
      <c r="D4" s="4" t="s">
        <v>52</v>
      </c>
      <c r="E4" s="4" t="s">
        <v>53</v>
      </c>
      <c r="F4" s="4" t="s">
        <v>25</v>
      </c>
      <c r="G4" s="4" t="s">
        <v>25</v>
      </c>
      <c r="H4" s="4" t="s">
        <v>36</v>
      </c>
      <c r="I4" s="5">
        <v>43800</v>
      </c>
      <c r="J4" s="6">
        <v>18850</v>
      </c>
      <c r="K4" s="70">
        <v>18850</v>
      </c>
      <c r="L4" s="6">
        <v>8015.4359999999997</v>
      </c>
      <c r="M4" s="71">
        <v>8015.4359999999997</v>
      </c>
      <c r="N4" s="6">
        <v>8015.4359999999997</v>
      </c>
      <c r="O4" s="71">
        <v>8015.4359999999997</v>
      </c>
      <c r="P4" s="6">
        <v>0</v>
      </c>
      <c r="Q4" s="4" t="s">
        <v>26</v>
      </c>
      <c r="R4" s="4">
        <v>0</v>
      </c>
      <c r="S4" s="4">
        <v>2</v>
      </c>
      <c r="T4" s="4">
        <v>3</v>
      </c>
      <c r="U4" s="4">
        <v>78</v>
      </c>
      <c r="V4" s="71">
        <f>IF(ISERROR(VLOOKUP($S$4,'TAR FIN'!$A$1:$O$120,15,0)),0,VLOOKUP($S$4,'TAR FIN'!$A$1:$O$120,15,0))*(1-0.12)</f>
        <v>4.7520000000000007</v>
      </c>
      <c r="W4" s="71">
        <f>IF(ISERROR(VLOOKUP($T$4,'TAR FIN'!$A$1:$O$120,15,0)),0,VLOOKUP($T$4,'TAR FIN'!$A$1:$O$120,15,0))*(1-0.12)</f>
        <v>55.131999999999998</v>
      </c>
      <c r="X4" s="71">
        <f>IF(ISERROR(VLOOKUP($U$4,'TAR FIN'!$A$1:$O$120,15,0)),0,VLOOKUP($U$4,'TAR FIN'!$A$1:$O$120,15,0))*(1-0.12)</f>
        <v>225.61439999999999</v>
      </c>
      <c r="Y4" s="71">
        <f ca="1">('TUSD BE'!$AM$6+'TUSD BF'!$AM$6+'TUSD CVA'!$AM$6)*1*(1-0.09)</f>
        <v>7.5369582385975402</v>
      </c>
      <c r="Z4" s="71">
        <f ca="1">('TUSD BE'!$AM$7+'TUSD BF'!$AM$7+'TUSD CVA'!$AM$7)*1*(1-0.09)</f>
        <v>58.260148626390361</v>
      </c>
      <c r="AA4" s="71">
        <f>('TE BE'!$AA$6+'TE BF'!$AA$6+'TE CVA'!$AA$6)*1*(1-0.09)</f>
        <v>210.05913056249776</v>
      </c>
      <c r="AB4" s="71">
        <f>(SUBSIDIO!$J$4*SUBSIDIO!$V$4)*(0.12)/(1-0.12)</f>
        <v>12214.800000000001</v>
      </c>
      <c r="AC4" s="71">
        <f>((SUBSIDIO!$L$4*SUBSIDIO!$W$4)+(SUBSIDIO!$N$4*SUBSIDIO!$X$4))*(0.12)/(1-0.12)</f>
        <v>306859.74564959994</v>
      </c>
      <c r="AD4" s="71">
        <f ca="1">(SUBSIDIO!$J$4*SUBSIDIO!$Y$4)*(0.09)/(1-0.09)</f>
        <v>14051.043573385412</v>
      </c>
      <c r="AE4" s="71">
        <f ca="1">((SUBSIDIO!$L$4*SUBSIDIO!$Z$4)+(SUBSIDIO!$N$4*SUBSIDIO!$AA$4))*(0.09)/(1-0.09)</f>
        <v>212706.19878177997</v>
      </c>
      <c r="AF4" s="4" t="s">
        <v>1148</v>
      </c>
      <c r="AH4" s="53" t="s">
        <v>1156</v>
      </c>
      <c r="AI4" s="54">
        <f t="shared" si="0"/>
        <v>0</v>
      </c>
      <c r="AJ4" s="54">
        <f t="shared" si="1"/>
        <v>0</v>
      </c>
    </row>
    <row r="5" spans="1:36" ht="11.25" customHeight="1" x14ac:dyDescent="0.25">
      <c r="A5" s="4" t="s">
        <v>21</v>
      </c>
      <c r="B5" s="4" t="s">
        <v>43</v>
      </c>
      <c r="C5" s="4" t="s">
        <v>41</v>
      </c>
      <c r="D5" s="4" t="s">
        <v>52</v>
      </c>
      <c r="E5" s="4" t="s">
        <v>53</v>
      </c>
      <c r="F5" s="4" t="s">
        <v>25</v>
      </c>
      <c r="G5" s="4" t="s">
        <v>25</v>
      </c>
      <c r="H5" s="4" t="s">
        <v>36</v>
      </c>
      <c r="I5" s="5">
        <v>43831</v>
      </c>
      <c r="J5" s="6">
        <v>18850</v>
      </c>
      <c r="K5" s="70">
        <v>18850</v>
      </c>
      <c r="L5" s="6">
        <v>8228.0519999999997</v>
      </c>
      <c r="M5" s="71">
        <v>8228.0519999999997</v>
      </c>
      <c r="N5" s="6">
        <v>8228.0519999999997</v>
      </c>
      <c r="O5" s="71">
        <v>8228.0519999999997</v>
      </c>
      <c r="P5" s="6">
        <v>0</v>
      </c>
      <c r="Q5" s="4" t="s">
        <v>26</v>
      </c>
      <c r="R5" s="4">
        <v>0</v>
      </c>
      <c r="S5" s="4">
        <v>2</v>
      </c>
      <c r="T5" s="4">
        <v>3</v>
      </c>
      <c r="U5" s="4">
        <v>78</v>
      </c>
      <c r="V5" s="71">
        <f>IF(ISERROR(VLOOKUP($S$5,'TAR FIN'!$A$1:$O$120,15,0)),0,VLOOKUP($S$5,'TAR FIN'!$A$1:$O$120,15,0))*(1-0.12)</f>
        <v>4.7520000000000007</v>
      </c>
      <c r="W5" s="71">
        <f>IF(ISERROR(VLOOKUP($T$5,'TAR FIN'!$A$1:$O$120,15,0)),0,VLOOKUP($T$5,'TAR FIN'!$A$1:$O$120,15,0))*(1-0.12)</f>
        <v>55.131999999999998</v>
      </c>
      <c r="X5" s="71">
        <f>IF(ISERROR(VLOOKUP($U$5,'TAR FIN'!$A$1:$O$120,15,0)),0,VLOOKUP($U$5,'TAR FIN'!$A$1:$O$120,15,0))*(1-0.12)</f>
        <v>225.61439999999999</v>
      </c>
      <c r="Y5" s="71">
        <f ca="1">('TUSD BE'!$AM$6+'TUSD BF'!$AM$6+'TUSD CVA'!$AM$6)*1*(1-0.09)</f>
        <v>7.5369582385975402</v>
      </c>
      <c r="Z5" s="71">
        <f ca="1">('TUSD BE'!$AM$7+'TUSD BF'!$AM$7+'TUSD CVA'!$AM$7)*1*(1-0.09)</f>
        <v>58.260148626390361</v>
      </c>
      <c r="AA5" s="71">
        <f>('TE BE'!$AA$6+'TE BF'!$AA$6+'TE CVA'!$AA$6)*1*(1-0.09)</f>
        <v>210.05913056249776</v>
      </c>
      <c r="AB5" s="71">
        <f>(SUBSIDIO!$J$5*SUBSIDIO!$V$5)*(0.12)/(1-0.12)</f>
        <v>12214.800000000001</v>
      </c>
      <c r="AC5" s="71">
        <f>((SUBSIDIO!$L$5*SUBSIDIO!$W$5)+(SUBSIDIO!$N$5*SUBSIDIO!$X$5))*(0.12)/(1-0.12)</f>
        <v>314999.45154719998</v>
      </c>
      <c r="AD5" s="71">
        <f ca="1">(SUBSIDIO!$J$5*SUBSIDIO!$Y$5)*(0.09)/(1-0.09)</f>
        <v>14051.043573385412</v>
      </c>
      <c r="AE5" s="71">
        <f ca="1">((SUBSIDIO!$L$5*SUBSIDIO!$Z$5)+(SUBSIDIO!$N$5*SUBSIDIO!$AA$5))*(0.09)/(1-0.09)</f>
        <v>218348.4047903099</v>
      </c>
      <c r="AF5" s="4" t="s">
        <v>1148</v>
      </c>
      <c r="AH5" s="53" t="s">
        <v>1148</v>
      </c>
      <c r="AI5" s="54">
        <f t="shared" si="0"/>
        <v>13297880.741072396</v>
      </c>
      <c r="AJ5" s="54">
        <f t="shared" ca="1" si="1"/>
        <v>9656596.479259355</v>
      </c>
    </row>
    <row r="6" spans="1:36" ht="11.25" customHeight="1" x14ac:dyDescent="0.25">
      <c r="A6" s="4" t="s">
        <v>21</v>
      </c>
      <c r="B6" s="4" t="s">
        <v>43</v>
      </c>
      <c r="C6" s="4" t="s">
        <v>41</v>
      </c>
      <c r="D6" s="4" t="s">
        <v>52</v>
      </c>
      <c r="E6" s="4" t="s">
        <v>53</v>
      </c>
      <c r="F6" s="4" t="s">
        <v>25</v>
      </c>
      <c r="G6" s="4" t="s">
        <v>25</v>
      </c>
      <c r="H6" s="4" t="s">
        <v>36</v>
      </c>
      <c r="I6" s="5">
        <v>43862</v>
      </c>
      <c r="J6" s="6">
        <v>18850</v>
      </c>
      <c r="K6" s="70">
        <v>18850</v>
      </c>
      <c r="L6" s="6">
        <v>8347.3130000000001</v>
      </c>
      <c r="M6" s="71">
        <v>8347.3130000000001</v>
      </c>
      <c r="N6" s="6">
        <v>8347.3130000000001</v>
      </c>
      <c r="O6" s="71">
        <v>8347.3130000000001</v>
      </c>
      <c r="P6" s="6">
        <v>0</v>
      </c>
      <c r="Q6" s="4" t="s">
        <v>26</v>
      </c>
      <c r="R6" s="4">
        <v>0</v>
      </c>
      <c r="S6" s="4">
        <v>2</v>
      </c>
      <c r="T6" s="4">
        <v>3</v>
      </c>
      <c r="U6" s="4">
        <v>78</v>
      </c>
      <c r="V6" s="71">
        <f>IF(ISERROR(VLOOKUP($S$6,'TAR FIN'!$A$1:$O$120,15,0)),0,VLOOKUP($S$6,'TAR FIN'!$A$1:$O$120,15,0))*(1-0.12)</f>
        <v>4.7520000000000007</v>
      </c>
      <c r="W6" s="71">
        <f>IF(ISERROR(VLOOKUP($T$6,'TAR FIN'!$A$1:$O$120,15,0)),0,VLOOKUP($T$6,'TAR FIN'!$A$1:$O$120,15,0))*(1-0.12)</f>
        <v>55.131999999999998</v>
      </c>
      <c r="X6" s="71">
        <f>IF(ISERROR(VLOOKUP($U$6,'TAR FIN'!$A$1:$O$120,15,0)),0,VLOOKUP($U$6,'TAR FIN'!$A$1:$O$120,15,0))*(1-0.12)</f>
        <v>225.61439999999999</v>
      </c>
      <c r="Y6" s="71">
        <f ca="1">('TUSD BE'!$AM$6+'TUSD BF'!$AM$6+'TUSD CVA'!$AM$6)*1*(1-0.09)</f>
        <v>7.5369582385975402</v>
      </c>
      <c r="Z6" s="71">
        <f ca="1">('TUSD BE'!$AM$7+'TUSD BF'!$AM$7+'TUSD CVA'!$AM$7)*1*(1-0.09)</f>
        <v>58.260148626390361</v>
      </c>
      <c r="AA6" s="71">
        <f>('TE BE'!$AA$6+'TE BF'!$AA$6+'TE CVA'!$AA$6)*1*(1-0.09)</f>
        <v>210.05913056249776</v>
      </c>
      <c r="AB6" s="71">
        <f>(SUBSIDIO!$J$6*SUBSIDIO!$V$6)*(0.12)/(1-0.12)</f>
        <v>12214.800000000001</v>
      </c>
      <c r="AC6" s="71">
        <f>((SUBSIDIO!$L$6*SUBSIDIO!$W$6)+(SUBSIDIO!$N$6*SUBSIDIO!$X$6))*(0.12)/(1-0.12)</f>
        <v>319565.19196680002</v>
      </c>
      <c r="AD6" s="71">
        <f ca="1">(SUBSIDIO!$J$6*SUBSIDIO!$Y$6)*(0.09)/(1-0.09)</f>
        <v>14051.043573385412</v>
      </c>
      <c r="AE6" s="71">
        <f ca="1">((SUBSIDIO!$L$6*SUBSIDIO!$Z$6)+(SUBSIDIO!$N$6*SUBSIDIO!$AA$6))*(0.09)/(1-0.09)</f>
        <v>221513.24248259686</v>
      </c>
      <c r="AF6" s="4" t="s">
        <v>1148</v>
      </c>
      <c r="AH6" s="53" t="s">
        <v>1151</v>
      </c>
      <c r="AI6" s="54">
        <f t="shared" si="0"/>
        <v>11633019.036040099</v>
      </c>
      <c r="AJ6" s="54">
        <f t="shared" ca="1" si="1"/>
        <v>8669030.1376284994</v>
      </c>
    </row>
    <row r="7" spans="1:36" ht="11.25" customHeight="1" x14ac:dyDescent="0.25">
      <c r="A7" s="4" t="s">
        <v>21</v>
      </c>
      <c r="B7" s="4" t="s">
        <v>43</v>
      </c>
      <c r="C7" s="4" t="s">
        <v>41</v>
      </c>
      <c r="D7" s="4" t="s">
        <v>52</v>
      </c>
      <c r="E7" s="4" t="s">
        <v>53</v>
      </c>
      <c r="F7" s="4" t="s">
        <v>25</v>
      </c>
      <c r="G7" s="4" t="s">
        <v>25</v>
      </c>
      <c r="H7" s="4" t="s">
        <v>36</v>
      </c>
      <c r="I7" s="5">
        <v>43891</v>
      </c>
      <c r="J7" s="6">
        <v>18850</v>
      </c>
      <c r="K7" s="70">
        <v>18850</v>
      </c>
      <c r="L7" s="6">
        <v>7813.8</v>
      </c>
      <c r="M7" s="71">
        <v>7813.8</v>
      </c>
      <c r="N7" s="6">
        <v>7813.8</v>
      </c>
      <c r="O7" s="71">
        <v>7813.8</v>
      </c>
      <c r="P7" s="6">
        <v>0</v>
      </c>
      <c r="Q7" s="4" t="s">
        <v>26</v>
      </c>
      <c r="R7" s="4">
        <v>0</v>
      </c>
      <c r="S7" s="4">
        <v>2</v>
      </c>
      <c r="T7" s="4">
        <v>3</v>
      </c>
      <c r="U7" s="4">
        <v>78</v>
      </c>
      <c r="V7" s="71">
        <f>IF(ISERROR(VLOOKUP($S$7,'TAR FIN'!$A$1:$O$120,15,0)),0,VLOOKUP($S$7,'TAR FIN'!$A$1:$O$120,15,0))*(1-0.12)</f>
        <v>4.7520000000000007</v>
      </c>
      <c r="W7" s="71">
        <f>IF(ISERROR(VLOOKUP($T$7,'TAR FIN'!$A$1:$O$120,15,0)),0,VLOOKUP($T$7,'TAR FIN'!$A$1:$O$120,15,0))*(1-0.12)</f>
        <v>55.131999999999998</v>
      </c>
      <c r="X7" s="71">
        <f>IF(ISERROR(VLOOKUP($U$7,'TAR FIN'!$A$1:$O$120,15,0)),0,VLOOKUP($U$7,'TAR FIN'!$A$1:$O$120,15,0))*(1-0.12)</f>
        <v>225.61439999999999</v>
      </c>
      <c r="Y7" s="71">
        <f ca="1">('TUSD BE'!$AM$6+'TUSD BF'!$AM$6+'TUSD CVA'!$AM$6)*1*(1-0.09)</f>
        <v>7.5369582385975402</v>
      </c>
      <c r="Z7" s="71">
        <f ca="1">('TUSD BE'!$AM$7+'TUSD BF'!$AM$7+'TUSD CVA'!$AM$7)*1*(1-0.09)</f>
        <v>58.260148626390361</v>
      </c>
      <c r="AA7" s="71">
        <f>('TE BE'!$AA$6+'TE BF'!$AA$6+'TE CVA'!$AA$6)*1*(1-0.09)</f>
        <v>210.05913056249776</v>
      </c>
      <c r="AB7" s="71">
        <f>(SUBSIDIO!$J$7*SUBSIDIO!$V$7)*(0.12)/(1-0.12)</f>
        <v>12214.800000000001</v>
      </c>
      <c r="AC7" s="71">
        <f>((SUBSIDIO!$L$7*SUBSIDIO!$W$7)+(SUBSIDIO!$N$7*SUBSIDIO!$X$7))*(0.12)/(1-0.12)</f>
        <v>299140.39367999998</v>
      </c>
      <c r="AD7" s="71">
        <f ca="1">(SUBSIDIO!$J$7*SUBSIDIO!$Y$7)*(0.09)/(1-0.09)</f>
        <v>14051.043573385412</v>
      </c>
      <c r="AE7" s="71">
        <f ca="1">((SUBSIDIO!$L$7*SUBSIDIO!$Z$7)+(SUBSIDIO!$N$7*SUBSIDIO!$AA$7))*(0.09)/(1-0.09)</f>
        <v>207355.3698190682</v>
      </c>
      <c r="AF7" s="4" t="s">
        <v>1148</v>
      </c>
      <c r="AH7" s="53" t="s">
        <v>1152</v>
      </c>
      <c r="AI7" s="54">
        <f t="shared" si="0"/>
        <v>2026779.4693628999</v>
      </c>
      <c r="AJ7" s="54">
        <f t="shared" ca="1" si="1"/>
        <v>1894201.5389897977</v>
      </c>
    </row>
    <row r="8" spans="1:36" ht="11.25" customHeight="1" x14ac:dyDescent="0.25">
      <c r="A8" s="4" t="s">
        <v>21</v>
      </c>
      <c r="B8" s="4" t="s">
        <v>43</v>
      </c>
      <c r="C8" s="4" t="s">
        <v>41</v>
      </c>
      <c r="D8" s="4" t="s">
        <v>52</v>
      </c>
      <c r="E8" s="4" t="s">
        <v>53</v>
      </c>
      <c r="F8" s="4" t="s">
        <v>25</v>
      </c>
      <c r="G8" s="4" t="s">
        <v>25</v>
      </c>
      <c r="H8" s="4" t="s">
        <v>36</v>
      </c>
      <c r="I8" s="5">
        <v>43922</v>
      </c>
      <c r="J8" s="6">
        <v>18850</v>
      </c>
      <c r="K8" s="70">
        <v>18850</v>
      </c>
      <c r="L8" s="6">
        <v>8628.2279999999992</v>
      </c>
      <c r="M8" s="71">
        <v>8628.2279999999992</v>
      </c>
      <c r="N8" s="6">
        <v>8628.2279999999992</v>
      </c>
      <c r="O8" s="71">
        <v>8628.2279999999992</v>
      </c>
      <c r="P8" s="6">
        <v>0</v>
      </c>
      <c r="Q8" s="4" t="s">
        <v>26</v>
      </c>
      <c r="R8" s="4">
        <v>0</v>
      </c>
      <c r="S8" s="4">
        <v>2</v>
      </c>
      <c r="T8" s="4">
        <v>3</v>
      </c>
      <c r="U8" s="4">
        <v>78</v>
      </c>
      <c r="V8" s="71">
        <f>IF(ISERROR(VLOOKUP($S$8,'TAR FIN'!$A$1:$O$120,15,0)),0,VLOOKUP($S$8,'TAR FIN'!$A$1:$O$120,15,0))*(1-0.12)</f>
        <v>4.7520000000000007</v>
      </c>
      <c r="W8" s="71">
        <f>IF(ISERROR(VLOOKUP($T$8,'TAR FIN'!$A$1:$O$120,15,0)),0,VLOOKUP($T$8,'TAR FIN'!$A$1:$O$120,15,0))*(1-0.12)</f>
        <v>55.131999999999998</v>
      </c>
      <c r="X8" s="71">
        <f>IF(ISERROR(VLOOKUP($U$8,'TAR FIN'!$A$1:$O$120,15,0)),0,VLOOKUP($U$8,'TAR FIN'!$A$1:$O$120,15,0))*(1-0.12)</f>
        <v>225.61439999999999</v>
      </c>
      <c r="Y8" s="71">
        <f ca="1">('TUSD BE'!$AM$6+'TUSD BF'!$AM$6+'TUSD CVA'!$AM$6)*1*(1-0.09)</f>
        <v>7.5369582385975402</v>
      </c>
      <c r="Z8" s="71">
        <f ca="1">('TUSD BE'!$AM$7+'TUSD BF'!$AM$7+'TUSD CVA'!$AM$7)*1*(1-0.09)</f>
        <v>58.260148626390361</v>
      </c>
      <c r="AA8" s="71">
        <f>('TE BE'!$AA$6+'TE BF'!$AA$6+'TE CVA'!$AA$6)*1*(1-0.09)</f>
        <v>210.05913056249776</v>
      </c>
      <c r="AB8" s="71">
        <f>(SUBSIDIO!$J$8*SUBSIDIO!$V$8)*(0.12)/(1-0.12)</f>
        <v>12214.800000000001</v>
      </c>
      <c r="AC8" s="71">
        <f>((SUBSIDIO!$L$8*SUBSIDIO!$W$8)+(SUBSIDIO!$N$8*SUBSIDIO!$X$8))*(0.12)/(1-0.12)</f>
        <v>330319.62946079992</v>
      </c>
      <c r="AD8" s="71">
        <f ca="1">(SUBSIDIO!$J$8*SUBSIDIO!$Y$8)*(0.09)/(1-0.09)</f>
        <v>14051.043573385412</v>
      </c>
      <c r="AE8" s="71">
        <f ca="1">((SUBSIDIO!$L$8*SUBSIDIO!$Z$8)+(SUBSIDIO!$N$8*SUBSIDIO!$AA$8))*(0.09)/(1-0.09)</f>
        <v>228967.90394215862</v>
      </c>
      <c r="AF8" s="4" t="s">
        <v>1148</v>
      </c>
      <c r="AH8" s="53" t="s">
        <v>1153</v>
      </c>
      <c r="AI8" s="54">
        <f t="shared" si="0"/>
        <v>2709420.4882199978</v>
      </c>
      <c r="AJ8" s="54">
        <f t="shared" ca="1" si="1"/>
        <v>2634094.0157562252</v>
      </c>
    </row>
    <row r="9" spans="1:36" ht="11.25" customHeight="1" x14ac:dyDescent="0.25">
      <c r="A9" s="4" t="s">
        <v>21</v>
      </c>
      <c r="B9" s="4" t="s">
        <v>43</v>
      </c>
      <c r="C9" s="4" t="s">
        <v>41</v>
      </c>
      <c r="D9" s="4" t="s">
        <v>52</v>
      </c>
      <c r="E9" s="4" t="s">
        <v>53</v>
      </c>
      <c r="F9" s="4" t="s">
        <v>25</v>
      </c>
      <c r="G9" s="4" t="s">
        <v>25</v>
      </c>
      <c r="H9" s="4" t="s">
        <v>36</v>
      </c>
      <c r="I9" s="5">
        <v>43952</v>
      </c>
      <c r="J9" s="6">
        <v>18850</v>
      </c>
      <c r="K9" s="70">
        <v>18850</v>
      </c>
      <c r="L9" s="6">
        <v>8050.3339999999998</v>
      </c>
      <c r="M9" s="71">
        <v>8050.3339999999998</v>
      </c>
      <c r="N9" s="6">
        <v>8050.3339999999998</v>
      </c>
      <c r="O9" s="71">
        <v>8050.3339999999998</v>
      </c>
      <c r="P9" s="6">
        <v>0</v>
      </c>
      <c r="Q9" s="4" t="s">
        <v>26</v>
      </c>
      <c r="R9" s="4">
        <v>0</v>
      </c>
      <c r="S9" s="4">
        <v>2</v>
      </c>
      <c r="T9" s="4">
        <v>3</v>
      </c>
      <c r="U9" s="4">
        <v>78</v>
      </c>
      <c r="V9" s="71">
        <f>IF(ISERROR(VLOOKUP($S$9,'TAR FIN'!$A$1:$O$120,15,0)),0,VLOOKUP($S$9,'TAR FIN'!$A$1:$O$120,15,0))*(1-0.12)</f>
        <v>4.7520000000000007</v>
      </c>
      <c r="W9" s="71">
        <f>IF(ISERROR(VLOOKUP($T$9,'TAR FIN'!$A$1:$O$120,15,0)),0,VLOOKUP($T$9,'TAR FIN'!$A$1:$O$120,15,0))*(1-0.12)</f>
        <v>55.131999999999998</v>
      </c>
      <c r="X9" s="71">
        <f>IF(ISERROR(VLOOKUP($U$9,'TAR FIN'!$A$1:$O$120,15,0)),0,VLOOKUP($U$9,'TAR FIN'!$A$1:$O$120,15,0))*(1-0.12)</f>
        <v>225.61439999999999</v>
      </c>
      <c r="Y9" s="71">
        <f ca="1">('TUSD BE'!$AM$6+'TUSD BF'!$AM$6+'TUSD CVA'!$AM$6)*1*(1-0.09)</f>
        <v>7.5369582385975402</v>
      </c>
      <c r="Z9" s="71">
        <f ca="1">('TUSD BE'!$AM$7+'TUSD BF'!$AM$7+'TUSD CVA'!$AM$7)*1*(1-0.09)</f>
        <v>58.260148626390361</v>
      </c>
      <c r="AA9" s="71">
        <f>('TE BE'!$AA$6+'TE BF'!$AA$6+'TE CVA'!$AA$6)*1*(1-0.09)</f>
        <v>210.05913056249776</v>
      </c>
      <c r="AB9" s="71">
        <f>(SUBSIDIO!$J$9*SUBSIDIO!$V$9)*(0.12)/(1-0.12)</f>
        <v>12214.800000000001</v>
      </c>
      <c r="AC9" s="71">
        <f>((SUBSIDIO!$L$9*SUBSIDIO!$W$9)+(SUBSIDIO!$N$9*SUBSIDIO!$X$9))*(0.12)/(1-0.12)</f>
        <v>308195.76672239992</v>
      </c>
      <c r="AD9" s="71">
        <f ca="1">(SUBSIDIO!$J$9*SUBSIDIO!$Y$9)*(0.09)/(1-0.09)</f>
        <v>14051.043573385412</v>
      </c>
      <c r="AE9" s="71">
        <f ca="1">((SUBSIDIO!$L$9*SUBSIDIO!$Z$9)+(SUBSIDIO!$N$9*SUBSIDIO!$AA$9))*(0.09)/(1-0.09)</f>
        <v>213632.28950536466</v>
      </c>
      <c r="AF9" s="4" t="s">
        <v>1148</v>
      </c>
      <c r="AH9" s="53" t="s">
        <v>1157</v>
      </c>
      <c r="AI9" s="54">
        <f t="shared" si="0"/>
        <v>0</v>
      </c>
      <c r="AJ9" s="54">
        <f t="shared" si="1"/>
        <v>0</v>
      </c>
    </row>
    <row r="10" spans="1:36" ht="11.25" customHeight="1" x14ac:dyDescent="0.25">
      <c r="A10" s="4" t="s">
        <v>21</v>
      </c>
      <c r="B10" s="4" t="s">
        <v>43</v>
      </c>
      <c r="C10" s="4" t="s">
        <v>41</v>
      </c>
      <c r="D10" s="4" t="s">
        <v>52</v>
      </c>
      <c r="E10" s="4" t="s">
        <v>53</v>
      </c>
      <c r="F10" s="4" t="s">
        <v>25</v>
      </c>
      <c r="G10" s="4" t="s">
        <v>25</v>
      </c>
      <c r="H10" s="4" t="s">
        <v>36</v>
      </c>
      <c r="I10" s="5">
        <v>43983</v>
      </c>
      <c r="J10" s="6">
        <v>18850</v>
      </c>
      <c r="K10" s="70">
        <v>18850</v>
      </c>
      <c r="L10" s="6">
        <v>8458.0339999999997</v>
      </c>
      <c r="M10" s="71">
        <v>8458.0339999999997</v>
      </c>
      <c r="N10" s="6">
        <v>8458.0339999999997</v>
      </c>
      <c r="O10" s="71">
        <v>8458.0339999999997</v>
      </c>
      <c r="P10" s="6">
        <v>0</v>
      </c>
      <c r="Q10" s="4" t="s">
        <v>26</v>
      </c>
      <c r="R10" s="4">
        <v>0</v>
      </c>
      <c r="S10" s="4">
        <v>2</v>
      </c>
      <c r="T10" s="4">
        <v>3</v>
      </c>
      <c r="U10" s="4">
        <v>78</v>
      </c>
      <c r="V10" s="71">
        <f>IF(ISERROR(VLOOKUP($S$10,'TAR FIN'!$A$1:$O$120,15,0)),0,VLOOKUP($S$10,'TAR FIN'!$A$1:$O$120,15,0))*(1-0.12)</f>
        <v>4.7520000000000007</v>
      </c>
      <c r="W10" s="71">
        <f>IF(ISERROR(VLOOKUP($T$10,'TAR FIN'!$A$1:$O$120,15,0)),0,VLOOKUP($T$10,'TAR FIN'!$A$1:$O$120,15,0))*(1-0.12)</f>
        <v>55.131999999999998</v>
      </c>
      <c r="X10" s="71">
        <f>IF(ISERROR(VLOOKUP($U$10,'TAR FIN'!$A$1:$O$120,15,0)),0,VLOOKUP($U$10,'TAR FIN'!$A$1:$O$120,15,0))*(1-0.12)</f>
        <v>225.61439999999999</v>
      </c>
      <c r="Y10" s="71">
        <f ca="1">('TUSD BE'!$AM$6+'TUSD BF'!$AM$6+'TUSD CVA'!$AM$6)*1*(1-0.09)</f>
        <v>7.5369582385975402</v>
      </c>
      <c r="Z10" s="71">
        <f ca="1">('TUSD BE'!$AM$7+'TUSD BF'!$AM$7+'TUSD CVA'!$AM$7)*1*(1-0.09)</f>
        <v>58.260148626390361</v>
      </c>
      <c r="AA10" s="71">
        <f>('TE BE'!$AA$6+'TE BF'!$AA$6+'TE CVA'!$AA$6)*1*(1-0.09)</f>
        <v>210.05913056249776</v>
      </c>
      <c r="AB10" s="71">
        <f>(SUBSIDIO!$J$10*SUBSIDIO!$V$10)*(0.12)/(1-0.12)</f>
        <v>12214.800000000001</v>
      </c>
      <c r="AC10" s="71">
        <f>((SUBSIDIO!$L$10*SUBSIDIO!$W$10)+(SUBSIDIO!$N$10*SUBSIDIO!$X$10))*(0.12)/(1-0.12)</f>
        <v>323803.99044239993</v>
      </c>
      <c r="AD10" s="71">
        <f ca="1">(SUBSIDIO!$J$10*SUBSIDIO!$Y$10)*(0.09)/(1-0.09)</f>
        <v>14051.043573385412</v>
      </c>
      <c r="AE10" s="71">
        <f ca="1">((SUBSIDIO!$L$10*SUBSIDIO!$Z$10)+(SUBSIDIO!$N$10*SUBSIDIO!$AA$10))*(0.09)/(1-0.09)</f>
        <v>224451.45358369197</v>
      </c>
      <c r="AF10" s="4" t="s">
        <v>1148</v>
      </c>
    </row>
    <row r="11" spans="1:36" ht="11.25" customHeight="1" x14ac:dyDescent="0.25">
      <c r="A11" s="4" t="s">
        <v>21</v>
      </c>
      <c r="B11" s="4" t="s">
        <v>43</v>
      </c>
      <c r="C11" s="4" t="s">
        <v>41</v>
      </c>
      <c r="D11" s="4" t="s">
        <v>52</v>
      </c>
      <c r="E11" s="4" t="s">
        <v>53</v>
      </c>
      <c r="F11" s="4" t="s">
        <v>25</v>
      </c>
      <c r="G11" s="4" t="s">
        <v>25</v>
      </c>
      <c r="H11" s="4" t="s">
        <v>36</v>
      </c>
      <c r="I11" s="5">
        <v>44013</v>
      </c>
      <c r="J11" s="6">
        <v>18850</v>
      </c>
      <c r="K11" s="70">
        <v>18850</v>
      </c>
      <c r="L11" s="6">
        <v>8418.7369999999992</v>
      </c>
      <c r="M11" s="71">
        <v>8418.7369999999992</v>
      </c>
      <c r="N11" s="6">
        <v>8418.7369999999992</v>
      </c>
      <c r="O11" s="71">
        <v>8418.7369999999992</v>
      </c>
      <c r="P11" s="6">
        <v>0</v>
      </c>
      <c r="Q11" s="4" t="s">
        <v>26</v>
      </c>
      <c r="R11" s="4">
        <v>0</v>
      </c>
      <c r="S11" s="4">
        <v>2</v>
      </c>
      <c r="T11" s="4">
        <v>3</v>
      </c>
      <c r="U11" s="4">
        <v>78</v>
      </c>
      <c r="V11" s="71">
        <f>IF(ISERROR(VLOOKUP($S$11,'TAR FIN'!$A$1:$O$120,15,0)),0,VLOOKUP($S$11,'TAR FIN'!$A$1:$O$120,15,0))*(1-0.12)</f>
        <v>4.7520000000000007</v>
      </c>
      <c r="W11" s="71">
        <f>IF(ISERROR(VLOOKUP($T$11,'TAR FIN'!$A$1:$O$120,15,0)),0,VLOOKUP($T$11,'TAR FIN'!$A$1:$O$120,15,0))*(1-0.12)</f>
        <v>55.131999999999998</v>
      </c>
      <c r="X11" s="71">
        <f>IF(ISERROR(VLOOKUP($U$11,'TAR FIN'!$A$1:$O$120,15,0)),0,VLOOKUP($U$11,'TAR FIN'!$A$1:$O$120,15,0))*(1-0.12)</f>
        <v>225.61439999999999</v>
      </c>
      <c r="Y11" s="71">
        <f ca="1">('TUSD BE'!$AM$6+'TUSD BF'!$AM$6+'TUSD CVA'!$AM$6)*1*(1-0.09)</f>
        <v>7.5369582385975402</v>
      </c>
      <c r="Z11" s="71">
        <f ca="1">('TUSD BE'!$AM$7+'TUSD BF'!$AM$7+'TUSD CVA'!$AM$7)*1*(1-0.09)</f>
        <v>58.260148626390361</v>
      </c>
      <c r="AA11" s="71">
        <f>('TE BE'!$AA$6+'TE BF'!$AA$6+'TE CVA'!$AA$6)*1*(1-0.09)</f>
        <v>210.05913056249776</v>
      </c>
      <c r="AB11" s="71">
        <f>(SUBSIDIO!$J$11*SUBSIDIO!$V$11)*(0.12)/(1-0.12)</f>
        <v>12214.800000000001</v>
      </c>
      <c r="AC11" s="71">
        <f>((SUBSIDIO!$L$11*SUBSIDIO!$W$11)+(SUBSIDIO!$N$11*SUBSIDIO!$X$11))*(0.12)/(1-0.12)</f>
        <v>322299.55981319991</v>
      </c>
      <c r="AD11" s="71">
        <f ca="1">(SUBSIDIO!$J$11*SUBSIDIO!$Y$11)*(0.09)/(1-0.09)</f>
        <v>14051.043573385412</v>
      </c>
      <c r="AE11" s="71">
        <f ca="1">((SUBSIDIO!$L$11*SUBSIDIO!$Z$11)+(SUBSIDIO!$N$11*SUBSIDIO!$AA$11))*(0.09)/(1-0.09)</f>
        <v>223408.62628227912</v>
      </c>
      <c r="AF11" s="4" t="s">
        <v>1148</v>
      </c>
    </row>
    <row r="12" spans="1:36" ht="11.25" customHeight="1" x14ac:dyDescent="0.25">
      <c r="A12" s="4" t="s">
        <v>21</v>
      </c>
      <c r="B12" s="4" t="s">
        <v>43</v>
      </c>
      <c r="C12" s="4" t="s">
        <v>41</v>
      </c>
      <c r="D12" s="4" t="s">
        <v>52</v>
      </c>
      <c r="E12" s="4" t="s">
        <v>53</v>
      </c>
      <c r="F12" s="4" t="s">
        <v>25</v>
      </c>
      <c r="G12" s="4" t="s">
        <v>25</v>
      </c>
      <c r="H12" s="4" t="s">
        <v>36</v>
      </c>
      <c r="I12" s="5">
        <v>44044</v>
      </c>
      <c r="J12" s="6">
        <v>18850</v>
      </c>
      <c r="K12" s="70">
        <v>18850</v>
      </c>
      <c r="L12" s="6">
        <v>8998.4449999999997</v>
      </c>
      <c r="M12" s="71">
        <v>8998.4449999999997</v>
      </c>
      <c r="N12" s="6">
        <v>8998.4449999999997</v>
      </c>
      <c r="O12" s="71">
        <v>8998.4449999999997</v>
      </c>
      <c r="P12" s="6">
        <v>0</v>
      </c>
      <c r="Q12" s="4" t="s">
        <v>26</v>
      </c>
      <c r="R12" s="4">
        <v>0</v>
      </c>
      <c r="S12" s="4">
        <v>2</v>
      </c>
      <c r="T12" s="4">
        <v>3</v>
      </c>
      <c r="U12" s="4">
        <v>78</v>
      </c>
      <c r="V12" s="71">
        <f>IF(ISERROR(VLOOKUP($S$12,'TAR FIN'!$A$1:$O$120,15,0)),0,VLOOKUP($S$12,'TAR FIN'!$A$1:$O$120,15,0))*(1-0.12)</f>
        <v>4.7520000000000007</v>
      </c>
      <c r="W12" s="71">
        <f>IF(ISERROR(VLOOKUP($T$12,'TAR FIN'!$A$1:$O$120,15,0)),0,VLOOKUP($T$12,'TAR FIN'!$A$1:$O$120,15,0))*(1-0.12)</f>
        <v>55.131999999999998</v>
      </c>
      <c r="X12" s="71">
        <f>IF(ISERROR(VLOOKUP($U$12,'TAR FIN'!$A$1:$O$120,15,0)),0,VLOOKUP($U$12,'TAR FIN'!$A$1:$O$120,15,0))*(1-0.12)</f>
        <v>225.61439999999999</v>
      </c>
      <c r="Y12" s="71">
        <f ca="1">('TUSD BE'!$AM$6+'TUSD BF'!$AM$6+'TUSD CVA'!$AM$6)*1*(1-0.09)</f>
        <v>7.5369582385975402</v>
      </c>
      <c r="Z12" s="71">
        <f ca="1">('TUSD BE'!$AM$7+'TUSD BF'!$AM$7+'TUSD CVA'!$AM$7)*1*(1-0.09)</f>
        <v>58.260148626390361</v>
      </c>
      <c r="AA12" s="71">
        <f>('TE BE'!$AA$6+'TE BF'!$AA$6+'TE CVA'!$AA$6)*1*(1-0.09)</f>
        <v>210.05913056249776</v>
      </c>
      <c r="AB12" s="71">
        <f>(SUBSIDIO!$J$12*SUBSIDIO!$V$12)*(0.12)/(1-0.12)</f>
        <v>12214.800000000001</v>
      </c>
      <c r="AC12" s="71">
        <f>((SUBSIDIO!$L$12*SUBSIDIO!$W$12)+(SUBSIDIO!$N$12*SUBSIDIO!$X$12))*(0.12)/(1-0.12)</f>
        <v>344492.86900199996</v>
      </c>
      <c r="AD12" s="71">
        <f ca="1">(SUBSIDIO!$J$12*SUBSIDIO!$Y$12)*(0.09)/(1-0.09)</f>
        <v>14051.043573385412</v>
      </c>
      <c r="AE12" s="71">
        <f ca="1">((SUBSIDIO!$L$12*SUBSIDIO!$Z$12)+(SUBSIDIO!$N$12*SUBSIDIO!$AA$12))*(0.09)/(1-0.09)</f>
        <v>238792.37896689767</v>
      </c>
      <c r="AF12" s="4" t="s">
        <v>1148</v>
      </c>
    </row>
    <row r="13" spans="1:36" ht="11.25" customHeight="1" x14ac:dyDescent="0.25">
      <c r="A13" s="4" t="s">
        <v>59</v>
      </c>
      <c r="B13" s="4" t="s">
        <v>43</v>
      </c>
      <c r="C13" s="4" t="s">
        <v>41</v>
      </c>
      <c r="D13" s="4" t="s">
        <v>52</v>
      </c>
      <c r="E13" s="4" t="s">
        <v>53</v>
      </c>
      <c r="F13" s="4" t="s">
        <v>25</v>
      </c>
      <c r="G13" s="4" t="s">
        <v>25</v>
      </c>
      <c r="H13" s="4" t="s">
        <v>36</v>
      </c>
      <c r="I13" s="5">
        <v>44075</v>
      </c>
      <c r="J13" s="6">
        <v>18850</v>
      </c>
      <c r="K13" s="70">
        <v>18850</v>
      </c>
      <c r="L13" s="6">
        <v>8998.4449999999997</v>
      </c>
      <c r="M13" s="71">
        <v>8998.4449999999997</v>
      </c>
      <c r="N13" s="6">
        <v>8998.4449999999997</v>
      </c>
      <c r="O13" s="71">
        <v>8998.4449999999997</v>
      </c>
      <c r="P13" s="6">
        <v>0</v>
      </c>
      <c r="Q13" s="4" t="s">
        <v>26</v>
      </c>
      <c r="R13" s="4">
        <v>0</v>
      </c>
      <c r="S13" s="4">
        <v>2</v>
      </c>
      <c r="T13" s="4">
        <v>3</v>
      </c>
      <c r="U13" s="4">
        <v>78</v>
      </c>
      <c r="V13" s="71">
        <f>IF(ISERROR(VLOOKUP($S$13,'TAR FIN'!$A$1:$O$120,15,0)),0,VLOOKUP($S$13,'TAR FIN'!$A$1:$O$120,15,0))*(1-0.12)</f>
        <v>4.7520000000000007</v>
      </c>
      <c r="W13" s="71">
        <f>IF(ISERROR(VLOOKUP($T$13,'TAR FIN'!$A$1:$O$120,15,0)),0,VLOOKUP($T$13,'TAR FIN'!$A$1:$O$120,15,0))*(1-0.12)</f>
        <v>55.131999999999998</v>
      </c>
      <c r="X13" s="71">
        <f>IF(ISERROR(VLOOKUP($U$13,'TAR FIN'!$A$1:$O$120,15,0)),0,VLOOKUP($U$13,'TAR FIN'!$A$1:$O$120,15,0))*(1-0.12)</f>
        <v>225.61439999999999</v>
      </c>
      <c r="Y13" s="71">
        <f ca="1">('TUSD BE'!$AM$6+'TUSD BF'!$AM$6+'TUSD CVA'!$AM$6)*1*(1-0.09)</f>
        <v>7.5369582385975402</v>
      </c>
      <c r="Z13" s="71">
        <f ca="1">('TUSD BE'!$AM$7+'TUSD BF'!$AM$7+'TUSD CVA'!$AM$7)*1*(1-0.09)</f>
        <v>58.260148626390361</v>
      </c>
      <c r="AA13" s="71">
        <f>('TE BE'!$AA$6+'TE BF'!$AA$6+'TE CVA'!$AA$6)*1*(1-0.09)</f>
        <v>210.05913056249776</v>
      </c>
      <c r="AB13" s="71">
        <f>(SUBSIDIO!$J$13*SUBSIDIO!$V$13)*(0.12)/(1-0.12)</f>
        <v>12214.800000000001</v>
      </c>
      <c r="AC13" s="71">
        <f>((SUBSIDIO!$L$13*SUBSIDIO!$W$13)+(SUBSIDIO!$N$13*SUBSIDIO!$X$13))*(0.12)/(1-0.12)</f>
        <v>344492.86900199996</v>
      </c>
      <c r="AD13" s="71">
        <f ca="1">(SUBSIDIO!$J$13*SUBSIDIO!$Y$13)*(0.09)/(1-0.09)</f>
        <v>14051.043573385412</v>
      </c>
      <c r="AE13" s="71">
        <f ca="1">((SUBSIDIO!$L$13*SUBSIDIO!$Z$13)+(SUBSIDIO!$N$13*SUBSIDIO!$AA$13))*(0.09)/(1-0.09)</f>
        <v>238792.37896689767</v>
      </c>
      <c r="AF13" s="4" t="s">
        <v>1148</v>
      </c>
    </row>
    <row r="14" spans="1:36" ht="11.25" customHeight="1" x14ac:dyDescent="0.25">
      <c r="A14" s="4" t="s">
        <v>21</v>
      </c>
      <c r="B14" s="4" t="s">
        <v>43</v>
      </c>
      <c r="C14" s="4" t="s">
        <v>41</v>
      </c>
      <c r="D14" s="4" t="s">
        <v>52</v>
      </c>
      <c r="E14" s="4" t="s">
        <v>53</v>
      </c>
      <c r="F14" s="4" t="s">
        <v>25</v>
      </c>
      <c r="G14" s="4" t="s">
        <v>25</v>
      </c>
      <c r="H14" s="4" t="s">
        <v>35</v>
      </c>
      <c r="I14" s="5">
        <v>43739</v>
      </c>
      <c r="J14" s="6">
        <v>8035</v>
      </c>
      <c r="K14" s="70">
        <v>8035</v>
      </c>
      <c r="L14" s="6">
        <v>522.92200000000003</v>
      </c>
      <c r="M14" s="71">
        <v>522.92200000000003</v>
      </c>
      <c r="N14" s="6">
        <v>522.92200000000003</v>
      </c>
      <c r="O14" s="71">
        <v>522.92200000000003</v>
      </c>
      <c r="P14" s="6">
        <v>0</v>
      </c>
      <c r="Q14" s="4" t="s">
        <v>26</v>
      </c>
      <c r="R14" s="4">
        <v>0</v>
      </c>
      <c r="S14" s="4">
        <v>1</v>
      </c>
      <c r="T14" s="4">
        <v>3</v>
      </c>
      <c r="U14" s="4">
        <v>77</v>
      </c>
      <c r="V14" s="71">
        <f>IF(ISERROR(VLOOKUP($S$14,'TAR FIN'!$A$1:$O$120,15,0)),0,VLOOKUP($S$14,'TAR FIN'!$A$1:$O$120,15,0))*(1-0.12)</f>
        <v>8.3336000000000006</v>
      </c>
      <c r="W14" s="71">
        <f>IF(ISERROR(VLOOKUP($T$14,'TAR FIN'!$A$1:$O$120,15,0)),0,VLOOKUP($T$14,'TAR FIN'!$A$1:$O$120,15,0))*(1-0.12)</f>
        <v>55.131999999999998</v>
      </c>
      <c r="X14" s="71">
        <f>IF(ISERROR(VLOOKUP($U$14,'TAR FIN'!$A$1:$O$120,15,0)),0,VLOOKUP($U$14,'TAR FIN'!$A$1:$O$120,15,0))*(1-0.12)</f>
        <v>379.16559999999998</v>
      </c>
      <c r="Y14" s="71">
        <f ca="1">('TUSD BE'!$AM$5+'TUSD BF'!$AM$5+'TUSD CVA'!$AM$5)*1*(1-0.09)</f>
        <v>12.081627555675036</v>
      </c>
      <c r="Z14" s="71">
        <f ca="1">('TUSD BE'!$AM$7+'TUSD BF'!$AM$7+'TUSD CVA'!$AM$7)*1*(1-0.09)</f>
        <v>58.260148626390361</v>
      </c>
      <c r="AA14" s="71">
        <f>('TE BE'!$AA$5+'TE BF'!$AA$5+'TE CVA'!$AA$5)*1*(1-0.09)</f>
        <v>341.87954044517699</v>
      </c>
      <c r="AB14" s="71">
        <f>(SUBSIDIO!$J$14*SUBSIDIO!$V$14)*(0.12)/(1-0.12)</f>
        <v>9130.974000000002</v>
      </c>
      <c r="AC14" s="71">
        <f>((SUBSIDIO!$L$14*SUBSIDIO!$W$14)+(SUBSIDIO!$N$14*SUBSIDIO!$X$14))*(0.12)/(1-0.12)</f>
        <v>30968.6958528</v>
      </c>
      <c r="AD14" s="71">
        <f ca="1">(SUBSIDIO!$J$14*SUBSIDIO!$Y$14)*(0.09)/(1-0.09)</f>
        <v>9600.9109526224183</v>
      </c>
      <c r="AE14" s="71">
        <f ca="1">((SUBSIDIO!$L$14*SUBSIDIO!$Z$14)+(SUBSIDIO!$N$14*SUBSIDIO!$AA$14))*(0.09)/(1-0.09)</f>
        <v>20694.248553825706</v>
      </c>
      <c r="AF14" s="4" t="s">
        <v>1148</v>
      </c>
    </row>
    <row r="15" spans="1:36" ht="11.25" customHeight="1" x14ac:dyDescent="0.25">
      <c r="A15" s="4" t="s">
        <v>21</v>
      </c>
      <c r="B15" s="4" t="s">
        <v>43</v>
      </c>
      <c r="C15" s="4" t="s">
        <v>41</v>
      </c>
      <c r="D15" s="4" t="s">
        <v>52</v>
      </c>
      <c r="E15" s="4" t="s">
        <v>53</v>
      </c>
      <c r="F15" s="4" t="s">
        <v>25</v>
      </c>
      <c r="G15" s="4" t="s">
        <v>25</v>
      </c>
      <c r="H15" s="4" t="s">
        <v>35</v>
      </c>
      <c r="I15" s="5">
        <v>43770</v>
      </c>
      <c r="J15" s="6">
        <v>8006</v>
      </c>
      <c r="K15" s="70">
        <v>8006</v>
      </c>
      <c r="L15" s="6">
        <v>501.50900000000001</v>
      </c>
      <c r="M15" s="71">
        <v>501.50900000000001</v>
      </c>
      <c r="N15" s="6">
        <v>501.50900000000001</v>
      </c>
      <c r="O15" s="71">
        <v>501.50900000000001</v>
      </c>
      <c r="P15" s="6">
        <v>0</v>
      </c>
      <c r="Q15" s="4" t="s">
        <v>26</v>
      </c>
      <c r="R15" s="4">
        <v>0</v>
      </c>
      <c r="S15" s="4">
        <v>1</v>
      </c>
      <c r="T15" s="4">
        <v>3</v>
      </c>
      <c r="U15" s="4">
        <v>77</v>
      </c>
      <c r="V15" s="71">
        <f>IF(ISERROR(VLOOKUP($S$15,'TAR FIN'!$A$1:$O$120,15,0)),0,VLOOKUP($S$15,'TAR FIN'!$A$1:$O$120,15,0))*(1-0.12)</f>
        <v>8.3336000000000006</v>
      </c>
      <c r="W15" s="71">
        <f>IF(ISERROR(VLOOKUP($T$15,'TAR FIN'!$A$1:$O$120,15,0)),0,VLOOKUP($T$15,'TAR FIN'!$A$1:$O$120,15,0))*(1-0.12)</f>
        <v>55.131999999999998</v>
      </c>
      <c r="X15" s="71">
        <f>IF(ISERROR(VLOOKUP($U$15,'TAR FIN'!$A$1:$O$120,15,0)),0,VLOOKUP($U$15,'TAR FIN'!$A$1:$O$120,15,0))*(1-0.12)</f>
        <v>379.16559999999998</v>
      </c>
      <c r="Y15" s="71">
        <f ca="1">('TUSD BE'!$AM$5+'TUSD BF'!$AM$5+'TUSD CVA'!$AM$5)*1*(1-0.09)</f>
        <v>12.081627555675036</v>
      </c>
      <c r="Z15" s="71">
        <f ca="1">('TUSD BE'!$AM$7+'TUSD BF'!$AM$7+'TUSD CVA'!$AM$7)*1*(1-0.09)</f>
        <v>58.260148626390361</v>
      </c>
      <c r="AA15" s="71">
        <f>('TE BE'!$AA$5+'TE BF'!$AA$5+'TE CVA'!$AA$5)*1*(1-0.09)</f>
        <v>341.87954044517699</v>
      </c>
      <c r="AB15" s="71">
        <f>(SUBSIDIO!$J$15*SUBSIDIO!$V$15)*(0.12)/(1-0.12)</f>
        <v>9098.0184000000008</v>
      </c>
      <c r="AC15" s="71">
        <f>((SUBSIDIO!$L$15*SUBSIDIO!$W$15)+(SUBSIDIO!$N$15*SUBSIDIO!$X$15))*(0.12)/(1-0.12)</f>
        <v>29700.566601599996</v>
      </c>
      <c r="AD15" s="71">
        <f ca="1">(SUBSIDIO!$J$15*SUBSIDIO!$Y$15)*(0.09)/(1-0.09)</f>
        <v>9566.259251611089</v>
      </c>
      <c r="AE15" s="71">
        <f ca="1">((SUBSIDIO!$L$15*SUBSIDIO!$Z$15)+(SUBSIDIO!$N$15*SUBSIDIO!$AA$15))*(0.09)/(1-0.09)</f>
        <v>19846.845032300371</v>
      </c>
      <c r="AF15" s="4" t="s">
        <v>1148</v>
      </c>
    </row>
    <row r="16" spans="1:36" ht="11.25" customHeight="1" x14ac:dyDescent="0.25">
      <c r="A16" s="4" t="s">
        <v>21</v>
      </c>
      <c r="B16" s="4" t="s">
        <v>43</v>
      </c>
      <c r="C16" s="4" t="s">
        <v>41</v>
      </c>
      <c r="D16" s="4" t="s">
        <v>52</v>
      </c>
      <c r="E16" s="4" t="s">
        <v>53</v>
      </c>
      <c r="F16" s="4" t="s">
        <v>25</v>
      </c>
      <c r="G16" s="4" t="s">
        <v>25</v>
      </c>
      <c r="H16" s="4" t="s">
        <v>35</v>
      </c>
      <c r="I16" s="5">
        <v>43800</v>
      </c>
      <c r="J16" s="6">
        <v>8035</v>
      </c>
      <c r="K16" s="70">
        <v>8035</v>
      </c>
      <c r="L16" s="6">
        <v>498.63600000000002</v>
      </c>
      <c r="M16" s="71">
        <v>498.63600000000002</v>
      </c>
      <c r="N16" s="6">
        <v>498.63600000000002</v>
      </c>
      <c r="O16" s="71">
        <v>498.63600000000002</v>
      </c>
      <c r="P16" s="6">
        <v>0</v>
      </c>
      <c r="Q16" s="4" t="s">
        <v>26</v>
      </c>
      <c r="R16" s="4">
        <v>0</v>
      </c>
      <c r="S16" s="4">
        <v>1</v>
      </c>
      <c r="T16" s="4">
        <v>3</v>
      </c>
      <c r="U16" s="4">
        <v>77</v>
      </c>
      <c r="V16" s="71">
        <f>IF(ISERROR(VLOOKUP($S$16,'TAR FIN'!$A$1:$O$120,15,0)),0,VLOOKUP($S$16,'TAR FIN'!$A$1:$O$120,15,0))*(1-0.12)</f>
        <v>8.3336000000000006</v>
      </c>
      <c r="W16" s="71">
        <f>IF(ISERROR(VLOOKUP($T$16,'TAR FIN'!$A$1:$O$120,15,0)),0,VLOOKUP($T$16,'TAR FIN'!$A$1:$O$120,15,0))*(1-0.12)</f>
        <v>55.131999999999998</v>
      </c>
      <c r="X16" s="71">
        <f>IF(ISERROR(VLOOKUP($U$16,'TAR FIN'!$A$1:$O$120,15,0)),0,VLOOKUP($U$16,'TAR FIN'!$A$1:$O$120,15,0))*(1-0.12)</f>
        <v>379.16559999999998</v>
      </c>
      <c r="Y16" s="71">
        <f ca="1">('TUSD BE'!$AM$5+'TUSD BF'!$AM$5+'TUSD CVA'!$AM$5)*1*(1-0.09)</f>
        <v>12.081627555675036</v>
      </c>
      <c r="Z16" s="71">
        <f ca="1">('TUSD BE'!$AM$7+'TUSD BF'!$AM$7+'TUSD CVA'!$AM$7)*1*(1-0.09)</f>
        <v>58.260148626390361</v>
      </c>
      <c r="AA16" s="71">
        <f>('TE BE'!$AA$5+'TE BF'!$AA$5+'TE CVA'!$AA$5)*1*(1-0.09)</f>
        <v>341.87954044517699</v>
      </c>
      <c r="AB16" s="71">
        <f>(SUBSIDIO!$J$16*SUBSIDIO!$V$16)*(0.12)/(1-0.12)</f>
        <v>9130.974000000002</v>
      </c>
      <c r="AC16" s="71">
        <f>((SUBSIDIO!$L$16*SUBSIDIO!$W$16)+(SUBSIDIO!$N$16*SUBSIDIO!$X$16))*(0.12)/(1-0.12)</f>
        <v>29530.420646400002</v>
      </c>
      <c r="AD16" s="71">
        <f ca="1">(SUBSIDIO!$J$16*SUBSIDIO!$Y$16)*(0.09)/(1-0.09)</f>
        <v>9600.9109526224183</v>
      </c>
      <c r="AE16" s="71">
        <f ca="1">((SUBSIDIO!$L$16*SUBSIDIO!$Z$16)+(SUBSIDIO!$N$16*SUBSIDIO!$AA$16))*(0.09)/(1-0.09)</f>
        <v>19733.148197791324</v>
      </c>
      <c r="AF16" s="4" t="s">
        <v>1148</v>
      </c>
    </row>
    <row r="17" spans="1:32" ht="11.25" customHeight="1" x14ac:dyDescent="0.25">
      <c r="A17" s="4" t="s">
        <v>21</v>
      </c>
      <c r="B17" s="4" t="s">
        <v>43</v>
      </c>
      <c r="C17" s="4" t="s">
        <v>41</v>
      </c>
      <c r="D17" s="4" t="s">
        <v>52</v>
      </c>
      <c r="E17" s="4" t="s">
        <v>53</v>
      </c>
      <c r="F17" s="4" t="s">
        <v>25</v>
      </c>
      <c r="G17" s="4" t="s">
        <v>25</v>
      </c>
      <c r="H17" s="4" t="s">
        <v>35</v>
      </c>
      <c r="I17" s="5">
        <v>43831</v>
      </c>
      <c r="J17" s="6">
        <v>8035</v>
      </c>
      <c r="K17" s="70">
        <v>8035</v>
      </c>
      <c r="L17" s="6">
        <v>474.12700000000001</v>
      </c>
      <c r="M17" s="71">
        <v>474.12700000000001</v>
      </c>
      <c r="N17" s="6">
        <v>474.12700000000001</v>
      </c>
      <c r="O17" s="71">
        <v>474.12700000000001</v>
      </c>
      <c r="P17" s="6">
        <v>0</v>
      </c>
      <c r="Q17" s="4" t="s">
        <v>26</v>
      </c>
      <c r="R17" s="4">
        <v>0</v>
      </c>
      <c r="S17" s="4">
        <v>1</v>
      </c>
      <c r="T17" s="4">
        <v>3</v>
      </c>
      <c r="U17" s="4">
        <v>77</v>
      </c>
      <c r="V17" s="71">
        <f>IF(ISERROR(VLOOKUP($S$17,'TAR FIN'!$A$1:$O$120,15,0)),0,VLOOKUP($S$17,'TAR FIN'!$A$1:$O$120,15,0))*(1-0.12)</f>
        <v>8.3336000000000006</v>
      </c>
      <c r="W17" s="71">
        <f>IF(ISERROR(VLOOKUP($T$17,'TAR FIN'!$A$1:$O$120,15,0)),0,VLOOKUP($T$17,'TAR FIN'!$A$1:$O$120,15,0))*(1-0.12)</f>
        <v>55.131999999999998</v>
      </c>
      <c r="X17" s="71">
        <f>IF(ISERROR(VLOOKUP($U$17,'TAR FIN'!$A$1:$O$120,15,0)),0,VLOOKUP($U$17,'TAR FIN'!$A$1:$O$120,15,0))*(1-0.12)</f>
        <v>379.16559999999998</v>
      </c>
      <c r="Y17" s="71">
        <f ca="1">('TUSD BE'!$AM$5+'TUSD BF'!$AM$5+'TUSD CVA'!$AM$5)*1*(1-0.09)</f>
        <v>12.081627555675036</v>
      </c>
      <c r="Z17" s="71">
        <f ca="1">('TUSD BE'!$AM$7+'TUSD BF'!$AM$7+'TUSD CVA'!$AM$7)*1*(1-0.09)</f>
        <v>58.260148626390361</v>
      </c>
      <c r="AA17" s="71">
        <f>('TE BE'!$AA$5+'TE BF'!$AA$5+'TE CVA'!$AA$5)*1*(1-0.09)</f>
        <v>341.87954044517699</v>
      </c>
      <c r="AB17" s="71">
        <f>(SUBSIDIO!$J$17*SUBSIDIO!$V$17)*(0.12)/(1-0.12)</f>
        <v>9130.974000000002</v>
      </c>
      <c r="AC17" s="71">
        <f>((SUBSIDIO!$L$17*SUBSIDIO!$W$17)+(SUBSIDIO!$N$17*SUBSIDIO!$X$17))*(0.12)/(1-0.12)</f>
        <v>28078.938844800003</v>
      </c>
      <c r="AD17" s="71">
        <f ca="1">(SUBSIDIO!$J$17*SUBSIDIO!$Y$17)*(0.09)/(1-0.09)</f>
        <v>9600.9109526224183</v>
      </c>
      <c r="AE17" s="71">
        <f ca="1">((SUBSIDIO!$L$17*SUBSIDIO!$Z$17)+(SUBSIDIO!$N$17*SUBSIDIO!$AA$17))*(0.09)/(1-0.09)</f>
        <v>18763.222782900164</v>
      </c>
      <c r="AF17" s="4" t="s">
        <v>1148</v>
      </c>
    </row>
    <row r="18" spans="1:32" ht="11.25" customHeight="1" x14ac:dyDescent="0.25">
      <c r="A18" s="4" t="s">
        <v>21</v>
      </c>
      <c r="B18" s="4" t="s">
        <v>43</v>
      </c>
      <c r="C18" s="4" t="s">
        <v>41</v>
      </c>
      <c r="D18" s="4" t="s">
        <v>52</v>
      </c>
      <c r="E18" s="4" t="s">
        <v>53</v>
      </c>
      <c r="F18" s="4" t="s">
        <v>25</v>
      </c>
      <c r="G18" s="4" t="s">
        <v>25</v>
      </c>
      <c r="H18" s="4" t="s">
        <v>35</v>
      </c>
      <c r="I18" s="5">
        <v>43862</v>
      </c>
      <c r="J18" s="6">
        <v>8006</v>
      </c>
      <c r="K18" s="70">
        <v>8006</v>
      </c>
      <c r="L18" s="6">
        <v>525.01</v>
      </c>
      <c r="M18" s="71">
        <v>525.01</v>
      </c>
      <c r="N18" s="6">
        <v>525.01</v>
      </c>
      <c r="O18" s="71">
        <v>525.01</v>
      </c>
      <c r="P18" s="6">
        <v>0</v>
      </c>
      <c r="Q18" s="4" t="s">
        <v>26</v>
      </c>
      <c r="R18" s="4">
        <v>0</v>
      </c>
      <c r="S18" s="4">
        <v>1</v>
      </c>
      <c r="T18" s="4">
        <v>3</v>
      </c>
      <c r="U18" s="4">
        <v>77</v>
      </c>
      <c r="V18" s="71">
        <f>IF(ISERROR(VLOOKUP($S$18,'TAR FIN'!$A$1:$O$120,15,0)),0,VLOOKUP($S$18,'TAR FIN'!$A$1:$O$120,15,0))*(1-0.12)</f>
        <v>8.3336000000000006</v>
      </c>
      <c r="W18" s="71">
        <f>IF(ISERROR(VLOOKUP($T$18,'TAR FIN'!$A$1:$O$120,15,0)),0,VLOOKUP($T$18,'TAR FIN'!$A$1:$O$120,15,0))*(1-0.12)</f>
        <v>55.131999999999998</v>
      </c>
      <c r="X18" s="71">
        <f>IF(ISERROR(VLOOKUP($U$18,'TAR FIN'!$A$1:$O$120,15,0)),0,VLOOKUP($U$18,'TAR FIN'!$A$1:$O$120,15,0))*(1-0.12)</f>
        <v>379.16559999999998</v>
      </c>
      <c r="Y18" s="71">
        <f ca="1">('TUSD BE'!$AM$5+'TUSD BF'!$AM$5+'TUSD CVA'!$AM$5)*1*(1-0.09)</f>
        <v>12.081627555675036</v>
      </c>
      <c r="Z18" s="71">
        <f ca="1">('TUSD BE'!$AM$7+'TUSD BF'!$AM$7+'TUSD CVA'!$AM$7)*1*(1-0.09)</f>
        <v>58.260148626390361</v>
      </c>
      <c r="AA18" s="71">
        <f>('TE BE'!$AA$5+'TE BF'!$AA$5+'TE CVA'!$AA$5)*1*(1-0.09)</f>
        <v>341.87954044517699</v>
      </c>
      <c r="AB18" s="71">
        <f>(SUBSIDIO!$J$18*SUBSIDIO!$V$18)*(0.12)/(1-0.12)</f>
        <v>9098.0184000000008</v>
      </c>
      <c r="AC18" s="71">
        <f>((SUBSIDIO!$L$18*SUBSIDIO!$W$18)+(SUBSIDIO!$N$18*SUBSIDIO!$X$18))*(0.12)/(1-0.12)</f>
        <v>31092.352223999995</v>
      </c>
      <c r="AD18" s="71">
        <f ca="1">(SUBSIDIO!$J$18*SUBSIDIO!$Y$18)*(0.09)/(1-0.09)</f>
        <v>9566.259251611089</v>
      </c>
      <c r="AE18" s="71">
        <f ca="1">((SUBSIDIO!$L$18*SUBSIDIO!$Z$18)+(SUBSIDIO!$N$18*SUBSIDIO!$AA$18))*(0.09)/(1-0.09)</f>
        <v>20776.879598188701</v>
      </c>
      <c r="AF18" s="4" t="s">
        <v>1148</v>
      </c>
    </row>
    <row r="19" spans="1:32" ht="11.25" customHeight="1" x14ac:dyDescent="0.25">
      <c r="A19" s="4" t="s">
        <v>21</v>
      </c>
      <c r="B19" s="4" t="s">
        <v>43</v>
      </c>
      <c r="C19" s="4" t="s">
        <v>41</v>
      </c>
      <c r="D19" s="4" t="s">
        <v>52</v>
      </c>
      <c r="E19" s="4" t="s">
        <v>53</v>
      </c>
      <c r="F19" s="4" t="s">
        <v>25</v>
      </c>
      <c r="G19" s="4" t="s">
        <v>25</v>
      </c>
      <c r="H19" s="4" t="s">
        <v>35</v>
      </c>
      <c r="I19" s="5">
        <v>43891</v>
      </c>
      <c r="J19" s="6">
        <v>8006</v>
      </c>
      <c r="K19" s="70">
        <v>8006</v>
      </c>
      <c r="L19" s="6">
        <v>476.863</v>
      </c>
      <c r="M19" s="71">
        <v>476.863</v>
      </c>
      <c r="N19" s="6">
        <v>476.863</v>
      </c>
      <c r="O19" s="71">
        <v>476.863</v>
      </c>
      <c r="P19" s="6">
        <v>0</v>
      </c>
      <c r="Q19" s="4" t="s">
        <v>26</v>
      </c>
      <c r="R19" s="4">
        <v>0</v>
      </c>
      <c r="S19" s="4">
        <v>1</v>
      </c>
      <c r="T19" s="4">
        <v>3</v>
      </c>
      <c r="U19" s="4">
        <v>77</v>
      </c>
      <c r="V19" s="71">
        <f>IF(ISERROR(VLOOKUP($S$19,'TAR FIN'!$A$1:$O$120,15,0)),0,VLOOKUP($S$19,'TAR FIN'!$A$1:$O$120,15,0))*(1-0.12)</f>
        <v>8.3336000000000006</v>
      </c>
      <c r="W19" s="71">
        <f>IF(ISERROR(VLOOKUP($T$19,'TAR FIN'!$A$1:$O$120,15,0)),0,VLOOKUP($T$19,'TAR FIN'!$A$1:$O$120,15,0))*(1-0.12)</f>
        <v>55.131999999999998</v>
      </c>
      <c r="X19" s="71">
        <f>IF(ISERROR(VLOOKUP($U$19,'TAR FIN'!$A$1:$O$120,15,0)),0,VLOOKUP($U$19,'TAR FIN'!$A$1:$O$120,15,0))*(1-0.12)</f>
        <v>379.16559999999998</v>
      </c>
      <c r="Y19" s="71">
        <f ca="1">('TUSD BE'!$AM$5+'TUSD BF'!$AM$5+'TUSD CVA'!$AM$5)*1*(1-0.09)</f>
        <v>12.081627555675036</v>
      </c>
      <c r="Z19" s="71">
        <f ca="1">('TUSD BE'!$AM$7+'TUSD BF'!$AM$7+'TUSD CVA'!$AM$7)*1*(1-0.09)</f>
        <v>58.260148626390361</v>
      </c>
      <c r="AA19" s="71">
        <f>('TE BE'!$AA$5+'TE BF'!$AA$5+'TE CVA'!$AA$5)*1*(1-0.09)</f>
        <v>341.87954044517699</v>
      </c>
      <c r="AB19" s="71">
        <f>(SUBSIDIO!$J$19*SUBSIDIO!$V$19)*(0.12)/(1-0.12)</f>
        <v>9098.0184000000008</v>
      </c>
      <c r="AC19" s="71">
        <f>((SUBSIDIO!$L$19*SUBSIDIO!$W$19)+(SUBSIDIO!$N$19*SUBSIDIO!$X$19))*(0.12)/(1-0.12)</f>
        <v>28240.971331199999</v>
      </c>
      <c r="AD19" s="71">
        <f ca="1">(SUBSIDIO!$J$19*SUBSIDIO!$Y$19)*(0.09)/(1-0.09)</f>
        <v>9566.259251611089</v>
      </c>
      <c r="AE19" s="71">
        <f ca="1">((SUBSIDIO!$L$19*SUBSIDIO!$Z$19)+(SUBSIDIO!$N$19*SUBSIDIO!$AA$19))*(0.09)/(1-0.09)</f>
        <v>18871.497944479266</v>
      </c>
      <c r="AF19" s="4" t="s">
        <v>1148</v>
      </c>
    </row>
    <row r="20" spans="1:32" ht="11.25" customHeight="1" x14ac:dyDescent="0.25">
      <c r="A20" s="4" t="s">
        <v>21</v>
      </c>
      <c r="B20" s="4" t="s">
        <v>43</v>
      </c>
      <c r="C20" s="4" t="s">
        <v>41</v>
      </c>
      <c r="D20" s="4" t="s">
        <v>52</v>
      </c>
      <c r="E20" s="4" t="s">
        <v>53</v>
      </c>
      <c r="F20" s="4" t="s">
        <v>25</v>
      </c>
      <c r="G20" s="4" t="s">
        <v>25</v>
      </c>
      <c r="H20" s="4" t="s">
        <v>35</v>
      </c>
      <c r="I20" s="5">
        <v>43922</v>
      </c>
      <c r="J20" s="6">
        <v>8006</v>
      </c>
      <c r="K20" s="70">
        <v>8006</v>
      </c>
      <c r="L20" s="6">
        <v>501.44400000000002</v>
      </c>
      <c r="M20" s="71">
        <v>501.44400000000002</v>
      </c>
      <c r="N20" s="6">
        <v>501.44400000000002</v>
      </c>
      <c r="O20" s="71">
        <v>501.44400000000002</v>
      </c>
      <c r="P20" s="6">
        <v>0</v>
      </c>
      <c r="Q20" s="4" t="s">
        <v>26</v>
      </c>
      <c r="R20" s="4">
        <v>0</v>
      </c>
      <c r="S20" s="4">
        <v>1</v>
      </c>
      <c r="T20" s="4">
        <v>3</v>
      </c>
      <c r="U20" s="4">
        <v>77</v>
      </c>
      <c r="V20" s="71">
        <f>IF(ISERROR(VLOOKUP($S$20,'TAR FIN'!$A$1:$O$120,15,0)),0,VLOOKUP($S$20,'TAR FIN'!$A$1:$O$120,15,0))*(1-0.12)</f>
        <v>8.3336000000000006</v>
      </c>
      <c r="W20" s="71">
        <f>IF(ISERROR(VLOOKUP($T$20,'TAR FIN'!$A$1:$O$120,15,0)),0,VLOOKUP($T$20,'TAR FIN'!$A$1:$O$120,15,0))*(1-0.12)</f>
        <v>55.131999999999998</v>
      </c>
      <c r="X20" s="71">
        <f>IF(ISERROR(VLOOKUP($U$20,'TAR FIN'!$A$1:$O$120,15,0)),0,VLOOKUP($U$20,'TAR FIN'!$A$1:$O$120,15,0))*(1-0.12)</f>
        <v>379.16559999999998</v>
      </c>
      <c r="Y20" s="71">
        <f ca="1">('TUSD BE'!$AM$5+'TUSD BF'!$AM$5+'TUSD CVA'!$AM$5)*1*(1-0.09)</f>
        <v>12.081627555675036</v>
      </c>
      <c r="Z20" s="71">
        <f ca="1">('TUSD BE'!$AM$7+'TUSD BF'!$AM$7+'TUSD CVA'!$AM$7)*1*(1-0.09)</f>
        <v>58.260148626390361</v>
      </c>
      <c r="AA20" s="71">
        <f>('TE BE'!$AA$5+'TE BF'!$AA$5+'TE CVA'!$AA$5)*1*(1-0.09)</f>
        <v>341.87954044517699</v>
      </c>
      <c r="AB20" s="71">
        <f>(SUBSIDIO!$J$20*SUBSIDIO!$V$20)*(0.12)/(1-0.12)</f>
        <v>9098.0184000000008</v>
      </c>
      <c r="AC20" s="71">
        <f>((SUBSIDIO!$L$20*SUBSIDIO!$W$20)+(SUBSIDIO!$N$20*SUBSIDIO!$X$20))*(0.12)/(1-0.12)</f>
        <v>29696.717145599996</v>
      </c>
      <c r="AD20" s="71">
        <f ca="1">(SUBSIDIO!$J$20*SUBSIDIO!$Y$20)*(0.09)/(1-0.09)</f>
        <v>9566.259251611089</v>
      </c>
      <c r="AE20" s="71">
        <f ca="1">((SUBSIDIO!$L$20*SUBSIDIO!$Z$20)+(SUBSIDIO!$N$20*SUBSIDIO!$AA$20))*(0.09)/(1-0.09)</f>
        <v>19844.27270572777</v>
      </c>
      <c r="AF20" s="4" t="s">
        <v>1148</v>
      </c>
    </row>
    <row r="21" spans="1:32" ht="11.25" customHeight="1" x14ac:dyDescent="0.25">
      <c r="A21" s="4" t="s">
        <v>21</v>
      </c>
      <c r="B21" s="4" t="s">
        <v>43</v>
      </c>
      <c r="C21" s="4" t="s">
        <v>41</v>
      </c>
      <c r="D21" s="4" t="s">
        <v>52</v>
      </c>
      <c r="E21" s="4" t="s">
        <v>53</v>
      </c>
      <c r="F21" s="4" t="s">
        <v>25</v>
      </c>
      <c r="G21" s="4" t="s">
        <v>25</v>
      </c>
      <c r="H21" s="4" t="s">
        <v>35</v>
      </c>
      <c r="I21" s="5">
        <v>43952</v>
      </c>
      <c r="J21" s="6">
        <v>8006</v>
      </c>
      <c r="K21" s="70">
        <v>8006</v>
      </c>
      <c r="L21" s="6">
        <v>453.55700000000002</v>
      </c>
      <c r="M21" s="71">
        <v>453.55700000000002</v>
      </c>
      <c r="N21" s="6">
        <v>453.55700000000002</v>
      </c>
      <c r="O21" s="71">
        <v>453.55700000000002</v>
      </c>
      <c r="P21" s="6">
        <v>0</v>
      </c>
      <c r="Q21" s="4" t="s">
        <v>26</v>
      </c>
      <c r="R21" s="4">
        <v>0</v>
      </c>
      <c r="S21" s="4">
        <v>1</v>
      </c>
      <c r="T21" s="4">
        <v>3</v>
      </c>
      <c r="U21" s="4">
        <v>77</v>
      </c>
      <c r="V21" s="71">
        <f>IF(ISERROR(VLOOKUP($S$21,'TAR FIN'!$A$1:$O$120,15,0)),0,VLOOKUP($S$21,'TAR FIN'!$A$1:$O$120,15,0))*(1-0.12)</f>
        <v>8.3336000000000006</v>
      </c>
      <c r="W21" s="71">
        <f>IF(ISERROR(VLOOKUP($T$21,'TAR FIN'!$A$1:$O$120,15,0)),0,VLOOKUP($T$21,'TAR FIN'!$A$1:$O$120,15,0))*(1-0.12)</f>
        <v>55.131999999999998</v>
      </c>
      <c r="X21" s="71">
        <f>IF(ISERROR(VLOOKUP($U$21,'TAR FIN'!$A$1:$O$120,15,0)),0,VLOOKUP($U$21,'TAR FIN'!$A$1:$O$120,15,0))*(1-0.12)</f>
        <v>379.16559999999998</v>
      </c>
      <c r="Y21" s="71">
        <f ca="1">('TUSD BE'!$AM$5+'TUSD BF'!$AM$5+'TUSD CVA'!$AM$5)*1*(1-0.09)</f>
        <v>12.081627555675036</v>
      </c>
      <c r="Z21" s="71">
        <f ca="1">('TUSD BE'!$AM$7+'TUSD BF'!$AM$7+'TUSD CVA'!$AM$7)*1*(1-0.09)</f>
        <v>58.260148626390361</v>
      </c>
      <c r="AA21" s="71">
        <f>('TE BE'!$AA$5+'TE BF'!$AA$5+'TE CVA'!$AA$5)*1*(1-0.09)</f>
        <v>341.87954044517699</v>
      </c>
      <c r="AB21" s="71">
        <f>(SUBSIDIO!$J$21*SUBSIDIO!$V$21)*(0.12)/(1-0.12)</f>
        <v>9098.0184000000008</v>
      </c>
      <c r="AC21" s="71">
        <f>((SUBSIDIO!$L$21*SUBSIDIO!$W$21)+(SUBSIDIO!$N$21*SUBSIDIO!$X$21))*(0.12)/(1-0.12)</f>
        <v>26860.734076799999</v>
      </c>
      <c r="AD21" s="71">
        <f ca="1">(SUBSIDIO!$J$21*SUBSIDIO!$Y$21)*(0.09)/(1-0.09)</f>
        <v>9566.259251611089</v>
      </c>
      <c r="AE21" s="71">
        <f ca="1">((SUBSIDIO!$L$21*SUBSIDIO!$Z$21)+(SUBSIDIO!$N$21*SUBSIDIO!$AA$21))*(0.09)/(1-0.09)</f>
        <v>17949.180358308746</v>
      </c>
      <c r="AF21" s="4" t="s">
        <v>1148</v>
      </c>
    </row>
    <row r="22" spans="1:32" ht="11.25" customHeight="1" x14ac:dyDescent="0.25">
      <c r="A22" s="4" t="s">
        <v>21</v>
      </c>
      <c r="B22" s="4" t="s">
        <v>43</v>
      </c>
      <c r="C22" s="4" t="s">
        <v>41</v>
      </c>
      <c r="D22" s="4" t="s">
        <v>52</v>
      </c>
      <c r="E22" s="4" t="s">
        <v>53</v>
      </c>
      <c r="F22" s="4" t="s">
        <v>25</v>
      </c>
      <c r="G22" s="4" t="s">
        <v>25</v>
      </c>
      <c r="H22" s="4" t="s">
        <v>35</v>
      </c>
      <c r="I22" s="5">
        <v>43983</v>
      </c>
      <c r="J22" s="6">
        <v>8000</v>
      </c>
      <c r="K22" s="70">
        <v>8000</v>
      </c>
      <c r="L22" s="6">
        <v>524.23900000000003</v>
      </c>
      <c r="M22" s="71">
        <v>524.23900000000003</v>
      </c>
      <c r="N22" s="6">
        <v>524.23900000000003</v>
      </c>
      <c r="O22" s="71">
        <v>524.23900000000003</v>
      </c>
      <c r="P22" s="6">
        <v>0</v>
      </c>
      <c r="Q22" s="4" t="s">
        <v>26</v>
      </c>
      <c r="R22" s="4">
        <v>0</v>
      </c>
      <c r="S22" s="4">
        <v>1</v>
      </c>
      <c r="T22" s="4">
        <v>3</v>
      </c>
      <c r="U22" s="4">
        <v>77</v>
      </c>
      <c r="V22" s="71">
        <f>IF(ISERROR(VLOOKUP($S$22,'TAR FIN'!$A$1:$O$120,15,0)),0,VLOOKUP($S$22,'TAR FIN'!$A$1:$O$120,15,0))*(1-0.12)</f>
        <v>8.3336000000000006</v>
      </c>
      <c r="W22" s="71">
        <f>IF(ISERROR(VLOOKUP($T$22,'TAR FIN'!$A$1:$O$120,15,0)),0,VLOOKUP($T$22,'TAR FIN'!$A$1:$O$120,15,0))*(1-0.12)</f>
        <v>55.131999999999998</v>
      </c>
      <c r="X22" s="71">
        <f>IF(ISERROR(VLOOKUP($U$22,'TAR FIN'!$A$1:$O$120,15,0)),0,VLOOKUP($U$22,'TAR FIN'!$A$1:$O$120,15,0))*(1-0.12)</f>
        <v>379.16559999999998</v>
      </c>
      <c r="Y22" s="71">
        <f ca="1">('TUSD BE'!$AM$5+'TUSD BF'!$AM$5+'TUSD CVA'!$AM$5)*1*(1-0.09)</f>
        <v>12.081627555675036</v>
      </c>
      <c r="Z22" s="71">
        <f ca="1">('TUSD BE'!$AM$7+'TUSD BF'!$AM$7+'TUSD CVA'!$AM$7)*1*(1-0.09)</f>
        <v>58.260148626390361</v>
      </c>
      <c r="AA22" s="71">
        <f>('TE BE'!$AA$5+'TE BF'!$AA$5+'TE CVA'!$AA$5)*1*(1-0.09)</f>
        <v>341.87954044517699</v>
      </c>
      <c r="AB22" s="71">
        <f>(SUBSIDIO!$J$22*SUBSIDIO!$V$22)*(0.12)/(1-0.12)</f>
        <v>9091.2000000000007</v>
      </c>
      <c r="AC22" s="71">
        <f>((SUBSIDIO!$L$22*SUBSIDIO!$W$22)+(SUBSIDIO!$N$22*SUBSIDIO!$X$22))*(0.12)/(1-0.12)</f>
        <v>31046.691753599996</v>
      </c>
      <c r="AD22" s="71">
        <f ca="1">(SUBSIDIO!$J$22*SUBSIDIO!$Y$22)*(0.09)/(1-0.09)</f>
        <v>9559.0899341604672</v>
      </c>
      <c r="AE22" s="71">
        <f ca="1">((SUBSIDIO!$L$22*SUBSIDIO!$Z$22)+(SUBSIDIO!$N$22*SUBSIDIO!$AA$22))*(0.09)/(1-0.09)</f>
        <v>20746.367847612139</v>
      </c>
      <c r="AF22" s="4" t="s">
        <v>1148</v>
      </c>
    </row>
    <row r="23" spans="1:32" ht="11.25" customHeight="1" x14ac:dyDescent="0.25">
      <c r="A23" s="4" t="s">
        <v>21</v>
      </c>
      <c r="B23" s="4" t="s">
        <v>43</v>
      </c>
      <c r="C23" s="4" t="s">
        <v>41</v>
      </c>
      <c r="D23" s="4" t="s">
        <v>52</v>
      </c>
      <c r="E23" s="4" t="s">
        <v>53</v>
      </c>
      <c r="F23" s="4" t="s">
        <v>25</v>
      </c>
      <c r="G23" s="4" t="s">
        <v>25</v>
      </c>
      <c r="H23" s="4" t="s">
        <v>35</v>
      </c>
      <c r="I23" s="5">
        <v>44013</v>
      </c>
      <c r="J23" s="6">
        <v>8006</v>
      </c>
      <c r="K23" s="70">
        <v>8006</v>
      </c>
      <c r="L23" s="6">
        <v>499.96100000000001</v>
      </c>
      <c r="M23" s="71">
        <v>499.96100000000001</v>
      </c>
      <c r="N23" s="6">
        <v>499.96100000000001</v>
      </c>
      <c r="O23" s="71">
        <v>499.96100000000001</v>
      </c>
      <c r="P23" s="6">
        <v>0</v>
      </c>
      <c r="Q23" s="4" t="s">
        <v>26</v>
      </c>
      <c r="R23" s="4">
        <v>0</v>
      </c>
      <c r="S23" s="4">
        <v>1</v>
      </c>
      <c r="T23" s="4">
        <v>3</v>
      </c>
      <c r="U23" s="4">
        <v>77</v>
      </c>
      <c r="V23" s="71">
        <f>IF(ISERROR(VLOOKUP($S$23,'TAR FIN'!$A$1:$O$120,15,0)),0,VLOOKUP($S$23,'TAR FIN'!$A$1:$O$120,15,0))*(1-0.12)</f>
        <v>8.3336000000000006</v>
      </c>
      <c r="W23" s="71">
        <f>IF(ISERROR(VLOOKUP($T$23,'TAR FIN'!$A$1:$O$120,15,0)),0,VLOOKUP($T$23,'TAR FIN'!$A$1:$O$120,15,0))*(1-0.12)</f>
        <v>55.131999999999998</v>
      </c>
      <c r="X23" s="71">
        <f>IF(ISERROR(VLOOKUP($U$23,'TAR FIN'!$A$1:$O$120,15,0)),0,VLOOKUP($U$23,'TAR FIN'!$A$1:$O$120,15,0))*(1-0.12)</f>
        <v>379.16559999999998</v>
      </c>
      <c r="Y23" s="71">
        <f ca="1">('TUSD BE'!$AM$5+'TUSD BF'!$AM$5+'TUSD CVA'!$AM$5)*1*(1-0.09)</f>
        <v>12.081627555675036</v>
      </c>
      <c r="Z23" s="71">
        <f ca="1">('TUSD BE'!$AM$7+'TUSD BF'!$AM$7+'TUSD CVA'!$AM$7)*1*(1-0.09)</f>
        <v>58.260148626390361</v>
      </c>
      <c r="AA23" s="71">
        <f>('TE BE'!$AA$5+'TE BF'!$AA$5+'TE CVA'!$AA$5)*1*(1-0.09)</f>
        <v>341.87954044517699</v>
      </c>
      <c r="AB23" s="71">
        <f>(SUBSIDIO!$J$23*SUBSIDIO!$V$23)*(0.12)/(1-0.12)</f>
        <v>9098.0184000000008</v>
      </c>
      <c r="AC23" s="71">
        <f>((SUBSIDIO!$L$23*SUBSIDIO!$W$23)+(SUBSIDIO!$N$23*SUBSIDIO!$X$23))*(0.12)/(1-0.12)</f>
        <v>29608.8903264</v>
      </c>
      <c r="AD23" s="71">
        <f ca="1">(SUBSIDIO!$J$23*SUBSIDIO!$Y$23)*(0.09)/(1-0.09)</f>
        <v>9566.259251611089</v>
      </c>
      <c r="AE23" s="71">
        <f ca="1">((SUBSIDIO!$L$23*SUBSIDIO!$Z$23)+(SUBSIDIO!$N$23*SUBSIDIO!$AA$23))*(0.09)/(1-0.09)</f>
        <v>19785.584085617458</v>
      </c>
      <c r="AF23" s="4" t="s">
        <v>1148</v>
      </c>
    </row>
    <row r="24" spans="1:32" ht="11.25" customHeight="1" x14ac:dyDescent="0.25">
      <c r="A24" s="4" t="s">
        <v>21</v>
      </c>
      <c r="B24" s="4" t="s">
        <v>43</v>
      </c>
      <c r="C24" s="4" t="s">
        <v>41</v>
      </c>
      <c r="D24" s="4" t="s">
        <v>52</v>
      </c>
      <c r="E24" s="4" t="s">
        <v>53</v>
      </c>
      <c r="F24" s="4" t="s">
        <v>25</v>
      </c>
      <c r="G24" s="4" t="s">
        <v>25</v>
      </c>
      <c r="H24" s="4" t="s">
        <v>35</v>
      </c>
      <c r="I24" s="5">
        <v>44044</v>
      </c>
      <c r="J24" s="6">
        <v>8006</v>
      </c>
      <c r="K24" s="70">
        <v>8006</v>
      </c>
      <c r="L24" s="6">
        <v>520.99900000000002</v>
      </c>
      <c r="M24" s="71">
        <v>520.99900000000002</v>
      </c>
      <c r="N24" s="6">
        <v>520.99900000000002</v>
      </c>
      <c r="O24" s="71">
        <v>520.99900000000002</v>
      </c>
      <c r="P24" s="6">
        <v>0</v>
      </c>
      <c r="Q24" s="4" t="s">
        <v>26</v>
      </c>
      <c r="R24" s="4">
        <v>0</v>
      </c>
      <c r="S24" s="4">
        <v>1</v>
      </c>
      <c r="T24" s="4">
        <v>3</v>
      </c>
      <c r="U24" s="4">
        <v>77</v>
      </c>
      <c r="V24" s="71">
        <f>IF(ISERROR(VLOOKUP($S$24,'TAR FIN'!$A$1:$O$120,15,0)),0,VLOOKUP($S$24,'TAR FIN'!$A$1:$O$120,15,0))*(1-0.12)</f>
        <v>8.3336000000000006</v>
      </c>
      <c r="W24" s="71">
        <f>IF(ISERROR(VLOOKUP($T$24,'TAR FIN'!$A$1:$O$120,15,0)),0,VLOOKUP($T$24,'TAR FIN'!$A$1:$O$120,15,0))*(1-0.12)</f>
        <v>55.131999999999998</v>
      </c>
      <c r="X24" s="71">
        <f>IF(ISERROR(VLOOKUP($U$24,'TAR FIN'!$A$1:$O$120,15,0)),0,VLOOKUP($U$24,'TAR FIN'!$A$1:$O$120,15,0))*(1-0.12)</f>
        <v>379.16559999999998</v>
      </c>
      <c r="Y24" s="71">
        <f ca="1">('TUSD BE'!$AM$5+'TUSD BF'!$AM$5+'TUSD CVA'!$AM$5)*1*(1-0.09)</f>
        <v>12.081627555675036</v>
      </c>
      <c r="Z24" s="71">
        <f ca="1">('TUSD BE'!$AM$7+'TUSD BF'!$AM$7+'TUSD CVA'!$AM$7)*1*(1-0.09)</f>
        <v>58.260148626390361</v>
      </c>
      <c r="AA24" s="71">
        <f>('TE BE'!$AA$5+'TE BF'!$AA$5+'TE CVA'!$AA$5)*1*(1-0.09)</f>
        <v>341.87954044517699</v>
      </c>
      <c r="AB24" s="71">
        <f>(SUBSIDIO!$J$24*SUBSIDIO!$V$24)*(0.12)/(1-0.12)</f>
        <v>9098.0184000000008</v>
      </c>
      <c r="AC24" s="71">
        <f>((SUBSIDIO!$L$24*SUBSIDIO!$W$24)+(SUBSIDIO!$N$24*SUBSIDIO!$X$24))*(0.12)/(1-0.12)</f>
        <v>30854.811177600001</v>
      </c>
      <c r="AD24" s="71">
        <f ca="1">(SUBSIDIO!$J$24*SUBSIDIO!$Y$24)*(0.09)/(1-0.09)</f>
        <v>9566.259251611089</v>
      </c>
      <c r="AE24" s="71">
        <f ca="1">((SUBSIDIO!$L$24*SUBSIDIO!$Z$24)+(SUBSIDIO!$N$24*SUBSIDIO!$AA$24))*(0.09)/(1-0.09)</f>
        <v>20618.147261531623</v>
      </c>
      <c r="AF24" s="4" t="s">
        <v>1148</v>
      </c>
    </row>
    <row r="25" spans="1:32" ht="11.25" customHeight="1" x14ac:dyDescent="0.25">
      <c r="A25" s="4" t="s">
        <v>59</v>
      </c>
      <c r="B25" s="4" t="s">
        <v>43</v>
      </c>
      <c r="C25" s="4" t="s">
        <v>41</v>
      </c>
      <c r="D25" s="4" t="s">
        <v>52</v>
      </c>
      <c r="E25" s="4" t="s">
        <v>53</v>
      </c>
      <c r="F25" s="4" t="s">
        <v>25</v>
      </c>
      <c r="G25" s="4" t="s">
        <v>25</v>
      </c>
      <c r="H25" s="4" t="s">
        <v>35</v>
      </c>
      <c r="I25" s="5">
        <v>44075</v>
      </c>
      <c r="J25" s="6">
        <v>8006</v>
      </c>
      <c r="K25" s="70">
        <v>8006</v>
      </c>
      <c r="L25" s="6">
        <v>520.99900000000002</v>
      </c>
      <c r="M25" s="71">
        <v>520.99900000000002</v>
      </c>
      <c r="N25" s="6">
        <v>520.99900000000002</v>
      </c>
      <c r="O25" s="71">
        <v>520.99900000000002</v>
      </c>
      <c r="P25" s="6">
        <v>0</v>
      </c>
      <c r="Q25" s="4" t="s">
        <v>26</v>
      </c>
      <c r="R25" s="4">
        <v>0</v>
      </c>
      <c r="S25" s="4">
        <v>1</v>
      </c>
      <c r="T25" s="4">
        <v>3</v>
      </c>
      <c r="U25" s="4">
        <v>77</v>
      </c>
      <c r="V25" s="71">
        <f>IF(ISERROR(VLOOKUP($S$25,'TAR FIN'!$A$1:$O$120,15,0)),0,VLOOKUP($S$25,'TAR FIN'!$A$1:$O$120,15,0))*(1-0.12)</f>
        <v>8.3336000000000006</v>
      </c>
      <c r="W25" s="71">
        <f>IF(ISERROR(VLOOKUP($T$25,'TAR FIN'!$A$1:$O$120,15,0)),0,VLOOKUP($T$25,'TAR FIN'!$A$1:$O$120,15,0))*(1-0.12)</f>
        <v>55.131999999999998</v>
      </c>
      <c r="X25" s="71">
        <f>IF(ISERROR(VLOOKUP($U$25,'TAR FIN'!$A$1:$O$120,15,0)),0,VLOOKUP($U$25,'TAR FIN'!$A$1:$O$120,15,0))*(1-0.12)</f>
        <v>379.16559999999998</v>
      </c>
      <c r="Y25" s="71">
        <f ca="1">('TUSD BE'!$AM$5+'TUSD BF'!$AM$5+'TUSD CVA'!$AM$5)*1*(1-0.09)</f>
        <v>12.081627555675036</v>
      </c>
      <c r="Z25" s="71">
        <f ca="1">('TUSD BE'!$AM$7+'TUSD BF'!$AM$7+'TUSD CVA'!$AM$7)*1*(1-0.09)</f>
        <v>58.260148626390361</v>
      </c>
      <c r="AA25" s="71">
        <f>('TE BE'!$AA$5+'TE BF'!$AA$5+'TE CVA'!$AA$5)*1*(1-0.09)</f>
        <v>341.87954044517699</v>
      </c>
      <c r="AB25" s="71">
        <f>(SUBSIDIO!$J$25*SUBSIDIO!$V$25)*(0.12)/(1-0.12)</f>
        <v>9098.0184000000008</v>
      </c>
      <c r="AC25" s="71">
        <f>((SUBSIDIO!$L$25*SUBSIDIO!$W$25)+(SUBSIDIO!$N$25*SUBSIDIO!$X$25))*(0.12)/(1-0.12)</f>
        <v>30854.811177600001</v>
      </c>
      <c r="AD25" s="71">
        <f ca="1">(SUBSIDIO!$J$25*SUBSIDIO!$Y$25)*(0.09)/(1-0.09)</f>
        <v>9566.259251611089</v>
      </c>
      <c r="AE25" s="71">
        <f ca="1">((SUBSIDIO!$L$25*SUBSIDIO!$Z$25)+(SUBSIDIO!$N$25*SUBSIDIO!$AA$25))*(0.09)/(1-0.09)</f>
        <v>20618.147261531623</v>
      </c>
      <c r="AF25" s="4" t="s">
        <v>1148</v>
      </c>
    </row>
    <row r="26" spans="1:32" ht="11.25" customHeight="1" x14ac:dyDescent="0.25">
      <c r="A26" s="4" t="s">
        <v>21</v>
      </c>
      <c r="B26" s="4" t="s">
        <v>43</v>
      </c>
      <c r="C26" s="4" t="s">
        <v>64</v>
      </c>
      <c r="D26" s="4" t="s">
        <v>25</v>
      </c>
      <c r="E26" s="4" t="s">
        <v>25</v>
      </c>
      <c r="F26" s="4" t="s">
        <v>25</v>
      </c>
      <c r="G26" s="4" t="s">
        <v>70</v>
      </c>
      <c r="H26" s="4" t="s">
        <v>25</v>
      </c>
      <c r="I26" s="5">
        <v>43739</v>
      </c>
      <c r="J26" s="6">
        <v>124500</v>
      </c>
      <c r="K26" s="6">
        <v>124500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4" t="s">
        <v>66</v>
      </c>
      <c r="R26" s="4">
        <v>27795</v>
      </c>
      <c r="S26" s="4">
        <v>8</v>
      </c>
      <c r="T26" s="4">
        <v>0</v>
      </c>
      <c r="U26" s="4">
        <v>0</v>
      </c>
      <c r="V26" s="6">
        <f>IF(ISERROR(VLOOKUP($S$26,'TAR FIN'!$A$1:$O$120,15,0)),0,VLOOKUP($S$26,'TAR FIN'!$A$1:$O$120,15,0))</f>
        <v>3.09</v>
      </c>
      <c r="W26" s="6">
        <f>IF(ISERROR(VLOOKUP($T$26,'TAR FIN'!$A$1:$O$120,15,0)),0,VLOOKUP($T$26,'TAR FIN'!$A$1:$O$120,15,0))</f>
        <v>0</v>
      </c>
      <c r="X26" s="6">
        <f>IF(ISERROR(VLOOKUP($U$26,'TAR FIN'!$A$1:$O$120,15,0)),0,VLOOKUP($U$26,'TAR FIN'!$A$1:$O$120,15,0))</f>
        <v>0</v>
      </c>
      <c r="Y26" s="6">
        <f ca="1">('TUSD BE'!$AM$12+'TUSD BF'!$AM$12+'TUSD CVA'!$AM$12)*1</f>
        <v>3.6849092735444771</v>
      </c>
      <c r="Z26" s="6"/>
      <c r="AA26" s="6"/>
      <c r="AB26" s="6">
        <f t="shared" ref="AB26:AB65" si="2">(J26-K26)*V26</f>
        <v>0</v>
      </c>
      <c r="AC26" s="6">
        <f t="shared" ref="AC26:AC65" si="3">(L26-M26)*W26+(N26-O26)*X26</f>
        <v>0</v>
      </c>
      <c r="AD26" s="6">
        <f t="shared" ref="AD26:AD65" ca="1" si="4">(J26-K26)*Y26</f>
        <v>0</v>
      </c>
      <c r="AE26" s="6">
        <f t="shared" ref="AE26:AE65" si="5">(L26-M26)*Z26+(N26-O26)*AA26</f>
        <v>0</v>
      </c>
      <c r="AF26" s="4" t="s">
        <v>1149</v>
      </c>
    </row>
    <row r="27" spans="1:32" ht="11.25" customHeight="1" x14ac:dyDescent="0.25">
      <c r="A27" s="4" t="s">
        <v>21</v>
      </c>
      <c r="B27" s="4" t="s">
        <v>43</v>
      </c>
      <c r="C27" s="4" t="s">
        <v>64</v>
      </c>
      <c r="D27" s="4" t="s">
        <v>25</v>
      </c>
      <c r="E27" s="4" t="s">
        <v>25</v>
      </c>
      <c r="F27" s="4" t="s">
        <v>25</v>
      </c>
      <c r="G27" s="4" t="s">
        <v>71</v>
      </c>
      <c r="H27" s="4" t="s">
        <v>25</v>
      </c>
      <c r="I27" s="5">
        <v>43739</v>
      </c>
      <c r="J27" s="6">
        <v>86500</v>
      </c>
      <c r="K27" s="6">
        <v>86500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4" t="s">
        <v>66</v>
      </c>
      <c r="R27" s="4">
        <v>28352</v>
      </c>
      <c r="S27" s="4">
        <v>9</v>
      </c>
      <c r="T27" s="4">
        <v>0</v>
      </c>
      <c r="U27" s="4">
        <v>0</v>
      </c>
      <c r="V27" s="6">
        <f>IF(ISERROR(VLOOKUP($S$27,'TAR FIN'!$A$1:$O$120,15,0)),0,VLOOKUP($S$27,'TAR FIN'!$A$1:$O$120,15,0))</f>
        <v>2.71</v>
      </c>
      <c r="W27" s="6">
        <f>IF(ISERROR(VLOOKUP($T$27,'TAR FIN'!$A$1:$O$120,15,0)),0,VLOOKUP($T$27,'TAR FIN'!$A$1:$O$120,15,0))</f>
        <v>0</v>
      </c>
      <c r="X27" s="6">
        <f>IF(ISERROR(VLOOKUP($U$27,'TAR FIN'!$A$1:$O$120,15,0)),0,VLOOKUP($U$27,'TAR FIN'!$A$1:$O$120,15,0))</f>
        <v>0</v>
      </c>
      <c r="Y27" s="6">
        <f ca="1">('TUSD BE'!$AM$13+'TUSD BF'!$AM$13+'TUSD CVA'!$AM$13)*1</f>
        <v>3.2397980177320211</v>
      </c>
      <c r="Z27" s="6"/>
      <c r="AA27" s="6"/>
      <c r="AB27" s="6">
        <f t="shared" si="2"/>
        <v>0</v>
      </c>
      <c r="AC27" s="6">
        <f t="shared" si="3"/>
        <v>0</v>
      </c>
      <c r="AD27" s="6">
        <f t="shared" ca="1" si="4"/>
        <v>0</v>
      </c>
      <c r="AE27" s="6">
        <f t="shared" si="5"/>
        <v>0</v>
      </c>
      <c r="AF27" s="4" t="s">
        <v>1149</v>
      </c>
    </row>
    <row r="28" spans="1:32" ht="11.25" customHeight="1" x14ac:dyDescent="0.25">
      <c r="A28" s="4" t="s">
        <v>21</v>
      </c>
      <c r="B28" s="4" t="s">
        <v>43</v>
      </c>
      <c r="C28" s="4" t="s">
        <v>64</v>
      </c>
      <c r="D28" s="4" t="s">
        <v>25</v>
      </c>
      <c r="E28" s="4" t="s">
        <v>25</v>
      </c>
      <c r="F28" s="4" t="s">
        <v>25</v>
      </c>
      <c r="G28" s="4" t="s">
        <v>70</v>
      </c>
      <c r="H28" s="4" t="s">
        <v>25</v>
      </c>
      <c r="I28" s="5">
        <v>43770</v>
      </c>
      <c r="J28" s="6">
        <v>124500</v>
      </c>
      <c r="K28" s="6">
        <v>124500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4" t="s">
        <v>66</v>
      </c>
      <c r="R28" s="4">
        <v>27795</v>
      </c>
      <c r="S28" s="4">
        <v>8</v>
      </c>
      <c r="T28" s="4">
        <v>0</v>
      </c>
      <c r="U28" s="4">
        <v>0</v>
      </c>
      <c r="V28" s="6">
        <f>IF(ISERROR(VLOOKUP($S$28,'TAR FIN'!$A$1:$O$120,15,0)),0,VLOOKUP($S$28,'TAR FIN'!$A$1:$O$120,15,0))</f>
        <v>3.09</v>
      </c>
      <c r="W28" s="6">
        <f>IF(ISERROR(VLOOKUP($T$28,'TAR FIN'!$A$1:$O$120,15,0)),0,VLOOKUP($T$28,'TAR FIN'!$A$1:$O$120,15,0))</f>
        <v>0</v>
      </c>
      <c r="X28" s="6">
        <f>IF(ISERROR(VLOOKUP($U$28,'TAR FIN'!$A$1:$O$120,15,0)),0,VLOOKUP($U$28,'TAR FIN'!$A$1:$O$120,15,0))</f>
        <v>0</v>
      </c>
      <c r="Y28" s="6">
        <f ca="1">('TUSD BE'!$AM$12+'TUSD BF'!$AM$12+'TUSD CVA'!$AM$12)*1</f>
        <v>3.6849092735444771</v>
      </c>
      <c r="Z28" s="6"/>
      <c r="AA28" s="6"/>
      <c r="AB28" s="6">
        <f t="shared" si="2"/>
        <v>0</v>
      </c>
      <c r="AC28" s="6">
        <f t="shared" si="3"/>
        <v>0</v>
      </c>
      <c r="AD28" s="6">
        <f t="shared" ca="1" si="4"/>
        <v>0</v>
      </c>
      <c r="AE28" s="6">
        <f t="shared" si="5"/>
        <v>0</v>
      </c>
      <c r="AF28" s="4" t="s">
        <v>1149</v>
      </c>
    </row>
    <row r="29" spans="1:32" ht="11.25" customHeight="1" x14ac:dyDescent="0.25">
      <c r="A29" s="4" t="s">
        <v>21</v>
      </c>
      <c r="B29" s="4" t="s">
        <v>43</v>
      </c>
      <c r="C29" s="4" t="s">
        <v>64</v>
      </c>
      <c r="D29" s="4" t="s">
        <v>25</v>
      </c>
      <c r="E29" s="4" t="s">
        <v>25</v>
      </c>
      <c r="F29" s="4" t="s">
        <v>25</v>
      </c>
      <c r="G29" s="4" t="s">
        <v>71</v>
      </c>
      <c r="H29" s="4" t="s">
        <v>25</v>
      </c>
      <c r="I29" s="5">
        <v>43770</v>
      </c>
      <c r="J29" s="6">
        <v>86500</v>
      </c>
      <c r="K29" s="6">
        <v>86500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4" t="s">
        <v>66</v>
      </c>
      <c r="R29" s="4">
        <v>28352</v>
      </c>
      <c r="S29" s="4">
        <v>9</v>
      </c>
      <c r="T29" s="4">
        <v>0</v>
      </c>
      <c r="U29" s="4">
        <v>0</v>
      </c>
      <c r="V29" s="6">
        <f>IF(ISERROR(VLOOKUP($S$29,'TAR FIN'!$A$1:$O$120,15,0)),0,VLOOKUP($S$29,'TAR FIN'!$A$1:$O$120,15,0))</f>
        <v>2.71</v>
      </c>
      <c r="W29" s="6">
        <f>IF(ISERROR(VLOOKUP($T$29,'TAR FIN'!$A$1:$O$120,15,0)),0,VLOOKUP($T$29,'TAR FIN'!$A$1:$O$120,15,0))</f>
        <v>0</v>
      </c>
      <c r="X29" s="6">
        <f>IF(ISERROR(VLOOKUP($U$29,'TAR FIN'!$A$1:$O$120,15,0)),0,VLOOKUP($U$29,'TAR FIN'!$A$1:$O$120,15,0))</f>
        <v>0</v>
      </c>
      <c r="Y29" s="6">
        <f ca="1">('TUSD BE'!$AM$13+'TUSD BF'!$AM$13+'TUSD CVA'!$AM$13)*1</f>
        <v>3.2397980177320211</v>
      </c>
      <c r="Z29" s="6"/>
      <c r="AA29" s="6"/>
      <c r="AB29" s="6">
        <f t="shared" si="2"/>
        <v>0</v>
      </c>
      <c r="AC29" s="6">
        <f t="shared" si="3"/>
        <v>0</v>
      </c>
      <c r="AD29" s="6">
        <f t="shared" ca="1" si="4"/>
        <v>0</v>
      </c>
      <c r="AE29" s="6">
        <f t="shared" si="5"/>
        <v>0</v>
      </c>
      <c r="AF29" s="4" t="s">
        <v>1149</v>
      </c>
    </row>
    <row r="30" spans="1:32" ht="11.25" customHeight="1" x14ac:dyDescent="0.25">
      <c r="A30" s="4" t="s">
        <v>21</v>
      </c>
      <c r="B30" s="4" t="s">
        <v>43</v>
      </c>
      <c r="C30" s="4" t="s">
        <v>64</v>
      </c>
      <c r="D30" s="4" t="s">
        <v>25</v>
      </c>
      <c r="E30" s="4" t="s">
        <v>25</v>
      </c>
      <c r="F30" s="4" t="s">
        <v>25</v>
      </c>
      <c r="G30" s="4" t="s">
        <v>70</v>
      </c>
      <c r="H30" s="4" t="s">
        <v>25</v>
      </c>
      <c r="I30" s="5">
        <v>43800</v>
      </c>
      <c r="J30" s="6">
        <v>124500</v>
      </c>
      <c r="K30" s="6">
        <v>124500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4" t="s">
        <v>66</v>
      </c>
      <c r="R30" s="4">
        <v>27795</v>
      </c>
      <c r="S30" s="4">
        <v>8</v>
      </c>
      <c r="T30" s="4">
        <v>0</v>
      </c>
      <c r="U30" s="4">
        <v>0</v>
      </c>
      <c r="V30" s="6">
        <f>IF(ISERROR(VLOOKUP($S$30,'TAR FIN'!$A$1:$O$120,15,0)),0,VLOOKUP($S$30,'TAR FIN'!$A$1:$O$120,15,0))</f>
        <v>3.09</v>
      </c>
      <c r="W30" s="6">
        <f>IF(ISERROR(VLOOKUP($T$30,'TAR FIN'!$A$1:$O$120,15,0)),0,VLOOKUP($T$30,'TAR FIN'!$A$1:$O$120,15,0))</f>
        <v>0</v>
      </c>
      <c r="X30" s="6">
        <f>IF(ISERROR(VLOOKUP($U$30,'TAR FIN'!$A$1:$O$120,15,0)),0,VLOOKUP($U$30,'TAR FIN'!$A$1:$O$120,15,0))</f>
        <v>0</v>
      </c>
      <c r="Y30" s="6">
        <f ca="1">('TUSD BE'!$AM$12+'TUSD BF'!$AM$12+'TUSD CVA'!$AM$12)*1</f>
        <v>3.6849092735444771</v>
      </c>
      <c r="Z30" s="6"/>
      <c r="AA30" s="6"/>
      <c r="AB30" s="6">
        <f t="shared" si="2"/>
        <v>0</v>
      </c>
      <c r="AC30" s="6">
        <f t="shared" si="3"/>
        <v>0</v>
      </c>
      <c r="AD30" s="6">
        <f t="shared" ca="1" si="4"/>
        <v>0</v>
      </c>
      <c r="AE30" s="6">
        <f t="shared" si="5"/>
        <v>0</v>
      </c>
      <c r="AF30" s="4" t="s">
        <v>1149</v>
      </c>
    </row>
    <row r="31" spans="1:32" ht="11.25" customHeight="1" x14ac:dyDescent="0.25">
      <c r="A31" s="4" t="s">
        <v>21</v>
      </c>
      <c r="B31" s="4" t="s">
        <v>43</v>
      </c>
      <c r="C31" s="4" t="s">
        <v>64</v>
      </c>
      <c r="D31" s="4" t="s">
        <v>25</v>
      </c>
      <c r="E31" s="4" t="s">
        <v>25</v>
      </c>
      <c r="F31" s="4" t="s">
        <v>25</v>
      </c>
      <c r="G31" s="4" t="s">
        <v>71</v>
      </c>
      <c r="H31" s="4" t="s">
        <v>25</v>
      </c>
      <c r="I31" s="5">
        <v>43800</v>
      </c>
      <c r="J31" s="6">
        <v>86500</v>
      </c>
      <c r="K31" s="6">
        <v>86500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4" t="s">
        <v>66</v>
      </c>
      <c r="R31" s="4">
        <v>28352</v>
      </c>
      <c r="S31" s="4">
        <v>9</v>
      </c>
      <c r="T31" s="4">
        <v>0</v>
      </c>
      <c r="U31" s="4">
        <v>0</v>
      </c>
      <c r="V31" s="6">
        <f>IF(ISERROR(VLOOKUP($S$31,'TAR FIN'!$A$1:$O$120,15,0)),0,VLOOKUP($S$31,'TAR FIN'!$A$1:$O$120,15,0))</f>
        <v>2.71</v>
      </c>
      <c r="W31" s="6">
        <f>IF(ISERROR(VLOOKUP($T$31,'TAR FIN'!$A$1:$O$120,15,0)),0,VLOOKUP($T$31,'TAR FIN'!$A$1:$O$120,15,0))</f>
        <v>0</v>
      </c>
      <c r="X31" s="6">
        <f>IF(ISERROR(VLOOKUP($U$31,'TAR FIN'!$A$1:$O$120,15,0)),0,VLOOKUP($U$31,'TAR FIN'!$A$1:$O$120,15,0))</f>
        <v>0</v>
      </c>
      <c r="Y31" s="6">
        <f ca="1">('TUSD BE'!$AM$13+'TUSD BF'!$AM$13+'TUSD CVA'!$AM$13)*1</f>
        <v>3.2397980177320211</v>
      </c>
      <c r="Z31" s="6"/>
      <c r="AA31" s="6"/>
      <c r="AB31" s="6">
        <f t="shared" si="2"/>
        <v>0</v>
      </c>
      <c r="AC31" s="6">
        <f t="shared" si="3"/>
        <v>0</v>
      </c>
      <c r="AD31" s="6">
        <f t="shared" ca="1" si="4"/>
        <v>0</v>
      </c>
      <c r="AE31" s="6">
        <f t="shared" si="5"/>
        <v>0</v>
      </c>
      <c r="AF31" s="4" t="s">
        <v>1149</v>
      </c>
    </row>
    <row r="32" spans="1:32" ht="11.25" customHeight="1" x14ac:dyDescent="0.25">
      <c r="A32" s="4" t="s">
        <v>21</v>
      </c>
      <c r="B32" s="4" t="s">
        <v>43</v>
      </c>
      <c r="C32" s="4" t="s">
        <v>64</v>
      </c>
      <c r="D32" s="4" t="s">
        <v>25</v>
      </c>
      <c r="E32" s="4" t="s">
        <v>25</v>
      </c>
      <c r="F32" s="4" t="s">
        <v>25</v>
      </c>
      <c r="G32" s="4" t="s">
        <v>70</v>
      </c>
      <c r="H32" s="4" t="s">
        <v>25</v>
      </c>
      <c r="I32" s="5">
        <v>43831</v>
      </c>
      <c r="J32" s="6">
        <v>124500</v>
      </c>
      <c r="K32" s="6">
        <v>124500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4" t="s">
        <v>66</v>
      </c>
      <c r="R32" s="4">
        <v>27795</v>
      </c>
      <c r="S32" s="4">
        <v>8</v>
      </c>
      <c r="T32" s="4">
        <v>0</v>
      </c>
      <c r="U32" s="4">
        <v>0</v>
      </c>
      <c r="V32" s="6">
        <f>IF(ISERROR(VLOOKUP($S$32,'TAR FIN'!$A$1:$O$120,15,0)),0,VLOOKUP($S$32,'TAR FIN'!$A$1:$O$120,15,0))</f>
        <v>3.09</v>
      </c>
      <c r="W32" s="6">
        <f>IF(ISERROR(VLOOKUP($T$32,'TAR FIN'!$A$1:$O$120,15,0)),0,VLOOKUP($T$32,'TAR FIN'!$A$1:$O$120,15,0))</f>
        <v>0</v>
      </c>
      <c r="X32" s="6">
        <f>IF(ISERROR(VLOOKUP($U$32,'TAR FIN'!$A$1:$O$120,15,0)),0,VLOOKUP($U$32,'TAR FIN'!$A$1:$O$120,15,0))</f>
        <v>0</v>
      </c>
      <c r="Y32" s="6">
        <f ca="1">('TUSD BE'!$AM$12+'TUSD BF'!$AM$12+'TUSD CVA'!$AM$12)*1</f>
        <v>3.6849092735444771</v>
      </c>
      <c r="Z32" s="6"/>
      <c r="AA32" s="6"/>
      <c r="AB32" s="6">
        <f t="shared" si="2"/>
        <v>0</v>
      </c>
      <c r="AC32" s="6">
        <f t="shared" si="3"/>
        <v>0</v>
      </c>
      <c r="AD32" s="6">
        <f t="shared" ca="1" si="4"/>
        <v>0</v>
      </c>
      <c r="AE32" s="6">
        <f t="shared" si="5"/>
        <v>0</v>
      </c>
      <c r="AF32" s="4" t="s">
        <v>1149</v>
      </c>
    </row>
    <row r="33" spans="1:32" ht="11.25" customHeight="1" x14ac:dyDescent="0.25">
      <c r="A33" s="4" t="s">
        <v>21</v>
      </c>
      <c r="B33" s="4" t="s">
        <v>43</v>
      </c>
      <c r="C33" s="4" t="s">
        <v>64</v>
      </c>
      <c r="D33" s="4" t="s">
        <v>25</v>
      </c>
      <c r="E33" s="4" t="s">
        <v>25</v>
      </c>
      <c r="F33" s="4" t="s">
        <v>25</v>
      </c>
      <c r="G33" s="4" t="s">
        <v>71</v>
      </c>
      <c r="H33" s="4" t="s">
        <v>25</v>
      </c>
      <c r="I33" s="5">
        <v>43831</v>
      </c>
      <c r="J33" s="6">
        <v>86500</v>
      </c>
      <c r="K33" s="6">
        <v>86500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4" t="s">
        <v>66</v>
      </c>
      <c r="R33" s="4">
        <v>28352</v>
      </c>
      <c r="S33" s="4">
        <v>9</v>
      </c>
      <c r="T33" s="4">
        <v>0</v>
      </c>
      <c r="U33" s="4">
        <v>0</v>
      </c>
      <c r="V33" s="6">
        <f>IF(ISERROR(VLOOKUP($S$33,'TAR FIN'!$A$1:$O$120,15,0)),0,VLOOKUP($S$33,'TAR FIN'!$A$1:$O$120,15,0))</f>
        <v>2.71</v>
      </c>
      <c r="W33" s="6">
        <f>IF(ISERROR(VLOOKUP($T$33,'TAR FIN'!$A$1:$O$120,15,0)),0,VLOOKUP($T$33,'TAR FIN'!$A$1:$O$120,15,0))</f>
        <v>0</v>
      </c>
      <c r="X33" s="6">
        <f>IF(ISERROR(VLOOKUP($U$33,'TAR FIN'!$A$1:$O$120,15,0)),0,VLOOKUP($U$33,'TAR FIN'!$A$1:$O$120,15,0))</f>
        <v>0</v>
      </c>
      <c r="Y33" s="6">
        <f ca="1">('TUSD BE'!$AM$13+'TUSD BF'!$AM$13+'TUSD CVA'!$AM$13)*1</f>
        <v>3.2397980177320211</v>
      </c>
      <c r="Z33" s="6"/>
      <c r="AA33" s="6"/>
      <c r="AB33" s="6">
        <f t="shared" si="2"/>
        <v>0</v>
      </c>
      <c r="AC33" s="6">
        <f t="shared" si="3"/>
        <v>0</v>
      </c>
      <c r="AD33" s="6">
        <f t="shared" ca="1" si="4"/>
        <v>0</v>
      </c>
      <c r="AE33" s="6">
        <f t="shared" si="5"/>
        <v>0</v>
      </c>
      <c r="AF33" s="4" t="s">
        <v>1149</v>
      </c>
    </row>
    <row r="34" spans="1:32" ht="11.25" customHeight="1" x14ac:dyDescent="0.25">
      <c r="A34" s="4" t="s">
        <v>21</v>
      </c>
      <c r="B34" s="4" t="s">
        <v>43</v>
      </c>
      <c r="C34" s="4" t="s">
        <v>64</v>
      </c>
      <c r="D34" s="4" t="s">
        <v>25</v>
      </c>
      <c r="E34" s="4" t="s">
        <v>25</v>
      </c>
      <c r="F34" s="4" t="s">
        <v>25</v>
      </c>
      <c r="G34" s="4" t="s">
        <v>70</v>
      </c>
      <c r="H34" s="4" t="s">
        <v>25</v>
      </c>
      <c r="I34" s="5">
        <v>43862</v>
      </c>
      <c r="J34" s="6">
        <v>124500</v>
      </c>
      <c r="K34" s="6">
        <v>124500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4" t="s">
        <v>66</v>
      </c>
      <c r="R34" s="4">
        <v>27795</v>
      </c>
      <c r="S34" s="4">
        <v>8</v>
      </c>
      <c r="T34" s="4">
        <v>0</v>
      </c>
      <c r="U34" s="4">
        <v>0</v>
      </c>
      <c r="V34" s="6">
        <f>IF(ISERROR(VLOOKUP($S$34,'TAR FIN'!$A$1:$O$120,15,0)),0,VLOOKUP($S$34,'TAR FIN'!$A$1:$O$120,15,0))</f>
        <v>3.09</v>
      </c>
      <c r="W34" s="6">
        <f>IF(ISERROR(VLOOKUP($T$34,'TAR FIN'!$A$1:$O$120,15,0)),0,VLOOKUP($T$34,'TAR FIN'!$A$1:$O$120,15,0))</f>
        <v>0</v>
      </c>
      <c r="X34" s="6">
        <f>IF(ISERROR(VLOOKUP($U$34,'TAR FIN'!$A$1:$O$120,15,0)),0,VLOOKUP($U$34,'TAR FIN'!$A$1:$O$120,15,0))</f>
        <v>0</v>
      </c>
      <c r="Y34" s="6">
        <f ca="1">('TUSD BE'!$AM$12+'TUSD BF'!$AM$12+'TUSD CVA'!$AM$12)*1</f>
        <v>3.6849092735444771</v>
      </c>
      <c r="Z34" s="6"/>
      <c r="AA34" s="6"/>
      <c r="AB34" s="6">
        <f t="shared" si="2"/>
        <v>0</v>
      </c>
      <c r="AC34" s="6">
        <f t="shared" si="3"/>
        <v>0</v>
      </c>
      <c r="AD34" s="6">
        <f t="shared" ca="1" si="4"/>
        <v>0</v>
      </c>
      <c r="AE34" s="6">
        <f t="shared" si="5"/>
        <v>0</v>
      </c>
      <c r="AF34" s="4" t="s">
        <v>1149</v>
      </c>
    </row>
    <row r="35" spans="1:32" ht="11.25" customHeight="1" x14ac:dyDescent="0.25">
      <c r="A35" s="4" t="s">
        <v>21</v>
      </c>
      <c r="B35" s="4" t="s">
        <v>43</v>
      </c>
      <c r="C35" s="4" t="s">
        <v>64</v>
      </c>
      <c r="D35" s="4" t="s">
        <v>25</v>
      </c>
      <c r="E35" s="4" t="s">
        <v>25</v>
      </c>
      <c r="F35" s="4" t="s">
        <v>25</v>
      </c>
      <c r="G35" s="4" t="s">
        <v>71</v>
      </c>
      <c r="H35" s="4" t="s">
        <v>25</v>
      </c>
      <c r="I35" s="5">
        <v>43862</v>
      </c>
      <c r="J35" s="6">
        <v>86500</v>
      </c>
      <c r="K35" s="6">
        <v>86500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4" t="s">
        <v>66</v>
      </c>
      <c r="R35" s="4">
        <v>28352</v>
      </c>
      <c r="S35" s="4">
        <v>9</v>
      </c>
      <c r="T35" s="4">
        <v>0</v>
      </c>
      <c r="U35" s="4">
        <v>0</v>
      </c>
      <c r="V35" s="6">
        <f>IF(ISERROR(VLOOKUP($S$35,'TAR FIN'!$A$1:$O$120,15,0)),0,VLOOKUP($S$35,'TAR FIN'!$A$1:$O$120,15,0))</f>
        <v>2.71</v>
      </c>
      <c r="W35" s="6">
        <f>IF(ISERROR(VLOOKUP($T$35,'TAR FIN'!$A$1:$O$120,15,0)),0,VLOOKUP($T$35,'TAR FIN'!$A$1:$O$120,15,0))</f>
        <v>0</v>
      </c>
      <c r="X35" s="6">
        <f>IF(ISERROR(VLOOKUP($U$35,'TAR FIN'!$A$1:$O$120,15,0)),0,VLOOKUP($U$35,'TAR FIN'!$A$1:$O$120,15,0))</f>
        <v>0</v>
      </c>
      <c r="Y35" s="6">
        <f ca="1">('TUSD BE'!$AM$13+'TUSD BF'!$AM$13+'TUSD CVA'!$AM$13)*1</f>
        <v>3.2397980177320211</v>
      </c>
      <c r="Z35" s="6"/>
      <c r="AA35" s="6"/>
      <c r="AB35" s="6">
        <f t="shared" si="2"/>
        <v>0</v>
      </c>
      <c r="AC35" s="6">
        <f t="shared" si="3"/>
        <v>0</v>
      </c>
      <c r="AD35" s="6">
        <f t="shared" ca="1" si="4"/>
        <v>0</v>
      </c>
      <c r="AE35" s="6">
        <f t="shared" si="5"/>
        <v>0</v>
      </c>
      <c r="AF35" s="4" t="s">
        <v>1149</v>
      </c>
    </row>
    <row r="36" spans="1:32" ht="11.25" customHeight="1" x14ac:dyDescent="0.25">
      <c r="A36" s="4" t="s">
        <v>21</v>
      </c>
      <c r="B36" s="4" t="s">
        <v>43</v>
      </c>
      <c r="C36" s="4" t="s">
        <v>64</v>
      </c>
      <c r="D36" s="4" t="s">
        <v>25</v>
      </c>
      <c r="E36" s="4" t="s">
        <v>25</v>
      </c>
      <c r="F36" s="4" t="s">
        <v>25</v>
      </c>
      <c r="G36" s="4" t="s">
        <v>70</v>
      </c>
      <c r="H36" s="4" t="s">
        <v>25</v>
      </c>
      <c r="I36" s="5">
        <v>43891</v>
      </c>
      <c r="J36" s="6">
        <v>124500</v>
      </c>
      <c r="K36" s="6">
        <v>124500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4" t="s">
        <v>66</v>
      </c>
      <c r="R36" s="4">
        <v>27795</v>
      </c>
      <c r="S36" s="4">
        <v>8</v>
      </c>
      <c r="T36" s="4">
        <v>0</v>
      </c>
      <c r="U36" s="4">
        <v>0</v>
      </c>
      <c r="V36" s="6">
        <f>IF(ISERROR(VLOOKUP($S$36,'TAR FIN'!$A$1:$O$120,15,0)),0,VLOOKUP($S$36,'TAR FIN'!$A$1:$O$120,15,0))</f>
        <v>3.09</v>
      </c>
      <c r="W36" s="6">
        <f>IF(ISERROR(VLOOKUP($T$36,'TAR FIN'!$A$1:$O$120,15,0)),0,VLOOKUP($T$36,'TAR FIN'!$A$1:$O$120,15,0))</f>
        <v>0</v>
      </c>
      <c r="X36" s="6">
        <f>IF(ISERROR(VLOOKUP($U$36,'TAR FIN'!$A$1:$O$120,15,0)),0,VLOOKUP($U$36,'TAR FIN'!$A$1:$O$120,15,0))</f>
        <v>0</v>
      </c>
      <c r="Y36" s="6">
        <f ca="1">('TUSD BE'!$AM$12+'TUSD BF'!$AM$12+'TUSD CVA'!$AM$12)*1</f>
        <v>3.6849092735444771</v>
      </c>
      <c r="Z36" s="6"/>
      <c r="AA36" s="6"/>
      <c r="AB36" s="6">
        <f t="shared" si="2"/>
        <v>0</v>
      </c>
      <c r="AC36" s="6">
        <f t="shared" si="3"/>
        <v>0</v>
      </c>
      <c r="AD36" s="6">
        <f t="shared" ca="1" si="4"/>
        <v>0</v>
      </c>
      <c r="AE36" s="6">
        <f t="shared" si="5"/>
        <v>0</v>
      </c>
      <c r="AF36" s="4" t="s">
        <v>1149</v>
      </c>
    </row>
    <row r="37" spans="1:32" ht="11.25" customHeight="1" x14ac:dyDescent="0.25">
      <c r="A37" s="4" t="s">
        <v>21</v>
      </c>
      <c r="B37" s="4" t="s">
        <v>43</v>
      </c>
      <c r="C37" s="4" t="s">
        <v>64</v>
      </c>
      <c r="D37" s="4" t="s">
        <v>25</v>
      </c>
      <c r="E37" s="4" t="s">
        <v>25</v>
      </c>
      <c r="F37" s="4" t="s">
        <v>25</v>
      </c>
      <c r="G37" s="4" t="s">
        <v>71</v>
      </c>
      <c r="H37" s="4" t="s">
        <v>25</v>
      </c>
      <c r="I37" s="5">
        <v>43891</v>
      </c>
      <c r="J37" s="6">
        <v>86500</v>
      </c>
      <c r="K37" s="6">
        <v>86500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4" t="s">
        <v>66</v>
      </c>
      <c r="R37" s="4">
        <v>28352</v>
      </c>
      <c r="S37" s="4">
        <v>9</v>
      </c>
      <c r="T37" s="4">
        <v>0</v>
      </c>
      <c r="U37" s="4">
        <v>0</v>
      </c>
      <c r="V37" s="6">
        <f>IF(ISERROR(VLOOKUP($S$37,'TAR FIN'!$A$1:$O$120,15,0)),0,VLOOKUP($S$37,'TAR FIN'!$A$1:$O$120,15,0))</f>
        <v>2.71</v>
      </c>
      <c r="W37" s="6">
        <f>IF(ISERROR(VLOOKUP($T$37,'TAR FIN'!$A$1:$O$120,15,0)),0,VLOOKUP($T$37,'TAR FIN'!$A$1:$O$120,15,0))</f>
        <v>0</v>
      </c>
      <c r="X37" s="6">
        <f>IF(ISERROR(VLOOKUP($U$37,'TAR FIN'!$A$1:$O$120,15,0)),0,VLOOKUP($U$37,'TAR FIN'!$A$1:$O$120,15,0))</f>
        <v>0</v>
      </c>
      <c r="Y37" s="6">
        <f ca="1">('TUSD BE'!$AM$13+'TUSD BF'!$AM$13+'TUSD CVA'!$AM$13)*1</f>
        <v>3.2397980177320211</v>
      </c>
      <c r="Z37" s="6"/>
      <c r="AA37" s="6"/>
      <c r="AB37" s="6">
        <f t="shared" si="2"/>
        <v>0</v>
      </c>
      <c r="AC37" s="6">
        <f t="shared" si="3"/>
        <v>0</v>
      </c>
      <c r="AD37" s="6">
        <f t="shared" ca="1" si="4"/>
        <v>0</v>
      </c>
      <c r="AE37" s="6">
        <f t="shared" si="5"/>
        <v>0</v>
      </c>
      <c r="AF37" s="4" t="s">
        <v>1149</v>
      </c>
    </row>
    <row r="38" spans="1:32" ht="11.25" customHeight="1" x14ac:dyDescent="0.25">
      <c r="A38" s="4" t="s">
        <v>21</v>
      </c>
      <c r="B38" s="4" t="s">
        <v>43</v>
      </c>
      <c r="C38" s="4" t="s">
        <v>64</v>
      </c>
      <c r="D38" s="4" t="s">
        <v>25</v>
      </c>
      <c r="E38" s="4" t="s">
        <v>25</v>
      </c>
      <c r="F38" s="4" t="s">
        <v>25</v>
      </c>
      <c r="G38" s="4" t="s">
        <v>70</v>
      </c>
      <c r="H38" s="4" t="s">
        <v>25</v>
      </c>
      <c r="I38" s="5">
        <v>43922</v>
      </c>
      <c r="J38" s="6">
        <v>124500</v>
      </c>
      <c r="K38" s="6">
        <v>124500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4" t="s">
        <v>66</v>
      </c>
      <c r="R38" s="4">
        <v>27795</v>
      </c>
      <c r="S38" s="4">
        <v>8</v>
      </c>
      <c r="T38" s="4">
        <v>0</v>
      </c>
      <c r="U38" s="4">
        <v>0</v>
      </c>
      <c r="V38" s="6">
        <f>IF(ISERROR(VLOOKUP($S$38,'TAR FIN'!$A$1:$O$120,15,0)),0,VLOOKUP($S$38,'TAR FIN'!$A$1:$O$120,15,0))</f>
        <v>3.09</v>
      </c>
      <c r="W38" s="6">
        <f>IF(ISERROR(VLOOKUP($T$38,'TAR FIN'!$A$1:$O$120,15,0)),0,VLOOKUP($T$38,'TAR FIN'!$A$1:$O$120,15,0))</f>
        <v>0</v>
      </c>
      <c r="X38" s="6">
        <f>IF(ISERROR(VLOOKUP($U$38,'TAR FIN'!$A$1:$O$120,15,0)),0,VLOOKUP($U$38,'TAR FIN'!$A$1:$O$120,15,0))</f>
        <v>0</v>
      </c>
      <c r="Y38" s="6">
        <f ca="1">('TUSD BE'!$AM$12+'TUSD BF'!$AM$12+'TUSD CVA'!$AM$12)*1</f>
        <v>3.6849092735444771</v>
      </c>
      <c r="Z38" s="6"/>
      <c r="AA38" s="6"/>
      <c r="AB38" s="6">
        <f t="shared" si="2"/>
        <v>0</v>
      </c>
      <c r="AC38" s="6">
        <f t="shared" si="3"/>
        <v>0</v>
      </c>
      <c r="AD38" s="6">
        <f t="shared" ca="1" si="4"/>
        <v>0</v>
      </c>
      <c r="AE38" s="6">
        <f t="shared" si="5"/>
        <v>0</v>
      </c>
      <c r="AF38" s="4" t="s">
        <v>1149</v>
      </c>
    </row>
    <row r="39" spans="1:32" ht="11.25" customHeight="1" x14ac:dyDescent="0.25">
      <c r="A39" s="4" t="s">
        <v>21</v>
      </c>
      <c r="B39" s="4" t="s">
        <v>43</v>
      </c>
      <c r="C39" s="4" t="s">
        <v>64</v>
      </c>
      <c r="D39" s="4" t="s">
        <v>25</v>
      </c>
      <c r="E39" s="4" t="s">
        <v>25</v>
      </c>
      <c r="F39" s="4" t="s">
        <v>25</v>
      </c>
      <c r="G39" s="4" t="s">
        <v>71</v>
      </c>
      <c r="H39" s="4" t="s">
        <v>25</v>
      </c>
      <c r="I39" s="5">
        <v>43922</v>
      </c>
      <c r="J39" s="6">
        <v>86500</v>
      </c>
      <c r="K39" s="6">
        <v>86500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4" t="s">
        <v>66</v>
      </c>
      <c r="R39" s="4">
        <v>28352</v>
      </c>
      <c r="S39" s="4">
        <v>9</v>
      </c>
      <c r="T39" s="4">
        <v>0</v>
      </c>
      <c r="U39" s="4">
        <v>0</v>
      </c>
      <c r="V39" s="6">
        <f>IF(ISERROR(VLOOKUP($S$39,'TAR FIN'!$A$1:$O$120,15,0)),0,VLOOKUP($S$39,'TAR FIN'!$A$1:$O$120,15,0))</f>
        <v>2.71</v>
      </c>
      <c r="W39" s="6">
        <f>IF(ISERROR(VLOOKUP($T$39,'TAR FIN'!$A$1:$O$120,15,0)),0,VLOOKUP($T$39,'TAR FIN'!$A$1:$O$120,15,0))</f>
        <v>0</v>
      </c>
      <c r="X39" s="6">
        <f>IF(ISERROR(VLOOKUP($U$39,'TAR FIN'!$A$1:$O$120,15,0)),0,VLOOKUP($U$39,'TAR FIN'!$A$1:$O$120,15,0))</f>
        <v>0</v>
      </c>
      <c r="Y39" s="6">
        <f ca="1">('TUSD BE'!$AM$13+'TUSD BF'!$AM$13+'TUSD CVA'!$AM$13)*1</f>
        <v>3.2397980177320211</v>
      </c>
      <c r="Z39" s="6"/>
      <c r="AA39" s="6"/>
      <c r="AB39" s="6">
        <f t="shared" si="2"/>
        <v>0</v>
      </c>
      <c r="AC39" s="6">
        <f t="shared" si="3"/>
        <v>0</v>
      </c>
      <c r="AD39" s="6">
        <f t="shared" ca="1" si="4"/>
        <v>0</v>
      </c>
      <c r="AE39" s="6">
        <f t="shared" si="5"/>
        <v>0</v>
      </c>
      <c r="AF39" s="4" t="s">
        <v>1149</v>
      </c>
    </row>
    <row r="40" spans="1:32" ht="11.25" customHeight="1" x14ac:dyDescent="0.25">
      <c r="A40" s="4" t="s">
        <v>21</v>
      </c>
      <c r="B40" s="4" t="s">
        <v>43</v>
      </c>
      <c r="C40" s="4" t="s">
        <v>64</v>
      </c>
      <c r="D40" s="4" t="s">
        <v>25</v>
      </c>
      <c r="E40" s="4" t="s">
        <v>25</v>
      </c>
      <c r="F40" s="4" t="s">
        <v>25</v>
      </c>
      <c r="G40" s="4" t="s">
        <v>70</v>
      </c>
      <c r="H40" s="4" t="s">
        <v>25</v>
      </c>
      <c r="I40" s="5">
        <v>43952</v>
      </c>
      <c r="J40" s="6">
        <v>124500</v>
      </c>
      <c r="K40" s="6">
        <v>124500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4" t="s">
        <v>66</v>
      </c>
      <c r="R40" s="4">
        <v>27795</v>
      </c>
      <c r="S40" s="4">
        <v>8</v>
      </c>
      <c r="T40" s="4">
        <v>0</v>
      </c>
      <c r="U40" s="4">
        <v>0</v>
      </c>
      <c r="V40" s="6">
        <f>IF(ISERROR(VLOOKUP($S$40,'TAR FIN'!$A$1:$O$120,15,0)),0,VLOOKUP($S$40,'TAR FIN'!$A$1:$O$120,15,0))</f>
        <v>3.09</v>
      </c>
      <c r="W40" s="6">
        <f>IF(ISERROR(VLOOKUP($T$40,'TAR FIN'!$A$1:$O$120,15,0)),0,VLOOKUP($T$40,'TAR FIN'!$A$1:$O$120,15,0))</f>
        <v>0</v>
      </c>
      <c r="X40" s="6">
        <f>IF(ISERROR(VLOOKUP($U$40,'TAR FIN'!$A$1:$O$120,15,0)),0,VLOOKUP($U$40,'TAR FIN'!$A$1:$O$120,15,0))</f>
        <v>0</v>
      </c>
      <c r="Y40" s="6">
        <f ca="1">('TUSD BE'!$AM$12+'TUSD BF'!$AM$12+'TUSD CVA'!$AM$12)*1</f>
        <v>3.6849092735444771</v>
      </c>
      <c r="Z40" s="6"/>
      <c r="AA40" s="6"/>
      <c r="AB40" s="6">
        <f t="shared" si="2"/>
        <v>0</v>
      </c>
      <c r="AC40" s="6">
        <f t="shared" si="3"/>
        <v>0</v>
      </c>
      <c r="AD40" s="6">
        <f t="shared" ca="1" si="4"/>
        <v>0</v>
      </c>
      <c r="AE40" s="6">
        <f t="shared" si="5"/>
        <v>0</v>
      </c>
      <c r="AF40" s="4" t="s">
        <v>1149</v>
      </c>
    </row>
    <row r="41" spans="1:32" ht="11.25" customHeight="1" x14ac:dyDescent="0.25">
      <c r="A41" s="4" t="s">
        <v>21</v>
      </c>
      <c r="B41" s="4" t="s">
        <v>43</v>
      </c>
      <c r="C41" s="4" t="s">
        <v>64</v>
      </c>
      <c r="D41" s="4" t="s">
        <v>25</v>
      </c>
      <c r="E41" s="4" t="s">
        <v>25</v>
      </c>
      <c r="F41" s="4" t="s">
        <v>25</v>
      </c>
      <c r="G41" s="4" t="s">
        <v>71</v>
      </c>
      <c r="H41" s="4" t="s">
        <v>25</v>
      </c>
      <c r="I41" s="5">
        <v>43952</v>
      </c>
      <c r="J41" s="6">
        <v>86500</v>
      </c>
      <c r="K41" s="6">
        <v>86500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4" t="s">
        <v>66</v>
      </c>
      <c r="R41" s="4">
        <v>28352</v>
      </c>
      <c r="S41" s="4">
        <v>9</v>
      </c>
      <c r="T41" s="4">
        <v>0</v>
      </c>
      <c r="U41" s="4">
        <v>0</v>
      </c>
      <c r="V41" s="6">
        <f>IF(ISERROR(VLOOKUP($S$41,'TAR FIN'!$A$1:$O$120,15,0)),0,VLOOKUP($S$41,'TAR FIN'!$A$1:$O$120,15,0))</f>
        <v>2.71</v>
      </c>
      <c r="W41" s="6">
        <f>IF(ISERROR(VLOOKUP($T$41,'TAR FIN'!$A$1:$O$120,15,0)),0,VLOOKUP($T$41,'TAR FIN'!$A$1:$O$120,15,0))</f>
        <v>0</v>
      </c>
      <c r="X41" s="6">
        <f>IF(ISERROR(VLOOKUP($U$41,'TAR FIN'!$A$1:$O$120,15,0)),0,VLOOKUP($U$41,'TAR FIN'!$A$1:$O$120,15,0))</f>
        <v>0</v>
      </c>
      <c r="Y41" s="6">
        <f ca="1">('TUSD BE'!$AM$13+'TUSD BF'!$AM$13+'TUSD CVA'!$AM$13)*1</f>
        <v>3.2397980177320211</v>
      </c>
      <c r="Z41" s="6"/>
      <c r="AA41" s="6"/>
      <c r="AB41" s="6">
        <f t="shared" si="2"/>
        <v>0</v>
      </c>
      <c r="AC41" s="6">
        <f t="shared" si="3"/>
        <v>0</v>
      </c>
      <c r="AD41" s="6">
        <f t="shared" ca="1" si="4"/>
        <v>0</v>
      </c>
      <c r="AE41" s="6">
        <f t="shared" si="5"/>
        <v>0</v>
      </c>
      <c r="AF41" s="4" t="s">
        <v>1149</v>
      </c>
    </row>
    <row r="42" spans="1:32" ht="11.25" customHeight="1" x14ac:dyDescent="0.25">
      <c r="A42" s="4" t="s">
        <v>21</v>
      </c>
      <c r="B42" s="4" t="s">
        <v>43</v>
      </c>
      <c r="C42" s="4" t="s">
        <v>64</v>
      </c>
      <c r="D42" s="4" t="s">
        <v>25</v>
      </c>
      <c r="E42" s="4" t="s">
        <v>25</v>
      </c>
      <c r="F42" s="4" t="s">
        <v>25</v>
      </c>
      <c r="G42" s="4" t="s">
        <v>70</v>
      </c>
      <c r="H42" s="4" t="s">
        <v>25</v>
      </c>
      <c r="I42" s="5">
        <v>43983</v>
      </c>
      <c r="J42" s="6">
        <v>124500</v>
      </c>
      <c r="K42" s="6">
        <v>124500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4" t="s">
        <v>66</v>
      </c>
      <c r="R42" s="4">
        <v>27795</v>
      </c>
      <c r="S42" s="4">
        <v>8</v>
      </c>
      <c r="T42" s="4">
        <v>0</v>
      </c>
      <c r="U42" s="4">
        <v>0</v>
      </c>
      <c r="V42" s="6">
        <f>IF(ISERROR(VLOOKUP($S$42,'TAR FIN'!$A$1:$O$120,15,0)),0,VLOOKUP($S$42,'TAR FIN'!$A$1:$O$120,15,0))</f>
        <v>3.09</v>
      </c>
      <c r="W42" s="6">
        <f>IF(ISERROR(VLOOKUP($T$42,'TAR FIN'!$A$1:$O$120,15,0)),0,VLOOKUP($T$42,'TAR FIN'!$A$1:$O$120,15,0))</f>
        <v>0</v>
      </c>
      <c r="X42" s="6">
        <f>IF(ISERROR(VLOOKUP($U$42,'TAR FIN'!$A$1:$O$120,15,0)),0,VLOOKUP($U$42,'TAR FIN'!$A$1:$O$120,15,0))</f>
        <v>0</v>
      </c>
      <c r="Y42" s="6">
        <f ca="1">('TUSD BE'!$AM$12+'TUSD BF'!$AM$12+'TUSD CVA'!$AM$12)*1</f>
        <v>3.6849092735444771</v>
      </c>
      <c r="Z42" s="6"/>
      <c r="AA42" s="6"/>
      <c r="AB42" s="6">
        <f t="shared" si="2"/>
        <v>0</v>
      </c>
      <c r="AC42" s="6">
        <f t="shared" si="3"/>
        <v>0</v>
      </c>
      <c r="AD42" s="6">
        <f t="shared" ca="1" si="4"/>
        <v>0</v>
      </c>
      <c r="AE42" s="6">
        <f t="shared" si="5"/>
        <v>0</v>
      </c>
      <c r="AF42" s="4" t="s">
        <v>1149</v>
      </c>
    </row>
    <row r="43" spans="1:32" ht="11.25" customHeight="1" x14ac:dyDescent="0.25">
      <c r="A43" s="4" t="s">
        <v>21</v>
      </c>
      <c r="B43" s="4" t="s">
        <v>43</v>
      </c>
      <c r="C43" s="4" t="s">
        <v>64</v>
      </c>
      <c r="D43" s="4" t="s">
        <v>25</v>
      </c>
      <c r="E43" s="4" t="s">
        <v>25</v>
      </c>
      <c r="F43" s="4" t="s">
        <v>25</v>
      </c>
      <c r="G43" s="4" t="s">
        <v>71</v>
      </c>
      <c r="H43" s="4" t="s">
        <v>25</v>
      </c>
      <c r="I43" s="5">
        <v>43983</v>
      </c>
      <c r="J43" s="6">
        <v>86500</v>
      </c>
      <c r="K43" s="6">
        <v>86500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4" t="s">
        <v>66</v>
      </c>
      <c r="R43" s="4">
        <v>28352</v>
      </c>
      <c r="S43" s="4">
        <v>9</v>
      </c>
      <c r="T43" s="4">
        <v>0</v>
      </c>
      <c r="U43" s="4">
        <v>0</v>
      </c>
      <c r="V43" s="6">
        <f>IF(ISERROR(VLOOKUP($S$43,'TAR FIN'!$A$1:$O$120,15,0)),0,VLOOKUP($S$43,'TAR FIN'!$A$1:$O$120,15,0))</f>
        <v>2.71</v>
      </c>
      <c r="W43" s="6">
        <f>IF(ISERROR(VLOOKUP($T$43,'TAR FIN'!$A$1:$O$120,15,0)),0,VLOOKUP($T$43,'TAR FIN'!$A$1:$O$120,15,0))</f>
        <v>0</v>
      </c>
      <c r="X43" s="6">
        <f>IF(ISERROR(VLOOKUP($U$43,'TAR FIN'!$A$1:$O$120,15,0)),0,VLOOKUP($U$43,'TAR FIN'!$A$1:$O$120,15,0))</f>
        <v>0</v>
      </c>
      <c r="Y43" s="6">
        <f ca="1">('TUSD BE'!$AM$13+'TUSD BF'!$AM$13+'TUSD CVA'!$AM$13)*1</f>
        <v>3.2397980177320211</v>
      </c>
      <c r="Z43" s="6"/>
      <c r="AA43" s="6"/>
      <c r="AB43" s="6">
        <f t="shared" si="2"/>
        <v>0</v>
      </c>
      <c r="AC43" s="6">
        <f t="shared" si="3"/>
        <v>0</v>
      </c>
      <c r="AD43" s="6">
        <f t="shared" ca="1" si="4"/>
        <v>0</v>
      </c>
      <c r="AE43" s="6">
        <f t="shared" si="5"/>
        <v>0</v>
      </c>
      <c r="AF43" s="4" t="s">
        <v>1149</v>
      </c>
    </row>
    <row r="44" spans="1:32" ht="11.25" customHeight="1" x14ac:dyDescent="0.25">
      <c r="A44" s="4" t="s">
        <v>21</v>
      </c>
      <c r="B44" s="4" t="s">
        <v>43</v>
      </c>
      <c r="C44" s="4" t="s">
        <v>64</v>
      </c>
      <c r="D44" s="4" t="s">
        <v>25</v>
      </c>
      <c r="E44" s="4" t="s">
        <v>25</v>
      </c>
      <c r="F44" s="4" t="s">
        <v>25</v>
      </c>
      <c r="G44" s="4" t="s">
        <v>70</v>
      </c>
      <c r="H44" s="4" t="s">
        <v>25</v>
      </c>
      <c r="I44" s="5">
        <v>44013</v>
      </c>
      <c r="J44" s="6">
        <v>124500</v>
      </c>
      <c r="K44" s="6">
        <v>124500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4" t="s">
        <v>66</v>
      </c>
      <c r="R44" s="4">
        <v>27795</v>
      </c>
      <c r="S44" s="4">
        <v>8</v>
      </c>
      <c r="T44" s="4">
        <v>0</v>
      </c>
      <c r="U44" s="4">
        <v>0</v>
      </c>
      <c r="V44" s="6">
        <f>IF(ISERROR(VLOOKUP($S$44,'TAR FIN'!$A$1:$O$120,15,0)),0,VLOOKUP($S$44,'TAR FIN'!$A$1:$O$120,15,0))</f>
        <v>3.09</v>
      </c>
      <c r="W44" s="6">
        <f>IF(ISERROR(VLOOKUP($T$44,'TAR FIN'!$A$1:$O$120,15,0)),0,VLOOKUP($T$44,'TAR FIN'!$A$1:$O$120,15,0))</f>
        <v>0</v>
      </c>
      <c r="X44" s="6">
        <f>IF(ISERROR(VLOOKUP($U$44,'TAR FIN'!$A$1:$O$120,15,0)),0,VLOOKUP($U$44,'TAR FIN'!$A$1:$O$120,15,0))</f>
        <v>0</v>
      </c>
      <c r="Y44" s="6">
        <f ca="1">('TUSD BE'!$AM$12+'TUSD BF'!$AM$12+'TUSD CVA'!$AM$12)*1</f>
        <v>3.6849092735444771</v>
      </c>
      <c r="Z44" s="6"/>
      <c r="AA44" s="6"/>
      <c r="AB44" s="6">
        <f t="shared" si="2"/>
        <v>0</v>
      </c>
      <c r="AC44" s="6">
        <f t="shared" si="3"/>
        <v>0</v>
      </c>
      <c r="AD44" s="6">
        <f t="shared" ca="1" si="4"/>
        <v>0</v>
      </c>
      <c r="AE44" s="6">
        <f t="shared" si="5"/>
        <v>0</v>
      </c>
      <c r="AF44" s="4" t="s">
        <v>1149</v>
      </c>
    </row>
    <row r="45" spans="1:32" ht="11.25" customHeight="1" x14ac:dyDescent="0.25">
      <c r="A45" s="4" t="s">
        <v>21</v>
      </c>
      <c r="B45" s="4" t="s">
        <v>43</v>
      </c>
      <c r="C45" s="4" t="s">
        <v>64</v>
      </c>
      <c r="D45" s="4" t="s">
        <v>25</v>
      </c>
      <c r="E45" s="4" t="s">
        <v>25</v>
      </c>
      <c r="F45" s="4" t="s">
        <v>25</v>
      </c>
      <c r="G45" s="4" t="s">
        <v>71</v>
      </c>
      <c r="H45" s="4" t="s">
        <v>25</v>
      </c>
      <c r="I45" s="5">
        <v>44013</v>
      </c>
      <c r="J45" s="6">
        <v>86500</v>
      </c>
      <c r="K45" s="6">
        <v>86500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4" t="s">
        <v>66</v>
      </c>
      <c r="R45" s="4">
        <v>28352</v>
      </c>
      <c r="S45" s="4">
        <v>9</v>
      </c>
      <c r="T45" s="4">
        <v>0</v>
      </c>
      <c r="U45" s="4">
        <v>0</v>
      </c>
      <c r="V45" s="6">
        <f>IF(ISERROR(VLOOKUP($S$45,'TAR FIN'!$A$1:$O$120,15,0)),0,VLOOKUP($S$45,'TAR FIN'!$A$1:$O$120,15,0))</f>
        <v>2.71</v>
      </c>
      <c r="W45" s="6">
        <f>IF(ISERROR(VLOOKUP($T$45,'TAR FIN'!$A$1:$O$120,15,0)),0,VLOOKUP($T$45,'TAR FIN'!$A$1:$O$120,15,0))</f>
        <v>0</v>
      </c>
      <c r="X45" s="6">
        <f>IF(ISERROR(VLOOKUP($U$45,'TAR FIN'!$A$1:$O$120,15,0)),0,VLOOKUP($U$45,'TAR FIN'!$A$1:$O$120,15,0))</f>
        <v>0</v>
      </c>
      <c r="Y45" s="6">
        <f ca="1">('TUSD BE'!$AM$13+'TUSD BF'!$AM$13+'TUSD CVA'!$AM$13)*1</f>
        <v>3.2397980177320211</v>
      </c>
      <c r="Z45" s="6"/>
      <c r="AA45" s="6"/>
      <c r="AB45" s="6">
        <f t="shared" si="2"/>
        <v>0</v>
      </c>
      <c r="AC45" s="6">
        <f t="shared" si="3"/>
        <v>0</v>
      </c>
      <c r="AD45" s="6">
        <f t="shared" ca="1" si="4"/>
        <v>0</v>
      </c>
      <c r="AE45" s="6">
        <f t="shared" si="5"/>
        <v>0</v>
      </c>
      <c r="AF45" s="4" t="s">
        <v>1149</v>
      </c>
    </row>
    <row r="46" spans="1:32" ht="11.25" customHeight="1" x14ac:dyDescent="0.25">
      <c r="A46" s="4" t="s">
        <v>21</v>
      </c>
      <c r="B46" s="4" t="s">
        <v>43</v>
      </c>
      <c r="C46" s="4" t="s">
        <v>64</v>
      </c>
      <c r="D46" s="4" t="s">
        <v>25</v>
      </c>
      <c r="E46" s="4" t="s">
        <v>25</v>
      </c>
      <c r="F46" s="4" t="s">
        <v>25</v>
      </c>
      <c r="G46" s="4" t="s">
        <v>70</v>
      </c>
      <c r="H46" s="4" t="s">
        <v>25</v>
      </c>
      <c r="I46" s="5">
        <v>44044</v>
      </c>
      <c r="J46" s="6">
        <v>124500</v>
      </c>
      <c r="K46" s="6">
        <v>124500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4" t="s">
        <v>66</v>
      </c>
      <c r="R46" s="4">
        <v>27795</v>
      </c>
      <c r="S46" s="4">
        <v>8</v>
      </c>
      <c r="T46" s="4">
        <v>0</v>
      </c>
      <c r="U46" s="4">
        <v>0</v>
      </c>
      <c r="V46" s="6">
        <f>IF(ISERROR(VLOOKUP($S$46,'TAR FIN'!$A$1:$O$120,15,0)),0,VLOOKUP($S$46,'TAR FIN'!$A$1:$O$120,15,0))</f>
        <v>3.09</v>
      </c>
      <c r="W46" s="6">
        <f>IF(ISERROR(VLOOKUP($T$46,'TAR FIN'!$A$1:$O$120,15,0)),0,VLOOKUP($T$46,'TAR FIN'!$A$1:$O$120,15,0))</f>
        <v>0</v>
      </c>
      <c r="X46" s="6">
        <f>IF(ISERROR(VLOOKUP($U$46,'TAR FIN'!$A$1:$O$120,15,0)),0,VLOOKUP($U$46,'TAR FIN'!$A$1:$O$120,15,0))</f>
        <v>0</v>
      </c>
      <c r="Y46" s="6">
        <f ca="1">('TUSD BE'!$AM$12+'TUSD BF'!$AM$12+'TUSD CVA'!$AM$12)*1</f>
        <v>3.6849092735444771</v>
      </c>
      <c r="Z46" s="6"/>
      <c r="AA46" s="6"/>
      <c r="AB46" s="6">
        <f t="shared" si="2"/>
        <v>0</v>
      </c>
      <c r="AC46" s="6">
        <f t="shared" si="3"/>
        <v>0</v>
      </c>
      <c r="AD46" s="6">
        <f t="shared" ca="1" si="4"/>
        <v>0</v>
      </c>
      <c r="AE46" s="6">
        <f t="shared" si="5"/>
        <v>0</v>
      </c>
      <c r="AF46" s="4" t="s">
        <v>1149</v>
      </c>
    </row>
    <row r="47" spans="1:32" ht="11.25" customHeight="1" x14ac:dyDescent="0.25">
      <c r="A47" s="4" t="s">
        <v>21</v>
      </c>
      <c r="B47" s="4" t="s">
        <v>43</v>
      </c>
      <c r="C47" s="4" t="s">
        <v>64</v>
      </c>
      <c r="D47" s="4" t="s">
        <v>25</v>
      </c>
      <c r="E47" s="4" t="s">
        <v>25</v>
      </c>
      <c r="F47" s="4" t="s">
        <v>25</v>
      </c>
      <c r="G47" s="4" t="s">
        <v>71</v>
      </c>
      <c r="H47" s="4" t="s">
        <v>25</v>
      </c>
      <c r="I47" s="5">
        <v>44044</v>
      </c>
      <c r="J47" s="6">
        <v>86500</v>
      </c>
      <c r="K47" s="6">
        <v>86500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4" t="s">
        <v>66</v>
      </c>
      <c r="R47" s="4">
        <v>28352</v>
      </c>
      <c r="S47" s="4">
        <v>9</v>
      </c>
      <c r="T47" s="4">
        <v>0</v>
      </c>
      <c r="U47" s="4">
        <v>0</v>
      </c>
      <c r="V47" s="6">
        <f>IF(ISERROR(VLOOKUP($S$47,'TAR FIN'!$A$1:$O$120,15,0)),0,VLOOKUP($S$47,'TAR FIN'!$A$1:$O$120,15,0))</f>
        <v>2.71</v>
      </c>
      <c r="W47" s="6">
        <f>IF(ISERROR(VLOOKUP($T$47,'TAR FIN'!$A$1:$O$120,15,0)),0,VLOOKUP($T$47,'TAR FIN'!$A$1:$O$120,15,0))</f>
        <v>0</v>
      </c>
      <c r="X47" s="6">
        <f>IF(ISERROR(VLOOKUP($U$47,'TAR FIN'!$A$1:$O$120,15,0)),0,VLOOKUP($U$47,'TAR FIN'!$A$1:$O$120,15,0))</f>
        <v>0</v>
      </c>
      <c r="Y47" s="6">
        <f ca="1">('TUSD BE'!$AM$13+'TUSD BF'!$AM$13+'TUSD CVA'!$AM$13)*1</f>
        <v>3.2397980177320211</v>
      </c>
      <c r="Z47" s="6"/>
      <c r="AA47" s="6"/>
      <c r="AB47" s="6">
        <f t="shared" si="2"/>
        <v>0</v>
      </c>
      <c r="AC47" s="6">
        <f t="shared" si="3"/>
        <v>0</v>
      </c>
      <c r="AD47" s="6">
        <f t="shared" ca="1" si="4"/>
        <v>0</v>
      </c>
      <c r="AE47" s="6">
        <f t="shared" si="5"/>
        <v>0</v>
      </c>
      <c r="AF47" s="4" t="s">
        <v>1149</v>
      </c>
    </row>
    <row r="48" spans="1:32" ht="11.25" customHeight="1" x14ac:dyDescent="0.25">
      <c r="A48" s="4" t="s">
        <v>59</v>
      </c>
      <c r="B48" s="4" t="s">
        <v>43</v>
      </c>
      <c r="C48" s="4" t="s">
        <v>64</v>
      </c>
      <c r="D48" s="4" t="s">
        <v>25</v>
      </c>
      <c r="E48" s="4" t="s">
        <v>25</v>
      </c>
      <c r="F48" s="4" t="s">
        <v>25</v>
      </c>
      <c r="G48" s="4" t="s">
        <v>70</v>
      </c>
      <c r="H48" s="4" t="s">
        <v>25</v>
      </c>
      <c r="I48" s="5">
        <v>44075</v>
      </c>
      <c r="J48" s="6">
        <v>124500</v>
      </c>
      <c r="K48" s="6">
        <v>124500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4" t="s">
        <v>66</v>
      </c>
      <c r="R48" s="4">
        <v>27795</v>
      </c>
      <c r="S48" s="4">
        <v>8</v>
      </c>
      <c r="T48" s="4">
        <v>0</v>
      </c>
      <c r="U48" s="4">
        <v>0</v>
      </c>
      <c r="V48" s="6">
        <f>IF(ISERROR(VLOOKUP($S$48,'TAR FIN'!$A$1:$O$120,15,0)),0,VLOOKUP($S$48,'TAR FIN'!$A$1:$O$120,15,0))</f>
        <v>3.09</v>
      </c>
      <c r="W48" s="6">
        <f>IF(ISERROR(VLOOKUP($T$48,'TAR FIN'!$A$1:$O$120,15,0)),0,VLOOKUP($T$48,'TAR FIN'!$A$1:$O$120,15,0))</f>
        <v>0</v>
      </c>
      <c r="X48" s="6">
        <f>IF(ISERROR(VLOOKUP($U$48,'TAR FIN'!$A$1:$O$120,15,0)),0,VLOOKUP($U$48,'TAR FIN'!$A$1:$O$120,15,0))</f>
        <v>0</v>
      </c>
      <c r="Y48" s="6">
        <f ca="1">('TUSD BE'!$AM$12+'TUSD BF'!$AM$12+'TUSD CVA'!$AM$12)*1</f>
        <v>3.6849092735444771</v>
      </c>
      <c r="Z48" s="6"/>
      <c r="AA48" s="6"/>
      <c r="AB48" s="6">
        <f t="shared" si="2"/>
        <v>0</v>
      </c>
      <c r="AC48" s="6">
        <f t="shared" si="3"/>
        <v>0</v>
      </c>
      <c r="AD48" s="6">
        <f t="shared" ca="1" si="4"/>
        <v>0</v>
      </c>
      <c r="AE48" s="6">
        <f t="shared" si="5"/>
        <v>0</v>
      </c>
      <c r="AF48" s="4" t="s">
        <v>1149</v>
      </c>
    </row>
    <row r="49" spans="1:32" ht="11.25" customHeight="1" x14ac:dyDescent="0.25">
      <c r="A49" s="4" t="s">
        <v>59</v>
      </c>
      <c r="B49" s="4" t="s">
        <v>43</v>
      </c>
      <c r="C49" s="4" t="s">
        <v>64</v>
      </c>
      <c r="D49" s="4" t="s">
        <v>25</v>
      </c>
      <c r="E49" s="4" t="s">
        <v>25</v>
      </c>
      <c r="F49" s="4" t="s">
        <v>25</v>
      </c>
      <c r="G49" s="4" t="s">
        <v>71</v>
      </c>
      <c r="H49" s="4" t="s">
        <v>25</v>
      </c>
      <c r="I49" s="5">
        <v>44075</v>
      </c>
      <c r="J49" s="6">
        <v>86500</v>
      </c>
      <c r="K49" s="6">
        <v>86500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4" t="s">
        <v>66</v>
      </c>
      <c r="R49" s="4">
        <v>28352</v>
      </c>
      <c r="S49" s="4">
        <v>9</v>
      </c>
      <c r="T49" s="4">
        <v>0</v>
      </c>
      <c r="U49" s="4">
        <v>0</v>
      </c>
      <c r="V49" s="6">
        <f>IF(ISERROR(VLOOKUP($S$49,'TAR FIN'!$A$1:$O$120,15,0)),0,VLOOKUP($S$49,'TAR FIN'!$A$1:$O$120,15,0))</f>
        <v>2.71</v>
      </c>
      <c r="W49" s="6">
        <f>IF(ISERROR(VLOOKUP($T$49,'TAR FIN'!$A$1:$O$120,15,0)),0,VLOOKUP($T$49,'TAR FIN'!$A$1:$O$120,15,0))</f>
        <v>0</v>
      </c>
      <c r="X49" s="6">
        <f>IF(ISERROR(VLOOKUP($U$49,'TAR FIN'!$A$1:$O$120,15,0)),0,VLOOKUP($U$49,'TAR FIN'!$A$1:$O$120,15,0))</f>
        <v>0</v>
      </c>
      <c r="Y49" s="6">
        <f ca="1">('TUSD BE'!$AM$13+'TUSD BF'!$AM$13+'TUSD CVA'!$AM$13)*1</f>
        <v>3.2397980177320211</v>
      </c>
      <c r="Z49" s="6"/>
      <c r="AA49" s="6"/>
      <c r="AB49" s="6">
        <f t="shared" si="2"/>
        <v>0</v>
      </c>
      <c r="AC49" s="6">
        <f t="shared" si="3"/>
        <v>0</v>
      </c>
      <c r="AD49" s="6">
        <f t="shared" ca="1" si="4"/>
        <v>0</v>
      </c>
      <c r="AE49" s="6">
        <f t="shared" si="5"/>
        <v>0</v>
      </c>
      <c r="AF49" s="4" t="s">
        <v>1149</v>
      </c>
    </row>
    <row r="50" spans="1:32" ht="11.25" customHeight="1" x14ac:dyDescent="0.25">
      <c r="A50" s="4" t="s">
        <v>21</v>
      </c>
      <c r="B50" s="4" t="s">
        <v>45</v>
      </c>
      <c r="C50" s="4" t="s">
        <v>41</v>
      </c>
      <c r="D50" s="4" t="s">
        <v>40</v>
      </c>
      <c r="E50" s="4" t="s">
        <v>25</v>
      </c>
      <c r="F50" s="4" t="s">
        <v>63</v>
      </c>
      <c r="G50" s="4" t="s">
        <v>25</v>
      </c>
      <c r="H50" s="4" t="s">
        <v>36</v>
      </c>
      <c r="I50" s="5">
        <v>43739</v>
      </c>
      <c r="J50" s="6">
        <v>3400</v>
      </c>
      <c r="K50" s="6">
        <v>2130.1447779999999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4" t="s">
        <v>60</v>
      </c>
      <c r="R50" s="4">
        <v>0</v>
      </c>
      <c r="S50" s="4">
        <v>12</v>
      </c>
      <c r="T50" s="4">
        <v>0</v>
      </c>
      <c r="U50" s="4">
        <v>0</v>
      </c>
      <c r="V50" s="6">
        <f>IF(ISERROR(VLOOKUP($S$50,'TAR FIN'!$A$1:$O$120,15,0)),0,VLOOKUP($S$50,'TAR FIN'!$A$1:$O$120,15,0))</f>
        <v>8.81</v>
      </c>
      <c r="W50" s="6">
        <f>IF(ISERROR(VLOOKUP($T$50,'TAR FIN'!$A$1:$O$120,15,0)),0,VLOOKUP($T$50,'TAR FIN'!$A$1:$O$120,15,0))</f>
        <v>0</v>
      </c>
      <c r="X50" s="6">
        <f>IF(ISERROR(VLOOKUP($U$50,'TAR FIN'!$A$1:$O$120,15,0)),0,VLOOKUP($U$50,'TAR FIN'!$A$1:$O$120,15,0))</f>
        <v>0</v>
      </c>
      <c r="Y50" s="6">
        <f ca="1">('TUSD BE'!$AM$16+'TUSD BF'!$AM$16+'TUSD CVA'!$AM$16)*1</f>
        <v>11.452356648653195</v>
      </c>
      <c r="Z50" s="6">
        <f ca="1">('TUSD BE'!$AM$17+'TUSD BF'!$AM$17+'TUSD CVA'!$AM$17)*1</f>
        <v>87.519361965254689</v>
      </c>
      <c r="AA50" s="6"/>
      <c r="AB50" s="6">
        <f t="shared" si="2"/>
        <v>11187.424505820001</v>
      </c>
      <c r="AC50" s="6">
        <f t="shared" si="3"/>
        <v>0</v>
      </c>
      <c r="AD50" s="6">
        <f t="shared" ca="1" si="4"/>
        <v>14542.834894498681</v>
      </c>
      <c r="AE50" s="6">
        <f t="shared" ca="1" si="5"/>
        <v>0</v>
      </c>
      <c r="AF50" s="4" t="s">
        <v>1150</v>
      </c>
    </row>
    <row r="51" spans="1:32" ht="11.25" customHeight="1" x14ac:dyDescent="0.25">
      <c r="A51" s="4" t="s">
        <v>21</v>
      </c>
      <c r="B51" s="4" t="s">
        <v>45</v>
      </c>
      <c r="C51" s="4" t="s">
        <v>41</v>
      </c>
      <c r="D51" s="4" t="s">
        <v>40</v>
      </c>
      <c r="E51" s="4" t="s">
        <v>25</v>
      </c>
      <c r="F51" s="4" t="s">
        <v>63</v>
      </c>
      <c r="G51" s="4" t="s">
        <v>25</v>
      </c>
      <c r="H51" s="4" t="s">
        <v>36</v>
      </c>
      <c r="I51" s="5">
        <v>43770</v>
      </c>
      <c r="J51" s="6">
        <v>3400</v>
      </c>
      <c r="K51" s="6">
        <v>2133.9733139999998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4" t="s">
        <v>60</v>
      </c>
      <c r="R51" s="4">
        <v>0</v>
      </c>
      <c r="S51" s="4">
        <v>12</v>
      </c>
      <c r="T51" s="4">
        <v>0</v>
      </c>
      <c r="U51" s="4">
        <v>0</v>
      </c>
      <c r="V51" s="6">
        <f>IF(ISERROR(VLOOKUP($S$51,'TAR FIN'!$A$1:$O$120,15,0)),0,VLOOKUP($S$51,'TAR FIN'!$A$1:$O$120,15,0))</f>
        <v>8.81</v>
      </c>
      <c r="W51" s="6">
        <f>IF(ISERROR(VLOOKUP($T$51,'TAR FIN'!$A$1:$O$120,15,0)),0,VLOOKUP($T$51,'TAR FIN'!$A$1:$O$120,15,0))</f>
        <v>0</v>
      </c>
      <c r="X51" s="6">
        <f>IF(ISERROR(VLOOKUP($U$51,'TAR FIN'!$A$1:$O$120,15,0)),0,VLOOKUP($U$51,'TAR FIN'!$A$1:$O$120,15,0))</f>
        <v>0</v>
      </c>
      <c r="Y51" s="6">
        <f ca="1">('TUSD BE'!$AM$16+'TUSD BF'!$AM$16+'TUSD CVA'!$AM$16)*1</f>
        <v>11.452356648653195</v>
      </c>
      <c r="Z51" s="6">
        <f ca="1">('TUSD BE'!$AM$17+'TUSD BF'!$AM$17+'TUSD CVA'!$AM$17)*1</f>
        <v>87.519361965254689</v>
      </c>
      <c r="AA51" s="6"/>
      <c r="AB51" s="6">
        <f t="shared" si="2"/>
        <v>11153.695103660002</v>
      </c>
      <c r="AC51" s="6">
        <f t="shared" si="3"/>
        <v>0</v>
      </c>
      <c r="AD51" s="6">
        <f t="shared" ca="1" si="4"/>
        <v>14498.989134784473</v>
      </c>
      <c r="AE51" s="6">
        <f t="shared" ca="1" si="5"/>
        <v>0</v>
      </c>
      <c r="AF51" s="4" t="s">
        <v>1150</v>
      </c>
    </row>
    <row r="52" spans="1:32" ht="11.25" customHeight="1" x14ac:dyDescent="0.25">
      <c r="A52" s="4" t="s">
        <v>21</v>
      </c>
      <c r="B52" s="4" t="s">
        <v>45</v>
      </c>
      <c r="C52" s="4" t="s">
        <v>41</v>
      </c>
      <c r="D52" s="4" t="s">
        <v>40</v>
      </c>
      <c r="E52" s="4" t="s">
        <v>25</v>
      </c>
      <c r="F52" s="4" t="s">
        <v>63</v>
      </c>
      <c r="G52" s="4" t="s">
        <v>25</v>
      </c>
      <c r="H52" s="4" t="s">
        <v>36</v>
      </c>
      <c r="I52" s="5">
        <v>43800</v>
      </c>
      <c r="J52" s="6">
        <v>3400</v>
      </c>
      <c r="K52" s="6">
        <v>2140.7922859999999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4" t="s">
        <v>60</v>
      </c>
      <c r="R52" s="4">
        <v>0</v>
      </c>
      <c r="S52" s="4">
        <v>12</v>
      </c>
      <c r="T52" s="4">
        <v>0</v>
      </c>
      <c r="U52" s="4">
        <v>0</v>
      </c>
      <c r="V52" s="6">
        <f>IF(ISERROR(VLOOKUP($S$52,'TAR FIN'!$A$1:$O$120,15,0)),0,VLOOKUP($S$52,'TAR FIN'!$A$1:$O$120,15,0))</f>
        <v>8.81</v>
      </c>
      <c r="W52" s="6">
        <f>IF(ISERROR(VLOOKUP($T$52,'TAR FIN'!$A$1:$O$120,15,0)),0,VLOOKUP($T$52,'TAR FIN'!$A$1:$O$120,15,0))</f>
        <v>0</v>
      </c>
      <c r="X52" s="6">
        <f>IF(ISERROR(VLOOKUP($U$52,'TAR FIN'!$A$1:$O$120,15,0)),0,VLOOKUP($U$52,'TAR FIN'!$A$1:$O$120,15,0))</f>
        <v>0</v>
      </c>
      <c r="Y52" s="6">
        <f ca="1">('TUSD BE'!$AM$16+'TUSD BF'!$AM$16+'TUSD CVA'!$AM$16)*1</f>
        <v>11.452356648653195</v>
      </c>
      <c r="Z52" s="6">
        <f ca="1">('TUSD BE'!$AM$17+'TUSD BF'!$AM$17+'TUSD CVA'!$AM$17)*1</f>
        <v>87.519361965254689</v>
      </c>
      <c r="AA52" s="6"/>
      <c r="AB52" s="6">
        <f t="shared" si="2"/>
        <v>11093.619960340002</v>
      </c>
      <c r="AC52" s="6">
        <f t="shared" si="3"/>
        <v>0</v>
      </c>
      <c r="AD52" s="6">
        <f t="shared" ca="1" si="4"/>
        <v>14420.895835463292</v>
      </c>
      <c r="AE52" s="6">
        <f t="shared" ca="1" si="5"/>
        <v>0</v>
      </c>
      <c r="AF52" s="4" t="s">
        <v>1150</v>
      </c>
    </row>
    <row r="53" spans="1:32" ht="11.25" customHeight="1" x14ac:dyDescent="0.25">
      <c r="A53" s="4" t="s">
        <v>21</v>
      </c>
      <c r="B53" s="4" t="s">
        <v>45</v>
      </c>
      <c r="C53" s="4" t="s">
        <v>41</v>
      </c>
      <c r="D53" s="4" t="s">
        <v>40</v>
      </c>
      <c r="E53" s="4" t="s">
        <v>25</v>
      </c>
      <c r="F53" s="4" t="s">
        <v>63</v>
      </c>
      <c r="G53" s="4" t="s">
        <v>25</v>
      </c>
      <c r="H53" s="4" t="s">
        <v>36</v>
      </c>
      <c r="I53" s="5">
        <v>43831</v>
      </c>
      <c r="J53" s="6">
        <v>3400</v>
      </c>
      <c r="K53" s="6">
        <v>2119.139318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4" t="s">
        <v>60</v>
      </c>
      <c r="R53" s="4">
        <v>0</v>
      </c>
      <c r="S53" s="4">
        <v>12</v>
      </c>
      <c r="T53" s="4">
        <v>0</v>
      </c>
      <c r="U53" s="4">
        <v>0</v>
      </c>
      <c r="V53" s="6">
        <f>IF(ISERROR(VLOOKUP($S$53,'TAR FIN'!$A$1:$O$120,15,0)),0,VLOOKUP($S$53,'TAR FIN'!$A$1:$O$120,15,0))</f>
        <v>8.81</v>
      </c>
      <c r="W53" s="6">
        <f>IF(ISERROR(VLOOKUP($T$53,'TAR FIN'!$A$1:$O$120,15,0)),0,VLOOKUP($T$53,'TAR FIN'!$A$1:$O$120,15,0))</f>
        <v>0</v>
      </c>
      <c r="X53" s="6">
        <f>IF(ISERROR(VLOOKUP($U$53,'TAR FIN'!$A$1:$O$120,15,0)),0,VLOOKUP($U$53,'TAR FIN'!$A$1:$O$120,15,0))</f>
        <v>0</v>
      </c>
      <c r="Y53" s="6">
        <f ca="1">('TUSD BE'!$AM$16+'TUSD BF'!$AM$16+'TUSD CVA'!$AM$16)*1</f>
        <v>11.452356648653195</v>
      </c>
      <c r="Z53" s="6">
        <f ca="1">('TUSD BE'!$AM$17+'TUSD BF'!$AM$17+'TUSD CVA'!$AM$17)*1</f>
        <v>87.519361965254689</v>
      </c>
      <c r="AA53" s="6"/>
      <c r="AB53" s="6">
        <f t="shared" si="2"/>
        <v>11284.382608420001</v>
      </c>
      <c r="AC53" s="6">
        <f t="shared" si="3"/>
        <v>0</v>
      </c>
      <c r="AD53" s="6">
        <f t="shared" ca="1" si="4"/>
        <v>14668.873347501165</v>
      </c>
      <c r="AE53" s="6">
        <f t="shared" ca="1" si="5"/>
        <v>0</v>
      </c>
      <c r="AF53" s="4" t="s">
        <v>1150</v>
      </c>
    </row>
    <row r="54" spans="1:32" ht="11.25" customHeight="1" x14ac:dyDescent="0.25">
      <c r="A54" s="4" t="s">
        <v>21</v>
      </c>
      <c r="B54" s="4" t="s">
        <v>45</v>
      </c>
      <c r="C54" s="4" t="s">
        <v>41</v>
      </c>
      <c r="D54" s="4" t="s">
        <v>40</v>
      </c>
      <c r="E54" s="4" t="s">
        <v>25</v>
      </c>
      <c r="F54" s="4" t="s">
        <v>63</v>
      </c>
      <c r="G54" s="4" t="s">
        <v>25</v>
      </c>
      <c r="H54" s="4" t="s">
        <v>36</v>
      </c>
      <c r="I54" s="5">
        <v>43862</v>
      </c>
      <c r="J54" s="6">
        <v>3400</v>
      </c>
      <c r="K54" s="6">
        <v>2118.5003900000002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4" t="s">
        <v>60</v>
      </c>
      <c r="R54" s="4">
        <v>0</v>
      </c>
      <c r="S54" s="4">
        <v>12</v>
      </c>
      <c r="T54" s="4">
        <v>0</v>
      </c>
      <c r="U54" s="4">
        <v>0</v>
      </c>
      <c r="V54" s="6">
        <f>IF(ISERROR(VLOOKUP($S$54,'TAR FIN'!$A$1:$O$120,15,0)),0,VLOOKUP($S$54,'TAR FIN'!$A$1:$O$120,15,0))</f>
        <v>8.81</v>
      </c>
      <c r="W54" s="6">
        <f>IF(ISERROR(VLOOKUP($T$54,'TAR FIN'!$A$1:$O$120,15,0)),0,VLOOKUP($T$54,'TAR FIN'!$A$1:$O$120,15,0))</f>
        <v>0</v>
      </c>
      <c r="X54" s="6">
        <f>IF(ISERROR(VLOOKUP($U$54,'TAR FIN'!$A$1:$O$120,15,0)),0,VLOOKUP($U$54,'TAR FIN'!$A$1:$O$120,15,0))</f>
        <v>0</v>
      </c>
      <c r="Y54" s="6">
        <f ca="1">('TUSD BE'!$AM$16+'TUSD BF'!$AM$16+'TUSD CVA'!$AM$16)*1</f>
        <v>11.452356648653195</v>
      </c>
      <c r="Z54" s="6">
        <f ca="1">('TUSD BE'!$AM$17+'TUSD BF'!$AM$17+'TUSD CVA'!$AM$17)*1</f>
        <v>87.519361965254689</v>
      </c>
      <c r="AA54" s="6"/>
      <c r="AB54" s="6">
        <f t="shared" si="2"/>
        <v>11290.011564099999</v>
      </c>
      <c r="AC54" s="6">
        <f t="shared" si="3"/>
        <v>0</v>
      </c>
      <c r="AD54" s="6">
        <f t="shared" ca="1" si="4"/>
        <v>14676.190578829975</v>
      </c>
      <c r="AE54" s="6">
        <f t="shared" ca="1" si="5"/>
        <v>0</v>
      </c>
      <c r="AF54" s="4" t="s">
        <v>1150</v>
      </c>
    </row>
    <row r="55" spans="1:32" ht="11.25" customHeight="1" x14ac:dyDescent="0.25">
      <c r="A55" s="4" t="s">
        <v>21</v>
      </c>
      <c r="B55" s="4" t="s">
        <v>45</v>
      </c>
      <c r="C55" s="4" t="s">
        <v>41</v>
      </c>
      <c r="D55" s="4" t="s">
        <v>40</v>
      </c>
      <c r="E55" s="4" t="s">
        <v>25</v>
      </c>
      <c r="F55" s="4" t="s">
        <v>63</v>
      </c>
      <c r="G55" s="4" t="s">
        <v>25</v>
      </c>
      <c r="H55" s="4" t="s">
        <v>36</v>
      </c>
      <c r="I55" s="5">
        <v>43891</v>
      </c>
      <c r="J55" s="6">
        <v>3400</v>
      </c>
      <c r="K55" s="6">
        <v>2784.7143759999999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4" t="s">
        <v>60</v>
      </c>
      <c r="R55" s="4">
        <v>0</v>
      </c>
      <c r="S55" s="4">
        <v>12</v>
      </c>
      <c r="T55" s="4">
        <v>0</v>
      </c>
      <c r="U55" s="4">
        <v>0</v>
      </c>
      <c r="V55" s="6">
        <f>IF(ISERROR(VLOOKUP($S$55,'TAR FIN'!$A$1:$O$120,15,0)),0,VLOOKUP($S$55,'TAR FIN'!$A$1:$O$120,15,0))</f>
        <v>8.81</v>
      </c>
      <c r="W55" s="6">
        <f>IF(ISERROR(VLOOKUP($T$55,'TAR FIN'!$A$1:$O$120,15,0)),0,VLOOKUP($T$55,'TAR FIN'!$A$1:$O$120,15,0))</f>
        <v>0</v>
      </c>
      <c r="X55" s="6">
        <f>IF(ISERROR(VLOOKUP($U$55,'TAR FIN'!$A$1:$O$120,15,0)),0,VLOOKUP($U$55,'TAR FIN'!$A$1:$O$120,15,0))</f>
        <v>0</v>
      </c>
      <c r="Y55" s="6">
        <f ca="1">('TUSD BE'!$AM$16+'TUSD BF'!$AM$16+'TUSD CVA'!$AM$16)*1</f>
        <v>11.452356648653195</v>
      </c>
      <c r="Z55" s="6">
        <f ca="1">('TUSD BE'!$AM$17+'TUSD BF'!$AM$17+'TUSD CVA'!$AM$17)*1</f>
        <v>87.519361965254689</v>
      </c>
      <c r="AA55" s="6"/>
      <c r="AB55" s="6">
        <f t="shared" si="2"/>
        <v>5420.6663474400011</v>
      </c>
      <c r="AC55" s="6">
        <f t="shared" si="3"/>
        <v>0</v>
      </c>
      <c r="AD55" s="6">
        <f t="shared" ca="1" si="4"/>
        <v>7046.4704068371311</v>
      </c>
      <c r="AE55" s="6">
        <f t="shared" ca="1" si="5"/>
        <v>0</v>
      </c>
      <c r="AF55" s="4" t="s">
        <v>1150</v>
      </c>
    </row>
    <row r="56" spans="1:32" ht="11.25" customHeight="1" x14ac:dyDescent="0.25">
      <c r="A56" s="4" t="s">
        <v>21</v>
      </c>
      <c r="B56" s="4" t="s">
        <v>45</v>
      </c>
      <c r="C56" s="4" t="s">
        <v>41</v>
      </c>
      <c r="D56" s="4" t="s">
        <v>40</v>
      </c>
      <c r="E56" s="4" t="s">
        <v>25</v>
      </c>
      <c r="F56" s="4" t="s">
        <v>63</v>
      </c>
      <c r="G56" s="4" t="s">
        <v>25</v>
      </c>
      <c r="H56" s="4" t="s">
        <v>36</v>
      </c>
      <c r="I56" s="5">
        <v>43922</v>
      </c>
      <c r="J56" s="6">
        <v>3400</v>
      </c>
      <c r="K56" s="6">
        <v>3400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4" t="s">
        <v>60</v>
      </c>
      <c r="R56" s="4">
        <v>0</v>
      </c>
      <c r="S56" s="4">
        <v>12</v>
      </c>
      <c r="T56" s="4">
        <v>0</v>
      </c>
      <c r="U56" s="4">
        <v>0</v>
      </c>
      <c r="V56" s="6">
        <f>IF(ISERROR(VLOOKUP($S$56,'TAR FIN'!$A$1:$O$120,15,0)),0,VLOOKUP($S$56,'TAR FIN'!$A$1:$O$120,15,0))</f>
        <v>8.81</v>
      </c>
      <c r="W56" s="6">
        <f>IF(ISERROR(VLOOKUP($T$56,'TAR FIN'!$A$1:$O$120,15,0)),0,VLOOKUP($T$56,'TAR FIN'!$A$1:$O$120,15,0))</f>
        <v>0</v>
      </c>
      <c r="X56" s="6">
        <f>IF(ISERROR(VLOOKUP($U$56,'TAR FIN'!$A$1:$O$120,15,0)),0,VLOOKUP($U$56,'TAR FIN'!$A$1:$O$120,15,0))</f>
        <v>0</v>
      </c>
      <c r="Y56" s="6">
        <f ca="1">('TUSD BE'!$AM$16+'TUSD BF'!$AM$16+'TUSD CVA'!$AM$16)*1</f>
        <v>11.452356648653195</v>
      </c>
      <c r="Z56" s="6">
        <f ca="1">('TUSD BE'!$AM$17+'TUSD BF'!$AM$17+'TUSD CVA'!$AM$17)*1</f>
        <v>87.519361965254689</v>
      </c>
      <c r="AA56" s="6"/>
      <c r="AB56" s="6">
        <f t="shared" si="2"/>
        <v>0</v>
      </c>
      <c r="AC56" s="6">
        <f t="shared" si="3"/>
        <v>0</v>
      </c>
      <c r="AD56" s="6">
        <f t="shared" ca="1" si="4"/>
        <v>0</v>
      </c>
      <c r="AE56" s="6">
        <f t="shared" ca="1" si="5"/>
        <v>0</v>
      </c>
      <c r="AF56" s="4" t="s">
        <v>1150</v>
      </c>
    </row>
    <row r="57" spans="1:32" ht="11.25" customHeight="1" x14ac:dyDescent="0.25">
      <c r="A57" s="4" t="s">
        <v>21</v>
      </c>
      <c r="B57" s="4" t="s">
        <v>45</v>
      </c>
      <c r="C57" s="4" t="s">
        <v>41</v>
      </c>
      <c r="D57" s="4" t="s">
        <v>40</v>
      </c>
      <c r="E57" s="4" t="s">
        <v>25</v>
      </c>
      <c r="F57" s="4" t="s">
        <v>63</v>
      </c>
      <c r="G57" s="4" t="s">
        <v>25</v>
      </c>
      <c r="H57" s="4" t="s">
        <v>36</v>
      </c>
      <c r="I57" s="5">
        <v>43952</v>
      </c>
      <c r="J57" s="6">
        <v>3400</v>
      </c>
      <c r="K57" s="6">
        <v>3400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4" t="s">
        <v>60</v>
      </c>
      <c r="R57" s="4">
        <v>0</v>
      </c>
      <c r="S57" s="4">
        <v>12</v>
      </c>
      <c r="T57" s="4">
        <v>0</v>
      </c>
      <c r="U57" s="4">
        <v>0</v>
      </c>
      <c r="V57" s="6">
        <f>IF(ISERROR(VLOOKUP($S$57,'TAR FIN'!$A$1:$O$120,15,0)),0,VLOOKUP($S$57,'TAR FIN'!$A$1:$O$120,15,0))</f>
        <v>8.81</v>
      </c>
      <c r="W57" s="6">
        <f>IF(ISERROR(VLOOKUP($T$57,'TAR FIN'!$A$1:$O$120,15,0)),0,VLOOKUP($T$57,'TAR FIN'!$A$1:$O$120,15,0))</f>
        <v>0</v>
      </c>
      <c r="X57" s="6">
        <f>IF(ISERROR(VLOOKUP($U$57,'TAR FIN'!$A$1:$O$120,15,0)),0,VLOOKUP($U$57,'TAR FIN'!$A$1:$O$120,15,0))</f>
        <v>0</v>
      </c>
      <c r="Y57" s="6">
        <f ca="1">('TUSD BE'!$AM$16+'TUSD BF'!$AM$16+'TUSD CVA'!$AM$16)*1</f>
        <v>11.452356648653195</v>
      </c>
      <c r="Z57" s="6">
        <f ca="1">('TUSD BE'!$AM$17+'TUSD BF'!$AM$17+'TUSD CVA'!$AM$17)*1</f>
        <v>87.519361965254689</v>
      </c>
      <c r="AA57" s="6"/>
      <c r="AB57" s="6">
        <f t="shared" si="2"/>
        <v>0</v>
      </c>
      <c r="AC57" s="6">
        <f t="shared" si="3"/>
        <v>0</v>
      </c>
      <c r="AD57" s="6">
        <f t="shared" ca="1" si="4"/>
        <v>0</v>
      </c>
      <c r="AE57" s="6">
        <f t="shared" ca="1" si="5"/>
        <v>0</v>
      </c>
      <c r="AF57" s="4" t="s">
        <v>1150</v>
      </c>
    </row>
    <row r="58" spans="1:32" ht="11.25" customHeight="1" x14ac:dyDescent="0.25">
      <c r="A58" s="4" t="s">
        <v>21</v>
      </c>
      <c r="B58" s="4" t="s">
        <v>45</v>
      </c>
      <c r="C58" s="4" t="s">
        <v>41</v>
      </c>
      <c r="D58" s="4" t="s">
        <v>40</v>
      </c>
      <c r="E58" s="4" t="s">
        <v>25</v>
      </c>
      <c r="F58" s="4" t="s">
        <v>63</v>
      </c>
      <c r="G58" s="4" t="s">
        <v>25</v>
      </c>
      <c r="H58" s="4" t="s">
        <v>36</v>
      </c>
      <c r="I58" s="5">
        <v>43983</v>
      </c>
      <c r="J58" s="6">
        <v>3400</v>
      </c>
      <c r="K58" s="6">
        <v>3400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4" t="s">
        <v>60</v>
      </c>
      <c r="R58" s="4">
        <v>0</v>
      </c>
      <c r="S58" s="4">
        <v>12</v>
      </c>
      <c r="T58" s="4">
        <v>0</v>
      </c>
      <c r="U58" s="4">
        <v>0</v>
      </c>
      <c r="V58" s="6">
        <f>IF(ISERROR(VLOOKUP($S$58,'TAR FIN'!$A$1:$O$120,15,0)),0,VLOOKUP($S$58,'TAR FIN'!$A$1:$O$120,15,0))</f>
        <v>8.81</v>
      </c>
      <c r="W58" s="6">
        <f>IF(ISERROR(VLOOKUP($T$58,'TAR FIN'!$A$1:$O$120,15,0)),0,VLOOKUP($T$58,'TAR FIN'!$A$1:$O$120,15,0))</f>
        <v>0</v>
      </c>
      <c r="X58" s="6">
        <f>IF(ISERROR(VLOOKUP($U$58,'TAR FIN'!$A$1:$O$120,15,0)),0,VLOOKUP($U$58,'TAR FIN'!$A$1:$O$120,15,0))</f>
        <v>0</v>
      </c>
      <c r="Y58" s="6">
        <f ca="1">('TUSD BE'!$AM$16+'TUSD BF'!$AM$16+'TUSD CVA'!$AM$16)*1</f>
        <v>11.452356648653195</v>
      </c>
      <c r="Z58" s="6">
        <f ca="1">('TUSD BE'!$AM$17+'TUSD BF'!$AM$17+'TUSD CVA'!$AM$17)*1</f>
        <v>87.519361965254689</v>
      </c>
      <c r="AA58" s="6"/>
      <c r="AB58" s="6">
        <f t="shared" si="2"/>
        <v>0</v>
      </c>
      <c r="AC58" s="6">
        <f t="shared" si="3"/>
        <v>0</v>
      </c>
      <c r="AD58" s="6">
        <f t="shared" ca="1" si="4"/>
        <v>0</v>
      </c>
      <c r="AE58" s="6">
        <f t="shared" ca="1" si="5"/>
        <v>0</v>
      </c>
      <c r="AF58" s="4" t="s">
        <v>1150</v>
      </c>
    </row>
    <row r="59" spans="1:32" ht="11.25" customHeight="1" x14ac:dyDescent="0.25">
      <c r="A59" s="4" t="s">
        <v>21</v>
      </c>
      <c r="B59" s="4" t="s">
        <v>45</v>
      </c>
      <c r="C59" s="4" t="s">
        <v>41</v>
      </c>
      <c r="D59" s="4" t="s">
        <v>40</v>
      </c>
      <c r="E59" s="4" t="s">
        <v>25</v>
      </c>
      <c r="F59" s="4" t="s">
        <v>63</v>
      </c>
      <c r="G59" s="4" t="s">
        <v>25</v>
      </c>
      <c r="H59" s="4" t="s">
        <v>36</v>
      </c>
      <c r="I59" s="5">
        <v>44013</v>
      </c>
      <c r="J59" s="6">
        <v>3400</v>
      </c>
      <c r="K59" s="6">
        <v>3400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4" t="s">
        <v>60</v>
      </c>
      <c r="R59" s="4">
        <v>0</v>
      </c>
      <c r="S59" s="4">
        <v>12</v>
      </c>
      <c r="T59" s="4">
        <v>0</v>
      </c>
      <c r="U59" s="4">
        <v>0</v>
      </c>
      <c r="V59" s="6">
        <f>IF(ISERROR(VLOOKUP($S$59,'TAR FIN'!$A$1:$O$120,15,0)),0,VLOOKUP($S$59,'TAR FIN'!$A$1:$O$120,15,0))</f>
        <v>8.81</v>
      </c>
      <c r="W59" s="6">
        <f>IF(ISERROR(VLOOKUP($T$59,'TAR FIN'!$A$1:$O$120,15,0)),0,VLOOKUP($T$59,'TAR FIN'!$A$1:$O$120,15,0))</f>
        <v>0</v>
      </c>
      <c r="X59" s="6">
        <f>IF(ISERROR(VLOOKUP($U$59,'TAR FIN'!$A$1:$O$120,15,0)),0,VLOOKUP($U$59,'TAR FIN'!$A$1:$O$120,15,0))</f>
        <v>0</v>
      </c>
      <c r="Y59" s="6">
        <f ca="1">('TUSD BE'!$AM$16+'TUSD BF'!$AM$16+'TUSD CVA'!$AM$16)*1</f>
        <v>11.452356648653195</v>
      </c>
      <c r="Z59" s="6">
        <f ca="1">('TUSD BE'!$AM$17+'TUSD BF'!$AM$17+'TUSD CVA'!$AM$17)*1</f>
        <v>87.519361965254689</v>
      </c>
      <c r="AA59" s="6"/>
      <c r="AB59" s="6">
        <f t="shared" si="2"/>
        <v>0</v>
      </c>
      <c r="AC59" s="6">
        <f t="shared" si="3"/>
        <v>0</v>
      </c>
      <c r="AD59" s="6">
        <f t="shared" ca="1" si="4"/>
        <v>0</v>
      </c>
      <c r="AE59" s="6">
        <f t="shared" ca="1" si="5"/>
        <v>0</v>
      </c>
      <c r="AF59" s="4" t="s">
        <v>1150</v>
      </c>
    </row>
    <row r="60" spans="1:32" ht="11.25" customHeight="1" x14ac:dyDescent="0.25">
      <c r="A60" s="4" t="s">
        <v>21</v>
      </c>
      <c r="B60" s="4" t="s">
        <v>45</v>
      </c>
      <c r="C60" s="4" t="s">
        <v>41</v>
      </c>
      <c r="D60" s="4" t="s">
        <v>40</v>
      </c>
      <c r="E60" s="4" t="s">
        <v>25</v>
      </c>
      <c r="F60" s="4" t="s">
        <v>63</v>
      </c>
      <c r="G60" s="4" t="s">
        <v>25</v>
      </c>
      <c r="H60" s="4" t="s">
        <v>36</v>
      </c>
      <c r="I60" s="5">
        <v>44044</v>
      </c>
      <c r="J60" s="6">
        <v>3400</v>
      </c>
      <c r="K60" s="6">
        <v>3400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4" t="s">
        <v>60</v>
      </c>
      <c r="R60" s="4">
        <v>0</v>
      </c>
      <c r="S60" s="4">
        <v>12</v>
      </c>
      <c r="T60" s="4">
        <v>0</v>
      </c>
      <c r="U60" s="4">
        <v>0</v>
      </c>
      <c r="V60" s="6">
        <f>IF(ISERROR(VLOOKUP($S$60,'TAR FIN'!$A$1:$O$120,15,0)),0,VLOOKUP($S$60,'TAR FIN'!$A$1:$O$120,15,0))</f>
        <v>8.81</v>
      </c>
      <c r="W60" s="6">
        <f>IF(ISERROR(VLOOKUP($T$60,'TAR FIN'!$A$1:$O$120,15,0)),0,VLOOKUP($T$60,'TAR FIN'!$A$1:$O$120,15,0))</f>
        <v>0</v>
      </c>
      <c r="X60" s="6">
        <f>IF(ISERROR(VLOOKUP($U$60,'TAR FIN'!$A$1:$O$120,15,0)),0,VLOOKUP($U$60,'TAR FIN'!$A$1:$O$120,15,0))</f>
        <v>0</v>
      </c>
      <c r="Y60" s="6">
        <f ca="1">('TUSD BE'!$AM$16+'TUSD BF'!$AM$16+'TUSD CVA'!$AM$16)*1</f>
        <v>11.452356648653195</v>
      </c>
      <c r="Z60" s="6">
        <f ca="1">('TUSD BE'!$AM$17+'TUSD BF'!$AM$17+'TUSD CVA'!$AM$17)*1</f>
        <v>87.519361965254689</v>
      </c>
      <c r="AA60" s="6"/>
      <c r="AB60" s="6">
        <f t="shared" si="2"/>
        <v>0</v>
      </c>
      <c r="AC60" s="6">
        <f t="shared" si="3"/>
        <v>0</v>
      </c>
      <c r="AD60" s="6">
        <f t="shared" ca="1" si="4"/>
        <v>0</v>
      </c>
      <c r="AE60" s="6">
        <f t="shared" ca="1" si="5"/>
        <v>0</v>
      </c>
      <c r="AF60" s="4" t="s">
        <v>1150</v>
      </c>
    </row>
    <row r="61" spans="1:32" ht="11.25" customHeight="1" x14ac:dyDescent="0.25">
      <c r="A61" s="4" t="s">
        <v>59</v>
      </c>
      <c r="B61" s="4" t="s">
        <v>45</v>
      </c>
      <c r="C61" s="4" t="s">
        <v>41</v>
      </c>
      <c r="D61" s="4" t="s">
        <v>40</v>
      </c>
      <c r="E61" s="4" t="s">
        <v>25</v>
      </c>
      <c r="F61" s="4" t="s">
        <v>63</v>
      </c>
      <c r="G61" s="4" t="s">
        <v>25</v>
      </c>
      <c r="H61" s="4" t="s">
        <v>36</v>
      </c>
      <c r="I61" s="5">
        <v>44075</v>
      </c>
      <c r="J61" s="6">
        <v>3400</v>
      </c>
      <c r="K61" s="6">
        <v>3400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4" t="s">
        <v>60</v>
      </c>
      <c r="R61" s="4">
        <v>0</v>
      </c>
      <c r="S61" s="4">
        <v>12</v>
      </c>
      <c r="T61" s="4">
        <v>0</v>
      </c>
      <c r="U61" s="4">
        <v>0</v>
      </c>
      <c r="V61" s="6">
        <f>IF(ISERROR(VLOOKUP($S$61,'TAR FIN'!$A$1:$O$120,15,0)),0,VLOOKUP($S$61,'TAR FIN'!$A$1:$O$120,15,0))</f>
        <v>8.81</v>
      </c>
      <c r="W61" s="6">
        <f>IF(ISERROR(VLOOKUP($T$61,'TAR FIN'!$A$1:$O$120,15,0)),0,VLOOKUP($T$61,'TAR FIN'!$A$1:$O$120,15,0))</f>
        <v>0</v>
      </c>
      <c r="X61" s="6">
        <f>IF(ISERROR(VLOOKUP($U$61,'TAR FIN'!$A$1:$O$120,15,0)),0,VLOOKUP($U$61,'TAR FIN'!$A$1:$O$120,15,0))</f>
        <v>0</v>
      </c>
      <c r="Y61" s="6">
        <f ca="1">('TUSD BE'!$AM$16+'TUSD BF'!$AM$16+'TUSD CVA'!$AM$16)*1</f>
        <v>11.452356648653195</v>
      </c>
      <c r="Z61" s="6">
        <f ca="1">('TUSD BE'!$AM$17+'TUSD BF'!$AM$17+'TUSD CVA'!$AM$17)*1</f>
        <v>87.519361965254689</v>
      </c>
      <c r="AA61" s="6"/>
      <c r="AB61" s="6">
        <f t="shared" si="2"/>
        <v>0</v>
      </c>
      <c r="AC61" s="6">
        <f t="shared" si="3"/>
        <v>0</v>
      </c>
      <c r="AD61" s="6">
        <f t="shared" ca="1" si="4"/>
        <v>0</v>
      </c>
      <c r="AE61" s="6">
        <f t="shared" ca="1" si="5"/>
        <v>0</v>
      </c>
      <c r="AF61" s="4" t="s">
        <v>1150</v>
      </c>
    </row>
    <row r="62" spans="1:32" ht="11.25" customHeight="1" x14ac:dyDescent="0.25">
      <c r="A62" s="4" t="s">
        <v>21</v>
      </c>
      <c r="B62" s="4" t="s">
        <v>45</v>
      </c>
      <c r="C62" s="4" t="s">
        <v>41</v>
      </c>
      <c r="D62" s="4" t="s">
        <v>40</v>
      </c>
      <c r="E62" s="4" t="s">
        <v>25</v>
      </c>
      <c r="F62" s="4" t="s">
        <v>63</v>
      </c>
      <c r="G62" s="4" t="s">
        <v>25</v>
      </c>
      <c r="H62" s="4" t="s">
        <v>25</v>
      </c>
      <c r="I62" s="5">
        <v>43739</v>
      </c>
      <c r="J62" s="6">
        <v>0</v>
      </c>
      <c r="K62" s="6">
        <v>0</v>
      </c>
      <c r="L62" s="6">
        <v>1071.8520000000001</v>
      </c>
      <c r="M62" s="6">
        <v>1071.8520000000001</v>
      </c>
      <c r="N62" s="6">
        <v>0</v>
      </c>
      <c r="O62" s="6">
        <v>0</v>
      </c>
      <c r="P62" s="6">
        <v>1</v>
      </c>
      <c r="Q62" s="4" t="s">
        <v>60</v>
      </c>
      <c r="R62" s="4">
        <v>0</v>
      </c>
      <c r="S62" s="4">
        <v>0</v>
      </c>
      <c r="T62" s="4">
        <v>13</v>
      </c>
      <c r="U62" s="4">
        <v>0</v>
      </c>
      <c r="V62" s="6">
        <f>IF(ISERROR(VLOOKUP($S$62,'TAR FIN'!$A$1:$O$120,15,0)),0,VLOOKUP($S$62,'TAR FIN'!$A$1:$O$120,15,0))</f>
        <v>0</v>
      </c>
      <c r="W62" s="6">
        <f>IF(ISERROR(VLOOKUP($T$62,'TAR FIN'!$A$1:$O$120,15,0)),0,VLOOKUP($T$62,'TAR FIN'!$A$1:$O$120,15,0))</f>
        <v>84.45</v>
      </c>
      <c r="X62" s="6">
        <f>IF(ISERROR(VLOOKUP($U$62,'TAR FIN'!$A$1:$O$120,15,0)),0,VLOOKUP($U$62,'TAR FIN'!$A$1:$O$120,15,0))</f>
        <v>0</v>
      </c>
      <c r="Y62" s="6"/>
      <c r="Z62" s="6">
        <f ca="1">('TUSD BE'!$AM$17+'TUSD BF'!$AM$17+'TUSD CVA'!$AM$17)*1</f>
        <v>87.519361965254689</v>
      </c>
      <c r="AA62" s="6"/>
      <c r="AB62" s="6">
        <f t="shared" si="2"/>
        <v>0</v>
      </c>
      <c r="AC62" s="6">
        <f t="shared" si="3"/>
        <v>0</v>
      </c>
      <c r="AD62" s="6">
        <f t="shared" si="4"/>
        <v>0</v>
      </c>
      <c r="AE62" s="6">
        <f t="shared" ca="1" si="5"/>
        <v>0</v>
      </c>
      <c r="AF62" s="4" t="s">
        <v>1150</v>
      </c>
    </row>
    <row r="63" spans="1:32" ht="11.25" customHeight="1" x14ac:dyDescent="0.25">
      <c r="A63" s="4" t="s">
        <v>21</v>
      </c>
      <c r="B63" s="4" t="s">
        <v>45</v>
      </c>
      <c r="C63" s="4" t="s">
        <v>41</v>
      </c>
      <c r="D63" s="4" t="s">
        <v>40</v>
      </c>
      <c r="E63" s="4" t="s">
        <v>25</v>
      </c>
      <c r="F63" s="4" t="s">
        <v>63</v>
      </c>
      <c r="G63" s="4" t="s">
        <v>25</v>
      </c>
      <c r="H63" s="4" t="s">
        <v>25</v>
      </c>
      <c r="I63" s="5">
        <v>43770</v>
      </c>
      <c r="J63" s="6">
        <v>0</v>
      </c>
      <c r="K63" s="6">
        <v>0</v>
      </c>
      <c r="L63" s="6">
        <v>1063.0340000000001</v>
      </c>
      <c r="M63" s="6">
        <v>1063.0340000000001</v>
      </c>
      <c r="N63" s="6">
        <v>0</v>
      </c>
      <c r="O63" s="6">
        <v>0</v>
      </c>
      <c r="P63" s="6">
        <v>1</v>
      </c>
      <c r="Q63" s="4" t="s">
        <v>60</v>
      </c>
      <c r="R63" s="4">
        <v>0</v>
      </c>
      <c r="S63" s="4">
        <v>0</v>
      </c>
      <c r="T63" s="4">
        <v>13</v>
      </c>
      <c r="U63" s="4">
        <v>0</v>
      </c>
      <c r="V63" s="6">
        <f>IF(ISERROR(VLOOKUP($S$63,'TAR FIN'!$A$1:$O$120,15,0)),0,VLOOKUP($S$63,'TAR FIN'!$A$1:$O$120,15,0))</f>
        <v>0</v>
      </c>
      <c r="W63" s="6">
        <f>IF(ISERROR(VLOOKUP($T$63,'TAR FIN'!$A$1:$O$120,15,0)),0,VLOOKUP($T$63,'TAR FIN'!$A$1:$O$120,15,0))</f>
        <v>84.45</v>
      </c>
      <c r="X63" s="6">
        <f>IF(ISERROR(VLOOKUP($U$63,'TAR FIN'!$A$1:$O$120,15,0)),0,VLOOKUP($U$63,'TAR FIN'!$A$1:$O$120,15,0))</f>
        <v>0</v>
      </c>
      <c r="Y63" s="6"/>
      <c r="Z63" s="6">
        <f ca="1">('TUSD BE'!$AM$17+'TUSD BF'!$AM$17+'TUSD CVA'!$AM$17)*1</f>
        <v>87.519361965254689</v>
      </c>
      <c r="AA63" s="6"/>
      <c r="AB63" s="6">
        <f t="shared" si="2"/>
        <v>0</v>
      </c>
      <c r="AC63" s="6">
        <f t="shared" si="3"/>
        <v>0</v>
      </c>
      <c r="AD63" s="6">
        <f t="shared" si="4"/>
        <v>0</v>
      </c>
      <c r="AE63" s="6">
        <f t="shared" ca="1" si="5"/>
        <v>0</v>
      </c>
      <c r="AF63" s="4" t="s">
        <v>1150</v>
      </c>
    </row>
    <row r="64" spans="1:32" ht="11.25" customHeight="1" x14ac:dyDescent="0.25">
      <c r="A64" s="4" t="s">
        <v>21</v>
      </c>
      <c r="B64" s="4" t="s">
        <v>45</v>
      </c>
      <c r="C64" s="4" t="s">
        <v>41</v>
      </c>
      <c r="D64" s="4" t="s">
        <v>40</v>
      </c>
      <c r="E64" s="4" t="s">
        <v>25</v>
      </c>
      <c r="F64" s="4" t="s">
        <v>63</v>
      </c>
      <c r="G64" s="4" t="s">
        <v>25</v>
      </c>
      <c r="H64" s="4" t="s">
        <v>25</v>
      </c>
      <c r="I64" s="5">
        <v>43800</v>
      </c>
      <c r="J64" s="6">
        <v>0</v>
      </c>
      <c r="K64" s="6">
        <v>0</v>
      </c>
      <c r="L64" s="6">
        <v>1100.308</v>
      </c>
      <c r="M64" s="6">
        <v>1100.308</v>
      </c>
      <c r="N64" s="6">
        <v>0</v>
      </c>
      <c r="O64" s="6">
        <v>0</v>
      </c>
      <c r="P64" s="6">
        <v>1</v>
      </c>
      <c r="Q64" s="4" t="s">
        <v>60</v>
      </c>
      <c r="R64" s="4">
        <v>0</v>
      </c>
      <c r="S64" s="4">
        <v>0</v>
      </c>
      <c r="T64" s="4">
        <v>13</v>
      </c>
      <c r="U64" s="4">
        <v>0</v>
      </c>
      <c r="V64" s="6">
        <f>IF(ISERROR(VLOOKUP($S$64,'TAR FIN'!$A$1:$O$120,15,0)),0,VLOOKUP($S$64,'TAR FIN'!$A$1:$O$120,15,0))</f>
        <v>0</v>
      </c>
      <c r="W64" s="6">
        <f>IF(ISERROR(VLOOKUP($T$64,'TAR FIN'!$A$1:$O$120,15,0)),0,VLOOKUP($T$64,'TAR FIN'!$A$1:$O$120,15,0))</f>
        <v>84.45</v>
      </c>
      <c r="X64" s="6">
        <f>IF(ISERROR(VLOOKUP($U$64,'TAR FIN'!$A$1:$O$120,15,0)),0,VLOOKUP($U$64,'TAR FIN'!$A$1:$O$120,15,0))</f>
        <v>0</v>
      </c>
      <c r="Y64" s="6"/>
      <c r="Z64" s="6">
        <f ca="1">('TUSD BE'!$AM$17+'TUSD BF'!$AM$17+'TUSD CVA'!$AM$17)*1</f>
        <v>87.519361965254689</v>
      </c>
      <c r="AA64" s="6"/>
      <c r="AB64" s="6">
        <f t="shared" si="2"/>
        <v>0</v>
      </c>
      <c r="AC64" s="6">
        <f t="shared" si="3"/>
        <v>0</v>
      </c>
      <c r="AD64" s="6">
        <f t="shared" si="4"/>
        <v>0</v>
      </c>
      <c r="AE64" s="6">
        <f t="shared" ca="1" si="5"/>
        <v>0</v>
      </c>
      <c r="AF64" s="4" t="s">
        <v>1150</v>
      </c>
    </row>
    <row r="65" spans="1:32" ht="11.25" customHeight="1" x14ac:dyDescent="0.25">
      <c r="A65" s="4" t="s">
        <v>21</v>
      </c>
      <c r="B65" s="4" t="s">
        <v>45</v>
      </c>
      <c r="C65" s="4" t="s">
        <v>41</v>
      </c>
      <c r="D65" s="4" t="s">
        <v>40</v>
      </c>
      <c r="E65" s="4" t="s">
        <v>25</v>
      </c>
      <c r="F65" s="4" t="s">
        <v>63</v>
      </c>
      <c r="G65" s="4" t="s">
        <v>25</v>
      </c>
      <c r="H65" s="4" t="s">
        <v>25</v>
      </c>
      <c r="I65" s="5">
        <v>43831</v>
      </c>
      <c r="J65" s="6">
        <v>0</v>
      </c>
      <c r="K65" s="6">
        <v>0</v>
      </c>
      <c r="L65" s="6">
        <v>1052.951</v>
      </c>
      <c r="M65" s="6">
        <v>1052.951</v>
      </c>
      <c r="N65" s="6">
        <v>0</v>
      </c>
      <c r="O65" s="6">
        <v>0</v>
      </c>
      <c r="P65" s="6">
        <v>1</v>
      </c>
      <c r="Q65" s="4" t="s">
        <v>60</v>
      </c>
      <c r="R65" s="4">
        <v>0</v>
      </c>
      <c r="S65" s="4">
        <v>0</v>
      </c>
      <c r="T65" s="4">
        <v>13</v>
      </c>
      <c r="U65" s="4">
        <v>0</v>
      </c>
      <c r="V65" s="6">
        <f>IF(ISERROR(VLOOKUP($S$65,'TAR FIN'!$A$1:$O$120,15,0)),0,VLOOKUP($S$65,'TAR FIN'!$A$1:$O$120,15,0))</f>
        <v>0</v>
      </c>
      <c r="W65" s="6">
        <f>IF(ISERROR(VLOOKUP($T$65,'TAR FIN'!$A$1:$O$120,15,0)),0,VLOOKUP($T$65,'TAR FIN'!$A$1:$O$120,15,0))</f>
        <v>84.45</v>
      </c>
      <c r="X65" s="6">
        <f>IF(ISERROR(VLOOKUP($U$65,'TAR FIN'!$A$1:$O$120,15,0)),0,VLOOKUP($U$65,'TAR FIN'!$A$1:$O$120,15,0))</f>
        <v>0</v>
      </c>
      <c r="Y65" s="6"/>
      <c r="Z65" s="6">
        <f ca="1">('TUSD BE'!$AM$17+'TUSD BF'!$AM$17+'TUSD CVA'!$AM$17)*1</f>
        <v>87.519361965254689</v>
      </c>
      <c r="AA65" s="6"/>
      <c r="AB65" s="6">
        <f t="shared" si="2"/>
        <v>0</v>
      </c>
      <c r="AC65" s="6">
        <f t="shared" si="3"/>
        <v>0</v>
      </c>
      <c r="AD65" s="6">
        <f t="shared" si="4"/>
        <v>0</v>
      </c>
      <c r="AE65" s="6">
        <f t="shared" ca="1" si="5"/>
        <v>0</v>
      </c>
      <c r="AF65" s="4" t="s">
        <v>1150</v>
      </c>
    </row>
    <row r="66" spans="1:32" ht="11.25" customHeight="1" x14ac:dyDescent="0.25">
      <c r="A66" s="4" t="s">
        <v>21</v>
      </c>
      <c r="B66" s="4" t="s">
        <v>45</v>
      </c>
      <c r="C66" s="4" t="s">
        <v>41</v>
      </c>
      <c r="D66" s="4" t="s">
        <v>40</v>
      </c>
      <c r="E66" s="4" t="s">
        <v>25</v>
      </c>
      <c r="F66" s="4" t="s">
        <v>63</v>
      </c>
      <c r="G66" s="4" t="s">
        <v>25</v>
      </c>
      <c r="H66" s="4" t="s">
        <v>25</v>
      </c>
      <c r="I66" s="5">
        <v>43862</v>
      </c>
      <c r="J66" s="6">
        <v>0</v>
      </c>
      <c r="K66" s="6">
        <v>0</v>
      </c>
      <c r="L66" s="6">
        <v>967.19500000000005</v>
      </c>
      <c r="M66" s="6">
        <v>967.19500000000005</v>
      </c>
      <c r="N66" s="6">
        <v>0</v>
      </c>
      <c r="O66" s="6">
        <v>0</v>
      </c>
      <c r="P66" s="6">
        <v>1</v>
      </c>
      <c r="Q66" s="4" t="s">
        <v>60</v>
      </c>
      <c r="R66" s="4">
        <v>0</v>
      </c>
      <c r="S66" s="4">
        <v>0</v>
      </c>
      <c r="T66" s="4">
        <v>13</v>
      </c>
      <c r="U66" s="4">
        <v>0</v>
      </c>
      <c r="V66" s="6">
        <f>IF(ISERROR(VLOOKUP($S$66,'TAR FIN'!$A$1:$O$120,15,0)),0,VLOOKUP($S$66,'TAR FIN'!$A$1:$O$120,15,0))</f>
        <v>0</v>
      </c>
      <c r="W66" s="6">
        <f>IF(ISERROR(VLOOKUP($T$66,'TAR FIN'!$A$1:$O$120,15,0)),0,VLOOKUP($T$66,'TAR FIN'!$A$1:$O$120,15,0))</f>
        <v>84.45</v>
      </c>
      <c r="X66" s="6">
        <f>IF(ISERROR(VLOOKUP($U$66,'TAR FIN'!$A$1:$O$120,15,0)),0,VLOOKUP($U$66,'TAR FIN'!$A$1:$O$120,15,0))</f>
        <v>0</v>
      </c>
      <c r="Y66" s="6"/>
      <c r="Z66" s="6">
        <f ca="1">('TUSD BE'!$AM$17+'TUSD BF'!$AM$17+'TUSD CVA'!$AM$17)*1</f>
        <v>87.519361965254689</v>
      </c>
      <c r="AA66" s="6"/>
      <c r="AB66" s="6">
        <f t="shared" ref="AB66:AB129" si="6">(J66-K66)*V66</f>
        <v>0</v>
      </c>
      <c r="AC66" s="6">
        <f t="shared" ref="AC66:AC129" si="7">(L66-M66)*W66+(N66-O66)*X66</f>
        <v>0</v>
      </c>
      <c r="AD66" s="6">
        <f t="shared" ref="AD66:AD129" si="8">(J66-K66)*Y66</f>
        <v>0</v>
      </c>
      <c r="AE66" s="6">
        <f t="shared" ref="AE66:AE129" ca="1" si="9">(L66-M66)*Z66+(N66-O66)*AA66</f>
        <v>0</v>
      </c>
      <c r="AF66" s="4" t="s">
        <v>1150</v>
      </c>
    </row>
    <row r="67" spans="1:32" ht="11.25" customHeight="1" x14ac:dyDescent="0.25">
      <c r="A67" s="4" t="s">
        <v>21</v>
      </c>
      <c r="B67" s="4" t="s">
        <v>45</v>
      </c>
      <c r="C67" s="4" t="s">
        <v>41</v>
      </c>
      <c r="D67" s="4" t="s">
        <v>40</v>
      </c>
      <c r="E67" s="4" t="s">
        <v>25</v>
      </c>
      <c r="F67" s="4" t="s">
        <v>63</v>
      </c>
      <c r="G67" s="4" t="s">
        <v>25</v>
      </c>
      <c r="H67" s="4" t="s">
        <v>25</v>
      </c>
      <c r="I67" s="5">
        <v>43891</v>
      </c>
      <c r="J67" s="6">
        <v>0</v>
      </c>
      <c r="K67" s="6">
        <v>0</v>
      </c>
      <c r="L67" s="6">
        <v>714.73500000000001</v>
      </c>
      <c r="M67" s="6">
        <v>714.73500000000001</v>
      </c>
      <c r="N67" s="6">
        <v>0</v>
      </c>
      <c r="O67" s="6">
        <v>0</v>
      </c>
      <c r="P67" s="6">
        <v>1</v>
      </c>
      <c r="Q67" s="4" t="s">
        <v>60</v>
      </c>
      <c r="R67" s="4">
        <v>0</v>
      </c>
      <c r="S67" s="4">
        <v>0</v>
      </c>
      <c r="T67" s="4">
        <v>13</v>
      </c>
      <c r="U67" s="4">
        <v>0</v>
      </c>
      <c r="V67" s="6">
        <f>IF(ISERROR(VLOOKUP($S$67,'TAR FIN'!$A$1:$O$120,15,0)),0,VLOOKUP($S$67,'TAR FIN'!$A$1:$O$120,15,0))</f>
        <v>0</v>
      </c>
      <c r="W67" s="6">
        <f>IF(ISERROR(VLOOKUP($T$67,'TAR FIN'!$A$1:$O$120,15,0)),0,VLOOKUP($T$67,'TAR FIN'!$A$1:$O$120,15,0))</f>
        <v>84.45</v>
      </c>
      <c r="X67" s="6">
        <f>IF(ISERROR(VLOOKUP($U$67,'TAR FIN'!$A$1:$O$120,15,0)),0,VLOOKUP($U$67,'TAR FIN'!$A$1:$O$120,15,0))</f>
        <v>0</v>
      </c>
      <c r="Y67" s="6"/>
      <c r="Z67" s="6">
        <f ca="1">('TUSD BE'!$AM$17+'TUSD BF'!$AM$17+'TUSD CVA'!$AM$17)*1</f>
        <v>87.519361965254689</v>
      </c>
      <c r="AA67" s="6"/>
      <c r="AB67" s="6">
        <f t="shared" si="6"/>
        <v>0</v>
      </c>
      <c r="AC67" s="6">
        <f t="shared" si="7"/>
        <v>0</v>
      </c>
      <c r="AD67" s="6">
        <f t="shared" si="8"/>
        <v>0</v>
      </c>
      <c r="AE67" s="6">
        <f t="shared" ca="1" si="9"/>
        <v>0</v>
      </c>
      <c r="AF67" s="4" t="s">
        <v>1150</v>
      </c>
    </row>
    <row r="68" spans="1:32" ht="11.25" customHeight="1" x14ac:dyDescent="0.25">
      <c r="A68" s="4" t="s">
        <v>21</v>
      </c>
      <c r="B68" s="4" t="s">
        <v>45</v>
      </c>
      <c r="C68" s="4" t="s">
        <v>41</v>
      </c>
      <c r="D68" s="4" t="s">
        <v>40</v>
      </c>
      <c r="E68" s="4" t="s">
        <v>25</v>
      </c>
      <c r="F68" s="4" t="s">
        <v>63</v>
      </c>
      <c r="G68" s="4" t="s">
        <v>25</v>
      </c>
      <c r="H68" s="4" t="s">
        <v>25</v>
      </c>
      <c r="I68" s="5">
        <v>43922</v>
      </c>
      <c r="J68" s="6">
        <v>0</v>
      </c>
      <c r="K68" s="6">
        <v>0</v>
      </c>
      <c r="L68" s="6">
        <v>290.52100000000002</v>
      </c>
      <c r="M68" s="6">
        <v>290.52100000000002</v>
      </c>
      <c r="N68" s="6">
        <v>0</v>
      </c>
      <c r="O68" s="6">
        <v>0</v>
      </c>
      <c r="P68" s="6">
        <v>1</v>
      </c>
      <c r="Q68" s="4" t="s">
        <v>60</v>
      </c>
      <c r="R68" s="4">
        <v>0</v>
      </c>
      <c r="S68" s="4">
        <v>0</v>
      </c>
      <c r="T68" s="4">
        <v>13</v>
      </c>
      <c r="U68" s="4">
        <v>0</v>
      </c>
      <c r="V68" s="6">
        <f>IF(ISERROR(VLOOKUP($S$68,'TAR FIN'!$A$1:$O$120,15,0)),0,VLOOKUP($S$68,'TAR FIN'!$A$1:$O$120,15,0))</f>
        <v>0</v>
      </c>
      <c r="W68" s="6">
        <f>IF(ISERROR(VLOOKUP($T$68,'TAR FIN'!$A$1:$O$120,15,0)),0,VLOOKUP($T$68,'TAR FIN'!$A$1:$O$120,15,0))</f>
        <v>84.45</v>
      </c>
      <c r="X68" s="6">
        <f>IF(ISERROR(VLOOKUP($U$68,'TAR FIN'!$A$1:$O$120,15,0)),0,VLOOKUP($U$68,'TAR FIN'!$A$1:$O$120,15,0))</f>
        <v>0</v>
      </c>
      <c r="Y68" s="6"/>
      <c r="Z68" s="6">
        <f ca="1">('TUSD BE'!$AM$17+'TUSD BF'!$AM$17+'TUSD CVA'!$AM$17)*1</f>
        <v>87.519361965254689</v>
      </c>
      <c r="AA68" s="6"/>
      <c r="AB68" s="6">
        <f t="shared" si="6"/>
        <v>0</v>
      </c>
      <c r="AC68" s="6">
        <f t="shared" si="7"/>
        <v>0</v>
      </c>
      <c r="AD68" s="6">
        <f t="shared" si="8"/>
        <v>0</v>
      </c>
      <c r="AE68" s="6">
        <f t="shared" ca="1" si="9"/>
        <v>0</v>
      </c>
      <c r="AF68" s="4" t="s">
        <v>1150</v>
      </c>
    </row>
    <row r="69" spans="1:32" ht="11.25" customHeight="1" x14ac:dyDescent="0.25">
      <c r="A69" s="4" t="s">
        <v>21</v>
      </c>
      <c r="B69" s="4" t="s">
        <v>45</v>
      </c>
      <c r="C69" s="4" t="s">
        <v>41</v>
      </c>
      <c r="D69" s="4" t="s">
        <v>40</v>
      </c>
      <c r="E69" s="4" t="s">
        <v>25</v>
      </c>
      <c r="F69" s="4" t="s">
        <v>63</v>
      </c>
      <c r="G69" s="4" t="s">
        <v>25</v>
      </c>
      <c r="H69" s="4" t="s">
        <v>25</v>
      </c>
      <c r="I69" s="5">
        <v>43952</v>
      </c>
      <c r="J69" s="6">
        <v>0</v>
      </c>
      <c r="K69" s="6">
        <v>0</v>
      </c>
      <c r="L69" s="6">
        <v>385.88499999999999</v>
      </c>
      <c r="M69" s="6">
        <v>385.88499999999999</v>
      </c>
      <c r="N69" s="6">
        <v>0</v>
      </c>
      <c r="O69" s="6">
        <v>0</v>
      </c>
      <c r="P69" s="6">
        <v>1</v>
      </c>
      <c r="Q69" s="4" t="s">
        <v>60</v>
      </c>
      <c r="R69" s="4">
        <v>0</v>
      </c>
      <c r="S69" s="4">
        <v>0</v>
      </c>
      <c r="T69" s="4">
        <v>13</v>
      </c>
      <c r="U69" s="4">
        <v>0</v>
      </c>
      <c r="V69" s="6">
        <f>IF(ISERROR(VLOOKUP($S$69,'TAR FIN'!$A$1:$O$120,15,0)),0,VLOOKUP($S$69,'TAR FIN'!$A$1:$O$120,15,0))</f>
        <v>0</v>
      </c>
      <c r="W69" s="6">
        <f>IF(ISERROR(VLOOKUP($T$69,'TAR FIN'!$A$1:$O$120,15,0)),0,VLOOKUP($T$69,'TAR FIN'!$A$1:$O$120,15,0))</f>
        <v>84.45</v>
      </c>
      <c r="X69" s="6">
        <f>IF(ISERROR(VLOOKUP($U$69,'TAR FIN'!$A$1:$O$120,15,0)),0,VLOOKUP($U$69,'TAR FIN'!$A$1:$O$120,15,0))</f>
        <v>0</v>
      </c>
      <c r="Y69" s="6"/>
      <c r="Z69" s="6">
        <f ca="1">('TUSD BE'!$AM$17+'TUSD BF'!$AM$17+'TUSD CVA'!$AM$17)*1</f>
        <v>87.519361965254689</v>
      </c>
      <c r="AA69" s="6"/>
      <c r="AB69" s="6">
        <f t="shared" si="6"/>
        <v>0</v>
      </c>
      <c r="AC69" s="6">
        <f t="shared" si="7"/>
        <v>0</v>
      </c>
      <c r="AD69" s="6">
        <f t="shared" si="8"/>
        <v>0</v>
      </c>
      <c r="AE69" s="6">
        <f t="shared" ca="1" si="9"/>
        <v>0</v>
      </c>
      <c r="AF69" s="4" t="s">
        <v>1150</v>
      </c>
    </row>
    <row r="70" spans="1:32" ht="11.25" customHeight="1" x14ac:dyDescent="0.25">
      <c r="A70" s="4" t="s">
        <v>21</v>
      </c>
      <c r="B70" s="4" t="s">
        <v>45</v>
      </c>
      <c r="C70" s="4" t="s">
        <v>41</v>
      </c>
      <c r="D70" s="4" t="s">
        <v>40</v>
      </c>
      <c r="E70" s="4" t="s">
        <v>25</v>
      </c>
      <c r="F70" s="4" t="s">
        <v>63</v>
      </c>
      <c r="G70" s="4" t="s">
        <v>25</v>
      </c>
      <c r="H70" s="4" t="s">
        <v>25</v>
      </c>
      <c r="I70" s="5">
        <v>43983</v>
      </c>
      <c r="J70" s="6">
        <v>0</v>
      </c>
      <c r="K70" s="6">
        <v>0</v>
      </c>
      <c r="L70" s="6">
        <v>385.88499999999999</v>
      </c>
      <c r="M70" s="6">
        <v>385.88499999999999</v>
      </c>
      <c r="N70" s="6">
        <v>0</v>
      </c>
      <c r="O70" s="6">
        <v>0</v>
      </c>
      <c r="P70" s="6">
        <v>1</v>
      </c>
      <c r="Q70" s="4" t="s">
        <v>60</v>
      </c>
      <c r="R70" s="4">
        <v>0</v>
      </c>
      <c r="S70" s="4">
        <v>0</v>
      </c>
      <c r="T70" s="4">
        <v>13</v>
      </c>
      <c r="U70" s="4">
        <v>0</v>
      </c>
      <c r="V70" s="6">
        <f>IF(ISERROR(VLOOKUP($S$70,'TAR FIN'!$A$1:$O$120,15,0)),0,VLOOKUP($S$70,'TAR FIN'!$A$1:$O$120,15,0))</f>
        <v>0</v>
      </c>
      <c r="W70" s="6">
        <f>IF(ISERROR(VLOOKUP($T$70,'TAR FIN'!$A$1:$O$120,15,0)),0,VLOOKUP($T$70,'TAR FIN'!$A$1:$O$120,15,0))</f>
        <v>84.45</v>
      </c>
      <c r="X70" s="6">
        <f>IF(ISERROR(VLOOKUP($U$70,'TAR FIN'!$A$1:$O$120,15,0)),0,VLOOKUP($U$70,'TAR FIN'!$A$1:$O$120,15,0))</f>
        <v>0</v>
      </c>
      <c r="Y70" s="6"/>
      <c r="Z70" s="6">
        <f ca="1">('TUSD BE'!$AM$17+'TUSD BF'!$AM$17+'TUSD CVA'!$AM$17)*1</f>
        <v>87.519361965254689</v>
      </c>
      <c r="AA70" s="6"/>
      <c r="AB70" s="6">
        <f t="shared" si="6"/>
        <v>0</v>
      </c>
      <c r="AC70" s="6">
        <f t="shared" si="7"/>
        <v>0</v>
      </c>
      <c r="AD70" s="6">
        <f t="shared" si="8"/>
        <v>0</v>
      </c>
      <c r="AE70" s="6">
        <f t="shared" ca="1" si="9"/>
        <v>0</v>
      </c>
      <c r="AF70" s="4" t="s">
        <v>1150</v>
      </c>
    </row>
    <row r="71" spans="1:32" ht="11.25" customHeight="1" x14ac:dyDescent="0.25">
      <c r="A71" s="4" t="s">
        <v>21</v>
      </c>
      <c r="B71" s="4" t="s">
        <v>45</v>
      </c>
      <c r="C71" s="4" t="s">
        <v>41</v>
      </c>
      <c r="D71" s="4" t="s">
        <v>40</v>
      </c>
      <c r="E71" s="4" t="s">
        <v>25</v>
      </c>
      <c r="F71" s="4" t="s">
        <v>63</v>
      </c>
      <c r="G71" s="4" t="s">
        <v>25</v>
      </c>
      <c r="H71" s="4" t="s">
        <v>25</v>
      </c>
      <c r="I71" s="5">
        <v>44013</v>
      </c>
      <c r="J71" s="6">
        <v>0</v>
      </c>
      <c r="K71" s="6">
        <v>0</v>
      </c>
      <c r="L71" s="6">
        <v>887.96100000000001</v>
      </c>
      <c r="M71" s="6">
        <v>887.96100000000001</v>
      </c>
      <c r="N71" s="6">
        <v>0</v>
      </c>
      <c r="O71" s="6">
        <v>0</v>
      </c>
      <c r="P71" s="6">
        <v>1</v>
      </c>
      <c r="Q71" s="4" t="s">
        <v>60</v>
      </c>
      <c r="R71" s="4">
        <v>0</v>
      </c>
      <c r="S71" s="4">
        <v>0</v>
      </c>
      <c r="T71" s="4">
        <v>13</v>
      </c>
      <c r="U71" s="4">
        <v>0</v>
      </c>
      <c r="V71" s="6">
        <f>IF(ISERROR(VLOOKUP($S$71,'TAR FIN'!$A$1:$O$120,15,0)),0,VLOOKUP($S$71,'TAR FIN'!$A$1:$O$120,15,0))</f>
        <v>0</v>
      </c>
      <c r="W71" s="6">
        <f>IF(ISERROR(VLOOKUP($T$71,'TAR FIN'!$A$1:$O$120,15,0)),0,VLOOKUP($T$71,'TAR FIN'!$A$1:$O$120,15,0))</f>
        <v>84.45</v>
      </c>
      <c r="X71" s="6">
        <f>IF(ISERROR(VLOOKUP($U$71,'TAR FIN'!$A$1:$O$120,15,0)),0,VLOOKUP($U$71,'TAR FIN'!$A$1:$O$120,15,0))</f>
        <v>0</v>
      </c>
      <c r="Y71" s="6"/>
      <c r="Z71" s="6">
        <f ca="1">('TUSD BE'!$AM$17+'TUSD BF'!$AM$17+'TUSD CVA'!$AM$17)*1</f>
        <v>87.519361965254689</v>
      </c>
      <c r="AA71" s="6"/>
      <c r="AB71" s="6">
        <f t="shared" si="6"/>
        <v>0</v>
      </c>
      <c r="AC71" s="6">
        <f t="shared" si="7"/>
        <v>0</v>
      </c>
      <c r="AD71" s="6">
        <f t="shared" si="8"/>
        <v>0</v>
      </c>
      <c r="AE71" s="6">
        <f t="shared" ca="1" si="9"/>
        <v>0</v>
      </c>
      <c r="AF71" s="4" t="s">
        <v>1150</v>
      </c>
    </row>
    <row r="72" spans="1:32" ht="11.25" customHeight="1" x14ac:dyDescent="0.25">
      <c r="A72" s="4" t="s">
        <v>21</v>
      </c>
      <c r="B72" s="4" t="s">
        <v>45</v>
      </c>
      <c r="C72" s="4" t="s">
        <v>41</v>
      </c>
      <c r="D72" s="4" t="s">
        <v>40</v>
      </c>
      <c r="E72" s="4" t="s">
        <v>25</v>
      </c>
      <c r="F72" s="4" t="s">
        <v>63</v>
      </c>
      <c r="G72" s="4" t="s">
        <v>25</v>
      </c>
      <c r="H72" s="4" t="s">
        <v>25</v>
      </c>
      <c r="I72" s="5">
        <v>44044</v>
      </c>
      <c r="J72" s="6">
        <v>0</v>
      </c>
      <c r="K72" s="6">
        <v>0</v>
      </c>
      <c r="L72" s="6">
        <v>729.46400000000006</v>
      </c>
      <c r="M72" s="6">
        <v>729.46400000000006</v>
      </c>
      <c r="N72" s="6">
        <v>0</v>
      </c>
      <c r="O72" s="6">
        <v>0</v>
      </c>
      <c r="P72" s="6">
        <v>1</v>
      </c>
      <c r="Q72" s="4" t="s">
        <v>60</v>
      </c>
      <c r="R72" s="4">
        <v>0</v>
      </c>
      <c r="S72" s="4">
        <v>0</v>
      </c>
      <c r="T72" s="4">
        <v>13</v>
      </c>
      <c r="U72" s="4">
        <v>0</v>
      </c>
      <c r="V72" s="6">
        <f>IF(ISERROR(VLOOKUP($S$72,'TAR FIN'!$A$1:$O$120,15,0)),0,VLOOKUP($S$72,'TAR FIN'!$A$1:$O$120,15,0))</f>
        <v>0</v>
      </c>
      <c r="W72" s="6">
        <f>IF(ISERROR(VLOOKUP($T$72,'TAR FIN'!$A$1:$O$120,15,0)),0,VLOOKUP($T$72,'TAR FIN'!$A$1:$O$120,15,0))</f>
        <v>84.45</v>
      </c>
      <c r="X72" s="6">
        <f>IF(ISERROR(VLOOKUP($U$72,'TAR FIN'!$A$1:$O$120,15,0)),0,VLOOKUP($U$72,'TAR FIN'!$A$1:$O$120,15,0))</f>
        <v>0</v>
      </c>
      <c r="Y72" s="6"/>
      <c r="Z72" s="6">
        <f ca="1">('TUSD BE'!$AM$17+'TUSD BF'!$AM$17+'TUSD CVA'!$AM$17)*1</f>
        <v>87.519361965254689</v>
      </c>
      <c r="AA72" s="6"/>
      <c r="AB72" s="6">
        <f t="shared" si="6"/>
        <v>0</v>
      </c>
      <c r="AC72" s="6">
        <f t="shared" si="7"/>
        <v>0</v>
      </c>
      <c r="AD72" s="6">
        <f t="shared" si="8"/>
        <v>0</v>
      </c>
      <c r="AE72" s="6">
        <f t="shared" ca="1" si="9"/>
        <v>0</v>
      </c>
      <c r="AF72" s="4" t="s">
        <v>1150</v>
      </c>
    </row>
    <row r="73" spans="1:32" ht="11.25" customHeight="1" x14ac:dyDescent="0.25">
      <c r="A73" s="4" t="s">
        <v>59</v>
      </c>
      <c r="B73" s="4" t="s">
        <v>45</v>
      </c>
      <c r="C73" s="4" t="s">
        <v>41</v>
      </c>
      <c r="D73" s="4" t="s">
        <v>40</v>
      </c>
      <c r="E73" s="4" t="s">
        <v>25</v>
      </c>
      <c r="F73" s="4" t="s">
        <v>63</v>
      </c>
      <c r="G73" s="4" t="s">
        <v>25</v>
      </c>
      <c r="H73" s="4" t="s">
        <v>25</v>
      </c>
      <c r="I73" s="5">
        <v>44075</v>
      </c>
      <c r="J73" s="6">
        <v>0</v>
      </c>
      <c r="K73" s="6">
        <v>0</v>
      </c>
      <c r="L73" s="6">
        <v>729.46400000000006</v>
      </c>
      <c r="M73" s="6">
        <v>729.46400000000006</v>
      </c>
      <c r="N73" s="6">
        <v>0</v>
      </c>
      <c r="O73" s="6">
        <v>0</v>
      </c>
      <c r="P73" s="6">
        <v>1</v>
      </c>
      <c r="Q73" s="4" t="s">
        <v>60</v>
      </c>
      <c r="R73" s="4">
        <v>0</v>
      </c>
      <c r="S73" s="4">
        <v>0</v>
      </c>
      <c r="T73" s="4">
        <v>13</v>
      </c>
      <c r="U73" s="4">
        <v>0</v>
      </c>
      <c r="V73" s="6">
        <f>IF(ISERROR(VLOOKUP($S$73,'TAR FIN'!$A$1:$O$120,15,0)),0,VLOOKUP($S$73,'TAR FIN'!$A$1:$O$120,15,0))</f>
        <v>0</v>
      </c>
      <c r="W73" s="6">
        <f>IF(ISERROR(VLOOKUP($T$73,'TAR FIN'!$A$1:$O$120,15,0)),0,VLOOKUP($T$73,'TAR FIN'!$A$1:$O$120,15,0))</f>
        <v>84.45</v>
      </c>
      <c r="X73" s="6">
        <f>IF(ISERROR(VLOOKUP($U$73,'TAR FIN'!$A$1:$O$120,15,0)),0,VLOOKUP($U$73,'TAR FIN'!$A$1:$O$120,15,0))</f>
        <v>0</v>
      </c>
      <c r="Y73" s="6"/>
      <c r="Z73" s="6">
        <f ca="1">('TUSD BE'!$AM$17+'TUSD BF'!$AM$17+'TUSD CVA'!$AM$17)*1</f>
        <v>87.519361965254689</v>
      </c>
      <c r="AA73" s="6"/>
      <c r="AB73" s="6">
        <f t="shared" si="6"/>
        <v>0</v>
      </c>
      <c r="AC73" s="6">
        <f t="shared" si="7"/>
        <v>0</v>
      </c>
      <c r="AD73" s="6">
        <f t="shared" si="8"/>
        <v>0</v>
      </c>
      <c r="AE73" s="6">
        <f t="shared" ca="1" si="9"/>
        <v>0</v>
      </c>
      <c r="AF73" s="4" t="s">
        <v>1150</v>
      </c>
    </row>
    <row r="74" spans="1:32" ht="11.25" customHeight="1" x14ac:dyDescent="0.25">
      <c r="A74" s="4" t="s">
        <v>21</v>
      </c>
      <c r="B74" s="4" t="s">
        <v>45</v>
      </c>
      <c r="C74" s="4" t="s">
        <v>41</v>
      </c>
      <c r="D74" s="4" t="s">
        <v>40</v>
      </c>
      <c r="E74" s="4" t="s">
        <v>25</v>
      </c>
      <c r="F74" s="4" t="s">
        <v>63</v>
      </c>
      <c r="G74" s="4" t="s">
        <v>25</v>
      </c>
      <c r="H74" s="4" t="s">
        <v>35</v>
      </c>
      <c r="I74" s="5">
        <v>43739</v>
      </c>
      <c r="J74" s="6">
        <v>3300</v>
      </c>
      <c r="K74" s="6">
        <v>2067.4934280000002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4" t="s">
        <v>60</v>
      </c>
      <c r="R74" s="4">
        <v>0</v>
      </c>
      <c r="S74" s="4">
        <v>11</v>
      </c>
      <c r="T74" s="4">
        <v>0</v>
      </c>
      <c r="U74" s="4">
        <v>0</v>
      </c>
      <c r="V74" s="6">
        <f>IF(ISERROR(VLOOKUP($S$74,'TAR FIN'!$A$1:$O$120,15,0)),0,VLOOKUP($S$74,'TAR FIN'!$A$1:$O$120,15,0))</f>
        <v>22.94</v>
      </c>
      <c r="W74" s="6">
        <f>IF(ISERROR(VLOOKUP($T$74,'TAR FIN'!$A$1:$O$120,15,0)),0,VLOOKUP($T$74,'TAR FIN'!$A$1:$O$120,15,0))</f>
        <v>0</v>
      </c>
      <c r="X74" s="6">
        <f>IF(ISERROR(VLOOKUP($U$74,'TAR FIN'!$A$1:$O$120,15,0)),0,VLOOKUP($U$74,'TAR FIN'!$A$1:$O$120,15,0))</f>
        <v>0</v>
      </c>
      <c r="Y74" s="6">
        <f ca="1">('TUSD BE'!$AM$15+'TUSD BF'!$AM$15+'TUSD CVA'!$AM$15)*1</f>
        <v>27.216283196676113</v>
      </c>
      <c r="Z74" s="6">
        <f ca="1">('TUSD BE'!$AM$17+'TUSD BF'!$AM$17+'TUSD CVA'!$AM$17)*1</f>
        <v>87.519361965254689</v>
      </c>
      <c r="AA74" s="6"/>
      <c r="AB74" s="6">
        <f t="shared" si="6"/>
        <v>28273.700761679997</v>
      </c>
      <c r="AC74" s="6">
        <f t="shared" si="7"/>
        <v>0</v>
      </c>
      <c r="AD74" s="6">
        <f t="shared" ca="1" si="8"/>
        <v>33544.247905316472</v>
      </c>
      <c r="AE74" s="6">
        <f t="shared" ca="1" si="9"/>
        <v>0</v>
      </c>
      <c r="AF74" s="4" t="s">
        <v>1150</v>
      </c>
    </row>
    <row r="75" spans="1:32" ht="11.25" customHeight="1" x14ac:dyDescent="0.25">
      <c r="A75" s="4" t="s">
        <v>21</v>
      </c>
      <c r="B75" s="4" t="s">
        <v>45</v>
      </c>
      <c r="C75" s="4" t="s">
        <v>41</v>
      </c>
      <c r="D75" s="4" t="s">
        <v>40</v>
      </c>
      <c r="E75" s="4" t="s">
        <v>25</v>
      </c>
      <c r="F75" s="4" t="s">
        <v>63</v>
      </c>
      <c r="G75" s="4" t="s">
        <v>25</v>
      </c>
      <c r="H75" s="4" t="s">
        <v>35</v>
      </c>
      <c r="I75" s="5">
        <v>43770</v>
      </c>
      <c r="J75" s="6">
        <v>3300</v>
      </c>
      <c r="K75" s="6">
        <v>2071.2097229999999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4" t="s">
        <v>60</v>
      </c>
      <c r="R75" s="4">
        <v>0</v>
      </c>
      <c r="S75" s="4">
        <v>11</v>
      </c>
      <c r="T75" s="4">
        <v>0</v>
      </c>
      <c r="U75" s="4">
        <v>0</v>
      </c>
      <c r="V75" s="6">
        <f>IF(ISERROR(VLOOKUP($S$75,'TAR FIN'!$A$1:$O$120,15,0)),0,VLOOKUP($S$75,'TAR FIN'!$A$1:$O$120,15,0))</f>
        <v>22.94</v>
      </c>
      <c r="W75" s="6">
        <f>IF(ISERROR(VLOOKUP($T$75,'TAR FIN'!$A$1:$O$120,15,0)),0,VLOOKUP($T$75,'TAR FIN'!$A$1:$O$120,15,0))</f>
        <v>0</v>
      </c>
      <c r="X75" s="6">
        <f>IF(ISERROR(VLOOKUP($U$75,'TAR FIN'!$A$1:$O$120,15,0)),0,VLOOKUP($U$75,'TAR FIN'!$A$1:$O$120,15,0))</f>
        <v>0</v>
      </c>
      <c r="Y75" s="6">
        <f ca="1">('TUSD BE'!$AM$15+'TUSD BF'!$AM$15+'TUSD CVA'!$AM$15)*1</f>
        <v>27.216283196676113</v>
      </c>
      <c r="Z75" s="6">
        <f ca="1">('TUSD BE'!$AM$17+'TUSD BF'!$AM$17+'TUSD CVA'!$AM$17)*1</f>
        <v>87.519361965254689</v>
      </c>
      <c r="AA75" s="6"/>
      <c r="AB75" s="6">
        <f t="shared" si="6"/>
        <v>28188.448954380005</v>
      </c>
      <c r="AC75" s="6">
        <f t="shared" si="7"/>
        <v>0</v>
      </c>
      <c r="AD75" s="6">
        <f t="shared" ca="1" si="8"/>
        <v>33443.104168154088</v>
      </c>
      <c r="AE75" s="6">
        <f t="shared" ca="1" si="9"/>
        <v>0</v>
      </c>
      <c r="AF75" s="4" t="s">
        <v>1150</v>
      </c>
    </row>
    <row r="76" spans="1:32" ht="11.25" customHeight="1" x14ac:dyDescent="0.25">
      <c r="A76" s="4" t="s">
        <v>21</v>
      </c>
      <c r="B76" s="4" t="s">
        <v>45</v>
      </c>
      <c r="C76" s="4" t="s">
        <v>41</v>
      </c>
      <c r="D76" s="4" t="s">
        <v>40</v>
      </c>
      <c r="E76" s="4" t="s">
        <v>25</v>
      </c>
      <c r="F76" s="4" t="s">
        <v>63</v>
      </c>
      <c r="G76" s="4" t="s">
        <v>25</v>
      </c>
      <c r="H76" s="4" t="s">
        <v>35</v>
      </c>
      <c r="I76" s="5">
        <v>43800</v>
      </c>
      <c r="J76" s="6">
        <v>3300</v>
      </c>
      <c r="K76" s="6">
        <v>2077.8276420000002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4" t="s">
        <v>60</v>
      </c>
      <c r="R76" s="4">
        <v>0</v>
      </c>
      <c r="S76" s="4">
        <v>11</v>
      </c>
      <c r="T76" s="4">
        <v>0</v>
      </c>
      <c r="U76" s="4">
        <v>0</v>
      </c>
      <c r="V76" s="6">
        <f>IF(ISERROR(VLOOKUP($S$76,'TAR FIN'!$A$1:$O$120,15,0)),0,VLOOKUP($S$76,'TAR FIN'!$A$1:$O$120,15,0))</f>
        <v>22.94</v>
      </c>
      <c r="W76" s="6">
        <f>IF(ISERROR(VLOOKUP($T$76,'TAR FIN'!$A$1:$O$120,15,0)),0,VLOOKUP($T$76,'TAR FIN'!$A$1:$O$120,15,0))</f>
        <v>0</v>
      </c>
      <c r="X76" s="6">
        <f>IF(ISERROR(VLOOKUP($U$76,'TAR FIN'!$A$1:$O$120,15,0)),0,VLOOKUP($U$76,'TAR FIN'!$A$1:$O$120,15,0))</f>
        <v>0</v>
      </c>
      <c r="Y76" s="6">
        <f ca="1">('TUSD BE'!$AM$15+'TUSD BF'!$AM$15+'TUSD CVA'!$AM$15)*1</f>
        <v>27.216283196676113</v>
      </c>
      <c r="Z76" s="6">
        <f ca="1">('TUSD BE'!$AM$17+'TUSD BF'!$AM$17+'TUSD CVA'!$AM$17)*1</f>
        <v>87.519361965254689</v>
      </c>
      <c r="AA76" s="6"/>
      <c r="AB76" s="6">
        <f t="shared" si="6"/>
        <v>28036.633892519996</v>
      </c>
      <c r="AC76" s="6">
        <f t="shared" si="7"/>
        <v>0</v>
      </c>
      <c r="AD76" s="6">
        <f t="shared" ca="1" si="8"/>
        <v>33262.989010477417</v>
      </c>
      <c r="AE76" s="6">
        <f t="shared" ca="1" si="9"/>
        <v>0</v>
      </c>
      <c r="AF76" s="4" t="s">
        <v>1150</v>
      </c>
    </row>
    <row r="77" spans="1:32" ht="11.25" customHeight="1" x14ac:dyDescent="0.25">
      <c r="A77" s="4" t="s">
        <v>21</v>
      </c>
      <c r="B77" s="4" t="s">
        <v>45</v>
      </c>
      <c r="C77" s="4" t="s">
        <v>41</v>
      </c>
      <c r="D77" s="4" t="s">
        <v>40</v>
      </c>
      <c r="E77" s="4" t="s">
        <v>25</v>
      </c>
      <c r="F77" s="4" t="s">
        <v>63</v>
      </c>
      <c r="G77" s="4" t="s">
        <v>25</v>
      </c>
      <c r="H77" s="4" t="s">
        <v>35</v>
      </c>
      <c r="I77" s="5">
        <v>43831</v>
      </c>
      <c r="J77" s="6">
        <v>3300</v>
      </c>
      <c r="K77" s="6">
        <v>2056.8119219999999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4" t="s">
        <v>60</v>
      </c>
      <c r="R77" s="4">
        <v>0</v>
      </c>
      <c r="S77" s="4">
        <v>11</v>
      </c>
      <c r="T77" s="4">
        <v>0</v>
      </c>
      <c r="U77" s="4">
        <v>0</v>
      </c>
      <c r="V77" s="6">
        <f>IF(ISERROR(VLOOKUP($S$77,'TAR FIN'!$A$1:$O$120,15,0)),0,VLOOKUP($S$77,'TAR FIN'!$A$1:$O$120,15,0))</f>
        <v>22.94</v>
      </c>
      <c r="W77" s="6">
        <f>IF(ISERROR(VLOOKUP($T$77,'TAR FIN'!$A$1:$O$120,15,0)),0,VLOOKUP($T$77,'TAR FIN'!$A$1:$O$120,15,0))</f>
        <v>0</v>
      </c>
      <c r="X77" s="6">
        <f>IF(ISERROR(VLOOKUP($U$77,'TAR FIN'!$A$1:$O$120,15,0)),0,VLOOKUP($U$77,'TAR FIN'!$A$1:$O$120,15,0))</f>
        <v>0</v>
      </c>
      <c r="Y77" s="6">
        <f ca="1">('TUSD BE'!$AM$15+'TUSD BF'!$AM$15+'TUSD CVA'!$AM$15)*1</f>
        <v>27.216283196676113</v>
      </c>
      <c r="Z77" s="6">
        <f ca="1">('TUSD BE'!$AM$17+'TUSD BF'!$AM$17+'TUSD CVA'!$AM$17)*1</f>
        <v>87.519361965254689</v>
      </c>
      <c r="AA77" s="6"/>
      <c r="AB77" s="6">
        <f t="shared" si="6"/>
        <v>28518.734509320006</v>
      </c>
      <c r="AC77" s="6">
        <f t="shared" si="7"/>
        <v>0</v>
      </c>
      <c r="AD77" s="6">
        <f t="shared" ca="1" si="8"/>
        <v>33834.958797579478</v>
      </c>
      <c r="AE77" s="6">
        <f t="shared" ca="1" si="9"/>
        <v>0</v>
      </c>
      <c r="AF77" s="4" t="s">
        <v>1150</v>
      </c>
    </row>
    <row r="78" spans="1:32" ht="11.25" customHeight="1" x14ac:dyDescent="0.25">
      <c r="A78" s="4" t="s">
        <v>21</v>
      </c>
      <c r="B78" s="4" t="s">
        <v>45</v>
      </c>
      <c r="C78" s="4" t="s">
        <v>41</v>
      </c>
      <c r="D78" s="4" t="s">
        <v>40</v>
      </c>
      <c r="E78" s="4" t="s">
        <v>25</v>
      </c>
      <c r="F78" s="4" t="s">
        <v>63</v>
      </c>
      <c r="G78" s="4" t="s">
        <v>25</v>
      </c>
      <c r="H78" s="4" t="s">
        <v>35</v>
      </c>
      <c r="I78" s="5">
        <v>43862</v>
      </c>
      <c r="J78" s="6">
        <v>3300</v>
      </c>
      <c r="K78" s="6">
        <v>2056.1918850000002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4" t="s">
        <v>60</v>
      </c>
      <c r="R78" s="4">
        <v>0</v>
      </c>
      <c r="S78" s="4">
        <v>11</v>
      </c>
      <c r="T78" s="4">
        <v>0</v>
      </c>
      <c r="U78" s="4">
        <v>0</v>
      </c>
      <c r="V78" s="6">
        <f>IF(ISERROR(VLOOKUP($S$78,'TAR FIN'!$A$1:$O$120,15,0)),0,VLOOKUP($S$78,'TAR FIN'!$A$1:$O$120,15,0))</f>
        <v>22.94</v>
      </c>
      <c r="W78" s="6">
        <f>IF(ISERROR(VLOOKUP($T$78,'TAR FIN'!$A$1:$O$120,15,0)),0,VLOOKUP($T$78,'TAR FIN'!$A$1:$O$120,15,0))</f>
        <v>0</v>
      </c>
      <c r="X78" s="6">
        <f>IF(ISERROR(VLOOKUP($U$78,'TAR FIN'!$A$1:$O$120,15,0)),0,VLOOKUP($U$78,'TAR FIN'!$A$1:$O$120,15,0))</f>
        <v>0</v>
      </c>
      <c r="Y78" s="6">
        <f ca="1">('TUSD BE'!$AM$15+'TUSD BF'!$AM$15+'TUSD CVA'!$AM$15)*1</f>
        <v>27.216283196676113</v>
      </c>
      <c r="Z78" s="6">
        <f ca="1">('TUSD BE'!$AM$17+'TUSD BF'!$AM$17+'TUSD CVA'!$AM$17)*1</f>
        <v>87.519361965254689</v>
      </c>
      <c r="AA78" s="6"/>
      <c r="AB78" s="6">
        <f t="shared" si="6"/>
        <v>28532.958158099998</v>
      </c>
      <c r="AC78" s="6">
        <f t="shared" si="7"/>
        <v>0</v>
      </c>
      <c r="AD78" s="6">
        <f t="shared" ca="1" si="8"/>
        <v>33851.833900163881</v>
      </c>
      <c r="AE78" s="6">
        <f t="shared" ca="1" si="9"/>
        <v>0</v>
      </c>
      <c r="AF78" s="4" t="s">
        <v>1150</v>
      </c>
    </row>
    <row r="79" spans="1:32" ht="11.25" customHeight="1" x14ac:dyDescent="0.25">
      <c r="A79" s="4" t="s">
        <v>21</v>
      </c>
      <c r="B79" s="4" t="s">
        <v>45</v>
      </c>
      <c r="C79" s="4" t="s">
        <v>41</v>
      </c>
      <c r="D79" s="4" t="s">
        <v>40</v>
      </c>
      <c r="E79" s="4" t="s">
        <v>25</v>
      </c>
      <c r="F79" s="4" t="s">
        <v>63</v>
      </c>
      <c r="G79" s="4" t="s">
        <v>25</v>
      </c>
      <c r="H79" s="4" t="s">
        <v>35</v>
      </c>
      <c r="I79" s="5">
        <v>43891</v>
      </c>
      <c r="J79" s="6">
        <v>3300</v>
      </c>
      <c r="K79" s="6">
        <v>2702.81088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4" t="s">
        <v>60</v>
      </c>
      <c r="R79" s="4">
        <v>0</v>
      </c>
      <c r="S79" s="4">
        <v>11</v>
      </c>
      <c r="T79" s="4">
        <v>0</v>
      </c>
      <c r="U79" s="4">
        <v>0</v>
      </c>
      <c r="V79" s="6">
        <f>IF(ISERROR(VLOOKUP($S$79,'TAR FIN'!$A$1:$O$120,15,0)),0,VLOOKUP($S$79,'TAR FIN'!$A$1:$O$120,15,0))</f>
        <v>22.94</v>
      </c>
      <c r="W79" s="6">
        <f>IF(ISERROR(VLOOKUP($T$79,'TAR FIN'!$A$1:$O$120,15,0)),0,VLOOKUP($T$79,'TAR FIN'!$A$1:$O$120,15,0))</f>
        <v>0</v>
      </c>
      <c r="X79" s="6">
        <f>IF(ISERROR(VLOOKUP($U$79,'TAR FIN'!$A$1:$O$120,15,0)),0,VLOOKUP($U$79,'TAR FIN'!$A$1:$O$120,15,0))</f>
        <v>0</v>
      </c>
      <c r="Y79" s="6">
        <f ca="1">('TUSD BE'!$AM$15+'TUSD BF'!$AM$15+'TUSD CVA'!$AM$15)*1</f>
        <v>27.216283196676113</v>
      </c>
      <c r="Z79" s="6">
        <f ca="1">('TUSD BE'!$AM$17+'TUSD BF'!$AM$17+'TUSD CVA'!$AM$17)*1</f>
        <v>87.519361965254689</v>
      </c>
      <c r="AA79" s="6"/>
      <c r="AB79" s="6">
        <f t="shared" si="6"/>
        <v>13699.5184128</v>
      </c>
      <c r="AC79" s="6">
        <f t="shared" si="7"/>
        <v>0</v>
      </c>
      <c r="AD79" s="6">
        <f t="shared" ca="1" si="8"/>
        <v>16253.268211893796</v>
      </c>
      <c r="AE79" s="6">
        <f t="shared" ca="1" si="9"/>
        <v>0</v>
      </c>
      <c r="AF79" s="4" t="s">
        <v>1150</v>
      </c>
    </row>
    <row r="80" spans="1:32" ht="11.25" customHeight="1" x14ac:dyDescent="0.25">
      <c r="A80" s="4" t="s">
        <v>21</v>
      </c>
      <c r="B80" s="4" t="s">
        <v>45</v>
      </c>
      <c r="C80" s="4" t="s">
        <v>41</v>
      </c>
      <c r="D80" s="4" t="s">
        <v>40</v>
      </c>
      <c r="E80" s="4" t="s">
        <v>25</v>
      </c>
      <c r="F80" s="4" t="s">
        <v>63</v>
      </c>
      <c r="G80" s="4" t="s">
        <v>25</v>
      </c>
      <c r="H80" s="4" t="s">
        <v>35</v>
      </c>
      <c r="I80" s="5">
        <v>43922</v>
      </c>
      <c r="J80" s="6">
        <v>3300</v>
      </c>
      <c r="K80" s="6">
        <v>3300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4" t="s">
        <v>60</v>
      </c>
      <c r="R80" s="4">
        <v>0</v>
      </c>
      <c r="S80" s="4">
        <v>11</v>
      </c>
      <c r="T80" s="4">
        <v>0</v>
      </c>
      <c r="U80" s="4">
        <v>0</v>
      </c>
      <c r="V80" s="6">
        <f>IF(ISERROR(VLOOKUP($S$80,'TAR FIN'!$A$1:$O$120,15,0)),0,VLOOKUP($S$80,'TAR FIN'!$A$1:$O$120,15,0))</f>
        <v>22.94</v>
      </c>
      <c r="W80" s="6">
        <f>IF(ISERROR(VLOOKUP($T$80,'TAR FIN'!$A$1:$O$120,15,0)),0,VLOOKUP($T$80,'TAR FIN'!$A$1:$O$120,15,0))</f>
        <v>0</v>
      </c>
      <c r="X80" s="6">
        <f>IF(ISERROR(VLOOKUP($U$80,'TAR FIN'!$A$1:$O$120,15,0)),0,VLOOKUP($U$80,'TAR FIN'!$A$1:$O$120,15,0))</f>
        <v>0</v>
      </c>
      <c r="Y80" s="6">
        <f ca="1">('TUSD BE'!$AM$15+'TUSD BF'!$AM$15+'TUSD CVA'!$AM$15)*1</f>
        <v>27.216283196676113</v>
      </c>
      <c r="Z80" s="6">
        <f ca="1">('TUSD BE'!$AM$17+'TUSD BF'!$AM$17+'TUSD CVA'!$AM$17)*1</f>
        <v>87.519361965254689</v>
      </c>
      <c r="AA80" s="6"/>
      <c r="AB80" s="6">
        <f t="shared" si="6"/>
        <v>0</v>
      </c>
      <c r="AC80" s="6">
        <f t="shared" si="7"/>
        <v>0</v>
      </c>
      <c r="AD80" s="6">
        <f t="shared" ca="1" si="8"/>
        <v>0</v>
      </c>
      <c r="AE80" s="6">
        <f t="shared" ca="1" si="9"/>
        <v>0</v>
      </c>
      <c r="AF80" s="4" t="s">
        <v>1150</v>
      </c>
    </row>
    <row r="81" spans="1:32" ht="11.25" customHeight="1" x14ac:dyDescent="0.25">
      <c r="A81" s="4" t="s">
        <v>21</v>
      </c>
      <c r="B81" s="4" t="s">
        <v>45</v>
      </c>
      <c r="C81" s="4" t="s">
        <v>41</v>
      </c>
      <c r="D81" s="4" t="s">
        <v>40</v>
      </c>
      <c r="E81" s="4" t="s">
        <v>25</v>
      </c>
      <c r="F81" s="4" t="s">
        <v>63</v>
      </c>
      <c r="G81" s="4" t="s">
        <v>25</v>
      </c>
      <c r="H81" s="4" t="s">
        <v>35</v>
      </c>
      <c r="I81" s="5">
        <v>43952</v>
      </c>
      <c r="J81" s="6">
        <v>3300</v>
      </c>
      <c r="K81" s="6">
        <v>3300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4" t="s">
        <v>60</v>
      </c>
      <c r="R81" s="4">
        <v>0</v>
      </c>
      <c r="S81" s="4">
        <v>11</v>
      </c>
      <c r="T81" s="4">
        <v>0</v>
      </c>
      <c r="U81" s="4">
        <v>0</v>
      </c>
      <c r="V81" s="6">
        <f>IF(ISERROR(VLOOKUP($S$81,'TAR FIN'!$A$1:$O$120,15,0)),0,VLOOKUP($S$81,'TAR FIN'!$A$1:$O$120,15,0))</f>
        <v>22.94</v>
      </c>
      <c r="W81" s="6">
        <f>IF(ISERROR(VLOOKUP($T$81,'TAR FIN'!$A$1:$O$120,15,0)),0,VLOOKUP($T$81,'TAR FIN'!$A$1:$O$120,15,0))</f>
        <v>0</v>
      </c>
      <c r="X81" s="6">
        <f>IF(ISERROR(VLOOKUP($U$81,'TAR FIN'!$A$1:$O$120,15,0)),0,VLOOKUP($U$81,'TAR FIN'!$A$1:$O$120,15,0))</f>
        <v>0</v>
      </c>
      <c r="Y81" s="6">
        <f ca="1">('TUSD BE'!$AM$15+'TUSD BF'!$AM$15+'TUSD CVA'!$AM$15)*1</f>
        <v>27.216283196676113</v>
      </c>
      <c r="Z81" s="6">
        <f ca="1">('TUSD BE'!$AM$17+'TUSD BF'!$AM$17+'TUSD CVA'!$AM$17)*1</f>
        <v>87.519361965254689</v>
      </c>
      <c r="AA81" s="6"/>
      <c r="AB81" s="6">
        <f t="shared" si="6"/>
        <v>0</v>
      </c>
      <c r="AC81" s="6">
        <f t="shared" si="7"/>
        <v>0</v>
      </c>
      <c r="AD81" s="6">
        <f t="shared" ca="1" si="8"/>
        <v>0</v>
      </c>
      <c r="AE81" s="6">
        <f t="shared" ca="1" si="9"/>
        <v>0</v>
      </c>
      <c r="AF81" s="4" t="s">
        <v>1150</v>
      </c>
    </row>
    <row r="82" spans="1:32" ht="11.25" customHeight="1" x14ac:dyDescent="0.25">
      <c r="A82" s="4" t="s">
        <v>21</v>
      </c>
      <c r="B82" s="4" t="s">
        <v>45</v>
      </c>
      <c r="C82" s="4" t="s">
        <v>41</v>
      </c>
      <c r="D82" s="4" t="s">
        <v>40</v>
      </c>
      <c r="E82" s="4" t="s">
        <v>25</v>
      </c>
      <c r="F82" s="4" t="s">
        <v>63</v>
      </c>
      <c r="G82" s="4" t="s">
        <v>25</v>
      </c>
      <c r="H82" s="4" t="s">
        <v>35</v>
      </c>
      <c r="I82" s="5">
        <v>43983</v>
      </c>
      <c r="J82" s="6">
        <v>3300</v>
      </c>
      <c r="K82" s="6">
        <v>3300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4" t="s">
        <v>60</v>
      </c>
      <c r="R82" s="4">
        <v>0</v>
      </c>
      <c r="S82" s="4">
        <v>11</v>
      </c>
      <c r="T82" s="4">
        <v>0</v>
      </c>
      <c r="U82" s="4">
        <v>0</v>
      </c>
      <c r="V82" s="6">
        <f>IF(ISERROR(VLOOKUP($S$82,'TAR FIN'!$A$1:$O$120,15,0)),0,VLOOKUP($S$82,'TAR FIN'!$A$1:$O$120,15,0))</f>
        <v>22.94</v>
      </c>
      <c r="W82" s="6">
        <f>IF(ISERROR(VLOOKUP($T$82,'TAR FIN'!$A$1:$O$120,15,0)),0,VLOOKUP($T$82,'TAR FIN'!$A$1:$O$120,15,0))</f>
        <v>0</v>
      </c>
      <c r="X82" s="6">
        <f>IF(ISERROR(VLOOKUP($U$82,'TAR FIN'!$A$1:$O$120,15,0)),0,VLOOKUP($U$82,'TAR FIN'!$A$1:$O$120,15,0))</f>
        <v>0</v>
      </c>
      <c r="Y82" s="6">
        <f ca="1">('TUSD BE'!$AM$15+'TUSD BF'!$AM$15+'TUSD CVA'!$AM$15)*1</f>
        <v>27.216283196676113</v>
      </c>
      <c r="Z82" s="6">
        <f ca="1">('TUSD BE'!$AM$17+'TUSD BF'!$AM$17+'TUSD CVA'!$AM$17)*1</f>
        <v>87.519361965254689</v>
      </c>
      <c r="AA82" s="6"/>
      <c r="AB82" s="6">
        <f t="shared" si="6"/>
        <v>0</v>
      </c>
      <c r="AC82" s="6">
        <f t="shared" si="7"/>
        <v>0</v>
      </c>
      <c r="AD82" s="6">
        <f t="shared" ca="1" si="8"/>
        <v>0</v>
      </c>
      <c r="AE82" s="6">
        <f t="shared" ca="1" si="9"/>
        <v>0</v>
      </c>
      <c r="AF82" s="4" t="s">
        <v>1150</v>
      </c>
    </row>
    <row r="83" spans="1:32" ht="11.25" customHeight="1" x14ac:dyDescent="0.25">
      <c r="A83" s="4" t="s">
        <v>21</v>
      </c>
      <c r="B83" s="4" t="s">
        <v>45</v>
      </c>
      <c r="C83" s="4" t="s">
        <v>41</v>
      </c>
      <c r="D83" s="4" t="s">
        <v>40</v>
      </c>
      <c r="E83" s="4" t="s">
        <v>25</v>
      </c>
      <c r="F83" s="4" t="s">
        <v>63</v>
      </c>
      <c r="G83" s="4" t="s">
        <v>25</v>
      </c>
      <c r="H83" s="4" t="s">
        <v>35</v>
      </c>
      <c r="I83" s="5">
        <v>44013</v>
      </c>
      <c r="J83" s="6">
        <v>3300</v>
      </c>
      <c r="K83" s="6">
        <v>3300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4" t="s">
        <v>60</v>
      </c>
      <c r="R83" s="4">
        <v>0</v>
      </c>
      <c r="S83" s="4">
        <v>11</v>
      </c>
      <c r="T83" s="4">
        <v>0</v>
      </c>
      <c r="U83" s="4">
        <v>0</v>
      </c>
      <c r="V83" s="6">
        <f>IF(ISERROR(VLOOKUP($S$83,'TAR FIN'!$A$1:$O$120,15,0)),0,VLOOKUP($S$83,'TAR FIN'!$A$1:$O$120,15,0))</f>
        <v>22.94</v>
      </c>
      <c r="W83" s="6">
        <f>IF(ISERROR(VLOOKUP($T$83,'TAR FIN'!$A$1:$O$120,15,0)),0,VLOOKUP($T$83,'TAR FIN'!$A$1:$O$120,15,0))</f>
        <v>0</v>
      </c>
      <c r="X83" s="6">
        <f>IF(ISERROR(VLOOKUP($U$83,'TAR FIN'!$A$1:$O$120,15,0)),0,VLOOKUP($U$83,'TAR FIN'!$A$1:$O$120,15,0))</f>
        <v>0</v>
      </c>
      <c r="Y83" s="6">
        <f ca="1">('TUSD BE'!$AM$15+'TUSD BF'!$AM$15+'TUSD CVA'!$AM$15)*1</f>
        <v>27.216283196676113</v>
      </c>
      <c r="Z83" s="6">
        <f ca="1">('TUSD BE'!$AM$17+'TUSD BF'!$AM$17+'TUSD CVA'!$AM$17)*1</f>
        <v>87.519361965254689</v>
      </c>
      <c r="AA83" s="6"/>
      <c r="AB83" s="6">
        <f t="shared" si="6"/>
        <v>0</v>
      </c>
      <c r="AC83" s="6">
        <f t="shared" si="7"/>
        <v>0</v>
      </c>
      <c r="AD83" s="6">
        <f t="shared" ca="1" si="8"/>
        <v>0</v>
      </c>
      <c r="AE83" s="6">
        <f t="shared" ca="1" si="9"/>
        <v>0</v>
      </c>
      <c r="AF83" s="4" t="s">
        <v>1150</v>
      </c>
    </row>
    <row r="84" spans="1:32" ht="11.25" customHeight="1" x14ac:dyDescent="0.25">
      <c r="A84" s="4" t="s">
        <v>21</v>
      </c>
      <c r="B84" s="4" t="s">
        <v>45</v>
      </c>
      <c r="C84" s="4" t="s">
        <v>41</v>
      </c>
      <c r="D84" s="4" t="s">
        <v>40</v>
      </c>
      <c r="E84" s="4" t="s">
        <v>25</v>
      </c>
      <c r="F84" s="4" t="s">
        <v>63</v>
      </c>
      <c r="G84" s="4" t="s">
        <v>25</v>
      </c>
      <c r="H84" s="4" t="s">
        <v>35</v>
      </c>
      <c r="I84" s="5">
        <v>44044</v>
      </c>
      <c r="J84" s="6">
        <v>3300</v>
      </c>
      <c r="K84" s="6">
        <v>3300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4" t="s">
        <v>60</v>
      </c>
      <c r="R84" s="4">
        <v>0</v>
      </c>
      <c r="S84" s="4">
        <v>11</v>
      </c>
      <c r="T84" s="4">
        <v>0</v>
      </c>
      <c r="U84" s="4">
        <v>0</v>
      </c>
      <c r="V84" s="6">
        <f>IF(ISERROR(VLOOKUP($S$84,'TAR FIN'!$A$1:$O$120,15,0)),0,VLOOKUP($S$84,'TAR FIN'!$A$1:$O$120,15,0))</f>
        <v>22.94</v>
      </c>
      <c r="W84" s="6">
        <f>IF(ISERROR(VLOOKUP($T$84,'TAR FIN'!$A$1:$O$120,15,0)),0,VLOOKUP($T$84,'TAR FIN'!$A$1:$O$120,15,0))</f>
        <v>0</v>
      </c>
      <c r="X84" s="6">
        <f>IF(ISERROR(VLOOKUP($U$84,'TAR FIN'!$A$1:$O$120,15,0)),0,VLOOKUP($U$84,'TAR FIN'!$A$1:$O$120,15,0))</f>
        <v>0</v>
      </c>
      <c r="Y84" s="6">
        <f ca="1">('TUSD BE'!$AM$15+'TUSD BF'!$AM$15+'TUSD CVA'!$AM$15)*1</f>
        <v>27.216283196676113</v>
      </c>
      <c r="Z84" s="6">
        <f ca="1">('TUSD BE'!$AM$17+'TUSD BF'!$AM$17+'TUSD CVA'!$AM$17)*1</f>
        <v>87.519361965254689</v>
      </c>
      <c r="AA84" s="6"/>
      <c r="AB84" s="6">
        <f t="shared" si="6"/>
        <v>0</v>
      </c>
      <c r="AC84" s="6">
        <f t="shared" si="7"/>
        <v>0</v>
      </c>
      <c r="AD84" s="6">
        <f t="shared" ca="1" si="8"/>
        <v>0</v>
      </c>
      <c r="AE84" s="6">
        <f t="shared" ca="1" si="9"/>
        <v>0</v>
      </c>
      <c r="AF84" s="4" t="s">
        <v>1150</v>
      </c>
    </row>
    <row r="85" spans="1:32" ht="11.25" customHeight="1" x14ac:dyDescent="0.25">
      <c r="A85" s="4" t="s">
        <v>59</v>
      </c>
      <c r="B85" s="4" t="s">
        <v>45</v>
      </c>
      <c r="C85" s="4" t="s">
        <v>41</v>
      </c>
      <c r="D85" s="4" t="s">
        <v>40</v>
      </c>
      <c r="E85" s="4" t="s">
        <v>25</v>
      </c>
      <c r="F85" s="4" t="s">
        <v>63</v>
      </c>
      <c r="G85" s="4" t="s">
        <v>25</v>
      </c>
      <c r="H85" s="4" t="s">
        <v>35</v>
      </c>
      <c r="I85" s="5">
        <v>44075</v>
      </c>
      <c r="J85" s="6">
        <v>3300</v>
      </c>
      <c r="K85" s="6">
        <v>3300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4" t="s">
        <v>60</v>
      </c>
      <c r="R85" s="4">
        <v>0</v>
      </c>
      <c r="S85" s="4">
        <v>11</v>
      </c>
      <c r="T85" s="4">
        <v>0</v>
      </c>
      <c r="U85" s="4">
        <v>0</v>
      </c>
      <c r="V85" s="6">
        <f>IF(ISERROR(VLOOKUP($S$85,'TAR FIN'!$A$1:$O$120,15,0)),0,VLOOKUP($S$85,'TAR FIN'!$A$1:$O$120,15,0))</f>
        <v>22.94</v>
      </c>
      <c r="W85" s="6">
        <f>IF(ISERROR(VLOOKUP($T$85,'TAR FIN'!$A$1:$O$120,15,0)),0,VLOOKUP($T$85,'TAR FIN'!$A$1:$O$120,15,0))</f>
        <v>0</v>
      </c>
      <c r="X85" s="6">
        <f>IF(ISERROR(VLOOKUP($U$85,'TAR FIN'!$A$1:$O$120,15,0)),0,VLOOKUP($U$85,'TAR FIN'!$A$1:$O$120,15,0))</f>
        <v>0</v>
      </c>
      <c r="Y85" s="6">
        <f ca="1">('TUSD BE'!$AM$15+'TUSD BF'!$AM$15+'TUSD CVA'!$AM$15)*1</f>
        <v>27.216283196676113</v>
      </c>
      <c r="Z85" s="6">
        <f ca="1">('TUSD BE'!$AM$17+'TUSD BF'!$AM$17+'TUSD CVA'!$AM$17)*1</f>
        <v>87.519361965254689</v>
      </c>
      <c r="AA85" s="6"/>
      <c r="AB85" s="6">
        <f t="shared" si="6"/>
        <v>0</v>
      </c>
      <c r="AC85" s="6">
        <f t="shared" si="7"/>
        <v>0</v>
      </c>
      <c r="AD85" s="6">
        <f t="shared" ca="1" si="8"/>
        <v>0</v>
      </c>
      <c r="AE85" s="6">
        <f t="shared" ca="1" si="9"/>
        <v>0</v>
      </c>
      <c r="AF85" s="4" t="s">
        <v>1150</v>
      </c>
    </row>
    <row r="86" spans="1:32" ht="11.25" customHeight="1" x14ac:dyDescent="0.25">
      <c r="A86" s="4" t="s">
        <v>21</v>
      </c>
      <c r="B86" s="4" t="s">
        <v>45</v>
      </c>
      <c r="C86" s="4" t="s">
        <v>41</v>
      </c>
      <c r="D86" s="4" t="s">
        <v>52</v>
      </c>
      <c r="E86" s="4" t="s">
        <v>53</v>
      </c>
      <c r="F86" s="4" t="s">
        <v>25</v>
      </c>
      <c r="G86" s="4" t="s">
        <v>25</v>
      </c>
      <c r="H86" s="4" t="s">
        <v>36</v>
      </c>
      <c r="I86" s="5">
        <v>43739</v>
      </c>
      <c r="J86" s="6">
        <v>4867</v>
      </c>
      <c r="K86" s="70">
        <v>4867</v>
      </c>
      <c r="L86" s="6">
        <v>2039.0350000000001</v>
      </c>
      <c r="M86" s="71">
        <v>2039.0350000000001</v>
      </c>
      <c r="N86" s="6">
        <v>2039.0350000000001</v>
      </c>
      <c r="O86" s="71">
        <v>2039.0350000000001</v>
      </c>
      <c r="P86" s="6">
        <v>0</v>
      </c>
      <c r="Q86" s="4" t="s">
        <v>26</v>
      </c>
      <c r="R86" s="4">
        <v>0</v>
      </c>
      <c r="S86" s="4">
        <v>12</v>
      </c>
      <c r="T86" s="4">
        <v>13</v>
      </c>
      <c r="U86" s="4">
        <v>80</v>
      </c>
      <c r="V86" s="71">
        <f>IF(ISERROR(VLOOKUP($S$86,'TAR FIN'!$A$1:$O$120,15,0)),0,VLOOKUP($S$86,'TAR FIN'!$A$1:$O$120,15,0))*(1-0.12)</f>
        <v>7.7528000000000006</v>
      </c>
      <c r="W86" s="71">
        <f>IF(ISERROR(VLOOKUP($T$86,'TAR FIN'!$A$1:$O$120,15,0)),0,VLOOKUP($T$86,'TAR FIN'!$A$1:$O$120,15,0))*(1-0.12)</f>
        <v>74.316000000000003</v>
      </c>
      <c r="X86" s="71">
        <f>IF(ISERROR(VLOOKUP($U$86,'TAR FIN'!$A$1:$O$120,15,0)),0,VLOOKUP($U$86,'TAR FIN'!$A$1:$O$120,15,0))*(1-0.12)</f>
        <v>225.61439999999999</v>
      </c>
      <c r="Y86" s="71">
        <f ca="1">('TUSD BE'!$AM$16+'TUSD BF'!$AM$16+'TUSD CVA'!$AM$16)*1*(1-0.09)</f>
        <v>10.421644550274408</v>
      </c>
      <c r="Z86" s="71">
        <f ca="1">('TUSD BE'!$AM$17+'TUSD BF'!$AM$17+'TUSD CVA'!$AM$17)*1*(1-0.09)</f>
        <v>79.642619388381775</v>
      </c>
      <c r="AA86" s="71">
        <f>('TE BE'!$AA$8+'TE BF'!$AA$8+'TE CVA'!$AA$8)*1*(1-0.09)</f>
        <v>210.05913056249776</v>
      </c>
      <c r="AB86" s="71">
        <f>(SUBSIDIO!$J$86*SUBSIDIO!$V$86)*(0.12)/(1-0.12)</f>
        <v>5145.3923999999997</v>
      </c>
      <c r="AC86" s="71">
        <f>((SUBSIDIO!$L$86*SUBSIDIO!$W$86)+(SUBSIDIO!$N$86*SUBSIDIO!$X$86))*(0.12)/(1-0.12)</f>
        <v>83395.715885999991</v>
      </c>
      <c r="AD86" s="71">
        <f ca="1">(SUBSIDIO!$J$86*SUBSIDIO!$Y$86)*(0.09)/(1-0.09)</f>
        <v>5016.475782809559</v>
      </c>
      <c r="AE86" s="71">
        <f ca="1">((SUBSIDIO!$L$86*SUBSIDIO!$Z$86)+(SUBSIDIO!$N$86*SUBSIDIO!$AA$86))*(0.09)/(1-0.09)</f>
        <v>58422.066696701375</v>
      </c>
      <c r="AF86" s="4" t="s">
        <v>1148</v>
      </c>
    </row>
    <row r="87" spans="1:32" ht="11.25" customHeight="1" x14ac:dyDescent="0.25">
      <c r="A87" s="4" t="s">
        <v>21</v>
      </c>
      <c r="B87" s="4" t="s">
        <v>45</v>
      </c>
      <c r="C87" s="4" t="s">
        <v>41</v>
      </c>
      <c r="D87" s="4" t="s">
        <v>52</v>
      </c>
      <c r="E87" s="4" t="s">
        <v>53</v>
      </c>
      <c r="F87" s="4" t="s">
        <v>25</v>
      </c>
      <c r="G87" s="4" t="s">
        <v>25</v>
      </c>
      <c r="H87" s="4" t="s">
        <v>36</v>
      </c>
      <c r="I87" s="5">
        <v>43770</v>
      </c>
      <c r="J87" s="6">
        <v>4896</v>
      </c>
      <c r="K87" s="70">
        <v>4896</v>
      </c>
      <c r="L87" s="6">
        <v>2322.2570000000001</v>
      </c>
      <c r="M87" s="71">
        <v>2322.2570000000001</v>
      </c>
      <c r="N87" s="6">
        <v>2322.2570000000001</v>
      </c>
      <c r="O87" s="71">
        <v>2322.2570000000001</v>
      </c>
      <c r="P87" s="6">
        <v>0</v>
      </c>
      <c r="Q87" s="4" t="s">
        <v>26</v>
      </c>
      <c r="R87" s="4">
        <v>0</v>
      </c>
      <c r="S87" s="4">
        <v>12</v>
      </c>
      <c r="T87" s="4">
        <v>13</v>
      </c>
      <c r="U87" s="4">
        <v>80</v>
      </c>
      <c r="V87" s="71">
        <f>IF(ISERROR(VLOOKUP($S$87,'TAR FIN'!$A$1:$O$120,15,0)),0,VLOOKUP($S$87,'TAR FIN'!$A$1:$O$120,15,0))*(1-0.12)</f>
        <v>7.7528000000000006</v>
      </c>
      <c r="W87" s="71">
        <f>IF(ISERROR(VLOOKUP($T$87,'TAR FIN'!$A$1:$O$120,15,0)),0,VLOOKUP($T$87,'TAR FIN'!$A$1:$O$120,15,0))*(1-0.12)</f>
        <v>74.316000000000003</v>
      </c>
      <c r="X87" s="71">
        <f>IF(ISERROR(VLOOKUP($U$87,'TAR FIN'!$A$1:$O$120,15,0)),0,VLOOKUP($U$87,'TAR FIN'!$A$1:$O$120,15,0))*(1-0.12)</f>
        <v>225.61439999999999</v>
      </c>
      <c r="Y87" s="71">
        <f ca="1">('TUSD BE'!$AM$16+'TUSD BF'!$AM$16+'TUSD CVA'!$AM$16)*1*(1-0.09)</f>
        <v>10.421644550274408</v>
      </c>
      <c r="Z87" s="71">
        <f ca="1">('TUSD BE'!$AM$17+'TUSD BF'!$AM$17+'TUSD CVA'!$AM$17)*1*(1-0.09)</f>
        <v>79.642619388381775</v>
      </c>
      <c r="AA87" s="71">
        <f>('TE BE'!$AA$8+'TE BF'!$AA$8+'TE CVA'!$AA$8)*1*(1-0.09)</f>
        <v>210.05913056249776</v>
      </c>
      <c r="AB87" s="71">
        <f>(SUBSIDIO!$J$87*SUBSIDIO!$V$87)*(0.12)/(1-0.12)</f>
        <v>5176.0511999999999</v>
      </c>
      <c r="AC87" s="71">
        <f>((SUBSIDIO!$L$87*SUBSIDIO!$W$87)+(SUBSIDIO!$N$87*SUBSIDIO!$X$87))*(0.12)/(1-0.12)</f>
        <v>94979.382397199995</v>
      </c>
      <c r="AD87" s="71">
        <f ca="1">(SUBSIDIO!$J$87*SUBSIDIO!$Y$87)*(0.09)/(1-0.09)</f>
        <v>5046.3664336625434</v>
      </c>
      <c r="AE87" s="71">
        <f ca="1">((SUBSIDIO!$L$87*SUBSIDIO!$Z$87)+(SUBSIDIO!$N$87*SUBSIDIO!$AA$87))*(0.09)/(1-0.09)</f>
        <v>66536.8928639683</v>
      </c>
      <c r="AF87" s="4" t="s">
        <v>1148</v>
      </c>
    </row>
    <row r="88" spans="1:32" ht="11.25" customHeight="1" x14ac:dyDescent="0.25">
      <c r="A88" s="4" t="s">
        <v>21</v>
      </c>
      <c r="B88" s="4" t="s">
        <v>45</v>
      </c>
      <c r="C88" s="4" t="s">
        <v>41</v>
      </c>
      <c r="D88" s="4" t="s">
        <v>52</v>
      </c>
      <c r="E88" s="4" t="s">
        <v>53</v>
      </c>
      <c r="F88" s="4" t="s">
        <v>25</v>
      </c>
      <c r="G88" s="4" t="s">
        <v>25</v>
      </c>
      <c r="H88" s="4" t="s">
        <v>36</v>
      </c>
      <c r="I88" s="5">
        <v>43800</v>
      </c>
      <c r="J88" s="6">
        <v>4819</v>
      </c>
      <c r="K88" s="70">
        <v>4819</v>
      </c>
      <c r="L88" s="6">
        <v>2181.991</v>
      </c>
      <c r="M88" s="71">
        <v>2181.991</v>
      </c>
      <c r="N88" s="6">
        <v>2181.991</v>
      </c>
      <c r="O88" s="71">
        <v>2181.991</v>
      </c>
      <c r="P88" s="6">
        <v>0</v>
      </c>
      <c r="Q88" s="4" t="s">
        <v>26</v>
      </c>
      <c r="R88" s="4">
        <v>0</v>
      </c>
      <c r="S88" s="4">
        <v>12</v>
      </c>
      <c r="T88" s="4">
        <v>13</v>
      </c>
      <c r="U88" s="4">
        <v>80</v>
      </c>
      <c r="V88" s="71">
        <f>IF(ISERROR(VLOOKUP($S$88,'TAR FIN'!$A$1:$O$120,15,0)),0,VLOOKUP($S$88,'TAR FIN'!$A$1:$O$120,15,0))*(1-0.12)</f>
        <v>7.7528000000000006</v>
      </c>
      <c r="W88" s="71">
        <f>IF(ISERROR(VLOOKUP($T$88,'TAR FIN'!$A$1:$O$120,15,0)),0,VLOOKUP($T$88,'TAR FIN'!$A$1:$O$120,15,0))*(1-0.12)</f>
        <v>74.316000000000003</v>
      </c>
      <c r="X88" s="71">
        <f>IF(ISERROR(VLOOKUP($U$88,'TAR FIN'!$A$1:$O$120,15,0)),0,VLOOKUP($U$88,'TAR FIN'!$A$1:$O$120,15,0))*(1-0.12)</f>
        <v>225.61439999999999</v>
      </c>
      <c r="Y88" s="71">
        <f ca="1">('TUSD BE'!$AM$16+'TUSD BF'!$AM$16+'TUSD CVA'!$AM$16)*1*(1-0.09)</f>
        <v>10.421644550274408</v>
      </c>
      <c r="Z88" s="71">
        <f ca="1">('TUSD BE'!$AM$17+'TUSD BF'!$AM$17+'TUSD CVA'!$AM$17)*1*(1-0.09)</f>
        <v>79.642619388381775</v>
      </c>
      <c r="AA88" s="71">
        <f>('TE BE'!$AA$8+'TE BF'!$AA$8+'TE CVA'!$AA$8)*1*(1-0.09)</f>
        <v>210.05913056249776</v>
      </c>
      <c r="AB88" s="71">
        <f>(SUBSIDIO!$J$88*SUBSIDIO!$V$88)*(0.12)/(1-0.12)</f>
        <v>5094.6468000000004</v>
      </c>
      <c r="AC88" s="71">
        <f>((SUBSIDIO!$L$88*SUBSIDIO!$W$88)+(SUBSIDIO!$N$88*SUBSIDIO!$X$88))*(0.12)/(1-0.12)</f>
        <v>89242.559103599982</v>
      </c>
      <c r="AD88" s="71">
        <f ca="1">(SUBSIDIO!$J$88*SUBSIDIO!$Y$88)*(0.09)/(1-0.09)</f>
        <v>4967.0016020873773</v>
      </c>
      <c r="AE88" s="71">
        <f ca="1">((SUBSIDIO!$L$88*SUBSIDIO!$Z$88)+(SUBSIDIO!$N$88*SUBSIDIO!$AA$88))*(0.09)/(1-0.09)</f>
        <v>62518.01648014973</v>
      </c>
      <c r="AF88" s="4" t="s">
        <v>1148</v>
      </c>
    </row>
    <row r="89" spans="1:32" ht="11.25" customHeight="1" x14ac:dyDescent="0.25">
      <c r="A89" s="4" t="s">
        <v>21</v>
      </c>
      <c r="B89" s="4" t="s">
        <v>45</v>
      </c>
      <c r="C89" s="4" t="s">
        <v>41</v>
      </c>
      <c r="D89" s="4" t="s">
        <v>52</v>
      </c>
      <c r="E89" s="4" t="s">
        <v>53</v>
      </c>
      <c r="F89" s="4" t="s">
        <v>25</v>
      </c>
      <c r="G89" s="4" t="s">
        <v>25</v>
      </c>
      <c r="H89" s="4" t="s">
        <v>36</v>
      </c>
      <c r="I89" s="5">
        <v>43831</v>
      </c>
      <c r="J89" s="6">
        <v>4867</v>
      </c>
      <c r="K89" s="70">
        <v>4867</v>
      </c>
      <c r="L89" s="6">
        <v>1996.2909999999999</v>
      </c>
      <c r="M89" s="71">
        <v>1996.2909999999999</v>
      </c>
      <c r="N89" s="6">
        <v>1996.2909999999999</v>
      </c>
      <c r="O89" s="71">
        <v>1996.2909999999999</v>
      </c>
      <c r="P89" s="6">
        <v>0</v>
      </c>
      <c r="Q89" s="4" t="s">
        <v>26</v>
      </c>
      <c r="R89" s="4">
        <v>0</v>
      </c>
      <c r="S89" s="4">
        <v>12</v>
      </c>
      <c r="T89" s="4">
        <v>13</v>
      </c>
      <c r="U89" s="4">
        <v>80</v>
      </c>
      <c r="V89" s="71">
        <f>IF(ISERROR(VLOOKUP($S$89,'TAR FIN'!$A$1:$O$120,15,0)),0,VLOOKUP($S$89,'TAR FIN'!$A$1:$O$120,15,0))*(1-0.12)</f>
        <v>7.7528000000000006</v>
      </c>
      <c r="W89" s="71">
        <f>IF(ISERROR(VLOOKUP($T$89,'TAR FIN'!$A$1:$O$120,15,0)),0,VLOOKUP($T$89,'TAR FIN'!$A$1:$O$120,15,0))*(1-0.12)</f>
        <v>74.316000000000003</v>
      </c>
      <c r="X89" s="71">
        <f>IF(ISERROR(VLOOKUP($U$89,'TAR FIN'!$A$1:$O$120,15,0)),0,VLOOKUP($U$89,'TAR FIN'!$A$1:$O$120,15,0))*(1-0.12)</f>
        <v>225.61439999999999</v>
      </c>
      <c r="Y89" s="71">
        <f ca="1">('TUSD BE'!$AM$16+'TUSD BF'!$AM$16+'TUSD CVA'!$AM$16)*1*(1-0.09)</f>
        <v>10.421644550274408</v>
      </c>
      <c r="Z89" s="71">
        <f ca="1">('TUSD BE'!$AM$17+'TUSD BF'!$AM$17+'TUSD CVA'!$AM$17)*1*(1-0.09)</f>
        <v>79.642619388381775</v>
      </c>
      <c r="AA89" s="71">
        <f>('TE BE'!$AA$8+'TE BF'!$AA$8+'TE CVA'!$AA$8)*1*(1-0.09)</f>
        <v>210.05913056249776</v>
      </c>
      <c r="AB89" s="71">
        <f>(SUBSIDIO!$J$89*SUBSIDIO!$V$89)*(0.12)/(1-0.12)</f>
        <v>5145.3923999999997</v>
      </c>
      <c r="AC89" s="71">
        <f>((SUBSIDIO!$L$89*SUBSIDIO!$W$89)+(SUBSIDIO!$N$89*SUBSIDIO!$X$89))*(0.12)/(1-0.12)</f>
        <v>81647.503383599993</v>
      </c>
      <c r="AD89" s="71">
        <f ca="1">(SUBSIDIO!$J$89*SUBSIDIO!$Y$89)*(0.09)/(1-0.09)</f>
        <v>5016.475782809559</v>
      </c>
      <c r="AE89" s="71">
        <f ca="1">((SUBSIDIO!$L$89*SUBSIDIO!$Z$89)+(SUBSIDIO!$N$89*SUBSIDIO!$AA$89))*(0.09)/(1-0.09)</f>
        <v>57197.373241766159</v>
      </c>
      <c r="AF89" s="4" t="s">
        <v>1148</v>
      </c>
    </row>
    <row r="90" spans="1:32" ht="11.25" customHeight="1" x14ac:dyDescent="0.25">
      <c r="A90" s="4" t="s">
        <v>21</v>
      </c>
      <c r="B90" s="4" t="s">
        <v>45</v>
      </c>
      <c r="C90" s="4" t="s">
        <v>41</v>
      </c>
      <c r="D90" s="4" t="s">
        <v>52</v>
      </c>
      <c r="E90" s="4" t="s">
        <v>53</v>
      </c>
      <c r="F90" s="4" t="s">
        <v>25</v>
      </c>
      <c r="G90" s="4" t="s">
        <v>25</v>
      </c>
      <c r="H90" s="4" t="s">
        <v>36</v>
      </c>
      <c r="I90" s="5">
        <v>43862</v>
      </c>
      <c r="J90" s="6">
        <v>4877</v>
      </c>
      <c r="K90" s="70">
        <v>4877</v>
      </c>
      <c r="L90" s="6">
        <v>2130.134</v>
      </c>
      <c r="M90" s="71">
        <v>2130.134</v>
      </c>
      <c r="N90" s="6">
        <v>2130.134</v>
      </c>
      <c r="O90" s="71">
        <v>2130.134</v>
      </c>
      <c r="P90" s="6">
        <v>0</v>
      </c>
      <c r="Q90" s="4" t="s">
        <v>26</v>
      </c>
      <c r="R90" s="4">
        <v>0</v>
      </c>
      <c r="S90" s="4">
        <v>12</v>
      </c>
      <c r="T90" s="4">
        <v>13</v>
      </c>
      <c r="U90" s="4">
        <v>80</v>
      </c>
      <c r="V90" s="71">
        <f>IF(ISERROR(VLOOKUP($S$90,'TAR FIN'!$A$1:$O$120,15,0)),0,VLOOKUP($S$90,'TAR FIN'!$A$1:$O$120,15,0))*(1-0.12)</f>
        <v>7.7528000000000006</v>
      </c>
      <c r="W90" s="71">
        <f>IF(ISERROR(VLOOKUP($T$90,'TAR FIN'!$A$1:$O$120,15,0)),0,VLOOKUP($T$90,'TAR FIN'!$A$1:$O$120,15,0))*(1-0.12)</f>
        <v>74.316000000000003</v>
      </c>
      <c r="X90" s="71">
        <f>IF(ISERROR(VLOOKUP($U$90,'TAR FIN'!$A$1:$O$120,15,0)),0,VLOOKUP($U$90,'TAR FIN'!$A$1:$O$120,15,0))*(1-0.12)</f>
        <v>225.61439999999999</v>
      </c>
      <c r="Y90" s="71">
        <f ca="1">('TUSD BE'!$AM$16+'TUSD BF'!$AM$16+'TUSD CVA'!$AM$16)*1*(1-0.09)</f>
        <v>10.421644550274408</v>
      </c>
      <c r="Z90" s="71">
        <f ca="1">('TUSD BE'!$AM$17+'TUSD BF'!$AM$17+'TUSD CVA'!$AM$17)*1*(1-0.09)</f>
        <v>79.642619388381775</v>
      </c>
      <c r="AA90" s="71">
        <f>('TE BE'!$AA$8+'TE BF'!$AA$8+'TE CVA'!$AA$8)*1*(1-0.09)</f>
        <v>210.05913056249776</v>
      </c>
      <c r="AB90" s="71">
        <f>(SUBSIDIO!$J$90*SUBSIDIO!$V$90)*(0.12)/(1-0.12)</f>
        <v>5155.9644000000008</v>
      </c>
      <c r="AC90" s="71">
        <f>((SUBSIDIO!$L$90*SUBSIDIO!$W$90)+(SUBSIDIO!$N$90*SUBSIDIO!$X$90))*(0.12)/(1-0.12)</f>
        <v>87121.628546399996</v>
      </c>
      <c r="AD90" s="71">
        <f ca="1">(SUBSIDIO!$J$90*SUBSIDIO!$Y$90)*(0.09)/(1-0.09)</f>
        <v>5026.782903793347</v>
      </c>
      <c r="AE90" s="71">
        <f ca="1">((SUBSIDIO!$L$90*SUBSIDIO!$Z$90)+(SUBSIDIO!$N$90*SUBSIDIO!$AA$90))*(0.09)/(1-0.09)</f>
        <v>61032.218976580232</v>
      </c>
      <c r="AF90" s="4" t="s">
        <v>1148</v>
      </c>
    </row>
    <row r="91" spans="1:32" ht="11.25" customHeight="1" x14ac:dyDescent="0.25">
      <c r="A91" s="4" t="s">
        <v>21</v>
      </c>
      <c r="B91" s="4" t="s">
        <v>45</v>
      </c>
      <c r="C91" s="4" t="s">
        <v>41</v>
      </c>
      <c r="D91" s="4" t="s">
        <v>52</v>
      </c>
      <c r="E91" s="4" t="s">
        <v>53</v>
      </c>
      <c r="F91" s="4" t="s">
        <v>25</v>
      </c>
      <c r="G91" s="4" t="s">
        <v>25</v>
      </c>
      <c r="H91" s="4" t="s">
        <v>36</v>
      </c>
      <c r="I91" s="5">
        <v>43891</v>
      </c>
      <c r="J91" s="6">
        <v>4906</v>
      </c>
      <c r="K91" s="70">
        <v>4906</v>
      </c>
      <c r="L91" s="6">
        <v>2010.1510000000001</v>
      </c>
      <c r="M91" s="71">
        <v>2010.1510000000001</v>
      </c>
      <c r="N91" s="6">
        <v>2010.1510000000001</v>
      </c>
      <c r="O91" s="71">
        <v>2010.1510000000001</v>
      </c>
      <c r="P91" s="6">
        <v>0</v>
      </c>
      <c r="Q91" s="4" t="s">
        <v>26</v>
      </c>
      <c r="R91" s="4">
        <v>0</v>
      </c>
      <c r="S91" s="4">
        <v>12</v>
      </c>
      <c r="T91" s="4">
        <v>13</v>
      </c>
      <c r="U91" s="4">
        <v>80</v>
      </c>
      <c r="V91" s="71">
        <f>IF(ISERROR(VLOOKUP($S$91,'TAR FIN'!$A$1:$O$120,15,0)),0,VLOOKUP($S$91,'TAR FIN'!$A$1:$O$120,15,0))*(1-0.12)</f>
        <v>7.7528000000000006</v>
      </c>
      <c r="W91" s="71">
        <f>IF(ISERROR(VLOOKUP($T$91,'TAR FIN'!$A$1:$O$120,15,0)),0,VLOOKUP($T$91,'TAR FIN'!$A$1:$O$120,15,0))*(1-0.12)</f>
        <v>74.316000000000003</v>
      </c>
      <c r="X91" s="71">
        <f>IF(ISERROR(VLOOKUP($U$91,'TAR FIN'!$A$1:$O$120,15,0)),0,VLOOKUP($U$91,'TAR FIN'!$A$1:$O$120,15,0))*(1-0.12)</f>
        <v>225.61439999999999</v>
      </c>
      <c r="Y91" s="71">
        <f ca="1">('TUSD BE'!$AM$16+'TUSD BF'!$AM$16+'TUSD CVA'!$AM$16)*1*(1-0.09)</f>
        <v>10.421644550274408</v>
      </c>
      <c r="Z91" s="71">
        <f ca="1">('TUSD BE'!$AM$17+'TUSD BF'!$AM$17+'TUSD CVA'!$AM$17)*1*(1-0.09)</f>
        <v>79.642619388381775</v>
      </c>
      <c r="AA91" s="71">
        <f>('TE BE'!$AA$8+'TE BF'!$AA$8+'TE CVA'!$AA$8)*1*(1-0.09)</f>
        <v>210.05913056249776</v>
      </c>
      <c r="AB91" s="71">
        <f>(SUBSIDIO!$J$91*SUBSIDIO!$V$91)*(0.12)/(1-0.12)</f>
        <v>5186.6232000000009</v>
      </c>
      <c r="AC91" s="71">
        <f>((SUBSIDIO!$L$91*SUBSIDIO!$W$91)+(SUBSIDIO!$N$91*SUBSIDIO!$X$91))*(0.12)/(1-0.12)</f>
        <v>82214.371839599989</v>
      </c>
      <c r="AD91" s="71">
        <f ca="1">(SUBSIDIO!$J$91*SUBSIDIO!$Y$91)*(0.09)/(1-0.09)</f>
        <v>5056.6735546463315</v>
      </c>
      <c r="AE91" s="71">
        <f ca="1">((SUBSIDIO!$L$91*SUBSIDIO!$Z$91)+(SUBSIDIO!$N$91*SUBSIDIO!$AA$91))*(0.09)/(1-0.09)</f>
        <v>57594.487486698832</v>
      </c>
      <c r="AF91" s="4" t="s">
        <v>1148</v>
      </c>
    </row>
    <row r="92" spans="1:32" ht="11.25" customHeight="1" x14ac:dyDescent="0.25">
      <c r="A92" s="4" t="s">
        <v>21</v>
      </c>
      <c r="B92" s="4" t="s">
        <v>45</v>
      </c>
      <c r="C92" s="4" t="s">
        <v>41</v>
      </c>
      <c r="D92" s="4" t="s">
        <v>52</v>
      </c>
      <c r="E92" s="4" t="s">
        <v>53</v>
      </c>
      <c r="F92" s="4" t="s">
        <v>25</v>
      </c>
      <c r="G92" s="4" t="s">
        <v>25</v>
      </c>
      <c r="H92" s="4" t="s">
        <v>36</v>
      </c>
      <c r="I92" s="5">
        <v>43922</v>
      </c>
      <c r="J92" s="6">
        <v>4906</v>
      </c>
      <c r="K92" s="70">
        <v>4906</v>
      </c>
      <c r="L92" s="6">
        <v>2322.9340000000002</v>
      </c>
      <c r="M92" s="71">
        <v>2322.9340000000002</v>
      </c>
      <c r="N92" s="6">
        <v>2322.9340000000002</v>
      </c>
      <c r="O92" s="71">
        <v>2322.9340000000002</v>
      </c>
      <c r="P92" s="6">
        <v>0</v>
      </c>
      <c r="Q92" s="4" t="s">
        <v>26</v>
      </c>
      <c r="R92" s="4">
        <v>0</v>
      </c>
      <c r="S92" s="4">
        <v>12</v>
      </c>
      <c r="T92" s="4">
        <v>13</v>
      </c>
      <c r="U92" s="4">
        <v>80</v>
      </c>
      <c r="V92" s="71">
        <f>IF(ISERROR(VLOOKUP($S$92,'TAR FIN'!$A$1:$O$120,15,0)),0,VLOOKUP($S$92,'TAR FIN'!$A$1:$O$120,15,0))*(1-0.12)</f>
        <v>7.7528000000000006</v>
      </c>
      <c r="W92" s="71">
        <f>IF(ISERROR(VLOOKUP($T$92,'TAR FIN'!$A$1:$O$120,15,0)),0,VLOOKUP($T$92,'TAR FIN'!$A$1:$O$120,15,0))*(1-0.12)</f>
        <v>74.316000000000003</v>
      </c>
      <c r="X92" s="71">
        <f>IF(ISERROR(VLOOKUP($U$92,'TAR FIN'!$A$1:$O$120,15,0)),0,VLOOKUP($U$92,'TAR FIN'!$A$1:$O$120,15,0))*(1-0.12)</f>
        <v>225.61439999999999</v>
      </c>
      <c r="Y92" s="71">
        <f ca="1">('TUSD BE'!$AM$16+'TUSD BF'!$AM$16+'TUSD CVA'!$AM$16)*1*(1-0.09)</f>
        <v>10.421644550274408</v>
      </c>
      <c r="Z92" s="71">
        <f ca="1">('TUSD BE'!$AM$17+'TUSD BF'!$AM$17+'TUSD CVA'!$AM$17)*1*(1-0.09)</f>
        <v>79.642619388381775</v>
      </c>
      <c r="AA92" s="71">
        <f>('TE BE'!$AA$8+'TE BF'!$AA$8+'TE CVA'!$AA$8)*1*(1-0.09)</f>
        <v>210.05913056249776</v>
      </c>
      <c r="AB92" s="71">
        <f>(SUBSIDIO!$J$92*SUBSIDIO!$V$92)*(0.12)/(1-0.12)</f>
        <v>5186.6232000000009</v>
      </c>
      <c r="AC92" s="71">
        <f>((SUBSIDIO!$L$92*SUBSIDIO!$W$92)+(SUBSIDIO!$N$92*SUBSIDIO!$X$92))*(0.12)/(1-0.12)</f>
        <v>95007.071426399998</v>
      </c>
      <c r="AD92" s="71">
        <f ca="1">(SUBSIDIO!$J$92*SUBSIDIO!$Y$92)*(0.09)/(1-0.09)</f>
        <v>5056.6735546463315</v>
      </c>
      <c r="AE92" s="71">
        <f ca="1">((SUBSIDIO!$L$92*SUBSIDIO!$Z$92)+(SUBSIDIO!$N$92*SUBSIDIO!$AA$92))*(0.09)/(1-0.09)</f>
        <v>66556.29014707217</v>
      </c>
      <c r="AF92" s="4" t="s">
        <v>1148</v>
      </c>
    </row>
    <row r="93" spans="1:32" ht="11.25" customHeight="1" x14ac:dyDescent="0.25">
      <c r="A93" s="4" t="s">
        <v>21</v>
      </c>
      <c r="B93" s="4" t="s">
        <v>45</v>
      </c>
      <c r="C93" s="4" t="s">
        <v>41</v>
      </c>
      <c r="D93" s="4" t="s">
        <v>52</v>
      </c>
      <c r="E93" s="4" t="s">
        <v>53</v>
      </c>
      <c r="F93" s="4" t="s">
        <v>25</v>
      </c>
      <c r="G93" s="4" t="s">
        <v>25</v>
      </c>
      <c r="H93" s="4" t="s">
        <v>36</v>
      </c>
      <c r="I93" s="5">
        <v>43952</v>
      </c>
      <c r="J93" s="6">
        <v>4810</v>
      </c>
      <c r="K93" s="70">
        <v>4810</v>
      </c>
      <c r="L93" s="6">
        <v>2311.558</v>
      </c>
      <c r="M93" s="71">
        <v>2311.558</v>
      </c>
      <c r="N93" s="6">
        <v>2311.558</v>
      </c>
      <c r="O93" s="71">
        <v>2311.558</v>
      </c>
      <c r="P93" s="6">
        <v>0</v>
      </c>
      <c r="Q93" s="4" t="s">
        <v>26</v>
      </c>
      <c r="R93" s="4">
        <v>0</v>
      </c>
      <c r="S93" s="4">
        <v>12</v>
      </c>
      <c r="T93" s="4">
        <v>13</v>
      </c>
      <c r="U93" s="4">
        <v>80</v>
      </c>
      <c r="V93" s="71">
        <f>IF(ISERROR(VLOOKUP($S$93,'TAR FIN'!$A$1:$O$120,15,0)),0,VLOOKUP($S$93,'TAR FIN'!$A$1:$O$120,15,0))*(1-0.12)</f>
        <v>7.7528000000000006</v>
      </c>
      <c r="W93" s="71">
        <f>IF(ISERROR(VLOOKUP($T$93,'TAR FIN'!$A$1:$O$120,15,0)),0,VLOOKUP($T$93,'TAR FIN'!$A$1:$O$120,15,0))*(1-0.12)</f>
        <v>74.316000000000003</v>
      </c>
      <c r="X93" s="71">
        <f>IF(ISERROR(VLOOKUP($U$93,'TAR FIN'!$A$1:$O$120,15,0)),0,VLOOKUP($U$93,'TAR FIN'!$A$1:$O$120,15,0))*(1-0.12)</f>
        <v>225.61439999999999</v>
      </c>
      <c r="Y93" s="71">
        <f ca="1">('TUSD BE'!$AM$16+'TUSD BF'!$AM$16+'TUSD CVA'!$AM$16)*1*(1-0.09)</f>
        <v>10.421644550274408</v>
      </c>
      <c r="Z93" s="71">
        <f ca="1">('TUSD BE'!$AM$17+'TUSD BF'!$AM$17+'TUSD CVA'!$AM$17)*1*(1-0.09)</f>
        <v>79.642619388381775</v>
      </c>
      <c r="AA93" s="71">
        <f>('TE BE'!$AA$8+'TE BF'!$AA$8+'TE CVA'!$AA$8)*1*(1-0.09)</f>
        <v>210.05913056249776</v>
      </c>
      <c r="AB93" s="71">
        <f>(SUBSIDIO!$J$93*SUBSIDIO!$V$93)*(0.12)/(1-0.12)</f>
        <v>5085.1319999999996</v>
      </c>
      <c r="AC93" s="71">
        <f>((SUBSIDIO!$L$93*SUBSIDIO!$W$93)+(SUBSIDIO!$N$93*SUBSIDIO!$X$93))*(0.12)/(1-0.12)</f>
        <v>94541.797576799989</v>
      </c>
      <c r="AD93" s="71">
        <f ca="1">(SUBSIDIO!$J$93*SUBSIDIO!$Y$93)*(0.09)/(1-0.09)</f>
        <v>4957.7251932019681</v>
      </c>
      <c r="AE93" s="71">
        <f ca="1">((SUBSIDIO!$L$93*SUBSIDIO!$Z$93)+(SUBSIDIO!$N$93*SUBSIDIO!$AA$93))*(0.09)/(1-0.09)</f>
        <v>66230.347026556003</v>
      </c>
      <c r="AF93" s="4" t="s">
        <v>1148</v>
      </c>
    </row>
    <row r="94" spans="1:32" ht="11.25" customHeight="1" x14ac:dyDescent="0.25">
      <c r="A94" s="4" t="s">
        <v>21</v>
      </c>
      <c r="B94" s="4" t="s">
        <v>45</v>
      </c>
      <c r="C94" s="4" t="s">
        <v>41</v>
      </c>
      <c r="D94" s="4" t="s">
        <v>52</v>
      </c>
      <c r="E94" s="4" t="s">
        <v>53</v>
      </c>
      <c r="F94" s="4" t="s">
        <v>25</v>
      </c>
      <c r="G94" s="4" t="s">
        <v>25</v>
      </c>
      <c r="H94" s="4" t="s">
        <v>36</v>
      </c>
      <c r="I94" s="5">
        <v>43983</v>
      </c>
      <c r="J94" s="6">
        <v>4848</v>
      </c>
      <c r="K94" s="70">
        <v>4848</v>
      </c>
      <c r="L94" s="6">
        <v>2535.71</v>
      </c>
      <c r="M94" s="71">
        <v>2535.71</v>
      </c>
      <c r="N94" s="6">
        <v>2535.71</v>
      </c>
      <c r="O94" s="71">
        <v>2535.71</v>
      </c>
      <c r="P94" s="6">
        <v>0</v>
      </c>
      <c r="Q94" s="4" t="s">
        <v>26</v>
      </c>
      <c r="R94" s="4">
        <v>0</v>
      </c>
      <c r="S94" s="4">
        <v>12</v>
      </c>
      <c r="T94" s="4">
        <v>13</v>
      </c>
      <c r="U94" s="4">
        <v>80</v>
      </c>
      <c r="V94" s="71">
        <f>IF(ISERROR(VLOOKUP($S$94,'TAR FIN'!$A$1:$O$120,15,0)),0,VLOOKUP($S$94,'TAR FIN'!$A$1:$O$120,15,0))*(1-0.12)</f>
        <v>7.7528000000000006</v>
      </c>
      <c r="W94" s="71">
        <f>IF(ISERROR(VLOOKUP($T$94,'TAR FIN'!$A$1:$O$120,15,0)),0,VLOOKUP($T$94,'TAR FIN'!$A$1:$O$120,15,0))*(1-0.12)</f>
        <v>74.316000000000003</v>
      </c>
      <c r="X94" s="71">
        <f>IF(ISERROR(VLOOKUP($U$94,'TAR FIN'!$A$1:$O$120,15,0)),0,VLOOKUP($U$94,'TAR FIN'!$A$1:$O$120,15,0))*(1-0.12)</f>
        <v>225.61439999999999</v>
      </c>
      <c r="Y94" s="71">
        <f ca="1">('TUSD BE'!$AM$16+'TUSD BF'!$AM$16+'TUSD CVA'!$AM$16)*1*(1-0.09)</f>
        <v>10.421644550274408</v>
      </c>
      <c r="Z94" s="71">
        <f ca="1">('TUSD BE'!$AM$17+'TUSD BF'!$AM$17+'TUSD CVA'!$AM$17)*1*(1-0.09)</f>
        <v>79.642619388381775</v>
      </c>
      <c r="AA94" s="71">
        <f>('TE BE'!$AA$8+'TE BF'!$AA$8+'TE CVA'!$AA$8)*1*(1-0.09)</f>
        <v>210.05913056249776</v>
      </c>
      <c r="AB94" s="71">
        <f>(SUBSIDIO!$J$94*SUBSIDIO!$V$94)*(0.12)/(1-0.12)</f>
        <v>5125.3056000000006</v>
      </c>
      <c r="AC94" s="71">
        <f>((SUBSIDIO!$L$94*SUBSIDIO!$W$94)+(SUBSIDIO!$N$94*SUBSIDIO!$X$94))*(0.12)/(1-0.12)</f>
        <v>103709.52471599999</v>
      </c>
      <c r="AD94" s="71">
        <f ca="1">(SUBSIDIO!$J$94*SUBSIDIO!$Y$94)*(0.09)/(1-0.09)</f>
        <v>4996.8922529403626</v>
      </c>
      <c r="AE94" s="71">
        <f ca="1">((SUBSIDIO!$L$94*SUBSIDIO!$Z$94)+(SUBSIDIO!$N$94*SUBSIDIO!$AA$94))*(0.09)/(1-0.09)</f>
        <v>72652.710102324199</v>
      </c>
      <c r="AF94" s="4" t="s">
        <v>1148</v>
      </c>
    </row>
    <row r="95" spans="1:32" ht="11.25" customHeight="1" x14ac:dyDescent="0.25">
      <c r="A95" s="4" t="s">
        <v>21</v>
      </c>
      <c r="B95" s="4" t="s">
        <v>45</v>
      </c>
      <c r="C95" s="4" t="s">
        <v>41</v>
      </c>
      <c r="D95" s="4" t="s">
        <v>52</v>
      </c>
      <c r="E95" s="4" t="s">
        <v>53</v>
      </c>
      <c r="F95" s="4" t="s">
        <v>25</v>
      </c>
      <c r="G95" s="4" t="s">
        <v>25</v>
      </c>
      <c r="H95" s="4" t="s">
        <v>36</v>
      </c>
      <c r="I95" s="5">
        <v>44013</v>
      </c>
      <c r="J95" s="6">
        <v>4867</v>
      </c>
      <c r="K95" s="70">
        <v>4867</v>
      </c>
      <c r="L95" s="6">
        <v>2454.13</v>
      </c>
      <c r="M95" s="71">
        <v>2454.13</v>
      </c>
      <c r="N95" s="6">
        <v>2454.13</v>
      </c>
      <c r="O95" s="71">
        <v>2454.13</v>
      </c>
      <c r="P95" s="6">
        <v>0</v>
      </c>
      <c r="Q95" s="4" t="s">
        <v>26</v>
      </c>
      <c r="R95" s="4">
        <v>0</v>
      </c>
      <c r="S95" s="4">
        <v>12</v>
      </c>
      <c r="T95" s="4">
        <v>13</v>
      </c>
      <c r="U95" s="4">
        <v>80</v>
      </c>
      <c r="V95" s="71">
        <f>IF(ISERROR(VLOOKUP($S$95,'TAR FIN'!$A$1:$O$120,15,0)),0,VLOOKUP($S$95,'TAR FIN'!$A$1:$O$120,15,0))*(1-0.12)</f>
        <v>7.7528000000000006</v>
      </c>
      <c r="W95" s="71">
        <f>IF(ISERROR(VLOOKUP($T$95,'TAR FIN'!$A$1:$O$120,15,0)),0,VLOOKUP($T$95,'TAR FIN'!$A$1:$O$120,15,0))*(1-0.12)</f>
        <v>74.316000000000003</v>
      </c>
      <c r="X95" s="71">
        <f>IF(ISERROR(VLOOKUP($U$95,'TAR FIN'!$A$1:$O$120,15,0)),0,VLOOKUP($U$95,'TAR FIN'!$A$1:$O$120,15,0))*(1-0.12)</f>
        <v>225.61439999999999</v>
      </c>
      <c r="Y95" s="71">
        <f ca="1">('TUSD BE'!$AM$16+'TUSD BF'!$AM$16+'TUSD CVA'!$AM$16)*1*(1-0.09)</f>
        <v>10.421644550274408</v>
      </c>
      <c r="Z95" s="71">
        <f ca="1">('TUSD BE'!$AM$17+'TUSD BF'!$AM$17+'TUSD CVA'!$AM$17)*1*(1-0.09)</f>
        <v>79.642619388381775</v>
      </c>
      <c r="AA95" s="71">
        <f>('TE BE'!$AA$8+'TE BF'!$AA$8+'TE CVA'!$AA$8)*1*(1-0.09)</f>
        <v>210.05913056249776</v>
      </c>
      <c r="AB95" s="71">
        <f>(SUBSIDIO!$J$95*SUBSIDIO!$V$95)*(0.12)/(1-0.12)</f>
        <v>5145.3923999999997</v>
      </c>
      <c r="AC95" s="71">
        <f>((SUBSIDIO!$L$95*SUBSIDIO!$W$95)+(SUBSIDIO!$N$95*SUBSIDIO!$X$95))*(0.12)/(1-0.12)</f>
        <v>100372.935348</v>
      </c>
      <c r="AD95" s="71">
        <f ca="1">(SUBSIDIO!$J$95*SUBSIDIO!$Y$95)*(0.09)/(1-0.09)</f>
        <v>5016.475782809559</v>
      </c>
      <c r="AE95" s="71">
        <f ca="1">((SUBSIDIO!$L$95*SUBSIDIO!$Z$95)+(SUBSIDIO!$N$95*SUBSIDIO!$AA$95))*(0.09)/(1-0.09)</f>
        <v>70315.294510577674</v>
      </c>
      <c r="AF95" s="4" t="s">
        <v>1148</v>
      </c>
    </row>
    <row r="96" spans="1:32" ht="11.25" customHeight="1" x14ac:dyDescent="0.25">
      <c r="A96" s="4" t="s">
        <v>21</v>
      </c>
      <c r="B96" s="4" t="s">
        <v>45</v>
      </c>
      <c r="C96" s="4" t="s">
        <v>41</v>
      </c>
      <c r="D96" s="4" t="s">
        <v>52</v>
      </c>
      <c r="E96" s="4" t="s">
        <v>53</v>
      </c>
      <c r="F96" s="4" t="s">
        <v>25</v>
      </c>
      <c r="G96" s="4" t="s">
        <v>25</v>
      </c>
      <c r="H96" s="4" t="s">
        <v>36</v>
      </c>
      <c r="I96" s="5">
        <v>44044</v>
      </c>
      <c r="J96" s="6">
        <v>4858</v>
      </c>
      <c r="K96" s="70">
        <v>4858</v>
      </c>
      <c r="L96" s="6">
        <v>2414.172</v>
      </c>
      <c r="M96" s="71">
        <v>2414.172</v>
      </c>
      <c r="N96" s="6">
        <v>2414.172</v>
      </c>
      <c r="O96" s="71">
        <v>2414.172</v>
      </c>
      <c r="P96" s="6">
        <v>0</v>
      </c>
      <c r="Q96" s="4" t="s">
        <v>26</v>
      </c>
      <c r="R96" s="4">
        <v>0</v>
      </c>
      <c r="S96" s="4">
        <v>12</v>
      </c>
      <c r="T96" s="4">
        <v>13</v>
      </c>
      <c r="U96" s="4">
        <v>80</v>
      </c>
      <c r="V96" s="71">
        <f>IF(ISERROR(VLOOKUP($S$96,'TAR FIN'!$A$1:$O$120,15,0)),0,VLOOKUP($S$96,'TAR FIN'!$A$1:$O$120,15,0))*(1-0.12)</f>
        <v>7.7528000000000006</v>
      </c>
      <c r="W96" s="71">
        <f>IF(ISERROR(VLOOKUP($T$96,'TAR FIN'!$A$1:$O$120,15,0)),0,VLOOKUP($T$96,'TAR FIN'!$A$1:$O$120,15,0))*(1-0.12)</f>
        <v>74.316000000000003</v>
      </c>
      <c r="X96" s="71">
        <f>IF(ISERROR(VLOOKUP($U$96,'TAR FIN'!$A$1:$O$120,15,0)),0,VLOOKUP($U$96,'TAR FIN'!$A$1:$O$120,15,0))*(1-0.12)</f>
        <v>225.61439999999999</v>
      </c>
      <c r="Y96" s="71">
        <f ca="1">('TUSD BE'!$AM$16+'TUSD BF'!$AM$16+'TUSD CVA'!$AM$16)*1*(1-0.09)</f>
        <v>10.421644550274408</v>
      </c>
      <c r="Z96" s="71">
        <f ca="1">('TUSD BE'!$AM$17+'TUSD BF'!$AM$17+'TUSD CVA'!$AM$17)*1*(1-0.09)</f>
        <v>79.642619388381775</v>
      </c>
      <c r="AA96" s="71">
        <f>('TE BE'!$AA$8+'TE BF'!$AA$8+'TE CVA'!$AA$8)*1*(1-0.09)</f>
        <v>210.05913056249776</v>
      </c>
      <c r="AB96" s="71">
        <f>(SUBSIDIO!$J$96*SUBSIDIO!$V$96)*(0.12)/(1-0.12)</f>
        <v>5135.8776000000007</v>
      </c>
      <c r="AC96" s="71">
        <f>((SUBSIDIO!$L$96*SUBSIDIO!$W$96)+(SUBSIDIO!$N$96*SUBSIDIO!$X$96))*(0.12)/(1-0.12)</f>
        <v>98738.669131199989</v>
      </c>
      <c r="AD96" s="71">
        <f ca="1">(SUBSIDIO!$J$96*SUBSIDIO!$Y$96)*(0.09)/(1-0.09)</f>
        <v>5007.1993739241507</v>
      </c>
      <c r="AE96" s="71">
        <f ca="1">((SUBSIDIO!$L$96*SUBSIDIO!$Z$96)+(SUBSIDIO!$N$96*SUBSIDIO!$AA$96))*(0.09)/(1-0.09)</f>
        <v>69170.425030128928</v>
      </c>
      <c r="AF96" s="4" t="s">
        <v>1148</v>
      </c>
    </row>
    <row r="97" spans="1:32" ht="11.25" customHeight="1" x14ac:dyDescent="0.25">
      <c r="A97" s="4" t="s">
        <v>59</v>
      </c>
      <c r="B97" s="4" t="s">
        <v>45</v>
      </c>
      <c r="C97" s="4" t="s">
        <v>41</v>
      </c>
      <c r="D97" s="4" t="s">
        <v>52</v>
      </c>
      <c r="E97" s="4" t="s">
        <v>53</v>
      </c>
      <c r="F97" s="4" t="s">
        <v>25</v>
      </c>
      <c r="G97" s="4" t="s">
        <v>25</v>
      </c>
      <c r="H97" s="4" t="s">
        <v>36</v>
      </c>
      <c r="I97" s="5">
        <v>44075</v>
      </c>
      <c r="J97" s="6">
        <v>4858</v>
      </c>
      <c r="K97" s="70">
        <v>4858</v>
      </c>
      <c r="L97" s="6">
        <v>2414.172</v>
      </c>
      <c r="M97" s="71">
        <v>2414.172</v>
      </c>
      <c r="N97" s="6">
        <v>2414.172</v>
      </c>
      <c r="O97" s="71">
        <v>2414.172</v>
      </c>
      <c r="P97" s="6">
        <v>0</v>
      </c>
      <c r="Q97" s="4" t="s">
        <v>26</v>
      </c>
      <c r="R97" s="4">
        <v>0</v>
      </c>
      <c r="S97" s="4">
        <v>12</v>
      </c>
      <c r="T97" s="4">
        <v>13</v>
      </c>
      <c r="U97" s="4">
        <v>80</v>
      </c>
      <c r="V97" s="71">
        <f>IF(ISERROR(VLOOKUP($S$97,'TAR FIN'!$A$1:$O$120,15,0)),0,VLOOKUP($S$97,'TAR FIN'!$A$1:$O$120,15,0))*(1-0.12)</f>
        <v>7.7528000000000006</v>
      </c>
      <c r="W97" s="71">
        <f>IF(ISERROR(VLOOKUP($T$97,'TAR FIN'!$A$1:$O$120,15,0)),0,VLOOKUP($T$97,'TAR FIN'!$A$1:$O$120,15,0))*(1-0.12)</f>
        <v>74.316000000000003</v>
      </c>
      <c r="X97" s="71">
        <f>IF(ISERROR(VLOOKUP($U$97,'TAR FIN'!$A$1:$O$120,15,0)),0,VLOOKUP($U$97,'TAR FIN'!$A$1:$O$120,15,0))*(1-0.12)</f>
        <v>225.61439999999999</v>
      </c>
      <c r="Y97" s="71">
        <f ca="1">('TUSD BE'!$AM$16+'TUSD BF'!$AM$16+'TUSD CVA'!$AM$16)*1*(1-0.09)</f>
        <v>10.421644550274408</v>
      </c>
      <c r="Z97" s="71">
        <f ca="1">('TUSD BE'!$AM$17+'TUSD BF'!$AM$17+'TUSD CVA'!$AM$17)*1*(1-0.09)</f>
        <v>79.642619388381775</v>
      </c>
      <c r="AA97" s="71">
        <f>('TE BE'!$AA$8+'TE BF'!$AA$8+'TE CVA'!$AA$8)*1*(1-0.09)</f>
        <v>210.05913056249776</v>
      </c>
      <c r="AB97" s="71">
        <f>(SUBSIDIO!$J$97*SUBSIDIO!$V$97)*(0.12)/(1-0.12)</f>
        <v>5135.8776000000007</v>
      </c>
      <c r="AC97" s="71">
        <f>((SUBSIDIO!$L$97*SUBSIDIO!$W$97)+(SUBSIDIO!$N$97*SUBSIDIO!$X$97))*(0.12)/(1-0.12)</f>
        <v>98738.669131199989</v>
      </c>
      <c r="AD97" s="71">
        <f ca="1">(SUBSIDIO!$J$97*SUBSIDIO!$Y$97)*(0.09)/(1-0.09)</f>
        <v>5007.1993739241507</v>
      </c>
      <c r="AE97" s="71">
        <f ca="1">((SUBSIDIO!$L$97*SUBSIDIO!$Z$97)+(SUBSIDIO!$N$97*SUBSIDIO!$AA$97))*(0.09)/(1-0.09)</f>
        <v>69170.425030128928</v>
      </c>
      <c r="AF97" s="4" t="s">
        <v>1148</v>
      </c>
    </row>
    <row r="98" spans="1:32" ht="11.25" customHeight="1" x14ac:dyDescent="0.25">
      <c r="A98" s="4" t="s">
        <v>21</v>
      </c>
      <c r="B98" s="4" t="s">
        <v>45</v>
      </c>
      <c r="C98" s="4" t="s">
        <v>41</v>
      </c>
      <c r="D98" s="4" t="s">
        <v>52</v>
      </c>
      <c r="E98" s="4" t="s">
        <v>53</v>
      </c>
      <c r="F98" s="4" t="s">
        <v>25</v>
      </c>
      <c r="G98" s="4" t="s">
        <v>25</v>
      </c>
      <c r="H98" s="4" t="s">
        <v>35</v>
      </c>
      <c r="I98" s="5">
        <v>43739</v>
      </c>
      <c r="J98" s="6">
        <v>3800</v>
      </c>
      <c r="K98" s="70">
        <v>3800</v>
      </c>
      <c r="L98" s="6">
        <v>212.26300000000001</v>
      </c>
      <c r="M98" s="71">
        <v>212.26300000000001</v>
      </c>
      <c r="N98" s="6">
        <v>212.26300000000001</v>
      </c>
      <c r="O98" s="71">
        <v>212.26300000000001</v>
      </c>
      <c r="P98" s="6">
        <v>0</v>
      </c>
      <c r="Q98" s="4" t="s">
        <v>26</v>
      </c>
      <c r="R98" s="4">
        <v>0</v>
      </c>
      <c r="S98" s="4">
        <v>11</v>
      </c>
      <c r="T98" s="4">
        <v>13</v>
      </c>
      <c r="U98" s="4">
        <v>79</v>
      </c>
      <c r="V98" s="71">
        <f>IF(ISERROR(VLOOKUP($S$98,'TAR FIN'!$A$1:$O$120,15,0)),0,VLOOKUP($S$98,'TAR FIN'!$A$1:$O$120,15,0))*(1-0.12)</f>
        <v>20.187200000000001</v>
      </c>
      <c r="W98" s="71">
        <f>IF(ISERROR(VLOOKUP($T$98,'TAR FIN'!$A$1:$O$120,15,0)),0,VLOOKUP($T$98,'TAR FIN'!$A$1:$O$120,15,0))*(1-0.12)</f>
        <v>74.316000000000003</v>
      </c>
      <c r="X98" s="71">
        <f>IF(ISERROR(VLOOKUP($U$98,'TAR FIN'!$A$1:$O$120,15,0)),0,VLOOKUP($U$98,'TAR FIN'!$A$1:$O$120,15,0))*(1-0.12)</f>
        <v>379.16559999999998</v>
      </c>
      <c r="Y98" s="71">
        <f ca="1">('TUSD BE'!$AM$15+'TUSD BF'!$AM$15+'TUSD CVA'!$AM$15)*1*(1-0.09)</f>
        <v>24.766817708975264</v>
      </c>
      <c r="Z98" s="71">
        <f ca="1">('TUSD BE'!$AM$17+'TUSD BF'!$AM$17+'TUSD CVA'!$AM$17)*1*(1-0.09)</f>
        <v>79.642619388381775</v>
      </c>
      <c r="AA98" s="71">
        <f>('TE BE'!$AA$7+'TE BF'!$AA$7+'TE CVA'!$AA$7)*1*(1-0.09)</f>
        <v>341.87954044517699</v>
      </c>
      <c r="AB98" s="71">
        <f>(SUBSIDIO!$J$98*SUBSIDIO!$V$98)*(0.12)/(1-0.12)</f>
        <v>10460.64</v>
      </c>
      <c r="AC98" s="71">
        <f>((SUBSIDIO!$L$98*SUBSIDIO!$W$98)+(SUBSIDIO!$N$98*SUBSIDIO!$X$98))*(0.12)/(1-0.12)</f>
        <v>13126.0042992</v>
      </c>
      <c r="AD98" s="71">
        <f ca="1">(SUBSIDIO!$J$98*SUBSIDIO!$Y$98)*(0.09)/(1-0.09)</f>
        <v>9307.9688532632299</v>
      </c>
      <c r="AE98" s="71">
        <f ca="1">((SUBSIDIO!$L$98*SUBSIDIO!$Z$98)+(SUBSIDIO!$N$98*SUBSIDIO!$AA$98))*(0.09)/(1-0.09)</f>
        <v>8849.0332298324847</v>
      </c>
      <c r="AF98" s="4" t="s">
        <v>1148</v>
      </c>
    </row>
    <row r="99" spans="1:32" ht="11.25" customHeight="1" x14ac:dyDescent="0.25">
      <c r="A99" s="4" t="s">
        <v>21</v>
      </c>
      <c r="B99" s="4" t="s">
        <v>45</v>
      </c>
      <c r="C99" s="4" t="s">
        <v>41</v>
      </c>
      <c r="D99" s="4" t="s">
        <v>52</v>
      </c>
      <c r="E99" s="4" t="s">
        <v>53</v>
      </c>
      <c r="F99" s="4" t="s">
        <v>25</v>
      </c>
      <c r="G99" s="4" t="s">
        <v>25</v>
      </c>
      <c r="H99" s="4" t="s">
        <v>35</v>
      </c>
      <c r="I99" s="5">
        <v>43770</v>
      </c>
      <c r="J99" s="6">
        <v>3800</v>
      </c>
      <c r="K99" s="70">
        <v>3800</v>
      </c>
      <c r="L99" s="6">
        <v>249.39599999999999</v>
      </c>
      <c r="M99" s="71">
        <v>249.39599999999999</v>
      </c>
      <c r="N99" s="6">
        <v>249.39599999999999</v>
      </c>
      <c r="O99" s="71">
        <v>249.39599999999999</v>
      </c>
      <c r="P99" s="6">
        <v>0</v>
      </c>
      <c r="Q99" s="4" t="s">
        <v>26</v>
      </c>
      <c r="R99" s="4">
        <v>0</v>
      </c>
      <c r="S99" s="4">
        <v>11</v>
      </c>
      <c r="T99" s="4">
        <v>13</v>
      </c>
      <c r="U99" s="4">
        <v>79</v>
      </c>
      <c r="V99" s="71">
        <f>IF(ISERROR(VLOOKUP($S$99,'TAR FIN'!$A$1:$O$120,15,0)),0,VLOOKUP($S$99,'TAR FIN'!$A$1:$O$120,15,0))*(1-0.12)</f>
        <v>20.187200000000001</v>
      </c>
      <c r="W99" s="71">
        <f>IF(ISERROR(VLOOKUP($T$99,'TAR FIN'!$A$1:$O$120,15,0)),0,VLOOKUP($T$99,'TAR FIN'!$A$1:$O$120,15,0))*(1-0.12)</f>
        <v>74.316000000000003</v>
      </c>
      <c r="X99" s="71">
        <f>IF(ISERROR(VLOOKUP($U$99,'TAR FIN'!$A$1:$O$120,15,0)),0,VLOOKUP($U$99,'TAR FIN'!$A$1:$O$120,15,0))*(1-0.12)</f>
        <v>379.16559999999998</v>
      </c>
      <c r="Y99" s="71">
        <f ca="1">('TUSD BE'!$AM$15+'TUSD BF'!$AM$15+'TUSD CVA'!$AM$15)*1*(1-0.09)</f>
        <v>24.766817708975264</v>
      </c>
      <c r="Z99" s="71">
        <f ca="1">('TUSD BE'!$AM$17+'TUSD BF'!$AM$17+'TUSD CVA'!$AM$17)*1*(1-0.09)</f>
        <v>79.642619388381775</v>
      </c>
      <c r="AA99" s="71">
        <f>('TE BE'!$AA$7+'TE BF'!$AA$7+'TE CVA'!$AA$7)*1*(1-0.09)</f>
        <v>341.87954044517699</v>
      </c>
      <c r="AB99" s="71">
        <f>(SUBSIDIO!$J$99*SUBSIDIO!$V$99)*(0.12)/(1-0.12)</f>
        <v>10460.64</v>
      </c>
      <c r="AC99" s="71">
        <f>((SUBSIDIO!$L$99*SUBSIDIO!$W$99)+(SUBSIDIO!$N$99*SUBSIDIO!$X$99))*(0.12)/(1-0.12)</f>
        <v>15422.249606399999</v>
      </c>
      <c r="AD99" s="71">
        <f ca="1">(SUBSIDIO!$J$99*SUBSIDIO!$Y$99)*(0.09)/(1-0.09)</f>
        <v>9307.9688532632299</v>
      </c>
      <c r="AE99" s="71">
        <f ca="1">((SUBSIDIO!$L$99*SUBSIDIO!$Z$99)+(SUBSIDIO!$N$99*SUBSIDIO!$AA$99))*(0.09)/(1-0.09)</f>
        <v>10397.071045765406</v>
      </c>
      <c r="AF99" s="4" t="s">
        <v>1148</v>
      </c>
    </row>
    <row r="100" spans="1:32" ht="11.25" customHeight="1" x14ac:dyDescent="0.25">
      <c r="A100" s="4" t="s">
        <v>21</v>
      </c>
      <c r="B100" s="4" t="s">
        <v>45</v>
      </c>
      <c r="C100" s="4" t="s">
        <v>41</v>
      </c>
      <c r="D100" s="4" t="s">
        <v>52</v>
      </c>
      <c r="E100" s="4" t="s">
        <v>53</v>
      </c>
      <c r="F100" s="4" t="s">
        <v>25</v>
      </c>
      <c r="G100" s="4" t="s">
        <v>25</v>
      </c>
      <c r="H100" s="4" t="s">
        <v>35</v>
      </c>
      <c r="I100" s="5">
        <v>43800</v>
      </c>
      <c r="J100" s="6">
        <v>3936</v>
      </c>
      <c r="K100" s="70">
        <v>3936</v>
      </c>
      <c r="L100" s="6">
        <v>217.93199999999999</v>
      </c>
      <c r="M100" s="71">
        <v>217.93199999999999</v>
      </c>
      <c r="N100" s="6">
        <v>217.93199999999999</v>
      </c>
      <c r="O100" s="71">
        <v>217.93199999999999</v>
      </c>
      <c r="P100" s="6">
        <v>0</v>
      </c>
      <c r="Q100" s="4" t="s">
        <v>26</v>
      </c>
      <c r="R100" s="4">
        <v>0</v>
      </c>
      <c r="S100" s="4">
        <v>11</v>
      </c>
      <c r="T100" s="4">
        <v>13</v>
      </c>
      <c r="U100" s="4">
        <v>79</v>
      </c>
      <c r="V100" s="71">
        <f>IF(ISERROR(VLOOKUP($S$100,'TAR FIN'!$A$1:$O$120,15,0)),0,VLOOKUP($S$100,'TAR FIN'!$A$1:$O$120,15,0))*(1-0.12)</f>
        <v>20.187200000000001</v>
      </c>
      <c r="W100" s="71">
        <f>IF(ISERROR(VLOOKUP($T$100,'TAR FIN'!$A$1:$O$120,15,0)),0,VLOOKUP($T$100,'TAR FIN'!$A$1:$O$120,15,0))*(1-0.12)</f>
        <v>74.316000000000003</v>
      </c>
      <c r="X100" s="71">
        <f>IF(ISERROR(VLOOKUP($U$100,'TAR FIN'!$A$1:$O$120,15,0)),0,VLOOKUP($U$100,'TAR FIN'!$A$1:$O$120,15,0))*(1-0.12)</f>
        <v>379.16559999999998</v>
      </c>
      <c r="Y100" s="71">
        <f ca="1">('TUSD BE'!$AM$15+'TUSD BF'!$AM$15+'TUSD CVA'!$AM$15)*1*(1-0.09)</f>
        <v>24.766817708975264</v>
      </c>
      <c r="Z100" s="71">
        <f ca="1">('TUSD BE'!$AM$17+'TUSD BF'!$AM$17+'TUSD CVA'!$AM$17)*1*(1-0.09)</f>
        <v>79.642619388381775</v>
      </c>
      <c r="AA100" s="71">
        <f>('TE BE'!$AA$7+'TE BF'!$AA$7+'TE CVA'!$AA$7)*1*(1-0.09)</f>
        <v>341.87954044517699</v>
      </c>
      <c r="AB100" s="71">
        <f>(SUBSIDIO!$J$100*SUBSIDIO!$V$100)*(0.12)/(1-0.12)</f>
        <v>10835.020799999998</v>
      </c>
      <c r="AC100" s="71">
        <f>((SUBSIDIO!$L$100*SUBSIDIO!$W$100)+(SUBSIDIO!$N$100*SUBSIDIO!$X$100))*(0.12)/(1-0.12)</f>
        <v>13476.566188799998</v>
      </c>
      <c r="AD100" s="71">
        <f ca="1">(SUBSIDIO!$J$100*SUBSIDIO!$Y$100)*(0.09)/(1-0.09)</f>
        <v>9641.0961595905446</v>
      </c>
      <c r="AE100" s="71">
        <f ca="1">((SUBSIDIO!$L$100*SUBSIDIO!$Z$100)+(SUBSIDIO!$N$100*SUBSIDIO!$AA$100))*(0.09)/(1-0.09)</f>
        <v>9085.3681981497139</v>
      </c>
      <c r="AF100" s="4" t="s">
        <v>1148</v>
      </c>
    </row>
    <row r="101" spans="1:32" ht="11.25" customHeight="1" x14ac:dyDescent="0.25">
      <c r="A101" s="4" t="s">
        <v>21</v>
      </c>
      <c r="B101" s="4" t="s">
        <v>45</v>
      </c>
      <c r="C101" s="4" t="s">
        <v>41</v>
      </c>
      <c r="D101" s="4" t="s">
        <v>52</v>
      </c>
      <c r="E101" s="4" t="s">
        <v>53</v>
      </c>
      <c r="F101" s="4" t="s">
        <v>25</v>
      </c>
      <c r="G101" s="4" t="s">
        <v>25</v>
      </c>
      <c r="H101" s="4" t="s">
        <v>35</v>
      </c>
      <c r="I101" s="5">
        <v>43831</v>
      </c>
      <c r="J101" s="6">
        <v>3800</v>
      </c>
      <c r="K101" s="70">
        <v>3800</v>
      </c>
      <c r="L101" s="6">
        <v>183.30699999999999</v>
      </c>
      <c r="M101" s="71">
        <v>183.30699999999999</v>
      </c>
      <c r="N101" s="6">
        <v>183.30699999999999</v>
      </c>
      <c r="O101" s="71">
        <v>183.30699999999999</v>
      </c>
      <c r="P101" s="6">
        <v>0</v>
      </c>
      <c r="Q101" s="4" t="s">
        <v>26</v>
      </c>
      <c r="R101" s="4">
        <v>0</v>
      </c>
      <c r="S101" s="4">
        <v>11</v>
      </c>
      <c r="T101" s="4">
        <v>13</v>
      </c>
      <c r="U101" s="4">
        <v>79</v>
      </c>
      <c r="V101" s="71">
        <f>IF(ISERROR(VLOOKUP($S$101,'TAR FIN'!$A$1:$O$120,15,0)),0,VLOOKUP($S$101,'TAR FIN'!$A$1:$O$120,15,0))*(1-0.12)</f>
        <v>20.187200000000001</v>
      </c>
      <c r="W101" s="71">
        <f>IF(ISERROR(VLOOKUP($T$101,'TAR FIN'!$A$1:$O$120,15,0)),0,VLOOKUP($T$101,'TAR FIN'!$A$1:$O$120,15,0))*(1-0.12)</f>
        <v>74.316000000000003</v>
      </c>
      <c r="X101" s="71">
        <f>IF(ISERROR(VLOOKUP($U$101,'TAR FIN'!$A$1:$O$120,15,0)),0,VLOOKUP($U$101,'TAR FIN'!$A$1:$O$120,15,0))*(1-0.12)</f>
        <v>379.16559999999998</v>
      </c>
      <c r="Y101" s="71">
        <f ca="1">('TUSD BE'!$AM$15+'TUSD BF'!$AM$15+'TUSD CVA'!$AM$15)*1*(1-0.09)</f>
        <v>24.766817708975264</v>
      </c>
      <c r="Z101" s="71">
        <f ca="1">('TUSD BE'!$AM$17+'TUSD BF'!$AM$17+'TUSD CVA'!$AM$17)*1*(1-0.09)</f>
        <v>79.642619388381775</v>
      </c>
      <c r="AA101" s="71">
        <f>('TE BE'!$AA$7+'TE BF'!$AA$7+'TE CVA'!$AA$7)*1*(1-0.09)</f>
        <v>341.87954044517699</v>
      </c>
      <c r="AB101" s="71">
        <f>(SUBSIDIO!$J$101*SUBSIDIO!$V$101)*(0.12)/(1-0.12)</f>
        <v>10460.64</v>
      </c>
      <c r="AC101" s="71">
        <f>((SUBSIDIO!$L$101*SUBSIDIO!$W$101)+(SUBSIDIO!$N$101*SUBSIDIO!$X$101))*(0.12)/(1-0.12)</f>
        <v>11335.411588799998</v>
      </c>
      <c r="AD101" s="71">
        <f ca="1">(SUBSIDIO!$J$101*SUBSIDIO!$Y$101)*(0.09)/(1-0.09)</f>
        <v>9307.9688532632299</v>
      </c>
      <c r="AE101" s="71">
        <f ca="1">((SUBSIDIO!$L$101*SUBSIDIO!$Z$101)+(SUBSIDIO!$N$101*SUBSIDIO!$AA$101))*(0.09)/(1-0.09)</f>
        <v>7641.8864063021028</v>
      </c>
      <c r="AF101" s="4" t="s">
        <v>1148</v>
      </c>
    </row>
    <row r="102" spans="1:32" ht="11.25" customHeight="1" x14ac:dyDescent="0.25">
      <c r="A102" s="4" t="s">
        <v>21</v>
      </c>
      <c r="B102" s="4" t="s">
        <v>45</v>
      </c>
      <c r="C102" s="4" t="s">
        <v>41</v>
      </c>
      <c r="D102" s="4" t="s">
        <v>52</v>
      </c>
      <c r="E102" s="4" t="s">
        <v>53</v>
      </c>
      <c r="F102" s="4" t="s">
        <v>25</v>
      </c>
      <c r="G102" s="4" t="s">
        <v>25</v>
      </c>
      <c r="H102" s="4" t="s">
        <v>35</v>
      </c>
      <c r="I102" s="5">
        <v>43862</v>
      </c>
      <c r="J102" s="6">
        <v>3888</v>
      </c>
      <c r="K102" s="70">
        <v>3888</v>
      </c>
      <c r="L102" s="6">
        <v>233.4</v>
      </c>
      <c r="M102" s="71">
        <v>233.4</v>
      </c>
      <c r="N102" s="6">
        <v>233.4</v>
      </c>
      <c r="O102" s="71">
        <v>233.4</v>
      </c>
      <c r="P102" s="6">
        <v>0</v>
      </c>
      <c r="Q102" s="4" t="s">
        <v>26</v>
      </c>
      <c r="R102" s="4">
        <v>0</v>
      </c>
      <c r="S102" s="4">
        <v>11</v>
      </c>
      <c r="T102" s="4">
        <v>13</v>
      </c>
      <c r="U102" s="4">
        <v>79</v>
      </c>
      <c r="V102" s="71">
        <f>IF(ISERROR(VLOOKUP($S$102,'TAR FIN'!$A$1:$O$120,15,0)),0,VLOOKUP($S$102,'TAR FIN'!$A$1:$O$120,15,0))*(1-0.12)</f>
        <v>20.187200000000001</v>
      </c>
      <c r="W102" s="71">
        <f>IF(ISERROR(VLOOKUP($T$102,'TAR FIN'!$A$1:$O$120,15,0)),0,VLOOKUP($T$102,'TAR FIN'!$A$1:$O$120,15,0))*(1-0.12)</f>
        <v>74.316000000000003</v>
      </c>
      <c r="X102" s="71">
        <f>IF(ISERROR(VLOOKUP($U$102,'TAR FIN'!$A$1:$O$120,15,0)),0,VLOOKUP($U$102,'TAR FIN'!$A$1:$O$120,15,0))*(1-0.12)</f>
        <v>379.16559999999998</v>
      </c>
      <c r="Y102" s="71">
        <f ca="1">('TUSD BE'!$AM$15+'TUSD BF'!$AM$15+'TUSD CVA'!$AM$15)*1*(1-0.09)</f>
        <v>24.766817708975264</v>
      </c>
      <c r="Z102" s="71">
        <f ca="1">('TUSD BE'!$AM$17+'TUSD BF'!$AM$17+'TUSD CVA'!$AM$17)*1*(1-0.09)</f>
        <v>79.642619388381775</v>
      </c>
      <c r="AA102" s="71">
        <f>('TE BE'!$AA$7+'TE BF'!$AA$7+'TE CVA'!$AA$7)*1*(1-0.09)</f>
        <v>341.87954044517699</v>
      </c>
      <c r="AB102" s="71">
        <f>(SUBSIDIO!$J$102*SUBSIDIO!$V$102)*(0.12)/(1-0.12)</f>
        <v>10702.886399999999</v>
      </c>
      <c r="AC102" s="71">
        <f>((SUBSIDIO!$L$102*SUBSIDIO!$W$102)+(SUBSIDIO!$N$102*SUBSIDIO!$X$102))*(0.12)/(1-0.12)</f>
        <v>14433.082559999999</v>
      </c>
      <c r="AD102" s="71">
        <f ca="1">(SUBSIDIO!$J$102*SUBSIDIO!$Y$102)*(0.09)/(1-0.09)</f>
        <v>9523.5218161809062</v>
      </c>
      <c r="AE102" s="71">
        <f ca="1">((SUBSIDIO!$L$102*SUBSIDIO!$Z$102)+(SUBSIDIO!$N$102*SUBSIDIO!$AA$102))*(0.09)/(1-0.09)</f>
        <v>9730.2137246854218</v>
      </c>
      <c r="AF102" s="4" t="s">
        <v>1148</v>
      </c>
    </row>
    <row r="103" spans="1:32" ht="11.25" customHeight="1" x14ac:dyDescent="0.25">
      <c r="A103" s="4" t="s">
        <v>21</v>
      </c>
      <c r="B103" s="4" t="s">
        <v>45</v>
      </c>
      <c r="C103" s="4" t="s">
        <v>41</v>
      </c>
      <c r="D103" s="4" t="s">
        <v>52</v>
      </c>
      <c r="E103" s="4" t="s">
        <v>53</v>
      </c>
      <c r="F103" s="4" t="s">
        <v>25</v>
      </c>
      <c r="G103" s="4" t="s">
        <v>25</v>
      </c>
      <c r="H103" s="4" t="s">
        <v>35</v>
      </c>
      <c r="I103" s="5">
        <v>43891</v>
      </c>
      <c r="J103" s="6">
        <v>3888</v>
      </c>
      <c r="K103" s="70">
        <v>3888</v>
      </c>
      <c r="L103" s="6">
        <v>195.57400000000001</v>
      </c>
      <c r="M103" s="71">
        <v>195.57400000000001</v>
      </c>
      <c r="N103" s="6">
        <v>195.57400000000001</v>
      </c>
      <c r="O103" s="71">
        <v>195.57400000000001</v>
      </c>
      <c r="P103" s="6">
        <v>0</v>
      </c>
      <c r="Q103" s="4" t="s">
        <v>26</v>
      </c>
      <c r="R103" s="4">
        <v>0</v>
      </c>
      <c r="S103" s="4">
        <v>11</v>
      </c>
      <c r="T103" s="4">
        <v>13</v>
      </c>
      <c r="U103" s="4">
        <v>79</v>
      </c>
      <c r="V103" s="71">
        <f>IF(ISERROR(VLOOKUP($S$103,'TAR FIN'!$A$1:$O$120,15,0)),0,VLOOKUP($S$103,'TAR FIN'!$A$1:$O$120,15,0))*(1-0.12)</f>
        <v>20.187200000000001</v>
      </c>
      <c r="W103" s="71">
        <f>IF(ISERROR(VLOOKUP($T$103,'TAR FIN'!$A$1:$O$120,15,0)),0,VLOOKUP($T$103,'TAR FIN'!$A$1:$O$120,15,0))*(1-0.12)</f>
        <v>74.316000000000003</v>
      </c>
      <c r="X103" s="71">
        <f>IF(ISERROR(VLOOKUP($U$103,'TAR FIN'!$A$1:$O$120,15,0)),0,VLOOKUP($U$103,'TAR FIN'!$A$1:$O$120,15,0))*(1-0.12)</f>
        <v>379.16559999999998</v>
      </c>
      <c r="Y103" s="71">
        <f ca="1">('TUSD BE'!$AM$15+'TUSD BF'!$AM$15+'TUSD CVA'!$AM$15)*1*(1-0.09)</f>
        <v>24.766817708975264</v>
      </c>
      <c r="Z103" s="71">
        <f ca="1">('TUSD BE'!$AM$17+'TUSD BF'!$AM$17+'TUSD CVA'!$AM$17)*1*(1-0.09)</f>
        <v>79.642619388381775</v>
      </c>
      <c r="AA103" s="71">
        <f>('TE BE'!$AA$7+'TE BF'!$AA$7+'TE CVA'!$AA$7)*1*(1-0.09)</f>
        <v>341.87954044517699</v>
      </c>
      <c r="AB103" s="71">
        <f>(SUBSIDIO!$J$103*SUBSIDIO!$V$103)*(0.12)/(1-0.12)</f>
        <v>10702.886399999999</v>
      </c>
      <c r="AC103" s="71">
        <f>((SUBSIDIO!$L$103*SUBSIDIO!$W$103)+(SUBSIDIO!$N$103*SUBSIDIO!$X$103))*(0.12)/(1-0.12)</f>
        <v>12093.983241599999</v>
      </c>
      <c r="AD103" s="71">
        <f ca="1">(SUBSIDIO!$J$103*SUBSIDIO!$Y$103)*(0.09)/(1-0.09)</f>
        <v>9523.5218161809062</v>
      </c>
      <c r="AE103" s="71">
        <f ca="1">((SUBSIDIO!$L$103*SUBSIDIO!$Z$103)+(SUBSIDIO!$N$103*SUBSIDIO!$AA$103))*(0.09)/(1-0.09)</f>
        <v>8153.2854284131399</v>
      </c>
      <c r="AF103" s="4" t="s">
        <v>1148</v>
      </c>
    </row>
    <row r="104" spans="1:32" ht="11.25" customHeight="1" x14ac:dyDescent="0.25">
      <c r="A104" s="4" t="s">
        <v>21</v>
      </c>
      <c r="B104" s="4" t="s">
        <v>45</v>
      </c>
      <c r="C104" s="4" t="s">
        <v>41</v>
      </c>
      <c r="D104" s="4" t="s">
        <v>52</v>
      </c>
      <c r="E104" s="4" t="s">
        <v>53</v>
      </c>
      <c r="F104" s="4" t="s">
        <v>25</v>
      </c>
      <c r="G104" s="4" t="s">
        <v>25</v>
      </c>
      <c r="H104" s="4" t="s">
        <v>35</v>
      </c>
      <c r="I104" s="5">
        <v>43922</v>
      </c>
      <c r="J104" s="6">
        <v>3878</v>
      </c>
      <c r="K104" s="70">
        <v>3878</v>
      </c>
      <c r="L104" s="6">
        <v>198.732</v>
      </c>
      <c r="M104" s="71">
        <v>198.732</v>
      </c>
      <c r="N104" s="6">
        <v>198.732</v>
      </c>
      <c r="O104" s="71">
        <v>198.732</v>
      </c>
      <c r="P104" s="6">
        <v>0</v>
      </c>
      <c r="Q104" s="4" t="s">
        <v>26</v>
      </c>
      <c r="R104" s="4">
        <v>0</v>
      </c>
      <c r="S104" s="4">
        <v>11</v>
      </c>
      <c r="T104" s="4">
        <v>13</v>
      </c>
      <c r="U104" s="4">
        <v>79</v>
      </c>
      <c r="V104" s="71">
        <f>IF(ISERROR(VLOOKUP($S$104,'TAR FIN'!$A$1:$O$120,15,0)),0,VLOOKUP($S$104,'TAR FIN'!$A$1:$O$120,15,0))*(1-0.12)</f>
        <v>20.187200000000001</v>
      </c>
      <c r="W104" s="71">
        <f>IF(ISERROR(VLOOKUP($T$104,'TAR FIN'!$A$1:$O$120,15,0)),0,VLOOKUP($T$104,'TAR FIN'!$A$1:$O$120,15,0))*(1-0.12)</f>
        <v>74.316000000000003</v>
      </c>
      <c r="X104" s="71">
        <f>IF(ISERROR(VLOOKUP($U$104,'TAR FIN'!$A$1:$O$120,15,0)),0,VLOOKUP($U$104,'TAR FIN'!$A$1:$O$120,15,0))*(1-0.12)</f>
        <v>379.16559999999998</v>
      </c>
      <c r="Y104" s="71">
        <f ca="1">('TUSD BE'!$AM$15+'TUSD BF'!$AM$15+'TUSD CVA'!$AM$15)*1*(1-0.09)</f>
        <v>24.766817708975264</v>
      </c>
      <c r="Z104" s="71">
        <f ca="1">('TUSD BE'!$AM$17+'TUSD BF'!$AM$17+'TUSD CVA'!$AM$17)*1*(1-0.09)</f>
        <v>79.642619388381775</v>
      </c>
      <c r="AA104" s="71">
        <f>('TE BE'!$AA$7+'TE BF'!$AA$7+'TE CVA'!$AA$7)*1*(1-0.09)</f>
        <v>341.87954044517699</v>
      </c>
      <c r="AB104" s="71">
        <f>(SUBSIDIO!$J$104*SUBSIDIO!$V$104)*(0.12)/(1-0.12)</f>
        <v>10675.358400000001</v>
      </c>
      <c r="AC104" s="71">
        <f>((SUBSIDIO!$L$104*SUBSIDIO!$W$104)+(SUBSIDIO!$N$104*SUBSIDIO!$X$104))*(0.12)/(1-0.12)</f>
        <v>12289.268908799997</v>
      </c>
      <c r="AD104" s="71">
        <f ca="1">(SUBSIDIO!$J$104*SUBSIDIO!$Y$104)*(0.09)/(1-0.09)</f>
        <v>9499.0271613038967</v>
      </c>
      <c r="AE104" s="71">
        <f ca="1">((SUBSIDIO!$L$104*SUBSIDIO!$Z$104)+(SUBSIDIO!$N$104*SUBSIDIO!$AA$104))*(0.09)/(1-0.09)</f>
        <v>8284.9393056306071</v>
      </c>
      <c r="AF104" s="4" t="s">
        <v>1148</v>
      </c>
    </row>
    <row r="105" spans="1:32" ht="11.25" customHeight="1" x14ac:dyDescent="0.25">
      <c r="A105" s="4" t="s">
        <v>21</v>
      </c>
      <c r="B105" s="4" t="s">
        <v>45</v>
      </c>
      <c r="C105" s="4" t="s">
        <v>41</v>
      </c>
      <c r="D105" s="4" t="s">
        <v>52</v>
      </c>
      <c r="E105" s="4" t="s">
        <v>53</v>
      </c>
      <c r="F105" s="4" t="s">
        <v>25</v>
      </c>
      <c r="G105" s="4" t="s">
        <v>25</v>
      </c>
      <c r="H105" s="4" t="s">
        <v>35</v>
      </c>
      <c r="I105" s="5">
        <v>43952</v>
      </c>
      <c r="J105" s="6">
        <v>3859</v>
      </c>
      <c r="K105" s="70">
        <v>3859</v>
      </c>
      <c r="L105" s="6">
        <v>212.70500000000001</v>
      </c>
      <c r="M105" s="71">
        <v>212.70500000000001</v>
      </c>
      <c r="N105" s="6">
        <v>212.70500000000001</v>
      </c>
      <c r="O105" s="71">
        <v>212.70500000000001</v>
      </c>
      <c r="P105" s="6">
        <v>0</v>
      </c>
      <c r="Q105" s="4" t="s">
        <v>26</v>
      </c>
      <c r="R105" s="4">
        <v>0</v>
      </c>
      <c r="S105" s="4">
        <v>11</v>
      </c>
      <c r="T105" s="4">
        <v>13</v>
      </c>
      <c r="U105" s="4">
        <v>79</v>
      </c>
      <c r="V105" s="71">
        <f>IF(ISERROR(VLOOKUP($S$105,'TAR FIN'!$A$1:$O$120,15,0)),0,VLOOKUP($S$105,'TAR FIN'!$A$1:$O$120,15,0))*(1-0.12)</f>
        <v>20.187200000000001</v>
      </c>
      <c r="W105" s="71">
        <f>IF(ISERROR(VLOOKUP($T$105,'TAR FIN'!$A$1:$O$120,15,0)),0,VLOOKUP($T$105,'TAR FIN'!$A$1:$O$120,15,0))*(1-0.12)</f>
        <v>74.316000000000003</v>
      </c>
      <c r="X105" s="71">
        <f>IF(ISERROR(VLOOKUP($U$105,'TAR FIN'!$A$1:$O$120,15,0)),0,VLOOKUP($U$105,'TAR FIN'!$A$1:$O$120,15,0))*(1-0.12)</f>
        <v>379.16559999999998</v>
      </c>
      <c r="Y105" s="71">
        <f ca="1">('TUSD BE'!$AM$15+'TUSD BF'!$AM$15+'TUSD CVA'!$AM$15)*1*(1-0.09)</f>
        <v>24.766817708975264</v>
      </c>
      <c r="Z105" s="71">
        <f ca="1">('TUSD BE'!$AM$17+'TUSD BF'!$AM$17+'TUSD CVA'!$AM$17)*1*(1-0.09)</f>
        <v>79.642619388381775</v>
      </c>
      <c r="AA105" s="71">
        <f>('TE BE'!$AA$7+'TE BF'!$AA$7+'TE CVA'!$AA$7)*1*(1-0.09)</f>
        <v>341.87954044517699</v>
      </c>
      <c r="AB105" s="71">
        <f>(SUBSIDIO!$J$105*SUBSIDIO!$V$105)*(0.12)/(1-0.12)</f>
        <v>10623.055200000001</v>
      </c>
      <c r="AC105" s="71">
        <f>((SUBSIDIO!$L$105*SUBSIDIO!$W$105)+(SUBSIDIO!$N$105*SUBSIDIO!$X$105))*(0.12)/(1-0.12)</f>
        <v>13153.336872000002</v>
      </c>
      <c r="AD105" s="71">
        <f ca="1">(SUBSIDIO!$J$105*SUBSIDIO!$Y$105)*(0.09)/(1-0.09)</f>
        <v>9452.4873170375795</v>
      </c>
      <c r="AE105" s="71">
        <f ca="1">((SUBSIDIO!$L$105*SUBSIDIO!$Z$105)+(SUBSIDIO!$N$105*SUBSIDIO!$AA$105))*(0.09)/(1-0.09)</f>
        <v>8867.4597699623519</v>
      </c>
      <c r="AF105" s="4" t="s">
        <v>1148</v>
      </c>
    </row>
    <row r="106" spans="1:32" ht="11.25" customHeight="1" x14ac:dyDescent="0.25">
      <c r="A106" s="4" t="s">
        <v>21</v>
      </c>
      <c r="B106" s="4" t="s">
        <v>45</v>
      </c>
      <c r="C106" s="4" t="s">
        <v>41</v>
      </c>
      <c r="D106" s="4" t="s">
        <v>52</v>
      </c>
      <c r="E106" s="4" t="s">
        <v>53</v>
      </c>
      <c r="F106" s="4" t="s">
        <v>25</v>
      </c>
      <c r="G106" s="4" t="s">
        <v>25</v>
      </c>
      <c r="H106" s="4" t="s">
        <v>35</v>
      </c>
      <c r="I106" s="5">
        <v>43983</v>
      </c>
      <c r="J106" s="6">
        <v>3869</v>
      </c>
      <c r="K106" s="70">
        <v>3869</v>
      </c>
      <c r="L106" s="6">
        <v>235.36600000000001</v>
      </c>
      <c r="M106" s="71">
        <v>235.36600000000001</v>
      </c>
      <c r="N106" s="6">
        <v>235.36600000000001</v>
      </c>
      <c r="O106" s="71">
        <v>235.36600000000001</v>
      </c>
      <c r="P106" s="6">
        <v>0</v>
      </c>
      <c r="Q106" s="4" t="s">
        <v>26</v>
      </c>
      <c r="R106" s="4">
        <v>0</v>
      </c>
      <c r="S106" s="4">
        <v>11</v>
      </c>
      <c r="T106" s="4">
        <v>13</v>
      </c>
      <c r="U106" s="4">
        <v>79</v>
      </c>
      <c r="V106" s="71">
        <f>IF(ISERROR(VLOOKUP($S$106,'TAR FIN'!$A$1:$O$120,15,0)),0,VLOOKUP($S$106,'TAR FIN'!$A$1:$O$120,15,0))*(1-0.12)</f>
        <v>20.187200000000001</v>
      </c>
      <c r="W106" s="71">
        <f>IF(ISERROR(VLOOKUP($T$106,'TAR FIN'!$A$1:$O$120,15,0)),0,VLOOKUP($T$106,'TAR FIN'!$A$1:$O$120,15,0))*(1-0.12)</f>
        <v>74.316000000000003</v>
      </c>
      <c r="X106" s="71">
        <f>IF(ISERROR(VLOOKUP($U$106,'TAR FIN'!$A$1:$O$120,15,0)),0,VLOOKUP($U$106,'TAR FIN'!$A$1:$O$120,15,0))*(1-0.12)</f>
        <v>379.16559999999998</v>
      </c>
      <c r="Y106" s="71">
        <f ca="1">('TUSD BE'!$AM$15+'TUSD BF'!$AM$15+'TUSD CVA'!$AM$15)*1*(1-0.09)</f>
        <v>24.766817708975264</v>
      </c>
      <c r="Z106" s="71">
        <f ca="1">('TUSD BE'!$AM$17+'TUSD BF'!$AM$17+'TUSD CVA'!$AM$17)*1*(1-0.09)</f>
        <v>79.642619388381775</v>
      </c>
      <c r="AA106" s="71">
        <f>('TE BE'!$AA$7+'TE BF'!$AA$7+'TE CVA'!$AA$7)*1*(1-0.09)</f>
        <v>341.87954044517699</v>
      </c>
      <c r="AB106" s="71">
        <f>(SUBSIDIO!$J$106*SUBSIDIO!$V$106)*(0.12)/(1-0.12)</f>
        <v>10650.583200000001</v>
      </c>
      <c r="AC106" s="71">
        <f>((SUBSIDIO!$L$106*SUBSIDIO!$W$106)+(SUBSIDIO!$N$106*SUBSIDIO!$X$106))*(0.12)/(1-0.12)</f>
        <v>14554.656854400002</v>
      </c>
      <c r="AD106" s="71">
        <f ca="1">(SUBSIDIO!$J$106*SUBSIDIO!$Y$106)*(0.09)/(1-0.09)</f>
        <v>9476.9819719145908</v>
      </c>
      <c r="AE106" s="71">
        <f ca="1">((SUBSIDIO!$L$106*SUBSIDIO!$Z$106)+(SUBSIDIO!$N$106*SUBSIDIO!$AA$106))*(0.09)/(1-0.09)</f>
        <v>9812.1743081589939</v>
      </c>
      <c r="AF106" s="4" t="s">
        <v>1148</v>
      </c>
    </row>
    <row r="107" spans="1:32" ht="11.25" customHeight="1" x14ac:dyDescent="0.25">
      <c r="A107" s="4" t="s">
        <v>21</v>
      </c>
      <c r="B107" s="4" t="s">
        <v>45</v>
      </c>
      <c r="C107" s="4" t="s">
        <v>41</v>
      </c>
      <c r="D107" s="4" t="s">
        <v>52</v>
      </c>
      <c r="E107" s="4" t="s">
        <v>53</v>
      </c>
      <c r="F107" s="4" t="s">
        <v>25</v>
      </c>
      <c r="G107" s="4" t="s">
        <v>25</v>
      </c>
      <c r="H107" s="4" t="s">
        <v>35</v>
      </c>
      <c r="I107" s="5">
        <v>44013</v>
      </c>
      <c r="J107" s="6">
        <v>3869</v>
      </c>
      <c r="K107" s="70">
        <v>3869</v>
      </c>
      <c r="L107" s="6">
        <v>234.86600000000001</v>
      </c>
      <c r="M107" s="71">
        <v>234.86600000000001</v>
      </c>
      <c r="N107" s="6">
        <v>234.86600000000001</v>
      </c>
      <c r="O107" s="71">
        <v>234.86600000000001</v>
      </c>
      <c r="P107" s="6">
        <v>0</v>
      </c>
      <c r="Q107" s="4" t="s">
        <v>26</v>
      </c>
      <c r="R107" s="4">
        <v>0</v>
      </c>
      <c r="S107" s="4">
        <v>11</v>
      </c>
      <c r="T107" s="4">
        <v>13</v>
      </c>
      <c r="U107" s="4">
        <v>79</v>
      </c>
      <c r="V107" s="71">
        <f>IF(ISERROR(VLOOKUP($S$107,'TAR FIN'!$A$1:$O$120,15,0)),0,VLOOKUP($S$107,'TAR FIN'!$A$1:$O$120,15,0))*(1-0.12)</f>
        <v>20.187200000000001</v>
      </c>
      <c r="W107" s="71">
        <f>IF(ISERROR(VLOOKUP($T$107,'TAR FIN'!$A$1:$O$120,15,0)),0,VLOOKUP($T$107,'TAR FIN'!$A$1:$O$120,15,0))*(1-0.12)</f>
        <v>74.316000000000003</v>
      </c>
      <c r="X107" s="71">
        <f>IF(ISERROR(VLOOKUP($U$107,'TAR FIN'!$A$1:$O$120,15,0)),0,VLOOKUP($U$107,'TAR FIN'!$A$1:$O$120,15,0))*(1-0.12)</f>
        <v>379.16559999999998</v>
      </c>
      <c r="Y107" s="71">
        <f ca="1">('TUSD BE'!$AM$15+'TUSD BF'!$AM$15+'TUSD CVA'!$AM$15)*1*(1-0.09)</f>
        <v>24.766817708975264</v>
      </c>
      <c r="Z107" s="71">
        <f ca="1">('TUSD BE'!$AM$17+'TUSD BF'!$AM$17+'TUSD CVA'!$AM$17)*1*(1-0.09)</f>
        <v>79.642619388381775</v>
      </c>
      <c r="AA107" s="71">
        <f>('TE BE'!$AA$7+'TE BF'!$AA$7+'TE CVA'!$AA$7)*1*(1-0.09)</f>
        <v>341.87954044517699</v>
      </c>
      <c r="AB107" s="71">
        <f>(SUBSIDIO!$J$107*SUBSIDIO!$V$107)*(0.12)/(1-0.12)</f>
        <v>10650.583200000001</v>
      </c>
      <c r="AC107" s="71">
        <f>((SUBSIDIO!$L$107*SUBSIDIO!$W$107)+(SUBSIDIO!$N$107*SUBSIDIO!$X$107))*(0.12)/(1-0.12)</f>
        <v>14523.737654400002</v>
      </c>
      <c r="AD107" s="71">
        <f ca="1">(SUBSIDIO!$J$107*SUBSIDIO!$Y$107)*(0.09)/(1-0.09)</f>
        <v>9476.9819719145908</v>
      </c>
      <c r="AE107" s="71">
        <f ca="1">((SUBSIDIO!$L$107*SUBSIDIO!$Z$107)+(SUBSIDIO!$N$107*SUBSIDIO!$AA$107))*(0.09)/(1-0.09)</f>
        <v>9791.3298057496413</v>
      </c>
      <c r="AF107" s="4" t="s">
        <v>1148</v>
      </c>
    </row>
    <row r="108" spans="1:32" ht="11.25" customHeight="1" x14ac:dyDescent="0.25">
      <c r="A108" s="4" t="s">
        <v>21</v>
      </c>
      <c r="B108" s="4" t="s">
        <v>45</v>
      </c>
      <c r="C108" s="4" t="s">
        <v>41</v>
      </c>
      <c r="D108" s="4" t="s">
        <v>52</v>
      </c>
      <c r="E108" s="4" t="s">
        <v>53</v>
      </c>
      <c r="F108" s="4" t="s">
        <v>25</v>
      </c>
      <c r="G108" s="4" t="s">
        <v>25</v>
      </c>
      <c r="H108" s="4" t="s">
        <v>35</v>
      </c>
      <c r="I108" s="5">
        <v>44044</v>
      </c>
      <c r="J108" s="6">
        <v>3878</v>
      </c>
      <c r="K108" s="70">
        <v>3878</v>
      </c>
      <c r="L108" s="6">
        <v>259.03699999999998</v>
      </c>
      <c r="M108" s="71">
        <v>259.03699999999998</v>
      </c>
      <c r="N108" s="6">
        <v>259.03699999999998</v>
      </c>
      <c r="O108" s="71">
        <v>259.03699999999998</v>
      </c>
      <c r="P108" s="6">
        <v>0</v>
      </c>
      <c r="Q108" s="4" t="s">
        <v>26</v>
      </c>
      <c r="R108" s="4">
        <v>0</v>
      </c>
      <c r="S108" s="4">
        <v>11</v>
      </c>
      <c r="T108" s="4">
        <v>13</v>
      </c>
      <c r="U108" s="4">
        <v>79</v>
      </c>
      <c r="V108" s="71">
        <f>IF(ISERROR(VLOOKUP($S$108,'TAR FIN'!$A$1:$O$120,15,0)),0,VLOOKUP($S$108,'TAR FIN'!$A$1:$O$120,15,0))*(1-0.12)</f>
        <v>20.187200000000001</v>
      </c>
      <c r="W108" s="71">
        <f>IF(ISERROR(VLOOKUP($T$108,'TAR FIN'!$A$1:$O$120,15,0)),0,VLOOKUP($T$108,'TAR FIN'!$A$1:$O$120,15,0))*(1-0.12)</f>
        <v>74.316000000000003</v>
      </c>
      <c r="X108" s="71">
        <f>IF(ISERROR(VLOOKUP($U$108,'TAR FIN'!$A$1:$O$120,15,0)),0,VLOOKUP($U$108,'TAR FIN'!$A$1:$O$120,15,0))*(1-0.12)</f>
        <v>379.16559999999998</v>
      </c>
      <c r="Y108" s="71">
        <f ca="1">('TUSD BE'!$AM$15+'TUSD BF'!$AM$15+'TUSD CVA'!$AM$15)*1*(1-0.09)</f>
        <v>24.766817708975264</v>
      </c>
      <c r="Z108" s="71">
        <f ca="1">('TUSD BE'!$AM$17+'TUSD BF'!$AM$17+'TUSD CVA'!$AM$17)*1*(1-0.09)</f>
        <v>79.642619388381775</v>
      </c>
      <c r="AA108" s="71">
        <f>('TE BE'!$AA$7+'TE BF'!$AA$7+'TE CVA'!$AA$7)*1*(1-0.09)</f>
        <v>341.87954044517699</v>
      </c>
      <c r="AB108" s="71">
        <f>(SUBSIDIO!$J$108*SUBSIDIO!$V$108)*(0.12)/(1-0.12)</f>
        <v>10675.358400000001</v>
      </c>
      <c r="AC108" s="71">
        <f>((SUBSIDIO!$L$108*SUBSIDIO!$W$108)+(SUBSIDIO!$N$108*SUBSIDIO!$X$108))*(0.12)/(1-0.12)</f>
        <v>16018.433620799999</v>
      </c>
      <c r="AD108" s="71">
        <f ca="1">(SUBSIDIO!$J$108*SUBSIDIO!$Y$108)*(0.09)/(1-0.09)</f>
        <v>9499.0271613038967</v>
      </c>
      <c r="AE108" s="71">
        <f ca="1">((SUBSIDIO!$L$108*SUBSIDIO!$Z$108)+(SUBSIDIO!$N$108*SUBSIDIO!$AA$108))*(0.09)/(1-0.09)</f>
        <v>10798.994741222526</v>
      </c>
      <c r="AF108" s="4" t="s">
        <v>1148</v>
      </c>
    </row>
    <row r="109" spans="1:32" ht="11.25" customHeight="1" x14ac:dyDescent="0.25">
      <c r="A109" s="4" t="s">
        <v>59</v>
      </c>
      <c r="B109" s="4" t="s">
        <v>45</v>
      </c>
      <c r="C109" s="4" t="s">
        <v>41</v>
      </c>
      <c r="D109" s="4" t="s">
        <v>52</v>
      </c>
      <c r="E109" s="4" t="s">
        <v>53</v>
      </c>
      <c r="F109" s="4" t="s">
        <v>25</v>
      </c>
      <c r="G109" s="4" t="s">
        <v>25</v>
      </c>
      <c r="H109" s="4" t="s">
        <v>35</v>
      </c>
      <c r="I109" s="5">
        <v>44075</v>
      </c>
      <c r="J109" s="6">
        <v>3878</v>
      </c>
      <c r="K109" s="70">
        <v>3878</v>
      </c>
      <c r="L109" s="6">
        <v>259.03699999999998</v>
      </c>
      <c r="M109" s="71">
        <v>259.03699999999998</v>
      </c>
      <c r="N109" s="6">
        <v>259.03699999999998</v>
      </c>
      <c r="O109" s="71">
        <v>259.03699999999998</v>
      </c>
      <c r="P109" s="6">
        <v>0</v>
      </c>
      <c r="Q109" s="4" t="s">
        <v>26</v>
      </c>
      <c r="R109" s="4">
        <v>0</v>
      </c>
      <c r="S109" s="4">
        <v>11</v>
      </c>
      <c r="T109" s="4">
        <v>13</v>
      </c>
      <c r="U109" s="4">
        <v>79</v>
      </c>
      <c r="V109" s="71">
        <f>IF(ISERROR(VLOOKUP($S$109,'TAR FIN'!$A$1:$O$120,15,0)),0,VLOOKUP($S$109,'TAR FIN'!$A$1:$O$120,15,0))*(1-0.12)</f>
        <v>20.187200000000001</v>
      </c>
      <c r="W109" s="71">
        <f>IF(ISERROR(VLOOKUP($T$109,'TAR FIN'!$A$1:$O$120,15,0)),0,VLOOKUP($T$109,'TAR FIN'!$A$1:$O$120,15,0))*(1-0.12)</f>
        <v>74.316000000000003</v>
      </c>
      <c r="X109" s="71">
        <f>IF(ISERROR(VLOOKUP($U$109,'TAR FIN'!$A$1:$O$120,15,0)),0,VLOOKUP($U$109,'TAR FIN'!$A$1:$O$120,15,0))*(1-0.12)</f>
        <v>379.16559999999998</v>
      </c>
      <c r="Y109" s="71">
        <f ca="1">('TUSD BE'!$AM$15+'TUSD BF'!$AM$15+'TUSD CVA'!$AM$15)*1*(1-0.09)</f>
        <v>24.766817708975264</v>
      </c>
      <c r="Z109" s="71">
        <f ca="1">('TUSD BE'!$AM$17+'TUSD BF'!$AM$17+'TUSD CVA'!$AM$17)*1*(1-0.09)</f>
        <v>79.642619388381775</v>
      </c>
      <c r="AA109" s="71">
        <f>('TE BE'!$AA$7+'TE BF'!$AA$7+'TE CVA'!$AA$7)*1*(1-0.09)</f>
        <v>341.87954044517699</v>
      </c>
      <c r="AB109" s="71">
        <f>(SUBSIDIO!$J$109*SUBSIDIO!$V$109)*(0.12)/(1-0.12)</f>
        <v>10675.358400000001</v>
      </c>
      <c r="AC109" s="71">
        <f>((SUBSIDIO!$L$109*SUBSIDIO!$W$109)+(SUBSIDIO!$N$109*SUBSIDIO!$X$109))*(0.12)/(1-0.12)</f>
        <v>16018.433620799999</v>
      </c>
      <c r="AD109" s="71">
        <f ca="1">(SUBSIDIO!$J$109*SUBSIDIO!$Y$109)*(0.09)/(1-0.09)</f>
        <v>9499.0271613038967</v>
      </c>
      <c r="AE109" s="71">
        <f ca="1">((SUBSIDIO!$L$109*SUBSIDIO!$Z$109)+(SUBSIDIO!$N$109*SUBSIDIO!$AA$109))*(0.09)/(1-0.09)</f>
        <v>10798.994741222526</v>
      </c>
      <c r="AF109" s="4" t="s">
        <v>1148</v>
      </c>
    </row>
    <row r="110" spans="1:32" ht="11.25" customHeight="1" x14ac:dyDescent="0.25">
      <c r="A110" s="4" t="s">
        <v>21</v>
      </c>
      <c r="B110" s="4" t="s">
        <v>45</v>
      </c>
      <c r="C110" s="4" t="s">
        <v>64</v>
      </c>
      <c r="D110" s="4" t="s">
        <v>25</v>
      </c>
      <c r="E110" s="4" t="s">
        <v>25</v>
      </c>
      <c r="F110" s="4" t="s">
        <v>25</v>
      </c>
      <c r="G110" s="4" t="s">
        <v>65</v>
      </c>
      <c r="H110" s="4" t="s">
        <v>25</v>
      </c>
      <c r="I110" s="5">
        <v>43739</v>
      </c>
      <c r="J110" s="6">
        <v>24000</v>
      </c>
      <c r="K110" s="6">
        <v>15036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4" t="s">
        <v>66</v>
      </c>
      <c r="R110" s="4">
        <v>1975</v>
      </c>
      <c r="S110" s="4">
        <v>15</v>
      </c>
      <c r="T110" s="4">
        <v>0</v>
      </c>
      <c r="U110" s="4">
        <v>0</v>
      </c>
      <c r="V110" s="6">
        <f>IF(ISERROR(VLOOKUP($S$110,'TAR FIN'!$A$1:$O$120,15,0)),0,VLOOKUP($S$110,'TAR FIN'!$A$1:$O$120,15,0))</f>
        <v>3.6</v>
      </c>
      <c r="W110" s="6">
        <f>IF(ISERROR(VLOOKUP($T$110,'TAR FIN'!$A$1:$O$120,15,0)),0,VLOOKUP($T$110,'TAR FIN'!$A$1:$O$120,15,0))</f>
        <v>0</v>
      </c>
      <c r="X110" s="6">
        <f>IF(ISERROR(VLOOKUP($U$110,'TAR FIN'!$A$1:$O$120,15,0)),0,VLOOKUP($U$110,'TAR FIN'!$A$1:$O$120,15,0))</f>
        <v>0</v>
      </c>
      <c r="Y110" s="6">
        <f ca="1">('TUSD BE'!$AM$19+'TUSD BF'!$AM$19+'TUSD CVA'!$AM$19)*1</f>
        <v>3.7060942662492113</v>
      </c>
      <c r="Z110" s="6"/>
      <c r="AA110" s="6"/>
      <c r="AB110" s="6">
        <f t="shared" si="6"/>
        <v>32270.400000000001</v>
      </c>
      <c r="AC110" s="6">
        <f t="shared" si="7"/>
        <v>0</v>
      </c>
      <c r="AD110" s="6">
        <f t="shared" ca="1" si="8"/>
        <v>33221.429002657933</v>
      </c>
      <c r="AE110" s="6">
        <f t="shared" si="9"/>
        <v>0</v>
      </c>
      <c r="AF110" s="4" t="s">
        <v>1149</v>
      </c>
    </row>
    <row r="111" spans="1:32" ht="11.25" customHeight="1" x14ac:dyDescent="0.25">
      <c r="A111" s="4" t="s">
        <v>21</v>
      </c>
      <c r="B111" s="4" t="s">
        <v>45</v>
      </c>
      <c r="C111" s="4" t="s">
        <v>64</v>
      </c>
      <c r="D111" s="4" t="s">
        <v>25</v>
      </c>
      <c r="E111" s="4" t="s">
        <v>25</v>
      </c>
      <c r="F111" s="4" t="s">
        <v>25</v>
      </c>
      <c r="G111" s="4" t="s">
        <v>65</v>
      </c>
      <c r="H111" s="4" t="s">
        <v>25</v>
      </c>
      <c r="I111" s="5">
        <v>43770</v>
      </c>
      <c r="J111" s="6">
        <v>24000</v>
      </c>
      <c r="K111" s="6">
        <v>13956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4" t="s">
        <v>66</v>
      </c>
      <c r="R111" s="4">
        <v>1975</v>
      </c>
      <c r="S111" s="4">
        <v>15</v>
      </c>
      <c r="T111" s="4">
        <v>0</v>
      </c>
      <c r="U111" s="4">
        <v>0</v>
      </c>
      <c r="V111" s="6">
        <f>IF(ISERROR(VLOOKUP($S$111,'TAR FIN'!$A$1:$O$120,15,0)),0,VLOOKUP($S$111,'TAR FIN'!$A$1:$O$120,15,0))</f>
        <v>3.6</v>
      </c>
      <c r="W111" s="6">
        <f>IF(ISERROR(VLOOKUP($T$111,'TAR FIN'!$A$1:$O$120,15,0)),0,VLOOKUP($T$111,'TAR FIN'!$A$1:$O$120,15,0))</f>
        <v>0</v>
      </c>
      <c r="X111" s="6">
        <f>IF(ISERROR(VLOOKUP($U$111,'TAR FIN'!$A$1:$O$120,15,0)),0,VLOOKUP($U$111,'TAR FIN'!$A$1:$O$120,15,0))</f>
        <v>0</v>
      </c>
      <c r="Y111" s="6">
        <f ca="1">('TUSD BE'!$AM$19+'TUSD BF'!$AM$19+'TUSD CVA'!$AM$19)*1</f>
        <v>3.7060942662492113</v>
      </c>
      <c r="Z111" s="6"/>
      <c r="AA111" s="6"/>
      <c r="AB111" s="6">
        <f t="shared" si="6"/>
        <v>36158.400000000001</v>
      </c>
      <c r="AC111" s="6">
        <f t="shared" si="7"/>
        <v>0</v>
      </c>
      <c r="AD111" s="6">
        <f t="shared" ca="1" si="8"/>
        <v>37224.010810207081</v>
      </c>
      <c r="AE111" s="6">
        <f t="shared" si="9"/>
        <v>0</v>
      </c>
      <c r="AF111" s="4" t="s">
        <v>1149</v>
      </c>
    </row>
    <row r="112" spans="1:32" ht="11.25" customHeight="1" x14ac:dyDescent="0.25">
      <c r="A112" s="4" t="s">
        <v>21</v>
      </c>
      <c r="B112" s="4" t="s">
        <v>45</v>
      </c>
      <c r="C112" s="4" t="s">
        <v>64</v>
      </c>
      <c r="D112" s="4" t="s">
        <v>25</v>
      </c>
      <c r="E112" s="4" t="s">
        <v>25</v>
      </c>
      <c r="F112" s="4" t="s">
        <v>25</v>
      </c>
      <c r="G112" s="4" t="s">
        <v>65</v>
      </c>
      <c r="H112" s="4" t="s">
        <v>25</v>
      </c>
      <c r="I112" s="5">
        <v>43800</v>
      </c>
      <c r="J112" s="6">
        <v>24000</v>
      </c>
      <c r="K112" s="6">
        <v>14023.2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4" t="s">
        <v>66</v>
      </c>
      <c r="R112" s="4">
        <v>1975</v>
      </c>
      <c r="S112" s="4">
        <v>15</v>
      </c>
      <c r="T112" s="4">
        <v>0</v>
      </c>
      <c r="U112" s="4">
        <v>0</v>
      </c>
      <c r="V112" s="6">
        <f>IF(ISERROR(VLOOKUP($S$112,'TAR FIN'!$A$1:$O$120,15,0)),0,VLOOKUP($S$112,'TAR FIN'!$A$1:$O$120,15,0))</f>
        <v>3.6</v>
      </c>
      <c r="W112" s="6">
        <f>IF(ISERROR(VLOOKUP($T$112,'TAR FIN'!$A$1:$O$120,15,0)),0,VLOOKUP($T$112,'TAR FIN'!$A$1:$O$120,15,0))</f>
        <v>0</v>
      </c>
      <c r="X112" s="6">
        <f>IF(ISERROR(VLOOKUP($U$112,'TAR FIN'!$A$1:$O$120,15,0)),0,VLOOKUP($U$112,'TAR FIN'!$A$1:$O$120,15,0))</f>
        <v>0</v>
      </c>
      <c r="Y112" s="6">
        <f ca="1">('TUSD BE'!$AM$19+'TUSD BF'!$AM$19+'TUSD CVA'!$AM$19)*1</f>
        <v>3.7060942662492113</v>
      </c>
      <c r="Z112" s="6"/>
      <c r="AA112" s="6"/>
      <c r="AB112" s="6">
        <f t="shared" si="6"/>
        <v>35916.479999999996</v>
      </c>
      <c r="AC112" s="6">
        <f t="shared" si="7"/>
        <v>0</v>
      </c>
      <c r="AD112" s="6">
        <f t="shared" ca="1" si="8"/>
        <v>36974.961275515132</v>
      </c>
      <c r="AE112" s="6">
        <f t="shared" si="9"/>
        <v>0</v>
      </c>
      <c r="AF112" s="4" t="s">
        <v>1149</v>
      </c>
    </row>
    <row r="113" spans="1:32" ht="11.25" customHeight="1" x14ac:dyDescent="0.25">
      <c r="A113" s="4" t="s">
        <v>21</v>
      </c>
      <c r="B113" s="4" t="s">
        <v>45</v>
      </c>
      <c r="C113" s="4" t="s">
        <v>64</v>
      </c>
      <c r="D113" s="4" t="s">
        <v>25</v>
      </c>
      <c r="E113" s="4" t="s">
        <v>25</v>
      </c>
      <c r="F113" s="4" t="s">
        <v>25</v>
      </c>
      <c r="G113" s="4" t="s">
        <v>65</v>
      </c>
      <c r="H113" s="4" t="s">
        <v>25</v>
      </c>
      <c r="I113" s="5">
        <v>43831</v>
      </c>
      <c r="J113" s="6">
        <v>24000</v>
      </c>
      <c r="K113" s="6">
        <v>13870.8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4" t="s">
        <v>66</v>
      </c>
      <c r="R113" s="4">
        <v>1975</v>
      </c>
      <c r="S113" s="4">
        <v>15</v>
      </c>
      <c r="T113" s="4">
        <v>0</v>
      </c>
      <c r="U113" s="4">
        <v>0</v>
      </c>
      <c r="V113" s="6">
        <f>IF(ISERROR(VLOOKUP($S$113,'TAR FIN'!$A$1:$O$120,15,0)),0,VLOOKUP($S$113,'TAR FIN'!$A$1:$O$120,15,0))</f>
        <v>3.6</v>
      </c>
      <c r="W113" s="6">
        <f>IF(ISERROR(VLOOKUP($T$113,'TAR FIN'!$A$1:$O$120,15,0)),0,VLOOKUP($T$113,'TAR FIN'!$A$1:$O$120,15,0))</f>
        <v>0</v>
      </c>
      <c r="X113" s="6">
        <f>IF(ISERROR(VLOOKUP($U$113,'TAR FIN'!$A$1:$O$120,15,0)),0,VLOOKUP($U$113,'TAR FIN'!$A$1:$O$120,15,0))</f>
        <v>0</v>
      </c>
      <c r="Y113" s="6">
        <f ca="1">('TUSD BE'!$AM$19+'TUSD BF'!$AM$19+'TUSD CVA'!$AM$19)*1</f>
        <v>3.7060942662492113</v>
      </c>
      <c r="Z113" s="6"/>
      <c r="AA113" s="6"/>
      <c r="AB113" s="6">
        <f t="shared" si="6"/>
        <v>36465.120000000003</v>
      </c>
      <c r="AC113" s="6">
        <f t="shared" si="7"/>
        <v>0</v>
      </c>
      <c r="AD113" s="6">
        <f t="shared" ca="1" si="8"/>
        <v>37539.770041691518</v>
      </c>
      <c r="AE113" s="6">
        <f t="shared" si="9"/>
        <v>0</v>
      </c>
      <c r="AF113" s="4" t="s">
        <v>1149</v>
      </c>
    </row>
    <row r="114" spans="1:32" ht="11.25" customHeight="1" x14ac:dyDescent="0.25">
      <c r="A114" s="4" t="s">
        <v>21</v>
      </c>
      <c r="B114" s="4" t="s">
        <v>45</v>
      </c>
      <c r="C114" s="4" t="s">
        <v>64</v>
      </c>
      <c r="D114" s="4" t="s">
        <v>25</v>
      </c>
      <c r="E114" s="4" t="s">
        <v>25</v>
      </c>
      <c r="F114" s="4" t="s">
        <v>25</v>
      </c>
      <c r="G114" s="4" t="s">
        <v>65</v>
      </c>
      <c r="H114" s="4" t="s">
        <v>25</v>
      </c>
      <c r="I114" s="5">
        <v>43862</v>
      </c>
      <c r="J114" s="6">
        <v>24000</v>
      </c>
      <c r="K114" s="6">
        <v>13872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4" t="s">
        <v>66</v>
      </c>
      <c r="R114" s="4">
        <v>1975</v>
      </c>
      <c r="S114" s="4">
        <v>15</v>
      </c>
      <c r="T114" s="4">
        <v>0</v>
      </c>
      <c r="U114" s="4">
        <v>0</v>
      </c>
      <c r="V114" s="6">
        <f>IF(ISERROR(VLOOKUP($S$114,'TAR FIN'!$A$1:$O$120,15,0)),0,VLOOKUP($S$114,'TAR FIN'!$A$1:$O$120,15,0))</f>
        <v>3.6</v>
      </c>
      <c r="W114" s="6">
        <f>IF(ISERROR(VLOOKUP($T$114,'TAR FIN'!$A$1:$O$120,15,0)),0,VLOOKUP($T$114,'TAR FIN'!$A$1:$O$120,15,0))</f>
        <v>0</v>
      </c>
      <c r="X114" s="6">
        <f>IF(ISERROR(VLOOKUP($U$114,'TAR FIN'!$A$1:$O$120,15,0)),0,VLOOKUP($U$114,'TAR FIN'!$A$1:$O$120,15,0))</f>
        <v>0</v>
      </c>
      <c r="Y114" s="6">
        <f ca="1">('TUSD BE'!$AM$19+'TUSD BF'!$AM$19+'TUSD CVA'!$AM$19)*1</f>
        <v>3.7060942662492113</v>
      </c>
      <c r="Z114" s="6"/>
      <c r="AA114" s="6"/>
      <c r="AB114" s="6">
        <f t="shared" si="6"/>
        <v>36460.800000000003</v>
      </c>
      <c r="AC114" s="6">
        <f t="shared" si="7"/>
        <v>0</v>
      </c>
      <c r="AD114" s="6">
        <f t="shared" ca="1" si="8"/>
        <v>37535.322728572013</v>
      </c>
      <c r="AE114" s="6">
        <f t="shared" si="9"/>
        <v>0</v>
      </c>
      <c r="AF114" s="4" t="s">
        <v>1149</v>
      </c>
    </row>
    <row r="115" spans="1:32" ht="11.25" customHeight="1" x14ac:dyDescent="0.25">
      <c r="A115" s="4" t="s">
        <v>21</v>
      </c>
      <c r="B115" s="4" t="s">
        <v>45</v>
      </c>
      <c r="C115" s="4" t="s">
        <v>64</v>
      </c>
      <c r="D115" s="4" t="s">
        <v>25</v>
      </c>
      <c r="E115" s="4" t="s">
        <v>25</v>
      </c>
      <c r="F115" s="4" t="s">
        <v>25</v>
      </c>
      <c r="G115" s="4" t="s">
        <v>65</v>
      </c>
      <c r="H115" s="4" t="s">
        <v>25</v>
      </c>
      <c r="I115" s="5">
        <v>43891</v>
      </c>
      <c r="J115" s="6">
        <v>24000</v>
      </c>
      <c r="K115" s="6">
        <v>13851.6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4" t="s">
        <v>66</v>
      </c>
      <c r="R115" s="4">
        <v>1975</v>
      </c>
      <c r="S115" s="4">
        <v>15</v>
      </c>
      <c r="T115" s="4">
        <v>0</v>
      </c>
      <c r="U115" s="4">
        <v>0</v>
      </c>
      <c r="V115" s="6">
        <f>IF(ISERROR(VLOOKUP($S$115,'TAR FIN'!$A$1:$O$120,15,0)),0,VLOOKUP($S$115,'TAR FIN'!$A$1:$O$120,15,0))</f>
        <v>3.6</v>
      </c>
      <c r="W115" s="6">
        <f>IF(ISERROR(VLOOKUP($T$115,'TAR FIN'!$A$1:$O$120,15,0)),0,VLOOKUP($T$115,'TAR FIN'!$A$1:$O$120,15,0))</f>
        <v>0</v>
      </c>
      <c r="X115" s="6">
        <f>IF(ISERROR(VLOOKUP($U$115,'TAR FIN'!$A$1:$O$120,15,0)),0,VLOOKUP($U$115,'TAR FIN'!$A$1:$O$120,15,0))</f>
        <v>0</v>
      </c>
      <c r="Y115" s="6">
        <f ca="1">('TUSD BE'!$AM$19+'TUSD BF'!$AM$19+'TUSD CVA'!$AM$19)*1</f>
        <v>3.7060942662492113</v>
      </c>
      <c r="Z115" s="6"/>
      <c r="AA115" s="6"/>
      <c r="AB115" s="6">
        <f t="shared" si="6"/>
        <v>36534.239999999998</v>
      </c>
      <c r="AC115" s="6">
        <f t="shared" si="7"/>
        <v>0</v>
      </c>
      <c r="AD115" s="6">
        <f t="shared" ca="1" si="8"/>
        <v>37610.927051603496</v>
      </c>
      <c r="AE115" s="6">
        <f t="shared" si="9"/>
        <v>0</v>
      </c>
      <c r="AF115" s="4" t="s">
        <v>1149</v>
      </c>
    </row>
    <row r="116" spans="1:32" ht="11.25" customHeight="1" x14ac:dyDescent="0.25">
      <c r="A116" s="4" t="s">
        <v>21</v>
      </c>
      <c r="B116" s="4" t="s">
        <v>45</v>
      </c>
      <c r="C116" s="4" t="s">
        <v>64</v>
      </c>
      <c r="D116" s="4" t="s">
        <v>25</v>
      </c>
      <c r="E116" s="4" t="s">
        <v>25</v>
      </c>
      <c r="F116" s="4" t="s">
        <v>25</v>
      </c>
      <c r="G116" s="4" t="s">
        <v>65</v>
      </c>
      <c r="H116" s="4" t="s">
        <v>25</v>
      </c>
      <c r="I116" s="5">
        <v>43922</v>
      </c>
      <c r="J116" s="6">
        <v>24000</v>
      </c>
      <c r="K116" s="6">
        <v>13862.4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4" t="s">
        <v>66</v>
      </c>
      <c r="R116" s="4">
        <v>1975</v>
      </c>
      <c r="S116" s="4">
        <v>15</v>
      </c>
      <c r="T116" s="4">
        <v>0</v>
      </c>
      <c r="U116" s="4">
        <v>0</v>
      </c>
      <c r="V116" s="6">
        <f>IF(ISERROR(VLOOKUP($S$116,'TAR FIN'!$A$1:$O$120,15,0)),0,VLOOKUP($S$116,'TAR FIN'!$A$1:$O$120,15,0))</f>
        <v>3.6</v>
      </c>
      <c r="W116" s="6">
        <f>IF(ISERROR(VLOOKUP($T$116,'TAR FIN'!$A$1:$O$120,15,0)),0,VLOOKUP($T$116,'TAR FIN'!$A$1:$O$120,15,0))</f>
        <v>0</v>
      </c>
      <c r="X116" s="6">
        <f>IF(ISERROR(VLOOKUP($U$116,'TAR FIN'!$A$1:$O$120,15,0)),0,VLOOKUP($U$116,'TAR FIN'!$A$1:$O$120,15,0))</f>
        <v>0</v>
      </c>
      <c r="Y116" s="6">
        <f ca="1">('TUSD BE'!$AM$19+'TUSD BF'!$AM$19+'TUSD CVA'!$AM$19)*1</f>
        <v>3.7060942662492113</v>
      </c>
      <c r="Z116" s="6"/>
      <c r="AA116" s="6"/>
      <c r="AB116" s="6">
        <f t="shared" si="6"/>
        <v>36495.360000000001</v>
      </c>
      <c r="AC116" s="6">
        <f t="shared" si="7"/>
        <v>0</v>
      </c>
      <c r="AD116" s="6">
        <f t="shared" ca="1" si="8"/>
        <v>37570.901233528006</v>
      </c>
      <c r="AE116" s="6">
        <f t="shared" si="9"/>
        <v>0</v>
      </c>
      <c r="AF116" s="4" t="s">
        <v>1149</v>
      </c>
    </row>
    <row r="117" spans="1:32" ht="11.25" customHeight="1" x14ac:dyDescent="0.25">
      <c r="A117" s="4" t="s">
        <v>21</v>
      </c>
      <c r="B117" s="4" t="s">
        <v>45</v>
      </c>
      <c r="C117" s="4" t="s">
        <v>64</v>
      </c>
      <c r="D117" s="4" t="s">
        <v>25</v>
      </c>
      <c r="E117" s="4" t="s">
        <v>25</v>
      </c>
      <c r="F117" s="4" t="s">
        <v>25</v>
      </c>
      <c r="G117" s="4" t="s">
        <v>65</v>
      </c>
      <c r="H117" s="4" t="s">
        <v>25</v>
      </c>
      <c r="I117" s="5">
        <v>43952</v>
      </c>
      <c r="J117" s="6">
        <v>24000</v>
      </c>
      <c r="K117" s="6">
        <v>13870.8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4" t="s">
        <v>66</v>
      </c>
      <c r="R117" s="4">
        <v>1975</v>
      </c>
      <c r="S117" s="4">
        <v>15</v>
      </c>
      <c r="T117" s="4">
        <v>0</v>
      </c>
      <c r="U117" s="4">
        <v>0</v>
      </c>
      <c r="V117" s="6">
        <f>IF(ISERROR(VLOOKUP($S$117,'TAR FIN'!$A$1:$O$120,15,0)),0,VLOOKUP($S$117,'TAR FIN'!$A$1:$O$120,15,0))</f>
        <v>3.6</v>
      </c>
      <c r="W117" s="6">
        <f>IF(ISERROR(VLOOKUP($T$117,'TAR FIN'!$A$1:$O$120,15,0)),0,VLOOKUP($T$117,'TAR FIN'!$A$1:$O$120,15,0))</f>
        <v>0</v>
      </c>
      <c r="X117" s="6">
        <f>IF(ISERROR(VLOOKUP($U$117,'TAR FIN'!$A$1:$O$120,15,0)),0,VLOOKUP($U$117,'TAR FIN'!$A$1:$O$120,15,0))</f>
        <v>0</v>
      </c>
      <c r="Y117" s="6">
        <f ca="1">('TUSD BE'!$AM$19+'TUSD BF'!$AM$19+'TUSD CVA'!$AM$19)*1</f>
        <v>3.7060942662492113</v>
      </c>
      <c r="Z117" s="6"/>
      <c r="AA117" s="6"/>
      <c r="AB117" s="6">
        <f t="shared" si="6"/>
        <v>36465.120000000003</v>
      </c>
      <c r="AC117" s="6">
        <f t="shared" si="7"/>
        <v>0</v>
      </c>
      <c r="AD117" s="6">
        <f t="shared" ca="1" si="8"/>
        <v>37539.770041691518</v>
      </c>
      <c r="AE117" s="6">
        <f t="shared" si="9"/>
        <v>0</v>
      </c>
      <c r="AF117" s="4" t="s">
        <v>1149</v>
      </c>
    </row>
    <row r="118" spans="1:32" ht="11.25" customHeight="1" x14ac:dyDescent="0.25">
      <c r="A118" s="4" t="s">
        <v>21</v>
      </c>
      <c r="B118" s="4" t="s">
        <v>45</v>
      </c>
      <c r="C118" s="4" t="s">
        <v>64</v>
      </c>
      <c r="D118" s="4" t="s">
        <v>25</v>
      </c>
      <c r="E118" s="4" t="s">
        <v>25</v>
      </c>
      <c r="F118" s="4" t="s">
        <v>25</v>
      </c>
      <c r="G118" s="4" t="s">
        <v>65</v>
      </c>
      <c r="H118" s="4" t="s">
        <v>25</v>
      </c>
      <c r="I118" s="5">
        <v>43983</v>
      </c>
      <c r="J118" s="6">
        <v>24000</v>
      </c>
      <c r="K118" s="6">
        <v>13812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4" t="s">
        <v>66</v>
      </c>
      <c r="R118" s="4">
        <v>1975</v>
      </c>
      <c r="S118" s="4">
        <v>15</v>
      </c>
      <c r="T118" s="4">
        <v>0</v>
      </c>
      <c r="U118" s="4">
        <v>0</v>
      </c>
      <c r="V118" s="6">
        <f>IF(ISERROR(VLOOKUP($S$118,'TAR FIN'!$A$1:$O$120,15,0)),0,VLOOKUP($S$118,'TAR FIN'!$A$1:$O$120,15,0))</f>
        <v>3.6</v>
      </c>
      <c r="W118" s="6">
        <f>IF(ISERROR(VLOOKUP($T$118,'TAR FIN'!$A$1:$O$120,15,0)),0,VLOOKUP($T$118,'TAR FIN'!$A$1:$O$120,15,0))</f>
        <v>0</v>
      </c>
      <c r="X118" s="6">
        <f>IF(ISERROR(VLOOKUP($U$118,'TAR FIN'!$A$1:$O$120,15,0)),0,VLOOKUP($U$118,'TAR FIN'!$A$1:$O$120,15,0))</f>
        <v>0</v>
      </c>
      <c r="Y118" s="6">
        <f ca="1">('TUSD BE'!$AM$19+'TUSD BF'!$AM$19+'TUSD CVA'!$AM$19)*1</f>
        <v>3.7060942662492113</v>
      </c>
      <c r="Z118" s="6"/>
      <c r="AA118" s="6"/>
      <c r="AB118" s="6">
        <f t="shared" si="6"/>
        <v>36676.800000000003</v>
      </c>
      <c r="AC118" s="6">
        <f t="shared" si="7"/>
        <v>0</v>
      </c>
      <c r="AD118" s="6">
        <f t="shared" ca="1" si="8"/>
        <v>37757.688384546964</v>
      </c>
      <c r="AE118" s="6">
        <f t="shared" si="9"/>
        <v>0</v>
      </c>
      <c r="AF118" s="4" t="s">
        <v>1149</v>
      </c>
    </row>
    <row r="119" spans="1:32" ht="11.25" customHeight="1" x14ac:dyDescent="0.25">
      <c r="A119" s="4" t="s">
        <v>21</v>
      </c>
      <c r="B119" s="4" t="s">
        <v>45</v>
      </c>
      <c r="C119" s="4" t="s">
        <v>64</v>
      </c>
      <c r="D119" s="4" t="s">
        <v>25</v>
      </c>
      <c r="E119" s="4" t="s">
        <v>25</v>
      </c>
      <c r="F119" s="4" t="s">
        <v>25</v>
      </c>
      <c r="G119" s="4" t="s">
        <v>65</v>
      </c>
      <c r="H119" s="4" t="s">
        <v>25</v>
      </c>
      <c r="I119" s="5">
        <v>44013</v>
      </c>
      <c r="J119" s="6">
        <v>24000</v>
      </c>
      <c r="K119" s="6">
        <v>13790.4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4" t="s">
        <v>66</v>
      </c>
      <c r="R119" s="4">
        <v>1975</v>
      </c>
      <c r="S119" s="4">
        <v>15</v>
      </c>
      <c r="T119" s="4">
        <v>0</v>
      </c>
      <c r="U119" s="4">
        <v>0</v>
      </c>
      <c r="V119" s="6">
        <f>IF(ISERROR(VLOOKUP($S$119,'TAR FIN'!$A$1:$O$120,15,0)),0,VLOOKUP($S$119,'TAR FIN'!$A$1:$O$120,15,0))</f>
        <v>3.6</v>
      </c>
      <c r="W119" s="6">
        <f>IF(ISERROR(VLOOKUP($T$119,'TAR FIN'!$A$1:$O$120,15,0)),0,VLOOKUP($T$119,'TAR FIN'!$A$1:$O$120,15,0))</f>
        <v>0</v>
      </c>
      <c r="X119" s="6">
        <f>IF(ISERROR(VLOOKUP($U$119,'TAR FIN'!$A$1:$O$120,15,0)),0,VLOOKUP($U$119,'TAR FIN'!$A$1:$O$120,15,0))</f>
        <v>0</v>
      </c>
      <c r="Y119" s="6">
        <f ca="1">('TUSD BE'!$AM$19+'TUSD BF'!$AM$19+'TUSD CVA'!$AM$19)*1</f>
        <v>3.7060942662492113</v>
      </c>
      <c r="Z119" s="6"/>
      <c r="AA119" s="6"/>
      <c r="AB119" s="6">
        <f t="shared" si="6"/>
        <v>36754.560000000005</v>
      </c>
      <c r="AC119" s="6">
        <f t="shared" si="7"/>
        <v>0</v>
      </c>
      <c r="AD119" s="6">
        <f t="shared" ca="1" si="8"/>
        <v>37837.740020697951</v>
      </c>
      <c r="AE119" s="6">
        <f t="shared" si="9"/>
        <v>0</v>
      </c>
      <c r="AF119" s="4" t="s">
        <v>1149</v>
      </c>
    </row>
    <row r="120" spans="1:32" ht="11.25" customHeight="1" x14ac:dyDescent="0.25">
      <c r="A120" s="4" t="s">
        <v>21</v>
      </c>
      <c r="B120" s="4" t="s">
        <v>45</v>
      </c>
      <c r="C120" s="4" t="s">
        <v>64</v>
      </c>
      <c r="D120" s="4" t="s">
        <v>25</v>
      </c>
      <c r="E120" s="4" t="s">
        <v>25</v>
      </c>
      <c r="F120" s="4" t="s">
        <v>25</v>
      </c>
      <c r="G120" s="4" t="s">
        <v>65</v>
      </c>
      <c r="H120" s="4" t="s">
        <v>25</v>
      </c>
      <c r="I120" s="5">
        <v>44044</v>
      </c>
      <c r="J120" s="6">
        <v>24000</v>
      </c>
      <c r="K120" s="6">
        <v>13778.4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4" t="s">
        <v>66</v>
      </c>
      <c r="R120" s="4">
        <v>1975</v>
      </c>
      <c r="S120" s="4">
        <v>15</v>
      </c>
      <c r="T120" s="4">
        <v>0</v>
      </c>
      <c r="U120" s="4">
        <v>0</v>
      </c>
      <c r="V120" s="6">
        <f>IF(ISERROR(VLOOKUP($S$120,'TAR FIN'!$A$1:$O$120,15,0)),0,VLOOKUP($S$120,'TAR FIN'!$A$1:$O$120,15,0))</f>
        <v>3.6</v>
      </c>
      <c r="W120" s="6">
        <f>IF(ISERROR(VLOOKUP($T$120,'TAR FIN'!$A$1:$O$120,15,0)),0,VLOOKUP($T$120,'TAR FIN'!$A$1:$O$120,15,0))</f>
        <v>0</v>
      </c>
      <c r="X120" s="6">
        <f>IF(ISERROR(VLOOKUP($U$120,'TAR FIN'!$A$1:$O$120,15,0)),0,VLOOKUP($U$120,'TAR FIN'!$A$1:$O$120,15,0))</f>
        <v>0</v>
      </c>
      <c r="Y120" s="6">
        <f ca="1">('TUSD BE'!$AM$19+'TUSD BF'!$AM$19+'TUSD CVA'!$AM$19)*1</f>
        <v>3.7060942662492113</v>
      </c>
      <c r="Z120" s="6"/>
      <c r="AA120" s="6"/>
      <c r="AB120" s="6">
        <f t="shared" si="6"/>
        <v>36797.760000000002</v>
      </c>
      <c r="AC120" s="6">
        <f t="shared" si="7"/>
        <v>0</v>
      </c>
      <c r="AD120" s="6">
        <f t="shared" ca="1" si="8"/>
        <v>37882.213151892938</v>
      </c>
      <c r="AE120" s="6">
        <f t="shared" si="9"/>
        <v>0</v>
      </c>
      <c r="AF120" s="4" t="s">
        <v>1149</v>
      </c>
    </row>
    <row r="121" spans="1:32" ht="11.25" customHeight="1" x14ac:dyDescent="0.25">
      <c r="A121" s="4" t="s">
        <v>59</v>
      </c>
      <c r="B121" s="4" t="s">
        <v>45</v>
      </c>
      <c r="C121" s="4" t="s">
        <v>64</v>
      </c>
      <c r="D121" s="4" t="s">
        <v>25</v>
      </c>
      <c r="E121" s="4" t="s">
        <v>25</v>
      </c>
      <c r="F121" s="4" t="s">
        <v>25</v>
      </c>
      <c r="G121" s="4" t="s">
        <v>65</v>
      </c>
      <c r="H121" s="4" t="s">
        <v>25</v>
      </c>
      <c r="I121" s="5">
        <v>44075</v>
      </c>
      <c r="J121" s="6">
        <v>24000</v>
      </c>
      <c r="K121" s="6">
        <v>13778.4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4" t="s">
        <v>66</v>
      </c>
      <c r="R121" s="4">
        <v>1975</v>
      </c>
      <c r="S121" s="4">
        <v>15</v>
      </c>
      <c r="T121" s="4">
        <v>0</v>
      </c>
      <c r="U121" s="4">
        <v>0</v>
      </c>
      <c r="V121" s="6">
        <f>IF(ISERROR(VLOOKUP($S$121,'TAR FIN'!$A$1:$O$120,15,0)),0,VLOOKUP($S$121,'TAR FIN'!$A$1:$O$120,15,0))</f>
        <v>3.6</v>
      </c>
      <c r="W121" s="6">
        <f>IF(ISERROR(VLOOKUP($T$121,'TAR FIN'!$A$1:$O$120,15,0)),0,VLOOKUP($T$121,'TAR FIN'!$A$1:$O$120,15,0))</f>
        <v>0</v>
      </c>
      <c r="X121" s="6">
        <f>IF(ISERROR(VLOOKUP($U$121,'TAR FIN'!$A$1:$O$120,15,0)),0,VLOOKUP($U$121,'TAR FIN'!$A$1:$O$120,15,0))</f>
        <v>0</v>
      </c>
      <c r="Y121" s="6">
        <f ca="1">('TUSD BE'!$AM$19+'TUSD BF'!$AM$19+'TUSD CVA'!$AM$19)*1</f>
        <v>3.7060942662492113</v>
      </c>
      <c r="Z121" s="6"/>
      <c r="AA121" s="6"/>
      <c r="AB121" s="6">
        <f t="shared" si="6"/>
        <v>36797.760000000002</v>
      </c>
      <c r="AC121" s="6">
        <f t="shared" si="7"/>
        <v>0</v>
      </c>
      <c r="AD121" s="6">
        <f t="shared" ca="1" si="8"/>
        <v>37882.213151892938</v>
      </c>
      <c r="AE121" s="6">
        <f t="shared" si="9"/>
        <v>0</v>
      </c>
      <c r="AF121" s="4" t="s">
        <v>1149</v>
      </c>
    </row>
    <row r="122" spans="1:32" ht="11.25" customHeight="1" x14ac:dyDescent="0.25">
      <c r="A122" s="4" t="s">
        <v>21</v>
      </c>
      <c r="B122" s="4" t="s">
        <v>45</v>
      </c>
      <c r="C122" s="4" t="s">
        <v>34</v>
      </c>
      <c r="D122" s="4" t="s">
        <v>40</v>
      </c>
      <c r="E122" s="4" t="s">
        <v>25</v>
      </c>
      <c r="F122" s="4" t="s">
        <v>63</v>
      </c>
      <c r="G122" s="4" t="s">
        <v>25</v>
      </c>
      <c r="H122" s="4" t="s">
        <v>36</v>
      </c>
      <c r="I122" s="5">
        <v>43739</v>
      </c>
      <c r="J122" s="6">
        <v>0</v>
      </c>
      <c r="K122" s="6">
        <v>0</v>
      </c>
      <c r="L122" s="6">
        <v>120.919</v>
      </c>
      <c r="M122" s="6">
        <v>120.919</v>
      </c>
      <c r="N122" s="6">
        <v>0</v>
      </c>
      <c r="O122" s="6">
        <v>0</v>
      </c>
      <c r="P122" s="6">
        <v>0</v>
      </c>
      <c r="Q122" s="4" t="s">
        <v>60</v>
      </c>
      <c r="R122" s="4">
        <v>0</v>
      </c>
      <c r="S122" s="4">
        <v>0</v>
      </c>
      <c r="T122" s="4">
        <v>18</v>
      </c>
      <c r="U122" s="4">
        <v>0</v>
      </c>
      <c r="V122" s="6">
        <f>IF(ISERROR(VLOOKUP($S$122,'TAR FIN'!$A$1:$O$120,15,0)),0,VLOOKUP($S$122,'TAR FIN'!$A$1:$O$120,15,0))</f>
        <v>0</v>
      </c>
      <c r="W122" s="6">
        <f>IF(ISERROR(VLOOKUP($T$122,'TAR FIN'!$A$1:$O$120,15,0)),0,VLOOKUP($T$122,'TAR FIN'!$A$1:$O$120,15,0))</f>
        <v>84.45</v>
      </c>
      <c r="X122" s="6">
        <f>IF(ISERROR(VLOOKUP($U$122,'TAR FIN'!$A$1:$O$120,15,0)),0,VLOOKUP($U$122,'TAR FIN'!$A$1:$O$120,15,0))</f>
        <v>0</v>
      </c>
      <c r="Y122" s="6"/>
      <c r="Z122" s="6">
        <f ca="1">('TUSD BE'!$AM$22+'TUSD BF'!$AM$22+'TUSD CVA'!$AM$22)*1</f>
        <v>87.519361965254689</v>
      </c>
      <c r="AA122" s="6"/>
      <c r="AB122" s="6">
        <f t="shared" si="6"/>
        <v>0</v>
      </c>
      <c r="AC122" s="6">
        <f t="shared" si="7"/>
        <v>0</v>
      </c>
      <c r="AD122" s="6">
        <f t="shared" si="8"/>
        <v>0</v>
      </c>
      <c r="AE122" s="6">
        <f t="shared" ca="1" si="9"/>
        <v>0</v>
      </c>
      <c r="AF122" s="4" t="s">
        <v>1150</v>
      </c>
    </row>
    <row r="123" spans="1:32" ht="11.25" customHeight="1" x14ac:dyDescent="0.25">
      <c r="A123" s="4" t="s">
        <v>21</v>
      </c>
      <c r="B123" s="4" t="s">
        <v>45</v>
      </c>
      <c r="C123" s="4" t="s">
        <v>34</v>
      </c>
      <c r="D123" s="4" t="s">
        <v>40</v>
      </c>
      <c r="E123" s="4" t="s">
        <v>25</v>
      </c>
      <c r="F123" s="4" t="s">
        <v>63</v>
      </c>
      <c r="G123" s="4" t="s">
        <v>25</v>
      </c>
      <c r="H123" s="4" t="s">
        <v>36</v>
      </c>
      <c r="I123" s="5">
        <v>43770</v>
      </c>
      <c r="J123" s="6">
        <v>0</v>
      </c>
      <c r="K123" s="6">
        <v>0</v>
      </c>
      <c r="L123" s="6">
        <v>117.059</v>
      </c>
      <c r="M123" s="6">
        <v>117.059</v>
      </c>
      <c r="N123" s="6">
        <v>0</v>
      </c>
      <c r="O123" s="6">
        <v>0</v>
      </c>
      <c r="P123" s="6">
        <v>0</v>
      </c>
      <c r="Q123" s="4" t="s">
        <v>60</v>
      </c>
      <c r="R123" s="4">
        <v>0</v>
      </c>
      <c r="S123" s="4">
        <v>0</v>
      </c>
      <c r="T123" s="4">
        <v>18</v>
      </c>
      <c r="U123" s="4">
        <v>0</v>
      </c>
      <c r="V123" s="6">
        <f>IF(ISERROR(VLOOKUP($S$123,'TAR FIN'!$A$1:$O$120,15,0)),0,VLOOKUP($S$123,'TAR FIN'!$A$1:$O$120,15,0))</f>
        <v>0</v>
      </c>
      <c r="W123" s="6">
        <f>IF(ISERROR(VLOOKUP($T$123,'TAR FIN'!$A$1:$O$120,15,0)),0,VLOOKUP($T$123,'TAR FIN'!$A$1:$O$120,15,0))</f>
        <v>84.45</v>
      </c>
      <c r="X123" s="6">
        <f>IF(ISERROR(VLOOKUP($U$123,'TAR FIN'!$A$1:$O$120,15,0)),0,VLOOKUP($U$123,'TAR FIN'!$A$1:$O$120,15,0))</f>
        <v>0</v>
      </c>
      <c r="Y123" s="6"/>
      <c r="Z123" s="6">
        <f ca="1">('TUSD BE'!$AM$22+'TUSD BF'!$AM$22+'TUSD CVA'!$AM$22)*1</f>
        <v>87.519361965254689</v>
      </c>
      <c r="AA123" s="6"/>
      <c r="AB123" s="6">
        <f t="shared" si="6"/>
        <v>0</v>
      </c>
      <c r="AC123" s="6">
        <f t="shared" si="7"/>
        <v>0</v>
      </c>
      <c r="AD123" s="6">
        <f t="shared" si="8"/>
        <v>0</v>
      </c>
      <c r="AE123" s="6">
        <f t="shared" ca="1" si="9"/>
        <v>0</v>
      </c>
      <c r="AF123" s="4" t="s">
        <v>1150</v>
      </c>
    </row>
    <row r="124" spans="1:32" ht="11.25" customHeight="1" x14ac:dyDescent="0.25">
      <c r="A124" s="4" t="s">
        <v>21</v>
      </c>
      <c r="B124" s="4" t="s">
        <v>45</v>
      </c>
      <c r="C124" s="4" t="s">
        <v>34</v>
      </c>
      <c r="D124" s="4" t="s">
        <v>40</v>
      </c>
      <c r="E124" s="4" t="s">
        <v>25</v>
      </c>
      <c r="F124" s="4" t="s">
        <v>63</v>
      </c>
      <c r="G124" s="4" t="s">
        <v>25</v>
      </c>
      <c r="H124" s="4" t="s">
        <v>36</v>
      </c>
      <c r="I124" s="5">
        <v>43800</v>
      </c>
      <c r="J124" s="6">
        <v>0</v>
      </c>
      <c r="K124" s="6">
        <v>0</v>
      </c>
      <c r="L124" s="6">
        <v>118.559</v>
      </c>
      <c r="M124" s="6">
        <v>118.559</v>
      </c>
      <c r="N124" s="6">
        <v>0</v>
      </c>
      <c r="O124" s="6">
        <v>0</v>
      </c>
      <c r="P124" s="6">
        <v>0</v>
      </c>
      <c r="Q124" s="4" t="s">
        <v>60</v>
      </c>
      <c r="R124" s="4">
        <v>0</v>
      </c>
      <c r="S124" s="4">
        <v>0</v>
      </c>
      <c r="T124" s="4">
        <v>18</v>
      </c>
      <c r="U124" s="4">
        <v>0</v>
      </c>
      <c r="V124" s="6">
        <f>IF(ISERROR(VLOOKUP($S$124,'TAR FIN'!$A$1:$O$120,15,0)),0,VLOOKUP($S$124,'TAR FIN'!$A$1:$O$120,15,0))</f>
        <v>0</v>
      </c>
      <c r="W124" s="6">
        <f>IF(ISERROR(VLOOKUP($T$124,'TAR FIN'!$A$1:$O$120,15,0)),0,VLOOKUP($T$124,'TAR FIN'!$A$1:$O$120,15,0))</f>
        <v>84.45</v>
      </c>
      <c r="X124" s="6">
        <f>IF(ISERROR(VLOOKUP($U$124,'TAR FIN'!$A$1:$O$120,15,0)),0,VLOOKUP($U$124,'TAR FIN'!$A$1:$O$120,15,0))</f>
        <v>0</v>
      </c>
      <c r="Y124" s="6"/>
      <c r="Z124" s="6">
        <f ca="1">('TUSD BE'!$AM$22+'TUSD BF'!$AM$22+'TUSD CVA'!$AM$22)*1</f>
        <v>87.519361965254689</v>
      </c>
      <c r="AA124" s="6"/>
      <c r="AB124" s="6">
        <f t="shared" si="6"/>
        <v>0</v>
      </c>
      <c r="AC124" s="6">
        <f t="shared" si="7"/>
        <v>0</v>
      </c>
      <c r="AD124" s="6">
        <f t="shared" si="8"/>
        <v>0</v>
      </c>
      <c r="AE124" s="6">
        <f t="shared" ca="1" si="9"/>
        <v>0</v>
      </c>
      <c r="AF124" s="4" t="s">
        <v>1150</v>
      </c>
    </row>
    <row r="125" spans="1:32" ht="11.25" customHeight="1" x14ac:dyDescent="0.25">
      <c r="A125" s="4" t="s">
        <v>21</v>
      </c>
      <c r="B125" s="4" t="s">
        <v>45</v>
      </c>
      <c r="C125" s="4" t="s">
        <v>34</v>
      </c>
      <c r="D125" s="4" t="s">
        <v>40</v>
      </c>
      <c r="E125" s="4" t="s">
        <v>25</v>
      </c>
      <c r="F125" s="4" t="s">
        <v>63</v>
      </c>
      <c r="G125" s="4" t="s">
        <v>25</v>
      </c>
      <c r="H125" s="4" t="s">
        <v>36</v>
      </c>
      <c r="I125" s="5">
        <v>43831</v>
      </c>
      <c r="J125" s="6">
        <v>0</v>
      </c>
      <c r="K125" s="6">
        <v>0</v>
      </c>
      <c r="L125" s="6">
        <v>119.437</v>
      </c>
      <c r="M125" s="6">
        <v>119.437</v>
      </c>
      <c r="N125" s="6">
        <v>0</v>
      </c>
      <c r="O125" s="6">
        <v>0</v>
      </c>
      <c r="P125" s="6">
        <v>0</v>
      </c>
      <c r="Q125" s="4" t="s">
        <v>60</v>
      </c>
      <c r="R125" s="4">
        <v>0</v>
      </c>
      <c r="S125" s="4">
        <v>0</v>
      </c>
      <c r="T125" s="4">
        <v>18</v>
      </c>
      <c r="U125" s="4">
        <v>0</v>
      </c>
      <c r="V125" s="6">
        <f>IF(ISERROR(VLOOKUP($S$125,'TAR FIN'!$A$1:$O$120,15,0)),0,VLOOKUP($S$125,'TAR FIN'!$A$1:$O$120,15,0))</f>
        <v>0</v>
      </c>
      <c r="W125" s="6">
        <f>IF(ISERROR(VLOOKUP($T$125,'TAR FIN'!$A$1:$O$120,15,0)),0,VLOOKUP($T$125,'TAR FIN'!$A$1:$O$120,15,0))</f>
        <v>84.45</v>
      </c>
      <c r="X125" s="6">
        <f>IF(ISERROR(VLOOKUP($U$125,'TAR FIN'!$A$1:$O$120,15,0)),0,VLOOKUP($U$125,'TAR FIN'!$A$1:$O$120,15,0))</f>
        <v>0</v>
      </c>
      <c r="Y125" s="6"/>
      <c r="Z125" s="6">
        <f ca="1">('TUSD BE'!$AM$22+'TUSD BF'!$AM$22+'TUSD CVA'!$AM$22)*1</f>
        <v>87.519361965254689</v>
      </c>
      <c r="AA125" s="6"/>
      <c r="AB125" s="6">
        <f t="shared" si="6"/>
        <v>0</v>
      </c>
      <c r="AC125" s="6">
        <f t="shared" si="7"/>
        <v>0</v>
      </c>
      <c r="AD125" s="6">
        <f t="shared" si="8"/>
        <v>0</v>
      </c>
      <c r="AE125" s="6">
        <f t="shared" ca="1" si="9"/>
        <v>0</v>
      </c>
      <c r="AF125" s="4" t="s">
        <v>1150</v>
      </c>
    </row>
    <row r="126" spans="1:32" ht="11.25" customHeight="1" x14ac:dyDescent="0.25">
      <c r="A126" s="4" t="s">
        <v>21</v>
      </c>
      <c r="B126" s="4" t="s">
        <v>45</v>
      </c>
      <c r="C126" s="4" t="s">
        <v>34</v>
      </c>
      <c r="D126" s="4" t="s">
        <v>40</v>
      </c>
      <c r="E126" s="4" t="s">
        <v>25</v>
      </c>
      <c r="F126" s="4" t="s">
        <v>63</v>
      </c>
      <c r="G126" s="4" t="s">
        <v>25</v>
      </c>
      <c r="H126" s="4" t="s">
        <v>36</v>
      </c>
      <c r="I126" s="5">
        <v>43862</v>
      </c>
      <c r="J126" s="6">
        <v>0</v>
      </c>
      <c r="K126" s="6">
        <v>0</v>
      </c>
      <c r="L126" s="6">
        <v>108.58199999999999</v>
      </c>
      <c r="M126" s="6">
        <v>108.58199999999999</v>
      </c>
      <c r="N126" s="6">
        <v>0</v>
      </c>
      <c r="O126" s="6">
        <v>0</v>
      </c>
      <c r="P126" s="6">
        <v>0</v>
      </c>
      <c r="Q126" s="4" t="s">
        <v>60</v>
      </c>
      <c r="R126" s="4">
        <v>0</v>
      </c>
      <c r="S126" s="4">
        <v>0</v>
      </c>
      <c r="T126" s="4">
        <v>18</v>
      </c>
      <c r="U126" s="4">
        <v>0</v>
      </c>
      <c r="V126" s="6">
        <f>IF(ISERROR(VLOOKUP($S$126,'TAR FIN'!$A$1:$O$120,15,0)),0,VLOOKUP($S$126,'TAR FIN'!$A$1:$O$120,15,0))</f>
        <v>0</v>
      </c>
      <c r="W126" s="6">
        <f>IF(ISERROR(VLOOKUP($T$126,'TAR FIN'!$A$1:$O$120,15,0)),0,VLOOKUP($T$126,'TAR FIN'!$A$1:$O$120,15,0))</f>
        <v>84.45</v>
      </c>
      <c r="X126" s="6">
        <f>IF(ISERROR(VLOOKUP($U$126,'TAR FIN'!$A$1:$O$120,15,0)),0,VLOOKUP($U$126,'TAR FIN'!$A$1:$O$120,15,0))</f>
        <v>0</v>
      </c>
      <c r="Y126" s="6"/>
      <c r="Z126" s="6">
        <f ca="1">('TUSD BE'!$AM$22+'TUSD BF'!$AM$22+'TUSD CVA'!$AM$22)*1</f>
        <v>87.519361965254689</v>
      </c>
      <c r="AA126" s="6"/>
      <c r="AB126" s="6">
        <f t="shared" si="6"/>
        <v>0</v>
      </c>
      <c r="AC126" s="6">
        <f t="shared" si="7"/>
        <v>0</v>
      </c>
      <c r="AD126" s="6">
        <f t="shared" si="8"/>
        <v>0</v>
      </c>
      <c r="AE126" s="6">
        <f t="shared" ca="1" si="9"/>
        <v>0</v>
      </c>
      <c r="AF126" s="4" t="s">
        <v>1150</v>
      </c>
    </row>
    <row r="127" spans="1:32" ht="11.25" customHeight="1" x14ac:dyDescent="0.25">
      <c r="A127" s="4" t="s">
        <v>21</v>
      </c>
      <c r="B127" s="4" t="s">
        <v>45</v>
      </c>
      <c r="C127" s="4" t="s">
        <v>34</v>
      </c>
      <c r="D127" s="4" t="s">
        <v>40</v>
      </c>
      <c r="E127" s="4" t="s">
        <v>25</v>
      </c>
      <c r="F127" s="4" t="s">
        <v>63</v>
      </c>
      <c r="G127" s="4" t="s">
        <v>25</v>
      </c>
      <c r="H127" s="4" t="s">
        <v>36</v>
      </c>
      <c r="I127" s="5">
        <v>43891</v>
      </c>
      <c r="J127" s="6">
        <v>0</v>
      </c>
      <c r="K127" s="6">
        <v>0</v>
      </c>
      <c r="L127" s="6">
        <v>62.996000000000002</v>
      </c>
      <c r="M127" s="6">
        <v>62.996000000000002</v>
      </c>
      <c r="N127" s="6">
        <v>0</v>
      </c>
      <c r="O127" s="6">
        <v>0</v>
      </c>
      <c r="P127" s="6">
        <v>0</v>
      </c>
      <c r="Q127" s="4" t="s">
        <v>60</v>
      </c>
      <c r="R127" s="4">
        <v>0</v>
      </c>
      <c r="S127" s="4">
        <v>0</v>
      </c>
      <c r="T127" s="4">
        <v>18</v>
      </c>
      <c r="U127" s="4">
        <v>0</v>
      </c>
      <c r="V127" s="6">
        <f>IF(ISERROR(VLOOKUP($S$127,'TAR FIN'!$A$1:$O$120,15,0)),0,VLOOKUP($S$127,'TAR FIN'!$A$1:$O$120,15,0))</f>
        <v>0</v>
      </c>
      <c r="W127" s="6">
        <f>IF(ISERROR(VLOOKUP($T$127,'TAR FIN'!$A$1:$O$120,15,0)),0,VLOOKUP($T$127,'TAR FIN'!$A$1:$O$120,15,0))</f>
        <v>84.45</v>
      </c>
      <c r="X127" s="6">
        <f>IF(ISERROR(VLOOKUP($U$127,'TAR FIN'!$A$1:$O$120,15,0)),0,VLOOKUP($U$127,'TAR FIN'!$A$1:$O$120,15,0))</f>
        <v>0</v>
      </c>
      <c r="Y127" s="6"/>
      <c r="Z127" s="6">
        <f ca="1">('TUSD BE'!$AM$22+'TUSD BF'!$AM$22+'TUSD CVA'!$AM$22)*1</f>
        <v>87.519361965254689</v>
      </c>
      <c r="AA127" s="6"/>
      <c r="AB127" s="6">
        <f t="shared" si="6"/>
        <v>0</v>
      </c>
      <c r="AC127" s="6">
        <f t="shared" si="7"/>
        <v>0</v>
      </c>
      <c r="AD127" s="6">
        <f t="shared" si="8"/>
        <v>0</v>
      </c>
      <c r="AE127" s="6">
        <f t="shared" ca="1" si="9"/>
        <v>0</v>
      </c>
      <c r="AF127" s="4" t="s">
        <v>1150</v>
      </c>
    </row>
    <row r="128" spans="1:32" ht="11.25" customHeight="1" x14ac:dyDescent="0.25">
      <c r="A128" s="4" t="s">
        <v>21</v>
      </c>
      <c r="B128" s="4" t="s">
        <v>45</v>
      </c>
      <c r="C128" s="4" t="s">
        <v>34</v>
      </c>
      <c r="D128" s="4" t="s">
        <v>40</v>
      </c>
      <c r="E128" s="4" t="s">
        <v>25</v>
      </c>
      <c r="F128" s="4" t="s">
        <v>63</v>
      </c>
      <c r="G128" s="4" t="s">
        <v>25</v>
      </c>
      <c r="H128" s="4" t="s">
        <v>36</v>
      </c>
      <c r="I128" s="5">
        <v>43922</v>
      </c>
      <c r="J128" s="6">
        <v>0</v>
      </c>
      <c r="K128" s="6">
        <v>0</v>
      </c>
      <c r="L128" s="6">
        <v>10.845000000000001</v>
      </c>
      <c r="M128" s="6">
        <v>10.845000000000001</v>
      </c>
      <c r="N128" s="6">
        <v>0</v>
      </c>
      <c r="O128" s="6">
        <v>0</v>
      </c>
      <c r="P128" s="6">
        <v>0</v>
      </c>
      <c r="Q128" s="4" t="s">
        <v>60</v>
      </c>
      <c r="R128" s="4">
        <v>0</v>
      </c>
      <c r="S128" s="4">
        <v>0</v>
      </c>
      <c r="T128" s="4">
        <v>18</v>
      </c>
      <c r="U128" s="4">
        <v>0</v>
      </c>
      <c r="V128" s="6">
        <f>IF(ISERROR(VLOOKUP($S$128,'TAR FIN'!$A$1:$O$120,15,0)),0,VLOOKUP($S$128,'TAR FIN'!$A$1:$O$120,15,0))</f>
        <v>0</v>
      </c>
      <c r="W128" s="6">
        <f>IF(ISERROR(VLOOKUP($T$128,'TAR FIN'!$A$1:$O$120,15,0)),0,VLOOKUP($T$128,'TAR FIN'!$A$1:$O$120,15,0))</f>
        <v>84.45</v>
      </c>
      <c r="X128" s="6">
        <f>IF(ISERROR(VLOOKUP($U$128,'TAR FIN'!$A$1:$O$120,15,0)),0,VLOOKUP($U$128,'TAR FIN'!$A$1:$O$120,15,0))</f>
        <v>0</v>
      </c>
      <c r="Y128" s="6"/>
      <c r="Z128" s="6">
        <f ca="1">('TUSD BE'!$AM$22+'TUSD BF'!$AM$22+'TUSD CVA'!$AM$22)*1</f>
        <v>87.519361965254689</v>
      </c>
      <c r="AA128" s="6"/>
      <c r="AB128" s="6">
        <f t="shared" si="6"/>
        <v>0</v>
      </c>
      <c r="AC128" s="6">
        <f t="shared" si="7"/>
        <v>0</v>
      </c>
      <c r="AD128" s="6">
        <f t="shared" si="8"/>
        <v>0</v>
      </c>
      <c r="AE128" s="6">
        <f t="shared" ca="1" si="9"/>
        <v>0</v>
      </c>
      <c r="AF128" s="4" t="s">
        <v>1150</v>
      </c>
    </row>
    <row r="129" spans="1:32" ht="11.25" customHeight="1" x14ac:dyDescent="0.25">
      <c r="A129" s="4" t="s">
        <v>21</v>
      </c>
      <c r="B129" s="4" t="s">
        <v>45</v>
      </c>
      <c r="C129" s="4" t="s">
        <v>34</v>
      </c>
      <c r="D129" s="4" t="s">
        <v>40</v>
      </c>
      <c r="E129" s="4" t="s">
        <v>25</v>
      </c>
      <c r="F129" s="4" t="s">
        <v>63</v>
      </c>
      <c r="G129" s="4" t="s">
        <v>25</v>
      </c>
      <c r="H129" s="4" t="s">
        <v>36</v>
      </c>
      <c r="I129" s="5">
        <v>43952</v>
      </c>
      <c r="J129" s="6">
        <v>0</v>
      </c>
      <c r="K129" s="6">
        <v>0</v>
      </c>
      <c r="L129" s="6">
        <v>22.18</v>
      </c>
      <c r="M129" s="6">
        <v>22.18</v>
      </c>
      <c r="N129" s="6">
        <v>0</v>
      </c>
      <c r="O129" s="6">
        <v>0</v>
      </c>
      <c r="P129" s="6">
        <v>0</v>
      </c>
      <c r="Q129" s="4" t="s">
        <v>60</v>
      </c>
      <c r="R129" s="4">
        <v>0</v>
      </c>
      <c r="S129" s="4">
        <v>0</v>
      </c>
      <c r="T129" s="4">
        <v>18</v>
      </c>
      <c r="U129" s="4">
        <v>0</v>
      </c>
      <c r="V129" s="6">
        <f>IF(ISERROR(VLOOKUP($S$129,'TAR FIN'!$A$1:$O$120,15,0)),0,VLOOKUP($S$129,'TAR FIN'!$A$1:$O$120,15,0))</f>
        <v>0</v>
      </c>
      <c r="W129" s="6">
        <f>IF(ISERROR(VLOOKUP($T$129,'TAR FIN'!$A$1:$O$120,15,0)),0,VLOOKUP($T$129,'TAR FIN'!$A$1:$O$120,15,0))</f>
        <v>84.45</v>
      </c>
      <c r="X129" s="6">
        <f>IF(ISERROR(VLOOKUP($U$129,'TAR FIN'!$A$1:$O$120,15,0)),0,VLOOKUP($U$129,'TAR FIN'!$A$1:$O$120,15,0))</f>
        <v>0</v>
      </c>
      <c r="Y129" s="6"/>
      <c r="Z129" s="6">
        <f ca="1">('TUSD BE'!$AM$22+'TUSD BF'!$AM$22+'TUSD CVA'!$AM$22)*1</f>
        <v>87.519361965254689</v>
      </c>
      <c r="AA129" s="6"/>
      <c r="AB129" s="6">
        <f t="shared" si="6"/>
        <v>0</v>
      </c>
      <c r="AC129" s="6">
        <f t="shared" si="7"/>
        <v>0</v>
      </c>
      <c r="AD129" s="6">
        <f t="shared" si="8"/>
        <v>0</v>
      </c>
      <c r="AE129" s="6">
        <f t="shared" ca="1" si="9"/>
        <v>0</v>
      </c>
      <c r="AF129" s="4" t="s">
        <v>1150</v>
      </c>
    </row>
    <row r="130" spans="1:32" ht="11.25" customHeight="1" x14ac:dyDescent="0.25">
      <c r="A130" s="4" t="s">
        <v>21</v>
      </c>
      <c r="B130" s="4" t="s">
        <v>45</v>
      </c>
      <c r="C130" s="4" t="s">
        <v>34</v>
      </c>
      <c r="D130" s="4" t="s">
        <v>40</v>
      </c>
      <c r="E130" s="4" t="s">
        <v>25</v>
      </c>
      <c r="F130" s="4" t="s">
        <v>63</v>
      </c>
      <c r="G130" s="4" t="s">
        <v>25</v>
      </c>
      <c r="H130" s="4" t="s">
        <v>36</v>
      </c>
      <c r="I130" s="5">
        <v>43983</v>
      </c>
      <c r="J130" s="6">
        <v>0</v>
      </c>
      <c r="K130" s="6">
        <v>0</v>
      </c>
      <c r="L130" s="6">
        <v>22.18</v>
      </c>
      <c r="M130" s="6">
        <v>22.18</v>
      </c>
      <c r="N130" s="6">
        <v>0</v>
      </c>
      <c r="O130" s="6">
        <v>0</v>
      </c>
      <c r="P130" s="6">
        <v>0</v>
      </c>
      <c r="Q130" s="4" t="s">
        <v>60</v>
      </c>
      <c r="R130" s="4">
        <v>0</v>
      </c>
      <c r="S130" s="4">
        <v>0</v>
      </c>
      <c r="T130" s="4">
        <v>18</v>
      </c>
      <c r="U130" s="4">
        <v>0</v>
      </c>
      <c r="V130" s="6">
        <f>IF(ISERROR(VLOOKUP($S$130,'TAR FIN'!$A$1:$O$120,15,0)),0,VLOOKUP($S$130,'TAR FIN'!$A$1:$O$120,15,0))</f>
        <v>0</v>
      </c>
      <c r="W130" s="6">
        <f>IF(ISERROR(VLOOKUP($T$130,'TAR FIN'!$A$1:$O$120,15,0)),0,VLOOKUP($T$130,'TAR FIN'!$A$1:$O$120,15,0))</f>
        <v>84.45</v>
      </c>
      <c r="X130" s="6">
        <f>IF(ISERROR(VLOOKUP($U$130,'TAR FIN'!$A$1:$O$120,15,0)),0,VLOOKUP($U$130,'TAR FIN'!$A$1:$O$120,15,0))</f>
        <v>0</v>
      </c>
      <c r="Y130" s="6"/>
      <c r="Z130" s="6">
        <f ca="1">('TUSD BE'!$AM$22+'TUSD BF'!$AM$22+'TUSD CVA'!$AM$22)*1</f>
        <v>87.519361965254689</v>
      </c>
      <c r="AA130" s="6"/>
      <c r="AB130" s="6">
        <f t="shared" ref="AB130:AB157" si="10">(J130-K130)*V130</f>
        <v>0</v>
      </c>
      <c r="AC130" s="6">
        <f t="shared" ref="AC130:AC157" si="11">(L130-M130)*W130+(N130-O130)*X130</f>
        <v>0</v>
      </c>
      <c r="AD130" s="6">
        <f t="shared" ref="AD130:AD157" si="12">(J130-K130)*Y130</f>
        <v>0</v>
      </c>
      <c r="AE130" s="6">
        <f t="shared" ref="AE130:AE157" ca="1" si="13">(L130-M130)*Z130+(N130-O130)*AA130</f>
        <v>0</v>
      </c>
      <c r="AF130" s="4" t="s">
        <v>1150</v>
      </c>
    </row>
    <row r="131" spans="1:32" ht="11.25" customHeight="1" x14ac:dyDescent="0.25">
      <c r="A131" s="4" t="s">
        <v>21</v>
      </c>
      <c r="B131" s="4" t="s">
        <v>45</v>
      </c>
      <c r="C131" s="4" t="s">
        <v>34</v>
      </c>
      <c r="D131" s="4" t="s">
        <v>40</v>
      </c>
      <c r="E131" s="4" t="s">
        <v>25</v>
      </c>
      <c r="F131" s="4" t="s">
        <v>63</v>
      </c>
      <c r="G131" s="4" t="s">
        <v>25</v>
      </c>
      <c r="H131" s="4" t="s">
        <v>36</v>
      </c>
      <c r="I131" s="5">
        <v>44013</v>
      </c>
      <c r="J131" s="6">
        <v>0</v>
      </c>
      <c r="K131" s="6">
        <v>0</v>
      </c>
      <c r="L131" s="6">
        <v>55.78</v>
      </c>
      <c r="M131" s="6">
        <v>55.78</v>
      </c>
      <c r="N131" s="6">
        <v>0</v>
      </c>
      <c r="O131" s="6">
        <v>0</v>
      </c>
      <c r="P131" s="6">
        <v>0</v>
      </c>
      <c r="Q131" s="4" t="s">
        <v>60</v>
      </c>
      <c r="R131" s="4">
        <v>0</v>
      </c>
      <c r="S131" s="4">
        <v>0</v>
      </c>
      <c r="T131" s="4">
        <v>18</v>
      </c>
      <c r="U131" s="4">
        <v>0</v>
      </c>
      <c r="V131" s="6">
        <f>IF(ISERROR(VLOOKUP($S$131,'TAR FIN'!$A$1:$O$120,15,0)),0,VLOOKUP($S$131,'TAR FIN'!$A$1:$O$120,15,0))</f>
        <v>0</v>
      </c>
      <c r="W131" s="6">
        <f>IF(ISERROR(VLOOKUP($T$131,'TAR FIN'!$A$1:$O$120,15,0)),0,VLOOKUP($T$131,'TAR FIN'!$A$1:$O$120,15,0))</f>
        <v>84.45</v>
      </c>
      <c r="X131" s="6">
        <f>IF(ISERROR(VLOOKUP($U$131,'TAR FIN'!$A$1:$O$120,15,0)),0,VLOOKUP($U$131,'TAR FIN'!$A$1:$O$120,15,0))</f>
        <v>0</v>
      </c>
      <c r="Y131" s="6"/>
      <c r="Z131" s="6">
        <f ca="1">('TUSD BE'!$AM$22+'TUSD BF'!$AM$22+'TUSD CVA'!$AM$22)*1</f>
        <v>87.519361965254689</v>
      </c>
      <c r="AA131" s="6"/>
      <c r="AB131" s="6">
        <f t="shared" si="10"/>
        <v>0</v>
      </c>
      <c r="AC131" s="6">
        <f t="shared" si="11"/>
        <v>0</v>
      </c>
      <c r="AD131" s="6">
        <f t="shared" si="12"/>
        <v>0</v>
      </c>
      <c r="AE131" s="6">
        <f t="shared" ca="1" si="13"/>
        <v>0</v>
      </c>
      <c r="AF131" s="4" t="s">
        <v>1150</v>
      </c>
    </row>
    <row r="132" spans="1:32" ht="11.25" customHeight="1" x14ac:dyDescent="0.25">
      <c r="A132" s="4" t="s">
        <v>21</v>
      </c>
      <c r="B132" s="4" t="s">
        <v>45</v>
      </c>
      <c r="C132" s="4" t="s">
        <v>34</v>
      </c>
      <c r="D132" s="4" t="s">
        <v>40</v>
      </c>
      <c r="E132" s="4" t="s">
        <v>25</v>
      </c>
      <c r="F132" s="4" t="s">
        <v>63</v>
      </c>
      <c r="G132" s="4" t="s">
        <v>25</v>
      </c>
      <c r="H132" s="4" t="s">
        <v>36</v>
      </c>
      <c r="I132" s="5">
        <v>44044</v>
      </c>
      <c r="J132" s="6">
        <v>0</v>
      </c>
      <c r="K132" s="6">
        <v>0</v>
      </c>
      <c r="L132" s="6">
        <v>61.387999999999998</v>
      </c>
      <c r="M132" s="6">
        <v>61.387999999999998</v>
      </c>
      <c r="N132" s="6">
        <v>0</v>
      </c>
      <c r="O132" s="6">
        <v>0</v>
      </c>
      <c r="P132" s="6">
        <v>0</v>
      </c>
      <c r="Q132" s="4" t="s">
        <v>60</v>
      </c>
      <c r="R132" s="4">
        <v>0</v>
      </c>
      <c r="S132" s="4">
        <v>0</v>
      </c>
      <c r="T132" s="4">
        <v>18</v>
      </c>
      <c r="U132" s="4">
        <v>0</v>
      </c>
      <c r="V132" s="6">
        <f>IF(ISERROR(VLOOKUP($S$132,'TAR FIN'!$A$1:$O$120,15,0)),0,VLOOKUP($S$132,'TAR FIN'!$A$1:$O$120,15,0))</f>
        <v>0</v>
      </c>
      <c r="W132" s="6">
        <f>IF(ISERROR(VLOOKUP($T$132,'TAR FIN'!$A$1:$O$120,15,0)),0,VLOOKUP($T$132,'TAR FIN'!$A$1:$O$120,15,0))</f>
        <v>84.45</v>
      </c>
      <c r="X132" s="6">
        <f>IF(ISERROR(VLOOKUP($U$132,'TAR FIN'!$A$1:$O$120,15,0)),0,VLOOKUP($U$132,'TAR FIN'!$A$1:$O$120,15,0))</f>
        <v>0</v>
      </c>
      <c r="Y132" s="6"/>
      <c r="Z132" s="6">
        <f ca="1">('TUSD BE'!$AM$22+'TUSD BF'!$AM$22+'TUSD CVA'!$AM$22)*1</f>
        <v>87.519361965254689</v>
      </c>
      <c r="AA132" s="6"/>
      <c r="AB132" s="6">
        <f t="shared" si="10"/>
        <v>0</v>
      </c>
      <c r="AC132" s="6">
        <f t="shared" si="11"/>
        <v>0</v>
      </c>
      <c r="AD132" s="6">
        <f t="shared" si="12"/>
        <v>0</v>
      </c>
      <c r="AE132" s="6">
        <f t="shared" ca="1" si="13"/>
        <v>0</v>
      </c>
      <c r="AF132" s="4" t="s">
        <v>1150</v>
      </c>
    </row>
    <row r="133" spans="1:32" ht="11.25" customHeight="1" x14ac:dyDescent="0.25">
      <c r="A133" s="4" t="s">
        <v>59</v>
      </c>
      <c r="B133" s="4" t="s">
        <v>45</v>
      </c>
      <c r="C133" s="4" t="s">
        <v>34</v>
      </c>
      <c r="D133" s="4" t="s">
        <v>40</v>
      </c>
      <c r="E133" s="4" t="s">
        <v>25</v>
      </c>
      <c r="F133" s="4" t="s">
        <v>63</v>
      </c>
      <c r="G133" s="4" t="s">
        <v>25</v>
      </c>
      <c r="H133" s="4" t="s">
        <v>36</v>
      </c>
      <c r="I133" s="5">
        <v>44075</v>
      </c>
      <c r="J133" s="6">
        <v>0</v>
      </c>
      <c r="K133" s="6">
        <v>0</v>
      </c>
      <c r="L133" s="6">
        <v>61.387999999999998</v>
      </c>
      <c r="M133" s="6">
        <v>61.387999999999998</v>
      </c>
      <c r="N133" s="6">
        <v>0</v>
      </c>
      <c r="O133" s="6">
        <v>0</v>
      </c>
      <c r="P133" s="6">
        <v>0</v>
      </c>
      <c r="Q133" s="4" t="s">
        <v>60</v>
      </c>
      <c r="R133" s="4">
        <v>0</v>
      </c>
      <c r="S133" s="4">
        <v>0</v>
      </c>
      <c r="T133" s="4">
        <v>18</v>
      </c>
      <c r="U133" s="4">
        <v>0</v>
      </c>
      <c r="V133" s="6">
        <f>IF(ISERROR(VLOOKUP($S$133,'TAR FIN'!$A$1:$O$120,15,0)),0,VLOOKUP($S$133,'TAR FIN'!$A$1:$O$120,15,0))</f>
        <v>0</v>
      </c>
      <c r="W133" s="6">
        <f>IF(ISERROR(VLOOKUP($T$133,'TAR FIN'!$A$1:$O$120,15,0)),0,VLOOKUP($T$133,'TAR FIN'!$A$1:$O$120,15,0))</f>
        <v>84.45</v>
      </c>
      <c r="X133" s="6">
        <f>IF(ISERROR(VLOOKUP($U$133,'TAR FIN'!$A$1:$O$120,15,0)),0,VLOOKUP($U$133,'TAR FIN'!$A$1:$O$120,15,0))</f>
        <v>0</v>
      </c>
      <c r="Y133" s="6"/>
      <c r="Z133" s="6">
        <f ca="1">('TUSD BE'!$AM$22+'TUSD BF'!$AM$22+'TUSD CVA'!$AM$22)*1</f>
        <v>87.519361965254689</v>
      </c>
      <c r="AA133" s="6"/>
      <c r="AB133" s="6">
        <f t="shared" si="10"/>
        <v>0</v>
      </c>
      <c r="AC133" s="6">
        <f t="shared" si="11"/>
        <v>0</v>
      </c>
      <c r="AD133" s="6">
        <f t="shared" si="12"/>
        <v>0</v>
      </c>
      <c r="AE133" s="6">
        <f t="shared" ca="1" si="13"/>
        <v>0</v>
      </c>
      <c r="AF133" s="4" t="s">
        <v>1150</v>
      </c>
    </row>
    <row r="134" spans="1:32" ht="11.25" customHeight="1" x14ac:dyDescent="0.25">
      <c r="A134" s="4" t="s">
        <v>21</v>
      </c>
      <c r="B134" s="4" t="s">
        <v>45</v>
      </c>
      <c r="C134" s="4" t="s">
        <v>34</v>
      </c>
      <c r="D134" s="4" t="s">
        <v>40</v>
      </c>
      <c r="E134" s="4" t="s">
        <v>25</v>
      </c>
      <c r="F134" s="4" t="s">
        <v>63</v>
      </c>
      <c r="G134" s="4" t="s">
        <v>25</v>
      </c>
      <c r="H134" s="4" t="s">
        <v>25</v>
      </c>
      <c r="I134" s="5">
        <v>43739</v>
      </c>
      <c r="J134" s="6">
        <v>670</v>
      </c>
      <c r="K134" s="6">
        <v>419.85302100000001</v>
      </c>
      <c r="L134" s="6">
        <v>0</v>
      </c>
      <c r="M134" s="6">
        <v>0</v>
      </c>
      <c r="N134" s="6">
        <v>0</v>
      </c>
      <c r="O134" s="6">
        <v>0</v>
      </c>
      <c r="P134" s="6">
        <v>3</v>
      </c>
      <c r="Q134" s="4" t="s">
        <v>60</v>
      </c>
      <c r="R134" s="4">
        <v>0</v>
      </c>
      <c r="S134" s="4">
        <v>16</v>
      </c>
      <c r="T134" s="4">
        <v>0</v>
      </c>
      <c r="U134" s="4">
        <v>0</v>
      </c>
      <c r="V134" s="6">
        <f>IF(ISERROR(VLOOKUP($S$134,'TAR FIN'!$A$1:$O$120,15,0)),0,VLOOKUP($S$134,'TAR FIN'!$A$1:$O$120,15,0))</f>
        <v>8.81</v>
      </c>
      <c r="W134" s="6">
        <f>IF(ISERROR(VLOOKUP($T$134,'TAR FIN'!$A$1:$O$120,15,0)),0,VLOOKUP($T$134,'TAR FIN'!$A$1:$O$120,15,0))</f>
        <v>0</v>
      </c>
      <c r="X134" s="6">
        <f>IF(ISERROR(VLOOKUP($U$134,'TAR FIN'!$A$1:$O$120,15,0)),0,VLOOKUP($U$134,'TAR FIN'!$A$1:$O$120,15,0))</f>
        <v>0</v>
      </c>
      <c r="Y134" s="6">
        <f ca="1">('TUSD BE'!$AM$20+'TUSD BF'!$AM$20+'TUSD CVA'!$AM$20)*1</f>
        <v>11.452356648653195</v>
      </c>
      <c r="Z134" s="6"/>
      <c r="AA134" s="6"/>
      <c r="AB134" s="6">
        <f t="shared" si="10"/>
        <v>2203.7948849899999</v>
      </c>
      <c r="AC134" s="6">
        <f t="shared" si="11"/>
        <v>0</v>
      </c>
      <c r="AD134" s="6">
        <f t="shared" ca="1" si="12"/>
        <v>2864.7724180911609</v>
      </c>
      <c r="AE134" s="6">
        <f t="shared" si="13"/>
        <v>0</v>
      </c>
      <c r="AF134" s="4" t="s">
        <v>1150</v>
      </c>
    </row>
    <row r="135" spans="1:32" ht="11.25" customHeight="1" x14ac:dyDescent="0.25">
      <c r="A135" s="4" t="s">
        <v>21</v>
      </c>
      <c r="B135" s="4" t="s">
        <v>45</v>
      </c>
      <c r="C135" s="4" t="s">
        <v>34</v>
      </c>
      <c r="D135" s="4" t="s">
        <v>40</v>
      </c>
      <c r="E135" s="4" t="s">
        <v>25</v>
      </c>
      <c r="F135" s="4" t="s">
        <v>63</v>
      </c>
      <c r="G135" s="4" t="s">
        <v>25</v>
      </c>
      <c r="H135" s="4" t="s">
        <v>25</v>
      </c>
      <c r="I135" s="5">
        <v>43770</v>
      </c>
      <c r="J135" s="6">
        <v>670</v>
      </c>
      <c r="K135" s="6">
        <v>421.90370339999998</v>
      </c>
      <c r="L135" s="6">
        <v>0</v>
      </c>
      <c r="M135" s="6">
        <v>0</v>
      </c>
      <c r="N135" s="6">
        <v>0</v>
      </c>
      <c r="O135" s="6">
        <v>0</v>
      </c>
      <c r="P135" s="6">
        <v>3</v>
      </c>
      <c r="Q135" s="4" t="s">
        <v>60</v>
      </c>
      <c r="R135" s="4">
        <v>0</v>
      </c>
      <c r="S135" s="4">
        <v>16</v>
      </c>
      <c r="T135" s="4">
        <v>0</v>
      </c>
      <c r="U135" s="4">
        <v>0</v>
      </c>
      <c r="V135" s="6">
        <f>IF(ISERROR(VLOOKUP($S$135,'TAR FIN'!$A$1:$O$120,15,0)),0,VLOOKUP($S$135,'TAR FIN'!$A$1:$O$120,15,0))</f>
        <v>8.81</v>
      </c>
      <c r="W135" s="6">
        <f>IF(ISERROR(VLOOKUP($T$135,'TAR FIN'!$A$1:$O$120,15,0)),0,VLOOKUP($T$135,'TAR FIN'!$A$1:$O$120,15,0))</f>
        <v>0</v>
      </c>
      <c r="X135" s="6">
        <f>IF(ISERROR(VLOOKUP($U$135,'TAR FIN'!$A$1:$O$120,15,0)),0,VLOOKUP($U$135,'TAR FIN'!$A$1:$O$120,15,0))</f>
        <v>0</v>
      </c>
      <c r="Y135" s="6">
        <f ca="1">('TUSD BE'!$AM$20+'TUSD BF'!$AM$20+'TUSD CVA'!$AM$20)*1</f>
        <v>11.452356648653195</v>
      </c>
      <c r="Z135" s="6"/>
      <c r="AA135" s="6"/>
      <c r="AB135" s="6">
        <f t="shared" si="10"/>
        <v>2185.7283730460003</v>
      </c>
      <c r="AC135" s="6">
        <f t="shared" si="11"/>
        <v>0</v>
      </c>
      <c r="AD135" s="6">
        <f t="shared" ca="1" si="12"/>
        <v>2841.2872718732451</v>
      </c>
      <c r="AE135" s="6">
        <f t="shared" si="13"/>
        <v>0</v>
      </c>
      <c r="AF135" s="4" t="s">
        <v>1150</v>
      </c>
    </row>
    <row r="136" spans="1:32" ht="11.25" customHeight="1" x14ac:dyDescent="0.25">
      <c r="A136" s="4" t="s">
        <v>21</v>
      </c>
      <c r="B136" s="4" t="s">
        <v>45</v>
      </c>
      <c r="C136" s="4" t="s">
        <v>34</v>
      </c>
      <c r="D136" s="4" t="s">
        <v>40</v>
      </c>
      <c r="E136" s="4" t="s">
        <v>25</v>
      </c>
      <c r="F136" s="4" t="s">
        <v>63</v>
      </c>
      <c r="G136" s="4" t="s">
        <v>25</v>
      </c>
      <c r="H136" s="4" t="s">
        <v>25</v>
      </c>
      <c r="I136" s="5">
        <v>43800</v>
      </c>
      <c r="J136" s="6">
        <v>670</v>
      </c>
      <c r="K136" s="6">
        <v>425.12383060000002</v>
      </c>
      <c r="L136" s="6">
        <v>0</v>
      </c>
      <c r="M136" s="6">
        <v>0</v>
      </c>
      <c r="N136" s="6">
        <v>0</v>
      </c>
      <c r="O136" s="6">
        <v>0</v>
      </c>
      <c r="P136" s="6">
        <v>3</v>
      </c>
      <c r="Q136" s="4" t="s">
        <v>60</v>
      </c>
      <c r="R136" s="4">
        <v>0</v>
      </c>
      <c r="S136" s="4">
        <v>16</v>
      </c>
      <c r="T136" s="4">
        <v>0</v>
      </c>
      <c r="U136" s="4">
        <v>0</v>
      </c>
      <c r="V136" s="6">
        <f>IF(ISERROR(VLOOKUP($S$136,'TAR FIN'!$A$1:$O$120,15,0)),0,VLOOKUP($S$136,'TAR FIN'!$A$1:$O$120,15,0))</f>
        <v>8.81</v>
      </c>
      <c r="W136" s="6">
        <f>IF(ISERROR(VLOOKUP($T$136,'TAR FIN'!$A$1:$O$120,15,0)),0,VLOOKUP($T$136,'TAR FIN'!$A$1:$O$120,15,0))</f>
        <v>0</v>
      </c>
      <c r="X136" s="6">
        <f>IF(ISERROR(VLOOKUP($U$136,'TAR FIN'!$A$1:$O$120,15,0)),0,VLOOKUP($U$136,'TAR FIN'!$A$1:$O$120,15,0))</f>
        <v>0</v>
      </c>
      <c r="Y136" s="6">
        <f ca="1">('TUSD BE'!$AM$20+'TUSD BF'!$AM$20+'TUSD CVA'!$AM$20)*1</f>
        <v>11.452356648653195</v>
      </c>
      <c r="Z136" s="6"/>
      <c r="AA136" s="6"/>
      <c r="AB136" s="6">
        <f t="shared" si="10"/>
        <v>2157.359052414</v>
      </c>
      <c r="AC136" s="6">
        <f t="shared" si="11"/>
        <v>0</v>
      </c>
      <c r="AD136" s="6">
        <f t="shared" ca="1" si="12"/>
        <v>2804.4092267248157</v>
      </c>
      <c r="AE136" s="6">
        <f t="shared" si="13"/>
        <v>0</v>
      </c>
      <c r="AF136" s="4" t="s">
        <v>1150</v>
      </c>
    </row>
    <row r="137" spans="1:32" ht="11.25" customHeight="1" x14ac:dyDescent="0.25">
      <c r="A137" s="4" t="s">
        <v>21</v>
      </c>
      <c r="B137" s="4" t="s">
        <v>45</v>
      </c>
      <c r="C137" s="4" t="s">
        <v>34</v>
      </c>
      <c r="D137" s="4" t="s">
        <v>40</v>
      </c>
      <c r="E137" s="4" t="s">
        <v>25</v>
      </c>
      <c r="F137" s="4" t="s">
        <v>63</v>
      </c>
      <c r="G137" s="4" t="s">
        <v>25</v>
      </c>
      <c r="H137" s="4" t="s">
        <v>25</v>
      </c>
      <c r="I137" s="5">
        <v>43831</v>
      </c>
      <c r="J137" s="6">
        <v>670</v>
      </c>
      <c r="K137" s="6">
        <v>424.60471460000002</v>
      </c>
      <c r="L137" s="6">
        <v>0</v>
      </c>
      <c r="M137" s="6">
        <v>0</v>
      </c>
      <c r="N137" s="6">
        <v>0</v>
      </c>
      <c r="O137" s="6">
        <v>0</v>
      </c>
      <c r="P137" s="6">
        <v>3</v>
      </c>
      <c r="Q137" s="4" t="s">
        <v>60</v>
      </c>
      <c r="R137" s="4">
        <v>0</v>
      </c>
      <c r="S137" s="4">
        <v>16</v>
      </c>
      <c r="T137" s="4">
        <v>0</v>
      </c>
      <c r="U137" s="4">
        <v>0</v>
      </c>
      <c r="V137" s="6">
        <f>IF(ISERROR(VLOOKUP($S$137,'TAR FIN'!$A$1:$O$120,15,0)),0,VLOOKUP($S$137,'TAR FIN'!$A$1:$O$120,15,0))</f>
        <v>8.81</v>
      </c>
      <c r="W137" s="6">
        <f>IF(ISERROR(VLOOKUP($T$137,'TAR FIN'!$A$1:$O$120,15,0)),0,VLOOKUP($T$137,'TAR FIN'!$A$1:$O$120,15,0))</f>
        <v>0</v>
      </c>
      <c r="X137" s="6">
        <f>IF(ISERROR(VLOOKUP($U$137,'TAR FIN'!$A$1:$O$120,15,0)),0,VLOOKUP($U$137,'TAR FIN'!$A$1:$O$120,15,0))</f>
        <v>0</v>
      </c>
      <c r="Y137" s="6">
        <f ca="1">('TUSD BE'!$AM$20+'TUSD BF'!$AM$20+'TUSD CVA'!$AM$20)*1</f>
        <v>11.452356648653195</v>
      </c>
      <c r="Z137" s="6"/>
      <c r="AA137" s="6"/>
      <c r="AB137" s="6">
        <f t="shared" si="10"/>
        <v>2161.9324643740001</v>
      </c>
      <c r="AC137" s="6">
        <f t="shared" si="11"/>
        <v>0</v>
      </c>
      <c r="AD137" s="6">
        <f t="shared" ca="1" si="12"/>
        <v>2810.354328298838</v>
      </c>
      <c r="AE137" s="6">
        <f t="shared" si="13"/>
        <v>0</v>
      </c>
      <c r="AF137" s="4" t="s">
        <v>1150</v>
      </c>
    </row>
    <row r="138" spans="1:32" ht="11.25" customHeight="1" x14ac:dyDescent="0.25">
      <c r="A138" s="4" t="s">
        <v>21</v>
      </c>
      <c r="B138" s="4" t="s">
        <v>45</v>
      </c>
      <c r="C138" s="4" t="s">
        <v>34</v>
      </c>
      <c r="D138" s="4" t="s">
        <v>40</v>
      </c>
      <c r="E138" s="4" t="s">
        <v>25</v>
      </c>
      <c r="F138" s="4" t="s">
        <v>63</v>
      </c>
      <c r="G138" s="4" t="s">
        <v>25</v>
      </c>
      <c r="H138" s="4" t="s">
        <v>25</v>
      </c>
      <c r="I138" s="5">
        <v>43862</v>
      </c>
      <c r="J138" s="6">
        <v>670</v>
      </c>
      <c r="K138" s="6">
        <v>420.11772459999997</v>
      </c>
      <c r="L138" s="6">
        <v>0</v>
      </c>
      <c r="M138" s="6">
        <v>0</v>
      </c>
      <c r="N138" s="6">
        <v>0</v>
      </c>
      <c r="O138" s="6">
        <v>0</v>
      </c>
      <c r="P138" s="6">
        <v>3</v>
      </c>
      <c r="Q138" s="4" t="s">
        <v>60</v>
      </c>
      <c r="R138" s="4">
        <v>0</v>
      </c>
      <c r="S138" s="4">
        <v>16</v>
      </c>
      <c r="T138" s="4">
        <v>0</v>
      </c>
      <c r="U138" s="4">
        <v>0</v>
      </c>
      <c r="V138" s="6">
        <f>IF(ISERROR(VLOOKUP($S$138,'TAR FIN'!$A$1:$O$120,15,0)),0,VLOOKUP($S$138,'TAR FIN'!$A$1:$O$120,15,0))</f>
        <v>8.81</v>
      </c>
      <c r="W138" s="6">
        <f>IF(ISERROR(VLOOKUP($T$138,'TAR FIN'!$A$1:$O$120,15,0)),0,VLOOKUP($T$138,'TAR FIN'!$A$1:$O$120,15,0))</f>
        <v>0</v>
      </c>
      <c r="X138" s="6">
        <f>IF(ISERROR(VLOOKUP($U$138,'TAR FIN'!$A$1:$O$120,15,0)),0,VLOOKUP($U$138,'TAR FIN'!$A$1:$O$120,15,0))</f>
        <v>0</v>
      </c>
      <c r="Y138" s="6">
        <f ca="1">('TUSD BE'!$AM$20+'TUSD BF'!$AM$20+'TUSD CVA'!$AM$20)*1</f>
        <v>11.452356648653195</v>
      </c>
      <c r="Z138" s="6"/>
      <c r="AA138" s="6"/>
      <c r="AB138" s="6">
        <f t="shared" si="10"/>
        <v>2201.4628462740002</v>
      </c>
      <c r="AC138" s="6">
        <f t="shared" si="11"/>
        <v>0</v>
      </c>
      <c r="AD138" s="6">
        <f t="shared" ca="1" si="12"/>
        <v>2861.7409380577792</v>
      </c>
      <c r="AE138" s="6">
        <f t="shared" si="13"/>
        <v>0</v>
      </c>
      <c r="AF138" s="4" t="s">
        <v>1150</v>
      </c>
    </row>
    <row r="139" spans="1:32" ht="11.25" customHeight="1" x14ac:dyDescent="0.25">
      <c r="A139" s="4" t="s">
        <v>21</v>
      </c>
      <c r="B139" s="4" t="s">
        <v>45</v>
      </c>
      <c r="C139" s="4" t="s">
        <v>34</v>
      </c>
      <c r="D139" s="4" t="s">
        <v>40</v>
      </c>
      <c r="E139" s="4" t="s">
        <v>25</v>
      </c>
      <c r="F139" s="4" t="s">
        <v>63</v>
      </c>
      <c r="G139" s="4" t="s">
        <v>25</v>
      </c>
      <c r="H139" s="4" t="s">
        <v>25</v>
      </c>
      <c r="I139" s="5">
        <v>43891</v>
      </c>
      <c r="J139" s="6">
        <v>670</v>
      </c>
      <c r="K139" s="6">
        <v>418.96188080000002</v>
      </c>
      <c r="L139" s="6">
        <v>0</v>
      </c>
      <c r="M139" s="6">
        <v>0</v>
      </c>
      <c r="N139" s="6">
        <v>0</v>
      </c>
      <c r="O139" s="6">
        <v>0</v>
      </c>
      <c r="P139" s="6">
        <v>3</v>
      </c>
      <c r="Q139" s="4" t="s">
        <v>60</v>
      </c>
      <c r="R139" s="4">
        <v>0</v>
      </c>
      <c r="S139" s="4">
        <v>16</v>
      </c>
      <c r="T139" s="4">
        <v>0</v>
      </c>
      <c r="U139" s="4">
        <v>0</v>
      </c>
      <c r="V139" s="6">
        <f>IF(ISERROR(VLOOKUP($S$139,'TAR FIN'!$A$1:$O$120,15,0)),0,VLOOKUP($S$139,'TAR FIN'!$A$1:$O$120,15,0))</f>
        <v>8.81</v>
      </c>
      <c r="W139" s="6">
        <f>IF(ISERROR(VLOOKUP($T$139,'TAR FIN'!$A$1:$O$120,15,0)),0,VLOOKUP($T$139,'TAR FIN'!$A$1:$O$120,15,0))</f>
        <v>0</v>
      </c>
      <c r="X139" s="6">
        <f>IF(ISERROR(VLOOKUP($U$139,'TAR FIN'!$A$1:$O$120,15,0)),0,VLOOKUP($U$139,'TAR FIN'!$A$1:$O$120,15,0))</f>
        <v>0</v>
      </c>
      <c r="Y139" s="6">
        <f ca="1">('TUSD BE'!$AM$20+'TUSD BF'!$AM$20+'TUSD CVA'!$AM$20)*1</f>
        <v>11.452356648653195</v>
      </c>
      <c r="Z139" s="6"/>
      <c r="AA139" s="6"/>
      <c r="AB139" s="6">
        <f t="shared" si="10"/>
        <v>2211.6458301520001</v>
      </c>
      <c r="AC139" s="6">
        <f t="shared" si="11"/>
        <v>0</v>
      </c>
      <c r="AD139" s="6">
        <f t="shared" ca="1" si="12"/>
        <v>2874.9780734855131</v>
      </c>
      <c r="AE139" s="6">
        <f t="shared" si="13"/>
        <v>0</v>
      </c>
      <c r="AF139" s="4" t="s">
        <v>1150</v>
      </c>
    </row>
    <row r="140" spans="1:32" ht="11.25" customHeight="1" x14ac:dyDescent="0.25">
      <c r="A140" s="4" t="s">
        <v>21</v>
      </c>
      <c r="B140" s="4" t="s">
        <v>45</v>
      </c>
      <c r="C140" s="4" t="s">
        <v>34</v>
      </c>
      <c r="D140" s="4" t="s">
        <v>40</v>
      </c>
      <c r="E140" s="4" t="s">
        <v>25</v>
      </c>
      <c r="F140" s="4" t="s">
        <v>63</v>
      </c>
      <c r="G140" s="4" t="s">
        <v>25</v>
      </c>
      <c r="H140" s="4" t="s">
        <v>25</v>
      </c>
      <c r="I140" s="5">
        <v>43922</v>
      </c>
      <c r="J140" s="6">
        <v>670</v>
      </c>
      <c r="K140" s="6">
        <v>419.41134360000001</v>
      </c>
      <c r="L140" s="6">
        <v>0</v>
      </c>
      <c r="M140" s="6">
        <v>0</v>
      </c>
      <c r="N140" s="6">
        <v>0</v>
      </c>
      <c r="O140" s="6">
        <v>0</v>
      </c>
      <c r="P140" s="6">
        <v>3</v>
      </c>
      <c r="Q140" s="4" t="s">
        <v>60</v>
      </c>
      <c r="R140" s="4">
        <v>0</v>
      </c>
      <c r="S140" s="4">
        <v>16</v>
      </c>
      <c r="T140" s="4">
        <v>0</v>
      </c>
      <c r="U140" s="4">
        <v>0</v>
      </c>
      <c r="V140" s="6">
        <f>IF(ISERROR(VLOOKUP($S$140,'TAR FIN'!$A$1:$O$120,15,0)),0,VLOOKUP($S$140,'TAR FIN'!$A$1:$O$120,15,0))</f>
        <v>8.81</v>
      </c>
      <c r="W140" s="6">
        <f>IF(ISERROR(VLOOKUP($T$140,'TAR FIN'!$A$1:$O$120,15,0)),0,VLOOKUP($T$140,'TAR FIN'!$A$1:$O$120,15,0))</f>
        <v>0</v>
      </c>
      <c r="X140" s="6">
        <f>IF(ISERROR(VLOOKUP($U$140,'TAR FIN'!$A$1:$O$120,15,0)),0,VLOOKUP($U$140,'TAR FIN'!$A$1:$O$120,15,0))</f>
        <v>0</v>
      </c>
      <c r="Y140" s="6">
        <f ca="1">('TUSD BE'!$AM$20+'TUSD BF'!$AM$20+'TUSD CVA'!$AM$20)*1</f>
        <v>11.452356648653195</v>
      </c>
      <c r="Z140" s="6"/>
      <c r="AA140" s="6"/>
      <c r="AB140" s="6">
        <f t="shared" si="10"/>
        <v>2207.686062884</v>
      </c>
      <c r="AC140" s="6">
        <f t="shared" si="11"/>
        <v>0</v>
      </c>
      <c r="AD140" s="6">
        <f t="shared" ca="1" si="12"/>
        <v>2869.8306651996108</v>
      </c>
      <c r="AE140" s="6">
        <f t="shared" si="13"/>
        <v>0</v>
      </c>
      <c r="AF140" s="4" t="s">
        <v>1150</v>
      </c>
    </row>
    <row r="141" spans="1:32" ht="11.25" customHeight="1" x14ac:dyDescent="0.25">
      <c r="A141" s="4" t="s">
        <v>21</v>
      </c>
      <c r="B141" s="4" t="s">
        <v>45</v>
      </c>
      <c r="C141" s="4" t="s">
        <v>34</v>
      </c>
      <c r="D141" s="4" t="s">
        <v>40</v>
      </c>
      <c r="E141" s="4" t="s">
        <v>25</v>
      </c>
      <c r="F141" s="4" t="s">
        <v>63</v>
      </c>
      <c r="G141" s="4" t="s">
        <v>25</v>
      </c>
      <c r="H141" s="4" t="s">
        <v>25</v>
      </c>
      <c r="I141" s="5">
        <v>43952</v>
      </c>
      <c r="J141" s="6">
        <v>670</v>
      </c>
      <c r="K141" s="6">
        <v>418.4460545</v>
      </c>
      <c r="L141" s="6">
        <v>0</v>
      </c>
      <c r="M141" s="6">
        <v>0</v>
      </c>
      <c r="N141" s="6">
        <v>0</v>
      </c>
      <c r="O141" s="6">
        <v>0</v>
      </c>
      <c r="P141" s="6">
        <v>3</v>
      </c>
      <c r="Q141" s="4" t="s">
        <v>60</v>
      </c>
      <c r="R141" s="4">
        <v>0</v>
      </c>
      <c r="S141" s="4">
        <v>16</v>
      </c>
      <c r="T141" s="4">
        <v>0</v>
      </c>
      <c r="U141" s="4">
        <v>0</v>
      </c>
      <c r="V141" s="6">
        <f>IF(ISERROR(VLOOKUP($S$141,'TAR FIN'!$A$1:$O$120,15,0)),0,VLOOKUP($S$141,'TAR FIN'!$A$1:$O$120,15,0))</f>
        <v>8.81</v>
      </c>
      <c r="W141" s="6">
        <f>IF(ISERROR(VLOOKUP($T$141,'TAR FIN'!$A$1:$O$120,15,0)),0,VLOOKUP($T$141,'TAR FIN'!$A$1:$O$120,15,0))</f>
        <v>0</v>
      </c>
      <c r="X141" s="6">
        <f>IF(ISERROR(VLOOKUP($U$141,'TAR FIN'!$A$1:$O$120,15,0)),0,VLOOKUP($U$141,'TAR FIN'!$A$1:$O$120,15,0))</f>
        <v>0</v>
      </c>
      <c r="Y141" s="6">
        <f ca="1">('TUSD BE'!$AM$20+'TUSD BF'!$AM$20+'TUSD CVA'!$AM$20)*1</f>
        <v>11.452356648653195</v>
      </c>
      <c r="Z141" s="6"/>
      <c r="AA141" s="6"/>
      <c r="AB141" s="6">
        <f t="shared" si="10"/>
        <v>2216.190259855</v>
      </c>
      <c r="AC141" s="6">
        <f t="shared" si="11"/>
        <v>0</v>
      </c>
      <c r="AD141" s="6">
        <f t="shared" ca="1" si="12"/>
        <v>2880.8855002418686</v>
      </c>
      <c r="AE141" s="6">
        <f t="shared" si="13"/>
        <v>0</v>
      </c>
      <c r="AF141" s="4" t="s">
        <v>1150</v>
      </c>
    </row>
    <row r="142" spans="1:32" ht="11.25" customHeight="1" x14ac:dyDescent="0.25">
      <c r="A142" s="4" t="s">
        <v>21</v>
      </c>
      <c r="B142" s="4" t="s">
        <v>45</v>
      </c>
      <c r="C142" s="4" t="s">
        <v>34</v>
      </c>
      <c r="D142" s="4" t="s">
        <v>40</v>
      </c>
      <c r="E142" s="4" t="s">
        <v>25</v>
      </c>
      <c r="F142" s="4" t="s">
        <v>63</v>
      </c>
      <c r="G142" s="4" t="s">
        <v>25</v>
      </c>
      <c r="H142" s="4" t="s">
        <v>25</v>
      </c>
      <c r="I142" s="5">
        <v>43983</v>
      </c>
      <c r="J142" s="6">
        <v>670</v>
      </c>
      <c r="K142" s="6">
        <v>419.22425279999999</v>
      </c>
      <c r="L142" s="6">
        <v>0</v>
      </c>
      <c r="M142" s="6">
        <v>0</v>
      </c>
      <c r="N142" s="6">
        <v>0</v>
      </c>
      <c r="O142" s="6">
        <v>0</v>
      </c>
      <c r="P142" s="6">
        <v>3</v>
      </c>
      <c r="Q142" s="4" t="s">
        <v>60</v>
      </c>
      <c r="R142" s="4">
        <v>0</v>
      </c>
      <c r="S142" s="4">
        <v>16</v>
      </c>
      <c r="T142" s="4">
        <v>0</v>
      </c>
      <c r="U142" s="4">
        <v>0</v>
      </c>
      <c r="V142" s="6">
        <f>IF(ISERROR(VLOOKUP($S$142,'TAR FIN'!$A$1:$O$120,15,0)),0,VLOOKUP($S$142,'TAR FIN'!$A$1:$O$120,15,0))</f>
        <v>8.81</v>
      </c>
      <c r="W142" s="6">
        <f>IF(ISERROR(VLOOKUP($T$142,'TAR FIN'!$A$1:$O$120,15,0)),0,VLOOKUP($T$142,'TAR FIN'!$A$1:$O$120,15,0))</f>
        <v>0</v>
      </c>
      <c r="X142" s="6">
        <f>IF(ISERROR(VLOOKUP($U$142,'TAR FIN'!$A$1:$O$120,15,0)),0,VLOOKUP($U$142,'TAR FIN'!$A$1:$O$120,15,0))</f>
        <v>0</v>
      </c>
      <c r="Y142" s="6">
        <f ca="1">('TUSD BE'!$AM$20+'TUSD BF'!$AM$20+'TUSD CVA'!$AM$20)*1</f>
        <v>11.452356648653195</v>
      </c>
      <c r="Z142" s="6"/>
      <c r="AA142" s="6"/>
      <c r="AB142" s="6">
        <f t="shared" si="10"/>
        <v>2209.3343328320002</v>
      </c>
      <c r="AC142" s="6">
        <f t="shared" si="11"/>
        <v>0</v>
      </c>
      <c r="AD142" s="6">
        <f t="shared" ca="1" si="12"/>
        <v>2871.973295766893</v>
      </c>
      <c r="AE142" s="6">
        <f t="shared" si="13"/>
        <v>0</v>
      </c>
      <c r="AF142" s="4" t="s">
        <v>1150</v>
      </c>
    </row>
    <row r="143" spans="1:32" ht="11.25" customHeight="1" x14ac:dyDescent="0.25">
      <c r="A143" s="4" t="s">
        <v>21</v>
      </c>
      <c r="B143" s="4" t="s">
        <v>45</v>
      </c>
      <c r="C143" s="4" t="s">
        <v>34</v>
      </c>
      <c r="D143" s="4" t="s">
        <v>40</v>
      </c>
      <c r="E143" s="4" t="s">
        <v>25</v>
      </c>
      <c r="F143" s="4" t="s">
        <v>63</v>
      </c>
      <c r="G143" s="4" t="s">
        <v>25</v>
      </c>
      <c r="H143" s="4" t="s">
        <v>25</v>
      </c>
      <c r="I143" s="5">
        <v>44013</v>
      </c>
      <c r="J143" s="6">
        <v>420</v>
      </c>
      <c r="K143" s="6">
        <v>273.46222260000002</v>
      </c>
      <c r="L143" s="6">
        <v>0</v>
      </c>
      <c r="M143" s="6">
        <v>0</v>
      </c>
      <c r="N143" s="6">
        <v>0</v>
      </c>
      <c r="O143" s="6">
        <v>0</v>
      </c>
      <c r="P143" s="6">
        <v>2</v>
      </c>
      <c r="Q143" s="4" t="s">
        <v>60</v>
      </c>
      <c r="R143" s="4">
        <v>0</v>
      </c>
      <c r="S143" s="4">
        <v>16</v>
      </c>
      <c r="T143" s="4">
        <v>0</v>
      </c>
      <c r="U143" s="4">
        <v>0</v>
      </c>
      <c r="V143" s="6">
        <f>IF(ISERROR(VLOOKUP($S$143,'TAR FIN'!$A$1:$O$120,15,0)),0,VLOOKUP($S$143,'TAR FIN'!$A$1:$O$120,15,0))</f>
        <v>8.81</v>
      </c>
      <c r="W143" s="6">
        <f>IF(ISERROR(VLOOKUP($T$143,'TAR FIN'!$A$1:$O$120,15,0)),0,VLOOKUP($T$143,'TAR FIN'!$A$1:$O$120,15,0))</f>
        <v>0</v>
      </c>
      <c r="X143" s="6">
        <f>IF(ISERROR(VLOOKUP($U$143,'TAR FIN'!$A$1:$O$120,15,0)),0,VLOOKUP($U$143,'TAR FIN'!$A$1:$O$120,15,0))</f>
        <v>0</v>
      </c>
      <c r="Y143" s="6">
        <f ca="1">('TUSD BE'!$AM$20+'TUSD BF'!$AM$20+'TUSD CVA'!$AM$20)*1</f>
        <v>11.452356648653195</v>
      </c>
      <c r="Z143" s="6"/>
      <c r="AA143" s="6"/>
      <c r="AB143" s="6">
        <f t="shared" si="10"/>
        <v>1290.9978188939999</v>
      </c>
      <c r="AC143" s="6">
        <f t="shared" si="11"/>
        <v>0</v>
      </c>
      <c r="AD143" s="6">
        <f t="shared" ca="1" si="12"/>
        <v>1678.2028892857518</v>
      </c>
      <c r="AE143" s="6">
        <f t="shared" si="13"/>
        <v>0</v>
      </c>
      <c r="AF143" s="4" t="s">
        <v>1150</v>
      </c>
    </row>
    <row r="144" spans="1:32" ht="11.25" customHeight="1" x14ac:dyDescent="0.25">
      <c r="A144" s="4" t="s">
        <v>21</v>
      </c>
      <c r="B144" s="4" t="s">
        <v>45</v>
      </c>
      <c r="C144" s="4" t="s">
        <v>34</v>
      </c>
      <c r="D144" s="4" t="s">
        <v>40</v>
      </c>
      <c r="E144" s="4" t="s">
        <v>25</v>
      </c>
      <c r="F144" s="4" t="s">
        <v>63</v>
      </c>
      <c r="G144" s="4" t="s">
        <v>25</v>
      </c>
      <c r="H144" s="4" t="s">
        <v>25</v>
      </c>
      <c r="I144" s="5">
        <v>44044</v>
      </c>
      <c r="J144" s="6">
        <v>670</v>
      </c>
      <c r="K144" s="6">
        <v>415.4</v>
      </c>
      <c r="L144" s="6">
        <v>0</v>
      </c>
      <c r="M144" s="6">
        <v>0</v>
      </c>
      <c r="N144" s="6">
        <v>0</v>
      </c>
      <c r="O144" s="6">
        <v>0</v>
      </c>
      <c r="P144" s="6">
        <v>3</v>
      </c>
      <c r="Q144" s="4" t="s">
        <v>60</v>
      </c>
      <c r="R144" s="4">
        <v>0</v>
      </c>
      <c r="S144" s="4">
        <v>16</v>
      </c>
      <c r="T144" s="4">
        <v>0</v>
      </c>
      <c r="U144" s="4">
        <v>0</v>
      </c>
      <c r="V144" s="6">
        <f>IF(ISERROR(VLOOKUP($S$144,'TAR FIN'!$A$1:$O$120,15,0)),0,VLOOKUP($S$144,'TAR FIN'!$A$1:$O$120,15,0))</f>
        <v>8.81</v>
      </c>
      <c r="W144" s="6">
        <f>IF(ISERROR(VLOOKUP($T$144,'TAR FIN'!$A$1:$O$120,15,0)),0,VLOOKUP($T$144,'TAR FIN'!$A$1:$O$120,15,0))</f>
        <v>0</v>
      </c>
      <c r="X144" s="6">
        <f>IF(ISERROR(VLOOKUP($U$144,'TAR FIN'!$A$1:$O$120,15,0)),0,VLOOKUP($U$144,'TAR FIN'!$A$1:$O$120,15,0))</f>
        <v>0</v>
      </c>
      <c r="Y144" s="6">
        <f ca="1">('TUSD BE'!$AM$20+'TUSD BF'!$AM$20+'TUSD CVA'!$AM$20)*1</f>
        <v>11.452356648653195</v>
      </c>
      <c r="Z144" s="6"/>
      <c r="AA144" s="6"/>
      <c r="AB144" s="6">
        <f t="shared" si="10"/>
        <v>2243.0260000000003</v>
      </c>
      <c r="AC144" s="6">
        <f t="shared" si="11"/>
        <v>0</v>
      </c>
      <c r="AD144" s="6">
        <f t="shared" ca="1" si="12"/>
        <v>2915.7700027471037</v>
      </c>
      <c r="AE144" s="6">
        <f t="shared" si="13"/>
        <v>0</v>
      </c>
      <c r="AF144" s="4" t="s">
        <v>1150</v>
      </c>
    </row>
    <row r="145" spans="1:32" ht="11.25" customHeight="1" x14ac:dyDescent="0.25">
      <c r="A145" s="4" t="s">
        <v>59</v>
      </c>
      <c r="B145" s="4" t="s">
        <v>45</v>
      </c>
      <c r="C145" s="4" t="s">
        <v>34</v>
      </c>
      <c r="D145" s="4" t="s">
        <v>40</v>
      </c>
      <c r="E145" s="4" t="s">
        <v>25</v>
      </c>
      <c r="F145" s="4" t="s">
        <v>63</v>
      </c>
      <c r="G145" s="4" t="s">
        <v>25</v>
      </c>
      <c r="H145" s="4" t="s">
        <v>25</v>
      </c>
      <c r="I145" s="5">
        <v>44075</v>
      </c>
      <c r="J145" s="6">
        <v>670</v>
      </c>
      <c r="K145" s="6">
        <v>415.4</v>
      </c>
      <c r="L145" s="6">
        <v>0</v>
      </c>
      <c r="M145" s="6">
        <v>0</v>
      </c>
      <c r="N145" s="6">
        <v>0</v>
      </c>
      <c r="O145" s="6">
        <v>0</v>
      </c>
      <c r="P145" s="6">
        <v>3</v>
      </c>
      <c r="Q145" s="4" t="s">
        <v>60</v>
      </c>
      <c r="R145" s="4">
        <v>0</v>
      </c>
      <c r="S145" s="4">
        <v>16</v>
      </c>
      <c r="T145" s="4">
        <v>0</v>
      </c>
      <c r="U145" s="4">
        <v>0</v>
      </c>
      <c r="V145" s="6">
        <f>IF(ISERROR(VLOOKUP($S$145,'TAR FIN'!$A$1:$O$120,15,0)),0,VLOOKUP($S$145,'TAR FIN'!$A$1:$O$120,15,0))</f>
        <v>8.81</v>
      </c>
      <c r="W145" s="6">
        <f>IF(ISERROR(VLOOKUP($T$145,'TAR FIN'!$A$1:$O$120,15,0)),0,VLOOKUP($T$145,'TAR FIN'!$A$1:$O$120,15,0))</f>
        <v>0</v>
      </c>
      <c r="X145" s="6">
        <f>IF(ISERROR(VLOOKUP($U$145,'TAR FIN'!$A$1:$O$120,15,0)),0,VLOOKUP($U$145,'TAR FIN'!$A$1:$O$120,15,0))</f>
        <v>0</v>
      </c>
      <c r="Y145" s="6">
        <f ca="1">('TUSD BE'!$AM$20+'TUSD BF'!$AM$20+'TUSD CVA'!$AM$20)*1</f>
        <v>11.452356648653195</v>
      </c>
      <c r="Z145" s="6"/>
      <c r="AA145" s="6"/>
      <c r="AB145" s="6">
        <f t="shared" si="10"/>
        <v>2243.0260000000003</v>
      </c>
      <c r="AC145" s="6">
        <f t="shared" si="11"/>
        <v>0</v>
      </c>
      <c r="AD145" s="6">
        <f t="shared" ca="1" si="12"/>
        <v>2915.7700027471037</v>
      </c>
      <c r="AE145" s="6">
        <f t="shared" si="13"/>
        <v>0</v>
      </c>
      <c r="AF145" s="4" t="s">
        <v>1150</v>
      </c>
    </row>
    <row r="146" spans="1:32" ht="11.25" customHeight="1" x14ac:dyDescent="0.25">
      <c r="A146" s="4" t="s">
        <v>21</v>
      </c>
      <c r="B146" s="4" t="s">
        <v>45</v>
      </c>
      <c r="C146" s="4" t="s">
        <v>34</v>
      </c>
      <c r="D146" s="4" t="s">
        <v>40</v>
      </c>
      <c r="E146" s="4" t="s">
        <v>25</v>
      </c>
      <c r="F146" s="4" t="s">
        <v>63</v>
      </c>
      <c r="G146" s="4" t="s">
        <v>25</v>
      </c>
      <c r="H146" s="4" t="s">
        <v>35</v>
      </c>
      <c r="I146" s="5">
        <v>43739</v>
      </c>
      <c r="J146" s="6">
        <v>0</v>
      </c>
      <c r="K146" s="6">
        <v>0</v>
      </c>
      <c r="L146" s="6">
        <v>21.872</v>
      </c>
      <c r="M146" s="6">
        <v>14.80330008592</v>
      </c>
      <c r="N146" s="6">
        <v>0</v>
      </c>
      <c r="O146" s="6">
        <v>0</v>
      </c>
      <c r="P146" s="6">
        <v>0</v>
      </c>
      <c r="Q146" s="4" t="s">
        <v>60</v>
      </c>
      <c r="R146" s="4">
        <v>0</v>
      </c>
      <c r="S146" s="4">
        <v>0</v>
      </c>
      <c r="T146" s="4">
        <v>17</v>
      </c>
      <c r="U146" s="4">
        <v>0</v>
      </c>
      <c r="V146" s="6">
        <f>IF(ISERROR(VLOOKUP($S$146,'TAR FIN'!$A$1:$O$120,15,0)),0,VLOOKUP($S$146,'TAR FIN'!$A$1:$O$120,15,0))</f>
        <v>0</v>
      </c>
      <c r="W146" s="6">
        <f>IF(ISERROR(VLOOKUP($T$146,'TAR FIN'!$A$1:$O$120,15,0)),0,VLOOKUP($T$146,'TAR FIN'!$A$1:$O$120,15,0))</f>
        <v>641.99</v>
      </c>
      <c r="X146" s="6">
        <f>IF(ISERROR(VLOOKUP($U$146,'TAR FIN'!$A$1:$O$120,15,0)),0,VLOOKUP($U$146,'TAR FIN'!$A$1:$O$120,15,0))</f>
        <v>0</v>
      </c>
      <c r="Y146" s="6"/>
      <c r="Z146" s="6">
        <f ca="1">('TUSD BE'!$AM$21+'TUSD BF'!$AM$21+'TUSD CVA'!$AM$21)*1</f>
        <v>747.73363518028248</v>
      </c>
      <c r="AA146" s="6"/>
      <c r="AB146" s="6">
        <f t="shared" si="10"/>
        <v>0</v>
      </c>
      <c r="AC146" s="6">
        <f t="shared" si="11"/>
        <v>4538.0346578402196</v>
      </c>
      <c r="AD146" s="6">
        <f t="shared" si="12"/>
        <v>0</v>
      </c>
      <c r="AE146" s="6">
        <f t="shared" ca="1" si="13"/>
        <v>5285.5046827535889</v>
      </c>
      <c r="AF146" s="4" t="s">
        <v>1150</v>
      </c>
    </row>
    <row r="147" spans="1:32" ht="11.25" customHeight="1" x14ac:dyDescent="0.25">
      <c r="A147" s="4" t="s">
        <v>21</v>
      </c>
      <c r="B147" s="4" t="s">
        <v>45</v>
      </c>
      <c r="C147" s="4" t="s">
        <v>34</v>
      </c>
      <c r="D147" s="4" t="s">
        <v>40</v>
      </c>
      <c r="E147" s="4" t="s">
        <v>25</v>
      </c>
      <c r="F147" s="4" t="s">
        <v>63</v>
      </c>
      <c r="G147" s="4" t="s">
        <v>25</v>
      </c>
      <c r="H147" s="4" t="s">
        <v>35</v>
      </c>
      <c r="I147" s="5">
        <v>43770</v>
      </c>
      <c r="J147" s="6">
        <v>0</v>
      </c>
      <c r="K147" s="6">
        <v>0</v>
      </c>
      <c r="L147" s="6">
        <v>18.177</v>
      </c>
      <c r="M147" s="6">
        <v>12.33908618451</v>
      </c>
      <c r="N147" s="6">
        <v>0</v>
      </c>
      <c r="O147" s="6">
        <v>0</v>
      </c>
      <c r="P147" s="6">
        <v>0</v>
      </c>
      <c r="Q147" s="4" t="s">
        <v>60</v>
      </c>
      <c r="R147" s="4">
        <v>0</v>
      </c>
      <c r="S147" s="4">
        <v>0</v>
      </c>
      <c r="T147" s="4">
        <v>17</v>
      </c>
      <c r="U147" s="4">
        <v>0</v>
      </c>
      <c r="V147" s="6">
        <f>IF(ISERROR(VLOOKUP($S$147,'TAR FIN'!$A$1:$O$120,15,0)),0,VLOOKUP($S$147,'TAR FIN'!$A$1:$O$120,15,0))</f>
        <v>0</v>
      </c>
      <c r="W147" s="6">
        <f>IF(ISERROR(VLOOKUP($T$147,'TAR FIN'!$A$1:$O$120,15,0)),0,VLOOKUP($T$147,'TAR FIN'!$A$1:$O$120,15,0))</f>
        <v>641.99</v>
      </c>
      <c r="X147" s="6">
        <f>IF(ISERROR(VLOOKUP($U$147,'TAR FIN'!$A$1:$O$120,15,0)),0,VLOOKUP($U$147,'TAR FIN'!$A$1:$O$120,15,0))</f>
        <v>0</v>
      </c>
      <c r="Y147" s="6"/>
      <c r="Z147" s="6">
        <f ca="1">('TUSD BE'!$AM$21+'TUSD BF'!$AM$21+'TUSD CVA'!$AM$21)*1</f>
        <v>747.73363518028248</v>
      </c>
      <c r="AA147" s="6"/>
      <c r="AB147" s="6">
        <f t="shared" si="10"/>
        <v>0</v>
      </c>
      <c r="AC147" s="6">
        <f t="shared" si="11"/>
        <v>3747.882290406425</v>
      </c>
      <c r="AD147" s="6">
        <f t="shared" si="12"/>
        <v>0</v>
      </c>
      <c r="AE147" s="6">
        <f t="shared" ca="1" si="13"/>
        <v>4365.2045191255302</v>
      </c>
      <c r="AF147" s="4" t="s">
        <v>1150</v>
      </c>
    </row>
    <row r="148" spans="1:32" ht="11.25" customHeight="1" x14ac:dyDescent="0.25">
      <c r="A148" s="4" t="s">
        <v>21</v>
      </c>
      <c r="B148" s="4" t="s">
        <v>45</v>
      </c>
      <c r="C148" s="4" t="s">
        <v>34</v>
      </c>
      <c r="D148" s="4" t="s">
        <v>40</v>
      </c>
      <c r="E148" s="4" t="s">
        <v>25</v>
      </c>
      <c r="F148" s="4" t="s">
        <v>63</v>
      </c>
      <c r="G148" s="4" t="s">
        <v>25</v>
      </c>
      <c r="H148" s="4" t="s">
        <v>35</v>
      </c>
      <c r="I148" s="5">
        <v>43800</v>
      </c>
      <c r="J148" s="6">
        <v>0</v>
      </c>
      <c r="K148" s="6">
        <v>0</v>
      </c>
      <c r="L148" s="6">
        <v>17.957000000000001</v>
      </c>
      <c r="M148" s="6">
        <v>12.27281885329</v>
      </c>
      <c r="N148" s="6">
        <v>0</v>
      </c>
      <c r="O148" s="6">
        <v>0</v>
      </c>
      <c r="P148" s="6">
        <v>0</v>
      </c>
      <c r="Q148" s="4" t="s">
        <v>60</v>
      </c>
      <c r="R148" s="4">
        <v>0</v>
      </c>
      <c r="S148" s="4">
        <v>0</v>
      </c>
      <c r="T148" s="4">
        <v>17</v>
      </c>
      <c r="U148" s="4">
        <v>0</v>
      </c>
      <c r="V148" s="6">
        <f>IF(ISERROR(VLOOKUP($S$148,'TAR FIN'!$A$1:$O$120,15,0)),0,VLOOKUP($S$148,'TAR FIN'!$A$1:$O$120,15,0))</f>
        <v>0</v>
      </c>
      <c r="W148" s="6">
        <f>IF(ISERROR(VLOOKUP($T$148,'TAR FIN'!$A$1:$O$120,15,0)),0,VLOOKUP($T$148,'TAR FIN'!$A$1:$O$120,15,0))</f>
        <v>641.99</v>
      </c>
      <c r="X148" s="6">
        <f>IF(ISERROR(VLOOKUP($U$148,'TAR FIN'!$A$1:$O$120,15,0)),0,VLOOKUP($U$148,'TAR FIN'!$A$1:$O$120,15,0))</f>
        <v>0</v>
      </c>
      <c r="Y148" s="6"/>
      <c r="Z148" s="6">
        <f ca="1">('TUSD BE'!$AM$21+'TUSD BF'!$AM$21+'TUSD CVA'!$AM$21)*1</f>
        <v>747.73363518028248</v>
      </c>
      <c r="AA148" s="6"/>
      <c r="AB148" s="6">
        <f t="shared" si="10"/>
        <v>0</v>
      </c>
      <c r="AC148" s="6">
        <f t="shared" si="11"/>
        <v>3649.1874543763538</v>
      </c>
      <c r="AD148" s="6">
        <f t="shared" si="12"/>
        <v>0</v>
      </c>
      <c r="AE148" s="6">
        <f t="shared" ca="1" si="13"/>
        <v>4250.2534318526959</v>
      </c>
      <c r="AF148" s="4" t="s">
        <v>1150</v>
      </c>
    </row>
    <row r="149" spans="1:32" ht="11.25" customHeight="1" x14ac:dyDescent="0.25">
      <c r="A149" s="4" t="s">
        <v>21</v>
      </c>
      <c r="B149" s="4" t="s">
        <v>45</v>
      </c>
      <c r="C149" s="4" t="s">
        <v>34</v>
      </c>
      <c r="D149" s="4" t="s">
        <v>40</v>
      </c>
      <c r="E149" s="4" t="s">
        <v>25</v>
      </c>
      <c r="F149" s="4" t="s">
        <v>63</v>
      </c>
      <c r="G149" s="4" t="s">
        <v>25</v>
      </c>
      <c r="H149" s="4" t="s">
        <v>35</v>
      </c>
      <c r="I149" s="5">
        <v>43831</v>
      </c>
      <c r="J149" s="6">
        <v>0</v>
      </c>
      <c r="K149" s="6">
        <v>0</v>
      </c>
      <c r="L149" s="6">
        <v>20.297999999999998</v>
      </c>
      <c r="M149" s="6">
        <v>13.883729089139999</v>
      </c>
      <c r="N149" s="6">
        <v>0</v>
      </c>
      <c r="O149" s="6">
        <v>0</v>
      </c>
      <c r="P149" s="6">
        <v>0</v>
      </c>
      <c r="Q149" s="4" t="s">
        <v>60</v>
      </c>
      <c r="R149" s="4">
        <v>0</v>
      </c>
      <c r="S149" s="4">
        <v>0</v>
      </c>
      <c r="T149" s="4">
        <v>17</v>
      </c>
      <c r="U149" s="4">
        <v>0</v>
      </c>
      <c r="V149" s="6">
        <f>IF(ISERROR(VLOOKUP($S$149,'TAR FIN'!$A$1:$O$120,15,0)),0,VLOOKUP($S$149,'TAR FIN'!$A$1:$O$120,15,0))</f>
        <v>0</v>
      </c>
      <c r="W149" s="6">
        <f>IF(ISERROR(VLOOKUP($T$149,'TAR FIN'!$A$1:$O$120,15,0)),0,VLOOKUP($T$149,'TAR FIN'!$A$1:$O$120,15,0))</f>
        <v>641.99</v>
      </c>
      <c r="X149" s="6">
        <f>IF(ISERROR(VLOOKUP($U$149,'TAR FIN'!$A$1:$O$120,15,0)),0,VLOOKUP($U$149,'TAR FIN'!$A$1:$O$120,15,0))</f>
        <v>0</v>
      </c>
      <c r="Y149" s="6"/>
      <c r="Z149" s="6">
        <f ca="1">('TUSD BE'!$AM$21+'TUSD BF'!$AM$21+'TUSD CVA'!$AM$21)*1</f>
        <v>747.73363518028248</v>
      </c>
      <c r="AA149" s="6"/>
      <c r="AB149" s="6">
        <f t="shared" si="10"/>
        <v>0</v>
      </c>
      <c r="AC149" s="6">
        <f t="shared" si="11"/>
        <v>4117.8977820630107</v>
      </c>
      <c r="AD149" s="6">
        <f t="shared" si="12"/>
        <v>0</v>
      </c>
      <c r="AE149" s="6">
        <f t="shared" ca="1" si="13"/>
        <v>4796.1661052084892</v>
      </c>
      <c r="AF149" s="4" t="s">
        <v>1150</v>
      </c>
    </row>
    <row r="150" spans="1:32" ht="11.25" customHeight="1" x14ac:dyDescent="0.25">
      <c r="A150" s="4" t="s">
        <v>21</v>
      </c>
      <c r="B150" s="4" t="s">
        <v>45</v>
      </c>
      <c r="C150" s="4" t="s">
        <v>34</v>
      </c>
      <c r="D150" s="4" t="s">
        <v>40</v>
      </c>
      <c r="E150" s="4" t="s">
        <v>25</v>
      </c>
      <c r="F150" s="4" t="s">
        <v>63</v>
      </c>
      <c r="G150" s="4" t="s">
        <v>25</v>
      </c>
      <c r="H150" s="4" t="s">
        <v>35</v>
      </c>
      <c r="I150" s="5">
        <v>43862</v>
      </c>
      <c r="J150" s="6">
        <v>0</v>
      </c>
      <c r="K150" s="6">
        <v>0</v>
      </c>
      <c r="L150" s="6">
        <v>16.643000000000001</v>
      </c>
      <c r="M150" s="6">
        <v>11.26438332987</v>
      </c>
      <c r="N150" s="6">
        <v>0</v>
      </c>
      <c r="O150" s="6">
        <v>0</v>
      </c>
      <c r="P150" s="6">
        <v>0</v>
      </c>
      <c r="Q150" s="4" t="s">
        <v>60</v>
      </c>
      <c r="R150" s="4">
        <v>0</v>
      </c>
      <c r="S150" s="4">
        <v>0</v>
      </c>
      <c r="T150" s="4">
        <v>17</v>
      </c>
      <c r="U150" s="4">
        <v>0</v>
      </c>
      <c r="V150" s="6">
        <f>IF(ISERROR(VLOOKUP($S$150,'TAR FIN'!$A$1:$O$120,15,0)),0,VLOOKUP($S$150,'TAR FIN'!$A$1:$O$120,15,0))</f>
        <v>0</v>
      </c>
      <c r="W150" s="6">
        <f>IF(ISERROR(VLOOKUP($T$150,'TAR FIN'!$A$1:$O$120,15,0)),0,VLOOKUP($T$150,'TAR FIN'!$A$1:$O$120,15,0))</f>
        <v>641.99</v>
      </c>
      <c r="X150" s="6">
        <f>IF(ISERROR(VLOOKUP($U$150,'TAR FIN'!$A$1:$O$120,15,0)),0,VLOOKUP($U$150,'TAR FIN'!$A$1:$O$120,15,0))</f>
        <v>0</v>
      </c>
      <c r="Y150" s="6"/>
      <c r="Z150" s="6">
        <f ca="1">('TUSD BE'!$AM$21+'TUSD BF'!$AM$21+'TUSD CVA'!$AM$21)*1</f>
        <v>747.73363518028248</v>
      </c>
      <c r="AA150" s="6"/>
      <c r="AB150" s="6">
        <f t="shared" si="10"/>
        <v>0</v>
      </c>
      <c r="AC150" s="6">
        <f t="shared" si="11"/>
        <v>3453.018116056759</v>
      </c>
      <c r="AD150" s="6">
        <f t="shared" si="12"/>
        <v>0</v>
      </c>
      <c r="AE150" s="6">
        <f t="shared" ca="1" si="13"/>
        <v>4021.7725949975716</v>
      </c>
      <c r="AF150" s="4" t="s">
        <v>1150</v>
      </c>
    </row>
    <row r="151" spans="1:32" ht="11.25" customHeight="1" x14ac:dyDescent="0.25">
      <c r="A151" s="4" t="s">
        <v>21</v>
      </c>
      <c r="B151" s="4" t="s">
        <v>45</v>
      </c>
      <c r="C151" s="4" t="s">
        <v>34</v>
      </c>
      <c r="D151" s="4" t="s">
        <v>40</v>
      </c>
      <c r="E151" s="4" t="s">
        <v>25</v>
      </c>
      <c r="F151" s="4" t="s">
        <v>63</v>
      </c>
      <c r="G151" s="4" t="s">
        <v>25</v>
      </c>
      <c r="H151" s="4" t="s">
        <v>35</v>
      </c>
      <c r="I151" s="5">
        <v>43891</v>
      </c>
      <c r="J151" s="6">
        <v>0</v>
      </c>
      <c r="K151" s="6">
        <v>0</v>
      </c>
      <c r="L151" s="6">
        <v>10.343999999999999</v>
      </c>
      <c r="M151" s="6">
        <v>6.9809970962400003</v>
      </c>
      <c r="N151" s="6">
        <v>0</v>
      </c>
      <c r="O151" s="6">
        <v>0</v>
      </c>
      <c r="P151" s="6">
        <v>0</v>
      </c>
      <c r="Q151" s="4" t="s">
        <v>60</v>
      </c>
      <c r="R151" s="4">
        <v>0</v>
      </c>
      <c r="S151" s="4">
        <v>0</v>
      </c>
      <c r="T151" s="4">
        <v>17</v>
      </c>
      <c r="U151" s="4">
        <v>0</v>
      </c>
      <c r="V151" s="6">
        <f>IF(ISERROR(VLOOKUP($S$151,'TAR FIN'!$A$1:$O$120,15,0)),0,VLOOKUP($S$151,'TAR FIN'!$A$1:$O$120,15,0))</f>
        <v>0</v>
      </c>
      <c r="W151" s="6">
        <f>IF(ISERROR(VLOOKUP($T$151,'TAR FIN'!$A$1:$O$120,15,0)),0,VLOOKUP($T$151,'TAR FIN'!$A$1:$O$120,15,0))</f>
        <v>641.99</v>
      </c>
      <c r="X151" s="6">
        <f>IF(ISERROR(VLOOKUP($U$151,'TAR FIN'!$A$1:$O$120,15,0)),0,VLOOKUP($U$151,'TAR FIN'!$A$1:$O$120,15,0))</f>
        <v>0</v>
      </c>
      <c r="Y151" s="6"/>
      <c r="Z151" s="6">
        <f ca="1">('TUSD BE'!$AM$21+'TUSD BF'!$AM$21+'TUSD CVA'!$AM$21)*1</f>
        <v>747.73363518028248</v>
      </c>
      <c r="AA151" s="6"/>
      <c r="AB151" s="6">
        <f t="shared" si="10"/>
        <v>0</v>
      </c>
      <c r="AC151" s="6">
        <f t="shared" si="11"/>
        <v>2159.0142341848818</v>
      </c>
      <c r="AD151" s="6">
        <f t="shared" si="12"/>
        <v>0</v>
      </c>
      <c r="AE151" s="6">
        <f t="shared" ca="1" si="13"/>
        <v>2514.6303863503099</v>
      </c>
      <c r="AF151" s="4" t="s">
        <v>1150</v>
      </c>
    </row>
    <row r="152" spans="1:32" ht="11.25" customHeight="1" x14ac:dyDescent="0.25">
      <c r="A152" s="4" t="s">
        <v>21</v>
      </c>
      <c r="B152" s="4" t="s">
        <v>45</v>
      </c>
      <c r="C152" s="4" t="s">
        <v>34</v>
      </c>
      <c r="D152" s="4" t="s">
        <v>40</v>
      </c>
      <c r="E152" s="4" t="s">
        <v>25</v>
      </c>
      <c r="F152" s="4" t="s">
        <v>63</v>
      </c>
      <c r="G152" s="4" t="s">
        <v>25</v>
      </c>
      <c r="H152" s="4" t="s">
        <v>35</v>
      </c>
      <c r="I152" s="5">
        <v>43922</v>
      </c>
      <c r="J152" s="6">
        <v>0</v>
      </c>
      <c r="K152" s="6">
        <v>0</v>
      </c>
      <c r="L152" s="6">
        <v>0.98399999999999999</v>
      </c>
      <c r="M152" s="6">
        <v>0.66464254416000002</v>
      </c>
      <c r="N152" s="6">
        <v>0</v>
      </c>
      <c r="O152" s="6">
        <v>0</v>
      </c>
      <c r="P152" s="6">
        <v>0</v>
      </c>
      <c r="Q152" s="4" t="s">
        <v>60</v>
      </c>
      <c r="R152" s="4">
        <v>0</v>
      </c>
      <c r="S152" s="4">
        <v>0</v>
      </c>
      <c r="T152" s="4">
        <v>17</v>
      </c>
      <c r="U152" s="4">
        <v>0</v>
      </c>
      <c r="V152" s="6">
        <f>IF(ISERROR(VLOOKUP($S$152,'TAR FIN'!$A$1:$O$120,15,0)),0,VLOOKUP($S$152,'TAR FIN'!$A$1:$O$120,15,0))</f>
        <v>0</v>
      </c>
      <c r="W152" s="6">
        <f>IF(ISERROR(VLOOKUP($T$152,'TAR FIN'!$A$1:$O$120,15,0)),0,VLOOKUP($T$152,'TAR FIN'!$A$1:$O$120,15,0))</f>
        <v>641.99</v>
      </c>
      <c r="X152" s="6">
        <f>IF(ISERROR(VLOOKUP($U$152,'TAR FIN'!$A$1:$O$120,15,0)),0,VLOOKUP($U$152,'TAR FIN'!$A$1:$O$120,15,0))</f>
        <v>0</v>
      </c>
      <c r="Y152" s="6"/>
      <c r="Z152" s="6">
        <f ca="1">('TUSD BE'!$AM$21+'TUSD BF'!$AM$21+'TUSD CVA'!$AM$21)*1</f>
        <v>747.73363518028248</v>
      </c>
      <c r="AA152" s="6"/>
      <c r="AB152" s="6">
        <f t="shared" si="10"/>
        <v>0</v>
      </c>
      <c r="AC152" s="6">
        <f t="shared" si="11"/>
        <v>205.02429307472158</v>
      </c>
      <c r="AD152" s="6">
        <f t="shared" si="12"/>
        <v>0</v>
      </c>
      <c r="AE152" s="6">
        <f t="shared" ca="1" si="13"/>
        <v>238.79431137716972</v>
      </c>
      <c r="AF152" s="4" t="s">
        <v>1150</v>
      </c>
    </row>
    <row r="153" spans="1:32" ht="11.25" customHeight="1" x14ac:dyDescent="0.25">
      <c r="A153" s="4" t="s">
        <v>21</v>
      </c>
      <c r="B153" s="4" t="s">
        <v>45</v>
      </c>
      <c r="C153" s="4" t="s">
        <v>34</v>
      </c>
      <c r="D153" s="4" t="s">
        <v>40</v>
      </c>
      <c r="E153" s="4" t="s">
        <v>25</v>
      </c>
      <c r="F153" s="4" t="s">
        <v>63</v>
      </c>
      <c r="G153" s="4" t="s">
        <v>25</v>
      </c>
      <c r="H153" s="4" t="s">
        <v>35</v>
      </c>
      <c r="I153" s="5">
        <v>43952</v>
      </c>
      <c r="J153" s="6">
        <v>0</v>
      </c>
      <c r="K153" s="6">
        <v>0</v>
      </c>
      <c r="L153" s="6">
        <v>1.915</v>
      </c>
      <c r="M153" s="6">
        <v>1.290534203</v>
      </c>
      <c r="N153" s="6">
        <v>0</v>
      </c>
      <c r="O153" s="6">
        <v>0</v>
      </c>
      <c r="P153" s="6">
        <v>0</v>
      </c>
      <c r="Q153" s="4" t="s">
        <v>60</v>
      </c>
      <c r="R153" s="4">
        <v>0</v>
      </c>
      <c r="S153" s="4">
        <v>0</v>
      </c>
      <c r="T153" s="4">
        <v>17</v>
      </c>
      <c r="U153" s="4">
        <v>0</v>
      </c>
      <c r="V153" s="6">
        <f>IF(ISERROR(VLOOKUP($S$153,'TAR FIN'!$A$1:$O$120,15,0)),0,VLOOKUP($S$153,'TAR FIN'!$A$1:$O$120,15,0))</f>
        <v>0</v>
      </c>
      <c r="W153" s="6">
        <f>IF(ISERROR(VLOOKUP($T$153,'TAR FIN'!$A$1:$O$120,15,0)),0,VLOOKUP($T$153,'TAR FIN'!$A$1:$O$120,15,0))</f>
        <v>641.99</v>
      </c>
      <c r="X153" s="6">
        <f>IF(ISERROR(VLOOKUP($U$153,'TAR FIN'!$A$1:$O$120,15,0)),0,VLOOKUP($U$153,'TAR FIN'!$A$1:$O$120,15,0))</f>
        <v>0</v>
      </c>
      <c r="Y153" s="6"/>
      <c r="Z153" s="6">
        <f ca="1">('TUSD BE'!$AM$21+'TUSD BF'!$AM$21+'TUSD CVA'!$AM$21)*1</f>
        <v>747.73363518028248</v>
      </c>
      <c r="AA153" s="6"/>
      <c r="AB153" s="6">
        <f t="shared" si="10"/>
        <v>0</v>
      </c>
      <c r="AC153" s="6">
        <f t="shared" si="11"/>
        <v>400.90079701603003</v>
      </c>
      <c r="AD153" s="6">
        <f t="shared" si="12"/>
        <v>0</v>
      </c>
      <c r="AE153" s="6">
        <f t="shared" ca="1" si="13"/>
        <v>466.9340804365624</v>
      </c>
      <c r="AF153" s="4" t="s">
        <v>1150</v>
      </c>
    </row>
    <row r="154" spans="1:32" ht="11.25" customHeight="1" x14ac:dyDescent="0.25">
      <c r="A154" s="4" t="s">
        <v>21</v>
      </c>
      <c r="B154" s="4" t="s">
        <v>45</v>
      </c>
      <c r="C154" s="4" t="s">
        <v>34</v>
      </c>
      <c r="D154" s="4" t="s">
        <v>40</v>
      </c>
      <c r="E154" s="4" t="s">
        <v>25</v>
      </c>
      <c r="F154" s="4" t="s">
        <v>63</v>
      </c>
      <c r="G154" s="4" t="s">
        <v>25</v>
      </c>
      <c r="H154" s="4" t="s">
        <v>35</v>
      </c>
      <c r="I154" s="5">
        <v>43983</v>
      </c>
      <c r="J154" s="6">
        <v>0</v>
      </c>
      <c r="K154" s="6">
        <v>0</v>
      </c>
      <c r="L154" s="6">
        <v>1.915</v>
      </c>
      <c r="M154" s="6">
        <v>1.2913289663</v>
      </c>
      <c r="N154" s="6">
        <v>0</v>
      </c>
      <c r="O154" s="6">
        <v>0</v>
      </c>
      <c r="P154" s="6">
        <v>0</v>
      </c>
      <c r="Q154" s="4" t="s">
        <v>60</v>
      </c>
      <c r="R154" s="4">
        <v>0</v>
      </c>
      <c r="S154" s="4">
        <v>0</v>
      </c>
      <c r="T154" s="4">
        <v>17</v>
      </c>
      <c r="U154" s="4">
        <v>0</v>
      </c>
      <c r="V154" s="6">
        <f>IF(ISERROR(VLOOKUP($S$154,'TAR FIN'!$A$1:$O$120,15,0)),0,VLOOKUP($S$154,'TAR FIN'!$A$1:$O$120,15,0))</f>
        <v>0</v>
      </c>
      <c r="W154" s="6">
        <f>IF(ISERROR(VLOOKUP($T$154,'TAR FIN'!$A$1:$O$120,15,0)),0,VLOOKUP($T$154,'TAR FIN'!$A$1:$O$120,15,0))</f>
        <v>641.99</v>
      </c>
      <c r="X154" s="6">
        <f>IF(ISERROR(VLOOKUP($U$154,'TAR FIN'!$A$1:$O$120,15,0)),0,VLOOKUP($U$154,'TAR FIN'!$A$1:$O$120,15,0))</f>
        <v>0</v>
      </c>
      <c r="Y154" s="6"/>
      <c r="Z154" s="6">
        <f ca="1">('TUSD BE'!$AM$21+'TUSD BF'!$AM$21+'TUSD CVA'!$AM$21)*1</f>
        <v>747.73363518028248</v>
      </c>
      <c r="AA154" s="6"/>
      <c r="AB154" s="6">
        <f t="shared" si="10"/>
        <v>0</v>
      </c>
      <c r="AC154" s="6">
        <f t="shared" si="11"/>
        <v>400.39056692506301</v>
      </c>
      <c r="AD154" s="6">
        <f t="shared" si="12"/>
        <v>0</v>
      </c>
      <c r="AE154" s="6">
        <f t="shared" ca="1" si="13"/>
        <v>466.33980918514544</v>
      </c>
      <c r="AF154" s="4" t="s">
        <v>1150</v>
      </c>
    </row>
    <row r="155" spans="1:32" ht="11.25" customHeight="1" x14ac:dyDescent="0.25">
      <c r="A155" s="4" t="s">
        <v>21</v>
      </c>
      <c r="B155" s="4" t="s">
        <v>45</v>
      </c>
      <c r="C155" s="4" t="s">
        <v>34</v>
      </c>
      <c r="D155" s="4" t="s">
        <v>40</v>
      </c>
      <c r="E155" s="4" t="s">
        <v>25</v>
      </c>
      <c r="F155" s="4" t="s">
        <v>63</v>
      </c>
      <c r="G155" s="4" t="s">
        <v>25</v>
      </c>
      <c r="H155" s="4" t="s">
        <v>35</v>
      </c>
      <c r="I155" s="5">
        <v>44013</v>
      </c>
      <c r="J155" s="6">
        <v>0</v>
      </c>
      <c r="K155" s="6">
        <v>0</v>
      </c>
      <c r="L155" s="6">
        <v>10.974</v>
      </c>
      <c r="M155" s="6">
        <v>7.6265878306800001</v>
      </c>
      <c r="N155" s="6">
        <v>0</v>
      </c>
      <c r="O155" s="6">
        <v>0</v>
      </c>
      <c r="P155" s="6">
        <v>0</v>
      </c>
      <c r="Q155" s="4" t="s">
        <v>60</v>
      </c>
      <c r="R155" s="4">
        <v>0</v>
      </c>
      <c r="S155" s="4">
        <v>0</v>
      </c>
      <c r="T155" s="4">
        <v>17</v>
      </c>
      <c r="U155" s="4">
        <v>0</v>
      </c>
      <c r="V155" s="6">
        <f>IF(ISERROR(VLOOKUP($S$155,'TAR FIN'!$A$1:$O$120,15,0)),0,VLOOKUP($S$155,'TAR FIN'!$A$1:$O$120,15,0))</f>
        <v>0</v>
      </c>
      <c r="W155" s="6">
        <f>IF(ISERROR(VLOOKUP($T$155,'TAR FIN'!$A$1:$O$120,15,0)),0,VLOOKUP($T$155,'TAR FIN'!$A$1:$O$120,15,0))</f>
        <v>641.99</v>
      </c>
      <c r="X155" s="6">
        <f>IF(ISERROR(VLOOKUP($U$155,'TAR FIN'!$A$1:$O$120,15,0)),0,VLOOKUP($U$155,'TAR FIN'!$A$1:$O$120,15,0))</f>
        <v>0</v>
      </c>
      <c r="Y155" s="6"/>
      <c r="Z155" s="6">
        <f ca="1">('TUSD BE'!$AM$21+'TUSD BF'!$AM$21+'TUSD CVA'!$AM$21)*1</f>
        <v>747.73363518028248</v>
      </c>
      <c r="AA155" s="6"/>
      <c r="AB155" s="6">
        <f t="shared" si="10"/>
        <v>0</v>
      </c>
      <c r="AC155" s="6">
        <f t="shared" si="11"/>
        <v>2149.0051385817469</v>
      </c>
      <c r="AD155" s="6">
        <f t="shared" si="12"/>
        <v>0</v>
      </c>
      <c r="AE155" s="6">
        <f t="shared" ca="1" si="13"/>
        <v>2502.9726698123591</v>
      </c>
      <c r="AF155" s="4" t="s">
        <v>1150</v>
      </c>
    </row>
    <row r="156" spans="1:32" ht="11.25" customHeight="1" x14ac:dyDescent="0.25">
      <c r="A156" s="4" t="s">
        <v>21</v>
      </c>
      <c r="B156" s="4" t="s">
        <v>45</v>
      </c>
      <c r="C156" s="4" t="s">
        <v>34</v>
      </c>
      <c r="D156" s="4" t="s">
        <v>40</v>
      </c>
      <c r="E156" s="4" t="s">
        <v>25</v>
      </c>
      <c r="F156" s="4" t="s">
        <v>63</v>
      </c>
      <c r="G156" s="4" t="s">
        <v>25</v>
      </c>
      <c r="H156" s="4" t="s">
        <v>35</v>
      </c>
      <c r="I156" s="5">
        <v>44044</v>
      </c>
      <c r="J156" s="6">
        <v>0</v>
      </c>
      <c r="K156" s="6">
        <v>0</v>
      </c>
      <c r="L156" s="6">
        <v>10.456</v>
      </c>
      <c r="M156" s="6">
        <v>7.0055199999999997</v>
      </c>
      <c r="N156" s="6">
        <v>0</v>
      </c>
      <c r="O156" s="6">
        <v>0</v>
      </c>
      <c r="P156" s="6">
        <v>0</v>
      </c>
      <c r="Q156" s="4" t="s">
        <v>60</v>
      </c>
      <c r="R156" s="4">
        <v>0</v>
      </c>
      <c r="S156" s="4">
        <v>0</v>
      </c>
      <c r="T156" s="4">
        <v>17</v>
      </c>
      <c r="U156" s="4">
        <v>0</v>
      </c>
      <c r="V156" s="6">
        <f>IF(ISERROR(VLOOKUP($S$156,'TAR FIN'!$A$1:$O$120,15,0)),0,VLOOKUP($S$156,'TAR FIN'!$A$1:$O$120,15,0))</f>
        <v>0</v>
      </c>
      <c r="W156" s="6">
        <f>IF(ISERROR(VLOOKUP($T$156,'TAR FIN'!$A$1:$O$120,15,0)),0,VLOOKUP($T$156,'TAR FIN'!$A$1:$O$120,15,0))</f>
        <v>641.99</v>
      </c>
      <c r="X156" s="6">
        <f>IF(ISERROR(VLOOKUP($U$156,'TAR FIN'!$A$1:$O$120,15,0)),0,VLOOKUP($U$156,'TAR FIN'!$A$1:$O$120,15,0))</f>
        <v>0</v>
      </c>
      <c r="Y156" s="6"/>
      <c r="Z156" s="6">
        <f ca="1">('TUSD BE'!$AM$21+'TUSD BF'!$AM$21+'TUSD CVA'!$AM$21)*1</f>
        <v>747.73363518028248</v>
      </c>
      <c r="AA156" s="6"/>
      <c r="AB156" s="6">
        <f t="shared" si="10"/>
        <v>0</v>
      </c>
      <c r="AC156" s="6">
        <f t="shared" si="11"/>
        <v>2215.1736551999998</v>
      </c>
      <c r="AD156" s="6">
        <f t="shared" si="12"/>
        <v>0</v>
      </c>
      <c r="AE156" s="6">
        <f t="shared" ca="1" si="13"/>
        <v>2580.0399535168608</v>
      </c>
      <c r="AF156" s="4" t="s">
        <v>1150</v>
      </c>
    </row>
    <row r="157" spans="1:32" ht="11.25" customHeight="1" x14ac:dyDescent="0.25">
      <c r="A157" s="4" t="s">
        <v>59</v>
      </c>
      <c r="B157" s="4" t="s">
        <v>45</v>
      </c>
      <c r="C157" s="4" t="s">
        <v>34</v>
      </c>
      <c r="D157" s="4" t="s">
        <v>40</v>
      </c>
      <c r="E157" s="4" t="s">
        <v>25</v>
      </c>
      <c r="F157" s="4" t="s">
        <v>63</v>
      </c>
      <c r="G157" s="4" t="s">
        <v>25</v>
      </c>
      <c r="H157" s="4" t="s">
        <v>35</v>
      </c>
      <c r="I157" s="5">
        <v>44075</v>
      </c>
      <c r="J157" s="6">
        <v>0</v>
      </c>
      <c r="K157" s="6">
        <v>0</v>
      </c>
      <c r="L157" s="6">
        <v>10.456</v>
      </c>
      <c r="M157" s="6">
        <v>7.0055199999999997</v>
      </c>
      <c r="N157" s="6">
        <v>0</v>
      </c>
      <c r="O157" s="6">
        <v>0</v>
      </c>
      <c r="P157" s="6">
        <v>0</v>
      </c>
      <c r="Q157" s="4" t="s">
        <v>60</v>
      </c>
      <c r="R157" s="4">
        <v>0</v>
      </c>
      <c r="S157" s="4">
        <v>0</v>
      </c>
      <c r="T157" s="4">
        <v>17</v>
      </c>
      <c r="U157" s="4">
        <v>0</v>
      </c>
      <c r="V157" s="6">
        <f>IF(ISERROR(VLOOKUP($S$157,'TAR FIN'!$A$1:$O$120,15,0)),0,VLOOKUP($S$157,'TAR FIN'!$A$1:$O$120,15,0))</f>
        <v>0</v>
      </c>
      <c r="W157" s="6">
        <f>IF(ISERROR(VLOOKUP($T$157,'TAR FIN'!$A$1:$O$120,15,0)),0,VLOOKUP($T$157,'TAR FIN'!$A$1:$O$120,15,0))</f>
        <v>641.99</v>
      </c>
      <c r="X157" s="6">
        <f>IF(ISERROR(VLOOKUP($U$157,'TAR FIN'!$A$1:$O$120,15,0)),0,VLOOKUP($U$157,'TAR FIN'!$A$1:$O$120,15,0))</f>
        <v>0</v>
      </c>
      <c r="Y157" s="6"/>
      <c r="Z157" s="6">
        <f ca="1">('TUSD BE'!$AM$21+'TUSD BF'!$AM$21+'TUSD CVA'!$AM$21)*1</f>
        <v>747.73363518028248</v>
      </c>
      <c r="AA157" s="6"/>
      <c r="AB157" s="6">
        <f t="shared" si="10"/>
        <v>0</v>
      </c>
      <c r="AC157" s="6">
        <f t="shared" si="11"/>
        <v>2215.1736551999998</v>
      </c>
      <c r="AD157" s="6">
        <f t="shared" si="12"/>
        <v>0</v>
      </c>
      <c r="AE157" s="6">
        <f t="shared" ca="1" si="13"/>
        <v>2580.0399535168608</v>
      </c>
      <c r="AF157" s="4" t="s">
        <v>1150</v>
      </c>
    </row>
    <row r="158" spans="1:32" ht="11.25" customHeight="1" x14ac:dyDescent="0.25">
      <c r="A158" s="4" t="s">
        <v>21</v>
      </c>
      <c r="B158" s="4" t="s">
        <v>45</v>
      </c>
      <c r="C158" s="4" t="s">
        <v>34</v>
      </c>
      <c r="D158" s="4" t="s">
        <v>52</v>
      </c>
      <c r="E158" s="4" t="s">
        <v>53</v>
      </c>
      <c r="F158" s="4" t="s">
        <v>25</v>
      </c>
      <c r="G158" s="4" t="s">
        <v>25</v>
      </c>
      <c r="H158" s="4" t="s">
        <v>36</v>
      </c>
      <c r="I158" s="5">
        <v>43739</v>
      </c>
      <c r="J158" s="6">
        <v>0</v>
      </c>
      <c r="K158" s="71">
        <v>0</v>
      </c>
      <c r="L158" s="6">
        <v>466.53899999999999</v>
      </c>
      <c r="M158" s="71">
        <v>466.53899999999999</v>
      </c>
      <c r="N158" s="6">
        <v>466.53899999999999</v>
      </c>
      <c r="O158" s="71">
        <v>466.53899999999999</v>
      </c>
      <c r="P158" s="6">
        <v>0</v>
      </c>
      <c r="Q158" s="4" t="s">
        <v>26</v>
      </c>
      <c r="R158" s="4">
        <v>0</v>
      </c>
      <c r="S158" s="4">
        <v>0</v>
      </c>
      <c r="T158" s="4">
        <v>18</v>
      </c>
      <c r="U158" s="4">
        <v>80</v>
      </c>
      <c r="V158" s="71">
        <f>IF(ISERROR(VLOOKUP($S$158,'TAR FIN'!$A$1:$O$120,15,0)),0,VLOOKUP($S$158,'TAR FIN'!$A$1:$O$120,15,0))</f>
        <v>0</v>
      </c>
      <c r="W158" s="71">
        <f>IF(ISERROR(VLOOKUP($T$158,'TAR FIN'!$A$1:$O$120,15,0)),0,VLOOKUP($T$158,'TAR FIN'!$A$1:$O$120,15,0))*(1-0.12)</f>
        <v>74.316000000000003</v>
      </c>
      <c r="X158" s="71">
        <f>IF(ISERROR(VLOOKUP($U$158,'TAR FIN'!$A$1:$O$120,15,0)),0,VLOOKUP($U$158,'TAR FIN'!$A$1:$O$120,15,0))*(1-0.12)</f>
        <v>225.61439999999999</v>
      </c>
      <c r="Y158" s="71"/>
      <c r="Z158" s="71">
        <f ca="1">('TUSD BE'!$AM$22+'TUSD BF'!$AM$22+'TUSD CVA'!$AM$22)*1*(1-0.09)</f>
        <v>79.642619388381775</v>
      </c>
      <c r="AA158" s="71">
        <f>('TE BE'!$AA$8+'TE BF'!$AA$8+'TE CVA'!$AA$8)*1*(1-0.09)</f>
        <v>210.05913056249776</v>
      </c>
      <c r="AB158" s="71">
        <f>(SUBSIDIO!$J$158*SUBSIDIO!$V$158)*(0.12)/(1-0.12)</f>
        <v>0</v>
      </c>
      <c r="AC158" s="71">
        <f>((SUBSIDIO!$L$158*SUBSIDIO!$W$158)+(SUBSIDIO!$N$158*SUBSIDIO!$X$158))*(0.12)/(1-0.12)</f>
        <v>19081.258484400001</v>
      </c>
      <c r="AD158" s="71">
        <f>(SUBSIDIO!$J$158*SUBSIDIO!$Y$158)*(0.09)/(1-0.09)</f>
        <v>0</v>
      </c>
      <c r="AE158" s="71">
        <f ca="1">((SUBSIDIO!$L$158*SUBSIDIO!$Z$158)+(SUBSIDIO!$N$158*SUBSIDIO!$AA$158))*(0.09)/(1-0.09)</f>
        <v>13367.192115197806</v>
      </c>
      <c r="AF158" s="4" t="s">
        <v>1148</v>
      </c>
    </row>
    <row r="159" spans="1:32" ht="11.25" customHeight="1" x14ac:dyDescent="0.25">
      <c r="A159" s="4" t="s">
        <v>21</v>
      </c>
      <c r="B159" s="4" t="s">
        <v>45</v>
      </c>
      <c r="C159" s="4" t="s">
        <v>34</v>
      </c>
      <c r="D159" s="4" t="s">
        <v>52</v>
      </c>
      <c r="E159" s="4" t="s">
        <v>53</v>
      </c>
      <c r="F159" s="4" t="s">
        <v>25</v>
      </c>
      <c r="G159" s="4" t="s">
        <v>25</v>
      </c>
      <c r="H159" s="4" t="s">
        <v>36</v>
      </c>
      <c r="I159" s="5">
        <v>43770</v>
      </c>
      <c r="J159" s="6">
        <v>0</v>
      </c>
      <c r="K159" s="71">
        <v>0</v>
      </c>
      <c r="L159" s="6">
        <v>473.21</v>
      </c>
      <c r="M159" s="71">
        <v>473.21</v>
      </c>
      <c r="N159" s="6">
        <v>473.21</v>
      </c>
      <c r="O159" s="71">
        <v>473.21</v>
      </c>
      <c r="P159" s="6">
        <v>0</v>
      </c>
      <c r="Q159" s="4" t="s">
        <v>26</v>
      </c>
      <c r="R159" s="4">
        <v>0</v>
      </c>
      <c r="S159" s="4">
        <v>0</v>
      </c>
      <c r="T159" s="4">
        <v>18</v>
      </c>
      <c r="U159" s="4">
        <v>80</v>
      </c>
      <c r="V159" s="71">
        <f>IF(ISERROR(VLOOKUP($S$159,'TAR FIN'!$A$1:$O$120,15,0)),0,VLOOKUP($S$159,'TAR FIN'!$A$1:$O$120,15,0))</f>
        <v>0</v>
      </c>
      <c r="W159" s="71">
        <f>IF(ISERROR(VLOOKUP($T$159,'TAR FIN'!$A$1:$O$120,15,0)),0,VLOOKUP($T$159,'TAR FIN'!$A$1:$O$120,15,0))*(1-0.12)</f>
        <v>74.316000000000003</v>
      </c>
      <c r="X159" s="71">
        <f>IF(ISERROR(VLOOKUP($U$159,'TAR FIN'!$A$1:$O$120,15,0)),0,VLOOKUP($U$159,'TAR FIN'!$A$1:$O$120,15,0))*(1-0.12)</f>
        <v>225.61439999999999</v>
      </c>
      <c r="Y159" s="71"/>
      <c r="Z159" s="71">
        <f ca="1">('TUSD BE'!$AM$22+'TUSD BF'!$AM$22+'TUSD CVA'!$AM$22)*1*(1-0.09)</f>
        <v>79.642619388381775</v>
      </c>
      <c r="AA159" s="71">
        <f>('TE BE'!$AA$8+'TE BF'!$AA$8+'TE CVA'!$AA$8)*1*(1-0.09)</f>
        <v>210.05913056249776</v>
      </c>
      <c r="AB159" s="71">
        <f>(SUBSIDIO!$J$159*SUBSIDIO!$V$159)*(0.12)/(1-0.12)</f>
        <v>0</v>
      </c>
      <c r="AC159" s="71">
        <f>((SUBSIDIO!$L$159*SUBSIDIO!$W$159)+(SUBSIDIO!$N$159*SUBSIDIO!$X$159))*(0.12)/(1-0.12)</f>
        <v>19354.099715999997</v>
      </c>
      <c r="AD159" s="71">
        <f>(SUBSIDIO!$J$159*SUBSIDIO!$Y$159)*(0.09)/(1-0.09)</f>
        <v>0</v>
      </c>
      <c r="AE159" s="71">
        <f ca="1">((SUBSIDIO!$L$159*SUBSIDIO!$Z$159)+(SUBSIDIO!$N$159*SUBSIDIO!$AA$159))*(0.09)/(1-0.09)</f>
        <v>13558.328415915397</v>
      </c>
      <c r="AF159" s="4" t="s">
        <v>1148</v>
      </c>
    </row>
    <row r="160" spans="1:32" ht="11.25" customHeight="1" x14ac:dyDescent="0.25">
      <c r="A160" s="4" t="s">
        <v>21</v>
      </c>
      <c r="B160" s="4" t="s">
        <v>45</v>
      </c>
      <c r="C160" s="4" t="s">
        <v>34</v>
      </c>
      <c r="D160" s="4" t="s">
        <v>52</v>
      </c>
      <c r="E160" s="4" t="s">
        <v>53</v>
      </c>
      <c r="F160" s="4" t="s">
        <v>25</v>
      </c>
      <c r="G160" s="4" t="s">
        <v>25</v>
      </c>
      <c r="H160" s="4" t="s">
        <v>36</v>
      </c>
      <c r="I160" s="5">
        <v>43800</v>
      </c>
      <c r="J160" s="6">
        <v>0</v>
      </c>
      <c r="K160" s="71">
        <v>0</v>
      </c>
      <c r="L160" s="6">
        <v>459.21100000000001</v>
      </c>
      <c r="M160" s="71">
        <v>459.21100000000001</v>
      </c>
      <c r="N160" s="6">
        <v>459.21100000000001</v>
      </c>
      <c r="O160" s="71">
        <v>459.21100000000001</v>
      </c>
      <c r="P160" s="6">
        <v>0</v>
      </c>
      <c r="Q160" s="4" t="s">
        <v>26</v>
      </c>
      <c r="R160" s="4">
        <v>0</v>
      </c>
      <c r="S160" s="4">
        <v>0</v>
      </c>
      <c r="T160" s="4">
        <v>18</v>
      </c>
      <c r="U160" s="4">
        <v>80</v>
      </c>
      <c r="V160" s="71">
        <f>IF(ISERROR(VLOOKUP($S$160,'TAR FIN'!$A$1:$O$120,15,0)),0,VLOOKUP($S$160,'TAR FIN'!$A$1:$O$120,15,0))</f>
        <v>0</v>
      </c>
      <c r="W160" s="71">
        <f>IF(ISERROR(VLOOKUP($T$160,'TAR FIN'!$A$1:$O$120,15,0)),0,VLOOKUP($T$160,'TAR FIN'!$A$1:$O$120,15,0))*(1-0.12)</f>
        <v>74.316000000000003</v>
      </c>
      <c r="X160" s="71">
        <f>IF(ISERROR(VLOOKUP($U$160,'TAR FIN'!$A$1:$O$120,15,0)),0,VLOOKUP($U$160,'TAR FIN'!$A$1:$O$120,15,0))*(1-0.12)</f>
        <v>225.61439999999999</v>
      </c>
      <c r="Y160" s="71"/>
      <c r="Z160" s="71">
        <f ca="1">('TUSD BE'!$AM$22+'TUSD BF'!$AM$22+'TUSD CVA'!$AM$22)*1*(1-0.09)</f>
        <v>79.642619388381775</v>
      </c>
      <c r="AA160" s="71">
        <f>('TE BE'!$AA$8+'TE BF'!$AA$8+'TE CVA'!$AA$8)*1*(1-0.09)</f>
        <v>210.05913056249776</v>
      </c>
      <c r="AB160" s="71">
        <f>(SUBSIDIO!$J$160*SUBSIDIO!$V$160)*(0.12)/(1-0.12)</f>
        <v>0</v>
      </c>
      <c r="AC160" s="71">
        <f>((SUBSIDIO!$L$160*SUBSIDIO!$W$160)+(SUBSIDIO!$N$160*SUBSIDIO!$X$160))*(0.12)/(1-0.12)</f>
        <v>18781.546215599999</v>
      </c>
      <c r="AD160" s="71">
        <f>(SUBSIDIO!$J$160*SUBSIDIO!$Y$160)*(0.09)/(1-0.09)</f>
        <v>0</v>
      </c>
      <c r="AE160" s="71">
        <f ca="1">((SUBSIDIO!$L$160*SUBSIDIO!$Z$160)+(SUBSIDIO!$N$160*SUBSIDIO!$AA$160))*(0.09)/(1-0.09)</f>
        <v>13157.231567804834</v>
      </c>
      <c r="AF160" s="4" t="s">
        <v>1148</v>
      </c>
    </row>
    <row r="161" spans="1:32" ht="11.25" customHeight="1" x14ac:dyDescent="0.25">
      <c r="A161" s="4" t="s">
        <v>21</v>
      </c>
      <c r="B161" s="4" t="s">
        <v>45</v>
      </c>
      <c r="C161" s="4" t="s">
        <v>34</v>
      </c>
      <c r="D161" s="4" t="s">
        <v>52</v>
      </c>
      <c r="E161" s="4" t="s">
        <v>53</v>
      </c>
      <c r="F161" s="4" t="s">
        <v>25</v>
      </c>
      <c r="G161" s="4" t="s">
        <v>25</v>
      </c>
      <c r="H161" s="4" t="s">
        <v>36</v>
      </c>
      <c r="I161" s="5">
        <v>43831</v>
      </c>
      <c r="J161" s="6">
        <v>0</v>
      </c>
      <c r="K161" s="71">
        <v>0</v>
      </c>
      <c r="L161" s="6">
        <v>478.49099999999999</v>
      </c>
      <c r="M161" s="71">
        <v>478.49099999999999</v>
      </c>
      <c r="N161" s="6">
        <v>478.49099999999999</v>
      </c>
      <c r="O161" s="71">
        <v>478.49099999999999</v>
      </c>
      <c r="P161" s="6">
        <v>0</v>
      </c>
      <c r="Q161" s="4" t="s">
        <v>26</v>
      </c>
      <c r="R161" s="4">
        <v>0</v>
      </c>
      <c r="S161" s="4">
        <v>0</v>
      </c>
      <c r="T161" s="4">
        <v>18</v>
      </c>
      <c r="U161" s="4">
        <v>80</v>
      </c>
      <c r="V161" s="71">
        <f>IF(ISERROR(VLOOKUP($S$161,'TAR FIN'!$A$1:$O$120,15,0)),0,VLOOKUP($S$161,'TAR FIN'!$A$1:$O$120,15,0))</f>
        <v>0</v>
      </c>
      <c r="W161" s="71">
        <f>IF(ISERROR(VLOOKUP($T$161,'TAR FIN'!$A$1:$O$120,15,0)),0,VLOOKUP($T$161,'TAR FIN'!$A$1:$O$120,15,0))*(1-0.12)</f>
        <v>74.316000000000003</v>
      </c>
      <c r="X161" s="71">
        <f>IF(ISERROR(VLOOKUP($U$161,'TAR FIN'!$A$1:$O$120,15,0)),0,VLOOKUP($U$161,'TAR FIN'!$A$1:$O$120,15,0))*(1-0.12)</f>
        <v>225.61439999999999</v>
      </c>
      <c r="Y161" s="71"/>
      <c r="Z161" s="71">
        <f ca="1">('TUSD BE'!$AM$22+'TUSD BF'!$AM$22+'TUSD CVA'!$AM$22)*1*(1-0.09)</f>
        <v>79.642619388381775</v>
      </c>
      <c r="AA161" s="71">
        <f>('TE BE'!$AA$8+'TE BF'!$AA$8+'TE CVA'!$AA$8)*1*(1-0.09)</f>
        <v>210.05913056249776</v>
      </c>
      <c r="AB161" s="71">
        <f>(SUBSIDIO!$J$161*SUBSIDIO!$V$161)*(0.12)/(1-0.12)</f>
        <v>0</v>
      </c>
      <c r="AC161" s="71">
        <f>((SUBSIDIO!$L$161*SUBSIDIO!$W$161)+(SUBSIDIO!$N$161*SUBSIDIO!$X$161))*(0.12)/(1-0.12)</f>
        <v>19570.090503599997</v>
      </c>
      <c r="AD161" s="71">
        <f>(SUBSIDIO!$J$161*SUBSIDIO!$Y$161)*(0.09)/(1-0.09)</f>
        <v>0</v>
      </c>
      <c r="AE161" s="71">
        <f ca="1">((SUBSIDIO!$L$161*SUBSIDIO!$Z$161)+(SUBSIDIO!$N$161*SUBSIDIO!$AA$161))*(0.09)/(1-0.09)</f>
        <v>13709.63868485403</v>
      </c>
      <c r="AF161" s="4" t="s">
        <v>1148</v>
      </c>
    </row>
    <row r="162" spans="1:32" ht="11.25" customHeight="1" x14ac:dyDescent="0.25">
      <c r="A162" s="4" t="s">
        <v>21</v>
      </c>
      <c r="B162" s="4" t="s">
        <v>45</v>
      </c>
      <c r="C162" s="4" t="s">
        <v>34</v>
      </c>
      <c r="D162" s="4" t="s">
        <v>52</v>
      </c>
      <c r="E162" s="4" t="s">
        <v>53</v>
      </c>
      <c r="F162" s="4" t="s">
        <v>25</v>
      </c>
      <c r="G162" s="4" t="s">
        <v>25</v>
      </c>
      <c r="H162" s="4" t="s">
        <v>36</v>
      </c>
      <c r="I162" s="5">
        <v>43862</v>
      </c>
      <c r="J162" s="6">
        <v>0</v>
      </c>
      <c r="K162" s="71">
        <v>0</v>
      </c>
      <c r="L162" s="6">
        <v>469.49799999999999</v>
      </c>
      <c r="M162" s="71">
        <v>469.49799999999999</v>
      </c>
      <c r="N162" s="6">
        <v>469.49799999999999</v>
      </c>
      <c r="O162" s="71">
        <v>469.49799999999999</v>
      </c>
      <c r="P162" s="6">
        <v>0</v>
      </c>
      <c r="Q162" s="4" t="s">
        <v>26</v>
      </c>
      <c r="R162" s="4">
        <v>0</v>
      </c>
      <c r="S162" s="4">
        <v>0</v>
      </c>
      <c r="T162" s="4">
        <v>18</v>
      </c>
      <c r="U162" s="4">
        <v>80</v>
      </c>
      <c r="V162" s="71">
        <f>IF(ISERROR(VLOOKUP($S$162,'TAR FIN'!$A$1:$O$120,15,0)),0,VLOOKUP($S$162,'TAR FIN'!$A$1:$O$120,15,0))</f>
        <v>0</v>
      </c>
      <c r="W162" s="71">
        <f>IF(ISERROR(VLOOKUP($T$162,'TAR FIN'!$A$1:$O$120,15,0)),0,VLOOKUP($T$162,'TAR FIN'!$A$1:$O$120,15,0))*(1-0.12)</f>
        <v>74.316000000000003</v>
      </c>
      <c r="X162" s="71">
        <f>IF(ISERROR(VLOOKUP($U$162,'TAR FIN'!$A$1:$O$120,15,0)),0,VLOOKUP($U$162,'TAR FIN'!$A$1:$O$120,15,0))*(1-0.12)</f>
        <v>225.61439999999999</v>
      </c>
      <c r="Y162" s="71"/>
      <c r="Z162" s="71">
        <f ca="1">('TUSD BE'!$AM$22+'TUSD BF'!$AM$22+'TUSD CVA'!$AM$22)*1*(1-0.09)</f>
        <v>79.642619388381775</v>
      </c>
      <c r="AA162" s="71">
        <f>('TE BE'!$AA$8+'TE BF'!$AA$8+'TE CVA'!$AA$8)*1*(1-0.09)</f>
        <v>210.05913056249776</v>
      </c>
      <c r="AB162" s="71">
        <f>(SUBSIDIO!$J$162*SUBSIDIO!$V$162)*(0.12)/(1-0.12)</f>
        <v>0</v>
      </c>
      <c r="AC162" s="71">
        <f>((SUBSIDIO!$L$162*SUBSIDIO!$W$162)+(SUBSIDIO!$N$162*SUBSIDIO!$X$162))*(0.12)/(1-0.12)</f>
        <v>19202.280400800002</v>
      </c>
      <c r="AD162" s="71">
        <f>(SUBSIDIO!$J$162*SUBSIDIO!$Y$162)*(0.09)/(1-0.09)</f>
        <v>0</v>
      </c>
      <c r="AE162" s="71">
        <f ca="1">((SUBSIDIO!$L$162*SUBSIDIO!$Z$162)+(SUBSIDIO!$N$162*SUBSIDIO!$AA$162))*(0.09)/(1-0.09)</f>
        <v>13451.972854790572</v>
      </c>
      <c r="AF162" s="4" t="s">
        <v>1148</v>
      </c>
    </row>
    <row r="163" spans="1:32" ht="11.25" customHeight="1" x14ac:dyDescent="0.25">
      <c r="A163" s="4" t="s">
        <v>21</v>
      </c>
      <c r="B163" s="4" t="s">
        <v>45</v>
      </c>
      <c r="C163" s="4" t="s">
        <v>34</v>
      </c>
      <c r="D163" s="4" t="s">
        <v>52</v>
      </c>
      <c r="E163" s="4" t="s">
        <v>53</v>
      </c>
      <c r="F163" s="4" t="s">
        <v>25</v>
      </c>
      <c r="G163" s="4" t="s">
        <v>25</v>
      </c>
      <c r="H163" s="4" t="s">
        <v>36</v>
      </c>
      <c r="I163" s="5">
        <v>43891</v>
      </c>
      <c r="J163" s="6">
        <v>0</v>
      </c>
      <c r="K163" s="71">
        <v>0</v>
      </c>
      <c r="L163" s="6">
        <v>399.048</v>
      </c>
      <c r="M163" s="71">
        <v>399.048</v>
      </c>
      <c r="N163" s="6">
        <v>399.048</v>
      </c>
      <c r="O163" s="71">
        <v>399.048</v>
      </c>
      <c r="P163" s="6">
        <v>0</v>
      </c>
      <c r="Q163" s="4" t="s">
        <v>26</v>
      </c>
      <c r="R163" s="4">
        <v>0</v>
      </c>
      <c r="S163" s="4">
        <v>0</v>
      </c>
      <c r="T163" s="4">
        <v>18</v>
      </c>
      <c r="U163" s="4">
        <v>80</v>
      </c>
      <c r="V163" s="71">
        <f>IF(ISERROR(VLOOKUP($S$163,'TAR FIN'!$A$1:$O$120,15,0)),0,VLOOKUP($S$163,'TAR FIN'!$A$1:$O$120,15,0))</f>
        <v>0</v>
      </c>
      <c r="W163" s="71">
        <f>IF(ISERROR(VLOOKUP($T$163,'TAR FIN'!$A$1:$O$120,15,0)),0,VLOOKUP($T$163,'TAR FIN'!$A$1:$O$120,15,0))*(1-0.12)</f>
        <v>74.316000000000003</v>
      </c>
      <c r="X163" s="71">
        <f>IF(ISERROR(VLOOKUP($U$163,'TAR FIN'!$A$1:$O$120,15,0)),0,VLOOKUP($U$163,'TAR FIN'!$A$1:$O$120,15,0))*(1-0.12)</f>
        <v>225.61439999999999</v>
      </c>
      <c r="Y163" s="71"/>
      <c r="Z163" s="71">
        <f ca="1">('TUSD BE'!$AM$22+'TUSD BF'!$AM$22+'TUSD CVA'!$AM$22)*1*(1-0.09)</f>
        <v>79.642619388381775</v>
      </c>
      <c r="AA163" s="71">
        <f>('TE BE'!$AA$8+'TE BF'!$AA$8+'TE CVA'!$AA$8)*1*(1-0.09)</f>
        <v>210.05913056249776</v>
      </c>
      <c r="AB163" s="71">
        <f>(SUBSIDIO!$J$163*SUBSIDIO!$V$163)*(0.12)/(1-0.12)</f>
        <v>0</v>
      </c>
      <c r="AC163" s="71">
        <f>((SUBSIDIO!$L$163*SUBSIDIO!$W$163)+(SUBSIDIO!$N$163*SUBSIDIO!$X$163))*(0.12)/(1-0.12)</f>
        <v>16320.903580799999</v>
      </c>
      <c r="AD163" s="71">
        <f>(SUBSIDIO!$J$163*SUBSIDIO!$Y$163)*(0.09)/(1-0.09)</f>
        <v>0</v>
      </c>
      <c r="AE163" s="71">
        <f ca="1">((SUBSIDIO!$L$163*SUBSIDIO!$Z$163)+(SUBSIDIO!$N$163*SUBSIDIO!$AA$163))*(0.09)/(1-0.09)</f>
        <v>11433.452035489969</v>
      </c>
      <c r="AF163" s="4" t="s">
        <v>1148</v>
      </c>
    </row>
    <row r="164" spans="1:32" ht="11.25" customHeight="1" x14ac:dyDescent="0.25">
      <c r="A164" s="4" t="s">
        <v>21</v>
      </c>
      <c r="B164" s="4" t="s">
        <v>45</v>
      </c>
      <c r="C164" s="4" t="s">
        <v>34</v>
      </c>
      <c r="D164" s="4" t="s">
        <v>52</v>
      </c>
      <c r="E164" s="4" t="s">
        <v>53</v>
      </c>
      <c r="F164" s="4" t="s">
        <v>25</v>
      </c>
      <c r="G164" s="4" t="s">
        <v>25</v>
      </c>
      <c r="H164" s="4" t="s">
        <v>36</v>
      </c>
      <c r="I164" s="5">
        <v>43922</v>
      </c>
      <c r="J164" s="6">
        <v>0</v>
      </c>
      <c r="K164" s="71">
        <v>0</v>
      </c>
      <c r="L164" s="6">
        <v>423.98899999999998</v>
      </c>
      <c r="M164" s="71">
        <v>423.98899999999998</v>
      </c>
      <c r="N164" s="6">
        <v>423.98899999999998</v>
      </c>
      <c r="O164" s="71">
        <v>423.98899999999998</v>
      </c>
      <c r="P164" s="6">
        <v>0</v>
      </c>
      <c r="Q164" s="4" t="s">
        <v>26</v>
      </c>
      <c r="R164" s="4">
        <v>0</v>
      </c>
      <c r="S164" s="4">
        <v>0</v>
      </c>
      <c r="T164" s="4">
        <v>18</v>
      </c>
      <c r="U164" s="4">
        <v>80</v>
      </c>
      <c r="V164" s="71">
        <f>IF(ISERROR(VLOOKUP($S$164,'TAR FIN'!$A$1:$O$120,15,0)),0,VLOOKUP($S$164,'TAR FIN'!$A$1:$O$120,15,0))</f>
        <v>0</v>
      </c>
      <c r="W164" s="71">
        <f>IF(ISERROR(VLOOKUP($T$164,'TAR FIN'!$A$1:$O$120,15,0)),0,VLOOKUP($T$164,'TAR FIN'!$A$1:$O$120,15,0))*(1-0.12)</f>
        <v>74.316000000000003</v>
      </c>
      <c r="X164" s="71">
        <f>IF(ISERROR(VLOOKUP($U$164,'TAR FIN'!$A$1:$O$120,15,0)),0,VLOOKUP($U$164,'TAR FIN'!$A$1:$O$120,15,0))*(1-0.12)</f>
        <v>225.61439999999999</v>
      </c>
      <c r="Y164" s="71"/>
      <c r="Z164" s="71">
        <f ca="1">('TUSD BE'!$AM$22+'TUSD BF'!$AM$22+'TUSD CVA'!$AM$22)*1*(1-0.09)</f>
        <v>79.642619388381775</v>
      </c>
      <c r="AA164" s="71">
        <f>('TE BE'!$AA$8+'TE BF'!$AA$8+'TE CVA'!$AA$8)*1*(1-0.09)</f>
        <v>210.05913056249776</v>
      </c>
      <c r="AB164" s="71">
        <f>(SUBSIDIO!$J$164*SUBSIDIO!$V$164)*(0.12)/(1-0.12)</f>
        <v>0</v>
      </c>
      <c r="AC164" s="71">
        <f>((SUBSIDIO!$L$164*SUBSIDIO!$W$164)+(SUBSIDIO!$N$164*SUBSIDIO!$X$164))*(0.12)/(1-0.12)</f>
        <v>17340.980504399999</v>
      </c>
      <c r="AD164" s="71">
        <f>(SUBSIDIO!$J$164*SUBSIDIO!$Y$164)*(0.09)/(1-0.09)</f>
        <v>0</v>
      </c>
      <c r="AE164" s="71">
        <f ca="1">((SUBSIDIO!$L$164*SUBSIDIO!$Z$164)+(SUBSIDIO!$N$164*SUBSIDIO!$AA$164))*(0.09)/(1-0.09)</f>
        <v>12148.057113618801</v>
      </c>
      <c r="AF164" s="4" t="s">
        <v>1148</v>
      </c>
    </row>
    <row r="165" spans="1:32" ht="11.25" customHeight="1" x14ac:dyDescent="0.25">
      <c r="A165" s="4" t="s">
        <v>21</v>
      </c>
      <c r="B165" s="4" t="s">
        <v>45</v>
      </c>
      <c r="C165" s="4" t="s">
        <v>34</v>
      </c>
      <c r="D165" s="4" t="s">
        <v>52</v>
      </c>
      <c r="E165" s="4" t="s">
        <v>53</v>
      </c>
      <c r="F165" s="4" t="s">
        <v>25</v>
      </c>
      <c r="G165" s="4" t="s">
        <v>25</v>
      </c>
      <c r="H165" s="4" t="s">
        <v>36</v>
      </c>
      <c r="I165" s="5">
        <v>43952</v>
      </c>
      <c r="J165" s="6">
        <v>0</v>
      </c>
      <c r="K165" s="71">
        <v>0</v>
      </c>
      <c r="L165" s="6">
        <v>393.7</v>
      </c>
      <c r="M165" s="71">
        <v>393.7</v>
      </c>
      <c r="N165" s="6">
        <v>393.7</v>
      </c>
      <c r="O165" s="71">
        <v>393.7</v>
      </c>
      <c r="P165" s="6">
        <v>0</v>
      </c>
      <c r="Q165" s="4" t="s">
        <v>26</v>
      </c>
      <c r="R165" s="4">
        <v>0</v>
      </c>
      <c r="S165" s="4">
        <v>0</v>
      </c>
      <c r="T165" s="4">
        <v>18</v>
      </c>
      <c r="U165" s="4">
        <v>80</v>
      </c>
      <c r="V165" s="71">
        <f>IF(ISERROR(VLOOKUP($S$165,'TAR FIN'!$A$1:$O$120,15,0)),0,VLOOKUP($S$165,'TAR FIN'!$A$1:$O$120,15,0))</f>
        <v>0</v>
      </c>
      <c r="W165" s="71">
        <f>IF(ISERROR(VLOOKUP($T$165,'TAR FIN'!$A$1:$O$120,15,0)),0,VLOOKUP($T$165,'TAR FIN'!$A$1:$O$120,15,0))*(1-0.12)</f>
        <v>74.316000000000003</v>
      </c>
      <c r="X165" s="71">
        <f>IF(ISERROR(VLOOKUP($U$165,'TAR FIN'!$A$1:$O$120,15,0)),0,VLOOKUP($U$165,'TAR FIN'!$A$1:$O$120,15,0))*(1-0.12)</f>
        <v>225.61439999999999</v>
      </c>
      <c r="Y165" s="71"/>
      <c r="Z165" s="71">
        <f ca="1">('TUSD BE'!$AM$22+'TUSD BF'!$AM$22+'TUSD CVA'!$AM$22)*1*(1-0.09)</f>
        <v>79.642619388381775</v>
      </c>
      <c r="AA165" s="71">
        <f>('TE BE'!$AA$8+'TE BF'!$AA$8+'TE CVA'!$AA$8)*1*(1-0.09)</f>
        <v>210.05913056249776</v>
      </c>
      <c r="AB165" s="71">
        <f>(SUBSIDIO!$J$165*SUBSIDIO!$V$165)*(0.12)/(1-0.12)</f>
        <v>0</v>
      </c>
      <c r="AC165" s="71">
        <f>((SUBSIDIO!$L$165*SUBSIDIO!$W$165)+(SUBSIDIO!$N$165*SUBSIDIO!$X$165))*(0.12)/(1-0.12)</f>
        <v>16102.172519999996</v>
      </c>
      <c r="AD165" s="71">
        <f>(SUBSIDIO!$J$165*SUBSIDIO!$Y$165)*(0.09)/(1-0.09)</f>
        <v>0</v>
      </c>
      <c r="AE165" s="71">
        <f ca="1">((SUBSIDIO!$L$165*SUBSIDIO!$Z$165)+(SUBSIDIO!$N$165*SUBSIDIO!$AA$165))*(0.09)/(1-0.09)</f>
        <v>11280.222094515948</v>
      </c>
      <c r="AF165" s="4" t="s">
        <v>1148</v>
      </c>
    </row>
    <row r="166" spans="1:32" ht="11.25" customHeight="1" x14ac:dyDescent="0.25">
      <c r="A166" s="4" t="s">
        <v>21</v>
      </c>
      <c r="B166" s="4" t="s">
        <v>45</v>
      </c>
      <c r="C166" s="4" t="s">
        <v>34</v>
      </c>
      <c r="D166" s="4" t="s">
        <v>52</v>
      </c>
      <c r="E166" s="4" t="s">
        <v>53</v>
      </c>
      <c r="F166" s="4" t="s">
        <v>25</v>
      </c>
      <c r="G166" s="4" t="s">
        <v>25</v>
      </c>
      <c r="H166" s="4" t="s">
        <v>36</v>
      </c>
      <c r="I166" s="5">
        <v>43983</v>
      </c>
      <c r="J166" s="6">
        <v>0</v>
      </c>
      <c r="K166" s="71">
        <v>0</v>
      </c>
      <c r="L166" s="6">
        <v>434.92599999999999</v>
      </c>
      <c r="M166" s="71">
        <v>434.92599999999999</v>
      </c>
      <c r="N166" s="6">
        <v>434.92599999999999</v>
      </c>
      <c r="O166" s="71">
        <v>434.92599999999999</v>
      </c>
      <c r="P166" s="6">
        <v>0</v>
      </c>
      <c r="Q166" s="4" t="s">
        <v>26</v>
      </c>
      <c r="R166" s="4">
        <v>0</v>
      </c>
      <c r="S166" s="4">
        <v>0</v>
      </c>
      <c r="T166" s="4">
        <v>18</v>
      </c>
      <c r="U166" s="4">
        <v>80</v>
      </c>
      <c r="V166" s="71">
        <f>IF(ISERROR(VLOOKUP($S$166,'TAR FIN'!$A$1:$O$120,15,0)),0,VLOOKUP($S$166,'TAR FIN'!$A$1:$O$120,15,0))</f>
        <v>0</v>
      </c>
      <c r="W166" s="71">
        <f>IF(ISERROR(VLOOKUP($T$166,'TAR FIN'!$A$1:$O$120,15,0)),0,VLOOKUP($T$166,'TAR FIN'!$A$1:$O$120,15,0))*(1-0.12)</f>
        <v>74.316000000000003</v>
      </c>
      <c r="X166" s="71">
        <f>IF(ISERROR(VLOOKUP($U$166,'TAR FIN'!$A$1:$O$120,15,0)),0,VLOOKUP($U$166,'TAR FIN'!$A$1:$O$120,15,0))*(1-0.12)</f>
        <v>225.61439999999999</v>
      </c>
      <c r="Y166" s="71"/>
      <c r="Z166" s="71">
        <f ca="1">('TUSD BE'!$AM$22+'TUSD BF'!$AM$22+'TUSD CVA'!$AM$22)*1*(1-0.09)</f>
        <v>79.642619388381775</v>
      </c>
      <c r="AA166" s="71">
        <f>('TE BE'!$AA$8+'TE BF'!$AA$8+'TE CVA'!$AA$8)*1*(1-0.09)</f>
        <v>210.05913056249776</v>
      </c>
      <c r="AB166" s="71">
        <f>(SUBSIDIO!$J$166*SUBSIDIO!$V$166)*(0.12)/(1-0.12)</f>
        <v>0</v>
      </c>
      <c r="AC166" s="71">
        <f>((SUBSIDIO!$L$166*SUBSIDIO!$W$166)+(SUBSIDIO!$N$166*SUBSIDIO!$X$166))*(0.12)/(1-0.12)</f>
        <v>17788.2994296</v>
      </c>
      <c r="AD166" s="71">
        <f>(SUBSIDIO!$J$166*SUBSIDIO!$Y$166)*(0.09)/(1-0.09)</f>
        <v>0</v>
      </c>
      <c r="AE166" s="71">
        <f ca="1">((SUBSIDIO!$L$166*SUBSIDIO!$Z$166)+(SUBSIDIO!$N$166*SUBSIDIO!$AA$166))*(0.09)/(1-0.09)</f>
        <v>12461.422084529957</v>
      </c>
      <c r="AF166" s="4" t="s">
        <v>1148</v>
      </c>
    </row>
    <row r="167" spans="1:32" ht="11.25" customHeight="1" x14ac:dyDescent="0.25">
      <c r="A167" s="4" t="s">
        <v>21</v>
      </c>
      <c r="B167" s="4" t="s">
        <v>45</v>
      </c>
      <c r="C167" s="4" t="s">
        <v>34</v>
      </c>
      <c r="D167" s="4" t="s">
        <v>52</v>
      </c>
      <c r="E167" s="4" t="s">
        <v>53</v>
      </c>
      <c r="F167" s="4" t="s">
        <v>25</v>
      </c>
      <c r="G167" s="4" t="s">
        <v>25</v>
      </c>
      <c r="H167" s="4" t="s">
        <v>36</v>
      </c>
      <c r="I167" s="5">
        <v>44013</v>
      </c>
      <c r="J167" s="6">
        <v>0</v>
      </c>
      <c r="K167" s="71">
        <v>0</v>
      </c>
      <c r="L167" s="6">
        <v>439.71300000000002</v>
      </c>
      <c r="M167" s="71">
        <v>439.71300000000002</v>
      </c>
      <c r="N167" s="6">
        <v>439.71300000000002</v>
      </c>
      <c r="O167" s="71">
        <v>439.71300000000002</v>
      </c>
      <c r="P167" s="6">
        <v>0</v>
      </c>
      <c r="Q167" s="4" t="s">
        <v>26</v>
      </c>
      <c r="R167" s="4">
        <v>0</v>
      </c>
      <c r="S167" s="4">
        <v>0</v>
      </c>
      <c r="T167" s="4">
        <v>18</v>
      </c>
      <c r="U167" s="4">
        <v>80</v>
      </c>
      <c r="V167" s="71">
        <f>IF(ISERROR(VLOOKUP($S$167,'TAR FIN'!$A$1:$O$120,15,0)),0,VLOOKUP($S$167,'TAR FIN'!$A$1:$O$120,15,0))</f>
        <v>0</v>
      </c>
      <c r="W167" s="71">
        <f>IF(ISERROR(VLOOKUP($T$167,'TAR FIN'!$A$1:$O$120,15,0)),0,VLOOKUP($T$167,'TAR FIN'!$A$1:$O$120,15,0))*(1-0.12)</f>
        <v>74.316000000000003</v>
      </c>
      <c r="X167" s="71">
        <f>IF(ISERROR(VLOOKUP($U$167,'TAR FIN'!$A$1:$O$120,15,0)),0,VLOOKUP($U$167,'TAR FIN'!$A$1:$O$120,15,0))*(1-0.12)</f>
        <v>225.61439999999999</v>
      </c>
      <c r="Y167" s="71"/>
      <c r="Z167" s="71">
        <f ca="1">('TUSD BE'!$AM$22+'TUSD BF'!$AM$22+'TUSD CVA'!$AM$22)*1*(1-0.09)</f>
        <v>79.642619388381775</v>
      </c>
      <c r="AA167" s="71">
        <f>('TE BE'!$AA$8+'TE BF'!$AA$8+'TE CVA'!$AA$8)*1*(1-0.09)</f>
        <v>210.05913056249776</v>
      </c>
      <c r="AB167" s="71">
        <f>(SUBSIDIO!$J$167*SUBSIDIO!$V$167)*(0.12)/(1-0.12)</f>
        <v>0</v>
      </c>
      <c r="AC167" s="71">
        <f>((SUBSIDIO!$L$167*SUBSIDIO!$W$167)+(SUBSIDIO!$N$167*SUBSIDIO!$X$167))*(0.12)/(1-0.12)</f>
        <v>17984.085814800001</v>
      </c>
      <c r="AD167" s="71">
        <f>(SUBSIDIO!$J$167*SUBSIDIO!$Y$167)*(0.09)/(1-0.09)</f>
        <v>0</v>
      </c>
      <c r="AE167" s="71">
        <f ca="1">((SUBSIDIO!$L$167*SUBSIDIO!$Z$167)+(SUBSIDIO!$N$167*SUBSIDIO!$AA$167))*(0.09)/(1-0.09)</f>
        <v>12598.578353685274</v>
      </c>
      <c r="AF167" s="4" t="s">
        <v>1148</v>
      </c>
    </row>
    <row r="168" spans="1:32" ht="11.25" customHeight="1" x14ac:dyDescent="0.25">
      <c r="A168" s="4" t="s">
        <v>21</v>
      </c>
      <c r="B168" s="4" t="s">
        <v>45</v>
      </c>
      <c r="C168" s="4" t="s">
        <v>34</v>
      </c>
      <c r="D168" s="4" t="s">
        <v>52</v>
      </c>
      <c r="E168" s="4" t="s">
        <v>53</v>
      </c>
      <c r="F168" s="4" t="s">
        <v>25</v>
      </c>
      <c r="G168" s="4" t="s">
        <v>25</v>
      </c>
      <c r="H168" s="4" t="s">
        <v>36</v>
      </c>
      <c r="I168" s="5">
        <v>44044</v>
      </c>
      <c r="J168" s="6">
        <v>0</v>
      </c>
      <c r="K168" s="71">
        <v>0</v>
      </c>
      <c r="L168" s="6">
        <v>432.42200000000003</v>
      </c>
      <c r="M168" s="71">
        <v>432.42200000000003</v>
      </c>
      <c r="N168" s="6">
        <v>432.42200000000003</v>
      </c>
      <c r="O168" s="71">
        <v>432.42200000000003</v>
      </c>
      <c r="P168" s="6">
        <v>0</v>
      </c>
      <c r="Q168" s="4" t="s">
        <v>26</v>
      </c>
      <c r="R168" s="4">
        <v>0</v>
      </c>
      <c r="S168" s="4">
        <v>0</v>
      </c>
      <c r="T168" s="4">
        <v>18</v>
      </c>
      <c r="U168" s="4">
        <v>80</v>
      </c>
      <c r="V168" s="71">
        <f>IF(ISERROR(VLOOKUP($S$168,'TAR FIN'!$A$1:$O$120,15,0)),0,VLOOKUP($S$168,'TAR FIN'!$A$1:$O$120,15,0))</f>
        <v>0</v>
      </c>
      <c r="W168" s="71">
        <f>IF(ISERROR(VLOOKUP($T$168,'TAR FIN'!$A$1:$O$120,15,0)),0,VLOOKUP($T$168,'TAR FIN'!$A$1:$O$120,15,0))*(1-0.12)</f>
        <v>74.316000000000003</v>
      </c>
      <c r="X168" s="71">
        <f>IF(ISERROR(VLOOKUP($U$168,'TAR FIN'!$A$1:$O$120,15,0)),0,VLOOKUP($U$168,'TAR FIN'!$A$1:$O$120,15,0))*(1-0.12)</f>
        <v>225.61439999999999</v>
      </c>
      <c r="Y168" s="71"/>
      <c r="Z168" s="71">
        <f ca="1">('TUSD BE'!$AM$22+'TUSD BF'!$AM$22+'TUSD CVA'!$AM$22)*1*(1-0.09)</f>
        <v>79.642619388381775</v>
      </c>
      <c r="AA168" s="71">
        <f>('TE BE'!$AA$8+'TE BF'!$AA$8+'TE CVA'!$AA$8)*1*(1-0.09)</f>
        <v>210.05913056249776</v>
      </c>
      <c r="AB168" s="71">
        <f>(SUBSIDIO!$J$168*SUBSIDIO!$V$168)*(0.12)/(1-0.12)</f>
        <v>0</v>
      </c>
      <c r="AC168" s="71">
        <f>((SUBSIDIO!$L$168*SUBSIDIO!$W$168)+(SUBSIDIO!$N$168*SUBSIDIO!$X$168))*(0.12)/(1-0.12)</f>
        <v>17685.886831199998</v>
      </c>
      <c r="AD168" s="71">
        <f>(SUBSIDIO!$J$168*SUBSIDIO!$Y$168)*(0.09)/(1-0.09)</f>
        <v>0</v>
      </c>
      <c r="AE168" s="71">
        <f ca="1">((SUBSIDIO!$L$168*SUBSIDIO!$Z$168)+(SUBSIDIO!$N$168*SUBSIDIO!$AA$168))*(0.09)/(1-0.09)</f>
        <v>12389.67792368498</v>
      </c>
      <c r="AF168" s="4" t="s">
        <v>1148</v>
      </c>
    </row>
    <row r="169" spans="1:32" ht="11.25" customHeight="1" x14ac:dyDescent="0.25">
      <c r="A169" s="4" t="s">
        <v>59</v>
      </c>
      <c r="B169" s="4" t="s">
        <v>45</v>
      </c>
      <c r="C169" s="4" t="s">
        <v>34</v>
      </c>
      <c r="D169" s="4" t="s">
        <v>52</v>
      </c>
      <c r="E169" s="4" t="s">
        <v>53</v>
      </c>
      <c r="F169" s="4" t="s">
        <v>25</v>
      </c>
      <c r="G169" s="4" t="s">
        <v>25</v>
      </c>
      <c r="H169" s="4" t="s">
        <v>36</v>
      </c>
      <c r="I169" s="5">
        <v>44075</v>
      </c>
      <c r="J169" s="6">
        <v>0</v>
      </c>
      <c r="K169" s="71">
        <v>0</v>
      </c>
      <c r="L169" s="6">
        <v>432.42200000000003</v>
      </c>
      <c r="M169" s="71">
        <v>432.42200000000003</v>
      </c>
      <c r="N169" s="6">
        <v>432.42200000000003</v>
      </c>
      <c r="O169" s="71">
        <v>432.42200000000003</v>
      </c>
      <c r="P169" s="6">
        <v>0</v>
      </c>
      <c r="Q169" s="4" t="s">
        <v>26</v>
      </c>
      <c r="R169" s="4">
        <v>0</v>
      </c>
      <c r="S169" s="4">
        <v>0</v>
      </c>
      <c r="T169" s="4">
        <v>18</v>
      </c>
      <c r="U169" s="4">
        <v>80</v>
      </c>
      <c r="V169" s="71">
        <f>IF(ISERROR(VLOOKUP($S$169,'TAR FIN'!$A$1:$O$120,15,0)),0,VLOOKUP($S$169,'TAR FIN'!$A$1:$O$120,15,0))</f>
        <v>0</v>
      </c>
      <c r="W169" s="71">
        <f>IF(ISERROR(VLOOKUP($T$169,'TAR FIN'!$A$1:$O$120,15,0)),0,VLOOKUP($T$169,'TAR FIN'!$A$1:$O$120,15,0))*(1-0.12)</f>
        <v>74.316000000000003</v>
      </c>
      <c r="X169" s="71">
        <f>IF(ISERROR(VLOOKUP($U$169,'TAR FIN'!$A$1:$O$120,15,0)),0,VLOOKUP($U$169,'TAR FIN'!$A$1:$O$120,15,0))*(1-0.12)</f>
        <v>225.61439999999999</v>
      </c>
      <c r="Y169" s="71"/>
      <c r="Z169" s="71">
        <f ca="1">('TUSD BE'!$AM$22+'TUSD BF'!$AM$22+'TUSD CVA'!$AM$22)*1*(1-0.09)</f>
        <v>79.642619388381775</v>
      </c>
      <c r="AA169" s="71">
        <f>('TE BE'!$AA$8+'TE BF'!$AA$8+'TE CVA'!$AA$8)*1*(1-0.09)</f>
        <v>210.05913056249776</v>
      </c>
      <c r="AB169" s="71">
        <f>(SUBSIDIO!$J$169*SUBSIDIO!$V$169)*(0.12)/(1-0.12)</f>
        <v>0</v>
      </c>
      <c r="AC169" s="71">
        <f>((SUBSIDIO!$L$169*SUBSIDIO!$W$169)+(SUBSIDIO!$N$169*SUBSIDIO!$X$169))*(0.12)/(1-0.12)</f>
        <v>17685.886831199998</v>
      </c>
      <c r="AD169" s="71">
        <f>(SUBSIDIO!$J$169*SUBSIDIO!$Y$169)*(0.09)/(1-0.09)</f>
        <v>0</v>
      </c>
      <c r="AE169" s="71">
        <f ca="1">((SUBSIDIO!$L$169*SUBSIDIO!$Z$169)+(SUBSIDIO!$N$169*SUBSIDIO!$AA$169))*(0.09)/(1-0.09)</f>
        <v>12389.67792368498</v>
      </c>
      <c r="AF169" s="4" t="s">
        <v>1148</v>
      </c>
    </row>
    <row r="170" spans="1:32" ht="11.25" customHeight="1" x14ac:dyDescent="0.25">
      <c r="A170" s="4" t="s">
        <v>21</v>
      </c>
      <c r="B170" s="4" t="s">
        <v>45</v>
      </c>
      <c r="C170" s="4" t="s">
        <v>34</v>
      </c>
      <c r="D170" s="4" t="s">
        <v>52</v>
      </c>
      <c r="E170" s="4" t="s">
        <v>53</v>
      </c>
      <c r="F170" s="4" t="s">
        <v>25</v>
      </c>
      <c r="G170" s="4" t="s">
        <v>25</v>
      </c>
      <c r="H170" s="4" t="s">
        <v>25</v>
      </c>
      <c r="I170" s="5">
        <v>43739</v>
      </c>
      <c r="J170" s="6">
        <v>1130</v>
      </c>
      <c r="K170" s="70">
        <v>1130</v>
      </c>
      <c r="L170" s="6">
        <v>0</v>
      </c>
      <c r="M170" s="71">
        <v>0</v>
      </c>
      <c r="N170" s="6">
        <v>0</v>
      </c>
      <c r="O170" s="71">
        <v>0</v>
      </c>
      <c r="P170" s="6">
        <v>1</v>
      </c>
      <c r="Q170" s="4" t="s">
        <v>26</v>
      </c>
      <c r="R170" s="4">
        <v>0</v>
      </c>
      <c r="S170" s="4">
        <v>16</v>
      </c>
      <c r="T170" s="4">
        <v>0</v>
      </c>
      <c r="U170" s="4">
        <v>0</v>
      </c>
      <c r="V170" s="71">
        <f>IF(ISERROR(VLOOKUP($S$170,'TAR FIN'!$A$1:$O$120,15,0)),0,VLOOKUP($S$170,'TAR FIN'!$A$1:$O$120,15,0))*(1-0.12)</f>
        <v>7.7528000000000006</v>
      </c>
      <c r="W170" s="71">
        <f>IF(ISERROR(VLOOKUP($T$170,'TAR FIN'!$A$1:$O$120,15,0)),0,VLOOKUP($T$170,'TAR FIN'!$A$1:$O$120,15,0))</f>
        <v>0</v>
      </c>
      <c r="X170" s="71">
        <f>IF(ISERROR(VLOOKUP($U$170,'TAR FIN'!$A$1:$O$120,15,0)),0,VLOOKUP($U$170,'TAR FIN'!$A$1:$O$120,15,0))</f>
        <v>0</v>
      </c>
      <c r="Y170" s="71">
        <f ca="1">('TUSD BE'!$AM$20+'TUSD BF'!$AM$20+'TUSD CVA'!$AM$20)*1*(1-0.09)</f>
        <v>10.421644550274408</v>
      </c>
      <c r="Z170" s="71"/>
      <c r="AA170" s="71"/>
      <c r="AB170" s="71">
        <f>(SUBSIDIO!$J$170*SUBSIDIO!$V$170)*(0.12)/(1-0.12)</f>
        <v>1194.6360000000002</v>
      </c>
      <c r="AC170" s="71">
        <f>((SUBSIDIO!$L$170*SUBSIDIO!$W$170)+(SUBSIDIO!$N$170*SUBSIDIO!$X$170))*(0.12)/(1-0.12)</f>
        <v>0</v>
      </c>
      <c r="AD170" s="71">
        <f ca="1">(SUBSIDIO!$J$170*SUBSIDIO!$Y$170)*(0.09)/(1-0.09)</f>
        <v>1164.70467116803</v>
      </c>
      <c r="AE170" s="71">
        <f>((SUBSIDIO!$L$170*SUBSIDIO!$Z$170)+(SUBSIDIO!$N$170*SUBSIDIO!$AA$170))*(0.09)/(1-0.09)</f>
        <v>0</v>
      </c>
      <c r="AF170" s="4" t="s">
        <v>1148</v>
      </c>
    </row>
    <row r="171" spans="1:32" ht="11.25" customHeight="1" x14ac:dyDescent="0.25">
      <c r="A171" s="4" t="s">
        <v>21</v>
      </c>
      <c r="B171" s="4" t="s">
        <v>45</v>
      </c>
      <c r="C171" s="4" t="s">
        <v>34</v>
      </c>
      <c r="D171" s="4" t="s">
        <v>52</v>
      </c>
      <c r="E171" s="4" t="s">
        <v>53</v>
      </c>
      <c r="F171" s="4" t="s">
        <v>25</v>
      </c>
      <c r="G171" s="4" t="s">
        <v>25</v>
      </c>
      <c r="H171" s="4" t="s">
        <v>25</v>
      </c>
      <c r="I171" s="5">
        <v>43770</v>
      </c>
      <c r="J171" s="6">
        <v>1168</v>
      </c>
      <c r="K171" s="70">
        <v>1168</v>
      </c>
      <c r="L171" s="6">
        <v>0</v>
      </c>
      <c r="M171" s="71">
        <v>0</v>
      </c>
      <c r="N171" s="6">
        <v>0</v>
      </c>
      <c r="O171" s="71">
        <v>0</v>
      </c>
      <c r="P171" s="6">
        <v>1</v>
      </c>
      <c r="Q171" s="4" t="s">
        <v>26</v>
      </c>
      <c r="R171" s="4">
        <v>0</v>
      </c>
      <c r="S171" s="4">
        <v>16</v>
      </c>
      <c r="T171" s="4">
        <v>0</v>
      </c>
      <c r="U171" s="4">
        <v>0</v>
      </c>
      <c r="V171" s="71">
        <f>IF(ISERROR(VLOOKUP($S$171,'TAR FIN'!$A$1:$O$120,15,0)),0,VLOOKUP($S$171,'TAR FIN'!$A$1:$O$120,15,0))*(1-0.12)</f>
        <v>7.7528000000000006</v>
      </c>
      <c r="W171" s="71">
        <f>IF(ISERROR(VLOOKUP($T$171,'TAR FIN'!$A$1:$O$120,15,0)),0,VLOOKUP($T$171,'TAR FIN'!$A$1:$O$120,15,0))</f>
        <v>0</v>
      </c>
      <c r="X171" s="71">
        <f>IF(ISERROR(VLOOKUP($U$171,'TAR FIN'!$A$1:$O$120,15,0)),0,VLOOKUP($U$171,'TAR FIN'!$A$1:$O$120,15,0))</f>
        <v>0</v>
      </c>
      <c r="Y171" s="71">
        <f ca="1">('TUSD BE'!$AM$20+'TUSD BF'!$AM$20+'TUSD CVA'!$AM$20)*1*(1-0.09)</f>
        <v>10.421644550274408</v>
      </c>
      <c r="Z171" s="71"/>
      <c r="AA171" s="71"/>
      <c r="AB171" s="71">
        <f>(SUBSIDIO!$J$171*SUBSIDIO!$V$171)*(0.12)/(1-0.12)</f>
        <v>1234.8096</v>
      </c>
      <c r="AC171" s="71">
        <f>((SUBSIDIO!$L$171*SUBSIDIO!$W$171)+(SUBSIDIO!$N$171*SUBSIDIO!$X$171))*(0.12)/(1-0.12)</f>
        <v>0</v>
      </c>
      <c r="AD171" s="71">
        <f ca="1">(SUBSIDIO!$J$171*SUBSIDIO!$Y$171)*(0.09)/(1-0.09)</f>
        <v>1203.8717309064239</v>
      </c>
      <c r="AE171" s="71">
        <f>((SUBSIDIO!$L$171*SUBSIDIO!$Z$171)+(SUBSIDIO!$N$171*SUBSIDIO!$AA$171))*(0.09)/(1-0.09)</f>
        <v>0</v>
      </c>
      <c r="AF171" s="4" t="s">
        <v>1148</v>
      </c>
    </row>
    <row r="172" spans="1:32" ht="11.25" customHeight="1" x14ac:dyDescent="0.25">
      <c r="A172" s="4" t="s">
        <v>21</v>
      </c>
      <c r="B172" s="4" t="s">
        <v>45</v>
      </c>
      <c r="C172" s="4" t="s">
        <v>34</v>
      </c>
      <c r="D172" s="4" t="s">
        <v>52</v>
      </c>
      <c r="E172" s="4" t="s">
        <v>53</v>
      </c>
      <c r="F172" s="4" t="s">
        <v>25</v>
      </c>
      <c r="G172" s="4" t="s">
        <v>25</v>
      </c>
      <c r="H172" s="4" t="s">
        <v>25</v>
      </c>
      <c r="I172" s="5">
        <v>43800</v>
      </c>
      <c r="J172" s="6">
        <v>1084</v>
      </c>
      <c r="K172" s="70">
        <v>1084</v>
      </c>
      <c r="L172" s="6">
        <v>0</v>
      </c>
      <c r="M172" s="71">
        <v>0</v>
      </c>
      <c r="N172" s="6">
        <v>0</v>
      </c>
      <c r="O172" s="71">
        <v>0</v>
      </c>
      <c r="P172" s="6">
        <v>1</v>
      </c>
      <c r="Q172" s="4" t="s">
        <v>26</v>
      </c>
      <c r="R172" s="4">
        <v>0</v>
      </c>
      <c r="S172" s="4">
        <v>16</v>
      </c>
      <c r="T172" s="4">
        <v>0</v>
      </c>
      <c r="U172" s="4">
        <v>0</v>
      </c>
      <c r="V172" s="71">
        <f>IF(ISERROR(VLOOKUP($S$172,'TAR FIN'!$A$1:$O$120,15,0)),0,VLOOKUP($S$172,'TAR FIN'!$A$1:$O$120,15,0))*(1-0.12)</f>
        <v>7.7528000000000006</v>
      </c>
      <c r="W172" s="71">
        <f>IF(ISERROR(VLOOKUP($T$172,'TAR FIN'!$A$1:$O$120,15,0)),0,VLOOKUP($T$172,'TAR FIN'!$A$1:$O$120,15,0))</f>
        <v>0</v>
      </c>
      <c r="X172" s="71">
        <f>IF(ISERROR(VLOOKUP($U$172,'TAR FIN'!$A$1:$O$120,15,0)),0,VLOOKUP($U$172,'TAR FIN'!$A$1:$O$120,15,0))</f>
        <v>0</v>
      </c>
      <c r="Y172" s="71">
        <f ca="1">('TUSD BE'!$AM$20+'TUSD BF'!$AM$20+'TUSD CVA'!$AM$20)*1*(1-0.09)</f>
        <v>10.421644550274408</v>
      </c>
      <c r="Z172" s="71"/>
      <c r="AA172" s="71"/>
      <c r="AB172" s="71">
        <f>(SUBSIDIO!$J$172*SUBSIDIO!$V$172)*(0.12)/(1-0.12)</f>
        <v>1146.0047999999999</v>
      </c>
      <c r="AC172" s="71">
        <f>((SUBSIDIO!$L$172*SUBSIDIO!$W$172)+(SUBSIDIO!$N$172*SUBSIDIO!$X$172))*(0.12)/(1-0.12)</f>
        <v>0</v>
      </c>
      <c r="AD172" s="71">
        <f ca="1">(SUBSIDIO!$J$172*SUBSIDIO!$Y$172)*(0.09)/(1-0.09)</f>
        <v>1117.2919146426057</v>
      </c>
      <c r="AE172" s="71">
        <f>((SUBSIDIO!$L$172*SUBSIDIO!$Z$172)+(SUBSIDIO!$N$172*SUBSIDIO!$AA$172))*(0.09)/(1-0.09)</f>
        <v>0</v>
      </c>
      <c r="AF172" s="4" t="s">
        <v>1148</v>
      </c>
    </row>
    <row r="173" spans="1:32" ht="11.25" customHeight="1" x14ac:dyDescent="0.25">
      <c r="A173" s="4" t="s">
        <v>21</v>
      </c>
      <c r="B173" s="4" t="s">
        <v>45</v>
      </c>
      <c r="C173" s="4" t="s">
        <v>34</v>
      </c>
      <c r="D173" s="4" t="s">
        <v>52</v>
      </c>
      <c r="E173" s="4" t="s">
        <v>53</v>
      </c>
      <c r="F173" s="4" t="s">
        <v>25</v>
      </c>
      <c r="G173" s="4" t="s">
        <v>25</v>
      </c>
      <c r="H173" s="4" t="s">
        <v>25</v>
      </c>
      <c r="I173" s="5">
        <v>43831</v>
      </c>
      <c r="J173" s="6">
        <v>1076</v>
      </c>
      <c r="K173" s="70">
        <v>1076</v>
      </c>
      <c r="L173" s="6">
        <v>0</v>
      </c>
      <c r="M173" s="71">
        <v>0</v>
      </c>
      <c r="N173" s="6">
        <v>0</v>
      </c>
      <c r="O173" s="71">
        <v>0</v>
      </c>
      <c r="P173" s="6">
        <v>1</v>
      </c>
      <c r="Q173" s="4" t="s">
        <v>26</v>
      </c>
      <c r="R173" s="4">
        <v>0</v>
      </c>
      <c r="S173" s="4">
        <v>16</v>
      </c>
      <c r="T173" s="4">
        <v>0</v>
      </c>
      <c r="U173" s="4">
        <v>0</v>
      </c>
      <c r="V173" s="71">
        <f>IF(ISERROR(VLOOKUP($S$173,'TAR FIN'!$A$1:$O$120,15,0)),0,VLOOKUP($S$173,'TAR FIN'!$A$1:$O$120,15,0))*(1-0.12)</f>
        <v>7.7528000000000006</v>
      </c>
      <c r="W173" s="71">
        <f>IF(ISERROR(VLOOKUP($T$173,'TAR FIN'!$A$1:$O$120,15,0)),0,VLOOKUP($T$173,'TAR FIN'!$A$1:$O$120,15,0))</f>
        <v>0</v>
      </c>
      <c r="X173" s="71">
        <f>IF(ISERROR(VLOOKUP($U$173,'TAR FIN'!$A$1:$O$120,15,0)),0,VLOOKUP($U$173,'TAR FIN'!$A$1:$O$120,15,0))</f>
        <v>0</v>
      </c>
      <c r="Y173" s="71">
        <f ca="1">('TUSD BE'!$AM$20+'TUSD BF'!$AM$20+'TUSD CVA'!$AM$20)*1*(1-0.09)</f>
        <v>10.421644550274408</v>
      </c>
      <c r="Z173" s="71"/>
      <c r="AA173" s="71"/>
      <c r="AB173" s="71">
        <f>(SUBSIDIO!$J$173*SUBSIDIO!$V$173)*(0.12)/(1-0.12)</f>
        <v>1137.5472</v>
      </c>
      <c r="AC173" s="71">
        <f>((SUBSIDIO!$L$173*SUBSIDIO!$W$173)+(SUBSIDIO!$N$173*SUBSIDIO!$X$173))*(0.12)/(1-0.12)</f>
        <v>0</v>
      </c>
      <c r="AD173" s="71">
        <f ca="1">(SUBSIDIO!$J$173*SUBSIDIO!$Y$173)*(0.09)/(1-0.09)</f>
        <v>1109.0462178555754</v>
      </c>
      <c r="AE173" s="71">
        <f>((SUBSIDIO!$L$173*SUBSIDIO!$Z$173)+(SUBSIDIO!$N$173*SUBSIDIO!$AA$173))*(0.09)/(1-0.09)</f>
        <v>0</v>
      </c>
      <c r="AF173" s="4" t="s">
        <v>1148</v>
      </c>
    </row>
    <row r="174" spans="1:32" ht="11.25" customHeight="1" x14ac:dyDescent="0.25">
      <c r="A174" s="4" t="s">
        <v>21</v>
      </c>
      <c r="B174" s="4" t="s">
        <v>45</v>
      </c>
      <c r="C174" s="4" t="s">
        <v>34</v>
      </c>
      <c r="D174" s="4" t="s">
        <v>52</v>
      </c>
      <c r="E174" s="4" t="s">
        <v>53</v>
      </c>
      <c r="F174" s="4" t="s">
        <v>25</v>
      </c>
      <c r="G174" s="4" t="s">
        <v>25</v>
      </c>
      <c r="H174" s="4" t="s">
        <v>25</v>
      </c>
      <c r="I174" s="5">
        <v>43862</v>
      </c>
      <c r="J174" s="6">
        <v>1064</v>
      </c>
      <c r="K174" s="70">
        <v>1064</v>
      </c>
      <c r="L174" s="6">
        <v>0</v>
      </c>
      <c r="M174" s="71">
        <v>0</v>
      </c>
      <c r="N174" s="6">
        <v>0</v>
      </c>
      <c r="O174" s="71">
        <v>0</v>
      </c>
      <c r="P174" s="6">
        <v>1</v>
      </c>
      <c r="Q174" s="4" t="s">
        <v>26</v>
      </c>
      <c r="R174" s="4">
        <v>0</v>
      </c>
      <c r="S174" s="4">
        <v>16</v>
      </c>
      <c r="T174" s="4">
        <v>0</v>
      </c>
      <c r="U174" s="4">
        <v>0</v>
      </c>
      <c r="V174" s="71">
        <f>IF(ISERROR(VLOOKUP($S$174,'TAR FIN'!$A$1:$O$120,15,0)),0,VLOOKUP($S$174,'TAR FIN'!$A$1:$O$120,15,0))*(1-0.12)</f>
        <v>7.7528000000000006</v>
      </c>
      <c r="W174" s="71">
        <f>IF(ISERROR(VLOOKUP($T$174,'TAR FIN'!$A$1:$O$120,15,0)),0,VLOOKUP($T$174,'TAR FIN'!$A$1:$O$120,15,0))</f>
        <v>0</v>
      </c>
      <c r="X174" s="71">
        <f>IF(ISERROR(VLOOKUP($U$174,'TAR FIN'!$A$1:$O$120,15,0)),0,VLOOKUP($U$174,'TAR FIN'!$A$1:$O$120,15,0))</f>
        <v>0</v>
      </c>
      <c r="Y174" s="71">
        <f ca="1">('TUSD BE'!$AM$20+'TUSD BF'!$AM$20+'TUSD CVA'!$AM$20)*1*(1-0.09)</f>
        <v>10.421644550274408</v>
      </c>
      <c r="Z174" s="71"/>
      <c r="AA174" s="71"/>
      <c r="AB174" s="71">
        <f>(SUBSIDIO!$J$174*SUBSIDIO!$V$174)*(0.12)/(1-0.12)</f>
        <v>1124.8607999999999</v>
      </c>
      <c r="AC174" s="71">
        <f>((SUBSIDIO!$L$174*SUBSIDIO!$W$174)+(SUBSIDIO!$N$174*SUBSIDIO!$X$174))*(0.12)/(1-0.12)</f>
        <v>0</v>
      </c>
      <c r="AD174" s="71">
        <f ca="1">(SUBSIDIO!$J$174*SUBSIDIO!$Y$174)*(0.09)/(1-0.09)</f>
        <v>1096.67767267503</v>
      </c>
      <c r="AE174" s="71">
        <f>((SUBSIDIO!$L$174*SUBSIDIO!$Z$174)+(SUBSIDIO!$N$174*SUBSIDIO!$AA$174))*(0.09)/(1-0.09)</f>
        <v>0</v>
      </c>
      <c r="AF174" s="4" t="s">
        <v>1148</v>
      </c>
    </row>
    <row r="175" spans="1:32" ht="11.25" customHeight="1" x14ac:dyDescent="0.25">
      <c r="A175" s="4" t="s">
        <v>21</v>
      </c>
      <c r="B175" s="4" t="s">
        <v>45</v>
      </c>
      <c r="C175" s="4" t="s">
        <v>34</v>
      </c>
      <c r="D175" s="4" t="s">
        <v>52</v>
      </c>
      <c r="E175" s="4" t="s">
        <v>53</v>
      </c>
      <c r="F175" s="4" t="s">
        <v>25</v>
      </c>
      <c r="G175" s="4" t="s">
        <v>25</v>
      </c>
      <c r="H175" s="4" t="s">
        <v>25</v>
      </c>
      <c r="I175" s="5">
        <v>43891</v>
      </c>
      <c r="J175" s="6">
        <v>903</v>
      </c>
      <c r="K175" s="70">
        <v>903</v>
      </c>
      <c r="L175" s="6">
        <v>0</v>
      </c>
      <c r="M175" s="71">
        <v>0</v>
      </c>
      <c r="N175" s="6">
        <v>0</v>
      </c>
      <c r="O175" s="71">
        <v>0</v>
      </c>
      <c r="P175" s="6">
        <v>1</v>
      </c>
      <c r="Q175" s="4" t="s">
        <v>26</v>
      </c>
      <c r="R175" s="4">
        <v>0</v>
      </c>
      <c r="S175" s="4">
        <v>16</v>
      </c>
      <c r="T175" s="4">
        <v>0</v>
      </c>
      <c r="U175" s="4">
        <v>0</v>
      </c>
      <c r="V175" s="71">
        <f>IF(ISERROR(VLOOKUP($S$175,'TAR FIN'!$A$1:$O$120,15,0)),0,VLOOKUP($S$175,'TAR FIN'!$A$1:$O$120,15,0))*(1-0.12)</f>
        <v>7.7528000000000006</v>
      </c>
      <c r="W175" s="71">
        <f>IF(ISERROR(VLOOKUP($T$175,'TAR FIN'!$A$1:$O$120,15,0)),0,VLOOKUP($T$175,'TAR FIN'!$A$1:$O$120,15,0))</f>
        <v>0</v>
      </c>
      <c r="X175" s="71">
        <f>IF(ISERROR(VLOOKUP($U$175,'TAR FIN'!$A$1:$O$120,15,0)),0,VLOOKUP($U$175,'TAR FIN'!$A$1:$O$120,15,0))</f>
        <v>0</v>
      </c>
      <c r="Y175" s="71">
        <f ca="1">('TUSD BE'!$AM$20+'TUSD BF'!$AM$20+'TUSD CVA'!$AM$20)*1*(1-0.09)</f>
        <v>10.421644550274408</v>
      </c>
      <c r="Z175" s="71"/>
      <c r="AA175" s="71"/>
      <c r="AB175" s="71">
        <f>(SUBSIDIO!$J$175*SUBSIDIO!$V$175)*(0.12)/(1-0.12)</f>
        <v>954.65159999999992</v>
      </c>
      <c r="AC175" s="71">
        <f>((SUBSIDIO!$L$175*SUBSIDIO!$W$175)+(SUBSIDIO!$N$175*SUBSIDIO!$X$175))*(0.12)/(1-0.12)</f>
        <v>0</v>
      </c>
      <c r="AD175" s="71">
        <f ca="1">(SUBSIDIO!$J$175*SUBSIDIO!$Y$175)*(0.09)/(1-0.09)</f>
        <v>930.73302483604516</v>
      </c>
      <c r="AE175" s="71">
        <f>((SUBSIDIO!$L$175*SUBSIDIO!$Z$175)+(SUBSIDIO!$N$175*SUBSIDIO!$AA$175))*(0.09)/(1-0.09)</f>
        <v>0</v>
      </c>
      <c r="AF175" s="4" t="s">
        <v>1148</v>
      </c>
    </row>
    <row r="176" spans="1:32" ht="11.25" customHeight="1" x14ac:dyDescent="0.25">
      <c r="A176" s="4" t="s">
        <v>21</v>
      </c>
      <c r="B176" s="4" t="s">
        <v>45</v>
      </c>
      <c r="C176" s="4" t="s">
        <v>34</v>
      </c>
      <c r="D176" s="4" t="s">
        <v>52</v>
      </c>
      <c r="E176" s="4" t="s">
        <v>53</v>
      </c>
      <c r="F176" s="4" t="s">
        <v>25</v>
      </c>
      <c r="G176" s="4" t="s">
        <v>25</v>
      </c>
      <c r="H176" s="4" t="s">
        <v>25</v>
      </c>
      <c r="I176" s="5">
        <v>43922</v>
      </c>
      <c r="J176" s="6">
        <v>1004</v>
      </c>
      <c r="K176" s="70">
        <v>1004</v>
      </c>
      <c r="L176" s="6">
        <v>0</v>
      </c>
      <c r="M176" s="71">
        <v>0</v>
      </c>
      <c r="N176" s="6">
        <v>0</v>
      </c>
      <c r="O176" s="71">
        <v>0</v>
      </c>
      <c r="P176" s="6">
        <v>1</v>
      </c>
      <c r="Q176" s="4" t="s">
        <v>26</v>
      </c>
      <c r="R176" s="4">
        <v>0</v>
      </c>
      <c r="S176" s="4">
        <v>16</v>
      </c>
      <c r="T176" s="4">
        <v>0</v>
      </c>
      <c r="U176" s="4">
        <v>0</v>
      </c>
      <c r="V176" s="71">
        <f>IF(ISERROR(VLOOKUP($S$176,'TAR FIN'!$A$1:$O$120,15,0)),0,VLOOKUP($S$176,'TAR FIN'!$A$1:$O$120,15,0))*(1-0.12)</f>
        <v>7.7528000000000006</v>
      </c>
      <c r="W176" s="71">
        <f>IF(ISERROR(VLOOKUP($T$176,'TAR FIN'!$A$1:$O$120,15,0)),0,VLOOKUP($T$176,'TAR FIN'!$A$1:$O$120,15,0))</f>
        <v>0</v>
      </c>
      <c r="X176" s="71">
        <f>IF(ISERROR(VLOOKUP($U$176,'TAR FIN'!$A$1:$O$120,15,0)),0,VLOOKUP($U$176,'TAR FIN'!$A$1:$O$120,15,0))</f>
        <v>0</v>
      </c>
      <c r="Y176" s="71">
        <f ca="1">('TUSD BE'!$AM$20+'TUSD BF'!$AM$20+'TUSD CVA'!$AM$20)*1*(1-0.09)</f>
        <v>10.421644550274408</v>
      </c>
      <c r="Z176" s="71"/>
      <c r="AA176" s="71"/>
      <c r="AB176" s="71">
        <f>(SUBSIDIO!$J$176*SUBSIDIO!$V$176)*(0.12)/(1-0.12)</f>
        <v>1061.4288000000001</v>
      </c>
      <c r="AC176" s="71">
        <f>((SUBSIDIO!$L$176*SUBSIDIO!$W$176)+(SUBSIDIO!$N$176*SUBSIDIO!$X$176))*(0.12)/(1-0.12)</f>
        <v>0</v>
      </c>
      <c r="AD176" s="71">
        <f ca="1">(SUBSIDIO!$J$176*SUBSIDIO!$Y$176)*(0.09)/(1-0.09)</f>
        <v>1034.8349467723026</v>
      </c>
      <c r="AE176" s="71">
        <f>((SUBSIDIO!$L$176*SUBSIDIO!$Z$176)+(SUBSIDIO!$N$176*SUBSIDIO!$AA$176))*(0.09)/(1-0.09)</f>
        <v>0</v>
      </c>
      <c r="AF176" s="4" t="s">
        <v>1148</v>
      </c>
    </row>
    <row r="177" spans="1:32" ht="11.25" customHeight="1" x14ac:dyDescent="0.25">
      <c r="A177" s="4" t="s">
        <v>21</v>
      </c>
      <c r="B177" s="4" t="s">
        <v>45</v>
      </c>
      <c r="C177" s="4" t="s">
        <v>34</v>
      </c>
      <c r="D177" s="4" t="s">
        <v>52</v>
      </c>
      <c r="E177" s="4" t="s">
        <v>53</v>
      </c>
      <c r="F177" s="4" t="s">
        <v>25</v>
      </c>
      <c r="G177" s="4" t="s">
        <v>25</v>
      </c>
      <c r="H177" s="4" t="s">
        <v>25</v>
      </c>
      <c r="I177" s="5">
        <v>43952</v>
      </c>
      <c r="J177" s="6">
        <v>785</v>
      </c>
      <c r="K177" s="70">
        <v>785</v>
      </c>
      <c r="L177" s="6">
        <v>0</v>
      </c>
      <c r="M177" s="71">
        <v>0</v>
      </c>
      <c r="N177" s="6">
        <v>0</v>
      </c>
      <c r="O177" s="71">
        <v>0</v>
      </c>
      <c r="P177" s="6">
        <v>1</v>
      </c>
      <c r="Q177" s="4" t="s">
        <v>26</v>
      </c>
      <c r="R177" s="4">
        <v>0</v>
      </c>
      <c r="S177" s="4">
        <v>16</v>
      </c>
      <c r="T177" s="4">
        <v>0</v>
      </c>
      <c r="U177" s="4">
        <v>0</v>
      </c>
      <c r="V177" s="71">
        <f>IF(ISERROR(VLOOKUP($S$177,'TAR FIN'!$A$1:$O$120,15,0)),0,VLOOKUP($S$177,'TAR FIN'!$A$1:$O$120,15,0))*(1-0.12)</f>
        <v>7.7528000000000006</v>
      </c>
      <c r="W177" s="71">
        <f>IF(ISERROR(VLOOKUP($T$177,'TAR FIN'!$A$1:$O$120,15,0)),0,VLOOKUP($T$177,'TAR FIN'!$A$1:$O$120,15,0))</f>
        <v>0</v>
      </c>
      <c r="X177" s="71">
        <f>IF(ISERROR(VLOOKUP($U$177,'TAR FIN'!$A$1:$O$120,15,0)),0,VLOOKUP($U$177,'TAR FIN'!$A$1:$O$120,15,0))</f>
        <v>0</v>
      </c>
      <c r="Y177" s="71">
        <f ca="1">('TUSD BE'!$AM$20+'TUSD BF'!$AM$20+'TUSD CVA'!$AM$20)*1*(1-0.09)</f>
        <v>10.421644550274408</v>
      </c>
      <c r="Z177" s="71"/>
      <c r="AA177" s="71"/>
      <c r="AB177" s="71">
        <f>(SUBSIDIO!$J$177*SUBSIDIO!$V$177)*(0.12)/(1-0.12)</f>
        <v>829.90200000000004</v>
      </c>
      <c r="AC177" s="71">
        <f>((SUBSIDIO!$L$177*SUBSIDIO!$W$177)+(SUBSIDIO!$N$177*SUBSIDIO!$X$177))*(0.12)/(1-0.12)</f>
        <v>0</v>
      </c>
      <c r="AD177" s="71">
        <f ca="1">(SUBSIDIO!$J$177*SUBSIDIO!$Y$177)*(0.09)/(1-0.09)</f>
        <v>809.10899722734825</v>
      </c>
      <c r="AE177" s="71">
        <f>((SUBSIDIO!$L$177*SUBSIDIO!$Z$177)+(SUBSIDIO!$N$177*SUBSIDIO!$AA$177))*(0.09)/(1-0.09)</f>
        <v>0</v>
      </c>
      <c r="AF177" s="4" t="s">
        <v>1148</v>
      </c>
    </row>
    <row r="178" spans="1:32" ht="11.25" customHeight="1" x14ac:dyDescent="0.25">
      <c r="A178" s="4" t="s">
        <v>21</v>
      </c>
      <c r="B178" s="4" t="s">
        <v>45</v>
      </c>
      <c r="C178" s="4" t="s">
        <v>34</v>
      </c>
      <c r="D178" s="4" t="s">
        <v>52</v>
      </c>
      <c r="E178" s="4" t="s">
        <v>53</v>
      </c>
      <c r="F178" s="4" t="s">
        <v>25</v>
      </c>
      <c r="G178" s="4" t="s">
        <v>25</v>
      </c>
      <c r="H178" s="4" t="s">
        <v>25</v>
      </c>
      <c r="I178" s="5">
        <v>43983</v>
      </c>
      <c r="J178" s="6">
        <v>1150</v>
      </c>
      <c r="K178" s="70">
        <v>1150</v>
      </c>
      <c r="L178" s="6">
        <v>0</v>
      </c>
      <c r="M178" s="71">
        <v>0</v>
      </c>
      <c r="N178" s="6">
        <v>0</v>
      </c>
      <c r="O178" s="71">
        <v>0</v>
      </c>
      <c r="P178" s="6">
        <v>1</v>
      </c>
      <c r="Q178" s="4" t="s">
        <v>26</v>
      </c>
      <c r="R178" s="4">
        <v>0</v>
      </c>
      <c r="S178" s="4">
        <v>16</v>
      </c>
      <c r="T178" s="4">
        <v>0</v>
      </c>
      <c r="U178" s="4">
        <v>0</v>
      </c>
      <c r="V178" s="71">
        <f>IF(ISERROR(VLOOKUP($S$178,'TAR FIN'!$A$1:$O$120,15,0)),0,VLOOKUP($S$178,'TAR FIN'!$A$1:$O$120,15,0))*(1-0.12)</f>
        <v>7.7528000000000006</v>
      </c>
      <c r="W178" s="71">
        <f>IF(ISERROR(VLOOKUP($T$178,'TAR FIN'!$A$1:$O$120,15,0)),0,VLOOKUP($T$178,'TAR FIN'!$A$1:$O$120,15,0))</f>
        <v>0</v>
      </c>
      <c r="X178" s="71">
        <f>IF(ISERROR(VLOOKUP($U$178,'TAR FIN'!$A$1:$O$120,15,0)),0,VLOOKUP($U$178,'TAR FIN'!$A$1:$O$120,15,0))</f>
        <v>0</v>
      </c>
      <c r="Y178" s="71">
        <f ca="1">('TUSD BE'!$AM$20+'TUSD BF'!$AM$20+'TUSD CVA'!$AM$20)*1*(1-0.09)</f>
        <v>10.421644550274408</v>
      </c>
      <c r="Z178" s="71"/>
      <c r="AA178" s="71"/>
      <c r="AB178" s="71">
        <f>(SUBSIDIO!$J$178*SUBSIDIO!$V$178)*(0.12)/(1-0.12)</f>
        <v>1215.7800000000002</v>
      </c>
      <c r="AC178" s="71">
        <f>((SUBSIDIO!$L$178*SUBSIDIO!$W$178)+(SUBSIDIO!$N$178*SUBSIDIO!$X$178))*(0.12)/(1-0.12)</f>
        <v>0</v>
      </c>
      <c r="AD178" s="71">
        <f ca="1">(SUBSIDIO!$J$178*SUBSIDIO!$Y$178)*(0.09)/(1-0.09)</f>
        <v>1185.3189131356057</v>
      </c>
      <c r="AE178" s="71">
        <f>((SUBSIDIO!$L$178*SUBSIDIO!$Z$178)+(SUBSIDIO!$N$178*SUBSIDIO!$AA$178))*(0.09)/(1-0.09)</f>
        <v>0</v>
      </c>
      <c r="AF178" s="4" t="s">
        <v>1148</v>
      </c>
    </row>
    <row r="179" spans="1:32" ht="11.25" customHeight="1" x14ac:dyDescent="0.25">
      <c r="A179" s="4" t="s">
        <v>21</v>
      </c>
      <c r="B179" s="4" t="s">
        <v>45</v>
      </c>
      <c r="C179" s="4" t="s">
        <v>34</v>
      </c>
      <c r="D179" s="4" t="s">
        <v>52</v>
      </c>
      <c r="E179" s="4" t="s">
        <v>53</v>
      </c>
      <c r="F179" s="4" t="s">
        <v>25</v>
      </c>
      <c r="G179" s="4" t="s">
        <v>25</v>
      </c>
      <c r="H179" s="4" t="s">
        <v>25</v>
      </c>
      <c r="I179" s="5">
        <v>44013</v>
      </c>
      <c r="J179" s="6">
        <v>1150</v>
      </c>
      <c r="K179" s="70">
        <v>1150</v>
      </c>
      <c r="L179" s="6">
        <v>0</v>
      </c>
      <c r="M179" s="71">
        <v>0</v>
      </c>
      <c r="N179" s="6">
        <v>0</v>
      </c>
      <c r="O179" s="71">
        <v>0</v>
      </c>
      <c r="P179" s="6">
        <v>1</v>
      </c>
      <c r="Q179" s="4" t="s">
        <v>26</v>
      </c>
      <c r="R179" s="4">
        <v>0</v>
      </c>
      <c r="S179" s="4">
        <v>16</v>
      </c>
      <c r="T179" s="4">
        <v>0</v>
      </c>
      <c r="U179" s="4">
        <v>0</v>
      </c>
      <c r="V179" s="71">
        <f>IF(ISERROR(VLOOKUP($S$179,'TAR FIN'!$A$1:$O$120,15,0)),0,VLOOKUP($S$179,'TAR FIN'!$A$1:$O$120,15,0))*(1-0.12)</f>
        <v>7.7528000000000006</v>
      </c>
      <c r="W179" s="71">
        <f>IF(ISERROR(VLOOKUP($T$179,'TAR FIN'!$A$1:$O$120,15,0)),0,VLOOKUP($T$179,'TAR FIN'!$A$1:$O$120,15,0))</f>
        <v>0</v>
      </c>
      <c r="X179" s="71">
        <f>IF(ISERROR(VLOOKUP($U$179,'TAR FIN'!$A$1:$O$120,15,0)),0,VLOOKUP($U$179,'TAR FIN'!$A$1:$O$120,15,0))</f>
        <v>0</v>
      </c>
      <c r="Y179" s="71">
        <f ca="1">('TUSD BE'!$AM$20+'TUSD BF'!$AM$20+'TUSD CVA'!$AM$20)*1*(1-0.09)</f>
        <v>10.421644550274408</v>
      </c>
      <c r="Z179" s="71"/>
      <c r="AA179" s="71"/>
      <c r="AB179" s="71">
        <f>(SUBSIDIO!$J$179*SUBSIDIO!$V$179)*(0.12)/(1-0.12)</f>
        <v>1215.7800000000002</v>
      </c>
      <c r="AC179" s="71">
        <f>((SUBSIDIO!$L$179*SUBSIDIO!$W$179)+(SUBSIDIO!$N$179*SUBSIDIO!$X$179))*(0.12)/(1-0.12)</f>
        <v>0</v>
      </c>
      <c r="AD179" s="71">
        <f ca="1">(SUBSIDIO!$J$179*SUBSIDIO!$Y$179)*(0.09)/(1-0.09)</f>
        <v>1185.3189131356057</v>
      </c>
      <c r="AE179" s="71">
        <f>((SUBSIDIO!$L$179*SUBSIDIO!$Z$179)+(SUBSIDIO!$N$179*SUBSIDIO!$AA$179))*(0.09)/(1-0.09)</f>
        <v>0</v>
      </c>
      <c r="AF179" s="4" t="s">
        <v>1148</v>
      </c>
    </row>
    <row r="180" spans="1:32" ht="11.25" customHeight="1" x14ac:dyDescent="0.25">
      <c r="A180" s="4" t="s">
        <v>21</v>
      </c>
      <c r="B180" s="4" t="s">
        <v>45</v>
      </c>
      <c r="C180" s="4" t="s">
        <v>34</v>
      </c>
      <c r="D180" s="4" t="s">
        <v>52</v>
      </c>
      <c r="E180" s="4" t="s">
        <v>53</v>
      </c>
      <c r="F180" s="4" t="s">
        <v>25</v>
      </c>
      <c r="G180" s="4" t="s">
        <v>25</v>
      </c>
      <c r="H180" s="4" t="s">
        <v>25</v>
      </c>
      <c r="I180" s="5">
        <v>44044</v>
      </c>
      <c r="J180" s="6">
        <v>1150</v>
      </c>
      <c r="K180" s="70">
        <v>1150</v>
      </c>
      <c r="L180" s="6">
        <v>0</v>
      </c>
      <c r="M180" s="71">
        <v>0</v>
      </c>
      <c r="N180" s="6">
        <v>0</v>
      </c>
      <c r="O180" s="71">
        <v>0</v>
      </c>
      <c r="P180" s="6">
        <v>1</v>
      </c>
      <c r="Q180" s="4" t="s">
        <v>26</v>
      </c>
      <c r="R180" s="4">
        <v>0</v>
      </c>
      <c r="S180" s="4">
        <v>16</v>
      </c>
      <c r="T180" s="4">
        <v>0</v>
      </c>
      <c r="U180" s="4">
        <v>0</v>
      </c>
      <c r="V180" s="71">
        <f>IF(ISERROR(VLOOKUP($S$180,'TAR FIN'!$A$1:$O$120,15,0)),0,VLOOKUP($S$180,'TAR FIN'!$A$1:$O$120,15,0))*(1-0.12)</f>
        <v>7.7528000000000006</v>
      </c>
      <c r="W180" s="71">
        <f>IF(ISERROR(VLOOKUP($T$180,'TAR FIN'!$A$1:$O$120,15,0)),0,VLOOKUP($T$180,'TAR FIN'!$A$1:$O$120,15,0))</f>
        <v>0</v>
      </c>
      <c r="X180" s="71">
        <f>IF(ISERROR(VLOOKUP($U$180,'TAR FIN'!$A$1:$O$120,15,0)),0,VLOOKUP($U$180,'TAR FIN'!$A$1:$O$120,15,0))</f>
        <v>0</v>
      </c>
      <c r="Y180" s="71">
        <f ca="1">('TUSD BE'!$AM$20+'TUSD BF'!$AM$20+'TUSD CVA'!$AM$20)*1*(1-0.09)</f>
        <v>10.421644550274408</v>
      </c>
      <c r="Z180" s="71"/>
      <c r="AA180" s="71"/>
      <c r="AB180" s="71">
        <f>(SUBSIDIO!$J$180*SUBSIDIO!$V$180)*(0.12)/(1-0.12)</f>
        <v>1215.7800000000002</v>
      </c>
      <c r="AC180" s="71">
        <f>((SUBSIDIO!$L$180*SUBSIDIO!$W$180)+(SUBSIDIO!$N$180*SUBSIDIO!$X$180))*(0.12)/(1-0.12)</f>
        <v>0</v>
      </c>
      <c r="AD180" s="71">
        <f ca="1">(SUBSIDIO!$J$180*SUBSIDIO!$Y$180)*(0.09)/(1-0.09)</f>
        <v>1185.3189131356057</v>
      </c>
      <c r="AE180" s="71">
        <f>((SUBSIDIO!$L$180*SUBSIDIO!$Z$180)+(SUBSIDIO!$N$180*SUBSIDIO!$AA$180))*(0.09)/(1-0.09)</f>
        <v>0</v>
      </c>
      <c r="AF180" s="4" t="s">
        <v>1148</v>
      </c>
    </row>
    <row r="181" spans="1:32" ht="11.25" customHeight="1" x14ac:dyDescent="0.25">
      <c r="A181" s="4" t="s">
        <v>59</v>
      </c>
      <c r="B181" s="4" t="s">
        <v>45</v>
      </c>
      <c r="C181" s="4" t="s">
        <v>34</v>
      </c>
      <c r="D181" s="4" t="s">
        <v>52</v>
      </c>
      <c r="E181" s="4" t="s">
        <v>53</v>
      </c>
      <c r="F181" s="4" t="s">
        <v>25</v>
      </c>
      <c r="G181" s="4" t="s">
        <v>25</v>
      </c>
      <c r="H181" s="4" t="s">
        <v>25</v>
      </c>
      <c r="I181" s="5">
        <v>44075</v>
      </c>
      <c r="J181" s="6">
        <v>1150</v>
      </c>
      <c r="K181" s="70">
        <v>1150</v>
      </c>
      <c r="L181" s="6">
        <v>0</v>
      </c>
      <c r="M181" s="71">
        <v>0</v>
      </c>
      <c r="N181" s="6">
        <v>0</v>
      </c>
      <c r="O181" s="71">
        <v>0</v>
      </c>
      <c r="P181" s="6">
        <v>1</v>
      </c>
      <c r="Q181" s="4" t="s">
        <v>26</v>
      </c>
      <c r="R181" s="4">
        <v>0</v>
      </c>
      <c r="S181" s="4">
        <v>16</v>
      </c>
      <c r="T181" s="4">
        <v>0</v>
      </c>
      <c r="U181" s="4">
        <v>0</v>
      </c>
      <c r="V181" s="71">
        <f>IF(ISERROR(VLOOKUP($S$181,'TAR FIN'!$A$1:$O$120,15,0)),0,VLOOKUP($S$181,'TAR FIN'!$A$1:$O$120,15,0))*(1-0.12)</f>
        <v>7.7528000000000006</v>
      </c>
      <c r="W181" s="71">
        <f>IF(ISERROR(VLOOKUP($T$181,'TAR FIN'!$A$1:$O$120,15,0)),0,VLOOKUP($T$181,'TAR FIN'!$A$1:$O$120,15,0))</f>
        <v>0</v>
      </c>
      <c r="X181" s="71">
        <f>IF(ISERROR(VLOOKUP($U$181,'TAR FIN'!$A$1:$O$120,15,0)),0,VLOOKUP($U$181,'TAR FIN'!$A$1:$O$120,15,0))</f>
        <v>0</v>
      </c>
      <c r="Y181" s="71">
        <f ca="1">('TUSD BE'!$AM$20+'TUSD BF'!$AM$20+'TUSD CVA'!$AM$20)*1*(1-0.09)</f>
        <v>10.421644550274408</v>
      </c>
      <c r="Z181" s="71"/>
      <c r="AA181" s="71"/>
      <c r="AB181" s="71">
        <f>(SUBSIDIO!$J$181*SUBSIDIO!$V$181)*(0.12)/(1-0.12)</f>
        <v>1215.7800000000002</v>
      </c>
      <c r="AC181" s="71">
        <f>((SUBSIDIO!$L$181*SUBSIDIO!$W$181)+(SUBSIDIO!$N$181*SUBSIDIO!$X$181))*(0.12)/(1-0.12)</f>
        <v>0</v>
      </c>
      <c r="AD181" s="71">
        <f ca="1">(SUBSIDIO!$J$181*SUBSIDIO!$Y$181)*(0.09)/(1-0.09)</f>
        <v>1185.3189131356057</v>
      </c>
      <c r="AE181" s="71">
        <f>((SUBSIDIO!$L$181*SUBSIDIO!$Z$181)+(SUBSIDIO!$N$181*SUBSIDIO!$AA$181))*(0.09)/(1-0.09)</f>
        <v>0</v>
      </c>
      <c r="AF181" s="4" t="s">
        <v>1148</v>
      </c>
    </row>
    <row r="182" spans="1:32" ht="11.25" customHeight="1" x14ac:dyDescent="0.25">
      <c r="A182" s="4" t="s">
        <v>21</v>
      </c>
      <c r="B182" s="4" t="s">
        <v>45</v>
      </c>
      <c r="C182" s="4" t="s">
        <v>34</v>
      </c>
      <c r="D182" s="4" t="s">
        <v>52</v>
      </c>
      <c r="E182" s="4" t="s">
        <v>53</v>
      </c>
      <c r="F182" s="4" t="s">
        <v>25</v>
      </c>
      <c r="G182" s="4" t="s">
        <v>25</v>
      </c>
      <c r="H182" s="4" t="s">
        <v>35</v>
      </c>
      <c r="I182" s="5">
        <v>43739</v>
      </c>
      <c r="J182" s="6">
        <v>0</v>
      </c>
      <c r="K182" s="71">
        <v>0</v>
      </c>
      <c r="L182" s="6">
        <v>46.58</v>
      </c>
      <c r="M182" s="71">
        <v>46.58</v>
      </c>
      <c r="N182" s="6">
        <v>46.58</v>
      </c>
      <c r="O182" s="71">
        <v>46.58</v>
      </c>
      <c r="P182" s="6">
        <v>0</v>
      </c>
      <c r="Q182" s="4" t="s">
        <v>26</v>
      </c>
      <c r="R182" s="4">
        <v>0</v>
      </c>
      <c r="S182" s="4">
        <v>0</v>
      </c>
      <c r="T182" s="4">
        <v>17</v>
      </c>
      <c r="U182" s="4">
        <v>79</v>
      </c>
      <c r="V182" s="71">
        <f>IF(ISERROR(VLOOKUP($S$182,'TAR FIN'!$A$1:$O$120,15,0)),0,VLOOKUP($S$182,'TAR FIN'!$A$1:$O$120,15,0))</f>
        <v>0</v>
      </c>
      <c r="W182" s="71">
        <f>IF(ISERROR(VLOOKUP($T$182,'TAR FIN'!$A$1:$O$120,15,0)),0,VLOOKUP($T$182,'TAR FIN'!$A$1:$O$120,15,0))*(1-0.12)</f>
        <v>564.95119999999997</v>
      </c>
      <c r="X182" s="71">
        <f>IF(ISERROR(VLOOKUP($U$182,'TAR FIN'!$A$1:$O$120,15,0)),0,VLOOKUP($U$182,'TAR FIN'!$A$1:$O$120,15,0))*(1-0.12)</f>
        <v>379.16559999999998</v>
      </c>
      <c r="Y182" s="71"/>
      <c r="Z182" s="71">
        <f ca="1">('TUSD BE'!$AM$21+'TUSD BF'!$AM$21+'TUSD CVA'!$AM$21)*1*(1-0.09)</f>
        <v>680.4376080140571</v>
      </c>
      <c r="AA182" s="71">
        <f>('TE BE'!$AA$7+'TE BF'!$AA$7+'TE CVA'!$AA$7)*1*(1-0.09)</f>
        <v>341.87954044517699</v>
      </c>
      <c r="AB182" s="71">
        <f>(SUBSIDIO!$J$182*SUBSIDIO!$V$182)*(0.12)/(1-0.12)</f>
        <v>0</v>
      </c>
      <c r="AC182" s="71">
        <f>((SUBSIDIO!$L$182*SUBSIDIO!$W$182)+(SUBSIDIO!$N$182*SUBSIDIO!$X$182))*(0.12)/(1-0.12)</f>
        <v>5996.8582559999986</v>
      </c>
      <c r="AD182" s="71">
        <f>(SUBSIDIO!$J$182*SUBSIDIO!$Y$182)*(0.09)/(1-0.09)</f>
        <v>0</v>
      </c>
      <c r="AE182" s="71">
        <f ca="1">((SUBSIDIO!$L$182*SUBSIDIO!$Z$182)+(SUBSIDIO!$N$182*SUBSIDIO!$AA$182))*(0.09)/(1-0.09)</f>
        <v>4709.6241206272534</v>
      </c>
      <c r="AF182" s="4" t="s">
        <v>1148</v>
      </c>
    </row>
    <row r="183" spans="1:32" ht="11.25" customHeight="1" x14ac:dyDescent="0.25">
      <c r="A183" s="4" t="s">
        <v>21</v>
      </c>
      <c r="B183" s="4" t="s">
        <v>45</v>
      </c>
      <c r="C183" s="4" t="s">
        <v>34</v>
      </c>
      <c r="D183" s="4" t="s">
        <v>52</v>
      </c>
      <c r="E183" s="4" t="s">
        <v>53</v>
      </c>
      <c r="F183" s="4" t="s">
        <v>25</v>
      </c>
      <c r="G183" s="4" t="s">
        <v>25</v>
      </c>
      <c r="H183" s="4" t="s">
        <v>35</v>
      </c>
      <c r="I183" s="5">
        <v>43770</v>
      </c>
      <c r="J183" s="6">
        <v>0</v>
      </c>
      <c r="K183" s="71">
        <v>0</v>
      </c>
      <c r="L183" s="6">
        <v>50.598999999999997</v>
      </c>
      <c r="M183" s="71">
        <v>50.598999999999997</v>
      </c>
      <c r="N183" s="6">
        <v>50.598999999999997</v>
      </c>
      <c r="O183" s="71">
        <v>50.598999999999997</v>
      </c>
      <c r="P183" s="6">
        <v>0</v>
      </c>
      <c r="Q183" s="4" t="s">
        <v>26</v>
      </c>
      <c r="R183" s="4">
        <v>0</v>
      </c>
      <c r="S183" s="4">
        <v>0</v>
      </c>
      <c r="T183" s="4">
        <v>17</v>
      </c>
      <c r="U183" s="4">
        <v>79</v>
      </c>
      <c r="V183" s="71">
        <f>IF(ISERROR(VLOOKUP($S$183,'TAR FIN'!$A$1:$O$120,15,0)),0,VLOOKUP($S$183,'TAR FIN'!$A$1:$O$120,15,0))</f>
        <v>0</v>
      </c>
      <c r="W183" s="71">
        <f>IF(ISERROR(VLOOKUP($T$183,'TAR FIN'!$A$1:$O$120,15,0)),0,VLOOKUP($T$183,'TAR FIN'!$A$1:$O$120,15,0))*(1-0.12)</f>
        <v>564.95119999999997</v>
      </c>
      <c r="X183" s="71">
        <f>IF(ISERROR(VLOOKUP($U$183,'TAR FIN'!$A$1:$O$120,15,0)),0,VLOOKUP($U$183,'TAR FIN'!$A$1:$O$120,15,0))*(1-0.12)</f>
        <v>379.16559999999998</v>
      </c>
      <c r="Y183" s="71"/>
      <c r="Z183" s="71">
        <f ca="1">('TUSD BE'!$AM$21+'TUSD BF'!$AM$21+'TUSD CVA'!$AM$21)*1*(1-0.09)</f>
        <v>680.4376080140571</v>
      </c>
      <c r="AA183" s="71">
        <f>('TE BE'!$AA$7+'TE BF'!$AA$7+'TE CVA'!$AA$7)*1*(1-0.09)</f>
        <v>341.87954044517699</v>
      </c>
      <c r="AB183" s="71">
        <f>(SUBSIDIO!$J$183*SUBSIDIO!$V$183)*(0.12)/(1-0.12)</f>
        <v>0</v>
      </c>
      <c r="AC183" s="71">
        <f>((SUBSIDIO!$L$183*SUBSIDIO!$W$183)+(SUBSIDIO!$N$183*SUBSIDIO!$X$183))*(0.12)/(1-0.12)</f>
        <v>6514.2771767999984</v>
      </c>
      <c r="AD183" s="71">
        <f>(SUBSIDIO!$J$183*SUBSIDIO!$Y$183)*(0.09)/(1-0.09)</f>
        <v>0</v>
      </c>
      <c r="AE183" s="71">
        <f ca="1">((SUBSIDIO!$L$183*SUBSIDIO!$Z$183)+(SUBSIDIO!$N$183*SUBSIDIO!$AA$183))*(0.09)/(1-0.09)</f>
        <v>5115.9783357582301</v>
      </c>
      <c r="AF183" s="4" t="s">
        <v>1148</v>
      </c>
    </row>
    <row r="184" spans="1:32" ht="11.25" customHeight="1" x14ac:dyDescent="0.25">
      <c r="A184" s="4" t="s">
        <v>21</v>
      </c>
      <c r="B184" s="4" t="s">
        <v>45</v>
      </c>
      <c r="C184" s="4" t="s">
        <v>34</v>
      </c>
      <c r="D184" s="4" t="s">
        <v>52</v>
      </c>
      <c r="E184" s="4" t="s">
        <v>53</v>
      </c>
      <c r="F184" s="4" t="s">
        <v>25</v>
      </c>
      <c r="G184" s="4" t="s">
        <v>25</v>
      </c>
      <c r="H184" s="4" t="s">
        <v>35</v>
      </c>
      <c r="I184" s="5">
        <v>43800</v>
      </c>
      <c r="J184" s="6">
        <v>0</v>
      </c>
      <c r="K184" s="71">
        <v>0</v>
      </c>
      <c r="L184" s="6">
        <v>44.917999999999999</v>
      </c>
      <c r="M184" s="71">
        <v>44.917999999999999</v>
      </c>
      <c r="N184" s="6">
        <v>44.917999999999999</v>
      </c>
      <c r="O184" s="71">
        <v>44.917999999999999</v>
      </c>
      <c r="P184" s="6">
        <v>0</v>
      </c>
      <c r="Q184" s="4" t="s">
        <v>26</v>
      </c>
      <c r="R184" s="4">
        <v>0</v>
      </c>
      <c r="S184" s="4">
        <v>0</v>
      </c>
      <c r="T184" s="4">
        <v>17</v>
      </c>
      <c r="U184" s="4">
        <v>79</v>
      </c>
      <c r="V184" s="71">
        <f>IF(ISERROR(VLOOKUP($S$184,'TAR FIN'!$A$1:$O$120,15,0)),0,VLOOKUP($S$184,'TAR FIN'!$A$1:$O$120,15,0))</f>
        <v>0</v>
      </c>
      <c r="W184" s="71">
        <f>IF(ISERROR(VLOOKUP($T$184,'TAR FIN'!$A$1:$O$120,15,0)),0,VLOOKUP($T$184,'TAR FIN'!$A$1:$O$120,15,0))*(1-0.12)</f>
        <v>564.95119999999997</v>
      </c>
      <c r="X184" s="71">
        <f>IF(ISERROR(VLOOKUP($U$184,'TAR FIN'!$A$1:$O$120,15,0)),0,VLOOKUP($U$184,'TAR FIN'!$A$1:$O$120,15,0))*(1-0.12)</f>
        <v>379.16559999999998</v>
      </c>
      <c r="Y184" s="71"/>
      <c r="Z184" s="71">
        <f ca="1">('TUSD BE'!$AM$21+'TUSD BF'!$AM$21+'TUSD CVA'!$AM$21)*1*(1-0.09)</f>
        <v>680.4376080140571</v>
      </c>
      <c r="AA184" s="71">
        <f>('TE BE'!$AA$7+'TE BF'!$AA$7+'TE CVA'!$AA$7)*1*(1-0.09)</f>
        <v>341.87954044517699</v>
      </c>
      <c r="AB184" s="71">
        <f>(SUBSIDIO!$J$184*SUBSIDIO!$V$184)*(0.12)/(1-0.12)</f>
        <v>0</v>
      </c>
      <c r="AC184" s="71">
        <f>((SUBSIDIO!$L$184*SUBSIDIO!$W$184)+(SUBSIDIO!$N$184*SUBSIDIO!$X$184))*(0.12)/(1-0.12)</f>
        <v>5782.8870575999999</v>
      </c>
      <c r="AD184" s="71">
        <f>(SUBSIDIO!$J$184*SUBSIDIO!$Y$184)*(0.09)/(1-0.09)</f>
        <v>0</v>
      </c>
      <c r="AE184" s="71">
        <f ca="1">((SUBSIDIO!$L$184*SUBSIDIO!$Z$184)+(SUBSIDIO!$N$184*SUBSIDIO!$AA$184))*(0.09)/(1-0.09)</f>
        <v>4541.5821436310634</v>
      </c>
      <c r="AF184" s="4" t="s">
        <v>1148</v>
      </c>
    </row>
    <row r="185" spans="1:32" ht="11.25" customHeight="1" x14ac:dyDescent="0.25">
      <c r="A185" s="4" t="s">
        <v>21</v>
      </c>
      <c r="B185" s="4" t="s">
        <v>45</v>
      </c>
      <c r="C185" s="4" t="s">
        <v>34</v>
      </c>
      <c r="D185" s="4" t="s">
        <v>52</v>
      </c>
      <c r="E185" s="4" t="s">
        <v>53</v>
      </c>
      <c r="F185" s="4" t="s">
        <v>25</v>
      </c>
      <c r="G185" s="4" t="s">
        <v>25</v>
      </c>
      <c r="H185" s="4" t="s">
        <v>35</v>
      </c>
      <c r="I185" s="5">
        <v>43831</v>
      </c>
      <c r="J185" s="6">
        <v>0</v>
      </c>
      <c r="K185" s="71">
        <v>0</v>
      </c>
      <c r="L185" s="6">
        <v>46.936999999999998</v>
      </c>
      <c r="M185" s="71">
        <v>46.936999999999998</v>
      </c>
      <c r="N185" s="6">
        <v>46.936999999999998</v>
      </c>
      <c r="O185" s="71">
        <v>46.936999999999998</v>
      </c>
      <c r="P185" s="6">
        <v>0</v>
      </c>
      <c r="Q185" s="4" t="s">
        <v>26</v>
      </c>
      <c r="R185" s="4">
        <v>0</v>
      </c>
      <c r="S185" s="4">
        <v>0</v>
      </c>
      <c r="T185" s="4">
        <v>17</v>
      </c>
      <c r="U185" s="4">
        <v>79</v>
      </c>
      <c r="V185" s="71">
        <f>IF(ISERROR(VLOOKUP($S$185,'TAR FIN'!$A$1:$O$120,15,0)),0,VLOOKUP($S$185,'TAR FIN'!$A$1:$O$120,15,0))</f>
        <v>0</v>
      </c>
      <c r="W185" s="71">
        <f>IF(ISERROR(VLOOKUP($T$185,'TAR FIN'!$A$1:$O$120,15,0)),0,VLOOKUP($T$185,'TAR FIN'!$A$1:$O$120,15,0))*(1-0.12)</f>
        <v>564.95119999999997</v>
      </c>
      <c r="X185" s="71">
        <f>IF(ISERROR(VLOOKUP($U$185,'TAR FIN'!$A$1:$O$120,15,0)),0,VLOOKUP($U$185,'TAR FIN'!$A$1:$O$120,15,0))*(1-0.12)</f>
        <v>379.16559999999998</v>
      </c>
      <c r="Y185" s="71"/>
      <c r="Z185" s="71">
        <f ca="1">('TUSD BE'!$AM$21+'TUSD BF'!$AM$21+'TUSD CVA'!$AM$21)*1*(1-0.09)</f>
        <v>680.4376080140571</v>
      </c>
      <c r="AA185" s="71">
        <f>('TE BE'!$AA$7+'TE BF'!$AA$7+'TE CVA'!$AA$7)*1*(1-0.09)</f>
        <v>341.87954044517699</v>
      </c>
      <c r="AB185" s="71">
        <f>(SUBSIDIO!$J$185*SUBSIDIO!$V$185)*(0.12)/(1-0.12)</f>
        <v>0</v>
      </c>
      <c r="AC185" s="71">
        <f>((SUBSIDIO!$L$185*SUBSIDIO!$W$185)+(SUBSIDIO!$N$185*SUBSIDIO!$X$185))*(0.12)/(1-0.12)</f>
        <v>6042.8195784</v>
      </c>
      <c r="AD185" s="71">
        <f>(SUBSIDIO!$J$185*SUBSIDIO!$Y$185)*(0.09)/(1-0.09)</f>
        <v>0</v>
      </c>
      <c r="AE185" s="71">
        <f ca="1">((SUBSIDIO!$L$185*SUBSIDIO!$Z$185)+(SUBSIDIO!$N$185*SUBSIDIO!$AA$185))*(0.09)/(1-0.09)</f>
        <v>4745.71977994593</v>
      </c>
      <c r="AF185" s="4" t="s">
        <v>1148</v>
      </c>
    </row>
    <row r="186" spans="1:32" ht="11.25" customHeight="1" x14ac:dyDescent="0.25">
      <c r="A186" s="4" t="s">
        <v>21</v>
      </c>
      <c r="B186" s="4" t="s">
        <v>45</v>
      </c>
      <c r="C186" s="4" t="s">
        <v>34</v>
      </c>
      <c r="D186" s="4" t="s">
        <v>52</v>
      </c>
      <c r="E186" s="4" t="s">
        <v>53</v>
      </c>
      <c r="F186" s="4" t="s">
        <v>25</v>
      </c>
      <c r="G186" s="4" t="s">
        <v>25</v>
      </c>
      <c r="H186" s="4" t="s">
        <v>35</v>
      </c>
      <c r="I186" s="5">
        <v>43862</v>
      </c>
      <c r="J186" s="6">
        <v>0</v>
      </c>
      <c r="K186" s="71">
        <v>0</v>
      </c>
      <c r="L186" s="6">
        <v>51.484000000000002</v>
      </c>
      <c r="M186" s="71">
        <v>51.484000000000002</v>
      </c>
      <c r="N186" s="6">
        <v>51.484000000000002</v>
      </c>
      <c r="O186" s="71">
        <v>51.484000000000002</v>
      </c>
      <c r="P186" s="6">
        <v>0</v>
      </c>
      <c r="Q186" s="4" t="s">
        <v>26</v>
      </c>
      <c r="R186" s="4">
        <v>0</v>
      </c>
      <c r="S186" s="4">
        <v>0</v>
      </c>
      <c r="T186" s="4">
        <v>17</v>
      </c>
      <c r="U186" s="4">
        <v>79</v>
      </c>
      <c r="V186" s="71">
        <f>IF(ISERROR(VLOOKUP($S$186,'TAR FIN'!$A$1:$O$120,15,0)),0,VLOOKUP($S$186,'TAR FIN'!$A$1:$O$120,15,0))</f>
        <v>0</v>
      </c>
      <c r="W186" s="71">
        <f>IF(ISERROR(VLOOKUP($T$186,'TAR FIN'!$A$1:$O$120,15,0)),0,VLOOKUP($T$186,'TAR FIN'!$A$1:$O$120,15,0))*(1-0.12)</f>
        <v>564.95119999999997</v>
      </c>
      <c r="X186" s="71">
        <f>IF(ISERROR(VLOOKUP($U$186,'TAR FIN'!$A$1:$O$120,15,0)),0,VLOOKUP($U$186,'TAR FIN'!$A$1:$O$120,15,0))*(1-0.12)</f>
        <v>379.16559999999998</v>
      </c>
      <c r="Y186" s="71"/>
      <c r="Z186" s="71">
        <f ca="1">('TUSD BE'!$AM$21+'TUSD BF'!$AM$21+'TUSD CVA'!$AM$21)*1*(1-0.09)</f>
        <v>680.4376080140571</v>
      </c>
      <c r="AA186" s="71">
        <f>('TE BE'!$AA$7+'TE BF'!$AA$7+'TE CVA'!$AA$7)*1*(1-0.09)</f>
        <v>341.87954044517699</v>
      </c>
      <c r="AB186" s="71">
        <f>(SUBSIDIO!$J$186*SUBSIDIO!$V$186)*(0.12)/(1-0.12)</f>
        <v>0</v>
      </c>
      <c r="AC186" s="71">
        <f>((SUBSIDIO!$L$186*SUBSIDIO!$W$186)+(SUBSIDIO!$N$186*SUBSIDIO!$X$186))*(0.12)/(1-0.12)</f>
        <v>6628.2149088000006</v>
      </c>
      <c r="AD186" s="71">
        <f>(SUBSIDIO!$J$186*SUBSIDIO!$Y$186)*(0.09)/(1-0.09)</f>
        <v>0</v>
      </c>
      <c r="AE186" s="71">
        <f ca="1">((SUBSIDIO!$L$186*SUBSIDIO!$Z$186)+(SUBSIDIO!$N$186*SUBSIDIO!$AA$186))*(0.09)/(1-0.09)</f>
        <v>5205.4591718843612</v>
      </c>
      <c r="AF186" s="4" t="s">
        <v>1148</v>
      </c>
    </row>
    <row r="187" spans="1:32" ht="11.25" customHeight="1" x14ac:dyDescent="0.25">
      <c r="A187" s="4" t="s">
        <v>21</v>
      </c>
      <c r="B187" s="4" t="s">
        <v>45</v>
      </c>
      <c r="C187" s="4" t="s">
        <v>34</v>
      </c>
      <c r="D187" s="4" t="s">
        <v>52</v>
      </c>
      <c r="E187" s="4" t="s">
        <v>53</v>
      </c>
      <c r="F187" s="4" t="s">
        <v>25</v>
      </c>
      <c r="G187" s="4" t="s">
        <v>25</v>
      </c>
      <c r="H187" s="4" t="s">
        <v>35</v>
      </c>
      <c r="I187" s="5">
        <v>43891</v>
      </c>
      <c r="J187" s="6">
        <v>0</v>
      </c>
      <c r="K187" s="71">
        <v>0</v>
      </c>
      <c r="L187" s="6">
        <v>38.881</v>
      </c>
      <c r="M187" s="71">
        <v>38.881</v>
      </c>
      <c r="N187" s="6">
        <v>38.881</v>
      </c>
      <c r="O187" s="71">
        <v>38.881</v>
      </c>
      <c r="P187" s="6">
        <v>0</v>
      </c>
      <c r="Q187" s="4" t="s">
        <v>26</v>
      </c>
      <c r="R187" s="4">
        <v>0</v>
      </c>
      <c r="S187" s="4">
        <v>0</v>
      </c>
      <c r="T187" s="4">
        <v>17</v>
      </c>
      <c r="U187" s="4">
        <v>79</v>
      </c>
      <c r="V187" s="71">
        <f>IF(ISERROR(VLOOKUP($S$187,'TAR FIN'!$A$1:$O$120,15,0)),0,VLOOKUP($S$187,'TAR FIN'!$A$1:$O$120,15,0))</f>
        <v>0</v>
      </c>
      <c r="W187" s="71">
        <f>IF(ISERROR(VLOOKUP($T$187,'TAR FIN'!$A$1:$O$120,15,0)),0,VLOOKUP($T$187,'TAR FIN'!$A$1:$O$120,15,0))*(1-0.12)</f>
        <v>564.95119999999997</v>
      </c>
      <c r="X187" s="71">
        <f>IF(ISERROR(VLOOKUP($U$187,'TAR FIN'!$A$1:$O$120,15,0)),0,VLOOKUP($U$187,'TAR FIN'!$A$1:$O$120,15,0))*(1-0.12)</f>
        <v>379.16559999999998</v>
      </c>
      <c r="Y187" s="71"/>
      <c r="Z187" s="71">
        <f ca="1">('TUSD BE'!$AM$21+'TUSD BF'!$AM$21+'TUSD CVA'!$AM$21)*1*(1-0.09)</f>
        <v>680.4376080140571</v>
      </c>
      <c r="AA187" s="71">
        <f>('TE BE'!$AA$7+'TE BF'!$AA$7+'TE CVA'!$AA$7)*1*(1-0.09)</f>
        <v>341.87954044517699</v>
      </c>
      <c r="AB187" s="71">
        <f>(SUBSIDIO!$J$187*SUBSIDIO!$V$187)*(0.12)/(1-0.12)</f>
        <v>0</v>
      </c>
      <c r="AC187" s="71">
        <f>((SUBSIDIO!$L$187*SUBSIDIO!$W$187)+(SUBSIDIO!$N$187*SUBSIDIO!$X$187))*(0.12)/(1-0.12)</f>
        <v>5005.6643591999991</v>
      </c>
      <c r="AD187" s="71">
        <f>(SUBSIDIO!$J$187*SUBSIDIO!$Y$187)*(0.09)/(1-0.09)</f>
        <v>0</v>
      </c>
      <c r="AE187" s="71">
        <f ca="1">((SUBSIDIO!$L$187*SUBSIDIO!$Z$187)+(SUBSIDIO!$N$187*SUBSIDIO!$AA$187))*(0.09)/(1-0.09)</f>
        <v>3931.1914004746295</v>
      </c>
      <c r="AF187" s="4" t="s">
        <v>1148</v>
      </c>
    </row>
    <row r="188" spans="1:32" ht="11.25" customHeight="1" x14ac:dyDescent="0.25">
      <c r="A188" s="4" t="s">
        <v>21</v>
      </c>
      <c r="B188" s="4" t="s">
        <v>45</v>
      </c>
      <c r="C188" s="4" t="s">
        <v>34</v>
      </c>
      <c r="D188" s="4" t="s">
        <v>52</v>
      </c>
      <c r="E188" s="4" t="s">
        <v>53</v>
      </c>
      <c r="F188" s="4" t="s">
        <v>25</v>
      </c>
      <c r="G188" s="4" t="s">
        <v>25</v>
      </c>
      <c r="H188" s="4" t="s">
        <v>35</v>
      </c>
      <c r="I188" s="5">
        <v>43922</v>
      </c>
      <c r="J188" s="6">
        <v>0</v>
      </c>
      <c r="K188" s="71">
        <v>0</v>
      </c>
      <c r="L188" s="6">
        <v>38.920999999999999</v>
      </c>
      <c r="M188" s="71">
        <v>38.920999999999999</v>
      </c>
      <c r="N188" s="6">
        <v>38.920999999999999</v>
      </c>
      <c r="O188" s="71">
        <v>38.920999999999999</v>
      </c>
      <c r="P188" s="6">
        <v>0</v>
      </c>
      <c r="Q188" s="4" t="s">
        <v>26</v>
      </c>
      <c r="R188" s="4">
        <v>0</v>
      </c>
      <c r="S188" s="4">
        <v>0</v>
      </c>
      <c r="T188" s="4">
        <v>17</v>
      </c>
      <c r="U188" s="4">
        <v>79</v>
      </c>
      <c r="V188" s="71">
        <f>IF(ISERROR(VLOOKUP($S$188,'TAR FIN'!$A$1:$O$120,15,0)),0,VLOOKUP($S$188,'TAR FIN'!$A$1:$O$120,15,0))</f>
        <v>0</v>
      </c>
      <c r="W188" s="71">
        <f>IF(ISERROR(VLOOKUP($T$188,'TAR FIN'!$A$1:$O$120,15,0)),0,VLOOKUP($T$188,'TAR FIN'!$A$1:$O$120,15,0))*(1-0.12)</f>
        <v>564.95119999999997</v>
      </c>
      <c r="X188" s="71">
        <f>IF(ISERROR(VLOOKUP($U$188,'TAR FIN'!$A$1:$O$120,15,0)),0,VLOOKUP($U$188,'TAR FIN'!$A$1:$O$120,15,0))*(1-0.12)</f>
        <v>379.16559999999998</v>
      </c>
      <c r="Y188" s="71"/>
      <c r="Z188" s="71">
        <f ca="1">('TUSD BE'!$AM$21+'TUSD BF'!$AM$21+'TUSD CVA'!$AM$21)*1*(1-0.09)</f>
        <v>680.4376080140571</v>
      </c>
      <c r="AA188" s="71">
        <f>('TE BE'!$AA$7+'TE BF'!$AA$7+'TE CVA'!$AA$7)*1*(1-0.09)</f>
        <v>341.87954044517699</v>
      </c>
      <c r="AB188" s="71">
        <f>(SUBSIDIO!$J$188*SUBSIDIO!$V$188)*(0.12)/(1-0.12)</f>
        <v>0</v>
      </c>
      <c r="AC188" s="71">
        <f>((SUBSIDIO!$L$188*SUBSIDIO!$W$188)+(SUBSIDIO!$N$188*SUBSIDIO!$X$188))*(0.12)/(1-0.12)</f>
        <v>5010.8140871999994</v>
      </c>
      <c r="AD188" s="71">
        <f>(SUBSIDIO!$J$188*SUBSIDIO!$Y$188)*(0.09)/(1-0.09)</f>
        <v>0</v>
      </c>
      <c r="AE188" s="71">
        <f ca="1">((SUBSIDIO!$L$188*SUBSIDIO!$Z$188)+(SUBSIDIO!$N$188*SUBSIDIO!$AA$188))*(0.09)/(1-0.09)</f>
        <v>3935.2357320509514</v>
      </c>
      <c r="AF188" s="4" t="s">
        <v>1148</v>
      </c>
    </row>
    <row r="189" spans="1:32" ht="11.25" customHeight="1" x14ac:dyDescent="0.25">
      <c r="A189" s="4" t="s">
        <v>21</v>
      </c>
      <c r="B189" s="4" t="s">
        <v>45</v>
      </c>
      <c r="C189" s="4" t="s">
        <v>34</v>
      </c>
      <c r="D189" s="4" t="s">
        <v>52</v>
      </c>
      <c r="E189" s="4" t="s">
        <v>53</v>
      </c>
      <c r="F189" s="4" t="s">
        <v>25</v>
      </c>
      <c r="G189" s="4" t="s">
        <v>25</v>
      </c>
      <c r="H189" s="4" t="s">
        <v>35</v>
      </c>
      <c r="I189" s="5">
        <v>43952</v>
      </c>
      <c r="J189" s="6">
        <v>0</v>
      </c>
      <c r="K189" s="71">
        <v>0</v>
      </c>
      <c r="L189" s="6">
        <v>43.56</v>
      </c>
      <c r="M189" s="71">
        <v>43.56</v>
      </c>
      <c r="N189" s="6">
        <v>43.56</v>
      </c>
      <c r="O189" s="71">
        <v>43.56</v>
      </c>
      <c r="P189" s="6">
        <v>0</v>
      </c>
      <c r="Q189" s="4" t="s">
        <v>26</v>
      </c>
      <c r="R189" s="4">
        <v>0</v>
      </c>
      <c r="S189" s="4">
        <v>0</v>
      </c>
      <c r="T189" s="4">
        <v>17</v>
      </c>
      <c r="U189" s="4">
        <v>79</v>
      </c>
      <c r="V189" s="71">
        <f>IF(ISERROR(VLOOKUP($S$189,'TAR FIN'!$A$1:$O$120,15,0)),0,VLOOKUP($S$189,'TAR FIN'!$A$1:$O$120,15,0))</f>
        <v>0</v>
      </c>
      <c r="W189" s="71">
        <f>IF(ISERROR(VLOOKUP($T$189,'TAR FIN'!$A$1:$O$120,15,0)),0,VLOOKUP($T$189,'TAR FIN'!$A$1:$O$120,15,0))*(1-0.12)</f>
        <v>564.95119999999997</v>
      </c>
      <c r="X189" s="71">
        <f>IF(ISERROR(VLOOKUP($U$189,'TAR FIN'!$A$1:$O$120,15,0)),0,VLOOKUP($U$189,'TAR FIN'!$A$1:$O$120,15,0))*(1-0.12)</f>
        <v>379.16559999999998</v>
      </c>
      <c r="Y189" s="71"/>
      <c r="Z189" s="71">
        <f ca="1">('TUSD BE'!$AM$21+'TUSD BF'!$AM$21+'TUSD CVA'!$AM$21)*1*(1-0.09)</f>
        <v>680.4376080140571</v>
      </c>
      <c r="AA189" s="71">
        <f>('TE BE'!$AA$7+'TE BF'!$AA$7+'TE CVA'!$AA$7)*1*(1-0.09)</f>
        <v>341.87954044517699</v>
      </c>
      <c r="AB189" s="71">
        <f>(SUBSIDIO!$J$189*SUBSIDIO!$V$189)*(0.12)/(1-0.12)</f>
        <v>0</v>
      </c>
      <c r="AC189" s="71">
        <f>((SUBSIDIO!$L$189*SUBSIDIO!$W$189)+(SUBSIDIO!$N$189*SUBSIDIO!$X$189))*(0.12)/(1-0.12)</f>
        <v>5608.0537919999997</v>
      </c>
      <c r="AD189" s="71">
        <f>(SUBSIDIO!$J$189*SUBSIDIO!$Y$189)*(0.09)/(1-0.09)</f>
        <v>0</v>
      </c>
      <c r="AE189" s="71">
        <f ca="1">((SUBSIDIO!$L$189*SUBSIDIO!$Z$189)+(SUBSIDIO!$N$189*SUBSIDIO!$AA$189))*(0.09)/(1-0.09)</f>
        <v>4404.277086614924</v>
      </c>
      <c r="AF189" s="4" t="s">
        <v>1148</v>
      </c>
    </row>
    <row r="190" spans="1:32" ht="11.25" customHeight="1" x14ac:dyDescent="0.25">
      <c r="A190" s="4" t="s">
        <v>21</v>
      </c>
      <c r="B190" s="4" t="s">
        <v>45</v>
      </c>
      <c r="C190" s="4" t="s">
        <v>34</v>
      </c>
      <c r="D190" s="4" t="s">
        <v>52</v>
      </c>
      <c r="E190" s="4" t="s">
        <v>53</v>
      </c>
      <c r="F190" s="4" t="s">
        <v>25</v>
      </c>
      <c r="G190" s="4" t="s">
        <v>25</v>
      </c>
      <c r="H190" s="4" t="s">
        <v>35</v>
      </c>
      <c r="I190" s="5">
        <v>43983</v>
      </c>
      <c r="J190" s="6">
        <v>0</v>
      </c>
      <c r="K190" s="71">
        <v>0</v>
      </c>
      <c r="L190" s="6">
        <v>42.173000000000002</v>
      </c>
      <c r="M190" s="71">
        <v>42.173000000000002</v>
      </c>
      <c r="N190" s="6">
        <v>42.173000000000002</v>
      </c>
      <c r="O190" s="71">
        <v>42.173000000000002</v>
      </c>
      <c r="P190" s="6">
        <v>0</v>
      </c>
      <c r="Q190" s="4" t="s">
        <v>26</v>
      </c>
      <c r="R190" s="4">
        <v>0</v>
      </c>
      <c r="S190" s="4">
        <v>0</v>
      </c>
      <c r="T190" s="4">
        <v>17</v>
      </c>
      <c r="U190" s="4">
        <v>79</v>
      </c>
      <c r="V190" s="71">
        <f>IF(ISERROR(VLOOKUP($S$190,'TAR FIN'!$A$1:$O$120,15,0)),0,VLOOKUP($S$190,'TAR FIN'!$A$1:$O$120,15,0))</f>
        <v>0</v>
      </c>
      <c r="W190" s="71">
        <f>IF(ISERROR(VLOOKUP($T$190,'TAR FIN'!$A$1:$O$120,15,0)),0,VLOOKUP($T$190,'TAR FIN'!$A$1:$O$120,15,0))*(1-0.12)</f>
        <v>564.95119999999997</v>
      </c>
      <c r="X190" s="71">
        <f>IF(ISERROR(VLOOKUP($U$190,'TAR FIN'!$A$1:$O$120,15,0)),0,VLOOKUP($U$190,'TAR FIN'!$A$1:$O$120,15,0))*(1-0.12)</f>
        <v>379.16559999999998</v>
      </c>
      <c r="Y190" s="71"/>
      <c r="Z190" s="71">
        <f ca="1">('TUSD BE'!$AM$21+'TUSD BF'!$AM$21+'TUSD CVA'!$AM$21)*1*(1-0.09)</f>
        <v>680.4376080140571</v>
      </c>
      <c r="AA190" s="71">
        <f>('TE BE'!$AA$7+'TE BF'!$AA$7+'TE CVA'!$AA$7)*1*(1-0.09)</f>
        <v>341.87954044517699</v>
      </c>
      <c r="AB190" s="71">
        <f>(SUBSIDIO!$J$190*SUBSIDIO!$V$190)*(0.12)/(1-0.12)</f>
        <v>0</v>
      </c>
      <c r="AC190" s="71">
        <f>((SUBSIDIO!$L$190*SUBSIDIO!$W$190)+(SUBSIDIO!$N$190*SUBSIDIO!$X$190))*(0.12)/(1-0.12)</f>
        <v>5429.4869736000001</v>
      </c>
      <c r="AD190" s="71">
        <f>(SUBSIDIO!$J$190*SUBSIDIO!$Y$190)*(0.09)/(1-0.09)</f>
        <v>0</v>
      </c>
      <c r="AE190" s="71">
        <f ca="1">((SUBSIDIO!$L$190*SUBSIDIO!$Z$190)+(SUBSIDIO!$N$190*SUBSIDIO!$AA$190))*(0.09)/(1-0.09)</f>
        <v>4264.0398892059502</v>
      </c>
      <c r="AF190" s="4" t="s">
        <v>1148</v>
      </c>
    </row>
    <row r="191" spans="1:32" ht="11.25" customHeight="1" x14ac:dyDescent="0.25">
      <c r="A191" s="4" t="s">
        <v>21</v>
      </c>
      <c r="B191" s="4" t="s">
        <v>45</v>
      </c>
      <c r="C191" s="4" t="s">
        <v>34</v>
      </c>
      <c r="D191" s="4" t="s">
        <v>52</v>
      </c>
      <c r="E191" s="4" t="s">
        <v>53</v>
      </c>
      <c r="F191" s="4" t="s">
        <v>25</v>
      </c>
      <c r="G191" s="4" t="s">
        <v>25</v>
      </c>
      <c r="H191" s="4" t="s">
        <v>35</v>
      </c>
      <c r="I191" s="5">
        <v>44013</v>
      </c>
      <c r="J191" s="6">
        <v>0</v>
      </c>
      <c r="K191" s="71">
        <v>0</v>
      </c>
      <c r="L191" s="6">
        <v>44.671999999999997</v>
      </c>
      <c r="M191" s="71">
        <v>44.671999999999997</v>
      </c>
      <c r="N191" s="6">
        <v>44.671999999999997</v>
      </c>
      <c r="O191" s="71">
        <v>44.671999999999997</v>
      </c>
      <c r="P191" s="6">
        <v>0</v>
      </c>
      <c r="Q191" s="4" t="s">
        <v>26</v>
      </c>
      <c r="R191" s="4">
        <v>0</v>
      </c>
      <c r="S191" s="4">
        <v>0</v>
      </c>
      <c r="T191" s="4">
        <v>17</v>
      </c>
      <c r="U191" s="4">
        <v>79</v>
      </c>
      <c r="V191" s="71">
        <f>IF(ISERROR(VLOOKUP($S$191,'TAR FIN'!$A$1:$O$120,15,0)),0,VLOOKUP($S$191,'TAR FIN'!$A$1:$O$120,15,0))</f>
        <v>0</v>
      </c>
      <c r="W191" s="71">
        <f>IF(ISERROR(VLOOKUP($T$191,'TAR FIN'!$A$1:$O$120,15,0)),0,VLOOKUP($T$191,'TAR FIN'!$A$1:$O$120,15,0))*(1-0.12)</f>
        <v>564.95119999999997</v>
      </c>
      <c r="X191" s="71">
        <f>IF(ISERROR(VLOOKUP($U$191,'TAR FIN'!$A$1:$O$120,15,0)),0,VLOOKUP($U$191,'TAR FIN'!$A$1:$O$120,15,0))*(1-0.12)</f>
        <v>379.16559999999998</v>
      </c>
      <c r="Y191" s="71"/>
      <c r="Z191" s="71">
        <f ca="1">('TUSD BE'!$AM$21+'TUSD BF'!$AM$21+'TUSD CVA'!$AM$21)*1*(1-0.09)</f>
        <v>680.4376080140571</v>
      </c>
      <c r="AA191" s="71">
        <f>('TE BE'!$AA$7+'TE BF'!$AA$7+'TE CVA'!$AA$7)*1*(1-0.09)</f>
        <v>341.87954044517699</v>
      </c>
      <c r="AB191" s="71">
        <f>(SUBSIDIO!$J$191*SUBSIDIO!$V$191)*(0.12)/(1-0.12)</f>
        <v>0</v>
      </c>
      <c r="AC191" s="71">
        <f>((SUBSIDIO!$L$191*SUBSIDIO!$W$191)+(SUBSIDIO!$N$191*SUBSIDIO!$X$191))*(0.12)/(1-0.12)</f>
        <v>5751.2162303999985</v>
      </c>
      <c r="AD191" s="71">
        <f>(SUBSIDIO!$J$191*SUBSIDIO!$Y$191)*(0.09)/(1-0.09)</f>
        <v>0</v>
      </c>
      <c r="AE191" s="71">
        <f ca="1">((SUBSIDIO!$L$191*SUBSIDIO!$Z$191)+(SUBSIDIO!$N$191*SUBSIDIO!$AA$191))*(0.09)/(1-0.09)</f>
        <v>4516.7095044366815</v>
      </c>
      <c r="AF191" s="4" t="s">
        <v>1148</v>
      </c>
    </row>
    <row r="192" spans="1:32" ht="11.25" customHeight="1" x14ac:dyDescent="0.25">
      <c r="A192" s="4" t="s">
        <v>21</v>
      </c>
      <c r="B192" s="4" t="s">
        <v>45</v>
      </c>
      <c r="C192" s="4" t="s">
        <v>34</v>
      </c>
      <c r="D192" s="4" t="s">
        <v>52</v>
      </c>
      <c r="E192" s="4" t="s">
        <v>53</v>
      </c>
      <c r="F192" s="4" t="s">
        <v>25</v>
      </c>
      <c r="G192" s="4" t="s">
        <v>25</v>
      </c>
      <c r="H192" s="4" t="s">
        <v>35</v>
      </c>
      <c r="I192" s="5">
        <v>44044</v>
      </c>
      <c r="J192" s="6">
        <v>0</v>
      </c>
      <c r="K192" s="71">
        <v>0</v>
      </c>
      <c r="L192" s="6">
        <v>48.335000000000001</v>
      </c>
      <c r="M192" s="71">
        <v>48.335000000000001</v>
      </c>
      <c r="N192" s="6">
        <v>48.335000000000001</v>
      </c>
      <c r="O192" s="71">
        <v>48.335000000000001</v>
      </c>
      <c r="P192" s="6">
        <v>0</v>
      </c>
      <c r="Q192" s="4" t="s">
        <v>26</v>
      </c>
      <c r="R192" s="4">
        <v>0</v>
      </c>
      <c r="S192" s="4">
        <v>0</v>
      </c>
      <c r="T192" s="4">
        <v>17</v>
      </c>
      <c r="U192" s="4">
        <v>79</v>
      </c>
      <c r="V192" s="71">
        <f>IF(ISERROR(VLOOKUP($S$192,'TAR FIN'!$A$1:$O$120,15,0)),0,VLOOKUP($S$192,'TAR FIN'!$A$1:$O$120,15,0))</f>
        <v>0</v>
      </c>
      <c r="W192" s="71">
        <f>IF(ISERROR(VLOOKUP($T$192,'TAR FIN'!$A$1:$O$120,15,0)),0,VLOOKUP($T$192,'TAR FIN'!$A$1:$O$120,15,0))*(1-0.12)</f>
        <v>564.95119999999997</v>
      </c>
      <c r="X192" s="71">
        <f>IF(ISERROR(VLOOKUP($U$192,'TAR FIN'!$A$1:$O$120,15,0)),0,VLOOKUP($U$192,'TAR FIN'!$A$1:$O$120,15,0))*(1-0.12)</f>
        <v>379.16559999999998</v>
      </c>
      <c r="Y192" s="71"/>
      <c r="Z192" s="71">
        <f ca="1">('TUSD BE'!$AM$21+'TUSD BF'!$AM$21+'TUSD CVA'!$AM$21)*1*(1-0.09)</f>
        <v>680.4376080140571</v>
      </c>
      <c r="AA192" s="71">
        <f>('TE BE'!$AA$7+'TE BF'!$AA$7+'TE CVA'!$AA$7)*1*(1-0.09)</f>
        <v>341.87954044517699</v>
      </c>
      <c r="AB192" s="71">
        <f>(SUBSIDIO!$J$192*SUBSIDIO!$V$192)*(0.12)/(1-0.12)</f>
        <v>0</v>
      </c>
      <c r="AC192" s="71">
        <f>((SUBSIDIO!$L$192*SUBSIDIO!$W$192)+(SUBSIDIO!$N$192*SUBSIDIO!$X$192))*(0.12)/(1-0.12)</f>
        <v>6222.8025719999996</v>
      </c>
      <c r="AD192" s="71">
        <f>(SUBSIDIO!$J$192*SUBSIDIO!$Y$192)*(0.09)/(1-0.09)</f>
        <v>0</v>
      </c>
      <c r="AE192" s="71">
        <f ca="1">((SUBSIDIO!$L$192*SUBSIDIO!$Z$192)+(SUBSIDIO!$N$192*SUBSIDIO!$AA$192))*(0.09)/(1-0.09)</f>
        <v>4887.0691685383918</v>
      </c>
      <c r="AF192" s="4" t="s">
        <v>1148</v>
      </c>
    </row>
    <row r="193" spans="1:32" ht="11.25" customHeight="1" x14ac:dyDescent="0.25">
      <c r="A193" s="4" t="s">
        <v>59</v>
      </c>
      <c r="B193" s="4" t="s">
        <v>45</v>
      </c>
      <c r="C193" s="4" t="s">
        <v>34</v>
      </c>
      <c r="D193" s="4" t="s">
        <v>52</v>
      </c>
      <c r="E193" s="4" t="s">
        <v>53</v>
      </c>
      <c r="F193" s="4" t="s">
        <v>25</v>
      </c>
      <c r="G193" s="4" t="s">
        <v>25</v>
      </c>
      <c r="H193" s="4" t="s">
        <v>35</v>
      </c>
      <c r="I193" s="5">
        <v>44075</v>
      </c>
      <c r="J193" s="6">
        <v>0</v>
      </c>
      <c r="K193" s="71">
        <v>0</v>
      </c>
      <c r="L193" s="6">
        <v>48.335000000000001</v>
      </c>
      <c r="M193" s="71">
        <v>48.335000000000001</v>
      </c>
      <c r="N193" s="6">
        <v>48.335000000000001</v>
      </c>
      <c r="O193" s="71">
        <v>48.335000000000001</v>
      </c>
      <c r="P193" s="6">
        <v>0</v>
      </c>
      <c r="Q193" s="4" t="s">
        <v>26</v>
      </c>
      <c r="R193" s="4">
        <v>0</v>
      </c>
      <c r="S193" s="4">
        <v>0</v>
      </c>
      <c r="T193" s="4">
        <v>17</v>
      </c>
      <c r="U193" s="4">
        <v>79</v>
      </c>
      <c r="V193" s="71">
        <f>IF(ISERROR(VLOOKUP($S$193,'TAR FIN'!$A$1:$O$120,15,0)),0,VLOOKUP($S$193,'TAR FIN'!$A$1:$O$120,15,0))</f>
        <v>0</v>
      </c>
      <c r="W193" s="71">
        <f>IF(ISERROR(VLOOKUP($T$193,'TAR FIN'!$A$1:$O$120,15,0)),0,VLOOKUP($T$193,'TAR FIN'!$A$1:$O$120,15,0))*(1-0.12)</f>
        <v>564.95119999999997</v>
      </c>
      <c r="X193" s="71">
        <f>IF(ISERROR(VLOOKUP($U$193,'TAR FIN'!$A$1:$O$120,15,0)),0,VLOOKUP($U$193,'TAR FIN'!$A$1:$O$120,15,0))*(1-0.12)</f>
        <v>379.16559999999998</v>
      </c>
      <c r="Y193" s="71"/>
      <c r="Z193" s="71">
        <f ca="1">('TUSD BE'!$AM$21+'TUSD BF'!$AM$21+'TUSD CVA'!$AM$21)*1*(1-0.09)</f>
        <v>680.4376080140571</v>
      </c>
      <c r="AA193" s="71">
        <f>('TE BE'!$AA$7+'TE BF'!$AA$7+'TE CVA'!$AA$7)*1*(1-0.09)</f>
        <v>341.87954044517699</v>
      </c>
      <c r="AB193" s="71">
        <f>(SUBSIDIO!$J$193*SUBSIDIO!$V$193)*(0.12)/(1-0.12)</f>
        <v>0</v>
      </c>
      <c r="AC193" s="71">
        <f>((SUBSIDIO!$L$193*SUBSIDIO!$W$193)+(SUBSIDIO!$N$193*SUBSIDIO!$X$193))*(0.12)/(1-0.12)</f>
        <v>6222.8025719999996</v>
      </c>
      <c r="AD193" s="71">
        <f>(SUBSIDIO!$J$193*SUBSIDIO!$Y$193)*(0.09)/(1-0.09)</f>
        <v>0</v>
      </c>
      <c r="AE193" s="71">
        <f ca="1">((SUBSIDIO!$L$193*SUBSIDIO!$Z$193)+(SUBSIDIO!$N$193*SUBSIDIO!$AA$193))*(0.09)/(1-0.09)</f>
        <v>4887.0691685383918</v>
      </c>
      <c r="AF193" s="4" t="s">
        <v>1148</v>
      </c>
    </row>
    <row r="194" spans="1:32" ht="11.25" customHeight="1" x14ac:dyDescent="0.25">
      <c r="A194" s="4" t="s">
        <v>21</v>
      </c>
      <c r="B194" s="4" t="s">
        <v>33</v>
      </c>
      <c r="C194" s="4" t="s">
        <v>41</v>
      </c>
      <c r="D194" s="4" t="s">
        <v>40</v>
      </c>
      <c r="E194" s="4" t="s">
        <v>25</v>
      </c>
      <c r="F194" s="4" t="s">
        <v>63</v>
      </c>
      <c r="G194" s="4" t="s">
        <v>25</v>
      </c>
      <c r="H194" s="4" t="s">
        <v>36</v>
      </c>
      <c r="I194" s="5">
        <v>43739</v>
      </c>
      <c r="J194" s="6">
        <v>44514</v>
      </c>
      <c r="K194" s="6">
        <v>32208.162123059999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4" t="s">
        <v>60</v>
      </c>
      <c r="R194" s="4">
        <v>0</v>
      </c>
      <c r="S194" s="4">
        <v>22</v>
      </c>
      <c r="T194" s="4">
        <v>0</v>
      </c>
      <c r="U194" s="4">
        <v>0</v>
      </c>
      <c r="V194" s="6">
        <f>IF(ISERROR(VLOOKUP($S$194,'TAR FIN'!$A$1:$O$120,15,0)),0,VLOOKUP($S$194,'TAR FIN'!$A$1:$O$120,15,0))</f>
        <v>8.81</v>
      </c>
      <c r="W194" s="6">
        <f>IF(ISERROR(VLOOKUP($T$194,'TAR FIN'!$A$1:$O$120,15,0)),0,VLOOKUP($T$194,'TAR FIN'!$A$1:$O$120,15,0))</f>
        <v>0</v>
      </c>
      <c r="X194" s="6">
        <f>IF(ISERROR(VLOOKUP($U$194,'TAR FIN'!$A$1:$O$120,15,0)),0,VLOOKUP($U$194,'TAR FIN'!$A$1:$O$120,15,0))</f>
        <v>0</v>
      </c>
      <c r="Y194" s="6">
        <f ca="1">('TUSD BE'!$AM$28+'TUSD BF'!$AM$28+'TUSD CVA'!$AM$28)*1</f>
        <v>11.452356648653195</v>
      </c>
      <c r="Z194" s="6">
        <f ca="1">('TUSD BE'!$AM$29+'TUSD BF'!$AM$29+'TUSD CVA'!$AM$29)*1</f>
        <v>87.519361965254689</v>
      </c>
      <c r="AA194" s="6"/>
      <c r="AB194" s="6">
        <f t="shared" ref="AB194:AB229" si="14">(J194-K194)*V194</f>
        <v>108414.43169584141</v>
      </c>
      <c r="AC194" s="6">
        <f t="shared" ref="AC194:AC229" si="15">(L194-M194)*W194+(N194-O194)*X194</f>
        <v>0</v>
      </c>
      <c r="AD194" s="6">
        <f t="shared" ref="AD194:AD229" ca="1" si="16">(J194-K194)*Y194</f>
        <v>140930.84422722214</v>
      </c>
      <c r="AE194" s="6">
        <f t="shared" ref="AE194:AE229" ca="1" si="17">(L194-M194)*Z194+(N194-O194)*AA194</f>
        <v>0</v>
      </c>
      <c r="AF194" s="4" t="s">
        <v>1150</v>
      </c>
    </row>
    <row r="195" spans="1:32" ht="11.25" customHeight="1" x14ac:dyDescent="0.25">
      <c r="A195" s="4" t="s">
        <v>21</v>
      </c>
      <c r="B195" s="4" t="s">
        <v>33</v>
      </c>
      <c r="C195" s="4" t="s">
        <v>41</v>
      </c>
      <c r="D195" s="4" t="s">
        <v>40</v>
      </c>
      <c r="E195" s="4" t="s">
        <v>25</v>
      </c>
      <c r="F195" s="4" t="s">
        <v>63</v>
      </c>
      <c r="G195" s="4" t="s">
        <v>25</v>
      </c>
      <c r="H195" s="4" t="s">
        <v>36</v>
      </c>
      <c r="I195" s="5">
        <v>43770</v>
      </c>
      <c r="J195" s="6">
        <v>45464</v>
      </c>
      <c r="K195" s="6">
        <v>32887.834701599997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4" t="s">
        <v>60</v>
      </c>
      <c r="R195" s="4">
        <v>0</v>
      </c>
      <c r="S195" s="4">
        <v>22</v>
      </c>
      <c r="T195" s="4">
        <v>0</v>
      </c>
      <c r="U195" s="4">
        <v>0</v>
      </c>
      <c r="V195" s="6">
        <f>IF(ISERROR(VLOOKUP($S$195,'TAR FIN'!$A$1:$O$120,15,0)),0,VLOOKUP($S$195,'TAR FIN'!$A$1:$O$120,15,0))</f>
        <v>8.81</v>
      </c>
      <c r="W195" s="6">
        <f>IF(ISERROR(VLOOKUP($T$195,'TAR FIN'!$A$1:$O$120,15,0)),0,VLOOKUP($T$195,'TAR FIN'!$A$1:$O$120,15,0))</f>
        <v>0</v>
      </c>
      <c r="X195" s="6">
        <f>IF(ISERROR(VLOOKUP($U$195,'TAR FIN'!$A$1:$O$120,15,0)),0,VLOOKUP($U$195,'TAR FIN'!$A$1:$O$120,15,0))</f>
        <v>0</v>
      </c>
      <c r="Y195" s="6">
        <f ca="1">('TUSD BE'!$AM$28+'TUSD BF'!$AM$28+'TUSD CVA'!$AM$28)*1</f>
        <v>11.452356648653195</v>
      </c>
      <c r="Z195" s="6">
        <f ca="1">('TUSD BE'!$AM$29+'TUSD BF'!$AM$29+'TUSD CVA'!$AM$29)*1</f>
        <v>87.519361965254689</v>
      </c>
      <c r="AA195" s="6"/>
      <c r="AB195" s="6">
        <f t="shared" si="14"/>
        <v>110796.01627890403</v>
      </c>
      <c r="AC195" s="6">
        <f t="shared" si="15"/>
        <v>0</v>
      </c>
      <c r="AD195" s="6">
        <f t="shared" ca="1" si="16"/>
        <v>144026.73026969287</v>
      </c>
      <c r="AE195" s="6">
        <f t="shared" ca="1" si="17"/>
        <v>0</v>
      </c>
      <c r="AF195" s="4" t="s">
        <v>1150</v>
      </c>
    </row>
    <row r="196" spans="1:32" ht="11.25" customHeight="1" x14ac:dyDescent="0.25">
      <c r="A196" s="4" t="s">
        <v>21</v>
      </c>
      <c r="B196" s="4" t="s">
        <v>33</v>
      </c>
      <c r="C196" s="4" t="s">
        <v>41</v>
      </c>
      <c r="D196" s="4" t="s">
        <v>40</v>
      </c>
      <c r="E196" s="4" t="s">
        <v>25</v>
      </c>
      <c r="F196" s="4" t="s">
        <v>63</v>
      </c>
      <c r="G196" s="4" t="s">
        <v>25</v>
      </c>
      <c r="H196" s="4" t="s">
        <v>36</v>
      </c>
      <c r="I196" s="5">
        <v>43800</v>
      </c>
      <c r="J196" s="6">
        <v>45464</v>
      </c>
      <c r="K196" s="6">
        <v>32994.665554159998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4" t="s">
        <v>60</v>
      </c>
      <c r="R196" s="4">
        <v>0</v>
      </c>
      <c r="S196" s="4">
        <v>22</v>
      </c>
      <c r="T196" s="4">
        <v>0</v>
      </c>
      <c r="U196" s="4">
        <v>0</v>
      </c>
      <c r="V196" s="6">
        <f>IF(ISERROR(VLOOKUP($S$196,'TAR FIN'!$A$1:$O$120,15,0)),0,VLOOKUP($S$196,'TAR FIN'!$A$1:$O$120,15,0))</f>
        <v>8.81</v>
      </c>
      <c r="W196" s="6">
        <f>IF(ISERROR(VLOOKUP($T$196,'TAR FIN'!$A$1:$O$120,15,0)),0,VLOOKUP($T$196,'TAR FIN'!$A$1:$O$120,15,0))</f>
        <v>0</v>
      </c>
      <c r="X196" s="6">
        <f>IF(ISERROR(VLOOKUP($U$196,'TAR FIN'!$A$1:$O$120,15,0)),0,VLOOKUP($U$196,'TAR FIN'!$A$1:$O$120,15,0))</f>
        <v>0</v>
      </c>
      <c r="Y196" s="6">
        <f ca="1">('TUSD BE'!$AM$28+'TUSD BF'!$AM$28+'TUSD CVA'!$AM$28)*1</f>
        <v>11.452356648653195</v>
      </c>
      <c r="Z196" s="6">
        <f ca="1">('TUSD BE'!$AM$29+'TUSD BF'!$AM$29+'TUSD CVA'!$AM$29)*1</f>
        <v>87.519361965254689</v>
      </c>
      <c r="AA196" s="6"/>
      <c r="AB196" s="6">
        <f t="shared" si="14"/>
        <v>109854.83646785043</v>
      </c>
      <c r="AC196" s="6">
        <f t="shared" si="15"/>
        <v>0</v>
      </c>
      <c r="AD196" s="6">
        <f t="shared" ca="1" si="16"/>
        <v>142803.26524509606</v>
      </c>
      <c r="AE196" s="6">
        <f t="shared" ca="1" si="17"/>
        <v>0</v>
      </c>
      <c r="AF196" s="4" t="s">
        <v>1150</v>
      </c>
    </row>
    <row r="197" spans="1:32" ht="11.25" customHeight="1" x14ac:dyDescent="0.25">
      <c r="A197" s="4" t="s">
        <v>21</v>
      </c>
      <c r="B197" s="4" t="s">
        <v>33</v>
      </c>
      <c r="C197" s="4" t="s">
        <v>41</v>
      </c>
      <c r="D197" s="4" t="s">
        <v>40</v>
      </c>
      <c r="E197" s="4" t="s">
        <v>25</v>
      </c>
      <c r="F197" s="4" t="s">
        <v>63</v>
      </c>
      <c r="G197" s="4" t="s">
        <v>25</v>
      </c>
      <c r="H197" s="4" t="s">
        <v>36</v>
      </c>
      <c r="I197" s="5">
        <v>43831</v>
      </c>
      <c r="J197" s="6">
        <v>46480</v>
      </c>
      <c r="K197" s="6">
        <v>33682.745263999997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4" t="s">
        <v>60</v>
      </c>
      <c r="R197" s="4">
        <v>0</v>
      </c>
      <c r="S197" s="4">
        <v>22</v>
      </c>
      <c r="T197" s="4">
        <v>0</v>
      </c>
      <c r="U197" s="4">
        <v>0</v>
      </c>
      <c r="V197" s="6">
        <f>IF(ISERROR(VLOOKUP($S$197,'TAR FIN'!$A$1:$O$120,15,0)),0,VLOOKUP($S$197,'TAR FIN'!$A$1:$O$120,15,0))</f>
        <v>8.81</v>
      </c>
      <c r="W197" s="6">
        <f>IF(ISERROR(VLOOKUP($T$197,'TAR FIN'!$A$1:$O$120,15,0)),0,VLOOKUP($T$197,'TAR FIN'!$A$1:$O$120,15,0))</f>
        <v>0</v>
      </c>
      <c r="X197" s="6">
        <f>IF(ISERROR(VLOOKUP($U$197,'TAR FIN'!$A$1:$O$120,15,0)),0,VLOOKUP($U$197,'TAR FIN'!$A$1:$O$120,15,0))</f>
        <v>0</v>
      </c>
      <c r="Y197" s="6">
        <f ca="1">('TUSD BE'!$AM$28+'TUSD BF'!$AM$28+'TUSD CVA'!$AM$28)*1</f>
        <v>11.452356648653195</v>
      </c>
      <c r="Z197" s="6">
        <f ca="1">('TUSD BE'!$AM$29+'TUSD BF'!$AM$29+'TUSD CVA'!$AM$29)*1</f>
        <v>87.519361965254689</v>
      </c>
      <c r="AA197" s="6"/>
      <c r="AB197" s="6">
        <f t="shared" si="14"/>
        <v>112743.81422416003</v>
      </c>
      <c r="AC197" s="6">
        <f t="shared" si="15"/>
        <v>0</v>
      </c>
      <c r="AD197" s="6">
        <f t="shared" ca="1" si="16"/>
        <v>146558.72536033823</v>
      </c>
      <c r="AE197" s="6">
        <f t="shared" ca="1" si="17"/>
        <v>0</v>
      </c>
      <c r="AF197" s="4" t="s">
        <v>1150</v>
      </c>
    </row>
    <row r="198" spans="1:32" ht="11.25" customHeight="1" x14ac:dyDescent="0.25">
      <c r="A198" s="4" t="s">
        <v>21</v>
      </c>
      <c r="B198" s="4" t="s">
        <v>33</v>
      </c>
      <c r="C198" s="4" t="s">
        <v>41</v>
      </c>
      <c r="D198" s="4" t="s">
        <v>40</v>
      </c>
      <c r="E198" s="4" t="s">
        <v>25</v>
      </c>
      <c r="F198" s="4" t="s">
        <v>63</v>
      </c>
      <c r="G198" s="4" t="s">
        <v>25</v>
      </c>
      <c r="H198" s="4" t="s">
        <v>36</v>
      </c>
      <c r="I198" s="5">
        <v>43862</v>
      </c>
      <c r="J198" s="6">
        <v>46780</v>
      </c>
      <c r="K198" s="6">
        <v>33733.502877799998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4" t="s">
        <v>60</v>
      </c>
      <c r="R198" s="4">
        <v>0</v>
      </c>
      <c r="S198" s="4">
        <v>22</v>
      </c>
      <c r="T198" s="4">
        <v>0</v>
      </c>
      <c r="U198" s="4">
        <v>0</v>
      </c>
      <c r="V198" s="6">
        <f>IF(ISERROR(VLOOKUP($S$198,'TAR FIN'!$A$1:$O$120,15,0)),0,VLOOKUP($S$198,'TAR FIN'!$A$1:$O$120,15,0))</f>
        <v>8.81</v>
      </c>
      <c r="W198" s="6">
        <f>IF(ISERROR(VLOOKUP($T$198,'TAR FIN'!$A$1:$O$120,15,0)),0,VLOOKUP($T$198,'TAR FIN'!$A$1:$O$120,15,0))</f>
        <v>0</v>
      </c>
      <c r="X198" s="6">
        <f>IF(ISERROR(VLOOKUP($U$198,'TAR FIN'!$A$1:$O$120,15,0)),0,VLOOKUP($U$198,'TAR FIN'!$A$1:$O$120,15,0))</f>
        <v>0</v>
      </c>
      <c r="Y198" s="6">
        <f ca="1">('TUSD BE'!$AM$28+'TUSD BF'!$AM$28+'TUSD CVA'!$AM$28)*1</f>
        <v>11.452356648653195</v>
      </c>
      <c r="Z198" s="6">
        <f ca="1">('TUSD BE'!$AM$29+'TUSD BF'!$AM$29+'TUSD CVA'!$AM$29)*1</f>
        <v>87.519361965254689</v>
      </c>
      <c r="AA198" s="6"/>
      <c r="AB198" s="6">
        <f t="shared" si="14"/>
        <v>114939.63964658203</v>
      </c>
      <c r="AC198" s="6">
        <f t="shared" si="15"/>
        <v>0</v>
      </c>
      <c r="AD198" s="6">
        <f t="shared" ca="1" si="16"/>
        <v>149413.13805906198</v>
      </c>
      <c r="AE198" s="6">
        <f t="shared" ca="1" si="17"/>
        <v>0</v>
      </c>
      <c r="AF198" s="4" t="s">
        <v>1150</v>
      </c>
    </row>
    <row r="199" spans="1:32" ht="11.25" customHeight="1" x14ac:dyDescent="0.25">
      <c r="A199" s="4" t="s">
        <v>21</v>
      </c>
      <c r="B199" s="4" t="s">
        <v>33</v>
      </c>
      <c r="C199" s="4" t="s">
        <v>41</v>
      </c>
      <c r="D199" s="4" t="s">
        <v>40</v>
      </c>
      <c r="E199" s="4" t="s">
        <v>25</v>
      </c>
      <c r="F199" s="4" t="s">
        <v>63</v>
      </c>
      <c r="G199" s="4" t="s">
        <v>25</v>
      </c>
      <c r="H199" s="4" t="s">
        <v>36</v>
      </c>
      <c r="I199" s="5">
        <v>43891</v>
      </c>
      <c r="J199" s="6">
        <v>46293</v>
      </c>
      <c r="K199" s="6">
        <v>35032.826318489999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4" t="s">
        <v>60</v>
      </c>
      <c r="R199" s="4">
        <v>0</v>
      </c>
      <c r="S199" s="4">
        <v>22</v>
      </c>
      <c r="T199" s="4">
        <v>0</v>
      </c>
      <c r="U199" s="4">
        <v>0</v>
      </c>
      <c r="V199" s="6">
        <f>IF(ISERROR(VLOOKUP($S$199,'TAR FIN'!$A$1:$O$120,15,0)),0,VLOOKUP($S$199,'TAR FIN'!$A$1:$O$120,15,0))</f>
        <v>8.81</v>
      </c>
      <c r="W199" s="6">
        <f>IF(ISERROR(VLOOKUP($T$199,'TAR FIN'!$A$1:$O$120,15,0)),0,VLOOKUP($T$199,'TAR FIN'!$A$1:$O$120,15,0))</f>
        <v>0</v>
      </c>
      <c r="X199" s="6">
        <f>IF(ISERROR(VLOOKUP($U$199,'TAR FIN'!$A$1:$O$120,15,0)),0,VLOOKUP($U$199,'TAR FIN'!$A$1:$O$120,15,0))</f>
        <v>0</v>
      </c>
      <c r="Y199" s="6">
        <f ca="1">('TUSD BE'!$AM$28+'TUSD BF'!$AM$28+'TUSD CVA'!$AM$28)*1</f>
        <v>11.452356648653195</v>
      </c>
      <c r="Z199" s="6">
        <f ca="1">('TUSD BE'!$AM$29+'TUSD BF'!$AM$29+'TUSD CVA'!$AM$29)*1</f>
        <v>87.519361965254689</v>
      </c>
      <c r="AA199" s="6"/>
      <c r="AB199" s="6">
        <f t="shared" si="14"/>
        <v>99202.130134103121</v>
      </c>
      <c r="AC199" s="6">
        <f t="shared" si="15"/>
        <v>0</v>
      </c>
      <c r="AD199" s="6">
        <f t="shared" ca="1" si="16"/>
        <v>128955.52492643079</v>
      </c>
      <c r="AE199" s="6">
        <f t="shared" ca="1" si="17"/>
        <v>0</v>
      </c>
      <c r="AF199" s="4" t="s">
        <v>1150</v>
      </c>
    </row>
    <row r="200" spans="1:32" ht="11.25" customHeight="1" x14ac:dyDescent="0.25">
      <c r="A200" s="4" t="s">
        <v>21</v>
      </c>
      <c r="B200" s="4" t="s">
        <v>33</v>
      </c>
      <c r="C200" s="4" t="s">
        <v>41</v>
      </c>
      <c r="D200" s="4" t="s">
        <v>40</v>
      </c>
      <c r="E200" s="4" t="s">
        <v>25</v>
      </c>
      <c r="F200" s="4" t="s">
        <v>63</v>
      </c>
      <c r="G200" s="4" t="s">
        <v>25</v>
      </c>
      <c r="H200" s="4" t="s">
        <v>36</v>
      </c>
      <c r="I200" s="5">
        <v>43922</v>
      </c>
      <c r="J200" s="6">
        <v>46409</v>
      </c>
      <c r="K200" s="6">
        <v>34877.248983719997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4" t="s">
        <v>60</v>
      </c>
      <c r="R200" s="4">
        <v>0</v>
      </c>
      <c r="S200" s="4">
        <v>22</v>
      </c>
      <c r="T200" s="4">
        <v>0</v>
      </c>
      <c r="U200" s="4">
        <v>0</v>
      </c>
      <c r="V200" s="6">
        <f>IF(ISERROR(VLOOKUP($S$200,'TAR FIN'!$A$1:$O$120,15,0)),0,VLOOKUP($S$200,'TAR FIN'!$A$1:$O$120,15,0))</f>
        <v>8.81</v>
      </c>
      <c r="W200" s="6">
        <f>IF(ISERROR(VLOOKUP($T$200,'TAR FIN'!$A$1:$O$120,15,0)),0,VLOOKUP($T$200,'TAR FIN'!$A$1:$O$120,15,0))</f>
        <v>0</v>
      </c>
      <c r="X200" s="6">
        <f>IF(ISERROR(VLOOKUP($U$200,'TAR FIN'!$A$1:$O$120,15,0)),0,VLOOKUP($U$200,'TAR FIN'!$A$1:$O$120,15,0))</f>
        <v>0</v>
      </c>
      <c r="Y200" s="6">
        <f ca="1">('TUSD BE'!$AM$28+'TUSD BF'!$AM$28+'TUSD CVA'!$AM$28)*1</f>
        <v>11.452356648653195</v>
      </c>
      <c r="Z200" s="6">
        <f ca="1">('TUSD BE'!$AM$29+'TUSD BF'!$AM$29+'TUSD CVA'!$AM$29)*1</f>
        <v>87.519361965254689</v>
      </c>
      <c r="AA200" s="6"/>
      <c r="AB200" s="6">
        <f t="shared" si="14"/>
        <v>101594.72645342683</v>
      </c>
      <c r="AC200" s="6">
        <f t="shared" si="15"/>
        <v>0</v>
      </c>
      <c r="AD200" s="6">
        <f t="shared" ca="1" si="16"/>
        <v>132065.72542190753</v>
      </c>
      <c r="AE200" s="6">
        <f t="shared" ca="1" si="17"/>
        <v>0</v>
      </c>
      <c r="AF200" s="4" t="s">
        <v>1150</v>
      </c>
    </row>
    <row r="201" spans="1:32" ht="11.25" customHeight="1" x14ac:dyDescent="0.25">
      <c r="A201" s="4" t="s">
        <v>21</v>
      </c>
      <c r="B201" s="4" t="s">
        <v>33</v>
      </c>
      <c r="C201" s="4" t="s">
        <v>41</v>
      </c>
      <c r="D201" s="4" t="s">
        <v>40</v>
      </c>
      <c r="E201" s="4" t="s">
        <v>25</v>
      </c>
      <c r="F201" s="4" t="s">
        <v>63</v>
      </c>
      <c r="G201" s="4" t="s">
        <v>25</v>
      </c>
      <c r="H201" s="4" t="s">
        <v>36</v>
      </c>
      <c r="I201" s="5">
        <v>43952</v>
      </c>
      <c r="J201" s="6">
        <v>41910</v>
      </c>
      <c r="K201" s="6">
        <v>31494.346587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4" t="s">
        <v>60</v>
      </c>
      <c r="R201" s="4">
        <v>0</v>
      </c>
      <c r="S201" s="4">
        <v>22</v>
      </c>
      <c r="T201" s="4">
        <v>0</v>
      </c>
      <c r="U201" s="4">
        <v>0</v>
      </c>
      <c r="V201" s="6">
        <f>IF(ISERROR(VLOOKUP($S$201,'TAR FIN'!$A$1:$O$120,15,0)),0,VLOOKUP($S$201,'TAR FIN'!$A$1:$O$120,15,0))</f>
        <v>8.81</v>
      </c>
      <c r="W201" s="6">
        <f>IF(ISERROR(VLOOKUP($T$201,'TAR FIN'!$A$1:$O$120,15,0)),0,VLOOKUP($T$201,'TAR FIN'!$A$1:$O$120,15,0))</f>
        <v>0</v>
      </c>
      <c r="X201" s="6">
        <f>IF(ISERROR(VLOOKUP($U$201,'TAR FIN'!$A$1:$O$120,15,0)),0,VLOOKUP($U$201,'TAR FIN'!$A$1:$O$120,15,0))</f>
        <v>0</v>
      </c>
      <c r="Y201" s="6">
        <f ca="1">('TUSD BE'!$AM$28+'TUSD BF'!$AM$28+'TUSD CVA'!$AM$28)*1</f>
        <v>11.452356648653195</v>
      </c>
      <c r="Z201" s="6">
        <f ca="1">('TUSD BE'!$AM$29+'TUSD BF'!$AM$29+'TUSD CVA'!$AM$29)*1</f>
        <v>87.519361965254689</v>
      </c>
      <c r="AA201" s="6"/>
      <c r="AB201" s="6">
        <f t="shared" si="14"/>
        <v>91761.906568530001</v>
      </c>
      <c r="AC201" s="6">
        <f t="shared" si="15"/>
        <v>0</v>
      </c>
      <c r="AD201" s="6">
        <f t="shared" ca="1" si="16"/>
        <v>119283.77761443789</v>
      </c>
      <c r="AE201" s="6">
        <f t="shared" ca="1" si="17"/>
        <v>0</v>
      </c>
      <c r="AF201" s="4" t="s">
        <v>1150</v>
      </c>
    </row>
    <row r="202" spans="1:32" ht="11.25" customHeight="1" x14ac:dyDescent="0.25">
      <c r="A202" s="4" t="s">
        <v>21</v>
      </c>
      <c r="B202" s="4" t="s">
        <v>33</v>
      </c>
      <c r="C202" s="4" t="s">
        <v>41</v>
      </c>
      <c r="D202" s="4" t="s">
        <v>40</v>
      </c>
      <c r="E202" s="4" t="s">
        <v>25</v>
      </c>
      <c r="F202" s="4" t="s">
        <v>63</v>
      </c>
      <c r="G202" s="4" t="s">
        <v>25</v>
      </c>
      <c r="H202" s="4" t="s">
        <v>36</v>
      </c>
      <c r="I202" s="5">
        <v>43983</v>
      </c>
      <c r="J202" s="6">
        <v>41910</v>
      </c>
      <c r="K202" s="6">
        <v>30967.857241199999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4" t="s">
        <v>60</v>
      </c>
      <c r="R202" s="4">
        <v>0</v>
      </c>
      <c r="S202" s="4">
        <v>22</v>
      </c>
      <c r="T202" s="4">
        <v>0</v>
      </c>
      <c r="U202" s="4">
        <v>0</v>
      </c>
      <c r="V202" s="6">
        <f>IF(ISERROR(VLOOKUP($S$202,'TAR FIN'!$A$1:$O$120,15,0)),0,VLOOKUP($S$202,'TAR FIN'!$A$1:$O$120,15,0))</f>
        <v>8.81</v>
      </c>
      <c r="W202" s="6">
        <f>IF(ISERROR(VLOOKUP($T$202,'TAR FIN'!$A$1:$O$120,15,0)),0,VLOOKUP($T$202,'TAR FIN'!$A$1:$O$120,15,0))</f>
        <v>0</v>
      </c>
      <c r="X202" s="6">
        <f>IF(ISERROR(VLOOKUP($U$202,'TAR FIN'!$A$1:$O$120,15,0)),0,VLOOKUP($U$202,'TAR FIN'!$A$1:$O$120,15,0))</f>
        <v>0</v>
      </c>
      <c r="Y202" s="6">
        <f ca="1">('TUSD BE'!$AM$28+'TUSD BF'!$AM$28+'TUSD CVA'!$AM$28)*1</f>
        <v>11.452356648653195</v>
      </c>
      <c r="Z202" s="6">
        <f ca="1">('TUSD BE'!$AM$29+'TUSD BF'!$AM$29+'TUSD CVA'!$AM$29)*1</f>
        <v>87.519361965254689</v>
      </c>
      <c r="AA202" s="6"/>
      <c r="AB202" s="6">
        <f t="shared" si="14"/>
        <v>96400.277705028013</v>
      </c>
      <c r="AC202" s="6">
        <f t="shared" si="15"/>
        <v>0</v>
      </c>
      <c r="AD202" s="6">
        <f t="shared" ca="1" si="16"/>
        <v>125313.3213742556</v>
      </c>
      <c r="AE202" s="6">
        <f t="shared" ca="1" si="17"/>
        <v>0</v>
      </c>
      <c r="AF202" s="4" t="s">
        <v>1150</v>
      </c>
    </row>
    <row r="203" spans="1:32" ht="11.25" customHeight="1" x14ac:dyDescent="0.25">
      <c r="A203" s="4" t="s">
        <v>21</v>
      </c>
      <c r="B203" s="4" t="s">
        <v>33</v>
      </c>
      <c r="C203" s="4" t="s">
        <v>41</v>
      </c>
      <c r="D203" s="4" t="s">
        <v>40</v>
      </c>
      <c r="E203" s="4" t="s">
        <v>25</v>
      </c>
      <c r="F203" s="4" t="s">
        <v>63</v>
      </c>
      <c r="G203" s="4" t="s">
        <v>25</v>
      </c>
      <c r="H203" s="4" t="s">
        <v>36</v>
      </c>
      <c r="I203" s="5">
        <v>44013</v>
      </c>
      <c r="J203" s="6">
        <v>44011</v>
      </c>
      <c r="K203" s="6">
        <v>32106.63053147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4" t="s">
        <v>60</v>
      </c>
      <c r="R203" s="4">
        <v>0</v>
      </c>
      <c r="S203" s="4">
        <v>22</v>
      </c>
      <c r="T203" s="4">
        <v>0</v>
      </c>
      <c r="U203" s="4">
        <v>0</v>
      </c>
      <c r="V203" s="6">
        <f>IF(ISERROR(VLOOKUP($S$203,'TAR FIN'!$A$1:$O$120,15,0)),0,VLOOKUP($S$203,'TAR FIN'!$A$1:$O$120,15,0))</f>
        <v>8.81</v>
      </c>
      <c r="W203" s="6">
        <f>IF(ISERROR(VLOOKUP($T$203,'TAR FIN'!$A$1:$O$120,15,0)),0,VLOOKUP($T$203,'TAR FIN'!$A$1:$O$120,15,0))</f>
        <v>0</v>
      </c>
      <c r="X203" s="6">
        <f>IF(ISERROR(VLOOKUP($U$203,'TAR FIN'!$A$1:$O$120,15,0)),0,VLOOKUP($U$203,'TAR FIN'!$A$1:$O$120,15,0))</f>
        <v>0</v>
      </c>
      <c r="Y203" s="6">
        <f ca="1">('TUSD BE'!$AM$28+'TUSD BF'!$AM$28+'TUSD CVA'!$AM$28)*1</f>
        <v>11.452356648653195</v>
      </c>
      <c r="Z203" s="6">
        <f ca="1">('TUSD BE'!$AM$29+'TUSD BF'!$AM$29+'TUSD CVA'!$AM$29)*1</f>
        <v>87.519361965254689</v>
      </c>
      <c r="AA203" s="6"/>
      <c r="AB203" s="6">
        <f t="shared" si="14"/>
        <v>104877.4950177493</v>
      </c>
      <c r="AC203" s="6">
        <f t="shared" si="15"/>
        <v>0</v>
      </c>
      <c r="AD203" s="6">
        <f t="shared" ca="1" si="16"/>
        <v>136333.08483094364</v>
      </c>
      <c r="AE203" s="6">
        <f t="shared" ca="1" si="17"/>
        <v>0</v>
      </c>
      <c r="AF203" s="4" t="s">
        <v>1150</v>
      </c>
    </row>
    <row r="204" spans="1:32" ht="11.25" customHeight="1" x14ac:dyDescent="0.25">
      <c r="A204" s="4" t="s">
        <v>21</v>
      </c>
      <c r="B204" s="4" t="s">
        <v>33</v>
      </c>
      <c r="C204" s="4" t="s">
        <v>41</v>
      </c>
      <c r="D204" s="4" t="s">
        <v>40</v>
      </c>
      <c r="E204" s="4" t="s">
        <v>25</v>
      </c>
      <c r="F204" s="4" t="s">
        <v>63</v>
      </c>
      <c r="G204" s="4" t="s">
        <v>25</v>
      </c>
      <c r="H204" s="4" t="s">
        <v>36</v>
      </c>
      <c r="I204" s="5">
        <v>44044</v>
      </c>
      <c r="J204" s="6">
        <v>44798</v>
      </c>
      <c r="K204" s="6">
        <v>33598.5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4" t="s">
        <v>60</v>
      </c>
      <c r="R204" s="4">
        <v>0</v>
      </c>
      <c r="S204" s="4">
        <v>22</v>
      </c>
      <c r="T204" s="4">
        <v>0</v>
      </c>
      <c r="U204" s="4">
        <v>0</v>
      </c>
      <c r="V204" s="6">
        <f>IF(ISERROR(VLOOKUP($S$204,'TAR FIN'!$A$1:$O$120,15,0)),0,VLOOKUP($S$204,'TAR FIN'!$A$1:$O$120,15,0))</f>
        <v>8.81</v>
      </c>
      <c r="W204" s="6">
        <f>IF(ISERROR(VLOOKUP($T$204,'TAR FIN'!$A$1:$O$120,15,0)),0,VLOOKUP($T$204,'TAR FIN'!$A$1:$O$120,15,0))</f>
        <v>0</v>
      </c>
      <c r="X204" s="6">
        <f>IF(ISERROR(VLOOKUP($U$204,'TAR FIN'!$A$1:$O$120,15,0)),0,VLOOKUP($U$204,'TAR FIN'!$A$1:$O$120,15,0))</f>
        <v>0</v>
      </c>
      <c r="Y204" s="6">
        <f ca="1">('TUSD BE'!$AM$28+'TUSD BF'!$AM$28+'TUSD CVA'!$AM$28)*1</f>
        <v>11.452356648653195</v>
      </c>
      <c r="Z204" s="6">
        <f ca="1">('TUSD BE'!$AM$29+'TUSD BF'!$AM$29+'TUSD CVA'!$AM$29)*1</f>
        <v>87.519361965254689</v>
      </c>
      <c r="AA204" s="6"/>
      <c r="AB204" s="6">
        <f t="shared" si="14"/>
        <v>98667.595000000001</v>
      </c>
      <c r="AC204" s="6">
        <f t="shared" si="15"/>
        <v>0</v>
      </c>
      <c r="AD204" s="6">
        <f t="shared" ca="1" si="16"/>
        <v>128260.66828659146</v>
      </c>
      <c r="AE204" s="6">
        <f t="shared" ca="1" si="17"/>
        <v>0</v>
      </c>
      <c r="AF204" s="4" t="s">
        <v>1150</v>
      </c>
    </row>
    <row r="205" spans="1:32" ht="11.25" customHeight="1" x14ac:dyDescent="0.25">
      <c r="A205" s="4" t="s">
        <v>59</v>
      </c>
      <c r="B205" s="4" t="s">
        <v>33</v>
      </c>
      <c r="C205" s="4" t="s">
        <v>41</v>
      </c>
      <c r="D205" s="4" t="s">
        <v>40</v>
      </c>
      <c r="E205" s="4" t="s">
        <v>25</v>
      </c>
      <c r="F205" s="4" t="s">
        <v>63</v>
      </c>
      <c r="G205" s="4" t="s">
        <v>25</v>
      </c>
      <c r="H205" s="4" t="s">
        <v>36</v>
      </c>
      <c r="I205" s="5">
        <v>44075</v>
      </c>
      <c r="J205" s="6">
        <v>44798</v>
      </c>
      <c r="K205" s="6">
        <v>33598.5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4" t="s">
        <v>60</v>
      </c>
      <c r="R205" s="4">
        <v>0</v>
      </c>
      <c r="S205" s="4">
        <v>22</v>
      </c>
      <c r="T205" s="4">
        <v>0</v>
      </c>
      <c r="U205" s="4">
        <v>0</v>
      </c>
      <c r="V205" s="6">
        <f>IF(ISERROR(VLOOKUP($S$205,'TAR FIN'!$A$1:$O$120,15,0)),0,VLOOKUP($S$205,'TAR FIN'!$A$1:$O$120,15,0))</f>
        <v>8.81</v>
      </c>
      <c r="W205" s="6">
        <f>IF(ISERROR(VLOOKUP($T$205,'TAR FIN'!$A$1:$O$120,15,0)),0,VLOOKUP($T$205,'TAR FIN'!$A$1:$O$120,15,0))</f>
        <v>0</v>
      </c>
      <c r="X205" s="6">
        <f>IF(ISERROR(VLOOKUP($U$205,'TAR FIN'!$A$1:$O$120,15,0)),0,VLOOKUP($U$205,'TAR FIN'!$A$1:$O$120,15,0))</f>
        <v>0</v>
      </c>
      <c r="Y205" s="6">
        <f ca="1">('TUSD BE'!$AM$28+'TUSD BF'!$AM$28+'TUSD CVA'!$AM$28)*1</f>
        <v>11.452356648653195</v>
      </c>
      <c r="Z205" s="6">
        <f ca="1">('TUSD BE'!$AM$29+'TUSD BF'!$AM$29+'TUSD CVA'!$AM$29)*1</f>
        <v>87.519361965254689</v>
      </c>
      <c r="AA205" s="6"/>
      <c r="AB205" s="6">
        <f t="shared" si="14"/>
        <v>98667.595000000001</v>
      </c>
      <c r="AC205" s="6">
        <f t="shared" si="15"/>
        <v>0</v>
      </c>
      <c r="AD205" s="6">
        <f t="shared" ca="1" si="16"/>
        <v>128260.66828659146</v>
      </c>
      <c r="AE205" s="6">
        <f t="shared" ca="1" si="17"/>
        <v>0</v>
      </c>
      <c r="AF205" s="4" t="s">
        <v>1150</v>
      </c>
    </row>
    <row r="206" spans="1:32" ht="11.25" customHeight="1" x14ac:dyDescent="0.25">
      <c r="A206" s="4" t="s">
        <v>21</v>
      </c>
      <c r="B206" s="4" t="s">
        <v>33</v>
      </c>
      <c r="C206" s="4" t="s">
        <v>41</v>
      </c>
      <c r="D206" s="4" t="s">
        <v>40</v>
      </c>
      <c r="E206" s="4" t="s">
        <v>25</v>
      </c>
      <c r="F206" s="4" t="s">
        <v>63</v>
      </c>
      <c r="G206" s="4" t="s">
        <v>25</v>
      </c>
      <c r="H206" s="4" t="s">
        <v>25</v>
      </c>
      <c r="I206" s="5">
        <v>43739</v>
      </c>
      <c r="J206" s="6">
        <v>0</v>
      </c>
      <c r="K206" s="6">
        <v>0</v>
      </c>
      <c r="L206" s="6">
        <v>20287.528999999999</v>
      </c>
      <c r="M206" s="6">
        <v>20287.528999999999</v>
      </c>
      <c r="N206" s="6">
        <v>0</v>
      </c>
      <c r="O206" s="6">
        <v>0</v>
      </c>
      <c r="P206" s="6">
        <v>45</v>
      </c>
      <c r="Q206" s="4" t="s">
        <v>60</v>
      </c>
      <c r="R206" s="4">
        <v>0</v>
      </c>
      <c r="S206" s="4">
        <v>0</v>
      </c>
      <c r="T206" s="4">
        <v>23</v>
      </c>
      <c r="U206" s="4">
        <v>0</v>
      </c>
      <c r="V206" s="6">
        <f>IF(ISERROR(VLOOKUP($S$206,'TAR FIN'!$A$1:$O$120,15,0)),0,VLOOKUP($S$206,'TAR FIN'!$A$1:$O$120,15,0))</f>
        <v>0</v>
      </c>
      <c r="W206" s="6">
        <f>IF(ISERROR(VLOOKUP($T$206,'TAR FIN'!$A$1:$O$120,15,0)),0,VLOOKUP($T$206,'TAR FIN'!$A$1:$O$120,15,0))</f>
        <v>84.45</v>
      </c>
      <c r="X206" s="6">
        <f>IF(ISERROR(VLOOKUP($U$206,'TAR FIN'!$A$1:$O$120,15,0)),0,VLOOKUP($U$206,'TAR FIN'!$A$1:$O$120,15,0))</f>
        <v>0</v>
      </c>
      <c r="Y206" s="6"/>
      <c r="Z206" s="6">
        <f ca="1">('TUSD BE'!$AM$29+'TUSD BF'!$AM$29+'TUSD CVA'!$AM$29)*1</f>
        <v>87.519361965254689</v>
      </c>
      <c r="AA206" s="6"/>
      <c r="AB206" s="6">
        <f t="shared" si="14"/>
        <v>0</v>
      </c>
      <c r="AC206" s="6">
        <f t="shared" si="15"/>
        <v>0</v>
      </c>
      <c r="AD206" s="6">
        <f t="shared" si="16"/>
        <v>0</v>
      </c>
      <c r="AE206" s="6">
        <f t="shared" ca="1" si="17"/>
        <v>0</v>
      </c>
      <c r="AF206" s="4" t="s">
        <v>1150</v>
      </c>
    </row>
    <row r="207" spans="1:32" ht="11.25" customHeight="1" x14ac:dyDescent="0.25">
      <c r="A207" s="4" t="s">
        <v>21</v>
      </c>
      <c r="B207" s="4" t="s">
        <v>33</v>
      </c>
      <c r="C207" s="4" t="s">
        <v>41</v>
      </c>
      <c r="D207" s="4" t="s">
        <v>40</v>
      </c>
      <c r="E207" s="4" t="s">
        <v>25</v>
      </c>
      <c r="F207" s="4" t="s">
        <v>63</v>
      </c>
      <c r="G207" s="4" t="s">
        <v>25</v>
      </c>
      <c r="H207" s="4" t="s">
        <v>25</v>
      </c>
      <c r="I207" s="5">
        <v>43770</v>
      </c>
      <c r="J207" s="6">
        <v>0</v>
      </c>
      <c r="K207" s="6">
        <v>0</v>
      </c>
      <c r="L207" s="6">
        <v>19718.810000000001</v>
      </c>
      <c r="M207" s="6">
        <v>19718.810000000001</v>
      </c>
      <c r="N207" s="6">
        <v>0</v>
      </c>
      <c r="O207" s="6">
        <v>0</v>
      </c>
      <c r="P207" s="6">
        <v>48</v>
      </c>
      <c r="Q207" s="4" t="s">
        <v>60</v>
      </c>
      <c r="R207" s="4">
        <v>0</v>
      </c>
      <c r="S207" s="4">
        <v>0</v>
      </c>
      <c r="T207" s="4">
        <v>23</v>
      </c>
      <c r="U207" s="4">
        <v>0</v>
      </c>
      <c r="V207" s="6">
        <f>IF(ISERROR(VLOOKUP($S$207,'TAR FIN'!$A$1:$O$120,15,0)),0,VLOOKUP($S$207,'TAR FIN'!$A$1:$O$120,15,0))</f>
        <v>0</v>
      </c>
      <c r="W207" s="6">
        <f>IF(ISERROR(VLOOKUP($T$207,'TAR FIN'!$A$1:$O$120,15,0)),0,VLOOKUP($T$207,'TAR FIN'!$A$1:$O$120,15,0))</f>
        <v>84.45</v>
      </c>
      <c r="X207" s="6">
        <f>IF(ISERROR(VLOOKUP($U$207,'TAR FIN'!$A$1:$O$120,15,0)),0,VLOOKUP($U$207,'TAR FIN'!$A$1:$O$120,15,0))</f>
        <v>0</v>
      </c>
      <c r="Y207" s="6"/>
      <c r="Z207" s="6">
        <f ca="1">('TUSD BE'!$AM$29+'TUSD BF'!$AM$29+'TUSD CVA'!$AM$29)*1</f>
        <v>87.519361965254689</v>
      </c>
      <c r="AA207" s="6"/>
      <c r="AB207" s="6">
        <f t="shared" si="14"/>
        <v>0</v>
      </c>
      <c r="AC207" s="6">
        <f t="shared" si="15"/>
        <v>0</v>
      </c>
      <c r="AD207" s="6">
        <f t="shared" si="16"/>
        <v>0</v>
      </c>
      <c r="AE207" s="6">
        <f t="shared" ca="1" si="17"/>
        <v>0</v>
      </c>
      <c r="AF207" s="4" t="s">
        <v>1150</v>
      </c>
    </row>
    <row r="208" spans="1:32" ht="11.25" customHeight="1" x14ac:dyDescent="0.25">
      <c r="A208" s="4" t="s">
        <v>21</v>
      </c>
      <c r="B208" s="4" t="s">
        <v>33</v>
      </c>
      <c r="C208" s="4" t="s">
        <v>41</v>
      </c>
      <c r="D208" s="4" t="s">
        <v>40</v>
      </c>
      <c r="E208" s="4" t="s">
        <v>25</v>
      </c>
      <c r="F208" s="4" t="s">
        <v>63</v>
      </c>
      <c r="G208" s="4" t="s">
        <v>25</v>
      </c>
      <c r="H208" s="4" t="s">
        <v>25</v>
      </c>
      <c r="I208" s="5">
        <v>43800</v>
      </c>
      <c r="J208" s="6">
        <v>0</v>
      </c>
      <c r="K208" s="6">
        <v>0</v>
      </c>
      <c r="L208" s="6">
        <v>19907.462</v>
      </c>
      <c r="M208" s="6">
        <v>19907.462</v>
      </c>
      <c r="N208" s="6">
        <v>0</v>
      </c>
      <c r="O208" s="6">
        <v>0</v>
      </c>
      <c r="P208" s="6">
        <v>48</v>
      </c>
      <c r="Q208" s="4" t="s">
        <v>60</v>
      </c>
      <c r="R208" s="4">
        <v>0</v>
      </c>
      <c r="S208" s="4">
        <v>0</v>
      </c>
      <c r="T208" s="4">
        <v>23</v>
      </c>
      <c r="U208" s="4">
        <v>0</v>
      </c>
      <c r="V208" s="6">
        <f>IF(ISERROR(VLOOKUP($S$208,'TAR FIN'!$A$1:$O$120,15,0)),0,VLOOKUP($S$208,'TAR FIN'!$A$1:$O$120,15,0))</f>
        <v>0</v>
      </c>
      <c r="W208" s="6">
        <f>IF(ISERROR(VLOOKUP($T$208,'TAR FIN'!$A$1:$O$120,15,0)),0,VLOOKUP($T$208,'TAR FIN'!$A$1:$O$120,15,0))</f>
        <v>84.45</v>
      </c>
      <c r="X208" s="6">
        <f>IF(ISERROR(VLOOKUP($U$208,'TAR FIN'!$A$1:$O$120,15,0)),0,VLOOKUP($U$208,'TAR FIN'!$A$1:$O$120,15,0))</f>
        <v>0</v>
      </c>
      <c r="Y208" s="6"/>
      <c r="Z208" s="6">
        <f ca="1">('TUSD BE'!$AM$29+'TUSD BF'!$AM$29+'TUSD CVA'!$AM$29)*1</f>
        <v>87.519361965254689</v>
      </c>
      <c r="AA208" s="6"/>
      <c r="AB208" s="6">
        <f t="shared" si="14"/>
        <v>0</v>
      </c>
      <c r="AC208" s="6">
        <f t="shared" si="15"/>
        <v>0</v>
      </c>
      <c r="AD208" s="6">
        <f t="shared" si="16"/>
        <v>0</v>
      </c>
      <c r="AE208" s="6">
        <f t="shared" ca="1" si="17"/>
        <v>0</v>
      </c>
      <c r="AF208" s="4" t="s">
        <v>1150</v>
      </c>
    </row>
    <row r="209" spans="1:32" ht="11.25" customHeight="1" x14ac:dyDescent="0.25">
      <c r="A209" s="4" t="s">
        <v>21</v>
      </c>
      <c r="B209" s="4" t="s">
        <v>33</v>
      </c>
      <c r="C209" s="4" t="s">
        <v>41</v>
      </c>
      <c r="D209" s="4" t="s">
        <v>40</v>
      </c>
      <c r="E209" s="4" t="s">
        <v>25</v>
      </c>
      <c r="F209" s="4" t="s">
        <v>63</v>
      </c>
      <c r="G209" s="4" t="s">
        <v>25</v>
      </c>
      <c r="H209" s="4" t="s">
        <v>25</v>
      </c>
      <c r="I209" s="5">
        <v>43831</v>
      </c>
      <c r="J209" s="6">
        <v>0</v>
      </c>
      <c r="K209" s="6">
        <v>0</v>
      </c>
      <c r="L209" s="6">
        <v>20952.216</v>
      </c>
      <c r="M209" s="6">
        <v>20952.216</v>
      </c>
      <c r="N209" s="6">
        <v>0</v>
      </c>
      <c r="O209" s="6">
        <v>0</v>
      </c>
      <c r="P209" s="6">
        <v>50</v>
      </c>
      <c r="Q209" s="4" t="s">
        <v>60</v>
      </c>
      <c r="R209" s="4">
        <v>0</v>
      </c>
      <c r="S209" s="4">
        <v>0</v>
      </c>
      <c r="T209" s="4">
        <v>23</v>
      </c>
      <c r="U209" s="4">
        <v>0</v>
      </c>
      <c r="V209" s="6">
        <f>IF(ISERROR(VLOOKUP($S$209,'TAR FIN'!$A$1:$O$120,15,0)),0,VLOOKUP($S$209,'TAR FIN'!$A$1:$O$120,15,0))</f>
        <v>0</v>
      </c>
      <c r="W209" s="6">
        <f>IF(ISERROR(VLOOKUP($T$209,'TAR FIN'!$A$1:$O$120,15,0)),0,VLOOKUP($T$209,'TAR FIN'!$A$1:$O$120,15,0))</f>
        <v>84.45</v>
      </c>
      <c r="X209" s="6">
        <f>IF(ISERROR(VLOOKUP($U$209,'TAR FIN'!$A$1:$O$120,15,0)),0,VLOOKUP($U$209,'TAR FIN'!$A$1:$O$120,15,0))</f>
        <v>0</v>
      </c>
      <c r="Y209" s="6"/>
      <c r="Z209" s="6">
        <f ca="1">('TUSD BE'!$AM$29+'TUSD BF'!$AM$29+'TUSD CVA'!$AM$29)*1</f>
        <v>87.519361965254689</v>
      </c>
      <c r="AA209" s="6"/>
      <c r="AB209" s="6">
        <f t="shared" si="14"/>
        <v>0</v>
      </c>
      <c r="AC209" s="6">
        <f t="shared" si="15"/>
        <v>0</v>
      </c>
      <c r="AD209" s="6">
        <f t="shared" si="16"/>
        <v>0</v>
      </c>
      <c r="AE209" s="6">
        <f t="shared" ca="1" si="17"/>
        <v>0</v>
      </c>
      <c r="AF209" s="4" t="s">
        <v>1150</v>
      </c>
    </row>
    <row r="210" spans="1:32" ht="11.25" customHeight="1" x14ac:dyDescent="0.25">
      <c r="A210" s="4" t="s">
        <v>21</v>
      </c>
      <c r="B210" s="4" t="s">
        <v>33</v>
      </c>
      <c r="C210" s="4" t="s">
        <v>41</v>
      </c>
      <c r="D210" s="4" t="s">
        <v>40</v>
      </c>
      <c r="E210" s="4" t="s">
        <v>25</v>
      </c>
      <c r="F210" s="4" t="s">
        <v>63</v>
      </c>
      <c r="G210" s="4" t="s">
        <v>25</v>
      </c>
      <c r="H210" s="4" t="s">
        <v>25</v>
      </c>
      <c r="I210" s="5">
        <v>43862</v>
      </c>
      <c r="J210" s="6">
        <v>0</v>
      </c>
      <c r="K210" s="6">
        <v>0</v>
      </c>
      <c r="L210" s="6">
        <v>19422.186000000002</v>
      </c>
      <c r="M210" s="6">
        <v>19422.186000000002</v>
      </c>
      <c r="N210" s="6">
        <v>0</v>
      </c>
      <c r="O210" s="6">
        <v>0</v>
      </c>
      <c r="P210" s="6">
        <v>50</v>
      </c>
      <c r="Q210" s="4" t="s">
        <v>60</v>
      </c>
      <c r="R210" s="4">
        <v>0</v>
      </c>
      <c r="S210" s="4">
        <v>0</v>
      </c>
      <c r="T210" s="4">
        <v>23</v>
      </c>
      <c r="U210" s="4">
        <v>0</v>
      </c>
      <c r="V210" s="6">
        <f>IF(ISERROR(VLOOKUP($S$210,'TAR FIN'!$A$1:$O$120,15,0)),0,VLOOKUP($S$210,'TAR FIN'!$A$1:$O$120,15,0))</f>
        <v>0</v>
      </c>
      <c r="W210" s="6">
        <f>IF(ISERROR(VLOOKUP($T$210,'TAR FIN'!$A$1:$O$120,15,0)),0,VLOOKUP($T$210,'TAR FIN'!$A$1:$O$120,15,0))</f>
        <v>84.45</v>
      </c>
      <c r="X210" s="6">
        <f>IF(ISERROR(VLOOKUP($U$210,'TAR FIN'!$A$1:$O$120,15,0)),0,VLOOKUP($U$210,'TAR FIN'!$A$1:$O$120,15,0))</f>
        <v>0</v>
      </c>
      <c r="Y210" s="6"/>
      <c r="Z210" s="6">
        <f ca="1">('TUSD BE'!$AM$29+'TUSD BF'!$AM$29+'TUSD CVA'!$AM$29)*1</f>
        <v>87.519361965254689</v>
      </c>
      <c r="AA210" s="6"/>
      <c r="AB210" s="6">
        <f t="shared" si="14"/>
        <v>0</v>
      </c>
      <c r="AC210" s="6">
        <f t="shared" si="15"/>
        <v>0</v>
      </c>
      <c r="AD210" s="6">
        <f t="shared" si="16"/>
        <v>0</v>
      </c>
      <c r="AE210" s="6">
        <f t="shared" ca="1" si="17"/>
        <v>0</v>
      </c>
      <c r="AF210" s="4" t="s">
        <v>1150</v>
      </c>
    </row>
    <row r="211" spans="1:32" ht="11.25" customHeight="1" x14ac:dyDescent="0.25">
      <c r="A211" s="4" t="s">
        <v>21</v>
      </c>
      <c r="B211" s="4" t="s">
        <v>33</v>
      </c>
      <c r="C211" s="4" t="s">
        <v>41</v>
      </c>
      <c r="D211" s="4" t="s">
        <v>40</v>
      </c>
      <c r="E211" s="4" t="s">
        <v>25</v>
      </c>
      <c r="F211" s="4" t="s">
        <v>63</v>
      </c>
      <c r="G211" s="4" t="s">
        <v>25</v>
      </c>
      <c r="H211" s="4" t="s">
        <v>25</v>
      </c>
      <c r="I211" s="5">
        <v>43891</v>
      </c>
      <c r="J211" s="6">
        <v>0</v>
      </c>
      <c r="K211" s="6">
        <v>0</v>
      </c>
      <c r="L211" s="6">
        <v>19378.527999999998</v>
      </c>
      <c r="M211" s="6">
        <v>19378.527999999998</v>
      </c>
      <c r="N211" s="6">
        <v>0</v>
      </c>
      <c r="O211" s="6">
        <v>0</v>
      </c>
      <c r="P211" s="6">
        <v>50</v>
      </c>
      <c r="Q211" s="4" t="s">
        <v>60</v>
      </c>
      <c r="R211" s="4">
        <v>0</v>
      </c>
      <c r="S211" s="4">
        <v>0</v>
      </c>
      <c r="T211" s="4">
        <v>23</v>
      </c>
      <c r="U211" s="4">
        <v>0</v>
      </c>
      <c r="V211" s="6">
        <f>IF(ISERROR(VLOOKUP($S$211,'TAR FIN'!$A$1:$O$120,15,0)),0,VLOOKUP($S$211,'TAR FIN'!$A$1:$O$120,15,0))</f>
        <v>0</v>
      </c>
      <c r="W211" s="6">
        <f>IF(ISERROR(VLOOKUP($T$211,'TAR FIN'!$A$1:$O$120,15,0)),0,VLOOKUP($T$211,'TAR FIN'!$A$1:$O$120,15,0))</f>
        <v>84.45</v>
      </c>
      <c r="X211" s="6">
        <f>IF(ISERROR(VLOOKUP($U$211,'TAR FIN'!$A$1:$O$120,15,0)),0,VLOOKUP($U$211,'TAR FIN'!$A$1:$O$120,15,0))</f>
        <v>0</v>
      </c>
      <c r="Y211" s="6"/>
      <c r="Z211" s="6">
        <f ca="1">('TUSD BE'!$AM$29+'TUSD BF'!$AM$29+'TUSD CVA'!$AM$29)*1</f>
        <v>87.519361965254689</v>
      </c>
      <c r="AA211" s="6"/>
      <c r="AB211" s="6">
        <f t="shared" si="14"/>
        <v>0</v>
      </c>
      <c r="AC211" s="6">
        <f t="shared" si="15"/>
        <v>0</v>
      </c>
      <c r="AD211" s="6">
        <f t="shared" si="16"/>
        <v>0</v>
      </c>
      <c r="AE211" s="6">
        <f t="shared" ca="1" si="17"/>
        <v>0</v>
      </c>
      <c r="AF211" s="4" t="s">
        <v>1150</v>
      </c>
    </row>
    <row r="212" spans="1:32" ht="11.25" customHeight="1" x14ac:dyDescent="0.25">
      <c r="A212" s="4" t="s">
        <v>21</v>
      </c>
      <c r="B212" s="4" t="s">
        <v>33</v>
      </c>
      <c r="C212" s="4" t="s">
        <v>41</v>
      </c>
      <c r="D212" s="4" t="s">
        <v>40</v>
      </c>
      <c r="E212" s="4" t="s">
        <v>25</v>
      </c>
      <c r="F212" s="4" t="s">
        <v>63</v>
      </c>
      <c r="G212" s="4" t="s">
        <v>25</v>
      </c>
      <c r="H212" s="4" t="s">
        <v>25</v>
      </c>
      <c r="I212" s="5">
        <v>43922</v>
      </c>
      <c r="J212" s="6">
        <v>0</v>
      </c>
      <c r="K212" s="6">
        <v>0</v>
      </c>
      <c r="L212" s="6">
        <v>14852.009</v>
      </c>
      <c r="M212" s="6">
        <v>14852.009</v>
      </c>
      <c r="N212" s="6">
        <v>0</v>
      </c>
      <c r="O212" s="6">
        <v>0</v>
      </c>
      <c r="P212" s="6">
        <v>51</v>
      </c>
      <c r="Q212" s="4" t="s">
        <v>60</v>
      </c>
      <c r="R212" s="4">
        <v>0</v>
      </c>
      <c r="S212" s="4">
        <v>0</v>
      </c>
      <c r="T212" s="4">
        <v>23</v>
      </c>
      <c r="U212" s="4">
        <v>0</v>
      </c>
      <c r="V212" s="6">
        <f>IF(ISERROR(VLOOKUP($S$212,'TAR FIN'!$A$1:$O$120,15,0)),0,VLOOKUP($S$212,'TAR FIN'!$A$1:$O$120,15,0))</f>
        <v>0</v>
      </c>
      <c r="W212" s="6">
        <f>IF(ISERROR(VLOOKUP($T$212,'TAR FIN'!$A$1:$O$120,15,0)),0,VLOOKUP($T$212,'TAR FIN'!$A$1:$O$120,15,0))</f>
        <v>84.45</v>
      </c>
      <c r="X212" s="6">
        <f>IF(ISERROR(VLOOKUP($U$212,'TAR FIN'!$A$1:$O$120,15,0)),0,VLOOKUP($U$212,'TAR FIN'!$A$1:$O$120,15,0))</f>
        <v>0</v>
      </c>
      <c r="Y212" s="6"/>
      <c r="Z212" s="6">
        <f ca="1">('TUSD BE'!$AM$29+'TUSD BF'!$AM$29+'TUSD CVA'!$AM$29)*1</f>
        <v>87.519361965254689</v>
      </c>
      <c r="AA212" s="6"/>
      <c r="AB212" s="6">
        <f t="shared" si="14"/>
        <v>0</v>
      </c>
      <c r="AC212" s="6">
        <f t="shared" si="15"/>
        <v>0</v>
      </c>
      <c r="AD212" s="6">
        <f t="shared" si="16"/>
        <v>0</v>
      </c>
      <c r="AE212" s="6">
        <f t="shared" ca="1" si="17"/>
        <v>0</v>
      </c>
      <c r="AF212" s="4" t="s">
        <v>1150</v>
      </c>
    </row>
    <row r="213" spans="1:32" ht="11.25" customHeight="1" x14ac:dyDescent="0.25">
      <c r="A213" s="4" t="s">
        <v>21</v>
      </c>
      <c r="B213" s="4" t="s">
        <v>33</v>
      </c>
      <c r="C213" s="4" t="s">
        <v>41</v>
      </c>
      <c r="D213" s="4" t="s">
        <v>40</v>
      </c>
      <c r="E213" s="4" t="s">
        <v>25</v>
      </c>
      <c r="F213" s="4" t="s">
        <v>63</v>
      </c>
      <c r="G213" s="4" t="s">
        <v>25</v>
      </c>
      <c r="H213" s="4" t="s">
        <v>25</v>
      </c>
      <c r="I213" s="5">
        <v>43952</v>
      </c>
      <c r="J213" s="6">
        <v>0</v>
      </c>
      <c r="K213" s="6">
        <v>0</v>
      </c>
      <c r="L213" s="6">
        <v>16108.739</v>
      </c>
      <c r="M213" s="6">
        <v>16108.739</v>
      </c>
      <c r="N213" s="6">
        <v>0</v>
      </c>
      <c r="O213" s="6">
        <v>0</v>
      </c>
      <c r="P213" s="6">
        <v>55</v>
      </c>
      <c r="Q213" s="4" t="s">
        <v>60</v>
      </c>
      <c r="R213" s="4">
        <v>0</v>
      </c>
      <c r="S213" s="4">
        <v>0</v>
      </c>
      <c r="T213" s="4">
        <v>23</v>
      </c>
      <c r="U213" s="4">
        <v>0</v>
      </c>
      <c r="V213" s="6">
        <f>IF(ISERROR(VLOOKUP($S$213,'TAR FIN'!$A$1:$O$120,15,0)),0,VLOOKUP($S$213,'TAR FIN'!$A$1:$O$120,15,0))</f>
        <v>0</v>
      </c>
      <c r="W213" s="6">
        <f>IF(ISERROR(VLOOKUP($T$213,'TAR FIN'!$A$1:$O$120,15,0)),0,VLOOKUP($T$213,'TAR FIN'!$A$1:$O$120,15,0))</f>
        <v>84.45</v>
      </c>
      <c r="X213" s="6">
        <f>IF(ISERROR(VLOOKUP($U$213,'TAR FIN'!$A$1:$O$120,15,0)),0,VLOOKUP($U$213,'TAR FIN'!$A$1:$O$120,15,0))</f>
        <v>0</v>
      </c>
      <c r="Y213" s="6"/>
      <c r="Z213" s="6">
        <f ca="1">('TUSD BE'!$AM$29+'TUSD BF'!$AM$29+'TUSD CVA'!$AM$29)*1</f>
        <v>87.519361965254689</v>
      </c>
      <c r="AA213" s="6"/>
      <c r="AB213" s="6">
        <f t="shared" si="14"/>
        <v>0</v>
      </c>
      <c r="AC213" s="6">
        <f t="shared" si="15"/>
        <v>0</v>
      </c>
      <c r="AD213" s="6">
        <f t="shared" si="16"/>
        <v>0</v>
      </c>
      <c r="AE213" s="6">
        <f t="shared" ca="1" si="17"/>
        <v>0</v>
      </c>
      <c r="AF213" s="4" t="s">
        <v>1150</v>
      </c>
    </row>
    <row r="214" spans="1:32" ht="11.25" customHeight="1" x14ac:dyDescent="0.25">
      <c r="A214" s="4" t="s">
        <v>21</v>
      </c>
      <c r="B214" s="4" t="s">
        <v>33</v>
      </c>
      <c r="C214" s="4" t="s">
        <v>41</v>
      </c>
      <c r="D214" s="4" t="s">
        <v>40</v>
      </c>
      <c r="E214" s="4" t="s">
        <v>25</v>
      </c>
      <c r="F214" s="4" t="s">
        <v>63</v>
      </c>
      <c r="G214" s="4" t="s">
        <v>25</v>
      </c>
      <c r="H214" s="4" t="s">
        <v>25</v>
      </c>
      <c r="I214" s="5">
        <v>43983</v>
      </c>
      <c r="J214" s="6">
        <v>0</v>
      </c>
      <c r="K214" s="6">
        <v>0</v>
      </c>
      <c r="L214" s="6">
        <v>16108.739</v>
      </c>
      <c r="M214" s="6">
        <v>16108.739</v>
      </c>
      <c r="N214" s="6">
        <v>0</v>
      </c>
      <c r="O214" s="6">
        <v>0</v>
      </c>
      <c r="P214" s="6">
        <v>55</v>
      </c>
      <c r="Q214" s="4" t="s">
        <v>60</v>
      </c>
      <c r="R214" s="4">
        <v>0</v>
      </c>
      <c r="S214" s="4">
        <v>0</v>
      </c>
      <c r="T214" s="4">
        <v>23</v>
      </c>
      <c r="U214" s="4">
        <v>0</v>
      </c>
      <c r="V214" s="6">
        <f>IF(ISERROR(VLOOKUP($S$214,'TAR FIN'!$A$1:$O$120,15,0)),0,VLOOKUP($S$214,'TAR FIN'!$A$1:$O$120,15,0))</f>
        <v>0</v>
      </c>
      <c r="W214" s="6">
        <f>IF(ISERROR(VLOOKUP($T$214,'TAR FIN'!$A$1:$O$120,15,0)),0,VLOOKUP($T$214,'TAR FIN'!$A$1:$O$120,15,0))</f>
        <v>84.45</v>
      </c>
      <c r="X214" s="6">
        <f>IF(ISERROR(VLOOKUP($U$214,'TAR FIN'!$A$1:$O$120,15,0)),0,VLOOKUP($U$214,'TAR FIN'!$A$1:$O$120,15,0))</f>
        <v>0</v>
      </c>
      <c r="Y214" s="6"/>
      <c r="Z214" s="6">
        <f ca="1">('TUSD BE'!$AM$29+'TUSD BF'!$AM$29+'TUSD CVA'!$AM$29)*1</f>
        <v>87.519361965254689</v>
      </c>
      <c r="AA214" s="6"/>
      <c r="AB214" s="6">
        <f t="shared" si="14"/>
        <v>0</v>
      </c>
      <c r="AC214" s="6">
        <f t="shared" si="15"/>
        <v>0</v>
      </c>
      <c r="AD214" s="6">
        <f t="shared" si="16"/>
        <v>0</v>
      </c>
      <c r="AE214" s="6">
        <f t="shared" ca="1" si="17"/>
        <v>0</v>
      </c>
      <c r="AF214" s="4" t="s">
        <v>1150</v>
      </c>
    </row>
    <row r="215" spans="1:32" ht="11.25" customHeight="1" x14ac:dyDescent="0.25">
      <c r="A215" s="4" t="s">
        <v>21</v>
      </c>
      <c r="B215" s="4" t="s">
        <v>33</v>
      </c>
      <c r="C215" s="4" t="s">
        <v>41</v>
      </c>
      <c r="D215" s="4" t="s">
        <v>40</v>
      </c>
      <c r="E215" s="4" t="s">
        <v>25</v>
      </c>
      <c r="F215" s="4" t="s">
        <v>63</v>
      </c>
      <c r="G215" s="4" t="s">
        <v>25</v>
      </c>
      <c r="H215" s="4" t="s">
        <v>25</v>
      </c>
      <c r="I215" s="5">
        <v>44013</v>
      </c>
      <c r="J215" s="6">
        <v>0</v>
      </c>
      <c r="K215" s="6">
        <v>0</v>
      </c>
      <c r="L215" s="6">
        <v>17346.935000000001</v>
      </c>
      <c r="M215" s="6">
        <v>17346.935000000001</v>
      </c>
      <c r="N215" s="6">
        <v>0</v>
      </c>
      <c r="O215" s="6">
        <v>0</v>
      </c>
      <c r="P215" s="6">
        <v>41</v>
      </c>
      <c r="Q215" s="4" t="s">
        <v>60</v>
      </c>
      <c r="R215" s="4">
        <v>0</v>
      </c>
      <c r="S215" s="4">
        <v>0</v>
      </c>
      <c r="T215" s="4">
        <v>23</v>
      </c>
      <c r="U215" s="4">
        <v>0</v>
      </c>
      <c r="V215" s="6">
        <f>IF(ISERROR(VLOOKUP($S$215,'TAR FIN'!$A$1:$O$120,15,0)),0,VLOOKUP($S$215,'TAR FIN'!$A$1:$O$120,15,0))</f>
        <v>0</v>
      </c>
      <c r="W215" s="6">
        <f>IF(ISERROR(VLOOKUP($T$215,'TAR FIN'!$A$1:$O$120,15,0)),0,VLOOKUP($T$215,'TAR FIN'!$A$1:$O$120,15,0))</f>
        <v>84.45</v>
      </c>
      <c r="X215" s="6">
        <f>IF(ISERROR(VLOOKUP($U$215,'TAR FIN'!$A$1:$O$120,15,0)),0,VLOOKUP($U$215,'TAR FIN'!$A$1:$O$120,15,0))</f>
        <v>0</v>
      </c>
      <c r="Y215" s="6"/>
      <c r="Z215" s="6">
        <f ca="1">('TUSD BE'!$AM$29+'TUSD BF'!$AM$29+'TUSD CVA'!$AM$29)*1</f>
        <v>87.519361965254689</v>
      </c>
      <c r="AA215" s="6"/>
      <c r="AB215" s="6">
        <f t="shared" si="14"/>
        <v>0</v>
      </c>
      <c r="AC215" s="6">
        <f t="shared" si="15"/>
        <v>0</v>
      </c>
      <c r="AD215" s="6">
        <f t="shared" si="16"/>
        <v>0</v>
      </c>
      <c r="AE215" s="6">
        <f t="shared" ca="1" si="17"/>
        <v>0</v>
      </c>
      <c r="AF215" s="4" t="s">
        <v>1150</v>
      </c>
    </row>
    <row r="216" spans="1:32" ht="11.25" customHeight="1" x14ac:dyDescent="0.25">
      <c r="A216" s="4" t="s">
        <v>21</v>
      </c>
      <c r="B216" s="4" t="s">
        <v>33</v>
      </c>
      <c r="C216" s="4" t="s">
        <v>41</v>
      </c>
      <c r="D216" s="4" t="s">
        <v>40</v>
      </c>
      <c r="E216" s="4" t="s">
        <v>25</v>
      </c>
      <c r="F216" s="4" t="s">
        <v>63</v>
      </c>
      <c r="G216" s="4" t="s">
        <v>25</v>
      </c>
      <c r="H216" s="4" t="s">
        <v>25</v>
      </c>
      <c r="I216" s="5">
        <v>44044</v>
      </c>
      <c r="J216" s="6">
        <v>0</v>
      </c>
      <c r="K216" s="6">
        <v>0</v>
      </c>
      <c r="L216" s="6">
        <v>19937.614000000001</v>
      </c>
      <c r="M216" s="6">
        <v>19937.614000000001</v>
      </c>
      <c r="N216" s="6">
        <v>0</v>
      </c>
      <c r="O216" s="6">
        <v>0</v>
      </c>
      <c r="P216" s="6">
        <v>56</v>
      </c>
      <c r="Q216" s="4" t="s">
        <v>60</v>
      </c>
      <c r="R216" s="4">
        <v>0</v>
      </c>
      <c r="S216" s="4">
        <v>0</v>
      </c>
      <c r="T216" s="4">
        <v>23</v>
      </c>
      <c r="U216" s="4">
        <v>0</v>
      </c>
      <c r="V216" s="6">
        <f>IF(ISERROR(VLOOKUP($S$216,'TAR FIN'!$A$1:$O$120,15,0)),0,VLOOKUP($S$216,'TAR FIN'!$A$1:$O$120,15,0))</f>
        <v>0</v>
      </c>
      <c r="W216" s="6">
        <f>IF(ISERROR(VLOOKUP($T$216,'TAR FIN'!$A$1:$O$120,15,0)),0,VLOOKUP($T$216,'TAR FIN'!$A$1:$O$120,15,0))</f>
        <v>84.45</v>
      </c>
      <c r="X216" s="6">
        <f>IF(ISERROR(VLOOKUP($U$216,'TAR FIN'!$A$1:$O$120,15,0)),0,VLOOKUP($U$216,'TAR FIN'!$A$1:$O$120,15,0))</f>
        <v>0</v>
      </c>
      <c r="Y216" s="6"/>
      <c r="Z216" s="6">
        <f ca="1">('TUSD BE'!$AM$29+'TUSD BF'!$AM$29+'TUSD CVA'!$AM$29)*1</f>
        <v>87.519361965254689</v>
      </c>
      <c r="AA216" s="6"/>
      <c r="AB216" s="6">
        <f t="shared" si="14"/>
        <v>0</v>
      </c>
      <c r="AC216" s="6">
        <f t="shared" si="15"/>
        <v>0</v>
      </c>
      <c r="AD216" s="6">
        <f t="shared" si="16"/>
        <v>0</v>
      </c>
      <c r="AE216" s="6">
        <f t="shared" ca="1" si="17"/>
        <v>0</v>
      </c>
      <c r="AF216" s="4" t="s">
        <v>1150</v>
      </c>
    </row>
    <row r="217" spans="1:32" ht="11.25" customHeight="1" x14ac:dyDescent="0.25">
      <c r="A217" s="4" t="s">
        <v>59</v>
      </c>
      <c r="B217" s="4" t="s">
        <v>33</v>
      </c>
      <c r="C217" s="4" t="s">
        <v>41</v>
      </c>
      <c r="D217" s="4" t="s">
        <v>40</v>
      </c>
      <c r="E217" s="4" t="s">
        <v>25</v>
      </c>
      <c r="F217" s="4" t="s">
        <v>63</v>
      </c>
      <c r="G217" s="4" t="s">
        <v>25</v>
      </c>
      <c r="H217" s="4" t="s">
        <v>25</v>
      </c>
      <c r="I217" s="5">
        <v>44075</v>
      </c>
      <c r="J217" s="6">
        <v>0</v>
      </c>
      <c r="K217" s="6">
        <v>0</v>
      </c>
      <c r="L217" s="6">
        <v>19937.614000000001</v>
      </c>
      <c r="M217" s="6">
        <v>19937.614000000001</v>
      </c>
      <c r="N217" s="6">
        <v>0</v>
      </c>
      <c r="O217" s="6">
        <v>0</v>
      </c>
      <c r="P217" s="6">
        <v>56</v>
      </c>
      <c r="Q217" s="4" t="s">
        <v>60</v>
      </c>
      <c r="R217" s="4">
        <v>0</v>
      </c>
      <c r="S217" s="4">
        <v>0</v>
      </c>
      <c r="T217" s="4">
        <v>23</v>
      </c>
      <c r="U217" s="4">
        <v>0</v>
      </c>
      <c r="V217" s="6">
        <f>IF(ISERROR(VLOOKUP($S$217,'TAR FIN'!$A$1:$O$120,15,0)),0,VLOOKUP($S$217,'TAR FIN'!$A$1:$O$120,15,0))</f>
        <v>0</v>
      </c>
      <c r="W217" s="6">
        <f>IF(ISERROR(VLOOKUP($T$217,'TAR FIN'!$A$1:$O$120,15,0)),0,VLOOKUP($T$217,'TAR FIN'!$A$1:$O$120,15,0))</f>
        <v>84.45</v>
      </c>
      <c r="X217" s="6">
        <f>IF(ISERROR(VLOOKUP($U$217,'TAR FIN'!$A$1:$O$120,15,0)),0,VLOOKUP($U$217,'TAR FIN'!$A$1:$O$120,15,0))</f>
        <v>0</v>
      </c>
      <c r="Y217" s="6"/>
      <c r="Z217" s="6">
        <f ca="1">('TUSD BE'!$AM$29+'TUSD BF'!$AM$29+'TUSD CVA'!$AM$29)*1</f>
        <v>87.519361965254689</v>
      </c>
      <c r="AA217" s="6"/>
      <c r="AB217" s="6">
        <f t="shared" si="14"/>
        <v>0</v>
      </c>
      <c r="AC217" s="6">
        <f t="shared" si="15"/>
        <v>0</v>
      </c>
      <c r="AD217" s="6">
        <f t="shared" si="16"/>
        <v>0</v>
      </c>
      <c r="AE217" s="6">
        <f t="shared" ca="1" si="17"/>
        <v>0</v>
      </c>
      <c r="AF217" s="4" t="s">
        <v>1150</v>
      </c>
    </row>
    <row r="218" spans="1:32" ht="11.25" customHeight="1" x14ac:dyDescent="0.25">
      <c r="A218" s="4" t="s">
        <v>21</v>
      </c>
      <c r="B218" s="4" t="s">
        <v>33</v>
      </c>
      <c r="C218" s="4" t="s">
        <v>41</v>
      </c>
      <c r="D218" s="4" t="s">
        <v>40</v>
      </c>
      <c r="E218" s="4" t="s">
        <v>25</v>
      </c>
      <c r="F218" s="4" t="s">
        <v>63</v>
      </c>
      <c r="G218" s="4" t="s">
        <v>25</v>
      </c>
      <c r="H218" s="4" t="s">
        <v>35</v>
      </c>
      <c r="I218" s="5">
        <v>43739</v>
      </c>
      <c r="J218" s="6">
        <v>38961</v>
      </c>
      <c r="K218" s="6">
        <v>28005.293033639999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4" t="s">
        <v>60</v>
      </c>
      <c r="R218" s="4">
        <v>0</v>
      </c>
      <c r="S218" s="4">
        <v>21</v>
      </c>
      <c r="T218" s="4">
        <v>0</v>
      </c>
      <c r="U218" s="4">
        <v>0</v>
      </c>
      <c r="V218" s="6">
        <f>IF(ISERROR(VLOOKUP($S$218,'TAR FIN'!$A$1:$O$120,15,0)),0,VLOOKUP($S$218,'TAR FIN'!$A$1:$O$120,15,0))</f>
        <v>22.94</v>
      </c>
      <c r="W218" s="6">
        <f>IF(ISERROR(VLOOKUP($T$218,'TAR FIN'!$A$1:$O$120,15,0)),0,VLOOKUP($T$218,'TAR FIN'!$A$1:$O$120,15,0))</f>
        <v>0</v>
      </c>
      <c r="X218" s="6">
        <f>IF(ISERROR(VLOOKUP($U$218,'TAR FIN'!$A$1:$O$120,15,0)),0,VLOOKUP($U$218,'TAR FIN'!$A$1:$O$120,15,0))</f>
        <v>0</v>
      </c>
      <c r="Y218" s="6">
        <f ca="1">('TUSD BE'!$AM$27+'TUSD BF'!$AM$27+'TUSD CVA'!$AM$27)*1</f>
        <v>27.216283196676113</v>
      </c>
      <c r="Z218" s="6">
        <f ca="1">('TUSD BE'!$AM$29+'TUSD BF'!$AM$29+'TUSD CVA'!$AM$29)*1</f>
        <v>87.519361965254689</v>
      </c>
      <c r="AA218" s="6"/>
      <c r="AB218" s="6">
        <f t="shared" si="14"/>
        <v>251323.91780829846</v>
      </c>
      <c r="AC218" s="6">
        <f t="shared" si="15"/>
        <v>0</v>
      </c>
      <c r="AD218" s="6">
        <f t="shared" ca="1" si="16"/>
        <v>298173.62341625115</v>
      </c>
      <c r="AE218" s="6">
        <f t="shared" ca="1" si="17"/>
        <v>0</v>
      </c>
      <c r="AF218" s="4" t="s">
        <v>1150</v>
      </c>
    </row>
    <row r="219" spans="1:32" ht="11.25" customHeight="1" x14ac:dyDescent="0.25">
      <c r="A219" s="4" t="s">
        <v>21</v>
      </c>
      <c r="B219" s="4" t="s">
        <v>33</v>
      </c>
      <c r="C219" s="4" t="s">
        <v>41</v>
      </c>
      <c r="D219" s="4" t="s">
        <v>40</v>
      </c>
      <c r="E219" s="4" t="s">
        <v>25</v>
      </c>
      <c r="F219" s="4" t="s">
        <v>63</v>
      </c>
      <c r="G219" s="4" t="s">
        <v>25</v>
      </c>
      <c r="H219" s="4" t="s">
        <v>35</v>
      </c>
      <c r="I219" s="5">
        <v>43770</v>
      </c>
      <c r="J219" s="6">
        <v>39880</v>
      </c>
      <c r="K219" s="6">
        <v>28676.253576399999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4" t="s">
        <v>60</v>
      </c>
      <c r="R219" s="4">
        <v>0</v>
      </c>
      <c r="S219" s="4">
        <v>21</v>
      </c>
      <c r="T219" s="4">
        <v>0</v>
      </c>
      <c r="U219" s="4">
        <v>0</v>
      </c>
      <c r="V219" s="6">
        <f>IF(ISERROR(VLOOKUP($S$219,'TAR FIN'!$A$1:$O$120,15,0)),0,VLOOKUP($S$219,'TAR FIN'!$A$1:$O$120,15,0))</f>
        <v>22.94</v>
      </c>
      <c r="W219" s="6">
        <f>IF(ISERROR(VLOOKUP($T$219,'TAR FIN'!$A$1:$O$120,15,0)),0,VLOOKUP($T$219,'TAR FIN'!$A$1:$O$120,15,0))</f>
        <v>0</v>
      </c>
      <c r="X219" s="6">
        <f>IF(ISERROR(VLOOKUP($U$219,'TAR FIN'!$A$1:$O$120,15,0)),0,VLOOKUP($U$219,'TAR FIN'!$A$1:$O$120,15,0))</f>
        <v>0</v>
      </c>
      <c r="Y219" s="6">
        <f ca="1">('TUSD BE'!$AM$27+'TUSD BF'!$AM$27+'TUSD CVA'!$AM$27)*1</f>
        <v>27.216283196676113</v>
      </c>
      <c r="Z219" s="6">
        <f ca="1">('TUSD BE'!$AM$29+'TUSD BF'!$AM$29+'TUSD CVA'!$AM$29)*1</f>
        <v>87.519361965254689</v>
      </c>
      <c r="AA219" s="6"/>
      <c r="AB219" s="6">
        <f t="shared" si="14"/>
        <v>257013.94295738405</v>
      </c>
      <c r="AC219" s="6">
        <f t="shared" si="15"/>
        <v>0</v>
      </c>
      <c r="AD219" s="6">
        <f t="shared" ca="1" si="16"/>
        <v>304924.33552844479</v>
      </c>
      <c r="AE219" s="6">
        <f t="shared" ca="1" si="17"/>
        <v>0</v>
      </c>
      <c r="AF219" s="4" t="s">
        <v>1150</v>
      </c>
    </row>
    <row r="220" spans="1:32" ht="11.25" customHeight="1" x14ac:dyDescent="0.25">
      <c r="A220" s="4" t="s">
        <v>21</v>
      </c>
      <c r="B220" s="4" t="s">
        <v>33</v>
      </c>
      <c r="C220" s="4" t="s">
        <v>41</v>
      </c>
      <c r="D220" s="4" t="s">
        <v>40</v>
      </c>
      <c r="E220" s="4" t="s">
        <v>25</v>
      </c>
      <c r="F220" s="4" t="s">
        <v>63</v>
      </c>
      <c r="G220" s="4" t="s">
        <v>25</v>
      </c>
      <c r="H220" s="4" t="s">
        <v>35</v>
      </c>
      <c r="I220" s="5">
        <v>43800</v>
      </c>
      <c r="J220" s="6">
        <v>39880</v>
      </c>
      <c r="K220" s="6">
        <v>28760.635668399998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4" t="s">
        <v>60</v>
      </c>
      <c r="R220" s="4">
        <v>0</v>
      </c>
      <c r="S220" s="4">
        <v>21</v>
      </c>
      <c r="T220" s="4">
        <v>0</v>
      </c>
      <c r="U220" s="4">
        <v>0</v>
      </c>
      <c r="V220" s="6">
        <f>IF(ISERROR(VLOOKUP($S$220,'TAR FIN'!$A$1:$O$120,15,0)),0,VLOOKUP($S$220,'TAR FIN'!$A$1:$O$120,15,0))</f>
        <v>22.94</v>
      </c>
      <c r="W220" s="6">
        <f>IF(ISERROR(VLOOKUP($T$220,'TAR FIN'!$A$1:$O$120,15,0)),0,VLOOKUP($T$220,'TAR FIN'!$A$1:$O$120,15,0))</f>
        <v>0</v>
      </c>
      <c r="X220" s="6">
        <f>IF(ISERROR(VLOOKUP($U$220,'TAR FIN'!$A$1:$O$120,15,0)),0,VLOOKUP($U$220,'TAR FIN'!$A$1:$O$120,15,0))</f>
        <v>0</v>
      </c>
      <c r="Y220" s="6">
        <f ca="1">('TUSD BE'!$AM$27+'TUSD BF'!$AM$27+'TUSD CVA'!$AM$27)*1</f>
        <v>27.216283196676113</v>
      </c>
      <c r="Z220" s="6">
        <f ca="1">('TUSD BE'!$AM$29+'TUSD BF'!$AM$29+'TUSD CVA'!$AM$29)*1</f>
        <v>87.519361965254689</v>
      </c>
      <c r="AA220" s="6"/>
      <c r="AB220" s="6">
        <f t="shared" si="14"/>
        <v>255078.21776690404</v>
      </c>
      <c r="AC220" s="6">
        <f t="shared" si="15"/>
        <v>0</v>
      </c>
      <c r="AD220" s="6">
        <f t="shared" ca="1" si="16"/>
        <v>302627.76861584483</v>
      </c>
      <c r="AE220" s="6">
        <f t="shared" ca="1" si="17"/>
        <v>0</v>
      </c>
      <c r="AF220" s="4" t="s">
        <v>1150</v>
      </c>
    </row>
    <row r="221" spans="1:32" ht="11.25" customHeight="1" x14ac:dyDescent="0.25">
      <c r="A221" s="4" t="s">
        <v>21</v>
      </c>
      <c r="B221" s="4" t="s">
        <v>33</v>
      </c>
      <c r="C221" s="4" t="s">
        <v>41</v>
      </c>
      <c r="D221" s="4" t="s">
        <v>40</v>
      </c>
      <c r="E221" s="4" t="s">
        <v>25</v>
      </c>
      <c r="F221" s="4" t="s">
        <v>63</v>
      </c>
      <c r="G221" s="4" t="s">
        <v>25</v>
      </c>
      <c r="H221" s="4" t="s">
        <v>35</v>
      </c>
      <c r="I221" s="5">
        <v>43831</v>
      </c>
      <c r="J221" s="6">
        <v>41163</v>
      </c>
      <c r="K221" s="6">
        <v>29609.906337150001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4" t="s">
        <v>60</v>
      </c>
      <c r="R221" s="4">
        <v>0</v>
      </c>
      <c r="S221" s="4">
        <v>21</v>
      </c>
      <c r="T221" s="4">
        <v>0</v>
      </c>
      <c r="U221" s="4">
        <v>0</v>
      </c>
      <c r="V221" s="6">
        <f>IF(ISERROR(VLOOKUP($S$221,'TAR FIN'!$A$1:$O$120,15,0)),0,VLOOKUP($S$221,'TAR FIN'!$A$1:$O$120,15,0))</f>
        <v>22.94</v>
      </c>
      <c r="W221" s="6">
        <f>IF(ISERROR(VLOOKUP($T$221,'TAR FIN'!$A$1:$O$120,15,0)),0,VLOOKUP($T$221,'TAR FIN'!$A$1:$O$120,15,0))</f>
        <v>0</v>
      </c>
      <c r="X221" s="6">
        <f>IF(ISERROR(VLOOKUP($U$221,'TAR FIN'!$A$1:$O$120,15,0)),0,VLOOKUP($U$221,'TAR FIN'!$A$1:$O$120,15,0))</f>
        <v>0</v>
      </c>
      <c r="Y221" s="6">
        <f ca="1">('TUSD BE'!$AM$27+'TUSD BF'!$AM$27+'TUSD CVA'!$AM$27)*1</f>
        <v>27.216283196676113</v>
      </c>
      <c r="Z221" s="6">
        <f ca="1">('TUSD BE'!$AM$29+'TUSD BF'!$AM$29+'TUSD CVA'!$AM$29)*1</f>
        <v>87.519361965254689</v>
      </c>
      <c r="AA221" s="6"/>
      <c r="AB221" s="6">
        <f t="shared" si="14"/>
        <v>265027.96862577897</v>
      </c>
      <c r="AC221" s="6">
        <f t="shared" si="15"/>
        <v>0</v>
      </c>
      <c r="AD221" s="6">
        <f t="shared" ca="1" si="16"/>
        <v>314432.2689258497</v>
      </c>
      <c r="AE221" s="6">
        <f t="shared" ca="1" si="17"/>
        <v>0</v>
      </c>
      <c r="AF221" s="4" t="s">
        <v>1150</v>
      </c>
    </row>
    <row r="222" spans="1:32" ht="11.25" customHeight="1" x14ac:dyDescent="0.25">
      <c r="A222" s="4" t="s">
        <v>21</v>
      </c>
      <c r="B222" s="4" t="s">
        <v>33</v>
      </c>
      <c r="C222" s="4" t="s">
        <v>41</v>
      </c>
      <c r="D222" s="4" t="s">
        <v>40</v>
      </c>
      <c r="E222" s="4" t="s">
        <v>25</v>
      </c>
      <c r="F222" s="4" t="s">
        <v>63</v>
      </c>
      <c r="G222" s="4" t="s">
        <v>25</v>
      </c>
      <c r="H222" s="4" t="s">
        <v>35</v>
      </c>
      <c r="I222" s="5">
        <v>43862</v>
      </c>
      <c r="J222" s="6">
        <v>41245</v>
      </c>
      <c r="K222" s="6">
        <v>29544.820500500002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4" t="s">
        <v>60</v>
      </c>
      <c r="R222" s="4">
        <v>0</v>
      </c>
      <c r="S222" s="4">
        <v>21</v>
      </c>
      <c r="T222" s="4">
        <v>0</v>
      </c>
      <c r="U222" s="4">
        <v>0</v>
      </c>
      <c r="V222" s="6">
        <f>IF(ISERROR(VLOOKUP($S$222,'TAR FIN'!$A$1:$O$120,15,0)),0,VLOOKUP($S$222,'TAR FIN'!$A$1:$O$120,15,0))</f>
        <v>22.94</v>
      </c>
      <c r="W222" s="6">
        <f>IF(ISERROR(VLOOKUP($T$222,'TAR FIN'!$A$1:$O$120,15,0)),0,VLOOKUP($T$222,'TAR FIN'!$A$1:$O$120,15,0))</f>
        <v>0</v>
      </c>
      <c r="X222" s="6">
        <f>IF(ISERROR(VLOOKUP($U$222,'TAR FIN'!$A$1:$O$120,15,0)),0,VLOOKUP($U$222,'TAR FIN'!$A$1:$O$120,15,0))</f>
        <v>0</v>
      </c>
      <c r="Y222" s="6">
        <f ca="1">('TUSD BE'!$AM$27+'TUSD BF'!$AM$27+'TUSD CVA'!$AM$27)*1</f>
        <v>27.216283196676113</v>
      </c>
      <c r="Z222" s="6">
        <f ca="1">('TUSD BE'!$AM$29+'TUSD BF'!$AM$29+'TUSD CVA'!$AM$29)*1</f>
        <v>87.519361965254689</v>
      </c>
      <c r="AA222" s="6"/>
      <c r="AB222" s="6">
        <f t="shared" si="14"/>
        <v>268402.11771852995</v>
      </c>
      <c r="AC222" s="6">
        <f t="shared" si="15"/>
        <v>0</v>
      </c>
      <c r="AD222" s="6">
        <f t="shared" ca="1" si="16"/>
        <v>318435.39871033613</v>
      </c>
      <c r="AE222" s="6">
        <f t="shared" ca="1" si="17"/>
        <v>0</v>
      </c>
      <c r="AF222" s="4" t="s">
        <v>1150</v>
      </c>
    </row>
    <row r="223" spans="1:32" ht="11.25" customHeight="1" x14ac:dyDescent="0.25">
      <c r="A223" s="4" t="s">
        <v>21</v>
      </c>
      <c r="B223" s="4" t="s">
        <v>33</v>
      </c>
      <c r="C223" s="4" t="s">
        <v>41</v>
      </c>
      <c r="D223" s="4" t="s">
        <v>40</v>
      </c>
      <c r="E223" s="4" t="s">
        <v>25</v>
      </c>
      <c r="F223" s="4" t="s">
        <v>63</v>
      </c>
      <c r="G223" s="4" t="s">
        <v>25</v>
      </c>
      <c r="H223" s="4" t="s">
        <v>35</v>
      </c>
      <c r="I223" s="5">
        <v>43891</v>
      </c>
      <c r="J223" s="6">
        <v>40820</v>
      </c>
      <c r="K223" s="6">
        <v>30565.040401999999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4" t="s">
        <v>60</v>
      </c>
      <c r="R223" s="4">
        <v>0</v>
      </c>
      <c r="S223" s="4">
        <v>21</v>
      </c>
      <c r="T223" s="4">
        <v>0</v>
      </c>
      <c r="U223" s="4">
        <v>0</v>
      </c>
      <c r="V223" s="6">
        <f>IF(ISERROR(VLOOKUP($S$223,'TAR FIN'!$A$1:$O$120,15,0)),0,VLOOKUP($S$223,'TAR FIN'!$A$1:$O$120,15,0))</f>
        <v>22.94</v>
      </c>
      <c r="W223" s="6">
        <f>IF(ISERROR(VLOOKUP($T$223,'TAR FIN'!$A$1:$O$120,15,0)),0,VLOOKUP($T$223,'TAR FIN'!$A$1:$O$120,15,0))</f>
        <v>0</v>
      </c>
      <c r="X223" s="6">
        <f>IF(ISERROR(VLOOKUP($U$223,'TAR FIN'!$A$1:$O$120,15,0)),0,VLOOKUP($U$223,'TAR FIN'!$A$1:$O$120,15,0))</f>
        <v>0</v>
      </c>
      <c r="Y223" s="6">
        <f ca="1">('TUSD BE'!$AM$27+'TUSD BF'!$AM$27+'TUSD CVA'!$AM$27)*1</f>
        <v>27.216283196676113</v>
      </c>
      <c r="Z223" s="6">
        <f ca="1">('TUSD BE'!$AM$29+'TUSD BF'!$AM$29+'TUSD CVA'!$AM$29)*1</f>
        <v>87.519361965254689</v>
      </c>
      <c r="AA223" s="6"/>
      <c r="AB223" s="6">
        <f t="shared" si="14"/>
        <v>235248.77317812006</v>
      </c>
      <c r="AC223" s="6">
        <f t="shared" si="15"/>
        <v>0</v>
      </c>
      <c r="AD223" s="6">
        <f t="shared" ca="1" si="16"/>
        <v>279101.88458963984</v>
      </c>
      <c r="AE223" s="6">
        <f t="shared" ca="1" si="17"/>
        <v>0</v>
      </c>
      <c r="AF223" s="4" t="s">
        <v>1150</v>
      </c>
    </row>
    <row r="224" spans="1:32" ht="11.25" customHeight="1" x14ac:dyDescent="0.25">
      <c r="A224" s="4" t="s">
        <v>21</v>
      </c>
      <c r="B224" s="4" t="s">
        <v>33</v>
      </c>
      <c r="C224" s="4" t="s">
        <v>41</v>
      </c>
      <c r="D224" s="4" t="s">
        <v>40</v>
      </c>
      <c r="E224" s="4" t="s">
        <v>25</v>
      </c>
      <c r="F224" s="4" t="s">
        <v>63</v>
      </c>
      <c r="G224" s="4" t="s">
        <v>25</v>
      </c>
      <c r="H224" s="4" t="s">
        <v>35</v>
      </c>
      <c r="I224" s="5">
        <v>43922</v>
      </c>
      <c r="J224" s="6">
        <v>41032</v>
      </c>
      <c r="K224" s="6">
        <v>30479.30899664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4" t="s">
        <v>60</v>
      </c>
      <c r="R224" s="4">
        <v>0</v>
      </c>
      <c r="S224" s="4">
        <v>21</v>
      </c>
      <c r="T224" s="4">
        <v>0</v>
      </c>
      <c r="U224" s="4">
        <v>0</v>
      </c>
      <c r="V224" s="6">
        <f>IF(ISERROR(VLOOKUP($S$224,'TAR FIN'!$A$1:$O$120,15,0)),0,VLOOKUP($S$224,'TAR FIN'!$A$1:$O$120,15,0))</f>
        <v>22.94</v>
      </c>
      <c r="W224" s="6">
        <f>IF(ISERROR(VLOOKUP($T$224,'TAR FIN'!$A$1:$O$120,15,0)),0,VLOOKUP($T$224,'TAR FIN'!$A$1:$O$120,15,0))</f>
        <v>0</v>
      </c>
      <c r="X224" s="6">
        <f>IF(ISERROR(VLOOKUP($U$224,'TAR FIN'!$A$1:$O$120,15,0)),0,VLOOKUP($U$224,'TAR FIN'!$A$1:$O$120,15,0))</f>
        <v>0</v>
      </c>
      <c r="Y224" s="6">
        <f ca="1">('TUSD BE'!$AM$27+'TUSD BF'!$AM$27+'TUSD CVA'!$AM$27)*1</f>
        <v>27.216283196676113</v>
      </c>
      <c r="Z224" s="6">
        <f ca="1">('TUSD BE'!$AM$29+'TUSD BF'!$AM$29+'TUSD CVA'!$AM$29)*1</f>
        <v>87.519361965254689</v>
      </c>
      <c r="AA224" s="6"/>
      <c r="AB224" s="6">
        <f t="shared" si="14"/>
        <v>242078.73161707842</v>
      </c>
      <c r="AC224" s="6">
        <f t="shared" si="15"/>
        <v>0</v>
      </c>
      <c r="AD224" s="6">
        <f t="shared" ca="1" si="16"/>
        <v>287205.02683446195</v>
      </c>
      <c r="AE224" s="6">
        <f t="shared" ca="1" si="17"/>
        <v>0</v>
      </c>
      <c r="AF224" s="4" t="s">
        <v>1150</v>
      </c>
    </row>
    <row r="225" spans="1:32" ht="11.25" customHeight="1" x14ac:dyDescent="0.25">
      <c r="A225" s="4" t="s">
        <v>21</v>
      </c>
      <c r="B225" s="4" t="s">
        <v>33</v>
      </c>
      <c r="C225" s="4" t="s">
        <v>41</v>
      </c>
      <c r="D225" s="4" t="s">
        <v>40</v>
      </c>
      <c r="E225" s="4" t="s">
        <v>25</v>
      </c>
      <c r="F225" s="4" t="s">
        <v>63</v>
      </c>
      <c r="G225" s="4" t="s">
        <v>25</v>
      </c>
      <c r="H225" s="4" t="s">
        <v>35</v>
      </c>
      <c r="I225" s="5">
        <v>43952</v>
      </c>
      <c r="J225" s="6">
        <v>36728</v>
      </c>
      <c r="K225" s="6">
        <v>27284.50508744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4" t="s">
        <v>60</v>
      </c>
      <c r="R225" s="4">
        <v>0</v>
      </c>
      <c r="S225" s="4">
        <v>21</v>
      </c>
      <c r="T225" s="4">
        <v>0</v>
      </c>
      <c r="U225" s="4">
        <v>0</v>
      </c>
      <c r="V225" s="6">
        <f>IF(ISERROR(VLOOKUP($S$225,'TAR FIN'!$A$1:$O$120,15,0)),0,VLOOKUP($S$225,'TAR FIN'!$A$1:$O$120,15,0))</f>
        <v>22.94</v>
      </c>
      <c r="W225" s="6">
        <f>IF(ISERROR(VLOOKUP($T$225,'TAR FIN'!$A$1:$O$120,15,0)),0,VLOOKUP($T$225,'TAR FIN'!$A$1:$O$120,15,0))</f>
        <v>0</v>
      </c>
      <c r="X225" s="6">
        <f>IF(ISERROR(VLOOKUP($U$225,'TAR FIN'!$A$1:$O$120,15,0)),0,VLOOKUP($U$225,'TAR FIN'!$A$1:$O$120,15,0))</f>
        <v>0</v>
      </c>
      <c r="Y225" s="6">
        <f ca="1">('TUSD BE'!$AM$27+'TUSD BF'!$AM$27+'TUSD CVA'!$AM$27)*1</f>
        <v>27.216283196676113</v>
      </c>
      <c r="Z225" s="6">
        <f ca="1">('TUSD BE'!$AM$29+'TUSD BF'!$AM$29+'TUSD CVA'!$AM$29)*1</f>
        <v>87.519361965254689</v>
      </c>
      <c r="AA225" s="6"/>
      <c r="AB225" s="6">
        <f t="shared" si="14"/>
        <v>216633.77329412641</v>
      </c>
      <c r="AC225" s="6">
        <f t="shared" si="15"/>
        <v>0</v>
      </c>
      <c r="AD225" s="6">
        <f t="shared" ca="1" si="16"/>
        <v>257016.83190660307</v>
      </c>
      <c r="AE225" s="6">
        <f t="shared" ca="1" si="17"/>
        <v>0</v>
      </c>
      <c r="AF225" s="4" t="s">
        <v>1150</v>
      </c>
    </row>
    <row r="226" spans="1:32" ht="11.25" customHeight="1" x14ac:dyDescent="0.25">
      <c r="A226" s="4" t="s">
        <v>21</v>
      </c>
      <c r="B226" s="4" t="s">
        <v>33</v>
      </c>
      <c r="C226" s="4" t="s">
        <v>41</v>
      </c>
      <c r="D226" s="4" t="s">
        <v>40</v>
      </c>
      <c r="E226" s="4" t="s">
        <v>25</v>
      </c>
      <c r="F226" s="4" t="s">
        <v>63</v>
      </c>
      <c r="G226" s="4" t="s">
        <v>25</v>
      </c>
      <c r="H226" s="4" t="s">
        <v>35</v>
      </c>
      <c r="I226" s="5">
        <v>43983</v>
      </c>
      <c r="J226" s="6">
        <v>36728</v>
      </c>
      <c r="K226" s="6">
        <v>26828.53541488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4" t="s">
        <v>60</v>
      </c>
      <c r="R226" s="4">
        <v>0</v>
      </c>
      <c r="S226" s="4">
        <v>21</v>
      </c>
      <c r="T226" s="4">
        <v>0</v>
      </c>
      <c r="U226" s="4">
        <v>0</v>
      </c>
      <c r="V226" s="6">
        <f>IF(ISERROR(VLOOKUP($S$226,'TAR FIN'!$A$1:$O$120,15,0)),0,VLOOKUP($S$226,'TAR FIN'!$A$1:$O$120,15,0))</f>
        <v>22.94</v>
      </c>
      <c r="W226" s="6">
        <f>IF(ISERROR(VLOOKUP($T$226,'TAR FIN'!$A$1:$O$120,15,0)),0,VLOOKUP($T$226,'TAR FIN'!$A$1:$O$120,15,0))</f>
        <v>0</v>
      </c>
      <c r="X226" s="6">
        <f>IF(ISERROR(VLOOKUP($U$226,'TAR FIN'!$A$1:$O$120,15,0)),0,VLOOKUP($U$226,'TAR FIN'!$A$1:$O$120,15,0))</f>
        <v>0</v>
      </c>
      <c r="Y226" s="6">
        <f ca="1">('TUSD BE'!$AM$27+'TUSD BF'!$AM$27+'TUSD CVA'!$AM$27)*1</f>
        <v>27.216283196676113</v>
      </c>
      <c r="Z226" s="6">
        <f ca="1">('TUSD BE'!$AM$29+'TUSD BF'!$AM$29+'TUSD CVA'!$AM$29)*1</f>
        <v>87.519361965254689</v>
      </c>
      <c r="AA226" s="6"/>
      <c r="AB226" s="6">
        <f t="shared" si="14"/>
        <v>227093.71758265281</v>
      </c>
      <c r="AC226" s="6">
        <f t="shared" si="15"/>
        <v>0</v>
      </c>
      <c r="AD226" s="6">
        <f t="shared" ca="1" si="16"/>
        <v>269426.63164409174</v>
      </c>
      <c r="AE226" s="6">
        <f t="shared" ca="1" si="17"/>
        <v>0</v>
      </c>
      <c r="AF226" s="4" t="s">
        <v>1150</v>
      </c>
    </row>
    <row r="227" spans="1:32" ht="11.25" customHeight="1" x14ac:dyDescent="0.25">
      <c r="A227" s="4" t="s">
        <v>21</v>
      </c>
      <c r="B227" s="4" t="s">
        <v>33</v>
      </c>
      <c r="C227" s="4" t="s">
        <v>41</v>
      </c>
      <c r="D227" s="4" t="s">
        <v>40</v>
      </c>
      <c r="E227" s="4" t="s">
        <v>25</v>
      </c>
      <c r="F227" s="4" t="s">
        <v>63</v>
      </c>
      <c r="G227" s="4" t="s">
        <v>25</v>
      </c>
      <c r="H227" s="4" t="s">
        <v>35</v>
      </c>
      <c r="I227" s="5">
        <v>44013</v>
      </c>
      <c r="J227" s="6">
        <v>38585</v>
      </c>
      <c r="K227" s="6">
        <v>27811.329868950001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4" t="s">
        <v>60</v>
      </c>
      <c r="R227" s="4">
        <v>0</v>
      </c>
      <c r="S227" s="4">
        <v>21</v>
      </c>
      <c r="T227" s="4">
        <v>0</v>
      </c>
      <c r="U227" s="4">
        <v>0</v>
      </c>
      <c r="V227" s="6">
        <f>IF(ISERROR(VLOOKUP($S$227,'TAR FIN'!$A$1:$O$120,15,0)),0,VLOOKUP($S$227,'TAR FIN'!$A$1:$O$120,15,0))</f>
        <v>22.94</v>
      </c>
      <c r="W227" s="6">
        <f>IF(ISERROR(VLOOKUP($T$227,'TAR FIN'!$A$1:$O$120,15,0)),0,VLOOKUP($T$227,'TAR FIN'!$A$1:$O$120,15,0))</f>
        <v>0</v>
      </c>
      <c r="X227" s="6">
        <f>IF(ISERROR(VLOOKUP($U$227,'TAR FIN'!$A$1:$O$120,15,0)),0,VLOOKUP($U$227,'TAR FIN'!$A$1:$O$120,15,0))</f>
        <v>0</v>
      </c>
      <c r="Y227" s="6">
        <f ca="1">('TUSD BE'!$AM$27+'TUSD BF'!$AM$27+'TUSD CVA'!$AM$27)*1</f>
        <v>27.216283196676113</v>
      </c>
      <c r="Z227" s="6">
        <f ca="1">('TUSD BE'!$AM$29+'TUSD BF'!$AM$29+'TUSD CVA'!$AM$29)*1</f>
        <v>87.519361965254689</v>
      </c>
      <c r="AA227" s="6"/>
      <c r="AB227" s="6">
        <f t="shared" si="14"/>
        <v>247147.99280628699</v>
      </c>
      <c r="AC227" s="6">
        <f t="shared" si="15"/>
        <v>0</v>
      </c>
      <c r="AD227" s="6">
        <f t="shared" ca="1" si="16"/>
        <v>293219.25735422742</v>
      </c>
      <c r="AE227" s="6">
        <f t="shared" ca="1" si="17"/>
        <v>0</v>
      </c>
      <c r="AF227" s="4" t="s">
        <v>1150</v>
      </c>
    </row>
    <row r="228" spans="1:32" ht="11.25" customHeight="1" x14ac:dyDescent="0.25">
      <c r="A228" s="4" t="s">
        <v>21</v>
      </c>
      <c r="B228" s="4" t="s">
        <v>33</v>
      </c>
      <c r="C228" s="4" t="s">
        <v>41</v>
      </c>
      <c r="D228" s="4" t="s">
        <v>40</v>
      </c>
      <c r="E228" s="4" t="s">
        <v>25</v>
      </c>
      <c r="F228" s="4" t="s">
        <v>63</v>
      </c>
      <c r="G228" s="4" t="s">
        <v>25</v>
      </c>
      <c r="H228" s="4" t="s">
        <v>35</v>
      </c>
      <c r="I228" s="5">
        <v>44044</v>
      </c>
      <c r="J228" s="6">
        <v>40321</v>
      </c>
      <c r="K228" s="6">
        <v>29837.54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4" t="s">
        <v>60</v>
      </c>
      <c r="R228" s="4">
        <v>0</v>
      </c>
      <c r="S228" s="4">
        <v>21</v>
      </c>
      <c r="T228" s="4">
        <v>0</v>
      </c>
      <c r="U228" s="4">
        <v>0</v>
      </c>
      <c r="V228" s="6">
        <f>IF(ISERROR(VLOOKUP($S$228,'TAR FIN'!$A$1:$O$120,15,0)),0,VLOOKUP($S$228,'TAR FIN'!$A$1:$O$120,15,0))</f>
        <v>22.94</v>
      </c>
      <c r="W228" s="6">
        <f>IF(ISERROR(VLOOKUP($T$228,'TAR FIN'!$A$1:$O$120,15,0)),0,VLOOKUP($T$228,'TAR FIN'!$A$1:$O$120,15,0))</f>
        <v>0</v>
      </c>
      <c r="X228" s="6">
        <f>IF(ISERROR(VLOOKUP($U$228,'TAR FIN'!$A$1:$O$120,15,0)),0,VLOOKUP($U$228,'TAR FIN'!$A$1:$O$120,15,0))</f>
        <v>0</v>
      </c>
      <c r="Y228" s="6">
        <f ca="1">('TUSD BE'!$AM$27+'TUSD BF'!$AM$27+'TUSD CVA'!$AM$27)*1</f>
        <v>27.216283196676113</v>
      </c>
      <c r="Z228" s="6">
        <f ca="1">('TUSD BE'!$AM$29+'TUSD BF'!$AM$29+'TUSD CVA'!$AM$29)*1</f>
        <v>87.519361965254689</v>
      </c>
      <c r="AA228" s="6"/>
      <c r="AB228" s="6">
        <f t="shared" si="14"/>
        <v>240490.5724</v>
      </c>
      <c r="AC228" s="6">
        <f t="shared" si="15"/>
        <v>0</v>
      </c>
      <c r="AD228" s="6">
        <f t="shared" ca="1" si="16"/>
        <v>285320.81624102616</v>
      </c>
      <c r="AE228" s="6">
        <f t="shared" ca="1" si="17"/>
        <v>0</v>
      </c>
      <c r="AF228" s="4" t="s">
        <v>1150</v>
      </c>
    </row>
    <row r="229" spans="1:32" ht="11.25" customHeight="1" x14ac:dyDescent="0.25">
      <c r="A229" s="4" t="s">
        <v>59</v>
      </c>
      <c r="B229" s="4" t="s">
        <v>33</v>
      </c>
      <c r="C229" s="4" t="s">
        <v>41</v>
      </c>
      <c r="D229" s="4" t="s">
        <v>40</v>
      </c>
      <c r="E229" s="4" t="s">
        <v>25</v>
      </c>
      <c r="F229" s="4" t="s">
        <v>63</v>
      </c>
      <c r="G229" s="4" t="s">
        <v>25</v>
      </c>
      <c r="H229" s="4" t="s">
        <v>35</v>
      </c>
      <c r="I229" s="5">
        <v>44075</v>
      </c>
      <c r="J229" s="6">
        <v>40321</v>
      </c>
      <c r="K229" s="6">
        <v>29837.54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4" t="s">
        <v>60</v>
      </c>
      <c r="R229" s="4">
        <v>0</v>
      </c>
      <c r="S229" s="4">
        <v>21</v>
      </c>
      <c r="T229" s="4">
        <v>0</v>
      </c>
      <c r="U229" s="4">
        <v>0</v>
      </c>
      <c r="V229" s="6">
        <f>IF(ISERROR(VLOOKUP($S$229,'TAR FIN'!$A$1:$O$120,15,0)),0,VLOOKUP($S$229,'TAR FIN'!$A$1:$O$120,15,0))</f>
        <v>22.94</v>
      </c>
      <c r="W229" s="6">
        <f>IF(ISERROR(VLOOKUP($T$229,'TAR FIN'!$A$1:$O$120,15,0)),0,VLOOKUP($T$229,'TAR FIN'!$A$1:$O$120,15,0))</f>
        <v>0</v>
      </c>
      <c r="X229" s="6">
        <f>IF(ISERROR(VLOOKUP($U$229,'TAR FIN'!$A$1:$O$120,15,0)),0,VLOOKUP($U$229,'TAR FIN'!$A$1:$O$120,15,0))</f>
        <v>0</v>
      </c>
      <c r="Y229" s="6">
        <f ca="1">('TUSD BE'!$AM$27+'TUSD BF'!$AM$27+'TUSD CVA'!$AM$27)*1</f>
        <v>27.216283196676113</v>
      </c>
      <c r="Z229" s="6">
        <f ca="1">('TUSD BE'!$AM$29+'TUSD BF'!$AM$29+'TUSD CVA'!$AM$29)*1</f>
        <v>87.519361965254689</v>
      </c>
      <c r="AA229" s="6"/>
      <c r="AB229" s="6">
        <f t="shared" si="14"/>
        <v>240490.5724</v>
      </c>
      <c r="AC229" s="6">
        <f t="shared" si="15"/>
        <v>0</v>
      </c>
      <c r="AD229" s="6">
        <f t="shared" ca="1" si="16"/>
        <v>285320.81624102616</v>
      </c>
      <c r="AE229" s="6">
        <f t="shared" ca="1" si="17"/>
        <v>0</v>
      </c>
      <c r="AF229" s="4" t="s">
        <v>1150</v>
      </c>
    </row>
    <row r="230" spans="1:32" ht="11.25" customHeight="1" x14ac:dyDescent="0.25">
      <c r="A230" s="4" t="s">
        <v>21</v>
      </c>
      <c r="B230" s="4" t="s">
        <v>33</v>
      </c>
      <c r="C230" s="4" t="s">
        <v>41</v>
      </c>
      <c r="D230" s="4" t="s">
        <v>47</v>
      </c>
      <c r="E230" s="4" t="s">
        <v>25</v>
      </c>
      <c r="F230" s="4" t="s">
        <v>25</v>
      </c>
      <c r="G230" s="4" t="s">
        <v>25</v>
      </c>
      <c r="H230" s="4" t="s">
        <v>36</v>
      </c>
      <c r="I230" s="5">
        <v>43739</v>
      </c>
      <c r="J230" s="6">
        <v>781</v>
      </c>
      <c r="K230" s="71">
        <v>781</v>
      </c>
      <c r="L230" s="6">
        <v>352.00299999999999</v>
      </c>
      <c r="M230" s="71">
        <v>352.00299999999999</v>
      </c>
      <c r="N230" s="6">
        <v>352.00299999999999</v>
      </c>
      <c r="O230" s="71">
        <v>352.00299999999999</v>
      </c>
      <c r="P230" s="6">
        <v>0</v>
      </c>
      <c r="Q230" s="4" t="s">
        <v>26</v>
      </c>
      <c r="R230" s="4">
        <v>0</v>
      </c>
      <c r="S230" s="4">
        <v>22</v>
      </c>
      <c r="T230" s="4">
        <v>23</v>
      </c>
      <c r="U230" s="4">
        <v>82</v>
      </c>
      <c r="V230" s="71">
        <f>IF(ISERROR(VLOOKUP($S$230,'TAR FIN'!$A$1:$O$120,15,0)),0,VLOOKUP($S$230,'TAR FIN'!$A$1:$O$120,15,0))*(1-0.08)</f>
        <v>8.1052</v>
      </c>
      <c r="W230" s="71">
        <f>IF(ISERROR(VLOOKUP($T$230,'TAR FIN'!$A$1:$O$120,15,0)),0,VLOOKUP($T$230,'TAR FIN'!$A$1:$O$120,15,0))*(1-0.08)</f>
        <v>77.694000000000003</v>
      </c>
      <c r="X230" s="71">
        <f>IF(ISERROR(VLOOKUP($U$230,'TAR FIN'!$A$1:$O$120,15,0)),0,VLOOKUP($U$230,'TAR FIN'!$A$1:$O$120,15,0))*(1-0.08)</f>
        <v>235.86960000000002</v>
      </c>
      <c r="Y230" s="71">
        <f ca="1">('TUSD BE'!$AM$28+'TUSD BF'!$AM$28+'TUSD CVA'!$AM$28)*1*(1-0.06)</f>
        <v>10.765215249734004</v>
      </c>
      <c r="Z230" s="71">
        <f ca="1">('TUSD BE'!$AM$29+'TUSD BF'!$AM$29+'TUSD CVA'!$AM$29)*1*(1-0.06)</f>
        <v>82.268200247339408</v>
      </c>
      <c r="AA230" s="71">
        <f>('TE BE'!$AA$11+'TE BF'!$AA$11+'TE CVA'!$AA$11)*1*(1-0.06)</f>
        <v>216.98415684477786</v>
      </c>
      <c r="AB230" s="71">
        <f>(SUBSIDIO!$J$230*SUBSIDIO!$V$230)*(0.08)/(1-0.08)</f>
        <v>550.44880000000001</v>
      </c>
      <c r="AC230" s="71">
        <f>((SUBSIDIO!$L$230*SUBSIDIO!$W$230)+(SUBSIDIO!$N$230*SUBSIDIO!$X$230))*(0.08)/(1-0.08)</f>
        <v>9597.8545991999981</v>
      </c>
      <c r="AD230" s="71">
        <f ca="1">(SUBSIDIO!$J$230*SUBSIDIO!$Y$230)*(0.06)/(1-0.06)</f>
        <v>536.65743255588882</v>
      </c>
      <c r="AE230" s="71">
        <f ca="1">((SUBSIDIO!$L$230*SUBSIDIO!$Z$230)+(SUBSIDIO!$N$230*SUBSIDIO!$AA$230))*(0.06)/(1-0.06)</f>
        <v>6723.6847310742478</v>
      </c>
      <c r="AF230" s="4" t="s">
        <v>1151</v>
      </c>
    </row>
    <row r="231" spans="1:32" ht="11.25" customHeight="1" x14ac:dyDescent="0.25">
      <c r="A231" s="4" t="s">
        <v>21</v>
      </c>
      <c r="B231" s="4" t="s">
        <v>33</v>
      </c>
      <c r="C231" s="4" t="s">
        <v>41</v>
      </c>
      <c r="D231" s="4" t="s">
        <v>47</v>
      </c>
      <c r="E231" s="4" t="s">
        <v>25</v>
      </c>
      <c r="F231" s="4" t="s">
        <v>25</v>
      </c>
      <c r="G231" s="4" t="s">
        <v>25</v>
      </c>
      <c r="H231" s="4" t="s">
        <v>36</v>
      </c>
      <c r="I231" s="5">
        <v>43770</v>
      </c>
      <c r="J231" s="6">
        <v>779</v>
      </c>
      <c r="K231" s="71">
        <v>779</v>
      </c>
      <c r="L231" s="6">
        <v>325.995</v>
      </c>
      <c r="M231" s="71">
        <v>325.995</v>
      </c>
      <c r="N231" s="6">
        <v>325.995</v>
      </c>
      <c r="O231" s="71">
        <v>325.995</v>
      </c>
      <c r="P231" s="6">
        <v>0</v>
      </c>
      <c r="Q231" s="4" t="s">
        <v>26</v>
      </c>
      <c r="R231" s="4">
        <v>0</v>
      </c>
      <c r="S231" s="4">
        <v>22</v>
      </c>
      <c r="T231" s="4">
        <v>23</v>
      </c>
      <c r="U231" s="4">
        <v>82</v>
      </c>
      <c r="V231" s="71">
        <f>IF(ISERROR(VLOOKUP($S$231,'TAR FIN'!$A$1:$O$120,15,0)),0,VLOOKUP($S$231,'TAR FIN'!$A$1:$O$120,15,0))*(1-0.08)</f>
        <v>8.1052</v>
      </c>
      <c r="W231" s="71">
        <f>IF(ISERROR(VLOOKUP($T$231,'TAR FIN'!$A$1:$O$120,15,0)),0,VLOOKUP($T$231,'TAR FIN'!$A$1:$O$120,15,0))*(1-0.08)</f>
        <v>77.694000000000003</v>
      </c>
      <c r="X231" s="71">
        <f>IF(ISERROR(VLOOKUP($U$231,'TAR FIN'!$A$1:$O$120,15,0)),0,VLOOKUP($U$231,'TAR FIN'!$A$1:$O$120,15,0))*(1-0.08)</f>
        <v>235.86960000000002</v>
      </c>
      <c r="Y231" s="71">
        <f ca="1">('TUSD BE'!$AM$28+'TUSD BF'!$AM$28+'TUSD CVA'!$AM$28)*1*(1-0.06)</f>
        <v>10.765215249734004</v>
      </c>
      <c r="Z231" s="71">
        <f ca="1">('TUSD BE'!$AM$29+'TUSD BF'!$AM$29+'TUSD CVA'!$AM$29)*1*(1-0.06)</f>
        <v>82.268200247339408</v>
      </c>
      <c r="AA231" s="71">
        <f>('TE BE'!$AA$11+'TE BF'!$AA$11+'TE CVA'!$AA$11)*1*(1-0.06)</f>
        <v>216.98415684477786</v>
      </c>
      <c r="AB231" s="71">
        <f>(SUBSIDIO!$J$231*SUBSIDIO!$V$231)*(0.08)/(1-0.08)</f>
        <v>549.03919999999994</v>
      </c>
      <c r="AC231" s="71">
        <f>((SUBSIDIO!$L$231*SUBSIDIO!$W$231)+(SUBSIDIO!$N$231*SUBSIDIO!$X$231))*(0.08)/(1-0.08)</f>
        <v>8888.7100680000003</v>
      </c>
      <c r="AD231" s="71">
        <f ca="1">(SUBSIDIO!$J$231*SUBSIDIO!$Y$231)*(0.06)/(1-0.06)</f>
        <v>535.2831497580504</v>
      </c>
      <c r="AE231" s="71">
        <f ca="1">((SUBSIDIO!$L$231*SUBSIDIO!$Z$231)+(SUBSIDIO!$N$231*SUBSIDIO!$AA$231))*(0.06)/(1-0.06)</f>
        <v>6226.9003500156241</v>
      </c>
      <c r="AF231" s="4" t="s">
        <v>1151</v>
      </c>
    </row>
    <row r="232" spans="1:32" ht="11.25" customHeight="1" x14ac:dyDescent="0.25">
      <c r="A232" s="4" t="s">
        <v>21</v>
      </c>
      <c r="B232" s="4" t="s">
        <v>33</v>
      </c>
      <c r="C232" s="4" t="s">
        <v>41</v>
      </c>
      <c r="D232" s="4" t="s">
        <v>47</v>
      </c>
      <c r="E232" s="4" t="s">
        <v>25</v>
      </c>
      <c r="F232" s="4" t="s">
        <v>25</v>
      </c>
      <c r="G232" s="4" t="s">
        <v>25</v>
      </c>
      <c r="H232" s="4" t="s">
        <v>36</v>
      </c>
      <c r="I232" s="5">
        <v>43800</v>
      </c>
      <c r="J232" s="6">
        <v>733</v>
      </c>
      <c r="K232" s="71">
        <v>733</v>
      </c>
      <c r="L232" s="6">
        <v>297.36099999999999</v>
      </c>
      <c r="M232" s="71">
        <v>297.36099999999999</v>
      </c>
      <c r="N232" s="6">
        <v>297.36099999999999</v>
      </c>
      <c r="O232" s="71">
        <v>297.36099999999999</v>
      </c>
      <c r="P232" s="6">
        <v>0</v>
      </c>
      <c r="Q232" s="4" t="s">
        <v>26</v>
      </c>
      <c r="R232" s="4">
        <v>0</v>
      </c>
      <c r="S232" s="4">
        <v>22</v>
      </c>
      <c r="T232" s="4">
        <v>23</v>
      </c>
      <c r="U232" s="4">
        <v>82</v>
      </c>
      <c r="V232" s="71">
        <f>IF(ISERROR(VLOOKUP($S$232,'TAR FIN'!$A$1:$O$120,15,0)),0,VLOOKUP($S$232,'TAR FIN'!$A$1:$O$120,15,0))*(1-0.08)</f>
        <v>8.1052</v>
      </c>
      <c r="W232" s="71">
        <f>IF(ISERROR(VLOOKUP($T$232,'TAR FIN'!$A$1:$O$120,15,0)),0,VLOOKUP($T$232,'TAR FIN'!$A$1:$O$120,15,0))*(1-0.08)</f>
        <v>77.694000000000003</v>
      </c>
      <c r="X232" s="71">
        <f>IF(ISERROR(VLOOKUP($U$232,'TAR FIN'!$A$1:$O$120,15,0)),0,VLOOKUP($U$232,'TAR FIN'!$A$1:$O$120,15,0))*(1-0.08)</f>
        <v>235.86960000000002</v>
      </c>
      <c r="Y232" s="71">
        <f ca="1">('TUSD BE'!$AM$28+'TUSD BF'!$AM$28+'TUSD CVA'!$AM$28)*1*(1-0.06)</f>
        <v>10.765215249734004</v>
      </c>
      <c r="Z232" s="71">
        <f ca="1">('TUSD BE'!$AM$29+'TUSD BF'!$AM$29+'TUSD CVA'!$AM$29)*1*(1-0.06)</f>
        <v>82.268200247339408</v>
      </c>
      <c r="AA232" s="71">
        <f>('TE BE'!$AA$11+'TE BF'!$AA$11+'TE CVA'!$AA$11)*1*(1-0.06)</f>
        <v>216.98415684477786</v>
      </c>
      <c r="AB232" s="71">
        <f>(SUBSIDIO!$J$232*SUBSIDIO!$V$232)*(0.08)/(1-0.08)</f>
        <v>516.61839999999995</v>
      </c>
      <c r="AC232" s="71">
        <f>((SUBSIDIO!$L$232*SUBSIDIO!$W$232)+(SUBSIDIO!$N$232*SUBSIDIO!$X$232))*(0.08)/(1-0.08)</f>
        <v>8107.963970400001</v>
      </c>
      <c r="AD232" s="71">
        <f ca="1">(SUBSIDIO!$J$232*SUBSIDIO!$Y$232)*(0.06)/(1-0.06)</f>
        <v>503.67464540776757</v>
      </c>
      <c r="AE232" s="71">
        <f ca="1">((SUBSIDIO!$L$232*SUBSIDIO!$Z$232)+(SUBSIDIO!$N$232*SUBSIDIO!$AA$232))*(0.06)/(1-0.06)</f>
        <v>5679.9561802512171</v>
      </c>
      <c r="AF232" s="4" t="s">
        <v>1151</v>
      </c>
    </row>
    <row r="233" spans="1:32" ht="11.25" customHeight="1" x14ac:dyDescent="0.25">
      <c r="A233" s="4" t="s">
        <v>21</v>
      </c>
      <c r="B233" s="4" t="s">
        <v>33</v>
      </c>
      <c r="C233" s="4" t="s">
        <v>41</v>
      </c>
      <c r="D233" s="4" t="s">
        <v>47</v>
      </c>
      <c r="E233" s="4" t="s">
        <v>25</v>
      </c>
      <c r="F233" s="4" t="s">
        <v>25</v>
      </c>
      <c r="G233" s="4" t="s">
        <v>25</v>
      </c>
      <c r="H233" s="4" t="s">
        <v>36</v>
      </c>
      <c r="I233" s="5">
        <v>43831</v>
      </c>
      <c r="J233" s="6">
        <v>722</v>
      </c>
      <c r="K233" s="71">
        <v>722</v>
      </c>
      <c r="L233" s="6">
        <v>328.46</v>
      </c>
      <c r="M233" s="71">
        <v>328.46</v>
      </c>
      <c r="N233" s="6">
        <v>328.46</v>
      </c>
      <c r="O233" s="71">
        <v>328.46</v>
      </c>
      <c r="P233" s="6">
        <v>0</v>
      </c>
      <c r="Q233" s="4" t="s">
        <v>26</v>
      </c>
      <c r="R233" s="4">
        <v>0</v>
      </c>
      <c r="S233" s="4">
        <v>22</v>
      </c>
      <c r="T233" s="4">
        <v>23</v>
      </c>
      <c r="U233" s="4">
        <v>82</v>
      </c>
      <c r="V233" s="71">
        <f>IF(ISERROR(VLOOKUP($S$233,'TAR FIN'!$A$1:$O$120,15,0)),0,VLOOKUP($S$233,'TAR FIN'!$A$1:$O$120,15,0))*(1-0.08)</f>
        <v>8.1052</v>
      </c>
      <c r="W233" s="71">
        <f>IF(ISERROR(VLOOKUP($T$233,'TAR FIN'!$A$1:$O$120,15,0)),0,VLOOKUP($T$233,'TAR FIN'!$A$1:$O$120,15,0))*(1-0.08)</f>
        <v>77.694000000000003</v>
      </c>
      <c r="X233" s="71">
        <f>IF(ISERROR(VLOOKUP($U$233,'TAR FIN'!$A$1:$O$120,15,0)),0,VLOOKUP($U$233,'TAR FIN'!$A$1:$O$120,15,0))*(1-0.08)</f>
        <v>235.86960000000002</v>
      </c>
      <c r="Y233" s="71">
        <f ca="1">('TUSD BE'!$AM$28+'TUSD BF'!$AM$28+'TUSD CVA'!$AM$28)*1*(1-0.06)</f>
        <v>10.765215249734004</v>
      </c>
      <c r="Z233" s="71">
        <f ca="1">('TUSD BE'!$AM$29+'TUSD BF'!$AM$29+'TUSD CVA'!$AM$29)*1*(1-0.06)</f>
        <v>82.268200247339408</v>
      </c>
      <c r="AA233" s="71">
        <f>('TE BE'!$AA$11+'TE BF'!$AA$11+'TE CVA'!$AA$11)*1*(1-0.06)</f>
        <v>216.98415684477786</v>
      </c>
      <c r="AB233" s="71">
        <f>(SUBSIDIO!$J$233*SUBSIDIO!$V$233)*(0.08)/(1-0.08)</f>
        <v>508.86559999999997</v>
      </c>
      <c r="AC233" s="71">
        <f>((SUBSIDIO!$L$233*SUBSIDIO!$W$233)+(SUBSIDIO!$N$233*SUBSIDIO!$X$233))*(0.08)/(1-0.08)</f>
        <v>8955.9217439999993</v>
      </c>
      <c r="AD233" s="71">
        <f ca="1">(SUBSIDIO!$J$233*SUBSIDIO!$Y$233)*(0.06)/(1-0.06)</f>
        <v>496.11609001965638</v>
      </c>
      <c r="AE233" s="71">
        <f ca="1">((SUBSIDIO!$L$233*SUBSIDIO!$Z$233)+(SUBSIDIO!$N$233*SUBSIDIO!$AA$233))*(0.06)/(1-0.06)</f>
        <v>6273.9848432219251</v>
      </c>
      <c r="AF233" s="4" t="s">
        <v>1151</v>
      </c>
    </row>
    <row r="234" spans="1:32" ht="11.25" customHeight="1" x14ac:dyDescent="0.25">
      <c r="A234" s="4" t="s">
        <v>21</v>
      </c>
      <c r="B234" s="4" t="s">
        <v>33</v>
      </c>
      <c r="C234" s="4" t="s">
        <v>41</v>
      </c>
      <c r="D234" s="4" t="s">
        <v>47</v>
      </c>
      <c r="E234" s="4" t="s">
        <v>25</v>
      </c>
      <c r="F234" s="4" t="s">
        <v>25</v>
      </c>
      <c r="G234" s="4" t="s">
        <v>25</v>
      </c>
      <c r="H234" s="4" t="s">
        <v>36</v>
      </c>
      <c r="I234" s="5">
        <v>43862</v>
      </c>
      <c r="J234" s="6">
        <v>777</v>
      </c>
      <c r="K234" s="71">
        <v>777</v>
      </c>
      <c r="L234" s="6">
        <v>318.10399999999998</v>
      </c>
      <c r="M234" s="71">
        <v>318.10399999999998</v>
      </c>
      <c r="N234" s="6">
        <v>318.10399999999998</v>
      </c>
      <c r="O234" s="71">
        <v>318.10399999999998</v>
      </c>
      <c r="P234" s="6">
        <v>0</v>
      </c>
      <c r="Q234" s="4" t="s">
        <v>26</v>
      </c>
      <c r="R234" s="4">
        <v>0</v>
      </c>
      <c r="S234" s="4">
        <v>22</v>
      </c>
      <c r="T234" s="4">
        <v>23</v>
      </c>
      <c r="U234" s="4">
        <v>82</v>
      </c>
      <c r="V234" s="71">
        <f>IF(ISERROR(VLOOKUP($S$234,'TAR FIN'!$A$1:$O$120,15,0)),0,VLOOKUP($S$234,'TAR FIN'!$A$1:$O$120,15,0))*(1-0.08)</f>
        <v>8.1052</v>
      </c>
      <c r="W234" s="71">
        <f>IF(ISERROR(VLOOKUP($T$234,'TAR FIN'!$A$1:$O$120,15,0)),0,VLOOKUP($T$234,'TAR FIN'!$A$1:$O$120,15,0))*(1-0.08)</f>
        <v>77.694000000000003</v>
      </c>
      <c r="X234" s="71">
        <f>IF(ISERROR(VLOOKUP($U$234,'TAR FIN'!$A$1:$O$120,15,0)),0,VLOOKUP($U$234,'TAR FIN'!$A$1:$O$120,15,0))*(1-0.08)</f>
        <v>235.86960000000002</v>
      </c>
      <c r="Y234" s="71">
        <f ca="1">('TUSD BE'!$AM$28+'TUSD BF'!$AM$28+'TUSD CVA'!$AM$28)*1*(1-0.06)</f>
        <v>10.765215249734004</v>
      </c>
      <c r="Z234" s="71">
        <f ca="1">('TUSD BE'!$AM$29+'TUSD BF'!$AM$29+'TUSD CVA'!$AM$29)*1*(1-0.06)</f>
        <v>82.268200247339408</v>
      </c>
      <c r="AA234" s="71">
        <f>('TE BE'!$AA$11+'TE BF'!$AA$11+'TE CVA'!$AA$11)*1*(1-0.06)</f>
        <v>216.98415684477786</v>
      </c>
      <c r="AB234" s="71">
        <f>(SUBSIDIO!$J$234*SUBSIDIO!$V$234)*(0.08)/(1-0.08)</f>
        <v>547.62959999999998</v>
      </c>
      <c r="AC234" s="71">
        <f>((SUBSIDIO!$L$234*SUBSIDIO!$W$234)+(SUBSIDIO!$N$234*SUBSIDIO!$X$234))*(0.08)/(1-0.08)</f>
        <v>8673.550905600001</v>
      </c>
      <c r="AD234" s="71">
        <f ca="1">(SUBSIDIO!$J$234*SUBSIDIO!$Y$234)*(0.06)/(1-0.06)</f>
        <v>533.90886696021198</v>
      </c>
      <c r="AE234" s="71">
        <f ca="1">((SUBSIDIO!$L$234*SUBSIDIO!$Z$234)+(SUBSIDIO!$N$234*SUBSIDIO!$AA$234))*(0.06)/(1-0.06)</f>
        <v>6076.1726681126074</v>
      </c>
      <c r="AF234" s="4" t="s">
        <v>1151</v>
      </c>
    </row>
    <row r="235" spans="1:32" ht="11.25" customHeight="1" x14ac:dyDescent="0.25">
      <c r="A235" s="4" t="s">
        <v>21</v>
      </c>
      <c r="B235" s="4" t="s">
        <v>33</v>
      </c>
      <c r="C235" s="4" t="s">
        <v>41</v>
      </c>
      <c r="D235" s="4" t="s">
        <v>47</v>
      </c>
      <c r="E235" s="4" t="s">
        <v>25</v>
      </c>
      <c r="F235" s="4" t="s">
        <v>25</v>
      </c>
      <c r="G235" s="4" t="s">
        <v>25</v>
      </c>
      <c r="H235" s="4" t="s">
        <v>36</v>
      </c>
      <c r="I235" s="5">
        <v>43891</v>
      </c>
      <c r="J235" s="6">
        <v>825</v>
      </c>
      <c r="K235" s="71">
        <v>825</v>
      </c>
      <c r="L235" s="6">
        <v>318.88499999999999</v>
      </c>
      <c r="M235" s="71">
        <v>318.88499999999999</v>
      </c>
      <c r="N235" s="6">
        <v>318.88499999999999</v>
      </c>
      <c r="O235" s="71">
        <v>318.88499999999999</v>
      </c>
      <c r="P235" s="6">
        <v>0</v>
      </c>
      <c r="Q235" s="4" t="s">
        <v>26</v>
      </c>
      <c r="R235" s="4">
        <v>0</v>
      </c>
      <c r="S235" s="4">
        <v>22</v>
      </c>
      <c r="T235" s="4">
        <v>23</v>
      </c>
      <c r="U235" s="4">
        <v>82</v>
      </c>
      <c r="V235" s="71">
        <f>IF(ISERROR(VLOOKUP($S$235,'TAR FIN'!$A$1:$O$120,15,0)),0,VLOOKUP($S$235,'TAR FIN'!$A$1:$O$120,15,0))*(1-0.08)</f>
        <v>8.1052</v>
      </c>
      <c r="W235" s="71">
        <f>IF(ISERROR(VLOOKUP($T$235,'TAR FIN'!$A$1:$O$120,15,0)),0,VLOOKUP($T$235,'TAR FIN'!$A$1:$O$120,15,0))*(1-0.08)</f>
        <v>77.694000000000003</v>
      </c>
      <c r="X235" s="71">
        <f>IF(ISERROR(VLOOKUP($U$235,'TAR FIN'!$A$1:$O$120,15,0)),0,VLOOKUP($U$235,'TAR FIN'!$A$1:$O$120,15,0))*(1-0.08)</f>
        <v>235.86960000000002</v>
      </c>
      <c r="Y235" s="71">
        <f ca="1">('TUSD BE'!$AM$28+'TUSD BF'!$AM$28+'TUSD CVA'!$AM$28)*1*(1-0.06)</f>
        <v>10.765215249734004</v>
      </c>
      <c r="Z235" s="71">
        <f ca="1">('TUSD BE'!$AM$29+'TUSD BF'!$AM$29+'TUSD CVA'!$AM$29)*1*(1-0.06)</f>
        <v>82.268200247339408</v>
      </c>
      <c r="AA235" s="71">
        <f>('TE BE'!$AA$11+'TE BF'!$AA$11+'TE CVA'!$AA$11)*1*(1-0.06)</f>
        <v>216.98415684477786</v>
      </c>
      <c r="AB235" s="71">
        <f>(SUBSIDIO!$J$235*SUBSIDIO!$V$235)*(0.08)/(1-0.08)</f>
        <v>581.46</v>
      </c>
      <c r="AC235" s="71">
        <f>((SUBSIDIO!$L$235*SUBSIDIO!$W$235)+(SUBSIDIO!$N$235*SUBSIDIO!$X$235))*(0.08)/(1-0.08)</f>
        <v>8694.8459640000001</v>
      </c>
      <c r="AD235" s="71">
        <f ca="1">(SUBSIDIO!$J$235*SUBSIDIO!$Y$235)*(0.06)/(1-0.06)</f>
        <v>566.89165410833323</v>
      </c>
      <c r="AE235" s="71">
        <f ca="1">((SUBSIDIO!$L$235*SUBSIDIO!$Z$235)+(SUBSIDIO!$N$235*SUBSIDIO!$AA$235))*(0.06)/(1-0.06)</f>
        <v>6091.0907164672226</v>
      </c>
      <c r="AF235" s="4" t="s">
        <v>1151</v>
      </c>
    </row>
    <row r="236" spans="1:32" ht="11.25" customHeight="1" x14ac:dyDescent="0.25">
      <c r="A236" s="4" t="s">
        <v>21</v>
      </c>
      <c r="B236" s="4" t="s">
        <v>33</v>
      </c>
      <c r="C236" s="4" t="s">
        <v>41</v>
      </c>
      <c r="D236" s="4" t="s">
        <v>47</v>
      </c>
      <c r="E236" s="4" t="s">
        <v>25</v>
      </c>
      <c r="F236" s="4" t="s">
        <v>25</v>
      </c>
      <c r="G236" s="4" t="s">
        <v>25</v>
      </c>
      <c r="H236" s="4" t="s">
        <v>36</v>
      </c>
      <c r="I236" s="5">
        <v>43922</v>
      </c>
      <c r="J236" s="6">
        <v>773</v>
      </c>
      <c r="K236" s="71">
        <v>773</v>
      </c>
      <c r="L236" s="6">
        <v>327.36700000000002</v>
      </c>
      <c r="M236" s="71">
        <v>327.36700000000002</v>
      </c>
      <c r="N236" s="6">
        <v>327.36700000000002</v>
      </c>
      <c r="O236" s="71">
        <v>327.36700000000002</v>
      </c>
      <c r="P236" s="6">
        <v>0</v>
      </c>
      <c r="Q236" s="4" t="s">
        <v>26</v>
      </c>
      <c r="R236" s="4">
        <v>0</v>
      </c>
      <c r="S236" s="4">
        <v>22</v>
      </c>
      <c r="T236" s="4">
        <v>23</v>
      </c>
      <c r="U236" s="4">
        <v>82</v>
      </c>
      <c r="V236" s="71">
        <f>IF(ISERROR(VLOOKUP($S$236,'TAR FIN'!$A$1:$O$120,15,0)),0,VLOOKUP($S$236,'TAR FIN'!$A$1:$O$120,15,0))*(1-0.08)</f>
        <v>8.1052</v>
      </c>
      <c r="W236" s="71">
        <f>IF(ISERROR(VLOOKUP($T$236,'TAR FIN'!$A$1:$O$120,15,0)),0,VLOOKUP($T$236,'TAR FIN'!$A$1:$O$120,15,0))*(1-0.08)</f>
        <v>77.694000000000003</v>
      </c>
      <c r="X236" s="71">
        <f>IF(ISERROR(VLOOKUP($U$236,'TAR FIN'!$A$1:$O$120,15,0)),0,VLOOKUP($U$236,'TAR FIN'!$A$1:$O$120,15,0))*(1-0.08)</f>
        <v>235.86960000000002</v>
      </c>
      <c r="Y236" s="71">
        <f ca="1">('TUSD BE'!$AM$28+'TUSD BF'!$AM$28+'TUSD CVA'!$AM$28)*1*(1-0.06)</f>
        <v>10.765215249734004</v>
      </c>
      <c r="Z236" s="71">
        <f ca="1">('TUSD BE'!$AM$29+'TUSD BF'!$AM$29+'TUSD CVA'!$AM$29)*1*(1-0.06)</f>
        <v>82.268200247339408</v>
      </c>
      <c r="AA236" s="71">
        <f>('TE BE'!$AA$11+'TE BF'!$AA$11+'TE CVA'!$AA$11)*1*(1-0.06)</f>
        <v>216.98415684477786</v>
      </c>
      <c r="AB236" s="71">
        <f>(SUBSIDIO!$J$236*SUBSIDIO!$V$236)*(0.08)/(1-0.08)</f>
        <v>544.81039999999996</v>
      </c>
      <c r="AC236" s="71">
        <f>((SUBSIDIO!$L$236*SUBSIDIO!$W$236)+(SUBSIDIO!$N$236*SUBSIDIO!$X$236))*(0.08)/(1-0.08)</f>
        <v>8926.1195688000007</v>
      </c>
      <c r="AD236" s="71">
        <f ca="1">(SUBSIDIO!$J$236*SUBSIDIO!$Y$236)*(0.06)/(1-0.06)</f>
        <v>531.16030136453514</v>
      </c>
      <c r="AE236" s="71">
        <f ca="1">((SUBSIDIO!$L$236*SUBSIDIO!$Z$236)+(SUBSIDIO!$N$236*SUBSIDIO!$AA$236))*(0.06)/(1-0.06)</f>
        <v>6253.1072160111808</v>
      </c>
      <c r="AF236" s="4" t="s">
        <v>1151</v>
      </c>
    </row>
    <row r="237" spans="1:32" ht="11.25" customHeight="1" x14ac:dyDescent="0.25">
      <c r="A237" s="4" t="s">
        <v>21</v>
      </c>
      <c r="B237" s="4" t="s">
        <v>33</v>
      </c>
      <c r="C237" s="4" t="s">
        <v>41</v>
      </c>
      <c r="D237" s="4" t="s">
        <v>47</v>
      </c>
      <c r="E237" s="4" t="s">
        <v>25</v>
      </c>
      <c r="F237" s="4" t="s">
        <v>25</v>
      </c>
      <c r="G237" s="4" t="s">
        <v>25</v>
      </c>
      <c r="H237" s="4" t="s">
        <v>36</v>
      </c>
      <c r="I237" s="5">
        <v>43952</v>
      </c>
      <c r="J237" s="6">
        <v>775</v>
      </c>
      <c r="K237" s="71">
        <v>775</v>
      </c>
      <c r="L237" s="6">
        <v>275.20100000000002</v>
      </c>
      <c r="M237" s="71">
        <v>275.20100000000002</v>
      </c>
      <c r="N237" s="6">
        <v>275.20100000000002</v>
      </c>
      <c r="O237" s="71">
        <v>275.20100000000002</v>
      </c>
      <c r="P237" s="6">
        <v>0</v>
      </c>
      <c r="Q237" s="4" t="s">
        <v>26</v>
      </c>
      <c r="R237" s="4">
        <v>0</v>
      </c>
      <c r="S237" s="4">
        <v>22</v>
      </c>
      <c r="T237" s="4">
        <v>23</v>
      </c>
      <c r="U237" s="4">
        <v>82</v>
      </c>
      <c r="V237" s="71">
        <f>IF(ISERROR(VLOOKUP($S$237,'TAR FIN'!$A$1:$O$120,15,0)),0,VLOOKUP($S$237,'TAR FIN'!$A$1:$O$120,15,0))*(1-0.08)</f>
        <v>8.1052</v>
      </c>
      <c r="W237" s="71">
        <f>IF(ISERROR(VLOOKUP($T$237,'TAR FIN'!$A$1:$O$120,15,0)),0,VLOOKUP($T$237,'TAR FIN'!$A$1:$O$120,15,0))*(1-0.08)</f>
        <v>77.694000000000003</v>
      </c>
      <c r="X237" s="71">
        <f>IF(ISERROR(VLOOKUP($U$237,'TAR FIN'!$A$1:$O$120,15,0)),0,VLOOKUP($U$237,'TAR FIN'!$A$1:$O$120,15,0))*(1-0.08)</f>
        <v>235.86960000000002</v>
      </c>
      <c r="Y237" s="71">
        <f ca="1">('TUSD BE'!$AM$28+'TUSD BF'!$AM$28+'TUSD CVA'!$AM$28)*1*(1-0.06)</f>
        <v>10.765215249734004</v>
      </c>
      <c r="Z237" s="71">
        <f ca="1">('TUSD BE'!$AM$29+'TUSD BF'!$AM$29+'TUSD CVA'!$AM$29)*1*(1-0.06)</f>
        <v>82.268200247339408</v>
      </c>
      <c r="AA237" s="71">
        <f>('TE BE'!$AA$11+'TE BF'!$AA$11+'TE CVA'!$AA$11)*1*(1-0.06)</f>
        <v>216.98415684477786</v>
      </c>
      <c r="AB237" s="71">
        <f>(SUBSIDIO!$J$237*SUBSIDIO!$V$237)*(0.08)/(1-0.08)</f>
        <v>546.22</v>
      </c>
      <c r="AC237" s="71">
        <f>((SUBSIDIO!$L$237*SUBSIDIO!$W$237)+(SUBSIDIO!$N$237*SUBSIDIO!$X$237))*(0.08)/(1-0.08)</f>
        <v>7503.7405464000012</v>
      </c>
      <c r="AD237" s="71">
        <f ca="1">(SUBSIDIO!$J$237*SUBSIDIO!$Y$237)*(0.06)/(1-0.06)</f>
        <v>532.53458416237356</v>
      </c>
      <c r="AE237" s="71">
        <f ca="1">((SUBSIDIO!$L$237*SUBSIDIO!$Z$237)+(SUBSIDIO!$N$237*SUBSIDIO!$AA$237))*(0.06)/(1-0.06)</f>
        <v>5256.6732717515597</v>
      </c>
      <c r="AF237" s="4" t="s">
        <v>1151</v>
      </c>
    </row>
    <row r="238" spans="1:32" ht="11.25" customHeight="1" x14ac:dyDescent="0.25">
      <c r="A238" s="4" t="s">
        <v>21</v>
      </c>
      <c r="B238" s="4" t="s">
        <v>33</v>
      </c>
      <c r="C238" s="4" t="s">
        <v>41</v>
      </c>
      <c r="D238" s="4" t="s">
        <v>47</v>
      </c>
      <c r="E238" s="4" t="s">
        <v>25</v>
      </c>
      <c r="F238" s="4" t="s">
        <v>25</v>
      </c>
      <c r="G238" s="4" t="s">
        <v>25</v>
      </c>
      <c r="H238" s="4" t="s">
        <v>36</v>
      </c>
      <c r="I238" s="5">
        <v>43983</v>
      </c>
      <c r="J238" s="6">
        <v>798</v>
      </c>
      <c r="K238" s="71">
        <v>798</v>
      </c>
      <c r="L238" s="6">
        <v>329.52300000000002</v>
      </c>
      <c r="M238" s="71">
        <v>329.52300000000002</v>
      </c>
      <c r="N238" s="6">
        <v>329.52300000000002</v>
      </c>
      <c r="O238" s="71">
        <v>329.52300000000002</v>
      </c>
      <c r="P238" s="6">
        <v>0</v>
      </c>
      <c r="Q238" s="4" t="s">
        <v>26</v>
      </c>
      <c r="R238" s="4">
        <v>0</v>
      </c>
      <c r="S238" s="4">
        <v>22</v>
      </c>
      <c r="T238" s="4">
        <v>23</v>
      </c>
      <c r="U238" s="4">
        <v>82</v>
      </c>
      <c r="V238" s="71">
        <f>IF(ISERROR(VLOOKUP($S$238,'TAR FIN'!$A$1:$O$120,15,0)),0,VLOOKUP($S$238,'TAR FIN'!$A$1:$O$120,15,0))*(1-0.08)</f>
        <v>8.1052</v>
      </c>
      <c r="W238" s="71">
        <f>IF(ISERROR(VLOOKUP($T$238,'TAR FIN'!$A$1:$O$120,15,0)),0,VLOOKUP($T$238,'TAR FIN'!$A$1:$O$120,15,0))*(1-0.08)</f>
        <v>77.694000000000003</v>
      </c>
      <c r="X238" s="71">
        <f>IF(ISERROR(VLOOKUP($U$238,'TAR FIN'!$A$1:$O$120,15,0)),0,VLOOKUP($U$238,'TAR FIN'!$A$1:$O$120,15,0))*(1-0.08)</f>
        <v>235.86960000000002</v>
      </c>
      <c r="Y238" s="71">
        <f ca="1">('TUSD BE'!$AM$28+'TUSD BF'!$AM$28+'TUSD CVA'!$AM$28)*1*(1-0.06)</f>
        <v>10.765215249734004</v>
      </c>
      <c r="Z238" s="71">
        <f ca="1">('TUSD BE'!$AM$29+'TUSD BF'!$AM$29+'TUSD CVA'!$AM$29)*1*(1-0.06)</f>
        <v>82.268200247339408</v>
      </c>
      <c r="AA238" s="71">
        <f>('TE BE'!$AA$11+'TE BF'!$AA$11+'TE CVA'!$AA$11)*1*(1-0.06)</f>
        <v>216.98415684477786</v>
      </c>
      <c r="AB238" s="71">
        <f>(SUBSIDIO!$J$238*SUBSIDIO!$V$238)*(0.08)/(1-0.08)</f>
        <v>562.43039999999996</v>
      </c>
      <c r="AC238" s="71">
        <f>((SUBSIDIO!$L$238*SUBSIDIO!$W$238)+(SUBSIDIO!$N$238*SUBSIDIO!$X$238))*(0.08)/(1-0.08)</f>
        <v>8984.9059272000013</v>
      </c>
      <c r="AD238" s="71">
        <f ca="1">(SUBSIDIO!$J$238*SUBSIDIO!$Y$238)*(0.06)/(1-0.06)</f>
        <v>548.33883633751498</v>
      </c>
      <c r="AE238" s="71">
        <f ca="1">((SUBSIDIO!$L$238*SUBSIDIO!$Z$238)+(SUBSIDIO!$N$238*SUBSIDIO!$AA$238))*(0.06)/(1-0.06)</f>
        <v>6294.2894340041967</v>
      </c>
      <c r="AF238" s="4" t="s">
        <v>1151</v>
      </c>
    </row>
    <row r="239" spans="1:32" ht="11.25" customHeight="1" x14ac:dyDescent="0.25">
      <c r="A239" s="4" t="s">
        <v>21</v>
      </c>
      <c r="B239" s="4" t="s">
        <v>33</v>
      </c>
      <c r="C239" s="4" t="s">
        <v>41</v>
      </c>
      <c r="D239" s="4" t="s">
        <v>47</v>
      </c>
      <c r="E239" s="4" t="s">
        <v>25</v>
      </c>
      <c r="F239" s="4" t="s">
        <v>25</v>
      </c>
      <c r="G239" s="4" t="s">
        <v>25</v>
      </c>
      <c r="H239" s="4" t="s">
        <v>36</v>
      </c>
      <c r="I239" s="5">
        <v>44013</v>
      </c>
      <c r="J239" s="6">
        <v>606</v>
      </c>
      <c r="K239" s="71">
        <v>606</v>
      </c>
      <c r="L239" s="6">
        <v>215.73699999999999</v>
      </c>
      <c r="M239" s="71">
        <v>215.73699999999999</v>
      </c>
      <c r="N239" s="6">
        <v>215.73699999999999</v>
      </c>
      <c r="O239" s="71">
        <v>215.73699999999999</v>
      </c>
      <c r="P239" s="6">
        <v>0</v>
      </c>
      <c r="Q239" s="4" t="s">
        <v>26</v>
      </c>
      <c r="R239" s="4">
        <v>0</v>
      </c>
      <c r="S239" s="4">
        <v>22</v>
      </c>
      <c r="T239" s="4">
        <v>23</v>
      </c>
      <c r="U239" s="4">
        <v>82</v>
      </c>
      <c r="V239" s="71">
        <f>IF(ISERROR(VLOOKUP($S$239,'TAR FIN'!$A$1:$O$120,15,0)),0,VLOOKUP($S$239,'TAR FIN'!$A$1:$O$120,15,0))*(1-0.08)</f>
        <v>8.1052</v>
      </c>
      <c r="W239" s="71">
        <f>IF(ISERROR(VLOOKUP($T$239,'TAR FIN'!$A$1:$O$120,15,0)),0,VLOOKUP($T$239,'TAR FIN'!$A$1:$O$120,15,0))*(1-0.08)</f>
        <v>77.694000000000003</v>
      </c>
      <c r="X239" s="71">
        <f>IF(ISERROR(VLOOKUP($U$239,'TAR FIN'!$A$1:$O$120,15,0)),0,VLOOKUP($U$239,'TAR FIN'!$A$1:$O$120,15,0))*(1-0.08)</f>
        <v>235.86960000000002</v>
      </c>
      <c r="Y239" s="71">
        <f ca="1">('TUSD BE'!$AM$28+'TUSD BF'!$AM$28+'TUSD CVA'!$AM$28)*1*(1-0.06)</f>
        <v>10.765215249734004</v>
      </c>
      <c r="Z239" s="71">
        <f ca="1">('TUSD BE'!$AM$29+'TUSD BF'!$AM$29+'TUSD CVA'!$AM$29)*1*(1-0.06)</f>
        <v>82.268200247339408</v>
      </c>
      <c r="AA239" s="71">
        <f>('TE BE'!$AA$11+'TE BF'!$AA$11+'TE CVA'!$AA$11)*1*(1-0.06)</f>
        <v>216.98415684477786</v>
      </c>
      <c r="AB239" s="71">
        <f>(SUBSIDIO!$J$239*SUBSIDIO!$V$239)*(0.08)/(1-0.08)</f>
        <v>427.10879999999997</v>
      </c>
      <c r="AC239" s="71">
        <f>((SUBSIDIO!$L$239*SUBSIDIO!$W$239)+(SUBSIDIO!$N$239*SUBSIDIO!$X$239))*(0.08)/(1-0.08)</f>
        <v>5882.3713368000008</v>
      </c>
      <c r="AD239" s="71">
        <f ca="1">(SUBSIDIO!$J$239*SUBSIDIO!$Y$239)*(0.06)/(1-0.06)</f>
        <v>416.40768774503022</v>
      </c>
      <c r="AE239" s="71">
        <f ca="1">((SUBSIDIO!$L$239*SUBSIDIO!$Z$239)+(SUBSIDIO!$N$239*SUBSIDIO!$AA$239))*(0.06)/(1-0.06)</f>
        <v>4120.8386656584316</v>
      </c>
      <c r="AF239" s="4" t="s">
        <v>1151</v>
      </c>
    </row>
    <row r="240" spans="1:32" ht="11.25" customHeight="1" x14ac:dyDescent="0.25">
      <c r="A240" s="4" t="s">
        <v>27</v>
      </c>
      <c r="B240" s="4" t="s">
        <v>33</v>
      </c>
      <c r="C240" s="4" t="s">
        <v>41</v>
      </c>
      <c r="D240" s="4" t="s">
        <v>47</v>
      </c>
      <c r="E240" s="4" t="s">
        <v>25</v>
      </c>
      <c r="F240" s="4" t="s">
        <v>25</v>
      </c>
      <c r="G240" s="4" t="s">
        <v>25</v>
      </c>
      <c r="H240" s="4" t="s">
        <v>36</v>
      </c>
      <c r="I240" s="5">
        <v>44013</v>
      </c>
      <c r="J240" s="6">
        <v>245</v>
      </c>
      <c r="K240" s="71">
        <v>245</v>
      </c>
      <c r="L240" s="6">
        <v>0</v>
      </c>
      <c r="M240" s="71">
        <v>0</v>
      </c>
      <c r="N240" s="6">
        <v>0</v>
      </c>
      <c r="O240" s="71">
        <v>0</v>
      </c>
      <c r="P240" s="6">
        <v>0</v>
      </c>
      <c r="Q240" s="4" t="s">
        <v>26</v>
      </c>
      <c r="R240" s="4">
        <v>0</v>
      </c>
      <c r="S240" s="4">
        <v>22</v>
      </c>
      <c r="T240" s="4">
        <v>0</v>
      </c>
      <c r="U240" s="4">
        <v>0</v>
      </c>
      <c r="V240" s="71">
        <f>IF(ISERROR(VLOOKUP($S$240,'TAR FIN'!$A$1:$O$120,15,0)),0,VLOOKUP($S$240,'TAR FIN'!$A$1:$O$120,15,0))*(1-0.08)</f>
        <v>8.1052</v>
      </c>
      <c r="W240" s="71">
        <f>IF(ISERROR(VLOOKUP($T$240,'TAR FIN'!$A$1:$O$120,15,0)),0,VLOOKUP($T$240,'TAR FIN'!$A$1:$O$120,15,0))*(1-0.08)</f>
        <v>0</v>
      </c>
      <c r="X240" s="71">
        <f>IF(ISERROR(VLOOKUP($U$240,'TAR FIN'!$A$1:$O$120,15,0)),0,VLOOKUP($U$240,'TAR FIN'!$A$1:$O$120,15,0))*(1-0.08)</f>
        <v>0</v>
      </c>
      <c r="Y240" s="71">
        <f ca="1">('TUSD BE'!$AM$28+'TUSD BF'!$AM$28+'TUSD CVA'!$AM$28)*1*(1-0.06)</f>
        <v>10.765215249734004</v>
      </c>
      <c r="Z240" s="71">
        <f ca="1">('TUSD BE'!$AM$29+'TUSD BF'!$AM$29+'TUSD CVA'!$AM$29)*1*(1-0.06)</f>
        <v>82.268200247339408</v>
      </c>
      <c r="AA240" s="71">
        <f>('TE BE'!$AA$11+'TE BF'!$AA$11+'TE CVA'!$AA$11)*1*(1-0.06)</f>
        <v>216.98415684477786</v>
      </c>
      <c r="AB240" s="71">
        <f>(SUBSIDIO!$J$240*SUBSIDIO!$V$240)*(0.08)/(1-0.08)</f>
        <v>172.67599999999999</v>
      </c>
      <c r="AC240" s="71">
        <f>((SUBSIDIO!$L$240*SUBSIDIO!$W$240)+(SUBSIDIO!$N$240*SUBSIDIO!$X$240))*(0.08)/(1-0.08)</f>
        <v>0</v>
      </c>
      <c r="AD240" s="71">
        <f ca="1">(SUBSIDIO!$J$240*SUBSIDIO!$Y$240)*(0.06)/(1-0.06)</f>
        <v>168.34964273520197</v>
      </c>
      <c r="AE240" s="71">
        <f ca="1">((SUBSIDIO!$L$240*SUBSIDIO!$Z$240)+(SUBSIDIO!$N$240*SUBSIDIO!$AA$240))*(0.06)/(1-0.06)</f>
        <v>0</v>
      </c>
      <c r="AF240" s="4" t="s">
        <v>1151</v>
      </c>
    </row>
    <row r="241" spans="1:32" ht="11.25" customHeight="1" x14ac:dyDescent="0.25">
      <c r="A241" s="4" t="s">
        <v>21</v>
      </c>
      <c r="B241" s="4" t="s">
        <v>33</v>
      </c>
      <c r="C241" s="4" t="s">
        <v>41</v>
      </c>
      <c r="D241" s="4" t="s">
        <v>47</v>
      </c>
      <c r="E241" s="4" t="s">
        <v>25</v>
      </c>
      <c r="F241" s="4" t="s">
        <v>25</v>
      </c>
      <c r="G241" s="4" t="s">
        <v>25</v>
      </c>
      <c r="H241" s="4" t="s">
        <v>36</v>
      </c>
      <c r="I241" s="5">
        <v>44044</v>
      </c>
      <c r="J241" s="6">
        <v>876</v>
      </c>
      <c r="K241" s="71">
        <v>876</v>
      </c>
      <c r="L241" s="6">
        <v>368.00900000000001</v>
      </c>
      <c r="M241" s="71">
        <v>368.00900000000001</v>
      </c>
      <c r="N241" s="6">
        <v>368.00900000000001</v>
      </c>
      <c r="O241" s="71">
        <v>368.00900000000001</v>
      </c>
      <c r="P241" s="6">
        <v>0</v>
      </c>
      <c r="Q241" s="4" t="s">
        <v>26</v>
      </c>
      <c r="R241" s="4">
        <v>0</v>
      </c>
      <c r="S241" s="4">
        <v>22</v>
      </c>
      <c r="T241" s="4">
        <v>23</v>
      </c>
      <c r="U241" s="4">
        <v>82</v>
      </c>
      <c r="V241" s="71">
        <f>IF(ISERROR(VLOOKUP($S$241,'TAR FIN'!$A$1:$O$120,15,0)),0,VLOOKUP($S$241,'TAR FIN'!$A$1:$O$120,15,0))*(1-0.08)</f>
        <v>8.1052</v>
      </c>
      <c r="W241" s="71">
        <f>IF(ISERROR(VLOOKUP($T$241,'TAR FIN'!$A$1:$O$120,15,0)),0,VLOOKUP($T$241,'TAR FIN'!$A$1:$O$120,15,0))*(1-0.08)</f>
        <v>77.694000000000003</v>
      </c>
      <c r="X241" s="71">
        <f>IF(ISERROR(VLOOKUP($U$241,'TAR FIN'!$A$1:$O$120,15,0)),0,VLOOKUP($U$241,'TAR FIN'!$A$1:$O$120,15,0))*(1-0.08)</f>
        <v>235.86960000000002</v>
      </c>
      <c r="Y241" s="71">
        <f ca="1">('TUSD BE'!$AM$28+'TUSD BF'!$AM$28+'TUSD CVA'!$AM$28)*1*(1-0.06)</f>
        <v>10.765215249734004</v>
      </c>
      <c r="Z241" s="71">
        <f ca="1">('TUSD BE'!$AM$29+'TUSD BF'!$AM$29+'TUSD CVA'!$AM$29)*1*(1-0.06)</f>
        <v>82.268200247339408</v>
      </c>
      <c r="AA241" s="71">
        <f>('TE BE'!$AA$11+'TE BF'!$AA$11+'TE CVA'!$AA$11)*1*(1-0.06)</f>
        <v>216.98415684477786</v>
      </c>
      <c r="AB241" s="71">
        <f>(SUBSIDIO!$J$241*SUBSIDIO!$V$241)*(0.08)/(1-0.08)</f>
        <v>617.40480000000002</v>
      </c>
      <c r="AC241" s="71">
        <f>((SUBSIDIO!$L$241*SUBSIDIO!$W$241)+(SUBSIDIO!$N$241*SUBSIDIO!$X$241))*(0.08)/(1-0.08)</f>
        <v>10034.2805976</v>
      </c>
      <c r="AD241" s="71">
        <f ca="1">(SUBSIDIO!$J$241*SUBSIDIO!$Y$241)*(0.06)/(1-0.06)</f>
        <v>601.93586545321193</v>
      </c>
      <c r="AE241" s="71">
        <f ca="1">((SUBSIDIO!$L$241*SUBSIDIO!$Z$241)+(SUBSIDIO!$N$241*SUBSIDIO!$AA$241))*(0.06)/(1-0.06)</f>
        <v>7029.4187668795521</v>
      </c>
      <c r="AF241" s="4" t="s">
        <v>1151</v>
      </c>
    </row>
    <row r="242" spans="1:32" ht="11.25" customHeight="1" x14ac:dyDescent="0.25">
      <c r="A242" s="4" t="s">
        <v>59</v>
      </c>
      <c r="B242" s="4" t="s">
        <v>33</v>
      </c>
      <c r="C242" s="4" t="s">
        <v>41</v>
      </c>
      <c r="D242" s="4" t="s">
        <v>47</v>
      </c>
      <c r="E242" s="4" t="s">
        <v>25</v>
      </c>
      <c r="F242" s="4" t="s">
        <v>25</v>
      </c>
      <c r="G242" s="4" t="s">
        <v>25</v>
      </c>
      <c r="H242" s="4" t="s">
        <v>36</v>
      </c>
      <c r="I242" s="5">
        <v>44075</v>
      </c>
      <c r="J242" s="6">
        <v>876</v>
      </c>
      <c r="K242" s="71">
        <v>876</v>
      </c>
      <c r="L242" s="6">
        <v>368.00900000000001</v>
      </c>
      <c r="M242" s="71">
        <v>368.00900000000001</v>
      </c>
      <c r="N242" s="6">
        <v>368.00900000000001</v>
      </c>
      <c r="O242" s="71">
        <v>368.00900000000001</v>
      </c>
      <c r="P242" s="6">
        <v>0</v>
      </c>
      <c r="Q242" s="4" t="s">
        <v>26</v>
      </c>
      <c r="R242" s="4">
        <v>0</v>
      </c>
      <c r="S242" s="4">
        <v>22</v>
      </c>
      <c r="T242" s="4">
        <v>23</v>
      </c>
      <c r="U242" s="4">
        <v>82</v>
      </c>
      <c r="V242" s="71">
        <f>IF(ISERROR(VLOOKUP($S$242,'TAR FIN'!$A$1:$O$120,15,0)),0,VLOOKUP($S$242,'TAR FIN'!$A$1:$O$120,15,0))*(1-0.08)</f>
        <v>8.1052</v>
      </c>
      <c r="W242" s="71">
        <f>IF(ISERROR(VLOOKUP($T$242,'TAR FIN'!$A$1:$O$120,15,0)),0,VLOOKUP($T$242,'TAR FIN'!$A$1:$O$120,15,0))*(1-0.08)</f>
        <v>77.694000000000003</v>
      </c>
      <c r="X242" s="71">
        <f>IF(ISERROR(VLOOKUP($U$242,'TAR FIN'!$A$1:$O$120,15,0)),0,VLOOKUP($U$242,'TAR FIN'!$A$1:$O$120,15,0))*(1-0.08)</f>
        <v>235.86960000000002</v>
      </c>
      <c r="Y242" s="71">
        <f ca="1">('TUSD BE'!$AM$28+'TUSD BF'!$AM$28+'TUSD CVA'!$AM$28)*1*(1-0.06)</f>
        <v>10.765215249734004</v>
      </c>
      <c r="Z242" s="71">
        <f ca="1">('TUSD BE'!$AM$29+'TUSD BF'!$AM$29+'TUSD CVA'!$AM$29)*1*(1-0.06)</f>
        <v>82.268200247339408</v>
      </c>
      <c r="AA242" s="71">
        <f>('TE BE'!$AA$11+'TE BF'!$AA$11+'TE CVA'!$AA$11)*1*(1-0.06)</f>
        <v>216.98415684477786</v>
      </c>
      <c r="AB242" s="71">
        <f>(SUBSIDIO!$J$242*SUBSIDIO!$V$242)*(0.08)/(1-0.08)</f>
        <v>617.40480000000002</v>
      </c>
      <c r="AC242" s="71">
        <f>((SUBSIDIO!$L$242*SUBSIDIO!$W$242)+(SUBSIDIO!$N$242*SUBSIDIO!$X$242))*(0.08)/(1-0.08)</f>
        <v>10034.2805976</v>
      </c>
      <c r="AD242" s="71">
        <f ca="1">(SUBSIDIO!$J$242*SUBSIDIO!$Y$242)*(0.06)/(1-0.06)</f>
        <v>601.93586545321193</v>
      </c>
      <c r="AE242" s="71">
        <f ca="1">((SUBSIDIO!$L$242*SUBSIDIO!$Z$242)+(SUBSIDIO!$N$242*SUBSIDIO!$AA$242))*(0.06)/(1-0.06)</f>
        <v>7029.4187668795521</v>
      </c>
      <c r="AF242" s="4" t="s">
        <v>1151</v>
      </c>
    </row>
    <row r="243" spans="1:32" ht="11.25" customHeight="1" x14ac:dyDescent="0.25">
      <c r="A243" s="4" t="s">
        <v>21</v>
      </c>
      <c r="B243" s="4" t="s">
        <v>33</v>
      </c>
      <c r="C243" s="4" t="s">
        <v>41</v>
      </c>
      <c r="D243" s="4" t="s">
        <v>47</v>
      </c>
      <c r="E243" s="4" t="s">
        <v>25</v>
      </c>
      <c r="F243" s="4" t="s">
        <v>25</v>
      </c>
      <c r="G243" s="4" t="s">
        <v>25</v>
      </c>
      <c r="H243" s="4" t="s">
        <v>35</v>
      </c>
      <c r="I243" s="5">
        <v>43739</v>
      </c>
      <c r="J243" s="6">
        <v>704</v>
      </c>
      <c r="K243" s="71">
        <v>704</v>
      </c>
      <c r="L243" s="6">
        <v>34.075000000000003</v>
      </c>
      <c r="M243" s="71">
        <v>34.075000000000003</v>
      </c>
      <c r="N243" s="6">
        <v>34.075000000000003</v>
      </c>
      <c r="O243" s="71">
        <v>34.075000000000003</v>
      </c>
      <c r="P243" s="6">
        <v>0</v>
      </c>
      <c r="Q243" s="4" t="s">
        <v>26</v>
      </c>
      <c r="R243" s="4">
        <v>0</v>
      </c>
      <c r="S243" s="4">
        <v>21</v>
      </c>
      <c r="T243" s="4">
        <v>23</v>
      </c>
      <c r="U243" s="4">
        <v>81</v>
      </c>
      <c r="V243" s="71">
        <f>IF(ISERROR(VLOOKUP($S$243,'TAR FIN'!$A$1:$O$120,15,0)),0,VLOOKUP($S$243,'TAR FIN'!$A$1:$O$120,15,0))*(1-0.08)</f>
        <v>21.104800000000001</v>
      </c>
      <c r="W243" s="71">
        <f>IF(ISERROR(VLOOKUP($T$243,'TAR FIN'!$A$1:$O$120,15,0)),0,VLOOKUP($T$243,'TAR FIN'!$A$1:$O$120,15,0))*(1-0.08)</f>
        <v>77.694000000000003</v>
      </c>
      <c r="X243" s="71">
        <f>IF(ISERROR(VLOOKUP($U$243,'TAR FIN'!$A$1:$O$120,15,0)),0,VLOOKUP($U$243,'TAR FIN'!$A$1:$O$120,15,0))*(1-0.08)</f>
        <v>396.40040000000005</v>
      </c>
      <c r="Y243" s="71">
        <f ca="1">('TUSD BE'!$AM$27+'TUSD BF'!$AM$27+'TUSD CVA'!$AM$27)*1*(1-0.06)</f>
        <v>25.583306204875544</v>
      </c>
      <c r="Z243" s="71">
        <f ca="1">('TUSD BE'!$AM$29+'TUSD BF'!$AM$29+'TUSD CVA'!$AM$29)*1*(1-0.06)</f>
        <v>82.268200247339408</v>
      </c>
      <c r="AA243" s="71">
        <f>('TE BE'!$AA$10+'TE BF'!$AA$10+'TE CVA'!$AA$10)*1*(1-0.06)</f>
        <v>353.15029452578722</v>
      </c>
      <c r="AB243" s="71">
        <f>(SUBSIDIO!$J$243*SUBSIDIO!$V$243)*(0.08)/(1-0.08)</f>
        <v>1291.9808</v>
      </c>
      <c r="AC243" s="71">
        <f>((SUBSIDIO!$L$243*SUBSIDIO!$W$243)+(SUBSIDIO!$N$243*SUBSIDIO!$X$243))*(0.08)/(1-0.08)</f>
        <v>1404.7623200000005</v>
      </c>
      <c r="AD243" s="71">
        <f ca="1">(SUBSIDIO!$J$243*SUBSIDIO!$Y$243)*(0.06)/(1-0.06)</f>
        <v>1149.6158022275988</v>
      </c>
      <c r="AE243" s="71">
        <f ca="1">((SUBSIDIO!$L$243*SUBSIDIO!$Z$243)+(SUBSIDIO!$N$243*SUBSIDIO!$AA$243))*(0.06)/(1-0.06)</f>
        <v>947.03522613155053</v>
      </c>
      <c r="AF243" s="4" t="s">
        <v>1151</v>
      </c>
    </row>
    <row r="244" spans="1:32" ht="11.25" customHeight="1" x14ac:dyDescent="0.25">
      <c r="A244" s="4" t="s">
        <v>21</v>
      </c>
      <c r="B244" s="4" t="s">
        <v>33</v>
      </c>
      <c r="C244" s="4" t="s">
        <v>41</v>
      </c>
      <c r="D244" s="4" t="s">
        <v>47</v>
      </c>
      <c r="E244" s="4" t="s">
        <v>25</v>
      </c>
      <c r="F244" s="4" t="s">
        <v>25</v>
      </c>
      <c r="G244" s="4" t="s">
        <v>25</v>
      </c>
      <c r="H244" s="4" t="s">
        <v>35</v>
      </c>
      <c r="I244" s="5">
        <v>43770</v>
      </c>
      <c r="J244" s="6">
        <v>720</v>
      </c>
      <c r="K244" s="71">
        <v>720</v>
      </c>
      <c r="L244" s="6">
        <v>32.393000000000001</v>
      </c>
      <c r="M244" s="71">
        <v>32.393000000000001</v>
      </c>
      <c r="N244" s="6">
        <v>32.393000000000001</v>
      </c>
      <c r="O244" s="71">
        <v>32.393000000000001</v>
      </c>
      <c r="P244" s="6">
        <v>0</v>
      </c>
      <c r="Q244" s="4" t="s">
        <v>26</v>
      </c>
      <c r="R244" s="4">
        <v>0</v>
      </c>
      <c r="S244" s="4">
        <v>21</v>
      </c>
      <c r="T244" s="4">
        <v>23</v>
      </c>
      <c r="U244" s="4">
        <v>81</v>
      </c>
      <c r="V244" s="71">
        <f>IF(ISERROR(VLOOKUP($S$244,'TAR FIN'!$A$1:$O$120,15,0)),0,VLOOKUP($S$244,'TAR FIN'!$A$1:$O$120,15,0))*(1-0.08)</f>
        <v>21.104800000000001</v>
      </c>
      <c r="W244" s="71">
        <f>IF(ISERROR(VLOOKUP($T$244,'TAR FIN'!$A$1:$O$120,15,0)),0,VLOOKUP($T$244,'TAR FIN'!$A$1:$O$120,15,0))*(1-0.08)</f>
        <v>77.694000000000003</v>
      </c>
      <c r="X244" s="71">
        <f>IF(ISERROR(VLOOKUP($U$244,'TAR FIN'!$A$1:$O$120,15,0)),0,VLOOKUP($U$244,'TAR FIN'!$A$1:$O$120,15,0))*(1-0.08)</f>
        <v>396.40040000000005</v>
      </c>
      <c r="Y244" s="71">
        <f ca="1">('TUSD BE'!$AM$27+'TUSD BF'!$AM$27+'TUSD CVA'!$AM$27)*1*(1-0.06)</f>
        <v>25.583306204875544</v>
      </c>
      <c r="Z244" s="71">
        <f ca="1">('TUSD BE'!$AM$29+'TUSD BF'!$AM$29+'TUSD CVA'!$AM$29)*1*(1-0.06)</f>
        <v>82.268200247339408</v>
      </c>
      <c r="AA244" s="71">
        <f>('TE BE'!$AA$10+'TE BF'!$AA$10+'TE CVA'!$AA$10)*1*(1-0.06)</f>
        <v>353.15029452578722</v>
      </c>
      <c r="AB244" s="71">
        <f>(SUBSIDIO!$J$244*SUBSIDIO!$V$244)*(0.08)/(1-0.08)</f>
        <v>1321.3440000000001</v>
      </c>
      <c r="AC244" s="71">
        <f>((SUBSIDIO!$L$244*SUBSIDIO!$W$244)+(SUBSIDIO!$N$244*SUBSIDIO!$X$244))*(0.08)/(1-0.08)</f>
        <v>1335.4208608000001</v>
      </c>
      <c r="AD244" s="71">
        <f ca="1">(SUBSIDIO!$J$244*SUBSIDIO!$Y$244)*(0.06)/(1-0.06)</f>
        <v>1175.743434096408</v>
      </c>
      <c r="AE244" s="71">
        <f ca="1">((SUBSIDIO!$L$244*SUBSIDIO!$Z$244)+(SUBSIDIO!$N$244*SUBSIDIO!$AA$244))*(0.06)/(1-0.06)</f>
        <v>900.28795539484418</v>
      </c>
      <c r="AF244" s="4" t="s">
        <v>1151</v>
      </c>
    </row>
    <row r="245" spans="1:32" ht="11.25" customHeight="1" x14ac:dyDescent="0.25">
      <c r="A245" s="4" t="s">
        <v>21</v>
      </c>
      <c r="B245" s="4" t="s">
        <v>33</v>
      </c>
      <c r="C245" s="4" t="s">
        <v>41</v>
      </c>
      <c r="D245" s="4" t="s">
        <v>47</v>
      </c>
      <c r="E245" s="4" t="s">
        <v>25</v>
      </c>
      <c r="F245" s="4" t="s">
        <v>25</v>
      </c>
      <c r="G245" s="4" t="s">
        <v>25</v>
      </c>
      <c r="H245" s="4" t="s">
        <v>35</v>
      </c>
      <c r="I245" s="5">
        <v>43800</v>
      </c>
      <c r="J245" s="6">
        <v>630</v>
      </c>
      <c r="K245" s="71">
        <v>630</v>
      </c>
      <c r="L245" s="6">
        <v>29.05</v>
      </c>
      <c r="M245" s="71">
        <v>29.05</v>
      </c>
      <c r="N245" s="6">
        <v>29.05</v>
      </c>
      <c r="O245" s="71">
        <v>29.05</v>
      </c>
      <c r="P245" s="6">
        <v>0</v>
      </c>
      <c r="Q245" s="4" t="s">
        <v>26</v>
      </c>
      <c r="R245" s="4">
        <v>0</v>
      </c>
      <c r="S245" s="4">
        <v>21</v>
      </c>
      <c r="T245" s="4">
        <v>23</v>
      </c>
      <c r="U245" s="4">
        <v>81</v>
      </c>
      <c r="V245" s="71">
        <f>IF(ISERROR(VLOOKUP($S$245,'TAR FIN'!$A$1:$O$120,15,0)),0,VLOOKUP($S$245,'TAR FIN'!$A$1:$O$120,15,0))*(1-0.08)</f>
        <v>21.104800000000001</v>
      </c>
      <c r="W245" s="71">
        <f>IF(ISERROR(VLOOKUP($T$245,'TAR FIN'!$A$1:$O$120,15,0)),0,VLOOKUP($T$245,'TAR FIN'!$A$1:$O$120,15,0))*(1-0.08)</f>
        <v>77.694000000000003</v>
      </c>
      <c r="X245" s="71">
        <f>IF(ISERROR(VLOOKUP($U$245,'TAR FIN'!$A$1:$O$120,15,0)),0,VLOOKUP($U$245,'TAR FIN'!$A$1:$O$120,15,0))*(1-0.08)</f>
        <v>396.40040000000005</v>
      </c>
      <c r="Y245" s="71">
        <f ca="1">('TUSD BE'!$AM$27+'TUSD BF'!$AM$27+'TUSD CVA'!$AM$27)*1*(1-0.06)</f>
        <v>25.583306204875544</v>
      </c>
      <c r="Z245" s="71">
        <f ca="1">('TUSD BE'!$AM$29+'TUSD BF'!$AM$29+'TUSD CVA'!$AM$29)*1*(1-0.06)</f>
        <v>82.268200247339408</v>
      </c>
      <c r="AA245" s="71">
        <f>('TE BE'!$AA$10+'TE BF'!$AA$10+'TE CVA'!$AA$10)*1*(1-0.06)</f>
        <v>353.15029452578722</v>
      </c>
      <c r="AB245" s="71">
        <f>(SUBSIDIO!$J$245*SUBSIDIO!$V$245)*(0.08)/(1-0.08)</f>
        <v>1156.1760000000002</v>
      </c>
      <c r="AC245" s="71">
        <f>((SUBSIDIO!$L$245*SUBSIDIO!$W$245)+(SUBSIDIO!$N$245*SUBSIDIO!$X$245))*(0.08)/(1-0.08)</f>
        <v>1197.6036800000002</v>
      </c>
      <c r="AD245" s="71">
        <f ca="1">(SUBSIDIO!$J$245*SUBSIDIO!$Y$245)*(0.06)/(1-0.06)</f>
        <v>1028.775504834357</v>
      </c>
      <c r="AE245" s="71">
        <f ca="1">((SUBSIDIO!$L$245*SUBSIDIO!$Z$245)+(SUBSIDIO!$N$245*SUBSIDIO!$AA$245))*(0.06)/(1-0.06)</f>
        <v>807.37705998889339</v>
      </c>
      <c r="AF245" s="4" t="s">
        <v>1151</v>
      </c>
    </row>
    <row r="246" spans="1:32" ht="11.25" customHeight="1" x14ac:dyDescent="0.25">
      <c r="A246" s="4" t="s">
        <v>21</v>
      </c>
      <c r="B246" s="4" t="s">
        <v>33</v>
      </c>
      <c r="C246" s="4" t="s">
        <v>41</v>
      </c>
      <c r="D246" s="4" t="s">
        <v>47</v>
      </c>
      <c r="E246" s="4" t="s">
        <v>25</v>
      </c>
      <c r="F246" s="4" t="s">
        <v>25</v>
      </c>
      <c r="G246" s="4" t="s">
        <v>25</v>
      </c>
      <c r="H246" s="4" t="s">
        <v>35</v>
      </c>
      <c r="I246" s="5">
        <v>43831</v>
      </c>
      <c r="J246" s="6">
        <v>659</v>
      </c>
      <c r="K246" s="71">
        <v>659</v>
      </c>
      <c r="L246" s="6">
        <v>29.417000000000002</v>
      </c>
      <c r="M246" s="71">
        <v>29.417000000000002</v>
      </c>
      <c r="N246" s="6">
        <v>29.417000000000002</v>
      </c>
      <c r="O246" s="71">
        <v>29.417000000000002</v>
      </c>
      <c r="P246" s="6">
        <v>0</v>
      </c>
      <c r="Q246" s="4" t="s">
        <v>26</v>
      </c>
      <c r="R246" s="4">
        <v>0</v>
      </c>
      <c r="S246" s="4">
        <v>21</v>
      </c>
      <c r="T246" s="4">
        <v>23</v>
      </c>
      <c r="U246" s="4">
        <v>81</v>
      </c>
      <c r="V246" s="71">
        <f>IF(ISERROR(VLOOKUP($S$246,'TAR FIN'!$A$1:$O$120,15,0)),0,VLOOKUP($S$246,'TAR FIN'!$A$1:$O$120,15,0))*(1-0.08)</f>
        <v>21.104800000000001</v>
      </c>
      <c r="W246" s="71">
        <f>IF(ISERROR(VLOOKUP($T$246,'TAR FIN'!$A$1:$O$120,15,0)),0,VLOOKUP($T$246,'TAR FIN'!$A$1:$O$120,15,0))*(1-0.08)</f>
        <v>77.694000000000003</v>
      </c>
      <c r="X246" s="71">
        <f>IF(ISERROR(VLOOKUP($U$246,'TAR FIN'!$A$1:$O$120,15,0)),0,VLOOKUP($U$246,'TAR FIN'!$A$1:$O$120,15,0))*(1-0.08)</f>
        <v>396.40040000000005</v>
      </c>
      <c r="Y246" s="71">
        <f ca="1">('TUSD BE'!$AM$27+'TUSD BF'!$AM$27+'TUSD CVA'!$AM$27)*1*(1-0.06)</f>
        <v>25.583306204875544</v>
      </c>
      <c r="Z246" s="71">
        <f ca="1">('TUSD BE'!$AM$29+'TUSD BF'!$AM$29+'TUSD CVA'!$AM$29)*1*(1-0.06)</f>
        <v>82.268200247339408</v>
      </c>
      <c r="AA246" s="71">
        <f>('TE BE'!$AA$10+'TE BF'!$AA$10+'TE CVA'!$AA$10)*1*(1-0.06)</f>
        <v>353.15029452578722</v>
      </c>
      <c r="AB246" s="71">
        <f>(SUBSIDIO!$J$246*SUBSIDIO!$V$246)*(0.08)/(1-0.08)</f>
        <v>1209.3968</v>
      </c>
      <c r="AC246" s="71">
        <f>((SUBSIDIO!$L$246*SUBSIDIO!$W$246)+(SUBSIDIO!$N$246*SUBSIDIO!$X$246))*(0.08)/(1-0.08)</f>
        <v>1212.7334752000002</v>
      </c>
      <c r="AD246" s="71">
        <f ca="1">(SUBSIDIO!$J$246*SUBSIDIO!$Y$246)*(0.06)/(1-0.06)</f>
        <v>1076.1318375965734</v>
      </c>
      <c r="AE246" s="71">
        <f ca="1">((SUBSIDIO!$L$246*SUBSIDIO!$Z$246)+(SUBSIDIO!$N$246*SUBSIDIO!$AA$246))*(0.06)/(1-0.06)</f>
        <v>817.57696983453616</v>
      </c>
      <c r="AF246" s="4" t="s">
        <v>1151</v>
      </c>
    </row>
    <row r="247" spans="1:32" ht="11.25" customHeight="1" x14ac:dyDescent="0.25">
      <c r="A247" s="4" t="s">
        <v>21</v>
      </c>
      <c r="B247" s="4" t="s">
        <v>33</v>
      </c>
      <c r="C247" s="4" t="s">
        <v>41</v>
      </c>
      <c r="D247" s="4" t="s">
        <v>47</v>
      </c>
      <c r="E247" s="4" t="s">
        <v>25</v>
      </c>
      <c r="F247" s="4" t="s">
        <v>25</v>
      </c>
      <c r="G247" s="4" t="s">
        <v>25</v>
      </c>
      <c r="H247" s="4" t="s">
        <v>35</v>
      </c>
      <c r="I247" s="5">
        <v>43862</v>
      </c>
      <c r="J247" s="6">
        <v>677</v>
      </c>
      <c r="K247" s="71">
        <v>677</v>
      </c>
      <c r="L247" s="6">
        <v>30.206</v>
      </c>
      <c r="M247" s="71">
        <v>30.206</v>
      </c>
      <c r="N247" s="6">
        <v>30.206</v>
      </c>
      <c r="O247" s="71">
        <v>30.206</v>
      </c>
      <c r="P247" s="6">
        <v>0</v>
      </c>
      <c r="Q247" s="4" t="s">
        <v>26</v>
      </c>
      <c r="R247" s="4">
        <v>0</v>
      </c>
      <c r="S247" s="4">
        <v>21</v>
      </c>
      <c r="T247" s="4">
        <v>23</v>
      </c>
      <c r="U247" s="4">
        <v>81</v>
      </c>
      <c r="V247" s="71">
        <f>IF(ISERROR(VLOOKUP($S$247,'TAR FIN'!$A$1:$O$120,15,0)),0,VLOOKUP($S$247,'TAR FIN'!$A$1:$O$120,15,0))*(1-0.08)</f>
        <v>21.104800000000001</v>
      </c>
      <c r="W247" s="71">
        <f>IF(ISERROR(VLOOKUP($T$247,'TAR FIN'!$A$1:$O$120,15,0)),0,VLOOKUP($T$247,'TAR FIN'!$A$1:$O$120,15,0))*(1-0.08)</f>
        <v>77.694000000000003</v>
      </c>
      <c r="X247" s="71">
        <f>IF(ISERROR(VLOOKUP($U$247,'TAR FIN'!$A$1:$O$120,15,0)),0,VLOOKUP($U$247,'TAR FIN'!$A$1:$O$120,15,0))*(1-0.08)</f>
        <v>396.40040000000005</v>
      </c>
      <c r="Y247" s="71">
        <f ca="1">('TUSD BE'!$AM$27+'TUSD BF'!$AM$27+'TUSD CVA'!$AM$27)*1*(1-0.06)</f>
        <v>25.583306204875544</v>
      </c>
      <c r="Z247" s="71">
        <f ca="1">('TUSD BE'!$AM$29+'TUSD BF'!$AM$29+'TUSD CVA'!$AM$29)*1*(1-0.06)</f>
        <v>82.268200247339408</v>
      </c>
      <c r="AA247" s="71">
        <f>('TE BE'!$AA$10+'TE BF'!$AA$10+'TE CVA'!$AA$10)*1*(1-0.06)</f>
        <v>353.15029452578722</v>
      </c>
      <c r="AB247" s="71">
        <f>(SUBSIDIO!$J$247*SUBSIDIO!$V$247)*(0.08)/(1-0.08)</f>
        <v>1242.4304</v>
      </c>
      <c r="AC247" s="71">
        <f>((SUBSIDIO!$L$247*SUBSIDIO!$W$247)+(SUBSIDIO!$N$247*SUBSIDIO!$X$247))*(0.08)/(1-0.08)</f>
        <v>1245.2604735999998</v>
      </c>
      <c r="AD247" s="71">
        <f ca="1">(SUBSIDIO!$J$247*SUBSIDIO!$Y$247)*(0.06)/(1-0.06)</f>
        <v>1105.5254234489837</v>
      </c>
      <c r="AE247" s="71">
        <f ca="1">((SUBSIDIO!$L$247*SUBSIDIO!$Z$247)+(SUBSIDIO!$N$247*SUBSIDIO!$AA$247))*(0.06)/(1-0.06)</f>
        <v>839.50538636917429</v>
      </c>
      <c r="AF247" s="4" t="s">
        <v>1151</v>
      </c>
    </row>
    <row r="248" spans="1:32" ht="11.25" customHeight="1" x14ac:dyDescent="0.25">
      <c r="A248" s="4" t="s">
        <v>21</v>
      </c>
      <c r="B248" s="4" t="s">
        <v>33</v>
      </c>
      <c r="C248" s="4" t="s">
        <v>41</v>
      </c>
      <c r="D248" s="4" t="s">
        <v>47</v>
      </c>
      <c r="E248" s="4" t="s">
        <v>25</v>
      </c>
      <c r="F248" s="4" t="s">
        <v>25</v>
      </c>
      <c r="G248" s="4" t="s">
        <v>25</v>
      </c>
      <c r="H248" s="4" t="s">
        <v>35</v>
      </c>
      <c r="I248" s="5">
        <v>43891</v>
      </c>
      <c r="J248" s="6">
        <v>680</v>
      </c>
      <c r="K248" s="71">
        <v>680</v>
      </c>
      <c r="L248" s="6">
        <v>30.259</v>
      </c>
      <c r="M248" s="71">
        <v>30.259</v>
      </c>
      <c r="N248" s="6">
        <v>30.259</v>
      </c>
      <c r="O248" s="71">
        <v>30.259</v>
      </c>
      <c r="P248" s="6">
        <v>0</v>
      </c>
      <c r="Q248" s="4" t="s">
        <v>26</v>
      </c>
      <c r="R248" s="4">
        <v>0</v>
      </c>
      <c r="S248" s="4">
        <v>21</v>
      </c>
      <c r="T248" s="4">
        <v>23</v>
      </c>
      <c r="U248" s="4">
        <v>81</v>
      </c>
      <c r="V248" s="71">
        <f>IF(ISERROR(VLOOKUP($S$248,'TAR FIN'!$A$1:$O$120,15,0)),0,VLOOKUP($S$248,'TAR FIN'!$A$1:$O$120,15,0))*(1-0.08)</f>
        <v>21.104800000000001</v>
      </c>
      <c r="W248" s="71">
        <f>IF(ISERROR(VLOOKUP($T$248,'TAR FIN'!$A$1:$O$120,15,0)),0,VLOOKUP($T$248,'TAR FIN'!$A$1:$O$120,15,0))*(1-0.08)</f>
        <v>77.694000000000003</v>
      </c>
      <c r="X248" s="71">
        <f>IF(ISERROR(VLOOKUP($U$248,'TAR FIN'!$A$1:$O$120,15,0)),0,VLOOKUP($U$248,'TAR FIN'!$A$1:$O$120,15,0))*(1-0.08)</f>
        <v>396.40040000000005</v>
      </c>
      <c r="Y248" s="71">
        <f ca="1">('TUSD BE'!$AM$27+'TUSD BF'!$AM$27+'TUSD CVA'!$AM$27)*1*(1-0.06)</f>
        <v>25.583306204875544</v>
      </c>
      <c r="Z248" s="71">
        <f ca="1">('TUSD BE'!$AM$29+'TUSD BF'!$AM$29+'TUSD CVA'!$AM$29)*1*(1-0.06)</f>
        <v>82.268200247339408</v>
      </c>
      <c r="AA248" s="71">
        <f>('TE BE'!$AA$10+'TE BF'!$AA$10+'TE CVA'!$AA$10)*1*(1-0.06)</f>
        <v>353.15029452578722</v>
      </c>
      <c r="AB248" s="71">
        <f>(SUBSIDIO!$J$248*SUBSIDIO!$V$248)*(0.08)/(1-0.08)</f>
        <v>1247.9359999999999</v>
      </c>
      <c r="AC248" s="71">
        <f>((SUBSIDIO!$L$248*SUBSIDIO!$W$248)+(SUBSIDIO!$N$248*SUBSIDIO!$X$248))*(0.08)/(1-0.08)</f>
        <v>1247.4454304000001</v>
      </c>
      <c r="AD248" s="71">
        <f ca="1">(SUBSIDIO!$J$248*SUBSIDIO!$Y$248)*(0.06)/(1-0.06)</f>
        <v>1110.4243544243855</v>
      </c>
      <c r="AE248" s="71">
        <f ca="1">((SUBSIDIO!$L$248*SUBSIDIO!$Z$248)+(SUBSIDIO!$N$248*SUBSIDIO!$AA$248))*(0.06)/(1-0.06)</f>
        <v>840.97839787276848</v>
      </c>
      <c r="AF248" s="4" t="s">
        <v>1151</v>
      </c>
    </row>
    <row r="249" spans="1:32" ht="11.25" customHeight="1" x14ac:dyDescent="0.25">
      <c r="A249" s="4" t="s">
        <v>21</v>
      </c>
      <c r="B249" s="4" t="s">
        <v>33</v>
      </c>
      <c r="C249" s="4" t="s">
        <v>41</v>
      </c>
      <c r="D249" s="4" t="s">
        <v>47</v>
      </c>
      <c r="E249" s="4" t="s">
        <v>25</v>
      </c>
      <c r="F249" s="4" t="s">
        <v>25</v>
      </c>
      <c r="G249" s="4" t="s">
        <v>25</v>
      </c>
      <c r="H249" s="4" t="s">
        <v>35</v>
      </c>
      <c r="I249" s="5">
        <v>43922</v>
      </c>
      <c r="J249" s="6">
        <v>660</v>
      </c>
      <c r="K249" s="71">
        <v>660</v>
      </c>
      <c r="L249" s="6">
        <v>29.832999999999998</v>
      </c>
      <c r="M249" s="71">
        <v>29.832999999999998</v>
      </c>
      <c r="N249" s="6">
        <v>29.832999999999998</v>
      </c>
      <c r="O249" s="71">
        <v>29.832999999999998</v>
      </c>
      <c r="P249" s="6">
        <v>0</v>
      </c>
      <c r="Q249" s="4" t="s">
        <v>26</v>
      </c>
      <c r="R249" s="4">
        <v>0</v>
      </c>
      <c r="S249" s="4">
        <v>21</v>
      </c>
      <c r="T249" s="4">
        <v>23</v>
      </c>
      <c r="U249" s="4">
        <v>81</v>
      </c>
      <c r="V249" s="71">
        <f>IF(ISERROR(VLOOKUP($S$249,'TAR FIN'!$A$1:$O$120,15,0)),0,VLOOKUP($S$249,'TAR FIN'!$A$1:$O$120,15,0))*(1-0.08)</f>
        <v>21.104800000000001</v>
      </c>
      <c r="W249" s="71">
        <f>IF(ISERROR(VLOOKUP($T$249,'TAR FIN'!$A$1:$O$120,15,0)),0,VLOOKUP($T$249,'TAR FIN'!$A$1:$O$120,15,0))*(1-0.08)</f>
        <v>77.694000000000003</v>
      </c>
      <c r="X249" s="71">
        <f>IF(ISERROR(VLOOKUP($U$249,'TAR FIN'!$A$1:$O$120,15,0)),0,VLOOKUP($U$249,'TAR FIN'!$A$1:$O$120,15,0))*(1-0.08)</f>
        <v>396.40040000000005</v>
      </c>
      <c r="Y249" s="71">
        <f ca="1">('TUSD BE'!$AM$27+'TUSD BF'!$AM$27+'TUSD CVA'!$AM$27)*1*(1-0.06)</f>
        <v>25.583306204875544</v>
      </c>
      <c r="Z249" s="71">
        <f ca="1">('TUSD BE'!$AM$29+'TUSD BF'!$AM$29+'TUSD CVA'!$AM$29)*1*(1-0.06)</f>
        <v>82.268200247339408</v>
      </c>
      <c r="AA249" s="71">
        <f>('TE BE'!$AA$10+'TE BF'!$AA$10+'TE CVA'!$AA$10)*1*(1-0.06)</f>
        <v>353.15029452578722</v>
      </c>
      <c r="AB249" s="71">
        <f>(SUBSIDIO!$J$249*SUBSIDIO!$V$249)*(0.08)/(1-0.08)</f>
        <v>1211.232</v>
      </c>
      <c r="AC249" s="71">
        <f>((SUBSIDIO!$L$249*SUBSIDIO!$W$249)+(SUBSIDIO!$N$249*SUBSIDIO!$X$249))*(0.08)/(1-0.08)</f>
        <v>1229.8833248000001</v>
      </c>
      <c r="AD249" s="71">
        <f ca="1">(SUBSIDIO!$J$249*SUBSIDIO!$Y$249)*(0.06)/(1-0.06)</f>
        <v>1077.7648145883741</v>
      </c>
      <c r="AE249" s="71">
        <f ca="1">((SUBSIDIO!$L$249*SUBSIDIO!$Z$249)+(SUBSIDIO!$N$249*SUBSIDIO!$AA$249))*(0.06)/(1-0.06)</f>
        <v>829.13872050425653</v>
      </c>
      <c r="AF249" s="4" t="s">
        <v>1151</v>
      </c>
    </row>
    <row r="250" spans="1:32" ht="11.25" customHeight="1" x14ac:dyDescent="0.25">
      <c r="A250" s="4" t="s">
        <v>21</v>
      </c>
      <c r="B250" s="4" t="s">
        <v>33</v>
      </c>
      <c r="C250" s="4" t="s">
        <v>41</v>
      </c>
      <c r="D250" s="4" t="s">
        <v>47</v>
      </c>
      <c r="E250" s="4" t="s">
        <v>25</v>
      </c>
      <c r="F250" s="4" t="s">
        <v>25</v>
      </c>
      <c r="G250" s="4" t="s">
        <v>25</v>
      </c>
      <c r="H250" s="4" t="s">
        <v>35</v>
      </c>
      <c r="I250" s="5">
        <v>43952</v>
      </c>
      <c r="J250" s="6">
        <v>661</v>
      </c>
      <c r="K250" s="71">
        <v>661</v>
      </c>
      <c r="L250" s="6">
        <v>25.033000000000001</v>
      </c>
      <c r="M250" s="71">
        <v>25.033000000000001</v>
      </c>
      <c r="N250" s="6">
        <v>25.033000000000001</v>
      </c>
      <c r="O250" s="71">
        <v>25.033000000000001</v>
      </c>
      <c r="P250" s="6">
        <v>0</v>
      </c>
      <c r="Q250" s="4" t="s">
        <v>26</v>
      </c>
      <c r="R250" s="4">
        <v>0</v>
      </c>
      <c r="S250" s="4">
        <v>21</v>
      </c>
      <c r="T250" s="4">
        <v>23</v>
      </c>
      <c r="U250" s="4">
        <v>81</v>
      </c>
      <c r="V250" s="71">
        <f>IF(ISERROR(VLOOKUP($S$250,'TAR FIN'!$A$1:$O$120,15,0)),0,VLOOKUP($S$250,'TAR FIN'!$A$1:$O$120,15,0))*(1-0.08)</f>
        <v>21.104800000000001</v>
      </c>
      <c r="W250" s="71">
        <f>IF(ISERROR(VLOOKUP($T$250,'TAR FIN'!$A$1:$O$120,15,0)),0,VLOOKUP($T$250,'TAR FIN'!$A$1:$O$120,15,0))*(1-0.08)</f>
        <v>77.694000000000003</v>
      </c>
      <c r="X250" s="71">
        <f>IF(ISERROR(VLOOKUP($U$250,'TAR FIN'!$A$1:$O$120,15,0)),0,VLOOKUP($U$250,'TAR FIN'!$A$1:$O$120,15,0))*(1-0.08)</f>
        <v>396.40040000000005</v>
      </c>
      <c r="Y250" s="71">
        <f ca="1">('TUSD BE'!$AM$27+'TUSD BF'!$AM$27+'TUSD CVA'!$AM$27)*1*(1-0.06)</f>
        <v>25.583306204875544</v>
      </c>
      <c r="Z250" s="71">
        <f ca="1">('TUSD BE'!$AM$29+'TUSD BF'!$AM$29+'TUSD CVA'!$AM$29)*1*(1-0.06)</f>
        <v>82.268200247339408</v>
      </c>
      <c r="AA250" s="71">
        <f>('TE BE'!$AA$10+'TE BF'!$AA$10+'TE CVA'!$AA$10)*1*(1-0.06)</f>
        <v>353.15029452578722</v>
      </c>
      <c r="AB250" s="71">
        <f>(SUBSIDIO!$J$250*SUBSIDIO!$V$250)*(0.08)/(1-0.08)</f>
        <v>1213.0672000000002</v>
      </c>
      <c r="AC250" s="71">
        <f>((SUBSIDIO!$L$250*SUBSIDIO!$W$250)+(SUBSIDIO!$N$250*SUBSIDIO!$X$250))*(0.08)/(1-0.08)</f>
        <v>1032.0004448000002</v>
      </c>
      <c r="AD250" s="71">
        <f ca="1">(SUBSIDIO!$J$250*SUBSIDIO!$Y$250)*(0.06)/(1-0.06)</f>
        <v>1079.3977915801747</v>
      </c>
      <c r="AE250" s="71">
        <f ca="1">((SUBSIDIO!$L$250*SUBSIDIO!$Z$250)+(SUBSIDIO!$N$250*SUBSIDIO!$AA$250))*(0.06)/(1-0.06)</f>
        <v>695.73390508440514</v>
      </c>
      <c r="AF250" s="4" t="s">
        <v>1151</v>
      </c>
    </row>
    <row r="251" spans="1:32" ht="11.25" customHeight="1" x14ac:dyDescent="0.25">
      <c r="A251" s="4" t="s">
        <v>21</v>
      </c>
      <c r="B251" s="4" t="s">
        <v>33</v>
      </c>
      <c r="C251" s="4" t="s">
        <v>41</v>
      </c>
      <c r="D251" s="4" t="s">
        <v>47</v>
      </c>
      <c r="E251" s="4" t="s">
        <v>25</v>
      </c>
      <c r="F251" s="4" t="s">
        <v>25</v>
      </c>
      <c r="G251" s="4" t="s">
        <v>25</v>
      </c>
      <c r="H251" s="4" t="s">
        <v>35</v>
      </c>
      <c r="I251" s="5">
        <v>43983</v>
      </c>
      <c r="J251" s="6">
        <v>712</v>
      </c>
      <c r="K251" s="71">
        <v>712</v>
      </c>
      <c r="L251" s="6">
        <v>31.492000000000001</v>
      </c>
      <c r="M251" s="71">
        <v>31.492000000000001</v>
      </c>
      <c r="N251" s="6">
        <v>31.492000000000001</v>
      </c>
      <c r="O251" s="71">
        <v>31.492000000000001</v>
      </c>
      <c r="P251" s="6">
        <v>0</v>
      </c>
      <c r="Q251" s="4" t="s">
        <v>26</v>
      </c>
      <c r="R251" s="4">
        <v>0</v>
      </c>
      <c r="S251" s="4">
        <v>21</v>
      </c>
      <c r="T251" s="4">
        <v>23</v>
      </c>
      <c r="U251" s="4">
        <v>81</v>
      </c>
      <c r="V251" s="71">
        <f>IF(ISERROR(VLOOKUP($S$251,'TAR FIN'!$A$1:$O$120,15,0)),0,VLOOKUP($S$251,'TAR FIN'!$A$1:$O$120,15,0))*(1-0.08)</f>
        <v>21.104800000000001</v>
      </c>
      <c r="W251" s="71">
        <f>IF(ISERROR(VLOOKUP($T$251,'TAR FIN'!$A$1:$O$120,15,0)),0,VLOOKUP($T$251,'TAR FIN'!$A$1:$O$120,15,0))*(1-0.08)</f>
        <v>77.694000000000003</v>
      </c>
      <c r="X251" s="71">
        <f>IF(ISERROR(VLOOKUP($U$251,'TAR FIN'!$A$1:$O$120,15,0)),0,VLOOKUP($U$251,'TAR FIN'!$A$1:$O$120,15,0))*(1-0.08)</f>
        <v>396.40040000000005</v>
      </c>
      <c r="Y251" s="71">
        <f ca="1">('TUSD BE'!$AM$27+'TUSD BF'!$AM$27+'TUSD CVA'!$AM$27)*1*(1-0.06)</f>
        <v>25.583306204875544</v>
      </c>
      <c r="Z251" s="71">
        <f ca="1">('TUSD BE'!$AM$29+'TUSD BF'!$AM$29+'TUSD CVA'!$AM$29)*1*(1-0.06)</f>
        <v>82.268200247339408</v>
      </c>
      <c r="AA251" s="71">
        <f>('TE BE'!$AA$10+'TE BF'!$AA$10+'TE CVA'!$AA$10)*1*(1-0.06)</f>
        <v>353.15029452578722</v>
      </c>
      <c r="AB251" s="71">
        <f>(SUBSIDIO!$J$251*SUBSIDIO!$V$251)*(0.08)/(1-0.08)</f>
        <v>1306.6624000000002</v>
      </c>
      <c r="AC251" s="71">
        <f>((SUBSIDIO!$L$251*SUBSIDIO!$W$251)+(SUBSIDIO!$N$251*SUBSIDIO!$X$251))*(0.08)/(1-0.08)</f>
        <v>1298.2765952000002</v>
      </c>
      <c r="AD251" s="71">
        <f ca="1">(SUBSIDIO!$J$251*SUBSIDIO!$Y$251)*(0.06)/(1-0.06)</f>
        <v>1162.6796181620034</v>
      </c>
      <c r="AE251" s="71">
        <f ca="1">((SUBSIDIO!$L$251*SUBSIDIO!$Z$251)+(SUBSIDIO!$N$251*SUBSIDIO!$AA$251))*(0.06)/(1-0.06)</f>
        <v>875.24675983374277</v>
      </c>
      <c r="AF251" s="4" t="s">
        <v>1151</v>
      </c>
    </row>
    <row r="252" spans="1:32" ht="11.25" customHeight="1" x14ac:dyDescent="0.25">
      <c r="A252" s="4" t="s">
        <v>21</v>
      </c>
      <c r="B252" s="4" t="s">
        <v>33</v>
      </c>
      <c r="C252" s="4" t="s">
        <v>41</v>
      </c>
      <c r="D252" s="4" t="s">
        <v>47</v>
      </c>
      <c r="E252" s="4" t="s">
        <v>25</v>
      </c>
      <c r="F252" s="4" t="s">
        <v>25</v>
      </c>
      <c r="G252" s="4" t="s">
        <v>25</v>
      </c>
      <c r="H252" s="4" t="s">
        <v>35</v>
      </c>
      <c r="I252" s="5">
        <v>44013</v>
      </c>
      <c r="J252" s="6">
        <v>439</v>
      </c>
      <c r="K252" s="71">
        <v>439</v>
      </c>
      <c r="L252" s="6">
        <v>18.164000000000001</v>
      </c>
      <c r="M252" s="71">
        <v>18.164000000000001</v>
      </c>
      <c r="N252" s="6">
        <v>18.164000000000001</v>
      </c>
      <c r="O252" s="71">
        <v>18.164000000000001</v>
      </c>
      <c r="P252" s="6">
        <v>0</v>
      </c>
      <c r="Q252" s="4" t="s">
        <v>26</v>
      </c>
      <c r="R252" s="4">
        <v>0</v>
      </c>
      <c r="S252" s="4">
        <v>21</v>
      </c>
      <c r="T252" s="4">
        <v>23</v>
      </c>
      <c r="U252" s="4">
        <v>81</v>
      </c>
      <c r="V252" s="71">
        <f>IF(ISERROR(VLOOKUP($S$252,'TAR FIN'!$A$1:$O$120,15,0)),0,VLOOKUP($S$252,'TAR FIN'!$A$1:$O$120,15,0))*(1-0.08)</f>
        <v>21.104800000000001</v>
      </c>
      <c r="W252" s="71">
        <f>IF(ISERROR(VLOOKUP($T$252,'TAR FIN'!$A$1:$O$120,15,0)),0,VLOOKUP($T$252,'TAR FIN'!$A$1:$O$120,15,0))*(1-0.08)</f>
        <v>77.694000000000003</v>
      </c>
      <c r="X252" s="71">
        <f>IF(ISERROR(VLOOKUP($U$252,'TAR FIN'!$A$1:$O$120,15,0)),0,VLOOKUP($U$252,'TAR FIN'!$A$1:$O$120,15,0))*(1-0.08)</f>
        <v>396.40040000000005</v>
      </c>
      <c r="Y252" s="71">
        <f ca="1">('TUSD BE'!$AM$27+'TUSD BF'!$AM$27+'TUSD CVA'!$AM$27)*1*(1-0.06)</f>
        <v>25.583306204875544</v>
      </c>
      <c r="Z252" s="71">
        <f ca="1">('TUSD BE'!$AM$29+'TUSD BF'!$AM$29+'TUSD CVA'!$AM$29)*1*(1-0.06)</f>
        <v>82.268200247339408</v>
      </c>
      <c r="AA252" s="71">
        <f>('TE BE'!$AA$10+'TE BF'!$AA$10+'TE CVA'!$AA$10)*1*(1-0.06)</f>
        <v>353.15029452578722</v>
      </c>
      <c r="AB252" s="71">
        <f>(SUBSIDIO!$J$252*SUBSIDIO!$V$252)*(0.08)/(1-0.08)</f>
        <v>805.65280000000007</v>
      </c>
      <c r="AC252" s="71">
        <f>((SUBSIDIO!$L$252*SUBSIDIO!$W$252)+(SUBSIDIO!$N$252*SUBSIDIO!$X$252))*(0.08)/(1-0.08)</f>
        <v>748.82179840000015</v>
      </c>
      <c r="AD252" s="71">
        <f ca="1">(SUBSIDIO!$J$252*SUBSIDIO!$Y$252)*(0.06)/(1-0.06)</f>
        <v>716.87689940044879</v>
      </c>
      <c r="AE252" s="71">
        <f ca="1">((SUBSIDIO!$L$252*SUBSIDIO!$Z$252)+(SUBSIDIO!$N$252*SUBSIDIO!$AA$252))*(0.06)/(1-0.06)</f>
        <v>504.82605568462168</v>
      </c>
      <c r="AF252" s="4" t="s">
        <v>1151</v>
      </c>
    </row>
    <row r="253" spans="1:32" ht="11.25" customHeight="1" x14ac:dyDescent="0.25">
      <c r="A253" s="4" t="s">
        <v>27</v>
      </c>
      <c r="B253" s="4" t="s">
        <v>33</v>
      </c>
      <c r="C253" s="4" t="s">
        <v>41</v>
      </c>
      <c r="D253" s="4" t="s">
        <v>47</v>
      </c>
      <c r="E253" s="4" t="s">
        <v>25</v>
      </c>
      <c r="F253" s="4" t="s">
        <v>25</v>
      </c>
      <c r="G253" s="4" t="s">
        <v>25</v>
      </c>
      <c r="H253" s="4" t="s">
        <v>35</v>
      </c>
      <c r="I253" s="5">
        <v>44013</v>
      </c>
      <c r="J253" s="6">
        <v>245</v>
      </c>
      <c r="K253" s="71">
        <v>245</v>
      </c>
      <c r="L253" s="6">
        <v>0</v>
      </c>
      <c r="M253" s="71">
        <v>0</v>
      </c>
      <c r="N253" s="6">
        <v>0</v>
      </c>
      <c r="O253" s="71">
        <v>0</v>
      </c>
      <c r="P253" s="6">
        <v>0</v>
      </c>
      <c r="Q253" s="4" t="s">
        <v>26</v>
      </c>
      <c r="R253" s="4">
        <v>0</v>
      </c>
      <c r="S253" s="4">
        <v>21</v>
      </c>
      <c r="T253" s="4">
        <v>0</v>
      </c>
      <c r="U253" s="4">
        <v>0</v>
      </c>
      <c r="V253" s="71">
        <f>IF(ISERROR(VLOOKUP($S$253,'TAR FIN'!$A$1:$O$120,15,0)),0,VLOOKUP($S$253,'TAR FIN'!$A$1:$O$120,15,0))*(1-0.08)</f>
        <v>21.104800000000001</v>
      </c>
      <c r="W253" s="71">
        <f>IF(ISERROR(VLOOKUP($T$253,'TAR FIN'!$A$1:$O$120,15,0)),0,VLOOKUP($T$253,'TAR FIN'!$A$1:$O$120,15,0))*(1-0.08)</f>
        <v>0</v>
      </c>
      <c r="X253" s="71">
        <f>IF(ISERROR(VLOOKUP($U$253,'TAR FIN'!$A$1:$O$120,15,0)),0,VLOOKUP($U$253,'TAR FIN'!$A$1:$O$120,15,0))*(1-0.08)</f>
        <v>0</v>
      </c>
      <c r="Y253" s="71">
        <f ca="1">('TUSD BE'!$AM$27+'TUSD BF'!$AM$27+'TUSD CVA'!$AM$27)*1*(1-0.06)</f>
        <v>25.583306204875544</v>
      </c>
      <c r="Z253" s="71">
        <f ca="1">('TUSD BE'!$AM$29+'TUSD BF'!$AM$29+'TUSD CVA'!$AM$29)*1*(1-0.06)</f>
        <v>82.268200247339408</v>
      </c>
      <c r="AA253" s="71">
        <f>('TE BE'!$AA$10+'TE BF'!$AA$10+'TE CVA'!$AA$10)*1*(1-0.06)</f>
        <v>353.15029452578722</v>
      </c>
      <c r="AB253" s="71">
        <f>(SUBSIDIO!$J$253*SUBSIDIO!$V$253)*(0.08)/(1-0.08)</f>
        <v>449.62400000000002</v>
      </c>
      <c r="AC253" s="71">
        <f>((SUBSIDIO!$L$253*SUBSIDIO!$W$253)+(SUBSIDIO!$N$253*SUBSIDIO!$X$253))*(0.08)/(1-0.08)</f>
        <v>0</v>
      </c>
      <c r="AD253" s="71">
        <f ca="1">(SUBSIDIO!$J$253*SUBSIDIO!$Y$253)*(0.06)/(1-0.06)</f>
        <v>400.07936299113885</v>
      </c>
      <c r="AE253" s="71">
        <f ca="1">((SUBSIDIO!$L$253*SUBSIDIO!$Z$253)+(SUBSIDIO!$N$253*SUBSIDIO!$AA$253))*(0.06)/(1-0.06)</f>
        <v>0</v>
      </c>
      <c r="AF253" s="4" t="s">
        <v>1151</v>
      </c>
    </row>
    <row r="254" spans="1:32" ht="11.25" customHeight="1" x14ac:dyDescent="0.25">
      <c r="A254" s="4" t="s">
        <v>21</v>
      </c>
      <c r="B254" s="4" t="s">
        <v>33</v>
      </c>
      <c r="C254" s="4" t="s">
        <v>41</v>
      </c>
      <c r="D254" s="4" t="s">
        <v>47</v>
      </c>
      <c r="E254" s="4" t="s">
        <v>25</v>
      </c>
      <c r="F254" s="4" t="s">
        <v>25</v>
      </c>
      <c r="G254" s="4" t="s">
        <v>25</v>
      </c>
      <c r="H254" s="4" t="s">
        <v>35</v>
      </c>
      <c r="I254" s="5">
        <v>44044</v>
      </c>
      <c r="J254" s="6">
        <v>779</v>
      </c>
      <c r="K254" s="71">
        <v>779</v>
      </c>
      <c r="L254" s="6">
        <v>38.588999999999999</v>
      </c>
      <c r="M254" s="71">
        <v>38.588999999999999</v>
      </c>
      <c r="N254" s="6">
        <v>38.588999999999999</v>
      </c>
      <c r="O254" s="71">
        <v>38.588999999999999</v>
      </c>
      <c r="P254" s="6">
        <v>0</v>
      </c>
      <c r="Q254" s="4" t="s">
        <v>26</v>
      </c>
      <c r="R254" s="4">
        <v>0</v>
      </c>
      <c r="S254" s="4">
        <v>21</v>
      </c>
      <c r="T254" s="4">
        <v>23</v>
      </c>
      <c r="U254" s="4">
        <v>81</v>
      </c>
      <c r="V254" s="71">
        <f>IF(ISERROR(VLOOKUP($S$254,'TAR FIN'!$A$1:$O$120,15,0)),0,VLOOKUP($S$254,'TAR FIN'!$A$1:$O$120,15,0))*(1-0.08)</f>
        <v>21.104800000000001</v>
      </c>
      <c r="W254" s="71">
        <f>IF(ISERROR(VLOOKUP($T$254,'TAR FIN'!$A$1:$O$120,15,0)),0,VLOOKUP($T$254,'TAR FIN'!$A$1:$O$120,15,0))*(1-0.08)</f>
        <v>77.694000000000003</v>
      </c>
      <c r="X254" s="71">
        <f>IF(ISERROR(VLOOKUP($U$254,'TAR FIN'!$A$1:$O$120,15,0)),0,VLOOKUP($U$254,'TAR FIN'!$A$1:$O$120,15,0))*(1-0.08)</f>
        <v>396.40040000000005</v>
      </c>
      <c r="Y254" s="71">
        <f ca="1">('TUSD BE'!$AM$27+'TUSD BF'!$AM$27+'TUSD CVA'!$AM$27)*1*(1-0.06)</f>
        <v>25.583306204875544</v>
      </c>
      <c r="Z254" s="71">
        <f ca="1">('TUSD BE'!$AM$29+'TUSD BF'!$AM$29+'TUSD CVA'!$AM$29)*1*(1-0.06)</f>
        <v>82.268200247339408</v>
      </c>
      <c r="AA254" s="71">
        <f>('TE BE'!$AA$10+'TE BF'!$AA$10+'TE CVA'!$AA$10)*1*(1-0.06)</f>
        <v>353.15029452578722</v>
      </c>
      <c r="AB254" s="71">
        <f>(SUBSIDIO!$J$254*SUBSIDIO!$V$254)*(0.08)/(1-0.08)</f>
        <v>1429.6208000000001</v>
      </c>
      <c r="AC254" s="71">
        <f>((SUBSIDIO!$L$254*SUBSIDIO!$W$254)+(SUBSIDIO!$N$254*SUBSIDIO!$X$254))*(0.08)/(1-0.08)</f>
        <v>1590.8546784</v>
      </c>
      <c r="AD254" s="71">
        <f ca="1">(SUBSIDIO!$J$254*SUBSIDIO!$Y$254)*(0.06)/(1-0.06)</f>
        <v>1272.0890766126413</v>
      </c>
      <c r="AE254" s="71">
        <f ca="1">((SUBSIDIO!$L$254*SUBSIDIO!$Z$254)+(SUBSIDIO!$N$254*SUBSIDIO!$AA$254))*(0.06)/(1-0.06)</f>
        <v>1072.4913379659693</v>
      </c>
      <c r="AF254" s="4" t="s">
        <v>1151</v>
      </c>
    </row>
    <row r="255" spans="1:32" ht="11.25" customHeight="1" x14ac:dyDescent="0.25">
      <c r="A255" s="4" t="s">
        <v>59</v>
      </c>
      <c r="B255" s="4" t="s">
        <v>33</v>
      </c>
      <c r="C255" s="4" t="s">
        <v>41</v>
      </c>
      <c r="D255" s="4" t="s">
        <v>47</v>
      </c>
      <c r="E255" s="4" t="s">
        <v>25</v>
      </c>
      <c r="F255" s="4" t="s">
        <v>25</v>
      </c>
      <c r="G255" s="4" t="s">
        <v>25</v>
      </c>
      <c r="H255" s="4" t="s">
        <v>35</v>
      </c>
      <c r="I255" s="5">
        <v>44075</v>
      </c>
      <c r="J255" s="6">
        <v>779</v>
      </c>
      <c r="K255" s="71">
        <v>779</v>
      </c>
      <c r="L255" s="6">
        <v>38.588999999999999</v>
      </c>
      <c r="M255" s="71">
        <v>38.588999999999999</v>
      </c>
      <c r="N255" s="6">
        <v>38.588999999999999</v>
      </c>
      <c r="O255" s="71">
        <v>38.588999999999999</v>
      </c>
      <c r="P255" s="6">
        <v>0</v>
      </c>
      <c r="Q255" s="4" t="s">
        <v>26</v>
      </c>
      <c r="R255" s="4">
        <v>0</v>
      </c>
      <c r="S255" s="4">
        <v>21</v>
      </c>
      <c r="T255" s="4">
        <v>23</v>
      </c>
      <c r="U255" s="4">
        <v>81</v>
      </c>
      <c r="V255" s="71">
        <f>IF(ISERROR(VLOOKUP($S$255,'TAR FIN'!$A$1:$O$120,15,0)),0,VLOOKUP($S$255,'TAR FIN'!$A$1:$O$120,15,0))*(1-0.08)</f>
        <v>21.104800000000001</v>
      </c>
      <c r="W255" s="71">
        <f>IF(ISERROR(VLOOKUP($T$255,'TAR FIN'!$A$1:$O$120,15,0)),0,VLOOKUP($T$255,'TAR FIN'!$A$1:$O$120,15,0))*(1-0.08)</f>
        <v>77.694000000000003</v>
      </c>
      <c r="X255" s="71">
        <f>IF(ISERROR(VLOOKUP($U$255,'TAR FIN'!$A$1:$O$120,15,0)),0,VLOOKUP($U$255,'TAR FIN'!$A$1:$O$120,15,0))*(1-0.08)</f>
        <v>396.40040000000005</v>
      </c>
      <c r="Y255" s="71">
        <f ca="1">('TUSD BE'!$AM$27+'TUSD BF'!$AM$27+'TUSD CVA'!$AM$27)*1*(1-0.06)</f>
        <v>25.583306204875544</v>
      </c>
      <c r="Z255" s="71">
        <f ca="1">('TUSD BE'!$AM$29+'TUSD BF'!$AM$29+'TUSD CVA'!$AM$29)*1*(1-0.06)</f>
        <v>82.268200247339408</v>
      </c>
      <c r="AA255" s="71">
        <f>('TE BE'!$AA$10+'TE BF'!$AA$10+'TE CVA'!$AA$10)*1*(1-0.06)</f>
        <v>353.15029452578722</v>
      </c>
      <c r="AB255" s="71">
        <f>(SUBSIDIO!$J$255*SUBSIDIO!$V$255)*(0.08)/(1-0.08)</f>
        <v>1429.6208000000001</v>
      </c>
      <c r="AC255" s="71">
        <f>((SUBSIDIO!$L$255*SUBSIDIO!$W$255)+(SUBSIDIO!$N$255*SUBSIDIO!$X$255))*(0.08)/(1-0.08)</f>
        <v>1590.8546784</v>
      </c>
      <c r="AD255" s="71">
        <f ca="1">(SUBSIDIO!$J$255*SUBSIDIO!$Y$255)*(0.06)/(1-0.06)</f>
        <v>1272.0890766126413</v>
      </c>
      <c r="AE255" s="71">
        <f ca="1">((SUBSIDIO!$L$255*SUBSIDIO!$Z$255)+(SUBSIDIO!$N$255*SUBSIDIO!$AA$255))*(0.06)/(1-0.06)</f>
        <v>1072.4913379659693</v>
      </c>
      <c r="AF255" s="4" t="s">
        <v>1151</v>
      </c>
    </row>
    <row r="256" spans="1:32" ht="11.25" customHeight="1" x14ac:dyDescent="0.25">
      <c r="A256" s="4" t="s">
        <v>21</v>
      </c>
      <c r="B256" s="4" t="s">
        <v>33</v>
      </c>
      <c r="C256" s="4" t="s">
        <v>41</v>
      </c>
      <c r="D256" s="4" t="s">
        <v>52</v>
      </c>
      <c r="E256" s="4" t="s">
        <v>53</v>
      </c>
      <c r="F256" s="4" t="s">
        <v>25</v>
      </c>
      <c r="G256" s="4" t="s">
        <v>25</v>
      </c>
      <c r="H256" s="4" t="s">
        <v>36</v>
      </c>
      <c r="I256" s="5">
        <v>43739</v>
      </c>
      <c r="J256" s="6">
        <v>9800</v>
      </c>
      <c r="K256" s="70">
        <v>9800</v>
      </c>
      <c r="L256" s="6">
        <v>4514.2240000000002</v>
      </c>
      <c r="M256" s="71">
        <v>4514.2240000000002</v>
      </c>
      <c r="N256" s="6">
        <v>4514.2240000000002</v>
      </c>
      <c r="O256" s="71">
        <v>4514.2240000000002</v>
      </c>
      <c r="P256" s="6">
        <v>0</v>
      </c>
      <c r="Q256" s="4" t="s">
        <v>26</v>
      </c>
      <c r="R256" s="4">
        <v>0</v>
      </c>
      <c r="S256" s="4">
        <v>22</v>
      </c>
      <c r="T256" s="4">
        <v>23</v>
      </c>
      <c r="U256" s="4">
        <v>82</v>
      </c>
      <c r="V256" s="71">
        <f>IF(ISERROR(VLOOKUP($S$256,'TAR FIN'!$A$1:$O$120,15,0)),0,VLOOKUP($S$256,'TAR FIN'!$A$1:$O$120,15,0))*(1-0.12)</f>
        <v>7.7528000000000006</v>
      </c>
      <c r="W256" s="71">
        <f>IF(ISERROR(VLOOKUP($T$256,'TAR FIN'!$A$1:$O$120,15,0)),0,VLOOKUP($T$256,'TAR FIN'!$A$1:$O$120,15,0))*(1-0.12)</f>
        <v>74.316000000000003</v>
      </c>
      <c r="X256" s="71">
        <f>IF(ISERROR(VLOOKUP($U$256,'TAR FIN'!$A$1:$O$120,15,0)),0,VLOOKUP($U$256,'TAR FIN'!$A$1:$O$120,15,0))*(1-0.12)</f>
        <v>225.61439999999999</v>
      </c>
      <c r="Y256" s="71">
        <f ca="1">('TUSD BE'!$AM$28+'TUSD BF'!$AM$28+'TUSD CVA'!$AM$28)*1*(1-0.09)</f>
        <v>10.421644550274408</v>
      </c>
      <c r="Z256" s="71">
        <f ca="1">('TUSD BE'!$AM$29+'TUSD BF'!$AM$29+'TUSD CVA'!$AM$29)*1*(1-0.09)</f>
        <v>79.642619388381775</v>
      </c>
      <c r="AA256" s="71">
        <f>('TE BE'!$AA$11+'TE BF'!$AA$11+'TE CVA'!$AA$11)*1*(1-0.09)</f>
        <v>210.05913056249776</v>
      </c>
      <c r="AB256" s="71">
        <f>(SUBSIDIO!$J$256*SUBSIDIO!$V$256)*(0.12)/(1-0.12)</f>
        <v>10360.56</v>
      </c>
      <c r="AC256" s="71">
        <f>((SUBSIDIO!$L$256*SUBSIDIO!$W$256)+(SUBSIDIO!$N$256*SUBSIDIO!$X$256))*(0.12)/(1-0.12)</f>
        <v>184629.95591039999</v>
      </c>
      <c r="AD256" s="71">
        <f ca="1">(SUBSIDIO!$J$256*SUBSIDIO!$Y$256)*(0.09)/(1-0.09)</f>
        <v>10100.978564112118</v>
      </c>
      <c r="AE256" s="71">
        <f ca="1">((SUBSIDIO!$L$256*SUBSIDIO!$Z$256)+(SUBSIDIO!$N$256*SUBSIDIO!$AA$256))*(0.09)/(1-0.09)</f>
        <v>129340.73991464103</v>
      </c>
      <c r="AF256" s="4" t="s">
        <v>1148</v>
      </c>
    </row>
    <row r="257" spans="1:32" ht="11.25" customHeight="1" x14ac:dyDescent="0.25">
      <c r="A257" s="4" t="s">
        <v>21</v>
      </c>
      <c r="B257" s="4" t="s">
        <v>33</v>
      </c>
      <c r="C257" s="4" t="s">
        <v>41</v>
      </c>
      <c r="D257" s="4" t="s">
        <v>52</v>
      </c>
      <c r="E257" s="4" t="s">
        <v>53</v>
      </c>
      <c r="F257" s="4" t="s">
        <v>25</v>
      </c>
      <c r="G257" s="4" t="s">
        <v>25</v>
      </c>
      <c r="H257" s="4" t="s">
        <v>36</v>
      </c>
      <c r="I257" s="5">
        <v>43770</v>
      </c>
      <c r="J257" s="6">
        <v>9795</v>
      </c>
      <c r="K257" s="70">
        <v>9795</v>
      </c>
      <c r="L257" s="6">
        <v>4572.0990000000002</v>
      </c>
      <c r="M257" s="71">
        <v>4572.0990000000002</v>
      </c>
      <c r="N257" s="6">
        <v>4572.0990000000002</v>
      </c>
      <c r="O257" s="71">
        <v>4572.0990000000002</v>
      </c>
      <c r="P257" s="6">
        <v>0</v>
      </c>
      <c r="Q257" s="4" t="s">
        <v>26</v>
      </c>
      <c r="R257" s="4">
        <v>0</v>
      </c>
      <c r="S257" s="4">
        <v>22</v>
      </c>
      <c r="T257" s="4">
        <v>23</v>
      </c>
      <c r="U257" s="4">
        <v>82</v>
      </c>
      <c r="V257" s="71">
        <f>IF(ISERROR(VLOOKUP($S$257,'TAR FIN'!$A$1:$O$120,15,0)),0,VLOOKUP($S$257,'TAR FIN'!$A$1:$O$120,15,0))*(1-0.12)</f>
        <v>7.7528000000000006</v>
      </c>
      <c r="W257" s="71">
        <f>IF(ISERROR(VLOOKUP($T$257,'TAR FIN'!$A$1:$O$120,15,0)),0,VLOOKUP($T$257,'TAR FIN'!$A$1:$O$120,15,0))*(1-0.12)</f>
        <v>74.316000000000003</v>
      </c>
      <c r="X257" s="71">
        <f>IF(ISERROR(VLOOKUP($U$257,'TAR FIN'!$A$1:$O$120,15,0)),0,VLOOKUP($U$257,'TAR FIN'!$A$1:$O$120,15,0))*(1-0.12)</f>
        <v>225.61439999999999</v>
      </c>
      <c r="Y257" s="71">
        <f ca="1">('TUSD BE'!$AM$28+'TUSD BF'!$AM$28+'TUSD CVA'!$AM$28)*1*(1-0.09)</f>
        <v>10.421644550274408</v>
      </c>
      <c r="Z257" s="71">
        <f ca="1">('TUSD BE'!$AM$29+'TUSD BF'!$AM$29+'TUSD CVA'!$AM$29)*1*(1-0.09)</f>
        <v>79.642619388381775</v>
      </c>
      <c r="AA257" s="71">
        <f>('TE BE'!$AA$11+'TE BF'!$AA$11+'TE CVA'!$AA$11)*1*(1-0.09)</f>
        <v>210.05913056249776</v>
      </c>
      <c r="AB257" s="71">
        <f>(SUBSIDIO!$J$257*SUBSIDIO!$V$257)*(0.12)/(1-0.12)</f>
        <v>10355.273999999999</v>
      </c>
      <c r="AC257" s="71">
        <f>((SUBSIDIO!$L$257*SUBSIDIO!$W$257)+(SUBSIDIO!$N$257*SUBSIDIO!$X$257))*(0.12)/(1-0.12)</f>
        <v>186997.02026040002</v>
      </c>
      <c r="AD257" s="71">
        <f ca="1">(SUBSIDIO!$J$257*SUBSIDIO!$Y$257)*(0.09)/(1-0.09)</f>
        <v>10095.825003620224</v>
      </c>
      <c r="AE257" s="71">
        <f ca="1">((SUBSIDIO!$L$257*SUBSIDIO!$Z$257)+(SUBSIDIO!$N$257*SUBSIDIO!$AA$257))*(0.09)/(1-0.09)</f>
        <v>130998.96407953842</v>
      </c>
      <c r="AF257" s="4" t="s">
        <v>1148</v>
      </c>
    </row>
    <row r="258" spans="1:32" ht="11.25" customHeight="1" x14ac:dyDescent="0.25">
      <c r="A258" s="4" t="s">
        <v>21</v>
      </c>
      <c r="B258" s="4" t="s">
        <v>33</v>
      </c>
      <c r="C258" s="4" t="s">
        <v>41</v>
      </c>
      <c r="D258" s="4" t="s">
        <v>52</v>
      </c>
      <c r="E258" s="4" t="s">
        <v>53</v>
      </c>
      <c r="F258" s="4" t="s">
        <v>25</v>
      </c>
      <c r="G258" s="4" t="s">
        <v>25</v>
      </c>
      <c r="H258" s="4" t="s">
        <v>36</v>
      </c>
      <c r="I258" s="5">
        <v>43800</v>
      </c>
      <c r="J258" s="6">
        <v>9831</v>
      </c>
      <c r="K258" s="70">
        <v>9831</v>
      </c>
      <c r="L258" s="6">
        <v>4345.348</v>
      </c>
      <c r="M258" s="71">
        <v>4345.348</v>
      </c>
      <c r="N258" s="6">
        <v>4345.348</v>
      </c>
      <c r="O258" s="71">
        <v>4345.348</v>
      </c>
      <c r="P258" s="6">
        <v>0</v>
      </c>
      <c r="Q258" s="4" t="s">
        <v>26</v>
      </c>
      <c r="R258" s="4">
        <v>0</v>
      </c>
      <c r="S258" s="4">
        <v>22</v>
      </c>
      <c r="T258" s="4">
        <v>23</v>
      </c>
      <c r="U258" s="4">
        <v>82</v>
      </c>
      <c r="V258" s="71">
        <f>IF(ISERROR(VLOOKUP($S$258,'TAR FIN'!$A$1:$O$120,15,0)),0,VLOOKUP($S$258,'TAR FIN'!$A$1:$O$120,15,0))*(1-0.12)</f>
        <v>7.7528000000000006</v>
      </c>
      <c r="W258" s="71">
        <f>IF(ISERROR(VLOOKUP($T$258,'TAR FIN'!$A$1:$O$120,15,0)),0,VLOOKUP($T$258,'TAR FIN'!$A$1:$O$120,15,0))*(1-0.12)</f>
        <v>74.316000000000003</v>
      </c>
      <c r="X258" s="71">
        <f>IF(ISERROR(VLOOKUP($U$258,'TAR FIN'!$A$1:$O$120,15,0)),0,VLOOKUP($U$258,'TAR FIN'!$A$1:$O$120,15,0))*(1-0.12)</f>
        <v>225.61439999999999</v>
      </c>
      <c r="Y258" s="71">
        <f ca="1">('TUSD BE'!$AM$28+'TUSD BF'!$AM$28+'TUSD CVA'!$AM$28)*1*(1-0.09)</f>
        <v>10.421644550274408</v>
      </c>
      <c r="Z258" s="71">
        <f ca="1">('TUSD BE'!$AM$29+'TUSD BF'!$AM$29+'TUSD CVA'!$AM$29)*1*(1-0.09)</f>
        <v>79.642619388381775</v>
      </c>
      <c r="AA258" s="71">
        <f>('TE BE'!$AA$11+'TE BF'!$AA$11+'TE CVA'!$AA$11)*1*(1-0.09)</f>
        <v>210.05913056249776</v>
      </c>
      <c r="AB258" s="71">
        <f>(SUBSIDIO!$J$258*SUBSIDIO!$V$258)*(0.12)/(1-0.12)</f>
        <v>10393.333200000001</v>
      </c>
      <c r="AC258" s="71">
        <f>((SUBSIDIO!$L$258*SUBSIDIO!$W$258)+(SUBSIDIO!$N$258*SUBSIDIO!$X$258))*(0.12)/(1-0.12)</f>
        <v>177722.99506079996</v>
      </c>
      <c r="AD258" s="71">
        <f ca="1">(SUBSIDIO!$J$258*SUBSIDIO!$Y$258)*(0.09)/(1-0.09)</f>
        <v>10132.930639161861</v>
      </c>
      <c r="AE258" s="71">
        <f ca="1">((SUBSIDIO!$L$258*SUBSIDIO!$Z$258)+(SUBSIDIO!$N$258*SUBSIDIO!$AA$258))*(0.09)/(1-0.09)</f>
        <v>124502.13491989</v>
      </c>
      <c r="AF258" s="4" t="s">
        <v>1148</v>
      </c>
    </row>
    <row r="259" spans="1:32" ht="11.25" customHeight="1" x14ac:dyDescent="0.25">
      <c r="A259" s="4" t="s">
        <v>21</v>
      </c>
      <c r="B259" s="4" t="s">
        <v>33</v>
      </c>
      <c r="C259" s="4" t="s">
        <v>41</v>
      </c>
      <c r="D259" s="4" t="s">
        <v>52</v>
      </c>
      <c r="E259" s="4" t="s">
        <v>53</v>
      </c>
      <c r="F259" s="4" t="s">
        <v>25</v>
      </c>
      <c r="G259" s="4" t="s">
        <v>25</v>
      </c>
      <c r="H259" s="4" t="s">
        <v>36</v>
      </c>
      <c r="I259" s="5">
        <v>43831</v>
      </c>
      <c r="J259" s="6">
        <v>9808</v>
      </c>
      <c r="K259" s="70">
        <v>9808</v>
      </c>
      <c r="L259" s="6">
        <v>4575.3519999999999</v>
      </c>
      <c r="M259" s="71">
        <v>4575.3519999999999</v>
      </c>
      <c r="N259" s="6">
        <v>4575.3519999999999</v>
      </c>
      <c r="O259" s="71">
        <v>4575.3519999999999</v>
      </c>
      <c r="P259" s="6">
        <v>0</v>
      </c>
      <c r="Q259" s="4" t="s">
        <v>26</v>
      </c>
      <c r="R259" s="4">
        <v>0</v>
      </c>
      <c r="S259" s="4">
        <v>22</v>
      </c>
      <c r="T259" s="4">
        <v>23</v>
      </c>
      <c r="U259" s="4">
        <v>82</v>
      </c>
      <c r="V259" s="71">
        <f>IF(ISERROR(VLOOKUP($S$259,'TAR FIN'!$A$1:$O$120,15,0)),0,VLOOKUP($S$259,'TAR FIN'!$A$1:$O$120,15,0))*(1-0.12)</f>
        <v>7.7528000000000006</v>
      </c>
      <c r="W259" s="71">
        <f>IF(ISERROR(VLOOKUP($T$259,'TAR FIN'!$A$1:$O$120,15,0)),0,VLOOKUP($T$259,'TAR FIN'!$A$1:$O$120,15,0))*(1-0.12)</f>
        <v>74.316000000000003</v>
      </c>
      <c r="X259" s="71">
        <f>IF(ISERROR(VLOOKUP($U$259,'TAR FIN'!$A$1:$O$120,15,0)),0,VLOOKUP($U$259,'TAR FIN'!$A$1:$O$120,15,0))*(1-0.12)</f>
        <v>225.61439999999999</v>
      </c>
      <c r="Y259" s="71">
        <f ca="1">('TUSD BE'!$AM$28+'TUSD BF'!$AM$28+'TUSD CVA'!$AM$28)*1*(1-0.09)</f>
        <v>10.421644550274408</v>
      </c>
      <c r="Z259" s="71">
        <f ca="1">('TUSD BE'!$AM$29+'TUSD BF'!$AM$29+'TUSD CVA'!$AM$29)*1*(1-0.09)</f>
        <v>79.642619388381775</v>
      </c>
      <c r="AA259" s="71">
        <f>('TE BE'!$AA$11+'TE BF'!$AA$11+'TE CVA'!$AA$11)*1*(1-0.09)</f>
        <v>210.05913056249776</v>
      </c>
      <c r="AB259" s="71">
        <f>(SUBSIDIO!$J$259*SUBSIDIO!$V$259)*(0.12)/(1-0.12)</f>
        <v>10369.017600000001</v>
      </c>
      <c r="AC259" s="71">
        <f>((SUBSIDIO!$L$259*SUBSIDIO!$W$259)+(SUBSIDIO!$N$259*SUBSIDIO!$X$259))*(0.12)/(1-0.12)</f>
        <v>187130.06665919998</v>
      </c>
      <c r="AD259" s="71">
        <f ca="1">(SUBSIDIO!$J$259*SUBSIDIO!$Y$259)*(0.09)/(1-0.09)</f>
        <v>10109.224260899147</v>
      </c>
      <c r="AE259" s="71">
        <f ca="1">((SUBSIDIO!$L$259*SUBSIDIO!$Z$259)+(SUBSIDIO!$N$259*SUBSIDIO!$AA$259))*(0.09)/(1-0.09)</f>
        <v>131092.16845462975</v>
      </c>
      <c r="AF259" s="4" t="s">
        <v>1148</v>
      </c>
    </row>
    <row r="260" spans="1:32" ht="11.25" customHeight="1" x14ac:dyDescent="0.25">
      <c r="A260" s="4" t="s">
        <v>21</v>
      </c>
      <c r="B260" s="4" t="s">
        <v>33</v>
      </c>
      <c r="C260" s="4" t="s">
        <v>41</v>
      </c>
      <c r="D260" s="4" t="s">
        <v>52</v>
      </c>
      <c r="E260" s="4" t="s">
        <v>53</v>
      </c>
      <c r="F260" s="4" t="s">
        <v>25</v>
      </c>
      <c r="G260" s="4" t="s">
        <v>25</v>
      </c>
      <c r="H260" s="4" t="s">
        <v>36</v>
      </c>
      <c r="I260" s="5">
        <v>43862</v>
      </c>
      <c r="J260" s="6">
        <v>9853</v>
      </c>
      <c r="K260" s="70">
        <v>9853</v>
      </c>
      <c r="L260" s="6">
        <v>4766.9369999999999</v>
      </c>
      <c r="M260" s="71">
        <v>4766.9369999999999</v>
      </c>
      <c r="N260" s="6">
        <v>4766.9369999999999</v>
      </c>
      <c r="O260" s="71">
        <v>4766.9369999999999</v>
      </c>
      <c r="P260" s="6">
        <v>0</v>
      </c>
      <c r="Q260" s="4" t="s">
        <v>26</v>
      </c>
      <c r="R260" s="4">
        <v>0</v>
      </c>
      <c r="S260" s="4">
        <v>22</v>
      </c>
      <c r="T260" s="4">
        <v>23</v>
      </c>
      <c r="U260" s="4">
        <v>82</v>
      </c>
      <c r="V260" s="71">
        <f>IF(ISERROR(VLOOKUP($S$260,'TAR FIN'!$A$1:$O$120,15,0)),0,VLOOKUP($S$260,'TAR FIN'!$A$1:$O$120,15,0))*(1-0.12)</f>
        <v>7.7528000000000006</v>
      </c>
      <c r="W260" s="71">
        <f>IF(ISERROR(VLOOKUP($T$260,'TAR FIN'!$A$1:$O$120,15,0)),0,VLOOKUP($T$260,'TAR FIN'!$A$1:$O$120,15,0))*(1-0.12)</f>
        <v>74.316000000000003</v>
      </c>
      <c r="X260" s="71">
        <f>IF(ISERROR(VLOOKUP($U$260,'TAR FIN'!$A$1:$O$120,15,0)),0,VLOOKUP($U$260,'TAR FIN'!$A$1:$O$120,15,0))*(1-0.12)</f>
        <v>225.61439999999999</v>
      </c>
      <c r="Y260" s="71">
        <f ca="1">('TUSD BE'!$AM$28+'TUSD BF'!$AM$28+'TUSD CVA'!$AM$28)*1*(1-0.09)</f>
        <v>10.421644550274408</v>
      </c>
      <c r="Z260" s="71">
        <f ca="1">('TUSD BE'!$AM$29+'TUSD BF'!$AM$29+'TUSD CVA'!$AM$29)*1*(1-0.09)</f>
        <v>79.642619388381775</v>
      </c>
      <c r="AA260" s="71">
        <f>('TE BE'!$AA$11+'TE BF'!$AA$11+'TE CVA'!$AA$11)*1*(1-0.09)</f>
        <v>210.05913056249776</v>
      </c>
      <c r="AB260" s="71">
        <f>(SUBSIDIO!$J$260*SUBSIDIO!$V$260)*(0.12)/(1-0.12)</f>
        <v>10416.591600000002</v>
      </c>
      <c r="AC260" s="71">
        <f>((SUBSIDIO!$L$260*SUBSIDIO!$W$260)+(SUBSIDIO!$N$260*SUBSIDIO!$X$260))*(0.12)/(1-0.12)</f>
        <v>194965.81652519995</v>
      </c>
      <c r="AD260" s="71">
        <f ca="1">(SUBSIDIO!$J$260*SUBSIDIO!$Y$260)*(0.09)/(1-0.09)</f>
        <v>10155.606305326191</v>
      </c>
      <c r="AE260" s="71">
        <f ca="1">((SUBSIDIO!$L$260*SUBSIDIO!$Z$260)+(SUBSIDIO!$N$260*SUBSIDIO!$AA$260))*(0.09)/(1-0.09)</f>
        <v>136581.42766209185</v>
      </c>
      <c r="AF260" s="4" t="s">
        <v>1148</v>
      </c>
    </row>
    <row r="261" spans="1:32" ht="11.25" customHeight="1" x14ac:dyDescent="0.25">
      <c r="A261" s="4" t="s">
        <v>21</v>
      </c>
      <c r="B261" s="4" t="s">
        <v>33</v>
      </c>
      <c r="C261" s="4" t="s">
        <v>41</v>
      </c>
      <c r="D261" s="4" t="s">
        <v>52</v>
      </c>
      <c r="E261" s="4" t="s">
        <v>53</v>
      </c>
      <c r="F261" s="4" t="s">
        <v>25</v>
      </c>
      <c r="G261" s="4" t="s">
        <v>25</v>
      </c>
      <c r="H261" s="4" t="s">
        <v>36</v>
      </c>
      <c r="I261" s="5">
        <v>43891</v>
      </c>
      <c r="J261" s="6">
        <v>9871</v>
      </c>
      <c r="K261" s="70">
        <v>9871</v>
      </c>
      <c r="L261" s="6">
        <v>4457.8869999999997</v>
      </c>
      <c r="M261" s="71">
        <v>4457.8869999999997</v>
      </c>
      <c r="N261" s="6">
        <v>4457.8869999999997</v>
      </c>
      <c r="O261" s="71">
        <v>4457.8869999999997</v>
      </c>
      <c r="P261" s="6">
        <v>0</v>
      </c>
      <c r="Q261" s="4" t="s">
        <v>26</v>
      </c>
      <c r="R261" s="4">
        <v>0</v>
      </c>
      <c r="S261" s="4">
        <v>22</v>
      </c>
      <c r="T261" s="4">
        <v>23</v>
      </c>
      <c r="U261" s="4">
        <v>82</v>
      </c>
      <c r="V261" s="71">
        <f>IF(ISERROR(VLOOKUP($S$261,'TAR FIN'!$A$1:$O$120,15,0)),0,VLOOKUP($S$261,'TAR FIN'!$A$1:$O$120,15,0))*(1-0.12)</f>
        <v>7.7528000000000006</v>
      </c>
      <c r="W261" s="71">
        <f>IF(ISERROR(VLOOKUP($T$261,'TAR FIN'!$A$1:$O$120,15,0)),0,VLOOKUP($T$261,'TAR FIN'!$A$1:$O$120,15,0))*(1-0.12)</f>
        <v>74.316000000000003</v>
      </c>
      <c r="X261" s="71">
        <f>IF(ISERROR(VLOOKUP($U$261,'TAR FIN'!$A$1:$O$120,15,0)),0,VLOOKUP($U$261,'TAR FIN'!$A$1:$O$120,15,0))*(1-0.12)</f>
        <v>225.61439999999999</v>
      </c>
      <c r="Y261" s="71">
        <f ca="1">('TUSD BE'!$AM$28+'TUSD BF'!$AM$28+'TUSD CVA'!$AM$28)*1*(1-0.09)</f>
        <v>10.421644550274408</v>
      </c>
      <c r="Z261" s="71">
        <f ca="1">('TUSD BE'!$AM$29+'TUSD BF'!$AM$29+'TUSD CVA'!$AM$29)*1*(1-0.09)</f>
        <v>79.642619388381775</v>
      </c>
      <c r="AA261" s="71">
        <f>('TE BE'!$AA$11+'TE BF'!$AA$11+'TE CVA'!$AA$11)*1*(1-0.09)</f>
        <v>210.05913056249776</v>
      </c>
      <c r="AB261" s="71">
        <f>(SUBSIDIO!$J$261*SUBSIDIO!$V$261)*(0.12)/(1-0.12)</f>
        <v>10435.6212</v>
      </c>
      <c r="AC261" s="71">
        <f>((SUBSIDIO!$L$261*SUBSIDIO!$W$261)+(SUBSIDIO!$N$261*SUBSIDIO!$X$261))*(0.12)/(1-0.12)</f>
        <v>182325.79514519995</v>
      </c>
      <c r="AD261" s="71">
        <f ca="1">(SUBSIDIO!$J$261*SUBSIDIO!$Y$261)*(0.09)/(1-0.09)</f>
        <v>10174.15912309701</v>
      </c>
      <c r="AE261" s="71">
        <f ca="1">((SUBSIDIO!$L$261*SUBSIDIO!$Z$261)+(SUBSIDIO!$N$261*SUBSIDIO!$AA$261))*(0.09)/(1-0.09)</f>
        <v>127726.58225109326</v>
      </c>
      <c r="AF261" s="4" t="s">
        <v>1148</v>
      </c>
    </row>
    <row r="262" spans="1:32" ht="11.25" customHeight="1" x14ac:dyDescent="0.25">
      <c r="A262" s="4" t="s">
        <v>21</v>
      </c>
      <c r="B262" s="4" t="s">
        <v>33</v>
      </c>
      <c r="C262" s="4" t="s">
        <v>41</v>
      </c>
      <c r="D262" s="4" t="s">
        <v>52</v>
      </c>
      <c r="E262" s="4" t="s">
        <v>53</v>
      </c>
      <c r="F262" s="4" t="s">
        <v>25</v>
      </c>
      <c r="G262" s="4" t="s">
        <v>25</v>
      </c>
      <c r="H262" s="4" t="s">
        <v>36</v>
      </c>
      <c r="I262" s="5">
        <v>43922</v>
      </c>
      <c r="J262" s="6">
        <v>9861</v>
      </c>
      <c r="K262" s="70">
        <v>9861</v>
      </c>
      <c r="L262" s="6">
        <v>4824.7709999999997</v>
      </c>
      <c r="M262" s="71">
        <v>4824.7709999999997</v>
      </c>
      <c r="N262" s="6">
        <v>4824.7709999999997</v>
      </c>
      <c r="O262" s="71">
        <v>4824.7709999999997</v>
      </c>
      <c r="P262" s="6">
        <v>0</v>
      </c>
      <c r="Q262" s="4" t="s">
        <v>26</v>
      </c>
      <c r="R262" s="4">
        <v>0</v>
      </c>
      <c r="S262" s="4">
        <v>22</v>
      </c>
      <c r="T262" s="4">
        <v>23</v>
      </c>
      <c r="U262" s="4">
        <v>82</v>
      </c>
      <c r="V262" s="71">
        <f>IF(ISERROR(VLOOKUP($S$262,'TAR FIN'!$A$1:$O$120,15,0)),0,VLOOKUP($S$262,'TAR FIN'!$A$1:$O$120,15,0))*(1-0.12)</f>
        <v>7.7528000000000006</v>
      </c>
      <c r="W262" s="71">
        <f>IF(ISERROR(VLOOKUP($T$262,'TAR FIN'!$A$1:$O$120,15,0)),0,VLOOKUP($T$262,'TAR FIN'!$A$1:$O$120,15,0))*(1-0.12)</f>
        <v>74.316000000000003</v>
      </c>
      <c r="X262" s="71">
        <f>IF(ISERROR(VLOOKUP($U$262,'TAR FIN'!$A$1:$O$120,15,0)),0,VLOOKUP($U$262,'TAR FIN'!$A$1:$O$120,15,0))*(1-0.12)</f>
        <v>225.61439999999999</v>
      </c>
      <c r="Y262" s="71">
        <f ca="1">('TUSD BE'!$AM$28+'TUSD BF'!$AM$28+'TUSD CVA'!$AM$28)*1*(1-0.09)</f>
        <v>10.421644550274408</v>
      </c>
      <c r="Z262" s="71">
        <f ca="1">('TUSD BE'!$AM$29+'TUSD BF'!$AM$29+'TUSD CVA'!$AM$29)*1*(1-0.09)</f>
        <v>79.642619388381775</v>
      </c>
      <c r="AA262" s="71">
        <f>('TE BE'!$AA$11+'TE BF'!$AA$11+'TE CVA'!$AA$11)*1*(1-0.09)</f>
        <v>210.05913056249776</v>
      </c>
      <c r="AB262" s="71">
        <f>(SUBSIDIO!$J$262*SUBSIDIO!$V$262)*(0.12)/(1-0.12)</f>
        <v>10425.049200000001</v>
      </c>
      <c r="AC262" s="71">
        <f>((SUBSIDIO!$L$262*SUBSIDIO!$W$262)+(SUBSIDIO!$N$262*SUBSIDIO!$X$262))*(0.12)/(1-0.12)</f>
        <v>197331.20399160002</v>
      </c>
      <c r="AD262" s="71">
        <f ca="1">(SUBSIDIO!$J$262*SUBSIDIO!$Y$262)*(0.09)/(1-0.09)</f>
        <v>10163.852002113224</v>
      </c>
      <c r="AE262" s="71">
        <f ca="1">((SUBSIDIO!$L$262*SUBSIDIO!$Z$262)+(SUBSIDIO!$N$262*SUBSIDIO!$AA$262))*(0.09)/(1-0.09)</f>
        <v>138238.47710231092</v>
      </c>
      <c r="AF262" s="4" t="s">
        <v>1148</v>
      </c>
    </row>
    <row r="263" spans="1:32" ht="11.25" customHeight="1" x14ac:dyDescent="0.25">
      <c r="A263" s="4" t="s">
        <v>21</v>
      </c>
      <c r="B263" s="4" t="s">
        <v>33</v>
      </c>
      <c r="C263" s="4" t="s">
        <v>41</v>
      </c>
      <c r="D263" s="4" t="s">
        <v>52</v>
      </c>
      <c r="E263" s="4" t="s">
        <v>53</v>
      </c>
      <c r="F263" s="4" t="s">
        <v>25</v>
      </c>
      <c r="G263" s="4" t="s">
        <v>25</v>
      </c>
      <c r="H263" s="4" t="s">
        <v>36</v>
      </c>
      <c r="I263" s="5">
        <v>43952</v>
      </c>
      <c r="J263" s="6">
        <v>9845</v>
      </c>
      <c r="K263" s="70">
        <v>9845</v>
      </c>
      <c r="L263" s="6">
        <v>4612.7529999999997</v>
      </c>
      <c r="M263" s="71">
        <v>4612.7529999999997</v>
      </c>
      <c r="N263" s="6">
        <v>4612.7529999999997</v>
      </c>
      <c r="O263" s="71">
        <v>4612.7529999999997</v>
      </c>
      <c r="P263" s="6">
        <v>0</v>
      </c>
      <c r="Q263" s="4" t="s">
        <v>26</v>
      </c>
      <c r="R263" s="4">
        <v>0</v>
      </c>
      <c r="S263" s="4">
        <v>22</v>
      </c>
      <c r="T263" s="4">
        <v>23</v>
      </c>
      <c r="U263" s="4">
        <v>82</v>
      </c>
      <c r="V263" s="71">
        <f>IF(ISERROR(VLOOKUP($S$263,'TAR FIN'!$A$1:$O$120,15,0)),0,VLOOKUP($S$263,'TAR FIN'!$A$1:$O$120,15,0))*(1-0.12)</f>
        <v>7.7528000000000006</v>
      </c>
      <c r="W263" s="71">
        <f>IF(ISERROR(VLOOKUP($T$263,'TAR FIN'!$A$1:$O$120,15,0)),0,VLOOKUP($T$263,'TAR FIN'!$A$1:$O$120,15,0))*(1-0.12)</f>
        <v>74.316000000000003</v>
      </c>
      <c r="X263" s="71">
        <f>IF(ISERROR(VLOOKUP($U$263,'TAR FIN'!$A$1:$O$120,15,0)),0,VLOOKUP($U$263,'TAR FIN'!$A$1:$O$120,15,0))*(1-0.12)</f>
        <v>225.61439999999999</v>
      </c>
      <c r="Y263" s="71">
        <f ca="1">('TUSD BE'!$AM$28+'TUSD BF'!$AM$28+'TUSD CVA'!$AM$28)*1*(1-0.09)</f>
        <v>10.421644550274408</v>
      </c>
      <c r="Z263" s="71">
        <f ca="1">('TUSD BE'!$AM$29+'TUSD BF'!$AM$29+'TUSD CVA'!$AM$29)*1*(1-0.09)</f>
        <v>79.642619388381775</v>
      </c>
      <c r="AA263" s="71">
        <f>('TE BE'!$AA$11+'TE BF'!$AA$11+'TE CVA'!$AA$11)*1*(1-0.09)</f>
        <v>210.05913056249776</v>
      </c>
      <c r="AB263" s="71">
        <f>(SUBSIDIO!$J$263*SUBSIDIO!$V$263)*(0.12)/(1-0.12)</f>
        <v>10408.134</v>
      </c>
      <c r="AC263" s="71">
        <f>((SUBSIDIO!$L$263*SUBSIDIO!$W$263)+(SUBSIDIO!$N$263*SUBSIDIO!$X$263))*(0.12)/(1-0.12)</f>
        <v>188659.75259879997</v>
      </c>
      <c r="AD263" s="71">
        <f ca="1">(SUBSIDIO!$J$263*SUBSIDIO!$Y$263)*(0.09)/(1-0.09)</f>
        <v>10147.360608539164</v>
      </c>
      <c r="AE263" s="71">
        <f ca="1">((SUBSIDIO!$L$263*SUBSIDIO!$Z$263)+(SUBSIDIO!$N$263*SUBSIDIO!$AA$263))*(0.09)/(1-0.09)</f>
        <v>132163.77522769806</v>
      </c>
      <c r="AF263" s="4" t="s">
        <v>1148</v>
      </c>
    </row>
    <row r="264" spans="1:32" ht="11.25" customHeight="1" x14ac:dyDescent="0.25">
      <c r="A264" s="4" t="s">
        <v>21</v>
      </c>
      <c r="B264" s="4" t="s">
        <v>33</v>
      </c>
      <c r="C264" s="4" t="s">
        <v>41</v>
      </c>
      <c r="D264" s="4" t="s">
        <v>52</v>
      </c>
      <c r="E264" s="4" t="s">
        <v>53</v>
      </c>
      <c r="F264" s="4" t="s">
        <v>25</v>
      </c>
      <c r="G264" s="4" t="s">
        <v>25</v>
      </c>
      <c r="H264" s="4" t="s">
        <v>36</v>
      </c>
      <c r="I264" s="5">
        <v>43983</v>
      </c>
      <c r="J264" s="6">
        <v>9867</v>
      </c>
      <c r="K264" s="70">
        <v>9867</v>
      </c>
      <c r="L264" s="6">
        <v>4701.09</v>
      </c>
      <c r="M264" s="71">
        <v>4701.09</v>
      </c>
      <c r="N264" s="6">
        <v>4701.09</v>
      </c>
      <c r="O264" s="71">
        <v>4701.09</v>
      </c>
      <c r="P264" s="6">
        <v>0</v>
      </c>
      <c r="Q264" s="4" t="s">
        <v>26</v>
      </c>
      <c r="R264" s="4">
        <v>0</v>
      </c>
      <c r="S264" s="4">
        <v>22</v>
      </c>
      <c r="T264" s="4">
        <v>23</v>
      </c>
      <c r="U264" s="4">
        <v>82</v>
      </c>
      <c r="V264" s="71">
        <f>IF(ISERROR(VLOOKUP($S$264,'TAR FIN'!$A$1:$O$120,15,0)),0,VLOOKUP($S$264,'TAR FIN'!$A$1:$O$120,15,0))*(1-0.12)</f>
        <v>7.7528000000000006</v>
      </c>
      <c r="W264" s="71">
        <f>IF(ISERROR(VLOOKUP($T$264,'TAR FIN'!$A$1:$O$120,15,0)),0,VLOOKUP($T$264,'TAR FIN'!$A$1:$O$120,15,0))*(1-0.12)</f>
        <v>74.316000000000003</v>
      </c>
      <c r="X264" s="71">
        <f>IF(ISERROR(VLOOKUP($U$264,'TAR FIN'!$A$1:$O$120,15,0)),0,VLOOKUP($U$264,'TAR FIN'!$A$1:$O$120,15,0))*(1-0.12)</f>
        <v>225.61439999999999</v>
      </c>
      <c r="Y264" s="71">
        <f ca="1">('TUSD BE'!$AM$28+'TUSD BF'!$AM$28+'TUSD CVA'!$AM$28)*1*(1-0.09)</f>
        <v>10.421644550274408</v>
      </c>
      <c r="Z264" s="71">
        <f ca="1">('TUSD BE'!$AM$29+'TUSD BF'!$AM$29+'TUSD CVA'!$AM$29)*1*(1-0.09)</f>
        <v>79.642619388381775</v>
      </c>
      <c r="AA264" s="71">
        <f>('TE BE'!$AA$11+'TE BF'!$AA$11+'TE CVA'!$AA$11)*1*(1-0.09)</f>
        <v>210.05913056249776</v>
      </c>
      <c r="AB264" s="71">
        <f>(SUBSIDIO!$J$264*SUBSIDIO!$V$264)*(0.12)/(1-0.12)</f>
        <v>10431.392400000001</v>
      </c>
      <c r="AC264" s="71">
        <f>((SUBSIDIO!$L$264*SUBSIDIO!$W$264)+(SUBSIDIO!$N$264*SUBSIDIO!$X$264))*(0.12)/(1-0.12)</f>
        <v>192272.70056399997</v>
      </c>
      <c r="AD264" s="71">
        <f ca="1">(SUBSIDIO!$J$264*SUBSIDIO!$Y$264)*(0.09)/(1-0.09)</f>
        <v>10170.036274703496</v>
      </c>
      <c r="AE264" s="71">
        <f ca="1">((SUBSIDIO!$L$264*SUBSIDIO!$Z$264)+(SUBSIDIO!$N$264*SUBSIDIO!$AA$264))*(0.09)/(1-0.09)</f>
        <v>134694.79117680463</v>
      </c>
      <c r="AF264" s="4" t="s">
        <v>1148</v>
      </c>
    </row>
    <row r="265" spans="1:32" ht="11.25" customHeight="1" x14ac:dyDescent="0.25">
      <c r="A265" s="4" t="s">
        <v>21</v>
      </c>
      <c r="B265" s="4" t="s">
        <v>33</v>
      </c>
      <c r="C265" s="4" t="s">
        <v>41</v>
      </c>
      <c r="D265" s="4" t="s">
        <v>52</v>
      </c>
      <c r="E265" s="4" t="s">
        <v>53</v>
      </c>
      <c r="F265" s="4" t="s">
        <v>25</v>
      </c>
      <c r="G265" s="4" t="s">
        <v>25</v>
      </c>
      <c r="H265" s="4" t="s">
        <v>36</v>
      </c>
      <c r="I265" s="5">
        <v>44013</v>
      </c>
      <c r="J265" s="6">
        <v>9817</v>
      </c>
      <c r="K265" s="70">
        <v>9817</v>
      </c>
      <c r="L265" s="6">
        <v>4510.7780000000002</v>
      </c>
      <c r="M265" s="71">
        <v>4510.7780000000002</v>
      </c>
      <c r="N265" s="6">
        <v>4510.7780000000002</v>
      </c>
      <c r="O265" s="71">
        <v>4510.7780000000002</v>
      </c>
      <c r="P265" s="6">
        <v>0</v>
      </c>
      <c r="Q265" s="4" t="s">
        <v>26</v>
      </c>
      <c r="R265" s="4">
        <v>0</v>
      </c>
      <c r="S265" s="4">
        <v>22</v>
      </c>
      <c r="T265" s="4">
        <v>23</v>
      </c>
      <c r="U265" s="4">
        <v>82</v>
      </c>
      <c r="V265" s="71">
        <f>IF(ISERROR(VLOOKUP($S$265,'TAR FIN'!$A$1:$O$120,15,0)),0,VLOOKUP($S$265,'TAR FIN'!$A$1:$O$120,15,0))*(1-0.12)</f>
        <v>7.7528000000000006</v>
      </c>
      <c r="W265" s="71">
        <f>IF(ISERROR(VLOOKUP($T$265,'TAR FIN'!$A$1:$O$120,15,0)),0,VLOOKUP($T$265,'TAR FIN'!$A$1:$O$120,15,0))*(1-0.12)</f>
        <v>74.316000000000003</v>
      </c>
      <c r="X265" s="71">
        <f>IF(ISERROR(VLOOKUP($U$265,'TAR FIN'!$A$1:$O$120,15,0)),0,VLOOKUP($U$265,'TAR FIN'!$A$1:$O$120,15,0))*(1-0.12)</f>
        <v>225.61439999999999</v>
      </c>
      <c r="Y265" s="71">
        <f ca="1">('TUSD BE'!$AM$28+'TUSD BF'!$AM$28+'TUSD CVA'!$AM$28)*1*(1-0.09)</f>
        <v>10.421644550274408</v>
      </c>
      <c r="Z265" s="71">
        <f ca="1">('TUSD BE'!$AM$29+'TUSD BF'!$AM$29+'TUSD CVA'!$AM$29)*1*(1-0.09)</f>
        <v>79.642619388381775</v>
      </c>
      <c r="AA265" s="71">
        <f>('TE BE'!$AA$11+'TE BF'!$AA$11+'TE CVA'!$AA$11)*1*(1-0.09)</f>
        <v>210.05913056249776</v>
      </c>
      <c r="AB265" s="71">
        <f>(SUBSIDIO!$J$265*SUBSIDIO!$V$265)*(0.12)/(1-0.12)</f>
        <v>10378.5324</v>
      </c>
      <c r="AC265" s="71">
        <f>((SUBSIDIO!$L$265*SUBSIDIO!$W$265)+(SUBSIDIO!$N$265*SUBSIDIO!$X$265))*(0.12)/(1-0.12)</f>
        <v>184489.01588879997</v>
      </c>
      <c r="AD265" s="71">
        <f ca="1">(SUBSIDIO!$J$265*SUBSIDIO!$Y$265)*(0.09)/(1-0.09)</f>
        <v>10118.500669784557</v>
      </c>
      <c r="AE265" s="71">
        <f ca="1">((SUBSIDIO!$L$265*SUBSIDIO!$Z$265)+(SUBSIDIO!$N$265*SUBSIDIO!$AA$265))*(0.09)/(1-0.09)</f>
        <v>129242.00573801489</v>
      </c>
      <c r="AF265" s="4" t="s">
        <v>1148</v>
      </c>
    </row>
    <row r="266" spans="1:32" ht="11.25" customHeight="1" x14ac:dyDescent="0.25">
      <c r="A266" s="4" t="s">
        <v>21</v>
      </c>
      <c r="B266" s="4" t="s">
        <v>33</v>
      </c>
      <c r="C266" s="4" t="s">
        <v>41</v>
      </c>
      <c r="D266" s="4" t="s">
        <v>52</v>
      </c>
      <c r="E266" s="4" t="s">
        <v>53</v>
      </c>
      <c r="F266" s="4" t="s">
        <v>25</v>
      </c>
      <c r="G266" s="4" t="s">
        <v>25</v>
      </c>
      <c r="H266" s="4" t="s">
        <v>36</v>
      </c>
      <c r="I266" s="5">
        <v>44044</v>
      </c>
      <c r="J266" s="6">
        <v>9822</v>
      </c>
      <c r="K266" s="70">
        <v>9822</v>
      </c>
      <c r="L266" s="6">
        <v>4519.3159999999998</v>
      </c>
      <c r="M266" s="71">
        <v>4519.3159999999998</v>
      </c>
      <c r="N266" s="6">
        <v>4519.3159999999998</v>
      </c>
      <c r="O266" s="71">
        <v>4519.3159999999998</v>
      </c>
      <c r="P266" s="6">
        <v>0</v>
      </c>
      <c r="Q266" s="4" t="s">
        <v>26</v>
      </c>
      <c r="R266" s="4">
        <v>0</v>
      </c>
      <c r="S266" s="4">
        <v>22</v>
      </c>
      <c r="T266" s="4">
        <v>23</v>
      </c>
      <c r="U266" s="4">
        <v>82</v>
      </c>
      <c r="V266" s="71">
        <f>IF(ISERROR(VLOOKUP($S$266,'TAR FIN'!$A$1:$O$120,15,0)),0,VLOOKUP($S$266,'TAR FIN'!$A$1:$O$120,15,0))*(1-0.12)</f>
        <v>7.7528000000000006</v>
      </c>
      <c r="W266" s="71">
        <f>IF(ISERROR(VLOOKUP($T$266,'TAR FIN'!$A$1:$O$120,15,0)),0,VLOOKUP($T$266,'TAR FIN'!$A$1:$O$120,15,0))*(1-0.12)</f>
        <v>74.316000000000003</v>
      </c>
      <c r="X266" s="71">
        <f>IF(ISERROR(VLOOKUP($U$266,'TAR FIN'!$A$1:$O$120,15,0)),0,VLOOKUP($U$266,'TAR FIN'!$A$1:$O$120,15,0))*(1-0.12)</f>
        <v>225.61439999999999</v>
      </c>
      <c r="Y266" s="71">
        <f ca="1">('TUSD BE'!$AM$28+'TUSD BF'!$AM$28+'TUSD CVA'!$AM$28)*1*(1-0.09)</f>
        <v>10.421644550274408</v>
      </c>
      <c r="Z266" s="71">
        <f ca="1">('TUSD BE'!$AM$29+'TUSD BF'!$AM$29+'TUSD CVA'!$AM$29)*1*(1-0.09)</f>
        <v>79.642619388381775</v>
      </c>
      <c r="AA266" s="71">
        <f>('TE BE'!$AA$11+'TE BF'!$AA$11+'TE CVA'!$AA$11)*1*(1-0.09)</f>
        <v>210.05913056249776</v>
      </c>
      <c r="AB266" s="71">
        <f>(SUBSIDIO!$J$266*SUBSIDIO!$V$266)*(0.12)/(1-0.12)</f>
        <v>10383.8184</v>
      </c>
      <c r="AC266" s="71">
        <f>((SUBSIDIO!$L$266*SUBSIDIO!$W$266)+(SUBSIDIO!$N$266*SUBSIDIO!$X$266))*(0.12)/(1-0.12)</f>
        <v>184838.21667359996</v>
      </c>
      <c r="AD266" s="71">
        <f ca="1">(SUBSIDIO!$J$266*SUBSIDIO!$Y$266)*(0.09)/(1-0.09)</f>
        <v>10123.654230276452</v>
      </c>
      <c r="AE266" s="71">
        <f ca="1">((SUBSIDIO!$L$266*SUBSIDIO!$Z$266)+(SUBSIDIO!$N$266*SUBSIDIO!$AA$266))*(0.09)/(1-0.09)</f>
        <v>129486.63498933056</v>
      </c>
      <c r="AF266" s="4" t="s">
        <v>1148</v>
      </c>
    </row>
    <row r="267" spans="1:32" ht="11.25" customHeight="1" x14ac:dyDescent="0.25">
      <c r="A267" s="4" t="s">
        <v>59</v>
      </c>
      <c r="B267" s="4" t="s">
        <v>33</v>
      </c>
      <c r="C267" s="4" t="s">
        <v>41</v>
      </c>
      <c r="D267" s="4" t="s">
        <v>52</v>
      </c>
      <c r="E267" s="4" t="s">
        <v>53</v>
      </c>
      <c r="F267" s="4" t="s">
        <v>25</v>
      </c>
      <c r="G267" s="4" t="s">
        <v>25</v>
      </c>
      <c r="H267" s="4" t="s">
        <v>36</v>
      </c>
      <c r="I267" s="5">
        <v>44075</v>
      </c>
      <c r="J267" s="6">
        <v>9822</v>
      </c>
      <c r="K267" s="70">
        <v>9822</v>
      </c>
      <c r="L267" s="6">
        <v>4519.3159999999998</v>
      </c>
      <c r="M267" s="71">
        <v>4519.3159999999998</v>
      </c>
      <c r="N267" s="6">
        <v>4519.3159999999998</v>
      </c>
      <c r="O267" s="71">
        <v>4519.3159999999998</v>
      </c>
      <c r="P267" s="6">
        <v>0</v>
      </c>
      <c r="Q267" s="4" t="s">
        <v>26</v>
      </c>
      <c r="R267" s="4">
        <v>0</v>
      </c>
      <c r="S267" s="4">
        <v>22</v>
      </c>
      <c r="T267" s="4">
        <v>23</v>
      </c>
      <c r="U267" s="4">
        <v>82</v>
      </c>
      <c r="V267" s="71">
        <f>IF(ISERROR(VLOOKUP($S$267,'TAR FIN'!$A$1:$O$120,15,0)),0,VLOOKUP($S$267,'TAR FIN'!$A$1:$O$120,15,0))*(1-0.12)</f>
        <v>7.7528000000000006</v>
      </c>
      <c r="W267" s="71">
        <f>IF(ISERROR(VLOOKUP($T$267,'TAR FIN'!$A$1:$O$120,15,0)),0,VLOOKUP($T$267,'TAR FIN'!$A$1:$O$120,15,0))*(1-0.12)</f>
        <v>74.316000000000003</v>
      </c>
      <c r="X267" s="71">
        <f>IF(ISERROR(VLOOKUP($U$267,'TAR FIN'!$A$1:$O$120,15,0)),0,VLOOKUP($U$267,'TAR FIN'!$A$1:$O$120,15,0))*(1-0.12)</f>
        <v>225.61439999999999</v>
      </c>
      <c r="Y267" s="71">
        <f ca="1">('TUSD BE'!$AM$28+'TUSD BF'!$AM$28+'TUSD CVA'!$AM$28)*1*(1-0.09)</f>
        <v>10.421644550274408</v>
      </c>
      <c r="Z267" s="71">
        <f ca="1">('TUSD BE'!$AM$29+'TUSD BF'!$AM$29+'TUSD CVA'!$AM$29)*1*(1-0.09)</f>
        <v>79.642619388381775</v>
      </c>
      <c r="AA267" s="71">
        <f>('TE BE'!$AA$11+'TE BF'!$AA$11+'TE CVA'!$AA$11)*1*(1-0.09)</f>
        <v>210.05913056249776</v>
      </c>
      <c r="AB267" s="71">
        <f>(SUBSIDIO!$J$267*SUBSIDIO!$V$267)*(0.12)/(1-0.12)</f>
        <v>10383.8184</v>
      </c>
      <c r="AC267" s="71">
        <f>((SUBSIDIO!$L$267*SUBSIDIO!$W$267)+(SUBSIDIO!$N$267*SUBSIDIO!$X$267))*(0.12)/(1-0.12)</f>
        <v>184838.21667359996</v>
      </c>
      <c r="AD267" s="71">
        <f ca="1">(SUBSIDIO!$J$267*SUBSIDIO!$Y$267)*(0.09)/(1-0.09)</f>
        <v>10123.654230276452</v>
      </c>
      <c r="AE267" s="71">
        <f ca="1">((SUBSIDIO!$L$267*SUBSIDIO!$Z$267)+(SUBSIDIO!$N$267*SUBSIDIO!$AA$267))*(0.09)/(1-0.09)</f>
        <v>129486.63498933056</v>
      </c>
      <c r="AF267" s="4" t="s">
        <v>1148</v>
      </c>
    </row>
    <row r="268" spans="1:32" ht="11.25" customHeight="1" x14ac:dyDescent="0.25">
      <c r="A268" s="4" t="s">
        <v>21</v>
      </c>
      <c r="B268" s="4" t="s">
        <v>33</v>
      </c>
      <c r="C268" s="4" t="s">
        <v>41</v>
      </c>
      <c r="D268" s="4" t="s">
        <v>52</v>
      </c>
      <c r="E268" s="4" t="s">
        <v>53</v>
      </c>
      <c r="F268" s="4" t="s">
        <v>25</v>
      </c>
      <c r="G268" s="4" t="s">
        <v>25</v>
      </c>
      <c r="H268" s="4" t="s">
        <v>35</v>
      </c>
      <c r="I268" s="5">
        <v>43739</v>
      </c>
      <c r="J268" s="6">
        <v>7945</v>
      </c>
      <c r="K268" s="70">
        <v>7945</v>
      </c>
      <c r="L268" s="6">
        <v>389.94</v>
      </c>
      <c r="M268" s="71">
        <v>389.94</v>
      </c>
      <c r="N268" s="6">
        <v>389.94</v>
      </c>
      <c r="O268" s="71">
        <v>389.94</v>
      </c>
      <c r="P268" s="6">
        <v>0</v>
      </c>
      <c r="Q268" s="4" t="s">
        <v>26</v>
      </c>
      <c r="R268" s="4">
        <v>0</v>
      </c>
      <c r="S268" s="4">
        <v>21</v>
      </c>
      <c r="T268" s="4">
        <v>23</v>
      </c>
      <c r="U268" s="4">
        <v>81</v>
      </c>
      <c r="V268" s="71">
        <f>IF(ISERROR(VLOOKUP($S$268,'TAR FIN'!$A$1:$O$120,15,0)),0,VLOOKUP($S$268,'TAR FIN'!$A$1:$O$120,15,0))*(1-0.12)</f>
        <v>20.187200000000001</v>
      </c>
      <c r="W268" s="71">
        <f>IF(ISERROR(VLOOKUP($T$268,'TAR FIN'!$A$1:$O$120,15,0)),0,VLOOKUP($T$268,'TAR FIN'!$A$1:$O$120,15,0))*(1-0.12)</f>
        <v>74.316000000000003</v>
      </c>
      <c r="X268" s="71">
        <f>IF(ISERROR(VLOOKUP($U$268,'TAR FIN'!$A$1:$O$120,15,0)),0,VLOOKUP($U$268,'TAR FIN'!$A$1:$O$120,15,0))*(1-0.12)</f>
        <v>379.16559999999998</v>
      </c>
      <c r="Y268" s="71">
        <f ca="1">('TUSD BE'!$AM$27+'TUSD BF'!$AM$27+'TUSD CVA'!$AM$27)*1*(1-0.09)</f>
        <v>24.766817708975264</v>
      </c>
      <c r="Z268" s="71">
        <f ca="1">('TUSD BE'!$AM$29+'TUSD BF'!$AM$29+'TUSD CVA'!$AM$29)*1*(1-0.09)</f>
        <v>79.642619388381775</v>
      </c>
      <c r="AA268" s="71">
        <f>('TE BE'!$AA$10+'TE BF'!$AA$10+'TE CVA'!$AA$10)*1*(1-0.09)</f>
        <v>341.87954044517699</v>
      </c>
      <c r="AB268" s="71">
        <f>(SUBSIDIO!$J$268*SUBSIDIO!$V$268)*(0.12)/(1-0.12)</f>
        <v>21870.996000000003</v>
      </c>
      <c r="AC268" s="71">
        <f>((SUBSIDIO!$L$268*SUBSIDIO!$W$268)+(SUBSIDIO!$N$268*SUBSIDIO!$X$268))*(0.12)/(1-0.12)</f>
        <v>24113.265695999999</v>
      </c>
      <c r="AD268" s="71">
        <f ca="1">(SUBSIDIO!$J$268*SUBSIDIO!$Y$268)*(0.09)/(1-0.09)</f>
        <v>19461.003299783253</v>
      </c>
      <c r="AE268" s="71">
        <f ca="1">((SUBSIDIO!$L$268*SUBSIDIO!$Z$268)+(SUBSIDIO!$N$268*SUBSIDIO!$AA$268))*(0.09)/(1-0.09)</f>
        <v>16256.210539005288</v>
      </c>
      <c r="AF268" s="4" t="s">
        <v>1148</v>
      </c>
    </row>
    <row r="269" spans="1:32" ht="11.25" customHeight="1" x14ac:dyDescent="0.25">
      <c r="A269" s="4" t="s">
        <v>21</v>
      </c>
      <c r="B269" s="4" t="s">
        <v>33</v>
      </c>
      <c r="C269" s="4" t="s">
        <v>41</v>
      </c>
      <c r="D269" s="4" t="s">
        <v>52</v>
      </c>
      <c r="E269" s="4" t="s">
        <v>53</v>
      </c>
      <c r="F269" s="4" t="s">
        <v>25</v>
      </c>
      <c r="G269" s="4" t="s">
        <v>25</v>
      </c>
      <c r="H269" s="4" t="s">
        <v>35</v>
      </c>
      <c r="I269" s="5">
        <v>43770</v>
      </c>
      <c r="J269" s="6">
        <v>7973</v>
      </c>
      <c r="K269" s="70">
        <v>7973</v>
      </c>
      <c r="L269" s="6">
        <v>407.637</v>
      </c>
      <c r="M269" s="71">
        <v>407.637</v>
      </c>
      <c r="N269" s="6">
        <v>407.637</v>
      </c>
      <c r="O269" s="71">
        <v>407.637</v>
      </c>
      <c r="P269" s="6">
        <v>0</v>
      </c>
      <c r="Q269" s="4" t="s">
        <v>26</v>
      </c>
      <c r="R269" s="4">
        <v>0</v>
      </c>
      <c r="S269" s="4">
        <v>21</v>
      </c>
      <c r="T269" s="4">
        <v>23</v>
      </c>
      <c r="U269" s="4">
        <v>81</v>
      </c>
      <c r="V269" s="71">
        <f>IF(ISERROR(VLOOKUP($S$269,'TAR FIN'!$A$1:$O$120,15,0)),0,VLOOKUP($S$269,'TAR FIN'!$A$1:$O$120,15,0))*(1-0.12)</f>
        <v>20.187200000000001</v>
      </c>
      <c r="W269" s="71">
        <f>IF(ISERROR(VLOOKUP($T$269,'TAR FIN'!$A$1:$O$120,15,0)),0,VLOOKUP($T$269,'TAR FIN'!$A$1:$O$120,15,0))*(1-0.12)</f>
        <v>74.316000000000003</v>
      </c>
      <c r="X269" s="71">
        <f>IF(ISERROR(VLOOKUP($U$269,'TAR FIN'!$A$1:$O$120,15,0)),0,VLOOKUP($U$269,'TAR FIN'!$A$1:$O$120,15,0))*(1-0.12)</f>
        <v>379.16559999999998</v>
      </c>
      <c r="Y269" s="71">
        <f ca="1">('TUSD BE'!$AM$27+'TUSD BF'!$AM$27+'TUSD CVA'!$AM$27)*1*(1-0.09)</f>
        <v>24.766817708975264</v>
      </c>
      <c r="Z269" s="71">
        <f ca="1">('TUSD BE'!$AM$29+'TUSD BF'!$AM$29+'TUSD CVA'!$AM$29)*1*(1-0.09)</f>
        <v>79.642619388381775</v>
      </c>
      <c r="AA269" s="71">
        <f>('TE BE'!$AA$10+'TE BF'!$AA$10+'TE CVA'!$AA$10)*1*(1-0.09)</f>
        <v>341.87954044517699</v>
      </c>
      <c r="AB269" s="71">
        <f>(SUBSIDIO!$J$269*SUBSIDIO!$V$269)*(0.12)/(1-0.12)</f>
        <v>21948.074400000001</v>
      </c>
      <c r="AC269" s="71">
        <f>((SUBSIDIO!$L$269*SUBSIDIO!$W$269)+(SUBSIDIO!$N$269*SUBSIDIO!$X$269))*(0.12)/(1-0.12)</f>
        <v>25207.619860799998</v>
      </c>
      <c r="AD269" s="71">
        <f ca="1">(SUBSIDIO!$J$269*SUBSIDIO!$Y$269)*(0.09)/(1-0.09)</f>
        <v>19529.588333438878</v>
      </c>
      <c r="AE269" s="71">
        <f ca="1">((SUBSIDIO!$L$269*SUBSIDIO!$Z$269)+(SUBSIDIO!$N$269*SUBSIDIO!$AA$269))*(0.09)/(1-0.09)</f>
        <v>16993.980857281884</v>
      </c>
      <c r="AF269" s="4" t="s">
        <v>1148</v>
      </c>
    </row>
    <row r="270" spans="1:32" ht="11.25" customHeight="1" x14ac:dyDescent="0.25">
      <c r="A270" s="4" t="s">
        <v>21</v>
      </c>
      <c r="B270" s="4" t="s">
        <v>33</v>
      </c>
      <c r="C270" s="4" t="s">
        <v>41</v>
      </c>
      <c r="D270" s="4" t="s">
        <v>52</v>
      </c>
      <c r="E270" s="4" t="s">
        <v>53</v>
      </c>
      <c r="F270" s="4" t="s">
        <v>25</v>
      </c>
      <c r="G270" s="4" t="s">
        <v>25</v>
      </c>
      <c r="H270" s="4" t="s">
        <v>35</v>
      </c>
      <c r="I270" s="5">
        <v>43800</v>
      </c>
      <c r="J270" s="6">
        <v>7941</v>
      </c>
      <c r="K270" s="70">
        <v>7941</v>
      </c>
      <c r="L270" s="6">
        <v>362.37299999999999</v>
      </c>
      <c r="M270" s="71">
        <v>362.37299999999999</v>
      </c>
      <c r="N270" s="6">
        <v>362.37299999999999</v>
      </c>
      <c r="O270" s="71">
        <v>362.37299999999999</v>
      </c>
      <c r="P270" s="6">
        <v>0</v>
      </c>
      <c r="Q270" s="4" t="s">
        <v>26</v>
      </c>
      <c r="R270" s="4">
        <v>0</v>
      </c>
      <c r="S270" s="4">
        <v>21</v>
      </c>
      <c r="T270" s="4">
        <v>23</v>
      </c>
      <c r="U270" s="4">
        <v>81</v>
      </c>
      <c r="V270" s="71">
        <f>IF(ISERROR(VLOOKUP($S$270,'TAR FIN'!$A$1:$O$120,15,0)),0,VLOOKUP($S$270,'TAR FIN'!$A$1:$O$120,15,0))*(1-0.12)</f>
        <v>20.187200000000001</v>
      </c>
      <c r="W270" s="71">
        <f>IF(ISERROR(VLOOKUP($T$270,'TAR FIN'!$A$1:$O$120,15,0)),0,VLOOKUP($T$270,'TAR FIN'!$A$1:$O$120,15,0))*(1-0.12)</f>
        <v>74.316000000000003</v>
      </c>
      <c r="X270" s="71">
        <f>IF(ISERROR(VLOOKUP($U$270,'TAR FIN'!$A$1:$O$120,15,0)),0,VLOOKUP($U$270,'TAR FIN'!$A$1:$O$120,15,0))*(1-0.12)</f>
        <v>379.16559999999998</v>
      </c>
      <c r="Y270" s="71">
        <f ca="1">('TUSD BE'!$AM$27+'TUSD BF'!$AM$27+'TUSD CVA'!$AM$27)*1*(1-0.09)</f>
        <v>24.766817708975264</v>
      </c>
      <c r="Z270" s="71">
        <f ca="1">('TUSD BE'!$AM$29+'TUSD BF'!$AM$29+'TUSD CVA'!$AM$29)*1*(1-0.09)</f>
        <v>79.642619388381775</v>
      </c>
      <c r="AA270" s="71">
        <f>('TE BE'!$AA$10+'TE BF'!$AA$10+'TE CVA'!$AA$10)*1*(1-0.09)</f>
        <v>341.87954044517699</v>
      </c>
      <c r="AB270" s="71">
        <f>(SUBSIDIO!$J$270*SUBSIDIO!$V$270)*(0.12)/(1-0.12)</f>
        <v>21859.984800000002</v>
      </c>
      <c r="AC270" s="71">
        <f>((SUBSIDIO!$L$270*SUBSIDIO!$W$270)+(SUBSIDIO!$N$270*SUBSIDIO!$X$270))*(0.12)/(1-0.12)</f>
        <v>22408.566523199996</v>
      </c>
      <c r="AD270" s="71">
        <f ca="1">(SUBSIDIO!$J$270*SUBSIDIO!$Y$270)*(0.09)/(1-0.09)</f>
        <v>19451.20543783245</v>
      </c>
      <c r="AE270" s="71">
        <f ca="1">((SUBSIDIO!$L$270*SUBSIDIO!$Z$270)+(SUBSIDIO!$N$270*SUBSIDIO!$AA$270))*(0.09)/(1-0.09)</f>
        <v>15106.969743168083</v>
      </c>
      <c r="AF270" s="4" t="s">
        <v>1148</v>
      </c>
    </row>
    <row r="271" spans="1:32" ht="11.25" customHeight="1" x14ac:dyDescent="0.25">
      <c r="A271" s="4" t="s">
        <v>21</v>
      </c>
      <c r="B271" s="4" t="s">
        <v>33</v>
      </c>
      <c r="C271" s="4" t="s">
        <v>41</v>
      </c>
      <c r="D271" s="4" t="s">
        <v>52</v>
      </c>
      <c r="E271" s="4" t="s">
        <v>53</v>
      </c>
      <c r="F271" s="4" t="s">
        <v>25</v>
      </c>
      <c r="G271" s="4" t="s">
        <v>25</v>
      </c>
      <c r="H271" s="4" t="s">
        <v>35</v>
      </c>
      <c r="I271" s="5">
        <v>43831</v>
      </c>
      <c r="J271" s="6">
        <v>7921</v>
      </c>
      <c r="K271" s="70">
        <v>7921</v>
      </c>
      <c r="L271" s="6">
        <v>378.95400000000001</v>
      </c>
      <c r="M271" s="71">
        <v>378.95400000000001</v>
      </c>
      <c r="N271" s="6">
        <v>378.95400000000001</v>
      </c>
      <c r="O271" s="71">
        <v>378.95400000000001</v>
      </c>
      <c r="P271" s="6">
        <v>0</v>
      </c>
      <c r="Q271" s="4" t="s">
        <v>26</v>
      </c>
      <c r="R271" s="4">
        <v>0</v>
      </c>
      <c r="S271" s="4">
        <v>21</v>
      </c>
      <c r="T271" s="4">
        <v>23</v>
      </c>
      <c r="U271" s="4">
        <v>81</v>
      </c>
      <c r="V271" s="71">
        <f>IF(ISERROR(VLOOKUP($S$271,'TAR FIN'!$A$1:$O$120,15,0)),0,VLOOKUP($S$271,'TAR FIN'!$A$1:$O$120,15,0))*(1-0.12)</f>
        <v>20.187200000000001</v>
      </c>
      <c r="W271" s="71">
        <f>IF(ISERROR(VLOOKUP($T$271,'TAR FIN'!$A$1:$O$120,15,0)),0,VLOOKUP($T$271,'TAR FIN'!$A$1:$O$120,15,0))*(1-0.12)</f>
        <v>74.316000000000003</v>
      </c>
      <c r="X271" s="71">
        <f>IF(ISERROR(VLOOKUP($U$271,'TAR FIN'!$A$1:$O$120,15,0)),0,VLOOKUP($U$271,'TAR FIN'!$A$1:$O$120,15,0))*(1-0.12)</f>
        <v>379.16559999999998</v>
      </c>
      <c r="Y271" s="71">
        <f ca="1">('TUSD BE'!$AM$27+'TUSD BF'!$AM$27+'TUSD CVA'!$AM$27)*1*(1-0.09)</f>
        <v>24.766817708975264</v>
      </c>
      <c r="Z271" s="71">
        <f ca="1">('TUSD BE'!$AM$29+'TUSD BF'!$AM$29+'TUSD CVA'!$AM$29)*1*(1-0.09)</f>
        <v>79.642619388381775</v>
      </c>
      <c r="AA271" s="71">
        <f>('TE BE'!$AA$10+'TE BF'!$AA$10+'TE CVA'!$AA$10)*1*(1-0.09)</f>
        <v>341.87954044517699</v>
      </c>
      <c r="AB271" s="71">
        <f>(SUBSIDIO!$J$271*SUBSIDIO!$V$271)*(0.12)/(1-0.12)</f>
        <v>21804.928799999998</v>
      </c>
      <c r="AC271" s="71">
        <f>((SUBSIDIO!$L$271*SUBSIDIO!$W$271)+(SUBSIDIO!$N$271*SUBSIDIO!$X$271))*(0.12)/(1-0.12)</f>
        <v>23433.909033600001</v>
      </c>
      <c r="AD271" s="71">
        <f ca="1">(SUBSIDIO!$J$271*SUBSIDIO!$Y$271)*(0.09)/(1-0.09)</f>
        <v>19402.216128078435</v>
      </c>
      <c r="AE271" s="71">
        <f ca="1">((SUBSIDIO!$L$271*SUBSIDIO!$Z$271)+(SUBSIDIO!$N$271*SUBSIDIO!$AA$271))*(0.09)/(1-0.09)</f>
        <v>15798.215132067007</v>
      </c>
      <c r="AF271" s="4" t="s">
        <v>1148</v>
      </c>
    </row>
    <row r="272" spans="1:32" ht="11.25" customHeight="1" x14ac:dyDescent="0.25">
      <c r="A272" s="4" t="s">
        <v>21</v>
      </c>
      <c r="B272" s="4" t="s">
        <v>33</v>
      </c>
      <c r="C272" s="4" t="s">
        <v>41</v>
      </c>
      <c r="D272" s="4" t="s">
        <v>52</v>
      </c>
      <c r="E272" s="4" t="s">
        <v>53</v>
      </c>
      <c r="F272" s="4" t="s">
        <v>25</v>
      </c>
      <c r="G272" s="4" t="s">
        <v>25</v>
      </c>
      <c r="H272" s="4" t="s">
        <v>35</v>
      </c>
      <c r="I272" s="5">
        <v>43862</v>
      </c>
      <c r="J272" s="6">
        <v>7899</v>
      </c>
      <c r="K272" s="70">
        <v>7899</v>
      </c>
      <c r="L272" s="6">
        <v>402.07499999999999</v>
      </c>
      <c r="M272" s="71">
        <v>402.07499999999999</v>
      </c>
      <c r="N272" s="6">
        <v>402.07499999999999</v>
      </c>
      <c r="O272" s="71">
        <v>402.07499999999999</v>
      </c>
      <c r="P272" s="6">
        <v>0</v>
      </c>
      <c r="Q272" s="4" t="s">
        <v>26</v>
      </c>
      <c r="R272" s="4">
        <v>0</v>
      </c>
      <c r="S272" s="4">
        <v>21</v>
      </c>
      <c r="T272" s="4">
        <v>23</v>
      </c>
      <c r="U272" s="4">
        <v>81</v>
      </c>
      <c r="V272" s="71">
        <f>IF(ISERROR(VLOOKUP($S$272,'TAR FIN'!$A$1:$O$120,15,0)),0,VLOOKUP($S$272,'TAR FIN'!$A$1:$O$120,15,0))*(1-0.12)</f>
        <v>20.187200000000001</v>
      </c>
      <c r="W272" s="71">
        <f>IF(ISERROR(VLOOKUP($T$272,'TAR FIN'!$A$1:$O$120,15,0)),0,VLOOKUP($T$272,'TAR FIN'!$A$1:$O$120,15,0))*(1-0.12)</f>
        <v>74.316000000000003</v>
      </c>
      <c r="X272" s="71">
        <f>IF(ISERROR(VLOOKUP($U$272,'TAR FIN'!$A$1:$O$120,15,0)),0,VLOOKUP($U$272,'TAR FIN'!$A$1:$O$120,15,0))*(1-0.12)</f>
        <v>379.16559999999998</v>
      </c>
      <c r="Y272" s="71">
        <f ca="1">('TUSD BE'!$AM$27+'TUSD BF'!$AM$27+'TUSD CVA'!$AM$27)*1*(1-0.09)</f>
        <v>24.766817708975264</v>
      </c>
      <c r="Z272" s="71">
        <f ca="1">('TUSD BE'!$AM$29+'TUSD BF'!$AM$29+'TUSD CVA'!$AM$29)*1*(1-0.09)</f>
        <v>79.642619388381775</v>
      </c>
      <c r="AA272" s="71">
        <f>('TE BE'!$AA$10+'TE BF'!$AA$10+'TE CVA'!$AA$10)*1*(1-0.09)</f>
        <v>341.87954044517699</v>
      </c>
      <c r="AB272" s="71">
        <f>(SUBSIDIO!$J$272*SUBSIDIO!$V$272)*(0.12)/(1-0.12)</f>
        <v>21744.367200000001</v>
      </c>
      <c r="AC272" s="71">
        <f>((SUBSIDIO!$L$272*SUBSIDIO!$W$272)+(SUBSIDIO!$N$272*SUBSIDIO!$X$272))*(0.12)/(1-0.12)</f>
        <v>24863.674679999996</v>
      </c>
      <c r="AD272" s="71">
        <f ca="1">(SUBSIDIO!$J$272*SUBSIDIO!$Y$272)*(0.09)/(1-0.09)</f>
        <v>19348.327887349016</v>
      </c>
      <c r="AE272" s="71">
        <f ca="1">((SUBSIDIO!$L$272*SUBSIDIO!$Z$272)+(SUBSIDIO!$N$272*SUBSIDIO!$AA$272))*(0.09)/(1-0.09)</f>
        <v>16762.106612480253</v>
      </c>
      <c r="AF272" s="4" t="s">
        <v>1148</v>
      </c>
    </row>
    <row r="273" spans="1:32" ht="11.25" customHeight="1" x14ac:dyDescent="0.25">
      <c r="A273" s="4" t="s">
        <v>21</v>
      </c>
      <c r="B273" s="4" t="s">
        <v>33</v>
      </c>
      <c r="C273" s="4" t="s">
        <v>41</v>
      </c>
      <c r="D273" s="4" t="s">
        <v>52</v>
      </c>
      <c r="E273" s="4" t="s">
        <v>53</v>
      </c>
      <c r="F273" s="4" t="s">
        <v>25</v>
      </c>
      <c r="G273" s="4" t="s">
        <v>25</v>
      </c>
      <c r="H273" s="4" t="s">
        <v>35</v>
      </c>
      <c r="I273" s="5">
        <v>43891</v>
      </c>
      <c r="J273" s="6">
        <v>7933</v>
      </c>
      <c r="K273" s="70">
        <v>7933</v>
      </c>
      <c r="L273" s="6">
        <v>366.37299999999999</v>
      </c>
      <c r="M273" s="71">
        <v>366.37299999999999</v>
      </c>
      <c r="N273" s="6">
        <v>366.37299999999999</v>
      </c>
      <c r="O273" s="71">
        <v>366.37299999999999</v>
      </c>
      <c r="P273" s="6">
        <v>0</v>
      </c>
      <c r="Q273" s="4" t="s">
        <v>26</v>
      </c>
      <c r="R273" s="4">
        <v>0</v>
      </c>
      <c r="S273" s="4">
        <v>21</v>
      </c>
      <c r="T273" s="4">
        <v>23</v>
      </c>
      <c r="U273" s="4">
        <v>81</v>
      </c>
      <c r="V273" s="71">
        <f>IF(ISERROR(VLOOKUP($S$273,'TAR FIN'!$A$1:$O$120,15,0)),0,VLOOKUP($S$273,'TAR FIN'!$A$1:$O$120,15,0))*(1-0.12)</f>
        <v>20.187200000000001</v>
      </c>
      <c r="W273" s="71">
        <f>IF(ISERROR(VLOOKUP($T$273,'TAR FIN'!$A$1:$O$120,15,0)),0,VLOOKUP($T$273,'TAR FIN'!$A$1:$O$120,15,0))*(1-0.12)</f>
        <v>74.316000000000003</v>
      </c>
      <c r="X273" s="71">
        <f>IF(ISERROR(VLOOKUP($U$273,'TAR FIN'!$A$1:$O$120,15,0)),0,VLOOKUP($U$273,'TAR FIN'!$A$1:$O$120,15,0))*(1-0.12)</f>
        <v>379.16559999999998</v>
      </c>
      <c r="Y273" s="71">
        <f ca="1">('TUSD BE'!$AM$27+'TUSD BF'!$AM$27+'TUSD CVA'!$AM$27)*1*(1-0.09)</f>
        <v>24.766817708975264</v>
      </c>
      <c r="Z273" s="71">
        <f ca="1">('TUSD BE'!$AM$29+'TUSD BF'!$AM$29+'TUSD CVA'!$AM$29)*1*(1-0.09)</f>
        <v>79.642619388381775</v>
      </c>
      <c r="AA273" s="71">
        <f>('TE BE'!$AA$10+'TE BF'!$AA$10+'TE CVA'!$AA$10)*1*(1-0.09)</f>
        <v>341.87954044517699</v>
      </c>
      <c r="AB273" s="71">
        <f>(SUBSIDIO!$J$273*SUBSIDIO!$V$273)*(0.12)/(1-0.12)</f>
        <v>21837.962399999997</v>
      </c>
      <c r="AC273" s="71">
        <f>((SUBSIDIO!$L$273*SUBSIDIO!$W$273)+(SUBSIDIO!$N$273*SUBSIDIO!$X$273))*(0.12)/(1-0.12)</f>
        <v>22655.920123199998</v>
      </c>
      <c r="AD273" s="71">
        <f ca="1">(SUBSIDIO!$J$273*SUBSIDIO!$Y$273)*(0.09)/(1-0.09)</f>
        <v>19431.609713930844</v>
      </c>
      <c r="AE273" s="71">
        <f ca="1">((SUBSIDIO!$L$273*SUBSIDIO!$Z$273)+(SUBSIDIO!$N$273*SUBSIDIO!$AA$273))*(0.09)/(1-0.09)</f>
        <v>15273.7257624429</v>
      </c>
      <c r="AF273" s="4" t="s">
        <v>1148</v>
      </c>
    </row>
    <row r="274" spans="1:32" ht="11.25" customHeight="1" x14ac:dyDescent="0.25">
      <c r="A274" s="4" t="s">
        <v>21</v>
      </c>
      <c r="B274" s="4" t="s">
        <v>33</v>
      </c>
      <c r="C274" s="4" t="s">
        <v>41</v>
      </c>
      <c r="D274" s="4" t="s">
        <v>52</v>
      </c>
      <c r="E274" s="4" t="s">
        <v>53</v>
      </c>
      <c r="F274" s="4" t="s">
        <v>25</v>
      </c>
      <c r="G274" s="4" t="s">
        <v>25</v>
      </c>
      <c r="H274" s="4" t="s">
        <v>35</v>
      </c>
      <c r="I274" s="5">
        <v>43922</v>
      </c>
      <c r="J274" s="6">
        <v>7955</v>
      </c>
      <c r="K274" s="70">
        <v>7955</v>
      </c>
      <c r="L274" s="6">
        <v>416.745</v>
      </c>
      <c r="M274" s="71">
        <v>416.745</v>
      </c>
      <c r="N274" s="6">
        <v>416.745</v>
      </c>
      <c r="O274" s="71">
        <v>416.745</v>
      </c>
      <c r="P274" s="6">
        <v>0</v>
      </c>
      <c r="Q274" s="4" t="s">
        <v>26</v>
      </c>
      <c r="R274" s="4">
        <v>0</v>
      </c>
      <c r="S274" s="4">
        <v>21</v>
      </c>
      <c r="T274" s="4">
        <v>23</v>
      </c>
      <c r="U274" s="4">
        <v>81</v>
      </c>
      <c r="V274" s="71">
        <f>IF(ISERROR(VLOOKUP($S$274,'TAR FIN'!$A$1:$O$120,15,0)),0,VLOOKUP($S$274,'TAR FIN'!$A$1:$O$120,15,0))*(1-0.12)</f>
        <v>20.187200000000001</v>
      </c>
      <c r="W274" s="71">
        <f>IF(ISERROR(VLOOKUP($T$274,'TAR FIN'!$A$1:$O$120,15,0)),0,VLOOKUP($T$274,'TAR FIN'!$A$1:$O$120,15,0))*(1-0.12)</f>
        <v>74.316000000000003</v>
      </c>
      <c r="X274" s="71">
        <f>IF(ISERROR(VLOOKUP($U$274,'TAR FIN'!$A$1:$O$120,15,0)),0,VLOOKUP($U$274,'TAR FIN'!$A$1:$O$120,15,0))*(1-0.12)</f>
        <v>379.16559999999998</v>
      </c>
      <c r="Y274" s="71">
        <f ca="1">('TUSD BE'!$AM$27+'TUSD BF'!$AM$27+'TUSD CVA'!$AM$27)*1*(1-0.09)</f>
        <v>24.766817708975264</v>
      </c>
      <c r="Z274" s="71">
        <f ca="1">('TUSD BE'!$AM$29+'TUSD BF'!$AM$29+'TUSD CVA'!$AM$29)*1*(1-0.09)</f>
        <v>79.642619388381775</v>
      </c>
      <c r="AA274" s="71">
        <f>('TE BE'!$AA$10+'TE BF'!$AA$10+'TE CVA'!$AA$10)*1*(1-0.09)</f>
        <v>341.87954044517699</v>
      </c>
      <c r="AB274" s="71">
        <f>(SUBSIDIO!$J$274*SUBSIDIO!$V$274)*(0.12)/(1-0.12)</f>
        <v>21898.524000000001</v>
      </c>
      <c r="AC274" s="71">
        <f>((SUBSIDIO!$L$274*SUBSIDIO!$W$274)+(SUBSIDIO!$N$274*SUBSIDIO!$X$274))*(0.12)/(1-0.12)</f>
        <v>25770.844008</v>
      </c>
      <c r="AD274" s="71">
        <f ca="1">(SUBSIDIO!$J$274*SUBSIDIO!$Y$274)*(0.09)/(1-0.09)</f>
        <v>19485.497954660263</v>
      </c>
      <c r="AE274" s="71">
        <f ca="1">((SUBSIDIO!$L$274*SUBSIDIO!$Z$274)+(SUBSIDIO!$N$274*SUBSIDIO!$AA$274))*(0.09)/(1-0.09)</f>
        <v>17373.684313170634</v>
      </c>
      <c r="AF274" s="4" t="s">
        <v>1148</v>
      </c>
    </row>
    <row r="275" spans="1:32" ht="11.25" customHeight="1" x14ac:dyDescent="0.25">
      <c r="A275" s="4" t="s">
        <v>21</v>
      </c>
      <c r="B275" s="4" t="s">
        <v>33</v>
      </c>
      <c r="C275" s="4" t="s">
        <v>41</v>
      </c>
      <c r="D275" s="4" t="s">
        <v>52</v>
      </c>
      <c r="E275" s="4" t="s">
        <v>53</v>
      </c>
      <c r="F275" s="4" t="s">
        <v>25</v>
      </c>
      <c r="G275" s="4" t="s">
        <v>25</v>
      </c>
      <c r="H275" s="4" t="s">
        <v>35</v>
      </c>
      <c r="I275" s="5">
        <v>43952</v>
      </c>
      <c r="J275" s="6">
        <v>7917</v>
      </c>
      <c r="K275" s="70">
        <v>7917</v>
      </c>
      <c r="L275" s="6">
        <v>359.61</v>
      </c>
      <c r="M275" s="71">
        <v>359.61</v>
      </c>
      <c r="N275" s="6">
        <v>359.61</v>
      </c>
      <c r="O275" s="71">
        <v>359.61</v>
      </c>
      <c r="P275" s="6">
        <v>0</v>
      </c>
      <c r="Q275" s="4" t="s">
        <v>26</v>
      </c>
      <c r="R275" s="4">
        <v>0</v>
      </c>
      <c r="S275" s="4">
        <v>21</v>
      </c>
      <c r="T275" s="4">
        <v>23</v>
      </c>
      <c r="U275" s="4">
        <v>81</v>
      </c>
      <c r="V275" s="71">
        <f>IF(ISERROR(VLOOKUP($S$275,'TAR FIN'!$A$1:$O$120,15,0)),0,VLOOKUP($S$275,'TAR FIN'!$A$1:$O$120,15,0))*(1-0.12)</f>
        <v>20.187200000000001</v>
      </c>
      <c r="W275" s="71">
        <f>IF(ISERROR(VLOOKUP($T$275,'TAR FIN'!$A$1:$O$120,15,0)),0,VLOOKUP($T$275,'TAR FIN'!$A$1:$O$120,15,0))*(1-0.12)</f>
        <v>74.316000000000003</v>
      </c>
      <c r="X275" s="71">
        <f>IF(ISERROR(VLOOKUP($U$275,'TAR FIN'!$A$1:$O$120,15,0)),0,VLOOKUP($U$275,'TAR FIN'!$A$1:$O$120,15,0))*(1-0.12)</f>
        <v>379.16559999999998</v>
      </c>
      <c r="Y275" s="71">
        <f ca="1">('TUSD BE'!$AM$27+'TUSD BF'!$AM$27+'TUSD CVA'!$AM$27)*1*(1-0.09)</f>
        <v>24.766817708975264</v>
      </c>
      <c r="Z275" s="71">
        <f ca="1">('TUSD BE'!$AM$29+'TUSD BF'!$AM$29+'TUSD CVA'!$AM$29)*1*(1-0.09)</f>
        <v>79.642619388381775</v>
      </c>
      <c r="AA275" s="71">
        <f>('TE BE'!$AA$10+'TE BF'!$AA$10+'TE CVA'!$AA$10)*1*(1-0.09)</f>
        <v>341.87954044517699</v>
      </c>
      <c r="AB275" s="71">
        <f>(SUBSIDIO!$J$275*SUBSIDIO!$V$275)*(0.12)/(1-0.12)</f>
        <v>21793.917599999997</v>
      </c>
      <c r="AC275" s="71">
        <f>((SUBSIDIO!$L$275*SUBSIDIO!$W$275)+(SUBSIDIO!$N$275*SUBSIDIO!$X$275))*(0.12)/(1-0.12)</f>
        <v>22237.707024000003</v>
      </c>
      <c r="AD275" s="71">
        <f ca="1">(SUBSIDIO!$J$275*SUBSIDIO!$Y$275)*(0.09)/(1-0.09)</f>
        <v>19392.418266127632</v>
      </c>
      <c r="AE275" s="71">
        <f ca="1">((SUBSIDIO!$L$275*SUBSIDIO!$Z$275)+(SUBSIDIO!$N$275*SUBSIDIO!$AA$275))*(0.09)/(1-0.09)</f>
        <v>14991.783022854006</v>
      </c>
      <c r="AF275" s="4" t="s">
        <v>1148</v>
      </c>
    </row>
    <row r="276" spans="1:32" ht="11.25" customHeight="1" x14ac:dyDescent="0.25">
      <c r="A276" s="4" t="s">
        <v>21</v>
      </c>
      <c r="B276" s="4" t="s">
        <v>33</v>
      </c>
      <c r="C276" s="4" t="s">
        <v>41</v>
      </c>
      <c r="D276" s="4" t="s">
        <v>52</v>
      </c>
      <c r="E276" s="4" t="s">
        <v>53</v>
      </c>
      <c r="F276" s="4" t="s">
        <v>25</v>
      </c>
      <c r="G276" s="4" t="s">
        <v>25</v>
      </c>
      <c r="H276" s="4" t="s">
        <v>35</v>
      </c>
      <c r="I276" s="5">
        <v>43983</v>
      </c>
      <c r="J276" s="6">
        <v>7920</v>
      </c>
      <c r="K276" s="70">
        <v>7920</v>
      </c>
      <c r="L276" s="6">
        <v>396.50599999999997</v>
      </c>
      <c r="M276" s="71">
        <v>396.50599999999997</v>
      </c>
      <c r="N276" s="6">
        <v>396.50599999999997</v>
      </c>
      <c r="O276" s="71">
        <v>396.50599999999997</v>
      </c>
      <c r="P276" s="6">
        <v>0</v>
      </c>
      <c r="Q276" s="4" t="s">
        <v>26</v>
      </c>
      <c r="R276" s="4">
        <v>0</v>
      </c>
      <c r="S276" s="4">
        <v>21</v>
      </c>
      <c r="T276" s="4">
        <v>23</v>
      </c>
      <c r="U276" s="4">
        <v>81</v>
      </c>
      <c r="V276" s="71">
        <f>IF(ISERROR(VLOOKUP($S$276,'TAR FIN'!$A$1:$O$120,15,0)),0,VLOOKUP($S$276,'TAR FIN'!$A$1:$O$120,15,0))*(1-0.12)</f>
        <v>20.187200000000001</v>
      </c>
      <c r="W276" s="71">
        <f>IF(ISERROR(VLOOKUP($T$276,'TAR FIN'!$A$1:$O$120,15,0)),0,VLOOKUP($T$276,'TAR FIN'!$A$1:$O$120,15,0))*(1-0.12)</f>
        <v>74.316000000000003</v>
      </c>
      <c r="X276" s="71">
        <f>IF(ISERROR(VLOOKUP($U$276,'TAR FIN'!$A$1:$O$120,15,0)),0,VLOOKUP($U$276,'TAR FIN'!$A$1:$O$120,15,0))*(1-0.12)</f>
        <v>379.16559999999998</v>
      </c>
      <c r="Y276" s="71">
        <f ca="1">('TUSD BE'!$AM$27+'TUSD BF'!$AM$27+'TUSD CVA'!$AM$27)*1*(1-0.09)</f>
        <v>24.766817708975264</v>
      </c>
      <c r="Z276" s="71">
        <f ca="1">('TUSD BE'!$AM$29+'TUSD BF'!$AM$29+'TUSD CVA'!$AM$29)*1*(1-0.09)</f>
        <v>79.642619388381775</v>
      </c>
      <c r="AA276" s="71">
        <f>('TE BE'!$AA$10+'TE BF'!$AA$10+'TE CVA'!$AA$10)*1*(1-0.09)</f>
        <v>341.87954044517699</v>
      </c>
      <c r="AB276" s="71">
        <f>(SUBSIDIO!$J$276*SUBSIDIO!$V$276)*(0.12)/(1-0.12)</f>
        <v>21802.175999999999</v>
      </c>
      <c r="AC276" s="71">
        <f>((SUBSIDIO!$L$276*SUBSIDIO!$W$276)+(SUBSIDIO!$N$276*SUBSIDIO!$X$276))*(0.12)/(1-0.12)</f>
        <v>24519.296630399997</v>
      </c>
      <c r="AD276" s="71">
        <f ca="1">(SUBSIDIO!$J$276*SUBSIDIO!$Y$276)*(0.09)/(1-0.09)</f>
        <v>19399.766662590733</v>
      </c>
      <c r="AE276" s="71">
        <f ca="1">((SUBSIDIO!$L$276*SUBSIDIO!$Z$276)+(SUBSIDIO!$N$276*SUBSIDIO!$AA$276))*(0.09)/(1-0.09)</f>
        <v>16529.940544644891</v>
      </c>
      <c r="AF276" s="4" t="s">
        <v>1148</v>
      </c>
    </row>
    <row r="277" spans="1:32" ht="11.25" customHeight="1" x14ac:dyDescent="0.25">
      <c r="A277" s="4" t="s">
        <v>21</v>
      </c>
      <c r="B277" s="4" t="s">
        <v>33</v>
      </c>
      <c r="C277" s="4" t="s">
        <v>41</v>
      </c>
      <c r="D277" s="4" t="s">
        <v>52</v>
      </c>
      <c r="E277" s="4" t="s">
        <v>53</v>
      </c>
      <c r="F277" s="4" t="s">
        <v>25</v>
      </c>
      <c r="G277" s="4" t="s">
        <v>25</v>
      </c>
      <c r="H277" s="4" t="s">
        <v>35</v>
      </c>
      <c r="I277" s="5">
        <v>44013</v>
      </c>
      <c r="J277" s="6">
        <v>7912</v>
      </c>
      <c r="K277" s="70">
        <v>7912</v>
      </c>
      <c r="L277" s="6">
        <v>393.71199999999999</v>
      </c>
      <c r="M277" s="71">
        <v>393.71199999999999</v>
      </c>
      <c r="N277" s="6">
        <v>393.71199999999999</v>
      </c>
      <c r="O277" s="71">
        <v>393.71199999999999</v>
      </c>
      <c r="P277" s="6">
        <v>0</v>
      </c>
      <c r="Q277" s="4" t="s">
        <v>26</v>
      </c>
      <c r="R277" s="4">
        <v>0</v>
      </c>
      <c r="S277" s="4">
        <v>21</v>
      </c>
      <c r="T277" s="4">
        <v>23</v>
      </c>
      <c r="U277" s="4">
        <v>81</v>
      </c>
      <c r="V277" s="71">
        <f>IF(ISERROR(VLOOKUP($S$277,'TAR FIN'!$A$1:$O$120,15,0)),0,VLOOKUP($S$277,'TAR FIN'!$A$1:$O$120,15,0))*(1-0.12)</f>
        <v>20.187200000000001</v>
      </c>
      <c r="W277" s="71">
        <f>IF(ISERROR(VLOOKUP($T$277,'TAR FIN'!$A$1:$O$120,15,0)),0,VLOOKUP($T$277,'TAR FIN'!$A$1:$O$120,15,0))*(1-0.12)</f>
        <v>74.316000000000003</v>
      </c>
      <c r="X277" s="71">
        <f>IF(ISERROR(VLOOKUP($U$277,'TAR FIN'!$A$1:$O$120,15,0)),0,VLOOKUP($U$277,'TAR FIN'!$A$1:$O$120,15,0))*(1-0.12)</f>
        <v>379.16559999999998</v>
      </c>
      <c r="Y277" s="71">
        <f ca="1">('TUSD BE'!$AM$27+'TUSD BF'!$AM$27+'TUSD CVA'!$AM$27)*1*(1-0.09)</f>
        <v>24.766817708975264</v>
      </c>
      <c r="Z277" s="71">
        <f ca="1">('TUSD BE'!$AM$29+'TUSD BF'!$AM$29+'TUSD CVA'!$AM$29)*1*(1-0.09)</f>
        <v>79.642619388381775</v>
      </c>
      <c r="AA277" s="71">
        <f>('TE BE'!$AA$10+'TE BF'!$AA$10+'TE CVA'!$AA$10)*1*(1-0.09)</f>
        <v>341.87954044517699</v>
      </c>
      <c r="AB277" s="71">
        <f>(SUBSIDIO!$J$277*SUBSIDIO!$V$277)*(0.12)/(1-0.12)</f>
        <v>21780.153599999998</v>
      </c>
      <c r="AC277" s="71">
        <f>((SUBSIDIO!$L$277*SUBSIDIO!$W$277)+(SUBSIDIO!$N$277*SUBSIDIO!$X$277))*(0.12)/(1-0.12)</f>
        <v>24346.520140799999</v>
      </c>
      <c r="AD277" s="71">
        <f ca="1">(SUBSIDIO!$J$277*SUBSIDIO!$Y$277)*(0.09)/(1-0.09)</f>
        <v>19380.170938689127</v>
      </c>
      <c r="AE277" s="71">
        <f ca="1">((SUBSIDIO!$L$277*SUBSIDIO!$Z$277)+(SUBSIDIO!$N$277*SUBSIDIO!$AA$277))*(0.09)/(1-0.09)</f>
        <v>16413.461465181434</v>
      </c>
      <c r="AF277" s="4" t="s">
        <v>1148</v>
      </c>
    </row>
    <row r="278" spans="1:32" ht="11.25" customHeight="1" x14ac:dyDescent="0.25">
      <c r="A278" s="4" t="s">
        <v>21</v>
      </c>
      <c r="B278" s="4" t="s">
        <v>33</v>
      </c>
      <c r="C278" s="4" t="s">
        <v>41</v>
      </c>
      <c r="D278" s="4" t="s">
        <v>52</v>
      </c>
      <c r="E278" s="4" t="s">
        <v>53</v>
      </c>
      <c r="F278" s="4" t="s">
        <v>25</v>
      </c>
      <c r="G278" s="4" t="s">
        <v>25</v>
      </c>
      <c r="H278" s="4" t="s">
        <v>35</v>
      </c>
      <c r="I278" s="5">
        <v>44044</v>
      </c>
      <c r="J278" s="6">
        <v>7908</v>
      </c>
      <c r="K278" s="70">
        <v>7908</v>
      </c>
      <c r="L278" s="6">
        <v>394.91699999999997</v>
      </c>
      <c r="M278" s="71">
        <v>394.91699999999997</v>
      </c>
      <c r="N278" s="6">
        <v>394.91699999999997</v>
      </c>
      <c r="O278" s="71">
        <v>394.91699999999997</v>
      </c>
      <c r="P278" s="6">
        <v>0</v>
      </c>
      <c r="Q278" s="4" t="s">
        <v>26</v>
      </c>
      <c r="R278" s="4">
        <v>0</v>
      </c>
      <c r="S278" s="4">
        <v>21</v>
      </c>
      <c r="T278" s="4">
        <v>23</v>
      </c>
      <c r="U278" s="4">
        <v>81</v>
      </c>
      <c r="V278" s="71">
        <f>IF(ISERROR(VLOOKUP($S$278,'TAR FIN'!$A$1:$O$120,15,0)),0,VLOOKUP($S$278,'TAR FIN'!$A$1:$O$120,15,0))*(1-0.12)</f>
        <v>20.187200000000001</v>
      </c>
      <c r="W278" s="71">
        <f>IF(ISERROR(VLOOKUP($T$278,'TAR FIN'!$A$1:$O$120,15,0)),0,VLOOKUP($T$278,'TAR FIN'!$A$1:$O$120,15,0))*(1-0.12)</f>
        <v>74.316000000000003</v>
      </c>
      <c r="X278" s="71">
        <f>IF(ISERROR(VLOOKUP($U$278,'TAR FIN'!$A$1:$O$120,15,0)),0,VLOOKUP($U$278,'TAR FIN'!$A$1:$O$120,15,0))*(1-0.12)</f>
        <v>379.16559999999998</v>
      </c>
      <c r="Y278" s="71">
        <f ca="1">('TUSD BE'!$AM$27+'TUSD BF'!$AM$27+'TUSD CVA'!$AM$27)*1*(1-0.09)</f>
        <v>24.766817708975264</v>
      </c>
      <c r="Z278" s="71">
        <f ca="1">('TUSD BE'!$AM$29+'TUSD BF'!$AM$29+'TUSD CVA'!$AM$29)*1*(1-0.09)</f>
        <v>79.642619388381775</v>
      </c>
      <c r="AA278" s="71">
        <f>('TE BE'!$AA$10+'TE BF'!$AA$10+'TE CVA'!$AA$10)*1*(1-0.09)</f>
        <v>341.87954044517699</v>
      </c>
      <c r="AB278" s="71">
        <f>(SUBSIDIO!$J$278*SUBSIDIO!$V$278)*(0.12)/(1-0.12)</f>
        <v>21769.142400000001</v>
      </c>
      <c r="AC278" s="71">
        <f>((SUBSIDIO!$L$278*SUBSIDIO!$W$278)+(SUBSIDIO!$N$278*SUBSIDIO!$X$278))*(0.12)/(1-0.12)</f>
        <v>24421.035412799996</v>
      </c>
      <c r="AD278" s="71">
        <f ca="1">(SUBSIDIO!$J$278*SUBSIDIO!$Y$278)*(0.09)/(1-0.09)</f>
        <v>19370.37307673832</v>
      </c>
      <c r="AE278" s="71">
        <f ca="1">((SUBSIDIO!$L$278*SUBSIDIO!$Z$278)+(SUBSIDIO!$N$278*SUBSIDIO!$AA$278))*(0.09)/(1-0.09)</f>
        <v>16463.696715987971</v>
      </c>
      <c r="AF278" s="4" t="s">
        <v>1148</v>
      </c>
    </row>
    <row r="279" spans="1:32" ht="11.25" customHeight="1" x14ac:dyDescent="0.25">
      <c r="A279" s="4" t="s">
        <v>59</v>
      </c>
      <c r="B279" s="4" t="s">
        <v>33</v>
      </c>
      <c r="C279" s="4" t="s">
        <v>41</v>
      </c>
      <c r="D279" s="4" t="s">
        <v>52</v>
      </c>
      <c r="E279" s="4" t="s">
        <v>53</v>
      </c>
      <c r="F279" s="4" t="s">
        <v>25</v>
      </c>
      <c r="G279" s="4" t="s">
        <v>25</v>
      </c>
      <c r="H279" s="4" t="s">
        <v>35</v>
      </c>
      <c r="I279" s="5">
        <v>44075</v>
      </c>
      <c r="J279" s="6">
        <v>7908</v>
      </c>
      <c r="K279" s="70">
        <v>7908</v>
      </c>
      <c r="L279" s="6">
        <v>394.91699999999997</v>
      </c>
      <c r="M279" s="71">
        <v>394.91699999999997</v>
      </c>
      <c r="N279" s="6">
        <v>394.91699999999997</v>
      </c>
      <c r="O279" s="71">
        <v>394.91699999999997</v>
      </c>
      <c r="P279" s="6">
        <v>0</v>
      </c>
      <c r="Q279" s="4" t="s">
        <v>26</v>
      </c>
      <c r="R279" s="4">
        <v>0</v>
      </c>
      <c r="S279" s="4">
        <v>21</v>
      </c>
      <c r="T279" s="4">
        <v>23</v>
      </c>
      <c r="U279" s="4">
        <v>81</v>
      </c>
      <c r="V279" s="71">
        <f>IF(ISERROR(VLOOKUP($S$279,'TAR FIN'!$A$1:$O$120,15,0)),0,VLOOKUP($S$279,'TAR FIN'!$A$1:$O$120,15,0))*(1-0.12)</f>
        <v>20.187200000000001</v>
      </c>
      <c r="W279" s="71">
        <f>IF(ISERROR(VLOOKUP($T$279,'TAR FIN'!$A$1:$O$120,15,0)),0,VLOOKUP($T$279,'TAR FIN'!$A$1:$O$120,15,0))*(1-0.12)</f>
        <v>74.316000000000003</v>
      </c>
      <c r="X279" s="71">
        <f>IF(ISERROR(VLOOKUP($U$279,'TAR FIN'!$A$1:$O$120,15,0)),0,VLOOKUP($U$279,'TAR FIN'!$A$1:$O$120,15,0))*(1-0.12)</f>
        <v>379.16559999999998</v>
      </c>
      <c r="Y279" s="71">
        <f ca="1">('TUSD BE'!$AM$27+'TUSD BF'!$AM$27+'TUSD CVA'!$AM$27)*1*(1-0.09)</f>
        <v>24.766817708975264</v>
      </c>
      <c r="Z279" s="71">
        <f ca="1">('TUSD BE'!$AM$29+'TUSD BF'!$AM$29+'TUSD CVA'!$AM$29)*1*(1-0.09)</f>
        <v>79.642619388381775</v>
      </c>
      <c r="AA279" s="71">
        <f>('TE BE'!$AA$10+'TE BF'!$AA$10+'TE CVA'!$AA$10)*1*(1-0.09)</f>
        <v>341.87954044517699</v>
      </c>
      <c r="AB279" s="71">
        <f>(SUBSIDIO!$J$279*SUBSIDIO!$V$279)*(0.12)/(1-0.12)</f>
        <v>21769.142400000001</v>
      </c>
      <c r="AC279" s="71">
        <f>((SUBSIDIO!$L$279*SUBSIDIO!$W$279)+(SUBSIDIO!$N$279*SUBSIDIO!$X$279))*(0.12)/(1-0.12)</f>
        <v>24421.035412799996</v>
      </c>
      <c r="AD279" s="71">
        <f ca="1">(SUBSIDIO!$J$279*SUBSIDIO!$Y$279)*(0.09)/(1-0.09)</f>
        <v>19370.37307673832</v>
      </c>
      <c r="AE279" s="71">
        <f ca="1">((SUBSIDIO!$L$279*SUBSIDIO!$Z$279)+(SUBSIDIO!$N$279*SUBSIDIO!$AA$279))*(0.09)/(1-0.09)</f>
        <v>16463.696715987971</v>
      </c>
      <c r="AF279" s="4" t="s">
        <v>1148</v>
      </c>
    </row>
    <row r="280" spans="1:32" ht="11.25" customHeight="1" x14ac:dyDescent="0.25">
      <c r="A280" s="4" t="s">
        <v>21</v>
      </c>
      <c r="B280" s="4" t="s">
        <v>33</v>
      </c>
      <c r="C280" s="4" t="s">
        <v>34</v>
      </c>
      <c r="D280" s="4" t="s">
        <v>40</v>
      </c>
      <c r="E280" s="4" t="s">
        <v>25</v>
      </c>
      <c r="F280" s="4" t="s">
        <v>63</v>
      </c>
      <c r="G280" s="4" t="s">
        <v>25</v>
      </c>
      <c r="H280" s="4" t="s">
        <v>36</v>
      </c>
      <c r="I280" s="5">
        <v>43739</v>
      </c>
      <c r="J280" s="6">
        <v>0</v>
      </c>
      <c r="K280" s="6">
        <v>0</v>
      </c>
      <c r="L280" s="6">
        <v>9522.5750000000007</v>
      </c>
      <c r="M280" s="6">
        <v>9522.5750000000007</v>
      </c>
      <c r="N280" s="6">
        <v>0</v>
      </c>
      <c r="O280" s="6">
        <v>0</v>
      </c>
      <c r="P280" s="6">
        <v>0</v>
      </c>
      <c r="Q280" s="4" t="s">
        <v>60</v>
      </c>
      <c r="R280" s="4">
        <v>0</v>
      </c>
      <c r="S280" s="4">
        <v>0</v>
      </c>
      <c r="T280" s="4">
        <v>28</v>
      </c>
      <c r="U280" s="4">
        <v>0</v>
      </c>
      <c r="V280" s="6">
        <f>IF(ISERROR(VLOOKUP($S$280,'TAR FIN'!$A$1:$O$120,15,0)),0,VLOOKUP($S$280,'TAR FIN'!$A$1:$O$120,15,0))</f>
        <v>0</v>
      </c>
      <c r="W280" s="6">
        <f>IF(ISERROR(VLOOKUP($T$280,'TAR FIN'!$A$1:$O$120,15,0)),0,VLOOKUP($T$280,'TAR FIN'!$A$1:$O$120,15,0))</f>
        <v>84.45</v>
      </c>
      <c r="X280" s="6">
        <f>IF(ISERROR(VLOOKUP($U$280,'TAR FIN'!$A$1:$O$120,15,0)),0,VLOOKUP($U$280,'TAR FIN'!$A$1:$O$120,15,0))</f>
        <v>0</v>
      </c>
      <c r="Y280" s="6"/>
      <c r="Z280" s="6">
        <f ca="1">('TUSD BE'!$AM$34+'TUSD BF'!$AM$34+'TUSD CVA'!$AM$34)*1</f>
        <v>87.519361965254689</v>
      </c>
      <c r="AA280" s="6"/>
      <c r="AB280" s="6">
        <f t="shared" ref="AB280:AB321" si="18">(J280-K280)*V280</f>
        <v>0</v>
      </c>
      <c r="AC280" s="6">
        <f t="shared" ref="AC280:AC321" si="19">(L280-M280)*W280+(N280-O280)*X280</f>
        <v>0</v>
      </c>
      <c r="AD280" s="6">
        <f t="shared" ref="AD280:AD321" si="20">(J280-K280)*Y280</f>
        <v>0</v>
      </c>
      <c r="AE280" s="6">
        <f t="shared" ref="AE280:AE321" ca="1" si="21">(L280-M280)*Z280+(N280-O280)*AA280</f>
        <v>0</v>
      </c>
      <c r="AF280" s="4" t="s">
        <v>1150</v>
      </c>
    </row>
    <row r="281" spans="1:32" ht="11.25" customHeight="1" x14ac:dyDescent="0.25">
      <c r="A281" s="4" t="s">
        <v>21</v>
      </c>
      <c r="B281" s="4" t="s">
        <v>33</v>
      </c>
      <c r="C281" s="4" t="s">
        <v>34</v>
      </c>
      <c r="D281" s="4" t="s">
        <v>40</v>
      </c>
      <c r="E281" s="4" t="s">
        <v>25</v>
      </c>
      <c r="F281" s="4" t="s">
        <v>63</v>
      </c>
      <c r="G281" s="4" t="s">
        <v>25</v>
      </c>
      <c r="H281" s="4" t="s">
        <v>36</v>
      </c>
      <c r="I281" s="5">
        <v>43770</v>
      </c>
      <c r="J281" s="6">
        <v>0</v>
      </c>
      <c r="K281" s="6">
        <v>0</v>
      </c>
      <c r="L281" s="6">
        <v>9113.6360000000004</v>
      </c>
      <c r="M281" s="6">
        <v>9113.6360000000004</v>
      </c>
      <c r="N281" s="6">
        <v>0</v>
      </c>
      <c r="O281" s="6">
        <v>0</v>
      </c>
      <c r="P281" s="6">
        <v>0</v>
      </c>
      <c r="Q281" s="4" t="s">
        <v>60</v>
      </c>
      <c r="R281" s="4">
        <v>0</v>
      </c>
      <c r="S281" s="4">
        <v>0</v>
      </c>
      <c r="T281" s="4">
        <v>28</v>
      </c>
      <c r="U281" s="4">
        <v>0</v>
      </c>
      <c r="V281" s="6">
        <f>IF(ISERROR(VLOOKUP($S$281,'TAR FIN'!$A$1:$O$120,15,0)),0,VLOOKUP($S$281,'TAR FIN'!$A$1:$O$120,15,0))</f>
        <v>0</v>
      </c>
      <c r="W281" s="6">
        <f>IF(ISERROR(VLOOKUP($T$281,'TAR FIN'!$A$1:$O$120,15,0)),0,VLOOKUP($T$281,'TAR FIN'!$A$1:$O$120,15,0))</f>
        <v>84.45</v>
      </c>
      <c r="X281" s="6">
        <f>IF(ISERROR(VLOOKUP($U$281,'TAR FIN'!$A$1:$O$120,15,0)),0,VLOOKUP($U$281,'TAR FIN'!$A$1:$O$120,15,0))</f>
        <v>0</v>
      </c>
      <c r="Y281" s="6"/>
      <c r="Z281" s="6">
        <f ca="1">('TUSD BE'!$AM$34+'TUSD BF'!$AM$34+'TUSD CVA'!$AM$34)*1</f>
        <v>87.519361965254689</v>
      </c>
      <c r="AA281" s="6"/>
      <c r="AB281" s="6">
        <f t="shared" si="18"/>
        <v>0</v>
      </c>
      <c r="AC281" s="6">
        <f t="shared" si="19"/>
        <v>0</v>
      </c>
      <c r="AD281" s="6">
        <f t="shared" si="20"/>
        <v>0</v>
      </c>
      <c r="AE281" s="6">
        <f t="shared" ca="1" si="21"/>
        <v>0</v>
      </c>
      <c r="AF281" s="4" t="s">
        <v>1150</v>
      </c>
    </row>
    <row r="282" spans="1:32" ht="11.25" customHeight="1" x14ac:dyDescent="0.25">
      <c r="A282" s="4" t="s">
        <v>21</v>
      </c>
      <c r="B282" s="4" t="s">
        <v>33</v>
      </c>
      <c r="C282" s="4" t="s">
        <v>34</v>
      </c>
      <c r="D282" s="4" t="s">
        <v>40</v>
      </c>
      <c r="E282" s="4" t="s">
        <v>25</v>
      </c>
      <c r="F282" s="4" t="s">
        <v>63</v>
      </c>
      <c r="G282" s="4" t="s">
        <v>25</v>
      </c>
      <c r="H282" s="4" t="s">
        <v>36</v>
      </c>
      <c r="I282" s="5">
        <v>43800</v>
      </c>
      <c r="J282" s="6">
        <v>0</v>
      </c>
      <c r="K282" s="6">
        <v>0</v>
      </c>
      <c r="L282" s="6">
        <v>9277.1280000000006</v>
      </c>
      <c r="M282" s="6">
        <v>9277.1280000000006</v>
      </c>
      <c r="N282" s="6">
        <v>0</v>
      </c>
      <c r="O282" s="6">
        <v>0</v>
      </c>
      <c r="P282" s="6">
        <v>0</v>
      </c>
      <c r="Q282" s="4" t="s">
        <v>60</v>
      </c>
      <c r="R282" s="4">
        <v>0</v>
      </c>
      <c r="S282" s="4">
        <v>0</v>
      </c>
      <c r="T282" s="4">
        <v>28</v>
      </c>
      <c r="U282" s="4">
        <v>0</v>
      </c>
      <c r="V282" s="6">
        <f>IF(ISERROR(VLOOKUP($S$282,'TAR FIN'!$A$1:$O$120,15,0)),0,VLOOKUP($S$282,'TAR FIN'!$A$1:$O$120,15,0))</f>
        <v>0</v>
      </c>
      <c r="W282" s="6">
        <f>IF(ISERROR(VLOOKUP($T$282,'TAR FIN'!$A$1:$O$120,15,0)),0,VLOOKUP($T$282,'TAR FIN'!$A$1:$O$120,15,0))</f>
        <v>84.45</v>
      </c>
      <c r="X282" s="6">
        <f>IF(ISERROR(VLOOKUP($U$282,'TAR FIN'!$A$1:$O$120,15,0)),0,VLOOKUP($U$282,'TAR FIN'!$A$1:$O$120,15,0))</f>
        <v>0</v>
      </c>
      <c r="Y282" s="6"/>
      <c r="Z282" s="6">
        <f ca="1">('TUSD BE'!$AM$34+'TUSD BF'!$AM$34+'TUSD CVA'!$AM$34)*1</f>
        <v>87.519361965254689</v>
      </c>
      <c r="AA282" s="6"/>
      <c r="AB282" s="6">
        <f t="shared" si="18"/>
        <v>0</v>
      </c>
      <c r="AC282" s="6">
        <f t="shared" si="19"/>
        <v>0</v>
      </c>
      <c r="AD282" s="6">
        <f t="shared" si="20"/>
        <v>0</v>
      </c>
      <c r="AE282" s="6">
        <f t="shared" ca="1" si="21"/>
        <v>0</v>
      </c>
      <c r="AF282" s="4" t="s">
        <v>1150</v>
      </c>
    </row>
    <row r="283" spans="1:32" ht="11.25" customHeight="1" x14ac:dyDescent="0.25">
      <c r="A283" s="4" t="s">
        <v>21</v>
      </c>
      <c r="B283" s="4" t="s">
        <v>33</v>
      </c>
      <c r="C283" s="4" t="s">
        <v>34</v>
      </c>
      <c r="D283" s="4" t="s">
        <v>40</v>
      </c>
      <c r="E283" s="4" t="s">
        <v>25</v>
      </c>
      <c r="F283" s="4" t="s">
        <v>63</v>
      </c>
      <c r="G283" s="4" t="s">
        <v>25</v>
      </c>
      <c r="H283" s="4" t="s">
        <v>36</v>
      </c>
      <c r="I283" s="5">
        <v>43831</v>
      </c>
      <c r="J283" s="6">
        <v>0</v>
      </c>
      <c r="K283" s="6">
        <v>0</v>
      </c>
      <c r="L283" s="6">
        <v>9105.9320000000007</v>
      </c>
      <c r="M283" s="6">
        <v>9105.9320000000007</v>
      </c>
      <c r="N283" s="6">
        <v>0</v>
      </c>
      <c r="O283" s="6">
        <v>0</v>
      </c>
      <c r="P283" s="6">
        <v>0</v>
      </c>
      <c r="Q283" s="4" t="s">
        <v>60</v>
      </c>
      <c r="R283" s="4">
        <v>0</v>
      </c>
      <c r="S283" s="4">
        <v>0</v>
      </c>
      <c r="T283" s="4">
        <v>28</v>
      </c>
      <c r="U283" s="4">
        <v>0</v>
      </c>
      <c r="V283" s="6">
        <f>IF(ISERROR(VLOOKUP($S$283,'TAR FIN'!$A$1:$O$120,15,0)),0,VLOOKUP($S$283,'TAR FIN'!$A$1:$O$120,15,0))</f>
        <v>0</v>
      </c>
      <c r="W283" s="6">
        <f>IF(ISERROR(VLOOKUP($T$283,'TAR FIN'!$A$1:$O$120,15,0)),0,VLOOKUP($T$283,'TAR FIN'!$A$1:$O$120,15,0))</f>
        <v>84.45</v>
      </c>
      <c r="X283" s="6">
        <f>IF(ISERROR(VLOOKUP($U$283,'TAR FIN'!$A$1:$O$120,15,0)),0,VLOOKUP($U$283,'TAR FIN'!$A$1:$O$120,15,0))</f>
        <v>0</v>
      </c>
      <c r="Y283" s="6"/>
      <c r="Z283" s="6">
        <f ca="1">('TUSD BE'!$AM$34+'TUSD BF'!$AM$34+'TUSD CVA'!$AM$34)*1</f>
        <v>87.519361965254689</v>
      </c>
      <c r="AA283" s="6"/>
      <c r="AB283" s="6">
        <f t="shared" si="18"/>
        <v>0</v>
      </c>
      <c r="AC283" s="6">
        <f t="shared" si="19"/>
        <v>0</v>
      </c>
      <c r="AD283" s="6">
        <f t="shared" si="20"/>
        <v>0</v>
      </c>
      <c r="AE283" s="6">
        <f t="shared" ca="1" si="21"/>
        <v>0</v>
      </c>
      <c r="AF283" s="4" t="s">
        <v>1150</v>
      </c>
    </row>
    <row r="284" spans="1:32" ht="11.25" customHeight="1" x14ac:dyDescent="0.25">
      <c r="A284" s="4" t="s">
        <v>21</v>
      </c>
      <c r="B284" s="4" t="s">
        <v>33</v>
      </c>
      <c r="C284" s="4" t="s">
        <v>34</v>
      </c>
      <c r="D284" s="4" t="s">
        <v>40</v>
      </c>
      <c r="E284" s="4" t="s">
        <v>25</v>
      </c>
      <c r="F284" s="4" t="s">
        <v>63</v>
      </c>
      <c r="G284" s="4" t="s">
        <v>25</v>
      </c>
      <c r="H284" s="4" t="s">
        <v>36</v>
      </c>
      <c r="I284" s="5">
        <v>43862</v>
      </c>
      <c r="J284" s="6">
        <v>0</v>
      </c>
      <c r="K284" s="6">
        <v>0</v>
      </c>
      <c r="L284" s="6">
        <v>8777.8739999999998</v>
      </c>
      <c r="M284" s="6">
        <v>8777.8739999999998</v>
      </c>
      <c r="N284" s="6">
        <v>0</v>
      </c>
      <c r="O284" s="6">
        <v>0</v>
      </c>
      <c r="P284" s="6">
        <v>0</v>
      </c>
      <c r="Q284" s="4" t="s">
        <v>60</v>
      </c>
      <c r="R284" s="4">
        <v>0</v>
      </c>
      <c r="S284" s="4">
        <v>0</v>
      </c>
      <c r="T284" s="4">
        <v>28</v>
      </c>
      <c r="U284" s="4">
        <v>0</v>
      </c>
      <c r="V284" s="6">
        <f>IF(ISERROR(VLOOKUP($S$284,'TAR FIN'!$A$1:$O$120,15,0)),0,VLOOKUP($S$284,'TAR FIN'!$A$1:$O$120,15,0))</f>
        <v>0</v>
      </c>
      <c r="W284" s="6">
        <f>IF(ISERROR(VLOOKUP($T$284,'TAR FIN'!$A$1:$O$120,15,0)),0,VLOOKUP($T$284,'TAR FIN'!$A$1:$O$120,15,0))</f>
        <v>84.45</v>
      </c>
      <c r="X284" s="6">
        <f>IF(ISERROR(VLOOKUP($U$284,'TAR FIN'!$A$1:$O$120,15,0)),0,VLOOKUP($U$284,'TAR FIN'!$A$1:$O$120,15,0))</f>
        <v>0</v>
      </c>
      <c r="Y284" s="6"/>
      <c r="Z284" s="6">
        <f ca="1">('TUSD BE'!$AM$34+'TUSD BF'!$AM$34+'TUSD CVA'!$AM$34)*1</f>
        <v>87.519361965254689</v>
      </c>
      <c r="AA284" s="6"/>
      <c r="AB284" s="6">
        <f t="shared" si="18"/>
        <v>0</v>
      </c>
      <c r="AC284" s="6">
        <f t="shared" si="19"/>
        <v>0</v>
      </c>
      <c r="AD284" s="6">
        <f t="shared" si="20"/>
        <v>0</v>
      </c>
      <c r="AE284" s="6">
        <f t="shared" ca="1" si="21"/>
        <v>0</v>
      </c>
      <c r="AF284" s="4" t="s">
        <v>1150</v>
      </c>
    </row>
    <row r="285" spans="1:32" ht="11.25" customHeight="1" x14ac:dyDescent="0.25">
      <c r="A285" s="4" t="s">
        <v>21</v>
      </c>
      <c r="B285" s="4" t="s">
        <v>33</v>
      </c>
      <c r="C285" s="4" t="s">
        <v>34</v>
      </c>
      <c r="D285" s="4" t="s">
        <v>40</v>
      </c>
      <c r="E285" s="4" t="s">
        <v>25</v>
      </c>
      <c r="F285" s="4" t="s">
        <v>63</v>
      </c>
      <c r="G285" s="4" t="s">
        <v>25</v>
      </c>
      <c r="H285" s="4" t="s">
        <v>36</v>
      </c>
      <c r="I285" s="5">
        <v>43891</v>
      </c>
      <c r="J285" s="6">
        <v>0</v>
      </c>
      <c r="K285" s="6">
        <v>0</v>
      </c>
      <c r="L285" s="6">
        <v>9129.2980000000007</v>
      </c>
      <c r="M285" s="6">
        <v>9129.2980000000007</v>
      </c>
      <c r="N285" s="6">
        <v>0</v>
      </c>
      <c r="O285" s="6">
        <v>0</v>
      </c>
      <c r="P285" s="6">
        <v>0</v>
      </c>
      <c r="Q285" s="4" t="s">
        <v>60</v>
      </c>
      <c r="R285" s="4">
        <v>0</v>
      </c>
      <c r="S285" s="4">
        <v>0</v>
      </c>
      <c r="T285" s="4">
        <v>28</v>
      </c>
      <c r="U285" s="4">
        <v>0</v>
      </c>
      <c r="V285" s="6">
        <f>IF(ISERROR(VLOOKUP($S$285,'TAR FIN'!$A$1:$O$120,15,0)),0,VLOOKUP($S$285,'TAR FIN'!$A$1:$O$120,15,0))</f>
        <v>0</v>
      </c>
      <c r="W285" s="6">
        <f>IF(ISERROR(VLOOKUP($T$285,'TAR FIN'!$A$1:$O$120,15,0)),0,VLOOKUP($T$285,'TAR FIN'!$A$1:$O$120,15,0))</f>
        <v>84.45</v>
      </c>
      <c r="X285" s="6">
        <f>IF(ISERROR(VLOOKUP($U$285,'TAR FIN'!$A$1:$O$120,15,0)),0,VLOOKUP($U$285,'TAR FIN'!$A$1:$O$120,15,0))</f>
        <v>0</v>
      </c>
      <c r="Y285" s="6"/>
      <c r="Z285" s="6">
        <f ca="1">('TUSD BE'!$AM$34+'TUSD BF'!$AM$34+'TUSD CVA'!$AM$34)*1</f>
        <v>87.519361965254689</v>
      </c>
      <c r="AA285" s="6"/>
      <c r="AB285" s="6">
        <f t="shared" si="18"/>
        <v>0</v>
      </c>
      <c r="AC285" s="6">
        <f t="shared" si="19"/>
        <v>0</v>
      </c>
      <c r="AD285" s="6">
        <f t="shared" si="20"/>
        <v>0</v>
      </c>
      <c r="AE285" s="6">
        <f t="shared" ca="1" si="21"/>
        <v>0</v>
      </c>
      <c r="AF285" s="4" t="s">
        <v>1150</v>
      </c>
    </row>
    <row r="286" spans="1:32" ht="11.25" customHeight="1" x14ac:dyDescent="0.25">
      <c r="A286" s="4" t="s">
        <v>21</v>
      </c>
      <c r="B286" s="4" t="s">
        <v>33</v>
      </c>
      <c r="C286" s="4" t="s">
        <v>34</v>
      </c>
      <c r="D286" s="4" t="s">
        <v>40</v>
      </c>
      <c r="E286" s="4" t="s">
        <v>25</v>
      </c>
      <c r="F286" s="4" t="s">
        <v>63</v>
      </c>
      <c r="G286" s="4" t="s">
        <v>25</v>
      </c>
      <c r="H286" s="4" t="s">
        <v>36</v>
      </c>
      <c r="I286" s="5">
        <v>43922</v>
      </c>
      <c r="J286" s="6">
        <v>0</v>
      </c>
      <c r="K286" s="6">
        <v>0</v>
      </c>
      <c r="L286" s="6">
        <v>8006.4009999999998</v>
      </c>
      <c r="M286" s="6">
        <v>8006.4009999999998</v>
      </c>
      <c r="N286" s="6">
        <v>0</v>
      </c>
      <c r="O286" s="6">
        <v>0</v>
      </c>
      <c r="P286" s="6">
        <v>0</v>
      </c>
      <c r="Q286" s="4" t="s">
        <v>60</v>
      </c>
      <c r="R286" s="4">
        <v>0</v>
      </c>
      <c r="S286" s="4">
        <v>0</v>
      </c>
      <c r="T286" s="4">
        <v>28</v>
      </c>
      <c r="U286" s="4">
        <v>0</v>
      </c>
      <c r="V286" s="6">
        <f>IF(ISERROR(VLOOKUP($S$286,'TAR FIN'!$A$1:$O$120,15,0)),0,VLOOKUP($S$286,'TAR FIN'!$A$1:$O$120,15,0))</f>
        <v>0</v>
      </c>
      <c r="W286" s="6">
        <f>IF(ISERROR(VLOOKUP($T$286,'TAR FIN'!$A$1:$O$120,15,0)),0,VLOOKUP($T$286,'TAR FIN'!$A$1:$O$120,15,0))</f>
        <v>84.45</v>
      </c>
      <c r="X286" s="6">
        <f>IF(ISERROR(VLOOKUP($U$286,'TAR FIN'!$A$1:$O$120,15,0)),0,VLOOKUP($U$286,'TAR FIN'!$A$1:$O$120,15,0))</f>
        <v>0</v>
      </c>
      <c r="Y286" s="6"/>
      <c r="Z286" s="6">
        <f ca="1">('TUSD BE'!$AM$34+'TUSD BF'!$AM$34+'TUSD CVA'!$AM$34)*1</f>
        <v>87.519361965254689</v>
      </c>
      <c r="AA286" s="6"/>
      <c r="AB286" s="6">
        <f t="shared" si="18"/>
        <v>0</v>
      </c>
      <c r="AC286" s="6">
        <f t="shared" si="19"/>
        <v>0</v>
      </c>
      <c r="AD286" s="6">
        <f t="shared" si="20"/>
        <v>0</v>
      </c>
      <c r="AE286" s="6">
        <f t="shared" ca="1" si="21"/>
        <v>0</v>
      </c>
      <c r="AF286" s="4" t="s">
        <v>1150</v>
      </c>
    </row>
    <row r="287" spans="1:32" ht="11.25" customHeight="1" x14ac:dyDescent="0.25">
      <c r="A287" s="4" t="s">
        <v>21</v>
      </c>
      <c r="B287" s="4" t="s">
        <v>33</v>
      </c>
      <c r="C287" s="4" t="s">
        <v>34</v>
      </c>
      <c r="D287" s="4" t="s">
        <v>40</v>
      </c>
      <c r="E287" s="4" t="s">
        <v>25</v>
      </c>
      <c r="F287" s="4" t="s">
        <v>63</v>
      </c>
      <c r="G287" s="4" t="s">
        <v>25</v>
      </c>
      <c r="H287" s="4" t="s">
        <v>36</v>
      </c>
      <c r="I287" s="5">
        <v>43952</v>
      </c>
      <c r="J287" s="6">
        <v>0</v>
      </c>
      <c r="K287" s="6">
        <v>0</v>
      </c>
      <c r="L287" s="6">
        <v>8153.3289999999997</v>
      </c>
      <c r="M287" s="6">
        <v>8153.3289999999997</v>
      </c>
      <c r="N287" s="6">
        <v>0</v>
      </c>
      <c r="O287" s="6">
        <v>0</v>
      </c>
      <c r="P287" s="6">
        <v>0</v>
      </c>
      <c r="Q287" s="4" t="s">
        <v>60</v>
      </c>
      <c r="R287" s="4">
        <v>0</v>
      </c>
      <c r="S287" s="4">
        <v>0</v>
      </c>
      <c r="T287" s="4">
        <v>28</v>
      </c>
      <c r="U287" s="4">
        <v>0</v>
      </c>
      <c r="V287" s="6">
        <f>IF(ISERROR(VLOOKUP($S$287,'TAR FIN'!$A$1:$O$120,15,0)),0,VLOOKUP($S$287,'TAR FIN'!$A$1:$O$120,15,0))</f>
        <v>0</v>
      </c>
      <c r="W287" s="6">
        <f>IF(ISERROR(VLOOKUP($T$287,'TAR FIN'!$A$1:$O$120,15,0)),0,VLOOKUP($T$287,'TAR FIN'!$A$1:$O$120,15,0))</f>
        <v>84.45</v>
      </c>
      <c r="X287" s="6">
        <f>IF(ISERROR(VLOOKUP($U$287,'TAR FIN'!$A$1:$O$120,15,0)),0,VLOOKUP($U$287,'TAR FIN'!$A$1:$O$120,15,0))</f>
        <v>0</v>
      </c>
      <c r="Y287" s="6"/>
      <c r="Z287" s="6">
        <f ca="1">('TUSD BE'!$AM$34+'TUSD BF'!$AM$34+'TUSD CVA'!$AM$34)*1</f>
        <v>87.519361965254689</v>
      </c>
      <c r="AA287" s="6"/>
      <c r="AB287" s="6">
        <f t="shared" si="18"/>
        <v>0</v>
      </c>
      <c r="AC287" s="6">
        <f t="shared" si="19"/>
        <v>0</v>
      </c>
      <c r="AD287" s="6">
        <f t="shared" si="20"/>
        <v>0</v>
      </c>
      <c r="AE287" s="6">
        <f t="shared" ca="1" si="21"/>
        <v>0</v>
      </c>
      <c r="AF287" s="4" t="s">
        <v>1150</v>
      </c>
    </row>
    <row r="288" spans="1:32" ht="11.25" customHeight="1" x14ac:dyDescent="0.25">
      <c r="A288" s="4" t="s">
        <v>21</v>
      </c>
      <c r="B288" s="4" t="s">
        <v>33</v>
      </c>
      <c r="C288" s="4" t="s">
        <v>34</v>
      </c>
      <c r="D288" s="4" t="s">
        <v>40</v>
      </c>
      <c r="E288" s="4" t="s">
        <v>25</v>
      </c>
      <c r="F288" s="4" t="s">
        <v>63</v>
      </c>
      <c r="G288" s="4" t="s">
        <v>25</v>
      </c>
      <c r="H288" s="4" t="s">
        <v>36</v>
      </c>
      <c r="I288" s="5">
        <v>43983</v>
      </c>
      <c r="J288" s="6">
        <v>0</v>
      </c>
      <c r="K288" s="6">
        <v>0</v>
      </c>
      <c r="L288" s="6">
        <v>8153.3289999999997</v>
      </c>
      <c r="M288" s="6">
        <v>8153.3289999999997</v>
      </c>
      <c r="N288" s="6">
        <v>0</v>
      </c>
      <c r="O288" s="6">
        <v>0</v>
      </c>
      <c r="P288" s="6">
        <v>0</v>
      </c>
      <c r="Q288" s="4" t="s">
        <v>60</v>
      </c>
      <c r="R288" s="4">
        <v>0</v>
      </c>
      <c r="S288" s="4">
        <v>0</v>
      </c>
      <c r="T288" s="4">
        <v>28</v>
      </c>
      <c r="U288" s="4">
        <v>0</v>
      </c>
      <c r="V288" s="6">
        <f>IF(ISERROR(VLOOKUP($S$288,'TAR FIN'!$A$1:$O$120,15,0)),0,VLOOKUP($S$288,'TAR FIN'!$A$1:$O$120,15,0))</f>
        <v>0</v>
      </c>
      <c r="W288" s="6">
        <f>IF(ISERROR(VLOOKUP($T$288,'TAR FIN'!$A$1:$O$120,15,0)),0,VLOOKUP($T$288,'TAR FIN'!$A$1:$O$120,15,0))</f>
        <v>84.45</v>
      </c>
      <c r="X288" s="6">
        <f>IF(ISERROR(VLOOKUP($U$288,'TAR FIN'!$A$1:$O$120,15,0)),0,VLOOKUP($U$288,'TAR FIN'!$A$1:$O$120,15,0))</f>
        <v>0</v>
      </c>
      <c r="Y288" s="6"/>
      <c r="Z288" s="6">
        <f ca="1">('TUSD BE'!$AM$34+'TUSD BF'!$AM$34+'TUSD CVA'!$AM$34)*1</f>
        <v>87.519361965254689</v>
      </c>
      <c r="AA288" s="6"/>
      <c r="AB288" s="6">
        <f t="shared" si="18"/>
        <v>0</v>
      </c>
      <c r="AC288" s="6">
        <f t="shared" si="19"/>
        <v>0</v>
      </c>
      <c r="AD288" s="6">
        <f t="shared" si="20"/>
        <v>0</v>
      </c>
      <c r="AE288" s="6">
        <f t="shared" ca="1" si="21"/>
        <v>0</v>
      </c>
      <c r="AF288" s="4" t="s">
        <v>1150</v>
      </c>
    </row>
    <row r="289" spans="1:32" ht="11.25" customHeight="1" x14ac:dyDescent="0.25">
      <c r="A289" s="4" t="s">
        <v>21</v>
      </c>
      <c r="B289" s="4" t="s">
        <v>33</v>
      </c>
      <c r="C289" s="4" t="s">
        <v>34</v>
      </c>
      <c r="D289" s="4" t="s">
        <v>40</v>
      </c>
      <c r="E289" s="4" t="s">
        <v>25</v>
      </c>
      <c r="F289" s="4" t="s">
        <v>63</v>
      </c>
      <c r="G289" s="4" t="s">
        <v>25</v>
      </c>
      <c r="H289" s="4" t="s">
        <v>36</v>
      </c>
      <c r="I289" s="5">
        <v>44013</v>
      </c>
      <c r="J289" s="6">
        <v>0</v>
      </c>
      <c r="K289" s="6">
        <v>0</v>
      </c>
      <c r="L289" s="6">
        <v>7304.66</v>
      </c>
      <c r="M289" s="6">
        <v>7304.66</v>
      </c>
      <c r="N289" s="6">
        <v>0</v>
      </c>
      <c r="O289" s="6">
        <v>0</v>
      </c>
      <c r="P289" s="6">
        <v>0</v>
      </c>
      <c r="Q289" s="4" t="s">
        <v>60</v>
      </c>
      <c r="R289" s="4">
        <v>0</v>
      </c>
      <c r="S289" s="4">
        <v>0</v>
      </c>
      <c r="T289" s="4">
        <v>28</v>
      </c>
      <c r="U289" s="4">
        <v>0</v>
      </c>
      <c r="V289" s="6">
        <f>IF(ISERROR(VLOOKUP($S$289,'TAR FIN'!$A$1:$O$120,15,0)),0,VLOOKUP($S$289,'TAR FIN'!$A$1:$O$120,15,0))</f>
        <v>0</v>
      </c>
      <c r="W289" s="6">
        <f>IF(ISERROR(VLOOKUP($T$289,'TAR FIN'!$A$1:$O$120,15,0)),0,VLOOKUP($T$289,'TAR FIN'!$A$1:$O$120,15,0))</f>
        <v>84.45</v>
      </c>
      <c r="X289" s="6">
        <f>IF(ISERROR(VLOOKUP($U$289,'TAR FIN'!$A$1:$O$120,15,0)),0,VLOOKUP($U$289,'TAR FIN'!$A$1:$O$120,15,0))</f>
        <v>0</v>
      </c>
      <c r="Y289" s="6"/>
      <c r="Z289" s="6">
        <f ca="1">('TUSD BE'!$AM$34+'TUSD BF'!$AM$34+'TUSD CVA'!$AM$34)*1</f>
        <v>87.519361965254689</v>
      </c>
      <c r="AA289" s="6"/>
      <c r="AB289" s="6">
        <f t="shared" si="18"/>
        <v>0</v>
      </c>
      <c r="AC289" s="6">
        <f t="shared" si="19"/>
        <v>0</v>
      </c>
      <c r="AD289" s="6">
        <f t="shared" si="20"/>
        <v>0</v>
      </c>
      <c r="AE289" s="6">
        <f t="shared" ca="1" si="21"/>
        <v>0</v>
      </c>
      <c r="AF289" s="4" t="s">
        <v>1150</v>
      </c>
    </row>
    <row r="290" spans="1:32" ht="11.25" customHeight="1" x14ac:dyDescent="0.25">
      <c r="A290" s="4" t="s">
        <v>21</v>
      </c>
      <c r="B290" s="4" t="s">
        <v>33</v>
      </c>
      <c r="C290" s="4" t="s">
        <v>34</v>
      </c>
      <c r="D290" s="4" t="s">
        <v>40</v>
      </c>
      <c r="E290" s="4" t="s">
        <v>25</v>
      </c>
      <c r="F290" s="4" t="s">
        <v>63</v>
      </c>
      <c r="G290" s="4" t="s">
        <v>25</v>
      </c>
      <c r="H290" s="4" t="s">
        <v>36</v>
      </c>
      <c r="I290" s="5">
        <v>44044</v>
      </c>
      <c r="J290" s="6">
        <v>0</v>
      </c>
      <c r="K290" s="6">
        <v>0</v>
      </c>
      <c r="L290" s="6">
        <v>8652.2639999999992</v>
      </c>
      <c r="M290" s="6">
        <v>8652.2639999999992</v>
      </c>
      <c r="N290" s="6">
        <v>0</v>
      </c>
      <c r="O290" s="6">
        <v>0</v>
      </c>
      <c r="P290" s="6">
        <v>0</v>
      </c>
      <c r="Q290" s="4" t="s">
        <v>60</v>
      </c>
      <c r="R290" s="4">
        <v>0</v>
      </c>
      <c r="S290" s="4">
        <v>0</v>
      </c>
      <c r="T290" s="4">
        <v>28</v>
      </c>
      <c r="U290" s="4">
        <v>0</v>
      </c>
      <c r="V290" s="6">
        <f>IF(ISERROR(VLOOKUP($S$290,'TAR FIN'!$A$1:$O$120,15,0)),0,VLOOKUP($S$290,'TAR FIN'!$A$1:$O$120,15,0))</f>
        <v>0</v>
      </c>
      <c r="W290" s="6">
        <f>IF(ISERROR(VLOOKUP($T$290,'TAR FIN'!$A$1:$O$120,15,0)),0,VLOOKUP($T$290,'TAR FIN'!$A$1:$O$120,15,0))</f>
        <v>84.45</v>
      </c>
      <c r="X290" s="6">
        <f>IF(ISERROR(VLOOKUP($U$290,'TAR FIN'!$A$1:$O$120,15,0)),0,VLOOKUP($U$290,'TAR FIN'!$A$1:$O$120,15,0))</f>
        <v>0</v>
      </c>
      <c r="Y290" s="6"/>
      <c r="Z290" s="6">
        <f ca="1">('TUSD BE'!$AM$34+'TUSD BF'!$AM$34+'TUSD CVA'!$AM$34)*1</f>
        <v>87.519361965254689</v>
      </c>
      <c r="AA290" s="6"/>
      <c r="AB290" s="6">
        <f t="shared" si="18"/>
        <v>0</v>
      </c>
      <c r="AC290" s="6">
        <f t="shared" si="19"/>
        <v>0</v>
      </c>
      <c r="AD290" s="6">
        <f t="shared" si="20"/>
        <v>0</v>
      </c>
      <c r="AE290" s="6">
        <f t="shared" ca="1" si="21"/>
        <v>0</v>
      </c>
      <c r="AF290" s="4" t="s">
        <v>1150</v>
      </c>
    </row>
    <row r="291" spans="1:32" ht="11.25" customHeight="1" x14ac:dyDescent="0.25">
      <c r="A291" s="4" t="s">
        <v>59</v>
      </c>
      <c r="B291" s="4" t="s">
        <v>33</v>
      </c>
      <c r="C291" s="4" t="s">
        <v>34</v>
      </c>
      <c r="D291" s="4" t="s">
        <v>40</v>
      </c>
      <c r="E291" s="4" t="s">
        <v>25</v>
      </c>
      <c r="F291" s="4" t="s">
        <v>63</v>
      </c>
      <c r="G291" s="4" t="s">
        <v>25</v>
      </c>
      <c r="H291" s="4" t="s">
        <v>36</v>
      </c>
      <c r="I291" s="5">
        <v>44075</v>
      </c>
      <c r="J291" s="6">
        <v>0</v>
      </c>
      <c r="K291" s="6">
        <v>0</v>
      </c>
      <c r="L291" s="6">
        <v>8652.2639999999992</v>
      </c>
      <c r="M291" s="6">
        <v>8652.2639999999992</v>
      </c>
      <c r="N291" s="6">
        <v>0</v>
      </c>
      <c r="O291" s="6">
        <v>0</v>
      </c>
      <c r="P291" s="6">
        <v>0</v>
      </c>
      <c r="Q291" s="4" t="s">
        <v>60</v>
      </c>
      <c r="R291" s="4">
        <v>0</v>
      </c>
      <c r="S291" s="4">
        <v>0</v>
      </c>
      <c r="T291" s="4">
        <v>28</v>
      </c>
      <c r="U291" s="4">
        <v>0</v>
      </c>
      <c r="V291" s="6">
        <f>IF(ISERROR(VLOOKUP($S$291,'TAR FIN'!$A$1:$O$120,15,0)),0,VLOOKUP($S$291,'TAR FIN'!$A$1:$O$120,15,0))</f>
        <v>0</v>
      </c>
      <c r="W291" s="6">
        <f>IF(ISERROR(VLOOKUP($T$291,'TAR FIN'!$A$1:$O$120,15,0)),0,VLOOKUP($T$291,'TAR FIN'!$A$1:$O$120,15,0))</f>
        <v>84.45</v>
      </c>
      <c r="X291" s="6">
        <f>IF(ISERROR(VLOOKUP($U$291,'TAR FIN'!$A$1:$O$120,15,0)),0,VLOOKUP($U$291,'TAR FIN'!$A$1:$O$120,15,0))</f>
        <v>0</v>
      </c>
      <c r="Y291" s="6"/>
      <c r="Z291" s="6">
        <f ca="1">('TUSD BE'!$AM$34+'TUSD BF'!$AM$34+'TUSD CVA'!$AM$34)*1</f>
        <v>87.519361965254689</v>
      </c>
      <c r="AA291" s="6"/>
      <c r="AB291" s="6">
        <f t="shared" si="18"/>
        <v>0</v>
      </c>
      <c r="AC291" s="6">
        <f t="shared" si="19"/>
        <v>0</v>
      </c>
      <c r="AD291" s="6">
        <f t="shared" si="20"/>
        <v>0</v>
      </c>
      <c r="AE291" s="6">
        <f t="shared" ca="1" si="21"/>
        <v>0</v>
      </c>
      <c r="AF291" s="4" t="s">
        <v>1150</v>
      </c>
    </row>
    <row r="292" spans="1:32" ht="11.25" customHeight="1" x14ac:dyDescent="0.25">
      <c r="A292" s="4" t="s">
        <v>21</v>
      </c>
      <c r="B292" s="4" t="s">
        <v>33</v>
      </c>
      <c r="C292" s="4" t="s">
        <v>34</v>
      </c>
      <c r="D292" s="4" t="s">
        <v>40</v>
      </c>
      <c r="E292" s="4" t="s">
        <v>25</v>
      </c>
      <c r="F292" s="4" t="s">
        <v>63</v>
      </c>
      <c r="G292" s="4" t="s">
        <v>25</v>
      </c>
      <c r="H292" s="4" t="s">
        <v>25</v>
      </c>
      <c r="I292" s="5">
        <v>43739</v>
      </c>
      <c r="J292" s="6">
        <v>28658</v>
      </c>
      <c r="K292" s="6">
        <v>18105.797125640001</v>
      </c>
      <c r="L292" s="6">
        <v>0</v>
      </c>
      <c r="M292" s="6">
        <v>0</v>
      </c>
      <c r="N292" s="6">
        <v>0</v>
      </c>
      <c r="O292" s="6">
        <v>0</v>
      </c>
      <c r="P292" s="6">
        <v>38</v>
      </c>
      <c r="Q292" s="4" t="s">
        <v>60</v>
      </c>
      <c r="R292" s="4">
        <v>0</v>
      </c>
      <c r="S292" s="4">
        <v>26</v>
      </c>
      <c r="T292" s="4">
        <v>0</v>
      </c>
      <c r="U292" s="4">
        <v>0</v>
      </c>
      <c r="V292" s="6">
        <f>IF(ISERROR(VLOOKUP($S$292,'TAR FIN'!$A$1:$O$120,15,0)),0,VLOOKUP($S$292,'TAR FIN'!$A$1:$O$120,15,0))</f>
        <v>8.81</v>
      </c>
      <c r="W292" s="6">
        <f>IF(ISERROR(VLOOKUP($T$292,'TAR FIN'!$A$1:$O$120,15,0)),0,VLOOKUP($T$292,'TAR FIN'!$A$1:$O$120,15,0))</f>
        <v>0</v>
      </c>
      <c r="X292" s="6">
        <f>IF(ISERROR(VLOOKUP($U$292,'TAR FIN'!$A$1:$O$120,15,0)),0,VLOOKUP($U$292,'TAR FIN'!$A$1:$O$120,15,0))</f>
        <v>0</v>
      </c>
      <c r="Y292" s="6">
        <f ca="1">('TUSD BE'!$AM$32+'TUSD BF'!$AM$32+'TUSD CVA'!$AM$32)*1</f>
        <v>11.452356648653195</v>
      </c>
      <c r="Z292" s="6"/>
      <c r="AA292" s="6"/>
      <c r="AB292" s="6">
        <f t="shared" si="18"/>
        <v>92964.907323111591</v>
      </c>
      <c r="AC292" s="6">
        <f t="shared" si="19"/>
        <v>0</v>
      </c>
      <c r="AD292" s="6">
        <f t="shared" ca="1" si="20"/>
        <v>120847.59074611409</v>
      </c>
      <c r="AE292" s="6">
        <f t="shared" si="21"/>
        <v>0</v>
      </c>
      <c r="AF292" s="4" t="s">
        <v>1150</v>
      </c>
    </row>
    <row r="293" spans="1:32" ht="11.25" customHeight="1" x14ac:dyDescent="0.25">
      <c r="A293" s="4" t="s">
        <v>21</v>
      </c>
      <c r="B293" s="4" t="s">
        <v>33</v>
      </c>
      <c r="C293" s="4" t="s">
        <v>34</v>
      </c>
      <c r="D293" s="4" t="s">
        <v>40</v>
      </c>
      <c r="E293" s="4" t="s">
        <v>25</v>
      </c>
      <c r="F293" s="4" t="s">
        <v>63</v>
      </c>
      <c r="G293" s="4" t="s">
        <v>25</v>
      </c>
      <c r="H293" s="4" t="s">
        <v>25</v>
      </c>
      <c r="I293" s="5">
        <v>43770</v>
      </c>
      <c r="J293" s="6">
        <v>28818</v>
      </c>
      <c r="K293" s="6">
        <v>19538.206887960001</v>
      </c>
      <c r="L293" s="6">
        <v>0</v>
      </c>
      <c r="M293" s="6">
        <v>0</v>
      </c>
      <c r="N293" s="6">
        <v>0</v>
      </c>
      <c r="O293" s="6">
        <v>0</v>
      </c>
      <c r="P293" s="6">
        <v>39</v>
      </c>
      <c r="Q293" s="4" t="s">
        <v>60</v>
      </c>
      <c r="R293" s="4">
        <v>0</v>
      </c>
      <c r="S293" s="4">
        <v>26</v>
      </c>
      <c r="T293" s="4">
        <v>0</v>
      </c>
      <c r="U293" s="4">
        <v>0</v>
      </c>
      <c r="V293" s="6">
        <f>IF(ISERROR(VLOOKUP($S$293,'TAR FIN'!$A$1:$O$120,15,0)),0,VLOOKUP($S$293,'TAR FIN'!$A$1:$O$120,15,0))</f>
        <v>8.81</v>
      </c>
      <c r="W293" s="6">
        <f>IF(ISERROR(VLOOKUP($T$293,'TAR FIN'!$A$1:$O$120,15,0)),0,VLOOKUP($T$293,'TAR FIN'!$A$1:$O$120,15,0))</f>
        <v>0</v>
      </c>
      <c r="X293" s="6">
        <f>IF(ISERROR(VLOOKUP($U$293,'TAR FIN'!$A$1:$O$120,15,0)),0,VLOOKUP($U$293,'TAR FIN'!$A$1:$O$120,15,0))</f>
        <v>0</v>
      </c>
      <c r="Y293" s="6">
        <f ca="1">('TUSD BE'!$AM$32+'TUSD BF'!$AM$32+'TUSD CVA'!$AM$32)*1</f>
        <v>11.452356648653195</v>
      </c>
      <c r="Z293" s="6"/>
      <c r="AA293" s="6"/>
      <c r="AB293" s="6">
        <f t="shared" si="18"/>
        <v>81754.977317072393</v>
      </c>
      <c r="AC293" s="6">
        <f t="shared" si="19"/>
        <v>0</v>
      </c>
      <c r="AD293" s="6">
        <f t="shared" ca="1" si="20"/>
        <v>106275.5003447974</v>
      </c>
      <c r="AE293" s="6">
        <f t="shared" si="21"/>
        <v>0</v>
      </c>
      <c r="AF293" s="4" t="s">
        <v>1150</v>
      </c>
    </row>
    <row r="294" spans="1:32" ht="11.25" customHeight="1" x14ac:dyDescent="0.25">
      <c r="A294" s="4" t="s">
        <v>21</v>
      </c>
      <c r="B294" s="4" t="s">
        <v>33</v>
      </c>
      <c r="C294" s="4" t="s">
        <v>34</v>
      </c>
      <c r="D294" s="4" t="s">
        <v>40</v>
      </c>
      <c r="E294" s="4" t="s">
        <v>25</v>
      </c>
      <c r="F294" s="4" t="s">
        <v>63</v>
      </c>
      <c r="G294" s="4" t="s">
        <v>25</v>
      </c>
      <c r="H294" s="4" t="s">
        <v>25</v>
      </c>
      <c r="I294" s="5">
        <v>43800</v>
      </c>
      <c r="J294" s="6">
        <v>28738</v>
      </c>
      <c r="K294" s="6">
        <v>18304.5297207</v>
      </c>
      <c r="L294" s="6">
        <v>0</v>
      </c>
      <c r="M294" s="6">
        <v>0</v>
      </c>
      <c r="N294" s="6">
        <v>0</v>
      </c>
      <c r="O294" s="6">
        <v>0</v>
      </c>
      <c r="P294" s="6">
        <v>39</v>
      </c>
      <c r="Q294" s="4" t="s">
        <v>60</v>
      </c>
      <c r="R294" s="4">
        <v>0</v>
      </c>
      <c r="S294" s="4">
        <v>26</v>
      </c>
      <c r="T294" s="4">
        <v>0</v>
      </c>
      <c r="U294" s="4">
        <v>0</v>
      </c>
      <c r="V294" s="6">
        <f>IF(ISERROR(VLOOKUP($S$294,'TAR FIN'!$A$1:$O$120,15,0)),0,VLOOKUP($S$294,'TAR FIN'!$A$1:$O$120,15,0))</f>
        <v>8.81</v>
      </c>
      <c r="W294" s="6">
        <f>IF(ISERROR(VLOOKUP($T$294,'TAR FIN'!$A$1:$O$120,15,0)),0,VLOOKUP($T$294,'TAR FIN'!$A$1:$O$120,15,0))</f>
        <v>0</v>
      </c>
      <c r="X294" s="6">
        <f>IF(ISERROR(VLOOKUP($U$294,'TAR FIN'!$A$1:$O$120,15,0)),0,VLOOKUP($U$294,'TAR FIN'!$A$1:$O$120,15,0))</f>
        <v>0</v>
      </c>
      <c r="Y294" s="6">
        <f ca="1">('TUSD BE'!$AM$32+'TUSD BF'!$AM$32+'TUSD CVA'!$AM$32)*1</f>
        <v>11.452356648653195</v>
      </c>
      <c r="Z294" s="6"/>
      <c r="AA294" s="6"/>
      <c r="AB294" s="6">
        <f t="shared" si="18"/>
        <v>91918.873160632997</v>
      </c>
      <c r="AC294" s="6">
        <f t="shared" si="19"/>
        <v>0</v>
      </c>
      <c r="AD294" s="6">
        <f t="shared" ca="1" si="20"/>
        <v>119487.82272166686</v>
      </c>
      <c r="AE294" s="6">
        <f t="shared" si="21"/>
        <v>0</v>
      </c>
      <c r="AF294" s="4" t="s">
        <v>1150</v>
      </c>
    </row>
    <row r="295" spans="1:32" ht="11.25" customHeight="1" x14ac:dyDescent="0.25">
      <c r="A295" s="4" t="s">
        <v>21</v>
      </c>
      <c r="B295" s="4" t="s">
        <v>33</v>
      </c>
      <c r="C295" s="4" t="s">
        <v>34</v>
      </c>
      <c r="D295" s="4" t="s">
        <v>40</v>
      </c>
      <c r="E295" s="4" t="s">
        <v>25</v>
      </c>
      <c r="F295" s="4" t="s">
        <v>63</v>
      </c>
      <c r="G295" s="4" t="s">
        <v>25</v>
      </c>
      <c r="H295" s="4" t="s">
        <v>25</v>
      </c>
      <c r="I295" s="5">
        <v>43831</v>
      </c>
      <c r="J295" s="6">
        <v>30386</v>
      </c>
      <c r="K295" s="6">
        <v>19479.92555236</v>
      </c>
      <c r="L295" s="6">
        <v>0</v>
      </c>
      <c r="M295" s="6">
        <v>0</v>
      </c>
      <c r="N295" s="6">
        <v>0</v>
      </c>
      <c r="O295" s="6">
        <v>0</v>
      </c>
      <c r="P295" s="6">
        <v>42</v>
      </c>
      <c r="Q295" s="4" t="s">
        <v>60</v>
      </c>
      <c r="R295" s="4">
        <v>0</v>
      </c>
      <c r="S295" s="4">
        <v>26</v>
      </c>
      <c r="T295" s="4">
        <v>0</v>
      </c>
      <c r="U295" s="4">
        <v>0</v>
      </c>
      <c r="V295" s="6">
        <f>IF(ISERROR(VLOOKUP($S$295,'TAR FIN'!$A$1:$O$120,15,0)),0,VLOOKUP($S$295,'TAR FIN'!$A$1:$O$120,15,0))</f>
        <v>8.81</v>
      </c>
      <c r="W295" s="6">
        <f>IF(ISERROR(VLOOKUP($T$295,'TAR FIN'!$A$1:$O$120,15,0)),0,VLOOKUP($T$295,'TAR FIN'!$A$1:$O$120,15,0))</f>
        <v>0</v>
      </c>
      <c r="X295" s="6">
        <f>IF(ISERROR(VLOOKUP($U$295,'TAR FIN'!$A$1:$O$120,15,0)),0,VLOOKUP($U$295,'TAR FIN'!$A$1:$O$120,15,0))</f>
        <v>0</v>
      </c>
      <c r="Y295" s="6">
        <f ca="1">('TUSD BE'!$AM$32+'TUSD BF'!$AM$32+'TUSD CVA'!$AM$32)*1</f>
        <v>11.452356648653195</v>
      </c>
      <c r="Z295" s="6"/>
      <c r="AA295" s="6"/>
      <c r="AB295" s="6">
        <f t="shared" si="18"/>
        <v>96082.515883708402</v>
      </c>
      <c r="AC295" s="6">
        <f t="shared" si="19"/>
        <v>0</v>
      </c>
      <c r="AD295" s="6">
        <f t="shared" ca="1" si="20"/>
        <v>124900.25421113668</v>
      </c>
      <c r="AE295" s="6">
        <f t="shared" si="21"/>
        <v>0</v>
      </c>
      <c r="AF295" s="4" t="s">
        <v>1150</v>
      </c>
    </row>
    <row r="296" spans="1:32" ht="11.25" customHeight="1" x14ac:dyDescent="0.25">
      <c r="A296" s="4" t="s">
        <v>21</v>
      </c>
      <c r="B296" s="4" t="s">
        <v>33</v>
      </c>
      <c r="C296" s="4" t="s">
        <v>34</v>
      </c>
      <c r="D296" s="4" t="s">
        <v>40</v>
      </c>
      <c r="E296" s="4" t="s">
        <v>25</v>
      </c>
      <c r="F296" s="4" t="s">
        <v>63</v>
      </c>
      <c r="G296" s="4" t="s">
        <v>25</v>
      </c>
      <c r="H296" s="4" t="s">
        <v>25</v>
      </c>
      <c r="I296" s="5">
        <v>43862</v>
      </c>
      <c r="J296" s="6">
        <v>30729</v>
      </c>
      <c r="K296" s="6">
        <v>19578.240551940002</v>
      </c>
      <c r="L296" s="6">
        <v>0</v>
      </c>
      <c r="M296" s="6">
        <v>0</v>
      </c>
      <c r="N296" s="6">
        <v>0</v>
      </c>
      <c r="O296" s="6">
        <v>0</v>
      </c>
      <c r="P296" s="6">
        <v>43</v>
      </c>
      <c r="Q296" s="4" t="s">
        <v>60</v>
      </c>
      <c r="R296" s="4">
        <v>0</v>
      </c>
      <c r="S296" s="4">
        <v>26</v>
      </c>
      <c r="T296" s="4">
        <v>0</v>
      </c>
      <c r="U296" s="4">
        <v>0</v>
      </c>
      <c r="V296" s="6">
        <f>IF(ISERROR(VLOOKUP($S$296,'TAR FIN'!$A$1:$O$120,15,0)),0,VLOOKUP($S$296,'TAR FIN'!$A$1:$O$120,15,0))</f>
        <v>8.81</v>
      </c>
      <c r="W296" s="6">
        <f>IF(ISERROR(VLOOKUP($T$296,'TAR FIN'!$A$1:$O$120,15,0)),0,VLOOKUP($T$296,'TAR FIN'!$A$1:$O$120,15,0))</f>
        <v>0</v>
      </c>
      <c r="X296" s="6">
        <f>IF(ISERROR(VLOOKUP($U$296,'TAR FIN'!$A$1:$O$120,15,0)),0,VLOOKUP($U$296,'TAR FIN'!$A$1:$O$120,15,0))</f>
        <v>0</v>
      </c>
      <c r="Y296" s="6">
        <f ca="1">('TUSD BE'!$AM$32+'TUSD BF'!$AM$32+'TUSD CVA'!$AM$32)*1</f>
        <v>11.452356648653195</v>
      </c>
      <c r="Z296" s="6"/>
      <c r="AA296" s="6"/>
      <c r="AB296" s="6">
        <f t="shared" si="18"/>
        <v>98238.190737408586</v>
      </c>
      <c r="AC296" s="6">
        <f t="shared" si="19"/>
        <v>0</v>
      </c>
      <c r="AD296" s="6">
        <f t="shared" ca="1" si="20"/>
        <v>127702.47410252235</v>
      </c>
      <c r="AE296" s="6">
        <f t="shared" si="21"/>
        <v>0</v>
      </c>
      <c r="AF296" s="4" t="s">
        <v>1150</v>
      </c>
    </row>
    <row r="297" spans="1:32" ht="11.25" customHeight="1" x14ac:dyDescent="0.25">
      <c r="A297" s="4" t="s">
        <v>21</v>
      </c>
      <c r="B297" s="4" t="s">
        <v>33</v>
      </c>
      <c r="C297" s="4" t="s">
        <v>34</v>
      </c>
      <c r="D297" s="4" t="s">
        <v>40</v>
      </c>
      <c r="E297" s="4" t="s">
        <v>25</v>
      </c>
      <c r="F297" s="4" t="s">
        <v>63</v>
      </c>
      <c r="G297" s="4" t="s">
        <v>25</v>
      </c>
      <c r="H297" s="4" t="s">
        <v>25</v>
      </c>
      <c r="I297" s="5">
        <v>43891</v>
      </c>
      <c r="J297" s="6">
        <v>30674</v>
      </c>
      <c r="K297" s="6">
        <v>20339.552416539998</v>
      </c>
      <c r="L297" s="6">
        <v>0</v>
      </c>
      <c r="M297" s="6">
        <v>0</v>
      </c>
      <c r="N297" s="6">
        <v>0</v>
      </c>
      <c r="O297" s="6">
        <v>0</v>
      </c>
      <c r="P297" s="6">
        <v>44</v>
      </c>
      <c r="Q297" s="4" t="s">
        <v>60</v>
      </c>
      <c r="R297" s="4">
        <v>0</v>
      </c>
      <c r="S297" s="4">
        <v>26</v>
      </c>
      <c r="T297" s="4">
        <v>0</v>
      </c>
      <c r="U297" s="4">
        <v>0</v>
      </c>
      <c r="V297" s="6">
        <f>IF(ISERROR(VLOOKUP($S$297,'TAR FIN'!$A$1:$O$120,15,0)),0,VLOOKUP($S$297,'TAR FIN'!$A$1:$O$120,15,0))</f>
        <v>8.81</v>
      </c>
      <c r="W297" s="6">
        <f>IF(ISERROR(VLOOKUP($T$297,'TAR FIN'!$A$1:$O$120,15,0)),0,VLOOKUP($T$297,'TAR FIN'!$A$1:$O$120,15,0))</f>
        <v>0</v>
      </c>
      <c r="X297" s="6">
        <f>IF(ISERROR(VLOOKUP($U$297,'TAR FIN'!$A$1:$O$120,15,0)),0,VLOOKUP($U$297,'TAR FIN'!$A$1:$O$120,15,0))</f>
        <v>0</v>
      </c>
      <c r="Y297" s="6">
        <f ca="1">('TUSD BE'!$AM$32+'TUSD BF'!$AM$32+'TUSD CVA'!$AM$32)*1</f>
        <v>11.452356648653195</v>
      </c>
      <c r="Z297" s="6"/>
      <c r="AA297" s="6"/>
      <c r="AB297" s="6">
        <f t="shared" si="18"/>
        <v>91046.483210282619</v>
      </c>
      <c r="AC297" s="6">
        <f t="shared" si="19"/>
        <v>0</v>
      </c>
      <c r="AD297" s="6">
        <f t="shared" ca="1" si="20"/>
        <v>118353.77949259609</v>
      </c>
      <c r="AE297" s="6">
        <f t="shared" si="21"/>
        <v>0</v>
      </c>
      <c r="AF297" s="4" t="s">
        <v>1150</v>
      </c>
    </row>
    <row r="298" spans="1:32" ht="11.25" customHeight="1" x14ac:dyDescent="0.25">
      <c r="A298" s="4" t="s">
        <v>21</v>
      </c>
      <c r="B298" s="4" t="s">
        <v>33</v>
      </c>
      <c r="C298" s="4" t="s">
        <v>34</v>
      </c>
      <c r="D298" s="4" t="s">
        <v>40</v>
      </c>
      <c r="E298" s="4" t="s">
        <v>25</v>
      </c>
      <c r="F298" s="4" t="s">
        <v>63</v>
      </c>
      <c r="G298" s="4" t="s">
        <v>25</v>
      </c>
      <c r="H298" s="4" t="s">
        <v>25</v>
      </c>
      <c r="I298" s="5">
        <v>43922</v>
      </c>
      <c r="J298" s="6">
        <v>31233</v>
      </c>
      <c r="K298" s="6">
        <v>20999.21989407</v>
      </c>
      <c r="L298" s="6">
        <v>0</v>
      </c>
      <c r="M298" s="6">
        <v>0</v>
      </c>
      <c r="N298" s="6">
        <v>0</v>
      </c>
      <c r="O298" s="6">
        <v>0</v>
      </c>
      <c r="P298" s="6">
        <v>46</v>
      </c>
      <c r="Q298" s="4" t="s">
        <v>60</v>
      </c>
      <c r="R298" s="4">
        <v>0</v>
      </c>
      <c r="S298" s="4">
        <v>26</v>
      </c>
      <c r="T298" s="4">
        <v>0</v>
      </c>
      <c r="U298" s="4">
        <v>0</v>
      </c>
      <c r="V298" s="6">
        <f>IF(ISERROR(VLOOKUP($S$298,'TAR FIN'!$A$1:$O$120,15,0)),0,VLOOKUP($S$298,'TAR FIN'!$A$1:$O$120,15,0))</f>
        <v>8.81</v>
      </c>
      <c r="W298" s="6">
        <f>IF(ISERROR(VLOOKUP($T$298,'TAR FIN'!$A$1:$O$120,15,0)),0,VLOOKUP($T$298,'TAR FIN'!$A$1:$O$120,15,0))</f>
        <v>0</v>
      </c>
      <c r="X298" s="6">
        <f>IF(ISERROR(VLOOKUP($U$298,'TAR FIN'!$A$1:$O$120,15,0)),0,VLOOKUP($U$298,'TAR FIN'!$A$1:$O$120,15,0))</f>
        <v>0</v>
      </c>
      <c r="Y298" s="6">
        <f ca="1">('TUSD BE'!$AM$32+'TUSD BF'!$AM$32+'TUSD CVA'!$AM$32)*1</f>
        <v>11.452356648653195</v>
      </c>
      <c r="Z298" s="6"/>
      <c r="AA298" s="6"/>
      <c r="AB298" s="6">
        <f t="shared" si="18"/>
        <v>90159.6027332433</v>
      </c>
      <c r="AC298" s="6">
        <f t="shared" si="19"/>
        <v>0</v>
      </c>
      <c r="AD298" s="6">
        <f t="shared" ca="1" si="20"/>
        <v>117200.89963700224</v>
      </c>
      <c r="AE298" s="6">
        <f t="shared" si="21"/>
        <v>0</v>
      </c>
      <c r="AF298" s="4" t="s">
        <v>1150</v>
      </c>
    </row>
    <row r="299" spans="1:32" ht="11.25" customHeight="1" x14ac:dyDescent="0.25">
      <c r="A299" s="4" t="s">
        <v>21</v>
      </c>
      <c r="B299" s="4" t="s">
        <v>33</v>
      </c>
      <c r="C299" s="4" t="s">
        <v>34</v>
      </c>
      <c r="D299" s="4" t="s">
        <v>40</v>
      </c>
      <c r="E299" s="4" t="s">
        <v>25</v>
      </c>
      <c r="F299" s="4" t="s">
        <v>63</v>
      </c>
      <c r="G299" s="4" t="s">
        <v>25</v>
      </c>
      <c r="H299" s="4" t="s">
        <v>25</v>
      </c>
      <c r="I299" s="5">
        <v>43952</v>
      </c>
      <c r="J299" s="6">
        <v>31789</v>
      </c>
      <c r="K299" s="6">
        <v>21260.29278389</v>
      </c>
      <c r="L299" s="6">
        <v>0</v>
      </c>
      <c r="M299" s="6">
        <v>0</v>
      </c>
      <c r="N299" s="6">
        <v>0</v>
      </c>
      <c r="O299" s="6">
        <v>0</v>
      </c>
      <c r="P299" s="6">
        <v>48</v>
      </c>
      <c r="Q299" s="4" t="s">
        <v>60</v>
      </c>
      <c r="R299" s="4">
        <v>0</v>
      </c>
      <c r="S299" s="4">
        <v>26</v>
      </c>
      <c r="T299" s="4">
        <v>0</v>
      </c>
      <c r="U299" s="4">
        <v>0</v>
      </c>
      <c r="V299" s="6">
        <f>IF(ISERROR(VLOOKUP($S$299,'TAR FIN'!$A$1:$O$120,15,0)),0,VLOOKUP($S$299,'TAR FIN'!$A$1:$O$120,15,0))</f>
        <v>8.81</v>
      </c>
      <c r="W299" s="6">
        <f>IF(ISERROR(VLOOKUP($T$299,'TAR FIN'!$A$1:$O$120,15,0)),0,VLOOKUP($T$299,'TAR FIN'!$A$1:$O$120,15,0))</f>
        <v>0</v>
      </c>
      <c r="X299" s="6">
        <f>IF(ISERROR(VLOOKUP($U$299,'TAR FIN'!$A$1:$O$120,15,0)),0,VLOOKUP($U$299,'TAR FIN'!$A$1:$O$120,15,0))</f>
        <v>0</v>
      </c>
      <c r="Y299" s="6">
        <f ca="1">('TUSD BE'!$AM$32+'TUSD BF'!$AM$32+'TUSD CVA'!$AM$32)*1</f>
        <v>11.452356648653195</v>
      </c>
      <c r="Z299" s="6"/>
      <c r="AA299" s="6"/>
      <c r="AB299" s="6">
        <f t="shared" si="18"/>
        <v>92757.910573929112</v>
      </c>
      <c r="AC299" s="6">
        <f t="shared" si="19"/>
        <v>0</v>
      </c>
      <c r="AD299" s="6">
        <f t="shared" ca="1" si="20"/>
        <v>120578.51008814023</v>
      </c>
      <c r="AE299" s="6">
        <f t="shared" si="21"/>
        <v>0</v>
      </c>
      <c r="AF299" s="4" t="s">
        <v>1150</v>
      </c>
    </row>
    <row r="300" spans="1:32" ht="11.25" customHeight="1" x14ac:dyDescent="0.25">
      <c r="A300" s="4" t="s">
        <v>21</v>
      </c>
      <c r="B300" s="4" t="s">
        <v>33</v>
      </c>
      <c r="C300" s="4" t="s">
        <v>34</v>
      </c>
      <c r="D300" s="4" t="s">
        <v>40</v>
      </c>
      <c r="E300" s="4" t="s">
        <v>25</v>
      </c>
      <c r="F300" s="4" t="s">
        <v>63</v>
      </c>
      <c r="G300" s="4" t="s">
        <v>25</v>
      </c>
      <c r="H300" s="4" t="s">
        <v>25</v>
      </c>
      <c r="I300" s="5">
        <v>43983</v>
      </c>
      <c r="J300" s="6">
        <v>31789</v>
      </c>
      <c r="K300" s="6">
        <v>20936.759282719999</v>
      </c>
      <c r="L300" s="6">
        <v>0</v>
      </c>
      <c r="M300" s="6">
        <v>0</v>
      </c>
      <c r="N300" s="6">
        <v>0</v>
      </c>
      <c r="O300" s="6">
        <v>0</v>
      </c>
      <c r="P300" s="6">
        <v>48</v>
      </c>
      <c r="Q300" s="4" t="s">
        <v>60</v>
      </c>
      <c r="R300" s="4">
        <v>0</v>
      </c>
      <c r="S300" s="4">
        <v>26</v>
      </c>
      <c r="T300" s="4">
        <v>0</v>
      </c>
      <c r="U300" s="4">
        <v>0</v>
      </c>
      <c r="V300" s="6">
        <f>IF(ISERROR(VLOOKUP($S$300,'TAR FIN'!$A$1:$O$120,15,0)),0,VLOOKUP($S$300,'TAR FIN'!$A$1:$O$120,15,0))</f>
        <v>8.81</v>
      </c>
      <c r="W300" s="6">
        <f>IF(ISERROR(VLOOKUP($T$300,'TAR FIN'!$A$1:$O$120,15,0)),0,VLOOKUP($T$300,'TAR FIN'!$A$1:$O$120,15,0))</f>
        <v>0</v>
      </c>
      <c r="X300" s="6">
        <f>IF(ISERROR(VLOOKUP($U$300,'TAR FIN'!$A$1:$O$120,15,0)),0,VLOOKUP($U$300,'TAR FIN'!$A$1:$O$120,15,0))</f>
        <v>0</v>
      </c>
      <c r="Y300" s="6">
        <f ca="1">('TUSD BE'!$AM$32+'TUSD BF'!$AM$32+'TUSD CVA'!$AM$32)*1</f>
        <v>11.452356648653195</v>
      </c>
      <c r="Z300" s="6"/>
      <c r="AA300" s="6"/>
      <c r="AB300" s="6">
        <f t="shared" si="18"/>
        <v>95608.240719236812</v>
      </c>
      <c r="AC300" s="6">
        <f t="shared" si="19"/>
        <v>0</v>
      </c>
      <c r="AD300" s="6">
        <f t="shared" ca="1" si="20"/>
        <v>124283.73113132654</v>
      </c>
      <c r="AE300" s="6">
        <f t="shared" si="21"/>
        <v>0</v>
      </c>
      <c r="AF300" s="4" t="s">
        <v>1150</v>
      </c>
    </row>
    <row r="301" spans="1:32" ht="11.25" customHeight="1" x14ac:dyDescent="0.25">
      <c r="A301" s="4" t="s">
        <v>21</v>
      </c>
      <c r="B301" s="4" t="s">
        <v>33</v>
      </c>
      <c r="C301" s="4" t="s">
        <v>34</v>
      </c>
      <c r="D301" s="4" t="s">
        <v>40</v>
      </c>
      <c r="E301" s="4" t="s">
        <v>25</v>
      </c>
      <c r="F301" s="4" t="s">
        <v>63</v>
      </c>
      <c r="G301" s="4" t="s">
        <v>25</v>
      </c>
      <c r="H301" s="4" t="s">
        <v>25</v>
      </c>
      <c r="I301" s="5">
        <v>44013</v>
      </c>
      <c r="J301" s="6">
        <v>26128</v>
      </c>
      <c r="K301" s="6">
        <v>17431.1880752</v>
      </c>
      <c r="L301" s="6">
        <v>0</v>
      </c>
      <c r="M301" s="6">
        <v>0</v>
      </c>
      <c r="N301" s="6">
        <v>0</v>
      </c>
      <c r="O301" s="6">
        <v>0</v>
      </c>
      <c r="P301" s="6">
        <v>36</v>
      </c>
      <c r="Q301" s="4" t="s">
        <v>60</v>
      </c>
      <c r="R301" s="4">
        <v>0</v>
      </c>
      <c r="S301" s="4">
        <v>26</v>
      </c>
      <c r="T301" s="4">
        <v>0</v>
      </c>
      <c r="U301" s="4">
        <v>0</v>
      </c>
      <c r="V301" s="6">
        <f>IF(ISERROR(VLOOKUP($S$301,'TAR FIN'!$A$1:$O$120,15,0)),0,VLOOKUP($S$301,'TAR FIN'!$A$1:$O$120,15,0))</f>
        <v>8.81</v>
      </c>
      <c r="W301" s="6">
        <f>IF(ISERROR(VLOOKUP($T$301,'TAR FIN'!$A$1:$O$120,15,0)),0,VLOOKUP($T$301,'TAR FIN'!$A$1:$O$120,15,0))</f>
        <v>0</v>
      </c>
      <c r="X301" s="6">
        <f>IF(ISERROR(VLOOKUP($U$301,'TAR FIN'!$A$1:$O$120,15,0)),0,VLOOKUP($U$301,'TAR FIN'!$A$1:$O$120,15,0))</f>
        <v>0</v>
      </c>
      <c r="Y301" s="6">
        <f ca="1">('TUSD BE'!$AM$32+'TUSD BF'!$AM$32+'TUSD CVA'!$AM$32)*1</f>
        <v>11.452356648653195</v>
      </c>
      <c r="Z301" s="6"/>
      <c r="AA301" s="6"/>
      <c r="AB301" s="6">
        <f t="shared" si="18"/>
        <v>76618.913057488011</v>
      </c>
      <c r="AC301" s="6">
        <f t="shared" si="19"/>
        <v>0</v>
      </c>
      <c r="AD301" s="6">
        <f t="shared" ca="1" si="20"/>
        <v>99598.99186906968</v>
      </c>
      <c r="AE301" s="6">
        <f t="shared" si="21"/>
        <v>0</v>
      </c>
      <c r="AF301" s="4" t="s">
        <v>1150</v>
      </c>
    </row>
    <row r="302" spans="1:32" ht="11.25" customHeight="1" x14ac:dyDescent="0.25">
      <c r="A302" s="4" t="s">
        <v>21</v>
      </c>
      <c r="B302" s="4" t="s">
        <v>33</v>
      </c>
      <c r="C302" s="4" t="s">
        <v>34</v>
      </c>
      <c r="D302" s="4" t="s">
        <v>40</v>
      </c>
      <c r="E302" s="4" t="s">
        <v>25</v>
      </c>
      <c r="F302" s="4" t="s">
        <v>63</v>
      </c>
      <c r="G302" s="4" t="s">
        <v>25</v>
      </c>
      <c r="H302" s="4" t="s">
        <v>25</v>
      </c>
      <c r="I302" s="5">
        <v>44044</v>
      </c>
      <c r="J302" s="6">
        <v>32612</v>
      </c>
      <c r="K302" s="6">
        <v>21850.04</v>
      </c>
      <c r="L302" s="6">
        <v>0</v>
      </c>
      <c r="M302" s="6">
        <v>0</v>
      </c>
      <c r="N302" s="6">
        <v>0</v>
      </c>
      <c r="O302" s="6">
        <v>0</v>
      </c>
      <c r="P302" s="6">
        <v>51</v>
      </c>
      <c r="Q302" s="4" t="s">
        <v>60</v>
      </c>
      <c r="R302" s="4">
        <v>0</v>
      </c>
      <c r="S302" s="4">
        <v>26</v>
      </c>
      <c r="T302" s="4">
        <v>0</v>
      </c>
      <c r="U302" s="4">
        <v>0</v>
      </c>
      <c r="V302" s="6">
        <f>IF(ISERROR(VLOOKUP($S$302,'TAR FIN'!$A$1:$O$120,15,0)),0,VLOOKUP($S$302,'TAR FIN'!$A$1:$O$120,15,0))</f>
        <v>8.81</v>
      </c>
      <c r="W302" s="6">
        <f>IF(ISERROR(VLOOKUP($T$302,'TAR FIN'!$A$1:$O$120,15,0)),0,VLOOKUP($T$302,'TAR FIN'!$A$1:$O$120,15,0))</f>
        <v>0</v>
      </c>
      <c r="X302" s="6">
        <f>IF(ISERROR(VLOOKUP($U$302,'TAR FIN'!$A$1:$O$120,15,0)),0,VLOOKUP($U$302,'TAR FIN'!$A$1:$O$120,15,0))</f>
        <v>0</v>
      </c>
      <c r="Y302" s="6">
        <f ca="1">('TUSD BE'!$AM$32+'TUSD BF'!$AM$32+'TUSD CVA'!$AM$32)*1</f>
        <v>11.452356648653195</v>
      </c>
      <c r="Z302" s="6"/>
      <c r="AA302" s="6"/>
      <c r="AB302" s="6">
        <f t="shared" si="18"/>
        <v>94812.867599999998</v>
      </c>
      <c r="AC302" s="6">
        <f t="shared" si="19"/>
        <v>0</v>
      </c>
      <c r="AD302" s="6">
        <f t="shared" ca="1" si="20"/>
        <v>123249.80415853973</v>
      </c>
      <c r="AE302" s="6">
        <f t="shared" si="21"/>
        <v>0</v>
      </c>
      <c r="AF302" s="4" t="s">
        <v>1150</v>
      </c>
    </row>
    <row r="303" spans="1:32" ht="11.25" customHeight="1" x14ac:dyDescent="0.25">
      <c r="A303" s="4" t="s">
        <v>59</v>
      </c>
      <c r="B303" s="4" t="s">
        <v>33</v>
      </c>
      <c r="C303" s="4" t="s">
        <v>34</v>
      </c>
      <c r="D303" s="4" t="s">
        <v>40</v>
      </c>
      <c r="E303" s="4" t="s">
        <v>25</v>
      </c>
      <c r="F303" s="4" t="s">
        <v>63</v>
      </c>
      <c r="G303" s="4" t="s">
        <v>25</v>
      </c>
      <c r="H303" s="4" t="s">
        <v>25</v>
      </c>
      <c r="I303" s="5">
        <v>44075</v>
      </c>
      <c r="J303" s="6">
        <v>32612</v>
      </c>
      <c r="K303" s="6">
        <v>21850.04</v>
      </c>
      <c r="L303" s="6">
        <v>0</v>
      </c>
      <c r="M303" s="6">
        <v>0</v>
      </c>
      <c r="N303" s="6">
        <v>0</v>
      </c>
      <c r="O303" s="6">
        <v>0</v>
      </c>
      <c r="P303" s="6">
        <v>51</v>
      </c>
      <c r="Q303" s="4" t="s">
        <v>60</v>
      </c>
      <c r="R303" s="4">
        <v>0</v>
      </c>
      <c r="S303" s="4">
        <v>26</v>
      </c>
      <c r="T303" s="4">
        <v>0</v>
      </c>
      <c r="U303" s="4">
        <v>0</v>
      </c>
      <c r="V303" s="6">
        <f>IF(ISERROR(VLOOKUP($S$303,'TAR FIN'!$A$1:$O$120,15,0)),0,VLOOKUP($S$303,'TAR FIN'!$A$1:$O$120,15,0))</f>
        <v>8.81</v>
      </c>
      <c r="W303" s="6">
        <f>IF(ISERROR(VLOOKUP($T$303,'TAR FIN'!$A$1:$O$120,15,0)),0,VLOOKUP($T$303,'TAR FIN'!$A$1:$O$120,15,0))</f>
        <v>0</v>
      </c>
      <c r="X303" s="6">
        <f>IF(ISERROR(VLOOKUP($U$303,'TAR FIN'!$A$1:$O$120,15,0)),0,VLOOKUP($U$303,'TAR FIN'!$A$1:$O$120,15,0))</f>
        <v>0</v>
      </c>
      <c r="Y303" s="6">
        <f ca="1">('TUSD BE'!$AM$32+'TUSD BF'!$AM$32+'TUSD CVA'!$AM$32)*1</f>
        <v>11.452356648653195</v>
      </c>
      <c r="Z303" s="6"/>
      <c r="AA303" s="6"/>
      <c r="AB303" s="6">
        <f t="shared" si="18"/>
        <v>94812.867599999998</v>
      </c>
      <c r="AC303" s="6">
        <f t="shared" si="19"/>
        <v>0</v>
      </c>
      <c r="AD303" s="6">
        <f t="shared" ca="1" si="20"/>
        <v>123249.80415853973</v>
      </c>
      <c r="AE303" s="6">
        <f t="shared" si="21"/>
        <v>0</v>
      </c>
      <c r="AF303" s="4" t="s">
        <v>1150</v>
      </c>
    </row>
    <row r="304" spans="1:32" ht="11.25" customHeight="1" x14ac:dyDescent="0.25">
      <c r="A304" s="4" t="s">
        <v>21</v>
      </c>
      <c r="B304" s="4" t="s">
        <v>33</v>
      </c>
      <c r="C304" s="4" t="s">
        <v>34</v>
      </c>
      <c r="D304" s="4" t="s">
        <v>40</v>
      </c>
      <c r="E304" s="4" t="s">
        <v>25</v>
      </c>
      <c r="F304" s="4" t="s">
        <v>63</v>
      </c>
      <c r="G304" s="4" t="s">
        <v>25</v>
      </c>
      <c r="H304" s="4" t="s">
        <v>35</v>
      </c>
      <c r="I304" s="5">
        <v>43739</v>
      </c>
      <c r="J304" s="6">
        <v>0</v>
      </c>
      <c r="K304" s="6">
        <v>0</v>
      </c>
      <c r="L304" s="6">
        <v>1047.0619999999999</v>
      </c>
      <c r="M304" s="6">
        <v>710.75534998225999</v>
      </c>
      <c r="N304" s="6">
        <v>0</v>
      </c>
      <c r="O304" s="6">
        <v>0</v>
      </c>
      <c r="P304" s="6">
        <v>0</v>
      </c>
      <c r="Q304" s="4" t="s">
        <v>60</v>
      </c>
      <c r="R304" s="4">
        <v>0</v>
      </c>
      <c r="S304" s="4">
        <v>0</v>
      </c>
      <c r="T304" s="4">
        <v>27</v>
      </c>
      <c r="U304" s="4">
        <v>0</v>
      </c>
      <c r="V304" s="6">
        <f>IF(ISERROR(VLOOKUP($S$304,'TAR FIN'!$A$1:$O$120,15,0)),0,VLOOKUP($S$304,'TAR FIN'!$A$1:$O$120,15,0))</f>
        <v>0</v>
      </c>
      <c r="W304" s="6">
        <f>IF(ISERROR(VLOOKUP($T$304,'TAR FIN'!$A$1:$O$120,15,0)),0,VLOOKUP($T$304,'TAR FIN'!$A$1:$O$120,15,0))</f>
        <v>641.99</v>
      </c>
      <c r="X304" s="6">
        <f>IF(ISERROR(VLOOKUP($U$304,'TAR FIN'!$A$1:$O$120,15,0)),0,VLOOKUP($U$304,'TAR FIN'!$A$1:$O$120,15,0))</f>
        <v>0</v>
      </c>
      <c r="Y304" s="6"/>
      <c r="Z304" s="6">
        <f ca="1">('TUSD BE'!$AM$33+'TUSD BF'!$AM$33+'TUSD CVA'!$AM$33)*1</f>
        <v>747.73363518028248</v>
      </c>
      <c r="AA304" s="6"/>
      <c r="AB304" s="6">
        <f t="shared" si="18"/>
        <v>0</v>
      </c>
      <c r="AC304" s="6">
        <f t="shared" si="19"/>
        <v>215905.50624488885</v>
      </c>
      <c r="AD304" s="6">
        <f t="shared" si="20"/>
        <v>0</v>
      </c>
      <c r="AE304" s="6">
        <f t="shared" ca="1" si="21"/>
        <v>251467.79395306768</v>
      </c>
      <c r="AF304" s="4" t="s">
        <v>1150</v>
      </c>
    </row>
    <row r="305" spans="1:32" ht="11.25" customHeight="1" x14ac:dyDescent="0.25">
      <c r="A305" s="4" t="s">
        <v>21</v>
      </c>
      <c r="B305" s="4" t="s">
        <v>33</v>
      </c>
      <c r="C305" s="4" t="s">
        <v>34</v>
      </c>
      <c r="D305" s="4" t="s">
        <v>40</v>
      </c>
      <c r="E305" s="4" t="s">
        <v>25</v>
      </c>
      <c r="F305" s="4" t="s">
        <v>63</v>
      </c>
      <c r="G305" s="4" t="s">
        <v>25</v>
      </c>
      <c r="H305" s="4" t="s">
        <v>35</v>
      </c>
      <c r="I305" s="5">
        <v>43770</v>
      </c>
      <c r="J305" s="6">
        <v>0</v>
      </c>
      <c r="K305" s="6">
        <v>0</v>
      </c>
      <c r="L305" s="6">
        <v>892.98900000000003</v>
      </c>
      <c r="M305" s="6">
        <v>563.05930103369997</v>
      </c>
      <c r="N305" s="6">
        <v>0</v>
      </c>
      <c r="O305" s="6">
        <v>0</v>
      </c>
      <c r="P305" s="6">
        <v>0</v>
      </c>
      <c r="Q305" s="4" t="s">
        <v>60</v>
      </c>
      <c r="R305" s="4">
        <v>0</v>
      </c>
      <c r="S305" s="4">
        <v>0</v>
      </c>
      <c r="T305" s="4">
        <v>27</v>
      </c>
      <c r="U305" s="4">
        <v>0</v>
      </c>
      <c r="V305" s="6">
        <f>IF(ISERROR(VLOOKUP($S$305,'TAR FIN'!$A$1:$O$120,15,0)),0,VLOOKUP($S$305,'TAR FIN'!$A$1:$O$120,15,0))</f>
        <v>0</v>
      </c>
      <c r="W305" s="6">
        <f>IF(ISERROR(VLOOKUP($T$305,'TAR FIN'!$A$1:$O$120,15,0)),0,VLOOKUP($T$305,'TAR FIN'!$A$1:$O$120,15,0))</f>
        <v>641.99</v>
      </c>
      <c r="X305" s="6">
        <f>IF(ISERROR(VLOOKUP($U$305,'TAR FIN'!$A$1:$O$120,15,0)),0,VLOOKUP($U$305,'TAR FIN'!$A$1:$O$120,15,0))</f>
        <v>0</v>
      </c>
      <c r="Y305" s="6"/>
      <c r="Z305" s="6">
        <f ca="1">('TUSD BE'!$AM$33+'TUSD BF'!$AM$33+'TUSD CVA'!$AM$33)*1</f>
        <v>747.73363518028248</v>
      </c>
      <c r="AA305" s="6"/>
      <c r="AB305" s="6">
        <f t="shared" si="18"/>
        <v>0</v>
      </c>
      <c r="AC305" s="6">
        <f t="shared" si="19"/>
        <v>211811.56743937498</v>
      </c>
      <c r="AD305" s="6">
        <f t="shared" si="20"/>
        <v>0</v>
      </c>
      <c r="AE305" s="6">
        <f t="shared" ca="1" si="21"/>
        <v>246699.53316200784</v>
      </c>
      <c r="AF305" s="4" t="s">
        <v>1150</v>
      </c>
    </row>
    <row r="306" spans="1:32" ht="11.25" customHeight="1" x14ac:dyDescent="0.25">
      <c r="A306" s="4" t="s">
        <v>21</v>
      </c>
      <c r="B306" s="4" t="s">
        <v>33</v>
      </c>
      <c r="C306" s="4" t="s">
        <v>34</v>
      </c>
      <c r="D306" s="4" t="s">
        <v>40</v>
      </c>
      <c r="E306" s="4" t="s">
        <v>25</v>
      </c>
      <c r="F306" s="4" t="s">
        <v>63</v>
      </c>
      <c r="G306" s="4" t="s">
        <v>25</v>
      </c>
      <c r="H306" s="4" t="s">
        <v>35</v>
      </c>
      <c r="I306" s="5">
        <v>43800</v>
      </c>
      <c r="J306" s="6">
        <v>0</v>
      </c>
      <c r="K306" s="6">
        <v>0</v>
      </c>
      <c r="L306" s="6">
        <v>875.40200000000004</v>
      </c>
      <c r="M306" s="6">
        <v>597.85909616554</v>
      </c>
      <c r="N306" s="6">
        <v>0</v>
      </c>
      <c r="O306" s="6">
        <v>0</v>
      </c>
      <c r="P306" s="6">
        <v>0</v>
      </c>
      <c r="Q306" s="4" t="s">
        <v>60</v>
      </c>
      <c r="R306" s="4">
        <v>0</v>
      </c>
      <c r="S306" s="4">
        <v>0</v>
      </c>
      <c r="T306" s="4">
        <v>27</v>
      </c>
      <c r="U306" s="4">
        <v>0</v>
      </c>
      <c r="V306" s="6">
        <f>IF(ISERROR(VLOOKUP($S$306,'TAR FIN'!$A$1:$O$120,15,0)),0,VLOOKUP($S$306,'TAR FIN'!$A$1:$O$120,15,0))</f>
        <v>0</v>
      </c>
      <c r="W306" s="6">
        <f>IF(ISERROR(VLOOKUP($T$306,'TAR FIN'!$A$1:$O$120,15,0)),0,VLOOKUP($T$306,'TAR FIN'!$A$1:$O$120,15,0))</f>
        <v>641.99</v>
      </c>
      <c r="X306" s="6">
        <f>IF(ISERROR(VLOOKUP($U$306,'TAR FIN'!$A$1:$O$120,15,0)),0,VLOOKUP($U$306,'TAR FIN'!$A$1:$O$120,15,0))</f>
        <v>0</v>
      </c>
      <c r="Y306" s="6"/>
      <c r="Z306" s="6">
        <f ca="1">('TUSD BE'!$AM$33+'TUSD BF'!$AM$33+'TUSD CVA'!$AM$33)*1</f>
        <v>747.73363518028248</v>
      </c>
      <c r="AA306" s="6"/>
      <c r="AB306" s="6">
        <f t="shared" si="18"/>
        <v>0</v>
      </c>
      <c r="AC306" s="6">
        <f t="shared" si="19"/>
        <v>178179.76883268502</v>
      </c>
      <c r="AD306" s="6">
        <f t="shared" si="20"/>
        <v>0</v>
      </c>
      <c r="AE306" s="6">
        <f t="shared" ca="1" si="21"/>
        <v>207528.16440263236</v>
      </c>
      <c r="AF306" s="4" t="s">
        <v>1150</v>
      </c>
    </row>
    <row r="307" spans="1:32" ht="11.25" customHeight="1" x14ac:dyDescent="0.25">
      <c r="A307" s="4" t="s">
        <v>21</v>
      </c>
      <c r="B307" s="4" t="s">
        <v>33</v>
      </c>
      <c r="C307" s="4" t="s">
        <v>34</v>
      </c>
      <c r="D307" s="4" t="s">
        <v>40</v>
      </c>
      <c r="E307" s="4" t="s">
        <v>25</v>
      </c>
      <c r="F307" s="4" t="s">
        <v>63</v>
      </c>
      <c r="G307" s="4" t="s">
        <v>25</v>
      </c>
      <c r="H307" s="4" t="s">
        <v>35</v>
      </c>
      <c r="I307" s="5">
        <v>43831</v>
      </c>
      <c r="J307" s="6">
        <v>0</v>
      </c>
      <c r="K307" s="6">
        <v>0</v>
      </c>
      <c r="L307" s="6">
        <v>979.89599999999996</v>
      </c>
      <c r="M307" s="6">
        <v>674.92929804816004</v>
      </c>
      <c r="N307" s="6">
        <v>0</v>
      </c>
      <c r="O307" s="6">
        <v>0</v>
      </c>
      <c r="P307" s="6">
        <v>0</v>
      </c>
      <c r="Q307" s="4" t="s">
        <v>60</v>
      </c>
      <c r="R307" s="4">
        <v>0</v>
      </c>
      <c r="S307" s="4">
        <v>0</v>
      </c>
      <c r="T307" s="4">
        <v>27</v>
      </c>
      <c r="U307" s="4">
        <v>0</v>
      </c>
      <c r="V307" s="6">
        <f>IF(ISERROR(VLOOKUP($S$307,'TAR FIN'!$A$1:$O$120,15,0)),0,VLOOKUP($S$307,'TAR FIN'!$A$1:$O$120,15,0))</f>
        <v>0</v>
      </c>
      <c r="W307" s="6">
        <f>IF(ISERROR(VLOOKUP($T$307,'TAR FIN'!$A$1:$O$120,15,0)),0,VLOOKUP($T$307,'TAR FIN'!$A$1:$O$120,15,0))</f>
        <v>641.99</v>
      </c>
      <c r="X307" s="6">
        <f>IF(ISERROR(VLOOKUP($U$307,'TAR FIN'!$A$1:$O$120,15,0)),0,VLOOKUP($U$307,'TAR FIN'!$A$1:$O$120,15,0))</f>
        <v>0</v>
      </c>
      <c r="Y307" s="6"/>
      <c r="Z307" s="6">
        <f ca="1">('TUSD BE'!$AM$33+'TUSD BF'!$AM$33+'TUSD CVA'!$AM$33)*1</f>
        <v>747.73363518028248</v>
      </c>
      <c r="AA307" s="6"/>
      <c r="AB307" s="6">
        <f t="shared" si="18"/>
        <v>0</v>
      </c>
      <c r="AC307" s="6">
        <f t="shared" si="19"/>
        <v>195785.57298606171</v>
      </c>
      <c r="AD307" s="6">
        <f t="shared" si="20"/>
        <v>0</v>
      </c>
      <c r="AE307" s="6">
        <f t="shared" ca="1" si="21"/>
        <v>228033.86065939101</v>
      </c>
      <c r="AF307" s="4" t="s">
        <v>1150</v>
      </c>
    </row>
    <row r="308" spans="1:32" ht="11.25" customHeight="1" x14ac:dyDescent="0.25">
      <c r="A308" s="4" t="s">
        <v>21</v>
      </c>
      <c r="B308" s="4" t="s">
        <v>33</v>
      </c>
      <c r="C308" s="4" t="s">
        <v>34</v>
      </c>
      <c r="D308" s="4" t="s">
        <v>40</v>
      </c>
      <c r="E308" s="4" t="s">
        <v>25</v>
      </c>
      <c r="F308" s="4" t="s">
        <v>63</v>
      </c>
      <c r="G308" s="4" t="s">
        <v>25</v>
      </c>
      <c r="H308" s="4" t="s">
        <v>35</v>
      </c>
      <c r="I308" s="5">
        <v>43862</v>
      </c>
      <c r="J308" s="6">
        <v>0</v>
      </c>
      <c r="K308" s="6">
        <v>0</v>
      </c>
      <c r="L308" s="6">
        <v>874.16800000000001</v>
      </c>
      <c r="M308" s="6">
        <v>599.14239520616002</v>
      </c>
      <c r="N308" s="6">
        <v>0</v>
      </c>
      <c r="O308" s="6">
        <v>0</v>
      </c>
      <c r="P308" s="6">
        <v>0</v>
      </c>
      <c r="Q308" s="4" t="s">
        <v>60</v>
      </c>
      <c r="R308" s="4">
        <v>0</v>
      </c>
      <c r="S308" s="4">
        <v>0</v>
      </c>
      <c r="T308" s="4">
        <v>27</v>
      </c>
      <c r="U308" s="4">
        <v>0</v>
      </c>
      <c r="V308" s="6">
        <f>IF(ISERROR(VLOOKUP($S$308,'TAR FIN'!$A$1:$O$120,15,0)),0,VLOOKUP($S$308,'TAR FIN'!$A$1:$O$120,15,0))</f>
        <v>0</v>
      </c>
      <c r="W308" s="6">
        <f>IF(ISERROR(VLOOKUP($T$308,'TAR FIN'!$A$1:$O$120,15,0)),0,VLOOKUP($T$308,'TAR FIN'!$A$1:$O$120,15,0))</f>
        <v>641.99</v>
      </c>
      <c r="X308" s="6">
        <f>IF(ISERROR(VLOOKUP($U$308,'TAR FIN'!$A$1:$O$120,15,0)),0,VLOOKUP($U$308,'TAR FIN'!$A$1:$O$120,15,0))</f>
        <v>0</v>
      </c>
      <c r="Y308" s="6"/>
      <c r="Z308" s="6">
        <f ca="1">('TUSD BE'!$AM$33+'TUSD BF'!$AM$33+'TUSD CVA'!$AM$33)*1</f>
        <v>747.73363518028248</v>
      </c>
      <c r="AA308" s="6"/>
      <c r="AB308" s="6">
        <f t="shared" si="18"/>
        <v>0</v>
      </c>
      <c r="AC308" s="6">
        <f t="shared" si="19"/>
        <v>176563.68802159734</v>
      </c>
      <c r="AD308" s="6">
        <f t="shared" si="20"/>
        <v>0</v>
      </c>
      <c r="AE308" s="6">
        <f t="shared" ca="1" si="21"/>
        <v>205645.89524015371</v>
      </c>
      <c r="AF308" s="4" t="s">
        <v>1150</v>
      </c>
    </row>
    <row r="309" spans="1:32" ht="11.25" customHeight="1" x14ac:dyDescent="0.25">
      <c r="A309" s="4" t="s">
        <v>21</v>
      </c>
      <c r="B309" s="4" t="s">
        <v>33</v>
      </c>
      <c r="C309" s="4" t="s">
        <v>34</v>
      </c>
      <c r="D309" s="4" t="s">
        <v>40</v>
      </c>
      <c r="E309" s="4" t="s">
        <v>25</v>
      </c>
      <c r="F309" s="4" t="s">
        <v>63</v>
      </c>
      <c r="G309" s="4" t="s">
        <v>25</v>
      </c>
      <c r="H309" s="4" t="s">
        <v>35</v>
      </c>
      <c r="I309" s="5">
        <v>43891</v>
      </c>
      <c r="J309" s="6">
        <v>0</v>
      </c>
      <c r="K309" s="6">
        <v>0</v>
      </c>
      <c r="L309" s="6">
        <v>941.30399999999997</v>
      </c>
      <c r="M309" s="6">
        <v>673.44196843559996</v>
      </c>
      <c r="N309" s="6">
        <v>0</v>
      </c>
      <c r="O309" s="6">
        <v>0</v>
      </c>
      <c r="P309" s="6">
        <v>0</v>
      </c>
      <c r="Q309" s="4" t="s">
        <v>60</v>
      </c>
      <c r="R309" s="4">
        <v>0</v>
      </c>
      <c r="S309" s="4">
        <v>0</v>
      </c>
      <c r="T309" s="4">
        <v>27</v>
      </c>
      <c r="U309" s="4">
        <v>0</v>
      </c>
      <c r="V309" s="6">
        <f>IF(ISERROR(VLOOKUP($S$309,'TAR FIN'!$A$1:$O$120,15,0)),0,VLOOKUP($S$309,'TAR FIN'!$A$1:$O$120,15,0))</f>
        <v>0</v>
      </c>
      <c r="W309" s="6">
        <f>IF(ISERROR(VLOOKUP($T$309,'TAR FIN'!$A$1:$O$120,15,0)),0,VLOOKUP($T$309,'TAR FIN'!$A$1:$O$120,15,0))</f>
        <v>641.99</v>
      </c>
      <c r="X309" s="6">
        <f>IF(ISERROR(VLOOKUP($U$309,'TAR FIN'!$A$1:$O$120,15,0)),0,VLOOKUP($U$309,'TAR FIN'!$A$1:$O$120,15,0))</f>
        <v>0</v>
      </c>
      <c r="Y309" s="6"/>
      <c r="Z309" s="6">
        <f ca="1">('TUSD BE'!$AM$33+'TUSD BF'!$AM$33+'TUSD CVA'!$AM$33)*1</f>
        <v>747.73363518028248</v>
      </c>
      <c r="AA309" s="6"/>
      <c r="AB309" s="6">
        <f t="shared" si="18"/>
        <v>0</v>
      </c>
      <c r="AC309" s="6">
        <f t="shared" si="19"/>
        <v>171964.74564402917</v>
      </c>
      <c r="AD309" s="6">
        <f t="shared" si="20"/>
        <v>0</v>
      </c>
      <c r="AE309" s="6">
        <f t="shared" ca="1" si="21"/>
        <v>200289.4505884244</v>
      </c>
      <c r="AF309" s="4" t="s">
        <v>1150</v>
      </c>
    </row>
    <row r="310" spans="1:32" ht="11.25" customHeight="1" x14ac:dyDescent="0.25">
      <c r="A310" s="4" t="s">
        <v>21</v>
      </c>
      <c r="B310" s="4" t="s">
        <v>33</v>
      </c>
      <c r="C310" s="4" t="s">
        <v>34</v>
      </c>
      <c r="D310" s="4" t="s">
        <v>40</v>
      </c>
      <c r="E310" s="4" t="s">
        <v>25</v>
      </c>
      <c r="F310" s="4" t="s">
        <v>63</v>
      </c>
      <c r="G310" s="4" t="s">
        <v>25</v>
      </c>
      <c r="H310" s="4" t="s">
        <v>35</v>
      </c>
      <c r="I310" s="5">
        <v>43922</v>
      </c>
      <c r="J310" s="6">
        <v>0</v>
      </c>
      <c r="K310" s="6">
        <v>0</v>
      </c>
      <c r="L310" s="6">
        <v>748.73599999999999</v>
      </c>
      <c r="M310" s="6">
        <v>534.27896175616002</v>
      </c>
      <c r="N310" s="6">
        <v>0</v>
      </c>
      <c r="O310" s="6">
        <v>0</v>
      </c>
      <c r="P310" s="6">
        <v>0</v>
      </c>
      <c r="Q310" s="4" t="s">
        <v>60</v>
      </c>
      <c r="R310" s="4">
        <v>0</v>
      </c>
      <c r="S310" s="4">
        <v>0</v>
      </c>
      <c r="T310" s="4">
        <v>27</v>
      </c>
      <c r="U310" s="4">
        <v>0</v>
      </c>
      <c r="V310" s="6">
        <f>IF(ISERROR(VLOOKUP($S$310,'TAR FIN'!$A$1:$O$120,15,0)),0,VLOOKUP($S$310,'TAR FIN'!$A$1:$O$120,15,0))</f>
        <v>0</v>
      </c>
      <c r="W310" s="6">
        <f>IF(ISERROR(VLOOKUP($T$310,'TAR FIN'!$A$1:$O$120,15,0)),0,VLOOKUP($T$310,'TAR FIN'!$A$1:$O$120,15,0))</f>
        <v>641.99</v>
      </c>
      <c r="X310" s="6">
        <f>IF(ISERROR(VLOOKUP($U$310,'TAR FIN'!$A$1:$O$120,15,0)),0,VLOOKUP($U$310,'TAR FIN'!$A$1:$O$120,15,0))</f>
        <v>0</v>
      </c>
      <c r="Y310" s="6"/>
      <c r="Z310" s="6">
        <f ca="1">('TUSD BE'!$AM$33+'TUSD BF'!$AM$33+'TUSD CVA'!$AM$33)*1</f>
        <v>747.73363518028248</v>
      </c>
      <c r="AA310" s="6"/>
      <c r="AB310" s="6">
        <f t="shared" si="18"/>
        <v>0</v>
      </c>
      <c r="AC310" s="6">
        <f t="shared" si="19"/>
        <v>137679.27398216282</v>
      </c>
      <c r="AD310" s="6">
        <f t="shared" si="20"/>
        <v>0</v>
      </c>
      <c r="AE310" s="6">
        <f t="shared" ca="1" si="21"/>
        <v>160356.74079606333</v>
      </c>
      <c r="AF310" s="4" t="s">
        <v>1150</v>
      </c>
    </row>
    <row r="311" spans="1:32" ht="11.25" customHeight="1" x14ac:dyDescent="0.25">
      <c r="A311" s="4" t="s">
        <v>21</v>
      </c>
      <c r="B311" s="4" t="s">
        <v>33</v>
      </c>
      <c r="C311" s="4" t="s">
        <v>34</v>
      </c>
      <c r="D311" s="4" t="s">
        <v>40</v>
      </c>
      <c r="E311" s="4" t="s">
        <v>25</v>
      </c>
      <c r="F311" s="4" t="s">
        <v>63</v>
      </c>
      <c r="G311" s="4" t="s">
        <v>25</v>
      </c>
      <c r="H311" s="4" t="s">
        <v>35</v>
      </c>
      <c r="I311" s="5">
        <v>43952</v>
      </c>
      <c r="J311" s="6">
        <v>0</v>
      </c>
      <c r="K311" s="6">
        <v>0</v>
      </c>
      <c r="L311" s="6">
        <v>759.61300000000006</v>
      </c>
      <c r="M311" s="6">
        <v>549.16568978141004</v>
      </c>
      <c r="N311" s="6">
        <v>0</v>
      </c>
      <c r="O311" s="6">
        <v>0</v>
      </c>
      <c r="P311" s="6">
        <v>0</v>
      </c>
      <c r="Q311" s="4" t="s">
        <v>60</v>
      </c>
      <c r="R311" s="4">
        <v>0</v>
      </c>
      <c r="S311" s="4">
        <v>0</v>
      </c>
      <c r="T311" s="4">
        <v>27</v>
      </c>
      <c r="U311" s="4">
        <v>0</v>
      </c>
      <c r="V311" s="6">
        <f>IF(ISERROR(VLOOKUP($S$311,'TAR FIN'!$A$1:$O$120,15,0)),0,VLOOKUP($S$311,'TAR FIN'!$A$1:$O$120,15,0))</f>
        <v>0</v>
      </c>
      <c r="W311" s="6">
        <f>IF(ISERROR(VLOOKUP($T$311,'TAR FIN'!$A$1:$O$120,15,0)),0,VLOOKUP($T$311,'TAR FIN'!$A$1:$O$120,15,0))</f>
        <v>641.99</v>
      </c>
      <c r="X311" s="6">
        <f>IF(ISERROR(VLOOKUP($U$311,'TAR FIN'!$A$1:$O$120,15,0)),0,VLOOKUP($U$311,'TAR FIN'!$A$1:$O$120,15,0))</f>
        <v>0</v>
      </c>
      <c r="Y311" s="6"/>
      <c r="Z311" s="6">
        <f ca="1">('TUSD BE'!$AM$33+'TUSD BF'!$AM$33+'TUSD CVA'!$AM$33)*1</f>
        <v>747.73363518028248</v>
      </c>
      <c r="AA311" s="6"/>
      <c r="AB311" s="6">
        <f t="shared" si="18"/>
        <v>0</v>
      </c>
      <c r="AC311" s="6">
        <f t="shared" si="19"/>
        <v>135105.06868723262</v>
      </c>
      <c r="AD311" s="6">
        <f t="shared" si="20"/>
        <v>0</v>
      </c>
      <c r="AE311" s="6">
        <f t="shared" ca="1" si="21"/>
        <v>157358.53228365892</v>
      </c>
      <c r="AF311" s="4" t="s">
        <v>1150</v>
      </c>
    </row>
    <row r="312" spans="1:32" ht="11.25" customHeight="1" x14ac:dyDescent="0.25">
      <c r="A312" s="4" t="s">
        <v>21</v>
      </c>
      <c r="B312" s="4" t="s">
        <v>33</v>
      </c>
      <c r="C312" s="4" t="s">
        <v>34</v>
      </c>
      <c r="D312" s="4" t="s">
        <v>40</v>
      </c>
      <c r="E312" s="4" t="s">
        <v>25</v>
      </c>
      <c r="F312" s="4" t="s">
        <v>63</v>
      </c>
      <c r="G312" s="4" t="s">
        <v>25</v>
      </c>
      <c r="H312" s="4" t="s">
        <v>35</v>
      </c>
      <c r="I312" s="5">
        <v>43983</v>
      </c>
      <c r="J312" s="6">
        <v>0</v>
      </c>
      <c r="K312" s="6">
        <v>0</v>
      </c>
      <c r="L312" s="6">
        <v>759.61300000000006</v>
      </c>
      <c r="M312" s="6">
        <v>543.50967215244998</v>
      </c>
      <c r="N312" s="6">
        <v>0</v>
      </c>
      <c r="O312" s="6">
        <v>0</v>
      </c>
      <c r="P312" s="6">
        <v>0</v>
      </c>
      <c r="Q312" s="4" t="s">
        <v>60</v>
      </c>
      <c r="R312" s="4">
        <v>0</v>
      </c>
      <c r="S312" s="4">
        <v>0</v>
      </c>
      <c r="T312" s="4">
        <v>27</v>
      </c>
      <c r="U312" s="4">
        <v>0</v>
      </c>
      <c r="V312" s="6">
        <f>IF(ISERROR(VLOOKUP($S$312,'TAR FIN'!$A$1:$O$120,15,0)),0,VLOOKUP($S$312,'TAR FIN'!$A$1:$O$120,15,0))</f>
        <v>0</v>
      </c>
      <c r="W312" s="6">
        <f>IF(ISERROR(VLOOKUP($T$312,'TAR FIN'!$A$1:$O$120,15,0)),0,VLOOKUP($T$312,'TAR FIN'!$A$1:$O$120,15,0))</f>
        <v>641.99</v>
      </c>
      <c r="X312" s="6">
        <f>IF(ISERROR(VLOOKUP($U$312,'TAR FIN'!$A$1:$O$120,15,0)),0,VLOOKUP($U$312,'TAR FIN'!$A$1:$O$120,15,0))</f>
        <v>0</v>
      </c>
      <c r="Y312" s="6"/>
      <c r="Z312" s="6">
        <f ca="1">('TUSD BE'!$AM$33+'TUSD BF'!$AM$33+'TUSD CVA'!$AM$33)*1</f>
        <v>747.73363518028248</v>
      </c>
      <c r="AA312" s="6"/>
      <c r="AB312" s="6">
        <f t="shared" si="18"/>
        <v>0</v>
      </c>
      <c r="AC312" s="6">
        <f t="shared" si="19"/>
        <v>138736.17544484869</v>
      </c>
      <c r="AD312" s="6">
        <f t="shared" si="20"/>
        <v>0</v>
      </c>
      <c r="AE312" s="6">
        <f t="shared" ca="1" si="21"/>
        <v>161587.726906005</v>
      </c>
      <c r="AF312" s="4" t="s">
        <v>1150</v>
      </c>
    </row>
    <row r="313" spans="1:32" ht="11.25" customHeight="1" x14ac:dyDescent="0.25">
      <c r="A313" s="4" t="s">
        <v>21</v>
      </c>
      <c r="B313" s="4" t="s">
        <v>33</v>
      </c>
      <c r="C313" s="4" t="s">
        <v>34</v>
      </c>
      <c r="D313" s="4" t="s">
        <v>40</v>
      </c>
      <c r="E313" s="4" t="s">
        <v>25</v>
      </c>
      <c r="F313" s="4" t="s">
        <v>63</v>
      </c>
      <c r="G313" s="4" t="s">
        <v>25</v>
      </c>
      <c r="H313" s="4" t="s">
        <v>35</v>
      </c>
      <c r="I313" s="5">
        <v>44013</v>
      </c>
      <c r="J313" s="6">
        <v>0</v>
      </c>
      <c r="K313" s="6">
        <v>0</v>
      </c>
      <c r="L313" s="6">
        <v>782.59400000000005</v>
      </c>
      <c r="M313" s="6">
        <v>562.38294210848005</v>
      </c>
      <c r="N313" s="6">
        <v>0</v>
      </c>
      <c r="O313" s="6">
        <v>0</v>
      </c>
      <c r="P313" s="6">
        <v>0</v>
      </c>
      <c r="Q313" s="4" t="s">
        <v>60</v>
      </c>
      <c r="R313" s="4">
        <v>0</v>
      </c>
      <c r="S313" s="4">
        <v>0</v>
      </c>
      <c r="T313" s="4">
        <v>27</v>
      </c>
      <c r="U313" s="4">
        <v>0</v>
      </c>
      <c r="V313" s="6">
        <f>IF(ISERROR(VLOOKUP($S$313,'TAR FIN'!$A$1:$O$120,15,0)),0,VLOOKUP($S$313,'TAR FIN'!$A$1:$O$120,15,0))</f>
        <v>0</v>
      </c>
      <c r="W313" s="6">
        <f>IF(ISERROR(VLOOKUP($T$313,'TAR FIN'!$A$1:$O$120,15,0)),0,VLOOKUP($T$313,'TAR FIN'!$A$1:$O$120,15,0))</f>
        <v>641.99</v>
      </c>
      <c r="X313" s="6">
        <f>IF(ISERROR(VLOOKUP($U$313,'TAR FIN'!$A$1:$O$120,15,0)),0,VLOOKUP($U$313,'TAR FIN'!$A$1:$O$120,15,0))</f>
        <v>0</v>
      </c>
      <c r="Y313" s="6"/>
      <c r="Z313" s="6">
        <f ca="1">('TUSD BE'!$AM$33+'TUSD BF'!$AM$33+'TUSD CVA'!$AM$33)*1</f>
        <v>747.73363518028248</v>
      </c>
      <c r="AA313" s="6"/>
      <c r="AB313" s="6">
        <f t="shared" si="18"/>
        <v>0</v>
      </c>
      <c r="AC313" s="6">
        <f t="shared" si="19"/>
        <v>141373.29705577693</v>
      </c>
      <c r="AD313" s="6">
        <f t="shared" si="20"/>
        <v>0</v>
      </c>
      <c r="AE313" s="6">
        <f t="shared" ca="1" si="21"/>
        <v>164659.21482412188</v>
      </c>
      <c r="AF313" s="4" t="s">
        <v>1150</v>
      </c>
    </row>
    <row r="314" spans="1:32" ht="11.25" customHeight="1" x14ac:dyDescent="0.25">
      <c r="A314" s="4" t="s">
        <v>21</v>
      </c>
      <c r="B314" s="4" t="s">
        <v>33</v>
      </c>
      <c r="C314" s="4" t="s">
        <v>34</v>
      </c>
      <c r="D314" s="4" t="s">
        <v>40</v>
      </c>
      <c r="E314" s="4" t="s">
        <v>25</v>
      </c>
      <c r="F314" s="4" t="s">
        <v>63</v>
      </c>
      <c r="G314" s="4" t="s">
        <v>25</v>
      </c>
      <c r="H314" s="4" t="s">
        <v>35</v>
      </c>
      <c r="I314" s="5">
        <v>44044</v>
      </c>
      <c r="J314" s="6">
        <v>0</v>
      </c>
      <c r="K314" s="6">
        <v>0</v>
      </c>
      <c r="L314" s="6">
        <v>815.26900000000001</v>
      </c>
      <c r="M314" s="6">
        <v>586.99368000000004</v>
      </c>
      <c r="N314" s="6">
        <v>0</v>
      </c>
      <c r="O314" s="6">
        <v>0</v>
      </c>
      <c r="P314" s="6">
        <v>0</v>
      </c>
      <c r="Q314" s="4" t="s">
        <v>60</v>
      </c>
      <c r="R314" s="4">
        <v>0</v>
      </c>
      <c r="S314" s="4">
        <v>0</v>
      </c>
      <c r="T314" s="4">
        <v>27</v>
      </c>
      <c r="U314" s="4">
        <v>0</v>
      </c>
      <c r="V314" s="6">
        <f>IF(ISERROR(VLOOKUP($S$314,'TAR FIN'!$A$1:$O$120,15,0)),0,VLOOKUP($S$314,'TAR FIN'!$A$1:$O$120,15,0))</f>
        <v>0</v>
      </c>
      <c r="W314" s="6">
        <f>IF(ISERROR(VLOOKUP($T$314,'TAR FIN'!$A$1:$O$120,15,0)),0,VLOOKUP($T$314,'TAR FIN'!$A$1:$O$120,15,0))</f>
        <v>641.99</v>
      </c>
      <c r="X314" s="6">
        <f>IF(ISERROR(VLOOKUP($U$314,'TAR FIN'!$A$1:$O$120,15,0)),0,VLOOKUP($U$314,'TAR FIN'!$A$1:$O$120,15,0))</f>
        <v>0</v>
      </c>
      <c r="Y314" s="6"/>
      <c r="Z314" s="6">
        <f ca="1">('TUSD BE'!$AM$33+'TUSD BF'!$AM$33+'TUSD CVA'!$AM$33)*1</f>
        <v>747.73363518028248</v>
      </c>
      <c r="AA314" s="6"/>
      <c r="AB314" s="6">
        <f t="shared" si="18"/>
        <v>0</v>
      </c>
      <c r="AC314" s="6">
        <f t="shared" si="19"/>
        <v>146550.47268679997</v>
      </c>
      <c r="AD314" s="6">
        <f t="shared" si="20"/>
        <v>0</v>
      </c>
      <c r="AE314" s="6">
        <f t="shared" ca="1" si="21"/>
        <v>170689.13484554223</v>
      </c>
      <c r="AF314" s="4" t="s">
        <v>1150</v>
      </c>
    </row>
    <row r="315" spans="1:32" ht="11.25" customHeight="1" x14ac:dyDescent="0.25">
      <c r="A315" s="4" t="s">
        <v>59</v>
      </c>
      <c r="B315" s="4" t="s">
        <v>33</v>
      </c>
      <c r="C315" s="4" t="s">
        <v>34</v>
      </c>
      <c r="D315" s="4" t="s">
        <v>40</v>
      </c>
      <c r="E315" s="4" t="s">
        <v>25</v>
      </c>
      <c r="F315" s="4" t="s">
        <v>63</v>
      </c>
      <c r="G315" s="4" t="s">
        <v>25</v>
      </c>
      <c r="H315" s="4" t="s">
        <v>35</v>
      </c>
      <c r="I315" s="5">
        <v>44075</v>
      </c>
      <c r="J315" s="6">
        <v>0</v>
      </c>
      <c r="K315" s="6">
        <v>0</v>
      </c>
      <c r="L315" s="6">
        <v>815.26900000000001</v>
      </c>
      <c r="M315" s="6">
        <v>586.99368000000004</v>
      </c>
      <c r="N315" s="6">
        <v>0</v>
      </c>
      <c r="O315" s="6">
        <v>0</v>
      </c>
      <c r="P315" s="6">
        <v>0</v>
      </c>
      <c r="Q315" s="4" t="s">
        <v>60</v>
      </c>
      <c r="R315" s="4">
        <v>0</v>
      </c>
      <c r="S315" s="4">
        <v>0</v>
      </c>
      <c r="T315" s="4">
        <v>27</v>
      </c>
      <c r="U315" s="4">
        <v>0</v>
      </c>
      <c r="V315" s="6">
        <f>IF(ISERROR(VLOOKUP($S$315,'TAR FIN'!$A$1:$O$120,15,0)),0,VLOOKUP($S$315,'TAR FIN'!$A$1:$O$120,15,0))</f>
        <v>0</v>
      </c>
      <c r="W315" s="6">
        <f>IF(ISERROR(VLOOKUP($T$315,'TAR FIN'!$A$1:$O$120,15,0)),0,VLOOKUP($T$315,'TAR FIN'!$A$1:$O$120,15,0))</f>
        <v>641.99</v>
      </c>
      <c r="X315" s="6">
        <f>IF(ISERROR(VLOOKUP($U$315,'TAR FIN'!$A$1:$O$120,15,0)),0,VLOOKUP($U$315,'TAR FIN'!$A$1:$O$120,15,0))</f>
        <v>0</v>
      </c>
      <c r="Y315" s="6"/>
      <c r="Z315" s="6">
        <f ca="1">('TUSD BE'!$AM$33+'TUSD BF'!$AM$33+'TUSD CVA'!$AM$33)*1</f>
        <v>747.73363518028248</v>
      </c>
      <c r="AA315" s="6"/>
      <c r="AB315" s="6">
        <f t="shared" si="18"/>
        <v>0</v>
      </c>
      <c r="AC315" s="6">
        <f t="shared" si="19"/>
        <v>146550.47268679997</v>
      </c>
      <c r="AD315" s="6">
        <f t="shared" si="20"/>
        <v>0</v>
      </c>
      <c r="AE315" s="6">
        <f t="shared" ca="1" si="21"/>
        <v>170689.13484554223</v>
      </c>
      <c r="AF315" s="4" t="s">
        <v>1150</v>
      </c>
    </row>
    <row r="316" spans="1:32" ht="11.25" customHeight="1" x14ac:dyDescent="0.25">
      <c r="A316" s="4" t="s">
        <v>21</v>
      </c>
      <c r="B316" s="4" t="s">
        <v>33</v>
      </c>
      <c r="C316" s="4" t="s">
        <v>34</v>
      </c>
      <c r="D316" s="4" t="s">
        <v>47</v>
      </c>
      <c r="E316" s="4" t="s">
        <v>55</v>
      </c>
      <c r="F316" s="4" t="s">
        <v>57</v>
      </c>
      <c r="G316" s="4" t="s">
        <v>25</v>
      </c>
      <c r="H316" s="4" t="s">
        <v>36</v>
      </c>
      <c r="I316" s="5">
        <v>43739</v>
      </c>
      <c r="J316" s="6">
        <v>0</v>
      </c>
      <c r="K316" s="6">
        <v>0</v>
      </c>
      <c r="L316" s="6">
        <v>680.548</v>
      </c>
      <c r="M316" s="6">
        <v>136.1096</v>
      </c>
      <c r="N316" s="6">
        <v>680.548</v>
      </c>
      <c r="O316" s="6">
        <v>136.1096</v>
      </c>
      <c r="P316" s="6">
        <v>0</v>
      </c>
      <c r="Q316" s="4" t="s">
        <v>26</v>
      </c>
      <c r="R316" s="4">
        <v>0</v>
      </c>
      <c r="S316" s="4">
        <v>0</v>
      </c>
      <c r="T316" s="4">
        <v>28</v>
      </c>
      <c r="U316" s="4">
        <v>82</v>
      </c>
      <c r="V316" s="6">
        <f>IF(ISERROR(VLOOKUP($S$316,'TAR FIN'!$A$1:$O$120,15,0)),0,VLOOKUP($S$316,'TAR FIN'!$A$1:$O$120,15,0))</f>
        <v>0</v>
      </c>
      <c r="W316" s="6">
        <f>IF(ISERROR(VLOOKUP($T$316,'TAR FIN'!$A$1:$O$120,15,0)),0,VLOOKUP($T$316,'TAR FIN'!$A$1:$O$120,15,0))</f>
        <v>84.45</v>
      </c>
      <c r="X316" s="6">
        <f>IF(ISERROR(VLOOKUP($U$316,'TAR FIN'!$A$1:$O$120,15,0)),0,VLOOKUP($U$316,'TAR FIN'!$A$1:$O$120,15,0))</f>
        <v>256.38</v>
      </c>
      <c r="Y316" s="6"/>
      <c r="Z316" s="6">
        <f ca="1">('TUSD BE'!$AM$34+'TUSD BF'!$AM$34+'TUSD CVA'!$AM$34)*1</f>
        <v>87.519361965254689</v>
      </c>
      <c r="AA316" s="6">
        <f>('TE BE'!$AA$11+'TE BF'!$AA$11+'TE CVA'!$AA$11)*1</f>
        <v>230.83420940933817</v>
      </c>
      <c r="AB316" s="6">
        <f t="shared" si="18"/>
        <v>0</v>
      </c>
      <c r="AC316" s="6">
        <f t="shared" si="19"/>
        <v>185560.93987199999</v>
      </c>
      <c r="AD316" s="6">
        <f t="shared" si="20"/>
        <v>0</v>
      </c>
      <c r="AE316" s="6">
        <f t="shared" ca="1" si="21"/>
        <v>173323.90903346916</v>
      </c>
      <c r="AF316" s="4" t="s">
        <v>1152</v>
      </c>
    </row>
    <row r="317" spans="1:32" ht="11.25" customHeight="1" x14ac:dyDescent="0.25">
      <c r="A317" s="4" t="s">
        <v>27</v>
      </c>
      <c r="B317" s="4" t="s">
        <v>33</v>
      </c>
      <c r="C317" s="4" t="s">
        <v>34</v>
      </c>
      <c r="D317" s="4" t="s">
        <v>47</v>
      </c>
      <c r="E317" s="4" t="s">
        <v>55</v>
      </c>
      <c r="F317" s="4" t="s">
        <v>57</v>
      </c>
      <c r="G317" s="4" t="s">
        <v>25</v>
      </c>
      <c r="H317" s="4" t="s">
        <v>36</v>
      </c>
      <c r="I317" s="5">
        <v>43739</v>
      </c>
      <c r="J317" s="6">
        <v>0</v>
      </c>
      <c r="K317" s="6">
        <v>0</v>
      </c>
      <c r="L317" s="6">
        <v>0.52700000000000002</v>
      </c>
      <c r="M317" s="6">
        <v>0.10539999999999999</v>
      </c>
      <c r="N317" s="6">
        <v>0.52700000000000002</v>
      </c>
      <c r="O317" s="6">
        <v>0.10539999999999999</v>
      </c>
      <c r="P317" s="6">
        <v>0</v>
      </c>
      <c r="Q317" s="4" t="s">
        <v>26</v>
      </c>
      <c r="R317" s="4">
        <v>0</v>
      </c>
      <c r="S317" s="4">
        <v>0</v>
      </c>
      <c r="T317" s="4">
        <v>28</v>
      </c>
      <c r="U317" s="4">
        <v>82</v>
      </c>
      <c r="V317" s="6">
        <f>IF(ISERROR(VLOOKUP($S$317,'TAR FIN'!$A$1:$O$120,15,0)),0,VLOOKUP($S$317,'TAR FIN'!$A$1:$O$120,15,0))</f>
        <v>0</v>
      </c>
      <c r="W317" s="6">
        <f>IF(ISERROR(VLOOKUP($T$317,'TAR FIN'!$A$1:$O$120,15,0)),0,VLOOKUP($T$317,'TAR FIN'!$A$1:$O$120,15,0))</f>
        <v>84.45</v>
      </c>
      <c r="X317" s="6">
        <f>IF(ISERROR(VLOOKUP($U$317,'TAR FIN'!$A$1:$O$120,15,0)),0,VLOOKUP($U$317,'TAR FIN'!$A$1:$O$120,15,0))</f>
        <v>256.38</v>
      </c>
      <c r="Y317" s="6"/>
      <c r="Z317" s="6">
        <f ca="1">('TUSD BE'!$AM$34+'TUSD BF'!$AM$34+'TUSD CVA'!$AM$34)*1</f>
        <v>87.519361965254689</v>
      </c>
      <c r="AA317" s="6">
        <f>('TE BE'!$AA$11+'TE BF'!$AA$11+'TE CVA'!$AA$11)*1</f>
        <v>230.83420940933817</v>
      </c>
      <c r="AB317" s="6">
        <f t="shared" si="18"/>
        <v>0</v>
      </c>
      <c r="AC317" s="6">
        <f t="shared" si="19"/>
        <v>143.693928</v>
      </c>
      <c r="AD317" s="6">
        <f t="shared" si="20"/>
        <v>0</v>
      </c>
      <c r="AE317" s="6">
        <f t="shared" ca="1" si="21"/>
        <v>134.21786569152835</v>
      </c>
      <c r="AF317" s="4" t="s">
        <v>1152</v>
      </c>
    </row>
    <row r="318" spans="1:32" ht="11.25" customHeight="1" x14ac:dyDescent="0.25">
      <c r="A318" s="4" t="s">
        <v>21</v>
      </c>
      <c r="B318" s="4" t="s">
        <v>33</v>
      </c>
      <c r="C318" s="4" t="s">
        <v>34</v>
      </c>
      <c r="D318" s="4" t="s">
        <v>47</v>
      </c>
      <c r="E318" s="4" t="s">
        <v>55</v>
      </c>
      <c r="F318" s="4" t="s">
        <v>57</v>
      </c>
      <c r="G318" s="4" t="s">
        <v>25</v>
      </c>
      <c r="H318" s="4" t="s">
        <v>36</v>
      </c>
      <c r="I318" s="5">
        <v>43770</v>
      </c>
      <c r="J318" s="6">
        <v>0</v>
      </c>
      <c r="K318" s="6">
        <v>0</v>
      </c>
      <c r="L318" s="6">
        <v>844.74</v>
      </c>
      <c r="M318" s="6">
        <v>168.94800000000001</v>
      </c>
      <c r="N318" s="6">
        <v>844.74</v>
      </c>
      <c r="O318" s="6">
        <v>168.94800000000001</v>
      </c>
      <c r="P318" s="6">
        <v>0</v>
      </c>
      <c r="Q318" s="4" t="s">
        <v>26</v>
      </c>
      <c r="R318" s="4">
        <v>0</v>
      </c>
      <c r="S318" s="4">
        <v>0</v>
      </c>
      <c r="T318" s="4">
        <v>28</v>
      </c>
      <c r="U318" s="4">
        <v>82</v>
      </c>
      <c r="V318" s="6">
        <f>IF(ISERROR(VLOOKUP($S$318,'TAR FIN'!$A$1:$O$120,15,0)),0,VLOOKUP($S$318,'TAR FIN'!$A$1:$O$120,15,0))</f>
        <v>0</v>
      </c>
      <c r="W318" s="6">
        <f>IF(ISERROR(VLOOKUP($T$318,'TAR FIN'!$A$1:$O$120,15,0)),0,VLOOKUP($T$318,'TAR FIN'!$A$1:$O$120,15,0))</f>
        <v>84.45</v>
      </c>
      <c r="X318" s="6">
        <f>IF(ISERROR(VLOOKUP($U$318,'TAR FIN'!$A$1:$O$120,15,0)),0,VLOOKUP($U$318,'TAR FIN'!$A$1:$O$120,15,0))</f>
        <v>256.38</v>
      </c>
      <c r="Y318" s="6"/>
      <c r="Z318" s="6">
        <f ca="1">('TUSD BE'!$AM$34+'TUSD BF'!$AM$34+'TUSD CVA'!$AM$34)*1</f>
        <v>87.519361965254689</v>
      </c>
      <c r="AA318" s="6">
        <f>('TE BE'!$AA$11+'TE BF'!$AA$11+'TE CVA'!$AA$11)*1</f>
        <v>230.83420940933817</v>
      </c>
      <c r="AB318" s="6">
        <f t="shared" si="18"/>
        <v>0</v>
      </c>
      <c r="AC318" s="6">
        <f t="shared" si="19"/>
        <v>230330.18736000001</v>
      </c>
      <c r="AD318" s="6">
        <f t="shared" si="20"/>
        <v>0</v>
      </c>
      <c r="AE318" s="6">
        <f t="shared" ca="1" si="21"/>
        <v>215140.79670637887</v>
      </c>
      <c r="AF318" s="4" t="s">
        <v>1152</v>
      </c>
    </row>
    <row r="319" spans="1:32" ht="11.25" customHeight="1" x14ac:dyDescent="0.25">
      <c r="A319" s="4" t="s">
        <v>27</v>
      </c>
      <c r="B319" s="4" t="s">
        <v>33</v>
      </c>
      <c r="C319" s="4" t="s">
        <v>34</v>
      </c>
      <c r="D319" s="4" t="s">
        <v>47</v>
      </c>
      <c r="E319" s="4" t="s">
        <v>55</v>
      </c>
      <c r="F319" s="4" t="s">
        <v>57</v>
      </c>
      <c r="G319" s="4" t="s">
        <v>25</v>
      </c>
      <c r="H319" s="4" t="s">
        <v>36</v>
      </c>
      <c r="I319" s="5">
        <v>43770</v>
      </c>
      <c r="J319" s="6">
        <v>0</v>
      </c>
      <c r="K319" s="6">
        <v>0</v>
      </c>
      <c r="L319" s="6">
        <v>10.929</v>
      </c>
      <c r="M319" s="6">
        <v>2.1858</v>
      </c>
      <c r="N319" s="6">
        <v>10.929</v>
      </c>
      <c r="O319" s="6">
        <v>2.1858</v>
      </c>
      <c r="P319" s="6">
        <v>0</v>
      </c>
      <c r="Q319" s="4" t="s">
        <v>26</v>
      </c>
      <c r="R319" s="4">
        <v>0</v>
      </c>
      <c r="S319" s="4">
        <v>0</v>
      </c>
      <c r="T319" s="4">
        <v>28</v>
      </c>
      <c r="U319" s="4">
        <v>82</v>
      </c>
      <c r="V319" s="6">
        <f>IF(ISERROR(VLOOKUP($S$319,'TAR FIN'!$A$1:$O$120,15,0)),0,VLOOKUP($S$319,'TAR FIN'!$A$1:$O$120,15,0))</f>
        <v>0</v>
      </c>
      <c r="W319" s="6">
        <f>IF(ISERROR(VLOOKUP($T$319,'TAR FIN'!$A$1:$O$120,15,0)),0,VLOOKUP($T$319,'TAR FIN'!$A$1:$O$120,15,0))</f>
        <v>84.45</v>
      </c>
      <c r="X319" s="6">
        <f>IF(ISERROR(VLOOKUP($U$319,'TAR FIN'!$A$1:$O$120,15,0)),0,VLOOKUP($U$319,'TAR FIN'!$A$1:$O$120,15,0))</f>
        <v>256.38</v>
      </c>
      <c r="Y319" s="6"/>
      <c r="Z319" s="6">
        <f ca="1">('TUSD BE'!$AM$34+'TUSD BF'!$AM$34+'TUSD CVA'!$AM$34)*1</f>
        <v>87.519361965254689</v>
      </c>
      <c r="AA319" s="6">
        <f>('TE BE'!$AA$11+'TE BF'!$AA$11+'TE CVA'!$AA$11)*1</f>
        <v>230.83420940933817</v>
      </c>
      <c r="AB319" s="6">
        <f t="shared" si="18"/>
        <v>0</v>
      </c>
      <c r="AC319" s="6">
        <f t="shared" si="19"/>
        <v>2979.9448560000001</v>
      </c>
      <c r="AD319" s="6">
        <f t="shared" si="20"/>
        <v>0</v>
      </c>
      <c r="AE319" s="6">
        <f t="shared" ca="1" si="21"/>
        <v>2783.42894524234</v>
      </c>
      <c r="AF319" s="4" t="s">
        <v>1152</v>
      </c>
    </row>
    <row r="320" spans="1:32" ht="11.25" customHeight="1" x14ac:dyDescent="0.25">
      <c r="A320" s="4" t="s">
        <v>21</v>
      </c>
      <c r="B320" s="4" t="s">
        <v>33</v>
      </c>
      <c r="C320" s="4" t="s">
        <v>34</v>
      </c>
      <c r="D320" s="4" t="s">
        <v>47</v>
      </c>
      <c r="E320" s="4" t="s">
        <v>55</v>
      </c>
      <c r="F320" s="4" t="s">
        <v>57</v>
      </c>
      <c r="G320" s="4" t="s">
        <v>25</v>
      </c>
      <c r="H320" s="4" t="s">
        <v>36</v>
      </c>
      <c r="I320" s="5">
        <v>43800</v>
      </c>
      <c r="J320" s="6">
        <v>0</v>
      </c>
      <c r="K320" s="6">
        <v>0</v>
      </c>
      <c r="L320" s="6">
        <v>189.51599999999999</v>
      </c>
      <c r="M320" s="6">
        <v>37.903199999999998</v>
      </c>
      <c r="N320" s="6">
        <v>189.51599999999999</v>
      </c>
      <c r="O320" s="6">
        <v>37.903199999999998</v>
      </c>
      <c r="P320" s="6">
        <v>0</v>
      </c>
      <c r="Q320" s="4" t="s">
        <v>26</v>
      </c>
      <c r="R320" s="4">
        <v>0</v>
      </c>
      <c r="S320" s="4">
        <v>0</v>
      </c>
      <c r="T320" s="4">
        <v>28</v>
      </c>
      <c r="U320" s="4">
        <v>82</v>
      </c>
      <c r="V320" s="6">
        <f>IF(ISERROR(VLOOKUP($S$320,'TAR FIN'!$A$1:$O$120,15,0)),0,VLOOKUP($S$320,'TAR FIN'!$A$1:$O$120,15,0))</f>
        <v>0</v>
      </c>
      <c r="W320" s="6">
        <f>IF(ISERROR(VLOOKUP($T$320,'TAR FIN'!$A$1:$O$120,15,0)),0,VLOOKUP($T$320,'TAR FIN'!$A$1:$O$120,15,0))</f>
        <v>84.45</v>
      </c>
      <c r="X320" s="6">
        <f>IF(ISERROR(VLOOKUP($U$320,'TAR FIN'!$A$1:$O$120,15,0)),0,VLOOKUP($U$320,'TAR FIN'!$A$1:$O$120,15,0))</f>
        <v>256.38</v>
      </c>
      <c r="Y320" s="6"/>
      <c r="Z320" s="6">
        <f ca="1">('TUSD BE'!$AM$34+'TUSD BF'!$AM$34+'TUSD CVA'!$AM$34)*1</f>
        <v>87.519361965254689</v>
      </c>
      <c r="AA320" s="6">
        <f>('TE BE'!$AA$11+'TE BF'!$AA$11+'TE CVA'!$AA$11)*1</f>
        <v>230.83420940933817</v>
      </c>
      <c r="AB320" s="6">
        <f t="shared" si="18"/>
        <v>0</v>
      </c>
      <c r="AC320" s="6">
        <f t="shared" si="19"/>
        <v>51674.190624000003</v>
      </c>
      <c r="AD320" s="6">
        <f t="shared" si="20"/>
        <v>0</v>
      </c>
      <c r="AE320" s="6">
        <f t="shared" ca="1" si="21"/>
        <v>48266.476346101874</v>
      </c>
      <c r="AF320" s="4" t="s">
        <v>1152</v>
      </c>
    </row>
    <row r="321" spans="1:32" ht="11.25" customHeight="1" x14ac:dyDescent="0.25">
      <c r="A321" s="4" t="s">
        <v>27</v>
      </c>
      <c r="B321" s="4" t="s">
        <v>33</v>
      </c>
      <c r="C321" s="4" t="s">
        <v>34</v>
      </c>
      <c r="D321" s="4" t="s">
        <v>47</v>
      </c>
      <c r="E321" s="4" t="s">
        <v>55</v>
      </c>
      <c r="F321" s="4" t="s">
        <v>57</v>
      </c>
      <c r="G321" s="4" t="s">
        <v>25</v>
      </c>
      <c r="H321" s="4" t="s">
        <v>36</v>
      </c>
      <c r="I321" s="5">
        <v>43800</v>
      </c>
      <c r="J321" s="6">
        <v>0</v>
      </c>
      <c r="K321" s="6">
        <v>0</v>
      </c>
      <c r="L321" s="6">
        <v>0.88600000000000001</v>
      </c>
      <c r="M321" s="6">
        <v>0.1772</v>
      </c>
      <c r="N321" s="6">
        <v>0.88600000000000001</v>
      </c>
      <c r="O321" s="6">
        <v>0.1772</v>
      </c>
      <c r="P321" s="6">
        <v>0</v>
      </c>
      <c r="Q321" s="4" t="s">
        <v>26</v>
      </c>
      <c r="R321" s="4">
        <v>0</v>
      </c>
      <c r="S321" s="4">
        <v>0</v>
      </c>
      <c r="T321" s="4">
        <v>28</v>
      </c>
      <c r="U321" s="4">
        <v>82</v>
      </c>
      <c r="V321" s="6">
        <f>IF(ISERROR(VLOOKUP($S$321,'TAR FIN'!$A$1:$O$120,15,0)),0,VLOOKUP($S$321,'TAR FIN'!$A$1:$O$120,15,0))</f>
        <v>0</v>
      </c>
      <c r="W321" s="6">
        <f>IF(ISERROR(VLOOKUP($T$321,'TAR FIN'!$A$1:$O$120,15,0)),0,VLOOKUP($T$321,'TAR FIN'!$A$1:$O$120,15,0))</f>
        <v>84.45</v>
      </c>
      <c r="X321" s="6">
        <f>IF(ISERROR(VLOOKUP($U$321,'TAR FIN'!$A$1:$O$120,15,0)),0,VLOOKUP($U$321,'TAR FIN'!$A$1:$O$120,15,0))</f>
        <v>256.38</v>
      </c>
      <c r="Y321" s="6"/>
      <c r="Z321" s="6">
        <f ca="1">('TUSD BE'!$AM$34+'TUSD BF'!$AM$34+'TUSD CVA'!$AM$34)*1</f>
        <v>87.519361965254689</v>
      </c>
      <c r="AA321" s="6">
        <f>('TE BE'!$AA$11+'TE BF'!$AA$11+'TE CVA'!$AA$11)*1</f>
        <v>230.83420940933817</v>
      </c>
      <c r="AB321" s="6">
        <f t="shared" si="18"/>
        <v>0</v>
      </c>
      <c r="AC321" s="6">
        <f t="shared" si="19"/>
        <v>241.58030399999998</v>
      </c>
      <c r="AD321" s="6">
        <f t="shared" si="20"/>
        <v>0</v>
      </c>
      <c r="AE321" s="6">
        <f t="shared" ca="1" si="21"/>
        <v>225.64901139031141</v>
      </c>
      <c r="AF321" s="4" t="s">
        <v>1152</v>
      </c>
    </row>
    <row r="322" spans="1:32" ht="11.25" customHeight="1" x14ac:dyDescent="0.25">
      <c r="A322" s="4" t="s">
        <v>21</v>
      </c>
      <c r="B322" s="4" t="s">
        <v>33</v>
      </c>
      <c r="C322" s="4" t="s">
        <v>34</v>
      </c>
      <c r="D322" s="4" t="s">
        <v>47</v>
      </c>
      <c r="E322" s="4" t="s">
        <v>55</v>
      </c>
      <c r="F322" s="4" t="s">
        <v>57</v>
      </c>
      <c r="G322" s="4" t="s">
        <v>25</v>
      </c>
      <c r="H322" s="4" t="s">
        <v>36</v>
      </c>
      <c r="I322" s="5">
        <v>43831</v>
      </c>
      <c r="J322" s="6">
        <v>0</v>
      </c>
      <c r="K322" s="6">
        <v>0</v>
      </c>
      <c r="L322" s="6">
        <v>239.26400000000001</v>
      </c>
      <c r="M322" s="6">
        <v>47.852800000000002</v>
      </c>
      <c r="N322" s="6">
        <v>239.26400000000001</v>
      </c>
      <c r="O322" s="6">
        <v>47.852800000000002</v>
      </c>
      <c r="P322" s="6">
        <v>0</v>
      </c>
      <c r="Q322" s="4" t="s">
        <v>26</v>
      </c>
      <c r="R322" s="4">
        <v>0</v>
      </c>
      <c r="S322" s="4">
        <v>0</v>
      </c>
      <c r="T322" s="4">
        <v>28</v>
      </c>
      <c r="U322" s="4">
        <v>82</v>
      </c>
      <c r="V322" s="6">
        <f>IF(ISERROR(VLOOKUP($S$322,'TAR FIN'!$A$1:$O$120,15,0)),0,VLOOKUP($S$322,'TAR FIN'!$A$1:$O$120,15,0))</f>
        <v>0</v>
      </c>
      <c r="W322" s="6">
        <f>IF(ISERROR(VLOOKUP($T$322,'TAR FIN'!$A$1:$O$120,15,0)),0,VLOOKUP($T$322,'TAR FIN'!$A$1:$O$120,15,0))</f>
        <v>84.45</v>
      </c>
      <c r="X322" s="6">
        <f>IF(ISERROR(VLOOKUP($U$322,'TAR FIN'!$A$1:$O$120,15,0)),0,VLOOKUP($U$322,'TAR FIN'!$A$1:$O$120,15,0))</f>
        <v>256.38</v>
      </c>
      <c r="Y322" s="6"/>
      <c r="Z322" s="6">
        <f ca="1">('TUSD BE'!$AM$34+'TUSD BF'!$AM$34+'TUSD CVA'!$AM$34)*1</f>
        <v>87.519361965254689</v>
      </c>
      <c r="AA322" s="6">
        <f>('TE BE'!$AA$11+'TE BF'!$AA$11+'TE CVA'!$AA$11)*1</f>
        <v>230.83420940933817</v>
      </c>
      <c r="AB322" s="6">
        <f t="shared" ref="AB322:AB339" si="22">(J322-K322)*V322</f>
        <v>0</v>
      </c>
      <c r="AC322" s="6">
        <f t="shared" ref="AC322:AC339" si="23">(L322-M322)*W322+(N322-O322)*X322</f>
        <v>65238.679296000002</v>
      </c>
      <c r="AD322" s="6">
        <f t="shared" ref="AD322:AD339" si="24">(J322-K322)*Y322</f>
        <v>0</v>
      </c>
      <c r="AE322" s="6">
        <f t="shared" ref="AE322:AE339" ca="1" si="25">(L322-M322)*Z322+(N322-O322)*AA322</f>
        <v>60936.439121096475</v>
      </c>
      <c r="AF322" s="4" t="s">
        <v>1152</v>
      </c>
    </row>
    <row r="323" spans="1:32" ht="11.25" customHeight="1" x14ac:dyDescent="0.25">
      <c r="A323" s="4" t="s">
        <v>27</v>
      </c>
      <c r="B323" s="4" t="s">
        <v>33</v>
      </c>
      <c r="C323" s="4" t="s">
        <v>34</v>
      </c>
      <c r="D323" s="4" t="s">
        <v>47</v>
      </c>
      <c r="E323" s="4" t="s">
        <v>55</v>
      </c>
      <c r="F323" s="4" t="s">
        <v>57</v>
      </c>
      <c r="G323" s="4" t="s">
        <v>25</v>
      </c>
      <c r="H323" s="4" t="s">
        <v>36</v>
      </c>
      <c r="I323" s="5">
        <v>43831</v>
      </c>
      <c r="J323" s="6">
        <v>0</v>
      </c>
      <c r="K323" s="6">
        <v>0</v>
      </c>
      <c r="L323" s="6">
        <v>4.1440000000000001</v>
      </c>
      <c r="M323" s="6">
        <v>0.82879999999999998</v>
      </c>
      <c r="N323" s="6">
        <v>4.1440000000000001</v>
      </c>
      <c r="O323" s="6">
        <v>0.82879999999999998</v>
      </c>
      <c r="P323" s="6">
        <v>0</v>
      </c>
      <c r="Q323" s="4" t="s">
        <v>26</v>
      </c>
      <c r="R323" s="4">
        <v>0</v>
      </c>
      <c r="S323" s="4">
        <v>0</v>
      </c>
      <c r="T323" s="4">
        <v>28</v>
      </c>
      <c r="U323" s="4">
        <v>82</v>
      </c>
      <c r="V323" s="6">
        <f>IF(ISERROR(VLOOKUP($S$323,'TAR FIN'!$A$1:$O$120,15,0)),0,VLOOKUP($S$323,'TAR FIN'!$A$1:$O$120,15,0))</f>
        <v>0</v>
      </c>
      <c r="W323" s="6">
        <f>IF(ISERROR(VLOOKUP($T$323,'TAR FIN'!$A$1:$O$120,15,0)),0,VLOOKUP($T$323,'TAR FIN'!$A$1:$O$120,15,0))</f>
        <v>84.45</v>
      </c>
      <c r="X323" s="6">
        <f>IF(ISERROR(VLOOKUP($U$323,'TAR FIN'!$A$1:$O$120,15,0)),0,VLOOKUP($U$323,'TAR FIN'!$A$1:$O$120,15,0))</f>
        <v>256.38</v>
      </c>
      <c r="Y323" s="6"/>
      <c r="Z323" s="6">
        <f ca="1">('TUSD BE'!$AM$34+'TUSD BF'!$AM$34+'TUSD CVA'!$AM$34)*1</f>
        <v>87.519361965254689</v>
      </c>
      <c r="AA323" s="6">
        <f>('TE BE'!$AA$11+'TE BF'!$AA$11+'TE CVA'!$AA$11)*1</f>
        <v>230.83420940933817</v>
      </c>
      <c r="AB323" s="6">
        <f t="shared" si="22"/>
        <v>0</v>
      </c>
      <c r="AC323" s="6">
        <f t="shared" si="23"/>
        <v>1129.9196159999999</v>
      </c>
      <c r="AD323" s="6">
        <f t="shared" si="24"/>
        <v>0</v>
      </c>
      <c r="AE323" s="6">
        <f t="shared" ca="1" si="25"/>
        <v>1055.4057598210502</v>
      </c>
      <c r="AF323" s="4" t="s">
        <v>1152</v>
      </c>
    </row>
    <row r="324" spans="1:32" ht="11.25" customHeight="1" x14ac:dyDescent="0.25">
      <c r="A324" s="4" t="s">
        <v>21</v>
      </c>
      <c r="B324" s="4" t="s">
        <v>33</v>
      </c>
      <c r="C324" s="4" t="s">
        <v>34</v>
      </c>
      <c r="D324" s="4" t="s">
        <v>47</v>
      </c>
      <c r="E324" s="4" t="s">
        <v>55</v>
      </c>
      <c r="F324" s="4" t="s">
        <v>57</v>
      </c>
      <c r="G324" s="4" t="s">
        <v>25</v>
      </c>
      <c r="H324" s="4" t="s">
        <v>36</v>
      </c>
      <c r="I324" s="5">
        <v>43862</v>
      </c>
      <c r="J324" s="6">
        <v>0</v>
      </c>
      <c r="K324" s="6">
        <v>0</v>
      </c>
      <c r="L324" s="6">
        <v>147.75299999999999</v>
      </c>
      <c r="M324" s="6">
        <v>29.550599999999999</v>
      </c>
      <c r="N324" s="6">
        <v>147.75299999999999</v>
      </c>
      <c r="O324" s="6">
        <v>29.550599999999999</v>
      </c>
      <c r="P324" s="6">
        <v>0</v>
      </c>
      <c r="Q324" s="4" t="s">
        <v>26</v>
      </c>
      <c r="R324" s="4">
        <v>0</v>
      </c>
      <c r="S324" s="4">
        <v>0</v>
      </c>
      <c r="T324" s="4">
        <v>28</v>
      </c>
      <c r="U324" s="4">
        <v>82</v>
      </c>
      <c r="V324" s="6">
        <f>IF(ISERROR(VLOOKUP($S$324,'TAR FIN'!$A$1:$O$120,15,0)),0,VLOOKUP($S$324,'TAR FIN'!$A$1:$O$120,15,0))</f>
        <v>0</v>
      </c>
      <c r="W324" s="6">
        <f>IF(ISERROR(VLOOKUP($T$324,'TAR FIN'!$A$1:$O$120,15,0)),0,VLOOKUP($T$324,'TAR FIN'!$A$1:$O$120,15,0))</f>
        <v>84.45</v>
      </c>
      <c r="X324" s="6">
        <f>IF(ISERROR(VLOOKUP($U$324,'TAR FIN'!$A$1:$O$120,15,0)),0,VLOOKUP($U$324,'TAR FIN'!$A$1:$O$120,15,0))</f>
        <v>256.38</v>
      </c>
      <c r="Y324" s="6"/>
      <c r="Z324" s="6">
        <f ca="1">('TUSD BE'!$AM$34+'TUSD BF'!$AM$34+'TUSD CVA'!$AM$34)*1</f>
        <v>87.519361965254689</v>
      </c>
      <c r="AA324" s="6">
        <f>('TE BE'!$AA$11+'TE BF'!$AA$11+'TE CVA'!$AA$11)*1</f>
        <v>230.83420940933817</v>
      </c>
      <c r="AB324" s="6">
        <f t="shared" si="22"/>
        <v>0</v>
      </c>
      <c r="AC324" s="6">
        <f t="shared" si="23"/>
        <v>40286.923991999996</v>
      </c>
      <c r="AD324" s="6">
        <f t="shared" si="24"/>
        <v>0</v>
      </c>
      <c r="AE324" s="6">
        <f t="shared" ca="1" si="25"/>
        <v>37630.156185048167</v>
      </c>
      <c r="AF324" s="4" t="s">
        <v>1152</v>
      </c>
    </row>
    <row r="325" spans="1:32" ht="11.25" customHeight="1" x14ac:dyDescent="0.25">
      <c r="A325" s="4" t="s">
        <v>27</v>
      </c>
      <c r="B325" s="4" t="s">
        <v>33</v>
      </c>
      <c r="C325" s="4" t="s">
        <v>34</v>
      </c>
      <c r="D325" s="4" t="s">
        <v>47</v>
      </c>
      <c r="E325" s="4" t="s">
        <v>55</v>
      </c>
      <c r="F325" s="4" t="s">
        <v>57</v>
      </c>
      <c r="G325" s="4" t="s">
        <v>25</v>
      </c>
      <c r="H325" s="4" t="s">
        <v>36</v>
      </c>
      <c r="I325" s="5">
        <v>43862</v>
      </c>
      <c r="J325" s="6">
        <v>0</v>
      </c>
      <c r="K325" s="6">
        <v>0</v>
      </c>
      <c r="L325" s="6">
        <v>15.968999999999999</v>
      </c>
      <c r="M325" s="6">
        <v>3.1938</v>
      </c>
      <c r="N325" s="6">
        <v>15.968999999999999</v>
      </c>
      <c r="O325" s="6">
        <v>3.1938</v>
      </c>
      <c r="P325" s="6">
        <v>0</v>
      </c>
      <c r="Q325" s="4" t="s">
        <v>26</v>
      </c>
      <c r="R325" s="4">
        <v>0</v>
      </c>
      <c r="S325" s="4">
        <v>0</v>
      </c>
      <c r="T325" s="4">
        <v>28</v>
      </c>
      <c r="U325" s="4">
        <v>82</v>
      </c>
      <c r="V325" s="6">
        <f>IF(ISERROR(VLOOKUP($S$325,'TAR FIN'!$A$1:$O$120,15,0)),0,VLOOKUP($S$325,'TAR FIN'!$A$1:$O$120,15,0))</f>
        <v>0</v>
      </c>
      <c r="W325" s="6">
        <f>IF(ISERROR(VLOOKUP($T$325,'TAR FIN'!$A$1:$O$120,15,0)),0,VLOOKUP($T$325,'TAR FIN'!$A$1:$O$120,15,0))</f>
        <v>84.45</v>
      </c>
      <c r="X325" s="6">
        <f>IF(ISERROR(VLOOKUP($U$325,'TAR FIN'!$A$1:$O$120,15,0)),0,VLOOKUP($U$325,'TAR FIN'!$A$1:$O$120,15,0))</f>
        <v>256.38</v>
      </c>
      <c r="Y325" s="6"/>
      <c r="Z325" s="6">
        <f ca="1">('TUSD BE'!$AM$34+'TUSD BF'!$AM$34+'TUSD CVA'!$AM$34)*1</f>
        <v>87.519361965254689</v>
      </c>
      <c r="AA325" s="6">
        <f>('TE BE'!$AA$11+'TE BF'!$AA$11+'TE CVA'!$AA$11)*1</f>
        <v>230.83420940933817</v>
      </c>
      <c r="AB325" s="6">
        <f t="shared" si="22"/>
        <v>0</v>
      </c>
      <c r="AC325" s="6">
        <f t="shared" si="23"/>
        <v>4354.1714159999992</v>
      </c>
      <c r="AD325" s="6">
        <f t="shared" si="24"/>
        <v>0</v>
      </c>
      <c r="AE325" s="6">
        <f t="shared" ca="1" si="25"/>
        <v>4067.0305450246988</v>
      </c>
      <c r="AF325" s="4" t="s">
        <v>1152</v>
      </c>
    </row>
    <row r="326" spans="1:32" ht="11.25" customHeight="1" x14ac:dyDescent="0.25">
      <c r="A326" s="4" t="s">
        <v>21</v>
      </c>
      <c r="B326" s="4" t="s">
        <v>33</v>
      </c>
      <c r="C326" s="4" t="s">
        <v>34</v>
      </c>
      <c r="D326" s="4" t="s">
        <v>47</v>
      </c>
      <c r="E326" s="4" t="s">
        <v>55</v>
      </c>
      <c r="F326" s="4" t="s">
        <v>57</v>
      </c>
      <c r="G326" s="4" t="s">
        <v>25</v>
      </c>
      <c r="H326" s="4" t="s">
        <v>36</v>
      </c>
      <c r="I326" s="5">
        <v>43891</v>
      </c>
      <c r="J326" s="6">
        <v>0</v>
      </c>
      <c r="K326" s="6">
        <v>0</v>
      </c>
      <c r="L326" s="6">
        <v>67.769000000000005</v>
      </c>
      <c r="M326" s="6">
        <v>13.553800000000001</v>
      </c>
      <c r="N326" s="6">
        <v>67.769000000000005</v>
      </c>
      <c r="O326" s="6">
        <v>13.553800000000001</v>
      </c>
      <c r="P326" s="6">
        <v>0</v>
      </c>
      <c r="Q326" s="4" t="s">
        <v>26</v>
      </c>
      <c r="R326" s="4">
        <v>0</v>
      </c>
      <c r="S326" s="4">
        <v>0</v>
      </c>
      <c r="T326" s="4">
        <v>28</v>
      </c>
      <c r="U326" s="4">
        <v>82</v>
      </c>
      <c r="V326" s="6">
        <f>IF(ISERROR(VLOOKUP($S$326,'TAR FIN'!$A$1:$O$120,15,0)),0,VLOOKUP($S$326,'TAR FIN'!$A$1:$O$120,15,0))</f>
        <v>0</v>
      </c>
      <c r="W326" s="6">
        <f>IF(ISERROR(VLOOKUP($T$326,'TAR FIN'!$A$1:$O$120,15,0)),0,VLOOKUP($T$326,'TAR FIN'!$A$1:$O$120,15,0))</f>
        <v>84.45</v>
      </c>
      <c r="X326" s="6">
        <f>IF(ISERROR(VLOOKUP($U$326,'TAR FIN'!$A$1:$O$120,15,0)),0,VLOOKUP($U$326,'TAR FIN'!$A$1:$O$120,15,0))</f>
        <v>256.38</v>
      </c>
      <c r="Y326" s="6"/>
      <c r="Z326" s="6">
        <f ca="1">('TUSD BE'!$AM$34+'TUSD BF'!$AM$34+'TUSD CVA'!$AM$34)*1</f>
        <v>87.519361965254689</v>
      </c>
      <c r="AA326" s="6">
        <f>('TE BE'!$AA$11+'TE BF'!$AA$11+'TE CVA'!$AA$11)*1</f>
        <v>230.83420940933817</v>
      </c>
      <c r="AB326" s="6">
        <f t="shared" si="22"/>
        <v>0</v>
      </c>
      <c r="AC326" s="6">
        <f t="shared" si="23"/>
        <v>18478.166616000002</v>
      </c>
      <c r="AD326" s="6">
        <f t="shared" si="24"/>
        <v>0</v>
      </c>
      <c r="AE326" s="6">
        <f t="shared" ca="1" si="25"/>
        <v>17259.602542787827</v>
      </c>
      <c r="AF326" s="4" t="s">
        <v>1152</v>
      </c>
    </row>
    <row r="327" spans="1:32" ht="11.25" customHeight="1" x14ac:dyDescent="0.25">
      <c r="A327" s="4" t="s">
        <v>27</v>
      </c>
      <c r="B327" s="4" t="s">
        <v>33</v>
      </c>
      <c r="C327" s="4" t="s">
        <v>34</v>
      </c>
      <c r="D327" s="4" t="s">
        <v>47</v>
      </c>
      <c r="E327" s="4" t="s">
        <v>55</v>
      </c>
      <c r="F327" s="4" t="s">
        <v>57</v>
      </c>
      <c r="G327" s="4" t="s">
        <v>25</v>
      </c>
      <c r="H327" s="4" t="s">
        <v>36</v>
      </c>
      <c r="I327" s="5">
        <v>43891</v>
      </c>
      <c r="J327" s="6">
        <v>0</v>
      </c>
      <c r="K327" s="6">
        <v>0</v>
      </c>
      <c r="L327" s="6">
        <v>14.173999999999999</v>
      </c>
      <c r="M327" s="6">
        <v>2.8348</v>
      </c>
      <c r="N327" s="6">
        <v>14.173999999999999</v>
      </c>
      <c r="O327" s="6">
        <v>2.8348</v>
      </c>
      <c r="P327" s="6">
        <v>0</v>
      </c>
      <c r="Q327" s="4" t="s">
        <v>26</v>
      </c>
      <c r="R327" s="4">
        <v>0</v>
      </c>
      <c r="S327" s="4">
        <v>0</v>
      </c>
      <c r="T327" s="4">
        <v>28</v>
      </c>
      <c r="U327" s="4">
        <v>82</v>
      </c>
      <c r="V327" s="6">
        <f>IF(ISERROR(VLOOKUP($S$327,'TAR FIN'!$A$1:$O$120,15,0)),0,VLOOKUP($S$327,'TAR FIN'!$A$1:$O$120,15,0))</f>
        <v>0</v>
      </c>
      <c r="W327" s="6">
        <f>IF(ISERROR(VLOOKUP($T$327,'TAR FIN'!$A$1:$O$120,15,0)),0,VLOOKUP($T$327,'TAR FIN'!$A$1:$O$120,15,0))</f>
        <v>84.45</v>
      </c>
      <c r="X327" s="6">
        <f>IF(ISERROR(VLOOKUP($U$327,'TAR FIN'!$A$1:$O$120,15,0)),0,VLOOKUP($U$327,'TAR FIN'!$A$1:$O$120,15,0))</f>
        <v>256.38</v>
      </c>
      <c r="Y327" s="6"/>
      <c r="Z327" s="6">
        <f ca="1">('TUSD BE'!$AM$34+'TUSD BF'!$AM$34+'TUSD CVA'!$AM$34)*1</f>
        <v>87.519361965254689</v>
      </c>
      <c r="AA327" s="6">
        <f>('TE BE'!$AA$11+'TE BF'!$AA$11+'TE CVA'!$AA$11)*1</f>
        <v>230.83420940933817</v>
      </c>
      <c r="AB327" s="6">
        <f t="shared" si="22"/>
        <v>0</v>
      </c>
      <c r="AC327" s="6">
        <f t="shared" si="23"/>
        <v>3864.739536</v>
      </c>
      <c r="AD327" s="6">
        <f t="shared" si="24"/>
        <v>0</v>
      </c>
      <c r="AE327" s="6">
        <f t="shared" ca="1" si="25"/>
        <v>3609.8748165307834</v>
      </c>
      <c r="AF327" s="4" t="s">
        <v>1152</v>
      </c>
    </row>
    <row r="328" spans="1:32" ht="11.25" customHeight="1" x14ac:dyDescent="0.25">
      <c r="A328" s="4" t="s">
        <v>21</v>
      </c>
      <c r="B328" s="4" t="s">
        <v>33</v>
      </c>
      <c r="C328" s="4" t="s">
        <v>34</v>
      </c>
      <c r="D328" s="4" t="s">
        <v>47</v>
      </c>
      <c r="E328" s="4" t="s">
        <v>55</v>
      </c>
      <c r="F328" s="4" t="s">
        <v>57</v>
      </c>
      <c r="G328" s="4" t="s">
        <v>25</v>
      </c>
      <c r="H328" s="4" t="s">
        <v>36</v>
      </c>
      <c r="I328" s="5">
        <v>43922</v>
      </c>
      <c r="J328" s="6">
        <v>0</v>
      </c>
      <c r="K328" s="6">
        <v>0</v>
      </c>
      <c r="L328" s="6">
        <v>211.55699999999999</v>
      </c>
      <c r="M328" s="6">
        <v>42.311399999999999</v>
      </c>
      <c r="N328" s="6">
        <v>211.55699999999999</v>
      </c>
      <c r="O328" s="6">
        <v>42.311399999999999</v>
      </c>
      <c r="P328" s="6">
        <v>0</v>
      </c>
      <c r="Q328" s="4" t="s">
        <v>26</v>
      </c>
      <c r="R328" s="4">
        <v>0</v>
      </c>
      <c r="S328" s="4">
        <v>0</v>
      </c>
      <c r="T328" s="4">
        <v>28</v>
      </c>
      <c r="U328" s="4">
        <v>82</v>
      </c>
      <c r="V328" s="6">
        <f>IF(ISERROR(VLOOKUP($S$328,'TAR FIN'!$A$1:$O$120,15,0)),0,VLOOKUP($S$328,'TAR FIN'!$A$1:$O$120,15,0))</f>
        <v>0</v>
      </c>
      <c r="W328" s="6">
        <f>IF(ISERROR(VLOOKUP($T$328,'TAR FIN'!$A$1:$O$120,15,0)),0,VLOOKUP($T$328,'TAR FIN'!$A$1:$O$120,15,0))</f>
        <v>84.45</v>
      </c>
      <c r="X328" s="6">
        <f>IF(ISERROR(VLOOKUP($U$328,'TAR FIN'!$A$1:$O$120,15,0)),0,VLOOKUP($U$328,'TAR FIN'!$A$1:$O$120,15,0))</f>
        <v>256.38</v>
      </c>
      <c r="Y328" s="6"/>
      <c r="Z328" s="6">
        <f ca="1">('TUSD BE'!$AM$34+'TUSD BF'!$AM$34+'TUSD CVA'!$AM$34)*1</f>
        <v>87.519361965254689</v>
      </c>
      <c r="AA328" s="6">
        <f>('TE BE'!$AA$11+'TE BF'!$AA$11+'TE CVA'!$AA$11)*1</f>
        <v>230.83420940933817</v>
      </c>
      <c r="AB328" s="6">
        <f t="shared" si="22"/>
        <v>0</v>
      </c>
      <c r="AC328" s="6">
        <f t="shared" si="23"/>
        <v>57683.977847999995</v>
      </c>
      <c r="AD328" s="6">
        <f t="shared" si="24"/>
        <v>0</v>
      </c>
      <c r="AE328" s="6">
        <f t="shared" ca="1" si="25"/>
        <v>53879.941199435794</v>
      </c>
      <c r="AF328" s="4" t="s">
        <v>1152</v>
      </c>
    </row>
    <row r="329" spans="1:32" ht="11.25" customHeight="1" x14ac:dyDescent="0.25">
      <c r="A329" s="4" t="s">
        <v>27</v>
      </c>
      <c r="B329" s="4" t="s">
        <v>33</v>
      </c>
      <c r="C329" s="4" t="s">
        <v>34</v>
      </c>
      <c r="D329" s="4" t="s">
        <v>47</v>
      </c>
      <c r="E329" s="4" t="s">
        <v>55</v>
      </c>
      <c r="F329" s="4" t="s">
        <v>57</v>
      </c>
      <c r="G329" s="4" t="s">
        <v>25</v>
      </c>
      <c r="H329" s="4" t="s">
        <v>36</v>
      </c>
      <c r="I329" s="5">
        <v>43922</v>
      </c>
      <c r="J329" s="6">
        <v>0</v>
      </c>
      <c r="K329" s="6">
        <v>0</v>
      </c>
      <c r="L329" s="6">
        <v>6.3440000000000003</v>
      </c>
      <c r="M329" s="6">
        <v>1.2687999999999999</v>
      </c>
      <c r="N329" s="6">
        <v>6.3440000000000003</v>
      </c>
      <c r="O329" s="6">
        <v>1.2687999999999999</v>
      </c>
      <c r="P329" s="6">
        <v>0</v>
      </c>
      <c r="Q329" s="4" t="s">
        <v>26</v>
      </c>
      <c r="R329" s="4">
        <v>0</v>
      </c>
      <c r="S329" s="4">
        <v>0</v>
      </c>
      <c r="T329" s="4">
        <v>28</v>
      </c>
      <c r="U329" s="4">
        <v>82</v>
      </c>
      <c r="V329" s="6">
        <f>IF(ISERROR(VLOOKUP($S$329,'TAR FIN'!$A$1:$O$120,15,0)),0,VLOOKUP($S$329,'TAR FIN'!$A$1:$O$120,15,0))</f>
        <v>0</v>
      </c>
      <c r="W329" s="6">
        <f>IF(ISERROR(VLOOKUP($T$329,'TAR FIN'!$A$1:$O$120,15,0)),0,VLOOKUP($T$329,'TAR FIN'!$A$1:$O$120,15,0))</f>
        <v>84.45</v>
      </c>
      <c r="X329" s="6">
        <f>IF(ISERROR(VLOOKUP($U$329,'TAR FIN'!$A$1:$O$120,15,0)),0,VLOOKUP($U$329,'TAR FIN'!$A$1:$O$120,15,0))</f>
        <v>256.38</v>
      </c>
      <c r="Y329" s="6"/>
      <c r="Z329" s="6">
        <f ca="1">('TUSD BE'!$AM$34+'TUSD BF'!$AM$34+'TUSD CVA'!$AM$34)*1</f>
        <v>87.519361965254689</v>
      </c>
      <c r="AA329" s="6">
        <f>('TE BE'!$AA$11+'TE BF'!$AA$11+'TE CVA'!$AA$11)*1</f>
        <v>230.83420940933817</v>
      </c>
      <c r="AB329" s="6">
        <f t="shared" si="22"/>
        <v>0</v>
      </c>
      <c r="AC329" s="6">
        <f t="shared" si="23"/>
        <v>1729.7804160000003</v>
      </c>
      <c r="AD329" s="6">
        <f t="shared" si="24"/>
        <v>0</v>
      </c>
      <c r="AE329" s="6">
        <f t="shared" ca="1" si="25"/>
        <v>1615.7080454403338</v>
      </c>
      <c r="AF329" s="4" t="s">
        <v>1152</v>
      </c>
    </row>
    <row r="330" spans="1:32" ht="11.25" customHeight="1" x14ac:dyDescent="0.25">
      <c r="A330" s="4" t="s">
        <v>21</v>
      </c>
      <c r="B330" s="4" t="s">
        <v>33</v>
      </c>
      <c r="C330" s="4" t="s">
        <v>34</v>
      </c>
      <c r="D330" s="4" t="s">
        <v>47</v>
      </c>
      <c r="E330" s="4" t="s">
        <v>55</v>
      </c>
      <c r="F330" s="4" t="s">
        <v>57</v>
      </c>
      <c r="G330" s="4" t="s">
        <v>25</v>
      </c>
      <c r="H330" s="4" t="s">
        <v>36</v>
      </c>
      <c r="I330" s="5">
        <v>43952</v>
      </c>
      <c r="J330" s="6">
        <v>0</v>
      </c>
      <c r="K330" s="6">
        <v>0</v>
      </c>
      <c r="L330" s="6">
        <v>406.21899999999999</v>
      </c>
      <c r="M330" s="6">
        <v>81.243799999999993</v>
      </c>
      <c r="N330" s="6">
        <v>406.21899999999999</v>
      </c>
      <c r="O330" s="6">
        <v>81.243799999999993</v>
      </c>
      <c r="P330" s="6">
        <v>0</v>
      </c>
      <c r="Q330" s="4" t="s">
        <v>26</v>
      </c>
      <c r="R330" s="4">
        <v>0</v>
      </c>
      <c r="S330" s="4">
        <v>0</v>
      </c>
      <c r="T330" s="4">
        <v>28</v>
      </c>
      <c r="U330" s="4">
        <v>82</v>
      </c>
      <c r="V330" s="6">
        <f>IF(ISERROR(VLOOKUP($S$330,'TAR FIN'!$A$1:$O$120,15,0)),0,VLOOKUP($S$330,'TAR FIN'!$A$1:$O$120,15,0))</f>
        <v>0</v>
      </c>
      <c r="W330" s="6">
        <f>IF(ISERROR(VLOOKUP($T$330,'TAR FIN'!$A$1:$O$120,15,0)),0,VLOOKUP($T$330,'TAR FIN'!$A$1:$O$120,15,0))</f>
        <v>84.45</v>
      </c>
      <c r="X330" s="6">
        <f>IF(ISERROR(VLOOKUP($U$330,'TAR FIN'!$A$1:$O$120,15,0)),0,VLOOKUP($U$330,'TAR FIN'!$A$1:$O$120,15,0))</f>
        <v>256.38</v>
      </c>
      <c r="Y330" s="6"/>
      <c r="Z330" s="6">
        <f ca="1">('TUSD BE'!$AM$34+'TUSD BF'!$AM$34+'TUSD CVA'!$AM$34)*1</f>
        <v>87.519361965254689</v>
      </c>
      <c r="AA330" s="6">
        <f>('TE BE'!$AA$11+'TE BF'!$AA$11+'TE CVA'!$AA$11)*1</f>
        <v>230.83420940933817</v>
      </c>
      <c r="AB330" s="6">
        <f t="shared" si="22"/>
        <v>0</v>
      </c>
      <c r="AC330" s="6">
        <f t="shared" si="23"/>
        <v>110761.29741599999</v>
      </c>
      <c r="AD330" s="6">
        <f t="shared" si="24"/>
        <v>0</v>
      </c>
      <c r="AE330" s="6">
        <f t="shared" ca="1" si="25"/>
        <v>103457.01552817257</v>
      </c>
      <c r="AF330" s="4" t="s">
        <v>1152</v>
      </c>
    </row>
    <row r="331" spans="1:32" ht="11.25" customHeight="1" x14ac:dyDescent="0.25">
      <c r="A331" s="4" t="s">
        <v>27</v>
      </c>
      <c r="B331" s="4" t="s">
        <v>33</v>
      </c>
      <c r="C331" s="4" t="s">
        <v>34</v>
      </c>
      <c r="D331" s="4" t="s">
        <v>47</v>
      </c>
      <c r="E331" s="4" t="s">
        <v>55</v>
      </c>
      <c r="F331" s="4" t="s">
        <v>57</v>
      </c>
      <c r="G331" s="4" t="s">
        <v>25</v>
      </c>
      <c r="H331" s="4" t="s">
        <v>36</v>
      </c>
      <c r="I331" s="5">
        <v>43952</v>
      </c>
      <c r="J331" s="6">
        <v>0</v>
      </c>
      <c r="K331" s="6">
        <v>0</v>
      </c>
      <c r="L331" s="6">
        <v>5.2149999999999999</v>
      </c>
      <c r="M331" s="6">
        <v>1.0429999999999999</v>
      </c>
      <c r="N331" s="6">
        <v>5.2149999999999999</v>
      </c>
      <c r="O331" s="6">
        <v>1.0429999999999999</v>
      </c>
      <c r="P331" s="6">
        <v>0</v>
      </c>
      <c r="Q331" s="4" t="s">
        <v>26</v>
      </c>
      <c r="R331" s="4">
        <v>0</v>
      </c>
      <c r="S331" s="4">
        <v>0</v>
      </c>
      <c r="T331" s="4">
        <v>28</v>
      </c>
      <c r="U331" s="4">
        <v>82</v>
      </c>
      <c r="V331" s="6">
        <f>IF(ISERROR(VLOOKUP($S$331,'TAR FIN'!$A$1:$O$120,15,0)),0,VLOOKUP($S$331,'TAR FIN'!$A$1:$O$120,15,0))</f>
        <v>0</v>
      </c>
      <c r="W331" s="6">
        <f>IF(ISERROR(VLOOKUP($T$331,'TAR FIN'!$A$1:$O$120,15,0)),0,VLOOKUP($T$331,'TAR FIN'!$A$1:$O$120,15,0))</f>
        <v>84.45</v>
      </c>
      <c r="X331" s="6">
        <f>IF(ISERROR(VLOOKUP($U$331,'TAR FIN'!$A$1:$O$120,15,0)),0,VLOOKUP($U$331,'TAR FIN'!$A$1:$O$120,15,0))</f>
        <v>256.38</v>
      </c>
      <c r="Y331" s="6"/>
      <c r="Z331" s="6">
        <f ca="1">('TUSD BE'!$AM$34+'TUSD BF'!$AM$34+'TUSD CVA'!$AM$34)*1</f>
        <v>87.519361965254689</v>
      </c>
      <c r="AA331" s="6">
        <f>('TE BE'!$AA$11+'TE BF'!$AA$11+'TE CVA'!$AA$11)*1</f>
        <v>230.83420940933817</v>
      </c>
      <c r="AB331" s="6">
        <f t="shared" si="22"/>
        <v>0</v>
      </c>
      <c r="AC331" s="6">
        <f t="shared" si="23"/>
        <v>1421.9427599999999</v>
      </c>
      <c r="AD331" s="6">
        <f t="shared" si="24"/>
        <v>0</v>
      </c>
      <c r="AE331" s="6">
        <f t="shared" ca="1" si="25"/>
        <v>1328.1710997748014</v>
      </c>
      <c r="AF331" s="4" t="s">
        <v>1152</v>
      </c>
    </row>
    <row r="332" spans="1:32" ht="11.25" customHeight="1" x14ac:dyDescent="0.25">
      <c r="A332" s="4" t="s">
        <v>21</v>
      </c>
      <c r="B332" s="4" t="s">
        <v>33</v>
      </c>
      <c r="C332" s="4" t="s">
        <v>34</v>
      </c>
      <c r="D332" s="4" t="s">
        <v>47</v>
      </c>
      <c r="E332" s="4" t="s">
        <v>55</v>
      </c>
      <c r="F332" s="4" t="s">
        <v>57</v>
      </c>
      <c r="G332" s="4" t="s">
        <v>25</v>
      </c>
      <c r="H332" s="4" t="s">
        <v>36</v>
      </c>
      <c r="I332" s="5">
        <v>43983</v>
      </c>
      <c r="J332" s="6">
        <v>0</v>
      </c>
      <c r="K332" s="6">
        <v>0</v>
      </c>
      <c r="L332" s="6">
        <v>832.40599999999995</v>
      </c>
      <c r="M332" s="6">
        <v>166.4812</v>
      </c>
      <c r="N332" s="6">
        <v>832.40599999999995</v>
      </c>
      <c r="O332" s="6">
        <v>166.4812</v>
      </c>
      <c r="P332" s="6">
        <v>0</v>
      </c>
      <c r="Q332" s="4" t="s">
        <v>26</v>
      </c>
      <c r="R332" s="4">
        <v>0</v>
      </c>
      <c r="S332" s="4">
        <v>0</v>
      </c>
      <c r="T332" s="4">
        <v>28</v>
      </c>
      <c r="U332" s="4">
        <v>82</v>
      </c>
      <c r="V332" s="6">
        <f>IF(ISERROR(VLOOKUP($S$332,'TAR FIN'!$A$1:$O$120,15,0)),0,VLOOKUP($S$332,'TAR FIN'!$A$1:$O$120,15,0))</f>
        <v>0</v>
      </c>
      <c r="W332" s="6">
        <f>IF(ISERROR(VLOOKUP($T$332,'TAR FIN'!$A$1:$O$120,15,0)),0,VLOOKUP($T$332,'TAR FIN'!$A$1:$O$120,15,0))</f>
        <v>84.45</v>
      </c>
      <c r="X332" s="6">
        <f>IF(ISERROR(VLOOKUP($U$332,'TAR FIN'!$A$1:$O$120,15,0)),0,VLOOKUP($U$332,'TAR FIN'!$A$1:$O$120,15,0))</f>
        <v>256.38</v>
      </c>
      <c r="Y332" s="6"/>
      <c r="Z332" s="6">
        <f ca="1">('TUSD BE'!$AM$34+'TUSD BF'!$AM$34+'TUSD CVA'!$AM$34)*1</f>
        <v>87.519361965254689</v>
      </c>
      <c r="AA332" s="6">
        <f>('TE BE'!$AA$11+'TE BF'!$AA$11+'TE CVA'!$AA$11)*1</f>
        <v>230.83420940933817</v>
      </c>
      <c r="AB332" s="6">
        <f t="shared" si="22"/>
        <v>0</v>
      </c>
      <c r="AC332" s="6">
        <f t="shared" si="23"/>
        <v>226967.149584</v>
      </c>
      <c r="AD332" s="6">
        <f t="shared" si="24"/>
        <v>0</v>
      </c>
      <c r="AE332" s="6">
        <f t="shared" ca="1" si="25"/>
        <v>211999.53834691149</v>
      </c>
      <c r="AF332" s="4" t="s">
        <v>1152</v>
      </c>
    </row>
    <row r="333" spans="1:32" ht="11.25" customHeight="1" x14ac:dyDescent="0.25">
      <c r="A333" s="4" t="s">
        <v>27</v>
      </c>
      <c r="B333" s="4" t="s">
        <v>33</v>
      </c>
      <c r="C333" s="4" t="s">
        <v>34</v>
      </c>
      <c r="D333" s="4" t="s">
        <v>47</v>
      </c>
      <c r="E333" s="4" t="s">
        <v>55</v>
      </c>
      <c r="F333" s="4" t="s">
        <v>57</v>
      </c>
      <c r="G333" s="4" t="s">
        <v>25</v>
      </c>
      <c r="H333" s="4" t="s">
        <v>36</v>
      </c>
      <c r="I333" s="5">
        <v>43983</v>
      </c>
      <c r="J333" s="6">
        <v>0</v>
      </c>
      <c r="K333" s="6">
        <v>0</v>
      </c>
      <c r="L333" s="6">
        <v>28.344999999999999</v>
      </c>
      <c r="M333" s="6">
        <v>5.6689999999999996</v>
      </c>
      <c r="N333" s="6">
        <v>28.344999999999999</v>
      </c>
      <c r="O333" s="6">
        <v>5.6689999999999996</v>
      </c>
      <c r="P333" s="6">
        <v>0</v>
      </c>
      <c r="Q333" s="4" t="s">
        <v>26</v>
      </c>
      <c r="R333" s="4">
        <v>0</v>
      </c>
      <c r="S333" s="4">
        <v>0</v>
      </c>
      <c r="T333" s="4">
        <v>28</v>
      </c>
      <c r="U333" s="4">
        <v>82</v>
      </c>
      <c r="V333" s="6">
        <f>IF(ISERROR(VLOOKUP($S$333,'TAR FIN'!$A$1:$O$120,15,0)),0,VLOOKUP($S$333,'TAR FIN'!$A$1:$O$120,15,0))</f>
        <v>0</v>
      </c>
      <c r="W333" s="6">
        <f>IF(ISERROR(VLOOKUP($T$333,'TAR FIN'!$A$1:$O$120,15,0)),0,VLOOKUP($T$333,'TAR FIN'!$A$1:$O$120,15,0))</f>
        <v>84.45</v>
      </c>
      <c r="X333" s="6">
        <f>IF(ISERROR(VLOOKUP($U$333,'TAR FIN'!$A$1:$O$120,15,0)),0,VLOOKUP($U$333,'TAR FIN'!$A$1:$O$120,15,0))</f>
        <v>256.38</v>
      </c>
      <c r="Y333" s="6"/>
      <c r="Z333" s="6">
        <f ca="1">('TUSD BE'!$AM$34+'TUSD BF'!$AM$34+'TUSD CVA'!$AM$34)*1</f>
        <v>87.519361965254689</v>
      </c>
      <c r="AA333" s="6">
        <f>('TE BE'!$AA$11+'TE BF'!$AA$11+'TE CVA'!$AA$11)*1</f>
        <v>230.83420940933817</v>
      </c>
      <c r="AB333" s="6">
        <f t="shared" si="22"/>
        <v>0</v>
      </c>
      <c r="AC333" s="6">
        <f t="shared" si="23"/>
        <v>7728.6610799999989</v>
      </c>
      <c r="AD333" s="6">
        <f t="shared" si="24"/>
        <v>0</v>
      </c>
      <c r="AE333" s="6">
        <f t="shared" ca="1" si="25"/>
        <v>7218.9855844902668</v>
      </c>
      <c r="AF333" s="4" t="s">
        <v>1152</v>
      </c>
    </row>
    <row r="334" spans="1:32" ht="11.25" customHeight="1" x14ac:dyDescent="0.25">
      <c r="A334" s="4" t="s">
        <v>21</v>
      </c>
      <c r="B334" s="4" t="s">
        <v>33</v>
      </c>
      <c r="C334" s="4" t="s">
        <v>34</v>
      </c>
      <c r="D334" s="4" t="s">
        <v>47</v>
      </c>
      <c r="E334" s="4" t="s">
        <v>55</v>
      </c>
      <c r="F334" s="4" t="s">
        <v>57</v>
      </c>
      <c r="G334" s="4" t="s">
        <v>25</v>
      </c>
      <c r="H334" s="4" t="s">
        <v>36</v>
      </c>
      <c r="I334" s="5">
        <v>44013</v>
      </c>
      <c r="J334" s="6">
        <v>0</v>
      </c>
      <c r="K334" s="6">
        <v>0</v>
      </c>
      <c r="L334" s="6">
        <v>1179.5039999999999</v>
      </c>
      <c r="M334" s="6">
        <v>235.9008</v>
      </c>
      <c r="N334" s="6">
        <v>1179.5039999999999</v>
      </c>
      <c r="O334" s="6">
        <v>235.9008</v>
      </c>
      <c r="P334" s="6">
        <v>0</v>
      </c>
      <c r="Q334" s="4" t="s">
        <v>26</v>
      </c>
      <c r="R334" s="4">
        <v>0</v>
      </c>
      <c r="S334" s="4">
        <v>0</v>
      </c>
      <c r="T334" s="4">
        <v>28</v>
      </c>
      <c r="U334" s="4">
        <v>82</v>
      </c>
      <c r="V334" s="6">
        <f>IF(ISERROR(VLOOKUP($S$334,'TAR FIN'!$A$1:$O$120,15,0)),0,VLOOKUP($S$334,'TAR FIN'!$A$1:$O$120,15,0))</f>
        <v>0</v>
      </c>
      <c r="W334" s="6">
        <f>IF(ISERROR(VLOOKUP($T$334,'TAR FIN'!$A$1:$O$120,15,0)),0,VLOOKUP($T$334,'TAR FIN'!$A$1:$O$120,15,0))</f>
        <v>84.45</v>
      </c>
      <c r="X334" s="6">
        <f>IF(ISERROR(VLOOKUP($U$334,'TAR FIN'!$A$1:$O$120,15,0)),0,VLOOKUP($U$334,'TAR FIN'!$A$1:$O$120,15,0))</f>
        <v>256.38</v>
      </c>
      <c r="Y334" s="6"/>
      <c r="Z334" s="6">
        <f ca="1">('TUSD BE'!$AM$34+'TUSD BF'!$AM$34+'TUSD CVA'!$AM$34)*1</f>
        <v>87.519361965254689</v>
      </c>
      <c r="AA334" s="6">
        <f>('TE BE'!$AA$11+'TE BF'!$AA$11+'TE CVA'!$AA$11)*1</f>
        <v>230.83420940933817</v>
      </c>
      <c r="AB334" s="6">
        <f t="shared" si="22"/>
        <v>0</v>
      </c>
      <c r="AC334" s="6">
        <f t="shared" si="23"/>
        <v>321608.27865599998</v>
      </c>
      <c r="AD334" s="6">
        <f t="shared" si="24"/>
        <v>0</v>
      </c>
      <c r="AE334" s="6">
        <f t="shared" ca="1" si="25"/>
        <v>300399.44868049421</v>
      </c>
      <c r="AF334" s="4" t="s">
        <v>1152</v>
      </c>
    </row>
    <row r="335" spans="1:32" ht="11.25" customHeight="1" x14ac:dyDescent="0.25">
      <c r="A335" s="4" t="s">
        <v>27</v>
      </c>
      <c r="B335" s="4" t="s">
        <v>33</v>
      </c>
      <c r="C335" s="4" t="s">
        <v>34</v>
      </c>
      <c r="D335" s="4" t="s">
        <v>47</v>
      </c>
      <c r="E335" s="4" t="s">
        <v>55</v>
      </c>
      <c r="F335" s="4" t="s">
        <v>57</v>
      </c>
      <c r="G335" s="4" t="s">
        <v>25</v>
      </c>
      <c r="H335" s="4" t="s">
        <v>36</v>
      </c>
      <c r="I335" s="5">
        <v>44013</v>
      </c>
      <c r="J335" s="6">
        <v>0</v>
      </c>
      <c r="K335" s="6">
        <v>0</v>
      </c>
      <c r="L335" s="6">
        <v>29.838000000000001</v>
      </c>
      <c r="M335" s="6">
        <v>5.9676</v>
      </c>
      <c r="N335" s="6">
        <v>29.838000000000001</v>
      </c>
      <c r="O335" s="6">
        <v>5.9676</v>
      </c>
      <c r="P335" s="6">
        <v>0</v>
      </c>
      <c r="Q335" s="4" t="s">
        <v>26</v>
      </c>
      <c r="R335" s="4">
        <v>0</v>
      </c>
      <c r="S335" s="4">
        <v>0</v>
      </c>
      <c r="T335" s="4">
        <v>28</v>
      </c>
      <c r="U335" s="4">
        <v>82</v>
      </c>
      <c r="V335" s="6">
        <f>IF(ISERROR(VLOOKUP($S$335,'TAR FIN'!$A$1:$O$120,15,0)),0,VLOOKUP($S$335,'TAR FIN'!$A$1:$O$120,15,0))</f>
        <v>0</v>
      </c>
      <c r="W335" s="6">
        <f>IF(ISERROR(VLOOKUP($T$335,'TAR FIN'!$A$1:$O$120,15,0)),0,VLOOKUP($T$335,'TAR FIN'!$A$1:$O$120,15,0))</f>
        <v>84.45</v>
      </c>
      <c r="X335" s="6">
        <f>IF(ISERROR(VLOOKUP($U$335,'TAR FIN'!$A$1:$O$120,15,0)),0,VLOOKUP($U$335,'TAR FIN'!$A$1:$O$120,15,0))</f>
        <v>256.38</v>
      </c>
      <c r="Y335" s="6"/>
      <c r="Z335" s="6">
        <f ca="1">('TUSD BE'!$AM$34+'TUSD BF'!$AM$34+'TUSD CVA'!$AM$34)*1</f>
        <v>87.519361965254689</v>
      </c>
      <c r="AA335" s="6">
        <f>('TE BE'!$AA$11+'TE BF'!$AA$11+'TE CVA'!$AA$11)*1</f>
        <v>230.83420940933817</v>
      </c>
      <c r="AB335" s="6">
        <f t="shared" si="22"/>
        <v>0</v>
      </c>
      <c r="AC335" s="6">
        <f t="shared" si="23"/>
        <v>8135.7484319999994</v>
      </c>
      <c r="AD335" s="6">
        <f t="shared" si="24"/>
        <v>0</v>
      </c>
      <c r="AE335" s="6">
        <f t="shared" ca="1" si="25"/>
        <v>7599.2270901400816</v>
      </c>
      <c r="AF335" s="4" t="s">
        <v>1152</v>
      </c>
    </row>
    <row r="336" spans="1:32" ht="11.25" customHeight="1" x14ac:dyDescent="0.25">
      <c r="A336" s="4" t="s">
        <v>21</v>
      </c>
      <c r="B336" s="4" t="s">
        <v>33</v>
      </c>
      <c r="C336" s="4" t="s">
        <v>34</v>
      </c>
      <c r="D336" s="4" t="s">
        <v>47</v>
      </c>
      <c r="E336" s="4" t="s">
        <v>55</v>
      </c>
      <c r="F336" s="4" t="s">
        <v>57</v>
      </c>
      <c r="G336" s="4" t="s">
        <v>25</v>
      </c>
      <c r="H336" s="4" t="s">
        <v>36</v>
      </c>
      <c r="I336" s="5">
        <v>44044</v>
      </c>
      <c r="J336" s="6">
        <v>0</v>
      </c>
      <c r="K336" s="6">
        <v>0</v>
      </c>
      <c r="L336" s="6">
        <v>1170.998</v>
      </c>
      <c r="M336" s="6">
        <v>234.1996</v>
      </c>
      <c r="N336" s="6">
        <v>1170.998</v>
      </c>
      <c r="O336" s="6">
        <v>234.1996</v>
      </c>
      <c r="P336" s="6">
        <v>0</v>
      </c>
      <c r="Q336" s="4" t="s">
        <v>26</v>
      </c>
      <c r="R336" s="4">
        <v>0</v>
      </c>
      <c r="S336" s="4">
        <v>0</v>
      </c>
      <c r="T336" s="4">
        <v>28</v>
      </c>
      <c r="U336" s="4">
        <v>82</v>
      </c>
      <c r="V336" s="6">
        <f>IF(ISERROR(VLOOKUP($S$336,'TAR FIN'!$A$1:$O$120,15,0)),0,VLOOKUP($S$336,'TAR FIN'!$A$1:$O$120,15,0))</f>
        <v>0</v>
      </c>
      <c r="W336" s="6">
        <f>IF(ISERROR(VLOOKUP($T$336,'TAR FIN'!$A$1:$O$120,15,0)),0,VLOOKUP($T$336,'TAR FIN'!$A$1:$O$120,15,0))</f>
        <v>84.45</v>
      </c>
      <c r="X336" s="6">
        <f>IF(ISERROR(VLOOKUP($U$336,'TAR FIN'!$A$1:$O$120,15,0)),0,VLOOKUP($U$336,'TAR FIN'!$A$1:$O$120,15,0))</f>
        <v>256.38</v>
      </c>
      <c r="Y336" s="6"/>
      <c r="Z336" s="6">
        <f ca="1">('TUSD BE'!$AM$34+'TUSD BF'!$AM$34+'TUSD CVA'!$AM$34)*1</f>
        <v>87.519361965254689</v>
      </c>
      <c r="AA336" s="6">
        <f>('TE BE'!$AA$11+'TE BF'!$AA$11+'TE CVA'!$AA$11)*1</f>
        <v>230.83420940933817</v>
      </c>
      <c r="AB336" s="6">
        <f t="shared" si="22"/>
        <v>0</v>
      </c>
      <c r="AC336" s="6">
        <f t="shared" si="23"/>
        <v>319288.99867200002</v>
      </c>
      <c r="AD336" s="6">
        <f t="shared" si="24"/>
        <v>0</v>
      </c>
      <c r="AE336" s="6">
        <f t="shared" ca="1" si="25"/>
        <v>298233.1162980044</v>
      </c>
      <c r="AF336" s="4" t="s">
        <v>1152</v>
      </c>
    </row>
    <row r="337" spans="1:32" ht="11.25" customHeight="1" x14ac:dyDescent="0.25">
      <c r="A337" s="4" t="s">
        <v>27</v>
      </c>
      <c r="B337" s="4" t="s">
        <v>33</v>
      </c>
      <c r="C337" s="4" t="s">
        <v>34</v>
      </c>
      <c r="D337" s="4" t="s">
        <v>47</v>
      </c>
      <c r="E337" s="4" t="s">
        <v>55</v>
      </c>
      <c r="F337" s="4" t="s">
        <v>57</v>
      </c>
      <c r="G337" s="4" t="s">
        <v>25</v>
      </c>
      <c r="H337" s="4" t="s">
        <v>36</v>
      </c>
      <c r="I337" s="5">
        <v>44044</v>
      </c>
      <c r="J337" s="6">
        <v>0</v>
      </c>
      <c r="K337" s="6">
        <v>0</v>
      </c>
      <c r="L337" s="6">
        <v>28.576000000000001</v>
      </c>
      <c r="M337" s="6">
        <v>5.7152000000000003</v>
      </c>
      <c r="N337" s="6">
        <v>28.576000000000001</v>
      </c>
      <c r="O337" s="6">
        <v>5.7152000000000003</v>
      </c>
      <c r="P337" s="6">
        <v>0</v>
      </c>
      <c r="Q337" s="4" t="s">
        <v>26</v>
      </c>
      <c r="R337" s="4">
        <v>0</v>
      </c>
      <c r="S337" s="4">
        <v>0</v>
      </c>
      <c r="T337" s="4">
        <v>28</v>
      </c>
      <c r="U337" s="4">
        <v>82</v>
      </c>
      <c r="V337" s="6">
        <f>IF(ISERROR(VLOOKUP($S$337,'TAR FIN'!$A$1:$O$120,15,0)),0,VLOOKUP($S$337,'TAR FIN'!$A$1:$O$120,15,0))</f>
        <v>0</v>
      </c>
      <c r="W337" s="6">
        <f>IF(ISERROR(VLOOKUP($T$337,'TAR FIN'!$A$1:$O$120,15,0)),0,VLOOKUP($T$337,'TAR FIN'!$A$1:$O$120,15,0))</f>
        <v>84.45</v>
      </c>
      <c r="X337" s="6">
        <f>IF(ISERROR(VLOOKUP($U$337,'TAR FIN'!$A$1:$O$120,15,0)),0,VLOOKUP($U$337,'TAR FIN'!$A$1:$O$120,15,0))</f>
        <v>256.38</v>
      </c>
      <c r="Y337" s="6"/>
      <c r="Z337" s="6">
        <f ca="1">('TUSD BE'!$AM$34+'TUSD BF'!$AM$34+'TUSD CVA'!$AM$34)*1</f>
        <v>87.519361965254689</v>
      </c>
      <c r="AA337" s="6">
        <f>('TE BE'!$AA$11+'TE BF'!$AA$11+'TE CVA'!$AA$11)*1</f>
        <v>230.83420940933817</v>
      </c>
      <c r="AB337" s="6">
        <f t="shared" si="22"/>
        <v>0</v>
      </c>
      <c r="AC337" s="6">
        <f t="shared" si="23"/>
        <v>7791.6464640000004</v>
      </c>
      <c r="AD337" s="6">
        <f t="shared" si="24"/>
        <v>0</v>
      </c>
      <c r="AE337" s="6">
        <f t="shared" ca="1" si="25"/>
        <v>7277.8173244802929</v>
      </c>
      <c r="AF337" s="4" t="s">
        <v>1152</v>
      </c>
    </row>
    <row r="338" spans="1:32" ht="11.25" customHeight="1" x14ac:dyDescent="0.25">
      <c r="A338" s="4" t="s">
        <v>59</v>
      </c>
      <c r="B338" s="4" t="s">
        <v>33</v>
      </c>
      <c r="C338" s="4" t="s">
        <v>34</v>
      </c>
      <c r="D338" s="4" t="s">
        <v>47</v>
      </c>
      <c r="E338" s="4" t="s">
        <v>55</v>
      </c>
      <c r="F338" s="4" t="s">
        <v>57</v>
      </c>
      <c r="G338" s="4" t="s">
        <v>25</v>
      </c>
      <c r="H338" s="4" t="s">
        <v>36</v>
      </c>
      <c r="I338" s="5">
        <v>44075</v>
      </c>
      <c r="J338" s="6">
        <v>0</v>
      </c>
      <c r="K338" s="6">
        <v>0</v>
      </c>
      <c r="L338" s="6">
        <v>1170.998</v>
      </c>
      <c r="M338" s="6">
        <v>234.1996</v>
      </c>
      <c r="N338" s="6">
        <v>1170.998</v>
      </c>
      <c r="O338" s="6">
        <v>234.1996</v>
      </c>
      <c r="P338" s="6">
        <v>0</v>
      </c>
      <c r="Q338" s="4" t="s">
        <v>26</v>
      </c>
      <c r="R338" s="4">
        <v>0</v>
      </c>
      <c r="S338" s="4">
        <v>0</v>
      </c>
      <c r="T338" s="4">
        <v>28</v>
      </c>
      <c r="U338" s="4">
        <v>82</v>
      </c>
      <c r="V338" s="6">
        <f>IF(ISERROR(VLOOKUP($S$338,'TAR FIN'!$A$1:$O$120,15,0)),0,VLOOKUP($S$338,'TAR FIN'!$A$1:$O$120,15,0))</f>
        <v>0</v>
      </c>
      <c r="W338" s="6">
        <f>IF(ISERROR(VLOOKUP($T$338,'TAR FIN'!$A$1:$O$120,15,0)),0,VLOOKUP($T$338,'TAR FIN'!$A$1:$O$120,15,0))</f>
        <v>84.45</v>
      </c>
      <c r="X338" s="6">
        <f>IF(ISERROR(VLOOKUP($U$338,'TAR FIN'!$A$1:$O$120,15,0)),0,VLOOKUP($U$338,'TAR FIN'!$A$1:$O$120,15,0))</f>
        <v>256.38</v>
      </c>
      <c r="Y338" s="6"/>
      <c r="Z338" s="6">
        <f ca="1">('TUSD BE'!$AM$34+'TUSD BF'!$AM$34+'TUSD CVA'!$AM$34)*1</f>
        <v>87.519361965254689</v>
      </c>
      <c r="AA338" s="6">
        <f>('TE BE'!$AA$11+'TE BF'!$AA$11+'TE CVA'!$AA$11)*1</f>
        <v>230.83420940933817</v>
      </c>
      <c r="AB338" s="6">
        <f t="shared" si="22"/>
        <v>0</v>
      </c>
      <c r="AC338" s="6">
        <f t="shared" si="23"/>
        <v>319288.99867200002</v>
      </c>
      <c r="AD338" s="6">
        <f t="shared" si="24"/>
        <v>0</v>
      </c>
      <c r="AE338" s="6">
        <f t="shared" ca="1" si="25"/>
        <v>298233.1162980044</v>
      </c>
      <c r="AF338" s="4" t="s">
        <v>1152</v>
      </c>
    </row>
    <row r="339" spans="1:32" ht="11.25" customHeight="1" x14ac:dyDescent="0.25">
      <c r="A339" s="4" t="s">
        <v>59</v>
      </c>
      <c r="B339" s="4" t="s">
        <v>33</v>
      </c>
      <c r="C339" s="4" t="s">
        <v>34</v>
      </c>
      <c r="D339" s="4" t="s">
        <v>47</v>
      </c>
      <c r="E339" s="4" t="s">
        <v>55</v>
      </c>
      <c r="F339" s="4" t="s">
        <v>57</v>
      </c>
      <c r="G339" s="4" t="s">
        <v>25</v>
      </c>
      <c r="H339" s="4" t="s">
        <v>36</v>
      </c>
      <c r="I339" s="5">
        <v>44075</v>
      </c>
      <c r="J339" s="6">
        <v>0</v>
      </c>
      <c r="K339" s="6">
        <v>0</v>
      </c>
      <c r="L339" s="6">
        <v>28.576000000000001</v>
      </c>
      <c r="M339" s="6">
        <v>5.7152000000000003</v>
      </c>
      <c r="N339" s="6">
        <v>28.576000000000001</v>
      </c>
      <c r="O339" s="6">
        <v>5.7152000000000003</v>
      </c>
      <c r="P339" s="6">
        <v>0</v>
      </c>
      <c r="Q339" s="4" t="s">
        <v>26</v>
      </c>
      <c r="R339" s="4">
        <v>0</v>
      </c>
      <c r="S339" s="4">
        <v>0</v>
      </c>
      <c r="T339" s="4">
        <v>28</v>
      </c>
      <c r="U339" s="4">
        <v>82</v>
      </c>
      <c r="V339" s="6">
        <f>IF(ISERROR(VLOOKUP($S$339,'TAR FIN'!$A$1:$O$120,15,0)),0,VLOOKUP($S$339,'TAR FIN'!$A$1:$O$120,15,0))</f>
        <v>0</v>
      </c>
      <c r="W339" s="6">
        <f>IF(ISERROR(VLOOKUP($T$339,'TAR FIN'!$A$1:$O$120,15,0)),0,VLOOKUP($T$339,'TAR FIN'!$A$1:$O$120,15,0))</f>
        <v>84.45</v>
      </c>
      <c r="X339" s="6">
        <f>IF(ISERROR(VLOOKUP($U$339,'TAR FIN'!$A$1:$O$120,15,0)),0,VLOOKUP($U$339,'TAR FIN'!$A$1:$O$120,15,0))</f>
        <v>256.38</v>
      </c>
      <c r="Y339" s="6"/>
      <c r="Z339" s="6">
        <f ca="1">('TUSD BE'!$AM$34+'TUSD BF'!$AM$34+'TUSD CVA'!$AM$34)*1</f>
        <v>87.519361965254689</v>
      </c>
      <c r="AA339" s="6">
        <f>('TE BE'!$AA$11+'TE BF'!$AA$11+'TE CVA'!$AA$11)*1</f>
        <v>230.83420940933817</v>
      </c>
      <c r="AB339" s="6">
        <f t="shared" si="22"/>
        <v>0</v>
      </c>
      <c r="AC339" s="6">
        <f t="shared" si="23"/>
        <v>7791.6464640000004</v>
      </c>
      <c r="AD339" s="6">
        <f t="shared" si="24"/>
        <v>0</v>
      </c>
      <c r="AE339" s="6">
        <f t="shared" ca="1" si="25"/>
        <v>7277.8173244802929</v>
      </c>
      <c r="AF339" s="4" t="s">
        <v>1152</v>
      </c>
    </row>
    <row r="340" spans="1:32" ht="11.25" customHeight="1" x14ac:dyDescent="0.25">
      <c r="A340" s="4" t="s">
        <v>21</v>
      </c>
      <c r="B340" s="4" t="s">
        <v>33</v>
      </c>
      <c r="C340" s="4" t="s">
        <v>34</v>
      </c>
      <c r="D340" s="4" t="s">
        <v>47</v>
      </c>
      <c r="E340" s="4" t="s">
        <v>55</v>
      </c>
      <c r="F340" s="4" t="s">
        <v>25</v>
      </c>
      <c r="G340" s="4" t="s">
        <v>25</v>
      </c>
      <c r="H340" s="4" t="s">
        <v>36</v>
      </c>
      <c r="I340" s="5">
        <v>43739</v>
      </c>
      <c r="J340" s="6">
        <v>0</v>
      </c>
      <c r="K340" s="71">
        <v>0</v>
      </c>
      <c r="L340" s="6">
        <v>956.12900000000002</v>
      </c>
      <c r="M340" s="71">
        <v>956.12900000000002</v>
      </c>
      <c r="N340" s="6">
        <v>956.12900000000002</v>
      </c>
      <c r="O340" s="71">
        <v>956.12900000000002</v>
      </c>
      <c r="P340" s="6">
        <v>0</v>
      </c>
      <c r="Q340" s="4" t="s">
        <v>26</v>
      </c>
      <c r="R340" s="4">
        <v>0</v>
      </c>
      <c r="S340" s="4">
        <v>0</v>
      </c>
      <c r="T340" s="4">
        <v>28</v>
      </c>
      <c r="U340" s="4">
        <v>82</v>
      </c>
      <c r="V340" s="71">
        <f>IF(ISERROR(VLOOKUP($S$340,'TAR FIN'!$A$1:$O$120,15,0)),0,VLOOKUP($S$340,'TAR FIN'!$A$1:$O$120,15,0))</f>
        <v>0</v>
      </c>
      <c r="W340" s="71">
        <f>IF(ISERROR(VLOOKUP($T$340,'TAR FIN'!$A$1:$O$120,15,0)),0,VLOOKUP($T$340,'TAR FIN'!$A$1:$O$120,15,0))*(1-0.08)</f>
        <v>77.694000000000003</v>
      </c>
      <c r="X340" s="71">
        <f>IF(ISERROR(VLOOKUP($U$340,'TAR FIN'!$A$1:$O$120,15,0)),0,VLOOKUP($U$340,'TAR FIN'!$A$1:$O$120,15,0))*(1-0.08)</f>
        <v>235.86960000000002</v>
      </c>
      <c r="Y340" s="71"/>
      <c r="Z340" s="71">
        <f ca="1">('TUSD BE'!$AM$34+'TUSD BF'!$AM$34+'TUSD CVA'!$AM$34)*1*(1-0.06)</f>
        <v>82.268200247339408</v>
      </c>
      <c r="AA340" s="71">
        <f>('TE BE'!$AA$11+'TE BF'!$AA$11+'TE CVA'!$AA$11)*1*(1-0.06)</f>
        <v>216.98415684477786</v>
      </c>
      <c r="AB340" s="71">
        <f>(SUBSIDIO!$J$340*SUBSIDIO!$V$340)*(0.08)/(1-0.08)</f>
        <v>0</v>
      </c>
      <c r="AC340" s="71">
        <f>((SUBSIDIO!$L$340*SUBSIDIO!$W$340)+(SUBSIDIO!$N$340*SUBSIDIO!$X$340))*(0.08)/(1-0.08)</f>
        <v>26070.195765600005</v>
      </c>
      <c r="AD340" s="71">
        <f>(SUBSIDIO!$J$340*SUBSIDIO!$Y$340)*(0.06)/(1-0.06)</f>
        <v>0</v>
      </c>
      <c r="AE340" s="71">
        <f ca="1">((SUBSIDIO!$L$340*SUBSIDIO!$Z$340)+(SUBSIDIO!$N$340*SUBSIDIO!$AA$340))*(0.06)/(1-0.06)</f>
        <v>18263.224910689089</v>
      </c>
      <c r="AF340" s="4" t="s">
        <v>1151</v>
      </c>
    </row>
    <row r="341" spans="1:32" ht="11.25" customHeight="1" x14ac:dyDescent="0.25">
      <c r="A341" s="4" t="s">
        <v>27</v>
      </c>
      <c r="B341" s="4" t="s">
        <v>33</v>
      </c>
      <c r="C341" s="4" t="s">
        <v>34</v>
      </c>
      <c r="D341" s="4" t="s">
        <v>47</v>
      </c>
      <c r="E341" s="4" t="s">
        <v>55</v>
      </c>
      <c r="F341" s="4" t="s">
        <v>25</v>
      </c>
      <c r="G341" s="4" t="s">
        <v>25</v>
      </c>
      <c r="H341" s="4" t="s">
        <v>36</v>
      </c>
      <c r="I341" s="5">
        <v>43739</v>
      </c>
      <c r="J341" s="6">
        <v>0</v>
      </c>
      <c r="K341" s="71">
        <v>0</v>
      </c>
      <c r="L341" s="6">
        <v>1.9330000000000001</v>
      </c>
      <c r="M341" s="71">
        <v>1.9330000000000001</v>
      </c>
      <c r="N341" s="6">
        <v>1.9330000000000001</v>
      </c>
      <c r="O341" s="71">
        <v>1.9330000000000001</v>
      </c>
      <c r="P341" s="6">
        <v>0</v>
      </c>
      <c r="Q341" s="4" t="s">
        <v>26</v>
      </c>
      <c r="R341" s="4">
        <v>0</v>
      </c>
      <c r="S341" s="4">
        <v>0</v>
      </c>
      <c r="T341" s="4">
        <v>28</v>
      </c>
      <c r="U341" s="4">
        <v>82</v>
      </c>
      <c r="V341" s="71">
        <f>IF(ISERROR(VLOOKUP($S$341,'TAR FIN'!$A$1:$O$120,15,0)),0,VLOOKUP($S$341,'TAR FIN'!$A$1:$O$120,15,0))</f>
        <v>0</v>
      </c>
      <c r="W341" s="71">
        <f>IF(ISERROR(VLOOKUP($T$341,'TAR FIN'!$A$1:$O$120,15,0)),0,VLOOKUP($T$341,'TAR FIN'!$A$1:$O$120,15,0))*(1-0.08)</f>
        <v>77.694000000000003</v>
      </c>
      <c r="X341" s="71">
        <f>IF(ISERROR(VLOOKUP($U$341,'TAR FIN'!$A$1:$O$120,15,0)),0,VLOOKUP($U$341,'TAR FIN'!$A$1:$O$120,15,0))*(1-0.08)</f>
        <v>235.86960000000002</v>
      </c>
      <c r="Y341" s="71"/>
      <c r="Z341" s="71">
        <f ca="1">('TUSD BE'!$AM$34+'TUSD BF'!$AM$34+'TUSD CVA'!$AM$34)*1*(1-0.06)</f>
        <v>82.268200247339408</v>
      </c>
      <c r="AA341" s="71">
        <f>('TE BE'!$AA$11+'TE BF'!$AA$11+'TE CVA'!$AA$11)*1*(1-0.06)</f>
        <v>216.98415684477786</v>
      </c>
      <c r="AB341" s="71">
        <f>(SUBSIDIO!$J$341*SUBSIDIO!$V$341)*(0.08)/(1-0.08)</f>
        <v>0</v>
      </c>
      <c r="AC341" s="71">
        <f>((SUBSIDIO!$L$341*SUBSIDIO!$W$341)+(SUBSIDIO!$N$341*SUBSIDIO!$X$341))*(0.08)/(1-0.08)</f>
        <v>52.705951200000008</v>
      </c>
      <c r="AD341" s="71">
        <f>(SUBSIDIO!$J$341*SUBSIDIO!$Y$341)*(0.06)/(1-0.06)</f>
        <v>0</v>
      </c>
      <c r="AE341" s="71">
        <f ca="1">((SUBSIDIO!$L$341*SUBSIDIO!$Z$341)+(SUBSIDIO!$N$341*SUBSIDIO!$AA$341))*(0.06)/(1-0.06)</f>
        <v>36.922647208025282</v>
      </c>
      <c r="AF341" s="4" t="s">
        <v>1151</v>
      </c>
    </row>
    <row r="342" spans="1:32" ht="11.25" customHeight="1" x14ac:dyDescent="0.25">
      <c r="A342" s="4" t="s">
        <v>21</v>
      </c>
      <c r="B342" s="4" t="s">
        <v>33</v>
      </c>
      <c r="C342" s="4" t="s">
        <v>34</v>
      </c>
      <c r="D342" s="4" t="s">
        <v>47</v>
      </c>
      <c r="E342" s="4" t="s">
        <v>55</v>
      </c>
      <c r="F342" s="4" t="s">
        <v>25</v>
      </c>
      <c r="G342" s="4" t="s">
        <v>25</v>
      </c>
      <c r="H342" s="4" t="s">
        <v>36</v>
      </c>
      <c r="I342" s="5">
        <v>43770</v>
      </c>
      <c r="J342" s="6">
        <v>0</v>
      </c>
      <c r="K342" s="71">
        <v>0</v>
      </c>
      <c r="L342" s="6">
        <v>1213.0989999999999</v>
      </c>
      <c r="M342" s="71">
        <v>1213.0989999999999</v>
      </c>
      <c r="N342" s="6">
        <v>1213.0989999999999</v>
      </c>
      <c r="O342" s="71">
        <v>1213.0989999999999</v>
      </c>
      <c r="P342" s="6">
        <v>0</v>
      </c>
      <c r="Q342" s="4" t="s">
        <v>26</v>
      </c>
      <c r="R342" s="4">
        <v>0</v>
      </c>
      <c r="S342" s="4">
        <v>0</v>
      </c>
      <c r="T342" s="4">
        <v>28</v>
      </c>
      <c r="U342" s="4">
        <v>82</v>
      </c>
      <c r="V342" s="71">
        <f>IF(ISERROR(VLOOKUP($S$342,'TAR FIN'!$A$1:$O$120,15,0)),0,VLOOKUP($S$342,'TAR FIN'!$A$1:$O$120,15,0))</f>
        <v>0</v>
      </c>
      <c r="W342" s="71">
        <f>IF(ISERROR(VLOOKUP($T$342,'TAR FIN'!$A$1:$O$120,15,0)),0,VLOOKUP($T$342,'TAR FIN'!$A$1:$O$120,15,0))*(1-0.08)</f>
        <v>77.694000000000003</v>
      </c>
      <c r="X342" s="71">
        <f>IF(ISERROR(VLOOKUP($U$342,'TAR FIN'!$A$1:$O$120,15,0)),0,VLOOKUP($U$342,'TAR FIN'!$A$1:$O$120,15,0))*(1-0.08)</f>
        <v>235.86960000000002</v>
      </c>
      <c r="Y342" s="71"/>
      <c r="Z342" s="71">
        <f ca="1">('TUSD BE'!$AM$34+'TUSD BF'!$AM$34+'TUSD CVA'!$AM$34)*1*(1-0.06)</f>
        <v>82.268200247339408</v>
      </c>
      <c r="AA342" s="71">
        <f>('TE BE'!$AA$11+'TE BF'!$AA$11+'TE CVA'!$AA$11)*1*(1-0.06)</f>
        <v>216.98415684477786</v>
      </c>
      <c r="AB342" s="71">
        <f>(SUBSIDIO!$J$342*SUBSIDIO!$V$342)*(0.08)/(1-0.08)</f>
        <v>0</v>
      </c>
      <c r="AC342" s="71">
        <f>((SUBSIDIO!$L$342*SUBSIDIO!$W$342)+(SUBSIDIO!$N$342*SUBSIDIO!$X$342))*(0.08)/(1-0.08)</f>
        <v>33076.842573599999</v>
      </c>
      <c r="AD342" s="71">
        <f>(SUBSIDIO!$J$342*SUBSIDIO!$Y$342)*(0.06)/(1-0.06)</f>
        <v>0</v>
      </c>
      <c r="AE342" s="71">
        <f ca="1">((SUBSIDIO!$L$342*SUBSIDIO!$Z$342)+(SUBSIDIO!$N$342*SUBSIDIO!$AA$342))*(0.06)/(1-0.06)</f>
        <v>23171.663944856828</v>
      </c>
      <c r="AF342" s="4" t="s">
        <v>1151</v>
      </c>
    </row>
    <row r="343" spans="1:32" ht="11.25" customHeight="1" x14ac:dyDescent="0.25">
      <c r="A343" s="4" t="s">
        <v>27</v>
      </c>
      <c r="B343" s="4" t="s">
        <v>33</v>
      </c>
      <c r="C343" s="4" t="s">
        <v>34</v>
      </c>
      <c r="D343" s="4" t="s">
        <v>47</v>
      </c>
      <c r="E343" s="4" t="s">
        <v>55</v>
      </c>
      <c r="F343" s="4" t="s">
        <v>25</v>
      </c>
      <c r="G343" s="4" t="s">
        <v>25</v>
      </c>
      <c r="H343" s="4" t="s">
        <v>36</v>
      </c>
      <c r="I343" s="5">
        <v>43770</v>
      </c>
      <c r="J343" s="6">
        <v>0</v>
      </c>
      <c r="K343" s="71">
        <v>0</v>
      </c>
      <c r="L343" s="6">
        <v>22.696999999999999</v>
      </c>
      <c r="M343" s="71">
        <v>22.696999999999999</v>
      </c>
      <c r="N343" s="6">
        <v>22.696999999999999</v>
      </c>
      <c r="O343" s="71">
        <v>22.696999999999999</v>
      </c>
      <c r="P343" s="6">
        <v>0</v>
      </c>
      <c r="Q343" s="4" t="s">
        <v>26</v>
      </c>
      <c r="R343" s="4">
        <v>0</v>
      </c>
      <c r="S343" s="4">
        <v>0</v>
      </c>
      <c r="T343" s="4">
        <v>28</v>
      </c>
      <c r="U343" s="4">
        <v>82</v>
      </c>
      <c r="V343" s="71">
        <f>IF(ISERROR(VLOOKUP($S$343,'TAR FIN'!$A$1:$O$120,15,0)),0,VLOOKUP($S$343,'TAR FIN'!$A$1:$O$120,15,0))</f>
        <v>0</v>
      </c>
      <c r="W343" s="71">
        <f>IF(ISERROR(VLOOKUP($T$343,'TAR FIN'!$A$1:$O$120,15,0)),0,VLOOKUP($T$343,'TAR FIN'!$A$1:$O$120,15,0))*(1-0.08)</f>
        <v>77.694000000000003</v>
      </c>
      <c r="X343" s="71">
        <f>IF(ISERROR(VLOOKUP($U$343,'TAR FIN'!$A$1:$O$120,15,0)),0,VLOOKUP($U$343,'TAR FIN'!$A$1:$O$120,15,0))*(1-0.08)</f>
        <v>235.86960000000002</v>
      </c>
      <c r="Y343" s="71"/>
      <c r="Z343" s="71">
        <f ca="1">('TUSD BE'!$AM$34+'TUSD BF'!$AM$34+'TUSD CVA'!$AM$34)*1*(1-0.06)</f>
        <v>82.268200247339408</v>
      </c>
      <c r="AA343" s="71">
        <f>('TE BE'!$AA$11+'TE BF'!$AA$11+'TE CVA'!$AA$11)*1*(1-0.06)</f>
        <v>216.98415684477786</v>
      </c>
      <c r="AB343" s="71">
        <f>(SUBSIDIO!$J$343*SUBSIDIO!$V$343)*(0.08)/(1-0.08)</f>
        <v>0</v>
      </c>
      <c r="AC343" s="71">
        <f>((SUBSIDIO!$L$343*SUBSIDIO!$W$343)+(SUBSIDIO!$N$343*SUBSIDIO!$X$343))*(0.08)/(1-0.08)</f>
        <v>618.8654808</v>
      </c>
      <c r="AD343" s="71">
        <f>(SUBSIDIO!$J$343*SUBSIDIO!$Y$343)*(0.06)/(1-0.06)</f>
        <v>0</v>
      </c>
      <c r="AE343" s="71">
        <f ca="1">((SUBSIDIO!$L$343*SUBSIDIO!$Z$343)+(SUBSIDIO!$N$343*SUBSIDIO!$AA$343))*(0.06)/(1-0.06)</f>
        <v>433.54026056934799</v>
      </c>
      <c r="AF343" s="4" t="s">
        <v>1151</v>
      </c>
    </row>
    <row r="344" spans="1:32" ht="11.25" customHeight="1" x14ac:dyDescent="0.25">
      <c r="A344" s="4" t="s">
        <v>21</v>
      </c>
      <c r="B344" s="4" t="s">
        <v>33</v>
      </c>
      <c r="C344" s="4" t="s">
        <v>34</v>
      </c>
      <c r="D344" s="4" t="s">
        <v>47</v>
      </c>
      <c r="E344" s="4" t="s">
        <v>55</v>
      </c>
      <c r="F344" s="4" t="s">
        <v>25</v>
      </c>
      <c r="G344" s="4" t="s">
        <v>25</v>
      </c>
      <c r="H344" s="4" t="s">
        <v>36</v>
      </c>
      <c r="I344" s="5">
        <v>43800</v>
      </c>
      <c r="J344" s="6">
        <v>0</v>
      </c>
      <c r="K344" s="71">
        <v>0</v>
      </c>
      <c r="L344" s="6">
        <v>342.91699999999997</v>
      </c>
      <c r="M344" s="71">
        <v>342.91699999999997</v>
      </c>
      <c r="N344" s="6">
        <v>342.91699999999997</v>
      </c>
      <c r="O344" s="71">
        <v>342.91699999999997</v>
      </c>
      <c r="P344" s="6">
        <v>0</v>
      </c>
      <c r="Q344" s="4" t="s">
        <v>26</v>
      </c>
      <c r="R344" s="4">
        <v>0</v>
      </c>
      <c r="S344" s="4">
        <v>0</v>
      </c>
      <c r="T344" s="4">
        <v>28</v>
      </c>
      <c r="U344" s="4">
        <v>82</v>
      </c>
      <c r="V344" s="71">
        <f>IF(ISERROR(VLOOKUP($S$344,'TAR FIN'!$A$1:$O$120,15,0)),0,VLOOKUP($S$344,'TAR FIN'!$A$1:$O$120,15,0))</f>
        <v>0</v>
      </c>
      <c r="W344" s="71">
        <f>IF(ISERROR(VLOOKUP($T$344,'TAR FIN'!$A$1:$O$120,15,0)),0,VLOOKUP($T$344,'TAR FIN'!$A$1:$O$120,15,0))*(1-0.08)</f>
        <v>77.694000000000003</v>
      </c>
      <c r="X344" s="71">
        <f>IF(ISERROR(VLOOKUP($U$344,'TAR FIN'!$A$1:$O$120,15,0)),0,VLOOKUP($U$344,'TAR FIN'!$A$1:$O$120,15,0))*(1-0.08)</f>
        <v>235.86960000000002</v>
      </c>
      <c r="Y344" s="71"/>
      <c r="Z344" s="71">
        <f ca="1">('TUSD BE'!$AM$34+'TUSD BF'!$AM$34+'TUSD CVA'!$AM$34)*1*(1-0.06)</f>
        <v>82.268200247339408</v>
      </c>
      <c r="AA344" s="71">
        <f>('TE BE'!$AA$11+'TE BF'!$AA$11+'TE CVA'!$AA$11)*1*(1-0.06)</f>
        <v>216.98415684477786</v>
      </c>
      <c r="AB344" s="71">
        <f>(SUBSIDIO!$J$344*SUBSIDIO!$V$344)*(0.08)/(1-0.08)</f>
        <v>0</v>
      </c>
      <c r="AC344" s="71">
        <f>((SUBSIDIO!$L$344*SUBSIDIO!$W$344)+(SUBSIDIO!$N$344*SUBSIDIO!$X$344))*(0.08)/(1-0.08)</f>
        <v>9350.1120888000005</v>
      </c>
      <c r="AD344" s="71">
        <f>(SUBSIDIO!$J$344*SUBSIDIO!$Y$344)*(0.06)/(1-0.06)</f>
        <v>0</v>
      </c>
      <c r="AE344" s="71">
        <f ca="1">((SUBSIDIO!$L$344*SUBSIDIO!$Z$344)+(SUBSIDIO!$N$344*SUBSIDIO!$AA$344))*(0.06)/(1-0.06)</f>
        <v>6550.131098103675</v>
      </c>
      <c r="AF344" s="4" t="s">
        <v>1151</v>
      </c>
    </row>
    <row r="345" spans="1:32" ht="11.25" customHeight="1" x14ac:dyDescent="0.25">
      <c r="A345" s="4" t="s">
        <v>21</v>
      </c>
      <c r="B345" s="4" t="s">
        <v>33</v>
      </c>
      <c r="C345" s="4" t="s">
        <v>34</v>
      </c>
      <c r="D345" s="4" t="s">
        <v>47</v>
      </c>
      <c r="E345" s="4" t="s">
        <v>55</v>
      </c>
      <c r="F345" s="4" t="s">
        <v>25</v>
      </c>
      <c r="G345" s="4" t="s">
        <v>25</v>
      </c>
      <c r="H345" s="4" t="s">
        <v>36</v>
      </c>
      <c r="I345" s="5">
        <v>43831</v>
      </c>
      <c r="J345" s="6">
        <v>0</v>
      </c>
      <c r="K345" s="71">
        <v>0</v>
      </c>
      <c r="L345" s="6">
        <v>340.26100000000002</v>
      </c>
      <c r="M345" s="71">
        <v>340.26100000000002</v>
      </c>
      <c r="N345" s="6">
        <v>340.26100000000002</v>
      </c>
      <c r="O345" s="71">
        <v>340.26100000000002</v>
      </c>
      <c r="P345" s="6">
        <v>0</v>
      </c>
      <c r="Q345" s="4" t="s">
        <v>26</v>
      </c>
      <c r="R345" s="4">
        <v>0</v>
      </c>
      <c r="S345" s="4">
        <v>0</v>
      </c>
      <c r="T345" s="4">
        <v>28</v>
      </c>
      <c r="U345" s="4">
        <v>82</v>
      </c>
      <c r="V345" s="71">
        <f>IF(ISERROR(VLOOKUP($S$345,'TAR FIN'!$A$1:$O$120,15,0)),0,VLOOKUP($S$345,'TAR FIN'!$A$1:$O$120,15,0))</f>
        <v>0</v>
      </c>
      <c r="W345" s="71">
        <f>IF(ISERROR(VLOOKUP($T$345,'TAR FIN'!$A$1:$O$120,15,0)),0,VLOOKUP($T$345,'TAR FIN'!$A$1:$O$120,15,0))*(1-0.08)</f>
        <v>77.694000000000003</v>
      </c>
      <c r="X345" s="71">
        <f>IF(ISERROR(VLOOKUP($U$345,'TAR FIN'!$A$1:$O$120,15,0)),0,VLOOKUP($U$345,'TAR FIN'!$A$1:$O$120,15,0))*(1-0.08)</f>
        <v>235.86960000000002</v>
      </c>
      <c r="Y345" s="71"/>
      <c r="Z345" s="71">
        <f ca="1">('TUSD BE'!$AM$34+'TUSD BF'!$AM$34+'TUSD CVA'!$AM$34)*1*(1-0.06)</f>
        <v>82.268200247339408</v>
      </c>
      <c r="AA345" s="71">
        <f>('TE BE'!$AA$11+'TE BF'!$AA$11+'TE CVA'!$AA$11)*1*(1-0.06)</f>
        <v>216.98415684477786</v>
      </c>
      <c r="AB345" s="71">
        <f>(SUBSIDIO!$J$345*SUBSIDIO!$V$345)*(0.08)/(1-0.08)</f>
        <v>0</v>
      </c>
      <c r="AC345" s="71">
        <f>((SUBSIDIO!$L$345*SUBSIDIO!$W$345)+(SUBSIDIO!$N$345*SUBSIDIO!$X$345))*(0.08)/(1-0.08)</f>
        <v>9277.6925303999997</v>
      </c>
      <c r="AD345" s="71">
        <f>(SUBSIDIO!$J$345*SUBSIDIO!$Y$345)*(0.06)/(1-0.06)</f>
        <v>0</v>
      </c>
      <c r="AE345" s="71">
        <f ca="1">((SUBSIDIO!$L$345*SUBSIDIO!$Z$345)+(SUBSIDIO!$N$345*SUBSIDIO!$AA$345))*(0.06)/(1-0.06)</f>
        <v>6499.3982729694208</v>
      </c>
      <c r="AF345" s="4" t="s">
        <v>1151</v>
      </c>
    </row>
    <row r="346" spans="1:32" ht="11.25" customHeight="1" x14ac:dyDescent="0.25">
      <c r="A346" s="4" t="s">
        <v>21</v>
      </c>
      <c r="B346" s="4" t="s">
        <v>33</v>
      </c>
      <c r="C346" s="4" t="s">
        <v>34</v>
      </c>
      <c r="D346" s="4" t="s">
        <v>47</v>
      </c>
      <c r="E346" s="4" t="s">
        <v>55</v>
      </c>
      <c r="F346" s="4" t="s">
        <v>25</v>
      </c>
      <c r="G346" s="4" t="s">
        <v>25</v>
      </c>
      <c r="H346" s="4" t="s">
        <v>36</v>
      </c>
      <c r="I346" s="5">
        <v>43862</v>
      </c>
      <c r="J346" s="6">
        <v>0</v>
      </c>
      <c r="K346" s="71">
        <v>0</v>
      </c>
      <c r="L346" s="6">
        <v>298.91800000000001</v>
      </c>
      <c r="M346" s="71">
        <v>298.91800000000001</v>
      </c>
      <c r="N346" s="6">
        <v>298.91800000000001</v>
      </c>
      <c r="O346" s="71">
        <v>298.91800000000001</v>
      </c>
      <c r="P346" s="6">
        <v>0</v>
      </c>
      <c r="Q346" s="4" t="s">
        <v>26</v>
      </c>
      <c r="R346" s="4">
        <v>0</v>
      </c>
      <c r="S346" s="4">
        <v>0</v>
      </c>
      <c r="T346" s="4">
        <v>28</v>
      </c>
      <c r="U346" s="4">
        <v>82</v>
      </c>
      <c r="V346" s="71">
        <f>IF(ISERROR(VLOOKUP($S$346,'TAR FIN'!$A$1:$O$120,15,0)),0,VLOOKUP($S$346,'TAR FIN'!$A$1:$O$120,15,0))</f>
        <v>0</v>
      </c>
      <c r="W346" s="71">
        <f>IF(ISERROR(VLOOKUP($T$346,'TAR FIN'!$A$1:$O$120,15,0)),0,VLOOKUP($T$346,'TAR FIN'!$A$1:$O$120,15,0))*(1-0.08)</f>
        <v>77.694000000000003</v>
      </c>
      <c r="X346" s="71">
        <f>IF(ISERROR(VLOOKUP($U$346,'TAR FIN'!$A$1:$O$120,15,0)),0,VLOOKUP($U$346,'TAR FIN'!$A$1:$O$120,15,0))*(1-0.08)</f>
        <v>235.86960000000002</v>
      </c>
      <c r="Y346" s="71"/>
      <c r="Z346" s="71">
        <f ca="1">('TUSD BE'!$AM$34+'TUSD BF'!$AM$34+'TUSD CVA'!$AM$34)*1*(1-0.06)</f>
        <v>82.268200247339408</v>
      </c>
      <c r="AA346" s="71">
        <f>('TE BE'!$AA$11+'TE BF'!$AA$11+'TE CVA'!$AA$11)*1*(1-0.06)</f>
        <v>216.98415684477786</v>
      </c>
      <c r="AB346" s="71">
        <f>(SUBSIDIO!$J$346*SUBSIDIO!$V$346)*(0.08)/(1-0.08)</f>
        <v>0</v>
      </c>
      <c r="AC346" s="71">
        <f>((SUBSIDIO!$L$346*SUBSIDIO!$W$346)+(SUBSIDIO!$N$346*SUBSIDIO!$X$346))*(0.08)/(1-0.08)</f>
        <v>8150.4177552000001</v>
      </c>
      <c r="AD346" s="71">
        <f>(SUBSIDIO!$J$346*SUBSIDIO!$Y$346)*(0.06)/(1-0.06)</f>
        <v>0</v>
      </c>
      <c r="AE346" s="71">
        <f ca="1">((SUBSIDIO!$L$346*SUBSIDIO!$Z$346)+(SUBSIDIO!$N$346*SUBSIDIO!$AA$346))*(0.06)/(1-0.06)</f>
        <v>5709.6967708890325</v>
      </c>
      <c r="AF346" s="4" t="s">
        <v>1151</v>
      </c>
    </row>
    <row r="347" spans="1:32" ht="11.25" customHeight="1" x14ac:dyDescent="0.25">
      <c r="A347" s="4" t="s">
        <v>27</v>
      </c>
      <c r="B347" s="4" t="s">
        <v>33</v>
      </c>
      <c r="C347" s="4" t="s">
        <v>34</v>
      </c>
      <c r="D347" s="4" t="s">
        <v>47</v>
      </c>
      <c r="E347" s="4" t="s">
        <v>55</v>
      </c>
      <c r="F347" s="4" t="s">
        <v>25</v>
      </c>
      <c r="G347" s="4" t="s">
        <v>25</v>
      </c>
      <c r="H347" s="4" t="s">
        <v>36</v>
      </c>
      <c r="I347" s="5">
        <v>43862</v>
      </c>
      <c r="J347" s="6">
        <v>0</v>
      </c>
      <c r="K347" s="71">
        <v>0</v>
      </c>
      <c r="L347" s="6">
        <v>16.077000000000002</v>
      </c>
      <c r="M347" s="71">
        <v>16.077000000000002</v>
      </c>
      <c r="N347" s="6">
        <v>16.077000000000002</v>
      </c>
      <c r="O347" s="71">
        <v>16.077000000000002</v>
      </c>
      <c r="P347" s="6">
        <v>0</v>
      </c>
      <c r="Q347" s="4" t="s">
        <v>26</v>
      </c>
      <c r="R347" s="4">
        <v>0</v>
      </c>
      <c r="S347" s="4">
        <v>0</v>
      </c>
      <c r="T347" s="4">
        <v>28</v>
      </c>
      <c r="U347" s="4">
        <v>82</v>
      </c>
      <c r="V347" s="71">
        <f>IF(ISERROR(VLOOKUP($S$347,'TAR FIN'!$A$1:$O$120,15,0)),0,VLOOKUP($S$347,'TAR FIN'!$A$1:$O$120,15,0))</f>
        <v>0</v>
      </c>
      <c r="W347" s="71">
        <f>IF(ISERROR(VLOOKUP($T$347,'TAR FIN'!$A$1:$O$120,15,0)),0,VLOOKUP($T$347,'TAR FIN'!$A$1:$O$120,15,0))*(1-0.08)</f>
        <v>77.694000000000003</v>
      </c>
      <c r="X347" s="71">
        <f>IF(ISERROR(VLOOKUP($U$347,'TAR FIN'!$A$1:$O$120,15,0)),0,VLOOKUP($U$347,'TAR FIN'!$A$1:$O$120,15,0))*(1-0.08)</f>
        <v>235.86960000000002</v>
      </c>
      <c r="Y347" s="71"/>
      <c r="Z347" s="71">
        <f ca="1">('TUSD BE'!$AM$34+'TUSD BF'!$AM$34+'TUSD CVA'!$AM$34)*1*(1-0.06)</f>
        <v>82.268200247339408</v>
      </c>
      <c r="AA347" s="71">
        <f>('TE BE'!$AA$11+'TE BF'!$AA$11+'TE CVA'!$AA$11)*1*(1-0.06)</f>
        <v>216.98415684477786</v>
      </c>
      <c r="AB347" s="71">
        <f>(SUBSIDIO!$J$347*SUBSIDIO!$V$347)*(0.08)/(1-0.08)</f>
        <v>0</v>
      </c>
      <c r="AC347" s="71">
        <f>((SUBSIDIO!$L$347*SUBSIDIO!$W$347)+(SUBSIDIO!$N$347*SUBSIDIO!$X$347))*(0.08)/(1-0.08)</f>
        <v>438.36191280000008</v>
      </c>
      <c r="AD347" s="71">
        <f>(SUBSIDIO!$J$347*SUBSIDIO!$Y$347)*(0.06)/(1-0.06)</f>
        <v>0</v>
      </c>
      <c r="AE347" s="71">
        <f ca="1">((SUBSIDIO!$L$347*SUBSIDIO!$Z$347)+(SUBSIDIO!$N$347*SUBSIDIO!$AA$347))*(0.06)/(1-0.06)</f>
        <v>307.09022201935983</v>
      </c>
      <c r="AF347" s="4" t="s">
        <v>1151</v>
      </c>
    </row>
    <row r="348" spans="1:32" ht="11.25" customHeight="1" x14ac:dyDescent="0.25">
      <c r="A348" s="4" t="s">
        <v>21</v>
      </c>
      <c r="B348" s="4" t="s">
        <v>33</v>
      </c>
      <c r="C348" s="4" t="s">
        <v>34</v>
      </c>
      <c r="D348" s="4" t="s">
        <v>47</v>
      </c>
      <c r="E348" s="4" t="s">
        <v>55</v>
      </c>
      <c r="F348" s="4" t="s">
        <v>25</v>
      </c>
      <c r="G348" s="4" t="s">
        <v>25</v>
      </c>
      <c r="H348" s="4" t="s">
        <v>36</v>
      </c>
      <c r="I348" s="5">
        <v>43891</v>
      </c>
      <c r="J348" s="6">
        <v>0</v>
      </c>
      <c r="K348" s="71">
        <v>0</v>
      </c>
      <c r="L348" s="6">
        <v>132.851</v>
      </c>
      <c r="M348" s="71">
        <v>132.851</v>
      </c>
      <c r="N348" s="6">
        <v>132.851</v>
      </c>
      <c r="O348" s="71">
        <v>132.851</v>
      </c>
      <c r="P348" s="6">
        <v>0</v>
      </c>
      <c r="Q348" s="4" t="s">
        <v>26</v>
      </c>
      <c r="R348" s="4">
        <v>0</v>
      </c>
      <c r="S348" s="4">
        <v>0</v>
      </c>
      <c r="T348" s="4">
        <v>28</v>
      </c>
      <c r="U348" s="4">
        <v>82</v>
      </c>
      <c r="V348" s="71">
        <f>IF(ISERROR(VLOOKUP($S$348,'TAR FIN'!$A$1:$O$120,15,0)),0,VLOOKUP($S$348,'TAR FIN'!$A$1:$O$120,15,0))</f>
        <v>0</v>
      </c>
      <c r="W348" s="71">
        <f>IF(ISERROR(VLOOKUP($T$348,'TAR FIN'!$A$1:$O$120,15,0)),0,VLOOKUP($T$348,'TAR FIN'!$A$1:$O$120,15,0))*(1-0.08)</f>
        <v>77.694000000000003</v>
      </c>
      <c r="X348" s="71">
        <f>IF(ISERROR(VLOOKUP($U$348,'TAR FIN'!$A$1:$O$120,15,0)),0,VLOOKUP($U$348,'TAR FIN'!$A$1:$O$120,15,0))*(1-0.08)</f>
        <v>235.86960000000002</v>
      </c>
      <c r="Y348" s="71"/>
      <c r="Z348" s="71">
        <f ca="1">('TUSD BE'!$AM$34+'TUSD BF'!$AM$34+'TUSD CVA'!$AM$34)*1*(1-0.06)</f>
        <v>82.268200247339408</v>
      </c>
      <c r="AA348" s="71">
        <f>('TE BE'!$AA$11+'TE BF'!$AA$11+'TE CVA'!$AA$11)*1*(1-0.06)</f>
        <v>216.98415684477786</v>
      </c>
      <c r="AB348" s="71">
        <f>(SUBSIDIO!$J$348*SUBSIDIO!$V$348)*(0.08)/(1-0.08)</f>
        <v>0</v>
      </c>
      <c r="AC348" s="71">
        <f>((SUBSIDIO!$L$348*SUBSIDIO!$W$348)+(SUBSIDIO!$N$348*SUBSIDIO!$X$348))*(0.08)/(1-0.08)</f>
        <v>3622.3685064000001</v>
      </c>
      <c r="AD348" s="71">
        <f>(SUBSIDIO!$J$348*SUBSIDIO!$Y$348)*(0.06)/(1-0.06)</f>
        <v>0</v>
      </c>
      <c r="AE348" s="71">
        <f ca="1">((SUBSIDIO!$L$348*SUBSIDIO!$Z$348)+(SUBSIDIO!$N$348*SUBSIDIO!$AA$348))*(0.06)/(1-0.06)</f>
        <v>2537.6154186411623</v>
      </c>
      <c r="AF348" s="4" t="s">
        <v>1151</v>
      </c>
    </row>
    <row r="349" spans="1:32" ht="11.25" customHeight="1" x14ac:dyDescent="0.25">
      <c r="A349" s="4" t="s">
        <v>27</v>
      </c>
      <c r="B349" s="4" t="s">
        <v>33</v>
      </c>
      <c r="C349" s="4" t="s">
        <v>34</v>
      </c>
      <c r="D349" s="4" t="s">
        <v>47</v>
      </c>
      <c r="E349" s="4" t="s">
        <v>55</v>
      </c>
      <c r="F349" s="4" t="s">
        <v>25</v>
      </c>
      <c r="G349" s="4" t="s">
        <v>25</v>
      </c>
      <c r="H349" s="4" t="s">
        <v>36</v>
      </c>
      <c r="I349" s="5">
        <v>43891</v>
      </c>
      <c r="J349" s="6">
        <v>0</v>
      </c>
      <c r="K349" s="71">
        <v>0</v>
      </c>
      <c r="L349" s="6">
        <v>13.804</v>
      </c>
      <c r="M349" s="71">
        <v>13.804</v>
      </c>
      <c r="N349" s="6">
        <v>13.804</v>
      </c>
      <c r="O349" s="71">
        <v>13.804</v>
      </c>
      <c r="P349" s="6">
        <v>0</v>
      </c>
      <c r="Q349" s="4" t="s">
        <v>26</v>
      </c>
      <c r="R349" s="4">
        <v>0</v>
      </c>
      <c r="S349" s="4">
        <v>0</v>
      </c>
      <c r="T349" s="4">
        <v>28</v>
      </c>
      <c r="U349" s="4">
        <v>82</v>
      </c>
      <c r="V349" s="71">
        <f>IF(ISERROR(VLOOKUP($S$349,'TAR FIN'!$A$1:$O$120,15,0)),0,VLOOKUP($S$349,'TAR FIN'!$A$1:$O$120,15,0))</f>
        <v>0</v>
      </c>
      <c r="W349" s="71">
        <f>IF(ISERROR(VLOOKUP($T$349,'TAR FIN'!$A$1:$O$120,15,0)),0,VLOOKUP($T$349,'TAR FIN'!$A$1:$O$120,15,0))*(1-0.08)</f>
        <v>77.694000000000003</v>
      </c>
      <c r="X349" s="71">
        <f>IF(ISERROR(VLOOKUP($U$349,'TAR FIN'!$A$1:$O$120,15,0)),0,VLOOKUP($U$349,'TAR FIN'!$A$1:$O$120,15,0))*(1-0.08)</f>
        <v>235.86960000000002</v>
      </c>
      <c r="Y349" s="71"/>
      <c r="Z349" s="71">
        <f ca="1">('TUSD BE'!$AM$34+'TUSD BF'!$AM$34+'TUSD CVA'!$AM$34)*1*(1-0.06)</f>
        <v>82.268200247339408</v>
      </c>
      <c r="AA349" s="71">
        <f>('TE BE'!$AA$11+'TE BF'!$AA$11+'TE CVA'!$AA$11)*1*(1-0.06)</f>
        <v>216.98415684477786</v>
      </c>
      <c r="AB349" s="71">
        <f>(SUBSIDIO!$J$349*SUBSIDIO!$V$349)*(0.08)/(1-0.08)</f>
        <v>0</v>
      </c>
      <c r="AC349" s="71">
        <f>((SUBSIDIO!$L$349*SUBSIDIO!$W$349)+(SUBSIDIO!$N$349*SUBSIDIO!$X$349))*(0.08)/(1-0.08)</f>
        <v>376.38538560000001</v>
      </c>
      <c r="AD349" s="71">
        <f>(SUBSIDIO!$J$349*SUBSIDIO!$Y$349)*(0.06)/(1-0.06)</f>
        <v>0</v>
      </c>
      <c r="AE349" s="71">
        <f ca="1">((SUBSIDIO!$L$349*SUBSIDIO!$Z$349)+(SUBSIDIO!$N$349*SUBSIDIO!$AA$349))*(0.06)/(1-0.06)</f>
        <v>263.67316195529276</v>
      </c>
      <c r="AF349" s="4" t="s">
        <v>1151</v>
      </c>
    </row>
    <row r="350" spans="1:32" ht="11.25" customHeight="1" x14ac:dyDescent="0.25">
      <c r="A350" s="4" t="s">
        <v>21</v>
      </c>
      <c r="B350" s="4" t="s">
        <v>33</v>
      </c>
      <c r="C350" s="4" t="s">
        <v>34</v>
      </c>
      <c r="D350" s="4" t="s">
        <v>47</v>
      </c>
      <c r="E350" s="4" t="s">
        <v>55</v>
      </c>
      <c r="F350" s="4" t="s">
        <v>25</v>
      </c>
      <c r="G350" s="4" t="s">
        <v>25</v>
      </c>
      <c r="H350" s="4" t="s">
        <v>36</v>
      </c>
      <c r="I350" s="5">
        <v>43922</v>
      </c>
      <c r="J350" s="6">
        <v>0</v>
      </c>
      <c r="K350" s="71">
        <v>0</v>
      </c>
      <c r="L350" s="6">
        <v>346.67200000000003</v>
      </c>
      <c r="M350" s="71">
        <v>346.67200000000003</v>
      </c>
      <c r="N350" s="6">
        <v>346.67200000000003</v>
      </c>
      <c r="O350" s="71">
        <v>346.67200000000003</v>
      </c>
      <c r="P350" s="6">
        <v>0</v>
      </c>
      <c r="Q350" s="4" t="s">
        <v>26</v>
      </c>
      <c r="R350" s="4">
        <v>0</v>
      </c>
      <c r="S350" s="4">
        <v>0</v>
      </c>
      <c r="T350" s="4">
        <v>28</v>
      </c>
      <c r="U350" s="4">
        <v>82</v>
      </c>
      <c r="V350" s="71">
        <f>IF(ISERROR(VLOOKUP($S$350,'TAR FIN'!$A$1:$O$120,15,0)),0,VLOOKUP($S$350,'TAR FIN'!$A$1:$O$120,15,0))</f>
        <v>0</v>
      </c>
      <c r="W350" s="71">
        <f>IF(ISERROR(VLOOKUP($T$350,'TAR FIN'!$A$1:$O$120,15,0)),0,VLOOKUP($T$350,'TAR FIN'!$A$1:$O$120,15,0))*(1-0.08)</f>
        <v>77.694000000000003</v>
      </c>
      <c r="X350" s="71">
        <f>IF(ISERROR(VLOOKUP($U$350,'TAR FIN'!$A$1:$O$120,15,0)),0,VLOOKUP($U$350,'TAR FIN'!$A$1:$O$120,15,0))*(1-0.08)</f>
        <v>235.86960000000002</v>
      </c>
      <c r="Y350" s="71"/>
      <c r="Z350" s="71">
        <f ca="1">('TUSD BE'!$AM$34+'TUSD BF'!$AM$34+'TUSD CVA'!$AM$34)*1*(1-0.06)</f>
        <v>82.268200247339408</v>
      </c>
      <c r="AA350" s="71">
        <f>('TE BE'!$AA$11+'TE BF'!$AA$11+'TE CVA'!$AA$11)*1*(1-0.06)</f>
        <v>216.98415684477786</v>
      </c>
      <c r="AB350" s="71">
        <f>(SUBSIDIO!$J$350*SUBSIDIO!$V$350)*(0.08)/(1-0.08)</f>
        <v>0</v>
      </c>
      <c r="AC350" s="71">
        <f>((SUBSIDIO!$L$350*SUBSIDIO!$W$350)+(SUBSIDIO!$N$350*SUBSIDIO!$X$350))*(0.08)/(1-0.08)</f>
        <v>9452.4974208000021</v>
      </c>
      <c r="AD350" s="71">
        <f>(SUBSIDIO!$J$350*SUBSIDIO!$Y$350)*(0.06)/(1-0.06)</f>
        <v>0</v>
      </c>
      <c r="AE350" s="71">
        <f ca="1">((SUBSIDIO!$L$350*SUBSIDIO!$Z$350)+(SUBSIDIO!$N$350*SUBSIDIO!$AA$350))*(0.06)/(1-0.06)</f>
        <v>6621.8561577343708</v>
      </c>
      <c r="AF350" s="4" t="s">
        <v>1151</v>
      </c>
    </row>
    <row r="351" spans="1:32" ht="11.25" customHeight="1" x14ac:dyDescent="0.25">
      <c r="A351" s="4" t="s">
        <v>27</v>
      </c>
      <c r="B351" s="4" t="s">
        <v>33</v>
      </c>
      <c r="C351" s="4" t="s">
        <v>34</v>
      </c>
      <c r="D351" s="4" t="s">
        <v>47</v>
      </c>
      <c r="E351" s="4" t="s">
        <v>55</v>
      </c>
      <c r="F351" s="4" t="s">
        <v>25</v>
      </c>
      <c r="G351" s="4" t="s">
        <v>25</v>
      </c>
      <c r="H351" s="4" t="s">
        <v>36</v>
      </c>
      <c r="I351" s="5">
        <v>43922</v>
      </c>
      <c r="J351" s="6">
        <v>0</v>
      </c>
      <c r="K351" s="71">
        <v>0</v>
      </c>
      <c r="L351" s="6">
        <v>5.2279999999999998</v>
      </c>
      <c r="M351" s="71">
        <v>5.2279999999999998</v>
      </c>
      <c r="N351" s="6">
        <v>5.2279999999999998</v>
      </c>
      <c r="O351" s="71">
        <v>5.2279999999999998</v>
      </c>
      <c r="P351" s="6">
        <v>0</v>
      </c>
      <c r="Q351" s="4" t="s">
        <v>26</v>
      </c>
      <c r="R351" s="4">
        <v>0</v>
      </c>
      <c r="S351" s="4">
        <v>0</v>
      </c>
      <c r="T351" s="4">
        <v>28</v>
      </c>
      <c r="U351" s="4">
        <v>82</v>
      </c>
      <c r="V351" s="71">
        <f>IF(ISERROR(VLOOKUP($S$351,'TAR FIN'!$A$1:$O$120,15,0)),0,VLOOKUP($S$351,'TAR FIN'!$A$1:$O$120,15,0))</f>
        <v>0</v>
      </c>
      <c r="W351" s="71">
        <f>IF(ISERROR(VLOOKUP($T$351,'TAR FIN'!$A$1:$O$120,15,0)),0,VLOOKUP($T$351,'TAR FIN'!$A$1:$O$120,15,0))*(1-0.08)</f>
        <v>77.694000000000003</v>
      </c>
      <c r="X351" s="71">
        <f>IF(ISERROR(VLOOKUP($U$351,'TAR FIN'!$A$1:$O$120,15,0)),0,VLOOKUP($U$351,'TAR FIN'!$A$1:$O$120,15,0))*(1-0.08)</f>
        <v>235.86960000000002</v>
      </c>
      <c r="Y351" s="71"/>
      <c r="Z351" s="71">
        <f ca="1">('TUSD BE'!$AM$34+'TUSD BF'!$AM$34+'TUSD CVA'!$AM$34)*1*(1-0.06)</f>
        <v>82.268200247339408</v>
      </c>
      <c r="AA351" s="71">
        <f>('TE BE'!$AA$11+'TE BF'!$AA$11+'TE CVA'!$AA$11)*1*(1-0.06)</f>
        <v>216.98415684477786</v>
      </c>
      <c r="AB351" s="71">
        <f>(SUBSIDIO!$J$351*SUBSIDIO!$V$351)*(0.08)/(1-0.08)</f>
        <v>0</v>
      </c>
      <c r="AC351" s="71">
        <f>((SUBSIDIO!$L$351*SUBSIDIO!$W$351)+(SUBSIDIO!$N$351*SUBSIDIO!$X$351))*(0.08)/(1-0.08)</f>
        <v>142.5487392</v>
      </c>
      <c r="AD351" s="71">
        <f>(SUBSIDIO!$J$351*SUBSIDIO!$Y$351)*(0.06)/(1-0.06)</f>
        <v>0</v>
      </c>
      <c r="AE351" s="71">
        <f ca="1">((SUBSIDIO!$L$351*SUBSIDIO!$Z$351)+(SUBSIDIO!$N$351*SUBSIDIO!$AA$351))*(0.06)/(1-0.06)</f>
        <v>99.861148268782273</v>
      </c>
      <c r="AF351" s="4" t="s">
        <v>1151</v>
      </c>
    </row>
    <row r="352" spans="1:32" ht="11.25" customHeight="1" x14ac:dyDescent="0.25">
      <c r="A352" s="4" t="s">
        <v>21</v>
      </c>
      <c r="B352" s="4" t="s">
        <v>33</v>
      </c>
      <c r="C352" s="4" t="s">
        <v>34</v>
      </c>
      <c r="D352" s="4" t="s">
        <v>47</v>
      </c>
      <c r="E352" s="4" t="s">
        <v>55</v>
      </c>
      <c r="F352" s="4" t="s">
        <v>25</v>
      </c>
      <c r="G352" s="4" t="s">
        <v>25</v>
      </c>
      <c r="H352" s="4" t="s">
        <v>36</v>
      </c>
      <c r="I352" s="5">
        <v>43952</v>
      </c>
      <c r="J352" s="6">
        <v>0</v>
      </c>
      <c r="K352" s="71">
        <v>0</v>
      </c>
      <c r="L352" s="6">
        <v>722.94600000000003</v>
      </c>
      <c r="M352" s="71">
        <v>722.94600000000003</v>
      </c>
      <c r="N352" s="6">
        <v>722.94600000000003</v>
      </c>
      <c r="O352" s="71">
        <v>722.94600000000003</v>
      </c>
      <c r="P352" s="6">
        <v>0</v>
      </c>
      <c r="Q352" s="4" t="s">
        <v>26</v>
      </c>
      <c r="R352" s="4">
        <v>0</v>
      </c>
      <c r="S352" s="4">
        <v>0</v>
      </c>
      <c r="T352" s="4">
        <v>28</v>
      </c>
      <c r="U352" s="4">
        <v>82</v>
      </c>
      <c r="V352" s="71">
        <f>IF(ISERROR(VLOOKUP($S$352,'TAR FIN'!$A$1:$O$120,15,0)),0,VLOOKUP($S$352,'TAR FIN'!$A$1:$O$120,15,0))</f>
        <v>0</v>
      </c>
      <c r="W352" s="71">
        <f>IF(ISERROR(VLOOKUP($T$352,'TAR FIN'!$A$1:$O$120,15,0)),0,VLOOKUP($T$352,'TAR FIN'!$A$1:$O$120,15,0))*(1-0.08)</f>
        <v>77.694000000000003</v>
      </c>
      <c r="X352" s="71">
        <f>IF(ISERROR(VLOOKUP($U$352,'TAR FIN'!$A$1:$O$120,15,0)),0,VLOOKUP($U$352,'TAR FIN'!$A$1:$O$120,15,0))*(1-0.08)</f>
        <v>235.86960000000002</v>
      </c>
      <c r="Y352" s="71"/>
      <c r="Z352" s="71">
        <f ca="1">('TUSD BE'!$AM$34+'TUSD BF'!$AM$34+'TUSD CVA'!$AM$34)*1*(1-0.06)</f>
        <v>82.268200247339408</v>
      </c>
      <c r="AA352" s="71">
        <f>('TE BE'!$AA$11+'TE BF'!$AA$11+'TE CVA'!$AA$11)*1*(1-0.06)</f>
        <v>216.98415684477786</v>
      </c>
      <c r="AB352" s="71">
        <f>(SUBSIDIO!$J$352*SUBSIDIO!$V$352)*(0.08)/(1-0.08)</f>
        <v>0</v>
      </c>
      <c r="AC352" s="71">
        <f>((SUBSIDIO!$L$352*SUBSIDIO!$W$352)+(SUBSIDIO!$N$352*SUBSIDIO!$X$352))*(0.08)/(1-0.08)</f>
        <v>19712.1348144</v>
      </c>
      <c r="AD352" s="71">
        <f>(SUBSIDIO!$J$352*SUBSIDIO!$Y$352)*(0.06)/(1-0.06)</f>
        <v>0</v>
      </c>
      <c r="AE352" s="71">
        <f ca="1">((SUBSIDIO!$L$352*SUBSIDIO!$Z$352)+(SUBSIDIO!$N$352*SUBSIDIO!$AA$352))*(0.06)/(1-0.06)</f>
        <v>13809.146460658585</v>
      </c>
      <c r="AF352" s="4" t="s">
        <v>1151</v>
      </c>
    </row>
    <row r="353" spans="1:32" ht="11.25" customHeight="1" x14ac:dyDescent="0.25">
      <c r="A353" s="4" t="s">
        <v>21</v>
      </c>
      <c r="B353" s="4" t="s">
        <v>33</v>
      </c>
      <c r="C353" s="4" t="s">
        <v>34</v>
      </c>
      <c r="D353" s="4" t="s">
        <v>47</v>
      </c>
      <c r="E353" s="4" t="s">
        <v>55</v>
      </c>
      <c r="F353" s="4" t="s">
        <v>25</v>
      </c>
      <c r="G353" s="4" t="s">
        <v>25</v>
      </c>
      <c r="H353" s="4" t="s">
        <v>36</v>
      </c>
      <c r="I353" s="5">
        <v>43983</v>
      </c>
      <c r="J353" s="6">
        <v>0</v>
      </c>
      <c r="K353" s="71">
        <v>0</v>
      </c>
      <c r="L353" s="6">
        <v>1957.6759999999999</v>
      </c>
      <c r="M353" s="71">
        <v>1957.6759999999999</v>
      </c>
      <c r="N353" s="6">
        <v>1957.6759999999999</v>
      </c>
      <c r="O353" s="71">
        <v>1957.6759999999999</v>
      </c>
      <c r="P353" s="6">
        <v>0</v>
      </c>
      <c r="Q353" s="4" t="s">
        <v>26</v>
      </c>
      <c r="R353" s="4">
        <v>0</v>
      </c>
      <c r="S353" s="4">
        <v>0</v>
      </c>
      <c r="T353" s="4">
        <v>28</v>
      </c>
      <c r="U353" s="4">
        <v>82</v>
      </c>
      <c r="V353" s="71">
        <f>IF(ISERROR(VLOOKUP($S$353,'TAR FIN'!$A$1:$O$120,15,0)),0,VLOOKUP($S$353,'TAR FIN'!$A$1:$O$120,15,0))</f>
        <v>0</v>
      </c>
      <c r="W353" s="71">
        <f>IF(ISERROR(VLOOKUP($T$353,'TAR FIN'!$A$1:$O$120,15,0)),0,VLOOKUP($T$353,'TAR FIN'!$A$1:$O$120,15,0))*(1-0.08)</f>
        <v>77.694000000000003</v>
      </c>
      <c r="X353" s="71">
        <f>IF(ISERROR(VLOOKUP($U$353,'TAR FIN'!$A$1:$O$120,15,0)),0,VLOOKUP($U$353,'TAR FIN'!$A$1:$O$120,15,0))*(1-0.08)</f>
        <v>235.86960000000002</v>
      </c>
      <c r="Y353" s="71"/>
      <c r="Z353" s="71">
        <f ca="1">('TUSD BE'!$AM$34+'TUSD BF'!$AM$34+'TUSD CVA'!$AM$34)*1*(1-0.06)</f>
        <v>82.268200247339408</v>
      </c>
      <c r="AA353" s="71">
        <f>('TE BE'!$AA$11+'TE BF'!$AA$11+'TE CVA'!$AA$11)*1*(1-0.06)</f>
        <v>216.98415684477786</v>
      </c>
      <c r="AB353" s="71">
        <f>(SUBSIDIO!$J$353*SUBSIDIO!$V$353)*(0.08)/(1-0.08)</f>
        <v>0</v>
      </c>
      <c r="AC353" s="71">
        <f>((SUBSIDIO!$L$353*SUBSIDIO!$W$353)+(SUBSIDIO!$N$353*SUBSIDIO!$X$353))*(0.08)/(1-0.08)</f>
        <v>53378.776886400003</v>
      </c>
      <c r="AD353" s="71">
        <f>(SUBSIDIO!$J$353*SUBSIDIO!$Y$353)*(0.06)/(1-0.06)</f>
        <v>0</v>
      </c>
      <c r="AE353" s="71">
        <f ca="1">((SUBSIDIO!$L$353*SUBSIDIO!$Z$353)+(SUBSIDIO!$N$353*SUBSIDIO!$AA$353))*(0.06)/(1-0.06)</f>
        <v>37393.98877165965</v>
      </c>
      <c r="AF353" s="4" t="s">
        <v>1151</v>
      </c>
    </row>
    <row r="354" spans="1:32" ht="11.25" customHeight="1" x14ac:dyDescent="0.25">
      <c r="A354" s="4" t="s">
        <v>27</v>
      </c>
      <c r="B354" s="4" t="s">
        <v>33</v>
      </c>
      <c r="C354" s="4" t="s">
        <v>34</v>
      </c>
      <c r="D354" s="4" t="s">
        <v>47</v>
      </c>
      <c r="E354" s="4" t="s">
        <v>55</v>
      </c>
      <c r="F354" s="4" t="s">
        <v>25</v>
      </c>
      <c r="G354" s="4" t="s">
        <v>25</v>
      </c>
      <c r="H354" s="4" t="s">
        <v>36</v>
      </c>
      <c r="I354" s="5">
        <v>43983</v>
      </c>
      <c r="J354" s="6">
        <v>0</v>
      </c>
      <c r="K354" s="71">
        <v>0</v>
      </c>
      <c r="L354" s="6">
        <v>10.285</v>
      </c>
      <c r="M354" s="71">
        <v>10.285</v>
      </c>
      <c r="N354" s="6">
        <v>10.285</v>
      </c>
      <c r="O354" s="71">
        <v>10.285</v>
      </c>
      <c r="P354" s="6">
        <v>0</v>
      </c>
      <c r="Q354" s="4" t="s">
        <v>26</v>
      </c>
      <c r="R354" s="4">
        <v>0</v>
      </c>
      <c r="S354" s="4">
        <v>0</v>
      </c>
      <c r="T354" s="4">
        <v>28</v>
      </c>
      <c r="U354" s="4">
        <v>82</v>
      </c>
      <c r="V354" s="71">
        <f>IF(ISERROR(VLOOKUP($S$354,'TAR FIN'!$A$1:$O$120,15,0)),0,VLOOKUP($S$354,'TAR FIN'!$A$1:$O$120,15,0))</f>
        <v>0</v>
      </c>
      <c r="W354" s="71">
        <f>IF(ISERROR(VLOOKUP($T$354,'TAR FIN'!$A$1:$O$120,15,0)),0,VLOOKUP($T$354,'TAR FIN'!$A$1:$O$120,15,0))*(1-0.08)</f>
        <v>77.694000000000003</v>
      </c>
      <c r="X354" s="71">
        <f>IF(ISERROR(VLOOKUP($U$354,'TAR FIN'!$A$1:$O$120,15,0)),0,VLOOKUP($U$354,'TAR FIN'!$A$1:$O$120,15,0))*(1-0.08)</f>
        <v>235.86960000000002</v>
      </c>
      <c r="Y354" s="71"/>
      <c r="Z354" s="71">
        <f ca="1">('TUSD BE'!$AM$34+'TUSD BF'!$AM$34+'TUSD CVA'!$AM$34)*1*(1-0.06)</f>
        <v>82.268200247339408</v>
      </c>
      <c r="AA354" s="71">
        <f>('TE BE'!$AA$11+'TE BF'!$AA$11+'TE CVA'!$AA$11)*1*(1-0.06)</f>
        <v>216.98415684477786</v>
      </c>
      <c r="AB354" s="71">
        <f>(SUBSIDIO!$J$354*SUBSIDIO!$V$354)*(0.08)/(1-0.08)</f>
        <v>0</v>
      </c>
      <c r="AC354" s="71">
        <f>((SUBSIDIO!$L$354*SUBSIDIO!$W$354)+(SUBSIDIO!$N$354*SUBSIDIO!$X$354))*(0.08)/(1-0.08)</f>
        <v>280.43492400000002</v>
      </c>
      <c r="AD354" s="71">
        <f>(SUBSIDIO!$J$354*SUBSIDIO!$Y$354)*(0.06)/(1-0.06)</f>
        <v>0</v>
      </c>
      <c r="AE354" s="71">
        <f ca="1">((SUBSIDIO!$L$354*SUBSIDIO!$Z$354)+(SUBSIDIO!$N$354*SUBSIDIO!$AA$354))*(0.06)/(1-0.06)</f>
        <v>196.45598889526127</v>
      </c>
      <c r="AF354" s="4" t="s">
        <v>1151</v>
      </c>
    </row>
    <row r="355" spans="1:32" ht="11.25" customHeight="1" x14ac:dyDescent="0.25">
      <c r="A355" s="4" t="s">
        <v>21</v>
      </c>
      <c r="B355" s="4" t="s">
        <v>33</v>
      </c>
      <c r="C355" s="4" t="s">
        <v>34</v>
      </c>
      <c r="D355" s="4" t="s">
        <v>47</v>
      </c>
      <c r="E355" s="4" t="s">
        <v>55</v>
      </c>
      <c r="F355" s="4" t="s">
        <v>25</v>
      </c>
      <c r="G355" s="4" t="s">
        <v>25</v>
      </c>
      <c r="H355" s="4" t="s">
        <v>36</v>
      </c>
      <c r="I355" s="5">
        <v>44013</v>
      </c>
      <c r="J355" s="6">
        <v>0</v>
      </c>
      <c r="K355" s="71">
        <v>0</v>
      </c>
      <c r="L355" s="6">
        <v>1958.9480000000001</v>
      </c>
      <c r="M355" s="71">
        <v>1958.9480000000001</v>
      </c>
      <c r="N355" s="6">
        <v>1958.9480000000001</v>
      </c>
      <c r="O355" s="71">
        <v>1958.9480000000001</v>
      </c>
      <c r="P355" s="6">
        <v>0</v>
      </c>
      <c r="Q355" s="4" t="s">
        <v>26</v>
      </c>
      <c r="R355" s="4">
        <v>0</v>
      </c>
      <c r="S355" s="4">
        <v>0</v>
      </c>
      <c r="T355" s="4">
        <v>28</v>
      </c>
      <c r="U355" s="4">
        <v>82</v>
      </c>
      <c r="V355" s="71">
        <f>IF(ISERROR(VLOOKUP($S$355,'TAR FIN'!$A$1:$O$120,15,0)),0,VLOOKUP($S$355,'TAR FIN'!$A$1:$O$120,15,0))</f>
        <v>0</v>
      </c>
      <c r="W355" s="71">
        <f>IF(ISERROR(VLOOKUP($T$355,'TAR FIN'!$A$1:$O$120,15,0)),0,VLOOKUP($T$355,'TAR FIN'!$A$1:$O$120,15,0))*(1-0.08)</f>
        <v>77.694000000000003</v>
      </c>
      <c r="X355" s="71">
        <f>IF(ISERROR(VLOOKUP($U$355,'TAR FIN'!$A$1:$O$120,15,0)),0,VLOOKUP($U$355,'TAR FIN'!$A$1:$O$120,15,0))*(1-0.08)</f>
        <v>235.86960000000002</v>
      </c>
      <c r="Y355" s="71"/>
      <c r="Z355" s="71">
        <f ca="1">('TUSD BE'!$AM$34+'TUSD BF'!$AM$34+'TUSD CVA'!$AM$34)*1*(1-0.06)</f>
        <v>82.268200247339408</v>
      </c>
      <c r="AA355" s="71">
        <f>('TE BE'!$AA$11+'TE BF'!$AA$11+'TE CVA'!$AA$11)*1*(1-0.06)</f>
        <v>216.98415684477786</v>
      </c>
      <c r="AB355" s="71">
        <f>(SUBSIDIO!$J$355*SUBSIDIO!$V$355)*(0.08)/(1-0.08)</f>
        <v>0</v>
      </c>
      <c r="AC355" s="71">
        <f>((SUBSIDIO!$L$355*SUBSIDIO!$W$355)+(SUBSIDIO!$N$355*SUBSIDIO!$X$355))*(0.08)/(1-0.08)</f>
        <v>53413.459747200002</v>
      </c>
      <c r="AD355" s="71">
        <f>(SUBSIDIO!$J$355*SUBSIDIO!$Y$355)*(0.06)/(1-0.06)</f>
        <v>0</v>
      </c>
      <c r="AE355" s="71">
        <f ca="1">((SUBSIDIO!$L$355*SUBSIDIO!$Z$355)+(SUBSIDIO!$N$355*SUBSIDIO!$AA$355))*(0.06)/(1-0.06)</f>
        <v>37418.285516226955</v>
      </c>
      <c r="AF355" s="4" t="s">
        <v>1151</v>
      </c>
    </row>
    <row r="356" spans="1:32" ht="11.25" customHeight="1" x14ac:dyDescent="0.25">
      <c r="A356" s="4" t="s">
        <v>27</v>
      </c>
      <c r="B356" s="4" t="s">
        <v>33</v>
      </c>
      <c r="C356" s="4" t="s">
        <v>34</v>
      </c>
      <c r="D356" s="4" t="s">
        <v>47</v>
      </c>
      <c r="E356" s="4" t="s">
        <v>55</v>
      </c>
      <c r="F356" s="4" t="s">
        <v>25</v>
      </c>
      <c r="G356" s="4" t="s">
        <v>25</v>
      </c>
      <c r="H356" s="4" t="s">
        <v>36</v>
      </c>
      <c r="I356" s="5">
        <v>44013</v>
      </c>
      <c r="J356" s="6">
        <v>0</v>
      </c>
      <c r="K356" s="71">
        <v>0</v>
      </c>
      <c r="L356" s="6">
        <v>66.974000000000004</v>
      </c>
      <c r="M356" s="71">
        <v>66.974000000000004</v>
      </c>
      <c r="N356" s="6">
        <v>66.974000000000004</v>
      </c>
      <c r="O356" s="71">
        <v>66.974000000000004</v>
      </c>
      <c r="P356" s="6">
        <v>0</v>
      </c>
      <c r="Q356" s="4" t="s">
        <v>26</v>
      </c>
      <c r="R356" s="4">
        <v>0</v>
      </c>
      <c r="S356" s="4">
        <v>0</v>
      </c>
      <c r="T356" s="4">
        <v>28</v>
      </c>
      <c r="U356" s="4">
        <v>82</v>
      </c>
      <c r="V356" s="71">
        <f>IF(ISERROR(VLOOKUP($S$356,'TAR FIN'!$A$1:$O$120,15,0)),0,VLOOKUP($S$356,'TAR FIN'!$A$1:$O$120,15,0))</f>
        <v>0</v>
      </c>
      <c r="W356" s="71">
        <f>IF(ISERROR(VLOOKUP($T$356,'TAR FIN'!$A$1:$O$120,15,0)),0,VLOOKUP($T$356,'TAR FIN'!$A$1:$O$120,15,0))*(1-0.08)</f>
        <v>77.694000000000003</v>
      </c>
      <c r="X356" s="71">
        <f>IF(ISERROR(VLOOKUP($U$356,'TAR FIN'!$A$1:$O$120,15,0)),0,VLOOKUP($U$356,'TAR FIN'!$A$1:$O$120,15,0))*(1-0.08)</f>
        <v>235.86960000000002</v>
      </c>
      <c r="Y356" s="71"/>
      <c r="Z356" s="71">
        <f ca="1">('TUSD BE'!$AM$34+'TUSD BF'!$AM$34+'TUSD CVA'!$AM$34)*1*(1-0.06)</f>
        <v>82.268200247339408</v>
      </c>
      <c r="AA356" s="71">
        <f>('TE BE'!$AA$11+'TE BF'!$AA$11+'TE CVA'!$AA$11)*1*(1-0.06)</f>
        <v>216.98415684477786</v>
      </c>
      <c r="AB356" s="71">
        <f>(SUBSIDIO!$J$356*SUBSIDIO!$V$356)*(0.08)/(1-0.08)</f>
        <v>0</v>
      </c>
      <c r="AC356" s="71">
        <f>((SUBSIDIO!$L$356*SUBSIDIO!$W$356)+(SUBSIDIO!$N$356*SUBSIDIO!$X$356))*(0.08)/(1-0.08)</f>
        <v>1826.1398736000001</v>
      </c>
      <c r="AD356" s="71">
        <f>(SUBSIDIO!$J$356*SUBSIDIO!$Y$356)*(0.06)/(1-0.06)</f>
        <v>0</v>
      </c>
      <c r="AE356" s="71">
        <f ca="1">((SUBSIDIO!$L$356*SUBSIDIO!$Z$356)+(SUBSIDIO!$N$356*SUBSIDIO!$AA$356))*(0.06)/(1-0.06)</f>
        <v>1279.284725354519</v>
      </c>
      <c r="AF356" s="4" t="s">
        <v>1151</v>
      </c>
    </row>
    <row r="357" spans="1:32" ht="11.25" customHeight="1" x14ac:dyDescent="0.25">
      <c r="A357" s="4" t="s">
        <v>21</v>
      </c>
      <c r="B357" s="4" t="s">
        <v>33</v>
      </c>
      <c r="C357" s="4" t="s">
        <v>34</v>
      </c>
      <c r="D357" s="4" t="s">
        <v>47</v>
      </c>
      <c r="E357" s="4" t="s">
        <v>55</v>
      </c>
      <c r="F357" s="4" t="s">
        <v>25</v>
      </c>
      <c r="G357" s="4" t="s">
        <v>25</v>
      </c>
      <c r="H357" s="4" t="s">
        <v>36</v>
      </c>
      <c r="I357" s="5">
        <v>44044</v>
      </c>
      <c r="J357" s="6">
        <v>0</v>
      </c>
      <c r="K357" s="71">
        <v>0</v>
      </c>
      <c r="L357" s="6">
        <v>2088.9360000000001</v>
      </c>
      <c r="M357" s="71">
        <v>2088.9360000000001</v>
      </c>
      <c r="N357" s="6">
        <v>2088.9360000000001</v>
      </c>
      <c r="O357" s="71">
        <v>2088.9360000000001</v>
      </c>
      <c r="P357" s="6">
        <v>0</v>
      </c>
      <c r="Q357" s="4" t="s">
        <v>26</v>
      </c>
      <c r="R357" s="4">
        <v>0</v>
      </c>
      <c r="S357" s="4">
        <v>0</v>
      </c>
      <c r="T357" s="4">
        <v>28</v>
      </c>
      <c r="U357" s="4">
        <v>82</v>
      </c>
      <c r="V357" s="71">
        <f>IF(ISERROR(VLOOKUP($S$357,'TAR FIN'!$A$1:$O$120,15,0)),0,VLOOKUP($S$357,'TAR FIN'!$A$1:$O$120,15,0))</f>
        <v>0</v>
      </c>
      <c r="W357" s="71">
        <f>IF(ISERROR(VLOOKUP($T$357,'TAR FIN'!$A$1:$O$120,15,0)),0,VLOOKUP($T$357,'TAR FIN'!$A$1:$O$120,15,0))*(1-0.08)</f>
        <v>77.694000000000003</v>
      </c>
      <c r="X357" s="71">
        <f>IF(ISERROR(VLOOKUP($U$357,'TAR FIN'!$A$1:$O$120,15,0)),0,VLOOKUP($U$357,'TAR FIN'!$A$1:$O$120,15,0))*(1-0.08)</f>
        <v>235.86960000000002</v>
      </c>
      <c r="Y357" s="71"/>
      <c r="Z357" s="71">
        <f ca="1">('TUSD BE'!$AM$34+'TUSD BF'!$AM$34+'TUSD CVA'!$AM$34)*1*(1-0.06)</f>
        <v>82.268200247339408</v>
      </c>
      <c r="AA357" s="71">
        <f>('TE BE'!$AA$11+'TE BF'!$AA$11+'TE CVA'!$AA$11)*1*(1-0.06)</f>
        <v>216.98415684477786</v>
      </c>
      <c r="AB357" s="71">
        <f>(SUBSIDIO!$J$357*SUBSIDIO!$V$357)*(0.08)/(1-0.08)</f>
        <v>0</v>
      </c>
      <c r="AC357" s="71">
        <f>((SUBSIDIO!$L$357*SUBSIDIO!$W$357)+(SUBSIDIO!$N$357*SUBSIDIO!$X$357))*(0.08)/(1-0.08)</f>
        <v>56957.764550400003</v>
      </c>
      <c r="AD357" s="71">
        <f>(SUBSIDIO!$J$357*SUBSIDIO!$Y$357)*(0.06)/(1-0.06)</f>
        <v>0</v>
      </c>
      <c r="AE357" s="71">
        <f ca="1">((SUBSIDIO!$L$357*SUBSIDIO!$Z$357)+(SUBSIDIO!$N$357*SUBSIDIO!$AA$357))*(0.06)/(1-0.06)</f>
        <v>39901.214158377399</v>
      </c>
      <c r="AF357" s="4" t="s">
        <v>1151</v>
      </c>
    </row>
    <row r="358" spans="1:32" ht="11.25" customHeight="1" x14ac:dyDescent="0.25">
      <c r="A358" s="4" t="s">
        <v>27</v>
      </c>
      <c r="B358" s="4" t="s">
        <v>33</v>
      </c>
      <c r="C358" s="4" t="s">
        <v>34</v>
      </c>
      <c r="D358" s="4" t="s">
        <v>47</v>
      </c>
      <c r="E358" s="4" t="s">
        <v>55</v>
      </c>
      <c r="F358" s="4" t="s">
        <v>25</v>
      </c>
      <c r="G358" s="4" t="s">
        <v>25</v>
      </c>
      <c r="H358" s="4" t="s">
        <v>36</v>
      </c>
      <c r="I358" s="5">
        <v>44044</v>
      </c>
      <c r="J358" s="6">
        <v>0</v>
      </c>
      <c r="K358" s="71">
        <v>0</v>
      </c>
      <c r="L358" s="6">
        <v>26.326000000000001</v>
      </c>
      <c r="M358" s="71">
        <v>26.326000000000001</v>
      </c>
      <c r="N358" s="6">
        <v>26.326000000000001</v>
      </c>
      <c r="O358" s="71">
        <v>26.326000000000001</v>
      </c>
      <c r="P358" s="6">
        <v>0</v>
      </c>
      <c r="Q358" s="4" t="s">
        <v>26</v>
      </c>
      <c r="R358" s="4">
        <v>0</v>
      </c>
      <c r="S358" s="4">
        <v>0</v>
      </c>
      <c r="T358" s="4">
        <v>28</v>
      </c>
      <c r="U358" s="4">
        <v>82</v>
      </c>
      <c r="V358" s="71">
        <f>IF(ISERROR(VLOOKUP($S$358,'TAR FIN'!$A$1:$O$120,15,0)),0,VLOOKUP($S$358,'TAR FIN'!$A$1:$O$120,15,0))</f>
        <v>0</v>
      </c>
      <c r="W358" s="71">
        <f>IF(ISERROR(VLOOKUP($T$358,'TAR FIN'!$A$1:$O$120,15,0)),0,VLOOKUP($T$358,'TAR FIN'!$A$1:$O$120,15,0))*(1-0.08)</f>
        <v>77.694000000000003</v>
      </c>
      <c r="X358" s="71">
        <f>IF(ISERROR(VLOOKUP($U$358,'TAR FIN'!$A$1:$O$120,15,0)),0,VLOOKUP($U$358,'TAR FIN'!$A$1:$O$120,15,0))*(1-0.08)</f>
        <v>235.86960000000002</v>
      </c>
      <c r="Y358" s="71"/>
      <c r="Z358" s="71">
        <f ca="1">('TUSD BE'!$AM$34+'TUSD BF'!$AM$34+'TUSD CVA'!$AM$34)*1*(1-0.06)</f>
        <v>82.268200247339408</v>
      </c>
      <c r="AA358" s="71">
        <f>('TE BE'!$AA$11+'TE BF'!$AA$11+'TE CVA'!$AA$11)*1*(1-0.06)</f>
        <v>216.98415684477786</v>
      </c>
      <c r="AB358" s="71">
        <f>(SUBSIDIO!$J$358*SUBSIDIO!$V$358)*(0.08)/(1-0.08)</f>
        <v>0</v>
      </c>
      <c r="AC358" s="71">
        <f>((SUBSIDIO!$L$358*SUBSIDIO!$W$358)+(SUBSIDIO!$N$358*SUBSIDIO!$X$358))*(0.08)/(1-0.08)</f>
        <v>717.81524639999998</v>
      </c>
      <c r="AD358" s="71">
        <f>(SUBSIDIO!$J$358*SUBSIDIO!$Y$358)*(0.06)/(1-0.06)</f>
        <v>0</v>
      </c>
      <c r="AE358" s="71">
        <f ca="1">((SUBSIDIO!$L$358*SUBSIDIO!$Z$358)+(SUBSIDIO!$N$358*SUBSIDIO!$AA$358))*(0.06)/(1-0.06)</f>
        <v>502.85856720045189</v>
      </c>
      <c r="AF358" s="4" t="s">
        <v>1151</v>
      </c>
    </row>
    <row r="359" spans="1:32" ht="11.25" customHeight="1" x14ac:dyDescent="0.25">
      <c r="A359" s="4" t="s">
        <v>59</v>
      </c>
      <c r="B359" s="4" t="s">
        <v>33</v>
      </c>
      <c r="C359" s="4" t="s">
        <v>34</v>
      </c>
      <c r="D359" s="4" t="s">
        <v>47</v>
      </c>
      <c r="E359" s="4" t="s">
        <v>55</v>
      </c>
      <c r="F359" s="4" t="s">
        <v>25</v>
      </c>
      <c r="G359" s="4" t="s">
        <v>25</v>
      </c>
      <c r="H359" s="4" t="s">
        <v>36</v>
      </c>
      <c r="I359" s="5">
        <v>44075</v>
      </c>
      <c r="J359" s="6">
        <v>0</v>
      </c>
      <c r="K359" s="71">
        <v>0</v>
      </c>
      <c r="L359" s="6">
        <v>2088.9360000000001</v>
      </c>
      <c r="M359" s="71">
        <v>2088.9360000000001</v>
      </c>
      <c r="N359" s="6">
        <v>2088.9360000000001</v>
      </c>
      <c r="O359" s="71">
        <v>2088.9360000000001</v>
      </c>
      <c r="P359" s="6">
        <v>0</v>
      </c>
      <c r="Q359" s="4" t="s">
        <v>26</v>
      </c>
      <c r="R359" s="4">
        <v>0</v>
      </c>
      <c r="S359" s="4">
        <v>0</v>
      </c>
      <c r="T359" s="4">
        <v>28</v>
      </c>
      <c r="U359" s="4">
        <v>82</v>
      </c>
      <c r="V359" s="71">
        <f>IF(ISERROR(VLOOKUP($S$359,'TAR FIN'!$A$1:$O$120,15,0)),0,VLOOKUP($S$359,'TAR FIN'!$A$1:$O$120,15,0))</f>
        <v>0</v>
      </c>
      <c r="W359" s="71">
        <f>IF(ISERROR(VLOOKUP($T$359,'TAR FIN'!$A$1:$O$120,15,0)),0,VLOOKUP($T$359,'TAR FIN'!$A$1:$O$120,15,0))*(1-0.08)</f>
        <v>77.694000000000003</v>
      </c>
      <c r="X359" s="71">
        <f>IF(ISERROR(VLOOKUP($U$359,'TAR FIN'!$A$1:$O$120,15,0)),0,VLOOKUP($U$359,'TAR FIN'!$A$1:$O$120,15,0))*(1-0.08)</f>
        <v>235.86960000000002</v>
      </c>
      <c r="Y359" s="71"/>
      <c r="Z359" s="71">
        <f ca="1">('TUSD BE'!$AM$34+'TUSD BF'!$AM$34+'TUSD CVA'!$AM$34)*1*(1-0.06)</f>
        <v>82.268200247339408</v>
      </c>
      <c r="AA359" s="71">
        <f>('TE BE'!$AA$11+'TE BF'!$AA$11+'TE CVA'!$AA$11)*1*(1-0.06)</f>
        <v>216.98415684477786</v>
      </c>
      <c r="AB359" s="71">
        <f>(SUBSIDIO!$J$359*SUBSIDIO!$V$359)*(0.08)/(1-0.08)</f>
        <v>0</v>
      </c>
      <c r="AC359" s="71">
        <f>((SUBSIDIO!$L$359*SUBSIDIO!$W$359)+(SUBSIDIO!$N$359*SUBSIDIO!$X$359))*(0.08)/(1-0.08)</f>
        <v>56957.764550400003</v>
      </c>
      <c r="AD359" s="71">
        <f>(SUBSIDIO!$J$359*SUBSIDIO!$Y$359)*(0.06)/(1-0.06)</f>
        <v>0</v>
      </c>
      <c r="AE359" s="71">
        <f ca="1">((SUBSIDIO!$L$359*SUBSIDIO!$Z$359)+(SUBSIDIO!$N$359*SUBSIDIO!$AA$359))*(0.06)/(1-0.06)</f>
        <v>39901.214158377399</v>
      </c>
      <c r="AF359" s="4" t="s">
        <v>1151</v>
      </c>
    </row>
    <row r="360" spans="1:32" ht="11.25" customHeight="1" x14ac:dyDescent="0.25">
      <c r="A360" s="4" t="s">
        <v>59</v>
      </c>
      <c r="B360" s="4" t="s">
        <v>33</v>
      </c>
      <c r="C360" s="4" t="s">
        <v>34</v>
      </c>
      <c r="D360" s="4" t="s">
        <v>47</v>
      </c>
      <c r="E360" s="4" t="s">
        <v>55</v>
      </c>
      <c r="F360" s="4" t="s">
        <v>25</v>
      </c>
      <c r="G360" s="4" t="s">
        <v>25</v>
      </c>
      <c r="H360" s="4" t="s">
        <v>36</v>
      </c>
      <c r="I360" s="5">
        <v>44075</v>
      </c>
      <c r="J360" s="6">
        <v>0</v>
      </c>
      <c r="K360" s="71">
        <v>0</v>
      </c>
      <c r="L360" s="6">
        <v>26.326000000000001</v>
      </c>
      <c r="M360" s="71">
        <v>26.326000000000001</v>
      </c>
      <c r="N360" s="6">
        <v>26.326000000000001</v>
      </c>
      <c r="O360" s="71">
        <v>26.326000000000001</v>
      </c>
      <c r="P360" s="6">
        <v>0</v>
      </c>
      <c r="Q360" s="4" t="s">
        <v>26</v>
      </c>
      <c r="R360" s="4">
        <v>0</v>
      </c>
      <c r="S360" s="4">
        <v>0</v>
      </c>
      <c r="T360" s="4">
        <v>28</v>
      </c>
      <c r="U360" s="4">
        <v>82</v>
      </c>
      <c r="V360" s="71">
        <f>IF(ISERROR(VLOOKUP($S$360,'TAR FIN'!$A$1:$O$120,15,0)),0,VLOOKUP($S$360,'TAR FIN'!$A$1:$O$120,15,0))</f>
        <v>0</v>
      </c>
      <c r="W360" s="71">
        <f>IF(ISERROR(VLOOKUP($T$360,'TAR FIN'!$A$1:$O$120,15,0)),0,VLOOKUP($T$360,'TAR FIN'!$A$1:$O$120,15,0))*(1-0.08)</f>
        <v>77.694000000000003</v>
      </c>
      <c r="X360" s="71">
        <f>IF(ISERROR(VLOOKUP($U$360,'TAR FIN'!$A$1:$O$120,15,0)),0,VLOOKUP($U$360,'TAR FIN'!$A$1:$O$120,15,0))*(1-0.08)</f>
        <v>235.86960000000002</v>
      </c>
      <c r="Y360" s="71"/>
      <c r="Z360" s="71">
        <f ca="1">('TUSD BE'!$AM$34+'TUSD BF'!$AM$34+'TUSD CVA'!$AM$34)*1*(1-0.06)</f>
        <v>82.268200247339408</v>
      </c>
      <c r="AA360" s="71">
        <f>('TE BE'!$AA$11+'TE BF'!$AA$11+'TE CVA'!$AA$11)*1*(1-0.06)</f>
        <v>216.98415684477786</v>
      </c>
      <c r="AB360" s="71">
        <f>(SUBSIDIO!$J$360*SUBSIDIO!$V$360)*(0.08)/(1-0.08)</f>
        <v>0</v>
      </c>
      <c r="AC360" s="71">
        <f>((SUBSIDIO!$L$360*SUBSIDIO!$W$360)+(SUBSIDIO!$N$360*SUBSIDIO!$X$360))*(0.08)/(1-0.08)</f>
        <v>717.81524639999998</v>
      </c>
      <c r="AD360" s="71">
        <f>(SUBSIDIO!$J$360*SUBSIDIO!$Y$360)*(0.06)/(1-0.06)</f>
        <v>0</v>
      </c>
      <c r="AE360" s="71">
        <f ca="1">((SUBSIDIO!$L$360*SUBSIDIO!$Z$360)+(SUBSIDIO!$N$360*SUBSIDIO!$AA$360))*(0.06)/(1-0.06)</f>
        <v>502.85856720045189</v>
      </c>
      <c r="AF360" s="4" t="s">
        <v>1151</v>
      </c>
    </row>
    <row r="361" spans="1:32" ht="11.25" customHeight="1" x14ac:dyDescent="0.25">
      <c r="A361" s="4" t="s">
        <v>21</v>
      </c>
      <c r="B361" s="4" t="s">
        <v>33</v>
      </c>
      <c r="C361" s="4" t="s">
        <v>34</v>
      </c>
      <c r="D361" s="4" t="s">
        <v>47</v>
      </c>
      <c r="E361" s="4" t="s">
        <v>55</v>
      </c>
      <c r="F361" s="4" t="s">
        <v>25</v>
      </c>
      <c r="G361" s="4" t="s">
        <v>25</v>
      </c>
      <c r="H361" s="4" t="s">
        <v>25</v>
      </c>
      <c r="I361" s="5">
        <v>43739</v>
      </c>
      <c r="J361" s="6">
        <v>8444</v>
      </c>
      <c r="K361" s="71">
        <v>8444</v>
      </c>
      <c r="L361" s="6">
        <v>0</v>
      </c>
      <c r="M361" s="71">
        <v>0</v>
      </c>
      <c r="N361" s="6">
        <v>0</v>
      </c>
      <c r="O361" s="71">
        <v>0</v>
      </c>
      <c r="P361" s="6">
        <v>119</v>
      </c>
      <c r="Q361" s="4" t="s">
        <v>26</v>
      </c>
      <c r="R361" s="4">
        <v>0</v>
      </c>
      <c r="S361" s="4">
        <v>26</v>
      </c>
      <c r="T361" s="4">
        <v>0</v>
      </c>
      <c r="U361" s="4">
        <v>0</v>
      </c>
      <c r="V361" s="71">
        <f>IF(ISERROR(VLOOKUP($S$361,'TAR FIN'!$A$1:$O$120,15,0)),0,VLOOKUP($S$361,'TAR FIN'!$A$1:$O$120,15,0))*(1-0.08)</f>
        <v>8.1052</v>
      </c>
      <c r="W361" s="71">
        <f>IF(ISERROR(VLOOKUP($T$361,'TAR FIN'!$A$1:$O$120,15,0)),0,VLOOKUP($T$361,'TAR FIN'!$A$1:$O$120,15,0))</f>
        <v>0</v>
      </c>
      <c r="X361" s="71">
        <f>IF(ISERROR(VLOOKUP($U$361,'TAR FIN'!$A$1:$O$120,15,0)),0,VLOOKUP($U$361,'TAR FIN'!$A$1:$O$120,15,0))</f>
        <v>0</v>
      </c>
      <c r="Y361" s="71">
        <f ca="1">('TUSD BE'!$AM$32+'TUSD BF'!$AM$32+'TUSD CVA'!$AM$32)*1*(1-0.06)</f>
        <v>10.765215249734004</v>
      </c>
      <c r="Z361" s="71"/>
      <c r="AA361" s="71"/>
      <c r="AB361" s="71">
        <f>(SUBSIDIO!$J$361*SUBSIDIO!$V$361)*(0.08)/(1-0.08)</f>
        <v>5951.3311999999996</v>
      </c>
      <c r="AC361" s="71">
        <f>((SUBSIDIO!$L$361*SUBSIDIO!$W$361)+(SUBSIDIO!$N$361*SUBSIDIO!$X$361))*(0.08)/(1-0.08)</f>
        <v>0</v>
      </c>
      <c r="AD361" s="71">
        <f ca="1">(SUBSIDIO!$J$361*SUBSIDIO!$Y$361)*(0.06)/(1-0.06)</f>
        <v>5802.2219724736542</v>
      </c>
      <c r="AE361" s="71">
        <f>((SUBSIDIO!$L$361*SUBSIDIO!$Z$361)+(SUBSIDIO!$N$361*SUBSIDIO!$AA$361))*(0.06)/(1-0.06)</f>
        <v>0</v>
      </c>
      <c r="AF361" s="4" t="s">
        <v>1151</v>
      </c>
    </row>
    <row r="362" spans="1:32" ht="11.25" customHeight="1" x14ac:dyDescent="0.25">
      <c r="A362" s="4" t="s">
        <v>27</v>
      </c>
      <c r="B362" s="4" t="s">
        <v>33</v>
      </c>
      <c r="C362" s="4" t="s">
        <v>34</v>
      </c>
      <c r="D362" s="4" t="s">
        <v>47</v>
      </c>
      <c r="E362" s="4" t="s">
        <v>55</v>
      </c>
      <c r="F362" s="4" t="s">
        <v>25</v>
      </c>
      <c r="G362" s="4" t="s">
        <v>25</v>
      </c>
      <c r="H362" s="4" t="s">
        <v>25</v>
      </c>
      <c r="I362" s="5">
        <v>43739</v>
      </c>
      <c r="J362" s="6">
        <v>69</v>
      </c>
      <c r="K362" s="71">
        <v>69</v>
      </c>
      <c r="L362" s="6">
        <v>0</v>
      </c>
      <c r="M362" s="71">
        <v>0</v>
      </c>
      <c r="N362" s="6">
        <v>0</v>
      </c>
      <c r="O362" s="71">
        <v>0</v>
      </c>
      <c r="P362" s="6">
        <v>4</v>
      </c>
      <c r="Q362" s="4" t="s">
        <v>26</v>
      </c>
      <c r="R362" s="4">
        <v>0</v>
      </c>
      <c r="S362" s="4">
        <v>26</v>
      </c>
      <c r="T362" s="4">
        <v>0</v>
      </c>
      <c r="U362" s="4">
        <v>0</v>
      </c>
      <c r="V362" s="71">
        <f>IF(ISERROR(VLOOKUP($S$362,'TAR FIN'!$A$1:$O$120,15,0)),0,VLOOKUP($S$362,'TAR FIN'!$A$1:$O$120,15,0))*(1-0.08)</f>
        <v>8.1052</v>
      </c>
      <c r="W362" s="71">
        <f>IF(ISERROR(VLOOKUP($T$362,'TAR FIN'!$A$1:$O$120,15,0)),0,VLOOKUP($T$362,'TAR FIN'!$A$1:$O$120,15,0))</f>
        <v>0</v>
      </c>
      <c r="X362" s="71">
        <f>IF(ISERROR(VLOOKUP($U$362,'TAR FIN'!$A$1:$O$120,15,0)),0,VLOOKUP($U$362,'TAR FIN'!$A$1:$O$120,15,0))</f>
        <v>0</v>
      </c>
      <c r="Y362" s="71">
        <f ca="1">('TUSD BE'!$AM$32+'TUSD BF'!$AM$32+'TUSD CVA'!$AM$32)*1*(1-0.06)</f>
        <v>10.765215249734004</v>
      </c>
      <c r="Z362" s="71"/>
      <c r="AA362" s="71"/>
      <c r="AB362" s="71">
        <f>(SUBSIDIO!$J$362*SUBSIDIO!$V$362)*(0.08)/(1-0.08)</f>
        <v>48.631199999999993</v>
      </c>
      <c r="AC362" s="71">
        <f>((SUBSIDIO!$L$362*SUBSIDIO!$W$362)+(SUBSIDIO!$N$362*SUBSIDIO!$X$362))*(0.08)/(1-0.08)</f>
        <v>0</v>
      </c>
      <c r="AD362" s="71">
        <f ca="1">(SUBSIDIO!$J$362*SUBSIDIO!$Y$362)*(0.06)/(1-0.06)</f>
        <v>47.412756525424228</v>
      </c>
      <c r="AE362" s="71">
        <f>((SUBSIDIO!$L$362*SUBSIDIO!$Z$362)+(SUBSIDIO!$N$362*SUBSIDIO!$AA$362))*(0.06)/(1-0.06)</f>
        <v>0</v>
      </c>
      <c r="AF362" s="4" t="s">
        <v>1151</v>
      </c>
    </row>
    <row r="363" spans="1:32" ht="11.25" customHeight="1" x14ac:dyDescent="0.25">
      <c r="A363" s="4" t="s">
        <v>21</v>
      </c>
      <c r="B363" s="4" t="s">
        <v>33</v>
      </c>
      <c r="C363" s="4" t="s">
        <v>34</v>
      </c>
      <c r="D363" s="4" t="s">
        <v>47</v>
      </c>
      <c r="E363" s="4" t="s">
        <v>55</v>
      </c>
      <c r="F363" s="4" t="s">
        <v>25</v>
      </c>
      <c r="G363" s="4" t="s">
        <v>25</v>
      </c>
      <c r="H363" s="4" t="s">
        <v>25</v>
      </c>
      <c r="I363" s="5">
        <v>43770</v>
      </c>
      <c r="J363" s="6">
        <v>10820</v>
      </c>
      <c r="K363" s="71">
        <v>10820</v>
      </c>
      <c r="L363" s="6">
        <v>0</v>
      </c>
      <c r="M363" s="71">
        <v>0</v>
      </c>
      <c r="N363" s="6">
        <v>0</v>
      </c>
      <c r="O363" s="71">
        <v>0</v>
      </c>
      <c r="P363" s="6">
        <v>120</v>
      </c>
      <c r="Q363" s="4" t="s">
        <v>26</v>
      </c>
      <c r="R363" s="4">
        <v>0</v>
      </c>
      <c r="S363" s="4">
        <v>26</v>
      </c>
      <c r="T363" s="4">
        <v>0</v>
      </c>
      <c r="U363" s="4">
        <v>0</v>
      </c>
      <c r="V363" s="71">
        <f>IF(ISERROR(VLOOKUP($S$363,'TAR FIN'!$A$1:$O$120,15,0)),0,VLOOKUP($S$363,'TAR FIN'!$A$1:$O$120,15,0))*(1-0.08)</f>
        <v>8.1052</v>
      </c>
      <c r="W363" s="71">
        <f>IF(ISERROR(VLOOKUP($T$363,'TAR FIN'!$A$1:$O$120,15,0)),0,VLOOKUP($T$363,'TAR FIN'!$A$1:$O$120,15,0))</f>
        <v>0</v>
      </c>
      <c r="X363" s="71">
        <f>IF(ISERROR(VLOOKUP($U$363,'TAR FIN'!$A$1:$O$120,15,0)),0,VLOOKUP($U$363,'TAR FIN'!$A$1:$O$120,15,0))</f>
        <v>0</v>
      </c>
      <c r="Y363" s="71">
        <f ca="1">('TUSD BE'!$AM$32+'TUSD BF'!$AM$32+'TUSD CVA'!$AM$32)*1*(1-0.06)</f>
        <v>10.765215249734004</v>
      </c>
      <c r="Z363" s="71"/>
      <c r="AA363" s="71"/>
      <c r="AB363" s="71">
        <f>(SUBSIDIO!$J$363*SUBSIDIO!$V$363)*(0.08)/(1-0.08)</f>
        <v>7625.9359999999988</v>
      </c>
      <c r="AC363" s="71">
        <f>((SUBSIDIO!$L$363*SUBSIDIO!$W$363)+(SUBSIDIO!$N$363*SUBSIDIO!$X$363))*(0.08)/(1-0.08)</f>
        <v>0</v>
      </c>
      <c r="AD363" s="71">
        <f ca="1">(SUBSIDIO!$J$363*SUBSIDIO!$Y$363)*(0.06)/(1-0.06)</f>
        <v>7434.8699363056548</v>
      </c>
      <c r="AE363" s="71">
        <f>((SUBSIDIO!$L$363*SUBSIDIO!$Z$363)+(SUBSIDIO!$N$363*SUBSIDIO!$AA$363))*(0.06)/(1-0.06)</f>
        <v>0</v>
      </c>
      <c r="AF363" s="4" t="s">
        <v>1151</v>
      </c>
    </row>
    <row r="364" spans="1:32" ht="11.25" customHeight="1" x14ac:dyDescent="0.25">
      <c r="A364" s="4" t="s">
        <v>27</v>
      </c>
      <c r="B364" s="4" t="s">
        <v>33</v>
      </c>
      <c r="C364" s="4" t="s">
        <v>34</v>
      </c>
      <c r="D364" s="4" t="s">
        <v>47</v>
      </c>
      <c r="E364" s="4" t="s">
        <v>55</v>
      </c>
      <c r="F364" s="4" t="s">
        <v>25</v>
      </c>
      <c r="G364" s="4" t="s">
        <v>25</v>
      </c>
      <c r="H364" s="4" t="s">
        <v>25</v>
      </c>
      <c r="I364" s="5">
        <v>43770</v>
      </c>
      <c r="J364" s="6">
        <v>618</v>
      </c>
      <c r="K364" s="71">
        <v>618</v>
      </c>
      <c r="L364" s="6">
        <v>0</v>
      </c>
      <c r="M364" s="71">
        <v>0</v>
      </c>
      <c r="N364" s="6">
        <v>0</v>
      </c>
      <c r="O364" s="71">
        <v>0</v>
      </c>
      <c r="P364" s="6">
        <v>4</v>
      </c>
      <c r="Q364" s="4" t="s">
        <v>26</v>
      </c>
      <c r="R364" s="4">
        <v>0</v>
      </c>
      <c r="S364" s="4">
        <v>26</v>
      </c>
      <c r="T364" s="4">
        <v>0</v>
      </c>
      <c r="U364" s="4">
        <v>0</v>
      </c>
      <c r="V364" s="71">
        <f>IF(ISERROR(VLOOKUP($S$364,'TAR FIN'!$A$1:$O$120,15,0)),0,VLOOKUP($S$364,'TAR FIN'!$A$1:$O$120,15,0))*(1-0.08)</f>
        <v>8.1052</v>
      </c>
      <c r="W364" s="71">
        <f>IF(ISERROR(VLOOKUP($T$364,'TAR FIN'!$A$1:$O$120,15,0)),0,VLOOKUP($T$364,'TAR FIN'!$A$1:$O$120,15,0))</f>
        <v>0</v>
      </c>
      <c r="X364" s="71">
        <f>IF(ISERROR(VLOOKUP($U$364,'TAR FIN'!$A$1:$O$120,15,0)),0,VLOOKUP($U$364,'TAR FIN'!$A$1:$O$120,15,0))</f>
        <v>0</v>
      </c>
      <c r="Y364" s="71">
        <f ca="1">('TUSD BE'!$AM$32+'TUSD BF'!$AM$32+'TUSD CVA'!$AM$32)*1*(1-0.06)</f>
        <v>10.765215249734004</v>
      </c>
      <c r="Z364" s="71"/>
      <c r="AA364" s="71"/>
      <c r="AB364" s="71">
        <f>(SUBSIDIO!$J$364*SUBSIDIO!$V$364)*(0.08)/(1-0.08)</f>
        <v>435.56639999999999</v>
      </c>
      <c r="AC364" s="71">
        <f>((SUBSIDIO!$L$364*SUBSIDIO!$W$364)+(SUBSIDIO!$N$364*SUBSIDIO!$X$364))*(0.08)/(1-0.08)</f>
        <v>0</v>
      </c>
      <c r="AD364" s="71">
        <f ca="1">(SUBSIDIO!$J$364*SUBSIDIO!$Y$364)*(0.06)/(1-0.06)</f>
        <v>424.65338453206056</v>
      </c>
      <c r="AE364" s="71">
        <f>((SUBSIDIO!$L$364*SUBSIDIO!$Z$364)+(SUBSIDIO!$N$364*SUBSIDIO!$AA$364))*(0.06)/(1-0.06)</f>
        <v>0</v>
      </c>
      <c r="AF364" s="4" t="s">
        <v>1151</v>
      </c>
    </row>
    <row r="365" spans="1:32" ht="11.25" customHeight="1" x14ac:dyDescent="0.25">
      <c r="A365" s="4" t="s">
        <v>21</v>
      </c>
      <c r="B365" s="4" t="s">
        <v>33</v>
      </c>
      <c r="C365" s="4" t="s">
        <v>34</v>
      </c>
      <c r="D365" s="4" t="s">
        <v>47</v>
      </c>
      <c r="E365" s="4" t="s">
        <v>55</v>
      </c>
      <c r="F365" s="4" t="s">
        <v>25</v>
      </c>
      <c r="G365" s="4" t="s">
        <v>25</v>
      </c>
      <c r="H365" s="4" t="s">
        <v>25</v>
      </c>
      <c r="I365" s="5">
        <v>43800</v>
      </c>
      <c r="J365" s="6">
        <v>7268</v>
      </c>
      <c r="K365" s="71">
        <v>7268</v>
      </c>
      <c r="L365" s="6">
        <v>0</v>
      </c>
      <c r="M365" s="71">
        <v>0</v>
      </c>
      <c r="N365" s="6">
        <v>0</v>
      </c>
      <c r="O365" s="71">
        <v>0</v>
      </c>
      <c r="P365" s="6">
        <v>124</v>
      </c>
      <c r="Q365" s="4" t="s">
        <v>26</v>
      </c>
      <c r="R365" s="4">
        <v>0</v>
      </c>
      <c r="S365" s="4">
        <v>26</v>
      </c>
      <c r="T365" s="4">
        <v>0</v>
      </c>
      <c r="U365" s="4">
        <v>0</v>
      </c>
      <c r="V365" s="71">
        <f>IF(ISERROR(VLOOKUP($S$365,'TAR FIN'!$A$1:$O$120,15,0)),0,VLOOKUP($S$365,'TAR FIN'!$A$1:$O$120,15,0))*(1-0.08)</f>
        <v>8.1052</v>
      </c>
      <c r="W365" s="71">
        <f>IF(ISERROR(VLOOKUP($T$365,'TAR FIN'!$A$1:$O$120,15,0)),0,VLOOKUP($T$365,'TAR FIN'!$A$1:$O$120,15,0))</f>
        <v>0</v>
      </c>
      <c r="X365" s="71">
        <f>IF(ISERROR(VLOOKUP($U$365,'TAR FIN'!$A$1:$O$120,15,0)),0,VLOOKUP($U$365,'TAR FIN'!$A$1:$O$120,15,0))</f>
        <v>0</v>
      </c>
      <c r="Y365" s="71">
        <f ca="1">('TUSD BE'!$AM$32+'TUSD BF'!$AM$32+'TUSD CVA'!$AM$32)*1*(1-0.06)</f>
        <v>10.765215249734004</v>
      </c>
      <c r="Z365" s="71"/>
      <c r="AA365" s="71"/>
      <c r="AB365" s="71">
        <f>(SUBSIDIO!$J$365*SUBSIDIO!$V$365)*(0.08)/(1-0.08)</f>
        <v>5122.4864000000007</v>
      </c>
      <c r="AC365" s="71">
        <f>((SUBSIDIO!$L$365*SUBSIDIO!$W$365)+(SUBSIDIO!$N$365*SUBSIDIO!$X$365))*(0.08)/(1-0.08)</f>
        <v>0</v>
      </c>
      <c r="AD365" s="71">
        <f ca="1">(SUBSIDIO!$J$365*SUBSIDIO!$Y$365)*(0.06)/(1-0.06)</f>
        <v>4994.1436873446855</v>
      </c>
      <c r="AE365" s="71">
        <f>((SUBSIDIO!$L$365*SUBSIDIO!$Z$365)+(SUBSIDIO!$N$365*SUBSIDIO!$AA$365))*(0.06)/(1-0.06)</f>
        <v>0</v>
      </c>
      <c r="AF365" s="4" t="s">
        <v>1151</v>
      </c>
    </row>
    <row r="366" spans="1:32" ht="11.25" customHeight="1" x14ac:dyDescent="0.25">
      <c r="A366" s="4" t="s">
        <v>27</v>
      </c>
      <c r="B366" s="4" t="s">
        <v>33</v>
      </c>
      <c r="C366" s="4" t="s">
        <v>34</v>
      </c>
      <c r="D366" s="4" t="s">
        <v>47</v>
      </c>
      <c r="E366" s="4" t="s">
        <v>55</v>
      </c>
      <c r="F366" s="4" t="s">
        <v>25</v>
      </c>
      <c r="G366" s="4" t="s">
        <v>25</v>
      </c>
      <c r="H366" s="4" t="s">
        <v>25</v>
      </c>
      <c r="I366" s="5">
        <v>43800</v>
      </c>
      <c r="J366" s="6">
        <v>517</v>
      </c>
      <c r="K366" s="71">
        <v>517</v>
      </c>
      <c r="L366" s="6">
        <v>0</v>
      </c>
      <c r="M366" s="71">
        <v>0</v>
      </c>
      <c r="N366" s="6">
        <v>0</v>
      </c>
      <c r="O366" s="71">
        <v>0</v>
      </c>
      <c r="P366" s="6">
        <v>3</v>
      </c>
      <c r="Q366" s="4" t="s">
        <v>26</v>
      </c>
      <c r="R366" s="4">
        <v>0</v>
      </c>
      <c r="S366" s="4">
        <v>26</v>
      </c>
      <c r="T366" s="4">
        <v>0</v>
      </c>
      <c r="U366" s="4">
        <v>0</v>
      </c>
      <c r="V366" s="71">
        <f>IF(ISERROR(VLOOKUP($S$366,'TAR FIN'!$A$1:$O$120,15,0)),0,VLOOKUP($S$366,'TAR FIN'!$A$1:$O$120,15,0))*(1-0.08)</f>
        <v>8.1052</v>
      </c>
      <c r="W366" s="71">
        <f>IF(ISERROR(VLOOKUP($T$366,'TAR FIN'!$A$1:$O$120,15,0)),0,VLOOKUP($T$366,'TAR FIN'!$A$1:$O$120,15,0))</f>
        <v>0</v>
      </c>
      <c r="X366" s="71">
        <f>IF(ISERROR(VLOOKUP($U$366,'TAR FIN'!$A$1:$O$120,15,0)),0,VLOOKUP($U$366,'TAR FIN'!$A$1:$O$120,15,0))</f>
        <v>0</v>
      </c>
      <c r="Y366" s="71">
        <f ca="1">('TUSD BE'!$AM$32+'TUSD BF'!$AM$32+'TUSD CVA'!$AM$32)*1*(1-0.06)</f>
        <v>10.765215249734004</v>
      </c>
      <c r="Z366" s="71"/>
      <c r="AA366" s="71"/>
      <c r="AB366" s="71">
        <f>(SUBSIDIO!$J$366*SUBSIDIO!$V$366)*(0.08)/(1-0.08)</f>
        <v>364.38159999999999</v>
      </c>
      <c r="AC366" s="71">
        <f>((SUBSIDIO!$L$366*SUBSIDIO!$W$366)+(SUBSIDIO!$N$366*SUBSIDIO!$X$366))*(0.08)/(1-0.08)</f>
        <v>0</v>
      </c>
      <c r="AD366" s="71">
        <f ca="1">(SUBSIDIO!$J$366*SUBSIDIO!$Y$366)*(0.06)/(1-0.06)</f>
        <v>355.25210324122213</v>
      </c>
      <c r="AE366" s="71">
        <f>((SUBSIDIO!$L$366*SUBSIDIO!$Z$366)+(SUBSIDIO!$N$366*SUBSIDIO!$AA$366))*(0.06)/(1-0.06)</f>
        <v>0</v>
      </c>
      <c r="AF366" s="4" t="s">
        <v>1151</v>
      </c>
    </row>
    <row r="367" spans="1:32" ht="11.25" customHeight="1" x14ac:dyDescent="0.25">
      <c r="A367" s="4" t="s">
        <v>21</v>
      </c>
      <c r="B367" s="4" t="s">
        <v>33</v>
      </c>
      <c r="C367" s="4" t="s">
        <v>34</v>
      </c>
      <c r="D367" s="4" t="s">
        <v>47</v>
      </c>
      <c r="E367" s="4" t="s">
        <v>55</v>
      </c>
      <c r="F367" s="4" t="s">
        <v>25</v>
      </c>
      <c r="G367" s="4" t="s">
        <v>25</v>
      </c>
      <c r="H367" s="4" t="s">
        <v>25</v>
      </c>
      <c r="I367" s="5">
        <v>43831</v>
      </c>
      <c r="J367" s="6">
        <v>10041</v>
      </c>
      <c r="K367" s="71">
        <v>10041</v>
      </c>
      <c r="L367" s="6">
        <v>0</v>
      </c>
      <c r="M367" s="71">
        <v>0</v>
      </c>
      <c r="N367" s="6">
        <v>0</v>
      </c>
      <c r="O367" s="71">
        <v>0</v>
      </c>
      <c r="P367" s="6">
        <v>125</v>
      </c>
      <c r="Q367" s="4" t="s">
        <v>26</v>
      </c>
      <c r="R367" s="4">
        <v>0</v>
      </c>
      <c r="S367" s="4">
        <v>26</v>
      </c>
      <c r="T367" s="4">
        <v>0</v>
      </c>
      <c r="U367" s="4">
        <v>0</v>
      </c>
      <c r="V367" s="71">
        <f>IF(ISERROR(VLOOKUP($S$367,'TAR FIN'!$A$1:$O$120,15,0)),0,VLOOKUP($S$367,'TAR FIN'!$A$1:$O$120,15,0))*(1-0.08)</f>
        <v>8.1052</v>
      </c>
      <c r="W367" s="71">
        <f>IF(ISERROR(VLOOKUP($T$367,'TAR FIN'!$A$1:$O$120,15,0)),0,VLOOKUP($T$367,'TAR FIN'!$A$1:$O$120,15,0))</f>
        <v>0</v>
      </c>
      <c r="X367" s="71">
        <f>IF(ISERROR(VLOOKUP($U$367,'TAR FIN'!$A$1:$O$120,15,0)),0,VLOOKUP($U$367,'TAR FIN'!$A$1:$O$120,15,0))</f>
        <v>0</v>
      </c>
      <c r="Y367" s="71">
        <f ca="1">('TUSD BE'!$AM$32+'TUSD BF'!$AM$32+'TUSD CVA'!$AM$32)*1*(1-0.06)</f>
        <v>10.765215249734004</v>
      </c>
      <c r="Z367" s="71"/>
      <c r="AA367" s="71"/>
      <c r="AB367" s="71">
        <f>(SUBSIDIO!$J$367*SUBSIDIO!$V$367)*(0.08)/(1-0.08)</f>
        <v>7076.8968000000004</v>
      </c>
      <c r="AC367" s="71">
        <f>((SUBSIDIO!$L$367*SUBSIDIO!$W$367)+(SUBSIDIO!$N$367*SUBSIDIO!$X$367))*(0.08)/(1-0.08)</f>
        <v>0</v>
      </c>
      <c r="AD367" s="71">
        <f ca="1">(SUBSIDIO!$J$367*SUBSIDIO!$Y$367)*(0.06)/(1-0.06)</f>
        <v>6899.5867865476048</v>
      </c>
      <c r="AE367" s="71">
        <f>((SUBSIDIO!$L$367*SUBSIDIO!$Z$367)+(SUBSIDIO!$N$367*SUBSIDIO!$AA$367))*(0.06)/(1-0.06)</f>
        <v>0</v>
      </c>
      <c r="AF367" s="4" t="s">
        <v>1151</v>
      </c>
    </row>
    <row r="368" spans="1:32" ht="11.25" customHeight="1" x14ac:dyDescent="0.25">
      <c r="A368" s="4" t="s">
        <v>27</v>
      </c>
      <c r="B368" s="4" t="s">
        <v>33</v>
      </c>
      <c r="C368" s="4" t="s">
        <v>34</v>
      </c>
      <c r="D368" s="4" t="s">
        <v>47</v>
      </c>
      <c r="E368" s="4" t="s">
        <v>55</v>
      </c>
      <c r="F368" s="4" t="s">
        <v>25</v>
      </c>
      <c r="G368" s="4" t="s">
        <v>25</v>
      </c>
      <c r="H368" s="4" t="s">
        <v>25</v>
      </c>
      <c r="I368" s="5">
        <v>43831</v>
      </c>
      <c r="J368" s="6">
        <v>538</v>
      </c>
      <c r="K368" s="71">
        <v>538</v>
      </c>
      <c r="L368" s="6">
        <v>0</v>
      </c>
      <c r="M368" s="71">
        <v>0</v>
      </c>
      <c r="N368" s="6">
        <v>0</v>
      </c>
      <c r="O368" s="71">
        <v>0</v>
      </c>
      <c r="P368" s="6">
        <v>4</v>
      </c>
      <c r="Q368" s="4" t="s">
        <v>26</v>
      </c>
      <c r="R368" s="4">
        <v>0</v>
      </c>
      <c r="S368" s="4">
        <v>26</v>
      </c>
      <c r="T368" s="4">
        <v>0</v>
      </c>
      <c r="U368" s="4">
        <v>0</v>
      </c>
      <c r="V368" s="71">
        <f>IF(ISERROR(VLOOKUP($S$368,'TAR FIN'!$A$1:$O$120,15,0)),0,VLOOKUP($S$368,'TAR FIN'!$A$1:$O$120,15,0))*(1-0.08)</f>
        <v>8.1052</v>
      </c>
      <c r="W368" s="71">
        <f>IF(ISERROR(VLOOKUP($T$368,'TAR FIN'!$A$1:$O$120,15,0)),0,VLOOKUP($T$368,'TAR FIN'!$A$1:$O$120,15,0))</f>
        <v>0</v>
      </c>
      <c r="X368" s="71">
        <f>IF(ISERROR(VLOOKUP($U$368,'TAR FIN'!$A$1:$O$120,15,0)),0,VLOOKUP($U$368,'TAR FIN'!$A$1:$O$120,15,0))</f>
        <v>0</v>
      </c>
      <c r="Y368" s="71">
        <f ca="1">('TUSD BE'!$AM$32+'TUSD BF'!$AM$32+'TUSD CVA'!$AM$32)*1*(1-0.06)</f>
        <v>10.765215249734004</v>
      </c>
      <c r="Z368" s="71"/>
      <c r="AA368" s="71"/>
      <c r="AB368" s="71">
        <f>(SUBSIDIO!$J$368*SUBSIDIO!$V$368)*(0.08)/(1-0.08)</f>
        <v>379.18239999999997</v>
      </c>
      <c r="AC368" s="71">
        <f>((SUBSIDIO!$L$368*SUBSIDIO!$W$368)+(SUBSIDIO!$N$368*SUBSIDIO!$X$368))*(0.08)/(1-0.08)</f>
        <v>0</v>
      </c>
      <c r="AD368" s="71">
        <f ca="1">(SUBSIDIO!$J$368*SUBSIDIO!$Y$368)*(0.06)/(1-0.06)</f>
        <v>369.68207261852513</v>
      </c>
      <c r="AE368" s="71">
        <f>((SUBSIDIO!$L$368*SUBSIDIO!$Z$368)+(SUBSIDIO!$N$368*SUBSIDIO!$AA$368))*(0.06)/(1-0.06)</f>
        <v>0</v>
      </c>
      <c r="AF368" s="4" t="s">
        <v>1151</v>
      </c>
    </row>
    <row r="369" spans="1:32" ht="11.25" customHeight="1" x14ac:dyDescent="0.25">
      <c r="A369" s="4" t="s">
        <v>21</v>
      </c>
      <c r="B369" s="4" t="s">
        <v>33</v>
      </c>
      <c r="C369" s="4" t="s">
        <v>34</v>
      </c>
      <c r="D369" s="4" t="s">
        <v>47</v>
      </c>
      <c r="E369" s="4" t="s">
        <v>55</v>
      </c>
      <c r="F369" s="4" t="s">
        <v>25</v>
      </c>
      <c r="G369" s="4" t="s">
        <v>25</v>
      </c>
      <c r="H369" s="4" t="s">
        <v>25</v>
      </c>
      <c r="I369" s="5">
        <v>43862</v>
      </c>
      <c r="J369" s="6">
        <v>9059</v>
      </c>
      <c r="K369" s="71">
        <v>9059</v>
      </c>
      <c r="L369" s="6">
        <v>0</v>
      </c>
      <c r="M369" s="71">
        <v>0</v>
      </c>
      <c r="N369" s="6">
        <v>0</v>
      </c>
      <c r="O369" s="71">
        <v>0</v>
      </c>
      <c r="P369" s="6">
        <v>124</v>
      </c>
      <c r="Q369" s="4" t="s">
        <v>26</v>
      </c>
      <c r="R369" s="4">
        <v>0</v>
      </c>
      <c r="S369" s="4">
        <v>26</v>
      </c>
      <c r="T369" s="4">
        <v>0</v>
      </c>
      <c r="U369" s="4">
        <v>0</v>
      </c>
      <c r="V369" s="71">
        <f>IF(ISERROR(VLOOKUP($S$369,'TAR FIN'!$A$1:$O$120,15,0)),0,VLOOKUP($S$369,'TAR FIN'!$A$1:$O$120,15,0))*(1-0.08)</f>
        <v>8.1052</v>
      </c>
      <c r="W369" s="71">
        <f>IF(ISERROR(VLOOKUP($T$369,'TAR FIN'!$A$1:$O$120,15,0)),0,VLOOKUP($T$369,'TAR FIN'!$A$1:$O$120,15,0))</f>
        <v>0</v>
      </c>
      <c r="X369" s="71">
        <f>IF(ISERROR(VLOOKUP($U$369,'TAR FIN'!$A$1:$O$120,15,0)),0,VLOOKUP($U$369,'TAR FIN'!$A$1:$O$120,15,0))</f>
        <v>0</v>
      </c>
      <c r="Y369" s="71">
        <f ca="1">('TUSD BE'!$AM$32+'TUSD BF'!$AM$32+'TUSD CVA'!$AM$32)*1*(1-0.06)</f>
        <v>10.765215249734004</v>
      </c>
      <c r="Z369" s="71"/>
      <c r="AA369" s="71"/>
      <c r="AB369" s="71">
        <f>(SUBSIDIO!$J$369*SUBSIDIO!$V$369)*(0.08)/(1-0.08)</f>
        <v>6384.7831999999999</v>
      </c>
      <c r="AC369" s="71">
        <f>((SUBSIDIO!$L$369*SUBSIDIO!$W$369)+(SUBSIDIO!$N$369*SUBSIDIO!$X$369))*(0.08)/(1-0.08)</f>
        <v>0</v>
      </c>
      <c r="AD369" s="71">
        <f ca="1">(SUBSIDIO!$J$369*SUBSIDIO!$Y$369)*(0.06)/(1-0.06)</f>
        <v>6224.8139328089574</v>
      </c>
      <c r="AE369" s="71">
        <f>((SUBSIDIO!$L$369*SUBSIDIO!$Z$369)+(SUBSIDIO!$N$369*SUBSIDIO!$AA$369))*(0.06)/(1-0.06)</f>
        <v>0</v>
      </c>
      <c r="AF369" s="4" t="s">
        <v>1151</v>
      </c>
    </row>
    <row r="370" spans="1:32" ht="11.25" customHeight="1" x14ac:dyDescent="0.25">
      <c r="A370" s="4" t="s">
        <v>27</v>
      </c>
      <c r="B370" s="4" t="s">
        <v>33</v>
      </c>
      <c r="C370" s="4" t="s">
        <v>34</v>
      </c>
      <c r="D370" s="4" t="s">
        <v>47</v>
      </c>
      <c r="E370" s="4" t="s">
        <v>55</v>
      </c>
      <c r="F370" s="4" t="s">
        <v>25</v>
      </c>
      <c r="G370" s="4" t="s">
        <v>25</v>
      </c>
      <c r="H370" s="4" t="s">
        <v>25</v>
      </c>
      <c r="I370" s="5">
        <v>43862</v>
      </c>
      <c r="J370" s="6">
        <v>833</v>
      </c>
      <c r="K370" s="71">
        <v>833</v>
      </c>
      <c r="L370" s="6">
        <v>0</v>
      </c>
      <c r="M370" s="71">
        <v>0</v>
      </c>
      <c r="N370" s="6">
        <v>0</v>
      </c>
      <c r="O370" s="71">
        <v>0</v>
      </c>
      <c r="P370" s="6">
        <v>4</v>
      </c>
      <c r="Q370" s="4" t="s">
        <v>26</v>
      </c>
      <c r="R370" s="4">
        <v>0</v>
      </c>
      <c r="S370" s="4">
        <v>26</v>
      </c>
      <c r="T370" s="4">
        <v>0</v>
      </c>
      <c r="U370" s="4">
        <v>0</v>
      </c>
      <c r="V370" s="71">
        <f>IF(ISERROR(VLOOKUP($S$370,'TAR FIN'!$A$1:$O$120,15,0)),0,VLOOKUP($S$370,'TAR FIN'!$A$1:$O$120,15,0))*(1-0.08)</f>
        <v>8.1052</v>
      </c>
      <c r="W370" s="71">
        <f>IF(ISERROR(VLOOKUP($T$370,'TAR FIN'!$A$1:$O$120,15,0)),0,VLOOKUP($T$370,'TAR FIN'!$A$1:$O$120,15,0))</f>
        <v>0</v>
      </c>
      <c r="X370" s="71">
        <f>IF(ISERROR(VLOOKUP($U$370,'TAR FIN'!$A$1:$O$120,15,0)),0,VLOOKUP($U$370,'TAR FIN'!$A$1:$O$120,15,0))</f>
        <v>0</v>
      </c>
      <c r="Y370" s="71">
        <f ca="1">('TUSD BE'!$AM$32+'TUSD BF'!$AM$32+'TUSD CVA'!$AM$32)*1*(1-0.06)</f>
        <v>10.765215249734004</v>
      </c>
      <c r="Z370" s="71"/>
      <c r="AA370" s="71"/>
      <c r="AB370" s="71">
        <f>(SUBSIDIO!$J$370*SUBSIDIO!$V$370)*(0.08)/(1-0.08)</f>
        <v>587.09839999999997</v>
      </c>
      <c r="AC370" s="71">
        <f>((SUBSIDIO!$L$370*SUBSIDIO!$W$370)+(SUBSIDIO!$N$370*SUBSIDIO!$X$370))*(0.08)/(1-0.08)</f>
        <v>0</v>
      </c>
      <c r="AD370" s="71">
        <f ca="1">(SUBSIDIO!$J$370*SUBSIDIO!$Y$370)*(0.06)/(1-0.06)</f>
        <v>572.38878529968679</v>
      </c>
      <c r="AE370" s="71">
        <f>((SUBSIDIO!$L$370*SUBSIDIO!$Z$370)+(SUBSIDIO!$N$370*SUBSIDIO!$AA$370))*(0.06)/(1-0.06)</f>
        <v>0</v>
      </c>
      <c r="AF370" s="4" t="s">
        <v>1151</v>
      </c>
    </row>
    <row r="371" spans="1:32" ht="11.25" customHeight="1" x14ac:dyDescent="0.25">
      <c r="A371" s="4" t="s">
        <v>21</v>
      </c>
      <c r="B371" s="4" t="s">
        <v>33</v>
      </c>
      <c r="C371" s="4" t="s">
        <v>34</v>
      </c>
      <c r="D371" s="4" t="s">
        <v>47</v>
      </c>
      <c r="E371" s="4" t="s">
        <v>55</v>
      </c>
      <c r="F371" s="4" t="s">
        <v>25</v>
      </c>
      <c r="G371" s="4" t="s">
        <v>25</v>
      </c>
      <c r="H371" s="4" t="s">
        <v>25</v>
      </c>
      <c r="I371" s="5">
        <v>43891</v>
      </c>
      <c r="J371" s="6">
        <v>5721</v>
      </c>
      <c r="K371" s="71">
        <v>5721</v>
      </c>
      <c r="L371" s="6">
        <v>0</v>
      </c>
      <c r="M371" s="71">
        <v>0</v>
      </c>
      <c r="N371" s="6">
        <v>0</v>
      </c>
      <c r="O371" s="71">
        <v>0</v>
      </c>
      <c r="P371" s="6">
        <v>122</v>
      </c>
      <c r="Q371" s="4" t="s">
        <v>26</v>
      </c>
      <c r="R371" s="4">
        <v>0</v>
      </c>
      <c r="S371" s="4">
        <v>26</v>
      </c>
      <c r="T371" s="4">
        <v>0</v>
      </c>
      <c r="U371" s="4">
        <v>0</v>
      </c>
      <c r="V371" s="71">
        <f>IF(ISERROR(VLOOKUP($S$371,'TAR FIN'!$A$1:$O$120,15,0)),0,VLOOKUP($S$371,'TAR FIN'!$A$1:$O$120,15,0))*(1-0.08)</f>
        <v>8.1052</v>
      </c>
      <c r="W371" s="71">
        <f>IF(ISERROR(VLOOKUP($T$371,'TAR FIN'!$A$1:$O$120,15,0)),0,VLOOKUP($T$371,'TAR FIN'!$A$1:$O$120,15,0))</f>
        <v>0</v>
      </c>
      <c r="X371" s="71">
        <f>IF(ISERROR(VLOOKUP($U$371,'TAR FIN'!$A$1:$O$120,15,0)),0,VLOOKUP($U$371,'TAR FIN'!$A$1:$O$120,15,0))</f>
        <v>0</v>
      </c>
      <c r="Y371" s="71">
        <f ca="1">('TUSD BE'!$AM$32+'TUSD BF'!$AM$32+'TUSD CVA'!$AM$32)*1*(1-0.06)</f>
        <v>10.765215249734004</v>
      </c>
      <c r="Z371" s="71"/>
      <c r="AA371" s="71"/>
      <c r="AB371" s="71">
        <f>(SUBSIDIO!$J$371*SUBSIDIO!$V$371)*(0.08)/(1-0.08)</f>
        <v>4032.1607999999997</v>
      </c>
      <c r="AC371" s="71">
        <f>((SUBSIDIO!$L$371*SUBSIDIO!$W$371)+(SUBSIDIO!$N$371*SUBSIDIO!$X$371))*(0.08)/(1-0.08)</f>
        <v>0</v>
      </c>
      <c r="AD371" s="71">
        <f ca="1">(SUBSIDIO!$J$371*SUBSIDIO!$Y$371)*(0.06)/(1-0.06)</f>
        <v>3931.135943216696</v>
      </c>
      <c r="AE371" s="71">
        <f>((SUBSIDIO!$L$371*SUBSIDIO!$Z$371)+(SUBSIDIO!$N$371*SUBSIDIO!$AA$371))*(0.06)/(1-0.06)</f>
        <v>0</v>
      </c>
      <c r="AF371" s="4" t="s">
        <v>1151</v>
      </c>
    </row>
    <row r="372" spans="1:32" ht="11.25" customHeight="1" x14ac:dyDescent="0.25">
      <c r="A372" s="4" t="s">
        <v>27</v>
      </c>
      <c r="B372" s="4" t="s">
        <v>33</v>
      </c>
      <c r="C372" s="4" t="s">
        <v>34</v>
      </c>
      <c r="D372" s="4" t="s">
        <v>47</v>
      </c>
      <c r="E372" s="4" t="s">
        <v>55</v>
      </c>
      <c r="F372" s="4" t="s">
        <v>25</v>
      </c>
      <c r="G372" s="4" t="s">
        <v>25</v>
      </c>
      <c r="H372" s="4" t="s">
        <v>25</v>
      </c>
      <c r="I372" s="5">
        <v>43891</v>
      </c>
      <c r="J372" s="6">
        <v>376</v>
      </c>
      <c r="K372" s="71">
        <v>376</v>
      </c>
      <c r="L372" s="6">
        <v>0</v>
      </c>
      <c r="M372" s="71">
        <v>0</v>
      </c>
      <c r="N372" s="6">
        <v>0</v>
      </c>
      <c r="O372" s="71">
        <v>0</v>
      </c>
      <c r="P372" s="6">
        <v>4</v>
      </c>
      <c r="Q372" s="4" t="s">
        <v>26</v>
      </c>
      <c r="R372" s="4">
        <v>0</v>
      </c>
      <c r="S372" s="4">
        <v>26</v>
      </c>
      <c r="T372" s="4">
        <v>0</v>
      </c>
      <c r="U372" s="4">
        <v>0</v>
      </c>
      <c r="V372" s="71">
        <f>IF(ISERROR(VLOOKUP($S$372,'TAR FIN'!$A$1:$O$120,15,0)),0,VLOOKUP($S$372,'TAR FIN'!$A$1:$O$120,15,0))*(1-0.08)</f>
        <v>8.1052</v>
      </c>
      <c r="W372" s="71">
        <f>IF(ISERROR(VLOOKUP($T$372,'TAR FIN'!$A$1:$O$120,15,0)),0,VLOOKUP($T$372,'TAR FIN'!$A$1:$O$120,15,0))</f>
        <v>0</v>
      </c>
      <c r="X372" s="71">
        <f>IF(ISERROR(VLOOKUP($U$372,'TAR FIN'!$A$1:$O$120,15,0)),0,VLOOKUP($U$372,'TAR FIN'!$A$1:$O$120,15,0))</f>
        <v>0</v>
      </c>
      <c r="Y372" s="71">
        <f ca="1">('TUSD BE'!$AM$32+'TUSD BF'!$AM$32+'TUSD CVA'!$AM$32)*1*(1-0.06)</f>
        <v>10.765215249734004</v>
      </c>
      <c r="Z372" s="71"/>
      <c r="AA372" s="71"/>
      <c r="AB372" s="71">
        <f>(SUBSIDIO!$J$372*SUBSIDIO!$V$372)*(0.08)/(1-0.08)</f>
        <v>265.00479999999999</v>
      </c>
      <c r="AC372" s="71">
        <f>((SUBSIDIO!$L$372*SUBSIDIO!$W$372)+(SUBSIDIO!$N$372*SUBSIDIO!$X$372))*(0.08)/(1-0.08)</f>
        <v>0</v>
      </c>
      <c r="AD372" s="71">
        <f ca="1">(SUBSIDIO!$J$372*SUBSIDIO!$Y$372)*(0.06)/(1-0.06)</f>
        <v>258.36516599361613</v>
      </c>
      <c r="AE372" s="71">
        <f>((SUBSIDIO!$L$372*SUBSIDIO!$Z$372)+(SUBSIDIO!$N$372*SUBSIDIO!$AA$372))*(0.06)/(1-0.06)</f>
        <v>0</v>
      </c>
      <c r="AF372" s="4" t="s">
        <v>1151</v>
      </c>
    </row>
    <row r="373" spans="1:32" ht="11.25" customHeight="1" x14ac:dyDescent="0.25">
      <c r="A373" s="4" t="s">
        <v>21</v>
      </c>
      <c r="B373" s="4" t="s">
        <v>33</v>
      </c>
      <c r="C373" s="4" t="s">
        <v>34</v>
      </c>
      <c r="D373" s="4" t="s">
        <v>47</v>
      </c>
      <c r="E373" s="4" t="s">
        <v>55</v>
      </c>
      <c r="F373" s="4" t="s">
        <v>25</v>
      </c>
      <c r="G373" s="4" t="s">
        <v>25</v>
      </c>
      <c r="H373" s="4" t="s">
        <v>25</v>
      </c>
      <c r="I373" s="5">
        <v>43922</v>
      </c>
      <c r="J373" s="6">
        <v>8385</v>
      </c>
      <c r="K373" s="71">
        <v>8385</v>
      </c>
      <c r="L373" s="6">
        <v>0</v>
      </c>
      <c r="M373" s="71">
        <v>0</v>
      </c>
      <c r="N373" s="6">
        <v>0</v>
      </c>
      <c r="O373" s="71">
        <v>0</v>
      </c>
      <c r="P373" s="6">
        <v>124</v>
      </c>
      <c r="Q373" s="4" t="s">
        <v>26</v>
      </c>
      <c r="R373" s="4">
        <v>0</v>
      </c>
      <c r="S373" s="4">
        <v>26</v>
      </c>
      <c r="T373" s="4">
        <v>0</v>
      </c>
      <c r="U373" s="4">
        <v>0</v>
      </c>
      <c r="V373" s="71">
        <f>IF(ISERROR(VLOOKUP($S$373,'TAR FIN'!$A$1:$O$120,15,0)),0,VLOOKUP($S$373,'TAR FIN'!$A$1:$O$120,15,0))*(1-0.08)</f>
        <v>8.1052</v>
      </c>
      <c r="W373" s="71">
        <f>IF(ISERROR(VLOOKUP($T$373,'TAR FIN'!$A$1:$O$120,15,0)),0,VLOOKUP($T$373,'TAR FIN'!$A$1:$O$120,15,0))</f>
        <v>0</v>
      </c>
      <c r="X373" s="71">
        <f>IF(ISERROR(VLOOKUP($U$373,'TAR FIN'!$A$1:$O$120,15,0)),0,VLOOKUP($U$373,'TAR FIN'!$A$1:$O$120,15,0))</f>
        <v>0</v>
      </c>
      <c r="Y373" s="71">
        <f ca="1">('TUSD BE'!$AM$32+'TUSD BF'!$AM$32+'TUSD CVA'!$AM$32)*1*(1-0.06)</f>
        <v>10.765215249734004</v>
      </c>
      <c r="Z373" s="71"/>
      <c r="AA373" s="71"/>
      <c r="AB373" s="71">
        <f>(SUBSIDIO!$J$373*SUBSIDIO!$V$373)*(0.08)/(1-0.08)</f>
        <v>5909.7480000000005</v>
      </c>
      <c r="AC373" s="71">
        <f>((SUBSIDIO!$L$373*SUBSIDIO!$W$373)+(SUBSIDIO!$N$373*SUBSIDIO!$X$373))*(0.08)/(1-0.08)</f>
        <v>0</v>
      </c>
      <c r="AD373" s="71">
        <f ca="1">(SUBSIDIO!$J$373*SUBSIDIO!$Y$373)*(0.06)/(1-0.06)</f>
        <v>5761.680629937423</v>
      </c>
      <c r="AE373" s="71">
        <f>((SUBSIDIO!$L$373*SUBSIDIO!$Z$373)+(SUBSIDIO!$N$373*SUBSIDIO!$AA$373))*(0.06)/(1-0.06)</f>
        <v>0</v>
      </c>
      <c r="AF373" s="4" t="s">
        <v>1151</v>
      </c>
    </row>
    <row r="374" spans="1:32" ht="11.25" customHeight="1" x14ac:dyDescent="0.25">
      <c r="A374" s="4" t="s">
        <v>27</v>
      </c>
      <c r="B374" s="4" t="s">
        <v>33</v>
      </c>
      <c r="C374" s="4" t="s">
        <v>34</v>
      </c>
      <c r="D374" s="4" t="s">
        <v>47</v>
      </c>
      <c r="E374" s="4" t="s">
        <v>55</v>
      </c>
      <c r="F374" s="4" t="s">
        <v>25</v>
      </c>
      <c r="G374" s="4" t="s">
        <v>25</v>
      </c>
      <c r="H374" s="4" t="s">
        <v>25</v>
      </c>
      <c r="I374" s="5">
        <v>43922</v>
      </c>
      <c r="J374" s="6">
        <v>377</v>
      </c>
      <c r="K374" s="71">
        <v>377</v>
      </c>
      <c r="L374" s="6">
        <v>0</v>
      </c>
      <c r="M374" s="71">
        <v>0</v>
      </c>
      <c r="N374" s="6">
        <v>0</v>
      </c>
      <c r="O374" s="71">
        <v>0</v>
      </c>
      <c r="P374" s="6">
        <v>3</v>
      </c>
      <c r="Q374" s="4" t="s">
        <v>26</v>
      </c>
      <c r="R374" s="4">
        <v>0</v>
      </c>
      <c r="S374" s="4">
        <v>26</v>
      </c>
      <c r="T374" s="4">
        <v>0</v>
      </c>
      <c r="U374" s="4">
        <v>0</v>
      </c>
      <c r="V374" s="71">
        <f>IF(ISERROR(VLOOKUP($S$374,'TAR FIN'!$A$1:$O$120,15,0)),0,VLOOKUP($S$374,'TAR FIN'!$A$1:$O$120,15,0))*(1-0.08)</f>
        <v>8.1052</v>
      </c>
      <c r="W374" s="71">
        <f>IF(ISERROR(VLOOKUP($T$374,'TAR FIN'!$A$1:$O$120,15,0)),0,VLOOKUP($T$374,'TAR FIN'!$A$1:$O$120,15,0))</f>
        <v>0</v>
      </c>
      <c r="X374" s="71">
        <f>IF(ISERROR(VLOOKUP($U$374,'TAR FIN'!$A$1:$O$120,15,0)),0,VLOOKUP($U$374,'TAR FIN'!$A$1:$O$120,15,0))</f>
        <v>0</v>
      </c>
      <c r="Y374" s="71">
        <f ca="1">('TUSD BE'!$AM$32+'TUSD BF'!$AM$32+'TUSD CVA'!$AM$32)*1*(1-0.06)</f>
        <v>10.765215249734004</v>
      </c>
      <c r="Z374" s="71"/>
      <c r="AA374" s="71"/>
      <c r="AB374" s="71">
        <f>(SUBSIDIO!$J$374*SUBSIDIO!$V$374)*(0.08)/(1-0.08)</f>
        <v>265.70960000000002</v>
      </c>
      <c r="AC374" s="71">
        <f>((SUBSIDIO!$L$374*SUBSIDIO!$W$374)+(SUBSIDIO!$N$374*SUBSIDIO!$X$374))*(0.08)/(1-0.08)</f>
        <v>0</v>
      </c>
      <c r="AD374" s="71">
        <f ca="1">(SUBSIDIO!$J$374*SUBSIDIO!$Y$374)*(0.06)/(1-0.06)</f>
        <v>259.05230739253528</v>
      </c>
      <c r="AE374" s="71">
        <f>((SUBSIDIO!$L$374*SUBSIDIO!$Z$374)+(SUBSIDIO!$N$374*SUBSIDIO!$AA$374))*(0.06)/(1-0.06)</f>
        <v>0</v>
      </c>
      <c r="AF374" s="4" t="s">
        <v>1151</v>
      </c>
    </row>
    <row r="375" spans="1:32" ht="11.25" customHeight="1" x14ac:dyDescent="0.25">
      <c r="A375" s="4" t="s">
        <v>21</v>
      </c>
      <c r="B375" s="4" t="s">
        <v>33</v>
      </c>
      <c r="C375" s="4" t="s">
        <v>34</v>
      </c>
      <c r="D375" s="4" t="s">
        <v>47</v>
      </c>
      <c r="E375" s="4" t="s">
        <v>55</v>
      </c>
      <c r="F375" s="4" t="s">
        <v>25</v>
      </c>
      <c r="G375" s="4" t="s">
        <v>25</v>
      </c>
      <c r="H375" s="4" t="s">
        <v>25</v>
      </c>
      <c r="I375" s="5">
        <v>43952</v>
      </c>
      <c r="J375" s="6">
        <v>12180</v>
      </c>
      <c r="K375" s="71">
        <v>12180</v>
      </c>
      <c r="L375" s="6">
        <v>0</v>
      </c>
      <c r="M375" s="71">
        <v>0</v>
      </c>
      <c r="N375" s="6">
        <v>0</v>
      </c>
      <c r="O375" s="71">
        <v>0</v>
      </c>
      <c r="P375" s="6">
        <v>123</v>
      </c>
      <c r="Q375" s="4" t="s">
        <v>26</v>
      </c>
      <c r="R375" s="4">
        <v>0</v>
      </c>
      <c r="S375" s="4">
        <v>26</v>
      </c>
      <c r="T375" s="4">
        <v>0</v>
      </c>
      <c r="U375" s="4">
        <v>0</v>
      </c>
      <c r="V375" s="71">
        <f>IF(ISERROR(VLOOKUP($S$375,'TAR FIN'!$A$1:$O$120,15,0)),0,VLOOKUP($S$375,'TAR FIN'!$A$1:$O$120,15,0))*(1-0.08)</f>
        <v>8.1052</v>
      </c>
      <c r="W375" s="71">
        <f>IF(ISERROR(VLOOKUP($T$375,'TAR FIN'!$A$1:$O$120,15,0)),0,VLOOKUP($T$375,'TAR FIN'!$A$1:$O$120,15,0))</f>
        <v>0</v>
      </c>
      <c r="X375" s="71">
        <f>IF(ISERROR(VLOOKUP($U$375,'TAR FIN'!$A$1:$O$120,15,0)),0,VLOOKUP($U$375,'TAR FIN'!$A$1:$O$120,15,0))</f>
        <v>0</v>
      </c>
      <c r="Y375" s="71">
        <f ca="1">('TUSD BE'!$AM$32+'TUSD BF'!$AM$32+'TUSD CVA'!$AM$32)*1*(1-0.06)</f>
        <v>10.765215249734004</v>
      </c>
      <c r="Z375" s="71"/>
      <c r="AA375" s="71"/>
      <c r="AB375" s="71">
        <f>(SUBSIDIO!$J$375*SUBSIDIO!$V$375)*(0.08)/(1-0.08)</f>
        <v>8584.4639999999999</v>
      </c>
      <c r="AC375" s="71">
        <f>((SUBSIDIO!$L$375*SUBSIDIO!$W$375)+(SUBSIDIO!$N$375*SUBSIDIO!$X$375))*(0.08)/(1-0.08)</f>
        <v>0</v>
      </c>
      <c r="AD375" s="71">
        <f ca="1">(SUBSIDIO!$J$375*SUBSIDIO!$Y$375)*(0.06)/(1-0.06)</f>
        <v>8369.3822388357548</v>
      </c>
      <c r="AE375" s="71">
        <f>((SUBSIDIO!$L$375*SUBSIDIO!$Z$375)+(SUBSIDIO!$N$375*SUBSIDIO!$AA$375))*(0.06)/(1-0.06)</f>
        <v>0</v>
      </c>
      <c r="AF375" s="4" t="s">
        <v>1151</v>
      </c>
    </row>
    <row r="376" spans="1:32" ht="11.25" customHeight="1" x14ac:dyDescent="0.25">
      <c r="A376" s="4" t="s">
        <v>27</v>
      </c>
      <c r="B376" s="4" t="s">
        <v>33</v>
      </c>
      <c r="C376" s="4" t="s">
        <v>34</v>
      </c>
      <c r="D376" s="4" t="s">
        <v>47</v>
      </c>
      <c r="E376" s="4" t="s">
        <v>55</v>
      </c>
      <c r="F376" s="4" t="s">
        <v>25</v>
      </c>
      <c r="G376" s="4" t="s">
        <v>25</v>
      </c>
      <c r="H376" s="4" t="s">
        <v>25</v>
      </c>
      <c r="I376" s="5">
        <v>43952</v>
      </c>
      <c r="J376" s="6">
        <v>522</v>
      </c>
      <c r="K376" s="71">
        <v>522</v>
      </c>
      <c r="L376" s="6">
        <v>0</v>
      </c>
      <c r="M376" s="71">
        <v>0</v>
      </c>
      <c r="N376" s="6">
        <v>0</v>
      </c>
      <c r="O376" s="71">
        <v>0</v>
      </c>
      <c r="P376" s="6">
        <v>3</v>
      </c>
      <c r="Q376" s="4" t="s">
        <v>26</v>
      </c>
      <c r="R376" s="4">
        <v>0</v>
      </c>
      <c r="S376" s="4">
        <v>26</v>
      </c>
      <c r="T376" s="4">
        <v>0</v>
      </c>
      <c r="U376" s="4">
        <v>0</v>
      </c>
      <c r="V376" s="71">
        <f>IF(ISERROR(VLOOKUP($S$376,'TAR FIN'!$A$1:$O$120,15,0)),0,VLOOKUP($S$376,'TAR FIN'!$A$1:$O$120,15,0))*(1-0.08)</f>
        <v>8.1052</v>
      </c>
      <c r="W376" s="71">
        <f>IF(ISERROR(VLOOKUP($T$376,'TAR FIN'!$A$1:$O$120,15,0)),0,VLOOKUP($T$376,'TAR FIN'!$A$1:$O$120,15,0))</f>
        <v>0</v>
      </c>
      <c r="X376" s="71">
        <f>IF(ISERROR(VLOOKUP($U$376,'TAR FIN'!$A$1:$O$120,15,0)),0,VLOOKUP($U$376,'TAR FIN'!$A$1:$O$120,15,0))</f>
        <v>0</v>
      </c>
      <c r="Y376" s="71">
        <f ca="1">('TUSD BE'!$AM$32+'TUSD BF'!$AM$32+'TUSD CVA'!$AM$32)*1*(1-0.06)</f>
        <v>10.765215249734004</v>
      </c>
      <c r="Z376" s="71"/>
      <c r="AA376" s="71"/>
      <c r="AB376" s="71">
        <f>(SUBSIDIO!$J$376*SUBSIDIO!$V$376)*(0.08)/(1-0.08)</f>
        <v>367.90559999999994</v>
      </c>
      <c r="AC376" s="71">
        <f>((SUBSIDIO!$L$376*SUBSIDIO!$W$376)+(SUBSIDIO!$N$376*SUBSIDIO!$X$376))*(0.08)/(1-0.08)</f>
        <v>0</v>
      </c>
      <c r="AD376" s="71">
        <f ca="1">(SUBSIDIO!$J$376*SUBSIDIO!$Y$376)*(0.06)/(1-0.06)</f>
        <v>358.68781023581812</v>
      </c>
      <c r="AE376" s="71">
        <f>((SUBSIDIO!$L$376*SUBSIDIO!$Z$376)+(SUBSIDIO!$N$376*SUBSIDIO!$AA$376))*(0.06)/(1-0.06)</f>
        <v>0</v>
      </c>
      <c r="AF376" s="4" t="s">
        <v>1151</v>
      </c>
    </row>
    <row r="377" spans="1:32" ht="11.25" customHeight="1" x14ac:dyDescent="0.25">
      <c r="A377" s="4" t="s">
        <v>21</v>
      </c>
      <c r="B377" s="4" t="s">
        <v>33</v>
      </c>
      <c r="C377" s="4" t="s">
        <v>34</v>
      </c>
      <c r="D377" s="4" t="s">
        <v>47</v>
      </c>
      <c r="E377" s="4" t="s">
        <v>55</v>
      </c>
      <c r="F377" s="4" t="s">
        <v>25</v>
      </c>
      <c r="G377" s="4" t="s">
        <v>25</v>
      </c>
      <c r="H377" s="4" t="s">
        <v>25</v>
      </c>
      <c r="I377" s="5">
        <v>43983</v>
      </c>
      <c r="J377" s="6">
        <v>14803</v>
      </c>
      <c r="K377" s="71">
        <v>14803</v>
      </c>
      <c r="L377" s="6">
        <v>0</v>
      </c>
      <c r="M377" s="71">
        <v>0</v>
      </c>
      <c r="N377" s="6">
        <v>0</v>
      </c>
      <c r="O377" s="71">
        <v>0</v>
      </c>
      <c r="P377" s="6">
        <v>125</v>
      </c>
      <c r="Q377" s="4" t="s">
        <v>26</v>
      </c>
      <c r="R377" s="4">
        <v>0</v>
      </c>
      <c r="S377" s="4">
        <v>26</v>
      </c>
      <c r="T377" s="4">
        <v>0</v>
      </c>
      <c r="U377" s="4">
        <v>0</v>
      </c>
      <c r="V377" s="71">
        <f>IF(ISERROR(VLOOKUP($S$377,'TAR FIN'!$A$1:$O$120,15,0)),0,VLOOKUP($S$377,'TAR FIN'!$A$1:$O$120,15,0))*(1-0.08)</f>
        <v>8.1052</v>
      </c>
      <c r="W377" s="71">
        <f>IF(ISERROR(VLOOKUP($T$377,'TAR FIN'!$A$1:$O$120,15,0)),0,VLOOKUP($T$377,'TAR FIN'!$A$1:$O$120,15,0))</f>
        <v>0</v>
      </c>
      <c r="X377" s="71">
        <f>IF(ISERROR(VLOOKUP($U$377,'TAR FIN'!$A$1:$O$120,15,0)),0,VLOOKUP($U$377,'TAR FIN'!$A$1:$O$120,15,0))</f>
        <v>0</v>
      </c>
      <c r="Y377" s="71">
        <f ca="1">('TUSD BE'!$AM$32+'TUSD BF'!$AM$32+'TUSD CVA'!$AM$32)*1*(1-0.06)</f>
        <v>10.765215249734004</v>
      </c>
      <c r="Z377" s="71"/>
      <c r="AA377" s="71"/>
      <c r="AB377" s="71">
        <f>(SUBSIDIO!$J$377*SUBSIDIO!$V$377)*(0.08)/(1-0.08)</f>
        <v>10433.154399999999</v>
      </c>
      <c r="AC377" s="71">
        <f>((SUBSIDIO!$L$377*SUBSIDIO!$W$377)+(SUBSIDIO!$N$377*SUBSIDIO!$X$377))*(0.08)/(1-0.08)</f>
        <v>0</v>
      </c>
      <c r="AD377" s="71">
        <f ca="1">(SUBSIDIO!$J$377*SUBSIDIO!$Y$377)*(0.06)/(1-0.06)</f>
        <v>10171.754128200795</v>
      </c>
      <c r="AE377" s="71">
        <f>((SUBSIDIO!$L$377*SUBSIDIO!$Z$377)+(SUBSIDIO!$N$377*SUBSIDIO!$AA$377))*(0.06)/(1-0.06)</f>
        <v>0</v>
      </c>
      <c r="AF377" s="4" t="s">
        <v>1151</v>
      </c>
    </row>
    <row r="378" spans="1:32" ht="11.25" customHeight="1" x14ac:dyDescent="0.25">
      <c r="A378" s="4" t="s">
        <v>27</v>
      </c>
      <c r="B378" s="4" t="s">
        <v>33</v>
      </c>
      <c r="C378" s="4" t="s">
        <v>34</v>
      </c>
      <c r="D378" s="4" t="s">
        <v>47</v>
      </c>
      <c r="E378" s="4" t="s">
        <v>55</v>
      </c>
      <c r="F378" s="4" t="s">
        <v>25</v>
      </c>
      <c r="G378" s="4" t="s">
        <v>25</v>
      </c>
      <c r="H378" s="4" t="s">
        <v>25</v>
      </c>
      <c r="I378" s="5">
        <v>43983</v>
      </c>
      <c r="J378" s="6">
        <v>375</v>
      </c>
      <c r="K378" s="71">
        <v>375</v>
      </c>
      <c r="L378" s="6">
        <v>0</v>
      </c>
      <c r="M378" s="71">
        <v>0</v>
      </c>
      <c r="N378" s="6">
        <v>0</v>
      </c>
      <c r="O378" s="71">
        <v>0</v>
      </c>
      <c r="P378" s="6">
        <v>3</v>
      </c>
      <c r="Q378" s="4" t="s">
        <v>26</v>
      </c>
      <c r="R378" s="4">
        <v>0</v>
      </c>
      <c r="S378" s="4">
        <v>26</v>
      </c>
      <c r="T378" s="4">
        <v>0</v>
      </c>
      <c r="U378" s="4">
        <v>0</v>
      </c>
      <c r="V378" s="71">
        <f>IF(ISERROR(VLOOKUP($S$378,'TAR FIN'!$A$1:$O$120,15,0)),0,VLOOKUP($S$378,'TAR FIN'!$A$1:$O$120,15,0))*(1-0.08)</f>
        <v>8.1052</v>
      </c>
      <c r="W378" s="71">
        <f>IF(ISERROR(VLOOKUP($T$378,'TAR FIN'!$A$1:$O$120,15,0)),0,VLOOKUP($T$378,'TAR FIN'!$A$1:$O$120,15,0))</f>
        <v>0</v>
      </c>
      <c r="X378" s="71">
        <f>IF(ISERROR(VLOOKUP($U$378,'TAR FIN'!$A$1:$O$120,15,0)),0,VLOOKUP($U$378,'TAR FIN'!$A$1:$O$120,15,0))</f>
        <v>0</v>
      </c>
      <c r="Y378" s="71">
        <f ca="1">('TUSD BE'!$AM$32+'TUSD BF'!$AM$32+'TUSD CVA'!$AM$32)*1*(1-0.06)</f>
        <v>10.765215249734004</v>
      </c>
      <c r="Z378" s="71"/>
      <c r="AA378" s="71"/>
      <c r="AB378" s="71">
        <f>(SUBSIDIO!$J$378*SUBSIDIO!$V$378)*(0.08)/(1-0.08)</f>
        <v>264.29999999999995</v>
      </c>
      <c r="AC378" s="71">
        <f>((SUBSIDIO!$L$378*SUBSIDIO!$W$378)+(SUBSIDIO!$N$378*SUBSIDIO!$X$378))*(0.08)/(1-0.08)</f>
        <v>0</v>
      </c>
      <c r="AD378" s="71">
        <f ca="1">(SUBSIDIO!$J$378*SUBSIDIO!$Y$378)*(0.06)/(1-0.06)</f>
        <v>257.67802459469692</v>
      </c>
      <c r="AE378" s="71">
        <f>((SUBSIDIO!$L$378*SUBSIDIO!$Z$378)+(SUBSIDIO!$N$378*SUBSIDIO!$AA$378))*(0.06)/(1-0.06)</f>
        <v>0</v>
      </c>
      <c r="AF378" s="4" t="s">
        <v>1151</v>
      </c>
    </row>
    <row r="379" spans="1:32" ht="11.25" customHeight="1" x14ac:dyDescent="0.25">
      <c r="A379" s="4" t="s">
        <v>21</v>
      </c>
      <c r="B379" s="4" t="s">
        <v>33</v>
      </c>
      <c r="C379" s="4" t="s">
        <v>34</v>
      </c>
      <c r="D379" s="4" t="s">
        <v>47</v>
      </c>
      <c r="E379" s="4" t="s">
        <v>55</v>
      </c>
      <c r="F379" s="4" t="s">
        <v>25</v>
      </c>
      <c r="G379" s="4" t="s">
        <v>25</v>
      </c>
      <c r="H379" s="4" t="s">
        <v>25</v>
      </c>
      <c r="I379" s="5">
        <v>44013</v>
      </c>
      <c r="J379" s="6">
        <v>14883</v>
      </c>
      <c r="K379" s="71">
        <v>14883</v>
      </c>
      <c r="L379" s="6">
        <v>0</v>
      </c>
      <c r="M379" s="71">
        <v>0</v>
      </c>
      <c r="N379" s="6">
        <v>0</v>
      </c>
      <c r="O379" s="71">
        <v>0</v>
      </c>
      <c r="P379" s="6">
        <v>123</v>
      </c>
      <c r="Q379" s="4" t="s">
        <v>26</v>
      </c>
      <c r="R379" s="4">
        <v>0</v>
      </c>
      <c r="S379" s="4">
        <v>26</v>
      </c>
      <c r="T379" s="4">
        <v>0</v>
      </c>
      <c r="U379" s="4">
        <v>0</v>
      </c>
      <c r="V379" s="71">
        <f>IF(ISERROR(VLOOKUP($S$379,'TAR FIN'!$A$1:$O$120,15,0)),0,VLOOKUP($S$379,'TAR FIN'!$A$1:$O$120,15,0))*(1-0.08)</f>
        <v>8.1052</v>
      </c>
      <c r="W379" s="71">
        <f>IF(ISERROR(VLOOKUP($T$379,'TAR FIN'!$A$1:$O$120,15,0)),0,VLOOKUP($T$379,'TAR FIN'!$A$1:$O$120,15,0))</f>
        <v>0</v>
      </c>
      <c r="X379" s="71">
        <f>IF(ISERROR(VLOOKUP($U$379,'TAR FIN'!$A$1:$O$120,15,0)),0,VLOOKUP($U$379,'TAR FIN'!$A$1:$O$120,15,0))</f>
        <v>0</v>
      </c>
      <c r="Y379" s="71">
        <f ca="1">('TUSD BE'!$AM$32+'TUSD BF'!$AM$32+'TUSD CVA'!$AM$32)*1*(1-0.06)</f>
        <v>10.765215249734004</v>
      </c>
      <c r="Z379" s="71"/>
      <c r="AA379" s="71"/>
      <c r="AB379" s="71">
        <f>(SUBSIDIO!$J$379*SUBSIDIO!$V$379)*(0.08)/(1-0.08)</f>
        <v>10489.538399999999</v>
      </c>
      <c r="AC379" s="71">
        <f>((SUBSIDIO!$L$379*SUBSIDIO!$W$379)+(SUBSIDIO!$N$379*SUBSIDIO!$X$379))*(0.08)/(1-0.08)</f>
        <v>0</v>
      </c>
      <c r="AD379" s="71">
        <f ca="1">(SUBSIDIO!$J$379*SUBSIDIO!$Y$379)*(0.06)/(1-0.06)</f>
        <v>10226.725440114331</v>
      </c>
      <c r="AE379" s="71">
        <f>((SUBSIDIO!$L$379*SUBSIDIO!$Z$379)+(SUBSIDIO!$N$379*SUBSIDIO!$AA$379))*(0.06)/(1-0.06)</f>
        <v>0</v>
      </c>
      <c r="AF379" s="4" t="s">
        <v>1151</v>
      </c>
    </row>
    <row r="380" spans="1:32" ht="11.25" customHeight="1" x14ac:dyDescent="0.25">
      <c r="A380" s="4" t="s">
        <v>27</v>
      </c>
      <c r="B380" s="4" t="s">
        <v>33</v>
      </c>
      <c r="C380" s="4" t="s">
        <v>34</v>
      </c>
      <c r="D380" s="4" t="s">
        <v>47</v>
      </c>
      <c r="E380" s="4" t="s">
        <v>55</v>
      </c>
      <c r="F380" s="4" t="s">
        <v>25</v>
      </c>
      <c r="G380" s="4" t="s">
        <v>25</v>
      </c>
      <c r="H380" s="4" t="s">
        <v>25</v>
      </c>
      <c r="I380" s="5">
        <v>44013</v>
      </c>
      <c r="J380" s="6">
        <v>356</v>
      </c>
      <c r="K380" s="71">
        <v>356</v>
      </c>
      <c r="L380" s="6">
        <v>0</v>
      </c>
      <c r="M380" s="71">
        <v>0</v>
      </c>
      <c r="N380" s="6">
        <v>0</v>
      </c>
      <c r="O380" s="71">
        <v>0</v>
      </c>
      <c r="P380" s="6">
        <v>3</v>
      </c>
      <c r="Q380" s="4" t="s">
        <v>26</v>
      </c>
      <c r="R380" s="4">
        <v>0</v>
      </c>
      <c r="S380" s="4">
        <v>26</v>
      </c>
      <c r="T380" s="4">
        <v>0</v>
      </c>
      <c r="U380" s="4">
        <v>0</v>
      </c>
      <c r="V380" s="71">
        <f>IF(ISERROR(VLOOKUP($S$380,'TAR FIN'!$A$1:$O$120,15,0)),0,VLOOKUP($S$380,'TAR FIN'!$A$1:$O$120,15,0))*(1-0.08)</f>
        <v>8.1052</v>
      </c>
      <c r="W380" s="71">
        <f>IF(ISERROR(VLOOKUP($T$380,'TAR FIN'!$A$1:$O$120,15,0)),0,VLOOKUP($T$380,'TAR FIN'!$A$1:$O$120,15,0))</f>
        <v>0</v>
      </c>
      <c r="X380" s="71">
        <f>IF(ISERROR(VLOOKUP($U$380,'TAR FIN'!$A$1:$O$120,15,0)),0,VLOOKUP($U$380,'TAR FIN'!$A$1:$O$120,15,0))</f>
        <v>0</v>
      </c>
      <c r="Y380" s="71">
        <f ca="1">('TUSD BE'!$AM$32+'TUSD BF'!$AM$32+'TUSD CVA'!$AM$32)*1*(1-0.06)</f>
        <v>10.765215249734004</v>
      </c>
      <c r="Z380" s="71"/>
      <c r="AA380" s="71"/>
      <c r="AB380" s="71">
        <f>(SUBSIDIO!$J$380*SUBSIDIO!$V$380)*(0.08)/(1-0.08)</f>
        <v>250.90879999999999</v>
      </c>
      <c r="AC380" s="71">
        <f>((SUBSIDIO!$L$380*SUBSIDIO!$W$380)+(SUBSIDIO!$N$380*SUBSIDIO!$X$380))*(0.08)/(1-0.08)</f>
        <v>0</v>
      </c>
      <c r="AD380" s="71">
        <f ca="1">(SUBSIDIO!$J$380*SUBSIDIO!$Y$380)*(0.06)/(1-0.06)</f>
        <v>244.62233801523226</v>
      </c>
      <c r="AE380" s="71">
        <f>((SUBSIDIO!$L$380*SUBSIDIO!$Z$380)+(SUBSIDIO!$N$380*SUBSIDIO!$AA$380))*(0.06)/(1-0.06)</f>
        <v>0</v>
      </c>
      <c r="AF380" s="4" t="s">
        <v>1151</v>
      </c>
    </row>
    <row r="381" spans="1:32" ht="11.25" customHeight="1" x14ac:dyDescent="0.25">
      <c r="A381" s="4" t="s">
        <v>21</v>
      </c>
      <c r="B381" s="4" t="s">
        <v>33</v>
      </c>
      <c r="C381" s="4" t="s">
        <v>34</v>
      </c>
      <c r="D381" s="4" t="s">
        <v>47</v>
      </c>
      <c r="E381" s="4" t="s">
        <v>55</v>
      </c>
      <c r="F381" s="4" t="s">
        <v>25</v>
      </c>
      <c r="G381" s="4" t="s">
        <v>25</v>
      </c>
      <c r="H381" s="4" t="s">
        <v>25</v>
      </c>
      <c r="I381" s="5">
        <v>44044</v>
      </c>
      <c r="J381" s="6">
        <v>13077</v>
      </c>
      <c r="K381" s="71">
        <v>13077</v>
      </c>
      <c r="L381" s="6">
        <v>0</v>
      </c>
      <c r="M381" s="71">
        <v>0</v>
      </c>
      <c r="N381" s="6">
        <v>0</v>
      </c>
      <c r="O381" s="71">
        <v>0</v>
      </c>
      <c r="P381" s="6">
        <v>121</v>
      </c>
      <c r="Q381" s="4" t="s">
        <v>26</v>
      </c>
      <c r="R381" s="4">
        <v>0</v>
      </c>
      <c r="S381" s="4">
        <v>26</v>
      </c>
      <c r="T381" s="4">
        <v>0</v>
      </c>
      <c r="U381" s="4">
        <v>0</v>
      </c>
      <c r="V381" s="71">
        <f>IF(ISERROR(VLOOKUP($S$381,'TAR FIN'!$A$1:$O$120,15,0)),0,VLOOKUP($S$381,'TAR FIN'!$A$1:$O$120,15,0))*(1-0.08)</f>
        <v>8.1052</v>
      </c>
      <c r="W381" s="71">
        <f>IF(ISERROR(VLOOKUP($T$381,'TAR FIN'!$A$1:$O$120,15,0)),0,VLOOKUP($T$381,'TAR FIN'!$A$1:$O$120,15,0))</f>
        <v>0</v>
      </c>
      <c r="X381" s="71">
        <f>IF(ISERROR(VLOOKUP($U$381,'TAR FIN'!$A$1:$O$120,15,0)),0,VLOOKUP($U$381,'TAR FIN'!$A$1:$O$120,15,0))</f>
        <v>0</v>
      </c>
      <c r="Y381" s="71">
        <f ca="1">('TUSD BE'!$AM$32+'TUSD BF'!$AM$32+'TUSD CVA'!$AM$32)*1*(1-0.06)</f>
        <v>10.765215249734004</v>
      </c>
      <c r="Z381" s="71"/>
      <c r="AA381" s="71"/>
      <c r="AB381" s="71">
        <f>(SUBSIDIO!$J$381*SUBSIDIO!$V$381)*(0.08)/(1-0.08)</f>
        <v>9216.6696000000011</v>
      </c>
      <c r="AC381" s="71">
        <f>((SUBSIDIO!$L$381*SUBSIDIO!$W$381)+(SUBSIDIO!$N$381*SUBSIDIO!$X$381))*(0.08)/(1-0.08)</f>
        <v>0</v>
      </c>
      <c r="AD381" s="71">
        <f ca="1">(SUBSIDIO!$J$381*SUBSIDIO!$Y$381)*(0.06)/(1-0.06)</f>
        <v>8985.748073666271</v>
      </c>
      <c r="AE381" s="71">
        <f>((SUBSIDIO!$L$381*SUBSIDIO!$Z$381)+(SUBSIDIO!$N$381*SUBSIDIO!$AA$381))*(0.06)/(1-0.06)</f>
        <v>0</v>
      </c>
      <c r="AF381" s="4" t="s">
        <v>1151</v>
      </c>
    </row>
    <row r="382" spans="1:32" ht="11.25" customHeight="1" x14ac:dyDescent="0.25">
      <c r="A382" s="4" t="s">
        <v>27</v>
      </c>
      <c r="B382" s="4" t="s">
        <v>33</v>
      </c>
      <c r="C382" s="4" t="s">
        <v>34</v>
      </c>
      <c r="D382" s="4" t="s">
        <v>47</v>
      </c>
      <c r="E382" s="4" t="s">
        <v>55</v>
      </c>
      <c r="F382" s="4" t="s">
        <v>25</v>
      </c>
      <c r="G382" s="4" t="s">
        <v>25</v>
      </c>
      <c r="H382" s="4" t="s">
        <v>25</v>
      </c>
      <c r="I382" s="5">
        <v>44044</v>
      </c>
      <c r="J382" s="6">
        <v>376</v>
      </c>
      <c r="K382" s="71">
        <v>376</v>
      </c>
      <c r="L382" s="6">
        <v>0</v>
      </c>
      <c r="M382" s="71">
        <v>0</v>
      </c>
      <c r="N382" s="6">
        <v>0</v>
      </c>
      <c r="O382" s="71">
        <v>0</v>
      </c>
      <c r="P382" s="6">
        <v>3</v>
      </c>
      <c r="Q382" s="4" t="s">
        <v>26</v>
      </c>
      <c r="R382" s="4">
        <v>0</v>
      </c>
      <c r="S382" s="4">
        <v>26</v>
      </c>
      <c r="T382" s="4">
        <v>0</v>
      </c>
      <c r="U382" s="4">
        <v>0</v>
      </c>
      <c r="V382" s="71">
        <f>IF(ISERROR(VLOOKUP($S$382,'TAR FIN'!$A$1:$O$120,15,0)),0,VLOOKUP($S$382,'TAR FIN'!$A$1:$O$120,15,0))*(1-0.08)</f>
        <v>8.1052</v>
      </c>
      <c r="W382" s="71">
        <f>IF(ISERROR(VLOOKUP($T$382,'TAR FIN'!$A$1:$O$120,15,0)),0,VLOOKUP($T$382,'TAR FIN'!$A$1:$O$120,15,0))</f>
        <v>0</v>
      </c>
      <c r="X382" s="71">
        <f>IF(ISERROR(VLOOKUP($U$382,'TAR FIN'!$A$1:$O$120,15,0)),0,VLOOKUP($U$382,'TAR FIN'!$A$1:$O$120,15,0))</f>
        <v>0</v>
      </c>
      <c r="Y382" s="71">
        <f ca="1">('TUSD BE'!$AM$32+'TUSD BF'!$AM$32+'TUSD CVA'!$AM$32)*1*(1-0.06)</f>
        <v>10.765215249734004</v>
      </c>
      <c r="Z382" s="71"/>
      <c r="AA382" s="71"/>
      <c r="AB382" s="71">
        <f>(SUBSIDIO!$J$382*SUBSIDIO!$V$382)*(0.08)/(1-0.08)</f>
        <v>265.00479999999999</v>
      </c>
      <c r="AC382" s="71">
        <f>((SUBSIDIO!$L$382*SUBSIDIO!$W$382)+(SUBSIDIO!$N$382*SUBSIDIO!$X$382))*(0.08)/(1-0.08)</f>
        <v>0</v>
      </c>
      <c r="AD382" s="71">
        <f ca="1">(SUBSIDIO!$J$382*SUBSIDIO!$Y$382)*(0.06)/(1-0.06)</f>
        <v>258.36516599361613</v>
      </c>
      <c r="AE382" s="71">
        <f>((SUBSIDIO!$L$382*SUBSIDIO!$Z$382)+(SUBSIDIO!$N$382*SUBSIDIO!$AA$382))*(0.06)/(1-0.06)</f>
        <v>0</v>
      </c>
      <c r="AF382" s="4" t="s">
        <v>1151</v>
      </c>
    </row>
    <row r="383" spans="1:32" ht="11.25" customHeight="1" x14ac:dyDescent="0.25">
      <c r="A383" s="4" t="s">
        <v>59</v>
      </c>
      <c r="B383" s="4" t="s">
        <v>33</v>
      </c>
      <c r="C383" s="4" t="s">
        <v>34</v>
      </c>
      <c r="D383" s="4" t="s">
        <v>47</v>
      </c>
      <c r="E383" s="4" t="s">
        <v>55</v>
      </c>
      <c r="F383" s="4" t="s">
        <v>25</v>
      </c>
      <c r="G383" s="4" t="s">
        <v>25</v>
      </c>
      <c r="H383" s="4" t="s">
        <v>25</v>
      </c>
      <c r="I383" s="5">
        <v>44075</v>
      </c>
      <c r="J383" s="6">
        <v>13077</v>
      </c>
      <c r="K383" s="71">
        <v>13077</v>
      </c>
      <c r="L383" s="6">
        <v>0</v>
      </c>
      <c r="M383" s="71">
        <v>0</v>
      </c>
      <c r="N383" s="6">
        <v>0</v>
      </c>
      <c r="O383" s="71">
        <v>0</v>
      </c>
      <c r="P383" s="6">
        <v>121</v>
      </c>
      <c r="Q383" s="4" t="s">
        <v>26</v>
      </c>
      <c r="R383" s="4">
        <v>0</v>
      </c>
      <c r="S383" s="4">
        <v>26</v>
      </c>
      <c r="T383" s="4">
        <v>0</v>
      </c>
      <c r="U383" s="4">
        <v>0</v>
      </c>
      <c r="V383" s="71">
        <f>IF(ISERROR(VLOOKUP($S$383,'TAR FIN'!$A$1:$O$120,15,0)),0,VLOOKUP($S$383,'TAR FIN'!$A$1:$O$120,15,0))*(1-0.08)</f>
        <v>8.1052</v>
      </c>
      <c r="W383" s="71">
        <f>IF(ISERROR(VLOOKUP($T$383,'TAR FIN'!$A$1:$O$120,15,0)),0,VLOOKUP($T$383,'TAR FIN'!$A$1:$O$120,15,0))</f>
        <v>0</v>
      </c>
      <c r="X383" s="71">
        <f>IF(ISERROR(VLOOKUP($U$383,'TAR FIN'!$A$1:$O$120,15,0)),0,VLOOKUP($U$383,'TAR FIN'!$A$1:$O$120,15,0))</f>
        <v>0</v>
      </c>
      <c r="Y383" s="71">
        <f ca="1">('TUSD BE'!$AM$32+'TUSD BF'!$AM$32+'TUSD CVA'!$AM$32)*1*(1-0.06)</f>
        <v>10.765215249734004</v>
      </c>
      <c r="Z383" s="71"/>
      <c r="AA383" s="71"/>
      <c r="AB383" s="71">
        <f>(SUBSIDIO!$J$383*SUBSIDIO!$V$383)*(0.08)/(1-0.08)</f>
        <v>9216.6696000000011</v>
      </c>
      <c r="AC383" s="71">
        <f>((SUBSIDIO!$L$383*SUBSIDIO!$W$383)+(SUBSIDIO!$N$383*SUBSIDIO!$X$383))*(0.08)/(1-0.08)</f>
        <v>0</v>
      </c>
      <c r="AD383" s="71">
        <f ca="1">(SUBSIDIO!$J$383*SUBSIDIO!$Y$383)*(0.06)/(1-0.06)</f>
        <v>8985.748073666271</v>
      </c>
      <c r="AE383" s="71">
        <f>((SUBSIDIO!$L$383*SUBSIDIO!$Z$383)+(SUBSIDIO!$N$383*SUBSIDIO!$AA$383))*(0.06)/(1-0.06)</f>
        <v>0</v>
      </c>
      <c r="AF383" s="4" t="s">
        <v>1151</v>
      </c>
    </row>
    <row r="384" spans="1:32" ht="11.25" customHeight="1" x14ac:dyDescent="0.25">
      <c r="A384" s="4" t="s">
        <v>59</v>
      </c>
      <c r="B384" s="4" t="s">
        <v>33</v>
      </c>
      <c r="C384" s="4" t="s">
        <v>34</v>
      </c>
      <c r="D384" s="4" t="s">
        <v>47</v>
      </c>
      <c r="E384" s="4" t="s">
        <v>55</v>
      </c>
      <c r="F384" s="4" t="s">
        <v>25</v>
      </c>
      <c r="G384" s="4" t="s">
        <v>25</v>
      </c>
      <c r="H384" s="4" t="s">
        <v>25</v>
      </c>
      <c r="I384" s="5">
        <v>44075</v>
      </c>
      <c r="J384" s="6">
        <v>376</v>
      </c>
      <c r="K384" s="71">
        <v>376</v>
      </c>
      <c r="L384" s="6">
        <v>0</v>
      </c>
      <c r="M384" s="71">
        <v>0</v>
      </c>
      <c r="N384" s="6">
        <v>0</v>
      </c>
      <c r="O384" s="71">
        <v>0</v>
      </c>
      <c r="P384" s="6">
        <v>3</v>
      </c>
      <c r="Q384" s="4" t="s">
        <v>26</v>
      </c>
      <c r="R384" s="4">
        <v>0</v>
      </c>
      <c r="S384" s="4">
        <v>26</v>
      </c>
      <c r="T384" s="4">
        <v>0</v>
      </c>
      <c r="U384" s="4">
        <v>0</v>
      </c>
      <c r="V384" s="71">
        <f>IF(ISERROR(VLOOKUP($S$384,'TAR FIN'!$A$1:$O$120,15,0)),0,VLOOKUP($S$384,'TAR FIN'!$A$1:$O$120,15,0))*(1-0.08)</f>
        <v>8.1052</v>
      </c>
      <c r="W384" s="71">
        <f>IF(ISERROR(VLOOKUP($T$384,'TAR FIN'!$A$1:$O$120,15,0)),0,VLOOKUP($T$384,'TAR FIN'!$A$1:$O$120,15,0))</f>
        <v>0</v>
      </c>
      <c r="X384" s="71">
        <f>IF(ISERROR(VLOOKUP($U$384,'TAR FIN'!$A$1:$O$120,15,0)),0,VLOOKUP($U$384,'TAR FIN'!$A$1:$O$120,15,0))</f>
        <v>0</v>
      </c>
      <c r="Y384" s="71">
        <f ca="1">('TUSD BE'!$AM$32+'TUSD BF'!$AM$32+'TUSD CVA'!$AM$32)*1*(1-0.06)</f>
        <v>10.765215249734004</v>
      </c>
      <c r="Z384" s="71"/>
      <c r="AA384" s="71"/>
      <c r="AB384" s="71">
        <f>(SUBSIDIO!$J$384*SUBSIDIO!$V$384)*(0.08)/(1-0.08)</f>
        <v>265.00479999999999</v>
      </c>
      <c r="AC384" s="71">
        <f>((SUBSIDIO!$L$384*SUBSIDIO!$W$384)+(SUBSIDIO!$N$384*SUBSIDIO!$X$384))*(0.08)/(1-0.08)</f>
        <v>0</v>
      </c>
      <c r="AD384" s="71">
        <f ca="1">(SUBSIDIO!$J$384*SUBSIDIO!$Y$384)*(0.06)/(1-0.06)</f>
        <v>258.36516599361613</v>
      </c>
      <c r="AE384" s="71">
        <f>((SUBSIDIO!$L$384*SUBSIDIO!$Z$384)+(SUBSIDIO!$N$384*SUBSIDIO!$AA$384))*(0.06)/(1-0.06)</f>
        <v>0</v>
      </c>
      <c r="AF384" s="4" t="s">
        <v>1151</v>
      </c>
    </row>
    <row r="385" spans="1:32" ht="11.25" customHeight="1" x14ac:dyDescent="0.25">
      <c r="A385" s="4" t="s">
        <v>27</v>
      </c>
      <c r="B385" s="4" t="s">
        <v>33</v>
      </c>
      <c r="C385" s="4" t="s">
        <v>34</v>
      </c>
      <c r="D385" s="4" t="s">
        <v>47</v>
      </c>
      <c r="E385" s="4" t="s">
        <v>55</v>
      </c>
      <c r="F385" s="4" t="s">
        <v>25</v>
      </c>
      <c r="G385" s="4" t="s">
        <v>25</v>
      </c>
      <c r="H385" s="4" t="s">
        <v>35</v>
      </c>
      <c r="I385" s="5">
        <v>43739</v>
      </c>
      <c r="J385" s="6">
        <v>0</v>
      </c>
      <c r="K385" s="71">
        <v>0</v>
      </c>
      <c r="L385" s="6">
        <v>-0.17699999999999999</v>
      </c>
      <c r="M385" s="71">
        <v>-0.17699999999999999</v>
      </c>
      <c r="N385" s="6">
        <v>-0.17699999999999999</v>
      </c>
      <c r="O385" s="71">
        <v>-0.17699999999999999</v>
      </c>
      <c r="P385" s="6">
        <v>0</v>
      </c>
      <c r="Q385" s="4" t="s">
        <v>26</v>
      </c>
      <c r="R385" s="4">
        <v>0</v>
      </c>
      <c r="S385" s="4">
        <v>0</v>
      </c>
      <c r="T385" s="4">
        <v>27</v>
      </c>
      <c r="U385" s="4">
        <v>81</v>
      </c>
      <c r="V385" s="71">
        <f>IF(ISERROR(VLOOKUP($S$385,'TAR FIN'!$A$1:$O$120,15,0)),0,VLOOKUP($S$385,'TAR FIN'!$A$1:$O$120,15,0))</f>
        <v>0</v>
      </c>
      <c r="W385" s="71">
        <f>IF(ISERROR(VLOOKUP($T$385,'TAR FIN'!$A$1:$O$120,15,0)),0,VLOOKUP($T$385,'TAR FIN'!$A$1:$O$120,15,0))*(1-0.08)</f>
        <v>590.63080000000002</v>
      </c>
      <c r="X385" s="71">
        <f>IF(ISERROR(VLOOKUP($U$385,'TAR FIN'!$A$1:$O$120,15,0)),0,VLOOKUP($U$385,'TAR FIN'!$A$1:$O$120,15,0))*(1-0.08)</f>
        <v>396.40040000000005</v>
      </c>
      <c r="Y385" s="71"/>
      <c r="Z385" s="71">
        <f ca="1">('TUSD BE'!$AM$33+'TUSD BF'!$AM$33+'TUSD CVA'!$AM$33)*1*(1-0.06)</f>
        <v>702.86961706946545</v>
      </c>
      <c r="AA385" s="71">
        <f>('TE BE'!$AA$10+'TE BF'!$AA$10+'TE CVA'!$AA$10)*1*(1-0.06)</f>
        <v>353.15029452578722</v>
      </c>
      <c r="AB385" s="71">
        <f>(SUBSIDIO!$J$385*SUBSIDIO!$V$385)*(0.08)/(1-0.08)</f>
        <v>0</v>
      </c>
      <c r="AC385" s="71">
        <f>((SUBSIDIO!$L$385*SUBSIDIO!$W$385)+(SUBSIDIO!$N$385*SUBSIDIO!$X$385))*(0.08)/(1-0.08)</f>
        <v>-15.191697599999999</v>
      </c>
      <c r="AD385" s="71">
        <f>(SUBSIDIO!$J$385*SUBSIDIO!$Y$385)*(0.06)/(1-0.06)</f>
        <v>0</v>
      </c>
      <c r="AE385" s="71">
        <f ca="1">((SUBSIDIO!$L$385*SUBSIDIO!$Z$385)+(SUBSIDIO!$N$385*SUBSIDIO!$AA$385))*(0.06)/(1-0.06)</f>
        <v>-11.930778150150619</v>
      </c>
      <c r="AF385" s="4" t="s">
        <v>1151</v>
      </c>
    </row>
    <row r="386" spans="1:32" ht="11.25" customHeight="1" x14ac:dyDescent="0.25">
      <c r="A386" s="4" t="s">
        <v>21</v>
      </c>
      <c r="B386" s="4" t="s">
        <v>33</v>
      </c>
      <c r="C386" s="4" t="s">
        <v>34</v>
      </c>
      <c r="D386" s="4" t="s">
        <v>47</v>
      </c>
      <c r="E386" s="4" t="s">
        <v>55</v>
      </c>
      <c r="F386" s="4" t="s">
        <v>25</v>
      </c>
      <c r="G386" s="4" t="s">
        <v>25</v>
      </c>
      <c r="H386" s="4" t="s">
        <v>35</v>
      </c>
      <c r="I386" s="5">
        <v>43770</v>
      </c>
      <c r="J386" s="6">
        <v>0</v>
      </c>
      <c r="K386" s="71">
        <v>0</v>
      </c>
      <c r="L386" s="6">
        <v>14.436999999999999</v>
      </c>
      <c r="M386" s="71">
        <v>14.436999999999999</v>
      </c>
      <c r="N386" s="6">
        <v>14.436999999999999</v>
      </c>
      <c r="O386" s="71">
        <v>14.436999999999999</v>
      </c>
      <c r="P386" s="6">
        <v>0</v>
      </c>
      <c r="Q386" s="4" t="s">
        <v>26</v>
      </c>
      <c r="R386" s="4">
        <v>0</v>
      </c>
      <c r="S386" s="4">
        <v>0</v>
      </c>
      <c r="T386" s="4">
        <v>27</v>
      </c>
      <c r="U386" s="4">
        <v>81</v>
      </c>
      <c r="V386" s="71">
        <f>IF(ISERROR(VLOOKUP($S$386,'TAR FIN'!$A$1:$O$120,15,0)),0,VLOOKUP($S$386,'TAR FIN'!$A$1:$O$120,15,0))</f>
        <v>0</v>
      </c>
      <c r="W386" s="71">
        <f>IF(ISERROR(VLOOKUP($T$386,'TAR FIN'!$A$1:$O$120,15,0)),0,VLOOKUP($T$386,'TAR FIN'!$A$1:$O$120,15,0))*(1-0.08)</f>
        <v>590.63080000000002</v>
      </c>
      <c r="X386" s="71">
        <f>IF(ISERROR(VLOOKUP($U$386,'TAR FIN'!$A$1:$O$120,15,0)),0,VLOOKUP($U$386,'TAR FIN'!$A$1:$O$120,15,0))*(1-0.08)</f>
        <v>396.40040000000005</v>
      </c>
      <c r="Y386" s="71"/>
      <c r="Z386" s="71">
        <f ca="1">('TUSD BE'!$AM$33+'TUSD BF'!$AM$33+'TUSD CVA'!$AM$33)*1*(1-0.06)</f>
        <v>702.86961706946545</v>
      </c>
      <c r="AA386" s="71">
        <f>('TE BE'!$AA$10+'TE BF'!$AA$10+'TE CVA'!$AA$10)*1*(1-0.06)</f>
        <v>353.15029452578722</v>
      </c>
      <c r="AB386" s="71">
        <f>(SUBSIDIO!$J$386*SUBSIDIO!$V$386)*(0.08)/(1-0.08)</f>
        <v>0</v>
      </c>
      <c r="AC386" s="71">
        <f>((SUBSIDIO!$L$386*SUBSIDIO!$W$386)+(SUBSIDIO!$N$386*SUBSIDIO!$X$386))*(0.08)/(1-0.08)</f>
        <v>1239.1103856000002</v>
      </c>
      <c r="AD386" s="71">
        <f>(SUBSIDIO!$J$386*SUBSIDIO!$Y$386)*(0.06)/(1-0.06)</f>
        <v>0</v>
      </c>
      <c r="AE386" s="71">
        <f ca="1">((SUBSIDIO!$L$386*SUBSIDIO!$Z$386)+(SUBSIDIO!$N$386*SUBSIDIO!$AA$386))*(0.06)/(1-0.06)</f>
        <v>973.13358278940393</v>
      </c>
      <c r="AF386" s="4" t="s">
        <v>1151</v>
      </c>
    </row>
    <row r="387" spans="1:32" ht="11.25" customHeight="1" x14ac:dyDescent="0.25">
      <c r="A387" s="4" t="s">
        <v>27</v>
      </c>
      <c r="B387" s="4" t="s">
        <v>33</v>
      </c>
      <c r="C387" s="4" t="s">
        <v>34</v>
      </c>
      <c r="D387" s="4" t="s">
        <v>47</v>
      </c>
      <c r="E387" s="4" t="s">
        <v>55</v>
      </c>
      <c r="F387" s="4" t="s">
        <v>25</v>
      </c>
      <c r="G387" s="4" t="s">
        <v>25</v>
      </c>
      <c r="H387" s="4" t="s">
        <v>35</v>
      </c>
      <c r="I387" s="5">
        <v>43770</v>
      </c>
      <c r="J387" s="6">
        <v>0</v>
      </c>
      <c r="K387" s="71">
        <v>0</v>
      </c>
      <c r="L387" s="6">
        <v>2.0179999999999998</v>
      </c>
      <c r="M387" s="71">
        <v>2.0179999999999998</v>
      </c>
      <c r="N387" s="6">
        <v>2.0179999999999998</v>
      </c>
      <c r="O387" s="71">
        <v>2.0179999999999998</v>
      </c>
      <c r="P387" s="6">
        <v>0</v>
      </c>
      <c r="Q387" s="4" t="s">
        <v>26</v>
      </c>
      <c r="R387" s="4">
        <v>0</v>
      </c>
      <c r="S387" s="4">
        <v>0</v>
      </c>
      <c r="T387" s="4">
        <v>27</v>
      </c>
      <c r="U387" s="4">
        <v>81</v>
      </c>
      <c r="V387" s="71">
        <f>IF(ISERROR(VLOOKUP($S$387,'TAR FIN'!$A$1:$O$120,15,0)),0,VLOOKUP($S$387,'TAR FIN'!$A$1:$O$120,15,0))</f>
        <v>0</v>
      </c>
      <c r="W387" s="71">
        <f>IF(ISERROR(VLOOKUP($T$387,'TAR FIN'!$A$1:$O$120,15,0)),0,VLOOKUP($T$387,'TAR FIN'!$A$1:$O$120,15,0))*(1-0.08)</f>
        <v>590.63080000000002</v>
      </c>
      <c r="X387" s="71">
        <f>IF(ISERROR(VLOOKUP($U$387,'TAR FIN'!$A$1:$O$120,15,0)),0,VLOOKUP($U$387,'TAR FIN'!$A$1:$O$120,15,0))*(1-0.08)</f>
        <v>396.40040000000005</v>
      </c>
      <c r="Y387" s="71"/>
      <c r="Z387" s="71">
        <f ca="1">('TUSD BE'!$AM$33+'TUSD BF'!$AM$33+'TUSD CVA'!$AM$33)*1*(1-0.06)</f>
        <v>702.86961706946545</v>
      </c>
      <c r="AA387" s="71">
        <f>('TE BE'!$AA$10+'TE BF'!$AA$10+'TE CVA'!$AA$10)*1*(1-0.06)</f>
        <v>353.15029452578722</v>
      </c>
      <c r="AB387" s="71">
        <f>(SUBSIDIO!$J$387*SUBSIDIO!$V$387)*(0.08)/(1-0.08)</f>
        <v>0</v>
      </c>
      <c r="AC387" s="71">
        <f>((SUBSIDIO!$L$387*SUBSIDIO!$W$387)+(SUBSIDIO!$N$387*SUBSIDIO!$X$387))*(0.08)/(1-0.08)</f>
        <v>173.2025184</v>
      </c>
      <c r="AD387" s="71">
        <f>(SUBSIDIO!$J$387*SUBSIDIO!$Y$387)*(0.06)/(1-0.06)</f>
        <v>0</v>
      </c>
      <c r="AE387" s="71">
        <f ca="1">((SUBSIDIO!$L$387*SUBSIDIO!$Z$387)+(SUBSIDIO!$N$387*SUBSIDIO!$AA$387))*(0.06)/(1-0.06)</f>
        <v>136.02435201697148</v>
      </c>
      <c r="AF387" s="4" t="s">
        <v>1151</v>
      </c>
    </row>
    <row r="388" spans="1:32" ht="11.25" customHeight="1" x14ac:dyDescent="0.25">
      <c r="A388" s="4" t="s">
        <v>21</v>
      </c>
      <c r="B388" s="4" t="s">
        <v>33</v>
      </c>
      <c r="C388" s="4" t="s">
        <v>34</v>
      </c>
      <c r="D388" s="4" t="s">
        <v>47</v>
      </c>
      <c r="E388" s="4" t="s">
        <v>55</v>
      </c>
      <c r="F388" s="4" t="s">
        <v>25</v>
      </c>
      <c r="G388" s="4" t="s">
        <v>25</v>
      </c>
      <c r="H388" s="4" t="s">
        <v>35</v>
      </c>
      <c r="I388" s="5">
        <v>43800</v>
      </c>
      <c r="J388" s="6">
        <v>0</v>
      </c>
      <c r="K388" s="71">
        <v>0</v>
      </c>
      <c r="L388" s="6">
        <v>22.21</v>
      </c>
      <c r="M388" s="71">
        <v>22.21</v>
      </c>
      <c r="N388" s="6">
        <v>22.21</v>
      </c>
      <c r="O388" s="71">
        <v>22.21</v>
      </c>
      <c r="P388" s="6">
        <v>0</v>
      </c>
      <c r="Q388" s="4" t="s">
        <v>26</v>
      </c>
      <c r="R388" s="4">
        <v>0</v>
      </c>
      <c r="S388" s="4">
        <v>0</v>
      </c>
      <c r="T388" s="4">
        <v>27</v>
      </c>
      <c r="U388" s="4">
        <v>81</v>
      </c>
      <c r="V388" s="71">
        <f>IF(ISERROR(VLOOKUP($S$388,'TAR FIN'!$A$1:$O$120,15,0)),0,VLOOKUP($S$388,'TAR FIN'!$A$1:$O$120,15,0))</f>
        <v>0</v>
      </c>
      <c r="W388" s="71">
        <f>IF(ISERROR(VLOOKUP($T$388,'TAR FIN'!$A$1:$O$120,15,0)),0,VLOOKUP($T$388,'TAR FIN'!$A$1:$O$120,15,0))*(1-0.08)</f>
        <v>590.63080000000002</v>
      </c>
      <c r="X388" s="71">
        <f>IF(ISERROR(VLOOKUP($U$388,'TAR FIN'!$A$1:$O$120,15,0)),0,VLOOKUP($U$388,'TAR FIN'!$A$1:$O$120,15,0))*(1-0.08)</f>
        <v>396.40040000000005</v>
      </c>
      <c r="Y388" s="71"/>
      <c r="Z388" s="71">
        <f ca="1">('TUSD BE'!$AM$33+'TUSD BF'!$AM$33+'TUSD CVA'!$AM$33)*1*(1-0.06)</f>
        <v>702.86961706946545</v>
      </c>
      <c r="AA388" s="71">
        <f>('TE BE'!$AA$10+'TE BF'!$AA$10+'TE CVA'!$AA$10)*1*(1-0.06)</f>
        <v>353.15029452578722</v>
      </c>
      <c r="AB388" s="71">
        <f>(SUBSIDIO!$J$388*SUBSIDIO!$V$388)*(0.08)/(1-0.08)</f>
        <v>0</v>
      </c>
      <c r="AC388" s="71">
        <f>((SUBSIDIO!$L$388*SUBSIDIO!$W$388)+(SUBSIDIO!$N$388*SUBSIDIO!$X$388))*(0.08)/(1-0.08)</f>
        <v>1906.257648</v>
      </c>
      <c r="AD388" s="71">
        <f>(SUBSIDIO!$J$388*SUBSIDIO!$Y$388)*(0.06)/(1-0.06)</f>
        <v>0</v>
      </c>
      <c r="AE388" s="71">
        <f ca="1">((SUBSIDIO!$L$388*SUBSIDIO!$Z$388)+(SUBSIDIO!$N$388*SUBSIDIO!$AA$388))*(0.06)/(1-0.06)</f>
        <v>1497.0767385019508</v>
      </c>
      <c r="AF388" s="4" t="s">
        <v>1151</v>
      </c>
    </row>
    <row r="389" spans="1:32" ht="11.25" customHeight="1" x14ac:dyDescent="0.25">
      <c r="A389" s="4" t="s">
        <v>21</v>
      </c>
      <c r="B389" s="4" t="s">
        <v>33</v>
      </c>
      <c r="C389" s="4" t="s">
        <v>34</v>
      </c>
      <c r="D389" s="4" t="s">
        <v>47</v>
      </c>
      <c r="E389" s="4" t="s">
        <v>55</v>
      </c>
      <c r="F389" s="4" t="s">
        <v>25</v>
      </c>
      <c r="G389" s="4" t="s">
        <v>25</v>
      </c>
      <c r="H389" s="4" t="s">
        <v>35</v>
      </c>
      <c r="I389" s="5">
        <v>43831</v>
      </c>
      <c r="J389" s="6">
        <v>0</v>
      </c>
      <c r="K389" s="71">
        <v>0</v>
      </c>
      <c r="L389" s="6">
        <v>3.5760000000000001</v>
      </c>
      <c r="M389" s="71">
        <v>3.5760000000000001</v>
      </c>
      <c r="N389" s="6">
        <v>3.5760000000000001</v>
      </c>
      <c r="O389" s="71">
        <v>3.5760000000000001</v>
      </c>
      <c r="P389" s="6">
        <v>0</v>
      </c>
      <c r="Q389" s="4" t="s">
        <v>26</v>
      </c>
      <c r="R389" s="4">
        <v>0</v>
      </c>
      <c r="S389" s="4">
        <v>0</v>
      </c>
      <c r="T389" s="4">
        <v>27</v>
      </c>
      <c r="U389" s="4">
        <v>81</v>
      </c>
      <c r="V389" s="71">
        <f>IF(ISERROR(VLOOKUP($S$389,'TAR FIN'!$A$1:$O$120,15,0)),0,VLOOKUP($S$389,'TAR FIN'!$A$1:$O$120,15,0))</f>
        <v>0</v>
      </c>
      <c r="W389" s="71">
        <f>IF(ISERROR(VLOOKUP($T$389,'TAR FIN'!$A$1:$O$120,15,0)),0,VLOOKUP($T$389,'TAR FIN'!$A$1:$O$120,15,0))*(1-0.08)</f>
        <v>590.63080000000002</v>
      </c>
      <c r="X389" s="71">
        <f>IF(ISERROR(VLOOKUP($U$389,'TAR FIN'!$A$1:$O$120,15,0)),0,VLOOKUP($U$389,'TAR FIN'!$A$1:$O$120,15,0))*(1-0.08)</f>
        <v>396.40040000000005</v>
      </c>
      <c r="Y389" s="71"/>
      <c r="Z389" s="71">
        <f ca="1">('TUSD BE'!$AM$33+'TUSD BF'!$AM$33+'TUSD CVA'!$AM$33)*1*(1-0.06)</f>
        <v>702.86961706946545</v>
      </c>
      <c r="AA389" s="71">
        <f>('TE BE'!$AA$10+'TE BF'!$AA$10+'TE CVA'!$AA$10)*1*(1-0.06)</f>
        <v>353.15029452578722</v>
      </c>
      <c r="AB389" s="71">
        <f>(SUBSIDIO!$J$389*SUBSIDIO!$V$389)*(0.08)/(1-0.08)</f>
        <v>0</v>
      </c>
      <c r="AC389" s="71">
        <f>((SUBSIDIO!$L$389*SUBSIDIO!$W$389)+(SUBSIDIO!$N$389*SUBSIDIO!$X$389))*(0.08)/(1-0.08)</f>
        <v>306.92378879999995</v>
      </c>
      <c r="AD389" s="71">
        <f>(SUBSIDIO!$J$389*SUBSIDIO!$Y$389)*(0.06)/(1-0.06)</f>
        <v>0</v>
      </c>
      <c r="AE389" s="71">
        <f ca="1">((SUBSIDIO!$L$389*SUBSIDIO!$Z$389)+(SUBSIDIO!$N$389*SUBSIDIO!$AA$389))*(0.06)/(1-0.06)</f>
        <v>241.04216194880578</v>
      </c>
      <c r="AF389" s="4" t="s">
        <v>1151</v>
      </c>
    </row>
    <row r="390" spans="1:32" ht="11.25" customHeight="1" x14ac:dyDescent="0.25">
      <c r="A390" s="4" t="s">
        <v>21</v>
      </c>
      <c r="B390" s="4" t="s">
        <v>33</v>
      </c>
      <c r="C390" s="4" t="s">
        <v>34</v>
      </c>
      <c r="D390" s="4" t="s">
        <v>47</v>
      </c>
      <c r="E390" s="4" t="s">
        <v>55</v>
      </c>
      <c r="F390" s="4" t="s">
        <v>25</v>
      </c>
      <c r="G390" s="4" t="s">
        <v>25</v>
      </c>
      <c r="H390" s="4" t="s">
        <v>35</v>
      </c>
      <c r="I390" s="5">
        <v>43862</v>
      </c>
      <c r="J390" s="6">
        <v>0</v>
      </c>
      <c r="K390" s="71">
        <v>0</v>
      </c>
      <c r="L390" s="6">
        <v>9.1059999999999999</v>
      </c>
      <c r="M390" s="71">
        <v>9.1059999999999999</v>
      </c>
      <c r="N390" s="6">
        <v>9.1059999999999999</v>
      </c>
      <c r="O390" s="71">
        <v>9.1059999999999999</v>
      </c>
      <c r="P390" s="6">
        <v>0</v>
      </c>
      <c r="Q390" s="4" t="s">
        <v>26</v>
      </c>
      <c r="R390" s="4">
        <v>0</v>
      </c>
      <c r="S390" s="4">
        <v>0</v>
      </c>
      <c r="T390" s="4">
        <v>27</v>
      </c>
      <c r="U390" s="4">
        <v>81</v>
      </c>
      <c r="V390" s="71">
        <f>IF(ISERROR(VLOOKUP($S$390,'TAR FIN'!$A$1:$O$120,15,0)),0,VLOOKUP($S$390,'TAR FIN'!$A$1:$O$120,15,0))</f>
        <v>0</v>
      </c>
      <c r="W390" s="71">
        <f>IF(ISERROR(VLOOKUP($T$390,'TAR FIN'!$A$1:$O$120,15,0)),0,VLOOKUP($T$390,'TAR FIN'!$A$1:$O$120,15,0))*(1-0.08)</f>
        <v>590.63080000000002</v>
      </c>
      <c r="X390" s="71">
        <f>IF(ISERROR(VLOOKUP($U$390,'TAR FIN'!$A$1:$O$120,15,0)),0,VLOOKUP($U$390,'TAR FIN'!$A$1:$O$120,15,0))*(1-0.08)</f>
        <v>396.40040000000005</v>
      </c>
      <c r="Y390" s="71"/>
      <c r="Z390" s="71">
        <f ca="1">('TUSD BE'!$AM$33+'TUSD BF'!$AM$33+'TUSD CVA'!$AM$33)*1*(1-0.06)</f>
        <v>702.86961706946545</v>
      </c>
      <c r="AA390" s="71">
        <f>('TE BE'!$AA$10+'TE BF'!$AA$10+'TE CVA'!$AA$10)*1*(1-0.06)</f>
        <v>353.15029452578722</v>
      </c>
      <c r="AB390" s="71">
        <f>(SUBSIDIO!$J$390*SUBSIDIO!$V$390)*(0.08)/(1-0.08)</f>
        <v>0</v>
      </c>
      <c r="AC390" s="71">
        <f>((SUBSIDIO!$L$390*SUBSIDIO!$W$390)+(SUBSIDIO!$N$390*SUBSIDIO!$X$390))*(0.08)/(1-0.08)</f>
        <v>781.55705279999995</v>
      </c>
      <c r="AD390" s="71">
        <f>(SUBSIDIO!$J$390*SUBSIDIO!$Y$390)*(0.06)/(1-0.06)</f>
        <v>0</v>
      </c>
      <c r="AE390" s="71">
        <f ca="1">((SUBSIDIO!$L$390*SUBSIDIO!$Z$390)+(SUBSIDIO!$N$390*SUBSIDIO!$AA$390))*(0.06)/(1-0.06)</f>
        <v>613.79472223317271</v>
      </c>
      <c r="AF390" s="4" t="s">
        <v>1151</v>
      </c>
    </row>
    <row r="391" spans="1:32" ht="11.25" customHeight="1" x14ac:dyDescent="0.25">
      <c r="A391" s="4" t="s">
        <v>27</v>
      </c>
      <c r="B391" s="4" t="s">
        <v>33</v>
      </c>
      <c r="C391" s="4" t="s">
        <v>34</v>
      </c>
      <c r="D391" s="4" t="s">
        <v>47</v>
      </c>
      <c r="E391" s="4" t="s">
        <v>55</v>
      </c>
      <c r="F391" s="4" t="s">
        <v>25</v>
      </c>
      <c r="G391" s="4" t="s">
        <v>25</v>
      </c>
      <c r="H391" s="4" t="s">
        <v>35</v>
      </c>
      <c r="I391" s="5">
        <v>43862</v>
      </c>
      <c r="J391" s="6">
        <v>0</v>
      </c>
      <c r="K391" s="71">
        <v>0</v>
      </c>
      <c r="L391" s="6">
        <v>0.27900000000000003</v>
      </c>
      <c r="M391" s="71">
        <v>0.27900000000000003</v>
      </c>
      <c r="N391" s="6">
        <v>0.27900000000000003</v>
      </c>
      <c r="O391" s="71">
        <v>0.27900000000000003</v>
      </c>
      <c r="P391" s="6">
        <v>0</v>
      </c>
      <c r="Q391" s="4" t="s">
        <v>26</v>
      </c>
      <c r="R391" s="4">
        <v>0</v>
      </c>
      <c r="S391" s="4">
        <v>0</v>
      </c>
      <c r="T391" s="4">
        <v>27</v>
      </c>
      <c r="U391" s="4">
        <v>81</v>
      </c>
      <c r="V391" s="71">
        <f>IF(ISERROR(VLOOKUP($S$391,'TAR FIN'!$A$1:$O$120,15,0)),0,VLOOKUP($S$391,'TAR FIN'!$A$1:$O$120,15,0))</f>
        <v>0</v>
      </c>
      <c r="W391" s="71">
        <f>IF(ISERROR(VLOOKUP($T$391,'TAR FIN'!$A$1:$O$120,15,0)),0,VLOOKUP($T$391,'TAR FIN'!$A$1:$O$120,15,0))*(1-0.08)</f>
        <v>590.63080000000002</v>
      </c>
      <c r="X391" s="71">
        <f>IF(ISERROR(VLOOKUP($U$391,'TAR FIN'!$A$1:$O$120,15,0)),0,VLOOKUP($U$391,'TAR FIN'!$A$1:$O$120,15,0))*(1-0.08)</f>
        <v>396.40040000000005</v>
      </c>
      <c r="Y391" s="71"/>
      <c r="Z391" s="71">
        <f ca="1">('TUSD BE'!$AM$33+'TUSD BF'!$AM$33+'TUSD CVA'!$AM$33)*1*(1-0.06)</f>
        <v>702.86961706946545</v>
      </c>
      <c r="AA391" s="71">
        <f>('TE BE'!$AA$10+'TE BF'!$AA$10+'TE CVA'!$AA$10)*1*(1-0.06)</f>
        <v>353.15029452578722</v>
      </c>
      <c r="AB391" s="71">
        <f>(SUBSIDIO!$J$391*SUBSIDIO!$V$391)*(0.08)/(1-0.08)</f>
        <v>0</v>
      </c>
      <c r="AC391" s="71">
        <f>((SUBSIDIO!$L$391*SUBSIDIO!$W$391)+(SUBSIDIO!$N$391*SUBSIDIO!$X$391))*(0.08)/(1-0.08)</f>
        <v>23.9462352</v>
      </c>
      <c r="AD391" s="71">
        <f>(SUBSIDIO!$J$391*SUBSIDIO!$Y$391)*(0.06)/(1-0.06)</f>
        <v>0</v>
      </c>
      <c r="AE391" s="71">
        <f ca="1">((SUBSIDIO!$L$391*SUBSIDIO!$Z$391)+(SUBSIDIO!$N$391*SUBSIDIO!$AA$391))*(0.06)/(1-0.06)</f>
        <v>18.80614182989844</v>
      </c>
      <c r="AF391" s="4" t="s">
        <v>1151</v>
      </c>
    </row>
    <row r="392" spans="1:32" ht="11.25" customHeight="1" x14ac:dyDescent="0.25">
      <c r="A392" s="4" t="s">
        <v>21</v>
      </c>
      <c r="B392" s="4" t="s">
        <v>33</v>
      </c>
      <c r="C392" s="4" t="s">
        <v>34</v>
      </c>
      <c r="D392" s="4" t="s">
        <v>47</v>
      </c>
      <c r="E392" s="4" t="s">
        <v>55</v>
      </c>
      <c r="F392" s="4" t="s">
        <v>25</v>
      </c>
      <c r="G392" s="4" t="s">
        <v>25</v>
      </c>
      <c r="H392" s="4" t="s">
        <v>35</v>
      </c>
      <c r="I392" s="5">
        <v>43891</v>
      </c>
      <c r="J392" s="6">
        <v>0</v>
      </c>
      <c r="K392" s="71">
        <v>0</v>
      </c>
      <c r="L392" s="6">
        <v>5.4989999999999997</v>
      </c>
      <c r="M392" s="71">
        <v>5.4989999999999997</v>
      </c>
      <c r="N392" s="6">
        <v>5.4989999999999997</v>
      </c>
      <c r="O392" s="71">
        <v>5.4989999999999997</v>
      </c>
      <c r="P392" s="6">
        <v>0</v>
      </c>
      <c r="Q392" s="4" t="s">
        <v>26</v>
      </c>
      <c r="R392" s="4">
        <v>0</v>
      </c>
      <c r="S392" s="4">
        <v>0</v>
      </c>
      <c r="T392" s="4">
        <v>27</v>
      </c>
      <c r="U392" s="4">
        <v>81</v>
      </c>
      <c r="V392" s="71">
        <f>IF(ISERROR(VLOOKUP($S$392,'TAR FIN'!$A$1:$O$120,15,0)),0,VLOOKUP($S$392,'TAR FIN'!$A$1:$O$120,15,0))</f>
        <v>0</v>
      </c>
      <c r="W392" s="71">
        <f>IF(ISERROR(VLOOKUP($T$392,'TAR FIN'!$A$1:$O$120,15,0)),0,VLOOKUP($T$392,'TAR FIN'!$A$1:$O$120,15,0))*(1-0.08)</f>
        <v>590.63080000000002</v>
      </c>
      <c r="X392" s="71">
        <f>IF(ISERROR(VLOOKUP($U$392,'TAR FIN'!$A$1:$O$120,15,0)),0,VLOOKUP($U$392,'TAR FIN'!$A$1:$O$120,15,0))*(1-0.08)</f>
        <v>396.40040000000005</v>
      </c>
      <c r="Y392" s="71"/>
      <c r="Z392" s="71">
        <f ca="1">('TUSD BE'!$AM$33+'TUSD BF'!$AM$33+'TUSD CVA'!$AM$33)*1*(1-0.06)</f>
        <v>702.86961706946545</v>
      </c>
      <c r="AA392" s="71">
        <f>('TE BE'!$AA$10+'TE BF'!$AA$10+'TE CVA'!$AA$10)*1*(1-0.06)</f>
        <v>353.15029452578722</v>
      </c>
      <c r="AB392" s="71">
        <f>(SUBSIDIO!$J$392*SUBSIDIO!$V$392)*(0.08)/(1-0.08)</f>
        <v>0</v>
      </c>
      <c r="AC392" s="71">
        <f>((SUBSIDIO!$L$392*SUBSIDIO!$W$392)+(SUBSIDIO!$N$392*SUBSIDIO!$X$392))*(0.08)/(1-0.08)</f>
        <v>471.9725712</v>
      </c>
      <c r="AD392" s="71">
        <f>(SUBSIDIO!$J$392*SUBSIDIO!$Y$392)*(0.06)/(1-0.06)</f>
        <v>0</v>
      </c>
      <c r="AE392" s="71">
        <f ca="1">((SUBSIDIO!$L$392*SUBSIDIO!$Z$392)+(SUBSIDIO!$N$392*SUBSIDIO!$AA$392))*(0.06)/(1-0.06)</f>
        <v>370.66298896993368</v>
      </c>
      <c r="AF392" s="4" t="s">
        <v>1151</v>
      </c>
    </row>
    <row r="393" spans="1:32" ht="11.25" customHeight="1" x14ac:dyDescent="0.25">
      <c r="A393" s="4" t="s">
        <v>27</v>
      </c>
      <c r="B393" s="4" t="s">
        <v>33</v>
      </c>
      <c r="C393" s="4" t="s">
        <v>34</v>
      </c>
      <c r="D393" s="4" t="s">
        <v>47</v>
      </c>
      <c r="E393" s="4" t="s">
        <v>55</v>
      </c>
      <c r="F393" s="4" t="s">
        <v>25</v>
      </c>
      <c r="G393" s="4" t="s">
        <v>25</v>
      </c>
      <c r="H393" s="4" t="s">
        <v>35</v>
      </c>
      <c r="I393" s="5">
        <v>43891</v>
      </c>
      <c r="J393" s="6">
        <v>0</v>
      </c>
      <c r="K393" s="71">
        <v>0</v>
      </c>
      <c r="L393" s="6">
        <v>0.23400000000000001</v>
      </c>
      <c r="M393" s="71">
        <v>0.23400000000000001</v>
      </c>
      <c r="N393" s="6">
        <v>0.23400000000000001</v>
      </c>
      <c r="O393" s="71">
        <v>0.23400000000000001</v>
      </c>
      <c r="P393" s="6">
        <v>0</v>
      </c>
      <c r="Q393" s="4" t="s">
        <v>26</v>
      </c>
      <c r="R393" s="4">
        <v>0</v>
      </c>
      <c r="S393" s="4">
        <v>0</v>
      </c>
      <c r="T393" s="4">
        <v>27</v>
      </c>
      <c r="U393" s="4">
        <v>81</v>
      </c>
      <c r="V393" s="71">
        <f>IF(ISERROR(VLOOKUP($S$393,'TAR FIN'!$A$1:$O$120,15,0)),0,VLOOKUP($S$393,'TAR FIN'!$A$1:$O$120,15,0))</f>
        <v>0</v>
      </c>
      <c r="W393" s="71">
        <f>IF(ISERROR(VLOOKUP($T$393,'TAR FIN'!$A$1:$O$120,15,0)),0,VLOOKUP($T$393,'TAR FIN'!$A$1:$O$120,15,0))*(1-0.08)</f>
        <v>590.63080000000002</v>
      </c>
      <c r="X393" s="71">
        <f>IF(ISERROR(VLOOKUP($U$393,'TAR FIN'!$A$1:$O$120,15,0)),0,VLOOKUP($U$393,'TAR FIN'!$A$1:$O$120,15,0))*(1-0.08)</f>
        <v>396.40040000000005</v>
      </c>
      <c r="Y393" s="71"/>
      <c r="Z393" s="71">
        <f ca="1">('TUSD BE'!$AM$33+'TUSD BF'!$AM$33+'TUSD CVA'!$AM$33)*1*(1-0.06)</f>
        <v>702.86961706946545</v>
      </c>
      <c r="AA393" s="71">
        <f>('TE BE'!$AA$10+'TE BF'!$AA$10+'TE CVA'!$AA$10)*1*(1-0.06)</f>
        <v>353.15029452578722</v>
      </c>
      <c r="AB393" s="71">
        <f>(SUBSIDIO!$J$393*SUBSIDIO!$V$393)*(0.08)/(1-0.08)</f>
        <v>0</v>
      </c>
      <c r="AC393" s="71">
        <f>((SUBSIDIO!$L$393*SUBSIDIO!$W$393)+(SUBSIDIO!$N$393*SUBSIDIO!$X$393))*(0.08)/(1-0.08)</f>
        <v>20.0839392</v>
      </c>
      <c r="AD393" s="71">
        <f>(SUBSIDIO!$J$393*SUBSIDIO!$Y$393)*(0.06)/(1-0.06)</f>
        <v>0</v>
      </c>
      <c r="AE393" s="71">
        <f ca="1">((SUBSIDIO!$L$393*SUBSIDIO!$Z$393)+(SUBSIDIO!$N$393*SUBSIDIO!$AA$393))*(0.06)/(1-0.06)</f>
        <v>15.772893147656754</v>
      </c>
      <c r="AF393" s="4" t="s">
        <v>1151</v>
      </c>
    </row>
    <row r="394" spans="1:32" ht="11.25" customHeight="1" x14ac:dyDescent="0.25">
      <c r="A394" s="4" t="s">
        <v>21</v>
      </c>
      <c r="B394" s="4" t="s">
        <v>33</v>
      </c>
      <c r="C394" s="4" t="s">
        <v>34</v>
      </c>
      <c r="D394" s="4" t="s">
        <v>47</v>
      </c>
      <c r="E394" s="4" t="s">
        <v>55</v>
      </c>
      <c r="F394" s="4" t="s">
        <v>25</v>
      </c>
      <c r="G394" s="4" t="s">
        <v>25</v>
      </c>
      <c r="H394" s="4" t="s">
        <v>35</v>
      </c>
      <c r="I394" s="5">
        <v>43922</v>
      </c>
      <c r="J394" s="6">
        <v>0</v>
      </c>
      <c r="K394" s="71">
        <v>0</v>
      </c>
      <c r="L394" s="6">
        <v>6.6459999999999999</v>
      </c>
      <c r="M394" s="71">
        <v>6.6459999999999999</v>
      </c>
      <c r="N394" s="6">
        <v>6.6459999999999999</v>
      </c>
      <c r="O394" s="71">
        <v>6.6459999999999999</v>
      </c>
      <c r="P394" s="6">
        <v>0</v>
      </c>
      <c r="Q394" s="4" t="s">
        <v>26</v>
      </c>
      <c r="R394" s="4">
        <v>0</v>
      </c>
      <c r="S394" s="4">
        <v>0</v>
      </c>
      <c r="T394" s="4">
        <v>27</v>
      </c>
      <c r="U394" s="4">
        <v>81</v>
      </c>
      <c r="V394" s="71">
        <f>IF(ISERROR(VLOOKUP($S$394,'TAR FIN'!$A$1:$O$120,15,0)),0,VLOOKUP($S$394,'TAR FIN'!$A$1:$O$120,15,0))</f>
        <v>0</v>
      </c>
      <c r="W394" s="71">
        <f>IF(ISERROR(VLOOKUP($T$394,'TAR FIN'!$A$1:$O$120,15,0)),0,VLOOKUP($T$394,'TAR FIN'!$A$1:$O$120,15,0))*(1-0.08)</f>
        <v>590.63080000000002</v>
      </c>
      <c r="X394" s="71">
        <f>IF(ISERROR(VLOOKUP($U$394,'TAR FIN'!$A$1:$O$120,15,0)),0,VLOOKUP($U$394,'TAR FIN'!$A$1:$O$120,15,0))*(1-0.08)</f>
        <v>396.40040000000005</v>
      </c>
      <c r="Y394" s="71"/>
      <c r="Z394" s="71">
        <f ca="1">('TUSD BE'!$AM$33+'TUSD BF'!$AM$33+'TUSD CVA'!$AM$33)*1*(1-0.06)</f>
        <v>702.86961706946545</v>
      </c>
      <c r="AA394" s="71">
        <f>('TE BE'!$AA$10+'TE BF'!$AA$10+'TE CVA'!$AA$10)*1*(1-0.06)</f>
        <v>353.15029452578722</v>
      </c>
      <c r="AB394" s="71">
        <f>(SUBSIDIO!$J$394*SUBSIDIO!$V$394)*(0.08)/(1-0.08)</f>
        <v>0</v>
      </c>
      <c r="AC394" s="71">
        <f>((SUBSIDIO!$L$394*SUBSIDIO!$W$394)+(SUBSIDIO!$N$394*SUBSIDIO!$X$394))*(0.08)/(1-0.08)</f>
        <v>570.41820480000001</v>
      </c>
      <c r="AD394" s="71">
        <f>(SUBSIDIO!$J$394*SUBSIDIO!$Y$394)*(0.06)/(1-0.06)</f>
        <v>0</v>
      </c>
      <c r="AE394" s="71">
        <f ca="1">((SUBSIDIO!$L$394*SUBSIDIO!$Z$394)+(SUBSIDIO!$N$394*SUBSIDIO!$AA$394))*(0.06)/(1-0.06)</f>
        <v>447.97712760396058</v>
      </c>
      <c r="AF394" s="4" t="s">
        <v>1151</v>
      </c>
    </row>
    <row r="395" spans="1:32" ht="11.25" customHeight="1" x14ac:dyDescent="0.25">
      <c r="A395" s="4" t="s">
        <v>27</v>
      </c>
      <c r="B395" s="4" t="s">
        <v>33</v>
      </c>
      <c r="C395" s="4" t="s">
        <v>34</v>
      </c>
      <c r="D395" s="4" t="s">
        <v>47</v>
      </c>
      <c r="E395" s="4" t="s">
        <v>55</v>
      </c>
      <c r="F395" s="4" t="s">
        <v>25</v>
      </c>
      <c r="G395" s="4" t="s">
        <v>25</v>
      </c>
      <c r="H395" s="4" t="s">
        <v>35</v>
      </c>
      <c r="I395" s="5">
        <v>43922</v>
      </c>
      <c r="J395" s="6">
        <v>0</v>
      </c>
      <c r="K395" s="71">
        <v>0</v>
      </c>
      <c r="L395" s="6">
        <v>1.095</v>
      </c>
      <c r="M395" s="71">
        <v>1.095</v>
      </c>
      <c r="N395" s="6">
        <v>1.095</v>
      </c>
      <c r="O395" s="71">
        <v>1.095</v>
      </c>
      <c r="P395" s="6">
        <v>0</v>
      </c>
      <c r="Q395" s="4" t="s">
        <v>26</v>
      </c>
      <c r="R395" s="4">
        <v>0</v>
      </c>
      <c r="S395" s="4">
        <v>0</v>
      </c>
      <c r="T395" s="4">
        <v>27</v>
      </c>
      <c r="U395" s="4">
        <v>81</v>
      </c>
      <c r="V395" s="71">
        <f>IF(ISERROR(VLOOKUP($S$395,'TAR FIN'!$A$1:$O$120,15,0)),0,VLOOKUP($S$395,'TAR FIN'!$A$1:$O$120,15,0))</f>
        <v>0</v>
      </c>
      <c r="W395" s="71">
        <f>IF(ISERROR(VLOOKUP($T$395,'TAR FIN'!$A$1:$O$120,15,0)),0,VLOOKUP($T$395,'TAR FIN'!$A$1:$O$120,15,0))*(1-0.08)</f>
        <v>590.63080000000002</v>
      </c>
      <c r="X395" s="71">
        <f>IF(ISERROR(VLOOKUP($U$395,'TAR FIN'!$A$1:$O$120,15,0)),0,VLOOKUP($U$395,'TAR FIN'!$A$1:$O$120,15,0))*(1-0.08)</f>
        <v>396.40040000000005</v>
      </c>
      <c r="Y395" s="71"/>
      <c r="Z395" s="71">
        <f ca="1">('TUSD BE'!$AM$33+'TUSD BF'!$AM$33+'TUSD CVA'!$AM$33)*1*(1-0.06)</f>
        <v>702.86961706946545</v>
      </c>
      <c r="AA395" s="71">
        <f>('TE BE'!$AA$10+'TE BF'!$AA$10+'TE CVA'!$AA$10)*1*(1-0.06)</f>
        <v>353.15029452578722</v>
      </c>
      <c r="AB395" s="71">
        <f>(SUBSIDIO!$J$395*SUBSIDIO!$V$395)*(0.08)/(1-0.08)</f>
        <v>0</v>
      </c>
      <c r="AC395" s="71">
        <f>((SUBSIDIO!$L$395*SUBSIDIO!$W$395)+(SUBSIDIO!$N$395*SUBSIDIO!$X$395))*(0.08)/(1-0.08)</f>
        <v>93.98253600000001</v>
      </c>
      <c r="AD395" s="71">
        <f>(SUBSIDIO!$J$395*SUBSIDIO!$Y$395)*(0.06)/(1-0.06)</f>
        <v>0</v>
      </c>
      <c r="AE395" s="71">
        <f ca="1">((SUBSIDIO!$L$395*SUBSIDIO!$Z$395)+(SUBSIDIO!$N$395*SUBSIDIO!$AA$395))*(0.06)/(1-0.06)</f>
        <v>73.80905126788096</v>
      </c>
      <c r="AF395" s="4" t="s">
        <v>1151</v>
      </c>
    </row>
    <row r="396" spans="1:32" ht="11.25" customHeight="1" x14ac:dyDescent="0.25">
      <c r="A396" s="4" t="s">
        <v>21</v>
      </c>
      <c r="B396" s="4" t="s">
        <v>33</v>
      </c>
      <c r="C396" s="4" t="s">
        <v>34</v>
      </c>
      <c r="D396" s="4" t="s">
        <v>47</v>
      </c>
      <c r="E396" s="4" t="s">
        <v>55</v>
      </c>
      <c r="F396" s="4" t="s">
        <v>25</v>
      </c>
      <c r="G396" s="4" t="s">
        <v>25</v>
      </c>
      <c r="H396" s="4" t="s">
        <v>35</v>
      </c>
      <c r="I396" s="5">
        <v>43952</v>
      </c>
      <c r="J396" s="6">
        <v>0</v>
      </c>
      <c r="K396" s="71">
        <v>0</v>
      </c>
      <c r="L396" s="6">
        <v>14.085000000000001</v>
      </c>
      <c r="M396" s="71">
        <v>14.085000000000001</v>
      </c>
      <c r="N396" s="6">
        <v>14.085000000000001</v>
      </c>
      <c r="O396" s="71">
        <v>14.085000000000001</v>
      </c>
      <c r="P396" s="6">
        <v>0</v>
      </c>
      <c r="Q396" s="4" t="s">
        <v>26</v>
      </c>
      <c r="R396" s="4">
        <v>0</v>
      </c>
      <c r="S396" s="4">
        <v>0</v>
      </c>
      <c r="T396" s="4">
        <v>27</v>
      </c>
      <c r="U396" s="4">
        <v>81</v>
      </c>
      <c r="V396" s="71">
        <f>IF(ISERROR(VLOOKUP($S$396,'TAR FIN'!$A$1:$O$120,15,0)),0,VLOOKUP($S$396,'TAR FIN'!$A$1:$O$120,15,0))</f>
        <v>0</v>
      </c>
      <c r="W396" s="71">
        <f>IF(ISERROR(VLOOKUP($T$396,'TAR FIN'!$A$1:$O$120,15,0)),0,VLOOKUP($T$396,'TAR FIN'!$A$1:$O$120,15,0))*(1-0.08)</f>
        <v>590.63080000000002</v>
      </c>
      <c r="X396" s="71">
        <f>IF(ISERROR(VLOOKUP($U$396,'TAR FIN'!$A$1:$O$120,15,0)),0,VLOOKUP($U$396,'TAR FIN'!$A$1:$O$120,15,0))*(1-0.08)</f>
        <v>396.40040000000005</v>
      </c>
      <c r="Y396" s="71"/>
      <c r="Z396" s="71">
        <f ca="1">('TUSD BE'!$AM$33+'TUSD BF'!$AM$33+'TUSD CVA'!$AM$33)*1*(1-0.06)</f>
        <v>702.86961706946545</v>
      </c>
      <c r="AA396" s="71">
        <f>('TE BE'!$AA$10+'TE BF'!$AA$10+'TE CVA'!$AA$10)*1*(1-0.06)</f>
        <v>353.15029452578722</v>
      </c>
      <c r="AB396" s="71">
        <f>(SUBSIDIO!$J$396*SUBSIDIO!$V$396)*(0.08)/(1-0.08)</f>
        <v>0</v>
      </c>
      <c r="AC396" s="71">
        <f>((SUBSIDIO!$L$396*SUBSIDIO!$W$396)+(SUBSIDIO!$N$396*SUBSIDIO!$X$396))*(0.08)/(1-0.08)</f>
        <v>1208.8986480000001</v>
      </c>
      <c r="AD396" s="71">
        <f>(SUBSIDIO!$J$396*SUBSIDIO!$Y$396)*(0.06)/(1-0.06)</f>
        <v>0</v>
      </c>
      <c r="AE396" s="71">
        <f ca="1">((SUBSIDIO!$L$396*SUBSIDIO!$Z$396)+(SUBSIDIO!$N$396*SUBSIDIO!$AA$396))*(0.06)/(1-0.06)</f>
        <v>949.40683754164684</v>
      </c>
      <c r="AF396" s="4" t="s">
        <v>1151</v>
      </c>
    </row>
    <row r="397" spans="1:32" ht="11.25" customHeight="1" x14ac:dyDescent="0.25">
      <c r="A397" s="4" t="s">
        <v>27</v>
      </c>
      <c r="B397" s="4" t="s">
        <v>33</v>
      </c>
      <c r="C397" s="4" t="s">
        <v>34</v>
      </c>
      <c r="D397" s="4" t="s">
        <v>47</v>
      </c>
      <c r="E397" s="4" t="s">
        <v>55</v>
      </c>
      <c r="F397" s="4" t="s">
        <v>25</v>
      </c>
      <c r="G397" s="4" t="s">
        <v>25</v>
      </c>
      <c r="H397" s="4" t="s">
        <v>35</v>
      </c>
      <c r="I397" s="5">
        <v>43952</v>
      </c>
      <c r="J397" s="6">
        <v>0</v>
      </c>
      <c r="K397" s="71">
        <v>0</v>
      </c>
      <c r="L397" s="6">
        <v>1.246</v>
      </c>
      <c r="M397" s="71">
        <v>1.246</v>
      </c>
      <c r="N397" s="6">
        <v>1.246</v>
      </c>
      <c r="O397" s="71">
        <v>1.246</v>
      </c>
      <c r="P397" s="6">
        <v>0</v>
      </c>
      <c r="Q397" s="4" t="s">
        <v>26</v>
      </c>
      <c r="R397" s="4">
        <v>0</v>
      </c>
      <c r="S397" s="4">
        <v>0</v>
      </c>
      <c r="T397" s="4">
        <v>27</v>
      </c>
      <c r="U397" s="4">
        <v>81</v>
      </c>
      <c r="V397" s="71">
        <f>IF(ISERROR(VLOOKUP($S$397,'TAR FIN'!$A$1:$O$120,15,0)),0,VLOOKUP($S$397,'TAR FIN'!$A$1:$O$120,15,0))</f>
        <v>0</v>
      </c>
      <c r="W397" s="71">
        <f>IF(ISERROR(VLOOKUP($T$397,'TAR FIN'!$A$1:$O$120,15,0)),0,VLOOKUP($T$397,'TAR FIN'!$A$1:$O$120,15,0))*(1-0.08)</f>
        <v>590.63080000000002</v>
      </c>
      <c r="X397" s="71">
        <f>IF(ISERROR(VLOOKUP($U$397,'TAR FIN'!$A$1:$O$120,15,0)),0,VLOOKUP($U$397,'TAR FIN'!$A$1:$O$120,15,0))*(1-0.08)</f>
        <v>396.40040000000005</v>
      </c>
      <c r="Y397" s="71"/>
      <c r="Z397" s="71">
        <f ca="1">('TUSD BE'!$AM$33+'TUSD BF'!$AM$33+'TUSD CVA'!$AM$33)*1*(1-0.06)</f>
        <v>702.86961706946545</v>
      </c>
      <c r="AA397" s="71">
        <f>('TE BE'!$AA$10+'TE BF'!$AA$10+'TE CVA'!$AA$10)*1*(1-0.06)</f>
        <v>353.15029452578722</v>
      </c>
      <c r="AB397" s="71">
        <f>(SUBSIDIO!$J$397*SUBSIDIO!$V$397)*(0.08)/(1-0.08)</f>
        <v>0</v>
      </c>
      <c r="AC397" s="71">
        <f>((SUBSIDIO!$L$397*SUBSIDIO!$W$397)+(SUBSIDIO!$N$397*SUBSIDIO!$X$397))*(0.08)/(1-0.08)</f>
        <v>106.94268479999999</v>
      </c>
      <c r="AD397" s="71">
        <f>(SUBSIDIO!$J$397*SUBSIDIO!$Y$397)*(0.06)/(1-0.06)</f>
        <v>0</v>
      </c>
      <c r="AE397" s="71">
        <f ca="1">((SUBSIDIO!$L$397*SUBSIDIO!$Z$397)+(SUBSIDIO!$N$397*SUBSIDIO!$AA$397))*(0.06)/(1-0.06)</f>
        <v>83.987285734958618</v>
      </c>
      <c r="AF397" s="4" t="s">
        <v>1151</v>
      </c>
    </row>
    <row r="398" spans="1:32" ht="11.25" customHeight="1" x14ac:dyDescent="0.25">
      <c r="A398" s="4" t="s">
        <v>21</v>
      </c>
      <c r="B398" s="4" t="s">
        <v>33</v>
      </c>
      <c r="C398" s="4" t="s">
        <v>34</v>
      </c>
      <c r="D398" s="4" t="s">
        <v>47</v>
      </c>
      <c r="E398" s="4" t="s">
        <v>55</v>
      </c>
      <c r="F398" s="4" t="s">
        <v>25</v>
      </c>
      <c r="G398" s="4" t="s">
        <v>25</v>
      </c>
      <c r="H398" s="4" t="s">
        <v>35</v>
      </c>
      <c r="I398" s="5">
        <v>43983</v>
      </c>
      <c r="J398" s="6">
        <v>0</v>
      </c>
      <c r="K398" s="71">
        <v>0</v>
      </c>
      <c r="L398" s="6">
        <v>33.988</v>
      </c>
      <c r="M398" s="71">
        <v>33.988</v>
      </c>
      <c r="N398" s="6">
        <v>33.988</v>
      </c>
      <c r="O398" s="71">
        <v>33.988</v>
      </c>
      <c r="P398" s="6">
        <v>0</v>
      </c>
      <c r="Q398" s="4" t="s">
        <v>26</v>
      </c>
      <c r="R398" s="4">
        <v>0</v>
      </c>
      <c r="S398" s="4">
        <v>0</v>
      </c>
      <c r="T398" s="4">
        <v>27</v>
      </c>
      <c r="U398" s="4">
        <v>81</v>
      </c>
      <c r="V398" s="71">
        <f>IF(ISERROR(VLOOKUP($S$398,'TAR FIN'!$A$1:$O$120,15,0)),0,VLOOKUP($S$398,'TAR FIN'!$A$1:$O$120,15,0))</f>
        <v>0</v>
      </c>
      <c r="W398" s="71">
        <f>IF(ISERROR(VLOOKUP($T$398,'TAR FIN'!$A$1:$O$120,15,0)),0,VLOOKUP($T$398,'TAR FIN'!$A$1:$O$120,15,0))*(1-0.08)</f>
        <v>590.63080000000002</v>
      </c>
      <c r="X398" s="71">
        <f>IF(ISERROR(VLOOKUP($U$398,'TAR FIN'!$A$1:$O$120,15,0)),0,VLOOKUP($U$398,'TAR FIN'!$A$1:$O$120,15,0))*(1-0.08)</f>
        <v>396.40040000000005</v>
      </c>
      <c r="Y398" s="71"/>
      <c r="Z398" s="71">
        <f ca="1">('TUSD BE'!$AM$33+'TUSD BF'!$AM$33+'TUSD CVA'!$AM$33)*1*(1-0.06)</f>
        <v>702.86961706946545</v>
      </c>
      <c r="AA398" s="71">
        <f>('TE BE'!$AA$10+'TE BF'!$AA$10+'TE CVA'!$AA$10)*1*(1-0.06)</f>
        <v>353.15029452578722</v>
      </c>
      <c r="AB398" s="71">
        <f>(SUBSIDIO!$J$398*SUBSIDIO!$V$398)*(0.08)/(1-0.08)</f>
        <v>0</v>
      </c>
      <c r="AC398" s="71">
        <f>((SUBSIDIO!$L$398*SUBSIDIO!$W$398)+(SUBSIDIO!$N$398*SUBSIDIO!$X$398))*(0.08)/(1-0.08)</f>
        <v>2917.1492544000002</v>
      </c>
      <c r="AD398" s="71">
        <f>(SUBSIDIO!$J$398*SUBSIDIO!$Y$398)*(0.06)/(1-0.06)</f>
        <v>0</v>
      </c>
      <c r="AE398" s="71">
        <f ca="1">((SUBSIDIO!$L$398*SUBSIDIO!$Z$398)+(SUBSIDIO!$N$398*SUBSIDIO!$AA$398))*(0.06)/(1-0.06)</f>
        <v>2290.9790269340078</v>
      </c>
      <c r="AF398" s="4" t="s">
        <v>1151</v>
      </c>
    </row>
    <row r="399" spans="1:32" ht="11.25" customHeight="1" x14ac:dyDescent="0.25">
      <c r="A399" s="4" t="s">
        <v>27</v>
      </c>
      <c r="B399" s="4" t="s">
        <v>33</v>
      </c>
      <c r="C399" s="4" t="s">
        <v>34</v>
      </c>
      <c r="D399" s="4" t="s">
        <v>47</v>
      </c>
      <c r="E399" s="4" t="s">
        <v>55</v>
      </c>
      <c r="F399" s="4" t="s">
        <v>25</v>
      </c>
      <c r="G399" s="4" t="s">
        <v>25</v>
      </c>
      <c r="H399" s="4" t="s">
        <v>35</v>
      </c>
      <c r="I399" s="5">
        <v>43983</v>
      </c>
      <c r="J399" s="6">
        <v>0</v>
      </c>
      <c r="K399" s="71">
        <v>0</v>
      </c>
      <c r="L399" s="6">
        <v>1.1439999999999999</v>
      </c>
      <c r="M399" s="71">
        <v>1.1439999999999999</v>
      </c>
      <c r="N399" s="6">
        <v>1.1439999999999999</v>
      </c>
      <c r="O399" s="71">
        <v>1.1439999999999999</v>
      </c>
      <c r="P399" s="6">
        <v>0</v>
      </c>
      <c r="Q399" s="4" t="s">
        <v>26</v>
      </c>
      <c r="R399" s="4">
        <v>0</v>
      </c>
      <c r="S399" s="4">
        <v>0</v>
      </c>
      <c r="T399" s="4">
        <v>27</v>
      </c>
      <c r="U399" s="4">
        <v>81</v>
      </c>
      <c r="V399" s="71">
        <f>IF(ISERROR(VLOOKUP($S$399,'TAR FIN'!$A$1:$O$120,15,0)),0,VLOOKUP($S$399,'TAR FIN'!$A$1:$O$120,15,0))</f>
        <v>0</v>
      </c>
      <c r="W399" s="71">
        <f>IF(ISERROR(VLOOKUP($T$399,'TAR FIN'!$A$1:$O$120,15,0)),0,VLOOKUP($T$399,'TAR FIN'!$A$1:$O$120,15,0))*(1-0.08)</f>
        <v>590.63080000000002</v>
      </c>
      <c r="X399" s="71">
        <f>IF(ISERROR(VLOOKUP($U$399,'TAR FIN'!$A$1:$O$120,15,0)),0,VLOOKUP($U$399,'TAR FIN'!$A$1:$O$120,15,0))*(1-0.08)</f>
        <v>396.40040000000005</v>
      </c>
      <c r="Y399" s="71"/>
      <c r="Z399" s="71">
        <f ca="1">('TUSD BE'!$AM$33+'TUSD BF'!$AM$33+'TUSD CVA'!$AM$33)*1*(1-0.06)</f>
        <v>702.86961706946545</v>
      </c>
      <c r="AA399" s="71">
        <f>('TE BE'!$AA$10+'TE BF'!$AA$10+'TE CVA'!$AA$10)*1*(1-0.06)</f>
        <v>353.15029452578722</v>
      </c>
      <c r="AB399" s="71">
        <f>(SUBSIDIO!$J$399*SUBSIDIO!$V$399)*(0.08)/(1-0.08)</f>
        <v>0</v>
      </c>
      <c r="AC399" s="71">
        <f>((SUBSIDIO!$L$399*SUBSIDIO!$W$399)+(SUBSIDIO!$N$399*SUBSIDIO!$X$399))*(0.08)/(1-0.08)</f>
        <v>98.188147200000003</v>
      </c>
      <c r="AD399" s="71">
        <f>(SUBSIDIO!$J$399*SUBSIDIO!$Y$399)*(0.06)/(1-0.06)</f>
        <v>0</v>
      </c>
      <c r="AE399" s="71">
        <f ca="1">((SUBSIDIO!$L$399*SUBSIDIO!$Z$399)+(SUBSIDIO!$N$399*SUBSIDIO!$AA$399))*(0.06)/(1-0.06)</f>
        <v>77.111922055210783</v>
      </c>
      <c r="AF399" s="4" t="s">
        <v>1151</v>
      </c>
    </row>
    <row r="400" spans="1:32" ht="11.25" customHeight="1" x14ac:dyDescent="0.25">
      <c r="A400" s="4" t="s">
        <v>21</v>
      </c>
      <c r="B400" s="4" t="s">
        <v>33</v>
      </c>
      <c r="C400" s="4" t="s">
        <v>34</v>
      </c>
      <c r="D400" s="4" t="s">
        <v>47</v>
      </c>
      <c r="E400" s="4" t="s">
        <v>55</v>
      </c>
      <c r="F400" s="4" t="s">
        <v>25</v>
      </c>
      <c r="G400" s="4" t="s">
        <v>25</v>
      </c>
      <c r="H400" s="4" t="s">
        <v>35</v>
      </c>
      <c r="I400" s="5">
        <v>44013</v>
      </c>
      <c r="J400" s="6">
        <v>0</v>
      </c>
      <c r="K400" s="71">
        <v>0</v>
      </c>
      <c r="L400" s="6">
        <v>29.946000000000002</v>
      </c>
      <c r="M400" s="71">
        <v>29.946000000000002</v>
      </c>
      <c r="N400" s="6">
        <v>29.946000000000002</v>
      </c>
      <c r="O400" s="71">
        <v>29.946000000000002</v>
      </c>
      <c r="P400" s="6">
        <v>0</v>
      </c>
      <c r="Q400" s="4" t="s">
        <v>26</v>
      </c>
      <c r="R400" s="4">
        <v>0</v>
      </c>
      <c r="S400" s="4">
        <v>0</v>
      </c>
      <c r="T400" s="4">
        <v>27</v>
      </c>
      <c r="U400" s="4">
        <v>81</v>
      </c>
      <c r="V400" s="71">
        <f>IF(ISERROR(VLOOKUP($S$400,'TAR FIN'!$A$1:$O$120,15,0)),0,VLOOKUP($S$400,'TAR FIN'!$A$1:$O$120,15,0))</f>
        <v>0</v>
      </c>
      <c r="W400" s="71">
        <f>IF(ISERROR(VLOOKUP($T$400,'TAR FIN'!$A$1:$O$120,15,0)),0,VLOOKUP($T$400,'TAR FIN'!$A$1:$O$120,15,0))*(1-0.08)</f>
        <v>590.63080000000002</v>
      </c>
      <c r="X400" s="71">
        <f>IF(ISERROR(VLOOKUP($U$400,'TAR FIN'!$A$1:$O$120,15,0)),0,VLOOKUP($U$400,'TAR FIN'!$A$1:$O$120,15,0))*(1-0.08)</f>
        <v>396.40040000000005</v>
      </c>
      <c r="Y400" s="71"/>
      <c r="Z400" s="71">
        <f ca="1">('TUSD BE'!$AM$33+'TUSD BF'!$AM$33+'TUSD CVA'!$AM$33)*1*(1-0.06)</f>
        <v>702.86961706946545</v>
      </c>
      <c r="AA400" s="71">
        <f>('TE BE'!$AA$10+'TE BF'!$AA$10+'TE CVA'!$AA$10)*1*(1-0.06)</f>
        <v>353.15029452578722</v>
      </c>
      <c r="AB400" s="71">
        <f>(SUBSIDIO!$J$400*SUBSIDIO!$V$400)*(0.08)/(1-0.08)</f>
        <v>0</v>
      </c>
      <c r="AC400" s="71">
        <f>((SUBSIDIO!$L$400*SUBSIDIO!$W$400)+(SUBSIDIO!$N$400*SUBSIDIO!$X$400))*(0.08)/(1-0.08)</f>
        <v>2570.2292448000003</v>
      </c>
      <c r="AD400" s="71">
        <f>(SUBSIDIO!$J$400*SUBSIDIO!$Y$400)*(0.06)/(1-0.06)</f>
        <v>0</v>
      </c>
      <c r="AE400" s="71">
        <f ca="1">((SUBSIDIO!$L$400*SUBSIDIO!$Z$400)+(SUBSIDIO!$N$400*SUBSIDIO!$AA$400))*(0.06)/(1-0.06)</f>
        <v>2018.5258897424324</v>
      </c>
      <c r="AF400" s="4" t="s">
        <v>1151</v>
      </c>
    </row>
    <row r="401" spans="1:32" ht="11.25" customHeight="1" x14ac:dyDescent="0.25">
      <c r="A401" s="4" t="s">
        <v>27</v>
      </c>
      <c r="B401" s="4" t="s">
        <v>33</v>
      </c>
      <c r="C401" s="4" t="s">
        <v>34</v>
      </c>
      <c r="D401" s="4" t="s">
        <v>47</v>
      </c>
      <c r="E401" s="4" t="s">
        <v>55</v>
      </c>
      <c r="F401" s="4" t="s">
        <v>25</v>
      </c>
      <c r="G401" s="4" t="s">
        <v>25</v>
      </c>
      <c r="H401" s="4" t="s">
        <v>35</v>
      </c>
      <c r="I401" s="5">
        <v>44013</v>
      </c>
      <c r="J401" s="6">
        <v>0</v>
      </c>
      <c r="K401" s="71">
        <v>0</v>
      </c>
      <c r="L401" s="6">
        <v>1.774</v>
      </c>
      <c r="M401" s="71">
        <v>1.774</v>
      </c>
      <c r="N401" s="6">
        <v>1.774</v>
      </c>
      <c r="O401" s="71">
        <v>1.774</v>
      </c>
      <c r="P401" s="6">
        <v>0</v>
      </c>
      <c r="Q401" s="4" t="s">
        <v>26</v>
      </c>
      <c r="R401" s="4">
        <v>0</v>
      </c>
      <c r="S401" s="4">
        <v>0</v>
      </c>
      <c r="T401" s="4">
        <v>27</v>
      </c>
      <c r="U401" s="4">
        <v>81</v>
      </c>
      <c r="V401" s="71">
        <f>IF(ISERROR(VLOOKUP($S$401,'TAR FIN'!$A$1:$O$120,15,0)),0,VLOOKUP($S$401,'TAR FIN'!$A$1:$O$120,15,0))</f>
        <v>0</v>
      </c>
      <c r="W401" s="71">
        <f>IF(ISERROR(VLOOKUP($T$401,'TAR FIN'!$A$1:$O$120,15,0)),0,VLOOKUP($T$401,'TAR FIN'!$A$1:$O$120,15,0))*(1-0.08)</f>
        <v>590.63080000000002</v>
      </c>
      <c r="X401" s="71">
        <f>IF(ISERROR(VLOOKUP($U$401,'TAR FIN'!$A$1:$O$120,15,0)),0,VLOOKUP($U$401,'TAR FIN'!$A$1:$O$120,15,0))*(1-0.08)</f>
        <v>396.40040000000005</v>
      </c>
      <c r="Y401" s="71"/>
      <c r="Z401" s="71">
        <f ca="1">('TUSD BE'!$AM$33+'TUSD BF'!$AM$33+'TUSD CVA'!$AM$33)*1*(1-0.06)</f>
        <v>702.86961706946545</v>
      </c>
      <c r="AA401" s="71">
        <f>('TE BE'!$AA$10+'TE BF'!$AA$10+'TE CVA'!$AA$10)*1*(1-0.06)</f>
        <v>353.15029452578722</v>
      </c>
      <c r="AB401" s="71">
        <f>(SUBSIDIO!$J$401*SUBSIDIO!$V$401)*(0.08)/(1-0.08)</f>
        <v>0</v>
      </c>
      <c r="AC401" s="71">
        <f>((SUBSIDIO!$L$401*SUBSIDIO!$W$401)+(SUBSIDIO!$N$401*SUBSIDIO!$X$401))*(0.08)/(1-0.08)</f>
        <v>152.26029120000001</v>
      </c>
      <c r="AD401" s="71">
        <f>(SUBSIDIO!$J$401*SUBSIDIO!$Y$401)*(0.06)/(1-0.06)</f>
        <v>0</v>
      </c>
      <c r="AE401" s="71">
        <f ca="1">((SUBSIDIO!$L$401*SUBSIDIO!$Z$401)+(SUBSIDIO!$N$401*SUBSIDIO!$AA$401))*(0.06)/(1-0.06)</f>
        <v>119.57740360659436</v>
      </c>
      <c r="AF401" s="4" t="s">
        <v>1151</v>
      </c>
    </row>
    <row r="402" spans="1:32" ht="11.25" customHeight="1" x14ac:dyDescent="0.25">
      <c r="A402" s="4" t="s">
        <v>21</v>
      </c>
      <c r="B402" s="4" t="s">
        <v>33</v>
      </c>
      <c r="C402" s="4" t="s">
        <v>34</v>
      </c>
      <c r="D402" s="4" t="s">
        <v>47</v>
      </c>
      <c r="E402" s="4" t="s">
        <v>55</v>
      </c>
      <c r="F402" s="4" t="s">
        <v>25</v>
      </c>
      <c r="G402" s="4" t="s">
        <v>25</v>
      </c>
      <c r="H402" s="4" t="s">
        <v>35</v>
      </c>
      <c r="I402" s="5">
        <v>44044</v>
      </c>
      <c r="J402" s="6">
        <v>0</v>
      </c>
      <c r="K402" s="71">
        <v>0</v>
      </c>
      <c r="L402" s="6">
        <v>30.613</v>
      </c>
      <c r="M402" s="71">
        <v>30.613</v>
      </c>
      <c r="N402" s="6">
        <v>30.613</v>
      </c>
      <c r="O402" s="71">
        <v>30.613</v>
      </c>
      <c r="P402" s="6">
        <v>0</v>
      </c>
      <c r="Q402" s="4" t="s">
        <v>26</v>
      </c>
      <c r="R402" s="4">
        <v>0</v>
      </c>
      <c r="S402" s="4">
        <v>0</v>
      </c>
      <c r="T402" s="4">
        <v>27</v>
      </c>
      <c r="U402" s="4">
        <v>81</v>
      </c>
      <c r="V402" s="71">
        <f>IF(ISERROR(VLOOKUP($S$402,'TAR FIN'!$A$1:$O$120,15,0)),0,VLOOKUP($S$402,'TAR FIN'!$A$1:$O$120,15,0))</f>
        <v>0</v>
      </c>
      <c r="W402" s="71">
        <f>IF(ISERROR(VLOOKUP($T$402,'TAR FIN'!$A$1:$O$120,15,0)),0,VLOOKUP($T$402,'TAR FIN'!$A$1:$O$120,15,0))*(1-0.08)</f>
        <v>590.63080000000002</v>
      </c>
      <c r="X402" s="71">
        <f>IF(ISERROR(VLOOKUP($U$402,'TAR FIN'!$A$1:$O$120,15,0)),0,VLOOKUP($U$402,'TAR FIN'!$A$1:$O$120,15,0))*(1-0.08)</f>
        <v>396.40040000000005</v>
      </c>
      <c r="Y402" s="71"/>
      <c r="Z402" s="71">
        <f ca="1">('TUSD BE'!$AM$33+'TUSD BF'!$AM$33+'TUSD CVA'!$AM$33)*1*(1-0.06)</f>
        <v>702.86961706946545</v>
      </c>
      <c r="AA402" s="71">
        <f>('TE BE'!$AA$10+'TE BF'!$AA$10+'TE CVA'!$AA$10)*1*(1-0.06)</f>
        <v>353.15029452578722</v>
      </c>
      <c r="AB402" s="71">
        <f>(SUBSIDIO!$J$402*SUBSIDIO!$V$402)*(0.08)/(1-0.08)</f>
        <v>0</v>
      </c>
      <c r="AC402" s="71">
        <f>((SUBSIDIO!$L$402*SUBSIDIO!$W$402)+(SUBSIDIO!$N$402*SUBSIDIO!$X$402))*(0.08)/(1-0.08)</f>
        <v>2627.4770543999998</v>
      </c>
      <c r="AD402" s="71">
        <f>(SUBSIDIO!$J$402*SUBSIDIO!$Y$402)*(0.06)/(1-0.06)</f>
        <v>0</v>
      </c>
      <c r="AE402" s="71">
        <f ca="1">((SUBSIDIO!$L$402*SUBSIDIO!$Z$402)+(SUBSIDIO!$N$402*SUBSIDIO!$AA$402))*(0.06)/(1-0.06)</f>
        <v>2063.4853757658811</v>
      </c>
      <c r="AF402" s="4" t="s">
        <v>1151</v>
      </c>
    </row>
    <row r="403" spans="1:32" ht="11.25" customHeight="1" x14ac:dyDescent="0.25">
      <c r="A403" s="4" t="s">
        <v>27</v>
      </c>
      <c r="B403" s="4" t="s">
        <v>33</v>
      </c>
      <c r="C403" s="4" t="s">
        <v>34</v>
      </c>
      <c r="D403" s="4" t="s">
        <v>47</v>
      </c>
      <c r="E403" s="4" t="s">
        <v>55</v>
      </c>
      <c r="F403" s="4" t="s">
        <v>25</v>
      </c>
      <c r="G403" s="4" t="s">
        <v>25</v>
      </c>
      <c r="H403" s="4" t="s">
        <v>35</v>
      </c>
      <c r="I403" s="5">
        <v>44044</v>
      </c>
      <c r="J403" s="6">
        <v>0</v>
      </c>
      <c r="K403" s="71">
        <v>0</v>
      </c>
      <c r="L403" s="6">
        <v>0.89900000000000002</v>
      </c>
      <c r="M403" s="71">
        <v>0.89900000000000002</v>
      </c>
      <c r="N403" s="6">
        <v>0.89900000000000002</v>
      </c>
      <c r="O403" s="71">
        <v>0.89900000000000002</v>
      </c>
      <c r="P403" s="6">
        <v>0</v>
      </c>
      <c r="Q403" s="4" t="s">
        <v>26</v>
      </c>
      <c r="R403" s="4">
        <v>0</v>
      </c>
      <c r="S403" s="4">
        <v>0</v>
      </c>
      <c r="T403" s="4">
        <v>27</v>
      </c>
      <c r="U403" s="4">
        <v>81</v>
      </c>
      <c r="V403" s="71">
        <f>IF(ISERROR(VLOOKUP($S$403,'TAR FIN'!$A$1:$O$120,15,0)),0,VLOOKUP($S$403,'TAR FIN'!$A$1:$O$120,15,0))</f>
        <v>0</v>
      </c>
      <c r="W403" s="71">
        <f>IF(ISERROR(VLOOKUP($T$403,'TAR FIN'!$A$1:$O$120,15,0)),0,VLOOKUP($T$403,'TAR FIN'!$A$1:$O$120,15,0))*(1-0.08)</f>
        <v>590.63080000000002</v>
      </c>
      <c r="X403" s="71">
        <f>IF(ISERROR(VLOOKUP($U$403,'TAR FIN'!$A$1:$O$120,15,0)),0,VLOOKUP($U$403,'TAR FIN'!$A$1:$O$120,15,0))*(1-0.08)</f>
        <v>396.40040000000005</v>
      </c>
      <c r="Y403" s="71"/>
      <c r="Z403" s="71">
        <f ca="1">('TUSD BE'!$AM$33+'TUSD BF'!$AM$33+'TUSD CVA'!$AM$33)*1*(1-0.06)</f>
        <v>702.86961706946545</v>
      </c>
      <c r="AA403" s="71">
        <f>('TE BE'!$AA$10+'TE BF'!$AA$10+'TE CVA'!$AA$10)*1*(1-0.06)</f>
        <v>353.15029452578722</v>
      </c>
      <c r="AB403" s="71">
        <f>(SUBSIDIO!$J$403*SUBSIDIO!$V$403)*(0.08)/(1-0.08)</f>
        <v>0</v>
      </c>
      <c r="AC403" s="71">
        <f>((SUBSIDIO!$L$403*SUBSIDIO!$W$403)+(SUBSIDIO!$N$403*SUBSIDIO!$X$403))*(0.08)/(1-0.08)</f>
        <v>77.160091200000011</v>
      </c>
      <c r="AD403" s="71">
        <f>(SUBSIDIO!$J$403*SUBSIDIO!$Y$403)*(0.06)/(1-0.06)</f>
        <v>0</v>
      </c>
      <c r="AE403" s="71">
        <f ca="1">((SUBSIDIO!$L$403*SUBSIDIO!$Z$403)+(SUBSIDIO!$N$403*SUBSIDIO!$AA$403))*(0.06)/(1-0.06)</f>
        <v>60.597568118561625</v>
      </c>
      <c r="AF403" s="4" t="s">
        <v>1151</v>
      </c>
    </row>
    <row r="404" spans="1:32" ht="11.25" customHeight="1" x14ac:dyDescent="0.25">
      <c r="A404" s="4" t="s">
        <v>59</v>
      </c>
      <c r="B404" s="4" t="s">
        <v>33</v>
      </c>
      <c r="C404" s="4" t="s">
        <v>34</v>
      </c>
      <c r="D404" s="4" t="s">
        <v>47</v>
      </c>
      <c r="E404" s="4" t="s">
        <v>55</v>
      </c>
      <c r="F404" s="4" t="s">
        <v>25</v>
      </c>
      <c r="G404" s="4" t="s">
        <v>25</v>
      </c>
      <c r="H404" s="4" t="s">
        <v>35</v>
      </c>
      <c r="I404" s="5">
        <v>44075</v>
      </c>
      <c r="J404" s="6">
        <v>0</v>
      </c>
      <c r="K404" s="71">
        <v>0</v>
      </c>
      <c r="L404" s="6">
        <v>30.613</v>
      </c>
      <c r="M404" s="71">
        <v>30.613</v>
      </c>
      <c r="N404" s="6">
        <v>30.613</v>
      </c>
      <c r="O404" s="71">
        <v>30.613</v>
      </c>
      <c r="P404" s="6">
        <v>0</v>
      </c>
      <c r="Q404" s="4" t="s">
        <v>26</v>
      </c>
      <c r="R404" s="4">
        <v>0</v>
      </c>
      <c r="S404" s="4">
        <v>0</v>
      </c>
      <c r="T404" s="4">
        <v>27</v>
      </c>
      <c r="U404" s="4">
        <v>81</v>
      </c>
      <c r="V404" s="71">
        <f>IF(ISERROR(VLOOKUP($S$404,'TAR FIN'!$A$1:$O$120,15,0)),0,VLOOKUP($S$404,'TAR FIN'!$A$1:$O$120,15,0))</f>
        <v>0</v>
      </c>
      <c r="W404" s="71">
        <f>IF(ISERROR(VLOOKUP($T$404,'TAR FIN'!$A$1:$O$120,15,0)),0,VLOOKUP($T$404,'TAR FIN'!$A$1:$O$120,15,0))*(1-0.08)</f>
        <v>590.63080000000002</v>
      </c>
      <c r="X404" s="71">
        <f>IF(ISERROR(VLOOKUP($U$404,'TAR FIN'!$A$1:$O$120,15,0)),0,VLOOKUP($U$404,'TAR FIN'!$A$1:$O$120,15,0))*(1-0.08)</f>
        <v>396.40040000000005</v>
      </c>
      <c r="Y404" s="71"/>
      <c r="Z404" s="71">
        <f ca="1">('TUSD BE'!$AM$33+'TUSD BF'!$AM$33+'TUSD CVA'!$AM$33)*1*(1-0.06)</f>
        <v>702.86961706946545</v>
      </c>
      <c r="AA404" s="71">
        <f>('TE BE'!$AA$10+'TE BF'!$AA$10+'TE CVA'!$AA$10)*1*(1-0.06)</f>
        <v>353.15029452578722</v>
      </c>
      <c r="AB404" s="71">
        <f>(SUBSIDIO!$J$404*SUBSIDIO!$V$404)*(0.08)/(1-0.08)</f>
        <v>0</v>
      </c>
      <c r="AC404" s="71">
        <f>((SUBSIDIO!$L$404*SUBSIDIO!$W$404)+(SUBSIDIO!$N$404*SUBSIDIO!$X$404))*(0.08)/(1-0.08)</f>
        <v>2627.4770543999998</v>
      </c>
      <c r="AD404" s="71">
        <f>(SUBSIDIO!$J$404*SUBSIDIO!$Y$404)*(0.06)/(1-0.06)</f>
        <v>0</v>
      </c>
      <c r="AE404" s="71">
        <f ca="1">((SUBSIDIO!$L$404*SUBSIDIO!$Z$404)+(SUBSIDIO!$N$404*SUBSIDIO!$AA$404))*(0.06)/(1-0.06)</f>
        <v>2063.4853757658811</v>
      </c>
      <c r="AF404" s="4" t="s">
        <v>1151</v>
      </c>
    </row>
    <row r="405" spans="1:32" ht="11.25" customHeight="1" x14ac:dyDescent="0.25">
      <c r="A405" s="4" t="s">
        <v>59</v>
      </c>
      <c r="B405" s="4" t="s">
        <v>33</v>
      </c>
      <c r="C405" s="4" t="s">
        <v>34</v>
      </c>
      <c r="D405" s="4" t="s">
        <v>47</v>
      </c>
      <c r="E405" s="4" t="s">
        <v>55</v>
      </c>
      <c r="F405" s="4" t="s">
        <v>25</v>
      </c>
      <c r="G405" s="4" t="s">
        <v>25</v>
      </c>
      <c r="H405" s="4" t="s">
        <v>35</v>
      </c>
      <c r="I405" s="5">
        <v>44075</v>
      </c>
      <c r="J405" s="6">
        <v>0</v>
      </c>
      <c r="K405" s="71">
        <v>0</v>
      </c>
      <c r="L405" s="6">
        <v>0.89900000000000002</v>
      </c>
      <c r="M405" s="71">
        <v>0.89900000000000002</v>
      </c>
      <c r="N405" s="6">
        <v>0.89900000000000002</v>
      </c>
      <c r="O405" s="71">
        <v>0.89900000000000002</v>
      </c>
      <c r="P405" s="6">
        <v>0</v>
      </c>
      <c r="Q405" s="4" t="s">
        <v>26</v>
      </c>
      <c r="R405" s="4">
        <v>0</v>
      </c>
      <c r="S405" s="4">
        <v>0</v>
      </c>
      <c r="T405" s="4">
        <v>27</v>
      </c>
      <c r="U405" s="4">
        <v>81</v>
      </c>
      <c r="V405" s="71">
        <f>IF(ISERROR(VLOOKUP($S$405,'TAR FIN'!$A$1:$O$120,15,0)),0,VLOOKUP($S$405,'TAR FIN'!$A$1:$O$120,15,0))</f>
        <v>0</v>
      </c>
      <c r="W405" s="71">
        <f>IF(ISERROR(VLOOKUP($T$405,'TAR FIN'!$A$1:$O$120,15,0)),0,VLOOKUP($T$405,'TAR FIN'!$A$1:$O$120,15,0))*(1-0.08)</f>
        <v>590.63080000000002</v>
      </c>
      <c r="X405" s="71">
        <f>IF(ISERROR(VLOOKUP($U$405,'TAR FIN'!$A$1:$O$120,15,0)),0,VLOOKUP($U$405,'TAR FIN'!$A$1:$O$120,15,0))*(1-0.08)</f>
        <v>396.40040000000005</v>
      </c>
      <c r="Y405" s="71"/>
      <c r="Z405" s="71">
        <f ca="1">('TUSD BE'!$AM$33+'TUSD BF'!$AM$33+'TUSD CVA'!$AM$33)*1*(1-0.06)</f>
        <v>702.86961706946545</v>
      </c>
      <c r="AA405" s="71">
        <f>('TE BE'!$AA$10+'TE BF'!$AA$10+'TE CVA'!$AA$10)*1*(1-0.06)</f>
        <v>353.15029452578722</v>
      </c>
      <c r="AB405" s="71">
        <f>(SUBSIDIO!$J$405*SUBSIDIO!$V$405)*(0.08)/(1-0.08)</f>
        <v>0</v>
      </c>
      <c r="AC405" s="71">
        <f>((SUBSIDIO!$L$405*SUBSIDIO!$W$405)+(SUBSIDIO!$N$405*SUBSIDIO!$X$405))*(0.08)/(1-0.08)</f>
        <v>77.160091200000011</v>
      </c>
      <c r="AD405" s="71">
        <f>(SUBSIDIO!$J$405*SUBSIDIO!$Y$405)*(0.06)/(1-0.06)</f>
        <v>0</v>
      </c>
      <c r="AE405" s="71">
        <f ca="1">((SUBSIDIO!$L$405*SUBSIDIO!$Z$405)+(SUBSIDIO!$N$405*SUBSIDIO!$AA$405))*(0.06)/(1-0.06)</f>
        <v>60.597568118561625</v>
      </c>
      <c r="AF405" s="4" t="s">
        <v>1151</v>
      </c>
    </row>
    <row r="406" spans="1:32" ht="11.25" customHeight="1" x14ac:dyDescent="0.25">
      <c r="A406" s="4" t="s">
        <v>21</v>
      </c>
      <c r="B406" s="4" t="s">
        <v>33</v>
      </c>
      <c r="C406" s="4" t="s">
        <v>34</v>
      </c>
      <c r="D406" s="4" t="s">
        <v>47</v>
      </c>
      <c r="E406" s="4" t="s">
        <v>25</v>
      </c>
      <c r="F406" s="4" t="s">
        <v>25</v>
      </c>
      <c r="G406" s="4" t="s">
        <v>25</v>
      </c>
      <c r="H406" s="4" t="s">
        <v>36</v>
      </c>
      <c r="I406" s="5">
        <v>43739</v>
      </c>
      <c r="J406" s="6">
        <v>0</v>
      </c>
      <c r="K406" s="71">
        <v>0</v>
      </c>
      <c r="L406" s="6">
        <v>1858.81</v>
      </c>
      <c r="M406" s="71">
        <v>1858.81</v>
      </c>
      <c r="N406" s="6">
        <v>1858.81</v>
      </c>
      <c r="O406" s="71">
        <v>1858.81</v>
      </c>
      <c r="P406" s="6">
        <v>0</v>
      </c>
      <c r="Q406" s="4" t="s">
        <v>26</v>
      </c>
      <c r="R406" s="4">
        <v>0</v>
      </c>
      <c r="S406" s="4">
        <v>0</v>
      </c>
      <c r="T406" s="4">
        <v>28</v>
      </c>
      <c r="U406" s="4">
        <v>82</v>
      </c>
      <c r="V406" s="71">
        <f>IF(ISERROR(VLOOKUP($S$406,'TAR FIN'!$A$1:$O$120,15,0)),0,VLOOKUP($S$406,'TAR FIN'!$A$1:$O$120,15,0))</f>
        <v>0</v>
      </c>
      <c r="W406" s="71">
        <f>IF(ISERROR(VLOOKUP($T$406,'TAR FIN'!$A$1:$O$120,15,0)),0,VLOOKUP($T$406,'TAR FIN'!$A$1:$O$120,15,0))*(1-0.08)</f>
        <v>77.694000000000003</v>
      </c>
      <c r="X406" s="71">
        <f>IF(ISERROR(VLOOKUP($U$406,'TAR FIN'!$A$1:$O$120,15,0)),0,VLOOKUP($U$406,'TAR FIN'!$A$1:$O$120,15,0))*(1-0.08)</f>
        <v>235.86960000000002</v>
      </c>
      <c r="Y406" s="71"/>
      <c r="Z406" s="71">
        <f ca="1">('TUSD BE'!$AM$34+'TUSD BF'!$AM$34+'TUSD CVA'!$AM$34)*1*(1-0.06)</f>
        <v>82.268200247339408</v>
      </c>
      <c r="AA406" s="71">
        <f>('TE BE'!$AA$11+'TE BF'!$AA$11+'TE CVA'!$AA$11)*1*(1-0.06)</f>
        <v>216.98415684477786</v>
      </c>
      <c r="AB406" s="71">
        <f>(SUBSIDIO!$J$406*SUBSIDIO!$V$406)*(0.08)/(1-0.08)</f>
        <v>0</v>
      </c>
      <c r="AC406" s="71">
        <f>((SUBSIDIO!$L$406*SUBSIDIO!$W$406)+(SUBSIDIO!$N$406*SUBSIDIO!$X$406))*(0.08)/(1-0.08)</f>
        <v>50683.056984000003</v>
      </c>
      <c r="AD406" s="71">
        <f>(SUBSIDIO!$J$406*SUBSIDIO!$Y$406)*(0.06)/(1-0.06)</f>
        <v>0</v>
      </c>
      <c r="AE406" s="71">
        <f ca="1">((SUBSIDIO!$L$406*SUBSIDIO!$Z$406)+(SUBSIDIO!$N$406*SUBSIDIO!$AA$406))*(0.06)/(1-0.06)</f>
        <v>35505.528120408417</v>
      </c>
      <c r="AF406" s="4" t="s">
        <v>1151</v>
      </c>
    </row>
    <row r="407" spans="1:32" ht="11.25" customHeight="1" x14ac:dyDescent="0.25">
      <c r="A407" s="4" t="s">
        <v>28</v>
      </c>
      <c r="B407" s="4" t="s">
        <v>33</v>
      </c>
      <c r="C407" s="4" t="s">
        <v>34</v>
      </c>
      <c r="D407" s="4" t="s">
        <v>47</v>
      </c>
      <c r="E407" s="4" t="s">
        <v>25</v>
      </c>
      <c r="F407" s="4" t="s">
        <v>25</v>
      </c>
      <c r="G407" s="4" t="s">
        <v>25</v>
      </c>
      <c r="H407" s="4" t="s">
        <v>36</v>
      </c>
      <c r="I407" s="5">
        <v>43739</v>
      </c>
      <c r="J407" s="6">
        <v>0</v>
      </c>
      <c r="K407" s="71">
        <v>0</v>
      </c>
      <c r="L407" s="6">
        <v>25.309000000000001</v>
      </c>
      <c r="M407" s="71">
        <v>25.309000000000001</v>
      </c>
      <c r="N407" s="6">
        <v>25.309000000000001</v>
      </c>
      <c r="O407" s="71">
        <v>25.309000000000001</v>
      </c>
      <c r="P407" s="6">
        <v>0</v>
      </c>
      <c r="Q407" s="4" t="s">
        <v>26</v>
      </c>
      <c r="R407" s="4">
        <v>0</v>
      </c>
      <c r="S407" s="4">
        <v>0</v>
      </c>
      <c r="T407" s="4">
        <v>28</v>
      </c>
      <c r="U407" s="4">
        <v>82</v>
      </c>
      <c r="V407" s="71">
        <f>IF(ISERROR(VLOOKUP($S$407,'TAR FIN'!$A$1:$O$120,15,0)),0,VLOOKUP($S$407,'TAR FIN'!$A$1:$O$120,15,0))</f>
        <v>0</v>
      </c>
      <c r="W407" s="71">
        <f>IF(ISERROR(VLOOKUP($T$407,'TAR FIN'!$A$1:$O$120,15,0)),0,VLOOKUP($T$407,'TAR FIN'!$A$1:$O$120,15,0))*(1-0.08)</f>
        <v>77.694000000000003</v>
      </c>
      <c r="X407" s="71">
        <f>IF(ISERROR(VLOOKUP($U$407,'TAR FIN'!$A$1:$O$120,15,0)),0,VLOOKUP($U$407,'TAR FIN'!$A$1:$O$120,15,0))*(1-0.08)</f>
        <v>235.86960000000002</v>
      </c>
      <c r="Y407" s="71"/>
      <c r="Z407" s="71">
        <f ca="1">('TUSD BE'!$AM$34+'TUSD BF'!$AM$34+'TUSD CVA'!$AM$34)*1*(1-0.06)</f>
        <v>82.268200247339408</v>
      </c>
      <c r="AA407" s="71">
        <f>('TE BE'!$AA$11+'TE BF'!$AA$11+'TE CVA'!$AA$11)*1*(1-0.06)</f>
        <v>216.98415684477786</v>
      </c>
      <c r="AB407" s="71">
        <f>(SUBSIDIO!$J$407*SUBSIDIO!$V$407)*(0.08)/(1-0.08)</f>
        <v>0</v>
      </c>
      <c r="AC407" s="71">
        <f>((SUBSIDIO!$L$407*SUBSIDIO!$W$407)+(SUBSIDIO!$N$407*SUBSIDIO!$X$407))*(0.08)/(1-0.08)</f>
        <v>690.08531760000005</v>
      </c>
      <c r="AD407" s="71">
        <f>(SUBSIDIO!$J$407*SUBSIDIO!$Y$407)*(0.06)/(1-0.06)</f>
        <v>0</v>
      </c>
      <c r="AE407" s="71">
        <f ca="1">((SUBSIDIO!$L$407*SUBSIDIO!$Z$407)+(SUBSIDIO!$N$407*SUBSIDIO!$AA$407))*(0.06)/(1-0.06)</f>
        <v>483.43263227517423</v>
      </c>
      <c r="AF407" s="4" t="s">
        <v>1151</v>
      </c>
    </row>
    <row r="408" spans="1:32" ht="11.25" customHeight="1" x14ac:dyDescent="0.25">
      <c r="A408" s="4" t="s">
        <v>21</v>
      </c>
      <c r="B408" s="4" t="s">
        <v>33</v>
      </c>
      <c r="C408" s="4" t="s">
        <v>34</v>
      </c>
      <c r="D408" s="4" t="s">
        <v>47</v>
      </c>
      <c r="E408" s="4" t="s">
        <v>25</v>
      </c>
      <c r="F408" s="4" t="s">
        <v>25</v>
      </c>
      <c r="G408" s="4" t="s">
        <v>25</v>
      </c>
      <c r="H408" s="4" t="s">
        <v>36</v>
      </c>
      <c r="I408" s="5">
        <v>43770</v>
      </c>
      <c r="J408" s="6">
        <v>0</v>
      </c>
      <c r="K408" s="71">
        <v>0</v>
      </c>
      <c r="L408" s="6">
        <v>2014.8430000000001</v>
      </c>
      <c r="M408" s="71">
        <v>2014.8430000000001</v>
      </c>
      <c r="N408" s="6">
        <v>2014.8430000000001</v>
      </c>
      <c r="O408" s="71">
        <v>2014.8430000000001</v>
      </c>
      <c r="P408" s="6">
        <v>0</v>
      </c>
      <c r="Q408" s="4" t="s">
        <v>26</v>
      </c>
      <c r="R408" s="4">
        <v>0</v>
      </c>
      <c r="S408" s="4">
        <v>0</v>
      </c>
      <c r="T408" s="4">
        <v>28</v>
      </c>
      <c r="U408" s="4">
        <v>82</v>
      </c>
      <c r="V408" s="71">
        <f>IF(ISERROR(VLOOKUP($S$408,'TAR FIN'!$A$1:$O$120,15,0)),0,VLOOKUP($S$408,'TAR FIN'!$A$1:$O$120,15,0))</f>
        <v>0</v>
      </c>
      <c r="W408" s="71">
        <f>IF(ISERROR(VLOOKUP($T$408,'TAR FIN'!$A$1:$O$120,15,0)),0,VLOOKUP($T$408,'TAR FIN'!$A$1:$O$120,15,0))*(1-0.08)</f>
        <v>77.694000000000003</v>
      </c>
      <c r="X408" s="71">
        <f>IF(ISERROR(VLOOKUP($U$408,'TAR FIN'!$A$1:$O$120,15,0)),0,VLOOKUP($U$408,'TAR FIN'!$A$1:$O$120,15,0))*(1-0.08)</f>
        <v>235.86960000000002</v>
      </c>
      <c r="Y408" s="71"/>
      <c r="Z408" s="71">
        <f ca="1">('TUSD BE'!$AM$34+'TUSD BF'!$AM$34+'TUSD CVA'!$AM$34)*1*(1-0.06)</f>
        <v>82.268200247339408</v>
      </c>
      <c r="AA408" s="71">
        <f>('TE BE'!$AA$11+'TE BF'!$AA$11+'TE CVA'!$AA$11)*1*(1-0.06)</f>
        <v>216.98415684477786</v>
      </c>
      <c r="AB408" s="71">
        <f>(SUBSIDIO!$J$408*SUBSIDIO!$V$408)*(0.08)/(1-0.08)</f>
        <v>0</v>
      </c>
      <c r="AC408" s="71">
        <f>((SUBSIDIO!$L$408*SUBSIDIO!$W$408)+(SUBSIDIO!$N$408*SUBSIDIO!$X$408))*(0.08)/(1-0.08)</f>
        <v>54937.515175200002</v>
      </c>
      <c r="AD408" s="71">
        <f>(SUBSIDIO!$J$408*SUBSIDIO!$Y$408)*(0.06)/(1-0.06)</f>
        <v>0</v>
      </c>
      <c r="AE408" s="71">
        <f ca="1">((SUBSIDIO!$L$408*SUBSIDIO!$Z$408)+(SUBSIDIO!$N$408*SUBSIDIO!$AA$408))*(0.06)/(1-0.06)</f>
        <v>38485.947888545925</v>
      </c>
      <c r="AF408" s="4" t="s">
        <v>1151</v>
      </c>
    </row>
    <row r="409" spans="1:32" ht="11.25" customHeight="1" x14ac:dyDescent="0.25">
      <c r="A409" s="4" t="s">
        <v>28</v>
      </c>
      <c r="B409" s="4" t="s">
        <v>33</v>
      </c>
      <c r="C409" s="4" t="s">
        <v>34</v>
      </c>
      <c r="D409" s="4" t="s">
        <v>47</v>
      </c>
      <c r="E409" s="4" t="s">
        <v>25</v>
      </c>
      <c r="F409" s="4" t="s">
        <v>25</v>
      </c>
      <c r="G409" s="4" t="s">
        <v>25</v>
      </c>
      <c r="H409" s="4" t="s">
        <v>36</v>
      </c>
      <c r="I409" s="5">
        <v>43770</v>
      </c>
      <c r="J409" s="6">
        <v>0</v>
      </c>
      <c r="K409" s="71">
        <v>0</v>
      </c>
      <c r="L409" s="6">
        <v>24.013000000000002</v>
      </c>
      <c r="M409" s="71">
        <v>24.013000000000002</v>
      </c>
      <c r="N409" s="6">
        <v>24.013000000000002</v>
      </c>
      <c r="O409" s="71">
        <v>24.013000000000002</v>
      </c>
      <c r="P409" s="6">
        <v>0</v>
      </c>
      <c r="Q409" s="4" t="s">
        <v>26</v>
      </c>
      <c r="R409" s="4">
        <v>0</v>
      </c>
      <c r="S409" s="4">
        <v>0</v>
      </c>
      <c r="T409" s="4">
        <v>28</v>
      </c>
      <c r="U409" s="4">
        <v>82</v>
      </c>
      <c r="V409" s="71">
        <f>IF(ISERROR(VLOOKUP($S$409,'TAR FIN'!$A$1:$O$120,15,0)),0,VLOOKUP($S$409,'TAR FIN'!$A$1:$O$120,15,0))</f>
        <v>0</v>
      </c>
      <c r="W409" s="71">
        <f>IF(ISERROR(VLOOKUP($T$409,'TAR FIN'!$A$1:$O$120,15,0)),0,VLOOKUP($T$409,'TAR FIN'!$A$1:$O$120,15,0))*(1-0.08)</f>
        <v>77.694000000000003</v>
      </c>
      <c r="X409" s="71">
        <f>IF(ISERROR(VLOOKUP($U$409,'TAR FIN'!$A$1:$O$120,15,0)),0,VLOOKUP($U$409,'TAR FIN'!$A$1:$O$120,15,0))*(1-0.08)</f>
        <v>235.86960000000002</v>
      </c>
      <c r="Y409" s="71"/>
      <c r="Z409" s="71">
        <f ca="1">('TUSD BE'!$AM$34+'TUSD BF'!$AM$34+'TUSD CVA'!$AM$34)*1*(1-0.06)</f>
        <v>82.268200247339408</v>
      </c>
      <c r="AA409" s="71">
        <f>('TE BE'!$AA$11+'TE BF'!$AA$11+'TE CVA'!$AA$11)*1*(1-0.06)</f>
        <v>216.98415684477786</v>
      </c>
      <c r="AB409" s="71">
        <f>(SUBSIDIO!$J$409*SUBSIDIO!$V$409)*(0.08)/(1-0.08)</f>
        <v>0</v>
      </c>
      <c r="AC409" s="71">
        <f>((SUBSIDIO!$L$409*SUBSIDIO!$W$409)+(SUBSIDIO!$N$409*SUBSIDIO!$X$409))*(0.08)/(1-0.08)</f>
        <v>654.74806320000016</v>
      </c>
      <c r="AD409" s="71">
        <f>(SUBSIDIO!$J$409*SUBSIDIO!$Y$409)*(0.06)/(1-0.06)</f>
        <v>0</v>
      </c>
      <c r="AE409" s="71">
        <f ca="1">((SUBSIDIO!$L$409*SUBSIDIO!$Z$409)+(SUBSIDIO!$N$409*SUBSIDIO!$AA$409))*(0.06)/(1-0.06)</f>
        <v>458.67745856508594</v>
      </c>
      <c r="AF409" s="4" t="s">
        <v>1151</v>
      </c>
    </row>
    <row r="410" spans="1:32" ht="11.25" customHeight="1" x14ac:dyDescent="0.25">
      <c r="A410" s="4" t="s">
        <v>21</v>
      </c>
      <c r="B410" s="4" t="s">
        <v>33</v>
      </c>
      <c r="C410" s="4" t="s">
        <v>34</v>
      </c>
      <c r="D410" s="4" t="s">
        <v>47</v>
      </c>
      <c r="E410" s="4" t="s">
        <v>25</v>
      </c>
      <c r="F410" s="4" t="s">
        <v>25</v>
      </c>
      <c r="G410" s="4" t="s">
        <v>25</v>
      </c>
      <c r="H410" s="4" t="s">
        <v>36</v>
      </c>
      <c r="I410" s="5">
        <v>43800</v>
      </c>
      <c r="J410" s="6">
        <v>0</v>
      </c>
      <c r="K410" s="71">
        <v>0</v>
      </c>
      <c r="L410" s="6">
        <v>1734.3440000000001</v>
      </c>
      <c r="M410" s="71">
        <v>1734.3440000000001</v>
      </c>
      <c r="N410" s="6">
        <v>1734.3440000000001</v>
      </c>
      <c r="O410" s="71">
        <v>1734.3440000000001</v>
      </c>
      <c r="P410" s="6">
        <v>0</v>
      </c>
      <c r="Q410" s="4" t="s">
        <v>26</v>
      </c>
      <c r="R410" s="4">
        <v>0</v>
      </c>
      <c r="S410" s="4">
        <v>0</v>
      </c>
      <c r="T410" s="4">
        <v>28</v>
      </c>
      <c r="U410" s="4">
        <v>82</v>
      </c>
      <c r="V410" s="71">
        <f>IF(ISERROR(VLOOKUP($S$410,'TAR FIN'!$A$1:$O$120,15,0)),0,VLOOKUP($S$410,'TAR FIN'!$A$1:$O$120,15,0))</f>
        <v>0</v>
      </c>
      <c r="W410" s="71">
        <f>IF(ISERROR(VLOOKUP($T$410,'TAR FIN'!$A$1:$O$120,15,0)),0,VLOOKUP($T$410,'TAR FIN'!$A$1:$O$120,15,0))*(1-0.08)</f>
        <v>77.694000000000003</v>
      </c>
      <c r="X410" s="71">
        <f>IF(ISERROR(VLOOKUP($U$410,'TAR FIN'!$A$1:$O$120,15,0)),0,VLOOKUP($U$410,'TAR FIN'!$A$1:$O$120,15,0))*(1-0.08)</f>
        <v>235.86960000000002</v>
      </c>
      <c r="Y410" s="71"/>
      <c r="Z410" s="71">
        <f ca="1">('TUSD BE'!$AM$34+'TUSD BF'!$AM$34+'TUSD CVA'!$AM$34)*1*(1-0.06)</f>
        <v>82.268200247339408</v>
      </c>
      <c r="AA410" s="71">
        <f>('TE BE'!$AA$11+'TE BF'!$AA$11+'TE CVA'!$AA$11)*1*(1-0.06)</f>
        <v>216.98415684477786</v>
      </c>
      <c r="AB410" s="71">
        <f>(SUBSIDIO!$J$410*SUBSIDIO!$V$410)*(0.08)/(1-0.08)</f>
        <v>0</v>
      </c>
      <c r="AC410" s="71">
        <f>((SUBSIDIO!$L$410*SUBSIDIO!$W$410)+(SUBSIDIO!$N$410*SUBSIDIO!$X$410))*(0.08)/(1-0.08)</f>
        <v>47289.317241600009</v>
      </c>
      <c r="AD410" s="71">
        <f>(SUBSIDIO!$J$410*SUBSIDIO!$Y$410)*(0.06)/(1-0.06)</f>
        <v>0</v>
      </c>
      <c r="AE410" s="71">
        <f ca="1">((SUBSIDIO!$L$410*SUBSIDIO!$Z$410)+(SUBSIDIO!$N$410*SUBSIDIO!$AA$410))*(0.06)/(1-0.06)</f>
        <v>33128.076383525811</v>
      </c>
      <c r="AF410" s="4" t="s">
        <v>1151</v>
      </c>
    </row>
    <row r="411" spans="1:32" ht="11.25" customHeight="1" x14ac:dyDescent="0.25">
      <c r="A411" s="4" t="s">
        <v>27</v>
      </c>
      <c r="B411" s="4" t="s">
        <v>33</v>
      </c>
      <c r="C411" s="4" t="s">
        <v>34</v>
      </c>
      <c r="D411" s="4" t="s">
        <v>47</v>
      </c>
      <c r="E411" s="4" t="s">
        <v>25</v>
      </c>
      <c r="F411" s="4" t="s">
        <v>25</v>
      </c>
      <c r="G411" s="4" t="s">
        <v>25</v>
      </c>
      <c r="H411" s="4" t="s">
        <v>36</v>
      </c>
      <c r="I411" s="5">
        <v>43800</v>
      </c>
      <c r="J411" s="6">
        <v>0</v>
      </c>
      <c r="K411" s="71">
        <v>0</v>
      </c>
      <c r="L411" s="6">
        <v>12.28</v>
      </c>
      <c r="M411" s="71">
        <v>12.28</v>
      </c>
      <c r="N411" s="6">
        <v>12.28</v>
      </c>
      <c r="O411" s="71">
        <v>12.28</v>
      </c>
      <c r="P411" s="6">
        <v>0</v>
      </c>
      <c r="Q411" s="4" t="s">
        <v>26</v>
      </c>
      <c r="R411" s="4">
        <v>0</v>
      </c>
      <c r="S411" s="4">
        <v>0</v>
      </c>
      <c r="T411" s="4">
        <v>28</v>
      </c>
      <c r="U411" s="4">
        <v>82</v>
      </c>
      <c r="V411" s="71">
        <f>IF(ISERROR(VLOOKUP($S$411,'TAR FIN'!$A$1:$O$120,15,0)),0,VLOOKUP($S$411,'TAR FIN'!$A$1:$O$120,15,0))</f>
        <v>0</v>
      </c>
      <c r="W411" s="71">
        <f>IF(ISERROR(VLOOKUP($T$411,'TAR FIN'!$A$1:$O$120,15,0)),0,VLOOKUP($T$411,'TAR FIN'!$A$1:$O$120,15,0))*(1-0.08)</f>
        <v>77.694000000000003</v>
      </c>
      <c r="X411" s="71">
        <f>IF(ISERROR(VLOOKUP($U$411,'TAR FIN'!$A$1:$O$120,15,0)),0,VLOOKUP($U$411,'TAR FIN'!$A$1:$O$120,15,0))*(1-0.08)</f>
        <v>235.86960000000002</v>
      </c>
      <c r="Y411" s="71"/>
      <c r="Z411" s="71">
        <f ca="1">('TUSD BE'!$AM$34+'TUSD BF'!$AM$34+'TUSD CVA'!$AM$34)*1*(1-0.06)</f>
        <v>82.268200247339408</v>
      </c>
      <c r="AA411" s="71">
        <f>('TE BE'!$AA$11+'TE BF'!$AA$11+'TE CVA'!$AA$11)*1*(1-0.06)</f>
        <v>216.98415684477786</v>
      </c>
      <c r="AB411" s="71">
        <f>(SUBSIDIO!$J$411*SUBSIDIO!$V$411)*(0.08)/(1-0.08)</f>
        <v>0</v>
      </c>
      <c r="AC411" s="71">
        <f>((SUBSIDIO!$L$411*SUBSIDIO!$W$411)+(SUBSIDIO!$N$411*SUBSIDIO!$X$411))*(0.08)/(1-0.08)</f>
        <v>334.83139199999999</v>
      </c>
      <c r="AD411" s="71">
        <f>(SUBSIDIO!$J$411*SUBSIDIO!$Y$411)*(0.06)/(1-0.06)</f>
        <v>0</v>
      </c>
      <c r="AE411" s="71">
        <f ca="1">((SUBSIDIO!$L$411*SUBSIDIO!$Z$411)+(SUBSIDIO!$N$411*SUBSIDIO!$AA$411))*(0.06)/(1-0.06)</f>
        <v>234.56291138880002</v>
      </c>
      <c r="AF411" s="4" t="s">
        <v>1151</v>
      </c>
    </row>
    <row r="412" spans="1:32" ht="11.25" customHeight="1" x14ac:dyDescent="0.25">
      <c r="A412" s="4" t="s">
        <v>28</v>
      </c>
      <c r="B412" s="4" t="s">
        <v>33</v>
      </c>
      <c r="C412" s="4" t="s">
        <v>34</v>
      </c>
      <c r="D412" s="4" t="s">
        <v>47</v>
      </c>
      <c r="E412" s="4" t="s">
        <v>25</v>
      </c>
      <c r="F412" s="4" t="s">
        <v>25</v>
      </c>
      <c r="G412" s="4" t="s">
        <v>25</v>
      </c>
      <c r="H412" s="4" t="s">
        <v>36</v>
      </c>
      <c r="I412" s="5">
        <v>43800</v>
      </c>
      <c r="J412" s="6">
        <v>0</v>
      </c>
      <c r="K412" s="71">
        <v>0</v>
      </c>
      <c r="L412" s="6">
        <v>37.652000000000001</v>
      </c>
      <c r="M412" s="71">
        <v>37.652000000000001</v>
      </c>
      <c r="N412" s="6">
        <v>37.652000000000001</v>
      </c>
      <c r="O412" s="71">
        <v>37.652000000000001</v>
      </c>
      <c r="P412" s="6">
        <v>0</v>
      </c>
      <c r="Q412" s="4" t="s">
        <v>26</v>
      </c>
      <c r="R412" s="4">
        <v>0</v>
      </c>
      <c r="S412" s="4">
        <v>0</v>
      </c>
      <c r="T412" s="4">
        <v>28</v>
      </c>
      <c r="U412" s="4">
        <v>82</v>
      </c>
      <c r="V412" s="71">
        <f>IF(ISERROR(VLOOKUP($S$412,'TAR FIN'!$A$1:$O$120,15,0)),0,VLOOKUP($S$412,'TAR FIN'!$A$1:$O$120,15,0))</f>
        <v>0</v>
      </c>
      <c r="W412" s="71">
        <f>IF(ISERROR(VLOOKUP($T$412,'TAR FIN'!$A$1:$O$120,15,0)),0,VLOOKUP($T$412,'TAR FIN'!$A$1:$O$120,15,0))*(1-0.08)</f>
        <v>77.694000000000003</v>
      </c>
      <c r="X412" s="71">
        <f>IF(ISERROR(VLOOKUP($U$412,'TAR FIN'!$A$1:$O$120,15,0)),0,VLOOKUP($U$412,'TAR FIN'!$A$1:$O$120,15,0))*(1-0.08)</f>
        <v>235.86960000000002</v>
      </c>
      <c r="Y412" s="71"/>
      <c r="Z412" s="71">
        <f ca="1">('TUSD BE'!$AM$34+'TUSD BF'!$AM$34+'TUSD CVA'!$AM$34)*1*(1-0.06)</f>
        <v>82.268200247339408</v>
      </c>
      <c r="AA412" s="71">
        <f>('TE BE'!$AA$11+'TE BF'!$AA$11+'TE CVA'!$AA$11)*1*(1-0.06)</f>
        <v>216.98415684477786</v>
      </c>
      <c r="AB412" s="71">
        <f>(SUBSIDIO!$J$412*SUBSIDIO!$V$412)*(0.08)/(1-0.08)</f>
        <v>0</v>
      </c>
      <c r="AC412" s="71">
        <f>((SUBSIDIO!$L$412*SUBSIDIO!$W$412)+(SUBSIDIO!$N$412*SUBSIDIO!$X$412))*(0.08)/(1-0.08)</f>
        <v>1026.6344928000001</v>
      </c>
      <c r="AD412" s="71">
        <f>(SUBSIDIO!$J$412*SUBSIDIO!$Y$412)*(0.06)/(1-0.06)</f>
        <v>0</v>
      </c>
      <c r="AE412" s="71">
        <f ca="1">((SUBSIDIO!$L$412*SUBSIDIO!$Z$412)+(SUBSIDIO!$N$412*SUBSIDIO!$AA$412))*(0.06)/(1-0.06)</f>
        <v>719.19892016377014</v>
      </c>
      <c r="AF412" s="4" t="s">
        <v>1151</v>
      </c>
    </row>
    <row r="413" spans="1:32" ht="11.25" customHeight="1" x14ac:dyDescent="0.25">
      <c r="A413" s="4" t="s">
        <v>21</v>
      </c>
      <c r="B413" s="4" t="s">
        <v>33</v>
      </c>
      <c r="C413" s="4" t="s">
        <v>34</v>
      </c>
      <c r="D413" s="4" t="s">
        <v>47</v>
      </c>
      <c r="E413" s="4" t="s">
        <v>25</v>
      </c>
      <c r="F413" s="4" t="s">
        <v>25</v>
      </c>
      <c r="G413" s="4" t="s">
        <v>25</v>
      </c>
      <c r="H413" s="4" t="s">
        <v>36</v>
      </c>
      <c r="I413" s="5">
        <v>43831</v>
      </c>
      <c r="J413" s="6">
        <v>0</v>
      </c>
      <c r="K413" s="71">
        <v>0</v>
      </c>
      <c r="L413" s="6">
        <v>1598.2159999999999</v>
      </c>
      <c r="M413" s="71">
        <v>1598.2159999999999</v>
      </c>
      <c r="N413" s="6">
        <v>1598.2159999999999</v>
      </c>
      <c r="O413" s="71">
        <v>1598.2159999999999</v>
      </c>
      <c r="P413" s="6">
        <v>0</v>
      </c>
      <c r="Q413" s="4" t="s">
        <v>26</v>
      </c>
      <c r="R413" s="4">
        <v>0</v>
      </c>
      <c r="S413" s="4">
        <v>0</v>
      </c>
      <c r="T413" s="4">
        <v>28</v>
      </c>
      <c r="U413" s="4">
        <v>82</v>
      </c>
      <c r="V413" s="71">
        <f>IF(ISERROR(VLOOKUP($S$413,'TAR FIN'!$A$1:$O$120,15,0)),0,VLOOKUP($S$413,'TAR FIN'!$A$1:$O$120,15,0))</f>
        <v>0</v>
      </c>
      <c r="W413" s="71">
        <f>IF(ISERROR(VLOOKUP($T$413,'TAR FIN'!$A$1:$O$120,15,0)),0,VLOOKUP($T$413,'TAR FIN'!$A$1:$O$120,15,0))*(1-0.08)</f>
        <v>77.694000000000003</v>
      </c>
      <c r="X413" s="71">
        <f>IF(ISERROR(VLOOKUP($U$413,'TAR FIN'!$A$1:$O$120,15,0)),0,VLOOKUP($U$413,'TAR FIN'!$A$1:$O$120,15,0))*(1-0.08)</f>
        <v>235.86960000000002</v>
      </c>
      <c r="Y413" s="71"/>
      <c r="Z413" s="71">
        <f ca="1">('TUSD BE'!$AM$34+'TUSD BF'!$AM$34+'TUSD CVA'!$AM$34)*1*(1-0.06)</f>
        <v>82.268200247339408</v>
      </c>
      <c r="AA413" s="71">
        <f>('TE BE'!$AA$11+'TE BF'!$AA$11+'TE CVA'!$AA$11)*1*(1-0.06)</f>
        <v>216.98415684477786</v>
      </c>
      <c r="AB413" s="71">
        <f>(SUBSIDIO!$J$413*SUBSIDIO!$V$413)*(0.08)/(1-0.08)</f>
        <v>0</v>
      </c>
      <c r="AC413" s="71">
        <f>((SUBSIDIO!$L$413*SUBSIDIO!$W$413)+(SUBSIDIO!$N$413*SUBSIDIO!$X$413))*(0.08)/(1-0.08)</f>
        <v>43577.596742399997</v>
      </c>
      <c r="AD413" s="71">
        <f>(SUBSIDIO!$J$413*SUBSIDIO!$Y$413)*(0.06)/(1-0.06)</f>
        <v>0</v>
      </c>
      <c r="AE413" s="71">
        <f ca="1">((SUBSIDIO!$L$413*SUBSIDIO!$Z$413)+(SUBSIDIO!$N$413*SUBSIDIO!$AA$413))*(0.06)/(1-0.06)</f>
        <v>30527.866285680971</v>
      </c>
      <c r="AF413" s="4" t="s">
        <v>1151</v>
      </c>
    </row>
    <row r="414" spans="1:32" ht="11.25" customHeight="1" x14ac:dyDescent="0.25">
      <c r="A414" s="4" t="s">
        <v>27</v>
      </c>
      <c r="B414" s="4" t="s">
        <v>33</v>
      </c>
      <c r="C414" s="4" t="s">
        <v>34</v>
      </c>
      <c r="D414" s="4" t="s">
        <v>47</v>
      </c>
      <c r="E414" s="4" t="s">
        <v>25</v>
      </c>
      <c r="F414" s="4" t="s">
        <v>25</v>
      </c>
      <c r="G414" s="4" t="s">
        <v>25</v>
      </c>
      <c r="H414" s="4" t="s">
        <v>36</v>
      </c>
      <c r="I414" s="5">
        <v>43831</v>
      </c>
      <c r="J414" s="6">
        <v>0</v>
      </c>
      <c r="K414" s="71">
        <v>0</v>
      </c>
      <c r="L414" s="6">
        <v>9.2140000000000004</v>
      </c>
      <c r="M414" s="71">
        <v>9.2140000000000004</v>
      </c>
      <c r="N414" s="6">
        <v>9.2140000000000004</v>
      </c>
      <c r="O414" s="71">
        <v>9.2140000000000004</v>
      </c>
      <c r="P414" s="6">
        <v>0</v>
      </c>
      <c r="Q414" s="4" t="s">
        <v>26</v>
      </c>
      <c r="R414" s="4">
        <v>0</v>
      </c>
      <c r="S414" s="4">
        <v>0</v>
      </c>
      <c r="T414" s="4">
        <v>28</v>
      </c>
      <c r="U414" s="4">
        <v>82</v>
      </c>
      <c r="V414" s="71">
        <f>IF(ISERROR(VLOOKUP($S$414,'TAR FIN'!$A$1:$O$120,15,0)),0,VLOOKUP($S$414,'TAR FIN'!$A$1:$O$120,15,0))</f>
        <v>0</v>
      </c>
      <c r="W414" s="71">
        <f>IF(ISERROR(VLOOKUP($T$414,'TAR FIN'!$A$1:$O$120,15,0)),0,VLOOKUP($T$414,'TAR FIN'!$A$1:$O$120,15,0))*(1-0.08)</f>
        <v>77.694000000000003</v>
      </c>
      <c r="X414" s="71">
        <f>IF(ISERROR(VLOOKUP($U$414,'TAR FIN'!$A$1:$O$120,15,0)),0,VLOOKUP($U$414,'TAR FIN'!$A$1:$O$120,15,0))*(1-0.08)</f>
        <v>235.86960000000002</v>
      </c>
      <c r="Y414" s="71"/>
      <c r="Z414" s="71">
        <f ca="1">('TUSD BE'!$AM$34+'TUSD BF'!$AM$34+'TUSD CVA'!$AM$34)*1*(1-0.06)</f>
        <v>82.268200247339408</v>
      </c>
      <c r="AA414" s="71">
        <f>('TE BE'!$AA$11+'TE BF'!$AA$11+'TE CVA'!$AA$11)*1*(1-0.06)</f>
        <v>216.98415684477786</v>
      </c>
      <c r="AB414" s="71">
        <f>(SUBSIDIO!$J$414*SUBSIDIO!$V$414)*(0.08)/(1-0.08)</f>
        <v>0</v>
      </c>
      <c r="AC414" s="71">
        <f>((SUBSIDIO!$L$414*SUBSIDIO!$W$414)+(SUBSIDIO!$N$414*SUBSIDIO!$X$414))*(0.08)/(1-0.08)</f>
        <v>251.23260960000002</v>
      </c>
      <c r="AD414" s="71">
        <f>(SUBSIDIO!$J$414*SUBSIDIO!$Y$414)*(0.06)/(1-0.06)</f>
        <v>0</v>
      </c>
      <c r="AE414" s="71">
        <f ca="1">((SUBSIDIO!$L$414*SUBSIDIO!$Z$414)+(SUBSIDIO!$N$414*SUBSIDIO!$AA$414))*(0.06)/(1-0.06)</f>
        <v>175.99858839872991</v>
      </c>
      <c r="AF414" s="4" t="s">
        <v>1151</v>
      </c>
    </row>
    <row r="415" spans="1:32" ht="11.25" customHeight="1" x14ac:dyDescent="0.25">
      <c r="A415" s="4" t="s">
        <v>28</v>
      </c>
      <c r="B415" s="4" t="s">
        <v>33</v>
      </c>
      <c r="C415" s="4" t="s">
        <v>34</v>
      </c>
      <c r="D415" s="4" t="s">
        <v>47</v>
      </c>
      <c r="E415" s="4" t="s">
        <v>25</v>
      </c>
      <c r="F415" s="4" t="s">
        <v>25</v>
      </c>
      <c r="G415" s="4" t="s">
        <v>25</v>
      </c>
      <c r="H415" s="4" t="s">
        <v>36</v>
      </c>
      <c r="I415" s="5">
        <v>43831</v>
      </c>
      <c r="J415" s="6">
        <v>0</v>
      </c>
      <c r="K415" s="71">
        <v>0</v>
      </c>
      <c r="L415" s="6">
        <v>39.344000000000001</v>
      </c>
      <c r="M415" s="71">
        <v>39.344000000000001</v>
      </c>
      <c r="N415" s="6">
        <v>39.344000000000001</v>
      </c>
      <c r="O415" s="71">
        <v>39.344000000000001</v>
      </c>
      <c r="P415" s="6">
        <v>0</v>
      </c>
      <c r="Q415" s="4" t="s">
        <v>26</v>
      </c>
      <c r="R415" s="4">
        <v>0</v>
      </c>
      <c r="S415" s="4">
        <v>0</v>
      </c>
      <c r="T415" s="4">
        <v>28</v>
      </c>
      <c r="U415" s="4">
        <v>82</v>
      </c>
      <c r="V415" s="71">
        <f>IF(ISERROR(VLOOKUP($S$415,'TAR FIN'!$A$1:$O$120,15,0)),0,VLOOKUP($S$415,'TAR FIN'!$A$1:$O$120,15,0))</f>
        <v>0</v>
      </c>
      <c r="W415" s="71">
        <f>IF(ISERROR(VLOOKUP($T$415,'TAR FIN'!$A$1:$O$120,15,0)),0,VLOOKUP($T$415,'TAR FIN'!$A$1:$O$120,15,0))*(1-0.08)</f>
        <v>77.694000000000003</v>
      </c>
      <c r="X415" s="71">
        <f>IF(ISERROR(VLOOKUP($U$415,'TAR FIN'!$A$1:$O$120,15,0)),0,VLOOKUP($U$415,'TAR FIN'!$A$1:$O$120,15,0))*(1-0.08)</f>
        <v>235.86960000000002</v>
      </c>
      <c r="Y415" s="71"/>
      <c r="Z415" s="71">
        <f ca="1">('TUSD BE'!$AM$34+'TUSD BF'!$AM$34+'TUSD CVA'!$AM$34)*1*(1-0.06)</f>
        <v>82.268200247339408</v>
      </c>
      <c r="AA415" s="71">
        <f>('TE BE'!$AA$11+'TE BF'!$AA$11+'TE CVA'!$AA$11)*1*(1-0.06)</f>
        <v>216.98415684477786</v>
      </c>
      <c r="AB415" s="71">
        <f>(SUBSIDIO!$J$415*SUBSIDIO!$V$415)*(0.08)/(1-0.08)</f>
        <v>0</v>
      </c>
      <c r="AC415" s="71">
        <f>((SUBSIDIO!$L$415*SUBSIDIO!$W$415)+(SUBSIDIO!$N$415*SUBSIDIO!$X$415))*(0.08)/(1-0.08)</f>
        <v>1072.7692416</v>
      </c>
      <c r="AD415" s="71">
        <f>(SUBSIDIO!$J$415*SUBSIDIO!$Y$415)*(0.06)/(1-0.06)</f>
        <v>0</v>
      </c>
      <c r="AE415" s="71">
        <f ca="1">((SUBSIDIO!$L$415*SUBSIDIO!$Z$415)+(SUBSIDIO!$N$415*SUBSIDIO!$AA$415))*(0.06)/(1-0.06)</f>
        <v>751.51817472971891</v>
      </c>
      <c r="AF415" s="4" t="s">
        <v>1151</v>
      </c>
    </row>
    <row r="416" spans="1:32" ht="11.25" customHeight="1" x14ac:dyDescent="0.25">
      <c r="A416" s="4" t="s">
        <v>21</v>
      </c>
      <c r="B416" s="4" t="s">
        <v>33</v>
      </c>
      <c r="C416" s="4" t="s">
        <v>34</v>
      </c>
      <c r="D416" s="4" t="s">
        <v>47</v>
      </c>
      <c r="E416" s="4" t="s">
        <v>25</v>
      </c>
      <c r="F416" s="4" t="s">
        <v>25</v>
      </c>
      <c r="G416" s="4" t="s">
        <v>25</v>
      </c>
      <c r="H416" s="4" t="s">
        <v>36</v>
      </c>
      <c r="I416" s="5">
        <v>43862</v>
      </c>
      <c r="J416" s="6">
        <v>0</v>
      </c>
      <c r="K416" s="71">
        <v>0</v>
      </c>
      <c r="L416" s="6">
        <v>1710.1890000000001</v>
      </c>
      <c r="M416" s="71">
        <v>1710.1890000000001</v>
      </c>
      <c r="N416" s="6">
        <v>1710.1890000000001</v>
      </c>
      <c r="O416" s="71">
        <v>1710.1890000000001</v>
      </c>
      <c r="P416" s="6">
        <v>0</v>
      </c>
      <c r="Q416" s="4" t="s">
        <v>26</v>
      </c>
      <c r="R416" s="4">
        <v>0</v>
      </c>
      <c r="S416" s="4">
        <v>0</v>
      </c>
      <c r="T416" s="4">
        <v>28</v>
      </c>
      <c r="U416" s="4">
        <v>82</v>
      </c>
      <c r="V416" s="71">
        <f>IF(ISERROR(VLOOKUP($S$416,'TAR FIN'!$A$1:$O$120,15,0)),0,VLOOKUP($S$416,'TAR FIN'!$A$1:$O$120,15,0))</f>
        <v>0</v>
      </c>
      <c r="W416" s="71">
        <f>IF(ISERROR(VLOOKUP($T$416,'TAR FIN'!$A$1:$O$120,15,0)),0,VLOOKUP($T$416,'TAR FIN'!$A$1:$O$120,15,0))*(1-0.08)</f>
        <v>77.694000000000003</v>
      </c>
      <c r="X416" s="71">
        <f>IF(ISERROR(VLOOKUP($U$416,'TAR FIN'!$A$1:$O$120,15,0)),0,VLOOKUP($U$416,'TAR FIN'!$A$1:$O$120,15,0))*(1-0.08)</f>
        <v>235.86960000000002</v>
      </c>
      <c r="Y416" s="71"/>
      <c r="Z416" s="71">
        <f ca="1">('TUSD BE'!$AM$34+'TUSD BF'!$AM$34+'TUSD CVA'!$AM$34)*1*(1-0.06)</f>
        <v>82.268200247339408</v>
      </c>
      <c r="AA416" s="71">
        <f>('TE BE'!$AA$11+'TE BF'!$AA$11+'TE CVA'!$AA$11)*1*(1-0.06)</f>
        <v>216.98415684477786</v>
      </c>
      <c r="AB416" s="71">
        <f>(SUBSIDIO!$J$416*SUBSIDIO!$V$416)*(0.08)/(1-0.08)</f>
        <v>0</v>
      </c>
      <c r="AC416" s="71">
        <f>((SUBSIDIO!$L$416*SUBSIDIO!$W$416)+(SUBSIDIO!$N$416*SUBSIDIO!$X$416))*(0.08)/(1-0.08)</f>
        <v>46630.697349600006</v>
      </c>
      <c r="AD416" s="71">
        <f>(SUBSIDIO!$J$416*SUBSIDIO!$Y$416)*(0.06)/(1-0.06)</f>
        <v>0</v>
      </c>
      <c r="AE416" s="71">
        <f ca="1">((SUBSIDIO!$L$416*SUBSIDIO!$Z$416)+(SUBSIDIO!$N$416*SUBSIDIO!$AA$416))*(0.06)/(1-0.06)</f>
        <v>32666.686552532617</v>
      </c>
      <c r="AF416" s="4" t="s">
        <v>1151</v>
      </c>
    </row>
    <row r="417" spans="1:32" ht="11.25" customHeight="1" x14ac:dyDescent="0.25">
      <c r="A417" s="4" t="s">
        <v>27</v>
      </c>
      <c r="B417" s="4" t="s">
        <v>33</v>
      </c>
      <c r="C417" s="4" t="s">
        <v>34</v>
      </c>
      <c r="D417" s="4" t="s">
        <v>47</v>
      </c>
      <c r="E417" s="4" t="s">
        <v>25</v>
      </c>
      <c r="F417" s="4" t="s">
        <v>25</v>
      </c>
      <c r="G417" s="4" t="s">
        <v>25</v>
      </c>
      <c r="H417" s="4" t="s">
        <v>36</v>
      </c>
      <c r="I417" s="5">
        <v>43862</v>
      </c>
      <c r="J417" s="6">
        <v>0</v>
      </c>
      <c r="K417" s="71">
        <v>0</v>
      </c>
      <c r="L417" s="6">
        <v>19.030999999999999</v>
      </c>
      <c r="M417" s="71">
        <v>19.030999999999999</v>
      </c>
      <c r="N417" s="6">
        <v>19.030999999999999</v>
      </c>
      <c r="O417" s="71">
        <v>19.030999999999999</v>
      </c>
      <c r="P417" s="6">
        <v>0</v>
      </c>
      <c r="Q417" s="4" t="s">
        <v>26</v>
      </c>
      <c r="R417" s="4">
        <v>0</v>
      </c>
      <c r="S417" s="4">
        <v>0</v>
      </c>
      <c r="T417" s="4">
        <v>28</v>
      </c>
      <c r="U417" s="4">
        <v>82</v>
      </c>
      <c r="V417" s="71">
        <f>IF(ISERROR(VLOOKUP($S$417,'TAR FIN'!$A$1:$O$120,15,0)),0,VLOOKUP($S$417,'TAR FIN'!$A$1:$O$120,15,0))</f>
        <v>0</v>
      </c>
      <c r="W417" s="71">
        <f>IF(ISERROR(VLOOKUP($T$417,'TAR FIN'!$A$1:$O$120,15,0)),0,VLOOKUP($T$417,'TAR FIN'!$A$1:$O$120,15,0))*(1-0.08)</f>
        <v>77.694000000000003</v>
      </c>
      <c r="X417" s="71">
        <f>IF(ISERROR(VLOOKUP($U$417,'TAR FIN'!$A$1:$O$120,15,0)),0,VLOOKUP($U$417,'TAR FIN'!$A$1:$O$120,15,0))*(1-0.08)</f>
        <v>235.86960000000002</v>
      </c>
      <c r="Y417" s="71"/>
      <c r="Z417" s="71">
        <f ca="1">('TUSD BE'!$AM$34+'TUSD BF'!$AM$34+'TUSD CVA'!$AM$34)*1*(1-0.06)</f>
        <v>82.268200247339408</v>
      </c>
      <c r="AA417" s="71">
        <f>('TE BE'!$AA$11+'TE BF'!$AA$11+'TE CVA'!$AA$11)*1*(1-0.06)</f>
        <v>216.98415684477786</v>
      </c>
      <c r="AB417" s="71">
        <f>(SUBSIDIO!$J$417*SUBSIDIO!$V$417)*(0.08)/(1-0.08)</f>
        <v>0</v>
      </c>
      <c r="AC417" s="71">
        <f>((SUBSIDIO!$L$417*SUBSIDIO!$W$417)+(SUBSIDIO!$N$417*SUBSIDIO!$X$417))*(0.08)/(1-0.08)</f>
        <v>518.90685839999992</v>
      </c>
      <c r="AD417" s="71">
        <f>(SUBSIDIO!$J$417*SUBSIDIO!$Y$417)*(0.06)/(1-0.06)</f>
        <v>0</v>
      </c>
      <c r="AE417" s="71">
        <f ca="1">((SUBSIDIO!$L$417*SUBSIDIO!$Z$417)+(SUBSIDIO!$N$417*SUBSIDIO!$AA$417))*(0.06)/(1-0.06)</f>
        <v>363.51520900979256</v>
      </c>
      <c r="AF417" s="4" t="s">
        <v>1151</v>
      </c>
    </row>
    <row r="418" spans="1:32" ht="11.25" customHeight="1" x14ac:dyDescent="0.25">
      <c r="A418" s="4" t="s">
        <v>28</v>
      </c>
      <c r="B418" s="4" t="s">
        <v>33</v>
      </c>
      <c r="C418" s="4" t="s">
        <v>34</v>
      </c>
      <c r="D418" s="4" t="s">
        <v>47</v>
      </c>
      <c r="E418" s="4" t="s">
        <v>25</v>
      </c>
      <c r="F418" s="4" t="s">
        <v>25</v>
      </c>
      <c r="G418" s="4" t="s">
        <v>25</v>
      </c>
      <c r="H418" s="4" t="s">
        <v>36</v>
      </c>
      <c r="I418" s="5">
        <v>43862</v>
      </c>
      <c r="J418" s="6">
        <v>0</v>
      </c>
      <c r="K418" s="71">
        <v>0</v>
      </c>
      <c r="L418" s="6">
        <v>39.936999999999998</v>
      </c>
      <c r="M418" s="71">
        <v>39.936999999999998</v>
      </c>
      <c r="N418" s="6">
        <v>39.936999999999998</v>
      </c>
      <c r="O418" s="71">
        <v>39.936999999999998</v>
      </c>
      <c r="P418" s="6">
        <v>0</v>
      </c>
      <c r="Q418" s="4" t="s">
        <v>26</v>
      </c>
      <c r="R418" s="4">
        <v>0</v>
      </c>
      <c r="S418" s="4">
        <v>0</v>
      </c>
      <c r="T418" s="4">
        <v>28</v>
      </c>
      <c r="U418" s="4">
        <v>82</v>
      </c>
      <c r="V418" s="71">
        <f>IF(ISERROR(VLOOKUP($S$418,'TAR FIN'!$A$1:$O$120,15,0)),0,VLOOKUP($S$418,'TAR FIN'!$A$1:$O$120,15,0))</f>
        <v>0</v>
      </c>
      <c r="W418" s="71">
        <f>IF(ISERROR(VLOOKUP($T$418,'TAR FIN'!$A$1:$O$120,15,0)),0,VLOOKUP($T$418,'TAR FIN'!$A$1:$O$120,15,0))*(1-0.08)</f>
        <v>77.694000000000003</v>
      </c>
      <c r="X418" s="71">
        <f>IF(ISERROR(VLOOKUP($U$418,'TAR FIN'!$A$1:$O$120,15,0)),0,VLOOKUP($U$418,'TAR FIN'!$A$1:$O$120,15,0))*(1-0.08)</f>
        <v>235.86960000000002</v>
      </c>
      <c r="Y418" s="71"/>
      <c r="Z418" s="71">
        <f ca="1">('TUSD BE'!$AM$34+'TUSD BF'!$AM$34+'TUSD CVA'!$AM$34)*1*(1-0.06)</f>
        <v>82.268200247339408</v>
      </c>
      <c r="AA418" s="71">
        <f>('TE BE'!$AA$11+'TE BF'!$AA$11+'TE CVA'!$AA$11)*1*(1-0.06)</f>
        <v>216.98415684477786</v>
      </c>
      <c r="AB418" s="71">
        <f>(SUBSIDIO!$J$418*SUBSIDIO!$V$418)*(0.08)/(1-0.08)</f>
        <v>0</v>
      </c>
      <c r="AC418" s="71">
        <f>((SUBSIDIO!$L$418*SUBSIDIO!$W$418)+(SUBSIDIO!$N$418*SUBSIDIO!$X$418))*(0.08)/(1-0.08)</f>
        <v>1088.9382168</v>
      </c>
      <c r="AD418" s="71">
        <f>(SUBSIDIO!$J$418*SUBSIDIO!$Y$418)*(0.06)/(1-0.06)</f>
        <v>0</v>
      </c>
      <c r="AE418" s="71">
        <f ca="1">((SUBSIDIO!$L$418*SUBSIDIO!$Z$418)+(SUBSIDIO!$N$418*SUBSIDIO!$AA$418))*(0.06)/(1-0.06)</f>
        <v>762.84519479922665</v>
      </c>
      <c r="AF418" s="4" t="s">
        <v>1151</v>
      </c>
    </row>
    <row r="419" spans="1:32" ht="11.25" customHeight="1" x14ac:dyDescent="0.25">
      <c r="A419" s="4" t="s">
        <v>21</v>
      </c>
      <c r="B419" s="4" t="s">
        <v>33</v>
      </c>
      <c r="C419" s="4" t="s">
        <v>34</v>
      </c>
      <c r="D419" s="4" t="s">
        <v>47</v>
      </c>
      <c r="E419" s="4" t="s">
        <v>25</v>
      </c>
      <c r="F419" s="4" t="s">
        <v>25</v>
      </c>
      <c r="G419" s="4" t="s">
        <v>25</v>
      </c>
      <c r="H419" s="4" t="s">
        <v>36</v>
      </c>
      <c r="I419" s="5">
        <v>43891</v>
      </c>
      <c r="J419" s="6">
        <v>0</v>
      </c>
      <c r="K419" s="71">
        <v>0</v>
      </c>
      <c r="L419" s="6">
        <v>2112.779</v>
      </c>
      <c r="M419" s="71">
        <v>2112.779</v>
      </c>
      <c r="N419" s="6">
        <v>2112.779</v>
      </c>
      <c r="O419" s="71">
        <v>2112.779</v>
      </c>
      <c r="P419" s="6">
        <v>0</v>
      </c>
      <c r="Q419" s="4" t="s">
        <v>26</v>
      </c>
      <c r="R419" s="4">
        <v>0</v>
      </c>
      <c r="S419" s="4">
        <v>0</v>
      </c>
      <c r="T419" s="4">
        <v>28</v>
      </c>
      <c r="U419" s="4">
        <v>82</v>
      </c>
      <c r="V419" s="71">
        <f>IF(ISERROR(VLOOKUP($S$419,'TAR FIN'!$A$1:$O$120,15,0)),0,VLOOKUP($S$419,'TAR FIN'!$A$1:$O$120,15,0))</f>
        <v>0</v>
      </c>
      <c r="W419" s="71">
        <f>IF(ISERROR(VLOOKUP($T$419,'TAR FIN'!$A$1:$O$120,15,0)),0,VLOOKUP($T$419,'TAR FIN'!$A$1:$O$120,15,0))*(1-0.08)</f>
        <v>77.694000000000003</v>
      </c>
      <c r="X419" s="71">
        <f>IF(ISERROR(VLOOKUP($U$419,'TAR FIN'!$A$1:$O$120,15,0)),0,VLOOKUP($U$419,'TAR FIN'!$A$1:$O$120,15,0))*(1-0.08)</f>
        <v>235.86960000000002</v>
      </c>
      <c r="Y419" s="71"/>
      <c r="Z419" s="71">
        <f ca="1">('TUSD BE'!$AM$34+'TUSD BF'!$AM$34+'TUSD CVA'!$AM$34)*1*(1-0.06)</f>
        <v>82.268200247339408</v>
      </c>
      <c r="AA419" s="71">
        <f>('TE BE'!$AA$11+'TE BF'!$AA$11+'TE CVA'!$AA$11)*1*(1-0.06)</f>
        <v>216.98415684477786</v>
      </c>
      <c r="AB419" s="71">
        <f>(SUBSIDIO!$J$419*SUBSIDIO!$V$419)*(0.08)/(1-0.08)</f>
        <v>0</v>
      </c>
      <c r="AC419" s="71">
        <f>((SUBSIDIO!$L$419*SUBSIDIO!$W$419)+(SUBSIDIO!$N$419*SUBSIDIO!$X$419))*(0.08)/(1-0.08)</f>
        <v>57607.877325599999</v>
      </c>
      <c r="AD419" s="71">
        <f>(SUBSIDIO!$J$419*SUBSIDIO!$Y$419)*(0.06)/(1-0.06)</f>
        <v>0</v>
      </c>
      <c r="AE419" s="71">
        <f ca="1">((SUBSIDIO!$L$419*SUBSIDIO!$Z$419)+(SUBSIDIO!$N$419*SUBSIDIO!$AA$419))*(0.06)/(1-0.06)</f>
        <v>40356.644410514455</v>
      </c>
      <c r="AF419" s="4" t="s">
        <v>1151</v>
      </c>
    </row>
    <row r="420" spans="1:32" ht="11.25" customHeight="1" x14ac:dyDescent="0.25">
      <c r="A420" s="4" t="s">
        <v>27</v>
      </c>
      <c r="B420" s="4" t="s">
        <v>33</v>
      </c>
      <c r="C420" s="4" t="s">
        <v>34</v>
      </c>
      <c r="D420" s="4" t="s">
        <v>47</v>
      </c>
      <c r="E420" s="4" t="s">
        <v>25</v>
      </c>
      <c r="F420" s="4" t="s">
        <v>25</v>
      </c>
      <c r="G420" s="4" t="s">
        <v>25</v>
      </c>
      <c r="H420" s="4" t="s">
        <v>36</v>
      </c>
      <c r="I420" s="5">
        <v>43891</v>
      </c>
      <c r="J420" s="6">
        <v>0</v>
      </c>
      <c r="K420" s="71">
        <v>0</v>
      </c>
      <c r="L420" s="6">
        <v>16.46</v>
      </c>
      <c r="M420" s="71">
        <v>16.46</v>
      </c>
      <c r="N420" s="6">
        <v>16.46</v>
      </c>
      <c r="O420" s="71">
        <v>16.46</v>
      </c>
      <c r="P420" s="6">
        <v>0</v>
      </c>
      <c r="Q420" s="4" t="s">
        <v>26</v>
      </c>
      <c r="R420" s="4">
        <v>0</v>
      </c>
      <c r="S420" s="4">
        <v>0</v>
      </c>
      <c r="T420" s="4">
        <v>28</v>
      </c>
      <c r="U420" s="4">
        <v>82</v>
      </c>
      <c r="V420" s="71">
        <f>IF(ISERROR(VLOOKUP($S$420,'TAR FIN'!$A$1:$O$120,15,0)),0,VLOOKUP($S$420,'TAR FIN'!$A$1:$O$120,15,0))</f>
        <v>0</v>
      </c>
      <c r="W420" s="71">
        <f>IF(ISERROR(VLOOKUP($T$420,'TAR FIN'!$A$1:$O$120,15,0)),0,VLOOKUP($T$420,'TAR FIN'!$A$1:$O$120,15,0))*(1-0.08)</f>
        <v>77.694000000000003</v>
      </c>
      <c r="X420" s="71">
        <f>IF(ISERROR(VLOOKUP($U$420,'TAR FIN'!$A$1:$O$120,15,0)),0,VLOOKUP($U$420,'TAR FIN'!$A$1:$O$120,15,0))*(1-0.08)</f>
        <v>235.86960000000002</v>
      </c>
      <c r="Y420" s="71"/>
      <c r="Z420" s="71">
        <f ca="1">('TUSD BE'!$AM$34+'TUSD BF'!$AM$34+'TUSD CVA'!$AM$34)*1*(1-0.06)</f>
        <v>82.268200247339408</v>
      </c>
      <c r="AA420" s="71">
        <f>('TE BE'!$AA$11+'TE BF'!$AA$11+'TE CVA'!$AA$11)*1*(1-0.06)</f>
        <v>216.98415684477786</v>
      </c>
      <c r="AB420" s="71">
        <f>(SUBSIDIO!$J$420*SUBSIDIO!$V$420)*(0.08)/(1-0.08)</f>
        <v>0</v>
      </c>
      <c r="AC420" s="71">
        <f>((SUBSIDIO!$L$420*SUBSIDIO!$W$420)+(SUBSIDIO!$N$420*SUBSIDIO!$X$420))*(0.08)/(1-0.08)</f>
        <v>448.80494400000003</v>
      </c>
      <c r="AD420" s="71">
        <f>(SUBSIDIO!$J$420*SUBSIDIO!$Y$420)*(0.06)/(1-0.06)</f>
        <v>0</v>
      </c>
      <c r="AE420" s="71">
        <f ca="1">((SUBSIDIO!$L$420*SUBSIDIO!$Z$420)+(SUBSIDIO!$N$420*SUBSIDIO!$AA$420))*(0.06)/(1-0.06)</f>
        <v>314.40598708954792</v>
      </c>
      <c r="AF420" s="4" t="s">
        <v>1151</v>
      </c>
    </row>
    <row r="421" spans="1:32" ht="11.25" customHeight="1" x14ac:dyDescent="0.25">
      <c r="A421" s="4" t="s">
        <v>28</v>
      </c>
      <c r="B421" s="4" t="s">
        <v>33</v>
      </c>
      <c r="C421" s="4" t="s">
        <v>34</v>
      </c>
      <c r="D421" s="4" t="s">
        <v>47</v>
      </c>
      <c r="E421" s="4" t="s">
        <v>25</v>
      </c>
      <c r="F421" s="4" t="s">
        <v>25</v>
      </c>
      <c r="G421" s="4" t="s">
        <v>25</v>
      </c>
      <c r="H421" s="4" t="s">
        <v>36</v>
      </c>
      <c r="I421" s="5">
        <v>43891</v>
      </c>
      <c r="J421" s="6">
        <v>0</v>
      </c>
      <c r="K421" s="71">
        <v>0</v>
      </c>
      <c r="L421" s="6">
        <v>54.99</v>
      </c>
      <c r="M421" s="71">
        <v>54.99</v>
      </c>
      <c r="N421" s="6">
        <v>54.99</v>
      </c>
      <c r="O421" s="71">
        <v>54.99</v>
      </c>
      <c r="P421" s="6">
        <v>0</v>
      </c>
      <c r="Q421" s="4" t="s">
        <v>26</v>
      </c>
      <c r="R421" s="4">
        <v>0</v>
      </c>
      <c r="S421" s="4">
        <v>0</v>
      </c>
      <c r="T421" s="4">
        <v>28</v>
      </c>
      <c r="U421" s="4">
        <v>82</v>
      </c>
      <c r="V421" s="71">
        <f>IF(ISERROR(VLOOKUP($S$421,'TAR FIN'!$A$1:$O$120,15,0)),0,VLOOKUP($S$421,'TAR FIN'!$A$1:$O$120,15,0))</f>
        <v>0</v>
      </c>
      <c r="W421" s="71">
        <f>IF(ISERROR(VLOOKUP($T$421,'TAR FIN'!$A$1:$O$120,15,0)),0,VLOOKUP($T$421,'TAR FIN'!$A$1:$O$120,15,0))*(1-0.08)</f>
        <v>77.694000000000003</v>
      </c>
      <c r="X421" s="71">
        <f>IF(ISERROR(VLOOKUP($U$421,'TAR FIN'!$A$1:$O$120,15,0)),0,VLOOKUP($U$421,'TAR FIN'!$A$1:$O$120,15,0))*(1-0.08)</f>
        <v>235.86960000000002</v>
      </c>
      <c r="Y421" s="71"/>
      <c r="Z421" s="71">
        <f ca="1">('TUSD BE'!$AM$34+'TUSD BF'!$AM$34+'TUSD CVA'!$AM$34)*1*(1-0.06)</f>
        <v>82.268200247339408</v>
      </c>
      <c r="AA421" s="71">
        <f>('TE BE'!$AA$11+'TE BF'!$AA$11+'TE CVA'!$AA$11)*1*(1-0.06)</f>
        <v>216.98415684477786</v>
      </c>
      <c r="AB421" s="71">
        <f>(SUBSIDIO!$J$421*SUBSIDIO!$V$421)*(0.08)/(1-0.08)</f>
        <v>0</v>
      </c>
      <c r="AC421" s="71">
        <f>((SUBSIDIO!$L$421*SUBSIDIO!$W$421)+(SUBSIDIO!$N$421*SUBSIDIO!$X$421))*(0.08)/(1-0.08)</f>
        <v>1499.379336</v>
      </c>
      <c r="AD421" s="71">
        <f>(SUBSIDIO!$J$421*SUBSIDIO!$Y$421)*(0.06)/(1-0.06)</f>
        <v>0</v>
      </c>
      <c r="AE421" s="71">
        <f ca="1">((SUBSIDIO!$L$421*SUBSIDIO!$Z$421)+(SUBSIDIO!$N$421*SUBSIDIO!$AA$421))*(0.06)/(1-0.06)</f>
        <v>1050.3757733933319</v>
      </c>
      <c r="AF421" s="4" t="s">
        <v>1151</v>
      </c>
    </row>
    <row r="422" spans="1:32" ht="11.25" customHeight="1" x14ac:dyDescent="0.25">
      <c r="A422" s="4" t="s">
        <v>21</v>
      </c>
      <c r="B422" s="4" t="s">
        <v>33</v>
      </c>
      <c r="C422" s="4" t="s">
        <v>34</v>
      </c>
      <c r="D422" s="4" t="s">
        <v>47</v>
      </c>
      <c r="E422" s="4" t="s">
        <v>25</v>
      </c>
      <c r="F422" s="4" t="s">
        <v>25</v>
      </c>
      <c r="G422" s="4" t="s">
        <v>25</v>
      </c>
      <c r="H422" s="4" t="s">
        <v>36</v>
      </c>
      <c r="I422" s="5">
        <v>43922</v>
      </c>
      <c r="J422" s="6">
        <v>0</v>
      </c>
      <c r="K422" s="71">
        <v>0</v>
      </c>
      <c r="L422" s="6">
        <v>2340.3690000000001</v>
      </c>
      <c r="M422" s="71">
        <v>2340.3690000000001</v>
      </c>
      <c r="N422" s="6">
        <v>2340.3690000000001</v>
      </c>
      <c r="O422" s="71">
        <v>2340.3690000000001</v>
      </c>
      <c r="P422" s="6">
        <v>0</v>
      </c>
      <c r="Q422" s="4" t="s">
        <v>26</v>
      </c>
      <c r="R422" s="4">
        <v>0</v>
      </c>
      <c r="S422" s="4">
        <v>0</v>
      </c>
      <c r="T422" s="4">
        <v>28</v>
      </c>
      <c r="U422" s="4">
        <v>82</v>
      </c>
      <c r="V422" s="71">
        <f>IF(ISERROR(VLOOKUP($S$422,'TAR FIN'!$A$1:$O$120,15,0)),0,VLOOKUP($S$422,'TAR FIN'!$A$1:$O$120,15,0))</f>
        <v>0</v>
      </c>
      <c r="W422" s="71">
        <f>IF(ISERROR(VLOOKUP($T$422,'TAR FIN'!$A$1:$O$120,15,0)),0,VLOOKUP($T$422,'TAR FIN'!$A$1:$O$120,15,0))*(1-0.08)</f>
        <v>77.694000000000003</v>
      </c>
      <c r="X422" s="71">
        <f>IF(ISERROR(VLOOKUP($U$422,'TAR FIN'!$A$1:$O$120,15,0)),0,VLOOKUP($U$422,'TAR FIN'!$A$1:$O$120,15,0))*(1-0.08)</f>
        <v>235.86960000000002</v>
      </c>
      <c r="Y422" s="71"/>
      <c r="Z422" s="71">
        <f ca="1">('TUSD BE'!$AM$34+'TUSD BF'!$AM$34+'TUSD CVA'!$AM$34)*1*(1-0.06)</f>
        <v>82.268200247339408</v>
      </c>
      <c r="AA422" s="71">
        <f>('TE BE'!$AA$11+'TE BF'!$AA$11+'TE CVA'!$AA$11)*1*(1-0.06)</f>
        <v>216.98415684477786</v>
      </c>
      <c r="AB422" s="71">
        <f>(SUBSIDIO!$J$422*SUBSIDIO!$V$422)*(0.08)/(1-0.08)</f>
        <v>0</v>
      </c>
      <c r="AC422" s="71">
        <f>((SUBSIDIO!$L$422*SUBSIDIO!$W$422)+(SUBSIDIO!$N$422*SUBSIDIO!$X$422))*(0.08)/(1-0.08)</f>
        <v>63813.437301600003</v>
      </c>
      <c r="AD422" s="71">
        <f>(SUBSIDIO!$J$422*SUBSIDIO!$Y$422)*(0.06)/(1-0.06)</f>
        <v>0</v>
      </c>
      <c r="AE422" s="71">
        <f ca="1">((SUBSIDIO!$L$422*SUBSIDIO!$Z$422)+(SUBSIDIO!$N$422*SUBSIDIO!$AA$422))*(0.06)/(1-0.06)</f>
        <v>44703.889769063069</v>
      </c>
      <c r="AF422" s="4" t="s">
        <v>1151</v>
      </c>
    </row>
    <row r="423" spans="1:32" ht="11.25" customHeight="1" x14ac:dyDescent="0.25">
      <c r="A423" s="4" t="s">
        <v>27</v>
      </c>
      <c r="B423" s="4" t="s">
        <v>33</v>
      </c>
      <c r="C423" s="4" t="s">
        <v>34</v>
      </c>
      <c r="D423" s="4" t="s">
        <v>47</v>
      </c>
      <c r="E423" s="4" t="s">
        <v>25</v>
      </c>
      <c r="F423" s="4" t="s">
        <v>25</v>
      </c>
      <c r="G423" s="4" t="s">
        <v>25</v>
      </c>
      <c r="H423" s="4" t="s">
        <v>36</v>
      </c>
      <c r="I423" s="5">
        <v>43922</v>
      </c>
      <c r="J423" s="6">
        <v>0</v>
      </c>
      <c r="K423" s="71">
        <v>0</v>
      </c>
      <c r="L423" s="6">
        <v>35.110999999999997</v>
      </c>
      <c r="M423" s="71">
        <v>35.110999999999997</v>
      </c>
      <c r="N423" s="6">
        <v>35.110999999999997</v>
      </c>
      <c r="O423" s="71">
        <v>35.110999999999997</v>
      </c>
      <c r="P423" s="6">
        <v>0</v>
      </c>
      <c r="Q423" s="4" t="s">
        <v>26</v>
      </c>
      <c r="R423" s="4">
        <v>0</v>
      </c>
      <c r="S423" s="4">
        <v>0</v>
      </c>
      <c r="T423" s="4">
        <v>28</v>
      </c>
      <c r="U423" s="4">
        <v>82</v>
      </c>
      <c r="V423" s="71">
        <f>IF(ISERROR(VLOOKUP($S$423,'TAR FIN'!$A$1:$O$120,15,0)),0,VLOOKUP($S$423,'TAR FIN'!$A$1:$O$120,15,0))</f>
        <v>0</v>
      </c>
      <c r="W423" s="71">
        <f>IF(ISERROR(VLOOKUP($T$423,'TAR FIN'!$A$1:$O$120,15,0)),0,VLOOKUP($T$423,'TAR FIN'!$A$1:$O$120,15,0))*(1-0.08)</f>
        <v>77.694000000000003</v>
      </c>
      <c r="X423" s="71">
        <f>IF(ISERROR(VLOOKUP($U$423,'TAR FIN'!$A$1:$O$120,15,0)),0,VLOOKUP($U$423,'TAR FIN'!$A$1:$O$120,15,0))*(1-0.08)</f>
        <v>235.86960000000002</v>
      </c>
      <c r="Y423" s="71"/>
      <c r="Z423" s="71">
        <f ca="1">('TUSD BE'!$AM$34+'TUSD BF'!$AM$34+'TUSD CVA'!$AM$34)*1*(1-0.06)</f>
        <v>82.268200247339408</v>
      </c>
      <c r="AA423" s="71">
        <f>('TE BE'!$AA$11+'TE BF'!$AA$11+'TE CVA'!$AA$11)*1*(1-0.06)</f>
        <v>216.98415684477786</v>
      </c>
      <c r="AB423" s="71">
        <f>(SUBSIDIO!$J$423*SUBSIDIO!$V$423)*(0.08)/(1-0.08)</f>
        <v>0</v>
      </c>
      <c r="AC423" s="71">
        <f>((SUBSIDIO!$L$423*SUBSIDIO!$W$423)+(SUBSIDIO!$N$423*SUBSIDIO!$X$423))*(0.08)/(1-0.08)</f>
        <v>957.35057040000004</v>
      </c>
      <c r="AD423" s="71">
        <f>(SUBSIDIO!$J$423*SUBSIDIO!$Y$423)*(0.06)/(1-0.06)</f>
        <v>0</v>
      </c>
      <c r="AE423" s="71">
        <f ca="1">((SUBSIDIO!$L$423*SUBSIDIO!$Z$423)+(SUBSIDIO!$N$423*SUBSIDIO!$AA$423))*(0.06)/(1-0.06)</f>
        <v>670.66273467199971</v>
      </c>
      <c r="AF423" s="4" t="s">
        <v>1151</v>
      </c>
    </row>
    <row r="424" spans="1:32" ht="11.25" customHeight="1" x14ac:dyDescent="0.25">
      <c r="A424" s="4" t="s">
        <v>28</v>
      </c>
      <c r="B424" s="4" t="s">
        <v>33</v>
      </c>
      <c r="C424" s="4" t="s">
        <v>34</v>
      </c>
      <c r="D424" s="4" t="s">
        <v>47</v>
      </c>
      <c r="E424" s="4" t="s">
        <v>25</v>
      </c>
      <c r="F424" s="4" t="s">
        <v>25</v>
      </c>
      <c r="G424" s="4" t="s">
        <v>25</v>
      </c>
      <c r="H424" s="4" t="s">
        <v>36</v>
      </c>
      <c r="I424" s="5">
        <v>43922</v>
      </c>
      <c r="J424" s="6">
        <v>0</v>
      </c>
      <c r="K424" s="71">
        <v>0</v>
      </c>
      <c r="L424" s="6">
        <v>59.365000000000002</v>
      </c>
      <c r="M424" s="71">
        <v>59.365000000000002</v>
      </c>
      <c r="N424" s="6">
        <v>59.365000000000002</v>
      </c>
      <c r="O424" s="71">
        <v>59.365000000000002</v>
      </c>
      <c r="P424" s="6">
        <v>0</v>
      </c>
      <c r="Q424" s="4" t="s">
        <v>26</v>
      </c>
      <c r="R424" s="4">
        <v>0</v>
      </c>
      <c r="S424" s="4">
        <v>0</v>
      </c>
      <c r="T424" s="4">
        <v>28</v>
      </c>
      <c r="U424" s="4">
        <v>82</v>
      </c>
      <c r="V424" s="71">
        <f>IF(ISERROR(VLOOKUP($S$424,'TAR FIN'!$A$1:$O$120,15,0)),0,VLOOKUP($S$424,'TAR FIN'!$A$1:$O$120,15,0))</f>
        <v>0</v>
      </c>
      <c r="W424" s="71">
        <f>IF(ISERROR(VLOOKUP($T$424,'TAR FIN'!$A$1:$O$120,15,0)),0,VLOOKUP($T$424,'TAR FIN'!$A$1:$O$120,15,0))*(1-0.08)</f>
        <v>77.694000000000003</v>
      </c>
      <c r="X424" s="71">
        <f>IF(ISERROR(VLOOKUP($U$424,'TAR FIN'!$A$1:$O$120,15,0)),0,VLOOKUP($U$424,'TAR FIN'!$A$1:$O$120,15,0))*(1-0.08)</f>
        <v>235.86960000000002</v>
      </c>
      <c r="Y424" s="71"/>
      <c r="Z424" s="71">
        <f ca="1">('TUSD BE'!$AM$34+'TUSD BF'!$AM$34+'TUSD CVA'!$AM$34)*1*(1-0.06)</f>
        <v>82.268200247339408</v>
      </c>
      <c r="AA424" s="71">
        <f>('TE BE'!$AA$11+'TE BF'!$AA$11+'TE CVA'!$AA$11)*1*(1-0.06)</f>
        <v>216.98415684477786</v>
      </c>
      <c r="AB424" s="71">
        <f>(SUBSIDIO!$J$424*SUBSIDIO!$V$424)*(0.08)/(1-0.08)</f>
        <v>0</v>
      </c>
      <c r="AC424" s="71">
        <f>((SUBSIDIO!$L$424*SUBSIDIO!$W$424)+(SUBSIDIO!$N$424*SUBSIDIO!$X$424))*(0.08)/(1-0.08)</f>
        <v>1618.6698360000005</v>
      </c>
      <c r="AD424" s="71">
        <f>(SUBSIDIO!$J$424*SUBSIDIO!$Y$424)*(0.06)/(1-0.06)</f>
        <v>0</v>
      </c>
      <c r="AE424" s="71">
        <f ca="1">((SUBSIDIO!$L$424*SUBSIDIO!$Z$424)+(SUBSIDIO!$N$424*SUBSIDIO!$AA$424))*(0.06)/(1-0.06)</f>
        <v>1133.9435858791624</v>
      </c>
      <c r="AF424" s="4" t="s">
        <v>1151</v>
      </c>
    </row>
    <row r="425" spans="1:32" ht="11.25" customHeight="1" x14ac:dyDescent="0.25">
      <c r="A425" s="4" t="s">
        <v>21</v>
      </c>
      <c r="B425" s="4" t="s">
        <v>33</v>
      </c>
      <c r="C425" s="4" t="s">
        <v>34</v>
      </c>
      <c r="D425" s="4" t="s">
        <v>47</v>
      </c>
      <c r="E425" s="4" t="s">
        <v>25</v>
      </c>
      <c r="F425" s="4" t="s">
        <v>25</v>
      </c>
      <c r="G425" s="4" t="s">
        <v>25</v>
      </c>
      <c r="H425" s="4" t="s">
        <v>36</v>
      </c>
      <c r="I425" s="5">
        <v>43952</v>
      </c>
      <c r="J425" s="6">
        <v>0</v>
      </c>
      <c r="K425" s="71">
        <v>0</v>
      </c>
      <c r="L425" s="6">
        <v>1884.789</v>
      </c>
      <c r="M425" s="71">
        <v>1884.789</v>
      </c>
      <c r="N425" s="6">
        <v>1884.789</v>
      </c>
      <c r="O425" s="71">
        <v>1884.789</v>
      </c>
      <c r="P425" s="6">
        <v>0</v>
      </c>
      <c r="Q425" s="4" t="s">
        <v>26</v>
      </c>
      <c r="R425" s="4">
        <v>0</v>
      </c>
      <c r="S425" s="4">
        <v>0</v>
      </c>
      <c r="T425" s="4">
        <v>28</v>
      </c>
      <c r="U425" s="4">
        <v>82</v>
      </c>
      <c r="V425" s="71">
        <f>IF(ISERROR(VLOOKUP($S$425,'TAR FIN'!$A$1:$O$120,15,0)),0,VLOOKUP($S$425,'TAR FIN'!$A$1:$O$120,15,0))</f>
        <v>0</v>
      </c>
      <c r="W425" s="71">
        <f>IF(ISERROR(VLOOKUP($T$425,'TAR FIN'!$A$1:$O$120,15,0)),0,VLOOKUP($T$425,'TAR FIN'!$A$1:$O$120,15,0))*(1-0.08)</f>
        <v>77.694000000000003</v>
      </c>
      <c r="X425" s="71">
        <f>IF(ISERROR(VLOOKUP($U$425,'TAR FIN'!$A$1:$O$120,15,0)),0,VLOOKUP($U$425,'TAR FIN'!$A$1:$O$120,15,0))*(1-0.08)</f>
        <v>235.86960000000002</v>
      </c>
      <c r="Y425" s="71"/>
      <c r="Z425" s="71">
        <f ca="1">('TUSD BE'!$AM$34+'TUSD BF'!$AM$34+'TUSD CVA'!$AM$34)*1*(1-0.06)</f>
        <v>82.268200247339408</v>
      </c>
      <c r="AA425" s="71">
        <f>('TE BE'!$AA$11+'TE BF'!$AA$11+'TE CVA'!$AA$11)*1*(1-0.06)</f>
        <v>216.98415684477786</v>
      </c>
      <c r="AB425" s="71">
        <f>(SUBSIDIO!$J$425*SUBSIDIO!$V$425)*(0.08)/(1-0.08)</f>
        <v>0</v>
      </c>
      <c r="AC425" s="71">
        <f>((SUBSIDIO!$L$425*SUBSIDIO!$W$425)+(SUBSIDIO!$N$425*SUBSIDIO!$X$425))*(0.08)/(1-0.08)</f>
        <v>51391.410789600006</v>
      </c>
      <c r="AD425" s="71">
        <f>(SUBSIDIO!$J$425*SUBSIDIO!$Y$425)*(0.06)/(1-0.06)</f>
        <v>0</v>
      </c>
      <c r="AE425" s="71">
        <f ca="1">((SUBSIDIO!$L$425*SUBSIDIO!$Z$425)+(SUBSIDIO!$N$425*SUBSIDIO!$AA$425))*(0.06)/(1-0.06)</f>
        <v>36001.758566252851</v>
      </c>
      <c r="AF425" s="4" t="s">
        <v>1151</v>
      </c>
    </row>
    <row r="426" spans="1:32" ht="11.25" customHeight="1" x14ac:dyDescent="0.25">
      <c r="A426" s="4" t="s">
        <v>27</v>
      </c>
      <c r="B426" s="4" t="s">
        <v>33</v>
      </c>
      <c r="C426" s="4" t="s">
        <v>34</v>
      </c>
      <c r="D426" s="4" t="s">
        <v>47</v>
      </c>
      <c r="E426" s="4" t="s">
        <v>25</v>
      </c>
      <c r="F426" s="4" t="s">
        <v>25</v>
      </c>
      <c r="G426" s="4" t="s">
        <v>25</v>
      </c>
      <c r="H426" s="4" t="s">
        <v>36</v>
      </c>
      <c r="I426" s="5">
        <v>43952</v>
      </c>
      <c r="J426" s="6">
        <v>0</v>
      </c>
      <c r="K426" s="71">
        <v>0</v>
      </c>
      <c r="L426" s="6">
        <v>27.236000000000001</v>
      </c>
      <c r="M426" s="71">
        <v>27.236000000000001</v>
      </c>
      <c r="N426" s="6">
        <v>27.236000000000001</v>
      </c>
      <c r="O426" s="71">
        <v>27.236000000000001</v>
      </c>
      <c r="P426" s="6">
        <v>0</v>
      </c>
      <c r="Q426" s="4" t="s">
        <v>26</v>
      </c>
      <c r="R426" s="4">
        <v>0</v>
      </c>
      <c r="S426" s="4">
        <v>0</v>
      </c>
      <c r="T426" s="4">
        <v>28</v>
      </c>
      <c r="U426" s="4">
        <v>82</v>
      </c>
      <c r="V426" s="71">
        <f>IF(ISERROR(VLOOKUP($S$426,'TAR FIN'!$A$1:$O$120,15,0)),0,VLOOKUP($S$426,'TAR FIN'!$A$1:$O$120,15,0))</f>
        <v>0</v>
      </c>
      <c r="W426" s="71">
        <f>IF(ISERROR(VLOOKUP($T$426,'TAR FIN'!$A$1:$O$120,15,0)),0,VLOOKUP($T$426,'TAR FIN'!$A$1:$O$120,15,0))*(1-0.08)</f>
        <v>77.694000000000003</v>
      </c>
      <c r="X426" s="71">
        <f>IF(ISERROR(VLOOKUP($U$426,'TAR FIN'!$A$1:$O$120,15,0)),0,VLOOKUP($U$426,'TAR FIN'!$A$1:$O$120,15,0))*(1-0.08)</f>
        <v>235.86960000000002</v>
      </c>
      <c r="Y426" s="71"/>
      <c r="Z426" s="71">
        <f ca="1">('TUSD BE'!$AM$34+'TUSD BF'!$AM$34+'TUSD CVA'!$AM$34)*1*(1-0.06)</f>
        <v>82.268200247339408</v>
      </c>
      <c r="AA426" s="71">
        <f>('TE BE'!$AA$11+'TE BF'!$AA$11+'TE CVA'!$AA$11)*1*(1-0.06)</f>
        <v>216.98415684477786</v>
      </c>
      <c r="AB426" s="71">
        <f>(SUBSIDIO!$J$426*SUBSIDIO!$V$426)*(0.08)/(1-0.08)</f>
        <v>0</v>
      </c>
      <c r="AC426" s="71">
        <f>((SUBSIDIO!$L$426*SUBSIDIO!$W$426)+(SUBSIDIO!$N$426*SUBSIDIO!$X$426))*(0.08)/(1-0.08)</f>
        <v>742.62767040000006</v>
      </c>
      <c r="AD426" s="71">
        <f>(SUBSIDIO!$J$426*SUBSIDIO!$Y$426)*(0.06)/(1-0.06)</f>
        <v>0</v>
      </c>
      <c r="AE426" s="71">
        <f ca="1">((SUBSIDIO!$L$426*SUBSIDIO!$Z$426)+(SUBSIDIO!$N$426*SUBSIDIO!$AA$426))*(0.06)/(1-0.06)</f>
        <v>520.24067219750464</v>
      </c>
      <c r="AF426" s="4" t="s">
        <v>1151</v>
      </c>
    </row>
    <row r="427" spans="1:32" ht="11.25" customHeight="1" x14ac:dyDescent="0.25">
      <c r="A427" s="4" t="s">
        <v>28</v>
      </c>
      <c r="B427" s="4" t="s">
        <v>33</v>
      </c>
      <c r="C427" s="4" t="s">
        <v>34</v>
      </c>
      <c r="D427" s="4" t="s">
        <v>47</v>
      </c>
      <c r="E427" s="4" t="s">
        <v>25</v>
      </c>
      <c r="F427" s="4" t="s">
        <v>25</v>
      </c>
      <c r="G427" s="4" t="s">
        <v>25</v>
      </c>
      <c r="H427" s="4" t="s">
        <v>36</v>
      </c>
      <c r="I427" s="5">
        <v>43952</v>
      </c>
      <c r="J427" s="6">
        <v>0</v>
      </c>
      <c r="K427" s="71">
        <v>0</v>
      </c>
      <c r="L427" s="6">
        <v>81.884</v>
      </c>
      <c r="M427" s="71">
        <v>81.884</v>
      </c>
      <c r="N427" s="6">
        <v>81.884</v>
      </c>
      <c r="O427" s="71">
        <v>81.884</v>
      </c>
      <c r="P427" s="6">
        <v>0</v>
      </c>
      <c r="Q427" s="4" t="s">
        <v>26</v>
      </c>
      <c r="R427" s="4">
        <v>0</v>
      </c>
      <c r="S427" s="4">
        <v>0</v>
      </c>
      <c r="T427" s="4">
        <v>28</v>
      </c>
      <c r="U427" s="4">
        <v>82</v>
      </c>
      <c r="V427" s="71">
        <f>IF(ISERROR(VLOOKUP($S$427,'TAR FIN'!$A$1:$O$120,15,0)),0,VLOOKUP($S$427,'TAR FIN'!$A$1:$O$120,15,0))</f>
        <v>0</v>
      </c>
      <c r="W427" s="71">
        <f>IF(ISERROR(VLOOKUP($T$427,'TAR FIN'!$A$1:$O$120,15,0)),0,VLOOKUP($T$427,'TAR FIN'!$A$1:$O$120,15,0))*(1-0.08)</f>
        <v>77.694000000000003</v>
      </c>
      <c r="X427" s="71">
        <f>IF(ISERROR(VLOOKUP($U$427,'TAR FIN'!$A$1:$O$120,15,0)),0,VLOOKUP($U$427,'TAR FIN'!$A$1:$O$120,15,0))*(1-0.08)</f>
        <v>235.86960000000002</v>
      </c>
      <c r="Y427" s="71"/>
      <c r="Z427" s="71">
        <f ca="1">('TUSD BE'!$AM$34+'TUSD BF'!$AM$34+'TUSD CVA'!$AM$34)*1*(1-0.06)</f>
        <v>82.268200247339408</v>
      </c>
      <c r="AA427" s="71">
        <f>('TE BE'!$AA$11+'TE BF'!$AA$11+'TE CVA'!$AA$11)*1*(1-0.06)</f>
        <v>216.98415684477786</v>
      </c>
      <c r="AB427" s="71">
        <f>(SUBSIDIO!$J$427*SUBSIDIO!$V$427)*(0.08)/(1-0.08)</f>
        <v>0</v>
      </c>
      <c r="AC427" s="71">
        <f>((SUBSIDIO!$L$427*SUBSIDIO!$W$427)+(SUBSIDIO!$N$427*SUBSIDIO!$X$427))*(0.08)/(1-0.08)</f>
        <v>2232.6818976</v>
      </c>
      <c r="AD427" s="71">
        <f>(SUBSIDIO!$J$427*SUBSIDIO!$Y$427)*(0.06)/(1-0.06)</f>
        <v>0</v>
      </c>
      <c r="AE427" s="71">
        <f ca="1">((SUBSIDIO!$L$427*SUBSIDIO!$Z$427)+(SUBSIDIO!$N$427*SUBSIDIO!$AA$427))*(0.06)/(1-0.06)</f>
        <v>1564.0838303062296</v>
      </c>
      <c r="AF427" s="4" t="s">
        <v>1151</v>
      </c>
    </row>
    <row r="428" spans="1:32" ht="11.25" customHeight="1" x14ac:dyDescent="0.25">
      <c r="A428" s="4" t="s">
        <v>21</v>
      </c>
      <c r="B428" s="4" t="s">
        <v>33</v>
      </c>
      <c r="C428" s="4" t="s">
        <v>34</v>
      </c>
      <c r="D428" s="4" t="s">
        <v>47</v>
      </c>
      <c r="E428" s="4" t="s">
        <v>25</v>
      </c>
      <c r="F428" s="4" t="s">
        <v>25</v>
      </c>
      <c r="G428" s="4" t="s">
        <v>25</v>
      </c>
      <c r="H428" s="4" t="s">
        <v>36</v>
      </c>
      <c r="I428" s="5">
        <v>43983</v>
      </c>
      <c r="J428" s="6">
        <v>0</v>
      </c>
      <c r="K428" s="71">
        <v>0</v>
      </c>
      <c r="L428" s="6">
        <v>1796.68</v>
      </c>
      <c r="M428" s="71">
        <v>1796.68</v>
      </c>
      <c r="N428" s="6">
        <v>1796.68</v>
      </c>
      <c r="O428" s="71">
        <v>1796.68</v>
      </c>
      <c r="P428" s="6">
        <v>0</v>
      </c>
      <c r="Q428" s="4" t="s">
        <v>26</v>
      </c>
      <c r="R428" s="4">
        <v>0</v>
      </c>
      <c r="S428" s="4">
        <v>0</v>
      </c>
      <c r="T428" s="4">
        <v>28</v>
      </c>
      <c r="U428" s="4">
        <v>82</v>
      </c>
      <c r="V428" s="71">
        <f>IF(ISERROR(VLOOKUP($S$428,'TAR FIN'!$A$1:$O$120,15,0)),0,VLOOKUP($S$428,'TAR FIN'!$A$1:$O$120,15,0))</f>
        <v>0</v>
      </c>
      <c r="W428" s="71">
        <f>IF(ISERROR(VLOOKUP($T$428,'TAR FIN'!$A$1:$O$120,15,0)),0,VLOOKUP($T$428,'TAR FIN'!$A$1:$O$120,15,0))*(1-0.08)</f>
        <v>77.694000000000003</v>
      </c>
      <c r="X428" s="71">
        <f>IF(ISERROR(VLOOKUP($U$428,'TAR FIN'!$A$1:$O$120,15,0)),0,VLOOKUP($U$428,'TAR FIN'!$A$1:$O$120,15,0))*(1-0.08)</f>
        <v>235.86960000000002</v>
      </c>
      <c r="Y428" s="71"/>
      <c r="Z428" s="71">
        <f ca="1">('TUSD BE'!$AM$34+'TUSD BF'!$AM$34+'TUSD CVA'!$AM$34)*1*(1-0.06)</f>
        <v>82.268200247339408</v>
      </c>
      <c r="AA428" s="71">
        <f>('TE BE'!$AA$11+'TE BF'!$AA$11+'TE CVA'!$AA$11)*1*(1-0.06)</f>
        <v>216.98415684477786</v>
      </c>
      <c r="AB428" s="71">
        <f>(SUBSIDIO!$J$428*SUBSIDIO!$V$428)*(0.08)/(1-0.08)</f>
        <v>0</v>
      </c>
      <c r="AC428" s="71">
        <f>((SUBSIDIO!$L$428*SUBSIDIO!$W$428)+(SUBSIDIO!$N$428*SUBSIDIO!$X$428))*(0.08)/(1-0.08)</f>
        <v>48988.995552</v>
      </c>
      <c r="AD428" s="71">
        <f>(SUBSIDIO!$J$428*SUBSIDIO!$Y$428)*(0.06)/(1-0.06)</f>
        <v>0</v>
      </c>
      <c r="AE428" s="71">
        <f ca="1">((SUBSIDIO!$L$428*SUBSIDIO!$Z$428)+(SUBSIDIO!$N$428*SUBSIDIO!$AA$428))*(0.06)/(1-0.06)</f>
        <v>34318.76967703821</v>
      </c>
      <c r="AF428" s="4" t="s">
        <v>1151</v>
      </c>
    </row>
    <row r="429" spans="1:32" ht="11.25" customHeight="1" x14ac:dyDescent="0.25">
      <c r="A429" s="4" t="s">
        <v>27</v>
      </c>
      <c r="B429" s="4" t="s">
        <v>33</v>
      </c>
      <c r="C429" s="4" t="s">
        <v>34</v>
      </c>
      <c r="D429" s="4" t="s">
        <v>47</v>
      </c>
      <c r="E429" s="4" t="s">
        <v>25</v>
      </c>
      <c r="F429" s="4" t="s">
        <v>25</v>
      </c>
      <c r="G429" s="4" t="s">
        <v>25</v>
      </c>
      <c r="H429" s="4" t="s">
        <v>36</v>
      </c>
      <c r="I429" s="5">
        <v>43983</v>
      </c>
      <c r="J429" s="6">
        <v>0</v>
      </c>
      <c r="K429" s="71">
        <v>0</v>
      </c>
      <c r="L429" s="6">
        <v>25.707999999999998</v>
      </c>
      <c r="M429" s="71">
        <v>25.707999999999998</v>
      </c>
      <c r="N429" s="6">
        <v>25.707999999999998</v>
      </c>
      <c r="O429" s="71">
        <v>25.707999999999998</v>
      </c>
      <c r="P429" s="6">
        <v>0</v>
      </c>
      <c r="Q429" s="4" t="s">
        <v>26</v>
      </c>
      <c r="R429" s="4">
        <v>0</v>
      </c>
      <c r="S429" s="4">
        <v>0</v>
      </c>
      <c r="T429" s="4">
        <v>28</v>
      </c>
      <c r="U429" s="4">
        <v>82</v>
      </c>
      <c r="V429" s="71">
        <f>IF(ISERROR(VLOOKUP($S$429,'TAR FIN'!$A$1:$O$120,15,0)),0,VLOOKUP($S$429,'TAR FIN'!$A$1:$O$120,15,0))</f>
        <v>0</v>
      </c>
      <c r="W429" s="71">
        <f>IF(ISERROR(VLOOKUP($T$429,'TAR FIN'!$A$1:$O$120,15,0)),0,VLOOKUP($T$429,'TAR FIN'!$A$1:$O$120,15,0))*(1-0.08)</f>
        <v>77.694000000000003</v>
      </c>
      <c r="X429" s="71">
        <f>IF(ISERROR(VLOOKUP($U$429,'TAR FIN'!$A$1:$O$120,15,0)),0,VLOOKUP($U$429,'TAR FIN'!$A$1:$O$120,15,0))*(1-0.08)</f>
        <v>235.86960000000002</v>
      </c>
      <c r="Y429" s="71"/>
      <c r="Z429" s="71">
        <f ca="1">('TUSD BE'!$AM$34+'TUSD BF'!$AM$34+'TUSD CVA'!$AM$34)*1*(1-0.06)</f>
        <v>82.268200247339408</v>
      </c>
      <c r="AA429" s="71">
        <f>('TE BE'!$AA$11+'TE BF'!$AA$11+'TE CVA'!$AA$11)*1*(1-0.06)</f>
        <v>216.98415684477786</v>
      </c>
      <c r="AB429" s="71">
        <f>(SUBSIDIO!$J$429*SUBSIDIO!$V$429)*(0.08)/(1-0.08)</f>
        <v>0</v>
      </c>
      <c r="AC429" s="71">
        <f>((SUBSIDIO!$L$429*SUBSIDIO!$W$429)+(SUBSIDIO!$N$429*SUBSIDIO!$X$429))*(0.08)/(1-0.08)</f>
        <v>700.96461120000004</v>
      </c>
      <c r="AD429" s="71">
        <f>(SUBSIDIO!$J$429*SUBSIDIO!$Y$429)*(0.06)/(1-0.06)</f>
        <v>0</v>
      </c>
      <c r="AE429" s="71">
        <f ca="1">((SUBSIDIO!$L$429*SUBSIDIO!$Z$429)+(SUBSIDIO!$N$429*SUBSIDIO!$AA$429))*(0.06)/(1-0.06)</f>
        <v>491.05401677388198</v>
      </c>
      <c r="AF429" s="4" t="s">
        <v>1151</v>
      </c>
    </row>
    <row r="430" spans="1:32" ht="11.25" customHeight="1" x14ac:dyDescent="0.25">
      <c r="A430" s="4" t="s">
        <v>28</v>
      </c>
      <c r="B430" s="4" t="s">
        <v>33</v>
      </c>
      <c r="C430" s="4" t="s">
        <v>34</v>
      </c>
      <c r="D430" s="4" t="s">
        <v>47</v>
      </c>
      <c r="E430" s="4" t="s">
        <v>25</v>
      </c>
      <c r="F430" s="4" t="s">
        <v>25</v>
      </c>
      <c r="G430" s="4" t="s">
        <v>25</v>
      </c>
      <c r="H430" s="4" t="s">
        <v>36</v>
      </c>
      <c r="I430" s="5">
        <v>43983</v>
      </c>
      <c r="J430" s="6">
        <v>0</v>
      </c>
      <c r="K430" s="71">
        <v>0</v>
      </c>
      <c r="L430" s="6">
        <v>62.497999999999998</v>
      </c>
      <c r="M430" s="71">
        <v>62.497999999999998</v>
      </c>
      <c r="N430" s="6">
        <v>62.497999999999998</v>
      </c>
      <c r="O430" s="71">
        <v>62.497999999999998</v>
      </c>
      <c r="P430" s="6">
        <v>0</v>
      </c>
      <c r="Q430" s="4" t="s">
        <v>26</v>
      </c>
      <c r="R430" s="4">
        <v>0</v>
      </c>
      <c r="S430" s="4">
        <v>0</v>
      </c>
      <c r="T430" s="4">
        <v>28</v>
      </c>
      <c r="U430" s="4">
        <v>82</v>
      </c>
      <c r="V430" s="71">
        <f>IF(ISERROR(VLOOKUP($S$430,'TAR FIN'!$A$1:$O$120,15,0)),0,VLOOKUP($S$430,'TAR FIN'!$A$1:$O$120,15,0))</f>
        <v>0</v>
      </c>
      <c r="W430" s="71">
        <f>IF(ISERROR(VLOOKUP($T$430,'TAR FIN'!$A$1:$O$120,15,0)),0,VLOOKUP($T$430,'TAR FIN'!$A$1:$O$120,15,0))*(1-0.08)</f>
        <v>77.694000000000003</v>
      </c>
      <c r="X430" s="71">
        <f>IF(ISERROR(VLOOKUP($U$430,'TAR FIN'!$A$1:$O$120,15,0)),0,VLOOKUP($U$430,'TAR FIN'!$A$1:$O$120,15,0))*(1-0.08)</f>
        <v>235.86960000000002</v>
      </c>
      <c r="Y430" s="71"/>
      <c r="Z430" s="71">
        <f ca="1">('TUSD BE'!$AM$34+'TUSD BF'!$AM$34+'TUSD CVA'!$AM$34)*1*(1-0.06)</f>
        <v>82.268200247339408</v>
      </c>
      <c r="AA430" s="71">
        <f>('TE BE'!$AA$11+'TE BF'!$AA$11+'TE CVA'!$AA$11)*1*(1-0.06)</f>
        <v>216.98415684477786</v>
      </c>
      <c r="AB430" s="71">
        <f>(SUBSIDIO!$J$430*SUBSIDIO!$V$430)*(0.08)/(1-0.08)</f>
        <v>0</v>
      </c>
      <c r="AC430" s="71">
        <f>((SUBSIDIO!$L$430*SUBSIDIO!$W$430)+(SUBSIDIO!$N$430*SUBSIDIO!$X$430))*(0.08)/(1-0.08)</f>
        <v>1704.0954672</v>
      </c>
      <c r="AD430" s="71">
        <f>(SUBSIDIO!$J$430*SUBSIDIO!$Y$430)*(0.06)/(1-0.06)</f>
        <v>0</v>
      </c>
      <c r="AE430" s="71">
        <f ca="1">((SUBSIDIO!$L$430*SUBSIDIO!$Z$430)+(SUBSIDIO!$N$430*SUBSIDIO!$AA$430))*(0.06)/(1-0.06)</f>
        <v>1193.7876902261582</v>
      </c>
      <c r="AF430" s="4" t="s">
        <v>1151</v>
      </c>
    </row>
    <row r="431" spans="1:32" ht="11.25" customHeight="1" x14ac:dyDescent="0.25">
      <c r="A431" s="4" t="s">
        <v>21</v>
      </c>
      <c r="B431" s="4" t="s">
        <v>33</v>
      </c>
      <c r="C431" s="4" t="s">
        <v>34</v>
      </c>
      <c r="D431" s="4" t="s">
        <v>47</v>
      </c>
      <c r="E431" s="4" t="s">
        <v>25</v>
      </c>
      <c r="F431" s="4" t="s">
        <v>25</v>
      </c>
      <c r="G431" s="4" t="s">
        <v>25</v>
      </c>
      <c r="H431" s="4" t="s">
        <v>36</v>
      </c>
      <c r="I431" s="5">
        <v>44013</v>
      </c>
      <c r="J431" s="6">
        <v>0</v>
      </c>
      <c r="K431" s="71">
        <v>0</v>
      </c>
      <c r="L431" s="6">
        <v>1713.537</v>
      </c>
      <c r="M431" s="71">
        <v>1713.537</v>
      </c>
      <c r="N431" s="6">
        <v>1713.537</v>
      </c>
      <c r="O431" s="71">
        <v>1713.537</v>
      </c>
      <c r="P431" s="6">
        <v>0</v>
      </c>
      <c r="Q431" s="4" t="s">
        <v>26</v>
      </c>
      <c r="R431" s="4">
        <v>0</v>
      </c>
      <c r="S431" s="4">
        <v>0</v>
      </c>
      <c r="T431" s="4">
        <v>28</v>
      </c>
      <c r="U431" s="4">
        <v>82</v>
      </c>
      <c r="V431" s="71">
        <f>IF(ISERROR(VLOOKUP($S$431,'TAR FIN'!$A$1:$O$120,15,0)),0,VLOOKUP($S$431,'TAR FIN'!$A$1:$O$120,15,0))</f>
        <v>0</v>
      </c>
      <c r="W431" s="71">
        <f>IF(ISERROR(VLOOKUP($T$431,'TAR FIN'!$A$1:$O$120,15,0)),0,VLOOKUP($T$431,'TAR FIN'!$A$1:$O$120,15,0))*(1-0.08)</f>
        <v>77.694000000000003</v>
      </c>
      <c r="X431" s="71">
        <f>IF(ISERROR(VLOOKUP($U$431,'TAR FIN'!$A$1:$O$120,15,0)),0,VLOOKUP($U$431,'TAR FIN'!$A$1:$O$120,15,0))*(1-0.08)</f>
        <v>235.86960000000002</v>
      </c>
      <c r="Y431" s="71"/>
      <c r="Z431" s="71">
        <f ca="1">('TUSD BE'!$AM$34+'TUSD BF'!$AM$34+'TUSD CVA'!$AM$34)*1*(1-0.06)</f>
        <v>82.268200247339408</v>
      </c>
      <c r="AA431" s="71">
        <f>('TE BE'!$AA$11+'TE BF'!$AA$11+'TE CVA'!$AA$11)*1*(1-0.06)</f>
        <v>216.98415684477786</v>
      </c>
      <c r="AB431" s="71">
        <f>(SUBSIDIO!$J$431*SUBSIDIO!$V$431)*(0.08)/(1-0.08)</f>
        <v>0</v>
      </c>
      <c r="AC431" s="71">
        <f>((SUBSIDIO!$L$431*SUBSIDIO!$W$431)+(SUBSIDIO!$N$431*SUBSIDIO!$X$431))*(0.08)/(1-0.08)</f>
        <v>46721.985256799999</v>
      </c>
      <c r="AD431" s="71">
        <f>(SUBSIDIO!$J$431*SUBSIDIO!$Y$431)*(0.06)/(1-0.06)</f>
        <v>0</v>
      </c>
      <c r="AE431" s="71">
        <f ca="1">((SUBSIDIO!$L$431*SUBSIDIO!$Z$431)+(SUBSIDIO!$N$431*SUBSIDIO!$AA$431))*(0.06)/(1-0.06)</f>
        <v>32730.63741795034</v>
      </c>
      <c r="AF431" s="4" t="s">
        <v>1151</v>
      </c>
    </row>
    <row r="432" spans="1:32" ht="11.25" customHeight="1" x14ac:dyDescent="0.25">
      <c r="A432" s="4" t="s">
        <v>27</v>
      </c>
      <c r="B432" s="4" t="s">
        <v>33</v>
      </c>
      <c r="C432" s="4" t="s">
        <v>34</v>
      </c>
      <c r="D432" s="4" t="s">
        <v>47</v>
      </c>
      <c r="E432" s="4" t="s">
        <v>25</v>
      </c>
      <c r="F432" s="4" t="s">
        <v>25</v>
      </c>
      <c r="G432" s="4" t="s">
        <v>25</v>
      </c>
      <c r="H432" s="4" t="s">
        <v>36</v>
      </c>
      <c r="I432" s="5">
        <v>44013</v>
      </c>
      <c r="J432" s="6">
        <v>0</v>
      </c>
      <c r="K432" s="71">
        <v>0</v>
      </c>
      <c r="L432" s="6">
        <v>47.707999999999998</v>
      </c>
      <c r="M432" s="71">
        <v>47.707999999999998</v>
      </c>
      <c r="N432" s="6">
        <v>47.707999999999998</v>
      </c>
      <c r="O432" s="71">
        <v>47.707999999999998</v>
      </c>
      <c r="P432" s="6">
        <v>0</v>
      </c>
      <c r="Q432" s="4" t="s">
        <v>26</v>
      </c>
      <c r="R432" s="4">
        <v>0</v>
      </c>
      <c r="S432" s="4">
        <v>0</v>
      </c>
      <c r="T432" s="4">
        <v>28</v>
      </c>
      <c r="U432" s="4">
        <v>82</v>
      </c>
      <c r="V432" s="71">
        <f>IF(ISERROR(VLOOKUP($S$432,'TAR FIN'!$A$1:$O$120,15,0)),0,VLOOKUP($S$432,'TAR FIN'!$A$1:$O$120,15,0))</f>
        <v>0</v>
      </c>
      <c r="W432" s="71">
        <f>IF(ISERROR(VLOOKUP($T$432,'TAR FIN'!$A$1:$O$120,15,0)),0,VLOOKUP($T$432,'TAR FIN'!$A$1:$O$120,15,0))*(1-0.08)</f>
        <v>77.694000000000003</v>
      </c>
      <c r="X432" s="71">
        <f>IF(ISERROR(VLOOKUP($U$432,'TAR FIN'!$A$1:$O$120,15,0)),0,VLOOKUP($U$432,'TAR FIN'!$A$1:$O$120,15,0))*(1-0.08)</f>
        <v>235.86960000000002</v>
      </c>
      <c r="Y432" s="71"/>
      <c r="Z432" s="71">
        <f ca="1">('TUSD BE'!$AM$34+'TUSD BF'!$AM$34+'TUSD CVA'!$AM$34)*1*(1-0.06)</f>
        <v>82.268200247339408</v>
      </c>
      <c r="AA432" s="71">
        <f>('TE BE'!$AA$11+'TE BF'!$AA$11+'TE CVA'!$AA$11)*1*(1-0.06)</f>
        <v>216.98415684477786</v>
      </c>
      <c r="AB432" s="71">
        <f>(SUBSIDIO!$J$432*SUBSIDIO!$V$432)*(0.08)/(1-0.08)</f>
        <v>0</v>
      </c>
      <c r="AC432" s="71">
        <f>((SUBSIDIO!$L$432*SUBSIDIO!$W$432)+(SUBSIDIO!$N$432*SUBSIDIO!$X$432))*(0.08)/(1-0.08)</f>
        <v>1300.8254112000002</v>
      </c>
      <c r="AD432" s="71">
        <f>(SUBSIDIO!$J$432*SUBSIDIO!$Y$432)*(0.06)/(1-0.06)</f>
        <v>0</v>
      </c>
      <c r="AE432" s="71">
        <f ca="1">((SUBSIDIO!$L$432*SUBSIDIO!$Z$432)+(SUBSIDIO!$N$432*SUBSIDIO!$AA$432))*(0.06)/(1-0.06)</f>
        <v>911.28073098834432</v>
      </c>
      <c r="AF432" s="4" t="s">
        <v>1151</v>
      </c>
    </row>
    <row r="433" spans="1:32" ht="11.25" customHeight="1" x14ac:dyDescent="0.25">
      <c r="A433" s="4" t="s">
        <v>28</v>
      </c>
      <c r="B433" s="4" t="s">
        <v>33</v>
      </c>
      <c r="C433" s="4" t="s">
        <v>34</v>
      </c>
      <c r="D433" s="4" t="s">
        <v>47</v>
      </c>
      <c r="E433" s="4" t="s">
        <v>25</v>
      </c>
      <c r="F433" s="4" t="s">
        <v>25</v>
      </c>
      <c r="G433" s="4" t="s">
        <v>25</v>
      </c>
      <c r="H433" s="4" t="s">
        <v>36</v>
      </c>
      <c r="I433" s="5">
        <v>44013</v>
      </c>
      <c r="J433" s="6">
        <v>0</v>
      </c>
      <c r="K433" s="71">
        <v>0</v>
      </c>
      <c r="L433" s="6">
        <v>226.25800000000001</v>
      </c>
      <c r="M433" s="71">
        <v>226.25800000000001</v>
      </c>
      <c r="N433" s="6">
        <v>226.25800000000001</v>
      </c>
      <c r="O433" s="71">
        <v>226.25800000000001</v>
      </c>
      <c r="P433" s="6">
        <v>0</v>
      </c>
      <c r="Q433" s="4" t="s">
        <v>26</v>
      </c>
      <c r="R433" s="4">
        <v>0</v>
      </c>
      <c r="S433" s="4">
        <v>0</v>
      </c>
      <c r="T433" s="4">
        <v>28</v>
      </c>
      <c r="U433" s="4">
        <v>82</v>
      </c>
      <c r="V433" s="71">
        <f>IF(ISERROR(VLOOKUP($S$433,'TAR FIN'!$A$1:$O$120,15,0)),0,VLOOKUP($S$433,'TAR FIN'!$A$1:$O$120,15,0))</f>
        <v>0</v>
      </c>
      <c r="W433" s="71">
        <f>IF(ISERROR(VLOOKUP($T$433,'TAR FIN'!$A$1:$O$120,15,0)),0,VLOOKUP($T$433,'TAR FIN'!$A$1:$O$120,15,0))*(1-0.08)</f>
        <v>77.694000000000003</v>
      </c>
      <c r="X433" s="71">
        <f>IF(ISERROR(VLOOKUP($U$433,'TAR FIN'!$A$1:$O$120,15,0)),0,VLOOKUP($U$433,'TAR FIN'!$A$1:$O$120,15,0))*(1-0.08)</f>
        <v>235.86960000000002</v>
      </c>
      <c r="Y433" s="71"/>
      <c r="Z433" s="71">
        <f ca="1">('TUSD BE'!$AM$34+'TUSD BF'!$AM$34+'TUSD CVA'!$AM$34)*1*(1-0.06)</f>
        <v>82.268200247339408</v>
      </c>
      <c r="AA433" s="71">
        <f>('TE BE'!$AA$11+'TE BF'!$AA$11+'TE CVA'!$AA$11)*1*(1-0.06)</f>
        <v>216.98415684477786</v>
      </c>
      <c r="AB433" s="71">
        <f>(SUBSIDIO!$J$433*SUBSIDIO!$V$433)*(0.08)/(1-0.08)</f>
        <v>0</v>
      </c>
      <c r="AC433" s="71">
        <f>((SUBSIDIO!$L$433*SUBSIDIO!$W$433)+(SUBSIDIO!$N$433*SUBSIDIO!$X$433))*(0.08)/(1-0.08)</f>
        <v>6169.2411312000004</v>
      </c>
      <c r="AD433" s="71">
        <f>(SUBSIDIO!$J$433*SUBSIDIO!$Y$433)*(0.06)/(1-0.06)</f>
        <v>0</v>
      </c>
      <c r="AE433" s="71">
        <f ca="1">((SUBSIDIO!$L$433*SUBSIDIO!$Z$433)+(SUBSIDIO!$N$433*SUBSIDIO!$AA$433))*(0.06)/(1-0.06)</f>
        <v>4321.802541124358</v>
      </c>
      <c r="AF433" s="4" t="s">
        <v>1151</v>
      </c>
    </row>
    <row r="434" spans="1:32" ht="11.25" customHeight="1" x14ac:dyDescent="0.25">
      <c r="A434" s="4" t="s">
        <v>21</v>
      </c>
      <c r="B434" s="4" t="s">
        <v>33</v>
      </c>
      <c r="C434" s="4" t="s">
        <v>34</v>
      </c>
      <c r="D434" s="4" t="s">
        <v>47</v>
      </c>
      <c r="E434" s="4" t="s">
        <v>25</v>
      </c>
      <c r="F434" s="4" t="s">
        <v>25</v>
      </c>
      <c r="G434" s="4" t="s">
        <v>25</v>
      </c>
      <c r="H434" s="4" t="s">
        <v>36</v>
      </c>
      <c r="I434" s="5">
        <v>44044</v>
      </c>
      <c r="J434" s="6">
        <v>0</v>
      </c>
      <c r="K434" s="71">
        <v>0</v>
      </c>
      <c r="L434" s="6">
        <v>1814.5129999999999</v>
      </c>
      <c r="M434" s="71">
        <v>1814.5129999999999</v>
      </c>
      <c r="N434" s="6">
        <v>1814.5129999999999</v>
      </c>
      <c r="O434" s="71">
        <v>1814.5129999999999</v>
      </c>
      <c r="P434" s="6">
        <v>0</v>
      </c>
      <c r="Q434" s="4" t="s">
        <v>26</v>
      </c>
      <c r="R434" s="4">
        <v>0</v>
      </c>
      <c r="S434" s="4">
        <v>0</v>
      </c>
      <c r="T434" s="4">
        <v>28</v>
      </c>
      <c r="U434" s="4">
        <v>82</v>
      </c>
      <c r="V434" s="71">
        <f>IF(ISERROR(VLOOKUP($S$434,'TAR FIN'!$A$1:$O$120,15,0)),0,VLOOKUP($S$434,'TAR FIN'!$A$1:$O$120,15,0))</f>
        <v>0</v>
      </c>
      <c r="W434" s="71">
        <f>IF(ISERROR(VLOOKUP($T$434,'TAR FIN'!$A$1:$O$120,15,0)),0,VLOOKUP($T$434,'TAR FIN'!$A$1:$O$120,15,0))*(1-0.08)</f>
        <v>77.694000000000003</v>
      </c>
      <c r="X434" s="71">
        <f>IF(ISERROR(VLOOKUP($U$434,'TAR FIN'!$A$1:$O$120,15,0)),0,VLOOKUP($U$434,'TAR FIN'!$A$1:$O$120,15,0))*(1-0.08)</f>
        <v>235.86960000000002</v>
      </c>
      <c r="Y434" s="71"/>
      <c r="Z434" s="71">
        <f ca="1">('TUSD BE'!$AM$34+'TUSD BF'!$AM$34+'TUSD CVA'!$AM$34)*1*(1-0.06)</f>
        <v>82.268200247339408</v>
      </c>
      <c r="AA434" s="71">
        <f>('TE BE'!$AA$11+'TE BF'!$AA$11+'TE CVA'!$AA$11)*1*(1-0.06)</f>
        <v>216.98415684477786</v>
      </c>
      <c r="AB434" s="71">
        <f>(SUBSIDIO!$J$434*SUBSIDIO!$V$434)*(0.08)/(1-0.08)</f>
        <v>0</v>
      </c>
      <c r="AC434" s="71">
        <f>((SUBSIDIO!$L$434*SUBSIDIO!$W$434)+(SUBSIDIO!$N$434*SUBSIDIO!$X$434))*(0.08)/(1-0.08)</f>
        <v>49475.237263200004</v>
      </c>
      <c r="AD434" s="71">
        <f>(SUBSIDIO!$J$434*SUBSIDIO!$Y$434)*(0.06)/(1-0.06)</f>
        <v>0</v>
      </c>
      <c r="AE434" s="71">
        <f ca="1">((SUBSIDIO!$L$434*SUBSIDIO!$Z$434)+(SUBSIDIO!$N$434*SUBSIDIO!$AA$434))*(0.06)/(1-0.06)</f>
        <v>34659.401631337591</v>
      </c>
      <c r="AF434" s="4" t="s">
        <v>1151</v>
      </c>
    </row>
    <row r="435" spans="1:32" ht="11.25" customHeight="1" x14ac:dyDescent="0.25">
      <c r="A435" s="4" t="s">
        <v>27</v>
      </c>
      <c r="B435" s="4" t="s">
        <v>33</v>
      </c>
      <c r="C435" s="4" t="s">
        <v>34</v>
      </c>
      <c r="D435" s="4" t="s">
        <v>47</v>
      </c>
      <c r="E435" s="4" t="s">
        <v>25</v>
      </c>
      <c r="F435" s="4" t="s">
        <v>25</v>
      </c>
      <c r="G435" s="4" t="s">
        <v>25</v>
      </c>
      <c r="H435" s="4" t="s">
        <v>36</v>
      </c>
      <c r="I435" s="5">
        <v>44044</v>
      </c>
      <c r="J435" s="6">
        <v>0</v>
      </c>
      <c r="K435" s="71">
        <v>0</v>
      </c>
      <c r="L435" s="6">
        <v>48.156999999999996</v>
      </c>
      <c r="M435" s="71">
        <v>48.156999999999996</v>
      </c>
      <c r="N435" s="6">
        <v>48.156999999999996</v>
      </c>
      <c r="O435" s="71">
        <v>48.156999999999996</v>
      </c>
      <c r="P435" s="6">
        <v>0</v>
      </c>
      <c r="Q435" s="4" t="s">
        <v>26</v>
      </c>
      <c r="R435" s="4">
        <v>0</v>
      </c>
      <c r="S435" s="4">
        <v>0</v>
      </c>
      <c r="T435" s="4">
        <v>28</v>
      </c>
      <c r="U435" s="4">
        <v>82</v>
      </c>
      <c r="V435" s="71">
        <f>IF(ISERROR(VLOOKUP($S$435,'TAR FIN'!$A$1:$O$120,15,0)),0,VLOOKUP($S$435,'TAR FIN'!$A$1:$O$120,15,0))</f>
        <v>0</v>
      </c>
      <c r="W435" s="71">
        <f>IF(ISERROR(VLOOKUP($T$435,'TAR FIN'!$A$1:$O$120,15,0)),0,VLOOKUP($T$435,'TAR FIN'!$A$1:$O$120,15,0))*(1-0.08)</f>
        <v>77.694000000000003</v>
      </c>
      <c r="X435" s="71">
        <f>IF(ISERROR(VLOOKUP($U$435,'TAR FIN'!$A$1:$O$120,15,0)),0,VLOOKUP($U$435,'TAR FIN'!$A$1:$O$120,15,0))*(1-0.08)</f>
        <v>235.86960000000002</v>
      </c>
      <c r="Y435" s="71"/>
      <c r="Z435" s="71">
        <f ca="1">('TUSD BE'!$AM$34+'TUSD BF'!$AM$34+'TUSD CVA'!$AM$34)*1*(1-0.06)</f>
        <v>82.268200247339408</v>
      </c>
      <c r="AA435" s="71">
        <f>('TE BE'!$AA$11+'TE BF'!$AA$11+'TE CVA'!$AA$11)*1*(1-0.06)</f>
        <v>216.98415684477786</v>
      </c>
      <c r="AB435" s="71">
        <f>(SUBSIDIO!$J$435*SUBSIDIO!$V$435)*(0.08)/(1-0.08)</f>
        <v>0</v>
      </c>
      <c r="AC435" s="71">
        <f>((SUBSIDIO!$L$435*SUBSIDIO!$W$435)+(SUBSIDIO!$N$435*SUBSIDIO!$X$435))*(0.08)/(1-0.08)</f>
        <v>1313.0680247999999</v>
      </c>
      <c r="AD435" s="71">
        <f>(SUBSIDIO!$J$435*SUBSIDIO!$Y$435)*(0.06)/(1-0.06)</f>
        <v>0</v>
      </c>
      <c r="AE435" s="71">
        <f ca="1">((SUBSIDIO!$L$435*SUBSIDIO!$Z$435)+(SUBSIDIO!$N$435*SUBSIDIO!$AA$435))*(0.06)/(1-0.06)</f>
        <v>919.857176201176</v>
      </c>
      <c r="AF435" s="4" t="s">
        <v>1151</v>
      </c>
    </row>
    <row r="436" spans="1:32" ht="11.25" customHeight="1" x14ac:dyDescent="0.25">
      <c r="A436" s="4" t="s">
        <v>28</v>
      </c>
      <c r="B436" s="4" t="s">
        <v>33</v>
      </c>
      <c r="C436" s="4" t="s">
        <v>34</v>
      </c>
      <c r="D436" s="4" t="s">
        <v>47</v>
      </c>
      <c r="E436" s="4" t="s">
        <v>25</v>
      </c>
      <c r="F436" s="4" t="s">
        <v>25</v>
      </c>
      <c r="G436" s="4" t="s">
        <v>25</v>
      </c>
      <c r="H436" s="4" t="s">
        <v>36</v>
      </c>
      <c r="I436" s="5">
        <v>44044</v>
      </c>
      <c r="J436" s="6">
        <v>0</v>
      </c>
      <c r="K436" s="71">
        <v>0</v>
      </c>
      <c r="L436" s="6">
        <v>251.316</v>
      </c>
      <c r="M436" s="71">
        <v>251.316</v>
      </c>
      <c r="N436" s="6">
        <v>251.316</v>
      </c>
      <c r="O436" s="71">
        <v>251.316</v>
      </c>
      <c r="P436" s="6">
        <v>0</v>
      </c>
      <c r="Q436" s="4" t="s">
        <v>26</v>
      </c>
      <c r="R436" s="4">
        <v>0</v>
      </c>
      <c r="S436" s="4">
        <v>0</v>
      </c>
      <c r="T436" s="4">
        <v>28</v>
      </c>
      <c r="U436" s="4">
        <v>82</v>
      </c>
      <c r="V436" s="71">
        <f>IF(ISERROR(VLOOKUP($S$436,'TAR FIN'!$A$1:$O$120,15,0)),0,VLOOKUP($S$436,'TAR FIN'!$A$1:$O$120,15,0))</f>
        <v>0</v>
      </c>
      <c r="W436" s="71">
        <f>IF(ISERROR(VLOOKUP($T$436,'TAR FIN'!$A$1:$O$120,15,0)),0,VLOOKUP($T$436,'TAR FIN'!$A$1:$O$120,15,0))*(1-0.08)</f>
        <v>77.694000000000003</v>
      </c>
      <c r="X436" s="71">
        <f>IF(ISERROR(VLOOKUP($U$436,'TAR FIN'!$A$1:$O$120,15,0)),0,VLOOKUP($U$436,'TAR FIN'!$A$1:$O$120,15,0))*(1-0.08)</f>
        <v>235.86960000000002</v>
      </c>
      <c r="Y436" s="71"/>
      <c r="Z436" s="71">
        <f ca="1">('TUSD BE'!$AM$34+'TUSD BF'!$AM$34+'TUSD CVA'!$AM$34)*1*(1-0.06)</f>
        <v>82.268200247339408</v>
      </c>
      <c r="AA436" s="71">
        <f>('TE BE'!$AA$11+'TE BF'!$AA$11+'TE CVA'!$AA$11)*1*(1-0.06)</f>
        <v>216.98415684477786</v>
      </c>
      <c r="AB436" s="71">
        <f>(SUBSIDIO!$J$436*SUBSIDIO!$V$436)*(0.08)/(1-0.08)</f>
        <v>0</v>
      </c>
      <c r="AC436" s="71">
        <f>((SUBSIDIO!$L$436*SUBSIDIO!$W$436)+(SUBSIDIO!$N$436*SUBSIDIO!$X$436))*(0.08)/(1-0.08)</f>
        <v>6852.4825824</v>
      </c>
      <c r="AD436" s="71">
        <f>(SUBSIDIO!$J$436*SUBSIDIO!$Y$436)*(0.06)/(1-0.06)</f>
        <v>0</v>
      </c>
      <c r="AE436" s="71">
        <f ca="1">((SUBSIDIO!$L$436*SUBSIDIO!$Z$436)+(SUBSIDIO!$N$436*SUBSIDIO!$AA$436))*(0.06)/(1-0.06)</f>
        <v>4800.4407686146305</v>
      </c>
      <c r="AF436" s="4" t="s">
        <v>1151</v>
      </c>
    </row>
    <row r="437" spans="1:32" ht="11.25" customHeight="1" x14ac:dyDescent="0.25">
      <c r="A437" s="4" t="s">
        <v>59</v>
      </c>
      <c r="B437" s="4" t="s">
        <v>33</v>
      </c>
      <c r="C437" s="4" t="s">
        <v>34</v>
      </c>
      <c r="D437" s="4" t="s">
        <v>47</v>
      </c>
      <c r="E437" s="4" t="s">
        <v>25</v>
      </c>
      <c r="F437" s="4" t="s">
        <v>25</v>
      </c>
      <c r="G437" s="4" t="s">
        <v>25</v>
      </c>
      <c r="H437" s="4" t="s">
        <v>36</v>
      </c>
      <c r="I437" s="5">
        <v>44075</v>
      </c>
      <c r="J437" s="6">
        <v>0</v>
      </c>
      <c r="K437" s="71">
        <v>0</v>
      </c>
      <c r="L437" s="6">
        <v>1814.5129999999999</v>
      </c>
      <c r="M437" s="71">
        <v>1814.5129999999999</v>
      </c>
      <c r="N437" s="6">
        <v>1814.5129999999999</v>
      </c>
      <c r="O437" s="71">
        <v>1814.5129999999999</v>
      </c>
      <c r="P437" s="6">
        <v>0</v>
      </c>
      <c r="Q437" s="4" t="s">
        <v>26</v>
      </c>
      <c r="R437" s="4">
        <v>0</v>
      </c>
      <c r="S437" s="4">
        <v>0</v>
      </c>
      <c r="T437" s="4">
        <v>28</v>
      </c>
      <c r="U437" s="4">
        <v>82</v>
      </c>
      <c r="V437" s="71">
        <f>IF(ISERROR(VLOOKUP($S$437,'TAR FIN'!$A$1:$O$120,15,0)),0,VLOOKUP($S$437,'TAR FIN'!$A$1:$O$120,15,0))</f>
        <v>0</v>
      </c>
      <c r="W437" s="71">
        <f>IF(ISERROR(VLOOKUP($T$437,'TAR FIN'!$A$1:$O$120,15,0)),0,VLOOKUP($T$437,'TAR FIN'!$A$1:$O$120,15,0))*(1-0.08)</f>
        <v>77.694000000000003</v>
      </c>
      <c r="X437" s="71">
        <f>IF(ISERROR(VLOOKUP($U$437,'TAR FIN'!$A$1:$O$120,15,0)),0,VLOOKUP($U$437,'TAR FIN'!$A$1:$O$120,15,0))*(1-0.08)</f>
        <v>235.86960000000002</v>
      </c>
      <c r="Y437" s="71"/>
      <c r="Z437" s="71">
        <f ca="1">('TUSD BE'!$AM$34+'TUSD BF'!$AM$34+'TUSD CVA'!$AM$34)*1*(1-0.06)</f>
        <v>82.268200247339408</v>
      </c>
      <c r="AA437" s="71">
        <f>('TE BE'!$AA$11+'TE BF'!$AA$11+'TE CVA'!$AA$11)*1*(1-0.06)</f>
        <v>216.98415684477786</v>
      </c>
      <c r="AB437" s="71">
        <f>(SUBSIDIO!$J$437*SUBSIDIO!$V$437)*(0.08)/(1-0.08)</f>
        <v>0</v>
      </c>
      <c r="AC437" s="71">
        <f>((SUBSIDIO!$L$437*SUBSIDIO!$W$437)+(SUBSIDIO!$N$437*SUBSIDIO!$X$437))*(0.08)/(1-0.08)</f>
        <v>49475.237263200004</v>
      </c>
      <c r="AD437" s="71">
        <f>(SUBSIDIO!$J$437*SUBSIDIO!$Y$437)*(0.06)/(1-0.06)</f>
        <v>0</v>
      </c>
      <c r="AE437" s="71">
        <f ca="1">((SUBSIDIO!$L$437*SUBSIDIO!$Z$437)+(SUBSIDIO!$N$437*SUBSIDIO!$AA$437))*(0.06)/(1-0.06)</f>
        <v>34659.401631337591</v>
      </c>
      <c r="AF437" s="4" t="s">
        <v>1151</v>
      </c>
    </row>
    <row r="438" spans="1:32" ht="11.25" customHeight="1" x14ac:dyDescent="0.25">
      <c r="A438" s="4" t="s">
        <v>59</v>
      </c>
      <c r="B438" s="4" t="s">
        <v>33</v>
      </c>
      <c r="C438" s="4" t="s">
        <v>34</v>
      </c>
      <c r="D438" s="4" t="s">
        <v>47</v>
      </c>
      <c r="E438" s="4" t="s">
        <v>25</v>
      </c>
      <c r="F438" s="4" t="s">
        <v>25</v>
      </c>
      <c r="G438" s="4" t="s">
        <v>25</v>
      </c>
      <c r="H438" s="4" t="s">
        <v>36</v>
      </c>
      <c r="I438" s="5">
        <v>44075</v>
      </c>
      <c r="J438" s="6">
        <v>0</v>
      </c>
      <c r="K438" s="71">
        <v>0</v>
      </c>
      <c r="L438" s="6">
        <v>48.156999999999996</v>
      </c>
      <c r="M438" s="71">
        <v>48.156999999999996</v>
      </c>
      <c r="N438" s="6">
        <v>48.156999999999996</v>
      </c>
      <c r="O438" s="71">
        <v>48.156999999999996</v>
      </c>
      <c r="P438" s="6">
        <v>0</v>
      </c>
      <c r="Q438" s="4" t="s">
        <v>26</v>
      </c>
      <c r="R438" s="4">
        <v>0</v>
      </c>
      <c r="S438" s="4">
        <v>0</v>
      </c>
      <c r="T438" s="4">
        <v>28</v>
      </c>
      <c r="U438" s="4">
        <v>82</v>
      </c>
      <c r="V438" s="71">
        <f>IF(ISERROR(VLOOKUP($S$438,'TAR FIN'!$A$1:$O$120,15,0)),0,VLOOKUP($S$438,'TAR FIN'!$A$1:$O$120,15,0))</f>
        <v>0</v>
      </c>
      <c r="W438" s="71">
        <f>IF(ISERROR(VLOOKUP($T$438,'TAR FIN'!$A$1:$O$120,15,0)),0,VLOOKUP($T$438,'TAR FIN'!$A$1:$O$120,15,0))*(1-0.08)</f>
        <v>77.694000000000003</v>
      </c>
      <c r="X438" s="71">
        <f>IF(ISERROR(VLOOKUP($U$438,'TAR FIN'!$A$1:$O$120,15,0)),0,VLOOKUP($U$438,'TAR FIN'!$A$1:$O$120,15,0))*(1-0.08)</f>
        <v>235.86960000000002</v>
      </c>
      <c r="Y438" s="71"/>
      <c r="Z438" s="71">
        <f ca="1">('TUSD BE'!$AM$34+'TUSD BF'!$AM$34+'TUSD CVA'!$AM$34)*1*(1-0.06)</f>
        <v>82.268200247339408</v>
      </c>
      <c r="AA438" s="71">
        <f>('TE BE'!$AA$11+'TE BF'!$AA$11+'TE CVA'!$AA$11)*1*(1-0.06)</f>
        <v>216.98415684477786</v>
      </c>
      <c r="AB438" s="71">
        <f>(SUBSIDIO!$J$438*SUBSIDIO!$V$438)*(0.08)/(1-0.08)</f>
        <v>0</v>
      </c>
      <c r="AC438" s="71">
        <f>((SUBSIDIO!$L$438*SUBSIDIO!$W$438)+(SUBSIDIO!$N$438*SUBSIDIO!$X$438))*(0.08)/(1-0.08)</f>
        <v>1313.0680247999999</v>
      </c>
      <c r="AD438" s="71">
        <f>(SUBSIDIO!$J$438*SUBSIDIO!$Y$438)*(0.06)/(1-0.06)</f>
        <v>0</v>
      </c>
      <c r="AE438" s="71">
        <f ca="1">((SUBSIDIO!$L$438*SUBSIDIO!$Z$438)+(SUBSIDIO!$N$438*SUBSIDIO!$AA$438))*(0.06)/(1-0.06)</f>
        <v>919.857176201176</v>
      </c>
      <c r="AF438" s="4" t="s">
        <v>1151</v>
      </c>
    </row>
    <row r="439" spans="1:32" ht="11.25" customHeight="1" x14ac:dyDescent="0.25">
      <c r="A439" s="4" t="s">
        <v>59</v>
      </c>
      <c r="B439" s="4" t="s">
        <v>33</v>
      </c>
      <c r="C439" s="4" t="s">
        <v>34</v>
      </c>
      <c r="D439" s="4" t="s">
        <v>47</v>
      </c>
      <c r="E439" s="4" t="s">
        <v>25</v>
      </c>
      <c r="F439" s="4" t="s">
        <v>25</v>
      </c>
      <c r="G439" s="4" t="s">
        <v>25</v>
      </c>
      <c r="H439" s="4" t="s">
        <v>36</v>
      </c>
      <c r="I439" s="5">
        <v>44075</v>
      </c>
      <c r="J439" s="6">
        <v>0</v>
      </c>
      <c r="K439" s="71">
        <v>0</v>
      </c>
      <c r="L439" s="6">
        <v>251.316</v>
      </c>
      <c r="M439" s="71">
        <v>251.316</v>
      </c>
      <c r="N439" s="6">
        <v>251.316</v>
      </c>
      <c r="O439" s="71">
        <v>251.316</v>
      </c>
      <c r="P439" s="6">
        <v>0</v>
      </c>
      <c r="Q439" s="4" t="s">
        <v>26</v>
      </c>
      <c r="R439" s="4">
        <v>0</v>
      </c>
      <c r="S439" s="4">
        <v>0</v>
      </c>
      <c r="T439" s="4">
        <v>28</v>
      </c>
      <c r="U439" s="4">
        <v>82</v>
      </c>
      <c r="V439" s="71">
        <f>IF(ISERROR(VLOOKUP($S$439,'TAR FIN'!$A$1:$O$120,15,0)),0,VLOOKUP($S$439,'TAR FIN'!$A$1:$O$120,15,0))</f>
        <v>0</v>
      </c>
      <c r="W439" s="71">
        <f>IF(ISERROR(VLOOKUP($T$439,'TAR FIN'!$A$1:$O$120,15,0)),0,VLOOKUP($T$439,'TAR FIN'!$A$1:$O$120,15,0))*(1-0.08)</f>
        <v>77.694000000000003</v>
      </c>
      <c r="X439" s="71">
        <f>IF(ISERROR(VLOOKUP($U$439,'TAR FIN'!$A$1:$O$120,15,0)),0,VLOOKUP($U$439,'TAR FIN'!$A$1:$O$120,15,0))*(1-0.08)</f>
        <v>235.86960000000002</v>
      </c>
      <c r="Y439" s="71"/>
      <c r="Z439" s="71">
        <f ca="1">('TUSD BE'!$AM$34+'TUSD BF'!$AM$34+'TUSD CVA'!$AM$34)*1*(1-0.06)</f>
        <v>82.268200247339408</v>
      </c>
      <c r="AA439" s="71">
        <f>('TE BE'!$AA$11+'TE BF'!$AA$11+'TE CVA'!$AA$11)*1*(1-0.06)</f>
        <v>216.98415684477786</v>
      </c>
      <c r="AB439" s="71">
        <f>(SUBSIDIO!$J$439*SUBSIDIO!$V$439)*(0.08)/(1-0.08)</f>
        <v>0</v>
      </c>
      <c r="AC439" s="71">
        <f>((SUBSIDIO!$L$439*SUBSIDIO!$W$439)+(SUBSIDIO!$N$439*SUBSIDIO!$X$439))*(0.08)/(1-0.08)</f>
        <v>6852.4825824</v>
      </c>
      <c r="AD439" s="71">
        <f>(SUBSIDIO!$J$439*SUBSIDIO!$Y$439)*(0.06)/(1-0.06)</f>
        <v>0</v>
      </c>
      <c r="AE439" s="71">
        <f ca="1">((SUBSIDIO!$L$439*SUBSIDIO!$Z$439)+(SUBSIDIO!$N$439*SUBSIDIO!$AA$439))*(0.06)/(1-0.06)</f>
        <v>4800.4407686146305</v>
      </c>
      <c r="AF439" s="4" t="s">
        <v>1151</v>
      </c>
    </row>
    <row r="440" spans="1:32" ht="11.25" customHeight="1" x14ac:dyDescent="0.25">
      <c r="A440" s="4" t="s">
        <v>21</v>
      </c>
      <c r="B440" s="4" t="s">
        <v>33</v>
      </c>
      <c r="C440" s="4" t="s">
        <v>34</v>
      </c>
      <c r="D440" s="4" t="s">
        <v>47</v>
      </c>
      <c r="E440" s="4" t="s">
        <v>25</v>
      </c>
      <c r="F440" s="4" t="s">
        <v>25</v>
      </c>
      <c r="G440" s="4" t="s">
        <v>25</v>
      </c>
      <c r="H440" s="4" t="s">
        <v>25</v>
      </c>
      <c r="I440" s="5">
        <v>43739</v>
      </c>
      <c r="J440" s="6">
        <v>7088</v>
      </c>
      <c r="K440" s="71">
        <v>7088</v>
      </c>
      <c r="L440" s="6">
        <v>0</v>
      </c>
      <c r="M440" s="71">
        <v>0</v>
      </c>
      <c r="N440" s="6">
        <v>0</v>
      </c>
      <c r="O440" s="71">
        <v>0</v>
      </c>
      <c r="P440" s="6">
        <v>53</v>
      </c>
      <c r="Q440" s="4" t="s">
        <v>26</v>
      </c>
      <c r="R440" s="4">
        <v>0</v>
      </c>
      <c r="S440" s="4">
        <v>26</v>
      </c>
      <c r="T440" s="4">
        <v>0</v>
      </c>
      <c r="U440" s="4">
        <v>0</v>
      </c>
      <c r="V440" s="71">
        <f>IF(ISERROR(VLOOKUP($S$440,'TAR FIN'!$A$1:$O$120,15,0)),0,VLOOKUP($S$440,'TAR FIN'!$A$1:$O$120,15,0))*(1-0.08)</f>
        <v>8.1052</v>
      </c>
      <c r="W440" s="71">
        <f>IF(ISERROR(VLOOKUP($T$440,'TAR FIN'!$A$1:$O$120,15,0)),0,VLOOKUP($T$440,'TAR FIN'!$A$1:$O$120,15,0))</f>
        <v>0</v>
      </c>
      <c r="X440" s="71">
        <f>IF(ISERROR(VLOOKUP($U$440,'TAR FIN'!$A$1:$O$120,15,0)),0,VLOOKUP($U$440,'TAR FIN'!$A$1:$O$120,15,0))</f>
        <v>0</v>
      </c>
      <c r="Y440" s="71">
        <f ca="1">('TUSD BE'!$AM$32+'TUSD BF'!$AM$32+'TUSD CVA'!$AM$32)*1*(1-0.06)</f>
        <v>10.765215249734004</v>
      </c>
      <c r="Z440" s="71"/>
      <c r="AA440" s="71"/>
      <c r="AB440" s="71">
        <f>(SUBSIDIO!$J$440*SUBSIDIO!$V$440)*(0.08)/(1-0.08)</f>
        <v>4995.6224000000002</v>
      </c>
      <c r="AC440" s="71">
        <f>((SUBSIDIO!$L$440*SUBSIDIO!$W$440)+(SUBSIDIO!$N$440*SUBSIDIO!$X$440))*(0.08)/(1-0.08)</f>
        <v>0</v>
      </c>
      <c r="AD440" s="71">
        <f ca="1">(SUBSIDIO!$J$440*SUBSIDIO!$Y$440)*(0.06)/(1-0.06)</f>
        <v>4870.4582355392304</v>
      </c>
      <c r="AE440" s="71">
        <f>((SUBSIDIO!$L$440*SUBSIDIO!$Z$440)+(SUBSIDIO!$N$440*SUBSIDIO!$AA$440))*(0.06)/(1-0.06)</f>
        <v>0</v>
      </c>
      <c r="AF440" s="4" t="s">
        <v>1151</v>
      </c>
    </row>
    <row r="441" spans="1:32" ht="11.25" customHeight="1" x14ac:dyDescent="0.25">
      <c r="A441" s="4" t="s">
        <v>28</v>
      </c>
      <c r="B441" s="4" t="s">
        <v>33</v>
      </c>
      <c r="C441" s="4" t="s">
        <v>34</v>
      </c>
      <c r="D441" s="4" t="s">
        <v>47</v>
      </c>
      <c r="E441" s="4" t="s">
        <v>25</v>
      </c>
      <c r="F441" s="4" t="s">
        <v>25</v>
      </c>
      <c r="G441" s="4" t="s">
        <v>25</v>
      </c>
      <c r="H441" s="4" t="s">
        <v>25</v>
      </c>
      <c r="I441" s="5">
        <v>43739</v>
      </c>
      <c r="J441" s="6">
        <v>872</v>
      </c>
      <c r="K441" s="71">
        <v>872</v>
      </c>
      <c r="L441" s="6">
        <v>0</v>
      </c>
      <c r="M441" s="71">
        <v>0</v>
      </c>
      <c r="N441" s="6">
        <v>0</v>
      </c>
      <c r="O441" s="71">
        <v>0</v>
      </c>
      <c r="P441" s="6">
        <v>3</v>
      </c>
      <c r="Q441" s="4" t="s">
        <v>26</v>
      </c>
      <c r="R441" s="4">
        <v>0</v>
      </c>
      <c r="S441" s="4">
        <v>26</v>
      </c>
      <c r="T441" s="4">
        <v>0</v>
      </c>
      <c r="U441" s="4">
        <v>0</v>
      </c>
      <c r="V441" s="71">
        <f>IF(ISERROR(VLOOKUP($S$441,'TAR FIN'!$A$1:$O$120,15,0)),0,VLOOKUP($S$441,'TAR FIN'!$A$1:$O$120,15,0))*(1-0.08)</f>
        <v>8.1052</v>
      </c>
      <c r="W441" s="71">
        <f>IF(ISERROR(VLOOKUP($T$441,'TAR FIN'!$A$1:$O$120,15,0)),0,VLOOKUP($T$441,'TAR FIN'!$A$1:$O$120,15,0))</f>
        <v>0</v>
      </c>
      <c r="X441" s="71">
        <f>IF(ISERROR(VLOOKUP($U$441,'TAR FIN'!$A$1:$O$120,15,0)),0,VLOOKUP($U$441,'TAR FIN'!$A$1:$O$120,15,0))</f>
        <v>0</v>
      </c>
      <c r="Y441" s="71">
        <f ca="1">('TUSD BE'!$AM$32+'TUSD BF'!$AM$32+'TUSD CVA'!$AM$32)*1*(1-0.06)</f>
        <v>10.765215249734004</v>
      </c>
      <c r="Z441" s="71"/>
      <c r="AA441" s="71"/>
      <c r="AB441" s="71">
        <f>(SUBSIDIO!$J$441*SUBSIDIO!$V$441)*(0.08)/(1-0.08)</f>
        <v>614.5856</v>
      </c>
      <c r="AC441" s="71">
        <f>((SUBSIDIO!$L$441*SUBSIDIO!$W$441)+(SUBSIDIO!$N$441*SUBSIDIO!$X$441))*(0.08)/(1-0.08)</f>
        <v>0</v>
      </c>
      <c r="AD441" s="71">
        <f ca="1">(SUBSIDIO!$J$441*SUBSIDIO!$Y$441)*(0.06)/(1-0.06)</f>
        <v>599.18729985753521</v>
      </c>
      <c r="AE441" s="71">
        <f>((SUBSIDIO!$L$441*SUBSIDIO!$Z$441)+(SUBSIDIO!$N$441*SUBSIDIO!$AA$441))*(0.06)/(1-0.06)</f>
        <v>0</v>
      </c>
      <c r="AF441" s="4" t="s">
        <v>1151</v>
      </c>
    </row>
    <row r="442" spans="1:32" ht="11.25" customHeight="1" x14ac:dyDescent="0.25">
      <c r="A442" s="4" t="s">
        <v>21</v>
      </c>
      <c r="B442" s="4" t="s">
        <v>33</v>
      </c>
      <c r="C442" s="4" t="s">
        <v>34</v>
      </c>
      <c r="D442" s="4" t="s">
        <v>47</v>
      </c>
      <c r="E442" s="4" t="s">
        <v>25</v>
      </c>
      <c r="F442" s="4" t="s">
        <v>25</v>
      </c>
      <c r="G442" s="4" t="s">
        <v>25</v>
      </c>
      <c r="H442" s="4" t="s">
        <v>25</v>
      </c>
      <c r="I442" s="5">
        <v>43770</v>
      </c>
      <c r="J442" s="6">
        <v>7445</v>
      </c>
      <c r="K442" s="71">
        <v>7445</v>
      </c>
      <c r="L442" s="6">
        <v>0</v>
      </c>
      <c r="M442" s="71">
        <v>0</v>
      </c>
      <c r="N442" s="6">
        <v>0</v>
      </c>
      <c r="O442" s="71">
        <v>0</v>
      </c>
      <c r="P442" s="6">
        <v>55</v>
      </c>
      <c r="Q442" s="4" t="s">
        <v>26</v>
      </c>
      <c r="R442" s="4">
        <v>0</v>
      </c>
      <c r="S442" s="4">
        <v>26</v>
      </c>
      <c r="T442" s="4">
        <v>0</v>
      </c>
      <c r="U442" s="4">
        <v>0</v>
      </c>
      <c r="V442" s="71">
        <f>IF(ISERROR(VLOOKUP($S$442,'TAR FIN'!$A$1:$O$120,15,0)),0,VLOOKUP($S$442,'TAR FIN'!$A$1:$O$120,15,0))*(1-0.08)</f>
        <v>8.1052</v>
      </c>
      <c r="W442" s="71">
        <f>IF(ISERROR(VLOOKUP($T$442,'TAR FIN'!$A$1:$O$120,15,0)),0,VLOOKUP($T$442,'TAR FIN'!$A$1:$O$120,15,0))</f>
        <v>0</v>
      </c>
      <c r="X442" s="71">
        <f>IF(ISERROR(VLOOKUP($U$442,'TAR FIN'!$A$1:$O$120,15,0)),0,VLOOKUP($U$442,'TAR FIN'!$A$1:$O$120,15,0))</f>
        <v>0</v>
      </c>
      <c r="Y442" s="71">
        <f ca="1">('TUSD BE'!$AM$32+'TUSD BF'!$AM$32+'TUSD CVA'!$AM$32)*1*(1-0.06)</f>
        <v>10.765215249734004</v>
      </c>
      <c r="Z442" s="71"/>
      <c r="AA442" s="71"/>
      <c r="AB442" s="71">
        <f>(SUBSIDIO!$J$442*SUBSIDIO!$V$442)*(0.08)/(1-0.08)</f>
        <v>5247.2359999999999</v>
      </c>
      <c r="AC442" s="71">
        <f>((SUBSIDIO!$L$442*SUBSIDIO!$W$442)+(SUBSIDIO!$N$442*SUBSIDIO!$X$442))*(0.08)/(1-0.08)</f>
        <v>0</v>
      </c>
      <c r="AD442" s="71">
        <f ca="1">(SUBSIDIO!$J$442*SUBSIDIO!$Y$442)*(0.06)/(1-0.06)</f>
        <v>5115.767714953382</v>
      </c>
      <c r="AE442" s="71">
        <f>((SUBSIDIO!$L$442*SUBSIDIO!$Z$442)+(SUBSIDIO!$N$442*SUBSIDIO!$AA$442))*(0.06)/(1-0.06)</f>
        <v>0</v>
      </c>
      <c r="AF442" s="4" t="s">
        <v>1151</v>
      </c>
    </row>
    <row r="443" spans="1:32" ht="11.25" customHeight="1" x14ac:dyDescent="0.25">
      <c r="A443" s="4" t="s">
        <v>28</v>
      </c>
      <c r="B443" s="4" t="s">
        <v>33</v>
      </c>
      <c r="C443" s="4" t="s">
        <v>34</v>
      </c>
      <c r="D443" s="4" t="s">
        <v>47</v>
      </c>
      <c r="E443" s="4" t="s">
        <v>25</v>
      </c>
      <c r="F443" s="4" t="s">
        <v>25</v>
      </c>
      <c r="G443" s="4" t="s">
        <v>25</v>
      </c>
      <c r="H443" s="4" t="s">
        <v>25</v>
      </c>
      <c r="I443" s="5">
        <v>43770</v>
      </c>
      <c r="J443" s="6">
        <v>872</v>
      </c>
      <c r="K443" s="71">
        <v>872</v>
      </c>
      <c r="L443" s="6">
        <v>0</v>
      </c>
      <c r="M443" s="71">
        <v>0</v>
      </c>
      <c r="N443" s="6">
        <v>0</v>
      </c>
      <c r="O443" s="71">
        <v>0</v>
      </c>
      <c r="P443" s="6">
        <v>3</v>
      </c>
      <c r="Q443" s="4" t="s">
        <v>26</v>
      </c>
      <c r="R443" s="4">
        <v>0</v>
      </c>
      <c r="S443" s="4">
        <v>26</v>
      </c>
      <c r="T443" s="4">
        <v>0</v>
      </c>
      <c r="U443" s="4">
        <v>0</v>
      </c>
      <c r="V443" s="71">
        <f>IF(ISERROR(VLOOKUP($S$443,'TAR FIN'!$A$1:$O$120,15,0)),0,VLOOKUP($S$443,'TAR FIN'!$A$1:$O$120,15,0))*(1-0.08)</f>
        <v>8.1052</v>
      </c>
      <c r="W443" s="71">
        <f>IF(ISERROR(VLOOKUP($T$443,'TAR FIN'!$A$1:$O$120,15,0)),0,VLOOKUP($T$443,'TAR FIN'!$A$1:$O$120,15,0))</f>
        <v>0</v>
      </c>
      <c r="X443" s="71">
        <f>IF(ISERROR(VLOOKUP($U$443,'TAR FIN'!$A$1:$O$120,15,0)),0,VLOOKUP($U$443,'TAR FIN'!$A$1:$O$120,15,0))</f>
        <v>0</v>
      </c>
      <c r="Y443" s="71">
        <f ca="1">('TUSD BE'!$AM$32+'TUSD BF'!$AM$32+'TUSD CVA'!$AM$32)*1*(1-0.06)</f>
        <v>10.765215249734004</v>
      </c>
      <c r="Z443" s="71"/>
      <c r="AA443" s="71"/>
      <c r="AB443" s="71">
        <f>(SUBSIDIO!$J$443*SUBSIDIO!$V$443)*(0.08)/(1-0.08)</f>
        <v>614.5856</v>
      </c>
      <c r="AC443" s="71">
        <f>((SUBSIDIO!$L$443*SUBSIDIO!$W$443)+(SUBSIDIO!$N$443*SUBSIDIO!$X$443))*(0.08)/(1-0.08)</f>
        <v>0</v>
      </c>
      <c r="AD443" s="71">
        <f ca="1">(SUBSIDIO!$J$443*SUBSIDIO!$Y$443)*(0.06)/(1-0.06)</f>
        <v>599.18729985753521</v>
      </c>
      <c r="AE443" s="71">
        <f>((SUBSIDIO!$L$443*SUBSIDIO!$Z$443)+(SUBSIDIO!$N$443*SUBSIDIO!$AA$443))*(0.06)/(1-0.06)</f>
        <v>0</v>
      </c>
      <c r="AF443" s="4" t="s">
        <v>1151</v>
      </c>
    </row>
    <row r="444" spans="1:32" ht="11.25" customHeight="1" x14ac:dyDescent="0.25">
      <c r="A444" s="4" t="s">
        <v>21</v>
      </c>
      <c r="B444" s="4" t="s">
        <v>33</v>
      </c>
      <c r="C444" s="4" t="s">
        <v>34</v>
      </c>
      <c r="D444" s="4" t="s">
        <v>47</v>
      </c>
      <c r="E444" s="4" t="s">
        <v>25</v>
      </c>
      <c r="F444" s="4" t="s">
        <v>25</v>
      </c>
      <c r="G444" s="4" t="s">
        <v>25</v>
      </c>
      <c r="H444" s="4" t="s">
        <v>25</v>
      </c>
      <c r="I444" s="5">
        <v>43800</v>
      </c>
      <c r="J444" s="6">
        <v>6163</v>
      </c>
      <c r="K444" s="71">
        <v>6163</v>
      </c>
      <c r="L444" s="6">
        <v>0</v>
      </c>
      <c r="M444" s="71">
        <v>0</v>
      </c>
      <c r="N444" s="6">
        <v>0</v>
      </c>
      <c r="O444" s="71">
        <v>0</v>
      </c>
      <c r="P444" s="6">
        <v>55</v>
      </c>
      <c r="Q444" s="4" t="s">
        <v>26</v>
      </c>
      <c r="R444" s="4">
        <v>0</v>
      </c>
      <c r="S444" s="4">
        <v>26</v>
      </c>
      <c r="T444" s="4">
        <v>0</v>
      </c>
      <c r="U444" s="4">
        <v>0</v>
      </c>
      <c r="V444" s="71">
        <f>IF(ISERROR(VLOOKUP($S$444,'TAR FIN'!$A$1:$O$120,15,0)),0,VLOOKUP($S$444,'TAR FIN'!$A$1:$O$120,15,0))*(1-0.08)</f>
        <v>8.1052</v>
      </c>
      <c r="W444" s="71">
        <f>IF(ISERROR(VLOOKUP($T$444,'TAR FIN'!$A$1:$O$120,15,0)),0,VLOOKUP($T$444,'TAR FIN'!$A$1:$O$120,15,0))</f>
        <v>0</v>
      </c>
      <c r="X444" s="71">
        <f>IF(ISERROR(VLOOKUP($U$444,'TAR FIN'!$A$1:$O$120,15,0)),0,VLOOKUP($U$444,'TAR FIN'!$A$1:$O$120,15,0))</f>
        <v>0</v>
      </c>
      <c r="Y444" s="71">
        <f ca="1">('TUSD BE'!$AM$32+'TUSD BF'!$AM$32+'TUSD CVA'!$AM$32)*1*(1-0.06)</f>
        <v>10.765215249734004</v>
      </c>
      <c r="Z444" s="71"/>
      <c r="AA444" s="71"/>
      <c r="AB444" s="71">
        <f>(SUBSIDIO!$J$444*SUBSIDIO!$V$444)*(0.08)/(1-0.08)</f>
        <v>4343.6823999999997</v>
      </c>
      <c r="AC444" s="71">
        <f>((SUBSIDIO!$L$444*SUBSIDIO!$W$444)+(SUBSIDIO!$N$444*SUBSIDIO!$X$444))*(0.08)/(1-0.08)</f>
        <v>0</v>
      </c>
      <c r="AD444" s="71">
        <f ca="1">(SUBSIDIO!$J$444*SUBSIDIO!$Y$444)*(0.06)/(1-0.06)</f>
        <v>4234.8524415389793</v>
      </c>
      <c r="AE444" s="71">
        <f>((SUBSIDIO!$L$444*SUBSIDIO!$Z$444)+(SUBSIDIO!$N$444*SUBSIDIO!$AA$444))*(0.06)/(1-0.06)</f>
        <v>0</v>
      </c>
      <c r="AF444" s="4" t="s">
        <v>1151</v>
      </c>
    </row>
    <row r="445" spans="1:32" ht="11.25" customHeight="1" x14ac:dyDescent="0.25">
      <c r="A445" s="4" t="s">
        <v>27</v>
      </c>
      <c r="B445" s="4" t="s">
        <v>33</v>
      </c>
      <c r="C445" s="4" t="s">
        <v>34</v>
      </c>
      <c r="D445" s="4" t="s">
        <v>47</v>
      </c>
      <c r="E445" s="4" t="s">
        <v>25</v>
      </c>
      <c r="F445" s="4" t="s">
        <v>25</v>
      </c>
      <c r="G445" s="4" t="s">
        <v>25</v>
      </c>
      <c r="H445" s="4" t="s">
        <v>25</v>
      </c>
      <c r="I445" s="5">
        <v>43800</v>
      </c>
      <c r="J445" s="6">
        <v>38</v>
      </c>
      <c r="K445" s="71">
        <v>38</v>
      </c>
      <c r="L445" s="6">
        <v>0</v>
      </c>
      <c r="M445" s="71">
        <v>0</v>
      </c>
      <c r="N445" s="6">
        <v>0</v>
      </c>
      <c r="O445" s="71">
        <v>0</v>
      </c>
      <c r="P445" s="6">
        <v>1</v>
      </c>
      <c r="Q445" s="4" t="s">
        <v>26</v>
      </c>
      <c r="R445" s="4">
        <v>0</v>
      </c>
      <c r="S445" s="4">
        <v>26</v>
      </c>
      <c r="T445" s="4">
        <v>0</v>
      </c>
      <c r="U445" s="4">
        <v>0</v>
      </c>
      <c r="V445" s="71">
        <f>IF(ISERROR(VLOOKUP($S$445,'TAR FIN'!$A$1:$O$120,15,0)),0,VLOOKUP($S$445,'TAR FIN'!$A$1:$O$120,15,0))*(1-0.08)</f>
        <v>8.1052</v>
      </c>
      <c r="W445" s="71">
        <f>IF(ISERROR(VLOOKUP($T$445,'TAR FIN'!$A$1:$O$120,15,0)),0,VLOOKUP($T$445,'TAR FIN'!$A$1:$O$120,15,0))</f>
        <v>0</v>
      </c>
      <c r="X445" s="71">
        <f>IF(ISERROR(VLOOKUP($U$445,'TAR FIN'!$A$1:$O$120,15,0)),0,VLOOKUP($U$445,'TAR FIN'!$A$1:$O$120,15,0))</f>
        <v>0</v>
      </c>
      <c r="Y445" s="71">
        <f ca="1">('TUSD BE'!$AM$32+'TUSD BF'!$AM$32+'TUSD CVA'!$AM$32)*1*(1-0.06)</f>
        <v>10.765215249734004</v>
      </c>
      <c r="Z445" s="71"/>
      <c r="AA445" s="71"/>
      <c r="AB445" s="71">
        <f>(SUBSIDIO!$J$445*SUBSIDIO!$V$445)*(0.08)/(1-0.08)</f>
        <v>26.782399999999996</v>
      </c>
      <c r="AC445" s="71">
        <f>((SUBSIDIO!$L$445*SUBSIDIO!$W$445)+(SUBSIDIO!$N$445*SUBSIDIO!$X$445))*(0.08)/(1-0.08)</f>
        <v>0</v>
      </c>
      <c r="AD445" s="71">
        <f ca="1">(SUBSIDIO!$J$445*SUBSIDIO!$Y$445)*(0.06)/(1-0.06)</f>
        <v>26.111373158929286</v>
      </c>
      <c r="AE445" s="71">
        <f>((SUBSIDIO!$L$445*SUBSIDIO!$Z$445)+(SUBSIDIO!$N$445*SUBSIDIO!$AA$445))*(0.06)/(1-0.06)</f>
        <v>0</v>
      </c>
      <c r="AF445" s="4" t="s">
        <v>1151</v>
      </c>
    </row>
    <row r="446" spans="1:32" ht="11.25" customHeight="1" x14ac:dyDescent="0.25">
      <c r="A446" s="4" t="s">
        <v>28</v>
      </c>
      <c r="B446" s="4" t="s">
        <v>33</v>
      </c>
      <c r="C446" s="4" t="s">
        <v>34</v>
      </c>
      <c r="D446" s="4" t="s">
        <v>47</v>
      </c>
      <c r="E446" s="4" t="s">
        <v>25</v>
      </c>
      <c r="F446" s="4" t="s">
        <v>25</v>
      </c>
      <c r="G446" s="4" t="s">
        <v>25</v>
      </c>
      <c r="H446" s="4" t="s">
        <v>25</v>
      </c>
      <c r="I446" s="5">
        <v>43800</v>
      </c>
      <c r="J446" s="6">
        <v>872</v>
      </c>
      <c r="K446" s="71">
        <v>872</v>
      </c>
      <c r="L446" s="6">
        <v>0</v>
      </c>
      <c r="M446" s="71">
        <v>0</v>
      </c>
      <c r="N446" s="6">
        <v>0</v>
      </c>
      <c r="O446" s="71">
        <v>0</v>
      </c>
      <c r="P446" s="6">
        <v>3</v>
      </c>
      <c r="Q446" s="4" t="s">
        <v>26</v>
      </c>
      <c r="R446" s="4">
        <v>0</v>
      </c>
      <c r="S446" s="4">
        <v>26</v>
      </c>
      <c r="T446" s="4">
        <v>0</v>
      </c>
      <c r="U446" s="4">
        <v>0</v>
      </c>
      <c r="V446" s="71">
        <f>IF(ISERROR(VLOOKUP($S$446,'TAR FIN'!$A$1:$O$120,15,0)),0,VLOOKUP($S$446,'TAR FIN'!$A$1:$O$120,15,0))*(1-0.08)</f>
        <v>8.1052</v>
      </c>
      <c r="W446" s="71">
        <f>IF(ISERROR(VLOOKUP($T$446,'TAR FIN'!$A$1:$O$120,15,0)),0,VLOOKUP($T$446,'TAR FIN'!$A$1:$O$120,15,0))</f>
        <v>0</v>
      </c>
      <c r="X446" s="71">
        <f>IF(ISERROR(VLOOKUP($U$446,'TAR FIN'!$A$1:$O$120,15,0)),0,VLOOKUP($U$446,'TAR FIN'!$A$1:$O$120,15,0))</f>
        <v>0</v>
      </c>
      <c r="Y446" s="71">
        <f ca="1">('TUSD BE'!$AM$32+'TUSD BF'!$AM$32+'TUSD CVA'!$AM$32)*1*(1-0.06)</f>
        <v>10.765215249734004</v>
      </c>
      <c r="Z446" s="71"/>
      <c r="AA446" s="71"/>
      <c r="AB446" s="71">
        <f>(SUBSIDIO!$J$446*SUBSIDIO!$V$446)*(0.08)/(1-0.08)</f>
        <v>614.5856</v>
      </c>
      <c r="AC446" s="71">
        <f>((SUBSIDIO!$L$446*SUBSIDIO!$W$446)+(SUBSIDIO!$N$446*SUBSIDIO!$X$446))*(0.08)/(1-0.08)</f>
        <v>0</v>
      </c>
      <c r="AD446" s="71">
        <f ca="1">(SUBSIDIO!$J$446*SUBSIDIO!$Y$446)*(0.06)/(1-0.06)</f>
        <v>599.18729985753521</v>
      </c>
      <c r="AE446" s="71">
        <f>((SUBSIDIO!$L$446*SUBSIDIO!$Z$446)+(SUBSIDIO!$N$446*SUBSIDIO!$AA$446))*(0.06)/(1-0.06)</f>
        <v>0</v>
      </c>
      <c r="AF446" s="4" t="s">
        <v>1151</v>
      </c>
    </row>
    <row r="447" spans="1:32" ht="11.25" customHeight="1" x14ac:dyDescent="0.25">
      <c r="A447" s="4" t="s">
        <v>21</v>
      </c>
      <c r="B447" s="4" t="s">
        <v>33</v>
      </c>
      <c r="C447" s="4" t="s">
        <v>34</v>
      </c>
      <c r="D447" s="4" t="s">
        <v>47</v>
      </c>
      <c r="E447" s="4" t="s">
        <v>25</v>
      </c>
      <c r="F447" s="4" t="s">
        <v>25</v>
      </c>
      <c r="G447" s="4" t="s">
        <v>25</v>
      </c>
      <c r="H447" s="4" t="s">
        <v>25</v>
      </c>
      <c r="I447" s="5">
        <v>43831</v>
      </c>
      <c r="J447" s="6">
        <v>5817</v>
      </c>
      <c r="K447" s="71">
        <v>5817</v>
      </c>
      <c r="L447" s="6">
        <v>0</v>
      </c>
      <c r="M447" s="71">
        <v>0</v>
      </c>
      <c r="N447" s="6">
        <v>0</v>
      </c>
      <c r="O447" s="71">
        <v>0</v>
      </c>
      <c r="P447" s="6">
        <v>53</v>
      </c>
      <c r="Q447" s="4" t="s">
        <v>26</v>
      </c>
      <c r="R447" s="4">
        <v>0</v>
      </c>
      <c r="S447" s="4">
        <v>26</v>
      </c>
      <c r="T447" s="4">
        <v>0</v>
      </c>
      <c r="U447" s="4">
        <v>0</v>
      </c>
      <c r="V447" s="71">
        <f>IF(ISERROR(VLOOKUP($S$447,'TAR FIN'!$A$1:$O$120,15,0)),0,VLOOKUP($S$447,'TAR FIN'!$A$1:$O$120,15,0))*(1-0.08)</f>
        <v>8.1052</v>
      </c>
      <c r="W447" s="71">
        <f>IF(ISERROR(VLOOKUP($T$447,'TAR FIN'!$A$1:$O$120,15,0)),0,VLOOKUP($T$447,'TAR FIN'!$A$1:$O$120,15,0))</f>
        <v>0</v>
      </c>
      <c r="X447" s="71">
        <f>IF(ISERROR(VLOOKUP($U$447,'TAR FIN'!$A$1:$O$120,15,0)),0,VLOOKUP($U$447,'TAR FIN'!$A$1:$O$120,15,0))</f>
        <v>0</v>
      </c>
      <c r="Y447" s="71">
        <f ca="1">('TUSD BE'!$AM$32+'TUSD BF'!$AM$32+'TUSD CVA'!$AM$32)*1*(1-0.06)</f>
        <v>10.765215249734004</v>
      </c>
      <c r="Z447" s="71"/>
      <c r="AA447" s="71"/>
      <c r="AB447" s="71">
        <f>(SUBSIDIO!$J$447*SUBSIDIO!$V$447)*(0.08)/(1-0.08)</f>
        <v>4099.8216000000002</v>
      </c>
      <c r="AC447" s="71">
        <f>((SUBSIDIO!$L$447*SUBSIDIO!$W$447)+(SUBSIDIO!$N$447*SUBSIDIO!$X$447))*(0.08)/(1-0.08)</f>
        <v>0</v>
      </c>
      <c r="AD447" s="71">
        <f ca="1">(SUBSIDIO!$J$447*SUBSIDIO!$Y$447)*(0.06)/(1-0.06)</f>
        <v>3997.1015175129387</v>
      </c>
      <c r="AE447" s="71">
        <f>((SUBSIDIO!$L$447*SUBSIDIO!$Z$447)+(SUBSIDIO!$N$447*SUBSIDIO!$AA$447))*(0.06)/(1-0.06)</f>
        <v>0</v>
      </c>
      <c r="AF447" s="4" t="s">
        <v>1151</v>
      </c>
    </row>
    <row r="448" spans="1:32" ht="11.25" customHeight="1" x14ac:dyDescent="0.25">
      <c r="A448" s="4" t="s">
        <v>27</v>
      </c>
      <c r="B448" s="4" t="s">
        <v>33</v>
      </c>
      <c r="C448" s="4" t="s">
        <v>34</v>
      </c>
      <c r="D448" s="4" t="s">
        <v>47</v>
      </c>
      <c r="E448" s="4" t="s">
        <v>25</v>
      </c>
      <c r="F448" s="4" t="s">
        <v>25</v>
      </c>
      <c r="G448" s="4" t="s">
        <v>25</v>
      </c>
      <c r="H448" s="4" t="s">
        <v>25</v>
      </c>
      <c r="I448" s="5">
        <v>43831</v>
      </c>
      <c r="J448" s="6">
        <v>232</v>
      </c>
      <c r="K448" s="71">
        <v>232</v>
      </c>
      <c r="L448" s="6">
        <v>0</v>
      </c>
      <c r="M448" s="71">
        <v>0</v>
      </c>
      <c r="N448" s="6">
        <v>0</v>
      </c>
      <c r="O448" s="71">
        <v>0</v>
      </c>
      <c r="P448" s="6">
        <v>1</v>
      </c>
      <c r="Q448" s="4" t="s">
        <v>26</v>
      </c>
      <c r="R448" s="4">
        <v>0</v>
      </c>
      <c r="S448" s="4">
        <v>26</v>
      </c>
      <c r="T448" s="4">
        <v>0</v>
      </c>
      <c r="U448" s="4">
        <v>0</v>
      </c>
      <c r="V448" s="71">
        <f>IF(ISERROR(VLOOKUP($S$448,'TAR FIN'!$A$1:$O$120,15,0)),0,VLOOKUP($S$448,'TAR FIN'!$A$1:$O$120,15,0))*(1-0.08)</f>
        <v>8.1052</v>
      </c>
      <c r="W448" s="71">
        <f>IF(ISERROR(VLOOKUP($T$448,'TAR FIN'!$A$1:$O$120,15,0)),0,VLOOKUP($T$448,'TAR FIN'!$A$1:$O$120,15,0))</f>
        <v>0</v>
      </c>
      <c r="X448" s="71">
        <f>IF(ISERROR(VLOOKUP($U$448,'TAR FIN'!$A$1:$O$120,15,0)),0,VLOOKUP($U$448,'TAR FIN'!$A$1:$O$120,15,0))</f>
        <v>0</v>
      </c>
      <c r="Y448" s="71">
        <f ca="1">('TUSD BE'!$AM$32+'TUSD BF'!$AM$32+'TUSD CVA'!$AM$32)*1*(1-0.06)</f>
        <v>10.765215249734004</v>
      </c>
      <c r="Z448" s="71"/>
      <c r="AA448" s="71"/>
      <c r="AB448" s="71">
        <f>(SUBSIDIO!$J$448*SUBSIDIO!$V$448)*(0.08)/(1-0.08)</f>
        <v>163.5136</v>
      </c>
      <c r="AC448" s="71">
        <f>((SUBSIDIO!$L$448*SUBSIDIO!$W$448)+(SUBSIDIO!$N$448*SUBSIDIO!$X$448))*(0.08)/(1-0.08)</f>
        <v>0</v>
      </c>
      <c r="AD448" s="71">
        <f ca="1">(SUBSIDIO!$J$448*SUBSIDIO!$Y$448)*(0.06)/(1-0.06)</f>
        <v>159.41680454925248</v>
      </c>
      <c r="AE448" s="71">
        <f>((SUBSIDIO!$L$448*SUBSIDIO!$Z$448)+(SUBSIDIO!$N$448*SUBSIDIO!$AA$448))*(0.06)/(1-0.06)</f>
        <v>0</v>
      </c>
      <c r="AF448" s="4" t="s">
        <v>1151</v>
      </c>
    </row>
    <row r="449" spans="1:32" ht="11.25" customHeight="1" x14ac:dyDescent="0.25">
      <c r="A449" s="4" t="s">
        <v>28</v>
      </c>
      <c r="B449" s="4" t="s">
        <v>33</v>
      </c>
      <c r="C449" s="4" t="s">
        <v>34</v>
      </c>
      <c r="D449" s="4" t="s">
        <v>47</v>
      </c>
      <c r="E449" s="4" t="s">
        <v>25</v>
      </c>
      <c r="F449" s="4" t="s">
        <v>25</v>
      </c>
      <c r="G449" s="4" t="s">
        <v>25</v>
      </c>
      <c r="H449" s="4" t="s">
        <v>25</v>
      </c>
      <c r="I449" s="5">
        <v>43831</v>
      </c>
      <c r="J449" s="6">
        <v>872</v>
      </c>
      <c r="K449" s="71">
        <v>872</v>
      </c>
      <c r="L449" s="6">
        <v>0</v>
      </c>
      <c r="M449" s="71">
        <v>0</v>
      </c>
      <c r="N449" s="6">
        <v>0</v>
      </c>
      <c r="O449" s="71">
        <v>0</v>
      </c>
      <c r="P449" s="6">
        <v>3</v>
      </c>
      <c r="Q449" s="4" t="s">
        <v>26</v>
      </c>
      <c r="R449" s="4">
        <v>0</v>
      </c>
      <c r="S449" s="4">
        <v>26</v>
      </c>
      <c r="T449" s="4">
        <v>0</v>
      </c>
      <c r="U449" s="4">
        <v>0</v>
      </c>
      <c r="V449" s="71">
        <f>IF(ISERROR(VLOOKUP($S$449,'TAR FIN'!$A$1:$O$120,15,0)),0,VLOOKUP($S$449,'TAR FIN'!$A$1:$O$120,15,0))*(1-0.08)</f>
        <v>8.1052</v>
      </c>
      <c r="W449" s="71">
        <f>IF(ISERROR(VLOOKUP($T$449,'TAR FIN'!$A$1:$O$120,15,0)),0,VLOOKUP($T$449,'TAR FIN'!$A$1:$O$120,15,0))</f>
        <v>0</v>
      </c>
      <c r="X449" s="71">
        <f>IF(ISERROR(VLOOKUP($U$449,'TAR FIN'!$A$1:$O$120,15,0)),0,VLOOKUP($U$449,'TAR FIN'!$A$1:$O$120,15,0))</f>
        <v>0</v>
      </c>
      <c r="Y449" s="71">
        <f ca="1">('TUSD BE'!$AM$32+'TUSD BF'!$AM$32+'TUSD CVA'!$AM$32)*1*(1-0.06)</f>
        <v>10.765215249734004</v>
      </c>
      <c r="Z449" s="71"/>
      <c r="AA449" s="71"/>
      <c r="AB449" s="71">
        <f>(SUBSIDIO!$J$449*SUBSIDIO!$V$449)*(0.08)/(1-0.08)</f>
        <v>614.5856</v>
      </c>
      <c r="AC449" s="71">
        <f>((SUBSIDIO!$L$449*SUBSIDIO!$W$449)+(SUBSIDIO!$N$449*SUBSIDIO!$X$449))*(0.08)/(1-0.08)</f>
        <v>0</v>
      </c>
      <c r="AD449" s="71">
        <f ca="1">(SUBSIDIO!$J$449*SUBSIDIO!$Y$449)*(0.06)/(1-0.06)</f>
        <v>599.18729985753521</v>
      </c>
      <c r="AE449" s="71">
        <f>((SUBSIDIO!$L$449*SUBSIDIO!$Z$449)+(SUBSIDIO!$N$449*SUBSIDIO!$AA$449))*(0.06)/(1-0.06)</f>
        <v>0</v>
      </c>
      <c r="AF449" s="4" t="s">
        <v>1151</v>
      </c>
    </row>
    <row r="450" spans="1:32" ht="11.25" customHeight="1" x14ac:dyDescent="0.25">
      <c r="A450" s="4" t="s">
        <v>21</v>
      </c>
      <c r="B450" s="4" t="s">
        <v>33</v>
      </c>
      <c r="C450" s="4" t="s">
        <v>34</v>
      </c>
      <c r="D450" s="4" t="s">
        <v>47</v>
      </c>
      <c r="E450" s="4" t="s">
        <v>25</v>
      </c>
      <c r="F450" s="4" t="s">
        <v>25</v>
      </c>
      <c r="G450" s="4" t="s">
        <v>25</v>
      </c>
      <c r="H450" s="4" t="s">
        <v>25</v>
      </c>
      <c r="I450" s="5">
        <v>43862</v>
      </c>
      <c r="J450" s="6">
        <v>6431</v>
      </c>
      <c r="K450" s="71">
        <v>6431</v>
      </c>
      <c r="L450" s="6">
        <v>0</v>
      </c>
      <c r="M450" s="71">
        <v>0</v>
      </c>
      <c r="N450" s="6">
        <v>0</v>
      </c>
      <c r="O450" s="71">
        <v>0</v>
      </c>
      <c r="P450" s="6">
        <v>54</v>
      </c>
      <c r="Q450" s="4" t="s">
        <v>26</v>
      </c>
      <c r="R450" s="4">
        <v>0</v>
      </c>
      <c r="S450" s="4">
        <v>26</v>
      </c>
      <c r="T450" s="4">
        <v>0</v>
      </c>
      <c r="U450" s="4">
        <v>0</v>
      </c>
      <c r="V450" s="71">
        <f>IF(ISERROR(VLOOKUP($S$450,'TAR FIN'!$A$1:$O$120,15,0)),0,VLOOKUP($S$450,'TAR FIN'!$A$1:$O$120,15,0))*(1-0.08)</f>
        <v>8.1052</v>
      </c>
      <c r="W450" s="71">
        <f>IF(ISERROR(VLOOKUP($T$450,'TAR FIN'!$A$1:$O$120,15,0)),0,VLOOKUP($T$450,'TAR FIN'!$A$1:$O$120,15,0))</f>
        <v>0</v>
      </c>
      <c r="X450" s="71">
        <f>IF(ISERROR(VLOOKUP($U$450,'TAR FIN'!$A$1:$O$120,15,0)),0,VLOOKUP($U$450,'TAR FIN'!$A$1:$O$120,15,0))</f>
        <v>0</v>
      </c>
      <c r="Y450" s="71">
        <f ca="1">('TUSD BE'!$AM$32+'TUSD BF'!$AM$32+'TUSD CVA'!$AM$32)*1*(1-0.06)</f>
        <v>10.765215249734004</v>
      </c>
      <c r="Z450" s="71"/>
      <c r="AA450" s="71"/>
      <c r="AB450" s="71">
        <f>(SUBSIDIO!$J$450*SUBSIDIO!$V$450)*(0.08)/(1-0.08)</f>
        <v>4532.5688</v>
      </c>
      <c r="AC450" s="71">
        <f>((SUBSIDIO!$L$450*SUBSIDIO!$W$450)+(SUBSIDIO!$N$450*SUBSIDIO!$X$450))*(0.08)/(1-0.08)</f>
        <v>0</v>
      </c>
      <c r="AD450" s="71">
        <f ca="1">(SUBSIDIO!$J$450*SUBSIDIO!$Y$450)*(0.06)/(1-0.06)</f>
        <v>4419.0063364493217</v>
      </c>
      <c r="AE450" s="71">
        <f>((SUBSIDIO!$L$450*SUBSIDIO!$Z$450)+(SUBSIDIO!$N$450*SUBSIDIO!$AA$450))*(0.06)/(1-0.06)</f>
        <v>0</v>
      </c>
      <c r="AF450" s="4" t="s">
        <v>1151</v>
      </c>
    </row>
    <row r="451" spans="1:32" ht="11.25" customHeight="1" x14ac:dyDescent="0.25">
      <c r="A451" s="4" t="s">
        <v>27</v>
      </c>
      <c r="B451" s="4" t="s">
        <v>33</v>
      </c>
      <c r="C451" s="4" t="s">
        <v>34</v>
      </c>
      <c r="D451" s="4" t="s">
        <v>47</v>
      </c>
      <c r="E451" s="4" t="s">
        <v>25</v>
      </c>
      <c r="F451" s="4" t="s">
        <v>25</v>
      </c>
      <c r="G451" s="4" t="s">
        <v>25</v>
      </c>
      <c r="H451" s="4" t="s">
        <v>25</v>
      </c>
      <c r="I451" s="5">
        <v>43862</v>
      </c>
      <c r="J451" s="6">
        <v>227</v>
      </c>
      <c r="K451" s="71">
        <v>227</v>
      </c>
      <c r="L451" s="6">
        <v>0</v>
      </c>
      <c r="M451" s="71">
        <v>0</v>
      </c>
      <c r="N451" s="6">
        <v>0</v>
      </c>
      <c r="O451" s="71">
        <v>0</v>
      </c>
      <c r="P451" s="6">
        <v>1</v>
      </c>
      <c r="Q451" s="4" t="s">
        <v>26</v>
      </c>
      <c r="R451" s="4">
        <v>0</v>
      </c>
      <c r="S451" s="4">
        <v>26</v>
      </c>
      <c r="T451" s="4">
        <v>0</v>
      </c>
      <c r="U451" s="4">
        <v>0</v>
      </c>
      <c r="V451" s="71">
        <f>IF(ISERROR(VLOOKUP($S$451,'TAR FIN'!$A$1:$O$120,15,0)),0,VLOOKUP($S$451,'TAR FIN'!$A$1:$O$120,15,0))*(1-0.08)</f>
        <v>8.1052</v>
      </c>
      <c r="W451" s="71">
        <f>IF(ISERROR(VLOOKUP($T$451,'TAR FIN'!$A$1:$O$120,15,0)),0,VLOOKUP($T$451,'TAR FIN'!$A$1:$O$120,15,0))</f>
        <v>0</v>
      </c>
      <c r="X451" s="71">
        <f>IF(ISERROR(VLOOKUP($U$451,'TAR FIN'!$A$1:$O$120,15,0)),0,VLOOKUP($U$451,'TAR FIN'!$A$1:$O$120,15,0))</f>
        <v>0</v>
      </c>
      <c r="Y451" s="71">
        <f ca="1">('TUSD BE'!$AM$32+'TUSD BF'!$AM$32+'TUSD CVA'!$AM$32)*1*(1-0.06)</f>
        <v>10.765215249734004</v>
      </c>
      <c r="Z451" s="71"/>
      <c r="AA451" s="71"/>
      <c r="AB451" s="71">
        <f>(SUBSIDIO!$J$451*SUBSIDIO!$V$451)*(0.08)/(1-0.08)</f>
        <v>159.9896</v>
      </c>
      <c r="AC451" s="71">
        <f>((SUBSIDIO!$L$451*SUBSIDIO!$W$451)+(SUBSIDIO!$N$451*SUBSIDIO!$X$451))*(0.08)/(1-0.08)</f>
        <v>0</v>
      </c>
      <c r="AD451" s="71">
        <f ca="1">(SUBSIDIO!$J$451*SUBSIDIO!$Y$451)*(0.06)/(1-0.06)</f>
        <v>155.98109755465654</v>
      </c>
      <c r="AE451" s="71">
        <f>((SUBSIDIO!$L$451*SUBSIDIO!$Z$451)+(SUBSIDIO!$N$451*SUBSIDIO!$AA$451))*(0.06)/(1-0.06)</f>
        <v>0</v>
      </c>
      <c r="AF451" s="4" t="s">
        <v>1151</v>
      </c>
    </row>
    <row r="452" spans="1:32" ht="11.25" customHeight="1" x14ac:dyDescent="0.25">
      <c r="A452" s="4" t="s">
        <v>28</v>
      </c>
      <c r="B452" s="4" t="s">
        <v>33</v>
      </c>
      <c r="C452" s="4" t="s">
        <v>34</v>
      </c>
      <c r="D452" s="4" t="s">
        <v>47</v>
      </c>
      <c r="E452" s="4" t="s">
        <v>25</v>
      </c>
      <c r="F452" s="4" t="s">
        <v>25</v>
      </c>
      <c r="G452" s="4" t="s">
        <v>25</v>
      </c>
      <c r="H452" s="4" t="s">
        <v>25</v>
      </c>
      <c r="I452" s="5">
        <v>43862</v>
      </c>
      <c r="J452" s="6">
        <v>872</v>
      </c>
      <c r="K452" s="71">
        <v>872</v>
      </c>
      <c r="L452" s="6">
        <v>0</v>
      </c>
      <c r="M452" s="71">
        <v>0</v>
      </c>
      <c r="N452" s="6">
        <v>0</v>
      </c>
      <c r="O452" s="71">
        <v>0</v>
      </c>
      <c r="P452" s="6">
        <v>3</v>
      </c>
      <c r="Q452" s="4" t="s">
        <v>26</v>
      </c>
      <c r="R452" s="4">
        <v>0</v>
      </c>
      <c r="S452" s="4">
        <v>26</v>
      </c>
      <c r="T452" s="4">
        <v>0</v>
      </c>
      <c r="U452" s="4">
        <v>0</v>
      </c>
      <c r="V452" s="71">
        <f>IF(ISERROR(VLOOKUP($S$452,'TAR FIN'!$A$1:$O$120,15,0)),0,VLOOKUP($S$452,'TAR FIN'!$A$1:$O$120,15,0))*(1-0.08)</f>
        <v>8.1052</v>
      </c>
      <c r="W452" s="71">
        <f>IF(ISERROR(VLOOKUP($T$452,'TAR FIN'!$A$1:$O$120,15,0)),0,VLOOKUP($T$452,'TAR FIN'!$A$1:$O$120,15,0))</f>
        <v>0</v>
      </c>
      <c r="X452" s="71">
        <f>IF(ISERROR(VLOOKUP($U$452,'TAR FIN'!$A$1:$O$120,15,0)),0,VLOOKUP($U$452,'TAR FIN'!$A$1:$O$120,15,0))</f>
        <v>0</v>
      </c>
      <c r="Y452" s="71">
        <f ca="1">('TUSD BE'!$AM$32+'TUSD BF'!$AM$32+'TUSD CVA'!$AM$32)*1*(1-0.06)</f>
        <v>10.765215249734004</v>
      </c>
      <c r="Z452" s="71"/>
      <c r="AA452" s="71"/>
      <c r="AB452" s="71">
        <f>(SUBSIDIO!$J$452*SUBSIDIO!$V$452)*(0.08)/(1-0.08)</f>
        <v>614.5856</v>
      </c>
      <c r="AC452" s="71">
        <f>((SUBSIDIO!$L$452*SUBSIDIO!$W$452)+(SUBSIDIO!$N$452*SUBSIDIO!$X$452))*(0.08)/(1-0.08)</f>
        <v>0</v>
      </c>
      <c r="AD452" s="71">
        <f ca="1">(SUBSIDIO!$J$452*SUBSIDIO!$Y$452)*(0.06)/(1-0.06)</f>
        <v>599.18729985753521</v>
      </c>
      <c r="AE452" s="71">
        <f>((SUBSIDIO!$L$452*SUBSIDIO!$Z$452)+(SUBSIDIO!$N$452*SUBSIDIO!$AA$452))*(0.06)/(1-0.06)</f>
        <v>0</v>
      </c>
      <c r="AF452" s="4" t="s">
        <v>1151</v>
      </c>
    </row>
    <row r="453" spans="1:32" ht="11.25" customHeight="1" x14ac:dyDescent="0.25">
      <c r="A453" s="4" t="s">
        <v>21</v>
      </c>
      <c r="B453" s="4" t="s">
        <v>33</v>
      </c>
      <c r="C453" s="4" t="s">
        <v>34</v>
      </c>
      <c r="D453" s="4" t="s">
        <v>47</v>
      </c>
      <c r="E453" s="4" t="s">
        <v>25</v>
      </c>
      <c r="F453" s="4" t="s">
        <v>25</v>
      </c>
      <c r="G453" s="4" t="s">
        <v>25</v>
      </c>
      <c r="H453" s="4" t="s">
        <v>25</v>
      </c>
      <c r="I453" s="5">
        <v>43891</v>
      </c>
      <c r="J453" s="6">
        <v>6985</v>
      </c>
      <c r="K453" s="71">
        <v>6985</v>
      </c>
      <c r="L453" s="6">
        <v>0</v>
      </c>
      <c r="M453" s="71">
        <v>0</v>
      </c>
      <c r="N453" s="6">
        <v>0</v>
      </c>
      <c r="O453" s="71">
        <v>0</v>
      </c>
      <c r="P453" s="6">
        <v>56</v>
      </c>
      <c r="Q453" s="4" t="s">
        <v>26</v>
      </c>
      <c r="R453" s="4">
        <v>0</v>
      </c>
      <c r="S453" s="4">
        <v>26</v>
      </c>
      <c r="T453" s="4">
        <v>0</v>
      </c>
      <c r="U453" s="4">
        <v>0</v>
      </c>
      <c r="V453" s="71">
        <f>IF(ISERROR(VLOOKUP($S$453,'TAR FIN'!$A$1:$O$120,15,0)),0,VLOOKUP($S$453,'TAR FIN'!$A$1:$O$120,15,0))*(1-0.08)</f>
        <v>8.1052</v>
      </c>
      <c r="W453" s="71">
        <f>IF(ISERROR(VLOOKUP($T$453,'TAR FIN'!$A$1:$O$120,15,0)),0,VLOOKUP($T$453,'TAR FIN'!$A$1:$O$120,15,0))</f>
        <v>0</v>
      </c>
      <c r="X453" s="71">
        <f>IF(ISERROR(VLOOKUP($U$453,'TAR FIN'!$A$1:$O$120,15,0)),0,VLOOKUP($U$453,'TAR FIN'!$A$1:$O$120,15,0))</f>
        <v>0</v>
      </c>
      <c r="Y453" s="71">
        <f ca="1">('TUSD BE'!$AM$32+'TUSD BF'!$AM$32+'TUSD CVA'!$AM$32)*1*(1-0.06)</f>
        <v>10.765215249734004</v>
      </c>
      <c r="Z453" s="71"/>
      <c r="AA453" s="71"/>
      <c r="AB453" s="71">
        <f>(SUBSIDIO!$J$453*SUBSIDIO!$V$453)*(0.08)/(1-0.08)</f>
        <v>4923.0280000000002</v>
      </c>
      <c r="AC453" s="71">
        <f>((SUBSIDIO!$L$453*SUBSIDIO!$W$453)+(SUBSIDIO!$N$453*SUBSIDIO!$X$453))*(0.08)/(1-0.08)</f>
        <v>0</v>
      </c>
      <c r="AD453" s="71">
        <f ca="1">(SUBSIDIO!$J$453*SUBSIDIO!$Y$453)*(0.06)/(1-0.06)</f>
        <v>4799.6826714505542</v>
      </c>
      <c r="AE453" s="71">
        <f>((SUBSIDIO!$L$453*SUBSIDIO!$Z$453)+(SUBSIDIO!$N$453*SUBSIDIO!$AA$453))*(0.06)/(1-0.06)</f>
        <v>0</v>
      </c>
      <c r="AF453" s="4" t="s">
        <v>1151</v>
      </c>
    </row>
    <row r="454" spans="1:32" ht="11.25" customHeight="1" x14ac:dyDescent="0.25">
      <c r="A454" s="4" t="s">
        <v>27</v>
      </c>
      <c r="B454" s="4" t="s">
        <v>33</v>
      </c>
      <c r="C454" s="4" t="s">
        <v>34</v>
      </c>
      <c r="D454" s="4" t="s">
        <v>47</v>
      </c>
      <c r="E454" s="4" t="s">
        <v>25</v>
      </c>
      <c r="F454" s="4" t="s">
        <v>25</v>
      </c>
      <c r="G454" s="4" t="s">
        <v>25</v>
      </c>
      <c r="H454" s="4" t="s">
        <v>25</v>
      </c>
      <c r="I454" s="5">
        <v>43891</v>
      </c>
      <c r="J454" s="6">
        <v>227</v>
      </c>
      <c r="K454" s="71">
        <v>227</v>
      </c>
      <c r="L454" s="6">
        <v>0</v>
      </c>
      <c r="M454" s="71">
        <v>0</v>
      </c>
      <c r="N454" s="6">
        <v>0</v>
      </c>
      <c r="O454" s="71">
        <v>0</v>
      </c>
      <c r="P454" s="6">
        <v>1</v>
      </c>
      <c r="Q454" s="4" t="s">
        <v>26</v>
      </c>
      <c r="R454" s="4">
        <v>0</v>
      </c>
      <c r="S454" s="4">
        <v>26</v>
      </c>
      <c r="T454" s="4">
        <v>0</v>
      </c>
      <c r="U454" s="4">
        <v>0</v>
      </c>
      <c r="V454" s="71">
        <f>IF(ISERROR(VLOOKUP($S$454,'TAR FIN'!$A$1:$O$120,15,0)),0,VLOOKUP($S$454,'TAR FIN'!$A$1:$O$120,15,0))*(1-0.08)</f>
        <v>8.1052</v>
      </c>
      <c r="W454" s="71">
        <f>IF(ISERROR(VLOOKUP($T$454,'TAR FIN'!$A$1:$O$120,15,0)),0,VLOOKUP($T$454,'TAR FIN'!$A$1:$O$120,15,0))</f>
        <v>0</v>
      </c>
      <c r="X454" s="71">
        <f>IF(ISERROR(VLOOKUP($U$454,'TAR FIN'!$A$1:$O$120,15,0)),0,VLOOKUP($U$454,'TAR FIN'!$A$1:$O$120,15,0))</f>
        <v>0</v>
      </c>
      <c r="Y454" s="71">
        <f ca="1">('TUSD BE'!$AM$32+'TUSD BF'!$AM$32+'TUSD CVA'!$AM$32)*1*(1-0.06)</f>
        <v>10.765215249734004</v>
      </c>
      <c r="Z454" s="71"/>
      <c r="AA454" s="71"/>
      <c r="AB454" s="71">
        <f>(SUBSIDIO!$J$454*SUBSIDIO!$V$454)*(0.08)/(1-0.08)</f>
        <v>159.9896</v>
      </c>
      <c r="AC454" s="71">
        <f>((SUBSIDIO!$L$454*SUBSIDIO!$W$454)+(SUBSIDIO!$N$454*SUBSIDIO!$X$454))*(0.08)/(1-0.08)</f>
        <v>0</v>
      </c>
      <c r="AD454" s="71">
        <f ca="1">(SUBSIDIO!$J$454*SUBSIDIO!$Y$454)*(0.06)/(1-0.06)</f>
        <v>155.98109755465654</v>
      </c>
      <c r="AE454" s="71">
        <f>((SUBSIDIO!$L$454*SUBSIDIO!$Z$454)+(SUBSIDIO!$N$454*SUBSIDIO!$AA$454))*(0.06)/(1-0.06)</f>
        <v>0</v>
      </c>
      <c r="AF454" s="4" t="s">
        <v>1151</v>
      </c>
    </row>
    <row r="455" spans="1:32" ht="11.25" customHeight="1" x14ac:dyDescent="0.25">
      <c r="A455" s="4" t="s">
        <v>28</v>
      </c>
      <c r="B455" s="4" t="s">
        <v>33</v>
      </c>
      <c r="C455" s="4" t="s">
        <v>34</v>
      </c>
      <c r="D455" s="4" t="s">
        <v>47</v>
      </c>
      <c r="E455" s="4" t="s">
        <v>25</v>
      </c>
      <c r="F455" s="4" t="s">
        <v>25</v>
      </c>
      <c r="G455" s="4" t="s">
        <v>25</v>
      </c>
      <c r="H455" s="4" t="s">
        <v>25</v>
      </c>
      <c r="I455" s="5">
        <v>43891</v>
      </c>
      <c r="J455" s="6">
        <v>872</v>
      </c>
      <c r="K455" s="71">
        <v>872</v>
      </c>
      <c r="L455" s="6">
        <v>0</v>
      </c>
      <c r="M455" s="71">
        <v>0</v>
      </c>
      <c r="N455" s="6">
        <v>0</v>
      </c>
      <c r="O455" s="71">
        <v>0</v>
      </c>
      <c r="P455" s="6">
        <v>3</v>
      </c>
      <c r="Q455" s="4" t="s">
        <v>26</v>
      </c>
      <c r="R455" s="4">
        <v>0</v>
      </c>
      <c r="S455" s="4">
        <v>26</v>
      </c>
      <c r="T455" s="4">
        <v>0</v>
      </c>
      <c r="U455" s="4">
        <v>0</v>
      </c>
      <c r="V455" s="71">
        <f>IF(ISERROR(VLOOKUP($S$455,'TAR FIN'!$A$1:$O$120,15,0)),0,VLOOKUP($S$455,'TAR FIN'!$A$1:$O$120,15,0))*(1-0.08)</f>
        <v>8.1052</v>
      </c>
      <c r="W455" s="71">
        <f>IF(ISERROR(VLOOKUP($T$455,'TAR FIN'!$A$1:$O$120,15,0)),0,VLOOKUP($T$455,'TAR FIN'!$A$1:$O$120,15,0))</f>
        <v>0</v>
      </c>
      <c r="X455" s="71">
        <f>IF(ISERROR(VLOOKUP($U$455,'TAR FIN'!$A$1:$O$120,15,0)),0,VLOOKUP($U$455,'TAR FIN'!$A$1:$O$120,15,0))</f>
        <v>0</v>
      </c>
      <c r="Y455" s="71">
        <f ca="1">('TUSD BE'!$AM$32+'TUSD BF'!$AM$32+'TUSD CVA'!$AM$32)*1*(1-0.06)</f>
        <v>10.765215249734004</v>
      </c>
      <c r="Z455" s="71"/>
      <c r="AA455" s="71"/>
      <c r="AB455" s="71">
        <f>(SUBSIDIO!$J$455*SUBSIDIO!$V$455)*(0.08)/(1-0.08)</f>
        <v>614.5856</v>
      </c>
      <c r="AC455" s="71">
        <f>((SUBSIDIO!$L$455*SUBSIDIO!$W$455)+(SUBSIDIO!$N$455*SUBSIDIO!$X$455))*(0.08)/(1-0.08)</f>
        <v>0</v>
      </c>
      <c r="AD455" s="71">
        <f ca="1">(SUBSIDIO!$J$455*SUBSIDIO!$Y$455)*(0.06)/(1-0.06)</f>
        <v>599.18729985753521</v>
      </c>
      <c r="AE455" s="71">
        <f>((SUBSIDIO!$L$455*SUBSIDIO!$Z$455)+(SUBSIDIO!$N$455*SUBSIDIO!$AA$455))*(0.06)/(1-0.06)</f>
        <v>0</v>
      </c>
      <c r="AF455" s="4" t="s">
        <v>1151</v>
      </c>
    </row>
    <row r="456" spans="1:32" ht="11.25" customHeight="1" x14ac:dyDescent="0.25">
      <c r="A456" s="4" t="s">
        <v>21</v>
      </c>
      <c r="B456" s="4" t="s">
        <v>33</v>
      </c>
      <c r="C456" s="4" t="s">
        <v>34</v>
      </c>
      <c r="D456" s="4" t="s">
        <v>47</v>
      </c>
      <c r="E456" s="4" t="s">
        <v>25</v>
      </c>
      <c r="F456" s="4" t="s">
        <v>25</v>
      </c>
      <c r="G456" s="4" t="s">
        <v>25</v>
      </c>
      <c r="H456" s="4" t="s">
        <v>25</v>
      </c>
      <c r="I456" s="5">
        <v>43922</v>
      </c>
      <c r="J456" s="6">
        <v>7575</v>
      </c>
      <c r="K456" s="71">
        <v>7575</v>
      </c>
      <c r="L456" s="6">
        <v>0</v>
      </c>
      <c r="M456" s="71">
        <v>0</v>
      </c>
      <c r="N456" s="6">
        <v>0</v>
      </c>
      <c r="O456" s="71">
        <v>0</v>
      </c>
      <c r="P456" s="6">
        <v>54</v>
      </c>
      <c r="Q456" s="4" t="s">
        <v>26</v>
      </c>
      <c r="R456" s="4">
        <v>0</v>
      </c>
      <c r="S456" s="4">
        <v>26</v>
      </c>
      <c r="T456" s="4">
        <v>0</v>
      </c>
      <c r="U456" s="4">
        <v>0</v>
      </c>
      <c r="V456" s="71">
        <f>IF(ISERROR(VLOOKUP($S$456,'TAR FIN'!$A$1:$O$120,15,0)),0,VLOOKUP($S$456,'TAR FIN'!$A$1:$O$120,15,0))*(1-0.08)</f>
        <v>8.1052</v>
      </c>
      <c r="W456" s="71">
        <f>IF(ISERROR(VLOOKUP($T$456,'TAR FIN'!$A$1:$O$120,15,0)),0,VLOOKUP($T$456,'TAR FIN'!$A$1:$O$120,15,0))</f>
        <v>0</v>
      </c>
      <c r="X456" s="71">
        <f>IF(ISERROR(VLOOKUP($U$456,'TAR FIN'!$A$1:$O$120,15,0)),0,VLOOKUP($U$456,'TAR FIN'!$A$1:$O$120,15,0))</f>
        <v>0</v>
      </c>
      <c r="Y456" s="71">
        <f ca="1">('TUSD BE'!$AM$32+'TUSD BF'!$AM$32+'TUSD CVA'!$AM$32)*1*(1-0.06)</f>
        <v>10.765215249734004</v>
      </c>
      <c r="Z456" s="71"/>
      <c r="AA456" s="71"/>
      <c r="AB456" s="71">
        <f>(SUBSIDIO!$J$456*SUBSIDIO!$V$456)*(0.08)/(1-0.08)</f>
        <v>5338.86</v>
      </c>
      <c r="AC456" s="71">
        <f>((SUBSIDIO!$L$456*SUBSIDIO!$W$456)+(SUBSIDIO!$N$456*SUBSIDIO!$X$456))*(0.08)/(1-0.08)</f>
        <v>0</v>
      </c>
      <c r="AD456" s="71">
        <f ca="1">(SUBSIDIO!$J$456*SUBSIDIO!$Y$456)*(0.06)/(1-0.06)</f>
        <v>5205.0960968128775</v>
      </c>
      <c r="AE456" s="71">
        <f>((SUBSIDIO!$L$456*SUBSIDIO!$Z$456)+(SUBSIDIO!$N$456*SUBSIDIO!$AA$456))*(0.06)/(1-0.06)</f>
        <v>0</v>
      </c>
      <c r="AF456" s="4" t="s">
        <v>1151</v>
      </c>
    </row>
    <row r="457" spans="1:32" ht="11.25" customHeight="1" x14ac:dyDescent="0.25">
      <c r="A457" s="4" t="s">
        <v>27</v>
      </c>
      <c r="B457" s="4" t="s">
        <v>33</v>
      </c>
      <c r="C457" s="4" t="s">
        <v>34</v>
      </c>
      <c r="D457" s="4" t="s">
        <v>47</v>
      </c>
      <c r="E457" s="4" t="s">
        <v>25</v>
      </c>
      <c r="F457" s="4" t="s">
        <v>25</v>
      </c>
      <c r="G457" s="4" t="s">
        <v>25</v>
      </c>
      <c r="H457" s="4" t="s">
        <v>25</v>
      </c>
      <c r="I457" s="5">
        <v>43922</v>
      </c>
      <c r="J457" s="6">
        <v>273</v>
      </c>
      <c r="K457" s="71">
        <v>273</v>
      </c>
      <c r="L457" s="6">
        <v>0</v>
      </c>
      <c r="M457" s="71">
        <v>0</v>
      </c>
      <c r="N457" s="6">
        <v>0</v>
      </c>
      <c r="O457" s="71">
        <v>0</v>
      </c>
      <c r="P457" s="6">
        <v>2</v>
      </c>
      <c r="Q457" s="4" t="s">
        <v>26</v>
      </c>
      <c r="R457" s="4">
        <v>0</v>
      </c>
      <c r="S457" s="4">
        <v>26</v>
      </c>
      <c r="T457" s="4">
        <v>0</v>
      </c>
      <c r="U457" s="4">
        <v>0</v>
      </c>
      <c r="V457" s="71">
        <f>IF(ISERROR(VLOOKUP($S$457,'TAR FIN'!$A$1:$O$120,15,0)),0,VLOOKUP($S$457,'TAR FIN'!$A$1:$O$120,15,0))*(1-0.08)</f>
        <v>8.1052</v>
      </c>
      <c r="W457" s="71">
        <f>IF(ISERROR(VLOOKUP($T$457,'TAR FIN'!$A$1:$O$120,15,0)),0,VLOOKUP($T$457,'TAR FIN'!$A$1:$O$120,15,0))</f>
        <v>0</v>
      </c>
      <c r="X457" s="71">
        <f>IF(ISERROR(VLOOKUP($U$457,'TAR FIN'!$A$1:$O$120,15,0)),0,VLOOKUP($U$457,'TAR FIN'!$A$1:$O$120,15,0))</f>
        <v>0</v>
      </c>
      <c r="Y457" s="71">
        <f ca="1">('TUSD BE'!$AM$32+'TUSD BF'!$AM$32+'TUSD CVA'!$AM$32)*1*(1-0.06)</f>
        <v>10.765215249734004</v>
      </c>
      <c r="Z457" s="71"/>
      <c r="AA457" s="71"/>
      <c r="AB457" s="71">
        <f>(SUBSIDIO!$J$457*SUBSIDIO!$V$457)*(0.08)/(1-0.08)</f>
        <v>192.41039999999998</v>
      </c>
      <c r="AC457" s="71">
        <f>((SUBSIDIO!$L$457*SUBSIDIO!$W$457)+(SUBSIDIO!$N$457*SUBSIDIO!$X$457))*(0.08)/(1-0.08)</f>
        <v>0</v>
      </c>
      <c r="AD457" s="71">
        <f ca="1">(SUBSIDIO!$J$457*SUBSIDIO!$Y$457)*(0.06)/(1-0.06)</f>
        <v>187.58960190493937</v>
      </c>
      <c r="AE457" s="71">
        <f>((SUBSIDIO!$L$457*SUBSIDIO!$Z$457)+(SUBSIDIO!$N$457*SUBSIDIO!$AA$457))*(0.06)/(1-0.06)</f>
        <v>0</v>
      </c>
      <c r="AF457" s="4" t="s">
        <v>1151</v>
      </c>
    </row>
    <row r="458" spans="1:32" ht="11.25" customHeight="1" x14ac:dyDescent="0.25">
      <c r="A458" s="4" t="s">
        <v>28</v>
      </c>
      <c r="B458" s="4" t="s">
        <v>33</v>
      </c>
      <c r="C458" s="4" t="s">
        <v>34</v>
      </c>
      <c r="D458" s="4" t="s">
        <v>47</v>
      </c>
      <c r="E458" s="4" t="s">
        <v>25</v>
      </c>
      <c r="F458" s="4" t="s">
        <v>25</v>
      </c>
      <c r="G458" s="4" t="s">
        <v>25</v>
      </c>
      <c r="H458" s="4" t="s">
        <v>25</v>
      </c>
      <c r="I458" s="5">
        <v>43922</v>
      </c>
      <c r="J458" s="6">
        <v>872</v>
      </c>
      <c r="K458" s="71">
        <v>872</v>
      </c>
      <c r="L458" s="6">
        <v>0</v>
      </c>
      <c r="M458" s="71">
        <v>0</v>
      </c>
      <c r="N458" s="6">
        <v>0</v>
      </c>
      <c r="O458" s="71">
        <v>0</v>
      </c>
      <c r="P458" s="6">
        <v>3</v>
      </c>
      <c r="Q458" s="4" t="s">
        <v>26</v>
      </c>
      <c r="R458" s="4">
        <v>0</v>
      </c>
      <c r="S458" s="4">
        <v>26</v>
      </c>
      <c r="T458" s="4">
        <v>0</v>
      </c>
      <c r="U458" s="4">
        <v>0</v>
      </c>
      <c r="V458" s="71">
        <f>IF(ISERROR(VLOOKUP($S$458,'TAR FIN'!$A$1:$O$120,15,0)),0,VLOOKUP($S$458,'TAR FIN'!$A$1:$O$120,15,0))*(1-0.08)</f>
        <v>8.1052</v>
      </c>
      <c r="W458" s="71">
        <f>IF(ISERROR(VLOOKUP($T$458,'TAR FIN'!$A$1:$O$120,15,0)),0,VLOOKUP($T$458,'TAR FIN'!$A$1:$O$120,15,0))</f>
        <v>0</v>
      </c>
      <c r="X458" s="71">
        <f>IF(ISERROR(VLOOKUP($U$458,'TAR FIN'!$A$1:$O$120,15,0)),0,VLOOKUP($U$458,'TAR FIN'!$A$1:$O$120,15,0))</f>
        <v>0</v>
      </c>
      <c r="Y458" s="71">
        <f ca="1">('TUSD BE'!$AM$32+'TUSD BF'!$AM$32+'TUSD CVA'!$AM$32)*1*(1-0.06)</f>
        <v>10.765215249734004</v>
      </c>
      <c r="Z458" s="71"/>
      <c r="AA458" s="71"/>
      <c r="AB458" s="71">
        <f>(SUBSIDIO!$J$458*SUBSIDIO!$V$458)*(0.08)/(1-0.08)</f>
        <v>614.5856</v>
      </c>
      <c r="AC458" s="71">
        <f>((SUBSIDIO!$L$458*SUBSIDIO!$W$458)+(SUBSIDIO!$N$458*SUBSIDIO!$X$458))*(0.08)/(1-0.08)</f>
        <v>0</v>
      </c>
      <c r="AD458" s="71">
        <f ca="1">(SUBSIDIO!$J$458*SUBSIDIO!$Y$458)*(0.06)/(1-0.06)</f>
        <v>599.18729985753521</v>
      </c>
      <c r="AE458" s="71">
        <f>((SUBSIDIO!$L$458*SUBSIDIO!$Z$458)+(SUBSIDIO!$N$458*SUBSIDIO!$AA$458))*(0.06)/(1-0.06)</f>
        <v>0</v>
      </c>
      <c r="AF458" s="4" t="s">
        <v>1151</v>
      </c>
    </row>
    <row r="459" spans="1:32" ht="11.25" customHeight="1" x14ac:dyDescent="0.25">
      <c r="A459" s="4" t="s">
        <v>21</v>
      </c>
      <c r="B459" s="4" t="s">
        <v>33</v>
      </c>
      <c r="C459" s="4" t="s">
        <v>34</v>
      </c>
      <c r="D459" s="4" t="s">
        <v>47</v>
      </c>
      <c r="E459" s="4" t="s">
        <v>25</v>
      </c>
      <c r="F459" s="4" t="s">
        <v>25</v>
      </c>
      <c r="G459" s="4" t="s">
        <v>25</v>
      </c>
      <c r="H459" s="4" t="s">
        <v>25</v>
      </c>
      <c r="I459" s="5">
        <v>43952</v>
      </c>
      <c r="J459" s="6">
        <v>6137</v>
      </c>
      <c r="K459" s="71">
        <v>6137</v>
      </c>
      <c r="L459" s="6">
        <v>0</v>
      </c>
      <c r="M459" s="71">
        <v>0</v>
      </c>
      <c r="N459" s="6">
        <v>0</v>
      </c>
      <c r="O459" s="71">
        <v>0</v>
      </c>
      <c r="P459" s="6">
        <v>54</v>
      </c>
      <c r="Q459" s="4" t="s">
        <v>26</v>
      </c>
      <c r="R459" s="4">
        <v>0</v>
      </c>
      <c r="S459" s="4">
        <v>26</v>
      </c>
      <c r="T459" s="4">
        <v>0</v>
      </c>
      <c r="U459" s="4">
        <v>0</v>
      </c>
      <c r="V459" s="71">
        <f>IF(ISERROR(VLOOKUP($S$459,'TAR FIN'!$A$1:$O$120,15,0)),0,VLOOKUP($S$459,'TAR FIN'!$A$1:$O$120,15,0))*(1-0.08)</f>
        <v>8.1052</v>
      </c>
      <c r="W459" s="71">
        <f>IF(ISERROR(VLOOKUP($T$459,'TAR FIN'!$A$1:$O$120,15,0)),0,VLOOKUP($T$459,'TAR FIN'!$A$1:$O$120,15,0))</f>
        <v>0</v>
      </c>
      <c r="X459" s="71">
        <f>IF(ISERROR(VLOOKUP($U$459,'TAR FIN'!$A$1:$O$120,15,0)),0,VLOOKUP($U$459,'TAR FIN'!$A$1:$O$120,15,0))</f>
        <v>0</v>
      </c>
      <c r="Y459" s="71">
        <f ca="1">('TUSD BE'!$AM$32+'TUSD BF'!$AM$32+'TUSD CVA'!$AM$32)*1*(1-0.06)</f>
        <v>10.765215249734004</v>
      </c>
      <c r="Z459" s="71"/>
      <c r="AA459" s="71"/>
      <c r="AB459" s="71">
        <f>(SUBSIDIO!$J$459*SUBSIDIO!$V$459)*(0.08)/(1-0.08)</f>
        <v>4325.3575999999994</v>
      </c>
      <c r="AC459" s="71">
        <f>((SUBSIDIO!$L$459*SUBSIDIO!$W$459)+(SUBSIDIO!$N$459*SUBSIDIO!$X$459))*(0.08)/(1-0.08)</f>
        <v>0</v>
      </c>
      <c r="AD459" s="71">
        <f ca="1">(SUBSIDIO!$J$459*SUBSIDIO!$Y$459)*(0.06)/(1-0.06)</f>
        <v>4216.9867651670793</v>
      </c>
      <c r="AE459" s="71">
        <f>((SUBSIDIO!$L$459*SUBSIDIO!$Z$459)+(SUBSIDIO!$N$459*SUBSIDIO!$AA$459))*(0.06)/(1-0.06)</f>
        <v>0</v>
      </c>
      <c r="AF459" s="4" t="s">
        <v>1151</v>
      </c>
    </row>
    <row r="460" spans="1:32" ht="11.25" customHeight="1" x14ac:dyDescent="0.25">
      <c r="A460" s="4" t="s">
        <v>27</v>
      </c>
      <c r="B460" s="4" t="s">
        <v>33</v>
      </c>
      <c r="C460" s="4" t="s">
        <v>34</v>
      </c>
      <c r="D460" s="4" t="s">
        <v>47</v>
      </c>
      <c r="E460" s="4" t="s">
        <v>25</v>
      </c>
      <c r="F460" s="4" t="s">
        <v>25</v>
      </c>
      <c r="G460" s="4" t="s">
        <v>25</v>
      </c>
      <c r="H460" s="4" t="s">
        <v>25</v>
      </c>
      <c r="I460" s="5">
        <v>43952</v>
      </c>
      <c r="J460" s="6">
        <v>471</v>
      </c>
      <c r="K460" s="71">
        <v>471</v>
      </c>
      <c r="L460" s="6">
        <v>0</v>
      </c>
      <c r="M460" s="71">
        <v>0</v>
      </c>
      <c r="N460" s="6">
        <v>0</v>
      </c>
      <c r="O460" s="71">
        <v>0</v>
      </c>
      <c r="P460" s="6">
        <v>2</v>
      </c>
      <c r="Q460" s="4" t="s">
        <v>26</v>
      </c>
      <c r="R460" s="4">
        <v>0</v>
      </c>
      <c r="S460" s="4">
        <v>26</v>
      </c>
      <c r="T460" s="4">
        <v>0</v>
      </c>
      <c r="U460" s="4">
        <v>0</v>
      </c>
      <c r="V460" s="71">
        <f>IF(ISERROR(VLOOKUP($S$460,'TAR FIN'!$A$1:$O$120,15,0)),0,VLOOKUP($S$460,'TAR FIN'!$A$1:$O$120,15,0))*(1-0.08)</f>
        <v>8.1052</v>
      </c>
      <c r="W460" s="71">
        <f>IF(ISERROR(VLOOKUP($T$460,'TAR FIN'!$A$1:$O$120,15,0)),0,VLOOKUP($T$460,'TAR FIN'!$A$1:$O$120,15,0))</f>
        <v>0</v>
      </c>
      <c r="X460" s="71">
        <f>IF(ISERROR(VLOOKUP($U$460,'TAR FIN'!$A$1:$O$120,15,0)),0,VLOOKUP($U$460,'TAR FIN'!$A$1:$O$120,15,0))</f>
        <v>0</v>
      </c>
      <c r="Y460" s="71">
        <f ca="1">('TUSD BE'!$AM$32+'TUSD BF'!$AM$32+'TUSD CVA'!$AM$32)*1*(1-0.06)</f>
        <v>10.765215249734004</v>
      </c>
      <c r="Z460" s="71"/>
      <c r="AA460" s="71"/>
      <c r="AB460" s="71">
        <f>(SUBSIDIO!$J$460*SUBSIDIO!$V$460)*(0.08)/(1-0.08)</f>
        <v>331.96079999999995</v>
      </c>
      <c r="AC460" s="71">
        <f>((SUBSIDIO!$L$460*SUBSIDIO!$W$460)+(SUBSIDIO!$N$460*SUBSIDIO!$X$460))*(0.08)/(1-0.08)</f>
        <v>0</v>
      </c>
      <c r="AD460" s="71">
        <f ca="1">(SUBSIDIO!$J$460*SUBSIDIO!$Y$460)*(0.06)/(1-0.06)</f>
        <v>323.6435988909393</v>
      </c>
      <c r="AE460" s="71">
        <f>((SUBSIDIO!$L$460*SUBSIDIO!$Z$460)+(SUBSIDIO!$N$460*SUBSIDIO!$AA$460))*(0.06)/(1-0.06)</f>
        <v>0</v>
      </c>
      <c r="AF460" s="4" t="s">
        <v>1151</v>
      </c>
    </row>
    <row r="461" spans="1:32" ht="11.25" customHeight="1" x14ac:dyDescent="0.25">
      <c r="A461" s="4" t="s">
        <v>28</v>
      </c>
      <c r="B461" s="4" t="s">
        <v>33</v>
      </c>
      <c r="C461" s="4" t="s">
        <v>34</v>
      </c>
      <c r="D461" s="4" t="s">
        <v>47</v>
      </c>
      <c r="E461" s="4" t="s">
        <v>25</v>
      </c>
      <c r="F461" s="4" t="s">
        <v>25</v>
      </c>
      <c r="G461" s="4" t="s">
        <v>25</v>
      </c>
      <c r="H461" s="4" t="s">
        <v>25</v>
      </c>
      <c r="I461" s="5">
        <v>43952</v>
      </c>
      <c r="J461" s="6">
        <v>1120</v>
      </c>
      <c r="K461" s="71">
        <v>1120</v>
      </c>
      <c r="L461" s="6">
        <v>0</v>
      </c>
      <c r="M461" s="71">
        <v>0</v>
      </c>
      <c r="N461" s="6">
        <v>0</v>
      </c>
      <c r="O461" s="71">
        <v>0</v>
      </c>
      <c r="P461" s="6">
        <v>4</v>
      </c>
      <c r="Q461" s="4" t="s">
        <v>26</v>
      </c>
      <c r="R461" s="4">
        <v>0</v>
      </c>
      <c r="S461" s="4">
        <v>26</v>
      </c>
      <c r="T461" s="4">
        <v>0</v>
      </c>
      <c r="U461" s="4">
        <v>0</v>
      </c>
      <c r="V461" s="71">
        <f>IF(ISERROR(VLOOKUP($S$461,'TAR FIN'!$A$1:$O$120,15,0)),0,VLOOKUP($S$461,'TAR FIN'!$A$1:$O$120,15,0))*(1-0.08)</f>
        <v>8.1052</v>
      </c>
      <c r="W461" s="71">
        <f>IF(ISERROR(VLOOKUP($T$461,'TAR FIN'!$A$1:$O$120,15,0)),0,VLOOKUP($T$461,'TAR FIN'!$A$1:$O$120,15,0))</f>
        <v>0</v>
      </c>
      <c r="X461" s="71">
        <f>IF(ISERROR(VLOOKUP($U$461,'TAR FIN'!$A$1:$O$120,15,0)),0,VLOOKUP($U$461,'TAR FIN'!$A$1:$O$120,15,0))</f>
        <v>0</v>
      </c>
      <c r="Y461" s="71">
        <f ca="1">('TUSD BE'!$AM$32+'TUSD BF'!$AM$32+'TUSD CVA'!$AM$32)*1*(1-0.06)</f>
        <v>10.765215249734004</v>
      </c>
      <c r="Z461" s="71"/>
      <c r="AA461" s="71"/>
      <c r="AB461" s="71">
        <f>(SUBSIDIO!$J$461*SUBSIDIO!$V$461)*(0.08)/(1-0.08)</f>
        <v>789.37600000000009</v>
      </c>
      <c r="AC461" s="71">
        <f>((SUBSIDIO!$L$461*SUBSIDIO!$W$461)+(SUBSIDIO!$N$461*SUBSIDIO!$X$461))*(0.08)/(1-0.08)</f>
        <v>0</v>
      </c>
      <c r="AD461" s="71">
        <f ca="1">(SUBSIDIO!$J$461*SUBSIDIO!$Y$461)*(0.06)/(1-0.06)</f>
        <v>769.59836678949478</v>
      </c>
      <c r="AE461" s="71">
        <f>((SUBSIDIO!$L$461*SUBSIDIO!$Z$461)+(SUBSIDIO!$N$461*SUBSIDIO!$AA$461))*(0.06)/(1-0.06)</f>
        <v>0</v>
      </c>
      <c r="AF461" s="4" t="s">
        <v>1151</v>
      </c>
    </row>
    <row r="462" spans="1:32" ht="11.25" customHeight="1" x14ac:dyDescent="0.25">
      <c r="A462" s="4" t="s">
        <v>21</v>
      </c>
      <c r="B462" s="4" t="s">
        <v>33</v>
      </c>
      <c r="C462" s="4" t="s">
        <v>34</v>
      </c>
      <c r="D462" s="4" t="s">
        <v>47</v>
      </c>
      <c r="E462" s="4" t="s">
        <v>25</v>
      </c>
      <c r="F462" s="4" t="s">
        <v>25</v>
      </c>
      <c r="G462" s="4" t="s">
        <v>25</v>
      </c>
      <c r="H462" s="4" t="s">
        <v>25</v>
      </c>
      <c r="I462" s="5">
        <v>43983</v>
      </c>
      <c r="J462" s="6">
        <v>5979</v>
      </c>
      <c r="K462" s="71">
        <v>5979</v>
      </c>
      <c r="L462" s="6">
        <v>0</v>
      </c>
      <c r="M462" s="71">
        <v>0</v>
      </c>
      <c r="N462" s="6">
        <v>0</v>
      </c>
      <c r="O462" s="71">
        <v>0</v>
      </c>
      <c r="P462" s="6">
        <v>56</v>
      </c>
      <c r="Q462" s="4" t="s">
        <v>26</v>
      </c>
      <c r="R462" s="4">
        <v>0</v>
      </c>
      <c r="S462" s="4">
        <v>26</v>
      </c>
      <c r="T462" s="4">
        <v>0</v>
      </c>
      <c r="U462" s="4">
        <v>0</v>
      </c>
      <c r="V462" s="71">
        <f>IF(ISERROR(VLOOKUP($S$462,'TAR FIN'!$A$1:$O$120,15,0)),0,VLOOKUP($S$462,'TAR FIN'!$A$1:$O$120,15,0))*(1-0.08)</f>
        <v>8.1052</v>
      </c>
      <c r="W462" s="71">
        <f>IF(ISERROR(VLOOKUP($T$462,'TAR FIN'!$A$1:$O$120,15,0)),0,VLOOKUP($T$462,'TAR FIN'!$A$1:$O$120,15,0))</f>
        <v>0</v>
      </c>
      <c r="X462" s="71">
        <f>IF(ISERROR(VLOOKUP($U$462,'TAR FIN'!$A$1:$O$120,15,0)),0,VLOOKUP($U$462,'TAR FIN'!$A$1:$O$120,15,0))</f>
        <v>0</v>
      </c>
      <c r="Y462" s="71">
        <f ca="1">('TUSD BE'!$AM$32+'TUSD BF'!$AM$32+'TUSD CVA'!$AM$32)*1*(1-0.06)</f>
        <v>10.765215249734004</v>
      </c>
      <c r="Z462" s="71"/>
      <c r="AA462" s="71"/>
      <c r="AB462" s="71">
        <f>(SUBSIDIO!$J$462*SUBSIDIO!$V$462)*(0.08)/(1-0.08)</f>
        <v>4213.9992000000002</v>
      </c>
      <c r="AC462" s="71">
        <f>((SUBSIDIO!$L$462*SUBSIDIO!$W$462)+(SUBSIDIO!$N$462*SUBSIDIO!$X$462))*(0.08)/(1-0.08)</f>
        <v>0</v>
      </c>
      <c r="AD462" s="71">
        <f ca="1">(SUBSIDIO!$J$462*SUBSIDIO!$Y$462)*(0.06)/(1-0.06)</f>
        <v>4108.4184241378471</v>
      </c>
      <c r="AE462" s="71">
        <f>((SUBSIDIO!$L$462*SUBSIDIO!$Z$462)+(SUBSIDIO!$N$462*SUBSIDIO!$AA$462))*(0.06)/(1-0.06)</f>
        <v>0</v>
      </c>
      <c r="AF462" s="4" t="s">
        <v>1151</v>
      </c>
    </row>
    <row r="463" spans="1:32" ht="11.25" customHeight="1" x14ac:dyDescent="0.25">
      <c r="A463" s="4" t="s">
        <v>27</v>
      </c>
      <c r="B463" s="4" t="s">
        <v>33</v>
      </c>
      <c r="C463" s="4" t="s">
        <v>34</v>
      </c>
      <c r="D463" s="4" t="s">
        <v>47</v>
      </c>
      <c r="E463" s="4" t="s">
        <v>25</v>
      </c>
      <c r="F463" s="4" t="s">
        <v>25</v>
      </c>
      <c r="G463" s="4" t="s">
        <v>25</v>
      </c>
      <c r="H463" s="4" t="s">
        <v>25</v>
      </c>
      <c r="I463" s="5">
        <v>43983</v>
      </c>
      <c r="J463" s="6">
        <v>397</v>
      </c>
      <c r="K463" s="71">
        <v>397</v>
      </c>
      <c r="L463" s="6">
        <v>0</v>
      </c>
      <c r="M463" s="71">
        <v>0</v>
      </c>
      <c r="N463" s="6">
        <v>0</v>
      </c>
      <c r="O463" s="71">
        <v>0</v>
      </c>
      <c r="P463" s="6">
        <v>2</v>
      </c>
      <c r="Q463" s="4" t="s">
        <v>26</v>
      </c>
      <c r="R463" s="4">
        <v>0</v>
      </c>
      <c r="S463" s="4">
        <v>26</v>
      </c>
      <c r="T463" s="4">
        <v>0</v>
      </c>
      <c r="U463" s="4">
        <v>0</v>
      </c>
      <c r="V463" s="71">
        <f>IF(ISERROR(VLOOKUP($S$463,'TAR FIN'!$A$1:$O$120,15,0)),0,VLOOKUP($S$463,'TAR FIN'!$A$1:$O$120,15,0))*(1-0.08)</f>
        <v>8.1052</v>
      </c>
      <c r="W463" s="71">
        <f>IF(ISERROR(VLOOKUP($T$463,'TAR FIN'!$A$1:$O$120,15,0)),0,VLOOKUP($T$463,'TAR FIN'!$A$1:$O$120,15,0))</f>
        <v>0</v>
      </c>
      <c r="X463" s="71">
        <f>IF(ISERROR(VLOOKUP($U$463,'TAR FIN'!$A$1:$O$120,15,0)),0,VLOOKUP($U$463,'TAR FIN'!$A$1:$O$120,15,0))</f>
        <v>0</v>
      </c>
      <c r="Y463" s="71">
        <f ca="1">('TUSD BE'!$AM$32+'TUSD BF'!$AM$32+'TUSD CVA'!$AM$32)*1*(1-0.06)</f>
        <v>10.765215249734004</v>
      </c>
      <c r="Z463" s="71"/>
      <c r="AA463" s="71"/>
      <c r="AB463" s="71">
        <f>(SUBSIDIO!$J$463*SUBSIDIO!$V$463)*(0.08)/(1-0.08)</f>
        <v>279.80559999999997</v>
      </c>
      <c r="AC463" s="71">
        <f>((SUBSIDIO!$L$463*SUBSIDIO!$W$463)+(SUBSIDIO!$N$463*SUBSIDIO!$X$463))*(0.08)/(1-0.08)</f>
        <v>0</v>
      </c>
      <c r="AD463" s="71">
        <f ca="1">(SUBSIDIO!$J$463*SUBSIDIO!$Y$463)*(0.06)/(1-0.06)</f>
        <v>272.79513537091913</v>
      </c>
      <c r="AE463" s="71">
        <f>((SUBSIDIO!$L$463*SUBSIDIO!$Z$463)+(SUBSIDIO!$N$463*SUBSIDIO!$AA$463))*(0.06)/(1-0.06)</f>
        <v>0</v>
      </c>
      <c r="AF463" s="4" t="s">
        <v>1151</v>
      </c>
    </row>
    <row r="464" spans="1:32" ht="11.25" customHeight="1" x14ac:dyDescent="0.25">
      <c r="A464" s="4" t="s">
        <v>28</v>
      </c>
      <c r="B464" s="4" t="s">
        <v>33</v>
      </c>
      <c r="C464" s="4" t="s">
        <v>34</v>
      </c>
      <c r="D464" s="4" t="s">
        <v>47</v>
      </c>
      <c r="E464" s="4" t="s">
        <v>25</v>
      </c>
      <c r="F464" s="4" t="s">
        <v>25</v>
      </c>
      <c r="G464" s="4" t="s">
        <v>25</v>
      </c>
      <c r="H464" s="4" t="s">
        <v>25</v>
      </c>
      <c r="I464" s="5">
        <v>43983</v>
      </c>
      <c r="J464" s="6">
        <v>1396</v>
      </c>
      <c r="K464" s="71">
        <v>1396</v>
      </c>
      <c r="L464" s="6">
        <v>0</v>
      </c>
      <c r="M464" s="71">
        <v>0</v>
      </c>
      <c r="N464" s="6">
        <v>0</v>
      </c>
      <c r="O464" s="71">
        <v>0</v>
      </c>
      <c r="P464" s="6">
        <v>5</v>
      </c>
      <c r="Q464" s="4" t="s">
        <v>26</v>
      </c>
      <c r="R464" s="4">
        <v>0</v>
      </c>
      <c r="S464" s="4">
        <v>26</v>
      </c>
      <c r="T464" s="4">
        <v>0</v>
      </c>
      <c r="U464" s="4">
        <v>0</v>
      </c>
      <c r="V464" s="71">
        <f>IF(ISERROR(VLOOKUP($S$464,'TAR FIN'!$A$1:$O$120,15,0)),0,VLOOKUP($S$464,'TAR FIN'!$A$1:$O$120,15,0))*(1-0.08)</f>
        <v>8.1052</v>
      </c>
      <c r="W464" s="71">
        <f>IF(ISERROR(VLOOKUP($T$464,'TAR FIN'!$A$1:$O$120,15,0)),0,VLOOKUP($T$464,'TAR FIN'!$A$1:$O$120,15,0))</f>
        <v>0</v>
      </c>
      <c r="X464" s="71">
        <f>IF(ISERROR(VLOOKUP($U$464,'TAR FIN'!$A$1:$O$120,15,0)),0,VLOOKUP($U$464,'TAR FIN'!$A$1:$O$120,15,0))</f>
        <v>0</v>
      </c>
      <c r="Y464" s="71">
        <f ca="1">('TUSD BE'!$AM$32+'TUSD BF'!$AM$32+'TUSD CVA'!$AM$32)*1*(1-0.06)</f>
        <v>10.765215249734004</v>
      </c>
      <c r="Z464" s="71"/>
      <c r="AA464" s="71"/>
      <c r="AB464" s="71">
        <f>(SUBSIDIO!$J$464*SUBSIDIO!$V$464)*(0.08)/(1-0.08)</f>
        <v>983.9008</v>
      </c>
      <c r="AC464" s="71">
        <f>((SUBSIDIO!$L$464*SUBSIDIO!$W$464)+(SUBSIDIO!$N$464*SUBSIDIO!$X$464))*(0.08)/(1-0.08)</f>
        <v>0</v>
      </c>
      <c r="AD464" s="71">
        <f ca="1">(SUBSIDIO!$J$464*SUBSIDIO!$Y$464)*(0.06)/(1-0.06)</f>
        <v>959.24939289119175</v>
      </c>
      <c r="AE464" s="71">
        <f>((SUBSIDIO!$L$464*SUBSIDIO!$Z$464)+(SUBSIDIO!$N$464*SUBSIDIO!$AA$464))*(0.06)/(1-0.06)</f>
        <v>0</v>
      </c>
      <c r="AF464" s="4" t="s">
        <v>1151</v>
      </c>
    </row>
    <row r="465" spans="1:32" ht="11.25" customHeight="1" x14ac:dyDescent="0.25">
      <c r="A465" s="4" t="s">
        <v>21</v>
      </c>
      <c r="B465" s="4" t="s">
        <v>33</v>
      </c>
      <c r="C465" s="4" t="s">
        <v>34</v>
      </c>
      <c r="D465" s="4" t="s">
        <v>47</v>
      </c>
      <c r="E465" s="4" t="s">
        <v>25</v>
      </c>
      <c r="F465" s="4" t="s">
        <v>25</v>
      </c>
      <c r="G465" s="4" t="s">
        <v>25</v>
      </c>
      <c r="H465" s="4" t="s">
        <v>25</v>
      </c>
      <c r="I465" s="5">
        <v>44013</v>
      </c>
      <c r="J465" s="6">
        <v>5798</v>
      </c>
      <c r="K465" s="71">
        <v>5798</v>
      </c>
      <c r="L465" s="6">
        <v>0</v>
      </c>
      <c r="M465" s="71">
        <v>0</v>
      </c>
      <c r="N465" s="6">
        <v>0</v>
      </c>
      <c r="O465" s="71">
        <v>0</v>
      </c>
      <c r="P465" s="6">
        <v>55</v>
      </c>
      <c r="Q465" s="4" t="s">
        <v>26</v>
      </c>
      <c r="R465" s="4">
        <v>0</v>
      </c>
      <c r="S465" s="4">
        <v>26</v>
      </c>
      <c r="T465" s="4">
        <v>0</v>
      </c>
      <c r="U465" s="4">
        <v>0</v>
      </c>
      <c r="V465" s="71">
        <f>IF(ISERROR(VLOOKUP($S$465,'TAR FIN'!$A$1:$O$120,15,0)),0,VLOOKUP($S$465,'TAR FIN'!$A$1:$O$120,15,0))*(1-0.08)</f>
        <v>8.1052</v>
      </c>
      <c r="W465" s="71">
        <f>IF(ISERROR(VLOOKUP($T$465,'TAR FIN'!$A$1:$O$120,15,0)),0,VLOOKUP($T$465,'TAR FIN'!$A$1:$O$120,15,0))</f>
        <v>0</v>
      </c>
      <c r="X465" s="71">
        <f>IF(ISERROR(VLOOKUP($U$465,'TAR FIN'!$A$1:$O$120,15,0)),0,VLOOKUP($U$465,'TAR FIN'!$A$1:$O$120,15,0))</f>
        <v>0</v>
      </c>
      <c r="Y465" s="71">
        <f ca="1">('TUSD BE'!$AM$32+'TUSD BF'!$AM$32+'TUSD CVA'!$AM$32)*1*(1-0.06)</f>
        <v>10.765215249734004</v>
      </c>
      <c r="Z465" s="71"/>
      <c r="AA465" s="71"/>
      <c r="AB465" s="71">
        <f>(SUBSIDIO!$J$465*SUBSIDIO!$V$465)*(0.08)/(1-0.08)</f>
        <v>4086.4304000000002</v>
      </c>
      <c r="AC465" s="71">
        <f>((SUBSIDIO!$L$465*SUBSIDIO!$W$465)+(SUBSIDIO!$N$465*SUBSIDIO!$X$465))*(0.08)/(1-0.08)</f>
        <v>0</v>
      </c>
      <c r="AD465" s="71">
        <f ca="1">(SUBSIDIO!$J$465*SUBSIDIO!$Y$465)*(0.06)/(1-0.06)</f>
        <v>3984.0458309334736</v>
      </c>
      <c r="AE465" s="71">
        <f>((SUBSIDIO!$L$465*SUBSIDIO!$Z$465)+(SUBSIDIO!$N$465*SUBSIDIO!$AA$465))*(0.06)/(1-0.06)</f>
        <v>0</v>
      </c>
      <c r="AF465" s="4" t="s">
        <v>1151</v>
      </c>
    </row>
    <row r="466" spans="1:32" ht="11.25" customHeight="1" x14ac:dyDescent="0.25">
      <c r="A466" s="4" t="s">
        <v>27</v>
      </c>
      <c r="B466" s="4" t="s">
        <v>33</v>
      </c>
      <c r="C466" s="4" t="s">
        <v>34</v>
      </c>
      <c r="D466" s="4" t="s">
        <v>47</v>
      </c>
      <c r="E466" s="4" t="s">
        <v>25</v>
      </c>
      <c r="F466" s="4" t="s">
        <v>25</v>
      </c>
      <c r="G466" s="4" t="s">
        <v>25</v>
      </c>
      <c r="H466" s="4" t="s">
        <v>25</v>
      </c>
      <c r="I466" s="5">
        <v>44013</v>
      </c>
      <c r="J466" s="6">
        <v>455</v>
      </c>
      <c r="K466" s="71">
        <v>455</v>
      </c>
      <c r="L466" s="6">
        <v>0</v>
      </c>
      <c r="M466" s="71">
        <v>0</v>
      </c>
      <c r="N466" s="6">
        <v>0</v>
      </c>
      <c r="O466" s="71">
        <v>0</v>
      </c>
      <c r="P466" s="6">
        <v>2</v>
      </c>
      <c r="Q466" s="4" t="s">
        <v>26</v>
      </c>
      <c r="R466" s="4">
        <v>0</v>
      </c>
      <c r="S466" s="4">
        <v>26</v>
      </c>
      <c r="T466" s="4">
        <v>0</v>
      </c>
      <c r="U466" s="4">
        <v>0</v>
      </c>
      <c r="V466" s="71">
        <f>IF(ISERROR(VLOOKUP($S$466,'TAR FIN'!$A$1:$O$120,15,0)),0,VLOOKUP($S$466,'TAR FIN'!$A$1:$O$120,15,0))*(1-0.08)</f>
        <v>8.1052</v>
      </c>
      <c r="W466" s="71">
        <f>IF(ISERROR(VLOOKUP($T$466,'TAR FIN'!$A$1:$O$120,15,0)),0,VLOOKUP($T$466,'TAR FIN'!$A$1:$O$120,15,0))</f>
        <v>0</v>
      </c>
      <c r="X466" s="71">
        <f>IF(ISERROR(VLOOKUP($U$466,'TAR FIN'!$A$1:$O$120,15,0)),0,VLOOKUP($U$466,'TAR FIN'!$A$1:$O$120,15,0))</f>
        <v>0</v>
      </c>
      <c r="Y466" s="71">
        <f ca="1">('TUSD BE'!$AM$32+'TUSD BF'!$AM$32+'TUSD CVA'!$AM$32)*1*(1-0.06)</f>
        <v>10.765215249734004</v>
      </c>
      <c r="Z466" s="71"/>
      <c r="AA466" s="71"/>
      <c r="AB466" s="71">
        <f>(SUBSIDIO!$J$466*SUBSIDIO!$V$466)*(0.08)/(1-0.08)</f>
        <v>320.68400000000003</v>
      </c>
      <c r="AC466" s="71">
        <f>((SUBSIDIO!$L$466*SUBSIDIO!$W$466)+(SUBSIDIO!$N$466*SUBSIDIO!$X$466))*(0.08)/(1-0.08)</f>
        <v>0</v>
      </c>
      <c r="AD466" s="71">
        <f ca="1">(SUBSIDIO!$J$466*SUBSIDIO!$Y$466)*(0.06)/(1-0.06)</f>
        <v>312.64933650823224</v>
      </c>
      <c r="AE466" s="71">
        <f>((SUBSIDIO!$L$466*SUBSIDIO!$Z$466)+(SUBSIDIO!$N$466*SUBSIDIO!$AA$466))*(0.06)/(1-0.06)</f>
        <v>0</v>
      </c>
      <c r="AF466" s="4" t="s">
        <v>1151</v>
      </c>
    </row>
    <row r="467" spans="1:32" ht="11.25" customHeight="1" x14ac:dyDescent="0.25">
      <c r="A467" s="4" t="s">
        <v>28</v>
      </c>
      <c r="B467" s="4" t="s">
        <v>33</v>
      </c>
      <c r="C467" s="4" t="s">
        <v>34</v>
      </c>
      <c r="D467" s="4" t="s">
        <v>47</v>
      </c>
      <c r="E467" s="4" t="s">
        <v>25</v>
      </c>
      <c r="F467" s="4" t="s">
        <v>25</v>
      </c>
      <c r="G467" s="4" t="s">
        <v>25</v>
      </c>
      <c r="H467" s="4" t="s">
        <v>25</v>
      </c>
      <c r="I467" s="5">
        <v>44013</v>
      </c>
      <c r="J467" s="6">
        <v>1893</v>
      </c>
      <c r="K467" s="71">
        <v>1893</v>
      </c>
      <c r="L467" s="6">
        <v>0</v>
      </c>
      <c r="M467" s="71">
        <v>0</v>
      </c>
      <c r="N467" s="6">
        <v>0</v>
      </c>
      <c r="O467" s="71">
        <v>0</v>
      </c>
      <c r="P467" s="6">
        <v>5</v>
      </c>
      <c r="Q467" s="4" t="s">
        <v>26</v>
      </c>
      <c r="R467" s="4">
        <v>0</v>
      </c>
      <c r="S467" s="4">
        <v>26</v>
      </c>
      <c r="T467" s="4">
        <v>0</v>
      </c>
      <c r="U467" s="4">
        <v>0</v>
      </c>
      <c r="V467" s="71">
        <f>IF(ISERROR(VLOOKUP($S$467,'TAR FIN'!$A$1:$O$120,15,0)),0,VLOOKUP($S$467,'TAR FIN'!$A$1:$O$120,15,0))*(1-0.08)</f>
        <v>8.1052</v>
      </c>
      <c r="W467" s="71">
        <f>IF(ISERROR(VLOOKUP($T$467,'TAR FIN'!$A$1:$O$120,15,0)),0,VLOOKUP($T$467,'TAR FIN'!$A$1:$O$120,15,0))</f>
        <v>0</v>
      </c>
      <c r="X467" s="71">
        <f>IF(ISERROR(VLOOKUP($U$467,'TAR FIN'!$A$1:$O$120,15,0)),0,VLOOKUP($U$467,'TAR FIN'!$A$1:$O$120,15,0))</f>
        <v>0</v>
      </c>
      <c r="Y467" s="71">
        <f ca="1">('TUSD BE'!$AM$32+'TUSD BF'!$AM$32+'TUSD CVA'!$AM$32)*1*(1-0.06)</f>
        <v>10.765215249734004</v>
      </c>
      <c r="Z467" s="71"/>
      <c r="AA467" s="71"/>
      <c r="AB467" s="71">
        <f>(SUBSIDIO!$J$467*SUBSIDIO!$V$467)*(0.08)/(1-0.08)</f>
        <v>1334.1863999999998</v>
      </c>
      <c r="AC467" s="71">
        <f>((SUBSIDIO!$L$467*SUBSIDIO!$W$467)+(SUBSIDIO!$N$467*SUBSIDIO!$X$467))*(0.08)/(1-0.08)</f>
        <v>0</v>
      </c>
      <c r="AD467" s="71">
        <f ca="1">(SUBSIDIO!$J$467*SUBSIDIO!$Y$467)*(0.06)/(1-0.06)</f>
        <v>1300.7586681540297</v>
      </c>
      <c r="AE467" s="71">
        <f>((SUBSIDIO!$L$467*SUBSIDIO!$Z$467)+(SUBSIDIO!$N$467*SUBSIDIO!$AA$467))*(0.06)/(1-0.06)</f>
        <v>0</v>
      </c>
      <c r="AF467" s="4" t="s">
        <v>1151</v>
      </c>
    </row>
    <row r="468" spans="1:32" ht="11.25" customHeight="1" x14ac:dyDescent="0.25">
      <c r="A468" s="4" t="s">
        <v>21</v>
      </c>
      <c r="B468" s="4" t="s">
        <v>33</v>
      </c>
      <c r="C468" s="4" t="s">
        <v>34</v>
      </c>
      <c r="D468" s="4" t="s">
        <v>47</v>
      </c>
      <c r="E468" s="4" t="s">
        <v>25</v>
      </c>
      <c r="F468" s="4" t="s">
        <v>25</v>
      </c>
      <c r="G468" s="4" t="s">
        <v>25</v>
      </c>
      <c r="H468" s="4" t="s">
        <v>25</v>
      </c>
      <c r="I468" s="5">
        <v>44044</v>
      </c>
      <c r="J468" s="6">
        <v>6044</v>
      </c>
      <c r="K468" s="71">
        <v>6044</v>
      </c>
      <c r="L468" s="6">
        <v>0</v>
      </c>
      <c r="M468" s="71">
        <v>0</v>
      </c>
      <c r="N468" s="6">
        <v>0</v>
      </c>
      <c r="O468" s="71">
        <v>0</v>
      </c>
      <c r="P468" s="6">
        <v>54</v>
      </c>
      <c r="Q468" s="4" t="s">
        <v>26</v>
      </c>
      <c r="R468" s="4">
        <v>0</v>
      </c>
      <c r="S468" s="4">
        <v>26</v>
      </c>
      <c r="T468" s="4">
        <v>0</v>
      </c>
      <c r="U468" s="4">
        <v>0</v>
      </c>
      <c r="V468" s="71">
        <f>IF(ISERROR(VLOOKUP($S$468,'TAR FIN'!$A$1:$O$120,15,0)),0,VLOOKUP($S$468,'TAR FIN'!$A$1:$O$120,15,0))*(1-0.08)</f>
        <v>8.1052</v>
      </c>
      <c r="W468" s="71">
        <f>IF(ISERROR(VLOOKUP($T$468,'TAR FIN'!$A$1:$O$120,15,0)),0,VLOOKUP($T$468,'TAR FIN'!$A$1:$O$120,15,0))</f>
        <v>0</v>
      </c>
      <c r="X468" s="71">
        <f>IF(ISERROR(VLOOKUP($U$468,'TAR FIN'!$A$1:$O$120,15,0)),0,VLOOKUP($U$468,'TAR FIN'!$A$1:$O$120,15,0))</f>
        <v>0</v>
      </c>
      <c r="Y468" s="71">
        <f ca="1">('TUSD BE'!$AM$32+'TUSD BF'!$AM$32+'TUSD CVA'!$AM$32)*1*(1-0.06)</f>
        <v>10.765215249734004</v>
      </c>
      <c r="Z468" s="71"/>
      <c r="AA468" s="71"/>
      <c r="AB468" s="71">
        <f>(SUBSIDIO!$J$468*SUBSIDIO!$V$468)*(0.08)/(1-0.08)</f>
        <v>4259.8112000000001</v>
      </c>
      <c r="AC468" s="71">
        <f>((SUBSIDIO!$L$468*SUBSIDIO!$W$468)+(SUBSIDIO!$N$468*SUBSIDIO!$X$468))*(0.08)/(1-0.08)</f>
        <v>0</v>
      </c>
      <c r="AD468" s="71">
        <f ca="1">(SUBSIDIO!$J$468*SUBSIDIO!$Y$468)*(0.06)/(1-0.06)</f>
        <v>4153.0826150675948</v>
      </c>
      <c r="AE468" s="71">
        <f>((SUBSIDIO!$L$468*SUBSIDIO!$Z$468)+(SUBSIDIO!$N$468*SUBSIDIO!$AA$468))*(0.06)/(1-0.06)</f>
        <v>0</v>
      </c>
      <c r="AF468" s="4" t="s">
        <v>1151</v>
      </c>
    </row>
    <row r="469" spans="1:32" ht="11.25" customHeight="1" x14ac:dyDescent="0.25">
      <c r="A469" s="4" t="s">
        <v>27</v>
      </c>
      <c r="B469" s="4" t="s">
        <v>33</v>
      </c>
      <c r="C469" s="4" t="s">
        <v>34</v>
      </c>
      <c r="D469" s="4" t="s">
        <v>47</v>
      </c>
      <c r="E469" s="4" t="s">
        <v>25</v>
      </c>
      <c r="F469" s="4" t="s">
        <v>25</v>
      </c>
      <c r="G469" s="4" t="s">
        <v>25</v>
      </c>
      <c r="H469" s="4" t="s">
        <v>25</v>
      </c>
      <c r="I469" s="5">
        <v>44044</v>
      </c>
      <c r="J469" s="6">
        <v>513</v>
      </c>
      <c r="K469" s="71">
        <v>513</v>
      </c>
      <c r="L469" s="6">
        <v>0</v>
      </c>
      <c r="M469" s="71">
        <v>0</v>
      </c>
      <c r="N469" s="6">
        <v>0</v>
      </c>
      <c r="O469" s="71">
        <v>0</v>
      </c>
      <c r="P469" s="6">
        <v>2</v>
      </c>
      <c r="Q469" s="4" t="s">
        <v>26</v>
      </c>
      <c r="R469" s="4">
        <v>0</v>
      </c>
      <c r="S469" s="4">
        <v>26</v>
      </c>
      <c r="T469" s="4">
        <v>0</v>
      </c>
      <c r="U469" s="4">
        <v>0</v>
      </c>
      <c r="V469" s="71">
        <f>IF(ISERROR(VLOOKUP($S$469,'TAR FIN'!$A$1:$O$120,15,0)),0,VLOOKUP($S$469,'TAR FIN'!$A$1:$O$120,15,0))*(1-0.08)</f>
        <v>8.1052</v>
      </c>
      <c r="W469" s="71">
        <f>IF(ISERROR(VLOOKUP($T$469,'TAR FIN'!$A$1:$O$120,15,0)),0,VLOOKUP($T$469,'TAR FIN'!$A$1:$O$120,15,0))</f>
        <v>0</v>
      </c>
      <c r="X469" s="71">
        <f>IF(ISERROR(VLOOKUP($U$469,'TAR FIN'!$A$1:$O$120,15,0)),0,VLOOKUP($U$469,'TAR FIN'!$A$1:$O$120,15,0))</f>
        <v>0</v>
      </c>
      <c r="Y469" s="71">
        <f ca="1">('TUSD BE'!$AM$32+'TUSD BF'!$AM$32+'TUSD CVA'!$AM$32)*1*(1-0.06)</f>
        <v>10.765215249734004</v>
      </c>
      <c r="Z469" s="71"/>
      <c r="AA469" s="71"/>
      <c r="AB469" s="71">
        <f>(SUBSIDIO!$J$469*SUBSIDIO!$V$469)*(0.08)/(1-0.08)</f>
        <v>361.56239999999997</v>
      </c>
      <c r="AC469" s="71">
        <f>((SUBSIDIO!$L$469*SUBSIDIO!$W$469)+(SUBSIDIO!$N$469*SUBSIDIO!$X$469))*(0.08)/(1-0.08)</f>
        <v>0</v>
      </c>
      <c r="AD469" s="71">
        <f ca="1">(SUBSIDIO!$J$469*SUBSIDIO!$Y$469)*(0.06)/(1-0.06)</f>
        <v>352.50353764554535</v>
      </c>
      <c r="AE469" s="71">
        <f>((SUBSIDIO!$L$469*SUBSIDIO!$Z$469)+(SUBSIDIO!$N$469*SUBSIDIO!$AA$469))*(0.06)/(1-0.06)</f>
        <v>0</v>
      </c>
      <c r="AF469" s="4" t="s">
        <v>1151</v>
      </c>
    </row>
    <row r="470" spans="1:32" ht="11.25" customHeight="1" x14ac:dyDescent="0.25">
      <c r="A470" s="4" t="s">
        <v>28</v>
      </c>
      <c r="B470" s="4" t="s">
        <v>33</v>
      </c>
      <c r="C470" s="4" t="s">
        <v>34</v>
      </c>
      <c r="D470" s="4" t="s">
        <v>47</v>
      </c>
      <c r="E470" s="4" t="s">
        <v>25</v>
      </c>
      <c r="F470" s="4" t="s">
        <v>25</v>
      </c>
      <c r="G470" s="4" t="s">
        <v>25</v>
      </c>
      <c r="H470" s="4" t="s">
        <v>25</v>
      </c>
      <c r="I470" s="5">
        <v>44044</v>
      </c>
      <c r="J470" s="6">
        <v>1996</v>
      </c>
      <c r="K470" s="71">
        <v>1996</v>
      </c>
      <c r="L470" s="6">
        <v>0</v>
      </c>
      <c r="M470" s="71">
        <v>0</v>
      </c>
      <c r="N470" s="6">
        <v>0</v>
      </c>
      <c r="O470" s="71">
        <v>0</v>
      </c>
      <c r="P470" s="6">
        <v>5</v>
      </c>
      <c r="Q470" s="4" t="s">
        <v>26</v>
      </c>
      <c r="R470" s="4">
        <v>0</v>
      </c>
      <c r="S470" s="4">
        <v>26</v>
      </c>
      <c r="T470" s="4">
        <v>0</v>
      </c>
      <c r="U470" s="4">
        <v>0</v>
      </c>
      <c r="V470" s="71">
        <f>IF(ISERROR(VLOOKUP($S$470,'TAR FIN'!$A$1:$O$120,15,0)),0,VLOOKUP($S$470,'TAR FIN'!$A$1:$O$120,15,0))*(1-0.08)</f>
        <v>8.1052</v>
      </c>
      <c r="W470" s="71">
        <f>IF(ISERROR(VLOOKUP($T$470,'TAR FIN'!$A$1:$O$120,15,0)),0,VLOOKUP($T$470,'TAR FIN'!$A$1:$O$120,15,0))</f>
        <v>0</v>
      </c>
      <c r="X470" s="71">
        <f>IF(ISERROR(VLOOKUP($U$470,'TAR FIN'!$A$1:$O$120,15,0)),0,VLOOKUP($U$470,'TAR FIN'!$A$1:$O$120,15,0))</f>
        <v>0</v>
      </c>
      <c r="Y470" s="71">
        <f ca="1">('TUSD BE'!$AM$32+'TUSD BF'!$AM$32+'TUSD CVA'!$AM$32)*1*(1-0.06)</f>
        <v>10.765215249734004</v>
      </c>
      <c r="Z470" s="71"/>
      <c r="AA470" s="71"/>
      <c r="AB470" s="71">
        <f>(SUBSIDIO!$J$470*SUBSIDIO!$V$470)*(0.08)/(1-0.08)</f>
        <v>1406.7808</v>
      </c>
      <c r="AC470" s="71">
        <f>((SUBSIDIO!$L$470*SUBSIDIO!$W$470)+(SUBSIDIO!$N$470*SUBSIDIO!$X$470))*(0.08)/(1-0.08)</f>
        <v>0</v>
      </c>
      <c r="AD470" s="71">
        <f ca="1">(SUBSIDIO!$J$470*SUBSIDIO!$Y$470)*(0.06)/(1-0.06)</f>
        <v>1371.5342322427068</v>
      </c>
      <c r="AE470" s="71">
        <f>((SUBSIDIO!$L$470*SUBSIDIO!$Z$470)+(SUBSIDIO!$N$470*SUBSIDIO!$AA$470))*(0.06)/(1-0.06)</f>
        <v>0</v>
      </c>
      <c r="AF470" s="4" t="s">
        <v>1151</v>
      </c>
    </row>
    <row r="471" spans="1:32" ht="11.25" customHeight="1" x14ac:dyDescent="0.25">
      <c r="A471" s="4" t="s">
        <v>59</v>
      </c>
      <c r="B471" s="4" t="s">
        <v>33</v>
      </c>
      <c r="C471" s="4" t="s">
        <v>34</v>
      </c>
      <c r="D471" s="4" t="s">
        <v>47</v>
      </c>
      <c r="E471" s="4" t="s">
        <v>25</v>
      </c>
      <c r="F471" s="4" t="s">
        <v>25</v>
      </c>
      <c r="G471" s="4" t="s">
        <v>25</v>
      </c>
      <c r="H471" s="4" t="s">
        <v>25</v>
      </c>
      <c r="I471" s="5">
        <v>44075</v>
      </c>
      <c r="J471" s="6">
        <v>6044</v>
      </c>
      <c r="K471" s="71">
        <v>6044</v>
      </c>
      <c r="L471" s="6">
        <v>0</v>
      </c>
      <c r="M471" s="71">
        <v>0</v>
      </c>
      <c r="N471" s="6">
        <v>0</v>
      </c>
      <c r="O471" s="71">
        <v>0</v>
      </c>
      <c r="P471" s="6">
        <v>54</v>
      </c>
      <c r="Q471" s="4" t="s">
        <v>26</v>
      </c>
      <c r="R471" s="4">
        <v>0</v>
      </c>
      <c r="S471" s="4">
        <v>26</v>
      </c>
      <c r="T471" s="4">
        <v>0</v>
      </c>
      <c r="U471" s="4">
        <v>0</v>
      </c>
      <c r="V471" s="71">
        <f>IF(ISERROR(VLOOKUP($S$471,'TAR FIN'!$A$1:$O$120,15,0)),0,VLOOKUP($S$471,'TAR FIN'!$A$1:$O$120,15,0))*(1-0.08)</f>
        <v>8.1052</v>
      </c>
      <c r="W471" s="71">
        <f>IF(ISERROR(VLOOKUP($T$471,'TAR FIN'!$A$1:$O$120,15,0)),0,VLOOKUP($T$471,'TAR FIN'!$A$1:$O$120,15,0))</f>
        <v>0</v>
      </c>
      <c r="X471" s="71">
        <f>IF(ISERROR(VLOOKUP($U$471,'TAR FIN'!$A$1:$O$120,15,0)),0,VLOOKUP($U$471,'TAR FIN'!$A$1:$O$120,15,0))</f>
        <v>0</v>
      </c>
      <c r="Y471" s="71">
        <f ca="1">('TUSD BE'!$AM$32+'TUSD BF'!$AM$32+'TUSD CVA'!$AM$32)*1*(1-0.06)</f>
        <v>10.765215249734004</v>
      </c>
      <c r="Z471" s="71"/>
      <c r="AA471" s="71"/>
      <c r="AB471" s="71">
        <f>(SUBSIDIO!$J$471*SUBSIDIO!$V$471)*(0.08)/(1-0.08)</f>
        <v>4259.8112000000001</v>
      </c>
      <c r="AC471" s="71">
        <f>((SUBSIDIO!$L$471*SUBSIDIO!$W$471)+(SUBSIDIO!$N$471*SUBSIDIO!$X$471))*(0.08)/(1-0.08)</f>
        <v>0</v>
      </c>
      <c r="AD471" s="71">
        <f ca="1">(SUBSIDIO!$J$471*SUBSIDIO!$Y$471)*(0.06)/(1-0.06)</f>
        <v>4153.0826150675948</v>
      </c>
      <c r="AE471" s="71">
        <f>((SUBSIDIO!$L$471*SUBSIDIO!$Z$471)+(SUBSIDIO!$N$471*SUBSIDIO!$AA$471))*(0.06)/(1-0.06)</f>
        <v>0</v>
      </c>
      <c r="AF471" s="4" t="s">
        <v>1151</v>
      </c>
    </row>
    <row r="472" spans="1:32" ht="11.25" customHeight="1" x14ac:dyDescent="0.25">
      <c r="A472" s="4" t="s">
        <v>59</v>
      </c>
      <c r="B472" s="4" t="s">
        <v>33</v>
      </c>
      <c r="C472" s="4" t="s">
        <v>34</v>
      </c>
      <c r="D472" s="4" t="s">
        <v>47</v>
      </c>
      <c r="E472" s="4" t="s">
        <v>25</v>
      </c>
      <c r="F472" s="4" t="s">
        <v>25</v>
      </c>
      <c r="G472" s="4" t="s">
        <v>25</v>
      </c>
      <c r="H472" s="4" t="s">
        <v>25</v>
      </c>
      <c r="I472" s="5">
        <v>44075</v>
      </c>
      <c r="J472" s="6">
        <v>513</v>
      </c>
      <c r="K472" s="71">
        <v>513</v>
      </c>
      <c r="L472" s="6">
        <v>0</v>
      </c>
      <c r="M472" s="71">
        <v>0</v>
      </c>
      <c r="N472" s="6">
        <v>0</v>
      </c>
      <c r="O472" s="71">
        <v>0</v>
      </c>
      <c r="P472" s="6">
        <v>2</v>
      </c>
      <c r="Q472" s="4" t="s">
        <v>26</v>
      </c>
      <c r="R472" s="4">
        <v>0</v>
      </c>
      <c r="S472" s="4">
        <v>26</v>
      </c>
      <c r="T472" s="4">
        <v>0</v>
      </c>
      <c r="U472" s="4">
        <v>0</v>
      </c>
      <c r="V472" s="71">
        <f>IF(ISERROR(VLOOKUP($S$472,'TAR FIN'!$A$1:$O$120,15,0)),0,VLOOKUP($S$472,'TAR FIN'!$A$1:$O$120,15,0))*(1-0.08)</f>
        <v>8.1052</v>
      </c>
      <c r="W472" s="71">
        <f>IF(ISERROR(VLOOKUP($T$472,'TAR FIN'!$A$1:$O$120,15,0)),0,VLOOKUP($T$472,'TAR FIN'!$A$1:$O$120,15,0))</f>
        <v>0</v>
      </c>
      <c r="X472" s="71">
        <f>IF(ISERROR(VLOOKUP($U$472,'TAR FIN'!$A$1:$O$120,15,0)),0,VLOOKUP($U$472,'TAR FIN'!$A$1:$O$120,15,0))</f>
        <v>0</v>
      </c>
      <c r="Y472" s="71">
        <f ca="1">('TUSD BE'!$AM$32+'TUSD BF'!$AM$32+'TUSD CVA'!$AM$32)*1*(1-0.06)</f>
        <v>10.765215249734004</v>
      </c>
      <c r="Z472" s="71"/>
      <c r="AA472" s="71"/>
      <c r="AB472" s="71">
        <f>(SUBSIDIO!$J$472*SUBSIDIO!$V$472)*(0.08)/(1-0.08)</f>
        <v>361.56239999999997</v>
      </c>
      <c r="AC472" s="71">
        <f>((SUBSIDIO!$L$472*SUBSIDIO!$W$472)+(SUBSIDIO!$N$472*SUBSIDIO!$X$472))*(0.08)/(1-0.08)</f>
        <v>0</v>
      </c>
      <c r="AD472" s="71">
        <f ca="1">(SUBSIDIO!$J$472*SUBSIDIO!$Y$472)*(0.06)/(1-0.06)</f>
        <v>352.50353764554535</v>
      </c>
      <c r="AE472" s="71">
        <f>((SUBSIDIO!$L$472*SUBSIDIO!$Z$472)+(SUBSIDIO!$N$472*SUBSIDIO!$AA$472))*(0.06)/(1-0.06)</f>
        <v>0</v>
      </c>
      <c r="AF472" s="4" t="s">
        <v>1151</v>
      </c>
    </row>
    <row r="473" spans="1:32" ht="11.25" customHeight="1" x14ac:dyDescent="0.25">
      <c r="A473" s="4" t="s">
        <v>59</v>
      </c>
      <c r="B473" s="4" t="s">
        <v>33</v>
      </c>
      <c r="C473" s="4" t="s">
        <v>34</v>
      </c>
      <c r="D473" s="4" t="s">
        <v>47</v>
      </c>
      <c r="E473" s="4" t="s">
        <v>25</v>
      </c>
      <c r="F473" s="4" t="s">
        <v>25</v>
      </c>
      <c r="G473" s="4" t="s">
        <v>25</v>
      </c>
      <c r="H473" s="4" t="s">
        <v>25</v>
      </c>
      <c r="I473" s="5">
        <v>44075</v>
      </c>
      <c r="J473" s="6">
        <v>1996</v>
      </c>
      <c r="K473" s="71">
        <v>1996</v>
      </c>
      <c r="L473" s="6">
        <v>0</v>
      </c>
      <c r="M473" s="71">
        <v>0</v>
      </c>
      <c r="N473" s="6">
        <v>0</v>
      </c>
      <c r="O473" s="71">
        <v>0</v>
      </c>
      <c r="P473" s="6">
        <v>5</v>
      </c>
      <c r="Q473" s="4" t="s">
        <v>26</v>
      </c>
      <c r="R473" s="4">
        <v>0</v>
      </c>
      <c r="S473" s="4">
        <v>26</v>
      </c>
      <c r="T473" s="4">
        <v>0</v>
      </c>
      <c r="U473" s="4">
        <v>0</v>
      </c>
      <c r="V473" s="71">
        <f>IF(ISERROR(VLOOKUP($S$473,'TAR FIN'!$A$1:$O$120,15,0)),0,VLOOKUP($S$473,'TAR FIN'!$A$1:$O$120,15,0))*(1-0.08)</f>
        <v>8.1052</v>
      </c>
      <c r="W473" s="71">
        <f>IF(ISERROR(VLOOKUP($T$473,'TAR FIN'!$A$1:$O$120,15,0)),0,VLOOKUP($T$473,'TAR FIN'!$A$1:$O$120,15,0))</f>
        <v>0</v>
      </c>
      <c r="X473" s="71">
        <f>IF(ISERROR(VLOOKUP($U$473,'TAR FIN'!$A$1:$O$120,15,0)),0,VLOOKUP($U$473,'TAR FIN'!$A$1:$O$120,15,0))</f>
        <v>0</v>
      </c>
      <c r="Y473" s="71">
        <f ca="1">('TUSD BE'!$AM$32+'TUSD BF'!$AM$32+'TUSD CVA'!$AM$32)*1*(1-0.06)</f>
        <v>10.765215249734004</v>
      </c>
      <c r="Z473" s="71"/>
      <c r="AA473" s="71"/>
      <c r="AB473" s="71">
        <f>(SUBSIDIO!$J$473*SUBSIDIO!$V$473)*(0.08)/(1-0.08)</f>
        <v>1406.7808</v>
      </c>
      <c r="AC473" s="71">
        <f>((SUBSIDIO!$L$473*SUBSIDIO!$W$473)+(SUBSIDIO!$N$473*SUBSIDIO!$X$473))*(0.08)/(1-0.08)</f>
        <v>0</v>
      </c>
      <c r="AD473" s="71">
        <f ca="1">(SUBSIDIO!$J$473*SUBSIDIO!$Y$473)*(0.06)/(1-0.06)</f>
        <v>1371.5342322427068</v>
      </c>
      <c r="AE473" s="71">
        <f>((SUBSIDIO!$L$473*SUBSIDIO!$Z$473)+(SUBSIDIO!$N$473*SUBSIDIO!$AA$473))*(0.06)/(1-0.06)</f>
        <v>0</v>
      </c>
      <c r="AF473" s="4" t="s">
        <v>1151</v>
      </c>
    </row>
    <row r="474" spans="1:32" ht="11.25" customHeight="1" x14ac:dyDescent="0.25">
      <c r="A474" s="4" t="s">
        <v>21</v>
      </c>
      <c r="B474" s="4" t="s">
        <v>33</v>
      </c>
      <c r="C474" s="4" t="s">
        <v>34</v>
      </c>
      <c r="D474" s="4" t="s">
        <v>47</v>
      </c>
      <c r="E474" s="4" t="s">
        <v>25</v>
      </c>
      <c r="F474" s="4" t="s">
        <v>25</v>
      </c>
      <c r="G474" s="4" t="s">
        <v>25</v>
      </c>
      <c r="H474" s="4" t="s">
        <v>35</v>
      </c>
      <c r="I474" s="5">
        <v>43739</v>
      </c>
      <c r="J474" s="6">
        <v>0</v>
      </c>
      <c r="K474" s="71">
        <v>0</v>
      </c>
      <c r="L474" s="6">
        <v>167.59899999999999</v>
      </c>
      <c r="M474" s="71">
        <v>167.59899999999999</v>
      </c>
      <c r="N474" s="6">
        <v>167.59899999999999</v>
      </c>
      <c r="O474" s="71">
        <v>167.59899999999999</v>
      </c>
      <c r="P474" s="6">
        <v>0</v>
      </c>
      <c r="Q474" s="4" t="s">
        <v>26</v>
      </c>
      <c r="R474" s="4">
        <v>0</v>
      </c>
      <c r="S474" s="4">
        <v>0</v>
      </c>
      <c r="T474" s="4">
        <v>27</v>
      </c>
      <c r="U474" s="4">
        <v>81</v>
      </c>
      <c r="V474" s="71">
        <f>IF(ISERROR(VLOOKUP($S$474,'TAR FIN'!$A$1:$O$120,15,0)),0,VLOOKUP($S$474,'TAR FIN'!$A$1:$O$120,15,0))</f>
        <v>0</v>
      </c>
      <c r="W474" s="71">
        <f>IF(ISERROR(VLOOKUP($T$474,'TAR FIN'!$A$1:$O$120,15,0)),0,VLOOKUP($T$474,'TAR FIN'!$A$1:$O$120,15,0))*(1-0.08)</f>
        <v>590.63080000000002</v>
      </c>
      <c r="X474" s="71">
        <f>IF(ISERROR(VLOOKUP($U$474,'TAR FIN'!$A$1:$O$120,15,0)),0,VLOOKUP($U$474,'TAR FIN'!$A$1:$O$120,15,0))*(1-0.08)</f>
        <v>396.40040000000005</v>
      </c>
      <c r="Y474" s="71"/>
      <c r="Z474" s="71">
        <f ca="1">('TUSD BE'!$AM$33+'TUSD BF'!$AM$33+'TUSD CVA'!$AM$33)*1*(1-0.06)</f>
        <v>702.86961706946545</v>
      </c>
      <c r="AA474" s="71">
        <f>('TE BE'!$AA$10+'TE BF'!$AA$10+'TE CVA'!$AA$10)*1*(1-0.06)</f>
        <v>353.15029452578722</v>
      </c>
      <c r="AB474" s="71">
        <f>(SUBSIDIO!$J$474*SUBSIDIO!$V$474)*(0.08)/(1-0.08)</f>
        <v>0</v>
      </c>
      <c r="AC474" s="71">
        <f>((SUBSIDIO!$L$474*SUBSIDIO!$W$474)+(SUBSIDIO!$N$474*SUBSIDIO!$X$474))*(0.08)/(1-0.08)</f>
        <v>14384.821051200001</v>
      </c>
      <c r="AD474" s="71">
        <f>(SUBSIDIO!$J$474*SUBSIDIO!$Y$474)*(0.06)/(1-0.06)</f>
        <v>0</v>
      </c>
      <c r="AE474" s="71">
        <f ca="1">((SUBSIDIO!$L$474*SUBSIDIO!$Z$474)+(SUBSIDIO!$N$474*SUBSIDIO!$AA$474))*(0.06)/(1-0.06)</f>
        <v>11297.098797667197</v>
      </c>
      <c r="AF474" s="4" t="s">
        <v>1151</v>
      </c>
    </row>
    <row r="475" spans="1:32" ht="11.25" customHeight="1" x14ac:dyDescent="0.25">
      <c r="A475" s="4" t="s">
        <v>28</v>
      </c>
      <c r="B475" s="4" t="s">
        <v>33</v>
      </c>
      <c r="C475" s="4" t="s">
        <v>34</v>
      </c>
      <c r="D475" s="4" t="s">
        <v>47</v>
      </c>
      <c r="E475" s="4" t="s">
        <v>25</v>
      </c>
      <c r="F475" s="4" t="s">
        <v>25</v>
      </c>
      <c r="G475" s="4" t="s">
        <v>25</v>
      </c>
      <c r="H475" s="4" t="s">
        <v>35</v>
      </c>
      <c r="I475" s="5">
        <v>43739</v>
      </c>
      <c r="J475" s="6">
        <v>0</v>
      </c>
      <c r="K475" s="71">
        <v>0</v>
      </c>
      <c r="L475" s="6">
        <v>17.416</v>
      </c>
      <c r="M475" s="71">
        <v>17.416</v>
      </c>
      <c r="N475" s="6">
        <v>17.416</v>
      </c>
      <c r="O475" s="71">
        <v>17.416</v>
      </c>
      <c r="P475" s="6">
        <v>0</v>
      </c>
      <c r="Q475" s="4" t="s">
        <v>26</v>
      </c>
      <c r="R475" s="4">
        <v>0</v>
      </c>
      <c r="S475" s="4">
        <v>0</v>
      </c>
      <c r="T475" s="4">
        <v>27</v>
      </c>
      <c r="U475" s="4">
        <v>81</v>
      </c>
      <c r="V475" s="71">
        <f>IF(ISERROR(VLOOKUP($S$475,'TAR FIN'!$A$1:$O$120,15,0)),0,VLOOKUP($S$475,'TAR FIN'!$A$1:$O$120,15,0))</f>
        <v>0</v>
      </c>
      <c r="W475" s="71">
        <f>IF(ISERROR(VLOOKUP($T$475,'TAR FIN'!$A$1:$O$120,15,0)),0,VLOOKUP($T$475,'TAR FIN'!$A$1:$O$120,15,0))*(1-0.08)</f>
        <v>590.63080000000002</v>
      </c>
      <c r="X475" s="71">
        <f>IF(ISERROR(VLOOKUP($U$475,'TAR FIN'!$A$1:$O$120,15,0)),0,VLOOKUP($U$475,'TAR FIN'!$A$1:$O$120,15,0))*(1-0.08)</f>
        <v>396.40040000000005</v>
      </c>
      <c r="Y475" s="71"/>
      <c r="Z475" s="71">
        <f ca="1">('TUSD BE'!$AM$33+'TUSD BF'!$AM$33+'TUSD CVA'!$AM$33)*1*(1-0.06)</f>
        <v>702.86961706946545</v>
      </c>
      <c r="AA475" s="71">
        <f>('TE BE'!$AA$10+'TE BF'!$AA$10+'TE CVA'!$AA$10)*1*(1-0.06)</f>
        <v>353.15029452578722</v>
      </c>
      <c r="AB475" s="71">
        <f>(SUBSIDIO!$J$475*SUBSIDIO!$V$475)*(0.08)/(1-0.08)</f>
        <v>0</v>
      </c>
      <c r="AC475" s="71">
        <f>((SUBSIDIO!$L$475*SUBSIDIO!$W$475)+(SUBSIDIO!$N$475*SUBSIDIO!$X$475))*(0.08)/(1-0.08)</f>
        <v>1494.7943808</v>
      </c>
      <c r="AD475" s="71">
        <f>(SUBSIDIO!$J$475*SUBSIDIO!$Y$475)*(0.06)/(1-0.06)</f>
        <v>0</v>
      </c>
      <c r="AE475" s="71">
        <f ca="1">((SUBSIDIO!$L$475*SUBSIDIO!$Z$475)+(SUBSIDIO!$N$475*SUBSIDIO!$AA$475))*(0.06)/(1-0.06)</f>
        <v>1173.9346455538034</v>
      </c>
      <c r="AF475" s="4" t="s">
        <v>1151</v>
      </c>
    </row>
    <row r="476" spans="1:32" ht="11.25" customHeight="1" x14ac:dyDescent="0.25">
      <c r="A476" s="4" t="s">
        <v>21</v>
      </c>
      <c r="B476" s="4" t="s">
        <v>33</v>
      </c>
      <c r="C476" s="4" t="s">
        <v>34</v>
      </c>
      <c r="D476" s="4" t="s">
        <v>47</v>
      </c>
      <c r="E476" s="4" t="s">
        <v>25</v>
      </c>
      <c r="F476" s="4" t="s">
        <v>25</v>
      </c>
      <c r="G476" s="4" t="s">
        <v>25</v>
      </c>
      <c r="H476" s="4" t="s">
        <v>35</v>
      </c>
      <c r="I476" s="5">
        <v>43770</v>
      </c>
      <c r="J476" s="6">
        <v>0</v>
      </c>
      <c r="K476" s="71">
        <v>0</v>
      </c>
      <c r="L476" s="6">
        <v>181.14400000000001</v>
      </c>
      <c r="M476" s="71">
        <v>181.14400000000001</v>
      </c>
      <c r="N476" s="6">
        <v>181.14400000000001</v>
      </c>
      <c r="O476" s="71">
        <v>181.14400000000001</v>
      </c>
      <c r="P476" s="6">
        <v>0</v>
      </c>
      <c r="Q476" s="4" t="s">
        <v>26</v>
      </c>
      <c r="R476" s="4">
        <v>0</v>
      </c>
      <c r="S476" s="4">
        <v>0</v>
      </c>
      <c r="T476" s="4">
        <v>27</v>
      </c>
      <c r="U476" s="4">
        <v>81</v>
      </c>
      <c r="V476" s="71">
        <f>IF(ISERROR(VLOOKUP($S$476,'TAR FIN'!$A$1:$O$120,15,0)),0,VLOOKUP($S$476,'TAR FIN'!$A$1:$O$120,15,0))</f>
        <v>0</v>
      </c>
      <c r="W476" s="71">
        <f>IF(ISERROR(VLOOKUP($T$476,'TAR FIN'!$A$1:$O$120,15,0)),0,VLOOKUP($T$476,'TAR FIN'!$A$1:$O$120,15,0))*(1-0.08)</f>
        <v>590.63080000000002</v>
      </c>
      <c r="X476" s="71">
        <f>IF(ISERROR(VLOOKUP($U$476,'TAR FIN'!$A$1:$O$120,15,0)),0,VLOOKUP($U$476,'TAR FIN'!$A$1:$O$120,15,0))*(1-0.08)</f>
        <v>396.40040000000005</v>
      </c>
      <c r="Y476" s="71"/>
      <c r="Z476" s="71">
        <f ca="1">('TUSD BE'!$AM$33+'TUSD BF'!$AM$33+'TUSD CVA'!$AM$33)*1*(1-0.06)</f>
        <v>702.86961706946545</v>
      </c>
      <c r="AA476" s="71">
        <f>('TE BE'!$AA$10+'TE BF'!$AA$10+'TE CVA'!$AA$10)*1*(1-0.06)</f>
        <v>353.15029452578722</v>
      </c>
      <c r="AB476" s="71">
        <f>(SUBSIDIO!$J$476*SUBSIDIO!$V$476)*(0.08)/(1-0.08)</f>
        <v>0</v>
      </c>
      <c r="AC476" s="71">
        <f>((SUBSIDIO!$L$476*SUBSIDIO!$W$476)+(SUBSIDIO!$N$476*SUBSIDIO!$X$476))*(0.08)/(1-0.08)</f>
        <v>15547.3721472</v>
      </c>
      <c r="AD476" s="71">
        <f>(SUBSIDIO!$J$476*SUBSIDIO!$Y$476)*(0.06)/(1-0.06)</f>
        <v>0</v>
      </c>
      <c r="AE476" s="71">
        <f ca="1">((SUBSIDIO!$L$476*SUBSIDIO!$Z$476)+(SUBSIDIO!$N$476*SUBSIDIO!$AA$476))*(0.06)/(1-0.06)</f>
        <v>12210.106651021943</v>
      </c>
      <c r="AF476" s="4" t="s">
        <v>1151</v>
      </c>
    </row>
    <row r="477" spans="1:32" ht="11.25" customHeight="1" x14ac:dyDescent="0.25">
      <c r="A477" s="4" t="s">
        <v>28</v>
      </c>
      <c r="B477" s="4" t="s">
        <v>33</v>
      </c>
      <c r="C477" s="4" t="s">
        <v>34</v>
      </c>
      <c r="D477" s="4" t="s">
        <v>47</v>
      </c>
      <c r="E477" s="4" t="s">
        <v>25</v>
      </c>
      <c r="F477" s="4" t="s">
        <v>25</v>
      </c>
      <c r="G477" s="4" t="s">
        <v>25</v>
      </c>
      <c r="H477" s="4" t="s">
        <v>35</v>
      </c>
      <c r="I477" s="5">
        <v>43770</v>
      </c>
      <c r="J477" s="6">
        <v>0</v>
      </c>
      <c r="K477" s="71">
        <v>0</v>
      </c>
      <c r="L477" s="6">
        <v>1.5629999999999999</v>
      </c>
      <c r="M477" s="71">
        <v>1.5629999999999999</v>
      </c>
      <c r="N477" s="6">
        <v>1.5629999999999999</v>
      </c>
      <c r="O477" s="71">
        <v>1.5629999999999999</v>
      </c>
      <c r="P477" s="6">
        <v>0</v>
      </c>
      <c r="Q477" s="4" t="s">
        <v>26</v>
      </c>
      <c r="R477" s="4">
        <v>0</v>
      </c>
      <c r="S477" s="4">
        <v>0</v>
      </c>
      <c r="T477" s="4">
        <v>27</v>
      </c>
      <c r="U477" s="4">
        <v>81</v>
      </c>
      <c r="V477" s="71">
        <f>IF(ISERROR(VLOOKUP($S$477,'TAR FIN'!$A$1:$O$120,15,0)),0,VLOOKUP($S$477,'TAR FIN'!$A$1:$O$120,15,0))</f>
        <v>0</v>
      </c>
      <c r="W477" s="71">
        <f>IF(ISERROR(VLOOKUP($T$477,'TAR FIN'!$A$1:$O$120,15,0)),0,VLOOKUP($T$477,'TAR FIN'!$A$1:$O$120,15,0))*(1-0.08)</f>
        <v>590.63080000000002</v>
      </c>
      <c r="X477" s="71">
        <f>IF(ISERROR(VLOOKUP($U$477,'TAR FIN'!$A$1:$O$120,15,0)),0,VLOOKUP($U$477,'TAR FIN'!$A$1:$O$120,15,0))*(1-0.08)</f>
        <v>396.40040000000005</v>
      </c>
      <c r="Y477" s="71"/>
      <c r="Z477" s="71">
        <f ca="1">('TUSD BE'!$AM$33+'TUSD BF'!$AM$33+'TUSD CVA'!$AM$33)*1*(1-0.06)</f>
        <v>702.86961706946545</v>
      </c>
      <c r="AA477" s="71">
        <f>('TE BE'!$AA$10+'TE BF'!$AA$10+'TE CVA'!$AA$10)*1*(1-0.06)</f>
        <v>353.15029452578722</v>
      </c>
      <c r="AB477" s="71">
        <f>(SUBSIDIO!$J$477*SUBSIDIO!$V$477)*(0.08)/(1-0.08)</f>
        <v>0</v>
      </c>
      <c r="AC477" s="71">
        <f>((SUBSIDIO!$L$477*SUBSIDIO!$W$477)+(SUBSIDIO!$N$477*SUBSIDIO!$X$477))*(0.08)/(1-0.08)</f>
        <v>134.15041439999999</v>
      </c>
      <c r="AD477" s="71">
        <f>(SUBSIDIO!$J$477*SUBSIDIO!$Y$477)*(0.06)/(1-0.06)</f>
        <v>0</v>
      </c>
      <c r="AE477" s="71">
        <f ca="1">((SUBSIDIO!$L$477*SUBSIDIO!$Z$477)+(SUBSIDIO!$N$477*SUBSIDIO!$AA$477))*(0.06)/(1-0.06)</f>
        <v>105.35483756319447</v>
      </c>
      <c r="AF477" s="4" t="s">
        <v>1151</v>
      </c>
    </row>
    <row r="478" spans="1:32" ht="11.25" customHeight="1" x14ac:dyDescent="0.25">
      <c r="A478" s="4" t="s">
        <v>21</v>
      </c>
      <c r="B478" s="4" t="s">
        <v>33</v>
      </c>
      <c r="C478" s="4" t="s">
        <v>34</v>
      </c>
      <c r="D478" s="4" t="s">
        <v>47</v>
      </c>
      <c r="E478" s="4" t="s">
        <v>25</v>
      </c>
      <c r="F478" s="4" t="s">
        <v>25</v>
      </c>
      <c r="G478" s="4" t="s">
        <v>25</v>
      </c>
      <c r="H478" s="4" t="s">
        <v>35</v>
      </c>
      <c r="I478" s="5">
        <v>43800</v>
      </c>
      <c r="J478" s="6">
        <v>0</v>
      </c>
      <c r="K478" s="71">
        <v>0</v>
      </c>
      <c r="L478" s="6">
        <v>150.98500000000001</v>
      </c>
      <c r="M478" s="71">
        <v>150.98500000000001</v>
      </c>
      <c r="N478" s="6">
        <v>150.98500000000001</v>
      </c>
      <c r="O478" s="71">
        <v>150.98500000000001</v>
      </c>
      <c r="P478" s="6">
        <v>0</v>
      </c>
      <c r="Q478" s="4" t="s">
        <v>26</v>
      </c>
      <c r="R478" s="4">
        <v>0</v>
      </c>
      <c r="S478" s="4">
        <v>0</v>
      </c>
      <c r="T478" s="4">
        <v>27</v>
      </c>
      <c r="U478" s="4">
        <v>81</v>
      </c>
      <c r="V478" s="71">
        <f>IF(ISERROR(VLOOKUP($S$478,'TAR FIN'!$A$1:$O$120,15,0)),0,VLOOKUP($S$478,'TAR FIN'!$A$1:$O$120,15,0))</f>
        <v>0</v>
      </c>
      <c r="W478" s="71">
        <f>IF(ISERROR(VLOOKUP($T$478,'TAR FIN'!$A$1:$O$120,15,0)),0,VLOOKUP($T$478,'TAR FIN'!$A$1:$O$120,15,0))*(1-0.08)</f>
        <v>590.63080000000002</v>
      </c>
      <c r="X478" s="71">
        <f>IF(ISERROR(VLOOKUP($U$478,'TAR FIN'!$A$1:$O$120,15,0)),0,VLOOKUP($U$478,'TAR FIN'!$A$1:$O$120,15,0))*(1-0.08)</f>
        <v>396.40040000000005</v>
      </c>
      <c r="Y478" s="71"/>
      <c r="Z478" s="71">
        <f ca="1">('TUSD BE'!$AM$33+'TUSD BF'!$AM$33+'TUSD CVA'!$AM$33)*1*(1-0.06)</f>
        <v>702.86961706946545</v>
      </c>
      <c r="AA478" s="71">
        <f>('TE BE'!$AA$10+'TE BF'!$AA$10+'TE CVA'!$AA$10)*1*(1-0.06)</f>
        <v>353.15029452578722</v>
      </c>
      <c r="AB478" s="71">
        <f>(SUBSIDIO!$J$478*SUBSIDIO!$V$478)*(0.08)/(1-0.08)</f>
        <v>0</v>
      </c>
      <c r="AC478" s="71">
        <f>((SUBSIDIO!$L$478*SUBSIDIO!$W$478)+(SUBSIDIO!$N$478*SUBSIDIO!$X$478))*(0.08)/(1-0.08)</f>
        <v>12958.861368000002</v>
      </c>
      <c r="AD478" s="71">
        <f>(SUBSIDIO!$J$478*SUBSIDIO!$Y$478)*(0.06)/(1-0.06)</f>
        <v>0</v>
      </c>
      <c r="AE478" s="71">
        <f ca="1">((SUBSIDIO!$L$478*SUBSIDIO!$Z$478)+(SUBSIDIO!$N$478*SUBSIDIO!$AA$478))*(0.06)/(1-0.06)</f>
        <v>10177.223384183568</v>
      </c>
      <c r="AF478" s="4" t="s">
        <v>1151</v>
      </c>
    </row>
    <row r="479" spans="1:32" ht="11.25" customHeight="1" x14ac:dyDescent="0.25">
      <c r="A479" s="4" t="s">
        <v>27</v>
      </c>
      <c r="B479" s="4" t="s">
        <v>33</v>
      </c>
      <c r="C479" s="4" t="s">
        <v>34</v>
      </c>
      <c r="D479" s="4" t="s">
        <v>47</v>
      </c>
      <c r="E479" s="4" t="s">
        <v>25</v>
      </c>
      <c r="F479" s="4" t="s">
        <v>25</v>
      </c>
      <c r="G479" s="4" t="s">
        <v>25</v>
      </c>
      <c r="H479" s="4" t="s">
        <v>35</v>
      </c>
      <c r="I479" s="5">
        <v>43800</v>
      </c>
      <c r="J479" s="6">
        <v>0</v>
      </c>
      <c r="K479" s="71">
        <v>0</v>
      </c>
      <c r="L479" s="6">
        <v>0.311</v>
      </c>
      <c r="M479" s="71">
        <v>0.311</v>
      </c>
      <c r="N479" s="6">
        <v>0.311</v>
      </c>
      <c r="O479" s="71">
        <v>0.311</v>
      </c>
      <c r="P479" s="6">
        <v>0</v>
      </c>
      <c r="Q479" s="4" t="s">
        <v>26</v>
      </c>
      <c r="R479" s="4">
        <v>0</v>
      </c>
      <c r="S479" s="4">
        <v>0</v>
      </c>
      <c r="T479" s="4">
        <v>27</v>
      </c>
      <c r="U479" s="4">
        <v>81</v>
      </c>
      <c r="V479" s="71">
        <f>IF(ISERROR(VLOOKUP($S$479,'TAR FIN'!$A$1:$O$120,15,0)),0,VLOOKUP($S$479,'TAR FIN'!$A$1:$O$120,15,0))</f>
        <v>0</v>
      </c>
      <c r="W479" s="71">
        <f>IF(ISERROR(VLOOKUP($T$479,'TAR FIN'!$A$1:$O$120,15,0)),0,VLOOKUP($T$479,'TAR FIN'!$A$1:$O$120,15,0))*(1-0.08)</f>
        <v>590.63080000000002</v>
      </c>
      <c r="X479" s="71">
        <f>IF(ISERROR(VLOOKUP($U$479,'TAR FIN'!$A$1:$O$120,15,0)),0,VLOOKUP($U$479,'TAR FIN'!$A$1:$O$120,15,0))*(1-0.08)</f>
        <v>396.40040000000005</v>
      </c>
      <c r="Y479" s="71"/>
      <c r="Z479" s="71">
        <f ca="1">('TUSD BE'!$AM$33+'TUSD BF'!$AM$33+'TUSD CVA'!$AM$33)*1*(1-0.06)</f>
        <v>702.86961706946545</v>
      </c>
      <c r="AA479" s="71">
        <f>('TE BE'!$AA$10+'TE BF'!$AA$10+'TE CVA'!$AA$10)*1*(1-0.06)</f>
        <v>353.15029452578722</v>
      </c>
      <c r="AB479" s="71">
        <f>(SUBSIDIO!$J$479*SUBSIDIO!$V$479)*(0.08)/(1-0.08)</f>
        <v>0</v>
      </c>
      <c r="AC479" s="71">
        <f>((SUBSIDIO!$L$479*SUBSIDIO!$W$479)+(SUBSIDIO!$N$479*SUBSIDIO!$X$479))*(0.08)/(1-0.08)</f>
        <v>26.692756799999998</v>
      </c>
      <c r="AD479" s="71">
        <f>(SUBSIDIO!$J$479*SUBSIDIO!$Y$479)*(0.06)/(1-0.06)</f>
        <v>0</v>
      </c>
      <c r="AE479" s="71">
        <f ca="1">((SUBSIDIO!$L$479*SUBSIDIO!$Z$479)+(SUBSIDIO!$N$479*SUBSIDIO!$AA$479))*(0.06)/(1-0.06)</f>
        <v>20.963118670603635</v>
      </c>
      <c r="AF479" s="4" t="s">
        <v>1151</v>
      </c>
    </row>
    <row r="480" spans="1:32" ht="11.25" customHeight="1" x14ac:dyDescent="0.25">
      <c r="A480" s="4" t="s">
        <v>28</v>
      </c>
      <c r="B480" s="4" t="s">
        <v>33</v>
      </c>
      <c r="C480" s="4" t="s">
        <v>34</v>
      </c>
      <c r="D480" s="4" t="s">
        <v>47</v>
      </c>
      <c r="E480" s="4" t="s">
        <v>25</v>
      </c>
      <c r="F480" s="4" t="s">
        <v>25</v>
      </c>
      <c r="G480" s="4" t="s">
        <v>25</v>
      </c>
      <c r="H480" s="4" t="s">
        <v>35</v>
      </c>
      <c r="I480" s="5">
        <v>43800</v>
      </c>
      <c r="J480" s="6">
        <v>0</v>
      </c>
      <c r="K480" s="71">
        <v>0</v>
      </c>
      <c r="L480" s="6">
        <v>0.875</v>
      </c>
      <c r="M480" s="71">
        <v>0.875</v>
      </c>
      <c r="N480" s="6">
        <v>0.875</v>
      </c>
      <c r="O480" s="71">
        <v>0.875</v>
      </c>
      <c r="P480" s="6">
        <v>0</v>
      </c>
      <c r="Q480" s="4" t="s">
        <v>26</v>
      </c>
      <c r="R480" s="4">
        <v>0</v>
      </c>
      <c r="S480" s="4">
        <v>0</v>
      </c>
      <c r="T480" s="4">
        <v>27</v>
      </c>
      <c r="U480" s="4">
        <v>81</v>
      </c>
      <c r="V480" s="71">
        <f>IF(ISERROR(VLOOKUP($S$480,'TAR FIN'!$A$1:$O$120,15,0)),0,VLOOKUP($S$480,'TAR FIN'!$A$1:$O$120,15,0))</f>
        <v>0</v>
      </c>
      <c r="W480" s="71">
        <f>IF(ISERROR(VLOOKUP($T$480,'TAR FIN'!$A$1:$O$120,15,0)),0,VLOOKUP($T$480,'TAR FIN'!$A$1:$O$120,15,0))*(1-0.08)</f>
        <v>590.63080000000002</v>
      </c>
      <c r="X480" s="71">
        <f>IF(ISERROR(VLOOKUP($U$480,'TAR FIN'!$A$1:$O$120,15,0)),0,VLOOKUP($U$480,'TAR FIN'!$A$1:$O$120,15,0))*(1-0.08)</f>
        <v>396.40040000000005</v>
      </c>
      <c r="Y480" s="71"/>
      <c r="Z480" s="71">
        <f ca="1">('TUSD BE'!$AM$33+'TUSD BF'!$AM$33+'TUSD CVA'!$AM$33)*1*(1-0.06)</f>
        <v>702.86961706946545</v>
      </c>
      <c r="AA480" s="71">
        <f>('TE BE'!$AA$10+'TE BF'!$AA$10+'TE CVA'!$AA$10)*1*(1-0.06)</f>
        <v>353.15029452578722</v>
      </c>
      <c r="AB480" s="71">
        <f>(SUBSIDIO!$J$480*SUBSIDIO!$V$480)*(0.08)/(1-0.08)</f>
        <v>0</v>
      </c>
      <c r="AC480" s="71">
        <f>((SUBSIDIO!$L$480*SUBSIDIO!$W$480)+(SUBSIDIO!$N$480*SUBSIDIO!$X$480))*(0.08)/(1-0.08)</f>
        <v>75.100200000000001</v>
      </c>
      <c r="AD480" s="71">
        <f>(SUBSIDIO!$J$480*SUBSIDIO!$Y$480)*(0.06)/(1-0.06)</f>
        <v>0</v>
      </c>
      <c r="AE480" s="71">
        <f ca="1">((SUBSIDIO!$L$480*SUBSIDIO!$Z$480)+(SUBSIDIO!$N$480*SUBSIDIO!$AA$480))*(0.06)/(1-0.06)</f>
        <v>58.979835488032727</v>
      </c>
      <c r="AF480" s="4" t="s">
        <v>1151</v>
      </c>
    </row>
    <row r="481" spans="1:32" ht="11.25" customHeight="1" x14ac:dyDescent="0.25">
      <c r="A481" s="4" t="s">
        <v>21</v>
      </c>
      <c r="B481" s="4" t="s">
        <v>33</v>
      </c>
      <c r="C481" s="4" t="s">
        <v>34</v>
      </c>
      <c r="D481" s="4" t="s">
        <v>47</v>
      </c>
      <c r="E481" s="4" t="s">
        <v>25</v>
      </c>
      <c r="F481" s="4" t="s">
        <v>25</v>
      </c>
      <c r="G481" s="4" t="s">
        <v>25</v>
      </c>
      <c r="H481" s="4" t="s">
        <v>35</v>
      </c>
      <c r="I481" s="5">
        <v>43831</v>
      </c>
      <c r="J481" s="6">
        <v>0</v>
      </c>
      <c r="K481" s="71">
        <v>0</v>
      </c>
      <c r="L481" s="6">
        <v>126.56699999999999</v>
      </c>
      <c r="M481" s="71">
        <v>126.56699999999999</v>
      </c>
      <c r="N481" s="6">
        <v>126.56699999999999</v>
      </c>
      <c r="O481" s="71">
        <v>126.56699999999999</v>
      </c>
      <c r="P481" s="6">
        <v>0</v>
      </c>
      <c r="Q481" s="4" t="s">
        <v>26</v>
      </c>
      <c r="R481" s="4">
        <v>0</v>
      </c>
      <c r="S481" s="4">
        <v>0</v>
      </c>
      <c r="T481" s="4">
        <v>27</v>
      </c>
      <c r="U481" s="4">
        <v>81</v>
      </c>
      <c r="V481" s="71">
        <f>IF(ISERROR(VLOOKUP($S$481,'TAR FIN'!$A$1:$O$120,15,0)),0,VLOOKUP($S$481,'TAR FIN'!$A$1:$O$120,15,0))</f>
        <v>0</v>
      </c>
      <c r="W481" s="71">
        <f>IF(ISERROR(VLOOKUP($T$481,'TAR FIN'!$A$1:$O$120,15,0)),0,VLOOKUP($T$481,'TAR FIN'!$A$1:$O$120,15,0))*(1-0.08)</f>
        <v>590.63080000000002</v>
      </c>
      <c r="X481" s="71">
        <f>IF(ISERROR(VLOOKUP($U$481,'TAR FIN'!$A$1:$O$120,15,0)),0,VLOOKUP($U$481,'TAR FIN'!$A$1:$O$120,15,0))*(1-0.08)</f>
        <v>396.40040000000005</v>
      </c>
      <c r="Y481" s="71"/>
      <c r="Z481" s="71">
        <f ca="1">('TUSD BE'!$AM$33+'TUSD BF'!$AM$33+'TUSD CVA'!$AM$33)*1*(1-0.06)</f>
        <v>702.86961706946545</v>
      </c>
      <c r="AA481" s="71">
        <f>('TE BE'!$AA$10+'TE BF'!$AA$10+'TE CVA'!$AA$10)*1*(1-0.06)</f>
        <v>353.15029452578722</v>
      </c>
      <c r="AB481" s="71">
        <f>(SUBSIDIO!$J$481*SUBSIDIO!$V$481)*(0.08)/(1-0.08)</f>
        <v>0</v>
      </c>
      <c r="AC481" s="71">
        <f>((SUBSIDIO!$L$481*SUBSIDIO!$W$481)+(SUBSIDIO!$N$481*SUBSIDIO!$X$481))*(0.08)/(1-0.08)</f>
        <v>10863.093729599999</v>
      </c>
      <c r="AD481" s="71">
        <f>(SUBSIDIO!$J$481*SUBSIDIO!$Y$481)*(0.06)/(1-0.06)</f>
        <v>0</v>
      </c>
      <c r="AE481" s="71">
        <f ca="1">((SUBSIDIO!$L$481*SUBSIDIO!$Z$481)+(SUBSIDIO!$N$481*SUBSIDIO!$AA$481))*(0.06)/(1-0.06)</f>
        <v>8531.3152436729561</v>
      </c>
      <c r="AF481" s="4" t="s">
        <v>1151</v>
      </c>
    </row>
    <row r="482" spans="1:32" ht="11.25" customHeight="1" x14ac:dyDescent="0.25">
      <c r="A482" s="4" t="s">
        <v>28</v>
      </c>
      <c r="B482" s="4" t="s">
        <v>33</v>
      </c>
      <c r="C482" s="4" t="s">
        <v>34</v>
      </c>
      <c r="D482" s="4" t="s">
        <v>47</v>
      </c>
      <c r="E482" s="4" t="s">
        <v>25</v>
      </c>
      <c r="F482" s="4" t="s">
        <v>25</v>
      </c>
      <c r="G482" s="4" t="s">
        <v>25</v>
      </c>
      <c r="H482" s="4" t="s">
        <v>35</v>
      </c>
      <c r="I482" s="5">
        <v>43831</v>
      </c>
      <c r="J482" s="6">
        <v>0</v>
      </c>
      <c r="K482" s="71">
        <v>0</v>
      </c>
      <c r="L482" s="6">
        <v>1.6359999999999999</v>
      </c>
      <c r="M482" s="71">
        <v>1.6359999999999999</v>
      </c>
      <c r="N482" s="6">
        <v>1.6359999999999999</v>
      </c>
      <c r="O482" s="71">
        <v>1.6359999999999999</v>
      </c>
      <c r="P482" s="6">
        <v>0</v>
      </c>
      <c r="Q482" s="4" t="s">
        <v>26</v>
      </c>
      <c r="R482" s="4">
        <v>0</v>
      </c>
      <c r="S482" s="4">
        <v>0</v>
      </c>
      <c r="T482" s="4">
        <v>27</v>
      </c>
      <c r="U482" s="4">
        <v>81</v>
      </c>
      <c r="V482" s="71">
        <f>IF(ISERROR(VLOOKUP($S$482,'TAR FIN'!$A$1:$O$120,15,0)),0,VLOOKUP($S$482,'TAR FIN'!$A$1:$O$120,15,0))</f>
        <v>0</v>
      </c>
      <c r="W482" s="71">
        <f>IF(ISERROR(VLOOKUP($T$482,'TAR FIN'!$A$1:$O$120,15,0)),0,VLOOKUP($T$482,'TAR FIN'!$A$1:$O$120,15,0))*(1-0.08)</f>
        <v>590.63080000000002</v>
      </c>
      <c r="X482" s="71">
        <f>IF(ISERROR(VLOOKUP($U$482,'TAR FIN'!$A$1:$O$120,15,0)),0,VLOOKUP($U$482,'TAR FIN'!$A$1:$O$120,15,0))*(1-0.08)</f>
        <v>396.40040000000005</v>
      </c>
      <c r="Y482" s="71"/>
      <c r="Z482" s="71">
        <f ca="1">('TUSD BE'!$AM$33+'TUSD BF'!$AM$33+'TUSD CVA'!$AM$33)*1*(1-0.06)</f>
        <v>702.86961706946545</v>
      </c>
      <c r="AA482" s="71">
        <f>('TE BE'!$AA$10+'TE BF'!$AA$10+'TE CVA'!$AA$10)*1*(1-0.06)</f>
        <v>353.15029452578722</v>
      </c>
      <c r="AB482" s="71">
        <f>(SUBSIDIO!$J$482*SUBSIDIO!$V$482)*(0.08)/(1-0.08)</f>
        <v>0</v>
      </c>
      <c r="AC482" s="71">
        <f>((SUBSIDIO!$L$482*SUBSIDIO!$W$482)+(SUBSIDIO!$N$482*SUBSIDIO!$X$482))*(0.08)/(1-0.08)</f>
        <v>140.41591679999999</v>
      </c>
      <c r="AD482" s="71">
        <f>(SUBSIDIO!$J$482*SUBSIDIO!$Y$482)*(0.06)/(1-0.06)</f>
        <v>0</v>
      </c>
      <c r="AE482" s="71">
        <f ca="1">((SUBSIDIO!$L$482*SUBSIDIO!$Z$482)+(SUBSIDIO!$N$482*SUBSIDIO!$AA$482))*(0.06)/(1-0.06)</f>
        <v>110.27544098105318</v>
      </c>
      <c r="AF482" s="4" t="s">
        <v>1151</v>
      </c>
    </row>
    <row r="483" spans="1:32" ht="11.25" customHeight="1" x14ac:dyDescent="0.25">
      <c r="A483" s="4" t="s">
        <v>21</v>
      </c>
      <c r="B483" s="4" t="s">
        <v>33</v>
      </c>
      <c r="C483" s="4" t="s">
        <v>34</v>
      </c>
      <c r="D483" s="4" t="s">
        <v>47</v>
      </c>
      <c r="E483" s="4" t="s">
        <v>25</v>
      </c>
      <c r="F483" s="4" t="s">
        <v>25</v>
      </c>
      <c r="G483" s="4" t="s">
        <v>25</v>
      </c>
      <c r="H483" s="4" t="s">
        <v>35</v>
      </c>
      <c r="I483" s="5">
        <v>43862</v>
      </c>
      <c r="J483" s="6">
        <v>0</v>
      </c>
      <c r="K483" s="71">
        <v>0</v>
      </c>
      <c r="L483" s="6">
        <v>142.10900000000001</v>
      </c>
      <c r="M483" s="71">
        <v>142.10900000000001</v>
      </c>
      <c r="N483" s="6">
        <v>142.10900000000001</v>
      </c>
      <c r="O483" s="71">
        <v>142.10900000000001</v>
      </c>
      <c r="P483" s="6">
        <v>0</v>
      </c>
      <c r="Q483" s="4" t="s">
        <v>26</v>
      </c>
      <c r="R483" s="4">
        <v>0</v>
      </c>
      <c r="S483" s="4">
        <v>0</v>
      </c>
      <c r="T483" s="4">
        <v>27</v>
      </c>
      <c r="U483" s="4">
        <v>81</v>
      </c>
      <c r="V483" s="71">
        <f>IF(ISERROR(VLOOKUP($S$483,'TAR FIN'!$A$1:$O$120,15,0)),0,VLOOKUP($S$483,'TAR FIN'!$A$1:$O$120,15,0))</f>
        <v>0</v>
      </c>
      <c r="W483" s="71">
        <f>IF(ISERROR(VLOOKUP($T$483,'TAR FIN'!$A$1:$O$120,15,0)),0,VLOOKUP($T$483,'TAR FIN'!$A$1:$O$120,15,0))*(1-0.08)</f>
        <v>590.63080000000002</v>
      </c>
      <c r="X483" s="71">
        <f>IF(ISERROR(VLOOKUP($U$483,'TAR FIN'!$A$1:$O$120,15,0)),0,VLOOKUP($U$483,'TAR FIN'!$A$1:$O$120,15,0))*(1-0.08)</f>
        <v>396.40040000000005</v>
      </c>
      <c r="Y483" s="71"/>
      <c r="Z483" s="71">
        <f ca="1">('TUSD BE'!$AM$33+'TUSD BF'!$AM$33+'TUSD CVA'!$AM$33)*1*(1-0.06)</f>
        <v>702.86961706946545</v>
      </c>
      <c r="AA483" s="71">
        <f>('TE BE'!$AA$10+'TE BF'!$AA$10+'TE CVA'!$AA$10)*1*(1-0.06)</f>
        <v>353.15029452578722</v>
      </c>
      <c r="AB483" s="71">
        <f>(SUBSIDIO!$J$483*SUBSIDIO!$V$483)*(0.08)/(1-0.08)</f>
        <v>0</v>
      </c>
      <c r="AC483" s="71">
        <f>((SUBSIDIO!$L$483*SUBSIDIO!$W$483)+(SUBSIDIO!$N$483*SUBSIDIO!$X$483))*(0.08)/(1-0.08)</f>
        <v>12197.044939200001</v>
      </c>
      <c r="AD483" s="71">
        <f>(SUBSIDIO!$J$483*SUBSIDIO!$Y$483)*(0.06)/(1-0.06)</f>
        <v>0</v>
      </c>
      <c r="AE483" s="71">
        <f ca="1">((SUBSIDIO!$L$483*SUBSIDIO!$Z$483)+(SUBSIDIO!$N$483*SUBSIDIO!$AA$483))*(0.06)/(1-0.06)</f>
        <v>9578.9319329929622</v>
      </c>
      <c r="AF483" s="4" t="s">
        <v>1151</v>
      </c>
    </row>
    <row r="484" spans="1:32" ht="11.25" customHeight="1" x14ac:dyDescent="0.25">
      <c r="A484" s="4" t="s">
        <v>28</v>
      </c>
      <c r="B484" s="4" t="s">
        <v>33</v>
      </c>
      <c r="C484" s="4" t="s">
        <v>34</v>
      </c>
      <c r="D484" s="4" t="s">
        <v>47</v>
      </c>
      <c r="E484" s="4" t="s">
        <v>25</v>
      </c>
      <c r="F484" s="4" t="s">
        <v>25</v>
      </c>
      <c r="G484" s="4" t="s">
        <v>25</v>
      </c>
      <c r="H484" s="4" t="s">
        <v>35</v>
      </c>
      <c r="I484" s="5">
        <v>43862</v>
      </c>
      <c r="J484" s="6">
        <v>0</v>
      </c>
      <c r="K484" s="71">
        <v>0</v>
      </c>
      <c r="L484" s="6">
        <v>0.65300000000000002</v>
      </c>
      <c r="M484" s="71">
        <v>0.65300000000000002</v>
      </c>
      <c r="N484" s="6">
        <v>0.65300000000000002</v>
      </c>
      <c r="O484" s="71">
        <v>0.65300000000000002</v>
      </c>
      <c r="P484" s="6">
        <v>0</v>
      </c>
      <c r="Q484" s="4" t="s">
        <v>26</v>
      </c>
      <c r="R484" s="4">
        <v>0</v>
      </c>
      <c r="S484" s="4">
        <v>0</v>
      </c>
      <c r="T484" s="4">
        <v>27</v>
      </c>
      <c r="U484" s="4">
        <v>81</v>
      </c>
      <c r="V484" s="71">
        <f>IF(ISERROR(VLOOKUP($S$484,'TAR FIN'!$A$1:$O$120,15,0)),0,VLOOKUP($S$484,'TAR FIN'!$A$1:$O$120,15,0))</f>
        <v>0</v>
      </c>
      <c r="W484" s="71">
        <f>IF(ISERROR(VLOOKUP($T$484,'TAR FIN'!$A$1:$O$120,15,0)),0,VLOOKUP($T$484,'TAR FIN'!$A$1:$O$120,15,0))*(1-0.08)</f>
        <v>590.63080000000002</v>
      </c>
      <c r="X484" s="71">
        <f>IF(ISERROR(VLOOKUP($U$484,'TAR FIN'!$A$1:$O$120,15,0)),0,VLOOKUP($U$484,'TAR FIN'!$A$1:$O$120,15,0))*(1-0.08)</f>
        <v>396.40040000000005</v>
      </c>
      <c r="Y484" s="71"/>
      <c r="Z484" s="71">
        <f ca="1">('TUSD BE'!$AM$33+'TUSD BF'!$AM$33+'TUSD CVA'!$AM$33)*1*(1-0.06)</f>
        <v>702.86961706946545</v>
      </c>
      <c r="AA484" s="71">
        <f>('TE BE'!$AA$10+'TE BF'!$AA$10+'TE CVA'!$AA$10)*1*(1-0.06)</f>
        <v>353.15029452578722</v>
      </c>
      <c r="AB484" s="71">
        <f>(SUBSIDIO!$J$484*SUBSIDIO!$V$484)*(0.08)/(1-0.08)</f>
        <v>0</v>
      </c>
      <c r="AC484" s="71">
        <f>((SUBSIDIO!$L$484*SUBSIDIO!$W$484)+(SUBSIDIO!$N$484*SUBSIDIO!$X$484))*(0.08)/(1-0.08)</f>
        <v>56.04620640000001</v>
      </c>
      <c r="AD484" s="71">
        <f>(SUBSIDIO!$J$484*SUBSIDIO!$Y$484)*(0.06)/(1-0.06)</f>
        <v>0</v>
      </c>
      <c r="AE484" s="71">
        <f ca="1">((SUBSIDIO!$L$484*SUBSIDIO!$Z$484)+(SUBSIDIO!$N$484*SUBSIDIO!$AA$484))*(0.06)/(1-0.06)</f>
        <v>44.015808655640434</v>
      </c>
      <c r="AF484" s="4" t="s">
        <v>1151</v>
      </c>
    </row>
    <row r="485" spans="1:32" ht="11.25" customHeight="1" x14ac:dyDescent="0.25">
      <c r="A485" s="4" t="s">
        <v>21</v>
      </c>
      <c r="B485" s="4" t="s">
        <v>33</v>
      </c>
      <c r="C485" s="4" t="s">
        <v>34</v>
      </c>
      <c r="D485" s="4" t="s">
        <v>47</v>
      </c>
      <c r="E485" s="4" t="s">
        <v>25</v>
      </c>
      <c r="F485" s="4" t="s">
        <v>25</v>
      </c>
      <c r="G485" s="4" t="s">
        <v>25</v>
      </c>
      <c r="H485" s="4" t="s">
        <v>35</v>
      </c>
      <c r="I485" s="5">
        <v>43891</v>
      </c>
      <c r="J485" s="6">
        <v>0</v>
      </c>
      <c r="K485" s="71">
        <v>0</v>
      </c>
      <c r="L485" s="6">
        <v>181.12700000000001</v>
      </c>
      <c r="M485" s="71">
        <v>181.12700000000001</v>
      </c>
      <c r="N485" s="6">
        <v>181.12700000000001</v>
      </c>
      <c r="O485" s="71">
        <v>181.12700000000001</v>
      </c>
      <c r="P485" s="6">
        <v>0</v>
      </c>
      <c r="Q485" s="4" t="s">
        <v>26</v>
      </c>
      <c r="R485" s="4">
        <v>0</v>
      </c>
      <c r="S485" s="4">
        <v>0</v>
      </c>
      <c r="T485" s="4">
        <v>27</v>
      </c>
      <c r="U485" s="4">
        <v>81</v>
      </c>
      <c r="V485" s="71">
        <f>IF(ISERROR(VLOOKUP($S$485,'TAR FIN'!$A$1:$O$120,15,0)),0,VLOOKUP($S$485,'TAR FIN'!$A$1:$O$120,15,0))</f>
        <v>0</v>
      </c>
      <c r="W485" s="71">
        <f>IF(ISERROR(VLOOKUP($T$485,'TAR FIN'!$A$1:$O$120,15,0)),0,VLOOKUP($T$485,'TAR FIN'!$A$1:$O$120,15,0))*(1-0.08)</f>
        <v>590.63080000000002</v>
      </c>
      <c r="X485" s="71">
        <f>IF(ISERROR(VLOOKUP($U$485,'TAR FIN'!$A$1:$O$120,15,0)),0,VLOOKUP($U$485,'TAR FIN'!$A$1:$O$120,15,0))*(1-0.08)</f>
        <v>396.40040000000005</v>
      </c>
      <c r="Y485" s="71"/>
      <c r="Z485" s="71">
        <f ca="1">('TUSD BE'!$AM$33+'TUSD BF'!$AM$33+'TUSD CVA'!$AM$33)*1*(1-0.06)</f>
        <v>702.86961706946545</v>
      </c>
      <c r="AA485" s="71">
        <f>('TE BE'!$AA$10+'TE BF'!$AA$10+'TE CVA'!$AA$10)*1*(1-0.06)</f>
        <v>353.15029452578722</v>
      </c>
      <c r="AB485" s="71">
        <f>(SUBSIDIO!$J$485*SUBSIDIO!$V$485)*(0.08)/(1-0.08)</f>
        <v>0</v>
      </c>
      <c r="AC485" s="71">
        <f>((SUBSIDIO!$L$485*SUBSIDIO!$W$485)+(SUBSIDIO!$N$485*SUBSIDIO!$X$485))*(0.08)/(1-0.08)</f>
        <v>15545.913057600001</v>
      </c>
      <c r="AD485" s="71">
        <f>(SUBSIDIO!$J$485*SUBSIDIO!$Y$485)*(0.06)/(1-0.06)</f>
        <v>0</v>
      </c>
      <c r="AE485" s="71">
        <f ca="1">((SUBSIDIO!$L$485*SUBSIDIO!$Z$485)+(SUBSIDIO!$N$485*SUBSIDIO!$AA$485))*(0.06)/(1-0.06)</f>
        <v>12208.96075707532</v>
      </c>
      <c r="AF485" s="4" t="s">
        <v>1151</v>
      </c>
    </row>
    <row r="486" spans="1:32" ht="11.25" customHeight="1" x14ac:dyDescent="0.25">
      <c r="A486" s="4" t="s">
        <v>28</v>
      </c>
      <c r="B486" s="4" t="s">
        <v>33</v>
      </c>
      <c r="C486" s="4" t="s">
        <v>34</v>
      </c>
      <c r="D486" s="4" t="s">
        <v>47</v>
      </c>
      <c r="E486" s="4" t="s">
        <v>25</v>
      </c>
      <c r="F486" s="4" t="s">
        <v>25</v>
      </c>
      <c r="G486" s="4" t="s">
        <v>25</v>
      </c>
      <c r="H486" s="4" t="s">
        <v>35</v>
      </c>
      <c r="I486" s="5">
        <v>43891</v>
      </c>
      <c r="J486" s="6">
        <v>0</v>
      </c>
      <c r="K486" s="71">
        <v>0</v>
      </c>
      <c r="L486" s="6">
        <v>1.6739999999999999</v>
      </c>
      <c r="M486" s="71">
        <v>1.6739999999999999</v>
      </c>
      <c r="N486" s="6">
        <v>1.6739999999999999</v>
      </c>
      <c r="O486" s="71">
        <v>1.6739999999999999</v>
      </c>
      <c r="P486" s="6">
        <v>0</v>
      </c>
      <c r="Q486" s="4" t="s">
        <v>26</v>
      </c>
      <c r="R486" s="4">
        <v>0</v>
      </c>
      <c r="S486" s="4">
        <v>0</v>
      </c>
      <c r="T486" s="4">
        <v>27</v>
      </c>
      <c r="U486" s="4">
        <v>81</v>
      </c>
      <c r="V486" s="71">
        <f>IF(ISERROR(VLOOKUP($S$486,'TAR FIN'!$A$1:$O$120,15,0)),0,VLOOKUP($S$486,'TAR FIN'!$A$1:$O$120,15,0))</f>
        <v>0</v>
      </c>
      <c r="W486" s="71">
        <f>IF(ISERROR(VLOOKUP($T$486,'TAR FIN'!$A$1:$O$120,15,0)),0,VLOOKUP($T$486,'TAR FIN'!$A$1:$O$120,15,0))*(1-0.08)</f>
        <v>590.63080000000002</v>
      </c>
      <c r="X486" s="71">
        <f>IF(ISERROR(VLOOKUP($U$486,'TAR FIN'!$A$1:$O$120,15,0)),0,VLOOKUP($U$486,'TAR FIN'!$A$1:$O$120,15,0))*(1-0.08)</f>
        <v>396.40040000000005</v>
      </c>
      <c r="Y486" s="71"/>
      <c r="Z486" s="71">
        <f ca="1">('TUSD BE'!$AM$33+'TUSD BF'!$AM$33+'TUSD CVA'!$AM$33)*1*(1-0.06)</f>
        <v>702.86961706946545</v>
      </c>
      <c r="AA486" s="71">
        <f>('TE BE'!$AA$10+'TE BF'!$AA$10+'TE CVA'!$AA$10)*1*(1-0.06)</f>
        <v>353.15029452578722</v>
      </c>
      <c r="AB486" s="71">
        <f>(SUBSIDIO!$J$486*SUBSIDIO!$V$486)*(0.08)/(1-0.08)</f>
        <v>0</v>
      </c>
      <c r="AC486" s="71">
        <f>((SUBSIDIO!$L$486*SUBSIDIO!$W$486)+(SUBSIDIO!$N$486*SUBSIDIO!$X$486))*(0.08)/(1-0.08)</f>
        <v>143.67741119999999</v>
      </c>
      <c r="AD486" s="71">
        <f>(SUBSIDIO!$J$486*SUBSIDIO!$Y$486)*(0.06)/(1-0.06)</f>
        <v>0</v>
      </c>
      <c r="AE486" s="71">
        <f ca="1">((SUBSIDIO!$L$486*SUBSIDIO!$Z$486)+(SUBSIDIO!$N$486*SUBSIDIO!$AA$486))*(0.06)/(1-0.06)</f>
        <v>112.8368509793906</v>
      </c>
      <c r="AF486" s="4" t="s">
        <v>1151</v>
      </c>
    </row>
    <row r="487" spans="1:32" ht="11.25" customHeight="1" x14ac:dyDescent="0.25">
      <c r="A487" s="4" t="s">
        <v>21</v>
      </c>
      <c r="B487" s="4" t="s">
        <v>33</v>
      </c>
      <c r="C487" s="4" t="s">
        <v>34</v>
      </c>
      <c r="D487" s="4" t="s">
        <v>47</v>
      </c>
      <c r="E487" s="4" t="s">
        <v>25</v>
      </c>
      <c r="F487" s="4" t="s">
        <v>25</v>
      </c>
      <c r="G487" s="4" t="s">
        <v>25</v>
      </c>
      <c r="H487" s="4" t="s">
        <v>35</v>
      </c>
      <c r="I487" s="5">
        <v>43922</v>
      </c>
      <c r="J487" s="6">
        <v>0</v>
      </c>
      <c r="K487" s="71">
        <v>0</v>
      </c>
      <c r="L487" s="6">
        <v>206.483</v>
      </c>
      <c r="M487" s="71">
        <v>206.483</v>
      </c>
      <c r="N487" s="6">
        <v>206.483</v>
      </c>
      <c r="O487" s="71">
        <v>206.483</v>
      </c>
      <c r="P487" s="6">
        <v>0</v>
      </c>
      <c r="Q487" s="4" t="s">
        <v>26</v>
      </c>
      <c r="R487" s="4">
        <v>0</v>
      </c>
      <c r="S487" s="4">
        <v>0</v>
      </c>
      <c r="T487" s="4">
        <v>27</v>
      </c>
      <c r="U487" s="4">
        <v>81</v>
      </c>
      <c r="V487" s="71">
        <f>IF(ISERROR(VLOOKUP($S$487,'TAR FIN'!$A$1:$O$120,15,0)),0,VLOOKUP($S$487,'TAR FIN'!$A$1:$O$120,15,0))</f>
        <v>0</v>
      </c>
      <c r="W487" s="71">
        <f>IF(ISERROR(VLOOKUP($T$487,'TAR FIN'!$A$1:$O$120,15,0)),0,VLOOKUP($T$487,'TAR FIN'!$A$1:$O$120,15,0))*(1-0.08)</f>
        <v>590.63080000000002</v>
      </c>
      <c r="X487" s="71">
        <f>IF(ISERROR(VLOOKUP($U$487,'TAR FIN'!$A$1:$O$120,15,0)),0,VLOOKUP($U$487,'TAR FIN'!$A$1:$O$120,15,0))*(1-0.08)</f>
        <v>396.40040000000005</v>
      </c>
      <c r="Y487" s="71"/>
      <c r="Z487" s="71">
        <f ca="1">('TUSD BE'!$AM$33+'TUSD BF'!$AM$33+'TUSD CVA'!$AM$33)*1*(1-0.06)</f>
        <v>702.86961706946545</v>
      </c>
      <c r="AA487" s="71">
        <f>('TE BE'!$AA$10+'TE BF'!$AA$10+'TE CVA'!$AA$10)*1*(1-0.06)</f>
        <v>353.15029452578722</v>
      </c>
      <c r="AB487" s="71">
        <f>(SUBSIDIO!$J$487*SUBSIDIO!$V$487)*(0.08)/(1-0.08)</f>
        <v>0</v>
      </c>
      <c r="AC487" s="71">
        <f>((SUBSIDIO!$L$487*SUBSIDIO!$W$487)+(SUBSIDIO!$N$487*SUBSIDIO!$X$487))*(0.08)/(1-0.08)</f>
        <v>17722.188110400002</v>
      </c>
      <c r="AD487" s="71">
        <f>(SUBSIDIO!$J$487*SUBSIDIO!$Y$487)*(0.06)/(1-0.06)</f>
        <v>0</v>
      </c>
      <c r="AE487" s="71">
        <f ca="1">((SUBSIDIO!$L$487*SUBSIDIO!$Z$487)+(SUBSIDIO!$N$487*SUBSIDIO!$AA$487))*(0.06)/(1-0.06)</f>
        <v>13918.095281229102</v>
      </c>
      <c r="AF487" s="4" t="s">
        <v>1151</v>
      </c>
    </row>
    <row r="488" spans="1:32" ht="11.25" customHeight="1" x14ac:dyDescent="0.25">
      <c r="A488" s="4" t="s">
        <v>27</v>
      </c>
      <c r="B488" s="4" t="s">
        <v>33</v>
      </c>
      <c r="C488" s="4" t="s">
        <v>34</v>
      </c>
      <c r="D488" s="4" t="s">
        <v>47</v>
      </c>
      <c r="E488" s="4" t="s">
        <v>25</v>
      </c>
      <c r="F488" s="4" t="s">
        <v>25</v>
      </c>
      <c r="G488" s="4" t="s">
        <v>25</v>
      </c>
      <c r="H488" s="4" t="s">
        <v>35</v>
      </c>
      <c r="I488" s="5">
        <v>43922</v>
      </c>
      <c r="J488" s="6">
        <v>0</v>
      </c>
      <c r="K488" s="71">
        <v>0</v>
      </c>
      <c r="L488" s="6">
        <v>0.41699999999999998</v>
      </c>
      <c r="M488" s="71">
        <v>0.41699999999999998</v>
      </c>
      <c r="N488" s="6">
        <v>0.41699999999999998</v>
      </c>
      <c r="O488" s="71">
        <v>0.41699999999999998</v>
      </c>
      <c r="P488" s="6">
        <v>0</v>
      </c>
      <c r="Q488" s="4" t="s">
        <v>26</v>
      </c>
      <c r="R488" s="4">
        <v>0</v>
      </c>
      <c r="S488" s="4">
        <v>0</v>
      </c>
      <c r="T488" s="4">
        <v>27</v>
      </c>
      <c r="U488" s="4">
        <v>81</v>
      </c>
      <c r="V488" s="71">
        <f>IF(ISERROR(VLOOKUP($S$488,'TAR FIN'!$A$1:$O$120,15,0)),0,VLOOKUP($S$488,'TAR FIN'!$A$1:$O$120,15,0))</f>
        <v>0</v>
      </c>
      <c r="W488" s="71">
        <f>IF(ISERROR(VLOOKUP($T$488,'TAR FIN'!$A$1:$O$120,15,0)),0,VLOOKUP($T$488,'TAR FIN'!$A$1:$O$120,15,0))*(1-0.08)</f>
        <v>590.63080000000002</v>
      </c>
      <c r="X488" s="71">
        <f>IF(ISERROR(VLOOKUP($U$488,'TAR FIN'!$A$1:$O$120,15,0)),0,VLOOKUP($U$488,'TAR FIN'!$A$1:$O$120,15,0))*(1-0.08)</f>
        <v>396.40040000000005</v>
      </c>
      <c r="Y488" s="71"/>
      <c r="Z488" s="71">
        <f ca="1">('TUSD BE'!$AM$33+'TUSD BF'!$AM$33+'TUSD CVA'!$AM$33)*1*(1-0.06)</f>
        <v>702.86961706946545</v>
      </c>
      <c r="AA488" s="71">
        <f>('TE BE'!$AA$10+'TE BF'!$AA$10+'TE CVA'!$AA$10)*1*(1-0.06)</f>
        <v>353.15029452578722</v>
      </c>
      <c r="AB488" s="71">
        <f>(SUBSIDIO!$J$488*SUBSIDIO!$V$488)*(0.08)/(1-0.08)</f>
        <v>0</v>
      </c>
      <c r="AC488" s="71">
        <f>((SUBSIDIO!$L$488*SUBSIDIO!$W$488)+(SUBSIDIO!$N$488*SUBSIDIO!$X$488))*(0.08)/(1-0.08)</f>
        <v>35.790609600000003</v>
      </c>
      <c r="AD488" s="71">
        <f>(SUBSIDIO!$J$488*SUBSIDIO!$Y$488)*(0.06)/(1-0.06)</f>
        <v>0</v>
      </c>
      <c r="AE488" s="71">
        <f ca="1">((SUBSIDIO!$L$488*SUBSIDIO!$Z$488)+(SUBSIDIO!$N$488*SUBSIDIO!$AA$488))*(0.06)/(1-0.06)</f>
        <v>28.108104455439594</v>
      </c>
      <c r="AF488" s="4" t="s">
        <v>1151</v>
      </c>
    </row>
    <row r="489" spans="1:32" ht="11.25" customHeight="1" x14ac:dyDescent="0.25">
      <c r="A489" s="4" t="s">
        <v>28</v>
      </c>
      <c r="B489" s="4" t="s">
        <v>33</v>
      </c>
      <c r="C489" s="4" t="s">
        <v>34</v>
      </c>
      <c r="D489" s="4" t="s">
        <v>47</v>
      </c>
      <c r="E489" s="4" t="s">
        <v>25</v>
      </c>
      <c r="F489" s="4" t="s">
        <v>25</v>
      </c>
      <c r="G489" s="4" t="s">
        <v>25</v>
      </c>
      <c r="H489" s="4" t="s">
        <v>35</v>
      </c>
      <c r="I489" s="5">
        <v>43922</v>
      </c>
      <c r="J489" s="6">
        <v>0</v>
      </c>
      <c r="K489" s="71">
        <v>0</v>
      </c>
      <c r="L489" s="6">
        <v>3.2309999999999999</v>
      </c>
      <c r="M489" s="71">
        <v>3.2309999999999999</v>
      </c>
      <c r="N489" s="6">
        <v>3.2309999999999999</v>
      </c>
      <c r="O489" s="71">
        <v>3.2309999999999999</v>
      </c>
      <c r="P489" s="6">
        <v>0</v>
      </c>
      <c r="Q489" s="4" t="s">
        <v>26</v>
      </c>
      <c r="R489" s="4">
        <v>0</v>
      </c>
      <c r="S489" s="4">
        <v>0</v>
      </c>
      <c r="T489" s="4">
        <v>27</v>
      </c>
      <c r="U489" s="4">
        <v>81</v>
      </c>
      <c r="V489" s="71">
        <f>IF(ISERROR(VLOOKUP($S$489,'TAR FIN'!$A$1:$O$120,15,0)),0,VLOOKUP($S$489,'TAR FIN'!$A$1:$O$120,15,0))</f>
        <v>0</v>
      </c>
      <c r="W489" s="71">
        <f>IF(ISERROR(VLOOKUP($T$489,'TAR FIN'!$A$1:$O$120,15,0)),0,VLOOKUP($T$489,'TAR FIN'!$A$1:$O$120,15,0))*(1-0.08)</f>
        <v>590.63080000000002</v>
      </c>
      <c r="X489" s="71">
        <f>IF(ISERROR(VLOOKUP($U$489,'TAR FIN'!$A$1:$O$120,15,0)),0,VLOOKUP($U$489,'TAR FIN'!$A$1:$O$120,15,0))*(1-0.08)</f>
        <v>396.40040000000005</v>
      </c>
      <c r="Y489" s="71"/>
      <c r="Z489" s="71">
        <f ca="1">('TUSD BE'!$AM$33+'TUSD BF'!$AM$33+'TUSD CVA'!$AM$33)*1*(1-0.06)</f>
        <v>702.86961706946545</v>
      </c>
      <c r="AA489" s="71">
        <f>('TE BE'!$AA$10+'TE BF'!$AA$10+'TE CVA'!$AA$10)*1*(1-0.06)</f>
        <v>353.15029452578722</v>
      </c>
      <c r="AB489" s="71">
        <f>(SUBSIDIO!$J$489*SUBSIDIO!$V$489)*(0.08)/(1-0.08)</f>
        <v>0</v>
      </c>
      <c r="AC489" s="71">
        <f>((SUBSIDIO!$L$489*SUBSIDIO!$W$489)+(SUBSIDIO!$N$489*SUBSIDIO!$X$489))*(0.08)/(1-0.08)</f>
        <v>277.31285280000003</v>
      </c>
      <c r="AD489" s="71">
        <f>(SUBSIDIO!$J$489*SUBSIDIO!$Y$489)*(0.06)/(1-0.06)</f>
        <v>0</v>
      </c>
      <c r="AE489" s="71">
        <f ca="1">((SUBSIDIO!$L$489*SUBSIDIO!$Z$489)+(SUBSIDIO!$N$489*SUBSIDIO!$AA$489))*(0.06)/(1-0.06)</f>
        <v>217.78725538495283</v>
      </c>
      <c r="AF489" s="4" t="s">
        <v>1151</v>
      </c>
    </row>
    <row r="490" spans="1:32" ht="11.25" customHeight="1" x14ac:dyDescent="0.25">
      <c r="A490" s="4" t="s">
        <v>21</v>
      </c>
      <c r="B490" s="4" t="s">
        <v>33</v>
      </c>
      <c r="C490" s="4" t="s">
        <v>34</v>
      </c>
      <c r="D490" s="4" t="s">
        <v>47</v>
      </c>
      <c r="E490" s="4" t="s">
        <v>25</v>
      </c>
      <c r="F490" s="4" t="s">
        <v>25</v>
      </c>
      <c r="G490" s="4" t="s">
        <v>25</v>
      </c>
      <c r="H490" s="4" t="s">
        <v>35</v>
      </c>
      <c r="I490" s="5">
        <v>43952</v>
      </c>
      <c r="J490" s="6">
        <v>0</v>
      </c>
      <c r="K490" s="71">
        <v>0</v>
      </c>
      <c r="L490" s="6">
        <v>151.37299999999999</v>
      </c>
      <c r="M490" s="71">
        <v>151.37299999999999</v>
      </c>
      <c r="N490" s="6">
        <v>151.37299999999999</v>
      </c>
      <c r="O490" s="71">
        <v>151.37299999999999</v>
      </c>
      <c r="P490" s="6">
        <v>0</v>
      </c>
      <c r="Q490" s="4" t="s">
        <v>26</v>
      </c>
      <c r="R490" s="4">
        <v>0</v>
      </c>
      <c r="S490" s="4">
        <v>0</v>
      </c>
      <c r="T490" s="4">
        <v>27</v>
      </c>
      <c r="U490" s="4">
        <v>81</v>
      </c>
      <c r="V490" s="71">
        <f>IF(ISERROR(VLOOKUP($S$490,'TAR FIN'!$A$1:$O$120,15,0)),0,VLOOKUP($S$490,'TAR FIN'!$A$1:$O$120,15,0))</f>
        <v>0</v>
      </c>
      <c r="W490" s="71">
        <f>IF(ISERROR(VLOOKUP($T$490,'TAR FIN'!$A$1:$O$120,15,0)),0,VLOOKUP($T$490,'TAR FIN'!$A$1:$O$120,15,0))*(1-0.08)</f>
        <v>590.63080000000002</v>
      </c>
      <c r="X490" s="71">
        <f>IF(ISERROR(VLOOKUP($U$490,'TAR FIN'!$A$1:$O$120,15,0)),0,VLOOKUP($U$490,'TAR FIN'!$A$1:$O$120,15,0))*(1-0.08)</f>
        <v>396.40040000000005</v>
      </c>
      <c r="Y490" s="71"/>
      <c r="Z490" s="71">
        <f ca="1">('TUSD BE'!$AM$33+'TUSD BF'!$AM$33+'TUSD CVA'!$AM$33)*1*(1-0.06)</f>
        <v>702.86961706946545</v>
      </c>
      <c r="AA490" s="71">
        <f>('TE BE'!$AA$10+'TE BF'!$AA$10+'TE CVA'!$AA$10)*1*(1-0.06)</f>
        <v>353.15029452578722</v>
      </c>
      <c r="AB490" s="71">
        <f>(SUBSIDIO!$J$490*SUBSIDIO!$V$490)*(0.08)/(1-0.08)</f>
        <v>0</v>
      </c>
      <c r="AC490" s="71">
        <f>((SUBSIDIO!$L$490*SUBSIDIO!$W$490)+(SUBSIDIO!$N$490*SUBSIDIO!$X$490))*(0.08)/(1-0.08)</f>
        <v>12992.1629424</v>
      </c>
      <c r="AD490" s="71">
        <f>(SUBSIDIO!$J$490*SUBSIDIO!$Y$490)*(0.06)/(1-0.06)</f>
        <v>0</v>
      </c>
      <c r="AE490" s="71">
        <f ca="1">((SUBSIDIO!$L$490*SUBSIDIO!$Z$490)+(SUBSIDIO!$N$490*SUBSIDIO!$AA$490))*(0.06)/(1-0.06)</f>
        <v>10203.376728377118</v>
      </c>
      <c r="AF490" s="4" t="s">
        <v>1151</v>
      </c>
    </row>
    <row r="491" spans="1:32" ht="11.25" customHeight="1" x14ac:dyDescent="0.25">
      <c r="A491" s="4" t="s">
        <v>27</v>
      </c>
      <c r="B491" s="4" t="s">
        <v>33</v>
      </c>
      <c r="C491" s="4" t="s">
        <v>34</v>
      </c>
      <c r="D491" s="4" t="s">
        <v>47</v>
      </c>
      <c r="E491" s="4" t="s">
        <v>25</v>
      </c>
      <c r="F491" s="4" t="s">
        <v>25</v>
      </c>
      <c r="G491" s="4" t="s">
        <v>25</v>
      </c>
      <c r="H491" s="4" t="s">
        <v>35</v>
      </c>
      <c r="I491" s="5">
        <v>43952</v>
      </c>
      <c r="J491" s="6">
        <v>0</v>
      </c>
      <c r="K491" s="71">
        <v>0</v>
      </c>
      <c r="L491" s="6">
        <v>2.6659999999999999</v>
      </c>
      <c r="M491" s="71">
        <v>2.6659999999999999</v>
      </c>
      <c r="N491" s="6">
        <v>2.6659999999999999</v>
      </c>
      <c r="O491" s="71">
        <v>2.6659999999999999</v>
      </c>
      <c r="P491" s="6">
        <v>0</v>
      </c>
      <c r="Q491" s="4" t="s">
        <v>26</v>
      </c>
      <c r="R491" s="4">
        <v>0</v>
      </c>
      <c r="S491" s="4">
        <v>0</v>
      </c>
      <c r="T491" s="4">
        <v>27</v>
      </c>
      <c r="U491" s="4">
        <v>81</v>
      </c>
      <c r="V491" s="71">
        <f>IF(ISERROR(VLOOKUP($S$491,'TAR FIN'!$A$1:$O$120,15,0)),0,VLOOKUP($S$491,'TAR FIN'!$A$1:$O$120,15,0))</f>
        <v>0</v>
      </c>
      <c r="W491" s="71">
        <f>IF(ISERROR(VLOOKUP($T$491,'TAR FIN'!$A$1:$O$120,15,0)),0,VLOOKUP($T$491,'TAR FIN'!$A$1:$O$120,15,0))*(1-0.08)</f>
        <v>590.63080000000002</v>
      </c>
      <c r="X491" s="71">
        <f>IF(ISERROR(VLOOKUP($U$491,'TAR FIN'!$A$1:$O$120,15,0)),0,VLOOKUP($U$491,'TAR FIN'!$A$1:$O$120,15,0))*(1-0.08)</f>
        <v>396.40040000000005</v>
      </c>
      <c r="Y491" s="71"/>
      <c r="Z491" s="71">
        <f ca="1">('TUSD BE'!$AM$33+'TUSD BF'!$AM$33+'TUSD CVA'!$AM$33)*1*(1-0.06)</f>
        <v>702.86961706946545</v>
      </c>
      <c r="AA491" s="71">
        <f>('TE BE'!$AA$10+'TE BF'!$AA$10+'TE CVA'!$AA$10)*1*(1-0.06)</f>
        <v>353.15029452578722</v>
      </c>
      <c r="AB491" s="71">
        <f>(SUBSIDIO!$J$491*SUBSIDIO!$V$491)*(0.08)/(1-0.08)</f>
        <v>0</v>
      </c>
      <c r="AC491" s="71">
        <f>((SUBSIDIO!$L$491*SUBSIDIO!$W$491)+(SUBSIDIO!$N$491*SUBSIDIO!$X$491))*(0.08)/(1-0.08)</f>
        <v>228.81958080000001</v>
      </c>
      <c r="AD491" s="71">
        <f>(SUBSIDIO!$J$491*SUBSIDIO!$Y$491)*(0.06)/(1-0.06)</f>
        <v>0</v>
      </c>
      <c r="AE491" s="71">
        <f ca="1">((SUBSIDIO!$L$491*SUBSIDIO!$Z$491)+(SUBSIDIO!$N$491*SUBSIDIO!$AA$491))*(0.06)/(1-0.06)</f>
        <v>179.7031330412517</v>
      </c>
      <c r="AF491" s="4" t="s">
        <v>1151</v>
      </c>
    </row>
    <row r="492" spans="1:32" ht="11.25" customHeight="1" x14ac:dyDescent="0.25">
      <c r="A492" s="4" t="s">
        <v>28</v>
      </c>
      <c r="B492" s="4" t="s">
        <v>33</v>
      </c>
      <c r="C492" s="4" t="s">
        <v>34</v>
      </c>
      <c r="D492" s="4" t="s">
        <v>47</v>
      </c>
      <c r="E492" s="4" t="s">
        <v>25</v>
      </c>
      <c r="F492" s="4" t="s">
        <v>25</v>
      </c>
      <c r="G492" s="4" t="s">
        <v>25</v>
      </c>
      <c r="H492" s="4" t="s">
        <v>35</v>
      </c>
      <c r="I492" s="5">
        <v>43952</v>
      </c>
      <c r="J492" s="6">
        <v>0</v>
      </c>
      <c r="K492" s="71">
        <v>0</v>
      </c>
      <c r="L492" s="6">
        <v>4.2409999999999997</v>
      </c>
      <c r="M492" s="71">
        <v>4.2409999999999997</v>
      </c>
      <c r="N492" s="6">
        <v>4.2409999999999997</v>
      </c>
      <c r="O492" s="71">
        <v>4.2409999999999997</v>
      </c>
      <c r="P492" s="6">
        <v>0</v>
      </c>
      <c r="Q492" s="4" t="s">
        <v>26</v>
      </c>
      <c r="R492" s="4">
        <v>0</v>
      </c>
      <c r="S492" s="4">
        <v>0</v>
      </c>
      <c r="T492" s="4">
        <v>27</v>
      </c>
      <c r="U492" s="4">
        <v>81</v>
      </c>
      <c r="V492" s="71">
        <f>IF(ISERROR(VLOOKUP($S$492,'TAR FIN'!$A$1:$O$120,15,0)),0,VLOOKUP($S$492,'TAR FIN'!$A$1:$O$120,15,0))</f>
        <v>0</v>
      </c>
      <c r="W492" s="71">
        <f>IF(ISERROR(VLOOKUP($T$492,'TAR FIN'!$A$1:$O$120,15,0)),0,VLOOKUP($T$492,'TAR FIN'!$A$1:$O$120,15,0))*(1-0.08)</f>
        <v>590.63080000000002</v>
      </c>
      <c r="X492" s="71">
        <f>IF(ISERROR(VLOOKUP($U$492,'TAR FIN'!$A$1:$O$120,15,0)),0,VLOOKUP($U$492,'TAR FIN'!$A$1:$O$120,15,0))*(1-0.08)</f>
        <v>396.40040000000005</v>
      </c>
      <c r="Y492" s="71"/>
      <c r="Z492" s="71">
        <f ca="1">('TUSD BE'!$AM$33+'TUSD BF'!$AM$33+'TUSD CVA'!$AM$33)*1*(1-0.06)</f>
        <v>702.86961706946545</v>
      </c>
      <c r="AA492" s="71">
        <f>('TE BE'!$AA$10+'TE BF'!$AA$10+'TE CVA'!$AA$10)*1*(1-0.06)</f>
        <v>353.15029452578722</v>
      </c>
      <c r="AB492" s="71">
        <f>(SUBSIDIO!$J$492*SUBSIDIO!$V$492)*(0.08)/(1-0.08)</f>
        <v>0</v>
      </c>
      <c r="AC492" s="71">
        <f>((SUBSIDIO!$L$492*SUBSIDIO!$W$492)+(SUBSIDIO!$N$492*SUBSIDIO!$X$492))*(0.08)/(1-0.08)</f>
        <v>363.99994080000005</v>
      </c>
      <c r="AD492" s="71">
        <f>(SUBSIDIO!$J$492*SUBSIDIO!$Y$492)*(0.06)/(1-0.06)</f>
        <v>0</v>
      </c>
      <c r="AE492" s="71">
        <f ca="1">((SUBSIDIO!$L$492*SUBSIDIO!$Z$492)+(SUBSIDIO!$N$492*SUBSIDIO!$AA$492))*(0.06)/(1-0.06)</f>
        <v>285.86683691971058</v>
      </c>
      <c r="AF492" s="4" t="s">
        <v>1151</v>
      </c>
    </row>
    <row r="493" spans="1:32" ht="11.25" customHeight="1" x14ac:dyDescent="0.25">
      <c r="A493" s="4" t="s">
        <v>21</v>
      </c>
      <c r="B493" s="4" t="s">
        <v>33</v>
      </c>
      <c r="C493" s="4" t="s">
        <v>34</v>
      </c>
      <c r="D493" s="4" t="s">
        <v>47</v>
      </c>
      <c r="E493" s="4" t="s">
        <v>25</v>
      </c>
      <c r="F493" s="4" t="s">
        <v>25</v>
      </c>
      <c r="G493" s="4" t="s">
        <v>25</v>
      </c>
      <c r="H493" s="4" t="s">
        <v>35</v>
      </c>
      <c r="I493" s="5">
        <v>43983</v>
      </c>
      <c r="J493" s="6">
        <v>0</v>
      </c>
      <c r="K493" s="71">
        <v>0</v>
      </c>
      <c r="L493" s="6">
        <v>161.43700000000001</v>
      </c>
      <c r="M493" s="71">
        <v>161.43700000000001</v>
      </c>
      <c r="N493" s="6">
        <v>161.43700000000001</v>
      </c>
      <c r="O493" s="71">
        <v>161.43700000000001</v>
      </c>
      <c r="P493" s="6">
        <v>0</v>
      </c>
      <c r="Q493" s="4" t="s">
        <v>26</v>
      </c>
      <c r="R493" s="4">
        <v>0</v>
      </c>
      <c r="S493" s="4">
        <v>0</v>
      </c>
      <c r="T493" s="4">
        <v>27</v>
      </c>
      <c r="U493" s="4">
        <v>81</v>
      </c>
      <c r="V493" s="71">
        <f>IF(ISERROR(VLOOKUP($S$493,'TAR FIN'!$A$1:$O$120,15,0)),0,VLOOKUP($S$493,'TAR FIN'!$A$1:$O$120,15,0))</f>
        <v>0</v>
      </c>
      <c r="W493" s="71">
        <f>IF(ISERROR(VLOOKUP($T$493,'TAR FIN'!$A$1:$O$120,15,0)),0,VLOOKUP($T$493,'TAR FIN'!$A$1:$O$120,15,0))*(1-0.08)</f>
        <v>590.63080000000002</v>
      </c>
      <c r="X493" s="71">
        <f>IF(ISERROR(VLOOKUP($U$493,'TAR FIN'!$A$1:$O$120,15,0)),0,VLOOKUP($U$493,'TAR FIN'!$A$1:$O$120,15,0))*(1-0.08)</f>
        <v>396.40040000000005</v>
      </c>
      <c r="Y493" s="71"/>
      <c r="Z493" s="71">
        <f ca="1">('TUSD BE'!$AM$33+'TUSD BF'!$AM$33+'TUSD CVA'!$AM$33)*1*(1-0.06)</f>
        <v>702.86961706946545</v>
      </c>
      <c r="AA493" s="71">
        <f>('TE BE'!$AA$10+'TE BF'!$AA$10+'TE CVA'!$AA$10)*1*(1-0.06)</f>
        <v>353.15029452578722</v>
      </c>
      <c r="AB493" s="71">
        <f>(SUBSIDIO!$J$493*SUBSIDIO!$V$493)*(0.08)/(1-0.08)</f>
        <v>0</v>
      </c>
      <c r="AC493" s="71">
        <f>((SUBSIDIO!$L$493*SUBSIDIO!$W$493)+(SUBSIDIO!$N$493*SUBSIDIO!$X$493))*(0.08)/(1-0.08)</f>
        <v>13855.943985600001</v>
      </c>
      <c r="AD493" s="71">
        <f>(SUBSIDIO!$J$493*SUBSIDIO!$Y$493)*(0.06)/(1-0.06)</f>
        <v>0</v>
      </c>
      <c r="AE493" s="71">
        <f ca="1">((SUBSIDIO!$L$493*SUBSIDIO!$Z$493)+(SUBSIDIO!$N$493*SUBSIDIO!$AA$493))*(0.06)/(1-0.06)</f>
        <v>10881.745944778902</v>
      </c>
      <c r="AF493" s="4" t="s">
        <v>1151</v>
      </c>
    </row>
    <row r="494" spans="1:32" ht="11.25" customHeight="1" x14ac:dyDescent="0.25">
      <c r="A494" s="4" t="s">
        <v>27</v>
      </c>
      <c r="B494" s="4" t="s">
        <v>33</v>
      </c>
      <c r="C494" s="4" t="s">
        <v>34</v>
      </c>
      <c r="D494" s="4" t="s">
        <v>47</v>
      </c>
      <c r="E494" s="4" t="s">
        <v>25</v>
      </c>
      <c r="F494" s="4" t="s">
        <v>25</v>
      </c>
      <c r="G494" s="4" t="s">
        <v>25</v>
      </c>
      <c r="H494" s="4" t="s">
        <v>35</v>
      </c>
      <c r="I494" s="5">
        <v>43983</v>
      </c>
      <c r="J494" s="6">
        <v>0</v>
      </c>
      <c r="K494" s="71">
        <v>0</v>
      </c>
      <c r="L494" s="6">
        <v>1.2969999999999999</v>
      </c>
      <c r="M494" s="71">
        <v>1.2969999999999999</v>
      </c>
      <c r="N494" s="6">
        <v>1.2969999999999999</v>
      </c>
      <c r="O494" s="71">
        <v>1.2969999999999999</v>
      </c>
      <c r="P494" s="6">
        <v>0</v>
      </c>
      <c r="Q494" s="4" t="s">
        <v>26</v>
      </c>
      <c r="R494" s="4">
        <v>0</v>
      </c>
      <c r="S494" s="4">
        <v>0</v>
      </c>
      <c r="T494" s="4">
        <v>27</v>
      </c>
      <c r="U494" s="4">
        <v>81</v>
      </c>
      <c r="V494" s="71">
        <f>IF(ISERROR(VLOOKUP($S$494,'TAR FIN'!$A$1:$O$120,15,0)),0,VLOOKUP($S$494,'TAR FIN'!$A$1:$O$120,15,0))</f>
        <v>0</v>
      </c>
      <c r="W494" s="71">
        <f>IF(ISERROR(VLOOKUP($T$494,'TAR FIN'!$A$1:$O$120,15,0)),0,VLOOKUP($T$494,'TAR FIN'!$A$1:$O$120,15,0))*(1-0.08)</f>
        <v>590.63080000000002</v>
      </c>
      <c r="X494" s="71">
        <f>IF(ISERROR(VLOOKUP($U$494,'TAR FIN'!$A$1:$O$120,15,0)),0,VLOOKUP($U$494,'TAR FIN'!$A$1:$O$120,15,0))*(1-0.08)</f>
        <v>396.40040000000005</v>
      </c>
      <c r="Y494" s="71"/>
      <c r="Z494" s="71">
        <f ca="1">('TUSD BE'!$AM$33+'TUSD BF'!$AM$33+'TUSD CVA'!$AM$33)*1*(1-0.06)</f>
        <v>702.86961706946545</v>
      </c>
      <c r="AA494" s="71">
        <f>('TE BE'!$AA$10+'TE BF'!$AA$10+'TE CVA'!$AA$10)*1*(1-0.06)</f>
        <v>353.15029452578722</v>
      </c>
      <c r="AB494" s="71">
        <f>(SUBSIDIO!$J$494*SUBSIDIO!$V$494)*(0.08)/(1-0.08)</f>
        <v>0</v>
      </c>
      <c r="AC494" s="71">
        <f>((SUBSIDIO!$L$494*SUBSIDIO!$W$494)+(SUBSIDIO!$N$494*SUBSIDIO!$X$494))*(0.08)/(1-0.08)</f>
        <v>111.31995359999999</v>
      </c>
      <c r="AD494" s="71">
        <f>(SUBSIDIO!$J$494*SUBSIDIO!$Y$494)*(0.06)/(1-0.06)</f>
        <v>0</v>
      </c>
      <c r="AE494" s="71">
        <f ca="1">((SUBSIDIO!$L$494*SUBSIDIO!$Z$494)+(SUBSIDIO!$N$494*SUBSIDIO!$AA$494))*(0.06)/(1-0.06)</f>
        <v>87.424967574832507</v>
      </c>
      <c r="AF494" s="4" t="s">
        <v>1151</v>
      </c>
    </row>
    <row r="495" spans="1:32" ht="11.25" customHeight="1" x14ac:dyDescent="0.25">
      <c r="A495" s="4" t="s">
        <v>28</v>
      </c>
      <c r="B495" s="4" t="s">
        <v>33</v>
      </c>
      <c r="C495" s="4" t="s">
        <v>34</v>
      </c>
      <c r="D495" s="4" t="s">
        <v>47</v>
      </c>
      <c r="E495" s="4" t="s">
        <v>25</v>
      </c>
      <c r="F495" s="4" t="s">
        <v>25</v>
      </c>
      <c r="G495" s="4" t="s">
        <v>25</v>
      </c>
      <c r="H495" s="4" t="s">
        <v>35</v>
      </c>
      <c r="I495" s="5">
        <v>43983</v>
      </c>
      <c r="J495" s="6">
        <v>0</v>
      </c>
      <c r="K495" s="71">
        <v>0</v>
      </c>
      <c r="L495" s="6">
        <v>2.266</v>
      </c>
      <c r="M495" s="71">
        <v>2.266</v>
      </c>
      <c r="N495" s="6">
        <v>2.266</v>
      </c>
      <c r="O495" s="71">
        <v>2.266</v>
      </c>
      <c r="P495" s="6">
        <v>0</v>
      </c>
      <c r="Q495" s="4" t="s">
        <v>26</v>
      </c>
      <c r="R495" s="4">
        <v>0</v>
      </c>
      <c r="S495" s="4">
        <v>0</v>
      </c>
      <c r="T495" s="4">
        <v>27</v>
      </c>
      <c r="U495" s="4">
        <v>81</v>
      </c>
      <c r="V495" s="71">
        <f>IF(ISERROR(VLOOKUP($S$495,'TAR FIN'!$A$1:$O$120,15,0)),0,VLOOKUP($S$495,'TAR FIN'!$A$1:$O$120,15,0))</f>
        <v>0</v>
      </c>
      <c r="W495" s="71">
        <f>IF(ISERROR(VLOOKUP($T$495,'TAR FIN'!$A$1:$O$120,15,0)),0,VLOOKUP($T$495,'TAR FIN'!$A$1:$O$120,15,0))*(1-0.08)</f>
        <v>590.63080000000002</v>
      </c>
      <c r="X495" s="71">
        <f>IF(ISERROR(VLOOKUP($U$495,'TAR FIN'!$A$1:$O$120,15,0)),0,VLOOKUP($U$495,'TAR FIN'!$A$1:$O$120,15,0))*(1-0.08)</f>
        <v>396.40040000000005</v>
      </c>
      <c r="Y495" s="71"/>
      <c r="Z495" s="71">
        <f ca="1">('TUSD BE'!$AM$33+'TUSD BF'!$AM$33+'TUSD CVA'!$AM$33)*1*(1-0.06)</f>
        <v>702.86961706946545</v>
      </c>
      <c r="AA495" s="71">
        <f>('TE BE'!$AA$10+'TE BF'!$AA$10+'TE CVA'!$AA$10)*1*(1-0.06)</f>
        <v>353.15029452578722</v>
      </c>
      <c r="AB495" s="71">
        <f>(SUBSIDIO!$J$495*SUBSIDIO!$V$495)*(0.08)/(1-0.08)</f>
        <v>0</v>
      </c>
      <c r="AC495" s="71">
        <f>((SUBSIDIO!$L$495*SUBSIDIO!$W$495)+(SUBSIDIO!$N$495*SUBSIDIO!$X$495))*(0.08)/(1-0.08)</f>
        <v>194.4880608</v>
      </c>
      <c r="AD495" s="71">
        <f>(SUBSIDIO!$J$495*SUBSIDIO!$Y$495)*(0.06)/(1-0.06)</f>
        <v>0</v>
      </c>
      <c r="AE495" s="71">
        <f ca="1">((SUBSIDIO!$L$495*SUBSIDIO!$Z$495)+(SUBSIDIO!$N$495*SUBSIDIO!$AA$495))*(0.06)/(1-0.06)</f>
        <v>152.74092253243674</v>
      </c>
      <c r="AF495" s="4" t="s">
        <v>1151</v>
      </c>
    </row>
    <row r="496" spans="1:32" ht="11.25" customHeight="1" x14ac:dyDescent="0.25">
      <c r="A496" s="4" t="s">
        <v>21</v>
      </c>
      <c r="B496" s="4" t="s">
        <v>33</v>
      </c>
      <c r="C496" s="4" t="s">
        <v>34</v>
      </c>
      <c r="D496" s="4" t="s">
        <v>47</v>
      </c>
      <c r="E496" s="4" t="s">
        <v>25</v>
      </c>
      <c r="F496" s="4" t="s">
        <v>25</v>
      </c>
      <c r="G496" s="4" t="s">
        <v>25</v>
      </c>
      <c r="H496" s="4" t="s">
        <v>35</v>
      </c>
      <c r="I496" s="5">
        <v>44013</v>
      </c>
      <c r="J496" s="6">
        <v>0</v>
      </c>
      <c r="K496" s="71">
        <v>0</v>
      </c>
      <c r="L496" s="6">
        <v>148.465</v>
      </c>
      <c r="M496" s="71">
        <v>148.465</v>
      </c>
      <c r="N496" s="6">
        <v>148.465</v>
      </c>
      <c r="O496" s="71">
        <v>148.465</v>
      </c>
      <c r="P496" s="6">
        <v>0</v>
      </c>
      <c r="Q496" s="4" t="s">
        <v>26</v>
      </c>
      <c r="R496" s="4">
        <v>0</v>
      </c>
      <c r="S496" s="4">
        <v>0</v>
      </c>
      <c r="T496" s="4">
        <v>27</v>
      </c>
      <c r="U496" s="4">
        <v>81</v>
      </c>
      <c r="V496" s="71">
        <f>IF(ISERROR(VLOOKUP($S$496,'TAR FIN'!$A$1:$O$120,15,0)),0,VLOOKUP($S$496,'TAR FIN'!$A$1:$O$120,15,0))</f>
        <v>0</v>
      </c>
      <c r="W496" s="71">
        <f>IF(ISERROR(VLOOKUP($T$496,'TAR FIN'!$A$1:$O$120,15,0)),0,VLOOKUP($T$496,'TAR FIN'!$A$1:$O$120,15,0))*(1-0.08)</f>
        <v>590.63080000000002</v>
      </c>
      <c r="X496" s="71">
        <f>IF(ISERROR(VLOOKUP($U$496,'TAR FIN'!$A$1:$O$120,15,0)),0,VLOOKUP($U$496,'TAR FIN'!$A$1:$O$120,15,0))*(1-0.08)</f>
        <v>396.40040000000005</v>
      </c>
      <c r="Y496" s="71"/>
      <c r="Z496" s="71">
        <f ca="1">('TUSD BE'!$AM$33+'TUSD BF'!$AM$33+'TUSD CVA'!$AM$33)*1*(1-0.06)</f>
        <v>702.86961706946545</v>
      </c>
      <c r="AA496" s="71">
        <f>('TE BE'!$AA$10+'TE BF'!$AA$10+'TE CVA'!$AA$10)*1*(1-0.06)</f>
        <v>353.15029452578722</v>
      </c>
      <c r="AB496" s="71">
        <f>(SUBSIDIO!$J$496*SUBSIDIO!$V$496)*(0.08)/(1-0.08)</f>
        <v>0</v>
      </c>
      <c r="AC496" s="71">
        <f>((SUBSIDIO!$L$496*SUBSIDIO!$W$496)+(SUBSIDIO!$N$496*SUBSIDIO!$X$496))*(0.08)/(1-0.08)</f>
        <v>12742.572791999999</v>
      </c>
      <c r="AD496" s="71">
        <f>(SUBSIDIO!$J$496*SUBSIDIO!$Y$496)*(0.06)/(1-0.06)</f>
        <v>0</v>
      </c>
      <c r="AE496" s="71">
        <f ca="1">((SUBSIDIO!$L$496*SUBSIDIO!$Z$496)+(SUBSIDIO!$N$496*SUBSIDIO!$AA$496))*(0.06)/(1-0.06)</f>
        <v>10007.361457978035</v>
      </c>
      <c r="AF496" s="4" t="s">
        <v>1151</v>
      </c>
    </row>
    <row r="497" spans="1:32" ht="11.25" customHeight="1" x14ac:dyDescent="0.25">
      <c r="A497" s="4" t="s">
        <v>27</v>
      </c>
      <c r="B497" s="4" t="s">
        <v>33</v>
      </c>
      <c r="C497" s="4" t="s">
        <v>34</v>
      </c>
      <c r="D497" s="4" t="s">
        <v>47</v>
      </c>
      <c r="E497" s="4" t="s">
        <v>25</v>
      </c>
      <c r="F497" s="4" t="s">
        <v>25</v>
      </c>
      <c r="G497" s="4" t="s">
        <v>25</v>
      </c>
      <c r="H497" s="4" t="s">
        <v>35</v>
      </c>
      <c r="I497" s="5">
        <v>44013</v>
      </c>
      <c r="J497" s="6">
        <v>0</v>
      </c>
      <c r="K497" s="71">
        <v>0</v>
      </c>
      <c r="L497" s="6">
        <v>2.633</v>
      </c>
      <c r="M497" s="71">
        <v>2.633</v>
      </c>
      <c r="N497" s="6">
        <v>2.633</v>
      </c>
      <c r="O497" s="71">
        <v>2.633</v>
      </c>
      <c r="P497" s="6">
        <v>0</v>
      </c>
      <c r="Q497" s="4" t="s">
        <v>26</v>
      </c>
      <c r="R497" s="4">
        <v>0</v>
      </c>
      <c r="S497" s="4">
        <v>0</v>
      </c>
      <c r="T497" s="4">
        <v>27</v>
      </c>
      <c r="U497" s="4">
        <v>81</v>
      </c>
      <c r="V497" s="71">
        <f>IF(ISERROR(VLOOKUP($S$497,'TAR FIN'!$A$1:$O$120,15,0)),0,VLOOKUP($S$497,'TAR FIN'!$A$1:$O$120,15,0))</f>
        <v>0</v>
      </c>
      <c r="W497" s="71">
        <f>IF(ISERROR(VLOOKUP($T$497,'TAR FIN'!$A$1:$O$120,15,0)),0,VLOOKUP($T$497,'TAR FIN'!$A$1:$O$120,15,0))*(1-0.08)</f>
        <v>590.63080000000002</v>
      </c>
      <c r="X497" s="71">
        <f>IF(ISERROR(VLOOKUP($U$497,'TAR FIN'!$A$1:$O$120,15,0)),0,VLOOKUP($U$497,'TAR FIN'!$A$1:$O$120,15,0))*(1-0.08)</f>
        <v>396.40040000000005</v>
      </c>
      <c r="Y497" s="71"/>
      <c r="Z497" s="71">
        <f ca="1">('TUSD BE'!$AM$33+'TUSD BF'!$AM$33+'TUSD CVA'!$AM$33)*1*(1-0.06)</f>
        <v>702.86961706946545</v>
      </c>
      <c r="AA497" s="71">
        <f>('TE BE'!$AA$10+'TE BF'!$AA$10+'TE CVA'!$AA$10)*1*(1-0.06)</f>
        <v>353.15029452578722</v>
      </c>
      <c r="AB497" s="71">
        <f>(SUBSIDIO!$J$497*SUBSIDIO!$V$497)*(0.08)/(1-0.08)</f>
        <v>0</v>
      </c>
      <c r="AC497" s="71">
        <f>((SUBSIDIO!$L$497*SUBSIDIO!$W$497)+(SUBSIDIO!$N$497*SUBSIDIO!$X$497))*(0.08)/(1-0.08)</f>
        <v>225.98723039999999</v>
      </c>
      <c r="AD497" s="71">
        <f>(SUBSIDIO!$J$497*SUBSIDIO!$Y$497)*(0.06)/(1-0.06)</f>
        <v>0</v>
      </c>
      <c r="AE497" s="71">
        <f ca="1">((SUBSIDIO!$L$497*SUBSIDIO!$Z$497)+(SUBSIDIO!$N$497*SUBSIDIO!$AA$497))*(0.06)/(1-0.06)</f>
        <v>177.47875067427449</v>
      </c>
      <c r="AF497" s="4" t="s">
        <v>1151</v>
      </c>
    </row>
    <row r="498" spans="1:32" ht="11.25" customHeight="1" x14ac:dyDescent="0.25">
      <c r="A498" s="4" t="s">
        <v>28</v>
      </c>
      <c r="B498" s="4" t="s">
        <v>33</v>
      </c>
      <c r="C498" s="4" t="s">
        <v>34</v>
      </c>
      <c r="D498" s="4" t="s">
        <v>47</v>
      </c>
      <c r="E498" s="4" t="s">
        <v>25</v>
      </c>
      <c r="F498" s="4" t="s">
        <v>25</v>
      </c>
      <c r="G498" s="4" t="s">
        <v>25</v>
      </c>
      <c r="H498" s="4" t="s">
        <v>35</v>
      </c>
      <c r="I498" s="5">
        <v>44013</v>
      </c>
      <c r="J498" s="6">
        <v>0</v>
      </c>
      <c r="K498" s="71">
        <v>0</v>
      </c>
      <c r="L498" s="6">
        <v>24.263000000000002</v>
      </c>
      <c r="M498" s="71">
        <v>24.263000000000002</v>
      </c>
      <c r="N498" s="6">
        <v>24.263000000000002</v>
      </c>
      <c r="O498" s="71">
        <v>24.263000000000002</v>
      </c>
      <c r="P498" s="6">
        <v>0</v>
      </c>
      <c r="Q498" s="4" t="s">
        <v>26</v>
      </c>
      <c r="R498" s="4">
        <v>0</v>
      </c>
      <c r="S498" s="4">
        <v>0</v>
      </c>
      <c r="T498" s="4">
        <v>27</v>
      </c>
      <c r="U498" s="4">
        <v>81</v>
      </c>
      <c r="V498" s="71">
        <f>IF(ISERROR(VLOOKUP($S$498,'TAR FIN'!$A$1:$O$120,15,0)),0,VLOOKUP($S$498,'TAR FIN'!$A$1:$O$120,15,0))</f>
        <v>0</v>
      </c>
      <c r="W498" s="71">
        <f>IF(ISERROR(VLOOKUP($T$498,'TAR FIN'!$A$1:$O$120,15,0)),0,VLOOKUP($T$498,'TAR FIN'!$A$1:$O$120,15,0))*(1-0.08)</f>
        <v>590.63080000000002</v>
      </c>
      <c r="X498" s="71">
        <f>IF(ISERROR(VLOOKUP($U$498,'TAR FIN'!$A$1:$O$120,15,0)),0,VLOOKUP($U$498,'TAR FIN'!$A$1:$O$120,15,0))*(1-0.08)</f>
        <v>396.40040000000005</v>
      </c>
      <c r="Y498" s="71"/>
      <c r="Z498" s="71">
        <f ca="1">('TUSD BE'!$AM$33+'TUSD BF'!$AM$33+'TUSD CVA'!$AM$33)*1*(1-0.06)</f>
        <v>702.86961706946545</v>
      </c>
      <c r="AA498" s="71">
        <f>('TE BE'!$AA$10+'TE BF'!$AA$10+'TE CVA'!$AA$10)*1*(1-0.06)</f>
        <v>353.15029452578722</v>
      </c>
      <c r="AB498" s="71">
        <f>(SUBSIDIO!$J$498*SUBSIDIO!$V$498)*(0.08)/(1-0.08)</f>
        <v>0</v>
      </c>
      <c r="AC498" s="71">
        <f>((SUBSIDIO!$L$498*SUBSIDIO!$W$498)+(SUBSIDIO!$N$498*SUBSIDIO!$X$498))*(0.08)/(1-0.08)</f>
        <v>2082.4641744</v>
      </c>
      <c r="AD498" s="71">
        <f>(SUBSIDIO!$J$498*SUBSIDIO!$Y$498)*(0.06)/(1-0.06)</f>
        <v>0</v>
      </c>
      <c r="AE498" s="71">
        <f ca="1">((SUBSIDIO!$L$498*SUBSIDIO!$Z$498)+(SUBSIDIO!$N$498*SUBSIDIO!$AA$498))*(0.06)/(1-0.06)</f>
        <v>1635.4602839384436</v>
      </c>
      <c r="AF498" s="4" t="s">
        <v>1151</v>
      </c>
    </row>
    <row r="499" spans="1:32" ht="11.25" customHeight="1" x14ac:dyDescent="0.25">
      <c r="A499" s="4" t="s">
        <v>21</v>
      </c>
      <c r="B499" s="4" t="s">
        <v>33</v>
      </c>
      <c r="C499" s="4" t="s">
        <v>34</v>
      </c>
      <c r="D499" s="4" t="s">
        <v>47</v>
      </c>
      <c r="E499" s="4" t="s">
        <v>25</v>
      </c>
      <c r="F499" s="4" t="s">
        <v>25</v>
      </c>
      <c r="G499" s="4" t="s">
        <v>25</v>
      </c>
      <c r="H499" s="4" t="s">
        <v>35</v>
      </c>
      <c r="I499" s="5">
        <v>44044</v>
      </c>
      <c r="J499" s="6">
        <v>0</v>
      </c>
      <c r="K499" s="71">
        <v>0</v>
      </c>
      <c r="L499" s="6">
        <v>159.03899999999999</v>
      </c>
      <c r="M499" s="71">
        <v>159.03899999999999</v>
      </c>
      <c r="N499" s="6">
        <v>159.03899999999999</v>
      </c>
      <c r="O499" s="71">
        <v>159.03899999999999</v>
      </c>
      <c r="P499" s="6">
        <v>0</v>
      </c>
      <c r="Q499" s="4" t="s">
        <v>26</v>
      </c>
      <c r="R499" s="4">
        <v>0</v>
      </c>
      <c r="S499" s="4">
        <v>0</v>
      </c>
      <c r="T499" s="4">
        <v>27</v>
      </c>
      <c r="U499" s="4">
        <v>81</v>
      </c>
      <c r="V499" s="71">
        <f>IF(ISERROR(VLOOKUP($S$499,'TAR FIN'!$A$1:$O$120,15,0)),0,VLOOKUP($S$499,'TAR FIN'!$A$1:$O$120,15,0))</f>
        <v>0</v>
      </c>
      <c r="W499" s="71">
        <f>IF(ISERROR(VLOOKUP($T$499,'TAR FIN'!$A$1:$O$120,15,0)),0,VLOOKUP($T$499,'TAR FIN'!$A$1:$O$120,15,0))*(1-0.08)</f>
        <v>590.63080000000002</v>
      </c>
      <c r="X499" s="71">
        <f>IF(ISERROR(VLOOKUP($U$499,'TAR FIN'!$A$1:$O$120,15,0)),0,VLOOKUP($U$499,'TAR FIN'!$A$1:$O$120,15,0))*(1-0.08)</f>
        <v>396.40040000000005</v>
      </c>
      <c r="Y499" s="71"/>
      <c r="Z499" s="71">
        <f ca="1">('TUSD BE'!$AM$33+'TUSD BF'!$AM$33+'TUSD CVA'!$AM$33)*1*(1-0.06)</f>
        <v>702.86961706946545</v>
      </c>
      <c r="AA499" s="71">
        <f>('TE BE'!$AA$10+'TE BF'!$AA$10+'TE CVA'!$AA$10)*1*(1-0.06)</f>
        <v>353.15029452578722</v>
      </c>
      <c r="AB499" s="71">
        <f>(SUBSIDIO!$J$499*SUBSIDIO!$V$499)*(0.08)/(1-0.08)</f>
        <v>0</v>
      </c>
      <c r="AC499" s="71">
        <f>((SUBSIDIO!$L$499*SUBSIDIO!$W$499)+(SUBSIDIO!$N$499*SUBSIDIO!$X$499))*(0.08)/(1-0.08)</f>
        <v>13650.126523199999</v>
      </c>
      <c r="AD499" s="71">
        <f>(SUBSIDIO!$J$499*SUBSIDIO!$Y$499)*(0.06)/(1-0.06)</f>
        <v>0</v>
      </c>
      <c r="AE499" s="71">
        <f ca="1">((SUBSIDIO!$L$499*SUBSIDIO!$Z$499)+(SUBSIDIO!$N$499*SUBSIDIO!$AA$499))*(0.06)/(1-0.06)</f>
        <v>10720.107492778556</v>
      </c>
      <c r="AF499" s="4" t="s">
        <v>1151</v>
      </c>
    </row>
    <row r="500" spans="1:32" ht="11.25" customHeight="1" x14ac:dyDescent="0.25">
      <c r="A500" s="4" t="s">
        <v>27</v>
      </c>
      <c r="B500" s="4" t="s">
        <v>33</v>
      </c>
      <c r="C500" s="4" t="s">
        <v>34</v>
      </c>
      <c r="D500" s="4" t="s">
        <v>47</v>
      </c>
      <c r="E500" s="4" t="s">
        <v>25</v>
      </c>
      <c r="F500" s="4" t="s">
        <v>25</v>
      </c>
      <c r="G500" s="4" t="s">
        <v>25</v>
      </c>
      <c r="H500" s="4" t="s">
        <v>35</v>
      </c>
      <c r="I500" s="5">
        <v>44044</v>
      </c>
      <c r="J500" s="6">
        <v>0</v>
      </c>
      <c r="K500" s="71">
        <v>0</v>
      </c>
      <c r="L500" s="6">
        <v>7.7350000000000003</v>
      </c>
      <c r="M500" s="71">
        <v>7.7350000000000003</v>
      </c>
      <c r="N500" s="6">
        <v>7.7350000000000003</v>
      </c>
      <c r="O500" s="71">
        <v>7.7350000000000003</v>
      </c>
      <c r="P500" s="6">
        <v>0</v>
      </c>
      <c r="Q500" s="4" t="s">
        <v>26</v>
      </c>
      <c r="R500" s="4">
        <v>0</v>
      </c>
      <c r="S500" s="4">
        <v>0</v>
      </c>
      <c r="T500" s="4">
        <v>27</v>
      </c>
      <c r="U500" s="4">
        <v>81</v>
      </c>
      <c r="V500" s="71">
        <f>IF(ISERROR(VLOOKUP($S$500,'TAR FIN'!$A$1:$O$120,15,0)),0,VLOOKUP($S$500,'TAR FIN'!$A$1:$O$120,15,0))</f>
        <v>0</v>
      </c>
      <c r="W500" s="71">
        <f>IF(ISERROR(VLOOKUP($T$500,'TAR FIN'!$A$1:$O$120,15,0)),0,VLOOKUP($T$500,'TAR FIN'!$A$1:$O$120,15,0))*(1-0.08)</f>
        <v>590.63080000000002</v>
      </c>
      <c r="X500" s="71">
        <f>IF(ISERROR(VLOOKUP($U$500,'TAR FIN'!$A$1:$O$120,15,0)),0,VLOOKUP($U$500,'TAR FIN'!$A$1:$O$120,15,0))*(1-0.08)</f>
        <v>396.40040000000005</v>
      </c>
      <c r="Y500" s="71"/>
      <c r="Z500" s="71">
        <f ca="1">('TUSD BE'!$AM$33+'TUSD BF'!$AM$33+'TUSD CVA'!$AM$33)*1*(1-0.06)</f>
        <v>702.86961706946545</v>
      </c>
      <c r="AA500" s="71">
        <f>('TE BE'!$AA$10+'TE BF'!$AA$10+'TE CVA'!$AA$10)*1*(1-0.06)</f>
        <v>353.15029452578722</v>
      </c>
      <c r="AB500" s="71">
        <f>(SUBSIDIO!$J$500*SUBSIDIO!$V$500)*(0.08)/(1-0.08)</f>
        <v>0</v>
      </c>
      <c r="AC500" s="71">
        <f>((SUBSIDIO!$L$500*SUBSIDIO!$W$500)+(SUBSIDIO!$N$500*SUBSIDIO!$X$500))*(0.08)/(1-0.08)</f>
        <v>663.8857680000001</v>
      </c>
      <c r="AD500" s="71">
        <f>(SUBSIDIO!$J$500*SUBSIDIO!$Y$500)*(0.06)/(1-0.06)</f>
        <v>0</v>
      </c>
      <c r="AE500" s="71">
        <f ca="1">((SUBSIDIO!$L$500*SUBSIDIO!$Z$500)+(SUBSIDIO!$N$500*SUBSIDIO!$AA$500))*(0.06)/(1-0.06)</f>
        <v>521.38174571420939</v>
      </c>
      <c r="AF500" s="4" t="s">
        <v>1151</v>
      </c>
    </row>
    <row r="501" spans="1:32" ht="11.25" customHeight="1" x14ac:dyDescent="0.25">
      <c r="A501" s="4" t="s">
        <v>28</v>
      </c>
      <c r="B501" s="4" t="s">
        <v>33</v>
      </c>
      <c r="C501" s="4" t="s">
        <v>34</v>
      </c>
      <c r="D501" s="4" t="s">
        <v>47</v>
      </c>
      <c r="E501" s="4" t="s">
        <v>25</v>
      </c>
      <c r="F501" s="4" t="s">
        <v>25</v>
      </c>
      <c r="G501" s="4" t="s">
        <v>25</v>
      </c>
      <c r="H501" s="4" t="s">
        <v>35</v>
      </c>
      <c r="I501" s="5">
        <v>44044</v>
      </c>
      <c r="J501" s="6">
        <v>0</v>
      </c>
      <c r="K501" s="71">
        <v>0</v>
      </c>
      <c r="L501" s="6">
        <v>31.681999999999999</v>
      </c>
      <c r="M501" s="71">
        <v>31.681999999999999</v>
      </c>
      <c r="N501" s="6">
        <v>31.681999999999999</v>
      </c>
      <c r="O501" s="71">
        <v>31.681999999999999</v>
      </c>
      <c r="P501" s="6">
        <v>0</v>
      </c>
      <c r="Q501" s="4" t="s">
        <v>26</v>
      </c>
      <c r="R501" s="4">
        <v>0</v>
      </c>
      <c r="S501" s="4">
        <v>0</v>
      </c>
      <c r="T501" s="4">
        <v>27</v>
      </c>
      <c r="U501" s="4">
        <v>81</v>
      </c>
      <c r="V501" s="71">
        <f>IF(ISERROR(VLOOKUP($S$501,'TAR FIN'!$A$1:$O$120,15,0)),0,VLOOKUP($S$501,'TAR FIN'!$A$1:$O$120,15,0))</f>
        <v>0</v>
      </c>
      <c r="W501" s="71">
        <f>IF(ISERROR(VLOOKUP($T$501,'TAR FIN'!$A$1:$O$120,15,0)),0,VLOOKUP($T$501,'TAR FIN'!$A$1:$O$120,15,0))*(1-0.08)</f>
        <v>590.63080000000002</v>
      </c>
      <c r="X501" s="71">
        <f>IF(ISERROR(VLOOKUP($U$501,'TAR FIN'!$A$1:$O$120,15,0)),0,VLOOKUP($U$501,'TAR FIN'!$A$1:$O$120,15,0))*(1-0.08)</f>
        <v>396.40040000000005</v>
      </c>
      <c r="Y501" s="71"/>
      <c r="Z501" s="71">
        <f ca="1">('TUSD BE'!$AM$33+'TUSD BF'!$AM$33+'TUSD CVA'!$AM$33)*1*(1-0.06)</f>
        <v>702.86961706946545</v>
      </c>
      <c r="AA501" s="71">
        <f>('TE BE'!$AA$10+'TE BF'!$AA$10+'TE CVA'!$AA$10)*1*(1-0.06)</f>
        <v>353.15029452578722</v>
      </c>
      <c r="AB501" s="71">
        <f>(SUBSIDIO!$J$501*SUBSIDIO!$V$501)*(0.08)/(1-0.08)</f>
        <v>0</v>
      </c>
      <c r="AC501" s="71">
        <f>((SUBSIDIO!$L$501*SUBSIDIO!$W$501)+(SUBSIDIO!$N$501*SUBSIDIO!$X$501))*(0.08)/(1-0.08)</f>
        <v>2719.2280415999999</v>
      </c>
      <c r="AD501" s="71">
        <f>(SUBSIDIO!$J$501*SUBSIDIO!$Y$501)*(0.06)/(1-0.06)</f>
        <v>0</v>
      </c>
      <c r="AE501" s="71">
        <f ca="1">((SUBSIDIO!$L$501*SUBSIDIO!$Z$501)+(SUBSIDIO!$N$501*SUBSIDIO!$AA$501))*(0.06)/(1-0.06)</f>
        <v>2135.5418833506892</v>
      </c>
      <c r="AF501" s="4" t="s">
        <v>1151</v>
      </c>
    </row>
    <row r="502" spans="1:32" ht="11.25" customHeight="1" x14ac:dyDescent="0.25">
      <c r="A502" s="4" t="s">
        <v>59</v>
      </c>
      <c r="B502" s="4" t="s">
        <v>33</v>
      </c>
      <c r="C502" s="4" t="s">
        <v>34</v>
      </c>
      <c r="D502" s="4" t="s">
        <v>47</v>
      </c>
      <c r="E502" s="4" t="s">
        <v>25</v>
      </c>
      <c r="F502" s="4" t="s">
        <v>25</v>
      </c>
      <c r="G502" s="4" t="s">
        <v>25</v>
      </c>
      <c r="H502" s="4" t="s">
        <v>35</v>
      </c>
      <c r="I502" s="5">
        <v>44075</v>
      </c>
      <c r="J502" s="6">
        <v>0</v>
      </c>
      <c r="K502" s="71">
        <v>0</v>
      </c>
      <c r="L502" s="6">
        <v>159.03899999999999</v>
      </c>
      <c r="M502" s="71">
        <v>159.03899999999999</v>
      </c>
      <c r="N502" s="6">
        <v>159.03899999999999</v>
      </c>
      <c r="O502" s="71">
        <v>159.03899999999999</v>
      </c>
      <c r="P502" s="6">
        <v>0</v>
      </c>
      <c r="Q502" s="4" t="s">
        <v>26</v>
      </c>
      <c r="R502" s="4">
        <v>0</v>
      </c>
      <c r="S502" s="4">
        <v>0</v>
      </c>
      <c r="T502" s="4">
        <v>27</v>
      </c>
      <c r="U502" s="4">
        <v>81</v>
      </c>
      <c r="V502" s="71">
        <f>IF(ISERROR(VLOOKUP($S$502,'TAR FIN'!$A$1:$O$120,15,0)),0,VLOOKUP($S$502,'TAR FIN'!$A$1:$O$120,15,0))</f>
        <v>0</v>
      </c>
      <c r="W502" s="71">
        <f>IF(ISERROR(VLOOKUP($T$502,'TAR FIN'!$A$1:$O$120,15,0)),0,VLOOKUP($T$502,'TAR FIN'!$A$1:$O$120,15,0))*(1-0.08)</f>
        <v>590.63080000000002</v>
      </c>
      <c r="X502" s="71">
        <f>IF(ISERROR(VLOOKUP($U$502,'TAR FIN'!$A$1:$O$120,15,0)),0,VLOOKUP($U$502,'TAR FIN'!$A$1:$O$120,15,0))*(1-0.08)</f>
        <v>396.40040000000005</v>
      </c>
      <c r="Y502" s="71"/>
      <c r="Z502" s="71">
        <f ca="1">('TUSD BE'!$AM$33+'TUSD BF'!$AM$33+'TUSD CVA'!$AM$33)*1*(1-0.06)</f>
        <v>702.86961706946545</v>
      </c>
      <c r="AA502" s="71">
        <f>('TE BE'!$AA$10+'TE BF'!$AA$10+'TE CVA'!$AA$10)*1*(1-0.06)</f>
        <v>353.15029452578722</v>
      </c>
      <c r="AB502" s="71">
        <f>(SUBSIDIO!$J$502*SUBSIDIO!$V$502)*(0.08)/(1-0.08)</f>
        <v>0</v>
      </c>
      <c r="AC502" s="71">
        <f>((SUBSIDIO!$L$502*SUBSIDIO!$W$502)+(SUBSIDIO!$N$502*SUBSIDIO!$X$502))*(0.08)/(1-0.08)</f>
        <v>13650.126523199999</v>
      </c>
      <c r="AD502" s="71">
        <f>(SUBSIDIO!$J$502*SUBSIDIO!$Y$502)*(0.06)/(1-0.06)</f>
        <v>0</v>
      </c>
      <c r="AE502" s="71">
        <f ca="1">((SUBSIDIO!$L$502*SUBSIDIO!$Z$502)+(SUBSIDIO!$N$502*SUBSIDIO!$AA$502))*(0.06)/(1-0.06)</f>
        <v>10720.107492778556</v>
      </c>
      <c r="AF502" s="4" t="s">
        <v>1151</v>
      </c>
    </row>
    <row r="503" spans="1:32" ht="11.25" customHeight="1" x14ac:dyDescent="0.25">
      <c r="A503" s="4" t="s">
        <v>59</v>
      </c>
      <c r="B503" s="4" t="s">
        <v>33</v>
      </c>
      <c r="C503" s="4" t="s">
        <v>34</v>
      </c>
      <c r="D503" s="4" t="s">
        <v>47</v>
      </c>
      <c r="E503" s="4" t="s">
        <v>25</v>
      </c>
      <c r="F503" s="4" t="s">
        <v>25</v>
      </c>
      <c r="G503" s="4" t="s">
        <v>25</v>
      </c>
      <c r="H503" s="4" t="s">
        <v>35</v>
      </c>
      <c r="I503" s="5">
        <v>44075</v>
      </c>
      <c r="J503" s="6">
        <v>0</v>
      </c>
      <c r="K503" s="71">
        <v>0</v>
      </c>
      <c r="L503" s="6">
        <v>7.7350000000000003</v>
      </c>
      <c r="M503" s="71">
        <v>7.7350000000000003</v>
      </c>
      <c r="N503" s="6">
        <v>7.7350000000000003</v>
      </c>
      <c r="O503" s="71">
        <v>7.7350000000000003</v>
      </c>
      <c r="P503" s="6">
        <v>0</v>
      </c>
      <c r="Q503" s="4" t="s">
        <v>26</v>
      </c>
      <c r="R503" s="4">
        <v>0</v>
      </c>
      <c r="S503" s="4">
        <v>0</v>
      </c>
      <c r="T503" s="4">
        <v>27</v>
      </c>
      <c r="U503" s="4">
        <v>81</v>
      </c>
      <c r="V503" s="71">
        <f>IF(ISERROR(VLOOKUP($S$503,'TAR FIN'!$A$1:$O$120,15,0)),0,VLOOKUP($S$503,'TAR FIN'!$A$1:$O$120,15,0))</f>
        <v>0</v>
      </c>
      <c r="W503" s="71">
        <f>IF(ISERROR(VLOOKUP($T$503,'TAR FIN'!$A$1:$O$120,15,0)),0,VLOOKUP($T$503,'TAR FIN'!$A$1:$O$120,15,0))*(1-0.08)</f>
        <v>590.63080000000002</v>
      </c>
      <c r="X503" s="71">
        <f>IF(ISERROR(VLOOKUP($U$503,'TAR FIN'!$A$1:$O$120,15,0)),0,VLOOKUP($U$503,'TAR FIN'!$A$1:$O$120,15,0))*(1-0.08)</f>
        <v>396.40040000000005</v>
      </c>
      <c r="Y503" s="71"/>
      <c r="Z503" s="71">
        <f ca="1">('TUSD BE'!$AM$33+'TUSD BF'!$AM$33+'TUSD CVA'!$AM$33)*1*(1-0.06)</f>
        <v>702.86961706946545</v>
      </c>
      <c r="AA503" s="71">
        <f>('TE BE'!$AA$10+'TE BF'!$AA$10+'TE CVA'!$AA$10)*1*(1-0.06)</f>
        <v>353.15029452578722</v>
      </c>
      <c r="AB503" s="71">
        <f>(SUBSIDIO!$J$503*SUBSIDIO!$V$503)*(0.08)/(1-0.08)</f>
        <v>0</v>
      </c>
      <c r="AC503" s="71">
        <f>((SUBSIDIO!$L$503*SUBSIDIO!$W$503)+(SUBSIDIO!$N$503*SUBSIDIO!$X$503))*(0.08)/(1-0.08)</f>
        <v>663.8857680000001</v>
      </c>
      <c r="AD503" s="71">
        <f>(SUBSIDIO!$J$503*SUBSIDIO!$Y$503)*(0.06)/(1-0.06)</f>
        <v>0</v>
      </c>
      <c r="AE503" s="71">
        <f ca="1">((SUBSIDIO!$L$503*SUBSIDIO!$Z$503)+(SUBSIDIO!$N$503*SUBSIDIO!$AA$503))*(0.06)/(1-0.06)</f>
        <v>521.38174571420939</v>
      </c>
      <c r="AF503" s="4" t="s">
        <v>1151</v>
      </c>
    </row>
    <row r="504" spans="1:32" ht="11.25" customHeight="1" x14ac:dyDescent="0.25">
      <c r="A504" s="4" t="s">
        <v>59</v>
      </c>
      <c r="B504" s="4" t="s">
        <v>33</v>
      </c>
      <c r="C504" s="4" t="s">
        <v>34</v>
      </c>
      <c r="D504" s="4" t="s">
        <v>47</v>
      </c>
      <c r="E504" s="4" t="s">
        <v>25</v>
      </c>
      <c r="F504" s="4" t="s">
        <v>25</v>
      </c>
      <c r="G504" s="4" t="s">
        <v>25</v>
      </c>
      <c r="H504" s="4" t="s">
        <v>35</v>
      </c>
      <c r="I504" s="5">
        <v>44075</v>
      </c>
      <c r="J504" s="6">
        <v>0</v>
      </c>
      <c r="K504" s="71">
        <v>0</v>
      </c>
      <c r="L504" s="6">
        <v>31.681999999999999</v>
      </c>
      <c r="M504" s="71">
        <v>31.681999999999999</v>
      </c>
      <c r="N504" s="6">
        <v>31.681999999999999</v>
      </c>
      <c r="O504" s="71">
        <v>31.681999999999999</v>
      </c>
      <c r="P504" s="6">
        <v>0</v>
      </c>
      <c r="Q504" s="4" t="s">
        <v>26</v>
      </c>
      <c r="R504" s="4">
        <v>0</v>
      </c>
      <c r="S504" s="4">
        <v>0</v>
      </c>
      <c r="T504" s="4">
        <v>27</v>
      </c>
      <c r="U504" s="4">
        <v>81</v>
      </c>
      <c r="V504" s="71">
        <f>IF(ISERROR(VLOOKUP($S$504,'TAR FIN'!$A$1:$O$120,15,0)),0,VLOOKUP($S$504,'TAR FIN'!$A$1:$O$120,15,0))</f>
        <v>0</v>
      </c>
      <c r="W504" s="71">
        <f>IF(ISERROR(VLOOKUP($T$504,'TAR FIN'!$A$1:$O$120,15,0)),0,VLOOKUP($T$504,'TAR FIN'!$A$1:$O$120,15,0))*(1-0.08)</f>
        <v>590.63080000000002</v>
      </c>
      <c r="X504" s="71">
        <f>IF(ISERROR(VLOOKUP($U$504,'TAR FIN'!$A$1:$O$120,15,0)),0,VLOOKUP($U$504,'TAR FIN'!$A$1:$O$120,15,0))*(1-0.08)</f>
        <v>396.40040000000005</v>
      </c>
      <c r="Y504" s="71"/>
      <c r="Z504" s="71">
        <f ca="1">('TUSD BE'!$AM$33+'TUSD BF'!$AM$33+'TUSD CVA'!$AM$33)*1*(1-0.06)</f>
        <v>702.86961706946545</v>
      </c>
      <c r="AA504" s="71">
        <f>('TE BE'!$AA$10+'TE BF'!$AA$10+'TE CVA'!$AA$10)*1*(1-0.06)</f>
        <v>353.15029452578722</v>
      </c>
      <c r="AB504" s="71">
        <f>(SUBSIDIO!$J$504*SUBSIDIO!$V$504)*(0.08)/(1-0.08)</f>
        <v>0</v>
      </c>
      <c r="AC504" s="71">
        <f>((SUBSIDIO!$L$504*SUBSIDIO!$W$504)+(SUBSIDIO!$N$504*SUBSIDIO!$X$504))*(0.08)/(1-0.08)</f>
        <v>2719.2280415999999</v>
      </c>
      <c r="AD504" s="71">
        <f>(SUBSIDIO!$J$504*SUBSIDIO!$Y$504)*(0.06)/(1-0.06)</f>
        <v>0</v>
      </c>
      <c r="AE504" s="71">
        <f ca="1">((SUBSIDIO!$L$504*SUBSIDIO!$Z$504)+(SUBSIDIO!$N$504*SUBSIDIO!$AA$504))*(0.06)/(1-0.06)</f>
        <v>2135.5418833506892</v>
      </c>
      <c r="AF504" s="4" t="s">
        <v>1151</v>
      </c>
    </row>
    <row r="505" spans="1:32" ht="11.25" customHeight="1" x14ac:dyDescent="0.25">
      <c r="A505" s="4" t="s">
        <v>21</v>
      </c>
      <c r="B505" s="4" t="s">
        <v>33</v>
      </c>
      <c r="C505" s="4" t="s">
        <v>34</v>
      </c>
      <c r="D505" s="4" t="s">
        <v>52</v>
      </c>
      <c r="E505" s="4" t="s">
        <v>53</v>
      </c>
      <c r="F505" s="4" t="s">
        <v>25</v>
      </c>
      <c r="G505" s="4" t="s">
        <v>25</v>
      </c>
      <c r="H505" s="4" t="s">
        <v>36</v>
      </c>
      <c r="I505" s="5">
        <v>43739</v>
      </c>
      <c r="J505" s="6">
        <v>0</v>
      </c>
      <c r="K505" s="71">
        <v>0</v>
      </c>
      <c r="L505" s="6">
        <v>5354.7449999999999</v>
      </c>
      <c r="M505" s="71">
        <v>5354.7449999999999</v>
      </c>
      <c r="N505" s="6">
        <v>5354.7449999999999</v>
      </c>
      <c r="O505" s="71">
        <v>5354.7449999999999</v>
      </c>
      <c r="P505" s="6">
        <v>0</v>
      </c>
      <c r="Q505" s="4" t="s">
        <v>26</v>
      </c>
      <c r="R505" s="4">
        <v>0</v>
      </c>
      <c r="S505" s="4">
        <v>0</v>
      </c>
      <c r="T505" s="4">
        <v>28</v>
      </c>
      <c r="U505" s="4">
        <v>82</v>
      </c>
      <c r="V505" s="71">
        <f>IF(ISERROR(VLOOKUP($S$505,'TAR FIN'!$A$1:$O$120,15,0)),0,VLOOKUP($S$505,'TAR FIN'!$A$1:$O$120,15,0))</f>
        <v>0</v>
      </c>
      <c r="W505" s="71">
        <f>IF(ISERROR(VLOOKUP($T$505,'TAR FIN'!$A$1:$O$120,15,0)),0,VLOOKUP($T$505,'TAR FIN'!$A$1:$O$120,15,0))*(1-0.12)</f>
        <v>74.316000000000003</v>
      </c>
      <c r="X505" s="71">
        <f>IF(ISERROR(VLOOKUP($U$505,'TAR FIN'!$A$1:$O$120,15,0)),0,VLOOKUP($U$505,'TAR FIN'!$A$1:$O$120,15,0))*(1-0.12)</f>
        <v>225.61439999999999</v>
      </c>
      <c r="Y505" s="71"/>
      <c r="Z505" s="71">
        <f ca="1">('TUSD BE'!$AM$34+'TUSD BF'!$AM$34+'TUSD CVA'!$AM$34)*1*(1-0.09)</f>
        <v>79.642619388381775</v>
      </c>
      <c r="AA505" s="71">
        <f>('TE BE'!$AA$11+'TE BF'!$AA$11+'TE CVA'!$AA$11)*1*(1-0.09)</f>
        <v>210.05913056249776</v>
      </c>
      <c r="AB505" s="71">
        <f>(SUBSIDIO!$J$505*SUBSIDIO!$V$505)*(0.12)/(1-0.12)</f>
        <v>0</v>
      </c>
      <c r="AC505" s="71">
        <f>((SUBSIDIO!$L$505*SUBSIDIO!$W$505)+(SUBSIDIO!$N$505*SUBSIDIO!$X$505))*(0.12)/(1-0.12)</f>
        <v>219006.928602</v>
      </c>
      <c r="AD505" s="71">
        <f>(SUBSIDIO!$J$505*SUBSIDIO!$Y$505)*(0.09)/(1-0.09)</f>
        <v>0</v>
      </c>
      <c r="AE505" s="71">
        <f ca="1">((SUBSIDIO!$L$505*SUBSIDIO!$Z$505)+(SUBSIDIO!$N$505*SUBSIDIO!$AA$505))*(0.09)/(1-0.09)</f>
        <v>153423.197509522</v>
      </c>
      <c r="AF505" s="4" t="s">
        <v>1148</v>
      </c>
    </row>
    <row r="506" spans="1:32" ht="11.25" customHeight="1" x14ac:dyDescent="0.25">
      <c r="A506" s="4" t="s">
        <v>21</v>
      </c>
      <c r="B506" s="4" t="s">
        <v>33</v>
      </c>
      <c r="C506" s="4" t="s">
        <v>34</v>
      </c>
      <c r="D506" s="4" t="s">
        <v>52</v>
      </c>
      <c r="E506" s="4" t="s">
        <v>53</v>
      </c>
      <c r="F506" s="4" t="s">
        <v>25</v>
      </c>
      <c r="G506" s="4" t="s">
        <v>25</v>
      </c>
      <c r="H506" s="4" t="s">
        <v>36</v>
      </c>
      <c r="I506" s="5">
        <v>43770</v>
      </c>
      <c r="J506" s="6">
        <v>0</v>
      </c>
      <c r="K506" s="71">
        <v>0</v>
      </c>
      <c r="L506" s="6">
        <v>5316.1350000000002</v>
      </c>
      <c r="M506" s="71">
        <v>5316.1350000000002</v>
      </c>
      <c r="N506" s="6">
        <v>5316.1350000000002</v>
      </c>
      <c r="O506" s="71">
        <v>5316.1350000000002</v>
      </c>
      <c r="P506" s="6">
        <v>0</v>
      </c>
      <c r="Q506" s="4" t="s">
        <v>26</v>
      </c>
      <c r="R506" s="4">
        <v>0</v>
      </c>
      <c r="S506" s="4">
        <v>0</v>
      </c>
      <c r="T506" s="4">
        <v>28</v>
      </c>
      <c r="U506" s="4">
        <v>82</v>
      </c>
      <c r="V506" s="71">
        <f>IF(ISERROR(VLOOKUP($S$506,'TAR FIN'!$A$1:$O$120,15,0)),0,VLOOKUP($S$506,'TAR FIN'!$A$1:$O$120,15,0))</f>
        <v>0</v>
      </c>
      <c r="W506" s="71">
        <f>IF(ISERROR(VLOOKUP($T$506,'TAR FIN'!$A$1:$O$120,15,0)),0,VLOOKUP($T$506,'TAR FIN'!$A$1:$O$120,15,0))*(1-0.12)</f>
        <v>74.316000000000003</v>
      </c>
      <c r="X506" s="71">
        <f>IF(ISERROR(VLOOKUP($U$506,'TAR FIN'!$A$1:$O$120,15,0)),0,VLOOKUP($U$506,'TAR FIN'!$A$1:$O$120,15,0))*(1-0.12)</f>
        <v>225.61439999999999</v>
      </c>
      <c r="Y506" s="71"/>
      <c r="Z506" s="71">
        <f ca="1">('TUSD BE'!$AM$34+'TUSD BF'!$AM$34+'TUSD CVA'!$AM$34)*1*(1-0.09)</f>
        <v>79.642619388381775</v>
      </c>
      <c r="AA506" s="71">
        <f>('TE BE'!$AA$11+'TE BF'!$AA$11+'TE CVA'!$AA$11)*1*(1-0.09)</f>
        <v>210.05913056249776</v>
      </c>
      <c r="AB506" s="71">
        <f>(SUBSIDIO!$J$506*SUBSIDIO!$V$506)*(0.12)/(1-0.12)</f>
        <v>0</v>
      </c>
      <c r="AC506" s="71">
        <f>((SUBSIDIO!$L$506*SUBSIDIO!$W$506)+(SUBSIDIO!$N$506*SUBSIDIO!$X$506))*(0.12)/(1-0.12)</f>
        <v>217427.79504599998</v>
      </c>
      <c r="AD506" s="71">
        <f>(SUBSIDIO!$J$506*SUBSIDIO!$Y$506)*(0.09)/(1-0.09)</f>
        <v>0</v>
      </c>
      <c r="AE506" s="71">
        <f ca="1">((SUBSIDIO!$L$506*SUBSIDIO!$Z$506)+(SUBSIDIO!$N$506*SUBSIDIO!$AA$506))*(0.09)/(1-0.09)</f>
        <v>152316.95068435243</v>
      </c>
      <c r="AF506" s="4" t="s">
        <v>1148</v>
      </c>
    </row>
    <row r="507" spans="1:32" ht="11.25" customHeight="1" x14ac:dyDescent="0.25">
      <c r="A507" s="4" t="s">
        <v>21</v>
      </c>
      <c r="B507" s="4" t="s">
        <v>33</v>
      </c>
      <c r="C507" s="4" t="s">
        <v>34</v>
      </c>
      <c r="D507" s="4" t="s">
        <v>52</v>
      </c>
      <c r="E507" s="4" t="s">
        <v>53</v>
      </c>
      <c r="F507" s="4" t="s">
        <v>25</v>
      </c>
      <c r="G507" s="4" t="s">
        <v>25</v>
      </c>
      <c r="H507" s="4" t="s">
        <v>36</v>
      </c>
      <c r="I507" s="5">
        <v>43800</v>
      </c>
      <c r="J507" s="6">
        <v>0</v>
      </c>
      <c r="K507" s="71">
        <v>0</v>
      </c>
      <c r="L507" s="6">
        <v>4739.692</v>
      </c>
      <c r="M507" s="71">
        <v>4739.692</v>
      </c>
      <c r="N507" s="6">
        <v>4739.692</v>
      </c>
      <c r="O507" s="71">
        <v>4739.692</v>
      </c>
      <c r="P507" s="6">
        <v>0</v>
      </c>
      <c r="Q507" s="4" t="s">
        <v>26</v>
      </c>
      <c r="R507" s="4">
        <v>0</v>
      </c>
      <c r="S507" s="4">
        <v>0</v>
      </c>
      <c r="T507" s="4">
        <v>28</v>
      </c>
      <c r="U507" s="4">
        <v>82</v>
      </c>
      <c r="V507" s="71">
        <f>IF(ISERROR(VLOOKUP($S$507,'TAR FIN'!$A$1:$O$120,15,0)),0,VLOOKUP($S$507,'TAR FIN'!$A$1:$O$120,15,0))</f>
        <v>0</v>
      </c>
      <c r="W507" s="71">
        <f>IF(ISERROR(VLOOKUP($T$507,'TAR FIN'!$A$1:$O$120,15,0)),0,VLOOKUP($T$507,'TAR FIN'!$A$1:$O$120,15,0))*(1-0.12)</f>
        <v>74.316000000000003</v>
      </c>
      <c r="X507" s="71">
        <f>IF(ISERROR(VLOOKUP($U$507,'TAR FIN'!$A$1:$O$120,15,0)),0,VLOOKUP($U$507,'TAR FIN'!$A$1:$O$120,15,0))*(1-0.12)</f>
        <v>225.61439999999999</v>
      </c>
      <c r="Y507" s="71"/>
      <c r="Z507" s="71">
        <f ca="1">('TUSD BE'!$AM$34+'TUSD BF'!$AM$34+'TUSD CVA'!$AM$34)*1*(1-0.09)</f>
        <v>79.642619388381775</v>
      </c>
      <c r="AA507" s="71">
        <f>('TE BE'!$AA$11+'TE BF'!$AA$11+'TE CVA'!$AA$11)*1*(1-0.09)</f>
        <v>210.05913056249776</v>
      </c>
      <c r="AB507" s="71">
        <f>(SUBSIDIO!$J$507*SUBSIDIO!$V$507)*(0.12)/(1-0.12)</f>
        <v>0</v>
      </c>
      <c r="AC507" s="71">
        <f>((SUBSIDIO!$L$507*SUBSIDIO!$W$507)+(SUBSIDIO!$N$507*SUBSIDIO!$X$507))*(0.12)/(1-0.12)</f>
        <v>193851.50692319998</v>
      </c>
      <c r="AD507" s="71">
        <f>(SUBSIDIO!$J$507*SUBSIDIO!$Y$507)*(0.09)/(1-0.09)</f>
        <v>0</v>
      </c>
      <c r="AE507" s="71">
        <f ca="1">((SUBSIDIO!$L$507*SUBSIDIO!$Z$507)+(SUBSIDIO!$N$507*SUBSIDIO!$AA$507))*(0.09)/(1-0.09)</f>
        <v>135800.80878740281</v>
      </c>
      <c r="AF507" s="4" t="s">
        <v>1148</v>
      </c>
    </row>
    <row r="508" spans="1:32" ht="11.25" customHeight="1" x14ac:dyDescent="0.25">
      <c r="A508" s="4" t="s">
        <v>21</v>
      </c>
      <c r="B508" s="4" t="s">
        <v>33</v>
      </c>
      <c r="C508" s="4" t="s">
        <v>34</v>
      </c>
      <c r="D508" s="4" t="s">
        <v>52</v>
      </c>
      <c r="E508" s="4" t="s">
        <v>53</v>
      </c>
      <c r="F508" s="4" t="s">
        <v>25</v>
      </c>
      <c r="G508" s="4" t="s">
        <v>25</v>
      </c>
      <c r="H508" s="4" t="s">
        <v>36</v>
      </c>
      <c r="I508" s="5">
        <v>43831</v>
      </c>
      <c r="J508" s="6">
        <v>0</v>
      </c>
      <c r="K508" s="71">
        <v>0</v>
      </c>
      <c r="L508" s="6">
        <v>5425.13</v>
      </c>
      <c r="M508" s="71">
        <v>5425.13</v>
      </c>
      <c r="N508" s="6">
        <v>5425.13</v>
      </c>
      <c r="O508" s="71">
        <v>5425.13</v>
      </c>
      <c r="P508" s="6">
        <v>0</v>
      </c>
      <c r="Q508" s="4" t="s">
        <v>26</v>
      </c>
      <c r="R508" s="4">
        <v>0</v>
      </c>
      <c r="S508" s="4">
        <v>0</v>
      </c>
      <c r="T508" s="4">
        <v>28</v>
      </c>
      <c r="U508" s="4">
        <v>82</v>
      </c>
      <c r="V508" s="71">
        <f>IF(ISERROR(VLOOKUP($S$508,'TAR FIN'!$A$1:$O$120,15,0)),0,VLOOKUP($S$508,'TAR FIN'!$A$1:$O$120,15,0))</f>
        <v>0</v>
      </c>
      <c r="W508" s="71">
        <f>IF(ISERROR(VLOOKUP($T$508,'TAR FIN'!$A$1:$O$120,15,0)),0,VLOOKUP($T$508,'TAR FIN'!$A$1:$O$120,15,0))*(1-0.12)</f>
        <v>74.316000000000003</v>
      </c>
      <c r="X508" s="71">
        <f>IF(ISERROR(VLOOKUP($U$508,'TAR FIN'!$A$1:$O$120,15,0)),0,VLOOKUP($U$508,'TAR FIN'!$A$1:$O$120,15,0))*(1-0.12)</f>
        <v>225.61439999999999</v>
      </c>
      <c r="Y508" s="71"/>
      <c r="Z508" s="71">
        <f ca="1">('TUSD BE'!$AM$34+'TUSD BF'!$AM$34+'TUSD CVA'!$AM$34)*1*(1-0.09)</f>
        <v>79.642619388381775</v>
      </c>
      <c r="AA508" s="71">
        <f>('TE BE'!$AA$11+'TE BF'!$AA$11+'TE CVA'!$AA$11)*1*(1-0.09)</f>
        <v>210.05913056249776</v>
      </c>
      <c r="AB508" s="71">
        <f>(SUBSIDIO!$J$508*SUBSIDIO!$V$508)*(0.12)/(1-0.12)</f>
        <v>0</v>
      </c>
      <c r="AC508" s="71">
        <f>((SUBSIDIO!$L$508*SUBSIDIO!$W$508)+(SUBSIDIO!$N$508*SUBSIDIO!$X$508))*(0.12)/(1-0.12)</f>
        <v>221885.64694800001</v>
      </c>
      <c r="AD508" s="71">
        <f>(SUBSIDIO!$J$508*SUBSIDIO!$Y$508)*(0.09)/(1-0.09)</f>
        <v>0</v>
      </c>
      <c r="AE508" s="71">
        <f ca="1">((SUBSIDIO!$L$508*SUBSIDIO!$Z$508)+(SUBSIDIO!$N$508*SUBSIDIO!$AA$508))*(0.09)/(1-0.09)</f>
        <v>155439.85596043005</v>
      </c>
      <c r="AF508" s="4" t="s">
        <v>1148</v>
      </c>
    </row>
    <row r="509" spans="1:32" ht="11.25" customHeight="1" x14ac:dyDescent="0.25">
      <c r="A509" s="4" t="s">
        <v>21</v>
      </c>
      <c r="B509" s="4" t="s">
        <v>33</v>
      </c>
      <c r="C509" s="4" t="s">
        <v>34</v>
      </c>
      <c r="D509" s="4" t="s">
        <v>52</v>
      </c>
      <c r="E509" s="4" t="s">
        <v>53</v>
      </c>
      <c r="F509" s="4" t="s">
        <v>25</v>
      </c>
      <c r="G509" s="4" t="s">
        <v>25</v>
      </c>
      <c r="H509" s="4" t="s">
        <v>36</v>
      </c>
      <c r="I509" s="5">
        <v>43862</v>
      </c>
      <c r="J509" s="6">
        <v>0</v>
      </c>
      <c r="K509" s="71">
        <v>0</v>
      </c>
      <c r="L509" s="6">
        <v>5529.4539999999997</v>
      </c>
      <c r="M509" s="71">
        <v>5529.4539999999997</v>
      </c>
      <c r="N509" s="6">
        <v>5529.4539999999997</v>
      </c>
      <c r="O509" s="71">
        <v>5529.4539999999997</v>
      </c>
      <c r="P509" s="6">
        <v>0</v>
      </c>
      <c r="Q509" s="4" t="s">
        <v>26</v>
      </c>
      <c r="R509" s="4">
        <v>0</v>
      </c>
      <c r="S509" s="4">
        <v>0</v>
      </c>
      <c r="T509" s="4">
        <v>28</v>
      </c>
      <c r="U509" s="4">
        <v>82</v>
      </c>
      <c r="V509" s="71">
        <f>IF(ISERROR(VLOOKUP($S$509,'TAR FIN'!$A$1:$O$120,15,0)),0,VLOOKUP($S$509,'TAR FIN'!$A$1:$O$120,15,0))</f>
        <v>0</v>
      </c>
      <c r="W509" s="71">
        <f>IF(ISERROR(VLOOKUP($T$509,'TAR FIN'!$A$1:$O$120,15,0)),0,VLOOKUP($T$509,'TAR FIN'!$A$1:$O$120,15,0))*(1-0.12)</f>
        <v>74.316000000000003</v>
      </c>
      <c r="X509" s="71">
        <f>IF(ISERROR(VLOOKUP($U$509,'TAR FIN'!$A$1:$O$120,15,0)),0,VLOOKUP($U$509,'TAR FIN'!$A$1:$O$120,15,0))*(1-0.12)</f>
        <v>225.61439999999999</v>
      </c>
      <c r="Y509" s="71"/>
      <c r="Z509" s="71">
        <f ca="1">('TUSD BE'!$AM$34+'TUSD BF'!$AM$34+'TUSD CVA'!$AM$34)*1*(1-0.09)</f>
        <v>79.642619388381775</v>
      </c>
      <c r="AA509" s="71">
        <f>('TE BE'!$AA$11+'TE BF'!$AA$11+'TE CVA'!$AA$11)*1*(1-0.09)</f>
        <v>210.05913056249776</v>
      </c>
      <c r="AB509" s="71">
        <f>(SUBSIDIO!$J$509*SUBSIDIO!$V$509)*(0.12)/(1-0.12)</f>
        <v>0</v>
      </c>
      <c r="AC509" s="71">
        <f>((SUBSIDIO!$L$509*SUBSIDIO!$W$509)+(SUBSIDIO!$N$509*SUBSIDIO!$X$509))*(0.12)/(1-0.12)</f>
        <v>226152.45681839998</v>
      </c>
      <c r="AD509" s="71">
        <f>(SUBSIDIO!$J$509*SUBSIDIO!$Y$509)*(0.09)/(1-0.09)</f>
        <v>0</v>
      </c>
      <c r="AE509" s="71">
        <f ca="1">((SUBSIDIO!$L$509*SUBSIDIO!$Z$509)+(SUBSIDIO!$N$509*SUBSIDIO!$AA$509))*(0.09)/(1-0.09)</f>
        <v>158428.92857863751</v>
      </c>
      <c r="AF509" s="4" t="s">
        <v>1148</v>
      </c>
    </row>
    <row r="510" spans="1:32" ht="11.25" customHeight="1" x14ac:dyDescent="0.25">
      <c r="A510" s="4" t="s">
        <v>21</v>
      </c>
      <c r="B510" s="4" t="s">
        <v>33</v>
      </c>
      <c r="C510" s="4" t="s">
        <v>34</v>
      </c>
      <c r="D510" s="4" t="s">
        <v>52</v>
      </c>
      <c r="E510" s="4" t="s">
        <v>53</v>
      </c>
      <c r="F510" s="4" t="s">
        <v>25</v>
      </c>
      <c r="G510" s="4" t="s">
        <v>25</v>
      </c>
      <c r="H510" s="4" t="s">
        <v>36</v>
      </c>
      <c r="I510" s="5">
        <v>43891</v>
      </c>
      <c r="J510" s="6">
        <v>0</v>
      </c>
      <c r="K510" s="71">
        <v>0</v>
      </c>
      <c r="L510" s="6">
        <v>5158.1980000000003</v>
      </c>
      <c r="M510" s="71">
        <v>5158.1980000000003</v>
      </c>
      <c r="N510" s="6">
        <v>5158.1980000000003</v>
      </c>
      <c r="O510" s="71">
        <v>5158.1980000000003</v>
      </c>
      <c r="P510" s="6">
        <v>0</v>
      </c>
      <c r="Q510" s="4" t="s">
        <v>26</v>
      </c>
      <c r="R510" s="4">
        <v>0</v>
      </c>
      <c r="S510" s="4">
        <v>0</v>
      </c>
      <c r="T510" s="4">
        <v>28</v>
      </c>
      <c r="U510" s="4">
        <v>82</v>
      </c>
      <c r="V510" s="71">
        <f>IF(ISERROR(VLOOKUP($S$510,'TAR FIN'!$A$1:$O$120,15,0)),0,VLOOKUP($S$510,'TAR FIN'!$A$1:$O$120,15,0))</f>
        <v>0</v>
      </c>
      <c r="W510" s="71">
        <f>IF(ISERROR(VLOOKUP($T$510,'TAR FIN'!$A$1:$O$120,15,0)),0,VLOOKUP($T$510,'TAR FIN'!$A$1:$O$120,15,0))*(1-0.12)</f>
        <v>74.316000000000003</v>
      </c>
      <c r="X510" s="71">
        <f>IF(ISERROR(VLOOKUP($U$510,'TAR FIN'!$A$1:$O$120,15,0)),0,VLOOKUP($U$510,'TAR FIN'!$A$1:$O$120,15,0))*(1-0.12)</f>
        <v>225.61439999999999</v>
      </c>
      <c r="Y510" s="71"/>
      <c r="Z510" s="71">
        <f ca="1">('TUSD BE'!$AM$34+'TUSD BF'!$AM$34+'TUSD CVA'!$AM$34)*1*(1-0.09)</f>
        <v>79.642619388381775</v>
      </c>
      <c r="AA510" s="71">
        <f>('TE BE'!$AA$11+'TE BF'!$AA$11+'TE CVA'!$AA$11)*1*(1-0.09)</f>
        <v>210.05913056249776</v>
      </c>
      <c r="AB510" s="71">
        <f>(SUBSIDIO!$J$510*SUBSIDIO!$V$510)*(0.12)/(1-0.12)</f>
        <v>0</v>
      </c>
      <c r="AC510" s="71">
        <f>((SUBSIDIO!$L$510*SUBSIDIO!$W$510)+(SUBSIDIO!$N$510*SUBSIDIO!$X$510))*(0.12)/(1-0.12)</f>
        <v>210968.23492079999</v>
      </c>
      <c r="AD510" s="71">
        <f>(SUBSIDIO!$J$510*SUBSIDIO!$Y$510)*(0.09)/(1-0.09)</f>
        <v>0</v>
      </c>
      <c r="AE510" s="71">
        <f ca="1">((SUBSIDIO!$L$510*SUBSIDIO!$Z$510)+(SUBSIDIO!$N$510*SUBSIDIO!$AA$510))*(0.09)/(1-0.09)</f>
        <v>147791.76796415544</v>
      </c>
      <c r="AF510" s="4" t="s">
        <v>1148</v>
      </c>
    </row>
    <row r="511" spans="1:32" ht="11.25" customHeight="1" x14ac:dyDescent="0.25">
      <c r="A511" s="4" t="s">
        <v>21</v>
      </c>
      <c r="B511" s="4" t="s">
        <v>33</v>
      </c>
      <c r="C511" s="4" t="s">
        <v>34</v>
      </c>
      <c r="D511" s="4" t="s">
        <v>52</v>
      </c>
      <c r="E511" s="4" t="s">
        <v>53</v>
      </c>
      <c r="F511" s="4" t="s">
        <v>25</v>
      </c>
      <c r="G511" s="4" t="s">
        <v>25</v>
      </c>
      <c r="H511" s="4" t="s">
        <v>36</v>
      </c>
      <c r="I511" s="5">
        <v>43922</v>
      </c>
      <c r="J511" s="6">
        <v>0</v>
      </c>
      <c r="K511" s="71">
        <v>0</v>
      </c>
      <c r="L511" s="6">
        <v>5236.3900000000003</v>
      </c>
      <c r="M511" s="71">
        <v>5236.3900000000003</v>
      </c>
      <c r="N511" s="6">
        <v>5236.3900000000003</v>
      </c>
      <c r="O511" s="71">
        <v>5236.3900000000003</v>
      </c>
      <c r="P511" s="6">
        <v>0</v>
      </c>
      <c r="Q511" s="4" t="s">
        <v>26</v>
      </c>
      <c r="R511" s="4">
        <v>0</v>
      </c>
      <c r="S511" s="4">
        <v>0</v>
      </c>
      <c r="T511" s="4">
        <v>28</v>
      </c>
      <c r="U511" s="4">
        <v>82</v>
      </c>
      <c r="V511" s="71">
        <f>IF(ISERROR(VLOOKUP($S$511,'TAR FIN'!$A$1:$O$120,15,0)),0,VLOOKUP($S$511,'TAR FIN'!$A$1:$O$120,15,0))</f>
        <v>0</v>
      </c>
      <c r="W511" s="71">
        <f>IF(ISERROR(VLOOKUP($T$511,'TAR FIN'!$A$1:$O$120,15,0)),0,VLOOKUP($T$511,'TAR FIN'!$A$1:$O$120,15,0))*(1-0.12)</f>
        <v>74.316000000000003</v>
      </c>
      <c r="X511" s="71">
        <f>IF(ISERROR(VLOOKUP($U$511,'TAR FIN'!$A$1:$O$120,15,0)),0,VLOOKUP($U$511,'TAR FIN'!$A$1:$O$120,15,0))*(1-0.12)</f>
        <v>225.61439999999999</v>
      </c>
      <c r="Y511" s="71"/>
      <c r="Z511" s="71">
        <f ca="1">('TUSD BE'!$AM$34+'TUSD BF'!$AM$34+'TUSD CVA'!$AM$34)*1*(1-0.09)</f>
        <v>79.642619388381775</v>
      </c>
      <c r="AA511" s="71">
        <f>('TE BE'!$AA$11+'TE BF'!$AA$11+'TE CVA'!$AA$11)*1*(1-0.09)</f>
        <v>210.05913056249776</v>
      </c>
      <c r="AB511" s="71">
        <f>(SUBSIDIO!$J$511*SUBSIDIO!$V$511)*(0.12)/(1-0.12)</f>
        <v>0</v>
      </c>
      <c r="AC511" s="71">
        <f>((SUBSIDIO!$L$511*SUBSIDIO!$W$511)+(SUBSIDIO!$N$511*SUBSIDIO!$X$511))*(0.12)/(1-0.12)</f>
        <v>214166.256444</v>
      </c>
      <c r="AD511" s="71">
        <f>(SUBSIDIO!$J$511*SUBSIDIO!$Y$511)*(0.09)/(1-0.09)</f>
        <v>0</v>
      </c>
      <c r="AE511" s="71">
        <f ca="1">((SUBSIDIO!$L$511*SUBSIDIO!$Z$511)+(SUBSIDIO!$N$511*SUBSIDIO!$AA$511))*(0.09)/(1-0.09)</f>
        <v>150032.11118491841</v>
      </c>
      <c r="AF511" s="4" t="s">
        <v>1148</v>
      </c>
    </row>
    <row r="512" spans="1:32" ht="11.25" customHeight="1" x14ac:dyDescent="0.25">
      <c r="A512" s="4" t="s">
        <v>21</v>
      </c>
      <c r="B512" s="4" t="s">
        <v>33</v>
      </c>
      <c r="C512" s="4" t="s">
        <v>34</v>
      </c>
      <c r="D512" s="4" t="s">
        <v>52</v>
      </c>
      <c r="E512" s="4" t="s">
        <v>53</v>
      </c>
      <c r="F512" s="4" t="s">
        <v>25</v>
      </c>
      <c r="G512" s="4" t="s">
        <v>25</v>
      </c>
      <c r="H512" s="4" t="s">
        <v>36</v>
      </c>
      <c r="I512" s="5">
        <v>43952</v>
      </c>
      <c r="J512" s="6">
        <v>0</v>
      </c>
      <c r="K512" s="71">
        <v>0</v>
      </c>
      <c r="L512" s="6">
        <v>4846.5690000000004</v>
      </c>
      <c r="M512" s="71">
        <v>4846.5690000000004</v>
      </c>
      <c r="N512" s="6">
        <v>4846.5690000000004</v>
      </c>
      <c r="O512" s="71">
        <v>4846.5690000000004</v>
      </c>
      <c r="P512" s="6">
        <v>0</v>
      </c>
      <c r="Q512" s="4" t="s">
        <v>26</v>
      </c>
      <c r="R512" s="4">
        <v>0</v>
      </c>
      <c r="S512" s="4">
        <v>0</v>
      </c>
      <c r="T512" s="4">
        <v>28</v>
      </c>
      <c r="U512" s="4">
        <v>82</v>
      </c>
      <c r="V512" s="71">
        <f>IF(ISERROR(VLOOKUP($S$512,'TAR FIN'!$A$1:$O$120,15,0)),0,VLOOKUP($S$512,'TAR FIN'!$A$1:$O$120,15,0))</f>
        <v>0</v>
      </c>
      <c r="W512" s="71">
        <f>IF(ISERROR(VLOOKUP($T$512,'TAR FIN'!$A$1:$O$120,15,0)),0,VLOOKUP($T$512,'TAR FIN'!$A$1:$O$120,15,0))*(1-0.12)</f>
        <v>74.316000000000003</v>
      </c>
      <c r="X512" s="71">
        <f>IF(ISERROR(VLOOKUP($U$512,'TAR FIN'!$A$1:$O$120,15,0)),0,VLOOKUP($U$512,'TAR FIN'!$A$1:$O$120,15,0))*(1-0.12)</f>
        <v>225.61439999999999</v>
      </c>
      <c r="Y512" s="71"/>
      <c r="Z512" s="71">
        <f ca="1">('TUSD BE'!$AM$34+'TUSD BF'!$AM$34+'TUSD CVA'!$AM$34)*1*(1-0.09)</f>
        <v>79.642619388381775</v>
      </c>
      <c r="AA512" s="71">
        <f>('TE BE'!$AA$11+'TE BF'!$AA$11+'TE CVA'!$AA$11)*1*(1-0.09)</f>
        <v>210.05913056249776</v>
      </c>
      <c r="AB512" s="71">
        <f>(SUBSIDIO!$J$512*SUBSIDIO!$V$512)*(0.12)/(1-0.12)</f>
        <v>0</v>
      </c>
      <c r="AC512" s="71">
        <f>((SUBSIDIO!$L$512*SUBSIDIO!$W$512)+(SUBSIDIO!$N$512*SUBSIDIO!$X$512))*(0.12)/(1-0.12)</f>
        <v>198222.7334724</v>
      </c>
      <c r="AD512" s="71">
        <f>(SUBSIDIO!$J$512*SUBSIDIO!$Y$512)*(0.09)/(1-0.09)</f>
        <v>0</v>
      </c>
      <c r="AE512" s="71">
        <f ca="1">((SUBSIDIO!$L$512*SUBSIDIO!$Z$512)+(SUBSIDIO!$N$512*SUBSIDIO!$AA$512))*(0.09)/(1-0.09)</f>
        <v>138863.02950570502</v>
      </c>
      <c r="AF512" s="4" t="s">
        <v>1148</v>
      </c>
    </row>
    <row r="513" spans="1:32" ht="11.25" customHeight="1" x14ac:dyDescent="0.25">
      <c r="A513" s="4" t="s">
        <v>21</v>
      </c>
      <c r="B513" s="4" t="s">
        <v>33</v>
      </c>
      <c r="C513" s="4" t="s">
        <v>34</v>
      </c>
      <c r="D513" s="4" t="s">
        <v>52</v>
      </c>
      <c r="E513" s="4" t="s">
        <v>53</v>
      </c>
      <c r="F513" s="4" t="s">
        <v>25</v>
      </c>
      <c r="G513" s="4" t="s">
        <v>25</v>
      </c>
      <c r="H513" s="4" t="s">
        <v>36</v>
      </c>
      <c r="I513" s="5">
        <v>43983</v>
      </c>
      <c r="J513" s="6">
        <v>0</v>
      </c>
      <c r="K513" s="71">
        <v>0</v>
      </c>
      <c r="L513" s="6">
        <v>4807.7939999999999</v>
      </c>
      <c r="M513" s="71">
        <v>4807.7939999999999</v>
      </c>
      <c r="N513" s="6">
        <v>4807.7939999999999</v>
      </c>
      <c r="O513" s="71">
        <v>4807.7939999999999</v>
      </c>
      <c r="P513" s="6">
        <v>0</v>
      </c>
      <c r="Q513" s="4" t="s">
        <v>26</v>
      </c>
      <c r="R513" s="4">
        <v>0</v>
      </c>
      <c r="S513" s="4">
        <v>0</v>
      </c>
      <c r="T513" s="4">
        <v>28</v>
      </c>
      <c r="U513" s="4">
        <v>82</v>
      </c>
      <c r="V513" s="71">
        <f>IF(ISERROR(VLOOKUP($S$513,'TAR FIN'!$A$1:$O$120,15,0)),0,VLOOKUP($S$513,'TAR FIN'!$A$1:$O$120,15,0))</f>
        <v>0</v>
      </c>
      <c r="W513" s="71">
        <f>IF(ISERROR(VLOOKUP($T$513,'TAR FIN'!$A$1:$O$120,15,0)),0,VLOOKUP($T$513,'TAR FIN'!$A$1:$O$120,15,0))*(1-0.12)</f>
        <v>74.316000000000003</v>
      </c>
      <c r="X513" s="71">
        <f>IF(ISERROR(VLOOKUP($U$513,'TAR FIN'!$A$1:$O$120,15,0)),0,VLOOKUP($U$513,'TAR FIN'!$A$1:$O$120,15,0))*(1-0.12)</f>
        <v>225.61439999999999</v>
      </c>
      <c r="Y513" s="71"/>
      <c r="Z513" s="71">
        <f ca="1">('TUSD BE'!$AM$34+'TUSD BF'!$AM$34+'TUSD CVA'!$AM$34)*1*(1-0.09)</f>
        <v>79.642619388381775</v>
      </c>
      <c r="AA513" s="71">
        <f>('TE BE'!$AA$11+'TE BF'!$AA$11+'TE CVA'!$AA$11)*1*(1-0.09)</f>
        <v>210.05913056249776</v>
      </c>
      <c r="AB513" s="71">
        <f>(SUBSIDIO!$J$513*SUBSIDIO!$V$513)*(0.12)/(1-0.12)</f>
        <v>0</v>
      </c>
      <c r="AC513" s="71">
        <f>((SUBSIDIO!$L$513*SUBSIDIO!$W$513)+(SUBSIDIO!$N$513*SUBSIDIO!$X$513))*(0.12)/(1-0.12)</f>
        <v>196636.85148239997</v>
      </c>
      <c r="AD513" s="71">
        <f>(SUBSIDIO!$J$513*SUBSIDIO!$Y$513)*(0.09)/(1-0.09)</f>
        <v>0</v>
      </c>
      <c r="AE513" s="71">
        <f ca="1">((SUBSIDIO!$L$513*SUBSIDIO!$Z$513)+(SUBSIDIO!$N$513*SUBSIDIO!$AA$513))*(0.09)/(1-0.09)</f>
        <v>137752.05513000055</v>
      </c>
      <c r="AF513" s="4" t="s">
        <v>1148</v>
      </c>
    </row>
    <row r="514" spans="1:32" ht="11.25" customHeight="1" x14ac:dyDescent="0.25">
      <c r="A514" s="4" t="s">
        <v>21</v>
      </c>
      <c r="B514" s="4" t="s">
        <v>33</v>
      </c>
      <c r="C514" s="4" t="s">
        <v>34</v>
      </c>
      <c r="D514" s="4" t="s">
        <v>52</v>
      </c>
      <c r="E514" s="4" t="s">
        <v>53</v>
      </c>
      <c r="F514" s="4" t="s">
        <v>25</v>
      </c>
      <c r="G514" s="4" t="s">
        <v>25</v>
      </c>
      <c r="H514" s="4" t="s">
        <v>36</v>
      </c>
      <c r="I514" s="5">
        <v>44013</v>
      </c>
      <c r="J514" s="6">
        <v>0</v>
      </c>
      <c r="K514" s="71">
        <v>0</v>
      </c>
      <c r="L514" s="6">
        <v>4652.2060000000001</v>
      </c>
      <c r="M514" s="71">
        <v>4652.2060000000001</v>
      </c>
      <c r="N514" s="6">
        <v>4652.2060000000001</v>
      </c>
      <c r="O514" s="71">
        <v>4652.2060000000001</v>
      </c>
      <c r="P514" s="6">
        <v>0</v>
      </c>
      <c r="Q514" s="4" t="s">
        <v>26</v>
      </c>
      <c r="R514" s="4">
        <v>0</v>
      </c>
      <c r="S514" s="4">
        <v>0</v>
      </c>
      <c r="T514" s="4">
        <v>28</v>
      </c>
      <c r="U514" s="4">
        <v>82</v>
      </c>
      <c r="V514" s="71">
        <f>IF(ISERROR(VLOOKUP($S$514,'TAR FIN'!$A$1:$O$120,15,0)),0,VLOOKUP($S$514,'TAR FIN'!$A$1:$O$120,15,0))</f>
        <v>0</v>
      </c>
      <c r="W514" s="71">
        <f>IF(ISERROR(VLOOKUP($T$514,'TAR FIN'!$A$1:$O$120,15,0)),0,VLOOKUP($T$514,'TAR FIN'!$A$1:$O$120,15,0))*(1-0.12)</f>
        <v>74.316000000000003</v>
      </c>
      <c r="X514" s="71">
        <f>IF(ISERROR(VLOOKUP($U$514,'TAR FIN'!$A$1:$O$120,15,0)),0,VLOOKUP($U$514,'TAR FIN'!$A$1:$O$120,15,0))*(1-0.12)</f>
        <v>225.61439999999999</v>
      </c>
      <c r="Y514" s="71"/>
      <c r="Z514" s="71">
        <f ca="1">('TUSD BE'!$AM$34+'TUSD BF'!$AM$34+'TUSD CVA'!$AM$34)*1*(1-0.09)</f>
        <v>79.642619388381775</v>
      </c>
      <c r="AA514" s="71">
        <f>('TE BE'!$AA$11+'TE BF'!$AA$11+'TE CVA'!$AA$11)*1*(1-0.09)</f>
        <v>210.05913056249776</v>
      </c>
      <c r="AB514" s="71">
        <f>(SUBSIDIO!$J$514*SUBSIDIO!$V$514)*(0.12)/(1-0.12)</f>
        <v>0</v>
      </c>
      <c r="AC514" s="71">
        <f>((SUBSIDIO!$L$514*SUBSIDIO!$W$514)+(SUBSIDIO!$N$514*SUBSIDIO!$X$514))*(0.12)/(1-0.12)</f>
        <v>190273.36451760001</v>
      </c>
      <c r="AD514" s="71">
        <f>(SUBSIDIO!$J$514*SUBSIDIO!$Y$514)*(0.09)/(1-0.09)</f>
        <v>0</v>
      </c>
      <c r="AE514" s="71">
        <f ca="1">((SUBSIDIO!$L$514*SUBSIDIO!$Z$514)+(SUBSIDIO!$N$514*SUBSIDIO!$AA$514))*(0.09)/(1-0.09)</f>
        <v>133294.17553832784</v>
      </c>
      <c r="AF514" s="4" t="s">
        <v>1148</v>
      </c>
    </row>
    <row r="515" spans="1:32" ht="11.25" customHeight="1" x14ac:dyDescent="0.25">
      <c r="A515" s="4" t="s">
        <v>21</v>
      </c>
      <c r="B515" s="4" t="s">
        <v>33</v>
      </c>
      <c r="C515" s="4" t="s">
        <v>34</v>
      </c>
      <c r="D515" s="4" t="s">
        <v>52</v>
      </c>
      <c r="E515" s="4" t="s">
        <v>53</v>
      </c>
      <c r="F515" s="4" t="s">
        <v>25</v>
      </c>
      <c r="G515" s="4" t="s">
        <v>25</v>
      </c>
      <c r="H515" s="4" t="s">
        <v>36</v>
      </c>
      <c r="I515" s="5">
        <v>44044</v>
      </c>
      <c r="J515" s="6">
        <v>0</v>
      </c>
      <c r="K515" s="71">
        <v>0</v>
      </c>
      <c r="L515" s="6">
        <v>4885.2669999999998</v>
      </c>
      <c r="M515" s="71">
        <v>4885.2669999999998</v>
      </c>
      <c r="N515" s="6">
        <v>4885.2669999999998</v>
      </c>
      <c r="O515" s="71">
        <v>4885.2669999999998</v>
      </c>
      <c r="P515" s="6">
        <v>0</v>
      </c>
      <c r="Q515" s="4" t="s">
        <v>26</v>
      </c>
      <c r="R515" s="4">
        <v>0</v>
      </c>
      <c r="S515" s="4">
        <v>0</v>
      </c>
      <c r="T515" s="4">
        <v>28</v>
      </c>
      <c r="U515" s="4">
        <v>82</v>
      </c>
      <c r="V515" s="71">
        <f>IF(ISERROR(VLOOKUP($S$515,'TAR FIN'!$A$1:$O$120,15,0)),0,VLOOKUP($S$515,'TAR FIN'!$A$1:$O$120,15,0))</f>
        <v>0</v>
      </c>
      <c r="W515" s="71">
        <f>IF(ISERROR(VLOOKUP($T$515,'TAR FIN'!$A$1:$O$120,15,0)),0,VLOOKUP($T$515,'TAR FIN'!$A$1:$O$120,15,0))*(1-0.12)</f>
        <v>74.316000000000003</v>
      </c>
      <c r="X515" s="71">
        <f>IF(ISERROR(VLOOKUP($U$515,'TAR FIN'!$A$1:$O$120,15,0)),0,VLOOKUP($U$515,'TAR FIN'!$A$1:$O$120,15,0))*(1-0.12)</f>
        <v>225.61439999999999</v>
      </c>
      <c r="Y515" s="71"/>
      <c r="Z515" s="71">
        <f ca="1">('TUSD BE'!$AM$34+'TUSD BF'!$AM$34+'TUSD CVA'!$AM$34)*1*(1-0.09)</f>
        <v>79.642619388381775</v>
      </c>
      <c r="AA515" s="71">
        <f>('TE BE'!$AA$11+'TE BF'!$AA$11+'TE CVA'!$AA$11)*1*(1-0.09)</f>
        <v>210.05913056249776</v>
      </c>
      <c r="AB515" s="71">
        <f>(SUBSIDIO!$J$515*SUBSIDIO!$V$515)*(0.12)/(1-0.12)</f>
        <v>0</v>
      </c>
      <c r="AC515" s="71">
        <f>((SUBSIDIO!$L$515*SUBSIDIO!$W$515)+(SUBSIDIO!$N$515*SUBSIDIO!$X$515))*(0.12)/(1-0.12)</f>
        <v>199805.46619319997</v>
      </c>
      <c r="AD515" s="71">
        <f>(SUBSIDIO!$J$515*SUBSIDIO!$Y$515)*(0.09)/(1-0.09)</f>
        <v>0</v>
      </c>
      <c r="AE515" s="71">
        <f ca="1">((SUBSIDIO!$L$515*SUBSIDIO!$Z$515)+(SUBSIDIO!$N$515*SUBSIDIO!$AA$515))*(0.09)/(1-0.09)</f>
        <v>139971.79769115988</v>
      </c>
      <c r="AF515" s="4" t="s">
        <v>1148</v>
      </c>
    </row>
    <row r="516" spans="1:32" ht="11.25" customHeight="1" x14ac:dyDescent="0.25">
      <c r="A516" s="4" t="s">
        <v>59</v>
      </c>
      <c r="B516" s="4" t="s">
        <v>33</v>
      </c>
      <c r="C516" s="4" t="s">
        <v>34</v>
      </c>
      <c r="D516" s="4" t="s">
        <v>52</v>
      </c>
      <c r="E516" s="4" t="s">
        <v>53</v>
      </c>
      <c r="F516" s="4" t="s">
        <v>25</v>
      </c>
      <c r="G516" s="4" t="s">
        <v>25</v>
      </c>
      <c r="H516" s="4" t="s">
        <v>36</v>
      </c>
      <c r="I516" s="5">
        <v>44075</v>
      </c>
      <c r="J516" s="6">
        <v>0</v>
      </c>
      <c r="K516" s="71">
        <v>0</v>
      </c>
      <c r="L516" s="6">
        <v>4885.2669999999998</v>
      </c>
      <c r="M516" s="71">
        <v>4885.2669999999998</v>
      </c>
      <c r="N516" s="6">
        <v>4885.2669999999998</v>
      </c>
      <c r="O516" s="71">
        <v>4885.2669999999998</v>
      </c>
      <c r="P516" s="6">
        <v>0</v>
      </c>
      <c r="Q516" s="4" t="s">
        <v>26</v>
      </c>
      <c r="R516" s="4">
        <v>0</v>
      </c>
      <c r="S516" s="4">
        <v>0</v>
      </c>
      <c r="T516" s="4">
        <v>28</v>
      </c>
      <c r="U516" s="4">
        <v>82</v>
      </c>
      <c r="V516" s="71">
        <f>IF(ISERROR(VLOOKUP($S$516,'TAR FIN'!$A$1:$O$120,15,0)),0,VLOOKUP($S$516,'TAR FIN'!$A$1:$O$120,15,0))</f>
        <v>0</v>
      </c>
      <c r="W516" s="71">
        <f>IF(ISERROR(VLOOKUP($T$516,'TAR FIN'!$A$1:$O$120,15,0)),0,VLOOKUP($T$516,'TAR FIN'!$A$1:$O$120,15,0))*(1-0.12)</f>
        <v>74.316000000000003</v>
      </c>
      <c r="X516" s="71">
        <f>IF(ISERROR(VLOOKUP($U$516,'TAR FIN'!$A$1:$O$120,15,0)),0,VLOOKUP($U$516,'TAR FIN'!$A$1:$O$120,15,0))*(1-0.12)</f>
        <v>225.61439999999999</v>
      </c>
      <c r="Y516" s="71"/>
      <c r="Z516" s="71">
        <f ca="1">('TUSD BE'!$AM$34+'TUSD BF'!$AM$34+'TUSD CVA'!$AM$34)*1*(1-0.09)</f>
        <v>79.642619388381775</v>
      </c>
      <c r="AA516" s="71">
        <f>('TE BE'!$AA$11+'TE BF'!$AA$11+'TE CVA'!$AA$11)*1*(1-0.09)</f>
        <v>210.05913056249776</v>
      </c>
      <c r="AB516" s="71">
        <f>(SUBSIDIO!$J$516*SUBSIDIO!$V$516)*(0.12)/(1-0.12)</f>
        <v>0</v>
      </c>
      <c r="AC516" s="71">
        <f>((SUBSIDIO!$L$516*SUBSIDIO!$W$516)+(SUBSIDIO!$N$516*SUBSIDIO!$X$516))*(0.12)/(1-0.12)</f>
        <v>199805.46619319997</v>
      </c>
      <c r="AD516" s="71">
        <f>(SUBSIDIO!$J$516*SUBSIDIO!$Y$516)*(0.09)/(1-0.09)</f>
        <v>0</v>
      </c>
      <c r="AE516" s="71">
        <f ca="1">((SUBSIDIO!$L$516*SUBSIDIO!$Z$516)+(SUBSIDIO!$N$516*SUBSIDIO!$AA$516))*(0.09)/(1-0.09)</f>
        <v>139971.79769115988</v>
      </c>
      <c r="AF516" s="4" t="s">
        <v>1148</v>
      </c>
    </row>
    <row r="517" spans="1:32" ht="11.25" customHeight="1" x14ac:dyDescent="0.25">
      <c r="A517" s="4" t="s">
        <v>21</v>
      </c>
      <c r="B517" s="4" t="s">
        <v>33</v>
      </c>
      <c r="C517" s="4" t="s">
        <v>34</v>
      </c>
      <c r="D517" s="4" t="s">
        <v>52</v>
      </c>
      <c r="E517" s="4" t="s">
        <v>53</v>
      </c>
      <c r="F517" s="4" t="s">
        <v>25</v>
      </c>
      <c r="G517" s="4" t="s">
        <v>25</v>
      </c>
      <c r="H517" s="4" t="s">
        <v>25</v>
      </c>
      <c r="I517" s="5">
        <v>43739</v>
      </c>
      <c r="J517" s="6">
        <v>17200</v>
      </c>
      <c r="K517" s="70">
        <v>17200</v>
      </c>
      <c r="L517" s="6">
        <v>0</v>
      </c>
      <c r="M517" s="71">
        <v>0</v>
      </c>
      <c r="N517" s="6">
        <v>0</v>
      </c>
      <c r="O517" s="71">
        <v>0</v>
      </c>
      <c r="P517" s="6">
        <v>79</v>
      </c>
      <c r="Q517" s="4" t="s">
        <v>26</v>
      </c>
      <c r="R517" s="4">
        <v>0</v>
      </c>
      <c r="S517" s="4">
        <v>26</v>
      </c>
      <c r="T517" s="4">
        <v>0</v>
      </c>
      <c r="U517" s="4">
        <v>0</v>
      </c>
      <c r="V517" s="71">
        <f>IF(ISERROR(VLOOKUP($S$517,'TAR FIN'!$A$1:$O$120,15,0)),0,VLOOKUP($S$517,'TAR FIN'!$A$1:$O$120,15,0))*(1-0.12)</f>
        <v>7.7528000000000006</v>
      </c>
      <c r="W517" s="71">
        <f>IF(ISERROR(VLOOKUP($T$517,'TAR FIN'!$A$1:$O$120,15,0)),0,VLOOKUP($T$517,'TAR FIN'!$A$1:$O$120,15,0))</f>
        <v>0</v>
      </c>
      <c r="X517" s="71">
        <f>IF(ISERROR(VLOOKUP($U$517,'TAR FIN'!$A$1:$O$120,15,0)),0,VLOOKUP($U$517,'TAR FIN'!$A$1:$O$120,15,0))</f>
        <v>0</v>
      </c>
      <c r="Y517" s="71">
        <f ca="1">('TUSD BE'!$AM$32+'TUSD BF'!$AM$32+'TUSD CVA'!$AM$32)*1*(1-0.09)</f>
        <v>10.421644550274408</v>
      </c>
      <c r="Z517" s="71"/>
      <c r="AA517" s="71"/>
      <c r="AB517" s="71">
        <f>(SUBSIDIO!$J$517*SUBSIDIO!$V$517)*(0.12)/(1-0.12)</f>
        <v>18183.84</v>
      </c>
      <c r="AC517" s="71">
        <f>((SUBSIDIO!$L$517*SUBSIDIO!$W$517)+(SUBSIDIO!$N$517*SUBSIDIO!$X$517))*(0.12)/(1-0.12)</f>
        <v>0</v>
      </c>
      <c r="AD517" s="71">
        <f ca="1">(SUBSIDIO!$J$517*SUBSIDIO!$Y$517)*(0.09)/(1-0.09)</f>
        <v>17728.248092115144</v>
      </c>
      <c r="AE517" s="71">
        <f>((SUBSIDIO!$L$517*SUBSIDIO!$Z$517)+(SUBSIDIO!$N$517*SUBSIDIO!$AA$517))*(0.09)/(1-0.09)</f>
        <v>0</v>
      </c>
      <c r="AF517" s="4" t="s">
        <v>1148</v>
      </c>
    </row>
    <row r="518" spans="1:32" ht="11.25" customHeight="1" x14ac:dyDescent="0.25">
      <c r="A518" s="4" t="s">
        <v>21</v>
      </c>
      <c r="B518" s="4" t="s">
        <v>33</v>
      </c>
      <c r="C518" s="4" t="s">
        <v>34</v>
      </c>
      <c r="D518" s="4" t="s">
        <v>52</v>
      </c>
      <c r="E518" s="4" t="s">
        <v>53</v>
      </c>
      <c r="F518" s="4" t="s">
        <v>25</v>
      </c>
      <c r="G518" s="4" t="s">
        <v>25</v>
      </c>
      <c r="H518" s="4" t="s">
        <v>25</v>
      </c>
      <c r="I518" s="5">
        <v>43770</v>
      </c>
      <c r="J518" s="6">
        <v>17378</v>
      </c>
      <c r="K518" s="70">
        <v>17378</v>
      </c>
      <c r="L518" s="6">
        <v>0</v>
      </c>
      <c r="M518" s="71">
        <v>0</v>
      </c>
      <c r="N518" s="6">
        <v>0</v>
      </c>
      <c r="O518" s="71">
        <v>0</v>
      </c>
      <c r="P518" s="6">
        <v>79</v>
      </c>
      <c r="Q518" s="4" t="s">
        <v>26</v>
      </c>
      <c r="R518" s="4">
        <v>0</v>
      </c>
      <c r="S518" s="4">
        <v>26</v>
      </c>
      <c r="T518" s="4">
        <v>0</v>
      </c>
      <c r="U518" s="4">
        <v>0</v>
      </c>
      <c r="V518" s="71">
        <f>IF(ISERROR(VLOOKUP($S$518,'TAR FIN'!$A$1:$O$120,15,0)),0,VLOOKUP($S$518,'TAR FIN'!$A$1:$O$120,15,0))*(1-0.12)</f>
        <v>7.7528000000000006</v>
      </c>
      <c r="W518" s="71">
        <f>IF(ISERROR(VLOOKUP($T$518,'TAR FIN'!$A$1:$O$120,15,0)),0,VLOOKUP($T$518,'TAR FIN'!$A$1:$O$120,15,0))</f>
        <v>0</v>
      </c>
      <c r="X518" s="71">
        <f>IF(ISERROR(VLOOKUP($U$518,'TAR FIN'!$A$1:$O$120,15,0)),0,VLOOKUP($U$518,'TAR FIN'!$A$1:$O$120,15,0))</f>
        <v>0</v>
      </c>
      <c r="Y518" s="71">
        <f ca="1">('TUSD BE'!$AM$32+'TUSD BF'!$AM$32+'TUSD CVA'!$AM$32)*1*(1-0.09)</f>
        <v>10.421644550274408</v>
      </c>
      <c r="Z518" s="71"/>
      <c r="AA518" s="71"/>
      <c r="AB518" s="71">
        <f>(SUBSIDIO!$J$518*SUBSIDIO!$V$518)*(0.12)/(1-0.12)</f>
        <v>18372.0216</v>
      </c>
      <c r="AC518" s="71">
        <f>((SUBSIDIO!$L$518*SUBSIDIO!$W$518)+(SUBSIDIO!$N$518*SUBSIDIO!$X$518))*(0.12)/(1-0.12)</f>
        <v>0</v>
      </c>
      <c r="AD518" s="71">
        <f ca="1">(SUBSIDIO!$J$518*SUBSIDIO!$Y$518)*(0.09)/(1-0.09)</f>
        <v>17911.714845626568</v>
      </c>
      <c r="AE518" s="71">
        <f>((SUBSIDIO!$L$518*SUBSIDIO!$Z$518)+(SUBSIDIO!$N$518*SUBSIDIO!$AA$518))*(0.09)/(1-0.09)</f>
        <v>0</v>
      </c>
      <c r="AF518" s="4" t="s">
        <v>1148</v>
      </c>
    </row>
    <row r="519" spans="1:32" ht="11.25" customHeight="1" x14ac:dyDescent="0.25">
      <c r="A519" s="4" t="s">
        <v>21</v>
      </c>
      <c r="B519" s="4" t="s">
        <v>33</v>
      </c>
      <c r="C519" s="4" t="s">
        <v>34</v>
      </c>
      <c r="D519" s="4" t="s">
        <v>52</v>
      </c>
      <c r="E519" s="4" t="s">
        <v>53</v>
      </c>
      <c r="F519" s="4" t="s">
        <v>25</v>
      </c>
      <c r="G519" s="4" t="s">
        <v>25</v>
      </c>
      <c r="H519" s="4" t="s">
        <v>25</v>
      </c>
      <c r="I519" s="5">
        <v>43800</v>
      </c>
      <c r="J519" s="6">
        <v>17420</v>
      </c>
      <c r="K519" s="70">
        <v>17420</v>
      </c>
      <c r="L519" s="6">
        <v>0</v>
      </c>
      <c r="M519" s="71">
        <v>0</v>
      </c>
      <c r="N519" s="6">
        <v>0</v>
      </c>
      <c r="O519" s="71">
        <v>0</v>
      </c>
      <c r="P519" s="6">
        <v>79</v>
      </c>
      <c r="Q519" s="4" t="s">
        <v>26</v>
      </c>
      <c r="R519" s="4">
        <v>0</v>
      </c>
      <c r="S519" s="4">
        <v>26</v>
      </c>
      <c r="T519" s="4">
        <v>0</v>
      </c>
      <c r="U519" s="4">
        <v>0</v>
      </c>
      <c r="V519" s="71">
        <f>IF(ISERROR(VLOOKUP($S$519,'TAR FIN'!$A$1:$O$120,15,0)),0,VLOOKUP($S$519,'TAR FIN'!$A$1:$O$120,15,0))*(1-0.12)</f>
        <v>7.7528000000000006</v>
      </c>
      <c r="W519" s="71">
        <f>IF(ISERROR(VLOOKUP($T$519,'TAR FIN'!$A$1:$O$120,15,0)),0,VLOOKUP($T$519,'TAR FIN'!$A$1:$O$120,15,0))</f>
        <v>0</v>
      </c>
      <c r="X519" s="71">
        <f>IF(ISERROR(VLOOKUP($U$519,'TAR FIN'!$A$1:$O$120,15,0)),0,VLOOKUP($U$519,'TAR FIN'!$A$1:$O$120,15,0))</f>
        <v>0</v>
      </c>
      <c r="Y519" s="71">
        <f ca="1">('TUSD BE'!$AM$32+'TUSD BF'!$AM$32+'TUSD CVA'!$AM$32)*1*(1-0.09)</f>
        <v>10.421644550274408</v>
      </c>
      <c r="Z519" s="71"/>
      <c r="AA519" s="71"/>
      <c r="AB519" s="71">
        <f>(SUBSIDIO!$J$519*SUBSIDIO!$V$519)*(0.12)/(1-0.12)</f>
        <v>18416.423999999999</v>
      </c>
      <c r="AC519" s="71">
        <f>((SUBSIDIO!$L$519*SUBSIDIO!$W$519)+(SUBSIDIO!$N$519*SUBSIDIO!$X$519))*(0.12)/(1-0.12)</f>
        <v>0</v>
      </c>
      <c r="AD519" s="71">
        <f ca="1">(SUBSIDIO!$J$519*SUBSIDIO!$Y$519)*(0.09)/(1-0.09)</f>
        <v>17955.00475375848</v>
      </c>
      <c r="AE519" s="71">
        <f>((SUBSIDIO!$L$519*SUBSIDIO!$Z$519)+(SUBSIDIO!$N$519*SUBSIDIO!$AA$519))*(0.09)/(1-0.09)</f>
        <v>0</v>
      </c>
      <c r="AF519" s="4" t="s">
        <v>1148</v>
      </c>
    </row>
    <row r="520" spans="1:32" ht="11.25" customHeight="1" x14ac:dyDescent="0.25">
      <c r="A520" s="4" t="s">
        <v>21</v>
      </c>
      <c r="B520" s="4" t="s">
        <v>33</v>
      </c>
      <c r="C520" s="4" t="s">
        <v>34</v>
      </c>
      <c r="D520" s="4" t="s">
        <v>52</v>
      </c>
      <c r="E520" s="4" t="s">
        <v>53</v>
      </c>
      <c r="F520" s="4" t="s">
        <v>25</v>
      </c>
      <c r="G520" s="4" t="s">
        <v>25</v>
      </c>
      <c r="H520" s="4" t="s">
        <v>25</v>
      </c>
      <c r="I520" s="5">
        <v>43831</v>
      </c>
      <c r="J520" s="6">
        <v>17269</v>
      </c>
      <c r="K520" s="70">
        <v>17269</v>
      </c>
      <c r="L520" s="6">
        <v>0</v>
      </c>
      <c r="M520" s="71">
        <v>0</v>
      </c>
      <c r="N520" s="6">
        <v>0</v>
      </c>
      <c r="O520" s="71">
        <v>0</v>
      </c>
      <c r="P520" s="6">
        <v>79</v>
      </c>
      <c r="Q520" s="4" t="s">
        <v>26</v>
      </c>
      <c r="R520" s="4">
        <v>0</v>
      </c>
      <c r="S520" s="4">
        <v>26</v>
      </c>
      <c r="T520" s="4">
        <v>0</v>
      </c>
      <c r="U520" s="4">
        <v>0</v>
      </c>
      <c r="V520" s="71">
        <f>IF(ISERROR(VLOOKUP($S$520,'TAR FIN'!$A$1:$O$120,15,0)),0,VLOOKUP($S$520,'TAR FIN'!$A$1:$O$120,15,0))*(1-0.12)</f>
        <v>7.7528000000000006</v>
      </c>
      <c r="W520" s="71">
        <f>IF(ISERROR(VLOOKUP($T$520,'TAR FIN'!$A$1:$O$120,15,0)),0,VLOOKUP($T$520,'TAR FIN'!$A$1:$O$120,15,0))</f>
        <v>0</v>
      </c>
      <c r="X520" s="71">
        <f>IF(ISERROR(VLOOKUP($U$520,'TAR FIN'!$A$1:$O$120,15,0)),0,VLOOKUP($U$520,'TAR FIN'!$A$1:$O$120,15,0))</f>
        <v>0</v>
      </c>
      <c r="Y520" s="71">
        <f ca="1">('TUSD BE'!$AM$32+'TUSD BF'!$AM$32+'TUSD CVA'!$AM$32)*1*(1-0.09)</f>
        <v>10.421644550274408</v>
      </c>
      <c r="Z520" s="71"/>
      <c r="AA520" s="71"/>
      <c r="AB520" s="71">
        <f>(SUBSIDIO!$J$520*SUBSIDIO!$V$520)*(0.12)/(1-0.12)</f>
        <v>18256.786800000002</v>
      </c>
      <c r="AC520" s="71">
        <f>((SUBSIDIO!$L$520*SUBSIDIO!$W$520)+(SUBSIDIO!$N$520*SUBSIDIO!$X$520))*(0.12)/(1-0.12)</f>
        <v>0</v>
      </c>
      <c r="AD520" s="71">
        <f ca="1">(SUBSIDIO!$J$520*SUBSIDIO!$Y$520)*(0.09)/(1-0.09)</f>
        <v>17799.367226903283</v>
      </c>
      <c r="AE520" s="71">
        <f>((SUBSIDIO!$L$520*SUBSIDIO!$Z$520)+(SUBSIDIO!$N$520*SUBSIDIO!$AA$520))*(0.09)/(1-0.09)</f>
        <v>0</v>
      </c>
      <c r="AF520" s="4" t="s">
        <v>1148</v>
      </c>
    </row>
    <row r="521" spans="1:32" ht="11.25" customHeight="1" x14ac:dyDescent="0.25">
      <c r="A521" s="4" t="s">
        <v>21</v>
      </c>
      <c r="B521" s="4" t="s">
        <v>33</v>
      </c>
      <c r="C521" s="4" t="s">
        <v>34</v>
      </c>
      <c r="D521" s="4" t="s">
        <v>52</v>
      </c>
      <c r="E521" s="4" t="s">
        <v>53</v>
      </c>
      <c r="F521" s="4" t="s">
        <v>25</v>
      </c>
      <c r="G521" s="4" t="s">
        <v>25</v>
      </c>
      <c r="H521" s="4" t="s">
        <v>25</v>
      </c>
      <c r="I521" s="5">
        <v>43862</v>
      </c>
      <c r="J521" s="6">
        <v>17492</v>
      </c>
      <c r="K521" s="70">
        <v>17492</v>
      </c>
      <c r="L521" s="6">
        <v>0</v>
      </c>
      <c r="M521" s="71">
        <v>0</v>
      </c>
      <c r="N521" s="6">
        <v>0</v>
      </c>
      <c r="O521" s="71">
        <v>0</v>
      </c>
      <c r="P521" s="6">
        <v>79</v>
      </c>
      <c r="Q521" s="4" t="s">
        <v>26</v>
      </c>
      <c r="R521" s="4">
        <v>0</v>
      </c>
      <c r="S521" s="4">
        <v>26</v>
      </c>
      <c r="T521" s="4">
        <v>0</v>
      </c>
      <c r="U521" s="4">
        <v>0</v>
      </c>
      <c r="V521" s="71">
        <f>IF(ISERROR(VLOOKUP($S$521,'TAR FIN'!$A$1:$O$120,15,0)),0,VLOOKUP($S$521,'TAR FIN'!$A$1:$O$120,15,0))*(1-0.12)</f>
        <v>7.7528000000000006</v>
      </c>
      <c r="W521" s="71">
        <f>IF(ISERROR(VLOOKUP($T$521,'TAR FIN'!$A$1:$O$120,15,0)),0,VLOOKUP($T$521,'TAR FIN'!$A$1:$O$120,15,0))</f>
        <v>0</v>
      </c>
      <c r="X521" s="71">
        <f>IF(ISERROR(VLOOKUP($U$521,'TAR FIN'!$A$1:$O$120,15,0)),0,VLOOKUP($U$521,'TAR FIN'!$A$1:$O$120,15,0))</f>
        <v>0</v>
      </c>
      <c r="Y521" s="71">
        <f ca="1">('TUSD BE'!$AM$32+'TUSD BF'!$AM$32+'TUSD CVA'!$AM$32)*1*(1-0.09)</f>
        <v>10.421644550274408</v>
      </c>
      <c r="Z521" s="71"/>
      <c r="AA521" s="71"/>
      <c r="AB521" s="71">
        <f>(SUBSIDIO!$J$521*SUBSIDIO!$V$521)*(0.12)/(1-0.12)</f>
        <v>18492.542400000002</v>
      </c>
      <c r="AC521" s="71">
        <f>((SUBSIDIO!$L$521*SUBSIDIO!$W$521)+(SUBSIDIO!$N$521*SUBSIDIO!$X$521))*(0.12)/(1-0.12)</f>
        <v>0</v>
      </c>
      <c r="AD521" s="71">
        <f ca="1">(SUBSIDIO!$J$521*SUBSIDIO!$Y$521)*(0.09)/(1-0.09)</f>
        <v>18029.216024841753</v>
      </c>
      <c r="AE521" s="71">
        <f>((SUBSIDIO!$L$521*SUBSIDIO!$Z$521)+(SUBSIDIO!$N$521*SUBSIDIO!$AA$521))*(0.09)/(1-0.09)</f>
        <v>0</v>
      </c>
      <c r="AF521" s="4" t="s">
        <v>1148</v>
      </c>
    </row>
    <row r="522" spans="1:32" ht="11.25" customHeight="1" x14ac:dyDescent="0.25">
      <c r="A522" s="4" t="s">
        <v>21</v>
      </c>
      <c r="B522" s="4" t="s">
        <v>33</v>
      </c>
      <c r="C522" s="4" t="s">
        <v>34</v>
      </c>
      <c r="D522" s="4" t="s">
        <v>52</v>
      </c>
      <c r="E522" s="4" t="s">
        <v>53</v>
      </c>
      <c r="F522" s="4" t="s">
        <v>25</v>
      </c>
      <c r="G522" s="4" t="s">
        <v>25</v>
      </c>
      <c r="H522" s="4" t="s">
        <v>25</v>
      </c>
      <c r="I522" s="5">
        <v>43891</v>
      </c>
      <c r="J522" s="6">
        <v>17490</v>
      </c>
      <c r="K522" s="70">
        <v>17490</v>
      </c>
      <c r="L522" s="6">
        <v>0</v>
      </c>
      <c r="M522" s="71">
        <v>0</v>
      </c>
      <c r="N522" s="6">
        <v>0</v>
      </c>
      <c r="O522" s="71">
        <v>0</v>
      </c>
      <c r="P522" s="6">
        <v>80</v>
      </c>
      <c r="Q522" s="4" t="s">
        <v>26</v>
      </c>
      <c r="R522" s="4">
        <v>0</v>
      </c>
      <c r="S522" s="4">
        <v>26</v>
      </c>
      <c r="T522" s="4">
        <v>0</v>
      </c>
      <c r="U522" s="4">
        <v>0</v>
      </c>
      <c r="V522" s="71">
        <f>IF(ISERROR(VLOOKUP($S$522,'TAR FIN'!$A$1:$O$120,15,0)),0,VLOOKUP($S$522,'TAR FIN'!$A$1:$O$120,15,0))*(1-0.12)</f>
        <v>7.7528000000000006</v>
      </c>
      <c r="W522" s="71">
        <f>IF(ISERROR(VLOOKUP($T$522,'TAR FIN'!$A$1:$O$120,15,0)),0,VLOOKUP($T$522,'TAR FIN'!$A$1:$O$120,15,0))</f>
        <v>0</v>
      </c>
      <c r="X522" s="71">
        <f>IF(ISERROR(VLOOKUP($U$522,'TAR FIN'!$A$1:$O$120,15,0)),0,VLOOKUP($U$522,'TAR FIN'!$A$1:$O$120,15,0))</f>
        <v>0</v>
      </c>
      <c r="Y522" s="71">
        <f ca="1">('TUSD BE'!$AM$32+'TUSD BF'!$AM$32+'TUSD CVA'!$AM$32)*1*(1-0.09)</f>
        <v>10.421644550274408</v>
      </c>
      <c r="Z522" s="71"/>
      <c r="AA522" s="71"/>
      <c r="AB522" s="71">
        <f>(SUBSIDIO!$J$522*SUBSIDIO!$V$522)*(0.12)/(1-0.12)</f>
        <v>18490.428</v>
      </c>
      <c r="AC522" s="71">
        <f>((SUBSIDIO!$L$522*SUBSIDIO!$W$522)+(SUBSIDIO!$N$522*SUBSIDIO!$X$522))*(0.12)/(1-0.12)</f>
        <v>0</v>
      </c>
      <c r="AD522" s="71">
        <f ca="1">(SUBSIDIO!$J$522*SUBSIDIO!$Y$522)*(0.09)/(1-0.09)</f>
        <v>18027.15460064499</v>
      </c>
      <c r="AE522" s="71">
        <f>((SUBSIDIO!$L$522*SUBSIDIO!$Z$522)+(SUBSIDIO!$N$522*SUBSIDIO!$AA$522))*(0.09)/(1-0.09)</f>
        <v>0</v>
      </c>
      <c r="AF522" s="4" t="s">
        <v>1148</v>
      </c>
    </row>
    <row r="523" spans="1:32" ht="11.25" customHeight="1" x14ac:dyDescent="0.25">
      <c r="A523" s="4" t="s">
        <v>21</v>
      </c>
      <c r="B523" s="4" t="s">
        <v>33</v>
      </c>
      <c r="C523" s="4" t="s">
        <v>34</v>
      </c>
      <c r="D523" s="4" t="s">
        <v>52</v>
      </c>
      <c r="E523" s="4" t="s">
        <v>53</v>
      </c>
      <c r="F523" s="4" t="s">
        <v>25</v>
      </c>
      <c r="G523" s="4" t="s">
        <v>25</v>
      </c>
      <c r="H523" s="4" t="s">
        <v>25</v>
      </c>
      <c r="I523" s="5">
        <v>43922</v>
      </c>
      <c r="J523" s="6">
        <v>17540</v>
      </c>
      <c r="K523" s="70">
        <v>17540</v>
      </c>
      <c r="L523" s="6">
        <v>0</v>
      </c>
      <c r="M523" s="71">
        <v>0</v>
      </c>
      <c r="N523" s="6">
        <v>0</v>
      </c>
      <c r="O523" s="71">
        <v>0</v>
      </c>
      <c r="P523" s="6">
        <v>80</v>
      </c>
      <c r="Q523" s="4" t="s">
        <v>26</v>
      </c>
      <c r="R523" s="4">
        <v>0</v>
      </c>
      <c r="S523" s="4">
        <v>26</v>
      </c>
      <c r="T523" s="4">
        <v>0</v>
      </c>
      <c r="U523" s="4">
        <v>0</v>
      </c>
      <c r="V523" s="71">
        <f>IF(ISERROR(VLOOKUP($S$523,'TAR FIN'!$A$1:$O$120,15,0)),0,VLOOKUP($S$523,'TAR FIN'!$A$1:$O$120,15,0))*(1-0.12)</f>
        <v>7.7528000000000006</v>
      </c>
      <c r="W523" s="71">
        <f>IF(ISERROR(VLOOKUP($T$523,'TAR FIN'!$A$1:$O$120,15,0)),0,VLOOKUP($T$523,'TAR FIN'!$A$1:$O$120,15,0))</f>
        <v>0</v>
      </c>
      <c r="X523" s="71">
        <f>IF(ISERROR(VLOOKUP($U$523,'TAR FIN'!$A$1:$O$120,15,0)),0,VLOOKUP($U$523,'TAR FIN'!$A$1:$O$120,15,0))</f>
        <v>0</v>
      </c>
      <c r="Y523" s="71">
        <f ca="1">('TUSD BE'!$AM$32+'TUSD BF'!$AM$32+'TUSD CVA'!$AM$32)*1*(1-0.09)</f>
        <v>10.421644550274408</v>
      </c>
      <c r="Z523" s="71"/>
      <c r="AA523" s="71"/>
      <c r="AB523" s="71">
        <f>(SUBSIDIO!$J$523*SUBSIDIO!$V$523)*(0.12)/(1-0.12)</f>
        <v>18543.288000000004</v>
      </c>
      <c r="AC523" s="71">
        <f>((SUBSIDIO!$L$523*SUBSIDIO!$W$523)+(SUBSIDIO!$N$523*SUBSIDIO!$X$523))*(0.12)/(1-0.12)</f>
        <v>0</v>
      </c>
      <c r="AD523" s="71">
        <f ca="1">(SUBSIDIO!$J$523*SUBSIDIO!$Y$523)*(0.09)/(1-0.09)</f>
        <v>18078.690205563929</v>
      </c>
      <c r="AE523" s="71">
        <f>((SUBSIDIO!$L$523*SUBSIDIO!$Z$523)+(SUBSIDIO!$N$523*SUBSIDIO!$AA$523))*(0.09)/(1-0.09)</f>
        <v>0</v>
      </c>
      <c r="AF523" s="4" t="s">
        <v>1148</v>
      </c>
    </row>
    <row r="524" spans="1:32" ht="11.25" customHeight="1" x14ac:dyDescent="0.25">
      <c r="A524" s="4" t="s">
        <v>21</v>
      </c>
      <c r="B524" s="4" t="s">
        <v>33</v>
      </c>
      <c r="C524" s="4" t="s">
        <v>34</v>
      </c>
      <c r="D524" s="4" t="s">
        <v>52</v>
      </c>
      <c r="E524" s="4" t="s">
        <v>53</v>
      </c>
      <c r="F524" s="4" t="s">
        <v>25</v>
      </c>
      <c r="G524" s="4" t="s">
        <v>25</v>
      </c>
      <c r="H524" s="4" t="s">
        <v>25</v>
      </c>
      <c r="I524" s="5">
        <v>43952</v>
      </c>
      <c r="J524" s="6">
        <v>17393</v>
      </c>
      <c r="K524" s="70">
        <v>17393</v>
      </c>
      <c r="L524" s="6">
        <v>0</v>
      </c>
      <c r="M524" s="71">
        <v>0</v>
      </c>
      <c r="N524" s="6">
        <v>0</v>
      </c>
      <c r="O524" s="71">
        <v>0</v>
      </c>
      <c r="P524" s="6">
        <v>80</v>
      </c>
      <c r="Q524" s="4" t="s">
        <v>26</v>
      </c>
      <c r="R524" s="4">
        <v>0</v>
      </c>
      <c r="S524" s="4">
        <v>26</v>
      </c>
      <c r="T524" s="4">
        <v>0</v>
      </c>
      <c r="U524" s="4">
        <v>0</v>
      </c>
      <c r="V524" s="71">
        <f>IF(ISERROR(VLOOKUP($S$524,'TAR FIN'!$A$1:$O$120,15,0)),0,VLOOKUP($S$524,'TAR FIN'!$A$1:$O$120,15,0))*(1-0.12)</f>
        <v>7.7528000000000006</v>
      </c>
      <c r="W524" s="71">
        <f>IF(ISERROR(VLOOKUP($T$524,'TAR FIN'!$A$1:$O$120,15,0)),0,VLOOKUP($T$524,'TAR FIN'!$A$1:$O$120,15,0))</f>
        <v>0</v>
      </c>
      <c r="X524" s="71">
        <f>IF(ISERROR(VLOOKUP($U$524,'TAR FIN'!$A$1:$O$120,15,0)),0,VLOOKUP($U$524,'TAR FIN'!$A$1:$O$120,15,0))</f>
        <v>0</v>
      </c>
      <c r="Y524" s="71">
        <f ca="1">('TUSD BE'!$AM$32+'TUSD BF'!$AM$32+'TUSD CVA'!$AM$32)*1*(1-0.09)</f>
        <v>10.421644550274408</v>
      </c>
      <c r="Z524" s="71"/>
      <c r="AA524" s="71"/>
      <c r="AB524" s="71">
        <f>(SUBSIDIO!$J$524*SUBSIDIO!$V$524)*(0.12)/(1-0.12)</f>
        <v>18387.8796</v>
      </c>
      <c r="AC524" s="71">
        <f>((SUBSIDIO!$L$524*SUBSIDIO!$W$524)+(SUBSIDIO!$N$524*SUBSIDIO!$X$524))*(0.12)/(1-0.12)</f>
        <v>0</v>
      </c>
      <c r="AD524" s="71">
        <f ca="1">(SUBSIDIO!$J$524*SUBSIDIO!$Y$524)*(0.09)/(1-0.09)</f>
        <v>17927.175527102252</v>
      </c>
      <c r="AE524" s="71">
        <f>((SUBSIDIO!$L$524*SUBSIDIO!$Z$524)+(SUBSIDIO!$N$524*SUBSIDIO!$AA$524))*(0.09)/(1-0.09)</f>
        <v>0</v>
      </c>
      <c r="AF524" s="4" t="s">
        <v>1148</v>
      </c>
    </row>
    <row r="525" spans="1:32" ht="11.25" customHeight="1" x14ac:dyDescent="0.25">
      <c r="A525" s="4" t="s">
        <v>21</v>
      </c>
      <c r="B525" s="4" t="s">
        <v>33</v>
      </c>
      <c r="C525" s="4" t="s">
        <v>34</v>
      </c>
      <c r="D525" s="4" t="s">
        <v>52</v>
      </c>
      <c r="E525" s="4" t="s">
        <v>53</v>
      </c>
      <c r="F525" s="4" t="s">
        <v>25</v>
      </c>
      <c r="G525" s="4" t="s">
        <v>25</v>
      </c>
      <c r="H525" s="4" t="s">
        <v>25</v>
      </c>
      <c r="I525" s="5">
        <v>43983</v>
      </c>
      <c r="J525" s="6">
        <v>17394</v>
      </c>
      <c r="K525" s="70">
        <v>17394</v>
      </c>
      <c r="L525" s="6">
        <v>0</v>
      </c>
      <c r="M525" s="71">
        <v>0</v>
      </c>
      <c r="N525" s="6">
        <v>0</v>
      </c>
      <c r="O525" s="71">
        <v>0</v>
      </c>
      <c r="P525" s="6">
        <v>80</v>
      </c>
      <c r="Q525" s="4" t="s">
        <v>26</v>
      </c>
      <c r="R525" s="4">
        <v>0</v>
      </c>
      <c r="S525" s="4">
        <v>26</v>
      </c>
      <c r="T525" s="4">
        <v>0</v>
      </c>
      <c r="U525" s="4">
        <v>0</v>
      </c>
      <c r="V525" s="71">
        <f>IF(ISERROR(VLOOKUP($S$525,'TAR FIN'!$A$1:$O$120,15,0)),0,VLOOKUP($S$525,'TAR FIN'!$A$1:$O$120,15,0))*(1-0.12)</f>
        <v>7.7528000000000006</v>
      </c>
      <c r="W525" s="71">
        <f>IF(ISERROR(VLOOKUP($T$525,'TAR FIN'!$A$1:$O$120,15,0)),0,VLOOKUP($T$525,'TAR FIN'!$A$1:$O$120,15,0))</f>
        <v>0</v>
      </c>
      <c r="X525" s="71">
        <f>IF(ISERROR(VLOOKUP($U$525,'TAR FIN'!$A$1:$O$120,15,0)),0,VLOOKUP($U$525,'TAR FIN'!$A$1:$O$120,15,0))</f>
        <v>0</v>
      </c>
      <c r="Y525" s="71">
        <f ca="1">('TUSD BE'!$AM$32+'TUSD BF'!$AM$32+'TUSD CVA'!$AM$32)*1*(1-0.09)</f>
        <v>10.421644550274408</v>
      </c>
      <c r="Z525" s="71"/>
      <c r="AA525" s="71"/>
      <c r="AB525" s="71">
        <f>(SUBSIDIO!$J$525*SUBSIDIO!$V$525)*(0.12)/(1-0.12)</f>
        <v>18388.936800000003</v>
      </c>
      <c r="AC525" s="71">
        <f>((SUBSIDIO!$L$525*SUBSIDIO!$W$525)+(SUBSIDIO!$N$525*SUBSIDIO!$X$525))*(0.12)/(1-0.12)</f>
        <v>0</v>
      </c>
      <c r="AD525" s="71">
        <f ca="1">(SUBSIDIO!$J$525*SUBSIDIO!$Y$525)*(0.09)/(1-0.09)</f>
        <v>17928.20623920063</v>
      </c>
      <c r="AE525" s="71">
        <f>((SUBSIDIO!$L$525*SUBSIDIO!$Z$525)+(SUBSIDIO!$N$525*SUBSIDIO!$AA$525))*(0.09)/(1-0.09)</f>
        <v>0</v>
      </c>
      <c r="AF525" s="4" t="s">
        <v>1148</v>
      </c>
    </row>
    <row r="526" spans="1:32" ht="11.25" customHeight="1" x14ac:dyDescent="0.25">
      <c r="A526" s="4" t="s">
        <v>21</v>
      </c>
      <c r="B526" s="4" t="s">
        <v>33</v>
      </c>
      <c r="C526" s="4" t="s">
        <v>34</v>
      </c>
      <c r="D526" s="4" t="s">
        <v>52</v>
      </c>
      <c r="E526" s="4" t="s">
        <v>53</v>
      </c>
      <c r="F526" s="4" t="s">
        <v>25</v>
      </c>
      <c r="G526" s="4" t="s">
        <v>25</v>
      </c>
      <c r="H526" s="4" t="s">
        <v>25</v>
      </c>
      <c r="I526" s="5">
        <v>44013</v>
      </c>
      <c r="J526" s="6">
        <v>17377</v>
      </c>
      <c r="K526" s="70">
        <v>17377</v>
      </c>
      <c r="L526" s="6">
        <v>0</v>
      </c>
      <c r="M526" s="71">
        <v>0</v>
      </c>
      <c r="N526" s="6">
        <v>0</v>
      </c>
      <c r="O526" s="71">
        <v>0</v>
      </c>
      <c r="P526" s="6">
        <v>80</v>
      </c>
      <c r="Q526" s="4" t="s">
        <v>26</v>
      </c>
      <c r="R526" s="4">
        <v>0</v>
      </c>
      <c r="S526" s="4">
        <v>26</v>
      </c>
      <c r="T526" s="4">
        <v>0</v>
      </c>
      <c r="U526" s="4">
        <v>0</v>
      </c>
      <c r="V526" s="71">
        <f>IF(ISERROR(VLOOKUP($S$526,'TAR FIN'!$A$1:$O$120,15,0)),0,VLOOKUP($S$526,'TAR FIN'!$A$1:$O$120,15,0))*(1-0.12)</f>
        <v>7.7528000000000006</v>
      </c>
      <c r="W526" s="71">
        <f>IF(ISERROR(VLOOKUP($T$526,'TAR FIN'!$A$1:$O$120,15,0)),0,VLOOKUP($T$526,'TAR FIN'!$A$1:$O$120,15,0))</f>
        <v>0</v>
      </c>
      <c r="X526" s="71">
        <f>IF(ISERROR(VLOOKUP($U$526,'TAR FIN'!$A$1:$O$120,15,0)),0,VLOOKUP($U$526,'TAR FIN'!$A$1:$O$120,15,0))</f>
        <v>0</v>
      </c>
      <c r="Y526" s="71">
        <f ca="1">('TUSD BE'!$AM$32+'TUSD BF'!$AM$32+'TUSD CVA'!$AM$32)*1*(1-0.09)</f>
        <v>10.421644550274408</v>
      </c>
      <c r="Z526" s="71"/>
      <c r="AA526" s="71"/>
      <c r="AB526" s="71">
        <f>(SUBSIDIO!$J$526*SUBSIDIO!$V$526)*(0.12)/(1-0.12)</f>
        <v>18370.964399999997</v>
      </c>
      <c r="AC526" s="71">
        <f>((SUBSIDIO!$L$526*SUBSIDIO!$W$526)+(SUBSIDIO!$N$526*SUBSIDIO!$X$526))*(0.12)/(1-0.12)</f>
        <v>0</v>
      </c>
      <c r="AD526" s="71">
        <f ca="1">(SUBSIDIO!$J$526*SUBSIDIO!$Y$526)*(0.09)/(1-0.09)</f>
        <v>17910.68413352819</v>
      </c>
      <c r="AE526" s="71">
        <f>((SUBSIDIO!$L$526*SUBSIDIO!$Z$526)+(SUBSIDIO!$N$526*SUBSIDIO!$AA$526))*(0.09)/(1-0.09)</f>
        <v>0</v>
      </c>
      <c r="AF526" s="4" t="s">
        <v>1148</v>
      </c>
    </row>
    <row r="527" spans="1:32" ht="11.25" customHeight="1" x14ac:dyDescent="0.25">
      <c r="A527" s="4" t="s">
        <v>21</v>
      </c>
      <c r="B527" s="4" t="s">
        <v>33</v>
      </c>
      <c r="C527" s="4" t="s">
        <v>34</v>
      </c>
      <c r="D527" s="4" t="s">
        <v>52</v>
      </c>
      <c r="E527" s="4" t="s">
        <v>53</v>
      </c>
      <c r="F527" s="4" t="s">
        <v>25</v>
      </c>
      <c r="G527" s="4" t="s">
        <v>25</v>
      </c>
      <c r="H527" s="4" t="s">
        <v>25</v>
      </c>
      <c r="I527" s="5">
        <v>44044</v>
      </c>
      <c r="J527" s="6">
        <v>17469</v>
      </c>
      <c r="K527" s="70">
        <v>17469</v>
      </c>
      <c r="L527" s="6">
        <v>0</v>
      </c>
      <c r="M527" s="71">
        <v>0</v>
      </c>
      <c r="N527" s="6">
        <v>0</v>
      </c>
      <c r="O527" s="71">
        <v>0</v>
      </c>
      <c r="P527" s="6">
        <v>80</v>
      </c>
      <c r="Q527" s="4" t="s">
        <v>26</v>
      </c>
      <c r="R527" s="4">
        <v>0</v>
      </c>
      <c r="S527" s="4">
        <v>26</v>
      </c>
      <c r="T527" s="4">
        <v>0</v>
      </c>
      <c r="U527" s="4">
        <v>0</v>
      </c>
      <c r="V527" s="71">
        <f>IF(ISERROR(VLOOKUP($S$527,'TAR FIN'!$A$1:$O$120,15,0)),0,VLOOKUP($S$527,'TAR FIN'!$A$1:$O$120,15,0))*(1-0.12)</f>
        <v>7.7528000000000006</v>
      </c>
      <c r="W527" s="71">
        <f>IF(ISERROR(VLOOKUP($T$527,'TAR FIN'!$A$1:$O$120,15,0)),0,VLOOKUP($T$527,'TAR FIN'!$A$1:$O$120,15,0))</f>
        <v>0</v>
      </c>
      <c r="X527" s="71">
        <f>IF(ISERROR(VLOOKUP($U$527,'TAR FIN'!$A$1:$O$120,15,0)),0,VLOOKUP($U$527,'TAR FIN'!$A$1:$O$120,15,0))</f>
        <v>0</v>
      </c>
      <c r="Y527" s="71">
        <f ca="1">('TUSD BE'!$AM$32+'TUSD BF'!$AM$32+'TUSD CVA'!$AM$32)*1*(1-0.09)</f>
        <v>10.421644550274408</v>
      </c>
      <c r="Z527" s="71"/>
      <c r="AA527" s="71"/>
      <c r="AB527" s="71">
        <f>(SUBSIDIO!$J$527*SUBSIDIO!$V$527)*(0.12)/(1-0.12)</f>
        <v>18468.2268</v>
      </c>
      <c r="AC527" s="71">
        <f>((SUBSIDIO!$L$527*SUBSIDIO!$W$527)+(SUBSIDIO!$N$527*SUBSIDIO!$X$527))*(0.12)/(1-0.12)</f>
        <v>0</v>
      </c>
      <c r="AD527" s="71">
        <f ca="1">(SUBSIDIO!$J$527*SUBSIDIO!$Y$527)*(0.09)/(1-0.09)</f>
        <v>18005.509646579038</v>
      </c>
      <c r="AE527" s="71">
        <f>((SUBSIDIO!$L$527*SUBSIDIO!$Z$527)+(SUBSIDIO!$N$527*SUBSIDIO!$AA$527))*(0.09)/(1-0.09)</f>
        <v>0</v>
      </c>
      <c r="AF527" s="4" t="s">
        <v>1148</v>
      </c>
    </row>
    <row r="528" spans="1:32" ht="11.25" customHeight="1" x14ac:dyDescent="0.25">
      <c r="A528" s="4" t="s">
        <v>59</v>
      </c>
      <c r="B528" s="4" t="s">
        <v>33</v>
      </c>
      <c r="C528" s="4" t="s">
        <v>34</v>
      </c>
      <c r="D528" s="4" t="s">
        <v>52</v>
      </c>
      <c r="E528" s="4" t="s">
        <v>53</v>
      </c>
      <c r="F528" s="4" t="s">
        <v>25</v>
      </c>
      <c r="G528" s="4" t="s">
        <v>25</v>
      </c>
      <c r="H528" s="4" t="s">
        <v>25</v>
      </c>
      <c r="I528" s="5">
        <v>44075</v>
      </c>
      <c r="J528" s="6">
        <v>17469</v>
      </c>
      <c r="K528" s="70">
        <v>17469</v>
      </c>
      <c r="L528" s="6">
        <v>0</v>
      </c>
      <c r="M528" s="71">
        <v>0</v>
      </c>
      <c r="N528" s="6">
        <v>0</v>
      </c>
      <c r="O528" s="71">
        <v>0</v>
      </c>
      <c r="P528" s="6">
        <v>80</v>
      </c>
      <c r="Q528" s="4" t="s">
        <v>26</v>
      </c>
      <c r="R528" s="4">
        <v>0</v>
      </c>
      <c r="S528" s="4">
        <v>26</v>
      </c>
      <c r="T528" s="4">
        <v>0</v>
      </c>
      <c r="U528" s="4">
        <v>0</v>
      </c>
      <c r="V528" s="71">
        <f>IF(ISERROR(VLOOKUP($S$528,'TAR FIN'!$A$1:$O$120,15,0)),0,VLOOKUP($S$528,'TAR FIN'!$A$1:$O$120,15,0))*(1-0.12)</f>
        <v>7.7528000000000006</v>
      </c>
      <c r="W528" s="71">
        <f>IF(ISERROR(VLOOKUP($T$528,'TAR FIN'!$A$1:$O$120,15,0)),0,VLOOKUP($T$528,'TAR FIN'!$A$1:$O$120,15,0))</f>
        <v>0</v>
      </c>
      <c r="X528" s="71">
        <f>IF(ISERROR(VLOOKUP($U$528,'TAR FIN'!$A$1:$O$120,15,0)),0,VLOOKUP($U$528,'TAR FIN'!$A$1:$O$120,15,0))</f>
        <v>0</v>
      </c>
      <c r="Y528" s="71">
        <f ca="1">('TUSD BE'!$AM$32+'TUSD BF'!$AM$32+'TUSD CVA'!$AM$32)*1*(1-0.09)</f>
        <v>10.421644550274408</v>
      </c>
      <c r="Z528" s="71"/>
      <c r="AA528" s="71"/>
      <c r="AB528" s="71">
        <f>(SUBSIDIO!$J$528*SUBSIDIO!$V$528)*(0.12)/(1-0.12)</f>
        <v>18468.2268</v>
      </c>
      <c r="AC528" s="71">
        <f>((SUBSIDIO!$L$528*SUBSIDIO!$W$528)+(SUBSIDIO!$N$528*SUBSIDIO!$X$528))*(0.12)/(1-0.12)</f>
        <v>0</v>
      </c>
      <c r="AD528" s="71">
        <f ca="1">(SUBSIDIO!$J$528*SUBSIDIO!$Y$528)*(0.09)/(1-0.09)</f>
        <v>18005.509646579038</v>
      </c>
      <c r="AE528" s="71">
        <f>((SUBSIDIO!$L$528*SUBSIDIO!$Z$528)+(SUBSIDIO!$N$528*SUBSIDIO!$AA$528))*(0.09)/(1-0.09)</f>
        <v>0</v>
      </c>
      <c r="AF528" s="4" t="s">
        <v>1148</v>
      </c>
    </row>
    <row r="529" spans="1:32" ht="11.25" customHeight="1" x14ac:dyDescent="0.25">
      <c r="A529" s="4" t="s">
        <v>21</v>
      </c>
      <c r="B529" s="4" t="s">
        <v>33</v>
      </c>
      <c r="C529" s="4" t="s">
        <v>34</v>
      </c>
      <c r="D529" s="4" t="s">
        <v>52</v>
      </c>
      <c r="E529" s="4" t="s">
        <v>53</v>
      </c>
      <c r="F529" s="4" t="s">
        <v>25</v>
      </c>
      <c r="G529" s="4" t="s">
        <v>25</v>
      </c>
      <c r="H529" s="4" t="s">
        <v>35</v>
      </c>
      <c r="I529" s="5">
        <v>43739</v>
      </c>
      <c r="J529" s="6">
        <v>0</v>
      </c>
      <c r="K529" s="71">
        <v>0</v>
      </c>
      <c r="L529" s="6">
        <v>500.017</v>
      </c>
      <c r="M529" s="71">
        <v>500.017</v>
      </c>
      <c r="N529" s="6">
        <v>500.017</v>
      </c>
      <c r="O529" s="71">
        <v>500.017</v>
      </c>
      <c r="P529" s="6">
        <v>0</v>
      </c>
      <c r="Q529" s="4" t="s">
        <v>26</v>
      </c>
      <c r="R529" s="4">
        <v>0</v>
      </c>
      <c r="S529" s="4">
        <v>0</v>
      </c>
      <c r="T529" s="4">
        <v>27</v>
      </c>
      <c r="U529" s="4">
        <v>81</v>
      </c>
      <c r="V529" s="71">
        <f>IF(ISERROR(VLOOKUP($S$529,'TAR FIN'!$A$1:$O$120,15,0)),0,VLOOKUP($S$529,'TAR FIN'!$A$1:$O$120,15,0))</f>
        <v>0</v>
      </c>
      <c r="W529" s="71">
        <f>IF(ISERROR(VLOOKUP($T$529,'TAR FIN'!$A$1:$O$120,15,0)),0,VLOOKUP($T$529,'TAR FIN'!$A$1:$O$120,15,0))*(1-0.12)</f>
        <v>564.95119999999997</v>
      </c>
      <c r="X529" s="71">
        <f>IF(ISERROR(VLOOKUP($U$529,'TAR FIN'!$A$1:$O$120,15,0)),0,VLOOKUP($U$529,'TAR FIN'!$A$1:$O$120,15,0))*(1-0.12)</f>
        <v>379.16559999999998</v>
      </c>
      <c r="Y529" s="71"/>
      <c r="Z529" s="71">
        <f ca="1">('TUSD BE'!$AM$33+'TUSD BF'!$AM$33+'TUSD CVA'!$AM$33)*1*(1-0.09)</f>
        <v>680.4376080140571</v>
      </c>
      <c r="AA529" s="71">
        <f>('TE BE'!$AA$10+'TE BF'!$AA$10+'TE CVA'!$AA$10)*1*(1-0.09)</f>
        <v>341.87954044517699</v>
      </c>
      <c r="AB529" s="71">
        <f>(SUBSIDIO!$J$529*SUBSIDIO!$V$529)*(0.12)/(1-0.12)</f>
        <v>0</v>
      </c>
      <c r="AC529" s="71">
        <f>((SUBSIDIO!$L$529*SUBSIDIO!$W$529)+(SUBSIDIO!$N$529*SUBSIDIO!$X$529))*(0.12)/(1-0.12)</f>
        <v>64373.788634399985</v>
      </c>
      <c r="AD529" s="71">
        <f>(SUBSIDIO!$J$529*SUBSIDIO!$Y$529)*(0.09)/(1-0.09)</f>
        <v>0</v>
      </c>
      <c r="AE529" s="71">
        <f ca="1">((SUBSIDIO!$L$529*SUBSIDIO!$Z$529)+(SUBSIDIO!$N$529*SUBSIDIO!$AA$529))*(0.09)/(1-0.09)</f>
        <v>50555.863544947992</v>
      </c>
      <c r="AF529" s="4" t="s">
        <v>1148</v>
      </c>
    </row>
    <row r="530" spans="1:32" ht="11.25" customHeight="1" x14ac:dyDescent="0.25">
      <c r="A530" s="4" t="s">
        <v>21</v>
      </c>
      <c r="B530" s="4" t="s">
        <v>33</v>
      </c>
      <c r="C530" s="4" t="s">
        <v>34</v>
      </c>
      <c r="D530" s="4" t="s">
        <v>52</v>
      </c>
      <c r="E530" s="4" t="s">
        <v>53</v>
      </c>
      <c r="F530" s="4" t="s">
        <v>25</v>
      </c>
      <c r="G530" s="4" t="s">
        <v>25</v>
      </c>
      <c r="H530" s="4" t="s">
        <v>35</v>
      </c>
      <c r="I530" s="5">
        <v>43770</v>
      </c>
      <c r="J530" s="6">
        <v>0</v>
      </c>
      <c r="K530" s="71">
        <v>0</v>
      </c>
      <c r="L530" s="6">
        <v>475.28300000000002</v>
      </c>
      <c r="M530" s="71">
        <v>475.28300000000002</v>
      </c>
      <c r="N530" s="6">
        <v>475.28300000000002</v>
      </c>
      <c r="O530" s="71">
        <v>475.28300000000002</v>
      </c>
      <c r="P530" s="6">
        <v>0</v>
      </c>
      <c r="Q530" s="4" t="s">
        <v>26</v>
      </c>
      <c r="R530" s="4">
        <v>0</v>
      </c>
      <c r="S530" s="4">
        <v>0</v>
      </c>
      <c r="T530" s="4">
        <v>27</v>
      </c>
      <c r="U530" s="4">
        <v>81</v>
      </c>
      <c r="V530" s="71">
        <f>IF(ISERROR(VLOOKUP($S$530,'TAR FIN'!$A$1:$O$120,15,0)),0,VLOOKUP($S$530,'TAR FIN'!$A$1:$O$120,15,0))</f>
        <v>0</v>
      </c>
      <c r="W530" s="71">
        <f>IF(ISERROR(VLOOKUP($T$530,'TAR FIN'!$A$1:$O$120,15,0)),0,VLOOKUP($T$530,'TAR FIN'!$A$1:$O$120,15,0))*(1-0.12)</f>
        <v>564.95119999999997</v>
      </c>
      <c r="X530" s="71">
        <f>IF(ISERROR(VLOOKUP($U$530,'TAR FIN'!$A$1:$O$120,15,0)),0,VLOOKUP($U$530,'TAR FIN'!$A$1:$O$120,15,0))*(1-0.12)</f>
        <v>379.16559999999998</v>
      </c>
      <c r="Y530" s="71"/>
      <c r="Z530" s="71">
        <f ca="1">('TUSD BE'!$AM$33+'TUSD BF'!$AM$33+'TUSD CVA'!$AM$33)*1*(1-0.09)</f>
        <v>680.4376080140571</v>
      </c>
      <c r="AA530" s="71">
        <f>('TE BE'!$AA$10+'TE BF'!$AA$10+'TE CVA'!$AA$10)*1*(1-0.09)</f>
        <v>341.87954044517699</v>
      </c>
      <c r="AB530" s="71">
        <f>(SUBSIDIO!$J$530*SUBSIDIO!$V$530)*(0.12)/(1-0.12)</f>
        <v>0</v>
      </c>
      <c r="AC530" s="71">
        <f>((SUBSIDIO!$L$530*SUBSIDIO!$W$530)+(SUBSIDIO!$N$530*SUBSIDIO!$X$530))*(0.12)/(1-0.12)</f>
        <v>61189.454325599996</v>
      </c>
      <c r="AD530" s="71">
        <f>(SUBSIDIO!$J$530*SUBSIDIO!$Y$530)*(0.09)/(1-0.09)</f>
        <v>0</v>
      </c>
      <c r="AE530" s="71">
        <f ca="1">((SUBSIDIO!$L$530*SUBSIDIO!$Z$530)+(SUBSIDIO!$N$530*SUBSIDIO!$AA$530))*(0.09)/(1-0.09)</f>
        <v>48055.051114729133</v>
      </c>
      <c r="AF530" s="4" t="s">
        <v>1148</v>
      </c>
    </row>
    <row r="531" spans="1:32" ht="11.25" customHeight="1" x14ac:dyDescent="0.25">
      <c r="A531" s="4" t="s">
        <v>21</v>
      </c>
      <c r="B531" s="4" t="s">
        <v>33</v>
      </c>
      <c r="C531" s="4" t="s">
        <v>34</v>
      </c>
      <c r="D531" s="4" t="s">
        <v>52</v>
      </c>
      <c r="E531" s="4" t="s">
        <v>53</v>
      </c>
      <c r="F531" s="4" t="s">
        <v>25</v>
      </c>
      <c r="G531" s="4" t="s">
        <v>25</v>
      </c>
      <c r="H531" s="4" t="s">
        <v>35</v>
      </c>
      <c r="I531" s="5">
        <v>43800</v>
      </c>
      <c r="J531" s="6">
        <v>0</v>
      </c>
      <c r="K531" s="71">
        <v>0</v>
      </c>
      <c r="L531" s="6">
        <v>456.238</v>
      </c>
      <c r="M531" s="71">
        <v>456.238</v>
      </c>
      <c r="N531" s="6">
        <v>456.238</v>
      </c>
      <c r="O531" s="71">
        <v>456.238</v>
      </c>
      <c r="P531" s="6">
        <v>0</v>
      </c>
      <c r="Q531" s="4" t="s">
        <v>26</v>
      </c>
      <c r="R531" s="4">
        <v>0</v>
      </c>
      <c r="S531" s="4">
        <v>0</v>
      </c>
      <c r="T531" s="4">
        <v>27</v>
      </c>
      <c r="U531" s="4">
        <v>81</v>
      </c>
      <c r="V531" s="71">
        <f>IF(ISERROR(VLOOKUP($S$531,'TAR FIN'!$A$1:$O$120,15,0)),0,VLOOKUP($S$531,'TAR FIN'!$A$1:$O$120,15,0))</f>
        <v>0</v>
      </c>
      <c r="W531" s="71">
        <f>IF(ISERROR(VLOOKUP($T$531,'TAR FIN'!$A$1:$O$120,15,0)),0,VLOOKUP($T$531,'TAR FIN'!$A$1:$O$120,15,0))*(1-0.12)</f>
        <v>564.95119999999997</v>
      </c>
      <c r="X531" s="71">
        <f>IF(ISERROR(VLOOKUP($U$531,'TAR FIN'!$A$1:$O$120,15,0)),0,VLOOKUP($U$531,'TAR FIN'!$A$1:$O$120,15,0))*(1-0.12)</f>
        <v>379.16559999999998</v>
      </c>
      <c r="Y531" s="71"/>
      <c r="Z531" s="71">
        <f ca="1">('TUSD BE'!$AM$33+'TUSD BF'!$AM$33+'TUSD CVA'!$AM$33)*1*(1-0.09)</f>
        <v>680.4376080140571</v>
      </c>
      <c r="AA531" s="71">
        <f>('TE BE'!$AA$10+'TE BF'!$AA$10+'TE CVA'!$AA$10)*1*(1-0.09)</f>
        <v>341.87954044517699</v>
      </c>
      <c r="AB531" s="71">
        <f>(SUBSIDIO!$J$531*SUBSIDIO!$V$531)*(0.12)/(1-0.12)</f>
        <v>0</v>
      </c>
      <c r="AC531" s="71">
        <f>((SUBSIDIO!$L$531*SUBSIDIO!$W$531)+(SUBSIDIO!$N$531*SUBSIDIO!$X$531))*(0.12)/(1-0.12)</f>
        <v>58737.540081599996</v>
      </c>
      <c r="AD531" s="71">
        <f>(SUBSIDIO!$J$531*SUBSIDIO!$Y$531)*(0.09)/(1-0.09)</f>
        <v>0</v>
      </c>
      <c r="AE531" s="71">
        <f ca="1">((SUBSIDIO!$L$531*SUBSIDIO!$Z$531)+(SUBSIDIO!$N$531*SUBSIDIO!$AA$531))*(0.09)/(1-0.09)</f>
        <v>46129.443742952695</v>
      </c>
      <c r="AF531" s="4" t="s">
        <v>1148</v>
      </c>
    </row>
    <row r="532" spans="1:32" ht="11.25" customHeight="1" x14ac:dyDescent="0.25">
      <c r="A532" s="4" t="s">
        <v>21</v>
      </c>
      <c r="B532" s="4" t="s">
        <v>33</v>
      </c>
      <c r="C532" s="4" t="s">
        <v>34</v>
      </c>
      <c r="D532" s="4" t="s">
        <v>52</v>
      </c>
      <c r="E532" s="4" t="s">
        <v>53</v>
      </c>
      <c r="F532" s="4" t="s">
        <v>25</v>
      </c>
      <c r="G532" s="4" t="s">
        <v>25</v>
      </c>
      <c r="H532" s="4" t="s">
        <v>35</v>
      </c>
      <c r="I532" s="5">
        <v>43831</v>
      </c>
      <c r="J532" s="6">
        <v>0</v>
      </c>
      <c r="K532" s="71">
        <v>0</v>
      </c>
      <c r="L532" s="6">
        <v>508.66</v>
      </c>
      <c r="M532" s="71">
        <v>508.66</v>
      </c>
      <c r="N532" s="6">
        <v>508.66</v>
      </c>
      <c r="O532" s="71">
        <v>508.66</v>
      </c>
      <c r="P532" s="6">
        <v>0</v>
      </c>
      <c r="Q532" s="4" t="s">
        <v>26</v>
      </c>
      <c r="R532" s="4">
        <v>0</v>
      </c>
      <c r="S532" s="4">
        <v>0</v>
      </c>
      <c r="T532" s="4">
        <v>27</v>
      </c>
      <c r="U532" s="4">
        <v>81</v>
      </c>
      <c r="V532" s="71">
        <f>IF(ISERROR(VLOOKUP($S$532,'TAR FIN'!$A$1:$O$120,15,0)),0,VLOOKUP($S$532,'TAR FIN'!$A$1:$O$120,15,0))</f>
        <v>0</v>
      </c>
      <c r="W532" s="71">
        <f>IF(ISERROR(VLOOKUP($T$532,'TAR FIN'!$A$1:$O$120,15,0)),0,VLOOKUP($T$532,'TAR FIN'!$A$1:$O$120,15,0))*(1-0.12)</f>
        <v>564.95119999999997</v>
      </c>
      <c r="X532" s="71">
        <f>IF(ISERROR(VLOOKUP($U$532,'TAR FIN'!$A$1:$O$120,15,0)),0,VLOOKUP($U$532,'TAR FIN'!$A$1:$O$120,15,0))*(1-0.12)</f>
        <v>379.16559999999998</v>
      </c>
      <c r="Y532" s="71"/>
      <c r="Z532" s="71">
        <f ca="1">('TUSD BE'!$AM$33+'TUSD BF'!$AM$33+'TUSD CVA'!$AM$33)*1*(1-0.09)</f>
        <v>680.4376080140571</v>
      </c>
      <c r="AA532" s="71">
        <f>('TE BE'!$AA$10+'TE BF'!$AA$10+'TE CVA'!$AA$10)*1*(1-0.09)</f>
        <v>341.87954044517699</v>
      </c>
      <c r="AB532" s="71">
        <f>(SUBSIDIO!$J$532*SUBSIDIO!$V$532)*(0.12)/(1-0.12)</f>
        <v>0</v>
      </c>
      <c r="AC532" s="71">
        <f>((SUBSIDIO!$L$532*SUBSIDIO!$W$532)+(SUBSIDIO!$N$532*SUBSIDIO!$X$532))*(0.12)/(1-0.12)</f>
        <v>65486.51611199999</v>
      </c>
      <c r="AD532" s="71">
        <f>(SUBSIDIO!$J$532*SUBSIDIO!$Y$532)*(0.09)/(1-0.09)</f>
        <v>0</v>
      </c>
      <c r="AE532" s="71">
        <f ca="1">((SUBSIDIO!$L$532*SUBSIDIO!$Z$532)+(SUBSIDIO!$N$532*SUBSIDIO!$AA$532))*(0.09)/(1-0.09)</f>
        <v>51429.742490301825</v>
      </c>
      <c r="AF532" s="4" t="s">
        <v>1148</v>
      </c>
    </row>
    <row r="533" spans="1:32" ht="11.25" customHeight="1" x14ac:dyDescent="0.25">
      <c r="A533" s="4" t="s">
        <v>21</v>
      </c>
      <c r="B533" s="4" t="s">
        <v>33</v>
      </c>
      <c r="C533" s="4" t="s">
        <v>34</v>
      </c>
      <c r="D533" s="4" t="s">
        <v>52</v>
      </c>
      <c r="E533" s="4" t="s">
        <v>53</v>
      </c>
      <c r="F533" s="4" t="s">
        <v>25</v>
      </c>
      <c r="G533" s="4" t="s">
        <v>25</v>
      </c>
      <c r="H533" s="4" t="s">
        <v>35</v>
      </c>
      <c r="I533" s="5">
        <v>43862</v>
      </c>
      <c r="J533" s="6">
        <v>0</v>
      </c>
      <c r="K533" s="71">
        <v>0</v>
      </c>
      <c r="L533" s="6">
        <v>536.274</v>
      </c>
      <c r="M533" s="71">
        <v>536.274</v>
      </c>
      <c r="N533" s="6">
        <v>536.274</v>
      </c>
      <c r="O533" s="71">
        <v>536.274</v>
      </c>
      <c r="P533" s="6">
        <v>0</v>
      </c>
      <c r="Q533" s="4" t="s">
        <v>26</v>
      </c>
      <c r="R533" s="4">
        <v>0</v>
      </c>
      <c r="S533" s="4">
        <v>0</v>
      </c>
      <c r="T533" s="4">
        <v>27</v>
      </c>
      <c r="U533" s="4">
        <v>81</v>
      </c>
      <c r="V533" s="71">
        <f>IF(ISERROR(VLOOKUP($S$533,'TAR FIN'!$A$1:$O$120,15,0)),0,VLOOKUP($S$533,'TAR FIN'!$A$1:$O$120,15,0))</f>
        <v>0</v>
      </c>
      <c r="W533" s="71">
        <f>IF(ISERROR(VLOOKUP($T$533,'TAR FIN'!$A$1:$O$120,15,0)),0,VLOOKUP($T$533,'TAR FIN'!$A$1:$O$120,15,0))*(1-0.12)</f>
        <v>564.95119999999997</v>
      </c>
      <c r="X533" s="71">
        <f>IF(ISERROR(VLOOKUP($U$533,'TAR FIN'!$A$1:$O$120,15,0)),0,VLOOKUP($U$533,'TAR FIN'!$A$1:$O$120,15,0))*(1-0.12)</f>
        <v>379.16559999999998</v>
      </c>
      <c r="Y533" s="71"/>
      <c r="Z533" s="71">
        <f ca="1">('TUSD BE'!$AM$33+'TUSD BF'!$AM$33+'TUSD CVA'!$AM$33)*1*(1-0.09)</f>
        <v>680.4376080140571</v>
      </c>
      <c r="AA533" s="71">
        <f>('TE BE'!$AA$10+'TE BF'!$AA$10+'TE CVA'!$AA$10)*1*(1-0.09)</f>
        <v>341.87954044517699</v>
      </c>
      <c r="AB533" s="71">
        <f>(SUBSIDIO!$J$533*SUBSIDIO!$V$533)*(0.12)/(1-0.12)</f>
        <v>0</v>
      </c>
      <c r="AC533" s="71">
        <f>((SUBSIDIO!$L$533*SUBSIDIO!$W$533)+(SUBSIDIO!$N$533*SUBSIDIO!$X$533))*(0.12)/(1-0.12)</f>
        <v>69041.630836799988</v>
      </c>
      <c r="AD533" s="71">
        <f>(SUBSIDIO!$J$533*SUBSIDIO!$Y$533)*(0.09)/(1-0.09)</f>
        <v>0</v>
      </c>
      <c r="AE533" s="71">
        <f ca="1">((SUBSIDIO!$L$533*SUBSIDIO!$Z$533)+(SUBSIDIO!$N$533*SUBSIDIO!$AA$533))*(0.09)/(1-0.09)</f>
        <v>54221.746794015882</v>
      </c>
      <c r="AF533" s="4" t="s">
        <v>1148</v>
      </c>
    </row>
    <row r="534" spans="1:32" ht="11.25" customHeight="1" x14ac:dyDescent="0.25">
      <c r="A534" s="4" t="s">
        <v>21</v>
      </c>
      <c r="B534" s="4" t="s">
        <v>33</v>
      </c>
      <c r="C534" s="4" t="s">
        <v>34</v>
      </c>
      <c r="D534" s="4" t="s">
        <v>52</v>
      </c>
      <c r="E534" s="4" t="s">
        <v>53</v>
      </c>
      <c r="F534" s="4" t="s">
        <v>25</v>
      </c>
      <c r="G534" s="4" t="s">
        <v>25</v>
      </c>
      <c r="H534" s="4" t="s">
        <v>35</v>
      </c>
      <c r="I534" s="5">
        <v>43891</v>
      </c>
      <c r="J534" s="6">
        <v>0</v>
      </c>
      <c r="K534" s="71">
        <v>0</v>
      </c>
      <c r="L534" s="6">
        <v>481.88099999999997</v>
      </c>
      <c r="M534" s="71">
        <v>481.88099999999997</v>
      </c>
      <c r="N534" s="6">
        <v>481.88099999999997</v>
      </c>
      <c r="O534" s="71">
        <v>481.88099999999997</v>
      </c>
      <c r="P534" s="6">
        <v>0</v>
      </c>
      <c r="Q534" s="4" t="s">
        <v>26</v>
      </c>
      <c r="R534" s="4">
        <v>0</v>
      </c>
      <c r="S534" s="4">
        <v>0</v>
      </c>
      <c r="T534" s="4">
        <v>27</v>
      </c>
      <c r="U534" s="4">
        <v>81</v>
      </c>
      <c r="V534" s="71">
        <f>IF(ISERROR(VLOOKUP($S$534,'TAR FIN'!$A$1:$O$120,15,0)),0,VLOOKUP($S$534,'TAR FIN'!$A$1:$O$120,15,0))</f>
        <v>0</v>
      </c>
      <c r="W534" s="71">
        <f>IF(ISERROR(VLOOKUP($T$534,'TAR FIN'!$A$1:$O$120,15,0)),0,VLOOKUP($T$534,'TAR FIN'!$A$1:$O$120,15,0))*(1-0.12)</f>
        <v>564.95119999999997</v>
      </c>
      <c r="X534" s="71">
        <f>IF(ISERROR(VLOOKUP($U$534,'TAR FIN'!$A$1:$O$120,15,0)),0,VLOOKUP($U$534,'TAR FIN'!$A$1:$O$120,15,0))*(1-0.12)</f>
        <v>379.16559999999998</v>
      </c>
      <c r="Y534" s="71"/>
      <c r="Z534" s="71">
        <f ca="1">('TUSD BE'!$AM$33+'TUSD BF'!$AM$33+'TUSD CVA'!$AM$33)*1*(1-0.09)</f>
        <v>680.4376080140571</v>
      </c>
      <c r="AA534" s="71">
        <f>('TE BE'!$AA$10+'TE BF'!$AA$10+'TE CVA'!$AA$10)*1*(1-0.09)</f>
        <v>341.87954044517699</v>
      </c>
      <c r="AB534" s="71">
        <f>(SUBSIDIO!$J$534*SUBSIDIO!$V$534)*(0.12)/(1-0.12)</f>
        <v>0</v>
      </c>
      <c r="AC534" s="71">
        <f>((SUBSIDIO!$L$534*SUBSIDIO!$W$534)+(SUBSIDIO!$N$534*SUBSIDIO!$X$534))*(0.12)/(1-0.12)</f>
        <v>62038.90195919999</v>
      </c>
      <c r="AD534" s="71">
        <f>(SUBSIDIO!$J$534*SUBSIDIO!$Y$534)*(0.09)/(1-0.09)</f>
        <v>0</v>
      </c>
      <c r="AE534" s="71">
        <f ca="1">((SUBSIDIO!$L$534*SUBSIDIO!$Z$534)+(SUBSIDIO!$N$534*SUBSIDIO!$AA$534))*(0.09)/(1-0.09)</f>
        <v>48722.163608243478</v>
      </c>
      <c r="AF534" s="4" t="s">
        <v>1148</v>
      </c>
    </row>
    <row r="535" spans="1:32" ht="11.25" customHeight="1" x14ac:dyDescent="0.25">
      <c r="A535" s="4" t="s">
        <v>21</v>
      </c>
      <c r="B535" s="4" t="s">
        <v>33</v>
      </c>
      <c r="C535" s="4" t="s">
        <v>34</v>
      </c>
      <c r="D535" s="4" t="s">
        <v>52</v>
      </c>
      <c r="E535" s="4" t="s">
        <v>53</v>
      </c>
      <c r="F535" s="4" t="s">
        <v>25</v>
      </c>
      <c r="G535" s="4" t="s">
        <v>25</v>
      </c>
      <c r="H535" s="4" t="s">
        <v>35</v>
      </c>
      <c r="I535" s="5">
        <v>43922</v>
      </c>
      <c r="J535" s="6">
        <v>0</v>
      </c>
      <c r="K535" s="71">
        <v>0</v>
      </c>
      <c r="L535" s="6">
        <v>503.37200000000001</v>
      </c>
      <c r="M535" s="71">
        <v>503.37200000000001</v>
      </c>
      <c r="N535" s="6">
        <v>503.37200000000001</v>
      </c>
      <c r="O535" s="71">
        <v>503.37200000000001</v>
      </c>
      <c r="P535" s="6">
        <v>0</v>
      </c>
      <c r="Q535" s="4" t="s">
        <v>26</v>
      </c>
      <c r="R535" s="4">
        <v>0</v>
      </c>
      <c r="S535" s="4">
        <v>0</v>
      </c>
      <c r="T535" s="4">
        <v>27</v>
      </c>
      <c r="U535" s="4">
        <v>81</v>
      </c>
      <c r="V535" s="71">
        <f>IF(ISERROR(VLOOKUP($S$535,'TAR FIN'!$A$1:$O$120,15,0)),0,VLOOKUP($S$535,'TAR FIN'!$A$1:$O$120,15,0))</f>
        <v>0</v>
      </c>
      <c r="W535" s="71">
        <f>IF(ISERROR(VLOOKUP($T$535,'TAR FIN'!$A$1:$O$120,15,0)),0,VLOOKUP($T$535,'TAR FIN'!$A$1:$O$120,15,0))*(1-0.12)</f>
        <v>564.95119999999997</v>
      </c>
      <c r="X535" s="71">
        <f>IF(ISERROR(VLOOKUP($U$535,'TAR FIN'!$A$1:$O$120,15,0)),0,VLOOKUP($U$535,'TAR FIN'!$A$1:$O$120,15,0))*(1-0.12)</f>
        <v>379.16559999999998</v>
      </c>
      <c r="Y535" s="71"/>
      <c r="Z535" s="71">
        <f ca="1">('TUSD BE'!$AM$33+'TUSD BF'!$AM$33+'TUSD CVA'!$AM$33)*1*(1-0.09)</f>
        <v>680.4376080140571</v>
      </c>
      <c r="AA535" s="71">
        <f>('TE BE'!$AA$10+'TE BF'!$AA$10+'TE CVA'!$AA$10)*1*(1-0.09)</f>
        <v>341.87954044517699</v>
      </c>
      <c r="AB535" s="71">
        <f>(SUBSIDIO!$J$535*SUBSIDIO!$V$535)*(0.12)/(1-0.12)</f>
        <v>0</v>
      </c>
      <c r="AC535" s="71">
        <f>((SUBSIDIO!$L$535*SUBSIDIO!$W$535)+(SUBSIDIO!$N$535*SUBSIDIO!$X$535))*(0.12)/(1-0.12)</f>
        <v>64805.722070399999</v>
      </c>
      <c r="AD535" s="71">
        <f>(SUBSIDIO!$J$535*SUBSIDIO!$Y$535)*(0.09)/(1-0.09)</f>
        <v>0</v>
      </c>
      <c r="AE535" s="71">
        <f ca="1">((SUBSIDIO!$L$535*SUBSIDIO!$Z$535)+(SUBSIDIO!$N$535*SUBSIDIO!$AA$535))*(0.09)/(1-0.09)</f>
        <v>50895.081855912016</v>
      </c>
      <c r="AF535" s="4" t="s">
        <v>1148</v>
      </c>
    </row>
    <row r="536" spans="1:32" ht="11.25" customHeight="1" x14ac:dyDescent="0.25">
      <c r="A536" s="4" t="s">
        <v>21</v>
      </c>
      <c r="B536" s="4" t="s">
        <v>33</v>
      </c>
      <c r="C536" s="4" t="s">
        <v>34</v>
      </c>
      <c r="D536" s="4" t="s">
        <v>52</v>
      </c>
      <c r="E536" s="4" t="s">
        <v>53</v>
      </c>
      <c r="F536" s="4" t="s">
        <v>25</v>
      </c>
      <c r="G536" s="4" t="s">
        <v>25</v>
      </c>
      <c r="H536" s="4" t="s">
        <v>35</v>
      </c>
      <c r="I536" s="5">
        <v>43952</v>
      </c>
      <c r="J536" s="6">
        <v>0</v>
      </c>
      <c r="K536" s="71">
        <v>0</v>
      </c>
      <c r="L536" s="6">
        <v>438.33699999999999</v>
      </c>
      <c r="M536" s="71">
        <v>438.33699999999999</v>
      </c>
      <c r="N536" s="6">
        <v>438.33699999999999</v>
      </c>
      <c r="O536" s="71">
        <v>438.33699999999999</v>
      </c>
      <c r="P536" s="6">
        <v>0</v>
      </c>
      <c r="Q536" s="4" t="s">
        <v>26</v>
      </c>
      <c r="R536" s="4">
        <v>0</v>
      </c>
      <c r="S536" s="4">
        <v>0</v>
      </c>
      <c r="T536" s="4">
        <v>27</v>
      </c>
      <c r="U536" s="4">
        <v>81</v>
      </c>
      <c r="V536" s="71">
        <f>IF(ISERROR(VLOOKUP($S$536,'TAR FIN'!$A$1:$O$120,15,0)),0,VLOOKUP($S$536,'TAR FIN'!$A$1:$O$120,15,0))</f>
        <v>0</v>
      </c>
      <c r="W536" s="71">
        <f>IF(ISERROR(VLOOKUP($T$536,'TAR FIN'!$A$1:$O$120,15,0)),0,VLOOKUP($T$536,'TAR FIN'!$A$1:$O$120,15,0))*(1-0.12)</f>
        <v>564.95119999999997</v>
      </c>
      <c r="X536" s="71">
        <f>IF(ISERROR(VLOOKUP($U$536,'TAR FIN'!$A$1:$O$120,15,0)),0,VLOOKUP($U$536,'TAR FIN'!$A$1:$O$120,15,0))*(1-0.12)</f>
        <v>379.16559999999998</v>
      </c>
      <c r="Y536" s="71"/>
      <c r="Z536" s="71">
        <f ca="1">('TUSD BE'!$AM$33+'TUSD BF'!$AM$33+'TUSD CVA'!$AM$33)*1*(1-0.09)</f>
        <v>680.4376080140571</v>
      </c>
      <c r="AA536" s="71">
        <f>('TE BE'!$AA$10+'TE BF'!$AA$10+'TE CVA'!$AA$10)*1*(1-0.09)</f>
        <v>341.87954044517699</v>
      </c>
      <c r="AB536" s="71">
        <f>(SUBSIDIO!$J$536*SUBSIDIO!$V$536)*(0.12)/(1-0.12)</f>
        <v>0</v>
      </c>
      <c r="AC536" s="71">
        <f>((SUBSIDIO!$L$536*SUBSIDIO!$W$536)+(SUBSIDIO!$N$536*SUBSIDIO!$X$536))*(0.12)/(1-0.12)</f>
        <v>56432.908058399989</v>
      </c>
      <c r="AD536" s="71">
        <f>(SUBSIDIO!$J$536*SUBSIDIO!$Y$536)*(0.09)/(1-0.09)</f>
        <v>0</v>
      </c>
      <c r="AE536" s="71">
        <f ca="1">((SUBSIDIO!$L$536*SUBSIDIO!$Z$536)+(SUBSIDIO!$N$536*SUBSIDIO!$AA$536))*(0.09)/(1-0.09)</f>
        <v>44319.504254259096</v>
      </c>
      <c r="AF536" s="4" t="s">
        <v>1148</v>
      </c>
    </row>
    <row r="537" spans="1:32" ht="11.25" customHeight="1" x14ac:dyDescent="0.25">
      <c r="A537" s="4" t="s">
        <v>21</v>
      </c>
      <c r="B537" s="4" t="s">
        <v>33</v>
      </c>
      <c r="C537" s="4" t="s">
        <v>34</v>
      </c>
      <c r="D537" s="4" t="s">
        <v>52</v>
      </c>
      <c r="E537" s="4" t="s">
        <v>53</v>
      </c>
      <c r="F537" s="4" t="s">
        <v>25</v>
      </c>
      <c r="G537" s="4" t="s">
        <v>25</v>
      </c>
      <c r="H537" s="4" t="s">
        <v>35</v>
      </c>
      <c r="I537" s="5">
        <v>43983</v>
      </c>
      <c r="J537" s="6">
        <v>0</v>
      </c>
      <c r="K537" s="71">
        <v>0</v>
      </c>
      <c r="L537" s="6">
        <v>470.84800000000001</v>
      </c>
      <c r="M537" s="71">
        <v>470.84800000000001</v>
      </c>
      <c r="N537" s="6">
        <v>470.84800000000001</v>
      </c>
      <c r="O537" s="71">
        <v>470.84800000000001</v>
      </c>
      <c r="P537" s="6">
        <v>0</v>
      </c>
      <c r="Q537" s="4" t="s">
        <v>26</v>
      </c>
      <c r="R537" s="4">
        <v>0</v>
      </c>
      <c r="S537" s="4">
        <v>0</v>
      </c>
      <c r="T537" s="4">
        <v>27</v>
      </c>
      <c r="U537" s="4">
        <v>81</v>
      </c>
      <c r="V537" s="71">
        <f>IF(ISERROR(VLOOKUP($S$537,'TAR FIN'!$A$1:$O$120,15,0)),0,VLOOKUP($S$537,'TAR FIN'!$A$1:$O$120,15,0))</f>
        <v>0</v>
      </c>
      <c r="W537" s="71">
        <f>IF(ISERROR(VLOOKUP($T$537,'TAR FIN'!$A$1:$O$120,15,0)),0,VLOOKUP($T$537,'TAR FIN'!$A$1:$O$120,15,0))*(1-0.12)</f>
        <v>564.95119999999997</v>
      </c>
      <c r="X537" s="71">
        <f>IF(ISERROR(VLOOKUP($U$537,'TAR FIN'!$A$1:$O$120,15,0)),0,VLOOKUP($U$537,'TAR FIN'!$A$1:$O$120,15,0))*(1-0.12)</f>
        <v>379.16559999999998</v>
      </c>
      <c r="Y537" s="71"/>
      <c r="Z537" s="71">
        <f ca="1">('TUSD BE'!$AM$33+'TUSD BF'!$AM$33+'TUSD CVA'!$AM$33)*1*(1-0.09)</f>
        <v>680.4376080140571</v>
      </c>
      <c r="AA537" s="71">
        <f>('TE BE'!$AA$10+'TE BF'!$AA$10+'TE CVA'!$AA$10)*1*(1-0.09)</f>
        <v>341.87954044517699</v>
      </c>
      <c r="AB537" s="71">
        <f>(SUBSIDIO!$J$537*SUBSIDIO!$V$537)*(0.12)/(1-0.12)</f>
        <v>0</v>
      </c>
      <c r="AC537" s="71">
        <f>((SUBSIDIO!$L$537*SUBSIDIO!$W$537)+(SUBSIDIO!$N$537*SUBSIDIO!$X$537))*(0.12)/(1-0.12)</f>
        <v>60618.478233599992</v>
      </c>
      <c r="AD537" s="71">
        <f>(SUBSIDIO!$J$537*SUBSIDIO!$Y$537)*(0.09)/(1-0.09)</f>
        <v>0</v>
      </c>
      <c r="AE537" s="71">
        <f ca="1">((SUBSIDIO!$L$537*SUBSIDIO!$Z$537)+(SUBSIDIO!$N$537*SUBSIDIO!$AA$537))*(0.09)/(1-0.09)</f>
        <v>47606.635851204403</v>
      </c>
      <c r="AF537" s="4" t="s">
        <v>1148</v>
      </c>
    </row>
    <row r="538" spans="1:32" ht="11.25" customHeight="1" x14ac:dyDescent="0.25">
      <c r="A538" s="4" t="s">
        <v>21</v>
      </c>
      <c r="B538" s="4" t="s">
        <v>33</v>
      </c>
      <c r="C538" s="4" t="s">
        <v>34</v>
      </c>
      <c r="D538" s="4" t="s">
        <v>52</v>
      </c>
      <c r="E538" s="4" t="s">
        <v>53</v>
      </c>
      <c r="F538" s="4" t="s">
        <v>25</v>
      </c>
      <c r="G538" s="4" t="s">
        <v>25</v>
      </c>
      <c r="H538" s="4" t="s">
        <v>35</v>
      </c>
      <c r="I538" s="5">
        <v>44013</v>
      </c>
      <c r="J538" s="6">
        <v>0</v>
      </c>
      <c r="K538" s="71">
        <v>0</v>
      </c>
      <c r="L538" s="6">
        <v>455.96699999999998</v>
      </c>
      <c r="M538" s="71">
        <v>455.96699999999998</v>
      </c>
      <c r="N538" s="6">
        <v>455.96699999999998</v>
      </c>
      <c r="O538" s="71">
        <v>455.96699999999998</v>
      </c>
      <c r="P538" s="6">
        <v>0</v>
      </c>
      <c r="Q538" s="4" t="s">
        <v>26</v>
      </c>
      <c r="R538" s="4">
        <v>0</v>
      </c>
      <c r="S538" s="4">
        <v>0</v>
      </c>
      <c r="T538" s="4">
        <v>27</v>
      </c>
      <c r="U538" s="4">
        <v>81</v>
      </c>
      <c r="V538" s="71">
        <f>IF(ISERROR(VLOOKUP($S$538,'TAR FIN'!$A$1:$O$120,15,0)),0,VLOOKUP($S$538,'TAR FIN'!$A$1:$O$120,15,0))</f>
        <v>0</v>
      </c>
      <c r="W538" s="71">
        <f>IF(ISERROR(VLOOKUP($T$538,'TAR FIN'!$A$1:$O$120,15,0)),0,VLOOKUP($T$538,'TAR FIN'!$A$1:$O$120,15,0))*(1-0.12)</f>
        <v>564.95119999999997</v>
      </c>
      <c r="X538" s="71">
        <f>IF(ISERROR(VLOOKUP($U$538,'TAR FIN'!$A$1:$O$120,15,0)),0,VLOOKUP($U$538,'TAR FIN'!$A$1:$O$120,15,0))*(1-0.12)</f>
        <v>379.16559999999998</v>
      </c>
      <c r="Y538" s="71"/>
      <c r="Z538" s="71">
        <f ca="1">('TUSD BE'!$AM$33+'TUSD BF'!$AM$33+'TUSD CVA'!$AM$33)*1*(1-0.09)</f>
        <v>680.4376080140571</v>
      </c>
      <c r="AA538" s="71">
        <f>('TE BE'!$AA$10+'TE BF'!$AA$10+'TE CVA'!$AA$10)*1*(1-0.09)</f>
        <v>341.87954044517699</v>
      </c>
      <c r="AB538" s="71">
        <f>(SUBSIDIO!$J$538*SUBSIDIO!$V$538)*(0.12)/(1-0.12)</f>
        <v>0</v>
      </c>
      <c r="AC538" s="71">
        <f>((SUBSIDIO!$L$538*SUBSIDIO!$W$538)+(SUBSIDIO!$N$538*SUBSIDIO!$X$538))*(0.12)/(1-0.12)</f>
        <v>58702.6506744</v>
      </c>
      <c r="AD538" s="71">
        <f>(SUBSIDIO!$J$538*SUBSIDIO!$Y$538)*(0.09)/(1-0.09)</f>
        <v>0</v>
      </c>
      <c r="AE538" s="71">
        <f ca="1">((SUBSIDIO!$L$538*SUBSIDIO!$Z$538)+(SUBSIDIO!$N$538*SUBSIDIO!$AA$538))*(0.09)/(1-0.09)</f>
        <v>46102.04339652312</v>
      </c>
      <c r="AF538" s="4" t="s">
        <v>1148</v>
      </c>
    </row>
    <row r="539" spans="1:32" ht="11.25" customHeight="1" x14ac:dyDescent="0.25">
      <c r="A539" s="4" t="s">
        <v>21</v>
      </c>
      <c r="B539" s="4" t="s">
        <v>33</v>
      </c>
      <c r="C539" s="4" t="s">
        <v>34</v>
      </c>
      <c r="D539" s="4" t="s">
        <v>52</v>
      </c>
      <c r="E539" s="4" t="s">
        <v>53</v>
      </c>
      <c r="F539" s="4" t="s">
        <v>25</v>
      </c>
      <c r="G539" s="4" t="s">
        <v>25</v>
      </c>
      <c r="H539" s="4" t="s">
        <v>35</v>
      </c>
      <c r="I539" s="5">
        <v>44044</v>
      </c>
      <c r="J539" s="6">
        <v>0</v>
      </c>
      <c r="K539" s="71">
        <v>0</v>
      </c>
      <c r="L539" s="6">
        <v>487.88499999999999</v>
      </c>
      <c r="M539" s="71">
        <v>487.88499999999999</v>
      </c>
      <c r="N539" s="6">
        <v>487.88499999999999</v>
      </c>
      <c r="O539" s="71">
        <v>487.88499999999999</v>
      </c>
      <c r="P539" s="6">
        <v>0</v>
      </c>
      <c r="Q539" s="4" t="s">
        <v>26</v>
      </c>
      <c r="R539" s="4">
        <v>0</v>
      </c>
      <c r="S539" s="4">
        <v>0</v>
      </c>
      <c r="T539" s="4">
        <v>27</v>
      </c>
      <c r="U539" s="4">
        <v>81</v>
      </c>
      <c r="V539" s="71">
        <f>IF(ISERROR(VLOOKUP($S$539,'TAR FIN'!$A$1:$O$120,15,0)),0,VLOOKUP($S$539,'TAR FIN'!$A$1:$O$120,15,0))</f>
        <v>0</v>
      </c>
      <c r="W539" s="71">
        <f>IF(ISERROR(VLOOKUP($T$539,'TAR FIN'!$A$1:$O$120,15,0)),0,VLOOKUP($T$539,'TAR FIN'!$A$1:$O$120,15,0))*(1-0.12)</f>
        <v>564.95119999999997</v>
      </c>
      <c r="X539" s="71">
        <f>IF(ISERROR(VLOOKUP($U$539,'TAR FIN'!$A$1:$O$120,15,0)),0,VLOOKUP($U$539,'TAR FIN'!$A$1:$O$120,15,0))*(1-0.12)</f>
        <v>379.16559999999998</v>
      </c>
      <c r="Y539" s="71"/>
      <c r="Z539" s="71">
        <f ca="1">('TUSD BE'!$AM$33+'TUSD BF'!$AM$33+'TUSD CVA'!$AM$33)*1*(1-0.09)</f>
        <v>680.4376080140571</v>
      </c>
      <c r="AA539" s="71">
        <f>('TE BE'!$AA$10+'TE BF'!$AA$10+'TE CVA'!$AA$10)*1*(1-0.09)</f>
        <v>341.87954044517699</v>
      </c>
      <c r="AB539" s="71">
        <f>(SUBSIDIO!$J$539*SUBSIDIO!$V$539)*(0.12)/(1-0.12)</f>
        <v>0</v>
      </c>
      <c r="AC539" s="71">
        <f>((SUBSIDIO!$L$539*SUBSIDIO!$W$539)+(SUBSIDIO!$N$539*SUBSIDIO!$X$539))*(0.12)/(1-0.12)</f>
        <v>62811.876131999998</v>
      </c>
      <c r="AD539" s="71">
        <f>(SUBSIDIO!$J$539*SUBSIDIO!$Y$539)*(0.09)/(1-0.09)</f>
        <v>0</v>
      </c>
      <c r="AE539" s="71">
        <f ca="1">((SUBSIDIO!$L$539*SUBSIDIO!$Z$539)+(SUBSIDIO!$N$539*SUBSIDIO!$AA$539))*(0.09)/(1-0.09)</f>
        <v>49329.217777849452</v>
      </c>
      <c r="AF539" s="4" t="s">
        <v>1148</v>
      </c>
    </row>
    <row r="540" spans="1:32" ht="11.25" customHeight="1" x14ac:dyDescent="0.25">
      <c r="A540" s="4" t="s">
        <v>59</v>
      </c>
      <c r="B540" s="4" t="s">
        <v>33</v>
      </c>
      <c r="C540" s="4" t="s">
        <v>34</v>
      </c>
      <c r="D540" s="4" t="s">
        <v>52</v>
      </c>
      <c r="E540" s="4" t="s">
        <v>53</v>
      </c>
      <c r="F540" s="4" t="s">
        <v>25</v>
      </c>
      <c r="G540" s="4" t="s">
        <v>25</v>
      </c>
      <c r="H540" s="4" t="s">
        <v>35</v>
      </c>
      <c r="I540" s="5">
        <v>44075</v>
      </c>
      <c r="J540" s="6">
        <v>0</v>
      </c>
      <c r="K540" s="71">
        <v>0</v>
      </c>
      <c r="L540" s="6">
        <v>487.88499999999999</v>
      </c>
      <c r="M540" s="71">
        <v>487.88499999999999</v>
      </c>
      <c r="N540" s="6">
        <v>487.88499999999999</v>
      </c>
      <c r="O540" s="71">
        <v>487.88499999999999</v>
      </c>
      <c r="P540" s="6">
        <v>0</v>
      </c>
      <c r="Q540" s="4" t="s">
        <v>26</v>
      </c>
      <c r="R540" s="4">
        <v>0</v>
      </c>
      <c r="S540" s="4">
        <v>0</v>
      </c>
      <c r="T540" s="4">
        <v>27</v>
      </c>
      <c r="U540" s="4">
        <v>81</v>
      </c>
      <c r="V540" s="71">
        <f>IF(ISERROR(VLOOKUP($S$540,'TAR FIN'!$A$1:$O$120,15,0)),0,VLOOKUP($S$540,'TAR FIN'!$A$1:$O$120,15,0))</f>
        <v>0</v>
      </c>
      <c r="W540" s="71">
        <f>IF(ISERROR(VLOOKUP($T$540,'TAR FIN'!$A$1:$O$120,15,0)),0,VLOOKUP($T$540,'TAR FIN'!$A$1:$O$120,15,0))*(1-0.12)</f>
        <v>564.95119999999997</v>
      </c>
      <c r="X540" s="71">
        <f>IF(ISERROR(VLOOKUP($U$540,'TAR FIN'!$A$1:$O$120,15,0)),0,VLOOKUP($U$540,'TAR FIN'!$A$1:$O$120,15,0))*(1-0.12)</f>
        <v>379.16559999999998</v>
      </c>
      <c r="Y540" s="71"/>
      <c r="Z540" s="71">
        <f ca="1">('TUSD BE'!$AM$33+'TUSD BF'!$AM$33+'TUSD CVA'!$AM$33)*1*(1-0.09)</f>
        <v>680.4376080140571</v>
      </c>
      <c r="AA540" s="71">
        <f>('TE BE'!$AA$10+'TE BF'!$AA$10+'TE CVA'!$AA$10)*1*(1-0.09)</f>
        <v>341.87954044517699</v>
      </c>
      <c r="AB540" s="71">
        <f>(SUBSIDIO!$J$540*SUBSIDIO!$V$540)*(0.12)/(1-0.12)</f>
        <v>0</v>
      </c>
      <c r="AC540" s="71">
        <f>((SUBSIDIO!$L$540*SUBSIDIO!$W$540)+(SUBSIDIO!$N$540*SUBSIDIO!$X$540))*(0.12)/(1-0.12)</f>
        <v>62811.876131999998</v>
      </c>
      <c r="AD540" s="71">
        <f>(SUBSIDIO!$J$540*SUBSIDIO!$Y$540)*(0.09)/(1-0.09)</f>
        <v>0</v>
      </c>
      <c r="AE540" s="71">
        <f ca="1">((SUBSIDIO!$L$540*SUBSIDIO!$Z$540)+(SUBSIDIO!$N$540*SUBSIDIO!$AA$540))*(0.09)/(1-0.09)</f>
        <v>49329.217777849452</v>
      </c>
      <c r="AF540" s="4" t="s">
        <v>1148</v>
      </c>
    </row>
    <row r="541" spans="1:32" ht="11.25" customHeight="1" x14ac:dyDescent="0.25">
      <c r="A541" s="4" t="s">
        <v>21</v>
      </c>
      <c r="B541" s="4" t="s">
        <v>44</v>
      </c>
      <c r="C541" s="4" t="s">
        <v>41</v>
      </c>
      <c r="D541" s="4" t="s">
        <v>40</v>
      </c>
      <c r="E541" s="4" t="s">
        <v>25</v>
      </c>
      <c r="F541" s="4" t="s">
        <v>63</v>
      </c>
      <c r="G541" s="4" t="s">
        <v>25</v>
      </c>
      <c r="H541" s="4" t="s">
        <v>36</v>
      </c>
      <c r="I541" s="5">
        <v>43739</v>
      </c>
      <c r="J541" s="6">
        <v>11307</v>
      </c>
      <c r="K541" s="6">
        <v>7176.8075336399997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4" t="s">
        <v>60</v>
      </c>
      <c r="R541" s="4">
        <v>0</v>
      </c>
      <c r="S541" s="4">
        <v>32</v>
      </c>
      <c r="T541" s="4">
        <v>0</v>
      </c>
      <c r="U541" s="4">
        <v>0</v>
      </c>
      <c r="V541" s="6">
        <f>IF(ISERROR(VLOOKUP($S$541,'TAR FIN'!$A$1:$O$120,15,0)),0,VLOOKUP($S$541,'TAR FIN'!$A$1:$O$120,15,0))</f>
        <v>12.24</v>
      </c>
      <c r="W541" s="6">
        <f>IF(ISERROR(VLOOKUP($T$541,'TAR FIN'!$A$1:$O$120,15,0)),0,VLOOKUP($T$541,'TAR FIN'!$A$1:$O$120,15,0))</f>
        <v>0</v>
      </c>
      <c r="X541" s="6">
        <f>IF(ISERROR(VLOOKUP($U$541,'TAR FIN'!$A$1:$O$120,15,0)),0,VLOOKUP($U$541,'TAR FIN'!$A$1:$O$120,15,0))</f>
        <v>0</v>
      </c>
      <c r="Y541" s="6">
        <f ca="1">('TUSD BE'!$AM$40+'TUSD BF'!$AM$40+'TUSD CVA'!$AM$40)*1</f>
        <v>16.00053546174815</v>
      </c>
      <c r="Z541" s="6">
        <f ca="1">('TUSD BE'!$AM$41+'TUSD BF'!$AM$41+'TUSD CVA'!$AM$41)*1</f>
        <v>112.97896283052546</v>
      </c>
      <c r="AA541" s="6"/>
      <c r="AB541" s="6">
        <f t="shared" ref="AB541:AB577" si="26">(J541-K541)*V541</f>
        <v>50553.555788246405</v>
      </c>
      <c r="AC541" s="6">
        <f t="shared" ref="AC541:AC577" si="27">(L541-M541)*W541+(N541-O541)*X541</f>
        <v>0</v>
      </c>
      <c r="AD541" s="6">
        <f t="shared" ref="AD541:AD577" ca="1" si="28">(J541-K541)*Y541</f>
        <v>66085.291021838231</v>
      </c>
      <c r="AE541" s="6">
        <f t="shared" ref="AE541:AE577" ca="1" si="29">(L541-M541)*Z541+(N541-O541)*AA541</f>
        <v>0</v>
      </c>
      <c r="AF541" s="4" t="s">
        <v>1150</v>
      </c>
    </row>
    <row r="542" spans="1:32" ht="11.25" customHeight="1" x14ac:dyDescent="0.25">
      <c r="A542" s="4" t="s">
        <v>21</v>
      </c>
      <c r="B542" s="4" t="s">
        <v>44</v>
      </c>
      <c r="C542" s="4" t="s">
        <v>41</v>
      </c>
      <c r="D542" s="4" t="s">
        <v>40</v>
      </c>
      <c r="E542" s="4" t="s">
        <v>25</v>
      </c>
      <c r="F542" s="4" t="s">
        <v>63</v>
      </c>
      <c r="G542" s="4" t="s">
        <v>25</v>
      </c>
      <c r="H542" s="4" t="s">
        <v>36</v>
      </c>
      <c r="I542" s="5">
        <v>43770</v>
      </c>
      <c r="J542" s="6">
        <v>11307</v>
      </c>
      <c r="K542" s="6">
        <v>7197.53134245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4" t="s">
        <v>60</v>
      </c>
      <c r="R542" s="4">
        <v>0</v>
      </c>
      <c r="S542" s="4">
        <v>32</v>
      </c>
      <c r="T542" s="4">
        <v>0</v>
      </c>
      <c r="U542" s="4">
        <v>0</v>
      </c>
      <c r="V542" s="6">
        <f>IF(ISERROR(VLOOKUP($S$542,'TAR FIN'!$A$1:$O$120,15,0)),0,VLOOKUP($S$542,'TAR FIN'!$A$1:$O$120,15,0))</f>
        <v>12.24</v>
      </c>
      <c r="W542" s="6">
        <f>IF(ISERROR(VLOOKUP($T$542,'TAR FIN'!$A$1:$O$120,15,0)),0,VLOOKUP($T$542,'TAR FIN'!$A$1:$O$120,15,0))</f>
        <v>0</v>
      </c>
      <c r="X542" s="6">
        <f>IF(ISERROR(VLOOKUP($U$542,'TAR FIN'!$A$1:$O$120,15,0)),0,VLOOKUP($U$542,'TAR FIN'!$A$1:$O$120,15,0))</f>
        <v>0</v>
      </c>
      <c r="Y542" s="6">
        <f ca="1">('TUSD BE'!$AM$40+'TUSD BF'!$AM$40+'TUSD CVA'!$AM$40)*1</f>
        <v>16.00053546174815</v>
      </c>
      <c r="Z542" s="6">
        <f ca="1">('TUSD BE'!$AM$41+'TUSD BF'!$AM$41+'TUSD CVA'!$AM$41)*1</f>
        <v>112.97896283052546</v>
      </c>
      <c r="AA542" s="6"/>
      <c r="AB542" s="6">
        <f t="shared" si="26"/>
        <v>50299.896368412003</v>
      </c>
      <c r="AC542" s="6">
        <f t="shared" si="27"/>
        <v>0</v>
      </c>
      <c r="AD542" s="6">
        <f t="shared" ca="1" si="28"/>
        <v>65753.698984071336</v>
      </c>
      <c r="AE542" s="6">
        <f t="shared" ca="1" si="29"/>
        <v>0</v>
      </c>
      <c r="AF542" s="4" t="s">
        <v>1150</v>
      </c>
    </row>
    <row r="543" spans="1:32" ht="11.25" customHeight="1" x14ac:dyDescent="0.25">
      <c r="A543" s="4" t="s">
        <v>21</v>
      </c>
      <c r="B543" s="4" t="s">
        <v>44</v>
      </c>
      <c r="C543" s="4" t="s">
        <v>41</v>
      </c>
      <c r="D543" s="4" t="s">
        <v>40</v>
      </c>
      <c r="E543" s="4" t="s">
        <v>25</v>
      </c>
      <c r="F543" s="4" t="s">
        <v>63</v>
      </c>
      <c r="G543" s="4" t="s">
        <v>25</v>
      </c>
      <c r="H543" s="4" t="s">
        <v>36</v>
      </c>
      <c r="I543" s="5">
        <v>43800</v>
      </c>
      <c r="J543" s="6">
        <v>11307</v>
      </c>
      <c r="K543" s="6">
        <v>7234.7516119800002</v>
      </c>
      <c r="L543" s="6">
        <v>0</v>
      </c>
      <c r="M543" s="6">
        <v>0</v>
      </c>
      <c r="N543" s="6">
        <v>0</v>
      </c>
      <c r="O543" s="6">
        <v>0</v>
      </c>
      <c r="P543" s="6">
        <v>0</v>
      </c>
      <c r="Q543" s="4" t="s">
        <v>60</v>
      </c>
      <c r="R543" s="4">
        <v>0</v>
      </c>
      <c r="S543" s="4">
        <v>32</v>
      </c>
      <c r="T543" s="4">
        <v>0</v>
      </c>
      <c r="U543" s="4">
        <v>0</v>
      </c>
      <c r="V543" s="6">
        <f>IF(ISERROR(VLOOKUP($S$543,'TAR FIN'!$A$1:$O$120,15,0)),0,VLOOKUP($S$543,'TAR FIN'!$A$1:$O$120,15,0))</f>
        <v>12.24</v>
      </c>
      <c r="W543" s="6">
        <f>IF(ISERROR(VLOOKUP($T$543,'TAR FIN'!$A$1:$O$120,15,0)),0,VLOOKUP($T$543,'TAR FIN'!$A$1:$O$120,15,0))</f>
        <v>0</v>
      </c>
      <c r="X543" s="6">
        <f>IF(ISERROR(VLOOKUP($U$543,'TAR FIN'!$A$1:$O$120,15,0)),0,VLOOKUP($U$543,'TAR FIN'!$A$1:$O$120,15,0))</f>
        <v>0</v>
      </c>
      <c r="Y543" s="6">
        <f ca="1">('TUSD BE'!$AM$40+'TUSD BF'!$AM$40+'TUSD CVA'!$AM$40)*1</f>
        <v>16.00053546174815</v>
      </c>
      <c r="Z543" s="6">
        <f ca="1">('TUSD BE'!$AM$41+'TUSD BF'!$AM$41+'TUSD CVA'!$AM$41)*1</f>
        <v>112.97896283052546</v>
      </c>
      <c r="AA543" s="6"/>
      <c r="AB543" s="6">
        <f t="shared" si="26"/>
        <v>49844.320269364798</v>
      </c>
      <c r="AC543" s="6">
        <f t="shared" si="27"/>
        <v>0</v>
      </c>
      <c r="AD543" s="6">
        <f t="shared" ca="1" si="28"/>
        <v>65158.154741560749</v>
      </c>
      <c r="AE543" s="6">
        <f t="shared" ca="1" si="29"/>
        <v>0</v>
      </c>
      <c r="AF543" s="4" t="s">
        <v>1150</v>
      </c>
    </row>
    <row r="544" spans="1:32" ht="11.25" customHeight="1" x14ac:dyDescent="0.25">
      <c r="A544" s="4" t="s">
        <v>21</v>
      </c>
      <c r="B544" s="4" t="s">
        <v>44</v>
      </c>
      <c r="C544" s="4" t="s">
        <v>41</v>
      </c>
      <c r="D544" s="4" t="s">
        <v>40</v>
      </c>
      <c r="E544" s="4" t="s">
        <v>25</v>
      </c>
      <c r="F544" s="4" t="s">
        <v>63</v>
      </c>
      <c r="G544" s="4" t="s">
        <v>25</v>
      </c>
      <c r="H544" s="4" t="s">
        <v>36</v>
      </c>
      <c r="I544" s="5">
        <v>43831</v>
      </c>
      <c r="J544" s="6">
        <v>12948</v>
      </c>
      <c r="K544" s="6">
        <v>8757.7600827599999</v>
      </c>
      <c r="L544" s="6">
        <v>0</v>
      </c>
      <c r="M544" s="6">
        <v>0</v>
      </c>
      <c r="N544" s="6">
        <v>0</v>
      </c>
      <c r="O544" s="6">
        <v>0</v>
      </c>
      <c r="P544" s="6">
        <v>0</v>
      </c>
      <c r="Q544" s="4" t="s">
        <v>60</v>
      </c>
      <c r="R544" s="4">
        <v>0</v>
      </c>
      <c r="S544" s="4">
        <v>32</v>
      </c>
      <c r="T544" s="4">
        <v>0</v>
      </c>
      <c r="U544" s="4">
        <v>0</v>
      </c>
      <c r="V544" s="6">
        <f>IF(ISERROR(VLOOKUP($S$544,'TAR FIN'!$A$1:$O$120,15,0)),0,VLOOKUP($S$544,'TAR FIN'!$A$1:$O$120,15,0))</f>
        <v>12.24</v>
      </c>
      <c r="W544" s="6">
        <f>IF(ISERROR(VLOOKUP($T$544,'TAR FIN'!$A$1:$O$120,15,0)),0,VLOOKUP($T$544,'TAR FIN'!$A$1:$O$120,15,0))</f>
        <v>0</v>
      </c>
      <c r="X544" s="6">
        <f>IF(ISERROR(VLOOKUP($U$544,'TAR FIN'!$A$1:$O$120,15,0)),0,VLOOKUP($U$544,'TAR FIN'!$A$1:$O$120,15,0))</f>
        <v>0</v>
      </c>
      <c r="Y544" s="6">
        <f ca="1">('TUSD BE'!$AM$40+'TUSD BF'!$AM$40+'TUSD CVA'!$AM$40)*1</f>
        <v>16.00053546174815</v>
      </c>
      <c r="Z544" s="6">
        <f ca="1">('TUSD BE'!$AM$41+'TUSD BF'!$AM$41+'TUSD CVA'!$AM$41)*1</f>
        <v>112.97896283052546</v>
      </c>
      <c r="AA544" s="6"/>
      <c r="AB544" s="6">
        <f t="shared" si="26"/>
        <v>51288.536587017603</v>
      </c>
      <c r="AC544" s="6">
        <f t="shared" si="27"/>
        <v>0</v>
      </c>
      <c r="AD544" s="6">
        <f t="shared" ca="1" si="28"/>
        <v>67046.08238903126</v>
      </c>
      <c r="AE544" s="6">
        <f t="shared" ca="1" si="29"/>
        <v>0</v>
      </c>
      <c r="AF544" s="4" t="s">
        <v>1150</v>
      </c>
    </row>
    <row r="545" spans="1:32" ht="11.25" customHeight="1" x14ac:dyDescent="0.25">
      <c r="A545" s="4" t="s">
        <v>21</v>
      </c>
      <c r="B545" s="4" t="s">
        <v>44</v>
      </c>
      <c r="C545" s="4" t="s">
        <v>41</v>
      </c>
      <c r="D545" s="4" t="s">
        <v>40</v>
      </c>
      <c r="E545" s="4" t="s">
        <v>25</v>
      </c>
      <c r="F545" s="4" t="s">
        <v>63</v>
      </c>
      <c r="G545" s="4" t="s">
        <v>25</v>
      </c>
      <c r="H545" s="4" t="s">
        <v>36</v>
      </c>
      <c r="I545" s="5">
        <v>43862</v>
      </c>
      <c r="J545" s="6">
        <v>12887</v>
      </c>
      <c r="K545" s="6">
        <v>8219.4699703900005</v>
      </c>
      <c r="L545" s="6">
        <v>0</v>
      </c>
      <c r="M545" s="6">
        <v>0</v>
      </c>
      <c r="N545" s="6">
        <v>0</v>
      </c>
      <c r="O545" s="6">
        <v>0</v>
      </c>
      <c r="P545" s="6">
        <v>0</v>
      </c>
      <c r="Q545" s="4" t="s">
        <v>60</v>
      </c>
      <c r="R545" s="4">
        <v>0</v>
      </c>
      <c r="S545" s="4">
        <v>32</v>
      </c>
      <c r="T545" s="4">
        <v>0</v>
      </c>
      <c r="U545" s="4">
        <v>0</v>
      </c>
      <c r="V545" s="6">
        <f>IF(ISERROR(VLOOKUP($S$545,'TAR FIN'!$A$1:$O$120,15,0)),0,VLOOKUP($S$545,'TAR FIN'!$A$1:$O$120,15,0))</f>
        <v>12.24</v>
      </c>
      <c r="W545" s="6">
        <f>IF(ISERROR(VLOOKUP($T$545,'TAR FIN'!$A$1:$O$120,15,0)),0,VLOOKUP($T$545,'TAR FIN'!$A$1:$O$120,15,0))</f>
        <v>0</v>
      </c>
      <c r="X545" s="6">
        <f>IF(ISERROR(VLOOKUP($U$545,'TAR FIN'!$A$1:$O$120,15,0)),0,VLOOKUP($U$545,'TAR FIN'!$A$1:$O$120,15,0))</f>
        <v>0</v>
      </c>
      <c r="Y545" s="6">
        <f ca="1">('TUSD BE'!$AM$40+'TUSD BF'!$AM$40+'TUSD CVA'!$AM$40)*1</f>
        <v>16.00053546174815</v>
      </c>
      <c r="Z545" s="6">
        <f ca="1">('TUSD BE'!$AM$41+'TUSD BF'!$AM$41+'TUSD CVA'!$AM$41)*1</f>
        <v>112.97896283052546</v>
      </c>
      <c r="AA545" s="6"/>
      <c r="AB545" s="6">
        <f t="shared" si="26"/>
        <v>57130.567562426397</v>
      </c>
      <c r="AC545" s="6">
        <f t="shared" si="27"/>
        <v>0</v>
      </c>
      <c r="AD545" s="6">
        <f t="shared" ca="1" si="28"/>
        <v>74682.979757549183</v>
      </c>
      <c r="AE545" s="6">
        <f t="shared" ca="1" si="29"/>
        <v>0</v>
      </c>
      <c r="AF545" s="4" t="s">
        <v>1150</v>
      </c>
    </row>
    <row r="546" spans="1:32" ht="11.25" customHeight="1" x14ac:dyDescent="0.25">
      <c r="A546" s="4" t="s">
        <v>21</v>
      </c>
      <c r="B546" s="4" t="s">
        <v>44</v>
      </c>
      <c r="C546" s="4" t="s">
        <v>41</v>
      </c>
      <c r="D546" s="4" t="s">
        <v>40</v>
      </c>
      <c r="E546" s="4" t="s">
        <v>25</v>
      </c>
      <c r="F546" s="4" t="s">
        <v>63</v>
      </c>
      <c r="G546" s="4" t="s">
        <v>25</v>
      </c>
      <c r="H546" s="4" t="s">
        <v>36</v>
      </c>
      <c r="I546" s="5">
        <v>43891</v>
      </c>
      <c r="J546" s="6">
        <v>12771</v>
      </c>
      <c r="K546" s="6">
        <v>8162.6822204399996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4" t="s">
        <v>60</v>
      </c>
      <c r="R546" s="4">
        <v>0</v>
      </c>
      <c r="S546" s="4">
        <v>32</v>
      </c>
      <c r="T546" s="4">
        <v>0</v>
      </c>
      <c r="U546" s="4">
        <v>0</v>
      </c>
      <c r="V546" s="6">
        <f>IF(ISERROR(VLOOKUP($S$546,'TAR FIN'!$A$1:$O$120,15,0)),0,VLOOKUP($S$546,'TAR FIN'!$A$1:$O$120,15,0))</f>
        <v>12.24</v>
      </c>
      <c r="W546" s="6">
        <f>IF(ISERROR(VLOOKUP($T$546,'TAR FIN'!$A$1:$O$120,15,0)),0,VLOOKUP($T$546,'TAR FIN'!$A$1:$O$120,15,0))</f>
        <v>0</v>
      </c>
      <c r="X546" s="6">
        <f>IF(ISERROR(VLOOKUP($U$546,'TAR FIN'!$A$1:$O$120,15,0)),0,VLOOKUP($U$546,'TAR FIN'!$A$1:$O$120,15,0))</f>
        <v>0</v>
      </c>
      <c r="Y546" s="6">
        <f ca="1">('TUSD BE'!$AM$40+'TUSD BF'!$AM$40+'TUSD CVA'!$AM$40)*1</f>
        <v>16.00053546174815</v>
      </c>
      <c r="Z546" s="6">
        <f ca="1">('TUSD BE'!$AM$41+'TUSD BF'!$AM$41+'TUSD CVA'!$AM$41)*1</f>
        <v>112.97896283052546</v>
      </c>
      <c r="AA546" s="6"/>
      <c r="AB546" s="6">
        <f t="shared" si="26"/>
        <v>56405.809621814406</v>
      </c>
      <c r="AC546" s="6">
        <f t="shared" si="27"/>
        <v>0</v>
      </c>
      <c r="AD546" s="6">
        <f t="shared" ca="1" si="28"/>
        <v>73735.552050854283</v>
      </c>
      <c r="AE546" s="6">
        <f t="shared" ca="1" si="29"/>
        <v>0</v>
      </c>
      <c r="AF546" s="4" t="s">
        <v>1150</v>
      </c>
    </row>
    <row r="547" spans="1:32" ht="11.25" customHeight="1" x14ac:dyDescent="0.25">
      <c r="A547" s="4" t="s">
        <v>21</v>
      </c>
      <c r="B547" s="4" t="s">
        <v>44</v>
      </c>
      <c r="C547" s="4" t="s">
        <v>41</v>
      </c>
      <c r="D547" s="4" t="s">
        <v>40</v>
      </c>
      <c r="E547" s="4" t="s">
        <v>25</v>
      </c>
      <c r="F547" s="4" t="s">
        <v>63</v>
      </c>
      <c r="G547" s="4" t="s">
        <v>25</v>
      </c>
      <c r="H547" s="4" t="s">
        <v>36</v>
      </c>
      <c r="I547" s="5">
        <v>43922</v>
      </c>
      <c r="J547" s="6">
        <v>12791</v>
      </c>
      <c r="K547" s="6">
        <v>8114.6468543499996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4" t="s">
        <v>60</v>
      </c>
      <c r="R547" s="4">
        <v>0</v>
      </c>
      <c r="S547" s="4">
        <v>32</v>
      </c>
      <c r="T547" s="4">
        <v>0</v>
      </c>
      <c r="U547" s="4">
        <v>0</v>
      </c>
      <c r="V547" s="6">
        <f>IF(ISERROR(VLOOKUP($S$547,'TAR FIN'!$A$1:$O$120,15,0)),0,VLOOKUP($S$547,'TAR FIN'!$A$1:$O$120,15,0))</f>
        <v>12.24</v>
      </c>
      <c r="W547" s="6">
        <f>IF(ISERROR(VLOOKUP($T$547,'TAR FIN'!$A$1:$O$120,15,0)),0,VLOOKUP($T$547,'TAR FIN'!$A$1:$O$120,15,0))</f>
        <v>0</v>
      </c>
      <c r="X547" s="6">
        <f>IF(ISERROR(VLOOKUP($U$547,'TAR FIN'!$A$1:$O$120,15,0)),0,VLOOKUP($U$547,'TAR FIN'!$A$1:$O$120,15,0))</f>
        <v>0</v>
      </c>
      <c r="Y547" s="6">
        <f ca="1">('TUSD BE'!$AM$40+'TUSD BF'!$AM$40+'TUSD CVA'!$AM$40)*1</f>
        <v>16.00053546174815</v>
      </c>
      <c r="Z547" s="6">
        <f ca="1">('TUSD BE'!$AM$41+'TUSD BF'!$AM$41+'TUSD CVA'!$AM$41)*1</f>
        <v>112.97896283052546</v>
      </c>
      <c r="AA547" s="6"/>
      <c r="AB547" s="6">
        <f t="shared" si="26"/>
        <v>57238.562502756009</v>
      </c>
      <c r="AC547" s="6">
        <f t="shared" si="27"/>
        <v>0</v>
      </c>
      <c r="AD547" s="6">
        <f t="shared" ca="1" si="28"/>
        <v>74824.154338630338</v>
      </c>
      <c r="AE547" s="6">
        <f t="shared" ca="1" si="29"/>
        <v>0</v>
      </c>
      <c r="AF547" s="4" t="s">
        <v>1150</v>
      </c>
    </row>
    <row r="548" spans="1:32" ht="11.25" customHeight="1" x14ac:dyDescent="0.25">
      <c r="A548" s="4" t="s">
        <v>21</v>
      </c>
      <c r="B548" s="4" t="s">
        <v>44</v>
      </c>
      <c r="C548" s="4" t="s">
        <v>41</v>
      </c>
      <c r="D548" s="4" t="s">
        <v>40</v>
      </c>
      <c r="E548" s="4" t="s">
        <v>25</v>
      </c>
      <c r="F548" s="4" t="s">
        <v>63</v>
      </c>
      <c r="G548" s="4" t="s">
        <v>25</v>
      </c>
      <c r="H548" s="4" t="s">
        <v>36</v>
      </c>
      <c r="I548" s="5">
        <v>43952</v>
      </c>
      <c r="J548" s="6">
        <v>12848</v>
      </c>
      <c r="K548" s="6">
        <v>8385.0359788799997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4" t="s">
        <v>60</v>
      </c>
      <c r="R548" s="4">
        <v>0</v>
      </c>
      <c r="S548" s="4">
        <v>32</v>
      </c>
      <c r="T548" s="4">
        <v>0</v>
      </c>
      <c r="U548" s="4">
        <v>0</v>
      </c>
      <c r="V548" s="6">
        <f>IF(ISERROR(VLOOKUP($S$548,'TAR FIN'!$A$1:$O$120,15,0)),0,VLOOKUP($S$548,'TAR FIN'!$A$1:$O$120,15,0))</f>
        <v>12.24</v>
      </c>
      <c r="W548" s="6">
        <f>IF(ISERROR(VLOOKUP($T$548,'TAR FIN'!$A$1:$O$120,15,0)),0,VLOOKUP($T$548,'TAR FIN'!$A$1:$O$120,15,0))</f>
        <v>0</v>
      </c>
      <c r="X548" s="6">
        <f>IF(ISERROR(VLOOKUP($U$548,'TAR FIN'!$A$1:$O$120,15,0)),0,VLOOKUP($U$548,'TAR FIN'!$A$1:$O$120,15,0))</f>
        <v>0</v>
      </c>
      <c r="Y548" s="6">
        <f ca="1">('TUSD BE'!$AM$40+'TUSD BF'!$AM$40+'TUSD CVA'!$AM$40)*1</f>
        <v>16.00053546174815</v>
      </c>
      <c r="Z548" s="6">
        <f ca="1">('TUSD BE'!$AM$41+'TUSD BF'!$AM$41+'TUSD CVA'!$AM$41)*1</f>
        <v>112.97896283052546</v>
      </c>
      <c r="AA548" s="6"/>
      <c r="AB548" s="6">
        <f t="shared" si="26"/>
        <v>54626.679618508802</v>
      </c>
      <c r="AC548" s="6">
        <f t="shared" si="27"/>
        <v>0</v>
      </c>
      <c r="AD548" s="6">
        <f t="shared" ca="1" si="28"/>
        <v>71409.814084436686</v>
      </c>
      <c r="AE548" s="6">
        <f t="shared" ca="1" si="29"/>
        <v>0</v>
      </c>
      <c r="AF548" s="4" t="s">
        <v>1150</v>
      </c>
    </row>
    <row r="549" spans="1:32" ht="11.25" customHeight="1" x14ac:dyDescent="0.25">
      <c r="A549" s="4" t="s">
        <v>21</v>
      </c>
      <c r="B549" s="4" t="s">
        <v>44</v>
      </c>
      <c r="C549" s="4" t="s">
        <v>41</v>
      </c>
      <c r="D549" s="4" t="s">
        <v>40</v>
      </c>
      <c r="E549" s="4" t="s">
        <v>25</v>
      </c>
      <c r="F549" s="4" t="s">
        <v>63</v>
      </c>
      <c r="G549" s="4" t="s">
        <v>25</v>
      </c>
      <c r="H549" s="4" t="s">
        <v>36</v>
      </c>
      <c r="I549" s="5">
        <v>43983</v>
      </c>
      <c r="J549" s="6">
        <v>12848</v>
      </c>
      <c r="K549" s="6">
        <v>8088.0828529600003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4" t="s">
        <v>60</v>
      </c>
      <c r="R549" s="4">
        <v>0</v>
      </c>
      <c r="S549" s="4">
        <v>32</v>
      </c>
      <c r="T549" s="4">
        <v>0</v>
      </c>
      <c r="U549" s="4">
        <v>0</v>
      </c>
      <c r="V549" s="6">
        <f>IF(ISERROR(VLOOKUP($S$549,'TAR FIN'!$A$1:$O$120,15,0)),0,VLOOKUP($S$549,'TAR FIN'!$A$1:$O$120,15,0))</f>
        <v>12.24</v>
      </c>
      <c r="W549" s="6">
        <f>IF(ISERROR(VLOOKUP($T$549,'TAR FIN'!$A$1:$O$120,15,0)),0,VLOOKUP($T$549,'TAR FIN'!$A$1:$O$120,15,0))</f>
        <v>0</v>
      </c>
      <c r="X549" s="6">
        <f>IF(ISERROR(VLOOKUP($U$549,'TAR FIN'!$A$1:$O$120,15,0)),0,VLOOKUP($U$549,'TAR FIN'!$A$1:$O$120,15,0))</f>
        <v>0</v>
      </c>
      <c r="Y549" s="6">
        <f ca="1">('TUSD BE'!$AM$40+'TUSD BF'!$AM$40+'TUSD CVA'!$AM$40)*1</f>
        <v>16.00053546174815</v>
      </c>
      <c r="Z549" s="6">
        <f ca="1">('TUSD BE'!$AM$41+'TUSD BF'!$AM$41+'TUSD CVA'!$AM$41)*1</f>
        <v>112.97896283052546</v>
      </c>
      <c r="AA549" s="6"/>
      <c r="AB549" s="6">
        <f t="shared" si="26"/>
        <v>58261.385879769594</v>
      </c>
      <c r="AC549" s="6">
        <f t="shared" si="27"/>
        <v>0</v>
      </c>
      <c r="AD549" s="6">
        <f t="shared" ca="1" si="28"/>
        <v>76161.223106196601</v>
      </c>
      <c r="AE549" s="6">
        <f t="shared" ca="1" si="29"/>
        <v>0</v>
      </c>
      <c r="AF549" s="4" t="s">
        <v>1150</v>
      </c>
    </row>
    <row r="550" spans="1:32" ht="11.25" customHeight="1" x14ac:dyDescent="0.25">
      <c r="A550" s="4" t="s">
        <v>21</v>
      </c>
      <c r="B550" s="4" t="s">
        <v>44</v>
      </c>
      <c r="C550" s="4" t="s">
        <v>41</v>
      </c>
      <c r="D550" s="4" t="s">
        <v>40</v>
      </c>
      <c r="E550" s="4" t="s">
        <v>25</v>
      </c>
      <c r="F550" s="4" t="s">
        <v>63</v>
      </c>
      <c r="G550" s="4" t="s">
        <v>25</v>
      </c>
      <c r="H550" s="4" t="s">
        <v>36</v>
      </c>
      <c r="I550" s="5">
        <v>44013</v>
      </c>
      <c r="J550" s="6">
        <v>11307</v>
      </c>
      <c r="K550" s="6">
        <v>7136.9102187899998</v>
      </c>
      <c r="L550" s="6">
        <v>0</v>
      </c>
      <c r="M550" s="6">
        <v>0</v>
      </c>
      <c r="N550" s="6">
        <v>0</v>
      </c>
      <c r="O550" s="6">
        <v>0</v>
      </c>
      <c r="P550" s="6">
        <v>0</v>
      </c>
      <c r="Q550" s="4" t="s">
        <v>60</v>
      </c>
      <c r="R550" s="4">
        <v>0</v>
      </c>
      <c r="S550" s="4">
        <v>32</v>
      </c>
      <c r="T550" s="4">
        <v>0</v>
      </c>
      <c r="U550" s="4">
        <v>0</v>
      </c>
      <c r="V550" s="6">
        <f>IF(ISERROR(VLOOKUP($S$550,'TAR FIN'!$A$1:$O$120,15,0)),0,VLOOKUP($S$550,'TAR FIN'!$A$1:$O$120,15,0))</f>
        <v>12.24</v>
      </c>
      <c r="W550" s="6">
        <f>IF(ISERROR(VLOOKUP($T$550,'TAR FIN'!$A$1:$O$120,15,0)),0,VLOOKUP($T$550,'TAR FIN'!$A$1:$O$120,15,0))</f>
        <v>0</v>
      </c>
      <c r="X550" s="6">
        <f>IF(ISERROR(VLOOKUP($U$550,'TAR FIN'!$A$1:$O$120,15,0)),0,VLOOKUP($U$550,'TAR FIN'!$A$1:$O$120,15,0))</f>
        <v>0</v>
      </c>
      <c r="Y550" s="6">
        <f ca="1">('TUSD BE'!$AM$40+'TUSD BF'!$AM$40+'TUSD CVA'!$AM$40)*1</f>
        <v>16.00053546174815</v>
      </c>
      <c r="Z550" s="6">
        <f ca="1">('TUSD BE'!$AM$41+'TUSD BF'!$AM$41+'TUSD CVA'!$AM$41)*1</f>
        <v>112.97896283052546</v>
      </c>
      <c r="AA550" s="6"/>
      <c r="AB550" s="6">
        <f t="shared" si="26"/>
        <v>51041.898922010405</v>
      </c>
      <c r="AC550" s="6">
        <f t="shared" si="27"/>
        <v>0</v>
      </c>
      <c r="AD550" s="6">
        <f t="shared" ca="1" si="28"/>
        <v>66723.669422924198</v>
      </c>
      <c r="AE550" s="6">
        <f t="shared" ca="1" si="29"/>
        <v>0</v>
      </c>
      <c r="AF550" s="4" t="s">
        <v>1150</v>
      </c>
    </row>
    <row r="551" spans="1:32" ht="11.25" customHeight="1" x14ac:dyDescent="0.25">
      <c r="A551" s="4" t="s">
        <v>21</v>
      </c>
      <c r="B551" s="4" t="s">
        <v>44</v>
      </c>
      <c r="C551" s="4" t="s">
        <v>41</v>
      </c>
      <c r="D551" s="4" t="s">
        <v>40</v>
      </c>
      <c r="E551" s="4" t="s">
        <v>25</v>
      </c>
      <c r="F551" s="4" t="s">
        <v>63</v>
      </c>
      <c r="G551" s="4" t="s">
        <v>25</v>
      </c>
      <c r="H551" s="4" t="s">
        <v>36</v>
      </c>
      <c r="I551" s="5">
        <v>44044</v>
      </c>
      <c r="J551" s="6">
        <v>13737</v>
      </c>
      <c r="K551" s="6">
        <v>8929.0499999999993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4" t="s">
        <v>60</v>
      </c>
      <c r="R551" s="4">
        <v>0</v>
      </c>
      <c r="S551" s="4">
        <v>32</v>
      </c>
      <c r="T551" s="4">
        <v>0</v>
      </c>
      <c r="U551" s="4">
        <v>0</v>
      </c>
      <c r="V551" s="6">
        <f>IF(ISERROR(VLOOKUP($S$551,'TAR FIN'!$A$1:$O$120,15,0)),0,VLOOKUP($S$551,'TAR FIN'!$A$1:$O$120,15,0))</f>
        <v>12.24</v>
      </c>
      <c r="W551" s="6">
        <f>IF(ISERROR(VLOOKUP($T$551,'TAR FIN'!$A$1:$O$120,15,0)),0,VLOOKUP($T$551,'TAR FIN'!$A$1:$O$120,15,0))</f>
        <v>0</v>
      </c>
      <c r="X551" s="6">
        <f>IF(ISERROR(VLOOKUP($U$551,'TAR FIN'!$A$1:$O$120,15,0)),0,VLOOKUP($U$551,'TAR FIN'!$A$1:$O$120,15,0))</f>
        <v>0</v>
      </c>
      <c r="Y551" s="6">
        <f ca="1">('TUSD BE'!$AM$40+'TUSD BF'!$AM$40+'TUSD CVA'!$AM$40)*1</f>
        <v>16.00053546174815</v>
      </c>
      <c r="Z551" s="6">
        <f ca="1">('TUSD BE'!$AM$41+'TUSD BF'!$AM$41+'TUSD CVA'!$AM$41)*1</f>
        <v>112.97896283052546</v>
      </c>
      <c r="AA551" s="6"/>
      <c r="AB551" s="6">
        <f t="shared" si="26"/>
        <v>58849.308000000012</v>
      </c>
      <c r="AC551" s="6">
        <f t="shared" si="27"/>
        <v>0</v>
      </c>
      <c r="AD551" s="6">
        <f t="shared" ca="1" si="28"/>
        <v>76929.774473312034</v>
      </c>
      <c r="AE551" s="6">
        <f t="shared" ca="1" si="29"/>
        <v>0</v>
      </c>
      <c r="AF551" s="4" t="s">
        <v>1150</v>
      </c>
    </row>
    <row r="552" spans="1:32" ht="11.25" customHeight="1" x14ac:dyDescent="0.25">
      <c r="A552" s="4" t="s">
        <v>59</v>
      </c>
      <c r="B552" s="4" t="s">
        <v>44</v>
      </c>
      <c r="C552" s="4" t="s">
        <v>41</v>
      </c>
      <c r="D552" s="4" t="s">
        <v>40</v>
      </c>
      <c r="E552" s="4" t="s">
        <v>25</v>
      </c>
      <c r="F552" s="4" t="s">
        <v>63</v>
      </c>
      <c r="G552" s="4" t="s">
        <v>25</v>
      </c>
      <c r="H552" s="4" t="s">
        <v>36</v>
      </c>
      <c r="I552" s="5">
        <v>44075</v>
      </c>
      <c r="J552" s="6">
        <v>13737</v>
      </c>
      <c r="K552" s="6">
        <v>8929.0499999999993</v>
      </c>
      <c r="L552" s="6">
        <v>0</v>
      </c>
      <c r="M552" s="6">
        <v>0</v>
      </c>
      <c r="N552" s="6">
        <v>0</v>
      </c>
      <c r="O552" s="6">
        <v>0</v>
      </c>
      <c r="P552" s="6">
        <v>0</v>
      </c>
      <c r="Q552" s="4" t="s">
        <v>60</v>
      </c>
      <c r="R552" s="4">
        <v>0</v>
      </c>
      <c r="S552" s="4">
        <v>32</v>
      </c>
      <c r="T552" s="4">
        <v>0</v>
      </c>
      <c r="U552" s="4">
        <v>0</v>
      </c>
      <c r="V552" s="6">
        <f>IF(ISERROR(VLOOKUP($S$552,'TAR FIN'!$A$1:$O$120,15,0)),0,VLOOKUP($S$552,'TAR FIN'!$A$1:$O$120,15,0))</f>
        <v>12.24</v>
      </c>
      <c r="W552" s="6">
        <f>IF(ISERROR(VLOOKUP($T$552,'TAR FIN'!$A$1:$O$120,15,0)),0,VLOOKUP($T$552,'TAR FIN'!$A$1:$O$120,15,0))</f>
        <v>0</v>
      </c>
      <c r="X552" s="6">
        <f>IF(ISERROR(VLOOKUP($U$552,'TAR FIN'!$A$1:$O$120,15,0)),0,VLOOKUP($U$552,'TAR FIN'!$A$1:$O$120,15,0))</f>
        <v>0</v>
      </c>
      <c r="Y552" s="6">
        <f ca="1">('TUSD BE'!$AM$40+'TUSD BF'!$AM$40+'TUSD CVA'!$AM$40)*1</f>
        <v>16.00053546174815</v>
      </c>
      <c r="Z552" s="6">
        <f ca="1">('TUSD BE'!$AM$41+'TUSD BF'!$AM$41+'TUSD CVA'!$AM$41)*1</f>
        <v>112.97896283052546</v>
      </c>
      <c r="AA552" s="6"/>
      <c r="AB552" s="6">
        <f t="shared" si="26"/>
        <v>58849.308000000012</v>
      </c>
      <c r="AC552" s="6">
        <f t="shared" si="27"/>
        <v>0</v>
      </c>
      <c r="AD552" s="6">
        <f t="shared" ca="1" si="28"/>
        <v>76929.774473312034</v>
      </c>
      <c r="AE552" s="6">
        <f t="shared" ca="1" si="29"/>
        <v>0</v>
      </c>
      <c r="AF552" s="4" t="s">
        <v>1150</v>
      </c>
    </row>
    <row r="553" spans="1:32" ht="11.25" customHeight="1" x14ac:dyDescent="0.25">
      <c r="A553" s="4" t="s">
        <v>21</v>
      </c>
      <c r="B553" s="4" t="s">
        <v>44</v>
      </c>
      <c r="C553" s="4" t="s">
        <v>41</v>
      </c>
      <c r="D553" s="4" t="s">
        <v>40</v>
      </c>
      <c r="E553" s="4" t="s">
        <v>25</v>
      </c>
      <c r="F553" s="4" t="s">
        <v>63</v>
      </c>
      <c r="G553" s="4" t="s">
        <v>25</v>
      </c>
      <c r="H553" s="4" t="s">
        <v>25</v>
      </c>
      <c r="I553" s="5">
        <v>43739</v>
      </c>
      <c r="J553" s="6">
        <v>0</v>
      </c>
      <c r="K553" s="6">
        <v>0</v>
      </c>
      <c r="L553" s="6">
        <v>5617.4639999999999</v>
      </c>
      <c r="M553" s="6">
        <v>5617.4639999999999</v>
      </c>
      <c r="N553" s="6">
        <v>0</v>
      </c>
      <c r="O553" s="6">
        <v>0</v>
      </c>
      <c r="P553" s="6">
        <v>33</v>
      </c>
      <c r="Q553" s="4" t="s">
        <v>60</v>
      </c>
      <c r="R553" s="4">
        <v>0</v>
      </c>
      <c r="S553" s="4">
        <v>0</v>
      </c>
      <c r="T553" s="4">
        <v>33</v>
      </c>
      <c r="U553" s="4">
        <v>0</v>
      </c>
      <c r="V553" s="6">
        <f>IF(ISERROR(VLOOKUP($S$553,'TAR FIN'!$A$1:$O$120,15,0)),0,VLOOKUP($S$553,'TAR FIN'!$A$1:$O$120,15,0))</f>
        <v>0</v>
      </c>
      <c r="W553" s="6">
        <f>IF(ISERROR(VLOOKUP($T$553,'TAR FIN'!$A$1:$O$120,15,0)),0,VLOOKUP($T$553,'TAR FIN'!$A$1:$O$120,15,0))</f>
        <v>109.75</v>
      </c>
      <c r="X553" s="6">
        <f>IF(ISERROR(VLOOKUP($U$553,'TAR FIN'!$A$1:$O$120,15,0)),0,VLOOKUP($U$553,'TAR FIN'!$A$1:$O$120,15,0))</f>
        <v>0</v>
      </c>
      <c r="Y553" s="6"/>
      <c r="Z553" s="6">
        <f ca="1">('TUSD BE'!$AM$41+'TUSD BF'!$AM$41+'TUSD CVA'!$AM$41)*1</f>
        <v>112.97896283052546</v>
      </c>
      <c r="AA553" s="6"/>
      <c r="AB553" s="6">
        <f t="shared" si="26"/>
        <v>0</v>
      </c>
      <c r="AC553" s="6">
        <f t="shared" si="27"/>
        <v>0</v>
      </c>
      <c r="AD553" s="6">
        <f t="shared" si="28"/>
        <v>0</v>
      </c>
      <c r="AE553" s="6">
        <f t="shared" ca="1" si="29"/>
        <v>0</v>
      </c>
      <c r="AF553" s="4" t="s">
        <v>1150</v>
      </c>
    </row>
    <row r="554" spans="1:32" ht="11.25" customHeight="1" x14ac:dyDescent="0.25">
      <c r="A554" s="4" t="s">
        <v>21</v>
      </c>
      <c r="B554" s="4" t="s">
        <v>44</v>
      </c>
      <c r="C554" s="4" t="s">
        <v>41</v>
      </c>
      <c r="D554" s="4" t="s">
        <v>40</v>
      </c>
      <c r="E554" s="4" t="s">
        <v>25</v>
      </c>
      <c r="F554" s="4" t="s">
        <v>63</v>
      </c>
      <c r="G554" s="4" t="s">
        <v>25</v>
      </c>
      <c r="H554" s="4" t="s">
        <v>25</v>
      </c>
      <c r="I554" s="5">
        <v>43770</v>
      </c>
      <c r="J554" s="6">
        <v>0</v>
      </c>
      <c r="K554" s="6">
        <v>0</v>
      </c>
      <c r="L554" s="6">
        <v>5408.6980000000003</v>
      </c>
      <c r="M554" s="6">
        <v>5408.6980000000003</v>
      </c>
      <c r="N554" s="6">
        <v>0</v>
      </c>
      <c r="O554" s="6">
        <v>0</v>
      </c>
      <c r="P554" s="6">
        <v>33</v>
      </c>
      <c r="Q554" s="4" t="s">
        <v>60</v>
      </c>
      <c r="R554" s="4">
        <v>0</v>
      </c>
      <c r="S554" s="4">
        <v>0</v>
      </c>
      <c r="T554" s="4">
        <v>33</v>
      </c>
      <c r="U554" s="4">
        <v>0</v>
      </c>
      <c r="V554" s="6">
        <f>IF(ISERROR(VLOOKUP($S$554,'TAR FIN'!$A$1:$O$120,15,0)),0,VLOOKUP($S$554,'TAR FIN'!$A$1:$O$120,15,0))</f>
        <v>0</v>
      </c>
      <c r="W554" s="6">
        <f>IF(ISERROR(VLOOKUP($T$554,'TAR FIN'!$A$1:$O$120,15,0)),0,VLOOKUP($T$554,'TAR FIN'!$A$1:$O$120,15,0))</f>
        <v>109.75</v>
      </c>
      <c r="X554" s="6">
        <f>IF(ISERROR(VLOOKUP($U$554,'TAR FIN'!$A$1:$O$120,15,0)),0,VLOOKUP($U$554,'TAR FIN'!$A$1:$O$120,15,0))</f>
        <v>0</v>
      </c>
      <c r="Y554" s="6"/>
      <c r="Z554" s="6">
        <f ca="1">('TUSD BE'!$AM$41+'TUSD BF'!$AM$41+'TUSD CVA'!$AM$41)*1</f>
        <v>112.97896283052546</v>
      </c>
      <c r="AA554" s="6"/>
      <c r="AB554" s="6">
        <f t="shared" si="26"/>
        <v>0</v>
      </c>
      <c r="AC554" s="6">
        <f t="shared" si="27"/>
        <v>0</v>
      </c>
      <c r="AD554" s="6">
        <f t="shared" si="28"/>
        <v>0</v>
      </c>
      <c r="AE554" s="6">
        <f t="shared" ca="1" si="29"/>
        <v>0</v>
      </c>
      <c r="AF554" s="4" t="s">
        <v>1150</v>
      </c>
    </row>
    <row r="555" spans="1:32" ht="11.25" customHeight="1" x14ac:dyDescent="0.25">
      <c r="A555" s="4" t="s">
        <v>21</v>
      </c>
      <c r="B555" s="4" t="s">
        <v>44</v>
      </c>
      <c r="C555" s="4" t="s">
        <v>41</v>
      </c>
      <c r="D555" s="4" t="s">
        <v>40</v>
      </c>
      <c r="E555" s="4" t="s">
        <v>25</v>
      </c>
      <c r="F555" s="4" t="s">
        <v>63</v>
      </c>
      <c r="G555" s="4" t="s">
        <v>25</v>
      </c>
      <c r="H555" s="4" t="s">
        <v>25</v>
      </c>
      <c r="I555" s="5">
        <v>43800</v>
      </c>
      <c r="J555" s="6">
        <v>0</v>
      </c>
      <c r="K555" s="6">
        <v>0</v>
      </c>
      <c r="L555" s="6">
        <v>5506.1310000000003</v>
      </c>
      <c r="M555" s="6">
        <v>5506.1310000000003</v>
      </c>
      <c r="N555" s="6">
        <v>0</v>
      </c>
      <c r="O555" s="6">
        <v>0</v>
      </c>
      <c r="P555" s="6">
        <v>33</v>
      </c>
      <c r="Q555" s="4" t="s">
        <v>60</v>
      </c>
      <c r="R555" s="4">
        <v>0</v>
      </c>
      <c r="S555" s="4">
        <v>0</v>
      </c>
      <c r="T555" s="4">
        <v>33</v>
      </c>
      <c r="U555" s="4">
        <v>0</v>
      </c>
      <c r="V555" s="6">
        <f>IF(ISERROR(VLOOKUP($S$555,'TAR FIN'!$A$1:$O$120,15,0)),0,VLOOKUP($S$555,'TAR FIN'!$A$1:$O$120,15,0))</f>
        <v>0</v>
      </c>
      <c r="W555" s="6">
        <f>IF(ISERROR(VLOOKUP($T$555,'TAR FIN'!$A$1:$O$120,15,0)),0,VLOOKUP($T$555,'TAR FIN'!$A$1:$O$120,15,0))</f>
        <v>109.75</v>
      </c>
      <c r="X555" s="6">
        <f>IF(ISERROR(VLOOKUP($U$555,'TAR FIN'!$A$1:$O$120,15,0)),0,VLOOKUP($U$555,'TAR FIN'!$A$1:$O$120,15,0))</f>
        <v>0</v>
      </c>
      <c r="Y555" s="6"/>
      <c r="Z555" s="6">
        <f ca="1">('TUSD BE'!$AM$41+'TUSD BF'!$AM$41+'TUSD CVA'!$AM$41)*1</f>
        <v>112.97896283052546</v>
      </c>
      <c r="AA555" s="6"/>
      <c r="AB555" s="6">
        <f t="shared" si="26"/>
        <v>0</v>
      </c>
      <c r="AC555" s="6">
        <f t="shared" si="27"/>
        <v>0</v>
      </c>
      <c r="AD555" s="6">
        <f t="shared" si="28"/>
        <v>0</v>
      </c>
      <c r="AE555" s="6">
        <f t="shared" ca="1" si="29"/>
        <v>0</v>
      </c>
      <c r="AF555" s="4" t="s">
        <v>1150</v>
      </c>
    </row>
    <row r="556" spans="1:32" ht="11.25" customHeight="1" x14ac:dyDescent="0.25">
      <c r="A556" s="4" t="s">
        <v>21</v>
      </c>
      <c r="B556" s="4" t="s">
        <v>44</v>
      </c>
      <c r="C556" s="4" t="s">
        <v>41</v>
      </c>
      <c r="D556" s="4" t="s">
        <v>40</v>
      </c>
      <c r="E556" s="4" t="s">
        <v>25</v>
      </c>
      <c r="F556" s="4" t="s">
        <v>63</v>
      </c>
      <c r="G556" s="4" t="s">
        <v>25</v>
      </c>
      <c r="H556" s="4" t="s">
        <v>25</v>
      </c>
      <c r="I556" s="5">
        <v>43831</v>
      </c>
      <c r="J556" s="6">
        <v>0</v>
      </c>
      <c r="K556" s="6">
        <v>0</v>
      </c>
      <c r="L556" s="6">
        <v>5585.7110000000002</v>
      </c>
      <c r="M556" s="6">
        <v>5585.7110000000002</v>
      </c>
      <c r="N556" s="6">
        <v>0</v>
      </c>
      <c r="O556" s="6">
        <v>0</v>
      </c>
      <c r="P556" s="6">
        <v>35</v>
      </c>
      <c r="Q556" s="4" t="s">
        <v>60</v>
      </c>
      <c r="R556" s="4">
        <v>0</v>
      </c>
      <c r="S556" s="4">
        <v>0</v>
      </c>
      <c r="T556" s="4">
        <v>33</v>
      </c>
      <c r="U556" s="4">
        <v>0</v>
      </c>
      <c r="V556" s="6">
        <f>IF(ISERROR(VLOOKUP($S$556,'TAR FIN'!$A$1:$O$120,15,0)),0,VLOOKUP($S$556,'TAR FIN'!$A$1:$O$120,15,0))</f>
        <v>0</v>
      </c>
      <c r="W556" s="6">
        <f>IF(ISERROR(VLOOKUP($T$556,'TAR FIN'!$A$1:$O$120,15,0)),0,VLOOKUP($T$556,'TAR FIN'!$A$1:$O$120,15,0))</f>
        <v>109.75</v>
      </c>
      <c r="X556" s="6">
        <f>IF(ISERROR(VLOOKUP($U$556,'TAR FIN'!$A$1:$O$120,15,0)),0,VLOOKUP($U$556,'TAR FIN'!$A$1:$O$120,15,0))</f>
        <v>0</v>
      </c>
      <c r="Y556" s="6"/>
      <c r="Z556" s="6">
        <f ca="1">('TUSD BE'!$AM$41+'TUSD BF'!$AM$41+'TUSD CVA'!$AM$41)*1</f>
        <v>112.97896283052546</v>
      </c>
      <c r="AA556" s="6"/>
      <c r="AB556" s="6">
        <f t="shared" si="26"/>
        <v>0</v>
      </c>
      <c r="AC556" s="6">
        <f t="shared" si="27"/>
        <v>0</v>
      </c>
      <c r="AD556" s="6">
        <f t="shared" si="28"/>
        <v>0</v>
      </c>
      <c r="AE556" s="6">
        <f t="shared" ca="1" si="29"/>
        <v>0</v>
      </c>
      <c r="AF556" s="4" t="s">
        <v>1150</v>
      </c>
    </row>
    <row r="557" spans="1:32" ht="11.25" customHeight="1" x14ac:dyDescent="0.25">
      <c r="A557" s="4" t="s">
        <v>21</v>
      </c>
      <c r="B557" s="4" t="s">
        <v>44</v>
      </c>
      <c r="C557" s="4" t="s">
        <v>41</v>
      </c>
      <c r="D557" s="4" t="s">
        <v>40</v>
      </c>
      <c r="E557" s="4" t="s">
        <v>25</v>
      </c>
      <c r="F557" s="4" t="s">
        <v>63</v>
      </c>
      <c r="G557" s="4" t="s">
        <v>25</v>
      </c>
      <c r="H557" s="4" t="s">
        <v>25</v>
      </c>
      <c r="I557" s="5">
        <v>43862</v>
      </c>
      <c r="J557" s="6">
        <v>0</v>
      </c>
      <c r="K557" s="6">
        <v>0</v>
      </c>
      <c r="L557" s="6">
        <v>5187.1400000000003</v>
      </c>
      <c r="M557" s="6">
        <v>5187.1400000000003</v>
      </c>
      <c r="N557" s="6">
        <v>0</v>
      </c>
      <c r="O557" s="6">
        <v>0</v>
      </c>
      <c r="P557" s="6">
        <v>35</v>
      </c>
      <c r="Q557" s="4" t="s">
        <v>60</v>
      </c>
      <c r="R557" s="4">
        <v>0</v>
      </c>
      <c r="S557" s="4">
        <v>0</v>
      </c>
      <c r="T557" s="4">
        <v>33</v>
      </c>
      <c r="U557" s="4">
        <v>0</v>
      </c>
      <c r="V557" s="6">
        <f>IF(ISERROR(VLOOKUP($S$557,'TAR FIN'!$A$1:$O$120,15,0)),0,VLOOKUP($S$557,'TAR FIN'!$A$1:$O$120,15,0))</f>
        <v>0</v>
      </c>
      <c r="W557" s="6">
        <f>IF(ISERROR(VLOOKUP($T$557,'TAR FIN'!$A$1:$O$120,15,0)),0,VLOOKUP($T$557,'TAR FIN'!$A$1:$O$120,15,0))</f>
        <v>109.75</v>
      </c>
      <c r="X557" s="6">
        <f>IF(ISERROR(VLOOKUP($U$557,'TAR FIN'!$A$1:$O$120,15,0)),0,VLOOKUP($U$557,'TAR FIN'!$A$1:$O$120,15,0))</f>
        <v>0</v>
      </c>
      <c r="Y557" s="6"/>
      <c r="Z557" s="6">
        <f ca="1">('TUSD BE'!$AM$41+'TUSD BF'!$AM$41+'TUSD CVA'!$AM$41)*1</f>
        <v>112.97896283052546</v>
      </c>
      <c r="AA557" s="6"/>
      <c r="AB557" s="6">
        <f t="shared" si="26"/>
        <v>0</v>
      </c>
      <c r="AC557" s="6">
        <f t="shared" si="27"/>
        <v>0</v>
      </c>
      <c r="AD557" s="6">
        <f t="shared" si="28"/>
        <v>0</v>
      </c>
      <c r="AE557" s="6">
        <f t="shared" ca="1" si="29"/>
        <v>0</v>
      </c>
      <c r="AF557" s="4" t="s">
        <v>1150</v>
      </c>
    </row>
    <row r="558" spans="1:32" ht="11.25" customHeight="1" x14ac:dyDescent="0.25">
      <c r="A558" s="4" t="s">
        <v>21</v>
      </c>
      <c r="B558" s="4" t="s">
        <v>44</v>
      </c>
      <c r="C558" s="4" t="s">
        <v>41</v>
      </c>
      <c r="D558" s="4" t="s">
        <v>40</v>
      </c>
      <c r="E558" s="4" t="s">
        <v>25</v>
      </c>
      <c r="F558" s="4" t="s">
        <v>63</v>
      </c>
      <c r="G558" s="4" t="s">
        <v>25</v>
      </c>
      <c r="H558" s="4" t="s">
        <v>25</v>
      </c>
      <c r="I558" s="5">
        <v>43891</v>
      </c>
      <c r="J558" s="6">
        <v>0</v>
      </c>
      <c r="K558" s="6">
        <v>0</v>
      </c>
      <c r="L558" s="6">
        <v>4956.4880000000003</v>
      </c>
      <c r="M558" s="6">
        <v>4956.4880000000003</v>
      </c>
      <c r="N558" s="6">
        <v>0</v>
      </c>
      <c r="O558" s="6">
        <v>0</v>
      </c>
      <c r="P558" s="6">
        <v>35</v>
      </c>
      <c r="Q558" s="4" t="s">
        <v>60</v>
      </c>
      <c r="R558" s="4">
        <v>0</v>
      </c>
      <c r="S558" s="4">
        <v>0</v>
      </c>
      <c r="T558" s="4">
        <v>33</v>
      </c>
      <c r="U558" s="4">
        <v>0</v>
      </c>
      <c r="V558" s="6">
        <f>IF(ISERROR(VLOOKUP($S$558,'TAR FIN'!$A$1:$O$120,15,0)),0,VLOOKUP($S$558,'TAR FIN'!$A$1:$O$120,15,0))</f>
        <v>0</v>
      </c>
      <c r="W558" s="6">
        <f>IF(ISERROR(VLOOKUP($T$558,'TAR FIN'!$A$1:$O$120,15,0)),0,VLOOKUP($T$558,'TAR FIN'!$A$1:$O$120,15,0))</f>
        <v>109.75</v>
      </c>
      <c r="X558" s="6">
        <f>IF(ISERROR(VLOOKUP($U$558,'TAR FIN'!$A$1:$O$120,15,0)),0,VLOOKUP($U$558,'TAR FIN'!$A$1:$O$120,15,0))</f>
        <v>0</v>
      </c>
      <c r="Y558" s="6"/>
      <c r="Z558" s="6">
        <f ca="1">('TUSD BE'!$AM$41+'TUSD BF'!$AM$41+'TUSD CVA'!$AM$41)*1</f>
        <v>112.97896283052546</v>
      </c>
      <c r="AA558" s="6"/>
      <c r="AB558" s="6">
        <f t="shared" si="26"/>
        <v>0</v>
      </c>
      <c r="AC558" s="6">
        <f t="shared" si="27"/>
        <v>0</v>
      </c>
      <c r="AD558" s="6">
        <f t="shared" si="28"/>
        <v>0</v>
      </c>
      <c r="AE558" s="6">
        <f t="shared" ca="1" si="29"/>
        <v>0</v>
      </c>
      <c r="AF558" s="4" t="s">
        <v>1150</v>
      </c>
    </row>
    <row r="559" spans="1:32" ht="11.25" customHeight="1" x14ac:dyDescent="0.25">
      <c r="A559" s="4" t="s">
        <v>21</v>
      </c>
      <c r="B559" s="4" t="s">
        <v>44</v>
      </c>
      <c r="C559" s="4" t="s">
        <v>41</v>
      </c>
      <c r="D559" s="4" t="s">
        <v>40</v>
      </c>
      <c r="E559" s="4" t="s">
        <v>25</v>
      </c>
      <c r="F559" s="4" t="s">
        <v>63</v>
      </c>
      <c r="G559" s="4" t="s">
        <v>25</v>
      </c>
      <c r="H559" s="4" t="s">
        <v>25</v>
      </c>
      <c r="I559" s="5">
        <v>43922</v>
      </c>
      <c r="J559" s="6">
        <v>0</v>
      </c>
      <c r="K559" s="6">
        <v>0</v>
      </c>
      <c r="L559" s="6">
        <v>3957.848</v>
      </c>
      <c r="M559" s="6">
        <v>3957.848</v>
      </c>
      <c r="N559" s="6">
        <v>0</v>
      </c>
      <c r="O559" s="6">
        <v>0</v>
      </c>
      <c r="P559" s="6">
        <v>35</v>
      </c>
      <c r="Q559" s="4" t="s">
        <v>60</v>
      </c>
      <c r="R559" s="4">
        <v>0</v>
      </c>
      <c r="S559" s="4">
        <v>0</v>
      </c>
      <c r="T559" s="4">
        <v>33</v>
      </c>
      <c r="U559" s="4">
        <v>0</v>
      </c>
      <c r="V559" s="6">
        <f>IF(ISERROR(VLOOKUP($S$559,'TAR FIN'!$A$1:$O$120,15,0)),0,VLOOKUP($S$559,'TAR FIN'!$A$1:$O$120,15,0))</f>
        <v>0</v>
      </c>
      <c r="W559" s="6">
        <f>IF(ISERROR(VLOOKUP($T$559,'TAR FIN'!$A$1:$O$120,15,0)),0,VLOOKUP($T$559,'TAR FIN'!$A$1:$O$120,15,0))</f>
        <v>109.75</v>
      </c>
      <c r="X559" s="6">
        <f>IF(ISERROR(VLOOKUP($U$559,'TAR FIN'!$A$1:$O$120,15,0)),0,VLOOKUP($U$559,'TAR FIN'!$A$1:$O$120,15,0))</f>
        <v>0</v>
      </c>
      <c r="Y559" s="6"/>
      <c r="Z559" s="6">
        <f ca="1">('TUSD BE'!$AM$41+'TUSD BF'!$AM$41+'TUSD CVA'!$AM$41)*1</f>
        <v>112.97896283052546</v>
      </c>
      <c r="AA559" s="6"/>
      <c r="AB559" s="6">
        <f t="shared" si="26"/>
        <v>0</v>
      </c>
      <c r="AC559" s="6">
        <f t="shared" si="27"/>
        <v>0</v>
      </c>
      <c r="AD559" s="6">
        <f t="shared" si="28"/>
        <v>0</v>
      </c>
      <c r="AE559" s="6">
        <f t="shared" ca="1" si="29"/>
        <v>0</v>
      </c>
      <c r="AF559" s="4" t="s">
        <v>1150</v>
      </c>
    </row>
    <row r="560" spans="1:32" ht="11.25" customHeight="1" x14ac:dyDescent="0.25">
      <c r="A560" s="4" t="s">
        <v>21</v>
      </c>
      <c r="B560" s="4" t="s">
        <v>44</v>
      </c>
      <c r="C560" s="4" t="s">
        <v>41</v>
      </c>
      <c r="D560" s="4" t="s">
        <v>40</v>
      </c>
      <c r="E560" s="4" t="s">
        <v>25</v>
      </c>
      <c r="F560" s="4" t="s">
        <v>63</v>
      </c>
      <c r="G560" s="4" t="s">
        <v>25</v>
      </c>
      <c r="H560" s="4" t="s">
        <v>25</v>
      </c>
      <c r="I560" s="5">
        <v>43952</v>
      </c>
      <c r="J560" s="6">
        <v>0</v>
      </c>
      <c r="K560" s="6">
        <v>0</v>
      </c>
      <c r="L560" s="6">
        <v>4070.922</v>
      </c>
      <c r="M560" s="6">
        <v>4070.922</v>
      </c>
      <c r="N560" s="6">
        <v>0</v>
      </c>
      <c r="O560" s="6">
        <v>0</v>
      </c>
      <c r="P560" s="6">
        <v>36</v>
      </c>
      <c r="Q560" s="4" t="s">
        <v>60</v>
      </c>
      <c r="R560" s="4">
        <v>0</v>
      </c>
      <c r="S560" s="4">
        <v>0</v>
      </c>
      <c r="T560" s="4">
        <v>33</v>
      </c>
      <c r="U560" s="4">
        <v>0</v>
      </c>
      <c r="V560" s="6">
        <f>IF(ISERROR(VLOOKUP($S$560,'TAR FIN'!$A$1:$O$120,15,0)),0,VLOOKUP($S$560,'TAR FIN'!$A$1:$O$120,15,0))</f>
        <v>0</v>
      </c>
      <c r="W560" s="6">
        <f>IF(ISERROR(VLOOKUP($T$560,'TAR FIN'!$A$1:$O$120,15,0)),0,VLOOKUP($T$560,'TAR FIN'!$A$1:$O$120,15,0))</f>
        <v>109.75</v>
      </c>
      <c r="X560" s="6">
        <f>IF(ISERROR(VLOOKUP($U$560,'TAR FIN'!$A$1:$O$120,15,0)),0,VLOOKUP($U$560,'TAR FIN'!$A$1:$O$120,15,0))</f>
        <v>0</v>
      </c>
      <c r="Y560" s="6"/>
      <c r="Z560" s="6">
        <f ca="1">('TUSD BE'!$AM$41+'TUSD BF'!$AM$41+'TUSD CVA'!$AM$41)*1</f>
        <v>112.97896283052546</v>
      </c>
      <c r="AA560" s="6"/>
      <c r="AB560" s="6">
        <f t="shared" si="26"/>
        <v>0</v>
      </c>
      <c r="AC560" s="6">
        <f t="shared" si="27"/>
        <v>0</v>
      </c>
      <c r="AD560" s="6">
        <f t="shared" si="28"/>
        <v>0</v>
      </c>
      <c r="AE560" s="6">
        <f t="shared" ca="1" si="29"/>
        <v>0</v>
      </c>
      <c r="AF560" s="4" t="s">
        <v>1150</v>
      </c>
    </row>
    <row r="561" spans="1:32" ht="11.25" customHeight="1" x14ac:dyDescent="0.25">
      <c r="A561" s="4" t="s">
        <v>21</v>
      </c>
      <c r="B561" s="4" t="s">
        <v>44</v>
      </c>
      <c r="C561" s="4" t="s">
        <v>41</v>
      </c>
      <c r="D561" s="4" t="s">
        <v>40</v>
      </c>
      <c r="E561" s="4" t="s">
        <v>25</v>
      </c>
      <c r="F561" s="4" t="s">
        <v>63</v>
      </c>
      <c r="G561" s="4" t="s">
        <v>25</v>
      </c>
      <c r="H561" s="4" t="s">
        <v>25</v>
      </c>
      <c r="I561" s="5">
        <v>43983</v>
      </c>
      <c r="J561" s="6">
        <v>0</v>
      </c>
      <c r="K561" s="6">
        <v>0</v>
      </c>
      <c r="L561" s="6">
        <v>4070.922</v>
      </c>
      <c r="M561" s="6">
        <v>4070.922</v>
      </c>
      <c r="N561" s="6">
        <v>0</v>
      </c>
      <c r="O561" s="6">
        <v>0</v>
      </c>
      <c r="P561" s="6">
        <v>36</v>
      </c>
      <c r="Q561" s="4" t="s">
        <v>60</v>
      </c>
      <c r="R561" s="4">
        <v>0</v>
      </c>
      <c r="S561" s="4">
        <v>0</v>
      </c>
      <c r="T561" s="4">
        <v>33</v>
      </c>
      <c r="U561" s="4">
        <v>0</v>
      </c>
      <c r="V561" s="6">
        <f>IF(ISERROR(VLOOKUP($S$561,'TAR FIN'!$A$1:$O$120,15,0)),0,VLOOKUP($S$561,'TAR FIN'!$A$1:$O$120,15,0))</f>
        <v>0</v>
      </c>
      <c r="W561" s="6">
        <f>IF(ISERROR(VLOOKUP($T$561,'TAR FIN'!$A$1:$O$120,15,0)),0,VLOOKUP($T$561,'TAR FIN'!$A$1:$O$120,15,0))</f>
        <v>109.75</v>
      </c>
      <c r="X561" s="6">
        <f>IF(ISERROR(VLOOKUP($U$561,'TAR FIN'!$A$1:$O$120,15,0)),0,VLOOKUP($U$561,'TAR FIN'!$A$1:$O$120,15,0))</f>
        <v>0</v>
      </c>
      <c r="Y561" s="6"/>
      <c r="Z561" s="6">
        <f ca="1">('TUSD BE'!$AM$41+'TUSD BF'!$AM$41+'TUSD CVA'!$AM$41)*1</f>
        <v>112.97896283052546</v>
      </c>
      <c r="AA561" s="6"/>
      <c r="AB561" s="6">
        <f t="shared" si="26"/>
        <v>0</v>
      </c>
      <c r="AC561" s="6">
        <f t="shared" si="27"/>
        <v>0</v>
      </c>
      <c r="AD561" s="6">
        <f t="shared" si="28"/>
        <v>0</v>
      </c>
      <c r="AE561" s="6">
        <f t="shared" ca="1" si="29"/>
        <v>0</v>
      </c>
      <c r="AF561" s="4" t="s">
        <v>1150</v>
      </c>
    </row>
    <row r="562" spans="1:32" ht="11.25" customHeight="1" x14ac:dyDescent="0.25">
      <c r="A562" s="4" t="s">
        <v>21</v>
      </c>
      <c r="B562" s="4" t="s">
        <v>44</v>
      </c>
      <c r="C562" s="4" t="s">
        <v>41</v>
      </c>
      <c r="D562" s="4" t="s">
        <v>40</v>
      </c>
      <c r="E562" s="4" t="s">
        <v>25</v>
      </c>
      <c r="F562" s="4" t="s">
        <v>63</v>
      </c>
      <c r="G562" s="4" t="s">
        <v>25</v>
      </c>
      <c r="H562" s="4" t="s">
        <v>25</v>
      </c>
      <c r="I562" s="5">
        <v>44013</v>
      </c>
      <c r="J562" s="6">
        <v>0</v>
      </c>
      <c r="K562" s="6">
        <v>0</v>
      </c>
      <c r="L562" s="6">
        <v>4732.4459999999999</v>
      </c>
      <c r="M562" s="6">
        <v>4732.4459999999999</v>
      </c>
      <c r="N562" s="6">
        <v>0</v>
      </c>
      <c r="O562" s="6">
        <v>0</v>
      </c>
      <c r="P562" s="6">
        <v>33</v>
      </c>
      <c r="Q562" s="4" t="s">
        <v>60</v>
      </c>
      <c r="R562" s="4">
        <v>0</v>
      </c>
      <c r="S562" s="4">
        <v>0</v>
      </c>
      <c r="T562" s="4">
        <v>33</v>
      </c>
      <c r="U562" s="4">
        <v>0</v>
      </c>
      <c r="V562" s="6">
        <f>IF(ISERROR(VLOOKUP($S$562,'TAR FIN'!$A$1:$O$120,15,0)),0,VLOOKUP($S$562,'TAR FIN'!$A$1:$O$120,15,0))</f>
        <v>0</v>
      </c>
      <c r="W562" s="6">
        <f>IF(ISERROR(VLOOKUP($T$562,'TAR FIN'!$A$1:$O$120,15,0)),0,VLOOKUP($T$562,'TAR FIN'!$A$1:$O$120,15,0))</f>
        <v>109.75</v>
      </c>
      <c r="X562" s="6">
        <f>IF(ISERROR(VLOOKUP($U$562,'TAR FIN'!$A$1:$O$120,15,0)),0,VLOOKUP($U$562,'TAR FIN'!$A$1:$O$120,15,0))</f>
        <v>0</v>
      </c>
      <c r="Y562" s="6"/>
      <c r="Z562" s="6">
        <f ca="1">('TUSD BE'!$AM$41+'TUSD BF'!$AM$41+'TUSD CVA'!$AM$41)*1</f>
        <v>112.97896283052546</v>
      </c>
      <c r="AA562" s="6"/>
      <c r="AB562" s="6">
        <f t="shared" si="26"/>
        <v>0</v>
      </c>
      <c r="AC562" s="6">
        <f t="shared" si="27"/>
        <v>0</v>
      </c>
      <c r="AD562" s="6">
        <f t="shared" si="28"/>
        <v>0</v>
      </c>
      <c r="AE562" s="6">
        <f t="shared" ca="1" si="29"/>
        <v>0</v>
      </c>
      <c r="AF562" s="4" t="s">
        <v>1150</v>
      </c>
    </row>
    <row r="563" spans="1:32" ht="11.25" customHeight="1" x14ac:dyDescent="0.25">
      <c r="A563" s="4" t="s">
        <v>21</v>
      </c>
      <c r="B563" s="4" t="s">
        <v>44</v>
      </c>
      <c r="C563" s="4" t="s">
        <v>41</v>
      </c>
      <c r="D563" s="4" t="s">
        <v>40</v>
      </c>
      <c r="E563" s="4" t="s">
        <v>25</v>
      </c>
      <c r="F563" s="4" t="s">
        <v>63</v>
      </c>
      <c r="G563" s="4" t="s">
        <v>25</v>
      </c>
      <c r="H563" s="4" t="s">
        <v>25</v>
      </c>
      <c r="I563" s="5">
        <v>44044</v>
      </c>
      <c r="J563" s="6">
        <v>0</v>
      </c>
      <c r="K563" s="6">
        <v>0</v>
      </c>
      <c r="L563" s="6">
        <v>4957.28</v>
      </c>
      <c r="M563" s="6">
        <v>4957.28</v>
      </c>
      <c r="N563" s="6">
        <v>0</v>
      </c>
      <c r="O563" s="6">
        <v>0</v>
      </c>
      <c r="P563" s="6">
        <v>39</v>
      </c>
      <c r="Q563" s="4" t="s">
        <v>60</v>
      </c>
      <c r="R563" s="4">
        <v>0</v>
      </c>
      <c r="S563" s="4">
        <v>0</v>
      </c>
      <c r="T563" s="4">
        <v>33</v>
      </c>
      <c r="U563" s="4">
        <v>0</v>
      </c>
      <c r="V563" s="6">
        <f>IF(ISERROR(VLOOKUP($S$563,'TAR FIN'!$A$1:$O$120,15,0)),0,VLOOKUP($S$563,'TAR FIN'!$A$1:$O$120,15,0))</f>
        <v>0</v>
      </c>
      <c r="W563" s="6">
        <f>IF(ISERROR(VLOOKUP($T$563,'TAR FIN'!$A$1:$O$120,15,0)),0,VLOOKUP($T$563,'TAR FIN'!$A$1:$O$120,15,0))</f>
        <v>109.75</v>
      </c>
      <c r="X563" s="6">
        <f>IF(ISERROR(VLOOKUP($U$563,'TAR FIN'!$A$1:$O$120,15,0)),0,VLOOKUP($U$563,'TAR FIN'!$A$1:$O$120,15,0))</f>
        <v>0</v>
      </c>
      <c r="Y563" s="6"/>
      <c r="Z563" s="6">
        <f ca="1">('TUSD BE'!$AM$41+'TUSD BF'!$AM$41+'TUSD CVA'!$AM$41)*1</f>
        <v>112.97896283052546</v>
      </c>
      <c r="AA563" s="6"/>
      <c r="AB563" s="6">
        <f t="shared" si="26"/>
        <v>0</v>
      </c>
      <c r="AC563" s="6">
        <f t="shared" si="27"/>
        <v>0</v>
      </c>
      <c r="AD563" s="6">
        <f t="shared" si="28"/>
        <v>0</v>
      </c>
      <c r="AE563" s="6">
        <f t="shared" ca="1" si="29"/>
        <v>0</v>
      </c>
      <c r="AF563" s="4" t="s">
        <v>1150</v>
      </c>
    </row>
    <row r="564" spans="1:32" ht="11.25" customHeight="1" x14ac:dyDescent="0.25">
      <c r="A564" s="4" t="s">
        <v>59</v>
      </c>
      <c r="B564" s="4" t="s">
        <v>44</v>
      </c>
      <c r="C564" s="4" t="s">
        <v>41</v>
      </c>
      <c r="D564" s="4" t="s">
        <v>40</v>
      </c>
      <c r="E564" s="4" t="s">
        <v>25</v>
      </c>
      <c r="F564" s="4" t="s">
        <v>63</v>
      </c>
      <c r="G564" s="4" t="s">
        <v>25</v>
      </c>
      <c r="H564" s="4" t="s">
        <v>25</v>
      </c>
      <c r="I564" s="5">
        <v>44075</v>
      </c>
      <c r="J564" s="6">
        <v>0</v>
      </c>
      <c r="K564" s="6">
        <v>0</v>
      </c>
      <c r="L564" s="6">
        <v>4957.28</v>
      </c>
      <c r="M564" s="6">
        <v>4957.28</v>
      </c>
      <c r="N564" s="6">
        <v>0</v>
      </c>
      <c r="O564" s="6">
        <v>0</v>
      </c>
      <c r="P564" s="6">
        <v>39</v>
      </c>
      <c r="Q564" s="4" t="s">
        <v>60</v>
      </c>
      <c r="R564" s="4">
        <v>0</v>
      </c>
      <c r="S564" s="4">
        <v>0</v>
      </c>
      <c r="T564" s="4">
        <v>33</v>
      </c>
      <c r="U564" s="4">
        <v>0</v>
      </c>
      <c r="V564" s="6">
        <f>IF(ISERROR(VLOOKUP($S$564,'TAR FIN'!$A$1:$O$120,15,0)),0,VLOOKUP($S$564,'TAR FIN'!$A$1:$O$120,15,0))</f>
        <v>0</v>
      </c>
      <c r="W564" s="6">
        <f>IF(ISERROR(VLOOKUP($T$564,'TAR FIN'!$A$1:$O$120,15,0)),0,VLOOKUP($T$564,'TAR FIN'!$A$1:$O$120,15,0))</f>
        <v>109.75</v>
      </c>
      <c r="X564" s="6">
        <f>IF(ISERROR(VLOOKUP($U$564,'TAR FIN'!$A$1:$O$120,15,0)),0,VLOOKUP($U$564,'TAR FIN'!$A$1:$O$120,15,0))</f>
        <v>0</v>
      </c>
      <c r="Y564" s="6"/>
      <c r="Z564" s="6">
        <f ca="1">('TUSD BE'!$AM$41+'TUSD BF'!$AM$41+'TUSD CVA'!$AM$41)*1</f>
        <v>112.97896283052546</v>
      </c>
      <c r="AA564" s="6"/>
      <c r="AB564" s="6">
        <f t="shared" si="26"/>
        <v>0</v>
      </c>
      <c r="AC564" s="6">
        <f t="shared" si="27"/>
        <v>0</v>
      </c>
      <c r="AD564" s="6">
        <f t="shared" si="28"/>
        <v>0</v>
      </c>
      <c r="AE564" s="6">
        <f t="shared" ca="1" si="29"/>
        <v>0</v>
      </c>
      <c r="AF564" s="4" t="s">
        <v>1150</v>
      </c>
    </row>
    <row r="565" spans="1:32" ht="11.25" customHeight="1" x14ac:dyDescent="0.25">
      <c r="A565" s="4" t="s">
        <v>21</v>
      </c>
      <c r="B565" s="4" t="s">
        <v>44</v>
      </c>
      <c r="C565" s="4" t="s">
        <v>41</v>
      </c>
      <c r="D565" s="4" t="s">
        <v>40</v>
      </c>
      <c r="E565" s="4" t="s">
        <v>25</v>
      </c>
      <c r="F565" s="4" t="s">
        <v>63</v>
      </c>
      <c r="G565" s="4" t="s">
        <v>25</v>
      </c>
      <c r="H565" s="4" t="s">
        <v>35</v>
      </c>
      <c r="I565" s="5">
        <v>43739</v>
      </c>
      <c r="J565" s="6">
        <v>10448</v>
      </c>
      <c r="K565" s="6">
        <v>6634.1785751999996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4" t="s">
        <v>60</v>
      </c>
      <c r="R565" s="4">
        <v>0</v>
      </c>
      <c r="S565" s="4">
        <v>31</v>
      </c>
      <c r="T565" s="4">
        <v>0</v>
      </c>
      <c r="U565" s="4">
        <v>0</v>
      </c>
      <c r="V565" s="6">
        <f>IF(ISERROR(VLOOKUP($S$565,'TAR FIN'!$A$1:$O$120,15,0)),0,VLOOKUP($S$565,'TAR FIN'!$A$1:$O$120,15,0))</f>
        <v>43.76</v>
      </c>
      <c r="W565" s="6">
        <f>IF(ISERROR(VLOOKUP($T$565,'TAR FIN'!$A$1:$O$120,15,0)),0,VLOOKUP($T$565,'TAR FIN'!$A$1:$O$120,15,0))</f>
        <v>0</v>
      </c>
      <c r="X565" s="6">
        <f>IF(ISERROR(VLOOKUP($U$565,'TAR FIN'!$A$1:$O$120,15,0)),0,VLOOKUP($U$565,'TAR FIN'!$A$1:$O$120,15,0))</f>
        <v>0</v>
      </c>
      <c r="Y565" s="6">
        <f ca="1">('TUSD BE'!$AM$39+'TUSD BF'!$AM$39+'TUSD CVA'!$AM$39)*1</f>
        <v>49.088494763430781</v>
      </c>
      <c r="Z565" s="6">
        <f ca="1">('TUSD BE'!$AM$41+'TUSD BF'!$AM$41+'TUSD CVA'!$AM$41)*1</f>
        <v>112.97896283052546</v>
      </c>
      <c r="AA565" s="6"/>
      <c r="AB565" s="6">
        <f t="shared" si="26"/>
        <v>166892.82554924799</v>
      </c>
      <c r="AC565" s="6">
        <f t="shared" si="27"/>
        <v>0</v>
      </c>
      <c r="AD565" s="6">
        <f t="shared" ca="1" si="28"/>
        <v>187214.75303995493</v>
      </c>
      <c r="AE565" s="6">
        <f t="shared" ca="1" si="29"/>
        <v>0</v>
      </c>
      <c r="AF565" s="4" t="s">
        <v>1150</v>
      </c>
    </row>
    <row r="566" spans="1:32" ht="11.25" customHeight="1" x14ac:dyDescent="0.25">
      <c r="A566" s="4" t="s">
        <v>21</v>
      </c>
      <c r="B566" s="4" t="s">
        <v>44</v>
      </c>
      <c r="C566" s="4" t="s">
        <v>41</v>
      </c>
      <c r="D566" s="4" t="s">
        <v>40</v>
      </c>
      <c r="E566" s="4" t="s">
        <v>25</v>
      </c>
      <c r="F566" s="4" t="s">
        <v>63</v>
      </c>
      <c r="G566" s="4" t="s">
        <v>25</v>
      </c>
      <c r="H566" s="4" t="s">
        <v>35</v>
      </c>
      <c r="I566" s="5">
        <v>43770</v>
      </c>
      <c r="J566" s="6">
        <v>10448</v>
      </c>
      <c r="K566" s="6">
        <v>6652.4083500799998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4" t="s">
        <v>60</v>
      </c>
      <c r="R566" s="4">
        <v>0</v>
      </c>
      <c r="S566" s="4">
        <v>31</v>
      </c>
      <c r="T566" s="4">
        <v>0</v>
      </c>
      <c r="U566" s="4">
        <v>0</v>
      </c>
      <c r="V566" s="6">
        <f>IF(ISERROR(VLOOKUP($S$566,'TAR FIN'!$A$1:$O$120,15,0)),0,VLOOKUP($S$566,'TAR FIN'!$A$1:$O$120,15,0))</f>
        <v>43.76</v>
      </c>
      <c r="W566" s="6">
        <f>IF(ISERROR(VLOOKUP($T$566,'TAR FIN'!$A$1:$O$120,15,0)),0,VLOOKUP($T$566,'TAR FIN'!$A$1:$O$120,15,0))</f>
        <v>0</v>
      </c>
      <c r="X566" s="6">
        <f>IF(ISERROR(VLOOKUP($U$566,'TAR FIN'!$A$1:$O$120,15,0)),0,VLOOKUP($U$566,'TAR FIN'!$A$1:$O$120,15,0))</f>
        <v>0</v>
      </c>
      <c r="Y566" s="6">
        <f ca="1">('TUSD BE'!$AM$39+'TUSD BF'!$AM$39+'TUSD CVA'!$AM$39)*1</f>
        <v>49.088494763430781</v>
      </c>
      <c r="Z566" s="6">
        <f ca="1">('TUSD BE'!$AM$41+'TUSD BF'!$AM$41+'TUSD CVA'!$AM$41)*1</f>
        <v>112.97896283052546</v>
      </c>
      <c r="AA566" s="6"/>
      <c r="AB566" s="6">
        <f t="shared" si="26"/>
        <v>166095.09060049921</v>
      </c>
      <c r="AC566" s="6">
        <f t="shared" si="27"/>
        <v>0</v>
      </c>
      <c r="AD566" s="6">
        <f t="shared" ca="1" si="28"/>
        <v>186319.88083121952</v>
      </c>
      <c r="AE566" s="6">
        <f t="shared" ca="1" si="29"/>
        <v>0</v>
      </c>
      <c r="AF566" s="4" t="s">
        <v>1150</v>
      </c>
    </row>
    <row r="567" spans="1:32" ht="11.25" customHeight="1" x14ac:dyDescent="0.25">
      <c r="A567" s="4" t="s">
        <v>21</v>
      </c>
      <c r="B567" s="4" t="s">
        <v>44</v>
      </c>
      <c r="C567" s="4" t="s">
        <v>41</v>
      </c>
      <c r="D567" s="4" t="s">
        <v>40</v>
      </c>
      <c r="E567" s="4" t="s">
        <v>25</v>
      </c>
      <c r="F567" s="4" t="s">
        <v>63</v>
      </c>
      <c r="G567" s="4" t="s">
        <v>25</v>
      </c>
      <c r="H567" s="4" t="s">
        <v>35</v>
      </c>
      <c r="I567" s="5">
        <v>43800</v>
      </c>
      <c r="J567" s="6">
        <v>10448</v>
      </c>
      <c r="K567" s="6">
        <v>6686.5232641599996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4" t="s">
        <v>60</v>
      </c>
      <c r="R567" s="4">
        <v>0</v>
      </c>
      <c r="S567" s="4">
        <v>31</v>
      </c>
      <c r="T567" s="4">
        <v>0</v>
      </c>
      <c r="U567" s="4">
        <v>0</v>
      </c>
      <c r="V567" s="6">
        <f>IF(ISERROR(VLOOKUP($S$567,'TAR FIN'!$A$1:$O$120,15,0)),0,VLOOKUP($S$567,'TAR FIN'!$A$1:$O$120,15,0))</f>
        <v>43.76</v>
      </c>
      <c r="W567" s="6">
        <f>IF(ISERROR(VLOOKUP($T$567,'TAR FIN'!$A$1:$O$120,15,0)),0,VLOOKUP($T$567,'TAR FIN'!$A$1:$O$120,15,0))</f>
        <v>0</v>
      </c>
      <c r="X567" s="6">
        <f>IF(ISERROR(VLOOKUP($U$567,'TAR FIN'!$A$1:$O$120,15,0)),0,VLOOKUP($U$567,'TAR FIN'!$A$1:$O$120,15,0))</f>
        <v>0</v>
      </c>
      <c r="Y567" s="6">
        <f ca="1">('TUSD BE'!$AM$39+'TUSD BF'!$AM$39+'TUSD CVA'!$AM$39)*1</f>
        <v>49.088494763430781</v>
      </c>
      <c r="Z567" s="6">
        <f ca="1">('TUSD BE'!$AM$41+'TUSD BF'!$AM$41+'TUSD CVA'!$AM$41)*1</f>
        <v>112.97896283052546</v>
      </c>
      <c r="AA567" s="6"/>
      <c r="AB567" s="6">
        <f t="shared" si="26"/>
        <v>164602.22196035841</v>
      </c>
      <c r="AC567" s="6">
        <f t="shared" si="27"/>
        <v>0</v>
      </c>
      <c r="AD567" s="6">
        <f t="shared" ca="1" si="28"/>
        <v>184645.23105004858</v>
      </c>
      <c r="AE567" s="6">
        <f t="shared" ca="1" si="29"/>
        <v>0</v>
      </c>
      <c r="AF567" s="4" t="s">
        <v>1150</v>
      </c>
    </row>
    <row r="568" spans="1:32" ht="11.25" customHeight="1" x14ac:dyDescent="0.25">
      <c r="A568" s="4" t="s">
        <v>21</v>
      </c>
      <c r="B568" s="4" t="s">
        <v>44</v>
      </c>
      <c r="C568" s="4" t="s">
        <v>41</v>
      </c>
      <c r="D568" s="4" t="s">
        <v>40</v>
      </c>
      <c r="E568" s="4" t="s">
        <v>25</v>
      </c>
      <c r="F568" s="4" t="s">
        <v>63</v>
      </c>
      <c r="G568" s="4" t="s">
        <v>25</v>
      </c>
      <c r="H568" s="4" t="s">
        <v>35</v>
      </c>
      <c r="I568" s="5">
        <v>43831</v>
      </c>
      <c r="J568" s="6">
        <v>11979</v>
      </c>
      <c r="K568" s="6">
        <v>8104.6517953499997</v>
      </c>
      <c r="L568" s="6">
        <v>0</v>
      </c>
      <c r="M568" s="6">
        <v>0</v>
      </c>
      <c r="N568" s="6">
        <v>0</v>
      </c>
      <c r="O568" s="6">
        <v>0</v>
      </c>
      <c r="P568" s="6">
        <v>0</v>
      </c>
      <c r="Q568" s="4" t="s">
        <v>60</v>
      </c>
      <c r="R568" s="4">
        <v>0</v>
      </c>
      <c r="S568" s="4">
        <v>31</v>
      </c>
      <c r="T568" s="4">
        <v>0</v>
      </c>
      <c r="U568" s="4">
        <v>0</v>
      </c>
      <c r="V568" s="6">
        <f>IF(ISERROR(VLOOKUP($S$568,'TAR FIN'!$A$1:$O$120,15,0)),0,VLOOKUP($S$568,'TAR FIN'!$A$1:$O$120,15,0))</f>
        <v>43.76</v>
      </c>
      <c r="W568" s="6">
        <f>IF(ISERROR(VLOOKUP($T$568,'TAR FIN'!$A$1:$O$120,15,0)),0,VLOOKUP($T$568,'TAR FIN'!$A$1:$O$120,15,0))</f>
        <v>0</v>
      </c>
      <c r="X568" s="6">
        <f>IF(ISERROR(VLOOKUP($U$568,'TAR FIN'!$A$1:$O$120,15,0)),0,VLOOKUP($U$568,'TAR FIN'!$A$1:$O$120,15,0))</f>
        <v>0</v>
      </c>
      <c r="Y568" s="6">
        <f ca="1">('TUSD BE'!$AM$39+'TUSD BF'!$AM$39+'TUSD CVA'!$AM$39)*1</f>
        <v>49.088494763430781</v>
      </c>
      <c r="Z568" s="6">
        <f ca="1">('TUSD BE'!$AM$41+'TUSD BF'!$AM$41+'TUSD CVA'!$AM$41)*1</f>
        <v>112.97896283052546</v>
      </c>
      <c r="AA568" s="6"/>
      <c r="AB568" s="6">
        <f t="shared" si="26"/>
        <v>169541.477435484</v>
      </c>
      <c r="AC568" s="6">
        <f t="shared" si="27"/>
        <v>0</v>
      </c>
      <c r="AD568" s="6">
        <f t="shared" ca="1" si="28"/>
        <v>190185.92155566899</v>
      </c>
      <c r="AE568" s="6">
        <f t="shared" ca="1" si="29"/>
        <v>0</v>
      </c>
      <c r="AF568" s="4" t="s">
        <v>1150</v>
      </c>
    </row>
    <row r="569" spans="1:32" ht="11.25" customHeight="1" x14ac:dyDescent="0.25">
      <c r="A569" s="4" t="s">
        <v>21</v>
      </c>
      <c r="B569" s="4" t="s">
        <v>44</v>
      </c>
      <c r="C569" s="4" t="s">
        <v>41</v>
      </c>
      <c r="D569" s="4" t="s">
        <v>40</v>
      </c>
      <c r="E569" s="4" t="s">
        <v>25</v>
      </c>
      <c r="F569" s="4" t="s">
        <v>63</v>
      </c>
      <c r="G569" s="4" t="s">
        <v>25</v>
      </c>
      <c r="H569" s="4" t="s">
        <v>35</v>
      </c>
      <c r="I569" s="5">
        <v>43862</v>
      </c>
      <c r="J569" s="6">
        <v>11884</v>
      </c>
      <c r="K569" s="6">
        <v>7569.0654166800005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4" t="s">
        <v>60</v>
      </c>
      <c r="R569" s="4">
        <v>0</v>
      </c>
      <c r="S569" s="4">
        <v>31</v>
      </c>
      <c r="T569" s="4">
        <v>0</v>
      </c>
      <c r="U569" s="4">
        <v>0</v>
      </c>
      <c r="V569" s="6">
        <f>IF(ISERROR(VLOOKUP($S$569,'TAR FIN'!$A$1:$O$120,15,0)),0,VLOOKUP($S$569,'TAR FIN'!$A$1:$O$120,15,0))</f>
        <v>43.76</v>
      </c>
      <c r="W569" s="6">
        <f>IF(ISERROR(VLOOKUP($T$569,'TAR FIN'!$A$1:$O$120,15,0)),0,VLOOKUP($T$569,'TAR FIN'!$A$1:$O$120,15,0))</f>
        <v>0</v>
      </c>
      <c r="X569" s="6">
        <f>IF(ISERROR(VLOOKUP($U$569,'TAR FIN'!$A$1:$O$120,15,0)),0,VLOOKUP($U$569,'TAR FIN'!$A$1:$O$120,15,0))</f>
        <v>0</v>
      </c>
      <c r="Y569" s="6">
        <f ca="1">('TUSD BE'!$AM$39+'TUSD BF'!$AM$39+'TUSD CVA'!$AM$39)*1</f>
        <v>49.088494763430781</v>
      </c>
      <c r="Z569" s="6">
        <f ca="1">('TUSD BE'!$AM$41+'TUSD BF'!$AM$41+'TUSD CVA'!$AM$41)*1</f>
        <v>112.97896283052546</v>
      </c>
      <c r="AA569" s="6"/>
      <c r="AB569" s="6">
        <f t="shared" si="26"/>
        <v>188821.53736608318</v>
      </c>
      <c r="AC569" s="6">
        <f t="shared" si="27"/>
        <v>0</v>
      </c>
      <c r="AD569" s="6">
        <f t="shared" ca="1" si="28"/>
        <v>211813.64369785017</v>
      </c>
      <c r="AE569" s="6">
        <f t="shared" ca="1" si="29"/>
        <v>0</v>
      </c>
      <c r="AF569" s="4" t="s">
        <v>1150</v>
      </c>
    </row>
    <row r="570" spans="1:32" ht="11.25" customHeight="1" x14ac:dyDescent="0.25">
      <c r="A570" s="4" t="s">
        <v>21</v>
      </c>
      <c r="B570" s="4" t="s">
        <v>44</v>
      </c>
      <c r="C570" s="4" t="s">
        <v>41</v>
      </c>
      <c r="D570" s="4" t="s">
        <v>40</v>
      </c>
      <c r="E570" s="4" t="s">
        <v>25</v>
      </c>
      <c r="F570" s="4" t="s">
        <v>63</v>
      </c>
      <c r="G570" s="4" t="s">
        <v>25</v>
      </c>
      <c r="H570" s="4" t="s">
        <v>35</v>
      </c>
      <c r="I570" s="5">
        <v>43891</v>
      </c>
      <c r="J570" s="6">
        <v>11802</v>
      </c>
      <c r="K570" s="6">
        <v>7539.6826797599997</v>
      </c>
      <c r="L570" s="6">
        <v>0</v>
      </c>
      <c r="M570" s="6">
        <v>0</v>
      </c>
      <c r="N570" s="6">
        <v>0</v>
      </c>
      <c r="O570" s="6">
        <v>0</v>
      </c>
      <c r="P570" s="6">
        <v>0</v>
      </c>
      <c r="Q570" s="4" t="s">
        <v>60</v>
      </c>
      <c r="R570" s="4">
        <v>0</v>
      </c>
      <c r="S570" s="4">
        <v>31</v>
      </c>
      <c r="T570" s="4">
        <v>0</v>
      </c>
      <c r="U570" s="4">
        <v>0</v>
      </c>
      <c r="V570" s="6">
        <f>IF(ISERROR(VLOOKUP($S$570,'TAR FIN'!$A$1:$O$120,15,0)),0,VLOOKUP($S$570,'TAR FIN'!$A$1:$O$120,15,0))</f>
        <v>43.76</v>
      </c>
      <c r="W570" s="6">
        <f>IF(ISERROR(VLOOKUP($T$570,'TAR FIN'!$A$1:$O$120,15,0)),0,VLOOKUP($T$570,'TAR FIN'!$A$1:$O$120,15,0))</f>
        <v>0</v>
      </c>
      <c r="X570" s="6">
        <f>IF(ISERROR(VLOOKUP($U$570,'TAR FIN'!$A$1:$O$120,15,0)),0,VLOOKUP($U$570,'TAR FIN'!$A$1:$O$120,15,0))</f>
        <v>0</v>
      </c>
      <c r="Y570" s="6">
        <f ca="1">('TUSD BE'!$AM$39+'TUSD BF'!$AM$39+'TUSD CVA'!$AM$39)*1</f>
        <v>49.088494763430781</v>
      </c>
      <c r="Z570" s="6">
        <f ca="1">('TUSD BE'!$AM$41+'TUSD BF'!$AM$41+'TUSD CVA'!$AM$41)*1</f>
        <v>112.97896283052546</v>
      </c>
      <c r="AA570" s="6"/>
      <c r="AB570" s="6">
        <f t="shared" si="26"/>
        <v>186519.0059337024</v>
      </c>
      <c r="AC570" s="6">
        <f t="shared" si="27"/>
        <v>0</v>
      </c>
      <c r="AD570" s="6">
        <f t="shared" ca="1" si="28"/>
        <v>209230.74145468159</v>
      </c>
      <c r="AE570" s="6">
        <f t="shared" ca="1" si="29"/>
        <v>0</v>
      </c>
      <c r="AF570" s="4" t="s">
        <v>1150</v>
      </c>
    </row>
    <row r="571" spans="1:32" ht="11.25" customHeight="1" x14ac:dyDescent="0.25">
      <c r="A571" s="4" t="s">
        <v>21</v>
      </c>
      <c r="B571" s="4" t="s">
        <v>44</v>
      </c>
      <c r="C571" s="4" t="s">
        <v>41</v>
      </c>
      <c r="D571" s="4" t="s">
        <v>40</v>
      </c>
      <c r="E571" s="4" t="s">
        <v>25</v>
      </c>
      <c r="F571" s="4" t="s">
        <v>63</v>
      </c>
      <c r="G571" s="4" t="s">
        <v>25</v>
      </c>
      <c r="H571" s="4" t="s">
        <v>35</v>
      </c>
      <c r="I571" s="5">
        <v>43922</v>
      </c>
      <c r="J571" s="6">
        <v>11823</v>
      </c>
      <c r="K571" s="6">
        <v>7503.1484383799998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4" t="s">
        <v>60</v>
      </c>
      <c r="R571" s="4">
        <v>0</v>
      </c>
      <c r="S571" s="4">
        <v>31</v>
      </c>
      <c r="T571" s="4">
        <v>0</v>
      </c>
      <c r="U571" s="4">
        <v>0</v>
      </c>
      <c r="V571" s="6">
        <f>IF(ISERROR(VLOOKUP($S$571,'TAR FIN'!$A$1:$O$120,15,0)),0,VLOOKUP($S$571,'TAR FIN'!$A$1:$O$120,15,0))</f>
        <v>43.76</v>
      </c>
      <c r="W571" s="6">
        <f>IF(ISERROR(VLOOKUP($T$571,'TAR FIN'!$A$1:$O$120,15,0)),0,VLOOKUP($T$571,'TAR FIN'!$A$1:$O$120,15,0))</f>
        <v>0</v>
      </c>
      <c r="X571" s="6">
        <f>IF(ISERROR(VLOOKUP($U$571,'TAR FIN'!$A$1:$O$120,15,0)),0,VLOOKUP($U$571,'TAR FIN'!$A$1:$O$120,15,0))</f>
        <v>0</v>
      </c>
      <c r="Y571" s="6">
        <f ca="1">('TUSD BE'!$AM$39+'TUSD BF'!$AM$39+'TUSD CVA'!$AM$39)*1</f>
        <v>49.088494763430781</v>
      </c>
      <c r="Z571" s="6">
        <f ca="1">('TUSD BE'!$AM$41+'TUSD BF'!$AM$41+'TUSD CVA'!$AM$41)*1</f>
        <v>112.97896283052546</v>
      </c>
      <c r="AA571" s="6"/>
      <c r="AB571" s="6">
        <f t="shared" si="26"/>
        <v>189036.70433649121</v>
      </c>
      <c r="AC571" s="6">
        <f t="shared" si="27"/>
        <v>0</v>
      </c>
      <c r="AD571" s="6">
        <f t="shared" ca="1" si="28"/>
        <v>212055.01076138165</v>
      </c>
      <c r="AE571" s="6">
        <f t="shared" ca="1" si="29"/>
        <v>0</v>
      </c>
      <c r="AF571" s="4" t="s">
        <v>1150</v>
      </c>
    </row>
    <row r="572" spans="1:32" ht="11.25" customHeight="1" x14ac:dyDescent="0.25">
      <c r="A572" s="4" t="s">
        <v>21</v>
      </c>
      <c r="B572" s="4" t="s">
        <v>44</v>
      </c>
      <c r="C572" s="4" t="s">
        <v>41</v>
      </c>
      <c r="D572" s="4" t="s">
        <v>40</v>
      </c>
      <c r="E572" s="4" t="s">
        <v>25</v>
      </c>
      <c r="F572" s="4" t="s">
        <v>63</v>
      </c>
      <c r="G572" s="4" t="s">
        <v>25</v>
      </c>
      <c r="H572" s="4" t="s">
        <v>35</v>
      </c>
      <c r="I572" s="5">
        <v>43952</v>
      </c>
      <c r="J572" s="6">
        <v>11882</v>
      </c>
      <c r="K572" s="6">
        <v>7775.9786093599996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4" t="s">
        <v>60</v>
      </c>
      <c r="R572" s="4">
        <v>0</v>
      </c>
      <c r="S572" s="4">
        <v>31</v>
      </c>
      <c r="T572" s="4">
        <v>0</v>
      </c>
      <c r="U572" s="4">
        <v>0</v>
      </c>
      <c r="V572" s="6">
        <f>IF(ISERROR(VLOOKUP($S$572,'TAR FIN'!$A$1:$O$120,15,0)),0,VLOOKUP($S$572,'TAR FIN'!$A$1:$O$120,15,0))</f>
        <v>43.76</v>
      </c>
      <c r="W572" s="6">
        <f>IF(ISERROR(VLOOKUP($T$572,'TAR FIN'!$A$1:$O$120,15,0)),0,VLOOKUP($T$572,'TAR FIN'!$A$1:$O$120,15,0))</f>
        <v>0</v>
      </c>
      <c r="X572" s="6">
        <f>IF(ISERROR(VLOOKUP($U$572,'TAR FIN'!$A$1:$O$120,15,0)),0,VLOOKUP($U$572,'TAR FIN'!$A$1:$O$120,15,0))</f>
        <v>0</v>
      </c>
      <c r="Y572" s="6">
        <f ca="1">('TUSD BE'!$AM$39+'TUSD BF'!$AM$39+'TUSD CVA'!$AM$39)*1</f>
        <v>49.088494763430781</v>
      </c>
      <c r="Z572" s="6">
        <f ca="1">('TUSD BE'!$AM$41+'TUSD BF'!$AM$41+'TUSD CVA'!$AM$41)*1</f>
        <v>112.97896283052546</v>
      </c>
      <c r="AA572" s="6"/>
      <c r="AB572" s="6">
        <f t="shared" si="26"/>
        <v>179679.49605440642</v>
      </c>
      <c r="AC572" s="6">
        <f t="shared" si="27"/>
        <v>0</v>
      </c>
      <c r="AD572" s="6">
        <f t="shared" ca="1" si="28"/>
        <v>201558.40953296644</v>
      </c>
      <c r="AE572" s="6">
        <f t="shared" ca="1" si="29"/>
        <v>0</v>
      </c>
      <c r="AF572" s="4" t="s">
        <v>1150</v>
      </c>
    </row>
    <row r="573" spans="1:32" ht="11.25" customHeight="1" x14ac:dyDescent="0.25">
      <c r="A573" s="4" t="s">
        <v>21</v>
      </c>
      <c r="B573" s="4" t="s">
        <v>44</v>
      </c>
      <c r="C573" s="4" t="s">
        <v>41</v>
      </c>
      <c r="D573" s="4" t="s">
        <v>40</v>
      </c>
      <c r="E573" s="4" t="s">
        <v>25</v>
      </c>
      <c r="F573" s="4" t="s">
        <v>63</v>
      </c>
      <c r="G573" s="4" t="s">
        <v>25</v>
      </c>
      <c r="H573" s="4" t="s">
        <v>35</v>
      </c>
      <c r="I573" s="5">
        <v>43983</v>
      </c>
      <c r="J573" s="6">
        <v>11882</v>
      </c>
      <c r="K573" s="6">
        <v>7480.9745709400004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  <c r="Q573" s="4" t="s">
        <v>60</v>
      </c>
      <c r="R573" s="4">
        <v>0</v>
      </c>
      <c r="S573" s="4">
        <v>31</v>
      </c>
      <c r="T573" s="4">
        <v>0</v>
      </c>
      <c r="U573" s="4">
        <v>0</v>
      </c>
      <c r="V573" s="6">
        <f>IF(ISERROR(VLOOKUP($S$573,'TAR FIN'!$A$1:$O$120,15,0)),0,VLOOKUP($S$573,'TAR FIN'!$A$1:$O$120,15,0))</f>
        <v>43.76</v>
      </c>
      <c r="W573" s="6">
        <f>IF(ISERROR(VLOOKUP($T$573,'TAR FIN'!$A$1:$O$120,15,0)),0,VLOOKUP($T$573,'TAR FIN'!$A$1:$O$120,15,0))</f>
        <v>0</v>
      </c>
      <c r="X573" s="6">
        <f>IF(ISERROR(VLOOKUP($U$573,'TAR FIN'!$A$1:$O$120,15,0)),0,VLOOKUP($U$573,'TAR FIN'!$A$1:$O$120,15,0))</f>
        <v>0</v>
      </c>
      <c r="Y573" s="6">
        <f ca="1">('TUSD BE'!$AM$39+'TUSD BF'!$AM$39+'TUSD CVA'!$AM$39)*1</f>
        <v>49.088494763430781</v>
      </c>
      <c r="Z573" s="6">
        <f ca="1">('TUSD BE'!$AM$41+'TUSD BF'!$AM$41+'TUSD CVA'!$AM$41)*1</f>
        <v>112.97896283052546</v>
      </c>
      <c r="AA573" s="6"/>
      <c r="AB573" s="6">
        <f t="shared" si="26"/>
        <v>192588.87277566557</v>
      </c>
      <c r="AC573" s="6">
        <f t="shared" si="27"/>
        <v>0</v>
      </c>
      <c r="AD573" s="6">
        <f t="shared" ca="1" si="28"/>
        <v>216039.71372813749</v>
      </c>
      <c r="AE573" s="6">
        <f t="shared" ca="1" si="29"/>
        <v>0</v>
      </c>
      <c r="AF573" s="4" t="s">
        <v>1150</v>
      </c>
    </row>
    <row r="574" spans="1:32" ht="11.25" customHeight="1" x14ac:dyDescent="0.25">
      <c r="A574" s="4" t="s">
        <v>21</v>
      </c>
      <c r="B574" s="4" t="s">
        <v>44</v>
      </c>
      <c r="C574" s="4" t="s">
        <v>41</v>
      </c>
      <c r="D574" s="4" t="s">
        <v>40</v>
      </c>
      <c r="E574" s="4" t="s">
        <v>25</v>
      </c>
      <c r="F574" s="4" t="s">
        <v>63</v>
      </c>
      <c r="G574" s="4" t="s">
        <v>25</v>
      </c>
      <c r="H574" s="4" t="s">
        <v>35</v>
      </c>
      <c r="I574" s="5">
        <v>44013</v>
      </c>
      <c r="J574" s="6">
        <v>10448</v>
      </c>
      <c r="K574" s="6">
        <v>6596.7883175999996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4" t="s">
        <v>60</v>
      </c>
      <c r="R574" s="4">
        <v>0</v>
      </c>
      <c r="S574" s="4">
        <v>31</v>
      </c>
      <c r="T574" s="4">
        <v>0</v>
      </c>
      <c r="U574" s="4">
        <v>0</v>
      </c>
      <c r="V574" s="6">
        <f>IF(ISERROR(VLOOKUP($S$574,'TAR FIN'!$A$1:$O$120,15,0)),0,VLOOKUP($S$574,'TAR FIN'!$A$1:$O$120,15,0))</f>
        <v>43.76</v>
      </c>
      <c r="W574" s="6">
        <f>IF(ISERROR(VLOOKUP($T$574,'TAR FIN'!$A$1:$O$120,15,0)),0,VLOOKUP($T$574,'TAR FIN'!$A$1:$O$120,15,0))</f>
        <v>0</v>
      </c>
      <c r="X574" s="6">
        <f>IF(ISERROR(VLOOKUP($U$574,'TAR FIN'!$A$1:$O$120,15,0)),0,VLOOKUP($U$574,'TAR FIN'!$A$1:$O$120,15,0))</f>
        <v>0</v>
      </c>
      <c r="Y574" s="6">
        <f ca="1">('TUSD BE'!$AM$39+'TUSD BF'!$AM$39+'TUSD CVA'!$AM$39)*1</f>
        <v>49.088494763430781</v>
      </c>
      <c r="Z574" s="6">
        <f ca="1">('TUSD BE'!$AM$41+'TUSD BF'!$AM$41+'TUSD CVA'!$AM$41)*1</f>
        <v>112.97896283052546</v>
      </c>
      <c r="AA574" s="6"/>
      <c r="AB574" s="6">
        <f t="shared" si="26"/>
        <v>168529.023221824</v>
      </c>
      <c r="AC574" s="6">
        <f t="shared" si="27"/>
        <v>0</v>
      </c>
      <c r="AD574" s="6">
        <f t="shared" ca="1" si="28"/>
        <v>189050.18450435586</v>
      </c>
      <c r="AE574" s="6">
        <f t="shared" ca="1" si="29"/>
        <v>0</v>
      </c>
      <c r="AF574" s="4" t="s">
        <v>1150</v>
      </c>
    </row>
    <row r="575" spans="1:32" ht="11.25" customHeight="1" x14ac:dyDescent="0.25">
      <c r="A575" s="4" t="s">
        <v>21</v>
      </c>
      <c r="B575" s="4" t="s">
        <v>44</v>
      </c>
      <c r="C575" s="4" t="s">
        <v>41</v>
      </c>
      <c r="D575" s="4" t="s">
        <v>40</v>
      </c>
      <c r="E575" s="4" t="s">
        <v>25</v>
      </c>
      <c r="F575" s="4" t="s">
        <v>63</v>
      </c>
      <c r="G575" s="4" t="s">
        <v>25</v>
      </c>
      <c r="H575" s="4" t="s">
        <v>35</v>
      </c>
      <c r="I575" s="5">
        <v>44044</v>
      </c>
      <c r="J575" s="6">
        <v>12709</v>
      </c>
      <c r="K575" s="6">
        <v>8260.85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4" t="s">
        <v>60</v>
      </c>
      <c r="R575" s="4">
        <v>0</v>
      </c>
      <c r="S575" s="4">
        <v>31</v>
      </c>
      <c r="T575" s="4">
        <v>0</v>
      </c>
      <c r="U575" s="4">
        <v>0</v>
      </c>
      <c r="V575" s="6">
        <f>IF(ISERROR(VLOOKUP($S$575,'TAR FIN'!$A$1:$O$120,15,0)),0,VLOOKUP($S$575,'TAR FIN'!$A$1:$O$120,15,0))</f>
        <v>43.76</v>
      </c>
      <c r="W575" s="6">
        <f>IF(ISERROR(VLOOKUP($T$575,'TAR FIN'!$A$1:$O$120,15,0)),0,VLOOKUP($T$575,'TAR FIN'!$A$1:$O$120,15,0))</f>
        <v>0</v>
      </c>
      <c r="X575" s="6">
        <f>IF(ISERROR(VLOOKUP($U$575,'TAR FIN'!$A$1:$O$120,15,0)),0,VLOOKUP($U$575,'TAR FIN'!$A$1:$O$120,15,0))</f>
        <v>0</v>
      </c>
      <c r="Y575" s="6">
        <f ca="1">('TUSD BE'!$AM$39+'TUSD BF'!$AM$39+'TUSD CVA'!$AM$39)*1</f>
        <v>49.088494763430781</v>
      </c>
      <c r="Z575" s="6">
        <f ca="1">('TUSD BE'!$AM$41+'TUSD BF'!$AM$41+'TUSD CVA'!$AM$41)*1</f>
        <v>112.97896283052546</v>
      </c>
      <c r="AA575" s="6"/>
      <c r="AB575" s="6">
        <f t="shared" si="26"/>
        <v>194651.04399999997</v>
      </c>
      <c r="AC575" s="6">
        <f t="shared" si="27"/>
        <v>0</v>
      </c>
      <c r="AD575" s="6">
        <f t="shared" ca="1" si="28"/>
        <v>218352.98798195462</v>
      </c>
      <c r="AE575" s="6">
        <f t="shared" ca="1" si="29"/>
        <v>0</v>
      </c>
      <c r="AF575" s="4" t="s">
        <v>1150</v>
      </c>
    </row>
    <row r="576" spans="1:32" ht="11.25" customHeight="1" x14ac:dyDescent="0.25">
      <c r="A576" s="4" t="s">
        <v>59</v>
      </c>
      <c r="B576" s="4" t="s">
        <v>44</v>
      </c>
      <c r="C576" s="4" t="s">
        <v>41</v>
      </c>
      <c r="D576" s="4" t="s">
        <v>40</v>
      </c>
      <c r="E576" s="4" t="s">
        <v>25</v>
      </c>
      <c r="F576" s="4" t="s">
        <v>63</v>
      </c>
      <c r="G576" s="4" t="s">
        <v>25</v>
      </c>
      <c r="H576" s="4" t="s">
        <v>35</v>
      </c>
      <c r="I576" s="5">
        <v>44075</v>
      </c>
      <c r="J576" s="6">
        <v>12709</v>
      </c>
      <c r="K576" s="6">
        <v>8260.85</v>
      </c>
      <c r="L576" s="6">
        <v>0</v>
      </c>
      <c r="M576" s="6">
        <v>0</v>
      </c>
      <c r="N576" s="6">
        <v>0</v>
      </c>
      <c r="O576" s="6">
        <v>0</v>
      </c>
      <c r="P576" s="6">
        <v>0</v>
      </c>
      <c r="Q576" s="4" t="s">
        <v>60</v>
      </c>
      <c r="R576" s="4">
        <v>0</v>
      </c>
      <c r="S576" s="4">
        <v>31</v>
      </c>
      <c r="T576" s="4">
        <v>0</v>
      </c>
      <c r="U576" s="4">
        <v>0</v>
      </c>
      <c r="V576" s="6">
        <f>IF(ISERROR(VLOOKUP($S$576,'TAR FIN'!$A$1:$O$120,15,0)),0,VLOOKUP($S$576,'TAR FIN'!$A$1:$O$120,15,0))</f>
        <v>43.76</v>
      </c>
      <c r="W576" s="6">
        <f>IF(ISERROR(VLOOKUP($T$576,'TAR FIN'!$A$1:$O$120,15,0)),0,VLOOKUP($T$576,'TAR FIN'!$A$1:$O$120,15,0))</f>
        <v>0</v>
      </c>
      <c r="X576" s="6">
        <f>IF(ISERROR(VLOOKUP($U$576,'TAR FIN'!$A$1:$O$120,15,0)),0,VLOOKUP($U$576,'TAR FIN'!$A$1:$O$120,15,0))</f>
        <v>0</v>
      </c>
      <c r="Y576" s="6">
        <f ca="1">('TUSD BE'!$AM$39+'TUSD BF'!$AM$39+'TUSD CVA'!$AM$39)*1</f>
        <v>49.088494763430781</v>
      </c>
      <c r="Z576" s="6">
        <f ca="1">('TUSD BE'!$AM$41+'TUSD BF'!$AM$41+'TUSD CVA'!$AM$41)*1</f>
        <v>112.97896283052546</v>
      </c>
      <c r="AA576" s="6"/>
      <c r="AB576" s="6">
        <f t="shared" si="26"/>
        <v>194651.04399999997</v>
      </c>
      <c r="AC576" s="6">
        <f t="shared" si="27"/>
        <v>0</v>
      </c>
      <c r="AD576" s="6">
        <f t="shared" ca="1" si="28"/>
        <v>218352.98798195462</v>
      </c>
      <c r="AE576" s="6">
        <f t="shared" ca="1" si="29"/>
        <v>0</v>
      </c>
      <c r="AF576" s="4" t="s">
        <v>1150</v>
      </c>
    </row>
    <row r="577" spans="1:32" ht="11.25" customHeight="1" x14ac:dyDescent="0.25">
      <c r="A577" s="4" t="s">
        <v>21</v>
      </c>
      <c r="B577" s="4" t="s">
        <v>44</v>
      </c>
      <c r="C577" s="4" t="s">
        <v>34</v>
      </c>
      <c r="D577" s="4" t="s">
        <v>40</v>
      </c>
      <c r="E577" s="4" t="s">
        <v>25</v>
      </c>
      <c r="F577" s="4" t="s">
        <v>63</v>
      </c>
      <c r="G577" s="4" t="s">
        <v>25</v>
      </c>
      <c r="H577" s="4" t="s">
        <v>36</v>
      </c>
      <c r="I577" s="5">
        <v>43739</v>
      </c>
      <c r="J577" s="6">
        <v>0</v>
      </c>
      <c r="K577" s="6">
        <v>0</v>
      </c>
      <c r="L577" s="6">
        <v>2216.1469999999999</v>
      </c>
      <c r="M577" s="6">
        <v>2216.1469999999999</v>
      </c>
      <c r="N577" s="6">
        <v>0</v>
      </c>
      <c r="O577" s="6">
        <v>0</v>
      </c>
      <c r="P577" s="6">
        <v>0</v>
      </c>
      <c r="Q577" s="4" t="s">
        <v>60</v>
      </c>
      <c r="R577" s="4">
        <v>0</v>
      </c>
      <c r="S577" s="4">
        <v>0</v>
      </c>
      <c r="T577" s="4">
        <v>37</v>
      </c>
      <c r="U577" s="4">
        <v>0</v>
      </c>
      <c r="V577" s="6">
        <f>IF(ISERROR(VLOOKUP($S$577,'TAR FIN'!$A$1:$O$120,15,0)),0,VLOOKUP($S$577,'TAR FIN'!$A$1:$O$120,15,0))</f>
        <v>0</v>
      </c>
      <c r="W577" s="6">
        <f>IF(ISERROR(VLOOKUP($T$577,'TAR FIN'!$A$1:$O$120,15,0)),0,VLOOKUP($T$577,'TAR FIN'!$A$1:$O$120,15,0))</f>
        <v>109.75</v>
      </c>
      <c r="X577" s="6">
        <f>IF(ISERROR(VLOOKUP($U$577,'TAR FIN'!$A$1:$O$120,15,0)),0,VLOOKUP($U$577,'TAR FIN'!$A$1:$O$120,15,0))</f>
        <v>0</v>
      </c>
      <c r="Y577" s="6"/>
      <c r="Z577" s="6">
        <f ca="1">('TUSD BE'!$AM$45+'TUSD BF'!$AM$45+'TUSD CVA'!$AM$45)*1</f>
        <v>112.97896283052546</v>
      </c>
      <c r="AA577" s="6"/>
      <c r="AB577" s="6">
        <f t="shared" si="26"/>
        <v>0</v>
      </c>
      <c r="AC577" s="6">
        <f t="shared" si="27"/>
        <v>0</v>
      </c>
      <c r="AD577" s="6">
        <f t="shared" si="28"/>
        <v>0</v>
      </c>
      <c r="AE577" s="6">
        <f t="shared" ca="1" si="29"/>
        <v>0</v>
      </c>
      <c r="AF577" s="4" t="s">
        <v>1150</v>
      </c>
    </row>
    <row r="578" spans="1:32" ht="11.25" customHeight="1" x14ac:dyDescent="0.25">
      <c r="A578" s="4" t="s">
        <v>21</v>
      </c>
      <c r="B578" s="4" t="s">
        <v>44</v>
      </c>
      <c r="C578" s="4" t="s">
        <v>34</v>
      </c>
      <c r="D578" s="4" t="s">
        <v>40</v>
      </c>
      <c r="E578" s="4" t="s">
        <v>25</v>
      </c>
      <c r="F578" s="4" t="s">
        <v>63</v>
      </c>
      <c r="G578" s="4" t="s">
        <v>25</v>
      </c>
      <c r="H578" s="4" t="s">
        <v>36</v>
      </c>
      <c r="I578" s="5">
        <v>43770</v>
      </c>
      <c r="J578" s="6">
        <v>0</v>
      </c>
      <c r="K578" s="6">
        <v>0</v>
      </c>
      <c r="L578" s="6">
        <v>2075.64</v>
      </c>
      <c r="M578" s="6">
        <v>2075.64</v>
      </c>
      <c r="N578" s="6">
        <v>0</v>
      </c>
      <c r="O578" s="6">
        <v>0</v>
      </c>
      <c r="P578" s="6">
        <v>0</v>
      </c>
      <c r="Q578" s="4" t="s">
        <v>60</v>
      </c>
      <c r="R578" s="4">
        <v>0</v>
      </c>
      <c r="S578" s="4">
        <v>0</v>
      </c>
      <c r="T578" s="4">
        <v>37</v>
      </c>
      <c r="U578" s="4">
        <v>0</v>
      </c>
      <c r="V578" s="6">
        <f>IF(ISERROR(VLOOKUP($S$578,'TAR FIN'!$A$1:$O$120,15,0)),0,VLOOKUP($S$578,'TAR FIN'!$A$1:$O$120,15,0))</f>
        <v>0</v>
      </c>
      <c r="W578" s="6">
        <f>IF(ISERROR(VLOOKUP($T$578,'TAR FIN'!$A$1:$O$120,15,0)),0,VLOOKUP($T$578,'TAR FIN'!$A$1:$O$120,15,0))</f>
        <v>109.75</v>
      </c>
      <c r="X578" s="6">
        <f>IF(ISERROR(VLOOKUP($U$578,'TAR FIN'!$A$1:$O$120,15,0)),0,VLOOKUP($U$578,'TAR FIN'!$A$1:$O$120,15,0))</f>
        <v>0</v>
      </c>
      <c r="Y578" s="6"/>
      <c r="Z578" s="6">
        <f ca="1">('TUSD BE'!$AM$45+'TUSD BF'!$AM$45+'TUSD CVA'!$AM$45)*1</f>
        <v>112.97896283052546</v>
      </c>
      <c r="AA578" s="6"/>
      <c r="AB578" s="6">
        <f t="shared" ref="AB578:AB641" si="30">(J578-K578)*V578</f>
        <v>0</v>
      </c>
      <c r="AC578" s="6">
        <f t="shared" ref="AC578:AC613" si="31">(L578-M578)*W578+(N578-O578)*X578</f>
        <v>0</v>
      </c>
      <c r="AD578" s="6">
        <f t="shared" ref="AD578:AD641" si="32">(J578-K578)*Y578</f>
        <v>0</v>
      </c>
      <c r="AE578" s="6">
        <f t="shared" ref="AE578:AE613" ca="1" si="33">(L578-M578)*Z578+(N578-O578)*AA578</f>
        <v>0</v>
      </c>
      <c r="AF578" s="4" t="s">
        <v>1150</v>
      </c>
    </row>
    <row r="579" spans="1:32" ht="11.25" customHeight="1" x14ac:dyDescent="0.25">
      <c r="A579" s="4" t="s">
        <v>21</v>
      </c>
      <c r="B579" s="4" t="s">
        <v>44</v>
      </c>
      <c r="C579" s="4" t="s">
        <v>34</v>
      </c>
      <c r="D579" s="4" t="s">
        <v>40</v>
      </c>
      <c r="E579" s="4" t="s">
        <v>25</v>
      </c>
      <c r="F579" s="4" t="s">
        <v>63</v>
      </c>
      <c r="G579" s="4" t="s">
        <v>25</v>
      </c>
      <c r="H579" s="4" t="s">
        <v>36</v>
      </c>
      <c r="I579" s="5">
        <v>43800</v>
      </c>
      <c r="J579" s="6">
        <v>0</v>
      </c>
      <c r="K579" s="6">
        <v>0</v>
      </c>
      <c r="L579" s="6">
        <v>2183.33</v>
      </c>
      <c r="M579" s="6">
        <v>2183.33</v>
      </c>
      <c r="N579" s="6">
        <v>0</v>
      </c>
      <c r="O579" s="6">
        <v>0</v>
      </c>
      <c r="P579" s="6">
        <v>0</v>
      </c>
      <c r="Q579" s="4" t="s">
        <v>60</v>
      </c>
      <c r="R579" s="4">
        <v>0</v>
      </c>
      <c r="S579" s="4">
        <v>0</v>
      </c>
      <c r="T579" s="4">
        <v>37</v>
      </c>
      <c r="U579" s="4">
        <v>0</v>
      </c>
      <c r="V579" s="6">
        <f>IF(ISERROR(VLOOKUP($S$579,'TAR FIN'!$A$1:$O$120,15,0)),0,VLOOKUP($S$579,'TAR FIN'!$A$1:$O$120,15,0))</f>
        <v>0</v>
      </c>
      <c r="W579" s="6">
        <f>IF(ISERROR(VLOOKUP($T$579,'TAR FIN'!$A$1:$O$120,15,0)),0,VLOOKUP($T$579,'TAR FIN'!$A$1:$O$120,15,0))</f>
        <v>109.75</v>
      </c>
      <c r="X579" s="6">
        <f>IF(ISERROR(VLOOKUP($U$579,'TAR FIN'!$A$1:$O$120,15,0)),0,VLOOKUP($U$579,'TAR FIN'!$A$1:$O$120,15,0))</f>
        <v>0</v>
      </c>
      <c r="Y579" s="6"/>
      <c r="Z579" s="6">
        <f ca="1">('TUSD BE'!$AM$45+'TUSD BF'!$AM$45+'TUSD CVA'!$AM$45)*1</f>
        <v>112.97896283052546</v>
      </c>
      <c r="AA579" s="6"/>
      <c r="AB579" s="6">
        <f t="shared" si="30"/>
        <v>0</v>
      </c>
      <c r="AC579" s="6">
        <f t="shared" si="31"/>
        <v>0</v>
      </c>
      <c r="AD579" s="6">
        <f t="shared" si="32"/>
        <v>0</v>
      </c>
      <c r="AE579" s="6">
        <f t="shared" ca="1" si="33"/>
        <v>0</v>
      </c>
      <c r="AF579" s="4" t="s">
        <v>1150</v>
      </c>
    </row>
    <row r="580" spans="1:32" ht="11.25" customHeight="1" x14ac:dyDescent="0.25">
      <c r="A580" s="4" t="s">
        <v>21</v>
      </c>
      <c r="B580" s="4" t="s">
        <v>44</v>
      </c>
      <c r="C580" s="4" t="s">
        <v>34</v>
      </c>
      <c r="D580" s="4" t="s">
        <v>40</v>
      </c>
      <c r="E580" s="4" t="s">
        <v>25</v>
      </c>
      <c r="F580" s="4" t="s">
        <v>63</v>
      </c>
      <c r="G580" s="4" t="s">
        <v>25</v>
      </c>
      <c r="H580" s="4" t="s">
        <v>36</v>
      </c>
      <c r="I580" s="5">
        <v>43831</v>
      </c>
      <c r="J580" s="6">
        <v>0</v>
      </c>
      <c r="K580" s="6">
        <v>0</v>
      </c>
      <c r="L580" s="6">
        <v>2192.85</v>
      </c>
      <c r="M580" s="6">
        <v>2192.85</v>
      </c>
      <c r="N580" s="6">
        <v>0</v>
      </c>
      <c r="O580" s="6">
        <v>0</v>
      </c>
      <c r="P580" s="6">
        <v>0</v>
      </c>
      <c r="Q580" s="4" t="s">
        <v>60</v>
      </c>
      <c r="R580" s="4">
        <v>0</v>
      </c>
      <c r="S580" s="4">
        <v>0</v>
      </c>
      <c r="T580" s="4">
        <v>37</v>
      </c>
      <c r="U580" s="4">
        <v>0</v>
      </c>
      <c r="V580" s="6">
        <f>IF(ISERROR(VLOOKUP($S$580,'TAR FIN'!$A$1:$O$120,15,0)),0,VLOOKUP($S$580,'TAR FIN'!$A$1:$O$120,15,0))</f>
        <v>0</v>
      </c>
      <c r="W580" s="6">
        <f>IF(ISERROR(VLOOKUP($T$580,'TAR FIN'!$A$1:$O$120,15,0)),0,VLOOKUP($T$580,'TAR FIN'!$A$1:$O$120,15,0))</f>
        <v>109.75</v>
      </c>
      <c r="X580" s="6">
        <f>IF(ISERROR(VLOOKUP($U$580,'TAR FIN'!$A$1:$O$120,15,0)),0,VLOOKUP($U$580,'TAR FIN'!$A$1:$O$120,15,0))</f>
        <v>0</v>
      </c>
      <c r="Y580" s="6"/>
      <c r="Z580" s="6">
        <f ca="1">('TUSD BE'!$AM$45+'TUSD BF'!$AM$45+'TUSD CVA'!$AM$45)*1</f>
        <v>112.97896283052546</v>
      </c>
      <c r="AA580" s="6"/>
      <c r="AB580" s="6">
        <f t="shared" si="30"/>
        <v>0</v>
      </c>
      <c r="AC580" s="6">
        <f t="shared" si="31"/>
        <v>0</v>
      </c>
      <c r="AD580" s="6">
        <f t="shared" si="32"/>
        <v>0</v>
      </c>
      <c r="AE580" s="6">
        <f t="shared" ca="1" si="33"/>
        <v>0</v>
      </c>
      <c r="AF580" s="4" t="s">
        <v>1150</v>
      </c>
    </row>
    <row r="581" spans="1:32" ht="11.25" customHeight="1" x14ac:dyDescent="0.25">
      <c r="A581" s="4" t="s">
        <v>21</v>
      </c>
      <c r="B581" s="4" t="s">
        <v>44</v>
      </c>
      <c r="C581" s="4" t="s">
        <v>34</v>
      </c>
      <c r="D581" s="4" t="s">
        <v>40</v>
      </c>
      <c r="E581" s="4" t="s">
        <v>25</v>
      </c>
      <c r="F581" s="4" t="s">
        <v>63</v>
      </c>
      <c r="G581" s="4" t="s">
        <v>25</v>
      </c>
      <c r="H581" s="4" t="s">
        <v>36</v>
      </c>
      <c r="I581" s="5">
        <v>43862</v>
      </c>
      <c r="J581" s="6">
        <v>0</v>
      </c>
      <c r="K581" s="6">
        <v>0</v>
      </c>
      <c r="L581" s="6">
        <v>1960.819</v>
      </c>
      <c r="M581" s="6">
        <v>1960.819</v>
      </c>
      <c r="N581" s="6">
        <v>0</v>
      </c>
      <c r="O581" s="6">
        <v>0</v>
      </c>
      <c r="P581" s="6">
        <v>0</v>
      </c>
      <c r="Q581" s="4" t="s">
        <v>60</v>
      </c>
      <c r="R581" s="4">
        <v>0</v>
      </c>
      <c r="S581" s="4">
        <v>0</v>
      </c>
      <c r="T581" s="4">
        <v>37</v>
      </c>
      <c r="U581" s="4">
        <v>0</v>
      </c>
      <c r="V581" s="6">
        <f>IF(ISERROR(VLOOKUP($S$581,'TAR FIN'!$A$1:$O$120,15,0)),0,VLOOKUP($S$581,'TAR FIN'!$A$1:$O$120,15,0))</f>
        <v>0</v>
      </c>
      <c r="W581" s="6">
        <f>IF(ISERROR(VLOOKUP($T$581,'TAR FIN'!$A$1:$O$120,15,0)),0,VLOOKUP($T$581,'TAR FIN'!$A$1:$O$120,15,0))</f>
        <v>109.75</v>
      </c>
      <c r="X581" s="6">
        <f>IF(ISERROR(VLOOKUP($U$581,'TAR FIN'!$A$1:$O$120,15,0)),0,VLOOKUP($U$581,'TAR FIN'!$A$1:$O$120,15,0))</f>
        <v>0</v>
      </c>
      <c r="Y581" s="6"/>
      <c r="Z581" s="6">
        <f ca="1">('TUSD BE'!$AM$45+'TUSD BF'!$AM$45+'TUSD CVA'!$AM$45)*1</f>
        <v>112.97896283052546</v>
      </c>
      <c r="AA581" s="6"/>
      <c r="AB581" s="6">
        <f t="shared" si="30"/>
        <v>0</v>
      </c>
      <c r="AC581" s="6">
        <f t="shared" si="31"/>
        <v>0</v>
      </c>
      <c r="AD581" s="6">
        <f t="shared" si="32"/>
        <v>0</v>
      </c>
      <c r="AE581" s="6">
        <f t="shared" ca="1" si="33"/>
        <v>0</v>
      </c>
      <c r="AF581" s="4" t="s">
        <v>1150</v>
      </c>
    </row>
    <row r="582" spans="1:32" ht="11.25" customHeight="1" x14ac:dyDescent="0.25">
      <c r="A582" s="4" t="s">
        <v>21</v>
      </c>
      <c r="B582" s="4" t="s">
        <v>44</v>
      </c>
      <c r="C582" s="4" t="s">
        <v>34</v>
      </c>
      <c r="D582" s="4" t="s">
        <v>40</v>
      </c>
      <c r="E582" s="4" t="s">
        <v>25</v>
      </c>
      <c r="F582" s="4" t="s">
        <v>63</v>
      </c>
      <c r="G582" s="4" t="s">
        <v>25</v>
      </c>
      <c r="H582" s="4" t="s">
        <v>36</v>
      </c>
      <c r="I582" s="5">
        <v>43891</v>
      </c>
      <c r="J582" s="6">
        <v>0</v>
      </c>
      <c r="K582" s="6">
        <v>0</v>
      </c>
      <c r="L582" s="6">
        <v>2094.172</v>
      </c>
      <c r="M582" s="6">
        <v>2094.172</v>
      </c>
      <c r="N582" s="6">
        <v>0</v>
      </c>
      <c r="O582" s="6">
        <v>0</v>
      </c>
      <c r="P582" s="6">
        <v>0</v>
      </c>
      <c r="Q582" s="4" t="s">
        <v>60</v>
      </c>
      <c r="R582" s="4">
        <v>0</v>
      </c>
      <c r="S582" s="4">
        <v>0</v>
      </c>
      <c r="T582" s="4">
        <v>37</v>
      </c>
      <c r="U582" s="4">
        <v>0</v>
      </c>
      <c r="V582" s="6">
        <f>IF(ISERROR(VLOOKUP($S$582,'TAR FIN'!$A$1:$O$120,15,0)),0,VLOOKUP($S$582,'TAR FIN'!$A$1:$O$120,15,0))</f>
        <v>0</v>
      </c>
      <c r="W582" s="6">
        <f>IF(ISERROR(VLOOKUP($T$582,'TAR FIN'!$A$1:$O$120,15,0)),0,VLOOKUP($T$582,'TAR FIN'!$A$1:$O$120,15,0))</f>
        <v>109.75</v>
      </c>
      <c r="X582" s="6">
        <f>IF(ISERROR(VLOOKUP($U$582,'TAR FIN'!$A$1:$O$120,15,0)),0,VLOOKUP($U$582,'TAR FIN'!$A$1:$O$120,15,0))</f>
        <v>0</v>
      </c>
      <c r="Y582" s="6"/>
      <c r="Z582" s="6">
        <f ca="1">('TUSD BE'!$AM$45+'TUSD BF'!$AM$45+'TUSD CVA'!$AM$45)*1</f>
        <v>112.97896283052546</v>
      </c>
      <c r="AA582" s="6"/>
      <c r="AB582" s="6">
        <f t="shared" si="30"/>
        <v>0</v>
      </c>
      <c r="AC582" s="6">
        <f t="shared" si="31"/>
        <v>0</v>
      </c>
      <c r="AD582" s="6">
        <f t="shared" si="32"/>
        <v>0</v>
      </c>
      <c r="AE582" s="6">
        <f t="shared" ca="1" si="33"/>
        <v>0</v>
      </c>
      <c r="AF582" s="4" t="s">
        <v>1150</v>
      </c>
    </row>
    <row r="583" spans="1:32" ht="11.25" customHeight="1" x14ac:dyDescent="0.25">
      <c r="A583" s="4" t="s">
        <v>21</v>
      </c>
      <c r="B583" s="4" t="s">
        <v>44</v>
      </c>
      <c r="C583" s="4" t="s">
        <v>34</v>
      </c>
      <c r="D583" s="4" t="s">
        <v>40</v>
      </c>
      <c r="E583" s="4" t="s">
        <v>25</v>
      </c>
      <c r="F583" s="4" t="s">
        <v>63</v>
      </c>
      <c r="G583" s="4" t="s">
        <v>25</v>
      </c>
      <c r="H583" s="4" t="s">
        <v>36</v>
      </c>
      <c r="I583" s="5">
        <v>43922</v>
      </c>
      <c r="J583" s="6">
        <v>0</v>
      </c>
      <c r="K583" s="6">
        <v>0</v>
      </c>
      <c r="L583" s="6">
        <v>1934.481</v>
      </c>
      <c r="M583" s="6">
        <v>1934.481</v>
      </c>
      <c r="N583" s="6">
        <v>0</v>
      </c>
      <c r="O583" s="6">
        <v>0</v>
      </c>
      <c r="P583" s="6">
        <v>0</v>
      </c>
      <c r="Q583" s="4" t="s">
        <v>60</v>
      </c>
      <c r="R583" s="4">
        <v>0</v>
      </c>
      <c r="S583" s="4">
        <v>0</v>
      </c>
      <c r="T583" s="4">
        <v>37</v>
      </c>
      <c r="U583" s="4">
        <v>0</v>
      </c>
      <c r="V583" s="6">
        <f>IF(ISERROR(VLOOKUP($S$583,'TAR FIN'!$A$1:$O$120,15,0)),0,VLOOKUP($S$583,'TAR FIN'!$A$1:$O$120,15,0))</f>
        <v>0</v>
      </c>
      <c r="W583" s="6">
        <f>IF(ISERROR(VLOOKUP($T$583,'TAR FIN'!$A$1:$O$120,15,0)),0,VLOOKUP($T$583,'TAR FIN'!$A$1:$O$120,15,0))</f>
        <v>109.75</v>
      </c>
      <c r="X583" s="6">
        <f>IF(ISERROR(VLOOKUP($U$583,'TAR FIN'!$A$1:$O$120,15,0)),0,VLOOKUP($U$583,'TAR FIN'!$A$1:$O$120,15,0))</f>
        <v>0</v>
      </c>
      <c r="Y583" s="6"/>
      <c r="Z583" s="6">
        <f ca="1">('TUSD BE'!$AM$45+'TUSD BF'!$AM$45+'TUSD CVA'!$AM$45)*1</f>
        <v>112.97896283052546</v>
      </c>
      <c r="AA583" s="6"/>
      <c r="AB583" s="6">
        <f t="shared" si="30"/>
        <v>0</v>
      </c>
      <c r="AC583" s="6">
        <f t="shared" si="31"/>
        <v>0</v>
      </c>
      <c r="AD583" s="6">
        <f t="shared" si="32"/>
        <v>0</v>
      </c>
      <c r="AE583" s="6">
        <f t="shared" ca="1" si="33"/>
        <v>0</v>
      </c>
      <c r="AF583" s="4" t="s">
        <v>1150</v>
      </c>
    </row>
    <row r="584" spans="1:32" ht="11.25" customHeight="1" x14ac:dyDescent="0.25">
      <c r="A584" s="4" t="s">
        <v>21</v>
      </c>
      <c r="B584" s="4" t="s">
        <v>44</v>
      </c>
      <c r="C584" s="4" t="s">
        <v>34</v>
      </c>
      <c r="D584" s="4" t="s">
        <v>40</v>
      </c>
      <c r="E584" s="4" t="s">
        <v>25</v>
      </c>
      <c r="F584" s="4" t="s">
        <v>63</v>
      </c>
      <c r="G584" s="4" t="s">
        <v>25</v>
      </c>
      <c r="H584" s="4" t="s">
        <v>36</v>
      </c>
      <c r="I584" s="5">
        <v>43952</v>
      </c>
      <c r="J584" s="6">
        <v>0</v>
      </c>
      <c r="K584" s="6">
        <v>0</v>
      </c>
      <c r="L584" s="6">
        <v>1943.2639999999999</v>
      </c>
      <c r="M584" s="6">
        <v>1943.2639999999999</v>
      </c>
      <c r="N584" s="6">
        <v>0</v>
      </c>
      <c r="O584" s="6">
        <v>0</v>
      </c>
      <c r="P584" s="6">
        <v>0</v>
      </c>
      <c r="Q584" s="4" t="s">
        <v>60</v>
      </c>
      <c r="R584" s="4">
        <v>0</v>
      </c>
      <c r="S584" s="4">
        <v>0</v>
      </c>
      <c r="T584" s="4">
        <v>37</v>
      </c>
      <c r="U584" s="4">
        <v>0</v>
      </c>
      <c r="V584" s="6">
        <f>IF(ISERROR(VLOOKUP($S$584,'TAR FIN'!$A$1:$O$120,15,0)),0,VLOOKUP($S$584,'TAR FIN'!$A$1:$O$120,15,0))</f>
        <v>0</v>
      </c>
      <c r="W584" s="6">
        <f>IF(ISERROR(VLOOKUP($T$584,'TAR FIN'!$A$1:$O$120,15,0)),0,VLOOKUP($T$584,'TAR FIN'!$A$1:$O$120,15,0))</f>
        <v>109.75</v>
      </c>
      <c r="X584" s="6">
        <f>IF(ISERROR(VLOOKUP($U$584,'TAR FIN'!$A$1:$O$120,15,0)),0,VLOOKUP($U$584,'TAR FIN'!$A$1:$O$120,15,0))</f>
        <v>0</v>
      </c>
      <c r="Y584" s="6"/>
      <c r="Z584" s="6">
        <f ca="1">('TUSD BE'!$AM$45+'TUSD BF'!$AM$45+'TUSD CVA'!$AM$45)*1</f>
        <v>112.97896283052546</v>
      </c>
      <c r="AA584" s="6"/>
      <c r="AB584" s="6">
        <f t="shared" si="30"/>
        <v>0</v>
      </c>
      <c r="AC584" s="6">
        <f t="shared" si="31"/>
        <v>0</v>
      </c>
      <c r="AD584" s="6">
        <f t="shared" si="32"/>
        <v>0</v>
      </c>
      <c r="AE584" s="6">
        <f t="shared" ca="1" si="33"/>
        <v>0</v>
      </c>
      <c r="AF584" s="4" t="s">
        <v>1150</v>
      </c>
    </row>
    <row r="585" spans="1:32" ht="11.25" customHeight="1" x14ac:dyDescent="0.25">
      <c r="A585" s="4" t="s">
        <v>21</v>
      </c>
      <c r="B585" s="4" t="s">
        <v>44</v>
      </c>
      <c r="C585" s="4" t="s">
        <v>34</v>
      </c>
      <c r="D585" s="4" t="s">
        <v>40</v>
      </c>
      <c r="E585" s="4" t="s">
        <v>25</v>
      </c>
      <c r="F585" s="4" t="s">
        <v>63</v>
      </c>
      <c r="G585" s="4" t="s">
        <v>25</v>
      </c>
      <c r="H585" s="4" t="s">
        <v>36</v>
      </c>
      <c r="I585" s="5">
        <v>43983</v>
      </c>
      <c r="J585" s="6">
        <v>0</v>
      </c>
      <c r="K585" s="6">
        <v>0</v>
      </c>
      <c r="L585" s="6">
        <v>1943.2639999999999</v>
      </c>
      <c r="M585" s="6">
        <v>1943.2639999999999</v>
      </c>
      <c r="N585" s="6">
        <v>0</v>
      </c>
      <c r="O585" s="6">
        <v>0</v>
      </c>
      <c r="P585" s="6">
        <v>0</v>
      </c>
      <c r="Q585" s="4" t="s">
        <v>60</v>
      </c>
      <c r="R585" s="4">
        <v>0</v>
      </c>
      <c r="S585" s="4">
        <v>0</v>
      </c>
      <c r="T585" s="4">
        <v>37</v>
      </c>
      <c r="U585" s="4">
        <v>0</v>
      </c>
      <c r="V585" s="6">
        <f>IF(ISERROR(VLOOKUP($S$585,'TAR FIN'!$A$1:$O$120,15,0)),0,VLOOKUP($S$585,'TAR FIN'!$A$1:$O$120,15,0))</f>
        <v>0</v>
      </c>
      <c r="W585" s="6">
        <f>IF(ISERROR(VLOOKUP($T$585,'TAR FIN'!$A$1:$O$120,15,0)),0,VLOOKUP($T$585,'TAR FIN'!$A$1:$O$120,15,0))</f>
        <v>109.75</v>
      </c>
      <c r="X585" s="6">
        <f>IF(ISERROR(VLOOKUP($U$585,'TAR FIN'!$A$1:$O$120,15,0)),0,VLOOKUP($U$585,'TAR FIN'!$A$1:$O$120,15,0))</f>
        <v>0</v>
      </c>
      <c r="Y585" s="6"/>
      <c r="Z585" s="6">
        <f ca="1">('TUSD BE'!$AM$45+'TUSD BF'!$AM$45+'TUSD CVA'!$AM$45)*1</f>
        <v>112.97896283052546</v>
      </c>
      <c r="AA585" s="6"/>
      <c r="AB585" s="6">
        <f t="shared" si="30"/>
        <v>0</v>
      </c>
      <c r="AC585" s="6">
        <f t="shared" si="31"/>
        <v>0</v>
      </c>
      <c r="AD585" s="6">
        <f t="shared" si="32"/>
        <v>0</v>
      </c>
      <c r="AE585" s="6">
        <f t="shared" ca="1" si="33"/>
        <v>0</v>
      </c>
      <c r="AF585" s="4" t="s">
        <v>1150</v>
      </c>
    </row>
    <row r="586" spans="1:32" ht="11.25" customHeight="1" x14ac:dyDescent="0.25">
      <c r="A586" s="4" t="s">
        <v>21</v>
      </c>
      <c r="B586" s="4" t="s">
        <v>44</v>
      </c>
      <c r="C586" s="4" t="s">
        <v>34</v>
      </c>
      <c r="D586" s="4" t="s">
        <v>40</v>
      </c>
      <c r="E586" s="4" t="s">
        <v>25</v>
      </c>
      <c r="F586" s="4" t="s">
        <v>63</v>
      </c>
      <c r="G586" s="4" t="s">
        <v>25</v>
      </c>
      <c r="H586" s="4" t="s">
        <v>36</v>
      </c>
      <c r="I586" s="5">
        <v>44013</v>
      </c>
      <c r="J586" s="6">
        <v>0</v>
      </c>
      <c r="K586" s="6">
        <v>0</v>
      </c>
      <c r="L586" s="6">
        <v>1682.3130000000001</v>
      </c>
      <c r="M586" s="6">
        <v>1682.3130000000001</v>
      </c>
      <c r="N586" s="6">
        <v>0</v>
      </c>
      <c r="O586" s="6">
        <v>0</v>
      </c>
      <c r="P586" s="6">
        <v>0</v>
      </c>
      <c r="Q586" s="4" t="s">
        <v>60</v>
      </c>
      <c r="R586" s="4">
        <v>0</v>
      </c>
      <c r="S586" s="4">
        <v>0</v>
      </c>
      <c r="T586" s="4">
        <v>37</v>
      </c>
      <c r="U586" s="4">
        <v>0</v>
      </c>
      <c r="V586" s="6">
        <f>IF(ISERROR(VLOOKUP($S$586,'TAR FIN'!$A$1:$O$120,15,0)),0,VLOOKUP($S$586,'TAR FIN'!$A$1:$O$120,15,0))</f>
        <v>0</v>
      </c>
      <c r="W586" s="6">
        <f>IF(ISERROR(VLOOKUP($T$586,'TAR FIN'!$A$1:$O$120,15,0)),0,VLOOKUP($T$586,'TAR FIN'!$A$1:$O$120,15,0))</f>
        <v>109.75</v>
      </c>
      <c r="X586" s="6">
        <f>IF(ISERROR(VLOOKUP($U$586,'TAR FIN'!$A$1:$O$120,15,0)),0,VLOOKUP($U$586,'TAR FIN'!$A$1:$O$120,15,0))</f>
        <v>0</v>
      </c>
      <c r="Y586" s="6"/>
      <c r="Z586" s="6">
        <f ca="1">('TUSD BE'!$AM$45+'TUSD BF'!$AM$45+'TUSD CVA'!$AM$45)*1</f>
        <v>112.97896283052546</v>
      </c>
      <c r="AA586" s="6"/>
      <c r="AB586" s="6">
        <f t="shared" si="30"/>
        <v>0</v>
      </c>
      <c r="AC586" s="6">
        <f t="shared" si="31"/>
        <v>0</v>
      </c>
      <c r="AD586" s="6">
        <f t="shared" si="32"/>
        <v>0</v>
      </c>
      <c r="AE586" s="6">
        <f t="shared" ca="1" si="33"/>
        <v>0</v>
      </c>
      <c r="AF586" s="4" t="s">
        <v>1150</v>
      </c>
    </row>
    <row r="587" spans="1:32" ht="11.25" customHeight="1" x14ac:dyDescent="0.25">
      <c r="A587" s="4" t="s">
        <v>21</v>
      </c>
      <c r="B587" s="4" t="s">
        <v>44</v>
      </c>
      <c r="C587" s="4" t="s">
        <v>34</v>
      </c>
      <c r="D587" s="4" t="s">
        <v>40</v>
      </c>
      <c r="E587" s="4" t="s">
        <v>25</v>
      </c>
      <c r="F587" s="4" t="s">
        <v>63</v>
      </c>
      <c r="G587" s="4" t="s">
        <v>25</v>
      </c>
      <c r="H587" s="4" t="s">
        <v>36</v>
      </c>
      <c r="I587" s="5">
        <v>44044</v>
      </c>
      <c r="J587" s="6">
        <v>0</v>
      </c>
      <c r="K587" s="6">
        <v>0</v>
      </c>
      <c r="L587" s="6">
        <v>2074.7269999999999</v>
      </c>
      <c r="M587" s="6">
        <v>2074.7269999999999</v>
      </c>
      <c r="N587" s="6">
        <v>0</v>
      </c>
      <c r="O587" s="6">
        <v>0</v>
      </c>
      <c r="P587" s="6">
        <v>0</v>
      </c>
      <c r="Q587" s="4" t="s">
        <v>60</v>
      </c>
      <c r="R587" s="4">
        <v>0</v>
      </c>
      <c r="S587" s="4">
        <v>0</v>
      </c>
      <c r="T587" s="4">
        <v>37</v>
      </c>
      <c r="U587" s="4">
        <v>0</v>
      </c>
      <c r="V587" s="6">
        <f>IF(ISERROR(VLOOKUP($S$587,'TAR FIN'!$A$1:$O$120,15,0)),0,VLOOKUP($S$587,'TAR FIN'!$A$1:$O$120,15,0))</f>
        <v>0</v>
      </c>
      <c r="W587" s="6">
        <f>IF(ISERROR(VLOOKUP($T$587,'TAR FIN'!$A$1:$O$120,15,0)),0,VLOOKUP($T$587,'TAR FIN'!$A$1:$O$120,15,0))</f>
        <v>109.75</v>
      </c>
      <c r="X587" s="6">
        <f>IF(ISERROR(VLOOKUP($U$587,'TAR FIN'!$A$1:$O$120,15,0)),0,VLOOKUP($U$587,'TAR FIN'!$A$1:$O$120,15,0))</f>
        <v>0</v>
      </c>
      <c r="Y587" s="6"/>
      <c r="Z587" s="6">
        <f ca="1">('TUSD BE'!$AM$45+'TUSD BF'!$AM$45+'TUSD CVA'!$AM$45)*1</f>
        <v>112.97896283052546</v>
      </c>
      <c r="AA587" s="6"/>
      <c r="AB587" s="6">
        <f t="shared" si="30"/>
        <v>0</v>
      </c>
      <c r="AC587" s="6">
        <f t="shared" si="31"/>
        <v>0</v>
      </c>
      <c r="AD587" s="6">
        <f t="shared" si="32"/>
        <v>0</v>
      </c>
      <c r="AE587" s="6">
        <f t="shared" ca="1" si="33"/>
        <v>0</v>
      </c>
      <c r="AF587" s="4" t="s">
        <v>1150</v>
      </c>
    </row>
    <row r="588" spans="1:32" ht="11.25" customHeight="1" x14ac:dyDescent="0.25">
      <c r="A588" s="4" t="s">
        <v>59</v>
      </c>
      <c r="B588" s="4" t="s">
        <v>44</v>
      </c>
      <c r="C588" s="4" t="s">
        <v>34</v>
      </c>
      <c r="D588" s="4" t="s">
        <v>40</v>
      </c>
      <c r="E588" s="4" t="s">
        <v>25</v>
      </c>
      <c r="F588" s="4" t="s">
        <v>63</v>
      </c>
      <c r="G588" s="4" t="s">
        <v>25</v>
      </c>
      <c r="H588" s="4" t="s">
        <v>36</v>
      </c>
      <c r="I588" s="5">
        <v>44075</v>
      </c>
      <c r="J588" s="6">
        <v>0</v>
      </c>
      <c r="K588" s="6">
        <v>0</v>
      </c>
      <c r="L588" s="6">
        <v>2074.7269999999999</v>
      </c>
      <c r="M588" s="6">
        <v>2074.7269999999999</v>
      </c>
      <c r="N588" s="6">
        <v>0</v>
      </c>
      <c r="O588" s="6">
        <v>0</v>
      </c>
      <c r="P588" s="6">
        <v>0</v>
      </c>
      <c r="Q588" s="4" t="s">
        <v>60</v>
      </c>
      <c r="R588" s="4">
        <v>0</v>
      </c>
      <c r="S588" s="4">
        <v>0</v>
      </c>
      <c r="T588" s="4">
        <v>37</v>
      </c>
      <c r="U588" s="4">
        <v>0</v>
      </c>
      <c r="V588" s="6">
        <f>IF(ISERROR(VLOOKUP($S$588,'TAR FIN'!$A$1:$O$120,15,0)),0,VLOOKUP($S$588,'TAR FIN'!$A$1:$O$120,15,0))</f>
        <v>0</v>
      </c>
      <c r="W588" s="6">
        <f>IF(ISERROR(VLOOKUP($T$588,'TAR FIN'!$A$1:$O$120,15,0)),0,VLOOKUP($T$588,'TAR FIN'!$A$1:$O$120,15,0))</f>
        <v>109.75</v>
      </c>
      <c r="X588" s="6">
        <f>IF(ISERROR(VLOOKUP($U$588,'TAR FIN'!$A$1:$O$120,15,0)),0,VLOOKUP($U$588,'TAR FIN'!$A$1:$O$120,15,0))</f>
        <v>0</v>
      </c>
      <c r="Y588" s="6"/>
      <c r="Z588" s="6">
        <f ca="1">('TUSD BE'!$AM$45+'TUSD BF'!$AM$45+'TUSD CVA'!$AM$45)*1</f>
        <v>112.97896283052546</v>
      </c>
      <c r="AA588" s="6"/>
      <c r="AB588" s="6">
        <f t="shared" si="30"/>
        <v>0</v>
      </c>
      <c r="AC588" s="6">
        <f t="shared" si="31"/>
        <v>0</v>
      </c>
      <c r="AD588" s="6">
        <f t="shared" si="32"/>
        <v>0</v>
      </c>
      <c r="AE588" s="6">
        <f t="shared" ca="1" si="33"/>
        <v>0</v>
      </c>
      <c r="AF588" s="4" t="s">
        <v>1150</v>
      </c>
    </row>
    <row r="589" spans="1:32" ht="11.25" customHeight="1" x14ac:dyDescent="0.25">
      <c r="A589" s="4" t="s">
        <v>21</v>
      </c>
      <c r="B589" s="4" t="s">
        <v>44</v>
      </c>
      <c r="C589" s="4" t="s">
        <v>34</v>
      </c>
      <c r="D589" s="4" t="s">
        <v>40</v>
      </c>
      <c r="E589" s="4" t="s">
        <v>25</v>
      </c>
      <c r="F589" s="4" t="s">
        <v>63</v>
      </c>
      <c r="G589" s="4" t="s">
        <v>25</v>
      </c>
      <c r="H589" s="4" t="s">
        <v>25</v>
      </c>
      <c r="I589" s="5">
        <v>43739</v>
      </c>
      <c r="J589" s="6">
        <v>9073</v>
      </c>
      <c r="K589" s="6">
        <v>5630.4092904199997</v>
      </c>
      <c r="L589" s="6">
        <v>0</v>
      </c>
      <c r="M589" s="6">
        <v>0</v>
      </c>
      <c r="N589" s="6">
        <v>0</v>
      </c>
      <c r="O589" s="6">
        <v>0</v>
      </c>
      <c r="P589" s="6">
        <v>17</v>
      </c>
      <c r="Q589" s="4" t="s">
        <v>60</v>
      </c>
      <c r="R589" s="4">
        <v>0</v>
      </c>
      <c r="S589" s="4">
        <v>35</v>
      </c>
      <c r="T589" s="4">
        <v>0</v>
      </c>
      <c r="U589" s="4">
        <v>0</v>
      </c>
      <c r="V589" s="6">
        <f>IF(ISERROR(VLOOKUP($S$589,'TAR FIN'!$A$1:$O$120,15,0)),0,VLOOKUP($S$589,'TAR FIN'!$A$1:$O$120,15,0))</f>
        <v>12.24</v>
      </c>
      <c r="W589" s="6">
        <f>IF(ISERROR(VLOOKUP($T$589,'TAR FIN'!$A$1:$O$120,15,0)),0,VLOOKUP($T$589,'TAR FIN'!$A$1:$O$120,15,0))</f>
        <v>0</v>
      </c>
      <c r="X589" s="6">
        <f>IF(ISERROR(VLOOKUP($U$589,'TAR FIN'!$A$1:$O$120,15,0)),0,VLOOKUP($U$589,'TAR FIN'!$A$1:$O$120,15,0))</f>
        <v>0</v>
      </c>
      <c r="Y589" s="6">
        <f ca="1">('TUSD BE'!$AM$43+'TUSD BF'!$AM$43+'TUSD CVA'!$AM$43)*1</f>
        <v>16.00053546174815</v>
      </c>
      <c r="Z589" s="6"/>
      <c r="AA589" s="6"/>
      <c r="AB589" s="6">
        <f t="shared" si="30"/>
        <v>42137.310285259206</v>
      </c>
      <c r="AC589" s="6">
        <f t="shared" si="31"/>
        <v>0</v>
      </c>
      <c r="AD589" s="6">
        <f t="shared" ca="1" si="32"/>
        <v>55083.294728919522</v>
      </c>
      <c r="AE589" s="6">
        <f t="shared" si="33"/>
        <v>0</v>
      </c>
      <c r="AF589" s="4" t="s">
        <v>1150</v>
      </c>
    </row>
    <row r="590" spans="1:32" ht="11.25" customHeight="1" x14ac:dyDescent="0.25">
      <c r="A590" s="4" t="s">
        <v>21</v>
      </c>
      <c r="B590" s="4" t="s">
        <v>44</v>
      </c>
      <c r="C590" s="4" t="s">
        <v>34</v>
      </c>
      <c r="D590" s="4" t="s">
        <v>40</v>
      </c>
      <c r="E590" s="4" t="s">
        <v>25</v>
      </c>
      <c r="F590" s="4" t="s">
        <v>63</v>
      </c>
      <c r="G590" s="4" t="s">
        <v>25</v>
      </c>
      <c r="H590" s="4" t="s">
        <v>25</v>
      </c>
      <c r="I590" s="5">
        <v>43770</v>
      </c>
      <c r="J590" s="6">
        <v>9073</v>
      </c>
      <c r="K590" s="6">
        <v>5949.4595208199999</v>
      </c>
      <c r="L590" s="6">
        <v>0</v>
      </c>
      <c r="M590" s="6">
        <v>0</v>
      </c>
      <c r="N590" s="6">
        <v>0</v>
      </c>
      <c r="O590" s="6">
        <v>0</v>
      </c>
      <c r="P590" s="6">
        <v>17</v>
      </c>
      <c r="Q590" s="4" t="s">
        <v>60</v>
      </c>
      <c r="R590" s="4">
        <v>0</v>
      </c>
      <c r="S590" s="4">
        <v>35</v>
      </c>
      <c r="T590" s="4">
        <v>0</v>
      </c>
      <c r="U590" s="4">
        <v>0</v>
      </c>
      <c r="V590" s="6">
        <f>IF(ISERROR(VLOOKUP($S$590,'TAR FIN'!$A$1:$O$120,15,0)),0,VLOOKUP($S$590,'TAR FIN'!$A$1:$O$120,15,0))</f>
        <v>12.24</v>
      </c>
      <c r="W590" s="6">
        <f>IF(ISERROR(VLOOKUP($T$590,'TAR FIN'!$A$1:$O$120,15,0)),0,VLOOKUP($T$590,'TAR FIN'!$A$1:$O$120,15,0))</f>
        <v>0</v>
      </c>
      <c r="X590" s="6">
        <f>IF(ISERROR(VLOOKUP($U$590,'TAR FIN'!$A$1:$O$120,15,0)),0,VLOOKUP($U$590,'TAR FIN'!$A$1:$O$120,15,0))</f>
        <v>0</v>
      </c>
      <c r="Y590" s="6">
        <f ca="1">('TUSD BE'!$AM$43+'TUSD BF'!$AM$43+'TUSD CVA'!$AM$43)*1</f>
        <v>16.00053546174815</v>
      </c>
      <c r="Z590" s="6"/>
      <c r="AA590" s="6"/>
      <c r="AB590" s="6">
        <f t="shared" si="30"/>
        <v>38232.135465163199</v>
      </c>
      <c r="AC590" s="6">
        <f t="shared" si="31"/>
        <v>0</v>
      </c>
      <c r="AD590" s="6">
        <f t="shared" ca="1" si="32"/>
        <v>49978.320203325398</v>
      </c>
      <c r="AE590" s="6">
        <f t="shared" si="33"/>
        <v>0</v>
      </c>
      <c r="AF590" s="4" t="s">
        <v>1150</v>
      </c>
    </row>
    <row r="591" spans="1:32" ht="11.25" customHeight="1" x14ac:dyDescent="0.25">
      <c r="A591" s="4" t="s">
        <v>21</v>
      </c>
      <c r="B591" s="4" t="s">
        <v>44</v>
      </c>
      <c r="C591" s="4" t="s">
        <v>34</v>
      </c>
      <c r="D591" s="4" t="s">
        <v>40</v>
      </c>
      <c r="E591" s="4" t="s">
        <v>25</v>
      </c>
      <c r="F591" s="4" t="s">
        <v>63</v>
      </c>
      <c r="G591" s="4" t="s">
        <v>25</v>
      </c>
      <c r="H591" s="4" t="s">
        <v>25</v>
      </c>
      <c r="I591" s="5">
        <v>43800</v>
      </c>
      <c r="J591" s="6">
        <v>9513</v>
      </c>
      <c r="K591" s="6">
        <v>5972.0757062399998</v>
      </c>
      <c r="L591" s="6">
        <v>0</v>
      </c>
      <c r="M591" s="6">
        <v>0</v>
      </c>
      <c r="N591" s="6">
        <v>0</v>
      </c>
      <c r="O591" s="6">
        <v>0</v>
      </c>
      <c r="P591" s="6">
        <v>18</v>
      </c>
      <c r="Q591" s="4" t="s">
        <v>60</v>
      </c>
      <c r="R591" s="4">
        <v>0</v>
      </c>
      <c r="S591" s="4">
        <v>35</v>
      </c>
      <c r="T591" s="4">
        <v>0</v>
      </c>
      <c r="U591" s="4">
        <v>0</v>
      </c>
      <c r="V591" s="6">
        <f>IF(ISERROR(VLOOKUP($S$591,'TAR FIN'!$A$1:$O$120,15,0)),0,VLOOKUP($S$591,'TAR FIN'!$A$1:$O$120,15,0))</f>
        <v>12.24</v>
      </c>
      <c r="W591" s="6">
        <f>IF(ISERROR(VLOOKUP($T$591,'TAR FIN'!$A$1:$O$120,15,0)),0,VLOOKUP($T$591,'TAR FIN'!$A$1:$O$120,15,0))</f>
        <v>0</v>
      </c>
      <c r="X591" s="6">
        <f>IF(ISERROR(VLOOKUP($U$591,'TAR FIN'!$A$1:$O$120,15,0)),0,VLOOKUP($U$591,'TAR FIN'!$A$1:$O$120,15,0))</f>
        <v>0</v>
      </c>
      <c r="Y591" s="6">
        <f ca="1">('TUSD BE'!$AM$43+'TUSD BF'!$AM$43+'TUSD CVA'!$AM$43)*1</f>
        <v>16.00053546174815</v>
      </c>
      <c r="Z591" s="6"/>
      <c r="AA591" s="6"/>
      <c r="AB591" s="6">
        <f t="shared" si="30"/>
        <v>43340.913355622404</v>
      </c>
      <c r="AC591" s="6">
        <f t="shared" si="31"/>
        <v>0</v>
      </c>
      <c r="AD591" s="6">
        <f t="shared" ca="1" si="32"/>
        <v>56656.684729672408</v>
      </c>
      <c r="AE591" s="6">
        <f t="shared" si="33"/>
        <v>0</v>
      </c>
      <c r="AF591" s="4" t="s">
        <v>1150</v>
      </c>
    </row>
    <row r="592" spans="1:32" ht="11.25" customHeight="1" x14ac:dyDescent="0.25">
      <c r="A592" s="4" t="s">
        <v>21</v>
      </c>
      <c r="B592" s="4" t="s">
        <v>44</v>
      </c>
      <c r="C592" s="4" t="s">
        <v>34</v>
      </c>
      <c r="D592" s="4" t="s">
        <v>40</v>
      </c>
      <c r="E592" s="4" t="s">
        <v>25</v>
      </c>
      <c r="F592" s="4" t="s">
        <v>63</v>
      </c>
      <c r="G592" s="4" t="s">
        <v>25</v>
      </c>
      <c r="H592" s="4" t="s">
        <v>25</v>
      </c>
      <c r="I592" s="5">
        <v>43831</v>
      </c>
      <c r="J592" s="6">
        <v>9513</v>
      </c>
      <c r="K592" s="6">
        <v>6120.0328221899999</v>
      </c>
      <c r="L592" s="6">
        <v>0</v>
      </c>
      <c r="M592" s="6">
        <v>0</v>
      </c>
      <c r="N592" s="6">
        <v>0</v>
      </c>
      <c r="O592" s="6">
        <v>0</v>
      </c>
      <c r="P592" s="6">
        <v>18</v>
      </c>
      <c r="Q592" s="4" t="s">
        <v>60</v>
      </c>
      <c r="R592" s="4">
        <v>0</v>
      </c>
      <c r="S592" s="4">
        <v>35</v>
      </c>
      <c r="T592" s="4">
        <v>0</v>
      </c>
      <c r="U592" s="4">
        <v>0</v>
      </c>
      <c r="V592" s="6">
        <f>IF(ISERROR(VLOOKUP($S$592,'TAR FIN'!$A$1:$O$120,15,0)),0,VLOOKUP($S$592,'TAR FIN'!$A$1:$O$120,15,0))</f>
        <v>12.24</v>
      </c>
      <c r="W592" s="6">
        <f>IF(ISERROR(VLOOKUP($T$592,'TAR FIN'!$A$1:$O$120,15,0)),0,VLOOKUP($T$592,'TAR FIN'!$A$1:$O$120,15,0))</f>
        <v>0</v>
      </c>
      <c r="X592" s="6">
        <f>IF(ISERROR(VLOOKUP($U$592,'TAR FIN'!$A$1:$O$120,15,0)),0,VLOOKUP($U$592,'TAR FIN'!$A$1:$O$120,15,0))</f>
        <v>0</v>
      </c>
      <c r="Y592" s="6">
        <f ca="1">('TUSD BE'!$AM$43+'TUSD BF'!$AM$43+'TUSD CVA'!$AM$43)*1</f>
        <v>16.00053546174815</v>
      </c>
      <c r="Z592" s="6"/>
      <c r="AA592" s="6"/>
      <c r="AB592" s="6">
        <f t="shared" si="30"/>
        <v>41529.918256394405</v>
      </c>
      <c r="AC592" s="6">
        <f t="shared" si="31"/>
        <v>0</v>
      </c>
      <c r="AD592" s="6">
        <f t="shared" ca="1" si="32"/>
        <v>54289.291649096449</v>
      </c>
      <c r="AE592" s="6">
        <f t="shared" si="33"/>
        <v>0</v>
      </c>
      <c r="AF592" s="4" t="s">
        <v>1150</v>
      </c>
    </row>
    <row r="593" spans="1:32" ht="11.25" customHeight="1" x14ac:dyDescent="0.25">
      <c r="A593" s="4" t="s">
        <v>21</v>
      </c>
      <c r="B593" s="4" t="s">
        <v>44</v>
      </c>
      <c r="C593" s="4" t="s">
        <v>34</v>
      </c>
      <c r="D593" s="4" t="s">
        <v>40</v>
      </c>
      <c r="E593" s="4" t="s">
        <v>25</v>
      </c>
      <c r="F593" s="4" t="s">
        <v>63</v>
      </c>
      <c r="G593" s="4" t="s">
        <v>25</v>
      </c>
      <c r="H593" s="4" t="s">
        <v>25</v>
      </c>
      <c r="I593" s="5">
        <v>43862</v>
      </c>
      <c r="J593" s="6">
        <v>9513</v>
      </c>
      <c r="K593" s="6">
        <v>5888.6965443600002</v>
      </c>
      <c r="L593" s="6">
        <v>0</v>
      </c>
      <c r="M593" s="6">
        <v>0</v>
      </c>
      <c r="N593" s="6">
        <v>0</v>
      </c>
      <c r="O593" s="6">
        <v>0</v>
      </c>
      <c r="P593" s="6">
        <v>18</v>
      </c>
      <c r="Q593" s="4" t="s">
        <v>60</v>
      </c>
      <c r="R593" s="4">
        <v>0</v>
      </c>
      <c r="S593" s="4">
        <v>35</v>
      </c>
      <c r="T593" s="4">
        <v>0</v>
      </c>
      <c r="U593" s="4">
        <v>0</v>
      </c>
      <c r="V593" s="6">
        <f>IF(ISERROR(VLOOKUP($S$593,'TAR FIN'!$A$1:$O$120,15,0)),0,VLOOKUP($S$593,'TAR FIN'!$A$1:$O$120,15,0))</f>
        <v>12.24</v>
      </c>
      <c r="W593" s="6">
        <f>IF(ISERROR(VLOOKUP($T$593,'TAR FIN'!$A$1:$O$120,15,0)),0,VLOOKUP($T$593,'TAR FIN'!$A$1:$O$120,15,0))</f>
        <v>0</v>
      </c>
      <c r="X593" s="6">
        <f>IF(ISERROR(VLOOKUP($U$593,'TAR FIN'!$A$1:$O$120,15,0)),0,VLOOKUP($U$593,'TAR FIN'!$A$1:$O$120,15,0))</f>
        <v>0</v>
      </c>
      <c r="Y593" s="6">
        <f ca="1">('TUSD BE'!$AM$43+'TUSD BF'!$AM$43+'TUSD CVA'!$AM$43)*1</f>
        <v>16.00053546174815</v>
      </c>
      <c r="Z593" s="6"/>
      <c r="AA593" s="6"/>
      <c r="AB593" s="6">
        <f t="shared" si="30"/>
        <v>44361.474297033601</v>
      </c>
      <c r="AC593" s="6">
        <f t="shared" si="31"/>
        <v>0</v>
      </c>
      <c r="AD593" s="6">
        <f t="shared" ca="1" si="32"/>
        <v>57990.795966104182</v>
      </c>
      <c r="AE593" s="6">
        <f t="shared" si="33"/>
        <v>0</v>
      </c>
      <c r="AF593" s="4" t="s">
        <v>1150</v>
      </c>
    </row>
    <row r="594" spans="1:32" ht="11.25" customHeight="1" x14ac:dyDescent="0.25">
      <c r="A594" s="4" t="s">
        <v>21</v>
      </c>
      <c r="B594" s="4" t="s">
        <v>44</v>
      </c>
      <c r="C594" s="4" t="s">
        <v>34</v>
      </c>
      <c r="D594" s="4" t="s">
        <v>40</v>
      </c>
      <c r="E594" s="4" t="s">
        <v>25</v>
      </c>
      <c r="F594" s="4" t="s">
        <v>63</v>
      </c>
      <c r="G594" s="4" t="s">
        <v>25</v>
      </c>
      <c r="H594" s="4" t="s">
        <v>25</v>
      </c>
      <c r="I594" s="5">
        <v>43891</v>
      </c>
      <c r="J594" s="6">
        <v>10363</v>
      </c>
      <c r="K594" s="6">
        <v>6508.9693146299996</v>
      </c>
      <c r="L594" s="6">
        <v>0</v>
      </c>
      <c r="M594" s="6">
        <v>0</v>
      </c>
      <c r="N594" s="6">
        <v>0</v>
      </c>
      <c r="O594" s="6">
        <v>0</v>
      </c>
      <c r="P594" s="6">
        <v>19</v>
      </c>
      <c r="Q594" s="4" t="s">
        <v>60</v>
      </c>
      <c r="R594" s="4">
        <v>0</v>
      </c>
      <c r="S594" s="4">
        <v>35</v>
      </c>
      <c r="T594" s="4">
        <v>0</v>
      </c>
      <c r="U594" s="4">
        <v>0</v>
      </c>
      <c r="V594" s="6">
        <f>IF(ISERROR(VLOOKUP($S$594,'TAR FIN'!$A$1:$O$120,15,0)),0,VLOOKUP($S$594,'TAR FIN'!$A$1:$O$120,15,0))</f>
        <v>12.24</v>
      </c>
      <c r="W594" s="6">
        <f>IF(ISERROR(VLOOKUP($T$594,'TAR FIN'!$A$1:$O$120,15,0)),0,VLOOKUP($T$594,'TAR FIN'!$A$1:$O$120,15,0))</f>
        <v>0</v>
      </c>
      <c r="X594" s="6">
        <f>IF(ISERROR(VLOOKUP($U$594,'TAR FIN'!$A$1:$O$120,15,0)),0,VLOOKUP($U$594,'TAR FIN'!$A$1:$O$120,15,0))</f>
        <v>0</v>
      </c>
      <c r="Y594" s="6">
        <f ca="1">('TUSD BE'!$AM$43+'TUSD BF'!$AM$43+'TUSD CVA'!$AM$43)*1</f>
        <v>16.00053546174815</v>
      </c>
      <c r="Z594" s="6"/>
      <c r="AA594" s="6"/>
      <c r="AB594" s="6">
        <f t="shared" si="30"/>
        <v>47173.335588928807</v>
      </c>
      <c r="AC594" s="6">
        <f t="shared" si="31"/>
        <v>0</v>
      </c>
      <c r="AD594" s="6">
        <f t="shared" ca="1" si="32"/>
        <v>61666.554651928222</v>
      </c>
      <c r="AE594" s="6">
        <f t="shared" si="33"/>
        <v>0</v>
      </c>
      <c r="AF594" s="4" t="s">
        <v>1150</v>
      </c>
    </row>
    <row r="595" spans="1:32" ht="11.25" customHeight="1" x14ac:dyDescent="0.25">
      <c r="A595" s="4" t="s">
        <v>21</v>
      </c>
      <c r="B595" s="4" t="s">
        <v>44</v>
      </c>
      <c r="C595" s="4" t="s">
        <v>34</v>
      </c>
      <c r="D595" s="4" t="s">
        <v>40</v>
      </c>
      <c r="E595" s="4" t="s">
        <v>25</v>
      </c>
      <c r="F595" s="4" t="s">
        <v>63</v>
      </c>
      <c r="G595" s="4" t="s">
        <v>25</v>
      </c>
      <c r="H595" s="4" t="s">
        <v>25</v>
      </c>
      <c r="I595" s="5">
        <v>43922</v>
      </c>
      <c r="J595" s="6">
        <v>11998</v>
      </c>
      <c r="K595" s="6">
        <v>7444.2273686199997</v>
      </c>
      <c r="L595" s="6">
        <v>0</v>
      </c>
      <c r="M595" s="6">
        <v>0</v>
      </c>
      <c r="N595" s="6">
        <v>0</v>
      </c>
      <c r="O595" s="6">
        <v>0</v>
      </c>
      <c r="P595" s="6">
        <v>21</v>
      </c>
      <c r="Q595" s="4" t="s">
        <v>60</v>
      </c>
      <c r="R595" s="4">
        <v>0</v>
      </c>
      <c r="S595" s="4">
        <v>35</v>
      </c>
      <c r="T595" s="4">
        <v>0</v>
      </c>
      <c r="U595" s="4">
        <v>0</v>
      </c>
      <c r="V595" s="6">
        <f>IF(ISERROR(VLOOKUP($S$595,'TAR FIN'!$A$1:$O$120,15,0)),0,VLOOKUP($S$595,'TAR FIN'!$A$1:$O$120,15,0))</f>
        <v>12.24</v>
      </c>
      <c r="W595" s="6">
        <f>IF(ISERROR(VLOOKUP($T$595,'TAR FIN'!$A$1:$O$120,15,0)),0,VLOOKUP($T$595,'TAR FIN'!$A$1:$O$120,15,0))</f>
        <v>0</v>
      </c>
      <c r="X595" s="6">
        <f>IF(ISERROR(VLOOKUP($U$595,'TAR FIN'!$A$1:$O$120,15,0)),0,VLOOKUP($U$595,'TAR FIN'!$A$1:$O$120,15,0))</f>
        <v>0</v>
      </c>
      <c r="Y595" s="6">
        <f ca="1">('TUSD BE'!$AM$43+'TUSD BF'!$AM$43+'TUSD CVA'!$AM$43)*1</f>
        <v>16.00053546174815</v>
      </c>
      <c r="Z595" s="6"/>
      <c r="AA595" s="6"/>
      <c r="AB595" s="6">
        <f t="shared" si="30"/>
        <v>55738.177008091203</v>
      </c>
      <c r="AC595" s="6">
        <f t="shared" si="31"/>
        <v>0</v>
      </c>
      <c r="AD595" s="6">
        <f t="shared" ca="1" si="32"/>
        <v>72862.800473133888</v>
      </c>
      <c r="AE595" s="6">
        <f t="shared" si="33"/>
        <v>0</v>
      </c>
      <c r="AF595" s="4" t="s">
        <v>1150</v>
      </c>
    </row>
    <row r="596" spans="1:32" ht="11.25" customHeight="1" x14ac:dyDescent="0.25">
      <c r="A596" s="4" t="s">
        <v>21</v>
      </c>
      <c r="B596" s="4" t="s">
        <v>44</v>
      </c>
      <c r="C596" s="4" t="s">
        <v>34</v>
      </c>
      <c r="D596" s="4" t="s">
        <v>40</v>
      </c>
      <c r="E596" s="4" t="s">
        <v>25</v>
      </c>
      <c r="F596" s="4" t="s">
        <v>63</v>
      </c>
      <c r="G596" s="4" t="s">
        <v>25</v>
      </c>
      <c r="H596" s="4" t="s">
        <v>25</v>
      </c>
      <c r="I596" s="5">
        <v>43952</v>
      </c>
      <c r="J596" s="6">
        <v>12378</v>
      </c>
      <c r="K596" s="6">
        <v>7589.1920569800004</v>
      </c>
      <c r="L596" s="6">
        <v>0</v>
      </c>
      <c r="M596" s="6">
        <v>0</v>
      </c>
      <c r="N596" s="6">
        <v>0</v>
      </c>
      <c r="O596" s="6">
        <v>0</v>
      </c>
      <c r="P596" s="6">
        <v>22</v>
      </c>
      <c r="Q596" s="4" t="s">
        <v>60</v>
      </c>
      <c r="R596" s="4">
        <v>0</v>
      </c>
      <c r="S596" s="4">
        <v>35</v>
      </c>
      <c r="T596" s="4">
        <v>0</v>
      </c>
      <c r="U596" s="4">
        <v>0</v>
      </c>
      <c r="V596" s="6">
        <f>IF(ISERROR(VLOOKUP($S$596,'TAR FIN'!$A$1:$O$120,15,0)),0,VLOOKUP($S$596,'TAR FIN'!$A$1:$O$120,15,0))</f>
        <v>12.24</v>
      </c>
      <c r="W596" s="6">
        <f>IF(ISERROR(VLOOKUP($T$596,'TAR FIN'!$A$1:$O$120,15,0)),0,VLOOKUP($T$596,'TAR FIN'!$A$1:$O$120,15,0))</f>
        <v>0</v>
      </c>
      <c r="X596" s="6">
        <f>IF(ISERROR(VLOOKUP($U$596,'TAR FIN'!$A$1:$O$120,15,0)),0,VLOOKUP($U$596,'TAR FIN'!$A$1:$O$120,15,0))</f>
        <v>0</v>
      </c>
      <c r="Y596" s="6">
        <f ca="1">('TUSD BE'!$AM$43+'TUSD BF'!$AM$43+'TUSD CVA'!$AM$43)*1</f>
        <v>16.00053546174815</v>
      </c>
      <c r="Z596" s="6"/>
      <c r="AA596" s="6"/>
      <c r="AB596" s="6">
        <f t="shared" si="30"/>
        <v>58615.009222564797</v>
      </c>
      <c r="AC596" s="6">
        <f t="shared" si="31"/>
        <v>0</v>
      </c>
      <c r="AD596" s="6">
        <f t="shared" ca="1" si="32"/>
        <v>76623.491311792721</v>
      </c>
      <c r="AE596" s="6">
        <f t="shared" si="33"/>
        <v>0</v>
      </c>
      <c r="AF596" s="4" t="s">
        <v>1150</v>
      </c>
    </row>
    <row r="597" spans="1:32" ht="11.25" customHeight="1" x14ac:dyDescent="0.25">
      <c r="A597" s="4" t="s">
        <v>21</v>
      </c>
      <c r="B597" s="4" t="s">
        <v>44</v>
      </c>
      <c r="C597" s="4" t="s">
        <v>34</v>
      </c>
      <c r="D597" s="4" t="s">
        <v>40</v>
      </c>
      <c r="E597" s="4" t="s">
        <v>25</v>
      </c>
      <c r="F597" s="4" t="s">
        <v>63</v>
      </c>
      <c r="G597" s="4" t="s">
        <v>25</v>
      </c>
      <c r="H597" s="4" t="s">
        <v>25</v>
      </c>
      <c r="I597" s="5">
        <v>43983</v>
      </c>
      <c r="J597" s="6">
        <v>12378</v>
      </c>
      <c r="K597" s="6">
        <v>7653.0947197799997</v>
      </c>
      <c r="L597" s="6">
        <v>0</v>
      </c>
      <c r="M597" s="6">
        <v>0</v>
      </c>
      <c r="N597" s="6">
        <v>0</v>
      </c>
      <c r="O597" s="6">
        <v>0</v>
      </c>
      <c r="P597" s="6">
        <v>22</v>
      </c>
      <c r="Q597" s="4" t="s">
        <v>60</v>
      </c>
      <c r="R597" s="4">
        <v>0</v>
      </c>
      <c r="S597" s="4">
        <v>35</v>
      </c>
      <c r="T597" s="4">
        <v>0</v>
      </c>
      <c r="U597" s="4">
        <v>0</v>
      </c>
      <c r="V597" s="6">
        <f>IF(ISERROR(VLOOKUP($S$597,'TAR FIN'!$A$1:$O$120,15,0)),0,VLOOKUP($S$597,'TAR FIN'!$A$1:$O$120,15,0))</f>
        <v>12.24</v>
      </c>
      <c r="W597" s="6">
        <f>IF(ISERROR(VLOOKUP($T$597,'TAR FIN'!$A$1:$O$120,15,0)),0,VLOOKUP($T$597,'TAR FIN'!$A$1:$O$120,15,0))</f>
        <v>0</v>
      </c>
      <c r="X597" s="6">
        <f>IF(ISERROR(VLOOKUP($U$597,'TAR FIN'!$A$1:$O$120,15,0)),0,VLOOKUP($U$597,'TAR FIN'!$A$1:$O$120,15,0))</f>
        <v>0</v>
      </c>
      <c r="Y597" s="6">
        <f ca="1">('TUSD BE'!$AM$43+'TUSD BF'!$AM$43+'TUSD CVA'!$AM$43)*1</f>
        <v>16.00053546174815</v>
      </c>
      <c r="Z597" s="6"/>
      <c r="AA597" s="6"/>
      <c r="AB597" s="6">
        <f t="shared" si="30"/>
        <v>57832.840629892802</v>
      </c>
      <c r="AC597" s="6">
        <f t="shared" si="31"/>
        <v>0</v>
      </c>
      <c r="AD597" s="6">
        <f t="shared" ca="1" si="32"/>
        <v>75601.014489561203</v>
      </c>
      <c r="AE597" s="6">
        <f t="shared" si="33"/>
        <v>0</v>
      </c>
      <c r="AF597" s="4" t="s">
        <v>1150</v>
      </c>
    </row>
    <row r="598" spans="1:32" ht="11.25" customHeight="1" x14ac:dyDescent="0.25">
      <c r="A598" s="4" t="s">
        <v>21</v>
      </c>
      <c r="B598" s="4" t="s">
        <v>44</v>
      </c>
      <c r="C598" s="4" t="s">
        <v>34</v>
      </c>
      <c r="D598" s="4" t="s">
        <v>40</v>
      </c>
      <c r="E598" s="4" t="s">
        <v>25</v>
      </c>
      <c r="F598" s="4" t="s">
        <v>63</v>
      </c>
      <c r="G598" s="4" t="s">
        <v>25</v>
      </c>
      <c r="H598" s="4" t="s">
        <v>25</v>
      </c>
      <c r="I598" s="5">
        <v>44013</v>
      </c>
      <c r="J598" s="6">
        <v>8838</v>
      </c>
      <c r="K598" s="6">
        <v>5382.5778862200004</v>
      </c>
      <c r="L598" s="6">
        <v>0</v>
      </c>
      <c r="M598" s="6">
        <v>0</v>
      </c>
      <c r="N598" s="6">
        <v>0</v>
      </c>
      <c r="O598" s="6">
        <v>0</v>
      </c>
      <c r="P598" s="6">
        <v>16</v>
      </c>
      <c r="Q598" s="4" t="s">
        <v>60</v>
      </c>
      <c r="R598" s="4">
        <v>0</v>
      </c>
      <c r="S598" s="4">
        <v>35</v>
      </c>
      <c r="T598" s="4">
        <v>0</v>
      </c>
      <c r="U598" s="4">
        <v>0</v>
      </c>
      <c r="V598" s="6">
        <f>IF(ISERROR(VLOOKUP($S$598,'TAR FIN'!$A$1:$O$120,15,0)),0,VLOOKUP($S$598,'TAR FIN'!$A$1:$O$120,15,0))</f>
        <v>12.24</v>
      </c>
      <c r="W598" s="6">
        <f>IF(ISERROR(VLOOKUP($T$598,'TAR FIN'!$A$1:$O$120,15,0)),0,VLOOKUP($T$598,'TAR FIN'!$A$1:$O$120,15,0))</f>
        <v>0</v>
      </c>
      <c r="X598" s="6">
        <f>IF(ISERROR(VLOOKUP($U$598,'TAR FIN'!$A$1:$O$120,15,0)),0,VLOOKUP($U$598,'TAR FIN'!$A$1:$O$120,15,0))</f>
        <v>0</v>
      </c>
      <c r="Y598" s="6">
        <f ca="1">('TUSD BE'!$AM$43+'TUSD BF'!$AM$43+'TUSD CVA'!$AM$43)*1</f>
        <v>16.00053546174815</v>
      </c>
      <c r="Z598" s="6"/>
      <c r="AA598" s="6"/>
      <c r="AB598" s="6">
        <f t="shared" si="30"/>
        <v>42294.366672667195</v>
      </c>
      <c r="AC598" s="6">
        <f t="shared" si="31"/>
        <v>0</v>
      </c>
      <c r="AD598" s="6">
        <f t="shared" ca="1" si="32"/>
        <v>55288.604066845633</v>
      </c>
      <c r="AE598" s="6">
        <f t="shared" si="33"/>
        <v>0</v>
      </c>
      <c r="AF598" s="4" t="s">
        <v>1150</v>
      </c>
    </row>
    <row r="599" spans="1:32" ht="11.25" customHeight="1" x14ac:dyDescent="0.25">
      <c r="A599" s="4" t="s">
        <v>21</v>
      </c>
      <c r="B599" s="4" t="s">
        <v>44</v>
      </c>
      <c r="C599" s="4" t="s">
        <v>34</v>
      </c>
      <c r="D599" s="4" t="s">
        <v>40</v>
      </c>
      <c r="E599" s="4" t="s">
        <v>25</v>
      </c>
      <c r="F599" s="4" t="s">
        <v>63</v>
      </c>
      <c r="G599" s="4" t="s">
        <v>25</v>
      </c>
      <c r="H599" s="4" t="s">
        <v>25</v>
      </c>
      <c r="I599" s="5">
        <v>44044</v>
      </c>
      <c r="J599" s="6">
        <v>12378</v>
      </c>
      <c r="K599" s="6">
        <v>7550.58</v>
      </c>
      <c r="L599" s="6">
        <v>0</v>
      </c>
      <c r="M599" s="6">
        <v>0</v>
      </c>
      <c r="N599" s="6">
        <v>0</v>
      </c>
      <c r="O599" s="6">
        <v>0</v>
      </c>
      <c r="P599" s="6">
        <v>22</v>
      </c>
      <c r="Q599" s="4" t="s">
        <v>60</v>
      </c>
      <c r="R599" s="4">
        <v>0</v>
      </c>
      <c r="S599" s="4">
        <v>35</v>
      </c>
      <c r="T599" s="4">
        <v>0</v>
      </c>
      <c r="U599" s="4">
        <v>0</v>
      </c>
      <c r="V599" s="6">
        <f>IF(ISERROR(VLOOKUP($S$599,'TAR FIN'!$A$1:$O$120,15,0)),0,VLOOKUP($S$599,'TAR FIN'!$A$1:$O$120,15,0))</f>
        <v>12.24</v>
      </c>
      <c r="W599" s="6">
        <f>IF(ISERROR(VLOOKUP($T$599,'TAR FIN'!$A$1:$O$120,15,0)),0,VLOOKUP($T$599,'TAR FIN'!$A$1:$O$120,15,0))</f>
        <v>0</v>
      </c>
      <c r="X599" s="6">
        <f>IF(ISERROR(VLOOKUP($U$599,'TAR FIN'!$A$1:$O$120,15,0)),0,VLOOKUP($U$599,'TAR FIN'!$A$1:$O$120,15,0))</f>
        <v>0</v>
      </c>
      <c r="Y599" s="6">
        <f ca="1">('TUSD BE'!$AM$43+'TUSD BF'!$AM$43+'TUSD CVA'!$AM$43)*1</f>
        <v>16.00053546174815</v>
      </c>
      <c r="Z599" s="6"/>
      <c r="AA599" s="6"/>
      <c r="AB599" s="6">
        <f t="shared" si="30"/>
        <v>59087.620800000004</v>
      </c>
      <c r="AC599" s="6">
        <f t="shared" si="31"/>
        <v>0</v>
      </c>
      <c r="AD599" s="6">
        <f t="shared" ca="1" si="32"/>
        <v>77241.304898752249</v>
      </c>
      <c r="AE599" s="6">
        <f t="shared" si="33"/>
        <v>0</v>
      </c>
      <c r="AF599" s="4" t="s">
        <v>1150</v>
      </c>
    </row>
    <row r="600" spans="1:32" ht="11.25" customHeight="1" x14ac:dyDescent="0.25">
      <c r="A600" s="4" t="s">
        <v>59</v>
      </c>
      <c r="B600" s="4" t="s">
        <v>44</v>
      </c>
      <c r="C600" s="4" t="s">
        <v>34</v>
      </c>
      <c r="D600" s="4" t="s">
        <v>40</v>
      </c>
      <c r="E600" s="4" t="s">
        <v>25</v>
      </c>
      <c r="F600" s="4" t="s">
        <v>63</v>
      </c>
      <c r="G600" s="4" t="s">
        <v>25</v>
      </c>
      <c r="H600" s="4" t="s">
        <v>25</v>
      </c>
      <c r="I600" s="5">
        <v>44075</v>
      </c>
      <c r="J600" s="6">
        <v>12378</v>
      </c>
      <c r="K600" s="6">
        <v>7550.58</v>
      </c>
      <c r="L600" s="6">
        <v>0</v>
      </c>
      <c r="M600" s="6">
        <v>0</v>
      </c>
      <c r="N600" s="6">
        <v>0</v>
      </c>
      <c r="O600" s="6">
        <v>0</v>
      </c>
      <c r="P600" s="6">
        <v>22</v>
      </c>
      <c r="Q600" s="4" t="s">
        <v>60</v>
      </c>
      <c r="R600" s="4">
        <v>0</v>
      </c>
      <c r="S600" s="4">
        <v>35</v>
      </c>
      <c r="T600" s="4">
        <v>0</v>
      </c>
      <c r="U600" s="4">
        <v>0</v>
      </c>
      <c r="V600" s="6">
        <f>IF(ISERROR(VLOOKUP($S$600,'TAR FIN'!$A$1:$O$120,15,0)),0,VLOOKUP($S$600,'TAR FIN'!$A$1:$O$120,15,0))</f>
        <v>12.24</v>
      </c>
      <c r="W600" s="6">
        <f>IF(ISERROR(VLOOKUP($T$600,'TAR FIN'!$A$1:$O$120,15,0)),0,VLOOKUP($T$600,'TAR FIN'!$A$1:$O$120,15,0))</f>
        <v>0</v>
      </c>
      <c r="X600" s="6">
        <f>IF(ISERROR(VLOOKUP($U$600,'TAR FIN'!$A$1:$O$120,15,0)),0,VLOOKUP($U$600,'TAR FIN'!$A$1:$O$120,15,0))</f>
        <v>0</v>
      </c>
      <c r="Y600" s="6">
        <f ca="1">('TUSD BE'!$AM$43+'TUSD BF'!$AM$43+'TUSD CVA'!$AM$43)*1</f>
        <v>16.00053546174815</v>
      </c>
      <c r="Z600" s="6"/>
      <c r="AA600" s="6"/>
      <c r="AB600" s="6">
        <f t="shared" si="30"/>
        <v>59087.620800000004</v>
      </c>
      <c r="AC600" s="6">
        <f t="shared" si="31"/>
        <v>0</v>
      </c>
      <c r="AD600" s="6">
        <f t="shared" ca="1" si="32"/>
        <v>77241.304898752249</v>
      </c>
      <c r="AE600" s="6">
        <f t="shared" si="33"/>
        <v>0</v>
      </c>
      <c r="AF600" s="4" t="s">
        <v>1150</v>
      </c>
    </row>
    <row r="601" spans="1:32" ht="11.25" customHeight="1" x14ac:dyDescent="0.25">
      <c r="A601" s="4" t="s">
        <v>21</v>
      </c>
      <c r="B601" s="4" t="s">
        <v>44</v>
      </c>
      <c r="C601" s="4" t="s">
        <v>34</v>
      </c>
      <c r="D601" s="4" t="s">
        <v>40</v>
      </c>
      <c r="E601" s="4" t="s">
        <v>25</v>
      </c>
      <c r="F601" s="4" t="s">
        <v>63</v>
      </c>
      <c r="G601" s="4" t="s">
        <v>25</v>
      </c>
      <c r="H601" s="4" t="s">
        <v>35</v>
      </c>
      <c r="I601" s="5">
        <v>43739</v>
      </c>
      <c r="J601" s="6">
        <v>0</v>
      </c>
      <c r="K601" s="6">
        <v>0</v>
      </c>
      <c r="L601" s="6">
        <v>297.952</v>
      </c>
      <c r="M601" s="6">
        <v>195.44079503200001</v>
      </c>
      <c r="N601" s="6">
        <v>0</v>
      </c>
      <c r="O601" s="6">
        <v>0</v>
      </c>
      <c r="P601" s="6">
        <v>0</v>
      </c>
      <c r="Q601" s="4" t="s">
        <v>60</v>
      </c>
      <c r="R601" s="4">
        <v>0</v>
      </c>
      <c r="S601" s="4">
        <v>0</v>
      </c>
      <c r="T601" s="4">
        <v>36</v>
      </c>
      <c r="U601" s="4">
        <v>0</v>
      </c>
      <c r="V601" s="6">
        <f>IF(ISERROR(VLOOKUP($S$601,'TAR FIN'!$A$1:$O$120,15,0)),0,VLOOKUP($S$601,'TAR FIN'!$A$1:$O$120,15,0))</f>
        <v>0</v>
      </c>
      <c r="W601" s="6">
        <f>IF(ISERROR(VLOOKUP($T$601,'TAR FIN'!$A$1:$O$120,15,0)),0,VLOOKUP($T$601,'TAR FIN'!$A$1:$O$120,15,0))</f>
        <v>1174.6600000000001</v>
      </c>
      <c r="X601" s="6">
        <f>IF(ISERROR(VLOOKUP($U$601,'TAR FIN'!$A$1:$O$120,15,0)),0,VLOOKUP($U$601,'TAR FIN'!$A$1:$O$120,15,0))</f>
        <v>0</v>
      </c>
      <c r="Y601" s="6"/>
      <c r="Z601" s="6">
        <f ca="1">('TUSD BE'!$AM$44+'TUSD BF'!$AM$44+'TUSD CVA'!$AM$44)*1</f>
        <v>1305.5497259800161</v>
      </c>
      <c r="AA601" s="6"/>
      <c r="AB601" s="6">
        <f t="shared" si="30"/>
        <v>0</v>
      </c>
      <c r="AC601" s="6">
        <f t="shared" si="31"/>
        <v>120415.81202771087</v>
      </c>
      <c r="AD601" s="6">
        <f t="shared" si="32"/>
        <v>0</v>
      </c>
      <c r="AE601" s="6">
        <f t="shared" ca="1" si="33"/>
        <v>133833.47555585366</v>
      </c>
      <c r="AF601" s="4" t="s">
        <v>1150</v>
      </c>
    </row>
    <row r="602" spans="1:32" ht="11.25" customHeight="1" x14ac:dyDescent="0.25">
      <c r="A602" s="4" t="s">
        <v>21</v>
      </c>
      <c r="B602" s="4" t="s">
        <v>44</v>
      </c>
      <c r="C602" s="4" t="s">
        <v>34</v>
      </c>
      <c r="D602" s="4" t="s">
        <v>40</v>
      </c>
      <c r="E602" s="4" t="s">
        <v>25</v>
      </c>
      <c r="F602" s="4" t="s">
        <v>63</v>
      </c>
      <c r="G602" s="4" t="s">
        <v>25</v>
      </c>
      <c r="H602" s="4" t="s">
        <v>35</v>
      </c>
      <c r="I602" s="5">
        <v>43770</v>
      </c>
      <c r="J602" s="6">
        <v>0</v>
      </c>
      <c r="K602" s="6">
        <v>0</v>
      </c>
      <c r="L602" s="6">
        <v>259.803</v>
      </c>
      <c r="M602" s="6">
        <v>161.49602332062</v>
      </c>
      <c r="N602" s="6">
        <v>0</v>
      </c>
      <c r="O602" s="6">
        <v>0</v>
      </c>
      <c r="P602" s="6">
        <v>0</v>
      </c>
      <c r="Q602" s="4" t="s">
        <v>60</v>
      </c>
      <c r="R602" s="4">
        <v>0</v>
      </c>
      <c r="S602" s="4">
        <v>0</v>
      </c>
      <c r="T602" s="4">
        <v>36</v>
      </c>
      <c r="U602" s="4">
        <v>0</v>
      </c>
      <c r="V602" s="6">
        <f>IF(ISERROR(VLOOKUP($S$602,'TAR FIN'!$A$1:$O$120,15,0)),0,VLOOKUP($S$602,'TAR FIN'!$A$1:$O$120,15,0))</f>
        <v>0</v>
      </c>
      <c r="W602" s="6">
        <f>IF(ISERROR(VLOOKUP($T$602,'TAR FIN'!$A$1:$O$120,15,0)),0,VLOOKUP($T$602,'TAR FIN'!$A$1:$O$120,15,0))</f>
        <v>1174.6600000000001</v>
      </c>
      <c r="X602" s="6">
        <f>IF(ISERROR(VLOOKUP($U$602,'TAR FIN'!$A$1:$O$120,15,0)),0,VLOOKUP($U$602,'TAR FIN'!$A$1:$O$120,15,0))</f>
        <v>0</v>
      </c>
      <c r="Y602" s="6"/>
      <c r="Z602" s="6">
        <f ca="1">('TUSD BE'!$AM$44+'TUSD BF'!$AM$44+'TUSD CVA'!$AM$44)*1</f>
        <v>1305.5497259800161</v>
      </c>
      <c r="AA602" s="6"/>
      <c r="AB602" s="6">
        <f t="shared" si="30"/>
        <v>0</v>
      </c>
      <c r="AC602" s="6">
        <f t="shared" si="31"/>
        <v>115477.27322620052</v>
      </c>
      <c r="AD602" s="6">
        <f t="shared" si="32"/>
        <v>0</v>
      </c>
      <c r="AE602" s="6">
        <f t="shared" ca="1" si="33"/>
        <v>128344.64646568839</v>
      </c>
      <c r="AF602" s="4" t="s">
        <v>1150</v>
      </c>
    </row>
    <row r="603" spans="1:32" ht="11.25" customHeight="1" x14ac:dyDescent="0.25">
      <c r="A603" s="4" t="s">
        <v>21</v>
      </c>
      <c r="B603" s="4" t="s">
        <v>44</v>
      </c>
      <c r="C603" s="4" t="s">
        <v>34</v>
      </c>
      <c r="D603" s="4" t="s">
        <v>40</v>
      </c>
      <c r="E603" s="4" t="s">
        <v>25</v>
      </c>
      <c r="F603" s="4" t="s">
        <v>63</v>
      </c>
      <c r="G603" s="4" t="s">
        <v>25</v>
      </c>
      <c r="H603" s="4" t="s">
        <v>35</v>
      </c>
      <c r="I603" s="5">
        <v>43800</v>
      </c>
      <c r="J603" s="6">
        <v>0</v>
      </c>
      <c r="K603" s="6">
        <v>0</v>
      </c>
      <c r="L603" s="6">
        <v>264.79500000000002</v>
      </c>
      <c r="M603" s="6">
        <v>175.42622410875001</v>
      </c>
      <c r="N603" s="6">
        <v>0</v>
      </c>
      <c r="O603" s="6">
        <v>0</v>
      </c>
      <c r="P603" s="6">
        <v>0</v>
      </c>
      <c r="Q603" s="4" t="s">
        <v>60</v>
      </c>
      <c r="R603" s="4">
        <v>0</v>
      </c>
      <c r="S603" s="4">
        <v>0</v>
      </c>
      <c r="T603" s="4">
        <v>36</v>
      </c>
      <c r="U603" s="4">
        <v>0</v>
      </c>
      <c r="V603" s="6">
        <f>IF(ISERROR(VLOOKUP($S$603,'TAR FIN'!$A$1:$O$120,15,0)),0,VLOOKUP($S$603,'TAR FIN'!$A$1:$O$120,15,0))</f>
        <v>0</v>
      </c>
      <c r="W603" s="6">
        <f>IF(ISERROR(VLOOKUP($T$603,'TAR FIN'!$A$1:$O$120,15,0)),0,VLOOKUP($T$603,'TAR FIN'!$A$1:$O$120,15,0))</f>
        <v>1174.6600000000001</v>
      </c>
      <c r="X603" s="6">
        <f>IF(ISERROR(VLOOKUP($U$603,'TAR FIN'!$A$1:$O$120,15,0)),0,VLOOKUP($U$603,'TAR FIN'!$A$1:$O$120,15,0))</f>
        <v>0</v>
      </c>
      <c r="Y603" s="6"/>
      <c r="Z603" s="6">
        <f ca="1">('TUSD BE'!$AM$44+'TUSD BF'!$AM$44+'TUSD CVA'!$AM$44)*1</f>
        <v>1305.5497259800161</v>
      </c>
      <c r="AA603" s="6"/>
      <c r="AB603" s="6">
        <f t="shared" si="30"/>
        <v>0</v>
      </c>
      <c r="AC603" s="6">
        <f t="shared" si="31"/>
        <v>104977.92628841575</v>
      </c>
      <c r="AD603" s="6">
        <f t="shared" si="32"/>
        <v>0</v>
      </c>
      <c r="AE603" s="6">
        <f t="shared" ca="1" si="33"/>
        <v>116675.38087599092</v>
      </c>
      <c r="AF603" s="4" t="s">
        <v>1150</v>
      </c>
    </row>
    <row r="604" spans="1:32" ht="11.25" customHeight="1" x14ac:dyDescent="0.25">
      <c r="A604" s="4" t="s">
        <v>21</v>
      </c>
      <c r="B604" s="4" t="s">
        <v>44</v>
      </c>
      <c r="C604" s="4" t="s">
        <v>34</v>
      </c>
      <c r="D604" s="4" t="s">
        <v>40</v>
      </c>
      <c r="E604" s="4" t="s">
        <v>25</v>
      </c>
      <c r="F604" s="4" t="s">
        <v>63</v>
      </c>
      <c r="G604" s="4" t="s">
        <v>25</v>
      </c>
      <c r="H604" s="4" t="s">
        <v>35</v>
      </c>
      <c r="I604" s="5">
        <v>43831</v>
      </c>
      <c r="J604" s="6">
        <v>0</v>
      </c>
      <c r="K604" s="6">
        <v>0</v>
      </c>
      <c r="L604" s="6">
        <v>289.28399999999999</v>
      </c>
      <c r="M604" s="6">
        <v>198.51033734975999</v>
      </c>
      <c r="N604" s="6">
        <v>0</v>
      </c>
      <c r="O604" s="6">
        <v>0</v>
      </c>
      <c r="P604" s="6">
        <v>0</v>
      </c>
      <c r="Q604" s="4" t="s">
        <v>60</v>
      </c>
      <c r="R604" s="4">
        <v>0</v>
      </c>
      <c r="S604" s="4">
        <v>0</v>
      </c>
      <c r="T604" s="4">
        <v>36</v>
      </c>
      <c r="U604" s="4">
        <v>0</v>
      </c>
      <c r="V604" s="6">
        <f>IF(ISERROR(VLOOKUP($S$604,'TAR FIN'!$A$1:$O$120,15,0)),0,VLOOKUP($S$604,'TAR FIN'!$A$1:$O$120,15,0))</f>
        <v>0</v>
      </c>
      <c r="W604" s="6">
        <f>IF(ISERROR(VLOOKUP($T$604,'TAR FIN'!$A$1:$O$120,15,0)),0,VLOOKUP($T$604,'TAR FIN'!$A$1:$O$120,15,0))</f>
        <v>1174.6600000000001</v>
      </c>
      <c r="X604" s="6">
        <f>IF(ISERROR(VLOOKUP($U$604,'TAR FIN'!$A$1:$O$120,15,0)),0,VLOOKUP($U$604,'TAR FIN'!$A$1:$O$120,15,0))</f>
        <v>0</v>
      </c>
      <c r="Y604" s="6"/>
      <c r="Z604" s="6">
        <f ca="1">('TUSD BE'!$AM$44+'TUSD BF'!$AM$44+'TUSD CVA'!$AM$44)*1</f>
        <v>1305.5497259800161</v>
      </c>
      <c r="AA604" s="6"/>
      <c r="AB604" s="6">
        <f t="shared" si="30"/>
        <v>0</v>
      </c>
      <c r="AC604" s="6">
        <f t="shared" si="31"/>
        <v>106628.19056873092</v>
      </c>
      <c r="AD604" s="6">
        <f t="shared" si="32"/>
        <v>0</v>
      </c>
      <c r="AE604" s="6">
        <f t="shared" ca="1" si="33"/>
        <v>118509.53039922325</v>
      </c>
      <c r="AF604" s="4" t="s">
        <v>1150</v>
      </c>
    </row>
    <row r="605" spans="1:32" ht="11.25" customHeight="1" x14ac:dyDescent="0.25">
      <c r="A605" s="4" t="s">
        <v>21</v>
      </c>
      <c r="B605" s="4" t="s">
        <v>44</v>
      </c>
      <c r="C605" s="4" t="s">
        <v>34</v>
      </c>
      <c r="D605" s="4" t="s">
        <v>40</v>
      </c>
      <c r="E605" s="4" t="s">
        <v>25</v>
      </c>
      <c r="F605" s="4" t="s">
        <v>63</v>
      </c>
      <c r="G605" s="4" t="s">
        <v>25</v>
      </c>
      <c r="H605" s="4" t="s">
        <v>35</v>
      </c>
      <c r="I605" s="5">
        <v>43862</v>
      </c>
      <c r="J605" s="6">
        <v>0</v>
      </c>
      <c r="K605" s="6">
        <v>0</v>
      </c>
      <c r="L605" s="6">
        <v>240.24600000000001</v>
      </c>
      <c r="M605" s="6">
        <v>157.09251815478001</v>
      </c>
      <c r="N605" s="6">
        <v>0</v>
      </c>
      <c r="O605" s="6">
        <v>0</v>
      </c>
      <c r="P605" s="6">
        <v>0</v>
      </c>
      <c r="Q605" s="4" t="s">
        <v>60</v>
      </c>
      <c r="R605" s="4">
        <v>0</v>
      </c>
      <c r="S605" s="4">
        <v>0</v>
      </c>
      <c r="T605" s="4">
        <v>36</v>
      </c>
      <c r="U605" s="4">
        <v>0</v>
      </c>
      <c r="V605" s="6">
        <f>IF(ISERROR(VLOOKUP($S$605,'TAR FIN'!$A$1:$O$120,15,0)),0,VLOOKUP($S$605,'TAR FIN'!$A$1:$O$120,15,0))</f>
        <v>0</v>
      </c>
      <c r="W605" s="6">
        <f>IF(ISERROR(VLOOKUP($T$605,'TAR FIN'!$A$1:$O$120,15,0)),0,VLOOKUP($T$605,'TAR FIN'!$A$1:$O$120,15,0))</f>
        <v>1174.6600000000001</v>
      </c>
      <c r="X605" s="6">
        <f>IF(ISERROR(VLOOKUP($U$605,'TAR FIN'!$A$1:$O$120,15,0)),0,VLOOKUP($U$605,'TAR FIN'!$A$1:$O$120,15,0))</f>
        <v>0</v>
      </c>
      <c r="Y605" s="6"/>
      <c r="Z605" s="6">
        <f ca="1">('TUSD BE'!$AM$44+'TUSD BF'!$AM$44+'TUSD CVA'!$AM$44)*1</f>
        <v>1305.5497259800161</v>
      </c>
      <c r="AA605" s="6"/>
      <c r="AB605" s="6">
        <f t="shared" si="30"/>
        <v>0</v>
      </c>
      <c r="AC605" s="6">
        <f t="shared" si="31"/>
        <v>97677.068984306126</v>
      </c>
      <c r="AD605" s="6">
        <f t="shared" si="32"/>
        <v>0</v>
      </c>
      <c r="AE605" s="6">
        <f t="shared" ca="1" si="33"/>
        <v>108561.00543731121</v>
      </c>
      <c r="AF605" s="4" t="s">
        <v>1150</v>
      </c>
    </row>
    <row r="606" spans="1:32" ht="11.25" customHeight="1" x14ac:dyDescent="0.25">
      <c r="A606" s="4" t="s">
        <v>21</v>
      </c>
      <c r="B606" s="4" t="s">
        <v>44</v>
      </c>
      <c r="C606" s="4" t="s">
        <v>34</v>
      </c>
      <c r="D606" s="4" t="s">
        <v>40</v>
      </c>
      <c r="E606" s="4" t="s">
        <v>25</v>
      </c>
      <c r="F606" s="4" t="s">
        <v>63</v>
      </c>
      <c r="G606" s="4" t="s">
        <v>25</v>
      </c>
      <c r="H606" s="4" t="s">
        <v>35</v>
      </c>
      <c r="I606" s="5">
        <v>43891</v>
      </c>
      <c r="J606" s="6">
        <v>0</v>
      </c>
      <c r="K606" s="6">
        <v>0</v>
      </c>
      <c r="L606" s="6">
        <v>264.87900000000002</v>
      </c>
      <c r="M606" s="6">
        <v>176.56615349946</v>
      </c>
      <c r="N606" s="6">
        <v>0</v>
      </c>
      <c r="O606" s="6">
        <v>0</v>
      </c>
      <c r="P606" s="6">
        <v>0</v>
      </c>
      <c r="Q606" s="4" t="s">
        <v>60</v>
      </c>
      <c r="R606" s="4">
        <v>0</v>
      </c>
      <c r="S606" s="4">
        <v>0</v>
      </c>
      <c r="T606" s="4">
        <v>36</v>
      </c>
      <c r="U606" s="4">
        <v>0</v>
      </c>
      <c r="V606" s="6">
        <f>IF(ISERROR(VLOOKUP($S$606,'TAR FIN'!$A$1:$O$120,15,0)),0,VLOOKUP($S$606,'TAR FIN'!$A$1:$O$120,15,0))</f>
        <v>0</v>
      </c>
      <c r="W606" s="6">
        <f>IF(ISERROR(VLOOKUP($T$606,'TAR FIN'!$A$1:$O$120,15,0)),0,VLOOKUP($T$606,'TAR FIN'!$A$1:$O$120,15,0))</f>
        <v>1174.6600000000001</v>
      </c>
      <c r="X606" s="6">
        <f>IF(ISERROR(VLOOKUP($U$606,'TAR FIN'!$A$1:$O$120,15,0)),0,VLOOKUP($U$606,'TAR FIN'!$A$1:$O$120,15,0))</f>
        <v>0</v>
      </c>
      <c r="Y606" s="6"/>
      <c r="Z606" s="6">
        <f ca="1">('TUSD BE'!$AM$44+'TUSD BF'!$AM$44+'TUSD CVA'!$AM$44)*1</f>
        <v>1305.5497259800161</v>
      </c>
      <c r="AA606" s="6"/>
      <c r="AB606" s="6">
        <f t="shared" si="30"/>
        <v>0</v>
      </c>
      <c r="AC606" s="6">
        <f t="shared" si="31"/>
        <v>103737.56827032435</v>
      </c>
      <c r="AD606" s="6">
        <f t="shared" si="32"/>
        <v>0</v>
      </c>
      <c r="AE606" s="6">
        <f t="shared" ca="1" si="33"/>
        <v>115296.81254929524</v>
      </c>
      <c r="AF606" s="4" t="s">
        <v>1150</v>
      </c>
    </row>
    <row r="607" spans="1:32" ht="11.25" customHeight="1" x14ac:dyDescent="0.25">
      <c r="A607" s="4" t="s">
        <v>21</v>
      </c>
      <c r="B607" s="4" t="s">
        <v>44</v>
      </c>
      <c r="C607" s="4" t="s">
        <v>34</v>
      </c>
      <c r="D607" s="4" t="s">
        <v>40</v>
      </c>
      <c r="E607" s="4" t="s">
        <v>25</v>
      </c>
      <c r="F607" s="4" t="s">
        <v>63</v>
      </c>
      <c r="G607" s="4" t="s">
        <v>25</v>
      </c>
      <c r="H607" s="4" t="s">
        <v>35</v>
      </c>
      <c r="I607" s="5">
        <v>43922</v>
      </c>
      <c r="J607" s="6">
        <v>0</v>
      </c>
      <c r="K607" s="6">
        <v>0</v>
      </c>
      <c r="L607" s="6">
        <v>249.36</v>
      </c>
      <c r="M607" s="6">
        <v>164.96038006800001</v>
      </c>
      <c r="N607" s="6">
        <v>0</v>
      </c>
      <c r="O607" s="6">
        <v>0</v>
      </c>
      <c r="P607" s="6">
        <v>0</v>
      </c>
      <c r="Q607" s="4" t="s">
        <v>60</v>
      </c>
      <c r="R607" s="4">
        <v>0</v>
      </c>
      <c r="S607" s="4">
        <v>0</v>
      </c>
      <c r="T607" s="4">
        <v>36</v>
      </c>
      <c r="U607" s="4">
        <v>0</v>
      </c>
      <c r="V607" s="6">
        <f>IF(ISERROR(VLOOKUP($S$607,'TAR FIN'!$A$1:$O$120,15,0)),0,VLOOKUP($S$607,'TAR FIN'!$A$1:$O$120,15,0))</f>
        <v>0</v>
      </c>
      <c r="W607" s="6">
        <f>IF(ISERROR(VLOOKUP($T$607,'TAR FIN'!$A$1:$O$120,15,0)),0,VLOOKUP($T$607,'TAR FIN'!$A$1:$O$120,15,0))</f>
        <v>1174.6600000000001</v>
      </c>
      <c r="X607" s="6">
        <f>IF(ISERROR(VLOOKUP($U$607,'TAR FIN'!$A$1:$O$120,15,0)),0,VLOOKUP($U$607,'TAR FIN'!$A$1:$O$120,15,0))</f>
        <v>0</v>
      </c>
      <c r="Y607" s="6"/>
      <c r="Z607" s="6">
        <f ca="1">('TUSD BE'!$AM$44+'TUSD BF'!$AM$44+'TUSD CVA'!$AM$44)*1</f>
        <v>1305.5497259800161</v>
      </c>
      <c r="AA607" s="6"/>
      <c r="AB607" s="6">
        <f t="shared" si="30"/>
        <v>0</v>
      </c>
      <c r="AC607" s="6">
        <f t="shared" si="31"/>
        <v>99140.857549323133</v>
      </c>
      <c r="AD607" s="6">
        <f t="shared" si="32"/>
        <v>0</v>
      </c>
      <c r="AE607" s="6">
        <f t="shared" ca="1" si="33"/>
        <v>110187.90067504012</v>
      </c>
      <c r="AF607" s="4" t="s">
        <v>1150</v>
      </c>
    </row>
    <row r="608" spans="1:32" ht="11.25" customHeight="1" x14ac:dyDescent="0.25">
      <c r="A608" s="4" t="s">
        <v>21</v>
      </c>
      <c r="B608" s="4" t="s">
        <v>44</v>
      </c>
      <c r="C608" s="4" t="s">
        <v>34</v>
      </c>
      <c r="D608" s="4" t="s">
        <v>40</v>
      </c>
      <c r="E608" s="4" t="s">
        <v>25</v>
      </c>
      <c r="F608" s="4" t="s">
        <v>63</v>
      </c>
      <c r="G608" s="4" t="s">
        <v>25</v>
      </c>
      <c r="H608" s="4" t="s">
        <v>35</v>
      </c>
      <c r="I608" s="5">
        <v>43952</v>
      </c>
      <c r="J608" s="6">
        <v>0</v>
      </c>
      <c r="K608" s="6">
        <v>0</v>
      </c>
      <c r="L608" s="6">
        <v>220.82599999999999</v>
      </c>
      <c r="M608" s="6">
        <v>145.75165890918001</v>
      </c>
      <c r="N608" s="6">
        <v>0</v>
      </c>
      <c r="O608" s="6">
        <v>0</v>
      </c>
      <c r="P608" s="6">
        <v>0</v>
      </c>
      <c r="Q608" s="4" t="s">
        <v>60</v>
      </c>
      <c r="R608" s="4">
        <v>0</v>
      </c>
      <c r="S608" s="4">
        <v>0</v>
      </c>
      <c r="T608" s="4">
        <v>36</v>
      </c>
      <c r="U608" s="4">
        <v>0</v>
      </c>
      <c r="V608" s="6">
        <f>IF(ISERROR(VLOOKUP($S$608,'TAR FIN'!$A$1:$O$120,15,0)),0,VLOOKUP($S$608,'TAR FIN'!$A$1:$O$120,15,0))</f>
        <v>0</v>
      </c>
      <c r="W608" s="6">
        <f>IF(ISERROR(VLOOKUP($T$608,'TAR FIN'!$A$1:$O$120,15,0)),0,VLOOKUP($T$608,'TAR FIN'!$A$1:$O$120,15,0))</f>
        <v>1174.6600000000001</v>
      </c>
      <c r="X608" s="6">
        <f>IF(ISERROR(VLOOKUP($U$608,'TAR FIN'!$A$1:$O$120,15,0)),0,VLOOKUP($U$608,'TAR FIN'!$A$1:$O$120,15,0))</f>
        <v>0</v>
      </c>
      <c r="Y608" s="6"/>
      <c r="Z608" s="6">
        <f ca="1">('TUSD BE'!$AM$44+'TUSD BF'!$AM$44+'TUSD CVA'!$AM$44)*1</f>
        <v>1305.5497259800161</v>
      </c>
      <c r="AA608" s="6"/>
      <c r="AB608" s="6">
        <f t="shared" si="30"/>
        <v>0</v>
      </c>
      <c r="AC608" s="6">
        <f t="shared" si="31"/>
        <v>88186.825505742614</v>
      </c>
      <c r="AD608" s="6">
        <f t="shared" si="32"/>
        <v>0</v>
      </c>
      <c r="AE608" s="6">
        <f t="shared" ca="1" si="33"/>
        <v>98013.285439250292</v>
      </c>
      <c r="AF608" s="4" t="s">
        <v>1150</v>
      </c>
    </row>
    <row r="609" spans="1:32" ht="11.25" customHeight="1" x14ac:dyDescent="0.25">
      <c r="A609" s="4" t="s">
        <v>21</v>
      </c>
      <c r="B609" s="4" t="s">
        <v>44</v>
      </c>
      <c r="C609" s="4" t="s">
        <v>34</v>
      </c>
      <c r="D609" s="4" t="s">
        <v>40</v>
      </c>
      <c r="E609" s="4" t="s">
        <v>25</v>
      </c>
      <c r="F609" s="4" t="s">
        <v>63</v>
      </c>
      <c r="G609" s="4" t="s">
        <v>25</v>
      </c>
      <c r="H609" s="4" t="s">
        <v>35</v>
      </c>
      <c r="I609" s="5">
        <v>43983</v>
      </c>
      <c r="J609" s="6">
        <v>0</v>
      </c>
      <c r="K609" s="6">
        <v>0</v>
      </c>
      <c r="L609" s="6">
        <v>220.82599999999999</v>
      </c>
      <c r="M609" s="6">
        <v>147.78605376633999</v>
      </c>
      <c r="N609" s="6">
        <v>0</v>
      </c>
      <c r="O609" s="6">
        <v>0</v>
      </c>
      <c r="P609" s="6">
        <v>0</v>
      </c>
      <c r="Q609" s="4" t="s">
        <v>60</v>
      </c>
      <c r="R609" s="4">
        <v>0</v>
      </c>
      <c r="S609" s="4">
        <v>0</v>
      </c>
      <c r="T609" s="4">
        <v>36</v>
      </c>
      <c r="U609" s="4">
        <v>0</v>
      </c>
      <c r="V609" s="6">
        <f>IF(ISERROR(VLOOKUP($S$609,'TAR FIN'!$A$1:$O$120,15,0)),0,VLOOKUP($S$609,'TAR FIN'!$A$1:$O$120,15,0))</f>
        <v>0</v>
      </c>
      <c r="W609" s="6">
        <f>IF(ISERROR(VLOOKUP($T$609,'TAR FIN'!$A$1:$O$120,15,0)),0,VLOOKUP($T$609,'TAR FIN'!$A$1:$O$120,15,0))</f>
        <v>1174.6600000000001</v>
      </c>
      <c r="X609" s="6">
        <f>IF(ISERROR(VLOOKUP($U$609,'TAR FIN'!$A$1:$O$120,15,0)),0,VLOOKUP($U$609,'TAR FIN'!$A$1:$O$120,15,0))</f>
        <v>0</v>
      </c>
      <c r="Y609" s="6"/>
      <c r="Z609" s="6">
        <f ca="1">('TUSD BE'!$AM$44+'TUSD BF'!$AM$44+'TUSD CVA'!$AM$44)*1</f>
        <v>1305.5497259800161</v>
      </c>
      <c r="AA609" s="6"/>
      <c r="AB609" s="6">
        <f t="shared" si="30"/>
        <v>0</v>
      </c>
      <c r="AC609" s="6">
        <f t="shared" si="31"/>
        <v>85797.103242831072</v>
      </c>
      <c r="AD609" s="6">
        <f t="shared" si="32"/>
        <v>0</v>
      </c>
      <c r="AE609" s="6">
        <f t="shared" ca="1" si="33"/>
        <v>95357.281790949928</v>
      </c>
      <c r="AF609" s="4" t="s">
        <v>1150</v>
      </c>
    </row>
    <row r="610" spans="1:32" ht="11.25" customHeight="1" x14ac:dyDescent="0.25">
      <c r="A610" s="4" t="s">
        <v>21</v>
      </c>
      <c r="B610" s="4" t="s">
        <v>44</v>
      </c>
      <c r="C610" s="4" t="s">
        <v>34</v>
      </c>
      <c r="D610" s="4" t="s">
        <v>40</v>
      </c>
      <c r="E610" s="4" t="s">
        <v>25</v>
      </c>
      <c r="F610" s="4" t="s">
        <v>63</v>
      </c>
      <c r="G610" s="4" t="s">
        <v>25</v>
      </c>
      <c r="H610" s="4" t="s">
        <v>35</v>
      </c>
      <c r="I610" s="5">
        <v>44013</v>
      </c>
      <c r="J610" s="6">
        <v>0</v>
      </c>
      <c r="K610" s="6">
        <v>0</v>
      </c>
      <c r="L610" s="6">
        <v>228.57300000000001</v>
      </c>
      <c r="M610" s="6">
        <v>146.40605567757001</v>
      </c>
      <c r="N610" s="6">
        <v>0</v>
      </c>
      <c r="O610" s="6">
        <v>0</v>
      </c>
      <c r="P610" s="6">
        <v>0</v>
      </c>
      <c r="Q610" s="4" t="s">
        <v>60</v>
      </c>
      <c r="R610" s="4">
        <v>0</v>
      </c>
      <c r="S610" s="4">
        <v>0</v>
      </c>
      <c r="T610" s="4">
        <v>36</v>
      </c>
      <c r="U610" s="4">
        <v>0</v>
      </c>
      <c r="V610" s="6">
        <f>IF(ISERROR(VLOOKUP($S$610,'TAR FIN'!$A$1:$O$120,15,0)),0,VLOOKUP($S$610,'TAR FIN'!$A$1:$O$120,15,0))</f>
        <v>0</v>
      </c>
      <c r="W610" s="6">
        <f>IF(ISERROR(VLOOKUP($T$610,'TAR FIN'!$A$1:$O$120,15,0)),0,VLOOKUP($T$610,'TAR FIN'!$A$1:$O$120,15,0))</f>
        <v>1174.6600000000001</v>
      </c>
      <c r="X610" s="6">
        <f>IF(ISERROR(VLOOKUP($U$610,'TAR FIN'!$A$1:$O$120,15,0)),0,VLOOKUP($U$610,'TAR FIN'!$A$1:$O$120,15,0))</f>
        <v>0</v>
      </c>
      <c r="Y610" s="6"/>
      <c r="Z610" s="6">
        <f ca="1">('TUSD BE'!$AM$44+'TUSD BF'!$AM$44+'TUSD CVA'!$AM$44)*1</f>
        <v>1305.5497259800161</v>
      </c>
      <c r="AA610" s="6"/>
      <c r="AB610" s="6">
        <f t="shared" si="30"/>
        <v>0</v>
      </c>
      <c r="AC610" s="6">
        <f t="shared" si="31"/>
        <v>96518.22281778563</v>
      </c>
      <c r="AD610" s="6">
        <f t="shared" si="32"/>
        <v>0</v>
      </c>
      <c r="AE610" s="6">
        <f t="shared" ca="1" si="33"/>
        <v>107273.03164476372</v>
      </c>
      <c r="AF610" s="4" t="s">
        <v>1150</v>
      </c>
    </row>
    <row r="611" spans="1:32" ht="11.25" customHeight="1" x14ac:dyDescent="0.25">
      <c r="A611" s="4" t="s">
        <v>21</v>
      </c>
      <c r="B611" s="4" t="s">
        <v>44</v>
      </c>
      <c r="C611" s="4" t="s">
        <v>34</v>
      </c>
      <c r="D611" s="4" t="s">
        <v>40</v>
      </c>
      <c r="E611" s="4" t="s">
        <v>25</v>
      </c>
      <c r="F611" s="4" t="s">
        <v>63</v>
      </c>
      <c r="G611" s="4" t="s">
        <v>25</v>
      </c>
      <c r="H611" s="4" t="s">
        <v>35</v>
      </c>
      <c r="I611" s="5">
        <v>44044</v>
      </c>
      <c r="J611" s="6">
        <v>0</v>
      </c>
      <c r="K611" s="6">
        <v>0</v>
      </c>
      <c r="L611" s="6">
        <v>265.601</v>
      </c>
      <c r="M611" s="6">
        <v>175.29666</v>
      </c>
      <c r="N611" s="6">
        <v>0</v>
      </c>
      <c r="O611" s="6">
        <v>0</v>
      </c>
      <c r="P611" s="6">
        <v>0</v>
      </c>
      <c r="Q611" s="4" t="s">
        <v>60</v>
      </c>
      <c r="R611" s="4">
        <v>0</v>
      </c>
      <c r="S611" s="4">
        <v>0</v>
      </c>
      <c r="T611" s="4">
        <v>36</v>
      </c>
      <c r="U611" s="4">
        <v>0</v>
      </c>
      <c r="V611" s="6">
        <f>IF(ISERROR(VLOOKUP($S$611,'TAR FIN'!$A$1:$O$120,15,0)),0,VLOOKUP($S$611,'TAR FIN'!$A$1:$O$120,15,0))</f>
        <v>0</v>
      </c>
      <c r="W611" s="6">
        <f>IF(ISERROR(VLOOKUP($T$611,'TAR FIN'!$A$1:$O$120,15,0)),0,VLOOKUP($T$611,'TAR FIN'!$A$1:$O$120,15,0))</f>
        <v>1174.6600000000001</v>
      </c>
      <c r="X611" s="6">
        <f>IF(ISERROR(VLOOKUP($U$611,'TAR FIN'!$A$1:$O$120,15,0)),0,VLOOKUP($U$611,'TAR FIN'!$A$1:$O$120,15,0))</f>
        <v>0</v>
      </c>
      <c r="Y611" s="6"/>
      <c r="Z611" s="6">
        <f ca="1">('TUSD BE'!$AM$44+'TUSD BF'!$AM$44+'TUSD CVA'!$AM$44)*1</f>
        <v>1305.5497259800161</v>
      </c>
      <c r="AA611" s="6"/>
      <c r="AB611" s="6">
        <f t="shared" si="30"/>
        <v>0</v>
      </c>
      <c r="AC611" s="6">
        <f t="shared" si="31"/>
        <v>106076.8960244</v>
      </c>
      <c r="AD611" s="6">
        <f t="shared" si="32"/>
        <v>0</v>
      </c>
      <c r="AE611" s="6">
        <f t="shared" ca="1" si="33"/>
        <v>117896.80634180621</v>
      </c>
      <c r="AF611" s="4" t="s">
        <v>1150</v>
      </c>
    </row>
    <row r="612" spans="1:32" ht="11.25" customHeight="1" x14ac:dyDescent="0.25">
      <c r="A612" s="4" t="s">
        <v>59</v>
      </c>
      <c r="B612" s="4" t="s">
        <v>44</v>
      </c>
      <c r="C612" s="4" t="s">
        <v>34</v>
      </c>
      <c r="D612" s="4" t="s">
        <v>40</v>
      </c>
      <c r="E612" s="4" t="s">
        <v>25</v>
      </c>
      <c r="F612" s="4" t="s">
        <v>63</v>
      </c>
      <c r="G612" s="4" t="s">
        <v>25</v>
      </c>
      <c r="H612" s="4" t="s">
        <v>35</v>
      </c>
      <c r="I612" s="5">
        <v>44075</v>
      </c>
      <c r="J612" s="6">
        <v>0</v>
      </c>
      <c r="K612" s="6">
        <v>0</v>
      </c>
      <c r="L612" s="6">
        <v>265.601</v>
      </c>
      <c r="M612" s="6">
        <v>175.29666</v>
      </c>
      <c r="N612" s="6">
        <v>0</v>
      </c>
      <c r="O612" s="6">
        <v>0</v>
      </c>
      <c r="P612" s="6">
        <v>0</v>
      </c>
      <c r="Q612" s="4" t="s">
        <v>60</v>
      </c>
      <c r="R612" s="4">
        <v>0</v>
      </c>
      <c r="S612" s="4">
        <v>0</v>
      </c>
      <c r="T612" s="4">
        <v>36</v>
      </c>
      <c r="U612" s="4">
        <v>0</v>
      </c>
      <c r="V612" s="6">
        <f>IF(ISERROR(VLOOKUP($S$612,'TAR FIN'!$A$1:$O$120,15,0)),0,VLOOKUP($S$612,'TAR FIN'!$A$1:$O$120,15,0))</f>
        <v>0</v>
      </c>
      <c r="W612" s="6">
        <f>IF(ISERROR(VLOOKUP($T$612,'TAR FIN'!$A$1:$O$120,15,0)),0,VLOOKUP($T$612,'TAR FIN'!$A$1:$O$120,15,0))</f>
        <v>1174.6600000000001</v>
      </c>
      <c r="X612" s="6">
        <f>IF(ISERROR(VLOOKUP($U$612,'TAR FIN'!$A$1:$O$120,15,0)),0,VLOOKUP($U$612,'TAR FIN'!$A$1:$O$120,15,0))</f>
        <v>0</v>
      </c>
      <c r="Y612" s="6"/>
      <c r="Z612" s="6">
        <f ca="1">('TUSD BE'!$AM$44+'TUSD BF'!$AM$44+'TUSD CVA'!$AM$44)*1</f>
        <v>1305.5497259800161</v>
      </c>
      <c r="AA612" s="6"/>
      <c r="AB612" s="6">
        <f t="shared" si="30"/>
        <v>0</v>
      </c>
      <c r="AC612" s="6">
        <f t="shared" si="31"/>
        <v>106076.8960244</v>
      </c>
      <c r="AD612" s="6">
        <f t="shared" si="32"/>
        <v>0</v>
      </c>
      <c r="AE612" s="6">
        <f t="shared" ca="1" si="33"/>
        <v>117896.80634180621</v>
      </c>
      <c r="AF612" s="4" t="s">
        <v>1150</v>
      </c>
    </row>
    <row r="613" spans="1:32" ht="11.25" customHeight="1" x14ac:dyDescent="0.25">
      <c r="A613" s="4" t="s">
        <v>21</v>
      </c>
      <c r="B613" s="4" t="s">
        <v>22</v>
      </c>
      <c r="C613" s="4" t="s">
        <v>23</v>
      </c>
      <c r="D613" s="4" t="s">
        <v>24</v>
      </c>
      <c r="E613" s="4" t="s">
        <v>24</v>
      </c>
      <c r="F613" s="4" t="s">
        <v>25</v>
      </c>
      <c r="G613" s="4" t="s">
        <v>25</v>
      </c>
      <c r="H613" s="4" t="s">
        <v>25</v>
      </c>
      <c r="I613" s="5">
        <v>43739</v>
      </c>
      <c r="J613" s="6">
        <v>0</v>
      </c>
      <c r="K613" s="6">
        <v>0</v>
      </c>
      <c r="L613" s="6">
        <v>195401.87700000001</v>
      </c>
      <c r="M613" s="6">
        <v>195401.87700000001</v>
      </c>
      <c r="N613" s="6">
        <v>195401.87700000001</v>
      </c>
      <c r="O613" s="6">
        <v>195401.87700000001</v>
      </c>
      <c r="P613" s="6">
        <v>942675</v>
      </c>
      <c r="Q613" s="4" t="s">
        <v>26</v>
      </c>
      <c r="R613" s="4">
        <v>0</v>
      </c>
      <c r="S613" s="4">
        <v>0</v>
      </c>
      <c r="T613" s="4">
        <v>45</v>
      </c>
      <c r="U613" s="4">
        <v>88</v>
      </c>
      <c r="V613" s="6">
        <f>IF(ISERROR(VLOOKUP($S$613,'TAR FIN'!$A$1:$O$120,15,0)),0,VLOOKUP($S$613,'TAR FIN'!$A$1:$O$120,15,0))</f>
        <v>0</v>
      </c>
      <c r="W613" s="6">
        <f>IF(ISERROR(VLOOKUP($T$613,'TAR FIN'!$A$1:$O$120,15,0)),0,VLOOKUP($T$613,'TAR FIN'!$A$1:$O$120,15,0))</f>
        <v>247.09</v>
      </c>
      <c r="X613" s="6">
        <f>IF(ISERROR(VLOOKUP($U$613,'TAR FIN'!$A$1:$O$120,15,0)),0,VLOOKUP($U$613,'TAR FIN'!$A$1:$O$120,15,0))</f>
        <v>270.92</v>
      </c>
      <c r="Y613" s="6"/>
      <c r="Z613" s="6">
        <f ca="1">('TUSD BE'!$AM$55+'TUSD BF'!$AM$55+'TUSD CVA'!$AM$55)*1</f>
        <v>271.87486773292784</v>
      </c>
      <c r="AA613" s="6">
        <f>('TE BE'!$AA$19+'TE BF'!$AA$19+'TE CVA'!$AA$19)*1</f>
        <v>242.90567551581066</v>
      </c>
      <c r="AB613" s="6">
        <f t="shared" si="30"/>
        <v>0</v>
      </c>
      <c r="AC613" s="6">
        <f t="shared" si="31"/>
        <v>0</v>
      </c>
      <c r="AD613" s="6">
        <f t="shared" si="32"/>
        <v>0</v>
      </c>
      <c r="AE613" s="6">
        <f t="shared" ca="1" si="33"/>
        <v>0</v>
      </c>
    </row>
    <row r="614" spans="1:32" ht="11.25" customHeight="1" x14ac:dyDescent="0.25">
      <c r="A614" s="4" t="s">
        <v>21</v>
      </c>
      <c r="B614" s="4" t="s">
        <v>22</v>
      </c>
      <c r="C614" s="4" t="s">
        <v>23</v>
      </c>
      <c r="D614" s="4" t="s">
        <v>24</v>
      </c>
      <c r="E614" s="4" t="s">
        <v>29</v>
      </c>
      <c r="F614" s="4" t="s">
        <v>25</v>
      </c>
      <c r="G614" s="4" t="s">
        <v>25</v>
      </c>
      <c r="H614" s="4" t="s">
        <v>25</v>
      </c>
      <c r="I614" s="5">
        <v>43739</v>
      </c>
      <c r="J614" s="6">
        <v>0</v>
      </c>
      <c r="K614" s="6">
        <v>0</v>
      </c>
      <c r="L614" s="6">
        <v>259.98</v>
      </c>
      <c r="M614" s="6">
        <v>259.98</v>
      </c>
      <c r="N614" s="6">
        <v>259.98</v>
      </c>
      <c r="O614" s="6">
        <v>259.98</v>
      </c>
      <c r="P614" s="6">
        <v>461</v>
      </c>
      <c r="Q614" s="4" t="s">
        <v>26</v>
      </c>
      <c r="R614" s="4">
        <v>0</v>
      </c>
      <c r="S614" s="4">
        <v>0</v>
      </c>
      <c r="T614" s="4">
        <v>46</v>
      </c>
      <c r="U614" s="4">
        <v>89</v>
      </c>
      <c r="V614" s="6">
        <f>IF(ISERROR(VLOOKUP($S$614,'TAR FIN'!$A$1:$O$120,15,0)),0,VLOOKUP($S$614,'TAR FIN'!$A$1:$O$120,15,0))</f>
        <v>0</v>
      </c>
      <c r="W614" s="6">
        <f>IF(ISERROR(VLOOKUP($T$614,'TAR FIN'!$A$1:$O$120,15,0)),0,VLOOKUP($T$614,'TAR FIN'!$A$1:$O$120,15,0))</f>
        <v>64.09</v>
      </c>
      <c r="X614" s="6">
        <f>IF(ISERROR(VLOOKUP($U$614,'TAR FIN'!$A$1:$O$120,15,0)),0,VLOOKUP($U$614,'TAR FIN'!$A$1:$O$120,15,0))</f>
        <v>94.82</v>
      </c>
      <c r="Y614" s="6"/>
      <c r="Z614" s="6">
        <f ca="1">('TUSD BE'!$AM$56+'TUSD BF'!$AM$56+'TUSD CVA'!$AM$56-('TUSD BE'!$P$56+'TUSD BF'!$P$56+'TUSD CVA'!$P$56)-('TUSD BE'!$Q$56+'TUSD BF'!$Q$56+'TUSD CVA'!$Q$56)-('TUSD BE'!$R$56+'TUSD BF'!$R$56+'TUSD CVA'!$R$56))*(1-CUSTOS!$M$34)</f>
        <v>69.479758346682061</v>
      </c>
      <c r="AA614" s="6">
        <f>('TE BE'!$AA$20+'TE BF'!$AA$20+'TE CVA'!$AA$20)*(1-CUSTOS!$M$34)</f>
        <v>85.01698643053372</v>
      </c>
      <c r="AB614" s="6">
        <f t="shared" si="30"/>
        <v>0</v>
      </c>
      <c r="AC614" s="6">
        <f>(L614-M614)*(W614+X614)+($W$683+$X$683-$W$614-$X$614)*(L614)</f>
        <v>76727.897400000016</v>
      </c>
      <c r="AD614" s="6">
        <f t="shared" si="32"/>
        <v>0</v>
      </c>
      <c r="AE614" s="6">
        <f ca="1">(L614-M614)*(Z614+AA614)+($Z$683+$AA$683-$Z$614-$AA$614)*(L614)</f>
        <v>74594.118313335348</v>
      </c>
      <c r="AF614" s="4" t="s">
        <v>1153</v>
      </c>
    </row>
    <row r="615" spans="1:32" ht="11.25" customHeight="1" x14ac:dyDescent="0.25">
      <c r="A615" s="4" t="s">
        <v>27</v>
      </c>
      <c r="B615" s="4" t="s">
        <v>22</v>
      </c>
      <c r="C615" s="4" t="s">
        <v>23</v>
      </c>
      <c r="D615" s="4" t="s">
        <v>24</v>
      </c>
      <c r="E615" s="4" t="s">
        <v>29</v>
      </c>
      <c r="F615" s="4" t="s">
        <v>25</v>
      </c>
      <c r="G615" s="4" t="s">
        <v>25</v>
      </c>
      <c r="H615" s="4" t="s">
        <v>25</v>
      </c>
      <c r="I615" s="5">
        <v>43739</v>
      </c>
      <c r="J615" s="6">
        <v>0</v>
      </c>
      <c r="K615" s="6">
        <v>0</v>
      </c>
      <c r="L615" s="6">
        <v>0.09</v>
      </c>
      <c r="M615" s="6">
        <v>0.09</v>
      </c>
      <c r="N615" s="6">
        <v>0.09</v>
      </c>
      <c r="O615" s="6">
        <v>0.09</v>
      </c>
      <c r="P615" s="6">
        <v>0</v>
      </c>
      <c r="Q615" s="4" t="s">
        <v>26</v>
      </c>
      <c r="R615" s="4">
        <v>0</v>
      </c>
      <c r="S615" s="4">
        <v>0</v>
      </c>
      <c r="T615" s="4">
        <v>46</v>
      </c>
      <c r="U615" s="4">
        <v>89</v>
      </c>
      <c r="V615" s="6">
        <f>IF(ISERROR(VLOOKUP($S$615,'TAR FIN'!$A$1:$O$120,15,0)),0,VLOOKUP($S$615,'TAR FIN'!$A$1:$O$120,15,0))</f>
        <v>0</v>
      </c>
      <c r="W615" s="6">
        <f>IF(ISERROR(VLOOKUP($T$615,'TAR FIN'!$A$1:$O$120,15,0)),0,VLOOKUP($T$615,'TAR FIN'!$A$1:$O$120,15,0))</f>
        <v>64.09</v>
      </c>
      <c r="X615" s="6">
        <f>IF(ISERROR(VLOOKUP($U$615,'TAR FIN'!$A$1:$O$120,15,0)),0,VLOOKUP($U$615,'TAR FIN'!$A$1:$O$120,15,0))</f>
        <v>94.82</v>
      </c>
      <c r="Y615" s="6"/>
      <c r="Z615" s="6">
        <f ca="1">('TUSD BE'!$AM$56+'TUSD BF'!$AM$56+'TUSD CVA'!$AM$56-('TUSD BE'!$P$56+'TUSD BF'!$P$56+'TUSD CVA'!$P$56)-('TUSD BE'!$Q$56+'TUSD BF'!$Q$56+'TUSD CVA'!$Q$56)-('TUSD BE'!$R$56+'TUSD BF'!$R$56+'TUSD CVA'!$R$56))*(1-CUSTOS!$M$34)</f>
        <v>69.479758346682061</v>
      </c>
      <c r="AA615" s="6">
        <f>('TE BE'!$AA$20+'TE BF'!$AA$20+'TE CVA'!$AA$20)*(1-CUSTOS!$M$34)</f>
        <v>85.01698643053372</v>
      </c>
      <c r="AB615" s="6">
        <f t="shared" si="30"/>
        <v>0</v>
      </c>
      <c r="AC615" s="6">
        <f>(L615-M615)*(W615+X615)+($W$683+$X$683-$W$615-$X$615)*(L615)</f>
        <v>26.561700000000005</v>
      </c>
      <c r="AD615" s="6">
        <f t="shared" si="32"/>
        <v>0</v>
      </c>
      <c r="AE615" s="6">
        <f ca="1">(L615-M615)*(Z615+AA615)+($Z$683+$AA$683-$Z$615-$AA$615)*(L615)</f>
        <v>25.823027341334644</v>
      </c>
      <c r="AF615" s="4" t="s">
        <v>1153</v>
      </c>
    </row>
    <row r="616" spans="1:32" ht="11.25" customHeight="1" x14ac:dyDescent="0.25">
      <c r="A616" s="4" t="s">
        <v>21</v>
      </c>
      <c r="B616" s="4" t="s">
        <v>22</v>
      </c>
      <c r="C616" s="4" t="s">
        <v>23</v>
      </c>
      <c r="D616" s="4" t="s">
        <v>24</v>
      </c>
      <c r="E616" s="4" t="s">
        <v>29</v>
      </c>
      <c r="F616" s="4" t="s">
        <v>25</v>
      </c>
      <c r="G616" s="4" t="s">
        <v>25</v>
      </c>
      <c r="H616" s="4" t="s">
        <v>25</v>
      </c>
      <c r="I616" s="5">
        <v>43770</v>
      </c>
      <c r="J616" s="6">
        <v>0</v>
      </c>
      <c r="K616" s="6">
        <v>0</v>
      </c>
      <c r="L616" s="6">
        <v>266.10000000000002</v>
      </c>
      <c r="M616" s="6">
        <v>266.10000000000002</v>
      </c>
      <c r="N616" s="6">
        <v>266.10000000000002</v>
      </c>
      <c r="O616" s="6">
        <v>266.10000000000002</v>
      </c>
      <c r="P616" s="6">
        <v>410</v>
      </c>
      <c r="Q616" s="4" t="s">
        <v>26</v>
      </c>
      <c r="R616" s="4">
        <v>0</v>
      </c>
      <c r="S616" s="4">
        <v>0</v>
      </c>
      <c r="T616" s="4">
        <v>46</v>
      </c>
      <c r="U616" s="4">
        <v>89</v>
      </c>
      <c r="V616" s="6">
        <f>IF(ISERROR(VLOOKUP($S$616,'TAR FIN'!$A$1:$O$120,15,0)),0,VLOOKUP($S$616,'TAR FIN'!$A$1:$O$120,15,0))</f>
        <v>0</v>
      </c>
      <c r="W616" s="6">
        <f>IF(ISERROR(VLOOKUP($T$616,'TAR FIN'!$A$1:$O$120,15,0)),0,VLOOKUP($T$616,'TAR FIN'!$A$1:$O$120,15,0))</f>
        <v>64.09</v>
      </c>
      <c r="X616" s="6">
        <f>IF(ISERROR(VLOOKUP($U$616,'TAR FIN'!$A$1:$O$120,15,0)),0,VLOOKUP($U$616,'TAR FIN'!$A$1:$O$120,15,0))</f>
        <v>94.82</v>
      </c>
      <c r="Y616" s="6"/>
      <c r="Z616" s="6">
        <f ca="1">('TUSD BE'!$AM$56+'TUSD BF'!$AM$56+'TUSD CVA'!$AM$56-('TUSD BE'!$P$56+'TUSD BF'!$P$56+'TUSD CVA'!$P$56)-('TUSD BE'!$Q$56+'TUSD BF'!$Q$56+'TUSD CVA'!$Q$56)-('TUSD BE'!$R$56+'TUSD BF'!$R$56+'TUSD CVA'!$R$56))*(1-CUSTOS!$M$34)</f>
        <v>69.479758346682061</v>
      </c>
      <c r="AA616" s="6">
        <f>('TE BE'!$AA$20+'TE BF'!$AA$20+'TE CVA'!$AA$20)*(1-CUSTOS!$M$34)</f>
        <v>85.01698643053372</v>
      </c>
      <c r="AB616" s="6">
        <f t="shared" si="30"/>
        <v>0</v>
      </c>
      <c r="AC616" s="6">
        <f>(L616-M616)*(W616+X616)+($W$683+$X$683-$W$616-$X$616)*(L616)</f>
        <v>78534.093000000023</v>
      </c>
      <c r="AD616" s="6">
        <f t="shared" si="32"/>
        <v>0</v>
      </c>
      <c r="AE616" s="6">
        <f ca="1">(L616-M616)*(Z616+AA616)+($Z$683+$AA$683-$Z$616-$AA$616)*(L616)</f>
        <v>76350.084172546107</v>
      </c>
      <c r="AF616" s="4" t="s">
        <v>1153</v>
      </c>
    </row>
    <row r="617" spans="1:32" ht="11.25" customHeight="1" x14ac:dyDescent="0.25">
      <c r="A617" s="4" t="s">
        <v>27</v>
      </c>
      <c r="B617" s="4" t="s">
        <v>22</v>
      </c>
      <c r="C617" s="4" t="s">
        <v>23</v>
      </c>
      <c r="D617" s="4" t="s">
        <v>24</v>
      </c>
      <c r="E617" s="4" t="s">
        <v>29</v>
      </c>
      <c r="F617" s="4" t="s">
        <v>25</v>
      </c>
      <c r="G617" s="4" t="s">
        <v>25</v>
      </c>
      <c r="H617" s="4" t="s">
        <v>25</v>
      </c>
      <c r="I617" s="5">
        <v>43770</v>
      </c>
      <c r="J617" s="6">
        <v>0</v>
      </c>
      <c r="K617" s="6">
        <v>0</v>
      </c>
      <c r="L617" s="6">
        <v>0.15</v>
      </c>
      <c r="M617" s="6">
        <v>0.15</v>
      </c>
      <c r="N617" s="6">
        <v>0.15</v>
      </c>
      <c r="O617" s="6">
        <v>0.15</v>
      </c>
      <c r="P617" s="6">
        <v>0</v>
      </c>
      <c r="Q617" s="4" t="s">
        <v>26</v>
      </c>
      <c r="R617" s="4">
        <v>0</v>
      </c>
      <c r="S617" s="4">
        <v>0</v>
      </c>
      <c r="T617" s="4">
        <v>46</v>
      </c>
      <c r="U617" s="4">
        <v>89</v>
      </c>
      <c r="V617" s="6">
        <f>IF(ISERROR(VLOOKUP($S$617,'TAR FIN'!$A$1:$O$120,15,0)),0,VLOOKUP($S$617,'TAR FIN'!$A$1:$O$120,15,0))</f>
        <v>0</v>
      </c>
      <c r="W617" s="6">
        <f>IF(ISERROR(VLOOKUP($T$617,'TAR FIN'!$A$1:$O$120,15,0)),0,VLOOKUP($T$617,'TAR FIN'!$A$1:$O$120,15,0))</f>
        <v>64.09</v>
      </c>
      <c r="X617" s="6">
        <f>IF(ISERROR(VLOOKUP($U$617,'TAR FIN'!$A$1:$O$120,15,0)),0,VLOOKUP($U$617,'TAR FIN'!$A$1:$O$120,15,0))</f>
        <v>94.82</v>
      </c>
      <c r="Y617" s="6"/>
      <c r="Z617" s="6">
        <f ca="1">('TUSD BE'!$AM$56+'TUSD BF'!$AM$56+'TUSD CVA'!$AM$56-('TUSD BE'!$P$56+'TUSD BF'!$P$56+'TUSD CVA'!$P$56)-('TUSD BE'!$Q$56+'TUSD BF'!$Q$56+'TUSD CVA'!$Q$56)-('TUSD BE'!$R$56+'TUSD BF'!$R$56+'TUSD CVA'!$R$56))*(1-CUSTOS!$M$34)</f>
        <v>69.479758346682061</v>
      </c>
      <c r="AA617" s="6">
        <f>('TE BE'!$AA$20+'TE BF'!$AA$20+'TE CVA'!$AA$20)*(1-CUSTOS!$M$34)</f>
        <v>85.01698643053372</v>
      </c>
      <c r="AB617" s="6">
        <f t="shared" si="30"/>
        <v>0</v>
      </c>
      <c r="AC617" s="6">
        <f>(L617-M617)*(W617+X617)+($W$683+$X$683-$W$617-$X$617)*(L617)</f>
        <v>44.269500000000008</v>
      </c>
      <c r="AD617" s="6">
        <f t="shared" si="32"/>
        <v>0</v>
      </c>
      <c r="AE617" s="6">
        <f ca="1">(L617-M617)*(Z617+AA617)+($Z$683+$AA$683-$Z$617-$AA$617)*(L617)</f>
        <v>43.038378902224402</v>
      </c>
      <c r="AF617" s="4" t="s">
        <v>1153</v>
      </c>
    </row>
    <row r="618" spans="1:32" ht="11.25" customHeight="1" x14ac:dyDescent="0.25">
      <c r="A618" s="4" t="s">
        <v>21</v>
      </c>
      <c r="B618" s="4" t="s">
        <v>22</v>
      </c>
      <c r="C618" s="4" t="s">
        <v>23</v>
      </c>
      <c r="D618" s="4" t="s">
        <v>24</v>
      </c>
      <c r="E618" s="4" t="s">
        <v>29</v>
      </c>
      <c r="F618" s="4" t="s">
        <v>25</v>
      </c>
      <c r="G618" s="4" t="s">
        <v>25</v>
      </c>
      <c r="H618" s="4" t="s">
        <v>25</v>
      </c>
      <c r="I618" s="5">
        <v>43800</v>
      </c>
      <c r="J618" s="6">
        <v>0</v>
      </c>
      <c r="K618" s="6">
        <v>0</v>
      </c>
      <c r="L618" s="6">
        <v>272.55</v>
      </c>
      <c r="M618" s="6">
        <v>272.55</v>
      </c>
      <c r="N618" s="6">
        <v>272.55</v>
      </c>
      <c r="O618" s="6">
        <v>272.55</v>
      </c>
      <c r="P618" s="6">
        <v>488</v>
      </c>
      <c r="Q618" s="4" t="s">
        <v>26</v>
      </c>
      <c r="R618" s="4">
        <v>0</v>
      </c>
      <c r="S618" s="4">
        <v>0</v>
      </c>
      <c r="T618" s="4">
        <v>46</v>
      </c>
      <c r="U618" s="4">
        <v>89</v>
      </c>
      <c r="V618" s="6">
        <f>IF(ISERROR(VLOOKUP($S$618,'TAR FIN'!$A$1:$O$120,15,0)),0,VLOOKUP($S$618,'TAR FIN'!$A$1:$O$120,15,0))</f>
        <v>0</v>
      </c>
      <c r="W618" s="6">
        <f>IF(ISERROR(VLOOKUP($T$618,'TAR FIN'!$A$1:$O$120,15,0)),0,VLOOKUP($T$618,'TAR FIN'!$A$1:$O$120,15,0))</f>
        <v>64.09</v>
      </c>
      <c r="X618" s="6">
        <f>IF(ISERROR(VLOOKUP($U$618,'TAR FIN'!$A$1:$O$120,15,0)),0,VLOOKUP($U$618,'TAR FIN'!$A$1:$O$120,15,0))</f>
        <v>94.82</v>
      </c>
      <c r="Y618" s="6"/>
      <c r="Z618" s="6">
        <f ca="1">('TUSD BE'!$AM$56+'TUSD BF'!$AM$56+'TUSD CVA'!$AM$56-('TUSD BE'!$P$56+'TUSD BF'!$P$56+'TUSD CVA'!$P$56)-('TUSD BE'!$Q$56+'TUSD BF'!$Q$56+'TUSD CVA'!$Q$56)-('TUSD BE'!$R$56+'TUSD BF'!$R$56+'TUSD CVA'!$R$56))*(1-CUSTOS!$M$34)</f>
        <v>69.479758346682061</v>
      </c>
      <c r="AA618" s="6">
        <f>('TE BE'!$AA$20+'TE BF'!$AA$20+'TE CVA'!$AA$20)*(1-CUSTOS!$M$34)</f>
        <v>85.01698643053372</v>
      </c>
      <c r="AB618" s="6">
        <f t="shared" si="30"/>
        <v>0</v>
      </c>
      <c r="AC618" s="6">
        <f>(L618-M618)*(W618+X618)+($W$683+$X$683-$W$618-$X$618)*(L618)</f>
        <v>80437.681500000021</v>
      </c>
      <c r="AD618" s="6">
        <f t="shared" si="32"/>
        <v>0</v>
      </c>
      <c r="AE618" s="6">
        <f ca="1">(L618-M618)*(Z618+AA618)+($Z$683+$AA$683-$Z$618-$AA$618)*(L618)</f>
        <v>78200.734465341753</v>
      </c>
      <c r="AF618" s="4" t="s">
        <v>1153</v>
      </c>
    </row>
    <row r="619" spans="1:32" ht="11.25" customHeight="1" x14ac:dyDescent="0.25">
      <c r="A619" s="4" t="s">
        <v>27</v>
      </c>
      <c r="B619" s="4" t="s">
        <v>22</v>
      </c>
      <c r="C619" s="4" t="s">
        <v>23</v>
      </c>
      <c r="D619" s="4" t="s">
        <v>24</v>
      </c>
      <c r="E619" s="4" t="s">
        <v>29</v>
      </c>
      <c r="F619" s="4" t="s">
        <v>25</v>
      </c>
      <c r="G619" s="4" t="s">
        <v>25</v>
      </c>
      <c r="H619" s="4" t="s">
        <v>25</v>
      </c>
      <c r="I619" s="5">
        <v>43800</v>
      </c>
      <c r="J619" s="6">
        <v>0</v>
      </c>
      <c r="K619" s="6">
        <v>0</v>
      </c>
      <c r="L619" s="6">
        <v>0.12</v>
      </c>
      <c r="M619" s="6">
        <v>0.12</v>
      </c>
      <c r="N619" s="6">
        <v>0.12</v>
      </c>
      <c r="O619" s="6">
        <v>0.12</v>
      </c>
      <c r="P619" s="6">
        <v>2</v>
      </c>
      <c r="Q619" s="4" t="s">
        <v>26</v>
      </c>
      <c r="R619" s="4">
        <v>0</v>
      </c>
      <c r="S619" s="4">
        <v>0</v>
      </c>
      <c r="T619" s="4">
        <v>46</v>
      </c>
      <c r="U619" s="4">
        <v>89</v>
      </c>
      <c r="V619" s="6">
        <f>IF(ISERROR(VLOOKUP($S$619,'TAR FIN'!$A$1:$O$120,15,0)),0,VLOOKUP($S$619,'TAR FIN'!$A$1:$O$120,15,0))</f>
        <v>0</v>
      </c>
      <c r="W619" s="6">
        <f>IF(ISERROR(VLOOKUP($T$619,'TAR FIN'!$A$1:$O$120,15,0)),0,VLOOKUP($T$619,'TAR FIN'!$A$1:$O$120,15,0))</f>
        <v>64.09</v>
      </c>
      <c r="X619" s="6">
        <f>IF(ISERROR(VLOOKUP($U$619,'TAR FIN'!$A$1:$O$120,15,0)),0,VLOOKUP($U$619,'TAR FIN'!$A$1:$O$120,15,0))</f>
        <v>94.82</v>
      </c>
      <c r="Y619" s="6"/>
      <c r="Z619" s="6">
        <f ca="1">('TUSD BE'!$AM$56+'TUSD BF'!$AM$56+'TUSD CVA'!$AM$56-('TUSD BE'!$P$56+'TUSD BF'!$P$56+'TUSD CVA'!$P$56)-('TUSD BE'!$Q$56+'TUSD BF'!$Q$56+'TUSD CVA'!$Q$56)-('TUSD BE'!$R$56+'TUSD BF'!$R$56+'TUSD CVA'!$R$56))*(1-CUSTOS!$M$34)</f>
        <v>69.479758346682061</v>
      </c>
      <c r="AA619" s="6">
        <f>('TE BE'!$AA$20+'TE BF'!$AA$20+'TE CVA'!$AA$20)*(1-CUSTOS!$M$34)</f>
        <v>85.01698643053372</v>
      </c>
      <c r="AB619" s="6">
        <f t="shared" si="30"/>
        <v>0</v>
      </c>
      <c r="AC619" s="6">
        <f>(L619-M619)*(W619+X619)+($W$683+$X$683-$W$619-$X$619)*(L619)</f>
        <v>35.415600000000005</v>
      </c>
      <c r="AD619" s="6">
        <f t="shared" si="32"/>
        <v>0</v>
      </c>
      <c r="AE619" s="6">
        <f ca="1">(L619-M619)*(Z619+AA619)+($Z$683+$AA$683-$Z$619-$AA$619)*(L619)</f>
        <v>34.430703121779523</v>
      </c>
      <c r="AF619" s="4" t="s">
        <v>1153</v>
      </c>
    </row>
    <row r="620" spans="1:32" ht="11.25" customHeight="1" x14ac:dyDescent="0.25">
      <c r="A620" s="4" t="s">
        <v>21</v>
      </c>
      <c r="B620" s="4" t="s">
        <v>22</v>
      </c>
      <c r="C620" s="4" t="s">
        <v>23</v>
      </c>
      <c r="D620" s="4" t="s">
        <v>24</v>
      </c>
      <c r="E620" s="4" t="s">
        <v>29</v>
      </c>
      <c r="F620" s="4" t="s">
        <v>25</v>
      </c>
      <c r="G620" s="4" t="s">
        <v>25</v>
      </c>
      <c r="H620" s="4" t="s">
        <v>25</v>
      </c>
      <c r="I620" s="5">
        <v>43831</v>
      </c>
      <c r="J620" s="6">
        <v>0</v>
      </c>
      <c r="K620" s="6">
        <v>0</v>
      </c>
      <c r="L620" s="6">
        <v>275.61</v>
      </c>
      <c r="M620" s="6">
        <v>275.61</v>
      </c>
      <c r="N620" s="6">
        <v>275.61</v>
      </c>
      <c r="O620" s="6">
        <v>275.61</v>
      </c>
      <c r="P620" s="6">
        <v>515</v>
      </c>
      <c r="Q620" s="4" t="s">
        <v>26</v>
      </c>
      <c r="R620" s="4">
        <v>0</v>
      </c>
      <c r="S620" s="4">
        <v>0</v>
      </c>
      <c r="T620" s="4">
        <v>46</v>
      </c>
      <c r="U620" s="4">
        <v>89</v>
      </c>
      <c r="V620" s="6">
        <f>IF(ISERROR(VLOOKUP($S$620,'TAR FIN'!$A$1:$O$120,15,0)),0,VLOOKUP($S$620,'TAR FIN'!$A$1:$O$120,15,0))</f>
        <v>0</v>
      </c>
      <c r="W620" s="6">
        <f>IF(ISERROR(VLOOKUP($T$620,'TAR FIN'!$A$1:$O$120,15,0)),0,VLOOKUP($T$620,'TAR FIN'!$A$1:$O$120,15,0))</f>
        <v>64.09</v>
      </c>
      <c r="X620" s="6">
        <f>IF(ISERROR(VLOOKUP($U$620,'TAR FIN'!$A$1:$O$120,15,0)),0,VLOOKUP($U$620,'TAR FIN'!$A$1:$O$120,15,0))</f>
        <v>94.82</v>
      </c>
      <c r="Y620" s="6"/>
      <c r="Z620" s="6">
        <f ca="1">('TUSD BE'!$AM$56+'TUSD BF'!$AM$56+'TUSD CVA'!$AM$56-('TUSD BE'!$P$56+'TUSD BF'!$P$56+'TUSD CVA'!$P$56)-('TUSD BE'!$Q$56+'TUSD BF'!$Q$56+'TUSD CVA'!$Q$56)-('TUSD BE'!$R$56+'TUSD BF'!$R$56+'TUSD CVA'!$R$56))*(1-CUSTOS!$M$34)</f>
        <v>69.479758346682061</v>
      </c>
      <c r="AA620" s="6">
        <f>('TE BE'!$AA$20+'TE BF'!$AA$20+'TE CVA'!$AA$20)*(1-CUSTOS!$M$34)</f>
        <v>85.01698643053372</v>
      </c>
      <c r="AB620" s="6">
        <f t="shared" si="30"/>
        <v>0</v>
      </c>
      <c r="AC620" s="6">
        <f>(L620-M620)*(W620+X620)+($W$683+$X$683-$W$620-$X$620)*(L620)</f>
        <v>81340.779300000024</v>
      </c>
      <c r="AD620" s="6">
        <f t="shared" si="32"/>
        <v>0</v>
      </c>
      <c r="AE620" s="6">
        <f ca="1">(L620-M620)*(Z620+AA620)+($Z$683+$AA$683-$Z$620-$AA$620)*(L620)</f>
        <v>79078.717394947133</v>
      </c>
      <c r="AF620" s="4" t="s">
        <v>1153</v>
      </c>
    </row>
    <row r="621" spans="1:32" ht="11.25" customHeight="1" x14ac:dyDescent="0.25">
      <c r="A621" s="4" t="s">
        <v>27</v>
      </c>
      <c r="B621" s="4" t="s">
        <v>22</v>
      </c>
      <c r="C621" s="4" t="s">
        <v>23</v>
      </c>
      <c r="D621" s="4" t="s">
        <v>24</v>
      </c>
      <c r="E621" s="4" t="s">
        <v>29</v>
      </c>
      <c r="F621" s="4" t="s">
        <v>25</v>
      </c>
      <c r="G621" s="4" t="s">
        <v>25</v>
      </c>
      <c r="H621" s="4" t="s">
        <v>25</v>
      </c>
      <c r="I621" s="5">
        <v>43831</v>
      </c>
      <c r="J621" s="6">
        <v>0</v>
      </c>
      <c r="K621" s="6">
        <v>0</v>
      </c>
      <c r="L621" s="6">
        <v>0.21</v>
      </c>
      <c r="M621" s="6">
        <v>0.21</v>
      </c>
      <c r="N621" s="6">
        <v>0.21</v>
      </c>
      <c r="O621" s="6">
        <v>0.21</v>
      </c>
      <c r="P621" s="6">
        <v>1</v>
      </c>
      <c r="Q621" s="4" t="s">
        <v>26</v>
      </c>
      <c r="R621" s="4">
        <v>0</v>
      </c>
      <c r="S621" s="4">
        <v>0</v>
      </c>
      <c r="T621" s="4">
        <v>46</v>
      </c>
      <c r="U621" s="4">
        <v>89</v>
      </c>
      <c r="V621" s="6">
        <f>IF(ISERROR(VLOOKUP($S$621,'TAR FIN'!$A$1:$O$120,15,0)),0,VLOOKUP($S$621,'TAR FIN'!$A$1:$O$120,15,0))</f>
        <v>0</v>
      </c>
      <c r="W621" s="6">
        <f>IF(ISERROR(VLOOKUP($T$621,'TAR FIN'!$A$1:$O$120,15,0)),0,VLOOKUP($T$621,'TAR FIN'!$A$1:$O$120,15,0))</f>
        <v>64.09</v>
      </c>
      <c r="X621" s="6">
        <f>IF(ISERROR(VLOOKUP($U$621,'TAR FIN'!$A$1:$O$120,15,0)),0,VLOOKUP($U$621,'TAR FIN'!$A$1:$O$120,15,0))</f>
        <v>94.82</v>
      </c>
      <c r="Y621" s="6"/>
      <c r="Z621" s="6">
        <f ca="1">('TUSD BE'!$AM$56+'TUSD BF'!$AM$56+'TUSD CVA'!$AM$56-('TUSD BE'!$P$56+'TUSD BF'!$P$56+'TUSD CVA'!$P$56)-('TUSD BE'!$Q$56+'TUSD BF'!$Q$56+'TUSD CVA'!$Q$56)-('TUSD BE'!$R$56+'TUSD BF'!$R$56+'TUSD CVA'!$R$56))*(1-CUSTOS!$M$34)</f>
        <v>69.479758346682061</v>
      </c>
      <c r="AA621" s="6">
        <f>('TE BE'!$AA$20+'TE BF'!$AA$20+'TE CVA'!$AA$20)*(1-CUSTOS!$M$34)</f>
        <v>85.01698643053372</v>
      </c>
      <c r="AB621" s="6">
        <f t="shared" si="30"/>
        <v>0</v>
      </c>
      <c r="AC621" s="6">
        <f>(L621-M621)*(W621+X621)+($W$683+$X$683-$W$621-$X$621)*(L621)</f>
        <v>61.977300000000007</v>
      </c>
      <c r="AD621" s="6">
        <f t="shared" si="32"/>
        <v>0</v>
      </c>
      <c r="AE621" s="6">
        <f ca="1">(L621-M621)*(Z621+AA621)+($Z$683+$AA$683-$Z$621-$AA$621)*(L621)</f>
        <v>60.253730463114167</v>
      </c>
      <c r="AF621" s="4" t="s">
        <v>1153</v>
      </c>
    </row>
    <row r="622" spans="1:32" ht="11.25" customHeight="1" x14ac:dyDescent="0.25">
      <c r="A622" s="4" t="s">
        <v>21</v>
      </c>
      <c r="B622" s="4" t="s">
        <v>22</v>
      </c>
      <c r="C622" s="4" t="s">
        <v>23</v>
      </c>
      <c r="D622" s="4" t="s">
        <v>24</v>
      </c>
      <c r="E622" s="4" t="s">
        <v>29</v>
      </c>
      <c r="F622" s="4" t="s">
        <v>25</v>
      </c>
      <c r="G622" s="4" t="s">
        <v>25</v>
      </c>
      <c r="H622" s="4" t="s">
        <v>25</v>
      </c>
      <c r="I622" s="5">
        <v>43862</v>
      </c>
      <c r="J622" s="6">
        <v>0</v>
      </c>
      <c r="K622" s="6">
        <v>0</v>
      </c>
      <c r="L622" s="6">
        <v>276.45</v>
      </c>
      <c r="M622" s="6">
        <v>276.45</v>
      </c>
      <c r="N622" s="6">
        <v>276.45</v>
      </c>
      <c r="O622" s="6">
        <v>276.45</v>
      </c>
      <c r="P622" s="6">
        <v>502</v>
      </c>
      <c r="Q622" s="4" t="s">
        <v>26</v>
      </c>
      <c r="R622" s="4">
        <v>0</v>
      </c>
      <c r="S622" s="4">
        <v>0</v>
      </c>
      <c r="T622" s="4">
        <v>46</v>
      </c>
      <c r="U622" s="4">
        <v>89</v>
      </c>
      <c r="V622" s="6">
        <f>IF(ISERROR(VLOOKUP($S$622,'TAR FIN'!$A$1:$O$120,15,0)),0,VLOOKUP($S$622,'TAR FIN'!$A$1:$O$120,15,0))</f>
        <v>0</v>
      </c>
      <c r="W622" s="6">
        <f>IF(ISERROR(VLOOKUP($T$622,'TAR FIN'!$A$1:$O$120,15,0)),0,VLOOKUP($T$622,'TAR FIN'!$A$1:$O$120,15,0))</f>
        <v>64.09</v>
      </c>
      <c r="X622" s="6">
        <f>IF(ISERROR(VLOOKUP($U$622,'TAR FIN'!$A$1:$O$120,15,0)),0,VLOOKUP($U$622,'TAR FIN'!$A$1:$O$120,15,0))</f>
        <v>94.82</v>
      </c>
      <c r="Y622" s="6"/>
      <c r="Z622" s="6">
        <f ca="1">('TUSD BE'!$AM$56+'TUSD BF'!$AM$56+'TUSD CVA'!$AM$56-('TUSD BE'!$P$56+'TUSD BF'!$P$56+'TUSD CVA'!$P$56)-('TUSD BE'!$Q$56+'TUSD BF'!$Q$56+'TUSD CVA'!$Q$56)-('TUSD BE'!$R$56+'TUSD BF'!$R$56+'TUSD CVA'!$R$56))*(1-CUSTOS!$M$34)</f>
        <v>69.479758346682061</v>
      </c>
      <c r="AA622" s="6">
        <f>('TE BE'!$AA$20+'TE BF'!$AA$20+'TE CVA'!$AA$20)*(1-CUSTOS!$M$34)</f>
        <v>85.01698643053372</v>
      </c>
      <c r="AB622" s="6">
        <f t="shared" si="30"/>
        <v>0</v>
      </c>
      <c r="AC622" s="6">
        <f>(L622-M622)*(W622+X622)+($W$683+$X$683-$W$622-$X$622)*(L622)</f>
        <v>81588.688500000004</v>
      </c>
      <c r="AD622" s="6">
        <f t="shared" si="32"/>
        <v>0</v>
      </c>
      <c r="AE622" s="6">
        <f ca="1">(L622-M622)*(Z622+AA622)+($Z$683+$AA$683-$Z$622-$AA$622)*(L622)</f>
        <v>79319.732316799578</v>
      </c>
      <c r="AF622" s="4" t="s">
        <v>1153</v>
      </c>
    </row>
    <row r="623" spans="1:32" ht="11.25" customHeight="1" x14ac:dyDescent="0.25">
      <c r="A623" s="4" t="s">
        <v>21</v>
      </c>
      <c r="B623" s="4" t="s">
        <v>22</v>
      </c>
      <c r="C623" s="4" t="s">
        <v>23</v>
      </c>
      <c r="D623" s="4" t="s">
        <v>24</v>
      </c>
      <c r="E623" s="4" t="s">
        <v>29</v>
      </c>
      <c r="F623" s="4" t="s">
        <v>25</v>
      </c>
      <c r="G623" s="4" t="s">
        <v>25</v>
      </c>
      <c r="H623" s="4" t="s">
        <v>25</v>
      </c>
      <c r="I623" s="5">
        <v>43891</v>
      </c>
      <c r="J623" s="6">
        <v>0</v>
      </c>
      <c r="K623" s="6">
        <v>0</v>
      </c>
      <c r="L623" s="6">
        <v>256.35000000000002</v>
      </c>
      <c r="M623" s="6">
        <v>256.35000000000002</v>
      </c>
      <c r="N623" s="6">
        <v>256.35000000000002</v>
      </c>
      <c r="O623" s="6">
        <v>256.35000000000002</v>
      </c>
      <c r="P623" s="6">
        <v>411</v>
      </c>
      <c r="Q623" s="4" t="s">
        <v>26</v>
      </c>
      <c r="R623" s="4">
        <v>0</v>
      </c>
      <c r="S623" s="4">
        <v>0</v>
      </c>
      <c r="T623" s="4">
        <v>46</v>
      </c>
      <c r="U623" s="4">
        <v>89</v>
      </c>
      <c r="V623" s="6">
        <f>IF(ISERROR(VLOOKUP($S$623,'TAR FIN'!$A$1:$O$120,15,0)),0,VLOOKUP($S$623,'TAR FIN'!$A$1:$O$120,15,0))</f>
        <v>0</v>
      </c>
      <c r="W623" s="6">
        <f>IF(ISERROR(VLOOKUP($T$623,'TAR FIN'!$A$1:$O$120,15,0)),0,VLOOKUP($T$623,'TAR FIN'!$A$1:$O$120,15,0))</f>
        <v>64.09</v>
      </c>
      <c r="X623" s="6">
        <f>IF(ISERROR(VLOOKUP($U$623,'TAR FIN'!$A$1:$O$120,15,0)),0,VLOOKUP($U$623,'TAR FIN'!$A$1:$O$120,15,0))</f>
        <v>94.82</v>
      </c>
      <c r="Y623" s="6"/>
      <c r="Z623" s="6">
        <f ca="1">('TUSD BE'!$AM$56+'TUSD BF'!$AM$56+'TUSD CVA'!$AM$56-('TUSD BE'!$P$56+'TUSD BF'!$P$56+'TUSD CVA'!$P$56)-('TUSD BE'!$Q$56+'TUSD BF'!$Q$56+'TUSD CVA'!$Q$56)-('TUSD BE'!$R$56+'TUSD BF'!$R$56+'TUSD CVA'!$R$56))*(1-CUSTOS!$M$34)</f>
        <v>69.479758346682061</v>
      </c>
      <c r="AA623" s="6">
        <f>('TE BE'!$AA$20+'TE BF'!$AA$20+'TE CVA'!$AA$20)*(1-CUSTOS!$M$34)</f>
        <v>85.01698643053372</v>
      </c>
      <c r="AB623" s="6">
        <f t="shared" si="30"/>
        <v>0</v>
      </c>
      <c r="AC623" s="6">
        <f>(L623-M623)*(W623+X623)+($W$683+$X$683-$W$623-$X$623)*(L623)</f>
        <v>75656.575500000021</v>
      </c>
      <c r="AD623" s="6">
        <f t="shared" si="32"/>
        <v>0</v>
      </c>
      <c r="AE623" s="6">
        <f ca="1">(L623-M623)*(Z623+AA623)+($Z$683+$AA$683-$Z$623-$AA$623)*(L623)</f>
        <v>73552.589543901515</v>
      </c>
      <c r="AF623" s="4" t="s">
        <v>1153</v>
      </c>
    </row>
    <row r="624" spans="1:32" ht="11.25" customHeight="1" x14ac:dyDescent="0.25">
      <c r="A624" s="4" t="s">
        <v>27</v>
      </c>
      <c r="B624" s="4" t="s">
        <v>22</v>
      </c>
      <c r="C624" s="4" t="s">
        <v>23</v>
      </c>
      <c r="D624" s="4" t="s">
        <v>24</v>
      </c>
      <c r="E624" s="4" t="s">
        <v>29</v>
      </c>
      <c r="F624" s="4" t="s">
        <v>25</v>
      </c>
      <c r="G624" s="4" t="s">
        <v>25</v>
      </c>
      <c r="H624" s="4" t="s">
        <v>25</v>
      </c>
      <c r="I624" s="5">
        <v>43891</v>
      </c>
      <c r="J624" s="6">
        <v>0</v>
      </c>
      <c r="K624" s="6">
        <v>0</v>
      </c>
      <c r="L624" s="6">
        <v>0.24</v>
      </c>
      <c r="M624" s="6">
        <v>0.24</v>
      </c>
      <c r="N624" s="6">
        <v>0.24</v>
      </c>
      <c r="O624" s="6">
        <v>0.24</v>
      </c>
      <c r="P624" s="6">
        <v>0</v>
      </c>
      <c r="Q624" s="4" t="s">
        <v>26</v>
      </c>
      <c r="R624" s="4">
        <v>0</v>
      </c>
      <c r="S624" s="4">
        <v>0</v>
      </c>
      <c r="T624" s="4">
        <v>46</v>
      </c>
      <c r="U624" s="4">
        <v>89</v>
      </c>
      <c r="V624" s="6">
        <f>IF(ISERROR(VLOOKUP($S$624,'TAR FIN'!$A$1:$O$120,15,0)),0,VLOOKUP($S$624,'TAR FIN'!$A$1:$O$120,15,0))</f>
        <v>0</v>
      </c>
      <c r="W624" s="6">
        <f>IF(ISERROR(VLOOKUP($T$624,'TAR FIN'!$A$1:$O$120,15,0)),0,VLOOKUP($T$624,'TAR FIN'!$A$1:$O$120,15,0))</f>
        <v>64.09</v>
      </c>
      <c r="X624" s="6">
        <f>IF(ISERROR(VLOOKUP($U$624,'TAR FIN'!$A$1:$O$120,15,0)),0,VLOOKUP($U$624,'TAR FIN'!$A$1:$O$120,15,0))</f>
        <v>94.82</v>
      </c>
      <c r="Y624" s="6"/>
      <c r="Z624" s="6">
        <f ca="1">('TUSD BE'!$AM$56+'TUSD BF'!$AM$56+'TUSD CVA'!$AM$56-('TUSD BE'!$P$56+'TUSD BF'!$P$56+'TUSD CVA'!$P$56)-('TUSD BE'!$Q$56+'TUSD BF'!$Q$56+'TUSD CVA'!$Q$56)-('TUSD BE'!$R$56+'TUSD BF'!$R$56+'TUSD CVA'!$R$56))*(1-CUSTOS!$M$34)</f>
        <v>69.479758346682061</v>
      </c>
      <c r="AA624" s="6">
        <f>('TE BE'!$AA$20+'TE BF'!$AA$20+'TE CVA'!$AA$20)*(1-CUSTOS!$M$34)</f>
        <v>85.01698643053372</v>
      </c>
      <c r="AB624" s="6">
        <f t="shared" si="30"/>
        <v>0</v>
      </c>
      <c r="AC624" s="6">
        <f>(L624-M624)*(W624+X624)+($W$683+$X$683-$W$624-$X$624)*(L624)</f>
        <v>70.83120000000001</v>
      </c>
      <c r="AD624" s="6">
        <f t="shared" si="32"/>
        <v>0</v>
      </c>
      <c r="AE624" s="6">
        <f ca="1">(L624-M624)*(Z624+AA624)+($Z$683+$AA$683-$Z$624-$AA$624)*(L624)</f>
        <v>68.861406243559045</v>
      </c>
      <c r="AF624" s="4" t="s">
        <v>1153</v>
      </c>
    </row>
    <row r="625" spans="1:32" ht="11.25" customHeight="1" x14ac:dyDescent="0.25">
      <c r="A625" s="4" t="s">
        <v>21</v>
      </c>
      <c r="B625" s="4" t="s">
        <v>22</v>
      </c>
      <c r="C625" s="4" t="s">
        <v>23</v>
      </c>
      <c r="D625" s="4" t="s">
        <v>24</v>
      </c>
      <c r="E625" s="4" t="s">
        <v>29</v>
      </c>
      <c r="F625" s="4" t="s">
        <v>25</v>
      </c>
      <c r="G625" s="4" t="s">
        <v>25</v>
      </c>
      <c r="H625" s="4" t="s">
        <v>25</v>
      </c>
      <c r="I625" s="5">
        <v>43922</v>
      </c>
      <c r="J625" s="6">
        <v>0</v>
      </c>
      <c r="K625" s="6">
        <v>0</v>
      </c>
      <c r="L625" s="6">
        <v>251.94</v>
      </c>
      <c r="M625" s="6">
        <v>251.94</v>
      </c>
      <c r="N625" s="6">
        <v>251.94</v>
      </c>
      <c r="O625" s="6">
        <v>251.94</v>
      </c>
      <c r="P625" s="6">
        <v>324</v>
      </c>
      <c r="Q625" s="4" t="s">
        <v>26</v>
      </c>
      <c r="R625" s="4">
        <v>0</v>
      </c>
      <c r="S625" s="4">
        <v>0</v>
      </c>
      <c r="T625" s="4">
        <v>46</v>
      </c>
      <c r="U625" s="4">
        <v>89</v>
      </c>
      <c r="V625" s="6">
        <f>IF(ISERROR(VLOOKUP($S$625,'TAR FIN'!$A$1:$O$120,15,0)),0,VLOOKUP($S$625,'TAR FIN'!$A$1:$O$120,15,0))</f>
        <v>0</v>
      </c>
      <c r="W625" s="6">
        <f>IF(ISERROR(VLOOKUP($T$625,'TAR FIN'!$A$1:$O$120,15,0)),0,VLOOKUP($T$625,'TAR FIN'!$A$1:$O$120,15,0))</f>
        <v>64.09</v>
      </c>
      <c r="X625" s="6">
        <f>IF(ISERROR(VLOOKUP($U$625,'TAR FIN'!$A$1:$O$120,15,0)),0,VLOOKUP($U$625,'TAR FIN'!$A$1:$O$120,15,0))</f>
        <v>94.82</v>
      </c>
      <c r="Y625" s="6"/>
      <c r="Z625" s="6">
        <f ca="1">('TUSD BE'!$AM$56+'TUSD BF'!$AM$56+'TUSD CVA'!$AM$56-('TUSD BE'!$P$56+'TUSD BF'!$P$56+'TUSD CVA'!$P$56)-('TUSD BE'!$Q$56+'TUSD BF'!$Q$56+'TUSD CVA'!$Q$56)-('TUSD BE'!$R$56+'TUSD BF'!$R$56+'TUSD CVA'!$R$56))*(1-CUSTOS!$M$34)</f>
        <v>69.479758346682061</v>
      </c>
      <c r="AA625" s="6">
        <f>('TE BE'!$AA$20+'TE BF'!$AA$20+'TE CVA'!$AA$20)*(1-CUSTOS!$M$34)</f>
        <v>85.01698643053372</v>
      </c>
      <c r="AB625" s="6">
        <f t="shared" si="30"/>
        <v>0</v>
      </c>
      <c r="AC625" s="6">
        <f>(L625-M625)*(W625+X625)+($W$683+$X$683-$W$625-$X$625)*(L625)</f>
        <v>74355.052200000006</v>
      </c>
      <c r="AD625" s="6">
        <f t="shared" si="32"/>
        <v>0</v>
      </c>
      <c r="AE625" s="6">
        <f ca="1">(L625-M625)*(Z625+AA625)+($Z$683+$AA$683-$Z$625-$AA$625)*(L625)</f>
        <v>72287.261204176117</v>
      </c>
      <c r="AF625" s="4" t="s">
        <v>1153</v>
      </c>
    </row>
    <row r="626" spans="1:32" ht="11.25" customHeight="1" x14ac:dyDescent="0.25">
      <c r="A626" s="4" t="s">
        <v>27</v>
      </c>
      <c r="B626" s="4" t="s">
        <v>22</v>
      </c>
      <c r="C626" s="4" t="s">
        <v>23</v>
      </c>
      <c r="D626" s="4" t="s">
        <v>24</v>
      </c>
      <c r="E626" s="4" t="s">
        <v>29</v>
      </c>
      <c r="F626" s="4" t="s">
        <v>25</v>
      </c>
      <c r="G626" s="4" t="s">
        <v>25</v>
      </c>
      <c r="H626" s="4" t="s">
        <v>25</v>
      </c>
      <c r="I626" s="5">
        <v>43922</v>
      </c>
      <c r="J626" s="6">
        <v>0</v>
      </c>
      <c r="K626" s="6">
        <v>0</v>
      </c>
      <c r="L626" s="6">
        <v>0.96</v>
      </c>
      <c r="M626" s="6">
        <v>0.96</v>
      </c>
      <c r="N626" s="6">
        <v>0.96</v>
      </c>
      <c r="O626" s="6">
        <v>0.96</v>
      </c>
      <c r="P626" s="6">
        <v>0</v>
      </c>
      <c r="Q626" s="4" t="s">
        <v>26</v>
      </c>
      <c r="R626" s="4">
        <v>0</v>
      </c>
      <c r="S626" s="4">
        <v>0</v>
      </c>
      <c r="T626" s="4">
        <v>46</v>
      </c>
      <c r="U626" s="4">
        <v>89</v>
      </c>
      <c r="V626" s="6">
        <f>IF(ISERROR(VLOOKUP($S$626,'TAR FIN'!$A$1:$O$120,15,0)),0,VLOOKUP($S$626,'TAR FIN'!$A$1:$O$120,15,0))</f>
        <v>0</v>
      </c>
      <c r="W626" s="6">
        <f>IF(ISERROR(VLOOKUP($T$626,'TAR FIN'!$A$1:$O$120,15,0)),0,VLOOKUP($T$626,'TAR FIN'!$A$1:$O$120,15,0))</f>
        <v>64.09</v>
      </c>
      <c r="X626" s="6">
        <f>IF(ISERROR(VLOOKUP($U$626,'TAR FIN'!$A$1:$O$120,15,0)),0,VLOOKUP($U$626,'TAR FIN'!$A$1:$O$120,15,0))</f>
        <v>94.82</v>
      </c>
      <c r="Y626" s="6"/>
      <c r="Z626" s="6">
        <f ca="1">('TUSD BE'!$AM$56+'TUSD BF'!$AM$56+'TUSD CVA'!$AM$56-('TUSD BE'!$P$56+'TUSD BF'!$P$56+'TUSD CVA'!$P$56)-('TUSD BE'!$Q$56+'TUSD BF'!$Q$56+'TUSD CVA'!$Q$56)-('TUSD BE'!$R$56+'TUSD BF'!$R$56+'TUSD CVA'!$R$56))*(1-CUSTOS!$M$34)</f>
        <v>69.479758346682061</v>
      </c>
      <c r="AA626" s="6">
        <f>('TE BE'!$AA$20+'TE BF'!$AA$20+'TE CVA'!$AA$20)*(1-CUSTOS!$M$34)</f>
        <v>85.01698643053372</v>
      </c>
      <c r="AB626" s="6">
        <f t="shared" si="30"/>
        <v>0</v>
      </c>
      <c r="AC626" s="6">
        <f>(L626-M626)*(W626+X626)+($W$683+$X$683-$W$626-$X$626)*(L626)</f>
        <v>283.32480000000004</v>
      </c>
      <c r="AD626" s="6">
        <f t="shared" si="32"/>
        <v>0</v>
      </c>
      <c r="AE626" s="6">
        <f ca="1">(L626-M626)*(Z626+AA626)+($Z$683+$AA$683-$Z$626-$AA$626)*(L626)</f>
        <v>275.44562497423618</v>
      </c>
      <c r="AF626" s="4" t="s">
        <v>1153</v>
      </c>
    </row>
    <row r="627" spans="1:32" ht="11.25" customHeight="1" x14ac:dyDescent="0.25">
      <c r="A627" s="4" t="s">
        <v>21</v>
      </c>
      <c r="B627" s="4" t="s">
        <v>22</v>
      </c>
      <c r="C627" s="4" t="s">
        <v>23</v>
      </c>
      <c r="D627" s="4" t="s">
        <v>24</v>
      </c>
      <c r="E627" s="4" t="s">
        <v>29</v>
      </c>
      <c r="F627" s="4" t="s">
        <v>25</v>
      </c>
      <c r="G627" s="4" t="s">
        <v>25</v>
      </c>
      <c r="H627" s="4" t="s">
        <v>25</v>
      </c>
      <c r="I627" s="5">
        <v>43952</v>
      </c>
      <c r="J627" s="6">
        <v>0</v>
      </c>
      <c r="K627" s="6">
        <v>0</v>
      </c>
      <c r="L627" s="6">
        <v>298.23</v>
      </c>
      <c r="M627" s="6">
        <v>298.23</v>
      </c>
      <c r="N627" s="6">
        <v>298.23</v>
      </c>
      <c r="O627" s="6">
        <v>298.23</v>
      </c>
      <c r="P627" s="6">
        <v>356</v>
      </c>
      <c r="Q627" s="4" t="s">
        <v>26</v>
      </c>
      <c r="R627" s="4">
        <v>0</v>
      </c>
      <c r="S627" s="4">
        <v>0</v>
      </c>
      <c r="T627" s="4">
        <v>46</v>
      </c>
      <c r="U627" s="4">
        <v>89</v>
      </c>
      <c r="V627" s="6">
        <f>IF(ISERROR(VLOOKUP($S$627,'TAR FIN'!$A$1:$O$120,15,0)),0,VLOOKUP($S$627,'TAR FIN'!$A$1:$O$120,15,0))</f>
        <v>0</v>
      </c>
      <c r="W627" s="6">
        <f>IF(ISERROR(VLOOKUP($T$627,'TAR FIN'!$A$1:$O$120,15,0)),0,VLOOKUP($T$627,'TAR FIN'!$A$1:$O$120,15,0))</f>
        <v>64.09</v>
      </c>
      <c r="X627" s="6">
        <f>IF(ISERROR(VLOOKUP($U$627,'TAR FIN'!$A$1:$O$120,15,0)),0,VLOOKUP($U$627,'TAR FIN'!$A$1:$O$120,15,0))</f>
        <v>94.82</v>
      </c>
      <c r="Y627" s="6"/>
      <c r="Z627" s="6">
        <f ca="1">('TUSD BE'!$AM$56+'TUSD BF'!$AM$56+'TUSD CVA'!$AM$56-('TUSD BE'!$P$56+'TUSD BF'!$P$56+'TUSD CVA'!$P$56)-('TUSD BE'!$Q$56+'TUSD BF'!$Q$56+'TUSD CVA'!$Q$56)-('TUSD BE'!$R$56+'TUSD BF'!$R$56+'TUSD CVA'!$R$56))*(1-CUSTOS!$M$34)</f>
        <v>69.479758346682061</v>
      </c>
      <c r="AA627" s="6">
        <f>('TE BE'!$AA$20+'TE BF'!$AA$20+'TE CVA'!$AA$20)*(1-CUSTOS!$M$34)</f>
        <v>85.01698643053372</v>
      </c>
      <c r="AB627" s="6">
        <f t="shared" si="30"/>
        <v>0</v>
      </c>
      <c r="AC627" s="6">
        <f>(L627-M627)*(W627+X627)+($W$683+$X$683-$W$627-$X$627)*(L627)</f>
        <v>88016.61990000002</v>
      </c>
      <c r="AD627" s="6">
        <f t="shared" si="32"/>
        <v>0</v>
      </c>
      <c r="AE627" s="6">
        <f ca="1">(L627-M627)*(Z627+AA627)+($Z$683+$AA$683-$Z$627-$AA$627)*(L627)</f>
        <v>85568.904933402562</v>
      </c>
      <c r="AF627" s="4" t="s">
        <v>1153</v>
      </c>
    </row>
    <row r="628" spans="1:32" ht="11.25" customHeight="1" x14ac:dyDescent="0.25">
      <c r="A628" s="4" t="s">
        <v>27</v>
      </c>
      <c r="B628" s="4" t="s">
        <v>22</v>
      </c>
      <c r="C628" s="4" t="s">
        <v>23</v>
      </c>
      <c r="D628" s="4" t="s">
        <v>24</v>
      </c>
      <c r="E628" s="4" t="s">
        <v>29</v>
      </c>
      <c r="F628" s="4" t="s">
        <v>25</v>
      </c>
      <c r="G628" s="4" t="s">
        <v>25</v>
      </c>
      <c r="H628" s="4" t="s">
        <v>25</v>
      </c>
      <c r="I628" s="5">
        <v>43952</v>
      </c>
      <c r="J628" s="6">
        <v>0</v>
      </c>
      <c r="K628" s="6">
        <v>0</v>
      </c>
      <c r="L628" s="6">
        <v>2.46</v>
      </c>
      <c r="M628" s="6">
        <v>2.46</v>
      </c>
      <c r="N628" s="6">
        <v>2.46</v>
      </c>
      <c r="O628" s="6">
        <v>2.46</v>
      </c>
      <c r="P628" s="6">
        <v>0</v>
      </c>
      <c r="Q628" s="4" t="s">
        <v>26</v>
      </c>
      <c r="R628" s="4">
        <v>0</v>
      </c>
      <c r="S628" s="4">
        <v>0</v>
      </c>
      <c r="T628" s="4">
        <v>46</v>
      </c>
      <c r="U628" s="4">
        <v>89</v>
      </c>
      <c r="V628" s="6">
        <f>IF(ISERROR(VLOOKUP($S$628,'TAR FIN'!$A$1:$O$120,15,0)),0,VLOOKUP($S$628,'TAR FIN'!$A$1:$O$120,15,0))</f>
        <v>0</v>
      </c>
      <c r="W628" s="6">
        <f>IF(ISERROR(VLOOKUP($T$628,'TAR FIN'!$A$1:$O$120,15,0)),0,VLOOKUP($T$628,'TAR FIN'!$A$1:$O$120,15,0))</f>
        <v>64.09</v>
      </c>
      <c r="X628" s="6">
        <f>IF(ISERROR(VLOOKUP($U$628,'TAR FIN'!$A$1:$O$120,15,0)),0,VLOOKUP($U$628,'TAR FIN'!$A$1:$O$120,15,0))</f>
        <v>94.82</v>
      </c>
      <c r="Y628" s="6"/>
      <c r="Z628" s="6">
        <f ca="1">('TUSD BE'!$AM$56+'TUSD BF'!$AM$56+'TUSD CVA'!$AM$56-('TUSD BE'!$P$56+'TUSD BF'!$P$56+'TUSD CVA'!$P$56)-('TUSD BE'!$Q$56+'TUSD BF'!$Q$56+'TUSD CVA'!$Q$56)-('TUSD BE'!$R$56+'TUSD BF'!$R$56+'TUSD CVA'!$R$56))*(1-CUSTOS!$M$34)</f>
        <v>69.479758346682061</v>
      </c>
      <c r="AA628" s="6">
        <f>('TE BE'!$AA$20+'TE BF'!$AA$20+'TE CVA'!$AA$20)*(1-CUSTOS!$M$34)</f>
        <v>85.01698643053372</v>
      </c>
      <c r="AB628" s="6">
        <f t="shared" si="30"/>
        <v>0</v>
      </c>
      <c r="AC628" s="6">
        <f>(L628-M628)*(W628+X628)+($W$683+$X$683-$W$628-$X$628)*(L628)</f>
        <v>726.01980000000015</v>
      </c>
      <c r="AD628" s="6">
        <f t="shared" si="32"/>
        <v>0</v>
      </c>
      <c r="AE628" s="6">
        <f ca="1">(L628-M628)*(Z628+AA628)+($Z$683+$AA$683-$Z$628-$AA$628)*(L628)</f>
        <v>705.8294139964803</v>
      </c>
      <c r="AF628" s="4" t="s">
        <v>1153</v>
      </c>
    </row>
    <row r="629" spans="1:32" ht="11.25" customHeight="1" x14ac:dyDescent="0.25">
      <c r="A629" s="4" t="s">
        <v>21</v>
      </c>
      <c r="B629" s="4" t="s">
        <v>22</v>
      </c>
      <c r="C629" s="4" t="s">
        <v>23</v>
      </c>
      <c r="D629" s="4" t="s">
        <v>24</v>
      </c>
      <c r="E629" s="4" t="s">
        <v>29</v>
      </c>
      <c r="F629" s="4" t="s">
        <v>25</v>
      </c>
      <c r="G629" s="4" t="s">
        <v>25</v>
      </c>
      <c r="H629" s="4" t="s">
        <v>25</v>
      </c>
      <c r="I629" s="5">
        <v>43983</v>
      </c>
      <c r="J629" s="6">
        <v>0</v>
      </c>
      <c r="K629" s="6">
        <v>0</v>
      </c>
      <c r="L629" s="6">
        <v>324.12</v>
      </c>
      <c r="M629" s="6">
        <v>324.12</v>
      </c>
      <c r="N629" s="6">
        <v>324.12</v>
      </c>
      <c r="O629" s="6">
        <v>324.12</v>
      </c>
      <c r="P629" s="6">
        <v>347</v>
      </c>
      <c r="Q629" s="4" t="s">
        <v>26</v>
      </c>
      <c r="R629" s="4">
        <v>0</v>
      </c>
      <c r="S629" s="4">
        <v>0</v>
      </c>
      <c r="T629" s="4">
        <v>46</v>
      </c>
      <c r="U629" s="4">
        <v>89</v>
      </c>
      <c r="V629" s="6">
        <f>IF(ISERROR(VLOOKUP($S$629,'TAR FIN'!$A$1:$O$120,15,0)),0,VLOOKUP($S$629,'TAR FIN'!$A$1:$O$120,15,0))</f>
        <v>0</v>
      </c>
      <c r="W629" s="6">
        <f>IF(ISERROR(VLOOKUP($T$629,'TAR FIN'!$A$1:$O$120,15,0)),0,VLOOKUP($T$629,'TAR FIN'!$A$1:$O$120,15,0))</f>
        <v>64.09</v>
      </c>
      <c r="X629" s="6">
        <f>IF(ISERROR(VLOOKUP($U$629,'TAR FIN'!$A$1:$O$120,15,0)),0,VLOOKUP($U$629,'TAR FIN'!$A$1:$O$120,15,0))</f>
        <v>94.82</v>
      </c>
      <c r="Y629" s="6"/>
      <c r="Z629" s="6">
        <f ca="1">('TUSD BE'!$AM$56+'TUSD BF'!$AM$56+'TUSD CVA'!$AM$56-('TUSD BE'!$P$56+'TUSD BF'!$P$56+'TUSD CVA'!$P$56)-('TUSD BE'!$Q$56+'TUSD BF'!$Q$56+'TUSD CVA'!$Q$56)-('TUSD BE'!$R$56+'TUSD BF'!$R$56+'TUSD CVA'!$R$56))*(1-CUSTOS!$M$34)</f>
        <v>69.479758346682061</v>
      </c>
      <c r="AA629" s="6">
        <f>('TE BE'!$AA$20+'TE BF'!$AA$20+'TE CVA'!$AA$20)*(1-CUSTOS!$M$34)</f>
        <v>85.01698643053372</v>
      </c>
      <c r="AB629" s="6">
        <f t="shared" si="30"/>
        <v>0</v>
      </c>
      <c r="AC629" s="6">
        <f>(L629-M629)*(W629+X629)+($W$683+$X$683-$W$629-$X$629)*(L629)</f>
        <v>95657.535600000017</v>
      </c>
      <c r="AD629" s="6">
        <f t="shared" si="32"/>
        <v>0</v>
      </c>
      <c r="AE629" s="6">
        <f ca="1">(L629-M629)*(Z629+AA629)+($Z$683+$AA$683-$Z$629-$AA$629)*(L629)</f>
        <v>92997.329131926497</v>
      </c>
      <c r="AF629" s="4" t="s">
        <v>1153</v>
      </c>
    </row>
    <row r="630" spans="1:32" ht="11.25" customHeight="1" x14ac:dyDescent="0.25">
      <c r="A630" s="4" t="s">
        <v>27</v>
      </c>
      <c r="B630" s="4" t="s">
        <v>22</v>
      </c>
      <c r="C630" s="4" t="s">
        <v>23</v>
      </c>
      <c r="D630" s="4" t="s">
        <v>24</v>
      </c>
      <c r="E630" s="4" t="s">
        <v>29</v>
      </c>
      <c r="F630" s="4" t="s">
        <v>25</v>
      </c>
      <c r="G630" s="4" t="s">
        <v>25</v>
      </c>
      <c r="H630" s="4" t="s">
        <v>25</v>
      </c>
      <c r="I630" s="5">
        <v>43983</v>
      </c>
      <c r="J630" s="6">
        <v>0</v>
      </c>
      <c r="K630" s="6">
        <v>0</v>
      </c>
      <c r="L630" s="6">
        <v>0.21</v>
      </c>
      <c r="M630" s="6">
        <v>0.21</v>
      </c>
      <c r="N630" s="6">
        <v>0.21</v>
      </c>
      <c r="O630" s="6">
        <v>0.21</v>
      </c>
      <c r="P630" s="6">
        <v>0</v>
      </c>
      <c r="Q630" s="4" t="s">
        <v>26</v>
      </c>
      <c r="R630" s="4">
        <v>0</v>
      </c>
      <c r="S630" s="4">
        <v>0</v>
      </c>
      <c r="T630" s="4">
        <v>46</v>
      </c>
      <c r="U630" s="4">
        <v>89</v>
      </c>
      <c r="V630" s="6">
        <f>IF(ISERROR(VLOOKUP($S$630,'TAR FIN'!$A$1:$O$120,15,0)),0,VLOOKUP($S$630,'TAR FIN'!$A$1:$O$120,15,0))</f>
        <v>0</v>
      </c>
      <c r="W630" s="6">
        <f>IF(ISERROR(VLOOKUP($T$630,'TAR FIN'!$A$1:$O$120,15,0)),0,VLOOKUP($T$630,'TAR FIN'!$A$1:$O$120,15,0))</f>
        <v>64.09</v>
      </c>
      <c r="X630" s="6">
        <f>IF(ISERROR(VLOOKUP($U$630,'TAR FIN'!$A$1:$O$120,15,0)),0,VLOOKUP($U$630,'TAR FIN'!$A$1:$O$120,15,0))</f>
        <v>94.82</v>
      </c>
      <c r="Y630" s="6"/>
      <c r="Z630" s="6">
        <f ca="1">('TUSD BE'!$AM$56+'TUSD BF'!$AM$56+'TUSD CVA'!$AM$56-('TUSD BE'!$P$56+'TUSD BF'!$P$56+'TUSD CVA'!$P$56)-('TUSD BE'!$Q$56+'TUSD BF'!$Q$56+'TUSD CVA'!$Q$56)-('TUSD BE'!$R$56+'TUSD BF'!$R$56+'TUSD CVA'!$R$56))*(1-CUSTOS!$M$34)</f>
        <v>69.479758346682061</v>
      </c>
      <c r="AA630" s="6">
        <f>('TE BE'!$AA$20+'TE BF'!$AA$20+'TE CVA'!$AA$20)*(1-CUSTOS!$M$34)</f>
        <v>85.01698643053372</v>
      </c>
      <c r="AB630" s="6">
        <f t="shared" si="30"/>
        <v>0</v>
      </c>
      <c r="AC630" s="6">
        <f>(L630-M630)*(W630+X630)+($W$683+$X$683-$W$630-$X$630)*(L630)</f>
        <v>61.977300000000007</v>
      </c>
      <c r="AD630" s="6">
        <f t="shared" si="32"/>
        <v>0</v>
      </c>
      <c r="AE630" s="6">
        <f ca="1">(L630-M630)*(Z630+AA630)+($Z$683+$AA$683-$Z$630-$AA$630)*(L630)</f>
        <v>60.253730463114167</v>
      </c>
      <c r="AF630" s="4" t="s">
        <v>1153</v>
      </c>
    </row>
    <row r="631" spans="1:32" ht="11.25" customHeight="1" x14ac:dyDescent="0.25">
      <c r="A631" s="4" t="s">
        <v>21</v>
      </c>
      <c r="B631" s="4" t="s">
        <v>22</v>
      </c>
      <c r="C631" s="4" t="s">
        <v>23</v>
      </c>
      <c r="D631" s="4" t="s">
        <v>24</v>
      </c>
      <c r="E631" s="4" t="s">
        <v>29</v>
      </c>
      <c r="F631" s="4" t="s">
        <v>25</v>
      </c>
      <c r="G631" s="4" t="s">
        <v>25</v>
      </c>
      <c r="H631" s="4" t="s">
        <v>25</v>
      </c>
      <c r="I631" s="5">
        <v>44013</v>
      </c>
      <c r="J631" s="6">
        <v>0</v>
      </c>
      <c r="K631" s="6">
        <v>0</v>
      </c>
      <c r="L631" s="6">
        <v>336.48</v>
      </c>
      <c r="M631" s="6">
        <v>336.48</v>
      </c>
      <c r="N631" s="6">
        <v>336.48</v>
      </c>
      <c r="O631" s="6">
        <v>336.48</v>
      </c>
      <c r="P631" s="6">
        <v>335</v>
      </c>
      <c r="Q631" s="4" t="s">
        <v>26</v>
      </c>
      <c r="R631" s="4">
        <v>0</v>
      </c>
      <c r="S631" s="4">
        <v>0</v>
      </c>
      <c r="T631" s="4">
        <v>46</v>
      </c>
      <c r="U631" s="4">
        <v>89</v>
      </c>
      <c r="V631" s="6">
        <f>IF(ISERROR(VLOOKUP($S$631,'TAR FIN'!$A$1:$O$120,15,0)),0,VLOOKUP($S$631,'TAR FIN'!$A$1:$O$120,15,0))</f>
        <v>0</v>
      </c>
      <c r="W631" s="6">
        <f>IF(ISERROR(VLOOKUP($T$631,'TAR FIN'!$A$1:$O$120,15,0)),0,VLOOKUP($T$631,'TAR FIN'!$A$1:$O$120,15,0))</f>
        <v>64.09</v>
      </c>
      <c r="X631" s="6">
        <f>IF(ISERROR(VLOOKUP($U$631,'TAR FIN'!$A$1:$O$120,15,0)),0,VLOOKUP($U$631,'TAR FIN'!$A$1:$O$120,15,0))</f>
        <v>94.82</v>
      </c>
      <c r="Y631" s="6"/>
      <c r="Z631" s="6">
        <f ca="1">('TUSD BE'!$AM$56+'TUSD BF'!$AM$56+'TUSD CVA'!$AM$56-('TUSD BE'!$P$56+'TUSD BF'!$P$56+'TUSD CVA'!$P$56)-('TUSD BE'!$Q$56+'TUSD BF'!$Q$56+'TUSD CVA'!$Q$56)-('TUSD BE'!$R$56+'TUSD BF'!$R$56+'TUSD CVA'!$R$56))*(1-CUSTOS!$M$34)</f>
        <v>69.479758346682061</v>
      </c>
      <c r="AA631" s="6">
        <f>('TE BE'!$AA$20+'TE BF'!$AA$20+'TE CVA'!$AA$20)*(1-CUSTOS!$M$34)</f>
        <v>85.01698643053372</v>
      </c>
      <c r="AB631" s="6">
        <f t="shared" si="30"/>
        <v>0</v>
      </c>
      <c r="AC631" s="6">
        <f>(L631-M631)*(W631+X631)+($W$683+$X$683-$W$631-$X$631)*(L631)</f>
        <v>99305.342400000023</v>
      </c>
      <c r="AD631" s="6">
        <f t="shared" si="32"/>
        <v>0</v>
      </c>
      <c r="AE631" s="6">
        <f ca="1">(L631-M631)*(Z631+AA631)+($Z$683+$AA$683-$Z$631-$AA$631)*(L631)</f>
        <v>96543.691553469791</v>
      </c>
      <c r="AF631" s="4" t="s">
        <v>1153</v>
      </c>
    </row>
    <row r="632" spans="1:32" ht="11.25" customHeight="1" x14ac:dyDescent="0.25">
      <c r="A632" s="4" t="s">
        <v>27</v>
      </c>
      <c r="B632" s="4" t="s">
        <v>22</v>
      </c>
      <c r="C632" s="4" t="s">
        <v>23</v>
      </c>
      <c r="D632" s="4" t="s">
        <v>24</v>
      </c>
      <c r="E632" s="4" t="s">
        <v>29</v>
      </c>
      <c r="F632" s="4" t="s">
        <v>25</v>
      </c>
      <c r="G632" s="4" t="s">
        <v>25</v>
      </c>
      <c r="H632" s="4" t="s">
        <v>25</v>
      </c>
      <c r="I632" s="5">
        <v>44013</v>
      </c>
      <c r="J632" s="6">
        <v>0</v>
      </c>
      <c r="K632" s="6">
        <v>0</v>
      </c>
      <c r="L632" s="6">
        <v>0.12</v>
      </c>
      <c r="M632" s="6">
        <v>0.12</v>
      </c>
      <c r="N632" s="6">
        <v>0.12</v>
      </c>
      <c r="O632" s="6">
        <v>0.12</v>
      </c>
      <c r="P632" s="6">
        <v>0</v>
      </c>
      <c r="Q632" s="4" t="s">
        <v>26</v>
      </c>
      <c r="R632" s="4">
        <v>0</v>
      </c>
      <c r="S632" s="4">
        <v>0</v>
      </c>
      <c r="T632" s="4">
        <v>46</v>
      </c>
      <c r="U632" s="4">
        <v>89</v>
      </c>
      <c r="V632" s="6">
        <f>IF(ISERROR(VLOOKUP($S$632,'TAR FIN'!$A$1:$O$120,15,0)),0,VLOOKUP($S$632,'TAR FIN'!$A$1:$O$120,15,0))</f>
        <v>0</v>
      </c>
      <c r="W632" s="6">
        <f>IF(ISERROR(VLOOKUP($T$632,'TAR FIN'!$A$1:$O$120,15,0)),0,VLOOKUP($T$632,'TAR FIN'!$A$1:$O$120,15,0))</f>
        <v>64.09</v>
      </c>
      <c r="X632" s="6">
        <f>IF(ISERROR(VLOOKUP($U$632,'TAR FIN'!$A$1:$O$120,15,0)),0,VLOOKUP($U$632,'TAR FIN'!$A$1:$O$120,15,0))</f>
        <v>94.82</v>
      </c>
      <c r="Y632" s="6"/>
      <c r="Z632" s="6">
        <f ca="1">('TUSD BE'!$AM$56+'TUSD BF'!$AM$56+'TUSD CVA'!$AM$56-('TUSD BE'!$P$56+'TUSD BF'!$P$56+'TUSD CVA'!$P$56)-('TUSD BE'!$Q$56+'TUSD BF'!$Q$56+'TUSD CVA'!$Q$56)-('TUSD BE'!$R$56+'TUSD BF'!$R$56+'TUSD CVA'!$R$56))*(1-CUSTOS!$M$34)</f>
        <v>69.479758346682061</v>
      </c>
      <c r="AA632" s="6">
        <f>('TE BE'!$AA$20+'TE BF'!$AA$20+'TE CVA'!$AA$20)*(1-CUSTOS!$M$34)</f>
        <v>85.01698643053372</v>
      </c>
      <c r="AB632" s="6">
        <f t="shared" si="30"/>
        <v>0</v>
      </c>
      <c r="AC632" s="6">
        <f>(L632-M632)*(W632+X632)+($W$683+$X$683-$W$632-$X$632)*(L632)</f>
        <v>35.415600000000005</v>
      </c>
      <c r="AD632" s="6">
        <f t="shared" si="32"/>
        <v>0</v>
      </c>
      <c r="AE632" s="6">
        <f ca="1">(L632-M632)*(Z632+AA632)+($Z$683+$AA$683-$Z$632-$AA$632)*(L632)</f>
        <v>34.430703121779523</v>
      </c>
      <c r="AF632" s="4" t="s">
        <v>1153</v>
      </c>
    </row>
    <row r="633" spans="1:32" ht="11.25" customHeight="1" x14ac:dyDescent="0.25">
      <c r="A633" s="4" t="s">
        <v>21</v>
      </c>
      <c r="B633" s="4" t="s">
        <v>22</v>
      </c>
      <c r="C633" s="4" t="s">
        <v>23</v>
      </c>
      <c r="D633" s="4" t="s">
        <v>24</v>
      </c>
      <c r="E633" s="4" t="s">
        <v>29</v>
      </c>
      <c r="F633" s="4" t="s">
        <v>25</v>
      </c>
      <c r="G633" s="4" t="s">
        <v>25</v>
      </c>
      <c r="H633" s="4" t="s">
        <v>25</v>
      </c>
      <c r="I633" s="5">
        <v>44044</v>
      </c>
      <c r="J633" s="6">
        <v>0</v>
      </c>
      <c r="K633" s="6">
        <v>0</v>
      </c>
      <c r="L633" s="6">
        <v>342.18</v>
      </c>
      <c r="M633" s="6">
        <v>342.18</v>
      </c>
      <c r="N633" s="6">
        <v>342.18</v>
      </c>
      <c r="O633" s="6">
        <v>342.18</v>
      </c>
      <c r="P633" s="6">
        <v>318</v>
      </c>
      <c r="Q633" s="4" t="s">
        <v>26</v>
      </c>
      <c r="R633" s="4">
        <v>0</v>
      </c>
      <c r="S633" s="4">
        <v>0</v>
      </c>
      <c r="T633" s="4">
        <v>46</v>
      </c>
      <c r="U633" s="4">
        <v>89</v>
      </c>
      <c r="V633" s="6">
        <f>IF(ISERROR(VLOOKUP($S$633,'TAR FIN'!$A$1:$O$120,15,0)),0,VLOOKUP($S$633,'TAR FIN'!$A$1:$O$120,15,0))</f>
        <v>0</v>
      </c>
      <c r="W633" s="6">
        <f>IF(ISERROR(VLOOKUP($T$633,'TAR FIN'!$A$1:$O$120,15,0)),0,VLOOKUP($T$633,'TAR FIN'!$A$1:$O$120,15,0))</f>
        <v>64.09</v>
      </c>
      <c r="X633" s="6">
        <f>IF(ISERROR(VLOOKUP($U$633,'TAR FIN'!$A$1:$O$120,15,0)),0,VLOOKUP($U$633,'TAR FIN'!$A$1:$O$120,15,0))</f>
        <v>94.82</v>
      </c>
      <c r="Y633" s="6"/>
      <c r="Z633" s="6">
        <f ca="1">('TUSD BE'!$AM$56+'TUSD BF'!$AM$56+'TUSD CVA'!$AM$56-('TUSD BE'!$P$56+'TUSD BF'!$P$56+'TUSD CVA'!$P$56)-('TUSD BE'!$Q$56+'TUSD BF'!$Q$56+'TUSD CVA'!$Q$56)-('TUSD BE'!$R$56+'TUSD BF'!$R$56+'TUSD CVA'!$R$56))*(1-CUSTOS!$M$34)</f>
        <v>69.479758346682061</v>
      </c>
      <c r="AA633" s="6">
        <f>('TE BE'!$AA$20+'TE BF'!$AA$20+'TE CVA'!$AA$20)*(1-CUSTOS!$M$34)</f>
        <v>85.01698643053372</v>
      </c>
      <c r="AB633" s="6">
        <f t="shared" si="30"/>
        <v>0</v>
      </c>
      <c r="AC633" s="6">
        <f>(L633-M633)*(W633+X633)+($W$683+$X$683-$W$633-$X$633)*(L633)</f>
        <v>100987.58340000002</v>
      </c>
      <c r="AD633" s="6">
        <f t="shared" si="32"/>
        <v>0</v>
      </c>
      <c r="AE633" s="6">
        <f ca="1">(L633-M633)*(Z633+AA633)+($Z$683+$AA$683-$Z$633-$AA$633)*(L633)</f>
        <v>98179.149951754312</v>
      </c>
      <c r="AF633" s="4" t="s">
        <v>1153</v>
      </c>
    </row>
    <row r="634" spans="1:32" ht="11.25" customHeight="1" x14ac:dyDescent="0.25">
      <c r="A634" s="4" t="s">
        <v>27</v>
      </c>
      <c r="B634" s="4" t="s">
        <v>22</v>
      </c>
      <c r="C634" s="4" t="s">
        <v>23</v>
      </c>
      <c r="D634" s="4" t="s">
        <v>24</v>
      </c>
      <c r="E634" s="4" t="s">
        <v>29</v>
      </c>
      <c r="F634" s="4" t="s">
        <v>25</v>
      </c>
      <c r="G634" s="4" t="s">
        <v>25</v>
      </c>
      <c r="H634" s="4" t="s">
        <v>25</v>
      </c>
      <c r="I634" s="5">
        <v>44044</v>
      </c>
      <c r="J634" s="6">
        <v>0</v>
      </c>
      <c r="K634" s="6">
        <v>0</v>
      </c>
      <c r="L634" s="6">
        <v>0.12</v>
      </c>
      <c r="M634" s="6">
        <v>0.12</v>
      </c>
      <c r="N634" s="6">
        <v>0.12</v>
      </c>
      <c r="O634" s="6">
        <v>0.12</v>
      </c>
      <c r="P634" s="6">
        <v>1</v>
      </c>
      <c r="Q634" s="4" t="s">
        <v>26</v>
      </c>
      <c r="R634" s="4">
        <v>0</v>
      </c>
      <c r="S634" s="4">
        <v>0</v>
      </c>
      <c r="T634" s="4">
        <v>46</v>
      </c>
      <c r="U634" s="4">
        <v>89</v>
      </c>
      <c r="V634" s="6">
        <f>IF(ISERROR(VLOOKUP($S$634,'TAR FIN'!$A$1:$O$120,15,0)),0,VLOOKUP($S$634,'TAR FIN'!$A$1:$O$120,15,0))</f>
        <v>0</v>
      </c>
      <c r="W634" s="6">
        <f>IF(ISERROR(VLOOKUP($T$634,'TAR FIN'!$A$1:$O$120,15,0)),0,VLOOKUP($T$634,'TAR FIN'!$A$1:$O$120,15,0))</f>
        <v>64.09</v>
      </c>
      <c r="X634" s="6">
        <f>IF(ISERROR(VLOOKUP($U$634,'TAR FIN'!$A$1:$O$120,15,0)),0,VLOOKUP($U$634,'TAR FIN'!$A$1:$O$120,15,0))</f>
        <v>94.82</v>
      </c>
      <c r="Y634" s="6"/>
      <c r="Z634" s="6">
        <f ca="1">('TUSD BE'!$AM$56+'TUSD BF'!$AM$56+'TUSD CVA'!$AM$56-('TUSD BE'!$P$56+'TUSD BF'!$P$56+'TUSD CVA'!$P$56)-('TUSD BE'!$Q$56+'TUSD BF'!$Q$56+'TUSD CVA'!$Q$56)-('TUSD BE'!$R$56+'TUSD BF'!$R$56+'TUSD CVA'!$R$56))*(1-CUSTOS!$M$34)</f>
        <v>69.479758346682061</v>
      </c>
      <c r="AA634" s="6">
        <f>('TE BE'!$AA$20+'TE BF'!$AA$20+'TE CVA'!$AA$20)*(1-CUSTOS!$M$34)</f>
        <v>85.01698643053372</v>
      </c>
      <c r="AB634" s="6">
        <f t="shared" si="30"/>
        <v>0</v>
      </c>
      <c r="AC634" s="6">
        <f>(L634-M634)*(W634+X634)+($W$683+$X$683-$W$634-$X$634)*(L634)</f>
        <v>35.415600000000005</v>
      </c>
      <c r="AD634" s="6">
        <f t="shared" si="32"/>
        <v>0</v>
      </c>
      <c r="AE634" s="6">
        <f ca="1">(L634-M634)*(Z634+AA634)+($Z$683+$AA$683-$Z$634-$AA$634)*(L634)</f>
        <v>34.430703121779523</v>
      </c>
      <c r="AF634" s="4" t="s">
        <v>1153</v>
      </c>
    </row>
    <row r="635" spans="1:32" ht="11.25" customHeight="1" x14ac:dyDescent="0.25">
      <c r="A635" s="4" t="s">
        <v>59</v>
      </c>
      <c r="B635" s="4" t="s">
        <v>22</v>
      </c>
      <c r="C635" s="4" t="s">
        <v>23</v>
      </c>
      <c r="D635" s="4" t="s">
        <v>24</v>
      </c>
      <c r="E635" s="4" t="s">
        <v>29</v>
      </c>
      <c r="F635" s="4" t="s">
        <v>25</v>
      </c>
      <c r="G635" s="4" t="s">
        <v>25</v>
      </c>
      <c r="H635" s="4" t="s">
        <v>25</v>
      </c>
      <c r="I635" s="5">
        <v>44075</v>
      </c>
      <c r="J635" s="6">
        <v>0</v>
      </c>
      <c r="K635" s="6">
        <v>0</v>
      </c>
      <c r="L635" s="6">
        <v>342.18</v>
      </c>
      <c r="M635" s="6">
        <v>342.18</v>
      </c>
      <c r="N635" s="6">
        <v>342.18</v>
      </c>
      <c r="O635" s="6">
        <v>342.18</v>
      </c>
      <c r="P635" s="6">
        <v>318</v>
      </c>
      <c r="Q635" s="4" t="s">
        <v>26</v>
      </c>
      <c r="R635" s="4">
        <v>0</v>
      </c>
      <c r="S635" s="4">
        <v>0</v>
      </c>
      <c r="T635" s="4">
        <v>46</v>
      </c>
      <c r="U635" s="4">
        <v>89</v>
      </c>
      <c r="V635" s="6">
        <f>IF(ISERROR(VLOOKUP($S$635,'TAR FIN'!$A$1:$O$120,15,0)),0,VLOOKUP($S$635,'TAR FIN'!$A$1:$O$120,15,0))</f>
        <v>0</v>
      </c>
      <c r="W635" s="6">
        <f>IF(ISERROR(VLOOKUP($T$635,'TAR FIN'!$A$1:$O$120,15,0)),0,VLOOKUP($T$635,'TAR FIN'!$A$1:$O$120,15,0))</f>
        <v>64.09</v>
      </c>
      <c r="X635" s="6">
        <f>IF(ISERROR(VLOOKUP($U$635,'TAR FIN'!$A$1:$O$120,15,0)),0,VLOOKUP($U$635,'TAR FIN'!$A$1:$O$120,15,0))</f>
        <v>94.82</v>
      </c>
      <c r="Y635" s="6"/>
      <c r="Z635" s="6">
        <f ca="1">('TUSD BE'!$AM$56+'TUSD BF'!$AM$56+'TUSD CVA'!$AM$56-('TUSD BE'!$P$56+'TUSD BF'!$P$56+'TUSD CVA'!$P$56)-('TUSD BE'!$Q$56+'TUSD BF'!$Q$56+'TUSD CVA'!$Q$56)-('TUSD BE'!$R$56+'TUSD BF'!$R$56+'TUSD CVA'!$R$56))*(1-CUSTOS!$M$34)</f>
        <v>69.479758346682061</v>
      </c>
      <c r="AA635" s="6">
        <f>('TE BE'!$AA$20+'TE BF'!$AA$20+'TE CVA'!$AA$20)*(1-CUSTOS!$M$34)</f>
        <v>85.01698643053372</v>
      </c>
      <c r="AB635" s="6">
        <f t="shared" si="30"/>
        <v>0</v>
      </c>
      <c r="AC635" s="6">
        <f>(L635-M635)*(W635+X635)+($W$683+$X$683-$W$635-$X$635)*(L635)</f>
        <v>100987.58340000002</v>
      </c>
      <c r="AD635" s="6">
        <f t="shared" si="32"/>
        <v>0</v>
      </c>
      <c r="AE635" s="6">
        <f ca="1">(L635-M635)*(Z635+AA635)+($Z$683+$AA$683-$Z$635-$AA$635)*(L635)</f>
        <v>98179.149951754312</v>
      </c>
      <c r="AF635" s="4" t="s">
        <v>1153</v>
      </c>
    </row>
    <row r="636" spans="1:32" ht="11.25" customHeight="1" x14ac:dyDescent="0.25">
      <c r="A636" s="4" t="s">
        <v>59</v>
      </c>
      <c r="B636" s="4" t="s">
        <v>22</v>
      </c>
      <c r="C636" s="4" t="s">
        <v>23</v>
      </c>
      <c r="D636" s="4" t="s">
        <v>24</v>
      </c>
      <c r="E636" s="4" t="s">
        <v>29</v>
      </c>
      <c r="F636" s="4" t="s">
        <v>25</v>
      </c>
      <c r="G636" s="4" t="s">
        <v>25</v>
      </c>
      <c r="H636" s="4" t="s">
        <v>25</v>
      </c>
      <c r="I636" s="5">
        <v>44075</v>
      </c>
      <c r="J636" s="6">
        <v>0</v>
      </c>
      <c r="K636" s="6">
        <v>0</v>
      </c>
      <c r="L636" s="6">
        <v>0.12</v>
      </c>
      <c r="M636" s="6">
        <v>0.12</v>
      </c>
      <c r="N636" s="6">
        <v>0.12</v>
      </c>
      <c r="O636" s="6">
        <v>0.12</v>
      </c>
      <c r="P636" s="6">
        <v>1</v>
      </c>
      <c r="Q636" s="4" t="s">
        <v>26</v>
      </c>
      <c r="R636" s="4">
        <v>0</v>
      </c>
      <c r="S636" s="4">
        <v>0</v>
      </c>
      <c r="T636" s="4">
        <v>46</v>
      </c>
      <c r="U636" s="4">
        <v>89</v>
      </c>
      <c r="V636" s="6">
        <f>IF(ISERROR(VLOOKUP($S$636,'TAR FIN'!$A$1:$O$120,15,0)),0,VLOOKUP($S$636,'TAR FIN'!$A$1:$O$120,15,0))</f>
        <v>0</v>
      </c>
      <c r="W636" s="6">
        <f>IF(ISERROR(VLOOKUP($T$636,'TAR FIN'!$A$1:$O$120,15,0)),0,VLOOKUP($T$636,'TAR FIN'!$A$1:$O$120,15,0))</f>
        <v>64.09</v>
      </c>
      <c r="X636" s="6">
        <f>IF(ISERROR(VLOOKUP($U$636,'TAR FIN'!$A$1:$O$120,15,0)),0,VLOOKUP($U$636,'TAR FIN'!$A$1:$O$120,15,0))</f>
        <v>94.82</v>
      </c>
      <c r="Y636" s="6"/>
      <c r="Z636" s="6">
        <f ca="1">('TUSD BE'!$AM$56+'TUSD BF'!$AM$56+'TUSD CVA'!$AM$56-('TUSD BE'!$P$56+'TUSD BF'!$P$56+'TUSD CVA'!$P$56)-('TUSD BE'!$Q$56+'TUSD BF'!$Q$56+'TUSD CVA'!$Q$56)-('TUSD BE'!$R$56+'TUSD BF'!$R$56+'TUSD CVA'!$R$56))*(1-CUSTOS!$M$34)</f>
        <v>69.479758346682061</v>
      </c>
      <c r="AA636" s="6">
        <f>('TE BE'!$AA$20+'TE BF'!$AA$20+'TE CVA'!$AA$20)*(1-CUSTOS!$M$34)</f>
        <v>85.01698643053372</v>
      </c>
      <c r="AB636" s="6">
        <f t="shared" si="30"/>
        <v>0</v>
      </c>
      <c r="AC636" s="6">
        <f>(L636-M636)*(W636+X636)+($W$683+$X$683-$W$636-$X$636)*(L636)</f>
        <v>35.415600000000005</v>
      </c>
      <c r="AD636" s="6">
        <f t="shared" si="32"/>
        <v>0</v>
      </c>
      <c r="AE636" s="6">
        <f ca="1">(L636-M636)*(Z636+AA636)+($Z$683+$AA$683-$Z$636-$AA$636)*(L636)</f>
        <v>34.430703121779523</v>
      </c>
      <c r="AF636" s="4" t="s">
        <v>1153</v>
      </c>
    </row>
    <row r="637" spans="1:32" ht="11.25" customHeight="1" x14ac:dyDescent="0.25">
      <c r="A637" s="4" t="s">
        <v>21</v>
      </c>
      <c r="B637" s="4" t="s">
        <v>22</v>
      </c>
      <c r="C637" s="4" t="s">
        <v>23</v>
      </c>
      <c r="D637" s="4" t="s">
        <v>24</v>
      </c>
      <c r="E637" s="4" t="s">
        <v>30</v>
      </c>
      <c r="F637" s="4" t="s">
        <v>25</v>
      </c>
      <c r="G637" s="4" t="s">
        <v>25</v>
      </c>
      <c r="H637" s="4" t="s">
        <v>25</v>
      </c>
      <c r="I637" s="5">
        <v>43739</v>
      </c>
      <c r="J637" s="6">
        <v>0</v>
      </c>
      <c r="K637" s="6">
        <v>0</v>
      </c>
      <c r="L637" s="6">
        <v>543.95899999999995</v>
      </c>
      <c r="M637" s="6">
        <v>543.95899999999995</v>
      </c>
      <c r="N637" s="6">
        <v>543.95899999999995</v>
      </c>
      <c r="O637" s="6">
        <v>543.95899999999995</v>
      </c>
      <c r="P637" s="6">
        <v>1306</v>
      </c>
      <c r="Q637" s="4" t="s">
        <v>26</v>
      </c>
      <c r="R637" s="4">
        <v>0</v>
      </c>
      <c r="S637" s="4">
        <v>0</v>
      </c>
      <c r="T637" s="4">
        <v>47</v>
      </c>
      <c r="U637" s="4">
        <v>90</v>
      </c>
      <c r="V637" s="6">
        <f>IF(ISERROR(VLOOKUP($S$637,'TAR FIN'!$A$1:$O$120,15,0)),0,VLOOKUP($S$637,'TAR FIN'!$A$1:$O$120,15,0))</f>
        <v>0</v>
      </c>
      <c r="W637" s="6">
        <f>IF(ISERROR(VLOOKUP($T$637,'TAR FIN'!$A$1:$O$120,15,0)),0,VLOOKUP($T$637,'TAR FIN'!$A$1:$O$120,15,0))</f>
        <v>109.87</v>
      </c>
      <c r="X637" s="6">
        <f>IF(ISERROR(VLOOKUP($U$637,'TAR FIN'!$A$1:$O$120,15,0)),0,VLOOKUP($U$637,'TAR FIN'!$A$1:$O$120,15,0))</f>
        <v>162.55000000000001</v>
      </c>
      <c r="Y637" s="6"/>
      <c r="Z637" s="6">
        <f ca="1">('TUSD BE'!$AM$57+'TUSD BF'!$AM$57+'TUSD CVA'!$AM$57-('TUSD BE'!$P$57+'TUSD BF'!$P$57+'TUSD CVA'!$P$57)-('TUSD BE'!$Q$57+'TUSD BF'!$Q$57+'TUSD CVA'!$Q$57)-('TUSD BE'!$R$57+'TUSD BF'!$R$57+'TUSD CVA'!$R$57))*(1-CUSTOS!$M$35)</f>
        <v>119.10815716574068</v>
      </c>
      <c r="AA637" s="6">
        <f>('TE BE'!$AA$21+'TE BF'!$AA$21+'TE CVA'!$AA$21)*(1-CUSTOS!$M$35)</f>
        <v>145.74340530948638</v>
      </c>
      <c r="AB637" s="6">
        <f t="shared" si="30"/>
        <v>0</v>
      </c>
      <c r="AC637" s="6">
        <f>(L637-M637)*(W637+X637)+($W$683+$X$683-$W$637-$X$637)*(L637)</f>
        <v>98793.833579999991</v>
      </c>
      <c r="AD637" s="6">
        <f t="shared" si="32"/>
        <v>0</v>
      </c>
      <c r="AE637" s="6">
        <f ca="1">(L637-M637)*(Z637+AA637)+($Z$683+$AA$683-$Z$637-$AA$637)*(L637)</f>
        <v>96045.594048308034</v>
      </c>
      <c r="AF637" s="4" t="s">
        <v>1153</v>
      </c>
    </row>
    <row r="638" spans="1:32" ht="11.25" customHeight="1" x14ac:dyDescent="0.25">
      <c r="A638" s="4" t="s">
        <v>27</v>
      </c>
      <c r="B638" s="4" t="s">
        <v>22</v>
      </c>
      <c r="C638" s="4" t="s">
        <v>23</v>
      </c>
      <c r="D638" s="4" t="s">
        <v>24</v>
      </c>
      <c r="E638" s="4" t="s">
        <v>30</v>
      </c>
      <c r="F638" s="4" t="s">
        <v>25</v>
      </c>
      <c r="G638" s="4" t="s">
        <v>25</v>
      </c>
      <c r="H638" s="4" t="s">
        <v>25</v>
      </c>
      <c r="I638" s="5">
        <v>43739</v>
      </c>
      <c r="J638" s="6">
        <v>0</v>
      </c>
      <c r="K638" s="6">
        <v>0</v>
      </c>
      <c r="L638" s="6">
        <v>0.17</v>
      </c>
      <c r="M638" s="6">
        <v>0.17</v>
      </c>
      <c r="N638" s="6">
        <v>0.17</v>
      </c>
      <c r="O638" s="6">
        <v>0.17</v>
      </c>
      <c r="P638" s="6">
        <v>0</v>
      </c>
      <c r="Q638" s="4" t="s">
        <v>26</v>
      </c>
      <c r="R638" s="4">
        <v>0</v>
      </c>
      <c r="S638" s="4">
        <v>0</v>
      </c>
      <c r="T638" s="4">
        <v>47</v>
      </c>
      <c r="U638" s="4">
        <v>90</v>
      </c>
      <c r="V638" s="6">
        <f>IF(ISERROR(VLOOKUP($S$638,'TAR FIN'!$A$1:$O$120,15,0)),0,VLOOKUP($S$638,'TAR FIN'!$A$1:$O$120,15,0))</f>
        <v>0</v>
      </c>
      <c r="W638" s="6">
        <f>IF(ISERROR(VLOOKUP($T$638,'TAR FIN'!$A$1:$O$120,15,0)),0,VLOOKUP($T$638,'TAR FIN'!$A$1:$O$120,15,0))</f>
        <v>109.87</v>
      </c>
      <c r="X638" s="6">
        <f>IF(ISERROR(VLOOKUP($U$638,'TAR FIN'!$A$1:$O$120,15,0)),0,VLOOKUP($U$638,'TAR FIN'!$A$1:$O$120,15,0))</f>
        <v>162.55000000000001</v>
      </c>
      <c r="Y638" s="6"/>
      <c r="Z638" s="6">
        <f ca="1">('TUSD BE'!$AM$57+'TUSD BF'!$AM$57+'TUSD CVA'!$AM$57-('TUSD BE'!$P$57+'TUSD BF'!$P$57+'TUSD CVA'!$P$57)-('TUSD BE'!$Q$57+'TUSD BF'!$Q$57+'TUSD CVA'!$Q$57)-('TUSD BE'!$R$57+'TUSD BF'!$R$57+'TUSD CVA'!$R$57))*(1-CUSTOS!$M$35)</f>
        <v>119.10815716574068</v>
      </c>
      <c r="AA638" s="6">
        <f>('TE BE'!$AA$21+'TE BF'!$AA$21+'TE CVA'!$AA$21)*(1-CUSTOS!$M$35)</f>
        <v>145.74340530948638</v>
      </c>
      <c r="AB638" s="6">
        <f t="shared" si="30"/>
        <v>0</v>
      </c>
      <c r="AC638" s="6">
        <f>(L638-M638)*(W638+X638)+($W$683+$X$683-$W$638-$X$638)*(L638)</f>
        <v>30.875400000000003</v>
      </c>
      <c r="AD638" s="6">
        <f t="shared" si="32"/>
        <v>0</v>
      </c>
      <c r="AE638" s="6">
        <f ca="1">(L638-M638)*(Z638+AA638)+($Z$683+$AA$683-$Z$638-$AA$638)*(L638)</f>
        <v>30.016510413859077</v>
      </c>
      <c r="AF638" s="4" t="s">
        <v>1153</v>
      </c>
    </row>
    <row r="639" spans="1:32" ht="11.25" customHeight="1" x14ac:dyDescent="0.25">
      <c r="A639" s="4" t="s">
        <v>21</v>
      </c>
      <c r="B639" s="4" t="s">
        <v>22</v>
      </c>
      <c r="C639" s="4" t="s">
        <v>23</v>
      </c>
      <c r="D639" s="4" t="s">
        <v>24</v>
      </c>
      <c r="E639" s="4" t="s">
        <v>30</v>
      </c>
      <c r="F639" s="4" t="s">
        <v>25</v>
      </c>
      <c r="G639" s="4" t="s">
        <v>25</v>
      </c>
      <c r="H639" s="4" t="s">
        <v>25</v>
      </c>
      <c r="I639" s="5">
        <v>43770</v>
      </c>
      <c r="J639" s="6">
        <v>0</v>
      </c>
      <c r="K639" s="6">
        <v>0</v>
      </c>
      <c r="L639" s="6">
        <v>566.62099999999998</v>
      </c>
      <c r="M639" s="6">
        <v>566.62099999999998</v>
      </c>
      <c r="N639" s="6">
        <v>566.62099999999998</v>
      </c>
      <c r="O639" s="6">
        <v>566.62099999999998</v>
      </c>
      <c r="P639" s="6">
        <v>1079</v>
      </c>
      <c r="Q639" s="4" t="s">
        <v>26</v>
      </c>
      <c r="R639" s="4">
        <v>0</v>
      </c>
      <c r="S639" s="4">
        <v>0</v>
      </c>
      <c r="T639" s="4">
        <v>47</v>
      </c>
      <c r="U639" s="4">
        <v>90</v>
      </c>
      <c r="V639" s="6">
        <f>IF(ISERROR(VLOOKUP($S$639,'TAR FIN'!$A$1:$O$120,15,0)),0,VLOOKUP($S$639,'TAR FIN'!$A$1:$O$120,15,0))</f>
        <v>0</v>
      </c>
      <c r="W639" s="6">
        <f>IF(ISERROR(VLOOKUP($T$639,'TAR FIN'!$A$1:$O$120,15,0)),0,VLOOKUP($T$639,'TAR FIN'!$A$1:$O$120,15,0))</f>
        <v>109.87</v>
      </c>
      <c r="X639" s="6">
        <f>IF(ISERROR(VLOOKUP($U$639,'TAR FIN'!$A$1:$O$120,15,0)),0,VLOOKUP($U$639,'TAR FIN'!$A$1:$O$120,15,0))</f>
        <v>162.55000000000001</v>
      </c>
      <c r="Y639" s="6"/>
      <c r="Z639" s="6">
        <f ca="1">('TUSD BE'!$AM$57+'TUSD BF'!$AM$57+'TUSD CVA'!$AM$57-('TUSD BE'!$P$57+'TUSD BF'!$P$57+'TUSD CVA'!$P$57)-('TUSD BE'!$Q$57+'TUSD BF'!$Q$57+'TUSD CVA'!$Q$57)-('TUSD BE'!$R$57+'TUSD BF'!$R$57+'TUSD CVA'!$R$57))*(1-CUSTOS!$M$35)</f>
        <v>119.10815716574068</v>
      </c>
      <c r="AA639" s="6">
        <f>('TE BE'!$AA$21+'TE BF'!$AA$21+'TE CVA'!$AA$21)*(1-CUSTOS!$M$35)</f>
        <v>145.74340530948638</v>
      </c>
      <c r="AB639" s="6">
        <f t="shared" si="30"/>
        <v>0</v>
      </c>
      <c r="AC639" s="6">
        <f>(L639-M639)*(W639+X639)+($W$683+$X$683-$W$639-$X$639)*(L639)</f>
        <v>102909.70602</v>
      </c>
      <c r="AD639" s="6">
        <f t="shared" si="32"/>
        <v>0</v>
      </c>
      <c r="AE639" s="6">
        <f ca="1">(L639-M639)*(Z639+AA639)+($Z$683+$AA$683-$Z$639-$AA$639)*(L639)</f>
        <v>100046.97145418377</v>
      </c>
      <c r="AF639" s="4" t="s">
        <v>1153</v>
      </c>
    </row>
    <row r="640" spans="1:32" ht="11.25" customHeight="1" x14ac:dyDescent="0.25">
      <c r="A640" s="4" t="s">
        <v>27</v>
      </c>
      <c r="B640" s="4" t="s">
        <v>22</v>
      </c>
      <c r="C640" s="4" t="s">
        <v>23</v>
      </c>
      <c r="D640" s="4" t="s">
        <v>24</v>
      </c>
      <c r="E640" s="4" t="s">
        <v>30</v>
      </c>
      <c r="F640" s="4" t="s">
        <v>25</v>
      </c>
      <c r="G640" s="4" t="s">
        <v>25</v>
      </c>
      <c r="H640" s="4" t="s">
        <v>25</v>
      </c>
      <c r="I640" s="5">
        <v>43770</v>
      </c>
      <c r="J640" s="6">
        <v>0</v>
      </c>
      <c r="K640" s="6">
        <v>0</v>
      </c>
      <c r="L640" s="6">
        <v>0.32800000000000001</v>
      </c>
      <c r="M640" s="6">
        <v>0.32800000000000001</v>
      </c>
      <c r="N640" s="6">
        <v>0.32800000000000001</v>
      </c>
      <c r="O640" s="6">
        <v>0.32800000000000001</v>
      </c>
      <c r="P640" s="6">
        <v>1</v>
      </c>
      <c r="Q640" s="4" t="s">
        <v>26</v>
      </c>
      <c r="R640" s="4">
        <v>0</v>
      </c>
      <c r="S640" s="4">
        <v>0</v>
      </c>
      <c r="T640" s="4">
        <v>47</v>
      </c>
      <c r="U640" s="4">
        <v>90</v>
      </c>
      <c r="V640" s="6">
        <f>IF(ISERROR(VLOOKUP($S$640,'TAR FIN'!$A$1:$O$120,15,0)),0,VLOOKUP($S$640,'TAR FIN'!$A$1:$O$120,15,0))</f>
        <v>0</v>
      </c>
      <c r="W640" s="6">
        <f>IF(ISERROR(VLOOKUP($T$640,'TAR FIN'!$A$1:$O$120,15,0)),0,VLOOKUP($T$640,'TAR FIN'!$A$1:$O$120,15,0))</f>
        <v>109.87</v>
      </c>
      <c r="X640" s="6">
        <f>IF(ISERROR(VLOOKUP($U$640,'TAR FIN'!$A$1:$O$120,15,0)),0,VLOOKUP($U$640,'TAR FIN'!$A$1:$O$120,15,0))</f>
        <v>162.55000000000001</v>
      </c>
      <c r="Y640" s="6"/>
      <c r="Z640" s="6">
        <f ca="1">('TUSD BE'!$AM$57+'TUSD BF'!$AM$57+'TUSD CVA'!$AM$57-('TUSD BE'!$P$57+'TUSD BF'!$P$57+'TUSD CVA'!$P$57)-('TUSD BE'!$Q$57+'TUSD BF'!$Q$57+'TUSD CVA'!$Q$57)-('TUSD BE'!$R$57+'TUSD BF'!$R$57+'TUSD CVA'!$R$57))*(1-CUSTOS!$M$35)</f>
        <v>119.10815716574068</v>
      </c>
      <c r="AA640" s="6">
        <f>('TE BE'!$AA$21+'TE BF'!$AA$21+'TE CVA'!$AA$21)*(1-CUSTOS!$M$35)</f>
        <v>145.74340530948638</v>
      </c>
      <c r="AB640" s="6">
        <f t="shared" si="30"/>
        <v>0</v>
      </c>
      <c r="AC640" s="6">
        <f>(L640-M640)*(W640+X640)+($W$683+$X$683-$W$640-$X$640)*(L640)</f>
        <v>59.571360000000006</v>
      </c>
      <c r="AD640" s="6">
        <f t="shared" si="32"/>
        <v>0</v>
      </c>
      <c r="AE640" s="6">
        <f ca="1">(L640-M640)*(Z640+AA640)+($Z$683+$AA$683-$Z$640-$AA$640)*(L640)</f>
        <v>57.914208327916334</v>
      </c>
      <c r="AF640" s="4" t="s">
        <v>1153</v>
      </c>
    </row>
    <row r="641" spans="1:32" ht="11.25" customHeight="1" x14ac:dyDescent="0.25">
      <c r="A641" s="4" t="s">
        <v>21</v>
      </c>
      <c r="B641" s="4" t="s">
        <v>22</v>
      </c>
      <c r="C641" s="4" t="s">
        <v>23</v>
      </c>
      <c r="D641" s="4" t="s">
        <v>24</v>
      </c>
      <c r="E641" s="4" t="s">
        <v>30</v>
      </c>
      <c r="F641" s="4" t="s">
        <v>25</v>
      </c>
      <c r="G641" s="4" t="s">
        <v>25</v>
      </c>
      <c r="H641" s="4" t="s">
        <v>25</v>
      </c>
      <c r="I641" s="5">
        <v>43800</v>
      </c>
      <c r="J641" s="6">
        <v>0</v>
      </c>
      <c r="K641" s="6">
        <v>0</v>
      </c>
      <c r="L641" s="6">
        <v>561.79999999999995</v>
      </c>
      <c r="M641" s="6">
        <v>561.79999999999995</v>
      </c>
      <c r="N641" s="6">
        <v>561.79999999999995</v>
      </c>
      <c r="O641" s="6">
        <v>561.79999999999995</v>
      </c>
      <c r="P641" s="6">
        <v>1669</v>
      </c>
      <c r="Q641" s="4" t="s">
        <v>26</v>
      </c>
      <c r="R641" s="4">
        <v>0</v>
      </c>
      <c r="S641" s="4">
        <v>0</v>
      </c>
      <c r="T641" s="4">
        <v>47</v>
      </c>
      <c r="U641" s="4">
        <v>90</v>
      </c>
      <c r="V641" s="6">
        <f>IF(ISERROR(VLOOKUP($S$641,'TAR FIN'!$A$1:$O$120,15,0)),0,VLOOKUP($S$641,'TAR FIN'!$A$1:$O$120,15,0))</f>
        <v>0</v>
      </c>
      <c r="W641" s="6">
        <f>IF(ISERROR(VLOOKUP($T$641,'TAR FIN'!$A$1:$O$120,15,0)),0,VLOOKUP($T$641,'TAR FIN'!$A$1:$O$120,15,0))</f>
        <v>109.87</v>
      </c>
      <c r="X641" s="6">
        <f>IF(ISERROR(VLOOKUP($U$641,'TAR FIN'!$A$1:$O$120,15,0)),0,VLOOKUP($U$641,'TAR FIN'!$A$1:$O$120,15,0))</f>
        <v>162.55000000000001</v>
      </c>
      <c r="Y641" s="6"/>
      <c r="Z641" s="6">
        <f ca="1">('TUSD BE'!$AM$57+'TUSD BF'!$AM$57+'TUSD CVA'!$AM$57-('TUSD BE'!$P$57+'TUSD BF'!$P$57+'TUSD CVA'!$P$57)-('TUSD BE'!$Q$57+'TUSD BF'!$Q$57+'TUSD CVA'!$Q$57)-('TUSD BE'!$R$57+'TUSD BF'!$R$57+'TUSD CVA'!$R$57))*(1-CUSTOS!$M$35)</f>
        <v>119.10815716574068</v>
      </c>
      <c r="AA641" s="6">
        <f>('TE BE'!$AA$21+'TE BF'!$AA$21+'TE CVA'!$AA$21)*(1-CUSTOS!$M$35)</f>
        <v>145.74340530948638</v>
      </c>
      <c r="AB641" s="6">
        <f t="shared" si="30"/>
        <v>0</v>
      </c>
      <c r="AC641" s="6">
        <f>(L641-M641)*(W641+X641)+($W$683+$X$683-$W$641-$X$641)*(L641)</f>
        <v>102034.11599999999</v>
      </c>
      <c r="AD641" s="6">
        <f t="shared" si="32"/>
        <v>0</v>
      </c>
      <c r="AE641" s="6">
        <f ca="1">(L641-M641)*(Z641+AA641)+($Z$683+$AA$683-$Z$641-$AA$641)*(L641)</f>
        <v>99195.738532388394</v>
      </c>
      <c r="AF641" s="4" t="s">
        <v>1153</v>
      </c>
    </row>
    <row r="642" spans="1:32" ht="11.25" customHeight="1" x14ac:dyDescent="0.25">
      <c r="A642" s="4" t="s">
        <v>27</v>
      </c>
      <c r="B642" s="4" t="s">
        <v>22</v>
      </c>
      <c r="C642" s="4" t="s">
        <v>23</v>
      </c>
      <c r="D642" s="4" t="s">
        <v>24</v>
      </c>
      <c r="E642" s="4" t="s">
        <v>30</v>
      </c>
      <c r="F642" s="4" t="s">
        <v>25</v>
      </c>
      <c r="G642" s="4" t="s">
        <v>25</v>
      </c>
      <c r="H642" s="4" t="s">
        <v>25</v>
      </c>
      <c r="I642" s="5">
        <v>43800</v>
      </c>
      <c r="J642" s="6">
        <v>0</v>
      </c>
      <c r="K642" s="6">
        <v>0</v>
      </c>
      <c r="L642" s="6">
        <v>0.14000000000000001</v>
      </c>
      <c r="M642" s="6">
        <v>0.14000000000000001</v>
      </c>
      <c r="N642" s="6">
        <v>0.14000000000000001</v>
      </c>
      <c r="O642" s="6">
        <v>0.14000000000000001</v>
      </c>
      <c r="P642" s="6">
        <v>0</v>
      </c>
      <c r="Q642" s="4" t="s">
        <v>26</v>
      </c>
      <c r="R642" s="4">
        <v>0</v>
      </c>
      <c r="S642" s="4">
        <v>0</v>
      </c>
      <c r="T642" s="4">
        <v>47</v>
      </c>
      <c r="U642" s="4">
        <v>90</v>
      </c>
      <c r="V642" s="6">
        <f>IF(ISERROR(VLOOKUP($S$642,'TAR FIN'!$A$1:$O$120,15,0)),0,VLOOKUP($S$642,'TAR FIN'!$A$1:$O$120,15,0))</f>
        <v>0</v>
      </c>
      <c r="W642" s="6">
        <f>IF(ISERROR(VLOOKUP($T$642,'TAR FIN'!$A$1:$O$120,15,0)),0,VLOOKUP($T$642,'TAR FIN'!$A$1:$O$120,15,0))</f>
        <v>109.87</v>
      </c>
      <c r="X642" s="6">
        <f>IF(ISERROR(VLOOKUP($U$642,'TAR FIN'!$A$1:$O$120,15,0)),0,VLOOKUP($U$642,'TAR FIN'!$A$1:$O$120,15,0))</f>
        <v>162.55000000000001</v>
      </c>
      <c r="Y642" s="6"/>
      <c r="Z642" s="6">
        <f ca="1">('TUSD BE'!$AM$57+'TUSD BF'!$AM$57+'TUSD CVA'!$AM$57-('TUSD BE'!$P$57+'TUSD BF'!$P$57+'TUSD CVA'!$P$57)-('TUSD BE'!$Q$57+'TUSD BF'!$Q$57+'TUSD CVA'!$Q$57)-('TUSD BE'!$R$57+'TUSD BF'!$R$57+'TUSD CVA'!$R$57))*(1-CUSTOS!$M$35)</f>
        <v>119.10815716574068</v>
      </c>
      <c r="AA642" s="6">
        <f>('TE BE'!$AA$21+'TE BF'!$AA$21+'TE CVA'!$AA$21)*(1-CUSTOS!$M$35)</f>
        <v>145.74340530948638</v>
      </c>
      <c r="AB642" s="6">
        <f t="shared" ref="AB642:AB705" si="34">(J642-K642)*V642</f>
        <v>0</v>
      </c>
      <c r="AC642" s="6">
        <f>(L642-M642)*(W642+X642)+($W$683+$X$683-$W$642-$X$642)*(L642)</f>
        <v>25.426800000000004</v>
      </c>
      <c r="AD642" s="6">
        <f t="shared" ref="AD642:AD705" si="35">(J642-K642)*Y642</f>
        <v>0</v>
      </c>
      <c r="AE642" s="6">
        <f ca="1">(L642-M642)*(Z642+AA642)+($Z$683+$AA$683-$Z$642-$AA$642)*(L642)</f>
        <v>24.719479164354535</v>
      </c>
      <c r="AF642" s="4" t="s">
        <v>1153</v>
      </c>
    </row>
    <row r="643" spans="1:32" ht="11.25" customHeight="1" x14ac:dyDescent="0.25">
      <c r="A643" s="4" t="s">
        <v>21</v>
      </c>
      <c r="B643" s="4" t="s">
        <v>22</v>
      </c>
      <c r="C643" s="4" t="s">
        <v>23</v>
      </c>
      <c r="D643" s="4" t="s">
        <v>24</v>
      </c>
      <c r="E643" s="4" t="s">
        <v>30</v>
      </c>
      <c r="F643" s="4" t="s">
        <v>25</v>
      </c>
      <c r="G643" s="4" t="s">
        <v>25</v>
      </c>
      <c r="H643" s="4" t="s">
        <v>25</v>
      </c>
      <c r="I643" s="5">
        <v>43831</v>
      </c>
      <c r="J643" s="6">
        <v>0</v>
      </c>
      <c r="K643" s="6">
        <v>0</v>
      </c>
      <c r="L643" s="6">
        <v>571.98199999999997</v>
      </c>
      <c r="M643" s="6">
        <v>571.98199999999997</v>
      </c>
      <c r="N643" s="6">
        <v>571.98199999999997</v>
      </c>
      <c r="O643" s="6">
        <v>571.98199999999997</v>
      </c>
      <c r="P643" s="6">
        <v>1397</v>
      </c>
      <c r="Q643" s="4" t="s">
        <v>26</v>
      </c>
      <c r="R643" s="4">
        <v>0</v>
      </c>
      <c r="S643" s="4">
        <v>0</v>
      </c>
      <c r="T643" s="4">
        <v>47</v>
      </c>
      <c r="U643" s="4">
        <v>90</v>
      </c>
      <c r="V643" s="6">
        <f>IF(ISERROR(VLOOKUP($S$643,'TAR FIN'!$A$1:$O$120,15,0)),0,VLOOKUP($S$643,'TAR FIN'!$A$1:$O$120,15,0))</f>
        <v>0</v>
      </c>
      <c r="W643" s="6">
        <f>IF(ISERROR(VLOOKUP($T$643,'TAR FIN'!$A$1:$O$120,15,0)),0,VLOOKUP($T$643,'TAR FIN'!$A$1:$O$120,15,0))</f>
        <v>109.87</v>
      </c>
      <c r="X643" s="6">
        <f>IF(ISERROR(VLOOKUP($U$643,'TAR FIN'!$A$1:$O$120,15,0)),0,VLOOKUP($U$643,'TAR FIN'!$A$1:$O$120,15,0))</f>
        <v>162.55000000000001</v>
      </c>
      <c r="Y643" s="6"/>
      <c r="Z643" s="6">
        <f ca="1">('TUSD BE'!$AM$57+'TUSD BF'!$AM$57+'TUSD CVA'!$AM$57-('TUSD BE'!$P$57+'TUSD BF'!$P$57+'TUSD CVA'!$P$57)-('TUSD BE'!$Q$57+'TUSD BF'!$Q$57+'TUSD CVA'!$Q$57)-('TUSD BE'!$R$57+'TUSD BF'!$R$57+'TUSD CVA'!$R$57))*(1-CUSTOS!$M$35)</f>
        <v>119.10815716574068</v>
      </c>
      <c r="AA643" s="6">
        <f>('TE BE'!$AA$21+'TE BF'!$AA$21+'TE CVA'!$AA$21)*(1-CUSTOS!$M$35)</f>
        <v>145.74340530948638</v>
      </c>
      <c r="AB643" s="6">
        <f t="shared" si="34"/>
        <v>0</v>
      </c>
      <c r="AC643" s="6">
        <f>(L643-M643)*(W643+X643)+($W$683+$X$683-$W$643-$X$643)*(L643)</f>
        <v>103883.37084</v>
      </c>
      <c r="AD643" s="6">
        <f t="shared" si="35"/>
        <v>0</v>
      </c>
      <c r="AE643" s="6">
        <f ca="1">(L643-M643)*(Z643+AA643)+($Z$683+$AA$683-$Z$643-$AA$643)*(L643)</f>
        <v>100993.55093847023</v>
      </c>
      <c r="AF643" s="4" t="s">
        <v>1153</v>
      </c>
    </row>
    <row r="644" spans="1:32" ht="11.25" customHeight="1" x14ac:dyDescent="0.25">
      <c r="A644" s="4" t="s">
        <v>27</v>
      </c>
      <c r="B644" s="4" t="s">
        <v>22</v>
      </c>
      <c r="C644" s="4" t="s">
        <v>23</v>
      </c>
      <c r="D644" s="4" t="s">
        <v>24</v>
      </c>
      <c r="E644" s="4" t="s">
        <v>30</v>
      </c>
      <c r="F644" s="4" t="s">
        <v>25</v>
      </c>
      <c r="G644" s="4" t="s">
        <v>25</v>
      </c>
      <c r="H644" s="4" t="s">
        <v>25</v>
      </c>
      <c r="I644" s="5">
        <v>43831</v>
      </c>
      <c r="J644" s="6">
        <v>0</v>
      </c>
      <c r="K644" s="6">
        <v>0</v>
      </c>
      <c r="L644" s="6">
        <v>0.35499999999999998</v>
      </c>
      <c r="M644" s="6">
        <v>0.35499999999999998</v>
      </c>
      <c r="N644" s="6">
        <v>0.35499999999999998</v>
      </c>
      <c r="O644" s="6">
        <v>0.35499999999999998</v>
      </c>
      <c r="P644" s="6">
        <v>0</v>
      </c>
      <c r="Q644" s="4" t="s">
        <v>26</v>
      </c>
      <c r="R644" s="4">
        <v>0</v>
      </c>
      <c r="S644" s="4">
        <v>0</v>
      </c>
      <c r="T644" s="4">
        <v>47</v>
      </c>
      <c r="U644" s="4">
        <v>90</v>
      </c>
      <c r="V644" s="6">
        <f>IF(ISERROR(VLOOKUP($S$644,'TAR FIN'!$A$1:$O$120,15,0)),0,VLOOKUP($S$644,'TAR FIN'!$A$1:$O$120,15,0))</f>
        <v>0</v>
      </c>
      <c r="W644" s="6">
        <f>IF(ISERROR(VLOOKUP($T$644,'TAR FIN'!$A$1:$O$120,15,0)),0,VLOOKUP($T$644,'TAR FIN'!$A$1:$O$120,15,0))</f>
        <v>109.87</v>
      </c>
      <c r="X644" s="6">
        <f>IF(ISERROR(VLOOKUP($U$644,'TAR FIN'!$A$1:$O$120,15,0)),0,VLOOKUP($U$644,'TAR FIN'!$A$1:$O$120,15,0))</f>
        <v>162.55000000000001</v>
      </c>
      <c r="Y644" s="6"/>
      <c r="Z644" s="6">
        <f ca="1">('TUSD BE'!$AM$57+'TUSD BF'!$AM$57+'TUSD CVA'!$AM$57-('TUSD BE'!$P$57+'TUSD BF'!$P$57+'TUSD CVA'!$P$57)-('TUSD BE'!$Q$57+'TUSD BF'!$Q$57+'TUSD CVA'!$Q$57)-('TUSD BE'!$R$57+'TUSD BF'!$R$57+'TUSD CVA'!$R$57))*(1-CUSTOS!$M$35)</f>
        <v>119.10815716574068</v>
      </c>
      <c r="AA644" s="6">
        <f>('TE BE'!$AA$21+'TE BF'!$AA$21+'TE CVA'!$AA$21)*(1-CUSTOS!$M$35)</f>
        <v>145.74340530948638</v>
      </c>
      <c r="AB644" s="6">
        <f t="shared" si="34"/>
        <v>0</v>
      </c>
      <c r="AC644" s="6">
        <f>(L644-M644)*(W644+X644)+($W$683+$X$683-$W$644-$X$644)*(L644)</f>
        <v>64.475099999999998</v>
      </c>
      <c r="AD644" s="6">
        <f t="shared" si="35"/>
        <v>0</v>
      </c>
      <c r="AE644" s="6">
        <f ca="1">(L644-M644)*(Z644+AA644)+($Z$683+$AA$683-$Z$644-$AA$644)*(L644)</f>
        <v>62.681536452470418</v>
      </c>
      <c r="AF644" s="4" t="s">
        <v>1153</v>
      </c>
    </row>
    <row r="645" spans="1:32" ht="11.25" customHeight="1" x14ac:dyDescent="0.25">
      <c r="A645" s="4" t="s">
        <v>21</v>
      </c>
      <c r="B645" s="4" t="s">
        <v>22</v>
      </c>
      <c r="C645" s="4" t="s">
        <v>23</v>
      </c>
      <c r="D645" s="4" t="s">
        <v>24</v>
      </c>
      <c r="E645" s="4" t="s">
        <v>30</v>
      </c>
      <c r="F645" s="4" t="s">
        <v>25</v>
      </c>
      <c r="G645" s="4" t="s">
        <v>25</v>
      </c>
      <c r="H645" s="4" t="s">
        <v>25</v>
      </c>
      <c r="I645" s="5">
        <v>43862</v>
      </c>
      <c r="J645" s="6">
        <v>0</v>
      </c>
      <c r="K645" s="6">
        <v>0</v>
      </c>
      <c r="L645" s="6">
        <v>564.67499999999995</v>
      </c>
      <c r="M645" s="6">
        <v>564.67499999999995</v>
      </c>
      <c r="N645" s="6">
        <v>564.67499999999995</v>
      </c>
      <c r="O645" s="6">
        <v>564.67499999999995</v>
      </c>
      <c r="P645" s="6">
        <v>1744</v>
      </c>
      <c r="Q645" s="4" t="s">
        <v>26</v>
      </c>
      <c r="R645" s="4">
        <v>0</v>
      </c>
      <c r="S645" s="4">
        <v>0</v>
      </c>
      <c r="T645" s="4">
        <v>47</v>
      </c>
      <c r="U645" s="4">
        <v>90</v>
      </c>
      <c r="V645" s="6">
        <f>IF(ISERROR(VLOOKUP($S$645,'TAR FIN'!$A$1:$O$120,15,0)),0,VLOOKUP($S$645,'TAR FIN'!$A$1:$O$120,15,0))</f>
        <v>0</v>
      </c>
      <c r="W645" s="6">
        <f>IF(ISERROR(VLOOKUP($T$645,'TAR FIN'!$A$1:$O$120,15,0)),0,VLOOKUP($T$645,'TAR FIN'!$A$1:$O$120,15,0))</f>
        <v>109.87</v>
      </c>
      <c r="X645" s="6">
        <f>IF(ISERROR(VLOOKUP($U$645,'TAR FIN'!$A$1:$O$120,15,0)),0,VLOOKUP($U$645,'TAR FIN'!$A$1:$O$120,15,0))</f>
        <v>162.55000000000001</v>
      </c>
      <c r="Y645" s="6"/>
      <c r="Z645" s="6">
        <f ca="1">('TUSD BE'!$AM$57+'TUSD BF'!$AM$57+'TUSD CVA'!$AM$57-('TUSD BE'!$P$57+'TUSD BF'!$P$57+'TUSD CVA'!$P$57)-('TUSD BE'!$Q$57+'TUSD BF'!$Q$57+'TUSD CVA'!$Q$57)-('TUSD BE'!$R$57+'TUSD BF'!$R$57+'TUSD CVA'!$R$57))*(1-CUSTOS!$M$35)</f>
        <v>119.10815716574068</v>
      </c>
      <c r="AA645" s="6">
        <f>('TE BE'!$AA$21+'TE BF'!$AA$21+'TE CVA'!$AA$21)*(1-CUSTOS!$M$35)</f>
        <v>145.74340530948638</v>
      </c>
      <c r="AB645" s="6">
        <f t="shared" si="34"/>
        <v>0</v>
      </c>
      <c r="AC645" s="6">
        <f>(L645-M645)*(W645+X645)+($W$683+$X$683-$W$645-$X$645)*(L645)</f>
        <v>102556.2735</v>
      </c>
      <c r="AD645" s="6">
        <f t="shared" si="35"/>
        <v>0</v>
      </c>
      <c r="AE645" s="6">
        <f ca="1">(L645-M645)*(Z645+AA645)+($Z$683+$AA$683-$Z$645-$AA$645)*(L645)</f>
        <v>99703.370693799239</v>
      </c>
      <c r="AF645" s="4" t="s">
        <v>1153</v>
      </c>
    </row>
    <row r="646" spans="1:32" ht="11.25" customHeight="1" x14ac:dyDescent="0.25">
      <c r="A646" s="4" t="s">
        <v>21</v>
      </c>
      <c r="B646" s="4" t="s">
        <v>22</v>
      </c>
      <c r="C646" s="4" t="s">
        <v>23</v>
      </c>
      <c r="D646" s="4" t="s">
        <v>24</v>
      </c>
      <c r="E646" s="4" t="s">
        <v>30</v>
      </c>
      <c r="F646" s="4" t="s">
        <v>25</v>
      </c>
      <c r="G646" s="4" t="s">
        <v>25</v>
      </c>
      <c r="H646" s="4" t="s">
        <v>25</v>
      </c>
      <c r="I646" s="5">
        <v>43891</v>
      </c>
      <c r="J646" s="6">
        <v>0</v>
      </c>
      <c r="K646" s="6">
        <v>0</v>
      </c>
      <c r="L646" s="6">
        <v>532.59799999999996</v>
      </c>
      <c r="M646" s="6">
        <v>532.59799999999996</v>
      </c>
      <c r="N646" s="6">
        <v>532.59799999999996</v>
      </c>
      <c r="O646" s="6">
        <v>532.59799999999996</v>
      </c>
      <c r="P646" s="6">
        <v>1472</v>
      </c>
      <c r="Q646" s="4" t="s">
        <v>26</v>
      </c>
      <c r="R646" s="4">
        <v>0</v>
      </c>
      <c r="S646" s="4">
        <v>0</v>
      </c>
      <c r="T646" s="4">
        <v>47</v>
      </c>
      <c r="U646" s="4">
        <v>90</v>
      </c>
      <c r="V646" s="6">
        <f>IF(ISERROR(VLOOKUP($S$646,'TAR FIN'!$A$1:$O$120,15,0)),0,VLOOKUP($S$646,'TAR FIN'!$A$1:$O$120,15,0))</f>
        <v>0</v>
      </c>
      <c r="W646" s="6">
        <f>IF(ISERROR(VLOOKUP($T$646,'TAR FIN'!$A$1:$O$120,15,0)),0,VLOOKUP($T$646,'TAR FIN'!$A$1:$O$120,15,0))</f>
        <v>109.87</v>
      </c>
      <c r="X646" s="6">
        <f>IF(ISERROR(VLOOKUP($U$646,'TAR FIN'!$A$1:$O$120,15,0)),0,VLOOKUP($U$646,'TAR FIN'!$A$1:$O$120,15,0))</f>
        <v>162.55000000000001</v>
      </c>
      <c r="Y646" s="6"/>
      <c r="Z646" s="6">
        <f ca="1">('TUSD BE'!$AM$57+'TUSD BF'!$AM$57+'TUSD CVA'!$AM$57-('TUSD BE'!$P$57+'TUSD BF'!$P$57+'TUSD CVA'!$P$57)-('TUSD BE'!$Q$57+'TUSD BF'!$Q$57+'TUSD CVA'!$Q$57)-('TUSD BE'!$R$57+'TUSD BF'!$R$57+'TUSD CVA'!$R$57))*(1-CUSTOS!$M$35)</f>
        <v>119.10815716574068</v>
      </c>
      <c r="AA646" s="6">
        <f>('TE BE'!$AA$21+'TE BF'!$AA$21+'TE CVA'!$AA$21)*(1-CUSTOS!$M$35)</f>
        <v>145.74340530948638</v>
      </c>
      <c r="AB646" s="6">
        <f t="shared" si="34"/>
        <v>0</v>
      </c>
      <c r="AC646" s="6">
        <f>(L646-M646)*(W646+X646)+($W$683+$X$683-$W$646-$X$646)*(L646)</f>
        <v>96730.448759999999</v>
      </c>
      <c r="AD646" s="6">
        <f t="shared" si="35"/>
        <v>0</v>
      </c>
      <c r="AE646" s="6">
        <f ca="1">(L646-M646)*(Z646+AA646)+($Z$683+$AA$683-$Z$646-$AA$646)*(L646)</f>
        <v>94039.608314120676</v>
      </c>
      <c r="AF646" s="4" t="s">
        <v>1153</v>
      </c>
    </row>
    <row r="647" spans="1:32" ht="11.25" customHeight="1" x14ac:dyDescent="0.25">
      <c r="A647" s="4" t="s">
        <v>27</v>
      </c>
      <c r="B647" s="4" t="s">
        <v>22</v>
      </c>
      <c r="C647" s="4" t="s">
        <v>23</v>
      </c>
      <c r="D647" s="4" t="s">
        <v>24</v>
      </c>
      <c r="E647" s="4" t="s">
        <v>30</v>
      </c>
      <c r="F647" s="4" t="s">
        <v>25</v>
      </c>
      <c r="G647" s="4" t="s">
        <v>25</v>
      </c>
      <c r="H647" s="4" t="s">
        <v>25</v>
      </c>
      <c r="I647" s="5">
        <v>43891</v>
      </c>
      <c r="J647" s="6">
        <v>0</v>
      </c>
      <c r="K647" s="6">
        <v>0</v>
      </c>
      <c r="L647" s="6">
        <v>0.48399999999999999</v>
      </c>
      <c r="M647" s="6">
        <v>0.48399999999999999</v>
      </c>
      <c r="N647" s="6">
        <v>0.48399999999999999</v>
      </c>
      <c r="O647" s="6">
        <v>0.48399999999999999</v>
      </c>
      <c r="P647" s="6">
        <v>1</v>
      </c>
      <c r="Q647" s="4" t="s">
        <v>26</v>
      </c>
      <c r="R647" s="4">
        <v>0</v>
      </c>
      <c r="S647" s="4">
        <v>0</v>
      </c>
      <c r="T647" s="4">
        <v>47</v>
      </c>
      <c r="U647" s="4">
        <v>90</v>
      </c>
      <c r="V647" s="6">
        <f>IF(ISERROR(VLOOKUP($S$647,'TAR FIN'!$A$1:$O$120,15,0)),0,VLOOKUP($S$647,'TAR FIN'!$A$1:$O$120,15,0))</f>
        <v>0</v>
      </c>
      <c r="W647" s="6">
        <f>IF(ISERROR(VLOOKUP($T$647,'TAR FIN'!$A$1:$O$120,15,0)),0,VLOOKUP($T$647,'TAR FIN'!$A$1:$O$120,15,0))</f>
        <v>109.87</v>
      </c>
      <c r="X647" s="6">
        <f>IF(ISERROR(VLOOKUP($U$647,'TAR FIN'!$A$1:$O$120,15,0)),0,VLOOKUP($U$647,'TAR FIN'!$A$1:$O$120,15,0))</f>
        <v>162.55000000000001</v>
      </c>
      <c r="Y647" s="6"/>
      <c r="Z647" s="6">
        <f ca="1">('TUSD BE'!$AM$57+'TUSD BF'!$AM$57+'TUSD CVA'!$AM$57-('TUSD BE'!$P$57+'TUSD BF'!$P$57+'TUSD CVA'!$P$57)-('TUSD BE'!$Q$57+'TUSD BF'!$Q$57+'TUSD CVA'!$Q$57)-('TUSD BE'!$R$57+'TUSD BF'!$R$57+'TUSD CVA'!$R$57))*(1-CUSTOS!$M$35)</f>
        <v>119.10815716574068</v>
      </c>
      <c r="AA647" s="6">
        <f>('TE BE'!$AA$21+'TE BF'!$AA$21+'TE CVA'!$AA$21)*(1-CUSTOS!$M$35)</f>
        <v>145.74340530948638</v>
      </c>
      <c r="AB647" s="6">
        <f t="shared" si="34"/>
        <v>0</v>
      </c>
      <c r="AC647" s="6">
        <f>(L647-M647)*(W647+X647)+($W$683+$X$683-$W$647-$X$647)*(L647)</f>
        <v>87.904079999999993</v>
      </c>
      <c r="AD647" s="6">
        <f t="shared" si="35"/>
        <v>0</v>
      </c>
      <c r="AE647" s="6">
        <f ca="1">(L647-M647)*(Z647+AA647)+($Z$683+$AA$683-$Z$647-$AA$647)*(L647)</f>
        <v>85.458770825339954</v>
      </c>
      <c r="AF647" s="4" t="s">
        <v>1153</v>
      </c>
    </row>
    <row r="648" spans="1:32" ht="11.25" customHeight="1" x14ac:dyDescent="0.25">
      <c r="A648" s="4" t="s">
        <v>21</v>
      </c>
      <c r="B648" s="4" t="s">
        <v>22</v>
      </c>
      <c r="C648" s="4" t="s">
        <v>23</v>
      </c>
      <c r="D648" s="4" t="s">
        <v>24</v>
      </c>
      <c r="E648" s="4" t="s">
        <v>30</v>
      </c>
      <c r="F648" s="4" t="s">
        <v>25</v>
      </c>
      <c r="G648" s="4" t="s">
        <v>25</v>
      </c>
      <c r="H648" s="4" t="s">
        <v>25</v>
      </c>
      <c r="I648" s="5">
        <v>43922</v>
      </c>
      <c r="J648" s="6">
        <v>0</v>
      </c>
      <c r="K648" s="6">
        <v>0</v>
      </c>
      <c r="L648" s="6">
        <v>536.19799999999998</v>
      </c>
      <c r="M648" s="6">
        <v>536.19799999999998</v>
      </c>
      <c r="N648" s="6">
        <v>536.19799999999998</v>
      </c>
      <c r="O648" s="6">
        <v>536.19799999999998</v>
      </c>
      <c r="P648" s="6">
        <v>1169</v>
      </c>
      <c r="Q648" s="4" t="s">
        <v>26</v>
      </c>
      <c r="R648" s="4">
        <v>0</v>
      </c>
      <c r="S648" s="4">
        <v>0</v>
      </c>
      <c r="T648" s="4">
        <v>47</v>
      </c>
      <c r="U648" s="4">
        <v>90</v>
      </c>
      <c r="V648" s="6">
        <f>IF(ISERROR(VLOOKUP($S$648,'TAR FIN'!$A$1:$O$120,15,0)),0,VLOOKUP($S$648,'TAR FIN'!$A$1:$O$120,15,0))</f>
        <v>0</v>
      </c>
      <c r="W648" s="6">
        <f>IF(ISERROR(VLOOKUP($T$648,'TAR FIN'!$A$1:$O$120,15,0)),0,VLOOKUP($T$648,'TAR FIN'!$A$1:$O$120,15,0))</f>
        <v>109.87</v>
      </c>
      <c r="X648" s="6">
        <f>IF(ISERROR(VLOOKUP($U$648,'TAR FIN'!$A$1:$O$120,15,0)),0,VLOOKUP($U$648,'TAR FIN'!$A$1:$O$120,15,0))</f>
        <v>162.55000000000001</v>
      </c>
      <c r="Y648" s="6"/>
      <c r="Z648" s="6">
        <f ca="1">('TUSD BE'!$AM$57+'TUSD BF'!$AM$57+'TUSD CVA'!$AM$57-('TUSD BE'!$P$57+'TUSD BF'!$P$57+'TUSD CVA'!$P$57)-('TUSD BE'!$Q$57+'TUSD BF'!$Q$57+'TUSD CVA'!$Q$57)-('TUSD BE'!$R$57+'TUSD BF'!$R$57+'TUSD CVA'!$R$57))*(1-CUSTOS!$M$35)</f>
        <v>119.10815716574068</v>
      </c>
      <c r="AA648" s="6">
        <f>('TE BE'!$AA$21+'TE BF'!$AA$21+'TE CVA'!$AA$21)*(1-CUSTOS!$M$35)</f>
        <v>145.74340530948638</v>
      </c>
      <c r="AB648" s="6">
        <f t="shared" si="34"/>
        <v>0</v>
      </c>
      <c r="AC648" s="6">
        <f>(L648-M648)*(W648+X648)+($W$683+$X$683-$W$648-$X$648)*(L648)</f>
        <v>97384.280759999994</v>
      </c>
      <c r="AD648" s="6">
        <f t="shared" si="35"/>
        <v>0</v>
      </c>
      <c r="AE648" s="6">
        <f ca="1">(L648-M648)*(Z648+AA648)+($Z$683+$AA$683-$Z$648-$AA$648)*(L648)</f>
        <v>94675.25206406122</v>
      </c>
      <c r="AF648" s="4" t="s">
        <v>1153</v>
      </c>
    </row>
    <row r="649" spans="1:32" ht="11.25" customHeight="1" x14ac:dyDescent="0.25">
      <c r="A649" s="4" t="s">
        <v>27</v>
      </c>
      <c r="B649" s="4" t="s">
        <v>22</v>
      </c>
      <c r="C649" s="4" t="s">
        <v>23</v>
      </c>
      <c r="D649" s="4" t="s">
        <v>24</v>
      </c>
      <c r="E649" s="4" t="s">
        <v>30</v>
      </c>
      <c r="F649" s="4" t="s">
        <v>25</v>
      </c>
      <c r="G649" s="4" t="s">
        <v>25</v>
      </c>
      <c r="H649" s="4" t="s">
        <v>25</v>
      </c>
      <c r="I649" s="5">
        <v>43922</v>
      </c>
      <c r="J649" s="6">
        <v>0</v>
      </c>
      <c r="K649" s="6">
        <v>0</v>
      </c>
      <c r="L649" s="6">
        <v>2.2400000000000002</v>
      </c>
      <c r="M649" s="6">
        <v>2.2400000000000002</v>
      </c>
      <c r="N649" s="6">
        <v>2.2400000000000002</v>
      </c>
      <c r="O649" s="6">
        <v>2.2400000000000002</v>
      </c>
      <c r="P649" s="6">
        <v>0</v>
      </c>
      <c r="Q649" s="4" t="s">
        <v>26</v>
      </c>
      <c r="R649" s="4">
        <v>0</v>
      </c>
      <c r="S649" s="4">
        <v>0</v>
      </c>
      <c r="T649" s="4">
        <v>47</v>
      </c>
      <c r="U649" s="4">
        <v>90</v>
      </c>
      <c r="V649" s="6">
        <f>IF(ISERROR(VLOOKUP($S$649,'TAR FIN'!$A$1:$O$120,15,0)),0,VLOOKUP($S$649,'TAR FIN'!$A$1:$O$120,15,0))</f>
        <v>0</v>
      </c>
      <c r="W649" s="6">
        <f>IF(ISERROR(VLOOKUP($T$649,'TAR FIN'!$A$1:$O$120,15,0)),0,VLOOKUP($T$649,'TAR FIN'!$A$1:$O$120,15,0))</f>
        <v>109.87</v>
      </c>
      <c r="X649" s="6">
        <f>IF(ISERROR(VLOOKUP($U$649,'TAR FIN'!$A$1:$O$120,15,0)),0,VLOOKUP($U$649,'TAR FIN'!$A$1:$O$120,15,0))</f>
        <v>162.55000000000001</v>
      </c>
      <c r="Y649" s="6"/>
      <c r="Z649" s="6">
        <f ca="1">('TUSD BE'!$AM$57+'TUSD BF'!$AM$57+'TUSD CVA'!$AM$57-('TUSD BE'!$P$57+'TUSD BF'!$P$57+'TUSD CVA'!$P$57)-('TUSD BE'!$Q$57+'TUSD BF'!$Q$57+'TUSD CVA'!$Q$57)-('TUSD BE'!$R$57+'TUSD BF'!$R$57+'TUSD CVA'!$R$57))*(1-CUSTOS!$M$35)</f>
        <v>119.10815716574068</v>
      </c>
      <c r="AA649" s="6">
        <f>('TE BE'!$AA$21+'TE BF'!$AA$21+'TE CVA'!$AA$21)*(1-CUSTOS!$M$35)</f>
        <v>145.74340530948638</v>
      </c>
      <c r="AB649" s="6">
        <f t="shared" si="34"/>
        <v>0</v>
      </c>
      <c r="AC649" s="6">
        <f>(L649-M649)*(W649+X649)+($W$683+$X$683-$W$649-$X$649)*(L649)</f>
        <v>406.82880000000006</v>
      </c>
      <c r="AD649" s="6">
        <f t="shared" si="35"/>
        <v>0</v>
      </c>
      <c r="AE649" s="6">
        <f ca="1">(L649-M649)*(Z649+AA649)+($Z$683+$AA$683-$Z$649-$AA$649)*(L649)</f>
        <v>395.51166662967256</v>
      </c>
      <c r="AF649" s="4" t="s">
        <v>1153</v>
      </c>
    </row>
    <row r="650" spans="1:32" ht="11.25" customHeight="1" x14ac:dyDescent="0.25">
      <c r="A650" s="4" t="s">
        <v>21</v>
      </c>
      <c r="B650" s="4" t="s">
        <v>22</v>
      </c>
      <c r="C650" s="4" t="s">
        <v>23</v>
      </c>
      <c r="D650" s="4" t="s">
        <v>24</v>
      </c>
      <c r="E650" s="4" t="s">
        <v>30</v>
      </c>
      <c r="F650" s="4" t="s">
        <v>25</v>
      </c>
      <c r="G650" s="4" t="s">
        <v>25</v>
      </c>
      <c r="H650" s="4" t="s">
        <v>25</v>
      </c>
      <c r="I650" s="5">
        <v>43952</v>
      </c>
      <c r="J650" s="6">
        <v>0</v>
      </c>
      <c r="K650" s="6">
        <v>0</v>
      </c>
      <c r="L650" s="6">
        <v>635.86900000000003</v>
      </c>
      <c r="M650" s="6">
        <v>635.86900000000003</v>
      </c>
      <c r="N650" s="6">
        <v>635.86900000000003</v>
      </c>
      <c r="O650" s="6">
        <v>635.86900000000003</v>
      </c>
      <c r="P650" s="6">
        <v>1424</v>
      </c>
      <c r="Q650" s="4" t="s">
        <v>26</v>
      </c>
      <c r="R650" s="4">
        <v>0</v>
      </c>
      <c r="S650" s="4">
        <v>0</v>
      </c>
      <c r="T650" s="4">
        <v>47</v>
      </c>
      <c r="U650" s="4">
        <v>90</v>
      </c>
      <c r="V650" s="6">
        <f>IF(ISERROR(VLOOKUP($S$650,'TAR FIN'!$A$1:$O$120,15,0)),0,VLOOKUP($S$650,'TAR FIN'!$A$1:$O$120,15,0))</f>
        <v>0</v>
      </c>
      <c r="W650" s="6">
        <f>IF(ISERROR(VLOOKUP($T$650,'TAR FIN'!$A$1:$O$120,15,0)),0,VLOOKUP($T$650,'TAR FIN'!$A$1:$O$120,15,0))</f>
        <v>109.87</v>
      </c>
      <c r="X650" s="6">
        <f>IF(ISERROR(VLOOKUP($U$650,'TAR FIN'!$A$1:$O$120,15,0)),0,VLOOKUP($U$650,'TAR FIN'!$A$1:$O$120,15,0))</f>
        <v>162.55000000000001</v>
      </c>
      <c r="Y650" s="6"/>
      <c r="Z650" s="6">
        <f ca="1">('TUSD BE'!$AM$57+'TUSD BF'!$AM$57+'TUSD CVA'!$AM$57-('TUSD BE'!$P$57+'TUSD BF'!$P$57+'TUSD CVA'!$P$57)-('TUSD BE'!$Q$57+'TUSD BF'!$Q$57+'TUSD CVA'!$Q$57)-('TUSD BE'!$R$57+'TUSD BF'!$R$57+'TUSD CVA'!$R$57))*(1-CUSTOS!$M$35)</f>
        <v>119.10815716574068</v>
      </c>
      <c r="AA650" s="6">
        <f>('TE BE'!$AA$21+'TE BF'!$AA$21+'TE CVA'!$AA$21)*(1-CUSTOS!$M$35)</f>
        <v>145.74340530948638</v>
      </c>
      <c r="AB650" s="6">
        <f t="shared" si="34"/>
        <v>0</v>
      </c>
      <c r="AC650" s="6">
        <f>(L650-M650)*(W650+X650)+($W$683+$X$683-$W$650-$X$650)*(L650)</f>
        <v>115486.52778</v>
      </c>
      <c r="AD650" s="6">
        <f t="shared" si="35"/>
        <v>0</v>
      </c>
      <c r="AE650" s="6">
        <f ca="1">(L650-M650)*(Z650+AA650)+($Z$683+$AA$683-$Z$650-$AA$650)*(L650)</f>
        <v>112273.93211970681</v>
      </c>
      <c r="AF650" s="4" t="s">
        <v>1153</v>
      </c>
    </row>
    <row r="651" spans="1:32" ht="11.25" customHeight="1" x14ac:dyDescent="0.25">
      <c r="A651" s="4" t="s">
        <v>27</v>
      </c>
      <c r="B651" s="4" t="s">
        <v>22</v>
      </c>
      <c r="C651" s="4" t="s">
        <v>23</v>
      </c>
      <c r="D651" s="4" t="s">
        <v>24</v>
      </c>
      <c r="E651" s="4" t="s">
        <v>30</v>
      </c>
      <c r="F651" s="4" t="s">
        <v>25</v>
      </c>
      <c r="G651" s="4" t="s">
        <v>25</v>
      </c>
      <c r="H651" s="4" t="s">
        <v>25</v>
      </c>
      <c r="I651" s="5">
        <v>43952</v>
      </c>
      <c r="J651" s="6">
        <v>0</v>
      </c>
      <c r="K651" s="6">
        <v>0</v>
      </c>
      <c r="L651" s="6">
        <v>5.74</v>
      </c>
      <c r="M651" s="6">
        <v>5.74</v>
      </c>
      <c r="N651" s="6">
        <v>5.74</v>
      </c>
      <c r="O651" s="6">
        <v>5.74</v>
      </c>
      <c r="P651" s="6">
        <v>0</v>
      </c>
      <c r="Q651" s="4" t="s">
        <v>26</v>
      </c>
      <c r="R651" s="4">
        <v>0</v>
      </c>
      <c r="S651" s="4">
        <v>0</v>
      </c>
      <c r="T651" s="4">
        <v>47</v>
      </c>
      <c r="U651" s="4">
        <v>90</v>
      </c>
      <c r="V651" s="6">
        <f>IF(ISERROR(VLOOKUP($S$651,'TAR FIN'!$A$1:$O$120,15,0)),0,VLOOKUP($S$651,'TAR FIN'!$A$1:$O$120,15,0))</f>
        <v>0</v>
      </c>
      <c r="W651" s="6">
        <f>IF(ISERROR(VLOOKUP($T$651,'TAR FIN'!$A$1:$O$120,15,0)),0,VLOOKUP($T$651,'TAR FIN'!$A$1:$O$120,15,0))</f>
        <v>109.87</v>
      </c>
      <c r="X651" s="6">
        <f>IF(ISERROR(VLOOKUP($U$651,'TAR FIN'!$A$1:$O$120,15,0)),0,VLOOKUP($U$651,'TAR FIN'!$A$1:$O$120,15,0))</f>
        <v>162.55000000000001</v>
      </c>
      <c r="Y651" s="6"/>
      <c r="Z651" s="6">
        <f ca="1">('TUSD BE'!$AM$57+'TUSD BF'!$AM$57+'TUSD CVA'!$AM$57-('TUSD BE'!$P$57+'TUSD BF'!$P$57+'TUSD CVA'!$P$57)-('TUSD BE'!$Q$57+'TUSD BF'!$Q$57+'TUSD CVA'!$Q$57)-('TUSD BE'!$R$57+'TUSD BF'!$R$57+'TUSD CVA'!$R$57))*(1-CUSTOS!$M$35)</f>
        <v>119.10815716574068</v>
      </c>
      <c r="AA651" s="6">
        <f>('TE BE'!$AA$21+'TE BF'!$AA$21+'TE CVA'!$AA$21)*(1-CUSTOS!$M$35)</f>
        <v>145.74340530948638</v>
      </c>
      <c r="AB651" s="6">
        <f t="shared" si="34"/>
        <v>0</v>
      </c>
      <c r="AC651" s="6">
        <f>(L651-M651)*(W651+X651)+($W$683+$X$683-$W$651-$X$651)*(L651)</f>
        <v>1042.4988000000001</v>
      </c>
      <c r="AD651" s="6">
        <f t="shared" si="35"/>
        <v>0</v>
      </c>
      <c r="AE651" s="6">
        <f ca="1">(L651-M651)*(Z651+AA651)+($Z$683+$AA$683-$Z$651-$AA$651)*(L651)</f>
        <v>1013.4986457385359</v>
      </c>
      <c r="AF651" s="4" t="s">
        <v>1153</v>
      </c>
    </row>
    <row r="652" spans="1:32" ht="11.25" customHeight="1" x14ac:dyDescent="0.25">
      <c r="A652" s="4" t="s">
        <v>21</v>
      </c>
      <c r="B652" s="4" t="s">
        <v>22</v>
      </c>
      <c r="C652" s="4" t="s">
        <v>23</v>
      </c>
      <c r="D652" s="4" t="s">
        <v>24</v>
      </c>
      <c r="E652" s="4" t="s">
        <v>30</v>
      </c>
      <c r="F652" s="4" t="s">
        <v>25</v>
      </c>
      <c r="G652" s="4" t="s">
        <v>25</v>
      </c>
      <c r="H652" s="4" t="s">
        <v>25</v>
      </c>
      <c r="I652" s="5">
        <v>43983</v>
      </c>
      <c r="J652" s="6">
        <v>0</v>
      </c>
      <c r="K652" s="6">
        <v>0</v>
      </c>
      <c r="L652" s="6">
        <v>683.36500000000001</v>
      </c>
      <c r="M652" s="6">
        <v>683.36500000000001</v>
      </c>
      <c r="N652" s="6">
        <v>683.36500000000001</v>
      </c>
      <c r="O652" s="6">
        <v>683.36500000000001</v>
      </c>
      <c r="P652" s="6">
        <v>1934</v>
      </c>
      <c r="Q652" s="4" t="s">
        <v>26</v>
      </c>
      <c r="R652" s="4">
        <v>0</v>
      </c>
      <c r="S652" s="4">
        <v>0</v>
      </c>
      <c r="T652" s="4">
        <v>47</v>
      </c>
      <c r="U652" s="4">
        <v>90</v>
      </c>
      <c r="V652" s="6">
        <f>IF(ISERROR(VLOOKUP($S$652,'TAR FIN'!$A$1:$O$120,15,0)),0,VLOOKUP($S$652,'TAR FIN'!$A$1:$O$120,15,0))</f>
        <v>0</v>
      </c>
      <c r="W652" s="6">
        <f>IF(ISERROR(VLOOKUP($T$652,'TAR FIN'!$A$1:$O$120,15,0)),0,VLOOKUP($T$652,'TAR FIN'!$A$1:$O$120,15,0))</f>
        <v>109.87</v>
      </c>
      <c r="X652" s="6">
        <f>IF(ISERROR(VLOOKUP($U$652,'TAR FIN'!$A$1:$O$120,15,0)),0,VLOOKUP($U$652,'TAR FIN'!$A$1:$O$120,15,0))</f>
        <v>162.55000000000001</v>
      </c>
      <c r="Y652" s="6"/>
      <c r="Z652" s="6">
        <f ca="1">('TUSD BE'!$AM$57+'TUSD BF'!$AM$57+'TUSD CVA'!$AM$57-('TUSD BE'!$P$57+'TUSD BF'!$P$57+'TUSD CVA'!$P$57)-('TUSD BE'!$Q$57+'TUSD BF'!$Q$57+'TUSD CVA'!$Q$57)-('TUSD BE'!$R$57+'TUSD BF'!$R$57+'TUSD CVA'!$R$57))*(1-CUSTOS!$M$35)</f>
        <v>119.10815716574068</v>
      </c>
      <c r="AA652" s="6">
        <f>('TE BE'!$AA$21+'TE BF'!$AA$21+'TE CVA'!$AA$21)*(1-CUSTOS!$M$35)</f>
        <v>145.74340530948638</v>
      </c>
      <c r="AB652" s="6">
        <f t="shared" si="34"/>
        <v>0</v>
      </c>
      <c r="AC652" s="6">
        <f>(L652-M652)*(W652+X652)+($W$683+$X$683-$W$652-$X$652)*(L652)</f>
        <v>124112.7513</v>
      </c>
      <c r="AD652" s="6">
        <f t="shared" si="35"/>
        <v>0</v>
      </c>
      <c r="AE652" s="6">
        <f ca="1">(L652-M652)*(Z652+AA652)+($Z$683+$AA$683-$Z$652-$AA$652)*(L652)</f>
        <v>120660.19199392239</v>
      </c>
      <c r="AF652" s="4" t="s">
        <v>1153</v>
      </c>
    </row>
    <row r="653" spans="1:32" ht="11.25" customHeight="1" x14ac:dyDescent="0.25">
      <c r="A653" s="4" t="s">
        <v>27</v>
      </c>
      <c r="B653" s="4" t="s">
        <v>22</v>
      </c>
      <c r="C653" s="4" t="s">
        <v>23</v>
      </c>
      <c r="D653" s="4" t="s">
        <v>24</v>
      </c>
      <c r="E653" s="4" t="s">
        <v>30</v>
      </c>
      <c r="F653" s="4" t="s">
        <v>25</v>
      </c>
      <c r="G653" s="4" t="s">
        <v>25</v>
      </c>
      <c r="H653" s="4" t="s">
        <v>25</v>
      </c>
      <c r="I653" s="5">
        <v>43983</v>
      </c>
      <c r="J653" s="6">
        <v>0</v>
      </c>
      <c r="K653" s="6">
        <v>0</v>
      </c>
      <c r="L653" s="6">
        <v>0.49</v>
      </c>
      <c r="M653" s="6">
        <v>0.49</v>
      </c>
      <c r="N653" s="6">
        <v>0.49</v>
      </c>
      <c r="O653" s="6">
        <v>0.49</v>
      </c>
      <c r="P653" s="6">
        <v>0</v>
      </c>
      <c r="Q653" s="4" t="s">
        <v>26</v>
      </c>
      <c r="R653" s="4">
        <v>0</v>
      </c>
      <c r="S653" s="4">
        <v>0</v>
      </c>
      <c r="T653" s="4">
        <v>47</v>
      </c>
      <c r="U653" s="4">
        <v>90</v>
      </c>
      <c r="V653" s="6">
        <f>IF(ISERROR(VLOOKUP($S$653,'TAR FIN'!$A$1:$O$120,15,0)),0,VLOOKUP($S$653,'TAR FIN'!$A$1:$O$120,15,0))</f>
        <v>0</v>
      </c>
      <c r="W653" s="6">
        <f>IF(ISERROR(VLOOKUP($T$653,'TAR FIN'!$A$1:$O$120,15,0)),0,VLOOKUP($T$653,'TAR FIN'!$A$1:$O$120,15,0))</f>
        <v>109.87</v>
      </c>
      <c r="X653" s="6">
        <f>IF(ISERROR(VLOOKUP($U$653,'TAR FIN'!$A$1:$O$120,15,0)),0,VLOOKUP($U$653,'TAR FIN'!$A$1:$O$120,15,0))</f>
        <v>162.55000000000001</v>
      </c>
      <c r="Y653" s="6"/>
      <c r="Z653" s="6">
        <f ca="1">('TUSD BE'!$AM$57+'TUSD BF'!$AM$57+'TUSD CVA'!$AM$57-('TUSD BE'!$P$57+'TUSD BF'!$P$57+'TUSD CVA'!$P$57)-('TUSD BE'!$Q$57+'TUSD BF'!$Q$57+'TUSD CVA'!$Q$57)-('TUSD BE'!$R$57+'TUSD BF'!$R$57+'TUSD CVA'!$R$57))*(1-CUSTOS!$M$35)</f>
        <v>119.10815716574068</v>
      </c>
      <c r="AA653" s="6">
        <f>('TE BE'!$AA$21+'TE BF'!$AA$21+'TE CVA'!$AA$21)*(1-CUSTOS!$M$35)</f>
        <v>145.74340530948638</v>
      </c>
      <c r="AB653" s="6">
        <f t="shared" si="34"/>
        <v>0</v>
      </c>
      <c r="AC653" s="6">
        <f>(L653-M653)*(W653+X653)+($W$683+$X$683-$W$653-$X$653)*(L653)</f>
        <v>88.993800000000007</v>
      </c>
      <c r="AD653" s="6">
        <f t="shared" si="35"/>
        <v>0</v>
      </c>
      <c r="AE653" s="6">
        <f ca="1">(L653-M653)*(Z653+AA653)+($Z$683+$AA$683-$Z$653-$AA$653)*(L653)</f>
        <v>86.518177075240857</v>
      </c>
      <c r="AF653" s="4" t="s">
        <v>1153</v>
      </c>
    </row>
    <row r="654" spans="1:32" ht="11.25" customHeight="1" x14ac:dyDescent="0.25">
      <c r="A654" s="4" t="s">
        <v>21</v>
      </c>
      <c r="B654" s="4" t="s">
        <v>22</v>
      </c>
      <c r="C654" s="4" t="s">
        <v>23</v>
      </c>
      <c r="D654" s="4" t="s">
        <v>24</v>
      </c>
      <c r="E654" s="4" t="s">
        <v>30</v>
      </c>
      <c r="F654" s="4" t="s">
        <v>25</v>
      </c>
      <c r="G654" s="4" t="s">
        <v>25</v>
      </c>
      <c r="H654" s="4" t="s">
        <v>25</v>
      </c>
      <c r="I654" s="5">
        <v>44013</v>
      </c>
      <c r="J654" s="6">
        <v>0</v>
      </c>
      <c r="K654" s="6">
        <v>0</v>
      </c>
      <c r="L654" s="6">
        <v>714.41399999999999</v>
      </c>
      <c r="M654" s="6">
        <v>714.41399999999999</v>
      </c>
      <c r="N654" s="6">
        <v>714.41399999999999</v>
      </c>
      <c r="O654" s="6">
        <v>714.41399999999999</v>
      </c>
      <c r="P654" s="6">
        <v>1862</v>
      </c>
      <c r="Q654" s="4" t="s">
        <v>26</v>
      </c>
      <c r="R654" s="4">
        <v>0</v>
      </c>
      <c r="S654" s="4">
        <v>0</v>
      </c>
      <c r="T654" s="4">
        <v>47</v>
      </c>
      <c r="U654" s="4">
        <v>90</v>
      </c>
      <c r="V654" s="6">
        <f>IF(ISERROR(VLOOKUP($S$654,'TAR FIN'!$A$1:$O$120,15,0)),0,VLOOKUP($S$654,'TAR FIN'!$A$1:$O$120,15,0))</f>
        <v>0</v>
      </c>
      <c r="W654" s="6">
        <f>IF(ISERROR(VLOOKUP($T$654,'TAR FIN'!$A$1:$O$120,15,0)),0,VLOOKUP($T$654,'TAR FIN'!$A$1:$O$120,15,0))</f>
        <v>109.87</v>
      </c>
      <c r="X654" s="6">
        <f>IF(ISERROR(VLOOKUP($U$654,'TAR FIN'!$A$1:$O$120,15,0)),0,VLOOKUP($U$654,'TAR FIN'!$A$1:$O$120,15,0))</f>
        <v>162.55000000000001</v>
      </c>
      <c r="Y654" s="6"/>
      <c r="Z654" s="6">
        <f ca="1">('TUSD BE'!$AM$57+'TUSD BF'!$AM$57+'TUSD CVA'!$AM$57-('TUSD BE'!$P$57+'TUSD BF'!$P$57+'TUSD CVA'!$P$57)-('TUSD BE'!$Q$57+'TUSD BF'!$Q$57+'TUSD CVA'!$Q$57)-('TUSD BE'!$R$57+'TUSD BF'!$R$57+'TUSD CVA'!$R$57))*(1-CUSTOS!$M$35)</f>
        <v>119.10815716574068</v>
      </c>
      <c r="AA654" s="6">
        <f>('TE BE'!$AA$21+'TE BF'!$AA$21+'TE CVA'!$AA$21)*(1-CUSTOS!$M$35)</f>
        <v>145.74340530948638</v>
      </c>
      <c r="AB654" s="6">
        <f t="shared" si="34"/>
        <v>0</v>
      </c>
      <c r="AC654" s="6">
        <f>(L654-M654)*(W654+X654)+($W$683+$X$683-$W$654-$X$654)*(L654)</f>
        <v>129751.87068000001</v>
      </c>
      <c r="AD654" s="6">
        <f t="shared" si="35"/>
        <v>0</v>
      </c>
      <c r="AE654" s="6">
        <f ca="1">(L654-M654)*(Z654+AA654)+($Z$683+$AA$683-$Z$654-$AA$654)*(L654)</f>
        <v>126142.44276945127</v>
      </c>
      <c r="AF654" s="4" t="s">
        <v>1153</v>
      </c>
    </row>
    <row r="655" spans="1:32" ht="11.25" customHeight="1" x14ac:dyDescent="0.25">
      <c r="A655" s="4" t="s">
        <v>27</v>
      </c>
      <c r="B655" s="4" t="s">
        <v>22</v>
      </c>
      <c r="C655" s="4" t="s">
        <v>23</v>
      </c>
      <c r="D655" s="4" t="s">
        <v>24</v>
      </c>
      <c r="E655" s="4" t="s">
        <v>30</v>
      </c>
      <c r="F655" s="4" t="s">
        <v>25</v>
      </c>
      <c r="G655" s="4" t="s">
        <v>25</v>
      </c>
      <c r="H655" s="4" t="s">
        <v>25</v>
      </c>
      <c r="I655" s="5">
        <v>44013</v>
      </c>
      <c r="J655" s="6">
        <v>0</v>
      </c>
      <c r="K655" s="6">
        <v>0</v>
      </c>
      <c r="L655" s="6">
        <v>0.28000000000000003</v>
      </c>
      <c r="M655" s="6">
        <v>0.28000000000000003</v>
      </c>
      <c r="N655" s="6">
        <v>0.28000000000000003</v>
      </c>
      <c r="O655" s="6">
        <v>0.28000000000000003</v>
      </c>
      <c r="P655" s="6">
        <v>0</v>
      </c>
      <c r="Q655" s="4" t="s">
        <v>26</v>
      </c>
      <c r="R655" s="4">
        <v>0</v>
      </c>
      <c r="S655" s="4">
        <v>0</v>
      </c>
      <c r="T655" s="4">
        <v>47</v>
      </c>
      <c r="U655" s="4">
        <v>90</v>
      </c>
      <c r="V655" s="6">
        <f>IF(ISERROR(VLOOKUP($S$655,'TAR FIN'!$A$1:$O$120,15,0)),0,VLOOKUP($S$655,'TAR FIN'!$A$1:$O$120,15,0))</f>
        <v>0</v>
      </c>
      <c r="W655" s="6">
        <f>IF(ISERROR(VLOOKUP($T$655,'TAR FIN'!$A$1:$O$120,15,0)),0,VLOOKUP($T$655,'TAR FIN'!$A$1:$O$120,15,0))</f>
        <v>109.87</v>
      </c>
      <c r="X655" s="6">
        <f>IF(ISERROR(VLOOKUP($U$655,'TAR FIN'!$A$1:$O$120,15,0)),0,VLOOKUP($U$655,'TAR FIN'!$A$1:$O$120,15,0))</f>
        <v>162.55000000000001</v>
      </c>
      <c r="Y655" s="6"/>
      <c r="Z655" s="6">
        <f ca="1">('TUSD BE'!$AM$57+'TUSD BF'!$AM$57+'TUSD CVA'!$AM$57-('TUSD BE'!$P$57+'TUSD BF'!$P$57+'TUSD CVA'!$P$57)-('TUSD BE'!$Q$57+'TUSD BF'!$Q$57+'TUSD CVA'!$Q$57)-('TUSD BE'!$R$57+'TUSD BF'!$R$57+'TUSD CVA'!$R$57))*(1-CUSTOS!$M$35)</f>
        <v>119.10815716574068</v>
      </c>
      <c r="AA655" s="6">
        <f>('TE BE'!$AA$21+'TE BF'!$AA$21+'TE CVA'!$AA$21)*(1-CUSTOS!$M$35)</f>
        <v>145.74340530948638</v>
      </c>
      <c r="AB655" s="6">
        <f t="shared" si="34"/>
        <v>0</v>
      </c>
      <c r="AC655" s="6">
        <f>(L655-M655)*(W655+X655)+($W$683+$X$683-$W$655-$X$655)*(L655)</f>
        <v>50.853600000000007</v>
      </c>
      <c r="AD655" s="6">
        <f t="shared" si="35"/>
        <v>0</v>
      </c>
      <c r="AE655" s="6">
        <f ca="1">(L655-M655)*(Z655+AA655)+($Z$683+$AA$683-$Z$655-$AA$655)*(L655)</f>
        <v>49.43895832870907</v>
      </c>
      <c r="AF655" s="4" t="s">
        <v>1153</v>
      </c>
    </row>
    <row r="656" spans="1:32" ht="11.25" customHeight="1" x14ac:dyDescent="0.25">
      <c r="A656" s="4" t="s">
        <v>21</v>
      </c>
      <c r="B656" s="4" t="s">
        <v>22</v>
      </c>
      <c r="C656" s="4" t="s">
        <v>23</v>
      </c>
      <c r="D656" s="4" t="s">
        <v>24</v>
      </c>
      <c r="E656" s="4" t="s">
        <v>30</v>
      </c>
      <c r="F656" s="4" t="s">
        <v>25</v>
      </c>
      <c r="G656" s="4" t="s">
        <v>25</v>
      </c>
      <c r="H656" s="4" t="s">
        <v>25</v>
      </c>
      <c r="I656" s="5">
        <v>44044</v>
      </c>
      <c r="J656" s="6">
        <v>0</v>
      </c>
      <c r="K656" s="6">
        <v>0</v>
      </c>
      <c r="L656" s="6">
        <v>736.76400000000001</v>
      </c>
      <c r="M656" s="6">
        <v>736.76400000000001</v>
      </c>
      <c r="N656" s="6">
        <v>736.76400000000001</v>
      </c>
      <c r="O656" s="6">
        <v>736.76400000000001</v>
      </c>
      <c r="P656" s="6">
        <v>1564</v>
      </c>
      <c r="Q656" s="4" t="s">
        <v>26</v>
      </c>
      <c r="R656" s="4">
        <v>0</v>
      </c>
      <c r="S656" s="4">
        <v>0</v>
      </c>
      <c r="T656" s="4">
        <v>47</v>
      </c>
      <c r="U656" s="4">
        <v>90</v>
      </c>
      <c r="V656" s="6">
        <f>IF(ISERROR(VLOOKUP($S$656,'TAR FIN'!$A$1:$O$120,15,0)),0,VLOOKUP($S$656,'TAR FIN'!$A$1:$O$120,15,0))</f>
        <v>0</v>
      </c>
      <c r="W656" s="6">
        <f>IF(ISERROR(VLOOKUP($T$656,'TAR FIN'!$A$1:$O$120,15,0)),0,VLOOKUP($T$656,'TAR FIN'!$A$1:$O$120,15,0))</f>
        <v>109.87</v>
      </c>
      <c r="X656" s="6">
        <f>IF(ISERROR(VLOOKUP($U$656,'TAR FIN'!$A$1:$O$120,15,0)),0,VLOOKUP($U$656,'TAR FIN'!$A$1:$O$120,15,0))</f>
        <v>162.55000000000001</v>
      </c>
      <c r="Y656" s="6"/>
      <c r="Z656" s="6">
        <f ca="1">('TUSD BE'!$AM$57+'TUSD BF'!$AM$57+'TUSD CVA'!$AM$57-('TUSD BE'!$P$57+'TUSD BF'!$P$57+'TUSD CVA'!$P$57)-('TUSD BE'!$Q$57+'TUSD BF'!$Q$57+'TUSD CVA'!$Q$57)-('TUSD BE'!$R$57+'TUSD BF'!$R$57+'TUSD CVA'!$R$57))*(1-CUSTOS!$M$35)</f>
        <v>119.10815716574068</v>
      </c>
      <c r="AA656" s="6">
        <f>('TE BE'!$AA$21+'TE BF'!$AA$21+'TE CVA'!$AA$21)*(1-CUSTOS!$M$35)</f>
        <v>145.74340530948638</v>
      </c>
      <c r="AB656" s="6">
        <f t="shared" si="34"/>
        <v>0</v>
      </c>
      <c r="AC656" s="6">
        <f>(L656-M656)*(W656+X656)+($W$683+$X$683-$W$656-$X$656)*(L656)</f>
        <v>133811.07768000002</v>
      </c>
      <c r="AD656" s="6">
        <f t="shared" si="35"/>
        <v>0</v>
      </c>
      <c r="AE656" s="6">
        <f ca="1">(L656-M656)*(Z656+AA656)+($Z$683+$AA$683-$Z$656-$AA$656)*(L656)</f>
        <v>130088.73105033216</v>
      </c>
      <c r="AF656" s="4" t="s">
        <v>1153</v>
      </c>
    </row>
    <row r="657" spans="1:32" ht="11.25" customHeight="1" x14ac:dyDescent="0.25">
      <c r="A657" s="4" t="s">
        <v>27</v>
      </c>
      <c r="B657" s="4" t="s">
        <v>22</v>
      </c>
      <c r="C657" s="4" t="s">
        <v>23</v>
      </c>
      <c r="D657" s="4" t="s">
        <v>24</v>
      </c>
      <c r="E657" s="4" t="s">
        <v>30</v>
      </c>
      <c r="F657" s="4" t="s">
        <v>25</v>
      </c>
      <c r="G657" s="4" t="s">
        <v>25</v>
      </c>
      <c r="H657" s="4" t="s">
        <v>25</v>
      </c>
      <c r="I657" s="5">
        <v>44044</v>
      </c>
      <c r="J657" s="6">
        <v>0</v>
      </c>
      <c r="K657" s="6">
        <v>0</v>
      </c>
      <c r="L657" s="6">
        <v>0.21</v>
      </c>
      <c r="M657" s="6">
        <v>0.21</v>
      </c>
      <c r="N657" s="6">
        <v>0.21</v>
      </c>
      <c r="O657" s="6">
        <v>0.21</v>
      </c>
      <c r="P657" s="6">
        <v>0</v>
      </c>
      <c r="Q657" s="4" t="s">
        <v>26</v>
      </c>
      <c r="R657" s="4">
        <v>0</v>
      </c>
      <c r="S657" s="4">
        <v>0</v>
      </c>
      <c r="T657" s="4">
        <v>47</v>
      </c>
      <c r="U657" s="4">
        <v>90</v>
      </c>
      <c r="V657" s="6">
        <f>IF(ISERROR(VLOOKUP($S$657,'TAR FIN'!$A$1:$O$120,15,0)),0,VLOOKUP($S$657,'TAR FIN'!$A$1:$O$120,15,0))</f>
        <v>0</v>
      </c>
      <c r="W657" s="6">
        <f>IF(ISERROR(VLOOKUP($T$657,'TAR FIN'!$A$1:$O$120,15,0)),0,VLOOKUP($T$657,'TAR FIN'!$A$1:$O$120,15,0))</f>
        <v>109.87</v>
      </c>
      <c r="X657" s="6">
        <f>IF(ISERROR(VLOOKUP($U$657,'TAR FIN'!$A$1:$O$120,15,0)),0,VLOOKUP($U$657,'TAR FIN'!$A$1:$O$120,15,0))</f>
        <v>162.55000000000001</v>
      </c>
      <c r="Y657" s="6"/>
      <c r="Z657" s="6">
        <f ca="1">('TUSD BE'!$AM$57+'TUSD BF'!$AM$57+'TUSD CVA'!$AM$57-('TUSD BE'!$P$57+'TUSD BF'!$P$57+'TUSD CVA'!$P$57)-('TUSD BE'!$Q$57+'TUSD BF'!$Q$57+'TUSD CVA'!$Q$57)-('TUSD BE'!$R$57+'TUSD BF'!$R$57+'TUSD CVA'!$R$57))*(1-CUSTOS!$M$35)</f>
        <v>119.10815716574068</v>
      </c>
      <c r="AA657" s="6">
        <f>('TE BE'!$AA$21+'TE BF'!$AA$21+'TE CVA'!$AA$21)*(1-CUSTOS!$M$35)</f>
        <v>145.74340530948638</v>
      </c>
      <c r="AB657" s="6">
        <f t="shared" si="34"/>
        <v>0</v>
      </c>
      <c r="AC657" s="6">
        <f>(L657-M657)*(W657+X657)+($W$683+$X$683-$W$657-$X$657)*(L657)</f>
        <v>38.1402</v>
      </c>
      <c r="AD657" s="6">
        <f t="shared" si="35"/>
        <v>0</v>
      </c>
      <c r="AE657" s="6">
        <f ca="1">(L657-M657)*(Z657+AA657)+($Z$683+$AA$683-$Z$657-$AA$657)*(L657)</f>
        <v>37.079218746531794</v>
      </c>
      <c r="AF657" s="4" t="s">
        <v>1153</v>
      </c>
    </row>
    <row r="658" spans="1:32" ht="11.25" customHeight="1" x14ac:dyDescent="0.25">
      <c r="A658" s="4" t="s">
        <v>59</v>
      </c>
      <c r="B658" s="4" t="s">
        <v>22</v>
      </c>
      <c r="C658" s="4" t="s">
        <v>23</v>
      </c>
      <c r="D658" s="4" t="s">
        <v>24</v>
      </c>
      <c r="E658" s="4" t="s">
        <v>30</v>
      </c>
      <c r="F658" s="4" t="s">
        <v>25</v>
      </c>
      <c r="G658" s="4" t="s">
        <v>25</v>
      </c>
      <c r="H658" s="4" t="s">
        <v>25</v>
      </c>
      <c r="I658" s="5">
        <v>44075</v>
      </c>
      <c r="J658" s="6">
        <v>0</v>
      </c>
      <c r="K658" s="6">
        <v>0</v>
      </c>
      <c r="L658" s="6">
        <v>736.76400000000001</v>
      </c>
      <c r="M658" s="6">
        <v>736.76400000000001</v>
      </c>
      <c r="N658" s="6">
        <v>736.76400000000001</v>
      </c>
      <c r="O658" s="6">
        <v>736.76400000000001</v>
      </c>
      <c r="P658" s="6">
        <v>1564</v>
      </c>
      <c r="Q658" s="4" t="s">
        <v>26</v>
      </c>
      <c r="R658" s="4">
        <v>0</v>
      </c>
      <c r="S658" s="4">
        <v>0</v>
      </c>
      <c r="T658" s="4">
        <v>47</v>
      </c>
      <c r="U658" s="4">
        <v>90</v>
      </c>
      <c r="V658" s="6">
        <f>IF(ISERROR(VLOOKUP($S$658,'TAR FIN'!$A$1:$O$120,15,0)),0,VLOOKUP($S$658,'TAR FIN'!$A$1:$O$120,15,0))</f>
        <v>0</v>
      </c>
      <c r="W658" s="6">
        <f>IF(ISERROR(VLOOKUP($T$658,'TAR FIN'!$A$1:$O$120,15,0)),0,VLOOKUP($T$658,'TAR FIN'!$A$1:$O$120,15,0))</f>
        <v>109.87</v>
      </c>
      <c r="X658" s="6">
        <f>IF(ISERROR(VLOOKUP($U$658,'TAR FIN'!$A$1:$O$120,15,0)),0,VLOOKUP($U$658,'TAR FIN'!$A$1:$O$120,15,0))</f>
        <v>162.55000000000001</v>
      </c>
      <c r="Y658" s="6"/>
      <c r="Z658" s="6">
        <f ca="1">('TUSD BE'!$AM$57+'TUSD BF'!$AM$57+'TUSD CVA'!$AM$57-('TUSD BE'!$P$57+'TUSD BF'!$P$57+'TUSD CVA'!$P$57)-('TUSD BE'!$Q$57+'TUSD BF'!$Q$57+'TUSD CVA'!$Q$57)-('TUSD BE'!$R$57+'TUSD BF'!$R$57+'TUSD CVA'!$R$57))*(1-CUSTOS!$M$35)</f>
        <v>119.10815716574068</v>
      </c>
      <c r="AA658" s="6">
        <f>('TE BE'!$AA$21+'TE BF'!$AA$21+'TE CVA'!$AA$21)*(1-CUSTOS!$M$35)</f>
        <v>145.74340530948638</v>
      </c>
      <c r="AB658" s="6">
        <f t="shared" si="34"/>
        <v>0</v>
      </c>
      <c r="AC658" s="6">
        <f>(L658-M658)*(W658+X658)+($W$683+$X$683-$W$658-$X$658)*(L658)</f>
        <v>133811.07768000002</v>
      </c>
      <c r="AD658" s="6">
        <f t="shared" si="35"/>
        <v>0</v>
      </c>
      <c r="AE658" s="6">
        <f ca="1">(L658-M658)*(Z658+AA658)+($Z$683+$AA$683-$Z$658-$AA$658)*(L658)</f>
        <v>130088.73105033216</v>
      </c>
      <c r="AF658" s="4" t="s">
        <v>1153</v>
      </c>
    </row>
    <row r="659" spans="1:32" ht="11.25" customHeight="1" x14ac:dyDescent="0.25">
      <c r="A659" s="4" t="s">
        <v>59</v>
      </c>
      <c r="B659" s="4" t="s">
        <v>22</v>
      </c>
      <c r="C659" s="4" t="s">
        <v>23</v>
      </c>
      <c r="D659" s="4" t="s">
        <v>24</v>
      </c>
      <c r="E659" s="4" t="s">
        <v>30</v>
      </c>
      <c r="F659" s="4" t="s">
        <v>25</v>
      </c>
      <c r="G659" s="4" t="s">
        <v>25</v>
      </c>
      <c r="H659" s="4" t="s">
        <v>25</v>
      </c>
      <c r="I659" s="5">
        <v>44075</v>
      </c>
      <c r="J659" s="6">
        <v>0</v>
      </c>
      <c r="K659" s="6">
        <v>0</v>
      </c>
      <c r="L659" s="6">
        <v>0.21</v>
      </c>
      <c r="M659" s="6">
        <v>0.21</v>
      </c>
      <c r="N659" s="6">
        <v>0.21</v>
      </c>
      <c r="O659" s="6">
        <v>0.21</v>
      </c>
      <c r="P659" s="6">
        <v>0</v>
      </c>
      <c r="Q659" s="4" t="s">
        <v>26</v>
      </c>
      <c r="R659" s="4">
        <v>0</v>
      </c>
      <c r="S659" s="4">
        <v>0</v>
      </c>
      <c r="T659" s="4">
        <v>47</v>
      </c>
      <c r="U659" s="4">
        <v>90</v>
      </c>
      <c r="V659" s="6">
        <f>IF(ISERROR(VLOOKUP($S$659,'TAR FIN'!$A$1:$O$120,15,0)),0,VLOOKUP($S$659,'TAR FIN'!$A$1:$O$120,15,0))</f>
        <v>0</v>
      </c>
      <c r="W659" s="6">
        <f>IF(ISERROR(VLOOKUP($T$659,'TAR FIN'!$A$1:$O$120,15,0)),0,VLOOKUP($T$659,'TAR FIN'!$A$1:$O$120,15,0))</f>
        <v>109.87</v>
      </c>
      <c r="X659" s="6">
        <f>IF(ISERROR(VLOOKUP($U$659,'TAR FIN'!$A$1:$O$120,15,0)),0,VLOOKUP($U$659,'TAR FIN'!$A$1:$O$120,15,0))</f>
        <v>162.55000000000001</v>
      </c>
      <c r="Y659" s="6"/>
      <c r="Z659" s="6">
        <f ca="1">('TUSD BE'!$AM$57+'TUSD BF'!$AM$57+'TUSD CVA'!$AM$57-('TUSD BE'!$P$57+'TUSD BF'!$P$57+'TUSD CVA'!$P$57)-('TUSD BE'!$Q$57+'TUSD BF'!$Q$57+'TUSD CVA'!$Q$57)-('TUSD BE'!$R$57+'TUSD BF'!$R$57+'TUSD CVA'!$R$57))*(1-CUSTOS!$M$35)</f>
        <v>119.10815716574068</v>
      </c>
      <c r="AA659" s="6">
        <f>('TE BE'!$AA$21+'TE BF'!$AA$21+'TE CVA'!$AA$21)*(1-CUSTOS!$M$35)</f>
        <v>145.74340530948638</v>
      </c>
      <c r="AB659" s="6">
        <f t="shared" si="34"/>
        <v>0</v>
      </c>
      <c r="AC659" s="6">
        <f>(L659-M659)*(W659+X659)+($W$683+$X$683-$W$659-$X$659)*(L659)</f>
        <v>38.1402</v>
      </c>
      <c r="AD659" s="6">
        <f t="shared" si="35"/>
        <v>0</v>
      </c>
      <c r="AE659" s="6">
        <f ca="1">(L659-M659)*(Z659+AA659)+($Z$683+$AA$683-$Z$659-$AA$659)*(L659)</f>
        <v>37.079218746531794</v>
      </c>
      <c r="AF659" s="4" t="s">
        <v>1153</v>
      </c>
    </row>
    <row r="660" spans="1:32" ht="11.25" customHeight="1" x14ac:dyDescent="0.25">
      <c r="A660" s="4" t="s">
        <v>21</v>
      </c>
      <c r="B660" s="4" t="s">
        <v>22</v>
      </c>
      <c r="C660" s="4" t="s">
        <v>23</v>
      </c>
      <c r="D660" s="4" t="s">
        <v>24</v>
      </c>
      <c r="E660" s="4" t="s">
        <v>31</v>
      </c>
      <c r="F660" s="4" t="s">
        <v>25</v>
      </c>
      <c r="G660" s="4" t="s">
        <v>25</v>
      </c>
      <c r="H660" s="4" t="s">
        <v>25</v>
      </c>
      <c r="I660" s="5">
        <v>43739</v>
      </c>
      <c r="J660" s="6">
        <v>0</v>
      </c>
      <c r="K660" s="6">
        <v>0</v>
      </c>
      <c r="L660" s="6">
        <v>522.31299999999999</v>
      </c>
      <c r="M660" s="6">
        <v>522.31299999999999</v>
      </c>
      <c r="N660" s="6">
        <v>522.31299999999999</v>
      </c>
      <c r="O660" s="6">
        <v>522.31299999999999</v>
      </c>
      <c r="P660" s="6">
        <v>4784</v>
      </c>
      <c r="Q660" s="4" t="s">
        <v>26</v>
      </c>
      <c r="R660" s="4">
        <v>0</v>
      </c>
      <c r="S660" s="4">
        <v>0</v>
      </c>
      <c r="T660" s="4">
        <v>48</v>
      </c>
      <c r="U660" s="4">
        <v>91</v>
      </c>
      <c r="V660" s="6">
        <f>IF(ISERROR(VLOOKUP($S$660,'TAR FIN'!$A$1:$O$120,15,0)),0,VLOOKUP($S$660,'TAR FIN'!$A$1:$O$120,15,0))</f>
        <v>0</v>
      </c>
      <c r="W660" s="6">
        <f>IF(ISERROR(VLOOKUP($T$660,'TAR FIN'!$A$1:$O$120,15,0)),0,VLOOKUP($T$660,'TAR FIN'!$A$1:$O$120,15,0))</f>
        <v>164.81</v>
      </c>
      <c r="X660" s="6">
        <f>IF(ISERROR(VLOOKUP($U$660,'TAR FIN'!$A$1:$O$120,15,0)),0,VLOOKUP($U$660,'TAR FIN'!$A$1:$O$120,15,0))</f>
        <v>243.83</v>
      </c>
      <c r="Y660" s="6"/>
      <c r="Z660" s="6">
        <f ca="1">('TUSD BE'!$AM$58+'TUSD BF'!$AM$58+'TUSD CVA'!$AM$58-('TUSD BE'!$P$58+'TUSD BF'!$P$58+'TUSD CVA'!$P$58)-('TUSD BE'!$Q$58+'TUSD BF'!$Q$58+'TUSD CVA'!$Q$58)-('TUSD BE'!$R$58+'TUSD BF'!$R$58+'TUSD CVA'!$R$58))*(1-CUSTOS!$M$36)</f>
        <v>178.66223574861104</v>
      </c>
      <c r="AA660" s="6">
        <f>('TE BE'!$AA$22+'TE BF'!$AA$22+'TE CVA'!$AA$22)*(1-CUSTOS!$M$36)</f>
        <v>218.61510796422959</v>
      </c>
      <c r="AB660" s="6">
        <f t="shared" si="34"/>
        <v>0</v>
      </c>
      <c r="AC660" s="6">
        <f>(L660-M660)*(W660+X660)+($W$683+$X$683-$W$660-$X$660)*(L660)</f>
        <v>23713.010200000001</v>
      </c>
      <c r="AD660" s="6">
        <f t="shared" si="35"/>
        <v>0</v>
      </c>
      <c r="AE660" s="6">
        <f ca="1">(L660-M660)*(Z660+AA660)+($Z$683+$AA$683-$Z$660-$AA$660)*(L660)</f>
        <v>23055.902358520565</v>
      </c>
      <c r="AF660" s="4" t="s">
        <v>1153</v>
      </c>
    </row>
    <row r="661" spans="1:32" ht="11.25" customHeight="1" x14ac:dyDescent="0.25">
      <c r="A661" s="4" t="s">
        <v>27</v>
      </c>
      <c r="B661" s="4" t="s">
        <v>22</v>
      </c>
      <c r="C661" s="4" t="s">
        <v>23</v>
      </c>
      <c r="D661" s="4" t="s">
        <v>24</v>
      </c>
      <c r="E661" s="4" t="s">
        <v>31</v>
      </c>
      <c r="F661" s="4" t="s">
        <v>25</v>
      </c>
      <c r="G661" s="4" t="s">
        <v>25</v>
      </c>
      <c r="H661" s="4" t="s">
        <v>25</v>
      </c>
      <c r="I661" s="5">
        <v>43739</v>
      </c>
      <c r="J661" s="6">
        <v>0</v>
      </c>
      <c r="K661" s="6">
        <v>0</v>
      </c>
      <c r="L661" s="6">
        <v>0.16200000000000001</v>
      </c>
      <c r="M661" s="6">
        <v>0.16200000000000001</v>
      </c>
      <c r="N661" s="6">
        <v>0.16200000000000001</v>
      </c>
      <c r="O661" s="6">
        <v>0.16200000000000001</v>
      </c>
      <c r="P661" s="6">
        <v>1</v>
      </c>
      <c r="Q661" s="4" t="s">
        <v>26</v>
      </c>
      <c r="R661" s="4">
        <v>0</v>
      </c>
      <c r="S661" s="4">
        <v>0</v>
      </c>
      <c r="T661" s="4">
        <v>48</v>
      </c>
      <c r="U661" s="4">
        <v>91</v>
      </c>
      <c r="V661" s="6">
        <f>IF(ISERROR(VLOOKUP($S$661,'TAR FIN'!$A$1:$O$120,15,0)),0,VLOOKUP($S$661,'TAR FIN'!$A$1:$O$120,15,0))</f>
        <v>0</v>
      </c>
      <c r="W661" s="6">
        <f>IF(ISERROR(VLOOKUP($T$661,'TAR FIN'!$A$1:$O$120,15,0)),0,VLOOKUP($T$661,'TAR FIN'!$A$1:$O$120,15,0))</f>
        <v>164.81</v>
      </c>
      <c r="X661" s="6">
        <f>IF(ISERROR(VLOOKUP($U$661,'TAR FIN'!$A$1:$O$120,15,0)),0,VLOOKUP($U$661,'TAR FIN'!$A$1:$O$120,15,0))</f>
        <v>243.83</v>
      </c>
      <c r="Y661" s="6"/>
      <c r="Z661" s="6">
        <f ca="1">('TUSD BE'!$AM$58+'TUSD BF'!$AM$58+'TUSD CVA'!$AM$58-('TUSD BE'!$P$58+'TUSD BF'!$P$58+'TUSD CVA'!$P$58)-('TUSD BE'!$Q$58+'TUSD BF'!$Q$58+'TUSD CVA'!$Q$58)-('TUSD BE'!$R$58+'TUSD BF'!$R$58+'TUSD CVA'!$R$58))*(1-CUSTOS!$M$36)</f>
        <v>178.66223574861104</v>
      </c>
      <c r="AA661" s="6">
        <f>('TE BE'!$AA$22+'TE BF'!$AA$22+'TE CVA'!$AA$22)*(1-CUSTOS!$M$36)</f>
        <v>218.61510796422959</v>
      </c>
      <c r="AB661" s="6">
        <f t="shared" si="34"/>
        <v>0</v>
      </c>
      <c r="AC661" s="6">
        <f>(L661-M661)*(W661+X661)+($W$683+$X$683-$W$661-$X$661)*(L661)</f>
        <v>7.3548000000000009</v>
      </c>
      <c r="AD661" s="6">
        <f t="shared" si="35"/>
        <v>0</v>
      </c>
      <c r="AE661" s="6">
        <f ca="1">(L661-M661)*(Z661+AA661)+($Z$683+$AA$683-$Z$661-$AA$661)*(L661)</f>
        <v>7.1509921868311377</v>
      </c>
      <c r="AF661" s="4" t="s">
        <v>1153</v>
      </c>
    </row>
    <row r="662" spans="1:32" ht="11.25" customHeight="1" x14ac:dyDescent="0.25">
      <c r="A662" s="4" t="s">
        <v>21</v>
      </c>
      <c r="B662" s="4" t="s">
        <v>22</v>
      </c>
      <c r="C662" s="4" t="s">
        <v>23</v>
      </c>
      <c r="D662" s="4" t="s">
        <v>24</v>
      </c>
      <c r="E662" s="4" t="s">
        <v>31</v>
      </c>
      <c r="F662" s="4" t="s">
        <v>25</v>
      </c>
      <c r="G662" s="4" t="s">
        <v>25</v>
      </c>
      <c r="H662" s="4" t="s">
        <v>25</v>
      </c>
      <c r="I662" s="5">
        <v>43770</v>
      </c>
      <c r="J662" s="6">
        <v>0</v>
      </c>
      <c r="K662" s="6">
        <v>0</v>
      </c>
      <c r="L662" s="6">
        <v>591.92100000000005</v>
      </c>
      <c r="M662" s="6">
        <v>591.92100000000005</v>
      </c>
      <c r="N662" s="6">
        <v>591.92100000000005</v>
      </c>
      <c r="O662" s="6">
        <v>591.92100000000005</v>
      </c>
      <c r="P662" s="6">
        <v>4780</v>
      </c>
      <c r="Q662" s="4" t="s">
        <v>26</v>
      </c>
      <c r="R662" s="4">
        <v>0</v>
      </c>
      <c r="S662" s="4">
        <v>0</v>
      </c>
      <c r="T662" s="4">
        <v>48</v>
      </c>
      <c r="U662" s="4">
        <v>91</v>
      </c>
      <c r="V662" s="6">
        <f>IF(ISERROR(VLOOKUP($S$662,'TAR FIN'!$A$1:$O$120,15,0)),0,VLOOKUP($S$662,'TAR FIN'!$A$1:$O$120,15,0))</f>
        <v>0</v>
      </c>
      <c r="W662" s="6">
        <f>IF(ISERROR(VLOOKUP($T$662,'TAR FIN'!$A$1:$O$120,15,0)),0,VLOOKUP($T$662,'TAR FIN'!$A$1:$O$120,15,0))</f>
        <v>164.81</v>
      </c>
      <c r="X662" s="6">
        <f>IF(ISERROR(VLOOKUP($U$662,'TAR FIN'!$A$1:$O$120,15,0)),0,VLOOKUP($U$662,'TAR FIN'!$A$1:$O$120,15,0))</f>
        <v>243.83</v>
      </c>
      <c r="Y662" s="6"/>
      <c r="Z662" s="6">
        <f ca="1">('TUSD BE'!$AM$58+'TUSD BF'!$AM$58+'TUSD CVA'!$AM$58-('TUSD BE'!$P$58+'TUSD BF'!$P$58+'TUSD CVA'!$P$58)-('TUSD BE'!$Q$58+'TUSD BF'!$Q$58+'TUSD CVA'!$Q$58)-('TUSD BE'!$R$58+'TUSD BF'!$R$58+'TUSD CVA'!$R$58))*(1-CUSTOS!$M$36)</f>
        <v>178.66223574861104</v>
      </c>
      <c r="AA662" s="6">
        <f>('TE BE'!$AA$22+'TE BF'!$AA$22+'TE CVA'!$AA$22)*(1-CUSTOS!$M$36)</f>
        <v>218.61510796422959</v>
      </c>
      <c r="AB662" s="6">
        <f t="shared" si="34"/>
        <v>0</v>
      </c>
      <c r="AC662" s="6">
        <f>(L662-M662)*(W662+X662)+($W$683+$X$683-$W$662-$X$662)*(L662)</f>
        <v>26873.213400000004</v>
      </c>
      <c r="AD662" s="6">
        <f t="shared" si="35"/>
        <v>0</v>
      </c>
      <c r="AE662" s="6">
        <f ca="1">(L662-M662)*(Z662+AA662)+($Z$683+$AA$683-$Z$662-$AA$662)*(L662)</f>
        <v>26128.533618649839</v>
      </c>
      <c r="AF662" s="4" t="s">
        <v>1153</v>
      </c>
    </row>
    <row r="663" spans="1:32" ht="11.25" customHeight="1" x14ac:dyDescent="0.25">
      <c r="A663" s="4" t="s">
        <v>27</v>
      </c>
      <c r="B663" s="4" t="s">
        <v>22</v>
      </c>
      <c r="C663" s="4" t="s">
        <v>23</v>
      </c>
      <c r="D663" s="4" t="s">
        <v>24</v>
      </c>
      <c r="E663" s="4" t="s">
        <v>31</v>
      </c>
      <c r="F663" s="4" t="s">
        <v>25</v>
      </c>
      <c r="G663" s="4" t="s">
        <v>25</v>
      </c>
      <c r="H663" s="4" t="s">
        <v>25</v>
      </c>
      <c r="I663" s="5">
        <v>43770</v>
      </c>
      <c r="J663" s="6">
        <v>0</v>
      </c>
      <c r="K663" s="6">
        <v>0</v>
      </c>
      <c r="L663" s="6">
        <v>0.36899999999999999</v>
      </c>
      <c r="M663" s="6">
        <v>0.36899999999999999</v>
      </c>
      <c r="N663" s="6">
        <v>0.36899999999999999</v>
      </c>
      <c r="O663" s="6">
        <v>0.36899999999999999</v>
      </c>
      <c r="P663" s="6">
        <v>0</v>
      </c>
      <c r="Q663" s="4" t="s">
        <v>26</v>
      </c>
      <c r="R663" s="4">
        <v>0</v>
      </c>
      <c r="S663" s="4">
        <v>0</v>
      </c>
      <c r="T663" s="4">
        <v>48</v>
      </c>
      <c r="U663" s="4">
        <v>91</v>
      </c>
      <c r="V663" s="6">
        <f>IF(ISERROR(VLOOKUP($S$663,'TAR FIN'!$A$1:$O$120,15,0)),0,VLOOKUP($S$663,'TAR FIN'!$A$1:$O$120,15,0))</f>
        <v>0</v>
      </c>
      <c r="W663" s="6">
        <f>IF(ISERROR(VLOOKUP($T$663,'TAR FIN'!$A$1:$O$120,15,0)),0,VLOOKUP($T$663,'TAR FIN'!$A$1:$O$120,15,0))</f>
        <v>164.81</v>
      </c>
      <c r="X663" s="6">
        <f>IF(ISERROR(VLOOKUP($U$663,'TAR FIN'!$A$1:$O$120,15,0)),0,VLOOKUP($U$663,'TAR FIN'!$A$1:$O$120,15,0))</f>
        <v>243.83</v>
      </c>
      <c r="Y663" s="6"/>
      <c r="Z663" s="6">
        <f ca="1">('TUSD BE'!$AM$58+'TUSD BF'!$AM$58+'TUSD CVA'!$AM$58-('TUSD BE'!$P$58+'TUSD BF'!$P$58+'TUSD CVA'!$P$58)-('TUSD BE'!$Q$58+'TUSD BF'!$Q$58+'TUSD CVA'!$Q$58)-('TUSD BE'!$R$58+'TUSD BF'!$R$58+'TUSD CVA'!$R$58))*(1-CUSTOS!$M$36)</f>
        <v>178.66223574861104</v>
      </c>
      <c r="AA663" s="6">
        <f>('TE BE'!$AA$22+'TE BF'!$AA$22+'TE CVA'!$AA$22)*(1-CUSTOS!$M$36)</f>
        <v>218.61510796422959</v>
      </c>
      <c r="AB663" s="6">
        <f t="shared" si="34"/>
        <v>0</v>
      </c>
      <c r="AC663" s="6">
        <f>(L663-M663)*(W663+X663)+($W$683+$X$683-$W$663-$X$663)*(L663)</f>
        <v>16.752600000000001</v>
      </c>
      <c r="AD663" s="6">
        <f t="shared" si="35"/>
        <v>0</v>
      </c>
      <c r="AE663" s="6">
        <f ca="1">(L663-M663)*(Z663+AA663)+($Z$683+$AA$683-$Z$663-$AA$663)*(L663)</f>
        <v>16.288371092226477</v>
      </c>
      <c r="AF663" s="4" t="s">
        <v>1153</v>
      </c>
    </row>
    <row r="664" spans="1:32" ht="11.25" customHeight="1" x14ac:dyDescent="0.25">
      <c r="A664" s="4" t="s">
        <v>21</v>
      </c>
      <c r="B664" s="4" t="s">
        <v>22</v>
      </c>
      <c r="C664" s="4" t="s">
        <v>23</v>
      </c>
      <c r="D664" s="4" t="s">
        <v>24</v>
      </c>
      <c r="E664" s="4" t="s">
        <v>31</v>
      </c>
      <c r="F664" s="4" t="s">
        <v>25</v>
      </c>
      <c r="G664" s="4" t="s">
        <v>25</v>
      </c>
      <c r="H664" s="4" t="s">
        <v>25</v>
      </c>
      <c r="I664" s="5">
        <v>43800</v>
      </c>
      <c r="J664" s="6">
        <v>0</v>
      </c>
      <c r="K664" s="6">
        <v>0</v>
      </c>
      <c r="L664" s="6">
        <v>497.43099999999998</v>
      </c>
      <c r="M664" s="6">
        <v>497.43099999999998</v>
      </c>
      <c r="N664" s="6">
        <v>497.43099999999998</v>
      </c>
      <c r="O664" s="6">
        <v>497.43099999999998</v>
      </c>
      <c r="P664" s="6">
        <v>5077</v>
      </c>
      <c r="Q664" s="4" t="s">
        <v>26</v>
      </c>
      <c r="R664" s="4">
        <v>0</v>
      </c>
      <c r="S664" s="4">
        <v>0</v>
      </c>
      <c r="T664" s="4">
        <v>48</v>
      </c>
      <c r="U664" s="4">
        <v>91</v>
      </c>
      <c r="V664" s="6">
        <f>IF(ISERROR(VLOOKUP($S$664,'TAR FIN'!$A$1:$O$120,15,0)),0,VLOOKUP($S$664,'TAR FIN'!$A$1:$O$120,15,0))</f>
        <v>0</v>
      </c>
      <c r="W664" s="6">
        <f>IF(ISERROR(VLOOKUP($T$664,'TAR FIN'!$A$1:$O$120,15,0)),0,VLOOKUP($T$664,'TAR FIN'!$A$1:$O$120,15,0))</f>
        <v>164.81</v>
      </c>
      <c r="X664" s="6">
        <f>IF(ISERROR(VLOOKUP($U$664,'TAR FIN'!$A$1:$O$120,15,0)),0,VLOOKUP($U$664,'TAR FIN'!$A$1:$O$120,15,0))</f>
        <v>243.83</v>
      </c>
      <c r="Y664" s="6"/>
      <c r="Z664" s="6">
        <f ca="1">('TUSD BE'!$AM$58+'TUSD BF'!$AM$58+'TUSD CVA'!$AM$58-('TUSD BE'!$P$58+'TUSD BF'!$P$58+'TUSD CVA'!$P$58)-('TUSD BE'!$Q$58+'TUSD BF'!$Q$58+'TUSD CVA'!$Q$58)-('TUSD BE'!$R$58+'TUSD BF'!$R$58+'TUSD CVA'!$R$58))*(1-CUSTOS!$M$36)</f>
        <v>178.66223574861104</v>
      </c>
      <c r="AA664" s="6">
        <f>('TE BE'!$AA$22+'TE BF'!$AA$22+'TE CVA'!$AA$22)*(1-CUSTOS!$M$36)</f>
        <v>218.61510796422959</v>
      </c>
      <c r="AB664" s="6">
        <f t="shared" si="34"/>
        <v>0</v>
      </c>
      <c r="AC664" s="6">
        <f>(L664-M664)*(W664+X664)+($W$683+$X$683-$W$664-$X$664)*(L664)</f>
        <v>22583.367400000003</v>
      </c>
      <c r="AD664" s="6">
        <f t="shared" si="35"/>
        <v>0</v>
      </c>
      <c r="AE664" s="6">
        <f ca="1">(L664-M664)*(Z664+AA664)+($Z$683+$AA$683-$Z$664-$AA$664)*(L664)</f>
        <v>21957.562928935797</v>
      </c>
      <c r="AF664" s="4" t="s">
        <v>1153</v>
      </c>
    </row>
    <row r="665" spans="1:32" ht="11.25" customHeight="1" x14ac:dyDescent="0.25">
      <c r="A665" s="4" t="s">
        <v>27</v>
      </c>
      <c r="B665" s="4" t="s">
        <v>22</v>
      </c>
      <c r="C665" s="4" t="s">
        <v>23</v>
      </c>
      <c r="D665" s="4" t="s">
        <v>24</v>
      </c>
      <c r="E665" s="4" t="s">
        <v>31</v>
      </c>
      <c r="F665" s="4" t="s">
        <v>25</v>
      </c>
      <c r="G665" s="4" t="s">
        <v>25</v>
      </c>
      <c r="H665" s="4" t="s">
        <v>25</v>
      </c>
      <c r="I665" s="5">
        <v>43800</v>
      </c>
      <c r="J665" s="6">
        <v>0</v>
      </c>
      <c r="K665" s="6">
        <v>0</v>
      </c>
      <c r="L665" s="6">
        <v>0.13</v>
      </c>
      <c r="M665" s="6">
        <v>0.13</v>
      </c>
      <c r="N665" s="6">
        <v>0.13</v>
      </c>
      <c r="O665" s="6">
        <v>0.13</v>
      </c>
      <c r="P665" s="6">
        <v>1</v>
      </c>
      <c r="Q665" s="4" t="s">
        <v>26</v>
      </c>
      <c r="R665" s="4">
        <v>0</v>
      </c>
      <c r="S665" s="4">
        <v>0</v>
      </c>
      <c r="T665" s="4">
        <v>48</v>
      </c>
      <c r="U665" s="4">
        <v>91</v>
      </c>
      <c r="V665" s="6">
        <f>IF(ISERROR(VLOOKUP($S$665,'TAR FIN'!$A$1:$O$120,15,0)),0,VLOOKUP($S$665,'TAR FIN'!$A$1:$O$120,15,0))</f>
        <v>0</v>
      </c>
      <c r="W665" s="6">
        <f>IF(ISERROR(VLOOKUP($T$665,'TAR FIN'!$A$1:$O$120,15,0)),0,VLOOKUP($T$665,'TAR FIN'!$A$1:$O$120,15,0))</f>
        <v>164.81</v>
      </c>
      <c r="X665" s="6">
        <f>IF(ISERROR(VLOOKUP($U$665,'TAR FIN'!$A$1:$O$120,15,0)),0,VLOOKUP($U$665,'TAR FIN'!$A$1:$O$120,15,0))</f>
        <v>243.83</v>
      </c>
      <c r="Y665" s="6"/>
      <c r="Z665" s="6">
        <f ca="1">('TUSD BE'!$AM$58+'TUSD BF'!$AM$58+'TUSD CVA'!$AM$58-('TUSD BE'!$P$58+'TUSD BF'!$P$58+'TUSD CVA'!$P$58)-('TUSD BE'!$Q$58+'TUSD BF'!$Q$58+'TUSD CVA'!$Q$58)-('TUSD BE'!$R$58+'TUSD BF'!$R$58+'TUSD CVA'!$R$58))*(1-CUSTOS!$M$36)</f>
        <v>178.66223574861104</v>
      </c>
      <c r="AA665" s="6">
        <f>('TE BE'!$AA$22+'TE BF'!$AA$22+'TE CVA'!$AA$22)*(1-CUSTOS!$M$36)</f>
        <v>218.61510796422959</v>
      </c>
      <c r="AB665" s="6">
        <f t="shared" si="34"/>
        <v>0</v>
      </c>
      <c r="AC665" s="6">
        <f>(L665-M665)*(W665+X665)+($W$683+$X$683-$W$665-$X$665)*(L665)</f>
        <v>5.902000000000001</v>
      </c>
      <c r="AD665" s="6">
        <f t="shared" si="35"/>
        <v>0</v>
      </c>
      <c r="AE665" s="6">
        <f ca="1">(L665-M665)*(Z665+AA665)+($Z$683+$AA$683-$Z$665-$AA$665)*(L665)</f>
        <v>5.7384505202965919</v>
      </c>
      <c r="AF665" s="4" t="s">
        <v>1153</v>
      </c>
    </row>
    <row r="666" spans="1:32" ht="11.25" customHeight="1" x14ac:dyDescent="0.25">
      <c r="A666" s="4" t="s">
        <v>21</v>
      </c>
      <c r="B666" s="4" t="s">
        <v>22</v>
      </c>
      <c r="C666" s="4" t="s">
        <v>23</v>
      </c>
      <c r="D666" s="4" t="s">
        <v>24</v>
      </c>
      <c r="E666" s="4" t="s">
        <v>31</v>
      </c>
      <c r="F666" s="4" t="s">
        <v>25</v>
      </c>
      <c r="G666" s="4" t="s">
        <v>25</v>
      </c>
      <c r="H666" s="4" t="s">
        <v>25</v>
      </c>
      <c r="I666" s="5">
        <v>43831</v>
      </c>
      <c r="J666" s="6">
        <v>0</v>
      </c>
      <c r="K666" s="6">
        <v>0</v>
      </c>
      <c r="L666" s="6">
        <v>572.14</v>
      </c>
      <c r="M666" s="6">
        <v>572.14</v>
      </c>
      <c r="N666" s="6">
        <v>572.14</v>
      </c>
      <c r="O666" s="6">
        <v>572.14</v>
      </c>
      <c r="P666" s="6">
        <v>4787</v>
      </c>
      <c r="Q666" s="4" t="s">
        <v>26</v>
      </c>
      <c r="R666" s="4">
        <v>0</v>
      </c>
      <c r="S666" s="4">
        <v>0</v>
      </c>
      <c r="T666" s="4">
        <v>48</v>
      </c>
      <c r="U666" s="4">
        <v>91</v>
      </c>
      <c r="V666" s="6">
        <f>IF(ISERROR(VLOOKUP($S$666,'TAR FIN'!$A$1:$O$120,15,0)),0,VLOOKUP($S$666,'TAR FIN'!$A$1:$O$120,15,0))</f>
        <v>0</v>
      </c>
      <c r="W666" s="6">
        <f>IF(ISERROR(VLOOKUP($T$666,'TAR FIN'!$A$1:$O$120,15,0)),0,VLOOKUP($T$666,'TAR FIN'!$A$1:$O$120,15,0))</f>
        <v>164.81</v>
      </c>
      <c r="X666" s="6">
        <f>IF(ISERROR(VLOOKUP($U$666,'TAR FIN'!$A$1:$O$120,15,0)),0,VLOOKUP($U$666,'TAR FIN'!$A$1:$O$120,15,0))</f>
        <v>243.83</v>
      </c>
      <c r="Y666" s="6"/>
      <c r="Z666" s="6">
        <f ca="1">('TUSD BE'!$AM$58+'TUSD BF'!$AM$58+'TUSD CVA'!$AM$58-('TUSD BE'!$P$58+'TUSD BF'!$P$58+'TUSD CVA'!$P$58)-('TUSD BE'!$Q$58+'TUSD BF'!$Q$58+'TUSD CVA'!$Q$58)-('TUSD BE'!$R$58+'TUSD BF'!$R$58+'TUSD CVA'!$R$58))*(1-CUSTOS!$M$36)</f>
        <v>178.66223574861104</v>
      </c>
      <c r="AA666" s="6">
        <f>('TE BE'!$AA$22+'TE BF'!$AA$22+'TE CVA'!$AA$22)*(1-CUSTOS!$M$36)</f>
        <v>218.61510796422959</v>
      </c>
      <c r="AB666" s="6">
        <f t="shared" si="34"/>
        <v>0</v>
      </c>
      <c r="AC666" s="6">
        <f>(L666-M666)*(W666+X666)+($W$683+$X$683-$W$666-$X$666)*(L666)</f>
        <v>25975.156000000003</v>
      </c>
      <c r="AD666" s="6">
        <f t="shared" si="35"/>
        <v>0</v>
      </c>
      <c r="AE666" s="6">
        <f ca="1">(L666-M666)*(Z666+AA666)+($Z$683+$AA$683-$Z$666-$AA$666)*(L666)</f>
        <v>25255.36215909609</v>
      </c>
      <c r="AF666" s="4" t="s">
        <v>1153</v>
      </c>
    </row>
    <row r="667" spans="1:32" ht="11.25" customHeight="1" x14ac:dyDescent="0.25">
      <c r="A667" s="4" t="s">
        <v>27</v>
      </c>
      <c r="B667" s="4" t="s">
        <v>22</v>
      </c>
      <c r="C667" s="4" t="s">
        <v>23</v>
      </c>
      <c r="D667" s="4" t="s">
        <v>24</v>
      </c>
      <c r="E667" s="4" t="s">
        <v>31</v>
      </c>
      <c r="F667" s="4" t="s">
        <v>25</v>
      </c>
      <c r="G667" s="4" t="s">
        <v>25</v>
      </c>
      <c r="H667" s="4" t="s">
        <v>25</v>
      </c>
      <c r="I667" s="5">
        <v>43831</v>
      </c>
      <c r="J667" s="6">
        <v>0</v>
      </c>
      <c r="K667" s="6">
        <v>0</v>
      </c>
      <c r="L667" s="6">
        <v>0.47199999999999998</v>
      </c>
      <c r="M667" s="6">
        <v>0.47199999999999998</v>
      </c>
      <c r="N667" s="6">
        <v>0.47199999999999998</v>
      </c>
      <c r="O667" s="6">
        <v>0.47199999999999998</v>
      </c>
      <c r="P667" s="6">
        <v>1</v>
      </c>
      <c r="Q667" s="4" t="s">
        <v>26</v>
      </c>
      <c r="R667" s="4">
        <v>0</v>
      </c>
      <c r="S667" s="4">
        <v>0</v>
      </c>
      <c r="T667" s="4">
        <v>48</v>
      </c>
      <c r="U667" s="4">
        <v>91</v>
      </c>
      <c r="V667" s="6">
        <f>IF(ISERROR(VLOOKUP($S$667,'TAR FIN'!$A$1:$O$120,15,0)),0,VLOOKUP($S$667,'TAR FIN'!$A$1:$O$120,15,0))</f>
        <v>0</v>
      </c>
      <c r="W667" s="6">
        <f>IF(ISERROR(VLOOKUP($T$667,'TAR FIN'!$A$1:$O$120,15,0)),0,VLOOKUP($T$667,'TAR FIN'!$A$1:$O$120,15,0))</f>
        <v>164.81</v>
      </c>
      <c r="X667" s="6">
        <f>IF(ISERROR(VLOOKUP($U$667,'TAR FIN'!$A$1:$O$120,15,0)),0,VLOOKUP($U$667,'TAR FIN'!$A$1:$O$120,15,0))</f>
        <v>243.83</v>
      </c>
      <c r="Y667" s="6"/>
      <c r="Z667" s="6">
        <f ca="1">('TUSD BE'!$AM$58+'TUSD BF'!$AM$58+'TUSD CVA'!$AM$58-('TUSD BE'!$P$58+'TUSD BF'!$P$58+'TUSD CVA'!$P$58)-('TUSD BE'!$Q$58+'TUSD BF'!$Q$58+'TUSD CVA'!$Q$58)-('TUSD BE'!$R$58+'TUSD BF'!$R$58+'TUSD CVA'!$R$58))*(1-CUSTOS!$M$36)</f>
        <v>178.66223574861104</v>
      </c>
      <c r="AA667" s="6">
        <f>('TE BE'!$AA$22+'TE BF'!$AA$22+'TE CVA'!$AA$22)*(1-CUSTOS!$M$36)</f>
        <v>218.61510796422959</v>
      </c>
      <c r="AB667" s="6">
        <f t="shared" si="34"/>
        <v>0</v>
      </c>
      <c r="AC667" s="6">
        <f>(L667-M667)*(W667+X667)+($W$683+$X$683-$W$667-$X$667)*(L667)</f>
        <v>21.428800000000003</v>
      </c>
      <c r="AD667" s="6">
        <f t="shared" si="35"/>
        <v>0</v>
      </c>
      <c r="AE667" s="6">
        <f ca="1">(L667-M667)*(Z667+AA667)+($Z$683+$AA$683-$Z$667-$AA$667)*(L667)</f>
        <v>20.834989581384548</v>
      </c>
      <c r="AF667" s="4" t="s">
        <v>1153</v>
      </c>
    </row>
    <row r="668" spans="1:32" ht="11.25" customHeight="1" x14ac:dyDescent="0.25">
      <c r="A668" s="4" t="s">
        <v>21</v>
      </c>
      <c r="B668" s="4" t="s">
        <v>22</v>
      </c>
      <c r="C668" s="4" t="s">
        <v>23</v>
      </c>
      <c r="D668" s="4" t="s">
        <v>24</v>
      </c>
      <c r="E668" s="4" t="s">
        <v>31</v>
      </c>
      <c r="F668" s="4" t="s">
        <v>25</v>
      </c>
      <c r="G668" s="4" t="s">
        <v>25</v>
      </c>
      <c r="H668" s="4" t="s">
        <v>25</v>
      </c>
      <c r="I668" s="5">
        <v>43862</v>
      </c>
      <c r="J668" s="6">
        <v>0</v>
      </c>
      <c r="K668" s="6">
        <v>0</v>
      </c>
      <c r="L668" s="6">
        <v>504.05099999999999</v>
      </c>
      <c r="M668" s="6">
        <v>504.05099999999999</v>
      </c>
      <c r="N668" s="6">
        <v>504.05099999999999</v>
      </c>
      <c r="O668" s="6">
        <v>504.05099999999999</v>
      </c>
      <c r="P668" s="6">
        <v>5056</v>
      </c>
      <c r="Q668" s="4" t="s">
        <v>26</v>
      </c>
      <c r="R668" s="4">
        <v>0</v>
      </c>
      <c r="S668" s="4">
        <v>0</v>
      </c>
      <c r="T668" s="4">
        <v>48</v>
      </c>
      <c r="U668" s="4">
        <v>91</v>
      </c>
      <c r="V668" s="6">
        <f>IF(ISERROR(VLOOKUP($S$668,'TAR FIN'!$A$1:$O$120,15,0)),0,VLOOKUP($S$668,'TAR FIN'!$A$1:$O$120,15,0))</f>
        <v>0</v>
      </c>
      <c r="W668" s="6">
        <f>IF(ISERROR(VLOOKUP($T$668,'TAR FIN'!$A$1:$O$120,15,0)),0,VLOOKUP($T$668,'TAR FIN'!$A$1:$O$120,15,0))</f>
        <v>164.81</v>
      </c>
      <c r="X668" s="6">
        <f>IF(ISERROR(VLOOKUP($U$668,'TAR FIN'!$A$1:$O$120,15,0)),0,VLOOKUP($U$668,'TAR FIN'!$A$1:$O$120,15,0))</f>
        <v>243.83</v>
      </c>
      <c r="Y668" s="6"/>
      <c r="Z668" s="6">
        <f ca="1">('TUSD BE'!$AM$58+'TUSD BF'!$AM$58+'TUSD CVA'!$AM$58-('TUSD BE'!$P$58+'TUSD BF'!$P$58+'TUSD CVA'!$P$58)-('TUSD BE'!$Q$58+'TUSD BF'!$Q$58+'TUSD CVA'!$Q$58)-('TUSD BE'!$R$58+'TUSD BF'!$R$58+'TUSD CVA'!$R$58))*(1-CUSTOS!$M$36)</f>
        <v>178.66223574861104</v>
      </c>
      <c r="AA668" s="6">
        <f>('TE BE'!$AA$22+'TE BF'!$AA$22+'TE CVA'!$AA$22)*(1-CUSTOS!$M$36)</f>
        <v>218.61510796422959</v>
      </c>
      <c r="AB668" s="6">
        <f t="shared" si="34"/>
        <v>0</v>
      </c>
      <c r="AC668" s="6">
        <f>(L668-M668)*(W668+X668)+($W$683+$X$683-$W$668-$X$668)*(L668)</f>
        <v>22883.915400000002</v>
      </c>
      <c r="AD668" s="6">
        <f t="shared" si="35"/>
        <v>0</v>
      </c>
      <c r="AE668" s="6">
        <f ca="1">(L668-M668)*(Z668+AA668)+($Z$683+$AA$683-$Z$668-$AA$668)*(L668)</f>
        <v>22249.782486200133</v>
      </c>
      <c r="AF668" s="4" t="s">
        <v>1153</v>
      </c>
    </row>
    <row r="669" spans="1:32" ht="11.25" customHeight="1" x14ac:dyDescent="0.25">
      <c r="A669" s="4" t="s">
        <v>21</v>
      </c>
      <c r="B669" s="4" t="s">
        <v>22</v>
      </c>
      <c r="C669" s="4" t="s">
        <v>23</v>
      </c>
      <c r="D669" s="4" t="s">
        <v>24</v>
      </c>
      <c r="E669" s="4" t="s">
        <v>31</v>
      </c>
      <c r="F669" s="4" t="s">
        <v>25</v>
      </c>
      <c r="G669" s="4" t="s">
        <v>25</v>
      </c>
      <c r="H669" s="4" t="s">
        <v>25</v>
      </c>
      <c r="I669" s="5">
        <v>43891</v>
      </c>
      <c r="J669" s="6">
        <v>0</v>
      </c>
      <c r="K669" s="6">
        <v>0</v>
      </c>
      <c r="L669" s="6">
        <v>494.346</v>
      </c>
      <c r="M669" s="6">
        <v>494.346</v>
      </c>
      <c r="N669" s="6">
        <v>494.346</v>
      </c>
      <c r="O669" s="6">
        <v>494.346</v>
      </c>
      <c r="P669" s="6">
        <v>4739</v>
      </c>
      <c r="Q669" s="4" t="s">
        <v>26</v>
      </c>
      <c r="R669" s="4">
        <v>0</v>
      </c>
      <c r="S669" s="4">
        <v>0</v>
      </c>
      <c r="T669" s="4">
        <v>48</v>
      </c>
      <c r="U669" s="4">
        <v>91</v>
      </c>
      <c r="V669" s="6">
        <f>IF(ISERROR(VLOOKUP($S$669,'TAR FIN'!$A$1:$O$120,15,0)),0,VLOOKUP($S$669,'TAR FIN'!$A$1:$O$120,15,0))</f>
        <v>0</v>
      </c>
      <c r="W669" s="6">
        <f>IF(ISERROR(VLOOKUP($T$669,'TAR FIN'!$A$1:$O$120,15,0)),0,VLOOKUP($T$669,'TAR FIN'!$A$1:$O$120,15,0))</f>
        <v>164.81</v>
      </c>
      <c r="X669" s="6">
        <f>IF(ISERROR(VLOOKUP($U$669,'TAR FIN'!$A$1:$O$120,15,0)),0,VLOOKUP($U$669,'TAR FIN'!$A$1:$O$120,15,0))</f>
        <v>243.83</v>
      </c>
      <c r="Y669" s="6"/>
      <c r="Z669" s="6">
        <f ca="1">('TUSD BE'!$AM$58+'TUSD BF'!$AM$58+'TUSD CVA'!$AM$58-('TUSD BE'!$P$58+'TUSD BF'!$P$58+'TUSD CVA'!$P$58)-('TUSD BE'!$Q$58+'TUSD BF'!$Q$58+'TUSD CVA'!$Q$58)-('TUSD BE'!$R$58+'TUSD BF'!$R$58+'TUSD CVA'!$R$58))*(1-CUSTOS!$M$36)</f>
        <v>178.66223574861104</v>
      </c>
      <c r="AA669" s="6">
        <f>('TE BE'!$AA$22+'TE BF'!$AA$22+'TE CVA'!$AA$22)*(1-CUSTOS!$M$36)</f>
        <v>218.61510796422959</v>
      </c>
      <c r="AB669" s="6">
        <f t="shared" si="34"/>
        <v>0</v>
      </c>
      <c r="AC669" s="6">
        <f>(L669-M669)*(W669+X669)+($W$683+$X$683-$W$669-$X$669)*(L669)</f>
        <v>22443.308400000002</v>
      </c>
      <c r="AD669" s="6">
        <f t="shared" si="35"/>
        <v>0</v>
      </c>
      <c r="AE669" s="6">
        <f ca="1">(L669-M669)*(Z669+AA669)+($Z$683+$AA$683-$Z$669-$AA$669)*(L669)</f>
        <v>21821.385083896454</v>
      </c>
      <c r="AF669" s="4" t="s">
        <v>1153</v>
      </c>
    </row>
    <row r="670" spans="1:32" ht="11.25" customHeight="1" x14ac:dyDescent="0.25">
      <c r="A670" s="4" t="s">
        <v>27</v>
      </c>
      <c r="B670" s="4" t="s">
        <v>22</v>
      </c>
      <c r="C670" s="4" t="s">
        <v>23</v>
      </c>
      <c r="D670" s="4" t="s">
        <v>24</v>
      </c>
      <c r="E670" s="4" t="s">
        <v>31</v>
      </c>
      <c r="F670" s="4" t="s">
        <v>25</v>
      </c>
      <c r="G670" s="4" t="s">
        <v>25</v>
      </c>
      <c r="H670" s="4" t="s">
        <v>25</v>
      </c>
      <c r="I670" s="5">
        <v>43891</v>
      </c>
      <c r="J670" s="6">
        <v>0</v>
      </c>
      <c r="K670" s="6">
        <v>0</v>
      </c>
      <c r="L670" s="6">
        <v>0.503</v>
      </c>
      <c r="M670" s="6">
        <v>0.503</v>
      </c>
      <c r="N670" s="6">
        <v>0.503</v>
      </c>
      <c r="O670" s="6">
        <v>0.503</v>
      </c>
      <c r="P670" s="6">
        <v>1</v>
      </c>
      <c r="Q670" s="4" t="s">
        <v>26</v>
      </c>
      <c r="R670" s="4">
        <v>0</v>
      </c>
      <c r="S670" s="4">
        <v>0</v>
      </c>
      <c r="T670" s="4">
        <v>48</v>
      </c>
      <c r="U670" s="4">
        <v>91</v>
      </c>
      <c r="V670" s="6">
        <f>IF(ISERROR(VLOOKUP($S$670,'TAR FIN'!$A$1:$O$120,15,0)),0,VLOOKUP($S$670,'TAR FIN'!$A$1:$O$120,15,0))</f>
        <v>0</v>
      </c>
      <c r="W670" s="6">
        <f>IF(ISERROR(VLOOKUP($T$670,'TAR FIN'!$A$1:$O$120,15,0)),0,VLOOKUP($T$670,'TAR FIN'!$A$1:$O$120,15,0))</f>
        <v>164.81</v>
      </c>
      <c r="X670" s="6">
        <f>IF(ISERROR(VLOOKUP($U$670,'TAR FIN'!$A$1:$O$120,15,0)),0,VLOOKUP($U$670,'TAR FIN'!$A$1:$O$120,15,0))</f>
        <v>243.83</v>
      </c>
      <c r="Y670" s="6"/>
      <c r="Z670" s="6">
        <f ca="1">('TUSD BE'!$AM$58+'TUSD BF'!$AM$58+'TUSD CVA'!$AM$58-('TUSD BE'!$P$58+'TUSD BF'!$P$58+'TUSD CVA'!$P$58)-('TUSD BE'!$Q$58+'TUSD BF'!$Q$58+'TUSD CVA'!$Q$58)-('TUSD BE'!$R$58+'TUSD BF'!$R$58+'TUSD CVA'!$R$58))*(1-CUSTOS!$M$36)</f>
        <v>178.66223574861104</v>
      </c>
      <c r="AA670" s="6">
        <f>('TE BE'!$AA$22+'TE BF'!$AA$22+'TE CVA'!$AA$22)*(1-CUSTOS!$M$36)</f>
        <v>218.61510796422959</v>
      </c>
      <c r="AB670" s="6">
        <f t="shared" si="34"/>
        <v>0</v>
      </c>
      <c r="AC670" s="6">
        <f>(L670-M670)*(W670+X670)+($W$683+$X$683-$W$670-$X$670)*(L670)</f>
        <v>22.836200000000002</v>
      </c>
      <c r="AD670" s="6">
        <f t="shared" si="35"/>
        <v>0</v>
      </c>
      <c r="AE670" s="6">
        <f ca="1">(L670-M670)*(Z670+AA670)+($Z$683+$AA$683-$Z$670-$AA$670)*(L670)</f>
        <v>22.203389320839889</v>
      </c>
      <c r="AF670" s="4" t="s">
        <v>1153</v>
      </c>
    </row>
    <row r="671" spans="1:32" ht="11.25" customHeight="1" x14ac:dyDescent="0.25">
      <c r="A671" s="4" t="s">
        <v>21</v>
      </c>
      <c r="B671" s="4" t="s">
        <v>22</v>
      </c>
      <c r="C671" s="4" t="s">
        <v>23</v>
      </c>
      <c r="D671" s="4" t="s">
        <v>24</v>
      </c>
      <c r="E671" s="4" t="s">
        <v>31</v>
      </c>
      <c r="F671" s="4" t="s">
        <v>25</v>
      </c>
      <c r="G671" s="4" t="s">
        <v>25</v>
      </c>
      <c r="H671" s="4" t="s">
        <v>25</v>
      </c>
      <c r="I671" s="5">
        <v>43922</v>
      </c>
      <c r="J671" s="6">
        <v>0</v>
      </c>
      <c r="K671" s="6">
        <v>0</v>
      </c>
      <c r="L671" s="6">
        <v>559.23</v>
      </c>
      <c r="M671" s="6">
        <v>559.23</v>
      </c>
      <c r="N671" s="6">
        <v>559.23</v>
      </c>
      <c r="O671" s="6">
        <v>559.23</v>
      </c>
      <c r="P671" s="6">
        <v>4441</v>
      </c>
      <c r="Q671" s="4" t="s">
        <v>26</v>
      </c>
      <c r="R671" s="4">
        <v>0</v>
      </c>
      <c r="S671" s="4">
        <v>0</v>
      </c>
      <c r="T671" s="4">
        <v>48</v>
      </c>
      <c r="U671" s="4">
        <v>91</v>
      </c>
      <c r="V671" s="6">
        <f>IF(ISERROR(VLOOKUP($S$671,'TAR FIN'!$A$1:$O$120,15,0)),0,VLOOKUP($S$671,'TAR FIN'!$A$1:$O$120,15,0))</f>
        <v>0</v>
      </c>
      <c r="W671" s="6">
        <f>IF(ISERROR(VLOOKUP($T$671,'TAR FIN'!$A$1:$O$120,15,0)),0,VLOOKUP($T$671,'TAR FIN'!$A$1:$O$120,15,0))</f>
        <v>164.81</v>
      </c>
      <c r="X671" s="6">
        <f>IF(ISERROR(VLOOKUP($U$671,'TAR FIN'!$A$1:$O$120,15,0)),0,VLOOKUP($U$671,'TAR FIN'!$A$1:$O$120,15,0))</f>
        <v>243.83</v>
      </c>
      <c r="Y671" s="6"/>
      <c r="Z671" s="6">
        <f ca="1">('TUSD BE'!$AM$58+'TUSD BF'!$AM$58+'TUSD CVA'!$AM$58-('TUSD BE'!$P$58+'TUSD BF'!$P$58+'TUSD CVA'!$P$58)-('TUSD BE'!$Q$58+'TUSD BF'!$Q$58+'TUSD CVA'!$Q$58)-('TUSD BE'!$R$58+'TUSD BF'!$R$58+'TUSD CVA'!$R$58))*(1-CUSTOS!$M$36)</f>
        <v>178.66223574861104</v>
      </c>
      <c r="AA671" s="6">
        <f>('TE BE'!$AA$22+'TE BF'!$AA$22+'TE CVA'!$AA$22)*(1-CUSTOS!$M$36)</f>
        <v>218.61510796422959</v>
      </c>
      <c r="AB671" s="6">
        <f t="shared" si="34"/>
        <v>0</v>
      </c>
      <c r="AC671" s="6">
        <f>(L671-M671)*(W671+X671)+($W$683+$X$683-$W$671-$X$671)*(L671)</f>
        <v>25389.042000000005</v>
      </c>
      <c r="AD671" s="6">
        <f t="shared" si="35"/>
        <v>0</v>
      </c>
      <c r="AE671" s="6">
        <f ca="1">(L671-M671)*(Z671+AA671)+($Z$683+$AA$683-$Z$671-$AA$671)*(L671)</f>
        <v>24685.489880503563</v>
      </c>
      <c r="AF671" s="4" t="s">
        <v>1153</v>
      </c>
    </row>
    <row r="672" spans="1:32" ht="11.25" customHeight="1" x14ac:dyDescent="0.25">
      <c r="A672" s="4" t="s">
        <v>27</v>
      </c>
      <c r="B672" s="4" t="s">
        <v>22</v>
      </c>
      <c r="C672" s="4" t="s">
        <v>23</v>
      </c>
      <c r="D672" s="4" t="s">
        <v>24</v>
      </c>
      <c r="E672" s="4" t="s">
        <v>31</v>
      </c>
      <c r="F672" s="4" t="s">
        <v>25</v>
      </c>
      <c r="G672" s="4" t="s">
        <v>25</v>
      </c>
      <c r="H672" s="4" t="s">
        <v>25</v>
      </c>
      <c r="I672" s="5">
        <v>43922</v>
      </c>
      <c r="J672" s="6">
        <v>0</v>
      </c>
      <c r="K672" s="6">
        <v>0</v>
      </c>
      <c r="L672" s="6">
        <v>3.6040000000000001</v>
      </c>
      <c r="M672" s="6">
        <v>3.6040000000000001</v>
      </c>
      <c r="N672" s="6">
        <v>3.6040000000000001</v>
      </c>
      <c r="O672" s="6">
        <v>3.6040000000000001</v>
      </c>
      <c r="P672" s="6">
        <v>2</v>
      </c>
      <c r="Q672" s="4" t="s">
        <v>26</v>
      </c>
      <c r="R672" s="4">
        <v>0</v>
      </c>
      <c r="S672" s="4">
        <v>0</v>
      </c>
      <c r="T672" s="4">
        <v>48</v>
      </c>
      <c r="U672" s="4">
        <v>91</v>
      </c>
      <c r="V672" s="6">
        <f>IF(ISERROR(VLOOKUP($S$672,'TAR FIN'!$A$1:$O$120,15,0)),0,VLOOKUP($S$672,'TAR FIN'!$A$1:$O$120,15,0))</f>
        <v>0</v>
      </c>
      <c r="W672" s="6">
        <f>IF(ISERROR(VLOOKUP($T$672,'TAR FIN'!$A$1:$O$120,15,0)),0,VLOOKUP($T$672,'TAR FIN'!$A$1:$O$120,15,0))</f>
        <v>164.81</v>
      </c>
      <c r="X672" s="6">
        <f>IF(ISERROR(VLOOKUP($U$672,'TAR FIN'!$A$1:$O$120,15,0)),0,VLOOKUP($U$672,'TAR FIN'!$A$1:$O$120,15,0))</f>
        <v>243.83</v>
      </c>
      <c r="Y672" s="6"/>
      <c r="Z672" s="6">
        <f ca="1">('TUSD BE'!$AM$58+'TUSD BF'!$AM$58+'TUSD CVA'!$AM$58-('TUSD BE'!$P$58+'TUSD BF'!$P$58+'TUSD CVA'!$P$58)-('TUSD BE'!$Q$58+'TUSD BF'!$Q$58+'TUSD CVA'!$Q$58)-('TUSD BE'!$R$58+'TUSD BF'!$R$58+'TUSD CVA'!$R$58))*(1-CUSTOS!$M$36)</f>
        <v>178.66223574861104</v>
      </c>
      <c r="AA672" s="6">
        <f>('TE BE'!$AA$22+'TE BF'!$AA$22+'TE CVA'!$AA$22)*(1-CUSTOS!$M$36)</f>
        <v>218.61510796422959</v>
      </c>
      <c r="AB672" s="6">
        <f t="shared" si="34"/>
        <v>0</v>
      </c>
      <c r="AC672" s="6">
        <f>(L672-M672)*(W672+X672)+($W$683+$X$683-$W$672-$X$672)*(L672)</f>
        <v>163.62160000000003</v>
      </c>
      <c r="AD672" s="6">
        <f t="shared" si="35"/>
        <v>0</v>
      </c>
      <c r="AE672" s="6">
        <f ca="1">(L672-M672)*(Z672+AA672)+($Z$683+$AA$683-$Z$672-$AA$672)*(L672)</f>
        <v>159.08750519345321</v>
      </c>
      <c r="AF672" s="4" t="s">
        <v>1153</v>
      </c>
    </row>
    <row r="673" spans="1:32" ht="11.25" customHeight="1" x14ac:dyDescent="0.25">
      <c r="A673" s="4" t="s">
        <v>21</v>
      </c>
      <c r="B673" s="4" t="s">
        <v>22</v>
      </c>
      <c r="C673" s="4" t="s">
        <v>23</v>
      </c>
      <c r="D673" s="4" t="s">
        <v>24</v>
      </c>
      <c r="E673" s="4" t="s">
        <v>31</v>
      </c>
      <c r="F673" s="4" t="s">
        <v>25</v>
      </c>
      <c r="G673" s="4" t="s">
        <v>25</v>
      </c>
      <c r="H673" s="4" t="s">
        <v>25</v>
      </c>
      <c r="I673" s="5">
        <v>43952</v>
      </c>
      <c r="J673" s="6">
        <v>0</v>
      </c>
      <c r="K673" s="6">
        <v>0</v>
      </c>
      <c r="L673" s="6">
        <v>650.62800000000004</v>
      </c>
      <c r="M673" s="6">
        <v>650.62800000000004</v>
      </c>
      <c r="N673" s="6">
        <v>650.62800000000004</v>
      </c>
      <c r="O673" s="6">
        <v>650.62800000000004</v>
      </c>
      <c r="P673" s="6">
        <v>5488</v>
      </c>
      <c r="Q673" s="4" t="s">
        <v>26</v>
      </c>
      <c r="R673" s="4">
        <v>0</v>
      </c>
      <c r="S673" s="4">
        <v>0</v>
      </c>
      <c r="T673" s="4">
        <v>48</v>
      </c>
      <c r="U673" s="4">
        <v>91</v>
      </c>
      <c r="V673" s="6">
        <f>IF(ISERROR(VLOOKUP($S$673,'TAR FIN'!$A$1:$O$120,15,0)),0,VLOOKUP($S$673,'TAR FIN'!$A$1:$O$120,15,0))</f>
        <v>0</v>
      </c>
      <c r="W673" s="6">
        <f>IF(ISERROR(VLOOKUP($T$673,'TAR FIN'!$A$1:$O$120,15,0)),0,VLOOKUP($T$673,'TAR FIN'!$A$1:$O$120,15,0))</f>
        <v>164.81</v>
      </c>
      <c r="X673" s="6">
        <f>IF(ISERROR(VLOOKUP($U$673,'TAR FIN'!$A$1:$O$120,15,0)),0,VLOOKUP($U$673,'TAR FIN'!$A$1:$O$120,15,0))</f>
        <v>243.83</v>
      </c>
      <c r="Y673" s="6"/>
      <c r="Z673" s="6">
        <f ca="1">('TUSD BE'!$AM$58+'TUSD BF'!$AM$58+'TUSD CVA'!$AM$58-('TUSD BE'!$P$58+'TUSD BF'!$P$58+'TUSD CVA'!$P$58)-('TUSD BE'!$Q$58+'TUSD BF'!$Q$58+'TUSD CVA'!$Q$58)-('TUSD BE'!$R$58+'TUSD BF'!$R$58+'TUSD CVA'!$R$58))*(1-CUSTOS!$M$36)</f>
        <v>178.66223574861104</v>
      </c>
      <c r="AA673" s="6">
        <f>('TE BE'!$AA$22+'TE BF'!$AA$22+'TE CVA'!$AA$22)*(1-CUSTOS!$M$36)</f>
        <v>218.61510796422959</v>
      </c>
      <c r="AB673" s="6">
        <f t="shared" si="34"/>
        <v>0</v>
      </c>
      <c r="AC673" s="6">
        <f>(L673-M673)*(W673+X673)+($W$683+$X$683-$W$673-$X$673)*(L673)</f>
        <v>29538.511200000004</v>
      </c>
      <c r="AD673" s="6">
        <f t="shared" si="35"/>
        <v>0</v>
      </c>
      <c r="AE673" s="6">
        <f ca="1">(L673-M673)*(Z673+AA673)+($Z$683+$AA$683-$Z$673-$AA$673)*(L673)</f>
        <v>28719.9737316887</v>
      </c>
      <c r="AF673" s="4" t="s">
        <v>1153</v>
      </c>
    </row>
    <row r="674" spans="1:32" ht="11.25" customHeight="1" x14ac:dyDescent="0.25">
      <c r="A674" s="4" t="s">
        <v>27</v>
      </c>
      <c r="B674" s="4" t="s">
        <v>22</v>
      </c>
      <c r="C674" s="4" t="s">
        <v>23</v>
      </c>
      <c r="D674" s="4" t="s">
        <v>24</v>
      </c>
      <c r="E674" s="4" t="s">
        <v>31</v>
      </c>
      <c r="F674" s="4" t="s">
        <v>25</v>
      </c>
      <c r="G674" s="4" t="s">
        <v>25</v>
      </c>
      <c r="H674" s="4" t="s">
        <v>25</v>
      </c>
      <c r="I674" s="5">
        <v>43952</v>
      </c>
      <c r="J674" s="6">
        <v>0</v>
      </c>
      <c r="K674" s="6">
        <v>0</v>
      </c>
      <c r="L674" s="6">
        <v>9.8010000000000002</v>
      </c>
      <c r="M674" s="6">
        <v>9.8010000000000002</v>
      </c>
      <c r="N674" s="6">
        <v>9.8010000000000002</v>
      </c>
      <c r="O674" s="6">
        <v>9.8010000000000002</v>
      </c>
      <c r="P674" s="6">
        <v>0</v>
      </c>
      <c r="Q674" s="4" t="s">
        <v>26</v>
      </c>
      <c r="R674" s="4">
        <v>0</v>
      </c>
      <c r="S674" s="4">
        <v>0</v>
      </c>
      <c r="T674" s="4">
        <v>48</v>
      </c>
      <c r="U674" s="4">
        <v>91</v>
      </c>
      <c r="V674" s="6">
        <f>IF(ISERROR(VLOOKUP($S$674,'TAR FIN'!$A$1:$O$120,15,0)),0,VLOOKUP($S$674,'TAR FIN'!$A$1:$O$120,15,0))</f>
        <v>0</v>
      </c>
      <c r="W674" s="6">
        <f>IF(ISERROR(VLOOKUP($T$674,'TAR FIN'!$A$1:$O$120,15,0)),0,VLOOKUP($T$674,'TAR FIN'!$A$1:$O$120,15,0))</f>
        <v>164.81</v>
      </c>
      <c r="X674" s="6">
        <f>IF(ISERROR(VLOOKUP($U$674,'TAR FIN'!$A$1:$O$120,15,0)),0,VLOOKUP($U$674,'TAR FIN'!$A$1:$O$120,15,0))</f>
        <v>243.83</v>
      </c>
      <c r="Y674" s="6"/>
      <c r="Z674" s="6">
        <f ca="1">('TUSD BE'!$AM$58+'TUSD BF'!$AM$58+'TUSD CVA'!$AM$58-('TUSD BE'!$P$58+'TUSD BF'!$P$58+'TUSD CVA'!$P$58)-('TUSD BE'!$Q$58+'TUSD BF'!$Q$58+'TUSD CVA'!$Q$58)-('TUSD BE'!$R$58+'TUSD BF'!$R$58+'TUSD CVA'!$R$58))*(1-CUSTOS!$M$36)</f>
        <v>178.66223574861104</v>
      </c>
      <c r="AA674" s="6">
        <f>('TE BE'!$AA$22+'TE BF'!$AA$22+'TE CVA'!$AA$22)*(1-CUSTOS!$M$36)</f>
        <v>218.61510796422959</v>
      </c>
      <c r="AB674" s="6">
        <f t="shared" si="34"/>
        <v>0</v>
      </c>
      <c r="AC674" s="6">
        <f>(L674-M674)*(W674+X674)+($W$683+$X$683-$W$674-$X$674)*(L674)</f>
        <v>444.96540000000005</v>
      </c>
      <c r="AD674" s="6">
        <f t="shared" si="35"/>
        <v>0</v>
      </c>
      <c r="AE674" s="6">
        <f ca="1">(L674-M674)*(Z674+AA674)+($Z$683+$AA$683-$Z$674-$AA$674)*(L674)</f>
        <v>432.63502730328378</v>
      </c>
      <c r="AF674" s="4" t="s">
        <v>1153</v>
      </c>
    </row>
    <row r="675" spans="1:32" ht="11.25" customHeight="1" x14ac:dyDescent="0.25">
      <c r="A675" s="4" t="s">
        <v>21</v>
      </c>
      <c r="B675" s="4" t="s">
        <v>22</v>
      </c>
      <c r="C675" s="4" t="s">
        <v>23</v>
      </c>
      <c r="D675" s="4" t="s">
        <v>24</v>
      </c>
      <c r="E675" s="4" t="s">
        <v>31</v>
      </c>
      <c r="F675" s="4" t="s">
        <v>25</v>
      </c>
      <c r="G675" s="4" t="s">
        <v>25</v>
      </c>
      <c r="H675" s="4" t="s">
        <v>25</v>
      </c>
      <c r="I675" s="5">
        <v>43983</v>
      </c>
      <c r="J675" s="6">
        <v>0</v>
      </c>
      <c r="K675" s="6">
        <v>0</v>
      </c>
      <c r="L675" s="6">
        <v>631.74699999999996</v>
      </c>
      <c r="M675" s="6">
        <v>631.74699999999996</v>
      </c>
      <c r="N675" s="6">
        <v>631.74699999999996</v>
      </c>
      <c r="O675" s="6">
        <v>631.74699999999996</v>
      </c>
      <c r="P675" s="6">
        <v>6146</v>
      </c>
      <c r="Q675" s="4" t="s">
        <v>26</v>
      </c>
      <c r="R675" s="4">
        <v>0</v>
      </c>
      <c r="S675" s="4">
        <v>0</v>
      </c>
      <c r="T675" s="4">
        <v>48</v>
      </c>
      <c r="U675" s="4">
        <v>91</v>
      </c>
      <c r="V675" s="6">
        <f>IF(ISERROR(VLOOKUP($S$675,'TAR FIN'!$A$1:$O$120,15,0)),0,VLOOKUP($S$675,'TAR FIN'!$A$1:$O$120,15,0))</f>
        <v>0</v>
      </c>
      <c r="W675" s="6">
        <f>IF(ISERROR(VLOOKUP($T$675,'TAR FIN'!$A$1:$O$120,15,0)),0,VLOOKUP($T$675,'TAR FIN'!$A$1:$O$120,15,0))</f>
        <v>164.81</v>
      </c>
      <c r="X675" s="6">
        <f>IF(ISERROR(VLOOKUP($U$675,'TAR FIN'!$A$1:$O$120,15,0)),0,VLOOKUP($U$675,'TAR FIN'!$A$1:$O$120,15,0))</f>
        <v>243.83</v>
      </c>
      <c r="Y675" s="6"/>
      <c r="Z675" s="6">
        <f ca="1">('TUSD BE'!$AM$58+'TUSD BF'!$AM$58+'TUSD CVA'!$AM$58-('TUSD BE'!$P$58+'TUSD BF'!$P$58+'TUSD CVA'!$P$58)-('TUSD BE'!$Q$58+'TUSD BF'!$Q$58+'TUSD CVA'!$Q$58)-('TUSD BE'!$R$58+'TUSD BF'!$R$58+'TUSD CVA'!$R$58))*(1-CUSTOS!$M$36)</f>
        <v>178.66223574861104</v>
      </c>
      <c r="AA675" s="6">
        <f>('TE BE'!$AA$22+'TE BF'!$AA$22+'TE CVA'!$AA$22)*(1-CUSTOS!$M$36)</f>
        <v>218.61510796422959</v>
      </c>
      <c r="AB675" s="6">
        <f t="shared" si="34"/>
        <v>0</v>
      </c>
      <c r="AC675" s="6">
        <f>(L675-M675)*(W675+X675)+($W$683+$X$683-$W$675-$X$675)*(L675)</f>
        <v>28681.3138</v>
      </c>
      <c r="AD675" s="6">
        <f t="shared" si="35"/>
        <v>0</v>
      </c>
      <c r="AE675" s="6">
        <f ca="1">(L675-M675)*(Z675+AA675)+($Z$683+$AA$683-$Z$675-$AA$675)*(L675)</f>
        <v>27886.530006506233</v>
      </c>
      <c r="AF675" s="4" t="s">
        <v>1153</v>
      </c>
    </row>
    <row r="676" spans="1:32" ht="11.25" customHeight="1" x14ac:dyDescent="0.25">
      <c r="A676" s="4" t="s">
        <v>27</v>
      </c>
      <c r="B676" s="4" t="s">
        <v>22</v>
      </c>
      <c r="C676" s="4" t="s">
        <v>23</v>
      </c>
      <c r="D676" s="4" t="s">
        <v>24</v>
      </c>
      <c r="E676" s="4" t="s">
        <v>31</v>
      </c>
      <c r="F676" s="4" t="s">
        <v>25</v>
      </c>
      <c r="G676" s="4" t="s">
        <v>25</v>
      </c>
      <c r="H676" s="4" t="s">
        <v>25</v>
      </c>
      <c r="I676" s="5">
        <v>43983</v>
      </c>
      <c r="J676" s="6">
        <v>0</v>
      </c>
      <c r="K676" s="6">
        <v>0</v>
      </c>
      <c r="L676" s="6">
        <v>0.84</v>
      </c>
      <c r="M676" s="6">
        <v>0.84</v>
      </c>
      <c r="N676" s="6">
        <v>0.84</v>
      </c>
      <c r="O676" s="6">
        <v>0.84</v>
      </c>
      <c r="P676" s="6">
        <v>0</v>
      </c>
      <c r="Q676" s="4" t="s">
        <v>26</v>
      </c>
      <c r="R676" s="4">
        <v>0</v>
      </c>
      <c r="S676" s="4">
        <v>0</v>
      </c>
      <c r="T676" s="4">
        <v>48</v>
      </c>
      <c r="U676" s="4">
        <v>91</v>
      </c>
      <c r="V676" s="6">
        <f>IF(ISERROR(VLOOKUP($S$676,'TAR FIN'!$A$1:$O$120,15,0)),0,VLOOKUP($S$676,'TAR FIN'!$A$1:$O$120,15,0))</f>
        <v>0</v>
      </c>
      <c r="W676" s="6">
        <f>IF(ISERROR(VLOOKUP($T$676,'TAR FIN'!$A$1:$O$120,15,0)),0,VLOOKUP($T$676,'TAR FIN'!$A$1:$O$120,15,0))</f>
        <v>164.81</v>
      </c>
      <c r="X676" s="6">
        <f>IF(ISERROR(VLOOKUP($U$676,'TAR FIN'!$A$1:$O$120,15,0)),0,VLOOKUP($U$676,'TAR FIN'!$A$1:$O$120,15,0))</f>
        <v>243.83</v>
      </c>
      <c r="Y676" s="6"/>
      <c r="Z676" s="6">
        <f ca="1">('TUSD BE'!$AM$58+'TUSD BF'!$AM$58+'TUSD CVA'!$AM$58-('TUSD BE'!$P$58+'TUSD BF'!$P$58+'TUSD CVA'!$P$58)-('TUSD BE'!$Q$58+'TUSD BF'!$Q$58+'TUSD CVA'!$Q$58)-('TUSD BE'!$R$58+'TUSD BF'!$R$58+'TUSD CVA'!$R$58))*(1-CUSTOS!$M$36)</f>
        <v>178.66223574861104</v>
      </c>
      <c r="AA676" s="6">
        <f>('TE BE'!$AA$22+'TE BF'!$AA$22+'TE CVA'!$AA$22)*(1-CUSTOS!$M$36)</f>
        <v>218.61510796422959</v>
      </c>
      <c r="AB676" s="6">
        <f t="shared" si="34"/>
        <v>0</v>
      </c>
      <c r="AC676" s="6">
        <f>(L676-M676)*(W676+X676)+($W$683+$X$683-$W$676-$X$676)*(L676)</f>
        <v>38.136000000000003</v>
      </c>
      <c r="AD676" s="6">
        <f t="shared" si="35"/>
        <v>0</v>
      </c>
      <c r="AE676" s="6">
        <f ca="1">(L676-M676)*(Z676+AA676)+($Z$683+$AA$683-$Z$676-$AA$676)*(L676)</f>
        <v>37.079218746531822</v>
      </c>
      <c r="AF676" s="4" t="s">
        <v>1153</v>
      </c>
    </row>
    <row r="677" spans="1:32" ht="11.25" customHeight="1" x14ac:dyDescent="0.25">
      <c r="A677" s="4" t="s">
        <v>21</v>
      </c>
      <c r="B677" s="4" t="s">
        <v>22</v>
      </c>
      <c r="C677" s="4" t="s">
        <v>23</v>
      </c>
      <c r="D677" s="4" t="s">
        <v>24</v>
      </c>
      <c r="E677" s="4" t="s">
        <v>31</v>
      </c>
      <c r="F677" s="4" t="s">
        <v>25</v>
      </c>
      <c r="G677" s="4" t="s">
        <v>25</v>
      </c>
      <c r="H677" s="4" t="s">
        <v>25</v>
      </c>
      <c r="I677" s="5">
        <v>44013</v>
      </c>
      <c r="J677" s="6">
        <v>0</v>
      </c>
      <c r="K677" s="6">
        <v>0</v>
      </c>
      <c r="L677" s="6">
        <v>691.83699999999999</v>
      </c>
      <c r="M677" s="6">
        <v>691.83699999999999</v>
      </c>
      <c r="N677" s="6">
        <v>691.83699999999999</v>
      </c>
      <c r="O677" s="6">
        <v>691.83699999999999</v>
      </c>
      <c r="P677" s="6">
        <v>6209</v>
      </c>
      <c r="Q677" s="4" t="s">
        <v>26</v>
      </c>
      <c r="R677" s="4">
        <v>0</v>
      </c>
      <c r="S677" s="4">
        <v>0</v>
      </c>
      <c r="T677" s="4">
        <v>48</v>
      </c>
      <c r="U677" s="4">
        <v>91</v>
      </c>
      <c r="V677" s="6">
        <f>IF(ISERROR(VLOOKUP($S$677,'TAR FIN'!$A$1:$O$120,15,0)),0,VLOOKUP($S$677,'TAR FIN'!$A$1:$O$120,15,0))</f>
        <v>0</v>
      </c>
      <c r="W677" s="6">
        <f>IF(ISERROR(VLOOKUP($T$677,'TAR FIN'!$A$1:$O$120,15,0)),0,VLOOKUP($T$677,'TAR FIN'!$A$1:$O$120,15,0))</f>
        <v>164.81</v>
      </c>
      <c r="X677" s="6">
        <f>IF(ISERROR(VLOOKUP($U$677,'TAR FIN'!$A$1:$O$120,15,0)),0,VLOOKUP($U$677,'TAR FIN'!$A$1:$O$120,15,0))</f>
        <v>243.83</v>
      </c>
      <c r="Y677" s="6"/>
      <c r="Z677" s="6">
        <f ca="1">('TUSD BE'!$AM$58+'TUSD BF'!$AM$58+'TUSD CVA'!$AM$58-('TUSD BE'!$P$58+'TUSD BF'!$P$58+'TUSD CVA'!$P$58)-('TUSD BE'!$Q$58+'TUSD BF'!$Q$58+'TUSD CVA'!$Q$58)-('TUSD BE'!$R$58+'TUSD BF'!$R$58+'TUSD CVA'!$R$58))*(1-CUSTOS!$M$36)</f>
        <v>178.66223574861104</v>
      </c>
      <c r="AA677" s="6">
        <f>('TE BE'!$AA$22+'TE BF'!$AA$22+'TE CVA'!$AA$22)*(1-CUSTOS!$M$36)</f>
        <v>218.61510796422959</v>
      </c>
      <c r="AB677" s="6">
        <f t="shared" si="34"/>
        <v>0</v>
      </c>
      <c r="AC677" s="6">
        <f>(L677-M677)*(W677+X677)+($W$683+$X$683-$W$677-$X$677)*(L677)</f>
        <v>31409.399800000003</v>
      </c>
      <c r="AD677" s="6">
        <f t="shared" si="35"/>
        <v>0</v>
      </c>
      <c r="AE677" s="6">
        <f ca="1">(L677-M677)*(Z677+AA677)+($Z$683+$AA$683-$Z$677-$AA$677)*(L677)</f>
        <v>30539.018404695638</v>
      </c>
      <c r="AF677" s="4" t="s">
        <v>1153</v>
      </c>
    </row>
    <row r="678" spans="1:32" ht="11.25" customHeight="1" x14ac:dyDescent="0.25">
      <c r="A678" s="4" t="s">
        <v>27</v>
      </c>
      <c r="B678" s="4" t="s">
        <v>22</v>
      </c>
      <c r="C678" s="4" t="s">
        <v>23</v>
      </c>
      <c r="D678" s="4" t="s">
        <v>24</v>
      </c>
      <c r="E678" s="4" t="s">
        <v>31</v>
      </c>
      <c r="F678" s="4" t="s">
        <v>25</v>
      </c>
      <c r="G678" s="4" t="s">
        <v>25</v>
      </c>
      <c r="H678" s="4" t="s">
        <v>25</v>
      </c>
      <c r="I678" s="5">
        <v>44013</v>
      </c>
      <c r="J678" s="6">
        <v>0</v>
      </c>
      <c r="K678" s="6">
        <v>0</v>
      </c>
      <c r="L678" s="6">
        <v>0.48</v>
      </c>
      <c r="M678" s="6">
        <v>0.48</v>
      </c>
      <c r="N678" s="6">
        <v>0.48</v>
      </c>
      <c r="O678" s="6">
        <v>0.48</v>
      </c>
      <c r="P678" s="6">
        <v>0</v>
      </c>
      <c r="Q678" s="4" t="s">
        <v>26</v>
      </c>
      <c r="R678" s="4">
        <v>0</v>
      </c>
      <c r="S678" s="4">
        <v>0</v>
      </c>
      <c r="T678" s="4">
        <v>48</v>
      </c>
      <c r="U678" s="4">
        <v>91</v>
      </c>
      <c r="V678" s="6">
        <f>IF(ISERROR(VLOOKUP($S$678,'TAR FIN'!$A$1:$O$120,15,0)),0,VLOOKUP($S$678,'TAR FIN'!$A$1:$O$120,15,0))</f>
        <v>0</v>
      </c>
      <c r="W678" s="6">
        <f>IF(ISERROR(VLOOKUP($T$678,'TAR FIN'!$A$1:$O$120,15,0)),0,VLOOKUP($T$678,'TAR FIN'!$A$1:$O$120,15,0))</f>
        <v>164.81</v>
      </c>
      <c r="X678" s="6">
        <f>IF(ISERROR(VLOOKUP($U$678,'TAR FIN'!$A$1:$O$120,15,0)),0,VLOOKUP($U$678,'TAR FIN'!$A$1:$O$120,15,0))</f>
        <v>243.83</v>
      </c>
      <c r="Y678" s="6"/>
      <c r="Z678" s="6">
        <f ca="1">('TUSD BE'!$AM$58+'TUSD BF'!$AM$58+'TUSD CVA'!$AM$58-('TUSD BE'!$P$58+'TUSD BF'!$P$58+'TUSD CVA'!$P$58)-('TUSD BE'!$Q$58+'TUSD BF'!$Q$58+'TUSD CVA'!$Q$58)-('TUSD BE'!$R$58+'TUSD BF'!$R$58+'TUSD CVA'!$R$58))*(1-CUSTOS!$M$36)</f>
        <v>178.66223574861104</v>
      </c>
      <c r="AA678" s="6">
        <f>('TE BE'!$AA$22+'TE BF'!$AA$22+'TE CVA'!$AA$22)*(1-CUSTOS!$M$36)</f>
        <v>218.61510796422959</v>
      </c>
      <c r="AB678" s="6">
        <f t="shared" si="34"/>
        <v>0</v>
      </c>
      <c r="AC678" s="6">
        <f>(L678-M678)*(W678+X678)+($W$683+$X$683-$W$678-$X$678)*(L678)</f>
        <v>21.792000000000002</v>
      </c>
      <c r="AD678" s="6">
        <f t="shared" si="35"/>
        <v>0</v>
      </c>
      <c r="AE678" s="6">
        <f ca="1">(L678-M678)*(Z678+AA678)+($Z$683+$AA$683-$Z$678-$AA$678)*(L678)</f>
        <v>21.188124998018182</v>
      </c>
      <c r="AF678" s="4" t="s">
        <v>1153</v>
      </c>
    </row>
    <row r="679" spans="1:32" ht="11.25" customHeight="1" x14ac:dyDescent="0.25">
      <c r="A679" s="4" t="s">
        <v>21</v>
      </c>
      <c r="B679" s="4" t="s">
        <v>22</v>
      </c>
      <c r="C679" s="4" t="s">
        <v>23</v>
      </c>
      <c r="D679" s="4" t="s">
        <v>24</v>
      </c>
      <c r="E679" s="4" t="s">
        <v>31</v>
      </c>
      <c r="F679" s="4" t="s">
        <v>25</v>
      </c>
      <c r="G679" s="4" t="s">
        <v>25</v>
      </c>
      <c r="H679" s="4" t="s">
        <v>25</v>
      </c>
      <c r="I679" s="5">
        <v>44044</v>
      </c>
      <c r="J679" s="6">
        <v>0</v>
      </c>
      <c r="K679" s="6">
        <v>0</v>
      </c>
      <c r="L679" s="6">
        <v>781.39599999999996</v>
      </c>
      <c r="M679" s="6">
        <v>781.39599999999996</v>
      </c>
      <c r="N679" s="6">
        <v>781.39599999999996</v>
      </c>
      <c r="O679" s="6">
        <v>781.39599999999996</v>
      </c>
      <c r="P679" s="6">
        <v>6036</v>
      </c>
      <c r="Q679" s="4" t="s">
        <v>26</v>
      </c>
      <c r="R679" s="4">
        <v>0</v>
      </c>
      <c r="S679" s="4">
        <v>0</v>
      </c>
      <c r="T679" s="4">
        <v>48</v>
      </c>
      <c r="U679" s="4">
        <v>91</v>
      </c>
      <c r="V679" s="6">
        <f>IF(ISERROR(VLOOKUP($S$679,'TAR FIN'!$A$1:$O$120,15,0)),0,VLOOKUP($S$679,'TAR FIN'!$A$1:$O$120,15,0))</f>
        <v>0</v>
      </c>
      <c r="W679" s="6">
        <f>IF(ISERROR(VLOOKUP($T$679,'TAR FIN'!$A$1:$O$120,15,0)),0,VLOOKUP($T$679,'TAR FIN'!$A$1:$O$120,15,0))</f>
        <v>164.81</v>
      </c>
      <c r="X679" s="6">
        <f>IF(ISERROR(VLOOKUP($U$679,'TAR FIN'!$A$1:$O$120,15,0)),0,VLOOKUP($U$679,'TAR FIN'!$A$1:$O$120,15,0))</f>
        <v>243.83</v>
      </c>
      <c r="Y679" s="6"/>
      <c r="Z679" s="6">
        <f ca="1">('TUSD BE'!$AM$58+'TUSD BF'!$AM$58+'TUSD CVA'!$AM$58-('TUSD BE'!$P$58+'TUSD BF'!$P$58+'TUSD CVA'!$P$58)-('TUSD BE'!$Q$58+'TUSD BF'!$Q$58+'TUSD CVA'!$Q$58)-('TUSD BE'!$R$58+'TUSD BF'!$R$58+'TUSD CVA'!$R$58))*(1-CUSTOS!$M$36)</f>
        <v>178.66223574861104</v>
      </c>
      <c r="AA679" s="6">
        <f>('TE BE'!$AA$22+'TE BF'!$AA$22+'TE CVA'!$AA$22)*(1-CUSTOS!$M$36)</f>
        <v>218.61510796422959</v>
      </c>
      <c r="AB679" s="6">
        <f t="shared" si="34"/>
        <v>0</v>
      </c>
      <c r="AC679" s="6">
        <f>(L679-M679)*(W679+X679)+($W$683+$X$683-$W$679-$X$679)*(L679)</f>
        <v>35475.378400000001</v>
      </c>
      <c r="AD679" s="6">
        <f t="shared" si="35"/>
        <v>0</v>
      </c>
      <c r="AE679" s="6">
        <f ca="1">(L679-M679)*(Z679+AA679)+($Z$683+$AA$683-$Z$679-$AA$679)*(L679)</f>
        <v>34492.325251982118</v>
      </c>
      <c r="AF679" s="4" t="s">
        <v>1153</v>
      </c>
    </row>
    <row r="680" spans="1:32" ht="11.25" customHeight="1" x14ac:dyDescent="0.25">
      <c r="A680" s="4" t="s">
        <v>27</v>
      </c>
      <c r="B680" s="4" t="s">
        <v>22</v>
      </c>
      <c r="C680" s="4" t="s">
        <v>23</v>
      </c>
      <c r="D680" s="4" t="s">
        <v>24</v>
      </c>
      <c r="E680" s="4" t="s">
        <v>31</v>
      </c>
      <c r="F680" s="4" t="s">
        <v>25</v>
      </c>
      <c r="G680" s="4" t="s">
        <v>25</v>
      </c>
      <c r="H680" s="4" t="s">
        <v>25</v>
      </c>
      <c r="I680" s="5">
        <v>44044</v>
      </c>
      <c r="J680" s="6">
        <v>0</v>
      </c>
      <c r="K680" s="6">
        <v>0</v>
      </c>
      <c r="L680" s="6">
        <v>0.28199999999999997</v>
      </c>
      <c r="M680" s="6">
        <v>0.28199999999999997</v>
      </c>
      <c r="N680" s="6">
        <v>0.28199999999999997</v>
      </c>
      <c r="O680" s="6">
        <v>0.28199999999999997</v>
      </c>
      <c r="P680" s="6">
        <v>2</v>
      </c>
      <c r="Q680" s="4" t="s">
        <v>26</v>
      </c>
      <c r="R680" s="4">
        <v>0</v>
      </c>
      <c r="S680" s="4">
        <v>0</v>
      </c>
      <c r="T680" s="4">
        <v>48</v>
      </c>
      <c r="U680" s="4">
        <v>91</v>
      </c>
      <c r="V680" s="6">
        <f>IF(ISERROR(VLOOKUP($S$680,'TAR FIN'!$A$1:$O$120,15,0)),0,VLOOKUP($S$680,'TAR FIN'!$A$1:$O$120,15,0))</f>
        <v>0</v>
      </c>
      <c r="W680" s="6">
        <f>IF(ISERROR(VLOOKUP($T$680,'TAR FIN'!$A$1:$O$120,15,0)),0,VLOOKUP($T$680,'TAR FIN'!$A$1:$O$120,15,0))</f>
        <v>164.81</v>
      </c>
      <c r="X680" s="6">
        <f>IF(ISERROR(VLOOKUP($U$680,'TAR FIN'!$A$1:$O$120,15,0)),0,VLOOKUP($U$680,'TAR FIN'!$A$1:$O$120,15,0))</f>
        <v>243.83</v>
      </c>
      <c r="Y680" s="6"/>
      <c r="Z680" s="6">
        <f ca="1">('TUSD BE'!$AM$58+'TUSD BF'!$AM$58+'TUSD CVA'!$AM$58-('TUSD BE'!$P$58+'TUSD BF'!$P$58+'TUSD CVA'!$P$58)-('TUSD BE'!$Q$58+'TUSD BF'!$Q$58+'TUSD CVA'!$Q$58)-('TUSD BE'!$R$58+'TUSD BF'!$R$58+'TUSD CVA'!$R$58))*(1-CUSTOS!$M$36)</f>
        <v>178.66223574861104</v>
      </c>
      <c r="AA680" s="6">
        <f>('TE BE'!$AA$22+'TE BF'!$AA$22+'TE CVA'!$AA$22)*(1-CUSTOS!$M$36)</f>
        <v>218.61510796422959</v>
      </c>
      <c r="AB680" s="6">
        <f t="shared" si="34"/>
        <v>0</v>
      </c>
      <c r="AC680" s="6">
        <f>(L680-M680)*(W680+X680)+($W$683+$X$683-$W$680-$X$680)*(L680)</f>
        <v>12.8028</v>
      </c>
      <c r="AD680" s="6">
        <f t="shared" si="35"/>
        <v>0</v>
      </c>
      <c r="AE680" s="6">
        <f ca="1">(L680-M680)*(Z680+AA680)+($Z$683+$AA$683-$Z$680-$AA$680)*(L680)</f>
        <v>12.448023436335681</v>
      </c>
      <c r="AF680" s="4" t="s">
        <v>1153</v>
      </c>
    </row>
    <row r="681" spans="1:32" ht="11.25" customHeight="1" x14ac:dyDescent="0.25">
      <c r="A681" s="4" t="s">
        <v>59</v>
      </c>
      <c r="B681" s="4" t="s">
        <v>22</v>
      </c>
      <c r="C681" s="4" t="s">
        <v>23</v>
      </c>
      <c r="D681" s="4" t="s">
        <v>24</v>
      </c>
      <c r="E681" s="4" t="s">
        <v>31</v>
      </c>
      <c r="F681" s="4" t="s">
        <v>25</v>
      </c>
      <c r="G681" s="4" t="s">
        <v>25</v>
      </c>
      <c r="H681" s="4" t="s">
        <v>25</v>
      </c>
      <c r="I681" s="5">
        <v>44075</v>
      </c>
      <c r="J681" s="6">
        <v>0</v>
      </c>
      <c r="K681" s="6">
        <v>0</v>
      </c>
      <c r="L681" s="6">
        <v>781.39599999999996</v>
      </c>
      <c r="M681" s="6">
        <v>781.39599999999996</v>
      </c>
      <c r="N681" s="6">
        <v>781.39599999999996</v>
      </c>
      <c r="O681" s="6">
        <v>781.39599999999996</v>
      </c>
      <c r="P681" s="6">
        <v>6036</v>
      </c>
      <c r="Q681" s="4" t="s">
        <v>26</v>
      </c>
      <c r="R681" s="4">
        <v>0</v>
      </c>
      <c r="S681" s="4">
        <v>0</v>
      </c>
      <c r="T681" s="4">
        <v>48</v>
      </c>
      <c r="U681" s="4">
        <v>91</v>
      </c>
      <c r="V681" s="6">
        <f>IF(ISERROR(VLOOKUP($S$681,'TAR FIN'!$A$1:$O$120,15,0)),0,VLOOKUP($S$681,'TAR FIN'!$A$1:$O$120,15,0))</f>
        <v>0</v>
      </c>
      <c r="W681" s="6">
        <f>IF(ISERROR(VLOOKUP($T$681,'TAR FIN'!$A$1:$O$120,15,0)),0,VLOOKUP($T$681,'TAR FIN'!$A$1:$O$120,15,0))</f>
        <v>164.81</v>
      </c>
      <c r="X681" s="6">
        <f>IF(ISERROR(VLOOKUP($U$681,'TAR FIN'!$A$1:$O$120,15,0)),0,VLOOKUP($U$681,'TAR FIN'!$A$1:$O$120,15,0))</f>
        <v>243.83</v>
      </c>
      <c r="Y681" s="6"/>
      <c r="Z681" s="6">
        <f ca="1">('TUSD BE'!$AM$58+'TUSD BF'!$AM$58+'TUSD CVA'!$AM$58-('TUSD BE'!$P$58+'TUSD BF'!$P$58+'TUSD CVA'!$P$58)-('TUSD BE'!$Q$58+'TUSD BF'!$Q$58+'TUSD CVA'!$Q$58)-('TUSD BE'!$R$58+'TUSD BF'!$R$58+'TUSD CVA'!$R$58))*(1-CUSTOS!$M$36)</f>
        <v>178.66223574861104</v>
      </c>
      <c r="AA681" s="6">
        <f>('TE BE'!$AA$22+'TE BF'!$AA$22+'TE CVA'!$AA$22)*(1-CUSTOS!$M$36)</f>
        <v>218.61510796422959</v>
      </c>
      <c r="AB681" s="6">
        <f t="shared" si="34"/>
        <v>0</v>
      </c>
      <c r="AC681" s="6">
        <f>(L681-M681)*(W681+X681)+($W$683+$X$683-$W$681-$X$681)*(L681)</f>
        <v>35475.378400000001</v>
      </c>
      <c r="AD681" s="6">
        <f t="shared" si="35"/>
        <v>0</v>
      </c>
      <c r="AE681" s="6">
        <f ca="1">(L681-M681)*(Z681+AA681)+($Z$683+$AA$683-$Z$681-$AA$681)*(L681)</f>
        <v>34492.325251982118</v>
      </c>
      <c r="AF681" s="4" t="s">
        <v>1153</v>
      </c>
    </row>
    <row r="682" spans="1:32" ht="11.25" customHeight="1" x14ac:dyDescent="0.25">
      <c r="A682" s="4" t="s">
        <v>59</v>
      </c>
      <c r="B682" s="4" t="s">
        <v>22</v>
      </c>
      <c r="C682" s="4" t="s">
        <v>23</v>
      </c>
      <c r="D682" s="4" t="s">
        <v>24</v>
      </c>
      <c r="E682" s="4" t="s">
        <v>31</v>
      </c>
      <c r="F682" s="4" t="s">
        <v>25</v>
      </c>
      <c r="G682" s="4" t="s">
        <v>25</v>
      </c>
      <c r="H682" s="4" t="s">
        <v>25</v>
      </c>
      <c r="I682" s="5">
        <v>44075</v>
      </c>
      <c r="J682" s="6">
        <v>0</v>
      </c>
      <c r="K682" s="6">
        <v>0</v>
      </c>
      <c r="L682" s="6">
        <v>0.28199999999999997</v>
      </c>
      <c r="M682" s="6">
        <v>0.28199999999999997</v>
      </c>
      <c r="N682" s="6">
        <v>0.28199999999999997</v>
      </c>
      <c r="O682" s="6">
        <v>0.28199999999999997</v>
      </c>
      <c r="P682" s="6">
        <v>2</v>
      </c>
      <c r="Q682" s="4" t="s">
        <v>26</v>
      </c>
      <c r="R682" s="4">
        <v>0</v>
      </c>
      <c r="S682" s="4">
        <v>0</v>
      </c>
      <c r="T682" s="4">
        <v>48</v>
      </c>
      <c r="U682" s="4">
        <v>91</v>
      </c>
      <c r="V682" s="6">
        <f>IF(ISERROR(VLOOKUP($S$682,'TAR FIN'!$A$1:$O$120,15,0)),0,VLOOKUP($S$682,'TAR FIN'!$A$1:$O$120,15,0))</f>
        <v>0</v>
      </c>
      <c r="W682" s="6">
        <f>IF(ISERROR(VLOOKUP($T$682,'TAR FIN'!$A$1:$O$120,15,0)),0,VLOOKUP($T$682,'TAR FIN'!$A$1:$O$120,15,0))</f>
        <v>164.81</v>
      </c>
      <c r="X682" s="6">
        <f>IF(ISERROR(VLOOKUP($U$682,'TAR FIN'!$A$1:$O$120,15,0)),0,VLOOKUP($U$682,'TAR FIN'!$A$1:$O$120,15,0))</f>
        <v>243.83</v>
      </c>
      <c r="Y682" s="6"/>
      <c r="Z682" s="6">
        <f ca="1">('TUSD BE'!$AM$58+'TUSD BF'!$AM$58+'TUSD CVA'!$AM$58-('TUSD BE'!$P$58+'TUSD BF'!$P$58+'TUSD CVA'!$P$58)-('TUSD BE'!$Q$58+'TUSD BF'!$Q$58+'TUSD CVA'!$Q$58)-('TUSD BE'!$R$58+'TUSD BF'!$R$58+'TUSD CVA'!$R$58))*(1-CUSTOS!$M$36)</f>
        <v>178.66223574861104</v>
      </c>
      <c r="AA682" s="6">
        <f>('TE BE'!$AA$22+'TE BF'!$AA$22+'TE CVA'!$AA$22)*(1-CUSTOS!$M$36)</f>
        <v>218.61510796422959</v>
      </c>
      <c r="AB682" s="6">
        <f t="shared" si="34"/>
        <v>0</v>
      </c>
      <c r="AC682" s="6">
        <f>(L682-M682)*(W682+X682)+($W$683+$X$683-$W$682-$X$682)*(L682)</f>
        <v>12.8028</v>
      </c>
      <c r="AD682" s="6">
        <f t="shared" si="35"/>
        <v>0</v>
      </c>
      <c r="AE682" s="6">
        <f ca="1">(L682-M682)*(Z682+AA682)+($Z$683+$AA$683-$Z$682-$AA$682)*(L682)</f>
        <v>12.448023436335681</v>
      </c>
      <c r="AF682" s="4" t="s">
        <v>1153</v>
      </c>
    </row>
    <row r="683" spans="1:32" ht="11.25" customHeight="1" x14ac:dyDescent="0.25">
      <c r="A683" s="4" t="s">
        <v>21</v>
      </c>
      <c r="B683" s="4" t="s">
        <v>22</v>
      </c>
      <c r="C683" s="4" t="s">
        <v>23</v>
      </c>
      <c r="D683" s="4" t="s">
        <v>24</v>
      </c>
      <c r="E683" s="4" t="s">
        <v>32</v>
      </c>
      <c r="F683" s="4" t="s">
        <v>25</v>
      </c>
      <c r="G683" s="4" t="s">
        <v>25</v>
      </c>
      <c r="H683" s="4" t="s">
        <v>25</v>
      </c>
      <c r="I683" s="5">
        <v>43739</v>
      </c>
      <c r="J683" s="6">
        <v>0</v>
      </c>
      <c r="K683" s="6">
        <v>0</v>
      </c>
      <c r="L683" s="6">
        <v>187.739</v>
      </c>
      <c r="M683" s="6">
        <v>187.739</v>
      </c>
      <c r="N683" s="6">
        <v>187.739</v>
      </c>
      <c r="O683" s="6">
        <v>187.739</v>
      </c>
      <c r="P683" s="6">
        <v>2112</v>
      </c>
      <c r="Q683" s="4" t="s">
        <v>26</v>
      </c>
      <c r="R683" s="4">
        <v>0</v>
      </c>
      <c r="S683" s="4">
        <v>0</v>
      </c>
      <c r="T683" s="4">
        <v>49</v>
      </c>
      <c r="U683" s="4">
        <v>92</v>
      </c>
      <c r="V683" s="6">
        <f>IF(ISERROR(VLOOKUP($S$683,'TAR FIN'!$A$1:$O$120,15,0)),0,VLOOKUP($S$683,'TAR FIN'!$A$1:$O$120,15,0))</f>
        <v>0</v>
      </c>
      <c r="W683" s="6">
        <f>IF(ISERROR(VLOOKUP($T$683,'TAR FIN'!$A$1:$O$120,15,0)),0,VLOOKUP($T$683,'TAR FIN'!$A$1:$O$120,15,0))</f>
        <v>183.12</v>
      </c>
      <c r="X683" s="6">
        <f>IF(ISERROR(VLOOKUP($U$683,'TAR FIN'!$A$1:$O$120,15,0)),0,VLOOKUP($U$683,'TAR FIN'!$A$1:$O$120,15,0))</f>
        <v>270.92</v>
      </c>
      <c r="Y683" s="6"/>
      <c r="Z683" s="6">
        <f ca="1">('TUSD BE'!$AM$59+'TUSD BF'!$AM$59+'TUSD CVA'!$AM$59-('TUSD BE'!$P$59+'TUSD BF'!$P$59+'TUSD CVA'!$P$59)-('TUSD BE'!$Q$59+'TUSD BF'!$Q$59+'TUSD CVA'!$Q$59)-('TUSD BE'!$R$59+'TUSD BF'!$R$59+'TUSD CVA'!$R$59))*(1-CUSTOS!$M$37)</f>
        <v>198.51359527623447</v>
      </c>
      <c r="AA683" s="6">
        <f>('TE BE'!$AA$23+'TE BF'!$AA$23+'TE CVA'!$AA$23)*(1-CUSTOS!$M$37)</f>
        <v>242.90567551581066</v>
      </c>
      <c r="AB683" s="6">
        <f t="shared" si="34"/>
        <v>0</v>
      </c>
      <c r="AC683" s="6">
        <f>(L683-M683)*(W683+X683)+($W$683+$X$683-$W$683-$X$683)*(L683)</f>
        <v>0</v>
      </c>
      <c r="AD683" s="6">
        <f t="shared" si="35"/>
        <v>0</v>
      </c>
      <c r="AE683" s="6">
        <f ca="1">(L683-M683)*(Z683+AA683)+($Z$683+$AA$683-$Z$683-$AA$683)*(L683)</f>
        <v>5.3358633067546181E-12</v>
      </c>
      <c r="AF683" s="4" t="s">
        <v>1153</v>
      </c>
    </row>
    <row r="684" spans="1:32" ht="11.25" customHeight="1" x14ac:dyDescent="0.25">
      <c r="A684" s="4" t="s">
        <v>27</v>
      </c>
      <c r="B684" s="4" t="s">
        <v>22</v>
      </c>
      <c r="C684" s="4" t="s">
        <v>23</v>
      </c>
      <c r="D684" s="4" t="s">
        <v>24</v>
      </c>
      <c r="E684" s="4" t="s">
        <v>32</v>
      </c>
      <c r="F684" s="4" t="s">
        <v>25</v>
      </c>
      <c r="G684" s="4" t="s">
        <v>25</v>
      </c>
      <c r="H684" s="4" t="s">
        <v>25</v>
      </c>
      <c r="I684" s="5">
        <v>43739</v>
      </c>
      <c r="J684" s="6">
        <v>0</v>
      </c>
      <c r="K684" s="6">
        <v>0</v>
      </c>
      <c r="L684" s="6">
        <v>0.14699999999999999</v>
      </c>
      <c r="M684" s="6">
        <v>0.14699999999999999</v>
      </c>
      <c r="N684" s="6">
        <v>0.14699999999999999</v>
      </c>
      <c r="O684" s="6">
        <v>0.14699999999999999</v>
      </c>
      <c r="P684" s="6">
        <v>1</v>
      </c>
      <c r="Q684" s="4" t="s">
        <v>26</v>
      </c>
      <c r="R684" s="4">
        <v>0</v>
      </c>
      <c r="S684" s="4">
        <v>0</v>
      </c>
      <c r="T684" s="4">
        <v>49</v>
      </c>
      <c r="U684" s="4">
        <v>92</v>
      </c>
      <c r="V684" s="6">
        <f>IF(ISERROR(VLOOKUP($S$684,'TAR FIN'!$A$1:$O$120,15,0)),0,VLOOKUP($S$684,'TAR FIN'!$A$1:$O$120,15,0))</f>
        <v>0</v>
      </c>
      <c r="W684" s="6">
        <f>IF(ISERROR(VLOOKUP($T$684,'TAR FIN'!$A$1:$O$120,15,0)),0,VLOOKUP($T$684,'TAR FIN'!$A$1:$O$120,15,0))</f>
        <v>183.12</v>
      </c>
      <c r="X684" s="6">
        <f>IF(ISERROR(VLOOKUP($U$684,'TAR FIN'!$A$1:$O$120,15,0)),0,VLOOKUP($U$684,'TAR FIN'!$A$1:$O$120,15,0))</f>
        <v>270.92</v>
      </c>
      <c r="Y684" s="6"/>
      <c r="Z684" s="6">
        <f ca="1">('TUSD BE'!$AM$59+'TUSD BF'!$AM$59+'TUSD CVA'!$AM$59-('TUSD BE'!$P$59+'TUSD BF'!$P$59+'TUSD CVA'!$P$59)-('TUSD BE'!$Q$59+'TUSD BF'!$Q$59+'TUSD CVA'!$Q$59)-('TUSD BE'!$R$59+'TUSD BF'!$R$59+'TUSD CVA'!$R$59))*(1-CUSTOS!$M$37)</f>
        <v>198.51359527623447</v>
      </c>
      <c r="AA684" s="6">
        <f>('TE BE'!$AA$23+'TE BF'!$AA$23+'TE CVA'!$AA$23)*(1-CUSTOS!$M$37)</f>
        <v>242.90567551581066</v>
      </c>
      <c r="AB684" s="6">
        <f t="shared" si="34"/>
        <v>0</v>
      </c>
      <c r="AC684" s="6">
        <f>(L684-M684)*(W684+X684)+($W$683+$X$683-$W$684-$X$684)*(L684)</f>
        <v>0</v>
      </c>
      <c r="AD684" s="6">
        <f t="shared" si="35"/>
        <v>0</v>
      </c>
      <c r="AE684" s="6">
        <f ca="1">(L684-M684)*(Z684+AA684)+($Z$683+$AA$683-$Z$684-$AA$684)*(L684)</f>
        <v>4.1779912862693889E-15</v>
      </c>
      <c r="AF684" s="4" t="s">
        <v>1153</v>
      </c>
    </row>
    <row r="685" spans="1:32" ht="11.25" customHeight="1" x14ac:dyDescent="0.25">
      <c r="A685" s="4" t="s">
        <v>21</v>
      </c>
      <c r="B685" s="4" t="s">
        <v>22</v>
      </c>
      <c r="C685" s="4" t="s">
        <v>23</v>
      </c>
      <c r="D685" s="4" t="s">
        <v>24</v>
      </c>
      <c r="E685" s="4" t="s">
        <v>32</v>
      </c>
      <c r="F685" s="4" t="s">
        <v>25</v>
      </c>
      <c r="G685" s="4" t="s">
        <v>25</v>
      </c>
      <c r="H685" s="4" t="s">
        <v>25</v>
      </c>
      <c r="I685" s="5">
        <v>43770</v>
      </c>
      <c r="J685" s="6">
        <v>0</v>
      </c>
      <c r="K685" s="6">
        <v>0</v>
      </c>
      <c r="L685" s="6">
        <v>236.78100000000001</v>
      </c>
      <c r="M685" s="6">
        <v>236.78100000000001</v>
      </c>
      <c r="N685" s="6">
        <v>236.78100000000001</v>
      </c>
      <c r="O685" s="6">
        <v>236.78100000000001</v>
      </c>
      <c r="P685" s="6">
        <v>2599</v>
      </c>
      <c r="Q685" s="4" t="s">
        <v>26</v>
      </c>
      <c r="R685" s="4">
        <v>0</v>
      </c>
      <c r="S685" s="4">
        <v>0</v>
      </c>
      <c r="T685" s="4">
        <v>49</v>
      </c>
      <c r="U685" s="4">
        <v>92</v>
      </c>
      <c r="V685" s="6">
        <f>IF(ISERROR(VLOOKUP($S$685,'TAR FIN'!$A$1:$O$120,15,0)),0,VLOOKUP($S$685,'TAR FIN'!$A$1:$O$120,15,0))</f>
        <v>0</v>
      </c>
      <c r="W685" s="6">
        <f>IF(ISERROR(VLOOKUP($T$685,'TAR FIN'!$A$1:$O$120,15,0)),0,VLOOKUP($T$685,'TAR FIN'!$A$1:$O$120,15,0))</f>
        <v>183.12</v>
      </c>
      <c r="X685" s="6">
        <f>IF(ISERROR(VLOOKUP($U$685,'TAR FIN'!$A$1:$O$120,15,0)),0,VLOOKUP($U$685,'TAR FIN'!$A$1:$O$120,15,0))</f>
        <v>270.92</v>
      </c>
      <c r="Y685" s="6"/>
      <c r="Z685" s="6">
        <f ca="1">('TUSD BE'!$AM$59+'TUSD BF'!$AM$59+'TUSD CVA'!$AM$59-('TUSD BE'!$P$59+'TUSD BF'!$P$59+'TUSD CVA'!$P$59)-('TUSD BE'!$Q$59+'TUSD BF'!$Q$59+'TUSD CVA'!$Q$59)-('TUSD BE'!$R$59+'TUSD BF'!$R$59+'TUSD CVA'!$R$59))*(1-CUSTOS!$M$37)</f>
        <v>198.51359527623447</v>
      </c>
      <c r="AA685" s="6">
        <f>('TE BE'!$AA$23+'TE BF'!$AA$23+'TE CVA'!$AA$23)*(1-CUSTOS!$M$37)</f>
        <v>242.90567551581066</v>
      </c>
      <c r="AB685" s="6">
        <f t="shared" si="34"/>
        <v>0</v>
      </c>
      <c r="AC685" s="6">
        <f>(L685-M685)*(W685+X685)+($W$683+$X$683-$W$685-$X$685)*(L685)</f>
        <v>0</v>
      </c>
      <c r="AD685" s="6">
        <f t="shared" si="35"/>
        <v>0</v>
      </c>
      <c r="AE685" s="6">
        <f ca="1">(L685-M685)*(Z685+AA685)+($Z$683+$AA$683-$Z$685-$AA$685)*(L685)</f>
        <v>6.7297207806404915E-12</v>
      </c>
      <c r="AF685" s="4" t="s">
        <v>1153</v>
      </c>
    </row>
    <row r="686" spans="1:32" ht="11.25" customHeight="1" x14ac:dyDescent="0.25">
      <c r="A686" s="4" t="s">
        <v>27</v>
      </c>
      <c r="B686" s="4" t="s">
        <v>22</v>
      </c>
      <c r="C686" s="4" t="s">
        <v>23</v>
      </c>
      <c r="D686" s="4" t="s">
        <v>24</v>
      </c>
      <c r="E686" s="4" t="s">
        <v>32</v>
      </c>
      <c r="F686" s="4" t="s">
        <v>25</v>
      </c>
      <c r="G686" s="4" t="s">
        <v>25</v>
      </c>
      <c r="H686" s="4" t="s">
        <v>25</v>
      </c>
      <c r="I686" s="5">
        <v>43770</v>
      </c>
      <c r="J686" s="6">
        <v>0</v>
      </c>
      <c r="K686" s="6">
        <v>0</v>
      </c>
      <c r="L686" s="6">
        <v>0.13300000000000001</v>
      </c>
      <c r="M686" s="6">
        <v>0.13300000000000001</v>
      </c>
      <c r="N686" s="6">
        <v>0.13300000000000001</v>
      </c>
      <c r="O686" s="6">
        <v>0.13300000000000001</v>
      </c>
      <c r="P686" s="6">
        <v>1</v>
      </c>
      <c r="Q686" s="4" t="s">
        <v>26</v>
      </c>
      <c r="R686" s="4">
        <v>0</v>
      </c>
      <c r="S686" s="4">
        <v>0</v>
      </c>
      <c r="T686" s="4">
        <v>49</v>
      </c>
      <c r="U686" s="4">
        <v>92</v>
      </c>
      <c r="V686" s="6">
        <f>IF(ISERROR(VLOOKUP($S$686,'TAR FIN'!$A$1:$O$120,15,0)),0,VLOOKUP($S$686,'TAR FIN'!$A$1:$O$120,15,0))</f>
        <v>0</v>
      </c>
      <c r="W686" s="6">
        <f>IF(ISERROR(VLOOKUP($T$686,'TAR FIN'!$A$1:$O$120,15,0)),0,VLOOKUP($T$686,'TAR FIN'!$A$1:$O$120,15,0))</f>
        <v>183.12</v>
      </c>
      <c r="X686" s="6">
        <f>IF(ISERROR(VLOOKUP($U$686,'TAR FIN'!$A$1:$O$120,15,0)),0,VLOOKUP($U$686,'TAR FIN'!$A$1:$O$120,15,0))</f>
        <v>270.92</v>
      </c>
      <c r="Y686" s="6"/>
      <c r="Z686" s="6">
        <f ca="1">('TUSD BE'!$AM$59+'TUSD BF'!$AM$59+'TUSD CVA'!$AM$59-('TUSD BE'!$P$59+'TUSD BF'!$P$59+'TUSD CVA'!$P$59)-('TUSD BE'!$Q$59+'TUSD BF'!$Q$59+'TUSD CVA'!$Q$59)-('TUSD BE'!$R$59+'TUSD BF'!$R$59+'TUSD CVA'!$R$59))*(1-CUSTOS!$M$37)</f>
        <v>198.51359527623447</v>
      </c>
      <c r="AA686" s="6">
        <f>('TE BE'!$AA$23+'TE BF'!$AA$23+'TE CVA'!$AA$23)*(1-CUSTOS!$M$37)</f>
        <v>242.90567551581066</v>
      </c>
      <c r="AB686" s="6">
        <f t="shared" si="34"/>
        <v>0</v>
      </c>
      <c r="AC686" s="6">
        <f>(L686-M686)*(W686+X686)+($W$683+$X$683-$W$686-$X$686)*(L686)</f>
        <v>0</v>
      </c>
      <c r="AD686" s="6">
        <f t="shared" si="35"/>
        <v>0</v>
      </c>
      <c r="AE686" s="6">
        <f ca="1">(L686-M686)*(Z686+AA686)+($Z$683+$AA$683-$Z$686-$AA$686)*(L686)</f>
        <v>3.7800873542437332E-15</v>
      </c>
      <c r="AF686" s="4" t="s">
        <v>1153</v>
      </c>
    </row>
    <row r="687" spans="1:32" ht="11.25" customHeight="1" x14ac:dyDescent="0.25">
      <c r="A687" s="4" t="s">
        <v>21</v>
      </c>
      <c r="B687" s="4" t="s">
        <v>22</v>
      </c>
      <c r="C687" s="4" t="s">
        <v>23</v>
      </c>
      <c r="D687" s="4" t="s">
        <v>24</v>
      </c>
      <c r="E687" s="4" t="s">
        <v>32</v>
      </c>
      <c r="F687" s="4" t="s">
        <v>25</v>
      </c>
      <c r="G687" s="4" t="s">
        <v>25</v>
      </c>
      <c r="H687" s="4" t="s">
        <v>25</v>
      </c>
      <c r="I687" s="5">
        <v>43800</v>
      </c>
      <c r="J687" s="6">
        <v>0</v>
      </c>
      <c r="K687" s="6">
        <v>0</v>
      </c>
      <c r="L687" s="6">
        <v>149.327</v>
      </c>
      <c r="M687" s="6">
        <v>149.327</v>
      </c>
      <c r="N687" s="6">
        <v>149.327</v>
      </c>
      <c r="O687" s="6">
        <v>149.327</v>
      </c>
      <c r="P687" s="6">
        <v>1858</v>
      </c>
      <c r="Q687" s="4" t="s">
        <v>26</v>
      </c>
      <c r="R687" s="4">
        <v>0</v>
      </c>
      <c r="S687" s="4">
        <v>0</v>
      </c>
      <c r="T687" s="4">
        <v>49</v>
      </c>
      <c r="U687" s="4">
        <v>92</v>
      </c>
      <c r="V687" s="6">
        <f>IF(ISERROR(VLOOKUP($S$687,'TAR FIN'!$A$1:$O$120,15,0)),0,VLOOKUP($S$687,'TAR FIN'!$A$1:$O$120,15,0))</f>
        <v>0</v>
      </c>
      <c r="W687" s="6">
        <f>IF(ISERROR(VLOOKUP($T$687,'TAR FIN'!$A$1:$O$120,15,0)),0,VLOOKUP($T$687,'TAR FIN'!$A$1:$O$120,15,0))</f>
        <v>183.12</v>
      </c>
      <c r="X687" s="6">
        <f>IF(ISERROR(VLOOKUP($U$687,'TAR FIN'!$A$1:$O$120,15,0)),0,VLOOKUP($U$687,'TAR FIN'!$A$1:$O$120,15,0))</f>
        <v>270.92</v>
      </c>
      <c r="Y687" s="6"/>
      <c r="Z687" s="6">
        <f ca="1">('TUSD BE'!$AM$59+'TUSD BF'!$AM$59+'TUSD CVA'!$AM$59-('TUSD BE'!$P$59+'TUSD BF'!$P$59+'TUSD CVA'!$P$59)-('TUSD BE'!$Q$59+'TUSD BF'!$Q$59+'TUSD CVA'!$Q$59)-('TUSD BE'!$R$59+'TUSD BF'!$R$59+'TUSD CVA'!$R$59))*(1-CUSTOS!$M$37)</f>
        <v>198.51359527623447</v>
      </c>
      <c r="AA687" s="6">
        <f>('TE BE'!$AA$23+'TE BF'!$AA$23+'TE CVA'!$AA$23)*(1-CUSTOS!$M$37)</f>
        <v>242.90567551581066</v>
      </c>
      <c r="AB687" s="6">
        <f t="shared" si="34"/>
        <v>0</v>
      </c>
      <c r="AC687" s="6">
        <f>(L687-M687)*(W687+X687)+($W$683+$X$683-$W$687-$X$687)*(L687)</f>
        <v>0</v>
      </c>
      <c r="AD687" s="6">
        <f t="shared" si="35"/>
        <v>0</v>
      </c>
      <c r="AE687" s="6">
        <f ca="1">(L687-M687)*(Z687+AA687)+($Z$683+$AA$683-$Z$687-$AA$687)*(L687)</f>
        <v>4.2441286041139392E-12</v>
      </c>
      <c r="AF687" s="4" t="s">
        <v>1153</v>
      </c>
    </row>
    <row r="688" spans="1:32" ht="11.25" customHeight="1" x14ac:dyDescent="0.25">
      <c r="A688" s="4" t="s">
        <v>21</v>
      </c>
      <c r="B688" s="4" t="s">
        <v>22</v>
      </c>
      <c r="C688" s="4" t="s">
        <v>23</v>
      </c>
      <c r="D688" s="4" t="s">
        <v>24</v>
      </c>
      <c r="E688" s="4" t="s">
        <v>32</v>
      </c>
      <c r="F688" s="4" t="s">
        <v>25</v>
      </c>
      <c r="G688" s="4" t="s">
        <v>25</v>
      </c>
      <c r="H688" s="4" t="s">
        <v>25</v>
      </c>
      <c r="I688" s="5">
        <v>43831</v>
      </c>
      <c r="J688" s="6">
        <v>0</v>
      </c>
      <c r="K688" s="6">
        <v>0</v>
      </c>
      <c r="L688" s="6">
        <v>219.71600000000001</v>
      </c>
      <c r="M688" s="6">
        <v>219.71600000000001</v>
      </c>
      <c r="N688" s="6">
        <v>219.71600000000001</v>
      </c>
      <c r="O688" s="6">
        <v>219.71600000000001</v>
      </c>
      <c r="P688" s="6">
        <v>2483</v>
      </c>
      <c r="Q688" s="4" t="s">
        <v>26</v>
      </c>
      <c r="R688" s="4">
        <v>0</v>
      </c>
      <c r="S688" s="4">
        <v>0</v>
      </c>
      <c r="T688" s="4">
        <v>49</v>
      </c>
      <c r="U688" s="4">
        <v>92</v>
      </c>
      <c r="V688" s="6">
        <f>IF(ISERROR(VLOOKUP($S$688,'TAR FIN'!$A$1:$O$120,15,0)),0,VLOOKUP($S$688,'TAR FIN'!$A$1:$O$120,15,0))</f>
        <v>0</v>
      </c>
      <c r="W688" s="6">
        <f>IF(ISERROR(VLOOKUP($T$688,'TAR FIN'!$A$1:$O$120,15,0)),0,VLOOKUP($T$688,'TAR FIN'!$A$1:$O$120,15,0))</f>
        <v>183.12</v>
      </c>
      <c r="X688" s="6">
        <f>IF(ISERROR(VLOOKUP($U$688,'TAR FIN'!$A$1:$O$120,15,0)),0,VLOOKUP($U$688,'TAR FIN'!$A$1:$O$120,15,0))</f>
        <v>270.92</v>
      </c>
      <c r="Y688" s="6"/>
      <c r="Z688" s="6">
        <f ca="1">('TUSD BE'!$AM$59+'TUSD BF'!$AM$59+'TUSD CVA'!$AM$59-('TUSD BE'!$P$59+'TUSD BF'!$P$59+'TUSD CVA'!$P$59)-('TUSD BE'!$Q$59+'TUSD BF'!$Q$59+'TUSD CVA'!$Q$59)-('TUSD BE'!$R$59+'TUSD BF'!$R$59+'TUSD CVA'!$R$59))*(1-CUSTOS!$M$37)</f>
        <v>198.51359527623447</v>
      </c>
      <c r="AA688" s="6">
        <f>('TE BE'!$AA$23+'TE BF'!$AA$23+'TE CVA'!$AA$23)*(1-CUSTOS!$M$37)</f>
        <v>242.90567551581066</v>
      </c>
      <c r="AB688" s="6">
        <f t="shared" si="34"/>
        <v>0</v>
      </c>
      <c r="AC688" s="6">
        <f>(L688-M688)*(W688+X688)+($W$683+$X$683-$W$688-$X$688)*(L688)</f>
        <v>0</v>
      </c>
      <c r="AD688" s="6">
        <f t="shared" si="35"/>
        <v>0</v>
      </c>
      <c r="AE688" s="6">
        <f ca="1">(L688-M688)*(Z688+AA688)+($Z$683+$AA$683-$Z$688-$AA$688)*(L688)</f>
        <v>6.2447043092106471E-12</v>
      </c>
      <c r="AF688" s="4" t="s">
        <v>1153</v>
      </c>
    </row>
    <row r="689" spans="1:32" ht="11.25" customHeight="1" x14ac:dyDescent="0.25">
      <c r="A689" s="4" t="s">
        <v>27</v>
      </c>
      <c r="B689" s="4" t="s">
        <v>22</v>
      </c>
      <c r="C689" s="4" t="s">
        <v>23</v>
      </c>
      <c r="D689" s="4" t="s">
        <v>24</v>
      </c>
      <c r="E689" s="4" t="s">
        <v>32</v>
      </c>
      <c r="F689" s="4" t="s">
        <v>25</v>
      </c>
      <c r="G689" s="4" t="s">
        <v>25</v>
      </c>
      <c r="H689" s="4" t="s">
        <v>25</v>
      </c>
      <c r="I689" s="5">
        <v>43831</v>
      </c>
      <c r="J689" s="6">
        <v>0</v>
      </c>
      <c r="K689" s="6">
        <v>0</v>
      </c>
      <c r="L689" s="6">
        <v>0.161</v>
      </c>
      <c r="M689" s="6">
        <v>0.161</v>
      </c>
      <c r="N689" s="6">
        <v>0.161</v>
      </c>
      <c r="O689" s="6">
        <v>0.161</v>
      </c>
      <c r="P689" s="6">
        <v>2</v>
      </c>
      <c r="Q689" s="4" t="s">
        <v>26</v>
      </c>
      <c r="R689" s="4">
        <v>0</v>
      </c>
      <c r="S689" s="4">
        <v>0</v>
      </c>
      <c r="T689" s="4">
        <v>49</v>
      </c>
      <c r="U689" s="4">
        <v>92</v>
      </c>
      <c r="V689" s="6">
        <f>IF(ISERROR(VLOOKUP($S$689,'TAR FIN'!$A$1:$O$120,15,0)),0,VLOOKUP($S$689,'TAR FIN'!$A$1:$O$120,15,0))</f>
        <v>0</v>
      </c>
      <c r="W689" s="6">
        <f>IF(ISERROR(VLOOKUP($T$689,'TAR FIN'!$A$1:$O$120,15,0)),0,VLOOKUP($T$689,'TAR FIN'!$A$1:$O$120,15,0))</f>
        <v>183.12</v>
      </c>
      <c r="X689" s="6">
        <f>IF(ISERROR(VLOOKUP($U$689,'TAR FIN'!$A$1:$O$120,15,0)),0,VLOOKUP($U$689,'TAR FIN'!$A$1:$O$120,15,0))</f>
        <v>270.92</v>
      </c>
      <c r="Y689" s="6"/>
      <c r="Z689" s="6">
        <f ca="1">('TUSD BE'!$AM$59+'TUSD BF'!$AM$59+'TUSD CVA'!$AM$59-('TUSD BE'!$P$59+'TUSD BF'!$P$59+'TUSD CVA'!$P$59)-('TUSD BE'!$Q$59+'TUSD BF'!$Q$59+'TUSD CVA'!$Q$59)-('TUSD BE'!$R$59+'TUSD BF'!$R$59+'TUSD CVA'!$R$59))*(1-CUSTOS!$M$37)</f>
        <v>198.51359527623447</v>
      </c>
      <c r="AA689" s="6">
        <f>('TE BE'!$AA$23+'TE BF'!$AA$23+'TE CVA'!$AA$23)*(1-CUSTOS!$M$37)</f>
        <v>242.90567551581066</v>
      </c>
      <c r="AB689" s="6">
        <f t="shared" si="34"/>
        <v>0</v>
      </c>
      <c r="AC689" s="6">
        <f>(L689-M689)*(W689+X689)+($W$683+$X$683-$W$689-$X$689)*(L689)</f>
        <v>0</v>
      </c>
      <c r="AD689" s="6">
        <f t="shared" si="35"/>
        <v>0</v>
      </c>
      <c r="AE689" s="6">
        <f ca="1">(L689-M689)*(Z689+AA689)+($Z$683+$AA$683-$Z$689-$AA$689)*(L689)</f>
        <v>4.5758952182950453E-15</v>
      </c>
      <c r="AF689" s="4" t="s">
        <v>1153</v>
      </c>
    </row>
    <row r="690" spans="1:32" ht="11.25" customHeight="1" x14ac:dyDescent="0.25">
      <c r="A690" s="4" t="s">
        <v>21</v>
      </c>
      <c r="B690" s="4" t="s">
        <v>22</v>
      </c>
      <c r="C690" s="4" t="s">
        <v>23</v>
      </c>
      <c r="D690" s="4" t="s">
        <v>24</v>
      </c>
      <c r="E690" s="4" t="s">
        <v>32</v>
      </c>
      <c r="F690" s="4" t="s">
        <v>25</v>
      </c>
      <c r="G690" s="4" t="s">
        <v>25</v>
      </c>
      <c r="H690" s="4" t="s">
        <v>25</v>
      </c>
      <c r="I690" s="5">
        <v>43862</v>
      </c>
      <c r="J690" s="6">
        <v>0</v>
      </c>
      <c r="K690" s="6">
        <v>0</v>
      </c>
      <c r="L690" s="6">
        <v>154.23699999999999</v>
      </c>
      <c r="M690" s="6">
        <v>154.23699999999999</v>
      </c>
      <c r="N690" s="6">
        <v>154.23699999999999</v>
      </c>
      <c r="O690" s="6">
        <v>154.23699999999999</v>
      </c>
      <c r="P690" s="6">
        <v>1911</v>
      </c>
      <c r="Q690" s="4" t="s">
        <v>26</v>
      </c>
      <c r="R690" s="4">
        <v>0</v>
      </c>
      <c r="S690" s="4">
        <v>0</v>
      </c>
      <c r="T690" s="4">
        <v>49</v>
      </c>
      <c r="U690" s="4">
        <v>92</v>
      </c>
      <c r="V690" s="6">
        <f>IF(ISERROR(VLOOKUP($S$690,'TAR FIN'!$A$1:$O$120,15,0)),0,VLOOKUP($S$690,'TAR FIN'!$A$1:$O$120,15,0))</f>
        <v>0</v>
      </c>
      <c r="W690" s="6">
        <f>IF(ISERROR(VLOOKUP($T$690,'TAR FIN'!$A$1:$O$120,15,0)),0,VLOOKUP($T$690,'TAR FIN'!$A$1:$O$120,15,0))</f>
        <v>183.12</v>
      </c>
      <c r="X690" s="6">
        <f>IF(ISERROR(VLOOKUP($U$690,'TAR FIN'!$A$1:$O$120,15,0)),0,VLOOKUP($U$690,'TAR FIN'!$A$1:$O$120,15,0))</f>
        <v>270.92</v>
      </c>
      <c r="Y690" s="6"/>
      <c r="Z690" s="6">
        <f ca="1">('TUSD BE'!$AM$59+'TUSD BF'!$AM$59+'TUSD CVA'!$AM$59-('TUSD BE'!$P$59+'TUSD BF'!$P$59+'TUSD CVA'!$P$59)-('TUSD BE'!$Q$59+'TUSD BF'!$Q$59+'TUSD CVA'!$Q$59)-('TUSD BE'!$R$59+'TUSD BF'!$R$59+'TUSD CVA'!$R$59))*(1-CUSTOS!$M$37)</f>
        <v>198.51359527623447</v>
      </c>
      <c r="AA690" s="6">
        <f>('TE BE'!$AA$23+'TE BF'!$AA$23+'TE CVA'!$AA$23)*(1-CUSTOS!$M$37)</f>
        <v>242.90567551581066</v>
      </c>
      <c r="AB690" s="6">
        <f t="shared" si="34"/>
        <v>0</v>
      </c>
      <c r="AC690" s="6">
        <f>(L690-M690)*(W690+X690)+($W$683+$X$683-$W$690-$X$690)*(L690)</f>
        <v>0</v>
      </c>
      <c r="AD690" s="6">
        <f t="shared" si="35"/>
        <v>0</v>
      </c>
      <c r="AE690" s="6">
        <f ca="1">(L690-M690)*(Z690+AA690)+($Z$683+$AA$683-$Z$690-$AA$690)*(L690)</f>
        <v>4.3836791974172227E-12</v>
      </c>
      <c r="AF690" s="4" t="s">
        <v>1153</v>
      </c>
    </row>
    <row r="691" spans="1:32" ht="11.25" customHeight="1" x14ac:dyDescent="0.25">
      <c r="A691" s="4" t="s">
        <v>21</v>
      </c>
      <c r="B691" s="4" t="s">
        <v>22</v>
      </c>
      <c r="C691" s="4" t="s">
        <v>23</v>
      </c>
      <c r="D691" s="4" t="s">
        <v>24</v>
      </c>
      <c r="E691" s="4" t="s">
        <v>32</v>
      </c>
      <c r="F691" s="4" t="s">
        <v>25</v>
      </c>
      <c r="G691" s="4" t="s">
        <v>25</v>
      </c>
      <c r="H691" s="4" t="s">
        <v>25</v>
      </c>
      <c r="I691" s="5">
        <v>43891</v>
      </c>
      <c r="J691" s="6">
        <v>0</v>
      </c>
      <c r="K691" s="6">
        <v>0</v>
      </c>
      <c r="L691" s="6">
        <v>163.06700000000001</v>
      </c>
      <c r="M691" s="6">
        <v>163.06700000000001</v>
      </c>
      <c r="N691" s="6">
        <v>163.06700000000001</v>
      </c>
      <c r="O691" s="6">
        <v>163.06700000000001</v>
      </c>
      <c r="P691" s="6">
        <v>1921</v>
      </c>
      <c r="Q691" s="4" t="s">
        <v>26</v>
      </c>
      <c r="R691" s="4">
        <v>0</v>
      </c>
      <c r="S691" s="4">
        <v>0</v>
      </c>
      <c r="T691" s="4">
        <v>49</v>
      </c>
      <c r="U691" s="4">
        <v>92</v>
      </c>
      <c r="V691" s="6">
        <f>IF(ISERROR(VLOOKUP($S$691,'TAR FIN'!$A$1:$O$120,15,0)),0,VLOOKUP($S$691,'TAR FIN'!$A$1:$O$120,15,0))</f>
        <v>0</v>
      </c>
      <c r="W691" s="6">
        <f>IF(ISERROR(VLOOKUP($T$691,'TAR FIN'!$A$1:$O$120,15,0)),0,VLOOKUP($T$691,'TAR FIN'!$A$1:$O$120,15,0))</f>
        <v>183.12</v>
      </c>
      <c r="X691" s="6">
        <f>IF(ISERROR(VLOOKUP($U$691,'TAR FIN'!$A$1:$O$120,15,0)),0,VLOOKUP($U$691,'TAR FIN'!$A$1:$O$120,15,0))</f>
        <v>270.92</v>
      </c>
      <c r="Y691" s="6"/>
      <c r="Z691" s="6">
        <f ca="1">('TUSD BE'!$AM$59+'TUSD BF'!$AM$59+'TUSD CVA'!$AM$59-('TUSD BE'!$P$59+'TUSD BF'!$P$59+'TUSD CVA'!$P$59)-('TUSD BE'!$Q$59+'TUSD BF'!$Q$59+'TUSD CVA'!$Q$59)-('TUSD BE'!$R$59+'TUSD BF'!$R$59+'TUSD CVA'!$R$59))*(1-CUSTOS!$M$37)</f>
        <v>198.51359527623447</v>
      </c>
      <c r="AA691" s="6">
        <f>('TE BE'!$AA$23+'TE BF'!$AA$23+'TE CVA'!$AA$23)*(1-CUSTOS!$M$37)</f>
        <v>242.90567551581066</v>
      </c>
      <c r="AB691" s="6">
        <f t="shared" si="34"/>
        <v>0</v>
      </c>
      <c r="AC691" s="6">
        <f>(L691-M691)*(W691+X691)+($W$683+$X$683-$W$691-$X$691)*(L691)</f>
        <v>0</v>
      </c>
      <c r="AD691" s="6">
        <f t="shared" si="35"/>
        <v>0</v>
      </c>
      <c r="AE691" s="6">
        <f ca="1">(L691-M691)*(Z691+AA691)+($Z$683+$AA$683-$Z$691-$AA$691)*(L691)</f>
        <v>4.6346428916876905E-12</v>
      </c>
      <c r="AF691" s="4" t="s">
        <v>1153</v>
      </c>
    </row>
    <row r="692" spans="1:32" ht="11.25" customHeight="1" x14ac:dyDescent="0.25">
      <c r="A692" s="4" t="s">
        <v>27</v>
      </c>
      <c r="B692" s="4" t="s">
        <v>22</v>
      </c>
      <c r="C692" s="4" t="s">
        <v>23</v>
      </c>
      <c r="D692" s="4" t="s">
        <v>24</v>
      </c>
      <c r="E692" s="4" t="s">
        <v>32</v>
      </c>
      <c r="F692" s="4" t="s">
        <v>25</v>
      </c>
      <c r="G692" s="4" t="s">
        <v>25</v>
      </c>
      <c r="H692" s="4" t="s">
        <v>25</v>
      </c>
      <c r="I692" s="5">
        <v>43891</v>
      </c>
      <c r="J692" s="6">
        <v>0</v>
      </c>
      <c r="K692" s="6">
        <v>0</v>
      </c>
      <c r="L692" s="6">
        <v>0.218</v>
      </c>
      <c r="M692" s="6">
        <v>0.218</v>
      </c>
      <c r="N692" s="6">
        <v>0.218</v>
      </c>
      <c r="O692" s="6">
        <v>0.218</v>
      </c>
      <c r="P692" s="6">
        <v>2</v>
      </c>
      <c r="Q692" s="4" t="s">
        <v>26</v>
      </c>
      <c r="R692" s="4">
        <v>0</v>
      </c>
      <c r="S692" s="4">
        <v>0</v>
      </c>
      <c r="T692" s="4">
        <v>49</v>
      </c>
      <c r="U692" s="4">
        <v>92</v>
      </c>
      <c r="V692" s="6">
        <f>IF(ISERROR(VLOOKUP($S$692,'TAR FIN'!$A$1:$O$120,15,0)),0,VLOOKUP($S$692,'TAR FIN'!$A$1:$O$120,15,0))</f>
        <v>0</v>
      </c>
      <c r="W692" s="6">
        <f>IF(ISERROR(VLOOKUP($T$692,'TAR FIN'!$A$1:$O$120,15,0)),0,VLOOKUP($T$692,'TAR FIN'!$A$1:$O$120,15,0))</f>
        <v>183.12</v>
      </c>
      <c r="X692" s="6">
        <f>IF(ISERROR(VLOOKUP($U$692,'TAR FIN'!$A$1:$O$120,15,0)),0,VLOOKUP($U$692,'TAR FIN'!$A$1:$O$120,15,0))</f>
        <v>270.92</v>
      </c>
      <c r="Y692" s="6"/>
      <c r="Z692" s="6">
        <f ca="1">('TUSD BE'!$AM$59+'TUSD BF'!$AM$59+'TUSD CVA'!$AM$59-('TUSD BE'!$P$59+'TUSD BF'!$P$59+'TUSD CVA'!$P$59)-('TUSD BE'!$Q$59+'TUSD BF'!$Q$59+'TUSD CVA'!$Q$59)-('TUSD BE'!$R$59+'TUSD BF'!$R$59+'TUSD CVA'!$R$59))*(1-CUSTOS!$M$37)</f>
        <v>198.51359527623447</v>
      </c>
      <c r="AA692" s="6">
        <f>('TE BE'!$AA$23+'TE BF'!$AA$23+'TE CVA'!$AA$23)*(1-CUSTOS!$M$37)</f>
        <v>242.90567551581066</v>
      </c>
      <c r="AB692" s="6">
        <f t="shared" si="34"/>
        <v>0</v>
      </c>
      <c r="AC692" s="6">
        <f>(L692-M692)*(W692+X692)+($W$683+$X$683-$W$692-$X$692)*(L692)</f>
        <v>0</v>
      </c>
      <c r="AD692" s="6">
        <f t="shared" si="35"/>
        <v>0</v>
      </c>
      <c r="AE692" s="6">
        <f ca="1">(L692-M692)*(Z692+AA692)+($Z$683+$AA$683-$Z$692-$AA$692)*(L692)</f>
        <v>6.1959326558280736E-15</v>
      </c>
      <c r="AF692" s="4" t="s">
        <v>1153</v>
      </c>
    </row>
    <row r="693" spans="1:32" ht="11.25" customHeight="1" x14ac:dyDescent="0.25">
      <c r="A693" s="4" t="s">
        <v>21</v>
      </c>
      <c r="B693" s="4" t="s">
        <v>22</v>
      </c>
      <c r="C693" s="4" t="s">
        <v>23</v>
      </c>
      <c r="D693" s="4" t="s">
        <v>24</v>
      </c>
      <c r="E693" s="4" t="s">
        <v>32</v>
      </c>
      <c r="F693" s="4" t="s">
        <v>25</v>
      </c>
      <c r="G693" s="4" t="s">
        <v>25</v>
      </c>
      <c r="H693" s="4" t="s">
        <v>25</v>
      </c>
      <c r="I693" s="5">
        <v>43922</v>
      </c>
      <c r="J693" s="6">
        <v>0</v>
      </c>
      <c r="K693" s="6">
        <v>0</v>
      </c>
      <c r="L693" s="6">
        <v>226.65199999999999</v>
      </c>
      <c r="M693" s="6">
        <v>226.65199999999999</v>
      </c>
      <c r="N693" s="6">
        <v>226.65199999999999</v>
      </c>
      <c r="O693" s="6">
        <v>226.65199999999999</v>
      </c>
      <c r="P693" s="6">
        <v>2463</v>
      </c>
      <c r="Q693" s="4" t="s">
        <v>26</v>
      </c>
      <c r="R693" s="4">
        <v>0</v>
      </c>
      <c r="S693" s="4">
        <v>0</v>
      </c>
      <c r="T693" s="4">
        <v>49</v>
      </c>
      <c r="U693" s="4">
        <v>92</v>
      </c>
      <c r="V693" s="6">
        <f>IF(ISERROR(VLOOKUP($S$693,'TAR FIN'!$A$1:$O$120,15,0)),0,VLOOKUP($S$693,'TAR FIN'!$A$1:$O$120,15,0))</f>
        <v>0</v>
      </c>
      <c r="W693" s="6">
        <f>IF(ISERROR(VLOOKUP($T$693,'TAR FIN'!$A$1:$O$120,15,0)),0,VLOOKUP($T$693,'TAR FIN'!$A$1:$O$120,15,0))</f>
        <v>183.12</v>
      </c>
      <c r="X693" s="6">
        <f>IF(ISERROR(VLOOKUP($U$693,'TAR FIN'!$A$1:$O$120,15,0)),0,VLOOKUP($U$693,'TAR FIN'!$A$1:$O$120,15,0))</f>
        <v>270.92</v>
      </c>
      <c r="Y693" s="6"/>
      <c r="Z693" s="6">
        <f ca="1">('TUSD BE'!$AM$59+'TUSD BF'!$AM$59+'TUSD CVA'!$AM$59-('TUSD BE'!$P$59+'TUSD BF'!$P$59+'TUSD CVA'!$P$59)-('TUSD BE'!$Q$59+'TUSD BF'!$Q$59+'TUSD CVA'!$Q$59)-('TUSD BE'!$R$59+'TUSD BF'!$R$59+'TUSD CVA'!$R$59))*(1-CUSTOS!$M$37)</f>
        <v>198.51359527623447</v>
      </c>
      <c r="AA693" s="6">
        <f>('TE BE'!$AA$23+'TE BF'!$AA$23+'TE CVA'!$AA$23)*(1-CUSTOS!$M$37)</f>
        <v>242.90567551581066</v>
      </c>
      <c r="AB693" s="6">
        <f t="shared" si="34"/>
        <v>0</v>
      </c>
      <c r="AC693" s="6">
        <f>(L693-M693)*(W693+X693)+($W$683+$X$683-$W$693-$X$693)*(L693)</f>
        <v>0</v>
      </c>
      <c r="AD693" s="6">
        <f t="shared" si="35"/>
        <v>0</v>
      </c>
      <c r="AE693" s="6">
        <f ca="1">(L693-M693)*(Z693+AA693)+($Z$683+$AA$683-$Z$693-$AA$693)*(L693)</f>
        <v>6.4418372858199287E-12</v>
      </c>
      <c r="AF693" s="4" t="s">
        <v>1153</v>
      </c>
    </row>
    <row r="694" spans="1:32" ht="11.25" customHeight="1" x14ac:dyDescent="0.25">
      <c r="A694" s="4" t="s">
        <v>27</v>
      </c>
      <c r="B694" s="4" t="s">
        <v>22</v>
      </c>
      <c r="C694" s="4" t="s">
        <v>23</v>
      </c>
      <c r="D694" s="4" t="s">
        <v>24</v>
      </c>
      <c r="E694" s="4" t="s">
        <v>32</v>
      </c>
      <c r="F694" s="4" t="s">
        <v>25</v>
      </c>
      <c r="G694" s="4" t="s">
        <v>25</v>
      </c>
      <c r="H694" s="4" t="s">
        <v>25</v>
      </c>
      <c r="I694" s="5">
        <v>43922</v>
      </c>
      <c r="J694" s="6">
        <v>0</v>
      </c>
      <c r="K694" s="6">
        <v>0</v>
      </c>
      <c r="L694" s="6">
        <v>1.794</v>
      </c>
      <c r="M694" s="6">
        <v>1.794</v>
      </c>
      <c r="N694" s="6">
        <v>1.794</v>
      </c>
      <c r="O694" s="6">
        <v>1.794</v>
      </c>
      <c r="P694" s="6">
        <v>29</v>
      </c>
      <c r="Q694" s="4" t="s">
        <v>26</v>
      </c>
      <c r="R694" s="4">
        <v>0</v>
      </c>
      <c r="S694" s="4">
        <v>0</v>
      </c>
      <c r="T694" s="4">
        <v>49</v>
      </c>
      <c r="U694" s="4">
        <v>92</v>
      </c>
      <c r="V694" s="6">
        <f>IF(ISERROR(VLOOKUP($S$694,'TAR FIN'!$A$1:$O$120,15,0)),0,VLOOKUP($S$694,'TAR FIN'!$A$1:$O$120,15,0))</f>
        <v>0</v>
      </c>
      <c r="W694" s="6">
        <f>IF(ISERROR(VLOOKUP($T$694,'TAR FIN'!$A$1:$O$120,15,0)),0,VLOOKUP($T$694,'TAR FIN'!$A$1:$O$120,15,0))</f>
        <v>183.12</v>
      </c>
      <c r="X694" s="6">
        <f>IF(ISERROR(VLOOKUP($U$694,'TAR FIN'!$A$1:$O$120,15,0)),0,VLOOKUP($U$694,'TAR FIN'!$A$1:$O$120,15,0))</f>
        <v>270.92</v>
      </c>
      <c r="Y694" s="6"/>
      <c r="Z694" s="6">
        <f ca="1">('TUSD BE'!$AM$59+'TUSD BF'!$AM$59+'TUSD CVA'!$AM$59-('TUSD BE'!$P$59+'TUSD BF'!$P$59+'TUSD CVA'!$P$59)-('TUSD BE'!$Q$59+'TUSD BF'!$Q$59+'TUSD CVA'!$Q$59)-('TUSD BE'!$R$59+'TUSD BF'!$R$59+'TUSD CVA'!$R$59))*(1-CUSTOS!$M$37)</f>
        <v>198.51359527623447</v>
      </c>
      <c r="AA694" s="6">
        <f>('TE BE'!$AA$23+'TE BF'!$AA$23+'TE CVA'!$AA$23)*(1-CUSTOS!$M$37)</f>
        <v>242.90567551581066</v>
      </c>
      <c r="AB694" s="6">
        <f t="shared" si="34"/>
        <v>0</v>
      </c>
      <c r="AC694" s="6">
        <f>(L694-M694)*(W694+X694)+($W$683+$X$683-$W$694-$X$694)*(L694)</f>
        <v>0</v>
      </c>
      <c r="AD694" s="6">
        <f t="shared" si="35"/>
        <v>0</v>
      </c>
      <c r="AE694" s="6">
        <f ca="1">(L694-M694)*(Z694+AA694)+($Z$683+$AA$683-$Z$694-$AA$694)*(L694)</f>
        <v>5.098854671814479E-14</v>
      </c>
      <c r="AF694" s="4" t="s">
        <v>1153</v>
      </c>
    </row>
    <row r="695" spans="1:32" ht="11.25" customHeight="1" x14ac:dyDescent="0.25">
      <c r="A695" s="4" t="s">
        <v>21</v>
      </c>
      <c r="B695" s="4" t="s">
        <v>22</v>
      </c>
      <c r="C695" s="4" t="s">
        <v>23</v>
      </c>
      <c r="D695" s="4" t="s">
        <v>24</v>
      </c>
      <c r="E695" s="4" t="s">
        <v>32</v>
      </c>
      <c r="F695" s="4" t="s">
        <v>25</v>
      </c>
      <c r="G695" s="4" t="s">
        <v>25</v>
      </c>
      <c r="H695" s="4" t="s">
        <v>25</v>
      </c>
      <c r="I695" s="5">
        <v>43952</v>
      </c>
      <c r="J695" s="6">
        <v>0</v>
      </c>
      <c r="K695" s="6">
        <v>0</v>
      </c>
      <c r="L695" s="6">
        <v>233.749</v>
      </c>
      <c r="M695" s="6">
        <v>233.749</v>
      </c>
      <c r="N695" s="6">
        <v>233.749</v>
      </c>
      <c r="O695" s="6">
        <v>233.749</v>
      </c>
      <c r="P695" s="6">
        <v>2857</v>
      </c>
      <c r="Q695" s="4" t="s">
        <v>26</v>
      </c>
      <c r="R695" s="4">
        <v>0</v>
      </c>
      <c r="S695" s="4">
        <v>0</v>
      </c>
      <c r="T695" s="4">
        <v>49</v>
      </c>
      <c r="U695" s="4">
        <v>92</v>
      </c>
      <c r="V695" s="6">
        <f>IF(ISERROR(VLOOKUP($S$695,'TAR FIN'!$A$1:$O$120,15,0)),0,VLOOKUP($S$695,'TAR FIN'!$A$1:$O$120,15,0))</f>
        <v>0</v>
      </c>
      <c r="W695" s="6">
        <f>IF(ISERROR(VLOOKUP($T$695,'TAR FIN'!$A$1:$O$120,15,0)),0,VLOOKUP($T$695,'TAR FIN'!$A$1:$O$120,15,0))</f>
        <v>183.12</v>
      </c>
      <c r="X695" s="6">
        <f>IF(ISERROR(VLOOKUP($U$695,'TAR FIN'!$A$1:$O$120,15,0)),0,VLOOKUP($U$695,'TAR FIN'!$A$1:$O$120,15,0))</f>
        <v>270.92</v>
      </c>
      <c r="Y695" s="6"/>
      <c r="Z695" s="6">
        <f ca="1">('TUSD BE'!$AM$59+'TUSD BF'!$AM$59+'TUSD CVA'!$AM$59-('TUSD BE'!$P$59+'TUSD BF'!$P$59+'TUSD CVA'!$P$59)-('TUSD BE'!$Q$59+'TUSD BF'!$Q$59+'TUSD CVA'!$Q$59)-('TUSD BE'!$R$59+'TUSD BF'!$R$59+'TUSD CVA'!$R$59))*(1-CUSTOS!$M$37)</f>
        <v>198.51359527623447</v>
      </c>
      <c r="AA695" s="6">
        <f>('TE BE'!$AA$23+'TE BF'!$AA$23+'TE CVA'!$AA$23)*(1-CUSTOS!$M$37)</f>
        <v>242.90567551581066</v>
      </c>
      <c r="AB695" s="6">
        <f t="shared" si="34"/>
        <v>0</v>
      </c>
      <c r="AC695" s="6">
        <f>(L695-M695)*(W695+X695)+($W$683+$X$683-$W$695-$X$695)*(L695)</f>
        <v>0</v>
      </c>
      <c r="AD695" s="6">
        <f t="shared" si="35"/>
        <v>0</v>
      </c>
      <c r="AE695" s="6">
        <f ca="1">(L695-M695)*(Z695+AA695)+($Z$683+$AA$683-$Z$695-$AA$695)*(L695)</f>
        <v>6.6435461576475062E-12</v>
      </c>
      <c r="AF695" s="4" t="s">
        <v>1153</v>
      </c>
    </row>
    <row r="696" spans="1:32" ht="11.25" customHeight="1" x14ac:dyDescent="0.25">
      <c r="A696" s="4" t="s">
        <v>27</v>
      </c>
      <c r="B696" s="4" t="s">
        <v>22</v>
      </c>
      <c r="C696" s="4" t="s">
        <v>23</v>
      </c>
      <c r="D696" s="4" t="s">
        <v>24</v>
      </c>
      <c r="E696" s="4" t="s">
        <v>32</v>
      </c>
      <c r="F696" s="4" t="s">
        <v>25</v>
      </c>
      <c r="G696" s="4" t="s">
        <v>25</v>
      </c>
      <c r="H696" s="4" t="s">
        <v>25</v>
      </c>
      <c r="I696" s="5">
        <v>43952</v>
      </c>
      <c r="J696" s="6">
        <v>0</v>
      </c>
      <c r="K696" s="6">
        <v>0</v>
      </c>
      <c r="L696" s="6">
        <v>6.8559999999999999</v>
      </c>
      <c r="M696" s="6">
        <v>6.8559999999999999</v>
      </c>
      <c r="N696" s="6">
        <v>6.8559999999999999</v>
      </c>
      <c r="O696" s="6">
        <v>6.8559999999999999</v>
      </c>
      <c r="P696" s="6">
        <v>4</v>
      </c>
      <c r="Q696" s="4" t="s">
        <v>26</v>
      </c>
      <c r="R696" s="4">
        <v>0</v>
      </c>
      <c r="S696" s="4">
        <v>0</v>
      </c>
      <c r="T696" s="4">
        <v>49</v>
      </c>
      <c r="U696" s="4">
        <v>92</v>
      </c>
      <c r="V696" s="6">
        <f>IF(ISERROR(VLOOKUP($S$696,'TAR FIN'!$A$1:$O$120,15,0)),0,VLOOKUP($S$696,'TAR FIN'!$A$1:$O$120,15,0))</f>
        <v>0</v>
      </c>
      <c r="W696" s="6">
        <f>IF(ISERROR(VLOOKUP($T$696,'TAR FIN'!$A$1:$O$120,15,0)),0,VLOOKUP($T$696,'TAR FIN'!$A$1:$O$120,15,0))</f>
        <v>183.12</v>
      </c>
      <c r="X696" s="6">
        <f>IF(ISERROR(VLOOKUP($U$696,'TAR FIN'!$A$1:$O$120,15,0)),0,VLOOKUP($U$696,'TAR FIN'!$A$1:$O$120,15,0))</f>
        <v>270.92</v>
      </c>
      <c r="Y696" s="6"/>
      <c r="Z696" s="6">
        <f ca="1">('TUSD BE'!$AM$59+'TUSD BF'!$AM$59+'TUSD CVA'!$AM$59-('TUSD BE'!$P$59+'TUSD BF'!$P$59+'TUSD CVA'!$P$59)-('TUSD BE'!$Q$59+'TUSD BF'!$Q$59+'TUSD CVA'!$Q$59)-('TUSD BE'!$R$59+'TUSD BF'!$R$59+'TUSD CVA'!$R$59))*(1-CUSTOS!$M$37)</f>
        <v>198.51359527623447</v>
      </c>
      <c r="AA696" s="6">
        <f>('TE BE'!$AA$23+'TE BF'!$AA$23+'TE CVA'!$AA$23)*(1-CUSTOS!$M$37)</f>
        <v>242.90567551581066</v>
      </c>
      <c r="AB696" s="6">
        <f t="shared" si="34"/>
        <v>0</v>
      </c>
      <c r="AC696" s="6">
        <f>(L696-M696)*(W696+X696)+($W$683+$X$683-$W$696-$X$696)*(L696)</f>
        <v>0</v>
      </c>
      <c r="AD696" s="6">
        <f t="shared" si="35"/>
        <v>0</v>
      </c>
      <c r="AE696" s="6">
        <f ca="1">(L696-M696)*(Z696+AA696)+($Z$683+$AA$683-$Z$696-$AA$696)*(L696)</f>
        <v>1.9485923985484987E-13</v>
      </c>
      <c r="AF696" s="4" t="s">
        <v>1153</v>
      </c>
    </row>
    <row r="697" spans="1:32" ht="11.25" customHeight="1" x14ac:dyDescent="0.25">
      <c r="A697" s="4" t="s">
        <v>21</v>
      </c>
      <c r="B697" s="4" t="s">
        <v>22</v>
      </c>
      <c r="C697" s="4" t="s">
        <v>23</v>
      </c>
      <c r="D697" s="4" t="s">
        <v>24</v>
      </c>
      <c r="E697" s="4" t="s">
        <v>32</v>
      </c>
      <c r="F697" s="4" t="s">
        <v>25</v>
      </c>
      <c r="G697" s="4" t="s">
        <v>25</v>
      </c>
      <c r="H697" s="4" t="s">
        <v>25</v>
      </c>
      <c r="I697" s="5">
        <v>43983</v>
      </c>
      <c r="J697" s="6">
        <v>0</v>
      </c>
      <c r="K697" s="6">
        <v>0</v>
      </c>
      <c r="L697" s="6">
        <v>181.435</v>
      </c>
      <c r="M697" s="6">
        <v>181.435</v>
      </c>
      <c r="N697" s="6">
        <v>181.435</v>
      </c>
      <c r="O697" s="6">
        <v>181.435</v>
      </c>
      <c r="P697" s="6">
        <v>2393</v>
      </c>
      <c r="Q697" s="4" t="s">
        <v>26</v>
      </c>
      <c r="R697" s="4">
        <v>0</v>
      </c>
      <c r="S697" s="4">
        <v>0</v>
      </c>
      <c r="T697" s="4">
        <v>49</v>
      </c>
      <c r="U697" s="4">
        <v>92</v>
      </c>
      <c r="V697" s="6">
        <f>IF(ISERROR(VLOOKUP($S$697,'TAR FIN'!$A$1:$O$120,15,0)),0,VLOOKUP($S$697,'TAR FIN'!$A$1:$O$120,15,0))</f>
        <v>0</v>
      </c>
      <c r="W697" s="6">
        <f>IF(ISERROR(VLOOKUP($T$697,'TAR FIN'!$A$1:$O$120,15,0)),0,VLOOKUP($T$697,'TAR FIN'!$A$1:$O$120,15,0))</f>
        <v>183.12</v>
      </c>
      <c r="X697" s="6">
        <f>IF(ISERROR(VLOOKUP($U$697,'TAR FIN'!$A$1:$O$120,15,0)),0,VLOOKUP($U$697,'TAR FIN'!$A$1:$O$120,15,0))</f>
        <v>270.92</v>
      </c>
      <c r="Y697" s="6"/>
      <c r="Z697" s="6">
        <f ca="1">('TUSD BE'!$AM$59+'TUSD BF'!$AM$59+'TUSD CVA'!$AM$59-('TUSD BE'!$P$59+'TUSD BF'!$P$59+'TUSD CVA'!$P$59)-('TUSD BE'!$Q$59+'TUSD BF'!$Q$59+'TUSD CVA'!$Q$59)-('TUSD BE'!$R$59+'TUSD BF'!$R$59+'TUSD CVA'!$R$59))*(1-CUSTOS!$M$37)</f>
        <v>198.51359527623447</v>
      </c>
      <c r="AA697" s="6">
        <f>('TE BE'!$AA$23+'TE BF'!$AA$23+'TE CVA'!$AA$23)*(1-CUSTOS!$M$37)</f>
        <v>242.90567551581066</v>
      </c>
      <c r="AB697" s="6">
        <f t="shared" si="34"/>
        <v>0</v>
      </c>
      <c r="AC697" s="6">
        <f>(L697-M697)*(W697+X697)+($W$683+$X$683-$W$697-$X$697)*(L697)</f>
        <v>0</v>
      </c>
      <c r="AD697" s="6">
        <f t="shared" si="35"/>
        <v>0</v>
      </c>
      <c r="AE697" s="6">
        <f ca="1">(L697-M697)*(Z697+AA697)+($Z$683+$AA$683-$Z$697-$AA$697)*(L697)</f>
        <v>5.1566928505053512E-12</v>
      </c>
      <c r="AF697" s="4" t="s">
        <v>1153</v>
      </c>
    </row>
    <row r="698" spans="1:32" ht="11.25" customHeight="1" x14ac:dyDescent="0.25">
      <c r="A698" s="4" t="s">
        <v>27</v>
      </c>
      <c r="B698" s="4" t="s">
        <v>22</v>
      </c>
      <c r="C698" s="4" t="s">
        <v>23</v>
      </c>
      <c r="D698" s="4" t="s">
        <v>24</v>
      </c>
      <c r="E698" s="4" t="s">
        <v>32</v>
      </c>
      <c r="F698" s="4" t="s">
        <v>25</v>
      </c>
      <c r="G698" s="4" t="s">
        <v>25</v>
      </c>
      <c r="H698" s="4" t="s">
        <v>25</v>
      </c>
      <c r="I698" s="5">
        <v>43983</v>
      </c>
      <c r="J698" s="6">
        <v>0</v>
      </c>
      <c r="K698" s="6">
        <v>0</v>
      </c>
      <c r="L698" s="6">
        <v>0.34</v>
      </c>
      <c r="M698" s="6">
        <v>0.34</v>
      </c>
      <c r="N698" s="6">
        <v>0.34</v>
      </c>
      <c r="O698" s="6">
        <v>0.34</v>
      </c>
      <c r="P698" s="6">
        <v>1</v>
      </c>
      <c r="Q698" s="4" t="s">
        <v>26</v>
      </c>
      <c r="R698" s="4">
        <v>0</v>
      </c>
      <c r="S698" s="4">
        <v>0</v>
      </c>
      <c r="T698" s="4">
        <v>49</v>
      </c>
      <c r="U698" s="4">
        <v>92</v>
      </c>
      <c r="V698" s="6">
        <f>IF(ISERROR(VLOOKUP($S$698,'TAR FIN'!$A$1:$O$120,15,0)),0,VLOOKUP($S$698,'TAR FIN'!$A$1:$O$120,15,0))</f>
        <v>0</v>
      </c>
      <c r="W698" s="6">
        <f>IF(ISERROR(VLOOKUP($T$698,'TAR FIN'!$A$1:$O$120,15,0)),0,VLOOKUP($T$698,'TAR FIN'!$A$1:$O$120,15,0))</f>
        <v>183.12</v>
      </c>
      <c r="X698" s="6">
        <f>IF(ISERROR(VLOOKUP($U$698,'TAR FIN'!$A$1:$O$120,15,0)),0,VLOOKUP($U$698,'TAR FIN'!$A$1:$O$120,15,0))</f>
        <v>270.92</v>
      </c>
      <c r="Y698" s="6"/>
      <c r="Z698" s="6">
        <f ca="1">('TUSD BE'!$AM$59+'TUSD BF'!$AM$59+'TUSD CVA'!$AM$59-('TUSD BE'!$P$59+'TUSD BF'!$P$59+'TUSD CVA'!$P$59)-('TUSD BE'!$Q$59+'TUSD BF'!$Q$59+'TUSD CVA'!$Q$59)-('TUSD BE'!$R$59+'TUSD BF'!$R$59+'TUSD CVA'!$R$59))*(1-CUSTOS!$M$37)</f>
        <v>198.51359527623447</v>
      </c>
      <c r="AA698" s="6">
        <f>('TE BE'!$AA$23+'TE BF'!$AA$23+'TE CVA'!$AA$23)*(1-CUSTOS!$M$37)</f>
        <v>242.90567551581066</v>
      </c>
      <c r="AB698" s="6">
        <f t="shared" si="34"/>
        <v>0</v>
      </c>
      <c r="AC698" s="6">
        <f>(L698-M698)*(W698+X698)+($W$683+$X$683-$W$698-$X$698)*(L698)</f>
        <v>0</v>
      </c>
      <c r="AD698" s="6">
        <f t="shared" si="35"/>
        <v>0</v>
      </c>
      <c r="AE698" s="6">
        <f ca="1">(L698-M698)*(Z698+AA698)+($Z$683+$AA$683-$Z$698-$AA$698)*(L698)</f>
        <v>9.6633812063373632E-15</v>
      </c>
      <c r="AF698" s="4" t="s">
        <v>1153</v>
      </c>
    </row>
    <row r="699" spans="1:32" ht="11.25" customHeight="1" x14ac:dyDescent="0.25">
      <c r="A699" s="4" t="s">
        <v>21</v>
      </c>
      <c r="B699" s="4" t="s">
        <v>22</v>
      </c>
      <c r="C699" s="4" t="s">
        <v>23</v>
      </c>
      <c r="D699" s="4" t="s">
        <v>24</v>
      </c>
      <c r="E699" s="4" t="s">
        <v>32</v>
      </c>
      <c r="F699" s="4" t="s">
        <v>25</v>
      </c>
      <c r="G699" s="4" t="s">
        <v>25</v>
      </c>
      <c r="H699" s="4" t="s">
        <v>25</v>
      </c>
      <c r="I699" s="5">
        <v>44013</v>
      </c>
      <c r="J699" s="6">
        <v>0</v>
      </c>
      <c r="K699" s="6">
        <v>0</v>
      </c>
      <c r="L699" s="6">
        <v>223.99600000000001</v>
      </c>
      <c r="M699" s="6">
        <v>223.99600000000001</v>
      </c>
      <c r="N699" s="6">
        <v>223.99600000000001</v>
      </c>
      <c r="O699" s="6">
        <v>223.99600000000001</v>
      </c>
      <c r="P699" s="6">
        <v>2785</v>
      </c>
      <c r="Q699" s="4" t="s">
        <v>26</v>
      </c>
      <c r="R699" s="4">
        <v>0</v>
      </c>
      <c r="S699" s="4">
        <v>0</v>
      </c>
      <c r="T699" s="4">
        <v>49</v>
      </c>
      <c r="U699" s="4">
        <v>92</v>
      </c>
      <c r="V699" s="6">
        <f>IF(ISERROR(VLOOKUP($S$699,'TAR FIN'!$A$1:$O$120,15,0)),0,VLOOKUP($S$699,'TAR FIN'!$A$1:$O$120,15,0))</f>
        <v>0</v>
      </c>
      <c r="W699" s="6">
        <f>IF(ISERROR(VLOOKUP($T$699,'TAR FIN'!$A$1:$O$120,15,0)),0,VLOOKUP($T$699,'TAR FIN'!$A$1:$O$120,15,0))</f>
        <v>183.12</v>
      </c>
      <c r="X699" s="6">
        <f>IF(ISERROR(VLOOKUP($U$699,'TAR FIN'!$A$1:$O$120,15,0)),0,VLOOKUP($U$699,'TAR FIN'!$A$1:$O$120,15,0))</f>
        <v>270.92</v>
      </c>
      <c r="Y699" s="6"/>
      <c r="Z699" s="6">
        <f ca="1">('TUSD BE'!$AM$59+'TUSD BF'!$AM$59+'TUSD CVA'!$AM$59-('TUSD BE'!$P$59+'TUSD BF'!$P$59+'TUSD CVA'!$P$59)-('TUSD BE'!$Q$59+'TUSD BF'!$Q$59+'TUSD CVA'!$Q$59)-('TUSD BE'!$R$59+'TUSD BF'!$R$59+'TUSD CVA'!$R$59))*(1-CUSTOS!$M$37)</f>
        <v>198.51359527623447</v>
      </c>
      <c r="AA699" s="6">
        <f>('TE BE'!$AA$23+'TE BF'!$AA$23+'TE CVA'!$AA$23)*(1-CUSTOS!$M$37)</f>
        <v>242.90567551581066</v>
      </c>
      <c r="AB699" s="6">
        <f t="shared" si="34"/>
        <v>0</v>
      </c>
      <c r="AC699" s="6">
        <f>(L699-M699)*(W699+X699)+($W$683+$X$683-$W$699-$X$699)*(L699)</f>
        <v>0</v>
      </c>
      <c r="AD699" s="6">
        <f t="shared" si="35"/>
        <v>0</v>
      </c>
      <c r="AE699" s="6">
        <f ca="1">(L699-M699)*(Z699+AA699)+($Z$683+$AA$683-$Z$699-$AA$699)*(L699)</f>
        <v>6.3663492255727763E-12</v>
      </c>
      <c r="AF699" s="4" t="s">
        <v>1153</v>
      </c>
    </row>
    <row r="700" spans="1:32" ht="11.25" customHeight="1" x14ac:dyDescent="0.25">
      <c r="A700" s="4" t="s">
        <v>27</v>
      </c>
      <c r="B700" s="4" t="s">
        <v>22</v>
      </c>
      <c r="C700" s="4" t="s">
        <v>23</v>
      </c>
      <c r="D700" s="4" t="s">
        <v>24</v>
      </c>
      <c r="E700" s="4" t="s">
        <v>32</v>
      </c>
      <c r="F700" s="4" t="s">
        <v>25</v>
      </c>
      <c r="G700" s="4" t="s">
        <v>25</v>
      </c>
      <c r="H700" s="4" t="s">
        <v>25</v>
      </c>
      <c r="I700" s="5">
        <v>44013</v>
      </c>
      <c r="J700" s="6">
        <v>0</v>
      </c>
      <c r="K700" s="6">
        <v>0</v>
      </c>
      <c r="L700" s="6">
        <v>0.56799999999999995</v>
      </c>
      <c r="M700" s="6">
        <v>0.56799999999999995</v>
      </c>
      <c r="N700" s="6">
        <v>0.56799999999999995</v>
      </c>
      <c r="O700" s="6">
        <v>0.56799999999999995</v>
      </c>
      <c r="P700" s="6">
        <v>2</v>
      </c>
      <c r="Q700" s="4" t="s">
        <v>26</v>
      </c>
      <c r="R700" s="4">
        <v>0</v>
      </c>
      <c r="S700" s="4">
        <v>0</v>
      </c>
      <c r="T700" s="4">
        <v>49</v>
      </c>
      <c r="U700" s="4">
        <v>92</v>
      </c>
      <c r="V700" s="6">
        <f>IF(ISERROR(VLOOKUP($S$700,'TAR FIN'!$A$1:$O$120,15,0)),0,VLOOKUP($S$700,'TAR FIN'!$A$1:$O$120,15,0))</f>
        <v>0</v>
      </c>
      <c r="W700" s="6">
        <f>IF(ISERROR(VLOOKUP($T$700,'TAR FIN'!$A$1:$O$120,15,0)),0,VLOOKUP($T$700,'TAR FIN'!$A$1:$O$120,15,0))</f>
        <v>183.12</v>
      </c>
      <c r="X700" s="6">
        <f>IF(ISERROR(VLOOKUP($U$700,'TAR FIN'!$A$1:$O$120,15,0)),0,VLOOKUP($U$700,'TAR FIN'!$A$1:$O$120,15,0))</f>
        <v>270.92</v>
      </c>
      <c r="Y700" s="6"/>
      <c r="Z700" s="6">
        <f ca="1">('TUSD BE'!$AM$59+'TUSD BF'!$AM$59+'TUSD CVA'!$AM$59-('TUSD BE'!$P$59+'TUSD BF'!$P$59+'TUSD CVA'!$P$59)-('TUSD BE'!$Q$59+'TUSD BF'!$Q$59+'TUSD CVA'!$Q$59)-('TUSD BE'!$R$59+'TUSD BF'!$R$59+'TUSD CVA'!$R$59))*(1-CUSTOS!$M$37)</f>
        <v>198.51359527623447</v>
      </c>
      <c r="AA700" s="6">
        <f>('TE BE'!$AA$23+'TE BF'!$AA$23+'TE CVA'!$AA$23)*(1-CUSTOS!$M$37)</f>
        <v>242.90567551581066</v>
      </c>
      <c r="AB700" s="6">
        <f t="shared" si="34"/>
        <v>0</v>
      </c>
      <c r="AC700" s="6">
        <f>(L700-M700)*(W700+X700)+($W$683+$X$683-$W$700-$X$700)*(L700)</f>
        <v>0</v>
      </c>
      <c r="AD700" s="6">
        <f t="shared" si="35"/>
        <v>0</v>
      </c>
      <c r="AE700" s="6">
        <f ca="1">(L700-M700)*(Z700+AA700)+($Z$683+$AA$683-$Z$700-$AA$700)*(L700)</f>
        <v>1.6143530956469475E-14</v>
      </c>
      <c r="AF700" s="4" t="s">
        <v>1153</v>
      </c>
    </row>
    <row r="701" spans="1:32" ht="11.25" customHeight="1" x14ac:dyDescent="0.25">
      <c r="A701" s="4" t="s">
        <v>21</v>
      </c>
      <c r="B701" s="4" t="s">
        <v>22</v>
      </c>
      <c r="C701" s="4" t="s">
        <v>23</v>
      </c>
      <c r="D701" s="4" t="s">
        <v>24</v>
      </c>
      <c r="E701" s="4" t="s">
        <v>32</v>
      </c>
      <c r="F701" s="4" t="s">
        <v>25</v>
      </c>
      <c r="G701" s="4" t="s">
        <v>25</v>
      </c>
      <c r="H701" s="4" t="s">
        <v>25</v>
      </c>
      <c r="I701" s="5">
        <v>44044</v>
      </c>
      <c r="J701" s="6">
        <v>0</v>
      </c>
      <c r="K701" s="6">
        <v>0</v>
      </c>
      <c r="L701" s="6">
        <v>307.68599999999998</v>
      </c>
      <c r="M701" s="6">
        <v>307.68599999999998</v>
      </c>
      <c r="N701" s="6">
        <v>307.68599999999998</v>
      </c>
      <c r="O701" s="6">
        <v>307.68599999999998</v>
      </c>
      <c r="P701" s="6">
        <v>3445</v>
      </c>
      <c r="Q701" s="4" t="s">
        <v>26</v>
      </c>
      <c r="R701" s="4">
        <v>0</v>
      </c>
      <c r="S701" s="4">
        <v>0</v>
      </c>
      <c r="T701" s="4">
        <v>49</v>
      </c>
      <c r="U701" s="4">
        <v>92</v>
      </c>
      <c r="V701" s="6">
        <f>IF(ISERROR(VLOOKUP($S$701,'TAR FIN'!$A$1:$O$120,15,0)),0,VLOOKUP($S$701,'TAR FIN'!$A$1:$O$120,15,0))</f>
        <v>0</v>
      </c>
      <c r="W701" s="6">
        <f>IF(ISERROR(VLOOKUP($T$701,'TAR FIN'!$A$1:$O$120,15,0)),0,VLOOKUP($T$701,'TAR FIN'!$A$1:$O$120,15,0))</f>
        <v>183.12</v>
      </c>
      <c r="X701" s="6">
        <f>IF(ISERROR(VLOOKUP($U$701,'TAR FIN'!$A$1:$O$120,15,0)),0,VLOOKUP($U$701,'TAR FIN'!$A$1:$O$120,15,0))</f>
        <v>270.92</v>
      </c>
      <c r="Y701" s="6"/>
      <c r="Z701" s="6">
        <f ca="1">('TUSD BE'!$AM$59+'TUSD BF'!$AM$59+'TUSD CVA'!$AM$59-('TUSD BE'!$P$59+'TUSD BF'!$P$59+'TUSD CVA'!$P$59)-('TUSD BE'!$Q$59+'TUSD BF'!$Q$59+'TUSD CVA'!$Q$59)-('TUSD BE'!$R$59+'TUSD BF'!$R$59+'TUSD CVA'!$R$59))*(1-CUSTOS!$M$37)</f>
        <v>198.51359527623447</v>
      </c>
      <c r="AA701" s="6">
        <f>('TE BE'!$AA$23+'TE BF'!$AA$23+'TE CVA'!$AA$23)*(1-CUSTOS!$M$37)</f>
        <v>242.90567551581066</v>
      </c>
      <c r="AB701" s="6">
        <f t="shared" si="34"/>
        <v>0</v>
      </c>
      <c r="AC701" s="6">
        <f>(L701-M701)*(W701+X701)+($W$683+$X$683-$W$701-$X$701)*(L701)</f>
        <v>0</v>
      </c>
      <c r="AD701" s="6">
        <f t="shared" si="35"/>
        <v>0</v>
      </c>
      <c r="AE701" s="6">
        <f ca="1">(L701-M701)*(Z701+AA701)+($Z$683+$AA$683-$Z$701-$AA$701)*(L701)</f>
        <v>8.7449620878032868E-12</v>
      </c>
      <c r="AF701" s="4" t="s">
        <v>1153</v>
      </c>
    </row>
    <row r="702" spans="1:32" ht="11.25" customHeight="1" x14ac:dyDescent="0.25">
      <c r="A702" s="4" t="s">
        <v>27</v>
      </c>
      <c r="B702" s="4" t="s">
        <v>22</v>
      </c>
      <c r="C702" s="4" t="s">
        <v>23</v>
      </c>
      <c r="D702" s="4" t="s">
        <v>24</v>
      </c>
      <c r="E702" s="4" t="s">
        <v>32</v>
      </c>
      <c r="F702" s="4" t="s">
        <v>25</v>
      </c>
      <c r="G702" s="4" t="s">
        <v>25</v>
      </c>
      <c r="H702" s="4" t="s">
        <v>25</v>
      </c>
      <c r="I702" s="5">
        <v>44044</v>
      </c>
      <c r="J702" s="6">
        <v>0</v>
      </c>
      <c r="K702" s="6">
        <v>0</v>
      </c>
      <c r="L702" s="6">
        <v>5.8999999999999997E-2</v>
      </c>
      <c r="M702" s="6">
        <v>5.8999999999999997E-2</v>
      </c>
      <c r="N702" s="6">
        <v>5.8999999999999997E-2</v>
      </c>
      <c r="O702" s="6">
        <v>5.8999999999999997E-2</v>
      </c>
      <c r="P702" s="6">
        <v>0</v>
      </c>
      <c r="Q702" s="4" t="s">
        <v>26</v>
      </c>
      <c r="R702" s="4">
        <v>0</v>
      </c>
      <c r="S702" s="4">
        <v>0</v>
      </c>
      <c r="T702" s="4">
        <v>49</v>
      </c>
      <c r="U702" s="4">
        <v>92</v>
      </c>
      <c r="V702" s="6">
        <f>IF(ISERROR(VLOOKUP($S$702,'TAR FIN'!$A$1:$O$120,15,0)),0,VLOOKUP($S$702,'TAR FIN'!$A$1:$O$120,15,0))</f>
        <v>0</v>
      </c>
      <c r="W702" s="6">
        <f>IF(ISERROR(VLOOKUP($T$702,'TAR FIN'!$A$1:$O$120,15,0)),0,VLOOKUP($T$702,'TAR FIN'!$A$1:$O$120,15,0))</f>
        <v>183.12</v>
      </c>
      <c r="X702" s="6">
        <f>IF(ISERROR(VLOOKUP($U$702,'TAR FIN'!$A$1:$O$120,15,0)),0,VLOOKUP($U$702,'TAR FIN'!$A$1:$O$120,15,0))</f>
        <v>270.92</v>
      </c>
      <c r="Y702" s="6"/>
      <c r="Z702" s="6">
        <f ca="1">('TUSD BE'!$AM$59+'TUSD BF'!$AM$59+'TUSD CVA'!$AM$59-('TUSD BE'!$P$59+'TUSD BF'!$P$59+'TUSD CVA'!$P$59)-('TUSD BE'!$Q$59+'TUSD BF'!$Q$59+'TUSD CVA'!$Q$59)-('TUSD BE'!$R$59+'TUSD BF'!$R$59+'TUSD CVA'!$R$59))*(1-CUSTOS!$M$37)</f>
        <v>198.51359527623447</v>
      </c>
      <c r="AA702" s="6">
        <f>('TE BE'!$AA$23+'TE BF'!$AA$23+'TE CVA'!$AA$23)*(1-CUSTOS!$M$37)</f>
        <v>242.90567551581066</v>
      </c>
      <c r="AB702" s="6">
        <f t="shared" si="34"/>
        <v>0</v>
      </c>
      <c r="AC702" s="6">
        <f>(L702-M702)*(W702+X702)+($W$683+$X$683-$W$702-$X$702)*(L702)</f>
        <v>0</v>
      </c>
      <c r="AD702" s="6">
        <f t="shared" si="35"/>
        <v>0</v>
      </c>
      <c r="AE702" s="6">
        <f ca="1">(L702-M702)*(Z702+AA702)+($Z$683+$AA$683-$Z$702-$AA$702)*(L702)</f>
        <v>1.6768808563938364E-15</v>
      </c>
      <c r="AF702" s="4" t="s">
        <v>1153</v>
      </c>
    </row>
    <row r="703" spans="1:32" ht="11.25" customHeight="1" x14ac:dyDescent="0.25">
      <c r="A703" s="4" t="s">
        <v>59</v>
      </c>
      <c r="B703" s="4" t="s">
        <v>22</v>
      </c>
      <c r="C703" s="4" t="s">
        <v>23</v>
      </c>
      <c r="D703" s="4" t="s">
        <v>24</v>
      </c>
      <c r="E703" s="4" t="s">
        <v>32</v>
      </c>
      <c r="F703" s="4" t="s">
        <v>25</v>
      </c>
      <c r="G703" s="4" t="s">
        <v>25</v>
      </c>
      <c r="H703" s="4" t="s">
        <v>25</v>
      </c>
      <c r="I703" s="5">
        <v>44075</v>
      </c>
      <c r="J703" s="6">
        <v>0</v>
      </c>
      <c r="K703" s="6">
        <v>0</v>
      </c>
      <c r="L703" s="6">
        <v>307.68599999999998</v>
      </c>
      <c r="M703" s="6">
        <v>307.68599999999998</v>
      </c>
      <c r="N703" s="6">
        <v>307.68599999999998</v>
      </c>
      <c r="O703" s="6">
        <v>307.68599999999998</v>
      </c>
      <c r="P703" s="6">
        <v>3445</v>
      </c>
      <c r="Q703" s="4" t="s">
        <v>26</v>
      </c>
      <c r="R703" s="4">
        <v>0</v>
      </c>
      <c r="S703" s="4">
        <v>0</v>
      </c>
      <c r="T703" s="4">
        <v>49</v>
      </c>
      <c r="U703" s="4">
        <v>92</v>
      </c>
      <c r="V703" s="6">
        <f>IF(ISERROR(VLOOKUP($S$703,'TAR FIN'!$A$1:$O$120,15,0)),0,VLOOKUP($S$703,'TAR FIN'!$A$1:$O$120,15,0))</f>
        <v>0</v>
      </c>
      <c r="W703" s="6">
        <f>IF(ISERROR(VLOOKUP($T$703,'TAR FIN'!$A$1:$O$120,15,0)),0,VLOOKUP($T$703,'TAR FIN'!$A$1:$O$120,15,0))</f>
        <v>183.12</v>
      </c>
      <c r="X703" s="6">
        <f>IF(ISERROR(VLOOKUP($U$703,'TAR FIN'!$A$1:$O$120,15,0)),0,VLOOKUP($U$703,'TAR FIN'!$A$1:$O$120,15,0))</f>
        <v>270.92</v>
      </c>
      <c r="Y703" s="6"/>
      <c r="Z703" s="6">
        <f ca="1">('TUSD BE'!$AM$59+'TUSD BF'!$AM$59+'TUSD CVA'!$AM$59-('TUSD BE'!$P$59+'TUSD BF'!$P$59+'TUSD CVA'!$P$59)-('TUSD BE'!$Q$59+'TUSD BF'!$Q$59+'TUSD CVA'!$Q$59)-('TUSD BE'!$R$59+'TUSD BF'!$R$59+'TUSD CVA'!$R$59))*(1-CUSTOS!$M$37)</f>
        <v>198.51359527623447</v>
      </c>
      <c r="AA703" s="6">
        <f>('TE BE'!$AA$23+'TE BF'!$AA$23+'TE CVA'!$AA$23)*(1-CUSTOS!$M$37)</f>
        <v>242.90567551581066</v>
      </c>
      <c r="AB703" s="6">
        <f t="shared" si="34"/>
        <v>0</v>
      </c>
      <c r="AC703" s="6">
        <f>(L703-M703)*(W703+X703)+($W$683+$X$683-$W$703-$X$703)*(L703)</f>
        <v>0</v>
      </c>
      <c r="AD703" s="6">
        <f t="shared" si="35"/>
        <v>0</v>
      </c>
      <c r="AE703" s="6">
        <f ca="1">(L703-M703)*(Z703+AA703)+($Z$683+$AA$683-$Z$703-$AA$703)*(L703)</f>
        <v>8.7449620878032868E-12</v>
      </c>
      <c r="AF703" s="4" t="s">
        <v>1153</v>
      </c>
    </row>
    <row r="704" spans="1:32" ht="11.25" customHeight="1" x14ac:dyDescent="0.25">
      <c r="A704" s="4" t="s">
        <v>59</v>
      </c>
      <c r="B704" s="4" t="s">
        <v>22</v>
      </c>
      <c r="C704" s="4" t="s">
        <v>23</v>
      </c>
      <c r="D704" s="4" t="s">
        <v>24</v>
      </c>
      <c r="E704" s="4" t="s">
        <v>32</v>
      </c>
      <c r="F704" s="4" t="s">
        <v>25</v>
      </c>
      <c r="G704" s="4" t="s">
        <v>25</v>
      </c>
      <c r="H704" s="4" t="s">
        <v>25</v>
      </c>
      <c r="I704" s="5">
        <v>44075</v>
      </c>
      <c r="J704" s="6">
        <v>0</v>
      </c>
      <c r="K704" s="6">
        <v>0</v>
      </c>
      <c r="L704" s="6">
        <v>5.8999999999999997E-2</v>
      </c>
      <c r="M704" s="6">
        <v>5.8999999999999997E-2</v>
      </c>
      <c r="N704" s="6">
        <v>5.8999999999999997E-2</v>
      </c>
      <c r="O704" s="6">
        <v>5.8999999999999997E-2</v>
      </c>
      <c r="P704" s="6">
        <v>0</v>
      </c>
      <c r="Q704" s="4" t="s">
        <v>26</v>
      </c>
      <c r="R704" s="4">
        <v>0</v>
      </c>
      <c r="S704" s="4">
        <v>0</v>
      </c>
      <c r="T704" s="4">
        <v>49</v>
      </c>
      <c r="U704" s="4">
        <v>92</v>
      </c>
      <c r="V704" s="6">
        <f>IF(ISERROR(VLOOKUP($S$704,'TAR FIN'!$A$1:$O$120,15,0)),0,VLOOKUP($S$704,'TAR FIN'!$A$1:$O$120,15,0))</f>
        <v>0</v>
      </c>
      <c r="W704" s="6">
        <f>IF(ISERROR(VLOOKUP($T$704,'TAR FIN'!$A$1:$O$120,15,0)),0,VLOOKUP($T$704,'TAR FIN'!$A$1:$O$120,15,0))</f>
        <v>183.12</v>
      </c>
      <c r="X704" s="6">
        <f>IF(ISERROR(VLOOKUP($U$704,'TAR FIN'!$A$1:$O$120,15,0)),0,VLOOKUP($U$704,'TAR FIN'!$A$1:$O$120,15,0))</f>
        <v>270.92</v>
      </c>
      <c r="Y704" s="6"/>
      <c r="Z704" s="6">
        <f ca="1">('TUSD BE'!$AM$59+'TUSD BF'!$AM$59+'TUSD CVA'!$AM$59-('TUSD BE'!$P$59+'TUSD BF'!$P$59+'TUSD CVA'!$P$59)-('TUSD BE'!$Q$59+'TUSD BF'!$Q$59+'TUSD CVA'!$Q$59)-('TUSD BE'!$R$59+'TUSD BF'!$R$59+'TUSD CVA'!$R$59))*(1-CUSTOS!$M$37)</f>
        <v>198.51359527623447</v>
      </c>
      <c r="AA704" s="6">
        <f>('TE BE'!$AA$23+'TE BF'!$AA$23+'TE CVA'!$AA$23)*(1-CUSTOS!$M$37)</f>
        <v>242.90567551581066</v>
      </c>
      <c r="AB704" s="6">
        <f t="shared" si="34"/>
        <v>0</v>
      </c>
      <c r="AC704" s="6">
        <f>(L704-M704)*(W704+X704)+($W$683+$X$683-$W$704-$X$704)*(L704)</f>
        <v>0</v>
      </c>
      <c r="AD704" s="6">
        <f t="shared" si="35"/>
        <v>0</v>
      </c>
      <c r="AE704" s="6">
        <f ca="1">(L704-M704)*(Z704+AA704)+($Z$683+$AA$683-$Z$704-$AA$704)*(L704)</f>
        <v>1.6768808563938364E-15</v>
      </c>
      <c r="AF704" s="4" t="s">
        <v>1153</v>
      </c>
    </row>
    <row r="705" spans="1:32" ht="11.25" customHeight="1" x14ac:dyDescent="0.25">
      <c r="A705" s="4" t="s">
        <v>21</v>
      </c>
      <c r="B705" s="4" t="s">
        <v>46</v>
      </c>
      <c r="C705" s="4" t="s">
        <v>37</v>
      </c>
      <c r="D705" s="4" t="s">
        <v>47</v>
      </c>
      <c r="E705" s="4" t="s">
        <v>25</v>
      </c>
      <c r="F705" s="4" t="s">
        <v>25</v>
      </c>
      <c r="G705" s="4" t="s">
        <v>25</v>
      </c>
      <c r="H705" s="4" t="s">
        <v>36</v>
      </c>
      <c r="I705" s="5">
        <v>43739</v>
      </c>
      <c r="J705" s="6">
        <v>0</v>
      </c>
      <c r="K705" s="6">
        <v>0</v>
      </c>
      <c r="L705" s="6">
        <v>0.443</v>
      </c>
      <c r="M705" s="6">
        <v>0.443</v>
      </c>
      <c r="N705" s="6">
        <v>0.443</v>
      </c>
      <c r="O705" s="6">
        <v>0.443</v>
      </c>
      <c r="P705" s="6">
        <v>0</v>
      </c>
      <c r="Q705" s="4" t="s">
        <v>26</v>
      </c>
      <c r="R705" s="4">
        <v>0</v>
      </c>
      <c r="S705" s="4">
        <v>0</v>
      </c>
      <c r="T705" s="4">
        <v>57</v>
      </c>
      <c r="U705" s="4">
        <v>100</v>
      </c>
      <c r="V705" s="6">
        <f>IF(ISERROR(VLOOKUP($S$705,'TAR FIN'!$A$1:$O$120,15,0)),0,VLOOKUP($S$705,'TAR FIN'!$A$1:$O$120,15,0))</f>
        <v>0</v>
      </c>
      <c r="W705" s="6">
        <f>IF(ISERROR(VLOOKUP($T$705,'TAR FIN'!$A$1:$O$120,15,0)),0,VLOOKUP($T$705,'TAR FIN'!$A$1:$O$120,15,0))</f>
        <v>149.87</v>
      </c>
      <c r="X705" s="6">
        <f>IF(ISERROR(VLOOKUP($U$705,'TAR FIN'!$A$1:$O$120,15,0)),0,VLOOKUP($U$705,'TAR FIN'!$A$1:$O$120,15,0))</f>
        <v>194.85</v>
      </c>
      <c r="Y705" s="6"/>
      <c r="Z705" s="6">
        <f ca="1">('TUSD BE'!$AM$67+'TUSD BF'!$AM$67+'TUSD CVA'!$AM$67)*(1-CUSTOS!$M$38)</f>
        <v>175.44164536010888</v>
      </c>
      <c r="AA705" s="6">
        <f>('TE BE'!$AA$31+'TE BF'!$AA$31+'TE CVA'!$AA$31)*(1-CUSTOS!$M$38)</f>
        <v>189.28405171565731</v>
      </c>
      <c r="AB705" s="6">
        <f t="shared" si="34"/>
        <v>0</v>
      </c>
      <c r="AC705" s="6">
        <f>(L705*W705+M705*X705)/(1-CUSTOS!$M$38)*CUSTOS!$M$38</f>
        <v>33.521918048780485</v>
      </c>
      <c r="AD705" s="6">
        <f t="shared" si="35"/>
        <v>0</v>
      </c>
      <c r="AE705" s="6">
        <f ca="1">(L705*Z705+N705*AA705)/(1-CUSTOS!$M$38)*CUSTOS!$M$38</f>
        <v>35.467350103440971</v>
      </c>
      <c r="AF705" s="4" t="s">
        <v>1151</v>
      </c>
    </row>
    <row r="706" spans="1:32" ht="11.25" customHeight="1" x14ac:dyDescent="0.25">
      <c r="A706" s="4" t="s">
        <v>21</v>
      </c>
      <c r="B706" s="4" t="s">
        <v>46</v>
      </c>
      <c r="C706" s="4" t="s">
        <v>37</v>
      </c>
      <c r="D706" s="4" t="s">
        <v>47</v>
      </c>
      <c r="E706" s="4" t="s">
        <v>25</v>
      </c>
      <c r="F706" s="4" t="s">
        <v>25</v>
      </c>
      <c r="G706" s="4" t="s">
        <v>25</v>
      </c>
      <c r="H706" s="4" t="s">
        <v>36</v>
      </c>
      <c r="I706" s="5">
        <v>43770</v>
      </c>
      <c r="J706" s="6">
        <v>0</v>
      </c>
      <c r="K706" s="6">
        <v>0</v>
      </c>
      <c r="L706" s="6">
        <v>0.44400000000000001</v>
      </c>
      <c r="M706" s="6">
        <v>0.44400000000000001</v>
      </c>
      <c r="N706" s="6">
        <v>0.44400000000000001</v>
      </c>
      <c r="O706" s="6">
        <v>0.44400000000000001</v>
      </c>
      <c r="P706" s="6">
        <v>0</v>
      </c>
      <c r="Q706" s="4" t="s">
        <v>26</v>
      </c>
      <c r="R706" s="4">
        <v>0</v>
      </c>
      <c r="S706" s="4">
        <v>0</v>
      </c>
      <c r="T706" s="4">
        <v>57</v>
      </c>
      <c r="U706" s="4">
        <v>100</v>
      </c>
      <c r="V706" s="6">
        <f>IF(ISERROR(VLOOKUP($S$706,'TAR FIN'!$A$1:$O$120,15,0)),0,VLOOKUP($S$706,'TAR FIN'!$A$1:$O$120,15,0))</f>
        <v>0</v>
      </c>
      <c r="W706" s="6">
        <f>IF(ISERROR(VLOOKUP($T$706,'TAR FIN'!$A$1:$O$120,15,0)),0,VLOOKUP($T$706,'TAR FIN'!$A$1:$O$120,15,0))</f>
        <v>149.87</v>
      </c>
      <c r="X706" s="6">
        <f>IF(ISERROR(VLOOKUP($U$706,'TAR FIN'!$A$1:$O$120,15,0)),0,VLOOKUP($U$706,'TAR FIN'!$A$1:$O$120,15,0))</f>
        <v>194.85</v>
      </c>
      <c r="Y706" s="6"/>
      <c r="Z706" s="6">
        <f ca="1">('TUSD BE'!$AM$67+'TUSD BF'!$AM$67+'TUSD CVA'!$AM$67)*(1-CUSTOS!$M$38)</f>
        <v>175.44164536010888</v>
      </c>
      <c r="AA706" s="6">
        <f>('TE BE'!$AA$31+'TE BF'!$AA$31+'TE CVA'!$AA$31)*(1-CUSTOS!$M$38)</f>
        <v>189.28405171565731</v>
      </c>
      <c r="AB706" s="6">
        <f t="shared" ref="AB706:AB769" si="36">(J706-K706)*V706</f>
        <v>0</v>
      </c>
      <c r="AC706" s="6">
        <f>(L706*W706+M706*X706)/(1-CUSTOS!$M$38)*CUSTOS!$M$38</f>
        <v>33.597588292682921</v>
      </c>
      <c r="AD706" s="6">
        <f t="shared" ref="AD706:AD769" si="37">(J706-K706)*Y706</f>
        <v>0</v>
      </c>
      <c r="AE706" s="6">
        <f ca="1">(L706*Z706+N706*AA706)/(1-CUSTOS!$M$38)*CUSTOS!$M$38</f>
        <v>35.547411841823454</v>
      </c>
      <c r="AF706" s="4" t="s">
        <v>1151</v>
      </c>
    </row>
    <row r="707" spans="1:32" ht="11.25" customHeight="1" x14ac:dyDescent="0.25">
      <c r="A707" s="4" t="s">
        <v>21</v>
      </c>
      <c r="B707" s="4" t="s">
        <v>46</v>
      </c>
      <c r="C707" s="4" t="s">
        <v>37</v>
      </c>
      <c r="D707" s="4" t="s">
        <v>47</v>
      </c>
      <c r="E707" s="4" t="s">
        <v>25</v>
      </c>
      <c r="F707" s="4" t="s">
        <v>25</v>
      </c>
      <c r="G707" s="4" t="s">
        <v>25</v>
      </c>
      <c r="H707" s="4" t="s">
        <v>36</v>
      </c>
      <c r="I707" s="5">
        <v>43800</v>
      </c>
      <c r="J707" s="6">
        <v>0</v>
      </c>
      <c r="K707" s="6">
        <v>0</v>
      </c>
      <c r="L707" s="6">
        <v>0.36799999999999999</v>
      </c>
      <c r="M707" s="6">
        <v>0.36799999999999999</v>
      </c>
      <c r="N707" s="6">
        <v>0.36799999999999999</v>
      </c>
      <c r="O707" s="6">
        <v>0.36799999999999999</v>
      </c>
      <c r="P707" s="6">
        <v>0</v>
      </c>
      <c r="Q707" s="4" t="s">
        <v>26</v>
      </c>
      <c r="R707" s="4">
        <v>0</v>
      </c>
      <c r="S707" s="4">
        <v>0</v>
      </c>
      <c r="T707" s="4">
        <v>57</v>
      </c>
      <c r="U707" s="4">
        <v>100</v>
      </c>
      <c r="V707" s="6">
        <f>IF(ISERROR(VLOOKUP($S$707,'TAR FIN'!$A$1:$O$120,15,0)),0,VLOOKUP($S$707,'TAR FIN'!$A$1:$O$120,15,0))</f>
        <v>0</v>
      </c>
      <c r="W707" s="6">
        <f>IF(ISERROR(VLOOKUP($T$707,'TAR FIN'!$A$1:$O$120,15,0)),0,VLOOKUP($T$707,'TAR FIN'!$A$1:$O$120,15,0))</f>
        <v>149.87</v>
      </c>
      <c r="X707" s="6">
        <f>IF(ISERROR(VLOOKUP($U$707,'TAR FIN'!$A$1:$O$120,15,0)),0,VLOOKUP($U$707,'TAR FIN'!$A$1:$O$120,15,0))</f>
        <v>194.85</v>
      </c>
      <c r="Y707" s="6"/>
      <c r="Z707" s="6">
        <f ca="1">('TUSD BE'!$AM$67+'TUSD BF'!$AM$67+'TUSD CVA'!$AM$67)*(1-CUSTOS!$M$38)</f>
        <v>175.44164536010888</v>
      </c>
      <c r="AA707" s="6">
        <f>('TE BE'!$AA$31+'TE BF'!$AA$31+'TE CVA'!$AA$31)*(1-CUSTOS!$M$38)</f>
        <v>189.28405171565731</v>
      </c>
      <c r="AB707" s="6">
        <f t="shared" si="36"/>
        <v>0</v>
      </c>
      <c r="AC707" s="6">
        <f>(L707*W707+M707*X707)/(1-CUSTOS!$M$38)*CUSTOS!$M$38</f>
        <v>27.846649756097555</v>
      </c>
      <c r="AD707" s="6">
        <f t="shared" si="37"/>
        <v>0</v>
      </c>
      <c r="AE707" s="6">
        <f ca="1">(L707*Z707+N707*AA707)/(1-CUSTOS!$M$38)*CUSTOS!$M$38</f>
        <v>29.462719724754574</v>
      </c>
      <c r="AF707" s="4" t="s">
        <v>1151</v>
      </c>
    </row>
    <row r="708" spans="1:32" ht="11.25" customHeight="1" x14ac:dyDescent="0.25">
      <c r="A708" s="4" t="s">
        <v>21</v>
      </c>
      <c r="B708" s="4" t="s">
        <v>46</v>
      </c>
      <c r="C708" s="4" t="s">
        <v>37</v>
      </c>
      <c r="D708" s="4" t="s">
        <v>47</v>
      </c>
      <c r="E708" s="4" t="s">
        <v>25</v>
      </c>
      <c r="F708" s="4" t="s">
        <v>25</v>
      </c>
      <c r="G708" s="4" t="s">
        <v>25</v>
      </c>
      <c r="H708" s="4" t="s">
        <v>36</v>
      </c>
      <c r="I708" s="5">
        <v>43831</v>
      </c>
      <c r="J708" s="6">
        <v>0</v>
      </c>
      <c r="K708" s="6">
        <v>0</v>
      </c>
      <c r="L708" s="6">
        <v>0.437</v>
      </c>
      <c r="M708" s="6">
        <v>0.437</v>
      </c>
      <c r="N708" s="6">
        <v>0.437</v>
      </c>
      <c r="O708" s="6">
        <v>0.437</v>
      </c>
      <c r="P708" s="6">
        <v>0</v>
      </c>
      <c r="Q708" s="4" t="s">
        <v>26</v>
      </c>
      <c r="R708" s="4">
        <v>0</v>
      </c>
      <c r="S708" s="4">
        <v>0</v>
      </c>
      <c r="T708" s="4">
        <v>57</v>
      </c>
      <c r="U708" s="4">
        <v>100</v>
      </c>
      <c r="V708" s="6">
        <f>IF(ISERROR(VLOOKUP($S$708,'TAR FIN'!$A$1:$O$120,15,0)),0,VLOOKUP($S$708,'TAR FIN'!$A$1:$O$120,15,0))</f>
        <v>0</v>
      </c>
      <c r="W708" s="6">
        <f>IF(ISERROR(VLOOKUP($T$708,'TAR FIN'!$A$1:$O$120,15,0)),0,VLOOKUP($T$708,'TAR FIN'!$A$1:$O$120,15,0))</f>
        <v>149.87</v>
      </c>
      <c r="X708" s="6">
        <f>IF(ISERROR(VLOOKUP($U$708,'TAR FIN'!$A$1:$O$120,15,0)),0,VLOOKUP($U$708,'TAR FIN'!$A$1:$O$120,15,0))</f>
        <v>194.85</v>
      </c>
      <c r="Y708" s="6"/>
      <c r="Z708" s="6">
        <f ca="1">('TUSD BE'!$AM$67+'TUSD BF'!$AM$67+'TUSD CVA'!$AM$67)*(1-CUSTOS!$M$38)</f>
        <v>175.44164536010888</v>
      </c>
      <c r="AA708" s="6">
        <f>('TE BE'!$AA$31+'TE BF'!$AA$31+'TE CVA'!$AA$31)*(1-CUSTOS!$M$38)</f>
        <v>189.28405171565731</v>
      </c>
      <c r="AB708" s="6">
        <f t="shared" si="36"/>
        <v>0</v>
      </c>
      <c r="AC708" s="6">
        <f>(L708*W708+M708*X708)/(1-CUSTOS!$M$38)*CUSTOS!$M$38</f>
        <v>33.067896585365851</v>
      </c>
      <c r="AD708" s="6">
        <f t="shared" si="37"/>
        <v>0</v>
      </c>
      <c r="AE708" s="6">
        <f ca="1">(L708*Z708+N708*AA708)/(1-CUSTOS!$M$38)*CUSTOS!$M$38</f>
        <v>34.98697967314606</v>
      </c>
      <c r="AF708" s="4" t="s">
        <v>1151</v>
      </c>
    </row>
    <row r="709" spans="1:32" ht="11.25" customHeight="1" x14ac:dyDescent="0.25">
      <c r="A709" s="4" t="s">
        <v>21</v>
      </c>
      <c r="B709" s="4" t="s">
        <v>46</v>
      </c>
      <c r="C709" s="4" t="s">
        <v>37</v>
      </c>
      <c r="D709" s="4" t="s">
        <v>47</v>
      </c>
      <c r="E709" s="4" t="s">
        <v>25</v>
      </c>
      <c r="F709" s="4" t="s">
        <v>25</v>
      </c>
      <c r="G709" s="4" t="s">
        <v>25</v>
      </c>
      <c r="H709" s="4" t="s">
        <v>36</v>
      </c>
      <c r="I709" s="5">
        <v>43862</v>
      </c>
      <c r="J709" s="6">
        <v>0</v>
      </c>
      <c r="K709" s="6">
        <v>0</v>
      </c>
      <c r="L709" s="6">
        <v>0.35899999999999999</v>
      </c>
      <c r="M709" s="6">
        <v>0.35899999999999999</v>
      </c>
      <c r="N709" s="6">
        <v>0.35899999999999999</v>
      </c>
      <c r="O709" s="6">
        <v>0.35899999999999999</v>
      </c>
      <c r="P709" s="6">
        <v>0</v>
      </c>
      <c r="Q709" s="4" t="s">
        <v>26</v>
      </c>
      <c r="R709" s="4">
        <v>0</v>
      </c>
      <c r="S709" s="4">
        <v>0</v>
      </c>
      <c r="T709" s="4">
        <v>57</v>
      </c>
      <c r="U709" s="4">
        <v>100</v>
      </c>
      <c r="V709" s="6">
        <f>IF(ISERROR(VLOOKUP($S$709,'TAR FIN'!$A$1:$O$120,15,0)),0,VLOOKUP($S$709,'TAR FIN'!$A$1:$O$120,15,0))</f>
        <v>0</v>
      </c>
      <c r="W709" s="6">
        <f>IF(ISERROR(VLOOKUP($T$709,'TAR FIN'!$A$1:$O$120,15,0)),0,VLOOKUP($T$709,'TAR FIN'!$A$1:$O$120,15,0))</f>
        <v>149.87</v>
      </c>
      <c r="X709" s="6">
        <f>IF(ISERROR(VLOOKUP($U$709,'TAR FIN'!$A$1:$O$120,15,0)),0,VLOOKUP($U$709,'TAR FIN'!$A$1:$O$120,15,0))</f>
        <v>194.85</v>
      </c>
      <c r="Y709" s="6"/>
      <c r="Z709" s="6">
        <f ca="1">('TUSD BE'!$AM$67+'TUSD BF'!$AM$67+'TUSD CVA'!$AM$67)*(1-CUSTOS!$M$38)</f>
        <v>175.44164536010888</v>
      </c>
      <c r="AA709" s="6">
        <f>('TE BE'!$AA$31+'TE BF'!$AA$31+'TE CVA'!$AA$31)*(1-CUSTOS!$M$38)</f>
        <v>189.28405171565731</v>
      </c>
      <c r="AB709" s="6">
        <f t="shared" si="36"/>
        <v>0</v>
      </c>
      <c r="AC709" s="6">
        <f>(L709*W709+M709*X709)/(1-CUSTOS!$M$38)*CUSTOS!$M$38</f>
        <v>27.165617560975605</v>
      </c>
      <c r="AD709" s="6">
        <f t="shared" si="37"/>
        <v>0</v>
      </c>
      <c r="AE709" s="6">
        <f ca="1">(L709*Z709+N709*AA709)/(1-CUSTOS!$M$38)*CUSTOS!$M$38</f>
        <v>28.742164079312204</v>
      </c>
      <c r="AF709" s="4" t="s">
        <v>1151</v>
      </c>
    </row>
    <row r="710" spans="1:32" ht="11.25" customHeight="1" x14ac:dyDescent="0.25">
      <c r="A710" s="4" t="s">
        <v>21</v>
      </c>
      <c r="B710" s="4" t="s">
        <v>46</v>
      </c>
      <c r="C710" s="4" t="s">
        <v>37</v>
      </c>
      <c r="D710" s="4" t="s">
        <v>47</v>
      </c>
      <c r="E710" s="4" t="s">
        <v>25</v>
      </c>
      <c r="F710" s="4" t="s">
        <v>25</v>
      </c>
      <c r="G710" s="4" t="s">
        <v>25</v>
      </c>
      <c r="H710" s="4" t="s">
        <v>36</v>
      </c>
      <c r="I710" s="5">
        <v>43891</v>
      </c>
      <c r="J710" s="6">
        <v>0</v>
      </c>
      <c r="K710" s="6">
        <v>0</v>
      </c>
      <c r="L710" s="6">
        <v>0.435</v>
      </c>
      <c r="M710" s="6">
        <v>0.435</v>
      </c>
      <c r="N710" s="6">
        <v>0.435</v>
      </c>
      <c r="O710" s="6">
        <v>0.435</v>
      </c>
      <c r="P710" s="6">
        <v>0</v>
      </c>
      <c r="Q710" s="4" t="s">
        <v>26</v>
      </c>
      <c r="R710" s="4">
        <v>0</v>
      </c>
      <c r="S710" s="4">
        <v>0</v>
      </c>
      <c r="T710" s="4">
        <v>57</v>
      </c>
      <c r="U710" s="4">
        <v>100</v>
      </c>
      <c r="V710" s="6">
        <f>IF(ISERROR(VLOOKUP($S$710,'TAR FIN'!$A$1:$O$120,15,0)),0,VLOOKUP($S$710,'TAR FIN'!$A$1:$O$120,15,0))</f>
        <v>0</v>
      </c>
      <c r="W710" s="6">
        <f>IF(ISERROR(VLOOKUP($T$710,'TAR FIN'!$A$1:$O$120,15,0)),0,VLOOKUP($T$710,'TAR FIN'!$A$1:$O$120,15,0))</f>
        <v>149.87</v>
      </c>
      <c r="X710" s="6">
        <f>IF(ISERROR(VLOOKUP($U$710,'TAR FIN'!$A$1:$O$120,15,0)),0,VLOOKUP($U$710,'TAR FIN'!$A$1:$O$120,15,0))</f>
        <v>194.85</v>
      </c>
      <c r="Y710" s="6"/>
      <c r="Z710" s="6">
        <f ca="1">('TUSD BE'!$AM$67+'TUSD BF'!$AM$67+'TUSD CVA'!$AM$67)*(1-CUSTOS!$M$38)</f>
        <v>175.44164536010888</v>
      </c>
      <c r="AA710" s="6">
        <f>('TE BE'!$AA$31+'TE BF'!$AA$31+'TE CVA'!$AA$31)*(1-CUSTOS!$M$38)</f>
        <v>189.28405171565731</v>
      </c>
      <c r="AB710" s="6">
        <f t="shared" si="36"/>
        <v>0</v>
      </c>
      <c r="AC710" s="6">
        <f>(L710*W710+M710*X710)/(1-CUSTOS!$M$38)*CUSTOS!$M$38</f>
        <v>32.916556097560971</v>
      </c>
      <c r="AD710" s="6">
        <f t="shared" si="37"/>
        <v>0</v>
      </c>
      <c r="AE710" s="6">
        <f ca="1">(L710*Z710+N710*AA710)/(1-CUSTOS!$M$38)*CUSTOS!$M$38</f>
        <v>34.82685619638108</v>
      </c>
      <c r="AF710" s="4" t="s">
        <v>1151</v>
      </c>
    </row>
    <row r="711" spans="1:32" ht="11.25" customHeight="1" x14ac:dyDescent="0.25">
      <c r="A711" s="4" t="s">
        <v>21</v>
      </c>
      <c r="B711" s="4" t="s">
        <v>46</v>
      </c>
      <c r="C711" s="4" t="s">
        <v>37</v>
      </c>
      <c r="D711" s="4" t="s">
        <v>47</v>
      </c>
      <c r="E711" s="4" t="s">
        <v>25</v>
      </c>
      <c r="F711" s="4" t="s">
        <v>25</v>
      </c>
      <c r="G711" s="4" t="s">
        <v>25</v>
      </c>
      <c r="H711" s="4" t="s">
        <v>36</v>
      </c>
      <c r="I711" s="5">
        <v>43922</v>
      </c>
      <c r="J711" s="6">
        <v>0</v>
      </c>
      <c r="K711" s="6">
        <v>0</v>
      </c>
      <c r="L711" s="6">
        <v>0.434</v>
      </c>
      <c r="M711" s="6">
        <v>0.434</v>
      </c>
      <c r="N711" s="6">
        <v>0.434</v>
      </c>
      <c r="O711" s="6">
        <v>0.434</v>
      </c>
      <c r="P711" s="6">
        <v>0</v>
      </c>
      <c r="Q711" s="4" t="s">
        <v>26</v>
      </c>
      <c r="R711" s="4">
        <v>0</v>
      </c>
      <c r="S711" s="4">
        <v>0</v>
      </c>
      <c r="T711" s="4">
        <v>57</v>
      </c>
      <c r="U711" s="4">
        <v>100</v>
      </c>
      <c r="V711" s="6">
        <f>IF(ISERROR(VLOOKUP($S$711,'TAR FIN'!$A$1:$O$120,15,0)),0,VLOOKUP($S$711,'TAR FIN'!$A$1:$O$120,15,0))</f>
        <v>0</v>
      </c>
      <c r="W711" s="6">
        <f>IF(ISERROR(VLOOKUP($T$711,'TAR FIN'!$A$1:$O$120,15,0)),0,VLOOKUP($T$711,'TAR FIN'!$A$1:$O$120,15,0))</f>
        <v>149.87</v>
      </c>
      <c r="X711" s="6">
        <f>IF(ISERROR(VLOOKUP($U$711,'TAR FIN'!$A$1:$O$120,15,0)),0,VLOOKUP($U$711,'TAR FIN'!$A$1:$O$120,15,0))</f>
        <v>194.85</v>
      </c>
      <c r="Y711" s="6"/>
      <c r="Z711" s="6">
        <f ca="1">('TUSD BE'!$AM$67+'TUSD BF'!$AM$67+'TUSD CVA'!$AM$67)*(1-CUSTOS!$M$38)</f>
        <v>175.44164536010888</v>
      </c>
      <c r="AA711" s="6">
        <f>('TE BE'!$AA$31+'TE BF'!$AA$31+'TE CVA'!$AA$31)*(1-CUSTOS!$M$38)</f>
        <v>189.28405171565731</v>
      </c>
      <c r="AB711" s="6">
        <f t="shared" si="36"/>
        <v>0</v>
      </c>
      <c r="AC711" s="6">
        <f>(L711*W711+M711*X711)/(1-CUSTOS!$M$38)*CUSTOS!$M$38</f>
        <v>32.840885853658527</v>
      </c>
      <c r="AD711" s="6">
        <f t="shared" si="37"/>
        <v>0</v>
      </c>
      <c r="AE711" s="6">
        <f ca="1">(L711*Z711+N711*AA711)/(1-CUSTOS!$M$38)*CUSTOS!$M$38</f>
        <v>34.746794457998597</v>
      </c>
      <c r="AF711" s="4" t="s">
        <v>1151</v>
      </c>
    </row>
    <row r="712" spans="1:32" ht="11.25" customHeight="1" x14ac:dyDescent="0.25">
      <c r="A712" s="4" t="s">
        <v>21</v>
      </c>
      <c r="B712" s="4" t="s">
        <v>46</v>
      </c>
      <c r="C712" s="4" t="s">
        <v>37</v>
      </c>
      <c r="D712" s="4" t="s">
        <v>47</v>
      </c>
      <c r="E712" s="4" t="s">
        <v>25</v>
      </c>
      <c r="F712" s="4" t="s">
        <v>25</v>
      </c>
      <c r="G712" s="4" t="s">
        <v>25</v>
      </c>
      <c r="H712" s="4" t="s">
        <v>36</v>
      </c>
      <c r="I712" s="5">
        <v>43952</v>
      </c>
      <c r="J712" s="6">
        <v>0</v>
      </c>
      <c r="K712" s="6">
        <v>0</v>
      </c>
      <c r="L712" s="6">
        <v>0.40699999999999997</v>
      </c>
      <c r="M712" s="6">
        <v>0.40699999999999997</v>
      </c>
      <c r="N712" s="6">
        <v>0.40699999999999997</v>
      </c>
      <c r="O712" s="6">
        <v>0.40699999999999997</v>
      </c>
      <c r="P712" s="6">
        <v>0</v>
      </c>
      <c r="Q712" s="4" t="s">
        <v>26</v>
      </c>
      <c r="R712" s="4">
        <v>0</v>
      </c>
      <c r="S712" s="4">
        <v>0</v>
      </c>
      <c r="T712" s="4">
        <v>57</v>
      </c>
      <c r="U712" s="4">
        <v>100</v>
      </c>
      <c r="V712" s="6">
        <f>IF(ISERROR(VLOOKUP($S$712,'TAR FIN'!$A$1:$O$120,15,0)),0,VLOOKUP($S$712,'TAR FIN'!$A$1:$O$120,15,0))</f>
        <v>0</v>
      </c>
      <c r="W712" s="6">
        <f>IF(ISERROR(VLOOKUP($T$712,'TAR FIN'!$A$1:$O$120,15,0)),0,VLOOKUP($T$712,'TAR FIN'!$A$1:$O$120,15,0))</f>
        <v>149.87</v>
      </c>
      <c r="X712" s="6">
        <f>IF(ISERROR(VLOOKUP($U$712,'TAR FIN'!$A$1:$O$120,15,0)),0,VLOOKUP($U$712,'TAR FIN'!$A$1:$O$120,15,0))</f>
        <v>194.85</v>
      </c>
      <c r="Y712" s="6"/>
      <c r="Z712" s="6">
        <f ca="1">('TUSD BE'!$AM$67+'TUSD BF'!$AM$67+'TUSD CVA'!$AM$67)*(1-CUSTOS!$M$38)</f>
        <v>175.44164536010888</v>
      </c>
      <c r="AA712" s="6">
        <f>('TE BE'!$AA$31+'TE BF'!$AA$31+'TE CVA'!$AA$31)*(1-CUSTOS!$M$38)</f>
        <v>189.28405171565731</v>
      </c>
      <c r="AB712" s="6">
        <f t="shared" si="36"/>
        <v>0</v>
      </c>
      <c r="AC712" s="6">
        <f>(L712*W712+M712*X712)/(1-CUSTOS!$M$38)*CUSTOS!$M$38</f>
        <v>30.797789268292679</v>
      </c>
      <c r="AD712" s="6">
        <f t="shared" si="37"/>
        <v>0</v>
      </c>
      <c r="AE712" s="6">
        <f ca="1">(L712*Z712+N712*AA712)/(1-CUSTOS!$M$38)*CUSTOS!$M$38</f>
        <v>32.585127521671502</v>
      </c>
      <c r="AF712" s="4" t="s">
        <v>1151</v>
      </c>
    </row>
    <row r="713" spans="1:32" ht="11.25" customHeight="1" x14ac:dyDescent="0.25">
      <c r="A713" s="4" t="s">
        <v>21</v>
      </c>
      <c r="B713" s="4" t="s">
        <v>46</v>
      </c>
      <c r="C713" s="4" t="s">
        <v>37</v>
      </c>
      <c r="D713" s="4" t="s">
        <v>47</v>
      </c>
      <c r="E713" s="4" t="s">
        <v>25</v>
      </c>
      <c r="F713" s="4" t="s">
        <v>25</v>
      </c>
      <c r="G713" s="4" t="s">
        <v>25</v>
      </c>
      <c r="H713" s="4" t="s">
        <v>36</v>
      </c>
      <c r="I713" s="5">
        <v>43983</v>
      </c>
      <c r="J713" s="6">
        <v>0</v>
      </c>
      <c r="K713" s="6">
        <v>0</v>
      </c>
      <c r="L713" s="6">
        <v>0.38700000000000001</v>
      </c>
      <c r="M713" s="6">
        <v>0.38700000000000001</v>
      </c>
      <c r="N713" s="6">
        <v>0.38700000000000001</v>
      </c>
      <c r="O713" s="6">
        <v>0.38700000000000001</v>
      </c>
      <c r="P713" s="6">
        <v>0</v>
      </c>
      <c r="Q713" s="4" t="s">
        <v>26</v>
      </c>
      <c r="R713" s="4">
        <v>0</v>
      </c>
      <c r="S713" s="4">
        <v>0</v>
      </c>
      <c r="T713" s="4">
        <v>57</v>
      </c>
      <c r="U713" s="4">
        <v>100</v>
      </c>
      <c r="V713" s="6">
        <f>IF(ISERROR(VLOOKUP($S$713,'TAR FIN'!$A$1:$O$120,15,0)),0,VLOOKUP($S$713,'TAR FIN'!$A$1:$O$120,15,0))</f>
        <v>0</v>
      </c>
      <c r="W713" s="6">
        <f>IF(ISERROR(VLOOKUP($T$713,'TAR FIN'!$A$1:$O$120,15,0)),0,VLOOKUP($T$713,'TAR FIN'!$A$1:$O$120,15,0))</f>
        <v>149.87</v>
      </c>
      <c r="X713" s="6">
        <f>IF(ISERROR(VLOOKUP($U$713,'TAR FIN'!$A$1:$O$120,15,0)),0,VLOOKUP($U$713,'TAR FIN'!$A$1:$O$120,15,0))</f>
        <v>194.85</v>
      </c>
      <c r="Y713" s="6"/>
      <c r="Z713" s="6">
        <f ca="1">('TUSD BE'!$AM$67+'TUSD BF'!$AM$67+'TUSD CVA'!$AM$67)*(1-CUSTOS!$M$38)</f>
        <v>175.44164536010888</v>
      </c>
      <c r="AA713" s="6">
        <f>('TE BE'!$AA$31+'TE BF'!$AA$31+'TE CVA'!$AA$31)*(1-CUSTOS!$M$38)</f>
        <v>189.28405171565731</v>
      </c>
      <c r="AB713" s="6">
        <f t="shared" si="36"/>
        <v>0</v>
      </c>
      <c r="AC713" s="6">
        <f>(L713*W713+M713*X713)/(1-CUSTOS!$M$38)*CUSTOS!$M$38</f>
        <v>29.284384390243893</v>
      </c>
      <c r="AD713" s="6">
        <f t="shared" si="37"/>
        <v>0</v>
      </c>
      <c r="AE713" s="6">
        <f ca="1">(L713*Z713+N713*AA713)/(1-CUSTOS!$M$38)*CUSTOS!$M$38</f>
        <v>30.983892754021792</v>
      </c>
      <c r="AF713" s="4" t="s">
        <v>1151</v>
      </c>
    </row>
    <row r="714" spans="1:32" ht="11.25" customHeight="1" x14ac:dyDescent="0.25">
      <c r="A714" s="4" t="s">
        <v>21</v>
      </c>
      <c r="B714" s="4" t="s">
        <v>46</v>
      </c>
      <c r="C714" s="4" t="s">
        <v>37</v>
      </c>
      <c r="D714" s="4" t="s">
        <v>47</v>
      </c>
      <c r="E714" s="4" t="s">
        <v>25</v>
      </c>
      <c r="F714" s="4" t="s">
        <v>25</v>
      </c>
      <c r="G714" s="4" t="s">
        <v>25</v>
      </c>
      <c r="H714" s="4" t="s">
        <v>36</v>
      </c>
      <c r="I714" s="5">
        <v>44013</v>
      </c>
      <c r="J714" s="6">
        <v>0</v>
      </c>
      <c r="K714" s="6">
        <v>0</v>
      </c>
      <c r="L714" s="6">
        <v>0.38400000000000001</v>
      </c>
      <c r="M714" s="6">
        <v>0.38400000000000001</v>
      </c>
      <c r="N714" s="6">
        <v>0.38400000000000001</v>
      </c>
      <c r="O714" s="6">
        <v>0.38400000000000001</v>
      </c>
      <c r="P714" s="6">
        <v>0</v>
      </c>
      <c r="Q714" s="4" t="s">
        <v>26</v>
      </c>
      <c r="R714" s="4">
        <v>0</v>
      </c>
      <c r="S714" s="4">
        <v>0</v>
      </c>
      <c r="T714" s="4">
        <v>57</v>
      </c>
      <c r="U714" s="4">
        <v>100</v>
      </c>
      <c r="V714" s="6">
        <f>IF(ISERROR(VLOOKUP($S$714,'TAR FIN'!$A$1:$O$120,15,0)),0,VLOOKUP($S$714,'TAR FIN'!$A$1:$O$120,15,0))</f>
        <v>0</v>
      </c>
      <c r="W714" s="6">
        <f>IF(ISERROR(VLOOKUP($T$714,'TAR FIN'!$A$1:$O$120,15,0)),0,VLOOKUP($T$714,'TAR FIN'!$A$1:$O$120,15,0))</f>
        <v>149.87</v>
      </c>
      <c r="X714" s="6">
        <f>IF(ISERROR(VLOOKUP($U$714,'TAR FIN'!$A$1:$O$120,15,0)),0,VLOOKUP($U$714,'TAR FIN'!$A$1:$O$120,15,0))</f>
        <v>194.85</v>
      </c>
      <c r="Y714" s="6"/>
      <c r="Z714" s="6">
        <f ca="1">('TUSD BE'!$AM$67+'TUSD BF'!$AM$67+'TUSD CVA'!$AM$67)*(1-CUSTOS!$M$38)</f>
        <v>175.44164536010888</v>
      </c>
      <c r="AA714" s="6">
        <f>('TE BE'!$AA$31+'TE BF'!$AA$31+'TE CVA'!$AA$31)*(1-CUSTOS!$M$38)</f>
        <v>189.28405171565731</v>
      </c>
      <c r="AB714" s="6">
        <f t="shared" si="36"/>
        <v>0</v>
      </c>
      <c r="AC714" s="6">
        <f>(L714*W714+M714*X714)/(1-CUSTOS!$M$38)*CUSTOS!$M$38</f>
        <v>29.05737365853658</v>
      </c>
      <c r="AD714" s="6">
        <f t="shared" si="37"/>
        <v>0</v>
      </c>
      <c r="AE714" s="6">
        <f ca="1">(L714*Z714+N714*AA714)/(1-CUSTOS!$M$38)*CUSTOS!$M$38</f>
        <v>30.743707538874336</v>
      </c>
      <c r="AF714" s="4" t="s">
        <v>1151</v>
      </c>
    </row>
    <row r="715" spans="1:32" ht="11.25" customHeight="1" x14ac:dyDescent="0.25">
      <c r="A715" s="4" t="s">
        <v>21</v>
      </c>
      <c r="B715" s="4" t="s">
        <v>46</v>
      </c>
      <c r="C715" s="4" t="s">
        <v>37</v>
      </c>
      <c r="D715" s="4" t="s">
        <v>47</v>
      </c>
      <c r="E715" s="4" t="s">
        <v>25</v>
      </c>
      <c r="F715" s="4" t="s">
        <v>25</v>
      </c>
      <c r="G715" s="4" t="s">
        <v>25</v>
      </c>
      <c r="H715" s="4" t="s">
        <v>36</v>
      </c>
      <c r="I715" s="5">
        <v>44044</v>
      </c>
      <c r="J715" s="6">
        <v>0</v>
      </c>
      <c r="K715" s="6">
        <v>0</v>
      </c>
      <c r="L715" s="6">
        <v>0.45700000000000002</v>
      </c>
      <c r="M715" s="6">
        <v>0.45700000000000002</v>
      </c>
      <c r="N715" s="6">
        <v>0.45700000000000002</v>
      </c>
      <c r="O715" s="6">
        <v>0.45700000000000002</v>
      </c>
      <c r="P715" s="6">
        <v>0</v>
      </c>
      <c r="Q715" s="4" t="s">
        <v>26</v>
      </c>
      <c r="R715" s="4">
        <v>0</v>
      </c>
      <c r="S715" s="4">
        <v>0</v>
      </c>
      <c r="T715" s="4">
        <v>57</v>
      </c>
      <c r="U715" s="4">
        <v>100</v>
      </c>
      <c r="V715" s="6">
        <f>IF(ISERROR(VLOOKUP($S$715,'TAR FIN'!$A$1:$O$120,15,0)),0,VLOOKUP($S$715,'TAR FIN'!$A$1:$O$120,15,0))</f>
        <v>0</v>
      </c>
      <c r="W715" s="6">
        <f>IF(ISERROR(VLOOKUP($T$715,'TAR FIN'!$A$1:$O$120,15,0)),0,VLOOKUP($T$715,'TAR FIN'!$A$1:$O$120,15,0))</f>
        <v>149.87</v>
      </c>
      <c r="X715" s="6">
        <f>IF(ISERROR(VLOOKUP($U$715,'TAR FIN'!$A$1:$O$120,15,0)),0,VLOOKUP($U$715,'TAR FIN'!$A$1:$O$120,15,0))</f>
        <v>194.85</v>
      </c>
      <c r="Y715" s="6"/>
      <c r="Z715" s="6">
        <f ca="1">('TUSD BE'!$AM$67+'TUSD BF'!$AM$67+'TUSD CVA'!$AM$67)*(1-CUSTOS!$M$38)</f>
        <v>175.44164536010888</v>
      </c>
      <c r="AA715" s="6">
        <f>('TE BE'!$AA$31+'TE BF'!$AA$31+'TE CVA'!$AA$31)*(1-CUSTOS!$M$38)</f>
        <v>189.28405171565731</v>
      </c>
      <c r="AB715" s="6">
        <f t="shared" si="36"/>
        <v>0</v>
      </c>
      <c r="AC715" s="6">
        <f>(L715*W715+M715*X715)/(1-CUSTOS!$M$38)*CUSTOS!$M$38</f>
        <v>34.581301463414633</v>
      </c>
      <c r="AD715" s="6">
        <f t="shared" si="37"/>
        <v>0</v>
      </c>
      <c r="AE715" s="6">
        <f ca="1">(L715*Z715+N715*AA715)/(1-CUSTOS!$M$38)*CUSTOS!$M$38</f>
        <v>36.58821444079576</v>
      </c>
      <c r="AF715" s="4" t="s">
        <v>1151</v>
      </c>
    </row>
    <row r="716" spans="1:32" ht="11.25" customHeight="1" x14ac:dyDescent="0.25">
      <c r="A716" s="4" t="s">
        <v>59</v>
      </c>
      <c r="B716" s="4" t="s">
        <v>46</v>
      </c>
      <c r="C716" s="4" t="s">
        <v>37</v>
      </c>
      <c r="D716" s="4" t="s">
        <v>47</v>
      </c>
      <c r="E716" s="4" t="s">
        <v>25</v>
      </c>
      <c r="F716" s="4" t="s">
        <v>25</v>
      </c>
      <c r="G716" s="4" t="s">
        <v>25</v>
      </c>
      <c r="H716" s="4" t="s">
        <v>36</v>
      </c>
      <c r="I716" s="5">
        <v>44075</v>
      </c>
      <c r="J716" s="6">
        <v>0</v>
      </c>
      <c r="K716" s="6">
        <v>0</v>
      </c>
      <c r="L716" s="6">
        <v>0.45700000000000002</v>
      </c>
      <c r="M716" s="6">
        <v>0.45700000000000002</v>
      </c>
      <c r="N716" s="6">
        <v>0.45700000000000002</v>
      </c>
      <c r="O716" s="6">
        <v>0.45700000000000002</v>
      </c>
      <c r="P716" s="6">
        <v>0</v>
      </c>
      <c r="Q716" s="4" t="s">
        <v>26</v>
      </c>
      <c r="R716" s="4">
        <v>0</v>
      </c>
      <c r="S716" s="4">
        <v>0</v>
      </c>
      <c r="T716" s="4">
        <v>57</v>
      </c>
      <c r="U716" s="4">
        <v>100</v>
      </c>
      <c r="V716" s="6">
        <f>IF(ISERROR(VLOOKUP($S$716,'TAR FIN'!$A$1:$O$120,15,0)),0,VLOOKUP($S$716,'TAR FIN'!$A$1:$O$120,15,0))</f>
        <v>0</v>
      </c>
      <c r="W716" s="6">
        <f>IF(ISERROR(VLOOKUP($T$716,'TAR FIN'!$A$1:$O$120,15,0)),0,VLOOKUP($T$716,'TAR FIN'!$A$1:$O$120,15,0))</f>
        <v>149.87</v>
      </c>
      <c r="X716" s="6">
        <f>IF(ISERROR(VLOOKUP($U$716,'TAR FIN'!$A$1:$O$120,15,0)),0,VLOOKUP($U$716,'TAR FIN'!$A$1:$O$120,15,0))</f>
        <v>194.85</v>
      </c>
      <c r="Y716" s="6"/>
      <c r="Z716" s="6">
        <f ca="1">('TUSD BE'!$AM$67+'TUSD BF'!$AM$67+'TUSD CVA'!$AM$67)*(1-CUSTOS!$M$38)</f>
        <v>175.44164536010888</v>
      </c>
      <c r="AA716" s="6">
        <f>('TE BE'!$AA$31+'TE BF'!$AA$31+'TE CVA'!$AA$31)*(1-CUSTOS!$M$38)</f>
        <v>189.28405171565731</v>
      </c>
      <c r="AB716" s="6">
        <f t="shared" si="36"/>
        <v>0</v>
      </c>
      <c r="AC716" s="6">
        <f>(L716*W716+M716*X716)/(1-CUSTOS!$M$38)*CUSTOS!$M$38</f>
        <v>34.581301463414633</v>
      </c>
      <c r="AD716" s="6">
        <f t="shared" si="37"/>
        <v>0</v>
      </c>
      <c r="AE716" s="6">
        <f ca="1">(L716*Z716+N716*AA716)/(1-CUSTOS!$M$38)*CUSTOS!$M$38</f>
        <v>36.58821444079576</v>
      </c>
      <c r="AF716" s="4" t="s">
        <v>1151</v>
      </c>
    </row>
    <row r="717" spans="1:32" ht="11.25" customHeight="1" x14ac:dyDescent="0.25">
      <c r="A717" s="4" t="s">
        <v>21</v>
      </c>
      <c r="B717" s="4" t="s">
        <v>46</v>
      </c>
      <c r="C717" s="4" t="s">
        <v>37</v>
      </c>
      <c r="D717" s="4" t="s">
        <v>47</v>
      </c>
      <c r="E717" s="4" t="s">
        <v>25</v>
      </c>
      <c r="F717" s="4" t="s">
        <v>25</v>
      </c>
      <c r="G717" s="4" t="s">
        <v>25</v>
      </c>
      <c r="H717" s="4" t="s">
        <v>38</v>
      </c>
      <c r="I717" s="5">
        <v>43739</v>
      </c>
      <c r="J717" s="6">
        <v>0</v>
      </c>
      <c r="K717" s="6">
        <v>0</v>
      </c>
      <c r="L717" s="6">
        <v>4.5999999999999999E-2</v>
      </c>
      <c r="M717" s="6">
        <v>4.5999999999999999E-2</v>
      </c>
      <c r="N717" s="6">
        <v>4.5999999999999999E-2</v>
      </c>
      <c r="O717" s="6">
        <v>4.5999999999999999E-2</v>
      </c>
      <c r="P717" s="6">
        <v>0</v>
      </c>
      <c r="Q717" s="4" t="s">
        <v>26</v>
      </c>
      <c r="R717" s="4">
        <v>0</v>
      </c>
      <c r="S717" s="4">
        <v>0</v>
      </c>
      <c r="T717" s="4">
        <v>56</v>
      </c>
      <c r="U717" s="4">
        <v>99</v>
      </c>
      <c r="V717" s="6">
        <f>IF(ISERROR(VLOOKUP($S$717,'TAR FIN'!$A$1:$O$120,15,0)),0,VLOOKUP($S$717,'TAR FIN'!$A$1:$O$120,15,0))</f>
        <v>0</v>
      </c>
      <c r="W717" s="6">
        <f>IF(ISERROR(VLOOKUP($T$717,'TAR FIN'!$A$1:$O$120,15,0)),0,VLOOKUP($T$717,'TAR FIN'!$A$1:$O$120,15,0))</f>
        <v>284.7</v>
      </c>
      <c r="X717" s="6">
        <f>IF(ISERROR(VLOOKUP($U$717,'TAR FIN'!$A$1:$O$120,15,0)),0,VLOOKUP($U$717,'TAR FIN'!$A$1:$O$120,15,0))</f>
        <v>194.85</v>
      </c>
      <c r="Y717" s="6"/>
      <c r="Z717" s="6">
        <f ca="1">('TUSD BE'!$AM$66+'TUSD BF'!$AM$66+'TUSD CVA'!$AM$66)*(1-CUSTOS!$M$38)</f>
        <v>344.31597108726555</v>
      </c>
      <c r="AA717" s="6">
        <f>('TE BE'!$AA$30+'TE BF'!$AA$30+'TE CVA'!$AA$30)*(1-CUSTOS!$M$38)</f>
        <v>189.28405171565731</v>
      </c>
      <c r="AB717" s="6">
        <f t="shared" si="36"/>
        <v>0</v>
      </c>
      <c r="AC717" s="6">
        <f>(L717*W717+M717*X717)/(1-CUSTOS!$M$38)*CUSTOS!$M$38</f>
        <v>4.842285365853658</v>
      </c>
      <c r="AD717" s="6">
        <f t="shared" si="37"/>
        <v>0</v>
      </c>
      <c r="AE717" s="6">
        <f ca="1">(L717*Z717+N717*AA717)/(1-CUSTOS!$M$38)*CUSTOS!$M$38</f>
        <v>5.3880587668392694</v>
      </c>
      <c r="AF717" s="4" t="s">
        <v>1151</v>
      </c>
    </row>
    <row r="718" spans="1:32" ht="11.25" customHeight="1" x14ac:dyDescent="0.25">
      <c r="A718" s="4" t="s">
        <v>21</v>
      </c>
      <c r="B718" s="4" t="s">
        <v>46</v>
      </c>
      <c r="C718" s="4" t="s">
        <v>37</v>
      </c>
      <c r="D718" s="4" t="s">
        <v>47</v>
      </c>
      <c r="E718" s="4" t="s">
        <v>25</v>
      </c>
      <c r="F718" s="4" t="s">
        <v>25</v>
      </c>
      <c r="G718" s="4" t="s">
        <v>25</v>
      </c>
      <c r="H718" s="4" t="s">
        <v>38</v>
      </c>
      <c r="I718" s="5">
        <v>43770</v>
      </c>
      <c r="J718" s="6">
        <v>0</v>
      </c>
      <c r="K718" s="6">
        <v>0</v>
      </c>
      <c r="L718" s="6">
        <v>4.2999999999999997E-2</v>
      </c>
      <c r="M718" s="6">
        <v>4.2999999999999997E-2</v>
      </c>
      <c r="N718" s="6">
        <v>4.2999999999999997E-2</v>
      </c>
      <c r="O718" s="6">
        <v>4.2999999999999997E-2</v>
      </c>
      <c r="P718" s="6">
        <v>0</v>
      </c>
      <c r="Q718" s="4" t="s">
        <v>26</v>
      </c>
      <c r="R718" s="4">
        <v>0</v>
      </c>
      <c r="S718" s="4">
        <v>0</v>
      </c>
      <c r="T718" s="4">
        <v>56</v>
      </c>
      <c r="U718" s="4">
        <v>99</v>
      </c>
      <c r="V718" s="6">
        <f>IF(ISERROR(VLOOKUP($S$718,'TAR FIN'!$A$1:$O$120,15,0)),0,VLOOKUP($S$718,'TAR FIN'!$A$1:$O$120,15,0))</f>
        <v>0</v>
      </c>
      <c r="W718" s="6">
        <f>IF(ISERROR(VLOOKUP($T$718,'TAR FIN'!$A$1:$O$120,15,0)),0,VLOOKUP($T$718,'TAR FIN'!$A$1:$O$120,15,0))</f>
        <v>284.7</v>
      </c>
      <c r="X718" s="6">
        <f>IF(ISERROR(VLOOKUP($U$718,'TAR FIN'!$A$1:$O$120,15,0)),0,VLOOKUP($U$718,'TAR FIN'!$A$1:$O$120,15,0))</f>
        <v>194.85</v>
      </c>
      <c r="Y718" s="6"/>
      <c r="Z718" s="6">
        <f ca="1">('TUSD BE'!$AM$66+'TUSD BF'!$AM$66+'TUSD CVA'!$AM$66)*(1-CUSTOS!$M$38)</f>
        <v>344.31597108726555</v>
      </c>
      <c r="AA718" s="6">
        <f>('TE BE'!$AA$30+'TE BF'!$AA$30+'TE CVA'!$AA$30)*(1-CUSTOS!$M$38)</f>
        <v>189.28405171565731</v>
      </c>
      <c r="AB718" s="6">
        <f t="shared" si="36"/>
        <v>0</v>
      </c>
      <c r="AC718" s="6">
        <f>(L718*W718+M718*X718)/(1-CUSTOS!$M$38)*CUSTOS!$M$38</f>
        <v>4.5264841463414625</v>
      </c>
      <c r="AD718" s="6">
        <f t="shared" si="37"/>
        <v>0</v>
      </c>
      <c r="AE718" s="6">
        <f ca="1">(L718*Z718+N718*AA718)/(1-CUSTOS!$M$38)*CUSTOS!$M$38</f>
        <v>5.03666362987149</v>
      </c>
      <c r="AF718" s="4" t="s">
        <v>1151</v>
      </c>
    </row>
    <row r="719" spans="1:32" ht="11.25" customHeight="1" x14ac:dyDescent="0.25">
      <c r="A719" s="4" t="s">
        <v>21</v>
      </c>
      <c r="B719" s="4" t="s">
        <v>46</v>
      </c>
      <c r="C719" s="4" t="s">
        <v>37</v>
      </c>
      <c r="D719" s="4" t="s">
        <v>47</v>
      </c>
      <c r="E719" s="4" t="s">
        <v>25</v>
      </c>
      <c r="F719" s="4" t="s">
        <v>25</v>
      </c>
      <c r="G719" s="4" t="s">
        <v>25</v>
      </c>
      <c r="H719" s="4" t="s">
        <v>38</v>
      </c>
      <c r="I719" s="5">
        <v>43800</v>
      </c>
      <c r="J719" s="6">
        <v>0</v>
      </c>
      <c r="K719" s="6">
        <v>0</v>
      </c>
      <c r="L719" s="6">
        <v>3.4000000000000002E-2</v>
      </c>
      <c r="M719" s="6">
        <v>3.4000000000000002E-2</v>
      </c>
      <c r="N719" s="6">
        <v>3.4000000000000002E-2</v>
      </c>
      <c r="O719" s="6">
        <v>3.4000000000000002E-2</v>
      </c>
      <c r="P719" s="6">
        <v>0</v>
      </c>
      <c r="Q719" s="4" t="s">
        <v>26</v>
      </c>
      <c r="R719" s="4">
        <v>0</v>
      </c>
      <c r="S719" s="4">
        <v>0</v>
      </c>
      <c r="T719" s="4">
        <v>56</v>
      </c>
      <c r="U719" s="4">
        <v>99</v>
      </c>
      <c r="V719" s="6">
        <f>IF(ISERROR(VLOOKUP($S$719,'TAR FIN'!$A$1:$O$120,15,0)),0,VLOOKUP($S$719,'TAR FIN'!$A$1:$O$120,15,0))</f>
        <v>0</v>
      </c>
      <c r="W719" s="6">
        <f>IF(ISERROR(VLOOKUP($T$719,'TAR FIN'!$A$1:$O$120,15,0)),0,VLOOKUP($T$719,'TAR FIN'!$A$1:$O$120,15,0))</f>
        <v>284.7</v>
      </c>
      <c r="X719" s="6">
        <f>IF(ISERROR(VLOOKUP($U$719,'TAR FIN'!$A$1:$O$120,15,0)),0,VLOOKUP($U$719,'TAR FIN'!$A$1:$O$120,15,0))</f>
        <v>194.85</v>
      </c>
      <c r="Y719" s="6"/>
      <c r="Z719" s="6">
        <f ca="1">('TUSD BE'!$AM$66+'TUSD BF'!$AM$66+'TUSD CVA'!$AM$66)*(1-CUSTOS!$M$38)</f>
        <v>344.31597108726555</v>
      </c>
      <c r="AA719" s="6">
        <f>('TE BE'!$AA$30+'TE BF'!$AA$30+'TE CVA'!$AA$30)*(1-CUSTOS!$M$38)</f>
        <v>189.28405171565731</v>
      </c>
      <c r="AB719" s="6">
        <f t="shared" si="36"/>
        <v>0</v>
      </c>
      <c r="AC719" s="6">
        <f>(L719*W719+M719*X719)/(1-CUSTOS!$M$38)*CUSTOS!$M$38</f>
        <v>3.5790804878048776</v>
      </c>
      <c r="AD719" s="6">
        <f t="shared" si="37"/>
        <v>0</v>
      </c>
      <c r="AE719" s="6">
        <f ca="1">(L719*Z719+N719*AA719)/(1-CUSTOS!$M$38)*CUSTOS!$M$38</f>
        <v>3.982478218968156</v>
      </c>
      <c r="AF719" s="4" t="s">
        <v>1151</v>
      </c>
    </row>
    <row r="720" spans="1:32" ht="11.25" customHeight="1" x14ac:dyDescent="0.25">
      <c r="A720" s="4" t="s">
        <v>21</v>
      </c>
      <c r="B720" s="4" t="s">
        <v>46</v>
      </c>
      <c r="C720" s="4" t="s">
        <v>37</v>
      </c>
      <c r="D720" s="4" t="s">
        <v>47</v>
      </c>
      <c r="E720" s="4" t="s">
        <v>25</v>
      </c>
      <c r="F720" s="4" t="s">
        <v>25</v>
      </c>
      <c r="G720" s="4" t="s">
        <v>25</v>
      </c>
      <c r="H720" s="4" t="s">
        <v>38</v>
      </c>
      <c r="I720" s="5">
        <v>43831</v>
      </c>
      <c r="J720" s="6">
        <v>0</v>
      </c>
      <c r="K720" s="6">
        <v>0</v>
      </c>
      <c r="L720" s="6">
        <v>4.4999999999999998E-2</v>
      </c>
      <c r="M720" s="6">
        <v>4.4999999999999998E-2</v>
      </c>
      <c r="N720" s="6">
        <v>4.4999999999999998E-2</v>
      </c>
      <c r="O720" s="6">
        <v>4.4999999999999998E-2</v>
      </c>
      <c r="P720" s="6">
        <v>0</v>
      </c>
      <c r="Q720" s="4" t="s">
        <v>26</v>
      </c>
      <c r="R720" s="4">
        <v>0</v>
      </c>
      <c r="S720" s="4">
        <v>0</v>
      </c>
      <c r="T720" s="4">
        <v>56</v>
      </c>
      <c r="U720" s="4">
        <v>99</v>
      </c>
      <c r="V720" s="6">
        <f>IF(ISERROR(VLOOKUP($S$720,'TAR FIN'!$A$1:$O$120,15,0)),0,VLOOKUP($S$720,'TAR FIN'!$A$1:$O$120,15,0))</f>
        <v>0</v>
      </c>
      <c r="W720" s="6">
        <f>IF(ISERROR(VLOOKUP($T$720,'TAR FIN'!$A$1:$O$120,15,0)),0,VLOOKUP($T$720,'TAR FIN'!$A$1:$O$120,15,0))</f>
        <v>284.7</v>
      </c>
      <c r="X720" s="6">
        <f>IF(ISERROR(VLOOKUP($U$720,'TAR FIN'!$A$1:$O$120,15,0)),0,VLOOKUP($U$720,'TAR FIN'!$A$1:$O$120,15,0))</f>
        <v>194.85</v>
      </c>
      <c r="Y720" s="6"/>
      <c r="Z720" s="6">
        <f ca="1">('TUSD BE'!$AM$66+'TUSD BF'!$AM$66+'TUSD CVA'!$AM$66)*(1-CUSTOS!$M$38)</f>
        <v>344.31597108726555</v>
      </c>
      <c r="AA720" s="6">
        <f>('TE BE'!$AA$30+'TE BF'!$AA$30+'TE CVA'!$AA$30)*(1-CUSTOS!$M$38)</f>
        <v>189.28405171565731</v>
      </c>
      <c r="AB720" s="6">
        <f t="shared" si="36"/>
        <v>0</v>
      </c>
      <c r="AC720" s="6">
        <f>(L720*W720+M720*X720)/(1-CUSTOS!$M$38)*CUSTOS!$M$38</f>
        <v>4.7370182926829258</v>
      </c>
      <c r="AD720" s="6">
        <f t="shared" si="37"/>
        <v>0</v>
      </c>
      <c r="AE720" s="6">
        <f ca="1">(L720*Z720+N720*AA720)/(1-CUSTOS!$M$38)*CUSTOS!$M$38</f>
        <v>5.2709270545166769</v>
      </c>
      <c r="AF720" s="4" t="s">
        <v>1151</v>
      </c>
    </row>
    <row r="721" spans="1:32" ht="11.25" customHeight="1" x14ac:dyDescent="0.25">
      <c r="A721" s="4" t="s">
        <v>21</v>
      </c>
      <c r="B721" s="4" t="s">
        <v>46</v>
      </c>
      <c r="C721" s="4" t="s">
        <v>37</v>
      </c>
      <c r="D721" s="4" t="s">
        <v>47</v>
      </c>
      <c r="E721" s="4" t="s">
        <v>25</v>
      </c>
      <c r="F721" s="4" t="s">
        <v>25</v>
      </c>
      <c r="G721" s="4" t="s">
        <v>25</v>
      </c>
      <c r="H721" s="4" t="s">
        <v>38</v>
      </c>
      <c r="I721" s="5">
        <v>43862</v>
      </c>
      <c r="J721" s="6">
        <v>0</v>
      </c>
      <c r="K721" s="6">
        <v>0</v>
      </c>
      <c r="L721" s="6">
        <v>3.9E-2</v>
      </c>
      <c r="M721" s="6">
        <v>3.9E-2</v>
      </c>
      <c r="N721" s="6">
        <v>3.9E-2</v>
      </c>
      <c r="O721" s="6">
        <v>3.9E-2</v>
      </c>
      <c r="P721" s="6">
        <v>0</v>
      </c>
      <c r="Q721" s="4" t="s">
        <v>26</v>
      </c>
      <c r="R721" s="4">
        <v>0</v>
      </c>
      <c r="S721" s="4">
        <v>0</v>
      </c>
      <c r="T721" s="4">
        <v>56</v>
      </c>
      <c r="U721" s="4">
        <v>99</v>
      </c>
      <c r="V721" s="6">
        <f>IF(ISERROR(VLOOKUP($S$721,'TAR FIN'!$A$1:$O$120,15,0)),0,VLOOKUP($S$721,'TAR FIN'!$A$1:$O$120,15,0))</f>
        <v>0</v>
      </c>
      <c r="W721" s="6">
        <f>IF(ISERROR(VLOOKUP($T$721,'TAR FIN'!$A$1:$O$120,15,0)),0,VLOOKUP($T$721,'TAR FIN'!$A$1:$O$120,15,0))</f>
        <v>284.7</v>
      </c>
      <c r="X721" s="6">
        <f>IF(ISERROR(VLOOKUP($U$721,'TAR FIN'!$A$1:$O$120,15,0)),0,VLOOKUP($U$721,'TAR FIN'!$A$1:$O$120,15,0))</f>
        <v>194.85</v>
      </c>
      <c r="Y721" s="6"/>
      <c r="Z721" s="6">
        <f ca="1">('TUSD BE'!$AM$66+'TUSD BF'!$AM$66+'TUSD CVA'!$AM$66)*(1-CUSTOS!$M$38)</f>
        <v>344.31597108726555</v>
      </c>
      <c r="AA721" s="6">
        <f>('TE BE'!$AA$30+'TE BF'!$AA$30+'TE CVA'!$AA$30)*(1-CUSTOS!$M$38)</f>
        <v>189.28405171565731</v>
      </c>
      <c r="AB721" s="6">
        <f t="shared" si="36"/>
        <v>0</v>
      </c>
      <c r="AC721" s="6">
        <f>(L721*W721+M721*X721)/(1-CUSTOS!$M$38)*CUSTOS!$M$38</f>
        <v>4.1054158536585357</v>
      </c>
      <c r="AD721" s="6">
        <f t="shared" si="37"/>
        <v>0</v>
      </c>
      <c r="AE721" s="6">
        <f ca="1">(L721*Z721+N721*AA721)/(1-CUSTOS!$M$38)*CUSTOS!$M$38</f>
        <v>4.5681367805811197</v>
      </c>
      <c r="AF721" s="4" t="s">
        <v>1151</v>
      </c>
    </row>
    <row r="722" spans="1:32" ht="11.25" customHeight="1" x14ac:dyDescent="0.25">
      <c r="A722" s="4" t="s">
        <v>21</v>
      </c>
      <c r="B722" s="4" t="s">
        <v>46</v>
      </c>
      <c r="C722" s="4" t="s">
        <v>37</v>
      </c>
      <c r="D722" s="4" t="s">
        <v>47</v>
      </c>
      <c r="E722" s="4" t="s">
        <v>25</v>
      </c>
      <c r="F722" s="4" t="s">
        <v>25</v>
      </c>
      <c r="G722" s="4" t="s">
        <v>25</v>
      </c>
      <c r="H722" s="4" t="s">
        <v>38</v>
      </c>
      <c r="I722" s="5">
        <v>43891</v>
      </c>
      <c r="J722" s="6">
        <v>0</v>
      </c>
      <c r="K722" s="6">
        <v>0</v>
      </c>
      <c r="L722" s="6">
        <v>5.1999999999999998E-2</v>
      </c>
      <c r="M722" s="6">
        <v>5.1999999999999998E-2</v>
      </c>
      <c r="N722" s="6">
        <v>5.1999999999999998E-2</v>
      </c>
      <c r="O722" s="6">
        <v>5.1999999999999998E-2</v>
      </c>
      <c r="P722" s="6">
        <v>0</v>
      </c>
      <c r="Q722" s="4" t="s">
        <v>26</v>
      </c>
      <c r="R722" s="4">
        <v>0</v>
      </c>
      <c r="S722" s="4">
        <v>0</v>
      </c>
      <c r="T722" s="4">
        <v>56</v>
      </c>
      <c r="U722" s="4">
        <v>99</v>
      </c>
      <c r="V722" s="6">
        <f>IF(ISERROR(VLOOKUP($S$722,'TAR FIN'!$A$1:$O$120,15,0)),0,VLOOKUP($S$722,'TAR FIN'!$A$1:$O$120,15,0))</f>
        <v>0</v>
      </c>
      <c r="W722" s="6">
        <f>IF(ISERROR(VLOOKUP($T$722,'TAR FIN'!$A$1:$O$120,15,0)),0,VLOOKUP($T$722,'TAR FIN'!$A$1:$O$120,15,0))</f>
        <v>284.7</v>
      </c>
      <c r="X722" s="6">
        <f>IF(ISERROR(VLOOKUP($U$722,'TAR FIN'!$A$1:$O$120,15,0)),0,VLOOKUP($U$722,'TAR FIN'!$A$1:$O$120,15,0))</f>
        <v>194.85</v>
      </c>
      <c r="Y722" s="6"/>
      <c r="Z722" s="6">
        <f ca="1">('TUSD BE'!$AM$66+'TUSD BF'!$AM$66+'TUSD CVA'!$AM$66)*(1-CUSTOS!$M$38)</f>
        <v>344.31597108726555</v>
      </c>
      <c r="AA722" s="6">
        <f>('TE BE'!$AA$30+'TE BF'!$AA$30+'TE CVA'!$AA$30)*(1-CUSTOS!$M$38)</f>
        <v>189.28405171565731</v>
      </c>
      <c r="AB722" s="6">
        <f t="shared" si="36"/>
        <v>0</v>
      </c>
      <c r="AC722" s="6">
        <f>(L722*W722+M722*X722)/(1-CUSTOS!$M$38)*CUSTOS!$M$38</f>
        <v>5.4738878048780482</v>
      </c>
      <c r="AD722" s="6">
        <f t="shared" si="37"/>
        <v>0</v>
      </c>
      <c r="AE722" s="6">
        <f ca="1">(L722*Z722+N722*AA722)/(1-CUSTOS!$M$38)*CUSTOS!$M$38</f>
        <v>6.0908490407748266</v>
      </c>
      <c r="AF722" s="4" t="s">
        <v>1151</v>
      </c>
    </row>
    <row r="723" spans="1:32" ht="11.25" customHeight="1" x14ac:dyDescent="0.25">
      <c r="A723" s="4" t="s">
        <v>21</v>
      </c>
      <c r="B723" s="4" t="s">
        <v>46</v>
      </c>
      <c r="C723" s="4" t="s">
        <v>37</v>
      </c>
      <c r="D723" s="4" t="s">
        <v>47</v>
      </c>
      <c r="E723" s="4" t="s">
        <v>25</v>
      </c>
      <c r="F723" s="4" t="s">
        <v>25</v>
      </c>
      <c r="G723" s="4" t="s">
        <v>25</v>
      </c>
      <c r="H723" s="4" t="s">
        <v>38</v>
      </c>
      <c r="I723" s="5">
        <v>43922</v>
      </c>
      <c r="J723" s="6">
        <v>0</v>
      </c>
      <c r="K723" s="6">
        <v>0</v>
      </c>
      <c r="L723" s="6">
        <v>5.1999999999999998E-2</v>
      </c>
      <c r="M723" s="6">
        <v>5.1999999999999998E-2</v>
      </c>
      <c r="N723" s="6">
        <v>5.1999999999999998E-2</v>
      </c>
      <c r="O723" s="6">
        <v>5.1999999999999998E-2</v>
      </c>
      <c r="P723" s="6">
        <v>0</v>
      </c>
      <c r="Q723" s="4" t="s">
        <v>26</v>
      </c>
      <c r="R723" s="4">
        <v>0</v>
      </c>
      <c r="S723" s="4">
        <v>0</v>
      </c>
      <c r="T723" s="4">
        <v>56</v>
      </c>
      <c r="U723" s="4">
        <v>99</v>
      </c>
      <c r="V723" s="6">
        <f>IF(ISERROR(VLOOKUP($S$723,'TAR FIN'!$A$1:$O$120,15,0)),0,VLOOKUP($S$723,'TAR FIN'!$A$1:$O$120,15,0))</f>
        <v>0</v>
      </c>
      <c r="W723" s="6">
        <f>IF(ISERROR(VLOOKUP($T$723,'TAR FIN'!$A$1:$O$120,15,0)),0,VLOOKUP($T$723,'TAR FIN'!$A$1:$O$120,15,0))</f>
        <v>284.7</v>
      </c>
      <c r="X723" s="6">
        <f>IF(ISERROR(VLOOKUP($U$723,'TAR FIN'!$A$1:$O$120,15,0)),0,VLOOKUP($U$723,'TAR FIN'!$A$1:$O$120,15,0))</f>
        <v>194.85</v>
      </c>
      <c r="Y723" s="6"/>
      <c r="Z723" s="6">
        <f ca="1">('TUSD BE'!$AM$66+'TUSD BF'!$AM$66+'TUSD CVA'!$AM$66)*(1-CUSTOS!$M$38)</f>
        <v>344.31597108726555</v>
      </c>
      <c r="AA723" s="6">
        <f>('TE BE'!$AA$30+'TE BF'!$AA$30+'TE CVA'!$AA$30)*(1-CUSTOS!$M$38)</f>
        <v>189.28405171565731</v>
      </c>
      <c r="AB723" s="6">
        <f t="shared" si="36"/>
        <v>0</v>
      </c>
      <c r="AC723" s="6">
        <f>(L723*W723+M723*X723)/(1-CUSTOS!$M$38)*CUSTOS!$M$38</f>
        <v>5.4738878048780482</v>
      </c>
      <c r="AD723" s="6">
        <f t="shared" si="37"/>
        <v>0</v>
      </c>
      <c r="AE723" s="6">
        <f ca="1">(L723*Z723+N723*AA723)/(1-CUSTOS!$M$38)*CUSTOS!$M$38</f>
        <v>6.0908490407748266</v>
      </c>
      <c r="AF723" s="4" t="s">
        <v>1151</v>
      </c>
    </row>
    <row r="724" spans="1:32" ht="11.25" customHeight="1" x14ac:dyDescent="0.25">
      <c r="A724" s="4" t="s">
        <v>21</v>
      </c>
      <c r="B724" s="4" t="s">
        <v>46</v>
      </c>
      <c r="C724" s="4" t="s">
        <v>37</v>
      </c>
      <c r="D724" s="4" t="s">
        <v>47</v>
      </c>
      <c r="E724" s="4" t="s">
        <v>25</v>
      </c>
      <c r="F724" s="4" t="s">
        <v>25</v>
      </c>
      <c r="G724" s="4" t="s">
        <v>25</v>
      </c>
      <c r="H724" s="4" t="s">
        <v>38</v>
      </c>
      <c r="I724" s="5">
        <v>43952</v>
      </c>
      <c r="J724" s="6">
        <v>0</v>
      </c>
      <c r="K724" s="6">
        <v>0</v>
      </c>
      <c r="L724" s="6">
        <v>5.2999999999999999E-2</v>
      </c>
      <c r="M724" s="6">
        <v>5.2999999999999999E-2</v>
      </c>
      <c r="N724" s="6">
        <v>5.2999999999999999E-2</v>
      </c>
      <c r="O724" s="6">
        <v>5.2999999999999999E-2</v>
      </c>
      <c r="P724" s="6">
        <v>0</v>
      </c>
      <c r="Q724" s="4" t="s">
        <v>26</v>
      </c>
      <c r="R724" s="4">
        <v>0</v>
      </c>
      <c r="S724" s="4">
        <v>0</v>
      </c>
      <c r="T724" s="4">
        <v>56</v>
      </c>
      <c r="U724" s="4">
        <v>99</v>
      </c>
      <c r="V724" s="6">
        <f>IF(ISERROR(VLOOKUP($S$724,'TAR FIN'!$A$1:$O$120,15,0)),0,VLOOKUP($S$724,'TAR FIN'!$A$1:$O$120,15,0))</f>
        <v>0</v>
      </c>
      <c r="W724" s="6">
        <f>IF(ISERROR(VLOOKUP($T$724,'TAR FIN'!$A$1:$O$120,15,0)),0,VLOOKUP($T$724,'TAR FIN'!$A$1:$O$120,15,0))</f>
        <v>284.7</v>
      </c>
      <c r="X724" s="6">
        <f>IF(ISERROR(VLOOKUP($U$724,'TAR FIN'!$A$1:$O$120,15,0)),0,VLOOKUP($U$724,'TAR FIN'!$A$1:$O$120,15,0))</f>
        <v>194.85</v>
      </c>
      <c r="Y724" s="6"/>
      <c r="Z724" s="6">
        <f ca="1">('TUSD BE'!$AM$66+'TUSD BF'!$AM$66+'TUSD CVA'!$AM$66)*(1-CUSTOS!$M$38)</f>
        <v>344.31597108726555</v>
      </c>
      <c r="AA724" s="6">
        <f>('TE BE'!$AA$30+'TE BF'!$AA$30+'TE CVA'!$AA$30)*(1-CUSTOS!$M$38)</f>
        <v>189.28405171565731</v>
      </c>
      <c r="AB724" s="6">
        <f t="shared" si="36"/>
        <v>0</v>
      </c>
      <c r="AC724" s="6">
        <f>(L724*W724+M724*X724)/(1-CUSTOS!$M$38)*CUSTOS!$M$38</f>
        <v>5.5791548780487794</v>
      </c>
      <c r="AD724" s="6">
        <f t="shared" si="37"/>
        <v>0</v>
      </c>
      <c r="AE724" s="6">
        <f ca="1">(L724*Z724+N724*AA724)/(1-CUSTOS!$M$38)*CUSTOS!$M$38</f>
        <v>6.2079807530974191</v>
      </c>
      <c r="AF724" s="4" t="s">
        <v>1151</v>
      </c>
    </row>
    <row r="725" spans="1:32" ht="11.25" customHeight="1" x14ac:dyDescent="0.25">
      <c r="A725" s="4" t="s">
        <v>21</v>
      </c>
      <c r="B725" s="4" t="s">
        <v>46</v>
      </c>
      <c r="C725" s="4" t="s">
        <v>37</v>
      </c>
      <c r="D725" s="4" t="s">
        <v>47</v>
      </c>
      <c r="E725" s="4" t="s">
        <v>25</v>
      </c>
      <c r="F725" s="4" t="s">
        <v>25</v>
      </c>
      <c r="G725" s="4" t="s">
        <v>25</v>
      </c>
      <c r="H725" s="4" t="s">
        <v>38</v>
      </c>
      <c r="I725" s="5">
        <v>43983</v>
      </c>
      <c r="J725" s="6">
        <v>0</v>
      </c>
      <c r="K725" s="6">
        <v>0</v>
      </c>
      <c r="L725" s="6">
        <v>4.9000000000000002E-2</v>
      </c>
      <c r="M725" s="6">
        <v>4.9000000000000002E-2</v>
      </c>
      <c r="N725" s="6">
        <v>4.9000000000000002E-2</v>
      </c>
      <c r="O725" s="6">
        <v>4.9000000000000002E-2</v>
      </c>
      <c r="P725" s="6">
        <v>0</v>
      </c>
      <c r="Q725" s="4" t="s">
        <v>26</v>
      </c>
      <c r="R725" s="4">
        <v>0</v>
      </c>
      <c r="S725" s="4">
        <v>0</v>
      </c>
      <c r="T725" s="4">
        <v>56</v>
      </c>
      <c r="U725" s="4">
        <v>99</v>
      </c>
      <c r="V725" s="6">
        <f>IF(ISERROR(VLOOKUP($S$725,'TAR FIN'!$A$1:$O$120,15,0)),0,VLOOKUP($S$725,'TAR FIN'!$A$1:$O$120,15,0))</f>
        <v>0</v>
      </c>
      <c r="W725" s="6">
        <f>IF(ISERROR(VLOOKUP($T$725,'TAR FIN'!$A$1:$O$120,15,0)),0,VLOOKUP($T$725,'TAR FIN'!$A$1:$O$120,15,0))</f>
        <v>284.7</v>
      </c>
      <c r="X725" s="6">
        <f>IF(ISERROR(VLOOKUP($U$725,'TAR FIN'!$A$1:$O$120,15,0)),0,VLOOKUP($U$725,'TAR FIN'!$A$1:$O$120,15,0))</f>
        <v>194.85</v>
      </c>
      <c r="Y725" s="6"/>
      <c r="Z725" s="6">
        <f ca="1">('TUSD BE'!$AM$66+'TUSD BF'!$AM$66+'TUSD CVA'!$AM$66)*(1-CUSTOS!$M$38)</f>
        <v>344.31597108726555</v>
      </c>
      <c r="AA725" s="6">
        <f>('TE BE'!$AA$30+'TE BF'!$AA$30+'TE CVA'!$AA$30)*(1-CUSTOS!$M$38)</f>
        <v>189.28405171565731</v>
      </c>
      <c r="AB725" s="6">
        <f t="shared" si="36"/>
        <v>0</v>
      </c>
      <c r="AC725" s="6">
        <f>(L725*W725+M725*X725)/(1-CUSTOS!$M$38)*CUSTOS!$M$38</f>
        <v>5.1580865853658535</v>
      </c>
      <c r="AD725" s="6">
        <f t="shared" si="37"/>
        <v>0</v>
      </c>
      <c r="AE725" s="6">
        <f ca="1">(L725*Z725+N725*AA725)/(1-CUSTOS!$M$38)*CUSTOS!$M$38</f>
        <v>5.739453903807048</v>
      </c>
      <c r="AF725" s="4" t="s">
        <v>1151</v>
      </c>
    </row>
    <row r="726" spans="1:32" ht="11.25" customHeight="1" x14ac:dyDescent="0.25">
      <c r="A726" s="4" t="s">
        <v>21</v>
      </c>
      <c r="B726" s="4" t="s">
        <v>46</v>
      </c>
      <c r="C726" s="4" t="s">
        <v>37</v>
      </c>
      <c r="D726" s="4" t="s">
        <v>47</v>
      </c>
      <c r="E726" s="4" t="s">
        <v>25</v>
      </c>
      <c r="F726" s="4" t="s">
        <v>25</v>
      </c>
      <c r="G726" s="4" t="s">
        <v>25</v>
      </c>
      <c r="H726" s="4" t="s">
        <v>38</v>
      </c>
      <c r="I726" s="5">
        <v>44013</v>
      </c>
      <c r="J726" s="6">
        <v>0</v>
      </c>
      <c r="K726" s="6">
        <v>0</v>
      </c>
      <c r="L726" s="6">
        <v>0.05</v>
      </c>
      <c r="M726" s="6">
        <v>0.05</v>
      </c>
      <c r="N726" s="6">
        <v>0.05</v>
      </c>
      <c r="O726" s="6">
        <v>0.05</v>
      </c>
      <c r="P726" s="6">
        <v>0</v>
      </c>
      <c r="Q726" s="4" t="s">
        <v>26</v>
      </c>
      <c r="R726" s="4">
        <v>0</v>
      </c>
      <c r="S726" s="4">
        <v>0</v>
      </c>
      <c r="T726" s="4">
        <v>56</v>
      </c>
      <c r="U726" s="4">
        <v>99</v>
      </c>
      <c r="V726" s="6">
        <f>IF(ISERROR(VLOOKUP($S$726,'TAR FIN'!$A$1:$O$120,15,0)),0,VLOOKUP($S$726,'TAR FIN'!$A$1:$O$120,15,0))</f>
        <v>0</v>
      </c>
      <c r="W726" s="6">
        <f>IF(ISERROR(VLOOKUP($T$726,'TAR FIN'!$A$1:$O$120,15,0)),0,VLOOKUP($T$726,'TAR FIN'!$A$1:$O$120,15,0))</f>
        <v>284.7</v>
      </c>
      <c r="X726" s="6">
        <f>IF(ISERROR(VLOOKUP($U$726,'TAR FIN'!$A$1:$O$120,15,0)),0,VLOOKUP($U$726,'TAR FIN'!$A$1:$O$120,15,0))</f>
        <v>194.85</v>
      </c>
      <c r="Y726" s="6"/>
      <c r="Z726" s="6">
        <f ca="1">('TUSD BE'!$AM$66+'TUSD BF'!$AM$66+'TUSD CVA'!$AM$66)*(1-CUSTOS!$M$38)</f>
        <v>344.31597108726555</v>
      </c>
      <c r="AA726" s="6">
        <f>('TE BE'!$AA$30+'TE BF'!$AA$30+'TE CVA'!$AA$30)*(1-CUSTOS!$M$38)</f>
        <v>189.28405171565731</v>
      </c>
      <c r="AB726" s="6">
        <f t="shared" si="36"/>
        <v>0</v>
      </c>
      <c r="AC726" s="6">
        <f>(L726*W726+M726*X726)/(1-CUSTOS!$M$38)*CUSTOS!$M$38</f>
        <v>5.2633536585365848</v>
      </c>
      <c r="AD726" s="6">
        <f t="shared" si="37"/>
        <v>0</v>
      </c>
      <c r="AE726" s="6">
        <f ca="1">(L726*Z726+N726*AA726)/(1-CUSTOS!$M$38)*CUSTOS!$M$38</f>
        <v>5.8565856161296415</v>
      </c>
      <c r="AF726" s="4" t="s">
        <v>1151</v>
      </c>
    </row>
    <row r="727" spans="1:32" ht="11.25" customHeight="1" x14ac:dyDescent="0.25">
      <c r="A727" s="4" t="s">
        <v>21</v>
      </c>
      <c r="B727" s="4" t="s">
        <v>46</v>
      </c>
      <c r="C727" s="4" t="s">
        <v>37</v>
      </c>
      <c r="D727" s="4" t="s">
        <v>47</v>
      </c>
      <c r="E727" s="4" t="s">
        <v>25</v>
      </c>
      <c r="F727" s="4" t="s">
        <v>25</v>
      </c>
      <c r="G727" s="4" t="s">
        <v>25</v>
      </c>
      <c r="H727" s="4" t="s">
        <v>38</v>
      </c>
      <c r="I727" s="5">
        <v>44044</v>
      </c>
      <c r="J727" s="6">
        <v>0</v>
      </c>
      <c r="K727" s="6">
        <v>0</v>
      </c>
      <c r="L727" s="6">
        <v>5.7000000000000002E-2</v>
      </c>
      <c r="M727" s="6">
        <v>5.7000000000000002E-2</v>
      </c>
      <c r="N727" s="6">
        <v>5.7000000000000002E-2</v>
      </c>
      <c r="O727" s="6">
        <v>5.7000000000000002E-2</v>
      </c>
      <c r="P727" s="6">
        <v>0</v>
      </c>
      <c r="Q727" s="4" t="s">
        <v>26</v>
      </c>
      <c r="R727" s="4">
        <v>0</v>
      </c>
      <c r="S727" s="4">
        <v>0</v>
      </c>
      <c r="T727" s="4">
        <v>56</v>
      </c>
      <c r="U727" s="4">
        <v>99</v>
      </c>
      <c r="V727" s="6">
        <f>IF(ISERROR(VLOOKUP($S$727,'TAR FIN'!$A$1:$O$120,15,0)),0,VLOOKUP($S$727,'TAR FIN'!$A$1:$O$120,15,0))</f>
        <v>0</v>
      </c>
      <c r="W727" s="6">
        <f>IF(ISERROR(VLOOKUP($T$727,'TAR FIN'!$A$1:$O$120,15,0)),0,VLOOKUP($T$727,'TAR FIN'!$A$1:$O$120,15,0))</f>
        <v>284.7</v>
      </c>
      <c r="X727" s="6">
        <f>IF(ISERROR(VLOOKUP($U$727,'TAR FIN'!$A$1:$O$120,15,0)),0,VLOOKUP($U$727,'TAR FIN'!$A$1:$O$120,15,0))</f>
        <v>194.85</v>
      </c>
      <c r="Y727" s="6"/>
      <c r="Z727" s="6">
        <f ca="1">('TUSD BE'!$AM$66+'TUSD BF'!$AM$66+'TUSD CVA'!$AM$66)*(1-CUSTOS!$M$38)</f>
        <v>344.31597108726555</v>
      </c>
      <c r="AA727" s="6">
        <f>('TE BE'!$AA$30+'TE BF'!$AA$30+'TE CVA'!$AA$30)*(1-CUSTOS!$M$38)</f>
        <v>189.28405171565731</v>
      </c>
      <c r="AB727" s="6">
        <f t="shared" si="36"/>
        <v>0</v>
      </c>
      <c r="AC727" s="6">
        <f>(L727*W727+M727*X727)/(1-CUSTOS!$M$38)*CUSTOS!$M$38</f>
        <v>6.0002231707317071</v>
      </c>
      <c r="AD727" s="6">
        <f t="shared" si="37"/>
        <v>0</v>
      </c>
      <c r="AE727" s="6">
        <f ca="1">(L727*Z727+N727*AA727)/(1-CUSTOS!$M$38)*CUSTOS!$M$38</f>
        <v>6.6765076023877912</v>
      </c>
      <c r="AF727" s="4" t="s">
        <v>1151</v>
      </c>
    </row>
    <row r="728" spans="1:32" ht="11.25" customHeight="1" x14ac:dyDescent="0.25">
      <c r="A728" s="4" t="s">
        <v>59</v>
      </c>
      <c r="B728" s="4" t="s">
        <v>46</v>
      </c>
      <c r="C728" s="4" t="s">
        <v>37</v>
      </c>
      <c r="D728" s="4" t="s">
        <v>47</v>
      </c>
      <c r="E728" s="4" t="s">
        <v>25</v>
      </c>
      <c r="F728" s="4" t="s">
        <v>25</v>
      </c>
      <c r="G728" s="4" t="s">
        <v>25</v>
      </c>
      <c r="H728" s="4" t="s">
        <v>38</v>
      </c>
      <c r="I728" s="5">
        <v>44075</v>
      </c>
      <c r="J728" s="6">
        <v>0</v>
      </c>
      <c r="K728" s="6">
        <v>0</v>
      </c>
      <c r="L728" s="6">
        <v>5.7000000000000002E-2</v>
      </c>
      <c r="M728" s="6">
        <v>5.7000000000000002E-2</v>
      </c>
      <c r="N728" s="6">
        <v>5.7000000000000002E-2</v>
      </c>
      <c r="O728" s="6">
        <v>5.7000000000000002E-2</v>
      </c>
      <c r="P728" s="6">
        <v>0</v>
      </c>
      <c r="Q728" s="4" t="s">
        <v>26</v>
      </c>
      <c r="R728" s="4">
        <v>0</v>
      </c>
      <c r="S728" s="4">
        <v>0</v>
      </c>
      <c r="T728" s="4">
        <v>56</v>
      </c>
      <c r="U728" s="4">
        <v>99</v>
      </c>
      <c r="V728" s="6">
        <f>IF(ISERROR(VLOOKUP($S$728,'TAR FIN'!$A$1:$O$120,15,0)),0,VLOOKUP($S$728,'TAR FIN'!$A$1:$O$120,15,0))</f>
        <v>0</v>
      </c>
      <c r="W728" s="6">
        <f>IF(ISERROR(VLOOKUP($T$728,'TAR FIN'!$A$1:$O$120,15,0)),0,VLOOKUP($T$728,'TAR FIN'!$A$1:$O$120,15,0))</f>
        <v>284.7</v>
      </c>
      <c r="X728" s="6">
        <f>IF(ISERROR(VLOOKUP($U$728,'TAR FIN'!$A$1:$O$120,15,0)),0,VLOOKUP($U$728,'TAR FIN'!$A$1:$O$120,15,0))</f>
        <v>194.85</v>
      </c>
      <c r="Y728" s="6"/>
      <c r="Z728" s="6">
        <f ca="1">('TUSD BE'!$AM$66+'TUSD BF'!$AM$66+'TUSD CVA'!$AM$66)*(1-CUSTOS!$M$38)</f>
        <v>344.31597108726555</v>
      </c>
      <c r="AA728" s="6">
        <f>('TE BE'!$AA$30+'TE BF'!$AA$30+'TE CVA'!$AA$30)*(1-CUSTOS!$M$38)</f>
        <v>189.28405171565731</v>
      </c>
      <c r="AB728" s="6">
        <f t="shared" si="36"/>
        <v>0</v>
      </c>
      <c r="AC728" s="6">
        <f>(L728*W728+M728*X728)/(1-CUSTOS!$M$38)*CUSTOS!$M$38</f>
        <v>6.0002231707317071</v>
      </c>
      <c r="AD728" s="6">
        <f t="shared" si="37"/>
        <v>0</v>
      </c>
      <c r="AE728" s="6">
        <f ca="1">(L728*Z728+N728*AA728)/(1-CUSTOS!$M$38)*CUSTOS!$M$38</f>
        <v>6.6765076023877912</v>
      </c>
      <c r="AF728" s="4" t="s">
        <v>1151</v>
      </c>
    </row>
    <row r="729" spans="1:32" ht="11.25" customHeight="1" x14ac:dyDescent="0.25">
      <c r="A729" s="4" t="s">
        <v>21</v>
      </c>
      <c r="B729" s="4" t="s">
        <v>46</v>
      </c>
      <c r="C729" s="4" t="s">
        <v>37</v>
      </c>
      <c r="D729" s="4" t="s">
        <v>47</v>
      </c>
      <c r="E729" s="4" t="s">
        <v>25</v>
      </c>
      <c r="F729" s="4" t="s">
        <v>25</v>
      </c>
      <c r="G729" s="4" t="s">
        <v>25</v>
      </c>
      <c r="H729" s="4" t="s">
        <v>35</v>
      </c>
      <c r="I729" s="5">
        <v>43739</v>
      </c>
      <c r="J729" s="6">
        <v>0</v>
      </c>
      <c r="K729" s="6">
        <v>0</v>
      </c>
      <c r="L729" s="6">
        <v>8.1000000000000003E-2</v>
      </c>
      <c r="M729" s="6">
        <v>8.1000000000000003E-2</v>
      </c>
      <c r="N729" s="6">
        <v>8.1000000000000003E-2</v>
      </c>
      <c r="O729" s="6">
        <v>8.1000000000000003E-2</v>
      </c>
      <c r="P729" s="6">
        <v>0</v>
      </c>
      <c r="Q729" s="4" t="s">
        <v>26</v>
      </c>
      <c r="R729" s="4">
        <v>0</v>
      </c>
      <c r="S729" s="4">
        <v>0</v>
      </c>
      <c r="T729" s="4">
        <v>55</v>
      </c>
      <c r="U729" s="4">
        <v>98</v>
      </c>
      <c r="V729" s="6">
        <f>IF(ISERROR(VLOOKUP($S$729,'TAR FIN'!$A$1:$O$120,15,0)),0,VLOOKUP($S$729,'TAR FIN'!$A$1:$O$120,15,0))</f>
        <v>0</v>
      </c>
      <c r="W729" s="6">
        <f>IF(ISERROR(VLOOKUP($T$729,'TAR FIN'!$A$1:$O$120,15,0)),0,VLOOKUP($T$729,'TAR FIN'!$A$1:$O$120,15,0))</f>
        <v>419.53</v>
      </c>
      <c r="X729" s="6">
        <f>IF(ISERROR(VLOOKUP($U$729,'TAR FIN'!$A$1:$O$120,15,0)),0,VLOOKUP($U$729,'TAR FIN'!$A$1:$O$120,15,0))</f>
        <v>327.45999999999998</v>
      </c>
      <c r="Y729" s="6"/>
      <c r="Z729" s="6">
        <f ca="1">('TUSD BE'!$AM$65+'TUSD BF'!$AM$65+'TUSD CVA'!$AM$65)*(1-CUSTOS!$M$38)</f>
        <v>513.19123360320418</v>
      </c>
      <c r="AA729" s="6">
        <f>('TE BE'!$AA$29+'TE BF'!$AA$29+'TE CVA'!$AA$29)*(1-CUSTOS!$M$38)</f>
        <v>308.06727820334635</v>
      </c>
      <c r="AB729" s="6">
        <f t="shared" si="36"/>
        <v>0</v>
      </c>
      <c r="AC729" s="6">
        <f>(L729*W729+M729*X729)/(1-CUSTOS!$M$38)*CUSTOS!$M$38</f>
        <v>13.281846585365852</v>
      </c>
      <c r="AD729" s="6">
        <f t="shared" si="37"/>
        <v>0</v>
      </c>
      <c r="AE729" s="6">
        <f ca="1">(L729*Z729+N729*AA729)/(1-CUSTOS!$M$38)*CUSTOS!$M$38</f>
        <v>14.602376953828662</v>
      </c>
      <c r="AF729" s="4" t="s">
        <v>1151</v>
      </c>
    </row>
    <row r="730" spans="1:32" ht="11.25" customHeight="1" x14ac:dyDescent="0.25">
      <c r="A730" s="4" t="s">
        <v>21</v>
      </c>
      <c r="B730" s="4" t="s">
        <v>46</v>
      </c>
      <c r="C730" s="4" t="s">
        <v>37</v>
      </c>
      <c r="D730" s="4" t="s">
        <v>47</v>
      </c>
      <c r="E730" s="4" t="s">
        <v>25</v>
      </c>
      <c r="F730" s="4" t="s">
        <v>25</v>
      </c>
      <c r="G730" s="4" t="s">
        <v>25</v>
      </c>
      <c r="H730" s="4" t="s">
        <v>35</v>
      </c>
      <c r="I730" s="5">
        <v>43770</v>
      </c>
      <c r="J730" s="6">
        <v>0</v>
      </c>
      <c r="K730" s="6">
        <v>0</v>
      </c>
      <c r="L730" s="6">
        <v>7.6999999999999999E-2</v>
      </c>
      <c r="M730" s="6">
        <v>7.6999999999999999E-2</v>
      </c>
      <c r="N730" s="6">
        <v>7.6999999999999999E-2</v>
      </c>
      <c r="O730" s="6">
        <v>7.6999999999999999E-2</v>
      </c>
      <c r="P730" s="6">
        <v>0</v>
      </c>
      <c r="Q730" s="4" t="s">
        <v>26</v>
      </c>
      <c r="R730" s="4">
        <v>0</v>
      </c>
      <c r="S730" s="4">
        <v>0</v>
      </c>
      <c r="T730" s="4">
        <v>55</v>
      </c>
      <c r="U730" s="4">
        <v>98</v>
      </c>
      <c r="V730" s="6">
        <f>IF(ISERROR(VLOOKUP($S$730,'TAR FIN'!$A$1:$O$120,15,0)),0,VLOOKUP($S$730,'TAR FIN'!$A$1:$O$120,15,0))</f>
        <v>0</v>
      </c>
      <c r="W730" s="6">
        <f>IF(ISERROR(VLOOKUP($T$730,'TAR FIN'!$A$1:$O$120,15,0)),0,VLOOKUP($T$730,'TAR FIN'!$A$1:$O$120,15,0))</f>
        <v>419.53</v>
      </c>
      <c r="X730" s="6">
        <f>IF(ISERROR(VLOOKUP($U$730,'TAR FIN'!$A$1:$O$120,15,0)),0,VLOOKUP($U$730,'TAR FIN'!$A$1:$O$120,15,0))</f>
        <v>327.45999999999998</v>
      </c>
      <c r="Y730" s="6"/>
      <c r="Z730" s="6">
        <f ca="1">('TUSD BE'!$AM$65+'TUSD BF'!$AM$65+'TUSD CVA'!$AM$65)*(1-CUSTOS!$M$38)</f>
        <v>513.19123360320418</v>
      </c>
      <c r="AA730" s="6">
        <f>('TE BE'!$AA$29+'TE BF'!$AA$29+'TE CVA'!$AA$29)*(1-CUSTOS!$M$38)</f>
        <v>308.06727820334635</v>
      </c>
      <c r="AB730" s="6">
        <f t="shared" si="36"/>
        <v>0</v>
      </c>
      <c r="AC730" s="6">
        <f>(L730*W730+M730*X730)/(1-CUSTOS!$M$38)*CUSTOS!$M$38</f>
        <v>12.625952926829266</v>
      </c>
      <c r="AD730" s="6">
        <f t="shared" si="37"/>
        <v>0</v>
      </c>
      <c r="AE730" s="6">
        <f ca="1">(L730*Z730+N730*AA730)/(1-CUSTOS!$M$38)*CUSTOS!$M$38</f>
        <v>13.881271919071695</v>
      </c>
      <c r="AF730" s="4" t="s">
        <v>1151</v>
      </c>
    </row>
    <row r="731" spans="1:32" ht="11.25" customHeight="1" x14ac:dyDescent="0.25">
      <c r="A731" s="4" t="s">
        <v>21</v>
      </c>
      <c r="B731" s="4" t="s">
        <v>46</v>
      </c>
      <c r="C731" s="4" t="s">
        <v>37</v>
      </c>
      <c r="D731" s="4" t="s">
        <v>47</v>
      </c>
      <c r="E731" s="4" t="s">
        <v>25</v>
      </c>
      <c r="F731" s="4" t="s">
        <v>25</v>
      </c>
      <c r="G731" s="4" t="s">
        <v>25</v>
      </c>
      <c r="H731" s="4" t="s">
        <v>35</v>
      </c>
      <c r="I731" s="5">
        <v>43800</v>
      </c>
      <c r="J731" s="6">
        <v>0</v>
      </c>
      <c r="K731" s="6">
        <v>0</v>
      </c>
      <c r="L731" s="6">
        <v>7.0000000000000007E-2</v>
      </c>
      <c r="M731" s="6">
        <v>7.0000000000000007E-2</v>
      </c>
      <c r="N731" s="6">
        <v>7.0000000000000007E-2</v>
      </c>
      <c r="O731" s="6">
        <v>7.0000000000000007E-2</v>
      </c>
      <c r="P731" s="6">
        <v>0</v>
      </c>
      <c r="Q731" s="4" t="s">
        <v>26</v>
      </c>
      <c r="R731" s="4">
        <v>0</v>
      </c>
      <c r="S731" s="4">
        <v>0</v>
      </c>
      <c r="T731" s="4">
        <v>55</v>
      </c>
      <c r="U731" s="4">
        <v>98</v>
      </c>
      <c r="V731" s="6">
        <f>IF(ISERROR(VLOOKUP($S$731,'TAR FIN'!$A$1:$O$120,15,0)),0,VLOOKUP($S$731,'TAR FIN'!$A$1:$O$120,15,0))</f>
        <v>0</v>
      </c>
      <c r="W731" s="6">
        <f>IF(ISERROR(VLOOKUP($T$731,'TAR FIN'!$A$1:$O$120,15,0)),0,VLOOKUP($T$731,'TAR FIN'!$A$1:$O$120,15,0))</f>
        <v>419.53</v>
      </c>
      <c r="X731" s="6">
        <f>IF(ISERROR(VLOOKUP($U$731,'TAR FIN'!$A$1:$O$120,15,0)),0,VLOOKUP($U$731,'TAR FIN'!$A$1:$O$120,15,0))</f>
        <v>327.45999999999998</v>
      </c>
      <c r="Y731" s="6"/>
      <c r="Z731" s="6">
        <f ca="1">('TUSD BE'!$AM$65+'TUSD BF'!$AM$65+'TUSD CVA'!$AM$65)*(1-CUSTOS!$M$38)</f>
        <v>513.19123360320418</v>
      </c>
      <c r="AA731" s="6">
        <f>('TE BE'!$AA$29+'TE BF'!$AA$29+'TE CVA'!$AA$29)*(1-CUSTOS!$M$38)</f>
        <v>308.06727820334635</v>
      </c>
      <c r="AB731" s="6">
        <f t="shared" si="36"/>
        <v>0</v>
      </c>
      <c r="AC731" s="6">
        <f>(L731*W731+M731*X731)/(1-CUSTOS!$M$38)*CUSTOS!$M$38</f>
        <v>11.478139024390241</v>
      </c>
      <c r="AD731" s="6">
        <f t="shared" si="37"/>
        <v>0</v>
      </c>
      <c r="AE731" s="6">
        <f ca="1">(L731*Z731+N731*AA731)/(1-CUSTOS!$M$38)*CUSTOS!$M$38</f>
        <v>12.619338108246996</v>
      </c>
      <c r="AF731" s="4" t="s">
        <v>1151</v>
      </c>
    </row>
    <row r="732" spans="1:32" ht="11.25" customHeight="1" x14ac:dyDescent="0.25">
      <c r="A732" s="4" t="s">
        <v>21</v>
      </c>
      <c r="B732" s="4" t="s">
        <v>46</v>
      </c>
      <c r="C732" s="4" t="s">
        <v>37</v>
      </c>
      <c r="D732" s="4" t="s">
        <v>47</v>
      </c>
      <c r="E732" s="4" t="s">
        <v>25</v>
      </c>
      <c r="F732" s="4" t="s">
        <v>25</v>
      </c>
      <c r="G732" s="4" t="s">
        <v>25</v>
      </c>
      <c r="H732" s="4" t="s">
        <v>35</v>
      </c>
      <c r="I732" s="5">
        <v>43831</v>
      </c>
      <c r="J732" s="6">
        <v>0</v>
      </c>
      <c r="K732" s="6">
        <v>0</v>
      </c>
      <c r="L732" s="6">
        <v>8.5000000000000006E-2</v>
      </c>
      <c r="M732" s="6">
        <v>8.5000000000000006E-2</v>
      </c>
      <c r="N732" s="6">
        <v>8.5000000000000006E-2</v>
      </c>
      <c r="O732" s="6">
        <v>8.5000000000000006E-2</v>
      </c>
      <c r="P732" s="6">
        <v>0</v>
      </c>
      <c r="Q732" s="4" t="s">
        <v>26</v>
      </c>
      <c r="R732" s="4">
        <v>0</v>
      </c>
      <c r="S732" s="4">
        <v>0</v>
      </c>
      <c r="T732" s="4">
        <v>55</v>
      </c>
      <c r="U732" s="4">
        <v>98</v>
      </c>
      <c r="V732" s="6">
        <f>IF(ISERROR(VLOOKUP($S$732,'TAR FIN'!$A$1:$O$120,15,0)),0,VLOOKUP($S$732,'TAR FIN'!$A$1:$O$120,15,0))</f>
        <v>0</v>
      </c>
      <c r="W732" s="6">
        <f>IF(ISERROR(VLOOKUP($T$732,'TAR FIN'!$A$1:$O$120,15,0)),0,VLOOKUP($T$732,'TAR FIN'!$A$1:$O$120,15,0))</f>
        <v>419.53</v>
      </c>
      <c r="X732" s="6">
        <f>IF(ISERROR(VLOOKUP($U$732,'TAR FIN'!$A$1:$O$120,15,0)),0,VLOOKUP($U$732,'TAR FIN'!$A$1:$O$120,15,0))</f>
        <v>327.45999999999998</v>
      </c>
      <c r="Y732" s="6"/>
      <c r="Z732" s="6">
        <f ca="1">('TUSD BE'!$AM$65+'TUSD BF'!$AM$65+'TUSD CVA'!$AM$65)*(1-CUSTOS!$M$38)</f>
        <v>513.19123360320418</v>
      </c>
      <c r="AA732" s="6">
        <f>('TE BE'!$AA$29+'TE BF'!$AA$29+'TE CVA'!$AA$29)*(1-CUSTOS!$M$38)</f>
        <v>308.06727820334635</v>
      </c>
      <c r="AB732" s="6">
        <f t="shared" si="36"/>
        <v>0</v>
      </c>
      <c r="AC732" s="6">
        <f>(L732*W732+M732*X732)/(1-CUSTOS!$M$38)*CUSTOS!$M$38</f>
        <v>13.937740243902438</v>
      </c>
      <c r="AD732" s="6">
        <f t="shared" si="37"/>
        <v>0</v>
      </c>
      <c r="AE732" s="6">
        <f ca="1">(L732*Z732+N732*AA732)/(1-CUSTOS!$M$38)*CUSTOS!$M$38</f>
        <v>15.323481988585637</v>
      </c>
      <c r="AF732" s="4" t="s">
        <v>1151</v>
      </c>
    </row>
    <row r="733" spans="1:32" ht="11.25" customHeight="1" x14ac:dyDescent="0.25">
      <c r="A733" s="4" t="s">
        <v>21</v>
      </c>
      <c r="B733" s="4" t="s">
        <v>46</v>
      </c>
      <c r="C733" s="4" t="s">
        <v>37</v>
      </c>
      <c r="D733" s="4" t="s">
        <v>47</v>
      </c>
      <c r="E733" s="4" t="s">
        <v>25</v>
      </c>
      <c r="F733" s="4" t="s">
        <v>25</v>
      </c>
      <c r="G733" s="4" t="s">
        <v>25</v>
      </c>
      <c r="H733" s="4" t="s">
        <v>35</v>
      </c>
      <c r="I733" s="5">
        <v>43862</v>
      </c>
      <c r="J733" s="6">
        <v>0</v>
      </c>
      <c r="K733" s="6">
        <v>0</v>
      </c>
      <c r="L733" s="6">
        <v>7.5999999999999998E-2</v>
      </c>
      <c r="M733" s="6">
        <v>7.5999999999999998E-2</v>
      </c>
      <c r="N733" s="6">
        <v>7.5999999999999998E-2</v>
      </c>
      <c r="O733" s="6">
        <v>7.5999999999999998E-2</v>
      </c>
      <c r="P733" s="6">
        <v>0</v>
      </c>
      <c r="Q733" s="4" t="s">
        <v>26</v>
      </c>
      <c r="R733" s="4">
        <v>0</v>
      </c>
      <c r="S733" s="4">
        <v>0</v>
      </c>
      <c r="T733" s="4">
        <v>55</v>
      </c>
      <c r="U733" s="4">
        <v>98</v>
      </c>
      <c r="V733" s="6">
        <f>IF(ISERROR(VLOOKUP($S$733,'TAR FIN'!$A$1:$O$120,15,0)),0,VLOOKUP($S$733,'TAR FIN'!$A$1:$O$120,15,0))</f>
        <v>0</v>
      </c>
      <c r="W733" s="6">
        <f>IF(ISERROR(VLOOKUP($T$733,'TAR FIN'!$A$1:$O$120,15,0)),0,VLOOKUP($T$733,'TAR FIN'!$A$1:$O$120,15,0))</f>
        <v>419.53</v>
      </c>
      <c r="X733" s="6">
        <f>IF(ISERROR(VLOOKUP($U$733,'TAR FIN'!$A$1:$O$120,15,0)),0,VLOOKUP($U$733,'TAR FIN'!$A$1:$O$120,15,0))</f>
        <v>327.45999999999998</v>
      </c>
      <c r="Y733" s="6"/>
      <c r="Z733" s="6">
        <f ca="1">('TUSD BE'!$AM$65+'TUSD BF'!$AM$65+'TUSD CVA'!$AM$65)*(1-CUSTOS!$M$38)</f>
        <v>513.19123360320418</v>
      </c>
      <c r="AA733" s="6">
        <f>('TE BE'!$AA$29+'TE BF'!$AA$29+'TE CVA'!$AA$29)*(1-CUSTOS!$M$38)</f>
        <v>308.06727820334635</v>
      </c>
      <c r="AB733" s="6">
        <f t="shared" si="36"/>
        <v>0</v>
      </c>
      <c r="AC733" s="6">
        <f>(L733*W733+M733*X733)/(1-CUSTOS!$M$38)*CUSTOS!$M$38</f>
        <v>12.461979512195118</v>
      </c>
      <c r="AD733" s="6">
        <f t="shared" si="37"/>
        <v>0</v>
      </c>
      <c r="AE733" s="6">
        <f ca="1">(L733*Z733+N733*AA733)/(1-CUSTOS!$M$38)*CUSTOS!$M$38</f>
        <v>13.70099566038245</v>
      </c>
      <c r="AF733" s="4" t="s">
        <v>1151</v>
      </c>
    </row>
    <row r="734" spans="1:32" ht="11.25" customHeight="1" x14ac:dyDescent="0.25">
      <c r="A734" s="4" t="s">
        <v>21</v>
      </c>
      <c r="B734" s="4" t="s">
        <v>46</v>
      </c>
      <c r="C734" s="4" t="s">
        <v>37</v>
      </c>
      <c r="D734" s="4" t="s">
        <v>47</v>
      </c>
      <c r="E734" s="4" t="s">
        <v>25</v>
      </c>
      <c r="F734" s="4" t="s">
        <v>25</v>
      </c>
      <c r="G734" s="4" t="s">
        <v>25</v>
      </c>
      <c r="H734" s="4" t="s">
        <v>35</v>
      </c>
      <c r="I734" s="5">
        <v>43891</v>
      </c>
      <c r="J734" s="6">
        <v>0</v>
      </c>
      <c r="K734" s="6">
        <v>0</v>
      </c>
      <c r="L734" s="6">
        <v>8.4000000000000005E-2</v>
      </c>
      <c r="M734" s="6">
        <v>8.4000000000000005E-2</v>
      </c>
      <c r="N734" s="6">
        <v>8.4000000000000005E-2</v>
      </c>
      <c r="O734" s="6">
        <v>8.4000000000000005E-2</v>
      </c>
      <c r="P734" s="6">
        <v>0</v>
      </c>
      <c r="Q734" s="4" t="s">
        <v>26</v>
      </c>
      <c r="R734" s="4">
        <v>0</v>
      </c>
      <c r="S734" s="4">
        <v>0</v>
      </c>
      <c r="T734" s="4">
        <v>55</v>
      </c>
      <c r="U734" s="4">
        <v>98</v>
      </c>
      <c r="V734" s="6">
        <f>IF(ISERROR(VLOOKUP($S$734,'TAR FIN'!$A$1:$O$120,15,0)),0,VLOOKUP($S$734,'TAR FIN'!$A$1:$O$120,15,0))</f>
        <v>0</v>
      </c>
      <c r="W734" s="6">
        <f>IF(ISERROR(VLOOKUP($T$734,'TAR FIN'!$A$1:$O$120,15,0)),0,VLOOKUP($T$734,'TAR FIN'!$A$1:$O$120,15,0))</f>
        <v>419.53</v>
      </c>
      <c r="X734" s="6">
        <f>IF(ISERROR(VLOOKUP($U$734,'TAR FIN'!$A$1:$O$120,15,0)),0,VLOOKUP($U$734,'TAR FIN'!$A$1:$O$120,15,0))</f>
        <v>327.45999999999998</v>
      </c>
      <c r="Y734" s="6"/>
      <c r="Z734" s="6">
        <f ca="1">('TUSD BE'!$AM$65+'TUSD BF'!$AM$65+'TUSD CVA'!$AM$65)*(1-CUSTOS!$M$38)</f>
        <v>513.19123360320418</v>
      </c>
      <c r="AA734" s="6">
        <f>('TE BE'!$AA$29+'TE BF'!$AA$29+'TE CVA'!$AA$29)*(1-CUSTOS!$M$38)</f>
        <v>308.06727820334635</v>
      </c>
      <c r="AB734" s="6">
        <f t="shared" si="36"/>
        <v>0</v>
      </c>
      <c r="AC734" s="6">
        <f>(L734*W734+M734*X734)/(1-CUSTOS!$M$38)*CUSTOS!$M$38</f>
        <v>13.77376682926829</v>
      </c>
      <c r="AD734" s="6">
        <f t="shared" si="37"/>
        <v>0</v>
      </c>
      <c r="AE734" s="6">
        <f ca="1">(L734*Z734+N734*AA734)/(1-CUSTOS!$M$38)*CUSTOS!$M$38</f>
        <v>15.143205729896396</v>
      </c>
      <c r="AF734" s="4" t="s">
        <v>1151</v>
      </c>
    </row>
    <row r="735" spans="1:32" ht="11.25" customHeight="1" x14ac:dyDescent="0.25">
      <c r="A735" s="4" t="s">
        <v>21</v>
      </c>
      <c r="B735" s="4" t="s">
        <v>46</v>
      </c>
      <c r="C735" s="4" t="s">
        <v>37</v>
      </c>
      <c r="D735" s="4" t="s">
        <v>47</v>
      </c>
      <c r="E735" s="4" t="s">
        <v>25</v>
      </c>
      <c r="F735" s="4" t="s">
        <v>25</v>
      </c>
      <c r="G735" s="4" t="s">
        <v>25</v>
      </c>
      <c r="H735" s="4" t="s">
        <v>35</v>
      </c>
      <c r="I735" s="5">
        <v>43922</v>
      </c>
      <c r="J735" s="6">
        <v>0</v>
      </c>
      <c r="K735" s="6">
        <v>0</v>
      </c>
      <c r="L735" s="6">
        <v>0.108</v>
      </c>
      <c r="M735" s="6">
        <v>0.108</v>
      </c>
      <c r="N735" s="6">
        <v>0.108</v>
      </c>
      <c r="O735" s="6">
        <v>0.108</v>
      </c>
      <c r="P735" s="6">
        <v>0</v>
      </c>
      <c r="Q735" s="4" t="s">
        <v>26</v>
      </c>
      <c r="R735" s="4">
        <v>0</v>
      </c>
      <c r="S735" s="4">
        <v>0</v>
      </c>
      <c r="T735" s="4">
        <v>55</v>
      </c>
      <c r="U735" s="4">
        <v>98</v>
      </c>
      <c r="V735" s="6">
        <f>IF(ISERROR(VLOOKUP($S$735,'TAR FIN'!$A$1:$O$120,15,0)),0,VLOOKUP($S$735,'TAR FIN'!$A$1:$O$120,15,0))</f>
        <v>0</v>
      </c>
      <c r="W735" s="6">
        <f>IF(ISERROR(VLOOKUP($T$735,'TAR FIN'!$A$1:$O$120,15,0)),0,VLOOKUP($T$735,'TAR FIN'!$A$1:$O$120,15,0))</f>
        <v>419.53</v>
      </c>
      <c r="X735" s="6">
        <f>IF(ISERROR(VLOOKUP($U$735,'TAR FIN'!$A$1:$O$120,15,0)),0,VLOOKUP($U$735,'TAR FIN'!$A$1:$O$120,15,0))</f>
        <v>327.45999999999998</v>
      </c>
      <c r="Y735" s="6"/>
      <c r="Z735" s="6">
        <f ca="1">('TUSD BE'!$AM$65+'TUSD BF'!$AM$65+'TUSD CVA'!$AM$65)*(1-CUSTOS!$M$38)</f>
        <v>513.19123360320418</v>
      </c>
      <c r="AA735" s="6">
        <f>('TE BE'!$AA$29+'TE BF'!$AA$29+'TE CVA'!$AA$29)*(1-CUSTOS!$M$38)</f>
        <v>308.06727820334635</v>
      </c>
      <c r="AB735" s="6">
        <f t="shared" si="36"/>
        <v>0</v>
      </c>
      <c r="AC735" s="6">
        <f>(L735*W735+M735*X735)/(1-CUSTOS!$M$38)*CUSTOS!$M$38</f>
        <v>17.709128780487799</v>
      </c>
      <c r="AD735" s="6">
        <f t="shared" si="37"/>
        <v>0</v>
      </c>
      <c r="AE735" s="6">
        <f ca="1">(L735*Z735+N735*AA735)/(1-CUSTOS!$M$38)*CUSTOS!$M$38</f>
        <v>19.469835938438219</v>
      </c>
      <c r="AF735" s="4" t="s">
        <v>1151</v>
      </c>
    </row>
    <row r="736" spans="1:32" ht="11.25" customHeight="1" x14ac:dyDescent="0.25">
      <c r="A736" s="4" t="s">
        <v>21</v>
      </c>
      <c r="B736" s="4" t="s">
        <v>46</v>
      </c>
      <c r="C736" s="4" t="s">
        <v>37</v>
      </c>
      <c r="D736" s="4" t="s">
        <v>47</v>
      </c>
      <c r="E736" s="4" t="s">
        <v>25</v>
      </c>
      <c r="F736" s="4" t="s">
        <v>25</v>
      </c>
      <c r="G736" s="4" t="s">
        <v>25</v>
      </c>
      <c r="H736" s="4" t="s">
        <v>35</v>
      </c>
      <c r="I736" s="5">
        <v>43952</v>
      </c>
      <c r="J736" s="6">
        <v>0</v>
      </c>
      <c r="K736" s="6">
        <v>0</v>
      </c>
      <c r="L736" s="6">
        <v>8.8999999999999996E-2</v>
      </c>
      <c r="M736" s="6">
        <v>8.8999999999999996E-2</v>
      </c>
      <c r="N736" s="6">
        <v>8.8999999999999996E-2</v>
      </c>
      <c r="O736" s="6">
        <v>8.8999999999999996E-2</v>
      </c>
      <c r="P736" s="6">
        <v>0</v>
      </c>
      <c r="Q736" s="4" t="s">
        <v>26</v>
      </c>
      <c r="R736" s="4">
        <v>0</v>
      </c>
      <c r="S736" s="4">
        <v>0</v>
      </c>
      <c r="T736" s="4">
        <v>55</v>
      </c>
      <c r="U736" s="4">
        <v>98</v>
      </c>
      <c r="V736" s="6">
        <f>IF(ISERROR(VLOOKUP($S$736,'TAR FIN'!$A$1:$O$120,15,0)),0,VLOOKUP($S$736,'TAR FIN'!$A$1:$O$120,15,0))</f>
        <v>0</v>
      </c>
      <c r="W736" s="6">
        <f>IF(ISERROR(VLOOKUP($T$736,'TAR FIN'!$A$1:$O$120,15,0)),0,VLOOKUP($T$736,'TAR FIN'!$A$1:$O$120,15,0))</f>
        <v>419.53</v>
      </c>
      <c r="X736" s="6">
        <f>IF(ISERROR(VLOOKUP($U$736,'TAR FIN'!$A$1:$O$120,15,0)),0,VLOOKUP($U$736,'TAR FIN'!$A$1:$O$120,15,0))</f>
        <v>327.45999999999998</v>
      </c>
      <c r="Y736" s="6"/>
      <c r="Z736" s="6">
        <f ca="1">('TUSD BE'!$AM$65+'TUSD BF'!$AM$65+'TUSD CVA'!$AM$65)*(1-CUSTOS!$M$38)</f>
        <v>513.19123360320418</v>
      </c>
      <c r="AA736" s="6">
        <f>('TE BE'!$AA$29+'TE BF'!$AA$29+'TE CVA'!$AA$29)*(1-CUSTOS!$M$38)</f>
        <v>308.06727820334635</v>
      </c>
      <c r="AB736" s="6">
        <f t="shared" si="36"/>
        <v>0</v>
      </c>
      <c r="AC736" s="6">
        <f>(L736*W736+M736*X736)/(1-CUSTOS!$M$38)*CUSTOS!$M$38</f>
        <v>14.59363390243902</v>
      </c>
      <c r="AD736" s="6">
        <f t="shared" si="37"/>
        <v>0</v>
      </c>
      <c r="AE736" s="6">
        <f ca="1">(L736*Z736+N736*AA736)/(1-CUSTOS!$M$38)*CUSTOS!$M$38</f>
        <v>16.044587023342608</v>
      </c>
      <c r="AF736" s="4" t="s">
        <v>1151</v>
      </c>
    </row>
    <row r="737" spans="1:32" ht="11.25" customHeight="1" x14ac:dyDescent="0.25">
      <c r="A737" s="4" t="s">
        <v>21</v>
      </c>
      <c r="B737" s="4" t="s">
        <v>46</v>
      </c>
      <c r="C737" s="4" t="s">
        <v>37</v>
      </c>
      <c r="D737" s="4" t="s">
        <v>47</v>
      </c>
      <c r="E737" s="4" t="s">
        <v>25</v>
      </c>
      <c r="F737" s="4" t="s">
        <v>25</v>
      </c>
      <c r="G737" s="4" t="s">
        <v>25</v>
      </c>
      <c r="H737" s="4" t="s">
        <v>35</v>
      </c>
      <c r="I737" s="5">
        <v>43983</v>
      </c>
      <c r="J737" s="6">
        <v>0</v>
      </c>
      <c r="K737" s="6">
        <v>0</v>
      </c>
      <c r="L737" s="6">
        <v>9.2999999999999999E-2</v>
      </c>
      <c r="M737" s="6">
        <v>9.2999999999999999E-2</v>
      </c>
      <c r="N737" s="6">
        <v>9.2999999999999999E-2</v>
      </c>
      <c r="O737" s="6">
        <v>9.2999999999999999E-2</v>
      </c>
      <c r="P737" s="6">
        <v>0</v>
      </c>
      <c r="Q737" s="4" t="s">
        <v>26</v>
      </c>
      <c r="R737" s="4">
        <v>0</v>
      </c>
      <c r="S737" s="4">
        <v>0</v>
      </c>
      <c r="T737" s="4">
        <v>55</v>
      </c>
      <c r="U737" s="4">
        <v>98</v>
      </c>
      <c r="V737" s="6">
        <f>IF(ISERROR(VLOOKUP($S$737,'TAR FIN'!$A$1:$O$120,15,0)),0,VLOOKUP($S$737,'TAR FIN'!$A$1:$O$120,15,0))</f>
        <v>0</v>
      </c>
      <c r="W737" s="6">
        <f>IF(ISERROR(VLOOKUP($T$737,'TAR FIN'!$A$1:$O$120,15,0)),0,VLOOKUP($T$737,'TAR FIN'!$A$1:$O$120,15,0))</f>
        <v>419.53</v>
      </c>
      <c r="X737" s="6">
        <f>IF(ISERROR(VLOOKUP($U$737,'TAR FIN'!$A$1:$O$120,15,0)),0,VLOOKUP($U$737,'TAR FIN'!$A$1:$O$120,15,0))</f>
        <v>327.45999999999998</v>
      </c>
      <c r="Y737" s="6"/>
      <c r="Z737" s="6">
        <f ca="1">('TUSD BE'!$AM$65+'TUSD BF'!$AM$65+'TUSD CVA'!$AM$65)*(1-CUSTOS!$M$38)</f>
        <v>513.19123360320418</v>
      </c>
      <c r="AA737" s="6">
        <f>('TE BE'!$AA$29+'TE BF'!$AA$29+'TE CVA'!$AA$29)*(1-CUSTOS!$M$38)</f>
        <v>308.06727820334635</v>
      </c>
      <c r="AB737" s="6">
        <f t="shared" si="36"/>
        <v>0</v>
      </c>
      <c r="AC737" s="6">
        <f>(L737*W737+M737*X737)/(1-CUSTOS!$M$38)*CUSTOS!$M$38</f>
        <v>15.249527560975608</v>
      </c>
      <c r="AD737" s="6">
        <f t="shared" si="37"/>
        <v>0</v>
      </c>
      <c r="AE737" s="6">
        <f ca="1">(L737*Z737+N737*AA737)/(1-CUSTOS!$M$38)*CUSTOS!$M$38</f>
        <v>16.765692058099578</v>
      </c>
      <c r="AF737" s="4" t="s">
        <v>1151</v>
      </c>
    </row>
    <row r="738" spans="1:32" ht="11.25" customHeight="1" x14ac:dyDescent="0.25">
      <c r="A738" s="4" t="s">
        <v>21</v>
      </c>
      <c r="B738" s="4" t="s">
        <v>46</v>
      </c>
      <c r="C738" s="4" t="s">
        <v>37</v>
      </c>
      <c r="D738" s="4" t="s">
        <v>47</v>
      </c>
      <c r="E738" s="4" t="s">
        <v>25</v>
      </c>
      <c r="F738" s="4" t="s">
        <v>25</v>
      </c>
      <c r="G738" s="4" t="s">
        <v>25</v>
      </c>
      <c r="H738" s="4" t="s">
        <v>35</v>
      </c>
      <c r="I738" s="5">
        <v>44013</v>
      </c>
      <c r="J738" s="6">
        <v>0</v>
      </c>
      <c r="K738" s="6">
        <v>0</v>
      </c>
      <c r="L738" s="6">
        <v>0.09</v>
      </c>
      <c r="M738" s="6">
        <v>0.09</v>
      </c>
      <c r="N738" s="6">
        <v>0.09</v>
      </c>
      <c r="O738" s="6">
        <v>0.09</v>
      </c>
      <c r="P738" s="6">
        <v>0</v>
      </c>
      <c r="Q738" s="4" t="s">
        <v>26</v>
      </c>
      <c r="R738" s="4">
        <v>0</v>
      </c>
      <c r="S738" s="4">
        <v>0</v>
      </c>
      <c r="T738" s="4">
        <v>55</v>
      </c>
      <c r="U738" s="4">
        <v>98</v>
      </c>
      <c r="V738" s="6">
        <f>IF(ISERROR(VLOOKUP($S$738,'TAR FIN'!$A$1:$O$120,15,0)),0,VLOOKUP($S$738,'TAR FIN'!$A$1:$O$120,15,0))</f>
        <v>0</v>
      </c>
      <c r="W738" s="6">
        <f>IF(ISERROR(VLOOKUP($T$738,'TAR FIN'!$A$1:$O$120,15,0)),0,VLOOKUP($T$738,'TAR FIN'!$A$1:$O$120,15,0))</f>
        <v>419.53</v>
      </c>
      <c r="X738" s="6">
        <f>IF(ISERROR(VLOOKUP($U$738,'TAR FIN'!$A$1:$O$120,15,0)),0,VLOOKUP($U$738,'TAR FIN'!$A$1:$O$120,15,0))</f>
        <v>327.45999999999998</v>
      </c>
      <c r="Y738" s="6"/>
      <c r="Z738" s="6">
        <f ca="1">('TUSD BE'!$AM$65+'TUSD BF'!$AM$65+'TUSD CVA'!$AM$65)*(1-CUSTOS!$M$38)</f>
        <v>513.19123360320418</v>
      </c>
      <c r="AA738" s="6">
        <f>('TE BE'!$AA$29+'TE BF'!$AA$29+'TE CVA'!$AA$29)*(1-CUSTOS!$M$38)</f>
        <v>308.06727820334635</v>
      </c>
      <c r="AB738" s="6">
        <f t="shared" si="36"/>
        <v>0</v>
      </c>
      <c r="AC738" s="6">
        <f>(L738*W738+M738*X738)/(1-CUSTOS!$M$38)*CUSTOS!$M$38</f>
        <v>14.757607317073168</v>
      </c>
      <c r="AD738" s="6">
        <f t="shared" si="37"/>
        <v>0</v>
      </c>
      <c r="AE738" s="6">
        <f ca="1">(L738*Z738+N738*AA738)/(1-CUSTOS!$M$38)*CUSTOS!$M$38</f>
        <v>16.224863282031851</v>
      </c>
      <c r="AF738" s="4" t="s">
        <v>1151</v>
      </c>
    </row>
    <row r="739" spans="1:32" ht="11.25" customHeight="1" x14ac:dyDescent="0.25">
      <c r="A739" s="4" t="s">
        <v>21</v>
      </c>
      <c r="B739" s="4" t="s">
        <v>46</v>
      </c>
      <c r="C739" s="4" t="s">
        <v>37</v>
      </c>
      <c r="D739" s="4" t="s">
        <v>47</v>
      </c>
      <c r="E739" s="4" t="s">
        <v>25</v>
      </c>
      <c r="F739" s="4" t="s">
        <v>25</v>
      </c>
      <c r="G739" s="4" t="s">
        <v>25</v>
      </c>
      <c r="H739" s="4" t="s">
        <v>35</v>
      </c>
      <c r="I739" s="5">
        <v>44044</v>
      </c>
      <c r="J739" s="6">
        <v>0</v>
      </c>
      <c r="K739" s="6">
        <v>0</v>
      </c>
      <c r="L739" s="6">
        <v>0.10100000000000001</v>
      </c>
      <c r="M739" s="6">
        <v>0.10100000000000001</v>
      </c>
      <c r="N739" s="6">
        <v>0.10100000000000001</v>
      </c>
      <c r="O739" s="6">
        <v>0.10100000000000001</v>
      </c>
      <c r="P739" s="6">
        <v>0</v>
      </c>
      <c r="Q739" s="4" t="s">
        <v>26</v>
      </c>
      <c r="R739" s="4">
        <v>0</v>
      </c>
      <c r="S739" s="4">
        <v>0</v>
      </c>
      <c r="T739" s="4">
        <v>55</v>
      </c>
      <c r="U739" s="4">
        <v>98</v>
      </c>
      <c r="V739" s="6">
        <f>IF(ISERROR(VLOOKUP($S$739,'TAR FIN'!$A$1:$O$120,15,0)),0,VLOOKUP($S$739,'TAR FIN'!$A$1:$O$120,15,0))</f>
        <v>0</v>
      </c>
      <c r="W739" s="6">
        <f>IF(ISERROR(VLOOKUP($T$739,'TAR FIN'!$A$1:$O$120,15,0)),0,VLOOKUP($T$739,'TAR FIN'!$A$1:$O$120,15,0))</f>
        <v>419.53</v>
      </c>
      <c r="X739" s="6">
        <f>IF(ISERROR(VLOOKUP($U$739,'TAR FIN'!$A$1:$O$120,15,0)),0,VLOOKUP($U$739,'TAR FIN'!$A$1:$O$120,15,0))</f>
        <v>327.45999999999998</v>
      </c>
      <c r="Y739" s="6"/>
      <c r="Z739" s="6">
        <f ca="1">('TUSD BE'!$AM$65+'TUSD BF'!$AM$65+'TUSD CVA'!$AM$65)*(1-CUSTOS!$M$38)</f>
        <v>513.19123360320418</v>
      </c>
      <c r="AA739" s="6">
        <f>('TE BE'!$AA$29+'TE BF'!$AA$29+'TE CVA'!$AA$29)*(1-CUSTOS!$M$38)</f>
        <v>308.06727820334635</v>
      </c>
      <c r="AB739" s="6">
        <f t="shared" si="36"/>
        <v>0</v>
      </c>
      <c r="AC739" s="6">
        <f>(L739*W739+M739*X739)/(1-CUSTOS!$M$38)*CUSTOS!$M$38</f>
        <v>16.56131487804878</v>
      </c>
      <c r="AD739" s="6">
        <f t="shared" si="37"/>
        <v>0</v>
      </c>
      <c r="AE739" s="6">
        <f ca="1">(L739*Z739+N739*AA739)/(1-CUSTOS!$M$38)*CUSTOS!$M$38</f>
        <v>18.207902127613522</v>
      </c>
      <c r="AF739" s="4" t="s">
        <v>1151</v>
      </c>
    </row>
    <row r="740" spans="1:32" ht="11.25" customHeight="1" x14ac:dyDescent="0.25">
      <c r="A740" s="4" t="s">
        <v>59</v>
      </c>
      <c r="B740" s="4" t="s">
        <v>46</v>
      </c>
      <c r="C740" s="4" t="s">
        <v>37</v>
      </c>
      <c r="D740" s="4" t="s">
        <v>47</v>
      </c>
      <c r="E740" s="4" t="s">
        <v>25</v>
      </c>
      <c r="F740" s="4" t="s">
        <v>25</v>
      </c>
      <c r="G740" s="4" t="s">
        <v>25</v>
      </c>
      <c r="H740" s="4" t="s">
        <v>35</v>
      </c>
      <c r="I740" s="5">
        <v>44075</v>
      </c>
      <c r="J740" s="6">
        <v>0</v>
      </c>
      <c r="K740" s="6">
        <v>0</v>
      </c>
      <c r="L740" s="6">
        <v>0.10100000000000001</v>
      </c>
      <c r="M740" s="6">
        <v>0.10100000000000001</v>
      </c>
      <c r="N740" s="6">
        <v>0.10100000000000001</v>
      </c>
      <c r="O740" s="6">
        <v>0.10100000000000001</v>
      </c>
      <c r="P740" s="6">
        <v>0</v>
      </c>
      <c r="Q740" s="4" t="s">
        <v>26</v>
      </c>
      <c r="R740" s="4">
        <v>0</v>
      </c>
      <c r="S740" s="4">
        <v>0</v>
      </c>
      <c r="T740" s="4">
        <v>55</v>
      </c>
      <c r="U740" s="4">
        <v>98</v>
      </c>
      <c r="V740" s="6">
        <f>IF(ISERROR(VLOOKUP($S$740,'TAR FIN'!$A$1:$O$120,15,0)),0,VLOOKUP($S$740,'TAR FIN'!$A$1:$O$120,15,0))</f>
        <v>0</v>
      </c>
      <c r="W740" s="6">
        <f>IF(ISERROR(VLOOKUP($T$740,'TAR FIN'!$A$1:$O$120,15,0)),0,VLOOKUP($T$740,'TAR FIN'!$A$1:$O$120,15,0))</f>
        <v>419.53</v>
      </c>
      <c r="X740" s="6">
        <f>IF(ISERROR(VLOOKUP($U$740,'TAR FIN'!$A$1:$O$120,15,0)),0,VLOOKUP($U$740,'TAR FIN'!$A$1:$O$120,15,0))</f>
        <v>327.45999999999998</v>
      </c>
      <c r="Y740" s="6"/>
      <c r="Z740" s="6">
        <f ca="1">('TUSD BE'!$AM$65+'TUSD BF'!$AM$65+'TUSD CVA'!$AM$65)*(1-CUSTOS!$M$38)</f>
        <v>513.19123360320418</v>
      </c>
      <c r="AA740" s="6">
        <f>('TE BE'!$AA$29+'TE BF'!$AA$29+'TE CVA'!$AA$29)*(1-CUSTOS!$M$38)</f>
        <v>308.06727820334635</v>
      </c>
      <c r="AB740" s="6">
        <f t="shared" si="36"/>
        <v>0</v>
      </c>
      <c r="AC740" s="6">
        <f>(L740*W740+M740*X740)/(1-CUSTOS!$M$38)*CUSTOS!$M$38</f>
        <v>16.56131487804878</v>
      </c>
      <c r="AD740" s="6">
        <f t="shared" si="37"/>
        <v>0</v>
      </c>
      <c r="AE740" s="6">
        <f ca="1">(L740*Z740+N740*AA740)/(1-CUSTOS!$M$38)*CUSTOS!$M$38</f>
        <v>18.207902127613522</v>
      </c>
      <c r="AF740" s="4" t="s">
        <v>1151</v>
      </c>
    </row>
    <row r="741" spans="1:32" ht="11.25" customHeight="1" x14ac:dyDescent="0.25">
      <c r="A741" s="4" t="s">
        <v>21</v>
      </c>
      <c r="B741" s="4" t="s">
        <v>46</v>
      </c>
      <c r="C741" s="4" t="s">
        <v>23</v>
      </c>
      <c r="D741" s="4" t="s">
        <v>47</v>
      </c>
      <c r="E741" s="4" t="s">
        <v>55</v>
      </c>
      <c r="F741" s="4" t="s">
        <v>56</v>
      </c>
      <c r="G741" s="4" t="s">
        <v>25</v>
      </c>
      <c r="H741" s="4" t="s">
        <v>25</v>
      </c>
      <c r="I741" s="5">
        <v>43739</v>
      </c>
      <c r="J741" s="6">
        <v>0</v>
      </c>
      <c r="K741" s="6">
        <v>0</v>
      </c>
      <c r="L741" s="6">
        <v>14.704000000000001</v>
      </c>
      <c r="M741" s="6">
        <v>14.704000000000001</v>
      </c>
      <c r="N741" s="6">
        <v>14.704000000000001</v>
      </c>
      <c r="O741" s="6">
        <v>14.704000000000001</v>
      </c>
      <c r="P741" s="6">
        <v>0</v>
      </c>
      <c r="Q741" s="4" t="s">
        <v>26</v>
      </c>
      <c r="R741" s="4">
        <v>0</v>
      </c>
      <c r="S741" s="4">
        <v>0</v>
      </c>
      <c r="T741" s="4">
        <v>58</v>
      </c>
      <c r="U741" s="4">
        <v>101</v>
      </c>
      <c r="V741" s="6">
        <f>IF(ISERROR(VLOOKUP($S$741,'TAR FIN'!$A$1:$O$120,15,0)),0,VLOOKUP($S$741,'TAR FIN'!$A$1:$O$120,15,0))</f>
        <v>0</v>
      </c>
      <c r="W741" s="6">
        <f>IF(ISERROR(VLOOKUP($T$741,'TAR FIN'!$A$1:$O$120,15,0)),0,VLOOKUP($T$741,'TAR FIN'!$A$1:$O$120,15,0))</f>
        <v>187.79</v>
      </c>
      <c r="X741" s="6">
        <f>IF(ISERROR(VLOOKUP($U$741,'TAR FIN'!$A$1:$O$120,15,0)),0,VLOOKUP($U$741,'TAR FIN'!$A$1:$O$120,15,0))</f>
        <v>205.9</v>
      </c>
      <c r="Y741" s="6"/>
      <c r="Z741" s="6">
        <f ca="1">('TUSD BE'!$AM$68+'TUSD BF'!$AM$68+'TUSD CVA'!$AM$68)*(1-CUSTOS!$M$38)</f>
        <v>222.93739154100084</v>
      </c>
      <c r="AA741" s="6">
        <f>('TE BE'!$AA$32+'TE BF'!$AA$32+'TE CVA'!$AA$32)*(1-CUSTOS!$M$38)</f>
        <v>199.18265392296476</v>
      </c>
      <c r="AB741" s="6">
        <f t="shared" si="36"/>
        <v>0</v>
      </c>
      <c r="AC741" s="6">
        <f>(L741-M741)*(W741+X741)+($W$613+$X$613-$W$741-$X$741)*(L741)</f>
        <v>1828.0012800000004</v>
      </c>
      <c r="AD741" s="6">
        <f t="shared" si="37"/>
        <v>0</v>
      </c>
      <c r="AE741" s="6">
        <f ca="1">(L741-M741)*(Z741+AA741)+($Z$613+$AA$613-$Z$741-$AA$741)*(L741)</f>
        <v>1362.4799594273009</v>
      </c>
      <c r="AF741" s="4" t="s">
        <v>1151</v>
      </c>
    </row>
    <row r="742" spans="1:32" ht="11.25" customHeight="1" x14ac:dyDescent="0.25">
      <c r="A742" s="4" t="s">
        <v>28</v>
      </c>
      <c r="B742" s="4" t="s">
        <v>46</v>
      </c>
      <c r="C742" s="4" t="s">
        <v>23</v>
      </c>
      <c r="D742" s="4" t="s">
        <v>47</v>
      </c>
      <c r="E742" s="4" t="s">
        <v>55</v>
      </c>
      <c r="F742" s="4" t="s">
        <v>56</v>
      </c>
      <c r="G742" s="4" t="s">
        <v>25</v>
      </c>
      <c r="H742" s="4" t="s">
        <v>25</v>
      </c>
      <c r="I742" s="5">
        <v>43739</v>
      </c>
      <c r="J742" s="6">
        <v>0</v>
      </c>
      <c r="K742" s="6">
        <v>0</v>
      </c>
      <c r="L742" s="6">
        <v>4.7869999999999999</v>
      </c>
      <c r="M742" s="6">
        <v>4.7869999999999999</v>
      </c>
      <c r="N742" s="6">
        <v>4.7869999999999999</v>
      </c>
      <c r="O742" s="6">
        <v>4.7869999999999999</v>
      </c>
      <c r="P742" s="6">
        <v>0</v>
      </c>
      <c r="Q742" s="4" t="s">
        <v>26</v>
      </c>
      <c r="R742" s="4">
        <v>0</v>
      </c>
      <c r="S742" s="4">
        <v>0</v>
      </c>
      <c r="T742" s="4">
        <v>58</v>
      </c>
      <c r="U742" s="4">
        <v>101</v>
      </c>
      <c r="V742" s="6">
        <f>IF(ISERROR(VLOOKUP($S$742,'TAR FIN'!$A$1:$O$120,15,0)),0,VLOOKUP($S$742,'TAR FIN'!$A$1:$O$120,15,0))</f>
        <v>0</v>
      </c>
      <c r="W742" s="6">
        <f>IF(ISERROR(VLOOKUP($T$742,'TAR FIN'!$A$1:$O$120,15,0)),0,VLOOKUP($T$742,'TAR FIN'!$A$1:$O$120,15,0))</f>
        <v>187.79</v>
      </c>
      <c r="X742" s="6">
        <f>IF(ISERROR(VLOOKUP($U$742,'TAR FIN'!$A$1:$O$120,15,0)),0,VLOOKUP($U$742,'TAR FIN'!$A$1:$O$120,15,0))</f>
        <v>205.9</v>
      </c>
      <c r="Y742" s="6"/>
      <c r="Z742" s="6">
        <f ca="1">('TUSD BE'!$AM$68+'TUSD BF'!$AM$68+'TUSD CVA'!$AM$68)*(1-CUSTOS!$M$38)</f>
        <v>222.93739154100084</v>
      </c>
      <c r="AA742" s="6">
        <f>('TE BE'!$AA$32+'TE BF'!$AA$32+'TE CVA'!$AA$32)*(1-CUSTOS!$M$38)</f>
        <v>199.18265392296476</v>
      </c>
      <c r="AB742" s="6">
        <f t="shared" si="36"/>
        <v>0</v>
      </c>
      <c r="AC742" s="6">
        <f>(L742-M742)*(W742+X742)+($W$613+$X$613-$W$742-$X$742)*(L742)</f>
        <v>595.11984000000007</v>
      </c>
      <c r="AD742" s="6">
        <f t="shared" si="37"/>
        <v>0</v>
      </c>
      <c r="AE742" s="6">
        <f ca="1">(L742-M742)*(Z742+AA742)+($Z$613+$AA$613-$Z$742-$AA$742)*(L742)</f>
        <v>443.56580289570786</v>
      </c>
      <c r="AF742" s="4" t="s">
        <v>1151</v>
      </c>
    </row>
    <row r="743" spans="1:32" ht="11.25" customHeight="1" x14ac:dyDescent="0.25">
      <c r="A743" s="4" t="s">
        <v>21</v>
      </c>
      <c r="B743" s="4" t="s">
        <v>46</v>
      </c>
      <c r="C743" s="4" t="s">
        <v>23</v>
      </c>
      <c r="D743" s="4" t="s">
        <v>47</v>
      </c>
      <c r="E743" s="4" t="s">
        <v>55</v>
      </c>
      <c r="F743" s="4" t="s">
        <v>56</v>
      </c>
      <c r="G743" s="4" t="s">
        <v>25</v>
      </c>
      <c r="H743" s="4" t="s">
        <v>25</v>
      </c>
      <c r="I743" s="5">
        <v>43770</v>
      </c>
      <c r="J743" s="6">
        <v>0</v>
      </c>
      <c r="K743" s="6">
        <v>0</v>
      </c>
      <c r="L743" s="6">
        <v>42.212000000000003</v>
      </c>
      <c r="M743" s="6">
        <v>42.212000000000003</v>
      </c>
      <c r="N743" s="6">
        <v>42.212000000000003</v>
      </c>
      <c r="O743" s="6">
        <v>42.212000000000003</v>
      </c>
      <c r="P743" s="6">
        <v>0</v>
      </c>
      <c r="Q743" s="4" t="s">
        <v>26</v>
      </c>
      <c r="R743" s="4">
        <v>0</v>
      </c>
      <c r="S743" s="4">
        <v>0</v>
      </c>
      <c r="T743" s="4">
        <v>58</v>
      </c>
      <c r="U743" s="4">
        <v>101</v>
      </c>
      <c r="V743" s="6">
        <f>IF(ISERROR(VLOOKUP($S$743,'TAR FIN'!$A$1:$O$120,15,0)),0,VLOOKUP($S$743,'TAR FIN'!$A$1:$O$120,15,0))</f>
        <v>0</v>
      </c>
      <c r="W743" s="6">
        <f>IF(ISERROR(VLOOKUP($T$743,'TAR FIN'!$A$1:$O$120,15,0)),0,VLOOKUP($T$743,'TAR FIN'!$A$1:$O$120,15,0))</f>
        <v>187.79</v>
      </c>
      <c r="X743" s="6">
        <f>IF(ISERROR(VLOOKUP($U$743,'TAR FIN'!$A$1:$O$120,15,0)),0,VLOOKUP($U$743,'TAR FIN'!$A$1:$O$120,15,0))</f>
        <v>205.9</v>
      </c>
      <c r="Y743" s="6"/>
      <c r="Z743" s="6">
        <f ca="1">('TUSD BE'!$AM$68+'TUSD BF'!$AM$68+'TUSD CVA'!$AM$68)*(1-CUSTOS!$M$38)</f>
        <v>222.93739154100084</v>
      </c>
      <c r="AA743" s="6">
        <f>('TE BE'!$AA$32+'TE BF'!$AA$32+'TE CVA'!$AA$32)*(1-CUSTOS!$M$38)</f>
        <v>199.18265392296476</v>
      </c>
      <c r="AB743" s="6">
        <f t="shared" si="36"/>
        <v>0</v>
      </c>
      <c r="AC743" s="6">
        <f>(L743-M743)*(W743+X743)+($W$613+$X$613-$W$743-$X$743)*(L743)</f>
        <v>5247.7958400000016</v>
      </c>
      <c r="AD743" s="6">
        <f t="shared" si="37"/>
        <v>0</v>
      </c>
      <c r="AE743" s="6">
        <f ca="1">(L743-M743)*(Z743+AA743)+($Z$613+$AA$613-$Z$743-$AA$743)*(L743)</f>
        <v>3911.3849324908338</v>
      </c>
      <c r="AF743" s="4" t="s">
        <v>1151</v>
      </c>
    </row>
    <row r="744" spans="1:32" ht="11.25" customHeight="1" x14ac:dyDescent="0.25">
      <c r="A744" s="4" t="s">
        <v>21</v>
      </c>
      <c r="B744" s="4" t="s">
        <v>46</v>
      </c>
      <c r="C744" s="4" t="s">
        <v>23</v>
      </c>
      <c r="D744" s="4" t="s">
        <v>47</v>
      </c>
      <c r="E744" s="4" t="s">
        <v>55</v>
      </c>
      <c r="F744" s="4" t="s">
        <v>56</v>
      </c>
      <c r="G744" s="4" t="s">
        <v>25</v>
      </c>
      <c r="H744" s="4" t="s">
        <v>25</v>
      </c>
      <c r="I744" s="5">
        <v>43800</v>
      </c>
      <c r="J744" s="6">
        <v>0</v>
      </c>
      <c r="K744" s="6">
        <v>0</v>
      </c>
      <c r="L744" s="6">
        <v>6.9649999999999999</v>
      </c>
      <c r="M744" s="6">
        <v>6.9649999999999999</v>
      </c>
      <c r="N744" s="6">
        <v>6.9649999999999999</v>
      </c>
      <c r="O744" s="6">
        <v>6.9649999999999999</v>
      </c>
      <c r="P744" s="6">
        <v>0</v>
      </c>
      <c r="Q744" s="4" t="s">
        <v>26</v>
      </c>
      <c r="R744" s="4">
        <v>0</v>
      </c>
      <c r="S744" s="4">
        <v>0</v>
      </c>
      <c r="T744" s="4">
        <v>58</v>
      </c>
      <c r="U744" s="4">
        <v>101</v>
      </c>
      <c r="V744" s="6">
        <f>IF(ISERROR(VLOOKUP($S$744,'TAR FIN'!$A$1:$O$120,15,0)),0,VLOOKUP($S$744,'TAR FIN'!$A$1:$O$120,15,0))</f>
        <v>0</v>
      </c>
      <c r="W744" s="6">
        <f>IF(ISERROR(VLOOKUP($T$744,'TAR FIN'!$A$1:$O$120,15,0)),0,VLOOKUP($T$744,'TAR FIN'!$A$1:$O$120,15,0))</f>
        <v>187.79</v>
      </c>
      <c r="X744" s="6">
        <f>IF(ISERROR(VLOOKUP($U$744,'TAR FIN'!$A$1:$O$120,15,0)),0,VLOOKUP($U$744,'TAR FIN'!$A$1:$O$120,15,0))</f>
        <v>205.9</v>
      </c>
      <c r="Y744" s="6"/>
      <c r="Z744" s="6">
        <f ca="1">('TUSD BE'!$AM$68+'TUSD BF'!$AM$68+'TUSD CVA'!$AM$68)*(1-CUSTOS!$M$38)</f>
        <v>222.93739154100084</v>
      </c>
      <c r="AA744" s="6">
        <f>('TE BE'!$AA$32+'TE BF'!$AA$32+'TE CVA'!$AA$32)*(1-CUSTOS!$M$38)</f>
        <v>199.18265392296476</v>
      </c>
      <c r="AB744" s="6">
        <f t="shared" si="36"/>
        <v>0</v>
      </c>
      <c r="AC744" s="6">
        <f>(L744-M744)*(W744+X744)+($W$613+$X$613-$W$744-$X$744)*(L744)</f>
        <v>865.88880000000017</v>
      </c>
      <c r="AD744" s="6">
        <f t="shared" si="37"/>
        <v>0</v>
      </c>
      <c r="AE744" s="6">
        <f ca="1">(L744-M744)*(Z744+AA744)+($Z$613+$AA$613-$Z$744-$AA$744)*(L744)</f>
        <v>645.38036707094329</v>
      </c>
      <c r="AF744" s="4" t="s">
        <v>1151</v>
      </c>
    </row>
    <row r="745" spans="1:32" ht="11.25" customHeight="1" x14ac:dyDescent="0.25">
      <c r="A745" s="4" t="s">
        <v>28</v>
      </c>
      <c r="B745" s="4" t="s">
        <v>46</v>
      </c>
      <c r="C745" s="4" t="s">
        <v>23</v>
      </c>
      <c r="D745" s="4" t="s">
        <v>47</v>
      </c>
      <c r="E745" s="4" t="s">
        <v>55</v>
      </c>
      <c r="F745" s="4" t="s">
        <v>56</v>
      </c>
      <c r="G745" s="4" t="s">
        <v>25</v>
      </c>
      <c r="H745" s="4" t="s">
        <v>25</v>
      </c>
      <c r="I745" s="5">
        <v>43800</v>
      </c>
      <c r="J745" s="6">
        <v>0</v>
      </c>
      <c r="K745" s="6">
        <v>0</v>
      </c>
      <c r="L745" s="6">
        <v>0.20799999999999999</v>
      </c>
      <c r="M745" s="6">
        <v>0.20799999999999999</v>
      </c>
      <c r="N745" s="6">
        <v>0.20799999999999999</v>
      </c>
      <c r="O745" s="6">
        <v>0.20799999999999999</v>
      </c>
      <c r="P745" s="6">
        <v>0</v>
      </c>
      <c r="Q745" s="4" t="s">
        <v>26</v>
      </c>
      <c r="R745" s="4">
        <v>0</v>
      </c>
      <c r="S745" s="4">
        <v>0</v>
      </c>
      <c r="T745" s="4">
        <v>58</v>
      </c>
      <c r="U745" s="4">
        <v>101</v>
      </c>
      <c r="V745" s="6">
        <f>IF(ISERROR(VLOOKUP($S$745,'TAR FIN'!$A$1:$O$120,15,0)),0,VLOOKUP($S$745,'TAR FIN'!$A$1:$O$120,15,0))</f>
        <v>0</v>
      </c>
      <c r="W745" s="6">
        <f>IF(ISERROR(VLOOKUP($T$745,'TAR FIN'!$A$1:$O$120,15,0)),0,VLOOKUP($T$745,'TAR FIN'!$A$1:$O$120,15,0))</f>
        <v>187.79</v>
      </c>
      <c r="X745" s="6">
        <f>IF(ISERROR(VLOOKUP($U$745,'TAR FIN'!$A$1:$O$120,15,0)),0,VLOOKUP($U$745,'TAR FIN'!$A$1:$O$120,15,0))</f>
        <v>205.9</v>
      </c>
      <c r="Y745" s="6"/>
      <c r="Z745" s="6">
        <f ca="1">('TUSD BE'!$AM$68+'TUSD BF'!$AM$68+'TUSD CVA'!$AM$68)*(1-CUSTOS!$M$38)</f>
        <v>222.93739154100084</v>
      </c>
      <c r="AA745" s="6">
        <f>('TE BE'!$AA$32+'TE BF'!$AA$32+'TE CVA'!$AA$32)*(1-CUSTOS!$M$38)</f>
        <v>199.18265392296476</v>
      </c>
      <c r="AB745" s="6">
        <f t="shared" si="36"/>
        <v>0</v>
      </c>
      <c r="AC745" s="6">
        <f>(L745-M745)*(W745+X745)+($W$613+$X$613-$W$745-$X$745)*(L745)</f>
        <v>25.858560000000004</v>
      </c>
      <c r="AD745" s="6">
        <f t="shared" si="37"/>
        <v>0</v>
      </c>
      <c r="AE745" s="6">
        <f ca="1">(L745-M745)*(Z745+AA745)+($Z$613+$AA$613-$Z$745-$AA$745)*(L745)</f>
        <v>19.273383539232764</v>
      </c>
      <c r="AF745" s="4" t="s">
        <v>1151</v>
      </c>
    </row>
    <row r="746" spans="1:32" ht="11.25" customHeight="1" x14ac:dyDescent="0.25">
      <c r="A746" s="4" t="s">
        <v>21</v>
      </c>
      <c r="B746" s="4" t="s">
        <v>46</v>
      </c>
      <c r="C746" s="4" t="s">
        <v>23</v>
      </c>
      <c r="D746" s="4" t="s">
        <v>47</v>
      </c>
      <c r="E746" s="4" t="s">
        <v>55</v>
      </c>
      <c r="F746" s="4" t="s">
        <v>56</v>
      </c>
      <c r="G746" s="4" t="s">
        <v>25</v>
      </c>
      <c r="H746" s="4" t="s">
        <v>25</v>
      </c>
      <c r="I746" s="5">
        <v>43831</v>
      </c>
      <c r="J746" s="6">
        <v>0</v>
      </c>
      <c r="K746" s="6">
        <v>0</v>
      </c>
      <c r="L746" s="6">
        <v>11.85</v>
      </c>
      <c r="M746" s="6">
        <v>11.85</v>
      </c>
      <c r="N746" s="6">
        <v>11.85</v>
      </c>
      <c r="O746" s="6">
        <v>11.85</v>
      </c>
      <c r="P746" s="6">
        <v>0</v>
      </c>
      <c r="Q746" s="4" t="s">
        <v>26</v>
      </c>
      <c r="R746" s="4">
        <v>0</v>
      </c>
      <c r="S746" s="4">
        <v>0</v>
      </c>
      <c r="T746" s="4">
        <v>58</v>
      </c>
      <c r="U746" s="4">
        <v>101</v>
      </c>
      <c r="V746" s="6">
        <f>IF(ISERROR(VLOOKUP($S$746,'TAR FIN'!$A$1:$O$120,15,0)),0,VLOOKUP($S$746,'TAR FIN'!$A$1:$O$120,15,0))</f>
        <v>0</v>
      </c>
      <c r="W746" s="6">
        <f>IF(ISERROR(VLOOKUP($T$746,'TAR FIN'!$A$1:$O$120,15,0)),0,VLOOKUP($T$746,'TAR FIN'!$A$1:$O$120,15,0))</f>
        <v>187.79</v>
      </c>
      <c r="X746" s="6">
        <f>IF(ISERROR(VLOOKUP($U$746,'TAR FIN'!$A$1:$O$120,15,0)),0,VLOOKUP($U$746,'TAR FIN'!$A$1:$O$120,15,0))</f>
        <v>205.9</v>
      </c>
      <c r="Y746" s="6"/>
      <c r="Z746" s="6">
        <f ca="1">('TUSD BE'!$AM$68+'TUSD BF'!$AM$68+'TUSD CVA'!$AM$68)*(1-CUSTOS!$M$38)</f>
        <v>222.93739154100084</v>
      </c>
      <c r="AA746" s="6">
        <f>('TE BE'!$AA$32+'TE BF'!$AA$32+'TE CVA'!$AA$32)*(1-CUSTOS!$M$38)</f>
        <v>199.18265392296476</v>
      </c>
      <c r="AB746" s="6">
        <f t="shared" si="36"/>
        <v>0</v>
      </c>
      <c r="AC746" s="6">
        <f>(L746-M746)*(W746+X746)+($W$613+$X$613-$W$746-$X$746)*(L746)</f>
        <v>1473.1920000000002</v>
      </c>
      <c r="AD746" s="6">
        <f t="shared" si="37"/>
        <v>0</v>
      </c>
      <c r="AE746" s="6">
        <f ca="1">(L746-M746)*(Z746+AA746)+($Z$613+$AA$613-$Z$746-$AA$746)*(L746)</f>
        <v>1098.0268987495588</v>
      </c>
      <c r="AF746" s="4" t="s">
        <v>1151</v>
      </c>
    </row>
    <row r="747" spans="1:32" ht="11.25" customHeight="1" x14ac:dyDescent="0.25">
      <c r="A747" s="4" t="s">
        <v>28</v>
      </c>
      <c r="B747" s="4" t="s">
        <v>46</v>
      </c>
      <c r="C747" s="4" t="s">
        <v>23</v>
      </c>
      <c r="D747" s="4" t="s">
        <v>47</v>
      </c>
      <c r="E747" s="4" t="s">
        <v>55</v>
      </c>
      <c r="F747" s="4" t="s">
        <v>56</v>
      </c>
      <c r="G747" s="4" t="s">
        <v>25</v>
      </c>
      <c r="H747" s="4" t="s">
        <v>25</v>
      </c>
      <c r="I747" s="5">
        <v>43831</v>
      </c>
      <c r="J747" s="6">
        <v>0</v>
      </c>
      <c r="K747" s="6">
        <v>0</v>
      </c>
      <c r="L747" s="6">
        <v>0.1</v>
      </c>
      <c r="M747" s="6">
        <v>0.1</v>
      </c>
      <c r="N747" s="6">
        <v>0.1</v>
      </c>
      <c r="O747" s="6">
        <v>0.1</v>
      </c>
      <c r="P747" s="6">
        <v>0</v>
      </c>
      <c r="Q747" s="4" t="s">
        <v>26</v>
      </c>
      <c r="R747" s="4">
        <v>0</v>
      </c>
      <c r="S747" s="4">
        <v>0</v>
      </c>
      <c r="T747" s="4">
        <v>58</v>
      </c>
      <c r="U747" s="4">
        <v>101</v>
      </c>
      <c r="V747" s="6">
        <f>IF(ISERROR(VLOOKUP($S$747,'TAR FIN'!$A$1:$O$120,15,0)),0,VLOOKUP($S$747,'TAR FIN'!$A$1:$O$120,15,0))</f>
        <v>0</v>
      </c>
      <c r="W747" s="6">
        <f>IF(ISERROR(VLOOKUP($T$747,'TAR FIN'!$A$1:$O$120,15,0)),0,VLOOKUP($T$747,'TAR FIN'!$A$1:$O$120,15,0))</f>
        <v>187.79</v>
      </c>
      <c r="X747" s="6">
        <f>IF(ISERROR(VLOOKUP($U$747,'TAR FIN'!$A$1:$O$120,15,0)),0,VLOOKUP($U$747,'TAR FIN'!$A$1:$O$120,15,0))</f>
        <v>205.9</v>
      </c>
      <c r="Y747" s="6"/>
      <c r="Z747" s="6">
        <f ca="1">('TUSD BE'!$AM$68+'TUSD BF'!$AM$68+'TUSD CVA'!$AM$68)*(1-CUSTOS!$M$38)</f>
        <v>222.93739154100084</v>
      </c>
      <c r="AA747" s="6">
        <f>('TE BE'!$AA$32+'TE BF'!$AA$32+'TE CVA'!$AA$32)*(1-CUSTOS!$M$38)</f>
        <v>199.18265392296476</v>
      </c>
      <c r="AB747" s="6">
        <f t="shared" si="36"/>
        <v>0</v>
      </c>
      <c r="AC747" s="6">
        <f>(L747-M747)*(W747+X747)+($W$613+$X$613-$W$747-$X$747)*(L747)</f>
        <v>12.432000000000002</v>
      </c>
      <c r="AD747" s="6">
        <f t="shared" si="37"/>
        <v>0</v>
      </c>
      <c r="AE747" s="6">
        <f ca="1">(L747-M747)*(Z747+AA747)+($Z$613+$AA$613-$Z$747-$AA$747)*(L747)</f>
        <v>9.2660497784772904</v>
      </c>
      <c r="AF747" s="4" t="s">
        <v>1151</v>
      </c>
    </row>
    <row r="748" spans="1:32" ht="11.25" customHeight="1" x14ac:dyDescent="0.25">
      <c r="A748" s="4" t="s">
        <v>21</v>
      </c>
      <c r="B748" s="4" t="s">
        <v>46</v>
      </c>
      <c r="C748" s="4" t="s">
        <v>23</v>
      </c>
      <c r="D748" s="4" t="s">
        <v>47</v>
      </c>
      <c r="E748" s="4" t="s">
        <v>55</v>
      </c>
      <c r="F748" s="4" t="s">
        <v>56</v>
      </c>
      <c r="G748" s="4" t="s">
        <v>25</v>
      </c>
      <c r="H748" s="4" t="s">
        <v>25</v>
      </c>
      <c r="I748" s="5">
        <v>43862</v>
      </c>
      <c r="J748" s="6">
        <v>0</v>
      </c>
      <c r="K748" s="6">
        <v>0</v>
      </c>
      <c r="L748" s="6">
        <v>6.2640000000000002</v>
      </c>
      <c r="M748" s="6">
        <v>6.2640000000000002</v>
      </c>
      <c r="N748" s="6">
        <v>6.2640000000000002</v>
      </c>
      <c r="O748" s="6">
        <v>6.2640000000000002</v>
      </c>
      <c r="P748" s="6">
        <v>0</v>
      </c>
      <c r="Q748" s="4" t="s">
        <v>26</v>
      </c>
      <c r="R748" s="4">
        <v>0</v>
      </c>
      <c r="S748" s="4">
        <v>0</v>
      </c>
      <c r="T748" s="4">
        <v>58</v>
      </c>
      <c r="U748" s="4">
        <v>101</v>
      </c>
      <c r="V748" s="6">
        <f>IF(ISERROR(VLOOKUP($S$748,'TAR FIN'!$A$1:$O$120,15,0)),0,VLOOKUP($S$748,'TAR FIN'!$A$1:$O$120,15,0))</f>
        <v>0</v>
      </c>
      <c r="W748" s="6">
        <f>IF(ISERROR(VLOOKUP($T$748,'TAR FIN'!$A$1:$O$120,15,0)),0,VLOOKUP($T$748,'TAR FIN'!$A$1:$O$120,15,0))</f>
        <v>187.79</v>
      </c>
      <c r="X748" s="6">
        <f>IF(ISERROR(VLOOKUP($U$748,'TAR FIN'!$A$1:$O$120,15,0)),0,VLOOKUP($U$748,'TAR FIN'!$A$1:$O$120,15,0))</f>
        <v>205.9</v>
      </c>
      <c r="Y748" s="6"/>
      <c r="Z748" s="6">
        <f ca="1">('TUSD BE'!$AM$68+'TUSD BF'!$AM$68+'TUSD CVA'!$AM$68)*(1-CUSTOS!$M$38)</f>
        <v>222.93739154100084</v>
      </c>
      <c r="AA748" s="6">
        <f>('TE BE'!$AA$32+'TE BF'!$AA$32+'TE CVA'!$AA$32)*(1-CUSTOS!$M$38)</f>
        <v>199.18265392296476</v>
      </c>
      <c r="AB748" s="6">
        <f t="shared" si="36"/>
        <v>0</v>
      </c>
      <c r="AC748" s="6">
        <f>(L748-M748)*(W748+X748)+($W$613+$X$613-$W$748-$X$748)*(L748)</f>
        <v>778.74048000000016</v>
      </c>
      <c r="AD748" s="6">
        <f t="shared" si="37"/>
        <v>0</v>
      </c>
      <c r="AE748" s="6">
        <f ca="1">(L748-M748)*(Z748+AA748)+($Z$613+$AA$613-$Z$748-$AA$748)*(L748)</f>
        <v>580.42535812381743</v>
      </c>
      <c r="AF748" s="4" t="s">
        <v>1151</v>
      </c>
    </row>
    <row r="749" spans="1:32" ht="11.25" customHeight="1" x14ac:dyDescent="0.25">
      <c r="A749" s="4" t="s">
        <v>28</v>
      </c>
      <c r="B749" s="4" t="s">
        <v>46</v>
      </c>
      <c r="C749" s="4" t="s">
        <v>23</v>
      </c>
      <c r="D749" s="4" t="s">
        <v>47</v>
      </c>
      <c r="E749" s="4" t="s">
        <v>55</v>
      </c>
      <c r="F749" s="4" t="s">
        <v>56</v>
      </c>
      <c r="G749" s="4" t="s">
        <v>25</v>
      </c>
      <c r="H749" s="4" t="s">
        <v>25</v>
      </c>
      <c r="I749" s="5">
        <v>43862</v>
      </c>
      <c r="J749" s="6">
        <v>0</v>
      </c>
      <c r="K749" s="6">
        <v>0</v>
      </c>
      <c r="L749" s="6">
        <v>0.1</v>
      </c>
      <c r="M749" s="6">
        <v>0.1</v>
      </c>
      <c r="N749" s="6">
        <v>0.1</v>
      </c>
      <c r="O749" s="6">
        <v>0.1</v>
      </c>
      <c r="P749" s="6">
        <v>0</v>
      </c>
      <c r="Q749" s="4" t="s">
        <v>26</v>
      </c>
      <c r="R749" s="4">
        <v>0</v>
      </c>
      <c r="S749" s="4">
        <v>0</v>
      </c>
      <c r="T749" s="4">
        <v>58</v>
      </c>
      <c r="U749" s="4">
        <v>101</v>
      </c>
      <c r="V749" s="6">
        <f>IF(ISERROR(VLOOKUP($S$749,'TAR FIN'!$A$1:$O$120,15,0)),0,VLOOKUP($S$749,'TAR FIN'!$A$1:$O$120,15,0))</f>
        <v>0</v>
      </c>
      <c r="W749" s="6">
        <f>IF(ISERROR(VLOOKUP($T$749,'TAR FIN'!$A$1:$O$120,15,0)),0,VLOOKUP($T$749,'TAR FIN'!$A$1:$O$120,15,0))</f>
        <v>187.79</v>
      </c>
      <c r="X749" s="6">
        <f>IF(ISERROR(VLOOKUP($U$749,'TAR FIN'!$A$1:$O$120,15,0)),0,VLOOKUP($U$749,'TAR FIN'!$A$1:$O$120,15,0))</f>
        <v>205.9</v>
      </c>
      <c r="Y749" s="6"/>
      <c r="Z749" s="6">
        <f ca="1">('TUSD BE'!$AM$68+'TUSD BF'!$AM$68+'TUSD CVA'!$AM$68)*(1-CUSTOS!$M$38)</f>
        <v>222.93739154100084</v>
      </c>
      <c r="AA749" s="6">
        <f>('TE BE'!$AA$32+'TE BF'!$AA$32+'TE CVA'!$AA$32)*(1-CUSTOS!$M$38)</f>
        <v>199.18265392296476</v>
      </c>
      <c r="AB749" s="6">
        <f t="shared" si="36"/>
        <v>0</v>
      </c>
      <c r="AC749" s="6">
        <f>(L749-M749)*(W749+X749)+($W$613+$X$613-$W$749-$X$749)*(L749)</f>
        <v>12.432000000000002</v>
      </c>
      <c r="AD749" s="6">
        <f t="shared" si="37"/>
        <v>0</v>
      </c>
      <c r="AE749" s="6">
        <f ca="1">(L749-M749)*(Z749+AA749)+($Z$613+$AA$613-$Z$749-$AA$749)*(L749)</f>
        <v>9.2660497784772904</v>
      </c>
      <c r="AF749" s="4" t="s">
        <v>1151</v>
      </c>
    </row>
    <row r="750" spans="1:32" ht="11.25" customHeight="1" x14ac:dyDescent="0.25">
      <c r="A750" s="4" t="s">
        <v>21</v>
      </c>
      <c r="B750" s="4" t="s">
        <v>46</v>
      </c>
      <c r="C750" s="4" t="s">
        <v>23</v>
      </c>
      <c r="D750" s="4" t="s">
        <v>47</v>
      </c>
      <c r="E750" s="4" t="s">
        <v>55</v>
      </c>
      <c r="F750" s="4" t="s">
        <v>56</v>
      </c>
      <c r="G750" s="4" t="s">
        <v>25</v>
      </c>
      <c r="H750" s="4" t="s">
        <v>25</v>
      </c>
      <c r="I750" s="5">
        <v>43891</v>
      </c>
      <c r="J750" s="6">
        <v>0</v>
      </c>
      <c r="K750" s="6">
        <v>0</v>
      </c>
      <c r="L750" s="6">
        <v>5.016</v>
      </c>
      <c r="M750" s="6">
        <v>5.016</v>
      </c>
      <c r="N750" s="6">
        <v>5.016</v>
      </c>
      <c r="O750" s="6">
        <v>5.016</v>
      </c>
      <c r="P750" s="6">
        <v>0</v>
      </c>
      <c r="Q750" s="4" t="s">
        <v>26</v>
      </c>
      <c r="R750" s="4">
        <v>0</v>
      </c>
      <c r="S750" s="4">
        <v>0</v>
      </c>
      <c r="T750" s="4">
        <v>58</v>
      </c>
      <c r="U750" s="4">
        <v>101</v>
      </c>
      <c r="V750" s="6">
        <f>IF(ISERROR(VLOOKUP($S$750,'TAR FIN'!$A$1:$O$120,15,0)),0,VLOOKUP($S$750,'TAR FIN'!$A$1:$O$120,15,0))</f>
        <v>0</v>
      </c>
      <c r="W750" s="6">
        <f>IF(ISERROR(VLOOKUP($T$750,'TAR FIN'!$A$1:$O$120,15,0)),0,VLOOKUP($T$750,'TAR FIN'!$A$1:$O$120,15,0))</f>
        <v>187.79</v>
      </c>
      <c r="X750" s="6">
        <f>IF(ISERROR(VLOOKUP($U$750,'TAR FIN'!$A$1:$O$120,15,0)),0,VLOOKUP($U$750,'TAR FIN'!$A$1:$O$120,15,0))</f>
        <v>205.9</v>
      </c>
      <c r="Y750" s="6"/>
      <c r="Z750" s="6">
        <f ca="1">('TUSD BE'!$AM$68+'TUSD BF'!$AM$68+'TUSD CVA'!$AM$68)*(1-CUSTOS!$M$38)</f>
        <v>222.93739154100084</v>
      </c>
      <c r="AA750" s="6">
        <f>('TE BE'!$AA$32+'TE BF'!$AA$32+'TE CVA'!$AA$32)*(1-CUSTOS!$M$38)</f>
        <v>199.18265392296476</v>
      </c>
      <c r="AB750" s="6">
        <f t="shared" si="36"/>
        <v>0</v>
      </c>
      <c r="AC750" s="6">
        <f>(L750-M750)*(W750+X750)+($W$613+$X$613-$W$750-$X$750)*(L750)</f>
        <v>623.58912000000009</v>
      </c>
      <c r="AD750" s="6">
        <f t="shared" si="37"/>
        <v>0</v>
      </c>
      <c r="AE750" s="6">
        <f ca="1">(L750-M750)*(Z750+AA750)+($Z$613+$AA$613-$Z$750-$AA$750)*(L750)</f>
        <v>464.78505688842085</v>
      </c>
      <c r="AF750" s="4" t="s">
        <v>1151</v>
      </c>
    </row>
    <row r="751" spans="1:32" ht="11.25" customHeight="1" x14ac:dyDescent="0.25">
      <c r="A751" s="4" t="s">
        <v>28</v>
      </c>
      <c r="B751" s="4" t="s">
        <v>46</v>
      </c>
      <c r="C751" s="4" t="s">
        <v>23</v>
      </c>
      <c r="D751" s="4" t="s">
        <v>47</v>
      </c>
      <c r="E751" s="4" t="s">
        <v>55</v>
      </c>
      <c r="F751" s="4" t="s">
        <v>56</v>
      </c>
      <c r="G751" s="4" t="s">
        <v>25</v>
      </c>
      <c r="H751" s="4" t="s">
        <v>25</v>
      </c>
      <c r="I751" s="5">
        <v>43891</v>
      </c>
      <c r="J751" s="6">
        <v>0</v>
      </c>
      <c r="K751" s="6">
        <v>0</v>
      </c>
      <c r="L751" s="6">
        <v>0.1</v>
      </c>
      <c r="M751" s="6">
        <v>0.1</v>
      </c>
      <c r="N751" s="6">
        <v>0.1</v>
      </c>
      <c r="O751" s="6">
        <v>0.1</v>
      </c>
      <c r="P751" s="6">
        <v>0</v>
      </c>
      <c r="Q751" s="4" t="s">
        <v>26</v>
      </c>
      <c r="R751" s="4">
        <v>0</v>
      </c>
      <c r="S751" s="4">
        <v>0</v>
      </c>
      <c r="T751" s="4">
        <v>58</v>
      </c>
      <c r="U751" s="4">
        <v>101</v>
      </c>
      <c r="V751" s="6">
        <f>IF(ISERROR(VLOOKUP($S$751,'TAR FIN'!$A$1:$O$120,15,0)),0,VLOOKUP($S$751,'TAR FIN'!$A$1:$O$120,15,0))</f>
        <v>0</v>
      </c>
      <c r="W751" s="6">
        <f>IF(ISERROR(VLOOKUP($T$751,'TAR FIN'!$A$1:$O$120,15,0)),0,VLOOKUP($T$751,'TAR FIN'!$A$1:$O$120,15,0))</f>
        <v>187.79</v>
      </c>
      <c r="X751" s="6">
        <f>IF(ISERROR(VLOOKUP($U$751,'TAR FIN'!$A$1:$O$120,15,0)),0,VLOOKUP($U$751,'TAR FIN'!$A$1:$O$120,15,0))</f>
        <v>205.9</v>
      </c>
      <c r="Y751" s="6"/>
      <c r="Z751" s="6">
        <f ca="1">('TUSD BE'!$AM$68+'TUSD BF'!$AM$68+'TUSD CVA'!$AM$68)*(1-CUSTOS!$M$38)</f>
        <v>222.93739154100084</v>
      </c>
      <c r="AA751" s="6">
        <f>('TE BE'!$AA$32+'TE BF'!$AA$32+'TE CVA'!$AA$32)*(1-CUSTOS!$M$38)</f>
        <v>199.18265392296476</v>
      </c>
      <c r="AB751" s="6">
        <f t="shared" si="36"/>
        <v>0</v>
      </c>
      <c r="AC751" s="6">
        <f>(L751-M751)*(W751+X751)+($W$613+$X$613-$W$751-$X$751)*(L751)</f>
        <v>12.432000000000002</v>
      </c>
      <c r="AD751" s="6">
        <f t="shared" si="37"/>
        <v>0</v>
      </c>
      <c r="AE751" s="6">
        <f ca="1">(L751-M751)*(Z751+AA751)+($Z$613+$AA$613-$Z$751-$AA$751)*(L751)</f>
        <v>9.2660497784772904</v>
      </c>
      <c r="AF751" s="4" t="s">
        <v>1151</v>
      </c>
    </row>
    <row r="752" spans="1:32" ht="11.25" customHeight="1" x14ac:dyDescent="0.25">
      <c r="A752" s="4" t="s">
        <v>21</v>
      </c>
      <c r="B752" s="4" t="s">
        <v>46</v>
      </c>
      <c r="C752" s="4" t="s">
        <v>23</v>
      </c>
      <c r="D752" s="4" t="s">
        <v>47</v>
      </c>
      <c r="E752" s="4" t="s">
        <v>55</v>
      </c>
      <c r="F752" s="4" t="s">
        <v>56</v>
      </c>
      <c r="G752" s="4" t="s">
        <v>25</v>
      </c>
      <c r="H752" s="4" t="s">
        <v>25</v>
      </c>
      <c r="I752" s="5">
        <v>43922</v>
      </c>
      <c r="J752" s="6">
        <v>0</v>
      </c>
      <c r="K752" s="6">
        <v>0</v>
      </c>
      <c r="L752" s="6">
        <v>5.5380000000000003</v>
      </c>
      <c r="M752" s="6">
        <v>5.5380000000000003</v>
      </c>
      <c r="N752" s="6">
        <v>5.5380000000000003</v>
      </c>
      <c r="O752" s="6">
        <v>5.5380000000000003</v>
      </c>
      <c r="P752" s="6">
        <v>0</v>
      </c>
      <c r="Q752" s="4" t="s">
        <v>26</v>
      </c>
      <c r="R752" s="4">
        <v>0</v>
      </c>
      <c r="S752" s="4">
        <v>0</v>
      </c>
      <c r="T752" s="4">
        <v>58</v>
      </c>
      <c r="U752" s="4">
        <v>101</v>
      </c>
      <c r="V752" s="6">
        <f>IF(ISERROR(VLOOKUP($S$752,'TAR FIN'!$A$1:$O$120,15,0)),0,VLOOKUP($S$752,'TAR FIN'!$A$1:$O$120,15,0))</f>
        <v>0</v>
      </c>
      <c r="W752" s="6">
        <f>IF(ISERROR(VLOOKUP($T$752,'TAR FIN'!$A$1:$O$120,15,0)),0,VLOOKUP($T$752,'TAR FIN'!$A$1:$O$120,15,0))</f>
        <v>187.79</v>
      </c>
      <c r="X752" s="6">
        <f>IF(ISERROR(VLOOKUP($U$752,'TAR FIN'!$A$1:$O$120,15,0)),0,VLOOKUP($U$752,'TAR FIN'!$A$1:$O$120,15,0))</f>
        <v>205.9</v>
      </c>
      <c r="Y752" s="6"/>
      <c r="Z752" s="6">
        <f ca="1">('TUSD BE'!$AM$68+'TUSD BF'!$AM$68+'TUSD CVA'!$AM$68)*(1-CUSTOS!$M$38)</f>
        <v>222.93739154100084</v>
      </c>
      <c r="AA752" s="6">
        <f>('TE BE'!$AA$32+'TE BF'!$AA$32+'TE CVA'!$AA$32)*(1-CUSTOS!$M$38)</f>
        <v>199.18265392296476</v>
      </c>
      <c r="AB752" s="6">
        <f t="shared" si="36"/>
        <v>0</v>
      </c>
      <c r="AC752" s="6">
        <f>(L752-M752)*(W752+X752)+($W$613+$X$613-$W$752-$X$752)*(L752)</f>
        <v>688.4841600000002</v>
      </c>
      <c r="AD752" s="6">
        <f t="shared" si="37"/>
        <v>0</v>
      </c>
      <c r="AE752" s="6">
        <f ca="1">(L752-M752)*(Z752+AA752)+($Z$613+$AA$613-$Z$752-$AA$752)*(L752)</f>
        <v>513.15383673207236</v>
      </c>
      <c r="AF752" s="4" t="s">
        <v>1151</v>
      </c>
    </row>
    <row r="753" spans="1:32" ht="11.25" customHeight="1" x14ac:dyDescent="0.25">
      <c r="A753" s="4" t="s">
        <v>28</v>
      </c>
      <c r="B753" s="4" t="s">
        <v>46</v>
      </c>
      <c r="C753" s="4" t="s">
        <v>23</v>
      </c>
      <c r="D753" s="4" t="s">
        <v>47</v>
      </c>
      <c r="E753" s="4" t="s">
        <v>55</v>
      </c>
      <c r="F753" s="4" t="s">
        <v>56</v>
      </c>
      <c r="G753" s="4" t="s">
        <v>25</v>
      </c>
      <c r="H753" s="4" t="s">
        <v>25</v>
      </c>
      <c r="I753" s="5">
        <v>43922</v>
      </c>
      <c r="J753" s="6">
        <v>0</v>
      </c>
      <c r="K753" s="6">
        <v>0</v>
      </c>
      <c r="L753" s="6">
        <v>0.1</v>
      </c>
      <c r="M753" s="6">
        <v>0.1</v>
      </c>
      <c r="N753" s="6">
        <v>0.1</v>
      </c>
      <c r="O753" s="6">
        <v>0.1</v>
      </c>
      <c r="P753" s="6">
        <v>0</v>
      </c>
      <c r="Q753" s="4" t="s">
        <v>26</v>
      </c>
      <c r="R753" s="4">
        <v>0</v>
      </c>
      <c r="S753" s="4">
        <v>0</v>
      </c>
      <c r="T753" s="4">
        <v>58</v>
      </c>
      <c r="U753" s="4">
        <v>101</v>
      </c>
      <c r="V753" s="6">
        <f>IF(ISERROR(VLOOKUP($S$753,'TAR FIN'!$A$1:$O$120,15,0)),0,VLOOKUP($S$753,'TAR FIN'!$A$1:$O$120,15,0))</f>
        <v>0</v>
      </c>
      <c r="W753" s="6">
        <f>IF(ISERROR(VLOOKUP($T$753,'TAR FIN'!$A$1:$O$120,15,0)),0,VLOOKUP($T$753,'TAR FIN'!$A$1:$O$120,15,0))</f>
        <v>187.79</v>
      </c>
      <c r="X753" s="6">
        <f>IF(ISERROR(VLOOKUP($U$753,'TAR FIN'!$A$1:$O$120,15,0)),0,VLOOKUP($U$753,'TAR FIN'!$A$1:$O$120,15,0))</f>
        <v>205.9</v>
      </c>
      <c r="Y753" s="6"/>
      <c r="Z753" s="6">
        <f ca="1">('TUSD BE'!$AM$68+'TUSD BF'!$AM$68+'TUSD CVA'!$AM$68)*(1-CUSTOS!$M$38)</f>
        <v>222.93739154100084</v>
      </c>
      <c r="AA753" s="6">
        <f>('TE BE'!$AA$32+'TE BF'!$AA$32+'TE CVA'!$AA$32)*(1-CUSTOS!$M$38)</f>
        <v>199.18265392296476</v>
      </c>
      <c r="AB753" s="6">
        <f t="shared" si="36"/>
        <v>0</v>
      </c>
      <c r="AC753" s="6">
        <f>(L753-M753)*(W753+X753)+($W$613+$X$613-$W$753-$X$753)*(L753)</f>
        <v>12.432000000000002</v>
      </c>
      <c r="AD753" s="6">
        <f t="shared" si="37"/>
        <v>0</v>
      </c>
      <c r="AE753" s="6">
        <f ca="1">(L753-M753)*(Z753+AA753)+($Z$613+$AA$613-$Z$753-$AA$753)*(L753)</f>
        <v>9.2660497784772904</v>
      </c>
      <c r="AF753" s="4" t="s">
        <v>1151</v>
      </c>
    </row>
    <row r="754" spans="1:32" ht="11.25" customHeight="1" x14ac:dyDescent="0.25">
      <c r="A754" s="4" t="s">
        <v>21</v>
      </c>
      <c r="B754" s="4" t="s">
        <v>46</v>
      </c>
      <c r="C754" s="4" t="s">
        <v>23</v>
      </c>
      <c r="D754" s="4" t="s">
        <v>47</v>
      </c>
      <c r="E754" s="4" t="s">
        <v>55</v>
      </c>
      <c r="F754" s="4" t="s">
        <v>56</v>
      </c>
      <c r="G754" s="4" t="s">
        <v>25</v>
      </c>
      <c r="H754" s="4" t="s">
        <v>25</v>
      </c>
      <c r="I754" s="5">
        <v>43952</v>
      </c>
      <c r="J754" s="6">
        <v>0</v>
      </c>
      <c r="K754" s="6">
        <v>0</v>
      </c>
      <c r="L754" s="6">
        <v>6.0789999999999997</v>
      </c>
      <c r="M754" s="6">
        <v>6.0789999999999997</v>
      </c>
      <c r="N754" s="6">
        <v>6.0789999999999997</v>
      </c>
      <c r="O754" s="6">
        <v>6.0789999999999997</v>
      </c>
      <c r="P754" s="6">
        <v>0</v>
      </c>
      <c r="Q754" s="4" t="s">
        <v>26</v>
      </c>
      <c r="R754" s="4">
        <v>0</v>
      </c>
      <c r="S754" s="4">
        <v>0</v>
      </c>
      <c r="T754" s="4">
        <v>58</v>
      </c>
      <c r="U754" s="4">
        <v>101</v>
      </c>
      <c r="V754" s="6">
        <f>IF(ISERROR(VLOOKUP($S$754,'TAR FIN'!$A$1:$O$120,15,0)),0,VLOOKUP($S$754,'TAR FIN'!$A$1:$O$120,15,0))</f>
        <v>0</v>
      </c>
      <c r="W754" s="6">
        <f>IF(ISERROR(VLOOKUP($T$754,'TAR FIN'!$A$1:$O$120,15,0)),0,VLOOKUP($T$754,'TAR FIN'!$A$1:$O$120,15,0))</f>
        <v>187.79</v>
      </c>
      <c r="X754" s="6">
        <f>IF(ISERROR(VLOOKUP($U$754,'TAR FIN'!$A$1:$O$120,15,0)),0,VLOOKUP($U$754,'TAR FIN'!$A$1:$O$120,15,0))</f>
        <v>205.9</v>
      </c>
      <c r="Y754" s="6"/>
      <c r="Z754" s="6">
        <f ca="1">('TUSD BE'!$AM$68+'TUSD BF'!$AM$68+'TUSD CVA'!$AM$68)*(1-CUSTOS!$M$38)</f>
        <v>222.93739154100084</v>
      </c>
      <c r="AA754" s="6">
        <f>('TE BE'!$AA$32+'TE BF'!$AA$32+'TE CVA'!$AA$32)*(1-CUSTOS!$M$38)</f>
        <v>199.18265392296476</v>
      </c>
      <c r="AB754" s="6">
        <f t="shared" si="36"/>
        <v>0</v>
      </c>
      <c r="AC754" s="6">
        <f>(L754-M754)*(W754+X754)+($W$613+$X$613-$W$754-$X$754)*(L754)</f>
        <v>755.74128000000007</v>
      </c>
      <c r="AD754" s="6">
        <f t="shared" si="37"/>
        <v>0</v>
      </c>
      <c r="AE754" s="6">
        <f ca="1">(L754-M754)*(Z754+AA754)+($Z$613+$AA$613-$Z$754-$AA$754)*(L754)</f>
        <v>563.28316603363442</v>
      </c>
      <c r="AF754" s="4" t="s">
        <v>1151</v>
      </c>
    </row>
    <row r="755" spans="1:32" ht="11.25" customHeight="1" x14ac:dyDescent="0.25">
      <c r="A755" s="4" t="s">
        <v>28</v>
      </c>
      <c r="B755" s="4" t="s">
        <v>46</v>
      </c>
      <c r="C755" s="4" t="s">
        <v>23</v>
      </c>
      <c r="D755" s="4" t="s">
        <v>47</v>
      </c>
      <c r="E755" s="4" t="s">
        <v>55</v>
      </c>
      <c r="F755" s="4" t="s">
        <v>56</v>
      </c>
      <c r="G755" s="4" t="s">
        <v>25</v>
      </c>
      <c r="H755" s="4" t="s">
        <v>25</v>
      </c>
      <c r="I755" s="5">
        <v>43952</v>
      </c>
      <c r="J755" s="6">
        <v>0</v>
      </c>
      <c r="K755" s="6">
        <v>0</v>
      </c>
      <c r="L755" s="6">
        <v>0.1</v>
      </c>
      <c r="M755" s="6">
        <v>0.1</v>
      </c>
      <c r="N755" s="6">
        <v>0.1</v>
      </c>
      <c r="O755" s="6">
        <v>0.1</v>
      </c>
      <c r="P755" s="6">
        <v>0</v>
      </c>
      <c r="Q755" s="4" t="s">
        <v>26</v>
      </c>
      <c r="R755" s="4">
        <v>0</v>
      </c>
      <c r="S755" s="4">
        <v>0</v>
      </c>
      <c r="T755" s="4">
        <v>58</v>
      </c>
      <c r="U755" s="4">
        <v>101</v>
      </c>
      <c r="V755" s="6">
        <f>IF(ISERROR(VLOOKUP($S$755,'TAR FIN'!$A$1:$O$120,15,0)),0,VLOOKUP($S$755,'TAR FIN'!$A$1:$O$120,15,0))</f>
        <v>0</v>
      </c>
      <c r="W755" s="6">
        <f>IF(ISERROR(VLOOKUP($T$755,'TAR FIN'!$A$1:$O$120,15,0)),0,VLOOKUP($T$755,'TAR FIN'!$A$1:$O$120,15,0))</f>
        <v>187.79</v>
      </c>
      <c r="X755" s="6">
        <f>IF(ISERROR(VLOOKUP($U$755,'TAR FIN'!$A$1:$O$120,15,0)),0,VLOOKUP($U$755,'TAR FIN'!$A$1:$O$120,15,0))</f>
        <v>205.9</v>
      </c>
      <c r="Y755" s="6"/>
      <c r="Z755" s="6">
        <f ca="1">('TUSD BE'!$AM$68+'TUSD BF'!$AM$68+'TUSD CVA'!$AM$68)*(1-CUSTOS!$M$38)</f>
        <v>222.93739154100084</v>
      </c>
      <c r="AA755" s="6">
        <f>('TE BE'!$AA$32+'TE BF'!$AA$32+'TE CVA'!$AA$32)*(1-CUSTOS!$M$38)</f>
        <v>199.18265392296476</v>
      </c>
      <c r="AB755" s="6">
        <f t="shared" si="36"/>
        <v>0</v>
      </c>
      <c r="AC755" s="6">
        <f>(L755-M755)*(W755+X755)+($W$613+$X$613-$W$755-$X$755)*(L755)</f>
        <v>12.432000000000002</v>
      </c>
      <c r="AD755" s="6">
        <f t="shared" si="37"/>
        <v>0</v>
      </c>
      <c r="AE755" s="6">
        <f ca="1">(L755-M755)*(Z755+AA755)+($Z$613+$AA$613-$Z$755-$AA$755)*(L755)</f>
        <v>9.2660497784772904</v>
      </c>
      <c r="AF755" s="4" t="s">
        <v>1151</v>
      </c>
    </row>
    <row r="756" spans="1:32" ht="11.25" customHeight="1" x14ac:dyDescent="0.25">
      <c r="A756" s="4" t="s">
        <v>21</v>
      </c>
      <c r="B756" s="4" t="s">
        <v>46</v>
      </c>
      <c r="C756" s="4" t="s">
        <v>23</v>
      </c>
      <c r="D756" s="4" t="s">
        <v>47</v>
      </c>
      <c r="E756" s="4" t="s">
        <v>55</v>
      </c>
      <c r="F756" s="4" t="s">
        <v>56</v>
      </c>
      <c r="G756" s="4" t="s">
        <v>25</v>
      </c>
      <c r="H756" s="4" t="s">
        <v>25</v>
      </c>
      <c r="I756" s="5">
        <v>43983</v>
      </c>
      <c r="J756" s="6">
        <v>0</v>
      </c>
      <c r="K756" s="6">
        <v>0</v>
      </c>
      <c r="L756" s="6">
        <v>9.0909999999999993</v>
      </c>
      <c r="M756" s="6">
        <v>9.0909999999999993</v>
      </c>
      <c r="N756" s="6">
        <v>9.0909999999999993</v>
      </c>
      <c r="O756" s="6">
        <v>9.0909999999999993</v>
      </c>
      <c r="P756" s="6">
        <v>0</v>
      </c>
      <c r="Q756" s="4" t="s">
        <v>26</v>
      </c>
      <c r="R756" s="4">
        <v>0</v>
      </c>
      <c r="S756" s="4">
        <v>0</v>
      </c>
      <c r="T756" s="4">
        <v>58</v>
      </c>
      <c r="U756" s="4">
        <v>101</v>
      </c>
      <c r="V756" s="6">
        <f>IF(ISERROR(VLOOKUP($S$756,'TAR FIN'!$A$1:$O$120,15,0)),0,VLOOKUP($S$756,'TAR FIN'!$A$1:$O$120,15,0))</f>
        <v>0</v>
      </c>
      <c r="W756" s="6">
        <f>IF(ISERROR(VLOOKUP($T$756,'TAR FIN'!$A$1:$O$120,15,0)),0,VLOOKUP($T$756,'TAR FIN'!$A$1:$O$120,15,0))</f>
        <v>187.79</v>
      </c>
      <c r="X756" s="6">
        <f>IF(ISERROR(VLOOKUP($U$756,'TAR FIN'!$A$1:$O$120,15,0)),0,VLOOKUP($U$756,'TAR FIN'!$A$1:$O$120,15,0))</f>
        <v>205.9</v>
      </c>
      <c r="Y756" s="6"/>
      <c r="Z756" s="6">
        <f ca="1">('TUSD BE'!$AM$68+'TUSD BF'!$AM$68+'TUSD CVA'!$AM$68)*(1-CUSTOS!$M$38)</f>
        <v>222.93739154100084</v>
      </c>
      <c r="AA756" s="6">
        <f>('TE BE'!$AA$32+'TE BF'!$AA$32+'TE CVA'!$AA$32)*(1-CUSTOS!$M$38)</f>
        <v>199.18265392296476</v>
      </c>
      <c r="AB756" s="6">
        <f t="shared" si="36"/>
        <v>0</v>
      </c>
      <c r="AC756" s="6">
        <f>(L756-M756)*(W756+X756)+($W$613+$X$613-$W$756-$X$756)*(L756)</f>
        <v>1130.1931200000001</v>
      </c>
      <c r="AD756" s="6">
        <f t="shared" si="37"/>
        <v>0</v>
      </c>
      <c r="AE756" s="6">
        <f ca="1">(L756-M756)*(Z756+AA756)+($Z$613+$AA$613-$Z$756-$AA$756)*(L756)</f>
        <v>842.37658536137042</v>
      </c>
      <c r="AF756" s="4" t="s">
        <v>1151</v>
      </c>
    </row>
    <row r="757" spans="1:32" ht="11.25" customHeight="1" x14ac:dyDescent="0.25">
      <c r="A757" s="4" t="s">
        <v>28</v>
      </c>
      <c r="B757" s="4" t="s">
        <v>46</v>
      </c>
      <c r="C757" s="4" t="s">
        <v>23</v>
      </c>
      <c r="D757" s="4" t="s">
        <v>47</v>
      </c>
      <c r="E757" s="4" t="s">
        <v>55</v>
      </c>
      <c r="F757" s="4" t="s">
        <v>56</v>
      </c>
      <c r="G757" s="4" t="s">
        <v>25</v>
      </c>
      <c r="H757" s="4" t="s">
        <v>25</v>
      </c>
      <c r="I757" s="5">
        <v>43983</v>
      </c>
      <c r="J757" s="6">
        <v>0</v>
      </c>
      <c r="K757" s="6">
        <v>0</v>
      </c>
      <c r="L757" s="6">
        <v>1.075</v>
      </c>
      <c r="M757" s="6">
        <v>1.075</v>
      </c>
      <c r="N757" s="6">
        <v>1.075</v>
      </c>
      <c r="O757" s="6">
        <v>1.075</v>
      </c>
      <c r="P757" s="6">
        <v>0</v>
      </c>
      <c r="Q757" s="4" t="s">
        <v>26</v>
      </c>
      <c r="R757" s="4">
        <v>0</v>
      </c>
      <c r="S757" s="4">
        <v>0</v>
      </c>
      <c r="T757" s="4">
        <v>58</v>
      </c>
      <c r="U757" s="4">
        <v>101</v>
      </c>
      <c r="V757" s="6">
        <f>IF(ISERROR(VLOOKUP($S$757,'TAR FIN'!$A$1:$O$120,15,0)),0,VLOOKUP($S$757,'TAR FIN'!$A$1:$O$120,15,0))</f>
        <v>0</v>
      </c>
      <c r="W757" s="6">
        <f>IF(ISERROR(VLOOKUP($T$757,'TAR FIN'!$A$1:$O$120,15,0)),0,VLOOKUP($T$757,'TAR FIN'!$A$1:$O$120,15,0))</f>
        <v>187.79</v>
      </c>
      <c r="X757" s="6">
        <f>IF(ISERROR(VLOOKUP($U$757,'TAR FIN'!$A$1:$O$120,15,0)),0,VLOOKUP($U$757,'TAR FIN'!$A$1:$O$120,15,0))</f>
        <v>205.9</v>
      </c>
      <c r="Y757" s="6"/>
      <c r="Z757" s="6">
        <f ca="1">('TUSD BE'!$AM$68+'TUSD BF'!$AM$68+'TUSD CVA'!$AM$68)*(1-CUSTOS!$M$38)</f>
        <v>222.93739154100084</v>
      </c>
      <c r="AA757" s="6">
        <f>('TE BE'!$AA$32+'TE BF'!$AA$32+'TE CVA'!$AA$32)*(1-CUSTOS!$M$38)</f>
        <v>199.18265392296476</v>
      </c>
      <c r="AB757" s="6">
        <f t="shared" si="36"/>
        <v>0</v>
      </c>
      <c r="AC757" s="6">
        <f>(L757-M757)*(W757+X757)+($W$613+$X$613-$W$757-$X$757)*(L757)</f>
        <v>133.64400000000001</v>
      </c>
      <c r="AD757" s="6">
        <f t="shared" si="37"/>
        <v>0</v>
      </c>
      <c r="AE757" s="6">
        <f ca="1">(L757-M757)*(Z757+AA757)+($Z$613+$AA$613-$Z$757-$AA$757)*(L757)</f>
        <v>99.610035118630861</v>
      </c>
      <c r="AF757" s="4" t="s">
        <v>1151</v>
      </c>
    </row>
    <row r="758" spans="1:32" ht="11.25" customHeight="1" x14ac:dyDescent="0.25">
      <c r="A758" s="4" t="s">
        <v>21</v>
      </c>
      <c r="B758" s="4" t="s">
        <v>46</v>
      </c>
      <c r="C758" s="4" t="s">
        <v>23</v>
      </c>
      <c r="D758" s="4" t="s">
        <v>47</v>
      </c>
      <c r="E758" s="4" t="s">
        <v>55</v>
      </c>
      <c r="F758" s="4" t="s">
        <v>56</v>
      </c>
      <c r="G758" s="4" t="s">
        <v>25</v>
      </c>
      <c r="H758" s="4" t="s">
        <v>25</v>
      </c>
      <c r="I758" s="5">
        <v>44013</v>
      </c>
      <c r="J758" s="6">
        <v>0</v>
      </c>
      <c r="K758" s="6">
        <v>0</v>
      </c>
      <c r="L758" s="6">
        <v>10.349</v>
      </c>
      <c r="M758" s="6">
        <v>10.349</v>
      </c>
      <c r="N758" s="6">
        <v>10.349</v>
      </c>
      <c r="O758" s="6">
        <v>10.349</v>
      </c>
      <c r="P758" s="6">
        <v>0</v>
      </c>
      <c r="Q758" s="4" t="s">
        <v>26</v>
      </c>
      <c r="R758" s="4">
        <v>0</v>
      </c>
      <c r="S758" s="4">
        <v>0</v>
      </c>
      <c r="T758" s="4">
        <v>58</v>
      </c>
      <c r="U758" s="4">
        <v>101</v>
      </c>
      <c r="V758" s="6">
        <f>IF(ISERROR(VLOOKUP($S$758,'TAR FIN'!$A$1:$O$120,15,0)),0,VLOOKUP($S$758,'TAR FIN'!$A$1:$O$120,15,0))</f>
        <v>0</v>
      </c>
      <c r="W758" s="6">
        <f>IF(ISERROR(VLOOKUP($T$758,'TAR FIN'!$A$1:$O$120,15,0)),0,VLOOKUP($T$758,'TAR FIN'!$A$1:$O$120,15,0))</f>
        <v>187.79</v>
      </c>
      <c r="X758" s="6">
        <f>IF(ISERROR(VLOOKUP($U$758,'TAR FIN'!$A$1:$O$120,15,0)),0,VLOOKUP($U$758,'TAR FIN'!$A$1:$O$120,15,0))</f>
        <v>205.9</v>
      </c>
      <c r="Y758" s="6"/>
      <c r="Z758" s="6">
        <f ca="1">('TUSD BE'!$AM$68+'TUSD BF'!$AM$68+'TUSD CVA'!$AM$68)*(1-CUSTOS!$M$38)</f>
        <v>222.93739154100084</v>
      </c>
      <c r="AA758" s="6">
        <f>('TE BE'!$AA$32+'TE BF'!$AA$32+'TE CVA'!$AA$32)*(1-CUSTOS!$M$38)</f>
        <v>199.18265392296476</v>
      </c>
      <c r="AB758" s="6">
        <f t="shared" si="36"/>
        <v>0</v>
      </c>
      <c r="AC758" s="6">
        <f>(L758-M758)*(W758+X758)+($W$613+$X$613-$W$758-$X$758)*(L758)</f>
        <v>1286.5876800000003</v>
      </c>
      <c r="AD758" s="6">
        <f t="shared" si="37"/>
        <v>0</v>
      </c>
      <c r="AE758" s="6">
        <f ca="1">(L758-M758)*(Z758+AA758)+($Z$613+$AA$613-$Z$758-$AA$758)*(L758)</f>
        <v>958.94349157461477</v>
      </c>
      <c r="AF758" s="4" t="s">
        <v>1151</v>
      </c>
    </row>
    <row r="759" spans="1:32" ht="11.25" customHeight="1" x14ac:dyDescent="0.25">
      <c r="A759" s="4" t="s">
        <v>28</v>
      </c>
      <c r="B759" s="4" t="s">
        <v>46</v>
      </c>
      <c r="C759" s="4" t="s">
        <v>23</v>
      </c>
      <c r="D759" s="4" t="s">
        <v>47</v>
      </c>
      <c r="E759" s="4" t="s">
        <v>55</v>
      </c>
      <c r="F759" s="4" t="s">
        <v>56</v>
      </c>
      <c r="G759" s="4" t="s">
        <v>25</v>
      </c>
      <c r="H759" s="4" t="s">
        <v>25</v>
      </c>
      <c r="I759" s="5">
        <v>44013</v>
      </c>
      <c r="J759" s="6">
        <v>0</v>
      </c>
      <c r="K759" s="6">
        <v>0</v>
      </c>
      <c r="L759" s="6">
        <v>0.1</v>
      </c>
      <c r="M759" s="6">
        <v>0.1</v>
      </c>
      <c r="N759" s="6">
        <v>0.1</v>
      </c>
      <c r="O759" s="6">
        <v>0.1</v>
      </c>
      <c r="P759" s="6">
        <v>0</v>
      </c>
      <c r="Q759" s="4" t="s">
        <v>26</v>
      </c>
      <c r="R759" s="4">
        <v>0</v>
      </c>
      <c r="S759" s="4">
        <v>0</v>
      </c>
      <c r="T759" s="4">
        <v>58</v>
      </c>
      <c r="U759" s="4">
        <v>101</v>
      </c>
      <c r="V759" s="6">
        <f>IF(ISERROR(VLOOKUP($S$759,'TAR FIN'!$A$1:$O$120,15,0)),0,VLOOKUP($S$759,'TAR FIN'!$A$1:$O$120,15,0))</f>
        <v>0</v>
      </c>
      <c r="W759" s="6">
        <f>IF(ISERROR(VLOOKUP($T$759,'TAR FIN'!$A$1:$O$120,15,0)),0,VLOOKUP($T$759,'TAR FIN'!$A$1:$O$120,15,0))</f>
        <v>187.79</v>
      </c>
      <c r="X759" s="6">
        <f>IF(ISERROR(VLOOKUP($U$759,'TAR FIN'!$A$1:$O$120,15,0)),0,VLOOKUP($U$759,'TAR FIN'!$A$1:$O$120,15,0))</f>
        <v>205.9</v>
      </c>
      <c r="Y759" s="6"/>
      <c r="Z759" s="6">
        <f ca="1">('TUSD BE'!$AM$68+'TUSD BF'!$AM$68+'TUSD CVA'!$AM$68)*(1-CUSTOS!$M$38)</f>
        <v>222.93739154100084</v>
      </c>
      <c r="AA759" s="6">
        <f>('TE BE'!$AA$32+'TE BF'!$AA$32+'TE CVA'!$AA$32)*(1-CUSTOS!$M$38)</f>
        <v>199.18265392296476</v>
      </c>
      <c r="AB759" s="6">
        <f t="shared" si="36"/>
        <v>0</v>
      </c>
      <c r="AC759" s="6">
        <f>(L759-M759)*(W759+X759)+($W$613+$X$613-$W$759-$X$759)*(L759)</f>
        <v>12.432000000000002</v>
      </c>
      <c r="AD759" s="6">
        <f t="shared" si="37"/>
        <v>0</v>
      </c>
      <c r="AE759" s="6">
        <f ca="1">(L759-M759)*(Z759+AA759)+($Z$613+$AA$613-$Z$759-$AA$759)*(L759)</f>
        <v>9.2660497784772904</v>
      </c>
      <c r="AF759" s="4" t="s">
        <v>1151</v>
      </c>
    </row>
    <row r="760" spans="1:32" ht="11.25" customHeight="1" x14ac:dyDescent="0.25">
      <c r="A760" s="4" t="s">
        <v>21</v>
      </c>
      <c r="B760" s="4" t="s">
        <v>46</v>
      </c>
      <c r="C760" s="4" t="s">
        <v>23</v>
      </c>
      <c r="D760" s="4" t="s">
        <v>47</v>
      </c>
      <c r="E760" s="4" t="s">
        <v>55</v>
      </c>
      <c r="F760" s="4" t="s">
        <v>56</v>
      </c>
      <c r="G760" s="4" t="s">
        <v>25</v>
      </c>
      <c r="H760" s="4" t="s">
        <v>25</v>
      </c>
      <c r="I760" s="5">
        <v>44044</v>
      </c>
      <c r="J760" s="6">
        <v>0</v>
      </c>
      <c r="K760" s="6">
        <v>0</v>
      </c>
      <c r="L760" s="6">
        <v>19.2</v>
      </c>
      <c r="M760" s="6">
        <v>19.2</v>
      </c>
      <c r="N760" s="6">
        <v>19.2</v>
      </c>
      <c r="O760" s="6">
        <v>19.2</v>
      </c>
      <c r="P760" s="6">
        <v>0</v>
      </c>
      <c r="Q760" s="4" t="s">
        <v>26</v>
      </c>
      <c r="R760" s="4">
        <v>0</v>
      </c>
      <c r="S760" s="4">
        <v>0</v>
      </c>
      <c r="T760" s="4">
        <v>58</v>
      </c>
      <c r="U760" s="4">
        <v>101</v>
      </c>
      <c r="V760" s="6">
        <f>IF(ISERROR(VLOOKUP($S$760,'TAR FIN'!$A$1:$O$120,15,0)),0,VLOOKUP($S$760,'TAR FIN'!$A$1:$O$120,15,0))</f>
        <v>0</v>
      </c>
      <c r="W760" s="6">
        <f>IF(ISERROR(VLOOKUP($T$760,'TAR FIN'!$A$1:$O$120,15,0)),0,VLOOKUP($T$760,'TAR FIN'!$A$1:$O$120,15,0))</f>
        <v>187.79</v>
      </c>
      <c r="X760" s="6">
        <f>IF(ISERROR(VLOOKUP($U$760,'TAR FIN'!$A$1:$O$120,15,0)),0,VLOOKUP($U$760,'TAR FIN'!$A$1:$O$120,15,0))</f>
        <v>205.9</v>
      </c>
      <c r="Y760" s="6"/>
      <c r="Z760" s="6">
        <f ca="1">('TUSD BE'!$AM$68+'TUSD BF'!$AM$68+'TUSD CVA'!$AM$68)*(1-CUSTOS!$M$38)</f>
        <v>222.93739154100084</v>
      </c>
      <c r="AA760" s="6">
        <f>('TE BE'!$AA$32+'TE BF'!$AA$32+'TE CVA'!$AA$32)*(1-CUSTOS!$M$38)</f>
        <v>199.18265392296476</v>
      </c>
      <c r="AB760" s="6">
        <f t="shared" si="36"/>
        <v>0</v>
      </c>
      <c r="AC760" s="6">
        <f>(L760-M760)*(W760+X760)+($W$613+$X$613-$W$760-$X$760)*(L760)</f>
        <v>2386.9440000000004</v>
      </c>
      <c r="AD760" s="6">
        <f t="shared" si="37"/>
        <v>0</v>
      </c>
      <c r="AE760" s="6">
        <f ca="1">(L760-M760)*(Z760+AA760)+($Z$613+$AA$613-$Z$760-$AA$760)*(L760)</f>
        <v>1779.0815574676396</v>
      </c>
      <c r="AF760" s="4" t="s">
        <v>1151</v>
      </c>
    </row>
    <row r="761" spans="1:32" ht="11.25" customHeight="1" x14ac:dyDescent="0.25">
      <c r="A761" s="4" t="s">
        <v>28</v>
      </c>
      <c r="B761" s="4" t="s">
        <v>46</v>
      </c>
      <c r="C761" s="4" t="s">
        <v>23</v>
      </c>
      <c r="D761" s="4" t="s">
        <v>47</v>
      </c>
      <c r="E761" s="4" t="s">
        <v>55</v>
      </c>
      <c r="F761" s="4" t="s">
        <v>56</v>
      </c>
      <c r="G761" s="4" t="s">
        <v>25</v>
      </c>
      <c r="H761" s="4" t="s">
        <v>25</v>
      </c>
      <c r="I761" s="5">
        <v>44044</v>
      </c>
      <c r="J761" s="6">
        <v>0</v>
      </c>
      <c r="K761" s="6">
        <v>0</v>
      </c>
      <c r="L761" s="6">
        <v>0.1</v>
      </c>
      <c r="M761" s="6">
        <v>0.1</v>
      </c>
      <c r="N761" s="6">
        <v>0.1</v>
      </c>
      <c r="O761" s="6">
        <v>0.1</v>
      </c>
      <c r="P761" s="6">
        <v>0</v>
      </c>
      <c r="Q761" s="4" t="s">
        <v>26</v>
      </c>
      <c r="R761" s="4">
        <v>0</v>
      </c>
      <c r="S761" s="4">
        <v>0</v>
      </c>
      <c r="T761" s="4">
        <v>58</v>
      </c>
      <c r="U761" s="4">
        <v>101</v>
      </c>
      <c r="V761" s="6">
        <f>IF(ISERROR(VLOOKUP($S$761,'TAR FIN'!$A$1:$O$120,15,0)),0,VLOOKUP($S$761,'TAR FIN'!$A$1:$O$120,15,0))</f>
        <v>0</v>
      </c>
      <c r="W761" s="6">
        <f>IF(ISERROR(VLOOKUP($T$761,'TAR FIN'!$A$1:$O$120,15,0)),0,VLOOKUP($T$761,'TAR FIN'!$A$1:$O$120,15,0))</f>
        <v>187.79</v>
      </c>
      <c r="X761" s="6">
        <f>IF(ISERROR(VLOOKUP($U$761,'TAR FIN'!$A$1:$O$120,15,0)),0,VLOOKUP($U$761,'TAR FIN'!$A$1:$O$120,15,0))</f>
        <v>205.9</v>
      </c>
      <c r="Y761" s="6"/>
      <c r="Z761" s="6">
        <f ca="1">('TUSD BE'!$AM$68+'TUSD BF'!$AM$68+'TUSD CVA'!$AM$68)*(1-CUSTOS!$M$38)</f>
        <v>222.93739154100084</v>
      </c>
      <c r="AA761" s="6">
        <f>('TE BE'!$AA$32+'TE BF'!$AA$32+'TE CVA'!$AA$32)*(1-CUSTOS!$M$38)</f>
        <v>199.18265392296476</v>
      </c>
      <c r="AB761" s="6">
        <f t="shared" si="36"/>
        <v>0</v>
      </c>
      <c r="AC761" s="6">
        <f>(L761-M761)*(W761+X761)+($W$613+$X$613-$W$761-$X$761)*(L761)</f>
        <v>12.432000000000002</v>
      </c>
      <c r="AD761" s="6">
        <f t="shared" si="37"/>
        <v>0</v>
      </c>
      <c r="AE761" s="6">
        <f ca="1">(L761-M761)*(Z761+AA761)+($Z$613+$AA$613-$Z$761-$AA$761)*(L761)</f>
        <v>9.2660497784772904</v>
      </c>
      <c r="AF761" s="4" t="s">
        <v>1151</v>
      </c>
    </row>
    <row r="762" spans="1:32" ht="11.25" customHeight="1" x14ac:dyDescent="0.25">
      <c r="A762" s="4" t="s">
        <v>59</v>
      </c>
      <c r="B762" s="4" t="s">
        <v>46</v>
      </c>
      <c r="C762" s="4" t="s">
        <v>23</v>
      </c>
      <c r="D762" s="4" t="s">
        <v>47</v>
      </c>
      <c r="E762" s="4" t="s">
        <v>55</v>
      </c>
      <c r="F762" s="4" t="s">
        <v>56</v>
      </c>
      <c r="G762" s="4" t="s">
        <v>25</v>
      </c>
      <c r="H762" s="4" t="s">
        <v>25</v>
      </c>
      <c r="I762" s="5">
        <v>44075</v>
      </c>
      <c r="J762" s="6">
        <v>0</v>
      </c>
      <c r="K762" s="6">
        <v>0</v>
      </c>
      <c r="L762" s="6">
        <v>19.2</v>
      </c>
      <c r="M762" s="6">
        <v>19.2</v>
      </c>
      <c r="N762" s="6">
        <v>19.2</v>
      </c>
      <c r="O762" s="6">
        <v>19.2</v>
      </c>
      <c r="P762" s="6">
        <v>0</v>
      </c>
      <c r="Q762" s="4" t="s">
        <v>26</v>
      </c>
      <c r="R762" s="4">
        <v>0</v>
      </c>
      <c r="S762" s="4">
        <v>0</v>
      </c>
      <c r="T762" s="4">
        <v>58</v>
      </c>
      <c r="U762" s="4">
        <v>101</v>
      </c>
      <c r="V762" s="6">
        <f>IF(ISERROR(VLOOKUP($S$762,'TAR FIN'!$A$1:$O$120,15,0)),0,VLOOKUP($S$762,'TAR FIN'!$A$1:$O$120,15,0))</f>
        <v>0</v>
      </c>
      <c r="W762" s="6">
        <f>IF(ISERROR(VLOOKUP($T$762,'TAR FIN'!$A$1:$O$120,15,0)),0,VLOOKUP($T$762,'TAR FIN'!$A$1:$O$120,15,0))</f>
        <v>187.79</v>
      </c>
      <c r="X762" s="6">
        <f>IF(ISERROR(VLOOKUP($U$762,'TAR FIN'!$A$1:$O$120,15,0)),0,VLOOKUP($U$762,'TAR FIN'!$A$1:$O$120,15,0))</f>
        <v>205.9</v>
      </c>
      <c r="Y762" s="6"/>
      <c r="Z762" s="6">
        <f ca="1">('TUSD BE'!$AM$68+'TUSD BF'!$AM$68+'TUSD CVA'!$AM$68)*(1-CUSTOS!$M$38)</f>
        <v>222.93739154100084</v>
      </c>
      <c r="AA762" s="6">
        <f>('TE BE'!$AA$32+'TE BF'!$AA$32+'TE CVA'!$AA$32)*(1-CUSTOS!$M$38)</f>
        <v>199.18265392296476</v>
      </c>
      <c r="AB762" s="6">
        <f t="shared" si="36"/>
        <v>0</v>
      </c>
      <c r="AC762" s="6">
        <f>(L762-M762)*(W762+X762)+($W$613+$X$613-$W$762-$X$762)*(L762)</f>
        <v>2386.9440000000004</v>
      </c>
      <c r="AD762" s="6">
        <f t="shared" si="37"/>
        <v>0</v>
      </c>
      <c r="AE762" s="6">
        <f ca="1">(L762-M762)*(Z762+AA762)+($Z$613+$AA$613-$Z$762-$AA$762)*(L762)</f>
        <v>1779.0815574676396</v>
      </c>
      <c r="AF762" s="4" t="s">
        <v>1151</v>
      </c>
    </row>
    <row r="763" spans="1:32" ht="11.25" customHeight="1" x14ac:dyDescent="0.25">
      <c r="A763" s="4" t="s">
        <v>59</v>
      </c>
      <c r="B763" s="4" t="s">
        <v>46</v>
      </c>
      <c r="C763" s="4" t="s">
        <v>23</v>
      </c>
      <c r="D763" s="4" t="s">
        <v>47</v>
      </c>
      <c r="E763" s="4" t="s">
        <v>55</v>
      </c>
      <c r="F763" s="4" t="s">
        <v>56</v>
      </c>
      <c r="G763" s="4" t="s">
        <v>25</v>
      </c>
      <c r="H763" s="4" t="s">
        <v>25</v>
      </c>
      <c r="I763" s="5">
        <v>44075</v>
      </c>
      <c r="J763" s="6">
        <v>0</v>
      </c>
      <c r="K763" s="6">
        <v>0</v>
      </c>
      <c r="L763" s="6">
        <v>0.1</v>
      </c>
      <c r="M763" s="6">
        <v>0.1</v>
      </c>
      <c r="N763" s="6">
        <v>0.1</v>
      </c>
      <c r="O763" s="6">
        <v>0.1</v>
      </c>
      <c r="P763" s="6">
        <v>0</v>
      </c>
      <c r="Q763" s="4" t="s">
        <v>26</v>
      </c>
      <c r="R763" s="4">
        <v>0</v>
      </c>
      <c r="S763" s="4">
        <v>0</v>
      </c>
      <c r="T763" s="4">
        <v>58</v>
      </c>
      <c r="U763" s="4">
        <v>101</v>
      </c>
      <c r="V763" s="6">
        <f>IF(ISERROR(VLOOKUP($S$763,'TAR FIN'!$A$1:$O$120,15,0)),0,VLOOKUP($S$763,'TAR FIN'!$A$1:$O$120,15,0))</f>
        <v>0</v>
      </c>
      <c r="W763" s="6">
        <f>IF(ISERROR(VLOOKUP($T$763,'TAR FIN'!$A$1:$O$120,15,0)),0,VLOOKUP($T$763,'TAR FIN'!$A$1:$O$120,15,0))</f>
        <v>187.79</v>
      </c>
      <c r="X763" s="6">
        <f>IF(ISERROR(VLOOKUP($U$763,'TAR FIN'!$A$1:$O$120,15,0)),0,VLOOKUP($U$763,'TAR FIN'!$A$1:$O$120,15,0))</f>
        <v>205.9</v>
      </c>
      <c r="Y763" s="6"/>
      <c r="Z763" s="6">
        <f ca="1">('TUSD BE'!$AM$68+'TUSD BF'!$AM$68+'TUSD CVA'!$AM$68)*(1-CUSTOS!$M$38)</f>
        <v>222.93739154100084</v>
      </c>
      <c r="AA763" s="6">
        <f>('TE BE'!$AA$32+'TE BF'!$AA$32+'TE CVA'!$AA$32)*(1-CUSTOS!$M$38)</f>
        <v>199.18265392296476</v>
      </c>
      <c r="AB763" s="6">
        <f t="shared" si="36"/>
        <v>0</v>
      </c>
      <c r="AC763" s="6">
        <f>(L763-M763)*(W763+X763)+($W$613+$X$613-$W$763-$X$763)*(L763)</f>
        <v>12.432000000000002</v>
      </c>
      <c r="AD763" s="6">
        <f t="shared" si="37"/>
        <v>0</v>
      </c>
      <c r="AE763" s="6">
        <f ca="1">(L763-M763)*(Z763+AA763)+($Z$613+$AA$613-$Z$763-$AA$763)*(L763)</f>
        <v>9.2660497784772904</v>
      </c>
      <c r="AF763" s="4" t="s">
        <v>1151</v>
      </c>
    </row>
    <row r="764" spans="1:32" ht="11.25" customHeight="1" x14ac:dyDescent="0.25">
      <c r="A764" s="4" t="s">
        <v>21</v>
      </c>
      <c r="B764" s="4" t="s">
        <v>46</v>
      </c>
      <c r="C764" s="4" t="s">
        <v>23</v>
      </c>
      <c r="D764" s="4" t="s">
        <v>47</v>
      </c>
      <c r="E764" s="4" t="s">
        <v>55</v>
      </c>
      <c r="F764" s="4" t="s">
        <v>57</v>
      </c>
      <c r="G764" s="4" t="s">
        <v>25</v>
      </c>
      <c r="H764" s="4" t="s">
        <v>25</v>
      </c>
      <c r="I764" s="5">
        <v>43739</v>
      </c>
      <c r="J764" s="6">
        <v>0</v>
      </c>
      <c r="K764" s="6">
        <v>0</v>
      </c>
      <c r="L764" s="6">
        <v>13.048999999999999</v>
      </c>
      <c r="M764" s="6">
        <v>4.3061699999999998</v>
      </c>
      <c r="N764" s="6">
        <v>13.048999999999999</v>
      </c>
      <c r="O764" s="6">
        <v>4.3061699999999998</v>
      </c>
      <c r="P764" s="6">
        <v>0</v>
      </c>
      <c r="Q764" s="4" t="s">
        <v>26</v>
      </c>
      <c r="R764" s="4">
        <v>0</v>
      </c>
      <c r="S764" s="4">
        <v>0</v>
      </c>
      <c r="T764" s="4">
        <v>58</v>
      </c>
      <c r="U764" s="4">
        <v>101</v>
      </c>
      <c r="V764" s="6">
        <f>IF(ISERROR(VLOOKUP($S$764,'TAR FIN'!$A$1:$O$120,15,0)),0,VLOOKUP($S$764,'TAR FIN'!$A$1:$O$120,15,0))</f>
        <v>0</v>
      </c>
      <c r="W764" s="6">
        <f>IF(ISERROR(VLOOKUP($T$764,'TAR FIN'!$A$1:$O$120,15,0)),0,VLOOKUP($T$764,'TAR FIN'!$A$1:$O$120,15,0))</f>
        <v>187.79</v>
      </c>
      <c r="X764" s="6">
        <f>IF(ISERROR(VLOOKUP($U$764,'TAR FIN'!$A$1:$O$120,15,0)),0,VLOOKUP($U$764,'TAR FIN'!$A$1:$O$120,15,0))</f>
        <v>205.9</v>
      </c>
      <c r="Y764" s="6"/>
      <c r="Z764" s="6">
        <f ca="1">('TUSD BE'!$AM$68+'TUSD BF'!$AM$68+'TUSD CVA'!$AM$68)*(1-CUSTOS!$M$38)</f>
        <v>222.93739154100084</v>
      </c>
      <c r="AA764" s="6">
        <f>('TE BE'!$AA$32+'TE BF'!$AA$32+'TE CVA'!$AA$32)*(1-CUSTOS!$M$38)</f>
        <v>199.18265392296476</v>
      </c>
      <c r="AB764" s="6">
        <f t="shared" si="36"/>
        <v>0</v>
      </c>
      <c r="AC764" s="6">
        <f>(L764-M764)*(W764+X764)+($W$613+$X$613-$W$764-$X$764)*(L764)</f>
        <v>5064.2164227000003</v>
      </c>
      <c r="AD764" s="6">
        <f t="shared" si="37"/>
        <v>0</v>
      </c>
      <c r="AE764" s="6">
        <f ca="1">(L764-M764)*(Z764+AA764)+($Z$613+$AA$613-$Z$764-$AA$764)*(L764)</f>
        <v>4899.6506326772233</v>
      </c>
      <c r="AF764" s="4" t="s">
        <v>1152</v>
      </c>
    </row>
    <row r="765" spans="1:32" ht="11.25" customHeight="1" x14ac:dyDescent="0.25">
      <c r="A765" s="4" t="s">
        <v>28</v>
      </c>
      <c r="B765" s="4" t="s">
        <v>46</v>
      </c>
      <c r="C765" s="4" t="s">
        <v>23</v>
      </c>
      <c r="D765" s="4" t="s">
        <v>47</v>
      </c>
      <c r="E765" s="4" t="s">
        <v>55</v>
      </c>
      <c r="F765" s="4" t="s">
        <v>57</v>
      </c>
      <c r="G765" s="4" t="s">
        <v>25</v>
      </c>
      <c r="H765" s="4" t="s">
        <v>25</v>
      </c>
      <c r="I765" s="5">
        <v>43739</v>
      </c>
      <c r="J765" s="6">
        <v>0</v>
      </c>
      <c r="K765" s="6">
        <v>0</v>
      </c>
      <c r="L765" s="6">
        <v>2.379</v>
      </c>
      <c r="M765" s="6">
        <v>0.78507000000000005</v>
      </c>
      <c r="N765" s="6">
        <v>2.379</v>
      </c>
      <c r="O765" s="6">
        <v>0.78507000000000005</v>
      </c>
      <c r="P765" s="6">
        <v>0</v>
      </c>
      <c r="Q765" s="4" t="s">
        <v>26</v>
      </c>
      <c r="R765" s="4">
        <v>0</v>
      </c>
      <c r="S765" s="4">
        <v>0</v>
      </c>
      <c r="T765" s="4">
        <v>58</v>
      </c>
      <c r="U765" s="4">
        <v>101</v>
      </c>
      <c r="V765" s="6">
        <f>IF(ISERROR(VLOOKUP($S$765,'TAR FIN'!$A$1:$O$120,15,0)),0,VLOOKUP($S$765,'TAR FIN'!$A$1:$O$120,15,0))</f>
        <v>0</v>
      </c>
      <c r="W765" s="6">
        <f>IF(ISERROR(VLOOKUP($T$765,'TAR FIN'!$A$1:$O$120,15,0)),0,VLOOKUP($T$765,'TAR FIN'!$A$1:$O$120,15,0))</f>
        <v>187.79</v>
      </c>
      <c r="X765" s="6">
        <f>IF(ISERROR(VLOOKUP($U$765,'TAR FIN'!$A$1:$O$120,15,0)),0,VLOOKUP($U$765,'TAR FIN'!$A$1:$O$120,15,0))</f>
        <v>205.9</v>
      </c>
      <c r="Y765" s="6"/>
      <c r="Z765" s="6">
        <f ca="1">('TUSD BE'!$AM$68+'TUSD BF'!$AM$68+'TUSD CVA'!$AM$68)*(1-CUSTOS!$M$38)</f>
        <v>222.93739154100084</v>
      </c>
      <c r="AA765" s="6">
        <f>('TE BE'!$AA$32+'TE BF'!$AA$32+'TE CVA'!$AA$32)*(1-CUSTOS!$M$38)</f>
        <v>199.18265392296476</v>
      </c>
      <c r="AB765" s="6">
        <f t="shared" si="36"/>
        <v>0</v>
      </c>
      <c r="AC765" s="6">
        <f>(L765-M765)*(W765+X765)+($W$613+$X$613-$W$765-$X$765)*(L765)</f>
        <v>923.27158169999996</v>
      </c>
      <c r="AD765" s="6">
        <f t="shared" si="37"/>
        <v>0</v>
      </c>
      <c r="AE765" s="6">
        <f ca="1">(L765-M765)*(Z765+AA765)+($Z$613+$AA$613-$Z$765-$AA$765)*(L765)</f>
        <v>893.26912829635341</v>
      </c>
      <c r="AF765" s="4" t="s">
        <v>1152</v>
      </c>
    </row>
    <row r="766" spans="1:32" ht="11.25" customHeight="1" x14ac:dyDescent="0.25">
      <c r="A766" s="4" t="s">
        <v>21</v>
      </c>
      <c r="B766" s="4" t="s">
        <v>46</v>
      </c>
      <c r="C766" s="4" t="s">
        <v>23</v>
      </c>
      <c r="D766" s="4" t="s">
        <v>47</v>
      </c>
      <c r="E766" s="4" t="s">
        <v>55</v>
      </c>
      <c r="F766" s="4" t="s">
        <v>57</v>
      </c>
      <c r="G766" s="4" t="s">
        <v>25</v>
      </c>
      <c r="H766" s="4" t="s">
        <v>25</v>
      </c>
      <c r="I766" s="5">
        <v>43770</v>
      </c>
      <c r="J766" s="6">
        <v>0</v>
      </c>
      <c r="K766" s="6">
        <v>0</v>
      </c>
      <c r="L766" s="6">
        <v>17.673999999999999</v>
      </c>
      <c r="M766" s="6">
        <v>5.8324199999999999</v>
      </c>
      <c r="N766" s="6">
        <v>17.673999999999999</v>
      </c>
      <c r="O766" s="6">
        <v>5.8324199999999999</v>
      </c>
      <c r="P766" s="6">
        <v>0</v>
      </c>
      <c r="Q766" s="4" t="s">
        <v>26</v>
      </c>
      <c r="R766" s="4">
        <v>0</v>
      </c>
      <c r="S766" s="4">
        <v>0</v>
      </c>
      <c r="T766" s="4">
        <v>58</v>
      </c>
      <c r="U766" s="4">
        <v>101</v>
      </c>
      <c r="V766" s="6">
        <f>IF(ISERROR(VLOOKUP($S$766,'TAR FIN'!$A$1:$O$120,15,0)),0,VLOOKUP($S$766,'TAR FIN'!$A$1:$O$120,15,0))</f>
        <v>0</v>
      </c>
      <c r="W766" s="6">
        <f>IF(ISERROR(VLOOKUP($T$766,'TAR FIN'!$A$1:$O$120,15,0)),0,VLOOKUP($T$766,'TAR FIN'!$A$1:$O$120,15,0))</f>
        <v>187.79</v>
      </c>
      <c r="X766" s="6">
        <f>IF(ISERROR(VLOOKUP($U$766,'TAR FIN'!$A$1:$O$120,15,0)),0,VLOOKUP($U$766,'TAR FIN'!$A$1:$O$120,15,0))</f>
        <v>205.9</v>
      </c>
      <c r="Y766" s="6"/>
      <c r="Z766" s="6">
        <f ca="1">('TUSD BE'!$AM$68+'TUSD BF'!$AM$68+'TUSD CVA'!$AM$68)*(1-CUSTOS!$M$38)</f>
        <v>222.93739154100084</v>
      </c>
      <c r="AA766" s="6">
        <f>('TE BE'!$AA$32+'TE BF'!$AA$32+'TE CVA'!$AA$32)*(1-CUSTOS!$M$38)</f>
        <v>199.18265392296476</v>
      </c>
      <c r="AB766" s="6">
        <f t="shared" si="36"/>
        <v>0</v>
      </c>
      <c r="AC766" s="6">
        <f>(L766-M766)*(W766+X766)+($W$613+$X$613-$W$766-$X$766)*(L766)</f>
        <v>6859.143310200001</v>
      </c>
      <c r="AD766" s="6">
        <f t="shared" si="37"/>
        <v>0</v>
      </c>
      <c r="AE766" s="6">
        <f ca="1">(L766-M766)*(Z766+AA766)+($Z$613+$AA$613-$Z$766-$AA$766)*(L766)</f>
        <v>6636.2499258132621</v>
      </c>
      <c r="AF766" s="4" t="s">
        <v>1152</v>
      </c>
    </row>
    <row r="767" spans="1:32" ht="11.25" customHeight="1" x14ac:dyDescent="0.25">
      <c r="A767" s="4" t="s">
        <v>28</v>
      </c>
      <c r="B767" s="4" t="s">
        <v>46</v>
      </c>
      <c r="C767" s="4" t="s">
        <v>23</v>
      </c>
      <c r="D767" s="4" t="s">
        <v>47</v>
      </c>
      <c r="E767" s="4" t="s">
        <v>55</v>
      </c>
      <c r="F767" s="4" t="s">
        <v>57</v>
      </c>
      <c r="G767" s="4" t="s">
        <v>25</v>
      </c>
      <c r="H767" s="4" t="s">
        <v>25</v>
      </c>
      <c r="I767" s="5">
        <v>43770</v>
      </c>
      <c r="J767" s="6">
        <v>0</v>
      </c>
      <c r="K767" s="6">
        <v>0</v>
      </c>
      <c r="L767" s="6">
        <v>1.8080000000000001</v>
      </c>
      <c r="M767" s="6">
        <v>0.59663999999999995</v>
      </c>
      <c r="N767" s="6">
        <v>1.8080000000000001</v>
      </c>
      <c r="O767" s="6">
        <v>0.59663999999999995</v>
      </c>
      <c r="P767" s="6">
        <v>0</v>
      </c>
      <c r="Q767" s="4" t="s">
        <v>26</v>
      </c>
      <c r="R767" s="4">
        <v>0</v>
      </c>
      <c r="S767" s="4">
        <v>0</v>
      </c>
      <c r="T767" s="4">
        <v>58</v>
      </c>
      <c r="U767" s="4">
        <v>101</v>
      </c>
      <c r="V767" s="6">
        <f>IF(ISERROR(VLOOKUP($S$767,'TAR FIN'!$A$1:$O$120,15,0)),0,VLOOKUP($S$767,'TAR FIN'!$A$1:$O$120,15,0))</f>
        <v>0</v>
      </c>
      <c r="W767" s="6">
        <f>IF(ISERROR(VLOOKUP($T$767,'TAR FIN'!$A$1:$O$120,15,0)),0,VLOOKUP($T$767,'TAR FIN'!$A$1:$O$120,15,0))</f>
        <v>187.79</v>
      </c>
      <c r="X767" s="6">
        <f>IF(ISERROR(VLOOKUP($U$767,'TAR FIN'!$A$1:$O$120,15,0)),0,VLOOKUP($U$767,'TAR FIN'!$A$1:$O$120,15,0))</f>
        <v>205.9</v>
      </c>
      <c r="Y767" s="6"/>
      <c r="Z767" s="6">
        <f ca="1">('TUSD BE'!$AM$68+'TUSD BF'!$AM$68+'TUSD CVA'!$AM$68)*(1-CUSTOS!$M$38)</f>
        <v>222.93739154100084</v>
      </c>
      <c r="AA767" s="6">
        <f>('TE BE'!$AA$32+'TE BF'!$AA$32+'TE CVA'!$AA$32)*(1-CUSTOS!$M$38)</f>
        <v>199.18265392296476</v>
      </c>
      <c r="AB767" s="6">
        <f t="shared" si="36"/>
        <v>0</v>
      </c>
      <c r="AC767" s="6">
        <f>(L767-M767)*(W767+X767)+($W$613+$X$613-$W$767-$X$767)*(L767)</f>
        <v>701.67087839999999</v>
      </c>
      <c r="AD767" s="6">
        <f t="shared" si="37"/>
        <v>0</v>
      </c>
      <c r="AE767" s="6">
        <f ca="1">(L767-M767)*(Z767+AA767)+($Z$613+$AA$613-$Z$767-$AA$767)*(L767)</f>
        <v>678.86951826809877</v>
      </c>
      <c r="AF767" s="4" t="s">
        <v>1152</v>
      </c>
    </row>
    <row r="768" spans="1:32" ht="11.25" customHeight="1" x14ac:dyDescent="0.25">
      <c r="A768" s="4" t="s">
        <v>21</v>
      </c>
      <c r="B768" s="4" t="s">
        <v>46</v>
      </c>
      <c r="C768" s="4" t="s">
        <v>23</v>
      </c>
      <c r="D768" s="4" t="s">
        <v>47</v>
      </c>
      <c r="E768" s="4" t="s">
        <v>55</v>
      </c>
      <c r="F768" s="4" t="s">
        <v>57</v>
      </c>
      <c r="G768" s="4" t="s">
        <v>25</v>
      </c>
      <c r="H768" s="4" t="s">
        <v>25</v>
      </c>
      <c r="I768" s="5">
        <v>43800</v>
      </c>
      <c r="J768" s="6">
        <v>0</v>
      </c>
      <c r="K768" s="6">
        <v>0</v>
      </c>
      <c r="L768" s="6">
        <v>3.8290000000000002</v>
      </c>
      <c r="M768" s="6">
        <v>1.2635700000000001</v>
      </c>
      <c r="N768" s="6">
        <v>3.8290000000000002</v>
      </c>
      <c r="O768" s="6">
        <v>1.2635700000000001</v>
      </c>
      <c r="P768" s="6">
        <v>0</v>
      </c>
      <c r="Q768" s="4" t="s">
        <v>26</v>
      </c>
      <c r="R768" s="4">
        <v>0</v>
      </c>
      <c r="S768" s="4">
        <v>0</v>
      </c>
      <c r="T768" s="4">
        <v>58</v>
      </c>
      <c r="U768" s="4">
        <v>101</v>
      </c>
      <c r="V768" s="6">
        <f>IF(ISERROR(VLOOKUP($S$768,'TAR FIN'!$A$1:$O$120,15,0)),0,VLOOKUP($S$768,'TAR FIN'!$A$1:$O$120,15,0))</f>
        <v>0</v>
      </c>
      <c r="W768" s="6">
        <f>IF(ISERROR(VLOOKUP($T$768,'TAR FIN'!$A$1:$O$120,15,0)),0,VLOOKUP($T$768,'TAR FIN'!$A$1:$O$120,15,0))</f>
        <v>187.79</v>
      </c>
      <c r="X768" s="6">
        <f>IF(ISERROR(VLOOKUP($U$768,'TAR FIN'!$A$1:$O$120,15,0)),0,VLOOKUP($U$768,'TAR FIN'!$A$1:$O$120,15,0))</f>
        <v>205.9</v>
      </c>
      <c r="Y768" s="6"/>
      <c r="Z768" s="6">
        <f ca="1">('TUSD BE'!$AM$68+'TUSD BF'!$AM$68+'TUSD CVA'!$AM$68)*(1-CUSTOS!$M$38)</f>
        <v>222.93739154100084</v>
      </c>
      <c r="AA768" s="6">
        <f>('TE BE'!$AA$32+'TE BF'!$AA$32+'TE CVA'!$AA$32)*(1-CUSTOS!$M$38)</f>
        <v>199.18265392296476</v>
      </c>
      <c r="AB768" s="6">
        <f t="shared" si="36"/>
        <v>0</v>
      </c>
      <c r="AC768" s="6">
        <f>(L768-M768)*(W768+X768)+($W$613+$X$613-$W$768-$X$768)*(L768)</f>
        <v>1486.0054167000001</v>
      </c>
      <c r="AD768" s="6">
        <f t="shared" si="37"/>
        <v>0</v>
      </c>
      <c r="AE768" s="6">
        <f ca="1">(L768-M768)*(Z768+AA768)+($Z$613+$AA$613-$Z$768-$AA$768)*(L768)</f>
        <v>1437.7164742525169</v>
      </c>
      <c r="AF768" s="4" t="s">
        <v>1152</v>
      </c>
    </row>
    <row r="769" spans="1:32" ht="11.25" customHeight="1" x14ac:dyDescent="0.25">
      <c r="A769" s="4" t="s">
        <v>21</v>
      </c>
      <c r="B769" s="4" t="s">
        <v>46</v>
      </c>
      <c r="C769" s="4" t="s">
        <v>23</v>
      </c>
      <c r="D769" s="4" t="s">
        <v>47</v>
      </c>
      <c r="E769" s="4" t="s">
        <v>55</v>
      </c>
      <c r="F769" s="4" t="s">
        <v>57</v>
      </c>
      <c r="G769" s="4" t="s">
        <v>25</v>
      </c>
      <c r="H769" s="4" t="s">
        <v>25</v>
      </c>
      <c r="I769" s="5">
        <v>43831</v>
      </c>
      <c r="J769" s="6">
        <v>0</v>
      </c>
      <c r="K769" s="6">
        <v>0</v>
      </c>
      <c r="L769" s="6">
        <v>4.1340000000000003</v>
      </c>
      <c r="M769" s="6">
        <v>1.36422</v>
      </c>
      <c r="N769" s="6">
        <v>4.1340000000000003</v>
      </c>
      <c r="O769" s="6">
        <v>1.36422</v>
      </c>
      <c r="P769" s="6">
        <v>0</v>
      </c>
      <c r="Q769" s="4" t="s">
        <v>26</v>
      </c>
      <c r="R769" s="4">
        <v>0</v>
      </c>
      <c r="S769" s="4">
        <v>0</v>
      </c>
      <c r="T769" s="4">
        <v>58</v>
      </c>
      <c r="U769" s="4">
        <v>101</v>
      </c>
      <c r="V769" s="6">
        <f>IF(ISERROR(VLOOKUP($S$769,'TAR FIN'!$A$1:$O$120,15,0)),0,VLOOKUP($S$769,'TAR FIN'!$A$1:$O$120,15,0))</f>
        <v>0</v>
      </c>
      <c r="W769" s="6">
        <f>IF(ISERROR(VLOOKUP($T$769,'TAR FIN'!$A$1:$O$120,15,0)),0,VLOOKUP($T$769,'TAR FIN'!$A$1:$O$120,15,0))</f>
        <v>187.79</v>
      </c>
      <c r="X769" s="6">
        <f>IF(ISERROR(VLOOKUP($U$769,'TAR FIN'!$A$1:$O$120,15,0)),0,VLOOKUP($U$769,'TAR FIN'!$A$1:$O$120,15,0))</f>
        <v>205.9</v>
      </c>
      <c r="Y769" s="6"/>
      <c r="Z769" s="6">
        <f ca="1">('TUSD BE'!$AM$68+'TUSD BF'!$AM$68+'TUSD CVA'!$AM$68)*(1-CUSTOS!$M$38)</f>
        <v>222.93739154100084</v>
      </c>
      <c r="AA769" s="6">
        <f>('TE BE'!$AA$32+'TE BF'!$AA$32+'TE CVA'!$AA$32)*(1-CUSTOS!$M$38)</f>
        <v>199.18265392296476</v>
      </c>
      <c r="AB769" s="6">
        <f t="shared" si="36"/>
        <v>0</v>
      </c>
      <c r="AC769" s="6">
        <f>(L769-M769)*(W769+X769)+($W$613+$X$613-$W$769-$X$769)*(L769)</f>
        <v>1604.3735682000004</v>
      </c>
      <c r="AD769" s="6">
        <f t="shared" si="37"/>
        <v>0</v>
      </c>
      <c r="AE769" s="6">
        <f ca="1">(L769-M769)*(Z769+AA769)+($Z$613+$AA$613-$Z$769-$AA$769)*(L769)</f>
        <v>1552.238157367434</v>
      </c>
      <c r="AF769" s="4" t="s">
        <v>1152</v>
      </c>
    </row>
    <row r="770" spans="1:32" ht="11.25" customHeight="1" x14ac:dyDescent="0.25">
      <c r="A770" s="4" t="s">
        <v>21</v>
      </c>
      <c r="B770" s="4" t="s">
        <v>46</v>
      </c>
      <c r="C770" s="4" t="s">
        <v>23</v>
      </c>
      <c r="D770" s="4" t="s">
        <v>47</v>
      </c>
      <c r="E770" s="4" t="s">
        <v>55</v>
      </c>
      <c r="F770" s="4" t="s">
        <v>57</v>
      </c>
      <c r="G770" s="4" t="s">
        <v>25</v>
      </c>
      <c r="H770" s="4" t="s">
        <v>25</v>
      </c>
      <c r="I770" s="5">
        <v>43862</v>
      </c>
      <c r="J770" s="6">
        <v>0</v>
      </c>
      <c r="K770" s="6">
        <v>0</v>
      </c>
      <c r="L770" s="6">
        <v>3.5939999999999999</v>
      </c>
      <c r="M770" s="6">
        <v>1.1860200000000001</v>
      </c>
      <c r="N770" s="6">
        <v>3.5939999999999999</v>
      </c>
      <c r="O770" s="6">
        <v>1.1860200000000001</v>
      </c>
      <c r="P770" s="6">
        <v>0</v>
      </c>
      <c r="Q770" s="4" t="s">
        <v>26</v>
      </c>
      <c r="R770" s="4">
        <v>0</v>
      </c>
      <c r="S770" s="4">
        <v>0</v>
      </c>
      <c r="T770" s="4">
        <v>58</v>
      </c>
      <c r="U770" s="4">
        <v>101</v>
      </c>
      <c r="V770" s="6">
        <f>IF(ISERROR(VLOOKUP($S$770,'TAR FIN'!$A$1:$O$120,15,0)),0,VLOOKUP($S$770,'TAR FIN'!$A$1:$O$120,15,0))</f>
        <v>0</v>
      </c>
      <c r="W770" s="6">
        <f>IF(ISERROR(VLOOKUP($T$770,'TAR FIN'!$A$1:$O$120,15,0)),0,VLOOKUP($T$770,'TAR FIN'!$A$1:$O$120,15,0))</f>
        <v>187.79</v>
      </c>
      <c r="X770" s="6">
        <f>IF(ISERROR(VLOOKUP($U$770,'TAR FIN'!$A$1:$O$120,15,0)),0,VLOOKUP($U$770,'TAR FIN'!$A$1:$O$120,15,0))</f>
        <v>205.9</v>
      </c>
      <c r="Y770" s="6"/>
      <c r="Z770" s="6">
        <f ca="1">('TUSD BE'!$AM$68+'TUSD BF'!$AM$68+'TUSD CVA'!$AM$68)*(1-CUSTOS!$M$38)</f>
        <v>222.93739154100084</v>
      </c>
      <c r="AA770" s="6">
        <f>('TE BE'!$AA$32+'TE BF'!$AA$32+'TE CVA'!$AA$32)*(1-CUSTOS!$M$38)</f>
        <v>199.18265392296476</v>
      </c>
      <c r="AB770" s="6">
        <f t="shared" ref="AB770:AB817" si="38">(J770-K770)*V770</f>
        <v>0</v>
      </c>
      <c r="AC770" s="6">
        <f>(L770-M770)*(W770+X770)+($W$613+$X$613-$W$770-$X$770)*(L770)</f>
        <v>1394.8037262</v>
      </c>
      <c r="AD770" s="6">
        <f t="shared" ref="AD770:AD817" si="39">(J770-K770)*Y770</f>
        <v>0</v>
      </c>
      <c r="AE770" s="6">
        <f ca="1">(L770-M770)*(Z770+AA770)+($Z$613+$AA$613-$Z$770-$AA$770)*(L770)</f>
        <v>1349.4784561147935</v>
      </c>
      <c r="AF770" s="4" t="s">
        <v>1152</v>
      </c>
    </row>
    <row r="771" spans="1:32" ht="11.25" customHeight="1" x14ac:dyDescent="0.25">
      <c r="A771" s="4" t="s">
        <v>21</v>
      </c>
      <c r="B771" s="4" t="s">
        <v>46</v>
      </c>
      <c r="C771" s="4" t="s">
        <v>23</v>
      </c>
      <c r="D771" s="4" t="s">
        <v>47</v>
      </c>
      <c r="E771" s="4" t="s">
        <v>55</v>
      </c>
      <c r="F771" s="4" t="s">
        <v>57</v>
      </c>
      <c r="G771" s="4" t="s">
        <v>25</v>
      </c>
      <c r="H771" s="4" t="s">
        <v>25</v>
      </c>
      <c r="I771" s="5">
        <v>43891</v>
      </c>
      <c r="J771" s="6">
        <v>0</v>
      </c>
      <c r="K771" s="6">
        <v>0</v>
      </c>
      <c r="L771" s="6">
        <v>2.4689999999999999</v>
      </c>
      <c r="M771" s="6">
        <v>0.81476999999999999</v>
      </c>
      <c r="N771" s="6">
        <v>2.4689999999999999</v>
      </c>
      <c r="O771" s="6">
        <v>0.81476999999999999</v>
      </c>
      <c r="P771" s="6">
        <v>0</v>
      </c>
      <c r="Q771" s="4" t="s">
        <v>26</v>
      </c>
      <c r="R771" s="4">
        <v>0</v>
      </c>
      <c r="S771" s="4">
        <v>0</v>
      </c>
      <c r="T771" s="4">
        <v>58</v>
      </c>
      <c r="U771" s="4">
        <v>101</v>
      </c>
      <c r="V771" s="6">
        <f>IF(ISERROR(VLOOKUP($S$771,'TAR FIN'!$A$1:$O$120,15,0)),0,VLOOKUP($S$771,'TAR FIN'!$A$1:$O$120,15,0))</f>
        <v>0</v>
      </c>
      <c r="W771" s="6">
        <f>IF(ISERROR(VLOOKUP($T$771,'TAR FIN'!$A$1:$O$120,15,0)),0,VLOOKUP($T$771,'TAR FIN'!$A$1:$O$120,15,0))</f>
        <v>187.79</v>
      </c>
      <c r="X771" s="6">
        <f>IF(ISERROR(VLOOKUP($U$771,'TAR FIN'!$A$1:$O$120,15,0)),0,VLOOKUP($U$771,'TAR FIN'!$A$1:$O$120,15,0))</f>
        <v>205.9</v>
      </c>
      <c r="Y771" s="6"/>
      <c r="Z771" s="6">
        <f ca="1">('TUSD BE'!$AM$68+'TUSD BF'!$AM$68+'TUSD CVA'!$AM$68)*(1-CUSTOS!$M$38)</f>
        <v>222.93739154100084</v>
      </c>
      <c r="AA771" s="6">
        <f>('TE BE'!$AA$32+'TE BF'!$AA$32+'TE CVA'!$AA$32)*(1-CUSTOS!$M$38)</f>
        <v>199.18265392296476</v>
      </c>
      <c r="AB771" s="6">
        <f t="shared" si="38"/>
        <v>0</v>
      </c>
      <c r="AC771" s="6">
        <f>(L771-M771)*(W771+X771)+($W$613+$X$613-$W$771-$X$771)*(L771)</f>
        <v>958.19988869999997</v>
      </c>
      <c r="AD771" s="6">
        <f t="shared" si="39"/>
        <v>0</v>
      </c>
      <c r="AE771" s="6">
        <f ca="1">(L771-M771)*(Z771+AA771)+($Z$613+$AA$613-$Z$771-$AA$771)*(L771)</f>
        <v>927.06241183845998</v>
      </c>
      <c r="AF771" s="4" t="s">
        <v>1152</v>
      </c>
    </row>
    <row r="772" spans="1:32" ht="11.25" customHeight="1" x14ac:dyDescent="0.25">
      <c r="A772" s="4" t="s">
        <v>21</v>
      </c>
      <c r="B772" s="4" t="s">
        <v>46</v>
      </c>
      <c r="C772" s="4" t="s">
        <v>23</v>
      </c>
      <c r="D772" s="4" t="s">
        <v>47</v>
      </c>
      <c r="E772" s="4" t="s">
        <v>55</v>
      </c>
      <c r="F772" s="4" t="s">
        <v>57</v>
      </c>
      <c r="G772" s="4" t="s">
        <v>25</v>
      </c>
      <c r="H772" s="4" t="s">
        <v>25</v>
      </c>
      <c r="I772" s="5">
        <v>43922</v>
      </c>
      <c r="J772" s="6">
        <v>0</v>
      </c>
      <c r="K772" s="6">
        <v>0</v>
      </c>
      <c r="L772" s="6">
        <v>1.161</v>
      </c>
      <c r="M772" s="6">
        <v>0.38313000000000003</v>
      </c>
      <c r="N772" s="6">
        <v>1.161</v>
      </c>
      <c r="O772" s="6">
        <v>0.38313000000000003</v>
      </c>
      <c r="P772" s="6">
        <v>0</v>
      </c>
      <c r="Q772" s="4" t="s">
        <v>26</v>
      </c>
      <c r="R772" s="4">
        <v>0</v>
      </c>
      <c r="S772" s="4">
        <v>0</v>
      </c>
      <c r="T772" s="4">
        <v>58</v>
      </c>
      <c r="U772" s="4">
        <v>101</v>
      </c>
      <c r="V772" s="6">
        <f>IF(ISERROR(VLOOKUP($S$772,'TAR FIN'!$A$1:$O$120,15,0)),0,VLOOKUP($S$772,'TAR FIN'!$A$1:$O$120,15,0))</f>
        <v>0</v>
      </c>
      <c r="W772" s="6">
        <f>IF(ISERROR(VLOOKUP($T$772,'TAR FIN'!$A$1:$O$120,15,0)),0,VLOOKUP($T$772,'TAR FIN'!$A$1:$O$120,15,0))</f>
        <v>187.79</v>
      </c>
      <c r="X772" s="6">
        <f>IF(ISERROR(VLOOKUP($U$772,'TAR FIN'!$A$1:$O$120,15,0)),0,VLOOKUP($U$772,'TAR FIN'!$A$1:$O$120,15,0))</f>
        <v>205.9</v>
      </c>
      <c r="Y772" s="6"/>
      <c r="Z772" s="6">
        <f ca="1">('TUSD BE'!$AM$68+'TUSD BF'!$AM$68+'TUSD CVA'!$AM$68)*(1-CUSTOS!$M$38)</f>
        <v>222.93739154100084</v>
      </c>
      <c r="AA772" s="6">
        <f>('TE BE'!$AA$32+'TE BF'!$AA$32+'TE CVA'!$AA$32)*(1-CUSTOS!$M$38)</f>
        <v>199.18265392296476</v>
      </c>
      <c r="AB772" s="6">
        <f t="shared" si="38"/>
        <v>0</v>
      </c>
      <c r="AC772" s="6">
        <f>(L772-M772)*(W772+X772)+($W$613+$X$613-$W$772-$X$772)*(L772)</f>
        <v>450.57516030000005</v>
      </c>
      <c r="AD772" s="6">
        <f t="shared" si="39"/>
        <v>0</v>
      </c>
      <c r="AE772" s="6">
        <f ca="1">(L772-M772)*(Z772+AA772)+($Z$613+$AA$613-$Z$772-$AA$772)*(L772)</f>
        <v>435.93335769317628</v>
      </c>
      <c r="AF772" s="4" t="s">
        <v>1152</v>
      </c>
    </row>
    <row r="773" spans="1:32" ht="11.25" customHeight="1" x14ac:dyDescent="0.25">
      <c r="A773" s="4" t="s">
        <v>21</v>
      </c>
      <c r="B773" s="4" t="s">
        <v>46</v>
      </c>
      <c r="C773" s="4" t="s">
        <v>23</v>
      </c>
      <c r="D773" s="4" t="s">
        <v>47</v>
      </c>
      <c r="E773" s="4" t="s">
        <v>55</v>
      </c>
      <c r="F773" s="4" t="s">
        <v>57</v>
      </c>
      <c r="G773" s="4" t="s">
        <v>25</v>
      </c>
      <c r="H773" s="4" t="s">
        <v>25</v>
      </c>
      <c r="I773" s="5">
        <v>43952</v>
      </c>
      <c r="J773" s="6">
        <v>0</v>
      </c>
      <c r="K773" s="6">
        <v>0</v>
      </c>
      <c r="L773" s="6">
        <v>1.4610000000000001</v>
      </c>
      <c r="M773" s="6">
        <v>0.48213</v>
      </c>
      <c r="N773" s="6">
        <v>1.4610000000000001</v>
      </c>
      <c r="O773" s="6">
        <v>0.48213</v>
      </c>
      <c r="P773" s="6">
        <v>0</v>
      </c>
      <c r="Q773" s="4" t="s">
        <v>26</v>
      </c>
      <c r="R773" s="4">
        <v>0</v>
      </c>
      <c r="S773" s="4">
        <v>0</v>
      </c>
      <c r="T773" s="4">
        <v>58</v>
      </c>
      <c r="U773" s="4">
        <v>101</v>
      </c>
      <c r="V773" s="6">
        <f>IF(ISERROR(VLOOKUP($S$773,'TAR FIN'!$A$1:$O$120,15,0)),0,VLOOKUP($S$773,'TAR FIN'!$A$1:$O$120,15,0))</f>
        <v>0</v>
      </c>
      <c r="W773" s="6">
        <f>IF(ISERROR(VLOOKUP($T$773,'TAR FIN'!$A$1:$O$120,15,0)),0,VLOOKUP($T$773,'TAR FIN'!$A$1:$O$120,15,0))</f>
        <v>187.79</v>
      </c>
      <c r="X773" s="6">
        <f>IF(ISERROR(VLOOKUP($U$773,'TAR FIN'!$A$1:$O$120,15,0)),0,VLOOKUP($U$773,'TAR FIN'!$A$1:$O$120,15,0))</f>
        <v>205.9</v>
      </c>
      <c r="Y773" s="6"/>
      <c r="Z773" s="6">
        <f ca="1">('TUSD BE'!$AM$68+'TUSD BF'!$AM$68+'TUSD CVA'!$AM$68)*(1-CUSTOS!$M$38)</f>
        <v>222.93739154100084</v>
      </c>
      <c r="AA773" s="6">
        <f>('TE BE'!$AA$32+'TE BF'!$AA$32+'TE CVA'!$AA$32)*(1-CUSTOS!$M$38)</f>
        <v>199.18265392296476</v>
      </c>
      <c r="AB773" s="6">
        <f t="shared" si="38"/>
        <v>0</v>
      </c>
      <c r="AC773" s="6">
        <f>(L773-M773)*(W773+X773)+($W$613+$X$613-$W$773-$X$773)*(L773)</f>
        <v>567.00285030000009</v>
      </c>
      <c r="AD773" s="6">
        <f t="shared" si="39"/>
        <v>0</v>
      </c>
      <c r="AE773" s="6">
        <f ca="1">(L773-M773)*(Z773+AA773)+($Z$613+$AA$613-$Z$773-$AA$773)*(L773)</f>
        <v>548.57763616686532</v>
      </c>
      <c r="AF773" s="4" t="s">
        <v>1152</v>
      </c>
    </row>
    <row r="774" spans="1:32" ht="11.25" customHeight="1" x14ac:dyDescent="0.25">
      <c r="A774" s="4" t="s">
        <v>21</v>
      </c>
      <c r="B774" s="4" t="s">
        <v>46</v>
      </c>
      <c r="C774" s="4" t="s">
        <v>23</v>
      </c>
      <c r="D774" s="4" t="s">
        <v>47</v>
      </c>
      <c r="E774" s="4" t="s">
        <v>55</v>
      </c>
      <c r="F774" s="4" t="s">
        <v>57</v>
      </c>
      <c r="G774" s="4" t="s">
        <v>25</v>
      </c>
      <c r="H774" s="4" t="s">
        <v>25</v>
      </c>
      <c r="I774" s="5">
        <v>43983</v>
      </c>
      <c r="J774" s="6">
        <v>0</v>
      </c>
      <c r="K774" s="6">
        <v>0</v>
      </c>
      <c r="L774" s="6">
        <v>3.0550000000000002</v>
      </c>
      <c r="M774" s="6">
        <v>1.0081500000000001</v>
      </c>
      <c r="N774" s="6">
        <v>3.0550000000000002</v>
      </c>
      <c r="O774" s="6">
        <v>1.0081500000000001</v>
      </c>
      <c r="P774" s="6">
        <v>0</v>
      </c>
      <c r="Q774" s="4" t="s">
        <v>26</v>
      </c>
      <c r="R774" s="4">
        <v>0</v>
      </c>
      <c r="S774" s="4">
        <v>0</v>
      </c>
      <c r="T774" s="4">
        <v>58</v>
      </c>
      <c r="U774" s="4">
        <v>101</v>
      </c>
      <c r="V774" s="6">
        <f>IF(ISERROR(VLOOKUP($S$774,'TAR FIN'!$A$1:$O$120,15,0)),0,VLOOKUP($S$774,'TAR FIN'!$A$1:$O$120,15,0))</f>
        <v>0</v>
      </c>
      <c r="W774" s="6">
        <f>IF(ISERROR(VLOOKUP($T$774,'TAR FIN'!$A$1:$O$120,15,0)),0,VLOOKUP($T$774,'TAR FIN'!$A$1:$O$120,15,0))</f>
        <v>187.79</v>
      </c>
      <c r="X774" s="6">
        <f>IF(ISERROR(VLOOKUP($U$774,'TAR FIN'!$A$1:$O$120,15,0)),0,VLOOKUP($U$774,'TAR FIN'!$A$1:$O$120,15,0))</f>
        <v>205.9</v>
      </c>
      <c r="Y774" s="6"/>
      <c r="Z774" s="6">
        <f ca="1">('TUSD BE'!$AM$68+'TUSD BF'!$AM$68+'TUSD CVA'!$AM$68)*(1-CUSTOS!$M$38)</f>
        <v>222.93739154100084</v>
      </c>
      <c r="AA774" s="6">
        <f>('TE BE'!$AA$32+'TE BF'!$AA$32+'TE CVA'!$AA$32)*(1-CUSTOS!$M$38)</f>
        <v>199.18265392296476</v>
      </c>
      <c r="AB774" s="6">
        <f t="shared" si="38"/>
        <v>0</v>
      </c>
      <c r="AC774" s="6">
        <f>(L774-M774)*(W774+X774)+($W$613+$X$613-$W$774-$X$774)*(L774)</f>
        <v>1185.6219765000001</v>
      </c>
      <c r="AD774" s="6">
        <f t="shared" si="39"/>
        <v>0</v>
      </c>
      <c r="AE774" s="6">
        <f ca="1">(L774-M774)*(Z774+AA774)+($Z$613+$AA$613-$Z$774-$AA$774)*(L774)</f>
        <v>1147.0942357903991</v>
      </c>
      <c r="AF774" s="4" t="s">
        <v>1152</v>
      </c>
    </row>
    <row r="775" spans="1:32" ht="11.25" customHeight="1" x14ac:dyDescent="0.25">
      <c r="A775" s="4" t="s">
        <v>28</v>
      </c>
      <c r="B775" s="4" t="s">
        <v>46</v>
      </c>
      <c r="C775" s="4" t="s">
        <v>23</v>
      </c>
      <c r="D775" s="4" t="s">
        <v>47</v>
      </c>
      <c r="E775" s="4" t="s">
        <v>55</v>
      </c>
      <c r="F775" s="4" t="s">
        <v>57</v>
      </c>
      <c r="G775" s="4" t="s">
        <v>25</v>
      </c>
      <c r="H775" s="4" t="s">
        <v>25</v>
      </c>
      <c r="I775" s="5">
        <v>43983</v>
      </c>
      <c r="J775" s="6">
        <v>0</v>
      </c>
      <c r="K775" s="6">
        <v>0</v>
      </c>
      <c r="L775" s="6">
        <v>1.7030000000000001</v>
      </c>
      <c r="M775" s="6">
        <v>0.56198999999999999</v>
      </c>
      <c r="N775" s="6">
        <v>1.7030000000000001</v>
      </c>
      <c r="O775" s="6">
        <v>0.56198999999999999</v>
      </c>
      <c r="P775" s="6">
        <v>0</v>
      </c>
      <c r="Q775" s="4" t="s">
        <v>26</v>
      </c>
      <c r="R775" s="4">
        <v>0</v>
      </c>
      <c r="S775" s="4">
        <v>0</v>
      </c>
      <c r="T775" s="4">
        <v>58</v>
      </c>
      <c r="U775" s="4">
        <v>101</v>
      </c>
      <c r="V775" s="6">
        <f>IF(ISERROR(VLOOKUP($S$775,'TAR FIN'!$A$1:$O$120,15,0)),0,VLOOKUP($S$775,'TAR FIN'!$A$1:$O$120,15,0))</f>
        <v>0</v>
      </c>
      <c r="W775" s="6">
        <f>IF(ISERROR(VLOOKUP($T$775,'TAR FIN'!$A$1:$O$120,15,0)),0,VLOOKUP($T$775,'TAR FIN'!$A$1:$O$120,15,0))</f>
        <v>187.79</v>
      </c>
      <c r="X775" s="6">
        <f>IF(ISERROR(VLOOKUP($U$775,'TAR FIN'!$A$1:$O$120,15,0)),0,VLOOKUP($U$775,'TAR FIN'!$A$1:$O$120,15,0))</f>
        <v>205.9</v>
      </c>
      <c r="Y775" s="6"/>
      <c r="Z775" s="6">
        <f ca="1">('TUSD BE'!$AM$68+'TUSD BF'!$AM$68+'TUSD CVA'!$AM$68)*(1-CUSTOS!$M$38)</f>
        <v>222.93739154100084</v>
      </c>
      <c r="AA775" s="6">
        <f>('TE BE'!$AA$32+'TE BF'!$AA$32+'TE CVA'!$AA$32)*(1-CUSTOS!$M$38)</f>
        <v>199.18265392296476</v>
      </c>
      <c r="AB775" s="6">
        <f t="shared" si="38"/>
        <v>0</v>
      </c>
      <c r="AC775" s="6">
        <f>(L775-M775)*(W775+X775)+($W$613+$X$613-$W$775-$X$775)*(L775)</f>
        <v>660.92118690000007</v>
      </c>
      <c r="AD775" s="6">
        <f t="shared" si="39"/>
        <v>0</v>
      </c>
      <c r="AE775" s="6">
        <f ca="1">(L775-M775)*(Z775+AA775)+($Z$613+$AA$613-$Z$775-$AA$775)*(L775)</f>
        <v>639.4440208023077</v>
      </c>
      <c r="AF775" s="4" t="s">
        <v>1152</v>
      </c>
    </row>
    <row r="776" spans="1:32" ht="11.25" customHeight="1" x14ac:dyDescent="0.25">
      <c r="A776" s="4" t="s">
        <v>21</v>
      </c>
      <c r="B776" s="4" t="s">
        <v>46</v>
      </c>
      <c r="C776" s="4" t="s">
        <v>23</v>
      </c>
      <c r="D776" s="4" t="s">
        <v>47</v>
      </c>
      <c r="E776" s="4" t="s">
        <v>55</v>
      </c>
      <c r="F776" s="4" t="s">
        <v>57</v>
      </c>
      <c r="G776" s="4" t="s">
        <v>25</v>
      </c>
      <c r="H776" s="4" t="s">
        <v>25</v>
      </c>
      <c r="I776" s="5">
        <v>44013</v>
      </c>
      <c r="J776" s="6">
        <v>0</v>
      </c>
      <c r="K776" s="6">
        <v>0</v>
      </c>
      <c r="L776" s="6">
        <v>3.7679999999999998</v>
      </c>
      <c r="M776" s="6">
        <v>1.2434400000000001</v>
      </c>
      <c r="N776" s="6">
        <v>3.7679999999999998</v>
      </c>
      <c r="O776" s="6">
        <v>1.2434400000000001</v>
      </c>
      <c r="P776" s="6">
        <v>0</v>
      </c>
      <c r="Q776" s="4" t="s">
        <v>26</v>
      </c>
      <c r="R776" s="4">
        <v>0</v>
      </c>
      <c r="S776" s="4">
        <v>0</v>
      </c>
      <c r="T776" s="4">
        <v>58</v>
      </c>
      <c r="U776" s="4">
        <v>101</v>
      </c>
      <c r="V776" s="6">
        <f>IF(ISERROR(VLOOKUP($S$776,'TAR FIN'!$A$1:$O$120,15,0)),0,VLOOKUP($S$776,'TAR FIN'!$A$1:$O$120,15,0))</f>
        <v>0</v>
      </c>
      <c r="W776" s="6">
        <f>IF(ISERROR(VLOOKUP($T$776,'TAR FIN'!$A$1:$O$120,15,0)),0,VLOOKUP($T$776,'TAR FIN'!$A$1:$O$120,15,0))</f>
        <v>187.79</v>
      </c>
      <c r="X776" s="6">
        <f>IF(ISERROR(VLOOKUP($U$776,'TAR FIN'!$A$1:$O$120,15,0)),0,VLOOKUP($U$776,'TAR FIN'!$A$1:$O$120,15,0))</f>
        <v>205.9</v>
      </c>
      <c r="Y776" s="6"/>
      <c r="Z776" s="6">
        <f ca="1">('TUSD BE'!$AM$68+'TUSD BF'!$AM$68+'TUSD CVA'!$AM$68)*(1-CUSTOS!$M$38)</f>
        <v>222.93739154100084</v>
      </c>
      <c r="AA776" s="6">
        <f>('TE BE'!$AA$32+'TE BF'!$AA$32+'TE CVA'!$AA$32)*(1-CUSTOS!$M$38)</f>
        <v>199.18265392296476</v>
      </c>
      <c r="AB776" s="6">
        <f t="shared" si="38"/>
        <v>0</v>
      </c>
      <c r="AC776" s="6">
        <f>(L776-M776)*(W776+X776)+($W$613+$X$613-$W$776-$X$776)*(L776)</f>
        <v>1462.3317864000001</v>
      </c>
      <c r="AD776" s="6">
        <f t="shared" si="39"/>
        <v>0</v>
      </c>
      <c r="AE776" s="6">
        <f ca="1">(L776-M776)*(Z776+AA776)+($Z$613+$AA$613-$Z$776-$AA$776)*(L776)</f>
        <v>1414.812137629533</v>
      </c>
      <c r="AF776" s="4" t="s">
        <v>1152</v>
      </c>
    </row>
    <row r="777" spans="1:32" ht="11.25" customHeight="1" x14ac:dyDescent="0.25">
      <c r="A777" s="4" t="s">
        <v>28</v>
      </c>
      <c r="B777" s="4" t="s">
        <v>46</v>
      </c>
      <c r="C777" s="4" t="s">
        <v>23</v>
      </c>
      <c r="D777" s="4" t="s">
        <v>47</v>
      </c>
      <c r="E777" s="4" t="s">
        <v>55</v>
      </c>
      <c r="F777" s="4" t="s">
        <v>57</v>
      </c>
      <c r="G777" s="4" t="s">
        <v>25</v>
      </c>
      <c r="H777" s="4" t="s">
        <v>25</v>
      </c>
      <c r="I777" s="5">
        <v>44013</v>
      </c>
      <c r="J777" s="6">
        <v>0</v>
      </c>
      <c r="K777" s="6">
        <v>0</v>
      </c>
      <c r="L777" s="6">
        <v>0.31900000000000001</v>
      </c>
      <c r="M777" s="6">
        <v>0.10527</v>
      </c>
      <c r="N777" s="6">
        <v>0.31900000000000001</v>
      </c>
      <c r="O777" s="6">
        <v>0.10527</v>
      </c>
      <c r="P777" s="6">
        <v>0</v>
      </c>
      <c r="Q777" s="4" t="s">
        <v>26</v>
      </c>
      <c r="R777" s="4">
        <v>0</v>
      </c>
      <c r="S777" s="4">
        <v>0</v>
      </c>
      <c r="T777" s="4">
        <v>58</v>
      </c>
      <c r="U777" s="4">
        <v>101</v>
      </c>
      <c r="V777" s="6">
        <f>IF(ISERROR(VLOOKUP($S$777,'TAR FIN'!$A$1:$O$120,15,0)),0,VLOOKUP($S$777,'TAR FIN'!$A$1:$O$120,15,0))</f>
        <v>0</v>
      </c>
      <c r="W777" s="6">
        <f>IF(ISERROR(VLOOKUP($T$777,'TAR FIN'!$A$1:$O$120,15,0)),0,VLOOKUP($T$777,'TAR FIN'!$A$1:$O$120,15,0))</f>
        <v>187.79</v>
      </c>
      <c r="X777" s="6">
        <f>IF(ISERROR(VLOOKUP($U$777,'TAR FIN'!$A$1:$O$120,15,0)),0,VLOOKUP($U$777,'TAR FIN'!$A$1:$O$120,15,0))</f>
        <v>205.9</v>
      </c>
      <c r="Y777" s="6"/>
      <c r="Z777" s="6">
        <f ca="1">('TUSD BE'!$AM$68+'TUSD BF'!$AM$68+'TUSD CVA'!$AM$68)*(1-CUSTOS!$M$38)</f>
        <v>222.93739154100084</v>
      </c>
      <c r="AA777" s="6">
        <f>('TE BE'!$AA$32+'TE BF'!$AA$32+'TE CVA'!$AA$32)*(1-CUSTOS!$M$38)</f>
        <v>199.18265392296476</v>
      </c>
      <c r="AB777" s="6">
        <f t="shared" si="38"/>
        <v>0</v>
      </c>
      <c r="AC777" s="6">
        <f>(L777-M777)*(W777+X777)+($W$613+$X$613-$W$777-$X$777)*(L777)</f>
        <v>123.80144369999999</v>
      </c>
      <c r="AD777" s="6">
        <f t="shared" si="39"/>
        <v>0</v>
      </c>
      <c r="AE777" s="6">
        <f ca="1">(L777-M777)*(Z777+AA777)+($Z$613+$AA$613-$Z$777-$AA$777)*(L777)</f>
        <v>119.77841611035592</v>
      </c>
      <c r="AF777" s="4" t="s">
        <v>1152</v>
      </c>
    </row>
    <row r="778" spans="1:32" ht="11.25" customHeight="1" x14ac:dyDescent="0.25">
      <c r="A778" s="4" t="s">
        <v>21</v>
      </c>
      <c r="B778" s="4" t="s">
        <v>46</v>
      </c>
      <c r="C778" s="4" t="s">
        <v>23</v>
      </c>
      <c r="D778" s="4" t="s">
        <v>47</v>
      </c>
      <c r="E778" s="4" t="s">
        <v>55</v>
      </c>
      <c r="F778" s="4" t="s">
        <v>57</v>
      </c>
      <c r="G778" s="4" t="s">
        <v>25</v>
      </c>
      <c r="H778" s="4" t="s">
        <v>25</v>
      </c>
      <c r="I778" s="5">
        <v>44044</v>
      </c>
      <c r="J778" s="6">
        <v>0</v>
      </c>
      <c r="K778" s="6">
        <v>0</v>
      </c>
      <c r="L778" s="6">
        <v>11.41</v>
      </c>
      <c r="M778" s="6">
        <v>3.7652999999999999</v>
      </c>
      <c r="N778" s="6">
        <v>11.41</v>
      </c>
      <c r="O778" s="6">
        <v>3.7652999999999999</v>
      </c>
      <c r="P778" s="6">
        <v>0</v>
      </c>
      <c r="Q778" s="4" t="s">
        <v>26</v>
      </c>
      <c r="R778" s="4">
        <v>0</v>
      </c>
      <c r="S778" s="4">
        <v>0</v>
      </c>
      <c r="T778" s="4">
        <v>58</v>
      </c>
      <c r="U778" s="4">
        <v>101</v>
      </c>
      <c r="V778" s="6">
        <f>IF(ISERROR(VLOOKUP($S$778,'TAR FIN'!$A$1:$O$120,15,0)),0,VLOOKUP($S$778,'TAR FIN'!$A$1:$O$120,15,0))</f>
        <v>0</v>
      </c>
      <c r="W778" s="6">
        <f>IF(ISERROR(VLOOKUP($T$778,'TAR FIN'!$A$1:$O$120,15,0)),0,VLOOKUP($T$778,'TAR FIN'!$A$1:$O$120,15,0))</f>
        <v>187.79</v>
      </c>
      <c r="X778" s="6">
        <f>IF(ISERROR(VLOOKUP($U$778,'TAR FIN'!$A$1:$O$120,15,0)),0,VLOOKUP($U$778,'TAR FIN'!$A$1:$O$120,15,0))</f>
        <v>205.9</v>
      </c>
      <c r="Y778" s="6"/>
      <c r="Z778" s="6">
        <f ca="1">('TUSD BE'!$AM$68+'TUSD BF'!$AM$68+'TUSD CVA'!$AM$68)*(1-CUSTOS!$M$38)</f>
        <v>222.93739154100084</v>
      </c>
      <c r="AA778" s="6">
        <f>('TE BE'!$AA$32+'TE BF'!$AA$32+'TE CVA'!$AA$32)*(1-CUSTOS!$M$38)</f>
        <v>199.18265392296476</v>
      </c>
      <c r="AB778" s="6">
        <f t="shared" si="38"/>
        <v>0</v>
      </c>
      <c r="AC778" s="6">
        <f>(L778-M778)*(W778+X778)+($W$613+$X$613-$W$778-$X$778)*(L778)</f>
        <v>4428.133143</v>
      </c>
      <c r="AD778" s="6">
        <f t="shared" si="39"/>
        <v>0</v>
      </c>
      <c r="AE778" s="6">
        <f ca="1">(L778-M778)*(Z778+AA778)+($Z$613+$AA$613-$Z$778-$AA$778)*(L778)</f>
        <v>4284.237391282637</v>
      </c>
      <c r="AF778" s="4" t="s">
        <v>1152</v>
      </c>
    </row>
    <row r="779" spans="1:32" ht="11.25" customHeight="1" x14ac:dyDescent="0.25">
      <c r="A779" s="4" t="s">
        <v>59</v>
      </c>
      <c r="B779" s="4" t="s">
        <v>46</v>
      </c>
      <c r="C779" s="4" t="s">
        <v>23</v>
      </c>
      <c r="D779" s="4" t="s">
        <v>47</v>
      </c>
      <c r="E779" s="4" t="s">
        <v>55</v>
      </c>
      <c r="F779" s="4" t="s">
        <v>57</v>
      </c>
      <c r="G779" s="4" t="s">
        <v>25</v>
      </c>
      <c r="H779" s="4" t="s">
        <v>25</v>
      </c>
      <c r="I779" s="5">
        <v>44075</v>
      </c>
      <c r="J779" s="6">
        <v>0</v>
      </c>
      <c r="K779" s="6">
        <v>0</v>
      </c>
      <c r="L779" s="6">
        <v>11.41</v>
      </c>
      <c r="M779" s="6">
        <v>3.7652999999999999</v>
      </c>
      <c r="N779" s="6">
        <v>11.41</v>
      </c>
      <c r="O779" s="6">
        <v>3.7652999999999999</v>
      </c>
      <c r="P779" s="6">
        <v>0</v>
      </c>
      <c r="Q779" s="4" t="s">
        <v>26</v>
      </c>
      <c r="R779" s="4">
        <v>0</v>
      </c>
      <c r="S779" s="4">
        <v>0</v>
      </c>
      <c r="T779" s="4">
        <v>58</v>
      </c>
      <c r="U779" s="4">
        <v>101</v>
      </c>
      <c r="V779" s="6">
        <f>IF(ISERROR(VLOOKUP($S$779,'TAR FIN'!$A$1:$O$120,15,0)),0,VLOOKUP($S$779,'TAR FIN'!$A$1:$O$120,15,0))</f>
        <v>0</v>
      </c>
      <c r="W779" s="6">
        <f>IF(ISERROR(VLOOKUP($T$779,'TAR FIN'!$A$1:$O$120,15,0)),0,VLOOKUP($T$779,'TAR FIN'!$A$1:$O$120,15,0))</f>
        <v>187.79</v>
      </c>
      <c r="X779" s="6">
        <f>IF(ISERROR(VLOOKUP($U$779,'TAR FIN'!$A$1:$O$120,15,0)),0,VLOOKUP($U$779,'TAR FIN'!$A$1:$O$120,15,0))</f>
        <v>205.9</v>
      </c>
      <c r="Y779" s="6"/>
      <c r="Z779" s="6">
        <f ca="1">('TUSD BE'!$AM$68+'TUSD BF'!$AM$68+'TUSD CVA'!$AM$68)*(1-CUSTOS!$M$38)</f>
        <v>222.93739154100084</v>
      </c>
      <c r="AA779" s="6">
        <f>('TE BE'!$AA$32+'TE BF'!$AA$32+'TE CVA'!$AA$32)*(1-CUSTOS!$M$38)</f>
        <v>199.18265392296476</v>
      </c>
      <c r="AB779" s="6">
        <f t="shared" si="38"/>
        <v>0</v>
      </c>
      <c r="AC779" s="6">
        <f>(L779-M779)*(W779+X779)+($W$613+$X$613-$W$779-$X$779)*(L779)</f>
        <v>4428.133143</v>
      </c>
      <c r="AD779" s="6">
        <f t="shared" si="39"/>
        <v>0</v>
      </c>
      <c r="AE779" s="6">
        <f ca="1">(L779-M779)*(Z779+AA779)+($Z$613+$AA$613-$Z$779-$AA$779)*(L779)</f>
        <v>4284.237391282637</v>
      </c>
      <c r="AF779" s="4" t="s">
        <v>1152</v>
      </c>
    </row>
    <row r="780" spans="1:32" ht="11.25" customHeight="1" x14ac:dyDescent="0.25">
      <c r="A780" s="4" t="s">
        <v>21</v>
      </c>
      <c r="B780" s="4" t="s">
        <v>46</v>
      </c>
      <c r="C780" s="4" t="s">
        <v>23</v>
      </c>
      <c r="D780" s="4" t="s">
        <v>47</v>
      </c>
      <c r="E780" s="4" t="s">
        <v>25</v>
      </c>
      <c r="F780" s="4" t="s">
        <v>25</v>
      </c>
      <c r="G780" s="4" t="s">
        <v>25</v>
      </c>
      <c r="H780" s="4" t="s">
        <v>25</v>
      </c>
      <c r="I780" s="5">
        <v>43739</v>
      </c>
      <c r="J780" s="6">
        <v>0</v>
      </c>
      <c r="K780" s="6">
        <v>0</v>
      </c>
      <c r="L780" s="6">
        <v>7720.8940000000002</v>
      </c>
      <c r="M780" s="6">
        <v>7720.8940000000002</v>
      </c>
      <c r="N780" s="6">
        <v>7720.8940000000002</v>
      </c>
      <c r="O780" s="6">
        <v>7720.8940000000002</v>
      </c>
      <c r="P780" s="6">
        <v>10456</v>
      </c>
      <c r="Q780" s="4" t="s">
        <v>26</v>
      </c>
      <c r="R780" s="4">
        <v>0</v>
      </c>
      <c r="S780" s="4">
        <v>0</v>
      </c>
      <c r="T780" s="4">
        <v>58</v>
      </c>
      <c r="U780" s="4">
        <v>101</v>
      </c>
      <c r="V780" s="6">
        <f>IF(ISERROR(VLOOKUP($S$780,'TAR FIN'!$A$1:$O$120,15,0)),0,VLOOKUP($S$780,'TAR FIN'!$A$1:$O$120,15,0))</f>
        <v>0</v>
      </c>
      <c r="W780" s="6">
        <f>IF(ISERROR(VLOOKUP($T$780,'TAR FIN'!$A$1:$O$120,15,0)),0,VLOOKUP($T$780,'TAR FIN'!$A$1:$O$120,15,0))</f>
        <v>187.79</v>
      </c>
      <c r="X780" s="6">
        <f>IF(ISERROR(VLOOKUP($U$780,'TAR FIN'!$A$1:$O$120,15,0)),0,VLOOKUP($U$780,'TAR FIN'!$A$1:$O$120,15,0))</f>
        <v>205.9</v>
      </c>
      <c r="Y780" s="6"/>
      <c r="Z780" s="6">
        <f ca="1">('TUSD BE'!$AM$68+'TUSD BF'!$AM$68+'TUSD CVA'!$AM$68)*(1-CUSTOS!$M$38)</f>
        <v>222.93739154100084</v>
      </c>
      <c r="AA780" s="6">
        <f>('TE BE'!$AA$32+'TE BF'!$AA$32+'TE CVA'!$AA$32)*(1-CUSTOS!$M$38)</f>
        <v>199.18265392296476</v>
      </c>
      <c r="AB780" s="6">
        <f t="shared" si="38"/>
        <v>0</v>
      </c>
      <c r="AC780" s="6">
        <f>(L780-M780)*(W780+X780)+($W$613+$X$613-$W$780-$X$780)*(L780)</f>
        <v>959861.54208000016</v>
      </c>
      <c r="AD780" s="6">
        <f t="shared" si="39"/>
        <v>0</v>
      </c>
      <c r="AE780" s="6">
        <f ca="1">(L780-M780)*(Z780+AA780)+($Z$613+$AA$613-$Z$780-$AA$780)*(L780)</f>
        <v>715421.88138346642</v>
      </c>
      <c r="AF780" s="4" t="s">
        <v>1151</v>
      </c>
    </row>
    <row r="781" spans="1:32" ht="11.25" customHeight="1" x14ac:dyDescent="0.25">
      <c r="A781" s="4" t="s">
        <v>27</v>
      </c>
      <c r="B781" s="4" t="s">
        <v>46</v>
      </c>
      <c r="C781" s="4" t="s">
        <v>23</v>
      </c>
      <c r="D781" s="4" t="s">
        <v>47</v>
      </c>
      <c r="E781" s="4" t="s">
        <v>25</v>
      </c>
      <c r="F781" s="4" t="s">
        <v>25</v>
      </c>
      <c r="G781" s="4" t="s">
        <v>25</v>
      </c>
      <c r="H781" s="4" t="s">
        <v>25</v>
      </c>
      <c r="I781" s="5">
        <v>43739</v>
      </c>
      <c r="J781" s="6">
        <v>0</v>
      </c>
      <c r="K781" s="6">
        <v>0</v>
      </c>
      <c r="L781" s="6">
        <v>42.47</v>
      </c>
      <c r="M781" s="6">
        <v>42.47</v>
      </c>
      <c r="N781" s="6">
        <v>42.47</v>
      </c>
      <c r="O781" s="6">
        <v>42.47</v>
      </c>
      <c r="P781" s="6">
        <v>3</v>
      </c>
      <c r="Q781" s="4" t="s">
        <v>26</v>
      </c>
      <c r="R781" s="4">
        <v>0</v>
      </c>
      <c r="S781" s="4">
        <v>0</v>
      </c>
      <c r="T781" s="4">
        <v>58</v>
      </c>
      <c r="U781" s="4">
        <v>101</v>
      </c>
      <c r="V781" s="6">
        <f>IF(ISERROR(VLOOKUP($S$781,'TAR FIN'!$A$1:$O$120,15,0)),0,VLOOKUP($S$781,'TAR FIN'!$A$1:$O$120,15,0))</f>
        <v>0</v>
      </c>
      <c r="W781" s="6">
        <f>IF(ISERROR(VLOOKUP($T$781,'TAR FIN'!$A$1:$O$120,15,0)),0,VLOOKUP($T$781,'TAR FIN'!$A$1:$O$120,15,0))</f>
        <v>187.79</v>
      </c>
      <c r="X781" s="6">
        <f>IF(ISERROR(VLOOKUP($U$781,'TAR FIN'!$A$1:$O$120,15,0)),0,VLOOKUP($U$781,'TAR FIN'!$A$1:$O$120,15,0))</f>
        <v>205.9</v>
      </c>
      <c r="Y781" s="6"/>
      <c r="Z781" s="6">
        <f ca="1">('TUSD BE'!$AM$68+'TUSD BF'!$AM$68+'TUSD CVA'!$AM$68)*(1-CUSTOS!$M$38)</f>
        <v>222.93739154100084</v>
      </c>
      <c r="AA781" s="6">
        <f>('TE BE'!$AA$32+'TE BF'!$AA$32+'TE CVA'!$AA$32)*(1-CUSTOS!$M$38)</f>
        <v>199.18265392296476</v>
      </c>
      <c r="AB781" s="6">
        <f t="shared" si="38"/>
        <v>0</v>
      </c>
      <c r="AC781" s="6">
        <f>(L781-M781)*(W781+X781)+($W$613+$X$613-$W$781-$X$781)*(L781)</f>
        <v>5279.8704000000007</v>
      </c>
      <c r="AD781" s="6">
        <f t="shared" si="39"/>
        <v>0</v>
      </c>
      <c r="AE781" s="6">
        <f ca="1">(L781-M781)*(Z781+AA781)+($Z$613+$AA$613-$Z$781-$AA$781)*(L781)</f>
        <v>3935.2913409193052</v>
      </c>
      <c r="AF781" s="4" t="s">
        <v>1151</v>
      </c>
    </row>
    <row r="782" spans="1:32" ht="11.25" customHeight="1" x14ac:dyDescent="0.25">
      <c r="A782" s="4" t="s">
        <v>28</v>
      </c>
      <c r="B782" s="4" t="s">
        <v>46</v>
      </c>
      <c r="C782" s="4" t="s">
        <v>23</v>
      </c>
      <c r="D782" s="4" t="s">
        <v>47</v>
      </c>
      <c r="E782" s="4" t="s">
        <v>25</v>
      </c>
      <c r="F782" s="4" t="s">
        <v>25</v>
      </c>
      <c r="G782" s="4" t="s">
        <v>25</v>
      </c>
      <c r="H782" s="4" t="s">
        <v>25</v>
      </c>
      <c r="I782" s="5">
        <v>43739</v>
      </c>
      <c r="J782" s="6">
        <v>0</v>
      </c>
      <c r="K782" s="6">
        <v>0</v>
      </c>
      <c r="L782" s="6">
        <v>50.860999999999997</v>
      </c>
      <c r="M782" s="6">
        <v>50.860999999999997</v>
      </c>
      <c r="N782" s="6">
        <v>50.860999999999997</v>
      </c>
      <c r="O782" s="6">
        <v>50.860999999999997</v>
      </c>
      <c r="P782" s="6">
        <v>37</v>
      </c>
      <c r="Q782" s="4" t="s">
        <v>26</v>
      </c>
      <c r="R782" s="4">
        <v>0</v>
      </c>
      <c r="S782" s="4">
        <v>0</v>
      </c>
      <c r="T782" s="4">
        <v>58</v>
      </c>
      <c r="U782" s="4">
        <v>101</v>
      </c>
      <c r="V782" s="6">
        <f>IF(ISERROR(VLOOKUP($S$782,'TAR FIN'!$A$1:$O$120,15,0)),0,VLOOKUP($S$782,'TAR FIN'!$A$1:$O$120,15,0))</f>
        <v>0</v>
      </c>
      <c r="W782" s="6">
        <f>IF(ISERROR(VLOOKUP($T$782,'TAR FIN'!$A$1:$O$120,15,0)),0,VLOOKUP($T$782,'TAR FIN'!$A$1:$O$120,15,0))</f>
        <v>187.79</v>
      </c>
      <c r="X782" s="6">
        <f>IF(ISERROR(VLOOKUP($U$782,'TAR FIN'!$A$1:$O$120,15,0)),0,VLOOKUP($U$782,'TAR FIN'!$A$1:$O$120,15,0))</f>
        <v>205.9</v>
      </c>
      <c r="Y782" s="6"/>
      <c r="Z782" s="6">
        <f ca="1">('TUSD BE'!$AM$68+'TUSD BF'!$AM$68+'TUSD CVA'!$AM$68)*(1-CUSTOS!$M$38)</f>
        <v>222.93739154100084</v>
      </c>
      <c r="AA782" s="6">
        <f>('TE BE'!$AA$32+'TE BF'!$AA$32+'TE CVA'!$AA$32)*(1-CUSTOS!$M$38)</f>
        <v>199.18265392296476</v>
      </c>
      <c r="AB782" s="6">
        <f t="shared" si="38"/>
        <v>0</v>
      </c>
      <c r="AC782" s="6">
        <f>(L782-M782)*(W782+X782)+($W$613+$X$613-$W$782-$X$782)*(L782)</f>
        <v>6323.0395200000012</v>
      </c>
      <c r="AD782" s="6">
        <f t="shared" si="39"/>
        <v>0</v>
      </c>
      <c r="AE782" s="6">
        <f ca="1">(L782-M782)*(Z782+AA782)+($Z$613+$AA$613-$Z$782-$AA$782)*(L782)</f>
        <v>4712.8055778313346</v>
      </c>
      <c r="AF782" s="4" t="s">
        <v>1151</v>
      </c>
    </row>
    <row r="783" spans="1:32" ht="11.25" customHeight="1" x14ac:dyDescent="0.25">
      <c r="A783" s="4" t="s">
        <v>21</v>
      </c>
      <c r="B783" s="4" t="s">
        <v>46</v>
      </c>
      <c r="C783" s="4" t="s">
        <v>23</v>
      </c>
      <c r="D783" s="4" t="s">
        <v>47</v>
      </c>
      <c r="E783" s="4" t="s">
        <v>25</v>
      </c>
      <c r="F783" s="4" t="s">
        <v>25</v>
      </c>
      <c r="G783" s="4" t="s">
        <v>25</v>
      </c>
      <c r="H783" s="4" t="s">
        <v>25</v>
      </c>
      <c r="I783" s="5">
        <v>43770</v>
      </c>
      <c r="J783" s="6">
        <v>0</v>
      </c>
      <c r="K783" s="6">
        <v>0</v>
      </c>
      <c r="L783" s="6">
        <v>7581.4989999999998</v>
      </c>
      <c r="M783" s="6">
        <v>7581.4989999999998</v>
      </c>
      <c r="N783" s="6">
        <v>7581.4989999999998</v>
      </c>
      <c r="O783" s="6">
        <v>7581.4989999999998</v>
      </c>
      <c r="P783" s="6">
        <v>10432</v>
      </c>
      <c r="Q783" s="4" t="s">
        <v>26</v>
      </c>
      <c r="R783" s="4">
        <v>0</v>
      </c>
      <c r="S783" s="4">
        <v>0</v>
      </c>
      <c r="T783" s="4">
        <v>58</v>
      </c>
      <c r="U783" s="4">
        <v>101</v>
      </c>
      <c r="V783" s="6">
        <f>IF(ISERROR(VLOOKUP($S$783,'TAR FIN'!$A$1:$O$120,15,0)),0,VLOOKUP($S$783,'TAR FIN'!$A$1:$O$120,15,0))</f>
        <v>0</v>
      </c>
      <c r="W783" s="6">
        <f>IF(ISERROR(VLOOKUP($T$783,'TAR FIN'!$A$1:$O$120,15,0)),0,VLOOKUP($T$783,'TAR FIN'!$A$1:$O$120,15,0))</f>
        <v>187.79</v>
      </c>
      <c r="X783" s="6">
        <f>IF(ISERROR(VLOOKUP($U$783,'TAR FIN'!$A$1:$O$120,15,0)),0,VLOOKUP($U$783,'TAR FIN'!$A$1:$O$120,15,0))</f>
        <v>205.9</v>
      </c>
      <c r="Y783" s="6"/>
      <c r="Z783" s="6">
        <f ca="1">('TUSD BE'!$AM$68+'TUSD BF'!$AM$68+'TUSD CVA'!$AM$68)*(1-CUSTOS!$M$38)</f>
        <v>222.93739154100084</v>
      </c>
      <c r="AA783" s="6">
        <f>('TE BE'!$AA$32+'TE BF'!$AA$32+'TE CVA'!$AA$32)*(1-CUSTOS!$M$38)</f>
        <v>199.18265392296476</v>
      </c>
      <c r="AB783" s="6">
        <f t="shared" si="38"/>
        <v>0</v>
      </c>
      <c r="AC783" s="6">
        <f>(L783-M783)*(W783+X783)+($W$613+$X$613-$W$783-$X$783)*(L783)</f>
        <v>942531.95568000013</v>
      </c>
      <c r="AD783" s="6">
        <f t="shared" si="39"/>
        <v>0</v>
      </c>
      <c r="AE783" s="6">
        <f ca="1">(L783-M783)*(Z783+AA783)+($Z$613+$AA$613-$Z$783-$AA$783)*(L783)</f>
        <v>702505.47129475791</v>
      </c>
      <c r="AF783" s="4" t="s">
        <v>1151</v>
      </c>
    </row>
    <row r="784" spans="1:32" ht="11.25" customHeight="1" x14ac:dyDescent="0.25">
      <c r="A784" s="4" t="s">
        <v>27</v>
      </c>
      <c r="B784" s="4" t="s">
        <v>46</v>
      </c>
      <c r="C784" s="4" t="s">
        <v>23</v>
      </c>
      <c r="D784" s="4" t="s">
        <v>47</v>
      </c>
      <c r="E784" s="4" t="s">
        <v>25</v>
      </c>
      <c r="F784" s="4" t="s">
        <v>25</v>
      </c>
      <c r="G784" s="4" t="s">
        <v>25</v>
      </c>
      <c r="H784" s="4" t="s">
        <v>25</v>
      </c>
      <c r="I784" s="5">
        <v>43770</v>
      </c>
      <c r="J784" s="6">
        <v>0</v>
      </c>
      <c r="K784" s="6">
        <v>0</v>
      </c>
      <c r="L784" s="6">
        <v>4.6390000000000002</v>
      </c>
      <c r="M784" s="6">
        <v>4.6390000000000002</v>
      </c>
      <c r="N784" s="6">
        <v>4.6390000000000002</v>
      </c>
      <c r="O784" s="6">
        <v>4.6390000000000002</v>
      </c>
      <c r="P784" s="6">
        <v>2</v>
      </c>
      <c r="Q784" s="4" t="s">
        <v>26</v>
      </c>
      <c r="R784" s="4">
        <v>0</v>
      </c>
      <c r="S784" s="4">
        <v>0</v>
      </c>
      <c r="T784" s="4">
        <v>58</v>
      </c>
      <c r="U784" s="4">
        <v>101</v>
      </c>
      <c r="V784" s="6">
        <f>IF(ISERROR(VLOOKUP($S$784,'TAR FIN'!$A$1:$O$120,15,0)),0,VLOOKUP($S$784,'TAR FIN'!$A$1:$O$120,15,0))</f>
        <v>0</v>
      </c>
      <c r="W784" s="6">
        <f>IF(ISERROR(VLOOKUP($T$784,'TAR FIN'!$A$1:$O$120,15,0)),0,VLOOKUP($T$784,'TAR FIN'!$A$1:$O$120,15,0))</f>
        <v>187.79</v>
      </c>
      <c r="X784" s="6">
        <f>IF(ISERROR(VLOOKUP($U$784,'TAR FIN'!$A$1:$O$120,15,0)),0,VLOOKUP($U$784,'TAR FIN'!$A$1:$O$120,15,0))</f>
        <v>205.9</v>
      </c>
      <c r="Y784" s="6"/>
      <c r="Z784" s="6">
        <f ca="1">('TUSD BE'!$AM$68+'TUSD BF'!$AM$68+'TUSD CVA'!$AM$68)*(1-CUSTOS!$M$38)</f>
        <v>222.93739154100084</v>
      </c>
      <c r="AA784" s="6">
        <f>('TE BE'!$AA$32+'TE BF'!$AA$32+'TE CVA'!$AA$32)*(1-CUSTOS!$M$38)</f>
        <v>199.18265392296476</v>
      </c>
      <c r="AB784" s="6">
        <f t="shared" si="38"/>
        <v>0</v>
      </c>
      <c r="AC784" s="6">
        <f>(L784-M784)*(W784+X784)+($W$613+$X$613-$W$784-$X$784)*(L784)</f>
        <v>576.72048000000018</v>
      </c>
      <c r="AD784" s="6">
        <f t="shared" si="39"/>
        <v>0</v>
      </c>
      <c r="AE784" s="6">
        <f ca="1">(L784-M784)*(Z784+AA784)+($Z$613+$AA$613-$Z$784-$AA$784)*(L784)</f>
        <v>429.85204922356149</v>
      </c>
      <c r="AF784" s="4" t="s">
        <v>1151</v>
      </c>
    </row>
    <row r="785" spans="1:32" ht="11.25" customHeight="1" x14ac:dyDescent="0.25">
      <c r="A785" s="4" t="s">
        <v>28</v>
      </c>
      <c r="B785" s="4" t="s">
        <v>46</v>
      </c>
      <c r="C785" s="4" t="s">
        <v>23</v>
      </c>
      <c r="D785" s="4" t="s">
        <v>47</v>
      </c>
      <c r="E785" s="4" t="s">
        <v>25</v>
      </c>
      <c r="F785" s="4" t="s">
        <v>25</v>
      </c>
      <c r="G785" s="4" t="s">
        <v>25</v>
      </c>
      <c r="H785" s="4" t="s">
        <v>25</v>
      </c>
      <c r="I785" s="5">
        <v>43770</v>
      </c>
      <c r="J785" s="6">
        <v>0</v>
      </c>
      <c r="K785" s="6">
        <v>0</v>
      </c>
      <c r="L785" s="6">
        <v>58.378999999999998</v>
      </c>
      <c r="M785" s="6">
        <v>58.378999999999998</v>
      </c>
      <c r="N785" s="6">
        <v>58.378999999999998</v>
      </c>
      <c r="O785" s="6">
        <v>58.378999999999998</v>
      </c>
      <c r="P785" s="6">
        <v>37</v>
      </c>
      <c r="Q785" s="4" t="s">
        <v>26</v>
      </c>
      <c r="R785" s="4">
        <v>0</v>
      </c>
      <c r="S785" s="4">
        <v>0</v>
      </c>
      <c r="T785" s="4">
        <v>58</v>
      </c>
      <c r="U785" s="4">
        <v>101</v>
      </c>
      <c r="V785" s="6">
        <f>IF(ISERROR(VLOOKUP($S$785,'TAR FIN'!$A$1:$O$120,15,0)),0,VLOOKUP($S$785,'TAR FIN'!$A$1:$O$120,15,0))</f>
        <v>0</v>
      </c>
      <c r="W785" s="6">
        <f>IF(ISERROR(VLOOKUP($T$785,'TAR FIN'!$A$1:$O$120,15,0)),0,VLOOKUP($T$785,'TAR FIN'!$A$1:$O$120,15,0))</f>
        <v>187.79</v>
      </c>
      <c r="X785" s="6">
        <f>IF(ISERROR(VLOOKUP($U$785,'TAR FIN'!$A$1:$O$120,15,0)),0,VLOOKUP($U$785,'TAR FIN'!$A$1:$O$120,15,0))</f>
        <v>205.9</v>
      </c>
      <c r="Y785" s="6"/>
      <c r="Z785" s="6">
        <f ca="1">('TUSD BE'!$AM$68+'TUSD BF'!$AM$68+'TUSD CVA'!$AM$68)*(1-CUSTOS!$M$38)</f>
        <v>222.93739154100084</v>
      </c>
      <c r="AA785" s="6">
        <f>('TE BE'!$AA$32+'TE BF'!$AA$32+'TE CVA'!$AA$32)*(1-CUSTOS!$M$38)</f>
        <v>199.18265392296476</v>
      </c>
      <c r="AB785" s="6">
        <f t="shared" si="38"/>
        <v>0</v>
      </c>
      <c r="AC785" s="6">
        <f>(L785-M785)*(W785+X785)+($W$613+$X$613-$W$785-$X$785)*(L785)</f>
        <v>7257.6772800000008</v>
      </c>
      <c r="AD785" s="6">
        <f t="shared" si="39"/>
        <v>0</v>
      </c>
      <c r="AE785" s="6">
        <f ca="1">(L785-M785)*(Z785+AA785)+($Z$613+$AA$613-$Z$785-$AA$785)*(L785)</f>
        <v>5409.427200177257</v>
      </c>
      <c r="AF785" s="4" t="s">
        <v>1151</v>
      </c>
    </row>
    <row r="786" spans="1:32" ht="11.25" customHeight="1" x14ac:dyDescent="0.25">
      <c r="A786" s="4" t="s">
        <v>28</v>
      </c>
      <c r="B786" s="4" t="s">
        <v>46</v>
      </c>
      <c r="C786" s="4" t="s">
        <v>23</v>
      </c>
      <c r="D786" s="4" t="s">
        <v>47</v>
      </c>
      <c r="E786" s="4" t="s">
        <v>25</v>
      </c>
      <c r="F786" s="4" t="s">
        <v>25</v>
      </c>
      <c r="G786" s="4" t="s">
        <v>25</v>
      </c>
      <c r="H786" s="4" t="s">
        <v>25</v>
      </c>
      <c r="I786" s="5">
        <v>43770</v>
      </c>
      <c r="J786" s="6">
        <v>0</v>
      </c>
      <c r="K786" s="6">
        <v>0</v>
      </c>
      <c r="L786" s="6">
        <v>18.405999999999999</v>
      </c>
      <c r="M786" s="6">
        <v>18.405999999999999</v>
      </c>
      <c r="N786" s="6">
        <v>18.405999999999999</v>
      </c>
      <c r="O786" s="6">
        <v>18.405999999999999</v>
      </c>
      <c r="P786" s="6">
        <v>1</v>
      </c>
      <c r="Q786" s="4" t="s">
        <v>26</v>
      </c>
      <c r="R786" s="4">
        <v>0</v>
      </c>
      <c r="S786" s="4">
        <v>0</v>
      </c>
      <c r="T786" s="4">
        <v>58</v>
      </c>
      <c r="U786" s="4">
        <v>101</v>
      </c>
      <c r="V786" s="6">
        <f>IF(ISERROR(VLOOKUP($S$786,'TAR FIN'!$A$1:$O$120,15,0)),0,VLOOKUP($S$786,'TAR FIN'!$A$1:$O$120,15,0))</f>
        <v>0</v>
      </c>
      <c r="W786" s="6">
        <f>IF(ISERROR(VLOOKUP($T$786,'TAR FIN'!$A$1:$O$120,15,0)),0,VLOOKUP($T$786,'TAR FIN'!$A$1:$O$120,15,0))</f>
        <v>187.79</v>
      </c>
      <c r="X786" s="6">
        <f>IF(ISERROR(VLOOKUP($U$786,'TAR FIN'!$A$1:$O$120,15,0)),0,VLOOKUP($U$786,'TAR FIN'!$A$1:$O$120,15,0))</f>
        <v>205.9</v>
      </c>
      <c r="Y786" s="6"/>
      <c r="Z786" s="6">
        <f ca="1">('TUSD BE'!$AM$68+'TUSD BF'!$AM$68+'TUSD CVA'!$AM$68)*(1-CUSTOS!$M$38)</f>
        <v>222.93739154100084</v>
      </c>
      <c r="AA786" s="6">
        <f>('TE BE'!$AA$32+'TE BF'!$AA$32+'TE CVA'!$AA$32)*(1-CUSTOS!$M$38)</f>
        <v>199.18265392296476</v>
      </c>
      <c r="AB786" s="6">
        <f t="shared" si="38"/>
        <v>0</v>
      </c>
      <c r="AC786" s="6">
        <f>(L786-M786)*(W786+X786)+($W$613+$X$613-$W$786-$X$786)*(L786)</f>
        <v>2288.2339200000001</v>
      </c>
      <c r="AD786" s="6">
        <f t="shared" si="39"/>
        <v>0</v>
      </c>
      <c r="AE786" s="6">
        <f ca="1">(L786-M786)*(Z786+AA786)+($Z$613+$AA$613-$Z$786-$AA$786)*(L786)</f>
        <v>1705.5091222265298</v>
      </c>
      <c r="AF786" s="4" t="s">
        <v>1151</v>
      </c>
    </row>
    <row r="787" spans="1:32" ht="11.25" customHeight="1" x14ac:dyDescent="0.25">
      <c r="A787" s="4" t="s">
        <v>21</v>
      </c>
      <c r="B787" s="4" t="s">
        <v>46</v>
      </c>
      <c r="C787" s="4" t="s">
        <v>23</v>
      </c>
      <c r="D787" s="4" t="s">
        <v>47</v>
      </c>
      <c r="E787" s="4" t="s">
        <v>25</v>
      </c>
      <c r="F787" s="4" t="s">
        <v>25</v>
      </c>
      <c r="G787" s="4" t="s">
        <v>25</v>
      </c>
      <c r="H787" s="4" t="s">
        <v>25</v>
      </c>
      <c r="I787" s="5">
        <v>43800</v>
      </c>
      <c r="J787" s="6">
        <v>0</v>
      </c>
      <c r="K787" s="6">
        <v>0</v>
      </c>
      <c r="L787" s="6">
        <v>6202.0659999999998</v>
      </c>
      <c r="M787" s="6">
        <v>6202.0659999999998</v>
      </c>
      <c r="N787" s="6">
        <v>6202.0659999999998</v>
      </c>
      <c r="O787" s="6">
        <v>6202.0659999999998</v>
      </c>
      <c r="P787" s="6">
        <v>10445</v>
      </c>
      <c r="Q787" s="4" t="s">
        <v>26</v>
      </c>
      <c r="R787" s="4">
        <v>0</v>
      </c>
      <c r="S787" s="4">
        <v>0</v>
      </c>
      <c r="T787" s="4">
        <v>58</v>
      </c>
      <c r="U787" s="4">
        <v>101</v>
      </c>
      <c r="V787" s="6">
        <f>IF(ISERROR(VLOOKUP($S$787,'TAR FIN'!$A$1:$O$120,15,0)),0,VLOOKUP($S$787,'TAR FIN'!$A$1:$O$120,15,0))</f>
        <v>0</v>
      </c>
      <c r="W787" s="6">
        <f>IF(ISERROR(VLOOKUP($T$787,'TAR FIN'!$A$1:$O$120,15,0)),0,VLOOKUP($T$787,'TAR FIN'!$A$1:$O$120,15,0))</f>
        <v>187.79</v>
      </c>
      <c r="X787" s="6">
        <f>IF(ISERROR(VLOOKUP($U$787,'TAR FIN'!$A$1:$O$120,15,0)),0,VLOOKUP($U$787,'TAR FIN'!$A$1:$O$120,15,0))</f>
        <v>205.9</v>
      </c>
      <c r="Y787" s="6"/>
      <c r="Z787" s="6">
        <f ca="1">('TUSD BE'!$AM$68+'TUSD BF'!$AM$68+'TUSD CVA'!$AM$68)*(1-CUSTOS!$M$38)</f>
        <v>222.93739154100084</v>
      </c>
      <c r="AA787" s="6">
        <f>('TE BE'!$AA$32+'TE BF'!$AA$32+'TE CVA'!$AA$32)*(1-CUSTOS!$M$38)</f>
        <v>199.18265392296476</v>
      </c>
      <c r="AB787" s="6">
        <f t="shared" si="38"/>
        <v>0</v>
      </c>
      <c r="AC787" s="6">
        <f>(L787-M787)*(W787+X787)+($W$613+$X$613-$W$787-$X$787)*(L787)</f>
        <v>771040.84512000007</v>
      </c>
      <c r="AD787" s="6">
        <f t="shared" si="39"/>
        <v>0</v>
      </c>
      <c r="AE787" s="6">
        <f ca="1">(L787-M787)*(Z787+AA787)+($Z$613+$AA$613-$Z$787-$AA$787)*(L787)</f>
        <v>574686.52285401535</v>
      </c>
      <c r="AF787" s="4" t="s">
        <v>1151</v>
      </c>
    </row>
    <row r="788" spans="1:32" ht="11.25" customHeight="1" x14ac:dyDescent="0.25">
      <c r="A788" s="4" t="s">
        <v>27</v>
      </c>
      <c r="B788" s="4" t="s">
        <v>46</v>
      </c>
      <c r="C788" s="4" t="s">
        <v>23</v>
      </c>
      <c r="D788" s="4" t="s">
        <v>47</v>
      </c>
      <c r="E788" s="4" t="s">
        <v>25</v>
      </c>
      <c r="F788" s="4" t="s">
        <v>25</v>
      </c>
      <c r="G788" s="4" t="s">
        <v>25</v>
      </c>
      <c r="H788" s="4" t="s">
        <v>25</v>
      </c>
      <c r="I788" s="5">
        <v>43800</v>
      </c>
      <c r="J788" s="6">
        <v>0</v>
      </c>
      <c r="K788" s="6">
        <v>0</v>
      </c>
      <c r="L788" s="6">
        <v>64.376000000000005</v>
      </c>
      <c r="M788" s="6">
        <v>64.376000000000005</v>
      </c>
      <c r="N788" s="6">
        <v>64.376000000000005</v>
      </c>
      <c r="O788" s="6">
        <v>64.376000000000005</v>
      </c>
      <c r="P788" s="6">
        <v>3</v>
      </c>
      <c r="Q788" s="4" t="s">
        <v>26</v>
      </c>
      <c r="R788" s="4">
        <v>0</v>
      </c>
      <c r="S788" s="4">
        <v>0</v>
      </c>
      <c r="T788" s="4">
        <v>58</v>
      </c>
      <c r="U788" s="4">
        <v>101</v>
      </c>
      <c r="V788" s="6">
        <f>IF(ISERROR(VLOOKUP($S$788,'TAR FIN'!$A$1:$O$120,15,0)),0,VLOOKUP($S$788,'TAR FIN'!$A$1:$O$120,15,0))</f>
        <v>0</v>
      </c>
      <c r="W788" s="6">
        <f>IF(ISERROR(VLOOKUP($T$788,'TAR FIN'!$A$1:$O$120,15,0)),0,VLOOKUP($T$788,'TAR FIN'!$A$1:$O$120,15,0))</f>
        <v>187.79</v>
      </c>
      <c r="X788" s="6">
        <f>IF(ISERROR(VLOOKUP($U$788,'TAR FIN'!$A$1:$O$120,15,0)),0,VLOOKUP($U$788,'TAR FIN'!$A$1:$O$120,15,0))</f>
        <v>205.9</v>
      </c>
      <c r="Y788" s="6"/>
      <c r="Z788" s="6">
        <f ca="1">('TUSD BE'!$AM$68+'TUSD BF'!$AM$68+'TUSD CVA'!$AM$68)*(1-CUSTOS!$M$38)</f>
        <v>222.93739154100084</v>
      </c>
      <c r="AA788" s="6">
        <f>('TE BE'!$AA$32+'TE BF'!$AA$32+'TE CVA'!$AA$32)*(1-CUSTOS!$M$38)</f>
        <v>199.18265392296476</v>
      </c>
      <c r="AB788" s="6">
        <f t="shared" si="38"/>
        <v>0</v>
      </c>
      <c r="AC788" s="6">
        <f>(L788-M788)*(W788+X788)+($W$613+$X$613-$W$788-$X$788)*(L788)</f>
        <v>8003.2243200000021</v>
      </c>
      <c r="AD788" s="6">
        <f t="shared" si="39"/>
        <v>0</v>
      </c>
      <c r="AE788" s="6">
        <f ca="1">(L788-M788)*(Z788+AA788)+($Z$613+$AA$613-$Z$788-$AA$788)*(L788)</f>
        <v>5965.112205392541</v>
      </c>
      <c r="AF788" s="4" t="s">
        <v>1151</v>
      </c>
    </row>
    <row r="789" spans="1:32" ht="11.25" customHeight="1" x14ac:dyDescent="0.25">
      <c r="A789" s="4" t="s">
        <v>28</v>
      </c>
      <c r="B789" s="4" t="s">
        <v>46</v>
      </c>
      <c r="C789" s="4" t="s">
        <v>23</v>
      </c>
      <c r="D789" s="4" t="s">
        <v>47</v>
      </c>
      <c r="E789" s="4" t="s">
        <v>25</v>
      </c>
      <c r="F789" s="4" t="s">
        <v>25</v>
      </c>
      <c r="G789" s="4" t="s">
        <v>25</v>
      </c>
      <c r="H789" s="4" t="s">
        <v>25</v>
      </c>
      <c r="I789" s="5">
        <v>43800</v>
      </c>
      <c r="J789" s="6">
        <v>0</v>
      </c>
      <c r="K789" s="6">
        <v>0</v>
      </c>
      <c r="L789" s="6">
        <v>33.963000000000001</v>
      </c>
      <c r="M789" s="6">
        <v>33.963000000000001</v>
      </c>
      <c r="N789" s="6">
        <v>33.963000000000001</v>
      </c>
      <c r="O789" s="6">
        <v>33.963000000000001</v>
      </c>
      <c r="P789" s="6">
        <v>37</v>
      </c>
      <c r="Q789" s="4" t="s">
        <v>26</v>
      </c>
      <c r="R789" s="4">
        <v>0</v>
      </c>
      <c r="S789" s="4">
        <v>0</v>
      </c>
      <c r="T789" s="4">
        <v>58</v>
      </c>
      <c r="U789" s="4">
        <v>101</v>
      </c>
      <c r="V789" s="6">
        <f>IF(ISERROR(VLOOKUP($S$789,'TAR FIN'!$A$1:$O$120,15,0)),0,VLOOKUP($S$789,'TAR FIN'!$A$1:$O$120,15,0))</f>
        <v>0</v>
      </c>
      <c r="W789" s="6">
        <f>IF(ISERROR(VLOOKUP($T$789,'TAR FIN'!$A$1:$O$120,15,0)),0,VLOOKUP($T$789,'TAR FIN'!$A$1:$O$120,15,0))</f>
        <v>187.79</v>
      </c>
      <c r="X789" s="6">
        <f>IF(ISERROR(VLOOKUP($U$789,'TAR FIN'!$A$1:$O$120,15,0)),0,VLOOKUP($U$789,'TAR FIN'!$A$1:$O$120,15,0))</f>
        <v>205.9</v>
      </c>
      <c r="Y789" s="6"/>
      <c r="Z789" s="6">
        <f ca="1">('TUSD BE'!$AM$68+'TUSD BF'!$AM$68+'TUSD CVA'!$AM$68)*(1-CUSTOS!$M$38)</f>
        <v>222.93739154100084</v>
      </c>
      <c r="AA789" s="6">
        <f>('TE BE'!$AA$32+'TE BF'!$AA$32+'TE CVA'!$AA$32)*(1-CUSTOS!$M$38)</f>
        <v>199.18265392296476</v>
      </c>
      <c r="AB789" s="6">
        <f t="shared" si="38"/>
        <v>0</v>
      </c>
      <c r="AC789" s="6">
        <f>(L789-M789)*(W789+X789)+($W$613+$X$613-$W$789-$X$789)*(L789)</f>
        <v>4222.2801600000012</v>
      </c>
      <c r="AD789" s="6">
        <f t="shared" si="39"/>
        <v>0</v>
      </c>
      <c r="AE789" s="6">
        <f ca="1">(L789-M789)*(Z789+AA789)+($Z$613+$AA$613-$Z$789-$AA$789)*(L789)</f>
        <v>3147.028486264242</v>
      </c>
      <c r="AF789" s="4" t="s">
        <v>1151</v>
      </c>
    </row>
    <row r="790" spans="1:32" ht="11.25" customHeight="1" x14ac:dyDescent="0.25">
      <c r="A790" s="4" t="s">
        <v>21</v>
      </c>
      <c r="B790" s="4" t="s">
        <v>46</v>
      </c>
      <c r="C790" s="4" t="s">
        <v>23</v>
      </c>
      <c r="D790" s="4" t="s">
        <v>47</v>
      </c>
      <c r="E790" s="4" t="s">
        <v>25</v>
      </c>
      <c r="F790" s="4" t="s">
        <v>25</v>
      </c>
      <c r="G790" s="4" t="s">
        <v>25</v>
      </c>
      <c r="H790" s="4" t="s">
        <v>25</v>
      </c>
      <c r="I790" s="5">
        <v>43831</v>
      </c>
      <c r="J790" s="6">
        <v>0</v>
      </c>
      <c r="K790" s="6">
        <v>0</v>
      </c>
      <c r="L790" s="6">
        <v>6740.6080000000002</v>
      </c>
      <c r="M790" s="6">
        <v>6740.6080000000002</v>
      </c>
      <c r="N790" s="6">
        <v>6740.6080000000002</v>
      </c>
      <c r="O790" s="6">
        <v>6740.6080000000002</v>
      </c>
      <c r="P790" s="6">
        <v>10125</v>
      </c>
      <c r="Q790" s="4" t="s">
        <v>26</v>
      </c>
      <c r="R790" s="4">
        <v>0</v>
      </c>
      <c r="S790" s="4">
        <v>0</v>
      </c>
      <c r="T790" s="4">
        <v>58</v>
      </c>
      <c r="U790" s="4">
        <v>101</v>
      </c>
      <c r="V790" s="6">
        <f>IF(ISERROR(VLOOKUP($S$790,'TAR FIN'!$A$1:$O$120,15,0)),0,VLOOKUP($S$790,'TAR FIN'!$A$1:$O$120,15,0))</f>
        <v>0</v>
      </c>
      <c r="W790" s="6">
        <f>IF(ISERROR(VLOOKUP($T$790,'TAR FIN'!$A$1:$O$120,15,0)),0,VLOOKUP($T$790,'TAR FIN'!$A$1:$O$120,15,0))</f>
        <v>187.79</v>
      </c>
      <c r="X790" s="6">
        <f>IF(ISERROR(VLOOKUP($U$790,'TAR FIN'!$A$1:$O$120,15,0)),0,VLOOKUP($U$790,'TAR FIN'!$A$1:$O$120,15,0))</f>
        <v>205.9</v>
      </c>
      <c r="Y790" s="6"/>
      <c r="Z790" s="6">
        <f ca="1">('TUSD BE'!$AM$68+'TUSD BF'!$AM$68+'TUSD CVA'!$AM$68)*(1-CUSTOS!$M$38)</f>
        <v>222.93739154100084</v>
      </c>
      <c r="AA790" s="6">
        <f>('TE BE'!$AA$32+'TE BF'!$AA$32+'TE CVA'!$AA$32)*(1-CUSTOS!$M$38)</f>
        <v>199.18265392296476</v>
      </c>
      <c r="AB790" s="6">
        <f t="shared" si="38"/>
        <v>0</v>
      </c>
      <c r="AC790" s="6">
        <f>(L790-M790)*(W790+X790)+($W$613+$X$613-$W$790-$X$790)*(L790)</f>
        <v>837992.38656000013</v>
      </c>
      <c r="AD790" s="6">
        <f t="shared" si="39"/>
        <v>0</v>
      </c>
      <c r="AE790" s="6">
        <f ca="1">(L790-M790)*(Z790+AA790)+($Z$613+$AA$613-$Z$790-$AA$790)*(L790)</f>
        <v>624588.09265202249</v>
      </c>
      <c r="AF790" s="4" t="s">
        <v>1151</v>
      </c>
    </row>
    <row r="791" spans="1:32" ht="11.25" customHeight="1" x14ac:dyDescent="0.25">
      <c r="A791" s="4" t="s">
        <v>27</v>
      </c>
      <c r="B791" s="4" t="s">
        <v>46</v>
      </c>
      <c r="C791" s="4" t="s">
        <v>23</v>
      </c>
      <c r="D791" s="4" t="s">
        <v>47</v>
      </c>
      <c r="E791" s="4" t="s">
        <v>25</v>
      </c>
      <c r="F791" s="4" t="s">
        <v>25</v>
      </c>
      <c r="G791" s="4" t="s">
        <v>25</v>
      </c>
      <c r="H791" s="4" t="s">
        <v>25</v>
      </c>
      <c r="I791" s="5">
        <v>43831</v>
      </c>
      <c r="J791" s="6">
        <v>0</v>
      </c>
      <c r="K791" s="6">
        <v>0</v>
      </c>
      <c r="L791" s="6">
        <v>20.719000000000001</v>
      </c>
      <c r="M791" s="6">
        <v>20.719000000000001</v>
      </c>
      <c r="N791" s="6">
        <v>20.719000000000001</v>
      </c>
      <c r="O791" s="6">
        <v>20.719000000000001</v>
      </c>
      <c r="P791" s="6">
        <v>9</v>
      </c>
      <c r="Q791" s="4" t="s">
        <v>26</v>
      </c>
      <c r="R791" s="4">
        <v>0</v>
      </c>
      <c r="S791" s="4">
        <v>0</v>
      </c>
      <c r="T791" s="4">
        <v>58</v>
      </c>
      <c r="U791" s="4">
        <v>101</v>
      </c>
      <c r="V791" s="6">
        <f>IF(ISERROR(VLOOKUP($S$791,'TAR FIN'!$A$1:$O$120,15,0)),0,VLOOKUP($S$791,'TAR FIN'!$A$1:$O$120,15,0))</f>
        <v>0</v>
      </c>
      <c r="W791" s="6">
        <f>IF(ISERROR(VLOOKUP($T$791,'TAR FIN'!$A$1:$O$120,15,0)),0,VLOOKUP($T$791,'TAR FIN'!$A$1:$O$120,15,0))</f>
        <v>187.79</v>
      </c>
      <c r="X791" s="6">
        <f>IF(ISERROR(VLOOKUP($U$791,'TAR FIN'!$A$1:$O$120,15,0)),0,VLOOKUP($U$791,'TAR FIN'!$A$1:$O$120,15,0))</f>
        <v>205.9</v>
      </c>
      <c r="Y791" s="6"/>
      <c r="Z791" s="6">
        <f ca="1">('TUSD BE'!$AM$68+'TUSD BF'!$AM$68+'TUSD CVA'!$AM$68)*(1-CUSTOS!$M$38)</f>
        <v>222.93739154100084</v>
      </c>
      <c r="AA791" s="6">
        <f>('TE BE'!$AA$32+'TE BF'!$AA$32+'TE CVA'!$AA$32)*(1-CUSTOS!$M$38)</f>
        <v>199.18265392296476</v>
      </c>
      <c r="AB791" s="6">
        <f t="shared" si="38"/>
        <v>0</v>
      </c>
      <c r="AC791" s="6">
        <f>(L791-M791)*(W791+X791)+($W$613+$X$613-$W$791-$X$791)*(L791)</f>
        <v>2575.7860800000008</v>
      </c>
      <c r="AD791" s="6">
        <f t="shared" si="39"/>
        <v>0</v>
      </c>
      <c r="AE791" s="6">
        <f ca="1">(L791-M791)*(Z791+AA791)+($Z$613+$AA$613-$Z$791-$AA$791)*(L791)</f>
        <v>1919.8328536027097</v>
      </c>
      <c r="AF791" s="4" t="s">
        <v>1151</v>
      </c>
    </row>
    <row r="792" spans="1:32" ht="11.25" customHeight="1" x14ac:dyDescent="0.25">
      <c r="A792" s="4" t="s">
        <v>28</v>
      </c>
      <c r="B792" s="4" t="s">
        <v>46</v>
      </c>
      <c r="C792" s="4" t="s">
        <v>23</v>
      </c>
      <c r="D792" s="4" t="s">
        <v>47</v>
      </c>
      <c r="E792" s="4" t="s">
        <v>25</v>
      </c>
      <c r="F792" s="4" t="s">
        <v>25</v>
      </c>
      <c r="G792" s="4" t="s">
        <v>25</v>
      </c>
      <c r="H792" s="4" t="s">
        <v>25</v>
      </c>
      <c r="I792" s="5">
        <v>43831</v>
      </c>
      <c r="J792" s="6">
        <v>0</v>
      </c>
      <c r="K792" s="6">
        <v>0</v>
      </c>
      <c r="L792" s="6">
        <v>29.292999999999999</v>
      </c>
      <c r="M792" s="6">
        <v>29.292999999999999</v>
      </c>
      <c r="N792" s="6">
        <v>29.292999999999999</v>
      </c>
      <c r="O792" s="6">
        <v>29.292999999999999</v>
      </c>
      <c r="P792" s="6">
        <v>39</v>
      </c>
      <c r="Q792" s="4" t="s">
        <v>26</v>
      </c>
      <c r="R792" s="4">
        <v>0</v>
      </c>
      <c r="S792" s="4">
        <v>0</v>
      </c>
      <c r="T792" s="4">
        <v>58</v>
      </c>
      <c r="U792" s="4">
        <v>101</v>
      </c>
      <c r="V792" s="6">
        <f>IF(ISERROR(VLOOKUP($S$792,'TAR FIN'!$A$1:$O$120,15,0)),0,VLOOKUP($S$792,'TAR FIN'!$A$1:$O$120,15,0))</f>
        <v>0</v>
      </c>
      <c r="W792" s="6">
        <f>IF(ISERROR(VLOOKUP($T$792,'TAR FIN'!$A$1:$O$120,15,0)),0,VLOOKUP($T$792,'TAR FIN'!$A$1:$O$120,15,0))</f>
        <v>187.79</v>
      </c>
      <c r="X792" s="6">
        <f>IF(ISERROR(VLOOKUP($U$792,'TAR FIN'!$A$1:$O$120,15,0)),0,VLOOKUP($U$792,'TAR FIN'!$A$1:$O$120,15,0))</f>
        <v>205.9</v>
      </c>
      <c r="Y792" s="6"/>
      <c r="Z792" s="6">
        <f ca="1">('TUSD BE'!$AM$68+'TUSD BF'!$AM$68+'TUSD CVA'!$AM$68)*(1-CUSTOS!$M$38)</f>
        <v>222.93739154100084</v>
      </c>
      <c r="AA792" s="6">
        <f>('TE BE'!$AA$32+'TE BF'!$AA$32+'TE CVA'!$AA$32)*(1-CUSTOS!$M$38)</f>
        <v>199.18265392296476</v>
      </c>
      <c r="AB792" s="6">
        <f t="shared" si="38"/>
        <v>0</v>
      </c>
      <c r="AC792" s="6">
        <f>(L792-M792)*(W792+X792)+($W$613+$X$613-$W$792-$X$792)*(L792)</f>
        <v>3641.7057600000007</v>
      </c>
      <c r="AD792" s="6">
        <f t="shared" si="39"/>
        <v>0</v>
      </c>
      <c r="AE792" s="6">
        <f ca="1">(L792-M792)*(Z792+AA792)+($Z$613+$AA$613-$Z$792-$AA$792)*(L792)</f>
        <v>2714.3039616093524</v>
      </c>
      <c r="AF792" s="4" t="s">
        <v>1151</v>
      </c>
    </row>
    <row r="793" spans="1:32" ht="11.25" customHeight="1" x14ac:dyDescent="0.25">
      <c r="A793" s="4" t="s">
        <v>21</v>
      </c>
      <c r="B793" s="4" t="s">
        <v>46</v>
      </c>
      <c r="C793" s="4" t="s">
        <v>23</v>
      </c>
      <c r="D793" s="4" t="s">
        <v>47</v>
      </c>
      <c r="E793" s="4" t="s">
        <v>25</v>
      </c>
      <c r="F793" s="4" t="s">
        <v>25</v>
      </c>
      <c r="G793" s="4" t="s">
        <v>25</v>
      </c>
      <c r="H793" s="4" t="s">
        <v>25</v>
      </c>
      <c r="I793" s="5">
        <v>43862</v>
      </c>
      <c r="J793" s="6">
        <v>0</v>
      </c>
      <c r="K793" s="6">
        <v>0</v>
      </c>
      <c r="L793" s="6">
        <v>3066.2669999999998</v>
      </c>
      <c r="M793" s="6">
        <v>3066.2669999999998</v>
      </c>
      <c r="N793" s="6">
        <v>3066.2669999999998</v>
      </c>
      <c r="O793" s="6">
        <v>3066.2669999999998</v>
      </c>
      <c r="P793" s="6">
        <v>4423</v>
      </c>
      <c r="Q793" s="4" t="s">
        <v>26</v>
      </c>
      <c r="R793" s="4">
        <v>0</v>
      </c>
      <c r="S793" s="4">
        <v>0</v>
      </c>
      <c r="T793" s="4">
        <v>58</v>
      </c>
      <c r="U793" s="4">
        <v>101</v>
      </c>
      <c r="V793" s="6">
        <f>IF(ISERROR(VLOOKUP($S$793,'TAR FIN'!$A$1:$O$120,15,0)),0,VLOOKUP($S$793,'TAR FIN'!$A$1:$O$120,15,0))</f>
        <v>0</v>
      </c>
      <c r="W793" s="6">
        <f>IF(ISERROR(VLOOKUP($T$793,'TAR FIN'!$A$1:$O$120,15,0)),0,VLOOKUP($T$793,'TAR FIN'!$A$1:$O$120,15,0))</f>
        <v>187.79</v>
      </c>
      <c r="X793" s="6">
        <f>IF(ISERROR(VLOOKUP($U$793,'TAR FIN'!$A$1:$O$120,15,0)),0,VLOOKUP($U$793,'TAR FIN'!$A$1:$O$120,15,0))</f>
        <v>205.9</v>
      </c>
      <c r="Y793" s="6"/>
      <c r="Z793" s="6">
        <f ca="1">('TUSD BE'!$AM$68+'TUSD BF'!$AM$68+'TUSD CVA'!$AM$68)*(1-CUSTOS!$M$38)</f>
        <v>222.93739154100084</v>
      </c>
      <c r="AA793" s="6">
        <f>('TE BE'!$AA$32+'TE BF'!$AA$32+'TE CVA'!$AA$32)*(1-CUSTOS!$M$38)</f>
        <v>199.18265392296476</v>
      </c>
      <c r="AB793" s="6">
        <f t="shared" si="38"/>
        <v>0</v>
      </c>
      <c r="AC793" s="6">
        <f>(L793-M793)*(W793+X793)+($W$613+$X$613-$W$793-$X$793)*(L793)</f>
        <v>381198.31344000006</v>
      </c>
      <c r="AD793" s="6">
        <f t="shared" si="39"/>
        <v>0</v>
      </c>
      <c r="AE793" s="6">
        <f ca="1">(L793-M793)*(Z793+AA793)+($Z$613+$AA$613-$Z$793-$AA$793)*(L793)</f>
        <v>284121.82656102226</v>
      </c>
      <c r="AF793" s="4" t="s">
        <v>1151</v>
      </c>
    </row>
    <row r="794" spans="1:32" ht="11.25" customHeight="1" x14ac:dyDescent="0.25">
      <c r="A794" s="4" t="s">
        <v>27</v>
      </c>
      <c r="B794" s="4" t="s">
        <v>46</v>
      </c>
      <c r="C794" s="4" t="s">
        <v>23</v>
      </c>
      <c r="D794" s="4" t="s">
        <v>47</v>
      </c>
      <c r="E794" s="4" t="s">
        <v>25</v>
      </c>
      <c r="F794" s="4" t="s">
        <v>25</v>
      </c>
      <c r="G794" s="4" t="s">
        <v>25</v>
      </c>
      <c r="H794" s="4" t="s">
        <v>25</v>
      </c>
      <c r="I794" s="5">
        <v>43862</v>
      </c>
      <c r="J794" s="6">
        <v>0</v>
      </c>
      <c r="K794" s="6">
        <v>0</v>
      </c>
      <c r="L794" s="6">
        <v>119.587</v>
      </c>
      <c r="M794" s="6">
        <v>119.587</v>
      </c>
      <c r="N794" s="6">
        <v>119.587</v>
      </c>
      <c r="O794" s="6">
        <v>119.587</v>
      </c>
      <c r="P794" s="6">
        <v>59</v>
      </c>
      <c r="Q794" s="4" t="s">
        <v>26</v>
      </c>
      <c r="R794" s="4">
        <v>0</v>
      </c>
      <c r="S794" s="4">
        <v>0</v>
      </c>
      <c r="T794" s="4">
        <v>58</v>
      </c>
      <c r="U794" s="4">
        <v>101</v>
      </c>
      <c r="V794" s="6">
        <f>IF(ISERROR(VLOOKUP($S$794,'TAR FIN'!$A$1:$O$120,15,0)),0,VLOOKUP($S$794,'TAR FIN'!$A$1:$O$120,15,0))</f>
        <v>0</v>
      </c>
      <c r="W794" s="6">
        <f>IF(ISERROR(VLOOKUP($T$794,'TAR FIN'!$A$1:$O$120,15,0)),0,VLOOKUP($T$794,'TAR FIN'!$A$1:$O$120,15,0))</f>
        <v>187.79</v>
      </c>
      <c r="X794" s="6">
        <f>IF(ISERROR(VLOOKUP($U$794,'TAR FIN'!$A$1:$O$120,15,0)),0,VLOOKUP($U$794,'TAR FIN'!$A$1:$O$120,15,0))</f>
        <v>205.9</v>
      </c>
      <c r="Y794" s="6"/>
      <c r="Z794" s="6">
        <f ca="1">('TUSD BE'!$AM$68+'TUSD BF'!$AM$68+'TUSD CVA'!$AM$68)*(1-CUSTOS!$M$38)</f>
        <v>222.93739154100084</v>
      </c>
      <c r="AA794" s="6">
        <f>('TE BE'!$AA$32+'TE BF'!$AA$32+'TE CVA'!$AA$32)*(1-CUSTOS!$M$38)</f>
        <v>199.18265392296476</v>
      </c>
      <c r="AB794" s="6">
        <f t="shared" si="38"/>
        <v>0</v>
      </c>
      <c r="AC794" s="6">
        <f>(L794-M794)*(W794+X794)+($W$613+$X$613-$W$794-$X$794)*(L794)</f>
        <v>14867.055840000003</v>
      </c>
      <c r="AD794" s="6">
        <f t="shared" si="39"/>
        <v>0</v>
      </c>
      <c r="AE794" s="6">
        <f ca="1">(L794-M794)*(Z794+AA794)+($Z$613+$AA$613-$Z$794-$AA$794)*(L794)</f>
        <v>11080.990948587638</v>
      </c>
      <c r="AF794" s="4" t="s">
        <v>1151</v>
      </c>
    </row>
    <row r="795" spans="1:32" ht="11.25" customHeight="1" x14ac:dyDescent="0.25">
      <c r="A795" s="4" t="s">
        <v>28</v>
      </c>
      <c r="B795" s="4" t="s">
        <v>46</v>
      </c>
      <c r="C795" s="4" t="s">
        <v>23</v>
      </c>
      <c r="D795" s="4" t="s">
        <v>47</v>
      </c>
      <c r="E795" s="4" t="s">
        <v>25</v>
      </c>
      <c r="F795" s="4" t="s">
        <v>25</v>
      </c>
      <c r="G795" s="4" t="s">
        <v>25</v>
      </c>
      <c r="H795" s="4" t="s">
        <v>25</v>
      </c>
      <c r="I795" s="5">
        <v>43862</v>
      </c>
      <c r="J795" s="6">
        <v>0</v>
      </c>
      <c r="K795" s="6">
        <v>0</v>
      </c>
      <c r="L795" s="6">
        <v>35.061999999999998</v>
      </c>
      <c r="M795" s="6">
        <v>35.061999999999998</v>
      </c>
      <c r="N795" s="6">
        <v>35.061999999999998</v>
      </c>
      <c r="O795" s="6">
        <v>35.061999999999998</v>
      </c>
      <c r="P795" s="6">
        <v>33</v>
      </c>
      <c r="Q795" s="4" t="s">
        <v>26</v>
      </c>
      <c r="R795" s="4">
        <v>0</v>
      </c>
      <c r="S795" s="4">
        <v>0</v>
      </c>
      <c r="T795" s="4">
        <v>58</v>
      </c>
      <c r="U795" s="4">
        <v>101</v>
      </c>
      <c r="V795" s="6">
        <f>IF(ISERROR(VLOOKUP($S$795,'TAR FIN'!$A$1:$O$120,15,0)),0,VLOOKUP($S$795,'TAR FIN'!$A$1:$O$120,15,0))</f>
        <v>0</v>
      </c>
      <c r="W795" s="6">
        <f>IF(ISERROR(VLOOKUP($T$795,'TAR FIN'!$A$1:$O$120,15,0)),0,VLOOKUP($T$795,'TAR FIN'!$A$1:$O$120,15,0))</f>
        <v>187.79</v>
      </c>
      <c r="X795" s="6">
        <f>IF(ISERROR(VLOOKUP($U$795,'TAR FIN'!$A$1:$O$120,15,0)),0,VLOOKUP($U$795,'TAR FIN'!$A$1:$O$120,15,0))</f>
        <v>205.9</v>
      </c>
      <c r="Y795" s="6"/>
      <c r="Z795" s="6">
        <f ca="1">('TUSD BE'!$AM$68+'TUSD BF'!$AM$68+'TUSD CVA'!$AM$68)*(1-CUSTOS!$M$38)</f>
        <v>222.93739154100084</v>
      </c>
      <c r="AA795" s="6">
        <f>('TE BE'!$AA$32+'TE BF'!$AA$32+'TE CVA'!$AA$32)*(1-CUSTOS!$M$38)</f>
        <v>199.18265392296476</v>
      </c>
      <c r="AB795" s="6">
        <f t="shared" si="38"/>
        <v>0</v>
      </c>
      <c r="AC795" s="6">
        <f>(L795-M795)*(W795+X795)+($W$613+$X$613-$W$795-$X$795)*(L795)</f>
        <v>4358.9078400000008</v>
      </c>
      <c r="AD795" s="6">
        <f t="shared" si="39"/>
        <v>0</v>
      </c>
      <c r="AE795" s="6">
        <f ca="1">(L795-M795)*(Z795+AA795)+($Z$613+$AA$613-$Z$795-$AA$795)*(L795)</f>
        <v>3248.8623733297072</v>
      </c>
      <c r="AF795" s="4" t="s">
        <v>1151</v>
      </c>
    </row>
    <row r="796" spans="1:32" ht="11.25" customHeight="1" x14ac:dyDescent="0.25">
      <c r="A796" s="4" t="s">
        <v>21</v>
      </c>
      <c r="B796" s="4" t="s">
        <v>46</v>
      </c>
      <c r="C796" s="4" t="s">
        <v>23</v>
      </c>
      <c r="D796" s="4" t="s">
        <v>47</v>
      </c>
      <c r="E796" s="4" t="s">
        <v>25</v>
      </c>
      <c r="F796" s="4" t="s">
        <v>25</v>
      </c>
      <c r="G796" s="4" t="s">
        <v>25</v>
      </c>
      <c r="H796" s="4" t="s">
        <v>25</v>
      </c>
      <c r="I796" s="5">
        <v>43891</v>
      </c>
      <c r="J796" s="6">
        <v>0</v>
      </c>
      <c r="K796" s="6">
        <v>0</v>
      </c>
      <c r="L796" s="6">
        <v>5807.4170000000004</v>
      </c>
      <c r="M796" s="6">
        <v>5807.4170000000004</v>
      </c>
      <c r="N796" s="6">
        <v>5807.4170000000004</v>
      </c>
      <c r="O796" s="6">
        <v>5807.4170000000004</v>
      </c>
      <c r="P796" s="6">
        <v>9583</v>
      </c>
      <c r="Q796" s="4" t="s">
        <v>26</v>
      </c>
      <c r="R796" s="4">
        <v>0</v>
      </c>
      <c r="S796" s="4">
        <v>0</v>
      </c>
      <c r="T796" s="4">
        <v>58</v>
      </c>
      <c r="U796" s="4">
        <v>101</v>
      </c>
      <c r="V796" s="6">
        <f>IF(ISERROR(VLOOKUP($S$796,'TAR FIN'!$A$1:$O$120,15,0)),0,VLOOKUP($S$796,'TAR FIN'!$A$1:$O$120,15,0))</f>
        <v>0</v>
      </c>
      <c r="W796" s="6">
        <f>IF(ISERROR(VLOOKUP($T$796,'TAR FIN'!$A$1:$O$120,15,0)),0,VLOOKUP($T$796,'TAR FIN'!$A$1:$O$120,15,0))</f>
        <v>187.79</v>
      </c>
      <c r="X796" s="6">
        <f>IF(ISERROR(VLOOKUP($U$796,'TAR FIN'!$A$1:$O$120,15,0)),0,VLOOKUP($U$796,'TAR FIN'!$A$1:$O$120,15,0))</f>
        <v>205.9</v>
      </c>
      <c r="Y796" s="6"/>
      <c r="Z796" s="6">
        <f ca="1">('TUSD BE'!$AM$68+'TUSD BF'!$AM$68+'TUSD CVA'!$AM$68)*(1-CUSTOS!$M$38)</f>
        <v>222.93739154100084</v>
      </c>
      <c r="AA796" s="6">
        <f>('TE BE'!$AA$32+'TE BF'!$AA$32+'TE CVA'!$AA$32)*(1-CUSTOS!$M$38)</f>
        <v>199.18265392296476</v>
      </c>
      <c r="AB796" s="6">
        <f t="shared" si="38"/>
        <v>0</v>
      </c>
      <c r="AC796" s="6">
        <f>(L796-M796)*(W796+X796)+($W$613+$X$613-$W$796-$X$796)*(L796)</f>
        <v>721978.08144000021</v>
      </c>
      <c r="AD796" s="6">
        <f t="shared" si="39"/>
        <v>0</v>
      </c>
      <c r="AE796" s="6">
        <f ca="1">(L796-M796)*(Z796+AA796)+($Z$613+$AA$613-$Z$796-$AA$796)*(L796)</f>
        <v>538118.15006375255</v>
      </c>
      <c r="AF796" s="4" t="s">
        <v>1151</v>
      </c>
    </row>
    <row r="797" spans="1:32" ht="11.25" customHeight="1" x14ac:dyDescent="0.25">
      <c r="A797" s="4" t="s">
        <v>27</v>
      </c>
      <c r="B797" s="4" t="s">
        <v>46</v>
      </c>
      <c r="C797" s="4" t="s">
        <v>23</v>
      </c>
      <c r="D797" s="4" t="s">
        <v>47</v>
      </c>
      <c r="E797" s="4" t="s">
        <v>25</v>
      </c>
      <c r="F797" s="4" t="s">
        <v>25</v>
      </c>
      <c r="G797" s="4" t="s">
        <v>25</v>
      </c>
      <c r="H797" s="4" t="s">
        <v>25</v>
      </c>
      <c r="I797" s="5">
        <v>43891</v>
      </c>
      <c r="J797" s="6">
        <v>0</v>
      </c>
      <c r="K797" s="6">
        <v>0</v>
      </c>
      <c r="L797" s="6">
        <v>179.71700000000001</v>
      </c>
      <c r="M797" s="6">
        <v>179.71700000000001</v>
      </c>
      <c r="N797" s="6">
        <v>179.71700000000001</v>
      </c>
      <c r="O797" s="6">
        <v>179.71700000000001</v>
      </c>
      <c r="P797" s="6">
        <v>34</v>
      </c>
      <c r="Q797" s="4" t="s">
        <v>26</v>
      </c>
      <c r="R797" s="4">
        <v>0</v>
      </c>
      <c r="S797" s="4">
        <v>0</v>
      </c>
      <c r="T797" s="4">
        <v>58</v>
      </c>
      <c r="U797" s="4">
        <v>101</v>
      </c>
      <c r="V797" s="6">
        <f>IF(ISERROR(VLOOKUP($S$797,'TAR FIN'!$A$1:$O$120,15,0)),0,VLOOKUP($S$797,'TAR FIN'!$A$1:$O$120,15,0))</f>
        <v>0</v>
      </c>
      <c r="W797" s="6">
        <f>IF(ISERROR(VLOOKUP($T$797,'TAR FIN'!$A$1:$O$120,15,0)),0,VLOOKUP($T$797,'TAR FIN'!$A$1:$O$120,15,0))</f>
        <v>187.79</v>
      </c>
      <c r="X797" s="6">
        <f>IF(ISERROR(VLOOKUP($U$797,'TAR FIN'!$A$1:$O$120,15,0)),0,VLOOKUP($U$797,'TAR FIN'!$A$1:$O$120,15,0))</f>
        <v>205.9</v>
      </c>
      <c r="Y797" s="6"/>
      <c r="Z797" s="6">
        <f ca="1">('TUSD BE'!$AM$68+'TUSD BF'!$AM$68+'TUSD CVA'!$AM$68)*(1-CUSTOS!$M$38)</f>
        <v>222.93739154100084</v>
      </c>
      <c r="AA797" s="6">
        <f>('TE BE'!$AA$32+'TE BF'!$AA$32+'TE CVA'!$AA$32)*(1-CUSTOS!$M$38)</f>
        <v>199.18265392296476</v>
      </c>
      <c r="AB797" s="6">
        <f t="shared" si="38"/>
        <v>0</v>
      </c>
      <c r="AC797" s="6">
        <f>(L797-M797)*(W797+X797)+($W$613+$X$613-$W$797-$X$797)*(L797)</f>
        <v>22342.417440000005</v>
      </c>
      <c r="AD797" s="6">
        <f t="shared" si="39"/>
        <v>0</v>
      </c>
      <c r="AE797" s="6">
        <f ca="1">(L797-M797)*(Z797+AA797)+($Z$613+$AA$613-$Z$797-$AA$797)*(L797)</f>
        <v>16652.666680386032</v>
      </c>
      <c r="AF797" s="4" t="s">
        <v>1151</v>
      </c>
    </row>
    <row r="798" spans="1:32" ht="11.25" customHeight="1" x14ac:dyDescent="0.25">
      <c r="A798" s="4" t="s">
        <v>28</v>
      </c>
      <c r="B798" s="4" t="s">
        <v>46</v>
      </c>
      <c r="C798" s="4" t="s">
        <v>23</v>
      </c>
      <c r="D798" s="4" t="s">
        <v>47</v>
      </c>
      <c r="E798" s="4" t="s">
        <v>25</v>
      </c>
      <c r="F798" s="4" t="s">
        <v>25</v>
      </c>
      <c r="G798" s="4" t="s">
        <v>25</v>
      </c>
      <c r="H798" s="4" t="s">
        <v>25</v>
      </c>
      <c r="I798" s="5">
        <v>43891</v>
      </c>
      <c r="J798" s="6">
        <v>0</v>
      </c>
      <c r="K798" s="6">
        <v>0</v>
      </c>
      <c r="L798" s="6">
        <v>33.993000000000002</v>
      </c>
      <c r="M798" s="6">
        <v>33.993000000000002</v>
      </c>
      <c r="N798" s="6">
        <v>33.993000000000002</v>
      </c>
      <c r="O798" s="6">
        <v>33.993000000000002</v>
      </c>
      <c r="P798" s="6">
        <v>35</v>
      </c>
      <c r="Q798" s="4" t="s">
        <v>26</v>
      </c>
      <c r="R798" s="4">
        <v>0</v>
      </c>
      <c r="S798" s="4">
        <v>0</v>
      </c>
      <c r="T798" s="4">
        <v>58</v>
      </c>
      <c r="U798" s="4">
        <v>101</v>
      </c>
      <c r="V798" s="6">
        <f>IF(ISERROR(VLOOKUP($S$798,'TAR FIN'!$A$1:$O$120,15,0)),0,VLOOKUP($S$798,'TAR FIN'!$A$1:$O$120,15,0))</f>
        <v>0</v>
      </c>
      <c r="W798" s="6">
        <f>IF(ISERROR(VLOOKUP($T$798,'TAR FIN'!$A$1:$O$120,15,0)),0,VLOOKUP($T$798,'TAR FIN'!$A$1:$O$120,15,0))</f>
        <v>187.79</v>
      </c>
      <c r="X798" s="6">
        <f>IF(ISERROR(VLOOKUP($U$798,'TAR FIN'!$A$1:$O$120,15,0)),0,VLOOKUP($U$798,'TAR FIN'!$A$1:$O$120,15,0))</f>
        <v>205.9</v>
      </c>
      <c r="Y798" s="6"/>
      <c r="Z798" s="6">
        <f ca="1">('TUSD BE'!$AM$68+'TUSD BF'!$AM$68+'TUSD CVA'!$AM$68)*(1-CUSTOS!$M$38)</f>
        <v>222.93739154100084</v>
      </c>
      <c r="AA798" s="6">
        <f>('TE BE'!$AA$32+'TE BF'!$AA$32+'TE CVA'!$AA$32)*(1-CUSTOS!$M$38)</f>
        <v>199.18265392296476</v>
      </c>
      <c r="AB798" s="6">
        <f t="shared" si="38"/>
        <v>0</v>
      </c>
      <c r="AC798" s="6">
        <f>(L798-M798)*(W798+X798)+($W$613+$X$613-$W$798-$X$798)*(L798)</f>
        <v>4226.0097600000008</v>
      </c>
      <c r="AD798" s="6">
        <f t="shared" si="39"/>
        <v>0</v>
      </c>
      <c r="AE798" s="6">
        <f ca="1">(L798-M798)*(Z798+AA798)+($Z$613+$AA$613-$Z$798-$AA$798)*(L798)</f>
        <v>3149.8083011977856</v>
      </c>
      <c r="AF798" s="4" t="s">
        <v>1151</v>
      </c>
    </row>
    <row r="799" spans="1:32" ht="11.25" customHeight="1" x14ac:dyDescent="0.25">
      <c r="A799" s="4" t="s">
        <v>28</v>
      </c>
      <c r="B799" s="4" t="s">
        <v>46</v>
      </c>
      <c r="C799" s="4" t="s">
        <v>23</v>
      </c>
      <c r="D799" s="4" t="s">
        <v>47</v>
      </c>
      <c r="E799" s="4" t="s">
        <v>25</v>
      </c>
      <c r="F799" s="4" t="s">
        <v>25</v>
      </c>
      <c r="G799" s="4" t="s">
        <v>25</v>
      </c>
      <c r="H799" s="4" t="s">
        <v>25</v>
      </c>
      <c r="I799" s="5">
        <v>43891</v>
      </c>
      <c r="J799" s="6">
        <v>0</v>
      </c>
      <c r="K799" s="6">
        <v>0</v>
      </c>
      <c r="L799" s="6">
        <v>6.673</v>
      </c>
      <c r="M799" s="6">
        <v>6.673</v>
      </c>
      <c r="N799" s="6">
        <v>6.673</v>
      </c>
      <c r="O799" s="6">
        <v>6.673</v>
      </c>
      <c r="P799" s="6">
        <v>0</v>
      </c>
      <c r="Q799" s="4" t="s">
        <v>26</v>
      </c>
      <c r="R799" s="4">
        <v>0</v>
      </c>
      <c r="S799" s="4">
        <v>0</v>
      </c>
      <c r="T799" s="4">
        <v>58</v>
      </c>
      <c r="U799" s="4">
        <v>101</v>
      </c>
      <c r="V799" s="6">
        <f>IF(ISERROR(VLOOKUP($S$799,'TAR FIN'!$A$1:$O$120,15,0)),0,VLOOKUP($S$799,'TAR FIN'!$A$1:$O$120,15,0))</f>
        <v>0</v>
      </c>
      <c r="W799" s="6">
        <f>IF(ISERROR(VLOOKUP($T$799,'TAR FIN'!$A$1:$O$120,15,0)),0,VLOOKUP($T$799,'TAR FIN'!$A$1:$O$120,15,0))</f>
        <v>187.79</v>
      </c>
      <c r="X799" s="6">
        <f>IF(ISERROR(VLOOKUP($U$799,'TAR FIN'!$A$1:$O$120,15,0)),0,VLOOKUP($U$799,'TAR FIN'!$A$1:$O$120,15,0))</f>
        <v>205.9</v>
      </c>
      <c r="Y799" s="6"/>
      <c r="Z799" s="6">
        <f ca="1">('TUSD BE'!$AM$68+'TUSD BF'!$AM$68+'TUSD CVA'!$AM$68)*(1-CUSTOS!$M$38)</f>
        <v>222.93739154100084</v>
      </c>
      <c r="AA799" s="6">
        <f>('TE BE'!$AA$32+'TE BF'!$AA$32+'TE CVA'!$AA$32)*(1-CUSTOS!$M$38)</f>
        <v>199.18265392296476</v>
      </c>
      <c r="AB799" s="6">
        <f t="shared" si="38"/>
        <v>0</v>
      </c>
      <c r="AC799" s="6">
        <f>(L799-M799)*(W799+X799)+($W$613+$X$613-$W$799-$X$799)*(L799)</f>
        <v>829.5873600000001</v>
      </c>
      <c r="AD799" s="6">
        <f t="shared" si="39"/>
        <v>0</v>
      </c>
      <c r="AE799" s="6">
        <f ca="1">(L799-M799)*(Z799+AA799)+($Z$613+$AA$613-$Z$799-$AA$799)*(L799)</f>
        <v>618.32350171778955</v>
      </c>
      <c r="AF799" s="4" t="s">
        <v>1151</v>
      </c>
    </row>
    <row r="800" spans="1:32" ht="11.25" customHeight="1" x14ac:dyDescent="0.25">
      <c r="A800" s="4" t="s">
        <v>21</v>
      </c>
      <c r="B800" s="4" t="s">
        <v>46</v>
      </c>
      <c r="C800" s="4" t="s">
        <v>23</v>
      </c>
      <c r="D800" s="4" t="s">
        <v>47</v>
      </c>
      <c r="E800" s="4" t="s">
        <v>25</v>
      </c>
      <c r="F800" s="4" t="s">
        <v>25</v>
      </c>
      <c r="G800" s="4" t="s">
        <v>25</v>
      </c>
      <c r="H800" s="4" t="s">
        <v>25</v>
      </c>
      <c r="I800" s="5">
        <v>43922</v>
      </c>
      <c r="J800" s="6">
        <v>0</v>
      </c>
      <c r="K800" s="6">
        <v>0</v>
      </c>
      <c r="L800" s="6">
        <v>6744.4669999999996</v>
      </c>
      <c r="M800" s="6">
        <v>6744.4669999999996</v>
      </c>
      <c r="N800" s="6">
        <v>6744.4669999999996</v>
      </c>
      <c r="O800" s="6">
        <v>6744.4669999999996</v>
      </c>
      <c r="P800" s="6">
        <v>10431</v>
      </c>
      <c r="Q800" s="4" t="s">
        <v>26</v>
      </c>
      <c r="R800" s="4">
        <v>0</v>
      </c>
      <c r="S800" s="4">
        <v>0</v>
      </c>
      <c r="T800" s="4">
        <v>58</v>
      </c>
      <c r="U800" s="4">
        <v>101</v>
      </c>
      <c r="V800" s="6">
        <f>IF(ISERROR(VLOOKUP($S$800,'TAR FIN'!$A$1:$O$120,15,0)),0,VLOOKUP($S$800,'TAR FIN'!$A$1:$O$120,15,0))</f>
        <v>0</v>
      </c>
      <c r="W800" s="6">
        <f>IF(ISERROR(VLOOKUP($T$800,'TAR FIN'!$A$1:$O$120,15,0)),0,VLOOKUP($T$800,'TAR FIN'!$A$1:$O$120,15,0))</f>
        <v>187.79</v>
      </c>
      <c r="X800" s="6">
        <f>IF(ISERROR(VLOOKUP($U$800,'TAR FIN'!$A$1:$O$120,15,0)),0,VLOOKUP($U$800,'TAR FIN'!$A$1:$O$120,15,0))</f>
        <v>205.9</v>
      </c>
      <c r="Y800" s="6"/>
      <c r="Z800" s="6">
        <f ca="1">('TUSD BE'!$AM$68+'TUSD BF'!$AM$68+'TUSD CVA'!$AM$68)*(1-CUSTOS!$M$38)</f>
        <v>222.93739154100084</v>
      </c>
      <c r="AA800" s="6">
        <f>('TE BE'!$AA$32+'TE BF'!$AA$32+'TE CVA'!$AA$32)*(1-CUSTOS!$M$38)</f>
        <v>199.18265392296476</v>
      </c>
      <c r="AB800" s="6">
        <f t="shared" si="38"/>
        <v>0</v>
      </c>
      <c r="AC800" s="6">
        <f>(L800-M800)*(W800+X800)+($W$613+$X$613-$W$800-$X$800)*(L800)</f>
        <v>838472.13744000008</v>
      </c>
      <c r="AD800" s="6">
        <f t="shared" si="39"/>
        <v>0</v>
      </c>
      <c r="AE800" s="6">
        <f ca="1">(L800-M800)*(Z800+AA800)+($Z$613+$AA$613-$Z$800-$AA$800)*(L800)</f>
        <v>624945.66951297387</v>
      </c>
      <c r="AF800" s="4" t="s">
        <v>1151</v>
      </c>
    </row>
    <row r="801" spans="1:32" ht="11.25" customHeight="1" x14ac:dyDescent="0.25">
      <c r="A801" s="4" t="s">
        <v>27</v>
      </c>
      <c r="B801" s="4" t="s">
        <v>46</v>
      </c>
      <c r="C801" s="4" t="s">
        <v>23</v>
      </c>
      <c r="D801" s="4" t="s">
        <v>47</v>
      </c>
      <c r="E801" s="4" t="s">
        <v>25</v>
      </c>
      <c r="F801" s="4" t="s">
        <v>25</v>
      </c>
      <c r="G801" s="4" t="s">
        <v>25</v>
      </c>
      <c r="H801" s="4" t="s">
        <v>25</v>
      </c>
      <c r="I801" s="5">
        <v>43922</v>
      </c>
      <c r="J801" s="6">
        <v>0</v>
      </c>
      <c r="K801" s="6">
        <v>0</v>
      </c>
      <c r="L801" s="6">
        <v>86.701999999999998</v>
      </c>
      <c r="M801" s="6">
        <v>86.701999999999998</v>
      </c>
      <c r="N801" s="6">
        <v>86.701999999999998</v>
      </c>
      <c r="O801" s="6">
        <v>86.701999999999998</v>
      </c>
      <c r="P801" s="6">
        <v>3</v>
      </c>
      <c r="Q801" s="4" t="s">
        <v>26</v>
      </c>
      <c r="R801" s="4">
        <v>0</v>
      </c>
      <c r="S801" s="4">
        <v>0</v>
      </c>
      <c r="T801" s="4">
        <v>58</v>
      </c>
      <c r="U801" s="4">
        <v>101</v>
      </c>
      <c r="V801" s="6">
        <f>IF(ISERROR(VLOOKUP($S$801,'TAR FIN'!$A$1:$O$120,15,0)),0,VLOOKUP($S$801,'TAR FIN'!$A$1:$O$120,15,0))</f>
        <v>0</v>
      </c>
      <c r="W801" s="6">
        <f>IF(ISERROR(VLOOKUP($T$801,'TAR FIN'!$A$1:$O$120,15,0)),0,VLOOKUP($T$801,'TAR FIN'!$A$1:$O$120,15,0))</f>
        <v>187.79</v>
      </c>
      <c r="X801" s="6">
        <f>IF(ISERROR(VLOOKUP($U$801,'TAR FIN'!$A$1:$O$120,15,0)),0,VLOOKUP($U$801,'TAR FIN'!$A$1:$O$120,15,0))</f>
        <v>205.9</v>
      </c>
      <c r="Y801" s="6"/>
      <c r="Z801" s="6">
        <f ca="1">('TUSD BE'!$AM$68+'TUSD BF'!$AM$68+'TUSD CVA'!$AM$68)*(1-CUSTOS!$M$38)</f>
        <v>222.93739154100084</v>
      </c>
      <c r="AA801" s="6">
        <f>('TE BE'!$AA$32+'TE BF'!$AA$32+'TE CVA'!$AA$32)*(1-CUSTOS!$M$38)</f>
        <v>199.18265392296476</v>
      </c>
      <c r="AB801" s="6">
        <f t="shared" si="38"/>
        <v>0</v>
      </c>
      <c r="AC801" s="6">
        <f>(L801-M801)*(W801+X801)+($W$613+$X$613-$W$801-$X$801)*(L801)</f>
        <v>10778.792640000001</v>
      </c>
      <c r="AD801" s="6">
        <f t="shared" si="39"/>
        <v>0</v>
      </c>
      <c r="AE801" s="6">
        <f ca="1">(L801-M801)*(Z801+AA801)+($Z$613+$AA$613-$Z$801-$AA$801)*(L801)</f>
        <v>8033.8504789353801</v>
      </c>
      <c r="AF801" s="4" t="s">
        <v>1151</v>
      </c>
    </row>
    <row r="802" spans="1:32" ht="11.25" customHeight="1" x14ac:dyDescent="0.25">
      <c r="A802" s="4" t="s">
        <v>28</v>
      </c>
      <c r="B802" s="4" t="s">
        <v>46</v>
      </c>
      <c r="C802" s="4" t="s">
        <v>23</v>
      </c>
      <c r="D802" s="4" t="s">
        <v>47</v>
      </c>
      <c r="E802" s="4" t="s">
        <v>25</v>
      </c>
      <c r="F802" s="4" t="s">
        <v>25</v>
      </c>
      <c r="G802" s="4" t="s">
        <v>25</v>
      </c>
      <c r="H802" s="4" t="s">
        <v>25</v>
      </c>
      <c r="I802" s="5">
        <v>43922</v>
      </c>
      <c r="J802" s="6">
        <v>0</v>
      </c>
      <c r="K802" s="6">
        <v>0</v>
      </c>
      <c r="L802" s="6">
        <v>40.667999999999999</v>
      </c>
      <c r="M802" s="6">
        <v>40.667999999999999</v>
      </c>
      <c r="N802" s="6">
        <v>40.667999999999999</v>
      </c>
      <c r="O802" s="6">
        <v>40.667999999999999</v>
      </c>
      <c r="P802" s="6">
        <v>36</v>
      </c>
      <c r="Q802" s="4" t="s">
        <v>26</v>
      </c>
      <c r="R802" s="4">
        <v>0</v>
      </c>
      <c r="S802" s="4">
        <v>0</v>
      </c>
      <c r="T802" s="4">
        <v>58</v>
      </c>
      <c r="U802" s="4">
        <v>101</v>
      </c>
      <c r="V802" s="6">
        <f>IF(ISERROR(VLOOKUP($S$802,'TAR FIN'!$A$1:$O$120,15,0)),0,VLOOKUP($S$802,'TAR FIN'!$A$1:$O$120,15,0))</f>
        <v>0</v>
      </c>
      <c r="W802" s="6">
        <f>IF(ISERROR(VLOOKUP($T$802,'TAR FIN'!$A$1:$O$120,15,0)),0,VLOOKUP($T$802,'TAR FIN'!$A$1:$O$120,15,0))</f>
        <v>187.79</v>
      </c>
      <c r="X802" s="6">
        <f>IF(ISERROR(VLOOKUP($U$802,'TAR FIN'!$A$1:$O$120,15,0)),0,VLOOKUP($U$802,'TAR FIN'!$A$1:$O$120,15,0))</f>
        <v>205.9</v>
      </c>
      <c r="Y802" s="6"/>
      <c r="Z802" s="6">
        <f ca="1">('TUSD BE'!$AM$68+'TUSD BF'!$AM$68+'TUSD CVA'!$AM$68)*(1-CUSTOS!$M$38)</f>
        <v>222.93739154100084</v>
      </c>
      <c r="AA802" s="6">
        <f>('TE BE'!$AA$32+'TE BF'!$AA$32+'TE CVA'!$AA$32)*(1-CUSTOS!$M$38)</f>
        <v>199.18265392296476</v>
      </c>
      <c r="AB802" s="6">
        <f t="shared" si="38"/>
        <v>0</v>
      </c>
      <c r="AC802" s="6">
        <f>(L802-M802)*(W802+X802)+($W$613+$X$613-$W$802-$X$802)*(L802)</f>
        <v>5055.8457600000011</v>
      </c>
      <c r="AD802" s="6">
        <f t="shared" si="39"/>
        <v>0</v>
      </c>
      <c r="AE802" s="6">
        <f ca="1">(L802-M802)*(Z802+AA802)+($Z$613+$AA$613-$Z$802-$AA$802)*(L802)</f>
        <v>3768.3171239111443</v>
      </c>
      <c r="AF802" s="4" t="s">
        <v>1151</v>
      </c>
    </row>
    <row r="803" spans="1:32" ht="11.25" customHeight="1" x14ac:dyDescent="0.25">
      <c r="A803" s="4" t="s">
        <v>21</v>
      </c>
      <c r="B803" s="4" t="s">
        <v>46</v>
      </c>
      <c r="C803" s="4" t="s">
        <v>23</v>
      </c>
      <c r="D803" s="4" t="s">
        <v>47</v>
      </c>
      <c r="E803" s="4" t="s">
        <v>25</v>
      </c>
      <c r="F803" s="4" t="s">
        <v>25</v>
      </c>
      <c r="G803" s="4" t="s">
        <v>25</v>
      </c>
      <c r="H803" s="4" t="s">
        <v>25</v>
      </c>
      <c r="I803" s="5">
        <v>43952</v>
      </c>
      <c r="J803" s="6">
        <v>0</v>
      </c>
      <c r="K803" s="6">
        <v>0</v>
      </c>
      <c r="L803" s="6">
        <v>6967.4480000000003</v>
      </c>
      <c r="M803" s="6">
        <v>6967.4480000000003</v>
      </c>
      <c r="N803" s="6">
        <v>6967.4480000000003</v>
      </c>
      <c r="O803" s="6">
        <v>6967.4480000000003</v>
      </c>
      <c r="P803" s="6">
        <v>10429</v>
      </c>
      <c r="Q803" s="4" t="s">
        <v>26</v>
      </c>
      <c r="R803" s="4">
        <v>0</v>
      </c>
      <c r="S803" s="4">
        <v>0</v>
      </c>
      <c r="T803" s="4">
        <v>58</v>
      </c>
      <c r="U803" s="4">
        <v>101</v>
      </c>
      <c r="V803" s="6">
        <f>IF(ISERROR(VLOOKUP($S$803,'TAR FIN'!$A$1:$O$120,15,0)),0,VLOOKUP($S$803,'TAR FIN'!$A$1:$O$120,15,0))</f>
        <v>0</v>
      </c>
      <c r="W803" s="6">
        <f>IF(ISERROR(VLOOKUP($T$803,'TAR FIN'!$A$1:$O$120,15,0)),0,VLOOKUP($T$803,'TAR FIN'!$A$1:$O$120,15,0))</f>
        <v>187.79</v>
      </c>
      <c r="X803" s="6">
        <f>IF(ISERROR(VLOOKUP($U$803,'TAR FIN'!$A$1:$O$120,15,0)),0,VLOOKUP($U$803,'TAR FIN'!$A$1:$O$120,15,0))</f>
        <v>205.9</v>
      </c>
      <c r="Y803" s="6"/>
      <c r="Z803" s="6">
        <f ca="1">('TUSD BE'!$AM$68+'TUSD BF'!$AM$68+'TUSD CVA'!$AM$68)*(1-CUSTOS!$M$38)</f>
        <v>222.93739154100084</v>
      </c>
      <c r="AA803" s="6">
        <f>('TE BE'!$AA$32+'TE BF'!$AA$32+'TE CVA'!$AA$32)*(1-CUSTOS!$M$38)</f>
        <v>199.18265392296476</v>
      </c>
      <c r="AB803" s="6">
        <f t="shared" si="38"/>
        <v>0</v>
      </c>
      <c r="AC803" s="6">
        <f>(L803-M803)*(W803+X803)+($W$613+$X$613-$W$803-$X$803)*(L803)</f>
        <v>866193.13536000019</v>
      </c>
      <c r="AD803" s="6">
        <f t="shared" si="39"/>
        <v>0</v>
      </c>
      <c r="AE803" s="6">
        <f ca="1">(L803-M803)*(Z803+AA803)+($Z$613+$AA$613-$Z$803-$AA$803)*(L803)</f>
        <v>645607.19996952044</v>
      </c>
      <c r="AF803" s="4" t="s">
        <v>1151</v>
      </c>
    </row>
    <row r="804" spans="1:32" ht="11.25" customHeight="1" x14ac:dyDescent="0.25">
      <c r="A804" s="4" t="s">
        <v>27</v>
      </c>
      <c r="B804" s="4" t="s">
        <v>46</v>
      </c>
      <c r="C804" s="4" t="s">
        <v>23</v>
      </c>
      <c r="D804" s="4" t="s">
        <v>47</v>
      </c>
      <c r="E804" s="4" t="s">
        <v>25</v>
      </c>
      <c r="F804" s="4" t="s">
        <v>25</v>
      </c>
      <c r="G804" s="4" t="s">
        <v>25</v>
      </c>
      <c r="H804" s="4" t="s">
        <v>25</v>
      </c>
      <c r="I804" s="5">
        <v>43952</v>
      </c>
      <c r="J804" s="6">
        <v>0</v>
      </c>
      <c r="K804" s="6">
        <v>0</v>
      </c>
      <c r="L804" s="6">
        <v>5.4370000000000003</v>
      </c>
      <c r="M804" s="6">
        <v>5.4370000000000003</v>
      </c>
      <c r="N804" s="6">
        <v>5.4370000000000003</v>
      </c>
      <c r="O804" s="6">
        <v>5.4370000000000003</v>
      </c>
      <c r="P804" s="6">
        <v>2</v>
      </c>
      <c r="Q804" s="4" t="s">
        <v>26</v>
      </c>
      <c r="R804" s="4">
        <v>0</v>
      </c>
      <c r="S804" s="4">
        <v>0</v>
      </c>
      <c r="T804" s="4">
        <v>58</v>
      </c>
      <c r="U804" s="4">
        <v>101</v>
      </c>
      <c r="V804" s="6">
        <f>IF(ISERROR(VLOOKUP($S$804,'TAR FIN'!$A$1:$O$120,15,0)),0,VLOOKUP($S$804,'TAR FIN'!$A$1:$O$120,15,0))</f>
        <v>0</v>
      </c>
      <c r="W804" s="6">
        <f>IF(ISERROR(VLOOKUP($T$804,'TAR FIN'!$A$1:$O$120,15,0)),0,VLOOKUP($T$804,'TAR FIN'!$A$1:$O$120,15,0))</f>
        <v>187.79</v>
      </c>
      <c r="X804" s="6">
        <f>IF(ISERROR(VLOOKUP($U$804,'TAR FIN'!$A$1:$O$120,15,0)),0,VLOOKUP($U$804,'TAR FIN'!$A$1:$O$120,15,0))</f>
        <v>205.9</v>
      </c>
      <c r="Y804" s="6"/>
      <c r="Z804" s="6">
        <f ca="1">('TUSD BE'!$AM$68+'TUSD BF'!$AM$68+'TUSD CVA'!$AM$68)*(1-CUSTOS!$M$38)</f>
        <v>222.93739154100084</v>
      </c>
      <c r="AA804" s="6">
        <f>('TE BE'!$AA$32+'TE BF'!$AA$32+'TE CVA'!$AA$32)*(1-CUSTOS!$M$38)</f>
        <v>199.18265392296476</v>
      </c>
      <c r="AB804" s="6">
        <f t="shared" si="38"/>
        <v>0</v>
      </c>
      <c r="AC804" s="6">
        <f>(L804-M804)*(W804+X804)+($W$613+$X$613-$W$804-$X$804)*(L804)</f>
        <v>675.92784000000017</v>
      </c>
      <c r="AD804" s="6">
        <f t="shared" si="39"/>
        <v>0</v>
      </c>
      <c r="AE804" s="6">
        <f ca="1">(L804-M804)*(Z804+AA804)+($Z$613+$AA$613-$Z$804-$AA$804)*(L804)</f>
        <v>503.7951264558103</v>
      </c>
      <c r="AF804" s="4" t="s">
        <v>1151</v>
      </c>
    </row>
    <row r="805" spans="1:32" ht="11.25" customHeight="1" x14ac:dyDescent="0.25">
      <c r="A805" s="4" t="s">
        <v>28</v>
      </c>
      <c r="B805" s="4" t="s">
        <v>46</v>
      </c>
      <c r="C805" s="4" t="s">
        <v>23</v>
      </c>
      <c r="D805" s="4" t="s">
        <v>47</v>
      </c>
      <c r="E805" s="4" t="s">
        <v>25</v>
      </c>
      <c r="F805" s="4" t="s">
        <v>25</v>
      </c>
      <c r="G805" s="4" t="s">
        <v>25</v>
      </c>
      <c r="H805" s="4" t="s">
        <v>25</v>
      </c>
      <c r="I805" s="5">
        <v>43952</v>
      </c>
      <c r="J805" s="6">
        <v>0</v>
      </c>
      <c r="K805" s="6">
        <v>0</v>
      </c>
      <c r="L805" s="6">
        <v>45.226999999999997</v>
      </c>
      <c r="M805" s="6">
        <v>45.226999999999997</v>
      </c>
      <c r="N805" s="6">
        <v>45.226999999999997</v>
      </c>
      <c r="O805" s="6">
        <v>45.226999999999997</v>
      </c>
      <c r="P805" s="6">
        <v>37</v>
      </c>
      <c r="Q805" s="4" t="s">
        <v>26</v>
      </c>
      <c r="R805" s="4">
        <v>0</v>
      </c>
      <c r="S805" s="4">
        <v>0</v>
      </c>
      <c r="T805" s="4">
        <v>58</v>
      </c>
      <c r="U805" s="4">
        <v>101</v>
      </c>
      <c r="V805" s="6">
        <f>IF(ISERROR(VLOOKUP($S$805,'TAR FIN'!$A$1:$O$120,15,0)),0,VLOOKUP($S$805,'TAR FIN'!$A$1:$O$120,15,0))</f>
        <v>0</v>
      </c>
      <c r="W805" s="6">
        <f>IF(ISERROR(VLOOKUP($T$805,'TAR FIN'!$A$1:$O$120,15,0)),0,VLOOKUP($T$805,'TAR FIN'!$A$1:$O$120,15,0))</f>
        <v>187.79</v>
      </c>
      <c r="X805" s="6">
        <f>IF(ISERROR(VLOOKUP($U$805,'TAR FIN'!$A$1:$O$120,15,0)),0,VLOOKUP($U$805,'TAR FIN'!$A$1:$O$120,15,0))</f>
        <v>205.9</v>
      </c>
      <c r="Y805" s="6"/>
      <c r="Z805" s="6">
        <f ca="1">('TUSD BE'!$AM$68+'TUSD BF'!$AM$68+'TUSD CVA'!$AM$68)*(1-CUSTOS!$M$38)</f>
        <v>222.93739154100084</v>
      </c>
      <c r="AA805" s="6">
        <f>('TE BE'!$AA$32+'TE BF'!$AA$32+'TE CVA'!$AA$32)*(1-CUSTOS!$M$38)</f>
        <v>199.18265392296476</v>
      </c>
      <c r="AB805" s="6">
        <f t="shared" si="38"/>
        <v>0</v>
      </c>
      <c r="AC805" s="6">
        <f>(L805-M805)*(W805+X805)+($W$613+$X$613-$W$805-$X$805)*(L805)</f>
        <v>5622.620640000001</v>
      </c>
      <c r="AD805" s="6">
        <f t="shared" si="39"/>
        <v>0</v>
      </c>
      <c r="AE805" s="6">
        <f ca="1">(L805-M805)*(Z805+AA805)+($Z$613+$AA$613-$Z$805-$AA$805)*(L805)</f>
        <v>4190.7563333119233</v>
      </c>
      <c r="AF805" s="4" t="s">
        <v>1151</v>
      </c>
    </row>
    <row r="806" spans="1:32" ht="11.25" customHeight="1" x14ac:dyDescent="0.25">
      <c r="A806" s="4" t="s">
        <v>21</v>
      </c>
      <c r="B806" s="4" t="s">
        <v>46</v>
      </c>
      <c r="C806" s="4" t="s">
        <v>23</v>
      </c>
      <c r="D806" s="4" t="s">
        <v>47</v>
      </c>
      <c r="E806" s="4" t="s">
        <v>25</v>
      </c>
      <c r="F806" s="4" t="s">
        <v>25</v>
      </c>
      <c r="G806" s="4" t="s">
        <v>25</v>
      </c>
      <c r="H806" s="4" t="s">
        <v>25</v>
      </c>
      <c r="I806" s="5">
        <v>43983</v>
      </c>
      <c r="J806" s="6">
        <v>0</v>
      </c>
      <c r="K806" s="6">
        <v>0</v>
      </c>
      <c r="L806" s="6">
        <v>6586.8239999999996</v>
      </c>
      <c r="M806" s="6">
        <v>6586.8239999999996</v>
      </c>
      <c r="N806" s="6">
        <v>6586.8239999999996</v>
      </c>
      <c r="O806" s="6">
        <v>6586.8239999999996</v>
      </c>
      <c r="P806" s="6">
        <v>10420</v>
      </c>
      <c r="Q806" s="4" t="s">
        <v>26</v>
      </c>
      <c r="R806" s="4">
        <v>0</v>
      </c>
      <c r="S806" s="4">
        <v>0</v>
      </c>
      <c r="T806" s="4">
        <v>58</v>
      </c>
      <c r="U806" s="4">
        <v>101</v>
      </c>
      <c r="V806" s="6">
        <f>IF(ISERROR(VLOOKUP($S$806,'TAR FIN'!$A$1:$O$120,15,0)),0,VLOOKUP($S$806,'TAR FIN'!$A$1:$O$120,15,0))</f>
        <v>0</v>
      </c>
      <c r="W806" s="6">
        <f>IF(ISERROR(VLOOKUP($T$806,'TAR FIN'!$A$1:$O$120,15,0)),0,VLOOKUP($T$806,'TAR FIN'!$A$1:$O$120,15,0))</f>
        <v>187.79</v>
      </c>
      <c r="X806" s="6">
        <f>IF(ISERROR(VLOOKUP($U$806,'TAR FIN'!$A$1:$O$120,15,0)),0,VLOOKUP($U$806,'TAR FIN'!$A$1:$O$120,15,0))</f>
        <v>205.9</v>
      </c>
      <c r="Y806" s="6"/>
      <c r="Z806" s="6">
        <f ca="1">('TUSD BE'!$AM$68+'TUSD BF'!$AM$68+'TUSD CVA'!$AM$68)*(1-CUSTOS!$M$38)</f>
        <v>222.93739154100084</v>
      </c>
      <c r="AA806" s="6">
        <f>('TE BE'!$AA$32+'TE BF'!$AA$32+'TE CVA'!$AA$32)*(1-CUSTOS!$M$38)</f>
        <v>199.18265392296476</v>
      </c>
      <c r="AB806" s="6">
        <f t="shared" si="38"/>
        <v>0</v>
      </c>
      <c r="AC806" s="6">
        <f>(L806-M806)*(W806+X806)+($W$613+$X$613-$W$806-$X$806)*(L806)</f>
        <v>818873.95968000009</v>
      </c>
      <c r="AD806" s="6">
        <f t="shared" si="39"/>
        <v>0</v>
      </c>
      <c r="AE806" s="6">
        <f ca="1">(L806-M806)*(Z806+AA806)+($Z$613+$AA$613-$Z$806-$AA$806)*(L806)</f>
        <v>610338.39066068898</v>
      </c>
      <c r="AF806" s="4" t="s">
        <v>1151</v>
      </c>
    </row>
    <row r="807" spans="1:32" ht="11.25" customHeight="1" x14ac:dyDescent="0.25">
      <c r="A807" s="4" t="s">
        <v>27</v>
      </c>
      <c r="B807" s="4" t="s">
        <v>46</v>
      </c>
      <c r="C807" s="4" t="s">
        <v>23</v>
      </c>
      <c r="D807" s="4" t="s">
        <v>47</v>
      </c>
      <c r="E807" s="4" t="s">
        <v>25</v>
      </c>
      <c r="F807" s="4" t="s">
        <v>25</v>
      </c>
      <c r="G807" s="4" t="s">
        <v>25</v>
      </c>
      <c r="H807" s="4" t="s">
        <v>25</v>
      </c>
      <c r="I807" s="5">
        <v>43983</v>
      </c>
      <c r="J807" s="6">
        <v>0</v>
      </c>
      <c r="K807" s="6">
        <v>0</v>
      </c>
      <c r="L807" s="6">
        <v>9.1639999999999997</v>
      </c>
      <c r="M807" s="6">
        <v>9.1639999999999997</v>
      </c>
      <c r="N807" s="6">
        <v>9.1639999999999997</v>
      </c>
      <c r="O807" s="6">
        <v>9.1639999999999997</v>
      </c>
      <c r="P807" s="6">
        <v>4</v>
      </c>
      <c r="Q807" s="4" t="s">
        <v>26</v>
      </c>
      <c r="R807" s="4">
        <v>0</v>
      </c>
      <c r="S807" s="4">
        <v>0</v>
      </c>
      <c r="T807" s="4">
        <v>58</v>
      </c>
      <c r="U807" s="4">
        <v>101</v>
      </c>
      <c r="V807" s="6">
        <f>IF(ISERROR(VLOOKUP($S$807,'TAR FIN'!$A$1:$O$120,15,0)),0,VLOOKUP($S$807,'TAR FIN'!$A$1:$O$120,15,0))</f>
        <v>0</v>
      </c>
      <c r="W807" s="6">
        <f>IF(ISERROR(VLOOKUP($T$807,'TAR FIN'!$A$1:$O$120,15,0)),0,VLOOKUP($T$807,'TAR FIN'!$A$1:$O$120,15,0))</f>
        <v>187.79</v>
      </c>
      <c r="X807" s="6">
        <f>IF(ISERROR(VLOOKUP($U$807,'TAR FIN'!$A$1:$O$120,15,0)),0,VLOOKUP($U$807,'TAR FIN'!$A$1:$O$120,15,0))</f>
        <v>205.9</v>
      </c>
      <c r="Y807" s="6"/>
      <c r="Z807" s="6">
        <f ca="1">('TUSD BE'!$AM$68+'TUSD BF'!$AM$68+'TUSD CVA'!$AM$68)*(1-CUSTOS!$M$38)</f>
        <v>222.93739154100084</v>
      </c>
      <c r="AA807" s="6">
        <f>('TE BE'!$AA$32+'TE BF'!$AA$32+'TE CVA'!$AA$32)*(1-CUSTOS!$M$38)</f>
        <v>199.18265392296476</v>
      </c>
      <c r="AB807" s="6">
        <f t="shared" si="38"/>
        <v>0</v>
      </c>
      <c r="AC807" s="6">
        <f>(L807-M807)*(W807+X807)+($W$613+$X$613-$W$807-$X$807)*(L807)</f>
        <v>1139.2684800000002</v>
      </c>
      <c r="AD807" s="6">
        <f t="shared" si="39"/>
        <v>0</v>
      </c>
      <c r="AE807" s="6">
        <f ca="1">(L807-M807)*(Z807+AA807)+($Z$613+$AA$613-$Z$807-$AA$807)*(L807)</f>
        <v>849.14080169965882</v>
      </c>
      <c r="AF807" s="4" t="s">
        <v>1151</v>
      </c>
    </row>
    <row r="808" spans="1:32" ht="11.25" customHeight="1" x14ac:dyDescent="0.25">
      <c r="A808" s="4" t="s">
        <v>28</v>
      </c>
      <c r="B808" s="4" t="s">
        <v>46</v>
      </c>
      <c r="C808" s="4" t="s">
        <v>23</v>
      </c>
      <c r="D808" s="4" t="s">
        <v>47</v>
      </c>
      <c r="E808" s="4" t="s">
        <v>25</v>
      </c>
      <c r="F808" s="4" t="s">
        <v>25</v>
      </c>
      <c r="G808" s="4" t="s">
        <v>25</v>
      </c>
      <c r="H808" s="4" t="s">
        <v>25</v>
      </c>
      <c r="I808" s="5">
        <v>43983</v>
      </c>
      <c r="J808" s="6">
        <v>0</v>
      </c>
      <c r="K808" s="6">
        <v>0</v>
      </c>
      <c r="L808" s="6">
        <v>25.783000000000001</v>
      </c>
      <c r="M808" s="6">
        <v>25.783000000000001</v>
      </c>
      <c r="N808" s="6">
        <v>25.783000000000001</v>
      </c>
      <c r="O808" s="6">
        <v>25.783000000000001</v>
      </c>
      <c r="P808" s="6">
        <v>37</v>
      </c>
      <c r="Q808" s="4" t="s">
        <v>26</v>
      </c>
      <c r="R808" s="4">
        <v>0</v>
      </c>
      <c r="S808" s="4">
        <v>0</v>
      </c>
      <c r="T808" s="4">
        <v>58</v>
      </c>
      <c r="U808" s="4">
        <v>101</v>
      </c>
      <c r="V808" s="6">
        <f>IF(ISERROR(VLOOKUP($S$808,'TAR FIN'!$A$1:$O$120,15,0)),0,VLOOKUP($S$808,'TAR FIN'!$A$1:$O$120,15,0))</f>
        <v>0</v>
      </c>
      <c r="W808" s="6">
        <f>IF(ISERROR(VLOOKUP($T$808,'TAR FIN'!$A$1:$O$120,15,0)),0,VLOOKUP($T$808,'TAR FIN'!$A$1:$O$120,15,0))</f>
        <v>187.79</v>
      </c>
      <c r="X808" s="6">
        <f>IF(ISERROR(VLOOKUP($U$808,'TAR FIN'!$A$1:$O$120,15,0)),0,VLOOKUP($U$808,'TAR FIN'!$A$1:$O$120,15,0))</f>
        <v>205.9</v>
      </c>
      <c r="Y808" s="6"/>
      <c r="Z808" s="6">
        <f ca="1">('TUSD BE'!$AM$68+'TUSD BF'!$AM$68+'TUSD CVA'!$AM$68)*(1-CUSTOS!$M$38)</f>
        <v>222.93739154100084</v>
      </c>
      <c r="AA808" s="6">
        <f>('TE BE'!$AA$32+'TE BF'!$AA$32+'TE CVA'!$AA$32)*(1-CUSTOS!$M$38)</f>
        <v>199.18265392296476</v>
      </c>
      <c r="AB808" s="6">
        <f t="shared" si="38"/>
        <v>0</v>
      </c>
      <c r="AC808" s="6">
        <f>(L808-M808)*(W808+X808)+($W$613+$X$613-$W$808-$X$808)*(L808)</f>
        <v>3205.3425600000005</v>
      </c>
      <c r="AD808" s="6">
        <f t="shared" si="39"/>
        <v>0</v>
      </c>
      <c r="AE808" s="6">
        <f ca="1">(L808-M808)*(Z808+AA808)+($Z$613+$AA$613-$Z$808-$AA$808)*(L808)</f>
        <v>2389.0656143848</v>
      </c>
      <c r="AF808" s="4" t="s">
        <v>1151</v>
      </c>
    </row>
    <row r="809" spans="1:32" ht="11.25" customHeight="1" x14ac:dyDescent="0.25">
      <c r="A809" s="4" t="s">
        <v>21</v>
      </c>
      <c r="B809" s="4" t="s">
        <v>46</v>
      </c>
      <c r="C809" s="4" t="s">
        <v>23</v>
      </c>
      <c r="D809" s="4" t="s">
        <v>47</v>
      </c>
      <c r="E809" s="4" t="s">
        <v>25</v>
      </c>
      <c r="F809" s="4" t="s">
        <v>25</v>
      </c>
      <c r="G809" s="4" t="s">
        <v>25</v>
      </c>
      <c r="H809" s="4" t="s">
        <v>25</v>
      </c>
      <c r="I809" s="5">
        <v>44013</v>
      </c>
      <c r="J809" s="6">
        <v>0</v>
      </c>
      <c r="K809" s="6">
        <v>0</v>
      </c>
      <c r="L809" s="6">
        <v>6982.9350000000004</v>
      </c>
      <c r="M809" s="6">
        <v>6982.9350000000004</v>
      </c>
      <c r="N809" s="6">
        <v>6982.9350000000004</v>
      </c>
      <c r="O809" s="6">
        <v>6982.9350000000004</v>
      </c>
      <c r="P809" s="6">
        <v>10416</v>
      </c>
      <c r="Q809" s="4" t="s">
        <v>26</v>
      </c>
      <c r="R809" s="4">
        <v>0</v>
      </c>
      <c r="S809" s="4">
        <v>0</v>
      </c>
      <c r="T809" s="4">
        <v>58</v>
      </c>
      <c r="U809" s="4">
        <v>101</v>
      </c>
      <c r="V809" s="6">
        <f>IF(ISERROR(VLOOKUP($S$809,'TAR FIN'!$A$1:$O$120,15,0)),0,VLOOKUP($S$809,'TAR FIN'!$A$1:$O$120,15,0))</f>
        <v>0</v>
      </c>
      <c r="W809" s="6">
        <f>IF(ISERROR(VLOOKUP($T$809,'TAR FIN'!$A$1:$O$120,15,0)),0,VLOOKUP($T$809,'TAR FIN'!$A$1:$O$120,15,0))</f>
        <v>187.79</v>
      </c>
      <c r="X809" s="6">
        <f>IF(ISERROR(VLOOKUP($U$809,'TAR FIN'!$A$1:$O$120,15,0)),0,VLOOKUP($U$809,'TAR FIN'!$A$1:$O$120,15,0))</f>
        <v>205.9</v>
      </c>
      <c r="Y809" s="6"/>
      <c r="Z809" s="6">
        <f ca="1">('TUSD BE'!$AM$68+'TUSD BF'!$AM$68+'TUSD CVA'!$AM$68)*(1-CUSTOS!$M$38)</f>
        <v>222.93739154100084</v>
      </c>
      <c r="AA809" s="6">
        <f>('TE BE'!$AA$32+'TE BF'!$AA$32+'TE CVA'!$AA$32)*(1-CUSTOS!$M$38)</f>
        <v>199.18265392296476</v>
      </c>
      <c r="AB809" s="6">
        <f t="shared" si="38"/>
        <v>0</v>
      </c>
      <c r="AC809" s="6">
        <f>(L809-M809)*(W809+X809)+($W$613+$X$613-$W$809-$X$809)*(L809)</f>
        <v>868118.47920000018</v>
      </c>
      <c r="AD809" s="6">
        <f t="shared" si="39"/>
        <v>0</v>
      </c>
      <c r="AE809" s="6">
        <f ca="1">(L809-M809)*(Z809+AA809)+($Z$613+$AA$613-$Z$809-$AA$809)*(L809)</f>
        <v>647042.23309871322</v>
      </c>
      <c r="AF809" s="4" t="s">
        <v>1151</v>
      </c>
    </row>
    <row r="810" spans="1:32" ht="11.25" customHeight="1" x14ac:dyDescent="0.25">
      <c r="A810" s="4" t="s">
        <v>27</v>
      </c>
      <c r="B810" s="4" t="s">
        <v>46</v>
      </c>
      <c r="C810" s="4" t="s">
        <v>23</v>
      </c>
      <c r="D810" s="4" t="s">
        <v>47</v>
      </c>
      <c r="E810" s="4" t="s">
        <v>25</v>
      </c>
      <c r="F810" s="4" t="s">
        <v>25</v>
      </c>
      <c r="G810" s="4" t="s">
        <v>25</v>
      </c>
      <c r="H810" s="4" t="s">
        <v>25</v>
      </c>
      <c r="I810" s="5">
        <v>44013</v>
      </c>
      <c r="J810" s="6">
        <v>0</v>
      </c>
      <c r="K810" s="6">
        <v>0</v>
      </c>
      <c r="L810" s="6">
        <v>19.53</v>
      </c>
      <c r="M810" s="6">
        <v>19.53</v>
      </c>
      <c r="N810" s="6">
        <v>19.53</v>
      </c>
      <c r="O810" s="6">
        <v>19.53</v>
      </c>
      <c r="P810" s="6">
        <v>8</v>
      </c>
      <c r="Q810" s="4" t="s">
        <v>26</v>
      </c>
      <c r="R810" s="4">
        <v>0</v>
      </c>
      <c r="S810" s="4">
        <v>0</v>
      </c>
      <c r="T810" s="4">
        <v>58</v>
      </c>
      <c r="U810" s="4">
        <v>101</v>
      </c>
      <c r="V810" s="6">
        <f>IF(ISERROR(VLOOKUP($S$810,'TAR FIN'!$A$1:$O$120,15,0)),0,VLOOKUP($S$810,'TAR FIN'!$A$1:$O$120,15,0))</f>
        <v>0</v>
      </c>
      <c r="W810" s="6">
        <f>IF(ISERROR(VLOOKUP($T$810,'TAR FIN'!$A$1:$O$120,15,0)),0,VLOOKUP($T$810,'TAR FIN'!$A$1:$O$120,15,0))</f>
        <v>187.79</v>
      </c>
      <c r="X810" s="6">
        <f>IF(ISERROR(VLOOKUP($U$810,'TAR FIN'!$A$1:$O$120,15,0)),0,VLOOKUP($U$810,'TAR FIN'!$A$1:$O$120,15,0))</f>
        <v>205.9</v>
      </c>
      <c r="Y810" s="6"/>
      <c r="Z810" s="6">
        <f ca="1">('TUSD BE'!$AM$68+'TUSD BF'!$AM$68+'TUSD CVA'!$AM$68)*(1-CUSTOS!$M$38)</f>
        <v>222.93739154100084</v>
      </c>
      <c r="AA810" s="6">
        <f>('TE BE'!$AA$32+'TE BF'!$AA$32+'TE CVA'!$AA$32)*(1-CUSTOS!$M$38)</f>
        <v>199.18265392296476</v>
      </c>
      <c r="AB810" s="6">
        <f t="shared" si="38"/>
        <v>0</v>
      </c>
      <c r="AC810" s="6">
        <f>(L810-M810)*(W810+X810)+($W$613+$X$613-$W$810-$X$810)*(L810)</f>
        <v>2427.9696000000004</v>
      </c>
      <c r="AD810" s="6">
        <f t="shared" si="39"/>
        <v>0</v>
      </c>
      <c r="AE810" s="6">
        <f ca="1">(L810-M810)*(Z810+AA810)+($Z$613+$AA$613-$Z$810-$AA$810)*(L810)</f>
        <v>1809.6595217366148</v>
      </c>
      <c r="AF810" s="4" t="s">
        <v>1151</v>
      </c>
    </row>
    <row r="811" spans="1:32" ht="11.25" customHeight="1" x14ac:dyDescent="0.25">
      <c r="A811" s="4" t="s">
        <v>28</v>
      </c>
      <c r="B811" s="4" t="s">
        <v>46</v>
      </c>
      <c r="C811" s="4" t="s">
        <v>23</v>
      </c>
      <c r="D811" s="4" t="s">
        <v>47</v>
      </c>
      <c r="E811" s="4" t="s">
        <v>25</v>
      </c>
      <c r="F811" s="4" t="s">
        <v>25</v>
      </c>
      <c r="G811" s="4" t="s">
        <v>25</v>
      </c>
      <c r="H811" s="4" t="s">
        <v>25</v>
      </c>
      <c r="I811" s="5">
        <v>44013</v>
      </c>
      <c r="J811" s="6">
        <v>0</v>
      </c>
      <c r="K811" s="6">
        <v>0</v>
      </c>
      <c r="L811" s="6">
        <v>23.128</v>
      </c>
      <c r="M811" s="6">
        <v>23.128</v>
      </c>
      <c r="N811" s="6">
        <v>23.128</v>
      </c>
      <c r="O811" s="6">
        <v>23.128</v>
      </c>
      <c r="P811" s="6">
        <v>36</v>
      </c>
      <c r="Q811" s="4" t="s">
        <v>26</v>
      </c>
      <c r="R811" s="4">
        <v>0</v>
      </c>
      <c r="S811" s="4">
        <v>0</v>
      </c>
      <c r="T811" s="4">
        <v>58</v>
      </c>
      <c r="U811" s="4">
        <v>101</v>
      </c>
      <c r="V811" s="6">
        <f>IF(ISERROR(VLOOKUP($S$811,'TAR FIN'!$A$1:$O$120,15,0)),0,VLOOKUP($S$811,'TAR FIN'!$A$1:$O$120,15,0))</f>
        <v>0</v>
      </c>
      <c r="W811" s="6">
        <f>IF(ISERROR(VLOOKUP($T$811,'TAR FIN'!$A$1:$O$120,15,0)),0,VLOOKUP($T$811,'TAR FIN'!$A$1:$O$120,15,0))</f>
        <v>187.79</v>
      </c>
      <c r="X811" s="6">
        <f>IF(ISERROR(VLOOKUP($U$811,'TAR FIN'!$A$1:$O$120,15,0)),0,VLOOKUP($U$811,'TAR FIN'!$A$1:$O$120,15,0))</f>
        <v>205.9</v>
      </c>
      <c r="Y811" s="6"/>
      <c r="Z811" s="6">
        <f ca="1">('TUSD BE'!$AM$68+'TUSD BF'!$AM$68+'TUSD CVA'!$AM$68)*(1-CUSTOS!$M$38)</f>
        <v>222.93739154100084</v>
      </c>
      <c r="AA811" s="6">
        <f>('TE BE'!$AA$32+'TE BF'!$AA$32+'TE CVA'!$AA$32)*(1-CUSTOS!$M$38)</f>
        <v>199.18265392296476</v>
      </c>
      <c r="AB811" s="6">
        <f t="shared" si="38"/>
        <v>0</v>
      </c>
      <c r="AC811" s="6">
        <f>(L811-M811)*(W811+X811)+($W$613+$X$613-$W$811-$X$811)*(L811)</f>
        <v>2875.2729600000007</v>
      </c>
      <c r="AD811" s="6">
        <f t="shared" si="39"/>
        <v>0</v>
      </c>
      <c r="AE811" s="6">
        <f ca="1">(L811-M811)*(Z811+AA811)+($Z$613+$AA$613-$Z$811-$AA$811)*(L811)</f>
        <v>2143.0519927662276</v>
      </c>
      <c r="AF811" s="4" t="s">
        <v>1151</v>
      </c>
    </row>
    <row r="812" spans="1:32" ht="11.25" customHeight="1" x14ac:dyDescent="0.25">
      <c r="A812" s="4" t="s">
        <v>21</v>
      </c>
      <c r="B812" s="4" t="s">
        <v>46</v>
      </c>
      <c r="C812" s="4" t="s">
        <v>23</v>
      </c>
      <c r="D812" s="4" t="s">
        <v>47</v>
      </c>
      <c r="E812" s="4" t="s">
        <v>25</v>
      </c>
      <c r="F812" s="4" t="s">
        <v>25</v>
      </c>
      <c r="G812" s="4" t="s">
        <v>25</v>
      </c>
      <c r="H812" s="4" t="s">
        <v>25</v>
      </c>
      <c r="I812" s="5">
        <v>44044</v>
      </c>
      <c r="J812" s="6">
        <v>0</v>
      </c>
      <c r="K812" s="6">
        <v>0</v>
      </c>
      <c r="L812" s="6">
        <v>7965.4070000000002</v>
      </c>
      <c r="M812" s="6">
        <v>7965.4070000000002</v>
      </c>
      <c r="N812" s="6">
        <v>7965.4070000000002</v>
      </c>
      <c r="O812" s="6">
        <v>7965.4070000000002</v>
      </c>
      <c r="P812" s="6">
        <v>10423</v>
      </c>
      <c r="Q812" s="4" t="s">
        <v>26</v>
      </c>
      <c r="R812" s="4">
        <v>0</v>
      </c>
      <c r="S812" s="4">
        <v>0</v>
      </c>
      <c r="T812" s="4">
        <v>58</v>
      </c>
      <c r="U812" s="4">
        <v>101</v>
      </c>
      <c r="V812" s="6">
        <f>IF(ISERROR(VLOOKUP($S$812,'TAR FIN'!$A$1:$O$120,15,0)),0,VLOOKUP($S$812,'TAR FIN'!$A$1:$O$120,15,0))</f>
        <v>0</v>
      </c>
      <c r="W812" s="6">
        <f>IF(ISERROR(VLOOKUP($T$812,'TAR FIN'!$A$1:$O$120,15,0)),0,VLOOKUP($T$812,'TAR FIN'!$A$1:$O$120,15,0))</f>
        <v>187.79</v>
      </c>
      <c r="X812" s="6">
        <f>IF(ISERROR(VLOOKUP($U$812,'TAR FIN'!$A$1:$O$120,15,0)),0,VLOOKUP($U$812,'TAR FIN'!$A$1:$O$120,15,0))</f>
        <v>205.9</v>
      </c>
      <c r="Y812" s="6"/>
      <c r="Z812" s="6">
        <f ca="1">('TUSD BE'!$AM$68+'TUSD BF'!$AM$68+'TUSD CVA'!$AM$68)*(1-CUSTOS!$M$38)</f>
        <v>222.93739154100084</v>
      </c>
      <c r="AA812" s="6">
        <f>('TE BE'!$AA$32+'TE BF'!$AA$32+'TE CVA'!$AA$32)*(1-CUSTOS!$M$38)</f>
        <v>199.18265392296476</v>
      </c>
      <c r="AB812" s="6">
        <f t="shared" si="38"/>
        <v>0</v>
      </c>
      <c r="AC812" s="6">
        <f>(L812-M812)*(W812+X812)+($W$613+$X$613-$W$812-$X$812)*(L812)</f>
        <v>990259.39824000024</v>
      </c>
      <c r="AD812" s="6">
        <f t="shared" si="39"/>
        <v>0</v>
      </c>
      <c r="AE812" s="6">
        <f ca="1">(L812-M812)*(Z812+AA812)+($Z$613+$AA$613-$Z$812-$AA$812)*(L812)</f>
        <v>738078.57767831453</v>
      </c>
      <c r="AF812" s="4" t="s">
        <v>1151</v>
      </c>
    </row>
    <row r="813" spans="1:32" ht="11.25" customHeight="1" x14ac:dyDescent="0.25">
      <c r="A813" s="4" t="s">
        <v>27</v>
      </c>
      <c r="B813" s="4" t="s">
        <v>46</v>
      </c>
      <c r="C813" s="4" t="s">
        <v>23</v>
      </c>
      <c r="D813" s="4" t="s">
        <v>47</v>
      </c>
      <c r="E813" s="4" t="s">
        <v>25</v>
      </c>
      <c r="F813" s="4" t="s">
        <v>25</v>
      </c>
      <c r="G813" s="4" t="s">
        <v>25</v>
      </c>
      <c r="H813" s="4" t="s">
        <v>25</v>
      </c>
      <c r="I813" s="5">
        <v>44044</v>
      </c>
      <c r="J813" s="6">
        <v>0</v>
      </c>
      <c r="K813" s="6">
        <v>0</v>
      </c>
      <c r="L813" s="6">
        <v>33.576999999999998</v>
      </c>
      <c r="M813" s="6">
        <v>33.576999999999998</v>
      </c>
      <c r="N813" s="6">
        <v>33.576999999999998</v>
      </c>
      <c r="O813" s="6">
        <v>33.576999999999998</v>
      </c>
      <c r="P813" s="6">
        <v>7</v>
      </c>
      <c r="Q813" s="4" t="s">
        <v>26</v>
      </c>
      <c r="R813" s="4">
        <v>0</v>
      </c>
      <c r="S813" s="4">
        <v>0</v>
      </c>
      <c r="T813" s="4">
        <v>58</v>
      </c>
      <c r="U813" s="4">
        <v>101</v>
      </c>
      <c r="V813" s="6">
        <f>IF(ISERROR(VLOOKUP($S$813,'TAR FIN'!$A$1:$O$120,15,0)),0,VLOOKUP($S$813,'TAR FIN'!$A$1:$O$120,15,0))</f>
        <v>0</v>
      </c>
      <c r="W813" s="6">
        <f>IF(ISERROR(VLOOKUP($T$813,'TAR FIN'!$A$1:$O$120,15,0)),0,VLOOKUP($T$813,'TAR FIN'!$A$1:$O$120,15,0))</f>
        <v>187.79</v>
      </c>
      <c r="X813" s="6">
        <f>IF(ISERROR(VLOOKUP($U$813,'TAR FIN'!$A$1:$O$120,15,0)),0,VLOOKUP($U$813,'TAR FIN'!$A$1:$O$120,15,0))</f>
        <v>205.9</v>
      </c>
      <c r="Y813" s="6"/>
      <c r="Z813" s="6">
        <f ca="1">('TUSD BE'!$AM$68+'TUSD BF'!$AM$68+'TUSD CVA'!$AM$68)*(1-CUSTOS!$M$38)</f>
        <v>222.93739154100084</v>
      </c>
      <c r="AA813" s="6">
        <f>('TE BE'!$AA$32+'TE BF'!$AA$32+'TE CVA'!$AA$32)*(1-CUSTOS!$M$38)</f>
        <v>199.18265392296476</v>
      </c>
      <c r="AB813" s="6">
        <f t="shared" si="38"/>
        <v>0</v>
      </c>
      <c r="AC813" s="6">
        <f>(L813-M813)*(W813+X813)+($W$613+$X$613-$W$813-$X$813)*(L813)</f>
        <v>4174.2926400000006</v>
      </c>
      <c r="AD813" s="6">
        <f t="shared" si="39"/>
        <v>0</v>
      </c>
      <c r="AE813" s="6">
        <f ca="1">(L813-M813)*(Z813+AA813)+($Z$613+$AA$613-$Z$813-$AA$813)*(L813)</f>
        <v>3111.2615341193195</v>
      </c>
      <c r="AF813" s="4" t="s">
        <v>1151</v>
      </c>
    </row>
    <row r="814" spans="1:32" ht="11.25" customHeight="1" x14ac:dyDescent="0.25">
      <c r="A814" s="4" t="s">
        <v>28</v>
      </c>
      <c r="B814" s="4" t="s">
        <v>46</v>
      </c>
      <c r="C814" s="4" t="s">
        <v>23</v>
      </c>
      <c r="D814" s="4" t="s">
        <v>47</v>
      </c>
      <c r="E814" s="4" t="s">
        <v>25</v>
      </c>
      <c r="F814" s="4" t="s">
        <v>25</v>
      </c>
      <c r="G814" s="4" t="s">
        <v>25</v>
      </c>
      <c r="H814" s="4" t="s">
        <v>25</v>
      </c>
      <c r="I814" s="5">
        <v>44044</v>
      </c>
      <c r="J814" s="6">
        <v>0</v>
      </c>
      <c r="K814" s="6">
        <v>0</v>
      </c>
      <c r="L814" s="6">
        <v>19.637</v>
      </c>
      <c r="M814" s="6">
        <v>19.637</v>
      </c>
      <c r="N814" s="6">
        <v>19.637</v>
      </c>
      <c r="O814" s="6">
        <v>19.637</v>
      </c>
      <c r="P814" s="6">
        <v>36</v>
      </c>
      <c r="Q814" s="4" t="s">
        <v>26</v>
      </c>
      <c r="R814" s="4">
        <v>0</v>
      </c>
      <c r="S814" s="4">
        <v>0</v>
      </c>
      <c r="T814" s="4">
        <v>58</v>
      </c>
      <c r="U814" s="4">
        <v>101</v>
      </c>
      <c r="V814" s="6">
        <f>IF(ISERROR(VLOOKUP($S$814,'TAR FIN'!$A$1:$O$120,15,0)),0,VLOOKUP($S$814,'TAR FIN'!$A$1:$O$120,15,0))</f>
        <v>0</v>
      </c>
      <c r="W814" s="6">
        <f>IF(ISERROR(VLOOKUP($T$814,'TAR FIN'!$A$1:$O$120,15,0)),0,VLOOKUP($T$814,'TAR FIN'!$A$1:$O$120,15,0))</f>
        <v>187.79</v>
      </c>
      <c r="X814" s="6">
        <f>IF(ISERROR(VLOOKUP($U$814,'TAR FIN'!$A$1:$O$120,15,0)),0,VLOOKUP($U$814,'TAR FIN'!$A$1:$O$120,15,0))</f>
        <v>205.9</v>
      </c>
      <c r="Y814" s="6"/>
      <c r="Z814" s="6">
        <f ca="1">('TUSD BE'!$AM$68+'TUSD BF'!$AM$68+'TUSD CVA'!$AM$68)*(1-CUSTOS!$M$38)</f>
        <v>222.93739154100084</v>
      </c>
      <c r="AA814" s="6">
        <f>('TE BE'!$AA$32+'TE BF'!$AA$32+'TE CVA'!$AA$32)*(1-CUSTOS!$M$38)</f>
        <v>199.18265392296476</v>
      </c>
      <c r="AB814" s="6">
        <f t="shared" si="38"/>
        <v>0</v>
      </c>
      <c r="AC814" s="6">
        <f>(L814-M814)*(W814+X814)+($W$613+$X$613-$W$814-$X$814)*(L814)</f>
        <v>2441.2718400000003</v>
      </c>
      <c r="AD814" s="6">
        <f t="shared" si="39"/>
        <v>0</v>
      </c>
      <c r="AE814" s="6">
        <f ca="1">(L814-M814)*(Z814+AA814)+($Z$613+$AA$613-$Z$814-$AA$814)*(L814)</f>
        <v>1819.5741949995854</v>
      </c>
      <c r="AF814" s="4" t="s">
        <v>1151</v>
      </c>
    </row>
    <row r="815" spans="1:32" ht="11.25" customHeight="1" x14ac:dyDescent="0.25">
      <c r="A815" s="4" t="s">
        <v>59</v>
      </c>
      <c r="B815" s="4" t="s">
        <v>46</v>
      </c>
      <c r="C815" s="4" t="s">
        <v>23</v>
      </c>
      <c r="D815" s="4" t="s">
        <v>47</v>
      </c>
      <c r="E815" s="4" t="s">
        <v>25</v>
      </c>
      <c r="F815" s="4" t="s">
        <v>25</v>
      </c>
      <c r="G815" s="4" t="s">
        <v>25</v>
      </c>
      <c r="H815" s="4" t="s">
        <v>25</v>
      </c>
      <c r="I815" s="5">
        <v>44075</v>
      </c>
      <c r="J815" s="6">
        <v>0</v>
      </c>
      <c r="K815" s="6">
        <v>0</v>
      </c>
      <c r="L815" s="6">
        <v>7965.4070000000002</v>
      </c>
      <c r="M815" s="6">
        <v>7965.4070000000002</v>
      </c>
      <c r="N815" s="6">
        <v>7965.4070000000002</v>
      </c>
      <c r="O815" s="6">
        <v>7965.4070000000002</v>
      </c>
      <c r="P815" s="6">
        <v>10423</v>
      </c>
      <c r="Q815" s="4" t="s">
        <v>26</v>
      </c>
      <c r="R815" s="4">
        <v>0</v>
      </c>
      <c r="S815" s="4">
        <v>0</v>
      </c>
      <c r="T815" s="4">
        <v>58</v>
      </c>
      <c r="U815" s="4">
        <v>101</v>
      </c>
      <c r="V815" s="6">
        <f>IF(ISERROR(VLOOKUP($S$815,'TAR FIN'!$A$1:$O$120,15,0)),0,VLOOKUP($S$815,'TAR FIN'!$A$1:$O$120,15,0))</f>
        <v>0</v>
      </c>
      <c r="W815" s="6">
        <f>IF(ISERROR(VLOOKUP($T$815,'TAR FIN'!$A$1:$O$120,15,0)),0,VLOOKUP($T$815,'TAR FIN'!$A$1:$O$120,15,0))</f>
        <v>187.79</v>
      </c>
      <c r="X815" s="6">
        <f>IF(ISERROR(VLOOKUP($U$815,'TAR FIN'!$A$1:$O$120,15,0)),0,VLOOKUP($U$815,'TAR FIN'!$A$1:$O$120,15,0))</f>
        <v>205.9</v>
      </c>
      <c r="Y815" s="6"/>
      <c r="Z815" s="6">
        <f ca="1">('TUSD BE'!$AM$68+'TUSD BF'!$AM$68+'TUSD CVA'!$AM$68)*(1-CUSTOS!$M$38)</f>
        <v>222.93739154100084</v>
      </c>
      <c r="AA815" s="6">
        <f>('TE BE'!$AA$32+'TE BF'!$AA$32+'TE CVA'!$AA$32)*(1-CUSTOS!$M$38)</f>
        <v>199.18265392296476</v>
      </c>
      <c r="AB815" s="6">
        <f t="shared" si="38"/>
        <v>0</v>
      </c>
      <c r="AC815" s="6">
        <f>(L815-M815)*(W815+X815)+($W$613+$X$613-$W$815-$X$815)*(L815)</f>
        <v>990259.39824000024</v>
      </c>
      <c r="AD815" s="6">
        <f t="shared" si="39"/>
        <v>0</v>
      </c>
      <c r="AE815" s="6">
        <f ca="1">(L815-M815)*(Z815+AA815)+($Z$613+$AA$613-$Z$815-$AA$815)*(L815)</f>
        <v>738078.57767831453</v>
      </c>
      <c r="AF815" s="4" t="s">
        <v>1151</v>
      </c>
    </row>
    <row r="816" spans="1:32" ht="11.25" customHeight="1" x14ac:dyDescent="0.25">
      <c r="A816" s="4" t="s">
        <v>59</v>
      </c>
      <c r="B816" s="4" t="s">
        <v>46</v>
      </c>
      <c r="C816" s="4" t="s">
        <v>23</v>
      </c>
      <c r="D816" s="4" t="s">
        <v>47</v>
      </c>
      <c r="E816" s="4" t="s">
        <v>25</v>
      </c>
      <c r="F816" s="4" t="s">
        <v>25</v>
      </c>
      <c r="G816" s="4" t="s">
        <v>25</v>
      </c>
      <c r="H816" s="4" t="s">
        <v>25</v>
      </c>
      <c r="I816" s="5">
        <v>44075</v>
      </c>
      <c r="J816" s="6">
        <v>0</v>
      </c>
      <c r="K816" s="6">
        <v>0</v>
      </c>
      <c r="L816" s="6">
        <v>33.576999999999998</v>
      </c>
      <c r="M816" s="6">
        <v>33.576999999999998</v>
      </c>
      <c r="N816" s="6">
        <v>33.576999999999998</v>
      </c>
      <c r="O816" s="6">
        <v>33.576999999999998</v>
      </c>
      <c r="P816" s="6">
        <v>7</v>
      </c>
      <c r="Q816" s="4" t="s">
        <v>26</v>
      </c>
      <c r="R816" s="4">
        <v>0</v>
      </c>
      <c r="S816" s="4">
        <v>0</v>
      </c>
      <c r="T816" s="4">
        <v>58</v>
      </c>
      <c r="U816" s="4">
        <v>101</v>
      </c>
      <c r="V816" s="6">
        <f>IF(ISERROR(VLOOKUP($S$816,'TAR FIN'!$A$1:$O$120,15,0)),0,VLOOKUP($S$816,'TAR FIN'!$A$1:$O$120,15,0))</f>
        <v>0</v>
      </c>
      <c r="W816" s="6">
        <f>IF(ISERROR(VLOOKUP($T$816,'TAR FIN'!$A$1:$O$120,15,0)),0,VLOOKUP($T$816,'TAR FIN'!$A$1:$O$120,15,0))</f>
        <v>187.79</v>
      </c>
      <c r="X816" s="6">
        <f>IF(ISERROR(VLOOKUP($U$816,'TAR FIN'!$A$1:$O$120,15,0)),0,VLOOKUP($U$816,'TAR FIN'!$A$1:$O$120,15,0))</f>
        <v>205.9</v>
      </c>
      <c r="Y816" s="6"/>
      <c r="Z816" s="6">
        <f ca="1">('TUSD BE'!$AM$68+'TUSD BF'!$AM$68+'TUSD CVA'!$AM$68)*(1-CUSTOS!$M$38)</f>
        <v>222.93739154100084</v>
      </c>
      <c r="AA816" s="6">
        <f>('TE BE'!$AA$32+'TE BF'!$AA$32+'TE CVA'!$AA$32)*(1-CUSTOS!$M$38)</f>
        <v>199.18265392296476</v>
      </c>
      <c r="AB816" s="6">
        <f t="shared" si="38"/>
        <v>0</v>
      </c>
      <c r="AC816" s="6">
        <f>(L816-M816)*(W816+X816)+($W$613+$X$613-$W$816-$X$816)*(L816)</f>
        <v>4174.2926400000006</v>
      </c>
      <c r="AD816" s="6">
        <f t="shared" si="39"/>
        <v>0</v>
      </c>
      <c r="AE816" s="6">
        <f ca="1">(L816-M816)*(Z816+AA816)+($Z$613+$AA$613-$Z$816-$AA$816)*(L816)</f>
        <v>3111.2615341193195</v>
      </c>
      <c r="AF816" s="4" t="s">
        <v>1151</v>
      </c>
    </row>
    <row r="817" spans="1:32" ht="11.25" customHeight="1" x14ac:dyDescent="0.25">
      <c r="A817" s="4" t="s">
        <v>59</v>
      </c>
      <c r="B817" s="4" t="s">
        <v>46</v>
      </c>
      <c r="C817" s="4" t="s">
        <v>23</v>
      </c>
      <c r="D817" s="4" t="s">
        <v>47</v>
      </c>
      <c r="E817" s="4" t="s">
        <v>25</v>
      </c>
      <c r="F817" s="4" t="s">
        <v>25</v>
      </c>
      <c r="G817" s="4" t="s">
        <v>25</v>
      </c>
      <c r="H817" s="4" t="s">
        <v>25</v>
      </c>
      <c r="I817" s="5">
        <v>44075</v>
      </c>
      <c r="J817" s="6">
        <v>0</v>
      </c>
      <c r="K817" s="6">
        <v>0</v>
      </c>
      <c r="L817" s="6">
        <v>19.637</v>
      </c>
      <c r="M817" s="6">
        <v>19.637</v>
      </c>
      <c r="N817" s="6">
        <v>19.637</v>
      </c>
      <c r="O817" s="6">
        <v>19.637</v>
      </c>
      <c r="P817" s="6">
        <v>36</v>
      </c>
      <c r="Q817" s="4" t="s">
        <v>26</v>
      </c>
      <c r="R817" s="4">
        <v>0</v>
      </c>
      <c r="S817" s="4">
        <v>0</v>
      </c>
      <c r="T817" s="4">
        <v>58</v>
      </c>
      <c r="U817" s="4">
        <v>101</v>
      </c>
      <c r="V817" s="6">
        <f>IF(ISERROR(VLOOKUP($S$817,'TAR FIN'!$A$1:$O$120,15,0)),0,VLOOKUP($S$817,'TAR FIN'!$A$1:$O$120,15,0))</f>
        <v>0</v>
      </c>
      <c r="W817" s="6">
        <f>IF(ISERROR(VLOOKUP($T$817,'TAR FIN'!$A$1:$O$120,15,0)),0,VLOOKUP($T$817,'TAR FIN'!$A$1:$O$120,15,0))</f>
        <v>187.79</v>
      </c>
      <c r="X817" s="6">
        <f>IF(ISERROR(VLOOKUP($U$817,'TAR FIN'!$A$1:$O$120,15,0)),0,VLOOKUP($U$817,'TAR FIN'!$A$1:$O$120,15,0))</f>
        <v>205.9</v>
      </c>
      <c r="Y817" s="6"/>
      <c r="Z817" s="6">
        <f ca="1">('TUSD BE'!$AM$68+'TUSD BF'!$AM$68+'TUSD CVA'!$AM$68)*(1-CUSTOS!$M$38)</f>
        <v>222.93739154100084</v>
      </c>
      <c r="AA817" s="6">
        <f>('TE BE'!$AA$32+'TE BF'!$AA$32+'TE CVA'!$AA$32)*(1-CUSTOS!$M$38)</f>
        <v>199.18265392296476</v>
      </c>
      <c r="AB817" s="6">
        <f t="shared" si="38"/>
        <v>0</v>
      </c>
      <c r="AC817" s="6">
        <f>(L817-M817)*(W817+X817)+($W$613+$X$613-$W$817-$X$817)*(L817)</f>
        <v>2441.2718400000003</v>
      </c>
      <c r="AD817" s="6">
        <f t="shared" si="39"/>
        <v>0</v>
      </c>
      <c r="AE817" s="6">
        <f ca="1">(L817-M817)*(Z817+AA817)+($Z$613+$AA$613-$Z$817-$AA$817)*(L817)</f>
        <v>1819.5741949995854</v>
      </c>
      <c r="AF817" s="4" t="s">
        <v>1151</v>
      </c>
    </row>
    <row r="818" spans="1:32" ht="11.25" customHeight="1" x14ac:dyDescent="0.25">
      <c r="A818" s="4" t="s">
        <v>21</v>
      </c>
      <c r="B818" s="4" t="s">
        <v>39</v>
      </c>
      <c r="C818" s="4" t="s">
        <v>23</v>
      </c>
      <c r="D818" s="4" t="s">
        <v>52</v>
      </c>
      <c r="E818" s="4" t="s">
        <v>53</v>
      </c>
      <c r="F818" s="4" t="s">
        <v>25</v>
      </c>
      <c r="G818" s="4" t="s">
        <v>25</v>
      </c>
      <c r="H818" s="4" t="s">
        <v>25</v>
      </c>
      <c r="I818" s="5">
        <v>43739</v>
      </c>
      <c r="J818" s="6">
        <v>0</v>
      </c>
      <c r="K818" s="71">
        <v>0</v>
      </c>
      <c r="L818" s="6">
        <v>912.68499999999995</v>
      </c>
      <c r="M818" s="71">
        <v>912.68499999999995</v>
      </c>
      <c r="N818" s="6">
        <v>912.68499999999995</v>
      </c>
      <c r="O818" s="71">
        <v>912.68499999999995</v>
      </c>
      <c r="P818" s="6">
        <v>251</v>
      </c>
      <c r="Q818" s="4" t="s">
        <v>26</v>
      </c>
      <c r="R818" s="4">
        <v>0</v>
      </c>
      <c r="S818" s="4">
        <v>0</v>
      </c>
      <c r="T818" s="4">
        <v>73</v>
      </c>
      <c r="U818" s="4">
        <v>116</v>
      </c>
      <c r="V818" s="71">
        <f>IF(ISERROR(VLOOKUP($S$818,'TAR FIN'!$A$1:$O$120,15,0)),0,VLOOKUP($S$818,'TAR FIN'!$A$1:$O$120,15,0))</f>
        <v>0</v>
      </c>
      <c r="W818" s="71">
        <f>IF(ISERROR(VLOOKUP($T$818,'TAR FIN'!$A$1:$O$120,15,0)),0,VLOOKUP($T$818,'TAR FIN'!$A$1:$O$120,15,0))*(1-0.12)</f>
        <v>217.4392</v>
      </c>
      <c r="X818" s="71">
        <f>IF(ISERROR(VLOOKUP($U$818,'TAR FIN'!$A$1:$O$120,15,0)),0,VLOOKUP($U$818,'TAR FIN'!$A$1:$O$120,15,0))*(1-0.12)</f>
        <v>238.40960000000001</v>
      </c>
      <c r="Y818" s="71"/>
      <c r="Z818" s="71">
        <f ca="1">('TUSD BE'!$AM$83+'TUSD BF'!$AM$83+'TUSD CVA'!$AM$83)*1*(1-0.09)</f>
        <v>247.40612963696435</v>
      </c>
      <c r="AA818" s="71">
        <f>('TE BE'!$AA$47+'TE BF'!$AA$47+'TE CVA'!$AA$47)*1*(1-0.09)</f>
        <v>221.04416471938771</v>
      </c>
      <c r="AB818" s="71">
        <f>(SUBSIDIO!$J$818*SUBSIDIO!$V$818)*(0.12)/(1-0.12)</f>
        <v>0</v>
      </c>
      <c r="AC818" s="71">
        <f>((SUBSIDIO!$L$818*SUBSIDIO!$W$818)+(SUBSIDIO!$N$818*SUBSIDIO!$X$818))*(0.12)/(1-0.12)</f>
        <v>56733.594821999992</v>
      </c>
      <c r="AD818" s="71">
        <f>(SUBSIDIO!$J$818*SUBSIDIO!$Y$818)*(0.09)/(1-0.09)</f>
        <v>0</v>
      </c>
      <c r="AE818" s="71">
        <f ca="1">((SUBSIDIO!$L$818*SUBSIDIO!$Z$818)+(SUBSIDIO!$N$818*SUBSIDIO!$AA$818))*(0.09)/(1-0.09)</f>
        <v>42284.923210347741</v>
      </c>
      <c r="AF818" s="4" t="s">
        <v>1148</v>
      </c>
    </row>
    <row r="819" spans="1:32" ht="11.25" customHeight="1" x14ac:dyDescent="0.25">
      <c r="A819" s="4" t="s">
        <v>27</v>
      </c>
      <c r="B819" s="4" t="s">
        <v>39</v>
      </c>
      <c r="C819" s="4" t="s">
        <v>23</v>
      </c>
      <c r="D819" s="4" t="s">
        <v>52</v>
      </c>
      <c r="E819" s="4" t="s">
        <v>53</v>
      </c>
      <c r="F819" s="4" t="s">
        <v>25</v>
      </c>
      <c r="G819" s="4" t="s">
        <v>25</v>
      </c>
      <c r="H819" s="4" t="s">
        <v>25</v>
      </c>
      <c r="I819" s="5">
        <v>43739</v>
      </c>
      <c r="J819" s="6">
        <v>0</v>
      </c>
      <c r="K819" s="71">
        <v>0</v>
      </c>
      <c r="L819" s="6">
        <v>6.5819999999999999</v>
      </c>
      <c r="M819" s="71">
        <v>6.5819999999999999</v>
      </c>
      <c r="N819" s="6">
        <v>6.5819999999999999</v>
      </c>
      <c r="O819" s="71">
        <v>6.5819999999999999</v>
      </c>
      <c r="P819" s="6">
        <v>0</v>
      </c>
      <c r="Q819" s="4" t="s">
        <v>26</v>
      </c>
      <c r="R819" s="4">
        <v>0</v>
      </c>
      <c r="S819" s="4">
        <v>0</v>
      </c>
      <c r="T819" s="4">
        <v>73</v>
      </c>
      <c r="U819" s="4">
        <v>116</v>
      </c>
      <c r="V819" s="71">
        <f>IF(ISERROR(VLOOKUP($S$819,'TAR FIN'!$A$1:$O$120,15,0)),0,VLOOKUP($S$819,'TAR FIN'!$A$1:$O$120,15,0))</f>
        <v>0</v>
      </c>
      <c r="W819" s="71">
        <f>IF(ISERROR(VLOOKUP($T$819,'TAR FIN'!$A$1:$O$120,15,0)),0,VLOOKUP($T$819,'TAR FIN'!$A$1:$O$120,15,0))*(1-0.12)</f>
        <v>217.4392</v>
      </c>
      <c r="X819" s="71">
        <f>IF(ISERROR(VLOOKUP($U$819,'TAR FIN'!$A$1:$O$120,15,0)),0,VLOOKUP($U$819,'TAR FIN'!$A$1:$O$120,15,0))*(1-0.12)</f>
        <v>238.40960000000001</v>
      </c>
      <c r="Y819" s="71"/>
      <c r="Z819" s="71">
        <f ca="1">('TUSD BE'!$AM$83+'TUSD BF'!$AM$83+'TUSD CVA'!$AM$83)*1*(1-0.09)</f>
        <v>247.40612963696435</v>
      </c>
      <c r="AA819" s="71">
        <f>('TE BE'!$AA$47+'TE BF'!$AA$47+'TE CVA'!$AA$47)*1*(1-0.09)</f>
        <v>221.04416471938771</v>
      </c>
      <c r="AB819" s="71">
        <f>(SUBSIDIO!$J$819*SUBSIDIO!$V$819)*(0.12)/(1-0.12)</f>
        <v>0</v>
      </c>
      <c r="AC819" s="71">
        <f>((SUBSIDIO!$L$819*SUBSIDIO!$W$819)+(SUBSIDIO!$N$819*SUBSIDIO!$X$819))*(0.12)/(1-0.12)</f>
        <v>409.14501839999997</v>
      </c>
      <c r="AD819" s="71">
        <f>(SUBSIDIO!$J$819*SUBSIDIO!$Y$819)*(0.09)/(1-0.09)</f>
        <v>0</v>
      </c>
      <c r="AE819" s="71">
        <f ca="1">((SUBSIDIO!$L$819*SUBSIDIO!$Z$819)+(SUBSIDIO!$N$819*SUBSIDIO!$AA$819))*(0.09)/(1-0.09)</f>
        <v>304.94569820968769</v>
      </c>
      <c r="AF819" s="4" t="s">
        <v>1148</v>
      </c>
    </row>
    <row r="820" spans="1:32" ht="11.25" customHeight="1" x14ac:dyDescent="0.25">
      <c r="A820" s="4" t="s">
        <v>21</v>
      </c>
      <c r="B820" s="4" t="s">
        <v>39</v>
      </c>
      <c r="C820" s="4" t="s">
        <v>23</v>
      </c>
      <c r="D820" s="4" t="s">
        <v>52</v>
      </c>
      <c r="E820" s="4" t="s">
        <v>53</v>
      </c>
      <c r="F820" s="4" t="s">
        <v>25</v>
      </c>
      <c r="G820" s="4" t="s">
        <v>25</v>
      </c>
      <c r="H820" s="4" t="s">
        <v>25</v>
      </c>
      <c r="I820" s="5">
        <v>43770</v>
      </c>
      <c r="J820" s="6">
        <v>0</v>
      </c>
      <c r="K820" s="71">
        <v>0</v>
      </c>
      <c r="L820" s="6">
        <v>988.85699999999997</v>
      </c>
      <c r="M820" s="71">
        <v>988.85699999999997</v>
      </c>
      <c r="N820" s="6">
        <v>988.85699999999997</v>
      </c>
      <c r="O820" s="71">
        <v>988.85699999999997</v>
      </c>
      <c r="P820" s="6">
        <v>251</v>
      </c>
      <c r="Q820" s="4" t="s">
        <v>26</v>
      </c>
      <c r="R820" s="4">
        <v>0</v>
      </c>
      <c r="S820" s="4">
        <v>0</v>
      </c>
      <c r="T820" s="4">
        <v>73</v>
      </c>
      <c r="U820" s="4">
        <v>116</v>
      </c>
      <c r="V820" s="71">
        <f>IF(ISERROR(VLOOKUP($S$820,'TAR FIN'!$A$1:$O$120,15,0)),0,VLOOKUP($S$820,'TAR FIN'!$A$1:$O$120,15,0))</f>
        <v>0</v>
      </c>
      <c r="W820" s="71">
        <f>IF(ISERROR(VLOOKUP($T$820,'TAR FIN'!$A$1:$O$120,15,0)),0,VLOOKUP($T$820,'TAR FIN'!$A$1:$O$120,15,0))*(1-0.12)</f>
        <v>217.4392</v>
      </c>
      <c r="X820" s="71">
        <f>IF(ISERROR(VLOOKUP($U$820,'TAR FIN'!$A$1:$O$120,15,0)),0,VLOOKUP($U$820,'TAR FIN'!$A$1:$O$120,15,0))*(1-0.12)</f>
        <v>238.40960000000001</v>
      </c>
      <c r="Y820" s="71"/>
      <c r="Z820" s="71">
        <f ca="1">('TUSD BE'!$AM$83+'TUSD BF'!$AM$83+'TUSD CVA'!$AM$83)*1*(1-0.09)</f>
        <v>247.40612963696435</v>
      </c>
      <c r="AA820" s="71">
        <f>('TE BE'!$AA$47+'TE BF'!$AA$47+'TE CVA'!$AA$47)*1*(1-0.09)</f>
        <v>221.04416471938771</v>
      </c>
      <c r="AB820" s="71">
        <f>(SUBSIDIO!$J$820*SUBSIDIO!$V$820)*(0.12)/(1-0.12)</f>
        <v>0</v>
      </c>
      <c r="AC820" s="71">
        <f>((SUBSIDIO!$L$820*SUBSIDIO!$W$820)+(SUBSIDIO!$N$820*SUBSIDIO!$X$820))*(0.12)/(1-0.12)</f>
        <v>61468.537748399998</v>
      </c>
      <c r="AD820" s="71">
        <f>(SUBSIDIO!$J$820*SUBSIDIO!$Y$820)*(0.09)/(1-0.09)</f>
        <v>0</v>
      </c>
      <c r="AE820" s="71">
        <f ca="1">((SUBSIDIO!$L$820*SUBSIDIO!$Z$820)+(SUBSIDIO!$N$820*SUBSIDIO!$AA$820))*(0.09)/(1-0.09)</f>
        <v>45813.990928978608</v>
      </c>
      <c r="AF820" s="4" t="s">
        <v>1148</v>
      </c>
    </row>
    <row r="821" spans="1:32" ht="11.25" customHeight="1" x14ac:dyDescent="0.25">
      <c r="A821" s="4" t="s">
        <v>21</v>
      </c>
      <c r="B821" s="4" t="s">
        <v>39</v>
      </c>
      <c r="C821" s="4" t="s">
        <v>23</v>
      </c>
      <c r="D821" s="4" t="s">
        <v>52</v>
      </c>
      <c r="E821" s="4" t="s">
        <v>53</v>
      </c>
      <c r="F821" s="4" t="s">
        <v>25</v>
      </c>
      <c r="G821" s="4" t="s">
        <v>25</v>
      </c>
      <c r="H821" s="4" t="s">
        <v>25</v>
      </c>
      <c r="I821" s="5">
        <v>43800</v>
      </c>
      <c r="J821" s="6">
        <v>0</v>
      </c>
      <c r="K821" s="71">
        <v>0</v>
      </c>
      <c r="L821" s="6">
        <v>862.71799999999996</v>
      </c>
      <c r="M821" s="71">
        <v>862.71799999999996</v>
      </c>
      <c r="N821" s="6">
        <v>862.71799999999996</v>
      </c>
      <c r="O821" s="71">
        <v>862.71799999999996</v>
      </c>
      <c r="P821" s="6">
        <v>251</v>
      </c>
      <c r="Q821" s="4" t="s">
        <v>26</v>
      </c>
      <c r="R821" s="4">
        <v>0</v>
      </c>
      <c r="S821" s="4">
        <v>0</v>
      </c>
      <c r="T821" s="4">
        <v>73</v>
      </c>
      <c r="U821" s="4">
        <v>116</v>
      </c>
      <c r="V821" s="71">
        <f>IF(ISERROR(VLOOKUP($S$821,'TAR FIN'!$A$1:$O$120,15,0)),0,VLOOKUP($S$821,'TAR FIN'!$A$1:$O$120,15,0))</f>
        <v>0</v>
      </c>
      <c r="W821" s="71">
        <f>IF(ISERROR(VLOOKUP($T$821,'TAR FIN'!$A$1:$O$120,15,0)),0,VLOOKUP($T$821,'TAR FIN'!$A$1:$O$120,15,0))*(1-0.12)</f>
        <v>217.4392</v>
      </c>
      <c r="X821" s="71">
        <f>IF(ISERROR(VLOOKUP($U$821,'TAR FIN'!$A$1:$O$120,15,0)),0,VLOOKUP($U$821,'TAR FIN'!$A$1:$O$120,15,0))*(1-0.12)</f>
        <v>238.40960000000001</v>
      </c>
      <c r="Y821" s="71"/>
      <c r="Z821" s="71">
        <f ca="1">('TUSD BE'!$AM$83+'TUSD BF'!$AM$83+'TUSD CVA'!$AM$83)*1*(1-0.09)</f>
        <v>247.40612963696435</v>
      </c>
      <c r="AA821" s="71">
        <f>('TE BE'!$AA$47+'TE BF'!$AA$47+'TE CVA'!$AA$47)*1*(1-0.09)</f>
        <v>221.04416471938771</v>
      </c>
      <c r="AB821" s="71">
        <f>(SUBSIDIO!$J$821*SUBSIDIO!$V$821)*(0.12)/(1-0.12)</f>
        <v>0</v>
      </c>
      <c r="AC821" s="71">
        <f>((SUBSIDIO!$L$821*SUBSIDIO!$W$821)+(SUBSIDIO!$N$821*SUBSIDIO!$X$821))*(0.12)/(1-0.12)</f>
        <v>53627.586141599997</v>
      </c>
      <c r="AD821" s="71">
        <f>(SUBSIDIO!$J$821*SUBSIDIO!$Y$821)*(0.09)/(1-0.09)</f>
        <v>0</v>
      </c>
      <c r="AE821" s="71">
        <f ca="1">((SUBSIDIO!$L$821*SUBSIDIO!$Z$821)+(SUBSIDIO!$N$821*SUBSIDIO!$AA$821))*(0.09)/(1-0.09)</f>
        <v>39969.93966394187</v>
      </c>
      <c r="AF821" s="4" t="s">
        <v>1148</v>
      </c>
    </row>
    <row r="822" spans="1:32" ht="11.25" customHeight="1" x14ac:dyDescent="0.25">
      <c r="A822" s="4" t="s">
        <v>21</v>
      </c>
      <c r="B822" s="4" t="s">
        <v>39</v>
      </c>
      <c r="C822" s="4" t="s">
        <v>23</v>
      </c>
      <c r="D822" s="4" t="s">
        <v>52</v>
      </c>
      <c r="E822" s="4" t="s">
        <v>53</v>
      </c>
      <c r="F822" s="4" t="s">
        <v>25</v>
      </c>
      <c r="G822" s="4" t="s">
        <v>25</v>
      </c>
      <c r="H822" s="4" t="s">
        <v>25</v>
      </c>
      <c r="I822" s="5">
        <v>43831</v>
      </c>
      <c r="J822" s="6">
        <v>0</v>
      </c>
      <c r="K822" s="71">
        <v>0</v>
      </c>
      <c r="L822" s="6">
        <v>899.73299999999995</v>
      </c>
      <c r="M822" s="71">
        <v>899.73299999999995</v>
      </c>
      <c r="N822" s="6">
        <v>899.73299999999995</v>
      </c>
      <c r="O822" s="71">
        <v>899.73299999999995</v>
      </c>
      <c r="P822" s="6">
        <v>251</v>
      </c>
      <c r="Q822" s="4" t="s">
        <v>26</v>
      </c>
      <c r="R822" s="4">
        <v>0</v>
      </c>
      <c r="S822" s="4">
        <v>0</v>
      </c>
      <c r="T822" s="4">
        <v>73</v>
      </c>
      <c r="U822" s="4">
        <v>116</v>
      </c>
      <c r="V822" s="71">
        <f>IF(ISERROR(VLOOKUP($S$822,'TAR FIN'!$A$1:$O$120,15,0)),0,VLOOKUP($S$822,'TAR FIN'!$A$1:$O$120,15,0))</f>
        <v>0</v>
      </c>
      <c r="W822" s="71">
        <f>IF(ISERROR(VLOOKUP($T$822,'TAR FIN'!$A$1:$O$120,15,0)),0,VLOOKUP($T$822,'TAR FIN'!$A$1:$O$120,15,0))*(1-0.12)</f>
        <v>217.4392</v>
      </c>
      <c r="X822" s="71">
        <f>IF(ISERROR(VLOOKUP($U$822,'TAR FIN'!$A$1:$O$120,15,0)),0,VLOOKUP($U$822,'TAR FIN'!$A$1:$O$120,15,0))*(1-0.12)</f>
        <v>238.40960000000001</v>
      </c>
      <c r="Y822" s="71"/>
      <c r="Z822" s="71">
        <f ca="1">('TUSD BE'!$AM$83+'TUSD BF'!$AM$83+'TUSD CVA'!$AM$83)*1*(1-0.09)</f>
        <v>247.40612963696435</v>
      </c>
      <c r="AA822" s="71">
        <f>('TE BE'!$AA$47+'TE BF'!$AA$47+'TE CVA'!$AA$47)*1*(1-0.09)</f>
        <v>221.04416471938771</v>
      </c>
      <c r="AB822" s="71">
        <f>(SUBSIDIO!$J$822*SUBSIDIO!$V$822)*(0.12)/(1-0.12)</f>
        <v>0</v>
      </c>
      <c r="AC822" s="71">
        <f>((SUBSIDIO!$L$822*SUBSIDIO!$W$822)+(SUBSIDIO!$N$822*SUBSIDIO!$X$822))*(0.12)/(1-0.12)</f>
        <v>55928.482959599998</v>
      </c>
      <c r="AD822" s="71">
        <f>(SUBSIDIO!$J$822*SUBSIDIO!$Y$822)*(0.09)/(1-0.09)</f>
        <v>0</v>
      </c>
      <c r="AE822" s="71">
        <f ca="1">((SUBSIDIO!$L$822*SUBSIDIO!$Z$822)+(SUBSIDIO!$N$822*SUBSIDIO!$AA$822))*(0.09)/(1-0.09)</f>
        <v>41684.85382669355</v>
      </c>
      <c r="AF822" s="4" t="s">
        <v>1148</v>
      </c>
    </row>
    <row r="823" spans="1:32" ht="11.25" customHeight="1" x14ac:dyDescent="0.25">
      <c r="A823" s="4" t="s">
        <v>21</v>
      </c>
      <c r="B823" s="4" t="s">
        <v>39</v>
      </c>
      <c r="C823" s="4" t="s">
        <v>23</v>
      </c>
      <c r="D823" s="4" t="s">
        <v>52</v>
      </c>
      <c r="E823" s="4" t="s">
        <v>53</v>
      </c>
      <c r="F823" s="4" t="s">
        <v>25</v>
      </c>
      <c r="G823" s="4" t="s">
        <v>25</v>
      </c>
      <c r="H823" s="4" t="s">
        <v>25</v>
      </c>
      <c r="I823" s="5">
        <v>43862</v>
      </c>
      <c r="J823" s="6">
        <v>0</v>
      </c>
      <c r="K823" s="71">
        <v>0</v>
      </c>
      <c r="L823" s="6">
        <v>837.53399999999999</v>
      </c>
      <c r="M823" s="71">
        <v>837.53399999999999</v>
      </c>
      <c r="N823" s="6">
        <v>837.53399999999999</v>
      </c>
      <c r="O823" s="71">
        <v>837.53399999999999</v>
      </c>
      <c r="P823" s="6">
        <v>251</v>
      </c>
      <c r="Q823" s="4" t="s">
        <v>26</v>
      </c>
      <c r="R823" s="4">
        <v>0</v>
      </c>
      <c r="S823" s="4">
        <v>0</v>
      </c>
      <c r="T823" s="4">
        <v>73</v>
      </c>
      <c r="U823" s="4">
        <v>116</v>
      </c>
      <c r="V823" s="71">
        <f>IF(ISERROR(VLOOKUP($S$823,'TAR FIN'!$A$1:$O$120,15,0)),0,VLOOKUP($S$823,'TAR FIN'!$A$1:$O$120,15,0))</f>
        <v>0</v>
      </c>
      <c r="W823" s="71">
        <f>IF(ISERROR(VLOOKUP($T$823,'TAR FIN'!$A$1:$O$120,15,0)),0,VLOOKUP($T$823,'TAR FIN'!$A$1:$O$120,15,0))*(1-0.12)</f>
        <v>217.4392</v>
      </c>
      <c r="X823" s="71">
        <f>IF(ISERROR(VLOOKUP($U$823,'TAR FIN'!$A$1:$O$120,15,0)),0,VLOOKUP($U$823,'TAR FIN'!$A$1:$O$120,15,0))*(1-0.12)</f>
        <v>238.40960000000001</v>
      </c>
      <c r="Y823" s="71"/>
      <c r="Z823" s="71">
        <f ca="1">('TUSD BE'!$AM$83+'TUSD BF'!$AM$83+'TUSD CVA'!$AM$83)*1*(1-0.09)</f>
        <v>247.40612963696435</v>
      </c>
      <c r="AA823" s="71">
        <f>('TE BE'!$AA$47+'TE BF'!$AA$47+'TE CVA'!$AA$47)*1*(1-0.09)</f>
        <v>221.04416471938771</v>
      </c>
      <c r="AB823" s="71">
        <f>(SUBSIDIO!$J$823*SUBSIDIO!$V$823)*(0.12)/(1-0.12)</f>
        <v>0</v>
      </c>
      <c r="AC823" s="71">
        <f>((SUBSIDIO!$L$823*SUBSIDIO!$W$823)+(SUBSIDIO!$N$823*SUBSIDIO!$X$823))*(0.12)/(1-0.12)</f>
        <v>52062.118480800003</v>
      </c>
      <c r="AD823" s="71">
        <f>(SUBSIDIO!$J$823*SUBSIDIO!$Y$823)*(0.09)/(1-0.09)</f>
        <v>0</v>
      </c>
      <c r="AE823" s="71">
        <f ca="1">((SUBSIDIO!$L$823*SUBSIDIO!$Z$823)+(SUBSIDIO!$N$823*SUBSIDIO!$AA$823))*(0.09)/(1-0.09)</f>
        <v>38803.158675836006</v>
      </c>
      <c r="AF823" s="4" t="s">
        <v>1148</v>
      </c>
    </row>
    <row r="824" spans="1:32" ht="11.25" customHeight="1" x14ac:dyDescent="0.25">
      <c r="A824" s="4" t="s">
        <v>27</v>
      </c>
      <c r="B824" s="4" t="s">
        <v>39</v>
      </c>
      <c r="C824" s="4" t="s">
        <v>23</v>
      </c>
      <c r="D824" s="4" t="s">
        <v>52</v>
      </c>
      <c r="E824" s="4" t="s">
        <v>53</v>
      </c>
      <c r="F824" s="4" t="s">
        <v>25</v>
      </c>
      <c r="G824" s="4" t="s">
        <v>25</v>
      </c>
      <c r="H824" s="4" t="s">
        <v>25</v>
      </c>
      <c r="I824" s="5">
        <v>43862</v>
      </c>
      <c r="J824" s="6">
        <v>0</v>
      </c>
      <c r="K824" s="71">
        <v>0</v>
      </c>
      <c r="L824" s="6">
        <v>0.1</v>
      </c>
      <c r="M824" s="71">
        <v>0.1</v>
      </c>
      <c r="N824" s="6">
        <v>0.1</v>
      </c>
      <c r="O824" s="71">
        <v>0.1</v>
      </c>
      <c r="P824" s="6">
        <v>0</v>
      </c>
      <c r="Q824" s="4" t="s">
        <v>26</v>
      </c>
      <c r="R824" s="4">
        <v>0</v>
      </c>
      <c r="S824" s="4">
        <v>0</v>
      </c>
      <c r="T824" s="4">
        <v>73</v>
      </c>
      <c r="U824" s="4">
        <v>116</v>
      </c>
      <c r="V824" s="71">
        <f>IF(ISERROR(VLOOKUP($S$824,'TAR FIN'!$A$1:$O$120,15,0)),0,VLOOKUP($S$824,'TAR FIN'!$A$1:$O$120,15,0))</f>
        <v>0</v>
      </c>
      <c r="W824" s="71">
        <f>IF(ISERROR(VLOOKUP($T$824,'TAR FIN'!$A$1:$O$120,15,0)),0,VLOOKUP($T$824,'TAR FIN'!$A$1:$O$120,15,0))*(1-0.12)</f>
        <v>217.4392</v>
      </c>
      <c r="X824" s="71">
        <f>IF(ISERROR(VLOOKUP($U$824,'TAR FIN'!$A$1:$O$120,15,0)),0,VLOOKUP($U$824,'TAR FIN'!$A$1:$O$120,15,0))*(1-0.12)</f>
        <v>238.40960000000001</v>
      </c>
      <c r="Y824" s="71"/>
      <c r="Z824" s="71">
        <f ca="1">('TUSD BE'!$AM$83+'TUSD BF'!$AM$83+'TUSD CVA'!$AM$83)*1*(1-0.09)</f>
        <v>247.40612963696435</v>
      </c>
      <c r="AA824" s="71">
        <f>('TE BE'!$AA$47+'TE BF'!$AA$47+'TE CVA'!$AA$47)*1*(1-0.09)</f>
        <v>221.04416471938771</v>
      </c>
      <c r="AB824" s="71">
        <f>(SUBSIDIO!$J$824*SUBSIDIO!$V$824)*(0.12)/(1-0.12)</f>
        <v>0</v>
      </c>
      <c r="AC824" s="71">
        <f>((SUBSIDIO!$L$824*SUBSIDIO!$W$824)+(SUBSIDIO!$N$824*SUBSIDIO!$X$824))*(0.12)/(1-0.12)</f>
        <v>6.216120000000001</v>
      </c>
      <c r="AD824" s="71">
        <f>(SUBSIDIO!$J$824*SUBSIDIO!$Y$824)*(0.09)/(1-0.09)</f>
        <v>0</v>
      </c>
      <c r="AE824" s="71">
        <f ca="1">((SUBSIDIO!$L$824*SUBSIDIO!$Z$824)+(SUBSIDIO!$N$824*SUBSIDIO!$AA$824))*(0.09)/(1-0.09)</f>
        <v>4.633024889238647</v>
      </c>
      <c r="AF824" s="4" t="s">
        <v>1148</v>
      </c>
    </row>
    <row r="825" spans="1:32" ht="11.25" customHeight="1" x14ac:dyDescent="0.25">
      <c r="A825" s="4" t="s">
        <v>21</v>
      </c>
      <c r="B825" s="4" t="s">
        <v>39</v>
      </c>
      <c r="C825" s="4" t="s">
        <v>23</v>
      </c>
      <c r="D825" s="4" t="s">
        <v>52</v>
      </c>
      <c r="E825" s="4" t="s">
        <v>53</v>
      </c>
      <c r="F825" s="4" t="s">
        <v>25</v>
      </c>
      <c r="G825" s="4" t="s">
        <v>25</v>
      </c>
      <c r="H825" s="4" t="s">
        <v>25</v>
      </c>
      <c r="I825" s="5">
        <v>43891</v>
      </c>
      <c r="J825" s="6">
        <v>0</v>
      </c>
      <c r="K825" s="71">
        <v>0</v>
      </c>
      <c r="L825" s="6">
        <v>948.73400000000004</v>
      </c>
      <c r="M825" s="71">
        <v>948.73400000000004</v>
      </c>
      <c r="N825" s="6">
        <v>948.73400000000004</v>
      </c>
      <c r="O825" s="71">
        <v>948.73400000000004</v>
      </c>
      <c r="P825" s="6">
        <v>252</v>
      </c>
      <c r="Q825" s="4" t="s">
        <v>26</v>
      </c>
      <c r="R825" s="4">
        <v>0</v>
      </c>
      <c r="S825" s="4">
        <v>0</v>
      </c>
      <c r="T825" s="4">
        <v>73</v>
      </c>
      <c r="U825" s="4">
        <v>116</v>
      </c>
      <c r="V825" s="71">
        <f>IF(ISERROR(VLOOKUP($S$825,'TAR FIN'!$A$1:$O$120,15,0)),0,VLOOKUP($S$825,'TAR FIN'!$A$1:$O$120,15,0))</f>
        <v>0</v>
      </c>
      <c r="W825" s="71">
        <f>IF(ISERROR(VLOOKUP($T$825,'TAR FIN'!$A$1:$O$120,15,0)),0,VLOOKUP($T$825,'TAR FIN'!$A$1:$O$120,15,0))*(1-0.12)</f>
        <v>217.4392</v>
      </c>
      <c r="X825" s="71">
        <f>IF(ISERROR(VLOOKUP($U$825,'TAR FIN'!$A$1:$O$120,15,0)),0,VLOOKUP($U$825,'TAR FIN'!$A$1:$O$120,15,0))*(1-0.12)</f>
        <v>238.40960000000001</v>
      </c>
      <c r="Y825" s="71"/>
      <c r="Z825" s="71">
        <f ca="1">('TUSD BE'!$AM$83+'TUSD BF'!$AM$83+'TUSD CVA'!$AM$83)*1*(1-0.09)</f>
        <v>247.40612963696435</v>
      </c>
      <c r="AA825" s="71">
        <f>('TE BE'!$AA$47+'TE BF'!$AA$47+'TE CVA'!$AA$47)*1*(1-0.09)</f>
        <v>221.04416471938771</v>
      </c>
      <c r="AB825" s="71">
        <f>(SUBSIDIO!$J$825*SUBSIDIO!$V$825)*(0.12)/(1-0.12)</f>
        <v>0</v>
      </c>
      <c r="AC825" s="71">
        <f>((SUBSIDIO!$L$825*SUBSIDIO!$W$825)+(SUBSIDIO!$N$825*SUBSIDIO!$X$825))*(0.12)/(1-0.12)</f>
        <v>58974.443920800011</v>
      </c>
      <c r="AD825" s="71">
        <f>(SUBSIDIO!$J$825*SUBSIDIO!$Y$825)*(0.09)/(1-0.09)</f>
        <v>0</v>
      </c>
      <c r="AE825" s="71">
        <f ca="1">((SUBSIDIO!$L$825*SUBSIDIO!$Z$825)+(SUBSIDIO!$N$825*SUBSIDIO!$AA$825))*(0.09)/(1-0.09)</f>
        <v>43955.082352669386</v>
      </c>
      <c r="AF825" s="4" t="s">
        <v>1148</v>
      </c>
    </row>
    <row r="826" spans="1:32" ht="11.25" customHeight="1" x14ac:dyDescent="0.25">
      <c r="A826" s="4" t="s">
        <v>21</v>
      </c>
      <c r="B826" s="4" t="s">
        <v>39</v>
      </c>
      <c r="C826" s="4" t="s">
        <v>23</v>
      </c>
      <c r="D826" s="4" t="s">
        <v>52</v>
      </c>
      <c r="E826" s="4" t="s">
        <v>53</v>
      </c>
      <c r="F826" s="4" t="s">
        <v>25</v>
      </c>
      <c r="G826" s="4" t="s">
        <v>25</v>
      </c>
      <c r="H826" s="4" t="s">
        <v>25</v>
      </c>
      <c r="I826" s="5">
        <v>43922</v>
      </c>
      <c r="J826" s="6">
        <v>0</v>
      </c>
      <c r="K826" s="71">
        <v>0</v>
      </c>
      <c r="L826" s="6">
        <v>931.42600000000004</v>
      </c>
      <c r="M826" s="71">
        <v>931.42600000000004</v>
      </c>
      <c r="N826" s="6">
        <v>931.42600000000004</v>
      </c>
      <c r="O826" s="71">
        <v>931.42600000000004</v>
      </c>
      <c r="P826" s="6">
        <v>251</v>
      </c>
      <c r="Q826" s="4" t="s">
        <v>26</v>
      </c>
      <c r="R826" s="4">
        <v>0</v>
      </c>
      <c r="S826" s="4">
        <v>0</v>
      </c>
      <c r="T826" s="4">
        <v>73</v>
      </c>
      <c r="U826" s="4">
        <v>116</v>
      </c>
      <c r="V826" s="71">
        <f>IF(ISERROR(VLOOKUP($S$826,'TAR FIN'!$A$1:$O$120,15,0)),0,VLOOKUP($S$826,'TAR FIN'!$A$1:$O$120,15,0))</f>
        <v>0</v>
      </c>
      <c r="W826" s="71">
        <f>IF(ISERROR(VLOOKUP($T$826,'TAR FIN'!$A$1:$O$120,15,0)),0,VLOOKUP($T$826,'TAR FIN'!$A$1:$O$120,15,0))*(1-0.12)</f>
        <v>217.4392</v>
      </c>
      <c r="X826" s="71">
        <f>IF(ISERROR(VLOOKUP($U$826,'TAR FIN'!$A$1:$O$120,15,0)),0,VLOOKUP($U$826,'TAR FIN'!$A$1:$O$120,15,0))*(1-0.12)</f>
        <v>238.40960000000001</v>
      </c>
      <c r="Y826" s="71"/>
      <c r="Z826" s="71">
        <f ca="1">('TUSD BE'!$AM$83+'TUSD BF'!$AM$83+'TUSD CVA'!$AM$83)*1*(1-0.09)</f>
        <v>247.40612963696435</v>
      </c>
      <c r="AA826" s="71">
        <f>('TE BE'!$AA$47+'TE BF'!$AA$47+'TE CVA'!$AA$47)*1*(1-0.09)</f>
        <v>221.04416471938771</v>
      </c>
      <c r="AB826" s="71">
        <f>(SUBSIDIO!$J$826*SUBSIDIO!$V$826)*(0.12)/(1-0.12)</f>
        <v>0</v>
      </c>
      <c r="AC826" s="71">
        <f>((SUBSIDIO!$L$826*SUBSIDIO!$W$826)+(SUBSIDIO!$N$826*SUBSIDIO!$X$826))*(0.12)/(1-0.12)</f>
        <v>57898.557871200006</v>
      </c>
      <c r="AD826" s="71">
        <f>(SUBSIDIO!$J$826*SUBSIDIO!$Y$826)*(0.09)/(1-0.09)</f>
        <v>0</v>
      </c>
      <c r="AE826" s="71">
        <f ca="1">((SUBSIDIO!$L$826*SUBSIDIO!$Z$826)+(SUBSIDIO!$N$826*SUBSIDIO!$AA$826))*(0.09)/(1-0.09)</f>
        <v>43153.198404839954</v>
      </c>
      <c r="AF826" s="4" t="s">
        <v>1148</v>
      </c>
    </row>
    <row r="827" spans="1:32" ht="11.25" customHeight="1" x14ac:dyDescent="0.25">
      <c r="A827" s="4" t="s">
        <v>21</v>
      </c>
      <c r="B827" s="4" t="s">
        <v>39</v>
      </c>
      <c r="C827" s="4" t="s">
        <v>23</v>
      </c>
      <c r="D827" s="4" t="s">
        <v>52</v>
      </c>
      <c r="E827" s="4" t="s">
        <v>53</v>
      </c>
      <c r="F827" s="4" t="s">
        <v>25</v>
      </c>
      <c r="G827" s="4" t="s">
        <v>25</v>
      </c>
      <c r="H827" s="4" t="s">
        <v>25</v>
      </c>
      <c r="I827" s="5">
        <v>43952</v>
      </c>
      <c r="J827" s="6">
        <v>0</v>
      </c>
      <c r="K827" s="71">
        <v>0</v>
      </c>
      <c r="L827" s="6">
        <v>893.15499999999997</v>
      </c>
      <c r="M827" s="71">
        <v>893.15499999999997</v>
      </c>
      <c r="N827" s="6">
        <v>893.15499999999997</v>
      </c>
      <c r="O827" s="71">
        <v>893.15499999999997</v>
      </c>
      <c r="P827" s="6">
        <v>251</v>
      </c>
      <c r="Q827" s="4" t="s">
        <v>26</v>
      </c>
      <c r="R827" s="4">
        <v>0</v>
      </c>
      <c r="S827" s="4">
        <v>0</v>
      </c>
      <c r="T827" s="4">
        <v>73</v>
      </c>
      <c r="U827" s="4">
        <v>116</v>
      </c>
      <c r="V827" s="71">
        <f>IF(ISERROR(VLOOKUP($S$827,'TAR FIN'!$A$1:$O$120,15,0)),0,VLOOKUP($S$827,'TAR FIN'!$A$1:$O$120,15,0))</f>
        <v>0</v>
      </c>
      <c r="W827" s="71">
        <f>IF(ISERROR(VLOOKUP($T$827,'TAR FIN'!$A$1:$O$120,15,0)),0,VLOOKUP($T$827,'TAR FIN'!$A$1:$O$120,15,0))*(1-0.12)</f>
        <v>217.4392</v>
      </c>
      <c r="X827" s="71">
        <f>IF(ISERROR(VLOOKUP($U$827,'TAR FIN'!$A$1:$O$120,15,0)),0,VLOOKUP($U$827,'TAR FIN'!$A$1:$O$120,15,0))*(1-0.12)</f>
        <v>238.40960000000001</v>
      </c>
      <c r="Y827" s="71"/>
      <c r="Z827" s="71">
        <f ca="1">('TUSD BE'!$AM$83+'TUSD BF'!$AM$83+'TUSD CVA'!$AM$83)*1*(1-0.09)</f>
        <v>247.40612963696435</v>
      </c>
      <c r="AA827" s="71">
        <f>('TE BE'!$AA$47+'TE BF'!$AA$47+'TE CVA'!$AA$47)*1*(1-0.09)</f>
        <v>221.04416471938771</v>
      </c>
      <c r="AB827" s="71">
        <f>(SUBSIDIO!$J$827*SUBSIDIO!$V$827)*(0.12)/(1-0.12)</f>
        <v>0</v>
      </c>
      <c r="AC827" s="71">
        <f>((SUBSIDIO!$L$827*SUBSIDIO!$W$827)+(SUBSIDIO!$N$827*SUBSIDIO!$X$827))*(0.12)/(1-0.12)</f>
        <v>55519.58658599999</v>
      </c>
      <c r="AD827" s="71">
        <f>(SUBSIDIO!$J$827*SUBSIDIO!$Y$827)*(0.09)/(1-0.09)</f>
        <v>0</v>
      </c>
      <c r="AE827" s="71">
        <f ca="1">((SUBSIDIO!$L$827*SUBSIDIO!$Z$827)+(SUBSIDIO!$N$827*SUBSIDIO!$AA$827))*(0.09)/(1-0.09)</f>
        <v>41380.093449479427</v>
      </c>
      <c r="AF827" s="4" t="s">
        <v>1148</v>
      </c>
    </row>
    <row r="828" spans="1:32" ht="11.25" customHeight="1" x14ac:dyDescent="0.25">
      <c r="A828" s="4" t="s">
        <v>21</v>
      </c>
      <c r="B828" s="4" t="s">
        <v>39</v>
      </c>
      <c r="C828" s="4" t="s">
        <v>23</v>
      </c>
      <c r="D828" s="4" t="s">
        <v>52</v>
      </c>
      <c r="E828" s="4" t="s">
        <v>53</v>
      </c>
      <c r="F828" s="4" t="s">
        <v>25</v>
      </c>
      <c r="G828" s="4" t="s">
        <v>25</v>
      </c>
      <c r="H828" s="4" t="s">
        <v>25</v>
      </c>
      <c r="I828" s="5">
        <v>43983</v>
      </c>
      <c r="J828" s="6">
        <v>0</v>
      </c>
      <c r="K828" s="71">
        <v>0</v>
      </c>
      <c r="L828" s="6">
        <v>834.61699999999996</v>
      </c>
      <c r="M828" s="71">
        <v>834.61699999999996</v>
      </c>
      <c r="N828" s="6">
        <v>834.61699999999996</v>
      </c>
      <c r="O828" s="71">
        <v>834.61699999999996</v>
      </c>
      <c r="P828" s="6">
        <v>257</v>
      </c>
      <c r="Q828" s="4" t="s">
        <v>26</v>
      </c>
      <c r="R828" s="4">
        <v>0</v>
      </c>
      <c r="S828" s="4">
        <v>0</v>
      </c>
      <c r="T828" s="4">
        <v>73</v>
      </c>
      <c r="U828" s="4">
        <v>116</v>
      </c>
      <c r="V828" s="71">
        <f>IF(ISERROR(VLOOKUP($S$828,'TAR FIN'!$A$1:$O$120,15,0)),0,VLOOKUP($S$828,'TAR FIN'!$A$1:$O$120,15,0))</f>
        <v>0</v>
      </c>
      <c r="W828" s="71">
        <f>IF(ISERROR(VLOOKUP($T$828,'TAR FIN'!$A$1:$O$120,15,0)),0,VLOOKUP($T$828,'TAR FIN'!$A$1:$O$120,15,0))*(1-0.12)</f>
        <v>217.4392</v>
      </c>
      <c r="X828" s="71">
        <f>IF(ISERROR(VLOOKUP($U$828,'TAR FIN'!$A$1:$O$120,15,0)),0,VLOOKUP($U$828,'TAR FIN'!$A$1:$O$120,15,0))*(1-0.12)</f>
        <v>238.40960000000001</v>
      </c>
      <c r="Y828" s="71"/>
      <c r="Z828" s="71">
        <f ca="1">('TUSD BE'!$AM$83+'TUSD BF'!$AM$83+'TUSD CVA'!$AM$83)*1*(1-0.09)</f>
        <v>247.40612963696435</v>
      </c>
      <c r="AA828" s="71">
        <f>('TE BE'!$AA$47+'TE BF'!$AA$47+'TE CVA'!$AA$47)*1*(1-0.09)</f>
        <v>221.04416471938771</v>
      </c>
      <c r="AB828" s="71">
        <f>(SUBSIDIO!$J$828*SUBSIDIO!$V$828)*(0.12)/(1-0.12)</f>
        <v>0</v>
      </c>
      <c r="AC828" s="71">
        <f>((SUBSIDIO!$L$828*SUBSIDIO!$W$828)+(SUBSIDIO!$N$828*SUBSIDIO!$X$828))*(0.12)/(1-0.12)</f>
        <v>51880.794260399991</v>
      </c>
      <c r="AD828" s="71">
        <f>(SUBSIDIO!$J$828*SUBSIDIO!$Y$828)*(0.09)/(1-0.09)</f>
        <v>0</v>
      </c>
      <c r="AE828" s="71">
        <f ca="1">((SUBSIDIO!$L$828*SUBSIDIO!$Z$828)+(SUBSIDIO!$N$828*SUBSIDIO!$AA$828))*(0.09)/(1-0.09)</f>
        <v>38668.013339816913</v>
      </c>
      <c r="AF828" s="4" t="s">
        <v>1148</v>
      </c>
    </row>
    <row r="829" spans="1:32" ht="11.25" customHeight="1" x14ac:dyDescent="0.25">
      <c r="A829" s="4" t="s">
        <v>21</v>
      </c>
      <c r="B829" s="4" t="s">
        <v>39</v>
      </c>
      <c r="C829" s="4" t="s">
        <v>23</v>
      </c>
      <c r="D829" s="4" t="s">
        <v>52</v>
      </c>
      <c r="E829" s="4" t="s">
        <v>53</v>
      </c>
      <c r="F829" s="4" t="s">
        <v>25</v>
      </c>
      <c r="G829" s="4" t="s">
        <v>25</v>
      </c>
      <c r="H829" s="4" t="s">
        <v>25</v>
      </c>
      <c r="I829" s="5">
        <v>44013</v>
      </c>
      <c r="J829" s="6">
        <v>0</v>
      </c>
      <c r="K829" s="71">
        <v>0</v>
      </c>
      <c r="L829" s="6">
        <v>938.76499999999999</v>
      </c>
      <c r="M829" s="71">
        <v>938.76499999999999</v>
      </c>
      <c r="N829" s="6">
        <v>938.76499999999999</v>
      </c>
      <c r="O829" s="71">
        <v>938.76499999999999</v>
      </c>
      <c r="P829" s="6">
        <v>258</v>
      </c>
      <c r="Q829" s="4" t="s">
        <v>26</v>
      </c>
      <c r="R829" s="4">
        <v>0</v>
      </c>
      <c r="S829" s="4">
        <v>0</v>
      </c>
      <c r="T829" s="4">
        <v>73</v>
      </c>
      <c r="U829" s="4">
        <v>116</v>
      </c>
      <c r="V829" s="71">
        <f>IF(ISERROR(VLOOKUP($S$829,'TAR FIN'!$A$1:$O$120,15,0)),0,VLOOKUP($S$829,'TAR FIN'!$A$1:$O$120,15,0))</f>
        <v>0</v>
      </c>
      <c r="W829" s="71">
        <f>IF(ISERROR(VLOOKUP($T$829,'TAR FIN'!$A$1:$O$120,15,0)),0,VLOOKUP($T$829,'TAR FIN'!$A$1:$O$120,15,0))*(1-0.12)</f>
        <v>217.4392</v>
      </c>
      <c r="X829" s="71">
        <f>IF(ISERROR(VLOOKUP($U$829,'TAR FIN'!$A$1:$O$120,15,0)),0,VLOOKUP($U$829,'TAR FIN'!$A$1:$O$120,15,0))*(1-0.12)</f>
        <v>238.40960000000001</v>
      </c>
      <c r="Y829" s="71"/>
      <c r="Z829" s="71">
        <f ca="1">('TUSD BE'!$AM$83+'TUSD BF'!$AM$83+'TUSD CVA'!$AM$83)*1*(1-0.09)</f>
        <v>247.40612963696435</v>
      </c>
      <c r="AA829" s="71">
        <f>('TE BE'!$AA$47+'TE BF'!$AA$47+'TE CVA'!$AA$47)*1*(1-0.09)</f>
        <v>221.04416471938771</v>
      </c>
      <c r="AB829" s="71">
        <f>(SUBSIDIO!$J$829*SUBSIDIO!$V$829)*(0.12)/(1-0.12)</f>
        <v>0</v>
      </c>
      <c r="AC829" s="71">
        <f>((SUBSIDIO!$L$829*SUBSIDIO!$W$829)+(SUBSIDIO!$N$829*SUBSIDIO!$X$829))*(0.12)/(1-0.12)</f>
        <v>58354.758918000007</v>
      </c>
      <c r="AD829" s="71">
        <f>(SUBSIDIO!$J$829*SUBSIDIO!$Y$829)*(0.09)/(1-0.09)</f>
        <v>0</v>
      </c>
      <c r="AE829" s="71">
        <f ca="1">((SUBSIDIO!$L$829*SUBSIDIO!$Z$829)+(SUBSIDIO!$N$829*SUBSIDIO!$AA$829))*(0.09)/(1-0.09)</f>
        <v>43493.216101461185</v>
      </c>
      <c r="AF829" s="4" t="s">
        <v>1148</v>
      </c>
    </row>
    <row r="830" spans="1:32" ht="11.25" customHeight="1" x14ac:dyDescent="0.25">
      <c r="A830" s="4" t="s">
        <v>21</v>
      </c>
      <c r="B830" s="4" t="s">
        <v>39</v>
      </c>
      <c r="C830" s="4" t="s">
        <v>23</v>
      </c>
      <c r="D830" s="4" t="s">
        <v>52</v>
      </c>
      <c r="E830" s="4" t="s">
        <v>53</v>
      </c>
      <c r="F830" s="4" t="s">
        <v>25</v>
      </c>
      <c r="G830" s="4" t="s">
        <v>25</v>
      </c>
      <c r="H830" s="4" t="s">
        <v>25</v>
      </c>
      <c r="I830" s="5">
        <v>44044</v>
      </c>
      <c r="J830" s="6">
        <v>0</v>
      </c>
      <c r="K830" s="71">
        <v>0</v>
      </c>
      <c r="L830" s="6">
        <v>874.375</v>
      </c>
      <c r="M830" s="71">
        <v>874.375</v>
      </c>
      <c r="N830" s="6">
        <v>874.375</v>
      </c>
      <c r="O830" s="71">
        <v>874.375</v>
      </c>
      <c r="P830" s="6">
        <v>259</v>
      </c>
      <c r="Q830" s="4" t="s">
        <v>26</v>
      </c>
      <c r="R830" s="4">
        <v>0</v>
      </c>
      <c r="S830" s="4">
        <v>0</v>
      </c>
      <c r="T830" s="4">
        <v>73</v>
      </c>
      <c r="U830" s="4">
        <v>116</v>
      </c>
      <c r="V830" s="71">
        <f>IF(ISERROR(VLOOKUP($S$830,'TAR FIN'!$A$1:$O$120,15,0)),0,VLOOKUP($S$830,'TAR FIN'!$A$1:$O$120,15,0))</f>
        <v>0</v>
      </c>
      <c r="W830" s="71">
        <f>IF(ISERROR(VLOOKUP($T$830,'TAR FIN'!$A$1:$O$120,15,0)),0,VLOOKUP($T$830,'TAR FIN'!$A$1:$O$120,15,0))*(1-0.12)</f>
        <v>217.4392</v>
      </c>
      <c r="X830" s="71">
        <f>IF(ISERROR(VLOOKUP($U$830,'TAR FIN'!$A$1:$O$120,15,0)),0,VLOOKUP($U$830,'TAR FIN'!$A$1:$O$120,15,0))*(1-0.12)</f>
        <v>238.40960000000001</v>
      </c>
      <c r="Y830" s="71"/>
      <c r="Z830" s="71">
        <f ca="1">('TUSD BE'!$AM$83+'TUSD BF'!$AM$83+'TUSD CVA'!$AM$83)*1*(1-0.09)</f>
        <v>247.40612963696435</v>
      </c>
      <c r="AA830" s="71">
        <f>('TE BE'!$AA$47+'TE BF'!$AA$47+'TE CVA'!$AA$47)*1*(1-0.09)</f>
        <v>221.04416471938771</v>
      </c>
      <c r="AB830" s="71">
        <f>(SUBSIDIO!$J$830*SUBSIDIO!$V$830)*(0.12)/(1-0.12)</f>
        <v>0</v>
      </c>
      <c r="AC830" s="71">
        <f>((SUBSIDIO!$L$830*SUBSIDIO!$W$830)+(SUBSIDIO!$N$830*SUBSIDIO!$X$830))*(0.12)/(1-0.12)</f>
        <v>54352.199249999998</v>
      </c>
      <c r="AD830" s="71">
        <f>(SUBSIDIO!$J$830*SUBSIDIO!$Y$830)*(0.09)/(1-0.09)</f>
        <v>0</v>
      </c>
      <c r="AE830" s="71">
        <f ca="1">((SUBSIDIO!$L$830*SUBSIDIO!$Z$830)+(SUBSIDIO!$N$830*SUBSIDIO!$AA$830))*(0.09)/(1-0.09)</f>
        <v>40510.011375280417</v>
      </c>
      <c r="AF830" s="4" t="s">
        <v>1148</v>
      </c>
    </row>
    <row r="831" spans="1:32" ht="11.25" customHeight="1" x14ac:dyDescent="0.25">
      <c r="A831" s="4" t="s">
        <v>27</v>
      </c>
      <c r="B831" s="4" t="s">
        <v>39</v>
      </c>
      <c r="C831" s="4" t="s">
        <v>23</v>
      </c>
      <c r="D831" s="4" t="s">
        <v>52</v>
      </c>
      <c r="E831" s="4" t="s">
        <v>53</v>
      </c>
      <c r="F831" s="4" t="s">
        <v>25</v>
      </c>
      <c r="G831" s="4" t="s">
        <v>25</v>
      </c>
      <c r="H831" s="4" t="s">
        <v>25</v>
      </c>
      <c r="I831" s="5">
        <v>44044</v>
      </c>
      <c r="J831" s="6">
        <v>0</v>
      </c>
      <c r="K831" s="71">
        <v>0</v>
      </c>
      <c r="L831" s="6">
        <v>12.766</v>
      </c>
      <c r="M831" s="71">
        <v>12.766</v>
      </c>
      <c r="N831" s="6">
        <v>12.766</v>
      </c>
      <c r="O831" s="71">
        <v>12.766</v>
      </c>
      <c r="P831" s="6">
        <v>0</v>
      </c>
      <c r="Q831" s="4" t="s">
        <v>26</v>
      </c>
      <c r="R831" s="4">
        <v>0</v>
      </c>
      <c r="S831" s="4">
        <v>0</v>
      </c>
      <c r="T831" s="4">
        <v>73</v>
      </c>
      <c r="U831" s="4">
        <v>116</v>
      </c>
      <c r="V831" s="71">
        <f>IF(ISERROR(VLOOKUP($S$831,'TAR FIN'!$A$1:$O$120,15,0)),0,VLOOKUP($S$831,'TAR FIN'!$A$1:$O$120,15,0))</f>
        <v>0</v>
      </c>
      <c r="W831" s="71">
        <f>IF(ISERROR(VLOOKUP($T$831,'TAR FIN'!$A$1:$O$120,15,0)),0,VLOOKUP($T$831,'TAR FIN'!$A$1:$O$120,15,0))*(1-0.12)</f>
        <v>217.4392</v>
      </c>
      <c r="X831" s="71">
        <f>IF(ISERROR(VLOOKUP($U$831,'TAR FIN'!$A$1:$O$120,15,0)),0,VLOOKUP($U$831,'TAR FIN'!$A$1:$O$120,15,0))*(1-0.12)</f>
        <v>238.40960000000001</v>
      </c>
      <c r="Y831" s="71"/>
      <c r="Z831" s="71">
        <f ca="1">('TUSD BE'!$AM$83+'TUSD BF'!$AM$83+'TUSD CVA'!$AM$83)*1*(1-0.09)</f>
        <v>247.40612963696435</v>
      </c>
      <c r="AA831" s="71">
        <f>('TE BE'!$AA$47+'TE BF'!$AA$47+'TE CVA'!$AA$47)*1*(1-0.09)</f>
        <v>221.04416471938771</v>
      </c>
      <c r="AB831" s="71">
        <f>(SUBSIDIO!$J$831*SUBSIDIO!$V$831)*(0.12)/(1-0.12)</f>
        <v>0</v>
      </c>
      <c r="AC831" s="71">
        <f>((SUBSIDIO!$L$831*SUBSIDIO!$W$831)+(SUBSIDIO!$N$831*SUBSIDIO!$X$831))*(0.12)/(1-0.12)</f>
        <v>793.54987920000008</v>
      </c>
      <c r="AD831" s="71">
        <f>(SUBSIDIO!$J$831*SUBSIDIO!$Y$831)*(0.09)/(1-0.09)</f>
        <v>0</v>
      </c>
      <c r="AE831" s="71">
        <f ca="1">((SUBSIDIO!$L$831*SUBSIDIO!$Z$831)+(SUBSIDIO!$N$831*SUBSIDIO!$AA$831))*(0.09)/(1-0.09)</f>
        <v>591.4519573602056</v>
      </c>
      <c r="AF831" s="4" t="s">
        <v>1148</v>
      </c>
    </row>
    <row r="832" spans="1:32" ht="11.25" customHeight="1" x14ac:dyDescent="0.25">
      <c r="A832" s="4" t="s">
        <v>59</v>
      </c>
      <c r="B832" s="4" t="s">
        <v>39</v>
      </c>
      <c r="C832" s="4" t="s">
        <v>23</v>
      </c>
      <c r="D832" s="4" t="s">
        <v>52</v>
      </c>
      <c r="E832" s="4" t="s">
        <v>53</v>
      </c>
      <c r="F832" s="4" t="s">
        <v>25</v>
      </c>
      <c r="G832" s="4" t="s">
        <v>25</v>
      </c>
      <c r="H832" s="4" t="s">
        <v>25</v>
      </c>
      <c r="I832" s="5">
        <v>44075</v>
      </c>
      <c r="J832" s="6">
        <v>0</v>
      </c>
      <c r="K832" s="71">
        <v>0</v>
      </c>
      <c r="L832" s="6">
        <v>874.375</v>
      </c>
      <c r="M832" s="71">
        <v>874.375</v>
      </c>
      <c r="N832" s="6">
        <v>874.375</v>
      </c>
      <c r="O832" s="71">
        <v>874.375</v>
      </c>
      <c r="P832" s="6">
        <v>259</v>
      </c>
      <c r="Q832" s="4" t="s">
        <v>26</v>
      </c>
      <c r="R832" s="4">
        <v>0</v>
      </c>
      <c r="S832" s="4">
        <v>0</v>
      </c>
      <c r="T832" s="4">
        <v>73</v>
      </c>
      <c r="U832" s="4">
        <v>116</v>
      </c>
      <c r="V832" s="71">
        <f>IF(ISERROR(VLOOKUP($S$832,'TAR FIN'!$A$1:$O$120,15,0)),0,VLOOKUP($S$832,'TAR FIN'!$A$1:$O$120,15,0))</f>
        <v>0</v>
      </c>
      <c r="W832" s="71">
        <f>IF(ISERROR(VLOOKUP($T$832,'TAR FIN'!$A$1:$O$120,15,0)),0,VLOOKUP($T$832,'TAR FIN'!$A$1:$O$120,15,0))*(1-0.12)</f>
        <v>217.4392</v>
      </c>
      <c r="X832" s="71">
        <f>IF(ISERROR(VLOOKUP($U$832,'TAR FIN'!$A$1:$O$120,15,0)),0,VLOOKUP($U$832,'TAR FIN'!$A$1:$O$120,15,0))*(1-0.12)</f>
        <v>238.40960000000001</v>
      </c>
      <c r="Y832" s="71"/>
      <c r="Z832" s="71">
        <f ca="1">('TUSD BE'!$AM$83+'TUSD BF'!$AM$83+'TUSD CVA'!$AM$83)*1*(1-0.09)</f>
        <v>247.40612963696435</v>
      </c>
      <c r="AA832" s="71">
        <f>('TE BE'!$AA$47+'TE BF'!$AA$47+'TE CVA'!$AA$47)*1*(1-0.09)</f>
        <v>221.04416471938771</v>
      </c>
      <c r="AB832" s="71">
        <f>(SUBSIDIO!$J$832*SUBSIDIO!$V$832)*(0.12)/(1-0.12)</f>
        <v>0</v>
      </c>
      <c r="AC832" s="71">
        <f>((SUBSIDIO!$L$832*SUBSIDIO!$W$832)+(SUBSIDIO!$N$832*SUBSIDIO!$X$832))*(0.12)/(1-0.12)</f>
        <v>54352.199249999998</v>
      </c>
      <c r="AD832" s="71">
        <f>(SUBSIDIO!$J$832*SUBSIDIO!$Y$832)*(0.09)/(1-0.09)</f>
        <v>0</v>
      </c>
      <c r="AE832" s="71">
        <f ca="1">((SUBSIDIO!$L$832*SUBSIDIO!$Z$832)+(SUBSIDIO!$N$832*SUBSIDIO!$AA$832))*(0.09)/(1-0.09)</f>
        <v>40510.011375280417</v>
      </c>
      <c r="AF832" s="4" t="s">
        <v>1148</v>
      </c>
    </row>
    <row r="833" spans="1:32" ht="11.25" customHeight="1" x14ac:dyDescent="0.25">
      <c r="A833" s="4" t="s">
        <v>59</v>
      </c>
      <c r="B833" s="4" t="s">
        <v>39</v>
      </c>
      <c r="C833" s="4" t="s">
        <v>23</v>
      </c>
      <c r="D833" s="4" t="s">
        <v>52</v>
      </c>
      <c r="E833" s="4" t="s">
        <v>53</v>
      </c>
      <c r="F833" s="4" t="s">
        <v>25</v>
      </c>
      <c r="G833" s="4" t="s">
        <v>25</v>
      </c>
      <c r="H833" s="4" t="s">
        <v>25</v>
      </c>
      <c r="I833" s="5">
        <v>44075</v>
      </c>
      <c r="J833" s="6">
        <v>0</v>
      </c>
      <c r="K833" s="71">
        <v>0</v>
      </c>
      <c r="L833" s="6">
        <v>12.766</v>
      </c>
      <c r="M833" s="71">
        <v>12.766</v>
      </c>
      <c r="N833" s="6">
        <v>12.766</v>
      </c>
      <c r="O833" s="71">
        <v>12.766</v>
      </c>
      <c r="P833" s="6">
        <v>0</v>
      </c>
      <c r="Q833" s="4" t="s">
        <v>26</v>
      </c>
      <c r="R833" s="4">
        <v>0</v>
      </c>
      <c r="S833" s="4">
        <v>0</v>
      </c>
      <c r="T833" s="4">
        <v>73</v>
      </c>
      <c r="U833" s="4">
        <v>116</v>
      </c>
      <c r="V833" s="71">
        <f>IF(ISERROR(VLOOKUP($S$833,'TAR FIN'!$A$1:$O$120,15,0)),0,VLOOKUP($S$833,'TAR FIN'!$A$1:$O$120,15,0))</f>
        <v>0</v>
      </c>
      <c r="W833" s="71">
        <f>IF(ISERROR(VLOOKUP($T$833,'TAR FIN'!$A$1:$O$120,15,0)),0,VLOOKUP($T$833,'TAR FIN'!$A$1:$O$120,15,0))*(1-0.12)</f>
        <v>217.4392</v>
      </c>
      <c r="X833" s="71">
        <f>IF(ISERROR(VLOOKUP($U$833,'TAR FIN'!$A$1:$O$120,15,0)),0,VLOOKUP($U$833,'TAR FIN'!$A$1:$O$120,15,0))*(1-0.12)</f>
        <v>238.40960000000001</v>
      </c>
      <c r="Y833" s="71"/>
      <c r="Z833" s="71">
        <f ca="1">('TUSD BE'!$AM$83+'TUSD BF'!$AM$83+'TUSD CVA'!$AM$83)*1*(1-0.09)</f>
        <v>247.40612963696435</v>
      </c>
      <c r="AA833" s="71">
        <f>('TE BE'!$AA$47+'TE BF'!$AA$47+'TE CVA'!$AA$47)*1*(1-0.09)</f>
        <v>221.04416471938771</v>
      </c>
      <c r="AB833" s="71">
        <f>(SUBSIDIO!$J$833*SUBSIDIO!$V$833)*(0.12)/(1-0.12)</f>
        <v>0</v>
      </c>
      <c r="AC833" s="71">
        <f>((SUBSIDIO!$L$833*SUBSIDIO!$W$833)+(SUBSIDIO!$N$833*SUBSIDIO!$X$833))*(0.12)/(1-0.12)</f>
        <v>793.54987920000008</v>
      </c>
      <c r="AD833" s="71">
        <f>(SUBSIDIO!$J$833*SUBSIDIO!$Y$833)*(0.09)/(1-0.09)</f>
        <v>0</v>
      </c>
      <c r="AE833" s="71">
        <f ca="1">((SUBSIDIO!$L$833*SUBSIDIO!$Z$833)+(SUBSIDIO!$N$833*SUBSIDIO!$AA$833))*(0.09)/(1-0.09)</f>
        <v>591.4519573602056</v>
      </c>
      <c r="AF833" s="4" t="s">
        <v>1148</v>
      </c>
    </row>
    <row r="834" spans="1:32" ht="11.25" customHeight="1" x14ac:dyDescent="0.25">
      <c r="V834" s="6"/>
      <c r="W834" s="6"/>
      <c r="X834" s="6"/>
      <c r="Y834" s="6"/>
      <c r="Z834" s="6"/>
      <c r="AA834" s="6"/>
      <c r="AB834" s="6"/>
      <c r="AC834" s="6"/>
      <c r="AD834" s="6"/>
      <c r="AE834" s="6"/>
    </row>
    <row r="835" spans="1:32" ht="11.25" customHeight="1" x14ac:dyDescent="0.25">
      <c r="V835" s="6"/>
      <c r="W835" s="6"/>
      <c r="X835" s="6"/>
      <c r="Y835" s="6"/>
      <c r="Z835" s="6"/>
      <c r="AA835" s="6"/>
      <c r="AB835" s="6"/>
      <c r="AC835" s="6"/>
      <c r="AD835" s="6"/>
      <c r="AE835" s="6"/>
    </row>
    <row r="836" spans="1:32" ht="11.25" customHeight="1" x14ac:dyDescent="0.25">
      <c r="V836" s="6"/>
      <c r="W836" s="6"/>
      <c r="X836" s="6"/>
      <c r="Y836" s="6"/>
      <c r="Z836" s="6"/>
      <c r="AA836" s="6"/>
      <c r="AB836" s="6"/>
      <c r="AC836" s="6"/>
      <c r="AD836" s="6"/>
      <c r="AE836" s="6"/>
    </row>
    <row r="837" spans="1:32" ht="11.25" customHeight="1" x14ac:dyDescent="0.25">
      <c r="V837" s="6"/>
      <c r="W837" s="6"/>
      <c r="X837" s="6"/>
      <c r="Y837" s="6"/>
      <c r="Z837" s="6"/>
      <c r="AA837" s="6"/>
      <c r="AB837" s="6"/>
      <c r="AC837" s="6"/>
      <c r="AD837" s="6"/>
      <c r="AE837" s="6"/>
    </row>
    <row r="838" spans="1:32" ht="11.25" customHeight="1" x14ac:dyDescent="0.25">
      <c r="V838" s="6"/>
      <c r="W838" s="6"/>
      <c r="X838" s="6"/>
      <c r="Y838" s="6"/>
      <c r="Z838" s="6"/>
      <c r="AA838" s="6"/>
      <c r="AB838" s="6"/>
      <c r="AC838" s="6"/>
      <c r="AD838" s="6"/>
      <c r="AE838" s="6"/>
    </row>
    <row r="839" spans="1:32" ht="11.25" customHeight="1" x14ac:dyDescent="0.25">
      <c r="V839" s="6"/>
      <c r="W839" s="6"/>
      <c r="X839" s="6"/>
      <c r="Y839" s="6"/>
      <c r="Z839" s="6"/>
      <c r="AA839" s="6"/>
      <c r="AB839" s="6"/>
      <c r="AC839" s="6"/>
      <c r="AD839" s="6"/>
      <c r="AE839" s="6"/>
    </row>
    <row r="840" spans="1:32" ht="11.25" customHeight="1" x14ac:dyDescent="0.25">
      <c r="V840" s="6"/>
      <c r="W840" s="6"/>
      <c r="X840" s="6"/>
      <c r="Y840" s="6"/>
      <c r="Z840" s="6"/>
      <c r="AA840" s="6"/>
      <c r="AB840" s="6"/>
      <c r="AC840" s="6"/>
      <c r="AD840" s="6"/>
      <c r="AE840" s="6"/>
    </row>
    <row r="841" spans="1:32" ht="11.25" customHeight="1" x14ac:dyDescent="0.25">
      <c r="V841" s="6"/>
      <c r="W841" s="6"/>
      <c r="X841" s="6"/>
      <c r="Y841" s="6"/>
      <c r="Z841" s="6"/>
      <c r="AA841" s="6"/>
      <c r="AB841" s="6"/>
      <c r="AC841" s="6"/>
      <c r="AD841" s="6"/>
      <c r="AE841" s="6"/>
    </row>
    <row r="842" spans="1:32" ht="11.25" customHeight="1" x14ac:dyDescent="0.25">
      <c r="V842" s="6"/>
      <c r="W842" s="6"/>
      <c r="X842" s="6"/>
      <c r="Y842" s="6"/>
      <c r="Z842" s="6"/>
      <c r="AA842" s="6"/>
      <c r="AB842" s="6"/>
      <c r="AC842" s="6"/>
      <c r="AD842" s="6"/>
      <c r="AE842" s="6"/>
    </row>
    <row r="843" spans="1:32" ht="11.25" customHeight="1" x14ac:dyDescent="0.25">
      <c r="V843" s="6"/>
      <c r="W843" s="6"/>
      <c r="X843" s="6"/>
      <c r="Y843" s="6"/>
      <c r="Z843" s="6"/>
      <c r="AA843" s="6"/>
      <c r="AB843" s="6"/>
      <c r="AC843" s="6"/>
      <c r="AD843" s="6"/>
      <c r="AE843" s="6"/>
    </row>
    <row r="844" spans="1:32" ht="11.25" customHeight="1" x14ac:dyDescent="0.25">
      <c r="V844" s="6"/>
      <c r="W844" s="6"/>
      <c r="X844" s="6"/>
      <c r="Y844" s="6"/>
      <c r="Z844" s="6"/>
      <c r="AA844" s="6"/>
      <c r="AB844" s="6"/>
      <c r="AC844" s="6"/>
      <c r="AD844" s="6"/>
      <c r="AE844" s="6"/>
    </row>
    <row r="845" spans="1:32" ht="11.25" customHeight="1" x14ac:dyDescent="0.25">
      <c r="V845" s="6"/>
      <c r="W845" s="6"/>
      <c r="X845" s="6"/>
      <c r="Y845" s="6"/>
      <c r="Z845" s="6"/>
      <c r="AA845" s="6"/>
      <c r="AB845" s="6"/>
      <c r="AC845" s="6"/>
      <c r="AD845" s="6"/>
      <c r="AE845" s="6"/>
    </row>
    <row r="846" spans="1:32" ht="11.25" customHeight="1" x14ac:dyDescent="0.25">
      <c r="V846" s="6"/>
      <c r="W846" s="6"/>
      <c r="X846" s="6"/>
      <c r="Y846" s="6"/>
      <c r="Z846" s="6"/>
      <c r="AA846" s="6"/>
      <c r="AB846" s="6"/>
      <c r="AC846" s="6"/>
      <c r="AD846" s="6"/>
      <c r="AE846" s="6"/>
    </row>
    <row r="847" spans="1:32" ht="11.25" customHeight="1" x14ac:dyDescent="0.25">
      <c r="V847" s="6"/>
      <c r="W847" s="6"/>
      <c r="X847" s="6"/>
      <c r="Y847" s="6"/>
      <c r="Z847" s="6"/>
      <c r="AA847" s="6"/>
      <c r="AB847" s="6"/>
      <c r="AC847" s="6"/>
      <c r="AD847" s="6"/>
      <c r="AE847" s="6"/>
    </row>
    <row r="848" spans="1:32" ht="11.25" customHeight="1" x14ac:dyDescent="0.25">
      <c r="V848" s="6"/>
      <c r="W848" s="6"/>
      <c r="X848" s="6"/>
      <c r="Y848" s="6"/>
      <c r="Z848" s="6"/>
      <c r="AA848" s="6"/>
      <c r="AB848" s="6"/>
      <c r="AC848" s="6"/>
      <c r="AD848" s="6"/>
      <c r="AE848" s="6"/>
    </row>
    <row r="849" spans="22:31" ht="11.25" customHeight="1" x14ac:dyDescent="0.25">
      <c r="V849" s="6"/>
      <c r="W849" s="6"/>
      <c r="X849" s="6"/>
      <c r="Y849" s="6"/>
      <c r="Z849" s="6"/>
      <c r="AA849" s="6"/>
      <c r="AB849" s="6"/>
      <c r="AC849" s="6"/>
      <c r="AD849" s="6"/>
      <c r="AE849" s="6"/>
    </row>
    <row r="850" spans="22:31" ht="11.25" customHeight="1" x14ac:dyDescent="0.25">
      <c r="V850" s="6"/>
      <c r="W850" s="6"/>
      <c r="X850" s="6"/>
      <c r="Y850" s="6"/>
      <c r="Z850" s="6"/>
      <c r="AA850" s="6"/>
      <c r="AB850" s="6"/>
      <c r="AC850" s="6"/>
      <c r="AD850" s="6"/>
      <c r="AE850" s="6"/>
    </row>
    <row r="851" spans="22:31" ht="11.25" customHeight="1" x14ac:dyDescent="0.25">
      <c r="V851" s="6"/>
      <c r="W851" s="6"/>
      <c r="X851" s="6"/>
      <c r="Y851" s="6"/>
      <c r="Z851" s="6"/>
      <c r="AA851" s="6"/>
      <c r="AB851" s="6"/>
      <c r="AC851" s="6"/>
      <c r="AD851" s="6"/>
      <c r="AE851" s="6"/>
    </row>
    <row r="852" spans="22:31" ht="11.25" customHeight="1" x14ac:dyDescent="0.25">
      <c r="V852" s="6"/>
      <c r="W852" s="6"/>
      <c r="X852" s="6"/>
      <c r="Y852" s="6"/>
      <c r="Z852" s="6"/>
      <c r="AA852" s="6"/>
      <c r="AB852" s="6"/>
      <c r="AC852" s="6"/>
      <c r="AD852" s="6"/>
      <c r="AE852" s="6"/>
    </row>
    <row r="853" spans="22:31" ht="11.25" customHeight="1" x14ac:dyDescent="0.25">
      <c r="V853" s="6"/>
      <c r="W853" s="6"/>
      <c r="X853" s="6"/>
      <c r="Y853" s="6"/>
      <c r="Z853" s="6"/>
      <c r="AA853" s="6"/>
      <c r="AB853" s="6"/>
      <c r="AC853" s="6"/>
      <c r="AD853" s="6"/>
      <c r="AE853" s="6"/>
    </row>
    <row r="854" spans="22:31" ht="11.25" customHeight="1" x14ac:dyDescent="0.25">
      <c r="V854" s="6"/>
      <c r="W854" s="6"/>
      <c r="X854" s="6"/>
      <c r="Y854" s="6"/>
      <c r="Z854" s="6"/>
      <c r="AA854" s="6"/>
      <c r="AB854" s="6"/>
      <c r="AC854" s="6"/>
      <c r="AD854" s="6"/>
      <c r="AE854" s="6"/>
    </row>
    <row r="855" spans="22:31" ht="11.25" customHeight="1" x14ac:dyDescent="0.25">
      <c r="V855" s="6"/>
      <c r="W855" s="6"/>
      <c r="X855" s="6"/>
      <c r="Y855" s="6"/>
      <c r="Z855" s="6"/>
      <c r="AA855" s="6"/>
      <c r="AB855" s="6"/>
      <c r="AC855" s="6"/>
      <c r="AD855" s="6"/>
      <c r="AE855" s="6"/>
    </row>
    <row r="856" spans="22:31" ht="11.25" customHeight="1" x14ac:dyDescent="0.25">
      <c r="V856" s="6"/>
      <c r="W856" s="6"/>
      <c r="X856" s="6"/>
      <c r="Y856" s="6"/>
      <c r="Z856" s="6"/>
      <c r="AA856" s="6"/>
      <c r="AB856" s="6"/>
      <c r="AC856" s="6"/>
      <c r="AD856" s="6"/>
      <c r="AE856" s="6"/>
    </row>
    <row r="857" spans="22:31" ht="11.25" customHeight="1" x14ac:dyDescent="0.25">
      <c r="V857" s="6"/>
      <c r="W857" s="6"/>
      <c r="X857" s="6"/>
      <c r="Y857" s="6"/>
      <c r="Z857" s="6"/>
      <c r="AA857" s="6"/>
      <c r="AB857" s="6"/>
      <c r="AC857" s="6"/>
      <c r="AD857" s="6"/>
      <c r="AE857" s="6"/>
    </row>
    <row r="858" spans="22:31" ht="11.25" customHeight="1" x14ac:dyDescent="0.25">
      <c r="V858" s="6"/>
      <c r="W858" s="6"/>
      <c r="X858" s="6"/>
      <c r="Y858" s="6"/>
      <c r="Z858" s="6"/>
      <c r="AA858" s="6"/>
      <c r="AB858" s="6"/>
      <c r="AC858" s="6"/>
      <c r="AD858" s="6"/>
      <c r="AE858" s="6"/>
    </row>
    <row r="859" spans="22:31" ht="11.25" customHeight="1" x14ac:dyDescent="0.25">
      <c r="V859" s="6"/>
      <c r="W859" s="6"/>
      <c r="X859" s="6"/>
      <c r="Y859" s="6"/>
      <c r="Z859" s="6"/>
      <c r="AA859" s="6"/>
      <c r="AB859" s="6"/>
      <c r="AC859" s="6"/>
      <c r="AD859" s="6"/>
      <c r="AE859" s="6"/>
    </row>
    <row r="860" spans="22:31" ht="11.25" customHeight="1" x14ac:dyDescent="0.25">
      <c r="V860" s="6"/>
      <c r="W860" s="6"/>
      <c r="X860" s="6"/>
      <c r="Y860" s="6"/>
      <c r="Z860" s="6"/>
      <c r="AA860" s="6"/>
      <c r="AB860" s="6"/>
      <c r="AC860" s="6"/>
      <c r="AD860" s="6"/>
      <c r="AE860" s="6"/>
    </row>
    <row r="861" spans="22:31" ht="11.25" customHeight="1" x14ac:dyDescent="0.25">
      <c r="V861" s="6"/>
      <c r="W861" s="6"/>
      <c r="X861" s="6"/>
      <c r="Y861" s="6"/>
      <c r="Z861" s="6"/>
      <c r="AA861" s="6"/>
      <c r="AB861" s="6"/>
      <c r="AC861" s="6"/>
      <c r="AD861" s="6"/>
      <c r="AE861" s="6"/>
    </row>
    <row r="862" spans="22:31" ht="11.25" customHeight="1" x14ac:dyDescent="0.25">
      <c r="V862" s="6"/>
      <c r="W862" s="6"/>
      <c r="X862" s="6"/>
      <c r="Y862" s="6"/>
      <c r="Z862" s="6"/>
      <c r="AA862" s="6"/>
      <c r="AB862" s="6"/>
      <c r="AC862" s="6"/>
      <c r="AD862" s="6"/>
      <c r="AE862" s="6"/>
    </row>
    <row r="863" spans="22:31" ht="11.25" customHeight="1" x14ac:dyDescent="0.25">
      <c r="V863" s="6"/>
      <c r="W863" s="6"/>
      <c r="X863" s="6"/>
      <c r="Y863" s="6"/>
      <c r="Z863" s="6"/>
      <c r="AA863" s="6"/>
      <c r="AB863" s="6"/>
      <c r="AC863" s="6"/>
      <c r="AD863" s="6"/>
      <c r="AE863" s="6"/>
    </row>
    <row r="864" spans="22:31" ht="11.25" customHeight="1" x14ac:dyDescent="0.25">
      <c r="V864" s="6"/>
      <c r="W864" s="6"/>
      <c r="X864" s="6"/>
      <c r="Y864" s="6"/>
      <c r="Z864" s="6"/>
      <c r="AA864" s="6"/>
      <c r="AB864" s="6"/>
      <c r="AC864" s="6"/>
      <c r="AD864" s="6"/>
      <c r="AE864" s="6"/>
    </row>
    <row r="865" spans="22:31" ht="11.25" customHeight="1" x14ac:dyDescent="0.25">
      <c r="V865" s="6"/>
      <c r="W865" s="6"/>
      <c r="X865" s="6"/>
      <c r="Y865" s="6"/>
      <c r="Z865" s="6"/>
      <c r="AA865" s="6"/>
      <c r="AB865" s="6"/>
      <c r="AC865" s="6"/>
      <c r="AD865" s="6"/>
      <c r="AE865" s="6"/>
    </row>
    <row r="866" spans="22:31" ht="11.25" customHeight="1" x14ac:dyDescent="0.25">
      <c r="V866" s="6"/>
      <c r="W866" s="6"/>
      <c r="X866" s="6"/>
      <c r="Y866" s="6"/>
      <c r="Z866" s="6"/>
      <c r="AA866" s="6"/>
      <c r="AB866" s="6"/>
      <c r="AC866" s="6"/>
      <c r="AD866" s="6"/>
      <c r="AE866" s="6"/>
    </row>
    <row r="867" spans="22:31" ht="11.25" customHeight="1" x14ac:dyDescent="0.25">
      <c r="V867" s="6"/>
      <c r="W867" s="6"/>
      <c r="X867" s="6"/>
      <c r="Y867" s="6"/>
      <c r="Z867" s="6"/>
      <c r="AA867" s="6"/>
      <c r="AB867" s="6"/>
      <c r="AC867" s="6"/>
      <c r="AD867" s="6"/>
      <c r="AE867" s="6"/>
    </row>
    <row r="868" spans="22:31" ht="11.25" customHeight="1" x14ac:dyDescent="0.25">
      <c r="V868" s="6"/>
      <c r="W868" s="6"/>
      <c r="X868" s="6"/>
      <c r="Y868" s="6"/>
      <c r="Z868" s="6"/>
      <c r="AA868" s="6"/>
      <c r="AB868" s="6"/>
      <c r="AC868" s="6"/>
      <c r="AD868" s="6"/>
      <c r="AE868" s="6"/>
    </row>
    <row r="869" spans="22:31" ht="11.25" customHeight="1" x14ac:dyDescent="0.25">
      <c r="V869" s="6"/>
      <c r="W869" s="6"/>
      <c r="X869" s="6"/>
      <c r="Y869" s="6"/>
      <c r="Z869" s="6"/>
      <c r="AA869" s="6"/>
      <c r="AB869" s="6"/>
      <c r="AC869" s="6"/>
      <c r="AD869" s="6"/>
      <c r="AE869" s="6"/>
    </row>
    <row r="870" spans="22:31" ht="11.25" customHeight="1" x14ac:dyDescent="0.25">
      <c r="V870" s="6"/>
      <c r="W870" s="6"/>
      <c r="X870" s="6"/>
      <c r="Y870" s="6"/>
      <c r="Z870" s="6"/>
      <c r="AA870" s="6"/>
      <c r="AB870" s="6"/>
      <c r="AC870" s="6"/>
      <c r="AD870" s="6"/>
      <c r="AE870" s="6"/>
    </row>
    <row r="871" spans="22:31" ht="11.25" customHeight="1" x14ac:dyDescent="0.25">
      <c r="V871" s="6"/>
      <c r="W871" s="6"/>
      <c r="X871" s="6"/>
      <c r="Y871" s="6"/>
      <c r="Z871" s="6"/>
      <c r="AA871" s="6"/>
      <c r="AB871" s="6"/>
      <c r="AC871" s="6"/>
      <c r="AD871" s="6"/>
      <c r="AE871" s="6"/>
    </row>
    <row r="872" spans="22:31" ht="11.25" customHeight="1" x14ac:dyDescent="0.25">
      <c r="V872" s="6"/>
      <c r="W872" s="6"/>
      <c r="X872" s="6"/>
      <c r="Y872" s="6"/>
      <c r="Z872" s="6"/>
      <c r="AA872" s="6"/>
      <c r="AB872" s="6"/>
      <c r="AC872" s="6"/>
      <c r="AD872" s="6"/>
      <c r="AE872" s="6"/>
    </row>
    <row r="873" spans="22:31" ht="11.25" customHeight="1" x14ac:dyDescent="0.25">
      <c r="V873" s="6"/>
      <c r="W873" s="6"/>
      <c r="X873" s="6"/>
      <c r="Y873" s="6"/>
      <c r="Z873" s="6"/>
      <c r="AA873" s="6"/>
      <c r="AB873" s="6"/>
      <c r="AC873" s="6"/>
      <c r="AD873" s="6"/>
      <c r="AE873" s="6"/>
    </row>
    <row r="874" spans="22:31" ht="11.25" customHeight="1" x14ac:dyDescent="0.25">
      <c r="V874" s="6"/>
      <c r="W874" s="6"/>
      <c r="X874" s="6"/>
      <c r="Y874" s="6"/>
      <c r="Z874" s="6"/>
      <c r="AA874" s="6"/>
      <c r="AB874" s="6"/>
      <c r="AC874" s="6"/>
      <c r="AD874" s="6"/>
      <c r="AE874" s="6"/>
    </row>
    <row r="875" spans="22:31" ht="11.25" customHeight="1" x14ac:dyDescent="0.25">
      <c r="V875" s="6"/>
      <c r="W875" s="6"/>
      <c r="X875" s="6"/>
      <c r="Y875" s="6"/>
      <c r="Z875" s="6"/>
      <c r="AA875" s="6"/>
      <c r="AB875" s="6"/>
      <c r="AC875" s="6"/>
      <c r="AD875" s="6"/>
      <c r="AE875" s="6"/>
    </row>
    <row r="876" spans="22:31" ht="11.25" customHeight="1" x14ac:dyDescent="0.25">
      <c r="V876" s="6"/>
      <c r="W876" s="6"/>
      <c r="X876" s="6"/>
      <c r="Y876" s="6"/>
      <c r="Z876" s="6"/>
      <c r="AA876" s="6"/>
      <c r="AB876" s="6"/>
      <c r="AC876" s="6"/>
      <c r="AD876" s="6"/>
      <c r="AE876" s="6"/>
    </row>
    <row r="877" spans="22:31" ht="11.25" customHeight="1" x14ac:dyDescent="0.25">
      <c r="V877" s="6"/>
      <c r="W877" s="6"/>
      <c r="X877" s="6"/>
      <c r="Y877" s="6"/>
      <c r="Z877" s="6"/>
      <c r="AA877" s="6"/>
      <c r="AB877" s="6"/>
      <c r="AC877" s="6"/>
      <c r="AD877" s="6"/>
      <c r="AE877" s="6"/>
    </row>
    <row r="878" spans="22:31" ht="11.25" customHeight="1" x14ac:dyDescent="0.25">
      <c r="V878" s="6"/>
      <c r="W878" s="6"/>
      <c r="X878" s="6"/>
      <c r="Y878" s="6"/>
      <c r="Z878" s="6"/>
      <c r="AA878" s="6"/>
      <c r="AB878" s="6"/>
      <c r="AC878" s="6"/>
      <c r="AD878" s="6"/>
      <c r="AE878" s="6"/>
    </row>
    <row r="879" spans="22:31" ht="11.25" customHeight="1" x14ac:dyDescent="0.25">
      <c r="V879" s="6"/>
      <c r="W879" s="6"/>
      <c r="X879" s="6"/>
      <c r="Y879" s="6"/>
      <c r="Z879" s="6"/>
      <c r="AA879" s="6"/>
      <c r="AB879" s="6"/>
      <c r="AC879" s="6"/>
      <c r="AD879" s="6"/>
      <c r="AE879" s="6"/>
    </row>
    <row r="880" spans="22:31" ht="11.25" customHeight="1" x14ac:dyDescent="0.25">
      <c r="V880" s="6"/>
      <c r="W880" s="6"/>
      <c r="X880" s="6"/>
      <c r="Y880" s="6"/>
      <c r="Z880" s="6"/>
      <c r="AA880" s="6"/>
      <c r="AB880" s="6"/>
      <c r="AC880" s="6"/>
      <c r="AD880" s="6"/>
      <c r="AE880" s="6"/>
    </row>
    <row r="881" spans="22:31" ht="11.25" customHeight="1" x14ac:dyDescent="0.25">
      <c r="V881" s="6"/>
      <c r="W881" s="6"/>
      <c r="X881" s="6"/>
      <c r="Y881" s="6"/>
      <c r="Z881" s="6"/>
      <c r="AA881" s="6"/>
      <c r="AB881" s="6"/>
      <c r="AC881" s="6"/>
      <c r="AD881" s="6"/>
      <c r="AE881" s="6"/>
    </row>
    <row r="882" spans="22:31" ht="11.25" customHeight="1" x14ac:dyDescent="0.25">
      <c r="V882" s="6"/>
      <c r="W882" s="6"/>
      <c r="X882" s="6"/>
      <c r="Y882" s="6"/>
      <c r="Z882" s="6"/>
      <c r="AA882" s="6"/>
      <c r="AB882" s="6"/>
      <c r="AC882" s="6"/>
      <c r="AD882" s="6"/>
      <c r="AE882" s="6"/>
    </row>
    <row r="883" spans="22:31" ht="11.25" customHeight="1" x14ac:dyDescent="0.25">
      <c r="V883" s="6"/>
      <c r="W883" s="6"/>
      <c r="X883" s="6"/>
      <c r="Y883" s="6"/>
      <c r="Z883" s="6"/>
      <c r="AA883" s="6"/>
      <c r="AB883" s="6"/>
      <c r="AC883" s="6"/>
      <c r="AD883" s="6"/>
      <c r="AE883" s="6"/>
    </row>
    <row r="884" spans="22:31" ht="11.25" customHeight="1" x14ac:dyDescent="0.25">
      <c r="V884" s="6"/>
      <c r="W884" s="6"/>
      <c r="X884" s="6"/>
      <c r="Y884" s="6"/>
      <c r="Z884" s="6"/>
      <c r="AA884" s="6"/>
      <c r="AB884" s="6"/>
      <c r="AC884" s="6"/>
      <c r="AD884" s="6"/>
      <c r="AE884" s="6"/>
    </row>
    <row r="885" spans="22:31" ht="11.25" customHeight="1" x14ac:dyDescent="0.25">
      <c r="V885" s="6"/>
      <c r="W885" s="6"/>
      <c r="X885" s="6"/>
      <c r="Y885" s="6"/>
      <c r="Z885" s="6"/>
      <c r="AA885" s="6"/>
      <c r="AB885" s="6"/>
      <c r="AC885" s="6"/>
      <c r="AD885" s="6"/>
      <c r="AE885" s="6"/>
    </row>
    <row r="886" spans="22:31" ht="11.25" customHeight="1" x14ac:dyDescent="0.25">
      <c r="V886" s="6"/>
      <c r="W886" s="6"/>
      <c r="X886" s="6"/>
      <c r="Y886" s="6"/>
      <c r="Z886" s="6"/>
      <c r="AA886" s="6"/>
      <c r="AB886" s="6"/>
      <c r="AC886" s="6"/>
      <c r="AD886" s="6"/>
      <c r="AE886" s="6"/>
    </row>
    <row r="887" spans="22:31" ht="11.25" customHeight="1" x14ac:dyDescent="0.25">
      <c r="V887" s="6"/>
      <c r="W887" s="6"/>
      <c r="X887" s="6"/>
      <c r="Y887" s="6"/>
      <c r="Z887" s="6"/>
      <c r="AA887" s="6"/>
      <c r="AB887" s="6"/>
      <c r="AC887" s="6"/>
      <c r="AD887" s="6"/>
      <c r="AE887" s="6"/>
    </row>
    <row r="888" spans="22:31" ht="11.25" customHeight="1" x14ac:dyDescent="0.25">
      <c r="V888" s="6"/>
      <c r="W888" s="6"/>
      <c r="X888" s="6"/>
      <c r="Y888" s="6"/>
      <c r="Z888" s="6"/>
      <c r="AA888" s="6"/>
      <c r="AB888" s="6"/>
      <c r="AC888" s="6"/>
      <c r="AD888" s="6"/>
      <c r="AE888" s="6"/>
    </row>
    <row r="889" spans="22:31" ht="11.25" customHeight="1" x14ac:dyDescent="0.25">
      <c r="V889" s="6"/>
      <c r="W889" s="6"/>
      <c r="X889" s="6"/>
      <c r="Y889" s="6"/>
      <c r="Z889" s="6"/>
      <c r="AA889" s="6"/>
      <c r="AB889" s="6"/>
      <c r="AC889" s="6"/>
      <c r="AD889" s="6"/>
      <c r="AE889" s="6"/>
    </row>
    <row r="890" spans="22:31" ht="11.25" customHeight="1" x14ac:dyDescent="0.25">
      <c r="V890" s="6"/>
      <c r="W890" s="6"/>
      <c r="X890" s="6"/>
      <c r="Y890" s="6"/>
      <c r="Z890" s="6"/>
      <c r="AA890" s="6"/>
      <c r="AB890" s="6"/>
      <c r="AC890" s="6"/>
      <c r="AD890" s="6"/>
      <c r="AE890" s="6"/>
    </row>
    <row r="891" spans="22:31" ht="11.25" customHeight="1" x14ac:dyDescent="0.25">
      <c r="V891" s="6"/>
      <c r="W891" s="6"/>
      <c r="X891" s="6"/>
      <c r="Y891" s="6"/>
      <c r="Z891" s="6"/>
      <c r="AA891" s="6"/>
      <c r="AB891" s="6"/>
      <c r="AC891" s="6"/>
      <c r="AD891" s="6"/>
      <c r="AE891" s="6"/>
    </row>
    <row r="892" spans="22:31" ht="11.25" customHeight="1" x14ac:dyDescent="0.25">
      <c r="V892" s="6"/>
      <c r="W892" s="6"/>
      <c r="X892" s="6"/>
      <c r="Y892" s="6"/>
      <c r="Z892" s="6"/>
      <c r="AA892" s="6"/>
      <c r="AB892" s="6"/>
      <c r="AC892" s="6"/>
      <c r="AD892" s="6"/>
      <c r="AE892" s="6"/>
    </row>
    <row r="893" spans="22:31" ht="11.25" customHeight="1" x14ac:dyDescent="0.25">
      <c r="V893" s="6"/>
      <c r="W893" s="6"/>
      <c r="X893" s="6"/>
      <c r="Y893" s="6"/>
      <c r="Z893" s="6"/>
      <c r="AA893" s="6"/>
      <c r="AB893" s="6"/>
      <c r="AC893" s="6"/>
      <c r="AD893" s="6"/>
      <c r="AE893" s="6"/>
    </row>
    <row r="894" spans="22:31" ht="11.25" customHeight="1" x14ac:dyDescent="0.25">
      <c r="V894" s="6"/>
      <c r="W894" s="6"/>
      <c r="X894" s="6"/>
      <c r="Y894" s="6"/>
      <c r="Z894" s="6"/>
      <c r="AA894" s="6"/>
      <c r="AB894" s="6"/>
      <c r="AC894" s="6"/>
      <c r="AD894" s="6"/>
      <c r="AE894" s="6"/>
    </row>
    <row r="895" spans="22:31" ht="11.25" customHeight="1" x14ac:dyDescent="0.25">
      <c r="V895" s="6"/>
      <c r="W895" s="6"/>
      <c r="X895" s="6"/>
      <c r="Y895" s="6"/>
      <c r="Z895" s="6"/>
      <c r="AA895" s="6"/>
      <c r="AB895" s="6"/>
      <c r="AC895" s="6"/>
      <c r="AD895" s="6"/>
      <c r="AE895" s="6"/>
    </row>
    <row r="896" spans="22:31" ht="11.25" customHeight="1" x14ac:dyDescent="0.25">
      <c r="V896" s="6"/>
      <c r="W896" s="6"/>
      <c r="X896" s="6"/>
      <c r="Y896" s="6"/>
      <c r="Z896" s="6"/>
      <c r="AA896" s="6"/>
      <c r="AB896" s="6"/>
      <c r="AC896" s="6"/>
      <c r="AD896" s="6"/>
      <c r="AE896" s="6"/>
    </row>
    <row r="897" spans="22:31" ht="11.25" customHeight="1" x14ac:dyDescent="0.25">
      <c r="V897" s="6"/>
      <c r="W897" s="6"/>
      <c r="X897" s="6"/>
      <c r="Y897" s="6"/>
      <c r="Z897" s="6"/>
      <c r="AA897" s="6"/>
      <c r="AB897" s="6"/>
      <c r="AC897" s="6"/>
      <c r="AD897" s="6"/>
      <c r="AE897" s="6"/>
    </row>
    <row r="898" spans="22:31" ht="11.25" customHeight="1" x14ac:dyDescent="0.25">
      <c r="V898" s="6"/>
      <c r="W898" s="6"/>
      <c r="X898" s="6"/>
      <c r="Y898" s="6"/>
      <c r="Z898" s="6"/>
      <c r="AA898" s="6"/>
      <c r="AB898" s="6"/>
      <c r="AC898" s="6"/>
      <c r="AD898" s="6"/>
      <c r="AE898" s="6"/>
    </row>
    <row r="899" spans="22:31" ht="11.25" customHeight="1" x14ac:dyDescent="0.25">
      <c r="V899" s="6"/>
      <c r="W899" s="6"/>
      <c r="X899" s="6"/>
      <c r="Y899" s="6"/>
      <c r="Z899" s="6"/>
      <c r="AA899" s="6"/>
      <c r="AB899" s="6"/>
      <c r="AC899" s="6"/>
      <c r="AD899" s="6"/>
      <c r="AE899" s="6"/>
    </row>
    <row r="900" spans="22:31" ht="11.25" customHeight="1" x14ac:dyDescent="0.25">
      <c r="V900" s="6"/>
      <c r="W900" s="6"/>
      <c r="X900" s="6"/>
      <c r="Y900" s="6"/>
      <c r="Z900" s="6"/>
      <c r="AA900" s="6"/>
      <c r="AB900" s="6"/>
      <c r="AC900" s="6"/>
      <c r="AD900" s="6"/>
      <c r="AE900" s="6"/>
    </row>
    <row r="901" spans="22:31" ht="11.25" customHeight="1" x14ac:dyDescent="0.25">
      <c r="V901" s="6"/>
      <c r="W901" s="6"/>
      <c r="X901" s="6"/>
      <c r="Y901" s="6"/>
      <c r="Z901" s="6"/>
      <c r="AA901" s="6"/>
      <c r="AB901" s="6"/>
      <c r="AC901" s="6"/>
      <c r="AD901" s="6"/>
      <c r="AE901" s="6"/>
    </row>
    <row r="902" spans="22:31" ht="11.25" customHeight="1" x14ac:dyDescent="0.25">
      <c r="V902" s="6"/>
      <c r="W902" s="6"/>
      <c r="X902" s="6"/>
      <c r="Y902" s="6"/>
      <c r="Z902" s="6"/>
      <c r="AA902" s="6"/>
      <c r="AB902" s="6"/>
      <c r="AC902" s="6"/>
      <c r="AD902" s="6"/>
      <c r="AE902" s="6"/>
    </row>
    <row r="903" spans="22:31" ht="11.25" customHeight="1" x14ac:dyDescent="0.25">
      <c r="V903" s="6"/>
      <c r="W903" s="6"/>
      <c r="X903" s="6"/>
      <c r="Y903" s="6"/>
      <c r="Z903" s="6"/>
      <c r="AA903" s="6"/>
      <c r="AB903" s="6"/>
      <c r="AC903" s="6"/>
      <c r="AD903" s="6"/>
      <c r="AE903" s="6"/>
    </row>
    <row r="904" spans="22:31" ht="11.25" customHeight="1" x14ac:dyDescent="0.25">
      <c r="V904" s="6"/>
      <c r="W904" s="6"/>
      <c r="X904" s="6"/>
      <c r="Y904" s="6"/>
      <c r="Z904" s="6"/>
      <c r="AA904" s="6"/>
      <c r="AB904" s="6"/>
      <c r="AC904" s="6"/>
      <c r="AD904" s="6"/>
      <c r="AE904" s="6"/>
    </row>
    <row r="905" spans="22:31" ht="11.25" customHeight="1" x14ac:dyDescent="0.25">
      <c r="V905" s="6"/>
      <c r="W905" s="6"/>
      <c r="X905" s="6"/>
      <c r="Y905" s="6"/>
      <c r="Z905" s="6"/>
      <c r="AA905" s="6"/>
      <c r="AB905" s="6"/>
      <c r="AC905" s="6"/>
      <c r="AD905" s="6"/>
      <c r="AE905" s="6"/>
    </row>
    <row r="906" spans="22:31" ht="11.25" customHeight="1" x14ac:dyDescent="0.25">
      <c r="V906" s="6"/>
      <c r="W906" s="6"/>
      <c r="X906" s="6"/>
      <c r="Y906" s="6"/>
      <c r="Z906" s="6"/>
      <c r="AA906" s="6"/>
      <c r="AB906" s="6"/>
      <c r="AC906" s="6"/>
      <c r="AD906" s="6"/>
      <c r="AE906" s="6"/>
    </row>
    <row r="907" spans="22:31" ht="11.25" customHeight="1" x14ac:dyDescent="0.25">
      <c r="V907" s="6"/>
      <c r="W907" s="6"/>
      <c r="X907" s="6"/>
      <c r="Y907" s="6"/>
      <c r="Z907" s="6"/>
      <c r="AA907" s="6"/>
      <c r="AB907" s="6"/>
      <c r="AC907" s="6"/>
      <c r="AD907" s="6"/>
      <c r="AE907" s="6"/>
    </row>
    <row r="908" spans="22:31" ht="11.25" customHeight="1" x14ac:dyDescent="0.25">
      <c r="V908" s="6"/>
      <c r="W908" s="6"/>
      <c r="X908" s="6"/>
      <c r="Y908" s="6"/>
      <c r="Z908" s="6"/>
      <c r="AA908" s="6"/>
      <c r="AB908" s="6"/>
      <c r="AC908" s="6"/>
      <c r="AD908" s="6"/>
      <c r="AE908" s="6"/>
    </row>
    <row r="909" spans="22:31" ht="11.25" customHeight="1" x14ac:dyDescent="0.25">
      <c r="V909" s="6"/>
      <c r="W909" s="6"/>
      <c r="X909" s="6"/>
      <c r="Y909" s="6"/>
      <c r="Z909" s="6"/>
      <c r="AA909" s="6"/>
      <c r="AB909" s="6"/>
      <c r="AC909" s="6"/>
      <c r="AD909" s="6"/>
      <c r="AE909" s="6"/>
    </row>
    <row r="910" spans="22:31" ht="11.25" customHeight="1" x14ac:dyDescent="0.25">
      <c r="V910" s="6"/>
      <c r="W910" s="6"/>
      <c r="X910" s="6"/>
      <c r="Y910" s="6"/>
      <c r="Z910" s="6"/>
      <c r="AA910" s="6"/>
      <c r="AB910" s="6"/>
      <c r="AC910" s="6"/>
      <c r="AD910" s="6"/>
      <c r="AE910" s="6"/>
    </row>
    <row r="911" spans="22:31" ht="11.25" customHeight="1" x14ac:dyDescent="0.25">
      <c r="V911" s="6"/>
      <c r="W911" s="6"/>
      <c r="X911" s="6"/>
      <c r="Y911" s="6"/>
      <c r="Z911" s="6"/>
      <c r="AA911" s="6"/>
      <c r="AB911" s="6"/>
      <c r="AC911" s="6"/>
      <c r="AD911" s="6"/>
      <c r="AE911" s="6"/>
    </row>
    <row r="912" spans="22:31" ht="11.25" customHeight="1" x14ac:dyDescent="0.25">
      <c r="V912" s="6"/>
      <c r="W912" s="6"/>
      <c r="X912" s="6"/>
      <c r="Y912" s="6"/>
      <c r="Z912" s="6"/>
      <c r="AA912" s="6"/>
      <c r="AB912" s="6"/>
      <c r="AC912" s="6"/>
      <c r="AD912" s="6"/>
      <c r="AE912" s="6"/>
    </row>
    <row r="913" spans="22:31" ht="11.25" customHeight="1" x14ac:dyDescent="0.25">
      <c r="V913" s="6"/>
      <c r="W913" s="6"/>
      <c r="X913" s="6"/>
      <c r="Y913" s="6"/>
      <c r="Z913" s="6"/>
      <c r="AA913" s="6"/>
      <c r="AB913" s="6"/>
      <c r="AC913" s="6"/>
      <c r="AD913" s="6"/>
      <c r="AE913" s="6"/>
    </row>
    <row r="914" spans="22:31" ht="11.25" customHeight="1" x14ac:dyDescent="0.25">
      <c r="V914" s="6"/>
      <c r="W914" s="6"/>
      <c r="X914" s="6"/>
      <c r="Y914" s="6"/>
      <c r="Z914" s="6"/>
      <c r="AA914" s="6"/>
      <c r="AB914" s="6"/>
      <c r="AC914" s="6"/>
      <c r="AD914" s="6"/>
      <c r="AE914" s="6"/>
    </row>
    <row r="915" spans="22:31" ht="11.25" customHeight="1" x14ac:dyDescent="0.25">
      <c r="V915" s="6"/>
      <c r="W915" s="6"/>
      <c r="X915" s="6"/>
      <c r="Y915" s="6"/>
      <c r="Z915" s="6"/>
      <c r="AA915" s="6"/>
      <c r="AB915" s="6"/>
      <c r="AC915" s="6"/>
      <c r="AD915" s="6"/>
      <c r="AE915" s="6"/>
    </row>
    <row r="916" spans="22:31" ht="11.25" customHeight="1" x14ac:dyDescent="0.25">
      <c r="V916" s="6"/>
      <c r="W916" s="6"/>
      <c r="X916" s="6"/>
      <c r="Y916" s="6"/>
      <c r="Z916" s="6"/>
      <c r="AA916" s="6"/>
      <c r="AB916" s="6"/>
      <c r="AC916" s="6"/>
      <c r="AD916" s="6"/>
      <c r="AE916" s="6"/>
    </row>
    <row r="917" spans="22:31" ht="11.25" customHeight="1" x14ac:dyDescent="0.25">
      <c r="V917" s="6"/>
      <c r="W917" s="6"/>
      <c r="X917" s="6"/>
      <c r="Y917" s="6"/>
      <c r="Z917" s="6"/>
      <c r="AA917" s="6"/>
      <c r="AB917" s="6"/>
      <c r="AC917" s="6"/>
      <c r="AD917" s="6"/>
      <c r="AE917" s="6"/>
    </row>
    <row r="918" spans="22:31" ht="11.25" customHeight="1" x14ac:dyDescent="0.25">
      <c r="V918" s="6"/>
      <c r="W918" s="6"/>
      <c r="X918" s="6"/>
      <c r="Y918" s="6"/>
      <c r="Z918" s="6"/>
      <c r="AA918" s="6"/>
      <c r="AB918" s="6"/>
      <c r="AC918" s="6"/>
      <c r="AD918" s="6"/>
      <c r="AE918" s="6"/>
    </row>
    <row r="919" spans="22:31" ht="11.25" customHeight="1" x14ac:dyDescent="0.25">
      <c r="V919" s="6"/>
      <c r="W919" s="6"/>
      <c r="X919" s="6"/>
      <c r="Y919" s="6"/>
      <c r="Z919" s="6"/>
      <c r="AA919" s="6"/>
      <c r="AB919" s="6"/>
      <c r="AC919" s="6"/>
      <c r="AD919" s="6"/>
      <c r="AE919" s="6"/>
    </row>
    <row r="920" spans="22:31" ht="11.25" customHeight="1" x14ac:dyDescent="0.25">
      <c r="V920" s="6"/>
      <c r="W920" s="6"/>
      <c r="X920" s="6"/>
      <c r="Y920" s="6"/>
      <c r="Z920" s="6"/>
      <c r="AA920" s="6"/>
      <c r="AB920" s="6"/>
      <c r="AC920" s="6"/>
      <c r="AD920" s="6"/>
      <c r="AE920" s="6"/>
    </row>
    <row r="921" spans="22:31" ht="11.25" customHeight="1" x14ac:dyDescent="0.25">
      <c r="V921" s="6"/>
      <c r="W921" s="6"/>
      <c r="X921" s="6"/>
      <c r="Y921" s="6"/>
      <c r="Z921" s="6"/>
      <c r="AA921" s="6"/>
      <c r="AB921" s="6"/>
      <c r="AC921" s="6"/>
      <c r="AD921" s="6"/>
      <c r="AE921" s="6"/>
    </row>
    <row r="922" spans="22:31" ht="11.25" customHeight="1" x14ac:dyDescent="0.25">
      <c r="V922" s="6"/>
      <c r="W922" s="6"/>
      <c r="X922" s="6"/>
      <c r="Y922" s="6"/>
      <c r="Z922" s="6"/>
      <c r="AA922" s="6"/>
      <c r="AB922" s="6"/>
      <c r="AC922" s="6"/>
      <c r="AD922" s="6"/>
      <c r="AE922" s="6"/>
    </row>
    <row r="923" spans="22:31" ht="11.25" customHeight="1" x14ac:dyDescent="0.25">
      <c r="V923" s="6"/>
      <c r="W923" s="6"/>
      <c r="X923" s="6"/>
      <c r="Y923" s="6"/>
      <c r="Z923" s="6"/>
      <c r="AA923" s="6"/>
      <c r="AB923" s="6"/>
      <c r="AC923" s="6"/>
      <c r="AD923" s="6"/>
      <c r="AE923" s="6"/>
    </row>
    <row r="924" spans="22:31" ht="11.25" customHeight="1" x14ac:dyDescent="0.25">
      <c r="V924" s="6"/>
      <c r="W924" s="6"/>
      <c r="X924" s="6"/>
      <c r="Y924" s="6"/>
      <c r="Z924" s="6"/>
      <c r="AA924" s="6"/>
      <c r="AB924" s="6"/>
      <c r="AC924" s="6"/>
      <c r="AD924" s="6"/>
      <c r="AE924" s="6"/>
    </row>
    <row r="925" spans="22:31" ht="11.25" customHeight="1" x14ac:dyDescent="0.25">
      <c r="V925" s="6"/>
      <c r="W925" s="6"/>
      <c r="X925" s="6"/>
      <c r="Y925" s="6"/>
      <c r="Z925" s="6"/>
      <c r="AA925" s="6"/>
      <c r="AB925" s="6"/>
      <c r="AC925" s="6"/>
      <c r="AD925" s="6"/>
      <c r="AE925" s="6"/>
    </row>
    <row r="926" spans="22:31" ht="11.25" customHeight="1" x14ac:dyDescent="0.25">
      <c r="V926" s="6"/>
      <c r="W926" s="6"/>
      <c r="X926" s="6"/>
      <c r="Y926" s="6"/>
      <c r="Z926" s="6"/>
      <c r="AA926" s="6"/>
      <c r="AB926" s="6"/>
      <c r="AC926" s="6"/>
      <c r="AD926" s="6"/>
      <c r="AE926" s="6"/>
    </row>
    <row r="927" spans="22:31" ht="11.25" customHeight="1" x14ac:dyDescent="0.25">
      <c r="V927" s="6"/>
      <c r="W927" s="6"/>
      <c r="X927" s="6"/>
      <c r="Y927" s="6"/>
      <c r="Z927" s="6"/>
      <c r="AA927" s="6"/>
      <c r="AB927" s="6"/>
      <c r="AC927" s="6"/>
      <c r="AD927" s="6"/>
      <c r="AE927" s="6"/>
    </row>
    <row r="928" spans="22:31" ht="11.25" customHeight="1" x14ac:dyDescent="0.25">
      <c r="V928" s="6"/>
      <c r="W928" s="6"/>
      <c r="X928" s="6"/>
      <c r="Y928" s="6"/>
      <c r="Z928" s="6"/>
      <c r="AA928" s="6"/>
      <c r="AB928" s="6"/>
      <c r="AC928" s="6"/>
      <c r="AD928" s="6"/>
      <c r="AE928" s="6"/>
    </row>
    <row r="929" spans="22:31" ht="11.25" customHeight="1" x14ac:dyDescent="0.25">
      <c r="V929" s="6"/>
      <c r="W929" s="6"/>
      <c r="X929" s="6"/>
      <c r="Y929" s="6"/>
      <c r="Z929" s="6"/>
      <c r="AA929" s="6"/>
      <c r="AB929" s="6"/>
      <c r="AC929" s="6"/>
      <c r="AD929" s="6"/>
      <c r="AE929" s="6"/>
    </row>
    <row r="930" spans="22:31" ht="11.25" customHeight="1" x14ac:dyDescent="0.25">
      <c r="V930" s="6"/>
      <c r="W930" s="6"/>
      <c r="X930" s="6"/>
      <c r="Y930" s="6"/>
      <c r="Z930" s="6"/>
      <c r="AA930" s="6"/>
      <c r="AB930" s="6"/>
      <c r="AC930" s="6"/>
      <c r="AD930" s="6"/>
      <c r="AE930" s="6"/>
    </row>
    <row r="931" spans="22:31" ht="11.25" customHeight="1" x14ac:dyDescent="0.25">
      <c r="V931" s="6"/>
      <c r="W931" s="6"/>
      <c r="X931" s="6"/>
      <c r="Y931" s="6"/>
      <c r="Z931" s="6"/>
      <c r="AA931" s="6"/>
      <c r="AB931" s="6"/>
      <c r="AC931" s="6"/>
      <c r="AD931" s="6"/>
      <c r="AE931" s="6"/>
    </row>
    <row r="932" spans="22:31" ht="11.25" customHeight="1" x14ac:dyDescent="0.25">
      <c r="V932" s="6"/>
      <c r="W932" s="6"/>
      <c r="X932" s="6"/>
      <c r="Y932" s="6"/>
      <c r="Z932" s="6"/>
      <c r="AA932" s="6"/>
      <c r="AB932" s="6"/>
      <c r="AC932" s="6"/>
      <c r="AD932" s="6"/>
      <c r="AE932" s="6"/>
    </row>
    <row r="933" spans="22:31" ht="11.25" customHeight="1" x14ac:dyDescent="0.25">
      <c r="V933" s="6"/>
      <c r="W933" s="6"/>
      <c r="X933" s="6"/>
      <c r="Y933" s="6"/>
      <c r="Z933" s="6"/>
      <c r="AA933" s="6"/>
      <c r="AB933" s="6"/>
      <c r="AC933" s="6"/>
      <c r="AD933" s="6"/>
      <c r="AE933" s="6"/>
    </row>
    <row r="934" spans="22:31" ht="11.25" customHeight="1" x14ac:dyDescent="0.25">
      <c r="V934" s="6"/>
      <c r="W934" s="6"/>
      <c r="X934" s="6"/>
      <c r="Y934" s="6"/>
      <c r="Z934" s="6"/>
      <c r="AA934" s="6"/>
      <c r="AB934" s="6"/>
      <c r="AC934" s="6"/>
      <c r="AD934" s="6"/>
      <c r="AE934" s="6"/>
    </row>
    <row r="935" spans="22:31" ht="11.25" customHeight="1" x14ac:dyDescent="0.25">
      <c r="V935" s="6"/>
      <c r="W935" s="6"/>
      <c r="X935" s="6"/>
      <c r="Y935" s="6"/>
      <c r="Z935" s="6"/>
      <c r="AA935" s="6"/>
      <c r="AB935" s="6"/>
      <c r="AC935" s="6"/>
      <c r="AD935" s="6"/>
      <c r="AE935" s="6"/>
    </row>
    <row r="936" spans="22:31" ht="11.25" customHeight="1" x14ac:dyDescent="0.25">
      <c r="V936" s="6"/>
      <c r="W936" s="6"/>
      <c r="X936" s="6"/>
      <c r="Y936" s="6"/>
      <c r="Z936" s="6"/>
      <c r="AA936" s="6"/>
      <c r="AB936" s="6"/>
      <c r="AC936" s="6"/>
      <c r="AD936" s="6"/>
      <c r="AE936" s="6"/>
    </row>
    <row r="937" spans="22:31" ht="11.25" customHeight="1" x14ac:dyDescent="0.25">
      <c r="V937" s="6"/>
      <c r="W937" s="6"/>
      <c r="X937" s="6"/>
      <c r="Y937" s="6"/>
      <c r="Z937" s="6"/>
      <c r="AA937" s="6"/>
      <c r="AB937" s="6"/>
      <c r="AC937" s="6"/>
      <c r="AD937" s="6"/>
      <c r="AE937" s="6"/>
    </row>
    <row r="938" spans="22:31" ht="11.25" customHeight="1" x14ac:dyDescent="0.25">
      <c r="V938" s="6"/>
      <c r="W938" s="6"/>
      <c r="X938" s="6"/>
      <c r="Y938" s="6"/>
      <c r="Z938" s="6"/>
      <c r="AA938" s="6"/>
      <c r="AB938" s="6"/>
      <c r="AC938" s="6"/>
      <c r="AD938" s="6"/>
      <c r="AE938" s="6"/>
    </row>
    <row r="939" spans="22:31" ht="11.25" customHeight="1" x14ac:dyDescent="0.25">
      <c r="V939" s="6"/>
      <c r="W939" s="6"/>
      <c r="X939" s="6"/>
      <c r="Y939" s="6"/>
      <c r="Z939" s="6"/>
      <c r="AA939" s="6"/>
      <c r="AB939" s="6"/>
      <c r="AC939" s="6"/>
      <c r="AD939" s="6"/>
      <c r="AE939" s="6"/>
    </row>
    <row r="940" spans="22:31" ht="11.25" customHeight="1" x14ac:dyDescent="0.25">
      <c r="V940" s="6"/>
      <c r="W940" s="6"/>
      <c r="X940" s="6"/>
      <c r="Y940" s="6"/>
      <c r="Z940" s="6"/>
      <c r="AA940" s="6"/>
      <c r="AB940" s="6"/>
      <c r="AC940" s="6"/>
      <c r="AD940" s="6"/>
      <c r="AE940" s="6"/>
    </row>
    <row r="941" spans="22:31" ht="11.25" customHeight="1" x14ac:dyDescent="0.25">
      <c r="V941" s="6"/>
      <c r="W941" s="6"/>
      <c r="X941" s="6"/>
      <c r="Y941" s="6"/>
      <c r="Z941" s="6"/>
      <c r="AA941" s="6"/>
      <c r="AB941" s="6"/>
      <c r="AC941" s="6"/>
      <c r="AD941" s="6"/>
      <c r="AE941" s="6"/>
    </row>
    <row r="942" spans="22:31" ht="11.25" customHeight="1" x14ac:dyDescent="0.25">
      <c r="V942" s="6"/>
      <c r="W942" s="6"/>
      <c r="X942" s="6"/>
      <c r="Y942" s="6"/>
      <c r="Z942" s="6"/>
      <c r="AA942" s="6"/>
      <c r="AB942" s="6"/>
      <c r="AC942" s="6"/>
      <c r="AD942" s="6"/>
      <c r="AE942" s="6"/>
    </row>
    <row r="943" spans="22:31" ht="11.25" customHeight="1" x14ac:dyDescent="0.25">
      <c r="V943" s="6"/>
      <c r="W943" s="6"/>
      <c r="X943" s="6"/>
      <c r="Y943" s="6"/>
      <c r="Z943" s="6"/>
      <c r="AA943" s="6"/>
      <c r="AB943" s="6"/>
      <c r="AC943" s="6"/>
      <c r="AD943" s="6"/>
      <c r="AE943" s="6"/>
    </row>
    <row r="944" spans="22:31" ht="11.25" customHeight="1" x14ac:dyDescent="0.25">
      <c r="V944" s="6"/>
      <c r="W944" s="6"/>
      <c r="X944" s="6"/>
      <c r="Y944" s="6"/>
      <c r="Z944" s="6"/>
      <c r="AA944" s="6"/>
      <c r="AB944" s="6"/>
      <c r="AC944" s="6"/>
      <c r="AD944" s="6"/>
      <c r="AE944" s="6"/>
    </row>
    <row r="945" spans="22:31" ht="11.25" customHeight="1" x14ac:dyDescent="0.25">
      <c r="V945" s="6"/>
      <c r="W945" s="6"/>
      <c r="X945" s="6"/>
      <c r="Y945" s="6"/>
      <c r="Z945" s="6"/>
      <c r="AA945" s="6"/>
      <c r="AB945" s="6"/>
      <c r="AC945" s="6"/>
      <c r="AD945" s="6"/>
      <c r="AE945" s="6"/>
    </row>
    <row r="946" spans="22:31" ht="11.25" customHeight="1" x14ac:dyDescent="0.25">
      <c r="V946" s="6"/>
      <c r="W946" s="6"/>
      <c r="X946" s="6"/>
      <c r="Y946" s="6"/>
      <c r="Z946" s="6"/>
      <c r="AA946" s="6"/>
      <c r="AB946" s="6"/>
      <c r="AC946" s="6"/>
      <c r="AD946" s="6"/>
      <c r="AE946" s="6"/>
    </row>
    <row r="947" spans="22:31" ht="11.25" customHeight="1" x14ac:dyDescent="0.25">
      <c r="V947" s="6"/>
      <c r="W947" s="6"/>
      <c r="X947" s="6"/>
      <c r="Y947" s="6"/>
      <c r="Z947" s="6"/>
      <c r="AA947" s="6"/>
      <c r="AB947" s="6"/>
      <c r="AC947" s="6"/>
      <c r="AD947" s="6"/>
      <c r="AE947" s="6"/>
    </row>
    <row r="948" spans="22:31" ht="11.25" customHeight="1" x14ac:dyDescent="0.25">
      <c r="V948" s="6"/>
      <c r="W948" s="6"/>
      <c r="X948" s="6"/>
      <c r="Y948" s="6"/>
      <c r="Z948" s="6"/>
      <c r="AA948" s="6"/>
      <c r="AB948" s="6"/>
      <c r="AC948" s="6"/>
      <c r="AD948" s="6"/>
      <c r="AE948" s="6"/>
    </row>
    <row r="949" spans="22:31" ht="11.25" customHeight="1" x14ac:dyDescent="0.25">
      <c r="V949" s="6"/>
      <c r="W949" s="6"/>
      <c r="X949" s="6"/>
      <c r="Y949" s="6"/>
      <c r="Z949" s="6"/>
      <c r="AA949" s="6"/>
      <c r="AB949" s="6"/>
      <c r="AC949" s="6"/>
      <c r="AD949" s="6"/>
      <c r="AE949" s="6"/>
    </row>
    <row r="950" spans="22:31" ht="11.25" customHeight="1" x14ac:dyDescent="0.25">
      <c r="V950" s="6"/>
      <c r="W950" s="6"/>
      <c r="X950" s="6"/>
      <c r="Y950" s="6"/>
      <c r="Z950" s="6"/>
      <c r="AA950" s="6"/>
      <c r="AB950" s="6"/>
      <c r="AC950" s="6"/>
      <c r="AD950" s="6"/>
      <c r="AE950" s="6"/>
    </row>
    <row r="951" spans="22:31" ht="11.25" customHeight="1" x14ac:dyDescent="0.25">
      <c r="V951" s="6"/>
      <c r="W951" s="6"/>
      <c r="X951" s="6"/>
      <c r="Y951" s="6"/>
      <c r="Z951" s="6"/>
      <c r="AA951" s="6"/>
      <c r="AB951" s="6"/>
      <c r="AC951" s="6"/>
      <c r="AD951" s="6"/>
      <c r="AE951" s="6"/>
    </row>
    <row r="952" spans="22:31" ht="11.25" customHeight="1" x14ac:dyDescent="0.25">
      <c r="V952" s="6"/>
      <c r="W952" s="6"/>
      <c r="X952" s="6"/>
      <c r="Y952" s="6"/>
      <c r="Z952" s="6"/>
      <c r="AA952" s="6"/>
      <c r="AB952" s="6"/>
      <c r="AC952" s="6"/>
      <c r="AD952" s="6"/>
      <c r="AE952" s="6"/>
    </row>
    <row r="953" spans="22:31" ht="11.25" customHeight="1" x14ac:dyDescent="0.25">
      <c r="V953" s="6"/>
      <c r="W953" s="6"/>
      <c r="X953" s="6"/>
      <c r="Y953" s="6"/>
      <c r="Z953" s="6"/>
      <c r="AA953" s="6"/>
      <c r="AB953" s="6"/>
      <c r="AC953" s="6"/>
      <c r="AD953" s="6"/>
      <c r="AE953" s="6"/>
    </row>
    <row r="954" spans="22:31" ht="11.25" customHeight="1" x14ac:dyDescent="0.25">
      <c r="V954" s="6"/>
      <c r="W954" s="6"/>
      <c r="X954" s="6"/>
      <c r="Y954" s="6"/>
      <c r="Z954" s="6"/>
      <c r="AA954" s="6"/>
      <c r="AB954" s="6"/>
      <c r="AC954" s="6"/>
      <c r="AD954" s="6"/>
      <c r="AE954" s="6"/>
    </row>
    <row r="955" spans="22:31" ht="11.25" customHeight="1" x14ac:dyDescent="0.25">
      <c r="V955" s="6"/>
      <c r="W955" s="6"/>
      <c r="X955" s="6"/>
      <c r="Y955" s="6"/>
      <c r="Z955" s="6"/>
      <c r="AA955" s="6"/>
      <c r="AB955" s="6"/>
      <c r="AC955" s="6"/>
      <c r="AD955" s="6"/>
      <c r="AE955" s="6"/>
    </row>
    <row r="956" spans="22:31" ht="11.25" customHeight="1" x14ac:dyDescent="0.25">
      <c r="V956" s="6"/>
      <c r="W956" s="6"/>
      <c r="X956" s="6"/>
      <c r="Y956" s="6"/>
      <c r="Z956" s="6"/>
      <c r="AA956" s="6"/>
      <c r="AB956" s="6"/>
      <c r="AC956" s="6"/>
      <c r="AD956" s="6"/>
      <c r="AE956" s="6"/>
    </row>
    <row r="957" spans="22:31" ht="11.25" customHeight="1" x14ac:dyDescent="0.25">
      <c r="V957" s="6"/>
      <c r="W957" s="6"/>
      <c r="X957" s="6"/>
      <c r="Y957" s="6"/>
      <c r="Z957" s="6"/>
      <c r="AA957" s="6"/>
      <c r="AB957" s="6"/>
      <c r="AC957" s="6"/>
      <c r="AD957" s="6"/>
      <c r="AE957" s="6"/>
    </row>
    <row r="958" spans="22:31" ht="11.25" customHeight="1" x14ac:dyDescent="0.25">
      <c r="V958" s="6"/>
      <c r="W958" s="6"/>
      <c r="X958" s="6"/>
      <c r="Y958" s="6"/>
      <c r="Z958" s="6"/>
      <c r="AA958" s="6"/>
      <c r="AB958" s="6"/>
      <c r="AC958" s="6"/>
      <c r="AD958" s="6"/>
      <c r="AE958" s="6"/>
    </row>
    <row r="959" spans="22:31" ht="11.25" customHeight="1" x14ac:dyDescent="0.25">
      <c r="V959" s="6"/>
      <c r="W959" s="6"/>
      <c r="X959" s="6"/>
      <c r="Y959" s="6"/>
      <c r="Z959" s="6"/>
      <c r="AA959" s="6"/>
      <c r="AB959" s="6"/>
      <c r="AC959" s="6"/>
      <c r="AD959" s="6"/>
      <c r="AE959" s="6"/>
    </row>
    <row r="960" spans="22:31" ht="11.25" customHeight="1" x14ac:dyDescent="0.25">
      <c r="V960" s="6"/>
      <c r="W960" s="6"/>
      <c r="X960" s="6"/>
      <c r="Y960" s="6"/>
      <c r="Z960" s="6"/>
      <c r="AA960" s="6"/>
      <c r="AB960" s="6"/>
      <c r="AC960" s="6"/>
      <c r="AD960" s="6"/>
      <c r="AE960" s="6"/>
    </row>
    <row r="961" spans="22:31" ht="11.25" customHeight="1" x14ac:dyDescent="0.25">
      <c r="V961" s="6"/>
      <c r="W961" s="6"/>
      <c r="X961" s="6"/>
      <c r="Y961" s="6"/>
      <c r="Z961" s="6"/>
      <c r="AA961" s="6"/>
      <c r="AB961" s="6"/>
      <c r="AC961" s="6"/>
      <c r="AD961" s="6"/>
      <c r="AE961" s="6"/>
    </row>
    <row r="962" spans="22:31" ht="11.25" customHeight="1" x14ac:dyDescent="0.25">
      <c r="V962" s="6"/>
      <c r="W962" s="6"/>
      <c r="X962" s="6"/>
      <c r="Y962" s="6"/>
      <c r="Z962" s="6"/>
      <c r="AA962" s="6"/>
      <c r="AB962" s="6"/>
      <c r="AC962" s="6"/>
      <c r="AD962" s="6"/>
      <c r="AE962" s="6"/>
    </row>
    <row r="963" spans="22:31" ht="11.25" customHeight="1" x14ac:dyDescent="0.25">
      <c r="V963" s="6"/>
      <c r="W963" s="6"/>
      <c r="X963" s="6"/>
      <c r="Y963" s="6"/>
      <c r="Z963" s="6"/>
      <c r="AA963" s="6"/>
      <c r="AB963" s="6"/>
      <c r="AC963" s="6"/>
      <c r="AD963" s="6"/>
      <c r="AE963" s="6"/>
    </row>
    <row r="964" spans="22:31" ht="11.25" customHeight="1" x14ac:dyDescent="0.25">
      <c r="V964" s="6"/>
      <c r="W964" s="6"/>
      <c r="X964" s="6"/>
      <c r="Y964" s="6"/>
      <c r="Z964" s="6"/>
      <c r="AA964" s="6"/>
      <c r="AB964" s="6"/>
      <c r="AC964" s="6"/>
      <c r="AD964" s="6"/>
      <c r="AE964" s="6"/>
    </row>
    <row r="965" spans="22:31" ht="11.25" customHeight="1" x14ac:dyDescent="0.25">
      <c r="V965" s="6"/>
      <c r="W965" s="6"/>
      <c r="X965" s="6"/>
      <c r="Y965" s="6"/>
      <c r="Z965" s="6"/>
      <c r="AA965" s="6"/>
      <c r="AB965" s="6"/>
      <c r="AC965" s="6"/>
      <c r="AD965" s="6"/>
      <c r="AE965" s="6"/>
    </row>
    <row r="966" spans="22:31" ht="11.25" customHeight="1" x14ac:dyDescent="0.25">
      <c r="V966" s="6"/>
      <c r="W966" s="6"/>
      <c r="X966" s="6"/>
      <c r="Y966" s="6"/>
      <c r="Z966" s="6"/>
      <c r="AA966" s="6"/>
      <c r="AB966" s="6"/>
      <c r="AC966" s="6"/>
      <c r="AD966" s="6"/>
      <c r="AE966" s="6"/>
    </row>
    <row r="967" spans="22:31" ht="11.25" customHeight="1" x14ac:dyDescent="0.25">
      <c r="V967" s="6"/>
      <c r="W967" s="6"/>
      <c r="X967" s="6"/>
      <c r="Y967" s="6"/>
      <c r="Z967" s="6"/>
      <c r="AA967" s="6"/>
      <c r="AB967" s="6"/>
      <c r="AC967" s="6"/>
      <c r="AD967" s="6"/>
      <c r="AE967" s="6"/>
    </row>
    <row r="968" spans="22:31" ht="11.25" customHeight="1" x14ac:dyDescent="0.25">
      <c r="V968" s="6"/>
      <c r="W968" s="6"/>
      <c r="X968" s="6"/>
      <c r="Y968" s="6"/>
      <c r="Z968" s="6"/>
      <c r="AA968" s="6"/>
      <c r="AB968" s="6"/>
      <c r="AC968" s="6"/>
      <c r="AD968" s="6"/>
      <c r="AE968" s="6"/>
    </row>
    <row r="969" spans="22:31" ht="11.25" customHeight="1" x14ac:dyDescent="0.25">
      <c r="V969" s="6"/>
      <c r="W969" s="6"/>
      <c r="X969" s="6"/>
      <c r="Y969" s="6"/>
      <c r="Z969" s="6"/>
      <c r="AA969" s="6"/>
      <c r="AB969" s="6"/>
      <c r="AC969" s="6"/>
      <c r="AD969" s="6"/>
      <c r="AE969" s="6"/>
    </row>
    <row r="970" spans="22:31" ht="11.25" customHeight="1" x14ac:dyDescent="0.25">
      <c r="V970" s="6"/>
      <c r="W970" s="6"/>
      <c r="X970" s="6"/>
      <c r="Y970" s="6"/>
      <c r="Z970" s="6"/>
      <c r="AA970" s="6"/>
      <c r="AB970" s="6"/>
      <c r="AC970" s="6"/>
      <c r="AD970" s="6"/>
      <c r="AE970" s="6"/>
    </row>
    <row r="971" spans="22:31" ht="11.25" customHeight="1" x14ac:dyDescent="0.25">
      <c r="V971" s="6"/>
      <c r="W971" s="6"/>
      <c r="X971" s="6"/>
      <c r="Y971" s="6"/>
      <c r="Z971" s="6"/>
      <c r="AA971" s="6"/>
      <c r="AB971" s="6"/>
      <c r="AC971" s="6"/>
      <c r="AD971" s="6"/>
      <c r="AE971" s="6"/>
    </row>
    <row r="972" spans="22:31" ht="11.25" customHeight="1" x14ac:dyDescent="0.25">
      <c r="V972" s="6"/>
      <c r="W972" s="6"/>
      <c r="X972" s="6"/>
      <c r="Y972" s="6"/>
      <c r="Z972" s="6"/>
      <c r="AA972" s="6"/>
      <c r="AB972" s="6"/>
      <c r="AC972" s="6"/>
      <c r="AD972" s="6"/>
      <c r="AE972" s="6"/>
    </row>
    <row r="973" spans="22:31" ht="11.25" customHeight="1" x14ac:dyDescent="0.25">
      <c r="V973" s="6"/>
      <c r="W973" s="6"/>
      <c r="X973" s="6"/>
      <c r="Y973" s="6"/>
      <c r="Z973" s="6"/>
      <c r="AA973" s="6"/>
      <c r="AB973" s="6"/>
      <c r="AC973" s="6"/>
      <c r="AD973" s="6"/>
      <c r="AE973" s="6"/>
    </row>
    <row r="974" spans="22:31" ht="11.25" customHeight="1" x14ac:dyDescent="0.25">
      <c r="V974" s="6"/>
      <c r="W974" s="6"/>
      <c r="X974" s="6"/>
      <c r="Y974" s="6"/>
      <c r="Z974" s="6"/>
      <c r="AA974" s="6"/>
      <c r="AB974" s="6"/>
      <c r="AC974" s="6"/>
      <c r="AD974" s="6"/>
      <c r="AE974" s="6"/>
    </row>
    <row r="975" spans="22:31" ht="11.25" customHeight="1" x14ac:dyDescent="0.25">
      <c r="V975" s="6"/>
      <c r="W975" s="6"/>
      <c r="X975" s="6"/>
      <c r="Y975" s="6"/>
      <c r="Z975" s="6"/>
      <c r="AA975" s="6"/>
      <c r="AB975" s="6"/>
      <c r="AC975" s="6"/>
      <c r="AD975" s="6"/>
      <c r="AE975" s="6"/>
    </row>
    <row r="976" spans="22:31" ht="11.25" customHeight="1" x14ac:dyDescent="0.25">
      <c r="V976" s="6"/>
      <c r="W976" s="6"/>
      <c r="X976" s="6"/>
      <c r="Y976" s="6"/>
      <c r="Z976" s="6"/>
      <c r="AA976" s="6"/>
      <c r="AB976" s="6"/>
      <c r="AC976" s="6"/>
      <c r="AD976" s="6"/>
      <c r="AE976" s="6"/>
    </row>
    <row r="977" spans="22:31" ht="11.25" customHeight="1" x14ac:dyDescent="0.25">
      <c r="V977" s="6"/>
      <c r="W977" s="6"/>
      <c r="X977" s="6"/>
      <c r="Y977" s="6"/>
      <c r="Z977" s="6"/>
      <c r="AA977" s="6"/>
      <c r="AB977" s="6"/>
      <c r="AC977" s="6"/>
      <c r="AD977" s="6"/>
      <c r="AE977" s="6"/>
    </row>
    <row r="978" spans="22:31" ht="11.25" customHeight="1" x14ac:dyDescent="0.25">
      <c r="V978" s="6"/>
      <c r="W978" s="6"/>
      <c r="X978" s="6"/>
      <c r="Y978" s="6"/>
      <c r="Z978" s="6"/>
      <c r="AA978" s="6"/>
      <c r="AB978" s="6"/>
      <c r="AC978" s="6"/>
      <c r="AD978" s="6"/>
      <c r="AE978" s="6"/>
    </row>
    <row r="979" spans="22:31" ht="11.25" customHeight="1" x14ac:dyDescent="0.25">
      <c r="V979" s="6"/>
      <c r="W979" s="6"/>
      <c r="X979" s="6"/>
      <c r="Y979" s="6"/>
      <c r="Z979" s="6"/>
      <c r="AA979" s="6"/>
      <c r="AB979" s="6"/>
      <c r="AC979" s="6"/>
      <c r="AD979" s="6"/>
      <c r="AE979" s="6"/>
    </row>
    <row r="980" spans="22:31" ht="11.25" customHeight="1" x14ac:dyDescent="0.25">
      <c r="V980" s="6"/>
      <c r="W980" s="6"/>
      <c r="X980" s="6"/>
      <c r="Y980" s="6"/>
      <c r="Z980" s="6"/>
      <c r="AA980" s="6"/>
      <c r="AB980" s="6"/>
      <c r="AC980" s="6"/>
      <c r="AD980" s="6"/>
      <c r="AE980" s="6"/>
    </row>
    <row r="981" spans="22:31" ht="11.25" customHeight="1" x14ac:dyDescent="0.25">
      <c r="V981" s="6"/>
      <c r="W981" s="6"/>
      <c r="X981" s="6"/>
      <c r="Y981" s="6"/>
      <c r="Z981" s="6"/>
      <c r="AA981" s="6"/>
      <c r="AB981" s="6"/>
      <c r="AC981" s="6"/>
      <c r="AD981" s="6"/>
      <c r="AE981" s="6"/>
    </row>
    <row r="982" spans="22:31" ht="11.25" customHeight="1" x14ac:dyDescent="0.25">
      <c r="V982" s="6"/>
      <c r="W982" s="6"/>
      <c r="X982" s="6"/>
      <c r="Y982" s="6"/>
      <c r="Z982" s="6"/>
      <c r="AA982" s="6"/>
      <c r="AB982" s="6"/>
      <c r="AC982" s="6"/>
      <c r="AD982" s="6"/>
      <c r="AE982" s="6"/>
    </row>
    <row r="983" spans="22:31" ht="11.25" customHeight="1" x14ac:dyDescent="0.25">
      <c r="V983" s="6"/>
      <c r="W983" s="6"/>
      <c r="X983" s="6"/>
      <c r="Y983" s="6"/>
      <c r="Z983" s="6"/>
      <c r="AA983" s="6"/>
      <c r="AB983" s="6"/>
      <c r="AC983" s="6"/>
      <c r="AD983" s="6"/>
      <c r="AE983" s="6"/>
    </row>
    <row r="984" spans="22:31" ht="11.25" customHeight="1" x14ac:dyDescent="0.25">
      <c r="V984" s="6"/>
      <c r="W984" s="6"/>
      <c r="X984" s="6"/>
      <c r="Y984" s="6"/>
      <c r="Z984" s="6"/>
      <c r="AA984" s="6"/>
      <c r="AB984" s="6"/>
      <c r="AC984" s="6"/>
      <c r="AD984" s="6"/>
      <c r="AE984" s="6"/>
    </row>
    <row r="985" spans="22:31" ht="11.25" customHeight="1" x14ac:dyDescent="0.25">
      <c r="V985" s="6"/>
      <c r="W985" s="6"/>
      <c r="X985" s="6"/>
      <c r="Y985" s="6"/>
      <c r="Z985" s="6"/>
      <c r="AA985" s="6"/>
      <c r="AB985" s="6"/>
      <c r="AC985" s="6"/>
      <c r="AD985" s="6"/>
      <c r="AE985" s="6"/>
    </row>
    <row r="986" spans="22:31" ht="11.25" customHeight="1" x14ac:dyDescent="0.25">
      <c r="V986" s="6"/>
      <c r="W986" s="6"/>
      <c r="X986" s="6"/>
      <c r="Y986" s="6"/>
      <c r="Z986" s="6"/>
      <c r="AA986" s="6"/>
      <c r="AB986" s="6"/>
      <c r="AC986" s="6"/>
      <c r="AD986" s="6"/>
      <c r="AE986" s="6"/>
    </row>
    <row r="987" spans="22:31" ht="11.25" customHeight="1" x14ac:dyDescent="0.25">
      <c r="V987" s="6"/>
      <c r="W987" s="6"/>
      <c r="X987" s="6"/>
      <c r="Y987" s="6"/>
      <c r="Z987" s="6"/>
      <c r="AA987" s="6"/>
      <c r="AB987" s="6"/>
      <c r="AC987" s="6"/>
      <c r="AD987" s="6"/>
      <c r="AE987" s="6"/>
    </row>
    <row r="988" spans="22:31" ht="11.25" customHeight="1" x14ac:dyDescent="0.25">
      <c r="V988" s="6"/>
      <c r="W988" s="6"/>
      <c r="X988" s="6"/>
      <c r="Y988" s="6"/>
      <c r="Z988" s="6"/>
      <c r="AA988" s="6"/>
      <c r="AB988" s="6"/>
      <c r="AC988" s="6"/>
      <c r="AD988" s="6"/>
      <c r="AE988" s="6"/>
    </row>
    <row r="989" spans="22:31" ht="11.25" customHeight="1" x14ac:dyDescent="0.25">
      <c r="V989" s="6"/>
      <c r="W989" s="6"/>
      <c r="X989" s="6"/>
      <c r="Y989" s="6"/>
      <c r="Z989" s="6"/>
      <c r="AA989" s="6"/>
      <c r="AB989" s="6"/>
      <c r="AC989" s="6"/>
      <c r="AD989" s="6"/>
      <c r="AE989" s="6"/>
    </row>
    <row r="990" spans="22:31" ht="11.25" customHeight="1" x14ac:dyDescent="0.25">
      <c r="V990" s="6"/>
      <c r="W990" s="6"/>
      <c r="X990" s="6"/>
      <c r="Y990" s="6"/>
      <c r="Z990" s="6"/>
      <c r="AA990" s="6"/>
      <c r="AB990" s="6"/>
      <c r="AC990" s="6"/>
      <c r="AD990" s="6"/>
      <c r="AE990" s="6"/>
    </row>
    <row r="991" spans="22:31" ht="11.25" customHeight="1" x14ac:dyDescent="0.25">
      <c r="V991" s="6"/>
      <c r="W991" s="6"/>
      <c r="X991" s="6"/>
      <c r="Y991" s="6"/>
      <c r="Z991" s="6"/>
      <c r="AA991" s="6"/>
      <c r="AB991" s="6"/>
      <c r="AC991" s="6"/>
      <c r="AD991" s="6"/>
      <c r="AE991" s="6"/>
    </row>
    <row r="992" spans="22:31" ht="11.25" customHeight="1" x14ac:dyDescent="0.25">
      <c r="V992" s="6"/>
      <c r="W992" s="6"/>
      <c r="X992" s="6"/>
      <c r="Y992" s="6"/>
      <c r="Z992" s="6"/>
      <c r="AA992" s="6"/>
      <c r="AB992" s="6"/>
      <c r="AC992" s="6"/>
      <c r="AD992" s="6"/>
      <c r="AE992" s="6"/>
    </row>
    <row r="993" spans="22:31" ht="11.25" customHeight="1" x14ac:dyDescent="0.25">
      <c r="V993" s="6"/>
      <c r="W993" s="6"/>
      <c r="X993" s="6"/>
      <c r="Y993" s="6"/>
      <c r="Z993" s="6"/>
      <c r="AA993" s="6"/>
      <c r="AB993" s="6"/>
      <c r="AC993" s="6"/>
      <c r="AD993" s="6"/>
      <c r="AE993" s="6"/>
    </row>
    <row r="994" spans="22:31" ht="11.25" customHeight="1" x14ac:dyDescent="0.25">
      <c r="V994" s="6"/>
      <c r="W994" s="6"/>
      <c r="X994" s="6"/>
      <c r="Y994" s="6"/>
      <c r="Z994" s="6"/>
      <c r="AA994" s="6"/>
      <c r="AB994" s="6"/>
      <c r="AC994" s="6"/>
      <c r="AD994" s="6"/>
      <c r="AE994" s="6"/>
    </row>
    <row r="995" spans="22:31" ht="11.25" customHeight="1" x14ac:dyDescent="0.25">
      <c r="V995" s="6"/>
      <c r="W995" s="6"/>
      <c r="X995" s="6"/>
      <c r="Y995" s="6"/>
      <c r="Z995" s="6"/>
      <c r="AA995" s="6"/>
      <c r="AB995" s="6"/>
      <c r="AC995" s="6"/>
      <c r="AD995" s="6"/>
      <c r="AE995" s="6"/>
    </row>
    <row r="996" spans="22:31" ht="11.25" customHeight="1" x14ac:dyDescent="0.25">
      <c r="V996" s="6"/>
      <c r="W996" s="6"/>
      <c r="X996" s="6"/>
      <c r="Y996" s="6"/>
      <c r="Z996" s="6"/>
      <c r="AA996" s="6"/>
      <c r="AB996" s="6"/>
      <c r="AC996" s="6"/>
      <c r="AD996" s="6"/>
      <c r="AE996" s="6"/>
    </row>
    <row r="997" spans="22:31" ht="11.25" customHeight="1" x14ac:dyDescent="0.25">
      <c r="V997" s="6"/>
      <c r="W997" s="6"/>
      <c r="X997" s="6"/>
      <c r="Y997" s="6"/>
      <c r="Z997" s="6"/>
      <c r="AA997" s="6"/>
      <c r="AB997" s="6"/>
      <c r="AC997" s="6"/>
      <c r="AD997" s="6"/>
      <c r="AE997" s="6"/>
    </row>
    <row r="998" spans="22:31" ht="11.25" customHeight="1" x14ac:dyDescent="0.25">
      <c r="V998" s="6"/>
      <c r="W998" s="6"/>
      <c r="X998" s="6"/>
      <c r="Y998" s="6"/>
      <c r="Z998" s="6"/>
      <c r="AA998" s="6"/>
      <c r="AB998" s="6"/>
      <c r="AC998" s="6"/>
      <c r="AD998" s="6"/>
      <c r="AE998" s="6"/>
    </row>
    <row r="999" spans="22:31" ht="11.25" customHeight="1" x14ac:dyDescent="0.25">
      <c r="V999" s="6"/>
      <c r="W999" s="6"/>
      <c r="X999" s="6"/>
      <c r="Y999" s="6"/>
      <c r="Z999" s="6"/>
      <c r="AA999" s="6"/>
      <c r="AB999" s="6"/>
      <c r="AC999" s="6"/>
      <c r="AD999" s="6"/>
      <c r="AE999" s="6"/>
    </row>
    <row r="1000" spans="22:31" ht="11.25" customHeight="1" x14ac:dyDescent="0.25"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</row>
    <row r="1001" spans="22:31" ht="11.25" customHeight="1" x14ac:dyDescent="0.25"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</row>
    <row r="1002" spans="22:31" ht="11.25" customHeight="1" x14ac:dyDescent="0.25"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</row>
    <row r="1003" spans="22:31" ht="11.25" customHeight="1" x14ac:dyDescent="0.25"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</row>
    <row r="1004" spans="22:31" ht="11.25" customHeight="1" x14ac:dyDescent="0.25"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</row>
    <row r="1005" spans="22:31" ht="11.25" customHeight="1" x14ac:dyDescent="0.25"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</row>
    <row r="1006" spans="22:31" ht="11.25" customHeight="1" x14ac:dyDescent="0.25"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</row>
    <row r="1007" spans="22:31" ht="11.25" customHeight="1" x14ac:dyDescent="0.25"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</row>
    <row r="1008" spans="22:31" ht="11.25" customHeight="1" x14ac:dyDescent="0.25"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</row>
    <row r="1009" spans="22:31" ht="11.25" customHeight="1" x14ac:dyDescent="0.25"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</row>
    <row r="1010" spans="22:31" ht="11.25" customHeight="1" x14ac:dyDescent="0.25"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</row>
    <row r="1011" spans="22:31" ht="11.25" customHeight="1" x14ac:dyDescent="0.25"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</row>
    <row r="1012" spans="22:31" ht="11.25" customHeight="1" x14ac:dyDescent="0.25"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</row>
    <row r="1013" spans="22:31" ht="11.25" customHeight="1" x14ac:dyDescent="0.25"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</row>
    <row r="1014" spans="22:31" ht="11.25" customHeight="1" x14ac:dyDescent="0.25"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</row>
    <row r="1015" spans="22:31" ht="11.25" customHeight="1" x14ac:dyDescent="0.25"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</row>
    <row r="1016" spans="22:31" ht="11.25" customHeight="1" x14ac:dyDescent="0.25"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</row>
    <row r="1017" spans="22:31" ht="11.25" customHeight="1" x14ac:dyDescent="0.25"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</row>
    <row r="1018" spans="22:31" ht="11.25" customHeight="1" x14ac:dyDescent="0.25"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</row>
    <row r="1019" spans="22:31" ht="11.25" customHeight="1" x14ac:dyDescent="0.25"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</row>
    <row r="1020" spans="22:31" ht="11.25" customHeight="1" x14ac:dyDescent="0.25"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</row>
    <row r="1021" spans="22:31" ht="11.25" customHeight="1" x14ac:dyDescent="0.25"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</row>
    <row r="1022" spans="22:31" ht="11.25" customHeight="1" x14ac:dyDescent="0.25"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</row>
    <row r="1023" spans="22:31" ht="11.25" customHeight="1" x14ac:dyDescent="0.25"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</row>
    <row r="1024" spans="22:31" ht="11.25" customHeight="1" x14ac:dyDescent="0.25"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</row>
    <row r="1025" spans="22:31" ht="11.25" customHeight="1" x14ac:dyDescent="0.25"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</row>
    <row r="1026" spans="22:31" ht="11.25" customHeight="1" x14ac:dyDescent="0.25"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</row>
    <row r="1027" spans="22:31" ht="11.25" customHeight="1" x14ac:dyDescent="0.25"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</row>
    <row r="1028" spans="22:31" ht="11.25" customHeight="1" x14ac:dyDescent="0.25"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</row>
    <row r="1029" spans="22:31" ht="11.25" customHeight="1" x14ac:dyDescent="0.25"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</row>
    <row r="1030" spans="22:31" ht="11.25" customHeight="1" x14ac:dyDescent="0.25"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</row>
    <row r="1031" spans="22:31" ht="11.25" customHeight="1" x14ac:dyDescent="0.25"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</row>
    <row r="1032" spans="22:31" ht="11.25" customHeight="1" x14ac:dyDescent="0.25"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</row>
    <row r="1033" spans="22:31" ht="11.25" customHeight="1" x14ac:dyDescent="0.25"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</row>
    <row r="1034" spans="22:31" ht="11.25" customHeight="1" x14ac:dyDescent="0.25"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</row>
    <row r="1035" spans="22:31" ht="11.25" customHeight="1" x14ac:dyDescent="0.25"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</row>
    <row r="1036" spans="22:31" ht="11.25" customHeight="1" x14ac:dyDescent="0.25"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</row>
    <row r="1037" spans="22:31" ht="11.25" customHeight="1" x14ac:dyDescent="0.25"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</row>
    <row r="1038" spans="22:31" ht="11.25" customHeight="1" x14ac:dyDescent="0.25"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</row>
    <row r="1039" spans="22:31" ht="11.25" customHeight="1" x14ac:dyDescent="0.25"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</row>
    <row r="1040" spans="22:31" ht="11.25" customHeight="1" x14ac:dyDescent="0.25"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</row>
    <row r="1041" spans="22:31" ht="11.25" customHeight="1" x14ac:dyDescent="0.25"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</row>
    <row r="1042" spans="22:31" ht="11.25" customHeight="1" x14ac:dyDescent="0.25"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</row>
    <row r="1043" spans="22:31" ht="11.25" customHeight="1" x14ac:dyDescent="0.25"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</row>
    <row r="1044" spans="22:31" ht="11.25" customHeight="1" x14ac:dyDescent="0.25"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</row>
    <row r="1045" spans="22:31" ht="11.25" customHeight="1" x14ac:dyDescent="0.25"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</row>
    <row r="1046" spans="22:31" ht="11.25" customHeight="1" x14ac:dyDescent="0.25"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</row>
    <row r="1047" spans="22:31" ht="11.25" customHeight="1" x14ac:dyDescent="0.25"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</row>
    <row r="1048" spans="22:31" ht="11.25" customHeight="1" x14ac:dyDescent="0.25"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</row>
    <row r="1049" spans="22:31" ht="11.25" customHeight="1" x14ac:dyDescent="0.25"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</row>
    <row r="1050" spans="22:31" ht="11.25" customHeight="1" x14ac:dyDescent="0.25"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</row>
    <row r="1051" spans="22:31" ht="11.25" customHeight="1" x14ac:dyDescent="0.25"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</row>
    <row r="1052" spans="22:31" ht="11.25" customHeight="1" x14ac:dyDescent="0.25"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</row>
    <row r="1053" spans="22:31" ht="11.25" customHeight="1" x14ac:dyDescent="0.25"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</row>
    <row r="1054" spans="22:31" ht="11.25" customHeight="1" x14ac:dyDescent="0.25"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</row>
    <row r="1055" spans="22:31" ht="11.25" customHeight="1" x14ac:dyDescent="0.25"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</row>
    <row r="1056" spans="22:31" ht="11.25" customHeight="1" x14ac:dyDescent="0.25"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</row>
    <row r="1057" spans="22:31" ht="11.25" customHeight="1" x14ac:dyDescent="0.25"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</row>
    <row r="1058" spans="22:31" ht="11.25" customHeight="1" x14ac:dyDescent="0.25"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</row>
    <row r="1059" spans="22:31" ht="11.25" customHeight="1" x14ac:dyDescent="0.25"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</row>
    <row r="1060" spans="22:31" ht="11.25" customHeight="1" x14ac:dyDescent="0.25"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</row>
    <row r="1061" spans="22:31" ht="11.25" customHeight="1" x14ac:dyDescent="0.25"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</row>
    <row r="1062" spans="22:31" ht="11.25" customHeight="1" x14ac:dyDescent="0.25"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</row>
    <row r="1063" spans="22:31" ht="11.25" customHeight="1" x14ac:dyDescent="0.25"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</row>
    <row r="1064" spans="22:31" ht="11.25" customHeight="1" x14ac:dyDescent="0.25"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</row>
    <row r="1065" spans="22:31" ht="11.25" customHeight="1" x14ac:dyDescent="0.25"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</row>
    <row r="1066" spans="22:31" ht="11.25" customHeight="1" x14ac:dyDescent="0.25"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</row>
    <row r="1067" spans="22:31" ht="11.25" customHeight="1" x14ac:dyDescent="0.25"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</row>
    <row r="1068" spans="22:31" ht="11.25" customHeight="1" x14ac:dyDescent="0.25"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</row>
    <row r="1069" spans="22:31" ht="11.25" customHeight="1" x14ac:dyDescent="0.25"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</row>
    <row r="1070" spans="22:31" ht="11.25" customHeight="1" x14ac:dyDescent="0.25"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</row>
    <row r="1071" spans="22:31" ht="11.25" customHeight="1" x14ac:dyDescent="0.25"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</row>
    <row r="1072" spans="22:31" ht="11.25" customHeight="1" x14ac:dyDescent="0.25"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</row>
    <row r="1073" spans="22:31" ht="11.25" customHeight="1" x14ac:dyDescent="0.25"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</row>
    <row r="1074" spans="22:31" ht="11.25" customHeight="1" x14ac:dyDescent="0.25"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</row>
    <row r="1075" spans="22:31" ht="11.25" customHeight="1" x14ac:dyDescent="0.25"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</row>
    <row r="1076" spans="22:31" ht="11.25" customHeight="1" x14ac:dyDescent="0.25"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</row>
    <row r="1077" spans="22:31" ht="11.25" customHeight="1" x14ac:dyDescent="0.25"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</row>
    <row r="1078" spans="22:31" ht="11.25" customHeight="1" x14ac:dyDescent="0.25"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</row>
    <row r="1079" spans="22:31" ht="11.25" customHeight="1" x14ac:dyDescent="0.25"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</row>
    <row r="1080" spans="22:31" ht="11.25" customHeight="1" x14ac:dyDescent="0.25"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</row>
    <row r="1081" spans="22:31" ht="11.25" customHeight="1" x14ac:dyDescent="0.25"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</row>
    <row r="1082" spans="22:31" ht="11.25" customHeight="1" x14ac:dyDescent="0.25"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</row>
    <row r="1083" spans="22:31" ht="11.25" customHeight="1" x14ac:dyDescent="0.25"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</row>
    <row r="1084" spans="22:31" ht="11.25" customHeight="1" x14ac:dyDescent="0.25"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</row>
    <row r="1085" spans="22:31" ht="11.25" customHeight="1" x14ac:dyDescent="0.25"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</row>
    <row r="1086" spans="22:31" ht="11.25" customHeight="1" x14ac:dyDescent="0.25"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</row>
    <row r="1087" spans="22:31" ht="11.25" customHeight="1" x14ac:dyDescent="0.25"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</row>
    <row r="1088" spans="22:31" ht="11.25" customHeight="1" x14ac:dyDescent="0.25"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</row>
    <row r="1089" spans="22:31" ht="11.25" customHeight="1" x14ac:dyDescent="0.25"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</row>
    <row r="1090" spans="22:31" ht="11.25" customHeight="1" x14ac:dyDescent="0.25"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</row>
    <row r="1091" spans="22:31" ht="11.25" customHeight="1" x14ac:dyDescent="0.25"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</row>
    <row r="1092" spans="22:31" ht="11.25" customHeight="1" x14ac:dyDescent="0.25"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</row>
    <row r="1093" spans="22:31" ht="11.25" customHeight="1" x14ac:dyDescent="0.25"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</row>
    <row r="1094" spans="22:31" ht="11.25" customHeight="1" x14ac:dyDescent="0.25"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</row>
    <row r="1095" spans="22:31" ht="11.25" customHeight="1" x14ac:dyDescent="0.25"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</row>
    <row r="1096" spans="22:31" ht="11.25" customHeight="1" x14ac:dyDescent="0.25"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</row>
    <row r="1097" spans="22:31" ht="11.25" customHeight="1" x14ac:dyDescent="0.25"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</row>
    <row r="1098" spans="22:31" ht="11.25" customHeight="1" x14ac:dyDescent="0.25"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</row>
    <row r="1099" spans="22:31" ht="11.25" customHeight="1" x14ac:dyDescent="0.25"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</row>
    <row r="1100" spans="22:31" ht="11.25" customHeight="1" x14ac:dyDescent="0.25"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</row>
    <row r="1101" spans="22:31" ht="11.25" customHeight="1" x14ac:dyDescent="0.25"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</row>
    <row r="1102" spans="22:31" ht="11.25" customHeight="1" x14ac:dyDescent="0.25"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</row>
    <row r="1103" spans="22:31" ht="11.25" customHeight="1" x14ac:dyDescent="0.25"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</row>
    <row r="1104" spans="22:31" ht="11.25" customHeight="1" x14ac:dyDescent="0.25"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</row>
    <row r="1105" spans="22:31" ht="11.25" customHeight="1" x14ac:dyDescent="0.25"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</row>
    <row r="1106" spans="22:31" ht="11.25" customHeight="1" x14ac:dyDescent="0.25"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</row>
    <row r="1107" spans="22:31" ht="11.25" customHeight="1" x14ac:dyDescent="0.25"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</row>
    <row r="1108" spans="22:31" ht="11.25" customHeight="1" x14ac:dyDescent="0.25"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</row>
    <row r="1109" spans="22:31" ht="11.25" customHeight="1" x14ac:dyDescent="0.25"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</row>
    <row r="1110" spans="22:31" ht="11.25" customHeight="1" x14ac:dyDescent="0.25"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</row>
    <row r="1111" spans="22:31" ht="11.25" customHeight="1" x14ac:dyDescent="0.25"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</row>
    <row r="1112" spans="22:31" ht="11.25" customHeight="1" x14ac:dyDescent="0.25"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</row>
    <row r="1113" spans="22:31" ht="11.25" customHeight="1" x14ac:dyDescent="0.25"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</row>
    <row r="1114" spans="22:31" ht="11.25" customHeight="1" x14ac:dyDescent="0.25"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</row>
    <row r="1115" spans="22:31" ht="11.25" customHeight="1" x14ac:dyDescent="0.25"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</row>
    <row r="1116" spans="22:31" ht="11.25" customHeight="1" x14ac:dyDescent="0.25"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</row>
    <row r="1117" spans="22:31" ht="11.25" customHeight="1" x14ac:dyDescent="0.25"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</row>
    <row r="1118" spans="22:31" ht="11.25" customHeight="1" x14ac:dyDescent="0.25"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</row>
    <row r="1119" spans="22:31" ht="11.25" customHeight="1" x14ac:dyDescent="0.25"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</row>
    <row r="1120" spans="22:31" ht="11.25" customHeight="1" x14ac:dyDescent="0.25"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</row>
    <row r="1121" spans="22:31" ht="11.25" customHeight="1" x14ac:dyDescent="0.25"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</row>
    <row r="1122" spans="22:31" ht="11.25" customHeight="1" x14ac:dyDescent="0.25"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</row>
    <row r="1123" spans="22:31" ht="11.25" customHeight="1" x14ac:dyDescent="0.25"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</row>
    <row r="1124" spans="22:31" ht="11.25" customHeight="1" x14ac:dyDescent="0.25"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</row>
    <row r="1125" spans="22:31" ht="11.25" customHeight="1" x14ac:dyDescent="0.25"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</row>
    <row r="1126" spans="22:31" ht="11.25" customHeight="1" x14ac:dyDescent="0.25"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</row>
    <row r="1127" spans="22:31" ht="11.25" customHeight="1" x14ac:dyDescent="0.25"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</row>
    <row r="1128" spans="22:31" ht="11.25" customHeight="1" x14ac:dyDescent="0.25"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</row>
    <row r="1129" spans="22:31" ht="11.25" customHeight="1" x14ac:dyDescent="0.25"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</row>
    <row r="1130" spans="22:31" ht="11.25" customHeight="1" x14ac:dyDescent="0.25"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</row>
    <row r="1131" spans="22:31" ht="11.25" customHeight="1" x14ac:dyDescent="0.25"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</row>
    <row r="1132" spans="22:31" ht="11.25" customHeight="1" x14ac:dyDescent="0.25"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</row>
    <row r="1133" spans="22:31" ht="11.25" customHeight="1" x14ac:dyDescent="0.25"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</row>
    <row r="1134" spans="22:31" ht="11.25" customHeight="1" x14ac:dyDescent="0.25"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</row>
    <row r="1135" spans="22:31" ht="11.25" customHeight="1" x14ac:dyDescent="0.25"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</row>
    <row r="1136" spans="22:31" ht="11.25" customHeight="1" x14ac:dyDescent="0.25"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</row>
    <row r="1137" spans="22:31" ht="11.25" customHeight="1" x14ac:dyDescent="0.25"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</row>
    <row r="1138" spans="22:31" ht="11.25" customHeight="1" x14ac:dyDescent="0.25"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</row>
    <row r="1139" spans="22:31" ht="11.25" customHeight="1" x14ac:dyDescent="0.25"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</row>
    <row r="1140" spans="22:31" ht="11.25" customHeight="1" x14ac:dyDescent="0.25"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</row>
    <row r="1141" spans="22:31" ht="11.25" customHeight="1" x14ac:dyDescent="0.25"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</row>
    <row r="1142" spans="22:31" ht="11.25" customHeight="1" x14ac:dyDescent="0.25"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</row>
    <row r="1143" spans="22:31" ht="11.25" customHeight="1" x14ac:dyDescent="0.25"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</row>
    <row r="1144" spans="22:31" ht="11.25" customHeight="1" x14ac:dyDescent="0.25"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</row>
    <row r="1145" spans="22:31" ht="11.25" customHeight="1" x14ac:dyDescent="0.25"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</row>
    <row r="1146" spans="22:31" ht="11.25" customHeight="1" x14ac:dyDescent="0.25"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</row>
    <row r="1147" spans="22:31" ht="11.25" customHeight="1" x14ac:dyDescent="0.25"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</row>
    <row r="1148" spans="22:31" ht="11.25" customHeight="1" x14ac:dyDescent="0.25"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</row>
    <row r="1149" spans="22:31" ht="11.25" customHeight="1" x14ac:dyDescent="0.25"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</row>
    <row r="1150" spans="22:31" ht="11.25" customHeight="1" x14ac:dyDescent="0.25"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</row>
    <row r="1151" spans="22:31" ht="11.25" customHeight="1" x14ac:dyDescent="0.25"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</row>
    <row r="1152" spans="22:31" ht="11.25" customHeight="1" x14ac:dyDescent="0.25"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</row>
    <row r="1153" spans="22:31" ht="11.25" customHeight="1" x14ac:dyDescent="0.25"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</row>
    <row r="1154" spans="22:31" ht="11.25" customHeight="1" x14ac:dyDescent="0.25"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</row>
    <row r="1155" spans="22:31" ht="11.25" customHeight="1" x14ac:dyDescent="0.25"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</row>
    <row r="1156" spans="22:31" ht="11.25" customHeight="1" x14ac:dyDescent="0.25"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</row>
    <row r="1157" spans="22:31" ht="11.25" customHeight="1" x14ac:dyDescent="0.25"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</row>
    <row r="1158" spans="22:31" ht="11.25" customHeight="1" x14ac:dyDescent="0.25"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</row>
    <row r="1159" spans="22:31" ht="11.25" customHeight="1" x14ac:dyDescent="0.25"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</row>
    <row r="1160" spans="22:31" ht="11.25" customHeight="1" x14ac:dyDescent="0.25"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</row>
    <row r="1161" spans="22:31" ht="11.25" customHeight="1" x14ac:dyDescent="0.25"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</row>
    <row r="1162" spans="22:31" ht="11.25" customHeight="1" x14ac:dyDescent="0.25"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</row>
    <row r="1163" spans="22:31" ht="11.25" customHeight="1" x14ac:dyDescent="0.25"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</row>
    <row r="1164" spans="22:31" ht="11.25" customHeight="1" x14ac:dyDescent="0.25"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</row>
    <row r="1165" spans="22:31" ht="11.25" customHeight="1" x14ac:dyDescent="0.25"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</row>
    <row r="1166" spans="22:31" ht="11.25" customHeight="1" x14ac:dyDescent="0.25"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</row>
    <row r="1167" spans="22:31" ht="11.25" customHeight="1" x14ac:dyDescent="0.25"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</row>
    <row r="1168" spans="22:31" ht="11.25" customHeight="1" x14ac:dyDescent="0.25"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</row>
    <row r="1169" spans="22:31" ht="11.25" customHeight="1" x14ac:dyDescent="0.25"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</row>
    <row r="1170" spans="22:31" ht="11.25" customHeight="1" x14ac:dyDescent="0.25"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</row>
    <row r="1171" spans="22:31" ht="11.25" customHeight="1" x14ac:dyDescent="0.25"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</row>
    <row r="1172" spans="22:31" ht="11.25" customHeight="1" x14ac:dyDescent="0.25"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</row>
    <row r="1173" spans="22:31" ht="11.25" customHeight="1" x14ac:dyDescent="0.25"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</row>
    <row r="1174" spans="22:31" ht="11.25" customHeight="1" x14ac:dyDescent="0.25"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</row>
    <row r="1175" spans="22:31" ht="11.25" customHeight="1" x14ac:dyDescent="0.25"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</row>
    <row r="1176" spans="22:31" ht="11.25" customHeight="1" x14ac:dyDescent="0.25"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</row>
    <row r="1177" spans="22:31" ht="11.25" customHeight="1" x14ac:dyDescent="0.25"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</row>
    <row r="1178" spans="22:31" ht="11.25" customHeight="1" x14ac:dyDescent="0.25"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</row>
    <row r="1179" spans="22:31" ht="11.25" customHeight="1" x14ac:dyDescent="0.25"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</row>
    <row r="1180" spans="22:31" ht="11.25" customHeight="1" x14ac:dyDescent="0.25"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</row>
    <row r="1181" spans="22:31" ht="11.25" customHeight="1" x14ac:dyDescent="0.25"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</row>
    <row r="1182" spans="22:31" ht="11.25" customHeight="1" x14ac:dyDescent="0.25"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</row>
    <row r="1183" spans="22:31" ht="11.25" customHeight="1" x14ac:dyDescent="0.25"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</row>
    <row r="1184" spans="22:31" ht="11.25" customHeight="1" x14ac:dyDescent="0.25"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</row>
    <row r="1185" spans="22:31" ht="11.25" customHeight="1" x14ac:dyDescent="0.25"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</row>
    <row r="1186" spans="22:31" ht="11.25" customHeight="1" x14ac:dyDescent="0.25"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</row>
    <row r="1187" spans="22:31" ht="11.25" customHeight="1" x14ac:dyDescent="0.25"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</row>
    <row r="1188" spans="22:31" ht="11.25" customHeight="1" x14ac:dyDescent="0.25"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</row>
    <row r="1189" spans="22:31" ht="11.25" customHeight="1" x14ac:dyDescent="0.25"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</row>
    <row r="1190" spans="22:31" ht="11.25" customHeight="1" x14ac:dyDescent="0.25"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</row>
    <row r="1191" spans="22:31" ht="11.25" customHeight="1" x14ac:dyDescent="0.25"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</row>
    <row r="1192" spans="22:31" ht="11.25" customHeight="1" x14ac:dyDescent="0.25"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</row>
    <row r="1193" spans="22:31" ht="11.25" customHeight="1" x14ac:dyDescent="0.25"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</row>
    <row r="1194" spans="22:31" ht="11.25" customHeight="1" x14ac:dyDescent="0.25"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</row>
    <row r="1195" spans="22:31" ht="11.25" customHeight="1" x14ac:dyDescent="0.25"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</row>
    <row r="1196" spans="22:31" ht="11.25" customHeight="1" x14ac:dyDescent="0.25"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</row>
    <row r="1197" spans="22:31" ht="11.25" customHeight="1" x14ac:dyDescent="0.25"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</row>
    <row r="1198" spans="22:31" ht="11.25" customHeight="1" x14ac:dyDescent="0.25"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</row>
    <row r="1199" spans="22:31" ht="11.25" customHeight="1" x14ac:dyDescent="0.25"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</row>
    <row r="1200" spans="22:31" ht="11.25" customHeight="1" x14ac:dyDescent="0.25"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</row>
    <row r="1201" spans="22:31" ht="11.25" customHeight="1" x14ac:dyDescent="0.25"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</row>
    <row r="1202" spans="22:31" ht="11.25" customHeight="1" x14ac:dyDescent="0.25"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</row>
    <row r="1203" spans="22:31" ht="11.25" customHeight="1" x14ac:dyDescent="0.25"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</row>
    <row r="1204" spans="22:31" ht="11.25" customHeight="1" x14ac:dyDescent="0.25"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</row>
    <row r="1205" spans="22:31" ht="11.25" customHeight="1" x14ac:dyDescent="0.25"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</row>
    <row r="1206" spans="22:31" ht="11.25" customHeight="1" x14ac:dyDescent="0.25"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</row>
    <row r="1207" spans="22:31" ht="11.25" customHeight="1" x14ac:dyDescent="0.25"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</row>
    <row r="1208" spans="22:31" ht="11.25" customHeight="1" x14ac:dyDescent="0.25"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</row>
    <row r="1209" spans="22:31" ht="11.25" customHeight="1" x14ac:dyDescent="0.25"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</row>
    <row r="1210" spans="22:31" ht="11.25" customHeight="1" x14ac:dyDescent="0.25"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</row>
    <row r="1211" spans="22:31" ht="11.25" customHeight="1" x14ac:dyDescent="0.25"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</row>
    <row r="1212" spans="22:31" ht="11.25" customHeight="1" x14ac:dyDescent="0.25"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</row>
    <row r="1213" spans="22:31" ht="11.25" customHeight="1" x14ac:dyDescent="0.25"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</row>
    <row r="1214" spans="22:31" ht="11.25" customHeight="1" x14ac:dyDescent="0.25"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</row>
    <row r="1215" spans="22:31" ht="11.25" customHeight="1" x14ac:dyDescent="0.25"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</row>
    <row r="1216" spans="22:31" ht="11.25" customHeight="1" x14ac:dyDescent="0.25"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</row>
    <row r="1217" spans="22:31" ht="11.25" customHeight="1" x14ac:dyDescent="0.25"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</row>
    <row r="1218" spans="22:31" ht="11.25" customHeight="1" x14ac:dyDescent="0.25"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</row>
    <row r="1219" spans="22:31" ht="11.25" customHeight="1" x14ac:dyDescent="0.25"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</row>
    <row r="1220" spans="22:31" ht="11.25" customHeight="1" x14ac:dyDescent="0.25"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</row>
    <row r="1221" spans="22:31" ht="11.25" customHeight="1" x14ac:dyDescent="0.25"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</row>
    <row r="1222" spans="22:31" ht="11.25" customHeight="1" x14ac:dyDescent="0.25"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</row>
    <row r="1223" spans="22:31" ht="11.25" customHeight="1" x14ac:dyDescent="0.25"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</row>
    <row r="1224" spans="22:31" ht="11.25" customHeight="1" x14ac:dyDescent="0.25"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</row>
    <row r="1225" spans="22:31" ht="11.25" customHeight="1" x14ac:dyDescent="0.25"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</row>
    <row r="1226" spans="22:31" ht="11.25" customHeight="1" x14ac:dyDescent="0.25"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</row>
    <row r="1227" spans="22:31" ht="11.25" customHeight="1" x14ac:dyDescent="0.25"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</row>
    <row r="1228" spans="22:31" ht="11.25" customHeight="1" x14ac:dyDescent="0.25"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</row>
    <row r="1229" spans="22:31" ht="11.25" customHeight="1" x14ac:dyDescent="0.25"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</row>
    <row r="1230" spans="22:31" ht="11.25" customHeight="1" x14ac:dyDescent="0.25"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</row>
    <row r="1231" spans="22:31" ht="11.25" customHeight="1" x14ac:dyDescent="0.25"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</row>
    <row r="1232" spans="22:31" ht="11.25" customHeight="1" x14ac:dyDescent="0.25"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</row>
    <row r="1233" spans="22:31" ht="11.25" customHeight="1" x14ac:dyDescent="0.25"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</row>
    <row r="1234" spans="22:31" ht="11.25" customHeight="1" x14ac:dyDescent="0.25"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</row>
    <row r="1235" spans="22:31" ht="11.25" customHeight="1" x14ac:dyDescent="0.25"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</row>
    <row r="1236" spans="22:31" ht="11.25" customHeight="1" x14ac:dyDescent="0.25"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</row>
    <row r="1237" spans="22:31" ht="11.25" customHeight="1" x14ac:dyDescent="0.25"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</row>
    <row r="1238" spans="22:31" ht="11.25" customHeight="1" x14ac:dyDescent="0.25"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</row>
    <row r="1239" spans="22:31" ht="11.25" customHeight="1" x14ac:dyDescent="0.25"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</row>
    <row r="1240" spans="22:31" ht="11.25" customHeight="1" x14ac:dyDescent="0.25"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</row>
    <row r="1241" spans="22:31" ht="11.25" customHeight="1" x14ac:dyDescent="0.25"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</row>
    <row r="1242" spans="22:31" ht="11.25" customHeight="1" x14ac:dyDescent="0.25"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</row>
    <row r="1243" spans="22:31" ht="11.25" customHeight="1" x14ac:dyDescent="0.25"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</row>
    <row r="1244" spans="22:31" ht="11.25" customHeight="1" x14ac:dyDescent="0.25"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</row>
    <row r="1245" spans="22:31" ht="11.25" customHeight="1" x14ac:dyDescent="0.25"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</row>
    <row r="1246" spans="22:31" ht="11.25" customHeight="1" x14ac:dyDescent="0.25"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</row>
    <row r="1247" spans="22:31" ht="11.25" customHeight="1" x14ac:dyDescent="0.25"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</row>
    <row r="1248" spans="22:31" ht="11.25" customHeight="1" x14ac:dyDescent="0.25"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</row>
    <row r="1249" spans="22:31" ht="11.25" customHeight="1" x14ac:dyDescent="0.25"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</row>
    <row r="1250" spans="22:31" ht="11.25" customHeight="1" x14ac:dyDescent="0.25"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</row>
    <row r="1251" spans="22:31" ht="11.25" customHeight="1" x14ac:dyDescent="0.25"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</row>
    <row r="1252" spans="22:31" ht="11.25" customHeight="1" x14ac:dyDescent="0.25"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</row>
    <row r="1253" spans="22:31" ht="11.25" customHeight="1" x14ac:dyDescent="0.25"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</row>
    <row r="1254" spans="22:31" ht="11.25" customHeight="1" x14ac:dyDescent="0.25"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</row>
    <row r="1255" spans="22:31" ht="11.25" customHeight="1" x14ac:dyDescent="0.25"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</row>
    <row r="1256" spans="22:31" ht="11.25" customHeight="1" x14ac:dyDescent="0.25"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</row>
    <row r="1257" spans="22:31" ht="11.25" customHeight="1" x14ac:dyDescent="0.25"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</row>
    <row r="1258" spans="22:31" ht="11.25" customHeight="1" x14ac:dyDescent="0.25"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</row>
    <row r="1259" spans="22:31" ht="11.25" customHeight="1" x14ac:dyDescent="0.25"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</row>
    <row r="1260" spans="22:31" ht="11.25" customHeight="1" x14ac:dyDescent="0.25"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</row>
    <row r="1261" spans="22:31" ht="11.25" customHeight="1" x14ac:dyDescent="0.25"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</row>
    <row r="1262" spans="22:31" ht="11.25" customHeight="1" x14ac:dyDescent="0.25"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</row>
    <row r="1263" spans="22:31" ht="11.25" customHeight="1" x14ac:dyDescent="0.25"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</row>
    <row r="1264" spans="22:31" ht="11.25" customHeight="1" x14ac:dyDescent="0.25"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</row>
    <row r="1265" spans="22:31" ht="11.25" customHeight="1" x14ac:dyDescent="0.25"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</row>
    <row r="1266" spans="22:31" ht="11.25" customHeight="1" x14ac:dyDescent="0.25"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</row>
    <row r="1267" spans="22:31" ht="11.25" customHeight="1" x14ac:dyDescent="0.25"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</row>
    <row r="1268" spans="22:31" ht="11.25" customHeight="1" x14ac:dyDescent="0.25"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</row>
    <row r="1269" spans="22:31" ht="11.25" customHeight="1" x14ac:dyDescent="0.25"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</row>
    <row r="1270" spans="22:31" ht="11.25" customHeight="1" x14ac:dyDescent="0.25"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</row>
    <row r="1271" spans="22:31" ht="11.25" customHeight="1" x14ac:dyDescent="0.25"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</row>
    <row r="1272" spans="22:31" ht="11.25" customHeight="1" x14ac:dyDescent="0.25"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</row>
    <row r="1273" spans="22:31" ht="11.25" customHeight="1" x14ac:dyDescent="0.25"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</row>
    <row r="1274" spans="22:31" ht="11.25" customHeight="1" x14ac:dyDescent="0.25"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</row>
    <row r="1275" spans="22:31" ht="11.25" customHeight="1" x14ac:dyDescent="0.25"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</row>
    <row r="1276" spans="22:31" ht="11.25" customHeight="1" x14ac:dyDescent="0.25"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</row>
    <row r="1277" spans="22:31" ht="11.25" customHeight="1" x14ac:dyDescent="0.25"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</row>
    <row r="1278" spans="22:31" ht="11.25" customHeight="1" x14ac:dyDescent="0.25"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</row>
    <row r="1279" spans="22:31" ht="11.25" customHeight="1" x14ac:dyDescent="0.25"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</row>
    <row r="1280" spans="22:31" ht="11.25" customHeight="1" x14ac:dyDescent="0.25"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</row>
    <row r="1281" spans="22:31" ht="11.25" customHeight="1" x14ac:dyDescent="0.25"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</row>
    <row r="1282" spans="22:31" ht="11.25" customHeight="1" x14ac:dyDescent="0.25"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</row>
    <row r="1283" spans="22:31" ht="11.25" customHeight="1" x14ac:dyDescent="0.25"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</row>
    <row r="1284" spans="22:31" ht="11.25" customHeight="1" x14ac:dyDescent="0.25"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</row>
    <row r="1285" spans="22:31" ht="11.25" customHeight="1" x14ac:dyDescent="0.25"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</row>
    <row r="1286" spans="22:31" ht="11.25" customHeight="1" x14ac:dyDescent="0.25"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</row>
    <row r="1287" spans="22:31" ht="11.25" customHeight="1" x14ac:dyDescent="0.25"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</row>
    <row r="1288" spans="22:31" ht="11.25" customHeight="1" x14ac:dyDescent="0.25"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</row>
    <row r="1289" spans="22:31" ht="11.25" customHeight="1" x14ac:dyDescent="0.25"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</row>
    <row r="1290" spans="22:31" ht="11.25" customHeight="1" x14ac:dyDescent="0.25"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</row>
    <row r="1291" spans="22:31" ht="11.25" customHeight="1" x14ac:dyDescent="0.25"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</row>
    <row r="1292" spans="22:31" ht="11.25" customHeight="1" x14ac:dyDescent="0.25"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</row>
    <row r="1293" spans="22:31" ht="11.25" customHeight="1" x14ac:dyDescent="0.25"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</row>
    <row r="1294" spans="22:31" ht="11.25" customHeight="1" x14ac:dyDescent="0.25"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</row>
    <row r="1295" spans="22:31" ht="11.25" customHeight="1" x14ac:dyDescent="0.25"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</row>
    <row r="1296" spans="22:31" ht="11.25" customHeight="1" x14ac:dyDescent="0.25"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</row>
    <row r="1297" spans="22:31" ht="11.25" customHeight="1" x14ac:dyDescent="0.25"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</row>
    <row r="1298" spans="22:31" ht="11.25" customHeight="1" x14ac:dyDescent="0.25"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</row>
    <row r="1299" spans="22:31" ht="11.25" customHeight="1" x14ac:dyDescent="0.25"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</row>
    <row r="1300" spans="22:31" ht="11.25" customHeight="1" x14ac:dyDescent="0.25"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</row>
    <row r="1301" spans="22:31" ht="11.25" customHeight="1" x14ac:dyDescent="0.25"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</row>
    <row r="1302" spans="22:31" ht="11.25" customHeight="1" x14ac:dyDescent="0.25"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</row>
    <row r="1303" spans="22:31" ht="11.25" customHeight="1" x14ac:dyDescent="0.25"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</row>
    <row r="1304" spans="22:31" ht="11.25" customHeight="1" x14ac:dyDescent="0.25"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</row>
    <row r="1305" spans="22:31" ht="11.25" customHeight="1" x14ac:dyDescent="0.25"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</row>
    <row r="1306" spans="22:31" ht="11.25" customHeight="1" x14ac:dyDescent="0.25"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</row>
    <row r="1307" spans="22:31" ht="11.25" customHeight="1" x14ac:dyDescent="0.25"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</row>
    <row r="1308" spans="22:31" ht="11.25" customHeight="1" x14ac:dyDescent="0.25"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</row>
    <row r="1309" spans="22:31" ht="11.25" customHeight="1" x14ac:dyDescent="0.25"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</row>
    <row r="1310" spans="22:31" ht="11.25" customHeight="1" x14ac:dyDescent="0.25"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</row>
    <row r="1311" spans="22:31" ht="11.25" customHeight="1" x14ac:dyDescent="0.25"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</row>
    <row r="1312" spans="22:31" ht="11.25" customHeight="1" x14ac:dyDescent="0.25"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</row>
    <row r="1313" spans="22:31" ht="11.25" customHeight="1" x14ac:dyDescent="0.25"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</row>
    <row r="1314" spans="22:31" ht="11.25" customHeight="1" x14ac:dyDescent="0.25"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</row>
    <row r="1315" spans="22:31" ht="11.25" customHeight="1" x14ac:dyDescent="0.25"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</row>
    <row r="1316" spans="22:31" ht="11.25" customHeight="1" x14ac:dyDescent="0.25"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</row>
    <row r="1317" spans="22:31" ht="11.25" customHeight="1" x14ac:dyDescent="0.25"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</row>
    <row r="1318" spans="22:31" ht="11.25" customHeight="1" x14ac:dyDescent="0.25"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</row>
    <row r="1319" spans="22:31" ht="11.25" customHeight="1" x14ac:dyDescent="0.25"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</row>
    <row r="1320" spans="22:31" ht="11.25" customHeight="1" x14ac:dyDescent="0.25"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</row>
    <row r="1321" spans="22:31" ht="11.25" customHeight="1" x14ac:dyDescent="0.25"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</row>
    <row r="1322" spans="22:31" ht="11.25" customHeight="1" x14ac:dyDescent="0.25"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</row>
    <row r="1323" spans="22:31" ht="11.25" customHeight="1" x14ac:dyDescent="0.25"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</row>
    <row r="1324" spans="22:31" ht="11.25" customHeight="1" x14ac:dyDescent="0.25"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</row>
    <row r="1325" spans="22:31" ht="11.25" customHeight="1" x14ac:dyDescent="0.25"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</row>
    <row r="1326" spans="22:31" ht="11.25" customHeight="1" x14ac:dyDescent="0.25"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</row>
    <row r="1327" spans="22:31" ht="11.25" customHeight="1" x14ac:dyDescent="0.25"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</row>
    <row r="1328" spans="22:31" ht="11.25" customHeight="1" x14ac:dyDescent="0.25"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</row>
    <row r="1329" spans="22:31" ht="11.25" customHeight="1" x14ac:dyDescent="0.25"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</row>
    <row r="1330" spans="22:31" ht="11.25" customHeight="1" x14ac:dyDescent="0.25"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</row>
    <row r="1331" spans="22:31" ht="11.25" customHeight="1" x14ac:dyDescent="0.25"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</row>
    <row r="1332" spans="22:31" ht="11.25" customHeight="1" x14ac:dyDescent="0.25"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</row>
    <row r="1333" spans="22:31" ht="11.25" customHeight="1" x14ac:dyDescent="0.25"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</row>
    <row r="1334" spans="22:31" ht="11.25" customHeight="1" x14ac:dyDescent="0.25"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</row>
    <row r="1335" spans="22:31" ht="11.25" customHeight="1" x14ac:dyDescent="0.25"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</row>
    <row r="1336" spans="22:31" ht="11.25" customHeight="1" x14ac:dyDescent="0.25"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</row>
    <row r="1337" spans="22:31" ht="11.25" customHeight="1" x14ac:dyDescent="0.25"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</row>
    <row r="1338" spans="22:31" ht="11.25" customHeight="1" x14ac:dyDescent="0.25"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</row>
    <row r="1339" spans="22:31" ht="11.25" customHeight="1" x14ac:dyDescent="0.25"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</row>
    <row r="1340" spans="22:31" ht="11.25" customHeight="1" x14ac:dyDescent="0.25"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</row>
    <row r="1341" spans="22:31" ht="11.25" customHeight="1" x14ac:dyDescent="0.25"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</row>
    <row r="1342" spans="22:31" ht="11.25" customHeight="1" x14ac:dyDescent="0.25"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</row>
    <row r="1343" spans="22:31" ht="11.25" customHeight="1" x14ac:dyDescent="0.25"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</row>
    <row r="1344" spans="22:31" ht="11.25" customHeight="1" x14ac:dyDescent="0.25"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</row>
    <row r="1345" spans="22:31" ht="11.25" customHeight="1" x14ac:dyDescent="0.25"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</row>
    <row r="1346" spans="22:31" ht="11.25" customHeight="1" x14ac:dyDescent="0.25"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</row>
    <row r="1347" spans="22:31" ht="11.25" customHeight="1" x14ac:dyDescent="0.25"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</row>
    <row r="1348" spans="22:31" ht="11.25" customHeight="1" x14ac:dyDescent="0.25"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</row>
    <row r="1349" spans="22:31" ht="11.25" customHeight="1" x14ac:dyDescent="0.25"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</row>
    <row r="1350" spans="22:31" ht="11.25" customHeight="1" x14ac:dyDescent="0.25"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</row>
    <row r="1351" spans="22:31" ht="11.25" customHeight="1" x14ac:dyDescent="0.25"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</row>
    <row r="1352" spans="22:31" ht="11.25" customHeight="1" x14ac:dyDescent="0.25"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</row>
    <row r="1353" spans="22:31" ht="11.25" customHeight="1" x14ac:dyDescent="0.25"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</row>
    <row r="1354" spans="22:31" ht="11.25" customHeight="1" x14ac:dyDescent="0.25"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</row>
    <row r="1355" spans="22:31" ht="11.25" customHeight="1" x14ac:dyDescent="0.25"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</row>
    <row r="1356" spans="22:31" ht="11.25" customHeight="1" x14ac:dyDescent="0.25"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</row>
    <row r="1357" spans="22:31" ht="11.25" customHeight="1" x14ac:dyDescent="0.25"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</row>
    <row r="1358" spans="22:31" ht="11.25" customHeight="1" x14ac:dyDescent="0.25"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</row>
    <row r="1359" spans="22:31" ht="11.25" customHeight="1" x14ac:dyDescent="0.25"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</row>
    <row r="1360" spans="22:31" ht="11.25" customHeight="1" x14ac:dyDescent="0.25"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</row>
    <row r="1361" spans="22:31" ht="11.25" customHeight="1" x14ac:dyDescent="0.25"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</row>
    <row r="1362" spans="22:31" ht="11.25" customHeight="1" x14ac:dyDescent="0.25"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</row>
    <row r="1363" spans="22:31" ht="11.25" customHeight="1" x14ac:dyDescent="0.25"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</row>
    <row r="1364" spans="22:31" ht="11.25" customHeight="1" x14ac:dyDescent="0.25"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</row>
    <row r="1365" spans="22:31" ht="11.25" customHeight="1" x14ac:dyDescent="0.25"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</row>
    <row r="1366" spans="22:31" ht="11.25" customHeight="1" x14ac:dyDescent="0.25"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</row>
    <row r="1367" spans="22:31" ht="11.25" customHeight="1" x14ac:dyDescent="0.25"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</row>
    <row r="1368" spans="22:31" ht="11.25" customHeight="1" x14ac:dyDescent="0.25"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</row>
    <row r="1369" spans="22:31" ht="11.25" customHeight="1" x14ac:dyDescent="0.25"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</row>
    <row r="1370" spans="22:31" ht="11.25" customHeight="1" x14ac:dyDescent="0.25"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</row>
    <row r="1371" spans="22:31" ht="11.25" customHeight="1" x14ac:dyDescent="0.25"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</row>
    <row r="1372" spans="22:31" ht="11.25" customHeight="1" x14ac:dyDescent="0.25"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</row>
    <row r="1373" spans="22:31" ht="11.25" customHeight="1" x14ac:dyDescent="0.25"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</row>
    <row r="1374" spans="22:31" ht="11.25" customHeight="1" x14ac:dyDescent="0.25"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</row>
    <row r="1375" spans="22:31" ht="11.25" customHeight="1" x14ac:dyDescent="0.25"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</row>
    <row r="1376" spans="22:31" ht="11.25" customHeight="1" x14ac:dyDescent="0.25"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</row>
    <row r="1377" spans="22:31" ht="11.25" customHeight="1" x14ac:dyDescent="0.25"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</row>
    <row r="1378" spans="22:31" ht="11.25" customHeight="1" x14ac:dyDescent="0.25"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</row>
    <row r="1379" spans="22:31" ht="11.25" customHeight="1" x14ac:dyDescent="0.25"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</row>
    <row r="1380" spans="22:31" ht="11.25" customHeight="1" x14ac:dyDescent="0.25"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</row>
    <row r="1381" spans="22:31" ht="11.25" customHeight="1" x14ac:dyDescent="0.25"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</row>
    <row r="1382" spans="22:31" ht="11.25" customHeight="1" x14ac:dyDescent="0.25"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</row>
    <row r="1383" spans="22:31" ht="11.25" customHeight="1" x14ac:dyDescent="0.25"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</row>
    <row r="1384" spans="22:31" ht="11.25" customHeight="1" x14ac:dyDescent="0.25"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</row>
    <row r="1385" spans="22:31" ht="11.25" customHeight="1" x14ac:dyDescent="0.25"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</row>
    <row r="1386" spans="22:31" ht="11.25" customHeight="1" x14ac:dyDescent="0.25"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</row>
    <row r="1387" spans="22:31" ht="11.25" customHeight="1" x14ac:dyDescent="0.25"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</row>
    <row r="1388" spans="22:31" ht="11.25" customHeight="1" x14ac:dyDescent="0.25"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</row>
    <row r="1389" spans="22:31" ht="11.25" customHeight="1" x14ac:dyDescent="0.25"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</row>
    <row r="1390" spans="22:31" ht="11.25" customHeight="1" x14ac:dyDescent="0.25"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</row>
    <row r="1391" spans="22:31" ht="11.25" customHeight="1" x14ac:dyDescent="0.25"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</row>
    <row r="1392" spans="22:31" ht="11.25" customHeight="1" x14ac:dyDescent="0.25"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</row>
    <row r="1393" spans="22:31" ht="11.25" customHeight="1" x14ac:dyDescent="0.25"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</row>
    <row r="1394" spans="22:31" ht="11.25" customHeight="1" x14ac:dyDescent="0.25"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</row>
    <row r="1395" spans="22:31" ht="11.25" customHeight="1" x14ac:dyDescent="0.25"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</row>
    <row r="1396" spans="22:31" ht="11.25" customHeight="1" x14ac:dyDescent="0.25"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</row>
    <row r="1397" spans="22:31" ht="11.25" customHeight="1" x14ac:dyDescent="0.25"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</row>
    <row r="1398" spans="22:31" ht="11.25" customHeight="1" x14ac:dyDescent="0.25"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</row>
    <row r="1399" spans="22:31" ht="11.25" customHeight="1" x14ac:dyDescent="0.25"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</row>
    <row r="1400" spans="22:31" ht="11.25" customHeight="1" x14ac:dyDescent="0.25"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</row>
    <row r="1401" spans="22:31" ht="11.25" customHeight="1" x14ac:dyDescent="0.25"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</row>
    <row r="1402" spans="22:31" ht="11.25" customHeight="1" x14ac:dyDescent="0.25"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</row>
    <row r="1403" spans="22:31" ht="11.25" customHeight="1" x14ac:dyDescent="0.25"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</row>
    <row r="1404" spans="22:31" ht="11.25" customHeight="1" x14ac:dyDescent="0.25"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</row>
    <row r="1405" spans="22:31" ht="11.25" customHeight="1" x14ac:dyDescent="0.25"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</row>
    <row r="1406" spans="22:31" ht="11.25" customHeight="1" x14ac:dyDescent="0.25"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</row>
    <row r="1407" spans="22:31" ht="11.25" customHeight="1" x14ac:dyDescent="0.25"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</row>
    <row r="1408" spans="22:31" ht="11.25" customHeight="1" x14ac:dyDescent="0.25"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</row>
    <row r="1409" spans="22:31" ht="11.25" customHeight="1" x14ac:dyDescent="0.25"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</row>
    <row r="1410" spans="22:31" ht="11.25" customHeight="1" x14ac:dyDescent="0.25"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</row>
    <row r="1411" spans="22:31" ht="11.25" customHeight="1" x14ac:dyDescent="0.25"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</row>
    <row r="1412" spans="22:31" ht="11.25" customHeight="1" x14ac:dyDescent="0.25"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</row>
    <row r="1413" spans="22:31" ht="11.25" customHeight="1" x14ac:dyDescent="0.25"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</row>
    <row r="1414" spans="22:31" ht="11.25" customHeight="1" x14ac:dyDescent="0.25"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</row>
    <row r="1415" spans="22:31" ht="11.25" customHeight="1" x14ac:dyDescent="0.25"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</row>
    <row r="1416" spans="22:31" ht="11.25" customHeight="1" x14ac:dyDescent="0.25"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</row>
    <row r="1417" spans="22:31" ht="11.25" customHeight="1" x14ac:dyDescent="0.25"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</row>
    <row r="1418" spans="22:31" ht="11.25" customHeight="1" x14ac:dyDescent="0.25"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</row>
    <row r="1419" spans="22:31" ht="11.25" customHeight="1" x14ac:dyDescent="0.25"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</row>
    <row r="1420" spans="22:31" ht="11.25" customHeight="1" x14ac:dyDescent="0.25"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</row>
    <row r="1421" spans="22:31" ht="11.25" customHeight="1" x14ac:dyDescent="0.25"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</row>
    <row r="1422" spans="22:31" ht="11.25" customHeight="1" x14ac:dyDescent="0.25"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</row>
    <row r="1423" spans="22:31" ht="11.25" customHeight="1" x14ac:dyDescent="0.25"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</row>
    <row r="1424" spans="22:31" ht="11.25" customHeight="1" x14ac:dyDescent="0.25"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</row>
    <row r="1425" spans="22:31" ht="11.25" customHeight="1" x14ac:dyDescent="0.25"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</row>
    <row r="1426" spans="22:31" ht="11.25" customHeight="1" x14ac:dyDescent="0.25"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</row>
    <row r="1427" spans="22:31" ht="11.25" customHeight="1" x14ac:dyDescent="0.25"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</row>
    <row r="1428" spans="22:31" ht="11.25" customHeight="1" x14ac:dyDescent="0.25"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</row>
    <row r="1429" spans="22:31" ht="11.25" customHeight="1" x14ac:dyDescent="0.25"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</row>
    <row r="1430" spans="22:31" ht="11.25" customHeight="1" x14ac:dyDescent="0.25"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</row>
    <row r="1431" spans="22:31" ht="11.25" customHeight="1" x14ac:dyDescent="0.25"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</row>
    <row r="1432" spans="22:31" ht="11.25" customHeight="1" x14ac:dyDescent="0.25"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</row>
    <row r="1433" spans="22:31" ht="11.25" customHeight="1" x14ac:dyDescent="0.25"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</row>
    <row r="1434" spans="22:31" ht="11.25" customHeight="1" x14ac:dyDescent="0.25"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</row>
    <row r="1435" spans="22:31" ht="11.25" customHeight="1" x14ac:dyDescent="0.25"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</row>
    <row r="1436" spans="22:31" ht="11.25" customHeight="1" x14ac:dyDescent="0.25"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</row>
    <row r="1437" spans="22:31" ht="11.25" customHeight="1" x14ac:dyDescent="0.25"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</row>
    <row r="1438" spans="22:31" ht="11.25" customHeight="1" x14ac:dyDescent="0.25"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</row>
    <row r="1439" spans="22:31" ht="11.25" customHeight="1" x14ac:dyDescent="0.25"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</row>
    <row r="1440" spans="22:31" ht="11.25" customHeight="1" x14ac:dyDescent="0.25"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</row>
    <row r="1441" spans="22:31" ht="11.25" customHeight="1" x14ac:dyDescent="0.25"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</row>
    <row r="1442" spans="22:31" ht="11.25" customHeight="1" x14ac:dyDescent="0.25"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</row>
    <row r="1443" spans="22:31" ht="11.25" customHeight="1" x14ac:dyDescent="0.25"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</row>
    <row r="1444" spans="22:31" ht="11.25" customHeight="1" x14ac:dyDescent="0.25"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</row>
    <row r="1445" spans="22:31" ht="11.25" customHeight="1" x14ac:dyDescent="0.25"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</row>
    <row r="1446" spans="22:31" ht="11.25" customHeight="1" x14ac:dyDescent="0.25"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</row>
    <row r="1447" spans="22:31" ht="11.25" customHeight="1" x14ac:dyDescent="0.25"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</row>
    <row r="1448" spans="22:31" ht="11.25" customHeight="1" x14ac:dyDescent="0.25"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</row>
    <row r="1449" spans="22:31" ht="11.25" customHeight="1" x14ac:dyDescent="0.25"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</row>
    <row r="1450" spans="22:31" ht="11.25" customHeight="1" x14ac:dyDescent="0.25"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</row>
    <row r="1451" spans="22:31" ht="11.25" customHeight="1" x14ac:dyDescent="0.25"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</row>
    <row r="1452" spans="22:31" ht="11.25" customHeight="1" x14ac:dyDescent="0.25"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</row>
    <row r="1453" spans="22:31" ht="11.25" customHeight="1" x14ac:dyDescent="0.25"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</row>
    <row r="1454" spans="22:31" ht="11.25" customHeight="1" x14ac:dyDescent="0.25"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</row>
    <row r="1455" spans="22:31" ht="11.25" customHeight="1" x14ac:dyDescent="0.25"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</row>
    <row r="1456" spans="22:31" ht="11.25" customHeight="1" x14ac:dyDescent="0.25"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</row>
    <row r="1457" spans="22:31" ht="11.25" customHeight="1" x14ac:dyDescent="0.25"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</row>
    <row r="1458" spans="22:31" ht="11.25" customHeight="1" x14ac:dyDescent="0.25"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</row>
    <row r="1459" spans="22:31" ht="11.25" customHeight="1" x14ac:dyDescent="0.25"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</row>
    <row r="1460" spans="22:31" ht="11.25" customHeight="1" x14ac:dyDescent="0.25"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</row>
    <row r="1461" spans="22:31" ht="11.25" customHeight="1" x14ac:dyDescent="0.25"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</row>
    <row r="1462" spans="22:31" ht="11.25" customHeight="1" x14ac:dyDescent="0.25"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</row>
    <row r="1463" spans="22:31" ht="11.25" customHeight="1" x14ac:dyDescent="0.25"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</row>
    <row r="1464" spans="22:31" ht="11.25" customHeight="1" x14ac:dyDescent="0.25"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</row>
    <row r="1465" spans="22:31" ht="11.25" customHeight="1" x14ac:dyDescent="0.25"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</row>
    <row r="1466" spans="22:31" ht="11.25" customHeight="1" x14ac:dyDescent="0.25"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</row>
    <row r="1467" spans="22:31" ht="11.25" customHeight="1" x14ac:dyDescent="0.25"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</row>
    <row r="1468" spans="22:31" ht="11.25" customHeight="1" x14ac:dyDescent="0.25"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</row>
    <row r="1469" spans="22:31" ht="11.25" customHeight="1" x14ac:dyDescent="0.25"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</row>
    <row r="1470" spans="22:31" ht="11.25" customHeight="1" x14ac:dyDescent="0.25"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</row>
    <row r="1471" spans="22:31" ht="11.25" customHeight="1" x14ac:dyDescent="0.25"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</row>
    <row r="1472" spans="22:31" ht="11.25" customHeight="1" x14ac:dyDescent="0.25"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</row>
    <row r="1473" spans="22:31" ht="11.25" customHeight="1" x14ac:dyDescent="0.25"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</row>
    <row r="1474" spans="22:31" ht="11.25" customHeight="1" x14ac:dyDescent="0.25"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</row>
    <row r="1475" spans="22:31" ht="11.25" customHeight="1" x14ac:dyDescent="0.25"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</row>
    <row r="1476" spans="22:31" ht="11.25" customHeight="1" x14ac:dyDescent="0.25"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</row>
    <row r="1477" spans="22:31" ht="11.25" customHeight="1" x14ac:dyDescent="0.25"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</row>
    <row r="1478" spans="22:31" ht="11.25" customHeight="1" x14ac:dyDescent="0.25"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</row>
    <row r="1479" spans="22:31" ht="11.25" customHeight="1" x14ac:dyDescent="0.25"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</row>
    <row r="1480" spans="22:31" ht="11.25" customHeight="1" x14ac:dyDescent="0.25"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</row>
    <row r="1481" spans="22:31" ht="11.25" customHeight="1" x14ac:dyDescent="0.25"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</row>
    <row r="1482" spans="22:31" ht="11.25" customHeight="1" x14ac:dyDescent="0.25"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</row>
    <row r="1483" spans="22:31" ht="11.25" customHeight="1" x14ac:dyDescent="0.25"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</row>
    <row r="1484" spans="22:31" ht="11.25" customHeight="1" x14ac:dyDescent="0.25"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</row>
    <row r="1485" spans="22:31" ht="11.25" customHeight="1" x14ac:dyDescent="0.25"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</row>
    <row r="1486" spans="22:31" ht="11.25" customHeight="1" x14ac:dyDescent="0.25"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</row>
    <row r="1487" spans="22:31" ht="11.25" customHeight="1" x14ac:dyDescent="0.25"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</row>
    <row r="1488" spans="22:31" ht="11.25" customHeight="1" x14ac:dyDescent="0.25"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</row>
    <row r="1489" spans="22:31" ht="11.25" customHeight="1" x14ac:dyDescent="0.25"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</row>
    <row r="1490" spans="22:31" ht="11.25" customHeight="1" x14ac:dyDescent="0.25"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</row>
    <row r="1491" spans="22:31" ht="11.25" customHeight="1" x14ac:dyDescent="0.25"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</row>
    <row r="1492" spans="22:31" ht="11.25" customHeight="1" x14ac:dyDescent="0.25"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</row>
    <row r="1493" spans="22:31" ht="11.25" customHeight="1" x14ac:dyDescent="0.25"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</row>
    <row r="1494" spans="22:31" ht="11.25" customHeight="1" x14ac:dyDescent="0.25"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</row>
    <row r="1495" spans="22:31" ht="11.25" customHeight="1" x14ac:dyDescent="0.25"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</row>
    <row r="1496" spans="22:31" ht="11.25" customHeight="1" x14ac:dyDescent="0.25"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</row>
    <row r="1497" spans="22:31" ht="11.25" customHeight="1" x14ac:dyDescent="0.25"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</row>
    <row r="1498" spans="22:31" ht="11.25" customHeight="1" x14ac:dyDescent="0.25"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</row>
    <row r="1499" spans="22:31" ht="11.25" customHeight="1" x14ac:dyDescent="0.25"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</row>
    <row r="1500" spans="22:31" ht="11.25" customHeight="1" x14ac:dyDescent="0.25"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</row>
    <row r="1501" spans="22:31" ht="11.25" customHeight="1" x14ac:dyDescent="0.25"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</row>
    <row r="1502" spans="22:31" ht="11.25" customHeight="1" x14ac:dyDescent="0.25"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</row>
    <row r="1503" spans="22:31" ht="11.25" customHeight="1" x14ac:dyDescent="0.25"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</row>
    <row r="1504" spans="22:31" ht="11.25" customHeight="1" x14ac:dyDescent="0.25"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</row>
    <row r="1505" spans="22:31" ht="11.25" customHeight="1" x14ac:dyDescent="0.25"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</row>
    <row r="1506" spans="22:31" ht="11.25" customHeight="1" x14ac:dyDescent="0.25"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</row>
    <row r="1507" spans="22:31" ht="11.25" customHeight="1" x14ac:dyDescent="0.25"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</row>
    <row r="1508" spans="22:31" ht="11.25" customHeight="1" x14ac:dyDescent="0.25"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</row>
    <row r="1509" spans="22:31" ht="11.25" customHeight="1" x14ac:dyDescent="0.25"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</row>
    <row r="1510" spans="22:31" ht="11.25" customHeight="1" x14ac:dyDescent="0.25"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</row>
    <row r="1511" spans="22:31" ht="11.25" customHeight="1" x14ac:dyDescent="0.25"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</row>
    <row r="1512" spans="22:31" ht="11.25" customHeight="1" x14ac:dyDescent="0.25"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</row>
    <row r="1513" spans="22:31" ht="11.25" customHeight="1" x14ac:dyDescent="0.25"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</row>
    <row r="1514" spans="22:31" ht="11.25" customHeight="1" x14ac:dyDescent="0.25"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</row>
    <row r="1515" spans="22:31" ht="11.25" customHeight="1" x14ac:dyDescent="0.25"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</row>
    <row r="1516" spans="22:31" ht="11.25" customHeight="1" x14ac:dyDescent="0.25"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</row>
    <row r="1517" spans="22:31" ht="11.25" customHeight="1" x14ac:dyDescent="0.25"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</row>
    <row r="1518" spans="22:31" ht="11.25" customHeight="1" x14ac:dyDescent="0.25"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</row>
    <row r="1519" spans="22:31" ht="11.25" customHeight="1" x14ac:dyDescent="0.25"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</row>
    <row r="1520" spans="22:31" ht="11.25" customHeight="1" x14ac:dyDescent="0.25"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</row>
    <row r="1521" spans="22:31" ht="11.25" customHeight="1" x14ac:dyDescent="0.25"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</row>
    <row r="1522" spans="22:31" ht="11.25" customHeight="1" x14ac:dyDescent="0.25"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</row>
    <row r="1523" spans="22:31" ht="11.25" customHeight="1" x14ac:dyDescent="0.25"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</row>
    <row r="1524" spans="22:31" ht="11.25" customHeight="1" x14ac:dyDescent="0.25"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</row>
    <row r="1525" spans="22:31" ht="11.25" customHeight="1" x14ac:dyDescent="0.25"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</row>
    <row r="1526" spans="22:31" ht="11.25" customHeight="1" x14ac:dyDescent="0.25"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</row>
    <row r="1527" spans="22:31" ht="11.25" customHeight="1" x14ac:dyDescent="0.25"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</row>
    <row r="1528" spans="22:31" ht="11.25" customHeight="1" x14ac:dyDescent="0.25"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</row>
    <row r="1529" spans="22:31" ht="11.25" customHeight="1" x14ac:dyDescent="0.25"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</row>
    <row r="1530" spans="22:31" ht="11.25" customHeight="1" x14ac:dyDescent="0.25"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</row>
    <row r="1531" spans="22:31" ht="11.25" customHeight="1" x14ac:dyDescent="0.25"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</row>
    <row r="1532" spans="22:31" ht="11.25" customHeight="1" x14ac:dyDescent="0.25"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</row>
    <row r="1533" spans="22:31" ht="11.25" customHeight="1" x14ac:dyDescent="0.25"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</row>
    <row r="1534" spans="22:31" ht="11.25" customHeight="1" x14ac:dyDescent="0.25"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</row>
    <row r="1535" spans="22:31" ht="11.25" customHeight="1" x14ac:dyDescent="0.25"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</row>
    <row r="1536" spans="22:31" ht="11.25" customHeight="1" x14ac:dyDescent="0.25"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</row>
    <row r="1537" spans="22:31" ht="11.25" customHeight="1" x14ac:dyDescent="0.25"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</row>
    <row r="1538" spans="22:31" ht="11.25" customHeight="1" x14ac:dyDescent="0.25"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</row>
    <row r="1539" spans="22:31" ht="11.25" customHeight="1" x14ac:dyDescent="0.25"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</row>
    <row r="1540" spans="22:31" ht="11.25" customHeight="1" x14ac:dyDescent="0.25"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</row>
    <row r="1541" spans="22:31" ht="11.25" customHeight="1" x14ac:dyDescent="0.25"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</row>
    <row r="1542" spans="22:31" ht="11.25" customHeight="1" x14ac:dyDescent="0.25"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</row>
    <row r="1543" spans="22:31" ht="11.25" customHeight="1" x14ac:dyDescent="0.25"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</row>
    <row r="1544" spans="22:31" ht="11.25" customHeight="1" x14ac:dyDescent="0.25"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</row>
    <row r="1545" spans="22:31" ht="11.25" customHeight="1" x14ac:dyDescent="0.25"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</row>
    <row r="1546" spans="22:31" ht="11.25" customHeight="1" x14ac:dyDescent="0.25"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</row>
    <row r="1547" spans="22:31" ht="11.25" customHeight="1" x14ac:dyDescent="0.25"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</row>
    <row r="1548" spans="22:31" ht="11.25" customHeight="1" x14ac:dyDescent="0.25"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</row>
    <row r="1549" spans="22:31" ht="11.25" customHeight="1" x14ac:dyDescent="0.25"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</row>
    <row r="1550" spans="22:31" ht="11.25" customHeight="1" x14ac:dyDescent="0.25"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</row>
    <row r="1551" spans="22:31" ht="11.25" customHeight="1" x14ac:dyDescent="0.25"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</row>
    <row r="1552" spans="22:31" ht="11.25" customHeight="1" x14ac:dyDescent="0.25"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</row>
    <row r="1553" spans="22:31" ht="11.25" customHeight="1" x14ac:dyDescent="0.25"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</row>
    <row r="1554" spans="22:31" ht="11.25" customHeight="1" x14ac:dyDescent="0.25"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</row>
    <row r="1555" spans="22:31" ht="11.25" customHeight="1" x14ac:dyDescent="0.25"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</row>
    <row r="1556" spans="22:31" ht="11.25" customHeight="1" x14ac:dyDescent="0.25"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</row>
    <row r="1557" spans="22:31" ht="11.25" customHeight="1" x14ac:dyDescent="0.25"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</row>
    <row r="1558" spans="22:31" ht="11.25" customHeight="1" x14ac:dyDescent="0.25"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</row>
    <row r="1559" spans="22:31" ht="11.25" customHeight="1" x14ac:dyDescent="0.25"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</row>
    <row r="1560" spans="22:31" ht="11.25" customHeight="1" x14ac:dyDescent="0.25"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</row>
    <row r="1561" spans="22:31" ht="11.25" customHeight="1" x14ac:dyDescent="0.25"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</row>
    <row r="1562" spans="22:31" ht="11.25" customHeight="1" x14ac:dyDescent="0.25"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</row>
    <row r="1563" spans="22:31" ht="11.25" customHeight="1" x14ac:dyDescent="0.25"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</row>
    <row r="1564" spans="22:31" ht="11.25" customHeight="1" x14ac:dyDescent="0.25"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</row>
    <row r="1565" spans="22:31" ht="11.25" customHeight="1" x14ac:dyDescent="0.25"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</row>
    <row r="1566" spans="22:31" ht="11.25" customHeight="1" x14ac:dyDescent="0.25"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</row>
    <row r="1567" spans="22:31" ht="11.25" customHeight="1" x14ac:dyDescent="0.25"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</row>
    <row r="1568" spans="22:31" ht="11.25" customHeight="1" x14ac:dyDescent="0.25"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</row>
    <row r="1569" spans="22:31" ht="11.25" customHeight="1" x14ac:dyDescent="0.25"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</row>
    <row r="1570" spans="22:31" ht="11.25" customHeight="1" x14ac:dyDescent="0.25"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</row>
    <row r="1571" spans="22:31" ht="11.25" customHeight="1" x14ac:dyDescent="0.25"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</row>
    <row r="1572" spans="22:31" ht="11.25" customHeight="1" x14ac:dyDescent="0.25"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</row>
    <row r="1573" spans="22:31" ht="11.25" customHeight="1" x14ac:dyDescent="0.25"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</row>
    <row r="1574" spans="22:31" ht="11.25" customHeight="1" x14ac:dyDescent="0.25"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</row>
    <row r="1575" spans="22:31" ht="11.25" customHeight="1" x14ac:dyDescent="0.25"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</row>
    <row r="1576" spans="22:31" ht="11.25" customHeight="1" x14ac:dyDescent="0.25"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</row>
    <row r="1577" spans="22:31" ht="11.25" customHeight="1" x14ac:dyDescent="0.25"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</row>
    <row r="1578" spans="22:31" ht="11.25" customHeight="1" x14ac:dyDescent="0.25"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</row>
    <row r="1579" spans="22:31" ht="11.25" customHeight="1" x14ac:dyDescent="0.25"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</row>
    <row r="1580" spans="22:31" ht="11.25" customHeight="1" x14ac:dyDescent="0.25"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</row>
    <row r="1581" spans="22:31" ht="11.25" customHeight="1" x14ac:dyDescent="0.25"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</row>
    <row r="1582" spans="22:31" ht="11.25" customHeight="1" x14ac:dyDescent="0.25"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</row>
    <row r="1583" spans="22:31" ht="11.25" customHeight="1" x14ac:dyDescent="0.25"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</row>
    <row r="1584" spans="22:31" ht="11.25" customHeight="1" x14ac:dyDescent="0.25"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</row>
    <row r="1585" spans="22:31" ht="11.25" customHeight="1" x14ac:dyDescent="0.25"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</row>
    <row r="1586" spans="22:31" ht="11.25" customHeight="1" x14ac:dyDescent="0.25"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</row>
    <row r="1587" spans="22:31" ht="11.25" customHeight="1" x14ac:dyDescent="0.25"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</row>
    <row r="1588" spans="22:31" ht="11.25" customHeight="1" x14ac:dyDescent="0.25"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</row>
    <row r="1589" spans="22:31" ht="11.25" customHeight="1" x14ac:dyDescent="0.25"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</row>
    <row r="1590" spans="22:31" ht="11.25" customHeight="1" x14ac:dyDescent="0.25"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</row>
    <row r="1591" spans="22:31" ht="11.25" customHeight="1" x14ac:dyDescent="0.25"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</row>
    <row r="1592" spans="22:31" ht="11.25" customHeight="1" x14ac:dyDescent="0.25"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</row>
    <row r="1593" spans="22:31" ht="11.25" customHeight="1" x14ac:dyDescent="0.25"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</row>
    <row r="1594" spans="22:31" ht="11.25" customHeight="1" x14ac:dyDescent="0.25"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</row>
    <row r="1595" spans="22:31" ht="11.25" customHeight="1" x14ac:dyDescent="0.25"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</row>
    <row r="1596" spans="22:31" ht="11.25" customHeight="1" x14ac:dyDescent="0.25"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</row>
    <row r="1597" spans="22:31" ht="11.25" customHeight="1" x14ac:dyDescent="0.25"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</row>
    <row r="1598" spans="22:31" ht="11.25" customHeight="1" x14ac:dyDescent="0.25"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</row>
    <row r="1599" spans="22:31" ht="11.25" customHeight="1" x14ac:dyDescent="0.25"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</row>
    <row r="1600" spans="22:31" ht="11.25" customHeight="1" x14ac:dyDescent="0.25"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</row>
    <row r="1601" spans="22:31" ht="11.25" customHeight="1" x14ac:dyDescent="0.25"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</row>
    <row r="1602" spans="22:31" ht="11.25" customHeight="1" x14ac:dyDescent="0.25"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</row>
    <row r="1603" spans="22:31" ht="11.25" customHeight="1" x14ac:dyDescent="0.25"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</row>
    <row r="1604" spans="22:31" ht="11.25" customHeight="1" x14ac:dyDescent="0.25"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</row>
    <row r="1605" spans="22:31" ht="11.25" customHeight="1" x14ac:dyDescent="0.25"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</row>
    <row r="1606" spans="22:31" ht="11.25" customHeight="1" x14ac:dyDescent="0.25"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</row>
    <row r="1607" spans="22:31" ht="11.25" customHeight="1" x14ac:dyDescent="0.25"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</row>
    <row r="1608" spans="22:31" ht="11.25" customHeight="1" x14ac:dyDescent="0.25"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</row>
    <row r="1609" spans="22:31" ht="11.25" customHeight="1" x14ac:dyDescent="0.25"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</row>
    <row r="1610" spans="22:31" ht="11.25" customHeight="1" x14ac:dyDescent="0.25"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</row>
    <row r="1611" spans="22:31" ht="11.25" customHeight="1" x14ac:dyDescent="0.25"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</row>
    <row r="1612" spans="22:31" ht="11.25" customHeight="1" x14ac:dyDescent="0.25"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</row>
    <row r="1613" spans="22:31" ht="11.25" customHeight="1" x14ac:dyDescent="0.25"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</row>
    <row r="1614" spans="22:31" ht="11.25" customHeight="1" x14ac:dyDescent="0.25"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</row>
    <row r="1615" spans="22:31" ht="11.25" customHeight="1" x14ac:dyDescent="0.25"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</row>
    <row r="1616" spans="22:31" ht="11.25" customHeight="1" x14ac:dyDescent="0.25"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</row>
    <row r="1617" spans="22:31" ht="11.25" customHeight="1" x14ac:dyDescent="0.25"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</row>
    <row r="1618" spans="22:31" ht="11.25" customHeight="1" x14ac:dyDescent="0.25"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</row>
    <row r="1619" spans="22:31" ht="11.25" customHeight="1" x14ac:dyDescent="0.25"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</row>
    <row r="1620" spans="22:31" ht="11.25" customHeight="1" x14ac:dyDescent="0.25"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</row>
    <row r="1621" spans="22:31" ht="11.25" customHeight="1" x14ac:dyDescent="0.25"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</row>
    <row r="1622" spans="22:31" ht="11.25" customHeight="1" x14ac:dyDescent="0.25"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</row>
    <row r="1623" spans="22:31" ht="11.25" customHeight="1" x14ac:dyDescent="0.25"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</row>
    <row r="1624" spans="22:31" ht="11.25" customHeight="1" x14ac:dyDescent="0.25"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</row>
    <row r="1625" spans="22:31" ht="11.25" customHeight="1" x14ac:dyDescent="0.25"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</row>
    <row r="1626" spans="22:31" ht="11.25" customHeight="1" x14ac:dyDescent="0.25"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</row>
    <row r="1627" spans="22:31" ht="11.25" customHeight="1" x14ac:dyDescent="0.25"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</row>
    <row r="1628" spans="22:31" ht="11.25" customHeight="1" x14ac:dyDescent="0.25"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</row>
    <row r="1629" spans="22:31" ht="11.25" customHeight="1" x14ac:dyDescent="0.25"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</row>
    <row r="1630" spans="22:31" ht="11.25" customHeight="1" x14ac:dyDescent="0.25"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</row>
    <row r="1631" spans="22:31" ht="11.25" customHeight="1" x14ac:dyDescent="0.25"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</row>
    <row r="1632" spans="22:31" ht="11.25" customHeight="1" x14ac:dyDescent="0.25"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</row>
    <row r="1633" spans="22:31" ht="11.25" customHeight="1" x14ac:dyDescent="0.25"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</row>
    <row r="1634" spans="22:31" ht="11.25" customHeight="1" x14ac:dyDescent="0.25"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</row>
    <row r="1635" spans="22:31" ht="11.25" customHeight="1" x14ac:dyDescent="0.25"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</row>
    <row r="1636" spans="22:31" ht="11.25" customHeight="1" x14ac:dyDescent="0.25"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</row>
    <row r="1637" spans="22:31" ht="11.25" customHeight="1" x14ac:dyDescent="0.25"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</row>
    <row r="1638" spans="22:31" ht="11.25" customHeight="1" x14ac:dyDescent="0.25"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</row>
    <row r="1639" spans="22:31" ht="11.25" customHeight="1" x14ac:dyDescent="0.25"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</row>
    <row r="1640" spans="22:31" ht="11.25" customHeight="1" x14ac:dyDescent="0.25"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</row>
    <row r="1641" spans="22:31" ht="11.25" customHeight="1" x14ac:dyDescent="0.25"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</row>
    <row r="1642" spans="22:31" ht="11.25" customHeight="1" x14ac:dyDescent="0.25"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</row>
    <row r="1643" spans="22:31" ht="11.25" customHeight="1" x14ac:dyDescent="0.25"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</row>
    <row r="1644" spans="22:31" ht="11.25" customHeight="1" x14ac:dyDescent="0.25"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</row>
    <row r="1645" spans="22:31" ht="11.25" customHeight="1" x14ac:dyDescent="0.25"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</row>
    <row r="1646" spans="22:31" ht="11.25" customHeight="1" x14ac:dyDescent="0.25"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</row>
    <row r="1647" spans="22:31" ht="11.25" customHeight="1" x14ac:dyDescent="0.25"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</row>
    <row r="1648" spans="22:31" ht="11.25" customHeight="1" x14ac:dyDescent="0.25"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</row>
    <row r="1649" spans="22:31" ht="11.25" customHeight="1" x14ac:dyDescent="0.25"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</row>
    <row r="1650" spans="22:31" ht="11.25" customHeight="1" x14ac:dyDescent="0.25"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</row>
    <row r="1651" spans="22:31" ht="11.25" customHeight="1" x14ac:dyDescent="0.25"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</row>
    <row r="1652" spans="22:31" ht="11.25" customHeight="1" x14ac:dyDescent="0.25"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</row>
    <row r="1653" spans="22:31" ht="11.25" customHeight="1" x14ac:dyDescent="0.25"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</row>
    <row r="1654" spans="22:31" ht="11.25" customHeight="1" x14ac:dyDescent="0.25"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</row>
    <row r="1655" spans="22:31" ht="11.25" customHeight="1" x14ac:dyDescent="0.25"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</row>
    <row r="1656" spans="22:31" ht="11.25" customHeight="1" x14ac:dyDescent="0.25"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</row>
    <row r="1657" spans="22:31" ht="11.25" customHeight="1" x14ac:dyDescent="0.25"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</row>
    <row r="1658" spans="22:31" ht="11.25" customHeight="1" x14ac:dyDescent="0.25"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</row>
    <row r="1659" spans="22:31" ht="11.25" customHeight="1" x14ac:dyDescent="0.25"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</row>
    <row r="1660" spans="22:31" ht="11.25" customHeight="1" x14ac:dyDescent="0.25"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</row>
    <row r="1661" spans="22:31" ht="11.25" customHeight="1" x14ac:dyDescent="0.25"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</row>
    <row r="1662" spans="22:31" ht="11.25" customHeight="1" x14ac:dyDescent="0.25"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</row>
    <row r="1663" spans="22:31" ht="11.25" customHeight="1" x14ac:dyDescent="0.25"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</row>
    <row r="1664" spans="22:31" ht="11.25" customHeight="1" x14ac:dyDescent="0.25"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</row>
    <row r="1665" spans="22:31" ht="11.25" customHeight="1" x14ac:dyDescent="0.25"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</row>
    <row r="1666" spans="22:31" ht="11.25" customHeight="1" x14ac:dyDescent="0.25"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</row>
    <row r="1667" spans="22:31" ht="11.25" customHeight="1" x14ac:dyDescent="0.25"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</row>
    <row r="1668" spans="22:31" ht="11.25" customHeight="1" x14ac:dyDescent="0.25"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</row>
    <row r="1669" spans="22:31" ht="11.25" customHeight="1" x14ac:dyDescent="0.25"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</row>
    <row r="1670" spans="22:31" ht="11.25" customHeight="1" x14ac:dyDescent="0.25"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</row>
    <row r="1671" spans="22:31" ht="11.25" customHeight="1" x14ac:dyDescent="0.25"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</row>
    <row r="1672" spans="22:31" ht="11.25" customHeight="1" x14ac:dyDescent="0.25"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</row>
    <row r="1673" spans="22:31" ht="11.25" customHeight="1" x14ac:dyDescent="0.25"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</row>
    <row r="1674" spans="22:31" ht="11.25" customHeight="1" x14ac:dyDescent="0.25"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</row>
    <row r="1675" spans="22:31" ht="11.25" customHeight="1" x14ac:dyDescent="0.25"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</row>
    <row r="1676" spans="22:31" ht="11.25" customHeight="1" x14ac:dyDescent="0.25"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</row>
    <row r="1677" spans="22:31" ht="11.25" customHeight="1" x14ac:dyDescent="0.25"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</row>
    <row r="1678" spans="22:31" ht="11.25" customHeight="1" x14ac:dyDescent="0.25"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</row>
    <row r="1679" spans="22:31" ht="11.25" customHeight="1" x14ac:dyDescent="0.25"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</row>
    <row r="1680" spans="22:31" ht="11.25" customHeight="1" x14ac:dyDescent="0.25"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</row>
    <row r="1681" spans="22:31" ht="11.25" customHeight="1" x14ac:dyDescent="0.25"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</row>
    <row r="1682" spans="22:31" ht="11.25" customHeight="1" x14ac:dyDescent="0.25"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</row>
    <row r="1683" spans="22:31" ht="11.25" customHeight="1" x14ac:dyDescent="0.25"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</row>
    <row r="1684" spans="22:31" ht="11.25" customHeight="1" x14ac:dyDescent="0.25"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</row>
    <row r="1685" spans="22:31" ht="11.25" customHeight="1" x14ac:dyDescent="0.25"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</row>
    <row r="1686" spans="22:31" ht="11.25" customHeight="1" x14ac:dyDescent="0.25"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</row>
    <row r="1687" spans="22:31" ht="11.25" customHeight="1" x14ac:dyDescent="0.25"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</row>
    <row r="1688" spans="22:31" ht="11.25" customHeight="1" x14ac:dyDescent="0.25"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</row>
    <row r="1689" spans="22:31" ht="11.25" customHeight="1" x14ac:dyDescent="0.25"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</row>
    <row r="1690" spans="22:31" ht="11.25" customHeight="1" x14ac:dyDescent="0.25"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</row>
    <row r="1691" spans="22:31" ht="11.25" customHeight="1" x14ac:dyDescent="0.25"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</row>
    <row r="1692" spans="22:31" ht="11.25" customHeight="1" x14ac:dyDescent="0.25"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</row>
    <row r="1693" spans="22:31" ht="11.25" customHeight="1" x14ac:dyDescent="0.25"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</row>
    <row r="1694" spans="22:31" ht="11.25" customHeight="1" x14ac:dyDescent="0.25"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</row>
    <row r="1695" spans="22:31" ht="11.25" customHeight="1" x14ac:dyDescent="0.25"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</row>
    <row r="1696" spans="22:31" ht="11.25" customHeight="1" x14ac:dyDescent="0.25"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</row>
    <row r="1697" spans="22:31" ht="11.25" customHeight="1" x14ac:dyDescent="0.25"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</row>
    <row r="1698" spans="22:31" ht="11.25" customHeight="1" x14ac:dyDescent="0.25"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</row>
    <row r="1699" spans="22:31" ht="11.25" customHeight="1" x14ac:dyDescent="0.25"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</row>
    <row r="1700" spans="22:31" ht="11.25" customHeight="1" x14ac:dyDescent="0.25"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</row>
    <row r="1701" spans="22:31" ht="11.25" customHeight="1" x14ac:dyDescent="0.25"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</row>
    <row r="1702" spans="22:31" ht="11.25" customHeight="1" x14ac:dyDescent="0.25"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</row>
    <row r="1703" spans="22:31" ht="11.25" customHeight="1" x14ac:dyDescent="0.25"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</row>
    <row r="1704" spans="22:31" ht="11.25" customHeight="1" x14ac:dyDescent="0.25"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</row>
    <row r="1705" spans="22:31" ht="11.25" customHeight="1" x14ac:dyDescent="0.25"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</row>
    <row r="1706" spans="22:31" ht="11.25" customHeight="1" x14ac:dyDescent="0.25"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</row>
    <row r="1707" spans="22:31" ht="11.25" customHeight="1" x14ac:dyDescent="0.25"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</row>
    <row r="1708" spans="22:31" ht="11.25" customHeight="1" x14ac:dyDescent="0.25"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</row>
    <row r="1709" spans="22:31" ht="11.25" customHeight="1" x14ac:dyDescent="0.25"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</row>
    <row r="1710" spans="22:31" ht="11.25" customHeight="1" x14ac:dyDescent="0.25"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</row>
    <row r="1711" spans="22:31" ht="11.25" customHeight="1" x14ac:dyDescent="0.25"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</row>
    <row r="1712" spans="22:31" ht="11.25" customHeight="1" x14ac:dyDescent="0.25"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</row>
    <row r="1713" spans="22:31" ht="11.25" customHeight="1" x14ac:dyDescent="0.25"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</row>
    <row r="1714" spans="22:31" ht="11.25" customHeight="1" x14ac:dyDescent="0.25"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</row>
    <row r="1715" spans="22:31" ht="11.25" customHeight="1" x14ac:dyDescent="0.25"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</row>
    <row r="1716" spans="22:31" ht="11.25" customHeight="1" x14ac:dyDescent="0.25"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</row>
    <row r="1717" spans="22:31" ht="11.25" customHeight="1" x14ac:dyDescent="0.25"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</row>
    <row r="1718" spans="22:31" ht="11.25" customHeight="1" x14ac:dyDescent="0.25"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</row>
    <row r="1719" spans="22:31" ht="11.25" customHeight="1" x14ac:dyDescent="0.25"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</row>
    <row r="1720" spans="22:31" ht="11.25" customHeight="1" x14ac:dyDescent="0.25"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</row>
    <row r="1721" spans="22:31" ht="11.25" customHeight="1" x14ac:dyDescent="0.25"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</row>
    <row r="1722" spans="22:31" ht="11.25" customHeight="1" x14ac:dyDescent="0.25"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</row>
    <row r="1723" spans="22:31" ht="11.25" customHeight="1" x14ac:dyDescent="0.25"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</row>
    <row r="1724" spans="22:31" ht="11.25" customHeight="1" x14ac:dyDescent="0.25"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</row>
    <row r="1725" spans="22:31" ht="11.25" customHeight="1" x14ac:dyDescent="0.25"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</row>
    <row r="1726" spans="22:31" ht="11.25" customHeight="1" x14ac:dyDescent="0.25"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</row>
    <row r="1727" spans="22:31" ht="11.25" customHeight="1" x14ac:dyDescent="0.25"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</row>
    <row r="1728" spans="22:31" ht="11.25" customHeight="1" x14ac:dyDescent="0.25"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</row>
    <row r="1729" spans="22:31" ht="11.25" customHeight="1" x14ac:dyDescent="0.25"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</row>
    <row r="1730" spans="22:31" ht="11.25" customHeight="1" x14ac:dyDescent="0.25"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</row>
    <row r="1731" spans="22:31" ht="11.25" customHeight="1" x14ac:dyDescent="0.25"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</row>
    <row r="1732" spans="22:31" ht="11.25" customHeight="1" x14ac:dyDescent="0.25"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</row>
    <row r="1733" spans="22:31" ht="11.25" customHeight="1" x14ac:dyDescent="0.25"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</row>
    <row r="1734" spans="22:31" ht="11.25" customHeight="1" x14ac:dyDescent="0.25"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</row>
    <row r="1735" spans="22:31" ht="11.25" customHeight="1" x14ac:dyDescent="0.25"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</row>
    <row r="1736" spans="22:31" ht="11.25" customHeight="1" x14ac:dyDescent="0.25"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</row>
    <row r="1737" spans="22:31" ht="11.25" customHeight="1" x14ac:dyDescent="0.25"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</row>
    <row r="1738" spans="22:31" ht="11.25" customHeight="1" x14ac:dyDescent="0.25"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</row>
    <row r="1739" spans="22:31" ht="11.25" customHeight="1" x14ac:dyDescent="0.25"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</row>
    <row r="1740" spans="22:31" ht="11.25" customHeight="1" x14ac:dyDescent="0.25"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</row>
    <row r="1741" spans="22:31" ht="11.25" customHeight="1" x14ac:dyDescent="0.25"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</row>
    <row r="1742" spans="22:31" ht="11.25" customHeight="1" x14ac:dyDescent="0.25"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</row>
    <row r="1743" spans="22:31" ht="11.25" customHeight="1" x14ac:dyDescent="0.25"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</row>
    <row r="1744" spans="22:31" ht="11.25" customHeight="1" x14ac:dyDescent="0.25"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</row>
    <row r="1745" spans="22:31" ht="11.25" customHeight="1" x14ac:dyDescent="0.25"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</row>
    <row r="1746" spans="22:31" ht="11.25" customHeight="1" x14ac:dyDescent="0.25"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</row>
    <row r="1747" spans="22:31" ht="11.25" customHeight="1" x14ac:dyDescent="0.25"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</row>
    <row r="1748" spans="22:31" ht="11.25" customHeight="1" x14ac:dyDescent="0.25"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</row>
    <row r="1749" spans="22:31" ht="11.25" customHeight="1" x14ac:dyDescent="0.25"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</row>
    <row r="1750" spans="22:31" ht="11.25" customHeight="1" x14ac:dyDescent="0.25"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</row>
    <row r="1751" spans="22:31" ht="11.25" customHeight="1" x14ac:dyDescent="0.25"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</row>
    <row r="1752" spans="22:31" ht="11.25" customHeight="1" x14ac:dyDescent="0.25"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</row>
    <row r="1753" spans="22:31" ht="11.25" customHeight="1" x14ac:dyDescent="0.25"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</row>
    <row r="1754" spans="22:31" ht="11.25" customHeight="1" x14ac:dyDescent="0.25"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</row>
    <row r="1755" spans="22:31" ht="11.25" customHeight="1" x14ac:dyDescent="0.25"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</row>
    <row r="1756" spans="22:31" ht="11.25" customHeight="1" x14ac:dyDescent="0.25"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</row>
    <row r="1757" spans="22:31" ht="11.25" customHeight="1" x14ac:dyDescent="0.25"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</row>
    <row r="1758" spans="22:31" ht="11.25" customHeight="1" x14ac:dyDescent="0.25"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</row>
    <row r="1759" spans="22:31" ht="11.25" customHeight="1" x14ac:dyDescent="0.25"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</row>
    <row r="1760" spans="22:31" ht="11.25" customHeight="1" x14ac:dyDescent="0.25"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</row>
    <row r="1761" spans="22:31" ht="11.25" customHeight="1" x14ac:dyDescent="0.25"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</row>
    <row r="1762" spans="22:31" ht="11.25" customHeight="1" x14ac:dyDescent="0.25"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</row>
    <row r="1763" spans="22:31" ht="11.25" customHeight="1" x14ac:dyDescent="0.25"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</row>
    <row r="1764" spans="22:31" ht="11.25" customHeight="1" x14ac:dyDescent="0.25"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</row>
    <row r="1765" spans="22:31" ht="11.25" customHeight="1" x14ac:dyDescent="0.25"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</row>
    <row r="1766" spans="22:31" ht="11.25" customHeight="1" x14ac:dyDescent="0.25"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</row>
    <row r="1767" spans="22:31" ht="11.25" customHeight="1" x14ac:dyDescent="0.25"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</row>
    <row r="1768" spans="22:31" ht="11.25" customHeight="1" x14ac:dyDescent="0.25"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</row>
    <row r="1769" spans="22:31" ht="11.25" customHeight="1" x14ac:dyDescent="0.25"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</row>
    <row r="1770" spans="22:31" ht="11.25" customHeight="1" x14ac:dyDescent="0.25"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</row>
    <row r="1771" spans="22:31" ht="11.25" customHeight="1" x14ac:dyDescent="0.25"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</row>
    <row r="1772" spans="22:31" ht="11.25" customHeight="1" x14ac:dyDescent="0.25"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</row>
    <row r="1773" spans="22:31" ht="11.25" customHeight="1" x14ac:dyDescent="0.25"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</row>
    <row r="1774" spans="22:31" ht="11.25" customHeight="1" x14ac:dyDescent="0.25"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</row>
    <row r="1775" spans="22:31" ht="11.25" customHeight="1" x14ac:dyDescent="0.25"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</row>
    <row r="1776" spans="22:31" ht="11.25" customHeight="1" x14ac:dyDescent="0.25"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</row>
    <row r="1777" spans="22:31" ht="11.25" customHeight="1" x14ac:dyDescent="0.25"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</row>
    <row r="1778" spans="22:31" ht="11.25" customHeight="1" x14ac:dyDescent="0.25"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</row>
    <row r="1779" spans="22:31" ht="11.25" customHeight="1" x14ac:dyDescent="0.25"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</row>
    <row r="1780" spans="22:31" ht="11.25" customHeight="1" x14ac:dyDescent="0.25"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</row>
    <row r="1781" spans="22:31" ht="11.25" customHeight="1" x14ac:dyDescent="0.25"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</row>
    <row r="1782" spans="22:31" ht="11.25" customHeight="1" x14ac:dyDescent="0.25"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</row>
    <row r="1783" spans="22:31" ht="11.25" customHeight="1" x14ac:dyDescent="0.25"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</row>
    <row r="1784" spans="22:31" ht="11.25" customHeight="1" x14ac:dyDescent="0.25"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</row>
    <row r="1785" spans="22:31" ht="11.25" customHeight="1" x14ac:dyDescent="0.25"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</row>
    <row r="1786" spans="22:31" ht="11.25" customHeight="1" x14ac:dyDescent="0.25"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</row>
    <row r="1787" spans="22:31" ht="11.25" customHeight="1" x14ac:dyDescent="0.25"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</row>
    <row r="1788" spans="22:31" ht="11.25" customHeight="1" x14ac:dyDescent="0.25"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</row>
    <row r="1789" spans="22:31" ht="11.25" customHeight="1" x14ac:dyDescent="0.25"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</row>
    <row r="1790" spans="22:31" ht="11.25" customHeight="1" x14ac:dyDescent="0.25"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</row>
    <row r="1791" spans="22:31" ht="11.25" customHeight="1" x14ac:dyDescent="0.25"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</row>
    <row r="1792" spans="22:31" ht="11.25" customHeight="1" x14ac:dyDescent="0.25"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</row>
    <row r="1793" spans="22:31" ht="11.25" customHeight="1" x14ac:dyDescent="0.25"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</row>
    <row r="1794" spans="22:31" ht="11.25" customHeight="1" x14ac:dyDescent="0.25"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</row>
    <row r="1795" spans="22:31" ht="11.25" customHeight="1" x14ac:dyDescent="0.25"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</row>
    <row r="1796" spans="22:31" ht="11.25" customHeight="1" x14ac:dyDescent="0.25"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</row>
    <row r="1797" spans="22:31" ht="11.25" customHeight="1" x14ac:dyDescent="0.25"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</row>
    <row r="1798" spans="22:31" ht="11.25" customHeight="1" x14ac:dyDescent="0.25"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</row>
    <row r="1799" spans="22:31" ht="11.25" customHeight="1" x14ac:dyDescent="0.25"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</row>
    <row r="1800" spans="22:31" ht="11.25" customHeight="1" x14ac:dyDescent="0.25"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</row>
    <row r="1801" spans="22:31" ht="11.25" customHeight="1" x14ac:dyDescent="0.25"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</row>
    <row r="1802" spans="22:31" ht="11.25" customHeight="1" x14ac:dyDescent="0.25"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</row>
    <row r="1803" spans="22:31" ht="11.25" customHeight="1" x14ac:dyDescent="0.25"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</row>
    <row r="1804" spans="22:31" ht="11.25" customHeight="1" x14ac:dyDescent="0.25"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</row>
    <row r="1805" spans="22:31" ht="11.25" customHeight="1" x14ac:dyDescent="0.25"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</row>
    <row r="1806" spans="22:31" ht="11.25" customHeight="1" x14ac:dyDescent="0.25"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</row>
    <row r="1807" spans="22:31" ht="11.25" customHeight="1" x14ac:dyDescent="0.25"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</row>
    <row r="1808" spans="22:31" ht="11.25" customHeight="1" x14ac:dyDescent="0.25"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</row>
    <row r="1809" spans="22:31" ht="11.25" customHeight="1" x14ac:dyDescent="0.25"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</row>
    <row r="1810" spans="22:31" ht="11.25" customHeight="1" x14ac:dyDescent="0.25"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</row>
    <row r="1811" spans="22:31" ht="11.25" customHeight="1" x14ac:dyDescent="0.25"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</row>
    <row r="1812" spans="22:31" ht="11.25" customHeight="1" x14ac:dyDescent="0.25"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</row>
    <row r="1813" spans="22:31" ht="11.25" customHeight="1" x14ac:dyDescent="0.25"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</row>
    <row r="1814" spans="22:31" ht="11.25" customHeight="1" x14ac:dyDescent="0.25"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</row>
    <row r="1815" spans="22:31" ht="11.25" customHeight="1" x14ac:dyDescent="0.25"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</row>
    <row r="1816" spans="22:31" ht="11.25" customHeight="1" x14ac:dyDescent="0.25"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</row>
    <row r="1817" spans="22:31" ht="11.25" customHeight="1" x14ac:dyDescent="0.25"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</row>
    <row r="1818" spans="22:31" ht="11.25" customHeight="1" x14ac:dyDescent="0.25"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</row>
    <row r="1819" spans="22:31" ht="11.25" customHeight="1" x14ac:dyDescent="0.25"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</row>
    <row r="1820" spans="22:31" ht="11.25" customHeight="1" x14ac:dyDescent="0.25"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</row>
    <row r="1821" spans="22:31" ht="11.25" customHeight="1" x14ac:dyDescent="0.25"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</row>
    <row r="1822" spans="22:31" ht="11.25" customHeight="1" x14ac:dyDescent="0.25"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</row>
    <row r="1823" spans="22:31" ht="11.25" customHeight="1" x14ac:dyDescent="0.25"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</row>
    <row r="1824" spans="22:31" ht="11.25" customHeight="1" x14ac:dyDescent="0.25"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</row>
    <row r="1825" spans="22:31" ht="11.25" customHeight="1" x14ac:dyDescent="0.25"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</row>
    <row r="1826" spans="22:31" ht="11.25" customHeight="1" x14ac:dyDescent="0.25"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</row>
    <row r="1827" spans="22:31" ht="11.25" customHeight="1" x14ac:dyDescent="0.25"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</row>
    <row r="1828" spans="22:31" ht="11.25" customHeight="1" x14ac:dyDescent="0.25"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</row>
    <row r="1829" spans="22:31" ht="11.25" customHeight="1" x14ac:dyDescent="0.25"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</row>
    <row r="1830" spans="22:31" ht="11.25" customHeight="1" x14ac:dyDescent="0.25"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</row>
    <row r="1831" spans="22:31" ht="11.25" customHeight="1" x14ac:dyDescent="0.25"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</row>
    <row r="1832" spans="22:31" ht="11.25" customHeight="1" x14ac:dyDescent="0.25"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</row>
    <row r="1833" spans="22:31" ht="11.25" customHeight="1" x14ac:dyDescent="0.25"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</row>
    <row r="1834" spans="22:31" ht="11.25" customHeight="1" x14ac:dyDescent="0.25"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</row>
    <row r="1835" spans="22:31" ht="11.25" customHeight="1" x14ac:dyDescent="0.25"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</row>
    <row r="1836" spans="22:31" ht="11.25" customHeight="1" x14ac:dyDescent="0.25"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</row>
    <row r="1837" spans="22:31" ht="11.25" customHeight="1" x14ac:dyDescent="0.25"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</row>
    <row r="1838" spans="22:31" ht="11.25" customHeight="1" x14ac:dyDescent="0.25"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</row>
    <row r="1839" spans="22:31" ht="11.25" customHeight="1" x14ac:dyDescent="0.25"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</row>
    <row r="1840" spans="22:31" ht="11.25" customHeight="1" x14ac:dyDescent="0.25"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</row>
    <row r="1841" spans="22:31" ht="11.25" customHeight="1" x14ac:dyDescent="0.25"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</row>
    <row r="1842" spans="22:31" ht="11.25" customHeight="1" x14ac:dyDescent="0.25"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</row>
    <row r="1843" spans="22:31" ht="11.25" customHeight="1" x14ac:dyDescent="0.25"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</row>
    <row r="1844" spans="22:31" ht="11.25" customHeight="1" x14ac:dyDescent="0.25"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</row>
    <row r="1845" spans="22:31" ht="11.25" customHeight="1" x14ac:dyDescent="0.25"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</row>
    <row r="1846" spans="22:31" ht="11.25" customHeight="1" x14ac:dyDescent="0.25"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</row>
    <row r="1847" spans="22:31" ht="11.25" customHeight="1" x14ac:dyDescent="0.25"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</row>
    <row r="1848" spans="22:31" ht="11.25" customHeight="1" x14ac:dyDescent="0.25"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</row>
    <row r="1849" spans="22:31" ht="11.25" customHeight="1" x14ac:dyDescent="0.25"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</row>
    <row r="1850" spans="22:31" ht="11.25" customHeight="1" x14ac:dyDescent="0.25"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</row>
    <row r="1851" spans="22:31" ht="11.25" customHeight="1" x14ac:dyDescent="0.25"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</row>
    <row r="1852" spans="22:31" ht="11.25" customHeight="1" x14ac:dyDescent="0.25"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</row>
    <row r="1853" spans="22:31" ht="11.25" customHeight="1" x14ac:dyDescent="0.25"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</row>
    <row r="1854" spans="22:31" ht="11.25" customHeight="1" x14ac:dyDescent="0.25"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</row>
    <row r="1855" spans="22:31" ht="11.25" customHeight="1" x14ac:dyDescent="0.25"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</row>
    <row r="1856" spans="22:31" ht="11.25" customHeight="1" x14ac:dyDescent="0.25"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</row>
    <row r="1857" spans="22:31" ht="11.25" customHeight="1" x14ac:dyDescent="0.25"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</row>
    <row r="1858" spans="22:31" ht="11.25" customHeight="1" x14ac:dyDescent="0.25"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</row>
    <row r="1859" spans="22:31" ht="11.25" customHeight="1" x14ac:dyDescent="0.25"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</row>
    <row r="1860" spans="22:31" ht="11.25" customHeight="1" x14ac:dyDescent="0.25"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</row>
    <row r="1861" spans="22:31" ht="11.25" customHeight="1" x14ac:dyDescent="0.25"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</row>
    <row r="1862" spans="22:31" ht="11.25" customHeight="1" x14ac:dyDescent="0.25"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</row>
    <row r="1863" spans="22:31" ht="11.25" customHeight="1" x14ac:dyDescent="0.25"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</row>
    <row r="1864" spans="22:31" ht="11.25" customHeight="1" x14ac:dyDescent="0.25"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</row>
    <row r="1865" spans="22:31" ht="11.25" customHeight="1" x14ac:dyDescent="0.25"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</row>
    <row r="1866" spans="22:31" ht="11.25" customHeight="1" x14ac:dyDescent="0.25"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</row>
    <row r="1867" spans="22:31" ht="11.25" customHeight="1" x14ac:dyDescent="0.25"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</row>
    <row r="1868" spans="22:31" ht="11.25" customHeight="1" x14ac:dyDescent="0.25"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</row>
    <row r="1869" spans="22:31" ht="11.25" customHeight="1" x14ac:dyDescent="0.25"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</row>
    <row r="1870" spans="22:31" ht="11.25" customHeight="1" x14ac:dyDescent="0.25"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</row>
    <row r="1871" spans="22:31" ht="11.25" customHeight="1" x14ac:dyDescent="0.25"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</row>
    <row r="1872" spans="22:31" ht="11.25" customHeight="1" x14ac:dyDescent="0.25"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</row>
    <row r="1873" spans="22:31" ht="11.25" customHeight="1" x14ac:dyDescent="0.25"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</row>
    <row r="1874" spans="22:31" ht="11.25" customHeight="1" x14ac:dyDescent="0.25"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</row>
    <row r="1875" spans="22:31" ht="11.25" customHeight="1" x14ac:dyDescent="0.25"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</row>
    <row r="1876" spans="22:31" ht="11.25" customHeight="1" x14ac:dyDescent="0.25"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</row>
    <row r="1877" spans="22:31" ht="11.25" customHeight="1" x14ac:dyDescent="0.25"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</row>
    <row r="1878" spans="22:31" ht="11.25" customHeight="1" x14ac:dyDescent="0.25"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</row>
    <row r="1879" spans="22:31" ht="11.25" customHeight="1" x14ac:dyDescent="0.25"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</row>
    <row r="1880" spans="22:31" ht="11.25" customHeight="1" x14ac:dyDescent="0.25"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</row>
    <row r="1881" spans="22:31" ht="11.25" customHeight="1" x14ac:dyDescent="0.25"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</row>
    <row r="1882" spans="22:31" ht="11.25" customHeight="1" x14ac:dyDescent="0.25"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</row>
    <row r="1883" spans="22:31" ht="11.25" customHeight="1" x14ac:dyDescent="0.25"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</row>
    <row r="1884" spans="22:31" ht="11.25" customHeight="1" x14ac:dyDescent="0.25"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</row>
    <row r="1885" spans="22:31" ht="11.25" customHeight="1" x14ac:dyDescent="0.25"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</row>
    <row r="1886" spans="22:31" ht="11.25" customHeight="1" x14ac:dyDescent="0.25"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</row>
    <row r="1887" spans="22:31" ht="11.25" customHeight="1" x14ac:dyDescent="0.25"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</row>
    <row r="1888" spans="22:31" ht="11.25" customHeight="1" x14ac:dyDescent="0.25"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</row>
    <row r="1889" spans="22:31" ht="11.25" customHeight="1" x14ac:dyDescent="0.25"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</row>
    <row r="1890" spans="22:31" ht="11.25" customHeight="1" x14ac:dyDescent="0.25"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</row>
    <row r="1891" spans="22:31" ht="11.25" customHeight="1" x14ac:dyDescent="0.25"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</row>
    <row r="1892" spans="22:31" ht="11.25" customHeight="1" x14ac:dyDescent="0.25"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</row>
    <row r="1893" spans="22:31" ht="11.25" customHeight="1" x14ac:dyDescent="0.25"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</row>
    <row r="1894" spans="22:31" ht="11.25" customHeight="1" x14ac:dyDescent="0.25"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</row>
    <row r="1895" spans="22:31" ht="11.25" customHeight="1" x14ac:dyDescent="0.25"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</row>
    <row r="1896" spans="22:31" ht="11.25" customHeight="1" x14ac:dyDescent="0.25"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</row>
    <row r="1897" spans="22:31" ht="11.25" customHeight="1" x14ac:dyDescent="0.25"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</row>
    <row r="1898" spans="22:31" ht="11.25" customHeight="1" x14ac:dyDescent="0.25"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</row>
    <row r="1899" spans="22:31" ht="11.25" customHeight="1" x14ac:dyDescent="0.25"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</row>
    <row r="1900" spans="22:31" ht="11.25" customHeight="1" x14ac:dyDescent="0.25"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</row>
    <row r="1901" spans="22:31" ht="11.25" customHeight="1" x14ac:dyDescent="0.25"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</row>
    <row r="1902" spans="22:31" ht="11.25" customHeight="1" x14ac:dyDescent="0.25"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</row>
    <row r="1903" spans="22:31" ht="11.25" customHeight="1" x14ac:dyDescent="0.25"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</row>
    <row r="1904" spans="22:31" ht="11.25" customHeight="1" x14ac:dyDescent="0.25"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</row>
    <row r="1905" spans="22:31" ht="11.25" customHeight="1" x14ac:dyDescent="0.25"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</row>
    <row r="1906" spans="22:31" ht="11.25" customHeight="1" x14ac:dyDescent="0.25"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</row>
    <row r="1907" spans="22:31" ht="11.25" customHeight="1" x14ac:dyDescent="0.25"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</row>
    <row r="1908" spans="22:31" ht="11.25" customHeight="1" x14ac:dyDescent="0.25"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</row>
    <row r="1909" spans="22:31" ht="11.25" customHeight="1" x14ac:dyDescent="0.25"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</row>
    <row r="1910" spans="22:31" ht="11.25" customHeight="1" x14ac:dyDescent="0.25"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</row>
    <row r="1911" spans="22:31" ht="11.25" customHeight="1" x14ac:dyDescent="0.25"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</row>
    <row r="1912" spans="22:31" ht="11.25" customHeight="1" x14ac:dyDescent="0.25"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</row>
    <row r="1913" spans="22:31" ht="11.25" customHeight="1" x14ac:dyDescent="0.25"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</row>
    <row r="1914" spans="22:31" ht="11.25" customHeight="1" x14ac:dyDescent="0.25"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</row>
    <row r="1915" spans="22:31" ht="11.25" customHeight="1" x14ac:dyDescent="0.25"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</row>
    <row r="1916" spans="22:31" ht="11.25" customHeight="1" x14ac:dyDescent="0.25"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</row>
    <row r="1917" spans="22:31" ht="11.25" customHeight="1" x14ac:dyDescent="0.25"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</row>
    <row r="1918" spans="22:31" ht="11.25" customHeight="1" x14ac:dyDescent="0.25"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</row>
    <row r="1919" spans="22:31" ht="11.25" customHeight="1" x14ac:dyDescent="0.25"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</row>
    <row r="1920" spans="22:31" ht="11.25" customHeight="1" x14ac:dyDescent="0.25"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</row>
    <row r="1921" spans="22:31" ht="11.25" customHeight="1" x14ac:dyDescent="0.25"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</row>
    <row r="1922" spans="22:31" ht="11.25" customHeight="1" x14ac:dyDescent="0.25"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</row>
    <row r="1923" spans="22:31" ht="11.25" customHeight="1" x14ac:dyDescent="0.25"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</row>
    <row r="1924" spans="22:31" ht="11.25" customHeight="1" x14ac:dyDescent="0.25"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</row>
    <row r="1925" spans="22:31" ht="11.25" customHeight="1" x14ac:dyDescent="0.25"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</row>
    <row r="1926" spans="22:31" ht="11.25" customHeight="1" x14ac:dyDescent="0.25"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</row>
    <row r="1927" spans="22:31" ht="11.25" customHeight="1" x14ac:dyDescent="0.25"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</row>
    <row r="1928" spans="22:31" ht="11.25" customHeight="1" x14ac:dyDescent="0.25"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</row>
    <row r="1929" spans="22:31" ht="11.25" customHeight="1" x14ac:dyDescent="0.25"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</row>
    <row r="1930" spans="22:31" ht="11.25" customHeight="1" x14ac:dyDescent="0.25"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</row>
    <row r="1931" spans="22:31" ht="11.25" customHeight="1" x14ac:dyDescent="0.25"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</row>
    <row r="1932" spans="22:31" ht="11.25" customHeight="1" x14ac:dyDescent="0.25"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</row>
    <row r="1933" spans="22:31" ht="11.25" customHeight="1" x14ac:dyDescent="0.25"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</row>
    <row r="1934" spans="22:31" ht="11.25" customHeight="1" x14ac:dyDescent="0.25"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</row>
    <row r="1935" spans="22:31" ht="11.25" customHeight="1" x14ac:dyDescent="0.25"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</row>
    <row r="1936" spans="22:31" ht="11.25" customHeight="1" x14ac:dyDescent="0.25"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</row>
    <row r="1937" spans="22:31" ht="11.25" customHeight="1" x14ac:dyDescent="0.25"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</row>
    <row r="1938" spans="22:31" ht="11.25" customHeight="1" x14ac:dyDescent="0.25"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</row>
    <row r="1939" spans="22:31" ht="11.25" customHeight="1" x14ac:dyDescent="0.25"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</row>
    <row r="1940" spans="22:31" ht="11.25" customHeight="1" x14ac:dyDescent="0.25"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</row>
    <row r="1941" spans="22:31" ht="11.25" customHeight="1" x14ac:dyDescent="0.25"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</row>
    <row r="1942" spans="22:31" ht="11.25" customHeight="1" x14ac:dyDescent="0.25"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</row>
    <row r="1943" spans="22:31" ht="11.25" customHeight="1" x14ac:dyDescent="0.25"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</row>
    <row r="1944" spans="22:31" ht="11.25" customHeight="1" x14ac:dyDescent="0.25"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</row>
    <row r="1945" spans="22:31" ht="11.25" customHeight="1" x14ac:dyDescent="0.25"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</row>
    <row r="1946" spans="22:31" ht="11.25" customHeight="1" x14ac:dyDescent="0.25"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</row>
    <row r="1947" spans="22:31" ht="11.25" customHeight="1" x14ac:dyDescent="0.25"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</row>
    <row r="1948" spans="22:31" ht="11.25" customHeight="1" x14ac:dyDescent="0.25"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</row>
    <row r="1949" spans="22:31" ht="11.25" customHeight="1" x14ac:dyDescent="0.25"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</row>
    <row r="1950" spans="22:31" ht="11.25" customHeight="1" x14ac:dyDescent="0.25"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</row>
    <row r="1951" spans="22:31" ht="11.25" customHeight="1" x14ac:dyDescent="0.25"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</row>
    <row r="1952" spans="22:31" ht="11.25" customHeight="1" x14ac:dyDescent="0.25"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</row>
    <row r="1953" spans="22:31" ht="11.25" customHeight="1" x14ac:dyDescent="0.25"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</row>
    <row r="1954" spans="22:31" ht="11.25" customHeight="1" x14ac:dyDescent="0.25"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</row>
    <row r="1955" spans="22:31" ht="11.25" customHeight="1" x14ac:dyDescent="0.25"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</row>
    <row r="1956" spans="22:31" ht="11.25" customHeight="1" x14ac:dyDescent="0.25"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</row>
    <row r="1957" spans="22:31" ht="11.25" customHeight="1" x14ac:dyDescent="0.25"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</row>
    <row r="1958" spans="22:31" ht="11.25" customHeight="1" x14ac:dyDescent="0.25"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</row>
    <row r="1959" spans="22:31" ht="11.25" customHeight="1" x14ac:dyDescent="0.25"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</row>
    <row r="1960" spans="22:31" ht="11.25" customHeight="1" x14ac:dyDescent="0.25"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</row>
    <row r="1961" spans="22:31" ht="11.25" customHeight="1" x14ac:dyDescent="0.25"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</row>
    <row r="1962" spans="22:31" ht="11.25" customHeight="1" x14ac:dyDescent="0.25"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</row>
    <row r="1963" spans="22:31" ht="11.25" customHeight="1" x14ac:dyDescent="0.25"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</row>
    <row r="1964" spans="22:31" ht="11.25" customHeight="1" x14ac:dyDescent="0.25"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</row>
    <row r="1965" spans="22:31" ht="11.25" customHeight="1" x14ac:dyDescent="0.25"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</row>
    <row r="1966" spans="22:31" ht="11.25" customHeight="1" x14ac:dyDescent="0.25"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</row>
    <row r="1967" spans="22:31" ht="11.25" customHeight="1" x14ac:dyDescent="0.25"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</row>
    <row r="1968" spans="22:31" ht="11.25" customHeight="1" x14ac:dyDescent="0.25"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</row>
    <row r="1969" spans="22:31" ht="11.25" customHeight="1" x14ac:dyDescent="0.25">
      <c r="V1969" s="6"/>
      <c r="W1969" s="6"/>
      <c r="X1969" s="6"/>
      <c r="Y1969" s="6"/>
      <c r="Z1969" s="6"/>
      <c r="AA1969" s="6"/>
      <c r="AB1969" s="6"/>
      <c r="AC1969" s="6"/>
      <c r="AD1969" s="6"/>
      <c r="AE1969" s="6"/>
    </row>
    <row r="1970" spans="22:31" ht="11.25" customHeight="1" x14ac:dyDescent="0.25">
      <c r="V1970" s="6"/>
      <c r="W1970" s="6"/>
      <c r="X1970" s="6"/>
      <c r="Y1970" s="6"/>
      <c r="Z1970" s="6"/>
      <c r="AA1970" s="6"/>
      <c r="AB1970" s="6"/>
      <c r="AC1970" s="6"/>
      <c r="AD1970" s="6"/>
      <c r="AE1970" s="6"/>
    </row>
    <row r="1971" spans="22:31" ht="11.25" customHeight="1" x14ac:dyDescent="0.25">
      <c r="V1971" s="6"/>
      <c r="W1971" s="6"/>
      <c r="X1971" s="6"/>
      <c r="Y1971" s="6"/>
      <c r="Z1971" s="6"/>
      <c r="AA1971" s="6"/>
      <c r="AB1971" s="6"/>
      <c r="AC1971" s="6"/>
      <c r="AD1971" s="6"/>
      <c r="AE1971" s="6"/>
    </row>
    <row r="1972" spans="22:31" ht="11.25" customHeight="1" x14ac:dyDescent="0.25">
      <c r="V1972" s="6"/>
      <c r="W1972" s="6"/>
      <c r="X1972" s="6"/>
      <c r="Y1972" s="6"/>
      <c r="Z1972" s="6"/>
      <c r="AA1972" s="6"/>
      <c r="AB1972" s="6"/>
      <c r="AC1972" s="6"/>
      <c r="AD1972" s="6"/>
      <c r="AE1972" s="6"/>
    </row>
    <row r="1973" spans="22:31" ht="11.25" customHeight="1" x14ac:dyDescent="0.25">
      <c r="V1973" s="6"/>
      <c r="W1973" s="6"/>
      <c r="X1973" s="6"/>
      <c r="Y1973" s="6"/>
      <c r="Z1973" s="6"/>
      <c r="AA1973" s="6"/>
      <c r="AB1973" s="6"/>
      <c r="AC1973" s="6"/>
      <c r="AD1973" s="6"/>
      <c r="AE1973" s="6"/>
    </row>
    <row r="1974" spans="22:31" ht="11.25" customHeight="1" x14ac:dyDescent="0.25">
      <c r="V1974" s="6"/>
      <c r="W1974" s="6"/>
      <c r="X1974" s="6"/>
      <c r="Y1974" s="6"/>
      <c r="Z1974" s="6"/>
      <c r="AA1974" s="6"/>
      <c r="AB1974" s="6"/>
      <c r="AC1974" s="6"/>
      <c r="AD1974" s="6"/>
      <c r="AE1974" s="6"/>
    </row>
    <row r="1975" spans="22:31" ht="11.25" customHeight="1" x14ac:dyDescent="0.25">
      <c r="V1975" s="6"/>
      <c r="W1975" s="6"/>
      <c r="X1975" s="6"/>
      <c r="Y1975" s="6"/>
      <c r="Z1975" s="6"/>
      <c r="AA1975" s="6"/>
      <c r="AB1975" s="6"/>
      <c r="AC1975" s="6"/>
      <c r="AD1975" s="6"/>
      <c r="AE1975" s="6"/>
    </row>
    <row r="1976" spans="22:31" ht="11.25" customHeight="1" x14ac:dyDescent="0.25">
      <c r="V1976" s="6"/>
      <c r="W1976" s="6"/>
      <c r="X1976" s="6"/>
      <c r="Y1976" s="6"/>
      <c r="Z1976" s="6"/>
      <c r="AA1976" s="6"/>
      <c r="AB1976" s="6"/>
      <c r="AC1976" s="6"/>
      <c r="AD1976" s="6"/>
      <c r="AE1976" s="6"/>
    </row>
    <row r="1977" spans="22:31" ht="11.25" customHeight="1" x14ac:dyDescent="0.25">
      <c r="V1977" s="6"/>
      <c r="W1977" s="6"/>
      <c r="X1977" s="6"/>
      <c r="Y1977" s="6"/>
      <c r="Z1977" s="6"/>
      <c r="AA1977" s="6"/>
      <c r="AB1977" s="6"/>
      <c r="AC1977" s="6"/>
      <c r="AD1977" s="6"/>
      <c r="AE1977" s="6"/>
    </row>
    <row r="1978" spans="22:31" ht="11.25" customHeight="1" x14ac:dyDescent="0.25">
      <c r="V1978" s="6"/>
      <c r="W1978" s="6"/>
      <c r="X1978" s="6"/>
      <c r="Y1978" s="6"/>
      <c r="Z1978" s="6"/>
      <c r="AA1978" s="6"/>
      <c r="AB1978" s="6"/>
      <c r="AC1978" s="6"/>
      <c r="AD1978" s="6"/>
      <c r="AE1978" s="6"/>
    </row>
    <row r="1979" spans="22:31" ht="11.25" customHeight="1" x14ac:dyDescent="0.25">
      <c r="V1979" s="6"/>
      <c r="W1979" s="6"/>
      <c r="X1979" s="6"/>
      <c r="Y1979" s="6"/>
      <c r="Z1979" s="6"/>
      <c r="AA1979" s="6"/>
      <c r="AB1979" s="6"/>
      <c r="AC1979" s="6"/>
      <c r="AD1979" s="6"/>
      <c r="AE1979" s="6"/>
    </row>
    <row r="1980" spans="22:31" ht="11.25" customHeight="1" x14ac:dyDescent="0.25">
      <c r="V1980" s="6"/>
      <c r="W1980" s="6"/>
      <c r="X1980" s="6"/>
      <c r="Y1980" s="6"/>
      <c r="Z1980" s="6"/>
      <c r="AA1980" s="6"/>
      <c r="AB1980" s="6"/>
      <c r="AC1980" s="6"/>
      <c r="AD1980" s="6"/>
      <c r="AE1980" s="6"/>
    </row>
    <row r="1981" spans="22:31" ht="11.25" customHeight="1" x14ac:dyDescent="0.25">
      <c r="V1981" s="6"/>
      <c r="W1981" s="6"/>
      <c r="X1981" s="6"/>
      <c r="Y1981" s="6"/>
      <c r="Z1981" s="6"/>
      <c r="AA1981" s="6"/>
      <c r="AB1981" s="6"/>
      <c r="AC1981" s="6"/>
      <c r="AD1981" s="6"/>
      <c r="AE1981" s="6"/>
    </row>
    <row r="1982" spans="22:31" ht="11.25" customHeight="1" x14ac:dyDescent="0.25">
      <c r="V1982" s="6"/>
      <c r="W1982" s="6"/>
      <c r="X1982" s="6"/>
      <c r="Y1982" s="6"/>
      <c r="Z1982" s="6"/>
      <c r="AA1982" s="6"/>
      <c r="AB1982" s="6"/>
      <c r="AC1982" s="6"/>
      <c r="AD1982" s="6"/>
      <c r="AE1982" s="6"/>
    </row>
    <row r="1983" spans="22:31" ht="11.25" customHeight="1" x14ac:dyDescent="0.25">
      <c r="V1983" s="6"/>
      <c r="W1983" s="6"/>
      <c r="X1983" s="6"/>
      <c r="Y1983" s="6"/>
      <c r="Z1983" s="6"/>
      <c r="AA1983" s="6"/>
      <c r="AB1983" s="6"/>
      <c r="AC1983" s="6"/>
      <c r="AD1983" s="6"/>
      <c r="AE1983" s="6"/>
    </row>
    <row r="1984" spans="22:31" ht="11.25" customHeight="1" x14ac:dyDescent="0.25">
      <c r="V1984" s="6"/>
      <c r="W1984" s="6"/>
      <c r="X1984" s="6"/>
      <c r="Y1984" s="6"/>
      <c r="Z1984" s="6"/>
      <c r="AA1984" s="6"/>
      <c r="AB1984" s="6"/>
      <c r="AC1984" s="6"/>
      <c r="AD1984" s="6"/>
      <c r="AE1984" s="6"/>
    </row>
    <row r="1985" spans="22:31" ht="11.25" customHeight="1" x14ac:dyDescent="0.25">
      <c r="V1985" s="6"/>
      <c r="W1985" s="6"/>
      <c r="X1985" s="6"/>
      <c r="Y1985" s="6"/>
      <c r="Z1985" s="6"/>
      <c r="AA1985" s="6"/>
      <c r="AB1985" s="6"/>
      <c r="AC1985" s="6"/>
      <c r="AD1985" s="6"/>
      <c r="AE1985" s="6"/>
    </row>
    <row r="1986" spans="22:31" ht="11.25" customHeight="1" x14ac:dyDescent="0.25">
      <c r="V1986" s="6"/>
      <c r="W1986" s="6"/>
      <c r="X1986" s="6"/>
      <c r="Y1986" s="6"/>
      <c r="Z1986" s="6"/>
      <c r="AA1986" s="6"/>
      <c r="AB1986" s="6"/>
      <c r="AC1986" s="6"/>
      <c r="AD1986" s="6"/>
      <c r="AE1986" s="6"/>
    </row>
    <row r="1987" spans="22:31" ht="11.25" customHeight="1" x14ac:dyDescent="0.25">
      <c r="V1987" s="6"/>
      <c r="W1987" s="6"/>
      <c r="X1987" s="6"/>
      <c r="Y1987" s="6"/>
      <c r="Z1987" s="6"/>
      <c r="AA1987" s="6"/>
      <c r="AB1987" s="6"/>
      <c r="AC1987" s="6"/>
      <c r="AD1987" s="6"/>
      <c r="AE1987" s="6"/>
    </row>
    <row r="1988" spans="22:31" ht="11.25" customHeight="1" x14ac:dyDescent="0.25">
      <c r="V1988" s="6"/>
      <c r="W1988" s="6"/>
      <c r="X1988" s="6"/>
      <c r="Y1988" s="6"/>
      <c r="Z1988" s="6"/>
      <c r="AA1988" s="6"/>
      <c r="AB1988" s="6"/>
      <c r="AC1988" s="6"/>
      <c r="AD1988" s="6"/>
      <c r="AE1988" s="6"/>
    </row>
    <row r="1989" spans="22:31" ht="11.25" customHeight="1" x14ac:dyDescent="0.25">
      <c r="V1989" s="6"/>
      <c r="W1989" s="6"/>
      <c r="X1989" s="6"/>
      <c r="Y1989" s="6"/>
      <c r="Z1989" s="6"/>
      <c r="AA1989" s="6"/>
      <c r="AB1989" s="6"/>
      <c r="AC1989" s="6"/>
      <c r="AD1989" s="6"/>
      <c r="AE1989" s="6"/>
    </row>
    <row r="1990" spans="22:31" ht="11.25" customHeight="1" x14ac:dyDescent="0.25">
      <c r="V1990" s="6"/>
      <c r="W1990" s="6"/>
      <c r="X1990" s="6"/>
      <c r="Y1990" s="6"/>
      <c r="Z1990" s="6"/>
      <c r="AA1990" s="6"/>
      <c r="AB1990" s="6"/>
      <c r="AC1990" s="6"/>
      <c r="AD1990" s="6"/>
      <c r="AE1990" s="6"/>
    </row>
    <row r="1991" spans="22:31" ht="11.25" customHeight="1" x14ac:dyDescent="0.25">
      <c r="V1991" s="6"/>
      <c r="W1991" s="6"/>
      <c r="X1991" s="6"/>
      <c r="Y1991" s="6"/>
      <c r="Z1991" s="6"/>
      <c r="AA1991" s="6"/>
      <c r="AB1991" s="6"/>
      <c r="AC1991" s="6"/>
      <c r="AD1991" s="6"/>
      <c r="AE1991" s="6"/>
    </row>
    <row r="1992" spans="22:31" ht="11.25" customHeight="1" x14ac:dyDescent="0.25">
      <c r="V1992" s="6"/>
      <c r="W1992" s="6"/>
      <c r="X1992" s="6"/>
      <c r="Y1992" s="6"/>
      <c r="Z1992" s="6"/>
      <c r="AA1992" s="6"/>
      <c r="AB1992" s="6"/>
      <c r="AC1992" s="6"/>
      <c r="AD1992" s="6"/>
      <c r="AE1992" s="6"/>
    </row>
    <row r="1993" spans="22:31" ht="11.25" customHeight="1" x14ac:dyDescent="0.25">
      <c r="V1993" s="6"/>
      <c r="W1993" s="6"/>
      <c r="X1993" s="6"/>
      <c r="Y1993" s="6"/>
      <c r="Z1993" s="6"/>
      <c r="AA1993" s="6"/>
      <c r="AB1993" s="6"/>
      <c r="AC1993" s="6"/>
      <c r="AD1993" s="6"/>
      <c r="AE1993" s="6"/>
    </row>
    <row r="1994" spans="22:31" ht="11.25" customHeight="1" x14ac:dyDescent="0.25">
      <c r="V1994" s="6"/>
      <c r="W1994" s="6"/>
      <c r="X1994" s="6"/>
      <c r="Y1994" s="6"/>
      <c r="Z1994" s="6"/>
      <c r="AA1994" s="6"/>
      <c r="AB1994" s="6"/>
      <c r="AC1994" s="6"/>
      <c r="AD1994" s="6"/>
      <c r="AE1994" s="6"/>
    </row>
    <row r="1995" spans="22:31" ht="11.25" customHeight="1" x14ac:dyDescent="0.25">
      <c r="V1995" s="6"/>
      <c r="W1995" s="6"/>
      <c r="X1995" s="6"/>
      <c r="Y1995" s="6"/>
      <c r="Z1995" s="6"/>
      <c r="AA1995" s="6"/>
      <c r="AB1995" s="6"/>
      <c r="AC1995" s="6"/>
      <c r="AD1995" s="6"/>
      <c r="AE1995" s="6"/>
    </row>
    <row r="1996" spans="22:31" ht="11.25" customHeight="1" x14ac:dyDescent="0.25">
      <c r="V1996" s="6"/>
      <c r="W1996" s="6"/>
      <c r="X1996" s="6"/>
      <c r="Y1996" s="6"/>
      <c r="Z1996" s="6"/>
      <c r="AA1996" s="6"/>
      <c r="AB1996" s="6"/>
      <c r="AC1996" s="6"/>
      <c r="AD1996" s="6"/>
      <c r="AE1996" s="6"/>
    </row>
    <row r="1997" spans="22:31" ht="11.25" customHeight="1" x14ac:dyDescent="0.25">
      <c r="V1997" s="6"/>
      <c r="W1997" s="6"/>
      <c r="X1997" s="6"/>
      <c r="Y1997" s="6"/>
      <c r="Z1997" s="6"/>
      <c r="AA1997" s="6"/>
      <c r="AB1997" s="6"/>
      <c r="AC1997" s="6"/>
      <c r="AD1997" s="6"/>
      <c r="AE1997" s="6"/>
    </row>
    <row r="1998" spans="22:31" ht="11.25" customHeight="1" x14ac:dyDescent="0.25">
      <c r="V1998" s="6"/>
      <c r="W1998" s="6"/>
      <c r="X1998" s="6"/>
      <c r="Y1998" s="6"/>
      <c r="Z1998" s="6"/>
      <c r="AA1998" s="6"/>
      <c r="AB1998" s="6"/>
      <c r="AC1998" s="6"/>
      <c r="AD1998" s="6"/>
      <c r="AE1998" s="6"/>
    </row>
    <row r="1999" spans="22:31" ht="11.25" customHeight="1" x14ac:dyDescent="0.25">
      <c r="V1999" s="6"/>
      <c r="W1999" s="6"/>
      <c r="X1999" s="6"/>
      <c r="Y1999" s="6"/>
      <c r="Z1999" s="6"/>
      <c r="AA1999" s="6"/>
      <c r="AB1999" s="6"/>
      <c r="AC1999" s="6"/>
      <c r="AD1999" s="6"/>
      <c r="AE1999" s="6"/>
    </row>
    <row r="2000" spans="22:31" ht="11.25" customHeight="1" x14ac:dyDescent="0.25">
      <c r="V2000" s="6"/>
      <c r="W2000" s="6"/>
      <c r="X2000" s="6"/>
      <c r="Y2000" s="6"/>
      <c r="Z2000" s="6"/>
      <c r="AA2000" s="6"/>
      <c r="AB2000" s="6"/>
      <c r="AC2000" s="6"/>
      <c r="AD2000" s="6"/>
      <c r="AE2000" s="6"/>
    </row>
    <row r="2001" spans="22:31" ht="11.25" customHeight="1" x14ac:dyDescent="0.25">
      <c r="V2001" s="6"/>
      <c r="W2001" s="6"/>
      <c r="X2001" s="6"/>
      <c r="Y2001" s="6"/>
      <c r="Z2001" s="6"/>
      <c r="AA2001" s="6"/>
      <c r="AB2001" s="6"/>
      <c r="AC2001" s="6"/>
      <c r="AD2001" s="6"/>
      <c r="AE2001" s="6"/>
    </row>
    <row r="2002" spans="22:31" ht="11.25" customHeight="1" x14ac:dyDescent="0.25">
      <c r="V2002" s="6"/>
      <c r="W2002" s="6"/>
      <c r="X2002" s="6"/>
      <c r="Y2002" s="6"/>
      <c r="Z2002" s="6"/>
      <c r="AA2002" s="6"/>
      <c r="AB2002" s="6"/>
      <c r="AC2002" s="6"/>
      <c r="AD2002" s="6"/>
      <c r="AE2002" s="6"/>
    </row>
    <row r="2003" spans="22:31" ht="11.25" customHeight="1" x14ac:dyDescent="0.25">
      <c r="V2003" s="6"/>
      <c r="W2003" s="6"/>
      <c r="X2003" s="6"/>
      <c r="Y2003" s="6"/>
      <c r="Z2003" s="6"/>
      <c r="AA2003" s="6"/>
      <c r="AB2003" s="6"/>
      <c r="AC2003" s="6"/>
      <c r="AD2003" s="6"/>
      <c r="AE2003" s="6"/>
    </row>
    <row r="2004" spans="22:31" ht="11.25" customHeight="1" x14ac:dyDescent="0.25">
      <c r="V2004" s="6"/>
      <c r="W2004" s="6"/>
      <c r="X2004" s="6"/>
      <c r="Y2004" s="6"/>
      <c r="Z2004" s="6"/>
      <c r="AA2004" s="6"/>
      <c r="AB2004" s="6"/>
      <c r="AC2004" s="6"/>
      <c r="AD2004" s="6"/>
      <c r="AE2004" s="6"/>
    </row>
    <row r="2005" spans="22:31" ht="11.25" customHeight="1" x14ac:dyDescent="0.25">
      <c r="V2005" s="6"/>
      <c r="W2005" s="6"/>
      <c r="X2005" s="6"/>
      <c r="Y2005" s="6"/>
      <c r="Z2005" s="6"/>
      <c r="AA2005" s="6"/>
      <c r="AB2005" s="6"/>
      <c r="AC2005" s="6"/>
      <c r="AD2005" s="6"/>
      <c r="AE2005" s="6"/>
    </row>
    <row r="2006" spans="22:31" ht="11.25" customHeight="1" x14ac:dyDescent="0.25">
      <c r="V2006" s="6"/>
      <c r="W2006" s="6"/>
      <c r="X2006" s="6"/>
      <c r="Y2006" s="6"/>
      <c r="Z2006" s="6"/>
      <c r="AA2006" s="6"/>
      <c r="AB2006" s="6"/>
      <c r="AC2006" s="6"/>
      <c r="AD2006" s="6"/>
      <c r="AE2006" s="6"/>
    </row>
    <row r="2007" spans="22:31" ht="11.25" customHeight="1" x14ac:dyDescent="0.25">
      <c r="V2007" s="6"/>
      <c r="W2007" s="6"/>
      <c r="X2007" s="6"/>
      <c r="Y2007" s="6"/>
      <c r="Z2007" s="6"/>
      <c r="AA2007" s="6"/>
      <c r="AB2007" s="6"/>
      <c r="AC2007" s="6"/>
      <c r="AD2007" s="6"/>
      <c r="AE2007" s="6"/>
    </row>
    <row r="2008" spans="22:31" ht="11.25" customHeight="1" x14ac:dyDescent="0.25">
      <c r="V2008" s="6"/>
      <c r="W2008" s="6"/>
      <c r="X2008" s="6"/>
      <c r="Y2008" s="6"/>
      <c r="Z2008" s="6"/>
      <c r="AA2008" s="6"/>
      <c r="AB2008" s="6"/>
      <c r="AC2008" s="6"/>
      <c r="AD2008" s="6"/>
      <c r="AE2008" s="6"/>
    </row>
    <row r="2009" spans="22:31" ht="11.25" customHeight="1" x14ac:dyDescent="0.25">
      <c r="V2009" s="6"/>
      <c r="W2009" s="6"/>
      <c r="X2009" s="6"/>
      <c r="Y2009" s="6"/>
      <c r="Z2009" s="6"/>
      <c r="AA2009" s="6"/>
      <c r="AB2009" s="6"/>
      <c r="AC2009" s="6"/>
      <c r="AD2009" s="6"/>
      <c r="AE2009" s="6"/>
    </row>
    <row r="2010" spans="22:31" ht="11.25" customHeight="1" x14ac:dyDescent="0.25">
      <c r="V2010" s="6"/>
      <c r="W2010" s="6"/>
      <c r="X2010" s="6"/>
      <c r="Y2010" s="6"/>
      <c r="Z2010" s="6"/>
      <c r="AA2010" s="6"/>
      <c r="AB2010" s="6"/>
      <c r="AC2010" s="6"/>
      <c r="AD2010" s="6"/>
      <c r="AE2010" s="6"/>
    </row>
    <row r="2011" spans="22:31" ht="11.25" customHeight="1" x14ac:dyDescent="0.25">
      <c r="V2011" s="6"/>
      <c r="W2011" s="6"/>
      <c r="X2011" s="6"/>
      <c r="Y2011" s="6"/>
      <c r="Z2011" s="6"/>
      <c r="AA2011" s="6"/>
      <c r="AB2011" s="6"/>
      <c r="AC2011" s="6"/>
      <c r="AD2011" s="6"/>
      <c r="AE2011" s="6"/>
    </row>
    <row r="2012" spans="22:31" ht="11.25" customHeight="1" x14ac:dyDescent="0.25">
      <c r="V2012" s="6"/>
      <c r="W2012" s="6"/>
      <c r="X2012" s="6"/>
      <c r="Y2012" s="6"/>
      <c r="Z2012" s="6"/>
      <c r="AA2012" s="6"/>
      <c r="AB2012" s="6"/>
      <c r="AC2012" s="6"/>
      <c r="AD2012" s="6"/>
      <c r="AE2012" s="6"/>
    </row>
    <row r="2013" spans="22:31" ht="11.25" customHeight="1" x14ac:dyDescent="0.25">
      <c r="V2013" s="6"/>
      <c r="W2013" s="6"/>
      <c r="X2013" s="6"/>
      <c r="Y2013" s="6"/>
      <c r="Z2013" s="6"/>
      <c r="AA2013" s="6"/>
      <c r="AB2013" s="6"/>
      <c r="AC2013" s="6"/>
      <c r="AD2013" s="6"/>
      <c r="AE2013" s="6"/>
    </row>
    <row r="2014" spans="22:31" ht="11.25" customHeight="1" x14ac:dyDescent="0.25">
      <c r="V2014" s="6"/>
      <c r="W2014" s="6"/>
      <c r="X2014" s="6"/>
      <c r="Y2014" s="6"/>
      <c r="Z2014" s="6"/>
      <c r="AA2014" s="6"/>
      <c r="AB2014" s="6"/>
      <c r="AC2014" s="6"/>
      <c r="AD2014" s="6"/>
      <c r="AE2014" s="6"/>
    </row>
    <row r="2015" spans="22:31" ht="11.25" customHeight="1" x14ac:dyDescent="0.25">
      <c r="V2015" s="6"/>
      <c r="W2015" s="6"/>
      <c r="X2015" s="6"/>
      <c r="Y2015" s="6"/>
      <c r="Z2015" s="6"/>
      <c r="AA2015" s="6"/>
      <c r="AB2015" s="6"/>
      <c r="AC2015" s="6"/>
      <c r="AD2015" s="6"/>
      <c r="AE2015" s="6"/>
    </row>
    <row r="2016" spans="22:31" ht="11.25" customHeight="1" x14ac:dyDescent="0.25">
      <c r="V2016" s="6"/>
      <c r="W2016" s="6"/>
      <c r="X2016" s="6"/>
      <c r="Y2016" s="6"/>
      <c r="Z2016" s="6"/>
      <c r="AA2016" s="6"/>
      <c r="AB2016" s="6"/>
      <c r="AC2016" s="6"/>
      <c r="AD2016" s="6"/>
      <c r="AE2016" s="6"/>
    </row>
    <row r="2017" spans="22:31" ht="11.25" customHeight="1" x14ac:dyDescent="0.25">
      <c r="V2017" s="6"/>
      <c r="W2017" s="6"/>
      <c r="X2017" s="6"/>
      <c r="Y2017" s="6"/>
      <c r="Z2017" s="6"/>
      <c r="AA2017" s="6"/>
      <c r="AB2017" s="6"/>
      <c r="AC2017" s="6"/>
      <c r="AD2017" s="6"/>
      <c r="AE2017" s="6"/>
    </row>
    <row r="2018" spans="22:31" ht="11.25" customHeight="1" x14ac:dyDescent="0.25">
      <c r="V2018" s="6"/>
      <c r="W2018" s="6"/>
      <c r="X2018" s="6"/>
      <c r="Y2018" s="6"/>
      <c r="Z2018" s="6"/>
      <c r="AA2018" s="6"/>
      <c r="AB2018" s="6"/>
      <c r="AC2018" s="6"/>
      <c r="AD2018" s="6"/>
      <c r="AE2018" s="6"/>
    </row>
    <row r="2019" spans="22:31" ht="11.25" customHeight="1" x14ac:dyDescent="0.25">
      <c r="V2019" s="6"/>
      <c r="W2019" s="6"/>
      <c r="X2019" s="6"/>
      <c r="Y2019" s="6"/>
      <c r="Z2019" s="6"/>
      <c r="AA2019" s="6"/>
      <c r="AB2019" s="6"/>
      <c r="AC2019" s="6"/>
      <c r="AD2019" s="6"/>
      <c r="AE2019" s="6"/>
    </row>
    <row r="2020" spans="22:31" ht="11.25" customHeight="1" x14ac:dyDescent="0.25">
      <c r="V2020" s="6"/>
      <c r="W2020" s="6"/>
      <c r="X2020" s="6"/>
      <c r="Y2020" s="6"/>
      <c r="Z2020" s="6"/>
      <c r="AA2020" s="6"/>
      <c r="AB2020" s="6"/>
      <c r="AC2020" s="6"/>
      <c r="AD2020" s="6"/>
      <c r="AE2020" s="6"/>
    </row>
    <row r="2021" spans="22:31" ht="11.25" customHeight="1" x14ac:dyDescent="0.25">
      <c r="V2021" s="6"/>
      <c r="W2021" s="6"/>
      <c r="X2021" s="6"/>
      <c r="Y2021" s="6"/>
      <c r="Z2021" s="6"/>
      <c r="AA2021" s="6"/>
      <c r="AB2021" s="6"/>
      <c r="AC2021" s="6"/>
      <c r="AD2021" s="6"/>
      <c r="AE2021" s="6"/>
    </row>
    <row r="2022" spans="22:31" ht="11.25" customHeight="1" x14ac:dyDescent="0.25">
      <c r="V2022" s="6"/>
      <c r="W2022" s="6"/>
      <c r="X2022" s="6"/>
      <c r="Y2022" s="6"/>
      <c r="Z2022" s="6"/>
      <c r="AA2022" s="6"/>
      <c r="AB2022" s="6"/>
      <c r="AC2022" s="6"/>
      <c r="AD2022" s="6"/>
      <c r="AE2022" s="6"/>
    </row>
    <row r="2023" spans="22:31" ht="11.25" customHeight="1" x14ac:dyDescent="0.25">
      <c r="V2023" s="6"/>
      <c r="W2023" s="6"/>
      <c r="X2023" s="6"/>
      <c r="Y2023" s="6"/>
      <c r="Z2023" s="6"/>
      <c r="AA2023" s="6"/>
      <c r="AB2023" s="6"/>
      <c r="AC2023" s="6"/>
      <c r="AD2023" s="6"/>
      <c r="AE2023" s="6"/>
    </row>
    <row r="2024" spans="22:31" ht="11.25" customHeight="1" x14ac:dyDescent="0.25">
      <c r="V2024" s="6"/>
      <c r="W2024" s="6"/>
      <c r="X2024" s="6"/>
      <c r="Y2024" s="6"/>
      <c r="Z2024" s="6"/>
      <c r="AA2024" s="6"/>
      <c r="AB2024" s="6"/>
      <c r="AC2024" s="6"/>
      <c r="AD2024" s="6"/>
      <c r="AE2024" s="6"/>
    </row>
    <row r="2025" spans="22:31" ht="11.25" customHeight="1" x14ac:dyDescent="0.25">
      <c r="V2025" s="6"/>
      <c r="W2025" s="6"/>
      <c r="X2025" s="6"/>
      <c r="Y2025" s="6"/>
      <c r="Z2025" s="6"/>
      <c r="AA2025" s="6"/>
      <c r="AB2025" s="6"/>
      <c r="AC2025" s="6"/>
      <c r="AD2025" s="6"/>
      <c r="AE2025" s="6"/>
    </row>
    <row r="2026" spans="22:31" ht="11.25" customHeight="1" x14ac:dyDescent="0.25">
      <c r="V2026" s="6"/>
      <c r="W2026" s="6"/>
      <c r="X2026" s="6"/>
      <c r="Y2026" s="6"/>
      <c r="Z2026" s="6"/>
      <c r="AA2026" s="6"/>
      <c r="AB2026" s="6"/>
      <c r="AC2026" s="6"/>
      <c r="AD2026" s="6"/>
      <c r="AE2026" s="6"/>
    </row>
    <row r="2027" spans="22:31" ht="11.25" customHeight="1" x14ac:dyDescent="0.25">
      <c r="V2027" s="6"/>
      <c r="W2027" s="6"/>
      <c r="X2027" s="6"/>
      <c r="Y2027" s="6"/>
      <c r="Z2027" s="6"/>
      <c r="AA2027" s="6"/>
      <c r="AB2027" s="6"/>
      <c r="AC2027" s="6"/>
      <c r="AD2027" s="6"/>
      <c r="AE2027" s="6"/>
    </row>
    <row r="2028" spans="22:31" ht="11.25" customHeight="1" x14ac:dyDescent="0.25">
      <c r="V2028" s="6"/>
      <c r="W2028" s="6"/>
      <c r="X2028" s="6"/>
      <c r="Y2028" s="6"/>
      <c r="Z2028" s="6"/>
      <c r="AA2028" s="6"/>
      <c r="AB2028" s="6"/>
      <c r="AC2028" s="6"/>
      <c r="AD2028" s="6"/>
      <c r="AE2028" s="6"/>
    </row>
    <row r="2029" spans="22:31" ht="11.25" customHeight="1" x14ac:dyDescent="0.25">
      <c r="V2029" s="6"/>
      <c r="W2029" s="6"/>
      <c r="X2029" s="6"/>
      <c r="Y2029" s="6"/>
      <c r="Z2029" s="6"/>
      <c r="AA2029" s="6"/>
      <c r="AB2029" s="6"/>
      <c r="AC2029" s="6"/>
      <c r="AD2029" s="6"/>
      <c r="AE2029" s="6"/>
    </row>
    <row r="2030" spans="22:31" ht="11.25" customHeight="1" x14ac:dyDescent="0.25">
      <c r="V2030" s="6"/>
      <c r="W2030" s="6"/>
      <c r="X2030" s="6"/>
      <c r="Y2030" s="6"/>
      <c r="Z2030" s="6"/>
      <c r="AA2030" s="6"/>
      <c r="AB2030" s="6"/>
      <c r="AC2030" s="6"/>
      <c r="AD2030" s="6"/>
      <c r="AE2030" s="6"/>
    </row>
    <row r="2031" spans="22:31" ht="11.25" customHeight="1" x14ac:dyDescent="0.25">
      <c r="V2031" s="6"/>
      <c r="W2031" s="6"/>
      <c r="X2031" s="6"/>
      <c r="Y2031" s="6"/>
      <c r="Z2031" s="6"/>
      <c r="AA2031" s="6"/>
      <c r="AB2031" s="6"/>
      <c r="AC2031" s="6"/>
      <c r="AD2031" s="6"/>
      <c r="AE2031" s="6"/>
    </row>
    <row r="2032" spans="22:31" ht="11.25" customHeight="1" x14ac:dyDescent="0.25">
      <c r="V2032" s="6"/>
      <c r="W2032" s="6"/>
      <c r="X2032" s="6"/>
      <c r="Y2032" s="6"/>
      <c r="Z2032" s="6"/>
      <c r="AA2032" s="6"/>
      <c r="AB2032" s="6"/>
      <c r="AC2032" s="6"/>
      <c r="AD2032" s="6"/>
      <c r="AE2032" s="6"/>
    </row>
    <row r="2033" spans="22:31" ht="11.25" customHeight="1" x14ac:dyDescent="0.25">
      <c r="V2033" s="6"/>
      <c r="W2033" s="6"/>
      <c r="X2033" s="6"/>
      <c r="Y2033" s="6"/>
      <c r="Z2033" s="6"/>
      <c r="AA2033" s="6"/>
      <c r="AB2033" s="6"/>
      <c r="AC2033" s="6"/>
      <c r="AD2033" s="6"/>
      <c r="AE2033" s="6"/>
    </row>
    <row r="2034" spans="22:31" ht="11.25" customHeight="1" x14ac:dyDescent="0.25">
      <c r="V2034" s="6"/>
      <c r="W2034" s="6"/>
      <c r="X2034" s="6"/>
      <c r="Y2034" s="6"/>
      <c r="Z2034" s="6"/>
      <c r="AA2034" s="6"/>
      <c r="AB2034" s="6"/>
      <c r="AC2034" s="6"/>
      <c r="AD2034" s="6"/>
      <c r="AE2034" s="6"/>
    </row>
    <row r="2035" spans="22:31" ht="11.25" customHeight="1" x14ac:dyDescent="0.25">
      <c r="V2035" s="6"/>
      <c r="W2035" s="6"/>
      <c r="X2035" s="6"/>
      <c r="Y2035" s="6"/>
      <c r="Z2035" s="6"/>
      <c r="AA2035" s="6"/>
      <c r="AB2035" s="6"/>
      <c r="AC2035" s="6"/>
      <c r="AD2035" s="6"/>
      <c r="AE2035" s="6"/>
    </row>
    <row r="2036" spans="22:31" ht="11.25" customHeight="1" x14ac:dyDescent="0.25">
      <c r="V2036" s="6"/>
      <c r="W2036" s="6"/>
      <c r="X2036" s="6"/>
      <c r="Y2036" s="6"/>
      <c r="Z2036" s="6"/>
      <c r="AA2036" s="6"/>
      <c r="AB2036" s="6"/>
      <c r="AC2036" s="6"/>
      <c r="AD2036" s="6"/>
      <c r="AE2036" s="6"/>
    </row>
    <row r="2037" spans="22:31" ht="11.25" customHeight="1" x14ac:dyDescent="0.25">
      <c r="V2037" s="6"/>
      <c r="W2037" s="6"/>
      <c r="X2037" s="6"/>
      <c r="Y2037" s="6"/>
      <c r="Z2037" s="6"/>
      <c r="AA2037" s="6"/>
      <c r="AB2037" s="6"/>
      <c r="AC2037" s="6"/>
      <c r="AD2037" s="6"/>
      <c r="AE2037" s="6"/>
    </row>
    <row r="2038" spans="22:31" ht="11.25" customHeight="1" x14ac:dyDescent="0.25">
      <c r="V2038" s="6"/>
      <c r="W2038" s="6"/>
      <c r="X2038" s="6"/>
      <c r="Y2038" s="6"/>
      <c r="Z2038" s="6"/>
      <c r="AA2038" s="6"/>
      <c r="AB2038" s="6"/>
      <c r="AC2038" s="6"/>
      <c r="AD2038" s="6"/>
      <c r="AE2038" s="6"/>
    </row>
    <row r="2039" spans="22:31" ht="11.25" customHeight="1" x14ac:dyDescent="0.25">
      <c r="V2039" s="6"/>
      <c r="W2039" s="6"/>
      <c r="X2039" s="6"/>
      <c r="Y2039" s="6"/>
      <c r="Z2039" s="6"/>
      <c r="AA2039" s="6"/>
      <c r="AB2039" s="6"/>
      <c r="AC2039" s="6"/>
      <c r="AD2039" s="6"/>
      <c r="AE2039" s="6"/>
    </row>
    <row r="2040" spans="22:31" ht="11.25" customHeight="1" x14ac:dyDescent="0.25">
      <c r="V2040" s="6"/>
      <c r="W2040" s="6"/>
      <c r="X2040" s="6"/>
      <c r="Y2040" s="6"/>
      <c r="Z2040" s="6"/>
      <c r="AA2040" s="6"/>
      <c r="AB2040" s="6"/>
      <c r="AC2040" s="6"/>
      <c r="AD2040" s="6"/>
      <c r="AE2040" s="6"/>
    </row>
    <row r="2041" spans="22:31" ht="11.25" customHeight="1" x14ac:dyDescent="0.25">
      <c r="V2041" s="6"/>
      <c r="W2041" s="6"/>
      <c r="X2041" s="6"/>
      <c r="Y2041" s="6"/>
      <c r="Z2041" s="6"/>
      <c r="AA2041" s="6"/>
      <c r="AB2041" s="6"/>
      <c r="AC2041" s="6"/>
      <c r="AD2041" s="6"/>
      <c r="AE2041" s="6"/>
    </row>
    <row r="2042" spans="22:31" ht="11.25" customHeight="1" x14ac:dyDescent="0.25">
      <c r="V2042" s="6"/>
      <c r="W2042" s="6"/>
      <c r="X2042" s="6"/>
      <c r="Y2042" s="6"/>
      <c r="Z2042" s="6"/>
      <c r="AA2042" s="6"/>
      <c r="AB2042" s="6"/>
      <c r="AC2042" s="6"/>
      <c r="AD2042" s="6"/>
      <c r="AE2042" s="6"/>
    </row>
    <row r="2043" spans="22:31" ht="11.25" customHeight="1" x14ac:dyDescent="0.25">
      <c r="V2043" s="6"/>
      <c r="W2043" s="6"/>
      <c r="X2043" s="6"/>
      <c r="Y2043" s="6"/>
      <c r="Z2043" s="6"/>
      <c r="AA2043" s="6"/>
      <c r="AB2043" s="6"/>
      <c r="AC2043" s="6"/>
      <c r="AD2043" s="6"/>
      <c r="AE2043" s="6"/>
    </row>
    <row r="2044" spans="22:31" ht="11.25" customHeight="1" x14ac:dyDescent="0.25">
      <c r="V2044" s="6"/>
      <c r="W2044" s="6"/>
      <c r="X2044" s="6"/>
      <c r="Y2044" s="6"/>
      <c r="Z2044" s="6"/>
      <c r="AA2044" s="6"/>
      <c r="AB2044" s="6"/>
      <c r="AC2044" s="6"/>
      <c r="AD2044" s="6"/>
      <c r="AE2044" s="6"/>
    </row>
    <row r="2045" spans="22:31" ht="11.25" customHeight="1" x14ac:dyDescent="0.25">
      <c r="V2045" s="6"/>
      <c r="W2045" s="6"/>
      <c r="X2045" s="6"/>
      <c r="Y2045" s="6"/>
      <c r="Z2045" s="6"/>
      <c r="AA2045" s="6"/>
      <c r="AB2045" s="6"/>
      <c r="AC2045" s="6"/>
      <c r="AD2045" s="6"/>
      <c r="AE2045" s="6"/>
    </row>
    <row r="2046" spans="22:31" ht="11.25" customHeight="1" x14ac:dyDescent="0.25">
      <c r="V2046" s="6"/>
      <c r="W2046" s="6"/>
      <c r="X2046" s="6"/>
      <c r="Y2046" s="6"/>
      <c r="Z2046" s="6"/>
      <c r="AA2046" s="6"/>
      <c r="AB2046" s="6"/>
      <c r="AC2046" s="6"/>
      <c r="AD2046" s="6"/>
      <c r="AE2046" s="6"/>
    </row>
    <row r="2047" spans="22:31" ht="11.25" customHeight="1" x14ac:dyDescent="0.25">
      <c r="V2047" s="6"/>
      <c r="W2047" s="6"/>
      <c r="X2047" s="6"/>
      <c r="Y2047" s="6"/>
      <c r="Z2047" s="6"/>
      <c r="AA2047" s="6"/>
      <c r="AB2047" s="6"/>
      <c r="AC2047" s="6"/>
      <c r="AD2047" s="6"/>
      <c r="AE2047" s="6"/>
    </row>
    <row r="2048" spans="22:31" ht="11.25" customHeight="1" x14ac:dyDescent="0.25">
      <c r="V2048" s="6"/>
      <c r="W2048" s="6"/>
      <c r="X2048" s="6"/>
      <c r="Y2048" s="6"/>
      <c r="Z2048" s="6"/>
      <c r="AA2048" s="6"/>
      <c r="AB2048" s="6"/>
      <c r="AC2048" s="6"/>
      <c r="AD2048" s="6"/>
      <c r="AE2048" s="6"/>
    </row>
    <row r="2049" spans="22:31" ht="11.25" customHeight="1" x14ac:dyDescent="0.25">
      <c r="V2049" s="6"/>
      <c r="W2049" s="6"/>
      <c r="X2049" s="6"/>
      <c r="Y2049" s="6"/>
      <c r="Z2049" s="6"/>
      <c r="AA2049" s="6"/>
      <c r="AB2049" s="6"/>
      <c r="AC2049" s="6"/>
      <c r="AD2049" s="6"/>
      <c r="AE2049" s="6"/>
    </row>
    <row r="2050" spans="22:31" ht="11.25" customHeight="1" x14ac:dyDescent="0.25">
      <c r="V2050" s="6"/>
      <c r="W2050" s="6"/>
      <c r="X2050" s="6"/>
      <c r="Y2050" s="6"/>
      <c r="Z2050" s="6"/>
      <c r="AA2050" s="6"/>
      <c r="AB2050" s="6"/>
      <c r="AC2050" s="6"/>
      <c r="AD2050" s="6"/>
      <c r="AE2050" s="6"/>
    </row>
    <row r="2051" spans="22:31" ht="11.25" customHeight="1" x14ac:dyDescent="0.25">
      <c r="V2051" s="6"/>
      <c r="W2051" s="6"/>
      <c r="X2051" s="6"/>
      <c r="Y2051" s="6"/>
      <c r="Z2051" s="6"/>
      <c r="AA2051" s="6"/>
      <c r="AB2051" s="6"/>
      <c r="AC2051" s="6"/>
      <c r="AD2051" s="6"/>
      <c r="AE2051" s="6"/>
    </row>
    <row r="2052" spans="22:31" ht="11.25" customHeight="1" x14ac:dyDescent="0.25">
      <c r="V2052" s="6"/>
      <c r="W2052" s="6"/>
      <c r="X2052" s="6"/>
      <c r="Y2052" s="6"/>
      <c r="Z2052" s="6"/>
      <c r="AA2052" s="6"/>
      <c r="AB2052" s="6"/>
      <c r="AC2052" s="6"/>
      <c r="AD2052" s="6"/>
      <c r="AE2052" s="6"/>
    </row>
    <row r="2053" spans="22:31" ht="11.25" customHeight="1" x14ac:dyDescent="0.25">
      <c r="V2053" s="6"/>
      <c r="W2053" s="6"/>
      <c r="X2053" s="6"/>
      <c r="Y2053" s="6"/>
      <c r="Z2053" s="6"/>
      <c r="AA2053" s="6"/>
      <c r="AB2053" s="6"/>
      <c r="AC2053" s="6"/>
      <c r="AD2053" s="6"/>
      <c r="AE2053" s="6"/>
    </row>
    <row r="2054" spans="22:31" ht="11.25" customHeight="1" x14ac:dyDescent="0.25">
      <c r="V2054" s="6"/>
      <c r="W2054" s="6"/>
      <c r="X2054" s="6"/>
      <c r="Y2054" s="6"/>
      <c r="Z2054" s="6"/>
      <c r="AA2054" s="6"/>
      <c r="AB2054" s="6"/>
      <c r="AC2054" s="6"/>
      <c r="AD2054" s="6"/>
      <c r="AE2054" s="6"/>
    </row>
    <row r="2055" spans="22:31" ht="11.25" customHeight="1" x14ac:dyDescent="0.25">
      <c r="V2055" s="6"/>
      <c r="W2055" s="6"/>
      <c r="X2055" s="6"/>
      <c r="Y2055" s="6"/>
      <c r="Z2055" s="6"/>
      <c r="AA2055" s="6"/>
      <c r="AB2055" s="6"/>
      <c r="AC2055" s="6"/>
      <c r="AD2055" s="6"/>
      <c r="AE2055" s="6"/>
    </row>
    <row r="2056" spans="22:31" ht="11.25" customHeight="1" x14ac:dyDescent="0.25">
      <c r="V2056" s="6"/>
      <c r="W2056" s="6"/>
      <c r="X2056" s="6"/>
      <c r="Y2056" s="6"/>
      <c r="Z2056" s="6"/>
      <c r="AA2056" s="6"/>
      <c r="AB2056" s="6"/>
      <c r="AC2056" s="6"/>
      <c r="AD2056" s="6"/>
      <c r="AE2056" s="6"/>
    </row>
    <row r="2057" spans="22:31" ht="11.25" customHeight="1" x14ac:dyDescent="0.25">
      <c r="V2057" s="6"/>
      <c r="W2057" s="6"/>
      <c r="X2057" s="6"/>
      <c r="Y2057" s="6"/>
      <c r="Z2057" s="6"/>
      <c r="AA2057" s="6"/>
      <c r="AB2057" s="6"/>
      <c r="AC2057" s="6"/>
      <c r="AD2057" s="6"/>
      <c r="AE2057" s="6"/>
    </row>
    <row r="2058" spans="22:31" ht="11.25" customHeight="1" x14ac:dyDescent="0.25">
      <c r="V2058" s="6"/>
      <c r="W2058" s="6"/>
      <c r="X2058" s="6"/>
      <c r="Y2058" s="6"/>
      <c r="Z2058" s="6"/>
      <c r="AA2058" s="6"/>
      <c r="AB2058" s="6"/>
      <c r="AC2058" s="6"/>
      <c r="AD2058" s="6"/>
      <c r="AE2058" s="6"/>
    </row>
    <row r="2059" spans="22:31" ht="11.25" customHeight="1" x14ac:dyDescent="0.25">
      <c r="V2059" s="6"/>
      <c r="W2059" s="6"/>
      <c r="X2059" s="6"/>
      <c r="Y2059" s="6"/>
      <c r="Z2059" s="6"/>
      <c r="AA2059" s="6"/>
      <c r="AB2059" s="6"/>
      <c r="AC2059" s="6"/>
      <c r="AD2059" s="6"/>
      <c r="AE2059" s="6"/>
    </row>
    <row r="2060" spans="22:31" ht="11.25" customHeight="1" x14ac:dyDescent="0.25">
      <c r="V2060" s="6"/>
      <c r="W2060" s="6"/>
      <c r="X2060" s="6"/>
      <c r="Y2060" s="6"/>
      <c r="Z2060" s="6"/>
      <c r="AA2060" s="6"/>
      <c r="AB2060" s="6"/>
      <c r="AC2060" s="6"/>
      <c r="AD2060" s="6"/>
      <c r="AE2060" s="6"/>
    </row>
    <row r="2061" spans="22:31" ht="11.25" customHeight="1" x14ac:dyDescent="0.25">
      <c r="V2061" s="6"/>
      <c r="W2061" s="6"/>
      <c r="X2061" s="6"/>
      <c r="Y2061" s="6"/>
      <c r="Z2061" s="6"/>
      <c r="AA2061" s="6"/>
      <c r="AB2061" s="6"/>
      <c r="AC2061" s="6"/>
      <c r="AD2061" s="6"/>
      <c r="AE2061" s="6"/>
    </row>
    <row r="2062" spans="22:31" ht="11.25" customHeight="1" x14ac:dyDescent="0.25">
      <c r="V2062" s="6"/>
      <c r="W2062" s="6"/>
      <c r="X2062" s="6"/>
      <c r="Y2062" s="6"/>
      <c r="Z2062" s="6"/>
      <c r="AA2062" s="6"/>
      <c r="AB2062" s="6"/>
      <c r="AC2062" s="6"/>
      <c r="AD2062" s="6"/>
      <c r="AE2062" s="6"/>
    </row>
    <row r="2063" spans="22:31" ht="11.25" customHeight="1" x14ac:dyDescent="0.25">
      <c r="V2063" s="6"/>
      <c r="W2063" s="6"/>
      <c r="X2063" s="6"/>
      <c r="Y2063" s="6"/>
      <c r="Z2063" s="6"/>
      <c r="AA2063" s="6"/>
      <c r="AB2063" s="6"/>
      <c r="AC2063" s="6"/>
      <c r="AD2063" s="6"/>
      <c r="AE2063" s="6"/>
    </row>
    <row r="2064" spans="22:31" ht="11.25" customHeight="1" x14ac:dyDescent="0.25">
      <c r="V2064" s="6"/>
      <c r="W2064" s="6"/>
      <c r="X2064" s="6"/>
      <c r="Y2064" s="6"/>
      <c r="Z2064" s="6"/>
      <c r="AA2064" s="6"/>
      <c r="AB2064" s="6"/>
      <c r="AC2064" s="6"/>
      <c r="AD2064" s="6"/>
      <c r="AE2064" s="6"/>
    </row>
    <row r="2065" spans="22:31" ht="11.25" customHeight="1" x14ac:dyDescent="0.25">
      <c r="V2065" s="6"/>
      <c r="W2065" s="6"/>
      <c r="X2065" s="6"/>
      <c r="Y2065" s="6"/>
      <c r="Z2065" s="6"/>
      <c r="AA2065" s="6"/>
      <c r="AB2065" s="6"/>
      <c r="AC2065" s="6"/>
      <c r="AD2065" s="6"/>
      <c r="AE2065" s="6"/>
    </row>
    <row r="2066" spans="22:31" ht="11.25" customHeight="1" x14ac:dyDescent="0.25">
      <c r="V2066" s="6"/>
      <c r="W2066" s="6"/>
      <c r="X2066" s="6"/>
      <c r="Y2066" s="6"/>
      <c r="Z2066" s="6"/>
      <c r="AA2066" s="6"/>
      <c r="AB2066" s="6"/>
      <c r="AC2066" s="6"/>
      <c r="AD2066" s="6"/>
      <c r="AE2066" s="6"/>
    </row>
    <row r="2067" spans="22:31" ht="11.25" customHeight="1" x14ac:dyDescent="0.25">
      <c r="V2067" s="6"/>
      <c r="W2067" s="6"/>
      <c r="X2067" s="6"/>
      <c r="Y2067" s="6"/>
      <c r="Z2067" s="6"/>
      <c r="AA2067" s="6"/>
      <c r="AB2067" s="6"/>
      <c r="AC2067" s="6"/>
      <c r="AD2067" s="6"/>
      <c r="AE2067" s="6"/>
    </row>
    <row r="2068" spans="22:31" ht="11.25" customHeight="1" x14ac:dyDescent="0.25">
      <c r="V2068" s="6"/>
      <c r="W2068" s="6"/>
      <c r="X2068" s="6"/>
      <c r="Y2068" s="6"/>
      <c r="Z2068" s="6"/>
      <c r="AA2068" s="6"/>
      <c r="AB2068" s="6"/>
      <c r="AC2068" s="6"/>
      <c r="AD2068" s="6"/>
      <c r="AE2068" s="6"/>
    </row>
    <row r="2069" spans="22:31" ht="11.25" customHeight="1" x14ac:dyDescent="0.25">
      <c r="V2069" s="6"/>
      <c r="W2069" s="6"/>
      <c r="X2069" s="6"/>
      <c r="Y2069" s="6"/>
      <c r="Z2069" s="6"/>
      <c r="AA2069" s="6"/>
      <c r="AB2069" s="6"/>
      <c r="AC2069" s="6"/>
      <c r="AD2069" s="6"/>
      <c r="AE2069" s="6"/>
    </row>
    <row r="2070" spans="22:31" ht="11.25" customHeight="1" x14ac:dyDescent="0.25">
      <c r="V2070" s="6"/>
      <c r="W2070" s="6"/>
      <c r="X2070" s="6"/>
      <c r="Y2070" s="6"/>
      <c r="Z2070" s="6"/>
      <c r="AA2070" s="6"/>
      <c r="AB2070" s="6"/>
      <c r="AC2070" s="6"/>
      <c r="AD2070" s="6"/>
      <c r="AE2070" s="6"/>
    </row>
    <row r="2071" spans="22:31" ht="11.25" customHeight="1" x14ac:dyDescent="0.25">
      <c r="V2071" s="6"/>
      <c r="W2071" s="6"/>
      <c r="X2071" s="6"/>
      <c r="Y2071" s="6"/>
      <c r="Z2071" s="6"/>
      <c r="AA2071" s="6"/>
      <c r="AB2071" s="6"/>
      <c r="AC2071" s="6"/>
      <c r="AD2071" s="6"/>
      <c r="AE2071" s="6"/>
    </row>
    <row r="2072" spans="22:31" ht="11.25" customHeight="1" x14ac:dyDescent="0.25">
      <c r="V2072" s="6"/>
      <c r="W2072" s="6"/>
      <c r="X2072" s="6"/>
      <c r="Y2072" s="6"/>
      <c r="Z2072" s="6"/>
      <c r="AA2072" s="6"/>
      <c r="AB2072" s="6"/>
      <c r="AC2072" s="6"/>
      <c r="AD2072" s="6"/>
      <c r="AE2072" s="6"/>
    </row>
    <row r="2073" spans="22:31" ht="11.25" customHeight="1" x14ac:dyDescent="0.25">
      <c r="V2073" s="6"/>
      <c r="W2073" s="6"/>
      <c r="X2073" s="6"/>
      <c r="Y2073" s="6"/>
      <c r="Z2073" s="6"/>
      <c r="AA2073" s="6"/>
      <c r="AB2073" s="6"/>
      <c r="AC2073" s="6"/>
      <c r="AD2073" s="6"/>
      <c r="AE2073" s="6"/>
    </row>
    <row r="2074" spans="22:31" ht="11.25" customHeight="1" x14ac:dyDescent="0.25">
      <c r="V2074" s="6"/>
      <c r="W2074" s="6"/>
      <c r="X2074" s="6"/>
      <c r="Y2074" s="6"/>
      <c r="Z2074" s="6"/>
      <c r="AA2074" s="6"/>
      <c r="AB2074" s="6"/>
      <c r="AC2074" s="6"/>
      <c r="AD2074" s="6"/>
      <c r="AE2074" s="6"/>
    </row>
    <row r="2075" spans="22:31" ht="11.25" customHeight="1" x14ac:dyDescent="0.25">
      <c r="V2075" s="6"/>
      <c r="W2075" s="6"/>
      <c r="X2075" s="6"/>
      <c r="Y2075" s="6"/>
      <c r="Z2075" s="6"/>
      <c r="AA2075" s="6"/>
      <c r="AB2075" s="6"/>
      <c r="AC2075" s="6"/>
      <c r="AD2075" s="6"/>
      <c r="AE2075" s="6"/>
    </row>
    <row r="2076" spans="22:31" ht="11.25" customHeight="1" x14ac:dyDescent="0.25">
      <c r="V2076" s="6"/>
      <c r="W2076" s="6"/>
      <c r="X2076" s="6"/>
      <c r="Y2076" s="6"/>
      <c r="Z2076" s="6"/>
      <c r="AA2076" s="6"/>
      <c r="AB2076" s="6"/>
      <c r="AC2076" s="6"/>
      <c r="AD2076" s="6"/>
      <c r="AE2076" s="6"/>
    </row>
    <row r="2077" spans="22:31" ht="11.25" customHeight="1" x14ac:dyDescent="0.25">
      <c r="V2077" s="6"/>
      <c r="W2077" s="6"/>
      <c r="X2077" s="6"/>
      <c r="Y2077" s="6"/>
      <c r="Z2077" s="6"/>
      <c r="AA2077" s="6"/>
      <c r="AB2077" s="6"/>
      <c r="AC2077" s="6"/>
      <c r="AD2077" s="6"/>
      <c r="AE2077" s="6"/>
    </row>
    <row r="2078" spans="22:31" ht="11.25" customHeight="1" x14ac:dyDescent="0.25">
      <c r="V2078" s="6"/>
      <c r="W2078" s="6"/>
      <c r="X2078" s="6"/>
      <c r="Y2078" s="6"/>
      <c r="Z2078" s="6"/>
      <c r="AA2078" s="6"/>
      <c r="AB2078" s="6"/>
      <c r="AC2078" s="6"/>
      <c r="AD2078" s="6"/>
      <c r="AE2078" s="6"/>
    </row>
    <row r="2079" spans="22:31" ht="11.25" customHeight="1" x14ac:dyDescent="0.25">
      <c r="V2079" s="6"/>
      <c r="W2079" s="6"/>
      <c r="X2079" s="6"/>
      <c r="Y2079" s="6"/>
      <c r="Z2079" s="6"/>
      <c r="AA2079" s="6"/>
      <c r="AB2079" s="6"/>
      <c r="AC2079" s="6"/>
      <c r="AD2079" s="6"/>
      <c r="AE2079" s="6"/>
    </row>
    <row r="2080" spans="22:31" ht="11.25" customHeight="1" x14ac:dyDescent="0.25">
      <c r="V2080" s="6"/>
      <c r="W2080" s="6"/>
      <c r="X2080" s="6"/>
      <c r="Y2080" s="6"/>
      <c r="Z2080" s="6"/>
      <c r="AA2080" s="6"/>
      <c r="AB2080" s="6"/>
      <c r="AC2080" s="6"/>
      <c r="AD2080" s="6"/>
      <c r="AE2080" s="6"/>
    </row>
    <row r="2081" spans="22:31" ht="11.25" customHeight="1" x14ac:dyDescent="0.25">
      <c r="V2081" s="6"/>
      <c r="W2081" s="6"/>
      <c r="X2081" s="6"/>
      <c r="Y2081" s="6"/>
      <c r="Z2081" s="6"/>
      <c r="AA2081" s="6"/>
      <c r="AB2081" s="6"/>
      <c r="AC2081" s="6"/>
      <c r="AD2081" s="6"/>
      <c r="AE2081" s="6"/>
    </row>
    <row r="2082" spans="22:31" ht="11.25" customHeight="1" x14ac:dyDescent="0.25">
      <c r="V2082" s="6"/>
      <c r="W2082" s="6"/>
      <c r="X2082" s="6"/>
      <c r="Y2082" s="6"/>
      <c r="Z2082" s="6"/>
      <c r="AA2082" s="6"/>
      <c r="AB2082" s="6"/>
      <c r="AC2082" s="6"/>
      <c r="AD2082" s="6"/>
      <c r="AE2082" s="6"/>
    </row>
    <row r="2083" spans="22:31" ht="11.25" customHeight="1" x14ac:dyDescent="0.25">
      <c r="V2083" s="6"/>
      <c r="W2083" s="6"/>
      <c r="X2083" s="6"/>
      <c r="Y2083" s="6"/>
      <c r="Z2083" s="6"/>
      <c r="AA2083" s="6"/>
      <c r="AB2083" s="6"/>
      <c r="AC2083" s="6"/>
      <c r="AD2083" s="6"/>
      <c r="AE2083" s="6"/>
    </row>
    <row r="2084" spans="22:31" ht="11.25" customHeight="1" x14ac:dyDescent="0.25">
      <c r="V2084" s="6"/>
      <c r="W2084" s="6"/>
      <c r="X2084" s="6"/>
      <c r="Y2084" s="6"/>
      <c r="Z2084" s="6"/>
      <c r="AA2084" s="6"/>
      <c r="AB2084" s="6"/>
      <c r="AC2084" s="6"/>
      <c r="AD2084" s="6"/>
      <c r="AE2084" s="6"/>
    </row>
    <row r="2085" spans="22:31" ht="11.25" customHeight="1" x14ac:dyDescent="0.25">
      <c r="V2085" s="6"/>
      <c r="W2085" s="6"/>
      <c r="X2085" s="6"/>
      <c r="Y2085" s="6"/>
      <c r="Z2085" s="6"/>
      <c r="AA2085" s="6"/>
      <c r="AB2085" s="6"/>
      <c r="AC2085" s="6"/>
      <c r="AD2085" s="6"/>
      <c r="AE2085" s="6"/>
    </row>
    <row r="2086" spans="22:31" ht="11.25" customHeight="1" x14ac:dyDescent="0.25">
      <c r="V2086" s="6"/>
      <c r="W2086" s="6"/>
      <c r="X2086" s="6"/>
      <c r="Y2086" s="6"/>
      <c r="Z2086" s="6"/>
      <c r="AA2086" s="6"/>
      <c r="AB2086" s="6"/>
      <c r="AC2086" s="6"/>
      <c r="AD2086" s="6"/>
      <c r="AE2086" s="6"/>
    </row>
    <row r="2087" spans="22:31" ht="11.25" customHeight="1" x14ac:dyDescent="0.25">
      <c r="V2087" s="6"/>
      <c r="W2087" s="6"/>
      <c r="X2087" s="6"/>
      <c r="Y2087" s="6"/>
      <c r="Z2087" s="6"/>
      <c r="AA2087" s="6"/>
      <c r="AB2087" s="6"/>
      <c r="AC2087" s="6"/>
      <c r="AD2087" s="6"/>
      <c r="AE2087" s="6"/>
    </row>
    <row r="2088" spans="22:31" ht="11.25" customHeight="1" x14ac:dyDescent="0.25">
      <c r="V2088" s="6"/>
      <c r="W2088" s="6"/>
      <c r="X2088" s="6"/>
      <c r="Y2088" s="6"/>
      <c r="Z2088" s="6"/>
      <c r="AA2088" s="6"/>
      <c r="AB2088" s="6"/>
      <c r="AC2088" s="6"/>
      <c r="AD2088" s="6"/>
      <c r="AE2088" s="6"/>
    </row>
    <row r="2089" spans="22:31" ht="11.25" customHeight="1" x14ac:dyDescent="0.25">
      <c r="V2089" s="6"/>
      <c r="W2089" s="6"/>
      <c r="X2089" s="6"/>
      <c r="Y2089" s="6"/>
      <c r="Z2089" s="6"/>
      <c r="AA2089" s="6"/>
      <c r="AB2089" s="6"/>
      <c r="AC2089" s="6"/>
      <c r="AD2089" s="6"/>
      <c r="AE2089" s="6"/>
    </row>
    <row r="2090" spans="22:31" ht="11.25" customHeight="1" x14ac:dyDescent="0.25">
      <c r="V2090" s="6"/>
      <c r="W2090" s="6"/>
      <c r="X2090" s="6"/>
      <c r="Y2090" s="6"/>
      <c r="Z2090" s="6"/>
      <c r="AA2090" s="6"/>
      <c r="AB2090" s="6"/>
      <c r="AC2090" s="6"/>
      <c r="AD2090" s="6"/>
      <c r="AE2090" s="6"/>
    </row>
    <row r="2091" spans="22:31" ht="11.25" customHeight="1" x14ac:dyDescent="0.25">
      <c r="V2091" s="6"/>
      <c r="W2091" s="6"/>
      <c r="X2091" s="6"/>
      <c r="Y2091" s="6"/>
      <c r="Z2091" s="6"/>
      <c r="AA2091" s="6"/>
      <c r="AB2091" s="6"/>
      <c r="AC2091" s="6"/>
      <c r="AD2091" s="6"/>
      <c r="AE2091" s="6"/>
    </row>
    <row r="2092" spans="22:31" ht="11.25" customHeight="1" x14ac:dyDescent="0.25">
      <c r="V2092" s="6"/>
      <c r="W2092" s="6"/>
      <c r="X2092" s="6"/>
      <c r="Y2092" s="6"/>
      <c r="Z2092" s="6"/>
      <c r="AA2092" s="6"/>
      <c r="AB2092" s="6"/>
      <c r="AC2092" s="6"/>
      <c r="AD2092" s="6"/>
      <c r="AE2092" s="6"/>
    </row>
    <row r="2093" spans="22:31" ht="11.25" customHeight="1" x14ac:dyDescent="0.25">
      <c r="V2093" s="6"/>
      <c r="W2093" s="6"/>
      <c r="X2093" s="6"/>
      <c r="Y2093" s="6"/>
      <c r="Z2093" s="6"/>
      <c r="AA2093" s="6"/>
      <c r="AB2093" s="6"/>
      <c r="AC2093" s="6"/>
      <c r="AD2093" s="6"/>
      <c r="AE2093" s="6"/>
    </row>
    <row r="2094" spans="22:31" ht="11.25" customHeight="1" x14ac:dyDescent="0.25">
      <c r="V2094" s="6"/>
      <c r="W2094" s="6"/>
      <c r="X2094" s="6"/>
      <c r="Y2094" s="6"/>
      <c r="Z2094" s="6"/>
      <c r="AA2094" s="6"/>
      <c r="AB2094" s="6"/>
      <c r="AC2094" s="6"/>
      <c r="AD2094" s="6"/>
      <c r="AE2094" s="6"/>
    </row>
    <row r="2095" spans="22:31" ht="11.25" customHeight="1" x14ac:dyDescent="0.25">
      <c r="V2095" s="6"/>
      <c r="W2095" s="6"/>
      <c r="X2095" s="6"/>
      <c r="Y2095" s="6"/>
      <c r="Z2095" s="6"/>
      <c r="AA2095" s="6"/>
      <c r="AB2095" s="6"/>
      <c r="AC2095" s="6"/>
      <c r="AD2095" s="6"/>
      <c r="AE2095" s="6"/>
    </row>
    <row r="2096" spans="22:31" ht="11.25" customHeight="1" x14ac:dyDescent="0.25">
      <c r="V2096" s="6"/>
      <c r="W2096" s="6"/>
      <c r="X2096" s="6"/>
      <c r="Y2096" s="6"/>
      <c r="Z2096" s="6"/>
      <c r="AA2096" s="6"/>
      <c r="AB2096" s="6"/>
      <c r="AC2096" s="6"/>
      <c r="AD2096" s="6"/>
      <c r="AE2096" s="6"/>
    </row>
    <row r="2097" spans="22:31" ht="11.25" customHeight="1" x14ac:dyDescent="0.25">
      <c r="V2097" s="6"/>
      <c r="W2097" s="6"/>
      <c r="X2097" s="6"/>
      <c r="Y2097" s="6"/>
      <c r="Z2097" s="6"/>
      <c r="AA2097" s="6"/>
      <c r="AB2097" s="6"/>
      <c r="AC2097" s="6"/>
      <c r="AD2097" s="6"/>
      <c r="AE2097" s="6"/>
    </row>
    <row r="2098" spans="22:31" ht="11.25" customHeight="1" x14ac:dyDescent="0.25">
      <c r="V2098" s="6"/>
      <c r="W2098" s="6"/>
      <c r="X2098" s="6"/>
      <c r="Y2098" s="6"/>
      <c r="Z2098" s="6"/>
      <c r="AA2098" s="6"/>
      <c r="AB2098" s="6"/>
      <c r="AC2098" s="6"/>
      <c r="AD2098" s="6"/>
      <c r="AE2098" s="6"/>
    </row>
    <row r="2099" spans="22:31" ht="11.25" customHeight="1" x14ac:dyDescent="0.25">
      <c r="V2099" s="6"/>
      <c r="W2099" s="6"/>
      <c r="X2099" s="6"/>
      <c r="Y2099" s="6"/>
      <c r="Z2099" s="6"/>
      <c r="AA2099" s="6"/>
      <c r="AB2099" s="6"/>
      <c r="AC2099" s="6"/>
      <c r="AD2099" s="6"/>
      <c r="AE2099" s="6"/>
    </row>
    <row r="2100" spans="22:31" ht="11.25" customHeight="1" x14ac:dyDescent="0.25">
      <c r="V2100" s="6"/>
      <c r="W2100" s="6"/>
      <c r="X2100" s="6"/>
      <c r="Y2100" s="6"/>
      <c r="Z2100" s="6"/>
      <c r="AA2100" s="6"/>
      <c r="AB2100" s="6"/>
      <c r="AC2100" s="6"/>
      <c r="AD2100" s="6"/>
      <c r="AE2100" s="6"/>
    </row>
    <row r="2101" spans="22:31" ht="11.25" customHeight="1" x14ac:dyDescent="0.25">
      <c r="V2101" s="6"/>
      <c r="W2101" s="6"/>
      <c r="X2101" s="6"/>
      <c r="Y2101" s="6"/>
      <c r="Z2101" s="6"/>
      <c r="AA2101" s="6"/>
      <c r="AB2101" s="6"/>
      <c r="AC2101" s="6"/>
      <c r="AD2101" s="6"/>
      <c r="AE2101" s="6"/>
    </row>
    <row r="2102" spans="22:31" ht="11.25" customHeight="1" x14ac:dyDescent="0.25">
      <c r="V2102" s="6"/>
      <c r="W2102" s="6"/>
      <c r="X2102" s="6"/>
      <c r="Y2102" s="6"/>
      <c r="Z2102" s="6"/>
      <c r="AA2102" s="6"/>
      <c r="AB2102" s="6"/>
      <c r="AC2102" s="6"/>
      <c r="AD2102" s="6"/>
      <c r="AE2102" s="6"/>
    </row>
    <row r="2103" spans="22:31" ht="11.25" customHeight="1" x14ac:dyDescent="0.25">
      <c r="V2103" s="6"/>
      <c r="W2103" s="6"/>
      <c r="X2103" s="6"/>
      <c r="Y2103" s="6"/>
      <c r="Z2103" s="6"/>
      <c r="AA2103" s="6"/>
      <c r="AB2103" s="6"/>
      <c r="AC2103" s="6"/>
      <c r="AD2103" s="6"/>
      <c r="AE2103" s="6"/>
    </row>
    <row r="2104" spans="22:31" ht="11.25" customHeight="1" x14ac:dyDescent="0.25">
      <c r="V2104" s="6"/>
      <c r="W2104" s="6"/>
      <c r="X2104" s="6"/>
      <c r="Y2104" s="6"/>
      <c r="Z2104" s="6"/>
      <c r="AA2104" s="6"/>
      <c r="AB2104" s="6"/>
      <c r="AC2104" s="6"/>
      <c r="AD2104" s="6"/>
      <c r="AE2104" s="6"/>
    </row>
    <row r="2105" spans="22:31" ht="11.25" customHeight="1" x14ac:dyDescent="0.25">
      <c r="V2105" s="6"/>
      <c r="W2105" s="6"/>
      <c r="X2105" s="6"/>
      <c r="Y2105" s="6"/>
      <c r="Z2105" s="6"/>
      <c r="AA2105" s="6"/>
      <c r="AB2105" s="6"/>
      <c r="AC2105" s="6"/>
      <c r="AD2105" s="6"/>
      <c r="AE2105" s="6"/>
    </row>
    <row r="2106" spans="22:31" ht="11.25" customHeight="1" x14ac:dyDescent="0.25">
      <c r="V2106" s="6"/>
      <c r="W2106" s="6"/>
      <c r="X2106" s="6"/>
      <c r="Y2106" s="6"/>
      <c r="Z2106" s="6"/>
      <c r="AA2106" s="6"/>
      <c r="AB2106" s="6"/>
      <c r="AC2106" s="6"/>
      <c r="AD2106" s="6"/>
      <c r="AE2106" s="6"/>
    </row>
    <row r="2107" spans="22:31" ht="11.25" customHeight="1" x14ac:dyDescent="0.25">
      <c r="V2107" s="6"/>
      <c r="W2107" s="6"/>
      <c r="X2107" s="6"/>
      <c r="Y2107" s="6"/>
      <c r="Z2107" s="6"/>
      <c r="AA2107" s="6"/>
      <c r="AB2107" s="6"/>
      <c r="AC2107" s="6"/>
      <c r="AD2107" s="6"/>
      <c r="AE2107" s="6"/>
    </row>
    <row r="2108" spans="22:31" ht="11.25" customHeight="1" x14ac:dyDescent="0.25">
      <c r="V2108" s="6"/>
      <c r="W2108" s="6"/>
      <c r="X2108" s="6"/>
      <c r="Y2108" s="6"/>
      <c r="Z2108" s="6"/>
      <c r="AA2108" s="6"/>
      <c r="AB2108" s="6"/>
      <c r="AC2108" s="6"/>
      <c r="AD2108" s="6"/>
      <c r="AE2108" s="6"/>
    </row>
    <row r="2109" spans="22:31" ht="11.25" customHeight="1" x14ac:dyDescent="0.25">
      <c r="V2109" s="6"/>
      <c r="W2109" s="6"/>
      <c r="X2109" s="6"/>
      <c r="Y2109" s="6"/>
      <c r="Z2109" s="6"/>
      <c r="AA2109" s="6"/>
      <c r="AB2109" s="6"/>
      <c r="AC2109" s="6"/>
      <c r="AD2109" s="6"/>
      <c r="AE2109" s="6"/>
    </row>
    <row r="2110" spans="22:31" ht="11.25" customHeight="1" x14ac:dyDescent="0.25">
      <c r="V2110" s="6"/>
      <c r="W2110" s="6"/>
      <c r="X2110" s="6"/>
      <c r="Y2110" s="6"/>
      <c r="Z2110" s="6"/>
      <c r="AA2110" s="6"/>
      <c r="AB2110" s="6"/>
      <c r="AC2110" s="6"/>
      <c r="AD2110" s="6"/>
      <c r="AE2110" s="6"/>
    </row>
    <row r="2111" spans="22:31" ht="11.25" customHeight="1" x14ac:dyDescent="0.25">
      <c r="V2111" s="6"/>
      <c r="W2111" s="6"/>
      <c r="X2111" s="6"/>
      <c r="Y2111" s="6"/>
      <c r="Z2111" s="6"/>
      <c r="AA2111" s="6"/>
      <c r="AB2111" s="6"/>
      <c r="AC2111" s="6"/>
      <c r="AD2111" s="6"/>
      <c r="AE2111" s="6"/>
    </row>
    <row r="2112" spans="22:31" ht="11.25" customHeight="1" x14ac:dyDescent="0.25">
      <c r="V2112" s="6"/>
      <c r="W2112" s="6"/>
      <c r="X2112" s="6"/>
      <c r="Y2112" s="6"/>
      <c r="Z2112" s="6"/>
      <c r="AA2112" s="6"/>
      <c r="AB2112" s="6"/>
      <c r="AC2112" s="6"/>
      <c r="AD2112" s="6"/>
      <c r="AE2112" s="6"/>
    </row>
    <row r="2113" spans="22:31" ht="11.25" customHeight="1" x14ac:dyDescent="0.25">
      <c r="V2113" s="6"/>
      <c r="W2113" s="6"/>
      <c r="X2113" s="6"/>
      <c r="Y2113" s="6"/>
      <c r="Z2113" s="6"/>
      <c r="AA2113" s="6"/>
      <c r="AB2113" s="6"/>
      <c r="AC2113" s="6"/>
      <c r="AD2113" s="6"/>
      <c r="AE2113" s="6"/>
    </row>
    <row r="2114" spans="22:31" ht="11.25" customHeight="1" x14ac:dyDescent="0.25">
      <c r="V2114" s="6"/>
      <c r="W2114" s="6"/>
      <c r="X2114" s="6"/>
      <c r="Y2114" s="6"/>
      <c r="Z2114" s="6"/>
      <c r="AA2114" s="6"/>
      <c r="AB2114" s="6"/>
      <c r="AC2114" s="6"/>
      <c r="AD2114" s="6"/>
      <c r="AE2114" s="6"/>
    </row>
    <row r="2115" spans="22:31" ht="11.25" customHeight="1" x14ac:dyDescent="0.25">
      <c r="V2115" s="6"/>
      <c r="W2115" s="6"/>
      <c r="X2115" s="6"/>
      <c r="Y2115" s="6"/>
      <c r="Z2115" s="6"/>
      <c r="AA2115" s="6"/>
      <c r="AB2115" s="6"/>
      <c r="AC2115" s="6"/>
      <c r="AD2115" s="6"/>
      <c r="AE2115" s="6"/>
    </row>
    <row r="2116" spans="22:31" ht="11.25" customHeight="1" x14ac:dyDescent="0.25">
      <c r="V2116" s="6"/>
      <c r="W2116" s="6"/>
      <c r="X2116" s="6"/>
      <c r="Y2116" s="6"/>
      <c r="Z2116" s="6"/>
      <c r="AA2116" s="6"/>
      <c r="AB2116" s="6"/>
      <c r="AC2116" s="6"/>
      <c r="AD2116" s="6"/>
      <c r="AE2116" s="6"/>
    </row>
    <row r="2117" spans="22:31" ht="11.25" customHeight="1" x14ac:dyDescent="0.25">
      <c r="V2117" s="6"/>
      <c r="W2117" s="6"/>
      <c r="X2117" s="6"/>
      <c r="Y2117" s="6"/>
      <c r="Z2117" s="6"/>
      <c r="AA2117" s="6"/>
      <c r="AB2117" s="6"/>
      <c r="AC2117" s="6"/>
      <c r="AD2117" s="6"/>
      <c r="AE2117" s="6"/>
    </row>
    <row r="2118" spans="22:31" ht="11.25" customHeight="1" x14ac:dyDescent="0.25">
      <c r="V2118" s="6"/>
      <c r="W2118" s="6"/>
      <c r="X2118" s="6"/>
      <c r="Y2118" s="6"/>
      <c r="Z2118" s="6"/>
      <c r="AA2118" s="6"/>
      <c r="AB2118" s="6"/>
      <c r="AC2118" s="6"/>
      <c r="AD2118" s="6"/>
      <c r="AE2118" s="6"/>
    </row>
    <row r="2119" spans="22:31" ht="11.25" customHeight="1" x14ac:dyDescent="0.25">
      <c r="V2119" s="6"/>
      <c r="W2119" s="6"/>
      <c r="X2119" s="6"/>
      <c r="Y2119" s="6"/>
      <c r="Z2119" s="6"/>
      <c r="AA2119" s="6"/>
      <c r="AB2119" s="6"/>
      <c r="AC2119" s="6"/>
      <c r="AD2119" s="6"/>
      <c r="AE2119" s="6"/>
    </row>
    <row r="2120" spans="22:31" ht="11.25" customHeight="1" x14ac:dyDescent="0.25">
      <c r="V2120" s="6"/>
      <c r="W2120" s="6"/>
      <c r="X2120" s="6"/>
      <c r="Y2120" s="6"/>
      <c r="Z2120" s="6"/>
      <c r="AA2120" s="6"/>
      <c r="AB2120" s="6"/>
      <c r="AC2120" s="6"/>
      <c r="AD2120" s="6"/>
      <c r="AE2120" s="6"/>
    </row>
    <row r="2121" spans="22:31" ht="11.25" customHeight="1" x14ac:dyDescent="0.25">
      <c r="V2121" s="6"/>
      <c r="W2121" s="6"/>
      <c r="X2121" s="6"/>
      <c r="Y2121" s="6"/>
      <c r="Z2121" s="6"/>
      <c r="AA2121" s="6"/>
      <c r="AB2121" s="6"/>
      <c r="AC2121" s="6"/>
      <c r="AD2121" s="6"/>
      <c r="AE2121" s="6"/>
    </row>
    <row r="2122" spans="22:31" ht="11.25" customHeight="1" x14ac:dyDescent="0.25">
      <c r="V2122" s="6"/>
      <c r="W2122" s="6"/>
      <c r="X2122" s="6"/>
      <c r="Y2122" s="6"/>
      <c r="Z2122" s="6"/>
      <c r="AA2122" s="6"/>
      <c r="AB2122" s="6"/>
      <c r="AC2122" s="6"/>
      <c r="AD2122" s="6"/>
      <c r="AE2122" s="6"/>
    </row>
    <row r="2123" spans="22:31" ht="11.25" customHeight="1" x14ac:dyDescent="0.25">
      <c r="V2123" s="6"/>
      <c r="W2123" s="6"/>
      <c r="X2123" s="6"/>
      <c r="Y2123" s="6"/>
      <c r="Z2123" s="6"/>
      <c r="AA2123" s="6"/>
      <c r="AB2123" s="6"/>
      <c r="AC2123" s="6"/>
      <c r="AD2123" s="6"/>
      <c r="AE2123" s="6"/>
    </row>
    <row r="2124" spans="22:31" ht="11.25" customHeight="1" x14ac:dyDescent="0.25">
      <c r="V2124" s="6"/>
      <c r="W2124" s="6"/>
      <c r="X2124" s="6"/>
      <c r="Y2124" s="6"/>
      <c r="Z2124" s="6"/>
      <c r="AA2124" s="6"/>
      <c r="AB2124" s="6"/>
      <c r="AC2124" s="6"/>
      <c r="AD2124" s="6"/>
      <c r="AE2124" s="6"/>
    </row>
    <row r="2125" spans="22:31" ht="11.25" customHeight="1" x14ac:dyDescent="0.25">
      <c r="V2125" s="6"/>
      <c r="W2125" s="6"/>
      <c r="X2125" s="6"/>
      <c r="Y2125" s="6"/>
      <c r="Z2125" s="6"/>
      <c r="AA2125" s="6"/>
      <c r="AB2125" s="6"/>
      <c r="AC2125" s="6"/>
      <c r="AD2125" s="6"/>
      <c r="AE2125" s="6"/>
    </row>
    <row r="2126" spans="22:31" ht="11.25" customHeight="1" x14ac:dyDescent="0.25">
      <c r="V2126" s="6"/>
      <c r="W2126" s="6"/>
      <c r="X2126" s="6"/>
      <c r="Y2126" s="6"/>
      <c r="Z2126" s="6"/>
      <c r="AA2126" s="6"/>
      <c r="AB2126" s="6"/>
      <c r="AC2126" s="6"/>
      <c r="AD2126" s="6"/>
      <c r="AE2126" s="6"/>
    </row>
    <row r="2127" spans="22:31" ht="11.25" customHeight="1" x14ac:dyDescent="0.25">
      <c r="V2127" s="6"/>
      <c r="W2127" s="6"/>
      <c r="X2127" s="6"/>
      <c r="Y2127" s="6"/>
      <c r="Z2127" s="6"/>
      <c r="AA2127" s="6"/>
      <c r="AB2127" s="6"/>
      <c r="AC2127" s="6"/>
      <c r="AD2127" s="6"/>
      <c r="AE2127" s="6"/>
    </row>
    <row r="2128" spans="22:31" ht="11.25" customHeight="1" x14ac:dyDescent="0.25">
      <c r="V2128" s="6"/>
      <c r="W2128" s="6"/>
      <c r="X2128" s="6"/>
      <c r="Y2128" s="6"/>
      <c r="Z2128" s="6"/>
      <c r="AA2128" s="6"/>
      <c r="AB2128" s="6"/>
      <c r="AC2128" s="6"/>
      <c r="AD2128" s="6"/>
      <c r="AE2128" s="6"/>
    </row>
    <row r="2129" spans="22:31" ht="11.25" customHeight="1" x14ac:dyDescent="0.25">
      <c r="V2129" s="6"/>
      <c r="W2129" s="6"/>
      <c r="X2129" s="6"/>
      <c r="Y2129" s="6"/>
      <c r="Z2129" s="6"/>
      <c r="AA2129" s="6"/>
      <c r="AB2129" s="6"/>
      <c r="AC2129" s="6"/>
      <c r="AD2129" s="6"/>
      <c r="AE2129" s="6"/>
    </row>
    <row r="2130" spans="22:31" ht="11.25" customHeight="1" x14ac:dyDescent="0.25">
      <c r="V2130" s="6"/>
      <c r="W2130" s="6"/>
      <c r="X2130" s="6"/>
      <c r="Y2130" s="6"/>
      <c r="Z2130" s="6"/>
      <c r="AA2130" s="6"/>
      <c r="AB2130" s="6"/>
      <c r="AC2130" s="6"/>
      <c r="AD2130" s="6"/>
      <c r="AE2130" s="6"/>
    </row>
    <row r="2131" spans="22:31" ht="11.25" customHeight="1" x14ac:dyDescent="0.25">
      <c r="V2131" s="6"/>
      <c r="W2131" s="6"/>
      <c r="X2131" s="6"/>
      <c r="Y2131" s="6"/>
      <c r="Z2131" s="6"/>
      <c r="AA2131" s="6"/>
      <c r="AB2131" s="6"/>
      <c r="AC2131" s="6"/>
      <c r="AD2131" s="6"/>
      <c r="AE2131" s="6"/>
    </row>
    <row r="2132" spans="22:31" ht="11.25" customHeight="1" x14ac:dyDescent="0.25">
      <c r="V2132" s="6"/>
      <c r="W2132" s="6"/>
      <c r="X2132" s="6"/>
      <c r="Y2132" s="6"/>
      <c r="Z2132" s="6"/>
      <c r="AA2132" s="6"/>
      <c r="AB2132" s="6"/>
      <c r="AC2132" s="6"/>
      <c r="AD2132" s="6"/>
      <c r="AE2132" s="6"/>
    </row>
    <row r="2133" spans="22:31" ht="11.25" customHeight="1" x14ac:dyDescent="0.25">
      <c r="V2133" s="6"/>
      <c r="W2133" s="6"/>
      <c r="X2133" s="6"/>
      <c r="Y2133" s="6"/>
      <c r="Z2133" s="6"/>
      <c r="AA2133" s="6"/>
      <c r="AB2133" s="6"/>
      <c r="AC2133" s="6"/>
      <c r="AD2133" s="6"/>
      <c r="AE2133" s="6"/>
    </row>
    <row r="2134" spans="22:31" ht="11.25" customHeight="1" x14ac:dyDescent="0.25">
      <c r="V2134" s="6"/>
      <c r="W2134" s="6"/>
      <c r="X2134" s="6"/>
      <c r="Y2134" s="6"/>
      <c r="Z2134" s="6"/>
      <c r="AA2134" s="6"/>
      <c r="AB2134" s="6"/>
      <c r="AC2134" s="6"/>
      <c r="AD2134" s="6"/>
      <c r="AE2134" s="6"/>
    </row>
    <row r="2135" spans="22:31" ht="11.25" customHeight="1" x14ac:dyDescent="0.25">
      <c r="V2135" s="6"/>
      <c r="W2135" s="6"/>
      <c r="X2135" s="6"/>
      <c r="Y2135" s="6"/>
      <c r="Z2135" s="6"/>
      <c r="AA2135" s="6"/>
      <c r="AB2135" s="6"/>
      <c r="AC2135" s="6"/>
      <c r="AD2135" s="6"/>
      <c r="AE2135" s="6"/>
    </row>
    <row r="2136" spans="22:31" ht="11.25" customHeight="1" x14ac:dyDescent="0.25">
      <c r="V2136" s="6"/>
      <c r="W2136" s="6"/>
      <c r="X2136" s="6"/>
      <c r="Y2136" s="6"/>
      <c r="Z2136" s="6"/>
      <c r="AA2136" s="6"/>
      <c r="AB2136" s="6"/>
      <c r="AC2136" s="6"/>
      <c r="AD2136" s="6"/>
      <c r="AE2136" s="6"/>
    </row>
    <row r="2137" spans="22:31" ht="11.25" customHeight="1" x14ac:dyDescent="0.25">
      <c r="V2137" s="6"/>
      <c r="W2137" s="6"/>
      <c r="X2137" s="6"/>
      <c r="Y2137" s="6"/>
      <c r="Z2137" s="6"/>
      <c r="AA2137" s="6"/>
      <c r="AB2137" s="6"/>
      <c r="AC2137" s="6"/>
      <c r="AD2137" s="6"/>
      <c r="AE2137" s="6"/>
    </row>
    <row r="2138" spans="22:31" ht="11.25" customHeight="1" x14ac:dyDescent="0.25">
      <c r="V2138" s="6"/>
      <c r="W2138" s="6"/>
      <c r="X2138" s="6"/>
      <c r="Y2138" s="6"/>
      <c r="Z2138" s="6"/>
      <c r="AA2138" s="6"/>
      <c r="AB2138" s="6"/>
      <c r="AC2138" s="6"/>
      <c r="AD2138" s="6"/>
      <c r="AE2138" s="6"/>
    </row>
    <row r="2139" spans="22:31" ht="11.25" customHeight="1" x14ac:dyDescent="0.25">
      <c r="V2139" s="6"/>
      <c r="W2139" s="6"/>
      <c r="X2139" s="6"/>
      <c r="Y2139" s="6"/>
      <c r="Z2139" s="6"/>
      <c r="AA2139" s="6"/>
      <c r="AB2139" s="6"/>
      <c r="AC2139" s="6"/>
      <c r="AD2139" s="6"/>
      <c r="AE2139" s="6"/>
    </row>
    <row r="2140" spans="22:31" ht="11.25" customHeight="1" x14ac:dyDescent="0.25">
      <c r="V2140" s="6"/>
      <c r="W2140" s="6"/>
      <c r="X2140" s="6"/>
      <c r="Y2140" s="6"/>
      <c r="Z2140" s="6"/>
      <c r="AA2140" s="6"/>
      <c r="AB2140" s="6"/>
      <c r="AC2140" s="6"/>
      <c r="AD2140" s="6"/>
      <c r="AE2140" s="6"/>
    </row>
    <row r="2141" spans="22:31" ht="11.25" customHeight="1" x14ac:dyDescent="0.25">
      <c r="V2141" s="6"/>
      <c r="W2141" s="6"/>
      <c r="X2141" s="6"/>
      <c r="Y2141" s="6"/>
      <c r="Z2141" s="6"/>
      <c r="AA2141" s="6"/>
      <c r="AB2141" s="6"/>
      <c r="AC2141" s="6"/>
      <c r="AD2141" s="6"/>
      <c r="AE2141" s="6"/>
    </row>
    <row r="2142" spans="22:31" ht="11.25" customHeight="1" x14ac:dyDescent="0.25">
      <c r="V2142" s="6"/>
      <c r="W2142" s="6"/>
      <c r="X2142" s="6"/>
      <c r="Y2142" s="6"/>
      <c r="Z2142" s="6"/>
      <c r="AA2142" s="6"/>
      <c r="AB2142" s="6"/>
      <c r="AC2142" s="6"/>
      <c r="AD2142" s="6"/>
      <c r="AE2142" s="6"/>
    </row>
    <row r="2143" spans="22:31" ht="11.25" customHeight="1" x14ac:dyDescent="0.25">
      <c r="V2143" s="6"/>
      <c r="W2143" s="6"/>
      <c r="X2143" s="6"/>
      <c r="Y2143" s="6"/>
      <c r="Z2143" s="6"/>
      <c r="AA2143" s="6"/>
      <c r="AB2143" s="6"/>
      <c r="AC2143" s="6"/>
      <c r="AD2143" s="6"/>
      <c r="AE2143" s="6"/>
    </row>
    <row r="2144" spans="22:31" ht="11.25" customHeight="1" x14ac:dyDescent="0.25">
      <c r="V2144" s="6"/>
      <c r="W2144" s="6"/>
      <c r="X2144" s="6"/>
      <c r="Y2144" s="6"/>
      <c r="Z2144" s="6"/>
      <c r="AA2144" s="6"/>
      <c r="AB2144" s="6"/>
      <c r="AC2144" s="6"/>
      <c r="AD2144" s="6"/>
      <c r="AE2144" s="6"/>
    </row>
    <row r="2145" spans="22:31" ht="11.25" customHeight="1" x14ac:dyDescent="0.25">
      <c r="V2145" s="6"/>
      <c r="W2145" s="6"/>
      <c r="X2145" s="6"/>
      <c r="Y2145" s="6"/>
      <c r="Z2145" s="6"/>
      <c r="AA2145" s="6"/>
      <c r="AB2145" s="6"/>
      <c r="AC2145" s="6"/>
      <c r="AD2145" s="6"/>
      <c r="AE2145" s="6"/>
    </row>
    <row r="2146" spans="22:31" ht="11.25" customHeight="1" x14ac:dyDescent="0.25">
      <c r="V2146" s="6"/>
      <c r="W2146" s="6"/>
      <c r="X2146" s="6"/>
      <c r="Y2146" s="6"/>
      <c r="Z2146" s="6"/>
      <c r="AA2146" s="6"/>
      <c r="AB2146" s="6"/>
      <c r="AC2146" s="6"/>
      <c r="AD2146" s="6"/>
      <c r="AE2146" s="6"/>
    </row>
    <row r="2147" spans="22:31" ht="11.25" customHeight="1" x14ac:dyDescent="0.25">
      <c r="V2147" s="6"/>
      <c r="W2147" s="6"/>
      <c r="X2147" s="6"/>
      <c r="Y2147" s="6"/>
      <c r="Z2147" s="6"/>
      <c r="AA2147" s="6"/>
      <c r="AB2147" s="6"/>
      <c r="AC2147" s="6"/>
      <c r="AD2147" s="6"/>
      <c r="AE2147" s="6"/>
    </row>
    <row r="2148" spans="22:31" ht="11.25" customHeight="1" x14ac:dyDescent="0.25">
      <c r="V2148" s="6"/>
      <c r="W2148" s="6"/>
      <c r="X2148" s="6"/>
      <c r="Y2148" s="6"/>
      <c r="Z2148" s="6"/>
      <c r="AA2148" s="6"/>
      <c r="AB2148" s="6"/>
      <c r="AC2148" s="6"/>
      <c r="AD2148" s="6"/>
      <c r="AE2148" s="6"/>
    </row>
    <row r="2149" spans="22:31" ht="11.25" customHeight="1" x14ac:dyDescent="0.25">
      <c r="V2149" s="6"/>
      <c r="W2149" s="6"/>
      <c r="X2149" s="6"/>
      <c r="Y2149" s="6"/>
      <c r="Z2149" s="6"/>
      <c r="AA2149" s="6"/>
      <c r="AB2149" s="6"/>
      <c r="AC2149" s="6"/>
      <c r="AD2149" s="6"/>
      <c r="AE2149" s="6"/>
    </row>
    <row r="2150" spans="22:31" ht="11.25" customHeight="1" x14ac:dyDescent="0.25">
      <c r="V2150" s="6"/>
      <c r="W2150" s="6"/>
      <c r="X2150" s="6"/>
      <c r="Y2150" s="6"/>
      <c r="Z2150" s="6"/>
      <c r="AA2150" s="6"/>
      <c r="AB2150" s="6"/>
      <c r="AC2150" s="6"/>
      <c r="AD2150" s="6"/>
      <c r="AE2150" s="6"/>
    </row>
    <row r="2151" spans="22:31" ht="11.25" customHeight="1" x14ac:dyDescent="0.25">
      <c r="V2151" s="6"/>
      <c r="W2151" s="6"/>
      <c r="X2151" s="6"/>
      <c r="Y2151" s="6"/>
      <c r="Z2151" s="6"/>
      <c r="AA2151" s="6"/>
      <c r="AB2151" s="6"/>
      <c r="AC2151" s="6"/>
      <c r="AD2151" s="6"/>
      <c r="AE2151" s="6"/>
    </row>
    <row r="2152" spans="22:31" ht="11.25" customHeight="1" x14ac:dyDescent="0.25">
      <c r="V2152" s="6"/>
      <c r="W2152" s="6"/>
      <c r="X2152" s="6"/>
      <c r="Y2152" s="6"/>
      <c r="Z2152" s="6"/>
      <c r="AA2152" s="6"/>
      <c r="AB2152" s="6"/>
      <c r="AC2152" s="6"/>
      <c r="AD2152" s="6"/>
      <c r="AE2152" s="6"/>
    </row>
    <row r="2153" spans="22:31" ht="11.25" customHeight="1" x14ac:dyDescent="0.25">
      <c r="V2153" s="6"/>
      <c r="W2153" s="6"/>
      <c r="X2153" s="6"/>
      <c r="Y2153" s="6"/>
      <c r="Z2153" s="6"/>
      <c r="AA2153" s="6"/>
      <c r="AB2153" s="6"/>
      <c r="AC2153" s="6"/>
      <c r="AD2153" s="6"/>
      <c r="AE2153" s="6"/>
    </row>
    <row r="2154" spans="22:31" ht="11.25" customHeight="1" x14ac:dyDescent="0.25">
      <c r="V2154" s="6"/>
      <c r="W2154" s="6"/>
      <c r="X2154" s="6"/>
      <c r="Y2154" s="6"/>
      <c r="Z2154" s="6"/>
      <c r="AA2154" s="6"/>
      <c r="AB2154" s="6"/>
      <c r="AC2154" s="6"/>
      <c r="AD2154" s="6"/>
      <c r="AE2154" s="6"/>
    </row>
    <row r="2155" spans="22:31" ht="11.25" customHeight="1" x14ac:dyDescent="0.25">
      <c r="V2155" s="6"/>
      <c r="W2155" s="6"/>
      <c r="X2155" s="6"/>
      <c r="Y2155" s="6"/>
      <c r="Z2155" s="6"/>
      <c r="AA2155" s="6"/>
      <c r="AB2155" s="6"/>
      <c r="AC2155" s="6"/>
      <c r="AD2155" s="6"/>
      <c r="AE2155" s="6"/>
    </row>
    <row r="2156" spans="22:31" ht="11.25" customHeight="1" x14ac:dyDescent="0.25">
      <c r="V2156" s="6"/>
      <c r="W2156" s="6"/>
      <c r="X2156" s="6"/>
      <c r="Y2156" s="6"/>
      <c r="Z2156" s="6"/>
      <c r="AA2156" s="6"/>
      <c r="AB2156" s="6"/>
      <c r="AC2156" s="6"/>
      <c r="AD2156" s="6"/>
      <c r="AE2156" s="6"/>
    </row>
    <row r="2157" spans="22:31" ht="11.25" customHeight="1" x14ac:dyDescent="0.25">
      <c r="V2157" s="6"/>
      <c r="W2157" s="6"/>
      <c r="X2157" s="6"/>
      <c r="Y2157" s="6"/>
      <c r="Z2157" s="6"/>
      <c r="AA2157" s="6"/>
      <c r="AB2157" s="6"/>
      <c r="AC2157" s="6"/>
      <c r="AD2157" s="6"/>
      <c r="AE2157" s="6"/>
    </row>
    <row r="2158" spans="22:31" ht="11.25" customHeight="1" x14ac:dyDescent="0.25">
      <c r="V2158" s="6"/>
      <c r="W2158" s="6"/>
      <c r="X2158" s="6"/>
      <c r="Y2158" s="6"/>
      <c r="Z2158" s="6"/>
      <c r="AA2158" s="6"/>
      <c r="AB2158" s="6"/>
      <c r="AC2158" s="6"/>
      <c r="AD2158" s="6"/>
      <c r="AE2158" s="6"/>
    </row>
    <row r="2159" spans="22:31" ht="11.25" customHeight="1" x14ac:dyDescent="0.25">
      <c r="V2159" s="6"/>
      <c r="W2159" s="6"/>
      <c r="X2159" s="6"/>
      <c r="Y2159" s="6"/>
      <c r="Z2159" s="6"/>
      <c r="AA2159" s="6"/>
      <c r="AB2159" s="6"/>
      <c r="AC2159" s="6"/>
      <c r="AD2159" s="6"/>
      <c r="AE2159" s="6"/>
    </row>
    <row r="2160" spans="22:31" ht="11.25" customHeight="1" x14ac:dyDescent="0.25">
      <c r="V2160" s="6"/>
      <c r="W2160" s="6"/>
      <c r="X2160" s="6"/>
      <c r="Y2160" s="6"/>
      <c r="Z2160" s="6"/>
      <c r="AA2160" s="6"/>
      <c r="AB2160" s="6"/>
      <c r="AC2160" s="6"/>
      <c r="AD2160" s="6"/>
      <c r="AE2160" s="6"/>
    </row>
    <row r="2161" spans="22:31" ht="11.25" customHeight="1" x14ac:dyDescent="0.25">
      <c r="V2161" s="6"/>
      <c r="W2161" s="6"/>
      <c r="X2161" s="6"/>
      <c r="Y2161" s="6"/>
      <c r="Z2161" s="6"/>
      <c r="AA2161" s="6"/>
      <c r="AB2161" s="6"/>
      <c r="AC2161" s="6"/>
      <c r="AD2161" s="6"/>
      <c r="AE2161" s="6"/>
    </row>
    <row r="2162" spans="22:31" ht="11.25" customHeight="1" x14ac:dyDescent="0.25">
      <c r="V2162" s="6"/>
      <c r="W2162" s="6"/>
      <c r="X2162" s="6"/>
      <c r="Y2162" s="6"/>
      <c r="Z2162" s="6"/>
      <c r="AA2162" s="6"/>
      <c r="AB2162" s="6"/>
      <c r="AC2162" s="6"/>
      <c r="AD2162" s="6"/>
      <c r="AE2162" s="6"/>
    </row>
    <row r="2163" spans="22:31" ht="11.25" customHeight="1" x14ac:dyDescent="0.25">
      <c r="V2163" s="6"/>
      <c r="W2163" s="6"/>
      <c r="X2163" s="6"/>
      <c r="Y2163" s="6"/>
      <c r="Z2163" s="6"/>
      <c r="AA2163" s="6"/>
      <c r="AB2163" s="6"/>
      <c r="AC2163" s="6"/>
      <c r="AD2163" s="6"/>
      <c r="AE2163" s="6"/>
    </row>
    <row r="2164" spans="22:31" ht="11.25" customHeight="1" x14ac:dyDescent="0.25">
      <c r="V2164" s="6"/>
      <c r="W2164" s="6"/>
      <c r="X2164" s="6"/>
      <c r="Y2164" s="6"/>
      <c r="Z2164" s="6"/>
      <c r="AA2164" s="6"/>
      <c r="AB2164" s="6"/>
      <c r="AC2164" s="6"/>
      <c r="AD2164" s="6"/>
      <c r="AE2164" s="6"/>
    </row>
    <row r="2165" spans="22:31" ht="11.25" customHeight="1" x14ac:dyDescent="0.25">
      <c r="V2165" s="6"/>
      <c r="W2165" s="6"/>
      <c r="X2165" s="6"/>
      <c r="Y2165" s="6"/>
      <c r="Z2165" s="6"/>
      <c r="AA2165" s="6"/>
      <c r="AB2165" s="6"/>
      <c r="AC2165" s="6"/>
      <c r="AD2165" s="6"/>
      <c r="AE2165" s="6"/>
    </row>
    <row r="2166" spans="22:31" ht="11.25" customHeight="1" x14ac:dyDescent="0.25">
      <c r="V2166" s="6"/>
      <c r="W2166" s="6"/>
      <c r="X2166" s="6"/>
      <c r="Y2166" s="6"/>
      <c r="Z2166" s="6"/>
      <c r="AA2166" s="6"/>
      <c r="AB2166" s="6"/>
      <c r="AC2166" s="6"/>
      <c r="AD2166" s="6"/>
      <c r="AE2166" s="6"/>
    </row>
    <row r="2167" spans="22:31" ht="11.25" customHeight="1" x14ac:dyDescent="0.25">
      <c r="V2167" s="6"/>
      <c r="W2167" s="6"/>
      <c r="X2167" s="6"/>
      <c r="Y2167" s="6"/>
      <c r="Z2167" s="6"/>
      <c r="AA2167" s="6"/>
      <c r="AB2167" s="6"/>
      <c r="AC2167" s="6"/>
      <c r="AD2167" s="6"/>
      <c r="AE2167" s="6"/>
    </row>
    <row r="2168" spans="22:31" ht="11.25" customHeight="1" x14ac:dyDescent="0.25">
      <c r="V2168" s="6"/>
      <c r="W2168" s="6"/>
      <c r="X2168" s="6"/>
      <c r="Y2168" s="6"/>
      <c r="Z2168" s="6"/>
      <c r="AA2168" s="6"/>
      <c r="AB2168" s="6"/>
      <c r="AC2168" s="6"/>
      <c r="AD2168" s="6"/>
      <c r="AE2168" s="6"/>
    </row>
    <row r="2169" spans="22:31" ht="11.25" customHeight="1" x14ac:dyDescent="0.25">
      <c r="V2169" s="6"/>
      <c r="W2169" s="6"/>
      <c r="X2169" s="6"/>
      <c r="Y2169" s="6"/>
      <c r="Z2169" s="6"/>
      <c r="AA2169" s="6"/>
      <c r="AB2169" s="6"/>
      <c r="AC2169" s="6"/>
      <c r="AD2169" s="6"/>
      <c r="AE2169" s="6"/>
    </row>
    <row r="2170" spans="22:31" ht="11.25" customHeight="1" x14ac:dyDescent="0.25">
      <c r="V2170" s="6"/>
      <c r="W2170" s="6"/>
      <c r="X2170" s="6"/>
      <c r="Y2170" s="6"/>
      <c r="Z2170" s="6"/>
      <c r="AA2170" s="6"/>
      <c r="AB2170" s="6"/>
      <c r="AC2170" s="6"/>
      <c r="AD2170" s="6"/>
      <c r="AE2170" s="6"/>
    </row>
    <row r="2171" spans="22:31" ht="11.25" customHeight="1" x14ac:dyDescent="0.25">
      <c r="V2171" s="6"/>
      <c r="W2171" s="6"/>
      <c r="X2171" s="6"/>
      <c r="Y2171" s="6"/>
      <c r="Z2171" s="6"/>
      <c r="AA2171" s="6"/>
      <c r="AB2171" s="6"/>
      <c r="AC2171" s="6"/>
      <c r="AD2171" s="6"/>
      <c r="AE2171" s="6"/>
    </row>
    <row r="2172" spans="22:31" ht="11.25" customHeight="1" x14ac:dyDescent="0.25">
      <c r="V2172" s="6"/>
      <c r="W2172" s="6"/>
      <c r="X2172" s="6"/>
      <c r="Y2172" s="6"/>
      <c r="Z2172" s="6"/>
      <c r="AA2172" s="6"/>
      <c r="AB2172" s="6"/>
      <c r="AC2172" s="6"/>
      <c r="AD2172" s="6"/>
      <c r="AE2172" s="6"/>
    </row>
    <row r="2173" spans="22:31" ht="11.25" customHeight="1" x14ac:dyDescent="0.25">
      <c r="V2173" s="6"/>
      <c r="W2173" s="6"/>
      <c r="X2173" s="6"/>
      <c r="Y2173" s="6"/>
      <c r="Z2173" s="6"/>
      <c r="AA2173" s="6"/>
      <c r="AB2173" s="6"/>
      <c r="AC2173" s="6"/>
      <c r="AD2173" s="6"/>
      <c r="AE2173" s="6"/>
    </row>
    <row r="2174" spans="22:31" ht="11.25" customHeight="1" x14ac:dyDescent="0.25">
      <c r="V2174" s="6"/>
      <c r="W2174" s="6"/>
      <c r="X2174" s="6"/>
      <c r="Y2174" s="6"/>
      <c r="Z2174" s="6"/>
      <c r="AA2174" s="6"/>
      <c r="AB2174" s="6"/>
      <c r="AC2174" s="6"/>
      <c r="AD2174" s="6"/>
      <c r="AE2174" s="6"/>
    </row>
    <row r="2175" spans="22:31" ht="11.25" customHeight="1" x14ac:dyDescent="0.25">
      <c r="V2175" s="6"/>
      <c r="W2175" s="6"/>
      <c r="X2175" s="6"/>
      <c r="Y2175" s="6"/>
      <c r="Z2175" s="6"/>
      <c r="AA2175" s="6"/>
      <c r="AB2175" s="6"/>
      <c r="AC2175" s="6"/>
      <c r="AD2175" s="6"/>
      <c r="AE2175" s="6"/>
    </row>
    <row r="2176" spans="22:31" ht="11.25" customHeight="1" x14ac:dyDescent="0.25">
      <c r="V2176" s="6"/>
      <c r="W2176" s="6"/>
      <c r="X2176" s="6"/>
      <c r="Y2176" s="6"/>
      <c r="Z2176" s="6"/>
      <c r="AA2176" s="6"/>
      <c r="AB2176" s="6"/>
      <c r="AC2176" s="6"/>
      <c r="AD2176" s="6"/>
      <c r="AE2176" s="6"/>
    </row>
    <row r="2177" spans="22:31" ht="11.25" customHeight="1" x14ac:dyDescent="0.25">
      <c r="V2177" s="6"/>
      <c r="W2177" s="6"/>
      <c r="X2177" s="6"/>
      <c r="Y2177" s="6"/>
      <c r="Z2177" s="6"/>
      <c r="AA2177" s="6"/>
      <c r="AB2177" s="6"/>
      <c r="AC2177" s="6"/>
      <c r="AD2177" s="6"/>
      <c r="AE2177" s="6"/>
    </row>
    <row r="2178" spans="22:31" ht="11.25" customHeight="1" x14ac:dyDescent="0.25">
      <c r="V2178" s="6"/>
      <c r="W2178" s="6"/>
      <c r="X2178" s="6"/>
      <c r="Y2178" s="6"/>
      <c r="Z2178" s="6"/>
      <c r="AA2178" s="6"/>
      <c r="AB2178" s="6"/>
      <c r="AC2178" s="6"/>
      <c r="AD2178" s="6"/>
      <c r="AE2178" s="6"/>
    </row>
    <row r="2179" spans="22:31" ht="11.25" customHeight="1" x14ac:dyDescent="0.25">
      <c r="V2179" s="6"/>
      <c r="W2179" s="6"/>
      <c r="X2179" s="6"/>
      <c r="Y2179" s="6"/>
      <c r="Z2179" s="6"/>
      <c r="AA2179" s="6"/>
      <c r="AB2179" s="6"/>
      <c r="AC2179" s="6"/>
      <c r="AD2179" s="6"/>
      <c r="AE2179" s="6"/>
    </row>
    <row r="2180" spans="22:31" ht="11.25" customHeight="1" x14ac:dyDescent="0.25">
      <c r="V2180" s="6"/>
      <c r="W2180" s="6"/>
      <c r="X2180" s="6"/>
      <c r="Y2180" s="6"/>
      <c r="Z2180" s="6"/>
      <c r="AA2180" s="6"/>
      <c r="AB2180" s="6"/>
      <c r="AC2180" s="6"/>
      <c r="AD2180" s="6"/>
      <c r="AE2180" s="6"/>
    </row>
    <row r="2181" spans="22:31" ht="11.25" customHeight="1" x14ac:dyDescent="0.25">
      <c r="V2181" s="6"/>
      <c r="W2181" s="6"/>
      <c r="X2181" s="6"/>
      <c r="Y2181" s="6"/>
      <c r="Z2181" s="6"/>
      <c r="AA2181" s="6"/>
      <c r="AB2181" s="6"/>
      <c r="AC2181" s="6"/>
      <c r="AD2181" s="6"/>
      <c r="AE2181" s="6"/>
    </row>
    <row r="2182" spans="22:31" ht="11.25" customHeight="1" x14ac:dyDescent="0.25">
      <c r="V2182" s="6"/>
      <c r="W2182" s="6"/>
      <c r="X2182" s="6"/>
      <c r="Y2182" s="6"/>
      <c r="Z2182" s="6"/>
      <c r="AA2182" s="6"/>
      <c r="AB2182" s="6"/>
      <c r="AC2182" s="6"/>
      <c r="AD2182" s="6"/>
      <c r="AE2182" s="6"/>
    </row>
    <row r="2183" spans="22:31" ht="11.25" customHeight="1" x14ac:dyDescent="0.25">
      <c r="V2183" s="6"/>
      <c r="W2183" s="6"/>
      <c r="X2183" s="6"/>
      <c r="Y2183" s="6"/>
      <c r="Z2183" s="6"/>
      <c r="AA2183" s="6"/>
      <c r="AB2183" s="6"/>
      <c r="AC2183" s="6"/>
      <c r="AD2183" s="6"/>
      <c r="AE2183" s="6"/>
    </row>
    <row r="2184" spans="22:31" ht="11.25" customHeight="1" x14ac:dyDescent="0.25">
      <c r="V2184" s="6"/>
      <c r="W2184" s="6"/>
      <c r="X2184" s="6"/>
      <c r="Y2184" s="6"/>
      <c r="Z2184" s="6"/>
      <c r="AA2184" s="6"/>
      <c r="AB2184" s="6"/>
      <c r="AC2184" s="6"/>
      <c r="AD2184" s="6"/>
      <c r="AE2184" s="6"/>
    </row>
    <row r="2185" spans="22:31" ht="11.25" customHeight="1" x14ac:dyDescent="0.25">
      <c r="V2185" s="6"/>
      <c r="W2185" s="6"/>
      <c r="X2185" s="6"/>
      <c r="Y2185" s="6"/>
      <c r="Z2185" s="6"/>
      <c r="AA2185" s="6"/>
      <c r="AB2185" s="6"/>
      <c r="AC2185" s="6"/>
      <c r="AD2185" s="6"/>
      <c r="AE2185" s="6"/>
    </row>
    <row r="2186" spans="22:31" ht="11.25" customHeight="1" x14ac:dyDescent="0.25">
      <c r="V2186" s="6"/>
      <c r="W2186" s="6"/>
      <c r="X2186" s="6"/>
      <c r="Y2186" s="6"/>
      <c r="Z2186" s="6"/>
      <c r="AA2186" s="6"/>
      <c r="AB2186" s="6"/>
      <c r="AC2186" s="6"/>
      <c r="AD2186" s="6"/>
      <c r="AE2186" s="6"/>
    </row>
    <row r="2187" spans="22:31" ht="11.25" customHeight="1" x14ac:dyDescent="0.25">
      <c r="V2187" s="6"/>
      <c r="W2187" s="6"/>
      <c r="X2187" s="6"/>
      <c r="Y2187" s="6"/>
      <c r="Z2187" s="6"/>
      <c r="AA2187" s="6"/>
      <c r="AB2187" s="6"/>
      <c r="AC2187" s="6"/>
      <c r="AD2187" s="6"/>
      <c r="AE2187" s="6"/>
    </row>
    <row r="2188" spans="22:31" ht="11.25" customHeight="1" x14ac:dyDescent="0.25">
      <c r="V2188" s="6"/>
      <c r="W2188" s="6"/>
      <c r="X2188" s="6"/>
      <c r="Y2188" s="6"/>
      <c r="Z2188" s="6"/>
      <c r="AA2188" s="6"/>
      <c r="AB2188" s="6"/>
      <c r="AC2188" s="6"/>
      <c r="AD2188" s="6"/>
      <c r="AE2188" s="6"/>
    </row>
    <row r="2189" spans="22:31" ht="11.25" customHeight="1" x14ac:dyDescent="0.25">
      <c r="V2189" s="6"/>
      <c r="W2189" s="6"/>
      <c r="X2189" s="6"/>
      <c r="Y2189" s="6"/>
      <c r="Z2189" s="6"/>
      <c r="AA2189" s="6"/>
      <c r="AB2189" s="6"/>
      <c r="AC2189" s="6"/>
      <c r="AD2189" s="6"/>
      <c r="AE2189" s="6"/>
    </row>
    <row r="2190" spans="22:31" ht="11.25" customHeight="1" x14ac:dyDescent="0.25">
      <c r="V2190" s="6"/>
      <c r="W2190" s="6"/>
      <c r="X2190" s="6"/>
      <c r="Y2190" s="6"/>
      <c r="Z2190" s="6"/>
      <c r="AA2190" s="6"/>
      <c r="AB2190" s="6"/>
      <c r="AC2190" s="6"/>
      <c r="AD2190" s="6"/>
      <c r="AE2190" s="6"/>
    </row>
    <row r="2191" spans="22:31" ht="11.25" customHeight="1" x14ac:dyDescent="0.25">
      <c r="V2191" s="6"/>
      <c r="W2191" s="6"/>
      <c r="X2191" s="6"/>
      <c r="Y2191" s="6"/>
      <c r="Z2191" s="6"/>
      <c r="AA2191" s="6"/>
      <c r="AB2191" s="6"/>
      <c r="AC2191" s="6"/>
      <c r="AD2191" s="6"/>
      <c r="AE2191" s="6"/>
    </row>
    <row r="2192" spans="22:31" ht="11.25" customHeight="1" x14ac:dyDescent="0.25">
      <c r="V2192" s="6"/>
      <c r="W2192" s="6"/>
      <c r="X2192" s="6"/>
      <c r="Y2192" s="6"/>
      <c r="Z2192" s="6"/>
      <c r="AA2192" s="6"/>
      <c r="AB2192" s="6"/>
      <c r="AC2192" s="6"/>
      <c r="AD2192" s="6"/>
      <c r="AE2192" s="6"/>
    </row>
    <row r="2193" spans="22:31" ht="11.25" customHeight="1" x14ac:dyDescent="0.25">
      <c r="V2193" s="6"/>
      <c r="W2193" s="6"/>
      <c r="X2193" s="6"/>
      <c r="Y2193" s="6"/>
      <c r="Z2193" s="6"/>
      <c r="AA2193" s="6"/>
      <c r="AB2193" s="6"/>
      <c r="AC2193" s="6"/>
      <c r="AD2193" s="6"/>
      <c r="AE2193" s="6"/>
    </row>
    <row r="2194" spans="22:31" ht="11.25" customHeight="1" x14ac:dyDescent="0.25">
      <c r="V2194" s="6"/>
      <c r="W2194" s="6"/>
      <c r="X2194" s="6"/>
      <c r="Y2194" s="6"/>
      <c r="Z2194" s="6"/>
      <c r="AA2194" s="6"/>
      <c r="AB2194" s="6"/>
      <c r="AC2194" s="6"/>
      <c r="AD2194" s="6"/>
      <c r="AE2194" s="6"/>
    </row>
    <row r="2195" spans="22:31" ht="11.25" customHeight="1" x14ac:dyDescent="0.25">
      <c r="V2195" s="6"/>
      <c r="W2195" s="6"/>
      <c r="X2195" s="6"/>
      <c r="Y2195" s="6"/>
      <c r="Z2195" s="6"/>
      <c r="AA2195" s="6"/>
      <c r="AB2195" s="6"/>
      <c r="AC2195" s="6"/>
      <c r="AD2195" s="6"/>
      <c r="AE2195" s="6"/>
    </row>
    <row r="2196" spans="22:31" ht="11.25" customHeight="1" x14ac:dyDescent="0.25">
      <c r="V2196" s="6"/>
      <c r="W2196" s="6"/>
      <c r="X2196" s="6"/>
      <c r="Y2196" s="6"/>
      <c r="Z2196" s="6"/>
      <c r="AA2196" s="6"/>
      <c r="AB2196" s="6"/>
      <c r="AC2196" s="6"/>
      <c r="AD2196" s="6"/>
      <c r="AE2196" s="6"/>
    </row>
    <row r="2197" spans="22:31" ht="11.25" customHeight="1" x14ac:dyDescent="0.25">
      <c r="V2197" s="6"/>
      <c r="W2197" s="6"/>
      <c r="X2197" s="6"/>
      <c r="Y2197" s="6"/>
      <c r="Z2197" s="6"/>
      <c r="AA2197" s="6"/>
      <c r="AB2197" s="6"/>
      <c r="AC2197" s="6"/>
      <c r="AD2197" s="6"/>
      <c r="AE2197" s="6"/>
    </row>
    <row r="2198" spans="22:31" ht="11.25" customHeight="1" x14ac:dyDescent="0.25">
      <c r="V2198" s="6"/>
      <c r="W2198" s="6"/>
      <c r="X2198" s="6"/>
      <c r="Y2198" s="6"/>
      <c r="Z2198" s="6"/>
      <c r="AA2198" s="6"/>
      <c r="AB2198" s="6"/>
      <c r="AC2198" s="6"/>
      <c r="AD2198" s="6"/>
      <c r="AE2198" s="6"/>
    </row>
    <row r="2199" spans="22:31" ht="11.25" customHeight="1" x14ac:dyDescent="0.25">
      <c r="V2199" s="6"/>
      <c r="W2199" s="6"/>
      <c r="X2199" s="6"/>
      <c r="Y2199" s="6"/>
      <c r="Z2199" s="6"/>
      <c r="AA2199" s="6"/>
      <c r="AB2199" s="6"/>
      <c r="AC2199" s="6"/>
      <c r="AD2199" s="6"/>
      <c r="AE2199" s="6"/>
    </row>
    <row r="2200" spans="22:31" ht="11.25" customHeight="1" x14ac:dyDescent="0.25">
      <c r="V2200" s="6"/>
      <c r="W2200" s="6"/>
      <c r="X2200" s="6"/>
      <c r="Y2200" s="6"/>
      <c r="Z2200" s="6"/>
      <c r="AA2200" s="6"/>
      <c r="AB2200" s="6"/>
      <c r="AC2200" s="6"/>
      <c r="AD2200" s="6"/>
      <c r="AE2200" s="6"/>
    </row>
    <row r="2201" spans="22:31" ht="11.25" customHeight="1" x14ac:dyDescent="0.25">
      <c r="V2201" s="6"/>
      <c r="W2201" s="6"/>
      <c r="X2201" s="6"/>
      <c r="Y2201" s="6"/>
      <c r="Z2201" s="6"/>
      <c r="AA2201" s="6"/>
      <c r="AB2201" s="6"/>
      <c r="AC2201" s="6"/>
      <c r="AD2201" s="6"/>
      <c r="AE2201" s="6"/>
    </row>
    <row r="2202" spans="22:31" ht="11.25" customHeight="1" x14ac:dyDescent="0.25">
      <c r="V2202" s="6"/>
      <c r="W2202" s="6"/>
      <c r="X2202" s="6"/>
      <c r="Y2202" s="6"/>
      <c r="Z2202" s="6"/>
      <c r="AA2202" s="6"/>
      <c r="AB2202" s="6"/>
      <c r="AC2202" s="6"/>
      <c r="AD2202" s="6"/>
      <c r="AE2202" s="6"/>
    </row>
    <row r="2203" spans="22:31" ht="11.25" customHeight="1" x14ac:dyDescent="0.25">
      <c r="V2203" s="6"/>
      <c r="W2203" s="6"/>
      <c r="X2203" s="6"/>
      <c r="Y2203" s="6"/>
      <c r="Z2203" s="6"/>
      <c r="AA2203" s="6"/>
      <c r="AB2203" s="6"/>
      <c r="AC2203" s="6"/>
      <c r="AD2203" s="6"/>
      <c r="AE2203" s="6"/>
    </row>
    <row r="2204" spans="22:31" ht="11.25" customHeight="1" x14ac:dyDescent="0.25">
      <c r="V2204" s="6"/>
      <c r="W2204" s="6"/>
      <c r="X2204" s="6"/>
      <c r="Y2204" s="6"/>
      <c r="Z2204" s="6"/>
      <c r="AA2204" s="6"/>
      <c r="AB2204" s="6"/>
      <c r="AC2204" s="6"/>
      <c r="AD2204" s="6"/>
      <c r="AE2204" s="6"/>
    </row>
    <row r="2205" spans="22:31" ht="11.25" customHeight="1" x14ac:dyDescent="0.25">
      <c r="V2205" s="6"/>
      <c r="W2205" s="6"/>
      <c r="X2205" s="6"/>
      <c r="Y2205" s="6"/>
      <c r="Z2205" s="6"/>
      <c r="AA2205" s="6"/>
      <c r="AB2205" s="6"/>
      <c r="AC2205" s="6"/>
      <c r="AD2205" s="6"/>
      <c r="AE2205" s="6"/>
    </row>
    <row r="2206" spans="22:31" ht="11.25" customHeight="1" x14ac:dyDescent="0.25">
      <c r="V2206" s="6"/>
      <c r="W2206" s="6"/>
      <c r="X2206" s="6"/>
      <c r="Y2206" s="6"/>
      <c r="Z2206" s="6"/>
      <c r="AA2206" s="6"/>
      <c r="AB2206" s="6"/>
      <c r="AC2206" s="6"/>
      <c r="AD2206" s="6"/>
      <c r="AE2206" s="6"/>
    </row>
    <row r="2207" spans="22:31" ht="11.25" customHeight="1" x14ac:dyDescent="0.25">
      <c r="V2207" s="6"/>
      <c r="W2207" s="6"/>
      <c r="X2207" s="6"/>
      <c r="Y2207" s="6"/>
      <c r="Z2207" s="6"/>
      <c r="AA2207" s="6"/>
      <c r="AB2207" s="6"/>
      <c r="AC2207" s="6"/>
      <c r="AD2207" s="6"/>
      <c r="AE2207" s="6"/>
    </row>
    <row r="2208" spans="22:31" ht="11.25" customHeight="1" x14ac:dyDescent="0.25">
      <c r="V2208" s="6"/>
      <c r="W2208" s="6"/>
      <c r="X2208" s="6"/>
      <c r="Y2208" s="6"/>
      <c r="Z2208" s="6"/>
      <c r="AA2208" s="6"/>
      <c r="AB2208" s="6"/>
      <c r="AC2208" s="6"/>
      <c r="AD2208" s="6"/>
      <c r="AE2208" s="6"/>
    </row>
    <row r="2209" spans="22:31" ht="11.25" customHeight="1" x14ac:dyDescent="0.25">
      <c r="V2209" s="6"/>
      <c r="W2209" s="6"/>
      <c r="X2209" s="6"/>
      <c r="Y2209" s="6"/>
      <c r="Z2209" s="6"/>
      <c r="AA2209" s="6"/>
      <c r="AB2209" s="6"/>
      <c r="AC2209" s="6"/>
      <c r="AD2209" s="6"/>
      <c r="AE2209" s="6"/>
    </row>
    <row r="2210" spans="22:31" ht="11.25" customHeight="1" x14ac:dyDescent="0.25">
      <c r="V2210" s="6"/>
      <c r="W2210" s="6"/>
      <c r="X2210" s="6"/>
      <c r="Y2210" s="6"/>
      <c r="Z2210" s="6"/>
      <c r="AA2210" s="6"/>
      <c r="AB2210" s="6"/>
      <c r="AC2210" s="6"/>
      <c r="AD2210" s="6"/>
      <c r="AE2210" s="6"/>
    </row>
    <row r="2211" spans="22:31" ht="11.25" customHeight="1" x14ac:dyDescent="0.25">
      <c r="V2211" s="6"/>
      <c r="W2211" s="6"/>
      <c r="X2211" s="6"/>
      <c r="Y2211" s="6"/>
      <c r="Z2211" s="6"/>
      <c r="AA2211" s="6"/>
      <c r="AB2211" s="6"/>
      <c r="AC2211" s="6"/>
      <c r="AD2211" s="6"/>
      <c r="AE2211" s="6"/>
    </row>
    <row r="2212" spans="22:31" ht="11.25" customHeight="1" x14ac:dyDescent="0.25">
      <c r="V2212" s="6"/>
      <c r="W2212" s="6"/>
      <c r="X2212" s="6"/>
      <c r="Y2212" s="6"/>
      <c r="Z2212" s="6"/>
      <c r="AA2212" s="6"/>
      <c r="AB2212" s="6"/>
      <c r="AC2212" s="6"/>
      <c r="AD2212" s="6"/>
      <c r="AE2212" s="6"/>
    </row>
    <row r="2213" spans="22:31" ht="11.25" customHeight="1" x14ac:dyDescent="0.25">
      <c r="V2213" s="6"/>
      <c r="W2213" s="6"/>
      <c r="X2213" s="6"/>
      <c r="Y2213" s="6"/>
      <c r="Z2213" s="6"/>
      <c r="AA2213" s="6"/>
      <c r="AB2213" s="6"/>
      <c r="AC2213" s="6"/>
      <c r="AD2213" s="6"/>
      <c r="AE2213" s="6"/>
    </row>
    <row r="2214" spans="22:31" ht="11.25" customHeight="1" x14ac:dyDescent="0.25">
      <c r="V2214" s="6"/>
      <c r="W2214" s="6"/>
      <c r="X2214" s="6"/>
      <c r="Y2214" s="6"/>
      <c r="Z2214" s="6"/>
      <c r="AA2214" s="6"/>
      <c r="AB2214" s="6"/>
      <c r="AC2214" s="6"/>
      <c r="AD2214" s="6"/>
      <c r="AE2214" s="6"/>
    </row>
    <row r="2215" spans="22:31" ht="11.25" customHeight="1" x14ac:dyDescent="0.25">
      <c r="V2215" s="6"/>
      <c r="W2215" s="6"/>
      <c r="X2215" s="6"/>
      <c r="Y2215" s="6"/>
      <c r="Z2215" s="6"/>
      <c r="AA2215" s="6"/>
      <c r="AB2215" s="6"/>
      <c r="AC2215" s="6"/>
      <c r="AD2215" s="6"/>
      <c r="AE2215" s="6"/>
    </row>
    <row r="2216" spans="22:31" ht="11.25" customHeight="1" x14ac:dyDescent="0.25">
      <c r="V2216" s="6"/>
      <c r="W2216" s="6"/>
      <c r="X2216" s="6"/>
      <c r="Y2216" s="6"/>
      <c r="Z2216" s="6"/>
      <c r="AA2216" s="6"/>
      <c r="AB2216" s="6"/>
      <c r="AC2216" s="6"/>
      <c r="AD2216" s="6"/>
      <c r="AE2216" s="6"/>
    </row>
    <row r="2217" spans="22:31" ht="11.25" customHeight="1" x14ac:dyDescent="0.25">
      <c r="V2217" s="6"/>
      <c r="W2217" s="6"/>
      <c r="X2217" s="6"/>
      <c r="Y2217" s="6"/>
      <c r="Z2217" s="6"/>
      <c r="AA2217" s="6"/>
      <c r="AB2217" s="6"/>
      <c r="AC2217" s="6"/>
      <c r="AD2217" s="6"/>
      <c r="AE2217" s="6"/>
    </row>
    <row r="2218" spans="22:31" ht="11.25" customHeight="1" x14ac:dyDescent="0.25">
      <c r="V2218" s="6"/>
      <c r="W2218" s="6"/>
      <c r="X2218" s="6"/>
      <c r="Y2218" s="6"/>
      <c r="Z2218" s="6"/>
      <c r="AA2218" s="6"/>
      <c r="AB2218" s="6"/>
      <c r="AC2218" s="6"/>
      <c r="AD2218" s="6"/>
      <c r="AE2218" s="6"/>
    </row>
    <row r="2219" spans="22:31" ht="11.25" customHeight="1" x14ac:dyDescent="0.25">
      <c r="V2219" s="6"/>
      <c r="W2219" s="6"/>
      <c r="X2219" s="6"/>
      <c r="Y2219" s="6"/>
      <c r="Z2219" s="6"/>
      <c r="AA2219" s="6"/>
      <c r="AB2219" s="6"/>
      <c r="AC2219" s="6"/>
      <c r="AD2219" s="6"/>
      <c r="AE2219" s="6"/>
    </row>
    <row r="2220" spans="22:31" ht="11.25" customHeight="1" x14ac:dyDescent="0.25">
      <c r="V2220" s="6"/>
      <c r="W2220" s="6"/>
      <c r="X2220" s="6"/>
      <c r="Y2220" s="6"/>
      <c r="Z2220" s="6"/>
      <c r="AA2220" s="6"/>
      <c r="AB2220" s="6"/>
      <c r="AC2220" s="6"/>
      <c r="AD2220" s="6"/>
      <c r="AE2220" s="6"/>
    </row>
    <row r="2221" spans="22:31" ht="11.25" customHeight="1" x14ac:dyDescent="0.25">
      <c r="V2221" s="6"/>
      <c r="W2221" s="6"/>
      <c r="X2221" s="6"/>
      <c r="Y2221" s="6"/>
      <c r="Z2221" s="6"/>
      <c r="AA2221" s="6"/>
      <c r="AB2221" s="6"/>
      <c r="AC2221" s="6"/>
      <c r="AD2221" s="6"/>
      <c r="AE2221" s="6"/>
    </row>
    <row r="2222" spans="22:31" ht="11.25" customHeight="1" x14ac:dyDescent="0.25">
      <c r="V2222" s="6"/>
      <c r="W2222" s="6"/>
      <c r="X2222" s="6"/>
      <c r="Y2222" s="6"/>
      <c r="Z2222" s="6"/>
      <c r="AA2222" s="6"/>
      <c r="AB2222" s="6"/>
      <c r="AC2222" s="6"/>
      <c r="AD2222" s="6"/>
      <c r="AE2222" s="6"/>
    </row>
    <row r="2223" spans="22:31" ht="11.25" customHeight="1" x14ac:dyDescent="0.25">
      <c r="V2223" s="6"/>
      <c r="W2223" s="6"/>
      <c r="X2223" s="6"/>
      <c r="Y2223" s="6"/>
      <c r="Z2223" s="6"/>
      <c r="AA2223" s="6"/>
      <c r="AB2223" s="6"/>
      <c r="AC2223" s="6"/>
      <c r="AD2223" s="6"/>
      <c r="AE2223" s="6"/>
    </row>
    <row r="2224" spans="22:31" ht="11.25" customHeight="1" x14ac:dyDescent="0.25">
      <c r="V2224" s="6"/>
      <c r="W2224" s="6"/>
      <c r="X2224" s="6"/>
      <c r="Y2224" s="6"/>
      <c r="Z2224" s="6"/>
      <c r="AA2224" s="6"/>
      <c r="AB2224" s="6"/>
      <c r="AC2224" s="6"/>
      <c r="AD2224" s="6"/>
      <c r="AE2224" s="6"/>
    </row>
    <row r="2225" spans="22:31" ht="11.25" customHeight="1" x14ac:dyDescent="0.25">
      <c r="V2225" s="6"/>
      <c r="W2225" s="6"/>
      <c r="X2225" s="6"/>
      <c r="Y2225" s="6"/>
      <c r="Z2225" s="6"/>
      <c r="AA2225" s="6"/>
      <c r="AB2225" s="6"/>
      <c r="AC2225" s="6"/>
      <c r="AD2225" s="6"/>
      <c r="AE2225" s="6"/>
    </row>
    <row r="2226" spans="22:31" ht="11.25" customHeight="1" x14ac:dyDescent="0.25">
      <c r="V2226" s="6"/>
      <c r="W2226" s="6"/>
      <c r="X2226" s="6"/>
      <c r="Y2226" s="6"/>
      <c r="Z2226" s="6"/>
      <c r="AA2226" s="6"/>
      <c r="AB2226" s="6"/>
      <c r="AC2226" s="6"/>
      <c r="AD2226" s="6"/>
      <c r="AE2226" s="6"/>
    </row>
    <row r="2227" spans="22:31" ht="11.25" customHeight="1" x14ac:dyDescent="0.25">
      <c r="V2227" s="6"/>
      <c r="W2227" s="6"/>
      <c r="X2227" s="6"/>
      <c r="Y2227" s="6"/>
      <c r="Z2227" s="6"/>
      <c r="AA2227" s="6"/>
      <c r="AB2227" s="6"/>
      <c r="AC2227" s="6"/>
      <c r="AD2227" s="6"/>
      <c r="AE2227" s="6"/>
    </row>
    <row r="2228" spans="22:31" ht="11.25" customHeight="1" x14ac:dyDescent="0.25">
      <c r="V2228" s="6"/>
      <c r="W2228" s="6"/>
      <c r="X2228" s="6"/>
      <c r="Y2228" s="6"/>
      <c r="Z2228" s="6"/>
      <c r="AA2228" s="6"/>
      <c r="AB2228" s="6"/>
      <c r="AC2228" s="6"/>
      <c r="AD2228" s="6"/>
      <c r="AE2228" s="6"/>
    </row>
    <row r="2229" spans="22:31" ht="11.25" customHeight="1" x14ac:dyDescent="0.25">
      <c r="V2229" s="6"/>
      <c r="W2229" s="6"/>
      <c r="X2229" s="6"/>
      <c r="Y2229" s="6"/>
      <c r="Z2229" s="6"/>
      <c r="AA2229" s="6"/>
      <c r="AB2229" s="6"/>
      <c r="AC2229" s="6"/>
      <c r="AD2229" s="6"/>
      <c r="AE2229" s="6"/>
    </row>
    <row r="2230" spans="22:31" ht="11.25" customHeight="1" x14ac:dyDescent="0.25">
      <c r="V2230" s="6"/>
      <c r="W2230" s="6"/>
      <c r="X2230" s="6"/>
      <c r="Y2230" s="6"/>
      <c r="Z2230" s="6"/>
      <c r="AA2230" s="6"/>
      <c r="AB2230" s="6"/>
      <c r="AC2230" s="6"/>
      <c r="AD2230" s="6"/>
      <c r="AE2230" s="6"/>
    </row>
    <row r="2231" spans="22:31" ht="11.25" customHeight="1" x14ac:dyDescent="0.25">
      <c r="V2231" s="6"/>
      <c r="W2231" s="6"/>
      <c r="X2231" s="6"/>
      <c r="Y2231" s="6"/>
      <c r="Z2231" s="6"/>
      <c r="AA2231" s="6"/>
      <c r="AB2231" s="6"/>
      <c r="AC2231" s="6"/>
      <c r="AD2231" s="6"/>
      <c r="AE2231" s="6"/>
    </row>
    <row r="2232" spans="22:31" ht="11.25" customHeight="1" x14ac:dyDescent="0.25">
      <c r="V2232" s="6"/>
      <c r="W2232" s="6"/>
      <c r="X2232" s="6"/>
      <c r="Y2232" s="6"/>
      <c r="Z2232" s="6"/>
      <c r="AA2232" s="6"/>
      <c r="AB2232" s="6"/>
      <c r="AC2232" s="6"/>
      <c r="AD2232" s="6"/>
      <c r="AE2232" s="6"/>
    </row>
    <row r="2233" spans="22:31" ht="11.25" customHeight="1" x14ac:dyDescent="0.25">
      <c r="V2233" s="6"/>
      <c r="W2233" s="6"/>
      <c r="X2233" s="6"/>
      <c r="Y2233" s="6"/>
      <c r="Z2233" s="6"/>
      <c r="AA2233" s="6"/>
      <c r="AB2233" s="6"/>
      <c r="AC2233" s="6"/>
      <c r="AD2233" s="6"/>
      <c r="AE2233" s="6"/>
    </row>
    <row r="2234" spans="22:31" ht="11.25" customHeight="1" x14ac:dyDescent="0.25">
      <c r="V2234" s="6"/>
      <c r="W2234" s="6"/>
      <c r="X2234" s="6"/>
      <c r="Y2234" s="6"/>
      <c r="Z2234" s="6"/>
      <c r="AA2234" s="6"/>
      <c r="AB2234" s="6"/>
      <c r="AC2234" s="6"/>
      <c r="AD2234" s="6"/>
      <c r="AE2234" s="6"/>
    </row>
    <row r="2235" spans="22:31" ht="11.25" customHeight="1" x14ac:dyDescent="0.25">
      <c r="V2235" s="6"/>
      <c r="W2235" s="6"/>
      <c r="X2235" s="6"/>
      <c r="Y2235" s="6"/>
      <c r="Z2235" s="6"/>
      <c r="AA2235" s="6"/>
      <c r="AB2235" s="6"/>
      <c r="AC2235" s="6"/>
      <c r="AD2235" s="6"/>
      <c r="AE2235" s="6"/>
    </row>
    <row r="2236" spans="22:31" ht="11.25" customHeight="1" x14ac:dyDescent="0.25">
      <c r="V2236" s="6"/>
      <c r="W2236" s="6"/>
      <c r="X2236" s="6"/>
      <c r="Y2236" s="6"/>
      <c r="Z2236" s="6"/>
      <c r="AA2236" s="6"/>
      <c r="AB2236" s="6"/>
      <c r="AC2236" s="6"/>
      <c r="AD2236" s="6"/>
      <c r="AE2236" s="6"/>
    </row>
    <row r="2237" spans="22:31" ht="11.25" customHeight="1" x14ac:dyDescent="0.25">
      <c r="V2237" s="6"/>
      <c r="W2237" s="6"/>
      <c r="X2237" s="6"/>
      <c r="Y2237" s="6"/>
      <c r="Z2237" s="6"/>
      <c r="AA2237" s="6"/>
      <c r="AB2237" s="6"/>
      <c r="AC2237" s="6"/>
      <c r="AD2237" s="6"/>
      <c r="AE2237" s="6"/>
    </row>
    <row r="2238" spans="22:31" ht="11.25" customHeight="1" x14ac:dyDescent="0.25">
      <c r="V2238" s="6"/>
      <c r="W2238" s="6"/>
      <c r="X2238" s="6"/>
      <c r="Y2238" s="6"/>
      <c r="Z2238" s="6"/>
      <c r="AA2238" s="6"/>
      <c r="AB2238" s="6"/>
      <c r="AC2238" s="6"/>
      <c r="AD2238" s="6"/>
      <c r="AE2238" s="6"/>
    </row>
    <row r="2239" spans="22:31" ht="11.25" customHeight="1" x14ac:dyDescent="0.25">
      <c r="V2239" s="6"/>
      <c r="W2239" s="6"/>
      <c r="X2239" s="6"/>
      <c r="Y2239" s="6"/>
      <c r="Z2239" s="6"/>
      <c r="AA2239" s="6"/>
      <c r="AB2239" s="6"/>
      <c r="AC2239" s="6"/>
      <c r="AD2239" s="6"/>
      <c r="AE2239" s="6"/>
    </row>
    <row r="2240" spans="22:31" ht="11.25" customHeight="1" x14ac:dyDescent="0.25">
      <c r="V2240" s="6"/>
      <c r="W2240" s="6"/>
      <c r="X2240" s="6"/>
      <c r="Y2240" s="6"/>
      <c r="Z2240" s="6"/>
      <c r="AA2240" s="6"/>
      <c r="AB2240" s="6"/>
      <c r="AC2240" s="6"/>
      <c r="AD2240" s="6"/>
      <c r="AE2240" s="6"/>
    </row>
    <row r="2241" spans="22:31" ht="11.25" customHeight="1" x14ac:dyDescent="0.25">
      <c r="V2241" s="6"/>
      <c r="W2241" s="6"/>
      <c r="X2241" s="6"/>
      <c r="Y2241" s="6"/>
      <c r="Z2241" s="6"/>
      <c r="AA2241" s="6"/>
      <c r="AB2241" s="6"/>
      <c r="AC2241" s="6"/>
      <c r="AD2241" s="6"/>
      <c r="AE2241" s="6"/>
    </row>
    <row r="2242" spans="22:31" ht="11.25" customHeight="1" x14ac:dyDescent="0.25">
      <c r="V2242" s="6"/>
      <c r="W2242" s="6"/>
      <c r="X2242" s="6"/>
      <c r="Y2242" s="6"/>
      <c r="Z2242" s="6"/>
      <c r="AA2242" s="6"/>
      <c r="AB2242" s="6"/>
      <c r="AC2242" s="6"/>
      <c r="AD2242" s="6"/>
      <c r="AE2242" s="6"/>
    </row>
    <row r="2243" spans="22:31" ht="11.25" customHeight="1" x14ac:dyDescent="0.25">
      <c r="V2243" s="6"/>
      <c r="W2243" s="6"/>
      <c r="X2243" s="6"/>
      <c r="Y2243" s="6"/>
      <c r="Z2243" s="6"/>
      <c r="AA2243" s="6"/>
      <c r="AB2243" s="6"/>
      <c r="AC2243" s="6"/>
      <c r="AD2243" s="6"/>
      <c r="AE2243" s="6"/>
    </row>
    <row r="2244" spans="22:31" ht="11.25" customHeight="1" x14ac:dyDescent="0.25">
      <c r="V2244" s="6"/>
      <c r="W2244" s="6"/>
      <c r="X2244" s="6"/>
      <c r="Y2244" s="6"/>
      <c r="Z2244" s="6"/>
      <c r="AA2244" s="6"/>
      <c r="AB2244" s="6"/>
      <c r="AC2244" s="6"/>
      <c r="AD2244" s="6"/>
      <c r="AE2244" s="6"/>
    </row>
    <row r="2245" spans="22:31" ht="11.25" customHeight="1" x14ac:dyDescent="0.25">
      <c r="V2245" s="6"/>
      <c r="W2245" s="6"/>
      <c r="X2245" s="6"/>
      <c r="Y2245" s="6"/>
      <c r="Z2245" s="6"/>
      <c r="AA2245" s="6"/>
      <c r="AB2245" s="6"/>
      <c r="AC2245" s="6"/>
      <c r="AD2245" s="6"/>
      <c r="AE2245" s="6"/>
    </row>
    <row r="2246" spans="22:31" ht="11.25" customHeight="1" x14ac:dyDescent="0.25">
      <c r="V2246" s="6"/>
      <c r="W2246" s="6"/>
      <c r="X2246" s="6"/>
      <c r="Y2246" s="6"/>
      <c r="Z2246" s="6"/>
      <c r="AA2246" s="6"/>
      <c r="AB2246" s="6"/>
      <c r="AC2246" s="6"/>
      <c r="AD2246" s="6"/>
      <c r="AE2246" s="6"/>
    </row>
    <row r="2247" spans="22:31" ht="11.25" customHeight="1" x14ac:dyDescent="0.25">
      <c r="V2247" s="6"/>
      <c r="W2247" s="6"/>
      <c r="X2247" s="6"/>
      <c r="Y2247" s="6"/>
      <c r="Z2247" s="6"/>
      <c r="AA2247" s="6"/>
      <c r="AB2247" s="6"/>
      <c r="AC2247" s="6"/>
      <c r="AD2247" s="6"/>
      <c r="AE2247" s="6"/>
    </row>
    <row r="2248" spans="22:31" ht="11.25" customHeight="1" x14ac:dyDescent="0.25">
      <c r="V2248" s="6"/>
      <c r="W2248" s="6"/>
      <c r="X2248" s="6"/>
      <c r="Y2248" s="6"/>
      <c r="Z2248" s="6"/>
      <c r="AA2248" s="6"/>
      <c r="AB2248" s="6"/>
      <c r="AC2248" s="6"/>
      <c r="AD2248" s="6"/>
      <c r="AE2248" s="6"/>
    </row>
    <row r="2249" spans="22:31" ht="11.25" customHeight="1" x14ac:dyDescent="0.25">
      <c r="V2249" s="6"/>
      <c r="W2249" s="6"/>
      <c r="X2249" s="6"/>
      <c r="Y2249" s="6"/>
      <c r="Z2249" s="6"/>
      <c r="AA2249" s="6"/>
      <c r="AB2249" s="6"/>
      <c r="AC2249" s="6"/>
      <c r="AD2249" s="6"/>
      <c r="AE2249" s="6"/>
    </row>
    <row r="2250" spans="22:31" ht="11.25" customHeight="1" x14ac:dyDescent="0.25">
      <c r="V2250" s="6"/>
      <c r="W2250" s="6"/>
      <c r="X2250" s="6"/>
      <c r="Y2250" s="6"/>
      <c r="Z2250" s="6"/>
      <c r="AA2250" s="6"/>
      <c r="AB2250" s="6"/>
      <c r="AC2250" s="6"/>
      <c r="AD2250" s="6"/>
      <c r="AE2250" s="6"/>
    </row>
    <row r="2251" spans="22:31" ht="11.25" customHeight="1" x14ac:dyDescent="0.25">
      <c r="V2251" s="6"/>
      <c r="W2251" s="6"/>
      <c r="X2251" s="6"/>
      <c r="Y2251" s="6"/>
      <c r="Z2251" s="6"/>
      <c r="AA2251" s="6"/>
      <c r="AB2251" s="6"/>
      <c r="AC2251" s="6"/>
      <c r="AD2251" s="6"/>
      <c r="AE2251" s="6"/>
    </row>
    <row r="2252" spans="22:31" ht="11.25" customHeight="1" x14ac:dyDescent="0.25">
      <c r="V2252" s="6"/>
      <c r="W2252" s="6"/>
      <c r="X2252" s="6"/>
      <c r="Y2252" s="6"/>
      <c r="Z2252" s="6"/>
      <c r="AA2252" s="6"/>
      <c r="AB2252" s="6"/>
      <c r="AC2252" s="6"/>
      <c r="AD2252" s="6"/>
      <c r="AE2252" s="6"/>
    </row>
    <row r="2253" spans="22:31" ht="11.25" customHeight="1" x14ac:dyDescent="0.25">
      <c r="V2253" s="6"/>
      <c r="W2253" s="6"/>
      <c r="X2253" s="6"/>
      <c r="Y2253" s="6"/>
      <c r="Z2253" s="6"/>
      <c r="AA2253" s="6"/>
      <c r="AB2253" s="6"/>
      <c r="AC2253" s="6"/>
      <c r="AD2253" s="6"/>
      <c r="AE2253" s="6"/>
    </row>
    <row r="2254" spans="22:31" ht="11.25" customHeight="1" x14ac:dyDescent="0.25">
      <c r="V2254" s="6"/>
      <c r="W2254" s="6"/>
      <c r="X2254" s="6"/>
      <c r="Y2254" s="6"/>
      <c r="Z2254" s="6"/>
      <c r="AA2254" s="6"/>
      <c r="AB2254" s="6"/>
      <c r="AC2254" s="6"/>
      <c r="AD2254" s="6"/>
      <c r="AE2254" s="6"/>
    </row>
    <row r="2255" spans="22:31" ht="11.25" customHeight="1" x14ac:dyDescent="0.25">
      <c r="V2255" s="6"/>
      <c r="W2255" s="6"/>
      <c r="X2255" s="6"/>
      <c r="Y2255" s="6"/>
      <c r="Z2255" s="6"/>
      <c r="AA2255" s="6"/>
      <c r="AB2255" s="6"/>
      <c r="AC2255" s="6"/>
      <c r="AD2255" s="6"/>
      <c r="AE2255" s="6"/>
    </row>
    <row r="2256" spans="22:31" ht="11.25" customHeight="1" x14ac:dyDescent="0.25">
      <c r="V2256" s="6"/>
      <c r="W2256" s="6"/>
      <c r="X2256" s="6"/>
      <c r="Y2256" s="6"/>
      <c r="Z2256" s="6"/>
      <c r="AA2256" s="6"/>
      <c r="AB2256" s="6"/>
      <c r="AC2256" s="6"/>
      <c r="AD2256" s="6"/>
      <c r="AE2256" s="6"/>
    </row>
    <row r="2257" spans="22:31" ht="11.25" customHeight="1" x14ac:dyDescent="0.25">
      <c r="V2257" s="6"/>
      <c r="W2257" s="6"/>
      <c r="X2257" s="6"/>
      <c r="Y2257" s="6"/>
      <c r="Z2257" s="6"/>
      <c r="AA2257" s="6"/>
      <c r="AB2257" s="6"/>
      <c r="AC2257" s="6"/>
      <c r="AD2257" s="6"/>
      <c r="AE2257" s="6"/>
    </row>
    <row r="2258" spans="22:31" ht="11.25" customHeight="1" x14ac:dyDescent="0.25">
      <c r="V2258" s="6"/>
      <c r="W2258" s="6"/>
      <c r="X2258" s="6"/>
      <c r="Y2258" s="6"/>
      <c r="Z2258" s="6"/>
      <c r="AA2258" s="6"/>
      <c r="AB2258" s="6"/>
      <c r="AC2258" s="6"/>
      <c r="AD2258" s="6"/>
      <c r="AE2258" s="6"/>
    </row>
    <row r="2259" spans="22:31" ht="11.25" customHeight="1" x14ac:dyDescent="0.25">
      <c r="V2259" s="6"/>
      <c r="W2259" s="6"/>
      <c r="X2259" s="6"/>
      <c r="Y2259" s="6"/>
      <c r="Z2259" s="6"/>
      <c r="AA2259" s="6"/>
      <c r="AB2259" s="6"/>
      <c r="AC2259" s="6"/>
      <c r="AD2259" s="6"/>
      <c r="AE2259" s="6"/>
    </row>
    <row r="2260" spans="22:31" ht="11.25" customHeight="1" x14ac:dyDescent="0.25">
      <c r="V2260" s="6"/>
      <c r="W2260" s="6"/>
      <c r="X2260" s="6"/>
      <c r="Y2260" s="6"/>
      <c r="Z2260" s="6"/>
      <c r="AA2260" s="6"/>
      <c r="AB2260" s="6"/>
      <c r="AC2260" s="6"/>
      <c r="AD2260" s="6"/>
      <c r="AE2260" s="6"/>
    </row>
    <row r="2261" spans="22:31" ht="11.25" customHeight="1" x14ac:dyDescent="0.25">
      <c r="V2261" s="6"/>
      <c r="W2261" s="6"/>
      <c r="X2261" s="6"/>
      <c r="Y2261" s="6"/>
      <c r="Z2261" s="6"/>
      <c r="AA2261" s="6"/>
      <c r="AB2261" s="6"/>
      <c r="AC2261" s="6"/>
      <c r="AD2261" s="6"/>
      <c r="AE2261" s="6"/>
    </row>
    <row r="2262" spans="22:31" ht="11.25" customHeight="1" x14ac:dyDescent="0.25">
      <c r="V2262" s="6"/>
      <c r="W2262" s="6"/>
      <c r="X2262" s="6"/>
      <c r="Y2262" s="6"/>
      <c r="Z2262" s="6"/>
      <c r="AA2262" s="6"/>
      <c r="AB2262" s="6"/>
      <c r="AC2262" s="6"/>
      <c r="AD2262" s="6"/>
      <c r="AE2262" s="6"/>
    </row>
    <row r="2263" spans="22:31" ht="11.25" customHeight="1" x14ac:dyDescent="0.25">
      <c r="V2263" s="6"/>
      <c r="W2263" s="6"/>
      <c r="X2263" s="6"/>
      <c r="Y2263" s="6"/>
      <c r="Z2263" s="6"/>
      <c r="AA2263" s="6"/>
      <c r="AB2263" s="6"/>
      <c r="AC2263" s="6"/>
      <c r="AD2263" s="6"/>
      <c r="AE2263" s="6"/>
    </row>
    <row r="2264" spans="22:31" ht="11.25" customHeight="1" x14ac:dyDescent="0.25">
      <c r="V2264" s="6"/>
      <c r="W2264" s="6"/>
      <c r="X2264" s="6"/>
      <c r="Y2264" s="6"/>
      <c r="Z2264" s="6"/>
      <c r="AA2264" s="6"/>
      <c r="AB2264" s="6"/>
      <c r="AC2264" s="6"/>
      <c r="AD2264" s="6"/>
      <c r="AE2264" s="6"/>
    </row>
    <row r="2265" spans="22:31" ht="11.25" customHeight="1" x14ac:dyDescent="0.25">
      <c r="V2265" s="6"/>
      <c r="W2265" s="6"/>
      <c r="X2265" s="6"/>
      <c r="Y2265" s="6"/>
      <c r="Z2265" s="6"/>
      <c r="AA2265" s="6"/>
      <c r="AB2265" s="6"/>
      <c r="AC2265" s="6"/>
      <c r="AD2265" s="6"/>
      <c r="AE2265" s="6"/>
    </row>
    <row r="2266" spans="22:31" ht="11.25" customHeight="1" x14ac:dyDescent="0.25">
      <c r="V2266" s="6"/>
      <c r="W2266" s="6"/>
      <c r="X2266" s="6"/>
      <c r="Y2266" s="6"/>
      <c r="Z2266" s="6"/>
      <c r="AA2266" s="6"/>
      <c r="AB2266" s="6"/>
      <c r="AC2266" s="6"/>
      <c r="AD2266" s="6"/>
      <c r="AE2266" s="6"/>
    </row>
    <row r="2267" spans="22:31" ht="11.25" customHeight="1" x14ac:dyDescent="0.25">
      <c r="V2267" s="6"/>
      <c r="W2267" s="6"/>
      <c r="X2267" s="6"/>
      <c r="Y2267" s="6"/>
      <c r="Z2267" s="6"/>
      <c r="AA2267" s="6"/>
      <c r="AB2267" s="6"/>
      <c r="AC2267" s="6"/>
      <c r="AD2267" s="6"/>
      <c r="AE2267" s="6"/>
    </row>
    <row r="2268" spans="22:31" ht="11.25" customHeight="1" x14ac:dyDescent="0.25">
      <c r="V2268" s="6"/>
      <c r="W2268" s="6"/>
      <c r="X2268" s="6"/>
      <c r="Y2268" s="6"/>
      <c r="Z2268" s="6"/>
      <c r="AA2268" s="6"/>
      <c r="AB2268" s="6"/>
      <c r="AC2268" s="6"/>
      <c r="AD2268" s="6"/>
      <c r="AE2268" s="6"/>
    </row>
    <row r="2269" spans="22:31" ht="11.25" customHeight="1" x14ac:dyDescent="0.25">
      <c r="V2269" s="6"/>
      <c r="W2269" s="6"/>
      <c r="X2269" s="6"/>
      <c r="Y2269" s="6"/>
      <c r="Z2269" s="6"/>
      <c r="AA2269" s="6"/>
      <c r="AB2269" s="6"/>
      <c r="AC2269" s="6"/>
      <c r="AD2269" s="6"/>
      <c r="AE2269" s="6"/>
    </row>
    <row r="2270" spans="22:31" ht="11.25" customHeight="1" x14ac:dyDescent="0.25">
      <c r="V2270" s="6"/>
      <c r="W2270" s="6"/>
      <c r="X2270" s="6"/>
      <c r="Y2270" s="6"/>
      <c r="Z2270" s="6"/>
      <c r="AA2270" s="6"/>
      <c r="AB2270" s="6"/>
      <c r="AC2270" s="6"/>
      <c r="AD2270" s="6"/>
      <c r="AE2270" s="6"/>
    </row>
    <row r="2271" spans="22:31" ht="11.25" customHeight="1" x14ac:dyDescent="0.25">
      <c r="V2271" s="6"/>
      <c r="W2271" s="6"/>
      <c r="X2271" s="6"/>
      <c r="Y2271" s="6"/>
      <c r="Z2271" s="6"/>
      <c r="AA2271" s="6"/>
      <c r="AB2271" s="6"/>
      <c r="AC2271" s="6"/>
      <c r="AD2271" s="6"/>
      <c r="AE2271" s="6"/>
    </row>
    <row r="2272" spans="22:31" ht="11.25" customHeight="1" x14ac:dyDescent="0.25">
      <c r="V2272" s="6"/>
      <c r="W2272" s="6"/>
      <c r="X2272" s="6"/>
      <c r="Y2272" s="6"/>
      <c r="Z2272" s="6"/>
      <c r="AA2272" s="6"/>
      <c r="AB2272" s="6"/>
      <c r="AC2272" s="6"/>
      <c r="AD2272" s="6"/>
      <c r="AE2272" s="6"/>
    </row>
    <row r="2273" spans="22:31" ht="11.25" customHeight="1" x14ac:dyDescent="0.25">
      <c r="V2273" s="6"/>
      <c r="W2273" s="6"/>
      <c r="X2273" s="6"/>
      <c r="Y2273" s="6"/>
      <c r="Z2273" s="6"/>
      <c r="AA2273" s="6"/>
      <c r="AB2273" s="6"/>
      <c r="AC2273" s="6"/>
      <c r="AD2273" s="6"/>
      <c r="AE2273" s="6"/>
    </row>
    <row r="2274" spans="22:31" ht="11.25" customHeight="1" x14ac:dyDescent="0.25">
      <c r="V2274" s="6"/>
      <c r="W2274" s="6"/>
      <c r="X2274" s="6"/>
      <c r="Y2274" s="6"/>
      <c r="Z2274" s="6"/>
      <c r="AA2274" s="6"/>
      <c r="AB2274" s="6"/>
      <c r="AC2274" s="6"/>
      <c r="AD2274" s="6"/>
      <c r="AE2274" s="6"/>
    </row>
    <row r="2275" spans="22:31" ht="11.25" customHeight="1" x14ac:dyDescent="0.25">
      <c r="V2275" s="6"/>
      <c r="W2275" s="6"/>
      <c r="X2275" s="6"/>
      <c r="Y2275" s="6"/>
      <c r="Z2275" s="6"/>
      <c r="AA2275" s="6"/>
      <c r="AB2275" s="6"/>
      <c r="AC2275" s="6"/>
      <c r="AD2275" s="6"/>
      <c r="AE2275" s="6"/>
    </row>
    <row r="2276" spans="22:31" ht="11.25" customHeight="1" x14ac:dyDescent="0.25">
      <c r="V2276" s="6"/>
      <c r="W2276" s="6"/>
      <c r="X2276" s="6"/>
      <c r="Y2276" s="6"/>
      <c r="Z2276" s="6"/>
      <c r="AA2276" s="6"/>
      <c r="AB2276" s="6"/>
      <c r="AC2276" s="6"/>
      <c r="AD2276" s="6"/>
      <c r="AE2276" s="6"/>
    </row>
    <row r="2277" spans="22:31" ht="11.25" customHeight="1" x14ac:dyDescent="0.25">
      <c r="V2277" s="6"/>
      <c r="W2277" s="6"/>
      <c r="X2277" s="6"/>
      <c r="Y2277" s="6"/>
      <c r="Z2277" s="6"/>
      <c r="AA2277" s="6"/>
      <c r="AB2277" s="6"/>
      <c r="AC2277" s="6"/>
      <c r="AD2277" s="6"/>
      <c r="AE2277" s="6"/>
    </row>
    <row r="2278" spans="22:31" ht="11.25" customHeight="1" x14ac:dyDescent="0.25">
      <c r="V2278" s="6"/>
      <c r="W2278" s="6"/>
      <c r="X2278" s="6"/>
      <c r="Y2278" s="6"/>
      <c r="Z2278" s="6"/>
      <c r="AA2278" s="6"/>
      <c r="AB2278" s="6"/>
      <c r="AC2278" s="6"/>
      <c r="AD2278" s="6"/>
      <c r="AE2278" s="6"/>
    </row>
    <row r="2279" spans="22:31" ht="11.25" customHeight="1" x14ac:dyDescent="0.25">
      <c r="V2279" s="6"/>
      <c r="W2279" s="6"/>
      <c r="X2279" s="6"/>
      <c r="Y2279" s="6"/>
      <c r="Z2279" s="6"/>
      <c r="AA2279" s="6"/>
      <c r="AB2279" s="6"/>
      <c r="AC2279" s="6"/>
      <c r="AD2279" s="6"/>
      <c r="AE2279" s="6"/>
    </row>
    <row r="2280" spans="22:31" ht="11.25" customHeight="1" x14ac:dyDescent="0.25">
      <c r="V2280" s="6"/>
      <c r="W2280" s="6"/>
      <c r="X2280" s="6"/>
      <c r="Y2280" s="6"/>
      <c r="Z2280" s="6"/>
      <c r="AA2280" s="6"/>
      <c r="AB2280" s="6"/>
      <c r="AC2280" s="6"/>
      <c r="AD2280" s="6"/>
      <c r="AE2280" s="6"/>
    </row>
    <row r="2281" spans="22:31" ht="11.25" customHeight="1" x14ac:dyDescent="0.25">
      <c r="V2281" s="6"/>
      <c r="W2281" s="6"/>
      <c r="X2281" s="6"/>
      <c r="Y2281" s="6"/>
      <c r="Z2281" s="6"/>
      <c r="AA2281" s="6"/>
      <c r="AB2281" s="6"/>
      <c r="AC2281" s="6"/>
      <c r="AD2281" s="6"/>
      <c r="AE2281" s="6"/>
    </row>
    <row r="2282" spans="22:31" ht="11.25" customHeight="1" x14ac:dyDescent="0.25">
      <c r="V2282" s="6"/>
      <c r="W2282" s="6"/>
      <c r="X2282" s="6"/>
      <c r="Y2282" s="6"/>
      <c r="Z2282" s="6"/>
      <c r="AA2282" s="6"/>
      <c r="AB2282" s="6"/>
      <c r="AC2282" s="6"/>
      <c r="AD2282" s="6"/>
      <c r="AE2282" s="6"/>
    </row>
    <row r="2283" spans="22:31" ht="11.25" customHeight="1" x14ac:dyDescent="0.25">
      <c r="V2283" s="6"/>
      <c r="W2283" s="6"/>
      <c r="X2283" s="6"/>
      <c r="Y2283" s="6"/>
      <c r="Z2283" s="6"/>
      <c r="AA2283" s="6"/>
      <c r="AB2283" s="6"/>
      <c r="AC2283" s="6"/>
      <c r="AD2283" s="6"/>
      <c r="AE2283" s="6"/>
    </row>
    <row r="2284" spans="22:31" ht="11.25" customHeight="1" x14ac:dyDescent="0.25">
      <c r="V2284" s="6"/>
      <c r="W2284" s="6"/>
      <c r="X2284" s="6"/>
      <c r="Y2284" s="6"/>
      <c r="Z2284" s="6"/>
      <c r="AA2284" s="6"/>
      <c r="AB2284" s="6"/>
      <c r="AC2284" s="6"/>
      <c r="AD2284" s="6"/>
      <c r="AE2284" s="6"/>
    </row>
    <row r="2285" spans="22:31" ht="11.25" customHeight="1" x14ac:dyDescent="0.25">
      <c r="V2285" s="6"/>
      <c r="W2285" s="6"/>
      <c r="X2285" s="6"/>
      <c r="Y2285" s="6"/>
      <c r="Z2285" s="6"/>
      <c r="AA2285" s="6"/>
      <c r="AB2285" s="6"/>
      <c r="AC2285" s="6"/>
      <c r="AD2285" s="6"/>
      <c r="AE2285" s="6"/>
    </row>
    <row r="2286" spans="22:31" ht="11.25" customHeight="1" x14ac:dyDescent="0.25">
      <c r="V2286" s="6"/>
      <c r="W2286" s="6"/>
      <c r="X2286" s="6"/>
      <c r="Y2286" s="6"/>
      <c r="Z2286" s="6"/>
      <c r="AA2286" s="6"/>
      <c r="AB2286" s="6"/>
      <c r="AC2286" s="6"/>
      <c r="AD2286" s="6"/>
      <c r="AE2286" s="6"/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0C3BC-0050-4601-B732-33D1BB340A4F}">
  <dimension ref="A1:J1763"/>
  <sheetViews>
    <sheetView showGridLines="0" workbookViewId="0"/>
  </sheetViews>
  <sheetFormatPr defaultColWidth="8.85546875" defaultRowHeight="11.25" customHeight="1" x14ac:dyDescent="0.2"/>
  <cols>
    <col min="1" max="1" width="32.28515625" style="16" bestFit="1" customWidth="1"/>
    <col min="2" max="2" width="23.28515625" style="57" bestFit="1" customWidth="1"/>
    <col min="3" max="3" width="24.28515625" style="57" bestFit="1" customWidth="1"/>
    <col min="4" max="4" width="24.42578125" style="57" bestFit="1" customWidth="1"/>
    <col min="5" max="5" width="25.5703125" style="57" bestFit="1" customWidth="1"/>
    <col min="6" max="6" width="22.42578125" style="57" bestFit="1" customWidth="1"/>
    <col min="7" max="7" width="23.42578125" style="57" bestFit="1" customWidth="1"/>
    <col min="8" max="8" width="17.140625" style="58" bestFit="1" customWidth="1"/>
    <col min="9" max="9" width="15" style="58" bestFit="1" customWidth="1"/>
    <col min="10" max="10" width="12.7109375" style="58" bestFit="1" customWidth="1"/>
    <col min="11" max="16384" width="8.85546875" style="16"/>
  </cols>
  <sheetData>
    <row r="1" spans="1:10" ht="11.25" customHeight="1" x14ac:dyDescent="0.2">
      <c r="A1" s="56" t="s">
        <v>1133</v>
      </c>
      <c r="B1" s="57" t="s">
        <v>1134</v>
      </c>
      <c r="C1" s="57" t="s">
        <v>1135</v>
      </c>
      <c r="D1" s="57" t="s">
        <v>1136</v>
      </c>
      <c r="E1" s="57" t="s">
        <v>1137</v>
      </c>
      <c r="F1" s="57" t="s">
        <v>1138</v>
      </c>
      <c r="G1" s="57" t="s">
        <v>1139</v>
      </c>
      <c r="H1" s="58" t="s">
        <v>1140</v>
      </c>
      <c r="I1" s="58" t="s">
        <v>1141</v>
      </c>
      <c r="J1" s="58" t="s">
        <v>1142</v>
      </c>
    </row>
    <row r="2" spans="1:10" ht="11.25" customHeight="1" x14ac:dyDescent="0.2">
      <c r="A2" s="59" t="s">
        <v>26</v>
      </c>
      <c r="B2" s="57">
        <v>100366540.64330004</v>
      </c>
      <c r="C2" s="57">
        <v>125128830.54106496</v>
      </c>
      <c r="D2" s="57">
        <v>1078571678.0107327</v>
      </c>
      <c r="E2" s="57">
        <v>1182033111.5484924</v>
      </c>
      <c r="F2" s="57">
        <v>1378892986.0267079</v>
      </c>
      <c r="G2" s="57">
        <v>1237462288.8415725</v>
      </c>
      <c r="H2" s="58">
        <v>0.10876203808365625</v>
      </c>
      <c r="I2" s="58">
        <v>-0.10256829109898336</v>
      </c>
      <c r="J2" s="58">
        <v>-5.1633484357520576E-3</v>
      </c>
    </row>
    <row r="3" spans="1:10" ht="11.25" customHeight="1" x14ac:dyDescent="0.2">
      <c r="A3" s="60" t="s">
        <v>43</v>
      </c>
      <c r="B3" s="57">
        <v>1972837.5734999999</v>
      </c>
      <c r="C3" s="57">
        <v>2910377.7047472452</v>
      </c>
      <c r="D3" s="57">
        <v>5981473.229956002</v>
      </c>
      <c r="E3" s="57">
        <v>6112509.9573148917</v>
      </c>
      <c r="F3" s="57">
        <v>25429270.829864398</v>
      </c>
      <c r="G3" s="57">
        <v>22829580.923521779</v>
      </c>
      <c r="H3" s="58">
        <v>0.13433933938586584</v>
      </c>
      <c r="I3" s="58">
        <v>-0.10223218446710303</v>
      </c>
      <c r="J3" s="58">
        <v>-4.5864253409174771E-2</v>
      </c>
    </row>
    <row r="4" spans="1:10" ht="11.25" customHeight="1" x14ac:dyDescent="0.2">
      <c r="A4" s="61" t="s">
        <v>41</v>
      </c>
      <c r="B4" s="57">
        <v>1972837.5734999999</v>
      </c>
      <c r="C4" s="57">
        <v>2910377.7047472452</v>
      </c>
      <c r="D4" s="57">
        <v>5981473.229956002</v>
      </c>
      <c r="E4" s="57">
        <v>6112509.9573148917</v>
      </c>
      <c r="F4" s="57">
        <v>25429270.829864398</v>
      </c>
      <c r="G4" s="57">
        <v>22829580.923521779</v>
      </c>
      <c r="H4" s="58">
        <v>0.13433933938586584</v>
      </c>
      <c r="I4" s="58">
        <v>-0.10223218446710303</v>
      </c>
      <c r="J4" s="58">
        <v>-4.5864253409174771E-2</v>
      </c>
    </row>
    <row r="5" spans="1:10" ht="11.25" customHeight="1" x14ac:dyDescent="0.2">
      <c r="A5" s="62" t="s">
        <v>42</v>
      </c>
      <c r="B5" s="57">
        <v>160596</v>
      </c>
      <c r="C5" s="57">
        <v>232835.96327268553</v>
      </c>
      <c r="D5" s="57">
        <v>77947.876999999993</v>
      </c>
      <c r="E5" s="57">
        <v>79655.48887319208</v>
      </c>
      <c r="F5" s="57">
        <v>346099.48684999993</v>
      </c>
      <c r="G5" s="57">
        <v>309722.78802418424</v>
      </c>
      <c r="H5" s="58">
        <v>0.30999569586888898</v>
      </c>
      <c r="I5" s="58">
        <v>-0.10510474649036794</v>
      </c>
      <c r="J5" s="58">
        <v>6.4262897080794357E-2</v>
      </c>
    </row>
    <row r="6" spans="1:10" ht="11.25" customHeight="1" x14ac:dyDescent="0.2">
      <c r="A6" s="63" t="s">
        <v>25</v>
      </c>
      <c r="B6" s="57">
        <v>160596</v>
      </c>
      <c r="C6" s="57">
        <v>232835.96327268553</v>
      </c>
      <c r="D6" s="57">
        <v>77947.876999999993</v>
      </c>
      <c r="E6" s="57">
        <v>79655.48887319208</v>
      </c>
      <c r="F6" s="57">
        <v>346099.48684999993</v>
      </c>
      <c r="G6" s="57">
        <v>309722.78802418424</v>
      </c>
      <c r="H6" s="58">
        <v>0.30999569586888898</v>
      </c>
      <c r="I6" s="58">
        <v>-0.10510474649036794</v>
      </c>
      <c r="J6" s="58">
        <v>6.4262897080794357E-2</v>
      </c>
    </row>
    <row r="7" spans="1:10" ht="11.25" customHeight="1" x14ac:dyDescent="0.2">
      <c r="A7" s="64" t="s">
        <v>25</v>
      </c>
      <c r="B7" s="57">
        <v>160596</v>
      </c>
      <c r="C7" s="57">
        <v>232835.96327268553</v>
      </c>
      <c r="D7" s="57">
        <v>77947.876999999993</v>
      </c>
      <c r="E7" s="57">
        <v>79655.48887319208</v>
      </c>
      <c r="F7" s="57">
        <v>346099.48684999993</v>
      </c>
      <c r="G7" s="57">
        <v>309722.78802418424</v>
      </c>
      <c r="H7" s="58">
        <v>0.30999569586888898</v>
      </c>
      <c r="I7" s="58">
        <v>-0.10510474649036794</v>
      </c>
      <c r="J7" s="58">
        <v>6.4262897080794357E-2</v>
      </c>
    </row>
    <row r="8" spans="1:10" ht="11.25" customHeight="1" x14ac:dyDescent="0.2">
      <c r="A8" s="65" t="s">
        <v>25</v>
      </c>
      <c r="B8" s="57">
        <v>160596</v>
      </c>
      <c r="C8" s="57">
        <v>232835.96327268553</v>
      </c>
      <c r="D8" s="57">
        <v>77947.876999999993</v>
      </c>
      <c r="E8" s="57">
        <v>79655.48887319208</v>
      </c>
      <c r="F8" s="57">
        <v>346099.48684999993</v>
      </c>
      <c r="G8" s="57">
        <v>309722.78802418424</v>
      </c>
      <c r="H8" s="58">
        <v>0.30999569586888898</v>
      </c>
      <c r="I8" s="58">
        <v>-0.10510474649036794</v>
      </c>
      <c r="J8" s="58">
        <v>6.4262897080794357E-2</v>
      </c>
    </row>
    <row r="9" spans="1:10" ht="11.25" customHeight="1" x14ac:dyDescent="0.2">
      <c r="A9" s="66" t="s">
        <v>36</v>
      </c>
      <c r="B9" s="57">
        <v>58320</v>
      </c>
      <c r="C9" s="57">
        <v>89449.614260278511</v>
      </c>
      <c r="D9" s="57">
        <v>68211.753750000003</v>
      </c>
      <c r="E9" s="57">
        <v>69706.075405415366</v>
      </c>
      <c r="F9" s="57">
        <v>279140.13449999999</v>
      </c>
      <c r="G9" s="57">
        <v>251336.0863283239</v>
      </c>
      <c r="H9" s="58">
        <v>0.25783200618677804</v>
      </c>
      <c r="I9" s="58">
        <v>-9.9606057084837052E-2</v>
      </c>
      <c r="J9" s="58">
        <v>1.1881246602543749E-2</v>
      </c>
    </row>
    <row r="10" spans="1:10" ht="11.25" customHeight="1" x14ac:dyDescent="0.2">
      <c r="A10" s="67">
        <v>43739</v>
      </c>
      <c r="B10" s="57">
        <v>4860</v>
      </c>
      <c r="C10" s="57">
        <v>7454.1345216898753</v>
      </c>
      <c r="D10" s="57">
        <v>0</v>
      </c>
      <c r="E10" s="57">
        <v>0</v>
      </c>
      <c r="F10" s="57">
        <v>0</v>
      </c>
      <c r="G10" s="57">
        <v>0</v>
      </c>
      <c r="H10" s="58">
        <v>0.53377253532713476</v>
      </c>
      <c r="I10" s="58">
        <v>0</v>
      </c>
      <c r="J10" s="58">
        <v>0.53377253532713476</v>
      </c>
    </row>
    <row r="11" spans="1:10" ht="11.25" customHeight="1" x14ac:dyDescent="0.2">
      <c r="A11" s="67">
        <v>43770</v>
      </c>
      <c r="B11" s="57">
        <v>4860</v>
      </c>
      <c r="C11" s="57">
        <v>7454.1345216898753</v>
      </c>
      <c r="D11" s="57">
        <v>0</v>
      </c>
      <c r="E11" s="57">
        <v>0</v>
      </c>
      <c r="F11" s="57">
        <v>0</v>
      </c>
      <c r="G11" s="57">
        <v>0</v>
      </c>
      <c r="H11" s="58">
        <v>0.53377253532713476</v>
      </c>
      <c r="I11" s="58">
        <v>0</v>
      </c>
      <c r="J11" s="58">
        <v>0.53377253532713476</v>
      </c>
    </row>
    <row r="12" spans="1:10" ht="11.25" customHeight="1" x14ac:dyDescent="0.2">
      <c r="A12" s="67">
        <v>43800</v>
      </c>
      <c r="B12" s="57">
        <v>4860</v>
      </c>
      <c r="C12" s="57">
        <v>7454.1345216898753</v>
      </c>
      <c r="D12" s="57">
        <v>70.857150000000004</v>
      </c>
      <c r="E12" s="57">
        <v>72.409424613464481</v>
      </c>
      <c r="F12" s="57">
        <v>289.96578</v>
      </c>
      <c r="G12" s="57">
        <v>261.08343196467069</v>
      </c>
      <c r="H12" s="58">
        <v>0.52641695294363577</v>
      </c>
      <c r="I12" s="58">
        <v>-9.9606057084837052E-2</v>
      </c>
      <c r="J12" s="58">
        <v>0.49164748214665277</v>
      </c>
    </row>
    <row r="13" spans="1:10" ht="11.25" customHeight="1" x14ac:dyDescent="0.2">
      <c r="A13" s="67">
        <v>43831</v>
      </c>
      <c r="B13" s="57">
        <v>4860</v>
      </c>
      <c r="C13" s="57">
        <v>7454.1345216898753</v>
      </c>
      <c r="D13" s="57">
        <v>1865.1531500000001</v>
      </c>
      <c r="E13" s="57">
        <v>1906.0132450640592</v>
      </c>
      <c r="F13" s="57">
        <v>7632.6889799999999</v>
      </c>
      <c r="G13" s="57">
        <v>6872.4269257473134</v>
      </c>
      <c r="H13" s="58">
        <v>0.39181183803285347</v>
      </c>
      <c r="I13" s="58">
        <v>-9.9606057084837052E-2</v>
      </c>
      <c r="J13" s="58">
        <v>0.13057202785257593</v>
      </c>
    </row>
    <row r="14" spans="1:10" ht="11.25" customHeight="1" x14ac:dyDescent="0.2">
      <c r="A14" s="67">
        <v>43862</v>
      </c>
      <c r="B14" s="57">
        <v>4860</v>
      </c>
      <c r="C14" s="57">
        <v>7454.1345216898753</v>
      </c>
      <c r="D14" s="57">
        <v>9943.1815000000006</v>
      </c>
      <c r="E14" s="57">
        <v>10161.007763397833</v>
      </c>
      <c r="F14" s="57">
        <v>40690.069800000005</v>
      </c>
      <c r="G14" s="57">
        <v>36637.092384715201</v>
      </c>
      <c r="H14" s="58">
        <v>0.18995651611025011</v>
      </c>
      <c r="I14" s="58">
        <v>-9.9606057084837052E-2</v>
      </c>
      <c r="J14" s="58">
        <v>-2.2363379350185841E-2</v>
      </c>
    </row>
    <row r="15" spans="1:10" ht="11.25" customHeight="1" x14ac:dyDescent="0.2">
      <c r="A15" s="67">
        <v>43891</v>
      </c>
      <c r="B15" s="57">
        <v>4860</v>
      </c>
      <c r="C15" s="57">
        <v>7454.1345216898753</v>
      </c>
      <c r="D15" s="57">
        <v>9182.1719499999999</v>
      </c>
      <c r="E15" s="57">
        <v>9383.3267017004364</v>
      </c>
      <c r="F15" s="57">
        <v>37575.821939999994</v>
      </c>
      <c r="G15" s="57">
        <v>33833.042474834685</v>
      </c>
      <c r="H15" s="58">
        <v>0.19906388294798716</v>
      </c>
      <c r="I15" s="58">
        <v>-9.9606057084836941E-2</v>
      </c>
      <c r="J15" s="58">
        <v>-1.8355812002189387E-2</v>
      </c>
    </row>
    <row r="16" spans="1:10" ht="11.25" customHeight="1" x14ac:dyDescent="0.2">
      <c r="A16" s="67">
        <v>43922</v>
      </c>
      <c r="B16" s="57">
        <v>4860</v>
      </c>
      <c r="C16" s="57">
        <v>7454.1345216898753</v>
      </c>
      <c r="D16" s="57">
        <v>9317.6839</v>
      </c>
      <c r="E16" s="57">
        <v>9521.8073254306964</v>
      </c>
      <c r="F16" s="57">
        <v>38130.371879999999</v>
      </c>
      <c r="G16" s="57">
        <v>34332.355881854652</v>
      </c>
      <c r="H16" s="58">
        <v>0.19737059782526067</v>
      </c>
      <c r="I16" s="58">
        <v>-9.9606057084837052E-2</v>
      </c>
      <c r="J16" s="58">
        <v>-1.9112888753304191E-2</v>
      </c>
    </row>
    <row r="17" spans="1:10" ht="11.25" customHeight="1" x14ac:dyDescent="0.2">
      <c r="A17" s="67">
        <v>43952</v>
      </c>
      <c r="B17" s="57">
        <v>4860</v>
      </c>
      <c r="C17" s="57">
        <v>7454.1345216898753</v>
      </c>
      <c r="D17" s="57">
        <v>9249.7086499999987</v>
      </c>
      <c r="E17" s="57">
        <v>9452.342934886392</v>
      </c>
      <c r="F17" s="57">
        <v>37852.19958</v>
      </c>
      <c r="G17" s="57">
        <v>34081.891227847875</v>
      </c>
      <c r="H17" s="58">
        <v>0.1982159147259408</v>
      </c>
      <c r="I17" s="58">
        <v>-9.9606057084837052E-2</v>
      </c>
      <c r="J17" s="58">
        <v>-1.8735638831173351E-2</v>
      </c>
    </row>
    <row r="18" spans="1:10" ht="11.25" customHeight="1" x14ac:dyDescent="0.2">
      <c r="A18" s="67">
        <v>43983</v>
      </c>
      <c r="B18" s="57">
        <v>4860</v>
      </c>
      <c r="C18" s="57">
        <v>7454.1345216898753</v>
      </c>
      <c r="D18" s="57">
        <v>9967.3017500000005</v>
      </c>
      <c r="E18" s="57">
        <v>10185.656418107101</v>
      </c>
      <c r="F18" s="57">
        <v>40788.776099999995</v>
      </c>
      <c r="G18" s="57">
        <v>36725.966939362763</v>
      </c>
      <c r="H18" s="58">
        <v>0.18968314243668627</v>
      </c>
      <c r="I18" s="58">
        <v>-9.9606057084836941E-2</v>
      </c>
      <c r="J18" s="58">
        <v>-2.2481268352156025E-2</v>
      </c>
    </row>
    <row r="19" spans="1:10" ht="11.25" customHeight="1" x14ac:dyDescent="0.2">
      <c r="A19" s="67">
        <v>44013</v>
      </c>
      <c r="B19" s="57">
        <v>4860</v>
      </c>
      <c r="C19" s="57">
        <v>7454.1345216898753</v>
      </c>
      <c r="D19" s="57">
        <v>8871.24</v>
      </c>
      <c r="E19" s="57">
        <v>9065.5831346300347</v>
      </c>
      <c r="F19" s="57">
        <v>36303.407999999996</v>
      </c>
      <c r="G19" s="57">
        <v>32687.368670377869</v>
      </c>
      <c r="H19" s="58">
        <v>0.20307544375598341</v>
      </c>
      <c r="I19" s="58">
        <v>-9.9606057084836941E-2</v>
      </c>
      <c r="J19" s="58">
        <v>-1.653977206559365E-2</v>
      </c>
    </row>
    <row r="20" spans="1:10" ht="11.25" customHeight="1" x14ac:dyDescent="0.2">
      <c r="A20" s="67">
        <v>44044</v>
      </c>
      <c r="B20" s="57">
        <v>4860</v>
      </c>
      <c r="C20" s="57">
        <v>7454.1345216898753</v>
      </c>
      <c r="D20" s="57">
        <v>4872.2278500000002</v>
      </c>
      <c r="E20" s="57">
        <v>4978.964228792679</v>
      </c>
      <c r="F20" s="57">
        <v>19938.416220000003</v>
      </c>
      <c r="G20" s="57">
        <v>17952.42919580944</v>
      </c>
      <c r="H20" s="58">
        <v>0.2775182560571221</v>
      </c>
      <c r="I20" s="58">
        <v>-9.9606057084837163E-2</v>
      </c>
      <c r="J20" s="58">
        <v>2.4093979038857904E-2</v>
      </c>
    </row>
    <row r="21" spans="1:10" ht="11.25" customHeight="1" x14ac:dyDescent="0.2">
      <c r="A21" s="67">
        <v>44075</v>
      </c>
      <c r="B21" s="57">
        <v>4860</v>
      </c>
      <c r="C21" s="57">
        <v>7454.1345216898753</v>
      </c>
      <c r="D21" s="57">
        <v>4872.2278500000002</v>
      </c>
      <c r="E21" s="57">
        <v>4978.964228792679</v>
      </c>
      <c r="F21" s="57">
        <v>19938.416220000003</v>
      </c>
      <c r="G21" s="57">
        <v>17952.42919580944</v>
      </c>
      <c r="H21" s="58">
        <v>0.2775182560571221</v>
      </c>
      <c r="I21" s="58">
        <v>-9.9606057084837163E-2</v>
      </c>
      <c r="J21" s="58">
        <v>2.4093979038857904E-2</v>
      </c>
    </row>
    <row r="22" spans="1:10" ht="11.25" customHeight="1" x14ac:dyDescent="0.2">
      <c r="A22" s="66" t="s">
        <v>35</v>
      </c>
      <c r="B22" s="57">
        <v>102276</v>
      </c>
      <c r="C22" s="57">
        <v>143386.34901240704</v>
      </c>
      <c r="D22" s="57">
        <v>9736.1232499999987</v>
      </c>
      <c r="E22" s="57">
        <v>9949.4134677766997</v>
      </c>
      <c r="F22" s="57">
        <v>66959.352350000001</v>
      </c>
      <c r="G22" s="57">
        <v>58386.701695860305</v>
      </c>
      <c r="H22" s="58">
        <v>0.36892113131320126</v>
      </c>
      <c r="I22" s="58">
        <v>-0.12802768176923229</v>
      </c>
      <c r="J22" s="58">
        <v>0.18299557773799813</v>
      </c>
    </row>
    <row r="23" spans="1:10" ht="11.25" customHeight="1" x14ac:dyDescent="0.2">
      <c r="A23" s="67">
        <v>43739</v>
      </c>
      <c r="B23" s="57">
        <v>8523</v>
      </c>
      <c r="C23" s="57">
        <v>11948.862417700586</v>
      </c>
      <c r="D23" s="57">
        <v>0</v>
      </c>
      <c r="E23" s="57">
        <v>0</v>
      </c>
      <c r="F23" s="57">
        <v>0</v>
      </c>
      <c r="G23" s="57">
        <v>0</v>
      </c>
      <c r="H23" s="58">
        <v>0.40195499445037974</v>
      </c>
      <c r="I23" s="58">
        <v>0</v>
      </c>
      <c r="J23" s="58">
        <v>0.40195499445037974</v>
      </c>
    </row>
    <row r="24" spans="1:10" ht="11.25" customHeight="1" x14ac:dyDescent="0.2">
      <c r="A24" s="67">
        <v>43770</v>
      </c>
      <c r="B24" s="57">
        <v>8523</v>
      </c>
      <c r="C24" s="57">
        <v>11948.862417700586</v>
      </c>
      <c r="D24" s="57">
        <v>0</v>
      </c>
      <c r="E24" s="57">
        <v>0</v>
      </c>
      <c r="F24" s="57">
        <v>0</v>
      </c>
      <c r="G24" s="57">
        <v>0</v>
      </c>
      <c r="H24" s="58">
        <v>0.40195499445037974</v>
      </c>
      <c r="I24" s="58">
        <v>0</v>
      </c>
      <c r="J24" s="58">
        <v>0.40195499445037974</v>
      </c>
    </row>
    <row r="25" spans="1:10" ht="11.25" customHeight="1" x14ac:dyDescent="0.2">
      <c r="A25" s="67">
        <v>43800</v>
      </c>
      <c r="B25" s="57">
        <v>8523</v>
      </c>
      <c r="C25" s="57">
        <v>11948.862417700586</v>
      </c>
      <c r="D25" s="57">
        <v>10.086650000000001</v>
      </c>
      <c r="E25" s="57">
        <v>10.307619242058163</v>
      </c>
      <c r="F25" s="57">
        <v>69.370069999999998</v>
      </c>
      <c r="G25" s="57">
        <v>60.488780753730637</v>
      </c>
      <c r="H25" s="58">
        <v>0.40150575371722552</v>
      </c>
      <c r="I25" s="58">
        <v>-0.12802768176923218</v>
      </c>
      <c r="J25" s="58">
        <v>0.39723560477225783</v>
      </c>
    </row>
    <row r="26" spans="1:10" ht="11.25" customHeight="1" x14ac:dyDescent="0.2">
      <c r="A26" s="67">
        <v>43831</v>
      </c>
      <c r="B26" s="57">
        <v>8523</v>
      </c>
      <c r="C26" s="57">
        <v>11948.862417700586</v>
      </c>
      <c r="D26" s="57">
        <v>339.93889999999999</v>
      </c>
      <c r="E26" s="57">
        <v>347.3859752012894</v>
      </c>
      <c r="F26" s="57">
        <v>2337.9006199999999</v>
      </c>
      <c r="G26" s="57">
        <v>2038.5846234145492</v>
      </c>
      <c r="H26" s="58">
        <v>0.38737821975754283</v>
      </c>
      <c r="I26" s="58">
        <v>-0.12802768176923218</v>
      </c>
      <c r="J26" s="58">
        <v>0.27979987488620184</v>
      </c>
    </row>
    <row r="27" spans="1:10" ht="11.25" customHeight="1" x14ac:dyDescent="0.2">
      <c r="A27" s="67">
        <v>43862</v>
      </c>
      <c r="B27" s="57">
        <v>8523</v>
      </c>
      <c r="C27" s="57">
        <v>11948.862417700586</v>
      </c>
      <c r="D27" s="57">
        <v>1291.1538500000001</v>
      </c>
      <c r="E27" s="57">
        <v>1319.4392854632092</v>
      </c>
      <c r="F27" s="57">
        <v>8879.7998300000017</v>
      </c>
      <c r="G27" s="57">
        <v>7742.9396431902778</v>
      </c>
      <c r="H27" s="58">
        <v>0.35195574737844515</v>
      </c>
      <c r="I27" s="58">
        <v>-0.1280276817692324</v>
      </c>
      <c r="J27" s="58">
        <v>0.12395920659808057</v>
      </c>
    </row>
    <row r="28" spans="1:10" ht="11.25" customHeight="1" x14ac:dyDescent="0.2">
      <c r="A28" s="67">
        <v>43891</v>
      </c>
      <c r="B28" s="57">
        <v>8523</v>
      </c>
      <c r="C28" s="57">
        <v>11948.862417700586</v>
      </c>
      <c r="D28" s="57">
        <v>1418.20805</v>
      </c>
      <c r="E28" s="57">
        <v>1449.2768744252833</v>
      </c>
      <c r="F28" s="57">
        <v>9753.60419</v>
      </c>
      <c r="G28" s="57">
        <v>8504.8728566596292</v>
      </c>
      <c r="H28" s="58">
        <v>0.34773754102509402</v>
      </c>
      <c r="I28" s="58">
        <v>-0.12802768176923229</v>
      </c>
      <c r="J28" s="58">
        <v>0.11212089162752537</v>
      </c>
    </row>
    <row r="29" spans="1:10" ht="11.25" customHeight="1" x14ac:dyDescent="0.2">
      <c r="A29" s="67">
        <v>43922</v>
      </c>
      <c r="B29" s="57">
        <v>8523</v>
      </c>
      <c r="C29" s="57">
        <v>11948.862417700586</v>
      </c>
      <c r="D29" s="57">
        <v>1358.5652499999999</v>
      </c>
      <c r="E29" s="57">
        <v>1388.3274736896349</v>
      </c>
      <c r="F29" s="57">
        <v>9343.4159499999987</v>
      </c>
      <c r="G29" s="57">
        <v>8147.2000661158309</v>
      </c>
      <c r="H29" s="58">
        <v>0.34970417681452037</v>
      </c>
      <c r="I29" s="58">
        <v>-0.12802768176923218</v>
      </c>
      <c r="J29" s="58">
        <v>0.11752462767069183</v>
      </c>
    </row>
    <row r="30" spans="1:10" ht="11.25" customHeight="1" x14ac:dyDescent="0.2">
      <c r="A30" s="67">
        <v>43952</v>
      </c>
      <c r="B30" s="57">
        <v>8523</v>
      </c>
      <c r="C30" s="57">
        <v>11948.862417700586</v>
      </c>
      <c r="D30" s="57">
        <v>1272.7347500000001</v>
      </c>
      <c r="E30" s="57">
        <v>1300.6166764124941</v>
      </c>
      <c r="F30" s="57">
        <v>8753.1240500000004</v>
      </c>
      <c r="G30" s="57">
        <v>7632.4818696399871</v>
      </c>
      <c r="H30" s="58">
        <v>0.35257634391469006</v>
      </c>
      <c r="I30" s="58">
        <v>-0.12802768176923229</v>
      </c>
      <c r="J30" s="58">
        <v>0.12578143965132038</v>
      </c>
    </row>
    <row r="31" spans="1:10" ht="11.25" customHeight="1" x14ac:dyDescent="0.2">
      <c r="A31" s="67">
        <v>43983</v>
      </c>
      <c r="B31" s="57">
        <v>8523</v>
      </c>
      <c r="C31" s="57">
        <v>11948.862417700586</v>
      </c>
      <c r="D31" s="57">
        <v>1308.6332</v>
      </c>
      <c r="E31" s="57">
        <v>1337.3015573174591</v>
      </c>
      <c r="F31" s="57">
        <v>9000.012560000001</v>
      </c>
      <c r="G31" s="57">
        <v>7847.7618160492275</v>
      </c>
      <c r="H31" s="58">
        <v>0.35136896431592324</v>
      </c>
      <c r="I31" s="58">
        <v>-0.12802768176923229</v>
      </c>
      <c r="J31" s="58">
        <v>0.12225591222396037</v>
      </c>
    </row>
    <row r="32" spans="1:10" ht="11.25" customHeight="1" x14ac:dyDescent="0.2">
      <c r="A32" s="67">
        <v>44013</v>
      </c>
      <c r="B32" s="57">
        <v>8523</v>
      </c>
      <c r="C32" s="57">
        <v>11948.862417700586</v>
      </c>
      <c r="D32" s="57">
        <v>1346.0979</v>
      </c>
      <c r="E32" s="57">
        <v>1375.587000216532</v>
      </c>
      <c r="F32" s="57">
        <v>9257.6728199999998</v>
      </c>
      <c r="G32" s="57">
        <v>8072.4344302773688</v>
      </c>
      <c r="H32" s="58">
        <v>0.35011827351688507</v>
      </c>
      <c r="I32" s="58">
        <v>-0.12802768176923229</v>
      </c>
      <c r="J32" s="58">
        <v>0.11868773675530764</v>
      </c>
    </row>
    <row r="33" spans="1:10" ht="11.25" customHeight="1" x14ac:dyDescent="0.2">
      <c r="A33" s="67">
        <v>44044</v>
      </c>
      <c r="B33" s="57">
        <v>8523</v>
      </c>
      <c r="C33" s="57">
        <v>11948.862417700586</v>
      </c>
      <c r="D33" s="57">
        <v>695.35235</v>
      </c>
      <c r="E33" s="57">
        <v>710.58550290436983</v>
      </c>
      <c r="F33" s="57">
        <v>4782.22613</v>
      </c>
      <c r="G33" s="57">
        <v>4169.9688048798525</v>
      </c>
      <c r="H33" s="58">
        <v>0.37328748565408842</v>
      </c>
      <c r="I33" s="58">
        <v>-0.12802768176923229</v>
      </c>
      <c r="J33" s="58">
        <v>0.20205152590843567</v>
      </c>
    </row>
    <row r="34" spans="1:10" ht="11.25" customHeight="1" x14ac:dyDescent="0.2">
      <c r="A34" s="67">
        <v>44075</v>
      </c>
      <c r="B34" s="57">
        <v>8523</v>
      </c>
      <c r="C34" s="57">
        <v>11948.862417700586</v>
      </c>
      <c r="D34" s="57">
        <v>695.35235</v>
      </c>
      <c r="E34" s="57">
        <v>710.58550290436983</v>
      </c>
      <c r="F34" s="57">
        <v>4782.22613</v>
      </c>
      <c r="G34" s="57">
        <v>4169.9688048798525</v>
      </c>
      <c r="H34" s="58">
        <v>0.37328748565408842</v>
      </c>
      <c r="I34" s="58">
        <v>-0.12802768176923229</v>
      </c>
      <c r="J34" s="58">
        <v>0.20205152590843567</v>
      </c>
    </row>
    <row r="35" spans="1:10" ht="11.25" customHeight="1" x14ac:dyDescent="0.2">
      <c r="A35" s="62" t="s">
        <v>52</v>
      </c>
      <c r="B35" s="57">
        <v>1812241.5734999999</v>
      </c>
      <c r="C35" s="57">
        <v>2677541.7414745591</v>
      </c>
      <c r="D35" s="57">
        <v>5903525.3529560016</v>
      </c>
      <c r="E35" s="57">
        <v>6032854.4684416996</v>
      </c>
      <c r="F35" s="57">
        <v>25083171.343014397</v>
      </c>
      <c r="G35" s="57">
        <v>22519858.135497592</v>
      </c>
      <c r="H35" s="58">
        <v>0.12890867401007777</v>
      </c>
      <c r="I35" s="58">
        <v>-0.10219254864001404</v>
      </c>
      <c r="J35" s="58">
        <v>-4.7827277552965675E-2</v>
      </c>
    </row>
    <row r="36" spans="1:10" ht="11.25" customHeight="1" x14ac:dyDescent="0.2">
      <c r="A36" s="63" t="s">
        <v>53</v>
      </c>
      <c r="B36" s="57">
        <v>1812241.5734999999</v>
      </c>
      <c r="C36" s="57">
        <v>2677541.7414745591</v>
      </c>
      <c r="D36" s="57">
        <v>5903525.3529560016</v>
      </c>
      <c r="E36" s="57">
        <v>6032854.4684416996</v>
      </c>
      <c r="F36" s="57">
        <v>25083171.343014397</v>
      </c>
      <c r="G36" s="57">
        <v>22519858.135497592</v>
      </c>
      <c r="H36" s="58">
        <v>0.12890867401007777</v>
      </c>
      <c r="I36" s="58">
        <v>-0.10219254864001404</v>
      </c>
      <c r="J36" s="58">
        <v>-4.7827277552965675E-2</v>
      </c>
    </row>
    <row r="37" spans="1:10" ht="11.25" customHeight="1" x14ac:dyDescent="0.2">
      <c r="A37" s="64" t="s">
        <v>25</v>
      </c>
      <c r="B37" s="57">
        <v>1812241.5734999999</v>
      </c>
      <c r="C37" s="57">
        <v>2677541.7414745591</v>
      </c>
      <c r="D37" s="57">
        <v>5903525.3529560016</v>
      </c>
      <c r="E37" s="57">
        <v>6032854.4684416996</v>
      </c>
      <c r="F37" s="57">
        <v>25083171.343014397</v>
      </c>
      <c r="G37" s="57">
        <v>22519858.135497592</v>
      </c>
      <c r="H37" s="58">
        <v>0.12890867401007777</v>
      </c>
      <c r="I37" s="58">
        <v>-0.10219254864001404</v>
      </c>
      <c r="J37" s="58">
        <v>-4.7827277552965675E-2</v>
      </c>
    </row>
    <row r="38" spans="1:10" ht="11.25" customHeight="1" x14ac:dyDescent="0.2">
      <c r="A38" s="65" t="s">
        <v>25</v>
      </c>
      <c r="B38" s="57">
        <v>1812241.5734999999</v>
      </c>
      <c r="C38" s="57">
        <v>2677541.7414745591</v>
      </c>
      <c r="D38" s="57">
        <v>5903525.3529560016</v>
      </c>
      <c r="E38" s="57">
        <v>6032854.4684416996</v>
      </c>
      <c r="F38" s="57">
        <v>25083171.343014397</v>
      </c>
      <c r="G38" s="57">
        <v>22519858.135497592</v>
      </c>
      <c r="H38" s="58">
        <v>0.12890867401007777</v>
      </c>
      <c r="I38" s="58">
        <v>-0.10219254864001404</v>
      </c>
      <c r="J38" s="58">
        <v>-4.7827277552965675E-2</v>
      </c>
    </row>
    <row r="39" spans="1:10" ht="11.25" customHeight="1" x14ac:dyDescent="0.2">
      <c r="A39" s="66" t="s">
        <v>36</v>
      </c>
      <c r="B39" s="57">
        <v>1038258</v>
      </c>
      <c r="C39" s="57">
        <v>1592451.6049836809</v>
      </c>
      <c r="D39" s="57">
        <v>5571616.0478440002</v>
      </c>
      <c r="E39" s="57">
        <v>5693673.9932600874</v>
      </c>
      <c r="F39" s="57">
        <v>22800493.572964795</v>
      </c>
      <c r="G39" s="57">
        <v>20529426.308573604</v>
      </c>
      <c r="H39" s="58">
        <v>0.1023092944744306</v>
      </c>
      <c r="I39" s="58">
        <v>-9.9606057084837052E-2</v>
      </c>
      <c r="J39" s="58">
        <v>-5.4226310073833939E-2</v>
      </c>
    </row>
    <row r="40" spans="1:10" ht="11.25" customHeight="1" x14ac:dyDescent="0.2">
      <c r="A40" s="67">
        <v>43739</v>
      </c>
      <c r="B40" s="57">
        <v>86521.5</v>
      </c>
      <c r="C40" s="57">
        <v>132704.3004153067</v>
      </c>
      <c r="D40" s="57">
        <v>468951.63422799995</v>
      </c>
      <c r="E40" s="57">
        <v>479225.00419496594</v>
      </c>
      <c r="F40" s="57">
        <v>1919071.3484975998</v>
      </c>
      <c r="G40" s="57">
        <v>1727920.2182092727</v>
      </c>
      <c r="H40" s="58">
        <v>0.10163618526886231</v>
      </c>
      <c r="I40" s="58">
        <v>-9.9606057084837052E-2</v>
      </c>
      <c r="J40" s="58">
        <v>-5.4432224131082951E-2</v>
      </c>
    </row>
    <row r="41" spans="1:10" ht="11.25" customHeight="1" x14ac:dyDescent="0.2">
      <c r="A41" s="67">
        <v>43770</v>
      </c>
      <c r="B41" s="57">
        <v>86521.5</v>
      </c>
      <c r="C41" s="57">
        <v>132704.3004153067</v>
      </c>
      <c r="D41" s="57">
        <v>473956.79284799995</v>
      </c>
      <c r="E41" s="57">
        <v>484339.81132132257</v>
      </c>
      <c r="F41" s="57">
        <v>1939553.7518015997</v>
      </c>
      <c r="G41" s="57">
        <v>1746362.4500805398</v>
      </c>
      <c r="H41" s="58">
        <v>0.10092419208814896</v>
      </c>
      <c r="I41" s="58">
        <v>-9.9606057084837052E-2</v>
      </c>
      <c r="J41" s="58">
        <v>-5.4649492643435105E-2</v>
      </c>
    </row>
    <row r="42" spans="1:10" ht="11.25" customHeight="1" x14ac:dyDescent="0.2">
      <c r="A42" s="67">
        <v>43800</v>
      </c>
      <c r="B42" s="57">
        <v>86521.5</v>
      </c>
      <c r="C42" s="57">
        <v>132704.3004153067</v>
      </c>
      <c r="D42" s="57">
        <v>441907.01755199995</v>
      </c>
      <c r="E42" s="57">
        <v>451587.91841885354</v>
      </c>
      <c r="F42" s="57">
        <v>1808397.7838784</v>
      </c>
      <c r="G42" s="57">
        <v>1628270.4109853152</v>
      </c>
      <c r="H42" s="58">
        <v>0.1057166663543343</v>
      </c>
      <c r="I42" s="58">
        <v>-9.9606057084837052E-2</v>
      </c>
      <c r="J42" s="58">
        <v>-5.3176255134949946E-2</v>
      </c>
    </row>
    <row r="43" spans="1:10" ht="11.25" customHeight="1" x14ac:dyDescent="0.2">
      <c r="A43" s="67">
        <v>43831</v>
      </c>
      <c r="B43" s="57">
        <v>86521.5</v>
      </c>
      <c r="C43" s="57">
        <v>132704.3004153067</v>
      </c>
      <c r="D43" s="57">
        <v>453628.96286399994</v>
      </c>
      <c r="E43" s="57">
        <v>463566.65754951874</v>
      </c>
      <c r="F43" s="57">
        <v>1856367.0151487999</v>
      </c>
      <c r="G43" s="57">
        <v>1671461.61626748</v>
      </c>
      <c r="H43" s="58">
        <v>0.10389789319676224</v>
      </c>
      <c r="I43" s="58">
        <v>-9.9606057084837052E-2</v>
      </c>
      <c r="J43" s="58">
        <v>-5.3738353657776461E-2</v>
      </c>
    </row>
    <row r="44" spans="1:10" ht="11.25" customHeight="1" x14ac:dyDescent="0.2">
      <c r="A44" s="67">
        <v>43862</v>
      </c>
      <c r="B44" s="57">
        <v>86521.5</v>
      </c>
      <c r="C44" s="57">
        <v>132704.3004153067</v>
      </c>
      <c r="D44" s="57">
        <v>460204.06031600002</v>
      </c>
      <c r="E44" s="57">
        <v>470285.79631359241</v>
      </c>
      <c r="F44" s="57">
        <v>1883274.0141072001</v>
      </c>
      <c r="G44" s="57">
        <v>1695688.5151516481</v>
      </c>
      <c r="H44" s="58">
        <v>0.10291184553430965</v>
      </c>
      <c r="I44" s="58">
        <v>-9.9606057084837052E-2</v>
      </c>
      <c r="J44" s="58">
        <v>-5.4041557836002396E-2</v>
      </c>
    </row>
    <row r="45" spans="1:10" ht="11.25" customHeight="1" x14ac:dyDescent="0.2">
      <c r="A45" s="67">
        <v>43891</v>
      </c>
      <c r="B45" s="57">
        <v>86521.5</v>
      </c>
      <c r="C45" s="57">
        <v>132704.3004153067</v>
      </c>
      <c r="D45" s="57">
        <v>430790.4216</v>
      </c>
      <c r="E45" s="57">
        <v>440227.79009666323</v>
      </c>
      <c r="F45" s="57">
        <v>1762905.7987200001</v>
      </c>
      <c r="G45" s="57">
        <v>1587309.7030975055</v>
      </c>
      <c r="H45" s="58">
        <v>0.10751766311501521</v>
      </c>
      <c r="I45" s="58">
        <v>-9.9606057084837052E-2</v>
      </c>
      <c r="J45" s="58">
        <v>-5.2615996113602459E-2</v>
      </c>
    </row>
    <row r="46" spans="1:10" ht="11.25" customHeight="1" x14ac:dyDescent="0.2">
      <c r="A46" s="67">
        <v>43922</v>
      </c>
      <c r="B46" s="57">
        <v>86521.5</v>
      </c>
      <c r="C46" s="57">
        <v>132704.3004153067</v>
      </c>
      <c r="D46" s="57">
        <v>475691.46609599993</v>
      </c>
      <c r="E46" s="57">
        <v>486112.48622823111</v>
      </c>
      <c r="F46" s="57">
        <v>1946652.4832831998</v>
      </c>
      <c r="G46" s="57">
        <v>1752754.1049089537</v>
      </c>
      <c r="H46" s="58">
        <v>0.10068038974731253</v>
      </c>
      <c r="I46" s="58">
        <v>-9.9606057084837052E-2</v>
      </c>
      <c r="J46" s="58">
        <v>-5.4723762830996225E-2</v>
      </c>
    </row>
    <row r="47" spans="1:10" ht="11.25" customHeight="1" x14ac:dyDescent="0.2">
      <c r="A47" s="67">
        <v>43952</v>
      </c>
      <c r="B47" s="57">
        <v>86521.5</v>
      </c>
      <c r="C47" s="57">
        <v>132704.3004153067</v>
      </c>
      <c r="D47" s="57">
        <v>443831.014088</v>
      </c>
      <c r="E47" s="57">
        <v>453554.06413781148</v>
      </c>
      <c r="F47" s="57">
        <v>1816271.2752095999</v>
      </c>
      <c r="G47" s="57">
        <v>1635359.6548895228</v>
      </c>
      <c r="H47" s="58">
        <v>0.10541262458471512</v>
      </c>
      <c r="I47" s="58">
        <v>-9.9606057084836941E-2</v>
      </c>
      <c r="J47" s="58">
        <v>-5.3270477536740524E-2</v>
      </c>
    </row>
    <row r="48" spans="1:10" ht="11.25" customHeight="1" x14ac:dyDescent="0.2">
      <c r="A48" s="67">
        <v>43983</v>
      </c>
      <c r="B48" s="57">
        <v>86521.5</v>
      </c>
      <c r="C48" s="57">
        <v>132704.3004153067</v>
      </c>
      <c r="D48" s="57">
        <v>466308.33048800001</v>
      </c>
      <c r="E48" s="57">
        <v>476523.79333774099</v>
      </c>
      <c r="F48" s="57">
        <v>1908254.2660896</v>
      </c>
      <c r="G48" s="57">
        <v>1718180.5827290954</v>
      </c>
      <c r="H48" s="58">
        <v>0.10201740238087953</v>
      </c>
      <c r="I48" s="58">
        <v>-9.9606057084837163E-2</v>
      </c>
      <c r="J48" s="58">
        <v>-5.4315665312431705E-2</v>
      </c>
    </row>
    <row r="49" spans="1:10" ht="11.25" customHeight="1" x14ac:dyDescent="0.2">
      <c r="A49" s="67">
        <v>44013</v>
      </c>
      <c r="B49" s="57">
        <v>86521.5</v>
      </c>
      <c r="C49" s="57">
        <v>132704.3004153067</v>
      </c>
      <c r="D49" s="57">
        <v>464141.80828399991</v>
      </c>
      <c r="E49" s="57">
        <v>474309.80891691771</v>
      </c>
      <c r="F49" s="57">
        <v>1899388.2970127997</v>
      </c>
      <c r="G49" s="57">
        <v>1710197.7178742713</v>
      </c>
      <c r="H49" s="58">
        <v>0.10233258726430705</v>
      </c>
      <c r="I49" s="58">
        <v>-9.9606057084837052E-2</v>
      </c>
      <c r="J49" s="58">
        <v>-5.4219175548431586E-2</v>
      </c>
    </row>
    <row r="50" spans="1:10" ht="11.25" customHeight="1" x14ac:dyDescent="0.2">
      <c r="A50" s="67">
        <v>44044</v>
      </c>
      <c r="B50" s="57">
        <v>86521.5</v>
      </c>
      <c r="C50" s="57">
        <v>132704.3004153067</v>
      </c>
      <c r="D50" s="57">
        <v>496102.26973999996</v>
      </c>
      <c r="E50" s="57">
        <v>506970.43137223483</v>
      </c>
      <c r="F50" s="57">
        <v>2030178.7696079998</v>
      </c>
      <c r="G50" s="57">
        <v>1827960.6671900013</v>
      </c>
      <c r="H50" s="58">
        <v>9.7920759520335077E-2</v>
      </c>
      <c r="I50" s="58">
        <v>-9.9606057084836941E-2</v>
      </c>
      <c r="J50" s="58">
        <v>-5.5559935427298757E-2</v>
      </c>
    </row>
    <row r="51" spans="1:10" ht="11.25" customHeight="1" x14ac:dyDescent="0.2">
      <c r="A51" s="67">
        <v>44075</v>
      </c>
      <c r="B51" s="57">
        <v>86521.5</v>
      </c>
      <c r="C51" s="57">
        <v>132704.3004153067</v>
      </c>
      <c r="D51" s="57">
        <v>496102.26973999996</v>
      </c>
      <c r="E51" s="57">
        <v>506970.43137223483</v>
      </c>
      <c r="F51" s="57">
        <v>2030178.7696079998</v>
      </c>
      <c r="G51" s="57">
        <v>1827960.6671900013</v>
      </c>
      <c r="H51" s="58">
        <v>9.7920759520335077E-2</v>
      </c>
      <c r="I51" s="58">
        <v>-9.9606057084836941E-2</v>
      </c>
      <c r="J51" s="58">
        <v>-5.5559935427298757E-2</v>
      </c>
    </row>
    <row r="52" spans="1:10" ht="11.25" customHeight="1" x14ac:dyDescent="0.2">
      <c r="A52" s="66" t="s">
        <v>35</v>
      </c>
      <c r="B52" s="57">
        <v>773983.57350000017</v>
      </c>
      <c r="C52" s="57">
        <v>1085090.1364908775</v>
      </c>
      <c r="D52" s="57">
        <v>331909.30511199991</v>
      </c>
      <c r="E52" s="57">
        <v>339180.47518161178</v>
      </c>
      <c r="F52" s="57">
        <v>2282677.7700496004</v>
      </c>
      <c r="G52" s="57">
        <v>1990431.826923989</v>
      </c>
      <c r="H52" s="58">
        <v>0.28789201849286106</v>
      </c>
      <c r="I52" s="58">
        <v>-0.1280276817692324</v>
      </c>
      <c r="J52" s="58">
        <v>7.7117441671754605E-3</v>
      </c>
    </row>
    <row r="53" spans="1:10" ht="11.25" customHeight="1" x14ac:dyDescent="0.2">
      <c r="A53" s="67">
        <v>43739</v>
      </c>
      <c r="B53" s="57">
        <v>64677.732500000006</v>
      </c>
      <c r="C53" s="57">
        <v>90675.270108100638</v>
      </c>
      <c r="D53" s="57">
        <v>28829.735704000002</v>
      </c>
      <c r="E53" s="57">
        <v>29461.311583727169</v>
      </c>
      <c r="F53" s="57">
        <v>198274.03388320003</v>
      </c>
      <c r="G53" s="57">
        <v>172889.46897009973</v>
      </c>
      <c r="H53" s="58">
        <v>0.28478060629053226</v>
      </c>
      <c r="I53" s="58">
        <v>-0.12802768176923218</v>
      </c>
      <c r="J53" s="58">
        <v>4.2653443272615554E-3</v>
      </c>
    </row>
    <row r="54" spans="1:10" ht="11.25" customHeight="1" x14ac:dyDescent="0.2">
      <c r="A54" s="67">
        <v>43770</v>
      </c>
      <c r="B54" s="57">
        <v>64444.296999999999</v>
      </c>
      <c r="C54" s="57">
        <v>90348.004042993605</v>
      </c>
      <c r="D54" s="57">
        <v>27649.194188000001</v>
      </c>
      <c r="E54" s="57">
        <v>28254.907827636678</v>
      </c>
      <c r="F54" s="57">
        <v>190154.96089039999</v>
      </c>
      <c r="G54" s="57">
        <v>165809.86207068307</v>
      </c>
      <c r="H54" s="58">
        <v>0.28785335793724931</v>
      </c>
      <c r="I54" s="58">
        <v>-0.12802768176923218</v>
      </c>
      <c r="J54" s="58">
        <v>7.6681443139046124E-3</v>
      </c>
    </row>
    <row r="55" spans="1:10" ht="11.25" customHeight="1" x14ac:dyDescent="0.2">
      <c r="A55" s="67">
        <v>43800</v>
      </c>
      <c r="B55" s="57">
        <v>64677.732500000006</v>
      </c>
      <c r="C55" s="57">
        <v>90675.270108100638</v>
      </c>
      <c r="D55" s="57">
        <v>27490.799952000001</v>
      </c>
      <c r="E55" s="57">
        <v>28093.043633397294</v>
      </c>
      <c r="F55" s="57">
        <v>189065.61812160001</v>
      </c>
      <c r="G55" s="57">
        <v>164859.9853312246</v>
      </c>
      <c r="H55" s="58">
        <v>0.28859937965650784</v>
      </c>
      <c r="I55" s="58">
        <v>-0.12802768176923229</v>
      </c>
      <c r="J55" s="58">
        <v>8.5130077347983502E-3</v>
      </c>
    </row>
    <row r="56" spans="1:10" ht="11.25" customHeight="1" x14ac:dyDescent="0.2">
      <c r="A56" s="67">
        <v>43831</v>
      </c>
      <c r="B56" s="57">
        <v>64677.732500000006</v>
      </c>
      <c r="C56" s="57">
        <v>90675.270108100638</v>
      </c>
      <c r="D56" s="57">
        <v>26139.569764</v>
      </c>
      <c r="E56" s="57">
        <v>26712.211911638467</v>
      </c>
      <c r="F56" s="57">
        <v>179772.64843120001</v>
      </c>
      <c r="G56" s="57">
        <v>156756.77300703825</v>
      </c>
      <c r="H56" s="58">
        <v>0.29256737530587862</v>
      </c>
      <c r="I56" s="58">
        <v>-0.12802768176923229</v>
      </c>
      <c r="J56" s="58">
        <v>1.3135389257604269E-2</v>
      </c>
    </row>
    <row r="57" spans="1:10" ht="11.25" customHeight="1" x14ac:dyDescent="0.2">
      <c r="A57" s="67">
        <v>43862</v>
      </c>
      <c r="B57" s="57">
        <v>64444.296999999999</v>
      </c>
      <c r="C57" s="57">
        <v>90348.004042993605</v>
      </c>
      <c r="D57" s="57">
        <v>28944.851320000002</v>
      </c>
      <c r="E57" s="57">
        <v>29578.949048945349</v>
      </c>
      <c r="F57" s="57">
        <v>199065.73165600002</v>
      </c>
      <c r="G57" s="57">
        <v>173579.80751238624</v>
      </c>
      <c r="H57" s="58">
        <v>0.28416368763752464</v>
      </c>
      <c r="I57" s="58">
        <v>-0.1280276817692324</v>
      </c>
      <c r="J57" s="58">
        <v>3.5967279069217817E-3</v>
      </c>
    </row>
    <row r="58" spans="1:10" ht="11.25" customHeight="1" x14ac:dyDescent="0.2">
      <c r="A58" s="67">
        <v>43891</v>
      </c>
      <c r="B58" s="57">
        <v>64444.296999999999</v>
      </c>
      <c r="C58" s="57">
        <v>90348.004042993605</v>
      </c>
      <c r="D58" s="57">
        <v>26290.410915999997</v>
      </c>
      <c r="E58" s="57">
        <v>26866.357555717463</v>
      </c>
      <c r="F58" s="57">
        <v>180810.04551279999</v>
      </c>
      <c r="G58" s="57">
        <v>157661.35454520682</v>
      </c>
      <c r="H58" s="58">
        <v>0.29183599408536476</v>
      </c>
      <c r="I58" s="58">
        <v>-0.12802768176923229</v>
      </c>
      <c r="J58" s="58">
        <v>1.2266717265046578E-2</v>
      </c>
    </row>
    <row r="59" spans="1:10" ht="11.25" customHeight="1" x14ac:dyDescent="0.2">
      <c r="A59" s="67">
        <v>43922</v>
      </c>
      <c r="B59" s="57">
        <v>64444.296999999999</v>
      </c>
      <c r="C59" s="57">
        <v>90348.004042993605</v>
      </c>
      <c r="D59" s="57">
        <v>27645.610608000003</v>
      </c>
      <c r="E59" s="57">
        <v>28251.245741794159</v>
      </c>
      <c r="F59" s="57">
        <v>190130.31512640003</v>
      </c>
      <c r="G59" s="57">
        <v>165788.37164671344</v>
      </c>
      <c r="H59" s="58">
        <v>0.28786370695071528</v>
      </c>
      <c r="I59" s="58">
        <v>-0.12802768176923229</v>
      </c>
      <c r="J59" s="58">
        <v>7.6798135728952666E-3</v>
      </c>
    </row>
    <row r="60" spans="1:10" ht="11.25" customHeight="1" x14ac:dyDescent="0.2">
      <c r="A60" s="67">
        <v>43952</v>
      </c>
      <c r="B60" s="57">
        <v>64444.296999999999</v>
      </c>
      <c r="C60" s="57">
        <v>90348.004042993605</v>
      </c>
      <c r="D60" s="57">
        <v>25005.504524</v>
      </c>
      <c r="E60" s="57">
        <v>25553.302591936354</v>
      </c>
      <c r="F60" s="57">
        <v>171973.21203920001</v>
      </c>
      <c r="G60" s="57">
        <v>149955.88037541258</v>
      </c>
      <c r="H60" s="58">
        <v>0.29571340193340556</v>
      </c>
      <c r="I60" s="58">
        <v>-0.1280276817692324</v>
      </c>
      <c r="J60" s="58">
        <v>1.6961679795151507E-2</v>
      </c>
    </row>
    <row r="61" spans="1:10" ht="11.25" customHeight="1" x14ac:dyDescent="0.2">
      <c r="A61" s="67">
        <v>43983</v>
      </c>
      <c r="B61" s="57">
        <v>64396.000000000007</v>
      </c>
      <c r="C61" s="57">
        <v>90280.293822626641</v>
      </c>
      <c r="D61" s="57">
        <v>28902.344548000001</v>
      </c>
      <c r="E61" s="57">
        <v>29535.511076874842</v>
      </c>
      <c r="F61" s="57">
        <v>198773.39497840003</v>
      </c>
      <c r="G61" s="57">
        <v>173324.89802191549</v>
      </c>
      <c r="H61" s="58">
        <v>0.28422219579532637</v>
      </c>
      <c r="I61" s="58">
        <v>-0.1280276817692324</v>
      </c>
      <c r="J61" s="58">
        <v>3.6599343597920608E-3</v>
      </c>
    </row>
    <row r="62" spans="1:10" ht="11.25" customHeight="1" x14ac:dyDescent="0.2">
      <c r="A62" s="67">
        <v>44013</v>
      </c>
      <c r="B62" s="57">
        <v>64444.296999999999</v>
      </c>
      <c r="C62" s="57">
        <v>90348.004042993605</v>
      </c>
      <c r="D62" s="57">
        <v>27563.849851999999</v>
      </c>
      <c r="E62" s="57">
        <v>28167.69384480251</v>
      </c>
      <c r="F62" s="57">
        <v>189568.01254160001</v>
      </c>
      <c r="G62" s="57">
        <v>165298.05935829823</v>
      </c>
      <c r="H62" s="58">
        <v>0.28810004268899059</v>
      </c>
      <c r="I62" s="58">
        <v>-0.12802768176923218</v>
      </c>
      <c r="J62" s="58">
        <v>7.9466878776712768E-3</v>
      </c>
    </row>
    <row r="63" spans="1:10" ht="11.25" customHeight="1" x14ac:dyDescent="0.2">
      <c r="A63" s="67">
        <v>44044</v>
      </c>
      <c r="B63" s="57">
        <v>64444.296999999999</v>
      </c>
      <c r="C63" s="57">
        <v>90348.004042993605</v>
      </c>
      <c r="D63" s="57">
        <v>28723.716868</v>
      </c>
      <c r="E63" s="57">
        <v>29352.970182570767</v>
      </c>
      <c r="F63" s="57">
        <v>197544.89843440001</v>
      </c>
      <c r="G63" s="57">
        <v>172253.68304250535</v>
      </c>
      <c r="H63" s="58">
        <v>0.28478615413178332</v>
      </c>
      <c r="I63" s="58">
        <v>-0.12802768176923218</v>
      </c>
      <c r="J63" s="58">
        <v>4.2713787834027794E-3</v>
      </c>
    </row>
    <row r="64" spans="1:10" ht="11.25" customHeight="1" x14ac:dyDescent="0.2">
      <c r="A64" s="67">
        <v>44075</v>
      </c>
      <c r="B64" s="57">
        <v>64444.296999999999</v>
      </c>
      <c r="C64" s="57">
        <v>90348.004042993605</v>
      </c>
      <c r="D64" s="57">
        <v>28723.716868</v>
      </c>
      <c r="E64" s="57">
        <v>29352.970182570767</v>
      </c>
      <c r="F64" s="57">
        <v>197544.89843440001</v>
      </c>
      <c r="G64" s="57">
        <v>172253.68304250535</v>
      </c>
      <c r="H64" s="58">
        <v>0.28478615413178332</v>
      </c>
      <c r="I64" s="58">
        <v>-0.12802768176923218</v>
      </c>
      <c r="J64" s="58">
        <v>4.2713787834027794E-3</v>
      </c>
    </row>
    <row r="65" spans="1:10" ht="11.25" customHeight="1" x14ac:dyDescent="0.2">
      <c r="A65" s="60" t="s">
        <v>45</v>
      </c>
      <c r="B65" s="57">
        <v>1481384.7775000001</v>
      </c>
      <c r="C65" s="57">
        <v>1823114.7972792399</v>
      </c>
      <c r="D65" s="57">
        <v>3036887.0652680006</v>
      </c>
      <c r="E65" s="57">
        <v>3195450.0526370071</v>
      </c>
      <c r="F65" s="57">
        <v>8745750.3731536008</v>
      </c>
      <c r="G65" s="57">
        <v>7838458.0903664166</v>
      </c>
      <c r="H65" s="58">
        <v>0.11072662835659641</v>
      </c>
      <c r="I65" s="58">
        <v>-0.10374093063212231</v>
      </c>
      <c r="J65" s="58">
        <v>-3.0684453705934978E-2</v>
      </c>
    </row>
    <row r="66" spans="1:10" ht="11.25" customHeight="1" x14ac:dyDescent="0.2">
      <c r="A66" s="61" t="s">
        <v>41</v>
      </c>
      <c r="B66" s="57">
        <v>1340813.2985</v>
      </c>
      <c r="C66" s="57">
        <v>1640382.139828993</v>
      </c>
      <c r="D66" s="57">
        <v>2216411.5314000002</v>
      </c>
      <c r="E66" s="57">
        <v>2296989.8363712151</v>
      </c>
      <c r="F66" s="57">
        <v>7142058.4209480006</v>
      </c>
      <c r="G66" s="57">
        <v>6401659.9467238672</v>
      </c>
      <c r="H66" s="58">
        <v>0.10686621298291521</v>
      </c>
      <c r="I66" s="58">
        <v>-0.10366737858829456</v>
      </c>
      <c r="J66" s="58">
        <v>-3.3670603859877524E-2</v>
      </c>
    </row>
    <row r="67" spans="1:10" ht="11.25" customHeight="1" x14ac:dyDescent="0.2">
      <c r="A67" s="62" t="s">
        <v>52</v>
      </c>
      <c r="B67" s="57">
        <v>1340813.2985</v>
      </c>
      <c r="C67" s="57">
        <v>1640382.139828993</v>
      </c>
      <c r="D67" s="57">
        <v>2216411.5314000002</v>
      </c>
      <c r="E67" s="57">
        <v>2296989.8363712151</v>
      </c>
      <c r="F67" s="57">
        <v>7142058.4209480006</v>
      </c>
      <c r="G67" s="57">
        <v>6401659.9467238672</v>
      </c>
      <c r="H67" s="58">
        <v>0.10686621298291521</v>
      </c>
      <c r="I67" s="58">
        <v>-0.10366737858829456</v>
      </c>
      <c r="J67" s="58">
        <v>-3.3670603859877524E-2</v>
      </c>
    </row>
    <row r="68" spans="1:10" ht="11.25" customHeight="1" x14ac:dyDescent="0.2">
      <c r="A68" s="63" t="s">
        <v>53</v>
      </c>
      <c r="B68" s="57">
        <v>1340813.2985</v>
      </c>
      <c r="C68" s="57">
        <v>1640382.139828993</v>
      </c>
      <c r="D68" s="57">
        <v>2216411.5314000002</v>
      </c>
      <c r="E68" s="57">
        <v>2296989.8363712151</v>
      </c>
      <c r="F68" s="57">
        <v>7142058.4209480006</v>
      </c>
      <c r="G68" s="57">
        <v>6401659.9467238672</v>
      </c>
      <c r="H68" s="58">
        <v>0.10686621298291521</v>
      </c>
      <c r="I68" s="58">
        <v>-0.10366737858829456</v>
      </c>
      <c r="J68" s="58">
        <v>-3.3670603859877524E-2</v>
      </c>
    </row>
    <row r="69" spans="1:10" ht="11.25" customHeight="1" x14ac:dyDescent="0.2">
      <c r="A69" s="64" t="s">
        <v>25</v>
      </c>
      <c r="B69" s="57">
        <v>1340813.2985</v>
      </c>
      <c r="C69" s="57">
        <v>1640382.139828993</v>
      </c>
      <c r="D69" s="57">
        <v>2216411.5314000002</v>
      </c>
      <c r="E69" s="57">
        <v>2296989.8363712151</v>
      </c>
      <c r="F69" s="57">
        <v>7142058.4209480006</v>
      </c>
      <c r="G69" s="57">
        <v>6401659.9467238672</v>
      </c>
      <c r="H69" s="58">
        <v>0.10686621298291521</v>
      </c>
      <c r="I69" s="58">
        <v>-0.10366737858829456</v>
      </c>
      <c r="J69" s="58">
        <v>-3.3670603859877524E-2</v>
      </c>
    </row>
    <row r="70" spans="1:10" ht="11.25" customHeight="1" x14ac:dyDescent="0.2">
      <c r="A70" s="65" t="s">
        <v>25</v>
      </c>
      <c r="B70" s="57">
        <v>1340813.2985</v>
      </c>
      <c r="C70" s="57">
        <v>1640382.139828993</v>
      </c>
      <c r="D70" s="57">
        <v>2216411.5314000002</v>
      </c>
      <c r="E70" s="57">
        <v>2296989.8363712151</v>
      </c>
      <c r="F70" s="57">
        <v>7142058.4209480006</v>
      </c>
      <c r="G70" s="57">
        <v>6401659.9467238672</v>
      </c>
      <c r="H70" s="58">
        <v>0.10686621298291521</v>
      </c>
      <c r="I70" s="58">
        <v>-0.10366737858829456</v>
      </c>
      <c r="J70" s="58">
        <v>-3.3670603859877524E-2</v>
      </c>
    </row>
    <row r="71" spans="1:10" ht="11.25" customHeight="1" x14ac:dyDescent="0.2">
      <c r="A71" s="66" t="s">
        <v>36</v>
      </c>
      <c r="B71" s="57">
        <v>437171.14150000003</v>
      </c>
      <c r="C71" s="57">
        <v>568290.55947296612</v>
      </c>
      <c r="D71" s="57">
        <v>2016381.4710600001</v>
      </c>
      <c r="E71" s="57">
        <v>2089687.6232846964</v>
      </c>
      <c r="F71" s="57">
        <v>6121490.6045040004</v>
      </c>
      <c r="G71" s="57">
        <v>5511753.0619074814</v>
      </c>
      <c r="H71" s="58">
        <v>8.33181930361655E-2</v>
      </c>
      <c r="I71" s="58">
        <v>-9.9606057084837052E-2</v>
      </c>
      <c r="J71" s="58">
        <v>-4.7266464102746597E-2</v>
      </c>
    </row>
    <row r="72" spans="1:10" ht="11.25" customHeight="1" x14ac:dyDescent="0.2">
      <c r="A72" s="67">
        <v>43739</v>
      </c>
      <c r="B72" s="57">
        <v>36446.529499999997</v>
      </c>
      <c r="C72" s="57">
        <v>47377.826837645836</v>
      </c>
      <c r="D72" s="57">
        <v>151532.92506000001</v>
      </c>
      <c r="E72" s="57">
        <v>157041.94993001249</v>
      </c>
      <c r="F72" s="57">
        <v>460035.65810400003</v>
      </c>
      <c r="G72" s="57">
        <v>414213.32008183241</v>
      </c>
      <c r="H72" s="58">
        <v>8.7458080172324593E-2</v>
      </c>
      <c r="I72" s="58">
        <v>-9.9606057084837052E-2</v>
      </c>
      <c r="J72" s="58">
        <v>-4.5341559541288046E-2</v>
      </c>
    </row>
    <row r="73" spans="1:10" ht="11.25" customHeight="1" x14ac:dyDescent="0.2">
      <c r="A73" s="67">
        <v>43770</v>
      </c>
      <c r="B73" s="57">
        <v>36663.695999999996</v>
      </c>
      <c r="C73" s="57">
        <v>47660.127429035128</v>
      </c>
      <c r="D73" s="57">
        <v>172580.85121200001</v>
      </c>
      <c r="E73" s="57">
        <v>178855.07974047575</v>
      </c>
      <c r="F73" s="57">
        <v>523934.61970079999</v>
      </c>
      <c r="G73" s="57">
        <v>471747.55806215975</v>
      </c>
      <c r="H73" s="58">
        <v>8.2538160194027821E-2</v>
      </c>
      <c r="I73" s="58">
        <v>-9.9606057084836941E-2</v>
      </c>
      <c r="J73" s="58">
        <v>-4.7623286717422664E-2</v>
      </c>
    </row>
    <row r="74" spans="1:10" ht="11.25" customHeight="1" x14ac:dyDescent="0.2">
      <c r="A74" s="67">
        <v>43800</v>
      </c>
      <c r="B74" s="57">
        <v>36087.0815</v>
      </c>
      <c r="C74" s="57">
        <v>46910.570686380779</v>
      </c>
      <c r="D74" s="57">
        <v>162156.84315600002</v>
      </c>
      <c r="E74" s="57">
        <v>168052.10374992967</v>
      </c>
      <c r="F74" s="57">
        <v>492288.59027039999</v>
      </c>
      <c r="G74" s="57">
        <v>443253.6648457126</v>
      </c>
      <c r="H74" s="58">
        <v>8.4334235257506274E-2</v>
      </c>
      <c r="I74" s="58">
        <v>-9.9606057084836941E-2</v>
      </c>
      <c r="J74" s="58">
        <v>-4.6798919595873678E-2</v>
      </c>
    </row>
    <row r="75" spans="1:10" ht="11.25" customHeight="1" x14ac:dyDescent="0.2">
      <c r="A75" s="67">
        <v>43831</v>
      </c>
      <c r="B75" s="57">
        <v>36446.529499999997</v>
      </c>
      <c r="C75" s="57">
        <v>47377.826837645836</v>
      </c>
      <c r="D75" s="57">
        <v>148356.36195600001</v>
      </c>
      <c r="E75" s="57">
        <v>153749.90192308347</v>
      </c>
      <c r="F75" s="57">
        <v>450391.99619039998</v>
      </c>
      <c r="G75" s="57">
        <v>405530.22530730529</v>
      </c>
      <c r="H75" s="58">
        <v>8.8336482054536036E-2</v>
      </c>
      <c r="I75" s="58">
        <v>-9.9606057084837052E-2</v>
      </c>
      <c r="J75" s="58">
        <v>-4.4926264573859842E-2</v>
      </c>
    </row>
    <row r="76" spans="1:10" ht="11.25" customHeight="1" x14ac:dyDescent="0.2">
      <c r="A76" s="67">
        <v>43862</v>
      </c>
      <c r="B76" s="57">
        <v>36521.414499999999</v>
      </c>
      <c r="C76" s="57">
        <v>47475.171869159385</v>
      </c>
      <c r="D76" s="57">
        <v>158303.038344</v>
      </c>
      <c r="E76" s="57">
        <v>164058.19270989325</v>
      </c>
      <c r="F76" s="57">
        <v>480588.90432959999</v>
      </c>
      <c r="G76" s="57">
        <v>432719.33849060658</v>
      </c>
      <c r="H76" s="58">
        <v>8.5763935127957547E-2</v>
      </c>
      <c r="I76" s="58">
        <v>-9.9606057084837052E-2</v>
      </c>
      <c r="J76" s="58">
        <v>-4.6135679392451889E-2</v>
      </c>
    </row>
    <row r="77" spans="1:10" ht="11.25" customHeight="1" x14ac:dyDescent="0.2">
      <c r="A77" s="67">
        <v>43891</v>
      </c>
      <c r="B77" s="57">
        <v>36738.580999999998</v>
      </c>
      <c r="C77" s="57">
        <v>47757.472460548684</v>
      </c>
      <c r="D77" s="57">
        <v>149386.381716</v>
      </c>
      <c r="E77" s="57">
        <v>154817.36835991757</v>
      </c>
      <c r="F77" s="57">
        <v>453519.01177440002</v>
      </c>
      <c r="G77" s="57">
        <v>408345.77119854023</v>
      </c>
      <c r="H77" s="58">
        <v>8.8380826861824024E-2</v>
      </c>
      <c r="I77" s="58">
        <v>-9.9606057084837052E-2</v>
      </c>
      <c r="J77" s="58">
        <v>-4.4905234187935905E-2</v>
      </c>
    </row>
    <row r="78" spans="1:10" ht="11.25" customHeight="1" x14ac:dyDescent="0.2">
      <c r="A78" s="67">
        <v>43922</v>
      </c>
      <c r="B78" s="57">
        <v>36738.580999999998</v>
      </c>
      <c r="C78" s="57">
        <v>47757.472460548684</v>
      </c>
      <c r="D78" s="57">
        <v>172631.16314400002</v>
      </c>
      <c r="E78" s="57">
        <v>178907.22077783052</v>
      </c>
      <c r="F78" s="57">
        <v>524087.36064960004</v>
      </c>
      <c r="G78" s="57">
        <v>471885.0850872944</v>
      </c>
      <c r="H78" s="58">
        <v>8.2604815538600773E-2</v>
      </c>
      <c r="I78" s="58">
        <v>-9.9606057084837052E-2</v>
      </c>
      <c r="J78" s="58">
        <v>-4.7592867039919828E-2</v>
      </c>
    </row>
    <row r="79" spans="1:10" ht="11.25" customHeight="1" x14ac:dyDescent="0.2">
      <c r="A79" s="67">
        <v>43952</v>
      </c>
      <c r="B79" s="57">
        <v>36019.685000000005</v>
      </c>
      <c r="C79" s="57">
        <v>46822.960158018592</v>
      </c>
      <c r="D79" s="57">
        <v>171785.744328</v>
      </c>
      <c r="E79" s="57">
        <v>178031.06650759783</v>
      </c>
      <c r="F79" s="57">
        <v>521520.77123519999</v>
      </c>
      <c r="G79" s="57">
        <v>469574.14352461841</v>
      </c>
      <c r="H79" s="58">
        <v>8.2041154520110959E-2</v>
      </c>
      <c r="I79" s="58">
        <v>-9.9606057084837052E-2</v>
      </c>
      <c r="J79" s="58">
        <v>-4.7849686938459368E-2</v>
      </c>
    </row>
    <row r="80" spans="1:10" ht="11.25" customHeight="1" x14ac:dyDescent="0.2">
      <c r="A80" s="67">
        <v>43983</v>
      </c>
      <c r="B80" s="57">
        <v>36304.248000000007</v>
      </c>
      <c r="C80" s="57">
        <v>47192.871277770086</v>
      </c>
      <c r="D80" s="57">
        <v>188443.82436000003</v>
      </c>
      <c r="E80" s="57">
        <v>195294.75602774447</v>
      </c>
      <c r="F80" s="57">
        <v>572092.69022400002</v>
      </c>
      <c r="G80" s="57">
        <v>515108.79306373029</v>
      </c>
      <c r="H80" s="58">
        <v>7.8930843585165E-2</v>
      </c>
      <c r="I80" s="58">
        <v>-9.9606057084837052E-2</v>
      </c>
      <c r="J80" s="58">
        <v>-4.9249917998037018E-2</v>
      </c>
    </row>
    <row r="81" spans="1:10" ht="11.25" customHeight="1" x14ac:dyDescent="0.2">
      <c r="A81" s="67">
        <v>44013</v>
      </c>
      <c r="B81" s="57">
        <v>36446.529499999997</v>
      </c>
      <c r="C81" s="57">
        <v>47377.826837645836</v>
      </c>
      <c r="D81" s="57">
        <v>182381.12508</v>
      </c>
      <c r="E81" s="57">
        <v>189011.64549982786</v>
      </c>
      <c r="F81" s="57">
        <v>553687.06747200002</v>
      </c>
      <c r="G81" s="57">
        <v>498536.48182224791</v>
      </c>
      <c r="H81" s="58">
        <v>8.0254105867836545E-2</v>
      </c>
      <c r="I81" s="58">
        <v>-9.9606057084837163E-2</v>
      </c>
      <c r="J81" s="58">
        <v>-4.8657671911329858E-2</v>
      </c>
    </row>
    <row r="82" spans="1:10" ht="11.25" customHeight="1" x14ac:dyDescent="0.2">
      <c r="A82" s="67">
        <v>44044</v>
      </c>
      <c r="B82" s="57">
        <v>36379.133000000002</v>
      </c>
      <c r="C82" s="57">
        <v>47290.216309283642</v>
      </c>
      <c r="D82" s="57">
        <v>179411.606352</v>
      </c>
      <c r="E82" s="57">
        <v>185934.16902919178</v>
      </c>
      <c r="F82" s="57">
        <v>544671.96727679996</v>
      </c>
      <c r="G82" s="57">
        <v>490419.34021171654</v>
      </c>
      <c r="H82" s="58">
        <v>8.0789592912221542E-2</v>
      </c>
      <c r="I82" s="58">
        <v>-9.9606057084837052E-2</v>
      </c>
      <c r="J82" s="58">
        <v>-4.8416550552268123E-2</v>
      </c>
    </row>
    <row r="83" spans="1:10" ht="11.25" customHeight="1" x14ac:dyDescent="0.2">
      <c r="A83" s="67">
        <v>44075</v>
      </c>
      <c r="B83" s="57">
        <v>36379.133000000002</v>
      </c>
      <c r="C83" s="57">
        <v>47290.216309283642</v>
      </c>
      <c r="D83" s="57">
        <v>179411.606352</v>
      </c>
      <c r="E83" s="57">
        <v>185934.16902919178</v>
      </c>
      <c r="F83" s="57">
        <v>544671.96727679996</v>
      </c>
      <c r="G83" s="57">
        <v>490419.34021171654</v>
      </c>
      <c r="H83" s="58">
        <v>8.0789592912221542E-2</v>
      </c>
      <c r="I83" s="58">
        <v>-9.9606057084837052E-2</v>
      </c>
      <c r="J83" s="58">
        <v>-4.8416550552268123E-2</v>
      </c>
    </row>
    <row r="84" spans="1:10" ht="11.25" customHeight="1" x14ac:dyDescent="0.2">
      <c r="A84" s="66" t="s">
        <v>35</v>
      </c>
      <c r="B84" s="57">
        <v>903642.15699999989</v>
      </c>
      <c r="C84" s="57">
        <v>1072091.580356027</v>
      </c>
      <c r="D84" s="57">
        <v>200030.06034</v>
      </c>
      <c r="E84" s="57">
        <v>207302.2130865191</v>
      </c>
      <c r="F84" s="57">
        <v>1020567.8164440002</v>
      </c>
      <c r="G84" s="57">
        <v>889906.8848163872</v>
      </c>
      <c r="H84" s="58">
        <v>0.15921536606770714</v>
      </c>
      <c r="I84" s="58">
        <v>-0.12802768176923263</v>
      </c>
      <c r="J84" s="58">
        <v>2.1212595449801697E-2</v>
      </c>
    </row>
    <row r="85" spans="1:10" ht="11.25" customHeight="1" x14ac:dyDescent="0.2">
      <c r="A85" s="67">
        <v>43739</v>
      </c>
      <c r="B85" s="57">
        <v>74096.2</v>
      </c>
      <c r="C85" s="57">
        <v>87908.594725263843</v>
      </c>
      <c r="D85" s="57">
        <v>15774.537108</v>
      </c>
      <c r="E85" s="57">
        <v>16348.025128550631</v>
      </c>
      <c r="F85" s="57">
        <v>80482.827752800004</v>
      </c>
      <c r="G85" s="57">
        <v>70178.797893376584</v>
      </c>
      <c r="H85" s="58">
        <v>0.16007304723145421</v>
      </c>
      <c r="I85" s="58">
        <v>-0.12802768176923229</v>
      </c>
      <c r="J85" s="58">
        <v>2.396106526873365E-2</v>
      </c>
    </row>
    <row r="86" spans="1:10" ht="11.25" customHeight="1" x14ac:dyDescent="0.2">
      <c r="A86" s="67">
        <v>43770</v>
      </c>
      <c r="B86" s="57">
        <v>74096.2</v>
      </c>
      <c r="C86" s="57">
        <v>87908.594725263843</v>
      </c>
      <c r="D86" s="57">
        <v>18534.113136</v>
      </c>
      <c r="E86" s="57">
        <v>19207.926369456822</v>
      </c>
      <c r="F86" s="57">
        <v>94562.383977599995</v>
      </c>
      <c r="G86" s="57">
        <v>82455.781174375879</v>
      </c>
      <c r="H86" s="58">
        <v>0.15638733658874715</v>
      </c>
      <c r="I86" s="58">
        <v>-0.12802768176923218</v>
      </c>
      <c r="J86" s="58">
        <v>1.2712061913678685E-2</v>
      </c>
    </row>
    <row r="87" spans="1:10" ht="11.25" customHeight="1" x14ac:dyDescent="0.2">
      <c r="A87" s="67">
        <v>43800</v>
      </c>
      <c r="B87" s="57">
        <v>76748.063999999998</v>
      </c>
      <c r="C87" s="57">
        <v>91054.797062799596</v>
      </c>
      <c r="D87" s="57">
        <v>16195.834511999999</v>
      </c>
      <c r="E87" s="57">
        <v>16784.638925838681</v>
      </c>
      <c r="F87" s="57">
        <v>82632.317539199998</v>
      </c>
      <c r="G87" s="57">
        <v>72053.093485437144</v>
      </c>
      <c r="H87" s="58">
        <v>0.16026374743378247</v>
      </c>
      <c r="I87" s="58">
        <v>-0.12802768176923229</v>
      </c>
      <c r="J87" s="58">
        <v>2.45837022801354E-2</v>
      </c>
    </row>
    <row r="88" spans="1:10" ht="11.25" customHeight="1" x14ac:dyDescent="0.2">
      <c r="A88" s="67">
        <v>43831</v>
      </c>
      <c r="B88" s="57">
        <v>74096.2</v>
      </c>
      <c r="C88" s="57">
        <v>87908.594725263843</v>
      </c>
      <c r="D88" s="57">
        <v>13622.643012</v>
      </c>
      <c r="E88" s="57">
        <v>14117.898278264372</v>
      </c>
      <c r="F88" s="57">
        <v>69503.708639200006</v>
      </c>
      <c r="G88" s="57">
        <v>60605.309947759059</v>
      </c>
      <c r="H88" s="58">
        <v>0.16310805637929948</v>
      </c>
      <c r="I88" s="58">
        <v>-0.1280276817692324</v>
      </c>
      <c r="J88" s="58">
        <v>3.440505985482134E-2</v>
      </c>
    </row>
    <row r="89" spans="1:10" ht="11.25" customHeight="1" x14ac:dyDescent="0.2">
      <c r="A89" s="67">
        <v>43862</v>
      </c>
      <c r="B89" s="57">
        <v>75812.111999999994</v>
      </c>
      <c r="C89" s="57">
        <v>89944.372708375216</v>
      </c>
      <c r="D89" s="57">
        <v>17345.3544</v>
      </c>
      <c r="E89" s="57">
        <v>17975.949953612817</v>
      </c>
      <c r="F89" s="57">
        <v>88497.251040000003</v>
      </c>
      <c r="G89" s="57">
        <v>77167.153146399025</v>
      </c>
      <c r="H89" s="58">
        <v>0.15847206705471373</v>
      </c>
      <c r="I89" s="58">
        <v>-0.12802768176923229</v>
      </c>
      <c r="J89" s="58">
        <v>1.8897160595462648E-2</v>
      </c>
    </row>
    <row r="90" spans="1:10" ht="11.25" customHeight="1" x14ac:dyDescent="0.2">
      <c r="A90" s="67">
        <v>43891</v>
      </c>
      <c r="B90" s="57">
        <v>75812.111999999994</v>
      </c>
      <c r="C90" s="57">
        <v>89944.372708375216</v>
      </c>
      <c r="D90" s="57">
        <v>14534.277384000001</v>
      </c>
      <c r="E90" s="57">
        <v>15062.675390864924</v>
      </c>
      <c r="F90" s="57">
        <v>74154.933054399997</v>
      </c>
      <c r="G90" s="57">
        <v>64661.048883692551</v>
      </c>
      <c r="H90" s="58">
        <v>0.16227166149305461</v>
      </c>
      <c r="I90" s="58">
        <v>-0.12802768176923229</v>
      </c>
      <c r="J90" s="58">
        <v>3.1408711297548964E-2</v>
      </c>
    </row>
    <row r="91" spans="1:10" ht="11.25" customHeight="1" x14ac:dyDescent="0.2">
      <c r="A91" s="67">
        <v>43922</v>
      </c>
      <c r="B91" s="57">
        <v>75617.122000000003</v>
      </c>
      <c r="C91" s="57">
        <v>89713.034301203457</v>
      </c>
      <c r="D91" s="57">
        <v>14768.967312000001</v>
      </c>
      <c r="E91" s="57">
        <v>15305.897541479788</v>
      </c>
      <c r="F91" s="57">
        <v>75352.338019200004</v>
      </c>
      <c r="G91" s="57">
        <v>65705.152866710239</v>
      </c>
      <c r="H91" s="58">
        <v>0.1618926390340083</v>
      </c>
      <c r="I91" s="58">
        <v>-0.12802768176923229</v>
      </c>
      <c r="J91" s="58">
        <v>3.0081481153616307E-2</v>
      </c>
    </row>
    <row r="92" spans="1:10" ht="11.25" customHeight="1" x14ac:dyDescent="0.2">
      <c r="A92" s="67">
        <v>43952</v>
      </c>
      <c r="B92" s="57">
        <v>75246.641000000003</v>
      </c>
      <c r="C92" s="57">
        <v>89273.491327577154</v>
      </c>
      <c r="D92" s="57">
        <v>15807.384780000002</v>
      </c>
      <c r="E92" s="57">
        <v>16382.066987503062</v>
      </c>
      <c r="F92" s="57">
        <v>80650.418948000006</v>
      </c>
      <c r="G92" s="57">
        <v>70324.932776370202</v>
      </c>
      <c r="H92" s="58">
        <v>0.16036119666317306</v>
      </c>
      <c r="I92" s="58">
        <v>-0.12802768176923229</v>
      </c>
      <c r="J92" s="58">
        <v>2.4903527513362445E-2</v>
      </c>
    </row>
    <row r="93" spans="1:10" ht="11.25" customHeight="1" x14ac:dyDescent="0.2">
      <c r="A93" s="67">
        <v>43983</v>
      </c>
      <c r="B93" s="57">
        <v>75441.631000000008</v>
      </c>
      <c r="C93" s="57">
        <v>89504.829734748899</v>
      </c>
      <c r="D93" s="57">
        <v>17491.459656000003</v>
      </c>
      <c r="E93" s="57">
        <v>18127.366909948734</v>
      </c>
      <c r="F93" s="57">
        <v>89242.690609600002</v>
      </c>
      <c r="G93" s="57">
        <v>77817.155816004088</v>
      </c>
      <c r="H93" s="58">
        <v>0.15816869841451453</v>
      </c>
      <c r="I93" s="58">
        <v>-0.12802768176923218</v>
      </c>
      <c r="J93" s="58">
        <v>1.796929960920024E-2</v>
      </c>
    </row>
    <row r="94" spans="1:10" ht="11.25" customHeight="1" x14ac:dyDescent="0.2">
      <c r="A94" s="67">
        <v>44013</v>
      </c>
      <c r="B94" s="57">
        <v>75441.631000000008</v>
      </c>
      <c r="C94" s="57">
        <v>89504.829734748899</v>
      </c>
      <c r="D94" s="57">
        <v>17454.301656000003</v>
      </c>
      <c r="E94" s="57">
        <v>18088.858019731055</v>
      </c>
      <c r="F94" s="57">
        <v>89053.107809600013</v>
      </c>
      <c r="G94" s="57">
        <v>77651.844862391401</v>
      </c>
      <c r="H94" s="58">
        <v>0.15821742328490007</v>
      </c>
      <c r="I94" s="58">
        <v>-0.1280276817692324</v>
      </c>
      <c r="J94" s="58">
        <v>1.811766713820373E-2</v>
      </c>
    </row>
    <row r="95" spans="1:10" ht="11.25" customHeight="1" x14ac:dyDescent="0.2">
      <c r="A95" s="67">
        <v>44044</v>
      </c>
      <c r="B95" s="57">
        <v>75617.122000000003</v>
      </c>
      <c r="C95" s="57">
        <v>89713.034301203457</v>
      </c>
      <c r="D95" s="57">
        <v>19250.593691999999</v>
      </c>
      <c r="E95" s="57">
        <v>19950.454790634118</v>
      </c>
      <c r="F95" s="57">
        <v>98217.919527199992</v>
      </c>
      <c r="G95" s="57">
        <v>85643.306981935573</v>
      </c>
      <c r="H95" s="58">
        <v>0.1559621552169963</v>
      </c>
      <c r="I95" s="58">
        <v>-0.12802768176923218</v>
      </c>
      <c r="J95" s="58">
        <v>1.1503501293877116E-2</v>
      </c>
    </row>
    <row r="96" spans="1:10" ht="11.25" customHeight="1" x14ac:dyDescent="0.2">
      <c r="A96" s="67">
        <v>44075</v>
      </c>
      <c r="B96" s="57">
        <v>75617.122000000003</v>
      </c>
      <c r="C96" s="57">
        <v>89713.034301203457</v>
      </c>
      <c r="D96" s="57">
        <v>19250.593691999999</v>
      </c>
      <c r="E96" s="57">
        <v>19950.454790634118</v>
      </c>
      <c r="F96" s="57">
        <v>98217.919527199992</v>
      </c>
      <c r="G96" s="57">
        <v>85643.306981935573</v>
      </c>
      <c r="H96" s="58">
        <v>0.1559621552169963</v>
      </c>
      <c r="I96" s="58">
        <v>-0.12802768176923218</v>
      </c>
      <c r="J96" s="58">
        <v>1.1503501293877116E-2</v>
      </c>
    </row>
    <row r="97" spans="1:10" ht="11.25" customHeight="1" x14ac:dyDescent="0.2">
      <c r="A97" s="61" t="s">
        <v>34</v>
      </c>
      <c r="B97" s="57">
        <v>140571.47899999999</v>
      </c>
      <c r="C97" s="57">
        <v>182732.65745024549</v>
      </c>
      <c r="D97" s="57">
        <v>820475.53386800014</v>
      </c>
      <c r="E97" s="57">
        <v>898460.21626579203</v>
      </c>
      <c r="F97" s="57">
        <v>1603691.9522056004</v>
      </c>
      <c r="G97" s="57">
        <v>1436798.1436425457</v>
      </c>
      <c r="H97" s="58">
        <v>0.12501559157807751</v>
      </c>
      <c r="I97" s="58">
        <v>-0.10406849540743857</v>
      </c>
      <c r="J97" s="58">
        <v>-1.8227175689856434E-2</v>
      </c>
    </row>
    <row r="98" spans="1:10" ht="11.25" customHeight="1" x14ac:dyDescent="0.2">
      <c r="A98" s="62" t="s">
        <v>42</v>
      </c>
      <c r="B98" s="57">
        <v>44613.840000000004</v>
      </c>
      <c r="C98" s="57">
        <v>57994.73406877977</v>
      </c>
      <c r="D98" s="57">
        <v>118243.66674000002</v>
      </c>
      <c r="E98" s="57">
        <v>131148.48459800248</v>
      </c>
      <c r="F98" s="57">
        <v>200425.63775999998</v>
      </c>
      <c r="G98" s="57">
        <v>179183.10433243847</v>
      </c>
      <c r="H98" s="58">
        <v>0.16140313365319447</v>
      </c>
      <c r="I98" s="58">
        <v>-0.10598710656467225</v>
      </c>
      <c r="J98" s="58">
        <v>1.388222540894879E-2</v>
      </c>
    </row>
    <row r="99" spans="1:10" ht="11.25" customHeight="1" x14ac:dyDescent="0.2">
      <c r="A99" s="63" t="s">
        <v>25</v>
      </c>
      <c r="B99" s="57">
        <v>44613.840000000004</v>
      </c>
      <c r="C99" s="57">
        <v>57994.73406877977</v>
      </c>
      <c r="D99" s="57">
        <v>118243.66674000002</v>
      </c>
      <c r="E99" s="57">
        <v>131148.48459800248</v>
      </c>
      <c r="F99" s="57">
        <v>200425.63775999998</v>
      </c>
      <c r="G99" s="57">
        <v>179183.10433243847</v>
      </c>
      <c r="H99" s="58">
        <v>0.16140313365319447</v>
      </c>
      <c r="I99" s="58">
        <v>-0.10598710656467225</v>
      </c>
      <c r="J99" s="58">
        <v>1.388222540894879E-2</v>
      </c>
    </row>
    <row r="100" spans="1:10" ht="11.25" customHeight="1" x14ac:dyDescent="0.2">
      <c r="A100" s="64" t="s">
        <v>25</v>
      </c>
      <c r="B100" s="57">
        <v>44613.840000000004</v>
      </c>
      <c r="C100" s="57">
        <v>57994.73406877977</v>
      </c>
      <c r="D100" s="57">
        <v>118243.66674000002</v>
      </c>
      <c r="E100" s="57">
        <v>131148.48459800248</v>
      </c>
      <c r="F100" s="57">
        <v>200425.63775999998</v>
      </c>
      <c r="G100" s="57">
        <v>179183.10433243847</v>
      </c>
      <c r="H100" s="58">
        <v>0.16140313365319447</v>
      </c>
      <c r="I100" s="58">
        <v>-0.10598710656467225</v>
      </c>
      <c r="J100" s="58">
        <v>1.388222540894879E-2</v>
      </c>
    </row>
    <row r="101" spans="1:10" ht="11.25" customHeight="1" x14ac:dyDescent="0.2">
      <c r="A101" s="65" t="s">
        <v>25</v>
      </c>
      <c r="B101" s="57">
        <v>44613.840000000004</v>
      </c>
      <c r="C101" s="57">
        <v>57994.73406877977</v>
      </c>
      <c r="D101" s="57">
        <v>118243.66674000002</v>
      </c>
      <c r="E101" s="57">
        <v>131148.48459800248</v>
      </c>
      <c r="F101" s="57">
        <v>200425.63775999998</v>
      </c>
      <c r="G101" s="57">
        <v>179183.10433243847</v>
      </c>
      <c r="H101" s="58">
        <v>0.16140313365319447</v>
      </c>
      <c r="I101" s="58">
        <v>-0.10598710656467225</v>
      </c>
      <c r="J101" s="58">
        <v>1.388222540894879E-2</v>
      </c>
    </row>
    <row r="102" spans="1:10" ht="11.25" customHeight="1" x14ac:dyDescent="0.2">
      <c r="A102" s="66" t="s">
        <v>36</v>
      </c>
      <c r="B102" s="57">
        <v>0</v>
      </c>
      <c r="C102" s="57">
        <v>0</v>
      </c>
      <c r="D102" s="57">
        <v>51196.799100000004</v>
      </c>
      <c r="E102" s="57">
        <v>53058.074063149143</v>
      </c>
      <c r="F102" s="57">
        <v>155427.29843999998</v>
      </c>
      <c r="G102" s="57">
        <v>139945.79807904336</v>
      </c>
      <c r="H102" s="58">
        <v>3.635529946928151E-2</v>
      </c>
      <c r="I102" s="58">
        <v>-9.9606057084836941E-2</v>
      </c>
      <c r="J102" s="58">
        <v>-6.5917894185458126E-2</v>
      </c>
    </row>
    <row r="103" spans="1:10" ht="11.25" customHeight="1" x14ac:dyDescent="0.2">
      <c r="A103" s="67">
        <v>43739</v>
      </c>
      <c r="B103" s="57">
        <v>0</v>
      </c>
      <c r="C103" s="57">
        <v>0</v>
      </c>
      <c r="D103" s="57">
        <v>5379.4650000000001</v>
      </c>
      <c r="E103" s="57">
        <v>5575.0370610595182</v>
      </c>
      <c r="F103" s="57">
        <v>16331.405999999999</v>
      </c>
      <c r="G103" s="57">
        <v>14704.699041688351</v>
      </c>
      <c r="H103" s="58">
        <v>3.635529946928151E-2</v>
      </c>
      <c r="I103" s="58">
        <v>-9.9606057084836941E-2</v>
      </c>
      <c r="J103" s="58">
        <v>-6.5917894185458015E-2</v>
      </c>
    </row>
    <row r="104" spans="1:10" ht="11.25" customHeight="1" x14ac:dyDescent="0.2">
      <c r="A104" s="67">
        <v>43770</v>
      </c>
      <c r="B104" s="57">
        <v>0</v>
      </c>
      <c r="C104" s="57">
        <v>0</v>
      </c>
      <c r="D104" s="57">
        <v>5784.4871999999996</v>
      </c>
      <c r="E104" s="57">
        <v>5994.7839644322248</v>
      </c>
      <c r="F104" s="57">
        <v>17561.00448</v>
      </c>
      <c r="G104" s="57">
        <v>15811.82206529804</v>
      </c>
      <c r="H104" s="58">
        <v>3.635529946928151E-2</v>
      </c>
      <c r="I104" s="58">
        <v>-9.9606057084837052E-2</v>
      </c>
      <c r="J104" s="58">
        <v>-6.5917894185458237E-2</v>
      </c>
    </row>
    <row r="105" spans="1:10" ht="11.25" customHeight="1" x14ac:dyDescent="0.2">
      <c r="A105" s="67">
        <v>43800</v>
      </c>
      <c r="B105" s="57">
        <v>0</v>
      </c>
      <c r="C105" s="57">
        <v>0</v>
      </c>
      <c r="D105" s="57">
        <v>5526.1546500000004</v>
      </c>
      <c r="E105" s="57">
        <v>5727.0596572143113</v>
      </c>
      <c r="F105" s="57">
        <v>16776.73806</v>
      </c>
      <c r="G105" s="57">
        <v>15105.673331098282</v>
      </c>
      <c r="H105" s="58">
        <v>3.6355299469281288E-2</v>
      </c>
      <c r="I105" s="58">
        <v>-9.9606057084837052E-2</v>
      </c>
      <c r="J105" s="58">
        <v>-6.5917894185458237E-2</v>
      </c>
    </row>
    <row r="106" spans="1:10" ht="11.25" customHeight="1" x14ac:dyDescent="0.2">
      <c r="A106" s="67">
        <v>43831</v>
      </c>
      <c r="B106" s="57">
        <v>0</v>
      </c>
      <c r="C106" s="57">
        <v>0</v>
      </c>
      <c r="D106" s="57">
        <v>5934.0481499999996</v>
      </c>
      <c r="E106" s="57">
        <v>6149.7822475583844</v>
      </c>
      <c r="F106" s="57">
        <v>18015.053459999999</v>
      </c>
      <c r="G106" s="57">
        <v>16220.645016676848</v>
      </c>
      <c r="H106" s="58">
        <v>3.6355299469281288E-2</v>
      </c>
      <c r="I106" s="58">
        <v>-9.9606057084837052E-2</v>
      </c>
      <c r="J106" s="58">
        <v>-6.5917894185458126E-2</v>
      </c>
    </row>
    <row r="107" spans="1:10" ht="11.25" customHeight="1" x14ac:dyDescent="0.2">
      <c r="A107" s="67">
        <v>43862</v>
      </c>
      <c r="B107" s="57">
        <v>0</v>
      </c>
      <c r="C107" s="57">
        <v>0</v>
      </c>
      <c r="D107" s="57">
        <v>6309.1750500000007</v>
      </c>
      <c r="E107" s="57">
        <v>6538.5469983468683</v>
      </c>
      <c r="F107" s="57">
        <v>19153.89342</v>
      </c>
      <c r="G107" s="57">
        <v>17246.049618610596</v>
      </c>
      <c r="H107" s="58">
        <v>3.6355299469281288E-2</v>
      </c>
      <c r="I107" s="58">
        <v>-9.9606057084837052E-2</v>
      </c>
      <c r="J107" s="58">
        <v>-6.5917894185458237E-2</v>
      </c>
    </row>
    <row r="108" spans="1:10" ht="11.25" customHeight="1" x14ac:dyDescent="0.2">
      <c r="A108" s="67">
        <v>43891</v>
      </c>
      <c r="B108" s="57">
        <v>0</v>
      </c>
      <c r="C108" s="57">
        <v>0</v>
      </c>
      <c r="D108" s="57">
        <v>5327.1904500000001</v>
      </c>
      <c r="E108" s="57">
        <v>5520.8620541396458</v>
      </c>
      <c r="F108" s="57">
        <v>16172.70678</v>
      </c>
      <c r="G108" s="57">
        <v>14561.80722525499</v>
      </c>
      <c r="H108" s="58">
        <v>3.6355299469281288E-2</v>
      </c>
      <c r="I108" s="58">
        <v>-9.9606057084837052E-2</v>
      </c>
      <c r="J108" s="58">
        <v>-6.5917894185458237E-2</v>
      </c>
    </row>
    <row r="109" spans="1:10" ht="11.25" customHeight="1" x14ac:dyDescent="0.2">
      <c r="A109" s="67">
        <v>43922</v>
      </c>
      <c r="B109" s="57">
        <v>0</v>
      </c>
      <c r="C109" s="57">
        <v>0</v>
      </c>
      <c r="D109" s="57">
        <v>2160.9066000000003</v>
      </c>
      <c r="E109" s="57">
        <v>2239.4670065681466</v>
      </c>
      <c r="F109" s="57">
        <v>6560.25144</v>
      </c>
      <c r="G109" s="57">
        <v>5906.810660576476</v>
      </c>
      <c r="H109" s="58">
        <v>3.6355299469281288E-2</v>
      </c>
      <c r="I109" s="58">
        <v>-9.9606057084836941E-2</v>
      </c>
      <c r="J109" s="58">
        <v>-6.5917894185458126E-2</v>
      </c>
    </row>
    <row r="110" spans="1:10" ht="11.25" customHeight="1" x14ac:dyDescent="0.2">
      <c r="A110" s="67">
        <v>43952</v>
      </c>
      <c r="B110" s="57">
        <v>0</v>
      </c>
      <c r="C110" s="57">
        <v>0</v>
      </c>
      <c r="D110" s="57">
        <v>1926.4734000000001</v>
      </c>
      <c r="E110" s="57">
        <v>1996.5109173766048</v>
      </c>
      <c r="F110" s="57">
        <v>5848.5405600000004</v>
      </c>
      <c r="G110" s="57">
        <v>5265.9904951176559</v>
      </c>
      <c r="H110" s="58">
        <v>3.6355299469281288E-2</v>
      </c>
      <c r="I110" s="58">
        <v>-9.9606057084836941E-2</v>
      </c>
      <c r="J110" s="58">
        <v>-6.5917894185458126E-2</v>
      </c>
    </row>
    <row r="111" spans="1:10" ht="11.25" customHeight="1" x14ac:dyDescent="0.2">
      <c r="A111" s="67">
        <v>43983</v>
      </c>
      <c r="B111" s="57">
        <v>0</v>
      </c>
      <c r="C111" s="57">
        <v>0</v>
      </c>
      <c r="D111" s="57">
        <v>2600.9755500000001</v>
      </c>
      <c r="E111" s="57">
        <v>2695.534795032529</v>
      </c>
      <c r="F111" s="57">
        <v>7896.2476200000001</v>
      </c>
      <c r="G111" s="57">
        <v>7109.7335288062714</v>
      </c>
      <c r="H111" s="58">
        <v>3.635529946928151E-2</v>
      </c>
      <c r="I111" s="58">
        <v>-9.9606057084837052E-2</v>
      </c>
      <c r="J111" s="58">
        <v>-6.5917894185458348E-2</v>
      </c>
    </row>
    <row r="112" spans="1:10" ht="11.25" customHeight="1" x14ac:dyDescent="0.2">
      <c r="A112" s="67">
        <v>44013</v>
      </c>
      <c r="B112" s="57">
        <v>0</v>
      </c>
      <c r="C112" s="57">
        <v>0</v>
      </c>
      <c r="D112" s="57">
        <v>2833.7197500000002</v>
      </c>
      <c r="E112" s="57">
        <v>2936.7404801232669</v>
      </c>
      <c r="F112" s="57">
        <v>8602.830899999999</v>
      </c>
      <c r="G112" s="57">
        <v>7745.9368342833995</v>
      </c>
      <c r="H112" s="58">
        <v>3.6355299469281288E-2</v>
      </c>
      <c r="I112" s="58">
        <v>-9.9606057084836941E-2</v>
      </c>
      <c r="J112" s="58">
        <v>-6.5917894185458126E-2</v>
      </c>
    </row>
    <row r="113" spans="1:10" ht="11.25" customHeight="1" x14ac:dyDescent="0.2">
      <c r="A113" s="67">
        <v>44044</v>
      </c>
      <c r="B113" s="57">
        <v>0</v>
      </c>
      <c r="C113" s="57">
        <v>0</v>
      </c>
      <c r="D113" s="57">
        <v>3707.1016500000001</v>
      </c>
      <c r="E113" s="57">
        <v>3841.8744406488172</v>
      </c>
      <c r="F113" s="57">
        <v>11254.31286</v>
      </c>
      <c r="G113" s="57">
        <v>10133.315130816223</v>
      </c>
      <c r="H113" s="58">
        <v>3.6355299469281288E-2</v>
      </c>
      <c r="I113" s="58">
        <v>-9.9606057084837163E-2</v>
      </c>
      <c r="J113" s="58">
        <v>-6.5917894185458348E-2</v>
      </c>
    </row>
    <row r="114" spans="1:10" ht="11.25" customHeight="1" x14ac:dyDescent="0.2">
      <c r="A114" s="67">
        <v>44075</v>
      </c>
      <c r="B114" s="57">
        <v>0</v>
      </c>
      <c r="C114" s="57">
        <v>0</v>
      </c>
      <c r="D114" s="57">
        <v>3707.1016500000001</v>
      </c>
      <c r="E114" s="57">
        <v>3841.8744406488172</v>
      </c>
      <c r="F114" s="57">
        <v>11254.31286</v>
      </c>
      <c r="G114" s="57">
        <v>10133.315130816223</v>
      </c>
      <c r="H114" s="58">
        <v>3.6355299469281288E-2</v>
      </c>
      <c r="I114" s="58">
        <v>-9.9606057084837163E-2</v>
      </c>
      <c r="J114" s="58">
        <v>-6.5917894185458348E-2</v>
      </c>
    </row>
    <row r="115" spans="1:10" ht="11.25" customHeight="1" x14ac:dyDescent="0.2">
      <c r="A115" s="66" t="s">
        <v>25</v>
      </c>
      <c r="B115" s="57">
        <v>44613.840000000004</v>
      </c>
      <c r="C115" s="57">
        <v>57994.73406877977</v>
      </c>
      <c r="D115" s="57">
        <v>0</v>
      </c>
      <c r="E115" s="57">
        <v>0</v>
      </c>
      <c r="F115" s="57">
        <v>0</v>
      </c>
      <c r="G115" s="57">
        <v>0</v>
      </c>
      <c r="H115" s="58">
        <v>0.29992697487550424</v>
      </c>
      <c r="I115" s="58">
        <v>0</v>
      </c>
      <c r="J115" s="58">
        <v>0.29992697487550424</v>
      </c>
    </row>
    <row r="116" spans="1:10" ht="11.25" customHeight="1" x14ac:dyDescent="0.2">
      <c r="A116" s="67">
        <v>43739</v>
      </c>
      <c r="B116" s="57">
        <v>3717.82</v>
      </c>
      <c r="C116" s="57">
        <v>4832.8945057316487</v>
      </c>
      <c r="D116" s="57">
        <v>0</v>
      </c>
      <c r="E116" s="57">
        <v>0</v>
      </c>
      <c r="F116" s="57">
        <v>0</v>
      </c>
      <c r="G116" s="57">
        <v>0</v>
      </c>
      <c r="H116" s="58">
        <v>0.29992697487550468</v>
      </c>
      <c r="I116" s="58">
        <v>0</v>
      </c>
      <c r="J116" s="58">
        <v>0.29992697487550468</v>
      </c>
    </row>
    <row r="117" spans="1:10" ht="11.25" customHeight="1" x14ac:dyDescent="0.2">
      <c r="A117" s="67">
        <v>43770</v>
      </c>
      <c r="B117" s="57">
        <v>3717.82</v>
      </c>
      <c r="C117" s="57">
        <v>4832.8945057316487</v>
      </c>
      <c r="D117" s="57">
        <v>0</v>
      </c>
      <c r="E117" s="57">
        <v>0</v>
      </c>
      <c r="F117" s="57">
        <v>0</v>
      </c>
      <c r="G117" s="57">
        <v>0</v>
      </c>
      <c r="H117" s="58">
        <v>0.29992697487550468</v>
      </c>
      <c r="I117" s="58">
        <v>0</v>
      </c>
      <c r="J117" s="58">
        <v>0.29992697487550468</v>
      </c>
    </row>
    <row r="118" spans="1:10" ht="11.25" customHeight="1" x14ac:dyDescent="0.2">
      <c r="A118" s="67">
        <v>43800</v>
      </c>
      <c r="B118" s="57">
        <v>3717.82</v>
      </c>
      <c r="C118" s="57">
        <v>4832.8945057316487</v>
      </c>
      <c r="D118" s="57">
        <v>0</v>
      </c>
      <c r="E118" s="57">
        <v>0</v>
      </c>
      <c r="F118" s="57">
        <v>0</v>
      </c>
      <c r="G118" s="57">
        <v>0</v>
      </c>
      <c r="H118" s="58">
        <v>0.29992697487550468</v>
      </c>
      <c r="I118" s="58">
        <v>0</v>
      </c>
      <c r="J118" s="58">
        <v>0.29992697487550468</v>
      </c>
    </row>
    <row r="119" spans="1:10" ht="11.25" customHeight="1" x14ac:dyDescent="0.2">
      <c r="A119" s="67">
        <v>43831</v>
      </c>
      <c r="B119" s="57">
        <v>3717.82</v>
      </c>
      <c r="C119" s="57">
        <v>4832.8945057316487</v>
      </c>
      <c r="D119" s="57">
        <v>0</v>
      </c>
      <c r="E119" s="57">
        <v>0</v>
      </c>
      <c r="F119" s="57">
        <v>0</v>
      </c>
      <c r="G119" s="57">
        <v>0</v>
      </c>
      <c r="H119" s="58">
        <v>0.29992697487550468</v>
      </c>
      <c r="I119" s="58">
        <v>0</v>
      </c>
      <c r="J119" s="58">
        <v>0.29992697487550468</v>
      </c>
    </row>
    <row r="120" spans="1:10" ht="11.25" customHeight="1" x14ac:dyDescent="0.2">
      <c r="A120" s="67">
        <v>43862</v>
      </c>
      <c r="B120" s="57">
        <v>3717.82</v>
      </c>
      <c r="C120" s="57">
        <v>4832.8945057316487</v>
      </c>
      <c r="D120" s="57">
        <v>0</v>
      </c>
      <c r="E120" s="57">
        <v>0</v>
      </c>
      <c r="F120" s="57">
        <v>0</v>
      </c>
      <c r="G120" s="57">
        <v>0</v>
      </c>
      <c r="H120" s="58">
        <v>0.29992697487550468</v>
      </c>
      <c r="I120" s="58">
        <v>0</v>
      </c>
      <c r="J120" s="58">
        <v>0.29992697487550468</v>
      </c>
    </row>
    <row r="121" spans="1:10" ht="11.25" customHeight="1" x14ac:dyDescent="0.2">
      <c r="A121" s="67">
        <v>43891</v>
      </c>
      <c r="B121" s="57">
        <v>3717.82</v>
      </c>
      <c r="C121" s="57">
        <v>4832.8945057316487</v>
      </c>
      <c r="D121" s="57">
        <v>0</v>
      </c>
      <c r="E121" s="57">
        <v>0</v>
      </c>
      <c r="F121" s="57">
        <v>0</v>
      </c>
      <c r="G121" s="57">
        <v>0</v>
      </c>
      <c r="H121" s="58">
        <v>0.29992697487550468</v>
      </c>
      <c r="I121" s="58">
        <v>0</v>
      </c>
      <c r="J121" s="58">
        <v>0.29992697487550468</v>
      </c>
    </row>
    <row r="122" spans="1:10" ht="11.25" customHeight="1" x14ac:dyDescent="0.2">
      <c r="A122" s="67">
        <v>43922</v>
      </c>
      <c r="B122" s="57">
        <v>3717.82</v>
      </c>
      <c r="C122" s="57">
        <v>4832.8945057316487</v>
      </c>
      <c r="D122" s="57">
        <v>0</v>
      </c>
      <c r="E122" s="57">
        <v>0</v>
      </c>
      <c r="F122" s="57">
        <v>0</v>
      </c>
      <c r="G122" s="57">
        <v>0</v>
      </c>
      <c r="H122" s="58">
        <v>0.29992697487550468</v>
      </c>
      <c r="I122" s="58">
        <v>0</v>
      </c>
      <c r="J122" s="58">
        <v>0.29992697487550468</v>
      </c>
    </row>
    <row r="123" spans="1:10" ht="11.25" customHeight="1" x14ac:dyDescent="0.2">
      <c r="A123" s="67">
        <v>43952</v>
      </c>
      <c r="B123" s="57">
        <v>3717.82</v>
      </c>
      <c r="C123" s="57">
        <v>4832.8945057316487</v>
      </c>
      <c r="D123" s="57">
        <v>0</v>
      </c>
      <c r="E123" s="57">
        <v>0</v>
      </c>
      <c r="F123" s="57">
        <v>0</v>
      </c>
      <c r="G123" s="57">
        <v>0</v>
      </c>
      <c r="H123" s="58">
        <v>0.29992697487550468</v>
      </c>
      <c r="I123" s="58">
        <v>0</v>
      </c>
      <c r="J123" s="58">
        <v>0.29992697487550468</v>
      </c>
    </row>
    <row r="124" spans="1:10" ht="11.25" customHeight="1" x14ac:dyDescent="0.2">
      <c r="A124" s="67">
        <v>43983</v>
      </c>
      <c r="B124" s="57">
        <v>3717.82</v>
      </c>
      <c r="C124" s="57">
        <v>4832.8945057316487</v>
      </c>
      <c r="D124" s="57">
        <v>0</v>
      </c>
      <c r="E124" s="57">
        <v>0</v>
      </c>
      <c r="F124" s="57">
        <v>0</v>
      </c>
      <c r="G124" s="57">
        <v>0</v>
      </c>
      <c r="H124" s="58">
        <v>0.29992697487550468</v>
      </c>
      <c r="I124" s="58">
        <v>0</v>
      </c>
      <c r="J124" s="58">
        <v>0.29992697487550468</v>
      </c>
    </row>
    <row r="125" spans="1:10" ht="11.25" customHeight="1" x14ac:dyDescent="0.2">
      <c r="A125" s="67">
        <v>44013</v>
      </c>
      <c r="B125" s="57">
        <v>3717.82</v>
      </c>
      <c r="C125" s="57">
        <v>4832.8945057316487</v>
      </c>
      <c r="D125" s="57">
        <v>0</v>
      </c>
      <c r="E125" s="57">
        <v>0</v>
      </c>
      <c r="F125" s="57">
        <v>0</v>
      </c>
      <c r="G125" s="57">
        <v>0</v>
      </c>
      <c r="H125" s="58">
        <v>0.29992697487550468</v>
      </c>
      <c r="I125" s="58">
        <v>0</v>
      </c>
      <c r="J125" s="58">
        <v>0.29992697487550468</v>
      </c>
    </row>
    <row r="126" spans="1:10" ht="11.25" customHeight="1" x14ac:dyDescent="0.2">
      <c r="A126" s="67">
        <v>44044</v>
      </c>
      <c r="B126" s="57">
        <v>3717.82</v>
      </c>
      <c r="C126" s="57">
        <v>4832.8945057316487</v>
      </c>
      <c r="D126" s="57">
        <v>0</v>
      </c>
      <c r="E126" s="57">
        <v>0</v>
      </c>
      <c r="F126" s="57">
        <v>0</v>
      </c>
      <c r="G126" s="57">
        <v>0</v>
      </c>
      <c r="H126" s="58">
        <v>0.29992697487550468</v>
      </c>
      <c r="I126" s="58">
        <v>0</v>
      </c>
      <c r="J126" s="58">
        <v>0.29992697487550468</v>
      </c>
    </row>
    <row r="127" spans="1:10" ht="11.25" customHeight="1" x14ac:dyDescent="0.2">
      <c r="A127" s="67">
        <v>44075</v>
      </c>
      <c r="B127" s="57">
        <v>3717.82</v>
      </c>
      <c r="C127" s="57">
        <v>4832.8945057316487</v>
      </c>
      <c r="D127" s="57">
        <v>0</v>
      </c>
      <c r="E127" s="57">
        <v>0</v>
      </c>
      <c r="F127" s="57">
        <v>0</v>
      </c>
      <c r="G127" s="57">
        <v>0</v>
      </c>
      <c r="H127" s="58">
        <v>0.29992697487550468</v>
      </c>
      <c r="I127" s="58">
        <v>0</v>
      </c>
      <c r="J127" s="58">
        <v>0.29992697487550468</v>
      </c>
    </row>
    <row r="128" spans="1:10" ht="11.25" customHeight="1" x14ac:dyDescent="0.2">
      <c r="A128" s="66" t="s">
        <v>35</v>
      </c>
      <c r="B128" s="57">
        <v>0</v>
      </c>
      <c r="C128" s="57">
        <v>0</v>
      </c>
      <c r="D128" s="57">
        <v>67046.867639999997</v>
      </c>
      <c r="E128" s="57">
        <v>78090.410534853349</v>
      </c>
      <c r="F128" s="57">
        <v>44998.339320000014</v>
      </c>
      <c r="G128" s="57">
        <v>39237.306253395109</v>
      </c>
      <c r="H128" s="58">
        <v>0.16471377834010559</v>
      </c>
      <c r="I128" s="58">
        <v>-0.12802768176923252</v>
      </c>
      <c r="J128" s="58">
        <v>4.7146236519820972E-2</v>
      </c>
    </row>
    <row r="129" spans="1:10" ht="11.25" customHeight="1" x14ac:dyDescent="0.2">
      <c r="A129" s="67">
        <v>43739</v>
      </c>
      <c r="B129" s="57">
        <v>0</v>
      </c>
      <c r="C129" s="57">
        <v>0</v>
      </c>
      <c r="D129" s="57">
        <v>6609.9290400000009</v>
      </c>
      <c r="E129" s="57">
        <v>7698.6754267383858</v>
      </c>
      <c r="F129" s="57">
        <v>4436.2375200000006</v>
      </c>
      <c r="G129" s="57">
        <v>3868.2763145367117</v>
      </c>
      <c r="H129" s="58">
        <v>0.16471377834010537</v>
      </c>
      <c r="I129" s="58">
        <v>-0.1280276817692324</v>
      </c>
      <c r="J129" s="58">
        <v>4.714623651982075E-2</v>
      </c>
    </row>
    <row r="130" spans="1:10" ht="11.25" customHeight="1" x14ac:dyDescent="0.2">
      <c r="A130" s="67">
        <v>43770</v>
      </c>
      <c r="B130" s="57">
        <v>0</v>
      </c>
      <c r="C130" s="57">
        <v>0</v>
      </c>
      <c r="D130" s="57">
        <v>7709.0159199999998</v>
      </c>
      <c r="E130" s="57">
        <v>8978.7970594672224</v>
      </c>
      <c r="F130" s="57">
        <v>5173.8869599999998</v>
      </c>
      <c r="G130" s="57">
        <v>4511.4862067751392</v>
      </c>
      <c r="H130" s="58">
        <v>0.16471377834010537</v>
      </c>
      <c r="I130" s="58">
        <v>-0.12802768176923229</v>
      </c>
      <c r="J130" s="58">
        <v>4.714623651982075E-2</v>
      </c>
    </row>
    <row r="131" spans="1:10" ht="11.25" customHeight="1" x14ac:dyDescent="0.2">
      <c r="A131" s="67">
        <v>43800</v>
      </c>
      <c r="B131" s="57">
        <v>0</v>
      </c>
      <c r="C131" s="57">
        <v>0</v>
      </c>
      <c r="D131" s="57">
        <v>7043.2722899999999</v>
      </c>
      <c r="E131" s="57">
        <v>8203.3962807640673</v>
      </c>
      <c r="F131" s="57">
        <v>4727.0747700000002</v>
      </c>
      <c r="G131" s="57">
        <v>4121.8783456470728</v>
      </c>
      <c r="H131" s="58">
        <v>0.16471377834010559</v>
      </c>
      <c r="I131" s="58">
        <v>-0.1280276817692324</v>
      </c>
      <c r="J131" s="58">
        <v>4.7146236519821194E-2</v>
      </c>
    </row>
    <row r="132" spans="1:10" ht="11.25" customHeight="1" x14ac:dyDescent="0.2">
      <c r="A132" s="67">
        <v>43831</v>
      </c>
      <c r="B132" s="57">
        <v>0</v>
      </c>
      <c r="C132" s="57">
        <v>0</v>
      </c>
      <c r="D132" s="57">
        <v>6563.0637700000007</v>
      </c>
      <c r="E132" s="57">
        <v>7644.090801043757</v>
      </c>
      <c r="F132" s="57">
        <v>4404.7840100000003</v>
      </c>
      <c r="G132" s="57">
        <v>3840.8497245055173</v>
      </c>
      <c r="H132" s="58">
        <v>0.16471377834010537</v>
      </c>
      <c r="I132" s="58">
        <v>-0.12802768176923229</v>
      </c>
      <c r="J132" s="58">
        <v>4.7146236519821194E-2</v>
      </c>
    </row>
    <row r="133" spans="1:10" ht="11.25" customHeight="1" x14ac:dyDescent="0.2">
      <c r="A133" s="67">
        <v>43862</v>
      </c>
      <c r="B133" s="57">
        <v>0</v>
      </c>
      <c r="C133" s="57">
        <v>0</v>
      </c>
      <c r="D133" s="57">
        <v>8480.6879000000008</v>
      </c>
      <c r="E133" s="57">
        <v>9877.5740469322154</v>
      </c>
      <c r="F133" s="57">
        <v>5691.7927000000009</v>
      </c>
      <c r="G133" s="57">
        <v>4963.0856755079612</v>
      </c>
      <c r="H133" s="58">
        <v>0.16471377834010537</v>
      </c>
      <c r="I133" s="58">
        <v>-0.12802768176923229</v>
      </c>
      <c r="J133" s="58">
        <v>4.7146236519820972E-2</v>
      </c>
    </row>
    <row r="134" spans="1:10" ht="11.25" customHeight="1" x14ac:dyDescent="0.2">
      <c r="A134" s="67">
        <v>43891</v>
      </c>
      <c r="B134" s="57">
        <v>0</v>
      </c>
      <c r="C134" s="57">
        <v>0</v>
      </c>
      <c r="D134" s="57">
        <v>7037.4943800000001</v>
      </c>
      <c r="E134" s="57">
        <v>8196.6666693770567</v>
      </c>
      <c r="F134" s="57">
        <v>4723.1969399999998</v>
      </c>
      <c r="G134" s="57">
        <v>4118.4969852322683</v>
      </c>
      <c r="H134" s="58">
        <v>0.16471377834010537</v>
      </c>
      <c r="I134" s="58">
        <v>-0.12802768176923229</v>
      </c>
      <c r="J134" s="58">
        <v>4.7146236519820972E-2</v>
      </c>
    </row>
    <row r="135" spans="1:10" ht="11.25" customHeight="1" x14ac:dyDescent="0.2">
      <c r="A135" s="67">
        <v>43922</v>
      </c>
      <c r="B135" s="57">
        <v>0</v>
      </c>
      <c r="C135" s="57">
        <v>0</v>
      </c>
      <c r="D135" s="57">
        <v>1845.0792600000002</v>
      </c>
      <c r="E135" s="57">
        <v>2148.9892362515657</v>
      </c>
      <c r="F135" s="57">
        <v>1238.3203800000001</v>
      </c>
      <c r="G135" s="57">
        <v>1079.7810924610053</v>
      </c>
      <c r="H135" s="58">
        <v>0.16471377834010537</v>
      </c>
      <c r="I135" s="58">
        <v>-0.12802768176923229</v>
      </c>
      <c r="J135" s="58">
        <v>4.714623651982075E-2</v>
      </c>
    </row>
    <row r="136" spans="1:10" ht="11.25" customHeight="1" x14ac:dyDescent="0.2">
      <c r="A136" s="67">
        <v>43952</v>
      </c>
      <c r="B136" s="57">
        <v>0</v>
      </c>
      <c r="C136" s="57">
        <v>0</v>
      </c>
      <c r="D136" s="57">
        <v>1526.0102299999999</v>
      </c>
      <c r="E136" s="57">
        <v>1777.3651407689531</v>
      </c>
      <c r="F136" s="57">
        <v>1024.1779899999999</v>
      </c>
      <c r="G136" s="57">
        <v>893.05485622122796</v>
      </c>
      <c r="H136" s="58">
        <v>0.16471377834010537</v>
      </c>
      <c r="I136" s="58">
        <v>-0.12802768176923229</v>
      </c>
      <c r="J136" s="58">
        <v>4.7146236519820972E-2</v>
      </c>
    </row>
    <row r="137" spans="1:10" ht="11.25" customHeight="1" x14ac:dyDescent="0.2">
      <c r="A137" s="67">
        <v>43983</v>
      </c>
      <c r="B137" s="57">
        <v>0</v>
      </c>
      <c r="C137" s="57">
        <v>0</v>
      </c>
      <c r="D137" s="57">
        <v>3543.1428100000003</v>
      </c>
      <c r="E137" s="57">
        <v>4126.747249433678</v>
      </c>
      <c r="F137" s="57">
        <v>2377.9715300000003</v>
      </c>
      <c r="G137" s="57">
        <v>2073.5253477008655</v>
      </c>
      <c r="H137" s="58">
        <v>0.16471377834010537</v>
      </c>
      <c r="I137" s="58">
        <v>-0.1280276817692324</v>
      </c>
      <c r="J137" s="58">
        <v>4.7146236519820972E-2</v>
      </c>
    </row>
    <row r="138" spans="1:10" ht="11.25" customHeight="1" x14ac:dyDescent="0.2">
      <c r="A138" s="67">
        <v>44013</v>
      </c>
      <c r="B138" s="57">
        <v>0</v>
      </c>
      <c r="C138" s="57">
        <v>0</v>
      </c>
      <c r="D138" s="57">
        <v>4722.4784399999999</v>
      </c>
      <c r="E138" s="57">
        <v>5500.3357069820868</v>
      </c>
      <c r="F138" s="57">
        <v>3169.4797199999998</v>
      </c>
      <c r="G138" s="57">
        <v>2763.6985790338044</v>
      </c>
      <c r="H138" s="58">
        <v>0.16471377834010537</v>
      </c>
      <c r="I138" s="58">
        <v>-0.12802768176923229</v>
      </c>
      <c r="J138" s="58">
        <v>4.7146236519820972E-2</v>
      </c>
    </row>
    <row r="139" spans="1:10" ht="11.25" customHeight="1" x14ac:dyDescent="0.2">
      <c r="A139" s="67">
        <v>44044</v>
      </c>
      <c r="B139" s="57">
        <v>0</v>
      </c>
      <c r="C139" s="57">
        <v>0</v>
      </c>
      <c r="D139" s="57">
        <v>5983.3468000000003</v>
      </c>
      <c r="E139" s="57">
        <v>6968.8864585471792</v>
      </c>
      <c r="F139" s="57">
        <v>4015.7084</v>
      </c>
      <c r="G139" s="57">
        <v>3501.5865628867673</v>
      </c>
      <c r="H139" s="58">
        <v>0.16471377834010537</v>
      </c>
      <c r="I139" s="58">
        <v>-0.12802768176923218</v>
      </c>
      <c r="J139" s="58">
        <v>4.7146236519820972E-2</v>
      </c>
    </row>
    <row r="140" spans="1:10" ht="11.25" customHeight="1" x14ac:dyDescent="0.2">
      <c r="A140" s="67">
        <v>44075</v>
      </c>
      <c r="B140" s="57">
        <v>0</v>
      </c>
      <c r="C140" s="57">
        <v>0</v>
      </c>
      <c r="D140" s="57">
        <v>5983.3468000000003</v>
      </c>
      <c r="E140" s="57">
        <v>6968.8864585471792</v>
      </c>
      <c r="F140" s="57">
        <v>4015.7084</v>
      </c>
      <c r="G140" s="57">
        <v>3501.5865628867673</v>
      </c>
      <c r="H140" s="58">
        <v>0.16471377834010537</v>
      </c>
      <c r="I140" s="58">
        <v>-0.12802768176923218</v>
      </c>
      <c r="J140" s="58">
        <v>4.7146236519820972E-2</v>
      </c>
    </row>
    <row r="141" spans="1:10" ht="11.25" customHeight="1" x14ac:dyDescent="0.2">
      <c r="A141" s="62" t="s">
        <v>52</v>
      </c>
      <c r="B141" s="57">
        <v>95957.638999999981</v>
      </c>
      <c r="C141" s="57">
        <v>124737.92338146572</v>
      </c>
      <c r="D141" s="57">
        <v>702231.86712800013</v>
      </c>
      <c r="E141" s="57">
        <v>767311.7316677894</v>
      </c>
      <c r="F141" s="57">
        <v>1403266.3144456004</v>
      </c>
      <c r="G141" s="57">
        <v>1257615.0393101075</v>
      </c>
      <c r="H141" s="58">
        <v>0.11759130908218607</v>
      </c>
      <c r="I141" s="58">
        <v>-0.10379446412710092</v>
      </c>
      <c r="J141" s="58">
        <v>-2.3525853087864146E-2</v>
      </c>
    </row>
    <row r="142" spans="1:10" ht="11.25" customHeight="1" x14ac:dyDescent="0.2">
      <c r="A142" s="63" t="s">
        <v>53</v>
      </c>
      <c r="B142" s="57">
        <v>95957.638999999981</v>
      </c>
      <c r="C142" s="57">
        <v>124737.92338146572</v>
      </c>
      <c r="D142" s="57">
        <v>702231.86712800013</v>
      </c>
      <c r="E142" s="57">
        <v>767311.7316677894</v>
      </c>
      <c r="F142" s="57">
        <v>1403266.3144456004</v>
      </c>
      <c r="G142" s="57">
        <v>1257615.0393101075</v>
      </c>
      <c r="H142" s="58">
        <v>0.11759130908218607</v>
      </c>
      <c r="I142" s="58">
        <v>-0.10379446412710092</v>
      </c>
      <c r="J142" s="58">
        <v>-2.3525853087864146E-2</v>
      </c>
    </row>
    <row r="143" spans="1:10" ht="11.25" customHeight="1" x14ac:dyDescent="0.2">
      <c r="A143" s="64" t="s">
        <v>25</v>
      </c>
      <c r="B143" s="57">
        <v>95957.638999999981</v>
      </c>
      <c r="C143" s="57">
        <v>124737.92338146572</v>
      </c>
      <c r="D143" s="57">
        <v>702231.86712800013</v>
      </c>
      <c r="E143" s="57">
        <v>767311.7316677894</v>
      </c>
      <c r="F143" s="57">
        <v>1403266.3144456004</v>
      </c>
      <c r="G143" s="57">
        <v>1257615.0393101075</v>
      </c>
      <c r="H143" s="58">
        <v>0.11759130908218607</v>
      </c>
      <c r="I143" s="58">
        <v>-0.10379446412710092</v>
      </c>
      <c r="J143" s="58">
        <v>-2.3525853087864146E-2</v>
      </c>
    </row>
    <row r="144" spans="1:10" ht="11.25" customHeight="1" x14ac:dyDescent="0.2">
      <c r="A144" s="65" t="s">
        <v>25</v>
      </c>
      <c r="B144" s="57">
        <v>95957.638999999981</v>
      </c>
      <c r="C144" s="57">
        <v>124737.92338146572</v>
      </c>
      <c r="D144" s="57">
        <v>702231.86712800013</v>
      </c>
      <c r="E144" s="57">
        <v>767311.7316677894</v>
      </c>
      <c r="F144" s="57">
        <v>1403266.3144456004</v>
      </c>
      <c r="G144" s="57">
        <v>1257615.0393101075</v>
      </c>
      <c r="H144" s="58">
        <v>0.11759130908218607</v>
      </c>
      <c r="I144" s="58">
        <v>-0.10379446412710092</v>
      </c>
      <c r="J144" s="58">
        <v>-2.3525853087864146E-2</v>
      </c>
    </row>
    <row r="145" spans="1:10" ht="11.25" customHeight="1" x14ac:dyDescent="0.2">
      <c r="A145" s="66" t="s">
        <v>36</v>
      </c>
      <c r="B145" s="57">
        <v>0</v>
      </c>
      <c r="C145" s="57">
        <v>0</v>
      </c>
      <c r="D145" s="57">
        <v>394110.30740400008</v>
      </c>
      <c r="E145" s="57">
        <v>408438.30565360299</v>
      </c>
      <c r="F145" s="57">
        <v>1196471.2920335999</v>
      </c>
      <c r="G145" s="57">
        <v>1077295.5042189325</v>
      </c>
      <c r="H145" s="58">
        <v>3.6355299469281288E-2</v>
      </c>
      <c r="I145" s="58">
        <v>-9.9606057084837052E-2</v>
      </c>
      <c r="J145" s="58">
        <v>-6.5917894185458126E-2</v>
      </c>
    </row>
    <row r="146" spans="1:10" ht="11.25" customHeight="1" x14ac:dyDescent="0.2">
      <c r="A146" s="67">
        <v>43739</v>
      </c>
      <c r="B146" s="57">
        <v>0</v>
      </c>
      <c r="C146" s="57">
        <v>0</v>
      </c>
      <c r="D146" s="57">
        <v>34671.312324000006</v>
      </c>
      <c r="E146" s="57">
        <v>35931.798266532009</v>
      </c>
      <c r="F146" s="57">
        <v>105257.91656160001</v>
      </c>
      <c r="G146" s="57">
        <v>94773.590515934266</v>
      </c>
      <c r="H146" s="58">
        <v>3.6355299469281288E-2</v>
      </c>
      <c r="I146" s="58">
        <v>-9.9606057084837052E-2</v>
      </c>
      <c r="J146" s="58">
        <v>-6.5917894185458237E-2</v>
      </c>
    </row>
    <row r="147" spans="1:10" ht="11.25" customHeight="1" x14ac:dyDescent="0.2">
      <c r="A147" s="67">
        <v>43770</v>
      </c>
      <c r="B147" s="57">
        <v>0</v>
      </c>
      <c r="C147" s="57">
        <v>0</v>
      </c>
      <c r="D147" s="57">
        <v>35167.074359999999</v>
      </c>
      <c r="E147" s="57">
        <v>36445.583879816288</v>
      </c>
      <c r="F147" s="57">
        <v>106762.99022399999</v>
      </c>
      <c r="G147" s="57">
        <v>96128.749725200352</v>
      </c>
      <c r="H147" s="58">
        <v>3.635529946928151E-2</v>
      </c>
      <c r="I147" s="58">
        <v>-9.9606057084837052E-2</v>
      </c>
      <c r="J147" s="58">
        <v>-6.5917894185458015E-2</v>
      </c>
    </row>
    <row r="148" spans="1:10" ht="11.25" customHeight="1" x14ac:dyDescent="0.2">
      <c r="A148" s="67">
        <v>43800</v>
      </c>
      <c r="B148" s="57">
        <v>0</v>
      </c>
      <c r="C148" s="57">
        <v>0</v>
      </c>
      <c r="D148" s="57">
        <v>34126.724676000005</v>
      </c>
      <c r="E148" s="57">
        <v>35367.411971501693</v>
      </c>
      <c r="F148" s="57">
        <v>103604.6142384</v>
      </c>
      <c r="G148" s="57">
        <v>93284.967118317407</v>
      </c>
      <c r="H148" s="58">
        <v>3.6355299469281288E-2</v>
      </c>
      <c r="I148" s="58">
        <v>-9.9606057084837052E-2</v>
      </c>
      <c r="J148" s="58">
        <v>-6.5917894185458237E-2</v>
      </c>
    </row>
    <row r="149" spans="1:10" ht="11.25" customHeight="1" x14ac:dyDescent="0.2">
      <c r="A149" s="67">
        <v>43831</v>
      </c>
      <c r="B149" s="57">
        <v>0</v>
      </c>
      <c r="C149" s="57">
        <v>0</v>
      </c>
      <c r="D149" s="57">
        <v>35559.537155999999</v>
      </c>
      <c r="E149" s="57">
        <v>36852.314778295418</v>
      </c>
      <c r="F149" s="57">
        <v>107954.45987039999</v>
      </c>
      <c r="G149" s="57">
        <v>97201.541777986175</v>
      </c>
      <c r="H149" s="58">
        <v>3.635529946928151E-2</v>
      </c>
      <c r="I149" s="58">
        <v>-9.9606057084837163E-2</v>
      </c>
      <c r="J149" s="58">
        <v>-6.5917894185458237E-2</v>
      </c>
    </row>
    <row r="150" spans="1:10" ht="11.25" customHeight="1" x14ac:dyDescent="0.2">
      <c r="A150" s="67">
        <v>43862</v>
      </c>
      <c r="B150" s="57">
        <v>0</v>
      </c>
      <c r="C150" s="57">
        <v>0</v>
      </c>
      <c r="D150" s="57">
        <v>34891.213367999997</v>
      </c>
      <c r="E150" s="57">
        <v>36159.693878840233</v>
      </c>
      <c r="F150" s="57">
        <v>105925.50957119999</v>
      </c>
      <c r="G150" s="57">
        <v>95374.687218110601</v>
      </c>
      <c r="H150" s="58">
        <v>3.635529946928151E-2</v>
      </c>
      <c r="I150" s="58">
        <v>-9.9606057084836941E-2</v>
      </c>
      <c r="J150" s="58">
        <v>-6.5917894185458126E-2</v>
      </c>
    </row>
    <row r="151" spans="1:10" ht="11.25" customHeight="1" x14ac:dyDescent="0.2">
      <c r="A151" s="67">
        <v>43891</v>
      </c>
      <c r="B151" s="57">
        <v>0</v>
      </c>
      <c r="C151" s="57">
        <v>0</v>
      </c>
      <c r="D151" s="57">
        <v>29655.651168</v>
      </c>
      <c r="E151" s="57">
        <v>30733.791247169185</v>
      </c>
      <c r="F151" s="57">
        <v>90030.975091200002</v>
      </c>
      <c r="G151" s="57">
        <v>81063.344646862388</v>
      </c>
      <c r="H151" s="58">
        <v>3.635529946928151E-2</v>
      </c>
      <c r="I151" s="58">
        <v>-9.9606057084837052E-2</v>
      </c>
      <c r="J151" s="58">
        <v>-6.5917894185458237E-2</v>
      </c>
    </row>
    <row r="152" spans="1:10" ht="11.25" customHeight="1" x14ac:dyDescent="0.2">
      <c r="A152" s="67">
        <v>43922</v>
      </c>
      <c r="B152" s="57">
        <v>0</v>
      </c>
      <c r="C152" s="57">
        <v>0</v>
      </c>
      <c r="D152" s="57">
        <v>31509.166524</v>
      </c>
      <c r="E152" s="57">
        <v>32654.691709007475</v>
      </c>
      <c r="F152" s="57">
        <v>95658.023841599992</v>
      </c>
      <c r="G152" s="57">
        <v>86129.905258210885</v>
      </c>
      <c r="H152" s="58">
        <v>3.6355299469281288E-2</v>
      </c>
      <c r="I152" s="58">
        <v>-9.9606057084836941E-2</v>
      </c>
      <c r="J152" s="58">
        <v>-6.5917894185458126E-2</v>
      </c>
    </row>
    <row r="153" spans="1:10" ht="11.25" customHeight="1" x14ac:dyDescent="0.2">
      <c r="A153" s="67">
        <v>43952</v>
      </c>
      <c r="B153" s="57">
        <v>0</v>
      </c>
      <c r="C153" s="57">
        <v>0</v>
      </c>
      <c r="D153" s="57">
        <v>29258.209200000001</v>
      </c>
      <c r="E153" s="57">
        <v>30321.900157400883</v>
      </c>
      <c r="F153" s="57">
        <v>88824.389280000003</v>
      </c>
      <c r="G153" s="57">
        <v>79976.942090850542</v>
      </c>
      <c r="H153" s="58">
        <v>3.6355299469281288E-2</v>
      </c>
      <c r="I153" s="58">
        <v>-9.9606057084836941E-2</v>
      </c>
      <c r="J153" s="58">
        <v>-6.5917894185458015E-2</v>
      </c>
    </row>
    <row r="154" spans="1:10" ht="11.25" customHeight="1" x14ac:dyDescent="0.2">
      <c r="A154" s="67">
        <v>43983</v>
      </c>
      <c r="B154" s="57">
        <v>0</v>
      </c>
      <c r="C154" s="57">
        <v>0</v>
      </c>
      <c r="D154" s="57">
        <v>32321.960616</v>
      </c>
      <c r="E154" s="57">
        <v>33497.035173628996</v>
      </c>
      <c r="F154" s="57">
        <v>98125.568534399994</v>
      </c>
      <c r="G154" s="57">
        <v>88351.667553480453</v>
      </c>
      <c r="H154" s="58">
        <v>3.6355299469281288E-2</v>
      </c>
      <c r="I154" s="58">
        <v>-9.9606057084837052E-2</v>
      </c>
      <c r="J154" s="58">
        <v>-6.5917894185458126E-2</v>
      </c>
    </row>
    <row r="155" spans="1:10" ht="11.25" customHeight="1" x14ac:dyDescent="0.2">
      <c r="A155" s="67">
        <v>44013</v>
      </c>
      <c r="B155" s="57">
        <v>0</v>
      </c>
      <c r="C155" s="57">
        <v>0</v>
      </c>
      <c r="D155" s="57">
        <v>32677.711308000002</v>
      </c>
      <c r="E155" s="57">
        <v>33865.719288573062</v>
      </c>
      <c r="F155" s="57">
        <v>99205.584667200004</v>
      </c>
      <c r="G155" s="57">
        <v>89324.107537704243</v>
      </c>
      <c r="H155" s="58">
        <v>3.6355299469281288E-2</v>
      </c>
      <c r="I155" s="58">
        <v>-9.9606057084837052E-2</v>
      </c>
      <c r="J155" s="58">
        <v>-6.5917894185458237E-2</v>
      </c>
    </row>
    <row r="156" spans="1:10" ht="11.25" customHeight="1" x14ac:dyDescent="0.2">
      <c r="A156" s="67">
        <v>44044</v>
      </c>
      <c r="B156" s="57">
        <v>0</v>
      </c>
      <c r="C156" s="57">
        <v>0</v>
      </c>
      <c r="D156" s="57">
        <v>32135.873352000002</v>
      </c>
      <c r="E156" s="57">
        <v>33304.182651418858</v>
      </c>
      <c r="F156" s="57">
        <v>97560.630076799993</v>
      </c>
      <c r="G156" s="57">
        <v>87843.000388137589</v>
      </c>
      <c r="H156" s="58">
        <v>3.6355299469281288E-2</v>
      </c>
      <c r="I156" s="58">
        <v>-9.9606057084836941E-2</v>
      </c>
      <c r="J156" s="58">
        <v>-6.5917894185458237E-2</v>
      </c>
    </row>
    <row r="157" spans="1:10" ht="11.25" customHeight="1" x14ac:dyDescent="0.2">
      <c r="A157" s="67">
        <v>44075</v>
      </c>
      <c r="B157" s="57">
        <v>0</v>
      </c>
      <c r="C157" s="57">
        <v>0</v>
      </c>
      <c r="D157" s="57">
        <v>32135.873352000002</v>
      </c>
      <c r="E157" s="57">
        <v>33304.182651418858</v>
      </c>
      <c r="F157" s="57">
        <v>97560.630076799993</v>
      </c>
      <c r="G157" s="57">
        <v>87843.000388137589</v>
      </c>
      <c r="H157" s="58">
        <v>3.6355299469281288E-2</v>
      </c>
      <c r="I157" s="58">
        <v>-9.9606057084836941E-2</v>
      </c>
      <c r="J157" s="58">
        <v>-6.5917894185458237E-2</v>
      </c>
    </row>
    <row r="158" spans="1:10" ht="11.25" customHeight="1" x14ac:dyDescent="0.2">
      <c r="A158" s="66" t="s">
        <v>25</v>
      </c>
      <c r="B158" s="57">
        <v>95957.638999999981</v>
      </c>
      <c r="C158" s="57">
        <v>124737.92338146572</v>
      </c>
      <c r="D158" s="57">
        <v>0</v>
      </c>
      <c r="E158" s="57">
        <v>0</v>
      </c>
      <c r="F158" s="57">
        <v>0</v>
      </c>
      <c r="G158" s="57">
        <v>0</v>
      </c>
      <c r="H158" s="58">
        <v>0.29992697487550468</v>
      </c>
      <c r="I158" s="58">
        <v>0</v>
      </c>
      <c r="J158" s="58">
        <v>0.29992697487550468</v>
      </c>
    </row>
    <row r="159" spans="1:10" ht="11.25" customHeight="1" x14ac:dyDescent="0.2">
      <c r="A159" s="67">
        <v>43739</v>
      </c>
      <c r="B159" s="57">
        <v>8462.005000000001</v>
      </c>
      <c r="C159" s="57">
        <v>10999.988561031394</v>
      </c>
      <c r="D159" s="57">
        <v>0</v>
      </c>
      <c r="E159" s="57">
        <v>0</v>
      </c>
      <c r="F159" s="57">
        <v>0</v>
      </c>
      <c r="G159" s="57">
        <v>0</v>
      </c>
      <c r="H159" s="58">
        <v>0.29992697487550446</v>
      </c>
      <c r="I159" s="58">
        <v>0</v>
      </c>
      <c r="J159" s="58">
        <v>0.29992697487550446</v>
      </c>
    </row>
    <row r="160" spans="1:10" ht="11.25" customHeight="1" x14ac:dyDescent="0.2">
      <c r="A160" s="67">
        <v>43770</v>
      </c>
      <c r="B160" s="57">
        <v>8746.5679999999993</v>
      </c>
      <c r="C160" s="57">
        <v>11369.899680782892</v>
      </c>
      <c r="D160" s="57">
        <v>0</v>
      </c>
      <c r="E160" s="57">
        <v>0</v>
      </c>
      <c r="F160" s="57">
        <v>0</v>
      </c>
      <c r="G160" s="57">
        <v>0</v>
      </c>
      <c r="H160" s="58">
        <v>0.29992697487550468</v>
      </c>
      <c r="I160" s="58">
        <v>0</v>
      </c>
      <c r="J160" s="58">
        <v>0.29992697487550468</v>
      </c>
    </row>
    <row r="161" spans="1:10" ht="11.25" customHeight="1" x14ac:dyDescent="0.2">
      <c r="A161" s="67">
        <v>43800</v>
      </c>
      <c r="B161" s="57">
        <v>8117.5340000000006</v>
      </c>
      <c r="C161" s="57">
        <v>10552.201416069054</v>
      </c>
      <c r="D161" s="57">
        <v>0</v>
      </c>
      <c r="E161" s="57">
        <v>0</v>
      </c>
      <c r="F161" s="57">
        <v>0</v>
      </c>
      <c r="G161" s="57">
        <v>0</v>
      </c>
      <c r="H161" s="58">
        <v>0.29992697487550446</v>
      </c>
      <c r="I161" s="58">
        <v>0</v>
      </c>
      <c r="J161" s="58">
        <v>0.29992697487550446</v>
      </c>
    </row>
    <row r="162" spans="1:10" ht="11.25" customHeight="1" x14ac:dyDescent="0.2">
      <c r="A162" s="67">
        <v>43831</v>
      </c>
      <c r="B162" s="57">
        <v>8057.6260000000002</v>
      </c>
      <c r="C162" s="57">
        <v>10474.325390858212</v>
      </c>
      <c r="D162" s="57">
        <v>0</v>
      </c>
      <c r="E162" s="57">
        <v>0</v>
      </c>
      <c r="F162" s="57">
        <v>0</v>
      </c>
      <c r="G162" s="57">
        <v>0</v>
      </c>
      <c r="H162" s="58">
        <v>0.29992697487550446</v>
      </c>
      <c r="I162" s="58">
        <v>0</v>
      </c>
      <c r="J162" s="58">
        <v>0.29992697487550446</v>
      </c>
    </row>
    <row r="163" spans="1:10" ht="11.25" customHeight="1" x14ac:dyDescent="0.2">
      <c r="A163" s="67">
        <v>43862</v>
      </c>
      <c r="B163" s="57">
        <v>7967.7640000000001</v>
      </c>
      <c r="C163" s="57">
        <v>10357.511353041949</v>
      </c>
      <c r="D163" s="57">
        <v>0</v>
      </c>
      <c r="E163" s="57">
        <v>0</v>
      </c>
      <c r="F163" s="57">
        <v>0</v>
      </c>
      <c r="G163" s="57">
        <v>0</v>
      </c>
      <c r="H163" s="58">
        <v>0.29992697487550446</v>
      </c>
      <c r="I163" s="58">
        <v>0</v>
      </c>
      <c r="J163" s="58">
        <v>0.29992697487550446</v>
      </c>
    </row>
    <row r="164" spans="1:10" ht="11.25" customHeight="1" x14ac:dyDescent="0.2">
      <c r="A164" s="67">
        <v>43891</v>
      </c>
      <c r="B164" s="57">
        <v>6762.1154999999999</v>
      </c>
      <c r="C164" s="57">
        <v>8790.2563456737589</v>
      </c>
      <c r="D164" s="57">
        <v>0</v>
      </c>
      <c r="E164" s="57">
        <v>0</v>
      </c>
      <c r="F164" s="57">
        <v>0</v>
      </c>
      <c r="G164" s="57">
        <v>0</v>
      </c>
      <c r="H164" s="58">
        <v>0.29992697487550446</v>
      </c>
      <c r="I164" s="58">
        <v>0</v>
      </c>
      <c r="J164" s="58">
        <v>0.29992697487550446</v>
      </c>
    </row>
    <row r="165" spans="1:10" ht="11.25" customHeight="1" x14ac:dyDescent="0.2">
      <c r="A165" s="67">
        <v>43922</v>
      </c>
      <c r="B165" s="57">
        <v>7518.4540000000006</v>
      </c>
      <c r="C165" s="57">
        <v>9773.4411639606369</v>
      </c>
      <c r="D165" s="57">
        <v>0</v>
      </c>
      <c r="E165" s="57">
        <v>0</v>
      </c>
      <c r="F165" s="57">
        <v>0</v>
      </c>
      <c r="G165" s="57">
        <v>0</v>
      </c>
      <c r="H165" s="58">
        <v>0.29992697487550446</v>
      </c>
      <c r="I165" s="58">
        <v>0</v>
      </c>
      <c r="J165" s="58">
        <v>0.29992697487550446</v>
      </c>
    </row>
    <row r="166" spans="1:10" ht="11.25" customHeight="1" x14ac:dyDescent="0.2">
      <c r="A166" s="67">
        <v>43952</v>
      </c>
      <c r="B166" s="57">
        <v>5878.4725000000008</v>
      </c>
      <c r="C166" s="57">
        <v>7641.584973813844</v>
      </c>
      <c r="D166" s="57">
        <v>0</v>
      </c>
      <c r="E166" s="57">
        <v>0</v>
      </c>
      <c r="F166" s="57">
        <v>0</v>
      </c>
      <c r="G166" s="57">
        <v>0</v>
      </c>
      <c r="H166" s="58">
        <v>0.29992697487550424</v>
      </c>
      <c r="I166" s="58">
        <v>0</v>
      </c>
      <c r="J166" s="58">
        <v>0.29992697487550424</v>
      </c>
    </row>
    <row r="167" spans="1:10" ht="11.25" customHeight="1" x14ac:dyDescent="0.2">
      <c r="A167" s="67">
        <v>43983</v>
      </c>
      <c r="B167" s="57">
        <v>8611.7749999999996</v>
      </c>
      <c r="C167" s="57">
        <v>11194.678624058499</v>
      </c>
      <c r="D167" s="57">
        <v>0</v>
      </c>
      <c r="E167" s="57">
        <v>0</v>
      </c>
      <c r="F167" s="57">
        <v>0</v>
      </c>
      <c r="G167" s="57">
        <v>0</v>
      </c>
      <c r="H167" s="58">
        <v>0.29992697487550468</v>
      </c>
      <c r="I167" s="58">
        <v>0</v>
      </c>
      <c r="J167" s="58">
        <v>0.29992697487550468</v>
      </c>
    </row>
    <row r="168" spans="1:10" ht="11.25" customHeight="1" x14ac:dyDescent="0.2">
      <c r="A168" s="67">
        <v>44013</v>
      </c>
      <c r="B168" s="57">
        <v>8611.7749999999996</v>
      </c>
      <c r="C168" s="57">
        <v>11194.678624058499</v>
      </c>
      <c r="D168" s="57">
        <v>0</v>
      </c>
      <c r="E168" s="57">
        <v>0</v>
      </c>
      <c r="F168" s="57">
        <v>0</v>
      </c>
      <c r="G168" s="57">
        <v>0</v>
      </c>
      <c r="H168" s="58">
        <v>0.29992697487550468</v>
      </c>
      <c r="I168" s="58">
        <v>0</v>
      </c>
      <c r="J168" s="58">
        <v>0.29992697487550468</v>
      </c>
    </row>
    <row r="169" spans="1:10" ht="11.25" customHeight="1" x14ac:dyDescent="0.2">
      <c r="A169" s="67">
        <v>44044</v>
      </c>
      <c r="B169" s="57">
        <v>8611.7749999999996</v>
      </c>
      <c r="C169" s="57">
        <v>11194.678624058499</v>
      </c>
      <c r="D169" s="57">
        <v>0</v>
      </c>
      <c r="E169" s="57">
        <v>0</v>
      </c>
      <c r="F169" s="57">
        <v>0</v>
      </c>
      <c r="G169" s="57">
        <v>0</v>
      </c>
      <c r="H169" s="58">
        <v>0.29992697487550468</v>
      </c>
      <c r="I169" s="58">
        <v>0</v>
      </c>
      <c r="J169" s="58">
        <v>0.29992697487550468</v>
      </c>
    </row>
    <row r="170" spans="1:10" ht="11.25" customHeight="1" x14ac:dyDescent="0.2">
      <c r="A170" s="67">
        <v>44075</v>
      </c>
      <c r="B170" s="57">
        <v>8611.7749999999996</v>
      </c>
      <c r="C170" s="57">
        <v>11194.678624058499</v>
      </c>
      <c r="D170" s="57">
        <v>0</v>
      </c>
      <c r="E170" s="57">
        <v>0</v>
      </c>
      <c r="F170" s="57">
        <v>0</v>
      </c>
      <c r="G170" s="57">
        <v>0</v>
      </c>
      <c r="H170" s="58">
        <v>0.29992697487550468</v>
      </c>
      <c r="I170" s="58">
        <v>0</v>
      </c>
      <c r="J170" s="58">
        <v>0.29992697487550468</v>
      </c>
    </row>
    <row r="171" spans="1:10" ht="11.25" customHeight="1" x14ac:dyDescent="0.2">
      <c r="A171" s="66" t="s">
        <v>35</v>
      </c>
      <c r="B171" s="57">
        <v>0</v>
      </c>
      <c r="C171" s="57">
        <v>0</v>
      </c>
      <c r="D171" s="57">
        <v>308121.55972400005</v>
      </c>
      <c r="E171" s="57">
        <v>358873.42601418641</v>
      </c>
      <c r="F171" s="57">
        <v>206795.02241199999</v>
      </c>
      <c r="G171" s="57">
        <v>180319.5350911752</v>
      </c>
      <c r="H171" s="58">
        <v>0.16471377834010492</v>
      </c>
      <c r="I171" s="58">
        <v>-0.12802768176923229</v>
      </c>
      <c r="J171" s="58">
        <v>4.714623651982075E-2</v>
      </c>
    </row>
    <row r="172" spans="1:10" ht="11.25" customHeight="1" x14ac:dyDescent="0.2">
      <c r="A172" s="67">
        <v>43739</v>
      </c>
      <c r="B172" s="57">
        <v>0</v>
      </c>
      <c r="C172" s="57">
        <v>0</v>
      </c>
      <c r="D172" s="57">
        <v>26315.426896000001</v>
      </c>
      <c r="E172" s="57">
        <v>30649.940288672991</v>
      </c>
      <c r="F172" s="57">
        <v>17661.533648000001</v>
      </c>
      <c r="G172" s="57">
        <v>15400.368438557269</v>
      </c>
      <c r="H172" s="58">
        <v>0.16471377834010537</v>
      </c>
      <c r="I172" s="58">
        <v>-0.12802768176923229</v>
      </c>
      <c r="J172" s="58">
        <v>4.7146236519820972E-2</v>
      </c>
    </row>
    <row r="173" spans="1:10" ht="11.25" customHeight="1" x14ac:dyDescent="0.2">
      <c r="A173" s="67">
        <v>43770</v>
      </c>
      <c r="B173" s="57">
        <v>0</v>
      </c>
      <c r="C173" s="57">
        <v>0</v>
      </c>
      <c r="D173" s="57">
        <v>28585.965768799997</v>
      </c>
      <c r="E173" s="57">
        <v>33294.468198079958</v>
      </c>
      <c r="F173" s="57">
        <v>19185.400194399997</v>
      </c>
      <c r="G173" s="57">
        <v>16729.137883695988</v>
      </c>
      <c r="H173" s="58">
        <v>0.16471377834010537</v>
      </c>
      <c r="I173" s="58">
        <v>-0.12802768176923218</v>
      </c>
      <c r="J173" s="58">
        <v>4.7146236519820972E-2</v>
      </c>
    </row>
    <row r="174" spans="1:10" ht="11.25" customHeight="1" x14ac:dyDescent="0.2">
      <c r="A174" s="67">
        <v>43800</v>
      </c>
      <c r="B174" s="57">
        <v>0</v>
      </c>
      <c r="C174" s="57">
        <v>0</v>
      </c>
      <c r="D174" s="57">
        <v>25376.4780016</v>
      </c>
      <c r="E174" s="57">
        <v>29556.3335742081</v>
      </c>
      <c r="F174" s="57">
        <v>17031.3604208</v>
      </c>
      <c r="G174" s="57">
        <v>14850.87482874872</v>
      </c>
      <c r="H174" s="58">
        <v>0.16471377834010514</v>
      </c>
      <c r="I174" s="58">
        <v>-0.12802768176923229</v>
      </c>
      <c r="J174" s="58">
        <v>4.7146236519820972E-2</v>
      </c>
    </row>
    <row r="175" spans="1:10" ht="11.25" customHeight="1" x14ac:dyDescent="0.2">
      <c r="A175" s="67">
        <v>43831</v>
      </c>
      <c r="B175" s="57">
        <v>0</v>
      </c>
      <c r="C175" s="57">
        <v>0</v>
      </c>
      <c r="D175" s="57">
        <v>26517.114474399998</v>
      </c>
      <c r="E175" s="57">
        <v>30884.848590155518</v>
      </c>
      <c r="F175" s="57">
        <v>17796.8957672</v>
      </c>
      <c r="G175" s="57">
        <v>15518.40045943672</v>
      </c>
      <c r="H175" s="58">
        <v>0.16471377834010537</v>
      </c>
      <c r="I175" s="58">
        <v>-0.1280276817692324</v>
      </c>
      <c r="J175" s="58">
        <v>4.7146236519820972E-2</v>
      </c>
    </row>
    <row r="176" spans="1:10" ht="11.25" customHeight="1" x14ac:dyDescent="0.2">
      <c r="A176" s="67">
        <v>43862</v>
      </c>
      <c r="B176" s="57">
        <v>0</v>
      </c>
      <c r="C176" s="57">
        <v>0</v>
      </c>
      <c r="D176" s="57">
        <v>29085.947580800002</v>
      </c>
      <c r="E176" s="57">
        <v>33876.803903435815</v>
      </c>
      <c r="F176" s="57">
        <v>19520.961750400002</v>
      </c>
      <c r="G176" s="57">
        <v>17021.738271590435</v>
      </c>
      <c r="H176" s="58">
        <v>0.16471377834010537</v>
      </c>
      <c r="I176" s="58">
        <v>-0.12802768176923229</v>
      </c>
      <c r="J176" s="58">
        <v>4.714623651982075E-2</v>
      </c>
    </row>
    <row r="177" spans="1:10" ht="11.25" customHeight="1" x14ac:dyDescent="0.2">
      <c r="A177" s="67">
        <v>43891</v>
      </c>
      <c r="B177" s="57">
        <v>0</v>
      </c>
      <c r="C177" s="57">
        <v>0</v>
      </c>
      <c r="D177" s="57">
        <v>21965.867607200002</v>
      </c>
      <c r="E177" s="57">
        <v>25583.948655300443</v>
      </c>
      <c r="F177" s="57">
        <v>14742.3376936</v>
      </c>
      <c r="G177" s="57">
        <v>12854.910374829222</v>
      </c>
      <c r="H177" s="58">
        <v>0.16471377834010537</v>
      </c>
      <c r="I177" s="58">
        <v>-0.12802768176923229</v>
      </c>
      <c r="J177" s="58">
        <v>4.7146236519820972E-2</v>
      </c>
    </row>
    <row r="178" spans="1:10" ht="11.25" customHeight="1" x14ac:dyDescent="0.2">
      <c r="A178" s="67">
        <v>43922</v>
      </c>
      <c r="B178" s="57">
        <v>0</v>
      </c>
      <c r="C178" s="57">
        <v>0</v>
      </c>
      <c r="D178" s="57">
        <v>21988.465655200001</v>
      </c>
      <c r="E178" s="57">
        <v>25610.268913169635</v>
      </c>
      <c r="F178" s="57">
        <v>14757.504317600002</v>
      </c>
      <c r="G178" s="57">
        <v>12868.135251118238</v>
      </c>
      <c r="H178" s="58">
        <v>0.16471377834010537</v>
      </c>
      <c r="I178" s="58">
        <v>-0.12802768176923229</v>
      </c>
      <c r="J178" s="58">
        <v>4.7146236519820972E-2</v>
      </c>
    </row>
    <row r="179" spans="1:10" ht="11.25" customHeight="1" x14ac:dyDescent="0.2">
      <c r="A179" s="67">
        <v>43952</v>
      </c>
      <c r="B179" s="57">
        <v>0</v>
      </c>
      <c r="C179" s="57">
        <v>0</v>
      </c>
      <c r="D179" s="57">
        <v>24609.274271999999</v>
      </c>
      <c r="E179" s="57">
        <v>28662.760819549065</v>
      </c>
      <c r="F179" s="57">
        <v>16516.453536000001</v>
      </c>
      <c r="G179" s="57">
        <v>14401.890278736681</v>
      </c>
      <c r="H179" s="58">
        <v>0.16471377834010537</v>
      </c>
      <c r="I179" s="58">
        <v>-0.12802768176923229</v>
      </c>
      <c r="J179" s="58">
        <v>4.7146236519820972E-2</v>
      </c>
    </row>
    <row r="180" spans="1:10" ht="11.25" customHeight="1" x14ac:dyDescent="0.2">
      <c r="A180" s="67">
        <v>43983</v>
      </c>
      <c r="B180" s="57">
        <v>0</v>
      </c>
      <c r="C180" s="57">
        <v>0</v>
      </c>
      <c r="D180" s="57">
        <v>23825.686957599999</v>
      </c>
      <c r="E180" s="57">
        <v>27750.105877934868</v>
      </c>
      <c r="F180" s="57">
        <v>15990.5508488</v>
      </c>
      <c r="G180" s="57">
        <v>13943.317693415107</v>
      </c>
      <c r="H180" s="58">
        <v>0.16471377834010559</v>
      </c>
      <c r="I180" s="58">
        <v>-0.12802768176923218</v>
      </c>
      <c r="J180" s="58">
        <v>4.7146236519820972E-2</v>
      </c>
    </row>
    <row r="181" spans="1:10" ht="11.25" customHeight="1" x14ac:dyDescent="0.2">
      <c r="A181" s="67">
        <v>44013</v>
      </c>
      <c r="B181" s="57">
        <v>0</v>
      </c>
      <c r="C181" s="57">
        <v>0</v>
      </c>
      <c r="D181" s="57">
        <v>25237.500006400001</v>
      </c>
      <c r="E181" s="57">
        <v>29394.463988312578</v>
      </c>
      <c r="F181" s="57">
        <v>16938.085683199999</v>
      </c>
      <c r="G181" s="57">
        <v>14769.541839571282</v>
      </c>
      <c r="H181" s="58">
        <v>0.16471377834010537</v>
      </c>
      <c r="I181" s="58">
        <v>-0.12802768176923218</v>
      </c>
      <c r="J181" s="58">
        <v>4.7146236519820972E-2</v>
      </c>
    </row>
    <row r="182" spans="1:10" ht="11.25" customHeight="1" x14ac:dyDescent="0.2">
      <c r="A182" s="67">
        <v>44044</v>
      </c>
      <c r="B182" s="57">
        <v>0</v>
      </c>
      <c r="C182" s="57">
        <v>0</v>
      </c>
      <c r="D182" s="57">
        <v>27306.916252000003</v>
      </c>
      <c r="E182" s="57">
        <v>31804.741602683753</v>
      </c>
      <c r="F182" s="57">
        <v>18326.969276000003</v>
      </c>
      <c r="G182" s="57">
        <v>15980.609885737776</v>
      </c>
      <c r="H182" s="58">
        <v>0.16471377834010537</v>
      </c>
      <c r="I182" s="58">
        <v>-0.12802768176923229</v>
      </c>
      <c r="J182" s="58">
        <v>4.7146236519820972E-2</v>
      </c>
    </row>
    <row r="183" spans="1:10" ht="11.25" customHeight="1" x14ac:dyDescent="0.2">
      <c r="A183" s="67">
        <v>44075</v>
      </c>
      <c r="B183" s="57">
        <v>0</v>
      </c>
      <c r="C183" s="57">
        <v>0</v>
      </c>
      <c r="D183" s="57">
        <v>27306.916252000003</v>
      </c>
      <c r="E183" s="57">
        <v>31804.741602683753</v>
      </c>
      <c r="F183" s="57">
        <v>18326.969276000003</v>
      </c>
      <c r="G183" s="57">
        <v>15980.609885737776</v>
      </c>
      <c r="H183" s="58">
        <v>0.16471377834010537</v>
      </c>
      <c r="I183" s="58">
        <v>-0.12802768176923229</v>
      </c>
      <c r="J183" s="58">
        <v>4.7146236519820972E-2</v>
      </c>
    </row>
    <row r="184" spans="1:10" ht="11.25" customHeight="1" x14ac:dyDescent="0.2">
      <c r="A184" s="60" t="s">
        <v>33</v>
      </c>
      <c r="B184" s="57">
        <v>59983109.332300007</v>
      </c>
      <c r="C184" s="57">
        <v>75302129.742242664</v>
      </c>
      <c r="D184" s="57">
        <v>101691672.21075276</v>
      </c>
      <c r="E184" s="57">
        <v>108970104.36050467</v>
      </c>
      <c r="F184" s="57">
        <v>249616626.23824438</v>
      </c>
      <c r="G184" s="57">
        <v>223738736.16691825</v>
      </c>
      <c r="H184" s="58">
        <v>0.13977104124725193</v>
      </c>
      <c r="I184" s="58">
        <v>-0.10367053854268116</v>
      </c>
      <c r="J184" s="58">
        <v>-7.9759446698088876E-3</v>
      </c>
    </row>
    <row r="185" spans="1:10" ht="11.25" customHeight="1" x14ac:dyDescent="0.2">
      <c r="A185" s="61" t="s">
        <v>41</v>
      </c>
      <c r="B185" s="57">
        <v>34004608.52920001</v>
      </c>
      <c r="C185" s="57">
        <v>41531975.781468034</v>
      </c>
      <c r="D185" s="57">
        <v>34496064.477606006</v>
      </c>
      <c r="E185" s="57">
        <v>35750179.232200988</v>
      </c>
      <c r="F185" s="57">
        <v>111598564.76029116</v>
      </c>
      <c r="G185" s="57">
        <v>100000334.60660194</v>
      </c>
      <c r="H185" s="58">
        <v>0.12819555810773609</v>
      </c>
      <c r="I185" s="58">
        <v>-0.10392813006692059</v>
      </c>
      <c r="J185" s="58">
        <v>-1.5639978168418445E-2</v>
      </c>
    </row>
    <row r="186" spans="1:10" ht="11.25" customHeight="1" x14ac:dyDescent="0.2">
      <c r="A186" s="62" t="s">
        <v>42</v>
      </c>
      <c r="B186" s="57">
        <v>15888779.559999999</v>
      </c>
      <c r="C186" s="57">
        <v>19381866.33789786</v>
      </c>
      <c r="D186" s="57">
        <v>16491734.982299995</v>
      </c>
      <c r="E186" s="57">
        <v>17091296.946349539</v>
      </c>
      <c r="F186" s="57">
        <v>53180414.214099981</v>
      </c>
      <c r="G186" s="57">
        <v>47664811.840564735</v>
      </c>
      <c r="H186" s="58">
        <v>0.12639233192545496</v>
      </c>
      <c r="I186" s="58">
        <v>-0.10371491939363064</v>
      </c>
      <c r="J186" s="58">
        <v>-1.6630881084041871E-2</v>
      </c>
    </row>
    <row r="187" spans="1:10" ht="11.25" customHeight="1" x14ac:dyDescent="0.2">
      <c r="A187" s="63" t="s">
        <v>25</v>
      </c>
      <c r="B187" s="57">
        <v>15888779.559999999</v>
      </c>
      <c r="C187" s="57">
        <v>19381866.33789786</v>
      </c>
      <c r="D187" s="57">
        <v>16491734.982299995</v>
      </c>
      <c r="E187" s="57">
        <v>17091296.946349539</v>
      </c>
      <c r="F187" s="57">
        <v>53180414.214099981</v>
      </c>
      <c r="G187" s="57">
        <v>47664811.840564735</v>
      </c>
      <c r="H187" s="58">
        <v>0.12639233192545496</v>
      </c>
      <c r="I187" s="58">
        <v>-0.10371491939363064</v>
      </c>
      <c r="J187" s="58">
        <v>-1.6630881084041871E-2</v>
      </c>
    </row>
    <row r="188" spans="1:10" ht="11.25" customHeight="1" x14ac:dyDescent="0.2">
      <c r="A188" s="64" t="s">
        <v>25</v>
      </c>
      <c r="B188" s="57">
        <v>15888779.559999999</v>
      </c>
      <c r="C188" s="57">
        <v>19381866.33789786</v>
      </c>
      <c r="D188" s="57">
        <v>16491734.982299995</v>
      </c>
      <c r="E188" s="57">
        <v>17091296.946349539</v>
      </c>
      <c r="F188" s="57">
        <v>53180414.214099981</v>
      </c>
      <c r="G188" s="57">
        <v>47664811.840564735</v>
      </c>
      <c r="H188" s="58">
        <v>0.12639233192545496</v>
      </c>
      <c r="I188" s="58">
        <v>-0.10371491939363064</v>
      </c>
      <c r="J188" s="58">
        <v>-1.6630881084041871E-2</v>
      </c>
    </row>
    <row r="189" spans="1:10" ht="11.25" customHeight="1" x14ac:dyDescent="0.2">
      <c r="A189" s="65" t="s">
        <v>25</v>
      </c>
      <c r="B189" s="57">
        <v>15888779.559999999</v>
      </c>
      <c r="C189" s="57">
        <v>19381866.33789786</v>
      </c>
      <c r="D189" s="57">
        <v>16491734.982299995</v>
      </c>
      <c r="E189" s="57">
        <v>17091296.946349539</v>
      </c>
      <c r="F189" s="57">
        <v>53180414.214099981</v>
      </c>
      <c r="G189" s="57">
        <v>47664811.840564735</v>
      </c>
      <c r="H189" s="58">
        <v>0.12639233192545496</v>
      </c>
      <c r="I189" s="58">
        <v>-0.10371491939363064</v>
      </c>
      <c r="J189" s="58">
        <v>-1.6630881084041871E-2</v>
      </c>
    </row>
    <row r="190" spans="1:10" ht="11.25" customHeight="1" x14ac:dyDescent="0.2">
      <c r="A190" s="66" t="s">
        <v>36</v>
      </c>
      <c r="B190" s="57">
        <v>4679836.76</v>
      </c>
      <c r="C190" s="57">
        <v>6083446.042337982</v>
      </c>
      <c r="D190" s="57">
        <v>14984857.994399998</v>
      </c>
      <c r="E190" s="57">
        <v>15529636.994291065</v>
      </c>
      <c r="F190" s="57">
        <v>45492218.976959988</v>
      </c>
      <c r="G190" s="57">
        <v>40960918.416625008</v>
      </c>
      <c r="H190" s="58">
        <v>9.9080525101621353E-2</v>
      </c>
      <c r="I190" s="58">
        <v>-9.9606057084836608E-2</v>
      </c>
      <c r="J190" s="58">
        <v>-3.964141531864418E-2</v>
      </c>
    </row>
    <row r="191" spans="1:10" ht="11.25" customHeight="1" x14ac:dyDescent="0.2">
      <c r="A191" s="67">
        <v>43739</v>
      </c>
      <c r="B191" s="57">
        <v>402282.22000000003</v>
      </c>
      <c r="C191" s="57">
        <v>522937.50929080218</v>
      </c>
      <c r="D191" s="57">
        <v>1322760.2802000002</v>
      </c>
      <c r="E191" s="57">
        <v>1370849.6263127415</v>
      </c>
      <c r="F191" s="57">
        <v>4015740.4456799999</v>
      </c>
      <c r="G191" s="57">
        <v>3615748.3736097091</v>
      </c>
      <c r="H191" s="58">
        <v>9.7820566962251387E-2</v>
      </c>
      <c r="I191" s="58">
        <v>-9.9606057084836941E-2</v>
      </c>
      <c r="J191" s="58">
        <v>-4.0281515404219648E-2</v>
      </c>
    </row>
    <row r="192" spans="1:10" ht="11.25" customHeight="1" x14ac:dyDescent="0.2">
      <c r="A192" s="67">
        <v>43770</v>
      </c>
      <c r="B192" s="57">
        <v>412122.99</v>
      </c>
      <c r="C192" s="57">
        <v>535729.79166734777</v>
      </c>
      <c r="D192" s="57">
        <v>1414507.01355</v>
      </c>
      <c r="E192" s="57">
        <v>1465931.8396290091</v>
      </c>
      <c r="F192" s="57">
        <v>4294272.4468200002</v>
      </c>
      <c r="G192" s="57">
        <v>3866536.9003442046</v>
      </c>
      <c r="H192" s="58">
        <v>9.5822157418956388E-2</v>
      </c>
      <c r="I192" s="58">
        <v>-9.9606057084836941E-2</v>
      </c>
      <c r="J192" s="58">
        <v>-4.1285402075663447E-2</v>
      </c>
    </row>
    <row r="193" spans="1:10" ht="11.25" customHeight="1" x14ac:dyDescent="0.2">
      <c r="A193" s="67">
        <v>43800</v>
      </c>
      <c r="B193" s="57">
        <v>399181.10000000003</v>
      </c>
      <c r="C193" s="57">
        <v>518906.2797504763</v>
      </c>
      <c r="D193" s="57">
        <v>1341073.9383</v>
      </c>
      <c r="E193" s="57">
        <v>1389829.0829373451</v>
      </c>
      <c r="F193" s="57">
        <v>4071338.4997199997</v>
      </c>
      <c r="G193" s="57">
        <v>3665808.5247051944</v>
      </c>
      <c r="H193" s="58">
        <v>9.6813582308260093E-2</v>
      </c>
      <c r="I193" s="58">
        <v>-9.9606057084837052E-2</v>
      </c>
      <c r="J193" s="58">
        <v>-4.0789096669645253E-2</v>
      </c>
    </row>
    <row r="194" spans="1:10" ht="11.25" customHeight="1" x14ac:dyDescent="0.2">
      <c r="A194" s="67">
        <v>43831</v>
      </c>
      <c r="B194" s="57">
        <v>399278.01</v>
      </c>
      <c r="C194" s="57">
        <v>519032.25567361142</v>
      </c>
      <c r="D194" s="57">
        <v>1368915.4143000001</v>
      </c>
      <c r="E194" s="57">
        <v>1418682.7441349919</v>
      </c>
      <c r="F194" s="57">
        <v>4155861.85812</v>
      </c>
      <c r="G194" s="57">
        <v>3741912.8446434024</v>
      </c>
      <c r="H194" s="58">
        <v>9.5872755309965196E-2</v>
      </c>
      <c r="I194" s="58">
        <v>-9.9606057084837052E-2</v>
      </c>
      <c r="J194" s="58">
        <v>-4.1260154795203841E-2</v>
      </c>
    </row>
    <row r="195" spans="1:10" ht="11.25" customHeight="1" x14ac:dyDescent="0.2">
      <c r="A195" s="67">
        <v>43862</v>
      </c>
      <c r="B195" s="57">
        <v>390194.9</v>
      </c>
      <c r="C195" s="57">
        <v>507224.87596885004</v>
      </c>
      <c r="D195" s="57">
        <v>1342984.1128500002</v>
      </c>
      <c r="E195" s="57">
        <v>1391808.7024551488</v>
      </c>
      <c r="F195" s="57">
        <v>4077137.5589399999</v>
      </c>
      <c r="G195" s="57">
        <v>3671029.9625014891</v>
      </c>
      <c r="H195" s="58">
        <v>9.5693846016096984E-2</v>
      </c>
      <c r="I195" s="58">
        <v>-9.9606057084837052E-2</v>
      </c>
      <c r="J195" s="58">
        <v>-4.1349387403601834E-2</v>
      </c>
    </row>
    <row r="196" spans="1:10" ht="11.25" customHeight="1" x14ac:dyDescent="0.2">
      <c r="A196" s="67">
        <v>43891</v>
      </c>
      <c r="B196" s="57">
        <v>390661.83</v>
      </c>
      <c r="C196" s="57">
        <v>507831.85087122861</v>
      </c>
      <c r="D196" s="57">
        <v>1249377.7060500002</v>
      </c>
      <c r="E196" s="57">
        <v>1294799.2067036917</v>
      </c>
      <c r="F196" s="57">
        <v>3792959.8138199998</v>
      </c>
      <c r="G196" s="57">
        <v>3415158.0420841523</v>
      </c>
      <c r="H196" s="58">
        <v>9.9138781688469679E-2</v>
      </c>
      <c r="I196" s="58">
        <v>-9.9606057084836941E-2</v>
      </c>
      <c r="J196" s="58">
        <v>-3.9611683409473852E-2</v>
      </c>
    </row>
    <row r="197" spans="1:10" ht="11.25" customHeight="1" x14ac:dyDescent="0.2">
      <c r="A197" s="67">
        <v>43922</v>
      </c>
      <c r="B197" s="57">
        <v>390661.83</v>
      </c>
      <c r="C197" s="57">
        <v>507831.85087122867</v>
      </c>
      <c r="D197" s="57">
        <v>1293330.6375</v>
      </c>
      <c r="E197" s="57">
        <v>1340350.0601391091</v>
      </c>
      <c r="F197" s="57">
        <v>3926395.605</v>
      </c>
      <c r="G197" s="57">
        <v>3535302.8202307168</v>
      </c>
      <c r="H197" s="58">
        <v>9.7500105659075853E-2</v>
      </c>
      <c r="I197" s="58">
        <v>-9.9606057084837052E-2</v>
      </c>
      <c r="J197" s="58">
        <v>-4.0443430708677619E-2</v>
      </c>
    </row>
    <row r="198" spans="1:10" ht="11.25" customHeight="1" x14ac:dyDescent="0.2">
      <c r="A198" s="67">
        <v>43952</v>
      </c>
      <c r="B198" s="57">
        <v>383005.94000000006</v>
      </c>
      <c r="C198" s="57">
        <v>497879.75294354896</v>
      </c>
      <c r="D198" s="57">
        <v>1164624.7838999999</v>
      </c>
      <c r="E198" s="57">
        <v>1206965.0666880317</v>
      </c>
      <c r="F198" s="57">
        <v>3535660.1787599996</v>
      </c>
      <c r="G198" s="57">
        <v>3183487.0091618462</v>
      </c>
      <c r="H198" s="58">
        <v>0.10158372621047751</v>
      </c>
      <c r="I198" s="58">
        <v>-9.9606057084836941E-2</v>
      </c>
      <c r="J198" s="58">
        <v>-3.8352924827605994E-2</v>
      </c>
    </row>
    <row r="199" spans="1:10" ht="11.25" customHeight="1" x14ac:dyDescent="0.2">
      <c r="A199" s="67">
        <v>43983</v>
      </c>
      <c r="B199" s="57">
        <v>375570.3</v>
      </c>
      <c r="C199" s="57">
        <v>488213.96393208572</v>
      </c>
      <c r="D199" s="57">
        <v>1143096.9587999999</v>
      </c>
      <c r="E199" s="57">
        <v>1184654.5910595988</v>
      </c>
      <c r="F199" s="57">
        <v>3470304.3019199995</v>
      </c>
      <c r="G199" s="57">
        <v>3124640.9735212005</v>
      </c>
      <c r="H199" s="58">
        <v>0.10153724938636621</v>
      </c>
      <c r="I199" s="58">
        <v>-9.9606057084837052E-2</v>
      </c>
      <c r="J199" s="58">
        <v>-3.8377054243917796E-2</v>
      </c>
    </row>
    <row r="200" spans="1:10" ht="11.25" customHeight="1" x14ac:dyDescent="0.2">
      <c r="A200" s="67">
        <v>44013</v>
      </c>
      <c r="B200" s="57">
        <v>379340.98000000004</v>
      </c>
      <c r="C200" s="57">
        <v>493115.57257770927</v>
      </c>
      <c r="D200" s="57">
        <v>1099932.62145</v>
      </c>
      <c r="E200" s="57">
        <v>1139921.0012988464</v>
      </c>
      <c r="F200" s="57">
        <v>3339262.5871799998</v>
      </c>
      <c r="G200" s="57">
        <v>3006651.8073000885</v>
      </c>
      <c r="H200" s="58">
        <v>0.10394491747560131</v>
      </c>
      <c r="I200" s="58">
        <v>-9.9606057084836941E-2</v>
      </c>
      <c r="J200" s="58">
        <v>-3.7116626388605689E-2</v>
      </c>
    </row>
    <row r="201" spans="1:10" ht="11.25" customHeight="1" x14ac:dyDescent="0.2">
      <c r="A201" s="67">
        <v>44044</v>
      </c>
      <c r="B201" s="57">
        <v>378768.33</v>
      </c>
      <c r="C201" s="57">
        <v>492371.16939554684</v>
      </c>
      <c r="D201" s="57">
        <v>1122127.2637499999</v>
      </c>
      <c r="E201" s="57">
        <v>1162922.5364662765</v>
      </c>
      <c r="F201" s="57">
        <v>3406642.8404999999</v>
      </c>
      <c r="G201" s="57">
        <v>3067320.5792615055</v>
      </c>
      <c r="H201" s="58">
        <v>0.10287065453104471</v>
      </c>
      <c r="I201" s="58">
        <v>-9.9606057084837052E-2</v>
      </c>
      <c r="J201" s="58">
        <v>-3.7681650710277625E-2</v>
      </c>
    </row>
    <row r="202" spans="1:10" ht="11.25" customHeight="1" x14ac:dyDescent="0.2">
      <c r="A202" s="67">
        <v>44075</v>
      </c>
      <c r="B202" s="57">
        <v>378768.33</v>
      </c>
      <c r="C202" s="57">
        <v>492371.16939554684</v>
      </c>
      <c r="D202" s="57">
        <v>1122127.2637499999</v>
      </c>
      <c r="E202" s="57">
        <v>1162922.5364662765</v>
      </c>
      <c r="F202" s="57">
        <v>3406642.8404999999</v>
      </c>
      <c r="G202" s="57">
        <v>3067320.5792615055</v>
      </c>
      <c r="H202" s="58">
        <v>0.10287065453104471</v>
      </c>
      <c r="I202" s="58">
        <v>-9.9606057084837052E-2</v>
      </c>
      <c r="J202" s="58">
        <v>-3.7681650710277625E-2</v>
      </c>
    </row>
    <row r="203" spans="1:10" ht="11.25" customHeight="1" x14ac:dyDescent="0.2">
      <c r="A203" s="66" t="s">
        <v>35</v>
      </c>
      <c r="B203" s="57">
        <v>11208942.799999999</v>
      </c>
      <c r="C203" s="57">
        <v>13298420.295559881</v>
      </c>
      <c r="D203" s="57">
        <v>1506876.9879000001</v>
      </c>
      <c r="E203" s="57">
        <v>1561659.9520584734</v>
      </c>
      <c r="F203" s="57">
        <v>7688195.2371400008</v>
      </c>
      <c r="G203" s="57">
        <v>6703893.4239397123</v>
      </c>
      <c r="H203" s="58">
        <v>0.16862935268701817</v>
      </c>
      <c r="I203" s="58">
        <v>-0.12802768176923229</v>
      </c>
      <c r="J203" s="58">
        <v>5.6849529129171517E-2</v>
      </c>
    </row>
    <row r="204" spans="1:10" ht="11.25" customHeight="1" x14ac:dyDescent="0.2">
      <c r="A204" s="67">
        <v>43739</v>
      </c>
      <c r="B204" s="57">
        <v>961530.10000000009</v>
      </c>
      <c r="C204" s="57">
        <v>1140770.5101886792</v>
      </c>
      <c r="D204" s="57">
        <v>136959.6588</v>
      </c>
      <c r="E204" s="57">
        <v>141938.8682108846</v>
      </c>
      <c r="F204" s="57">
        <v>698778.07208000007</v>
      </c>
      <c r="G204" s="57">
        <v>609315.1354404242</v>
      </c>
      <c r="H204" s="58">
        <v>0.16770262819819703</v>
      </c>
      <c r="I204" s="58">
        <v>-0.12802768176923218</v>
      </c>
      <c r="J204" s="58">
        <v>5.2722627830929181E-2</v>
      </c>
    </row>
    <row r="205" spans="1:10" ht="11.25" customHeight="1" x14ac:dyDescent="0.2">
      <c r="A205" s="67">
        <v>43770</v>
      </c>
      <c r="B205" s="57">
        <v>974927.06</v>
      </c>
      <c r="C205" s="57">
        <v>1156664.8195755382</v>
      </c>
      <c r="D205" s="57">
        <v>150788.93745</v>
      </c>
      <c r="E205" s="57">
        <v>156270.91442764949</v>
      </c>
      <c r="F205" s="57">
        <v>769336.05067000003</v>
      </c>
      <c r="G205" s="57">
        <v>670839.73960122326</v>
      </c>
      <c r="H205" s="58">
        <v>0.16631169582495264</v>
      </c>
      <c r="I205" s="58">
        <v>-0.12802768176923229</v>
      </c>
      <c r="J205" s="58">
        <v>4.6818463678836464E-2</v>
      </c>
    </row>
    <row r="206" spans="1:10" ht="11.25" customHeight="1" x14ac:dyDescent="0.2">
      <c r="A206" s="67">
        <v>43800</v>
      </c>
      <c r="B206" s="57">
        <v>956116.26</v>
      </c>
      <c r="C206" s="57">
        <v>1134347.4673542636</v>
      </c>
      <c r="D206" s="57">
        <v>135628.98014999999</v>
      </c>
      <c r="E206" s="57">
        <v>140559.81234006648</v>
      </c>
      <c r="F206" s="57">
        <v>691988.85349000001</v>
      </c>
      <c r="G206" s="57">
        <v>603395.12476752652</v>
      </c>
      <c r="H206" s="58">
        <v>0.16776994559570024</v>
      </c>
      <c r="I206" s="58">
        <v>-0.12802768176923207</v>
      </c>
      <c r="J206" s="58">
        <v>5.3017045062403012E-2</v>
      </c>
    </row>
    <row r="207" spans="1:10" ht="11.25" customHeight="1" x14ac:dyDescent="0.2">
      <c r="A207" s="67">
        <v>43831</v>
      </c>
      <c r="B207" s="57">
        <v>951665.9</v>
      </c>
      <c r="C207" s="57">
        <v>1129067.5084141085</v>
      </c>
      <c r="D207" s="57">
        <v>132331.29209999999</v>
      </c>
      <c r="E207" s="57">
        <v>137142.23585345244</v>
      </c>
      <c r="F207" s="57">
        <v>675163.81085999997</v>
      </c>
      <c r="G207" s="57">
        <v>588724.15334111371</v>
      </c>
      <c r="H207" s="58">
        <v>0.1680931957162779</v>
      </c>
      <c r="I207" s="58">
        <v>-0.1280276817692324</v>
      </c>
      <c r="J207" s="58">
        <v>5.4442370247819838E-2</v>
      </c>
    </row>
    <row r="208" spans="1:10" ht="11.25" customHeight="1" x14ac:dyDescent="0.2">
      <c r="A208" s="67">
        <v>43862</v>
      </c>
      <c r="B208" s="57">
        <v>934185.62</v>
      </c>
      <c r="C208" s="57">
        <v>1108328.7006182414</v>
      </c>
      <c r="D208" s="57">
        <v>139440.03975</v>
      </c>
      <c r="E208" s="57">
        <v>144509.42415311973</v>
      </c>
      <c r="F208" s="57">
        <v>711433.15485000005</v>
      </c>
      <c r="G208" s="57">
        <v>620350.01730078331</v>
      </c>
      <c r="H208" s="58">
        <v>0.166922673088022</v>
      </c>
      <c r="I208" s="58">
        <v>-0.12802768176923229</v>
      </c>
      <c r="J208" s="58">
        <v>4.9370545525634357E-2</v>
      </c>
    </row>
    <row r="209" spans="1:10" ht="11.25" customHeight="1" x14ac:dyDescent="0.2">
      <c r="A209" s="67">
        <v>43891</v>
      </c>
      <c r="B209" s="57">
        <v>933268.02</v>
      </c>
      <c r="C209" s="57">
        <v>1107240.0492903744</v>
      </c>
      <c r="D209" s="57">
        <v>123682.42980000001</v>
      </c>
      <c r="E209" s="57">
        <v>128178.94157446738</v>
      </c>
      <c r="F209" s="57">
        <v>631036.69068</v>
      </c>
      <c r="G209" s="57">
        <v>550246.52606091148</v>
      </c>
      <c r="H209" s="58">
        <v>0.16885232519519922</v>
      </c>
      <c r="I209" s="58">
        <v>-0.12802768176923229</v>
      </c>
      <c r="J209" s="58">
        <v>5.7866777597592955E-2</v>
      </c>
    </row>
    <row r="210" spans="1:10" ht="11.25" customHeight="1" x14ac:dyDescent="0.2">
      <c r="A210" s="67">
        <v>43922</v>
      </c>
      <c r="B210" s="57">
        <v>932006.32</v>
      </c>
      <c r="C210" s="57">
        <v>1105743.1537145572</v>
      </c>
      <c r="D210" s="57">
        <v>129065.27280000001</v>
      </c>
      <c r="E210" s="57">
        <v>133757.47944372849</v>
      </c>
      <c r="F210" s="57">
        <v>658500.34447999997</v>
      </c>
      <c r="G210" s="57">
        <v>574194.07193198474</v>
      </c>
      <c r="H210" s="58">
        <v>0.1681592849804221</v>
      </c>
      <c r="I210" s="58">
        <v>-0.12802768176923218</v>
      </c>
      <c r="J210" s="58">
        <v>5.4736161814290085E-2</v>
      </c>
    </row>
    <row r="211" spans="1:10" ht="11.25" customHeight="1" x14ac:dyDescent="0.2">
      <c r="A211" s="67">
        <v>43952</v>
      </c>
      <c r="B211" s="57">
        <v>918747.00000000012</v>
      </c>
      <c r="C211" s="57">
        <v>1090012.1420268784</v>
      </c>
      <c r="D211" s="57">
        <v>109882.7931</v>
      </c>
      <c r="E211" s="57">
        <v>113877.61494967158</v>
      </c>
      <c r="F211" s="57">
        <v>560629.94746000005</v>
      </c>
      <c r="G211" s="57">
        <v>488853.7949562897</v>
      </c>
      <c r="H211" s="58">
        <v>0.17038196351319534</v>
      </c>
      <c r="I211" s="58">
        <v>-0.1280276817692324</v>
      </c>
      <c r="J211" s="58">
        <v>6.5114473570176301E-2</v>
      </c>
    </row>
    <row r="212" spans="1:10" ht="11.25" customHeight="1" x14ac:dyDescent="0.2">
      <c r="A212" s="67">
        <v>43983</v>
      </c>
      <c r="B212" s="57">
        <v>898743.32000000007</v>
      </c>
      <c r="C212" s="57">
        <v>1066279.5430793767</v>
      </c>
      <c r="D212" s="57">
        <v>110866.72005000002</v>
      </c>
      <c r="E212" s="57">
        <v>114897.31285859474</v>
      </c>
      <c r="F212" s="57">
        <v>565650.01382999995</v>
      </c>
      <c r="G212" s="57">
        <v>493231.15386661096</v>
      </c>
      <c r="H212" s="58">
        <v>0.16993374578512976</v>
      </c>
      <c r="I212" s="58">
        <v>-0.12802768176923218</v>
      </c>
      <c r="J212" s="58">
        <v>6.2940690764278884E-2</v>
      </c>
    </row>
    <row r="213" spans="1:10" ht="11.25" customHeight="1" x14ac:dyDescent="0.2">
      <c r="A213" s="67">
        <v>44013</v>
      </c>
      <c r="B213" s="57">
        <v>914663.68</v>
      </c>
      <c r="C213" s="57">
        <v>1085167.6436178701</v>
      </c>
      <c r="D213" s="57">
        <v>108573.98700000001</v>
      </c>
      <c r="E213" s="57">
        <v>112521.22681195887</v>
      </c>
      <c r="F213" s="57">
        <v>553952.32420000003</v>
      </c>
      <c r="G213" s="57">
        <v>483031.09232199582</v>
      </c>
      <c r="H213" s="58">
        <v>0.1704894269004944</v>
      </c>
      <c r="I213" s="58">
        <v>-0.12802768176923229</v>
      </c>
      <c r="J213" s="58">
        <v>6.564204194134815E-2</v>
      </c>
    </row>
    <row r="214" spans="1:10" ht="11.25" customHeight="1" x14ac:dyDescent="0.2">
      <c r="A214" s="67">
        <v>44044</v>
      </c>
      <c r="B214" s="57">
        <v>916544.76</v>
      </c>
      <c r="C214" s="57">
        <v>1087399.3788399973</v>
      </c>
      <c r="D214" s="57">
        <v>114828.43845</v>
      </c>
      <c r="E214" s="57">
        <v>119003.0607174397</v>
      </c>
      <c r="F214" s="57">
        <v>585862.98727000004</v>
      </c>
      <c r="G214" s="57">
        <v>510856.30717542471</v>
      </c>
      <c r="H214" s="58">
        <v>0.16970505086857002</v>
      </c>
      <c r="I214" s="58">
        <v>-0.12802768176923229</v>
      </c>
      <c r="J214" s="58">
        <v>6.1847837623254298E-2</v>
      </c>
    </row>
    <row r="215" spans="1:10" ht="11.25" customHeight="1" x14ac:dyDescent="0.2">
      <c r="A215" s="67">
        <v>44075</v>
      </c>
      <c r="B215" s="57">
        <v>916544.76</v>
      </c>
      <c r="C215" s="57">
        <v>1087399.3788399973</v>
      </c>
      <c r="D215" s="57">
        <v>114828.43845</v>
      </c>
      <c r="E215" s="57">
        <v>119003.0607174397</v>
      </c>
      <c r="F215" s="57">
        <v>585862.98727000004</v>
      </c>
      <c r="G215" s="57">
        <v>510856.30717542471</v>
      </c>
      <c r="H215" s="58">
        <v>0.16970505086857002</v>
      </c>
      <c r="I215" s="58">
        <v>-0.12802768176923229</v>
      </c>
      <c r="J215" s="58">
        <v>6.1847837623254298E-2</v>
      </c>
    </row>
    <row r="216" spans="1:10" ht="11.25" customHeight="1" x14ac:dyDescent="0.2">
      <c r="A216" s="62" t="s">
        <v>40</v>
      </c>
      <c r="B216" s="57">
        <v>675768.4800000001</v>
      </c>
      <c r="C216" s="57">
        <v>833977.85335881903</v>
      </c>
      <c r="D216" s="57">
        <v>512012.66504999984</v>
      </c>
      <c r="E216" s="57">
        <v>530627.03881995776</v>
      </c>
      <c r="F216" s="57">
        <v>1626941.4850699999</v>
      </c>
      <c r="G216" s="57">
        <v>1459797.7695544879</v>
      </c>
      <c r="H216" s="58">
        <v>0.14886896282676165</v>
      </c>
      <c r="I216" s="58">
        <v>-0.10273492750006352</v>
      </c>
      <c r="J216" s="58">
        <v>3.4390712284328995E-3</v>
      </c>
    </row>
    <row r="217" spans="1:10" ht="11.25" customHeight="1" x14ac:dyDescent="0.2">
      <c r="A217" s="63" t="s">
        <v>25</v>
      </c>
      <c r="B217" s="57">
        <v>675768.4800000001</v>
      </c>
      <c r="C217" s="57">
        <v>833977.85335881903</v>
      </c>
      <c r="D217" s="57">
        <v>512012.66504999984</v>
      </c>
      <c r="E217" s="57">
        <v>530627.03881995776</v>
      </c>
      <c r="F217" s="57">
        <v>1626941.4850699999</v>
      </c>
      <c r="G217" s="57">
        <v>1459797.7695544879</v>
      </c>
      <c r="H217" s="58">
        <v>0.14886896282676165</v>
      </c>
      <c r="I217" s="58">
        <v>-0.10273492750006352</v>
      </c>
      <c r="J217" s="58">
        <v>3.4390712284328995E-3</v>
      </c>
    </row>
    <row r="218" spans="1:10" ht="11.25" customHeight="1" x14ac:dyDescent="0.2">
      <c r="A218" s="64" t="s">
        <v>25</v>
      </c>
      <c r="B218" s="57">
        <v>675768.4800000001</v>
      </c>
      <c r="C218" s="57">
        <v>833977.85335881903</v>
      </c>
      <c r="D218" s="57">
        <v>512012.66504999984</v>
      </c>
      <c r="E218" s="57">
        <v>530627.03881995776</v>
      </c>
      <c r="F218" s="57">
        <v>1626941.4850699999</v>
      </c>
      <c r="G218" s="57">
        <v>1459797.7695544879</v>
      </c>
      <c r="H218" s="58">
        <v>0.14886896282676165</v>
      </c>
      <c r="I218" s="58">
        <v>-0.10273492750006352</v>
      </c>
      <c r="J218" s="58">
        <v>3.4390712284328995E-3</v>
      </c>
    </row>
    <row r="219" spans="1:10" ht="11.25" customHeight="1" x14ac:dyDescent="0.2">
      <c r="A219" s="65" t="s">
        <v>25</v>
      </c>
      <c r="B219" s="57">
        <v>675768.4800000001</v>
      </c>
      <c r="C219" s="57">
        <v>833977.85335881903</v>
      </c>
      <c r="D219" s="57">
        <v>512012.66504999984</v>
      </c>
      <c r="E219" s="57">
        <v>530627.03881995776</v>
      </c>
      <c r="F219" s="57">
        <v>1626941.4850699999</v>
      </c>
      <c r="G219" s="57">
        <v>1459797.7695544879</v>
      </c>
      <c r="H219" s="58">
        <v>0.14886896282676165</v>
      </c>
      <c r="I219" s="58">
        <v>-0.10273492750006352</v>
      </c>
      <c r="J219" s="58">
        <v>3.4390712284328995E-3</v>
      </c>
    </row>
    <row r="220" spans="1:10" ht="11.25" customHeight="1" x14ac:dyDescent="0.2">
      <c r="A220" s="66" t="s">
        <v>36</v>
      </c>
      <c r="B220" s="57">
        <v>283999.16000000003</v>
      </c>
      <c r="C220" s="57">
        <v>369178.16892598441</v>
      </c>
      <c r="D220" s="57">
        <v>476908.06679999991</v>
      </c>
      <c r="E220" s="57">
        <v>494246.20238783007</v>
      </c>
      <c r="F220" s="57">
        <v>1447835.2891200001</v>
      </c>
      <c r="G220" s="57">
        <v>1303622.1246624719</v>
      </c>
      <c r="H220" s="58">
        <v>0.13473014962014629</v>
      </c>
      <c r="I220" s="58">
        <v>-9.9606057084836941E-2</v>
      </c>
      <c r="J220" s="58">
        <v>-1.8877718721480807E-2</v>
      </c>
    </row>
    <row r="221" spans="1:10" ht="11.25" customHeight="1" x14ac:dyDescent="0.2">
      <c r="A221" s="67">
        <v>43739</v>
      </c>
      <c r="B221" s="57">
        <v>21478.780000000002</v>
      </c>
      <c r="C221" s="57">
        <v>27920.845509416489</v>
      </c>
      <c r="D221" s="57">
        <v>43378.840350000006</v>
      </c>
      <c r="E221" s="57">
        <v>44955.8910815544</v>
      </c>
      <c r="F221" s="57">
        <v>131692.91993999999</v>
      </c>
      <c r="G221" s="57">
        <v>118575.50743878749</v>
      </c>
      <c r="H221" s="58">
        <v>0.12364185114557436</v>
      </c>
      <c r="I221" s="58">
        <v>-9.9606057084836941E-2</v>
      </c>
      <c r="J221" s="58">
        <v>-2.5938856503367247E-2</v>
      </c>
    </row>
    <row r="222" spans="1:10" ht="11.25" customHeight="1" x14ac:dyDescent="0.2">
      <c r="A222" s="67">
        <v>43770</v>
      </c>
      <c r="B222" s="57">
        <v>22130.720000000001</v>
      </c>
      <c r="C222" s="57">
        <v>28768.319901416828</v>
      </c>
      <c r="D222" s="57">
        <v>48238.937850000002</v>
      </c>
      <c r="E222" s="57">
        <v>49992.678881616797</v>
      </c>
      <c r="F222" s="57">
        <v>146447.58893999999</v>
      </c>
      <c r="G222" s="57">
        <v>131860.5220361056</v>
      </c>
      <c r="H222" s="58">
        <v>0.11924657855976251</v>
      </c>
      <c r="I222" s="58">
        <v>-9.9606057084837052E-2</v>
      </c>
      <c r="J222" s="58">
        <v>-2.8575798570404709E-2</v>
      </c>
    </row>
    <row r="223" spans="1:10" ht="11.25" customHeight="1" x14ac:dyDescent="0.2">
      <c r="A223" s="67">
        <v>43800</v>
      </c>
      <c r="B223" s="57">
        <v>22518.36</v>
      </c>
      <c r="C223" s="57">
        <v>29272.223593957566</v>
      </c>
      <c r="D223" s="57">
        <v>44755.628700000001</v>
      </c>
      <c r="E223" s="57">
        <v>46382.732984324466</v>
      </c>
      <c r="F223" s="57">
        <v>135872.68307999999</v>
      </c>
      <c r="G223" s="57">
        <v>122338.94085286355</v>
      </c>
      <c r="H223" s="58">
        <v>0.12457961896173431</v>
      </c>
      <c r="I223" s="58">
        <v>-9.9606057084836941E-2</v>
      </c>
      <c r="J223" s="58">
        <v>-2.5364798269669087E-2</v>
      </c>
    </row>
    <row r="224" spans="1:10" ht="11.25" customHeight="1" x14ac:dyDescent="0.2">
      <c r="A224" s="67">
        <v>43831</v>
      </c>
      <c r="B224" s="57">
        <v>22306.920000000002</v>
      </c>
      <c r="C224" s="57">
        <v>28997.367034389888</v>
      </c>
      <c r="D224" s="57">
        <v>43082.420850000002</v>
      </c>
      <c r="E224" s="57">
        <v>44648.695161863361</v>
      </c>
      <c r="F224" s="57">
        <v>130793.02614</v>
      </c>
      <c r="G224" s="57">
        <v>117765.24851200059</v>
      </c>
      <c r="H224" s="58">
        <v>0.12627014187516838</v>
      </c>
      <c r="I224" s="58">
        <v>-9.9606057084836941E-2</v>
      </c>
      <c r="J224" s="58">
        <v>-2.4319495961578341E-2</v>
      </c>
    </row>
    <row r="225" spans="1:10" ht="11.25" customHeight="1" x14ac:dyDescent="0.2">
      <c r="A225" s="67">
        <v>43862</v>
      </c>
      <c r="B225" s="57">
        <v>24139.4</v>
      </c>
      <c r="C225" s="57">
        <v>31379.457217309755</v>
      </c>
      <c r="D225" s="57">
        <v>44501.265299999999</v>
      </c>
      <c r="E225" s="57">
        <v>46119.122126743438</v>
      </c>
      <c r="F225" s="57">
        <v>135100.46651999999</v>
      </c>
      <c r="G225" s="57">
        <v>121643.64173962075</v>
      </c>
      <c r="H225" s="58">
        <v>0.12904761347138649</v>
      </c>
      <c r="I225" s="58">
        <v>-9.9606057084837052E-2</v>
      </c>
      <c r="J225" s="58">
        <v>-2.2572323493270208E-2</v>
      </c>
    </row>
    <row r="226" spans="1:10" ht="11.25" customHeight="1" x14ac:dyDescent="0.2">
      <c r="A226" s="67">
        <v>43891</v>
      </c>
      <c r="B226" s="57">
        <v>24112.97</v>
      </c>
      <c r="C226" s="57">
        <v>31345.100147363795</v>
      </c>
      <c r="D226" s="57">
        <v>39787.012949999997</v>
      </c>
      <c r="E226" s="57">
        <v>41233.481720785421</v>
      </c>
      <c r="F226" s="57">
        <v>120788.56577999999</v>
      </c>
      <c r="G226" s="57">
        <v>108757.29300172171</v>
      </c>
      <c r="H226" s="58">
        <v>0.13581535577153425</v>
      </c>
      <c r="I226" s="58">
        <v>-9.9606057084837052E-2</v>
      </c>
      <c r="J226" s="58">
        <v>-1.8153122557860168E-2</v>
      </c>
    </row>
    <row r="227" spans="1:10" ht="11.25" customHeight="1" x14ac:dyDescent="0.2">
      <c r="A227" s="67">
        <v>43922</v>
      </c>
      <c r="B227" s="57">
        <v>23989.63</v>
      </c>
      <c r="C227" s="57">
        <v>31184.76715428265</v>
      </c>
      <c r="D227" s="57">
        <v>39283.353150000003</v>
      </c>
      <c r="E227" s="57">
        <v>40711.511217925785</v>
      </c>
      <c r="F227" s="57">
        <v>119259.51546</v>
      </c>
      <c r="G227" s="57">
        <v>107380.54535518122</v>
      </c>
      <c r="H227" s="58">
        <v>0.13628716069487923</v>
      </c>
      <c r="I227" s="58">
        <v>-9.9606057084837052E-2</v>
      </c>
      <c r="J227" s="58">
        <v>-1.7836138262515178E-2</v>
      </c>
    </row>
    <row r="228" spans="1:10" ht="11.25" customHeight="1" x14ac:dyDescent="0.2">
      <c r="A228" s="67">
        <v>43952</v>
      </c>
      <c r="B228" s="57">
        <v>24297.98</v>
      </c>
      <c r="C228" s="57">
        <v>31585.599636985513</v>
      </c>
      <c r="D228" s="57">
        <v>32741.180550000001</v>
      </c>
      <c r="E228" s="57">
        <v>33931.495973873061</v>
      </c>
      <c r="F228" s="57">
        <v>99398.269620000006</v>
      </c>
      <c r="G228" s="57">
        <v>89497.599902096263</v>
      </c>
      <c r="H228" s="58">
        <v>0.14863358750567324</v>
      </c>
      <c r="I228" s="58">
        <v>-9.9606057084837052E-2</v>
      </c>
      <c r="J228" s="58">
        <v>-9.0945923587409938E-3</v>
      </c>
    </row>
    <row r="229" spans="1:10" ht="11.25" customHeight="1" x14ac:dyDescent="0.2">
      <c r="A229" s="67">
        <v>43983</v>
      </c>
      <c r="B229" s="57">
        <v>24571.09</v>
      </c>
      <c r="C229" s="57">
        <v>31940.622693093763</v>
      </c>
      <c r="D229" s="57">
        <v>36475.897349999999</v>
      </c>
      <c r="E229" s="57">
        <v>37801.989521570016</v>
      </c>
      <c r="F229" s="57">
        <v>110736.41873999999</v>
      </c>
      <c r="G229" s="57">
        <v>99706.400693613148</v>
      </c>
      <c r="H229" s="58">
        <v>0.14244150681522183</v>
      </c>
      <c r="I229" s="58">
        <v>-9.9606057084836941E-2</v>
      </c>
      <c r="J229" s="58">
        <v>-1.3589165769015255E-2</v>
      </c>
    </row>
    <row r="230" spans="1:10" ht="11.25" customHeight="1" x14ac:dyDescent="0.2">
      <c r="A230" s="67">
        <v>44013</v>
      </c>
      <c r="B230" s="57">
        <v>24764.91</v>
      </c>
      <c r="C230" s="57">
        <v>32192.57453936413</v>
      </c>
      <c r="D230" s="57">
        <v>36223.054049999999</v>
      </c>
      <c r="E230" s="57">
        <v>37539.954027679712</v>
      </c>
      <c r="F230" s="57">
        <v>109968.81701999999</v>
      </c>
      <c r="G230" s="57">
        <v>99015.256754353875</v>
      </c>
      <c r="H230" s="58">
        <v>0.14338180743129514</v>
      </c>
      <c r="I230" s="58">
        <v>-9.9606057084836941E-2</v>
      </c>
      <c r="J230" s="58">
        <v>-1.2921369569410479E-2</v>
      </c>
    </row>
    <row r="231" spans="1:10" ht="11.25" customHeight="1" x14ac:dyDescent="0.2">
      <c r="A231" s="67">
        <v>44044</v>
      </c>
      <c r="B231" s="57">
        <v>24844.2</v>
      </c>
      <c r="C231" s="57">
        <v>32295.645749202009</v>
      </c>
      <c r="D231" s="57">
        <v>34220.237850000005</v>
      </c>
      <c r="E231" s="57">
        <v>35464.324844946786</v>
      </c>
      <c r="F231" s="57">
        <v>103888.50894</v>
      </c>
      <c r="G231" s="57">
        <v>93540.58418806376</v>
      </c>
      <c r="H231" s="58">
        <v>0.1472211208753389</v>
      </c>
      <c r="I231" s="58">
        <v>-9.9606057084837052E-2</v>
      </c>
      <c r="J231" s="58">
        <v>-1.0140301481733505E-2</v>
      </c>
    </row>
    <row r="232" spans="1:10" ht="11.25" customHeight="1" x14ac:dyDescent="0.2">
      <c r="A232" s="67">
        <v>44075</v>
      </c>
      <c r="B232" s="57">
        <v>24844.2</v>
      </c>
      <c r="C232" s="57">
        <v>32295.645749202009</v>
      </c>
      <c r="D232" s="57">
        <v>34220.237850000005</v>
      </c>
      <c r="E232" s="57">
        <v>35464.324844946786</v>
      </c>
      <c r="F232" s="57">
        <v>103888.50894</v>
      </c>
      <c r="G232" s="57">
        <v>93540.58418806376</v>
      </c>
      <c r="H232" s="58">
        <v>0.1472211208753389</v>
      </c>
      <c r="I232" s="58">
        <v>-9.9606057084837052E-2</v>
      </c>
      <c r="J232" s="58">
        <v>-1.0140301481733505E-2</v>
      </c>
    </row>
    <row r="233" spans="1:10" ht="11.25" customHeight="1" x14ac:dyDescent="0.2">
      <c r="A233" s="66" t="s">
        <v>35</v>
      </c>
      <c r="B233" s="57">
        <v>391769.32000000007</v>
      </c>
      <c r="C233" s="57">
        <v>464799.68443283474</v>
      </c>
      <c r="D233" s="57">
        <v>35104.598249999995</v>
      </c>
      <c r="E233" s="57">
        <v>36380.836432127566</v>
      </c>
      <c r="F233" s="57">
        <v>179106.19594999999</v>
      </c>
      <c r="G233" s="57">
        <v>156175.64489201561</v>
      </c>
      <c r="H233" s="58">
        <v>0.1740715453396342</v>
      </c>
      <c r="I233" s="58">
        <v>-0.1280276817692324</v>
      </c>
      <c r="J233" s="58">
        <v>8.4781745065682923E-2</v>
      </c>
    </row>
    <row r="234" spans="1:10" ht="11.25" customHeight="1" x14ac:dyDescent="0.2">
      <c r="A234" s="67">
        <v>43739</v>
      </c>
      <c r="B234" s="57">
        <v>27803.280000000002</v>
      </c>
      <c r="C234" s="57">
        <v>32986.135234371446</v>
      </c>
      <c r="D234" s="57">
        <v>3434.2437</v>
      </c>
      <c r="E234" s="57">
        <v>3559.0966581639927</v>
      </c>
      <c r="F234" s="57">
        <v>17521.759419999998</v>
      </c>
      <c r="G234" s="57">
        <v>15278.489180939192</v>
      </c>
      <c r="H234" s="58">
        <v>0.16991449909761691</v>
      </c>
      <c r="I234" s="58">
        <v>-0.12802768176923218</v>
      </c>
      <c r="J234" s="58">
        <v>6.2848297952470711E-2</v>
      </c>
    </row>
    <row r="235" spans="1:10" ht="11.25" customHeight="1" x14ac:dyDescent="0.2">
      <c r="A235" s="67">
        <v>43770</v>
      </c>
      <c r="B235" s="57">
        <v>28330.9</v>
      </c>
      <c r="C235" s="57">
        <v>33612.109747894996</v>
      </c>
      <c r="D235" s="57">
        <v>3885.1222500000003</v>
      </c>
      <c r="E235" s="57">
        <v>4026.3670328735184</v>
      </c>
      <c r="F235" s="57">
        <v>19822.174350000001</v>
      </c>
      <c r="G235" s="57">
        <v>17284.387320343962</v>
      </c>
      <c r="H235" s="58">
        <v>0.16831545771509737</v>
      </c>
      <c r="I235" s="58">
        <v>-0.12802768176923229</v>
      </c>
      <c r="J235" s="58">
        <v>5.5433656229210371E-2</v>
      </c>
    </row>
    <row r="236" spans="1:10" ht="11.25" customHeight="1" x14ac:dyDescent="0.2">
      <c r="A236" s="67">
        <v>43800</v>
      </c>
      <c r="B236" s="57">
        <v>29179.68</v>
      </c>
      <c r="C236" s="57">
        <v>34619.112226172016</v>
      </c>
      <c r="D236" s="57">
        <v>3320.6584499999999</v>
      </c>
      <c r="E236" s="57">
        <v>3441.3819823849494</v>
      </c>
      <c r="F236" s="57">
        <v>16942.239269999998</v>
      </c>
      <c r="G236" s="57">
        <v>14773.16365228225</v>
      </c>
      <c r="H236" s="58">
        <v>0.17107993404779331</v>
      </c>
      <c r="I236" s="58">
        <v>-0.12802768176923218</v>
      </c>
      <c r="J236" s="58">
        <v>6.858623270095987E-2</v>
      </c>
    </row>
    <row r="237" spans="1:10" ht="11.25" customHeight="1" x14ac:dyDescent="0.2">
      <c r="A237" s="67">
        <v>43831</v>
      </c>
      <c r="B237" s="57">
        <v>28216.2</v>
      </c>
      <c r="C237" s="57">
        <v>33476.028331911621</v>
      </c>
      <c r="D237" s="57">
        <v>3080.3137500000003</v>
      </c>
      <c r="E237" s="57">
        <v>3192.2994788405954</v>
      </c>
      <c r="F237" s="57">
        <v>15715.983250000001</v>
      </c>
      <c r="G237" s="57">
        <v>13703.902347778416</v>
      </c>
      <c r="H237" s="58">
        <v>0.17164257027676788</v>
      </c>
      <c r="I237" s="58">
        <v>-0.12802768176923229</v>
      </c>
      <c r="J237" s="58">
        <v>7.1464682221210829E-2</v>
      </c>
    </row>
    <row r="238" spans="1:10" ht="11.25" customHeight="1" x14ac:dyDescent="0.2">
      <c r="A238" s="67">
        <v>43862</v>
      </c>
      <c r="B238" s="57">
        <v>33400.639999999999</v>
      </c>
      <c r="C238" s="57">
        <v>39626.908334360422</v>
      </c>
      <c r="D238" s="57">
        <v>3290.5097999999998</v>
      </c>
      <c r="E238" s="57">
        <v>3410.137269185605</v>
      </c>
      <c r="F238" s="57">
        <v>16788.418679999999</v>
      </c>
      <c r="G238" s="57">
        <v>14639.036355828324</v>
      </c>
      <c r="H238" s="58">
        <v>0.17295440012474139</v>
      </c>
      <c r="I238" s="58">
        <v>-0.12802768176923229</v>
      </c>
      <c r="J238" s="58">
        <v>7.8469471587896855E-2</v>
      </c>
    </row>
    <row r="239" spans="1:10" ht="11.25" customHeight="1" x14ac:dyDescent="0.2">
      <c r="A239" s="67">
        <v>43891</v>
      </c>
      <c r="B239" s="57">
        <v>32895.96</v>
      </c>
      <c r="C239" s="57">
        <v>39028.150104033542</v>
      </c>
      <c r="D239" s="57">
        <v>2920.1965500000001</v>
      </c>
      <c r="E239" s="57">
        <v>3026.3611700844122</v>
      </c>
      <c r="F239" s="57">
        <v>14899.05373</v>
      </c>
      <c r="G239" s="57">
        <v>12991.562420392867</v>
      </c>
      <c r="H239" s="58">
        <v>0.17417711237131495</v>
      </c>
      <c r="I239" s="58">
        <v>-0.12802768176923218</v>
      </c>
      <c r="J239" s="58">
        <v>8.5395749925910147E-2</v>
      </c>
    </row>
    <row r="240" spans="1:10" ht="11.25" customHeight="1" x14ac:dyDescent="0.2">
      <c r="A240" s="67">
        <v>43922</v>
      </c>
      <c r="B240" s="57">
        <v>33354.76</v>
      </c>
      <c r="C240" s="57">
        <v>39572.475767967066</v>
      </c>
      <c r="D240" s="57">
        <v>2911.8359999999998</v>
      </c>
      <c r="E240" s="57">
        <v>3017.6966697854341</v>
      </c>
      <c r="F240" s="57">
        <v>14856.397599999998</v>
      </c>
      <c r="G240" s="57">
        <v>12954.367455830014</v>
      </c>
      <c r="H240" s="58">
        <v>0.17436366064663189</v>
      </c>
      <c r="I240" s="58">
        <v>-0.12802768176923218</v>
      </c>
      <c r="J240" s="58">
        <v>8.6488407313896287E-2</v>
      </c>
    </row>
    <row r="241" spans="1:10" ht="11.25" customHeight="1" x14ac:dyDescent="0.2">
      <c r="A241" s="67">
        <v>43952</v>
      </c>
      <c r="B241" s="57">
        <v>33928.26</v>
      </c>
      <c r="C241" s="57">
        <v>40252.882847883971</v>
      </c>
      <c r="D241" s="57">
        <v>2426.2485000000001</v>
      </c>
      <c r="E241" s="57">
        <v>2514.4554908043947</v>
      </c>
      <c r="F241" s="57">
        <v>12378.8951</v>
      </c>
      <c r="G241" s="57">
        <v>10794.053857482491</v>
      </c>
      <c r="H241" s="58">
        <v>0.17639709910225743</v>
      </c>
      <c r="I241" s="58">
        <v>-0.12802768176923229</v>
      </c>
      <c r="J241" s="58">
        <v>9.9069390592920747E-2</v>
      </c>
    </row>
    <row r="242" spans="1:10" ht="11.25" customHeight="1" x14ac:dyDescent="0.2">
      <c r="A242" s="67">
        <v>43983</v>
      </c>
      <c r="B242" s="57">
        <v>35075.26</v>
      </c>
      <c r="C242" s="57">
        <v>41613.697007717776</v>
      </c>
      <c r="D242" s="57">
        <v>2525.8995</v>
      </c>
      <c r="E242" s="57">
        <v>2617.7293327518082</v>
      </c>
      <c r="F242" s="57">
        <v>12887.3217</v>
      </c>
      <c r="G242" s="57">
        <v>11237.387778534679</v>
      </c>
      <c r="H242" s="58">
        <v>0.17633144638716747</v>
      </c>
      <c r="I242" s="58">
        <v>-0.12802768176923218</v>
      </c>
      <c r="J242" s="58">
        <v>9.864295381110133E-2</v>
      </c>
    </row>
    <row r="243" spans="1:10" ht="11.25" customHeight="1" x14ac:dyDescent="0.2">
      <c r="A243" s="67">
        <v>44013</v>
      </c>
      <c r="B243" s="57">
        <v>35809.340000000004</v>
      </c>
      <c r="C243" s="57">
        <v>42484.618070011413</v>
      </c>
      <c r="D243" s="57">
        <v>2737.95345</v>
      </c>
      <c r="E243" s="57">
        <v>2837.4925676077019</v>
      </c>
      <c r="F243" s="57">
        <v>13969.236269999999</v>
      </c>
      <c r="G243" s="57">
        <v>12180.787334265222</v>
      </c>
      <c r="H243" s="58">
        <v>0.17575338191789736</v>
      </c>
      <c r="I243" s="58">
        <v>-0.12802768176923229</v>
      </c>
      <c r="J243" s="58">
        <v>9.4948548170831648E-2</v>
      </c>
    </row>
    <row r="244" spans="1:10" ht="11.25" customHeight="1" x14ac:dyDescent="0.2">
      <c r="A244" s="67">
        <v>44044</v>
      </c>
      <c r="B244" s="57">
        <v>36887.520000000004</v>
      </c>
      <c r="C244" s="57">
        <v>43763.78338025519</v>
      </c>
      <c r="D244" s="57">
        <v>2285.8081500000003</v>
      </c>
      <c r="E244" s="57">
        <v>2368.9093898225742</v>
      </c>
      <c r="F244" s="57">
        <v>11662.35829</v>
      </c>
      <c r="G244" s="57">
        <v>10169.253594169113</v>
      </c>
      <c r="H244" s="58">
        <v>0.17765568943821708</v>
      </c>
      <c r="I244" s="58">
        <v>-0.12802768176923218</v>
      </c>
      <c r="J244" s="58">
        <v>0.10752800457801537</v>
      </c>
    </row>
    <row r="245" spans="1:10" ht="11.25" customHeight="1" x14ac:dyDescent="0.2">
      <c r="A245" s="67">
        <v>44075</v>
      </c>
      <c r="B245" s="57">
        <v>36887.520000000004</v>
      </c>
      <c r="C245" s="57">
        <v>43763.78338025519</v>
      </c>
      <c r="D245" s="57">
        <v>2285.8081500000003</v>
      </c>
      <c r="E245" s="57">
        <v>2368.9093898225742</v>
      </c>
      <c r="F245" s="57">
        <v>11662.35829</v>
      </c>
      <c r="G245" s="57">
        <v>10169.253594169113</v>
      </c>
      <c r="H245" s="58">
        <v>0.17765568943821708</v>
      </c>
      <c r="I245" s="58">
        <v>-0.12802768176923218</v>
      </c>
      <c r="J245" s="58">
        <v>0.10752800457801537</v>
      </c>
    </row>
    <row r="246" spans="1:10" ht="11.25" customHeight="1" x14ac:dyDescent="0.2">
      <c r="A246" s="62" t="s">
        <v>48</v>
      </c>
      <c r="B246" s="57">
        <v>8360426.9300000006</v>
      </c>
      <c r="C246" s="57">
        <v>10243703.633760242</v>
      </c>
      <c r="D246" s="57">
        <v>8015878.3879499994</v>
      </c>
      <c r="E246" s="57">
        <v>8307298.0472532641</v>
      </c>
      <c r="F246" s="57">
        <v>25830288.65315</v>
      </c>
      <c r="G246" s="57">
        <v>23152510.117380563</v>
      </c>
      <c r="H246" s="58">
        <v>0.13279529911303189</v>
      </c>
      <c r="I246" s="58">
        <v>-0.10366816150321601</v>
      </c>
      <c r="J246" s="58">
        <v>-1.1919516013313203E-2</v>
      </c>
    </row>
    <row r="247" spans="1:10" ht="11.25" customHeight="1" x14ac:dyDescent="0.2">
      <c r="A247" s="63" t="s">
        <v>25</v>
      </c>
      <c r="B247" s="57">
        <v>8360426.9300000006</v>
      </c>
      <c r="C247" s="57">
        <v>10243703.633760242</v>
      </c>
      <c r="D247" s="57">
        <v>8015878.3879499994</v>
      </c>
      <c r="E247" s="57">
        <v>8307298.0472532641</v>
      </c>
      <c r="F247" s="57">
        <v>25830288.65315</v>
      </c>
      <c r="G247" s="57">
        <v>23152510.117380563</v>
      </c>
      <c r="H247" s="58">
        <v>0.13279529911303189</v>
      </c>
      <c r="I247" s="58">
        <v>-0.10366816150321601</v>
      </c>
      <c r="J247" s="58">
        <v>-1.1919516013313203E-2</v>
      </c>
    </row>
    <row r="248" spans="1:10" ht="11.25" customHeight="1" x14ac:dyDescent="0.2">
      <c r="A248" s="64" t="s">
        <v>25</v>
      </c>
      <c r="B248" s="57">
        <v>8360426.9300000006</v>
      </c>
      <c r="C248" s="57">
        <v>10243703.633760242</v>
      </c>
      <c r="D248" s="57">
        <v>8015878.3879499994</v>
      </c>
      <c r="E248" s="57">
        <v>8307298.0472532641</v>
      </c>
      <c r="F248" s="57">
        <v>25830288.65315</v>
      </c>
      <c r="G248" s="57">
        <v>23152510.117380563</v>
      </c>
      <c r="H248" s="58">
        <v>0.13279529911303189</v>
      </c>
      <c r="I248" s="58">
        <v>-0.10366816150321601</v>
      </c>
      <c r="J248" s="58">
        <v>-1.1919516013313203E-2</v>
      </c>
    </row>
    <row r="249" spans="1:10" ht="11.25" customHeight="1" x14ac:dyDescent="0.2">
      <c r="A249" s="65" t="s">
        <v>25</v>
      </c>
      <c r="B249" s="57">
        <v>8360426.9300000006</v>
      </c>
      <c r="C249" s="57">
        <v>10243703.633760242</v>
      </c>
      <c r="D249" s="57">
        <v>8015878.3879499994</v>
      </c>
      <c r="E249" s="57">
        <v>8307298.0472532641</v>
      </c>
      <c r="F249" s="57">
        <v>25830288.65315</v>
      </c>
      <c r="G249" s="57">
        <v>23152510.117380563</v>
      </c>
      <c r="H249" s="58">
        <v>0.13279529911303189</v>
      </c>
      <c r="I249" s="58">
        <v>-0.10366816150321601</v>
      </c>
      <c r="J249" s="58">
        <v>-1.1919516013313203E-2</v>
      </c>
    </row>
    <row r="250" spans="1:10" ht="11.25" customHeight="1" x14ac:dyDescent="0.2">
      <c r="A250" s="66" t="s">
        <v>36</v>
      </c>
      <c r="B250" s="57">
        <v>2861250.1300000004</v>
      </c>
      <c r="C250" s="57">
        <v>3719416.2258530445</v>
      </c>
      <c r="D250" s="57">
        <v>7292301.245099999</v>
      </c>
      <c r="E250" s="57">
        <v>7557415.040685825</v>
      </c>
      <c r="F250" s="57">
        <v>22138545.804839998</v>
      </c>
      <c r="G250" s="57">
        <v>19933412.547627829</v>
      </c>
      <c r="H250" s="58">
        <v>0.11062926161909559</v>
      </c>
      <c r="I250" s="58">
        <v>-9.9606057084836941E-2</v>
      </c>
      <c r="J250" s="58">
        <v>-3.3502109192380169E-2</v>
      </c>
    </row>
    <row r="251" spans="1:10" ht="11.25" customHeight="1" x14ac:dyDescent="0.2">
      <c r="A251" s="67">
        <v>43739</v>
      </c>
      <c r="B251" s="57">
        <v>252776.52000000002</v>
      </c>
      <c r="C251" s="57">
        <v>328591.01696315745</v>
      </c>
      <c r="D251" s="57">
        <v>707529.36269999994</v>
      </c>
      <c r="E251" s="57">
        <v>733251.80456426833</v>
      </c>
      <c r="F251" s="57">
        <v>2147973.6886799997</v>
      </c>
      <c r="G251" s="57">
        <v>1934022.4988286118</v>
      </c>
      <c r="H251" s="58">
        <v>0.10573395483316639</v>
      </c>
      <c r="I251" s="58">
        <v>-9.9606057084836941E-2</v>
      </c>
      <c r="J251" s="58">
        <v>-3.6166068219549818E-2</v>
      </c>
    </row>
    <row r="252" spans="1:10" ht="11.25" customHeight="1" x14ac:dyDescent="0.2">
      <c r="A252" s="67">
        <v>43770</v>
      </c>
      <c r="B252" s="57">
        <v>251155.48</v>
      </c>
      <c r="C252" s="57">
        <v>326483.78333980526</v>
      </c>
      <c r="D252" s="57">
        <v>781244.16314999992</v>
      </c>
      <c r="E252" s="57">
        <v>809646.5286599464</v>
      </c>
      <c r="F252" s="57">
        <v>2371762.9194599995</v>
      </c>
      <c r="G252" s="57">
        <v>2135520.9667125675</v>
      </c>
      <c r="H252" s="58">
        <v>0.1004753048279392</v>
      </c>
      <c r="I252" s="58">
        <v>-9.960605708483683E-2</v>
      </c>
      <c r="J252" s="58">
        <v>-3.8926250277566909E-2</v>
      </c>
    </row>
    <row r="253" spans="1:10" ht="11.25" customHeight="1" x14ac:dyDescent="0.2">
      <c r="A253" s="67">
        <v>43800</v>
      </c>
      <c r="B253" s="57">
        <v>252291.97</v>
      </c>
      <c r="C253" s="57">
        <v>327961.13734748156</v>
      </c>
      <c r="D253" s="57">
        <v>710475.06315000006</v>
      </c>
      <c r="E253" s="57">
        <v>736304.59683627496</v>
      </c>
      <c r="F253" s="57">
        <v>2156916.4794600001</v>
      </c>
      <c r="G253" s="57">
        <v>1942074.5334796815</v>
      </c>
      <c r="H253" s="58">
        <v>0.10542394737143335</v>
      </c>
      <c r="I253" s="58">
        <v>-9.9606057084837052E-2</v>
      </c>
      <c r="J253" s="58">
        <v>-3.6331648543328265E-2</v>
      </c>
    </row>
    <row r="254" spans="1:10" ht="11.25" customHeight="1" x14ac:dyDescent="0.2">
      <c r="A254" s="67">
        <v>43831</v>
      </c>
      <c r="B254" s="57">
        <v>244072.24000000002</v>
      </c>
      <c r="C254" s="57">
        <v>317276.0885942881</v>
      </c>
      <c r="D254" s="57">
        <v>669467.40990000009</v>
      </c>
      <c r="E254" s="57">
        <v>693806.09807183861</v>
      </c>
      <c r="F254" s="57">
        <v>2032422.19716</v>
      </c>
      <c r="G254" s="57">
        <v>1829980.6357691912</v>
      </c>
      <c r="H254" s="58">
        <v>0.10677427824485131</v>
      </c>
      <c r="I254" s="58">
        <v>-9.9606057084836941E-2</v>
      </c>
      <c r="J254" s="58">
        <v>-3.5607733592805557E-2</v>
      </c>
    </row>
    <row r="255" spans="1:10" ht="11.25" customHeight="1" x14ac:dyDescent="0.2">
      <c r="A255" s="67">
        <v>43862</v>
      </c>
      <c r="B255" s="57">
        <v>247155.74000000002</v>
      </c>
      <c r="C255" s="57">
        <v>321284.41342131671</v>
      </c>
      <c r="D255" s="57">
        <v>688594.15260000003</v>
      </c>
      <c r="E255" s="57">
        <v>713628.19923056907</v>
      </c>
      <c r="F255" s="57">
        <v>2090488.67784</v>
      </c>
      <c r="G255" s="57">
        <v>1882263.3432598636</v>
      </c>
      <c r="H255" s="58">
        <v>0.10597139346322559</v>
      </c>
      <c r="I255" s="58">
        <v>-9.9606057084837052E-2</v>
      </c>
      <c r="J255" s="58">
        <v>-3.6039000888285488E-2</v>
      </c>
    </row>
    <row r="256" spans="1:10" ht="11.25" customHeight="1" x14ac:dyDescent="0.2">
      <c r="A256" s="67">
        <v>43891</v>
      </c>
      <c r="B256" s="57">
        <v>246424.51</v>
      </c>
      <c r="C256" s="57">
        <v>320333.8678194785</v>
      </c>
      <c r="D256" s="57">
        <v>639411.90824999998</v>
      </c>
      <c r="E256" s="57">
        <v>662657.91965865332</v>
      </c>
      <c r="F256" s="57">
        <v>1941177.3243</v>
      </c>
      <c r="G256" s="57">
        <v>1747824.3049239828</v>
      </c>
      <c r="H256" s="58">
        <v>0.10967642244836306</v>
      </c>
      <c r="I256" s="58">
        <v>-9.9606057084837163E-2</v>
      </c>
      <c r="J256" s="58">
        <v>-3.4028009379648116E-2</v>
      </c>
    </row>
    <row r="257" spans="1:10" ht="11.25" customHeight="1" x14ac:dyDescent="0.2">
      <c r="A257" s="67">
        <v>43922</v>
      </c>
      <c r="B257" s="57">
        <v>235896.56</v>
      </c>
      <c r="C257" s="57">
        <v>306648.30162433797</v>
      </c>
      <c r="D257" s="57">
        <v>619266.36074999999</v>
      </c>
      <c r="E257" s="57">
        <v>641779.9747463183</v>
      </c>
      <c r="F257" s="57">
        <v>1880017.8753</v>
      </c>
      <c r="G257" s="57">
        <v>1692756.7074923541</v>
      </c>
      <c r="H257" s="58">
        <v>0.10906150554196148</v>
      </c>
      <c r="I257" s="58">
        <v>-9.9606057084837052E-2</v>
      </c>
      <c r="J257" s="58">
        <v>-3.4365484110861599E-2</v>
      </c>
    </row>
    <row r="258" spans="1:10" ht="11.25" customHeight="1" x14ac:dyDescent="0.2">
      <c r="A258" s="67">
        <v>43952</v>
      </c>
      <c r="B258" s="57">
        <v>238839.1</v>
      </c>
      <c r="C258" s="57">
        <v>310473.38874498813</v>
      </c>
      <c r="D258" s="57">
        <v>560870.11470000003</v>
      </c>
      <c r="E258" s="57">
        <v>581260.71568328876</v>
      </c>
      <c r="F258" s="57">
        <v>1702733.92548</v>
      </c>
      <c r="G258" s="57">
        <v>1533131.3128983504</v>
      </c>
      <c r="H258" s="58">
        <v>0.11507293905922888</v>
      </c>
      <c r="I258" s="58">
        <v>-9.9606057084837052E-2</v>
      </c>
      <c r="J258" s="58">
        <v>-3.1000793427735096E-2</v>
      </c>
    </row>
    <row r="259" spans="1:10" ht="11.25" customHeight="1" x14ac:dyDescent="0.2">
      <c r="A259" s="67">
        <v>43983</v>
      </c>
      <c r="B259" s="57">
        <v>219324.95</v>
      </c>
      <c r="C259" s="57">
        <v>285106.41876822128</v>
      </c>
      <c r="D259" s="57">
        <v>486051.97499999998</v>
      </c>
      <c r="E259" s="57">
        <v>503722.54010876064</v>
      </c>
      <c r="F259" s="57">
        <v>1475595.0899999999</v>
      </c>
      <c r="G259" s="57">
        <v>1328616.8812313548</v>
      </c>
      <c r="H259" s="58">
        <v>0.11830842620345394</v>
      </c>
      <c r="I259" s="58">
        <v>-9.9606057084836941E-2</v>
      </c>
      <c r="J259" s="58">
        <v>-2.9127459891622132E-2</v>
      </c>
    </row>
    <row r="260" spans="1:10" ht="11.25" customHeight="1" x14ac:dyDescent="0.2">
      <c r="A260" s="67">
        <v>44013</v>
      </c>
      <c r="B260" s="57">
        <v>220161.90000000002</v>
      </c>
      <c r="C260" s="57">
        <v>286194.39264984336</v>
      </c>
      <c r="D260" s="57">
        <v>452831.54070000001</v>
      </c>
      <c r="E260" s="57">
        <v>469294.36697128462</v>
      </c>
      <c r="F260" s="57">
        <v>1374741.8638800001</v>
      </c>
      <c r="G260" s="57">
        <v>1237809.2473094536</v>
      </c>
      <c r="H260" s="58">
        <v>0.1225796775007526</v>
      </c>
      <c r="I260" s="58">
        <v>-9.9606057084837052E-2</v>
      </c>
      <c r="J260" s="58">
        <v>-2.6584147632588651E-2</v>
      </c>
    </row>
    <row r="261" spans="1:10" ht="11.25" customHeight="1" x14ac:dyDescent="0.2">
      <c r="A261" s="67">
        <v>44044</v>
      </c>
      <c r="B261" s="57">
        <v>226575.58000000002</v>
      </c>
      <c r="C261" s="57">
        <v>294531.7082900629</v>
      </c>
      <c r="D261" s="57">
        <v>488279.59710000001</v>
      </c>
      <c r="E261" s="57">
        <v>506031.14807731053</v>
      </c>
      <c r="F261" s="57">
        <v>1482357.8816399998</v>
      </c>
      <c r="G261" s="57">
        <v>1334706.057861208</v>
      </c>
      <c r="H261" s="58">
        <v>0.11989516480116902</v>
      </c>
      <c r="I261" s="58">
        <v>-9.9606057084836941E-2</v>
      </c>
      <c r="J261" s="58">
        <v>-2.8192142889839067E-2</v>
      </c>
    </row>
    <row r="262" spans="1:10" ht="11.25" customHeight="1" x14ac:dyDescent="0.2">
      <c r="A262" s="67">
        <v>44075</v>
      </c>
      <c r="B262" s="57">
        <v>226575.58000000002</v>
      </c>
      <c r="C262" s="57">
        <v>294531.7082900629</v>
      </c>
      <c r="D262" s="57">
        <v>488279.59710000001</v>
      </c>
      <c r="E262" s="57">
        <v>506031.14807731053</v>
      </c>
      <c r="F262" s="57">
        <v>1482357.8816399998</v>
      </c>
      <c r="G262" s="57">
        <v>1334706.057861208</v>
      </c>
      <c r="H262" s="58">
        <v>0.11989516480116902</v>
      </c>
      <c r="I262" s="58">
        <v>-9.9606057084836941E-2</v>
      </c>
      <c r="J262" s="58">
        <v>-2.8192142889839067E-2</v>
      </c>
    </row>
    <row r="263" spans="1:10" ht="11.25" customHeight="1" x14ac:dyDescent="0.2">
      <c r="A263" s="66" t="s">
        <v>35</v>
      </c>
      <c r="B263" s="57">
        <v>5499176.7999999998</v>
      </c>
      <c r="C263" s="57">
        <v>6524287.4079071982</v>
      </c>
      <c r="D263" s="57">
        <v>723577.14285000006</v>
      </c>
      <c r="E263" s="57">
        <v>749883.00656743872</v>
      </c>
      <c r="F263" s="57">
        <v>3691742.8483100003</v>
      </c>
      <c r="G263" s="57">
        <v>3219097.5697527281</v>
      </c>
      <c r="H263" s="58">
        <v>0.16896320845736201</v>
      </c>
      <c r="I263" s="58">
        <v>-0.12802768176923185</v>
      </c>
      <c r="J263" s="58">
        <v>5.8376255019156664E-2</v>
      </c>
    </row>
    <row r="264" spans="1:10" ht="11.25" customHeight="1" x14ac:dyDescent="0.2">
      <c r="A264" s="67">
        <v>43739</v>
      </c>
      <c r="B264" s="57">
        <v>480409.48000000004</v>
      </c>
      <c r="C264" s="57">
        <v>569963.40270479117</v>
      </c>
      <c r="D264" s="57">
        <v>59067.285749999995</v>
      </c>
      <c r="E264" s="57">
        <v>61214.694612278865</v>
      </c>
      <c r="F264" s="57">
        <v>301365.55844999995</v>
      </c>
      <c r="G264" s="57">
        <v>262782.42463655642</v>
      </c>
      <c r="H264" s="58">
        <v>0.16998198511771578</v>
      </c>
      <c r="I264" s="58">
        <v>-0.12802768176923218</v>
      </c>
      <c r="J264" s="58">
        <v>6.3172602311812209E-2</v>
      </c>
    </row>
    <row r="265" spans="1:10" ht="11.25" customHeight="1" x14ac:dyDescent="0.2">
      <c r="A265" s="67">
        <v>43770</v>
      </c>
      <c r="B265" s="57">
        <v>482015.28</v>
      </c>
      <c r="C265" s="57">
        <v>571868.54252855852</v>
      </c>
      <c r="D265" s="57">
        <v>81197.661599999992</v>
      </c>
      <c r="E265" s="57">
        <v>84149.626903673372</v>
      </c>
      <c r="F265" s="57">
        <v>414276.33455999999</v>
      </c>
      <c r="G265" s="57">
        <v>361237.49583442829</v>
      </c>
      <c r="H265" s="58">
        <v>0.16477822325706293</v>
      </c>
      <c r="I265" s="58">
        <v>-0.12802768176923229</v>
      </c>
      <c r="J265" s="58">
        <v>4.0682174297481666E-2</v>
      </c>
    </row>
    <row r="266" spans="1:10" ht="11.25" customHeight="1" x14ac:dyDescent="0.2">
      <c r="A266" s="67">
        <v>43800</v>
      </c>
      <c r="B266" s="57">
        <v>476601.44</v>
      </c>
      <c r="C266" s="57">
        <v>565445.49969414296</v>
      </c>
      <c r="D266" s="57">
        <v>70367.878049999999</v>
      </c>
      <c r="E266" s="57">
        <v>72926.123329525624</v>
      </c>
      <c r="F266" s="57">
        <v>359021.99663000001</v>
      </c>
      <c r="G266" s="57">
        <v>313057.24269729998</v>
      </c>
      <c r="H266" s="58">
        <v>0.16710682291929424</v>
      </c>
      <c r="I266" s="58">
        <v>-0.12802768176923229</v>
      </c>
      <c r="J266" s="58">
        <v>5.015230312336616E-2</v>
      </c>
    </row>
    <row r="267" spans="1:10" ht="11.25" customHeight="1" x14ac:dyDescent="0.2">
      <c r="A267" s="67">
        <v>43831</v>
      </c>
      <c r="B267" s="57">
        <v>478023.72000000003</v>
      </c>
      <c r="C267" s="57">
        <v>567132.90925233683</v>
      </c>
      <c r="D267" s="57">
        <v>62560.391100000008</v>
      </c>
      <c r="E267" s="57">
        <v>64834.792853355873</v>
      </c>
      <c r="F267" s="57">
        <v>319187.63426000002</v>
      </c>
      <c r="G267" s="57">
        <v>278322.78139628662</v>
      </c>
      <c r="H267" s="58">
        <v>0.16904601731586588</v>
      </c>
      <c r="I267" s="58">
        <v>-0.12802768176923229</v>
      </c>
      <c r="J267" s="58">
        <v>5.8758313953229946E-2</v>
      </c>
    </row>
    <row r="268" spans="1:10" ht="11.25" customHeight="1" x14ac:dyDescent="0.2">
      <c r="A268" s="67">
        <v>43862</v>
      </c>
      <c r="B268" s="57">
        <v>483666.96</v>
      </c>
      <c r="C268" s="57">
        <v>573828.11491871916</v>
      </c>
      <c r="D268" s="57">
        <v>69194.952000000005</v>
      </c>
      <c r="E268" s="57">
        <v>71710.555201722556</v>
      </c>
      <c r="F268" s="57">
        <v>353037.64320000005</v>
      </c>
      <c r="G268" s="57">
        <v>307839.05216383061</v>
      </c>
      <c r="H268" s="58">
        <v>0.16763093298501941</v>
      </c>
      <c r="I268" s="58">
        <v>-0.12802768176923252</v>
      </c>
      <c r="J268" s="58">
        <v>5.2409968425020548E-2</v>
      </c>
    </row>
    <row r="269" spans="1:10" ht="11.25" customHeight="1" x14ac:dyDescent="0.2">
      <c r="A269" s="67">
        <v>43891</v>
      </c>
      <c r="B269" s="57">
        <v>471990.5</v>
      </c>
      <c r="C269" s="57">
        <v>559975.02677161107</v>
      </c>
      <c r="D269" s="57">
        <v>61877.10615</v>
      </c>
      <c r="E269" s="57">
        <v>64126.666874375762</v>
      </c>
      <c r="F269" s="57">
        <v>315701.46509000001</v>
      </c>
      <c r="G269" s="57">
        <v>275282.9383833771</v>
      </c>
      <c r="H269" s="58">
        <v>0.16901959672494882</v>
      </c>
      <c r="I269" s="58">
        <v>-0.12802768176923229</v>
      </c>
      <c r="J269" s="58">
        <v>5.8636269228415916E-2</v>
      </c>
    </row>
    <row r="270" spans="1:10" ht="11.25" customHeight="1" x14ac:dyDescent="0.2">
      <c r="A270" s="67">
        <v>43922</v>
      </c>
      <c r="B270" s="57">
        <v>454395.52</v>
      </c>
      <c r="C270" s="57">
        <v>539100.13755976036</v>
      </c>
      <c r="D270" s="57">
        <v>62093.467050000007</v>
      </c>
      <c r="E270" s="57">
        <v>64350.8936396887</v>
      </c>
      <c r="F270" s="57">
        <v>316805.35402999999</v>
      </c>
      <c r="G270" s="57">
        <v>276245.49898145819</v>
      </c>
      <c r="H270" s="58">
        <v>0.16837153614086753</v>
      </c>
      <c r="I270" s="58">
        <v>-0.12802768176923229</v>
      </c>
      <c r="J270" s="58">
        <v>5.5685232472318713E-2</v>
      </c>
    </row>
    <row r="271" spans="1:10" ht="11.25" customHeight="1" x14ac:dyDescent="0.2">
      <c r="A271" s="67">
        <v>43952</v>
      </c>
      <c r="B271" s="57">
        <v>465200.26</v>
      </c>
      <c r="C271" s="57">
        <v>551919.00694539491</v>
      </c>
      <c r="D271" s="57">
        <v>53672.535300000003</v>
      </c>
      <c r="E271" s="57">
        <v>55623.816394107082</v>
      </c>
      <c r="F271" s="57">
        <v>273841.15198000002</v>
      </c>
      <c r="G271" s="57">
        <v>238781.90411898459</v>
      </c>
      <c r="H271" s="58">
        <v>0.17088972257301527</v>
      </c>
      <c r="I271" s="58">
        <v>-0.1280276817692324</v>
      </c>
      <c r="J271" s="58">
        <v>6.7629414573111335E-2</v>
      </c>
    </row>
    <row r="272" spans="1:10" ht="11.25" customHeight="1" x14ac:dyDescent="0.2">
      <c r="A272" s="67">
        <v>43983</v>
      </c>
      <c r="B272" s="57">
        <v>417852.10000000003</v>
      </c>
      <c r="C272" s="57">
        <v>495744.59842745541</v>
      </c>
      <c r="D272" s="57">
        <v>50262.190950000004</v>
      </c>
      <c r="E272" s="57">
        <v>52089.487953969452</v>
      </c>
      <c r="F272" s="57">
        <v>256441.32876999999</v>
      </c>
      <c r="G272" s="57">
        <v>223609.73993775537</v>
      </c>
      <c r="H272" s="58">
        <v>0.17029985405837533</v>
      </c>
      <c r="I272" s="58">
        <v>-0.12802768176923229</v>
      </c>
      <c r="J272" s="58">
        <v>6.4713053522792219E-2</v>
      </c>
    </row>
    <row r="273" spans="1:10" ht="11.25" customHeight="1" x14ac:dyDescent="0.2">
      <c r="A273" s="67">
        <v>44013</v>
      </c>
      <c r="B273" s="57">
        <v>418677.94</v>
      </c>
      <c r="C273" s="57">
        <v>496724.38462253573</v>
      </c>
      <c r="D273" s="57">
        <v>47213.123699999996</v>
      </c>
      <c r="E273" s="57">
        <v>48929.570950993722</v>
      </c>
      <c r="F273" s="57">
        <v>240884.76741999999</v>
      </c>
      <c r="G273" s="57">
        <v>210044.84907369671</v>
      </c>
      <c r="H273" s="58">
        <v>0.17120502642843349</v>
      </c>
      <c r="I273" s="58">
        <v>-0.12802768176923229</v>
      </c>
      <c r="J273" s="58">
        <v>6.9219929959545734E-2</v>
      </c>
    </row>
    <row r="274" spans="1:10" ht="11.25" customHeight="1" x14ac:dyDescent="0.2">
      <c r="A274" s="67">
        <v>44044</v>
      </c>
      <c r="B274" s="57">
        <v>435171.80000000005</v>
      </c>
      <c r="C274" s="57">
        <v>516292.89224094583</v>
      </c>
      <c r="D274" s="57">
        <v>53035.275600000008</v>
      </c>
      <c r="E274" s="57">
        <v>54963.388926873879</v>
      </c>
      <c r="F274" s="57">
        <v>270589.80696000002</v>
      </c>
      <c r="G274" s="57">
        <v>235946.82126452716</v>
      </c>
      <c r="H274" s="58">
        <v>0.17011061436533526</v>
      </c>
      <c r="I274" s="58">
        <v>-0.12802768176923218</v>
      </c>
      <c r="J274" s="58">
        <v>6.3793382636254004E-2</v>
      </c>
    </row>
    <row r="275" spans="1:10" ht="11.25" customHeight="1" x14ac:dyDescent="0.2">
      <c r="A275" s="67">
        <v>44075</v>
      </c>
      <c r="B275" s="57">
        <v>435171.80000000005</v>
      </c>
      <c r="C275" s="57">
        <v>516292.89224094583</v>
      </c>
      <c r="D275" s="57">
        <v>53035.275600000008</v>
      </c>
      <c r="E275" s="57">
        <v>54963.388926873879</v>
      </c>
      <c r="F275" s="57">
        <v>270589.80696000002</v>
      </c>
      <c r="G275" s="57">
        <v>235946.82126452716</v>
      </c>
      <c r="H275" s="58">
        <v>0.17011061436533526</v>
      </c>
      <c r="I275" s="58">
        <v>-0.12802768176923218</v>
      </c>
      <c r="J275" s="58">
        <v>6.3793382636254004E-2</v>
      </c>
    </row>
    <row r="276" spans="1:10" ht="11.25" customHeight="1" x14ac:dyDescent="0.2">
      <c r="A276" s="62" t="s">
        <v>47</v>
      </c>
      <c r="B276" s="57">
        <v>253653.89920000001</v>
      </c>
      <c r="C276" s="57">
        <v>309739.27681909624</v>
      </c>
      <c r="D276" s="57">
        <v>325674.1352759999</v>
      </c>
      <c r="E276" s="57">
        <v>337514.11599335843</v>
      </c>
      <c r="F276" s="57">
        <v>1047638.1959584</v>
      </c>
      <c r="G276" s="57">
        <v>939151.21134774189</v>
      </c>
      <c r="H276" s="58">
        <v>0.11724852638607919</v>
      </c>
      <c r="I276" s="58">
        <v>-0.10355386528400878</v>
      </c>
      <c r="J276" s="58">
        <v>-2.4930834774224864E-2</v>
      </c>
    </row>
    <row r="277" spans="1:10" ht="11.25" customHeight="1" x14ac:dyDescent="0.2">
      <c r="A277" s="63" t="s">
        <v>25</v>
      </c>
      <c r="B277" s="57">
        <v>253653.89920000001</v>
      </c>
      <c r="C277" s="57">
        <v>309739.27681909624</v>
      </c>
      <c r="D277" s="57">
        <v>325674.1352759999</v>
      </c>
      <c r="E277" s="57">
        <v>337514.11599335843</v>
      </c>
      <c r="F277" s="57">
        <v>1047638.1959584</v>
      </c>
      <c r="G277" s="57">
        <v>939151.21134774189</v>
      </c>
      <c r="H277" s="58">
        <v>0.11724852638607919</v>
      </c>
      <c r="I277" s="58">
        <v>-0.10355386528400878</v>
      </c>
      <c r="J277" s="58">
        <v>-2.4930834774224864E-2</v>
      </c>
    </row>
    <row r="278" spans="1:10" ht="11.25" customHeight="1" x14ac:dyDescent="0.2">
      <c r="A278" s="64" t="s">
        <v>25</v>
      </c>
      <c r="B278" s="57">
        <v>253653.89920000001</v>
      </c>
      <c r="C278" s="57">
        <v>309739.27681909624</v>
      </c>
      <c r="D278" s="57">
        <v>325674.1352759999</v>
      </c>
      <c r="E278" s="57">
        <v>337514.11599335843</v>
      </c>
      <c r="F278" s="57">
        <v>1047638.1959584</v>
      </c>
      <c r="G278" s="57">
        <v>939151.21134774189</v>
      </c>
      <c r="H278" s="58">
        <v>0.11724852638607919</v>
      </c>
      <c r="I278" s="58">
        <v>-0.10355386528400878</v>
      </c>
      <c r="J278" s="58">
        <v>-2.4930834774224864E-2</v>
      </c>
    </row>
    <row r="279" spans="1:10" ht="11.25" customHeight="1" x14ac:dyDescent="0.2">
      <c r="A279" s="65" t="s">
        <v>25</v>
      </c>
      <c r="B279" s="57">
        <v>253653.89920000001</v>
      </c>
      <c r="C279" s="57">
        <v>309739.27681909624</v>
      </c>
      <c r="D279" s="57">
        <v>325674.1352759999</v>
      </c>
      <c r="E279" s="57">
        <v>337514.11599335843</v>
      </c>
      <c r="F279" s="57">
        <v>1047638.1959584</v>
      </c>
      <c r="G279" s="57">
        <v>939151.21134774189</v>
      </c>
      <c r="H279" s="58">
        <v>0.11724852638607919</v>
      </c>
      <c r="I279" s="58">
        <v>-0.10355386528400878</v>
      </c>
      <c r="J279" s="58">
        <v>-2.4930834774224864E-2</v>
      </c>
    </row>
    <row r="280" spans="1:10" ht="11.25" customHeight="1" x14ac:dyDescent="0.2">
      <c r="A280" s="66" t="s">
        <v>36</v>
      </c>
      <c r="B280" s="57">
        <v>77534.343200000003</v>
      </c>
      <c r="C280" s="57">
        <v>100788.98420493514</v>
      </c>
      <c r="D280" s="57">
        <v>297152.66787599999</v>
      </c>
      <c r="E280" s="57">
        <v>307955.74210472795</v>
      </c>
      <c r="F280" s="57">
        <v>902119.60911839991</v>
      </c>
      <c r="G280" s="57">
        <v>812263.03183520178</v>
      </c>
      <c r="H280" s="58">
        <v>9.0896439499887016E-2</v>
      </c>
      <c r="I280" s="58">
        <v>-9.9606057084836941E-2</v>
      </c>
      <c r="J280" s="58">
        <v>-4.3701889673034011E-2</v>
      </c>
    </row>
    <row r="281" spans="1:10" ht="11.25" customHeight="1" x14ac:dyDescent="0.2">
      <c r="A281" s="67">
        <v>43739</v>
      </c>
      <c r="B281" s="57">
        <v>6330.1612000000005</v>
      </c>
      <c r="C281" s="57">
        <v>8228.7472991902941</v>
      </c>
      <c r="D281" s="57">
        <v>27348.521081999999</v>
      </c>
      <c r="E281" s="57">
        <v>28342.784755978064</v>
      </c>
      <c r="F281" s="57">
        <v>83026.8068088</v>
      </c>
      <c r="G281" s="57">
        <v>74756.833950230925</v>
      </c>
      <c r="H281" s="58">
        <v>8.5895574801466479E-2</v>
      </c>
      <c r="I281" s="58">
        <v>-9.9606057084837163E-2</v>
      </c>
      <c r="J281" s="58">
        <v>-4.6074294596522125E-2</v>
      </c>
    </row>
    <row r="282" spans="1:10" ht="11.25" customHeight="1" x14ac:dyDescent="0.2">
      <c r="A282" s="67">
        <v>43770</v>
      </c>
      <c r="B282" s="57">
        <v>6313.9508000000005</v>
      </c>
      <c r="C282" s="57">
        <v>8207.674962956773</v>
      </c>
      <c r="D282" s="57">
        <v>25327.855530000004</v>
      </c>
      <c r="E282" s="57">
        <v>26248.657302707848</v>
      </c>
      <c r="F282" s="57">
        <v>76892.31025200001</v>
      </c>
      <c r="G282" s="57">
        <v>69233.370407654293</v>
      </c>
      <c r="H282" s="58">
        <v>8.8949597450640017E-2</v>
      </c>
      <c r="I282" s="58">
        <v>-9.9606057084837052E-2</v>
      </c>
      <c r="J282" s="58">
        <v>-4.4634941170973108E-2</v>
      </c>
    </row>
    <row r="283" spans="1:10" ht="11.25" customHeight="1" x14ac:dyDescent="0.2">
      <c r="A283" s="67">
        <v>43800</v>
      </c>
      <c r="B283" s="57">
        <v>5941.1116000000002</v>
      </c>
      <c r="C283" s="57">
        <v>7723.0112295857689</v>
      </c>
      <c r="D283" s="57">
        <v>23103.165534</v>
      </c>
      <c r="E283" s="57">
        <v>23943.088035676948</v>
      </c>
      <c r="F283" s="57">
        <v>70138.420125599994</v>
      </c>
      <c r="G283" s="57">
        <v>63152.208646729203</v>
      </c>
      <c r="H283" s="58">
        <v>9.0269835918675545E-2</v>
      </c>
      <c r="I283" s="58">
        <v>-9.9606057084836941E-2</v>
      </c>
      <c r="J283" s="58">
        <v>-4.4003535578234554E-2</v>
      </c>
    </row>
    <row r="284" spans="1:10" ht="11.25" customHeight="1" x14ac:dyDescent="0.2">
      <c r="A284" s="67">
        <v>43831</v>
      </c>
      <c r="B284" s="57">
        <v>5851.9544000000005</v>
      </c>
      <c r="C284" s="57">
        <v>7607.1133803013981</v>
      </c>
      <c r="D284" s="57">
        <v>25519.37124</v>
      </c>
      <c r="E284" s="57">
        <v>26447.135623697966</v>
      </c>
      <c r="F284" s="57">
        <v>77473.728816000003</v>
      </c>
      <c r="G284" s="57">
        <v>69756.876160978325</v>
      </c>
      <c r="H284" s="58">
        <v>8.5521517158283489E-2</v>
      </c>
      <c r="I284" s="58">
        <v>-9.9606057084837052E-2</v>
      </c>
      <c r="J284" s="58">
        <v>-4.6248580757128122E-2</v>
      </c>
    </row>
    <row r="285" spans="1:10" ht="11.25" customHeight="1" x14ac:dyDescent="0.2">
      <c r="A285" s="67">
        <v>43862</v>
      </c>
      <c r="B285" s="57">
        <v>6297.7404000000006</v>
      </c>
      <c r="C285" s="57">
        <v>8186.6026267232501</v>
      </c>
      <c r="D285" s="57">
        <v>24714.772176000002</v>
      </c>
      <c r="E285" s="57">
        <v>25613.285119773544</v>
      </c>
      <c r="F285" s="57">
        <v>75031.063238400006</v>
      </c>
      <c r="G285" s="57">
        <v>67557.514870339917</v>
      </c>
      <c r="H285" s="58">
        <v>8.9879050066194566E-2</v>
      </c>
      <c r="I285" s="58">
        <v>-9.9606057084837052E-2</v>
      </c>
      <c r="J285" s="58">
        <v>-4.4191014510536197E-2</v>
      </c>
    </row>
    <row r="286" spans="1:10" ht="11.25" customHeight="1" x14ac:dyDescent="0.2">
      <c r="A286" s="67">
        <v>43891</v>
      </c>
      <c r="B286" s="57">
        <v>6686.79</v>
      </c>
      <c r="C286" s="57">
        <v>8692.3386963277753</v>
      </c>
      <c r="D286" s="57">
        <v>24775.451190000003</v>
      </c>
      <c r="E286" s="57">
        <v>25676.170137499015</v>
      </c>
      <c r="F286" s="57">
        <v>75215.277396000005</v>
      </c>
      <c r="G286" s="57">
        <v>67723.38018204218</v>
      </c>
      <c r="H286" s="58">
        <v>9.237319192475435E-2</v>
      </c>
      <c r="I286" s="58">
        <v>-9.9606057084836941E-2</v>
      </c>
      <c r="J286" s="58">
        <v>-4.2985903974080975E-2</v>
      </c>
    </row>
    <row r="287" spans="1:10" ht="11.25" customHeight="1" x14ac:dyDescent="0.2">
      <c r="A287" s="67">
        <v>43922</v>
      </c>
      <c r="B287" s="57">
        <v>6265.3196000000007</v>
      </c>
      <c r="C287" s="57">
        <v>8144.4579542562069</v>
      </c>
      <c r="D287" s="57">
        <v>25434.451698000004</v>
      </c>
      <c r="E287" s="57">
        <v>26359.128806317767</v>
      </c>
      <c r="F287" s="57">
        <v>77215.923343200018</v>
      </c>
      <c r="G287" s="57">
        <v>69524.749674818828</v>
      </c>
      <c r="H287" s="58">
        <v>8.8449075427584178E-2</v>
      </c>
      <c r="I287" s="58">
        <v>-9.9606057084837163E-2</v>
      </c>
      <c r="J287" s="58">
        <v>-4.4872855302512615E-2</v>
      </c>
    </row>
    <row r="288" spans="1:10" ht="11.25" customHeight="1" x14ac:dyDescent="0.2">
      <c r="A288" s="67">
        <v>43952</v>
      </c>
      <c r="B288" s="57">
        <v>6281.5300000000007</v>
      </c>
      <c r="C288" s="57">
        <v>8165.530290489728</v>
      </c>
      <c r="D288" s="57">
        <v>21381.466494000004</v>
      </c>
      <c r="E288" s="57">
        <v>22158.796111481777</v>
      </c>
      <c r="F288" s="57">
        <v>64911.549789600009</v>
      </c>
      <c r="G288" s="57">
        <v>58445.966255791871</v>
      </c>
      <c r="H288" s="58">
        <v>9.6205409582028834E-2</v>
      </c>
      <c r="I288" s="58">
        <v>-9.9606057084837052E-2</v>
      </c>
      <c r="J288" s="58">
        <v>-4.1093948375208744E-2</v>
      </c>
    </row>
    <row r="289" spans="1:10" ht="11.25" customHeight="1" x14ac:dyDescent="0.2">
      <c r="A289" s="67">
        <v>43983</v>
      </c>
      <c r="B289" s="57">
        <v>6467.9496000000008</v>
      </c>
      <c r="C289" s="57">
        <v>8407.8621571752301</v>
      </c>
      <c r="D289" s="57">
        <v>25601.959962000004</v>
      </c>
      <c r="E289" s="57">
        <v>26532.726883419065</v>
      </c>
      <c r="F289" s="57">
        <v>77724.458200800014</v>
      </c>
      <c r="G289" s="57">
        <v>69982.631380363091</v>
      </c>
      <c r="H289" s="58">
        <v>8.9513176613250867E-2</v>
      </c>
      <c r="I289" s="58">
        <v>-9.9606057084837163E-2</v>
      </c>
      <c r="J289" s="58">
        <v>-4.4366094919971344E-2</v>
      </c>
    </row>
    <row r="290" spans="1:10" ht="11.25" customHeight="1" x14ac:dyDescent="0.2">
      <c r="A290" s="67">
        <v>44013</v>
      </c>
      <c r="B290" s="57">
        <v>6897.5252</v>
      </c>
      <c r="C290" s="57">
        <v>8966.2790673635591</v>
      </c>
      <c r="D290" s="57">
        <v>16761.470477999999</v>
      </c>
      <c r="E290" s="57">
        <v>17370.83875677321</v>
      </c>
      <c r="F290" s="57">
        <v>50885.799895199998</v>
      </c>
      <c r="G290" s="57">
        <v>45817.26600603111</v>
      </c>
      <c r="H290" s="58">
        <v>0.11319678073347372</v>
      </c>
      <c r="I290" s="58">
        <v>-9.9606057084837052E-2</v>
      </c>
      <c r="J290" s="58">
        <v>-3.2066782458137322E-2</v>
      </c>
    </row>
    <row r="291" spans="1:10" ht="11.25" customHeight="1" x14ac:dyDescent="0.2">
      <c r="A291" s="67">
        <v>44044</v>
      </c>
      <c r="B291" s="57">
        <v>7100.1552000000011</v>
      </c>
      <c r="C291" s="57">
        <v>9229.6832702825832</v>
      </c>
      <c r="D291" s="57">
        <v>28592.091246000004</v>
      </c>
      <c r="E291" s="57">
        <v>29631.565285701348</v>
      </c>
      <c r="F291" s="57">
        <v>86802.135626400006</v>
      </c>
      <c r="G291" s="57">
        <v>78156.117150111037</v>
      </c>
      <c r="H291" s="58">
        <v>8.8786849400987355E-2</v>
      </c>
      <c r="I291" s="58">
        <v>-9.9606057084837052E-2</v>
      </c>
      <c r="J291" s="58">
        <v>-4.4712388222570509E-2</v>
      </c>
    </row>
    <row r="292" spans="1:10" ht="11.25" customHeight="1" x14ac:dyDescent="0.2">
      <c r="A292" s="67">
        <v>44075</v>
      </c>
      <c r="B292" s="57">
        <v>7100.1552000000011</v>
      </c>
      <c r="C292" s="57">
        <v>9229.6832702825832</v>
      </c>
      <c r="D292" s="57">
        <v>28592.091246000004</v>
      </c>
      <c r="E292" s="57">
        <v>29631.565285701348</v>
      </c>
      <c r="F292" s="57">
        <v>86802.135626400006</v>
      </c>
      <c r="G292" s="57">
        <v>78156.117150111037</v>
      </c>
      <c r="H292" s="58">
        <v>8.8786849400987355E-2</v>
      </c>
      <c r="I292" s="58">
        <v>-9.9606057084837052E-2</v>
      </c>
      <c r="J292" s="58">
        <v>-4.4712388222570509E-2</v>
      </c>
    </row>
    <row r="293" spans="1:10" ht="11.25" customHeight="1" x14ac:dyDescent="0.2">
      <c r="A293" s="66" t="s">
        <v>35</v>
      </c>
      <c r="B293" s="57">
        <v>176119.55600000004</v>
      </c>
      <c r="C293" s="57">
        <v>208950.29261416115</v>
      </c>
      <c r="D293" s="57">
        <v>28521.467399999998</v>
      </c>
      <c r="E293" s="57">
        <v>29558.373888630344</v>
      </c>
      <c r="F293" s="57">
        <v>145518.58684</v>
      </c>
      <c r="G293" s="57">
        <v>126888.17951254008</v>
      </c>
      <c r="H293" s="58">
        <v>0.16549781925490259</v>
      </c>
      <c r="I293" s="58">
        <v>-0.12802768176923229</v>
      </c>
      <c r="J293" s="58">
        <v>4.351511519243445E-2</v>
      </c>
    </row>
    <row r="294" spans="1:10" ht="11.25" customHeight="1" x14ac:dyDescent="0.2">
      <c r="A294" s="67">
        <v>43739</v>
      </c>
      <c r="B294" s="57">
        <v>14857.779200000003</v>
      </c>
      <c r="C294" s="57">
        <v>17627.442300823186</v>
      </c>
      <c r="D294" s="57">
        <v>2647.4230500000003</v>
      </c>
      <c r="E294" s="57">
        <v>2743.6709078046288</v>
      </c>
      <c r="F294" s="57">
        <v>13507.343630000001</v>
      </c>
      <c r="G294" s="57">
        <v>11778.029738190695</v>
      </c>
      <c r="H294" s="58">
        <v>0.16371767190680786</v>
      </c>
      <c r="I294" s="58">
        <v>-0.12802768176923229</v>
      </c>
      <c r="J294" s="58">
        <v>3.6649589208717526E-2</v>
      </c>
    </row>
    <row r="295" spans="1:10" ht="11.25" customHeight="1" x14ac:dyDescent="0.2">
      <c r="A295" s="67">
        <v>43770</v>
      </c>
      <c r="B295" s="57">
        <v>15195.456</v>
      </c>
      <c r="C295" s="57">
        <v>18028.065989478255</v>
      </c>
      <c r="D295" s="57">
        <v>2516.7417420000002</v>
      </c>
      <c r="E295" s="57">
        <v>2608.2386417172511</v>
      </c>
      <c r="F295" s="57">
        <v>12840.598157200002</v>
      </c>
      <c r="G295" s="57">
        <v>11196.646142603409</v>
      </c>
      <c r="H295" s="58">
        <v>0.16509000925739015</v>
      </c>
      <c r="I295" s="58">
        <v>-0.12802768176923229</v>
      </c>
      <c r="J295" s="58">
        <v>4.189976193414191E-2</v>
      </c>
    </row>
    <row r="296" spans="1:10" ht="11.25" customHeight="1" x14ac:dyDescent="0.2">
      <c r="A296" s="67">
        <v>43800</v>
      </c>
      <c r="B296" s="57">
        <v>13296.024000000001</v>
      </c>
      <c r="C296" s="57">
        <v>15774.557740793476</v>
      </c>
      <c r="D296" s="57">
        <v>2257.0107000000003</v>
      </c>
      <c r="E296" s="57">
        <v>2339.0649999038728</v>
      </c>
      <c r="F296" s="57">
        <v>11515.431620000001</v>
      </c>
      <c r="G296" s="57">
        <v>10041.137605119286</v>
      </c>
      <c r="H296" s="58">
        <v>0.16463591126028576</v>
      </c>
      <c r="I296" s="58">
        <v>-0.12802768176923229</v>
      </c>
      <c r="J296" s="58">
        <v>4.0131347412690532E-2</v>
      </c>
    </row>
    <row r="297" spans="1:10" ht="11.25" customHeight="1" x14ac:dyDescent="0.2">
      <c r="A297" s="67">
        <v>43831</v>
      </c>
      <c r="B297" s="57">
        <v>13908.063200000001</v>
      </c>
      <c r="C297" s="57">
        <v>16500.688176480791</v>
      </c>
      <c r="D297" s="57">
        <v>2285.5243980000005</v>
      </c>
      <c r="E297" s="57">
        <v>2368.6153219336393</v>
      </c>
      <c r="F297" s="57">
        <v>11660.910566800001</v>
      </c>
      <c r="G297" s="57">
        <v>10167.991219614252</v>
      </c>
      <c r="H297" s="58">
        <v>0.16523305192389226</v>
      </c>
      <c r="I297" s="58">
        <v>-0.12802768176923229</v>
      </c>
      <c r="J297" s="58">
        <v>4.2463394825163148E-2</v>
      </c>
    </row>
    <row r="298" spans="1:10" ht="11.25" customHeight="1" x14ac:dyDescent="0.2">
      <c r="A298" s="67">
        <v>43862</v>
      </c>
      <c r="B298" s="57">
        <v>14287.949600000002</v>
      </c>
      <c r="C298" s="57">
        <v>16951.38982621775</v>
      </c>
      <c r="D298" s="57">
        <v>2346.8249639999999</v>
      </c>
      <c r="E298" s="57">
        <v>2432.1444883682057</v>
      </c>
      <c r="F298" s="57">
        <v>11973.670482400001</v>
      </c>
      <c r="G298" s="57">
        <v>10440.709208269644</v>
      </c>
      <c r="H298" s="58">
        <v>0.16524177950296104</v>
      </c>
      <c r="I298" s="58">
        <v>-0.12802768176923229</v>
      </c>
      <c r="J298" s="58">
        <v>4.249788740645255E-2</v>
      </c>
    </row>
    <row r="299" spans="1:10" ht="11.25" customHeight="1" x14ac:dyDescent="0.2">
      <c r="A299" s="67">
        <v>43891</v>
      </c>
      <c r="B299" s="57">
        <v>14351.264000000001</v>
      </c>
      <c r="C299" s="57">
        <v>17026.506767840576</v>
      </c>
      <c r="D299" s="57">
        <v>2350.9427460000002</v>
      </c>
      <c r="E299" s="57">
        <v>2436.4119735659647</v>
      </c>
      <c r="F299" s="57">
        <v>11994.679703600001</v>
      </c>
      <c r="G299" s="57">
        <v>10459.028667583631</v>
      </c>
      <c r="H299" s="58">
        <v>0.16529025399998143</v>
      </c>
      <c r="I299" s="58">
        <v>-0.12802768176923229</v>
      </c>
      <c r="J299" s="58">
        <v>4.2689682085954805E-2</v>
      </c>
    </row>
    <row r="300" spans="1:10" ht="11.25" customHeight="1" x14ac:dyDescent="0.2">
      <c r="A300" s="67">
        <v>43922</v>
      </c>
      <c r="B300" s="57">
        <v>13929.168000000001</v>
      </c>
      <c r="C300" s="57">
        <v>16525.727157021738</v>
      </c>
      <c r="D300" s="57">
        <v>2317.8451019999998</v>
      </c>
      <c r="E300" s="57">
        <v>2402.1110548066167</v>
      </c>
      <c r="F300" s="57">
        <v>11825.813133199999</v>
      </c>
      <c r="G300" s="57">
        <v>10311.781692720262</v>
      </c>
      <c r="H300" s="58">
        <v>0.16500418218400692</v>
      </c>
      <c r="I300" s="58">
        <v>-0.12802768176923229</v>
      </c>
      <c r="J300" s="58">
        <v>4.156309947466541E-2</v>
      </c>
    </row>
    <row r="301" spans="1:10" ht="11.25" customHeight="1" x14ac:dyDescent="0.2">
      <c r="A301" s="67">
        <v>43952</v>
      </c>
      <c r="B301" s="57">
        <v>13950.272800000001</v>
      </c>
      <c r="C301" s="57">
        <v>16550.766137562678</v>
      </c>
      <c r="D301" s="57">
        <v>1944.9139020000002</v>
      </c>
      <c r="E301" s="57">
        <v>2015.6218293491788</v>
      </c>
      <c r="F301" s="57">
        <v>9923.0912132000012</v>
      </c>
      <c r="G301" s="57">
        <v>8652.6608491893658</v>
      </c>
      <c r="H301" s="58">
        <v>0.16805095246699775</v>
      </c>
      <c r="I301" s="58">
        <v>-0.12802768176923229</v>
      </c>
      <c r="J301" s="58">
        <v>5.4255009009588129E-2</v>
      </c>
    </row>
    <row r="302" spans="1:10" ht="11.25" customHeight="1" x14ac:dyDescent="0.2">
      <c r="A302" s="67">
        <v>43983</v>
      </c>
      <c r="B302" s="57">
        <v>15026.617600000003</v>
      </c>
      <c r="C302" s="57">
        <v>17827.754145150724</v>
      </c>
      <c r="D302" s="57">
        <v>2446.7394480000003</v>
      </c>
      <c r="E302" s="57">
        <v>2535.6913933553442</v>
      </c>
      <c r="F302" s="57">
        <v>12483.441396800001</v>
      </c>
      <c r="G302" s="57">
        <v>10885.215334265629</v>
      </c>
      <c r="H302" s="58">
        <v>0.16539972728576857</v>
      </c>
      <c r="I302" s="58">
        <v>-0.12802768176923229</v>
      </c>
      <c r="J302" s="58">
        <v>4.3124181990012778E-2</v>
      </c>
    </row>
    <row r="303" spans="1:10" ht="11.25" customHeight="1" x14ac:dyDescent="0.2">
      <c r="A303" s="67">
        <v>44013</v>
      </c>
      <c r="B303" s="57">
        <v>14435.683199999999</v>
      </c>
      <c r="C303" s="57">
        <v>17126.662690004345</v>
      </c>
      <c r="D303" s="57">
        <v>1411.2338160000004</v>
      </c>
      <c r="E303" s="57">
        <v>1462.5396440018569</v>
      </c>
      <c r="F303" s="57">
        <v>7200.2168656000013</v>
      </c>
      <c r="G303" s="57">
        <v>6278.3897920615054</v>
      </c>
      <c r="H303" s="58">
        <v>0.17304850623231172</v>
      </c>
      <c r="I303" s="58">
        <v>-0.12802768176923229</v>
      </c>
      <c r="J303" s="58">
        <v>7.8988487411056907E-2</v>
      </c>
    </row>
    <row r="304" spans="1:10" ht="11.25" customHeight="1" x14ac:dyDescent="0.2">
      <c r="A304" s="67">
        <v>44044</v>
      </c>
      <c r="B304" s="57">
        <v>16440.639200000001</v>
      </c>
      <c r="C304" s="57">
        <v>19505.365841393839</v>
      </c>
      <c r="D304" s="57">
        <v>2998.1337659999999</v>
      </c>
      <c r="E304" s="57">
        <v>3107.1318169118945</v>
      </c>
      <c r="F304" s="57">
        <v>15296.6950356</v>
      </c>
      <c r="G304" s="57">
        <v>13338.294631461209</v>
      </c>
      <c r="H304" s="58">
        <v>0.16326774832222357</v>
      </c>
      <c r="I304" s="58">
        <v>-0.12802768176923218</v>
      </c>
      <c r="J304" s="58">
        <v>3.4987992334260865E-2</v>
      </c>
    </row>
    <row r="305" spans="1:10" ht="11.25" customHeight="1" x14ac:dyDescent="0.2">
      <c r="A305" s="67">
        <v>44075</v>
      </c>
      <c r="B305" s="57">
        <v>16440.639200000001</v>
      </c>
      <c r="C305" s="57">
        <v>19505.365841393839</v>
      </c>
      <c r="D305" s="57">
        <v>2998.1337659999999</v>
      </c>
      <c r="E305" s="57">
        <v>3107.1318169118945</v>
      </c>
      <c r="F305" s="57">
        <v>15296.6950356</v>
      </c>
      <c r="G305" s="57">
        <v>13338.294631461209</v>
      </c>
      <c r="H305" s="58">
        <v>0.16326774832222357</v>
      </c>
      <c r="I305" s="58">
        <v>-0.12802768176923218</v>
      </c>
      <c r="J305" s="58">
        <v>3.4987992334260865E-2</v>
      </c>
    </row>
    <row r="306" spans="1:10" ht="11.25" customHeight="1" x14ac:dyDescent="0.2">
      <c r="A306" s="62" t="s">
        <v>52</v>
      </c>
      <c r="B306" s="57">
        <v>8825979.6600000001</v>
      </c>
      <c r="C306" s="57">
        <v>10762688.679632001</v>
      </c>
      <c r="D306" s="57">
        <v>9150764.3070299998</v>
      </c>
      <c r="E306" s="57">
        <v>9483443.0837848857</v>
      </c>
      <c r="F306" s="57">
        <v>29913282.212012798</v>
      </c>
      <c r="G306" s="57">
        <v>26784063.667754423</v>
      </c>
      <c r="H306" s="58">
        <v>0.12624020237196598</v>
      </c>
      <c r="I306" s="58">
        <v>-0.10460966877789557</v>
      </c>
      <c r="J306" s="58">
        <v>-1.7954276004295888E-2</v>
      </c>
    </row>
    <row r="307" spans="1:10" ht="11.25" customHeight="1" x14ac:dyDescent="0.2">
      <c r="A307" s="63" t="s">
        <v>53</v>
      </c>
      <c r="B307" s="57">
        <v>2738561.9600000004</v>
      </c>
      <c r="C307" s="57">
        <v>3349362.0309409676</v>
      </c>
      <c r="D307" s="57">
        <v>4428017.0470799999</v>
      </c>
      <c r="E307" s="57">
        <v>4588998.9328816757</v>
      </c>
      <c r="F307" s="57">
        <v>14159050.723232796</v>
      </c>
      <c r="G307" s="57">
        <v>12698464.498680757</v>
      </c>
      <c r="H307" s="58">
        <v>0.10769182283209111</v>
      </c>
      <c r="I307" s="58">
        <v>-0.10315566015703614</v>
      </c>
      <c r="J307" s="58">
        <v>-3.2299363560191141E-2</v>
      </c>
    </row>
    <row r="308" spans="1:10" ht="11.25" customHeight="1" x14ac:dyDescent="0.2">
      <c r="A308" s="64" t="s">
        <v>25</v>
      </c>
      <c r="B308" s="57">
        <v>2738561.9600000004</v>
      </c>
      <c r="C308" s="57">
        <v>3349362.0309409676</v>
      </c>
      <c r="D308" s="57">
        <v>4428017.0470799999</v>
      </c>
      <c r="E308" s="57">
        <v>4588998.9328816757</v>
      </c>
      <c r="F308" s="57">
        <v>14159050.723232796</v>
      </c>
      <c r="G308" s="57">
        <v>12698464.498680757</v>
      </c>
      <c r="H308" s="58">
        <v>0.10769182283209111</v>
      </c>
      <c r="I308" s="58">
        <v>-0.10315566015703614</v>
      </c>
      <c r="J308" s="58">
        <v>-3.2299363560191141E-2</v>
      </c>
    </row>
    <row r="309" spans="1:10" ht="11.25" customHeight="1" x14ac:dyDescent="0.2">
      <c r="A309" s="65" t="s">
        <v>25</v>
      </c>
      <c r="B309" s="57">
        <v>2738561.9600000004</v>
      </c>
      <c r="C309" s="57">
        <v>3349362.0309409676</v>
      </c>
      <c r="D309" s="57">
        <v>4428017.0470799999</v>
      </c>
      <c r="E309" s="57">
        <v>4588998.9328816757</v>
      </c>
      <c r="F309" s="57">
        <v>14159050.723232796</v>
      </c>
      <c r="G309" s="57">
        <v>12698464.498680757</v>
      </c>
      <c r="H309" s="58">
        <v>0.10769182283209111</v>
      </c>
      <c r="I309" s="58">
        <v>-0.10315566015703614</v>
      </c>
      <c r="J309" s="58">
        <v>-3.2299363560191141E-2</v>
      </c>
    </row>
    <row r="310" spans="1:10" ht="11.25" customHeight="1" x14ac:dyDescent="0.2">
      <c r="A310" s="66" t="s">
        <v>36</v>
      </c>
      <c r="B310" s="57">
        <v>883583.09200000006</v>
      </c>
      <c r="C310" s="57">
        <v>1148593.4958347045</v>
      </c>
      <c r="D310" s="57">
        <v>4081425.1332360003</v>
      </c>
      <c r="E310" s="57">
        <v>4229806.5662162462</v>
      </c>
      <c r="F310" s="57">
        <v>12390713.743742395</v>
      </c>
      <c r="G310" s="57">
        <v>11156523.60326132</v>
      </c>
      <c r="H310" s="58">
        <v>8.3261057799214555E-2</v>
      </c>
      <c r="I310" s="58">
        <v>-9.9606057084836719E-2</v>
      </c>
      <c r="J310" s="58">
        <v>-4.729266262349785E-2</v>
      </c>
    </row>
    <row r="311" spans="1:10" ht="11.25" customHeight="1" x14ac:dyDescent="0.2">
      <c r="A311" s="67">
        <v>43739</v>
      </c>
      <c r="B311" s="57">
        <v>73387.3</v>
      </c>
      <c r="C311" s="57">
        <v>95398.130883281119</v>
      </c>
      <c r="D311" s="57">
        <v>335479.07078399998</v>
      </c>
      <c r="E311" s="57">
        <v>347675.51286802854</v>
      </c>
      <c r="F311" s="57">
        <v>1018473.9392256</v>
      </c>
      <c r="G311" s="57">
        <v>917027.76589567598</v>
      </c>
      <c r="H311" s="58">
        <v>8.3663698977534784E-2</v>
      </c>
      <c r="I311" s="58">
        <v>-9.9606057084837052E-2</v>
      </c>
      <c r="J311" s="58">
        <v>-4.7107826977970002E-2</v>
      </c>
    </row>
    <row r="312" spans="1:10" ht="11.25" customHeight="1" x14ac:dyDescent="0.2">
      <c r="A312" s="67">
        <v>43770</v>
      </c>
      <c r="B312" s="57">
        <v>73349.857499999998</v>
      </c>
      <c r="C312" s="57">
        <v>95349.458367524334</v>
      </c>
      <c r="D312" s="57">
        <v>339780.10928400001</v>
      </c>
      <c r="E312" s="57">
        <v>352132.91691072501</v>
      </c>
      <c r="F312" s="57">
        <v>1031531.3726256001</v>
      </c>
      <c r="G312" s="57">
        <v>928784.59983905428</v>
      </c>
      <c r="H312" s="58">
        <v>8.3151577605625748E-2</v>
      </c>
      <c r="I312" s="58">
        <v>-9.9606057084837052E-2</v>
      </c>
      <c r="J312" s="58">
        <v>-4.7342835602043332E-2</v>
      </c>
    </row>
    <row r="313" spans="1:10" ht="11.25" customHeight="1" x14ac:dyDescent="0.2">
      <c r="A313" s="67">
        <v>43800</v>
      </c>
      <c r="B313" s="57">
        <v>73619.443500000008</v>
      </c>
      <c r="C313" s="57">
        <v>95699.900480973127</v>
      </c>
      <c r="D313" s="57">
        <v>322928.88196799997</v>
      </c>
      <c r="E313" s="57">
        <v>334669.05817922682</v>
      </c>
      <c r="F313" s="57">
        <v>980373.0818111999</v>
      </c>
      <c r="G313" s="57">
        <v>882721.98465987598</v>
      </c>
      <c r="H313" s="58">
        <v>8.5287545098785555E-2</v>
      </c>
      <c r="I313" s="58">
        <v>-9.9606057084836941E-2</v>
      </c>
      <c r="J313" s="58">
        <v>-4.6357376406292561E-2</v>
      </c>
    </row>
    <row r="314" spans="1:10" ht="11.25" customHeight="1" x14ac:dyDescent="0.2">
      <c r="A314" s="67">
        <v>43831</v>
      </c>
      <c r="B314" s="57">
        <v>73447.207999999999</v>
      </c>
      <c r="C314" s="57">
        <v>95476.006908491952</v>
      </c>
      <c r="D314" s="57">
        <v>340021.85923200002</v>
      </c>
      <c r="E314" s="57">
        <v>352383.45575048123</v>
      </c>
      <c r="F314" s="57">
        <v>1032265.2962688</v>
      </c>
      <c r="G314" s="57">
        <v>929445.42024195369</v>
      </c>
      <c r="H314" s="58">
        <v>8.3175255786853031E-2</v>
      </c>
      <c r="I314" s="58">
        <v>-9.9606057084837052E-2</v>
      </c>
      <c r="J314" s="58">
        <v>-4.7331987346675097E-2</v>
      </c>
    </row>
    <row r="315" spans="1:10" ht="11.25" customHeight="1" x14ac:dyDescent="0.2">
      <c r="A315" s="67">
        <v>43862</v>
      </c>
      <c r="B315" s="57">
        <v>73784.190499999997</v>
      </c>
      <c r="C315" s="57">
        <v>95914.059550302933</v>
      </c>
      <c r="D315" s="57">
        <v>354259.690092</v>
      </c>
      <c r="E315" s="57">
        <v>367138.90721518948</v>
      </c>
      <c r="F315" s="57">
        <v>1075489.6310928001</v>
      </c>
      <c r="G315" s="57">
        <v>968364.34950402018</v>
      </c>
      <c r="H315" s="58">
        <v>8.1788544961964194E-2</v>
      </c>
      <c r="I315" s="58">
        <v>-9.9606057084837163E-2</v>
      </c>
      <c r="J315" s="58">
        <v>-4.796447492179734E-2</v>
      </c>
    </row>
    <row r="316" spans="1:10" ht="11.25" customHeight="1" x14ac:dyDescent="0.2">
      <c r="A316" s="67">
        <v>43891</v>
      </c>
      <c r="B316" s="57">
        <v>73918.983500000002</v>
      </c>
      <c r="C316" s="57">
        <v>96089.280607027336</v>
      </c>
      <c r="D316" s="57">
        <v>331292.33029199997</v>
      </c>
      <c r="E316" s="57">
        <v>343336.56217164168</v>
      </c>
      <c r="F316" s="57">
        <v>1005763.5007727998</v>
      </c>
      <c r="G316" s="57">
        <v>905583.36410097883</v>
      </c>
      <c r="H316" s="58">
        <v>8.4436262814300056E-2</v>
      </c>
      <c r="I316" s="58">
        <v>-9.9606057084837052E-2</v>
      </c>
      <c r="J316" s="58">
        <v>-4.675179670410945E-2</v>
      </c>
    </row>
    <row r="317" spans="1:10" ht="11.25" customHeight="1" x14ac:dyDescent="0.2">
      <c r="A317" s="67">
        <v>43922</v>
      </c>
      <c r="B317" s="57">
        <v>73844.098500000007</v>
      </c>
      <c r="C317" s="57">
        <v>95991.935575513795</v>
      </c>
      <c r="D317" s="57">
        <v>358557.68163599999</v>
      </c>
      <c r="E317" s="57">
        <v>371593.15352888801</v>
      </c>
      <c r="F317" s="57">
        <v>1088537.8143023998</v>
      </c>
      <c r="G317" s="57">
        <v>980112.85463199124</v>
      </c>
      <c r="H317" s="58">
        <v>8.1367169573945519E-2</v>
      </c>
      <c r="I317" s="58">
        <v>-9.9606057084836941E-2</v>
      </c>
      <c r="J317" s="58">
        <v>-4.8155528970268424E-2</v>
      </c>
    </row>
    <row r="318" spans="1:10" ht="11.25" customHeight="1" x14ac:dyDescent="0.2">
      <c r="A318" s="67">
        <v>43952</v>
      </c>
      <c r="B318" s="57">
        <v>73724.282500000001</v>
      </c>
      <c r="C318" s="57">
        <v>95836.183525092099</v>
      </c>
      <c r="D318" s="57">
        <v>342801.35194800003</v>
      </c>
      <c r="E318" s="57">
        <v>355263.99775654403</v>
      </c>
      <c r="F318" s="57">
        <v>1040703.5004432</v>
      </c>
      <c r="G318" s="57">
        <v>937043.12816966488</v>
      </c>
      <c r="H318" s="58">
        <v>8.3007008390866499E-2</v>
      </c>
      <c r="I318" s="58">
        <v>-9.9606057084837052E-2</v>
      </c>
      <c r="J318" s="58">
        <v>-4.7409033888865304E-2</v>
      </c>
    </row>
    <row r="319" spans="1:10" ht="11.25" customHeight="1" x14ac:dyDescent="0.2">
      <c r="A319" s="67">
        <v>43983</v>
      </c>
      <c r="B319" s="57">
        <v>73889.02949999999</v>
      </c>
      <c r="C319" s="57">
        <v>96050.342594421905</v>
      </c>
      <c r="D319" s="57">
        <v>349366.20444000006</v>
      </c>
      <c r="E319" s="57">
        <v>362067.51742686238</v>
      </c>
      <c r="F319" s="57">
        <v>1060633.5996960001</v>
      </c>
      <c r="G319" s="57">
        <v>954988.06881858408</v>
      </c>
      <c r="H319" s="58">
        <v>8.2367855813039625E-2</v>
      </c>
      <c r="I319" s="58">
        <v>-9.9606057084837052E-2</v>
      </c>
      <c r="J319" s="58">
        <v>-4.7700948475157157E-2</v>
      </c>
    </row>
    <row r="320" spans="1:10" ht="11.25" customHeight="1" x14ac:dyDescent="0.2">
      <c r="A320" s="67">
        <v>44013</v>
      </c>
      <c r="B320" s="57">
        <v>73514.604500000001</v>
      </c>
      <c r="C320" s="57">
        <v>95563.61743685414</v>
      </c>
      <c r="D320" s="57">
        <v>335222.97784800001</v>
      </c>
      <c r="E320" s="57">
        <v>347410.10959664831</v>
      </c>
      <c r="F320" s="57">
        <v>1017696.4720032</v>
      </c>
      <c r="G320" s="57">
        <v>916327.73911781202</v>
      </c>
      <c r="H320" s="58">
        <v>8.3760696750301955E-2</v>
      </c>
      <c r="I320" s="58">
        <v>-9.9606057084837052E-2</v>
      </c>
      <c r="J320" s="58">
        <v>-4.7063225948023368E-2</v>
      </c>
    </row>
    <row r="321" spans="1:10" ht="11.25" customHeight="1" x14ac:dyDescent="0.2">
      <c r="A321" s="67">
        <v>44044</v>
      </c>
      <c r="B321" s="57">
        <v>73552.046999999991</v>
      </c>
      <c r="C321" s="57">
        <v>95612.289952610925</v>
      </c>
      <c r="D321" s="57">
        <v>335857.48785600002</v>
      </c>
      <c r="E321" s="57">
        <v>348067.6874060054</v>
      </c>
      <c r="F321" s="57">
        <v>1019622.7677503999</v>
      </c>
      <c r="G321" s="57">
        <v>918062.16414085403</v>
      </c>
      <c r="H321" s="58">
        <v>8.3706996503318143E-2</v>
      </c>
      <c r="I321" s="58">
        <v>-9.9606057084837052E-2</v>
      </c>
      <c r="J321" s="58">
        <v>-4.7087921654534681E-2</v>
      </c>
    </row>
    <row r="322" spans="1:10" ht="11.25" customHeight="1" x14ac:dyDescent="0.2">
      <c r="A322" s="67">
        <v>44075</v>
      </c>
      <c r="B322" s="57">
        <v>73552.046999999991</v>
      </c>
      <c r="C322" s="57">
        <v>95612.289952610925</v>
      </c>
      <c r="D322" s="57">
        <v>335857.48785600002</v>
      </c>
      <c r="E322" s="57">
        <v>348067.6874060054</v>
      </c>
      <c r="F322" s="57">
        <v>1019622.7677503999</v>
      </c>
      <c r="G322" s="57">
        <v>918062.16414085403</v>
      </c>
      <c r="H322" s="58">
        <v>8.3706996503318143E-2</v>
      </c>
      <c r="I322" s="58">
        <v>-9.9606057084837052E-2</v>
      </c>
      <c r="J322" s="58">
        <v>-4.7087921654534681E-2</v>
      </c>
    </row>
    <row r="323" spans="1:10" ht="11.25" customHeight="1" x14ac:dyDescent="0.2">
      <c r="A323" s="66" t="s">
        <v>35</v>
      </c>
      <c r="B323" s="57">
        <v>1854978.8680000002</v>
      </c>
      <c r="C323" s="57">
        <v>2200768.5351062631</v>
      </c>
      <c r="D323" s="57">
        <v>346591.91384400002</v>
      </c>
      <c r="E323" s="57">
        <v>359192.36666542996</v>
      </c>
      <c r="F323" s="57">
        <v>1768336.9794903998</v>
      </c>
      <c r="G323" s="57">
        <v>1541940.8954194377</v>
      </c>
      <c r="H323" s="58">
        <v>0.16278837041410532</v>
      </c>
      <c r="I323" s="58">
        <v>-0.12802768176923218</v>
      </c>
      <c r="J323" s="58">
        <v>3.324864047026721E-2</v>
      </c>
    </row>
    <row r="324" spans="1:10" ht="11.25" customHeight="1" x14ac:dyDescent="0.2">
      <c r="A324" s="67">
        <v>43739</v>
      </c>
      <c r="B324" s="57">
        <v>154919.55500000002</v>
      </c>
      <c r="C324" s="57">
        <v>183798.36449795295</v>
      </c>
      <c r="D324" s="57">
        <v>28978.781040000002</v>
      </c>
      <c r="E324" s="57">
        <v>30032.313302963932</v>
      </c>
      <c r="F324" s="57">
        <v>147851.834064</v>
      </c>
      <c r="G324" s="57">
        <v>128922.70650345687</v>
      </c>
      <c r="H324" s="58">
        <v>0.16276570199311768</v>
      </c>
      <c r="I324" s="58">
        <v>-0.12802768176923229</v>
      </c>
      <c r="J324" s="58">
        <v>3.3167169731742163E-2</v>
      </c>
    </row>
    <row r="325" spans="1:10" ht="11.25" customHeight="1" x14ac:dyDescent="0.2">
      <c r="A325" s="67">
        <v>43770</v>
      </c>
      <c r="B325" s="57">
        <v>155465.527</v>
      </c>
      <c r="C325" s="57">
        <v>184446.11203803384</v>
      </c>
      <c r="D325" s="57">
        <v>30293.951291999998</v>
      </c>
      <c r="E325" s="57">
        <v>31395.296963328481</v>
      </c>
      <c r="F325" s="57">
        <v>154561.92768719999</v>
      </c>
      <c r="G325" s="57">
        <v>134773.72239562406</v>
      </c>
      <c r="H325" s="58">
        <v>0.16194021961062877</v>
      </c>
      <c r="I325" s="58">
        <v>-0.12802768176923229</v>
      </c>
      <c r="J325" s="58">
        <v>3.0247070084141292E-2</v>
      </c>
    </row>
    <row r="326" spans="1:10" ht="11.25" customHeight="1" x14ac:dyDescent="0.2">
      <c r="A326" s="67">
        <v>43800</v>
      </c>
      <c r="B326" s="57">
        <v>154841.55900000001</v>
      </c>
      <c r="C326" s="57">
        <v>183705.82913508423</v>
      </c>
      <c r="D326" s="57">
        <v>26930.111868</v>
      </c>
      <c r="E326" s="57">
        <v>27909.164149702388</v>
      </c>
      <c r="F326" s="57">
        <v>137399.37596880001</v>
      </c>
      <c r="G326" s="57">
        <v>119808.45238697538</v>
      </c>
      <c r="H326" s="58">
        <v>0.16418027228488419</v>
      </c>
      <c r="I326" s="58">
        <v>-0.12802768176923229</v>
      </c>
      <c r="J326" s="58">
        <v>3.8388190145664636E-2</v>
      </c>
    </row>
    <row r="327" spans="1:10" ht="11.25" customHeight="1" x14ac:dyDescent="0.2">
      <c r="A327" s="67">
        <v>43831</v>
      </c>
      <c r="B327" s="57">
        <v>154451.579</v>
      </c>
      <c r="C327" s="57">
        <v>183243.15232074074</v>
      </c>
      <c r="D327" s="57">
        <v>28162.345464000005</v>
      </c>
      <c r="E327" s="57">
        <v>29186.195967101081</v>
      </c>
      <c r="F327" s="57">
        <v>143686.32078240003</v>
      </c>
      <c r="G327" s="57">
        <v>125290.49423067908</v>
      </c>
      <c r="H327" s="58">
        <v>0.16327026491191554</v>
      </c>
      <c r="I327" s="58">
        <v>-0.1280276817692324</v>
      </c>
      <c r="J327" s="58">
        <v>3.4997207138160569E-2</v>
      </c>
    </row>
    <row r="328" spans="1:10" ht="11.25" customHeight="1" x14ac:dyDescent="0.2">
      <c r="A328" s="67">
        <v>43862</v>
      </c>
      <c r="B328" s="57">
        <v>154022.601</v>
      </c>
      <c r="C328" s="57">
        <v>182734.20782496291</v>
      </c>
      <c r="D328" s="57">
        <v>29880.605699999996</v>
      </c>
      <c r="E328" s="57">
        <v>30966.924068547014</v>
      </c>
      <c r="F328" s="57">
        <v>152453.00861999998</v>
      </c>
      <c r="G328" s="57">
        <v>132934.8033476366</v>
      </c>
      <c r="H328" s="58">
        <v>0.16203048183993385</v>
      </c>
      <c r="I328" s="58">
        <v>-0.12802768176923229</v>
      </c>
      <c r="J328" s="58">
        <v>3.0562003771408719E-2</v>
      </c>
    </row>
    <row r="329" spans="1:10" ht="11.25" customHeight="1" x14ac:dyDescent="0.2">
      <c r="A329" s="67">
        <v>43891</v>
      </c>
      <c r="B329" s="57">
        <v>154685.56700000001</v>
      </c>
      <c r="C329" s="57">
        <v>183520.75840934686</v>
      </c>
      <c r="D329" s="57">
        <v>27227.375867999999</v>
      </c>
      <c r="E329" s="57">
        <v>28217.235271443824</v>
      </c>
      <c r="F329" s="57">
        <v>138916.03836879999</v>
      </c>
      <c r="G329" s="57">
        <v>121130.94001587681</v>
      </c>
      <c r="H329" s="58">
        <v>0.16395232984841757</v>
      </c>
      <c r="I329" s="58">
        <v>-0.12802768176923218</v>
      </c>
      <c r="J329" s="58">
        <v>3.7527633611693423E-2</v>
      </c>
    </row>
    <row r="330" spans="1:10" ht="11.25" customHeight="1" x14ac:dyDescent="0.2">
      <c r="A330" s="67">
        <v>43922</v>
      </c>
      <c r="B330" s="57">
        <v>155114.54500000001</v>
      </c>
      <c r="C330" s="57">
        <v>184029.70290512469</v>
      </c>
      <c r="D330" s="57">
        <v>30970.821420000004</v>
      </c>
      <c r="E330" s="57">
        <v>32096.774907533738</v>
      </c>
      <c r="F330" s="57">
        <v>158015.36797200001</v>
      </c>
      <c r="G330" s="57">
        <v>137785.02672663267</v>
      </c>
      <c r="H330" s="58">
        <v>0.1614372584508057</v>
      </c>
      <c r="I330" s="58">
        <v>-0.12802768176923218</v>
      </c>
      <c r="J330" s="58">
        <v>2.8511331615220126E-2</v>
      </c>
    </row>
    <row r="331" spans="1:10" ht="11.25" customHeight="1" x14ac:dyDescent="0.2">
      <c r="A331" s="67">
        <v>43952</v>
      </c>
      <c r="B331" s="57">
        <v>154373.58300000001</v>
      </c>
      <c r="C331" s="57">
        <v>183150.61695787206</v>
      </c>
      <c r="D331" s="57">
        <v>26724.776760000001</v>
      </c>
      <c r="E331" s="57">
        <v>27696.364022359488</v>
      </c>
      <c r="F331" s="57">
        <v>136351.741416</v>
      </c>
      <c r="G331" s="57">
        <v>118894.9440573117</v>
      </c>
      <c r="H331" s="58">
        <v>0.16426775626049728</v>
      </c>
      <c r="I331" s="58">
        <v>-0.12802768176923229</v>
      </c>
      <c r="J331" s="58">
        <v>3.8720491239435439E-2</v>
      </c>
    </row>
    <row r="332" spans="1:10" ht="11.25" customHeight="1" x14ac:dyDescent="0.2">
      <c r="A332" s="67">
        <v>43983</v>
      </c>
      <c r="B332" s="57">
        <v>154432.08000000002</v>
      </c>
      <c r="C332" s="57">
        <v>183220.0184800236</v>
      </c>
      <c r="D332" s="57">
        <v>29466.739895999999</v>
      </c>
      <c r="E332" s="57">
        <v>30538.012049302499</v>
      </c>
      <c r="F332" s="57">
        <v>150341.4353936</v>
      </c>
      <c r="G332" s="57">
        <v>131093.56994629858</v>
      </c>
      <c r="H332" s="58">
        <v>0.16236760328430755</v>
      </c>
      <c r="I332" s="58">
        <v>-0.12802768176923229</v>
      </c>
      <c r="J332" s="58">
        <v>3.1747657614821234E-2</v>
      </c>
    </row>
    <row r="333" spans="1:10" ht="11.25" customHeight="1" x14ac:dyDescent="0.2">
      <c r="A333" s="67">
        <v>44013</v>
      </c>
      <c r="B333" s="57">
        <v>154276.08800000002</v>
      </c>
      <c r="C333" s="57">
        <v>183034.9477542862</v>
      </c>
      <c r="D333" s="57">
        <v>29259.100992000003</v>
      </c>
      <c r="E333" s="57">
        <v>30322.824370766109</v>
      </c>
      <c r="F333" s="57">
        <v>149282.0467072</v>
      </c>
      <c r="G333" s="57">
        <v>130169.81233751094</v>
      </c>
      <c r="H333" s="58">
        <v>0.16248972906417536</v>
      </c>
      <c r="I333" s="58">
        <v>-0.12802768176923218</v>
      </c>
      <c r="J333" s="58">
        <v>3.2180871705344227E-2</v>
      </c>
    </row>
    <row r="334" spans="1:10" ht="11.25" customHeight="1" x14ac:dyDescent="0.2">
      <c r="A334" s="67">
        <v>44044</v>
      </c>
      <c r="B334" s="57">
        <v>154198.092</v>
      </c>
      <c r="C334" s="57">
        <v>182942.41239141749</v>
      </c>
      <c r="D334" s="57">
        <v>29348.651771999997</v>
      </c>
      <c r="E334" s="57">
        <v>30415.630796190715</v>
      </c>
      <c r="F334" s="57">
        <v>149738.94125519998</v>
      </c>
      <c r="G334" s="57">
        <v>130568.21173571749</v>
      </c>
      <c r="H334" s="58">
        <v>0.1624180238938997</v>
      </c>
      <c r="I334" s="58">
        <v>-0.12802768176923218</v>
      </c>
      <c r="J334" s="58">
        <v>3.1926273386921E-2</v>
      </c>
    </row>
    <row r="335" spans="1:10" ht="11.25" customHeight="1" x14ac:dyDescent="0.2">
      <c r="A335" s="67">
        <v>44075</v>
      </c>
      <c r="B335" s="57">
        <v>154198.092</v>
      </c>
      <c r="C335" s="57">
        <v>182942.41239141749</v>
      </c>
      <c r="D335" s="57">
        <v>29348.651771999997</v>
      </c>
      <c r="E335" s="57">
        <v>30415.630796190715</v>
      </c>
      <c r="F335" s="57">
        <v>149738.94125519998</v>
      </c>
      <c r="G335" s="57">
        <v>130568.21173571749</v>
      </c>
      <c r="H335" s="58">
        <v>0.1624180238938997</v>
      </c>
      <c r="I335" s="58">
        <v>-0.12802768176923218</v>
      </c>
      <c r="J335" s="58">
        <v>3.1926273386921E-2</v>
      </c>
    </row>
    <row r="336" spans="1:10" ht="11.25" customHeight="1" x14ac:dyDescent="0.2">
      <c r="A336" s="63" t="s">
        <v>58</v>
      </c>
      <c r="B336" s="57">
        <v>6087417.6999999993</v>
      </c>
      <c r="C336" s="57">
        <v>7413326.6486910302</v>
      </c>
      <c r="D336" s="57">
        <v>4722747.2599500027</v>
      </c>
      <c r="E336" s="57">
        <v>4894444.1509032091</v>
      </c>
      <c r="F336" s="57">
        <v>15754231.488779999</v>
      </c>
      <c r="G336" s="57">
        <v>14085599.169073664</v>
      </c>
      <c r="H336" s="58">
        <v>0.13853681652339578</v>
      </c>
      <c r="I336" s="58">
        <v>-0.10591645304277253</v>
      </c>
      <c r="J336" s="58">
        <v>-6.4381842964955638E-3</v>
      </c>
    </row>
    <row r="337" spans="1:10" ht="11.25" customHeight="1" x14ac:dyDescent="0.2">
      <c r="A337" s="64" t="s">
        <v>25</v>
      </c>
      <c r="B337" s="57">
        <v>6087417.6999999993</v>
      </c>
      <c r="C337" s="57">
        <v>7413326.6486910302</v>
      </c>
      <c r="D337" s="57">
        <v>4722747.2599500027</v>
      </c>
      <c r="E337" s="57">
        <v>4894444.1509032091</v>
      </c>
      <c r="F337" s="57">
        <v>15754231.488779999</v>
      </c>
      <c r="G337" s="57">
        <v>14085599.169073664</v>
      </c>
      <c r="H337" s="58">
        <v>0.13853681652339578</v>
      </c>
      <c r="I337" s="58">
        <v>-0.10591645304277253</v>
      </c>
      <c r="J337" s="58">
        <v>-6.4381842964955638E-3</v>
      </c>
    </row>
    <row r="338" spans="1:10" ht="11.25" customHeight="1" x14ac:dyDescent="0.2">
      <c r="A338" s="65" t="s">
        <v>25</v>
      </c>
      <c r="B338" s="57">
        <v>6087417.6999999993</v>
      </c>
      <c r="C338" s="57">
        <v>7413326.6486910302</v>
      </c>
      <c r="D338" s="57">
        <v>4722747.2599500027</v>
      </c>
      <c r="E338" s="57">
        <v>4894444.1509032091</v>
      </c>
      <c r="F338" s="57">
        <v>15754231.488779999</v>
      </c>
      <c r="G338" s="57">
        <v>14085599.169073664</v>
      </c>
      <c r="H338" s="58">
        <v>0.13853681652339578</v>
      </c>
      <c r="I338" s="58">
        <v>-0.10591645304277253</v>
      </c>
      <c r="J338" s="58">
        <v>-6.4381842964955638E-3</v>
      </c>
    </row>
    <row r="339" spans="1:10" ht="11.25" customHeight="1" x14ac:dyDescent="0.2">
      <c r="A339" s="66" t="s">
        <v>36</v>
      </c>
      <c r="B339" s="57">
        <v>1683855.3</v>
      </c>
      <c r="C339" s="57">
        <v>2188888.9262570851</v>
      </c>
      <c r="D339" s="57">
        <v>4037166.9589500008</v>
      </c>
      <c r="E339" s="57">
        <v>4183939.3727501151</v>
      </c>
      <c r="F339" s="57">
        <v>12256351.27218</v>
      </c>
      <c r="G339" s="57">
        <v>11035544.447711423</v>
      </c>
      <c r="H339" s="58">
        <v>0.11393174341133006</v>
      </c>
      <c r="I339" s="58">
        <v>-9.9606057084837163E-2</v>
      </c>
      <c r="J339" s="58">
        <v>-3.1650940746493661E-2</v>
      </c>
    </row>
    <row r="340" spans="1:10" ht="11.25" customHeight="1" x14ac:dyDescent="0.2">
      <c r="A340" s="67">
        <v>43770</v>
      </c>
      <c r="B340" s="57">
        <v>304006.67000000004</v>
      </c>
      <c r="C340" s="57">
        <v>395186.47087507579</v>
      </c>
      <c r="D340" s="57">
        <v>731029.34865000006</v>
      </c>
      <c r="E340" s="57">
        <v>757606.13954100444</v>
      </c>
      <c r="F340" s="57">
        <v>2219316.8076599999</v>
      </c>
      <c r="G340" s="57">
        <v>1998259.4110268797</v>
      </c>
      <c r="H340" s="58">
        <v>0.11377052551240729</v>
      </c>
      <c r="I340" s="58">
        <v>-9.9606057084837052E-2</v>
      </c>
      <c r="J340" s="58">
        <v>-3.1742349517820734E-2</v>
      </c>
    </row>
    <row r="341" spans="1:10" ht="11.25" customHeight="1" x14ac:dyDescent="0.2">
      <c r="A341" s="67">
        <v>43800</v>
      </c>
      <c r="B341" s="57">
        <v>137391.95000000001</v>
      </c>
      <c r="C341" s="57">
        <v>178599.50193574658</v>
      </c>
      <c r="D341" s="57">
        <v>347476.95659999998</v>
      </c>
      <c r="E341" s="57">
        <v>360109.58541586745</v>
      </c>
      <c r="F341" s="57">
        <v>1054898.0714399999</v>
      </c>
      <c r="G341" s="57">
        <v>949823.83391746285</v>
      </c>
      <c r="H341" s="58">
        <v>0.11104069578136566</v>
      </c>
      <c r="I341" s="58">
        <v>-9.9606057084836941E-2</v>
      </c>
      <c r="J341" s="58">
        <v>-3.3273902805825761E-2</v>
      </c>
    </row>
    <row r="342" spans="1:10" ht="11.25" customHeight="1" x14ac:dyDescent="0.2">
      <c r="A342" s="67">
        <v>43831</v>
      </c>
      <c r="B342" s="57">
        <v>130758.02</v>
      </c>
      <c r="C342" s="57">
        <v>169975.87737931072</v>
      </c>
      <c r="D342" s="57">
        <v>323034.00195000001</v>
      </c>
      <c r="E342" s="57">
        <v>334777.99982965266</v>
      </c>
      <c r="F342" s="57">
        <v>980692.21337999997</v>
      </c>
      <c r="G342" s="57">
        <v>883009.32879141648</v>
      </c>
      <c r="H342" s="58">
        <v>0.11230222832030856</v>
      </c>
      <c r="I342" s="58">
        <v>-9.9606057084837052E-2</v>
      </c>
      <c r="J342" s="58">
        <v>-3.2569914802076716E-2</v>
      </c>
    </row>
    <row r="343" spans="1:10" ht="11.25" customHeight="1" x14ac:dyDescent="0.2">
      <c r="A343" s="67">
        <v>43862</v>
      </c>
      <c r="B343" s="57">
        <v>142951.06</v>
      </c>
      <c r="C343" s="57">
        <v>185825.93898104675</v>
      </c>
      <c r="D343" s="57">
        <v>351038.29755000002</v>
      </c>
      <c r="E343" s="57">
        <v>363800.39998261695</v>
      </c>
      <c r="F343" s="57">
        <v>1065709.8724199999</v>
      </c>
      <c r="G343" s="57">
        <v>959558.71403185907</v>
      </c>
      <c r="H343" s="58">
        <v>0.11262789483887259</v>
      </c>
      <c r="I343" s="58">
        <v>-9.9606057084836941E-2</v>
      </c>
      <c r="J343" s="58">
        <v>-3.2387126956168855E-2</v>
      </c>
    </row>
    <row r="344" spans="1:10" ht="11.25" customHeight="1" x14ac:dyDescent="0.2">
      <c r="A344" s="67">
        <v>43891</v>
      </c>
      <c r="B344" s="57">
        <v>131982.61000000002</v>
      </c>
      <c r="C344" s="57">
        <v>171567.75495347352</v>
      </c>
      <c r="D344" s="57">
        <v>339289.78245</v>
      </c>
      <c r="E344" s="57">
        <v>351624.76409783709</v>
      </c>
      <c r="F344" s="57">
        <v>1030042.79958</v>
      </c>
      <c r="G344" s="57">
        <v>927444.2976852092</v>
      </c>
      <c r="H344" s="58">
        <v>0.11017009999544802</v>
      </c>
      <c r="I344" s="58">
        <v>-9.9606057084837052E-2</v>
      </c>
      <c r="J344" s="58">
        <v>-3.3755986459416021E-2</v>
      </c>
    </row>
    <row r="345" spans="1:10" ht="11.25" customHeight="1" x14ac:dyDescent="0.2">
      <c r="A345" s="67">
        <v>43922</v>
      </c>
      <c r="B345" s="57">
        <v>131101.61000000002</v>
      </c>
      <c r="C345" s="57">
        <v>170422.51928860819</v>
      </c>
      <c r="D345" s="57">
        <v>333777.47759999998</v>
      </c>
      <c r="E345" s="57">
        <v>345912.05775424937</v>
      </c>
      <c r="F345" s="57">
        <v>1013308.10784</v>
      </c>
      <c r="G345" s="57">
        <v>912376.48260596069</v>
      </c>
      <c r="H345" s="58">
        <v>0.1106857477898251</v>
      </c>
      <c r="I345" s="58">
        <v>-9.9606057084837052E-2</v>
      </c>
      <c r="J345" s="58">
        <v>-3.3470818813617464E-2</v>
      </c>
    </row>
    <row r="346" spans="1:10" ht="11.25" customHeight="1" x14ac:dyDescent="0.2">
      <c r="A346" s="67">
        <v>43952</v>
      </c>
      <c r="B346" s="57">
        <v>127709.76000000001</v>
      </c>
      <c r="C346" s="57">
        <v>166013.36197887672</v>
      </c>
      <c r="D346" s="57">
        <v>302369.50920000003</v>
      </c>
      <c r="E346" s="57">
        <v>313362.24325734563</v>
      </c>
      <c r="F346" s="57">
        <v>917957.30928000004</v>
      </c>
      <c r="G346" s="57">
        <v>826523.20113041298</v>
      </c>
      <c r="H346" s="58">
        <v>0.11462151181553004</v>
      </c>
      <c r="I346" s="58">
        <v>-9.9606057084837052E-2</v>
      </c>
      <c r="J346" s="58">
        <v>-3.1258626647117982E-2</v>
      </c>
    </row>
    <row r="347" spans="1:10" ht="11.25" customHeight="1" x14ac:dyDescent="0.2">
      <c r="A347" s="67">
        <v>43983</v>
      </c>
      <c r="B347" s="57">
        <v>136643.1</v>
      </c>
      <c r="C347" s="57">
        <v>177626.05162061105</v>
      </c>
      <c r="D347" s="57">
        <v>322355.36174999998</v>
      </c>
      <c r="E347" s="57">
        <v>334074.68746194977</v>
      </c>
      <c r="F347" s="57">
        <v>978631.94369999995</v>
      </c>
      <c r="G347" s="57">
        <v>881154.27445077267</v>
      </c>
      <c r="H347" s="58">
        <v>0.11482016112129334</v>
      </c>
      <c r="I347" s="58">
        <v>-9.9606057084837052E-2</v>
      </c>
      <c r="J347" s="58">
        <v>-3.1145273324023059E-2</v>
      </c>
    </row>
    <row r="348" spans="1:10" ht="11.25" customHeight="1" x14ac:dyDescent="0.2">
      <c r="A348" s="67">
        <v>44013</v>
      </c>
      <c r="B348" s="57">
        <v>152994.46000000002</v>
      </c>
      <c r="C348" s="57">
        <v>198881.6255605114</v>
      </c>
      <c r="D348" s="57">
        <v>318696.22769999999</v>
      </c>
      <c r="E348" s="57">
        <v>330282.52449776378</v>
      </c>
      <c r="F348" s="57">
        <v>967523.25468000001</v>
      </c>
      <c r="G348" s="57">
        <v>871152.07814343658</v>
      </c>
      <c r="H348" s="58">
        <v>0.12184565830315663</v>
      </c>
      <c r="I348" s="58">
        <v>-9.9606057084837052E-2</v>
      </c>
      <c r="J348" s="58">
        <v>-2.702705486160295E-2</v>
      </c>
    </row>
    <row r="349" spans="1:10" ht="11.25" customHeight="1" x14ac:dyDescent="0.2">
      <c r="A349" s="67">
        <v>44044</v>
      </c>
      <c r="B349" s="57">
        <v>144158.03</v>
      </c>
      <c r="C349" s="57">
        <v>187394.91184191222</v>
      </c>
      <c r="D349" s="57">
        <v>334049.99774999998</v>
      </c>
      <c r="E349" s="57">
        <v>346194.48545591399</v>
      </c>
      <c r="F349" s="57">
        <v>1014135.4460999999</v>
      </c>
      <c r="G349" s="57">
        <v>913121.41296400665</v>
      </c>
      <c r="H349" s="58">
        <v>0.11581020462663338</v>
      </c>
      <c r="I349" s="58">
        <v>-9.9606057084837052E-2</v>
      </c>
      <c r="J349" s="58">
        <v>-3.0577855827279676E-2</v>
      </c>
    </row>
    <row r="350" spans="1:10" ht="11.25" customHeight="1" x14ac:dyDescent="0.2">
      <c r="A350" s="67">
        <v>44075</v>
      </c>
      <c r="B350" s="57">
        <v>144158.03</v>
      </c>
      <c r="C350" s="57">
        <v>187394.91184191222</v>
      </c>
      <c r="D350" s="57">
        <v>334049.99774999998</v>
      </c>
      <c r="E350" s="57">
        <v>346194.48545591399</v>
      </c>
      <c r="F350" s="57">
        <v>1014135.4460999999</v>
      </c>
      <c r="G350" s="57">
        <v>913121.41296400665</v>
      </c>
      <c r="H350" s="58">
        <v>0.11581020462663338</v>
      </c>
      <c r="I350" s="58">
        <v>-9.9606057084837052E-2</v>
      </c>
      <c r="J350" s="58">
        <v>-3.0577855827279676E-2</v>
      </c>
    </row>
    <row r="351" spans="1:10" ht="11.25" customHeight="1" x14ac:dyDescent="0.2">
      <c r="A351" s="66" t="s">
        <v>35</v>
      </c>
      <c r="B351" s="57">
        <v>4403562.4000000004</v>
      </c>
      <c r="C351" s="57">
        <v>5224437.7224339452</v>
      </c>
      <c r="D351" s="57">
        <v>685580.30099999998</v>
      </c>
      <c r="E351" s="57">
        <v>710504.77815309493</v>
      </c>
      <c r="F351" s="57">
        <v>3497880.2165999999</v>
      </c>
      <c r="G351" s="57">
        <v>3050054.7213622425</v>
      </c>
      <c r="H351" s="58">
        <v>0.16619691159786965</v>
      </c>
      <c r="I351" s="58">
        <v>-0.12802768176923207</v>
      </c>
      <c r="J351" s="58">
        <v>4.6346016328149497E-2</v>
      </c>
    </row>
    <row r="352" spans="1:10" ht="11.25" customHeight="1" x14ac:dyDescent="0.2">
      <c r="A352" s="67">
        <v>43770</v>
      </c>
      <c r="B352" s="57">
        <v>716140.92</v>
      </c>
      <c r="C352" s="57">
        <v>849637.92883383483</v>
      </c>
      <c r="D352" s="57">
        <v>123743.14934999999</v>
      </c>
      <c r="E352" s="57">
        <v>128241.86860189126</v>
      </c>
      <c r="F352" s="57">
        <v>631346.48621</v>
      </c>
      <c r="G352" s="57">
        <v>550516.65918738313</v>
      </c>
      <c r="H352" s="58">
        <v>0.16430330461265119</v>
      </c>
      <c r="I352" s="58">
        <v>-0.12802768176923229</v>
      </c>
      <c r="J352" s="58">
        <v>3.8855841354756171E-2</v>
      </c>
    </row>
    <row r="353" spans="1:10" ht="11.25" customHeight="1" x14ac:dyDescent="0.2">
      <c r="A353" s="67">
        <v>43800</v>
      </c>
      <c r="B353" s="57">
        <v>372270.32</v>
      </c>
      <c r="C353" s="57">
        <v>441665.84371565992</v>
      </c>
      <c r="D353" s="57">
        <v>57786.010350000004</v>
      </c>
      <c r="E353" s="57">
        <v>59886.838061409246</v>
      </c>
      <c r="F353" s="57">
        <v>294828.39881000004</v>
      </c>
      <c r="G353" s="57">
        <v>257082.20239062104</v>
      </c>
      <c r="H353" s="58">
        <v>0.16624880598521141</v>
      </c>
      <c r="I353" s="58">
        <v>-0.12802768176923229</v>
      </c>
      <c r="J353" s="58">
        <v>4.6559340609644062E-2</v>
      </c>
    </row>
    <row r="354" spans="1:10" ht="11.25" customHeight="1" x14ac:dyDescent="0.2">
      <c r="A354" s="67">
        <v>43831</v>
      </c>
      <c r="B354" s="57">
        <v>345315.82</v>
      </c>
      <c r="C354" s="57">
        <v>409686.71095956553</v>
      </c>
      <c r="D354" s="57">
        <v>48702.399450000004</v>
      </c>
      <c r="E354" s="57">
        <v>50472.989766877319</v>
      </c>
      <c r="F354" s="57">
        <v>248483.15987</v>
      </c>
      <c r="G354" s="57">
        <v>216670.43695315038</v>
      </c>
      <c r="H354" s="58">
        <v>0.16786401747809543</v>
      </c>
      <c r="I354" s="58">
        <v>-0.12802768176923229</v>
      </c>
      <c r="J354" s="58">
        <v>5.3429859397228663E-2</v>
      </c>
    </row>
    <row r="355" spans="1:10" ht="11.25" customHeight="1" x14ac:dyDescent="0.2">
      <c r="A355" s="67">
        <v>43862</v>
      </c>
      <c r="B355" s="57">
        <v>340727.82</v>
      </c>
      <c r="C355" s="57">
        <v>404243.45432023029</v>
      </c>
      <c r="D355" s="57">
        <v>60801.213150000003</v>
      </c>
      <c r="E355" s="57">
        <v>63011.659462163858</v>
      </c>
      <c r="F355" s="57">
        <v>310212.18128999998</v>
      </c>
      <c r="G355" s="57">
        <v>270496.43486286449</v>
      </c>
      <c r="H355" s="58">
        <v>0.16368948495896363</v>
      </c>
      <c r="I355" s="58">
        <v>-0.12802768176923218</v>
      </c>
      <c r="J355" s="58">
        <v>3.6544650889331454E-2</v>
      </c>
    </row>
    <row r="356" spans="1:10" ht="11.25" customHeight="1" x14ac:dyDescent="0.2">
      <c r="A356" s="67">
        <v>43891</v>
      </c>
      <c r="B356" s="57">
        <v>350202.04000000004</v>
      </c>
      <c r="C356" s="57">
        <v>415483.77928045753</v>
      </c>
      <c r="D356" s="57">
        <v>55144.414349999999</v>
      </c>
      <c r="E356" s="57">
        <v>57149.206047752385</v>
      </c>
      <c r="F356" s="57">
        <v>281350.78521</v>
      </c>
      <c r="G356" s="57">
        <v>245330.09641561049</v>
      </c>
      <c r="H356" s="58">
        <v>0.16599758122001673</v>
      </c>
      <c r="I356" s="58">
        <v>-0.12802768176923229</v>
      </c>
      <c r="J356" s="58">
        <v>4.5530752684915354E-2</v>
      </c>
    </row>
    <row r="357" spans="1:10" ht="11.25" customHeight="1" x14ac:dyDescent="0.2">
      <c r="A357" s="67">
        <v>43922</v>
      </c>
      <c r="B357" s="57">
        <v>335107.52</v>
      </c>
      <c r="C357" s="57">
        <v>397575.46493704466</v>
      </c>
      <c r="D357" s="57">
        <v>53321.73</v>
      </c>
      <c r="E357" s="57">
        <v>55260.257462370166</v>
      </c>
      <c r="F357" s="57">
        <v>272051.31799999997</v>
      </c>
      <c r="G357" s="57">
        <v>237221.21843419579</v>
      </c>
      <c r="H357" s="58">
        <v>0.16581262198821234</v>
      </c>
      <c r="I357" s="58">
        <v>-0.12802768176923218</v>
      </c>
      <c r="J357" s="58">
        <v>4.4780080242437403E-2</v>
      </c>
    </row>
    <row r="358" spans="1:10" ht="11.25" customHeight="1" x14ac:dyDescent="0.2">
      <c r="A358" s="67">
        <v>43952</v>
      </c>
      <c r="B358" s="57">
        <v>324211.02</v>
      </c>
      <c r="C358" s="57">
        <v>384647.73041862348</v>
      </c>
      <c r="D358" s="57">
        <v>51500.396849999997</v>
      </c>
      <c r="E358" s="57">
        <v>53372.709200268582</v>
      </c>
      <c r="F358" s="57">
        <v>262758.74471</v>
      </c>
      <c r="G358" s="57">
        <v>229118.35176018518</v>
      </c>
      <c r="H358" s="58">
        <v>0.16584277180421281</v>
      </c>
      <c r="I358" s="58">
        <v>-0.12802768176923229</v>
      </c>
      <c r="J358" s="58">
        <v>4.4902066760692527E-2</v>
      </c>
    </row>
    <row r="359" spans="1:10" ht="11.25" customHeight="1" x14ac:dyDescent="0.2">
      <c r="A359" s="67">
        <v>43983</v>
      </c>
      <c r="B359" s="57">
        <v>378968.80000000005</v>
      </c>
      <c r="C359" s="57">
        <v>449612.9984090894</v>
      </c>
      <c r="D359" s="57">
        <v>55971.17985</v>
      </c>
      <c r="E359" s="57">
        <v>58006.028855095763</v>
      </c>
      <c r="F359" s="57">
        <v>285569.00251000002</v>
      </c>
      <c r="G359" s="57">
        <v>249008.26513349265</v>
      </c>
      <c r="H359" s="58">
        <v>0.16710132611688233</v>
      </c>
      <c r="I359" s="58">
        <v>-0.12802768176923229</v>
      </c>
      <c r="J359" s="58">
        <v>5.0128882390020557E-2</v>
      </c>
    </row>
    <row r="360" spans="1:10" ht="11.25" customHeight="1" x14ac:dyDescent="0.2">
      <c r="A360" s="67">
        <v>44013</v>
      </c>
      <c r="B360" s="57">
        <v>467173.10000000003</v>
      </c>
      <c r="C360" s="57">
        <v>554259.607300309</v>
      </c>
      <c r="D360" s="57">
        <v>56411.333250000003</v>
      </c>
      <c r="E360" s="57">
        <v>58462.184163765181</v>
      </c>
      <c r="F360" s="57">
        <v>287814.69695000001</v>
      </c>
      <c r="G360" s="57">
        <v>250966.44852037739</v>
      </c>
      <c r="H360" s="58">
        <v>0.1702444774012466</v>
      </c>
      <c r="I360" s="58">
        <v>-0.12802768176923218</v>
      </c>
      <c r="J360" s="58">
        <v>6.4443142515524965E-2</v>
      </c>
    </row>
    <row r="361" spans="1:10" ht="11.25" customHeight="1" x14ac:dyDescent="0.2">
      <c r="A361" s="67">
        <v>44044</v>
      </c>
      <c r="B361" s="57">
        <v>386722.52</v>
      </c>
      <c r="C361" s="57">
        <v>458812.1021295659</v>
      </c>
      <c r="D361" s="57">
        <v>61099.237200000003</v>
      </c>
      <c r="E361" s="57">
        <v>63320.518265750652</v>
      </c>
      <c r="F361" s="57">
        <v>311732.72152000002</v>
      </c>
      <c r="G361" s="57">
        <v>271822.30385218072</v>
      </c>
      <c r="H361" s="58">
        <v>0.16593848333753214</v>
      </c>
      <c r="I361" s="58">
        <v>-0.1280276817692324</v>
      </c>
      <c r="J361" s="58">
        <v>4.5290293838394335E-2</v>
      </c>
    </row>
    <row r="362" spans="1:10" ht="11.25" customHeight="1" x14ac:dyDescent="0.2">
      <c r="A362" s="67">
        <v>44075</v>
      </c>
      <c r="B362" s="57">
        <v>386722.52</v>
      </c>
      <c r="C362" s="57">
        <v>458812.1021295659</v>
      </c>
      <c r="D362" s="57">
        <v>61099.237200000003</v>
      </c>
      <c r="E362" s="57">
        <v>63320.518265750652</v>
      </c>
      <c r="F362" s="57">
        <v>311732.72152000002</v>
      </c>
      <c r="G362" s="57">
        <v>271822.30385218072</v>
      </c>
      <c r="H362" s="58">
        <v>0.16593848333753214</v>
      </c>
      <c r="I362" s="58">
        <v>-0.1280276817692324</v>
      </c>
      <c r="J362" s="58">
        <v>4.5290293838394335E-2</v>
      </c>
    </row>
    <row r="363" spans="1:10" ht="11.25" customHeight="1" x14ac:dyDescent="0.2">
      <c r="A363" s="61" t="s">
        <v>34</v>
      </c>
      <c r="B363" s="57">
        <v>25978500.803100001</v>
      </c>
      <c r="C363" s="57">
        <v>33770153.96077463</v>
      </c>
      <c r="D363" s="57">
        <v>67195607.733146772</v>
      </c>
      <c r="E363" s="57">
        <v>73219925.128303677</v>
      </c>
      <c r="F363" s="57">
        <v>138018061.47795317</v>
      </c>
      <c r="G363" s="57">
        <v>123738401.56031673</v>
      </c>
      <c r="H363" s="58">
        <v>0.14828122071548355</v>
      </c>
      <c r="I363" s="58">
        <v>-0.10346225533618081</v>
      </c>
      <c r="J363" s="58">
        <v>-2.0056447620028228E-3</v>
      </c>
    </row>
    <row r="364" spans="1:10" ht="11.25" customHeight="1" x14ac:dyDescent="0.2">
      <c r="A364" s="62" t="s">
        <v>42</v>
      </c>
      <c r="B364" s="57">
        <v>14020489.49</v>
      </c>
      <c r="C364" s="57">
        <v>18225612.489009503</v>
      </c>
      <c r="D364" s="57">
        <v>34699955.397480011</v>
      </c>
      <c r="E364" s="57">
        <v>37857539.136801004</v>
      </c>
      <c r="F364" s="57">
        <v>70414069.807530016</v>
      </c>
      <c r="G364" s="57">
        <v>63118632.698535077</v>
      </c>
      <c r="H364" s="58">
        <v>0.15112150053914108</v>
      </c>
      <c r="I364" s="58">
        <v>-0.1036076614934528</v>
      </c>
      <c r="J364" s="58">
        <v>5.6465273315464692E-4</v>
      </c>
    </row>
    <row r="365" spans="1:10" ht="11.25" customHeight="1" x14ac:dyDescent="0.2">
      <c r="A365" s="63" t="s">
        <v>25</v>
      </c>
      <c r="B365" s="57">
        <v>14020489.49</v>
      </c>
      <c r="C365" s="57">
        <v>18225612.489009503</v>
      </c>
      <c r="D365" s="57">
        <v>34699955.397480011</v>
      </c>
      <c r="E365" s="57">
        <v>37857539.136801004</v>
      </c>
      <c r="F365" s="57">
        <v>70414069.807530016</v>
      </c>
      <c r="G365" s="57">
        <v>63118632.698535077</v>
      </c>
      <c r="H365" s="58">
        <v>0.15112150053914108</v>
      </c>
      <c r="I365" s="58">
        <v>-0.1036076614934528</v>
      </c>
      <c r="J365" s="58">
        <v>5.6465273315464692E-4</v>
      </c>
    </row>
    <row r="366" spans="1:10" ht="11.25" customHeight="1" x14ac:dyDescent="0.2">
      <c r="A366" s="64" t="s">
        <v>25</v>
      </c>
      <c r="B366" s="57">
        <v>14020489.49</v>
      </c>
      <c r="C366" s="57">
        <v>18225612.489009503</v>
      </c>
      <c r="D366" s="57">
        <v>34699955.397480011</v>
      </c>
      <c r="E366" s="57">
        <v>37857539.136801004</v>
      </c>
      <c r="F366" s="57">
        <v>70414069.807530016</v>
      </c>
      <c r="G366" s="57">
        <v>63118632.698535077</v>
      </c>
      <c r="H366" s="58">
        <v>0.15112150053914108</v>
      </c>
      <c r="I366" s="58">
        <v>-0.1036076614934528</v>
      </c>
      <c r="J366" s="58">
        <v>5.6465273315464692E-4</v>
      </c>
    </row>
    <row r="367" spans="1:10" ht="11.25" customHeight="1" x14ac:dyDescent="0.2">
      <c r="A367" s="65" t="s">
        <v>25</v>
      </c>
      <c r="B367" s="57">
        <v>14020489.49</v>
      </c>
      <c r="C367" s="57">
        <v>18225612.489009503</v>
      </c>
      <c r="D367" s="57">
        <v>34699955.397480011</v>
      </c>
      <c r="E367" s="57">
        <v>37857539.136801004</v>
      </c>
      <c r="F367" s="57">
        <v>70414069.807530016</v>
      </c>
      <c r="G367" s="57">
        <v>63118632.698535077</v>
      </c>
      <c r="H367" s="58">
        <v>0.15112150053914108</v>
      </c>
      <c r="I367" s="58">
        <v>-0.1036076614934528</v>
      </c>
      <c r="J367" s="58">
        <v>5.6465273315464692E-4</v>
      </c>
    </row>
    <row r="368" spans="1:10" ht="11.25" customHeight="1" x14ac:dyDescent="0.2">
      <c r="A368" s="66" t="s">
        <v>36</v>
      </c>
      <c r="B368" s="57">
        <v>0</v>
      </c>
      <c r="C368" s="57">
        <v>0</v>
      </c>
      <c r="D368" s="57">
        <v>19928383.733850006</v>
      </c>
      <c r="E368" s="57">
        <v>20652886.092432871</v>
      </c>
      <c r="F368" s="57">
        <v>60500166.035340004</v>
      </c>
      <c r="G368" s="57">
        <v>54473983.043581806</v>
      </c>
      <c r="H368" s="58">
        <v>3.6355299469281288E-2</v>
      </c>
      <c r="I368" s="58">
        <v>-9.9606057084837163E-2</v>
      </c>
      <c r="J368" s="58">
        <v>-6.5917894185458459E-2</v>
      </c>
    </row>
    <row r="369" spans="1:10" ht="11.25" customHeight="1" x14ac:dyDescent="0.2">
      <c r="A369" s="67">
        <v>43739</v>
      </c>
      <c r="B369" s="57">
        <v>0</v>
      </c>
      <c r="C369" s="57">
        <v>0</v>
      </c>
      <c r="D369" s="57">
        <v>1988905.0893000003</v>
      </c>
      <c r="E369" s="57">
        <v>2061212.3294374794</v>
      </c>
      <c r="F369" s="57">
        <v>6038075.6281200005</v>
      </c>
      <c r="G369" s="57">
        <v>5436646.7224229164</v>
      </c>
      <c r="H369" s="58">
        <v>3.6355299469281288E-2</v>
      </c>
      <c r="I369" s="58">
        <v>-9.9606057084837052E-2</v>
      </c>
      <c r="J369" s="58">
        <v>-6.5917894185458126E-2</v>
      </c>
    </row>
    <row r="370" spans="1:10" ht="11.25" customHeight="1" x14ac:dyDescent="0.2">
      <c r="A370" s="67">
        <v>43770</v>
      </c>
      <c r="B370" s="57">
        <v>0</v>
      </c>
      <c r="C370" s="57">
        <v>0</v>
      </c>
      <c r="D370" s="57">
        <v>2097670.1022000001</v>
      </c>
      <c r="E370" s="57">
        <v>2173931.526953239</v>
      </c>
      <c r="F370" s="57">
        <v>6368273.0704800002</v>
      </c>
      <c r="G370" s="57">
        <v>5733954.4994899379</v>
      </c>
      <c r="H370" s="58">
        <v>3.6355299469281288E-2</v>
      </c>
      <c r="I370" s="58">
        <v>-9.9606057084837163E-2</v>
      </c>
      <c r="J370" s="58">
        <v>-6.5917894185458237E-2</v>
      </c>
    </row>
    <row r="371" spans="1:10" ht="11.25" customHeight="1" x14ac:dyDescent="0.2">
      <c r="A371" s="67">
        <v>43800</v>
      </c>
      <c r="B371" s="57">
        <v>0</v>
      </c>
      <c r="C371" s="57">
        <v>0</v>
      </c>
      <c r="D371" s="57">
        <v>1918502.6711999997</v>
      </c>
      <c r="E371" s="57">
        <v>1988250.4103440919</v>
      </c>
      <c r="F371" s="57">
        <v>5824342.3900799993</v>
      </c>
      <c r="G371" s="57">
        <v>5244202.6094920551</v>
      </c>
      <c r="H371" s="58">
        <v>3.6355299469281288E-2</v>
      </c>
      <c r="I371" s="58">
        <v>-9.9606057084836941E-2</v>
      </c>
      <c r="J371" s="58">
        <v>-6.5917894185458126E-2</v>
      </c>
    </row>
    <row r="372" spans="1:10" ht="11.25" customHeight="1" x14ac:dyDescent="0.2">
      <c r="A372" s="67">
        <v>43831</v>
      </c>
      <c r="B372" s="57">
        <v>0</v>
      </c>
      <c r="C372" s="57">
        <v>0</v>
      </c>
      <c r="D372" s="57">
        <v>1800927.6654000001</v>
      </c>
      <c r="E372" s="57">
        <v>1866400.9299981308</v>
      </c>
      <c r="F372" s="57">
        <v>5467398.8733599996</v>
      </c>
      <c r="G372" s="57">
        <v>4922812.8290745309</v>
      </c>
      <c r="H372" s="58">
        <v>3.6355299469281288E-2</v>
      </c>
      <c r="I372" s="58">
        <v>-9.960605708483683E-2</v>
      </c>
      <c r="J372" s="58">
        <v>-6.5917894185458126E-2</v>
      </c>
    </row>
    <row r="373" spans="1:10" ht="11.25" customHeight="1" x14ac:dyDescent="0.2">
      <c r="A373" s="67">
        <v>43862</v>
      </c>
      <c r="B373" s="57">
        <v>0</v>
      </c>
      <c r="C373" s="57">
        <v>0</v>
      </c>
      <c r="D373" s="57">
        <v>1907002.1013000004</v>
      </c>
      <c r="E373" s="57">
        <v>1976331.7337813105</v>
      </c>
      <c r="F373" s="57">
        <v>5789428.04892</v>
      </c>
      <c r="G373" s="57">
        <v>5212765.948190718</v>
      </c>
      <c r="H373" s="58">
        <v>3.6355299469281288E-2</v>
      </c>
      <c r="I373" s="58">
        <v>-9.9606057084837052E-2</v>
      </c>
      <c r="J373" s="58">
        <v>-6.5917894185458126E-2</v>
      </c>
    </row>
    <row r="374" spans="1:10" ht="11.25" customHeight="1" x14ac:dyDescent="0.2">
      <c r="A374" s="67">
        <v>43891</v>
      </c>
      <c r="B374" s="57">
        <v>0</v>
      </c>
      <c r="C374" s="57">
        <v>0</v>
      </c>
      <c r="D374" s="57">
        <v>1745267.6838000002</v>
      </c>
      <c r="E374" s="57">
        <v>1808717.4130986081</v>
      </c>
      <c r="F374" s="57">
        <v>5298421.8919200003</v>
      </c>
      <c r="G374" s="57">
        <v>4770666.9784938665</v>
      </c>
      <c r="H374" s="58">
        <v>3.6355299469281288E-2</v>
      </c>
      <c r="I374" s="58">
        <v>-9.9606057084837052E-2</v>
      </c>
      <c r="J374" s="58">
        <v>-6.5917894185458237E-2</v>
      </c>
    </row>
    <row r="375" spans="1:10" ht="11.25" customHeight="1" x14ac:dyDescent="0.2">
      <c r="A375" s="67">
        <v>43922</v>
      </c>
      <c r="B375" s="57">
        <v>0</v>
      </c>
      <c r="C375" s="57">
        <v>0</v>
      </c>
      <c r="D375" s="57">
        <v>1663756.79715</v>
      </c>
      <c r="E375" s="57">
        <v>1724243.1737544406</v>
      </c>
      <c r="F375" s="57">
        <v>5050964.68506</v>
      </c>
      <c r="G375" s="57">
        <v>4547858.0083064176</v>
      </c>
      <c r="H375" s="58">
        <v>3.6355299469281288E-2</v>
      </c>
      <c r="I375" s="58">
        <v>-9.9606057084837052E-2</v>
      </c>
      <c r="J375" s="58">
        <v>-6.5917894185458237E-2</v>
      </c>
    </row>
    <row r="376" spans="1:10" ht="11.25" customHeight="1" x14ac:dyDescent="0.2">
      <c r="A376" s="67">
        <v>43952</v>
      </c>
      <c r="B376" s="57">
        <v>0</v>
      </c>
      <c r="C376" s="57">
        <v>0</v>
      </c>
      <c r="D376" s="57">
        <v>1354377.6001499998</v>
      </c>
      <c r="E376" s="57">
        <v>1403616.4033979399</v>
      </c>
      <c r="F376" s="57">
        <v>4111726.8102599997</v>
      </c>
      <c r="G376" s="57">
        <v>3702173.9148799875</v>
      </c>
      <c r="H376" s="58">
        <v>3.635529946928151E-2</v>
      </c>
      <c r="I376" s="58">
        <v>-9.9606057084836941E-2</v>
      </c>
      <c r="J376" s="58">
        <v>-6.5917894185458237E-2</v>
      </c>
    </row>
    <row r="377" spans="1:10" ht="11.25" customHeight="1" x14ac:dyDescent="0.2">
      <c r="A377" s="67">
        <v>43983</v>
      </c>
      <c r="B377" s="57">
        <v>0</v>
      </c>
      <c r="C377" s="57">
        <v>0</v>
      </c>
      <c r="D377" s="57">
        <v>1335321.3732</v>
      </c>
      <c r="E377" s="57">
        <v>1383867.3816104182</v>
      </c>
      <c r="F377" s="57">
        <v>4053874.4068800001</v>
      </c>
      <c r="G377" s="57">
        <v>3650083.9612935511</v>
      </c>
      <c r="H377" s="58">
        <v>3.635529946928151E-2</v>
      </c>
      <c r="I377" s="58">
        <v>-9.9606057084836941E-2</v>
      </c>
      <c r="J377" s="58">
        <v>-6.5917894185458015E-2</v>
      </c>
    </row>
    <row r="378" spans="1:10" ht="11.25" customHeight="1" x14ac:dyDescent="0.2">
      <c r="A378" s="67">
        <v>44013</v>
      </c>
      <c r="B378" s="57">
        <v>0</v>
      </c>
      <c r="C378" s="57">
        <v>0</v>
      </c>
      <c r="D378" s="57">
        <v>1299588.6358500002</v>
      </c>
      <c r="E378" s="57">
        <v>1346835.5698932016</v>
      </c>
      <c r="F378" s="57">
        <v>3945394.1321399999</v>
      </c>
      <c r="G378" s="57">
        <v>3552408.9789918824</v>
      </c>
      <c r="H378" s="58">
        <v>3.6355299469281288E-2</v>
      </c>
      <c r="I378" s="58">
        <v>-9.9606057084836941E-2</v>
      </c>
      <c r="J378" s="58">
        <v>-6.5917894185458237E-2</v>
      </c>
    </row>
    <row r="379" spans="1:10" ht="11.25" customHeight="1" x14ac:dyDescent="0.2">
      <c r="A379" s="67">
        <v>44044</v>
      </c>
      <c r="B379" s="57">
        <v>0</v>
      </c>
      <c r="C379" s="57">
        <v>0</v>
      </c>
      <c r="D379" s="57">
        <v>1408532.0071500002</v>
      </c>
      <c r="E379" s="57">
        <v>1459739.6100820061</v>
      </c>
      <c r="F379" s="57">
        <v>4276133.0490600001</v>
      </c>
      <c r="G379" s="57">
        <v>3850204.2964729713</v>
      </c>
      <c r="H379" s="58">
        <v>3.6355299469281066E-2</v>
      </c>
      <c r="I379" s="58">
        <v>-9.9606057084837052E-2</v>
      </c>
      <c r="J379" s="58">
        <v>-6.5917894185458237E-2</v>
      </c>
    </row>
    <row r="380" spans="1:10" ht="11.25" customHeight="1" x14ac:dyDescent="0.2">
      <c r="A380" s="67">
        <v>44075</v>
      </c>
      <c r="B380" s="57">
        <v>0</v>
      </c>
      <c r="C380" s="57">
        <v>0</v>
      </c>
      <c r="D380" s="57">
        <v>1408532.0071500002</v>
      </c>
      <c r="E380" s="57">
        <v>1459739.6100820061</v>
      </c>
      <c r="F380" s="57">
        <v>4276133.0490600001</v>
      </c>
      <c r="G380" s="57">
        <v>3850204.2964729713</v>
      </c>
      <c r="H380" s="58">
        <v>3.6355299469281066E-2</v>
      </c>
      <c r="I380" s="58">
        <v>-9.9606057084837052E-2</v>
      </c>
      <c r="J380" s="58">
        <v>-6.5917894185458237E-2</v>
      </c>
    </row>
    <row r="381" spans="1:10" ht="11.25" customHeight="1" x14ac:dyDescent="0.2">
      <c r="A381" s="66" t="s">
        <v>25</v>
      </c>
      <c r="B381" s="57">
        <v>14020489.49</v>
      </c>
      <c r="C381" s="57">
        <v>18225612.489009503</v>
      </c>
      <c r="D381" s="57">
        <v>0</v>
      </c>
      <c r="E381" s="57">
        <v>0</v>
      </c>
      <c r="F381" s="57">
        <v>0</v>
      </c>
      <c r="G381" s="57">
        <v>0</v>
      </c>
      <c r="H381" s="58">
        <v>0.29992697487550446</v>
      </c>
      <c r="I381" s="58">
        <v>0</v>
      </c>
      <c r="J381" s="58">
        <v>0.29992697487550446</v>
      </c>
    </row>
    <row r="382" spans="1:10" ht="11.25" customHeight="1" x14ac:dyDescent="0.2">
      <c r="A382" s="67">
        <v>43739</v>
      </c>
      <c r="B382" s="57">
        <v>1190098.8499999999</v>
      </c>
      <c r="C382" s="57">
        <v>1547041.5978833169</v>
      </c>
      <c r="D382" s="57">
        <v>0</v>
      </c>
      <c r="E382" s="57">
        <v>0</v>
      </c>
      <c r="F382" s="57">
        <v>0</v>
      </c>
      <c r="G382" s="57">
        <v>0</v>
      </c>
      <c r="H382" s="58">
        <v>0.29992697487550468</v>
      </c>
      <c r="I382" s="58">
        <v>0</v>
      </c>
      <c r="J382" s="58">
        <v>0.29992697487550468</v>
      </c>
    </row>
    <row r="383" spans="1:10" ht="11.25" customHeight="1" x14ac:dyDescent="0.2">
      <c r="A383" s="67">
        <v>43770</v>
      </c>
      <c r="B383" s="57">
        <v>1195402.47</v>
      </c>
      <c r="C383" s="57">
        <v>1553935.9165858058</v>
      </c>
      <c r="D383" s="57">
        <v>0</v>
      </c>
      <c r="E383" s="57">
        <v>0</v>
      </c>
      <c r="F383" s="57">
        <v>0</v>
      </c>
      <c r="G383" s="57">
        <v>0</v>
      </c>
      <c r="H383" s="58">
        <v>0.29992697487550446</v>
      </c>
      <c r="I383" s="58">
        <v>0</v>
      </c>
      <c r="J383" s="58">
        <v>0.29992697487550446</v>
      </c>
    </row>
    <row r="384" spans="1:10" ht="11.25" customHeight="1" x14ac:dyDescent="0.2">
      <c r="A384" s="67">
        <v>43800</v>
      </c>
      <c r="B384" s="57">
        <v>1179288.9800000002</v>
      </c>
      <c r="C384" s="57">
        <v>1532989.5562754194</v>
      </c>
      <c r="D384" s="57">
        <v>0</v>
      </c>
      <c r="E384" s="57">
        <v>0</v>
      </c>
      <c r="F384" s="57">
        <v>0</v>
      </c>
      <c r="G384" s="57">
        <v>0</v>
      </c>
      <c r="H384" s="58">
        <v>0.29992697487550424</v>
      </c>
      <c r="I384" s="58">
        <v>0</v>
      </c>
      <c r="J384" s="58">
        <v>0.29992697487550424</v>
      </c>
    </row>
    <row r="385" spans="1:10" ht="11.25" customHeight="1" x14ac:dyDescent="0.2">
      <c r="A385" s="67">
        <v>43831</v>
      </c>
      <c r="B385" s="57">
        <v>1168399.82</v>
      </c>
      <c r="C385" s="57">
        <v>1518834.443457684</v>
      </c>
      <c r="D385" s="57">
        <v>0</v>
      </c>
      <c r="E385" s="57">
        <v>0</v>
      </c>
      <c r="F385" s="57">
        <v>0</v>
      </c>
      <c r="G385" s="57">
        <v>0</v>
      </c>
      <c r="H385" s="58">
        <v>0.29992697487550446</v>
      </c>
      <c r="I385" s="58">
        <v>0</v>
      </c>
      <c r="J385" s="58">
        <v>0.29992697487550446</v>
      </c>
    </row>
    <row r="386" spans="1:10" ht="11.25" customHeight="1" x14ac:dyDescent="0.2">
      <c r="A386" s="67">
        <v>43862</v>
      </c>
      <c r="B386" s="57">
        <v>1176690.03</v>
      </c>
      <c r="C386" s="57">
        <v>1529611.1110640669</v>
      </c>
      <c r="D386" s="57">
        <v>0</v>
      </c>
      <c r="E386" s="57">
        <v>0</v>
      </c>
      <c r="F386" s="57">
        <v>0</v>
      </c>
      <c r="G386" s="57">
        <v>0</v>
      </c>
      <c r="H386" s="58">
        <v>0.29992697487550468</v>
      </c>
      <c r="I386" s="58">
        <v>0</v>
      </c>
      <c r="J386" s="58">
        <v>0.29992697487550468</v>
      </c>
    </row>
    <row r="387" spans="1:10" ht="11.25" customHeight="1" x14ac:dyDescent="0.2">
      <c r="A387" s="67">
        <v>43891</v>
      </c>
      <c r="B387" s="57">
        <v>1170496.5999999999</v>
      </c>
      <c r="C387" s="57">
        <v>1521560.1043400634</v>
      </c>
      <c r="D387" s="57">
        <v>0</v>
      </c>
      <c r="E387" s="57">
        <v>0</v>
      </c>
      <c r="F387" s="57">
        <v>0</v>
      </c>
      <c r="G387" s="57">
        <v>0</v>
      </c>
      <c r="H387" s="58">
        <v>0.29992697487550468</v>
      </c>
      <c r="I387" s="58">
        <v>0</v>
      </c>
      <c r="J387" s="58">
        <v>0.29992697487550468</v>
      </c>
    </row>
    <row r="388" spans="1:10" ht="11.25" customHeight="1" x14ac:dyDescent="0.2">
      <c r="A388" s="67">
        <v>43922</v>
      </c>
      <c r="B388" s="57">
        <v>1179711.8600000001</v>
      </c>
      <c r="C388" s="57">
        <v>1533539.2693945549</v>
      </c>
      <c r="D388" s="57">
        <v>0</v>
      </c>
      <c r="E388" s="57">
        <v>0</v>
      </c>
      <c r="F388" s="57">
        <v>0</v>
      </c>
      <c r="G388" s="57">
        <v>0</v>
      </c>
      <c r="H388" s="58">
        <v>0.29992697487550446</v>
      </c>
      <c r="I388" s="58">
        <v>0</v>
      </c>
      <c r="J388" s="58">
        <v>0.29992697487550446</v>
      </c>
    </row>
    <row r="389" spans="1:10" ht="11.25" customHeight="1" x14ac:dyDescent="0.2">
      <c r="A389" s="67">
        <v>43952</v>
      </c>
      <c r="B389" s="57">
        <v>1172329.08</v>
      </c>
      <c r="C389" s="57">
        <v>1523942.1945229834</v>
      </c>
      <c r="D389" s="57">
        <v>0</v>
      </c>
      <c r="E389" s="57">
        <v>0</v>
      </c>
      <c r="F389" s="57">
        <v>0</v>
      </c>
      <c r="G389" s="57">
        <v>0</v>
      </c>
      <c r="H389" s="58">
        <v>0.29992697487550446</v>
      </c>
      <c r="I389" s="58">
        <v>0</v>
      </c>
      <c r="J389" s="58">
        <v>0.29992697487550446</v>
      </c>
    </row>
    <row r="390" spans="1:10" ht="11.25" customHeight="1" x14ac:dyDescent="0.2">
      <c r="A390" s="67">
        <v>43983</v>
      </c>
      <c r="B390" s="57">
        <v>1076749.3900000001</v>
      </c>
      <c r="C390" s="57">
        <v>1399695.5772417448</v>
      </c>
      <c r="D390" s="57">
        <v>0</v>
      </c>
      <c r="E390" s="57">
        <v>0</v>
      </c>
      <c r="F390" s="57">
        <v>0</v>
      </c>
      <c r="G390" s="57">
        <v>0</v>
      </c>
      <c r="H390" s="58">
        <v>0.29992697487550446</v>
      </c>
      <c r="I390" s="58">
        <v>0</v>
      </c>
      <c r="J390" s="58">
        <v>0.29992697487550446</v>
      </c>
    </row>
    <row r="391" spans="1:10" ht="11.25" customHeight="1" x14ac:dyDescent="0.2">
      <c r="A391" s="67">
        <v>44013</v>
      </c>
      <c r="B391" s="57">
        <v>1117663.0299999998</v>
      </c>
      <c r="C391" s="57">
        <v>1452880.3215180901</v>
      </c>
      <c r="D391" s="57">
        <v>0</v>
      </c>
      <c r="E391" s="57">
        <v>0</v>
      </c>
      <c r="F391" s="57">
        <v>0</v>
      </c>
      <c r="G391" s="57">
        <v>0</v>
      </c>
      <c r="H391" s="58">
        <v>0.29992697487550468</v>
      </c>
      <c r="I391" s="58">
        <v>0</v>
      </c>
      <c r="J391" s="58">
        <v>0.29992697487550468</v>
      </c>
    </row>
    <row r="392" spans="1:10" ht="11.25" customHeight="1" x14ac:dyDescent="0.2">
      <c r="A392" s="67">
        <v>44044</v>
      </c>
      <c r="B392" s="57">
        <v>1196829.69</v>
      </c>
      <c r="C392" s="57">
        <v>1555791.1983628878</v>
      </c>
      <c r="D392" s="57">
        <v>0</v>
      </c>
      <c r="E392" s="57">
        <v>0</v>
      </c>
      <c r="F392" s="57">
        <v>0</v>
      </c>
      <c r="G392" s="57">
        <v>0</v>
      </c>
      <c r="H392" s="58">
        <v>0.29992697487550446</v>
      </c>
      <c r="I392" s="58">
        <v>0</v>
      </c>
      <c r="J392" s="58">
        <v>0.29992697487550446</v>
      </c>
    </row>
    <row r="393" spans="1:10" ht="11.25" customHeight="1" x14ac:dyDescent="0.2">
      <c r="A393" s="67">
        <v>44075</v>
      </c>
      <c r="B393" s="57">
        <v>1196829.69</v>
      </c>
      <c r="C393" s="57">
        <v>1555791.1983628878</v>
      </c>
      <c r="D393" s="57">
        <v>0</v>
      </c>
      <c r="E393" s="57">
        <v>0</v>
      </c>
      <c r="F393" s="57">
        <v>0</v>
      </c>
      <c r="G393" s="57">
        <v>0</v>
      </c>
      <c r="H393" s="58">
        <v>0.29992697487550446</v>
      </c>
      <c r="I393" s="58">
        <v>0</v>
      </c>
      <c r="J393" s="58">
        <v>0.29992697487550446</v>
      </c>
    </row>
    <row r="394" spans="1:10" ht="11.25" customHeight="1" x14ac:dyDescent="0.2">
      <c r="A394" s="66" t="s">
        <v>35</v>
      </c>
      <c r="B394" s="57">
        <v>0</v>
      </c>
      <c r="C394" s="57">
        <v>0</v>
      </c>
      <c r="D394" s="57">
        <v>14771571.663630001</v>
      </c>
      <c r="E394" s="57">
        <v>17204653.044368133</v>
      </c>
      <c r="F394" s="57">
        <v>9913903.772189999</v>
      </c>
      <c r="G394" s="57">
        <v>8644649.6549532674</v>
      </c>
      <c r="H394" s="58">
        <v>0.16471377834010581</v>
      </c>
      <c r="I394" s="58">
        <v>-0.12802768176923263</v>
      </c>
      <c r="J394" s="58">
        <v>4.7146236519821194E-2</v>
      </c>
    </row>
    <row r="395" spans="1:10" ht="11.25" customHeight="1" x14ac:dyDescent="0.2">
      <c r="A395" s="67">
        <v>43739</v>
      </c>
      <c r="B395" s="57">
        <v>0</v>
      </c>
      <c r="C395" s="57">
        <v>0</v>
      </c>
      <c r="D395" s="57">
        <v>1508982.7292300002</v>
      </c>
      <c r="E395" s="57">
        <v>1757532.9760114376</v>
      </c>
      <c r="F395" s="57">
        <v>1012750.0249900001</v>
      </c>
      <c r="G395" s="57">
        <v>883089.98707879824</v>
      </c>
      <c r="H395" s="58">
        <v>0.16471377834010537</v>
      </c>
      <c r="I395" s="58">
        <v>-0.12802768176923229</v>
      </c>
      <c r="J395" s="58">
        <v>4.714623651982075E-2</v>
      </c>
    </row>
    <row r="396" spans="1:10" ht="11.25" customHeight="1" x14ac:dyDescent="0.2">
      <c r="A396" s="67">
        <v>43770</v>
      </c>
      <c r="B396" s="57">
        <v>0</v>
      </c>
      <c r="C396" s="57">
        <v>0</v>
      </c>
      <c r="D396" s="57">
        <v>1673440.02355</v>
      </c>
      <c r="E396" s="57">
        <v>1949078.6526544755</v>
      </c>
      <c r="F396" s="57">
        <v>1123125.13115</v>
      </c>
      <c r="G396" s="57">
        <v>979334.02427210053</v>
      </c>
      <c r="H396" s="58">
        <v>0.16471377834010537</v>
      </c>
      <c r="I396" s="58">
        <v>-0.12802768176923229</v>
      </c>
      <c r="J396" s="58">
        <v>4.7146236519820972E-2</v>
      </c>
    </row>
    <row r="397" spans="1:10" ht="11.25" customHeight="1" x14ac:dyDescent="0.2">
      <c r="A397" s="67">
        <v>43800</v>
      </c>
      <c r="B397" s="57">
        <v>0</v>
      </c>
      <c r="C397" s="57">
        <v>0</v>
      </c>
      <c r="D397" s="57">
        <v>1455883.0943400001</v>
      </c>
      <c r="E397" s="57">
        <v>1695687.0996302257</v>
      </c>
      <c r="F397" s="57">
        <v>977112.33641999995</v>
      </c>
      <c r="G397" s="57">
        <v>852014.90916002926</v>
      </c>
      <c r="H397" s="58">
        <v>0.16471377834010537</v>
      </c>
      <c r="I397" s="58">
        <v>-0.12802768176923218</v>
      </c>
      <c r="J397" s="58">
        <v>4.7146236519821194E-2</v>
      </c>
    </row>
    <row r="398" spans="1:10" ht="11.25" customHeight="1" x14ac:dyDescent="0.2">
      <c r="A398" s="67">
        <v>43831</v>
      </c>
      <c r="B398" s="57">
        <v>0</v>
      </c>
      <c r="C398" s="57">
        <v>0</v>
      </c>
      <c r="D398" s="57">
        <v>1310251.5147799999</v>
      </c>
      <c r="E398" s="57">
        <v>1526067.9923552601</v>
      </c>
      <c r="F398" s="57">
        <v>879372.06213999994</v>
      </c>
      <c r="G398" s="57">
        <v>766788.09561158658</v>
      </c>
      <c r="H398" s="58">
        <v>0.16471377834010537</v>
      </c>
      <c r="I398" s="58">
        <v>-0.12802768176923218</v>
      </c>
      <c r="J398" s="58">
        <v>4.7146236519820972E-2</v>
      </c>
    </row>
    <row r="399" spans="1:10" ht="11.25" customHeight="1" x14ac:dyDescent="0.2">
      <c r="A399" s="67">
        <v>43862</v>
      </c>
      <c r="B399" s="57">
        <v>0</v>
      </c>
      <c r="C399" s="57">
        <v>0</v>
      </c>
      <c r="D399" s="57">
        <v>1428267.8944900001</v>
      </c>
      <c r="E399" s="57">
        <v>1663523.2958733148</v>
      </c>
      <c r="F399" s="57">
        <v>958578.46337000013</v>
      </c>
      <c r="G399" s="57">
        <v>835853.88491082599</v>
      </c>
      <c r="H399" s="58">
        <v>0.16471377834010537</v>
      </c>
      <c r="I399" s="58">
        <v>-0.1280276817692324</v>
      </c>
      <c r="J399" s="58">
        <v>4.714623651982075E-2</v>
      </c>
    </row>
    <row r="400" spans="1:10" ht="11.25" customHeight="1" x14ac:dyDescent="0.2">
      <c r="A400" s="67">
        <v>43891</v>
      </c>
      <c r="B400" s="57">
        <v>0</v>
      </c>
      <c r="C400" s="57">
        <v>0</v>
      </c>
      <c r="D400" s="57">
        <v>1314805.7918400001</v>
      </c>
      <c r="E400" s="57">
        <v>1531372.4215974207</v>
      </c>
      <c r="F400" s="57">
        <v>882428.65392000007</v>
      </c>
      <c r="G400" s="57">
        <v>769453.35903187818</v>
      </c>
      <c r="H400" s="58">
        <v>0.16471377834010537</v>
      </c>
      <c r="I400" s="58">
        <v>-0.1280276817692324</v>
      </c>
      <c r="J400" s="58">
        <v>4.7146236519820972E-2</v>
      </c>
    </row>
    <row r="401" spans="1:10" ht="11.25" customHeight="1" x14ac:dyDescent="0.2">
      <c r="A401" s="67">
        <v>43922</v>
      </c>
      <c r="B401" s="57">
        <v>0</v>
      </c>
      <c r="C401" s="57">
        <v>0</v>
      </c>
      <c r="D401" s="57">
        <v>1245608.8996899999</v>
      </c>
      <c r="E401" s="57">
        <v>1450777.847892001</v>
      </c>
      <c r="F401" s="57">
        <v>835987.33097000001</v>
      </c>
      <c r="G401" s="57">
        <v>728957.81099746295</v>
      </c>
      <c r="H401" s="58">
        <v>0.16471377834010537</v>
      </c>
      <c r="I401" s="58">
        <v>-0.12802768176923229</v>
      </c>
      <c r="J401" s="58">
        <v>4.7146236519820972E-2</v>
      </c>
    </row>
    <row r="402" spans="1:10" ht="11.25" customHeight="1" x14ac:dyDescent="0.2">
      <c r="A402" s="67">
        <v>43952</v>
      </c>
      <c r="B402" s="57">
        <v>0</v>
      </c>
      <c r="C402" s="57">
        <v>0</v>
      </c>
      <c r="D402" s="57">
        <v>899231.54105999996</v>
      </c>
      <c r="E402" s="57">
        <v>1047347.3657905881</v>
      </c>
      <c r="F402" s="57">
        <v>603517.02377999993</v>
      </c>
      <c r="G402" s="57">
        <v>526250.13831717998</v>
      </c>
      <c r="H402" s="58">
        <v>0.16471377834010537</v>
      </c>
      <c r="I402" s="58">
        <v>-0.12802768176923218</v>
      </c>
      <c r="J402" s="58">
        <v>4.7146236519820972E-2</v>
      </c>
    </row>
    <row r="403" spans="1:10" ht="11.25" customHeight="1" x14ac:dyDescent="0.2">
      <c r="A403" s="67">
        <v>43983</v>
      </c>
      <c r="B403" s="57">
        <v>0</v>
      </c>
      <c r="C403" s="57">
        <v>0</v>
      </c>
      <c r="D403" s="57">
        <v>928379.81302999996</v>
      </c>
      <c r="E403" s="57">
        <v>1081296.7597688518</v>
      </c>
      <c r="F403" s="57">
        <v>623079.81438999996</v>
      </c>
      <c r="G403" s="57">
        <v>543308.35019644478</v>
      </c>
      <c r="H403" s="58">
        <v>0.16471377834010537</v>
      </c>
      <c r="I403" s="58">
        <v>-0.12802768176923218</v>
      </c>
      <c r="J403" s="58">
        <v>4.7146236519820972E-2</v>
      </c>
    </row>
    <row r="404" spans="1:10" ht="11.25" customHeight="1" x14ac:dyDescent="0.2">
      <c r="A404" s="67">
        <v>44013</v>
      </c>
      <c r="B404" s="57">
        <v>0</v>
      </c>
      <c r="C404" s="57">
        <v>0</v>
      </c>
      <c r="D404" s="57">
        <v>924310.23842000007</v>
      </c>
      <c r="E404" s="57">
        <v>1076556.8701486019</v>
      </c>
      <c r="F404" s="57">
        <v>620348.52945999999</v>
      </c>
      <c r="G404" s="57">
        <v>540926.74534428399</v>
      </c>
      <c r="H404" s="58">
        <v>0.16471377834010537</v>
      </c>
      <c r="I404" s="58">
        <v>-0.12802768176923218</v>
      </c>
      <c r="J404" s="58">
        <v>4.7146236519820972E-2</v>
      </c>
    </row>
    <row r="405" spans="1:10" ht="11.25" customHeight="1" x14ac:dyDescent="0.2">
      <c r="A405" s="67">
        <v>44044</v>
      </c>
      <c r="B405" s="57">
        <v>0</v>
      </c>
      <c r="C405" s="57">
        <v>0</v>
      </c>
      <c r="D405" s="57">
        <v>1041205.0616</v>
      </c>
      <c r="E405" s="57">
        <v>1212705.8813229781</v>
      </c>
      <c r="F405" s="57">
        <v>698802.20079999999</v>
      </c>
      <c r="G405" s="57">
        <v>609336.17501633847</v>
      </c>
      <c r="H405" s="58">
        <v>0.16471377834010537</v>
      </c>
      <c r="I405" s="58">
        <v>-0.12802768176923218</v>
      </c>
      <c r="J405" s="58">
        <v>4.7146236519820972E-2</v>
      </c>
    </row>
    <row r="406" spans="1:10" ht="11.25" customHeight="1" x14ac:dyDescent="0.2">
      <c r="A406" s="67">
        <v>44075</v>
      </c>
      <c r="B406" s="57">
        <v>0</v>
      </c>
      <c r="C406" s="57">
        <v>0</v>
      </c>
      <c r="D406" s="57">
        <v>1041205.0616</v>
      </c>
      <c r="E406" s="57">
        <v>1212705.8813229781</v>
      </c>
      <c r="F406" s="57">
        <v>698802.20079999999</v>
      </c>
      <c r="G406" s="57">
        <v>609336.17501633847</v>
      </c>
      <c r="H406" s="58">
        <v>0.16471377834010537</v>
      </c>
      <c r="I406" s="58">
        <v>-0.12802768176923218</v>
      </c>
      <c r="J406" s="58">
        <v>4.7146236519820972E-2</v>
      </c>
    </row>
    <row r="407" spans="1:10" ht="11.25" customHeight="1" x14ac:dyDescent="0.2">
      <c r="A407" s="62" t="s">
        <v>40</v>
      </c>
      <c r="B407" s="57">
        <v>1971757.2900000003</v>
      </c>
      <c r="C407" s="57">
        <v>2563140.4891784233</v>
      </c>
      <c r="D407" s="57">
        <v>3572914.5317400005</v>
      </c>
      <c r="E407" s="57">
        <v>3850626.4174995478</v>
      </c>
      <c r="F407" s="57">
        <v>8123714.1012000004</v>
      </c>
      <c r="G407" s="57">
        <v>7292576.0992667535</v>
      </c>
      <c r="H407" s="58">
        <v>0.15674418845320193</v>
      </c>
      <c r="I407" s="58">
        <v>-0.10231009998375917</v>
      </c>
      <c r="J407" s="58">
        <v>2.7769981926704101E-3</v>
      </c>
    </row>
    <row r="408" spans="1:10" ht="11.25" customHeight="1" x14ac:dyDescent="0.2">
      <c r="A408" s="63" t="s">
        <v>25</v>
      </c>
      <c r="B408" s="57">
        <v>1971757.2900000003</v>
      </c>
      <c r="C408" s="57">
        <v>2563140.4891784233</v>
      </c>
      <c r="D408" s="57">
        <v>3572914.5317400005</v>
      </c>
      <c r="E408" s="57">
        <v>3850626.4174995478</v>
      </c>
      <c r="F408" s="57">
        <v>8123714.1012000004</v>
      </c>
      <c r="G408" s="57">
        <v>7292576.0992667535</v>
      </c>
      <c r="H408" s="58">
        <v>0.15674418845320193</v>
      </c>
      <c r="I408" s="58">
        <v>-0.10231009998375917</v>
      </c>
      <c r="J408" s="58">
        <v>2.7769981926704101E-3</v>
      </c>
    </row>
    <row r="409" spans="1:10" ht="11.25" customHeight="1" x14ac:dyDescent="0.2">
      <c r="A409" s="64" t="s">
        <v>25</v>
      </c>
      <c r="B409" s="57">
        <v>1971757.2900000003</v>
      </c>
      <c r="C409" s="57">
        <v>2563140.4891784233</v>
      </c>
      <c r="D409" s="57">
        <v>3572914.5317400005</v>
      </c>
      <c r="E409" s="57">
        <v>3850626.4174995478</v>
      </c>
      <c r="F409" s="57">
        <v>8123714.1012000004</v>
      </c>
      <c r="G409" s="57">
        <v>7292576.0992667535</v>
      </c>
      <c r="H409" s="58">
        <v>0.15674418845320193</v>
      </c>
      <c r="I409" s="58">
        <v>-0.10231009998375917</v>
      </c>
      <c r="J409" s="58">
        <v>2.7769981926704101E-3</v>
      </c>
    </row>
    <row r="410" spans="1:10" ht="11.25" customHeight="1" x14ac:dyDescent="0.2">
      <c r="A410" s="65" t="s">
        <v>25</v>
      </c>
      <c r="B410" s="57">
        <v>1971757.2900000003</v>
      </c>
      <c r="C410" s="57">
        <v>2563140.4891784233</v>
      </c>
      <c r="D410" s="57">
        <v>3572914.5317400005</v>
      </c>
      <c r="E410" s="57">
        <v>3850626.4174995478</v>
      </c>
      <c r="F410" s="57">
        <v>8123714.1012000004</v>
      </c>
      <c r="G410" s="57">
        <v>7292576.0992667535</v>
      </c>
      <c r="H410" s="58">
        <v>0.15674418845320193</v>
      </c>
      <c r="I410" s="58">
        <v>-0.10231009998375917</v>
      </c>
      <c r="J410" s="58">
        <v>2.7769981926704101E-3</v>
      </c>
    </row>
    <row r="411" spans="1:10" ht="11.25" customHeight="1" x14ac:dyDescent="0.2">
      <c r="A411" s="66" t="s">
        <v>36</v>
      </c>
      <c r="B411" s="57">
        <v>0</v>
      </c>
      <c r="C411" s="57">
        <v>0</v>
      </c>
      <c r="D411" s="57">
        <v>2421315.4377000006</v>
      </c>
      <c r="E411" s="57">
        <v>2509343.0855471776</v>
      </c>
      <c r="F411" s="57">
        <v>7350821.2186799999</v>
      </c>
      <c r="G411" s="57">
        <v>6618634.9007517286</v>
      </c>
      <c r="H411" s="58">
        <v>3.6355299469281288E-2</v>
      </c>
      <c r="I411" s="58">
        <v>-9.9606057084837052E-2</v>
      </c>
      <c r="J411" s="58">
        <v>-6.5917894185458126E-2</v>
      </c>
    </row>
    <row r="412" spans="1:10" ht="11.25" customHeight="1" x14ac:dyDescent="0.2">
      <c r="A412" s="67">
        <v>43739</v>
      </c>
      <c r="B412" s="57">
        <v>0</v>
      </c>
      <c r="C412" s="57">
        <v>0</v>
      </c>
      <c r="D412" s="57">
        <v>249954.26550000004</v>
      </c>
      <c r="E412" s="57">
        <v>259041.4276758768</v>
      </c>
      <c r="F412" s="57">
        <v>758830.96019999997</v>
      </c>
      <c r="G412" s="57">
        <v>683246.80026057712</v>
      </c>
      <c r="H412" s="58">
        <v>3.6355299469281288E-2</v>
      </c>
      <c r="I412" s="58">
        <v>-9.9606057084836941E-2</v>
      </c>
      <c r="J412" s="58">
        <v>-6.5917894185458237E-2</v>
      </c>
    </row>
    <row r="413" spans="1:10" ht="11.25" customHeight="1" x14ac:dyDescent="0.2">
      <c r="A413" s="67">
        <v>43770</v>
      </c>
      <c r="B413" s="57">
        <v>0</v>
      </c>
      <c r="C413" s="57">
        <v>0</v>
      </c>
      <c r="D413" s="57">
        <v>241734.83145000006</v>
      </c>
      <c r="E413" s="57">
        <v>250523.17363952103</v>
      </c>
      <c r="F413" s="57">
        <v>733877.75118000002</v>
      </c>
      <c r="G413" s="57">
        <v>660779.08200267307</v>
      </c>
      <c r="H413" s="58">
        <v>3.6355299469281288E-2</v>
      </c>
      <c r="I413" s="58">
        <v>-9.9606057084837052E-2</v>
      </c>
      <c r="J413" s="58">
        <v>-6.5917894185458237E-2</v>
      </c>
    </row>
    <row r="414" spans="1:10" ht="11.25" customHeight="1" x14ac:dyDescent="0.2">
      <c r="A414" s="67">
        <v>43800</v>
      </c>
      <c r="B414" s="57">
        <v>0</v>
      </c>
      <c r="C414" s="57">
        <v>0</v>
      </c>
      <c r="D414" s="57">
        <v>232718.6961</v>
      </c>
      <c r="E414" s="57">
        <v>241179.25398881617</v>
      </c>
      <c r="F414" s="57">
        <v>706505.85324000008</v>
      </c>
      <c r="G414" s="57">
        <v>636133.59089140501</v>
      </c>
      <c r="H414" s="58">
        <v>3.6355299469281288E-2</v>
      </c>
      <c r="I414" s="58">
        <v>-9.9606057084837274E-2</v>
      </c>
      <c r="J414" s="58">
        <v>-6.5917894185458348E-2</v>
      </c>
    </row>
    <row r="415" spans="1:10" ht="11.25" customHeight="1" x14ac:dyDescent="0.2">
      <c r="A415" s="67">
        <v>43831</v>
      </c>
      <c r="B415" s="57">
        <v>0</v>
      </c>
      <c r="C415" s="57">
        <v>0</v>
      </c>
      <c r="D415" s="57">
        <v>194934.58379999999</v>
      </c>
      <c r="E415" s="57">
        <v>202021.48897096873</v>
      </c>
      <c r="F415" s="57">
        <v>591797.85191999993</v>
      </c>
      <c r="G415" s="57">
        <v>532851.20129897259</v>
      </c>
      <c r="H415" s="58">
        <v>3.635529946928151E-2</v>
      </c>
      <c r="I415" s="58">
        <v>-9.960605708483683E-2</v>
      </c>
      <c r="J415" s="58">
        <v>-6.5917894185458015E-2</v>
      </c>
    </row>
    <row r="416" spans="1:10" ht="11.25" customHeight="1" x14ac:dyDescent="0.2">
      <c r="A416" s="67">
        <v>43862</v>
      </c>
      <c r="B416" s="57">
        <v>0</v>
      </c>
      <c r="C416" s="57">
        <v>0</v>
      </c>
      <c r="D416" s="57">
        <v>218749.3149</v>
      </c>
      <c r="E416" s="57">
        <v>226702.01175188963</v>
      </c>
      <c r="F416" s="57">
        <v>664096.49916000001</v>
      </c>
      <c r="G416" s="57">
        <v>597948.46535482863</v>
      </c>
      <c r="H416" s="58">
        <v>3.6355299469281288E-2</v>
      </c>
      <c r="I416" s="58">
        <v>-9.9606057084837052E-2</v>
      </c>
      <c r="J416" s="58">
        <v>-6.5917894185458237E-2</v>
      </c>
    </row>
    <row r="417" spans="1:10" ht="11.25" customHeight="1" x14ac:dyDescent="0.2">
      <c r="A417" s="67">
        <v>43891</v>
      </c>
      <c r="B417" s="57">
        <v>0</v>
      </c>
      <c r="C417" s="57">
        <v>0</v>
      </c>
      <c r="D417" s="57">
        <v>195592.19594999999</v>
      </c>
      <c r="E417" s="57">
        <v>202703.0088076166</v>
      </c>
      <c r="F417" s="57">
        <v>593794.28298000002</v>
      </c>
      <c r="G417" s="57">
        <v>534648.77573284425</v>
      </c>
      <c r="H417" s="58">
        <v>3.6355299469281288E-2</v>
      </c>
      <c r="I417" s="58">
        <v>-9.9606057084837052E-2</v>
      </c>
      <c r="J417" s="58">
        <v>-6.5917894185458126E-2</v>
      </c>
    </row>
    <row r="418" spans="1:10" ht="11.25" customHeight="1" x14ac:dyDescent="0.2">
      <c r="A418" s="67">
        <v>43922</v>
      </c>
      <c r="B418" s="57">
        <v>0</v>
      </c>
      <c r="C418" s="57">
        <v>0</v>
      </c>
      <c r="D418" s="57">
        <v>204460.62825000001</v>
      </c>
      <c r="E418" s="57">
        <v>211893.85561970616</v>
      </c>
      <c r="F418" s="57">
        <v>620717.77230000007</v>
      </c>
      <c r="G418" s="57">
        <v>558890.52243871335</v>
      </c>
      <c r="H418" s="58">
        <v>3.6355299469281288E-2</v>
      </c>
      <c r="I418" s="58">
        <v>-9.9606057084837052E-2</v>
      </c>
      <c r="J418" s="58">
        <v>-6.5917894185458237E-2</v>
      </c>
    </row>
    <row r="419" spans="1:10" ht="11.25" customHeight="1" x14ac:dyDescent="0.2">
      <c r="A419" s="67">
        <v>43952</v>
      </c>
      <c r="B419" s="57">
        <v>0</v>
      </c>
      <c r="C419" s="57">
        <v>0</v>
      </c>
      <c r="D419" s="57">
        <v>152901.28529999999</v>
      </c>
      <c r="E419" s="57">
        <v>158460.05731631949</v>
      </c>
      <c r="F419" s="57">
        <v>464189.83451999997</v>
      </c>
      <c r="G419" s="57">
        <v>417953.71536459978</v>
      </c>
      <c r="H419" s="58">
        <v>3.6355299469281288E-2</v>
      </c>
      <c r="I419" s="58">
        <v>-9.9606057084837052E-2</v>
      </c>
      <c r="J419" s="58">
        <v>-6.5917894185458126E-2</v>
      </c>
    </row>
    <row r="420" spans="1:10" ht="11.25" customHeight="1" x14ac:dyDescent="0.2">
      <c r="A420" s="67">
        <v>43983</v>
      </c>
      <c r="B420" s="57">
        <v>0</v>
      </c>
      <c r="C420" s="57">
        <v>0</v>
      </c>
      <c r="D420" s="57">
        <v>175536.84105000005</v>
      </c>
      <c r="E420" s="57">
        <v>181918.53547426441</v>
      </c>
      <c r="F420" s="57">
        <v>532908.64782000007</v>
      </c>
      <c r="G420" s="57">
        <v>479827.71862423775</v>
      </c>
      <c r="H420" s="58">
        <v>3.6355299469281288E-2</v>
      </c>
      <c r="I420" s="58">
        <v>-9.9606057084837163E-2</v>
      </c>
      <c r="J420" s="58">
        <v>-6.5917894185458237E-2</v>
      </c>
    </row>
    <row r="421" spans="1:10" ht="11.25" customHeight="1" x14ac:dyDescent="0.2">
      <c r="A421" s="67">
        <v>44013</v>
      </c>
      <c r="B421" s="57">
        <v>0</v>
      </c>
      <c r="C421" s="57">
        <v>0</v>
      </c>
      <c r="D421" s="57">
        <v>191028.60240000003</v>
      </c>
      <c r="E421" s="57">
        <v>197973.50444745031</v>
      </c>
      <c r="F421" s="57">
        <v>579939.76416000002</v>
      </c>
      <c r="G421" s="57">
        <v>522174.25090531213</v>
      </c>
      <c r="H421" s="58">
        <v>3.6355299469281288E-2</v>
      </c>
      <c r="I421" s="58">
        <v>-9.9606057084837052E-2</v>
      </c>
      <c r="J421" s="58">
        <v>-6.5917894185458126E-2</v>
      </c>
    </row>
    <row r="422" spans="1:10" ht="11.25" customHeight="1" x14ac:dyDescent="0.2">
      <c r="A422" s="67">
        <v>44044</v>
      </c>
      <c r="B422" s="57">
        <v>0</v>
      </c>
      <c r="C422" s="57">
        <v>0</v>
      </c>
      <c r="D422" s="57">
        <v>181852.09649999999</v>
      </c>
      <c r="E422" s="57">
        <v>188463.38392737415</v>
      </c>
      <c r="F422" s="57">
        <v>552081.00060000003</v>
      </c>
      <c r="G422" s="57">
        <v>497090.3889387825</v>
      </c>
      <c r="H422" s="58">
        <v>3.635529946928151E-2</v>
      </c>
      <c r="I422" s="58">
        <v>-9.9606057084836941E-2</v>
      </c>
      <c r="J422" s="58">
        <v>-6.5917894185458126E-2</v>
      </c>
    </row>
    <row r="423" spans="1:10" ht="11.25" customHeight="1" x14ac:dyDescent="0.2">
      <c r="A423" s="67">
        <v>44075</v>
      </c>
      <c r="B423" s="57">
        <v>0</v>
      </c>
      <c r="C423" s="57">
        <v>0</v>
      </c>
      <c r="D423" s="57">
        <v>181852.09649999999</v>
      </c>
      <c r="E423" s="57">
        <v>188463.38392737415</v>
      </c>
      <c r="F423" s="57">
        <v>552081.00060000003</v>
      </c>
      <c r="G423" s="57">
        <v>497090.3889387825</v>
      </c>
      <c r="H423" s="58">
        <v>3.635529946928151E-2</v>
      </c>
      <c r="I423" s="58">
        <v>-9.9606057084836941E-2</v>
      </c>
      <c r="J423" s="58">
        <v>-6.5917894185458126E-2</v>
      </c>
    </row>
    <row r="424" spans="1:10" ht="11.25" customHeight="1" x14ac:dyDescent="0.2">
      <c r="A424" s="66" t="s">
        <v>25</v>
      </c>
      <c r="B424" s="57">
        <v>1971757.2900000003</v>
      </c>
      <c r="C424" s="57">
        <v>2563140.4891784233</v>
      </c>
      <c r="D424" s="57">
        <v>0</v>
      </c>
      <c r="E424" s="57">
        <v>0</v>
      </c>
      <c r="F424" s="57">
        <v>0</v>
      </c>
      <c r="G424" s="57">
        <v>0</v>
      </c>
      <c r="H424" s="58">
        <v>0.29992697487550402</v>
      </c>
      <c r="I424" s="58">
        <v>0</v>
      </c>
      <c r="J424" s="58">
        <v>0.29992697487550402</v>
      </c>
    </row>
    <row r="425" spans="1:10" ht="11.25" customHeight="1" x14ac:dyDescent="0.2">
      <c r="A425" s="67">
        <v>43739</v>
      </c>
      <c r="B425" s="57">
        <v>180076.40000000002</v>
      </c>
      <c r="C425" s="57">
        <v>234086.16989847133</v>
      </c>
      <c r="D425" s="57">
        <v>0</v>
      </c>
      <c r="E425" s="57">
        <v>0</v>
      </c>
      <c r="F425" s="57">
        <v>0</v>
      </c>
      <c r="G425" s="57">
        <v>0</v>
      </c>
      <c r="H425" s="58">
        <v>0.29992697487550446</v>
      </c>
      <c r="I425" s="58">
        <v>0</v>
      </c>
      <c r="J425" s="58">
        <v>0.29992697487550446</v>
      </c>
    </row>
    <row r="426" spans="1:10" ht="11.25" customHeight="1" x14ac:dyDescent="0.2">
      <c r="A426" s="67">
        <v>43770</v>
      </c>
      <c r="B426" s="57">
        <v>182208.42</v>
      </c>
      <c r="C426" s="57">
        <v>236857.64020744539</v>
      </c>
      <c r="D426" s="57">
        <v>0</v>
      </c>
      <c r="E426" s="57">
        <v>0</v>
      </c>
      <c r="F426" s="57">
        <v>0</v>
      </c>
      <c r="G426" s="57">
        <v>0</v>
      </c>
      <c r="H426" s="58">
        <v>0.29992697487550446</v>
      </c>
      <c r="I426" s="58">
        <v>0</v>
      </c>
      <c r="J426" s="58">
        <v>0.29992697487550446</v>
      </c>
    </row>
    <row r="427" spans="1:10" ht="11.25" customHeight="1" x14ac:dyDescent="0.2">
      <c r="A427" s="67">
        <v>43800</v>
      </c>
      <c r="B427" s="57">
        <v>175380.66999999998</v>
      </c>
      <c r="C427" s="57">
        <v>227982.06380473918</v>
      </c>
      <c r="D427" s="57">
        <v>0</v>
      </c>
      <c r="E427" s="57">
        <v>0</v>
      </c>
      <c r="F427" s="57">
        <v>0</v>
      </c>
      <c r="G427" s="57">
        <v>0</v>
      </c>
      <c r="H427" s="58">
        <v>0.2999269748755049</v>
      </c>
      <c r="I427" s="58">
        <v>0</v>
      </c>
      <c r="J427" s="58">
        <v>0.2999269748755049</v>
      </c>
    </row>
    <row r="428" spans="1:10" ht="11.25" customHeight="1" x14ac:dyDescent="0.2">
      <c r="A428" s="67">
        <v>43831</v>
      </c>
      <c r="B428" s="57">
        <v>163936.48000000001</v>
      </c>
      <c r="C428" s="57">
        <v>213105.45251813866</v>
      </c>
      <c r="D428" s="57">
        <v>0</v>
      </c>
      <c r="E428" s="57">
        <v>0</v>
      </c>
      <c r="F428" s="57">
        <v>0</v>
      </c>
      <c r="G428" s="57">
        <v>0</v>
      </c>
      <c r="H428" s="58">
        <v>0.29992697487550446</v>
      </c>
      <c r="I428" s="58">
        <v>0</v>
      </c>
      <c r="J428" s="58">
        <v>0.29992697487550446</v>
      </c>
    </row>
    <row r="429" spans="1:10" ht="11.25" customHeight="1" x14ac:dyDescent="0.2">
      <c r="A429" s="67">
        <v>43862</v>
      </c>
      <c r="B429" s="57">
        <v>161064.41999999998</v>
      </c>
      <c r="C429" s="57">
        <v>209371.98425067769</v>
      </c>
      <c r="D429" s="57">
        <v>0</v>
      </c>
      <c r="E429" s="57">
        <v>0</v>
      </c>
      <c r="F429" s="57">
        <v>0</v>
      </c>
      <c r="G429" s="57">
        <v>0</v>
      </c>
      <c r="H429" s="58">
        <v>0.29992697487550446</v>
      </c>
      <c r="I429" s="58">
        <v>0</v>
      </c>
      <c r="J429" s="58">
        <v>0.29992697487550446</v>
      </c>
    </row>
    <row r="430" spans="1:10" ht="11.25" customHeight="1" x14ac:dyDescent="0.2">
      <c r="A430" s="67">
        <v>43891</v>
      </c>
      <c r="B430" s="57">
        <v>170411.83</v>
      </c>
      <c r="C430" s="57">
        <v>221522.93465489877</v>
      </c>
      <c r="D430" s="57">
        <v>0</v>
      </c>
      <c r="E430" s="57">
        <v>0</v>
      </c>
      <c r="F430" s="57">
        <v>0</v>
      </c>
      <c r="G430" s="57">
        <v>0</v>
      </c>
      <c r="H430" s="58">
        <v>0.29992697487550468</v>
      </c>
      <c r="I430" s="58">
        <v>0</v>
      </c>
      <c r="J430" s="58">
        <v>0.29992697487550468</v>
      </c>
    </row>
    <row r="431" spans="1:10" ht="11.25" customHeight="1" x14ac:dyDescent="0.2">
      <c r="A431" s="67">
        <v>43922</v>
      </c>
      <c r="B431" s="57">
        <v>167636.68</v>
      </c>
      <c r="C431" s="57">
        <v>217915.44231057298</v>
      </c>
      <c r="D431" s="57">
        <v>0</v>
      </c>
      <c r="E431" s="57">
        <v>0</v>
      </c>
      <c r="F431" s="57">
        <v>0</v>
      </c>
      <c r="G431" s="57">
        <v>0</v>
      </c>
      <c r="H431" s="58">
        <v>0.29992697487550446</v>
      </c>
      <c r="I431" s="58">
        <v>0</v>
      </c>
      <c r="J431" s="58">
        <v>0.29992697487550446</v>
      </c>
    </row>
    <row r="432" spans="1:10" ht="11.25" customHeight="1" x14ac:dyDescent="0.2">
      <c r="A432" s="67">
        <v>43952</v>
      </c>
      <c r="B432" s="57">
        <v>157099.92000000001</v>
      </c>
      <c r="C432" s="57">
        <v>204218.42375878379</v>
      </c>
      <c r="D432" s="57">
        <v>0</v>
      </c>
      <c r="E432" s="57">
        <v>0</v>
      </c>
      <c r="F432" s="57">
        <v>0</v>
      </c>
      <c r="G432" s="57">
        <v>0</v>
      </c>
      <c r="H432" s="58">
        <v>0.29992697487550446</v>
      </c>
      <c r="I432" s="58">
        <v>0</v>
      </c>
      <c r="J432" s="58">
        <v>0.29992697487550446</v>
      </c>
    </row>
    <row r="433" spans="1:10" ht="11.25" customHeight="1" x14ac:dyDescent="0.2">
      <c r="A433" s="67">
        <v>43983</v>
      </c>
      <c r="B433" s="57">
        <v>159734.11000000002</v>
      </c>
      <c r="C433" s="57">
        <v>207642.67839673109</v>
      </c>
      <c r="D433" s="57">
        <v>0</v>
      </c>
      <c r="E433" s="57">
        <v>0</v>
      </c>
      <c r="F433" s="57">
        <v>0</v>
      </c>
      <c r="G433" s="57">
        <v>0</v>
      </c>
      <c r="H433" s="58">
        <v>0.29992697487550446</v>
      </c>
      <c r="I433" s="58">
        <v>0</v>
      </c>
      <c r="J433" s="58">
        <v>0.29992697487550446</v>
      </c>
    </row>
    <row r="434" spans="1:10" ht="11.25" customHeight="1" x14ac:dyDescent="0.2">
      <c r="A434" s="67">
        <v>44013</v>
      </c>
      <c r="B434" s="57">
        <v>152501.1</v>
      </c>
      <c r="C434" s="57">
        <v>198240.29358818682</v>
      </c>
      <c r="D434" s="57">
        <v>0</v>
      </c>
      <c r="E434" s="57">
        <v>0</v>
      </c>
      <c r="F434" s="57">
        <v>0</v>
      </c>
      <c r="G434" s="57">
        <v>0</v>
      </c>
      <c r="H434" s="58">
        <v>0.29992697487550468</v>
      </c>
      <c r="I434" s="58">
        <v>0</v>
      </c>
      <c r="J434" s="58">
        <v>0.29992697487550468</v>
      </c>
    </row>
    <row r="435" spans="1:10" ht="11.25" customHeight="1" x14ac:dyDescent="0.2">
      <c r="A435" s="67">
        <v>44044</v>
      </c>
      <c r="B435" s="57">
        <v>150853.63000000003</v>
      </c>
      <c r="C435" s="57">
        <v>196098.70289488867</v>
      </c>
      <c r="D435" s="57">
        <v>0</v>
      </c>
      <c r="E435" s="57">
        <v>0</v>
      </c>
      <c r="F435" s="57">
        <v>0</v>
      </c>
      <c r="G435" s="57">
        <v>0</v>
      </c>
      <c r="H435" s="58">
        <v>0.29992697487550424</v>
      </c>
      <c r="I435" s="58">
        <v>0</v>
      </c>
      <c r="J435" s="58">
        <v>0.29992697487550424</v>
      </c>
    </row>
    <row r="436" spans="1:10" ht="11.25" customHeight="1" x14ac:dyDescent="0.2">
      <c r="A436" s="67">
        <v>44075</v>
      </c>
      <c r="B436" s="57">
        <v>150853.63000000003</v>
      </c>
      <c r="C436" s="57">
        <v>196098.70289488867</v>
      </c>
      <c r="D436" s="57">
        <v>0</v>
      </c>
      <c r="E436" s="57">
        <v>0</v>
      </c>
      <c r="F436" s="57">
        <v>0</v>
      </c>
      <c r="G436" s="57">
        <v>0</v>
      </c>
      <c r="H436" s="58">
        <v>0.29992697487550424</v>
      </c>
      <c r="I436" s="58">
        <v>0</v>
      </c>
      <c r="J436" s="58">
        <v>0.29992697487550424</v>
      </c>
    </row>
    <row r="437" spans="1:10" ht="11.25" customHeight="1" x14ac:dyDescent="0.2">
      <c r="A437" s="66" t="s">
        <v>35</v>
      </c>
      <c r="B437" s="57">
        <v>0</v>
      </c>
      <c r="C437" s="57">
        <v>0</v>
      </c>
      <c r="D437" s="57">
        <v>1151599.0940400001</v>
      </c>
      <c r="E437" s="57">
        <v>1341283.3319523709</v>
      </c>
      <c r="F437" s="57">
        <v>772892.8825200001</v>
      </c>
      <c r="G437" s="57">
        <v>673941.19851502473</v>
      </c>
      <c r="H437" s="58">
        <v>0.16471377834010492</v>
      </c>
      <c r="I437" s="58">
        <v>-0.12802768176923196</v>
      </c>
      <c r="J437" s="58">
        <v>4.7146236519820972E-2</v>
      </c>
    </row>
    <row r="438" spans="1:10" ht="11.25" customHeight="1" x14ac:dyDescent="0.2">
      <c r="A438" s="67">
        <v>43739</v>
      </c>
      <c r="B438" s="57">
        <v>0</v>
      </c>
      <c r="C438" s="57">
        <v>0</v>
      </c>
      <c r="D438" s="57">
        <v>114722.97101000001</v>
      </c>
      <c r="E438" s="57">
        <v>133619.42502745948</v>
      </c>
      <c r="F438" s="57">
        <v>76996.038130000001</v>
      </c>
      <c r="G438" s="57">
        <v>67138.413862800677</v>
      </c>
      <c r="H438" s="58">
        <v>0.16471377834010537</v>
      </c>
      <c r="I438" s="58">
        <v>-0.1280276817692324</v>
      </c>
      <c r="J438" s="58">
        <v>4.714623651982075E-2</v>
      </c>
    </row>
    <row r="439" spans="1:10" ht="11.25" customHeight="1" x14ac:dyDescent="0.2">
      <c r="A439" s="67">
        <v>43770</v>
      </c>
      <c r="B439" s="57">
        <v>0</v>
      </c>
      <c r="C439" s="57">
        <v>0</v>
      </c>
      <c r="D439" s="57">
        <v>121874.73961</v>
      </c>
      <c r="E439" s="57">
        <v>141949.1884553796</v>
      </c>
      <c r="F439" s="57">
        <v>81795.929930000013</v>
      </c>
      <c r="G439" s="57">
        <v>71323.786642903535</v>
      </c>
      <c r="H439" s="58">
        <v>0.16471377834010537</v>
      </c>
      <c r="I439" s="58">
        <v>-0.1280276817692324</v>
      </c>
      <c r="J439" s="58">
        <v>4.714623651982075E-2</v>
      </c>
    </row>
    <row r="440" spans="1:10" ht="11.25" customHeight="1" x14ac:dyDescent="0.2">
      <c r="A440" s="67">
        <v>43800</v>
      </c>
      <c r="B440" s="57">
        <v>0</v>
      </c>
      <c r="C440" s="57">
        <v>0</v>
      </c>
      <c r="D440" s="57">
        <v>104696.37119000001</v>
      </c>
      <c r="E440" s="57">
        <v>121941.30606720306</v>
      </c>
      <c r="F440" s="57">
        <v>70266.710469999991</v>
      </c>
      <c r="G440" s="57">
        <v>61270.626422976064</v>
      </c>
      <c r="H440" s="58">
        <v>0.16471377834010537</v>
      </c>
      <c r="I440" s="58">
        <v>-0.12802768176923207</v>
      </c>
      <c r="J440" s="58">
        <v>4.7146236519820972E-2</v>
      </c>
    </row>
    <row r="441" spans="1:10" ht="11.25" customHeight="1" x14ac:dyDescent="0.2">
      <c r="A441" s="67">
        <v>43831</v>
      </c>
      <c r="B441" s="57">
        <v>0</v>
      </c>
      <c r="C441" s="57">
        <v>0</v>
      </c>
      <c r="D441" s="57">
        <v>97520.848960000003</v>
      </c>
      <c r="E441" s="57">
        <v>113583.87645913634</v>
      </c>
      <c r="F441" s="57">
        <v>65450.876479999999</v>
      </c>
      <c r="G441" s="57">
        <v>57071.35249450124</v>
      </c>
      <c r="H441" s="58">
        <v>0.16471377834010537</v>
      </c>
      <c r="I441" s="58">
        <v>-0.12802768176923207</v>
      </c>
      <c r="J441" s="58">
        <v>4.7146236519820972E-2</v>
      </c>
    </row>
    <row r="442" spans="1:10" ht="11.25" customHeight="1" x14ac:dyDescent="0.2">
      <c r="A442" s="67">
        <v>43862</v>
      </c>
      <c r="B442" s="57">
        <v>0</v>
      </c>
      <c r="C442" s="57">
        <v>0</v>
      </c>
      <c r="D442" s="57">
        <v>100252.51641</v>
      </c>
      <c r="E442" s="57">
        <v>116765.48717599452</v>
      </c>
      <c r="F442" s="57">
        <v>67284.228329999998</v>
      </c>
      <c r="G442" s="57">
        <v>58669.984557278403</v>
      </c>
      <c r="H442" s="58">
        <v>0.16471377834010559</v>
      </c>
      <c r="I442" s="58">
        <v>-0.12802768176923218</v>
      </c>
      <c r="J442" s="58">
        <v>4.7146236519820972E-2</v>
      </c>
    </row>
    <row r="443" spans="1:10" ht="11.25" customHeight="1" x14ac:dyDescent="0.2">
      <c r="A443" s="67">
        <v>43891</v>
      </c>
      <c r="B443" s="57">
        <v>0</v>
      </c>
      <c r="C443" s="57">
        <v>0</v>
      </c>
      <c r="D443" s="57">
        <v>89877.316019999984</v>
      </c>
      <c r="E443" s="57">
        <v>104681.34832872187</v>
      </c>
      <c r="F443" s="57">
        <v>60320.938260000003</v>
      </c>
      <c r="G443" s="57">
        <v>52598.188372427212</v>
      </c>
      <c r="H443" s="58">
        <v>0.16471377834010537</v>
      </c>
      <c r="I443" s="58">
        <v>-0.12802768176923229</v>
      </c>
      <c r="J443" s="58">
        <v>4.7146236519820972E-2</v>
      </c>
    </row>
    <row r="444" spans="1:10" ht="11.25" customHeight="1" x14ac:dyDescent="0.2">
      <c r="A444" s="67">
        <v>43922</v>
      </c>
      <c r="B444" s="57">
        <v>0</v>
      </c>
      <c r="C444" s="57">
        <v>0</v>
      </c>
      <c r="D444" s="57">
        <v>94131.141759999999</v>
      </c>
      <c r="E444" s="57">
        <v>109635.83777875768</v>
      </c>
      <c r="F444" s="57">
        <v>63175.882879999997</v>
      </c>
      <c r="G444" s="57">
        <v>55087.621051149079</v>
      </c>
      <c r="H444" s="58">
        <v>0.16471377834010537</v>
      </c>
      <c r="I444" s="58">
        <v>-0.12802768176923207</v>
      </c>
      <c r="J444" s="58">
        <v>4.7146236519821194E-2</v>
      </c>
    </row>
    <row r="445" spans="1:10" ht="11.25" customHeight="1" x14ac:dyDescent="0.2">
      <c r="A445" s="67">
        <v>43952</v>
      </c>
      <c r="B445" s="57">
        <v>0</v>
      </c>
      <c r="C445" s="57">
        <v>0</v>
      </c>
      <c r="D445" s="57">
        <v>72214.887140000006</v>
      </c>
      <c r="E445" s="57">
        <v>84109.674053233699</v>
      </c>
      <c r="F445" s="57">
        <v>48466.842819999998</v>
      </c>
      <c r="G445" s="57">
        <v>42261.745291081643</v>
      </c>
      <c r="H445" s="58">
        <v>0.16471377834010537</v>
      </c>
      <c r="I445" s="58">
        <v>-0.12802768176923218</v>
      </c>
      <c r="J445" s="58">
        <v>4.7146236519820972E-2</v>
      </c>
    </row>
    <row r="446" spans="1:10" ht="11.25" customHeight="1" x14ac:dyDescent="0.2">
      <c r="A446" s="67">
        <v>43983</v>
      </c>
      <c r="B446" s="57">
        <v>0</v>
      </c>
      <c r="C446" s="57">
        <v>0</v>
      </c>
      <c r="D446" s="57">
        <v>192197.68221999999</v>
      </c>
      <c r="E446" s="57">
        <v>223855.28864666709</v>
      </c>
      <c r="F446" s="57">
        <v>128992.99885999999</v>
      </c>
      <c r="G446" s="57">
        <v>112478.32425149297</v>
      </c>
      <c r="H446" s="58">
        <v>0.16471377834010537</v>
      </c>
      <c r="I446" s="58">
        <v>-0.12802768176923229</v>
      </c>
      <c r="J446" s="58">
        <v>4.7146236519820972E-2</v>
      </c>
    </row>
    <row r="447" spans="1:10" ht="11.25" customHeight="1" x14ac:dyDescent="0.2">
      <c r="A447" s="67">
        <v>44013</v>
      </c>
      <c r="B447" s="57">
        <v>0</v>
      </c>
      <c r="C447" s="57">
        <v>0</v>
      </c>
      <c r="D447" s="57">
        <v>-7839.9818799999975</v>
      </c>
      <c r="E447" s="57">
        <v>-9131.3349175727599</v>
      </c>
      <c r="F447" s="57">
        <v>-5261.7844399999994</v>
      </c>
      <c r="G447" s="57">
        <v>-4588.1303761773815</v>
      </c>
      <c r="H447" s="58">
        <v>0.16471377834010537</v>
      </c>
      <c r="I447" s="58">
        <v>-0.12802768176923229</v>
      </c>
      <c r="J447" s="58">
        <v>4.7146236519820972E-2</v>
      </c>
    </row>
    <row r="448" spans="1:10" ht="11.25" customHeight="1" x14ac:dyDescent="0.2">
      <c r="A448" s="67">
        <v>44044</v>
      </c>
      <c r="B448" s="57">
        <v>0</v>
      </c>
      <c r="C448" s="57">
        <v>0</v>
      </c>
      <c r="D448" s="57">
        <v>85975.300799999997</v>
      </c>
      <c r="E448" s="57">
        <v>100136.61743869509</v>
      </c>
      <c r="F448" s="57">
        <v>57702.110399999998</v>
      </c>
      <c r="G448" s="57">
        <v>50314.642972295696</v>
      </c>
      <c r="H448" s="58">
        <v>0.16471377834010537</v>
      </c>
      <c r="I448" s="58">
        <v>-0.12802768176923218</v>
      </c>
      <c r="J448" s="58">
        <v>4.7146236519821194E-2</v>
      </c>
    </row>
    <row r="449" spans="1:10" ht="11.25" customHeight="1" x14ac:dyDescent="0.2">
      <c r="A449" s="67">
        <v>44075</v>
      </c>
      <c r="B449" s="57">
        <v>0</v>
      </c>
      <c r="C449" s="57">
        <v>0</v>
      </c>
      <c r="D449" s="57">
        <v>85975.300799999997</v>
      </c>
      <c r="E449" s="57">
        <v>100136.61743869509</v>
      </c>
      <c r="F449" s="57">
        <v>57702.110399999998</v>
      </c>
      <c r="G449" s="57">
        <v>50314.642972295696</v>
      </c>
      <c r="H449" s="58">
        <v>0.16471377834010537</v>
      </c>
      <c r="I449" s="58">
        <v>-0.12802768176923218</v>
      </c>
      <c r="J449" s="58">
        <v>4.7146236519821194E-2</v>
      </c>
    </row>
    <row r="450" spans="1:10" ht="11.25" customHeight="1" x14ac:dyDescent="0.2">
      <c r="A450" s="62" t="s">
        <v>48</v>
      </c>
      <c r="B450" s="57">
        <v>6092167.8600000013</v>
      </c>
      <c r="C450" s="57">
        <v>7919373.336683576</v>
      </c>
      <c r="D450" s="57">
        <v>16209151.18344</v>
      </c>
      <c r="E450" s="57">
        <v>17711654.588365477</v>
      </c>
      <c r="F450" s="57">
        <v>32384985.711749997</v>
      </c>
      <c r="G450" s="57">
        <v>29023533.897916004</v>
      </c>
      <c r="H450" s="58">
        <v>0.14930546821572377</v>
      </c>
      <c r="I450" s="58">
        <v>-0.10379661253376404</v>
      </c>
      <c r="J450" s="58">
        <v>-5.8045487562308207E-4</v>
      </c>
    </row>
    <row r="451" spans="1:10" ht="11.25" customHeight="1" x14ac:dyDescent="0.2">
      <c r="A451" s="63" t="s">
        <v>25</v>
      </c>
      <c r="B451" s="57">
        <v>6092167.8600000013</v>
      </c>
      <c r="C451" s="57">
        <v>7919373.336683576</v>
      </c>
      <c r="D451" s="57">
        <v>16209151.18344</v>
      </c>
      <c r="E451" s="57">
        <v>17711654.588365477</v>
      </c>
      <c r="F451" s="57">
        <v>32384985.711749997</v>
      </c>
      <c r="G451" s="57">
        <v>29023533.897916004</v>
      </c>
      <c r="H451" s="58">
        <v>0.14930546821572377</v>
      </c>
      <c r="I451" s="58">
        <v>-0.10379661253376404</v>
      </c>
      <c r="J451" s="58">
        <v>-5.8045487562308207E-4</v>
      </c>
    </row>
    <row r="452" spans="1:10" ht="11.25" customHeight="1" x14ac:dyDescent="0.2">
      <c r="A452" s="64" t="s">
        <v>25</v>
      </c>
      <c r="B452" s="57">
        <v>6092167.8600000013</v>
      </c>
      <c r="C452" s="57">
        <v>7919373.336683576</v>
      </c>
      <c r="D452" s="57">
        <v>16209151.18344</v>
      </c>
      <c r="E452" s="57">
        <v>17711654.588365477</v>
      </c>
      <c r="F452" s="57">
        <v>32384985.711749997</v>
      </c>
      <c r="G452" s="57">
        <v>29023533.897916004</v>
      </c>
      <c r="H452" s="58">
        <v>0.14930546821572377</v>
      </c>
      <c r="I452" s="58">
        <v>-0.10379661253376404</v>
      </c>
      <c r="J452" s="58">
        <v>-5.8045487562308207E-4</v>
      </c>
    </row>
    <row r="453" spans="1:10" ht="11.25" customHeight="1" x14ac:dyDescent="0.2">
      <c r="A453" s="65" t="s">
        <v>25</v>
      </c>
      <c r="B453" s="57">
        <v>6092167.8600000013</v>
      </c>
      <c r="C453" s="57">
        <v>7919373.336683576</v>
      </c>
      <c r="D453" s="57">
        <v>16209151.18344</v>
      </c>
      <c r="E453" s="57">
        <v>17711654.588365477</v>
      </c>
      <c r="F453" s="57">
        <v>32384985.711749997</v>
      </c>
      <c r="G453" s="57">
        <v>29023533.897916004</v>
      </c>
      <c r="H453" s="58">
        <v>0.14930546821572377</v>
      </c>
      <c r="I453" s="58">
        <v>-0.10379661253376404</v>
      </c>
      <c r="J453" s="58">
        <v>-5.8045487562308207E-4</v>
      </c>
    </row>
    <row r="454" spans="1:10" ht="11.25" customHeight="1" x14ac:dyDescent="0.2">
      <c r="A454" s="66" t="s">
        <v>36</v>
      </c>
      <c r="B454" s="57">
        <v>0</v>
      </c>
      <c r="C454" s="57">
        <v>0</v>
      </c>
      <c r="D454" s="57">
        <v>9094585.2619500011</v>
      </c>
      <c r="E454" s="57">
        <v>9425221.6326971054</v>
      </c>
      <c r="F454" s="57">
        <v>27610062.397379998</v>
      </c>
      <c r="G454" s="57">
        <v>24859932.946110655</v>
      </c>
      <c r="H454" s="58">
        <v>3.6355299469281288E-2</v>
      </c>
      <c r="I454" s="58">
        <v>-9.9606057084837274E-2</v>
      </c>
      <c r="J454" s="58">
        <v>-6.591789418545857E-2</v>
      </c>
    </row>
    <row r="455" spans="1:10" ht="11.25" customHeight="1" x14ac:dyDescent="0.2">
      <c r="A455" s="67">
        <v>43739</v>
      </c>
      <c r="B455" s="57">
        <v>0</v>
      </c>
      <c r="C455" s="57">
        <v>0</v>
      </c>
      <c r="D455" s="57">
        <v>936909.07470000011</v>
      </c>
      <c r="E455" s="57">
        <v>970970.68468620582</v>
      </c>
      <c r="F455" s="57">
        <v>2844342.7894799998</v>
      </c>
      <c r="G455" s="57">
        <v>2561029.0192222106</v>
      </c>
      <c r="H455" s="58">
        <v>3.6355299469281288E-2</v>
      </c>
      <c r="I455" s="58">
        <v>-9.9606057084836941E-2</v>
      </c>
      <c r="J455" s="58">
        <v>-6.5917894185458126E-2</v>
      </c>
    </row>
    <row r="456" spans="1:10" ht="11.25" customHeight="1" x14ac:dyDescent="0.2">
      <c r="A456" s="67">
        <v>43770</v>
      </c>
      <c r="B456" s="57">
        <v>0</v>
      </c>
      <c r="C456" s="57">
        <v>0</v>
      </c>
      <c r="D456" s="57">
        <v>955934.56185000006</v>
      </c>
      <c r="E456" s="57">
        <v>990687.84911909304</v>
      </c>
      <c r="F456" s="57">
        <v>2902101.87054</v>
      </c>
      <c r="G456" s="57">
        <v>2613034.9459569808</v>
      </c>
      <c r="H456" s="58">
        <v>3.6355299469281288E-2</v>
      </c>
      <c r="I456" s="58">
        <v>-9.9606057084836941E-2</v>
      </c>
      <c r="J456" s="58">
        <v>-6.5917894185458015E-2</v>
      </c>
    </row>
    <row r="457" spans="1:10" ht="11.25" customHeight="1" x14ac:dyDescent="0.2">
      <c r="A457" s="67">
        <v>43800</v>
      </c>
      <c r="B457" s="57">
        <v>0</v>
      </c>
      <c r="C457" s="57">
        <v>0</v>
      </c>
      <c r="D457" s="57">
        <v>868546.63080000004</v>
      </c>
      <c r="E457" s="57">
        <v>900122.90366576938</v>
      </c>
      <c r="F457" s="57">
        <v>2636802.6667200001</v>
      </c>
      <c r="G457" s="57">
        <v>2374161.1497772373</v>
      </c>
      <c r="H457" s="58">
        <v>3.6355299469281288E-2</v>
      </c>
      <c r="I457" s="58">
        <v>-9.9606057084837052E-2</v>
      </c>
      <c r="J457" s="58">
        <v>-6.5917894185458126E-2</v>
      </c>
    </row>
    <row r="458" spans="1:10" ht="11.25" customHeight="1" x14ac:dyDescent="0.2">
      <c r="A458" s="67">
        <v>43831</v>
      </c>
      <c r="B458" s="57">
        <v>0</v>
      </c>
      <c r="C458" s="57">
        <v>0</v>
      </c>
      <c r="D458" s="57">
        <v>814982.61375000002</v>
      </c>
      <c r="E458" s="57">
        <v>844611.55073513894</v>
      </c>
      <c r="F458" s="57">
        <v>2474188.7804999999</v>
      </c>
      <c r="G458" s="57">
        <v>2227744.5915908539</v>
      </c>
      <c r="H458" s="58">
        <v>3.6355299469281288E-2</v>
      </c>
      <c r="I458" s="58">
        <v>-9.9606057084836941E-2</v>
      </c>
      <c r="J458" s="58">
        <v>-6.5917894185458126E-2</v>
      </c>
    </row>
    <row r="459" spans="1:10" ht="11.25" customHeight="1" x14ac:dyDescent="0.2">
      <c r="A459" s="67">
        <v>43862</v>
      </c>
      <c r="B459" s="57">
        <v>0</v>
      </c>
      <c r="C459" s="57">
        <v>0</v>
      </c>
      <c r="D459" s="57">
        <v>865430.76360000006</v>
      </c>
      <c r="E459" s="57">
        <v>896893.75818060688</v>
      </c>
      <c r="F459" s="57">
        <v>2627343.27024</v>
      </c>
      <c r="G459" s="57">
        <v>2365643.9664830123</v>
      </c>
      <c r="H459" s="58">
        <v>3.6355299469281288E-2</v>
      </c>
      <c r="I459" s="58">
        <v>-9.9606057084836941E-2</v>
      </c>
      <c r="J459" s="58">
        <v>-6.5917894185458237E-2</v>
      </c>
    </row>
    <row r="460" spans="1:10" ht="11.25" customHeight="1" x14ac:dyDescent="0.2">
      <c r="A460" s="67">
        <v>43891</v>
      </c>
      <c r="B460" s="57">
        <v>0</v>
      </c>
      <c r="C460" s="57">
        <v>0</v>
      </c>
      <c r="D460" s="57">
        <v>796262.4977999999</v>
      </c>
      <c r="E460" s="57">
        <v>825210.85936367686</v>
      </c>
      <c r="F460" s="57">
        <v>2417356.7695199996</v>
      </c>
      <c r="G460" s="57">
        <v>2176573.3931407733</v>
      </c>
      <c r="H460" s="58">
        <v>3.6355299469281288E-2</v>
      </c>
      <c r="I460" s="58">
        <v>-9.9606057084837052E-2</v>
      </c>
      <c r="J460" s="58">
        <v>-6.5917894185458126E-2</v>
      </c>
    </row>
    <row r="461" spans="1:10" ht="11.25" customHeight="1" x14ac:dyDescent="0.2">
      <c r="A461" s="67">
        <v>43922</v>
      </c>
      <c r="B461" s="57">
        <v>0</v>
      </c>
      <c r="C461" s="57">
        <v>0</v>
      </c>
      <c r="D461" s="57">
        <v>761708.93580000009</v>
      </c>
      <c r="E461" s="57">
        <v>789401.09226943657</v>
      </c>
      <c r="F461" s="57">
        <v>2312456.3287200001</v>
      </c>
      <c r="G461" s="57">
        <v>2082121.6716353232</v>
      </c>
      <c r="H461" s="58">
        <v>3.6355299469281288E-2</v>
      </c>
      <c r="I461" s="58">
        <v>-9.9606057084836941E-2</v>
      </c>
      <c r="J461" s="58">
        <v>-6.5917894185458237E-2</v>
      </c>
    </row>
    <row r="462" spans="1:10" ht="11.25" customHeight="1" x14ac:dyDescent="0.2">
      <c r="A462" s="67">
        <v>43952</v>
      </c>
      <c r="B462" s="57">
        <v>0</v>
      </c>
      <c r="C462" s="57">
        <v>0</v>
      </c>
      <c r="D462" s="57">
        <v>628077.78930000006</v>
      </c>
      <c r="E462" s="57">
        <v>650911.74542000575</v>
      </c>
      <c r="F462" s="57">
        <v>1906768.3081199999</v>
      </c>
      <c r="G462" s="57">
        <v>1716842.6351738411</v>
      </c>
      <c r="H462" s="58">
        <v>3.6355299469281288E-2</v>
      </c>
      <c r="I462" s="58">
        <v>-9.9606057084837052E-2</v>
      </c>
      <c r="J462" s="58">
        <v>-6.5917894185458126E-2</v>
      </c>
    </row>
    <row r="463" spans="1:10" ht="11.25" customHeight="1" x14ac:dyDescent="0.2">
      <c r="A463" s="67">
        <v>43983</v>
      </c>
      <c r="B463" s="57">
        <v>0</v>
      </c>
      <c r="C463" s="57">
        <v>0</v>
      </c>
      <c r="D463" s="57">
        <v>649056.77385</v>
      </c>
      <c r="E463" s="57">
        <v>672653.4272358825</v>
      </c>
      <c r="F463" s="57">
        <v>1970457.9713400002</v>
      </c>
      <c r="G463" s="57">
        <v>1774188.4221634357</v>
      </c>
      <c r="H463" s="58">
        <v>3.635529946928151E-2</v>
      </c>
      <c r="I463" s="58">
        <v>-9.9606057084837163E-2</v>
      </c>
      <c r="J463" s="58">
        <v>-6.5917894185458348E-2</v>
      </c>
    </row>
    <row r="464" spans="1:10" ht="11.25" customHeight="1" x14ac:dyDescent="0.2">
      <c r="A464" s="67">
        <v>44013</v>
      </c>
      <c r="B464" s="57">
        <v>0</v>
      </c>
      <c r="C464" s="57">
        <v>0</v>
      </c>
      <c r="D464" s="57">
        <v>584459.87100000004</v>
      </c>
      <c r="E464" s="57">
        <v>605708.08463798254</v>
      </c>
      <c r="F464" s="57">
        <v>1774349.5763999999</v>
      </c>
      <c r="G464" s="57">
        <v>1597613.6112046451</v>
      </c>
      <c r="H464" s="58">
        <v>3.6355299469281288E-2</v>
      </c>
      <c r="I464" s="58">
        <v>-9.9606057084837052E-2</v>
      </c>
      <c r="J464" s="58">
        <v>-6.5917894185458237E-2</v>
      </c>
    </row>
    <row r="465" spans="1:10" ht="11.25" customHeight="1" x14ac:dyDescent="0.2">
      <c r="A465" s="67">
        <v>44044</v>
      </c>
      <c r="B465" s="57">
        <v>0</v>
      </c>
      <c r="C465" s="57">
        <v>0</v>
      </c>
      <c r="D465" s="57">
        <v>616607.87474999996</v>
      </c>
      <c r="E465" s="57">
        <v>639024.83869165345</v>
      </c>
      <c r="F465" s="57">
        <v>1871947.0328999998</v>
      </c>
      <c r="G465" s="57">
        <v>1685489.7698811714</v>
      </c>
      <c r="H465" s="58">
        <v>3.635529946928151E-2</v>
      </c>
      <c r="I465" s="58">
        <v>-9.960605708483683E-2</v>
      </c>
      <c r="J465" s="58">
        <v>-6.5917894185457904E-2</v>
      </c>
    </row>
    <row r="466" spans="1:10" ht="11.25" customHeight="1" x14ac:dyDescent="0.2">
      <c r="A466" s="67">
        <v>44075</v>
      </c>
      <c r="B466" s="57">
        <v>0</v>
      </c>
      <c r="C466" s="57">
        <v>0</v>
      </c>
      <c r="D466" s="57">
        <v>616607.87474999996</v>
      </c>
      <c r="E466" s="57">
        <v>639024.83869165345</v>
      </c>
      <c r="F466" s="57">
        <v>1871947.0328999998</v>
      </c>
      <c r="G466" s="57">
        <v>1685489.7698811714</v>
      </c>
      <c r="H466" s="58">
        <v>3.635529946928151E-2</v>
      </c>
      <c r="I466" s="58">
        <v>-9.960605708483683E-2</v>
      </c>
      <c r="J466" s="58">
        <v>-6.5917894185457904E-2</v>
      </c>
    </row>
    <row r="467" spans="1:10" ht="11.25" customHeight="1" x14ac:dyDescent="0.2">
      <c r="A467" s="66" t="s">
        <v>25</v>
      </c>
      <c r="B467" s="57">
        <v>6092167.8600000013</v>
      </c>
      <c r="C467" s="57">
        <v>7919373.336683576</v>
      </c>
      <c r="D467" s="57">
        <v>0</v>
      </c>
      <c r="E467" s="57">
        <v>0</v>
      </c>
      <c r="F467" s="57">
        <v>0</v>
      </c>
      <c r="G467" s="57">
        <v>0</v>
      </c>
      <c r="H467" s="58">
        <v>0.29992697487550468</v>
      </c>
      <c r="I467" s="58">
        <v>0</v>
      </c>
      <c r="J467" s="58">
        <v>0.29992697487550468</v>
      </c>
    </row>
    <row r="468" spans="1:10" ht="11.25" customHeight="1" x14ac:dyDescent="0.2">
      <c r="A468" s="67">
        <v>43739</v>
      </c>
      <c r="B468" s="57">
        <v>519331.88</v>
      </c>
      <c r="C468" s="57">
        <v>675093.51972480863</v>
      </c>
      <c r="D468" s="57">
        <v>0</v>
      </c>
      <c r="E468" s="57">
        <v>0</v>
      </c>
      <c r="F468" s="57">
        <v>0</v>
      </c>
      <c r="G468" s="57">
        <v>0</v>
      </c>
      <c r="H468" s="58">
        <v>0.29992697487550468</v>
      </c>
      <c r="I468" s="58">
        <v>0</v>
      </c>
      <c r="J468" s="58">
        <v>0.29992697487550468</v>
      </c>
    </row>
    <row r="469" spans="1:10" ht="11.25" customHeight="1" x14ac:dyDescent="0.2">
      <c r="A469" s="67">
        <v>43770</v>
      </c>
      <c r="B469" s="57">
        <v>514918.07</v>
      </c>
      <c r="C469" s="57">
        <v>669355.88904383336</v>
      </c>
      <c r="D469" s="57">
        <v>0</v>
      </c>
      <c r="E469" s="57">
        <v>0</v>
      </c>
      <c r="F469" s="57">
        <v>0</v>
      </c>
      <c r="G469" s="57">
        <v>0</v>
      </c>
      <c r="H469" s="58">
        <v>0.29992697487550468</v>
      </c>
      <c r="I469" s="58">
        <v>0</v>
      </c>
      <c r="J469" s="58">
        <v>0.29992697487550468</v>
      </c>
    </row>
    <row r="470" spans="1:10" ht="11.25" customHeight="1" x14ac:dyDescent="0.2">
      <c r="A470" s="67">
        <v>43800</v>
      </c>
      <c r="B470" s="57">
        <v>520794.34</v>
      </c>
      <c r="C470" s="57">
        <v>676994.61092848494</v>
      </c>
      <c r="D470" s="57">
        <v>0</v>
      </c>
      <c r="E470" s="57">
        <v>0</v>
      </c>
      <c r="F470" s="57">
        <v>0</v>
      </c>
      <c r="G470" s="57">
        <v>0</v>
      </c>
      <c r="H470" s="58">
        <v>0.29992697487550446</v>
      </c>
      <c r="I470" s="58">
        <v>0</v>
      </c>
      <c r="J470" s="58">
        <v>0.29992697487550446</v>
      </c>
    </row>
    <row r="471" spans="1:10" ht="11.25" customHeight="1" x14ac:dyDescent="0.2">
      <c r="A471" s="67">
        <v>43831</v>
      </c>
      <c r="B471" s="57">
        <v>506495.71</v>
      </c>
      <c r="C471" s="57">
        <v>658407.43608772079</v>
      </c>
      <c r="D471" s="57">
        <v>0</v>
      </c>
      <c r="E471" s="57">
        <v>0</v>
      </c>
      <c r="F471" s="57">
        <v>0</v>
      </c>
      <c r="G471" s="57">
        <v>0</v>
      </c>
      <c r="H471" s="58">
        <v>0.29992697487550446</v>
      </c>
      <c r="I471" s="58">
        <v>0</v>
      </c>
      <c r="J471" s="58">
        <v>0.29992697487550446</v>
      </c>
    </row>
    <row r="472" spans="1:10" ht="11.25" customHeight="1" x14ac:dyDescent="0.2">
      <c r="A472" s="67">
        <v>43862</v>
      </c>
      <c r="B472" s="57">
        <v>514574.48000000004</v>
      </c>
      <c r="C472" s="57">
        <v>668909.24713453581</v>
      </c>
      <c r="D472" s="57">
        <v>0</v>
      </c>
      <c r="E472" s="57">
        <v>0</v>
      </c>
      <c r="F472" s="57">
        <v>0</v>
      </c>
      <c r="G472" s="57">
        <v>0</v>
      </c>
      <c r="H472" s="58">
        <v>0.29992697487550446</v>
      </c>
      <c r="I472" s="58">
        <v>0</v>
      </c>
      <c r="J472" s="58">
        <v>0.29992697487550446</v>
      </c>
    </row>
    <row r="473" spans="1:10" ht="11.25" customHeight="1" x14ac:dyDescent="0.2">
      <c r="A473" s="67">
        <v>43891</v>
      </c>
      <c r="B473" s="57">
        <v>512046.01</v>
      </c>
      <c r="C473" s="57">
        <v>665622.42077637243</v>
      </c>
      <c r="D473" s="57">
        <v>0</v>
      </c>
      <c r="E473" s="57">
        <v>0</v>
      </c>
      <c r="F473" s="57">
        <v>0</v>
      </c>
      <c r="G473" s="57">
        <v>0</v>
      </c>
      <c r="H473" s="58">
        <v>0.29992697487550468</v>
      </c>
      <c r="I473" s="58">
        <v>0</v>
      </c>
      <c r="J473" s="58">
        <v>0.29992697487550468</v>
      </c>
    </row>
    <row r="474" spans="1:10" ht="11.25" customHeight="1" x14ac:dyDescent="0.2">
      <c r="A474" s="67">
        <v>43922</v>
      </c>
      <c r="B474" s="57">
        <v>504927.53</v>
      </c>
      <c r="C474" s="57">
        <v>656368.91660426068</v>
      </c>
      <c r="D474" s="57">
        <v>0</v>
      </c>
      <c r="E474" s="57">
        <v>0</v>
      </c>
      <c r="F474" s="57">
        <v>0</v>
      </c>
      <c r="G474" s="57">
        <v>0</v>
      </c>
      <c r="H474" s="58">
        <v>0.29992697487550468</v>
      </c>
      <c r="I474" s="58">
        <v>0</v>
      </c>
      <c r="J474" s="58">
        <v>0.29992697487550468</v>
      </c>
    </row>
    <row r="475" spans="1:10" ht="11.25" customHeight="1" x14ac:dyDescent="0.2">
      <c r="A475" s="67">
        <v>43952</v>
      </c>
      <c r="B475" s="57">
        <v>483774.72000000003</v>
      </c>
      <c r="C475" s="57">
        <v>628871.80829084432</v>
      </c>
      <c r="D475" s="57">
        <v>0</v>
      </c>
      <c r="E475" s="57">
        <v>0</v>
      </c>
      <c r="F475" s="57">
        <v>0</v>
      </c>
      <c r="G475" s="57">
        <v>0</v>
      </c>
      <c r="H475" s="58">
        <v>0.29992697487550468</v>
      </c>
      <c r="I475" s="58">
        <v>0</v>
      </c>
      <c r="J475" s="58">
        <v>0.29992697487550468</v>
      </c>
    </row>
    <row r="476" spans="1:10" ht="11.25" customHeight="1" x14ac:dyDescent="0.2">
      <c r="A476" s="67">
        <v>43983</v>
      </c>
      <c r="B476" s="57">
        <v>496989.72000000003</v>
      </c>
      <c r="C476" s="57">
        <v>646050.34326382412</v>
      </c>
      <c r="D476" s="57">
        <v>0</v>
      </c>
      <c r="E476" s="57">
        <v>0</v>
      </c>
      <c r="F476" s="57">
        <v>0</v>
      </c>
      <c r="G476" s="57">
        <v>0</v>
      </c>
      <c r="H476" s="58">
        <v>0.29992697487550468</v>
      </c>
      <c r="I476" s="58">
        <v>0</v>
      </c>
      <c r="J476" s="58">
        <v>0.29992697487550468</v>
      </c>
    </row>
    <row r="477" spans="1:10" ht="11.25" customHeight="1" x14ac:dyDescent="0.2">
      <c r="A477" s="67">
        <v>44013</v>
      </c>
      <c r="B477" s="57">
        <v>506416.42000000004</v>
      </c>
      <c r="C477" s="57">
        <v>658304.364877883</v>
      </c>
      <c r="D477" s="57">
        <v>0</v>
      </c>
      <c r="E477" s="57">
        <v>0</v>
      </c>
      <c r="F477" s="57">
        <v>0</v>
      </c>
      <c r="G477" s="57">
        <v>0</v>
      </c>
      <c r="H477" s="58">
        <v>0.29992697487550446</v>
      </c>
      <c r="I477" s="58">
        <v>0</v>
      </c>
      <c r="J477" s="58">
        <v>0.29992697487550446</v>
      </c>
    </row>
    <row r="478" spans="1:10" ht="11.25" customHeight="1" x14ac:dyDescent="0.2">
      <c r="A478" s="67">
        <v>44044</v>
      </c>
      <c r="B478" s="57">
        <v>505949.49</v>
      </c>
      <c r="C478" s="57">
        <v>657697.38997550437</v>
      </c>
      <c r="D478" s="57">
        <v>0</v>
      </c>
      <c r="E478" s="57">
        <v>0</v>
      </c>
      <c r="F478" s="57">
        <v>0</v>
      </c>
      <c r="G478" s="57">
        <v>0</v>
      </c>
      <c r="H478" s="58">
        <v>0.29992697487550468</v>
      </c>
      <c r="I478" s="58">
        <v>0</v>
      </c>
      <c r="J478" s="58">
        <v>0.29992697487550468</v>
      </c>
    </row>
    <row r="479" spans="1:10" ht="11.25" customHeight="1" x14ac:dyDescent="0.2">
      <c r="A479" s="67">
        <v>44075</v>
      </c>
      <c r="B479" s="57">
        <v>505949.49</v>
      </c>
      <c r="C479" s="57">
        <v>657697.38997550437</v>
      </c>
      <c r="D479" s="57">
        <v>0</v>
      </c>
      <c r="E479" s="57">
        <v>0</v>
      </c>
      <c r="F479" s="57">
        <v>0</v>
      </c>
      <c r="G479" s="57">
        <v>0</v>
      </c>
      <c r="H479" s="58">
        <v>0.29992697487550468</v>
      </c>
      <c r="I479" s="58">
        <v>0</v>
      </c>
      <c r="J479" s="58">
        <v>0.29992697487550468</v>
      </c>
    </row>
    <row r="480" spans="1:10" ht="11.25" customHeight="1" x14ac:dyDescent="0.2">
      <c r="A480" s="66" t="s">
        <v>35</v>
      </c>
      <c r="B480" s="57">
        <v>0</v>
      </c>
      <c r="C480" s="57">
        <v>0</v>
      </c>
      <c r="D480" s="57">
        <v>7114565.9214900006</v>
      </c>
      <c r="E480" s="57">
        <v>8286432.9556683721</v>
      </c>
      <c r="F480" s="57">
        <v>4774923.3143699998</v>
      </c>
      <c r="G480" s="57">
        <v>4163600.9518053494</v>
      </c>
      <c r="H480" s="58">
        <v>0.16471377834010559</v>
      </c>
      <c r="I480" s="58">
        <v>-0.12802768176923207</v>
      </c>
      <c r="J480" s="58">
        <v>4.7146236519821194E-2</v>
      </c>
    </row>
    <row r="481" spans="1:10" ht="11.25" customHeight="1" x14ac:dyDescent="0.2">
      <c r="A481" s="67">
        <v>43739</v>
      </c>
      <c r="B481" s="57">
        <v>0</v>
      </c>
      <c r="C481" s="57">
        <v>0</v>
      </c>
      <c r="D481" s="57">
        <v>656129.18776</v>
      </c>
      <c r="E481" s="57">
        <v>764202.70535517402</v>
      </c>
      <c r="F481" s="57">
        <v>440359.48087999999</v>
      </c>
      <c r="G481" s="57">
        <v>383981.27739783103</v>
      </c>
      <c r="H481" s="58">
        <v>0.16471377834010537</v>
      </c>
      <c r="I481" s="58">
        <v>-0.12802768176923229</v>
      </c>
      <c r="J481" s="58">
        <v>4.7146236519820972E-2</v>
      </c>
    </row>
    <row r="482" spans="1:10" ht="11.25" customHeight="1" x14ac:dyDescent="0.2">
      <c r="A482" s="67">
        <v>43770</v>
      </c>
      <c r="B482" s="57">
        <v>0</v>
      </c>
      <c r="C482" s="57">
        <v>0</v>
      </c>
      <c r="D482" s="57">
        <v>755249.23381000001</v>
      </c>
      <c r="E482" s="57">
        <v>879649.18869931484</v>
      </c>
      <c r="F482" s="57">
        <v>506883.65453000006</v>
      </c>
      <c r="G482" s="57">
        <v>441988.5153138077</v>
      </c>
      <c r="H482" s="58">
        <v>0.16471377834010537</v>
      </c>
      <c r="I482" s="58">
        <v>-0.1280276817692324</v>
      </c>
      <c r="J482" s="58">
        <v>4.7146236519820972E-2</v>
      </c>
    </row>
    <row r="483" spans="1:10" ht="11.25" customHeight="1" x14ac:dyDescent="0.2">
      <c r="A483" s="67">
        <v>43800</v>
      </c>
      <c r="B483" s="57">
        <v>0</v>
      </c>
      <c r="C483" s="57">
        <v>0</v>
      </c>
      <c r="D483" s="57">
        <v>666458.80686000001</v>
      </c>
      <c r="E483" s="57">
        <v>776233.75504594925</v>
      </c>
      <c r="F483" s="57">
        <v>447292.17918000004</v>
      </c>
      <c r="G483" s="57">
        <v>390026.39840607659</v>
      </c>
      <c r="H483" s="58">
        <v>0.16471377834010559</v>
      </c>
      <c r="I483" s="58">
        <v>-0.12802768176923218</v>
      </c>
      <c r="J483" s="58">
        <v>4.7146236519820972E-2</v>
      </c>
    </row>
    <row r="484" spans="1:10" ht="11.25" customHeight="1" x14ac:dyDescent="0.2">
      <c r="A484" s="67">
        <v>43831</v>
      </c>
      <c r="B484" s="57">
        <v>0</v>
      </c>
      <c r="C484" s="57">
        <v>0</v>
      </c>
      <c r="D484" s="57">
        <v>607495.23531000002</v>
      </c>
      <c r="E484" s="57">
        <v>707558.07084152149</v>
      </c>
      <c r="F484" s="57">
        <v>407718.92402999999</v>
      </c>
      <c r="G484" s="57">
        <v>355519.61537299334</v>
      </c>
      <c r="H484" s="58">
        <v>0.16471377834010537</v>
      </c>
      <c r="I484" s="58">
        <v>-0.12802768176923229</v>
      </c>
      <c r="J484" s="58">
        <v>4.7146236519820972E-2</v>
      </c>
    </row>
    <row r="485" spans="1:10" ht="11.25" customHeight="1" x14ac:dyDescent="0.2">
      <c r="A485" s="67">
        <v>43862</v>
      </c>
      <c r="B485" s="57">
        <v>0</v>
      </c>
      <c r="C485" s="57">
        <v>0</v>
      </c>
      <c r="D485" s="57">
        <v>666400.38577000005</v>
      </c>
      <c r="E485" s="57">
        <v>776165.71119748056</v>
      </c>
      <c r="F485" s="57">
        <v>447252.97001000005</v>
      </c>
      <c r="G485" s="57">
        <v>389992.20909521572</v>
      </c>
      <c r="H485" s="58">
        <v>0.16471377834010537</v>
      </c>
      <c r="I485" s="58">
        <v>-0.1280276817692324</v>
      </c>
      <c r="J485" s="58">
        <v>4.7146236519820972E-2</v>
      </c>
    </row>
    <row r="486" spans="1:10" ht="11.25" customHeight="1" x14ac:dyDescent="0.2">
      <c r="A486" s="67">
        <v>43891</v>
      </c>
      <c r="B486" s="57">
        <v>0</v>
      </c>
      <c r="C486" s="57">
        <v>0</v>
      </c>
      <c r="D486" s="57">
        <v>602763.76900999993</v>
      </c>
      <c r="E486" s="57">
        <v>702047.26685015962</v>
      </c>
      <c r="F486" s="57">
        <v>404543.41213000001</v>
      </c>
      <c r="G486" s="57">
        <v>352750.65689998097</v>
      </c>
      <c r="H486" s="58">
        <v>0.16471377834010559</v>
      </c>
      <c r="I486" s="58">
        <v>-0.12802768176923229</v>
      </c>
      <c r="J486" s="58">
        <v>4.7146236519821194E-2</v>
      </c>
    </row>
    <row r="487" spans="1:10" ht="11.25" customHeight="1" x14ac:dyDescent="0.2">
      <c r="A487" s="67">
        <v>43922</v>
      </c>
      <c r="B487" s="57">
        <v>0</v>
      </c>
      <c r="C487" s="57">
        <v>0</v>
      </c>
      <c r="D487" s="57">
        <v>610292.38574000006</v>
      </c>
      <c r="E487" s="57">
        <v>710815.95048743242</v>
      </c>
      <c r="F487" s="57">
        <v>409596.22461999999</v>
      </c>
      <c r="G487" s="57">
        <v>357156.56952047162</v>
      </c>
      <c r="H487" s="58">
        <v>0.16471377834010514</v>
      </c>
      <c r="I487" s="58">
        <v>-0.1280276817692324</v>
      </c>
      <c r="J487" s="58">
        <v>4.7146236519820972E-2</v>
      </c>
    </row>
    <row r="488" spans="1:10" ht="11.25" customHeight="1" x14ac:dyDescent="0.2">
      <c r="A488" s="67">
        <v>43952</v>
      </c>
      <c r="B488" s="57">
        <v>0</v>
      </c>
      <c r="C488" s="57">
        <v>0</v>
      </c>
      <c r="D488" s="57">
        <v>480594.35599000001</v>
      </c>
      <c r="E488" s="57">
        <v>559754.86821404262</v>
      </c>
      <c r="F488" s="57">
        <v>322549.71286999999</v>
      </c>
      <c r="G488" s="57">
        <v>281254.42087592243</v>
      </c>
      <c r="H488" s="58">
        <v>0.16471377834010559</v>
      </c>
      <c r="I488" s="58">
        <v>-0.12802768176923218</v>
      </c>
      <c r="J488" s="58">
        <v>4.7146236519821194E-2</v>
      </c>
    </row>
    <row r="489" spans="1:10" ht="11.25" customHeight="1" x14ac:dyDescent="0.2">
      <c r="A489" s="67">
        <v>43983</v>
      </c>
      <c r="B489" s="57">
        <v>0</v>
      </c>
      <c r="C489" s="57">
        <v>0</v>
      </c>
      <c r="D489" s="57">
        <v>539882.77448000002</v>
      </c>
      <c r="E489" s="57">
        <v>628808.90612533991</v>
      </c>
      <c r="F489" s="57">
        <v>362340.98823999998</v>
      </c>
      <c r="G489" s="57">
        <v>315951.31150566018</v>
      </c>
      <c r="H489" s="58">
        <v>0.16471377834010559</v>
      </c>
      <c r="I489" s="58">
        <v>-0.12802768176923207</v>
      </c>
      <c r="J489" s="58">
        <v>4.7146236519821194E-2</v>
      </c>
    </row>
    <row r="490" spans="1:10" ht="11.25" customHeight="1" x14ac:dyDescent="0.2">
      <c r="A490" s="67">
        <v>44013</v>
      </c>
      <c r="B490" s="57">
        <v>0</v>
      </c>
      <c r="C490" s="57">
        <v>0</v>
      </c>
      <c r="D490" s="57">
        <v>487289.66970000003</v>
      </c>
      <c r="E490" s="57">
        <v>567552.99234238896</v>
      </c>
      <c r="F490" s="57">
        <v>327043.2561</v>
      </c>
      <c r="G490" s="57">
        <v>285172.66618325567</v>
      </c>
      <c r="H490" s="58">
        <v>0.16471377834010537</v>
      </c>
      <c r="I490" s="58">
        <v>-0.12802768176923229</v>
      </c>
      <c r="J490" s="58">
        <v>4.714623651982075E-2</v>
      </c>
    </row>
    <row r="491" spans="1:10" ht="11.25" customHeight="1" x14ac:dyDescent="0.2">
      <c r="A491" s="67">
        <v>44044</v>
      </c>
      <c r="B491" s="57">
        <v>0</v>
      </c>
      <c r="C491" s="57">
        <v>0</v>
      </c>
      <c r="D491" s="57">
        <v>521005.05853000004</v>
      </c>
      <c r="E491" s="57">
        <v>606821.77025478403</v>
      </c>
      <c r="F491" s="57">
        <v>349671.25589000003</v>
      </c>
      <c r="G491" s="57">
        <v>304903.6556170673</v>
      </c>
      <c r="H491" s="58">
        <v>0.16471377834010537</v>
      </c>
      <c r="I491" s="58">
        <v>-0.12802768176923229</v>
      </c>
      <c r="J491" s="58">
        <v>4.7146236519820972E-2</v>
      </c>
    </row>
    <row r="492" spans="1:10" ht="11.25" customHeight="1" x14ac:dyDescent="0.2">
      <c r="A492" s="67">
        <v>44075</v>
      </c>
      <c r="B492" s="57">
        <v>0</v>
      </c>
      <c r="C492" s="57">
        <v>0</v>
      </c>
      <c r="D492" s="57">
        <v>521005.05853000004</v>
      </c>
      <c r="E492" s="57">
        <v>606821.77025478403</v>
      </c>
      <c r="F492" s="57">
        <v>349671.25589000003</v>
      </c>
      <c r="G492" s="57">
        <v>304903.6556170673</v>
      </c>
      <c r="H492" s="58">
        <v>0.16471377834010537</v>
      </c>
      <c r="I492" s="58">
        <v>-0.12802768176923229</v>
      </c>
      <c r="J492" s="58">
        <v>4.7146236519820972E-2</v>
      </c>
    </row>
    <row r="493" spans="1:10" ht="11.25" customHeight="1" x14ac:dyDescent="0.2">
      <c r="A493" s="62" t="s">
        <v>24</v>
      </c>
      <c r="B493" s="57">
        <v>136942.63999999998</v>
      </c>
      <c r="C493" s="57">
        <v>178015.43174666524</v>
      </c>
      <c r="D493" s="57">
        <v>223296.98544000002</v>
      </c>
      <c r="E493" s="57">
        <v>244753.97128508371</v>
      </c>
      <c r="F493" s="57">
        <v>432160.79282999999</v>
      </c>
      <c r="G493" s="57">
        <v>387132.68384752877</v>
      </c>
      <c r="H493" s="58">
        <v>0.17357828838339007</v>
      </c>
      <c r="I493" s="58">
        <v>-0.10419295255269456</v>
      </c>
      <c r="J493" s="58">
        <v>2.2086899761471601E-2</v>
      </c>
    </row>
    <row r="494" spans="1:10" ht="11.25" customHeight="1" x14ac:dyDescent="0.2">
      <c r="A494" s="63" t="s">
        <v>24</v>
      </c>
      <c r="B494" s="57">
        <v>136942.63999999998</v>
      </c>
      <c r="C494" s="57">
        <v>178015.43174666524</v>
      </c>
      <c r="D494" s="57">
        <v>223296.98544000002</v>
      </c>
      <c r="E494" s="57">
        <v>244753.97128508371</v>
      </c>
      <c r="F494" s="57">
        <v>432160.79282999999</v>
      </c>
      <c r="G494" s="57">
        <v>387132.68384752877</v>
      </c>
      <c r="H494" s="58">
        <v>0.17357828838339007</v>
      </c>
      <c r="I494" s="58">
        <v>-0.10419295255269456</v>
      </c>
      <c r="J494" s="58">
        <v>2.2086899761471601E-2</v>
      </c>
    </row>
    <row r="495" spans="1:10" ht="11.25" customHeight="1" x14ac:dyDescent="0.2">
      <c r="A495" s="64" t="s">
        <v>25</v>
      </c>
      <c r="B495" s="57">
        <v>136942.63999999998</v>
      </c>
      <c r="C495" s="57">
        <v>178015.43174666524</v>
      </c>
      <c r="D495" s="57">
        <v>223296.98544000002</v>
      </c>
      <c r="E495" s="57">
        <v>244753.97128508371</v>
      </c>
      <c r="F495" s="57">
        <v>432160.79282999999</v>
      </c>
      <c r="G495" s="57">
        <v>387132.68384752877</v>
      </c>
      <c r="H495" s="58">
        <v>0.17357828838339007</v>
      </c>
      <c r="I495" s="58">
        <v>-0.10419295255269456</v>
      </c>
      <c r="J495" s="58">
        <v>2.2086899761471601E-2</v>
      </c>
    </row>
    <row r="496" spans="1:10" ht="11.25" customHeight="1" x14ac:dyDescent="0.2">
      <c r="A496" s="65" t="s">
        <v>25</v>
      </c>
      <c r="B496" s="57">
        <v>136942.63999999998</v>
      </c>
      <c r="C496" s="57">
        <v>178015.43174666524</v>
      </c>
      <c r="D496" s="57">
        <v>223296.98544000002</v>
      </c>
      <c r="E496" s="57">
        <v>244753.97128508371</v>
      </c>
      <c r="F496" s="57">
        <v>432160.79282999999</v>
      </c>
      <c r="G496" s="57">
        <v>387132.68384752877</v>
      </c>
      <c r="H496" s="58">
        <v>0.17357828838339007</v>
      </c>
      <c r="I496" s="58">
        <v>-0.10419295255269456</v>
      </c>
      <c r="J496" s="58">
        <v>2.2086899761471601E-2</v>
      </c>
    </row>
    <row r="497" spans="1:10" ht="11.25" customHeight="1" x14ac:dyDescent="0.2">
      <c r="A497" s="66" t="s">
        <v>36</v>
      </c>
      <c r="B497" s="57">
        <v>0</v>
      </c>
      <c r="C497" s="57">
        <v>0</v>
      </c>
      <c r="D497" s="57">
        <v>119377.42215</v>
      </c>
      <c r="E497" s="57">
        <v>123717.42408213406</v>
      </c>
      <c r="F497" s="57">
        <v>362415.43506000005</v>
      </c>
      <c r="G497" s="57">
        <v>326316.66254698765</v>
      </c>
      <c r="H497" s="58">
        <v>3.6355299469281288E-2</v>
      </c>
      <c r="I497" s="58">
        <v>-9.9606057084836941E-2</v>
      </c>
      <c r="J497" s="58">
        <v>-6.5917894185458126E-2</v>
      </c>
    </row>
    <row r="498" spans="1:10" ht="11.25" customHeight="1" x14ac:dyDescent="0.2">
      <c r="A498" s="67">
        <v>43739</v>
      </c>
      <c r="B498" s="57">
        <v>0</v>
      </c>
      <c r="C498" s="57">
        <v>0</v>
      </c>
      <c r="D498" s="57">
        <v>10910.517750000001</v>
      </c>
      <c r="E498" s="57">
        <v>11307.172890166161</v>
      </c>
      <c r="F498" s="57">
        <v>33123.0141</v>
      </c>
      <c r="G498" s="57">
        <v>29823.761266733538</v>
      </c>
      <c r="H498" s="58">
        <v>3.6355299469281288E-2</v>
      </c>
      <c r="I498" s="58">
        <v>-9.9606057084837052E-2</v>
      </c>
      <c r="J498" s="58">
        <v>-6.5917894185458126E-2</v>
      </c>
    </row>
    <row r="499" spans="1:10" ht="11.25" customHeight="1" x14ac:dyDescent="0.2">
      <c r="A499" s="67">
        <v>43770</v>
      </c>
      <c r="B499" s="57">
        <v>0</v>
      </c>
      <c r="C499" s="57">
        <v>0</v>
      </c>
      <c r="D499" s="57">
        <v>11183.7135</v>
      </c>
      <c r="E499" s="57">
        <v>11590.300753471143</v>
      </c>
      <c r="F499" s="57">
        <v>33952.403399999996</v>
      </c>
      <c r="G499" s="57">
        <v>30570.538368772184</v>
      </c>
      <c r="H499" s="58">
        <v>3.6355299469281288E-2</v>
      </c>
      <c r="I499" s="58">
        <v>-9.9606057084836941E-2</v>
      </c>
      <c r="J499" s="58">
        <v>-6.5917894185458126E-2</v>
      </c>
    </row>
    <row r="500" spans="1:10" ht="11.25" customHeight="1" x14ac:dyDescent="0.2">
      <c r="A500" s="67">
        <v>43800</v>
      </c>
      <c r="B500" s="57">
        <v>0</v>
      </c>
      <c r="C500" s="57">
        <v>0</v>
      </c>
      <c r="D500" s="57">
        <v>10112.380800000001</v>
      </c>
      <c r="E500" s="57">
        <v>10480.01943233141</v>
      </c>
      <c r="F500" s="57">
        <v>30699.96672</v>
      </c>
      <c r="G500" s="57">
        <v>27642.064082385084</v>
      </c>
      <c r="H500" s="58">
        <v>3.6355299469281066E-2</v>
      </c>
      <c r="I500" s="58">
        <v>-9.9606057084836941E-2</v>
      </c>
      <c r="J500" s="58">
        <v>-6.5917894185458348E-2</v>
      </c>
    </row>
    <row r="501" spans="1:10" ht="11.25" customHeight="1" x14ac:dyDescent="0.2">
      <c r="A501" s="67">
        <v>43831</v>
      </c>
      <c r="B501" s="57">
        <v>0</v>
      </c>
      <c r="C501" s="57">
        <v>0</v>
      </c>
      <c r="D501" s="57">
        <v>9381.5505000000012</v>
      </c>
      <c r="E501" s="57">
        <v>9722.619577913687</v>
      </c>
      <c r="F501" s="57">
        <v>28481.254199999999</v>
      </c>
      <c r="G501" s="57">
        <v>25644.348768307049</v>
      </c>
      <c r="H501" s="58">
        <v>3.6355299469281288E-2</v>
      </c>
      <c r="I501" s="58">
        <v>-9.9606057084836941E-2</v>
      </c>
      <c r="J501" s="58">
        <v>-6.5917894185458126E-2</v>
      </c>
    </row>
    <row r="502" spans="1:10" ht="11.25" customHeight="1" x14ac:dyDescent="0.2">
      <c r="A502" s="67">
        <v>43862</v>
      </c>
      <c r="B502" s="57">
        <v>0</v>
      </c>
      <c r="C502" s="57">
        <v>0</v>
      </c>
      <c r="D502" s="57">
        <v>10268.106599999999</v>
      </c>
      <c r="E502" s="57">
        <v>10641.406690425505</v>
      </c>
      <c r="F502" s="57">
        <v>31172.731440000003</v>
      </c>
      <c r="G502" s="57">
        <v>28067.738572697068</v>
      </c>
      <c r="H502" s="58">
        <v>3.635529946928151E-2</v>
      </c>
      <c r="I502" s="58">
        <v>-9.9606057084837052E-2</v>
      </c>
      <c r="J502" s="58">
        <v>-6.5917894185458237E-2</v>
      </c>
    </row>
    <row r="503" spans="1:10" ht="11.25" customHeight="1" x14ac:dyDescent="0.2">
      <c r="A503" s="67">
        <v>43891</v>
      </c>
      <c r="B503" s="57">
        <v>0</v>
      </c>
      <c r="C503" s="57">
        <v>0</v>
      </c>
      <c r="D503" s="57">
        <v>9321.0842999999986</v>
      </c>
      <c r="E503" s="57">
        <v>9659.9551111049186</v>
      </c>
      <c r="F503" s="57">
        <v>28297.686120000002</v>
      </c>
      <c r="G503" s="57">
        <v>25479.06518096248</v>
      </c>
      <c r="H503" s="58">
        <v>3.6355299469281732E-2</v>
      </c>
      <c r="I503" s="58">
        <v>-9.9606057084837052E-2</v>
      </c>
      <c r="J503" s="58">
        <v>-6.5917894185458126E-2</v>
      </c>
    </row>
    <row r="504" spans="1:10" ht="11.25" customHeight="1" x14ac:dyDescent="0.2">
      <c r="A504" s="67">
        <v>43922</v>
      </c>
      <c r="B504" s="57">
        <v>0</v>
      </c>
      <c r="C504" s="57">
        <v>0</v>
      </c>
      <c r="D504" s="57">
        <v>9520.9774500000003</v>
      </c>
      <c r="E504" s="57">
        <v>9867.1154364350223</v>
      </c>
      <c r="F504" s="57">
        <v>28904.53758</v>
      </c>
      <c r="G504" s="57">
        <v>26025.4705597957</v>
      </c>
      <c r="H504" s="58">
        <v>3.6355299469281066E-2</v>
      </c>
      <c r="I504" s="58">
        <v>-9.9606057084837163E-2</v>
      </c>
      <c r="J504" s="58">
        <v>-6.5917894185458348E-2</v>
      </c>
    </row>
    <row r="505" spans="1:10" ht="11.25" customHeight="1" x14ac:dyDescent="0.2">
      <c r="A505" s="67">
        <v>43952</v>
      </c>
      <c r="B505" s="57">
        <v>0</v>
      </c>
      <c r="C505" s="57">
        <v>0</v>
      </c>
      <c r="D505" s="57">
        <v>9445.3102500000023</v>
      </c>
      <c r="E505" s="57">
        <v>9788.6973327190226</v>
      </c>
      <c r="F505" s="57">
        <v>28674.821100000005</v>
      </c>
      <c r="G505" s="57">
        <v>25818.63523261591</v>
      </c>
      <c r="H505" s="58">
        <v>3.6355299469281066E-2</v>
      </c>
      <c r="I505" s="58">
        <v>-9.9606057084837163E-2</v>
      </c>
      <c r="J505" s="58">
        <v>-6.5917894185458459E-2</v>
      </c>
    </row>
    <row r="506" spans="1:10" ht="11.25" customHeight="1" x14ac:dyDescent="0.2">
      <c r="A506" s="67">
        <v>43983</v>
      </c>
      <c r="B506" s="57">
        <v>0</v>
      </c>
      <c r="C506" s="57">
        <v>0</v>
      </c>
      <c r="D506" s="57">
        <v>9336.6231000000007</v>
      </c>
      <c r="E506" s="57">
        <v>9676.0588288323106</v>
      </c>
      <c r="F506" s="57">
        <v>28344.860040000003</v>
      </c>
      <c r="G506" s="57">
        <v>25521.540292794045</v>
      </c>
      <c r="H506" s="58">
        <v>3.6355299469281288E-2</v>
      </c>
      <c r="I506" s="58">
        <v>-9.9606057084837052E-2</v>
      </c>
      <c r="J506" s="58">
        <v>-6.5917894185458126E-2</v>
      </c>
    </row>
    <row r="507" spans="1:10" ht="11.25" customHeight="1" x14ac:dyDescent="0.2">
      <c r="A507" s="67">
        <v>44013</v>
      </c>
      <c r="B507" s="57">
        <v>0</v>
      </c>
      <c r="C507" s="57">
        <v>0</v>
      </c>
      <c r="D507" s="57">
        <v>9328.0092000000004</v>
      </c>
      <c r="E507" s="57">
        <v>9667.1317679182121</v>
      </c>
      <c r="F507" s="57">
        <v>28318.709279999999</v>
      </c>
      <c r="G507" s="57">
        <v>25497.994306887413</v>
      </c>
      <c r="H507" s="58">
        <v>3.6355299469281288E-2</v>
      </c>
      <c r="I507" s="58">
        <v>-9.9606057084837163E-2</v>
      </c>
      <c r="J507" s="58">
        <v>-6.5917894185458237E-2</v>
      </c>
    </row>
    <row r="508" spans="1:10" ht="11.25" customHeight="1" x14ac:dyDescent="0.2">
      <c r="A508" s="67">
        <v>44044</v>
      </c>
      <c r="B508" s="57">
        <v>0</v>
      </c>
      <c r="C508" s="57">
        <v>0</v>
      </c>
      <c r="D508" s="57">
        <v>10284.574349999999</v>
      </c>
      <c r="E508" s="57">
        <v>10658.47313040834</v>
      </c>
      <c r="F508" s="57">
        <v>31222.725539999999</v>
      </c>
      <c r="G508" s="57">
        <v>28112.752957518562</v>
      </c>
      <c r="H508" s="58">
        <v>3.635529946928151E-2</v>
      </c>
      <c r="I508" s="58">
        <v>-9.9606057084836941E-2</v>
      </c>
      <c r="J508" s="58">
        <v>-6.5917894185458015E-2</v>
      </c>
    </row>
    <row r="509" spans="1:10" ht="11.25" customHeight="1" x14ac:dyDescent="0.2">
      <c r="A509" s="67">
        <v>44075</v>
      </c>
      <c r="B509" s="57">
        <v>0</v>
      </c>
      <c r="C509" s="57">
        <v>0</v>
      </c>
      <c r="D509" s="57">
        <v>10284.574349999999</v>
      </c>
      <c r="E509" s="57">
        <v>10658.47313040834</v>
      </c>
      <c r="F509" s="57">
        <v>31222.725539999999</v>
      </c>
      <c r="G509" s="57">
        <v>28112.752957518562</v>
      </c>
      <c r="H509" s="58">
        <v>3.635529946928151E-2</v>
      </c>
      <c r="I509" s="58">
        <v>-9.9606057084836941E-2</v>
      </c>
      <c r="J509" s="58">
        <v>-6.5917894185458015E-2</v>
      </c>
    </row>
    <row r="510" spans="1:10" ht="11.25" customHeight="1" x14ac:dyDescent="0.2">
      <c r="A510" s="66" t="s">
        <v>25</v>
      </c>
      <c r="B510" s="57">
        <v>136942.63999999998</v>
      </c>
      <c r="C510" s="57">
        <v>178015.43174666524</v>
      </c>
      <c r="D510" s="57">
        <v>0</v>
      </c>
      <c r="E510" s="57">
        <v>0</v>
      </c>
      <c r="F510" s="57">
        <v>0</v>
      </c>
      <c r="G510" s="57">
        <v>0</v>
      </c>
      <c r="H510" s="58">
        <v>0.29992697487550357</v>
      </c>
      <c r="I510" s="58">
        <v>0</v>
      </c>
      <c r="J510" s="58">
        <v>0.29992697487550357</v>
      </c>
    </row>
    <row r="511" spans="1:10" ht="11.25" customHeight="1" x14ac:dyDescent="0.2">
      <c r="A511" s="67">
        <v>43739</v>
      </c>
      <c r="B511" s="57">
        <v>11523.480000000001</v>
      </c>
      <c r="C511" s="57">
        <v>14979.682496438378</v>
      </c>
      <c r="D511" s="57">
        <v>0</v>
      </c>
      <c r="E511" s="57">
        <v>0</v>
      </c>
      <c r="F511" s="57">
        <v>0</v>
      </c>
      <c r="G511" s="57">
        <v>0</v>
      </c>
      <c r="H511" s="58">
        <v>0.29992697487550424</v>
      </c>
      <c r="I511" s="58">
        <v>0</v>
      </c>
      <c r="J511" s="58">
        <v>0.29992697487550424</v>
      </c>
    </row>
    <row r="512" spans="1:10" ht="11.25" customHeight="1" x14ac:dyDescent="0.2">
      <c r="A512" s="67">
        <v>43770</v>
      </c>
      <c r="B512" s="57">
        <v>11320.85</v>
      </c>
      <c r="C512" s="57">
        <v>14716.278293519355</v>
      </c>
      <c r="D512" s="57">
        <v>0</v>
      </c>
      <c r="E512" s="57">
        <v>0</v>
      </c>
      <c r="F512" s="57">
        <v>0</v>
      </c>
      <c r="G512" s="57">
        <v>0</v>
      </c>
      <c r="H512" s="58">
        <v>0.29992697487550446</v>
      </c>
      <c r="I512" s="58">
        <v>0</v>
      </c>
      <c r="J512" s="58">
        <v>0.29992697487550446</v>
      </c>
    </row>
    <row r="513" spans="1:10" ht="11.25" customHeight="1" x14ac:dyDescent="0.2">
      <c r="A513" s="67">
        <v>43800</v>
      </c>
      <c r="B513" s="57">
        <v>11338.470000000001</v>
      </c>
      <c r="C513" s="57">
        <v>14739.18300681666</v>
      </c>
      <c r="D513" s="57">
        <v>0</v>
      </c>
      <c r="E513" s="57">
        <v>0</v>
      </c>
      <c r="F513" s="57">
        <v>0</v>
      </c>
      <c r="G513" s="57">
        <v>0</v>
      </c>
      <c r="H513" s="58">
        <v>0.29992697487550424</v>
      </c>
      <c r="I513" s="58">
        <v>0</v>
      </c>
      <c r="J513" s="58">
        <v>0.29992697487550424</v>
      </c>
    </row>
    <row r="514" spans="1:10" ht="11.25" customHeight="1" x14ac:dyDescent="0.2">
      <c r="A514" s="67">
        <v>43831</v>
      </c>
      <c r="B514" s="57">
        <v>11171.080000000002</v>
      </c>
      <c r="C514" s="57">
        <v>14521.588230492251</v>
      </c>
      <c r="D514" s="57">
        <v>0</v>
      </c>
      <c r="E514" s="57">
        <v>0</v>
      </c>
      <c r="F514" s="57">
        <v>0</v>
      </c>
      <c r="G514" s="57">
        <v>0</v>
      </c>
      <c r="H514" s="58">
        <v>0.29992697487550424</v>
      </c>
      <c r="I514" s="58">
        <v>0</v>
      </c>
      <c r="J514" s="58">
        <v>0.29992697487550424</v>
      </c>
    </row>
    <row r="515" spans="1:10" ht="11.25" customHeight="1" x14ac:dyDescent="0.2">
      <c r="A515" s="67">
        <v>43862</v>
      </c>
      <c r="B515" s="57">
        <v>11479.43</v>
      </c>
      <c r="C515" s="57">
        <v>14922.420713195112</v>
      </c>
      <c r="D515" s="57">
        <v>0</v>
      </c>
      <c r="E515" s="57">
        <v>0</v>
      </c>
      <c r="F515" s="57">
        <v>0</v>
      </c>
      <c r="G515" s="57">
        <v>0</v>
      </c>
      <c r="H515" s="58">
        <v>0.29992697487550446</v>
      </c>
      <c r="I515" s="58">
        <v>0</v>
      </c>
      <c r="J515" s="58">
        <v>0.29992697487550446</v>
      </c>
    </row>
    <row r="516" spans="1:10" ht="11.25" customHeight="1" x14ac:dyDescent="0.2">
      <c r="A516" s="67">
        <v>43891</v>
      </c>
      <c r="B516" s="57">
        <v>11488.240000000002</v>
      </c>
      <c r="C516" s="57">
        <v>14933.873069843765</v>
      </c>
      <c r="D516" s="57">
        <v>0</v>
      </c>
      <c r="E516" s="57">
        <v>0</v>
      </c>
      <c r="F516" s="57">
        <v>0</v>
      </c>
      <c r="G516" s="57">
        <v>0</v>
      </c>
      <c r="H516" s="58">
        <v>0.29992697487550424</v>
      </c>
      <c r="I516" s="58">
        <v>0</v>
      </c>
      <c r="J516" s="58">
        <v>0.29992697487550424</v>
      </c>
    </row>
    <row r="517" spans="1:10" ht="11.25" customHeight="1" x14ac:dyDescent="0.2">
      <c r="A517" s="67">
        <v>43922</v>
      </c>
      <c r="B517" s="57">
        <v>11356.09</v>
      </c>
      <c r="C517" s="57">
        <v>14762.087720113966</v>
      </c>
      <c r="D517" s="57">
        <v>0</v>
      </c>
      <c r="E517" s="57">
        <v>0</v>
      </c>
      <c r="F517" s="57">
        <v>0</v>
      </c>
      <c r="G517" s="57">
        <v>0</v>
      </c>
      <c r="H517" s="58">
        <v>0.29992697487550446</v>
      </c>
      <c r="I517" s="58">
        <v>0</v>
      </c>
      <c r="J517" s="58">
        <v>0.29992697487550446</v>
      </c>
    </row>
    <row r="518" spans="1:10" ht="11.25" customHeight="1" x14ac:dyDescent="0.2">
      <c r="A518" s="67">
        <v>43952</v>
      </c>
      <c r="B518" s="57">
        <v>11435.380000000001</v>
      </c>
      <c r="C518" s="57">
        <v>14865.158929951845</v>
      </c>
      <c r="D518" s="57">
        <v>0</v>
      </c>
      <c r="E518" s="57">
        <v>0</v>
      </c>
      <c r="F518" s="57">
        <v>0</v>
      </c>
      <c r="G518" s="57">
        <v>0</v>
      </c>
      <c r="H518" s="58">
        <v>0.29992697487550424</v>
      </c>
      <c r="I518" s="58">
        <v>0</v>
      </c>
      <c r="J518" s="58">
        <v>0.29992697487550424</v>
      </c>
    </row>
    <row r="519" spans="1:10" ht="11.25" customHeight="1" x14ac:dyDescent="0.2">
      <c r="A519" s="67">
        <v>43983</v>
      </c>
      <c r="B519" s="57">
        <v>11470.62</v>
      </c>
      <c r="C519" s="57">
        <v>14910.968356546458</v>
      </c>
      <c r="D519" s="57">
        <v>0</v>
      </c>
      <c r="E519" s="57">
        <v>0</v>
      </c>
      <c r="F519" s="57">
        <v>0</v>
      </c>
      <c r="G519" s="57">
        <v>0</v>
      </c>
      <c r="H519" s="58">
        <v>0.29992697487550424</v>
      </c>
      <c r="I519" s="58">
        <v>0</v>
      </c>
      <c r="J519" s="58">
        <v>0.29992697487550424</v>
      </c>
    </row>
    <row r="520" spans="1:10" ht="11.25" customHeight="1" x14ac:dyDescent="0.2">
      <c r="A520" s="67">
        <v>44013</v>
      </c>
      <c r="B520" s="57">
        <v>11470.62</v>
      </c>
      <c r="C520" s="57">
        <v>14910.968356546458</v>
      </c>
      <c r="D520" s="57">
        <v>0</v>
      </c>
      <c r="E520" s="57">
        <v>0</v>
      </c>
      <c r="F520" s="57">
        <v>0</v>
      </c>
      <c r="G520" s="57">
        <v>0</v>
      </c>
      <c r="H520" s="58">
        <v>0.29992697487550424</v>
      </c>
      <c r="I520" s="58">
        <v>0</v>
      </c>
      <c r="J520" s="58">
        <v>0.29992697487550424</v>
      </c>
    </row>
    <row r="521" spans="1:10" ht="11.25" customHeight="1" x14ac:dyDescent="0.2">
      <c r="A521" s="67">
        <v>44044</v>
      </c>
      <c r="B521" s="57">
        <v>11444.19</v>
      </c>
      <c r="C521" s="57">
        <v>14876.611286600501</v>
      </c>
      <c r="D521" s="57">
        <v>0</v>
      </c>
      <c r="E521" s="57">
        <v>0</v>
      </c>
      <c r="F521" s="57">
        <v>0</v>
      </c>
      <c r="G521" s="57">
        <v>0</v>
      </c>
      <c r="H521" s="58">
        <v>0.29992697487550446</v>
      </c>
      <c r="I521" s="58">
        <v>0</v>
      </c>
      <c r="J521" s="58">
        <v>0.29992697487550446</v>
      </c>
    </row>
    <row r="522" spans="1:10" ht="11.25" customHeight="1" x14ac:dyDescent="0.2">
      <c r="A522" s="67">
        <v>44075</v>
      </c>
      <c r="B522" s="57">
        <v>11444.19</v>
      </c>
      <c r="C522" s="57">
        <v>14876.611286600501</v>
      </c>
      <c r="D522" s="57">
        <v>0</v>
      </c>
      <c r="E522" s="57">
        <v>0</v>
      </c>
      <c r="F522" s="57">
        <v>0</v>
      </c>
      <c r="G522" s="57">
        <v>0</v>
      </c>
      <c r="H522" s="58">
        <v>0.29992697487550446</v>
      </c>
      <c r="I522" s="58">
        <v>0</v>
      </c>
      <c r="J522" s="58">
        <v>0.29992697487550446</v>
      </c>
    </row>
    <row r="523" spans="1:10" ht="11.25" customHeight="1" x14ac:dyDescent="0.2">
      <c r="A523" s="66" t="s">
        <v>35</v>
      </c>
      <c r="B523" s="57">
        <v>0</v>
      </c>
      <c r="C523" s="57">
        <v>0</v>
      </c>
      <c r="D523" s="57">
        <v>103919.56328999999</v>
      </c>
      <c r="E523" s="57">
        <v>121036.5472029496</v>
      </c>
      <c r="F523" s="57">
        <v>69745.357770000002</v>
      </c>
      <c r="G523" s="57">
        <v>60816.021300541201</v>
      </c>
      <c r="H523" s="58">
        <v>0.16471377834010559</v>
      </c>
      <c r="I523" s="58">
        <v>-0.1280276817692324</v>
      </c>
      <c r="J523" s="58">
        <v>4.7146236519821194E-2</v>
      </c>
    </row>
    <row r="524" spans="1:10" ht="11.25" customHeight="1" x14ac:dyDescent="0.2">
      <c r="A524" s="67">
        <v>43739</v>
      </c>
      <c r="B524" s="57">
        <v>0</v>
      </c>
      <c r="C524" s="57">
        <v>0</v>
      </c>
      <c r="D524" s="57">
        <v>9414.1413600000014</v>
      </c>
      <c r="E524" s="57">
        <v>10964.78015323346</v>
      </c>
      <c r="F524" s="57">
        <v>6318.2776799999992</v>
      </c>
      <c r="G524" s="57">
        <v>5509.3632358553168</v>
      </c>
      <c r="H524" s="58">
        <v>0.16471377834010537</v>
      </c>
      <c r="I524" s="58">
        <v>-0.12802768176923218</v>
      </c>
      <c r="J524" s="58">
        <v>4.7146236519821194E-2</v>
      </c>
    </row>
    <row r="525" spans="1:10" ht="11.25" customHeight="1" x14ac:dyDescent="0.2">
      <c r="A525" s="67">
        <v>43770</v>
      </c>
      <c r="B525" s="57">
        <v>0</v>
      </c>
      <c r="C525" s="57">
        <v>0</v>
      </c>
      <c r="D525" s="57">
        <v>9862.2503799999995</v>
      </c>
      <c r="E525" s="57">
        <v>11486.698903025939</v>
      </c>
      <c r="F525" s="57">
        <v>6619.0249400000002</v>
      </c>
      <c r="G525" s="57">
        <v>5771.6065213590682</v>
      </c>
      <c r="H525" s="58">
        <v>0.16471377834010537</v>
      </c>
      <c r="I525" s="58">
        <v>-0.12802768176923229</v>
      </c>
      <c r="J525" s="58">
        <v>4.714623651982075E-2</v>
      </c>
    </row>
    <row r="526" spans="1:10" ht="11.25" customHeight="1" x14ac:dyDescent="0.2">
      <c r="A526" s="67">
        <v>43800</v>
      </c>
      <c r="B526" s="57">
        <v>0</v>
      </c>
      <c r="C526" s="57">
        <v>0</v>
      </c>
      <c r="D526" s="57">
        <v>9037.9352200000012</v>
      </c>
      <c r="E526" s="57">
        <v>10526.607678479311</v>
      </c>
      <c r="F526" s="57">
        <v>6065.7878600000004</v>
      </c>
      <c r="G526" s="57">
        <v>5289.1991021802469</v>
      </c>
      <c r="H526" s="58">
        <v>0.16471377834010514</v>
      </c>
      <c r="I526" s="58">
        <v>-0.1280276817692324</v>
      </c>
      <c r="J526" s="58">
        <v>4.714623651982075E-2</v>
      </c>
    </row>
    <row r="527" spans="1:10" ht="11.25" customHeight="1" x14ac:dyDescent="0.2">
      <c r="A527" s="67">
        <v>43831</v>
      </c>
      <c r="B527" s="57">
        <v>0</v>
      </c>
      <c r="C527" s="57">
        <v>0</v>
      </c>
      <c r="D527" s="57">
        <v>8074.9502199999988</v>
      </c>
      <c r="E527" s="57">
        <v>9405.0057806444656</v>
      </c>
      <c r="F527" s="57">
        <v>5419.4828600000001</v>
      </c>
      <c r="G527" s="57">
        <v>4725.6390330461109</v>
      </c>
      <c r="H527" s="58">
        <v>0.16471377834010559</v>
      </c>
      <c r="I527" s="58">
        <v>-0.1280276817692324</v>
      </c>
      <c r="J527" s="58">
        <v>4.7146236519820972E-2</v>
      </c>
    </row>
    <row r="528" spans="1:10" ht="11.25" customHeight="1" x14ac:dyDescent="0.2">
      <c r="A528" s="67">
        <v>43862</v>
      </c>
      <c r="B528" s="57">
        <v>0</v>
      </c>
      <c r="C528" s="57">
        <v>0</v>
      </c>
      <c r="D528" s="57">
        <v>8223.8918999999987</v>
      </c>
      <c r="E528" s="57">
        <v>9578.4802075095886</v>
      </c>
      <c r="F528" s="57">
        <v>5519.4447</v>
      </c>
      <c r="G528" s="57">
        <v>4812.8029904055238</v>
      </c>
      <c r="H528" s="58">
        <v>0.16471377834010559</v>
      </c>
      <c r="I528" s="58">
        <v>-0.1280276817692324</v>
      </c>
      <c r="J528" s="58">
        <v>4.7146236519821194E-2</v>
      </c>
    </row>
    <row r="529" spans="1:10" ht="11.25" customHeight="1" x14ac:dyDescent="0.2">
      <c r="A529" s="67">
        <v>43891</v>
      </c>
      <c r="B529" s="57">
        <v>0</v>
      </c>
      <c r="C529" s="57">
        <v>0</v>
      </c>
      <c r="D529" s="57">
        <v>7633.9030899999998</v>
      </c>
      <c r="E529" s="57">
        <v>8891.3121114361056</v>
      </c>
      <c r="F529" s="57">
        <v>5123.4751699999997</v>
      </c>
      <c r="G529" s="57">
        <v>4467.5285213826774</v>
      </c>
      <c r="H529" s="58">
        <v>0.16471377834010537</v>
      </c>
      <c r="I529" s="58">
        <v>-0.12802768176923207</v>
      </c>
      <c r="J529" s="58">
        <v>4.7146236519820972E-2</v>
      </c>
    </row>
    <row r="530" spans="1:10" ht="11.25" customHeight="1" x14ac:dyDescent="0.2">
      <c r="A530" s="67">
        <v>43922</v>
      </c>
      <c r="B530" s="57">
        <v>0</v>
      </c>
      <c r="C530" s="57">
        <v>0</v>
      </c>
      <c r="D530" s="57">
        <v>9337.1025600000012</v>
      </c>
      <c r="E530" s="57">
        <v>10875.05200140667</v>
      </c>
      <c r="F530" s="57">
        <v>6266.5732799999996</v>
      </c>
      <c r="G530" s="57">
        <v>5464.2784303245853</v>
      </c>
      <c r="H530" s="58">
        <v>0.16471377834010514</v>
      </c>
      <c r="I530" s="58">
        <v>-0.12802768176923229</v>
      </c>
      <c r="J530" s="58">
        <v>4.714623651982075E-2</v>
      </c>
    </row>
    <row r="531" spans="1:10" ht="11.25" customHeight="1" x14ac:dyDescent="0.2">
      <c r="A531" s="67">
        <v>43952</v>
      </c>
      <c r="B531" s="57">
        <v>0</v>
      </c>
      <c r="C531" s="57">
        <v>0</v>
      </c>
      <c r="D531" s="57">
        <v>7409.8485800000008</v>
      </c>
      <c r="E531" s="57">
        <v>8630.3527365398641</v>
      </c>
      <c r="F531" s="57">
        <v>4973.1015399999997</v>
      </c>
      <c r="G531" s="57">
        <v>4336.4068786308017</v>
      </c>
      <c r="H531" s="58">
        <v>0.16471377834010514</v>
      </c>
      <c r="I531" s="58">
        <v>-0.12802768176923207</v>
      </c>
      <c r="J531" s="58">
        <v>4.7146236519820972E-2</v>
      </c>
    </row>
    <row r="532" spans="1:10" ht="11.25" customHeight="1" x14ac:dyDescent="0.2">
      <c r="A532" s="67">
        <v>43983</v>
      </c>
      <c r="B532" s="57">
        <v>0</v>
      </c>
      <c r="C532" s="57">
        <v>0</v>
      </c>
      <c r="D532" s="57">
        <v>9113.0480499999994</v>
      </c>
      <c r="E532" s="57">
        <v>10614.09262651043</v>
      </c>
      <c r="F532" s="57">
        <v>6116.1996500000005</v>
      </c>
      <c r="G532" s="57">
        <v>5333.1567875727105</v>
      </c>
      <c r="H532" s="58">
        <v>0.16471377834010559</v>
      </c>
      <c r="I532" s="58">
        <v>-0.12802768176923229</v>
      </c>
      <c r="J532" s="58">
        <v>4.7146236519820972E-2</v>
      </c>
    </row>
    <row r="533" spans="1:10" ht="11.25" customHeight="1" x14ac:dyDescent="0.2">
      <c r="A533" s="67">
        <v>44013</v>
      </c>
      <c r="B533" s="57">
        <v>0</v>
      </c>
      <c r="C533" s="57">
        <v>0</v>
      </c>
      <c r="D533" s="57">
        <v>8619.9997299999995</v>
      </c>
      <c r="E533" s="57">
        <v>10039.832454818988</v>
      </c>
      <c r="F533" s="57">
        <v>5785.2914900000005</v>
      </c>
      <c r="G533" s="57">
        <v>5044.6140321760322</v>
      </c>
      <c r="H533" s="58">
        <v>0.16471377834010537</v>
      </c>
      <c r="I533" s="58">
        <v>-0.1280276817692324</v>
      </c>
      <c r="J533" s="58">
        <v>4.7146236519820972E-2</v>
      </c>
    </row>
    <row r="534" spans="1:10" ht="11.25" customHeight="1" x14ac:dyDescent="0.2">
      <c r="A534" s="67">
        <v>44044</v>
      </c>
      <c r="B534" s="57">
        <v>0</v>
      </c>
      <c r="C534" s="57">
        <v>0</v>
      </c>
      <c r="D534" s="57">
        <v>8596.2461000000003</v>
      </c>
      <c r="E534" s="57">
        <v>10012.166274672394</v>
      </c>
      <c r="F534" s="57">
        <v>5769.3493000000008</v>
      </c>
      <c r="G534" s="57">
        <v>5030.7128838040571</v>
      </c>
      <c r="H534" s="58">
        <v>0.16471377834010514</v>
      </c>
      <c r="I534" s="58">
        <v>-0.1280276817692324</v>
      </c>
      <c r="J534" s="58">
        <v>4.714623651982075E-2</v>
      </c>
    </row>
    <row r="535" spans="1:10" ht="11.25" customHeight="1" x14ac:dyDescent="0.2">
      <c r="A535" s="67">
        <v>44075</v>
      </c>
      <c r="B535" s="57">
        <v>0</v>
      </c>
      <c r="C535" s="57">
        <v>0</v>
      </c>
      <c r="D535" s="57">
        <v>8596.2461000000003</v>
      </c>
      <c r="E535" s="57">
        <v>10012.166274672394</v>
      </c>
      <c r="F535" s="57">
        <v>5769.3493000000008</v>
      </c>
      <c r="G535" s="57">
        <v>5030.7128838040571</v>
      </c>
      <c r="H535" s="58">
        <v>0.16471377834010514</v>
      </c>
      <c r="I535" s="58">
        <v>-0.1280276817692324</v>
      </c>
      <c r="J535" s="58">
        <v>4.714623651982075E-2</v>
      </c>
    </row>
    <row r="536" spans="1:10" ht="11.25" customHeight="1" x14ac:dyDescent="0.2">
      <c r="A536" s="62" t="s">
        <v>47</v>
      </c>
      <c r="B536" s="57">
        <v>1851616.7296000004</v>
      </c>
      <c r="C536" s="57">
        <v>2406966.533937803</v>
      </c>
      <c r="D536" s="57">
        <v>4309627.2408284005</v>
      </c>
      <c r="E536" s="57">
        <v>4639875.6353300102</v>
      </c>
      <c r="F536" s="57">
        <v>9885838.9111731965</v>
      </c>
      <c r="G536" s="57">
        <v>8875355.4872471318</v>
      </c>
      <c r="H536" s="58">
        <v>0.14373691467014527</v>
      </c>
      <c r="I536" s="58">
        <v>-0.10221524273311788</v>
      </c>
      <c r="J536" s="58">
        <v>-7.7824253796208165E-3</v>
      </c>
    </row>
    <row r="537" spans="1:10" ht="11.25" customHeight="1" x14ac:dyDescent="0.2">
      <c r="A537" s="63" t="s">
        <v>55</v>
      </c>
      <c r="B537" s="57">
        <v>1078729.1732000001</v>
      </c>
      <c r="C537" s="57">
        <v>1402269.1508278304</v>
      </c>
      <c r="D537" s="57">
        <v>1229548.1702199997</v>
      </c>
      <c r="E537" s="57">
        <v>1290179.2367045679</v>
      </c>
      <c r="F537" s="57">
        <v>3439274.6612263997</v>
      </c>
      <c r="G537" s="57">
        <v>3094334.6762525635</v>
      </c>
      <c r="H537" s="58">
        <v>0.16643192604542079</v>
      </c>
      <c r="I537" s="58">
        <v>-0.10029439895063075</v>
      </c>
      <c r="J537" s="58">
        <v>6.8256988552424236E-3</v>
      </c>
    </row>
    <row r="538" spans="1:10" ht="11.25" customHeight="1" x14ac:dyDescent="0.2">
      <c r="A538" s="64" t="s">
        <v>57</v>
      </c>
      <c r="B538" s="57">
        <v>0</v>
      </c>
      <c r="C538" s="57">
        <v>0</v>
      </c>
      <c r="D538" s="57">
        <v>123546.88755000001</v>
      </c>
      <c r="E538" s="57">
        <v>128038.47164537787</v>
      </c>
      <c r="F538" s="57">
        <v>375073.42841999995</v>
      </c>
      <c r="G538" s="57">
        <v>337713.84309779195</v>
      </c>
      <c r="H538" s="58">
        <v>3.6355299469281288E-2</v>
      </c>
      <c r="I538" s="58">
        <v>-9.9606057084837163E-2</v>
      </c>
      <c r="J538" s="58">
        <v>-6.5917894185458348E-2</v>
      </c>
    </row>
    <row r="539" spans="1:10" ht="11.25" customHeight="1" x14ac:dyDescent="0.2">
      <c r="A539" s="65" t="s">
        <v>25</v>
      </c>
      <c r="B539" s="57">
        <v>0</v>
      </c>
      <c r="C539" s="57">
        <v>0</v>
      </c>
      <c r="D539" s="57">
        <v>123546.88755000001</v>
      </c>
      <c r="E539" s="57">
        <v>128038.47164537787</v>
      </c>
      <c r="F539" s="57">
        <v>375073.42841999995</v>
      </c>
      <c r="G539" s="57">
        <v>337713.84309779195</v>
      </c>
      <c r="H539" s="58">
        <v>3.6355299469281288E-2</v>
      </c>
      <c r="I539" s="58">
        <v>-9.9606057084837163E-2</v>
      </c>
      <c r="J539" s="58">
        <v>-6.5917894185458348E-2</v>
      </c>
    </row>
    <row r="540" spans="1:10" ht="11.25" customHeight="1" x14ac:dyDescent="0.2">
      <c r="A540" s="66" t="s">
        <v>36</v>
      </c>
      <c r="B540" s="57">
        <v>0</v>
      </c>
      <c r="C540" s="57">
        <v>0</v>
      </c>
      <c r="D540" s="57">
        <v>123546.88755000001</v>
      </c>
      <c r="E540" s="57">
        <v>128038.47164537787</v>
      </c>
      <c r="F540" s="57">
        <v>375073.42841999995</v>
      </c>
      <c r="G540" s="57">
        <v>337713.84309779195</v>
      </c>
      <c r="H540" s="58">
        <v>3.6355299469281288E-2</v>
      </c>
      <c r="I540" s="58">
        <v>-9.9606057084837163E-2</v>
      </c>
      <c r="J540" s="58">
        <v>-6.5917894185458348E-2</v>
      </c>
    </row>
    <row r="541" spans="1:10" ht="11.25" customHeight="1" x14ac:dyDescent="0.2">
      <c r="A541" s="67">
        <v>43739</v>
      </c>
      <c r="B541" s="57">
        <v>0</v>
      </c>
      <c r="C541" s="57">
        <v>0</v>
      </c>
      <c r="D541" s="57">
        <v>11503.356750000001</v>
      </c>
      <c r="E541" s="57">
        <v>11921.56472954823</v>
      </c>
      <c r="F541" s="57">
        <v>34922.801699999996</v>
      </c>
      <c r="G541" s="57">
        <v>31444.279120307354</v>
      </c>
      <c r="H541" s="58">
        <v>3.6355299469281288E-2</v>
      </c>
      <c r="I541" s="58">
        <v>-9.9606057084837052E-2</v>
      </c>
      <c r="J541" s="58">
        <v>-6.5917894185458126E-2</v>
      </c>
    </row>
    <row r="542" spans="1:10" ht="11.25" customHeight="1" x14ac:dyDescent="0.2">
      <c r="A542" s="67">
        <v>43770</v>
      </c>
      <c r="B542" s="57">
        <v>0</v>
      </c>
      <c r="C542" s="57">
        <v>0</v>
      </c>
      <c r="D542" s="57">
        <v>14452.24941</v>
      </c>
      <c r="E542" s="57">
        <v>14977.665265305295</v>
      </c>
      <c r="F542" s="57">
        <v>43875.283644000003</v>
      </c>
      <c r="G542" s="57">
        <v>39505.039636742324</v>
      </c>
      <c r="H542" s="58">
        <v>3.6355299469281288E-2</v>
      </c>
      <c r="I542" s="58">
        <v>-9.9606057084836941E-2</v>
      </c>
      <c r="J542" s="58">
        <v>-6.5917894185458126E-2</v>
      </c>
    </row>
    <row r="543" spans="1:10" ht="11.25" customHeight="1" x14ac:dyDescent="0.2">
      <c r="A543" s="67">
        <v>43800</v>
      </c>
      <c r="B543" s="57">
        <v>0</v>
      </c>
      <c r="C543" s="57">
        <v>0</v>
      </c>
      <c r="D543" s="57">
        <v>3215.88978</v>
      </c>
      <c r="E543" s="57">
        <v>3332.8044160121012</v>
      </c>
      <c r="F543" s="57">
        <v>9763.052952</v>
      </c>
      <c r="G543" s="57">
        <v>8790.5937423407995</v>
      </c>
      <c r="H543" s="58">
        <v>3.6355299469281288E-2</v>
      </c>
      <c r="I543" s="58">
        <v>-9.9606057084837163E-2</v>
      </c>
      <c r="J543" s="58">
        <v>-6.5917894185458348E-2</v>
      </c>
    </row>
    <row r="544" spans="1:10" ht="11.25" customHeight="1" x14ac:dyDescent="0.2">
      <c r="A544" s="67">
        <v>43831</v>
      </c>
      <c r="B544" s="57">
        <v>0</v>
      </c>
      <c r="C544" s="57">
        <v>0</v>
      </c>
      <c r="D544" s="57">
        <v>4111.1611200000007</v>
      </c>
      <c r="E544" s="57">
        <v>4260.6236136840662</v>
      </c>
      <c r="F544" s="57">
        <v>12480.988608</v>
      </c>
      <c r="G544" s="57">
        <v>11237.806544236353</v>
      </c>
      <c r="H544" s="58">
        <v>3.6355299469281288E-2</v>
      </c>
      <c r="I544" s="58">
        <v>-9.960605708483683E-2</v>
      </c>
      <c r="J544" s="58">
        <v>-6.5917894185458126E-2</v>
      </c>
    </row>
    <row r="545" spans="1:10" ht="11.25" customHeight="1" x14ac:dyDescent="0.2">
      <c r="A545" s="67">
        <v>43862</v>
      </c>
      <c r="B545" s="57">
        <v>0</v>
      </c>
      <c r="C545" s="57">
        <v>0</v>
      </c>
      <c r="D545" s="57">
        <v>2765.26458</v>
      </c>
      <c r="E545" s="57">
        <v>2865.7966019176965</v>
      </c>
      <c r="F545" s="57">
        <v>8395.0092719999993</v>
      </c>
      <c r="G545" s="57">
        <v>7558.8154992254313</v>
      </c>
      <c r="H545" s="58">
        <v>3.6355299469281288E-2</v>
      </c>
      <c r="I545" s="58">
        <v>-9.9606057084837052E-2</v>
      </c>
      <c r="J545" s="58">
        <v>-6.5917894185458126E-2</v>
      </c>
    </row>
    <row r="546" spans="1:10" ht="11.25" customHeight="1" x14ac:dyDescent="0.2">
      <c r="A546" s="67">
        <v>43891</v>
      </c>
      <c r="B546" s="57">
        <v>0</v>
      </c>
      <c r="C546" s="57">
        <v>0</v>
      </c>
      <c r="D546" s="57">
        <v>1384.0172700000001</v>
      </c>
      <c r="E546" s="57">
        <v>1434.3336323215074</v>
      </c>
      <c r="F546" s="57">
        <v>4201.7092680000005</v>
      </c>
      <c r="G546" s="57">
        <v>3783.1935747977031</v>
      </c>
      <c r="H546" s="58">
        <v>3.635529946928151E-2</v>
      </c>
      <c r="I546" s="58">
        <v>-9.9606057084837163E-2</v>
      </c>
      <c r="J546" s="58">
        <v>-6.5917894185458348E-2</v>
      </c>
    </row>
    <row r="547" spans="1:10" ht="11.25" customHeight="1" x14ac:dyDescent="0.2">
      <c r="A547" s="67">
        <v>43922</v>
      </c>
      <c r="B547" s="57">
        <v>0</v>
      </c>
      <c r="C547" s="57">
        <v>0</v>
      </c>
      <c r="D547" s="57">
        <v>3680.34789</v>
      </c>
      <c r="E547" s="57">
        <v>3814.1480396920879</v>
      </c>
      <c r="F547" s="57">
        <v>11173.091675999998</v>
      </c>
      <c r="G547" s="57">
        <v>10060.184068706227</v>
      </c>
      <c r="H547" s="58">
        <v>3.6355299469281288E-2</v>
      </c>
      <c r="I547" s="58">
        <v>-9.960605708483683E-2</v>
      </c>
      <c r="J547" s="58">
        <v>-6.5917894185458015E-2</v>
      </c>
    </row>
    <row r="548" spans="1:10" ht="11.25" customHeight="1" x14ac:dyDescent="0.2">
      <c r="A548" s="67">
        <v>43952</v>
      </c>
      <c r="B548" s="57">
        <v>0</v>
      </c>
      <c r="C548" s="57">
        <v>0</v>
      </c>
      <c r="D548" s="57">
        <v>6949.1202599999997</v>
      </c>
      <c r="E548" s="57">
        <v>7201.7576081003499</v>
      </c>
      <c r="F548" s="57">
        <v>21096.689783999998</v>
      </c>
      <c r="G548" s="57">
        <v>18995.331697073798</v>
      </c>
      <c r="H548" s="58">
        <v>3.6355299469281288E-2</v>
      </c>
      <c r="I548" s="58">
        <v>-9.9606057084836941E-2</v>
      </c>
      <c r="J548" s="58">
        <v>-6.5917894185458126E-2</v>
      </c>
    </row>
    <row r="549" spans="1:10" ht="11.25" customHeight="1" x14ac:dyDescent="0.2">
      <c r="A549" s="67">
        <v>43983</v>
      </c>
      <c r="B549" s="57">
        <v>0</v>
      </c>
      <c r="C549" s="57">
        <v>0</v>
      </c>
      <c r="D549" s="57">
        <v>14538.08439</v>
      </c>
      <c r="E549" s="57">
        <v>15066.620801708135</v>
      </c>
      <c r="F549" s="57">
        <v>44135.868276000001</v>
      </c>
      <c r="G549" s="57">
        <v>39739.668461011897</v>
      </c>
      <c r="H549" s="58">
        <v>3.635529946928151E-2</v>
      </c>
      <c r="I549" s="58">
        <v>-9.9606057084837052E-2</v>
      </c>
      <c r="J549" s="58">
        <v>-6.5917894185458015E-2</v>
      </c>
    </row>
    <row r="550" spans="1:10" ht="11.25" customHeight="1" x14ac:dyDescent="0.2">
      <c r="A550" s="67">
        <v>44013</v>
      </c>
      <c r="B550" s="57">
        <v>0</v>
      </c>
      <c r="C550" s="57">
        <v>0</v>
      </c>
      <c r="D550" s="57">
        <v>20425.786380000001</v>
      </c>
      <c r="E550" s="57">
        <v>21168.371960740471</v>
      </c>
      <c r="F550" s="57">
        <v>62010.220392000003</v>
      </c>
      <c r="G550" s="57">
        <v>55833.626839791126</v>
      </c>
      <c r="H550" s="58">
        <v>3.635529946928151E-2</v>
      </c>
      <c r="I550" s="58">
        <v>-9.9606057084837052E-2</v>
      </c>
      <c r="J550" s="58">
        <v>-6.5917894185458237E-2</v>
      </c>
    </row>
    <row r="551" spans="1:10" ht="11.25" customHeight="1" x14ac:dyDescent="0.2">
      <c r="A551" s="67">
        <v>44044</v>
      </c>
      <c r="B551" s="57">
        <v>0</v>
      </c>
      <c r="C551" s="57">
        <v>0</v>
      </c>
      <c r="D551" s="57">
        <v>20260.80486</v>
      </c>
      <c r="E551" s="57">
        <v>20997.392488173973</v>
      </c>
      <c r="F551" s="57">
        <v>61509.356423999998</v>
      </c>
      <c r="G551" s="57">
        <v>55382.651956779468</v>
      </c>
      <c r="H551" s="58">
        <v>3.635529946928151E-2</v>
      </c>
      <c r="I551" s="58">
        <v>-9.9606057084837052E-2</v>
      </c>
      <c r="J551" s="58">
        <v>-6.5917894185458126E-2</v>
      </c>
    </row>
    <row r="552" spans="1:10" ht="11.25" customHeight="1" x14ac:dyDescent="0.2">
      <c r="A552" s="67">
        <v>44075</v>
      </c>
      <c r="B552" s="57">
        <v>0</v>
      </c>
      <c r="C552" s="57">
        <v>0</v>
      </c>
      <c r="D552" s="57">
        <v>20260.80486</v>
      </c>
      <c r="E552" s="57">
        <v>20997.392488173973</v>
      </c>
      <c r="F552" s="57">
        <v>61509.356423999998</v>
      </c>
      <c r="G552" s="57">
        <v>55382.651956779468</v>
      </c>
      <c r="H552" s="58">
        <v>3.635529946928151E-2</v>
      </c>
      <c r="I552" s="58">
        <v>-9.9606057084837052E-2</v>
      </c>
      <c r="J552" s="58">
        <v>-6.5917894185458126E-2</v>
      </c>
    </row>
    <row r="553" spans="1:10" ht="11.25" customHeight="1" x14ac:dyDescent="0.2">
      <c r="A553" s="64" t="s">
        <v>25</v>
      </c>
      <c r="B553" s="57">
        <v>1078729.1732000001</v>
      </c>
      <c r="C553" s="57">
        <v>1402269.1508278304</v>
      </c>
      <c r="D553" s="57">
        <v>1106001.2826700001</v>
      </c>
      <c r="E553" s="57">
        <v>1162140.7650591896</v>
      </c>
      <c r="F553" s="57">
        <v>3064201.2328063999</v>
      </c>
      <c r="G553" s="57">
        <v>2756620.8331547715</v>
      </c>
      <c r="H553" s="58">
        <v>0.17378778191922239</v>
      </c>
      <c r="I553" s="58">
        <v>-0.10037865540897417</v>
      </c>
      <c r="J553" s="58">
        <v>1.3735949454425578E-2</v>
      </c>
    </row>
    <row r="554" spans="1:10" ht="11.25" customHeight="1" x14ac:dyDescent="0.2">
      <c r="A554" s="65" t="s">
        <v>25</v>
      </c>
      <c r="B554" s="57">
        <v>1078729.1732000001</v>
      </c>
      <c r="C554" s="57">
        <v>1402269.1508278304</v>
      </c>
      <c r="D554" s="57">
        <v>1106001.2826700001</v>
      </c>
      <c r="E554" s="57">
        <v>1162140.7650591896</v>
      </c>
      <c r="F554" s="57">
        <v>3064201.2328063999</v>
      </c>
      <c r="G554" s="57">
        <v>2756620.8331547715</v>
      </c>
      <c r="H554" s="58">
        <v>0.17378778191922239</v>
      </c>
      <c r="I554" s="58">
        <v>-0.10037865540897417</v>
      </c>
      <c r="J554" s="58">
        <v>1.3735949454425578E-2</v>
      </c>
    </row>
    <row r="555" spans="1:10" ht="11.25" customHeight="1" x14ac:dyDescent="0.2">
      <c r="A555" s="66" t="s">
        <v>36</v>
      </c>
      <c r="B555" s="57">
        <v>0</v>
      </c>
      <c r="C555" s="57">
        <v>0</v>
      </c>
      <c r="D555" s="57">
        <v>981892.03266600019</v>
      </c>
      <c r="E555" s="57">
        <v>1017589.0115600741</v>
      </c>
      <c r="F555" s="57">
        <v>2980905.6167544005</v>
      </c>
      <c r="G555" s="57">
        <v>2683989.3617274496</v>
      </c>
      <c r="H555" s="58">
        <v>3.6355299469281066E-2</v>
      </c>
      <c r="I555" s="58">
        <v>-9.9606057084837052E-2</v>
      </c>
      <c r="J555" s="58">
        <v>-6.5917894185458237E-2</v>
      </c>
    </row>
    <row r="556" spans="1:10" ht="11.25" customHeight="1" x14ac:dyDescent="0.2">
      <c r="A556" s="67">
        <v>43739</v>
      </c>
      <c r="B556" s="57">
        <v>0</v>
      </c>
      <c r="C556" s="57">
        <v>0</v>
      </c>
      <c r="D556" s="57">
        <v>74435.669028000004</v>
      </c>
      <c r="E556" s="57">
        <v>77141.800066709256</v>
      </c>
      <c r="F556" s="57">
        <v>225977.70071520002</v>
      </c>
      <c r="G556" s="57">
        <v>203468.95295786159</v>
      </c>
      <c r="H556" s="58">
        <v>3.6355299469281288E-2</v>
      </c>
      <c r="I556" s="58">
        <v>-9.9606057084837052E-2</v>
      </c>
      <c r="J556" s="58">
        <v>-6.5917894185458015E-2</v>
      </c>
    </row>
    <row r="557" spans="1:10" ht="11.25" customHeight="1" x14ac:dyDescent="0.2">
      <c r="A557" s="67">
        <v>43770</v>
      </c>
      <c r="B557" s="57">
        <v>0</v>
      </c>
      <c r="C557" s="57">
        <v>0</v>
      </c>
      <c r="D557" s="57">
        <v>96013.934423999992</v>
      </c>
      <c r="E557" s="57">
        <v>99504.549763208459</v>
      </c>
      <c r="F557" s="57">
        <v>291486.70820159995</v>
      </c>
      <c r="G557" s="57">
        <v>262452.86650500016</v>
      </c>
      <c r="H557" s="58">
        <v>3.635529946928151E-2</v>
      </c>
      <c r="I557" s="58">
        <v>-9.9606057084837052E-2</v>
      </c>
      <c r="J557" s="58">
        <v>-6.5917894185458015E-2</v>
      </c>
    </row>
    <row r="558" spans="1:10" ht="11.25" customHeight="1" x14ac:dyDescent="0.2">
      <c r="A558" s="67">
        <v>43800</v>
      </c>
      <c r="B558" s="57">
        <v>0</v>
      </c>
      <c r="C558" s="57">
        <v>0</v>
      </c>
      <c r="D558" s="57">
        <v>26642.593398000001</v>
      </c>
      <c r="E558" s="57">
        <v>27611.192859622588</v>
      </c>
      <c r="F558" s="57">
        <v>80883.695623199994</v>
      </c>
      <c r="G558" s="57">
        <v>72827.189619722951</v>
      </c>
      <c r="H558" s="58">
        <v>3.6355299469281288E-2</v>
      </c>
      <c r="I558" s="58">
        <v>-9.9606057084837052E-2</v>
      </c>
      <c r="J558" s="58">
        <v>-6.5917894185458126E-2</v>
      </c>
    </row>
    <row r="559" spans="1:10" ht="11.25" customHeight="1" x14ac:dyDescent="0.2">
      <c r="A559" s="67">
        <v>43831</v>
      </c>
      <c r="B559" s="57">
        <v>0</v>
      </c>
      <c r="C559" s="57">
        <v>0</v>
      </c>
      <c r="D559" s="57">
        <v>26436.238134000007</v>
      </c>
      <c r="E559" s="57">
        <v>27397.335488202811</v>
      </c>
      <c r="F559" s="57">
        <v>80257.22596560001</v>
      </c>
      <c r="G559" s="57">
        <v>72263.120134599798</v>
      </c>
      <c r="H559" s="58">
        <v>3.6355299469281288E-2</v>
      </c>
      <c r="I559" s="58">
        <v>-9.9606057084836941E-2</v>
      </c>
      <c r="J559" s="58">
        <v>-6.5917894185458126E-2</v>
      </c>
    </row>
    <row r="560" spans="1:10" ht="11.25" customHeight="1" x14ac:dyDescent="0.2">
      <c r="A560" s="67">
        <v>43862</v>
      </c>
      <c r="B560" s="57">
        <v>0</v>
      </c>
      <c r="C560" s="57">
        <v>0</v>
      </c>
      <c r="D560" s="57">
        <v>24473.221530000003</v>
      </c>
      <c r="E560" s="57">
        <v>25362.952827701214</v>
      </c>
      <c r="F560" s="57">
        <v>74297.744652000009</v>
      </c>
      <c r="G560" s="57">
        <v>66897.239256918256</v>
      </c>
      <c r="H560" s="58">
        <v>3.6355299469281288E-2</v>
      </c>
      <c r="I560" s="58">
        <v>-9.9606057084836941E-2</v>
      </c>
      <c r="J560" s="58">
        <v>-6.5917894185458126E-2</v>
      </c>
    </row>
    <row r="561" spans="1:10" ht="11.25" customHeight="1" x14ac:dyDescent="0.2">
      <c r="A561" s="67">
        <v>43891</v>
      </c>
      <c r="B561" s="57">
        <v>0</v>
      </c>
      <c r="C561" s="57">
        <v>0</v>
      </c>
      <c r="D561" s="57">
        <v>11394.213570000002</v>
      </c>
      <c r="E561" s="57">
        <v>11808.4536165543</v>
      </c>
      <c r="F561" s="57">
        <v>34591.456188000004</v>
      </c>
      <c r="G561" s="57">
        <v>31145.937628290434</v>
      </c>
      <c r="H561" s="58">
        <v>3.6355299469281288E-2</v>
      </c>
      <c r="I561" s="58">
        <v>-9.9606057084837052E-2</v>
      </c>
      <c r="J561" s="58">
        <v>-6.5917894185458126E-2</v>
      </c>
    </row>
    <row r="562" spans="1:10" ht="11.25" customHeight="1" x14ac:dyDescent="0.2">
      <c r="A562" s="67">
        <v>43922</v>
      </c>
      <c r="B562" s="57">
        <v>0</v>
      </c>
      <c r="C562" s="57">
        <v>0</v>
      </c>
      <c r="D562" s="57">
        <v>27340.518600000007</v>
      </c>
      <c r="E562" s="57">
        <v>28334.491341348461</v>
      </c>
      <c r="F562" s="57">
        <v>83002.512240000011</v>
      </c>
      <c r="G562" s="57">
        <v>74734.959267637692</v>
      </c>
      <c r="H562" s="58">
        <v>3.6355299469281288E-2</v>
      </c>
      <c r="I562" s="58">
        <v>-9.9606057084836941E-2</v>
      </c>
      <c r="J562" s="58">
        <v>-6.5917894185458126E-2</v>
      </c>
    </row>
    <row r="563" spans="1:10" ht="11.25" customHeight="1" x14ac:dyDescent="0.2">
      <c r="A563" s="67">
        <v>43952</v>
      </c>
      <c r="B563" s="57">
        <v>0</v>
      </c>
      <c r="C563" s="57">
        <v>0</v>
      </c>
      <c r="D563" s="57">
        <v>56168.566524000002</v>
      </c>
      <c r="E563" s="57">
        <v>58210.591580740271</v>
      </c>
      <c r="F563" s="57">
        <v>170520.98384159998</v>
      </c>
      <c r="G563" s="57">
        <v>153536.06099091101</v>
      </c>
      <c r="H563" s="58">
        <v>3.6355299469281288E-2</v>
      </c>
      <c r="I563" s="58">
        <v>-9.9606057084837052E-2</v>
      </c>
      <c r="J563" s="58">
        <v>-6.5917894185458126E-2</v>
      </c>
    </row>
    <row r="564" spans="1:10" ht="11.25" customHeight="1" x14ac:dyDescent="0.2">
      <c r="A564" s="67">
        <v>43983</v>
      </c>
      <c r="B564" s="57">
        <v>0</v>
      </c>
      <c r="C564" s="57">
        <v>0</v>
      </c>
      <c r="D564" s="57">
        <v>152898.76193400001</v>
      </c>
      <c r="E564" s="57">
        <v>158457.44221259293</v>
      </c>
      <c r="F564" s="57">
        <v>464182.17388560006</v>
      </c>
      <c r="G564" s="57">
        <v>417946.8177757872</v>
      </c>
      <c r="H564" s="58">
        <v>3.6355299469281288E-2</v>
      </c>
      <c r="I564" s="58">
        <v>-9.9606057084837052E-2</v>
      </c>
      <c r="J564" s="58">
        <v>-6.5917894185458126E-2</v>
      </c>
    </row>
    <row r="565" spans="1:10" ht="11.25" customHeight="1" x14ac:dyDescent="0.2">
      <c r="A565" s="67">
        <v>44013</v>
      </c>
      <c r="B565" s="57">
        <v>0</v>
      </c>
      <c r="C565" s="57">
        <v>0</v>
      </c>
      <c r="D565" s="57">
        <v>157401.98386800001</v>
      </c>
      <c r="E565" s="57">
        <v>163124.38012858017</v>
      </c>
      <c r="F565" s="57">
        <v>477853.41177120007</v>
      </c>
      <c r="G565" s="57">
        <v>430256.31756013382</v>
      </c>
      <c r="H565" s="58">
        <v>3.635529946928151E-2</v>
      </c>
      <c r="I565" s="58">
        <v>-9.9606057084836941E-2</v>
      </c>
      <c r="J565" s="58">
        <v>-6.5917894185458015E-2</v>
      </c>
    </row>
    <row r="566" spans="1:10" ht="11.25" customHeight="1" x14ac:dyDescent="0.2">
      <c r="A566" s="67">
        <v>44044</v>
      </c>
      <c r="B566" s="57">
        <v>0</v>
      </c>
      <c r="C566" s="57">
        <v>0</v>
      </c>
      <c r="D566" s="57">
        <v>164343.16582800003</v>
      </c>
      <c r="E566" s="57">
        <v>170317.91083740673</v>
      </c>
      <c r="F566" s="57">
        <v>498926.00183520006</v>
      </c>
      <c r="G566" s="57">
        <v>449229.95001529361</v>
      </c>
      <c r="H566" s="58">
        <v>3.6355299469281288E-2</v>
      </c>
      <c r="I566" s="58">
        <v>-9.9606057084837052E-2</v>
      </c>
      <c r="J566" s="58">
        <v>-6.5917894185458237E-2</v>
      </c>
    </row>
    <row r="567" spans="1:10" ht="11.25" customHeight="1" x14ac:dyDescent="0.2">
      <c r="A567" s="67">
        <v>44075</v>
      </c>
      <c r="B567" s="57">
        <v>0</v>
      </c>
      <c r="C567" s="57">
        <v>0</v>
      </c>
      <c r="D567" s="57">
        <v>164343.16582800003</v>
      </c>
      <c r="E567" s="57">
        <v>170317.91083740673</v>
      </c>
      <c r="F567" s="57">
        <v>498926.00183520006</v>
      </c>
      <c r="G567" s="57">
        <v>449229.95001529361</v>
      </c>
      <c r="H567" s="58">
        <v>3.6355299469281288E-2</v>
      </c>
      <c r="I567" s="58">
        <v>-9.9606057084837052E-2</v>
      </c>
      <c r="J567" s="58">
        <v>-6.5917894185458237E-2</v>
      </c>
    </row>
    <row r="568" spans="1:10" ht="11.25" customHeight="1" x14ac:dyDescent="0.2">
      <c r="A568" s="66" t="s">
        <v>25</v>
      </c>
      <c r="B568" s="57">
        <v>1078729.1732000001</v>
      </c>
      <c r="C568" s="57">
        <v>1402269.1508278304</v>
      </c>
      <c r="D568" s="57">
        <v>0</v>
      </c>
      <c r="E568" s="57">
        <v>0</v>
      </c>
      <c r="F568" s="57">
        <v>0</v>
      </c>
      <c r="G568" s="57">
        <v>0</v>
      </c>
      <c r="H568" s="58">
        <v>0.2999269748755049</v>
      </c>
      <c r="I568" s="58">
        <v>0</v>
      </c>
      <c r="J568" s="58">
        <v>0.2999269748755049</v>
      </c>
    </row>
    <row r="569" spans="1:10" ht="11.25" customHeight="1" x14ac:dyDescent="0.2">
      <c r="A569" s="67">
        <v>43739</v>
      </c>
      <c r="B569" s="57">
        <v>68999.567600000009</v>
      </c>
      <c r="C569" s="57">
        <v>89694.399177985877</v>
      </c>
      <c r="D569" s="57">
        <v>0</v>
      </c>
      <c r="E569" s="57">
        <v>0</v>
      </c>
      <c r="F569" s="57">
        <v>0</v>
      </c>
      <c r="G569" s="57">
        <v>0</v>
      </c>
      <c r="H569" s="58">
        <v>0.29992697487550446</v>
      </c>
      <c r="I569" s="58">
        <v>0</v>
      </c>
      <c r="J569" s="58">
        <v>0.29992697487550446</v>
      </c>
    </row>
    <row r="570" spans="1:10" ht="11.25" customHeight="1" x14ac:dyDescent="0.2">
      <c r="A570" s="67">
        <v>43770</v>
      </c>
      <c r="B570" s="57">
        <v>92707.277600000001</v>
      </c>
      <c r="C570" s="57">
        <v>120512.69091951162</v>
      </c>
      <c r="D570" s="57">
        <v>0</v>
      </c>
      <c r="E570" s="57">
        <v>0</v>
      </c>
      <c r="F570" s="57">
        <v>0</v>
      </c>
      <c r="G570" s="57">
        <v>0</v>
      </c>
      <c r="H570" s="58">
        <v>0.29992697487550446</v>
      </c>
      <c r="I570" s="58">
        <v>0</v>
      </c>
      <c r="J570" s="58">
        <v>0.29992697487550446</v>
      </c>
    </row>
    <row r="571" spans="1:10" ht="11.25" customHeight="1" x14ac:dyDescent="0.2">
      <c r="A571" s="67">
        <v>43800</v>
      </c>
      <c r="B571" s="57">
        <v>63098.982000000011</v>
      </c>
      <c r="C571" s="57">
        <v>82024.068788983917</v>
      </c>
      <c r="D571" s="57">
        <v>0</v>
      </c>
      <c r="E571" s="57">
        <v>0</v>
      </c>
      <c r="F571" s="57">
        <v>0</v>
      </c>
      <c r="G571" s="57">
        <v>0</v>
      </c>
      <c r="H571" s="58">
        <v>0.29992697487550446</v>
      </c>
      <c r="I571" s="58">
        <v>0</v>
      </c>
      <c r="J571" s="58">
        <v>0.29992697487550446</v>
      </c>
    </row>
    <row r="572" spans="1:10" ht="11.25" customHeight="1" x14ac:dyDescent="0.2">
      <c r="A572" s="67">
        <v>43831</v>
      </c>
      <c r="B572" s="57">
        <v>85744.910800000012</v>
      </c>
      <c r="C572" s="57">
        <v>111462.12250721399</v>
      </c>
      <c r="D572" s="57">
        <v>0</v>
      </c>
      <c r="E572" s="57">
        <v>0</v>
      </c>
      <c r="F572" s="57">
        <v>0</v>
      </c>
      <c r="G572" s="57">
        <v>0</v>
      </c>
      <c r="H572" s="58">
        <v>0.29992697487550446</v>
      </c>
      <c r="I572" s="58">
        <v>0</v>
      </c>
      <c r="J572" s="58">
        <v>0.29992697487550446</v>
      </c>
    </row>
    <row r="573" spans="1:10" ht="11.25" customHeight="1" x14ac:dyDescent="0.2">
      <c r="A573" s="67">
        <v>43862</v>
      </c>
      <c r="B573" s="57">
        <v>80176.638399999996</v>
      </c>
      <c r="C573" s="57">
        <v>104223.77501099922</v>
      </c>
      <c r="D573" s="57">
        <v>0</v>
      </c>
      <c r="E573" s="57">
        <v>0</v>
      </c>
      <c r="F573" s="57">
        <v>0</v>
      </c>
      <c r="G573" s="57">
        <v>0</v>
      </c>
      <c r="H573" s="58">
        <v>0.29992697487550468</v>
      </c>
      <c r="I573" s="58">
        <v>0</v>
      </c>
      <c r="J573" s="58">
        <v>0.29992697487550468</v>
      </c>
    </row>
    <row r="574" spans="1:10" ht="11.25" customHeight="1" x14ac:dyDescent="0.2">
      <c r="A574" s="67">
        <v>43891</v>
      </c>
      <c r="B574" s="57">
        <v>49417.404400000014</v>
      </c>
      <c r="C574" s="57">
        <v>64239.017007891453</v>
      </c>
      <c r="D574" s="57">
        <v>0</v>
      </c>
      <c r="E574" s="57">
        <v>0</v>
      </c>
      <c r="F574" s="57">
        <v>0</v>
      </c>
      <c r="G574" s="57">
        <v>0</v>
      </c>
      <c r="H574" s="58">
        <v>0.29992697487550424</v>
      </c>
      <c r="I574" s="58">
        <v>0</v>
      </c>
      <c r="J574" s="58">
        <v>0.29992697487550424</v>
      </c>
    </row>
    <row r="575" spans="1:10" ht="11.25" customHeight="1" x14ac:dyDescent="0.2">
      <c r="A575" s="67">
        <v>43922</v>
      </c>
      <c r="B575" s="57">
        <v>71017.762400000007</v>
      </c>
      <c r="C575" s="57">
        <v>92317.905039059362</v>
      </c>
      <c r="D575" s="57">
        <v>0</v>
      </c>
      <c r="E575" s="57">
        <v>0</v>
      </c>
      <c r="F575" s="57">
        <v>0</v>
      </c>
      <c r="G575" s="57">
        <v>0</v>
      </c>
      <c r="H575" s="58">
        <v>0.29992697487550446</v>
      </c>
      <c r="I575" s="58">
        <v>0</v>
      </c>
      <c r="J575" s="58">
        <v>0.29992697487550446</v>
      </c>
    </row>
    <row r="576" spans="1:10" ht="11.25" customHeight="1" x14ac:dyDescent="0.2">
      <c r="A576" s="67">
        <v>43952</v>
      </c>
      <c r="B576" s="57">
        <v>102952.2504</v>
      </c>
      <c r="C576" s="57">
        <v>133830.40741909746</v>
      </c>
      <c r="D576" s="57">
        <v>0</v>
      </c>
      <c r="E576" s="57">
        <v>0</v>
      </c>
      <c r="F576" s="57">
        <v>0</v>
      </c>
      <c r="G576" s="57">
        <v>0</v>
      </c>
      <c r="H576" s="58">
        <v>0.29992697487550468</v>
      </c>
      <c r="I576" s="58">
        <v>0</v>
      </c>
      <c r="J576" s="58">
        <v>0.29992697487550468</v>
      </c>
    </row>
    <row r="577" spans="1:10" ht="11.25" customHeight="1" x14ac:dyDescent="0.2">
      <c r="A577" s="67">
        <v>43983</v>
      </c>
      <c r="B577" s="57">
        <v>123020.72560000001</v>
      </c>
      <c r="C577" s="57">
        <v>159917.95967619753</v>
      </c>
      <c r="D577" s="57">
        <v>0</v>
      </c>
      <c r="E577" s="57">
        <v>0</v>
      </c>
      <c r="F577" s="57">
        <v>0</v>
      </c>
      <c r="G577" s="57">
        <v>0</v>
      </c>
      <c r="H577" s="58">
        <v>0.29992697487550446</v>
      </c>
      <c r="I577" s="58">
        <v>0</v>
      </c>
      <c r="J577" s="58">
        <v>0.29992697487550446</v>
      </c>
    </row>
    <row r="578" spans="1:10" ht="11.25" customHeight="1" x14ac:dyDescent="0.2">
      <c r="A578" s="67">
        <v>44013</v>
      </c>
      <c r="B578" s="57">
        <v>123515.1428</v>
      </c>
      <c r="C578" s="57">
        <v>160560.66593131996</v>
      </c>
      <c r="D578" s="57">
        <v>0</v>
      </c>
      <c r="E578" s="57">
        <v>0</v>
      </c>
      <c r="F578" s="57">
        <v>0</v>
      </c>
      <c r="G578" s="57">
        <v>0</v>
      </c>
      <c r="H578" s="58">
        <v>0.29992697487550468</v>
      </c>
      <c r="I578" s="58">
        <v>0</v>
      </c>
      <c r="J578" s="58">
        <v>0.29992697487550468</v>
      </c>
    </row>
    <row r="579" spans="1:10" ht="11.25" customHeight="1" x14ac:dyDescent="0.2">
      <c r="A579" s="67">
        <v>44044</v>
      </c>
      <c r="B579" s="57">
        <v>109039.2556</v>
      </c>
      <c r="C579" s="57">
        <v>141743.06967478493</v>
      </c>
      <c r="D579" s="57">
        <v>0</v>
      </c>
      <c r="E579" s="57">
        <v>0</v>
      </c>
      <c r="F579" s="57">
        <v>0</v>
      </c>
      <c r="G579" s="57">
        <v>0</v>
      </c>
      <c r="H579" s="58">
        <v>0.29992697487550468</v>
      </c>
      <c r="I579" s="58">
        <v>0</v>
      </c>
      <c r="J579" s="58">
        <v>0.29992697487550468</v>
      </c>
    </row>
    <row r="580" spans="1:10" ht="11.25" customHeight="1" x14ac:dyDescent="0.2">
      <c r="A580" s="67">
        <v>44075</v>
      </c>
      <c r="B580" s="57">
        <v>109039.2556</v>
      </c>
      <c r="C580" s="57">
        <v>141743.06967478493</v>
      </c>
      <c r="D580" s="57">
        <v>0</v>
      </c>
      <c r="E580" s="57">
        <v>0</v>
      </c>
      <c r="F580" s="57">
        <v>0</v>
      </c>
      <c r="G580" s="57">
        <v>0</v>
      </c>
      <c r="H580" s="58">
        <v>0.29992697487550468</v>
      </c>
      <c r="I580" s="58">
        <v>0</v>
      </c>
      <c r="J580" s="58">
        <v>0.29992697487550468</v>
      </c>
    </row>
    <row r="581" spans="1:10" ht="11.25" customHeight="1" x14ac:dyDescent="0.2">
      <c r="A581" s="66" t="s">
        <v>35</v>
      </c>
      <c r="B581" s="57">
        <v>0</v>
      </c>
      <c r="C581" s="57">
        <v>0</v>
      </c>
      <c r="D581" s="57">
        <v>124109.25000400002</v>
      </c>
      <c r="E581" s="57">
        <v>144551.75349911561</v>
      </c>
      <c r="F581" s="57">
        <v>83295.616051999998</v>
      </c>
      <c r="G581" s="57">
        <v>72631.471427322394</v>
      </c>
      <c r="H581" s="58">
        <v>0.16471377834010559</v>
      </c>
      <c r="I581" s="58">
        <v>-0.1280276817692324</v>
      </c>
      <c r="J581" s="58">
        <v>4.7146236519820972E-2</v>
      </c>
    </row>
    <row r="582" spans="1:10" ht="11.25" customHeight="1" x14ac:dyDescent="0.2">
      <c r="A582" s="67">
        <v>43739</v>
      </c>
      <c r="B582" s="57">
        <v>0</v>
      </c>
      <c r="C582" s="57">
        <v>0</v>
      </c>
      <c r="D582" s="57">
        <v>-104.54165159999999</v>
      </c>
      <c r="E582" s="57">
        <v>-121.76110202895092</v>
      </c>
      <c r="F582" s="57">
        <v>-70.162870799999993</v>
      </c>
      <c r="G582" s="57">
        <v>-61.180081105201836</v>
      </c>
      <c r="H582" s="58">
        <v>0.16471377834010537</v>
      </c>
      <c r="I582" s="58">
        <v>-0.12802768176923229</v>
      </c>
      <c r="J582" s="58">
        <v>4.7146236519821194E-2</v>
      </c>
    </row>
    <row r="583" spans="1:10" ht="11.25" customHeight="1" x14ac:dyDescent="0.2">
      <c r="A583" s="67">
        <v>43770</v>
      </c>
      <c r="B583" s="57">
        <v>0</v>
      </c>
      <c r="C583" s="57">
        <v>0</v>
      </c>
      <c r="D583" s="57">
        <v>9718.8298140000006</v>
      </c>
      <c r="E583" s="57">
        <v>11319.654993708404</v>
      </c>
      <c r="F583" s="57">
        <v>6522.7685819999997</v>
      </c>
      <c r="G583" s="57">
        <v>5687.6736417293578</v>
      </c>
      <c r="H583" s="58">
        <v>0.16471377834010537</v>
      </c>
      <c r="I583" s="58">
        <v>-0.12802768176923218</v>
      </c>
      <c r="J583" s="58">
        <v>4.7146236519820972E-2</v>
      </c>
    </row>
    <row r="584" spans="1:10" ht="11.25" customHeight="1" x14ac:dyDescent="0.2">
      <c r="A584" s="67">
        <v>43800</v>
      </c>
      <c r="B584" s="57">
        <v>0</v>
      </c>
      <c r="C584" s="57">
        <v>0</v>
      </c>
      <c r="D584" s="57">
        <v>13117.910068000003</v>
      </c>
      <c r="E584" s="57">
        <v>15278.610599225991</v>
      </c>
      <c r="F584" s="57">
        <v>8804.0528840000006</v>
      </c>
      <c r="G584" s="57">
        <v>7676.8904030877575</v>
      </c>
      <c r="H584" s="58">
        <v>0.16471377834010537</v>
      </c>
      <c r="I584" s="58">
        <v>-0.12802768176923218</v>
      </c>
      <c r="J584" s="58">
        <v>4.7146236519820972E-2</v>
      </c>
    </row>
    <row r="585" spans="1:10" ht="11.25" customHeight="1" x14ac:dyDescent="0.2">
      <c r="A585" s="67">
        <v>43831</v>
      </c>
      <c r="B585" s="57">
        <v>0</v>
      </c>
      <c r="C585" s="57">
        <v>0</v>
      </c>
      <c r="D585" s="57">
        <v>2112.0957408000004</v>
      </c>
      <c r="E585" s="57">
        <v>2459.9870104832121</v>
      </c>
      <c r="F585" s="57">
        <v>1417.5278304000001</v>
      </c>
      <c r="G585" s="57">
        <v>1236.0450284305186</v>
      </c>
      <c r="H585" s="58">
        <v>0.16471377834010537</v>
      </c>
      <c r="I585" s="58">
        <v>-0.12802768176923229</v>
      </c>
      <c r="J585" s="58">
        <v>4.714623651982075E-2</v>
      </c>
    </row>
    <row r="586" spans="1:10" ht="11.25" customHeight="1" x14ac:dyDescent="0.2">
      <c r="A586" s="67">
        <v>43862</v>
      </c>
      <c r="B586" s="57">
        <v>0</v>
      </c>
      <c r="C586" s="57">
        <v>0</v>
      </c>
      <c r="D586" s="57">
        <v>5543.0700580000002</v>
      </c>
      <c r="E586" s="57">
        <v>6456.090070857088</v>
      </c>
      <c r="F586" s="57">
        <v>3720.2177540000002</v>
      </c>
      <c r="G586" s="57">
        <v>3243.9268992786406</v>
      </c>
      <c r="H586" s="58">
        <v>0.16471377834010559</v>
      </c>
      <c r="I586" s="58">
        <v>-0.12802768176923218</v>
      </c>
      <c r="J586" s="58">
        <v>4.7146236519820972E-2</v>
      </c>
    </row>
    <row r="587" spans="1:10" ht="11.25" customHeight="1" x14ac:dyDescent="0.2">
      <c r="A587" s="67">
        <v>43891</v>
      </c>
      <c r="B587" s="57">
        <v>0</v>
      </c>
      <c r="C587" s="57">
        <v>0</v>
      </c>
      <c r="D587" s="57">
        <v>3386.0863764000001</v>
      </c>
      <c r="E587" s="57">
        <v>3943.8214572428005</v>
      </c>
      <c r="F587" s="57">
        <v>2272.5634931999998</v>
      </c>
      <c r="G587" s="57">
        <v>1981.6124574922155</v>
      </c>
      <c r="H587" s="58">
        <v>0.16471377834010537</v>
      </c>
      <c r="I587" s="58">
        <v>-0.12802768176923218</v>
      </c>
      <c r="J587" s="58">
        <v>4.7146236519821194E-2</v>
      </c>
    </row>
    <row r="588" spans="1:10" ht="11.25" customHeight="1" x14ac:dyDescent="0.2">
      <c r="A588" s="67">
        <v>43922</v>
      </c>
      <c r="B588" s="57">
        <v>0</v>
      </c>
      <c r="C588" s="57">
        <v>0</v>
      </c>
      <c r="D588" s="57">
        <v>4572.0730228000002</v>
      </c>
      <c r="E588" s="57">
        <v>5325.1564452322555</v>
      </c>
      <c r="F588" s="57">
        <v>3068.5354964000003</v>
      </c>
      <c r="G588" s="57">
        <v>2675.6780103693077</v>
      </c>
      <c r="H588" s="58">
        <v>0.16471377834010537</v>
      </c>
      <c r="I588" s="58">
        <v>-0.12802768176923229</v>
      </c>
      <c r="J588" s="58">
        <v>4.7146236519820972E-2</v>
      </c>
    </row>
    <row r="589" spans="1:10" ht="11.25" customHeight="1" x14ac:dyDescent="0.2">
      <c r="A589" s="67">
        <v>43952</v>
      </c>
      <c r="B589" s="57">
        <v>0</v>
      </c>
      <c r="C589" s="57">
        <v>0</v>
      </c>
      <c r="D589" s="57">
        <v>9054.9607948000012</v>
      </c>
      <c r="E589" s="57">
        <v>10546.437600033034</v>
      </c>
      <c r="F589" s="57">
        <v>6077.2145324000012</v>
      </c>
      <c r="G589" s="57">
        <v>5299.1628442025394</v>
      </c>
      <c r="H589" s="58">
        <v>0.16471377834010559</v>
      </c>
      <c r="I589" s="58">
        <v>-0.1280276817692324</v>
      </c>
      <c r="J589" s="58">
        <v>4.7146236519820972E-2</v>
      </c>
    </row>
    <row r="590" spans="1:10" ht="11.25" customHeight="1" x14ac:dyDescent="0.2">
      <c r="A590" s="67">
        <v>43983</v>
      </c>
      <c r="B590" s="57">
        <v>0</v>
      </c>
      <c r="C590" s="57">
        <v>0</v>
      </c>
      <c r="D590" s="57">
        <v>20750.041265599997</v>
      </c>
      <c r="E590" s="57">
        <v>24167.858963170082</v>
      </c>
      <c r="F590" s="57">
        <v>13926.3388528</v>
      </c>
      <c r="G590" s="57">
        <v>12143.381973943226</v>
      </c>
      <c r="H590" s="58">
        <v>0.16471377834010581</v>
      </c>
      <c r="I590" s="58">
        <v>-0.12802768176923229</v>
      </c>
      <c r="J590" s="58">
        <v>4.7146236519821194E-2</v>
      </c>
    </row>
    <row r="591" spans="1:10" ht="11.25" customHeight="1" x14ac:dyDescent="0.2">
      <c r="A591" s="67">
        <v>44013</v>
      </c>
      <c r="B591" s="57">
        <v>0</v>
      </c>
      <c r="C591" s="57">
        <v>0</v>
      </c>
      <c r="D591" s="57">
        <v>18734.808976</v>
      </c>
      <c r="E591" s="57">
        <v>21820.690148917085</v>
      </c>
      <c r="F591" s="57">
        <v>12573.820688000002</v>
      </c>
      <c r="G591" s="57">
        <v>10964.023574333347</v>
      </c>
      <c r="H591" s="58">
        <v>0.16471377834010559</v>
      </c>
      <c r="I591" s="58">
        <v>-0.1280276817692324</v>
      </c>
      <c r="J591" s="58">
        <v>4.7146236519821194E-2</v>
      </c>
    </row>
    <row r="592" spans="1:10" ht="11.25" customHeight="1" x14ac:dyDescent="0.2">
      <c r="A592" s="67">
        <v>44044</v>
      </c>
      <c r="B592" s="57">
        <v>0</v>
      </c>
      <c r="C592" s="57">
        <v>0</v>
      </c>
      <c r="D592" s="57">
        <v>18611.957769600001</v>
      </c>
      <c r="E592" s="57">
        <v>21677.603656137297</v>
      </c>
      <c r="F592" s="57">
        <v>12491.3694048</v>
      </c>
      <c r="G592" s="57">
        <v>10892.128337780341</v>
      </c>
      <c r="H592" s="58">
        <v>0.16471377834010537</v>
      </c>
      <c r="I592" s="58">
        <v>-0.12802768176923229</v>
      </c>
      <c r="J592" s="58">
        <v>4.7146236519820972E-2</v>
      </c>
    </row>
    <row r="593" spans="1:10" ht="11.25" customHeight="1" x14ac:dyDescent="0.2">
      <c r="A593" s="67">
        <v>44075</v>
      </c>
      <c r="B593" s="57">
        <v>0</v>
      </c>
      <c r="C593" s="57">
        <v>0</v>
      </c>
      <c r="D593" s="57">
        <v>18611.957769600001</v>
      </c>
      <c r="E593" s="57">
        <v>21677.603656137297</v>
      </c>
      <c r="F593" s="57">
        <v>12491.3694048</v>
      </c>
      <c r="G593" s="57">
        <v>10892.128337780341</v>
      </c>
      <c r="H593" s="58">
        <v>0.16471377834010537</v>
      </c>
      <c r="I593" s="58">
        <v>-0.12802768176923229</v>
      </c>
      <c r="J593" s="58">
        <v>4.7146236519820972E-2</v>
      </c>
    </row>
    <row r="594" spans="1:10" ht="11.25" customHeight="1" x14ac:dyDescent="0.2">
      <c r="A594" s="63" t="s">
        <v>25</v>
      </c>
      <c r="B594" s="57">
        <v>772887.55640000023</v>
      </c>
      <c r="C594" s="57">
        <v>1004697.383109973</v>
      </c>
      <c r="D594" s="57">
        <v>3080079.0706083998</v>
      </c>
      <c r="E594" s="57">
        <v>3349696.3986254423</v>
      </c>
      <c r="F594" s="57">
        <v>6446564.249946801</v>
      </c>
      <c r="G594" s="57">
        <v>5781020.8109945673</v>
      </c>
      <c r="H594" s="58">
        <v>0.13014053929565028</v>
      </c>
      <c r="I594" s="58">
        <v>-0.10324002261479381</v>
      </c>
      <c r="J594" s="58">
        <v>-1.5934345572225617E-2</v>
      </c>
    </row>
    <row r="595" spans="1:10" ht="11.25" customHeight="1" x14ac:dyDescent="0.2">
      <c r="A595" s="64" t="s">
        <v>25</v>
      </c>
      <c r="B595" s="57">
        <v>772887.55640000023</v>
      </c>
      <c r="C595" s="57">
        <v>1004697.383109973</v>
      </c>
      <c r="D595" s="57">
        <v>3080079.0706083998</v>
      </c>
      <c r="E595" s="57">
        <v>3349696.3986254423</v>
      </c>
      <c r="F595" s="57">
        <v>6446564.249946801</v>
      </c>
      <c r="G595" s="57">
        <v>5781020.8109945673</v>
      </c>
      <c r="H595" s="58">
        <v>0.13014053929565028</v>
      </c>
      <c r="I595" s="58">
        <v>-0.10324002261479381</v>
      </c>
      <c r="J595" s="58">
        <v>-1.5934345572225617E-2</v>
      </c>
    </row>
    <row r="596" spans="1:10" ht="11.25" customHeight="1" x14ac:dyDescent="0.2">
      <c r="A596" s="65" t="s">
        <v>25</v>
      </c>
      <c r="B596" s="57">
        <v>772887.55640000023</v>
      </c>
      <c r="C596" s="57">
        <v>1004697.383109973</v>
      </c>
      <c r="D596" s="57">
        <v>3080079.0706083998</v>
      </c>
      <c r="E596" s="57">
        <v>3349696.3986254423</v>
      </c>
      <c r="F596" s="57">
        <v>6446564.249946801</v>
      </c>
      <c r="G596" s="57">
        <v>5781020.8109945673</v>
      </c>
      <c r="H596" s="58">
        <v>0.13014053929565028</v>
      </c>
      <c r="I596" s="58">
        <v>-0.10324002261479381</v>
      </c>
      <c r="J596" s="58">
        <v>-1.5934345572225617E-2</v>
      </c>
    </row>
    <row r="597" spans="1:10" ht="11.25" customHeight="1" x14ac:dyDescent="0.2">
      <c r="A597" s="66" t="s">
        <v>36</v>
      </c>
      <c r="B597" s="57">
        <v>0</v>
      </c>
      <c r="C597" s="57">
        <v>0</v>
      </c>
      <c r="D597" s="57">
        <v>1851955.0510440001</v>
      </c>
      <c r="E597" s="57">
        <v>1919283.4315283527</v>
      </c>
      <c r="F597" s="57">
        <v>5622311.8530096002</v>
      </c>
      <c r="G597" s="57">
        <v>5062295.5376299703</v>
      </c>
      <c r="H597" s="58">
        <v>3.6355299469281066E-2</v>
      </c>
      <c r="I597" s="58">
        <v>-9.960605708483683E-2</v>
      </c>
      <c r="J597" s="58">
        <v>-6.5917894185458126E-2</v>
      </c>
    </row>
    <row r="598" spans="1:10" ht="11.25" customHeight="1" x14ac:dyDescent="0.2">
      <c r="A598" s="67">
        <v>43739</v>
      </c>
      <c r="B598" s="57">
        <v>0</v>
      </c>
      <c r="C598" s="57">
        <v>0</v>
      </c>
      <c r="D598" s="57">
        <v>146384.74158600002</v>
      </c>
      <c r="E598" s="57">
        <v>151706.60270409239</v>
      </c>
      <c r="F598" s="57">
        <v>444406.3948824</v>
      </c>
      <c r="G598" s="57">
        <v>400140.82614487701</v>
      </c>
      <c r="H598" s="58">
        <v>3.6355299469281288E-2</v>
      </c>
      <c r="I598" s="58">
        <v>-9.9606057084837052E-2</v>
      </c>
      <c r="J598" s="58">
        <v>-6.5917894185458237E-2</v>
      </c>
    </row>
    <row r="599" spans="1:10" ht="11.25" customHeight="1" x14ac:dyDescent="0.2">
      <c r="A599" s="67">
        <v>43770</v>
      </c>
      <c r="B599" s="57">
        <v>0</v>
      </c>
      <c r="C599" s="57">
        <v>0</v>
      </c>
      <c r="D599" s="57">
        <v>158406.87806400002</v>
      </c>
      <c r="E599" s="57">
        <v>164165.80755401068</v>
      </c>
      <c r="F599" s="57">
        <v>480904.14917760005</v>
      </c>
      <c r="G599" s="57">
        <v>433003.18304228107</v>
      </c>
      <c r="H599" s="58">
        <v>3.6355299469281288E-2</v>
      </c>
      <c r="I599" s="58">
        <v>-9.9606057084836941E-2</v>
      </c>
      <c r="J599" s="58">
        <v>-6.5917894185458237E-2</v>
      </c>
    </row>
    <row r="600" spans="1:10" ht="11.25" customHeight="1" x14ac:dyDescent="0.2">
      <c r="A600" s="67">
        <v>43800</v>
      </c>
      <c r="B600" s="57">
        <v>0</v>
      </c>
      <c r="C600" s="57">
        <v>0</v>
      </c>
      <c r="D600" s="57">
        <v>138627.539544</v>
      </c>
      <c r="E600" s="57">
        <v>143667.38525881179</v>
      </c>
      <c r="F600" s="57">
        <v>420856.46640960005</v>
      </c>
      <c r="G600" s="57">
        <v>378936.61319188261</v>
      </c>
      <c r="H600" s="58">
        <v>3.635529946928151E-2</v>
      </c>
      <c r="I600" s="58">
        <v>-9.9606057084837052E-2</v>
      </c>
      <c r="J600" s="58">
        <v>-6.5917894185458237E-2</v>
      </c>
    </row>
    <row r="601" spans="1:10" ht="11.25" customHeight="1" x14ac:dyDescent="0.2">
      <c r="A601" s="67">
        <v>43831</v>
      </c>
      <c r="B601" s="57">
        <v>0</v>
      </c>
      <c r="C601" s="57">
        <v>0</v>
      </c>
      <c r="D601" s="57">
        <v>127944.45915600001</v>
      </c>
      <c r="E601" s="57">
        <v>132595.91828405162</v>
      </c>
      <c r="F601" s="57">
        <v>388423.92467039998</v>
      </c>
      <c r="G601" s="57">
        <v>349734.5490565637</v>
      </c>
      <c r="H601" s="58">
        <v>3.6355299469281288E-2</v>
      </c>
      <c r="I601" s="58">
        <v>-9.9606057084836941E-2</v>
      </c>
      <c r="J601" s="58">
        <v>-6.5917894185458126E-2</v>
      </c>
    </row>
    <row r="602" spans="1:10" ht="11.25" customHeight="1" x14ac:dyDescent="0.2">
      <c r="A602" s="67">
        <v>43862</v>
      </c>
      <c r="B602" s="57">
        <v>0</v>
      </c>
      <c r="C602" s="57">
        <v>0</v>
      </c>
      <c r="D602" s="57">
        <v>137452.88395800002</v>
      </c>
      <c r="E602" s="57">
        <v>142450.02471720948</v>
      </c>
      <c r="F602" s="57">
        <v>417290.35392720002</v>
      </c>
      <c r="G602" s="57">
        <v>375725.70711297548</v>
      </c>
      <c r="H602" s="58">
        <v>3.6355299469281288E-2</v>
      </c>
      <c r="I602" s="58">
        <v>-9.9606057084837052E-2</v>
      </c>
      <c r="J602" s="58">
        <v>-6.5917894185458348E-2</v>
      </c>
    </row>
    <row r="603" spans="1:10" ht="11.25" customHeight="1" x14ac:dyDescent="0.2">
      <c r="A603" s="67">
        <v>43891</v>
      </c>
      <c r="B603" s="57">
        <v>0</v>
      </c>
      <c r="C603" s="57">
        <v>0</v>
      </c>
      <c r="D603" s="57">
        <v>169701.487926</v>
      </c>
      <c r="E603" s="57">
        <v>175871.03633993238</v>
      </c>
      <c r="F603" s="57">
        <v>515193.22053840006</v>
      </c>
      <c r="G603" s="57">
        <v>463876.85520373116</v>
      </c>
      <c r="H603" s="58">
        <v>3.635529946928151E-2</v>
      </c>
      <c r="I603" s="58">
        <v>-9.9606057084837052E-2</v>
      </c>
      <c r="J603" s="58">
        <v>-6.5917894185458015E-2</v>
      </c>
    </row>
    <row r="604" spans="1:10" ht="11.25" customHeight="1" x14ac:dyDescent="0.2">
      <c r="A604" s="67">
        <v>43922</v>
      </c>
      <c r="B604" s="57">
        <v>0</v>
      </c>
      <c r="C604" s="57">
        <v>0</v>
      </c>
      <c r="D604" s="57">
        <v>189172.84743000002</v>
      </c>
      <c r="E604" s="57">
        <v>196050.28294977435</v>
      </c>
      <c r="F604" s="57">
        <v>574305.91621200007</v>
      </c>
      <c r="G604" s="57">
        <v>517101.56833762798</v>
      </c>
      <c r="H604" s="58">
        <v>3.6355299469281288E-2</v>
      </c>
      <c r="I604" s="58">
        <v>-9.9606057084836941E-2</v>
      </c>
      <c r="J604" s="58">
        <v>-6.5917894185458015E-2</v>
      </c>
    </row>
    <row r="605" spans="1:10" ht="11.25" customHeight="1" x14ac:dyDescent="0.2">
      <c r="A605" s="67">
        <v>43952</v>
      </c>
      <c r="B605" s="57">
        <v>0</v>
      </c>
      <c r="C605" s="57">
        <v>0</v>
      </c>
      <c r="D605" s="57">
        <v>154914.76584600002</v>
      </c>
      <c r="E605" s="57">
        <v>160546.73855054495</v>
      </c>
      <c r="F605" s="57">
        <v>470302.51826640003</v>
      </c>
      <c r="G605" s="57">
        <v>423457.53878481436</v>
      </c>
      <c r="H605" s="58">
        <v>3.6355299469281288E-2</v>
      </c>
      <c r="I605" s="58">
        <v>-9.9606057084837052E-2</v>
      </c>
      <c r="J605" s="58">
        <v>-6.5917894185458237E-2</v>
      </c>
    </row>
    <row r="606" spans="1:10" ht="11.25" customHeight="1" x14ac:dyDescent="0.2">
      <c r="A606" s="67">
        <v>43983</v>
      </c>
      <c r="B606" s="57">
        <v>0</v>
      </c>
      <c r="C606" s="57">
        <v>0</v>
      </c>
      <c r="D606" s="57">
        <v>146444.332884</v>
      </c>
      <c r="E606" s="57">
        <v>151768.36046157696</v>
      </c>
      <c r="F606" s="57">
        <v>444587.30686560005</v>
      </c>
      <c r="G606" s="57">
        <v>400303.71819875116</v>
      </c>
      <c r="H606" s="58">
        <v>3.635529946928151E-2</v>
      </c>
      <c r="I606" s="58">
        <v>-9.9606057084836941E-2</v>
      </c>
      <c r="J606" s="58">
        <v>-6.5917894185458015E-2</v>
      </c>
    </row>
    <row r="607" spans="1:10" ht="11.25" customHeight="1" x14ac:dyDescent="0.2">
      <c r="A607" s="67">
        <v>44013</v>
      </c>
      <c r="B607" s="57">
        <v>0</v>
      </c>
      <c r="C607" s="57">
        <v>0</v>
      </c>
      <c r="D607" s="57">
        <v>154417.05808200003</v>
      </c>
      <c r="E607" s="57">
        <v>160030.93647173652</v>
      </c>
      <c r="F607" s="57">
        <v>468791.53760879999</v>
      </c>
      <c r="G607" s="57">
        <v>422097.06095284934</v>
      </c>
      <c r="H607" s="58">
        <v>3.6355299469281066E-2</v>
      </c>
      <c r="I607" s="58">
        <v>-9.9606057084837052E-2</v>
      </c>
      <c r="J607" s="58">
        <v>-6.5917894185458126E-2</v>
      </c>
    </row>
    <row r="608" spans="1:10" ht="11.25" customHeight="1" x14ac:dyDescent="0.2">
      <c r="A608" s="67">
        <v>44044</v>
      </c>
      <c r="B608" s="57">
        <v>0</v>
      </c>
      <c r="C608" s="57">
        <v>0</v>
      </c>
      <c r="D608" s="57">
        <v>164244.02828400003</v>
      </c>
      <c r="E608" s="57">
        <v>170215.16911830593</v>
      </c>
      <c r="F608" s="57">
        <v>498625.03222559998</v>
      </c>
      <c r="G608" s="57">
        <v>448958.95880180818</v>
      </c>
      <c r="H608" s="58">
        <v>3.6355299469281066E-2</v>
      </c>
      <c r="I608" s="58">
        <v>-9.9606057084836941E-2</v>
      </c>
      <c r="J608" s="58">
        <v>-6.5917894185458237E-2</v>
      </c>
    </row>
    <row r="609" spans="1:10" ht="11.25" customHeight="1" x14ac:dyDescent="0.2">
      <c r="A609" s="67">
        <v>44075</v>
      </c>
      <c r="B609" s="57">
        <v>0</v>
      </c>
      <c r="C609" s="57">
        <v>0</v>
      </c>
      <c r="D609" s="57">
        <v>164244.02828400003</v>
      </c>
      <c r="E609" s="57">
        <v>170215.16911830593</v>
      </c>
      <c r="F609" s="57">
        <v>498625.03222559998</v>
      </c>
      <c r="G609" s="57">
        <v>448958.95880180818</v>
      </c>
      <c r="H609" s="58">
        <v>3.6355299469281066E-2</v>
      </c>
      <c r="I609" s="58">
        <v>-9.9606057084836941E-2</v>
      </c>
      <c r="J609" s="58">
        <v>-6.5917894185458237E-2</v>
      </c>
    </row>
    <row r="610" spans="1:10" ht="11.25" customHeight="1" x14ac:dyDescent="0.2">
      <c r="A610" s="66" t="s">
        <v>25</v>
      </c>
      <c r="B610" s="57">
        <v>772887.55640000023</v>
      </c>
      <c r="C610" s="57">
        <v>1004697.383109973</v>
      </c>
      <c r="D610" s="57">
        <v>0</v>
      </c>
      <c r="E610" s="57">
        <v>0</v>
      </c>
      <c r="F610" s="57">
        <v>0</v>
      </c>
      <c r="G610" s="57">
        <v>0</v>
      </c>
      <c r="H610" s="58">
        <v>0.29992697487550468</v>
      </c>
      <c r="I610" s="58">
        <v>0</v>
      </c>
      <c r="J610" s="58">
        <v>0.29992697487550468</v>
      </c>
    </row>
    <row r="611" spans="1:10" ht="11.25" customHeight="1" x14ac:dyDescent="0.2">
      <c r="A611" s="67">
        <v>43739</v>
      </c>
      <c r="B611" s="57">
        <v>64517.392000000007</v>
      </c>
      <c r="C611" s="57">
        <v>83867.898209417079</v>
      </c>
      <c r="D611" s="57">
        <v>0</v>
      </c>
      <c r="E611" s="57">
        <v>0</v>
      </c>
      <c r="F611" s="57">
        <v>0</v>
      </c>
      <c r="G611" s="57">
        <v>0</v>
      </c>
      <c r="H611" s="58">
        <v>0.29992697487550446</v>
      </c>
      <c r="I611" s="58">
        <v>0</v>
      </c>
      <c r="J611" s="58">
        <v>0.29992697487550446</v>
      </c>
    </row>
    <row r="612" spans="1:10" ht="11.25" customHeight="1" x14ac:dyDescent="0.2">
      <c r="A612" s="67">
        <v>43770</v>
      </c>
      <c r="B612" s="57">
        <v>67410.948400000008</v>
      </c>
      <c r="C612" s="57">
        <v>87629.310227100737</v>
      </c>
      <c r="D612" s="57">
        <v>0</v>
      </c>
      <c r="E612" s="57">
        <v>0</v>
      </c>
      <c r="F612" s="57">
        <v>0</v>
      </c>
      <c r="G612" s="57">
        <v>0</v>
      </c>
      <c r="H612" s="58">
        <v>0.29992697487550446</v>
      </c>
      <c r="I612" s="58">
        <v>0</v>
      </c>
      <c r="J612" s="58">
        <v>0.29992697487550446</v>
      </c>
    </row>
    <row r="613" spans="1:10" ht="11.25" customHeight="1" x14ac:dyDescent="0.2">
      <c r="A613" s="67">
        <v>43800</v>
      </c>
      <c r="B613" s="57">
        <v>57328.079600000005</v>
      </c>
      <c r="C613" s="57">
        <v>74522.317089850127</v>
      </c>
      <c r="D613" s="57">
        <v>0</v>
      </c>
      <c r="E613" s="57">
        <v>0</v>
      </c>
      <c r="F613" s="57">
        <v>0</v>
      </c>
      <c r="G613" s="57">
        <v>0</v>
      </c>
      <c r="H613" s="58">
        <v>0.29992697487550446</v>
      </c>
      <c r="I613" s="58">
        <v>0</v>
      </c>
      <c r="J613" s="58">
        <v>0.29992697487550446</v>
      </c>
    </row>
    <row r="614" spans="1:10" ht="11.25" customHeight="1" x14ac:dyDescent="0.2">
      <c r="A614" s="67">
        <v>43831</v>
      </c>
      <c r="B614" s="57">
        <v>56096.089200000009</v>
      </c>
      <c r="C614" s="57">
        <v>72920.81953610247</v>
      </c>
      <c r="D614" s="57">
        <v>0</v>
      </c>
      <c r="E614" s="57">
        <v>0</v>
      </c>
      <c r="F614" s="57">
        <v>0</v>
      </c>
      <c r="G614" s="57">
        <v>0</v>
      </c>
      <c r="H614" s="58">
        <v>0.29992697487550446</v>
      </c>
      <c r="I614" s="58">
        <v>0</v>
      </c>
      <c r="J614" s="58">
        <v>0.29992697487550446</v>
      </c>
    </row>
    <row r="615" spans="1:10" ht="11.25" customHeight="1" x14ac:dyDescent="0.2">
      <c r="A615" s="67">
        <v>43862</v>
      </c>
      <c r="B615" s="57">
        <v>61032.15600000001</v>
      </c>
      <c r="C615" s="57">
        <v>79337.345919209882</v>
      </c>
      <c r="D615" s="57">
        <v>0</v>
      </c>
      <c r="E615" s="57">
        <v>0</v>
      </c>
      <c r="F615" s="57">
        <v>0</v>
      </c>
      <c r="G615" s="57">
        <v>0</v>
      </c>
      <c r="H615" s="58">
        <v>0.29992697487550446</v>
      </c>
      <c r="I615" s="58">
        <v>0</v>
      </c>
      <c r="J615" s="58">
        <v>0.29992697487550446</v>
      </c>
    </row>
    <row r="616" spans="1:10" ht="11.25" customHeight="1" x14ac:dyDescent="0.2">
      <c r="A616" s="67">
        <v>43891</v>
      </c>
      <c r="B616" s="57">
        <v>65522.43680000001</v>
      </c>
      <c r="C616" s="57">
        <v>85174.383055895451</v>
      </c>
      <c r="D616" s="57">
        <v>0</v>
      </c>
      <c r="E616" s="57">
        <v>0</v>
      </c>
      <c r="F616" s="57">
        <v>0</v>
      </c>
      <c r="G616" s="57">
        <v>0</v>
      </c>
      <c r="H616" s="58">
        <v>0.29992697487550468</v>
      </c>
      <c r="I616" s="58">
        <v>0</v>
      </c>
      <c r="J616" s="58">
        <v>0.29992697487550468</v>
      </c>
    </row>
    <row r="617" spans="1:10" ht="11.25" customHeight="1" x14ac:dyDescent="0.2">
      <c r="A617" s="67">
        <v>43922</v>
      </c>
      <c r="B617" s="57">
        <v>70677.344000000012</v>
      </c>
      <c r="C617" s="57">
        <v>91875.385978155391</v>
      </c>
      <c r="D617" s="57">
        <v>0</v>
      </c>
      <c r="E617" s="57">
        <v>0</v>
      </c>
      <c r="F617" s="57">
        <v>0</v>
      </c>
      <c r="G617" s="57">
        <v>0</v>
      </c>
      <c r="H617" s="58">
        <v>0.29992697487550424</v>
      </c>
      <c r="I617" s="58">
        <v>0</v>
      </c>
      <c r="J617" s="58">
        <v>0.29992697487550424</v>
      </c>
    </row>
    <row r="618" spans="1:10" ht="11.25" customHeight="1" x14ac:dyDescent="0.2">
      <c r="A618" s="67">
        <v>43952</v>
      </c>
      <c r="B618" s="57">
        <v>62636.985600000007</v>
      </c>
      <c r="C618" s="57">
        <v>81423.507206328533</v>
      </c>
      <c r="D618" s="57">
        <v>0</v>
      </c>
      <c r="E618" s="57">
        <v>0</v>
      </c>
      <c r="F618" s="57">
        <v>0</v>
      </c>
      <c r="G618" s="57">
        <v>0</v>
      </c>
      <c r="H618" s="58">
        <v>0.29992697487550424</v>
      </c>
      <c r="I618" s="58">
        <v>0</v>
      </c>
      <c r="J618" s="58">
        <v>0.29992697487550424</v>
      </c>
    </row>
    <row r="619" spans="1:10" ht="11.25" customHeight="1" x14ac:dyDescent="0.2">
      <c r="A619" s="67">
        <v>43983</v>
      </c>
      <c r="B619" s="57">
        <v>62993.614400000006</v>
      </c>
      <c r="C619" s="57">
        <v>81887.098603466016</v>
      </c>
      <c r="D619" s="57">
        <v>0</v>
      </c>
      <c r="E619" s="57">
        <v>0</v>
      </c>
      <c r="F619" s="57">
        <v>0</v>
      </c>
      <c r="G619" s="57">
        <v>0</v>
      </c>
      <c r="H619" s="58">
        <v>0.29992697487550424</v>
      </c>
      <c r="I619" s="58">
        <v>0</v>
      </c>
      <c r="J619" s="58">
        <v>0.29992697487550424</v>
      </c>
    </row>
    <row r="620" spans="1:10" ht="11.25" customHeight="1" x14ac:dyDescent="0.2">
      <c r="A620" s="67">
        <v>44013</v>
      </c>
      <c r="B620" s="57">
        <v>66024.959200000012</v>
      </c>
      <c r="C620" s="57">
        <v>85827.625479134615</v>
      </c>
      <c r="D620" s="57">
        <v>0</v>
      </c>
      <c r="E620" s="57">
        <v>0</v>
      </c>
      <c r="F620" s="57">
        <v>0</v>
      </c>
      <c r="G620" s="57">
        <v>0</v>
      </c>
      <c r="H620" s="58">
        <v>0.29992697487550424</v>
      </c>
      <c r="I620" s="58">
        <v>0</v>
      </c>
      <c r="J620" s="58">
        <v>0.29992697487550424</v>
      </c>
    </row>
    <row r="621" spans="1:10" ht="11.25" customHeight="1" x14ac:dyDescent="0.2">
      <c r="A621" s="67">
        <v>44044</v>
      </c>
      <c r="B621" s="57">
        <v>69323.775600000023</v>
      </c>
      <c r="C621" s="57">
        <v>90115.845902656321</v>
      </c>
      <c r="D621" s="57">
        <v>0</v>
      </c>
      <c r="E621" s="57">
        <v>0</v>
      </c>
      <c r="F621" s="57">
        <v>0</v>
      </c>
      <c r="G621" s="57">
        <v>0</v>
      </c>
      <c r="H621" s="58">
        <v>0.29992697487550424</v>
      </c>
      <c r="I621" s="58">
        <v>0</v>
      </c>
      <c r="J621" s="58">
        <v>0.29992697487550424</v>
      </c>
    </row>
    <row r="622" spans="1:10" ht="11.25" customHeight="1" x14ac:dyDescent="0.2">
      <c r="A622" s="67">
        <v>44075</v>
      </c>
      <c r="B622" s="57">
        <v>69323.775600000023</v>
      </c>
      <c r="C622" s="57">
        <v>90115.845902656321</v>
      </c>
      <c r="D622" s="57">
        <v>0</v>
      </c>
      <c r="E622" s="57">
        <v>0</v>
      </c>
      <c r="F622" s="57">
        <v>0</v>
      </c>
      <c r="G622" s="57">
        <v>0</v>
      </c>
      <c r="H622" s="58">
        <v>0.29992697487550424</v>
      </c>
      <c r="I622" s="58">
        <v>0</v>
      </c>
      <c r="J622" s="58">
        <v>0.29992697487550424</v>
      </c>
    </row>
    <row r="623" spans="1:10" ht="11.25" customHeight="1" x14ac:dyDescent="0.2">
      <c r="A623" s="66" t="s">
        <v>35</v>
      </c>
      <c r="B623" s="57">
        <v>0</v>
      </c>
      <c r="C623" s="57">
        <v>0</v>
      </c>
      <c r="D623" s="57">
        <v>1228124.0195644</v>
      </c>
      <c r="E623" s="57">
        <v>1430412.9670970901</v>
      </c>
      <c r="F623" s="57">
        <v>824252.3969372001</v>
      </c>
      <c r="G623" s="57">
        <v>718725.27336459723</v>
      </c>
      <c r="H623" s="58">
        <v>0.16471377834010492</v>
      </c>
      <c r="I623" s="58">
        <v>-0.12802768176923252</v>
      </c>
      <c r="J623" s="58">
        <v>4.7146236519820306E-2</v>
      </c>
    </row>
    <row r="624" spans="1:10" ht="11.25" customHeight="1" x14ac:dyDescent="0.2">
      <c r="A624" s="67">
        <v>43739</v>
      </c>
      <c r="B624" s="57">
        <v>0</v>
      </c>
      <c r="C624" s="57">
        <v>0</v>
      </c>
      <c r="D624" s="57">
        <v>109275.557462</v>
      </c>
      <c r="E624" s="57">
        <v>127274.74741178732</v>
      </c>
      <c r="F624" s="57">
        <v>73340.020006000006</v>
      </c>
      <c r="G624" s="57">
        <v>63950.467263722705</v>
      </c>
      <c r="H624" s="58">
        <v>0.16471377834010537</v>
      </c>
      <c r="I624" s="58">
        <v>-0.12802768176923229</v>
      </c>
      <c r="J624" s="58">
        <v>4.7146236519820972E-2</v>
      </c>
    </row>
    <row r="625" spans="1:10" ht="11.25" customHeight="1" x14ac:dyDescent="0.2">
      <c r="A625" s="67">
        <v>43770</v>
      </c>
      <c r="B625" s="57">
        <v>0</v>
      </c>
      <c r="C625" s="57">
        <v>0</v>
      </c>
      <c r="D625" s="57">
        <v>107912.38157560001</v>
      </c>
      <c r="E625" s="57">
        <v>125687.03767459627</v>
      </c>
      <c r="F625" s="57">
        <v>72425.127882800007</v>
      </c>
      <c r="G625" s="57">
        <v>63152.706658124946</v>
      </c>
      <c r="H625" s="58">
        <v>0.16471377834010537</v>
      </c>
      <c r="I625" s="58">
        <v>-0.12802768176923218</v>
      </c>
      <c r="J625" s="58">
        <v>4.7146236519821194E-2</v>
      </c>
    </row>
    <row r="626" spans="1:10" ht="11.25" customHeight="1" x14ac:dyDescent="0.2">
      <c r="A626" s="67">
        <v>43800</v>
      </c>
      <c r="B626" s="57">
        <v>0</v>
      </c>
      <c r="C626" s="57">
        <v>0</v>
      </c>
      <c r="D626" s="57">
        <v>89876.879466800005</v>
      </c>
      <c r="E626" s="57">
        <v>104680.83986919487</v>
      </c>
      <c r="F626" s="57">
        <v>60320.645268400003</v>
      </c>
      <c r="G626" s="57">
        <v>52597.932891862547</v>
      </c>
      <c r="H626" s="58">
        <v>0.16471377834010537</v>
      </c>
      <c r="I626" s="58">
        <v>-0.12802768176923218</v>
      </c>
      <c r="J626" s="58">
        <v>4.7146236519820972E-2</v>
      </c>
    </row>
    <row r="627" spans="1:10" ht="11.25" customHeight="1" x14ac:dyDescent="0.2">
      <c r="A627" s="67">
        <v>43831</v>
      </c>
      <c r="B627" s="57">
        <v>0</v>
      </c>
      <c r="C627" s="57">
        <v>0</v>
      </c>
      <c r="D627" s="57">
        <v>75720.640452399995</v>
      </c>
      <c r="E627" s="57">
        <v>88192.873239647422</v>
      </c>
      <c r="F627" s="57">
        <v>50819.720481199998</v>
      </c>
      <c r="G627" s="57">
        <v>44313.389479831589</v>
      </c>
      <c r="H627" s="58">
        <v>0.16471377834010537</v>
      </c>
      <c r="I627" s="58">
        <v>-0.12802768176923229</v>
      </c>
      <c r="J627" s="58">
        <v>4.7146236519820972E-2</v>
      </c>
    </row>
    <row r="628" spans="1:10" ht="11.25" customHeight="1" x14ac:dyDescent="0.2">
      <c r="A628" s="67">
        <v>43862</v>
      </c>
      <c r="B628" s="57">
        <v>0</v>
      </c>
      <c r="C628" s="57">
        <v>0</v>
      </c>
      <c r="D628" s="57">
        <v>84319.634269600007</v>
      </c>
      <c r="E628" s="57">
        <v>98208.239818401649</v>
      </c>
      <c r="F628" s="57">
        <v>56590.913904800007</v>
      </c>
      <c r="G628" s="57">
        <v>49345.710388366249</v>
      </c>
      <c r="H628" s="58">
        <v>0.16471377834010537</v>
      </c>
      <c r="I628" s="58">
        <v>-0.12802768176923229</v>
      </c>
      <c r="J628" s="58">
        <v>4.7146236519820972E-2</v>
      </c>
    </row>
    <row r="629" spans="1:10" ht="11.25" customHeight="1" x14ac:dyDescent="0.2">
      <c r="A629" s="67">
        <v>43891</v>
      </c>
      <c r="B629" s="57">
        <v>0</v>
      </c>
      <c r="C629" s="57">
        <v>0</v>
      </c>
      <c r="D629" s="57">
        <v>107967.9008708</v>
      </c>
      <c r="E629" s="57">
        <v>125751.70176267944</v>
      </c>
      <c r="F629" s="57">
        <v>72462.3895204</v>
      </c>
      <c r="G629" s="57">
        <v>63185.197774644083</v>
      </c>
      <c r="H629" s="58">
        <v>0.16471377834010559</v>
      </c>
      <c r="I629" s="58">
        <v>-0.12802768176923218</v>
      </c>
      <c r="J629" s="58">
        <v>4.7146236519821194E-2</v>
      </c>
    </row>
    <row r="630" spans="1:10" ht="11.25" customHeight="1" x14ac:dyDescent="0.2">
      <c r="A630" s="67">
        <v>43922</v>
      </c>
      <c r="B630" s="57">
        <v>0</v>
      </c>
      <c r="C630" s="57">
        <v>0</v>
      </c>
      <c r="D630" s="57">
        <v>124109.8406348</v>
      </c>
      <c r="E630" s="57">
        <v>144552.44141494622</v>
      </c>
      <c r="F630" s="57">
        <v>83296.012452399998</v>
      </c>
      <c r="G630" s="57">
        <v>72631.817077498126</v>
      </c>
      <c r="H630" s="58">
        <v>0.16471377834010514</v>
      </c>
      <c r="I630" s="58">
        <v>-0.12802768176923218</v>
      </c>
      <c r="J630" s="58">
        <v>4.7146236519820972E-2</v>
      </c>
    </row>
    <row r="631" spans="1:10" ht="11.25" customHeight="1" x14ac:dyDescent="0.2">
      <c r="A631" s="67">
        <v>43952</v>
      </c>
      <c r="B631" s="57">
        <v>0</v>
      </c>
      <c r="C631" s="57">
        <v>0</v>
      </c>
      <c r="D631" s="57">
        <v>93485.043023999999</v>
      </c>
      <c r="E631" s="57">
        <v>108883.31767877036</v>
      </c>
      <c r="F631" s="57">
        <v>62742.255312000001</v>
      </c>
      <c r="G631" s="57">
        <v>54709.509815431338</v>
      </c>
      <c r="H631" s="58">
        <v>0.16471377834010537</v>
      </c>
      <c r="I631" s="58">
        <v>-0.12802768176923229</v>
      </c>
      <c r="J631" s="58">
        <v>4.7146236519820972E-2</v>
      </c>
    </row>
    <row r="632" spans="1:10" ht="11.25" customHeight="1" x14ac:dyDescent="0.2">
      <c r="A632" s="67">
        <v>43983</v>
      </c>
      <c r="B632" s="57">
        <v>0</v>
      </c>
      <c r="C632" s="57">
        <v>0</v>
      </c>
      <c r="D632" s="57">
        <v>97454.081999999995</v>
      </c>
      <c r="E632" s="57">
        <v>113506.11206088646</v>
      </c>
      <c r="F632" s="57">
        <v>65406.065999999999</v>
      </c>
      <c r="G632" s="57">
        <v>57032.278996374596</v>
      </c>
      <c r="H632" s="58">
        <v>0.16471377834010559</v>
      </c>
      <c r="I632" s="58">
        <v>-0.12802768176923229</v>
      </c>
      <c r="J632" s="58">
        <v>4.7146236519821194E-2</v>
      </c>
    </row>
    <row r="633" spans="1:10" ht="11.25" customHeight="1" x14ac:dyDescent="0.2">
      <c r="A633" s="67">
        <v>44013</v>
      </c>
      <c r="B633" s="57">
        <v>0</v>
      </c>
      <c r="C633" s="57">
        <v>0</v>
      </c>
      <c r="D633" s="57">
        <v>103573.60771880002</v>
      </c>
      <c r="E633" s="57">
        <v>120633.60798247947</v>
      </c>
      <c r="F633" s="57">
        <v>69513.170544400011</v>
      </c>
      <c r="G633" s="57">
        <v>60613.560467171192</v>
      </c>
      <c r="H633" s="58">
        <v>0.16471377834010537</v>
      </c>
      <c r="I633" s="58">
        <v>-0.12802768176923229</v>
      </c>
      <c r="J633" s="58">
        <v>4.7146236519820972E-2</v>
      </c>
    </row>
    <row r="634" spans="1:10" ht="11.25" customHeight="1" x14ac:dyDescent="0.2">
      <c r="A634" s="67">
        <v>44044</v>
      </c>
      <c r="B634" s="57">
        <v>0</v>
      </c>
      <c r="C634" s="57">
        <v>0</v>
      </c>
      <c r="D634" s="57">
        <v>117214.2260448</v>
      </c>
      <c r="E634" s="57">
        <v>136521.02409185018</v>
      </c>
      <c r="F634" s="57">
        <v>78668.037782400002</v>
      </c>
      <c r="G634" s="57">
        <v>68596.351275784953</v>
      </c>
      <c r="H634" s="58">
        <v>0.16471377834010514</v>
      </c>
      <c r="I634" s="58">
        <v>-0.12802768176923229</v>
      </c>
      <c r="J634" s="58">
        <v>4.7146236519820972E-2</v>
      </c>
    </row>
    <row r="635" spans="1:10" ht="11.25" customHeight="1" x14ac:dyDescent="0.2">
      <c r="A635" s="67">
        <v>44075</v>
      </c>
      <c r="B635" s="57">
        <v>0</v>
      </c>
      <c r="C635" s="57">
        <v>0</v>
      </c>
      <c r="D635" s="57">
        <v>117214.2260448</v>
      </c>
      <c r="E635" s="57">
        <v>136521.02409185018</v>
      </c>
      <c r="F635" s="57">
        <v>78668.037782400002</v>
      </c>
      <c r="G635" s="57">
        <v>68596.351275784953</v>
      </c>
      <c r="H635" s="58">
        <v>0.16471377834010514</v>
      </c>
      <c r="I635" s="58">
        <v>-0.12802768176923229</v>
      </c>
      <c r="J635" s="58">
        <v>4.7146236519820972E-2</v>
      </c>
    </row>
    <row r="636" spans="1:10" ht="11.25" customHeight="1" x14ac:dyDescent="0.2">
      <c r="A636" s="62" t="s">
        <v>52</v>
      </c>
      <c r="B636" s="57">
        <v>1905526.7935000001</v>
      </c>
      <c r="C636" s="57">
        <v>2477045.6802186747</v>
      </c>
      <c r="D636" s="57">
        <v>8180662.3942183992</v>
      </c>
      <c r="E636" s="57">
        <v>8915475.3790225424</v>
      </c>
      <c r="F636" s="57">
        <v>16777292.153470002</v>
      </c>
      <c r="G636" s="57">
        <v>15041170.693504093</v>
      </c>
      <c r="H636" s="58">
        <v>0.12951689158413693</v>
      </c>
      <c r="I636" s="58">
        <v>-0.10348043320011158</v>
      </c>
      <c r="J636" s="58">
        <v>-1.5999027936268173E-2</v>
      </c>
    </row>
    <row r="637" spans="1:10" ht="11.25" customHeight="1" x14ac:dyDescent="0.2">
      <c r="A637" s="63" t="s">
        <v>53</v>
      </c>
      <c r="B637" s="57">
        <v>1564280.2535000001</v>
      </c>
      <c r="C637" s="57">
        <v>2033450.0977897425</v>
      </c>
      <c r="D637" s="57">
        <v>7799363.5074783983</v>
      </c>
      <c r="E637" s="57">
        <v>8503698.0587227345</v>
      </c>
      <c r="F637" s="57">
        <v>15925832.865140004</v>
      </c>
      <c r="G637" s="57">
        <v>14276991.208466183</v>
      </c>
      <c r="H637" s="58">
        <v>0.12532561313625412</v>
      </c>
      <c r="I637" s="58">
        <v>-0.10353252295413473</v>
      </c>
      <c r="J637" s="58">
        <v>-1.8795852052107098E-2</v>
      </c>
    </row>
    <row r="638" spans="1:10" ht="11.25" customHeight="1" x14ac:dyDescent="0.2">
      <c r="A638" s="64" t="s">
        <v>25</v>
      </c>
      <c r="B638" s="57">
        <v>1564280.2535000001</v>
      </c>
      <c r="C638" s="57">
        <v>2033450.0977897425</v>
      </c>
      <c r="D638" s="57">
        <v>7799363.5074783983</v>
      </c>
      <c r="E638" s="57">
        <v>8503698.0587227345</v>
      </c>
      <c r="F638" s="57">
        <v>15925832.865140004</v>
      </c>
      <c r="G638" s="57">
        <v>14276991.208466183</v>
      </c>
      <c r="H638" s="58">
        <v>0.12532561313625412</v>
      </c>
      <c r="I638" s="58">
        <v>-0.10353252295413473</v>
      </c>
      <c r="J638" s="58">
        <v>-1.8795852052107098E-2</v>
      </c>
    </row>
    <row r="639" spans="1:10" ht="11.25" customHeight="1" x14ac:dyDescent="0.2">
      <c r="A639" s="65" t="s">
        <v>25</v>
      </c>
      <c r="B639" s="57">
        <v>1564280.2535000001</v>
      </c>
      <c r="C639" s="57">
        <v>2033450.0977897425</v>
      </c>
      <c r="D639" s="57">
        <v>7799363.5074783983</v>
      </c>
      <c r="E639" s="57">
        <v>8503698.0587227345</v>
      </c>
      <c r="F639" s="57">
        <v>15925832.865140004</v>
      </c>
      <c r="G639" s="57">
        <v>14276991.208466183</v>
      </c>
      <c r="H639" s="58">
        <v>0.12532561313625412</v>
      </c>
      <c r="I639" s="58">
        <v>-0.10353252295413473</v>
      </c>
      <c r="J639" s="58">
        <v>-1.8795852052107098E-2</v>
      </c>
    </row>
    <row r="640" spans="1:10" ht="11.25" customHeight="1" x14ac:dyDescent="0.2">
      <c r="A640" s="66" t="s">
        <v>36</v>
      </c>
      <c r="B640" s="57">
        <v>0</v>
      </c>
      <c r="C640" s="57">
        <v>0</v>
      </c>
      <c r="D640" s="57">
        <v>4521151.1216519997</v>
      </c>
      <c r="E640" s="57">
        <v>4685518.9246255364</v>
      </c>
      <c r="F640" s="57">
        <v>13725668.733796801</v>
      </c>
      <c r="G640" s="57">
        <v>12358508.990370672</v>
      </c>
      <c r="H640" s="58">
        <v>3.635529946928151E-2</v>
      </c>
      <c r="I640" s="58">
        <v>-9.9606057084837163E-2</v>
      </c>
      <c r="J640" s="58">
        <v>-6.5917894185458348E-2</v>
      </c>
    </row>
    <row r="641" spans="1:10" ht="11.25" customHeight="1" x14ac:dyDescent="0.2">
      <c r="A641" s="67">
        <v>43739</v>
      </c>
      <c r="B641" s="57">
        <v>0</v>
      </c>
      <c r="C641" s="57">
        <v>0</v>
      </c>
      <c r="D641" s="57">
        <v>397943.22941999999</v>
      </c>
      <c r="E641" s="57">
        <v>412410.574697337</v>
      </c>
      <c r="F641" s="57">
        <v>1208107.5803279998</v>
      </c>
      <c r="G641" s="57">
        <v>1087772.7477172248</v>
      </c>
      <c r="H641" s="58">
        <v>3.6355299469281288E-2</v>
      </c>
      <c r="I641" s="58">
        <v>-9.9606057084836941E-2</v>
      </c>
      <c r="J641" s="58">
        <v>-6.5917894185458237E-2</v>
      </c>
    </row>
    <row r="642" spans="1:10" ht="11.25" customHeight="1" x14ac:dyDescent="0.2">
      <c r="A642" s="67">
        <v>43770</v>
      </c>
      <c r="B642" s="57">
        <v>0</v>
      </c>
      <c r="C642" s="57">
        <v>0</v>
      </c>
      <c r="D642" s="57">
        <v>395073.88866</v>
      </c>
      <c r="E642" s="57">
        <v>409436.91819472786</v>
      </c>
      <c r="F642" s="57">
        <v>1199396.6083440001</v>
      </c>
      <c r="G642" s="57">
        <v>1079929.4413059277</v>
      </c>
      <c r="H642" s="58">
        <v>3.635529946928151E-2</v>
      </c>
      <c r="I642" s="58">
        <v>-9.9606057084837052E-2</v>
      </c>
      <c r="J642" s="58">
        <v>-6.5917894185458126E-2</v>
      </c>
    </row>
    <row r="643" spans="1:10" ht="11.25" customHeight="1" x14ac:dyDescent="0.2">
      <c r="A643" s="67">
        <v>43800</v>
      </c>
      <c r="B643" s="57">
        <v>0</v>
      </c>
      <c r="C643" s="57">
        <v>0</v>
      </c>
      <c r="D643" s="57">
        <v>352234.95067200001</v>
      </c>
      <c r="E643" s="57">
        <v>365040.55778722814</v>
      </c>
      <c r="F643" s="57">
        <v>1069342.7667648001</v>
      </c>
      <c r="G643" s="57">
        <v>962829.75009516778</v>
      </c>
      <c r="H643" s="58">
        <v>3.635529946928151E-2</v>
      </c>
      <c r="I643" s="58">
        <v>-9.9606057084837052E-2</v>
      </c>
      <c r="J643" s="58">
        <v>-6.5917894185458015E-2</v>
      </c>
    </row>
    <row r="644" spans="1:10" ht="11.25" customHeight="1" x14ac:dyDescent="0.2">
      <c r="A644" s="67">
        <v>43831</v>
      </c>
      <c r="B644" s="57">
        <v>0</v>
      </c>
      <c r="C644" s="57">
        <v>0</v>
      </c>
      <c r="D644" s="57">
        <v>403173.96108000004</v>
      </c>
      <c r="E644" s="57">
        <v>417831.4711732798</v>
      </c>
      <c r="F644" s="57">
        <v>1223987.4498720001</v>
      </c>
      <c r="G644" s="57">
        <v>1102070.8860689255</v>
      </c>
      <c r="H644" s="58">
        <v>3.6355299469281288E-2</v>
      </c>
      <c r="I644" s="58">
        <v>-9.9606057084837163E-2</v>
      </c>
      <c r="J644" s="58">
        <v>-6.5917894185458348E-2</v>
      </c>
    </row>
    <row r="645" spans="1:10" ht="11.25" customHeight="1" x14ac:dyDescent="0.2">
      <c r="A645" s="67">
        <v>43862</v>
      </c>
      <c r="B645" s="57">
        <v>0</v>
      </c>
      <c r="C645" s="57">
        <v>0</v>
      </c>
      <c r="D645" s="57">
        <v>410926.90346399997</v>
      </c>
      <c r="E645" s="57">
        <v>425866.27409941814</v>
      </c>
      <c r="F645" s="57">
        <v>1247524.4465375999</v>
      </c>
      <c r="G645" s="57">
        <v>1123263.4553010459</v>
      </c>
      <c r="H645" s="58">
        <v>3.6355299469281288E-2</v>
      </c>
      <c r="I645" s="58">
        <v>-9.9606057084837052E-2</v>
      </c>
      <c r="J645" s="58">
        <v>-6.5917894185458237E-2</v>
      </c>
    </row>
    <row r="646" spans="1:10" ht="11.25" customHeight="1" x14ac:dyDescent="0.2">
      <c r="A646" s="67">
        <v>43891</v>
      </c>
      <c r="B646" s="57">
        <v>0</v>
      </c>
      <c r="C646" s="57">
        <v>0</v>
      </c>
      <c r="D646" s="57">
        <v>383336.64256800001</v>
      </c>
      <c r="E646" s="57">
        <v>397272.96100610856</v>
      </c>
      <c r="F646" s="57">
        <v>1163763.7468512</v>
      </c>
      <c r="G646" s="57">
        <v>1047845.8286490756</v>
      </c>
      <c r="H646" s="58">
        <v>3.635529946928151E-2</v>
      </c>
      <c r="I646" s="58">
        <v>-9.9606057084837052E-2</v>
      </c>
      <c r="J646" s="58">
        <v>-6.5917894185458015E-2</v>
      </c>
    </row>
    <row r="647" spans="1:10" ht="11.25" customHeight="1" x14ac:dyDescent="0.2">
      <c r="A647" s="67">
        <v>43922</v>
      </c>
      <c r="B647" s="57">
        <v>0</v>
      </c>
      <c r="C647" s="57">
        <v>0</v>
      </c>
      <c r="D647" s="57">
        <v>389147.55924000003</v>
      </c>
      <c r="E647" s="57">
        <v>403295.13529391016</v>
      </c>
      <c r="F647" s="57">
        <v>1181404.988016</v>
      </c>
      <c r="G647" s="57">
        <v>1063729.8953393672</v>
      </c>
      <c r="H647" s="58">
        <v>3.635529946928151E-2</v>
      </c>
      <c r="I647" s="58">
        <v>-9.9606057084836941E-2</v>
      </c>
      <c r="J647" s="58">
        <v>-6.5917894185458237E-2</v>
      </c>
    </row>
    <row r="648" spans="1:10" ht="11.25" customHeight="1" x14ac:dyDescent="0.2">
      <c r="A648" s="67">
        <v>43952</v>
      </c>
      <c r="B648" s="57">
        <v>0</v>
      </c>
      <c r="C648" s="57">
        <v>0</v>
      </c>
      <c r="D648" s="57">
        <v>360177.62180400005</v>
      </c>
      <c r="E648" s="57">
        <v>373271.98710681801</v>
      </c>
      <c r="F648" s="57">
        <v>1093455.7569936002</v>
      </c>
      <c r="G648" s="57">
        <v>984540.94044275186</v>
      </c>
      <c r="H648" s="58">
        <v>3.6355299469281288E-2</v>
      </c>
      <c r="I648" s="58">
        <v>-9.9606057084837052E-2</v>
      </c>
      <c r="J648" s="58">
        <v>-6.5917894185458237E-2</v>
      </c>
    </row>
    <row r="649" spans="1:10" ht="11.25" customHeight="1" x14ac:dyDescent="0.2">
      <c r="A649" s="67">
        <v>43983</v>
      </c>
      <c r="B649" s="57">
        <v>0</v>
      </c>
      <c r="C649" s="57">
        <v>0</v>
      </c>
      <c r="D649" s="57">
        <v>357296.01890400006</v>
      </c>
      <c r="E649" s="57">
        <v>370285.62267043698</v>
      </c>
      <c r="F649" s="57">
        <v>1084707.5586336001</v>
      </c>
      <c r="G649" s="57">
        <v>976664.11562798743</v>
      </c>
      <c r="H649" s="58">
        <v>3.6355299469281288E-2</v>
      </c>
      <c r="I649" s="58">
        <v>-9.9606057084837163E-2</v>
      </c>
      <c r="J649" s="58">
        <v>-6.5917894185458126E-2</v>
      </c>
    </row>
    <row r="650" spans="1:10" ht="11.25" customHeight="1" x14ac:dyDescent="0.2">
      <c r="A650" s="67">
        <v>44013</v>
      </c>
      <c r="B650" s="57">
        <v>0</v>
      </c>
      <c r="C650" s="57">
        <v>0</v>
      </c>
      <c r="D650" s="57">
        <v>345733.34109599999</v>
      </c>
      <c r="E650" s="57">
        <v>358302.58024806029</v>
      </c>
      <c r="F650" s="57">
        <v>1049604.6653664</v>
      </c>
      <c r="G650" s="57">
        <v>945057.68315140309</v>
      </c>
      <c r="H650" s="58">
        <v>3.635529946928151E-2</v>
      </c>
      <c r="I650" s="58">
        <v>-9.9606057084837052E-2</v>
      </c>
      <c r="J650" s="58">
        <v>-6.5917894185458237E-2</v>
      </c>
    </row>
    <row r="651" spans="1:10" ht="11.25" customHeight="1" x14ac:dyDescent="0.2">
      <c r="A651" s="67">
        <v>44044</v>
      </c>
      <c r="B651" s="57">
        <v>0</v>
      </c>
      <c r="C651" s="57">
        <v>0</v>
      </c>
      <c r="D651" s="57">
        <v>363053.50237200002</v>
      </c>
      <c r="E651" s="57">
        <v>376252.42117410549</v>
      </c>
      <c r="F651" s="57">
        <v>1102186.5830448</v>
      </c>
      <c r="G651" s="57">
        <v>992402.12333589816</v>
      </c>
      <c r="H651" s="58">
        <v>3.6355299469281288E-2</v>
      </c>
      <c r="I651" s="58">
        <v>-9.9606057084837052E-2</v>
      </c>
      <c r="J651" s="58">
        <v>-6.5917894185458126E-2</v>
      </c>
    </row>
    <row r="652" spans="1:10" ht="11.25" customHeight="1" x14ac:dyDescent="0.2">
      <c r="A652" s="67">
        <v>44075</v>
      </c>
      <c r="B652" s="57">
        <v>0</v>
      </c>
      <c r="C652" s="57">
        <v>0</v>
      </c>
      <c r="D652" s="57">
        <v>363053.50237200002</v>
      </c>
      <c r="E652" s="57">
        <v>376252.42117410549</v>
      </c>
      <c r="F652" s="57">
        <v>1102186.5830448</v>
      </c>
      <c r="G652" s="57">
        <v>992402.12333589816</v>
      </c>
      <c r="H652" s="58">
        <v>3.6355299469281288E-2</v>
      </c>
      <c r="I652" s="58">
        <v>-9.9606057084837052E-2</v>
      </c>
      <c r="J652" s="58">
        <v>-6.5917894185458126E-2</v>
      </c>
    </row>
    <row r="653" spans="1:10" ht="11.25" customHeight="1" x14ac:dyDescent="0.2">
      <c r="A653" s="66" t="s">
        <v>25</v>
      </c>
      <c r="B653" s="57">
        <v>1564280.2535000001</v>
      </c>
      <c r="C653" s="57">
        <v>2033450.0977897425</v>
      </c>
      <c r="D653" s="57">
        <v>0</v>
      </c>
      <c r="E653" s="57">
        <v>0</v>
      </c>
      <c r="F653" s="57">
        <v>0</v>
      </c>
      <c r="G653" s="57">
        <v>0</v>
      </c>
      <c r="H653" s="58">
        <v>0.29992697487550446</v>
      </c>
      <c r="I653" s="58">
        <v>0</v>
      </c>
      <c r="J653" s="58">
        <v>0.29992697487550446</v>
      </c>
    </row>
    <row r="654" spans="1:10" ht="11.25" customHeight="1" x14ac:dyDescent="0.2">
      <c r="A654" s="67">
        <v>43739</v>
      </c>
      <c r="B654" s="57">
        <v>128802.20000000001</v>
      </c>
      <c r="C654" s="57">
        <v>167433.45420330972</v>
      </c>
      <c r="D654" s="57">
        <v>0</v>
      </c>
      <c r="E654" s="57">
        <v>0</v>
      </c>
      <c r="F654" s="57">
        <v>0</v>
      </c>
      <c r="G654" s="57">
        <v>0</v>
      </c>
      <c r="H654" s="58">
        <v>0.29992697487550446</v>
      </c>
      <c r="I654" s="58">
        <v>0</v>
      </c>
      <c r="J654" s="58">
        <v>0.29992697487550446</v>
      </c>
    </row>
    <row r="655" spans="1:10" ht="11.25" customHeight="1" x14ac:dyDescent="0.2">
      <c r="A655" s="67">
        <v>43770</v>
      </c>
      <c r="B655" s="57">
        <v>130135.15300000001</v>
      </c>
      <c r="C655" s="57">
        <v>169166.19576425094</v>
      </c>
      <c r="D655" s="57">
        <v>0</v>
      </c>
      <c r="E655" s="57">
        <v>0</v>
      </c>
      <c r="F655" s="57">
        <v>0</v>
      </c>
      <c r="G655" s="57">
        <v>0</v>
      </c>
      <c r="H655" s="58">
        <v>0.29992697487550446</v>
      </c>
      <c r="I655" s="58">
        <v>0</v>
      </c>
      <c r="J655" s="58">
        <v>0.29992697487550446</v>
      </c>
    </row>
    <row r="656" spans="1:10" ht="11.25" customHeight="1" x14ac:dyDescent="0.2">
      <c r="A656" s="67">
        <v>43800</v>
      </c>
      <c r="B656" s="57">
        <v>130449.67000000001</v>
      </c>
      <c r="C656" s="57">
        <v>169575.04489660787</v>
      </c>
      <c r="D656" s="57">
        <v>0</v>
      </c>
      <c r="E656" s="57">
        <v>0</v>
      </c>
      <c r="F656" s="57">
        <v>0</v>
      </c>
      <c r="G656" s="57">
        <v>0</v>
      </c>
      <c r="H656" s="58">
        <v>0.29992697487550446</v>
      </c>
      <c r="I656" s="58">
        <v>0</v>
      </c>
      <c r="J656" s="58">
        <v>0.29992697487550446</v>
      </c>
    </row>
    <row r="657" spans="1:10" ht="11.25" customHeight="1" x14ac:dyDescent="0.2">
      <c r="A657" s="67">
        <v>43831</v>
      </c>
      <c r="B657" s="57">
        <v>129318.9065</v>
      </c>
      <c r="C657" s="57">
        <v>168105.13492075322</v>
      </c>
      <c r="D657" s="57">
        <v>0</v>
      </c>
      <c r="E657" s="57">
        <v>0</v>
      </c>
      <c r="F657" s="57">
        <v>0</v>
      </c>
      <c r="G657" s="57">
        <v>0</v>
      </c>
      <c r="H657" s="58">
        <v>0.29992697487550446</v>
      </c>
      <c r="I657" s="58">
        <v>0</v>
      </c>
      <c r="J657" s="58">
        <v>0.29992697487550446</v>
      </c>
    </row>
    <row r="658" spans="1:10" ht="11.25" customHeight="1" x14ac:dyDescent="0.2">
      <c r="A658" s="67">
        <v>43862</v>
      </c>
      <c r="B658" s="57">
        <v>130988.842</v>
      </c>
      <c r="C658" s="57">
        <v>170275.92912350543</v>
      </c>
      <c r="D658" s="57">
        <v>0</v>
      </c>
      <c r="E658" s="57">
        <v>0</v>
      </c>
      <c r="F658" s="57">
        <v>0</v>
      </c>
      <c r="G658" s="57">
        <v>0</v>
      </c>
      <c r="H658" s="58">
        <v>0.29992697487550446</v>
      </c>
      <c r="I658" s="58">
        <v>0</v>
      </c>
      <c r="J658" s="58">
        <v>0.29992697487550446</v>
      </c>
    </row>
    <row r="659" spans="1:10" ht="11.25" customHeight="1" x14ac:dyDescent="0.2">
      <c r="A659" s="67">
        <v>43891</v>
      </c>
      <c r="B659" s="57">
        <v>130973.86500000001</v>
      </c>
      <c r="C659" s="57">
        <v>170256.46011720272</v>
      </c>
      <c r="D659" s="57">
        <v>0</v>
      </c>
      <c r="E659" s="57">
        <v>0</v>
      </c>
      <c r="F659" s="57">
        <v>0</v>
      </c>
      <c r="G659" s="57">
        <v>0</v>
      </c>
      <c r="H659" s="58">
        <v>0.29992697487550446</v>
      </c>
      <c r="I659" s="58">
        <v>0</v>
      </c>
      <c r="J659" s="58">
        <v>0.29992697487550446</v>
      </c>
    </row>
    <row r="660" spans="1:10" ht="11.25" customHeight="1" x14ac:dyDescent="0.2">
      <c r="A660" s="67">
        <v>43922</v>
      </c>
      <c r="B660" s="57">
        <v>131348.29</v>
      </c>
      <c r="C660" s="57">
        <v>170743.18527477048</v>
      </c>
      <c r="D660" s="57">
        <v>0</v>
      </c>
      <c r="E660" s="57">
        <v>0</v>
      </c>
      <c r="F660" s="57">
        <v>0</v>
      </c>
      <c r="G660" s="57">
        <v>0</v>
      </c>
      <c r="H660" s="58">
        <v>0.29992697487550446</v>
      </c>
      <c r="I660" s="58">
        <v>0</v>
      </c>
      <c r="J660" s="58">
        <v>0.29992697487550446</v>
      </c>
    </row>
    <row r="661" spans="1:10" ht="11.25" customHeight="1" x14ac:dyDescent="0.2">
      <c r="A661" s="67">
        <v>43952</v>
      </c>
      <c r="B661" s="57">
        <v>130247.48050000001</v>
      </c>
      <c r="C661" s="57">
        <v>169312.21331152125</v>
      </c>
      <c r="D661" s="57">
        <v>0</v>
      </c>
      <c r="E661" s="57">
        <v>0</v>
      </c>
      <c r="F661" s="57">
        <v>0</v>
      </c>
      <c r="G661" s="57">
        <v>0</v>
      </c>
      <c r="H661" s="58">
        <v>0.29992697487550424</v>
      </c>
      <c r="I661" s="58">
        <v>0</v>
      </c>
      <c r="J661" s="58">
        <v>0.29992697487550424</v>
      </c>
    </row>
    <row r="662" spans="1:10" ht="11.25" customHeight="1" x14ac:dyDescent="0.2">
      <c r="A662" s="67">
        <v>43983</v>
      </c>
      <c r="B662" s="57">
        <v>130254.969</v>
      </c>
      <c r="C662" s="57">
        <v>169321.94781467263</v>
      </c>
      <c r="D662" s="57">
        <v>0</v>
      </c>
      <c r="E662" s="57">
        <v>0</v>
      </c>
      <c r="F662" s="57">
        <v>0</v>
      </c>
      <c r="G662" s="57">
        <v>0</v>
      </c>
      <c r="H662" s="58">
        <v>0.29992697487550468</v>
      </c>
      <c r="I662" s="58">
        <v>0</v>
      </c>
      <c r="J662" s="58">
        <v>0.29992697487550468</v>
      </c>
    </row>
    <row r="663" spans="1:10" ht="11.25" customHeight="1" x14ac:dyDescent="0.2">
      <c r="A663" s="67">
        <v>44013</v>
      </c>
      <c r="B663" s="57">
        <v>130127.6645</v>
      </c>
      <c r="C663" s="57">
        <v>169156.46126109958</v>
      </c>
      <c r="D663" s="57">
        <v>0</v>
      </c>
      <c r="E663" s="57">
        <v>0</v>
      </c>
      <c r="F663" s="57">
        <v>0</v>
      </c>
      <c r="G663" s="57">
        <v>0</v>
      </c>
      <c r="H663" s="58">
        <v>0.29992697487550446</v>
      </c>
      <c r="I663" s="58">
        <v>0</v>
      </c>
      <c r="J663" s="58">
        <v>0.29992697487550446</v>
      </c>
    </row>
    <row r="664" spans="1:10" ht="11.25" customHeight="1" x14ac:dyDescent="0.2">
      <c r="A664" s="67">
        <v>44044</v>
      </c>
      <c r="B664" s="57">
        <v>130816.60650000001</v>
      </c>
      <c r="C664" s="57">
        <v>170052.03555102425</v>
      </c>
      <c r="D664" s="57">
        <v>0</v>
      </c>
      <c r="E664" s="57">
        <v>0</v>
      </c>
      <c r="F664" s="57">
        <v>0</v>
      </c>
      <c r="G664" s="57">
        <v>0</v>
      </c>
      <c r="H664" s="58">
        <v>0.29992697487550446</v>
      </c>
      <c r="I664" s="58">
        <v>0</v>
      </c>
      <c r="J664" s="58">
        <v>0.29992697487550446</v>
      </c>
    </row>
    <row r="665" spans="1:10" ht="11.25" customHeight="1" x14ac:dyDescent="0.2">
      <c r="A665" s="67">
        <v>44075</v>
      </c>
      <c r="B665" s="57">
        <v>130816.60650000001</v>
      </c>
      <c r="C665" s="57">
        <v>170052.03555102425</v>
      </c>
      <c r="D665" s="57">
        <v>0</v>
      </c>
      <c r="E665" s="57">
        <v>0</v>
      </c>
      <c r="F665" s="57">
        <v>0</v>
      </c>
      <c r="G665" s="57">
        <v>0</v>
      </c>
      <c r="H665" s="58">
        <v>0.29992697487550446</v>
      </c>
      <c r="I665" s="58">
        <v>0</v>
      </c>
      <c r="J665" s="58">
        <v>0.29992697487550446</v>
      </c>
    </row>
    <row r="666" spans="1:10" ht="11.25" customHeight="1" x14ac:dyDescent="0.2">
      <c r="A666" s="66" t="s">
        <v>35</v>
      </c>
      <c r="B666" s="57">
        <v>0</v>
      </c>
      <c r="C666" s="57">
        <v>0</v>
      </c>
      <c r="D666" s="57">
        <v>3278212.3858263995</v>
      </c>
      <c r="E666" s="57">
        <v>3818179.1340971976</v>
      </c>
      <c r="F666" s="57">
        <v>2200164.1313431999</v>
      </c>
      <c r="G666" s="57">
        <v>1918482.2180955135</v>
      </c>
      <c r="H666" s="58">
        <v>0.16471377834010559</v>
      </c>
      <c r="I666" s="58">
        <v>-0.12802768176923218</v>
      </c>
      <c r="J666" s="58">
        <v>4.7146236519821194E-2</v>
      </c>
    </row>
    <row r="667" spans="1:10" ht="11.25" customHeight="1" x14ac:dyDescent="0.2">
      <c r="A667" s="67">
        <v>43739</v>
      </c>
      <c r="B667" s="57">
        <v>0</v>
      </c>
      <c r="C667" s="57">
        <v>0</v>
      </c>
      <c r="D667" s="57">
        <v>282485.20417039999</v>
      </c>
      <c r="E667" s="57">
        <v>329014.40947448264</v>
      </c>
      <c r="F667" s="57">
        <v>189589.2458152</v>
      </c>
      <c r="G667" s="57">
        <v>165316.57418510283</v>
      </c>
      <c r="H667" s="58">
        <v>0.16471377834010537</v>
      </c>
      <c r="I667" s="58">
        <v>-0.12802768176923229</v>
      </c>
      <c r="J667" s="58">
        <v>4.7146236519820972E-2</v>
      </c>
    </row>
    <row r="668" spans="1:10" ht="11.25" customHeight="1" x14ac:dyDescent="0.2">
      <c r="A668" s="67">
        <v>43770</v>
      </c>
      <c r="B668" s="57">
        <v>0</v>
      </c>
      <c r="C668" s="57">
        <v>0</v>
      </c>
      <c r="D668" s="57">
        <v>268511.70118960005</v>
      </c>
      <c r="E668" s="57">
        <v>312739.27802106843</v>
      </c>
      <c r="F668" s="57">
        <v>180210.96386480003</v>
      </c>
      <c r="G668" s="57">
        <v>157138.97193179079</v>
      </c>
      <c r="H668" s="58">
        <v>0.16471377834010537</v>
      </c>
      <c r="I668" s="58">
        <v>-0.12802768176923229</v>
      </c>
      <c r="J668" s="58">
        <v>4.7146236519820972E-2</v>
      </c>
    </row>
    <row r="669" spans="1:10" ht="11.25" customHeight="1" x14ac:dyDescent="0.2">
      <c r="A669" s="67">
        <v>43800</v>
      </c>
      <c r="B669" s="57">
        <v>0</v>
      </c>
      <c r="C669" s="57">
        <v>0</v>
      </c>
      <c r="D669" s="57">
        <v>257752.20558559999</v>
      </c>
      <c r="E669" s="57">
        <v>300207.5452430998</v>
      </c>
      <c r="F669" s="57">
        <v>172989.75501280001</v>
      </c>
      <c r="G669" s="57">
        <v>150842.2777086838</v>
      </c>
      <c r="H669" s="58">
        <v>0.16471377834010537</v>
      </c>
      <c r="I669" s="58">
        <v>-0.12802768176923229</v>
      </c>
      <c r="J669" s="58">
        <v>4.7146236519821194E-2</v>
      </c>
    </row>
    <row r="670" spans="1:10" ht="11.25" customHeight="1" x14ac:dyDescent="0.2">
      <c r="A670" s="67">
        <v>43831</v>
      </c>
      <c r="B670" s="57">
        <v>0</v>
      </c>
      <c r="C670" s="57">
        <v>0</v>
      </c>
      <c r="D670" s="57">
        <v>287368.07739200001</v>
      </c>
      <c r="E670" s="57">
        <v>334701.55919356819</v>
      </c>
      <c r="F670" s="57">
        <v>192866.37409600001</v>
      </c>
      <c r="G670" s="57">
        <v>168174.13932925163</v>
      </c>
      <c r="H670" s="58">
        <v>0.16471377834010559</v>
      </c>
      <c r="I670" s="58">
        <v>-0.12802768176923218</v>
      </c>
      <c r="J670" s="58">
        <v>4.7146236519821194E-2</v>
      </c>
    </row>
    <row r="671" spans="1:10" ht="11.25" customHeight="1" x14ac:dyDescent="0.2">
      <c r="A671" s="67">
        <v>43862</v>
      </c>
      <c r="B671" s="57">
        <v>0</v>
      </c>
      <c r="C671" s="57">
        <v>0</v>
      </c>
      <c r="D671" s="57">
        <v>302968.63982880005</v>
      </c>
      <c r="E671" s="57">
        <v>352871.74921356421</v>
      </c>
      <c r="F671" s="57">
        <v>203336.65297440003</v>
      </c>
      <c r="G671" s="57">
        <v>177303.93267537272</v>
      </c>
      <c r="H671" s="58">
        <v>0.16471377834010537</v>
      </c>
      <c r="I671" s="58">
        <v>-0.12802768176923229</v>
      </c>
      <c r="J671" s="58">
        <v>4.714623651982075E-2</v>
      </c>
    </row>
    <row r="672" spans="1:10" ht="11.25" customHeight="1" x14ac:dyDescent="0.2">
      <c r="A672" s="67">
        <v>43891</v>
      </c>
      <c r="B672" s="57">
        <v>0</v>
      </c>
      <c r="C672" s="57">
        <v>0</v>
      </c>
      <c r="D672" s="57">
        <v>272239.24920720002</v>
      </c>
      <c r="E672" s="57">
        <v>317080.80455659144</v>
      </c>
      <c r="F672" s="57">
        <v>182712.69849360001</v>
      </c>
      <c r="G672" s="57">
        <v>159320.41527566369</v>
      </c>
      <c r="H672" s="58">
        <v>0.16471377834010537</v>
      </c>
      <c r="I672" s="58">
        <v>-0.12802768176923229</v>
      </c>
      <c r="J672" s="58">
        <v>4.7146236519820972E-2</v>
      </c>
    </row>
    <row r="673" spans="1:10" ht="11.25" customHeight="1" x14ac:dyDescent="0.2">
      <c r="A673" s="67">
        <v>43922</v>
      </c>
      <c r="B673" s="57">
        <v>0</v>
      </c>
      <c r="C673" s="57">
        <v>0</v>
      </c>
      <c r="D673" s="57">
        <v>284380.61544640001</v>
      </c>
      <c r="E673" s="57">
        <v>331222.0211032611</v>
      </c>
      <c r="F673" s="57">
        <v>190861.34640320003</v>
      </c>
      <c r="G673" s="57">
        <v>166425.81068384391</v>
      </c>
      <c r="H673" s="58">
        <v>0.16471377834010537</v>
      </c>
      <c r="I673" s="58">
        <v>-0.1280276817692324</v>
      </c>
      <c r="J673" s="58">
        <v>4.7146236519820972E-2</v>
      </c>
    </row>
    <row r="674" spans="1:10" ht="11.25" customHeight="1" x14ac:dyDescent="0.2">
      <c r="A674" s="67">
        <v>43952</v>
      </c>
      <c r="B674" s="57">
        <v>0</v>
      </c>
      <c r="C674" s="57">
        <v>0</v>
      </c>
      <c r="D674" s="57">
        <v>247639.01415440001</v>
      </c>
      <c r="E674" s="57">
        <v>288428.57184019004</v>
      </c>
      <c r="F674" s="57">
        <v>166202.31160720001</v>
      </c>
      <c r="G674" s="57">
        <v>144923.81494744262</v>
      </c>
      <c r="H674" s="58">
        <v>0.16471377834010537</v>
      </c>
      <c r="I674" s="58">
        <v>-0.12802768176923229</v>
      </c>
      <c r="J674" s="58">
        <v>4.714623651982075E-2</v>
      </c>
    </row>
    <row r="675" spans="1:10" ht="11.25" customHeight="1" x14ac:dyDescent="0.2">
      <c r="A675" s="67">
        <v>43983</v>
      </c>
      <c r="B675" s="57">
        <v>0</v>
      </c>
      <c r="C675" s="57">
        <v>0</v>
      </c>
      <c r="D675" s="57">
        <v>266006.14261760004</v>
      </c>
      <c r="E675" s="57">
        <v>309821.01942982187</v>
      </c>
      <c r="F675" s="57">
        <v>178529.36442880001</v>
      </c>
      <c r="G675" s="57">
        <v>155672.66377324631</v>
      </c>
      <c r="H675" s="58">
        <v>0.16471377834010537</v>
      </c>
      <c r="I675" s="58">
        <v>-0.12802768176923218</v>
      </c>
      <c r="J675" s="58">
        <v>4.7146236519820972E-2</v>
      </c>
    </row>
    <row r="676" spans="1:10" ht="11.25" customHeight="1" x14ac:dyDescent="0.2">
      <c r="A676" s="67">
        <v>44013</v>
      </c>
      <c r="B676" s="57">
        <v>0</v>
      </c>
      <c r="C676" s="57">
        <v>0</v>
      </c>
      <c r="D676" s="57">
        <v>257599.10381039997</v>
      </c>
      <c r="E676" s="57">
        <v>300029.225496036</v>
      </c>
      <c r="F676" s="57">
        <v>172887.0011352</v>
      </c>
      <c r="G676" s="57">
        <v>150752.6791718257</v>
      </c>
      <c r="H676" s="58">
        <v>0.16471377834010537</v>
      </c>
      <c r="I676" s="58">
        <v>-0.1280276817692324</v>
      </c>
      <c r="J676" s="58">
        <v>4.7146236519820972E-2</v>
      </c>
    </row>
    <row r="677" spans="1:10" ht="11.25" customHeight="1" x14ac:dyDescent="0.2">
      <c r="A677" s="67">
        <v>44044</v>
      </c>
      <c r="B677" s="57">
        <v>0</v>
      </c>
      <c r="C677" s="57">
        <v>0</v>
      </c>
      <c r="D677" s="57">
        <v>275631.216212</v>
      </c>
      <c r="E677" s="57">
        <v>321031.47526275704</v>
      </c>
      <c r="F677" s="57">
        <v>184989.20875600001</v>
      </c>
      <c r="G677" s="57">
        <v>161305.46920664475</v>
      </c>
      <c r="H677" s="58">
        <v>0.16471377834010537</v>
      </c>
      <c r="I677" s="58">
        <v>-0.1280276817692324</v>
      </c>
      <c r="J677" s="58">
        <v>4.7146236519820972E-2</v>
      </c>
    </row>
    <row r="678" spans="1:10" ht="11.25" customHeight="1" x14ac:dyDescent="0.2">
      <c r="A678" s="67">
        <v>44075</v>
      </c>
      <c r="B678" s="57">
        <v>0</v>
      </c>
      <c r="C678" s="57">
        <v>0</v>
      </c>
      <c r="D678" s="57">
        <v>275631.216212</v>
      </c>
      <c r="E678" s="57">
        <v>321031.47526275704</v>
      </c>
      <c r="F678" s="57">
        <v>184989.20875600001</v>
      </c>
      <c r="G678" s="57">
        <v>161305.46920664475</v>
      </c>
      <c r="H678" s="58">
        <v>0.16471377834010537</v>
      </c>
      <c r="I678" s="58">
        <v>-0.1280276817692324</v>
      </c>
      <c r="J678" s="58">
        <v>4.7146236519820972E-2</v>
      </c>
    </row>
    <row r="679" spans="1:10" ht="11.25" customHeight="1" x14ac:dyDescent="0.2">
      <c r="A679" s="63" t="s">
        <v>58</v>
      </c>
      <c r="B679" s="57">
        <v>341246.54000000004</v>
      </c>
      <c r="C679" s="57">
        <v>443595.58242893283</v>
      </c>
      <c r="D679" s="57">
        <v>381298.88673999993</v>
      </c>
      <c r="E679" s="57">
        <v>411777.32029980666</v>
      </c>
      <c r="F679" s="57">
        <v>851459.28832999989</v>
      </c>
      <c r="G679" s="57">
        <v>764179.48503790714</v>
      </c>
      <c r="H679" s="58">
        <v>0.18383269905676936</v>
      </c>
      <c r="I679" s="58">
        <v>-0.10250613797786856</v>
      </c>
      <c r="J679" s="58">
        <v>2.8937443617899961E-2</v>
      </c>
    </row>
    <row r="680" spans="1:10" ht="11.25" customHeight="1" x14ac:dyDescent="0.2">
      <c r="A680" s="64" t="s">
        <v>25</v>
      </c>
      <c r="B680" s="57">
        <v>341246.54000000004</v>
      </c>
      <c r="C680" s="57">
        <v>443595.58242893283</v>
      </c>
      <c r="D680" s="57">
        <v>381298.88673999993</v>
      </c>
      <c r="E680" s="57">
        <v>411777.32029980666</v>
      </c>
      <c r="F680" s="57">
        <v>851459.28832999989</v>
      </c>
      <c r="G680" s="57">
        <v>764179.48503790714</v>
      </c>
      <c r="H680" s="58">
        <v>0.18383269905676936</v>
      </c>
      <c r="I680" s="58">
        <v>-0.10250613797786856</v>
      </c>
      <c r="J680" s="58">
        <v>2.8937443617899961E-2</v>
      </c>
    </row>
    <row r="681" spans="1:10" ht="11.25" customHeight="1" x14ac:dyDescent="0.2">
      <c r="A681" s="65" t="s">
        <v>25</v>
      </c>
      <c r="B681" s="57">
        <v>341246.54000000004</v>
      </c>
      <c r="C681" s="57">
        <v>443595.58242893283</v>
      </c>
      <c r="D681" s="57">
        <v>381298.88673999993</v>
      </c>
      <c r="E681" s="57">
        <v>411777.32029980666</v>
      </c>
      <c r="F681" s="57">
        <v>851459.28832999989</v>
      </c>
      <c r="G681" s="57">
        <v>764179.48503790714</v>
      </c>
      <c r="H681" s="58">
        <v>0.18383269905676936</v>
      </c>
      <c r="I681" s="58">
        <v>-0.10250613797786856</v>
      </c>
      <c r="J681" s="58">
        <v>2.8937443617899961E-2</v>
      </c>
    </row>
    <row r="682" spans="1:10" ht="11.25" customHeight="1" x14ac:dyDescent="0.2">
      <c r="A682" s="66" t="s">
        <v>36</v>
      </c>
      <c r="B682" s="57">
        <v>0</v>
      </c>
      <c r="C682" s="57">
        <v>0</v>
      </c>
      <c r="D682" s="57">
        <v>251847.38115000003</v>
      </c>
      <c r="E682" s="57">
        <v>261003.36811226251</v>
      </c>
      <c r="F682" s="57">
        <v>764578.23065999988</v>
      </c>
      <c r="G682" s="57">
        <v>688421.60777105635</v>
      </c>
      <c r="H682" s="58">
        <v>3.6355299469281288E-2</v>
      </c>
      <c r="I682" s="58">
        <v>-9.960605708483683E-2</v>
      </c>
      <c r="J682" s="58">
        <v>-6.5917894185458126E-2</v>
      </c>
    </row>
    <row r="683" spans="1:10" ht="11.25" customHeight="1" x14ac:dyDescent="0.2">
      <c r="A683" s="67">
        <v>43770</v>
      </c>
      <c r="B683" s="57">
        <v>0</v>
      </c>
      <c r="C683" s="57">
        <v>0</v>
      </c>
      <c r="D683" s="57">
        <v>43700.8482</v>
      </c>
      <c r="E683" s="57">
        <v>45289.605623372605</v>
      </c>
      <c r="F683" s="57">
        <v>132670.49687999999</v>
      </c>
      <c r="G683" s="57">
        <v>119455.71179429702</v>
      </c>
      <c r="H683" s="58">
        <v>3.6355299469281288E-2</v>
      </c>
      <c r="I683" s="58">
        <v>-9.9606057084837052E-2</v>
      </c>
      <c r="J683" s="58">
        <v>-6.5917894185458126E-2</v>
      </c>
    </row>
    <row r="684" spans="1:10" ht="11.25" customHeight="1" x14ac:dyDescent="0.2">
      <c r="A684" s="67">
        <v>43800</v>
      </c>
      <c r="B684" s="57">
        <v>0</v>
      </c>
      <c r="C684" s="57">
        <v>0</v>
      </c>
      <c r="D684" s="57">
        <v>24086.829000000002</v>
      </c>
      <c r="E684" s="57">
        <v>24962.512881560375</v>
      </c>
      <c r="F684" s="57">
        <v>73124.703600000008</v>
      </c>
      <c r="G684" s="57">
        <v>65841.040198906616</v>
      </c>
      <c r="H684" s="58">
        <v>3.635529946928151E-2</v>
      </c>
      <c r="I684" s="58">
        <v>-9.9606057084837052E-2</v>
      </c>
      <c r="J684" s="58">
        <v>-6.5917894185458237E-2</v>
      </c>
    </row>
    <row r="685" spans="1:10" ht="11.25" customHeight="1" x14ac:dyDescent="0.2">
      <c r="A685" s="67">
        <v>43831</v>
      </c>
      <c r="B685" s="57">
        <v>0</v>
      </c>
      <c r="C685" s="57">
        <v>0</v>
      </c>
      <c r="D685" s="57">
        <v>18902.190150000002</v>
      </c>
      <c r="E685" s="57">
        <v>19589.384933528552</v>
      </c>
      <c r="F685" s="57">
        <v>57384.766259999997</v>
      </c>
      <c r="G685" s="57">
        <v>51668.895956106411</v>
      </c>
      <c r="H685" s="58">
        <v>3.6355299469281288E-2</v>
      </c>
      <c r="I685" s="58">
        <v>-9.9606057084836941E-2</v>
      </c>
      <c r="J685" s="58">
        <v>-6.5917894185458126E-2</v>
      </c>
    </row>
    <row r="686" spans="1:10" ht="11.25" customHeight="1" x14ac:dyDescent="0.2">
      <c r="A686" s="67">
        <v>43862</v>
      </c>
      <c r="B686" s="57">
        <v>0</v>
      </c>
      <c r="C686" s="57">
        <v>0</v>
      </c>
      <c r="D686" s="57">
        <v>21075.1731</v>
      </c>
      <c r="E686" s="57">
        <v>21841.367329417444</v>
      </c>
      <c r="F686" s="57">
        <v>63981.680039999999</v>
      </c>
      <c r="G686" s="57">
        <v>57608.717165551978</v>
      </c>
      <c r="H686" s="58">
        <v>3.635529946928151E-2</v>
      </c>
      <c r="I686" s="58">
        <v>-9.9606057084837052E-2</v>
      </c>
      <c r="J686" s="58">
        <v>-6.5917894185458015E-2</v>
      </c>
    </row>
    <row r="687" spans="1:10" ht="11.25" customHeight="1" x14ac:dyDescent="0.2">
      <c r="A687" s="67">
        <v>43891</v>
      </c>
      <c r="B687" s="57">
        <v>0</v>
      </c>
      <c r="C687" s="57">
        <v>0</v>
      </c>
      <c r="D687" s="57">
        <v>18877.530750000002</v>
      </c>
      <c r="E687" s="57">
        <v>19563.829033656817</v>
      </c>
      <c r="F687" s="57">
        <v>57309.903299999998</v>
      </c>
      <c r="G687" s="57">
        <v>51601.489800373711</v>
      </c>
      <c r="H687" s="58">
        <v>3.6355299469281288E-2</v>
      </c>
      <c r="I687" s="58">
        <v>-9.9606057084836941E-2</v>
      </c>
      <c r="J687" s="58">
        <v>-6.5917894185458015E-2</v>
      </c>
    </row>
    <row r="688" spans="1:10" ht="11.25" customHeight="1" x14ac:dyDescent="0.2">
      <c r="A688" s="67">
        <v>43922</v>
      </c>
      <c r="B688" s="57">
        <v>0</v>
      </c>
      <c r="C688" s="57">
        <v>0</v>
      </c>
      <c r="D688" s="57">
        <v>18568.105950000001</v>
      </c>
      <c r="E688" s="57">
        <v>19243.155002389598</v>
      </c>
      <c r="F688" s="57">
        <v>56370.526980000002</v>
      </c>
      <c r="G688" s="57">
        <v>50755.681051727777</v>
      </c>
      <c r="H688" s="58">
        <v>3.635529946928151E-2</v>
      </c>
      <c r="I688" s="58">
        <v>-9.9606057084837052E-2</v>
      </c>
      <c r="J688" s="58">
        <v>-6.5917894185458126E-2</v>
      </c>
    </row>
    <row r="689" spans="1:10" ht="11.25" customHeight="1" x14ac:dyDescent="0.2">
      <c r="A689" s="67">
        <v>43952</v>
      </c>
      <c r="B689" s="57">
        <v>0</v>
      </c>
      <c r="C689" s="57">
        <v>0</v>
      </c>
      <c r="D689" s="57">
        <v>20599.466250000001</v>
      </c>
      <c r="E689" s="57">
        <v>21348.366014426105</v>
      </c>
      <c r="F689" s="57">
        <v>62537.491500000004</v>
      </c>
      <c r="G689" s="57">
        <v>56308.378551708491</v>
      </c>
      <c r="H689" s="58">
        <v>3.6355299469281288E-2</v>
      </c>
      <c r="I689" s="58">
        <v>-9.9606057084837052E-2</v>
      </c>
      <c r="J689" s="58">
        <v>-6.5917894185458126E-2</v>
      </c>
    </row>
    <row r="690" spans="1:10" ht="11.25" customHeight="1" x14ac:dyDescent="0.2">
      <c r="A690" s="67">
        <v>43983</v>
      </c>
      <c r="B690" s="57">
        <v>0</v>
      </c>
      <c r="C690" s="57">
        <v>0</v>
      </c>
      <c r="D690" s="57">
        <v>22169.982899999999</v>
      </c>
      <c r="E690" s="57">
        <v>22975.979267558345</v>
      </c>
      <c r="F690" s="57">
        <v>67305.39035999999</v>
      </c>
      <c r="G690" s="57">
        <v>60601.365805684596</v>
      </c>
      <c r="H690" s="58">
        <v>3.6355299469281288E-2</v>
      </c>
      <c r="I690" s="58">
        <v>-9.9606057084836941E-2</v>
      </c>
      <c r="J690" s="58">
        <v>-6.5917894185458237E-2</v>
      </c>
    </row>
    <row r="691" spans="1:10" ht="11.25" customHeight="1" x14ac:dyDescent="0.2">
      <c r="A691" s="67">
        <v>44013</v>
      </c>
      <c r="B691" s="57">
        <v>0</v>
      </c>
      <c r="C691" s="57">
        <v>0</v>
      </c>
      <c r="D691" s="57">
        <v>18284.353950000001</v>
      </c>
      <c r="E691" s="57">
        <v>18949.087113454589</v>
      </c>
      <c r="F691" s="57">
        <v>55509.090179999999</v>
      </c>
      <c r="G691" s="57">
        <v>49980.04857480355</v>
      </c>
      <c r="H691" s="58">
        <v>3.6355299469281288E-2</v>
      </c>
      <c r="I691" s="58">
        <v>-9.9606057084837052E-2</v>
      </c>
      <c r="J691" s="58">
        <v>-6.5917894185458348E-2</v>
      </c>
    </row>
    <row r="692" spans="1:10" ht="11.25" customHeight="1" x14ac:dyDescent="0.2">
      <c r="A692" s="67">
        <v>44044</v>
      </c>
      <c r="B692" s="57">
        <v>0</v>
      </c>
      <c r="C692" s="57">
        <v>0</v>
      </c>
      <c r="D692" s="57">
        <v>22791.450449999997</v>
      </c>
      <c r="E692" s="57">
        <v>23620.040456449035</v>
      </c>
      <c r="F692" s="57">
        <v>69192.090779999999</v>
      </c>
      <c r="G692" s="57">
        <v>62300.139435948084</v>
      </c>
      <c r="H692" s="58">
        <v>3.6355299469281288E-2</v>
      </c>
      <c r="I692" s="58">
        <v>-9.9606057084837163E-2</v>
      </c>
      <c r="J692" s="58">
        <v>-6.5917894185458348E-2</v>
      </c>
    </row>
    <row r="693" spans="1:10" ht="11.25" customHeight="1" x14ac:dyDescent="0.2">
      <c r="A693" s="67">
        <v>44075</v>
      </c>
      <c r="B693" s="57">
        <v>0</v>
      </c>
      <c r="C693" s="57">
        <v>0</v>
      </c>
      <c r="D693" s="57">
        <v>22791.450449999997</v>
      </c>
      <c r="E693" s="57">
        <v>23620.040456449035</v>
      </c>
      <c r="F693" s="57">
        <v>69192.090779999999</v>
      </c>
      <c r="G693" s="57">
        <v>62300.139435948084</v>
      </c>
      <c r="H693" s="58">
        <v>3.6355299469281288E-2</v>
      </c>
      <c r="I693" s="58">
        <v>-9.9606057084837163E-2</v>
      </c>
      <c r="J693" s="58">
        <v>-6.5917894185458348E-2</v>
      </c>
    </row>
    <row r="694" spans="1:10" ht="11.25" customHeight="1" x14ac:dyDescent="0.2">
      <c r="A694" s="66" t="s">
        <v>25</v>
      </c>
      <c r="B694" s="57">
        <v>341246.54000000004</v>
      </c>
      <c r="C694" s="57">
        <v>443595.58242893283</v>
      </c>
      <c r="D694" s="57">
        <v>0</v>
      </c>
      <c r="E694" s="57">
        <v>0</v>
      </c>
      <c r="F694" s="57">
        <v>0</v>
      </c>
      <c r="G694" s="57">
        <v>0</v>
      </c>
      <c r="H694" s="58">
        <v>0.29992697487550424</v>
      </c>
      <c r="I694" s="58">
        <v>0</v>
      </c>
      <c r="J694" s="58">
        <v>0.29992697487550424</v>
      </c>
    </row>
    <row r="695" spans="1:10" ht="11.25" customHeight="1" x14ac:dyDescent="0.2">
      <c r="A695" s="67">
        <v>43770</v>
      </c>
      <c r="B695" s="57">
        <v>64286.570000000007</v>
      </c>
      <c r="C695" s="57">
        <v>83567.846465222363</v>
      </c>
      <c r="D695" s="57">
        <v>0</v>
      </c>
      <c r="E695" s="57">
        <v>0</v>
      </c>
      <c r="F695" s="57">
        <v>0</v>
      </c>
      <c r="G695" s="57">
        <v>0</v>
      </c>
      <c r="H695" s="58">
        <v>0.29992697487550446</v>
      </c>
      <c r="I695" s="58">
        <v>0</v>
      </c>
      <c r="J695" s="58">
        <v>0.29992697487550446</v>
      </c>
    </row>
    <row r="696" spans="1:10" ht="11.25" customHeight="1" x14ac:dyDescent="0.2">
      <c r="A696" s="67">
        <v>43800</v>
      </c>
      <c r="B696" s="57">
        <v>28288.91</v>
      </c>
      <c r="C696" s="57">
        <v>36773.517198825408</v>
      </c>
      <c r="D696" s="57">
        <v>0</v>
      </c>
      <c r="E696" s="57">
        <v>0</v>
      </c>
      <c r="F696" s="57">
        <v>0</v>
      </c>
      <c r="G696" s="57">
        <v>0</v>
      </c>
      <c r="H696" s="58">
        <v>0.29992697487550446</v>
      </c>
      <c r="I696" s="58">
        <v>0</v>
      </c>
      <c r="J696" s="58">
        <v>0.29992697487550446</v>
      </c>
    </row>
    <row r="697" spans="1:10" ht="11.25" customHeight="1" x14ac:dyDescent="0.2">
      <c r="A697" s="67">
        <v>43831</v>
      </c>
      <c r="B697" s="57">
        <v>24668</v>
      </c>
      <c r="C697" s="57">
        <v>32066.598616228945</v>
      </c>
      <c r="D697" s="57">
        <v>0</v>
      </c>
      <c r="E697" s="57">
        <v>0</v>
      </c>
      <c r="F697" s="57">
        <v>0</v>
      </c>
      <c r="G697" s="57">
        <v>0</v>
      </c>
      <c r="H697" s="58">
        <v>0.29992697487550446</v>
      </c>
      <c r="I697" s="58">
        <v>0</v>
      </c>
      <c r="J697" s="58">
        <v>0.29992697487550446</v>
      </c>
    </row>
    <row r="698" spans="1:10" ht="11.25" customHeight="1" x14ac:dyDescent="0.2">
      <c r="A698" s="67">
        <v>43862</v>
      </c>
      <c r="B698" s="57">
        <v>25945.45</v>
      </c>
      <c r="C698" s="57">
        <v>33727.190330283658</v>
      </c>
      <c r="D698" s="57">
        <v>0</v>
      </c>
      <c r="E698" s="57">
        <v>0</v>
      </c>
      <c r="F698" s="57">
        <v>0</v>
      </c>
      <c r="G698" s="57">
        <v>0</v>
      </c>
      <c r="H698" s="58">
        <v>0.29992697487550446</v>
      </c>
      <c r="I698" s="58">
        <v>0</v>
      </c>
      <c r="J698" s="58">
        <v>0.29992697487550446</v>
      </c>
    </row>
    <row r="699" spans="1:10" ht="11.25" customHeight="1" x14ac:dyDescent="0.2">
      <c r="A699" s="67">
        <v>43891</v>
      </c>
      <c r="B699" s="57">
        <v>24668</v>
      </c>
      <c r="C699" s="57">
        <v>32066.598616228945</v>
      </c>
      <c r="D699" s="57">
        <v>0</v>
      </c>
      <c r="E699" s="57">
        <v>0</v>
      </c>
      <c r="F699" s="57">
        <v>0</v>
      </c>
      <c r="G699" s="57">
        <v>0</v>
      </c>
      <c r="H699" s="58">
        <v>0.29992697487550446</v>
      </c>
      <c r="I699" s="58">
        <v>0</v>
      </c>
      <c r="J699" s="58">
        <v>0.29992697487550446</v>
      </c>
    </row>
    <row r="700" spans="1:10" ht="11.25" customHeight="1" x14ac:dyDescent="0.2">
      <c r="A700" s="67">
        <v>43922</v>
      </c>
      <c r="B700" s="57">
        <v>24668</v>
      </c>
      <c r="C700" s="57">
        <v>32066.598616228945</v>
      </c>
      <c r="D700" s="57">
        <v>0</v>
      </c>
      <c r="E700" s="57">
        <v>0</v>
      </c>
      <c r="F700" s="57">
        <v>0</v>
      </c>
      <c r="G700" s="57">
        <v>0</v>
      </c>
      <c r="H700" s="58">
        <v>0.29992697487550446</v>
      </c>
      <c r="I700" s="58">
        <v>0</v>
      </c>
      <c r="J700" s="58">
        <v>0.29992697487550446</v>
      </c>
    </row>
    <row r="701" spans="1:10" ht="11.25" customHeight="1" x14ac:dyDescent="0.2">
      <c r="A701" s="67">
        <v>43952</v>
      </c>
      <c r="B701" s="57">
        <v>30183.06</v>
      </c>
      <c r="C701" s="57">
        <v>39235.773878285843</v>
      </c>
      <c r="D701" s="57">
        <v>0</v>
      </c>
      <c r="E701" s="57">
        <v>0</v>
      </c>
      <c r="F701" s="57">
        <v>0</v>
      </c>
      <c r="G701" s="57">
        <v>0</v>
      </c>
      <c r="H701" s="58">
        <v>0.29992697487550446</v>
      </c>
      <c r="I701" s="58">
        <v>0</v>
      </c>
      <c r="J701" s="58">
        <v>0.29992697487550446</v>
      </c>
    </row>
    <row r="702" spans="1:10" ht="11.25" customHeight="1" x14ac:dyDescent="0.2">
      <c r="A702" s="67">
        <v>43983</v>
      </c>
      <c r="B702" s="57">
        <v>32605.81</v>
      </c>
      <c r="C702" s="57">
        <v>42385.171956665472</v>
      </c>
      <c r="D702" s="57">
        <v>0</v>
      </c>
      <c r="E702" s="57">
        <v>0</v>
      </c>
      <c r="F702" s="57">
        <v>0</v>
      </c>
      <c r="G702" s="57">
        <v>0</v>
      </c>
      <c r="H702" s="58">
        <v>0.29992697487550446</v>
      </c>
      <c r="I702" s="58">
        <v>0</v>
      </c>
      <c r="J702" s="58">
        <v>0.29992697487550446</v>
      </c>
    </row>
    <row r="703" spans="1:10" ht="11.25" customHeight="1" x14ac:dyDescent="0.2">
      <c r="A703" s="67">
        <v>44013</v>
      </c>
      <c r="B703" s="57">
        <v>25584.240000000002</v>
      </c>
      <c r="C703" s="57">
        <v>33257.643707688876</v>
      </c>
      <c r="D703" s="57">
        <v>0</v>
      </c>
      <c r="E703" s="57">
        <v>0</v>
      </c>
      <c r="F703" s="57">
        <v>0</v>
      </c>
      <c r="G703" s="57">
        <v>0</v>
      </c>
      <c r="H703" s="58">
        <v>0.29992697487550446</v>
      </c>
      <c r="I703" s="58">
        <v>0</v>
      </c>
      <c r="J703" s="58">
        <v>0.29992697487550446</v>
      </c>
    </row>
    <row r="704" spans="1:10" ht="11.25" customHeight="1" x14ac:dyDescent="0.2">
      <c r="A704" s="67">
        <v>44044</v>
      </c>
      <c r="B704" s="57">
        <v>30174.25</v>
      </c>
      <c r="C704" s="57">
        <v>39224.32152163719</v>
      </c>
      <c r="D704" s="57">
        <v>0</v>
      </c>
      <c r="E704" s="57">
        <v>0</v>
      </c>
      <c r="F704" s="57">
        <v>0</v>
      </c>
      <c r="G704" s="57">
        <v>0</v>
      </c>
      <c r="H704" s="58">
        <v>0.29992697487550446</v>
      </c>
      <c r="I704" s="58">
        <v>0</v>
      </c>
      <c r="J704" s="58">
        <v>0.29992697487550446</v>
      </c>
    </row>
    <row r="705" spans="1:10" ht="11.25" customHeight="1" x14ac:dyDescent="0.2">
      <c r="A705" s="67">
        <v>44075</v>
      </c>
      <c r="B705" s="57">
        <v>30174.25</v>
      </c>
      <c r="C705" s="57">
        <v>39224.32152163719</v>
      </c>
      <c r="D705" s="57">
        <v>0</v>
      </c>
      <c r="E705" s="57">
        <v>0</v>
      </c>
      <c r="F705" s="57">
        <v>0</v>
      </c>
      <c r="G705" s="57">
        <v>0</v>
      </c>
      <c r="H705" s="58">
        <v>0.29992697487550446</v>
      </c>
      <c r="I705" s="58">
        <v>0</v>
      </c>
      <c r="J705" s="58">
        <v>0.29992697487550446</v>
      </c>
    </row>
    <row r="706" spans="1:10" ht="11.25" customHeight="1" x14ac:dyDescent="0.2">
      <c r="A706" s="66" t="s">
        <v>35</v>
      </c>
      <c r="B706" s="57">
        <v>0</v>
      </c>
      <c r="C706" s="57">
        <v>0</v>
      </c>
      <c r="D706" s="57">
        <v>129451.50559000002</v>
      </c>
      <c r="E706" s="57">
        <v>150773.95218754417</v>
      </c>
      <c r="F706" s="57">
        <v>86881.057670000009</v>
      </c>
      <c r="G706" s="57">
        <v>75757.877266850919</v>
      </c>
      <c r="H706" s="58">
        <v>0.16471377834010514</v>
      </c>
      <c r="I706" s="58">
        <v>-0.1280276817692324</v>
      </c>
      <c r="J706" s="58">
        <v>4.7146236519820972E-2</v>
      </c>
    </row>
    <row r="707" spans="1:10" ht="11.25" customHeight="1" x14ac:dyDescent="0.2">
      <c r="A707" s="67">
        <v>43770</v>
      </c>
      <c r="B707" s="57">
        <v>0</v>
      </c>
      <c r="C707" s="57">
        <v>0</v>
      </c>
      <c r="D707" s="57">
        <v>18766.009690000003</v>
      </c>
      <c r="E707" s="57">
        <v>21857.030050406931</v>
      </c>
      <c r="F707" s="57">
        <v>12594.760970000001</v>
      </c>
      <c r="G707" s="57">
        <v>10982.282920573294</v>
      </c>
      <c r="H707" s="58">
        <v>0.16471377834010537</v>
      </c>
      <c r="I707" s="58">
        <v>-0.12802768176923229</v>
      </c>
      <c r="J707" s="58">
        <v>4.7146236519820972E-2</v>
      </c>
    </row>
    <row r="708" spans="1:10" ht="11.25" customHeight="1" x14ac:dyDescent="0.2">
      <c r="A708" s="67">
        <v>43800</v>
      </c>
      <c r="B708" s="57">
        <v>0</v>
      </c>
      <c r="C708" s="57">
        <v>0</v>
      </c>
      <c r="D708" s="57">
        <v>12814.76239</v>
      </c>
      <c r="E708" s="57">
        <v>14925.530321787579</v>
      </c>
      <c r="F708" s="57">
        <v>8600.5960699999996</v>
      </c>
      <c r="G708" s="57">
        <v>7499.4816933243301</v>
      </c>
      <c r="H708" s="58">
        <v>0.16471377834010537</v>
      </c>
      <c r="I708" s="58">
        <v>-0.12802768176923229</v>
      </c>
      <c r="J708" s="58">
        <v>4.7146236519820972E-2</v>
      </c>
    </row>
    <row r="709" spans="1:10" ht="11.25" customHeight="1" x14ac:dyDescent="0.2">
      <c r="A709" s="67">
        <v>43831</v>
      </c>
      <c r="B709" s="57">
        <v>0</v>
      </c>
      <c r="C709" s="57">
        <v>0</v>
      </c>
      <c r="D709" s="57">
        <v>8805.5348400000003</v>
      </c>
      <c r="E709" s="57">
        <v>10255.927753801834</v>
      </c>
      <c r="F709" s="57">
        <v>5909.8129199999994</v>
      </c>
      <c r="G709" s="57">
        <v>5153.1932721625426</v>
      </c>
      <c r="H709" s="58">
        <v>0.16471377834010514</v>
      </c>
      <c r="I709" s="58">
        <v>-0.12802768176923218</v>
      </c>
      <c r="J709" s="58">
        <v>4.7146236519820972E-2</v>
      </c>
    </row>
    <row r="710" spans="1:10" ht="11.25" customHeight="1" x14ac:dyDescent="0.2">
      <c r="A710" s="67">
        <v>43862</v>
      </c>
      <c r="B710" s="57">
        <v>0</v>
      </c>
      <c r="C710" s="57">
        <v>0</v>
      </c>
      <c r="D710" s="57">
        <v>10547.895699999999</v>
      </c>
      <c r="E710" s="57">
        <v>12285.279454284351</v>
      </c>
      <c r="F710" s="57">
        <v>7079.1940999999997</v>
      </c>
      <c r="G710" s="57">
        <v>6172.861290582573</v>
      </c>
      <c r="H710" s="58">
        <v>0.16471377834010559</v>
      </c>
      <c r="I710" s="58">
        <v>-0.12802768176923229</v>
      </c>
      <c r="J710" s="58">
        <v>4.7146236519820972E-2</v>
      </c>
    </row>
    <row r="711" spans="1:10" ht="11.25" customHeight="1" x14ac:dyDescent="0.2">
      <c r="A711" s="67">
        <v>43891</v>
      </c>
      <c r="B711" s="57">
        <v>0</v>
      </c>
      <c r="C711" s="57">
        <v>0</v>
      </c>
      <c r="D711" s="57">
        <v>9413.4993699999995</v>
      </c>
      <c r="E711" s="57">
        <v>10964.032418634903</v>
      </c>
      <c r="F711" s="57">
        <v>6317.84681</v>
      </c>
      <c r="G711" s="57">
        <v>5508.9875291425606</v>
      </c>
      <c r="H711" s="58">
        <v>0.16471377834010559</v>
      </c>
      <c r="I711" s="58">
        <v>-0.12802768176923229</v>
      </c>
      <c r="J711" s="58">
        <v>4.7146236519820972E-2</v>
      </c>
    </row>
    <row r="712" spans="1:10" ht="11.25" customHeight="1" x14ac:dyDescent="0.2">
      <c r="A712" s="67">
        <v>43922</v>
      </c>
      <c r="B712" s="57">
        <v>0</v>
      </c>
      <c r="C712" s="57">
        <v>0</v>
      </c>
      <c r="D712" s="57">
        <v>7597.9516500000009</v>
      </c>
      <c r="E712" s="57">
        <v>8849.4389739169383</v>
      </c>
      <c r="F712" s="57">
        <v>5099.34645</v>
      </c>
      <c r="G712" s="57">
        <v>4446.4889454683362</v>
      </c>
      <c r="H712" s="58">
        <v>0.16471377834010537</v>
      </c>
      <c r="I712" s="58">
        <v>-0.12802768176923218</v>
      </c>
      <c r="J712" s="58">
        <v>4.7146236519820972E-2</v>
      </c>
    </row>
    <row r="713" spans="1:10" ht="11.25" customHeight="1" x14ac:dyDescent="0.2">
      <c r="A713" s="67">
        <v>43952</v>
      </c>
      <c r="B713" s="57">
        <v>0</v>
      </c>
      <c r="C713" s="57">
        <v>0</v>
      </c>
      <c r="D713" s="57">
        <v>12837.874030000001</v>
      </c>
      <c r="E713" s="57">
        <v>14952.448767335616</v>
      </c>
      <c r="F713" s="57">
        <v>8616.1073899999992</v>
      </c>
      <c r="G713" s="57">
        <v>7513.0071349835498</v>
      </c>
      <c r="H713" s="58">
        <v>0.16471377834010537</v>
      </c>
      <c r="I713" s="58">
        <v>-0.12802768176923218</v>
      </c>
      <c r="J713" s="58">
        <v>4.7146236519820972E-2</v>
      </c>
    </row>
    <row r="714" spans="1:10" ht="11.25" customHeight="1" x14ac:dyDescent="0.2">
      <c r="A714" s="67">
        <v>43983</v>
      </c>
      <c r="B714" s="57">
        <v>0</v>
      </c>
      <c r="C714" s="57">
        <v>0</v>
      </c>
      <c r="D714" s="57">
        <v>15054.665499999999</v>
      </c>
      <c r="E714" s="57">
        <v>17534.376336151432</v>
      </c>
      <c r="F714" s="57">
        <v>10103.9015</v>
      </c>
      <c r="G714" s="57">
        <v>8810.3224141303308</v>
      </c>
      <c r="H714" s="58">
        <v>0.16471377834010537</v>
      </c>
      <c r="I714" s="58">
        <v>-0.12802768176923229</v>
      </c>
      <c r="J714" s="58">
        <v>4.7146236519821194E-2</v>
      </c>
    </row>
    <row r="715" spans="1:10" ht="11.25" customHeight="1" x14ac:dyDescent="0.2">
      <c r="A715" s="67">
        <v>44013</v>
      </c>
      <c r="B715" s="57">
        <v>0</v>
      </c>
      <c r="C715" s="57">
        <v>0</v>
      </c>
      <c r="D715" s="57">
        <v>8145.5691200000001</v>
      </c>
      <c r="E715" s="57">
        <v>9487.2565864856879</v>
      </c>
      <c r="F715" s="57">
        <v>5466.8785600000001</v>
      </c>
      <c r="G715" s="57">
        <v>4766.9667714492816</v>
      </c>
      <c r="H715" s="58">
        <v>0.16471377834010537</v>
      </c>
      <c r="I715" s="58">
        <v>-0.12802768176923218</v>
      </c>
      <c r="J715" s="58">
        <v>4.7146236519820972E-2</v>
      </c>
    </row>
    <row r="716" spans="1:10" ht="11.25" customHeight="1" x14ac:dyDescent="0.2">
      <c r="A716" s="67">
        <v>44044</v>
      </c>
      <c r="B716" s="57">
        <v>0</v>
      </c>
      <c r="C716" s="57">
        <v>0</v>
      </c>
      <c r="D716" s="57">
        <v>12733.871650000001</v>
      </c>
      <c r="E716" s="57">
        <v>14831.315762369453</v>
      </c>
      <c r="F716" s="57">
        <v>8546.30645</v>
      </c>
      <c r="G716" s="57">
        <v>7452.1426475170629</v>
      </c>
      <c r="H716" s="58">
        <v>0.16471377834010537</v>
      </c>
      <c r="I716" s="58">
        <v>-0.12802768176923229</v>
      </c>
      <c r="J716" s="58">
        <v>4.7146236519820972E-2</v>
      </c>
    </row>
    <row r="717" spans="1:10" ht="11.25" customHeight="1" x14ac:dyDescent="0.2">
      <c r="A717" s="67">
        <v>44075</v>
      </c>
      <c r="B717" s="57">
        <v>0</v>
      </c>
      <c r="C717" s="57">
        <v>0</v>
      </c>
      <c r="D717" s="57">
        <v>12733.871650000001</v>
      </c>
      <c r="E717" s="57">
        <v>14831.315762369453</v>
      </c>
      <c r="F717" s="57">
        <v>8546.30645</v>
      </c>
      <c r="G717" s="57">
        <v>7452.1426475170629</v>
      </c>
      <c r="H717" s="58">
        <v>0.16471377834010537</v>
      </c>
      <c r="I717" s="58">
        <v>-0.12802768176923229</v>
      </c>
      <c r="J717" s="58">
        <v>4.7146236519820972E-2</v>
      </c>
    </row>
    <row r="718" spans="1:10" ht="11.25" customHeight="1" x14ac:dyDescent="0.2">
      <c r="A718" s="60" t="s">
        <v>44</v>
      </c>
      <c r="B718" s="57">
        <v>36929208.959999993</v>
      </c>
      <c r="C718" s="57">
        <v>45093208.296795711</v>
      </c>
      <c r="D718" s="57">
        <v>62715926.074370012</v>
      </c>
      <c r="E718" s="57">
        <v>66537201.690521225</v>
      </c>
      <c r="F718" s="57">
        <v>101426594.40703999</v>
      </c>
      <c r="G718" s="57">
        <v>90907254.626271471</v>
      </c>
      <c r="H718" s="58">
        <v>0.12027957961834157</v>
      </c>
      <c r="I718" s="58">
        <v>-0.10371382222055847</v>
      </c>
      <c r="J718" s="58">
        <v>7.2906080643506677E-3</v>
      </c>
    </row>
    <row r="719" spans="1:10" ht="11.25" customHeight="1" x14ac:dyDescent="0.2">
      <c r="A719" s="61" t="s">
        <v>41</v>
      </c>
      <c r="B719" s="57">
        <v>22579755.120000001</v>
      </c>
      <c r="C719" s="57">
        <v>26335124.553034417</v>
      </c>
      <c r="D719" s="57">
        <v>15900374.7675</v>
      </c>
      <c r="E719" s="57">
        <v>16368408.078570658</v>
      </c>
      <c r="F719" s="57">
        <v>39501980.008050002</v>
      </c>
      <c r="G719" s="57">
        <v>35401846.030053467</v>
      </c>
      <c r="H719" s="58">
        <v>0.10975541809376788</v>
      </c>
      <c r="I719" s="58">
        <v>-0.10379565725973539</v>
      </c>
      <c r="J719" s="58">
        <v>1.5807313533027223E-3</v>
      </c>
    </row>
    <row r="720" spans="1:10" ht="11.25" customHeight="1" x14ac:dyDescent="0.2">
      <c r="A720" s="62" t="s">
        <v>42</v>
      </c>
      <c r="B720" s="57">
        <v>13074198.879999999</v>
      </c>
      <c r="C720" s="57">
        <v>15245620.433575965</v>
      </c>
      <c r="D720" s="57">
        <v>10919362.566749997</v>
      </c>
      <c r="E720" s="57">
        <v>11240777.973092688</v>
      </c>
      <c r="F720" s="57">
        <v>27076287.815420009</v>
      </c>
      <c r="G720" s="57">
        <v>24269262.28578338</v>
      </c>
      <c r="H720" s="58">
        <v>0.10389607918153865</v>
      </c>
      <c r="I720" s="58">
        <v>-0.103670988754891</v>
      </c>
      <c r="J720" s="58">
        <v>-6.1521342682065994E-3</v>
      </c>
    </row>
    <row r="721" spans="1:10" ht="11.25" customHeight="1" x14ac:dyDescent="0.2">
      <c r="A721" s="63" t="s">
        <v>25</v>
      </c>
      <c r="B721" s="57">
        <v>13074198.879999999</v>
      </c>
      <c r="C721" s="57">
        <v>15245620.433575965</v>
      </c>
      <c r="D721" s="57">
        <v>10919362.566749997</v>
      </c>
      <c r="E721" s="57">
        <v>11240777.973092688</v>
      </c>
      <c r="F721" s="57">
        <v>27076287.815420009</v>
      </c>
      <c r="G721" s="57">
        <v>24269262.28578338</v>
      </c>
      <c r="H721" s="58">
        <v>0.10389607918153865</v>
      </c>
      <c r="I721" s="58">
        <v>-0.103670988754891</v>
      </c>
      <c r="J721" s="58">
        <v>-6.1521342682065994E-3</v>
      </c>
    </row>
    <row r="722" spans="1:10" ht="11.25" customHeight="1" x14ac:dyDescent="0.2">
      <c r="A722" s="64" t="s">
        <v>25</v>
      </c>
      <c r="B722" s="57">
        <v>13074198.879999999</v>
      </c>
      <c r="C722" s="57">
        <v>15245620.433575965</v>
      </c>
      <c r="D722" s="57">
        <v>10919362.566749997</v>
      </c>
      <c r="E722" s="57">
        <v>11240777.973092688</v>
      </c>
      <c r="F722" s="57">
        <v>27076287.815420009</v>
      </c>
      <c r="G722" s="57">
        <v>24269262.28578338</v>
      </c>
      <c r="H722" s="58">
        <v>0.10389607918153865</v>
      </c>
      <c r="I722" s="58">
        <v>-0.103670988754891</v>
      </c>
      <c r="J722" s="58">
        <v>-6.1521342682065994E-3</v>
      </c>
    </row>
    <row r="723" spans="1:10" ht="11.25" customHeight="1" x14ac:dyDescent="0.2">
      <c r="A723" s="65" t="s">
        <v>25</v>
      </c>
      <c r="B723" s="57">
        <v>13074198.879999999</v>
      </c>
      <c r="C723" s="57">
        <v>15245620.433575965</v>
      </c>
      <c r="D723" s="57">
        <v>10919362.566749997</v>
      </c>
      <c r="E723" s="57">
        <v>11240777.973092688</v>
      </c>
      <c r="F723" s="57">
        <v>27076287.815420009</v>
      </c>
      <c r="G723" s="57">
        <v>24269262.28578338</v>
      </c>
      <c r="H723" s="58">
        <v>0.10389607918153865</v>
      </c>
      <c r="I723" s="58">
        <v>-0.103670988754891</v>
      </c>
      <c r="J723" s="58">
        <v>-6.1521342682065994E-3</v>
      </c>
    </row>
    <row r="724" spans="1:10" ht="11.25" customHeight="1" x14ac:dyDescent="0.2">
      <c r="A724" s="66" t="s">
        <v>36</v>
      </c>
      <c r="B724" s="57">
        <v>3124137.6</v>
      </c>
      <c r="C724" s="57">
        <v>4083976.6712565986</v>
      </c>
      <c r="D724" s="57">
        <v>9932965.5647499971</v>
      </c>
      <c r="E724" s="57">
        <v>10225346.016783318</v>
      </c>
      <c r="F724" s="57">
        <v>23203769.580780003</v>
      </c>
      <c r="G724" s="57">
        <v>20892533.583333418</v>
      </c>
      <c r="H724" s="58">
        <v>9.5903318484187983E-2</v>
      </c>
      <c r="I724" s="58">
        <v>-9.960605708483683E-2</v>
      </c>
      <c r="J724" s="58">
        <v>-2.9205487732978042E-2</v>
      </c>
    </row>
    <row r="725" spans="1:10" ht="11.25" customHeight="1" x14ac:dyDescent="0.2">
      <c r="A725" s="67">
        <v>43739</v>
      </c>
      <c r="B725" s="57">
        <v>282756.24</v>
      </c>
      <c r="C725" s="57">
        <v>369628.36970184406</v>
      </c>
      <c r="D725" s="57">
        <v>887605.86875000002</v>
      </c>
      <c r="E725" s="57">
        <v>913732.87014156068</v>
      </c>
      <c r="F725" s="57">
        <v>2073479.6594999998</v>
      </c>
      <c r="G725" s="57">
        <v>1866948.5261715946</v>
      </c>
      <c r="H725" s="58">
        <v>9.6550572039702187E-2</v>
      </c>
      <c r="I725" s="58">
        <v>-9.9606057084836941E-2</v>
      </c>
      <c r="J725" s="58">
        <v>-2.8833712898844288E-2</v>
      </c>
    </row>
    <row r="726" spans="1:10" ht="11.25" customHeight="1" x14ac:dyDescent="0.2">
      <c r="A726" s="67">
        <v>43770</v>
      </c>
      <c r="B726" s="57">
        <v>284420.88</v>
      </c>
      <c r="C726" s="57">
        <v>371804.44252464175</v>
      </c>
      <c r="D726" s="57">
        <v>939026.59724999999</v>
      </c>
      <c r="E726" s="57">
        <v>966667.18647640292</v>
      </c>
      <c r="F726" s="57">
        <v>2193600.3553800001</v>
      </c>
      <c r="G726" s="57">
        <v>1975104.4731607009</v>
      </c>
      <c r="H726" s="58">
        <v>9.4016419903525161E-2</v>
      </c>
      <c r="I726" s="58">
        <v>-9.9606057084837052E-2</v>
      </c>
      <c r="J726" s="58">
        <v>-3.0281030742439263E-2</v>
      </c>
    </row>
    <row r="727" spans="1:10" ht="11.25" customHeight="1" x14ac:dyDescent="0.2">
      <c r="A727" s="67">
        <v>43800</v>
      </c>
      <c r="B727" s="57">
        <v>256697.28</v>
      </c>
      <c r="C727" s="57">
        <v>335563.22970378218</v>
      </c>
      <c r="D727" s="57">
        <v>846825.18324999989</v>
      </c>
      <c r="E727" s="57">
        <v>871751.79034008121</v>
      </c>
      <c r="F727" s="57">
        <v>1978214.49186</v>
      </c>
      <c r="G727" s="57">
        <v>1781172.3462577409</v>
      </c>
      <c r="H727" s="58">
        <v>9.4055681012765957E-2</v>
      </c>
      <c r="I727" s="58">
        <v>-9.9606057084837052E-2</v>
      </c>
      <c r="J727" s="58">
        <v>-3.0258776192358838E-2</v>
      </c>
    </row>
    <row r="728" spans="1:10" ht="11.25" customHeight="1" x14ac:dyDescent="0.2">
      <c r="A728" s="67">
        <v>43831</v>
      </c>
      <c r="B728" s="57">
        <v>249108.48000000001</v>
      </c>
      <c r="C728" s="57">
        <v>325642.89771749836</v>
      </c>
      <c r="D728" s="57">
        <v>845602.89749999996</v>
      </c>
      <c r="E728" s="57">
        <v>870493.52616472892</v>
      </c>
      <c r="F728" s="57">
        <v>1975359.1878</v>
      </c>
      <c r="G728" s="57">
        <v>1778601.447776936</v>
      </c>
      <c r="H728" s="58">
        <v>9.2650034033493478E-2</v>
      </c>
      <c r="I728" s="58">
        <v>-9.9606057084836941E-2</v>
      </c>
      <c r="J728" s="58">
        <v>-3.1052280920950359E-2</v>
      </c>
    </row>
    <row r="729" spans="1:10" ht="11.25" customHeight="1" x14ac:dyDescent="0.2">
      <c r="A729" s="67">
        <v>43862</v>
      </c>
      <c r="B729" s="57">
        <v>284335.2</v>
      </c>
      <c r="C729" s="57">
        <v>371692.43877640949</v>
      </c>
      <c r="D729" s="57">
        <v>946858.13774999999</v>
      </c>
      <c r="E729" s="57">
        <v>974729.25121778692</v>
      </c>
      <c r="F729" s="57">
        <v>2211895.1194199999</v>
      </c>
      <c r="G729" s="57">
        <v>1991576.967889379</v>
      </c>
      <c r="H729" s="58">
        <v>9.3590786037533125E-2</v>
      </c>
      <c r="I729" s="58">
        <v>-9.9606057084837052E-2</v>
      </c>
      <c r="J729" s="58">
        <v>-3.0521957420984069E-2</v>
      </c>
    </row>
    <row r="730" spans="1:10" ht="11.25" customHeight="1" x14ac:dyDescent="0.2">
      <c r="A730" s="67">
        <v>43891</v>
      </c>
      <c r="B730" s="57">
        <v>243184.31999999998</v>
      </c>
      <c r="C730" s="57">
        <v>317898.63855401229</v>
      </c>
      <c r="D730" s="57">
        <v>806119.56675</v>
      </c>
      <c r="E730" s="57">
        <v>829847.98922190431</v>
      </c>
      <c r="F730" s="57">
        <v>1883124.6881400002</v>
      </c>
      <c r="G730" s="57">
        <v>1695554.0629552612</v>
      </c>
      <c r="H730" s="58">
        <v>9.3817188965936715E-2</v>
      </c>
      <c r="I730" s="58">
        <v>-9.9606057084837163E-2</v>
      </c>
      <c r="J730" s="58">
        <v>-3.0393880663287964E-2</v>
      </c>
    </row>
    <row r="731" spans="1:10" ht="11.25" customHeight="1" x14ac:dyDescent="0.2">
      <c r="A731" s="67">
        <v>43922</v>
      </c>
      <c r="B731" s="57">
        <v>241213.68000000002</v>
      </c>
      <c r="C731" s="57">
        <v>315322.55234467081</v>
      </c>
      <c r="D731" s="57">
        <v>818371.39824999997</v>
      </c>
      <c r="E731" s="57">
        <v>842460.45783564984</v>
      </c>
      <c r="F731" s="57">
        <v>1911745.4130599999</v>
      </c>
      <c r="G731" s="57">
        <v>1721323.9903150701</v>
      </c>
      <c r="H731" s="58">
        <v>9.2675835047151933E-2</v>
      </c>
      <c r="I731" s="58">
        <v>-9.9606057084837052E-2</v>
      </c>
      <c r="J731" s="58">
        <v>-3.1037776203060252E-2</v>
      </c>
    </row>
    <row r="732" spans="1:10" ht="11.25" customHeight="1" x14ac:dyDescent="0.2">
      <c r="A732" s="67">
        <v>43952</v>
      </c>
      <c r="B732" s="57">
        <v>264481.92000000004</v>
      </c>
      <c r="C732" s="57">
        <v>345739.57025745406</v>
      </c>
      <c r="D732" s="57">
        <v>822480.98699999996</v>
      </c>
      <c r="E732" s="57">
        <v>846691.01382434252</v>
      </c>
      <c r="F732" s="57">
        <v>1921345.5621600002</v>
      </c>
      <c r="G732" s="57">
        <v>1729967.9064157929</v>
      </c>
      <c r="H732" s="58">
        <v>9.7029692920143296E-2</v>
      </c>
      <c r="I732" s="58">
        <v>-9.9606057084837052E-2</v>
      </c>
      <c r="J732" s="58">
        <v>-2.8557569658539506E-2</v>
      </c>
    </row>
    <row r="733" spans="1:10" ht="11.25" customHeight="1" x14ac:dyDescent="0.2">
      <c r="A733" s="67">
        <v>43983</v>
      </c>
      <c r="B733" s="57">
        <v>254861.28</v>
      </c>
      <c r="C733" s="57">
        <v>333163.14938452002</v>
      </c>
      <c r="D733" s="57">
        <v>773159.11749999993</v>
      </c>
      <c r="E733" s="57">
        <v>795917.33716710086</v>
      </c>
      <c r="F733" s="57">
        <v>1806127.8773999999</v>
      </c>
      <c r="G733" s="57">
        <v>1626226.60094118</v>
      </c>
      <c r="H733" s="58">
        <v>9.8305529051159635E-2</v>
      </c>
      <c r="I733" s="58">
        <v>-9.9606057084836941E-2</v>
      </c>
      <c r="J733" s="58">
        <v>-2.7818300159323961E-2</v>
      </c>
    </row>
    <row r="734" spans="1:10" ht="11.25" customHeight="1" x14ac:dyDescent="0.2">
      <c r="A734" s="67">
        <v>44013</v>
      </c>
      <c r="B734" s="57">
        <v>259842.96000000002</v>
      </c>
      <c r="C734" s="57">
        <v>339675.36731745151</v>
      </c>
      <c r="D734" s="57">
        <v>771705.91774999991</v>
      </c>
      <c r="E734" s="57">
        <v>794421.36195422115</v>
      </c>
      <c r="F734" s="57">
        <v>1802733.1498199999</v>
      </c>
      <c r="G734" s="57">
        <v>1623170.0087903009</v>
      </c>
      <c r="H734" s="58">
        <v>9.9411529335719617E-2</v>
      </c>
      <c r="I734" s="58">
        <v>-9.9606057084837052E-2</v>
      </c>
      <c r="J734" s="58">
        <v>-2.7172768538512693E-2</v>
      </c>
    </row>
    <row r="735" spans="1:10" ht="11.25" customHeight="1" x14ac:dyDescent="0.2">
      <c r="A735" s="67">
        <v>44044</v>
      </c>
      <c r="B735" s="57">
        <v>251617.68000000002</v>
      </c>
      <c r="C735" s="57">
        <v>328923.00748715672</v>
      </c>
      <c r="D735" s="57">
        <v>737604.94649999996</v>
      </c>
      <c r="E735" s="57">
        <v>759316.61621976772</v>
      </c>
      <c r="F735" s="57">
        <v>1723072.0381199999</v>
      </c>
      <c r="G735" s="57">
        <v>1551443.6263297328</v>
      </c>
      <c r="H735" s="58">
        <v>0.10009576667009701</v>
      </c>
      <c r="I735" s="58">
        <v>-9.9606057084836941E-2</v>
      </c>
      <c r="J735" s="58">
        <v>-2.6771211671986817E-2</v>
      </c>
    </row>
    <row r="736" spans="1:10" ht="11.25" customHeight="1" x14ac:dyDescent="0.2">
      <c r="A736" s="67">
        <v>44075</v>
      </c>
      <c r="B736" s="57">
        <v>251617.68000000002</v>
      </c>
      <c r="C736" s="57">
        <v>328923.00748715672</v>
      </c>
      <c r="D736" s="57">
        <v>737604.94649999996</v>
      </c>
      <c r="E736" s="57">
        <v>759316.61621976772</v>
      </c>
      <c r="F736" s="57">
        <v>1723072.0381199999</v>
      </c>
      <c r="G736" s="57">
        <v>1551443.6263297328</v>
      </c>
      <c r="H736" s="58">
        <v>0.10009576667009701</v>
      </c>
      <c r="I736" s="58">
        <v>-9.9606057084836941E-2</v>
      </c>
      <c r="J736" s="58">
        <v>-2.6771211671986817E-2</v>
      </c>
    </row>
    <row r="737" spans="1:10" ht="11.25" customHeight="1" x14ac:dyDescent="0.2">
      <c r="A737" s="66" t="s">
        <v>35</v>
      </c>
      <c r="B737" s="57">
        <v>9950061.2800000012</v>
      </c>
      <c r="C737" s="57">
        <v>11161643.762319364</v>
      </c>
      <c r="D737" s="57">
        <v>986397.00199999986</v>
      </c>
      <c r="E737" s="57">
        <v>1015431.9563093705</v>
      </c>
      <c r="F737" s="57">
        <v>3872518.2346399999</v>
      </c>
      <c r="G737" s="57">
        <v>3376728.7024499611</v>
      </c>
      <c r="H737" s="58">
        <v>0.1134386841369508</v>
      </c>
      <c r="I737" s="58">
        <v>-0.12802768176923252</v>
      </c>
      <c r="J737" s="58">
        <v>5.029570433863384E-2</v>
      </c>
    </row>
    <row r="738" spans="1:10" ht="11.25" customHeight="1" x14ac:dyDescent="0.2">
      <c r="A738" s="67">
        <v>43739</v>
      </c>
      <c r="B738" s="57">
        <v>872661.91999999993</v>
      </c>
      <c r="C738" s="57">
        <v>978922.76257233659</v>
      </c>
      <c r="D738" s="57">
        <v>82581.607000000004</v>
      </c>
      <c r="E738" s="57">
        <v>85012.426620475075</v>
      </c>
      <c r="F738" s="57">
        <v>324208.99323999998</v>
      </c>
      <c r="G738" s="57">
        <v>282701.26742674608</v>
      </c>
      <c r="H738" s="58">
        <v>0.11378424362022588</v>
      </c>
      <c r="I738" s="58">
        <v>-0.12802768176923229</v>
      </c>
      <c r="J738" s="58">
        <v>5.2509909759649087E-2</v>
      </c>
    </row>
    <row r="739" spans="1:10" ht="11.25" customHeight="1" x14ac:dyDescent="0.2">
      <c r="A739" s="67">
        <v>43770</v>
      </c>
      <c r="B739" s="57">
        <v>877519.27999999991</v>
      </c>
      <c r="C739" s="57">
        <v>984371.58549107739</v>
      </c>
      <c r="D739" s="57">
        <v>95943.998749999999</v>
      </c>
      <c r="E739" s="57">
        <v>98768.145228868321</v>
      </c>
      <c r="F739" s="57">
        <v>376668.70835000009</v>
      </c>
      <c r="G739" s="57">
        <v>328444.68682493846</v>
      </c>
      <c r="H739" s="58">
        <v>0.11266624469982944</v>
      </c>
      <c r="I739" s="58">
        <v>-0.1280276817692324</v>
      </c>
      <c r="J739" s="58">
        <v>4.5515868842482599E-2</v>
      </c>
    </row>
    <row r="740" spans="1:10" ht="11.25" customHeight="1" x14ac:dyDescent="0.2">
      <c r="A740" s="67">
        <v>43800</v>
      </c>
      <c r="B740" s="57">
        <v>826320.08</v>
      </c>
      <c r="C740" s="57">
        <v>926938.04661786347</v>
      </c>
      <c r="D740" s="57">
        <v>84963.401499999993</v>
      </c>
      <c r="E740" s="57">
        <v>87464.330107365327</v>
      </c>
      <c r="F740" s="57">
        <v>333559.73398000002</v>
      </c>
      <c r="G740" s="57">
        <v>290854.85450697877</v>
      </c>
      <c r="H740" s="58">
        <v>0.11315786724839128</v>
      </c>
      <c r="I740" s="58">
        <v>-0.1280276817692324</v>
      </c>
      <c r="J740" s="58">
        <v>4.853142548470446E-2</v>
      </c>
    </row>
    <row r="741" spans="1:10" ht="11.25" customHeight="1" x14ac:dyDescent="0.2">
      <c r="A741" s="67">
        <v>43831</v>
      </c>
      <c r="B741" s="57">
        <v>801245.6</v>
      </c>
      <c r="C741" s="57">
        <v>898810.33911841759</v>
      </c>
      <c r="D741" s="57">
        <v>80731.112250000006</v>
      </c>
      <c r="E741" s="57">
        <v>83107.461884853619</v>
      </c>
      <c r="F741" s="57">
        <v>316944.09417</v>
      </c>
      <c r="G741" s="57">
        <v>276366.47654296563</v>
      </c>
      <c r="H741" s="58">
        <v>0.11331488390244759</v>
      </c>
      <c r="I741" s="58">
        <v>-0.1280276817692324</v>
      </c>
      <c r="J741" s="58">
        <v>4.951408867738083E-2</v>
      </c>
    </row>
    <row r="742" spans="1:10" ht="11.25" customHeight="1" x14ac:dyDescent="0.2">
      <c r="A742" s="67">
        <v>43862</v>
      </c>
      <c r="B742" s="57">
        <v>910426.79999999993</v>
      </c>
      <c r="C742" s="57">
        <v>1021286.1335531775</v>
      </c>
      <c r="D742" s="57">
        <v>96510.198999999993</v>
      </c>
      <c r="E742" s="57">
        <v>99351.011789040946</v>
      </c>
      <c r="F742" s="57">
        <v>378891.56667999999</v>
      </c>
      <c r="G742" s="57">
        <v>330382.95775604714</v>
      </c>
      <c r="H742" s="58">
        <v>0.1129168423199618</v>
      </c>
      <c r="I742" s="58">
        <v>-0.12802768176923218</v>
      </c>
      <c r="J742" s="58">
        <v>4.7041559852879278E-2</v>
      </c>
    </row>
    <row r="743" spans="1:10" ht="11.25" customHeight="1" x14ac:dyDescent="0.2">
      <c r="A743" s="67">
        <v>43891</v>
      </c>
      <c r="B743" s="57">
        <v>782385.04</v>
      </c>
      <c r="C743" s="57">
        <v>877653.19787537889</v>
      </c>
      <c r="D743" s="57">
        <v>79259.145250000001</v>
      </c>
      <c r="E743" s="57">
        <v>81592.167001148337</v>
      </c>
      <c r="F743" s="57">
        <v>311165.26572999998</v>
      </c>
      <c r="G743" s="57">
        <v>271327.49811148096</v>
      </c>
      <c r="H743" s="58">
        <v>0.11327318317387447</v>
      </c>
      <c r="I743" s="58">
        <v>-0.12802768176923218</v>
      </c>
      <c r="J743" s="58">
        <v>4.9252171322238913E-2</v>
      </c>
    </row>
    <row r="744" spans="1:10" ht="11.25" customHeight="1" x14ac:dyDescent="0.2">
      <c r="A744" s="67">
        <v>43922</v>
      </c>
      <c r="B744" s="57">
        <v>775470.96</v>
      </c>
      <c r="C744" s="57">
        <v>869897.21570275677</v>
      </c>
      <c r="D744" s="57">
        <v>82040.320000000007</v>
      </c>
      <c r="E744" s="57">
        <v>84455.206640872144</v>
      </c>
      <c r="F744" s="57">
        <v>322083.9424</v>
      </c>
      <c r="G744" s="57">
        <v>280848.2819194331</v>
      </c>
      <c r="H744" s="58">
        <v>0.11293279120903099</v>
      </c>
      <c r="I744" s="58">
        <v>-0.12802768176923218</v>
      </c>
      <c r="J744" s="58">
        <v>4.7139460051327742E-2</v>
      </c>
    </row>
    <row r="745" spans="1:10" ht="11.25" customHeight="1" x14ac:dyDescent="0.2">
      <c r="A745" s="67">
        <v>43952</v>
      </c>
      <c r="B745" s="57">
        <v>840935.92</v>
      </c>
      <c r="C745" s="57">
        <v>943333.60386884934</v>
      </c>
      <c r="D745" s="57">
        <v>74500.714500000002</v>
      </c>
      <c r="E745" s="57">
        <v>76693.670112331602</v>
      </c>
      <c r="F745" s="57">
        <v>292484.03514000005</v>
      </c>
      <c r="G745" s="57">
        <v>255037.98216651514</v>
      </c>
      <c r="H745" s="58">
        <v>0.11425218910788626</v>
      </c>
      <c r="I745" s="58">
        <v>-0.1280276817692324</v>
      </c>
      <c r="J745" s="58">
        <v>5.5586917415451964E-2</v>
      </c>
    </row>
    <row r="746" spans="1:10" ht="11.25" customHeight="1" x14ac:dyDescent="0.2">
      <c r="A746" s="67">
        <v>43983</v>
      </c>
      <c r="B746" s="57">
        <v>817174.24</v>
      </c>
      <c r="C746" s="57">
        <v>916678.55121230637</v>
      </c>
      <c r="D746" s="57">
        <v>78462.470000000016</v>
      </c>
      <c r="E746" s="57">
        <v>80772.04132557298</v>
      </c>
      <c r="F746" s="57">
        <v>308037.58040000004</v>
      </c>
      <c r="G746" s="57">
        <v>268600.24308358447</v>
      </c>
      <c r="H746" s="58">
        <v>0.11367765680113684</v>
      </c>
      <c r="I746" s="58">
        <v>-0.12802768176923252</v>
      </c>
      <c r="J746" s="58">
        <v>5.1821780791492245E-2</v>
      </c>
    </row>
    <row r="747" spans="1:10" ht="11.25" customHeight="1" x14ac:dyDescent="0.2">
      <c r="A747" s="67">
        <v>44013</v>
      </c>
      <c r="B747" s="57">
        <v>833015.36</v>
      </c>
      <c r="C747" s="57">
        <v>934448.58631666843</v>
      </c>
      <c r="D747" s="57">
        <v>76282.066749999998</v>
      </c>
      <c r="E747" s="57">
        <v>78527.457113332232</v>
      </c>
      <c r="F747" s="57">
        <v>299477.48610999994</v>
      </c>
      <c r="G747" s="57">
        <v>261136.07782125921</v>
      </c>
      <c r="H747" s="58">
        <v>0.11402057635923102</v>
      </c>
      <c r="I747" s="58">
        <v>-0.12802768176923218</v>
      </c>
      <c r="J747" s="58">
        <v>5.4052419268588281E-2</v>
      </c>
    </row>
    <row r="748" spans="1:10" ht="11.25" customHeight="1" x14ac:dyDescent="0.2">
      <c r="A748" s="67">
        <v>44044</v>
      </c>
      <c r="B748" s="57">
        <v>806453.04</v>
      </c>
      <c r="C748" s="57">
        <v>904651.86999526573</v>
      </c>
      <c r="D748" s="57">
        <v>77560.983499999988</v>
      </c>
      <c r="E748" s="57">
        <v>79844.019242754963</v>
      </c>
      <c r="F748" s="57">
        <v>304498.41421999998</v>
      </c>
      <c r="G748" s="57">
        <v>265514.18814500596</v>
      </c>
      <c r="H748" s="58">
        <v>0.11366546578095171</v>
      </c>
      <c r="I748" s="58">
        <v>-0.12802768176923229</v>
      </c>
      <c r="J748" s="58">
        <v>5.1743370713899672E-2</v>
      </c>
    </row>
    <row r="749" spans="1:10" ht="11.25" customHeight="1" x14ac:dyDescent="0.2">
      <c r="A749" s="67">
        <v>44075</v>
      </c>
      <c r="B749" s="57">
        <v>806453.04</v>
      </c>
      <c r="C749" s="57">
        <v>904651.86999526573</v>
      </c>
      <c r="D749" s="57">
        <v>77560.983499999988</v>
      </c>
      <c r="E749" s="57">
        <v>79844.019242754963</v>
      </c>
      <c r="F749" s="57">
        <v>304498.41421999998</v>
      </c>
      <c r="G749" s="57">
        <v>265514.18814500596</v>
      </c>
      <c r="H749" s="58">
        <v>0.11366546578095171</v>
      </c>
      <c r="I749" s="58">
        <v>-0.12802768176923229</v>
      </c>
      <c r="J749" s="58">
        <v>5.1743370713899672E-2</v>
      </c>
    </row>
    <row r="750" spans="1:10" ht="11.25" customHeight="1" x14ac:dyDescent="0.2">
      <c r="A750" s="62" t="s">
        <v>48</v>
      </c>
      <c r="B750" s="57">
        <v>9505556.2400000021</v>
      </c>
      <c r="C750" s="57">
        <v>11089504.119458459</v>
      </c>
      <c r="D750" s="57">
        <v>4981012.2007499998</v>
      </c>
      <c r="E750" s="57">
        <v>5127630.105477972</v>
      </c>
      <c r="F750" s="57">
        <v>12425692.192629997</v>
      </c>
      <c r="G750" s="57">
        <v>11132583.744270084</v>
      </c>
      <c r="H750" s="58">
        <v>0.11946002196893213</v>
      </c>
      <c r="I750" s="58">
        <v>-0.1040673170004075</v>
      </c>
      <c r="J750" s="58">
        <v>1.6254945721056568E-2</v>
      </c>
    </row>
    <row r="751" spans="1:10" ht="11.25" customHeight="1" x14ac:dyDescent="0.2">
      <c r="A751" s="63" t="s">
        <v>25</v>
      </c>
      <c r="B751" s="57">
        <v>9505556.2400000021</v>
      </c>
      <c r="C751" s="57">
        <v>11089504.119458459</v>
      </c>
      <c r="D751" s="57">
        <v>4981012.2007499998</v>
      </c>
      <c r="E751" s="57">
        <v>5127630.105477972</v>
      </c>
      <c r="F751" s="57">
        <v>12425692.192629997</v>
      </c>
      <c r="G751" s="57">
        <v>11132583.744270084</v>
      </c>
      <c r="H751" s="58">
        <v>0.11946002196893213</v>
      </c>
      <c r="I751" s="58">
        <v>-0.1040673170004075</v>
      </c>
      <c r="J751" s="58">
        <v>1.6254945721056568E-2</v>
      </c>
    </row>
    <row r="752" spans="1:10" ht="11.25" customHeight="1" x14ac:dyDescent="0.2">
      <c r="A752" s="64" t="s">
        <v>25</v>
      </c>
      <c r="B752" s="57">
        <v>9505556.2400000021</v>
      </c>
      <c r="C752" s="57">
        <v>11089504.119458459</v>
      </c>
      <c r="D752" s="57">
        <v>4981012.2007499998</v>
      </c>
      <c r="E752" s="57">
        <v>5127630.105477972</v>
      </c>
      <c r="F752" s="57">
        <v>12425692.192629997</v>
      </c>
      <c r="G752" s="57">
        <v>11132583.744270084</v>
      </c>
      <c r="H752" s="58">
        <v>0.11946002196893213</v>
      </c>
      <c r="I752" s="58">
        <v>-0.1040673170004075</v>
      </c>
      <c r="J752" s="58">
        <v>1.6254945721056568E-2</v>
      </c>
    </row>
    <row r="753" spans="1:10" ht="11.25" customHeight="1" x14ac:dyDescent="0.2">
      <c r="A753" s="65" t="s">
        <v>25</v>
      </c>
      <c r="B753" s="57">
        <v>9505556.2400000021</v>
      </c>
      <c r="C753" s="57">
        <v>11089504.119458459</v>
      </c>
      <c r="D753" s="57">
        <v>4981012.2007499998</v>
      </c>
      <c r="E753" s="57">
        <v>5127630.105477972</v>
      </c>
      <c r="F753" s="57">
        <v>12425692.192629997</v>
      </c>
      <c r="G753" s="57">
        <v>11132583.744270084</v>
      </c>
      <c r="H753" s="58">
        <v>0.11946002196893213</v>
      </c>
      <c r="I753" s="58">
        <v>-0.1040673170004075</v>
      </c>
      <c r="J753" s="58">
        <v>1.6254945721056568E-2</v>
      </c>
    </row>
    <row r="754" spans="1:10" ht="11.25" customHeight="1" x14ac:dyDescent="0.2">
      <c r="A754" s="66" t="s">
        <v>36</v>
      </c>
      <c r="B754" s="57">
        <v>2299553.2800000007</v>
      </c>
      <c r="C754" s="57">
        <v>3006052.5982695483</v>
      </c>
      <c r="D754" s="57">
        <v>4484205.449000001</v>
      </c>
      <c r="E754" s="57">
        <v>4616199.666400861</v>
      </c>
      <c r="F754" s="57">
        <v>10475267.362319998</v>
      </c>
      <c r="G754" s="57">
        <v>9431867.2834498212</v>
      </c>
      <c r="H754" s="58">
        <v>0.12360308925580155</v>
      </c>
      <c r="I754" s="58">
        <v>-9.9606057084836941E-2</v>
      </c>
      <c r="J754" s="58">
        <v>-1.1872427917750228E-2</v>
      </c>
    </row>
    <row r="755" spans="1:10" ht="11.25" customHeight="1" x14ac:dyDescent="0.2">
      <c r="A755" s="67">
        <v>43739</v>
      </c>
      <c r="B755" s="57">
        <v>186819.12000000002</v>
      </c>
      <c r="C755" s="57">
        <v>244216.17275266204</v>
      </c>
      <c r="D755" s="57">
        <v>448167.41749999998</v>
      </c>
      <c r="E755" s="57">
        <v>461359.38834305521</v>
      </c>
      <c r="F755" s="57">
        <v>1046935.4214</v>
      </c>
      <c r="G755" s="57">
        <v>942654.31205189356</v>
      </c>
      <c r="H755" s="58">
        <v>0.11116617349657942</v>
      </c>
      <c r="I755" s="58">
        <v>-9.9606057084837163E-2</v>
      </c>
      <c r="J755" s="58">
        <v>-2.0031895994998661E-2</v>
      </c>
    </row>
    <row r="756" spans="1:10" ht="11.25" customHeight="1" x14ac:dyDescent="0.2">
      <c r="A756" s="67">
        <v>43770</v>
      </c>
      <c r="B756" s="57">
        <v>195717.6</v>
      </c>
      <c r="C756" s="57">
        <v>255848.56203335294</v>
      </c>
      <c r="D756" s="57">
        <v>465879.97000000003</v>
      </c>
      <c r="E756" s="57">
        <v>479593.31626440893</v>
      </c>
      <c r="F756" s="57">
        <v>1088312.5895999998</v>
      </c>
      <c r="G756" s="57">
        <v>979910.06367415562</v>
      </c>
      <c r="H756" s="58">
        <v>0.11161514438114062</v>
      </c>
      <c r="I756" s="58">
        <v>-9.960605708483683E-2</v>
      </c>
      <c r="J756" s="58">
        <v>-1.9748566769840159E-2</v>
      </c>
    </row>
    <row r="757" spans="1:10" ht="11.25" customHeight="1" x14ac:dyDescent="0.2">
      <c r="A757" s="67">
        <v>43800</v>
      </c>
      <c r="B757" s="57">
        <v>198422.64</v>
      </c>
      <c r="C757" s="57">
        <v>259384.68037039926</v>
      </c>
      <c r="D757" s="57">
        <v>444557.74</v>
      </c>
      <c r="E757" s="57">
        <v>457643.45867372426</v>
      </c>
      <c r="F757" s="57">
        <v>1038503.0832</v>
      </c>
      <c r="G757" s="57">
        <v>935061.88581200154</v>
      </c>
      <c r="H757" s="58">
        <v>0.11516332589203349</v>
      </c>
      <c r="I757" s="58">
        <v>-9.9606057084837052E-2</v>
      </c>
      <c r="J757" s="58">
        <v>-1.7480658589372644E-2</v>
      </c>
    </row>
    <row r="758" spans="1:10" ht="11.25" customHeight="1" x14ac:dyDescent="0.2">
      <c r="A758" s="67">
        <v>43831</v>
      </c>
      <c r="B758" s="57">
        <v>199756.80000000002</v>
      </c>
      <c r="C758" s="57">
        <v>261128.73873572983</v>
      </c>
      <c r="D758" s="57">
        <v>432619.35450000002</v>
      </c>
      <c r="E758" s="57">
        <v>445353.66245692637</v>
      </c>
      <c r="F758" s="57">
        <v>1010614.57956</v>
      </c>
      <c r="G758" s="57">
        <v>909951.24605757813</v>
      </c>
      <c r="H758" s="58">
        <v>0.11718697197121486</v>
      </c>
      <c r="I758" s="58">
        <v>-9.9606057084836941E-2</v>
      </c>
      <c r="J758" s="58">
        <v>-1.6163868888134592E-2</v>
      </c>
    </row>
    <row r="759" spans="1:10" ht="11.25" customHeight="1" x14ac:dyDescent="0.2">
      <c r="A759" s="67">
        <v>43862</v>
      </c>
      <c r="B759" s="57">
        <v>201164.40000000002</v>
      </c>
      <c r="C759" s="57">
        <v>262968.80031383084</v>
      </c>
      <c r="D759" s="57">
        <v>452457.32550000004</v>
      </c>
      <c r="E759" s="57">
        <v>465775.57134441764</v>
      </c>
      <c r="F759" s="57">
        <v>1056956.80284</v>
      </c>
      <c r="G759" s="57">
        <v>951677.50320011214</v>
      </c>
      <c r="H759" s="58">
        <v>0.11493290878723772</v>
      </c>
      <c r="I759" s="58">
        <v>-9.9606057084837052E-2</v>
      </c>
      <c r="J759" s="58">
        <v>-1.7629505446268179E-2</v>
      </c>
    </row>
    <row r="760" spans="1:10" ht="11.25" customHeight="1" x14ac:dyDescent="0.2">
      <c r="A760" s="67">
        <v>43891</v>
      </c>
      <c r="B760" s="57">
        <v>200393.28000000003</v>
      </c>
      <c r="C760" s="57">
        <v>261960.76657974074</v>
      </c>
      <c r="D760" s="57">
        <v>403650.07374999998</v>
      </c>
      <c r="E760" s="57">
        <v>415531.66039771092</v>
      </c>
      <c r="F760" s="57">
        <v>942941.28390000004</v>
      </c>
      <c r="G760" s="57">
        <v>849018.62054820708</v>
      </c>
      <c r="H760" s="58">
        <v>0.12159569800986603</v>
      </c>
      <c r="I760" s="58">
        <v>-9.9606057084837052E-2</v>
      </c>
      <c r="J760" s="58">
        <v>-1.3234514180724077E-2</v>
      </c>
    </row>
    <row r="761" spans="1:10" ht="11.25" customHeight="1" x14ac:dyDescent="0.2">
      <c r="A761" s="67">
        <v>43922</v>
      </c>
      <c r="B761" s="57">
        <v>199891.44000000003</v>
      </c>
      <c r="C761" s="57">
        <v>261304.74462580905</v>
      </c>
      <c r="D761" s="57">
        <v>384163.08324999997</v>
      </c>
      <c r="E761" s="57">
        <v>395471.06324881862</v>
      </c>
      <c r="F761" s="57">
        <v>897418.96386000002</v>
      </c>
      <c r="G761" s="57">
        <v>808030.59931674553</v>
      </c>
      <c r="H761" s="58">
        <v>0.12451112307112444</v>
      </c>
      <c r="I761" s="58">
        <v>-9.9606057084837052E-2</v>
      </c>
      <c r="J761" s="58">
        <v>-1.1250339654164443E-2</v>
      </c>
    </row>
    <row r="762" spans="1:10" ht="11.25" customHeight="1" x14ac:dyDescent="0.2">
      <c r="A762" s="67">
        <v>43952</v>
      </c>
      <c r="B762" s="57">
        <v>195081.12000000002</v>
      </c>
      <c r="C762" s="57">
        <v>255016.53418934203</v>
      </c>
      <c r="D762" s="57">
        <v>318396.27374999999</v>
      </c>
      <c r="E762" s="57">
        <v>327768.38380493817</v>
      </c>
      <c r="F762" s="57">
        <v>743785.29989999998</v>
      </c>
      <c r="G762" s="57">
        <v>669699.77885929798</v>
      </c>
      <c r="H762" s="58">
        <v>0.13497677811698239</v>
      </c>
      <c r="I762" s="58">
        <v>-9.9606057084837052E-2</v>
      </c>
      <c r="J762" s="58">
        <v>-3.8003170065842307E-3</v>
      </c>
    </row>
    <row r="763" spans="1:10" ht="11.25" customHeight="1" x14ac:dyDescent="0.2">
      <c r="A763" s="67">
        <v>43983</v>
      </c>
      <c r="B763" s="57">
        <v>187002.72000000003</v>
      </c>
      <c r="C763" s="57">
        <v>244456.18078458824</v>
      </c>
      <c r="D763" s="57">
        <v>309139.08074999996</v>
      </c>
      <c r="E763" s="57">
        <v>318238.70196399174</v>
      </c>
      <c r="F763" s="57">
        <v>722160.15965999989</v>
      </c>
      <c r="G763" s="57">
        <v>650228.63357251091</v>
      </c>
      <c r="H763" s="58">
        <v>0.1341412513478486</v>
      </c>
      <c r="I763" s="58">
        <v>-9.9606057084837052E-2</v>
      </c>
      <c r="J763" s="58">
        <v>-4.414705273148245E-3</v>
      </c>
    </row>
    <row r="764" spans="1:10" ht="11.25" customHeight="1" x14ac:dyDescent="0.2">
      <c r="A764" s="67">
        <v>44013</v>
      </c>
      <c r="B764" s="57">
        <v>178434.72000000003</v>
      </c>
      <c r="C764" s="57">
        <v>233255.80596136453</v>
      </c>
      <c r="D764" s="57">
        <v>264950.76750000002</v>
      </c>
      <c r="E764" s="57">
        <v>272749.6896510176</v>
      </c>
      <c r="F764" s="57">
        <v>618934.64939999999</v>
      </c>
      <c r="G764" s="57">
        <v>557285.00938008004</v>
      </c>
      <c r="H764" s="58">
        <v>0.14123152398483074</v>
      </c>
      <c r="I764" s="58">
        <v>-9.9606057084836941E-2</v>
      </c>
      <c r="J764" s="58">
        <v>9.1344224660350193E-4</v>
      </c>
    </row>
    <row r="765" spans="1:10" ht="11.25" customHeight="1" x14ac:dyDescent="0.2">
      <c r="A765" s="67">
        <v>44044</v>
      </c>
      <c r="B765" s="57">
        <v>178434.72000000003</v>
      </c>
      <c r="C765" s="57">
        <v>233255.80596136453</v>
      </c>
      <c r="D765" s="57">
        <v>280112.18125000002</v>
      </c>
      <c r="E765" s="57">
        <v>288357.38512592565</v>
      </c>
      <c r="F765" s="57">
        <v>654352.26449999993</v>
      </c>
      <c r="G765" s="57">
        <v>589174.81548862054</v>
      </c>
      <c r="H765" s="58">
        <v>0.13753509110054218</v>
      </c>
      <c r="I765" s="58">
        <v>-9.9606057084837052E-2</v>
      </c>
      <c r="J765" s="58">
        <v>-1.896990526240816E-3</v>
      </c>
    </row>
    <row r="766" spans="1:10" ht="11.25" customHeight="1" x14ac:dyDescent="0.2">
      <c r="A766" s="67">
        <v>44075</v>
      </c>
      <c r="B766" s="57">
        <v>178434.72000000003</v>
      </c>
      <c r="C766" s="57">
        <v>233255.80596136453</v>
      </c>
      <c r="D766" s="57">
        <v>280112.18125000002</v>
      </c>
      <c r="E766" s="57">
        <v>288357.38512592565</v>
      </c>
      <c r="F766" s="57">
        <v>654352.26449999993</v>
      </c>
      <c r="G766" s="57">
        <v>589174.81548862054</v>
      </c>
      <c r="H766" s="58">
        <v>0.13753509110054218</v>
      </c>
      <c r="I766" s="58">
        <v>-9.9606057084837052E-2</v>
      </c>
      <c r="J766" s="58">
        <v>-1.896990526240816E-3</v>
      </c>
    </row>
    <row r="767" spans="1:10" ht="11.25" customHeight="1" x14ac:dyDescent="0.2">
      <c r="A767" s="66" t="s">
        <v>35</v>
      </c>
      <c r="B767" s="57">
        <v>7206002.959999999</v>
      </c>
      <c r="C767" s="57">
        <v>8083451.5211889111</v>
      </c>
      <c r="D767" s="57">
        <v>496806.75175000005</v>
      </c>
      <c r="E767" s="57">
        <v>511430.43907711131</v>
      </c>
      <c r="F767" s="57">
        <v>1950424.8303100001</v>
      </c>
      <c r="G767" s="57">
        <v>1700716.4608202628</v>
      </c>
      <c r="H767" s="58">
        <v>0.11581127950691017</v>
      </c>
      <c r="I767" s="58">
        <v>-0.12802768176923229</v>
      </c>
      <c r="J767" s="58">
        <v>6.6543900516189192E-2</v>
      </c>
    </row>
    <row r="768" spans="1:10" ht="11.25" customHeight="1" x14ac:dyDescent="0.2">
      <c r="A768" s="67">
        <v>43739</v>
      </c>
      <c r="B768" s="57">
        <v>593823.19999999995</v>
      </c>
      <c r="C768" s="57">
        <v>666130.87393975572</v>
      </c>
      <c r="D768" s="57">
        <v>52336.592250000002</v>
      </c>
      <c r="E768" s="57">
        <v>53877.13886724013</v>
      </c>
      <c r="F768" s="57">
        <v>205469.40777000002</v>
      </c>
      <c r="G768" s="57">
        <v>179163.63581870982</v>
      </c>
      <c r="H768" s="58">
        <v>0.11428786105654809</v>
      </c>
      <c r="I768" s="58">
        <v>-0.12802768176923229</v>
      </c>
      <c r="J768" s="58">
        <v>5.5825291810789546E-2</v>
      </c>
    </row>
    <row r="769" spans="1:10" ht="11.25" customHeight="1" x14ac:dyDescent="0.2">
      <c r="A769" s="67">
        <v>43770</v>
      </c>
      <c r="B769" s="57">
        <v>612902.55999999994</v>
      </c>
      <c r="C769" s="57">
        <v>687533.45765661157</v>
      </c>
      <c r="D769" s="57">
        <v>52569.591500000002</v>
      </c>
      <c r="E769" s="57">
        <v>54116.99653485915</v>
      </c>
      <c r="F769" s="57">
        <v>206384.14478</v>
      </c>
      <c r="G769" s="57">
        <v>179961.26116989102</v>
      </c>
      <c r="H769" s="58">
        <v>0.1144725628559542</v>
      </c>
      <c r="I769" s="58">
        <v>-0.12802768176923218</v>
      </c>
      <c r="J769" s="58">
        <v>5.7068371581023403E-2</v>
      </c>
    </row>
    <row r="770" spans="1:10" ht="11.25" customHeight="1" x14ac:dyDescent="0.2">
      <c r="A770" s="67">
        <v>43800</v>
      </c>
      <c r="B770" s="57">
        <v>619160.24</v>
      </c>
      <c r="C770" s="57">
        <v>694553.11240778212</v>
      </c>
      <c r="D770" s="57">
        <v>48568.874750000003</v>
      </c>
      <c r="E770" s="57">
        <v>49998.51723306159</v>
      </c>
      <c r="F770" s="57">
        <v>190677.64066999999</v>
      </c>
      <c r="G770" s="57">
        <v>166265.62436979322</v>
      </c>
      <c r="H770" s="58">
        <v>0.11505041968943708</v>
      </c>
      <c r="I770" s="58">
        <v>-0.12802768176923218</v>
      </c>
      <c r="J770" s="58">
        <v>6.1055552347084818E-2</v>
      </c>
    </row>
    <row r="771" spans="1:10" ht="11.25" customHeight="1" x14ac:dyDescent="0.2">
      <c r="A771" s="67">
        <v>43831</v>
      </c>
      <c r="B771" s="57">
        <v>624980.31999999995</v>
      </c>
      <c r="C771" s="57">
        <v>701081.88221131847</v>
      </c>
      <c r="D771" s="57">
        <v>45893.499000000003</v>
      </c>
      <c r="E771" s="57">
        <v>47244.390825360744</v>
      </c>
      <c r="F771" s="57">
        <v>180174.32268000001</v>
      </c>
      <c r="G771" s="57">
        <v>157107.02183293801</v>
      </c>
      <c r="H771" s="58">
        <v>0.11545010677586065</v>
      </c>
      <c r="I771" s="58">
        <v>-0.12802768176923218</v>
      </c>
      <c r="J771" s="58">
        <v>6.3903732968923599E-2</v>
      </c>
    </row>
    <row r="772" spans="1:10" ht="11.25" customHeight="1" x14ac:dyDescent="0.2">
      <c r="A772" s="67">
        <v>43862</v>
      </c>
      <c r="B772" s="57">
        <v>627605.91999999993</v>
      </c>
      <c r="C772" s="57">
        <v>704027.19189712428</v>
      </c>
      <c r="D772" s="57">
        <v>50679.915999999997</v>
      </c>
      <c r="E772" s="57">
        <v>52171.697749619234</v>
      </c>
      <c r="F772" s="57">
        <v>198965.42512</v>
      </c>
      <c r="G772" s="57">
        <v>173492.34298965664</v>
      </c>
      <c r="H772" s="58">
        <v>0.11486758164701483</v>
      </c>
      <c r="I772" s="58">
        <v>-0.12802768176923218</v>
      </c>
      <c r="J772" s="58">
        <v>5.9777596044090497E-2</v>
      </c>
    </row>
    <row r="773" spans="1:10" ht="11.25" customHeight="1" x14ac:dyDescent="0.2">
      <c r="A773" s="67">
        <v>43891</v>
      </c>
      <c r="B773" s="57">
        <v>624980.31999999995</v>
      </c>
      <c r="C773" s="57">
        <v>701081.88221131847</v>
      </c>
      <c r="D773" s="57">
        <v>45248.498250000004</v>
      </c>
      <c r="E773" s="57">
        <v>46580.404243826597</v>
      </c>
      <c r="F773" s="57">
        <v>177642.09969</v>
      </c>
      <c r="G773" s="57">
        <v>154898.99348207045</v>
      </c>
      <c r="H773" s="58">
        <v>0.11553288384007065</v>
      </c>
      <c r="I773" s="58">
        <v>-0.12802768176923229</v>
      </c>
      <c r="J773" s="58">
        <v>6.4503170046322778E-2</v>
      </c>
    </row>
    <row r="774" spans="1:10" ht="11.25" customHeight="1" x14ac:dyDescent="0.2">
      <c r="A774" s="67">
        <v>43922</v>
      </c>
      <c r="B774" s="57">
        <v>624455.19999999995</v>
      </c>
      <c r="C774" s="57">
        <v>700492.82027415722</v>
      </c>
      <c r="D774" s="57">
        <v>43217.684249999998</v>
      </c>
      <c r="E774" s="57">
        <v>44489.812495535312</v>
      </c>
      <c r="F774" s="57">
        <v>169669.28120999999</v>
      </c>
      <c r="G774" s="57">
        <v>147946.91646923171</v>
      </c>
      <c r="H774" s="58">
        <v>0.11578985809276188</v>
      </c>
      <c r="I774" s="58">
        <v>-0.1280276817692324</v>
      </c>
      <c r="J774" s="58">
        <v>6.6385506513202852E-2</v>
      </c>
    </row>
    <row r="775" spans="1:10" ht="11.25" customHeight="1" x14ac:dyDescent="0.2">
      <c r="A775" s="67">
        <v>43952</v>
      </c>
      <c r="B775" s="57">
        <v>611764.79999999993</v>
      </c>
      <c r="C775" s="57">
        <v>686257.15679276234</v>
      </c>
      <c r="D775" s="57">
        <v>32185.614250000002</v>
      </c>
      <c r="E775" s="57">
        <v>33133.009504925736</v>
      </c>
      <c r="F775" s="57">
        <v>126358.22881000002</v>
      </c>
      <c r="G775" s="57">
        <v>110180.87770298948</v>
      </c>
      <c r="H775" s="58">
        <v>0.11715149237934996</v>
      </c>
      <c r="I775" s="58">
        <v>-0.1280276817692324</v>
      </c>
      <c r="J775" s="58">
        <v>7.6933319487707763E-2</v>
      </c>
    </row>
    <row r="776" spans="1:10" ht="11.25" customHeight="1" x14ac:dyDescent="0.2">
      <c r="A776" s="67">
        <v>43983</v>
      </c>
      <c r="B776" s="57">
        <v>588572</v>
      </c>
      <c r="C776" s="57">
        <v>660240.25456814398</v>
      </c>
      <c r="D776" s="57">
        <v>34107.226999999999</v>
      </c>
      <c r="E776" s="57">
        <v>35111.185624728598</v>
      </c>
      <c r="F776" s="57">
        <v>133902.33164000002</v>
      </c>
      <c r="G776" s="57">
        <v>116759.12653663589</v>
      </c>
      <c r="H776" s="58">
        <v>0.11670890892410091</v>
      </c>
      <c r="I776" s="58">
        <v>-0.12802768176923229</v>
      </c>
      <c r="J776" s="58">
        <v>7.339460955052246E-2</v>
      </c>
    </row>
    <row r="777" spans="1:10" ht="11.25" customHeight="1" x14ac:dyDescent="0.2">
      <c r="A777" s="67">
        <v>44013</v>
      </c>
      <c r="B777" s="57">
        <v>559252.79999999993</v>
      </c>
      <c r="C777" s="57">
        <v>627350.96307664539</v>
      </c>
      <c r="D777" s="57">
        <v>29275.373499999998</v>
      </c>
      <c r="E777" s="57">
        <v>30137.104760576414</v>
      </c>
      <c r="F777" s="57">
        <v>114932.84901999999</v>
      </c>
      <c r="G777" s="57">
        <v>100218.26280083622</v>
      </c>
      <c r="H777" s="58">
        <v>0.1171734802891673</v>
      </c>
      <c r="I777" s="58">
        <v>-0.12802768176923218</v>
      </c>
      <c r="J777" s="58">
        <v>7.7112030917840801E-2</v>
      </c>
    </row>
    <row r="778" spans="1:10" ht="11.25" customHeight="1" x14ac:dyDescent="0.2">
      <c r="A778" s="67">
        <v>44044</v>
      </c>
      <c r="B778" s="57">
        <v>559252.79999999993</v>
      </c>
      <c r="C778" s="57">
        <v>627350.96307664539</v>
      </c>
      <c r="D778" s="57">
        <v>31361.940500000001</v>
      </c>
      <c r="E778" s="57">
        <v>32285.090618688922</v>
      </c>
      <c r="F778" s="57">
        <v>123124.54946000001</v>
      </c>
      <c r="G778" s="57">
        <v>107361.19882375504</v>
      </c>
      <c r="H778" s="58">
        <v>0.11686351264599781</v>
      </c>
      <c r="I778" s="58">
        <v>-0.12802768176923218</v>
      </c>
      <c r="J778" s="58">
        <v>7.4618230085209625E-2</v>
      </c>
    </row>
    <row r="779" spans="1:10" ht="11.25" customHeight="1" x14ac:dyDescent="0.2">
      <c r="A779" s="67">
        <v>44075</v>
      </c>
      <c r="B779" s="57">
        <v>559252.79999999993</v>
      </c>
      <c r="C779" s="57">
        <v>627350.96307664539</v>
      </c>
      <c r="D779" s="57">
        <v>31361.940500000001</v>
      </c>
      <c r="E779" s="57">
        <v>32285.090618688922</v>
      </c>
      <c r="F779" s="57">
        <v>123124.54946000001</v>
      </c>
      <c r="G779" s="57">
        <v>107361.19882375504</v>
      </c>
      <c r="H779" s="58">
        <v>0.11686351264599781</v>
      </c>
      <c r="I779" s="58">
        <v>-0.12802768176923218</v>
      </c>
      <c r="J779" s="58">
        <v>7.4618230085209625E-2</v>
      </c>
    </row>
    <row r="780" spans="1:10" ht="11.25" customHeight="1" x14ac:dyDescent="0.2">
      <c r="A780" s="61" t="s">
        <v>34</v>
      </c>
      <c r="B780" s="57">
        <v>14349453.839999996</v>
      </c>
      <c r="C780" s="57">
        <v>18758083.743761286</v>
      </c>
      <c r="D780" s="57">
        <v>46815551.306869999</v>
      </c>
      <c r="E780" s="57">
        <v>50168793.611950569</v>
      </c>
      <c r="F780" s="57">
        <v>61924614.398989983</v>
      </c>
      <c r="G780" s="57">
        <v>55505408.596217982</v>
      </c>
      <c r="H780" s="58">
        <v>0.12690054043491017</v>
      </c>
      <c r="I780" s="58">
        <v>-0.1036616192942611</v>
      </c>
      <c r="J780" s="58">
        <v>1.0908039288963556E-2</v>
      </c>
    </row>
    <row r="781" spans="1:10" ht="11.25" customHeight="1" x14ac:dyDescent="0.2">
      <c r="A781" s="62" t="s">
        <v>42</v>
      </c>
      <c r="B781" s="57">
        <v>4500954</v>
      </c>
      <c r="C781" s="57">
        <v>5883796.902671339</v>
      </c>
      <c r="D781" s="57">
        <v>15281258.83942</v>
      </c>
      <c r="E781" s="57">
        <v>16368621.76409959</v>
      </c>
      <c r="F781" s="57">
        <v>20385579.938859995</v>
      </c>
      <c r="G781" s="57">
        <v>18273990.599792279</v>
      </c>
      <c r="H781" s="58">
        <v>0.12487004600559914</v>
      </c>
      <c r="I781" s="58">
        <v>-0.10358250024776094</v>
      </c>
      <c r="J781" s="58">
        <v>8.927961022471731E-3</v>
      </c>
    </row>
    <row r="782" spans="1:10" ht="11.25" customHeight="1" x14ac:dyDescent="0.2">
      <c r="A782" s="63" t="s">
        <v>25</v>
      </c>
      <c r="B782" s="57">
        <v>4500954</v>
      </c>
      <c r="C782" s="57">
        <v>5883796.902671339</v>
      </c>
      <c r="D782" s="57">
        <v>15281258.83942</v>
      </c>
      <c r="E782" s="57">
        <v>16368621.76409959</v>
      </c>
      <c r="F782" s="57">
        <v>20385579.938859995</v>
      </c>
      <c r="G782" s="57">
        <v>18273990.599792279</v>
      </c>
      <c r="H782" s="58">
        <v>0.12487004600559914</v>
      </c>
      <c r="I782" s="58">
        <v>-0.10358250024776094</v>
      </c>
      <c r="J782" s="58">
        <v>8.927961022471731E-3</v>
      </c>
    </row>
    <row r="783" spans="1:10" ht="11.25" customHeight="1" x14ac:dyDescent="0.2">
      <c r="A783" s="64" t="s">
        <v>25</v>
      </c>
      <c r="B783" s="57">
        <v>4500954</v>
      </c>
      <c r="C783" s="57">
        <v>5883796.902671339</v>
      </c>
      <c r="D783" s="57">
        <v>15281258.83942</v>
      </c>
      <c r="E783" s="57">
        <v>16368621.76409959</v>
      </c>
      <c r="F783" s="57">
        <v>20385579.938859995</v>
      </c>
      <c r="G783" s="57">
        <v>18273990.599792279</v>
      </c>
      <c r="H783" s="58">
        <v>0.12487004600559914</v>
      </c>
      <c r="I783" s="58">
        <v>-0.10358250024776094</v>
      </c>
      <c r="J783" s="58">
        <v>8.927961022471731E-3</v>
      </c>
    </row>
    <row r="784" spans="1:10" ht="11.25" customHeight="1" x14ac:dyDescent="0.2">
      <c r="A784" s="65" t="s">
        <v>25</v>
      </c>
      <c r="B784" s="57">
        <v>4500954</v>
      </c>
      <c r="C784" s="57">
        <v>5883796.902671339</v>
      </c>
      <c r="D784" s="57">
        <v>15281258.83942</v>
      </c>
      <c r="E784" s="57">
        <v>16368621.76409959</v>
      </c>
      <c r="F784" s="57">
        <v>20385579.938859995</v>
      </c>
      <c r="G784" s="57">
        <v>18273990.599792279</v>
      </c>
      <c r="H784" s="58">
        <v>0.12487004600559914</v>
      </c>
      <c r="I784" s="58">
        <v>-0.10358250024776094</v>
      </c>
      <c r="J784" s="58">
        <v>8.927961022471731E-3</v>
      </c>
    </row>
    <row r="785" spans="1:10" ht="11.25" customHeight="1" x14ac:dyDescent="0.2">
      <c r="A785" s="66" t="s">
        <v>36</v>
      </c>
      <c r="B785" s="57">
        <v>0</v>
      </c>
      <c r="C785" s="57">
        <v>0</v>
      </c>
      <c r="D785" s="57">
        <v>7505641.6065000007</v>
      </c>
      <c r="E785" s="57">
        <v>7726572.8954894999</v>
      </c>
      <c r="F785" s="57">
        <v>17533452.346919999</v>
      </c>
      <c r="G785" s="57">
        <v>15787014.291558418</v>
      </c>
      <c r="H785" s="58">
        <v>2.9435363500193601E-2</v>
      </c>
      <c r="I785" s="58">
        <v>-9.9606057084837052E-2</v>
      </c>
      <c r="J785" s="58">
        <v>-6.0924998692443388E-2</v>
      </c>
    </row>
    <row r="786" spans="1:10" ht="11.25" customHeight="1" x14ac:dyDescent="0.2">
      <c r="A786" s="67">
        <v>43739</v>
      </c>
      <c r="B786" s="57">
        <v>0</v>
      </c>
      <c r="C786" s="57">
        <v>0</v>
      </c>
      <c r="D786" s="57">
        <v>758017.89775</v>
      </c>
      <c r="E786" s="57">
        <v>780330.43010992336</v>
      </c>
      <c r="F786" s="57">
        <v>1770757.43622</v>
      </c>
      <c r="G786" s="57">
        <v>1594379.2699444711</v>
      </c>
      <c r="H786" s="58">
        <v>2.9435363500192935E-2</v>
      </c>
      <c r="I786" s="58">
        <v>-9.9606057084837052E-2</v>
      </c>
      <c r="J786" s="58">
        <v>-6.0924998692443499E-2</v>
      </c>
    </row>
    <row r="787" spans="1:10" ht="11.25" customHeight="1" x14ac:dyDescent="0.2">
      <c r="A787" s="67">
        <v>43770</v>
      </c>
      <c r="B787" s="57">
        <v>0</v>
      </c>
      <c r="C787" s="57">
        <v>0</v>
      </c>
      <c r="D787" s="57">
        <v>767681.93400000001</v>
      </c>
      <c r="E787" s="57">
        <v>790278.93077982112</v>
      </c>
      <c r="F787" s="57">
        <v>1793332.9771200002</v>
      </c>
      <c r="G787" s="57">
        <v>1614706.1502288647</v>
      </c>
      <c r="H787" s="58">
        <v>2.9435363500192935E-2</v>
      </c>
      <c r="I787" s="58">
        <v>-9.9606057084837052E-2</v>
      </c>
      <c r="J787" s="58">
        <v>-6.092499869244361E-2</v>
      </c>
    </row>
    <row r="788" spans="1:10" ht="11.25" customHeight="1" x14ac:dyDescent="0.2">
      <c r="A788" s="67">
        <v>43800</v>
      </c>
      <c r="B788" s="57">
        <v>0</v>
      </c>
      <c r="C788" s="57">
        <v>0</v>
      </c>
      <c r="D788" s="57">
        <v>785352.78149999992</v>
      </c>
      <c r="E788" s="57">
        <v>808469.92609933997</v>
      </c>
      <c r="F788" s="57">
        <v>1834612.72092</v>
      </c>
      <c r="G788" s="57">
        <v>1651874.1815114743</v>
      </c>
      <c r="H788" s="58">
        <v>2.9435363500192935E-2</v>
      </c>
      <c r="I788" s="58">
        <v>-9.9606057084837052E-2</v>
      </c>
      <c r="J788" s="58">
        <v>-6.0924998692443499E-2</v>
      </c>
    </row>
    <row r="789" spans="1:10" ht="11.25" customHeight="1" x14ac:dyDescent="0.2">
      <c r="A789" s="67">
        <v>43831</v>
      </c>
      <c r="B789" s="57">
        <v>0</v>
      </c>
      <c r="C789" s="57">
        <v>0</v>
      </c>
      <c r="D789" s="57">
        <v>714440.01400000008</v>
      </c>
      <c r="E789" s="57">
        <v>735469.81551117287</v>
      </c>
      <c r="F789" s="57">
        <v>1668957.9115200001</v>
      </c>
      <c r="G789" s="57">
        <v>1502719.5945129488</v>
      </c>
      <c r="H789" s="58">
        <v>2.9435363500192713E-2</v>
      </c>
      <c r="I789" s="58">
        <v>-9.9606057084836941E-2</v>
      </c>
      <c r="J789" s="58">
        <v>-6.0924998692443499E-2</v>
      </c>
    </row>
    <row r="790" spans="1:10" ht="11.25" customHeight="1" x14ac:dyDescent="0.2">
      <c r="A790" s="67">
        <v>43862</v>
      </c>
      <c r="B790" s="57">
        <v>0</v>
      </c>
      <c r="C790" s="57">
        <v>0</v>
      </c>
      <c r="D790" s="57">
        <v>772386.36774999998</v>
      </c>
      <c r="E790" s="57">
        <v>795121.84124731505</v>
      </c>
      <c r="F790" s="57">
        <v>1804322.70582</v>
      </c>
      <c r="G790" s="57">
        <v>1624601.2353846256</v>
      </c>
      <c r="H790" s="58">
        <v>2.9435363500193157E-2</v>
      </c>
      <c r="I790" s="58">
        <v>-9.9606057084836941E-2</v>
      </c>
      <c r="J790" s="58">
        <v>-6.0924998692443277E-2</v>
      </c>
    </row>
    <row r="791" spans="1:10" ht="11.25" customHeight="1" x14ac:dyDescent="0.2">
      <c r="A791" s="67">
        <v>43891</v>
      </c>
      <c r="B791" s="57">
        <v>0</v>
      </c>
      <c r="C791" s="57">
        <v>0</v>
      </c>
      <c r="D791" s="57">
        <v>691920.08224999998</v>
      </c>
      <c r="E791" s="57">
        <v>712287.00138411217</v>
      </c>
      <c r="F791" s="57">
        <v>1616350.53018</v>
      </c>
      <c r="G791" s="57">
        <v>1455352.2270017844</v>
      </c>
      <c r="H791" s="58">
        <v>2.9435363500192935E-2</v>
      </c>
      <c r="I791" s="58">
        <v>-9.9606057084837052E-2</v>
      </c>
      <c r="J791" s="58">
        <v>-6.0924998692443388E-2</v>
      </c>
    </row>
    <row r="792" spans="1:10" ht="11.25" customHeight="1" x14ac:dyDescent="0.2">
      <c r="A792" s="67">
        <v>43922</v>
      </c>
      <c r="B792" s="57">
        <v>0</v>
      </c>
      <c r="C792" s="57">
        <v>0</v>
      </c>
      <c r="D792" s="57">
        <v>658270.51274999999</v>
      </c>
      <c r="E792" s="57">
        <v>677646.94457425468</v>
      </c>
      <c r="F792" s="57">
        <v>1537743.9094200002</v>
      </c>
      <c r="G792" s="57">
        <v>1384575.301796451</v>
      </c>
      <c r="H792" s="58">
        <v>2.9435363500192935E-2</v>
      </c>
      <c r="I792" s="58">
        <v>-9.9606057084837163E-2</v>
      </c>
      <c r="J792" s="58">
        <v>-6.0924998692443499E-2</v>
      </c>
    </row>
    <row r="793" spans="1:10" ht="11.25" customHeight="1" x14ac:dyDescent="0.2">
      <c r="A793" s="67">
        <v>43952</v>
      </c>
      <c r="B793" s="57">
        <v>0</v>
      </c>
      <c r="C793" s="57">
        <v>0</v>
      </c>
      <c r="D793" s="57">
        <v>500614.19874999998</v>
      </c>
      <c r="E793" s="57">
        <v>515349.95966356411</v>
      </c>
      <c r="F793" s="57">
        <v>1169453.0138999999</v>
      </c>
      <c r="G793" s="57">
        <v>1052968.4102394418</v>
      </c>
      <c r="H793" s="58">
        <v>2.9435363500192935E-2</v>
      </c>
      <c r="I793" s="58">
        <v>-9.9606057084837052E-2</v>
      </c>
      <c r="J793" s="58">
        <v>-6.0924998692443499E-2</v>
      </c>
    </row>
    <row r="794" spans="1:10" ht="11.25" customHeight="1" x14ac:dyDescent="0.2">
      <c r="A794" s="67">
        <v>43983</v>
      </c>
      <c r="B794" s="57">
        <v>0</v>
      </c>
      <c r="C794" s="57">
        <v>0</v>
      </c>
      <c r="D794" s="57">
        <v>495560.86975000001</v>
      </c>
      <c r="E794" s="57">
        <v>510147.88408756303</v>
      </c>
      <c r="F794" s="57">
        <v>1157648.25318</v>
      </c>
      <c r="G794" s="57">
        <v>1042339.4751895909</v>
      </c>
      <c r="H794" s="58">
        <v>2.9435363500192935E-2</v>
      </c>
      <c r="I794" s="58">
        <v>-9.9606057084837163E-2</v>
      </c>
      <c r="J794" s="58">
        <v>-6.0924998692443721E-2</v>
      </c>
    </row>
    <row r="795" spans="1:10" ht="11.25" customHeight="1" x14ac:dyDescent="0.2">
      <c r="A795" s="67">
        <v>44013</v>
      </c>
      <c r="B795" s="57">
        <v>0</v>
      </c>
      <c r="C795" s="57">
        <v>0</v>
      </c>
      <c r="D795" s="57">
        <v>439052.24099999998</v>
      </c>
      <c r="E795" s="57">
        <v>451975.90330940933</v>
      </c>
      <c r="F795" s="57">
        <v>1025642.0368799999</v>
      </c>
      <c r="G795" s="57">
        <v>923481.87760592229</v>
      </c>
      <c r="H795" s="58">
        <v>2.9435363500192935E-2</v>
      </c>
      <c r="I795" s="58">
        <v>-9.960605708483683E-2</v>
      </c>
      <c r="J795" s="58">
        <v>-6.0924998692443388E-2</v>
      </c>
    </row>
    <row r="796" spans="1:10" ht="11.25" customHeight="1" x14ac:dyDescent="0.2">
      <c r="A796" s="67">
        <v>44044</v>
      </c>
      <c r="B796" s="57">
        <v>0</v>
      </c>
      <c r="C796" s="57">
        <v>0</v>
      </c>
      <c r="D796" s="57">
        <v>461172.35349999997</v>
      </c>
      <c r="E796" s="57">
        <v>474747.12936151191</v>
      </c>
      <c r="F796" s="57">
        <v>1077315.42588</v>
      </c>
      <c r="G796" s="57">
        <v>970008.28407142125</v>
      </c>
      <c r="H796" s="58">
        <v>2.9435363500192935E-2</v>
      </c>
      <c r="I796" s="58">
        <v>-9.9606057084836941E-2</v>
      </c>
      <c r="J796" s="58">
        <v>-6.0924998692443499E-2</v>
      </c>
    </row>
    <row r="797" spans="1:10" ht="11.25" customHeight="1" x14ac:dyDescent="0.2">
      <c r="A797" s="67">
        <v>44075</v>
      </c>
      <c r="B797" s="57">
        <v>0</v>
      </c>
      <c r="C797" s="57">
        <v>0</v>
      </c>
      <c r="D797" s="57">
        <v>461172.35349999997</v>
      </c>
      <c r="E797" s="57">
        <v>474747.12936151191</v>
      </c>
      <c r="F797" s="57">
        <v>1077315.42588</v>
      </c>
      <c r="G797" s="57">
        <v>970008.28407142125</v>
      </c>
      <c r="H797" s="58">
        <v>2.9435363500192935E-2</v>
      </c>
      <c r="I797" s="58">
        <v>-9.9606057084836941E-2</v>
      </c>
      <c r="J797" s="58">
        <v>-6.0924998692443499E-2</v>
      </c>
    </row>
    <row r="798" spans="1:10" ht="11.25" customHeight="1" x14ac:dyDescent="0.2">
      <c r="A798" s="66" t="s">
        <v>25</v>
      </c>
      <c r="B798" s="57">
        <v>4500954</v>
      </c>
      <c r="C798" s="57">
        <v>5883796.902671339</v>
      </c>
      <c r="D798" s="57">
        <v>0</v>
      </c>
      <c r="E798" s="57">
        <v>0</v>
      </c>
      <c r="F798" s="57">
        <v>0</v>
      </c>
      <c r="G798" s="57">
        <v>0</v>
      </c>
      <c r="H798" s="58">
        <v>0.3072332893585088</v>
      </c>
      <c r="I798" s="58">
        <v>0</v>
      </c>
      <c r="J798" s="58">
        <v>0.3072332893585088</v>
      </c>
    </row>
    <row r="799" spans="1:10" ht="11.25" customHeight="1" x14ac:dyDescent="0.2">
      <c r="A799" s="67">
        <v>43739</v>
      </c>
      <c r="B799" s="57">
        <v>367750.8</v>
      </c>
      <c r="C799" s="57">
        <v>480736.08794822311</v>
      </c>
      <c r="D799" s="57">
        <v>0</v>
      </c>
      <c r="E799" s="57">
        <v>0</v>
      </c>
      <c r="F799" s="57">
        <v>0</v>
      </c>
      <c r="G799" s="57">
        <v>0</v>
      </c>
      <c r="H799" s="58">
        <v>0.3072332893585088</v>
      </c>
      <c r="I799" s="58">
        <v>0</v>
      </c>
      <c r="J799" s="58">
        <v>0.3072332893585088</v>
      </c>
    </row>
    <row r="800" spans="1:10" ht="11.25" customHeight="1" x14ac:dyDescent="0.2">
      <c r="A800" s="67">
        <v>43770</v>
      </c>
      <c r="B800" s="57">
        <v>371704.32000000001</v>
      </c>
      <c r="C800" s="57">
        <v>485904.26090236782</v>
      </c>
      <c r="D800" s="57">
        <v>0</v>
      </c>
      <c r="E800" s="57">
        <v>0</v>
      </c>
      <c r="F800" s="57">
        <v>0</v>
      </c>
      <c r="G800" s="57">
        <v>0</v>
      </c>
      <c r="H800" s="58">
        <v>0.30723328935850902</v>
      </c>
      <c r="I800" s="58">
        <v>0</v>
      </c>
      <c r="J800" s="58">
        <v>0.30723328935850902</v>
      </c>
    </row>
    <row r="801" spans="1:10" ht="11.25" customHeight="1" x14ac:dyDescent="0.2">
      <c r="A801" s="67">
        <v>43800</v>
      </c>
      <c r="B801" s="57">
        <v>387995.76</v>
      </c>
      <c r="C801" s="57">
        <v>507200.97360195458</v>
      </c>
      <c r="D801" s="57">
        <v>0</v>
      </c>
      <c r="E801" s="57">
        <v>0</v>
      </c>
      <c r="F801" s="57">
        <v>0</v>
      </c>
      <c r="G801" s="57">
        <v>0</v>
      </c>
      <c r="H801" s="58">
        <v>0.3072332893585088</v>
      </c>
      <c r="I801" s="58">
        <v>0</v>
      </c>
      <c r="J801" s="58">
        <v>0.3072332893585088</v>
      </c>
    </row>
    <row r="802" spans="1:10" ht="11.25" customHeight="1" x14ac:dyDescent="0.2">
      <c r="A802" s="67">
        <v>43831</v>
      </c>
      <c r="B802" s="57">
        <v>372952.8</v>
      </c>
      <c r="C802" s="57">
        <v>487536.31551946612</v>
      </c>
      <c r="D802" s="57">
        <v>0</v>
      </c>
      <c r="E802" s="57">
        <v>0</v>
      </c>
      <c r="F802" s="57">
        <v>0</v>
      </c>
      <c r="G802" s="57">
        <v>0</v>
      </c>
      <c r="H802" s="58">
        <v>0.30723328935850902</v>
      </c>
      <c r="I802" s="58">
        <v>0</v>
      </c>
      <c r="J802" s="58">
        <v>0.30723328935850902</v>
      </c>
    </row>
    <row r="803" spans="1:10" ht="11.25" customHeight="1" x14ac:dyDescent="0.2">
      <c r="A803" s="67">
        <v>43862</v>
      </c>
      <c r="B803" s="57">
        <v>382108.32</v>
      </c>
      <c r="C803" s="57">
        <v>499504.71604485373</v>
      </c>
      <c r="D803" s="57">
        <v>0</v>
      </c>
      <c r="E803" s="57">
        <v>0</v>
      </c>
      <c r="F803" s="57">
        <v>0</v>
      </c>
      <c r="G803" s="57">
        <v>0</v>
      </c>
      <c r="H803" s="58">
        <v>0.30723328935850902</v>
      </c>
      <c r="I803" s="58">
        <v>0</v>
      </c>
      <c r="J803" s="58">
        <v>0.30723328935850902</v>
      </c>
    </row>
    <row r="804" spans="1:10" ht="11.25" customHeight="1" x14ac:dyDescent="0.2">
      <c r="A804" s="67">
        <v>43891</v>
      </c>
      <c r="B804" s="57">
        <v>379256.4</v>
      </c>
      <c r="C804" s="57">
        <v>495776.59128226642</v>
      </c>
      <c r="D804" s="57">
        <v>0</v>
      </c>
      <c r="E804" s="57">
        <v>0</v>
      </c>
      <c r="F804" s="57">
        <v>0</v>
      </c>
      <c r="G804" s="57">
        <v>0</v>
      </c>
      <c r="H804" s="58">
        <v>0.3072332893585088</v>
      </c>
      <c r="I804" s="58">
        <v>0</v>
      </c>
      <c r="J804" s="58">
        <v>0.3072332893585088</v>
      </c>
    </row>
    <row r="805" spans="1:10" ht="11.25" customHeight="1" x14ac:dyDescent="0.2">
      <c r="A805" s="67">
        <v>43922</v>
      </c>
      <c r="B805" s="57">
        <v>396416.88</v>
      </c>
      <c r="C805" s="57">
        <v>518209.34199963737</v>
      </c>
      <c r="D805" s="57">
        <v>0</v>
      </c>
      <c r="E805" s="57">
        <v>0</v>
      </c>
      <c r="F805" s="57">
        <v>0</v>
      </c>
      <c r="G805" s="57">
        <v>0</v>
      </c>
      <c r="H805" s="58">
        <v>0.30723328935850902</v>
      </c>
      <c r="I805" s="58">
        <v>0</v>
      </c>
      <c r="J805" s="58">
        <v>0.30723328935850902</v>
      </c>
    </row>
    <row r="806" spans="1:10" ht="11.25" customHeight="1" x14ac:dyDescent="0.2">
      <c r="A806" s="67">
        <v>43952</v>
      </c>
      <c r="B806" s="57">
        <v>370039.68</v>
      </c>
      <c r="C806" s="57">
        <v>483728.18807957007</v>
      </c>
      <c r="D806" s="57">
        <v>0</v>
      </c>
      <c r="E806" s="57">
        <v>0</v>
      </c>
      <c r="F806" s="57">
        <v>0</v>
      </c>
      <c r="G806" s="57">
        <v>0</v>
      </c>
      <c r="H806" s="58">
        <v>0.30723328935850902</v>
      </c>
      <c r="I806" s="58">
        <v>0</v>
      </c>
      <c r="J806" s="58">
        <v>0.30723328935850902</v>
      </c>
    </row>
    <row r="807" spans="1:10" ht="11.25" customHeight="1" x14ac:dyDescent="0.2">
      <c r="A807" s="67">
        <v>43983</v>
      </c>
      <c r="B807" s="57">
        <v>385205.04</v>
      </c>
      <c r="C807" s="57">
        <v>503552.85151667602</v>
      </c>
      <c r="D807" s="57">
        <v>0</v>
      </c>
      <c r="E807" s="57">
        <v>0</v>
      </c>
      <c r="F807" s="57">
        <v>0</v>
      </c>
      <c r="G807" s="57">
        <v>0</v>
      </c>
      <c r="H807" s="58">
        <v>0.30723328935850902</v>
      </c>
      <c r="I807" s="58">
        <v>0</v>
      </c>
      <c r="J807" s="58">
        <v>0.30723328935850902</v>
      </c>
    </row>
    <row r="808" spans="1:10" ht="11.25" customHeight="1" x14ac:dyDescent="0.2">
      <c r="A808" s="67">
        <v>44013</v>
      </c>
      <c r="B808" s="57">
        <v>365192.64</v>
      </c>
      <c r="C808" s="57">
        <v>477391.97603671777</v>
      </c>
      <c r="D808" s="57">
        <v>0</v>
      </c>
      <c r="E808" s="57">
        <v>0</v>
      </c>
      <c r="F808" s="57">
        <v>0</v>
      </c>
      <c r="G808" s="57">
        <v>0</v>
      </c>
      <c r="H808" s="58">
        <v>0.3072332893585088</v>
      </c>
      <c r="I808" s="58">
        <v>0</v>
      </c>
      <c r="J808" s="58">
        <v>0.3072332893585088</v>
      </c>
    </row>
    <row r="809" spans="1:10" ht="11.25" customHeight="1" x14ac:dyDescent="0.2">
      <c r="A809" s="67">
        <v>44044</v>
      </c>
      <c r="B809" s="57">
        <v>361165.68</v>
      </c>
      <c r="C809" s="57">
        <v>472127.79986980266</v>
      </c>
      <c r="D809" s="57">
        <v>0</v>
      </c>
      <c r="E809" s="57">
        <v>0</v>
      </c>
      <c r="F809" s="57">
        <v>0</v>
      </c>
      <c r="G809" s="57">
        <v>0</v>
      </c>
      <c r="H809" s="58">
        <v>0.30723328935850902</v>
      </c>
      <c r="I809" s="58">
        <v>0</v>
      </c>
      <c r="J809" s="58">
        <v>0.30723328935850902</v>
      </c>
    </row>
    <row r="810" spans="1:10" ht="11.25" customHeight="1" x14ac:dyDescent="0.2">
      <c r="A810" s="67">
        <v>44075</v>
      </c>
      <c r="B810" s="57">
        <v>361165.68</v>
      </c>
      <c r="C810" s="57">
        <v>472127.79986980266</v>
      </c>
      <c r="D810" s="57">
        <v>0</v>
      </c>
      <c r="E810" s="57">
        <v>0</v>
      </c>
      <c r="F810" s="57">
        <v>0</v>
      </c>
      <c r="G810" s="57">
        <v>0</v>
      </c>
      <c r="H810" s="58">
        <v>0.30723328935850902</v>
      </c>
      <c r="I810" s="58">
        <v>0</v>
      </c>
      <c r="J810" s="58">
        <v>0.30723328935850902</v>
      </c>
    </row>
    <row r="811" spans="1:10" ht="11.25" customHeight="1" x14ac:dyDescent="0.2">
      <c r="A811" s="66" t="s">
        <v>35</v>
      </c>
      <c r="B811" s="57">
        <v>0</v>
      </c>
      <c r="C811" s="57">
        <v>0</v>
      </c>
      <c r="D811" s="57">
        <v>7775617.2329200022</v>
      </c>
      <c r="E811" s="57">
        <v>8642048.8686100934</v>
      </c>
      <c r="F811" s="57">
        <v>2852127.5919399997</v>
      </c>
      <c r="G811" s="57">
        <v>2486976.308233859</v>
      </c>
      <c r="H811" s="58">
        <v>0.11142930647638338</v>
      </c>
      <c r="I811" s="58">
        <v>-0.12802768176923229</v>
      </c>
      <c r="J811" s="58">
        <v>4.7167142253112138E-2</v>
      </c>
    </row>
    <row r="812" spans="1:10" ht="11.25" customHeight="1" x14ac:dyDescent="0.2">
      <c r="A812" s="67">
        <v>43739</v>
      </c>
      <c r="B812" s="57">
        <v>0</v>
      </c>
      <c r="C812" s="57">
        <v>0</v>
      </c>
      <c r="D812" s="57">
        <v>742490.83940000006</v>
      </c>
      <c r="E812" s="57">
        <v>825226.07869940996</v>
      </c>
      <c r="F812" s="57">
        <v>272348.61830000003</v>
      </c>
      <c r="G812" s="57">
        <v>237480.45606599751</v>
      </c>
      <c r="H812" s="58">
        <v>0.1114293064763836</v>
      </c>
      <c r="I812" s="58">
        <v>-0.12802768176923229</v>
      </c>
      <c r="J812" s="58">
        <v>4.716714225311236E-2</v>
      </c>
    </row>
    <row r="813" spans="1:10" ht="11.25" customHeight="1" x14ac:dyDescent="0.2">
      <c r="A813" s="67">
        <v>43770</v>
      </c>
      <c r="B813" s="57">
        <v>0</v>
      </c>
      <c r="C813" s="57">
        <v>0</v>
      </c>
      <c r="D813" s="57">
        <v>756713.62268000003</v>
      </c>
      <c r="E813" s="57">
        <v>841033.69685646414</v>
      </c>
      <c r="F813" s="57">
        <v>277565.59225999995</v>
      </c>
      <c r="G813" s="57">
        <v>242029.51294404824</v>
      </c>
      <c r="H813" s="58">
        <v>0.11142930647638338</v>
      </c>
      <c r="I813" s="58">
        <v>-0.12802768176923207</v>
      </c>
      <c r="J813" s="58">
        <v>4.716714225311236E-2</v>
      </c>
    </row>
    <row r="814" spans="1:10" ht="11.25" customHeight="1" x14ac:dyDescent="0.2">
      <c r="A814" s="67">
        <v>43800</v>
      </c>
      <c r="B814" s="57">
        <v>0</v>
      </c>
      <c r="C814" s="57">
        <v>0</v>
      </c>
      <c r="D814" s="57">
        <v>802122.4543000001</v>
      </c>
      <c r="E814" s="57">
        <v>891502.40309178375</v>
      </c>
      <c r="F814" s="57">
        <v>294221.73385000002</v>
      </c>
      <c r="G814" s="57">
        <v>256553.20733906046</v>
      </c>
      <c r="H814" s="58">
        <v>0.1114293064763836</v>
      </c>
      <c r="I814" s="58">
        <v>-0.12802768176923229</v>
      </c>
      <c r="J814" s="58">
        <v>4.716714225311236E-2</v>
      </c>
    </row>
    <row r="815" spans="1:10" ht="11.25" customHeight="1" x14ac:dyDescent="0.2">
      <c r="A815" s="67">
        <v>43831</v>
      </c>
      <c r="B815" s="57">
        <v>0</v>
      </c>
      <c r="C815" s="57">
        <v>0</v>
      </c>
      <c r="D815" s="57">
        <v>691702.06498000014</v>
      </c>
      <c r="E815" s="57">
        <v>768777.94636900374</v>
      </c>
      <c r="F815" s="57">
        <v>253719.09211000003</v>
      </c>
      <c r="G815" s="57">
        <v>221236.02492656239</v>
      </c>
      <c r="H815" s="58">
        <v>0.11142930647638316</v>
      </c>
      <c r="I815" s="58">
        <v>-0.1280276817692324</v>
      </c>
      <c r="J815" s="58">
        <v>4.7167142253112138E-2</v>
      </c>
    </row>
    <row r="816" spans="1:10" ht="11.25" customHeight="1" x14ac:dyDescent="0.2">
      <c r="A816" s="67">
        <v>43862</v>
      </c>
      <c r="B816" s="57">
        <v>0</v>
      </c>
      <c r="C816" s="57">
        <v>0</v>
      </c>
      <c r="D816" s="57">
        <v>807599.89388000011</v>
      </c>
      <c r="E816" s="57">
        <v>897590.18996544939</v>
      </c>
      <c r="F816" s="57">
        <v>296230.88066000002</v>
      </c>
      <c r="G816" s="57">
        <v>258305.12774064211</v>
      </c>
      <c r="H816" s="58">
        <v>0.11142930647638338</v>
      </c>
      <c r="I816" s="58">
        <v>-0.12802768176923229</v>
      </c>
      <c r="J816" s="58">
        <v>4.716714225311236E-2</v>
      </c>
    </row>
    <row r="817" spans="1:10" ht="11.25" customHeight="1" x14ac:dyDescent="0.2">
      <c r="A817" s="67">
        <v>43891</v>
      </c>
      <c r="B817" s="57">
        <v>0</v>
      </c>
      <c r="C817" s="57">
        <v>0</v>
      </c>
      <c r="D817" s="57">
        <v>708762.82682000007</v>
      </c>
      <c r="E817" s="57">
        <v>787739.77706879377</v>
      </c>
      <c r="F817" s="57">
        <v>259977.04798999996</v>
      </c>
      <c r="G817" s="57">
        <v>226692.78922263184</v>
      </c>
      <c r="H817" s="58">
        <v>0.11142930647638338</v>
      </c>
      <c r="I817" s="58">
        <v>-0.12802768176923218</v>
      </c>
      <c r="J817" s="58">
        <v>4.716714225311236E-2</v>
      </c>
    </row>
    <row r="818" spans="1:10" ht="11.25" customHeight="1" x14ac:dyDescent="0.2">
      <c r="A818" s="67">
        <v>43922</v>
      </c>
      <c r="B818" s="57">
        <v>0</v>
      </c>
      <c r="C818" s="57">
        <v>0</v>
      </c>
      <c r="D818" s="57">
        <v>793083.44559999998</v>
      </c>
      <c r="E818" s="57">
        <v>881456.1839211086</v>
      </c>
      <c r="F818" s="57">
        <v>290906.18920000002</v>
      </c>
      <c r="G818" s="57">
        <v>253662.14418440231</v>
      </c>
      <c r="H818" s="58">
        <v>0.1114293064763836</v>
      </c>
      <c r="I818" s="58">
        <v>-0.1280276817692324</v>
      </c>
      <c r="J818" s="58">
        <v>4.7167142253112138E-2</v>
      </c>
    </row>
    <row r="819" spans="1:10" ht="11.25" customHeight="1" x14ac:dyDescent="0.2">
      <c r="A819" s="67">
        <v>43952</v>
      </c>
      <c r="B819" s="57">
        <v>0</v>
      </c>
      <c r="C819" s="57">
        <v>0</v>
      </c>
      <c r="D819" s="57">
        <v>471492.07876</v>
      </c>
      <c r="E819" s="57">
        <v>524030.1141053352</v>
      </c>
      <c r="F819" s="57">
        <v>172945.18582000001</v>
      </c>
      <c r="G819" s="57">
        <v>150803.41460631631</v>
      </c>
      <c r="H819" s="58">
        <v>0.1114293064763836</v>
      </c>
      <c r="I819" s="58">
        <v>-0.12802768176923229</v>
      </c>
      <c r="J819" s="58">
        <v>4.716714225311236E-2</v>
      </c>
    </row>
    <row r="820" spans="1:10" ht="11.25" customHeight="1" x14ac:dyDescent="0.2">
      <c r="A820" s="67">
        <v>43983</v>
      </c>
      <c r="B820" s="57">
        <v>0</v>
      </c>
      <c r="C820" s="57">
        <v>0</v>
      </c>
      <c r="D820" s="57">
        <v>543232.08894000016</v>
      </c>
      <c r="E820" s="57">
        <v>603764.06386630144</v>
      </c>
      <c r="F820" s="57">
        <v>199259.70932999998</v>
      </c>
      <c r="G820" s="57">
        <v>173748.95067446903</v>
      </c>
      <c r="H820" s="58">
        <v>0.11142930647638338</v>
      </c>
      <c r="I820" s="58">
        <v>-0.12802768176923218</v>
      </c>
      <c r="J820" s="58">
        <v>4.716714225311236E-2</v>
      </c>
    </row>
    <row r="821" spans="1:10" ht="11.25" customHeight="1" x14ac:dyDescent="0.2">
      <c r="A821" s="67">
        <v>44013</v>
      </c>
      <c r="B821" s="57">
        <v>0</v>
      </c>
      <c r="C821" s="57">
        <v>0</v>
      </c>
      <c r="D821" s="57">
        <v>451875.25676000002</v>
      </c>
      <c r="E821" s="57">
        <v>502227.40323460457</v>
      </c>
      <c r="F821" s="57">
        <v>165749.65681999997</v>
      </c>
      <c r="G821" s="57">
        <v>144529.11250328957</v>
      </c>
      <c r="H821" s="58">
        <v>0.1114293064763836</v>
      </c>
      <c r="I821" s="58">
        <v>-0.12802768176923218</v>
      </c>
      <c r="J821" s="58">
        <v>4.7167142253112582E-2</v>
      </c>
    </row>
    <row r="822" spans="1:10" ht="11.25" customHeight="1" x14ac:dyDescent="0.2">
      <c r="A822" s="67">
        <v>44044</v>
      </c>
      <c r="B822" s="57">
        <v>0</v>
      </c>
      <c r="C822" s="57">
        <v>0</v>
      </c>
      <c r="D822" s="57">
        <v>503271.33040000004</v>
      </c>
      <c r="E822" s="57">
        <v>559350.50571591884</v>
      </c>
      <c r="F822" s="57">
        <v>184601.94279999999</v>
      </c>
      <c r="G822" s="57">
        <v>160967.78401321956</v>
      </c>
      <c r="H822" s="58">
        <v>0.11142930647638338</v>
      </c>
      <c r="I822" s="58">
        <v>-0.1280276817692324</v>
      </c>
      <c r="J822" s="58">
        <v>4.7167142253112138E-2</v>
      </c>
    </row>
    <row r="823" spans="1:10" ht="11.25" customHeight="1" x14ac:dyDescent="0.2">
      <c r="A823" s="67">
        <v>44075</v>
      </c>
      <c r="B823" s="57">
        <v>0</v>
      </c>
      <c r="C823" s="57">
        <v>0</v>
      </c>
      <c r="D823" s="57">
        <v>503271.33040000004</v>
      </c>
      <c r="E823" s="57">
        <v>559350.50571591884</v>
      </c>
      <c r="F823" s="57">
        <v>184601.94279999999</v>
      </c>
      <c r="G823" s="57">
        <v>160967.78401321956</v>
      </c>
      <c r="H823" s="58">
        <v>0.11142930647638338</v>
      </c>
      <c r="I823" s="58">
        <v>-0.1280276817692324</v>
      </c>
      <c r="J823" s="58">
        <v>4.7167142253112138E-2</v>
      </c>
    </row>
    <row r="824" spans="1:10" ht="11.25" customHeight="1" x14ac:dyDescent="0.2">
      <c r="A824" s="62" t="s">
        <v>48</v>
      </c>
      <c r="B824" s="57">
        <v>9848499.8399999999</v>
      </c>
      <c r="C824" s="57">
        <v>12874286.841089947</v>
      </c>
      <c r="D824" s="57">
        <v>31534292.467449997</v>
      </c>
      <c r="E824" s="57">
        <v>33800171.847850978</v>
      </c>
      <c r="F824" s="57">
        <v>41539034.460129999</v>
      </c>
      <c r="G824" s="57">
        <v>37231417.996425688</v>
      </c>
      <c r="H824" s="58">
        <v>0.12787117752173316</v>
      </c>
      <c r="I824" s="58">
        <v>-0.10370044753540975</v>
      </c>
      <c r="J824" s="58">
        <v>1.1867200182948734E-2</v>
      </c>
    </row>
    <row r="825" spans="1:10" ht="11.25" customHeight="1" x14ac:dyDescent="0.2">
      <c r="A825" s="63" t="s">
        <v>25</v>
      </c>
      <c r="B825" s="57">
        <v>9848499.8399999999</v>
      </c>
      <c r="C825" s="57">
        <v>12874286.841089947</v>
      </c>
      <c r="D825" s="57">
        <v>31534292.467449997</v>
      </c>
      <c r="E825" s="57">
        <v>33800171.847850978</v>
      </c>
      <c r="F825" s="57">
        <v>41539034.460129999</v>
      </c>
      <c r="G825" s="57">
        <v>37231417.996425688</v>
      </c>
      <c r="H825" s="58">
        <v>0.12787117752173316</v>
      </c>
      <c r="I825" s="58">
        <v>-0.10370044753540975</v>
      </c>
      <c r="J825" s="58">
        <v>1.1867200182948734E-2</v>
      </c>
    </row>
    <row r="826" spans="1:10" ht="11.25" customHeight="1" x14ac:dyDescent="0.2">
      <c r="A826" s="64" t="s">
        <v>25</v>
      </c>
      <c r="B826" s="57">
        <v>9848499.8399999999</v>
      </c>
      <c r="C826" s="57">
        <v>12874286.841089947</v>
      </c>
      <c r="D826" s="57">
        <v>31534292.467449997</v>
      </c>
      <c r="E826" s="57">
        <v>33800171.847850978</v>
      </c>
      <c r="F826" s="57">
        <v>41539034.460129999</v>
      </c>
      <c r="G826" s="57">
        <v>37231417.996425688</v>
      </c>
      <c r="H826" s="58">
        <v>0.12787117752173316</v>
      </c>
      <c r="I826" s="58">
        <v>-0.10370044753540975</v>
      </c>
      <c r="J826" s="58">
        <v>1.1867200182948734E-2</v>
      </c>
    </row>
    <row r="827" spans="1:10" ht="11.25" customHeight="1" x14ac:dyDescent="0.2">
      <c r="A827" s="65" t="s">
        <v>25</v>
      </c>
      <c r="B827" s="57">
        <v>9848499.8399999999</v>
      </c>
      <c r="C827" s="57">
        <v>12874286.841089947</v>
      </c>
      <c r="D827" s="57">
        <v>31534292.467449997</v>
      </c>
      <c r="E827" s="57">
        <v>33800171.847850978</v>
      </c>
      <c r="F827" s="57">
        <v>41539034.460129999</v>
      </c>
      <c r="G827" s="57">
        <v>37231417.996425688</v>
      </c>
      <c r="H827" s="58">
        <v>0.12787117752173316</v>
      </c>
      <c r="I827" s="58">
        <v>-0.10370044753540975</v>
      </c>
      <c r="J827" s="58">
        <v>1.1867200182948734E-2</v>
      </c>
    </row>
    <row r="828" spans="1:10" ht="11.25" customHeight="1" x14ac:dyDescent="0.2">
      <c r="A828" s="66" t="s">
        <v>36</v>
      </c>
      <c r="B828" s="57">
        <v>0</v>
      </c>
      <c r="C828" s="57">
        <v>0</v>
      </c>
      <c r="D828" s="57">
        <v>15220209.12975</v>
      </c>
      <c r="E828" s="57">
        <v>15668221.518033143</v>
      </c>
      <c r="F828" s="57">
        <v>35554963.249980003</v>
      </c>
      <c r="G828" s="57">
        <v>32013473.550853208</v>
      </c>
      <c r="H828" s="58">
        <v>2.9435363500193157E-2</v>
      </c>
      <c r="I828" s="58">
        <v>-9.9606057084836608E-2</v>
      </c>
      <c r="J828" s="58">
        <v>-6.0924998692443166E-2</v>
      </c>
    </row>
    <row r="829" spans="1:10" ht="11.25" customHeight="1" x14ac:dyDescent="0.2">
      <c r="A829" s="67">
        <v>43739</v>
      </c>
      <c r="B829" s="57">
        <v>0</v>
      </c>
      <c r="C829" s="57">
        <v>0</v>
      </c>
      <c r="D829" s="57">
        <v>1660776.51</v>
      </c>
      <c r="E829" s="57">
        <v>1709662.0702644316</v>
      </c>
      <c r="F829" s="57">
        <v>3879634.4567999998</v>
      </c>
      <c r="G829" s="57">
        <v>3493199.3656276786</v>
      </c>
      <c r="H829" s="58">
        <v>2.9435363500192935E-2</v>
      </c>
      <c r="I829" s="58">
        <v>-9.9606057084836941E-2</v>
      </c>
      <c r="J829" s="58">
        <v>-6.0924998692443388E-2</v>
      </c>
    </row>
    <row r="830" spans="1:10" ht="11.25" customHeight="1" x14ac:dyDescent="0.2">
      <c r="A830" s="67">
        <v>43770</v>
      </c>
      <c r="B830" s="57">
        <v>0</v>
      </c>
      <c r="C830" s="57">
        <v>0</v>
      </c>
      <c r="D830" s="57">
        <v>1626038.2205000001</v>
      </c>
      <c r="E830" s="57">
        <v>1673901.2465856245</v>
      </c>
      <c r="F830" s="57">
        <v>3798484.5464399997</v>
      </c>
      <c r="G830" s="57">
        <v>3420132.4778714259</v>
      </c>
      <c r="H830" s="58">
        <v>2.9435363500192935E-2</v>
      </c>
      <c r="I830" s="58">
        <v>-9.9606057084837052E-2</v>
      </c>
      <c r="J830" s="58">
        <v>-6.0924998692443388E-2</v>
      </c>
    </row>
    <row r="831" spans="1:10" ht="11.25" customHeight="1" x14ac:dyDescent="0.2">
      <c r="A831" s="67">
        <v>43800</v>
      </c>
      <c r="B831" s="57">
        <v>0</v>
      </c>
      <c r="C831" s="57">
        <v>0</v>
      </c>
      <c r="D831" s="57">
        <v>1537265.3965000003</v>
      </c>
      <c r="E831" s="57">
        <v>1582515.3622422456</v>
      </c>
      <c r="F831" s="57">
        <v>3591107.9941199999</v>
      </c>
      <c r="G831" s="57">
        <v>3233411.8862598692</v>
      </c>
      <c r="H831" s="58">
        <v>2.9435363500192713E-2</v>
      </c>
      <c r="I831" s="58">
        <v>-9.960605708483683E-2</v>
      </c>
      <c r="J831" s="58">
        <v>-6.092499869244361E-2</v>
      </c>
    </row>
    <row r="832" spans="1:10" ht="11.25" customHeight="1" x14ac:dyDescent="0.2">
      <c r="A832" s="67">
        <v>43831</v>
      </c>
      <c r="B832" s="57">
        <v>0</v>
      </c>
      <c r="C832" s="57">
        <v>0</v>
      </c>
      <c r="D832" s="57">
        <v>1439535.6555000001</v>
      </c>
      <c r="E832" s="57">
        <v>1481908.910791131</v>
      </c>
      <c r="F832" s="57">
        <v>3362807.7572400002</v>
      </c>
      <c r="G832" s="57">
        <v>3027851.7358070198</v>
      </c>
      <c r="H832" s="58">
        <v>2.9435363500192935E-2</v>
      </c>
      <c r="I832" s="58">
        <v>-9.9606057084837052E-2</v>
      </c>
      <c r="J832" s="58">
        <v>-6.092499869244361E-2</v>
      </c>
    </row>
    <row r="833" spans="1:10" ht="11.25" customHeight="1" x14ac:dyDescent="0.2">
      <c r="A833" s="67">
        <v>43862</v>
      </c>
      <c r="B833" s="57">
        <v>0</v>
      </c>
      <c r="C833" s="57">
        <v>0</v>
      </c>
      <c r="D833" s="57">
        <v>1555781.42875</v>
      </c>
      <c r="E833" s="57">
        <v>1601576.4206321058</v>
      </c>
      <c r="F833" s="57">
        <v>3634362.1203000001</v>
      </c>
      <c r="G833" s="57">
        <v>3272357.6394784288</v>
      </c>
      <c r="H833" s="58">
        <v>2.9435363500192935E-2</v>
      </c>
      <c r="I833" s="58">
        <v>-9.9606057084837052E-2</v>
      </c>
      <c r="J833" s="58">
        <v>-6.0924998692443499E-2</v>
      </c>
    </row>
    <row r="834" spans="1:10" ht="11.25" customHeight="1" x14ac:dyDescent="0.2">
      <c r="A834" s="67">
        <v>43891</v>
      </c>
      <c r="B834" s="57">
        <v>0</v>
      </c>
      <c r="C834" s="57">
        <v>0</v>
      </c>
      <c r="D834" s="57">
        <v>1377153.0970000001</v>
      </c>
      <c r="E834" s="57">
        <v>1417690.0990056114</v>
      </c>
      <c r="F834" s="57">
        <v>3217079.8269599997</v>
      </c>
      <c r="G834" s="57">
        <v>2896639.1900693448</v>
      </c>
      <c r="H834" s="58">
        <v>2.9435363500192935E-2</v>
      </c>
      <c r="I834" s="58">
        <v>-9.9606057084836941E-2</v>
      </c>
      <c r="J834" s="58">
        <v>-6.0924998692443499E-2</v>
      </c>
    </row>
    <row r="835" spans="1:10" ht="11.25" customHeight="1" x14ac:dyDescent="0.2">
      <c r="A835" s="67">
        <v>43922</v>
      </c>
      <c r="B835" s="57">
        <v>0</v>
      </c>
      <c r="C835" s="57">
        <v>0</v>
      </c>
      <c r="D835" s="57">
        <v>1292886.169</v>
      </c>
      <c r="E835" s="57">
        <v>1330942.7433488867</v>
      </c>
      <c r="F835" s="57">
        <v>3020229.2119200001</v>
      </c>
      <c r="G835" s="57">
        <v>2719396.0886282041</v>
      </c>
      <c r="H835" s="58">
        <v>2.9435363500192713E-2</v>
      </c>
      <c r="I835" s="58">
        <v>-9.9606057084837052E-2</v>
      </c>
      <c r="J835" s="58">
        <v>-6.092499869244361E-2</v>
      </c>
    </row>
    <row r="836" spans="1:10" ht="11.25" customHeight="1" x14ac:dyDescent="0.2">
      <c r="A836" s="67">
        <v>43952</v>
      </c>
      <c r="B836" s="57">
        <v>0</v>
      </c>
      <c r="C836" s="57">
        <v>0</v>
      </c>
      <c r="D836" s="57">
        <v>973690.25674999994</v>
      </c>
      <c r="E836" s="57">
        <v>1002351.1833940324</v>
      </c>
      <c r="F836" s="57">
        <v>2274575.9273399999</v>
      </c>
      <c r="G836" s="57">
        <v>2048014.3876775757</v>
      </c>
      <c r="H836" s="58">
        <v>2.9435363500192935E-2</v>
      </c>
      <c r="I836" s="58">
        <v>-9.9606057084837052E-2</v>
      </c>
      <c r="J836" s="58">
        <v>-6.0924998692443499E-2</v>
      </c>
    </row>
    <row r="837" spans="1:10" ht="11.25" customHeight="1" x14ac:dyDescent="0.2">
      <c r="A837" s="67">
        <v>43983</v>
      </c>
      <c r="B837" s="57">
        <v>0</v>
      </c>
      <c r="C837" s="57">
        <v>0</v>
      </c>
      <c r="D837" s="57">
        <v>999036.90949999983</v>
      </c>
      <c r="E837" s="57">
        <v>1028443.9240812417</v>
      </c>
      <c r="F837" s="57">
        <v>2333786.6319599999</v>
      </c>
      <c r="G837" s="57">
        <v>2101327.3474731627</v>
      </c>
      <c r="H837" s="58">
        <v>2.9435363500192935E-2</v>
      </c>
      <c r="I837" s="58">
        <v>-9.9606057084836941E-2</v>
      </c>
      <c r="J837" s="58">
        <v>-6.0924998692443499E-2</v>
      </c>
    </row>
    <row r="838" spans="1:10" ht="11.25" customHeight="1" x14ac:dyDescent="0.2">
      <c r="A838" s="67">
        <v>44013</v>
      </c>
      <c r="B838" s="57">
        <v>0</v>
      </c>
      <c r="C838" s="57">
        <v>0</v>
      </c>
      <c r="D838" s="57">
        <v>927432.60725</v>
      </c>
      <c r="E838" s="57">
        <v>954731.92316633533</v>
      </c>
      <c r="F838" s="57">
        <v>2166516.3721799999</v>
      </c>
      <c r="G838" s="57">
        <v>1950718.2187374048</v>
      </c>
      <c r="H838" s="58">
        <v>2.9435363500192935E-2</v>
      </c>
      <c r="I838" s="58">
        <v>-9.9606057084837052E-2</v>
      </c>
      <c r="J838" s="58">
        <v>-6.0924998692443499E-2</v>
      </c>
    </row>
    <row r="839" spans="1:10" ht="11.25" customHeight="1" x14ac:dyDescent="0.2">
      <c r="A839" s="67">
        <v>44044</v>
      </c>
      <c r="B839" s="57">
        <v>0</v>
      </c>
      <c r="C839" s="57">
        <v>0</v>
      </c>
      <c r="D839" s="57">
        <v>915306.43950000009</v>
      </c>
      <c r="E839" s="57">
        <v>942248.81726074987</v>
      </c>
      <c r="F839" s="57">
        <v>2138189.20236</v>
      </c>
      <c r="G839" s="57">
        <v>1925212.6066115478</v>
      </c>
      <c r="H839" s="58">
        <v>2.9435363500192935E-2</v>
      </c>
      <c r="I839" s="58">
        <v>-9.9606057084836941E-2</v>
      </c>
      <c r="J839" s="58">
        <v>-6.0924998692443388E-2</v>
      </c>
    </row>
    <row r="840" spans="1:10" ht="11.25" customHeight="1" x14ac:dyDescent="0.2">
      <c r="A840" s="67">
        <v>44075</v>
      </c>
      <c r="B840" s="57">
        <v>0</v>
      </c>
      <c r="C840" s="57">
        <v>0</v>
      </c>
      <c r="D840" s="57">
        <v>915306.43950000009</v>
      </c>
      <c r="E840" s="57">
        <v>942248.81726074987</v>
      </c>
      <c r="F840" s="57">
        <v>2138189.20236</v>
      </c>
      <c r="G840" s="57">
        <v>1925212.6066115478</v>
      </c>
      <c r="H840" s="58">
        <v>2.9435363500192935E-2</v>
      </c>
      <c r="I840" s="58">
        <v>-9.9606057084836941E-2</v>
      </c>
      <c r="J840" s="58">
        <v>-6.0924998692443388E-2</v>
      </c>
    </row>
    <row r="841" spans="1:10" ht="11.25" customHeight="1" x14ac:dyDescent="0.2">
      <c r="A841" s="66" t="s">
        <v>25</v>
      </c>
      <c r="B841" s="57">
        <v>9848499.8399999999</v>
      </c>
      <c r="C841" s="57">
        <v>12874286.841089947</v>
      </c>
      <c r="D841" s="57">
        <v>0</v>
      </c>
      <c r="E841" s="57">
        <v>0</v>
      </c>
      <c r="F841" s="57">
        <v>0</v>
      </c>
      <c r="G841" s="57">
        <v>0</v>
      </c>
      <c r="H841" s="58">
        <v>0.30723328935850946</v>
      </c>
      <c r="I841" s="58">
        <v>0</v>
      </c>
      <c r="J841" s="58">
        <v>0.30723328935850946</v>
      </c>
    </row>
    <row r="842" spans="1:10" ht="11.25" customHeight="1" x14ac:dyDescent="0.2">
      <c r="A842" s="67">
        <v>43739</v>
      </c>
      <c r="B842" s="57">
        <v>843984.72</v>
      </c>
      <c r="C842" s="57">
        <v>1103284.9216939202</v>
      </c>
      <c r="D842" s="57">
        <v>0</v>
      </c>
      <c r="E842" s="57">
        <v>0</v>
      </c>
      <c r="F842" s="57">
        <v>0</v>
      </c>
      <c r="G842" s="57">
        <v>0</v>
      </c>
      <c r="H842" s="58">
        <v>0.30723328935850902</v>
      </c>
      <c r="I842" s="58">
        <v>0</v>
      </c>
      <c r="J842" s="58">
        <v>0.30723328935850902</v>
      </c>
    </row>
    <row r="843" spans="1:10" ht="11.25" customHeight="1" x14ac:dyDescent="0.2">
      <c r="A843" s="67">
        <v>43770</v>
      </c>
      <c r="B843" s="57">
        <v>831353.04</v>
      </c>
      <c r="C843" s="57">
        <v>1086772.369097396</v>
      </c>
      <c r="D843" s="57">
        <v>0</v>
      </c>
      <c r="E843" s="57">
        <v>0</v>
      </c>
      <c r="F843" s="57">
        <v>0</v>
      </c>
      <c r="G843" s="57">
        <v>0</v>
      </c>
      <c r="H843" s="58">
        <v>0.3072332893585088</v>
      </c>
      <c r="I843" s="58">
        <v>0</v>
      </c>
      <c r="J843" s="58">
        <v>0.3072332893585088</v>
      </c>
    </row>
    <row r="844" spans="1:10" ht="11.25" customHeight="1" x14ac:dyDescent="0.2">
      <c r="A844" s="67">
        <v>43800</v>
      </c>
      <c r="B844" s="57">
        <v>845514.72</v>
      </c>
      <c r="C844" s="57">
        <v>1105284.9886266387</v>
      </c>
      <c r="D844" s="57">
        <v>0</v>
      </c>
      <c r="E844" s="57">
        <v>0</v>
      </c>
      <c r="F844" s="57">
        <v>0</v>
      </c>
      <c r="G844" s="57">
        <v>0</v>
      </c>
      <c r="H844" s="58">
        <v>0.30723328935850902</v>
      </c>
      <c r="I844" s="58">
        <v>0</v>
      </c>
      <c r="J844" s="58">
        <v>0.30723328935850902</v>
      </c>
    </row>
    <row r="845" spans="1:10" ht="11.25" customHeight="1" x14ac:dyDescent="0.2">
      <c r="A845" s="67">
        <v>43831</v>
      </c>
      <c r="B845" s="57">
        <v>828782.64</v>
      </c>
      <c r="C845" s="57">
        <v>1083412.256650429</v>
      </c>
      <c r="D845" s="57">
        <v>0</v>
      </c>
      <c r="E845" s="57">
        <v>0</v>
      </c>
      <c r="F845" s="57">
        <v>0</v>
      </c>
      <c r="G845" s="57">
        <v>0</v>
      </c>
      <c r="H845" s="58">
        <v>0.30723328935850902</v>
      </c>
      <c r="I845" s="58">
        <v>0</v>
      </c>
      <c r="J845" s="58">
        <v>0.30723328935850902</v>
      </c>
    </row>
    <row r="846" spans="1:10" ht="11.25" customHeight="1" x14ac:dyDescent="0.2">
      <c r="A846" s="67">
        <v>43862</v>
      </c>
      <c r="B846" s="57">
        <v>833409.36</v>
      </c>
      <c r="C846" s="57">
        <v>1089460.4590549697</v>
      </c>
      <c r="D846" s="57">
        <v>0</v>
      </c>
      <c r="E846" s="57">
        <v>0</v>
      </c>
      <c r="F846" s="57">
        <v>0</v>
      </c>
      <c r="G846" s="57">
        <v>0</v>
      </c>
      <c r="H846" s="58">
        <v>0.30723328935850902</v>
      </c>
      <c r="I846" s="58">
        <v>0</v>
      </c>
      <c r="J846" s="58">
        <v>0.30723328935850902</v>
      </c>
    </row>
    <row r="847" spans="1:10" ht="11.25" customHeight="1" x14ac:dyDescent="0.2">
      <c r="A847" s="67">
        <v>43891</v>
      </c>
      <c r="B847" s="57">
        <v>825869.52</v>
      </c>
      <c r="C847" s="57">
        <v>1079604.1292105329</v>
      </c>
      <c r="D847" s="57">
        <v>0</v>
      </c>
      <c r="E847" s="57">
        <v>0</v>
      </c>
      <c r="F847" s="57">
        <v>0</v>
      </c>
      <c r="G847" s="57">
        <v>0</v>
      </c>
      <c r="H847" s="58">
        <v>0.3072332893585088</v>
      </c>
      <c r="I847" s="58">
        <v>0</v>
      </c>
      <c r="J847" s="58">
        <v>0.3072332893585088</v>
      </c>
    </row>
    <row r="848" spans="1:10" ht="11.25" customHeight="1" x14ac:dyDescent="0.2">
      <c r="A848" s="67">
        <v>43922</v>
      </c>
      <c r="B848" s="57">
        <v>811328.4</v>
      </c>
      <c r="C848" s="57">
        <v>1060595.4930819762</v>
      </c>
      <c r="D848" s="57">
        <v>0</v>
      </c>
      <c r="E848" s="57">
        <v>0</v>
      </c>
      <c r="F848" s="57">
        <v>0</v>
      </c>
      <c r="G848" s="57">
        <v>0</v>
      </c>
      <c r="H848" s="58">
        <v>0.30723328935850902</v>
      </c>
      <c r="I848" s="58">
        <v>0</v>
      </c>
      <c r="J848" s="58">
        <v>0.30723328935850902</v>
      </c>
    </row>
    <row r="849" spans="1:10" ht="11.25" customHeight="1" x14ac:dyDescent="0.2">
      <c r="A849" s="67">
        <v>43952</v>
      </c>
      <c r="B849" s="57">
        <v>808855.92</v>
      </c>
      <c r="C849" s="57">
        <v>1057363.384918703</v>
      </c>
      <c r="D849" s="57">
        <v>0</v>
      </c>
      <c r="E849" s="57">
        <v>0</v>
      </c>
      <c r="F849" s="57">
        <v>0</v>
      </c>
      <c r="G849" s="57">
        <v>0</v>
      </c>
      <c r="H849" s="58">
        <v>0.30723328935850902</v>
      </c>
      <c r="I849" s="58">
        <v>0</v>
      </c>
      <c r="J849" s="58">
        <v>0.30723328935850902</v>
      </c>
    </row>
    <row r="850" spans="1:10" ht="11.25" customHeight="1" x14ac:dyDescent="0.2">
      <c r="A850" s="67">
        <v>43983</v>
      </c>
      <c r="B850" s="57">
        <v>810459.36</v>
      </c>
      <c r="C850" s="57">
        <v>1059459.4550641919</v>
      </c>
      <c r="D850" s="57">
        <v>0</v>
      </c>
      <c r="E850" s="57">
        <v>0</v>
      </c>
      <c r="F850" s="57">
        <v>0</v>
      </c>
      <c r="G850" s="57">
        <v>0</v>
      </c>
      <c r="H850" s="58">
        <v>0.30723328935850902</v>
      </c>
      <c r="I850" s="58">
        <v>0</v>
      </c>
      <c r="J850" s="58">
        <v>0.30723328935850902</v>
      </c>
    </row>
    <row r="851" spans="1:10" ht="11.25" customHeight="1" x14ac:dyDescent="0.2">
      <c r="A851" s="67">
        <v>44013</v>
      </c>
      <c r="B851" s="57">
        <v>802540.08</v>
      </c>
      <c r="C851" s="57">
        <v>1049107.1086204411</v>
      </c>
      <c r="D851" s="57">
        <v>0</v>
      </c>
      <c r="E851" s="57">
        <v>0</v>
      </c>
      <c r="F851" s="57">
        <v>0</v>
      </c>
      <c r="G851" s="57">
        <v>0</v>
      </c>
      <c r="H851" s="58">
        <v>0.30723328935850924</v>
      </c>
      <c r="I851" s="58">
        <v>0</v>
      </c>
      <c r="J851" s="58">
        <v>0.30723328935850924</v>
      </c>
    </row>
    <row r="852" spans="1:10" ht="11.25" customHeight="1" x14ac:dyDescent="0.2">
      <c r="A852" s="67">
        <v>44044</v>
      </c>
      <c r="B852" s="57">
        <v>803201.03999999992</v>
      </c>
      <c r="C852" s="57">
        <v>1049971.1375353753</v>
      </c>
      <c r="D852" s="57">
        <v>0</v>
      </c>
      <c r="E852" s="57">
        <v>0</v>
      </c>
      <c r="F852" s="57">
        <v>0</v>
      </c>
      <c r="G852" s="57">
        <v>0</v>
      </c>
      <c r="H852" s="58">
        <v>0.30723328935850902</v>
      </c>
      <c r="I852" s="58">
        <v>0</v>
      </c>
      <c r="J852" s="58">
        <v>0.30723328935850902</v>
      </c>
    </row>
    <row r="853" spans="1:10" ht="11.25" customHeight="1" x14ac:dyDescent="0.2">
      <c r="A853" s="67">
        <v>44075</v>
      </c>
      <c r="B853" s="57">
        <v>803201.03999999992</v>
      </c>
      <c r="C853" s="57">
        <v>1049971.1375353753</v>
      </c>
      <c r="D853" s="57">
        <v>0</v>
      </c>
      <c r="E853" s="57">
        <v>0</v>
      </c>
      <c r="F853" s="57">
        <v>0</v>
      </c>
      <c r="G853" s="57">
        <v>0</v>
      </c>
      <c r="H853" s="58">
        <v>0.30723328935850902</v>
      </c>
      <c r="I853" s="58">
        <v>0</v>
      </c>
      <c r="J853" s="58">
        <v>0.30723328935850902</v>
      </c>
    </row>
    <row r="854" spans="1:10" ht="11.25" customHeight="1" x14ac:dyDescent="0.2">
      <c r="A854" s="66" t="s">
        <v>35</v>
      </c>
      <c r="B854" s="57">
        <v>0</v>
      </c>
      <c r="C854" s="57">
        <v>0</v>
      </c>
      <c r="D854" s="57">
        <v>16314083.337699998</v>
      </c>
      <c r="E854" s="57">
        <v>18131950.329817835</v>
      </c>
      <c r="F854" s="57">
        <v>5984071.2101500006</v>
      </c>
      <c r="G854" s="57">
        <v>5217944.4455724927</v>
      </c>
      <c r="H854" s="58">
        <v>0.11142930647638294</v>
      </c>
      <c r="I854" s="58">
        <v>-0.12802768176923218</v>
      </c>
      <c r="J854" s="58">
        <v>4.7167142253112138E-2</v>
      </c>
    </row>
    <row r="855" spans="1:10" ht="11.25" customHeight="1" x14ac:dyDescent="0.2">
      <c r="A855" s="67">
        <v>43739</v>
      </c>
      <c r="B855" s="57">
        <v>0</v>
      </c>
      <c r="C855" s="57">
        <v>0</v>
      </c>
      <c r="D855" s="57">
        <v>1664036.2772600004</v>
      </c>
      <c r="E855" s="57">
        <v>1849458.685586625</v>
      </c>
      <c r="F855" s="57">
        <v>610375.18157000002</v>
      </c>
      <c r="G855" s="57">
        <v>532230.26206411875</v>
      </c>
      <c r="H855" s="58">
        <v>0.11142930647638338</v>
      </c>
      <c r="I855" s="58">
        <v>-0.12802768176923218</v>
      </c>
      <c r="J855" s="58">
        <v>4.716714225311236E-2</v>
      </c>
    </row>
    <row r="856" spans="1:10" ht="11.25" customHeight="1" x14ac:dyDescent="0.2">
      <c r="A856" s="67">
        <v>43770</v>
      </c>
      <c r="B856" s="57">
        <v>0</v>
      </c>
      <c r="C856" s="57">
        <v>0</v>
      </c>
      <c r="D856" s="57">
        <v>1755658.5826000001</v>
      </c>
      <c r="E856" s="57">
        <v>1951290.4008684284</v>
      </c>
      <c r="F856" s="57">
        <v>643982.61069999996</v>
      </c>
      <c r="G856" s="57">
        <v>561535.00995238102</v>
      </c>
      <c r="H856" s="58">
        <v>0.11142930647638338</v>
      </c>
      <c r="I856" s="58">
        <v>-0.12802768176923218</v>
      </c>
      <c r="J856" s="58">
        <v>4.716714225311236E-2</v>
      </c>
    </row>
    <row r="857" spans="1:10" ht="11.25" customHeight="1" x14ac:dyDescent="0.2">
      <c r="A857" s="67">
        <v>43800</v>
      </c>
      <c r="B857" s="57">
        <v>0</v>
      </c>
      <c r="C857" s="57">
        <v>0</v>
      </c>
      <c r="D857" s="57">
        <v>1658914.75966</v>
      </c>
      <c r="E857" s="57">
        <v>1843766.4808323502</v>
      </c>
      <c r="F857" s="57">
        <v>608496.58837000001</v>
      </c>
      <c r="G857" s="57">
        <v>530592.18079650216</v>
      </c>
      <c r="H857" s="58">
        <v>0.1114293064763836</v>
      </c>
      <c r="I857" s="58">
        <v>-0.12802768176923218</v>
      </c>
      <c r="J857" s="58">
        <v>4.7167142253112582E-2</v>
      </c>
    </row>
    <row r="858" spans="1:10" ht="11.25" customHeight="1" x14ac:dyDescent="0.2">
      <c r="A858" s="67">
        <v>43831</v>
      </c>
      <c r="B858" s="57">
        <v>0</v>
      </c>
      <c r="C858" s="57">
        <v>0</v>
      </c>
      <c r="D858" s="57">
        <v>1500637.5472800001</v>
      </c>
      <c r="E858" s="57">
        <v>1667852.5484458315</v>
      </c>
      <c r="F858" s="57">
        <v>550439.87196000002</v>
      </c>
      <c r="G858" s="57">
        <v>479968.33119960816</v>
      </c>
      <c r="H858" s="58">
        <v>0.11142930647638338</v>
      </c>
      <c r="I858" s="58">
        <v>-0.12802768176923229</v>
      </c>
      <c r="J858" s="58">
        <v>4.716714225311236E-2</v>
      </c>
    </row>
    <row r="859" spans="1:10" ht="11.25" customHeight="1" x14ac:dyDescent="0.2">
      <c r="A859" s="67">
        <v>43862</v>
      </c>
      <c r="B859" s="57">
        <v>0</v>
      </c>
      <c r="C859" s="57">
        <v>0</v>
      </c>
      <c r="D859" s="57">
        <v>1618850.6310399999</v>
      </c>
      <c r="E859" s="57">
        <v>1799238.034145643</v>
      </c>
      <c r="F859" s="57">
        <v>593800.90528000006</v>
      </c>
      <c r="G859" s="57">
        <v>517777.95194453013</v>
      </c>
      <c r="H859" s="58">
        <v>0.1114293064763836</v>
      </c>
      <c r="I859" s="58">
        <v>-0.1280276817692324</v>
      </c>
      <c r="J859" s="58">
        <v>4.716714225311236E-2</v>
      </c>
    </row>
    <row r="860" spans="1:10" ht="11.25" customHeight="1" x14ac:dyDescent="0.2">
      <c r="A860" s="67">
        <v>43891</v>
      </c>
      <c r="B860" s="57">
        <v>0</v>
      </c>
      <c r="C860" s="57">
        <v>0</v>
      </c>
      <c r="D860" s="57">
        <v>1503839.67044</v>
      </c>
      <c r="E860" s="57">
        <v>1671411.4819688024</v>
      </c>
      <c r="F860" s="57">
        <v>551614.42357999994</v>
      </c>
      <c r="G860" s="57">
        <v>480992.50769858132</v>
      </c>
      <c r="H860" s="58">
        <v>0.1114293064763836</v>
      </c>
      <c r="I860" s="58">
        <v>-0.12802768176923207</v>
      </c>
      <c r="J860" s="58">
        <v>4.7167142253112582E-2</v>
      </c>
    </row>
    <row r="861" spans="1:10" ht="11.25" customHeight="1" x14ac:dyDescent="0.2">
      <c r="A861" s="67">
        <v>43922</v>
      </c>
      <c r="B861" s="57">
        <v>0</v>
      </c>
      <c r="C861" s="57">
        <v>0</v>
      </c>
      <c r="D861" s="57">
        <v>1437486.6510200005</v>
      </c>
      <c r="E861" s="57">
        <v>1597664.7916122181</v>
      </c>
      <c r="F861" s="57">
        <v>527275.86988999997</v>
      </c>
      <c r="G861" s="57">
        <v>459769.96261512797</v>
      </c>
      <c r="H861" s="58">
        <v>0.11142930647638338</v>
      </c>
      <c r="I861" s="58">
        <v>-0.12802768176923218</v>
      </c>
      <c r="J861" s="58">
        <v>4.716714225311236E-2</v>
      </c>
    </row>
    <row r="862" spans="1:10" ht="11.25" customHeight="1" x14ac:dyDescent="0.2">
      <c r="A862" s="67">
        <v>43952</v>
      </c>
      <c r="B862" s="57">
        <v>0</v>
      </c>
      <c r="C862" s="57">
        <v>0</v>
      </c>
      <c r="D862" s="57">
        <v>1002084.8261000001</v>
      </c>
      <c r="E862" s="57">
        <v>1113746.4433028304</v>
      </c>
      <c r="F862" s="57">
        <v>367568.73395000002</v>
      </c>
      <c r="G862" s="57">
        <v>320509.76105152979</v>
      </c>
      <c r="H862" s="58">
        <v>0.1114293064763836</v>
      </c>
      <c r="I862" s="58">
        <v>-0.1280276817692324</v>
      </c>
      <c r="J862" s="58">
        <v>4.716714225311236E-2</v>
      </c>
    </row>
    <row r="863" spans="1:10" ht="11.25" customHeight="1" x14ac:dyDescent="0.2">
      <c r="A863" s="67">
        <v>43983</v>
      </c>
      <c r="B863" s="57">
        <v>0</v>
      </c>
      <c r="C863" s="57">
        <v>0</v>
      </c>
      <c r="D863" s="57">
        <v>1090938.4578200001</v>
      </c>
      <c r="E863" s="57">
        <v>1212500.973583298</v>
      </c>
      <c r="F863" s="57">
        <v>400160.60249000002</v>
      </c>
      <c r="G863" s="57">
        <v>348928.96821782604</v>
      </c>
      <c r="H863" s="58">
        <v>0.11142930647638338</v>
      </c>
      <c r="I863" s="58">
        <v>-0.12802768176923229</v>
      </c>
      <c r="J863" s="58">
        <v>4.716714225311236E-2</v>
      </c>
    </row>
    <row r="864" spans="1:10" ht="11.25" customHeight="1" x14ac:dyDescent="0.2">
      <c r="A864" s="67">
        <v>44013</v>
      </c>
      <c r="B864" s="57">
        <v>0</v>
      </c>
      <c r="C864" s="57">
        <v>0</v>
      </c>
      <c r="D864" s="57">
        <v>1036785.4571600001</v>
      </c>
      <c r="E864" s="57">
        <v>1152313.7416161392</v>
      </c>
      <c r="F864" s="57">
        <v>380297.06462000008</v>
      </c>
      <c r="G864" s="57">
        <v>331608.51305305748</v>
      </c>
      <c r="H864" s="58">
        <v>0.1114293064763836</v>
      </c>
      <c r="I864" s="58">
        <v>-0.1280276817692324</v>
      </c>
      <c r="J864" s="58">
        <v>4.716714225311236E-2</v>
      </c>
    </row>
    <row r="865" spans="1:10" ht="11.25" customHeight="1" x14ac:dyDescent="0.2">
      <c r="A865" s="67">
        <v>44044</v>
      </c>
      <c r="B865" s="57">
        <v>0</v>
      </c>
      <c r="C865" s="57">
        <v>0</v>
      </c>
      <c r="D865" s="57">
        <v>1022425.23866</v>
      </c>
      <c r="E865" s="57">
        <v>1136353.3739278347</v>
      </c>
      <c r="F865" s="57">
        <v>375029.67887</v>
      </c>
      <c r="G865" s="57">
        <v>327015.49848961423</v>
      </c>
      <c r="H865" s="58">
        <v>0.11142930647638338</v>
      </c>
      <c r="I865" s="58">
        <v>-0.1280276817692324</v>
      </c>
      <c r="J865" s="58">
        <v>4.716714225311236E-2</v>
      </c>
    </row>
    <row r="866" spans="1:10" ht="11.25" customHeight="1" x14ac:dyDescent="0.2">
      <c r="A866" s="67">
        <v>44075</v>
      </c>
      <c r="B866" s="57">
        <v>0</v>
      </c>
      <c r="C866" s="57">
        <v>0</v>
      </c>
      <c r="D866" s="57">
        <v>1022425.23866</v>
      </c>
      <c r="E866" s="57">
        <v>1136353.3739278347</v>
      </c>
      <c r="F866" s="57">
        <v>375029.67887</v>
      </c>
      <c r="G866" s="57">
        <v>327015.49848961423</v>
      </c>
      <c r="H866" s="58">
        <v>0.11142930647638338</v>
      </c>
      <c r="I866" s="58">
        <v>-0.1280276817692324</v>
      </c>
      <c r="J866" s="58">
        <v>4.716714225311236E-2</v>
      </c>
    </row>
    <row r="867" spans="1:10" ht="11.25" customHeight="1" x14ac:dyDescent="0.2">
      <c r="A867" s="60" t="s">
        <v>22</v>
      </c>
      <c r="B867" s="57">
        <v>0</v>
      </c>
      <c r="C867" s="57">
        <v>0</v>
      </c>
      <c r="D867" s="57">
        <v>577158797.36171973</v>
      </c>
      <c r="E867" s="57">
        <v>635008640.16032779</v>
      </c>
      <c r="F867" s="57">
        <v>633918385.47744</v>
      </c>
      <c r="G867" s="57">
        <v>568389699.27310169</v>
      </c>
      <c r="H867" s="58">
        <v>0.10023210780646208</v>
      </c>
      <c r="I867" s="58">
        <v>-0.10337085610000829</v>
      </c>
      <c r="J867" s="58">
        <v>-6.3405070416143738E-3</v>
      </c>
    </row>
    <row r="868" spans="1:10" ht="11.25" customHeight="1" x14ac:dyDescent="0.2">
      <c r="A868" s="61" t="s">
        <v>37</v>
      </c>
      <c r="B868" s="57">
        <v>0</v>
      </c>
      <c r="C868" s="57">
        <v>0</v>
      </c>
      <c r="D868" s="57">
        <v>581783.36129000015</v>
      </c>
      <c r="E868" s="57">
        <v>637435.32675710635</v>
      </c>
      <c r="F868" s="57">
        <v>694406.50445000012</v>
      </c>
      <c r="G868" s="57">
        <v>622133.51232855383</v>
      </c>
      <c r="H868" s="58">
        <v>9.5657540538299335E-2</v>
      </c>
      <c r="I868" s="58">
        <v>-0.1040787948532963</v>
      </c>
      <c r="J868" s="58">
        <v>-1.3023945026159667E-2</v>
      </c>
    </row>
    <row r="869" spans="1:10" ht="11.25" customHeight="1" x14ac:dyDescent="0.2">
      <c r="A869" s="62" t="s">
        <v>24</v>
      </c>
      <c r="B869" s="57">
        <v>0</v>
      </c>
      <c r="C869" s="57">
        <v>0</v>
      </c>
      <c r="D869" s="57">
        <v>581783.36129000015</v>
      </c>
      <c r="E869" s="57">
        <v>637435.32675710635</v>
      </c>
      <c r="F869" s="57">
        <v>694406.50445000012</v>
      </c>
      <c r="G869" s="57">
        <v>622133.51232855383</v>
      </c>
      <c r="H869" s="58">
        <v>9.5657540538299335E-2</v>
      </c>
      <c r="I869" s="58">
        <v>-0.1040787948532963</v>
      </c>
      <c r="J869" s="58">
        <v>-1.3023945026159667E-2</v>
      </c>
    </row>
    <row r="870" spans="1:10" ht="11.25" customHeight="1" x14ac:dyDescent="0.2">
      <c r="A870" s="63" t="s">
        <v>24</v>
      </c>
      <c r="B870" s="57">
        <v>0</v>
      </c>
      <c r="C870" s="57">
        <v>0</v>
      </c>
      <c r="D870" s="57">
        <v>581783.36129000015</v>
      </c>
      <c r="E870" s="57">
        <v>637435.32675710635</v>
      </c>
      <c r="F870" s="57">
        <v>694406.50445000012</v>
      </c>
      <c r="G870" s="57">
        <v>622133.51232855383</v>
      </c>
      <c r="H870" s="58">
        <v>9.5657540538299335E-2</v>
      </c>
      <c r="I870" s="58">
        <v>-0.1040787948532963</v>
      </c>
      <c r="J870" s="58">
        <v>-1.3023945026159667E-2</v>
      </c>
    </row>
    <row r="871" spans="1:10" ht="11.25" customHeight="1" x14ac:dyDescent="0.2">
      <c r="A871" s="64" t="s">
        <v>25</v>
      </c>
      <c r="B871" s="57">
        <v>0</v>
      </c>
      <c r="C871" s="57">
        <v>0</v>
      </c>
      <c r="D871" s="57">
        <v>581783.36129000015</v>
      </c>
      <c r="E871" s="57">
        <v>637435.32675710635</v>
      </c>
      <c r="F871" s="57">
        <v>694406.50445000012</v>
      </c>
      <c r="G871" s="57">
        <v>622133.51232855383</v>
      </c>
      <c r="H871" s="58">
        <v>9.5657540538299335E-2</v>
      </c>
      <c r="I871" s="58">
        <v>-0.1040787948532963</v>
      </c>
      <c r="J871" s="58">
        <v>-1.3023945026159667E-2</v>
      </c>
    </row>
    <row r="872" spans="1:10" ht="11.25" customHeight="1" x14ac:dyDescent="0.2">
      <c r="A872" s="65" t="s">
        <v>25</v>
      </c>
      <c r="B872" s="57">
        <v>0</v>
      </c>
      <c r="C872" s="57">
        <v>0</v>
      </c>
      <c r="D872" s="57">
        <v>581783.36129000015</v>
      </c>
      <c r="E872" s="57">
        <v>637435.32675710635</v>
      </c>
      <c r="F872" s="57">
        <v>694406.50445000012</v>
      </c>
      <c r="G872" s="57">
        <v>622133.51232855383</v>
      </c>
      <c r="H872" s="58">
        <v>9.5657540538299335E-2</v>
      </c>
      <c r="I872" s="58">
        <v>-0.1040787948532963</v>
      </c>
      <c r="J872" s="58">
        <v>-1.3023945026159667E-2</v>
      </c>
    </row>
    <row r="873" spans="1:10" ht="11.25" customHeight="1" x14ac:dyDescent="0.2">
      <c r="A873" s="66" t="s">
        <v>36</v>
      </c>
      <c r="B873" s="57">
        <v>0</v>
      </c>
      <c r="C873" s="57">
        <v>0</v>
      </c>
      <c r="D873" s="57">
        <v>396835.89679000003</v>
      </c>
      <c r="E873" s="57">
        <v>429011.5083353066</v>
      </c>
      <c r="F873" s="57">
        <v>542646.47297999996</v>
      </c>
      <c r="G873" s="57">
        <v>488595.59741546854</v>
      </c>
      <c r="H873" s="58">
        <v>8.1080395714133946E-2</v>
      </c>
      <c r="I873" s="58">
        <v>-9.9606057084836941E-2</v>
      </c>
      <c r="J873" s="58">
        <v>-2.3284379487163998E-2</v>
      </c>
    </row>
    <row r="874" spans="1:10" ht="11.25" customHeight="1" x14ac:dyDescent="0.2">
      <c r="A874" s="67">
        <v>43739</v>
      </c>
      <c r="B874" s="57">
        <v>0</v>
      </c>
      <c r="C874" s="57">
        <v>0</v>
      </c>
      <c r="D874" s="57">
        <v>36090.512570000006</v>
      </c>
      <c r="E874" s="57">
        <v>39016.745610701546</v>
      </c>
      <c r="F874" s="57">
        <v>49351.355339999995</v>
      </c>
      <c r="G874" s="57">
        <v>44435.661422789883</v>
      </c>
      <c r="H874" s="58">
        <v>8.108039571413439E-2</v>
      </c>
      <c r="I874" s="58">
        <v>-9.9606057084836941E-2</v>
      </c>
      <c r="J874" s="58">
        <v>-2.3284379487163887E-2</v>
      </c>
    </row>
    <row r="875" spans="1:10" ht="11.25" customHeight="1" x14ac:dyDescent="0.2">
      <c r="A875" s="67">
        <v>43770</v>
      </c>
      <c r="B875" s="57">
        <v>0</v>
      </c>
      <c r="C875" s="57">
        <v>0</v>
      </c>
      <c r="D875" s="57">
        <v>38111.654770000008</v>
      </c>
      <c r="E875" s="57">
        <v>41201.762820072086</v>
      </c>
      <c r="F875" s="57">
        <v>52115.131739999997</v>
      </c>
      <c r="G875" s="57">
        <v>46924.148952921758</v>
      </c>
      <c r="H875" s="58">
        <v>8.108039571413439E-2</v>
      </c>
      <c r="I875" s="58">
        <v>-9.9606057084836941E-2</v>
      </c>
      <c r="J875" s="58">
        <v>-2.3284379487163887E-2</v>
      </c>
    </row>
    <row r="876" spans="1:10" ht="11.25" customHeight="1" x14ac:dyDescent="0.2">
      <c r="A876" s="67">
        <v>43800</v>
      </c>
      <c r="B876" s="57">
        <v>0</v>
      </c>
      <c r="C876" s="57">
        <v>0</v>
      </c>
      <c r="D876" s="57">
        <v>32477.580269999999</v>
      </c>
      <c r="E876" s="57">
        <v>35110.875330129165</v>
      </c>
      <c r="F876" s="57">
        <v>44410.912739999992</v>
      </c>
      <c r="G876" s="57">
        <v>39987.316830429838</v>
      </c>
      <c r="H876" s="58">
        <v>8.108039571413439E-2</v>
      </c>
      <c r="I876" s="58">
        <v>-9.9606057084837052E-2</v>
      </c>
      <c r="J876" s="58">
        <v>-2.3284379487163887E-2</v>
      </c>
    </row>
    <row r="877" spans="1:10" ht="11.25" customHeight="1" x14ac:dyDescent="0.2">
      <c r="A877" s="67">
        <v>43831</v>
      </c>
      <c r="B877" s="57">
        <v>0</v>
      </c>
      <c r="C877" s="57">
        <v>0</v>
      </c>
      <c r="D877" s="57">
        <v>35545.66663</v>
      </c>
      <c r="E877" s="57">
        <v>38427.723346283106</v>
      </c>
      <c r="F877" s="57">
        <v>48606.315060000001</v>
      </c>
      <c r="G877" s="57">
        <v>43764.831667450067</v>
      </c>
      <c r="H877" s="58">
        <v>8.1080395714134612E-2</v>
      </c>
      <c r="I877" s="58">
        <v>-9.9606057084837052E-2</v>
      </c>
      <c r="J877" s="58">
        <v>-2.3284379487163887E-2</v>
      </c>
    </row>
    <row r="878" spans="1:10" ht="11.25" customHeight="1" x14ac:dyDescent="0.2">
      <c r="A878" s="67">
        <v>43862</v>
      </c>
      <c r="B878" s="57">
        <v>0</v>
      </c>
      <c r="C878" s="57">
        <v>0</v>
      </c>
      <c r="D878" s="57">
        <v>32384.210250000004</v>
      </c>
      <c r="E878" s="57">
        <v>35009.934831959734</v>
      </c>
      <c r="F878" s="57">
        <v>44283.235500000003</v>
      </c>
      <c r="G878" s="57">
        <v>39872.357016885719</v>
      </c>
      <c r="H878" s="58">
        <v>8.108039571413439E-2</v>
      </c>
      <c r="I878" s="58">
        <v>-9.9606057084837052E-2</v>
      </c>
      <c r="J878" s="58">
        <v>-2.3284379487163887E-2</v>
      </c>
    </row>
    <row r="879" spans="1:10" ht="11.25" customHeight="1" x14ac:dyDescent="0.2">
      <c r="A879" s="67">
        <v>43891</v>
      </c>
      <c r="B879" s="57">
        <v>0</v>
      </c>
      <c r="C879" s="57">
        <v>0</v>
      </c>
      <c r="D879" s="57">
        <v>31986.731449999999</v>
      </c>
      <c r="E879" s="57">
        <v>34580.22829356775</v>
      </c>
      <c r="F879" s="57">
        <v>43739.709899999994</v>
      </c>
      <c r="G879" s="57">
        <v>39382.969858826385</v>
      </c>
      <c r="H879" s="58">
        <v>8.108039571413439E-2</v>
      </c>
      <c r="I879" s="58">
        <v>-9.9606057084836941E-2</v>
      </c>
      <c r="J879" s="58">
        <v>-2.3284379487163887E-2</v>
      </c>
    </row>
    <row r="880" spans="1:10" ht="11.25" customHeight="1" x14ac:dyDescent="0.2">
      <c r="A880" s="67">
        <v>43922</v>
      </c>
      <c r="B880" s="57">
        <v>0</v>
      </c>
      <c r="C880" s="57">
        <v>0</v>
      </c>
      <c r="D880" s="57">
        <v>33735.638169999998</v>
      </c>
      <c r="E880" s="57">
        <v>36470.937062492456</v>
      </c>
      <c r="F880" s="57">
        <v>46131.222539999995</v>
      </c>
      <c r="G880" s="57">
        <v>41536.273354287441</v>
      </c>
      <c r="H880" s="58">
        <v>8.108039571413439E-2</v>
      </c>
      <c r="I880" s="58">
        <v>-9.9606057084836941E-2</v>
      </c>
      <c r="J880" s="58">
        <v>-2.3284379487163887E-2</v>
      </c>
    </row>
    <row r="881" spans="1:10" ht="11.25" customHeight="1" x14ac:dyDescent="0.2">
      <c r="A881" s="67">
        <v>43952</v>
      </c>
      <c r="B881" s="57">
        <v>0</v>
      </c>
      <c r="C881" s="57">
        <v>0</v>
      </c>
      <c r="D881" s="57">
        <v>29677.229630000005</v>
      </c>
      <c r="E881" s="57">
        <v>32083.471152099639</v>
      </c>
      <c r="F881" s="57">
        <v>40581.621059999998</v>
      </c>
      <c r="G881" s="57">
        <v>36539.445796102416</v>
      </c>
      <c r="H881" s="58">
        <v>8.108039571413439E-2</v>
      </c>
      <c r="I881" s="58">
        <v>-9.9606057084836941E-2</v>
      </c>
      <c r="J881" s="58">
        <v>-2.3284379487163998E-2</v>
      </c>
    </row>
    <row r="882" spans="1:10" ht="11.25" customHeight="1" x14ac:dyDescent="0.2">
      <c r="A882" s="67">
        <v>43983</v>
      </c>
      <c r="B882" s="57">
        <v>0</v>
      </c>
      <c r="C882" s="57">
        <v>0</v>
      </c>
      <c r="D882" s="57">
        <v>28272.36706</v>
      </c>
      <c r="E882" s="57">
        <v>30564.701769000061</v>
      </c>
      <c r="F882" s="57">
        <v>38660.565719999999</v>
      </c>
      <c r="G882" s="57">
        <v>34809.739203961588</v>
      </c>
      <c r="H882" s="58">
        <v>8.108039571413439E-2</v>
      </c>
      <c r="I882" s="58">
        <v>-9.9606057084836941E-2</v>
      </c>
      <c r="J882" s="58">
        <v>-2.3284379487163998E-2</v>
      </c>
    </row>
    <row r="883" spans="1:10" ht="11.25" customHeight="1" x14ac:dyDescent="0.2">
      <c r="A883" s="67">
        <v>44013</v>
      </c>
      <c r="B883" s="57">
        <v>0</v>
      </c>
      <c r="C883" s="57">
        <v>0</v>
      </c>
      <c r="D883" s="57">
        <v>29222.75387</v>
      </c>
      <c r="E883" s="57">
        <v>31592.146317636354</v>
      </c>
      <c r="F883" s="57">
        <v>39960.155939999997</v>
      </c>
      <c r="G883" s="57">
        <v>35979.88236632137</v>
      </c>
      <c r="H883" s="58">
        <v>8.108039571413439E-2</v>
      </c>
      <c r="I883" s="58">
        <v>-9.9606057084836941E-2</v>
      </c>
      <c r="J883" s="58">
        <v>-2.3284379487163775E-2</v>
      </c>
    </row>
    <row r="884" spans="1:10" ht="11.25" customHeight="1" x14ac:dyDescent="0.2">
      <c r="A884" s="67">
        <v>44044</v>
      </c>
      <c r="B884" s="57">
        <v>0</v>
      </c>
      <c r="C884" s="57">
        <v>0</v>
      </c>
      <c r="D884" s="57">
        <v>34665.776060000004</v>
      </c>
      <c r="E884" s="57">
        <v>37476.490900682365</v>
      </c>
      <c r="F884" s="57">
        <v>47403.123719999996</v>
      </c>
      <c r="G884" s="57">
        <v>42681.485472746084</v>
      </c>
      <c r="H884" s="58">
        <v>8.1080395714134168E-2</v>
      </c>
      <c r="I884" s="58">
        <v>-9.9606057084837052E-2</v>
      </c>
      <c r="J884" s="58">
        <v>-2.3284379487164109E-2</v>
      </c>
    </row>
    <row r="885" spans="1:10" ht="11.25" customHeight="1" x14ac:dyDescent="0.2">
      <c r="A885" s="67">
        <v>44075</v>
      </c>
      <c r="B885" s="57">
        <v>0</v>
      </c>
      <c r="C885" s="57">
        <v>0</v>
      </c>
      <c r="D885" s="57">
        <v>34665.776060000004</v>
      </c>
      <c r="E885" s="57">
        <v>37476.490900682365</v>
      </c>
      <c r="F885" s="57">
        <v>47403.123719999996</v>
      </c>
      <c r="G885" s="57">
        <v>42681.485472746084</v>
      </c>
      <c r="H885" s="58">
        <v>8.1080395714134168E-2</v>
      </c>
      <c r="I885" s="58">
        <v>-9.9606057084837052E-2</v>
      </c>
      <c r="J885" s="58">
        <v>-2.3284379487164109E-2</v>
      </c>
    </row>
    <row r="886" spans="1:10" ht="11.25" customHeight="1" x14ac:dyDescent="0.2">
      <c r="A886" s="66" t="s">
        <v>38</v>
      </c>
      <c r="B886" s="57">
        <v>0</v>
      </c>
      <c r="C886" s="57">
        <v>0</v>
      </c>
      <c r="D886" s="57">
        <v>57247.276999999995</v>
      </c>
      <c r="E886" s="57">
        <v>63976.34251666491</v>
      </c>
      <c r="F886" s="57">
        <v>42480.627720000004</v>
      </c>
      <c r="G886" s="57">
        <v>38249.29989032197</v>
      </c>
      <c r="H886" s="58">
        <v>0.11754385307557813</v>
      </c>
      <c r="I886" s="58">
        <v>-9.9606057084836941E-2</v>
      </c>
      <c r="J886" s="58">
        <v>2.5045524560048271E-2</v>
      </c>
    </row>
    <row r="887" spans="1:10" ht="11.25" customHeight="1" x14ac:dyDescent="0.2">
      <c r="A887" s="67">
        <v>43739</v>
      </c>
      <c r="B887" s="57">
        <v>0</v>
      </c>
      <c r="C887" s="57">
        <v>0</v>
      </c>
      <c r="D887" s="57">
        <v>5166.607</v>
      </c>
      <c r="E887" s="57">
        <v>5773.9098941072525</v>
      </c>
      <c r="F887" s="57">
        <v>3833.90652</v>
      </c>
      <c r="G887" s="57">
        <v>3452.026208310951</v>
      </c>
      <c r="H887" s="58">
        <v>0.11754385307557791</v>
      </c>
      <c r="I887" s="58">
        <v>-9.9606057084837052E-2</v>
      </c>
      <c r="J887" s="58">
        <v>2.5045524560047827E-2</v>
      </c>
    </row>
    <row r="888" spans="1:10" ht="11.25" customHeight="1" x14ac:dyDescent="0.2">
      <c r="A888" s="67">
        <v>43770</v>
      </c>
      <c r="B888" s="57">
        <v>0</v>
      </c>
      <c r="C888" s="57">
        <v>0</v>
      </c>
      <c r="D888" s="57">
        <v>5173.8624999999993</v>
      </c>
      <c r="E888" s="57">
        <v>5782.0182335332429</v>
      </c>
      <c r="F888" s="57">
        <v>3839.2905000000005</v>
      </c>
      <c r="G888" s="57">
        <v>3456.8739112917274</v>
      </c>
      <c r="H888" s="58">
        <v>0.11754385307557813</v>
      </c>
      <c r="I888" s="58">
        <v>-9.9606057084837163E-2</v>
      </c>
      <c r="J888" s="58">
        <v>2.5045524560048049E-2</v>
      </c>
    </row>
    <row r="889" spans="1:10" ht="11.25" customHeight="1" x14ac:dyDescent="0.2">
      <c r="A889" s="67">
        <v>43800</v>
      </c>
      <c r="B889" s="57">
        <v>0</v>
      </c>
      <c r="C889" s="57">
        <v>0</v>
      </c>
      <c r="D889" s="57">
        <v>4317.3680000000004</v>
      </c>
      <c r="E889" s="57">
        <v>4824.8480698652011</v>
      </c>
      <c r="F889" s="57">
        <v>3203.7244799999999</v>
      </c>
      <c r="G889" s="57">
        <v>2884.6141165610302</v>
      </c>
      <c r="H889" s="58">
        <v>0.11754385307557769</v>
      </c>
      <c r="I889" s="58">
        <v>-9.9606057084836941E-2</v>
      </c>
      <c r="J889" s="58">
        <v>2.5045524560047827E-2</v>
      </c>
    </row>
    <row r="890" spans="1:10" ht="11.25" customHeight="1" x14ac:dyDescent="0.2">
      <c r="A890" s="67">
        <v>43831</v>
      </c>
      <c r="B890" s="57">
        <v>0</v>
      </c>
      <c r="C890" s="57">
        <v>0</v>
      </c>
      <c r="D890" s="57">
        <v>4852.5474999999997</v>
      </c>
      <c r="E890" s="57">
        <v>5422.9346303822622</v>
      </c>
      <c r="F890" s="57">
        <v>3600.8571000000002</v>
      </c>
      <c r="G890" s="57">
        <v>3242.189922143059</v>
      </c>
      <c r="H890" s="58">
        <v>0.11754385307557791</v>
      </c>
      <c r="I890" s="58">
        <v>-9.9606057084837163E-2</v>
      </c>
      <c r="J890" s="58">
        <v>2.5045524560047827E-2</v>
      </c>
    </row>
    <row r="891" spans="1:10" ht="11.25" customHeight="1" x14ac:dyDescent="0.2">
      <c r="A891" s="67">
        <v>43862</v>
      </c>
      <c r="B891" s="57">
        <v>0</v>
      </c>
      <c r="C891" s="57">
        <v>0</v>
      </c>
      <c r="D891" s="57">
        <v>4711.9290000000001</v>
      </c>
      <c r="E891" s="57">
        <v>5265.7872900785551</v>
      </c>
      <c r="F891" s="57">
        <v>3496.51044</v>
      </c>
      <c r="G891" s="57">
        <v>3148.2368215156316</v>
      </c>
      <c r="H891" s="58">
        <v>0.11754385307557791</v>
      </c>
      <c r="I891" s="58">
        <v>-9.9606057084836941E-2</v>
      </c>
      <c r="J891" s="58">
        <v>2.5045524560048049E-2</v>
      </c>
    </row>
    <row r="892" spans="1:10" ht="11.25" customHeight="1" x14ac:dyDescent="0.2">
      <c r="A892" s="67">
        <v>43891</v>
      </c>
      <c r="B892" s="57">
        <v>0</v>
      </c>
      <c r="C892" s="57">
        <v>0</v>
      </c>
      <c r="D892" s="57">
        <v>4432.4195000000009</v>
      </c>
      <c r="E892" s="57">
        <v>4953.423166477326</v>
      </c>
      <c r="F892" s="57">
        <v>3289.0990200000001</v>
      </c>
      <c r="G892" s="57">
        <v>2961.4848352561985</v>
      </c>
      <c r="H892" s="58">
        <v>0.11754385307557769</v>
      </c>
      <c r="I892" s="58">
        <v>-9.9606057084837052E-2</v>
      </c>
      <c r="J892" s="58">
        <v>2.5045524560047605E-2</v>
      </c>
    </row>
    <row r="893" spans="1:10" ht="11.25" customHeight="1" x14ac:dyDescent="0.2">
      <c r="A893" s="67">
        <v>43922</v>
      </c>
      <c r="B893" s="57">
        <v>0</v>
      </c>
      <c r="C893" s="57">
        <v>0</v>
      </c>
      <c r="D893" s="57">
        <v>4790.0119999999997</v>
      </c>
      <c r="E893" s="57">
        <v>5353.0484667582541</v>
      </c>
      <c r="F893" s="57">
        <v>3554.4523199999999</v>
      </c>
      <c r="G893" s="57">
        <v>3200.4073393087488</v>
      </c>
      <c r="H893" s="58">
        <v>0.11754385307557769</v>
      </c>
      <c r="I893" s="58">
        <v>-9.9606057084836941E-2</v>
      </c>
      <c r="J893" s="58">
        <v>2.5045524560047827E-2</v>
      </c>
    </row>
    <row r="894" spans="1:10" ht="11.25" customHeight="1" x14ac:dyDescent="0.2">
      <c r="A894" s="67">
        <v>43952</v>
      </c>
      <c r="B894" s="57">
        <v>0</v>
      </c>
      <c r="C894" s="57">
        <v>0</v>
      </c>
      <c r="D894" s="57">
        <v>4462.8234999999995</v>
      </c>
      <c r="E894" s="57">
        <v>4987.4009697862357</v>
      </c>
      <c r="F894" s="57">
        <v>3311.6604599999996</v>
      </c>
      <c r="G894" s="57">
        <v>2981.7990191756421</v>
      </c>
      <c r="H894" s="58">
        <v>0.11754385307557791</v>
      </c>
      <c r="I894" s="58">
        <v>-9.9606057084836941E-2</v>
      </c>
      <c r="J894" s="58">
        <v>2.5045524560047827E-2</v>
      </c>
    </row>
    <row r="895" spans="1:10" ht="11.25" customHeight="1" x14ac:dyDescent="0.2">
      <c r="A895" s="67">
        <v>43983</v>
      </c>
      <c r="B895" s="57">
        <v>0</v>
      </c>
      <c r="C895" s="57">
        <v>0</v>
      </c>
      <c r="D895" s="57">
        <v>4056.17</v>
      </c>
      <c r="E895" s="57">
        <v>4532.9478505295656</v>
      </c>
      <c r="F895" s="57">
        <v>3009.9011999999998</v>
      </c>
      <c r="G895" s="57">
        <v>2710.0968092530807</v>
      </c>
      <c r="H895" s="58">
        <v>0.11754385307557769</v>
      </c>
      <c r="I895" s="58">
        <v>-9.9606057084836941E-2</v>
      </c>
      <c r="J895" s="58">
        <v>2.5045524560047827E-2</v>
      </c>
    </row>
    <row r="896" spans="1:10" ht="11.25" customHeight="1" x14ac:dyDescent="0.2">
      <c r="A896" s="67">
        <v>44013</v>
      </c>
      <c r="B896" s="57">
        <v>0</v>
      </c>
      <c r="C896" s="57">
        <v>0</v>
      </c>
      <c r="D896" s="57">
        <v>4698.8</v>
      </c>
      <c r="E896" s="57">
        <v>5251.1150568315252</v>
      </c>
      <c r="F896" s="57">
        <v>3486.768</v>
      </c>
      <c r="G896" s="57">
        <v>3139.464787550417</v>
      </c>
      <c r="H896" s="58">
        <v>0.11754385307557791</v>
      </c>
      <c r="I896" s="58">
        <v>-9.9606057084837052E-2</v>
      </c>
      <c r="J896" s="58">
        <v>2.5045524560047827E-2</v>
      </c>
    </row>
    <row r="897" spans="1:10" ht="11.25" customHeight="1" x14ac:dyDescent="0.2">
      <c r="A897" s="67">
        <v>44044</v>
      </c>
      <c r="B897" s="57">
        <v>0</v>
      </c>
      <c r="C897" s="57">
        <v>0</v>
      </c>
      <c r="D897" s="57">
        <v>5292.3689999999997</v>
      </c>
      <c r="E897" s="57">
        <v>5914.4544441577427</v>
      </c>
      <c r="F897" s="57">
        <v>3927.2288399999998</v>
      </c>
      <c r="G897" s="57">
        <v>3536.0530599777417</v>
      </c>
      <c r="H897" s="58">
        <v>0.11754385307557791</v>
      </c>
      <c r="I897" s="58">
        <v>-9.9606057084836941E-2</v>
      </c>
      <c r="J897" s="58">
        <v>2.5045524560048049E-2</v>
      </c>
    </row>
    <row r="898" spans="1:10" ht="11.25" customHeight="1" x14ac:dyDescent="0.2">
      <c r="A898" s="67">
        <v>44075</v>
      </c>
      <c r="B898" s="57">
        <v>0</v>
      </c>
      <c r="C898" s="57">
        <v>0</v>
      </c>
      <c r="D898" s="57">
        <v>5292.3689999999997</v>
      </c>
      <c r="E898" s="57">
        <v>5914.4544441577427</v>
      </c>
      <c r="F898" s="57">
        <v>3927.2288399999998</v>
      </c>
      <c r="G898" s="57">
        <v>3536.0530599777417</v>
      </c>
      <c r="H898" s="58">
        <v>0.11754385307557791</v>
      </c>
      <c r="I898" s="58">
        <v>-9.9606057084836941E-2</v>
      </c>
      <c r="J898" s="58">
        <v>2.5045524560048049E-2</v>
      </c>
    </row>
    <row r="899" spans="1:10" ht="11.25" customHeight="1" x14ac:dyDescent="0.2">
      <c r="A899" s="66" t="s">
        <v>35</v>
      </c>
      <c r="B899" s="57">
        <v>0</v>
      </c>
      <c r="C899" s="57">
        <v>0</v>
      </c>
      <c r="D899" s="57">
        <v>127700.1875</v>
      </c>
      <c r="E899" s="57">
        <v>144447.47590513492</v>
      </c>
      <c r="F899" s="57">
        <v>109279.40374999997</v>
      </c>
      <c r="G899" s="57">
        <v>95288.615022763566</v>
      </c>
      <c r="H899" s="58">
        <v>0.13114537051979602</v>
      </c>
      <c r="I899" s="58">
        <v>-0.12802768176923252</v>
      </c>
      <c r="J899" s="58">
        <v>1.1631801976527578E-2</v>
      </c>
    </row>
    <row r="900" spans="1:10" ht="11.25" customHeight="1" x14ac:dyDescent="0.2">
      <c r="A900" s="67">
        <v>43739</v>
      </c>
      <c r="B900" s="57">
        <v>0</v>
      </c>
      <c r="C900" s="57">
        <v>0</v>
      </c>
      <c r="D900" s="57">
        <v>11348.890000000001</v>
      </c>
      <c r="E900" s="57">
        <v>12837.244384038409</v>
      </c>
      <c r="F900" s="57">
        <v>9711.8097999999991</v>
      </c>
      <c r="G900" s="57">
        <v>8468.4293055222897</v>
      </c>
      <c r="H900" s="58">
        <v>0.13114537051979602</v>
      </c>
      <c r="I900" s="58">
        <v>-0.12802768176923207</v>
      </c>
      <c r="J900" s="58">
        <v>1.16318019765278E-2</v>
      </c>
    </row>
    <row r="901" spans="1:10" ht="11.25" customHeight="1" x14ac:dyDescent="0.2">
      <c r="A901" s="67">
        <v>43770</v>
      </c>
      <c r="B901" s="57">
        <v>0</v>
      </c>
      <c r="C901" s="57">
        <v>0</v>
      </c>
      <c r="D901" s="57">
        <v>11112.244999999999</v>
      </c>
      <c r="E901" s="57">
        <v>12569.564487831751</v>
      </c>
      <c r="F901" s="57">
        <v>9509.3009000000002</v>
      </c>
      <c r="G901" s="57">
        <v>8291.8471505269281</v>
      </c>
      <c r="H901" s="58">
        <v>0.13114537051979602</v>
      </c>
      <c r="I901" s="58">
        <v>-0.12802768176923207</v>
      </c>
      <c r="J901" s="58">
        <v>1.1631801976528022E-2</v>
      </c>
    </row>
    <row r="902" spans="1:10" ht="11.25" customHeight="1" x14ac:dyDescent="0.2">
      <c r="A902" s="67">
        <v>43800</v>
      </c>
      <c r="B902" s="57">
        <v>0</v>
      </c>
      <c r="C902" s="57">
        <v>0</v>
      </c>
      <c r="D902" s="57">
        <v>9515.6464999999989</v>
      </c>
      <c r="E902" s="57">
        <v>10763.579485977902</v>
      </c>
      <c r="F902" s="57">
        <v>8143.0121300000001</v>
      </c>
      <c r="G902" s="57">
        <v>7100.4811643773619</v>
      </c>
      <c r="H902" s="58">
        <v>0.13114537051979624</v>
      </c>
      <c r="I902" s="58">
        <v>-0.12802768176923229</v>
      </c>
      <c r="J902" s="58">
        <v>1.16318019765278E-2</v>
      </c>
    </row>
    <row r="903" spans="1:10" ht="11.25" customHeight="1" x14ac:dyDescent="0.2">
      <c r="A903" s="67">
        <v>43831</v>
      </c>
      <c r="B903" s="57">
        <v>0</v>
      </c>
      <c r="C903" s="57">
        <v>0</v>
      </c>
      <c r="D903" s="57">
        <v>10253.7775</v>
      </c>
      <c r="E903" s="57">
        <v>11598.51294946505</v>
      </c>
      <c r="F903" s="57">
        <v>8774.6675500000001</v>
      </c>
      <c r="G903" s="57">
        <v>7651.2672052777916</v>
      </c>
      <c r="H903" s="58">
        <v>0.13114537051979624</v>
      </c>
      <c r="I903" s="58">
        <v>-0.12802768176923218</v>
      </c>
      <c r="J903" s="58">
        <v>1.16318019765278E-2</v>
      </c>
    </row>
    <row r="904" spans="1:10" ht="11.25" customHeight="1" x14ac:dyDescent="0.2">
      <c r="A904" s="67">
        <v>43862</v>
      </c>
      <c r="B904" s="57">
        <v>0</v>
      </c>
      <c r="C904" s="57">
        <v>0</v>
      </c>
      <c r="D904" s="57">
        <v>10041.804</v>
      </c>
      <c r="E904" s="57">
        <v>11358.740106267172</v>
      </c>
      <c r="F904" s="57">
        <v>8593.2712800000008</v>
      </c>
      <c r="G904" s="57">
        <v>7493.0946792074774</v>
      </c>
      <c r="H904" s="58">
        <v>0.13114537051979624</v>
      </c>
      <c r="I904" s="58">
        <v>-0.12802768176923229</v>
      </c>
      <c r="J904" s="58">
        <v>1.16318019765278E-2</v>
      </c>
    </row>
    <row r="905" spans="1:10" ht="11.25" customHeight="1" x14ac:dyDescent="0.2">
      <c r="A905" s="67">
        <v>43891</v>
      </c>
      <c r="B905" s="57">
        <v>0</v>
      </c>
      <c r="C905" s="57">
        <v>0</v>
      </c>
      <c r="D905" s="57">
        <v>9761.3544999999995</v>
      </c>
      <c r="E905" s="57">
        <v>11041.510952677578</v>
      </c>
      <c r="F905" s="57">
        <v>8353.2766899999988</v>
      </c>
      <c r="G905" s="57">
        <v>7283.8260402023334</v>
      </c>
      <c r="H905" s="58">
        <v>0.13114537051979602</v>
      </c>
      <c r="I905" s="58">
        <v>-0.12802768176923218</v>
      </c>
      <c r="J905" s="58">
        <v>1.1631801976527578E-2</v>
      </c>
    </row>
    <row r="906" spans="1:10" ht="11.25" customHeight="1" x14ac:dyDescent="0.2">
      <c r="A906" s="67">
        <v>43922</v>
      </c>
      <c r="B906" s="57">
        <v>0</v>
      </c>
      <c r="C906" s="57">
        <v>0</v>
      </c>
      <c r="D906" s="57">
        <v>10964.719499999999</v>
      </c>
      <c r="E906" s="57">
        <v>12402.691701473133</v>
      </c>
      <c r="F906" s="57">
        <v>9383.0559900000007</v>
      </c>
      <c r="G906" s="57">
        <v>8181.7650836893927</v>
      </c>
      <c r="H906" s="58">
        <v>0.13114537051979624</v>
      </c>
      <c r="I906" s="58">
        <v>-0.12802768176923218</v>
      </c>
      <c r="J906" s="58">
        <v>1.16318019765278E-2</v>
      </c>
    </row>
    <row r="907" spans="1:10" ht="11.25" customHeight="1" x14ac:dyDescent="0.2">
      <c r="A907" s="67">
        <v>43952</v>
      </c>
      <c r="B907" s="57">
        <v>0</v>
      </c>
      <c r="C907" s="57">
        <v>0</v>
      </c>
      <c r="D907" s="57">
        <v>10182.784</v>
      </c>
      <c r="E907" s="57">
        <v>11518.208980603051</v>
      </c>
      <c r="F907" s="57">
        <v>8713.9148799999984</v>
      </c>
      <c r="G907" s="57">
        <v>7598.2925587791824</v>
      </c>
      <c r="H907" s="58">
        <v>0.13114537051979602</v>
      </c>
      <c r="I907" s="58">
        <v>-0.12802768176923207</v>
      </c>
      <c r="J907" s="58">
        <v>1.16318019765278E-2</v>
      </c>
    </row>
    <row r="908" spans="1:10" ht="11.25" customHeight="1" x14ac:dyDescent="0.2">
      <c r="A908" s="67">
        <v>43983</v>
      </c>
      <c r="B908" s="57">
        <v>0</v>
      </c>
      <c r="C908" s="57">
        <v>0</v>
      </c>
      <c r="D908" s="57">
        <v>10172.714000000002</v>
      </c>
      <c r="E908" s="57">
        <v>11506.818346721919</v>
      </c>
      <c r="F908" s="57">
        <v>8705.2974799999993</v>
      </c>
      <c r="G908" s="57">
        <v>7590.7784245240609</v>
      </c>
      <c r="H908" s="58">
        <v>0.13114537051979602</v>
      </c>
      <c r="I908" s="58">
        <v>-0.12802768176923218</v>
      </c>
      <c r="J908" s="58">
        <v>1.16318019765278E-2</v>
      </c>
    </row>
    <row r="909" spans="1:10" ht="11.25" customHeight="1" x14ac:dyDescent="0.2">
      <c r="A909" s="67">
        <v>44013</v>
      </c>
      <c r="B909" s="57">
        <v>0</v>
      </c>
      <c r="C909" s="57">
        <v>0</v>
      </c>
      <c r="D909" s="57">
        <v>10656.577499999999</v>
      </c>
      <c r="E909" s="57">
        <v>12054.138304710423</v>
      </c>
      <c r="F909" s="57">
        <v>9119.36355</v>
      </c>
      <c r="G909" s="57">
        <v>7951.8325754826637</v>
      </c>
      <c r="H909" s="58">
        <v>0.13114537051979624</v>
      </c>
      <c r="I909" s="58">
        <v>-0.12802768176923229</v>
      </c>
      <c r="J909" s="58">
        <v>1.16318019765278E-2</v>
      </c>
    </row>
    <row r="910" spans="1:10" ht="11.25" customHeight="1" x14ac:dyDescent="0.2">
      <c r="A910" s="67">
        <v>44044</v>
      </c>
      <c r="B910" s="57">
        <v>0</v>
      </c>
      <c r="C910" s="57">
        <v>0</v>
      </c>
      <c r="D910" s="57">
        <v>11844.8375</v>
      </c>
      <c r="E910" s="57">
        <v>13398.233102684275</v>
      </c>
      <c r="F910" s="57">
        <v>10136.21675</v>
      </c>
      <c r="G910" s="57">
        <v>8838.5004175870399</v>
      </c>
      <c r="H910" s="58">
        <v>0.13114537051979602</v>
      </c>
      <c r="I910" s="58">
        <v>-0.12802768176923207</v>
      </c>
      <c r="J910" s="58">
        <v>1.16318019765278E-2</v>
      </c>
    </row>
    <row r="911" spans="1:10" ht="11.25" customHeight="1" x14ac:dyDescent="0.2">
      <c r="A911" s="67">
        <v>44075</v>
      </c>
      <c r="B911" s="57">
        <v>0</v>
      </c>
      <c r="C911" s="57">
        <v>0</v>
      </c>
      <c r="D911" s="57">
        <v>11844.8375</v>
      </c>
      <c r="E911" s="57">
        <v>13398.233102684275</v>
      </c>
      <c r="F911" s="57">
        <v>10136.21675</v>
      </c>
      <c r="G911" s="57">
        <v>8838.5004175870399</v>
      </c>
      <c r="H911" s="58">
        <v>0.13114537051979602</v>
      </c>
      <c r="I911" s="58">
        <v>-0.12802768176923207</v>
      </c>
      <c r="J911" s="58">
        <v>1.16318019765278E-2</v>
      </c>
    </row>
    <row r="912" spans="1:10" ht="11.25" customHeight="1" x14ac:dyDescent="0.2">
      <c r="A912" s="61" t="s">
        <v>23</v>
      </c>
      <c r="B912" s="57">
        <v>0</v>
      </c>
      <c r="C912" s="57">
        <v>0</v>
      </c>
      <c r="D912" s="57">
        <v>576577014.00042975</v>
      </c>
      <c r="E912" s="57">
        <v>634371204.83357072</v>
      </c>
      <c r="F912" s="57">
        <v>633223978.97299004</v>
      </c>
      <c r="G912" s="57">
        <v>567767565.76077318</v>
      </c>
      <c r="H912" s="58">
        <v>0.10023672368093717</v>
      </c>
      <c r="I912" s="58">
        <v>-0.10337007975973789</v>
      </c>
      <c r="J912" s="58">
        <v>-6.3334568442067196E-3</v>
      </c>
    </row>
    <row r="913" spans="1:10" ht="11.25" customHeight="1" x14ac:dyDescent="0.2">
      <c r="A913" s="62" t="s">
        <v>24</v>
      </c>
      <c r="B913" s="57">
        <v>0</v>
      </c>
      <c r="C913" s="57">
        <v>0</v>
      </c>
      <c r="D913" s="57">
        <v>576577014.00042975</v>
      </c>
      <c r="E913" s="57">
        <v>634371204.83357072</v>
      </c>
      <c r="F913" s="57">
        <v>633223978.97299004</v>
      </c>
      <c r="G913" s="57">
        <v>567767565.76077318</v>
      </c>
      <c r="H913" s="58">
        <v>0.10023672368093717</v>
      </c>
      <c r="I913" s="58">
        <v>-0.10337007975973789</v>
      </c>
      <c r="J913" s="58">
        <v>-6.3334568442067196E-3</v>
      </c>
    </row>
    <row r="914" spans="1:10" ht="11.25" customHeight="1" x14ac:dyDescent="0.2">
      <c r="A914" s="63" t="s">
        <v>24</v>
      </c>
      <c r="B914" s="57">
        <v>0</v>
      </c>
      <c r="C914" s="57">
        <v>0</v>
      </c>
      <c r="D914" s="57">
        <v>573860790.53527999</v>
      </c>
      <c r="E914" s="57">
        <v>631426617.32276142</v>
      </c>
      <c r="F914" s="57">
        <v>629205412.48864007</v>
      </c>
      <c r="G914" s="57">
        <v>564164392.38671923</v>
      </c>
      <c r="H914" s="58">
        <v>0.10031322532732312</v>
      </c>
      <c r="I914" s="58">
        <v>-0.10337008997533892</v>
      </c>
      <c r="J914" s="58">
        <v>-6.2134513426200799E-3</v>
      </c>
    </row>
    <row r="915" spans="1:10" ht="11.25" customHeight="1" x14ac:dyDescent="0.2">
      <c r="A915" s="64" t="s">
        <v>25</v>
      </c>
      <c r="B915" s="57">
        <v>0</v>
      </c>
      <c r="C915" s="57">
        <v>0</v>
      </c>
      <c r="D915" s="57">
        <v>573860790.53527999</v>
      </c>
      <c r="E915" s="57">
        <v>631426617.32276142</v>
      </c>
      <c r="F915" s="57">
        <v>629205412.48864007</v>
      </c>
      <c r="G915" s="57">
        <v>564164392.38671923</v>
      </c>
      <c r="H915" s="58">
        <v>0.10031322532732312</v>
      </c>
      <c r="I915" s="58">
        <v>-0.10337008997533892</v>
      </c>
      <c r="J915" s="58">
        <v>-6.2134513426200799E-3</v>
      </c>
    </row>
    <row r="916" spans="1:10" ht="11.25" customHeight="1" x14ac:dyDescent="0.2">
      <c r="A916" s="65" t="s">
        <v>25</v>
      </c>
      <c r="B916" s="57">
        <v>0</v>
      </c>
      <c r="C916" s="57">
        <v>0</v>
      </c>
      <c r="D916" s="57">
        <v>573860790.53527999</v>
      </c>
      <c r="E916" s="57">
        <v>631426617.32276142</v>
      </c>
      <c r="F916" s="57">
        <v>629205412.48864007</v>
      </c>
      <c r="G916" s="57">
        <v>564164392.38671923</v>
      </c>
      <c r="H916" s="58">
        <v>0.10031322532732312</v>
      </c>
      <c r="I916" s="58">
        <v>-0.10337008997533892</v>
      </c>
      <c r="J916" s="58">
        <v>-6.2134513426200799E-3</v>
      </c>
    </row>
    <row r="917" spans="1:10" ht="11.25" customHeight="1" x14ac:dyDescent="0.2">
      <c r="A917" s="66" t="s">
        <v>25</v>
      </c>
      <c r="B917" s="57">
        <v>0</v>
      </c>
      <c r="C917" s="57">
        <v>0</v>
      </c>
      <c r="D917" s="57">
        <v>573860790.53527999</v>
      </c>
      <c r="E917" s="57">
        <v>631426617.32276142</v>
      </c>
      <c r="F917" s="57">
        <v>629205412.48864007</v>
      </c>
      <c r="G917" s="57">
        <v>564164392.38671923</v>
      </c>
      <c r="H917" s="58">
        <v>0.10031322532732312</v>
      </c>
      <c r="I917" s="58">
        <v>-0.10337008997533892</v>
      </c>
      <c r="J917" s="58">
        <v>-6.2134513426200799E-3</v>
      </c>
    </row>
    <row r="918" spans="1:10" ht="11.25" customHeight="1" x14ac:dyDescent="0.2">
      <c r="A918" s="67">
        <v>43739</v>
      </c>
      <c r="B918" s="57">
        <v>0</v>
      </c>
      <c r="C918" s="57">
        <v>0</v>
      </c>
      <c r="D918" s="57">
        <v>48417873.574200004</v>
      </c>
      <c r="E918" s="57">
        <v>53274826.635918565</v>
      </c>
      <c r="F918" s="57">
        <v>53087418.7896</v>
      </c>
      <c r="G918" s="57">
        <v>47599767.532760568</v>
      </c>
      <c r="H918" s="58">
        <v>0.1003132253273229</v>
      </c>
      <c r="I918" s="58">
        <v>-0.10337008997533859</v>
      </c>
      <c r="J918" s="58">
        <v>-6.2134513426198579E-3</v>
      </c>
    </row>
    <row r="919" spans="1:10" ht="11.25" customHeight="1" x14ac:dyDescent="0.2">
      <c r="A919" s="67">
        <v>43770</v>
      </c>
      <c r="B919" s="57">
        <v>0</v>
      </c>
      <c r="C919" s="57">
        <v>0</v>
      </c>
      <c r="D919" s="57">
        <v>51351909.186600007</v>
      </c>
      <c r="E919" s="57">
        <v>56503184.823823646</v>
      </c>
      <c r="F919" s="57">
        <v>56304420.400800012</v>
      </c>
      <c r="G919" s="57">
        <v>50484227.397960015</v>
      </c>
      <c r="H919" s="58">
        <v>0.10031322532732312</v>
      </c>
      <c r="I919" s="58">
        <v>-0.10337008997533881</v>
      </c>
      <c r="J919" s="58">
        <v>-6.2134513426198579E-3</v>
      </c>
    </row>
    <row r="920" spans="1:10" ht="11.25" customHeight="1" x14ac:dyDescent="0.2">
      <c r="A920" s="67">
        <v>43800</v>
      </c>
      <c r="B920" s="57">
        <v>0</v>
      </c>
      <c r="C920" s="57">
        <v>0</v>
      </c>
      <c r="D920" s="57">
        <v>44354038.951090008</v>
      </c>
      <c r="E920" s="57">
        <v>48803335.654567569</v>
      </c>
      <c r="F920" s="57">
        <v>48631657.422920011</v>
      </c>
      <c r="G920" s="57">
        <v>43604598.619462915</v>
      </c>
      <c r="H920" s="58">
        <v>0.10031322532732312</v>
      </c>
      <c r="I920" s="58">
        <v>-0.10337008997533881</v>
      </c>
      <c r="J920" s="58">
        <v>-6.2134513426199689E-3</v>
      </c>
    </row>
    <row r="921" spans="1:10" ht="11.25" customHeight="1" x14ac:dyDescent="0.2">
      <c r="A921" s="67">
        <v>43831</v>
      </c>
      <c r="B921" s="57">
        <v>0</v>
      </c>
      <c r="C921" s="57">
        <v>0</v>
      </c>
      <c r="D921" s="57">
        <v>48261434.470860004</v>
      </c>
      <c r="E921" s="57">
        <v>53102694.621555217</v>
      </c>
      <c r="F921" s="57">
        <v>52915892.293680005</v>
      </c>
      <c r="G921" s="57">
        <v>47445971.746156968</v>
      </c>
      <c r="H921" s="58">
        <v>0.1003132253273229</v>
      </c>
      <c r="I921" s="58">
        <v>-0.1033700899753387</v>
      </c>
      <c r="J921" s="58">
        <v>-6.2134513426199689E-3</v>
      </c>
    </row>
    <row r="922" spans="1:10" ht="11.25" customHeight="1" x14ac:dyDescent="0.2">
      <c r="A922" s="67">
        <v>43862</v>
      </c>
      <c r="B922" s="57">
        <v>0</v>
      </c>
      <c r="C922" s="57">
        <v>0</v>
      </c>
      <c r="D922" s="57">
        <v>45214683.071890004</v>
      </c>
      <c r="E922" s="57">
        <v>49750313.762984008</v>
      </c>
      <c r="F922" s="57">
        <v>49575304.293320008</v>
      </c>
      <c r="G922" s="57">
        <v>44450700.627964728</v>
      </c>
      <c r="H922" s="58">
        <v>0.10031322532732312</v>
      </c>
      <c r="I922" s="58">
        <v>-0.10337008997533859</v>
      </c>
      <c r="J922" s="58">
        <v>-6.2134513426197469E-3</v>
      </c>
    </row>
    <row r="923" spans="1:10" ht="11.25" customHeight="1" x14ac:dyDescent="0.2">
      <c r="A923" s="67">
        <v>43891</v>
      </c>
      <c r="B923" s="57">
        <v>0</v>
      </c>
      <c r="C923" s="57">
        <v>0</v>
      </c>
      <c r="D923" s="57">
        <v>46345358.016649999</v>
      </c>
      <c r="E923" s="57">
        <v>50994410.358249679</v>
      </c>
      <c r="F923" s="57">
        <v>50815024.460200004</v>
      </c>
      <c r="G923" s="57">
        <v>45562270.809650093</v>
      </c>
      <c r="H923" s="58">
        <v>0.10031322532732334</v>
      </c>
      <c r="I923" s="58">
        <v>-0.1033700899753387</v>
      </c>
      <c r="J923" s="58">
        <v>-6.2134513426197469E-3</v>
      </c>
    </row>
    <row r="924" spans="1:10" ht="11.25" customHeight="1" x14ac:dyDescent="0.2">
      <c r="A924" s="67">
        <v>43922</v>
      </c>
      <c r="B924" s="57">
        <v>0</v>
      </c>
      <c r="C924" s="57">
        <v>0</v>
      </c>
      <c r="D924" s="57">
        <v>50362369.826030001</v>
      </c>
      <c r="E924" s="57">
        <v>55414381.578406528</v>
      </c>
      <c r="F924" s="57">
        <v>55219447.29964</v>
      </c>
      <c r="G924" s="57">
        <v>49511408.06388773</v>
      </c>
      <c r="H924" s="58">
        <v>0.10031322532732312</v>
      </c>
      <c r="I924" s="58">
        <v>-0.10337008997533892</v>
      </c>
      <c r="J924" s="58">
        <v>-6.2134513426198579E-3</v>
      </c>
    </row>
    <row r="925" spans="1:10" ht="11.25" customHeight="1" x14ac:dyDescent="0.2">
      <c r="A925" s="67">
        <v>43952</v>
      </c>
      <c r="B925" s="57">
        <v>0</v>
      </c>
      <c r="C925" s="57">
        <v>0</v>
      </c>
      <c r="D925" s="57">
        <v>49355805.470280007</v>
      </c>
      <c r="E925" s="57">
        <v>54306845.505631723</v>
      </c>
      <c r="F925" s="57">
        <v>54115807.268640012</v>
      </c>
      <c r="G925" s="57">
        <v>48521851.4021926</v>
      </c>
      <c r="H925" s="58">
        <v>0.1003132253273229</v>
      </c>
      <c r="I925" s="58">
        <v>-0.10337008997533881</v>
      </c>
      <c r="J925" s="58">
        <v>-6.2134513426199689E-3</v>
      </c>
    </row>
    <row r="926" spans="1:10" ht="11.25" customHeight="1" x14ac:dyDescent="0.2">
      <c r="A926" s="67">
        <v>43983</v>
      </c>
      <c r="B926" s="57">
        <v>0</v>
      </c>
      <c r="C926" s="57">
        <v>0</v>
      </c>
      <c r="D926" s="57">
        <v>44863057.199769996</v>
      </c>
      <c r="E926" s="57">
        <v>49363415.165523112</v>
      </c>
      <c r="F926" s="57">
        <v>49189766.710760005</v>
      </c>
      <c r="G926" s="57">
        <v>44105016.100002818</v>
      </c>
      <c r="H926" s="58">
        <v>0.10031322532732312</v>
      </c>
      <c r="I926" s="58">
        <v>-0.10337008997533881</v>
      </c>
      <c r="J926" s="58">
        <v>-6.2134513426197469E-3</v>
      </c>
    </row>
    <row r="927" spans="1:10" ht="11.25" customHeight="1" x14ac:dyDescent="0.2">
      <c r="A927" s="67">
        <v>44013</v>
      </c>
      <c r="B927" s="57">
        <v>0</v>
      </c>
      <c r="C927" s="57">
        <v>0</v>
      </c>
      <c r="D927" s="57">
        <v>45784732.550569996</v>
      </c>
      <c r="E927" s="57">
        <v>50377546.743466541</v>
      </c>
      <c r="F927" s="57">
        <v>50200330.821160004</v>
      </c>
      <c r="G927" s="57">
        <v>45011118.10738492</v>
      </c>
      <c r="H927" s="58">
        <v>0.1003132253273229</v>
      </c>
      <c r="I927" s="58">
        <v>-0.10337008997533881</v>
      </c>
      <c r="J927" s="58">
        <v>-6.2134513426199689E-3</v>
      </c>
    </row>
    <row r="928" spans="1:10" ht="11.25" customHeight="1" x14ac:dyDescent="0.2">
      <c r="A928" s="67">
        <v>44044</v>
      </c>
      <c r="B928" s="57">
        <v>0</v>
      </c>
      <c r="C928" s="57">
        <v>0</v>
      </c>
      <c r="D928" s="57">
        <v>49774764.108669996</v>
      </c>
      <c r="E928" s="57">
        <v>54767831.236317381</v>
      </c>
      <c r="F928" s="57">
        <v>54575171.363960013</v>
      </c>
      <c r="G928" s="57">
        <v>48933730.989647932</v>
      </c>
      <c r="H928" s="58">
        <v>0.10031322532732334</v>
      </c>
      <c r="I928" s="58">
        <v>-0.10337008997533881</v>
      </c>
      <c r="J928" s="58">
        <v>-6.2134513426196358E-3</v>
      </c>
    </row>
    <row r="929" spans="1:10" ht="11.25" customHeight="1" x14ac:dyDescent="0.2">
      <c r="A929" s="67">
        <v>44075</v>
      </c>
      <c r="B929" s="57">
        <v>0</v>
      </c>
      <c r="C929" s="57">
        <v>0</v>
      </c>
      <c r="D929" s="57">
        <v>49774764.108669996</v>
      </c>
      <c r="E929" s="57">
        <v>54767831.236317381</v>
      </c>
      <c r="F929" s="57">
        <v>54575171.363960013</v>
      </c>
      <c r="G929" s="57">
        <v>48933730.989647932</v>
      </c>
      <c r="H929" s="58">
        <v>0.10031322532732334</v>
      </c>
      <c r="I929" s="58">
        <v>-0.10337008997533881</v>
      </c>
      <c r="J929" s="58">
        <v>-6.2134513426196358E-3</v>
      </c>
    </row>
    <row r="930" spans="1:10" ht="11.25" customHeight="1" x14ac:dyDescent="0.2">
      <c r="A930" s="63" t="s">
        <v>29</v>
      </c>
      <c r="B930" s="57">
        <v>0</v>
      </c>
      <c r="C930" s="57">
        <v>0</v>
      </c>
      <c r="D930" s="57">
        <v>224761.70730000007</v>
      </c>
      <c r="E930" s="57">
        <v>243665.30219072933</v>
      </c>
      <c r="F930" s="57">
        <v>332530.89539999998</v>
      </c>
      <c r="G930" s="57">
        <v>298163.43573131313</v>
      </c>
      <c r="H930" s="58">
        <v>8.4105051157570276E-2</v>
      </c>
      <c r="I930" s="58">
        <v>-0.10335117772243763</v>
      </c>
      <c r="J930" s="58">
        <v>-2.7748196733703767E-2</v>
      </c>
    </row>
    <row r="931" spans="1:10" ht="11.25" customHeight="1" x14ac:dyDescent="0.2">
      <c r="A931" s="64" t="s">
        <v>25</v>
      </c>
      <c r="B931" s="57">
        <v>0</v>
      </c>
      <c r="C931" s="57">
        <v>0</v>
      </c>
      <c r="D931" s="57">
        <v>224761.70730000007</v>
      </c>
      <c r="E931" s="57">
        <v>243665.30219072933</v>
      </c>
      <c r="F931" s="57">
        <v>332530.89539999998</v>
      </c>
      <c r="G931" s="57">
        <v>298163.43573131313</v>
      </c>
      <c r="H931" s="58">
        <v>8.4105051157570276E-2</v>
      </c>
      <c r="I931" s="58">
        <v>-0.10335117772243763</v>
      </c>
      <c r="J931" s="58">
        <v>-2.7748196733703767E-2</v>
      </c>
    </row>
    <row r="932" spans="1:10" ht="11.25" customHeight="1" x14ac:dyDescent="0.2">
      <c r="A932" s="65" t="s">
        <v>25</v>
      </c>
      <c r="B932" s="57">
        <v>0</v>
      </c>
      <c r="C932" s="57">
        <v>0</v>
      </c>
      <c r="D932" s="57">
        <v>224761.70730000007</v>
      </c>
      <c r="E932" s="57">
        <v>243665.30219072933</v>
      </c>
      <c r="F932" s="57">
        <v>332530.89539999998</v>
      </c>
      <c r="G932" s="57">
        <v>298163.43573131313</v>
      </c>
      <c r="H932" s="58">
        <v>8.4105051157570276E-2</v>
      </c>
      <c r="I932" s="58">
        <v>-0.10335117772243763</v>
      </c>
      <c r="J932" s="58">
        <v>-2.7748196733703767E-2</v>
      </c>
    </row>
    <row r="933" spans="1:10" ht="11.25" customHeight="1" x14ac:dyDescent="0.2">
      <c r="A933" s="66" t="s">
        <v>25</v>
      </c>
      <c r="B933" s="57">
        <v>0</v>
      </c>
      <c r="C933" s="57">
        <v>0</v>
      </c>
      <c r="D933" s="57">
        <v>224761.70730000007</v>
      </c>
      <c r="E933" s="57">
        <v>243665.30219072933</v>
      </c>
      <c r="F933" s="57">
        <v>332530.89539999998</v>
      </c>
      <c r="G933" s="57">
        <v>298163.43573131313</v>
      </c>
      <c r="H933" s="58">
        <v>8.4105051157570276E-2</v>
      </c>
      <c r="I933" s="58">
        <v>-0.10335117772243763</v>
      </c>
      <c r="J933" s="58">
        <v>-2.7748196733703767E-2</v>
      </c>
    </row>
    <row r="934" spans="1:10" ht="11.25" customHeight="1" x14ac:dyDescent="0.2">
      <c r="A934" s="67">
        <v>43739</v>
      </c>
      <c r="B934" s="57">
        <v>0</v>
      </c>
      <c r="C934" s="57">
        <v>0</v>
      </c>
      <c r="D934" s="57">
        <v>16667.886300000002</v>
      </c>
      <c r="E934" s="57">
        <v>18069.739729950066</v>
      </c>
      <c r="F934" s="57">
        <v>24659.8374</v>
      </c>
      <c r="G934" s="57">
        <v>22111.214162266177</v>
      </c>
      <c r="H934" s="58">
        <v>8.4105051157570276E-2</v>
      </c>
      <c r="I934" s="58">
        <v>-0.10335117772243796</v>
      </c>
      <c r="J934" s="58">
        <v>-2.7748196733703878E-2</v>
      </c>
    </row>
    <row r="935" spans="1:10" ht="11.25" customHeight="1" x14ac:dyDescent="0.2">
      <c r="A935" s="67">
        <v>43770</v>
      </c>
      <c r="B935" s="57">
        <v>0</v>
      </c>
      <c r="C935" s="57">
        <v>0</v>
      </c>
      <c r="D935" s="57">
        <v>17063.962500000001</v>
      </c>
      <c r="E935" s="57">
        <v>18499.127939013364</v>
      </c>
      <c r="F935" s="57">
        <v>25245.825000000001</v>
      </c>
      <c r="G935" s="57">
        <v>22636.639253675432</v>
      </c>
      <c r="H935" s="58">
        <v>8.4105051157570276E-2</v>
      </c>
      <c r="I935" s="58">
        <v>-0.10335117772243796</v>
      </c>
      <c r="J935" s="58">
        <v>-2.7748196733703878E-2</v>
      </c>
    </row>
    <row r="936" spans="1:10" ht="11.25" customHeight="1" x14ac:dyDescent="0.2">
      <c r="A936" s="67">
        <v>43800</v>
      </c>
      <c r="B936" s="57">
        <v>0</v>
      </c>
      <c r="C936" s="57">
        <v>0</v>
      </c>
      <c r="D936" s="57">
        <v>17475.420300000002</v>
      </c>
      <c r="E936" s="57">
        <v>18945.191418331542</v>
      </c>
      <c r="F936" s="57">
        <v>25854.5694</v>
      </c>
      <c r="G936" s="57">
        <v>23182.469203003493</v>
      </c>
      <c r="H936" s="58">
        <v>8.4105051157570276E-2</v>
      </c>
      <c r="I936" s="58">
        <v>-0.10335117772243796</v>
      </c>
      <c r="J936" s="58">
        <v>-2.77481967337041E-2</v>
      </c>
    </row>
    <row r="937" spans="1:10" ht="11.25" customHeight="1" x14ac:dyDescent="0.2">
      <c r="A937" s="67">
        <v>43831</v>
      </c>
      <c r="B937" s="57">
        <v>0</v>
      </c>
      <c r="C937" s="57">
        <v>0</v>
      </c>
      <c r="D937" s="57">
        <v>17677.303800000002</v>
      </c>
      <c r="E937" s="57">
        <v>19164.054340426912</v>
      </c>
      <c r="F937" s="57">
        <v>26153.252399999998</v>
      </c>
      <c r="G937" s="57">
        <v>23450.282963187823</v>
      </c>
      <c r="H937" s="58">
        <v>8.4105051157570276E-2</v>
      </c>
      <c r="I937" s="58">
        <v>-0.10335117772243785</v>
      </c>
      <c r="J937" s="58">
        <v>-2.7748196733703767E-2</v>
      </c>
    </row>
    <row r="938" spans="1:10" ht="11.25" customHeight="1" x14ac:dyDescent="0.2">
      <c r="A938" s="67">
        <v>43862</v>
      </c>
      <c r="B938" s="57">
        <v>0</v>
      </c>
      <c r="C938" s="57">
        <v>0</v>
      </c>
      <c r="D938" s="57">
        <v>17717.680499999999</v>
      </c>
      <c r="E938" s="57">
        <v>19207.826924845984</v>
      </c>
      <c r="F938" s="57">
        <v>26212.988999999998</v>
      </c>
      <c r="G938" s="57">
        <v>23503.845715224685</v>
      </c>
      <c r="H938" s="58">
        <v>8.4105051157570276E-2</v>
      </c>
      <c r="I938" s="58">
        <v>-0.10335117772243807</v>
      </c>
      <c r="J938" s="58">
        <v>-2.7748196733703989E-2</v>
      </c>
    </row>
    <row r="939" spans="1:10" ht="11.25" customHeight="1" x14ac:dyDescent="0.2">
      <c r="A939" s="67">
        <v>43891</v>
      </c>
      <c r="B939" s="57">
        <v>0</v>
      </c>
      <c r="C939" s="57">
        <v>0</v>
      </c>
      <c r="D939" s="57">
        <v>16444.853100000004</v>
      </c>
      <c r="E939" s="57">
        <v>17827.948311254229</v>
      </c>
      <c r="F939" s="57">
        <v>24329.863799999999</v>
      </c>
      <c r="G939" s="57">
        <v>21815.343722443489</v>
      </c>
      <c r="H939" s="58">
        <v>8.4105051157570054E-2</v>
      </c>
      <c r="I939" s="58">
        <v>-0.10335117772243796</v>
      </c>
      <c r="J939" s="58">
        <v>-2.7748196733703878E-2</v>
      </c>
    </row>
    <row r="940" spans="1:10" ht="11.25" customHeight="1" x14ac:dyDescent="0.2">
      <c r="A940" s="67">
        <v>43922</v>
      </c>
      <c r="B940" s="57">
        <v>0</v>
      </c>
      <c r="C940" s="57">
        <v>0</v>
      </c>
      <c r="D940" s="57">
        <v>16208.361000000001</v>
      </c>
      <c r="E940" s="57">
        <v>17571.566031085367</v>
      </c>
      <c r="F940" s="57">
        <v>23979.977999999999</v>
      </c>
      <c r="G940" s="57">
        <v>21501.619031941842</v>
      </c>
      <c r="H940" s="58">
        <v>8.4105051157570276E-2</v>
      </c>
      <c r="I940" s="58">
        <v>-0.10335117772243818</v>
      </c>
      <c r="J940" s="58">
        <v>-2.7748196733703989E-2</v>
      </c>
    </row>
    <row r="941" spans="1:10" ht="11.25" customHeight="1" x14ac:dyDescent="0.2">
      <c r="A941" s="67">
        <v>43952</v>
      </c>
      <c r="B941" s="57">
        <v>0</v>
      </c>
      <c r="C941" s="57">
        <v>0</v>
      </c>
      <c r="D941" s="57">
        <v>19271.222100000003</v>
      </c>
      <c r="E941" s="57">
        <v>20892.0292205894</v>
      </c>
      <c r="F941" s="57">
        <v>28511.425800000001</v>
      </c>
      <c r="G941" s="57">
        <v>25564.736365024095</v>
      </c>
      <c r="H941" s="58">
        <v>8.4105051157570276E-2</v>
      </c>
      <c r="I941" s="58">
        <v>-0.10335117772243807</v>
      </c>
      <c r="J941" s="58">
        <v>-2.7748196733703989E-2</v>
      </c>
    </row>
    <row r="942" spans="1:10" ht="11.25" customHeight="1" x14ac:dyDescent="0.2">
      <c r="A942" s="67">
        <v>43983</v>
      </c>
      <c r="B942" s="57">
        <v>0</v>
      </c>
      <c r="C942" s="57">
        <v>0</v>
      </c>
      <c r="D942" s="57">
        <v>20786.309700000002</v>
      </c>
      <c r="E942" s="57">
        <v>22534.5433406956</v>
      </c>
      <c r="F942" s="57">
        <v>30752.970599999997</v>
      </c>
      <c r="G942" s="57">
        <v>27574.614870026489</v>
      </c>
      <c r="H942" s="58">
        <v>8.4105051157570276E-2</v>
      </c>
      <c r="I942" s="58">
        <v>-0.10335117772243796</v>
      </c>
      <c r="J942" s="58">
        <v>-2.7748196733703878E-2</v>
      </c>
    </row>
    <row r="943" spans="1:10" ht="11.25" customHeight="1" x14ac:dyDescent="0.2">
      <c r="A943" s="67">
        <v>44013</v>
      </c>
      <c r="B943" s="57">
        <v>0</v>
      </c>
      <c r="C943" s="57">
        <v>0</v>
      </c>
      <c r="D943" s="57">
        <v>21572.694000000003</v>
      </c>
      <c r="E943" s="57">
        <v>23387.066532476612</v>
      </c>
      <c r="F943" s="57">
        <v>31916.412</v>
      </c>
      <c r="G943" s="57">
        <v>28617.813231125449</v>
      </c>
      <c r="H943" s="58">
        <v>8.4105051157570276E-2</v>
      </c>
      <c r="I943" s="58">
        <v>-0.10335117772243796</v>
      </c>
      <c r="J943" s="58">
        <v>-2.7748196733703878E-2</v>
      </c>
    </row>
    <row r="944" spans="1:10" ht="11.25" customHeight="1" x14ac:dyDescent="0.2">
      <c r="A944" s="67">
        <v>44044</v>
      </c>
      <c r="B944" s="57">
        <v>0</v>
      </c>
      <c r="C944" s="57">
        <v>0</v>
      </c>
      <c r="D944" s="57">
        <v>21938.007000000001</v>
      </c>
      <c r="E944" s="57">
        <v>23783.104201030135</v>
      </c>
      <c r="F944" s="57">
        <v>32456.885999999999</v>
      </c>
      <c r="G944" s="57">
        <v>29102.428606697089</v>
      </c>
      <c r="H944" s="58">
        <v>8.4105051157570276E-2</v>
      </c>
      <c r="I944" s="58">
        <v>-0.10335117772243796</v>
      </c>
      <c r="J944" s="58">
        <v>-2.7748196733703767E-2</v>
      </c>
    </row>
    <row r="945" spans="1:10" ht="11.25" customHeight="1" x14ac:dyDescent="0.2">
      <c r="A945" s="67">
        <v>44075</v>
      </c>
      <c r="B945" s="57">
        <v>0</v>
      </c>
      <c r="C945" s="57">
        <v>0</v>
      </c>
      <c r="D945" s="57">
        <v>21938.007000000001</v>
      </c>
      <c r="E945" s="57">
        <v>23783.104201030135</v>
      </c>
      <c r="F945" s="57">
        <v>32456.885999999999</v>
      </c>
      <c r="G945" s="57">
        <v>29102.428606697089</v>
      </c>
      <c r="H945" s="58">
        <v>8.4105051157570276E-2</v>
      </c>
      <c r="I945" s="58">
        <v>-0.10335117772243796</v>
      </c>
      <c r="J945" s="58">
        <v>-2.7748196733703767E-2</v>
      </c>
    </row>
    <row r="946" spans="1:10" ht="11.25" customHeight="1" x14ac:dyDescent="0.2">
      <c r="A946" s="63" t="s">
        <v>30</v>
      </c>
      <c r="B946" s="57">
        <v>0</v>
      </c>
      <c r="C946" s="57">
        <v>0</v>
      </c>
      <c r="D946" s="57">
        <v>812560.72471999994</v>
      </c>
      <c r="E946" s="57">
        <v>880889.73222974176</v>
      </c>
      <c r="F946" s="57">
        <v>1202163.8828000003</v>
      </c>
      <c r="G946" s="57">
        <v>1077909.356402609</v>
      </c>
      <c r="H946" s="58">
        <v>8.4090955212346996E-2</v>
      </c>
      <c r="I946" s="58">
        <v>-0.10335905792476963</v>
      </c>
      <c r="J946" s="58">
        <v>-2.7758393717387753E-2</v>
      </c>
    </row>
    <row r="947" spans="1:10" ht="11.25" customHeight="1" x14ac:dyDescent="0.2">
      <c r="A947" s="64" t="s">
        <v>25</v>
      </c>
      <c r="B947" s="57">
        <v>0</v>
      </c>
      <c r="C947" s="57">
        <v>0</v>
      </c>
      <c r="D947" s="57">
        <v>812560.72471999994</v>
      </c>
      <c r="E947" s="57">
        <v>880889.73222974176</v>
      </c>
      <c r="F947" s="57">
        <v>1202163.8828000003</v>
      </c>
      <c r="G947" s="57">
        <v>1077909.356402609</v>
      </c>
      <c r="H947" s="58">
        <v>8.4090955212346996E-2</v>
      </c>
      <c r="I947" s="58">
        <v>-0.10335905792476963</v>
      </c>
      <c r="J947" s="58">
        <v>-2.7758393717387753E-2</v>
      </c>
    </row>
    <row r="948" spans="1:10" ht="11.25" customHeight="1" x14ac:dyDescent="0.2">
      <c r="A948" s="65" t="s">
        <v>25</v>
      </c>
      <c r="B948" s="57">
        <v>0</v>
      </c>
      <c r="C948" s="57">
        <v>0</v>
      </c>
      <c r="D948" s="57">
        <v>812560.72471999994</v>
      </c>
      <c r="E948" s="57">
        <v>880889.73222974176</v>
      </c>
      <c r="F948" s="57">
        <v>1202163.8828000003</v>
      </c>
      <c r="G948" s="57">
        <v>1077909.356402609</v>
      </c>
      <c r="H948" s="58">
        <v>8.4090955212346996E-2</v>
      </c>
      <c r="I948" s="58">
        <v>-0.10335905792476963</v>
      </c>
      <c r="J948" s="58">
        <v>-2.7758393717387753E-2</v>
      </c>
    </row>
    <row r="949" spans="1:10" ht="11.25" customHeight="1" x14ac:dyDescent="0.2">
      <c r="A949" s="66" t="s">
        <v>25</v>
      </c>
      <c r="B949" s="57">
        <v>0</v>
      </c>
      <c r="C949" s="57">
        <v>0</v>
      </c>
      <c r="D949" s="57">
        <v>812560.72471999994</v>
      </c>
      <c r="E949" s="57">
        <v>880889.73222974176</v>
      </c>
      <c r="F949" s="57">
        <v>1202163.8828000003</v>
      </c>
      <c r="G949" s="57">
        <v>1077909.356402609</v>
      </c>
      <c r="H949" s="58">
        <v>8.4090955212346996E-2</v>
      </c>
      <c r="I949" s="58">
        <v>-0.10335905792476963</v>
      </c>
      <c r="J949" s="58">
        <v>-2.7758393717387753E-2</v>
      </c>
    </row>
    <row r="950" spans="1:10" ht="11.25" customHeight="1" x14ac:dyDescent="0.2">
      <c r="A950" s="67">
        <v>43739</v>
      </c>
      <c r="B950" s="57">
        <v>0</v>
      </c>
      <c r="C950" s="57">
        <v>0</v>
      </c>
      <c r="D950" s="57">
        <v>59783.453229999999</v>
      </c>
      <c r="E950" s="57">
        <v>64810.700918003386</v>
      </c>
      <c r="F950" s="57">
        <v>88448.168949999992</v>
      </c>
      <c r="G950" s="57">
        <v>79306.249532157148</v>
      </c>
      <c r="H950" s="58">
        <v>8.4090955212347218E-2</v>
      </c>
      <c r="I950" s="58">
        <v>-0.1033590579247694</v>
      </c>
      <c r="J950" s="58">
        <v>-2.775839371738742E-2</v>
      </c>
    </row>
    <row r="951" spans="1:10" ht="11.25" customHeight="1" x14ac:dyDescent="0.2">
      <c r="A951" s="67">
        <v>43770</v>
      </c>
      <c r="B951" s="57">
        <v>0</v>
      </c>
      <c r="C951" s="57">
        <v>0</v>
      </c>
      <c r="D951" s="57">
        <v>62290.686630000004</v>
      </c>
      <c r="E951" s="57">
        <v>67528.769969549685</v>
      </c>
      <c r="F951" s="57">
        <v>92157.559949999995</v>
      </c>
      <c r="G951" s="57">
        <v>82632.241372922537</v>
      </c>
      <c r="H951" s="58">
        <v>8.4090955212347218E-2</v>
      </c>
      <c r="I951" s="58">
        <v>-0.1033590579247694</v>
      </c>
      <c r="J951" s="58">
        <v>-2.7758393717387531E-2</v>
      </c>
    </row>
    <row r="952" spans="1:10" ht="11.25" customHeight="1" x14ac:dyDescent="0.2">
      <c r="A952" s="67">
        <v>43800</v>
      </c>
      <c r="B952" s="57">
        <v>0</v>
      </c>
      <c r="C952" s="57">
        <v>0</v>
      </c>
      <c r="D952" s="57">
        <v>61740.347800000003</v>
      </c>
      <c r="E952" s="57">
        <v>66932.152621644535</v>
      </c>
      <c r="F952" s="57">
        <v>91343.346999999994</v>
      </c>
      <c r="G952" s="57">
        <v>81902.18470638468</v>
      </c>
      <c r="H952" s="58">
        <v>8.4090955212346996E-2</v>
      </c>
      <c r="I952" s="58">
        <v>-0.1033590579247694</v>
      </c>
      <c r="J952" s="58">
        <v>-2.7758393717387531E-2</v>
      </c>
    </row>
    <row r="953" spans="1:10" ht="11.25" customHeight="1" x14ac:dyDescent="0.2">
      <c r="A953" s="67">
        <v>43831</v>
      </c>
      <c r="B953" s="57">
        <v>0</v>
      </c>
      <c r="C953" s="57">
        <v>0</v>
      </c>
      <c r="D953" s="57">
        <v>62882.666190000004</v>
      </c>
      <c r="E953" s="57">
        <v>68170.529656216269</v>
      </c>
      <c r="F953" s="57">
        <v>93033.379350000003</v>
      </c>
      <c r="G953" s="57">
        <v>83417.536904826295</v>
      </c>
      <c r="H953" s="58">
        <v>8.4090955212347218E-2</v>
      </c>
      <c r="I953" s="58">
        <v>-0.10335905792476952</v>
      </c>
      <c r="J953" s="58">
        <v>-2.7758393717387642E-2</v>
      </c>
    </row>
    <row r="954" spans="1:10" ht="11.25" customHeight="1" x14ac:dyDescent="0.2">
      <c r="A954" s="67">
        <v>43862</v>
      </c>
      <c r="B954" s="57">
        <v>0</v>
      </c>
      <c r="C954" s="57">
        <v>0</v>
      </c>
      <c r="D954" s="57">
        <v>62040.842249999994</v>
      </c>
      <c r="E954" s="57">
        <v>67257.915936981051</v>
      </c>
      <c r="F954" s="57">
        <v>91787.921249999999</v>
      </c>
      <c r="G954" s="57">
        <v>82300.808180727065</v>
      </c>
      <c r="H954" s="58">
        <v>8.409095521234744E-2</v>
      </c>
      <c r="I954" s="58">
        <v>-0.10335905792476952</v>
      </c>
      <c r="J954" s="58">
        <v>-2.7758393717387531E-2</v>
      </c>
    </row>
    <row r="955" spans="1:10" ht="11.25" customHeight="1" x14ac:dyDescent="0.2">
      <c r="A955" s="67">
        <v>43891</v>
      </c>
      <c r="B955" s="57">
        <v>0</v>
      </c>
      <c r="C955" s="57">
        <v>0</v>
      </c>
      <c r="D955" s="57">
        <v>58569.719339999996</v>
      </c>
      <c r="E955" s="57">
        <v>63494.902985819681</v>
      </c>
      <c r="F955" s="57">
        <v>86652.479099999997</v>
      </c>
      <c r="G955" s="57">
        <v>77696.160493378222</v>
      </c>
      <c r="H955" s="58">
        <v>8.4090955212347218E-2</v>
      </c>
      <c r="I955" s="58">
        <v>-0.10335905792476952</v>
      </c>
      <c r="J955" s="58">
        <v>-2.7758393717387531E-2</v>
      </c>
    </row>
    <row r="956" spans="1:10" ht="11.25" customHeight="1" x14ac:dyDescent="0.2">
      <c r="A956" s="67">
        <v>43922</v>
      </c>
      <c r="B956" s="57">
        <v>0</v>
      </c>
      <c r="C956" s="57">
        <v>0</v>
      </c>
      <c r="D956" s="57">
        <v>59158.183060000003</v>
      </c>
      <c r="E956" s="57">
        <v>64132.851182142294</v>
      </c>
      <c r="F956" s="57">
        <v>87523.09689999999</v>
      </c>
      <c r="G956" s="57">
        <v>78476.792057757688</v>
      </c>
      <c r="H956" s="58">
        <v>8.4090955212346996E-2</v>
      </c>
      <c r="I956" s="58">
        <v>-0.1033590579247694</v>
      </c>
      <c r="J956" s="58">
        <v>-2.775839371738742E-2</v>
      </c>
    </row>
    <row r="957" spans="1:10" ht="11.25" customHeight="1" x14ac:dyDescent="0.2">
      <c r="A957" s="67">
        <v>43952</v>
      </c>
      <c r="B957" s="57">
        <v>0</v>
      </c>
      <c r="C957" s="57">
        <v>0</v>
      </c>
      <c r="D957" s="57">
        <v>70493.580830000006</v>
      </c>
      <c r="E957" s="57">
        <v>76421.453378333521</v>
      </c>
      <c r="F957" s="57">
        <v>104293.54295</v>
      </c>
      <c r="G957" s="57">
        <v>93513.860603051537</v>
      </c>
      <c r="H957" s="58">
        <v>8.4090955212347218E-2</v>
      </c>
      <c r="I957" s="58">
        <v>-0.10335905792476929</v>
      </c>
      <c r="J957" s="58">
        <v>-2.775839371738742E-2</v>
      </c>
    </row>
    <row r="958" spans="1:10" ht="11.25" customHeight="1" x14ac:dyDescent="0.2">
      <c r="A958" s="67">
        <v>43983</v>
      </c>
      <c r="B958" s="57">
        <v>0</v>
      </c>
      <c r="C958" s="57">
        <v>0</v>
      </c>
      <c r="D958" s="57">
        <v>75135.148849999998</v>
      </c>
      <c r="E958" s="57">
        <v>81453.335286818401</v>
      </c>
      <c r="F958" s="57">
        <v>111160.63025</v>
      </c>
      <c r="G958" s="57">
        <v>99671.172229036383</v>
      </c>
      <c r="H958" s="58">
        <v>8.409095521234744E-2</v>
      </c>
      <c r="I958" s="58">
        <v>-0.1033590579247694</v>
      </c>
      <c r="J958" s="58">
        <v>-2.7758393717387198E-2</v>
      </c>
    </row>
    <row r="959" spans="1:10" ht="11.25" customHeight="1" x14ac:dyDescent="0.2">
      <c r="A959" s="67">
        <v>44013</v>
      </c>
      <c r="B959" s="57">
        <v>0</v>
      </c>
      <c r="C959" s="57">
        <v>0</v>
      </c>
      <c r="D959" s="57">
        <v>78523.429780000006</v>
      </c>
      <c r="E959" s="57">
        <v>85126.539996749867</v>
      </c>
      <c r="F959" s="57">
        <v>116173.5097</v>
      </c>
      <c r="G959" s="57">
        <v>104165.92518159395</v>
      </c>
      <c r="H959" s="58">
        <v>8.4090955212346996E-2</v>
      </c>
      <c r="I959" s="58">
        <v>-0.10335905792476929</v>
      </c>
      <c r="J959" s="58">
        <v>-2.775839371738742E-2</v>
      </c>
    </row>
    <row r="960" spans="1:10" ht="11.25" customHeight="1" x14ac:dyDescent="0.2">
      <c r="A960" s="67">
        <v>44044</v>
      </c>
      <c r="B960" s="57">
        <v>0</v>
      </c>
      <c r="C960" s="57">
        <v>0</v>
      </c>
      <c r="D960" s="57">
        <v>80971.333380000011</v>
      </c>
      <c r="E960" s="57">
        <v>87780.290148741624</v>
      </c>
      <c r="F960" s="57">
        <v>119795.12370000001</v>
      </c>
      <c r="G960" s="57">
        <v>107413.21257038678</v>
      </c>
      <c r="H960" s="58">
        <v>8.4090955212347218E-2</v>
      </c>
      <c r="I960" s="58">
        <v>-0.10335905792476952</v>
      </c>
      <c r="J960" s="58">
        <v>-2.7758393717387531E-2</v>
      </c>
    </row>
    <row r="961" spans="1:10" ht="11.25" customHeight="1" x14ac:dyDescent="0.2">
      <c r="A961" s="67">
        <v>44075</v>
      </c>
      <c r="B961" s="57">
        <v>0</v>
      </c>
      <c r="C961" s="57">
        <v>0</v>
      </c>
      <c r="D961" s="57">
        <v>80971.333380000011</v>
      </c>
      <c r="E961" s="57">
        <v>87780.290148741624</v>
      </c>
      <c r="F961" s="57">
        <v>119795.12370000001</v>
      </c>
      <c r="G961" s="57">
        <v>107413.21257038678</v>
      </c>
      <c r="H961" s="58">
        <v>8.4090955212347218E-2</v>
      </c>
      <c r="I961" s="58">
        <v>-0.10335905792476952</v>
      </c>
      <c r="J961" s="58">
        <v>-2.7758393717387531E-2</v>
      </c>
    </row>
    <row r="962" spans="1:10" ht="11.25" customHeight="1" x14ac:dyDescent="0.2">
      <c r="A962" s="63" t="s">
        <v>31</v>
      </c>
      <c r="B962" s="57">
        <v>0</v>
      </c>
      <c r="C962" s="57">
        <v>0</v>
      </c>
      <c r="D962" s="57">
        <v>1202348.4464100001</v>
      </c>
      <c r="E962" s="57">
        <v>1303415.5315923232</v>
      </c>
      <c r="F962" s="57">
        <v>1778827.8726299999</v>
      </c>
      <c r="G962" s="57">
        <v>1594937.1929078426</v>
      </c>
      <c r="H962" s="58">
        <v>8.4058066098968043E-2</v>
      </c>
      <c r="I962" s="58">
        <v>-0.10337744452490216</v>
      </c>
      <c r="J962" s="58">
        <v>-2.7782185847533225E-2</v>
      </c>
    </row>
    <row r="963" spans="1:10" ht="11.25" customHeight="1" x14ac:dyDescent="0.2">
      <c r="A963" s="64" t="s">
        <v>25</v>
      </c>
      <c r="B963" s="57">
        <v>0</v>
      </c>
      <c r="C963" s="57">
        <v>0</v>
      </c>
      <c r="D963" s="57">
        <v>1202348.4464100001</v>
      </c>
      <c r="E963" s="57">
        <v>1303415.5315923232</v>
      </c>
      <c r="F963" s="57">
        <v>1778827.8726299999</v>
      </c>
      <c r="G963" s="57">
        <v>1594937.1929078426</v>
      </c>
      <c r="H963" s="58">
        <v>8.4058066098968043E-2</v>
      </c>
      <c r="I963" s="58">
        <v>-0.10337744452490216</v>
      </c>
      <c r="J963" s="58">
        <v>-2.7782185847533225E-2</v>
      </c>
    </row>
    <row r="964" spans="1:10" ht="11.25" customHeight="1" x14ac:dyDescent="0.2">
      <c r="A964" s="65" t="s">
        <v>25</v>
      </c>
      <c r="B964" s="57">
        <v>0</v>
      </c>
      <c r="C964" s="57">
        <v>0</v>
      </c>
      <c r="D964" s="57">
        <v>1202348.4464100001</v>
      </c>
      <c r="E964" s="57">
        <v>1303415.5315923232</v>
      </c>
      <c r="F964" s="57">
        <v>1778827.8726299999</v>
      </c>
      <c r="G964" s="57">
        <v>1594937.1929078426</v>
      </c>
      <c r="H964" s="58">
        <v>8.4058066098968043E-2</v>
      </c>
      <c r="I964" s="58">
        <v>-0.10337744452490216</v>
      </c>
      <c r="J964" s="58">
        <v>-2.7782185847533225E-2</v>
      </c>
    </row>
    <row r="965" spans="1:10" ht="11.25" customHeight="1" x14ac:dyDescent="0.2">
      <c r="A965" s="66" t="s">
        <v>25</v>
      </c>
      <c r="B965" s="57">
        <v>0</v>
      </c>
      <c r="C965" s="57">
        <v>0</v>
      </c>
      <c r="D965" s="57">
        <v>1202348.4464100001</v>
      </c>
      <c r="E965" s="57">
        <v>1303415.5315923232</v>
      </c>
      <c r="F965" s="57">
        <v>1778827.8726299999</v>
      </c>
      <c r="G965" s="57">
        <v>1594937.1929078426</v>
      </c>
      <c r="H965" s="58">
        <v>8.4058066098968043E-2</v>
      </c>
      <c r="I965" s="58">
        <v>-0.10337744452490216</v>
      </c>
      <c r="J965" s="58">
        <v>-2.7782185847533225E-2</v>
      </c>
    </row>
    <row r="966" spans="1:10" ht="11.25" customHeight="1" x14ac:dyDescent="0.2">
      <c r="A966" s="67">
        <v>43739</v>
      </c>
      <c r="B966" s="57">
        <v>0</v>
      </c>
      <c r="C966" s="57">
        <v>0</v>
      </c>
      <c r="D966" s="57">
        <v>86109.104749999999</v>
      </c>
      <c r="E966" s="57">
        <v>93347.269568798452</v>
      </c>
      <c r="F966" s="57">
        <v>127395.07925</v>
      </c>
      <c r="G966" s="57">
        <v>114225.30151208762</v>
      </c>
      <c r="H966" s="58">
        <v>8.4058066098968043E-2</v>
      </c>
      <c r="I966" s="58">
        <v>-0.10337744452490205</v>
      </c>
      <c r="J966" s="58">
        <v>-2.7782185847533336E-2</v>
      </c>
    </row>
    <row r="967" spans="1:10" ht="11.25" customHeight="1" x14ac:dyDescent="0.2">
      <c r="A967" s="67">
        <v>43770</v>
      </c>
      <c r="B967" s="57">
        <v>0</v>
      </c>
      <c r="C967" s="57">
        <v>0</v>
      </c>
      <c r="D967" s="57">
        <v>97615.314899999998</v>
      </c>
      <c r="E967" s="57">
        <v>105820.66949213577</v>
      </c>
      <c r="F967" s="57">
        <v>144418.07070000001</v>
      </c>
      <c r="G967" s="57">
        <v>129488.49960781737</v>
      </c>
      <c r="H967" s="58">
        <v>8.4058066098968043E-2</v>
      </c>
      <c r="I967" s="58">
        <v>-0.10337744452490205</v>
      </c>
      <c r="J967" s="58">
        <v>-2.7782185847533225E-2</v>
      </c>
    </row>
    <row r="968" spans="1:10" ht="11.25" customHeight="1" x14ac:dyDescent="0.2">
      <c r="A968" s="67">
        <v>43800</v>
      </c>
      <c r="B968" s="57">
        <v>0</v>
      </c>
      <c r="C968" s="57">
        <v>0</v>
      </c>
      <c r="D968" s="57">
        <v>82003.028409999999</v>
      </c>
      <c r="E968" s="57">
        <v>88896.044392403317</v>
      </c>
      <c r="F968" s="57">
        <v>121320.29863</v>
      </c>
      <c r="G968" s="57">
        <v>108778.51618863262</v>
      </c>
      <c r="H968" s="58">
        <v>8.4058066098967821E-2</v>
      </c>
      <c r="I968" s="58">
        <v>-0.10337744452490205</v>
      </c>
      <c r="J968" s="58">
        <v>-2.7782185847533225E-2</v>
      </c>
    </row>
    <row r="969" spans="1:10" ht="11.25" customHeight="1" x14ac:dyDescent="0.2">
      <c r="A969" s="67">
        <v>43831</v>
      </c>
      <c r="B969" s="57">
        <v>0</v>
      </c>
      <c r="C969" s="57">
        <v>0</v>
      </c>
      <c r="D969" s="57">
        <v>94372.183720000001</v>
      </c>
      <c r="E969" s="57">
        <v>102304.92697703969</v>
      </c>
      <c r="F969" s="57">
        <v>139619.98396000001</v>
      </c>
      <c r="G969" s="57">
        <v>125186.42681360738</v>
      </c>
      <c r="H969" s="58">
        <v>8.4058066098967821E-2</v>
      </c>
      <c r="I969" s="58">
        <v>-0.10337744452490216</v>
      </c>
      <c r="J969" s="58">
        <v>-2.7782185847533336E-2</v>
      </c>
    </row>
    <row r="970" spans="1:10" ht="11.25" customHeight="1" x14ac:dyDescent="0.2">
      <c r="A970" s="67">
        <v>43862</v>
      </c>
      <c r="B970" s="57">
        <v>0</v>
      </c>
      <c r="C970" s="57">
        <v>0</v>
      </c>
      <c r="D970" s="57">
        <v>83072.645309999993</v>
      </c>
      <c r="E970" s="57">
        <v>90055.571220484097</v>
      </c>
      <c r="F970" s="57">
        <v>122902.75533</v>
      </c>
      <c r="G970" s="57">
        <v>110197.38255891531</v>
      </c>
      <c r="H970" s="58">
        <v>8.4058066098968043E-2</v>
      </c>
      <c r="I970" s="58">
        <v>-0.10337744452490205</v>
      </c>
      <c r="J970" s="58">
        <v>-2.7782185847533336E-2</v>
      </c>
    </row>
    <row r="971" spans="1:10" ht="11.25" customHeight="1" x14ac:dyDescent="0.2">
      <c r="A971" s="67">
        <v>43891</v>
      </c>
      <c r="B971" s="57">
        <v>0</v>
      </c>
      <c r="C971" s="57">
        <v>0</v>
      </c>
      <c r="D971" s="57">
        <v>81556.06369000001</v>
      </c>
      <c r="E971" s="57">
        <v>88411.508682425658</v>
      </c>
      <c r="F971" s="57">
        <v>120659.03167000001</v>
      </c>
      <c r="G971" s="57">
        <v>108185.60931710617</v>
      </c>
      <c r="H971" s="58">
        <v>8.4058066098967821E-2</v>
      </c>
      <c r="I971" s="58">
        <v>-0.10337744452490216</v>
      </c>
      <c r="J971" s="58">
        <v>-2.7782185847533447E-2</v>
      </c>
    </row>
    <row r="972" spans="1:10" ht="11.25" customHeight="1" x14ac:dyDescent="0.2">
      <c r="A972" s="67">
        <v>43922</v>
      </c>
      <c r="B972" s="57">
        <v>0</v>
      </c>
      <c r="C972" s="57">
        <v>0</v>
      </c>
      <c r="D972" s="57">
        <v>92760.67154000001</v>
      </c>
      <c r="E972" s="57">
        <v>100557.95419969398</v>
      </c>
      <c r="F972" s="57">
        <v>137235.81422</v>
      </c>
      <c r="G972" s="57">
        <v>123048.72644864219</v>
      </c>
      <c r="H972" s="58">
        <v>8.4058066098967821E-2</v>
      </c>
      <c r="I972" s="58">
        <v>-0.10337744452490205</v>
      </c>
      <c r="J972" s="58">
        <v>-2.7782185847533114E-2</v>
      </c>
    </row>
    <row r="973" spans="1:10" ht="11.25" customHeight="1" x14ac:dyDescent="0.2">
      <c r="A973" s="67">
        <v>43952</v>
      </c>
      <c r="B973" s="57">
        <v>0</v>
      </c>
      <c r="C973" s="57">
        <v>0</v>
      </c>
      <c r="D973" s="57">
        <v>108845.30349000001</v>
      </c>
      <c r="E973" s="57">
        <v>117994.62920532464</v>
      </c>
      <c r="F973" s="57">
        <v>161032.40307000003</v>
      </c>
      <c r="G973" s="57">
        <v>144385.28475491941</v>
      </c>
      <c r="H973" s="58">
        <v>8.4058066098967821E-2</v>
      </c>
      <c r="I973" s="58">
        <v>-0.10337744452490216</v>
      </c>
      <c r="J973" s="58">
        <v>-2.7782185847533336E-2</v>
      </c>
    </row>
    <row r="974" spans="1:10" ht="11.25" customHeight="1" x14ac:dyDescent="0.2">
      <c r="A974" s="67">
        <v>43983</v>
      </c>
      <c r="B974" s="57">
        <v>0</v>
      </c>
      <c r="C974" s="57">
        <v>0</v>
      </c>
      <c r="D974" s="57">
        <v>104256.66347</v>
      </c>
      <c r="E974" s="57">
        <v>113020.2769792191</v>
      </c>
      <c r="F974" s="57">
        <v>154243.68820999999</v>
      </c>
      <c r="G974" s="57">
        <v>138298.36988875442</v>
      </c>
      <c r="H974" s="58">
        <v>8.4058066098967821E-2</v>
      </c>
      <c r="I974" s="58">
        <v>-0.10337744452490216</v>
      </c>
      <c r="J974" s="58">
        <v>-2.7782185847533336E-2</v>
      </c>
    </row>
    <row r="975" spans="1:10" ht="11.25" customHeight="1" x14ac:dyDescent="0.2">
      <c r="A975" s="67">
        <v>44013</v>
      </c>
      <c r="B975" s="57">
        <v>0</v>
      </c>
      <c r="C975" s="57">
        <v>0</v>
      </c>
      <c r="D975" s="57">
        <v>114100.76476999999</v>
      </c>
      <c r="E975" s="57">
        <v>123691.85439697944</v>
      </c>
      <c r="F975" s="57">
        <v>168807.65411</v>
      </c>
      <c r="G975" s="57">
        <v>151356.75021186462</v>
      </c>
      <c r="H975" s="58">
        <v>8.4058066098967821E-2</v>
      </c>
      <c r="I975" s="58">
        <v>-0.10337744452490205</v>
      </c>
      <c r="J975" s="58">
        <v>-2.7782185847533336E-2</v>
      </c>
    </row>
    <row r="976" spans="1:10" ht="11.25" customHeight="1" x14ac:dyDescent="0.2">
      <c r="A976" s="67">
        <v>44044</v>
      </c>
      <c r="B976" s="57">
        <v>0</v>
      </c>
      <c r="C976" s="57">
        <v>0</v>
      </c>
      <c r="D976" s="57">
        <v>128828.35118</v>
      </c>
      <c r="E976" s="57">
        <v>139657.41323890947</v>
      </c>
      <c r="F976" s="57">
        <v>190596.54673999999</v>
      </c>
      <c r="G976" s="57">
        <v>170893.16280274774</v>
      </c>
      <c r="H976" s="58">
        <v>8.4058066098967821E-2</v>
      </c>
      <c r="I976" s="58">
        <v>-0.10337744452490205</v>
      </c>
      <c r="J976" s="58">
        <v>-2.7782185847533225E-2</v>
      </c>
    </row>
    <row r="977" spans="1:10" ht="11.25" customHeight="1" x14ac:dyDescent="0.2">
      <c r="A977" s="67">
        <v>44075</v>
      </c>
      <c r="B977" s="57">
        <v>0</v>
      </c>
      <c r="C977" s="57">
        <v>0</v>
      </c>
      <c r="D977" s="57">
        <v>128828.35118</v>
      </c>
      <c r="E977" s="57">
        <v>139657.41323890947</v>
      </c>
      <c r="F977" s="57">
        <v>190596.54673999999</v>
      </c>
      <c r="G977" s="57">
        <v>170893.16280274774</v>
      </c>
      <c r="H977" s="58">
        <v>8.4058066098967821E-2</v>
      </c>
      <c r="I977" s="58">
        <v>-0.10337744452490205</v>
      </c>
      <c r="J977" s="58">
        <v>-2.7782185847533225E-2</v>
      </c>
    </row>
    <row r="978" spans="1:10" ht="11.25" customHeight="1" x14ac:dyDescent="0.2">
      <c r="A978" s="63" t="s">
        <v>32</v>
      </c>
      <c r="B978" s="57">
        <v>0</v>
      </c>
      <c r="C978" s="57">
        <v>0</v>
      </c>
      <c r="D978" s="57">
        <v>476552.5867199999</v>
      </c>
      <c r="E978" s="57">
        <v>516616.94479684508</v>
      </c>
      <c r="F978" s="57">
        <v>705043.8335200001</v>
      </c>
      <c r="G978" s="57">
        <v>632163.38901247992</v>
      </c>
      <c r="H978" s="58">
        <v>8.407122150484736E-2</v>
      </c>
      <c r="I978" s="58">
        <v>-0.10337008997533881</v>
      </c>
      <c r="J978" s="58">
        <v>-2.7772669135210704E-2</v>
      </c>
    </row>
    <row r="979" spans="1:10" ht="11.25" customHeight="1" x14ac:dyDescent="0.2">
      <c r="A979" s="64" t="s">
        <v>25</v>
      </c>
      <c r="B979" s="57">
        <v>0</v>
      </c>
      <c r="C979" s="57">
        <v>0</v>
      </c>
      <c r="D979" s="57">
        <v>476552.5867199999</v>
      </c>
      <c r="E979" s="57">
        <v>516616.94479684508</v>
      </c>
      <c r="F979" s="57">
        <v>705043.8335200001</v>
      </c>
      <c r="G979" s="57">
        <v>632163.38901247992</v>
      </c>
      <c r="H979" s="58">
        <v>8.407122150484736E-2</v>
      </c>
      <c r="I979" s="58">
        <v>-0.10337008997533881</v>
      </c>
      <c r="J979" s="58">
        <v>-2.7772669135210704E-2</v>
      </c>
    </row>
    <row r="980" spans="1:10" ht="11.25" customHeight="1" x14ac:dyDescent="0.2">
      <c r="A980" s="65" t="s">
        <v>25</v>
      </c>
      <c r="B980" s="57">
        <v>0</v>
      </c>
      <c r="C980" s="57">
        <v>0</v>
      </c>
      <c r="D980" s="57">
        <v>476552.5867199999</v>
      </c>
      <c r="E980" s="57">
        <v>516616.94479684508</v>
      </c>
      <c r="F980" s="57">
        <v>705043.8335200001</v>
      </c>
      <c r="G980" s="57">
        <v>632163.38901247992</v>
      </c>
      <c r="H980" s="58">
        <v>8.407122150484736E-2</v>
      </c>
      <c r="I980" s="58">
        <v>-0.10337008997533881</v>
      </c>
      <c r="J980" s="58">
        <v>-2.7772669135210704E-2</v>
      </c>
    </row>
    <row r="981" spans="1:10" ht="11.25" customHeight="1" x14ac:dyDescent="0.2">
      <c r="A981" s="66" t="s">
        <v>25</v>
      </c>
      <c r="B981" s="57">
        <v>0</v>
      </c>
      <c r="C981" s="57">
        <v>0</v>
      </c>
      <c r="D981" s="57">
        <v>476552.5867199999</v>
      </c>
      <c r="E981" s="57">
        <v>516616.94479684508</v>
      </c>
      <c r="F981" s="57">
        <v>705043.8335200001</v>
      </c>
      <c r="G981" s="57">
        <v>632163.38901247992</v>
      </c>
      <c r="H981" s="58">
        <v>8.407122150484736E-2</v>
      </c>
      <c r="I981" s="58">
        <v>-0.10337008997533881</v>
      </c>
      <c r="J981" s="58">
        <v>-2.7772669135210704E-2</v>
      </c>
    </row>
    <row r="982" spans="1:10" ht="11.25" customHeight="1" x14ac:dyDescent="0.2">
      <c r="A982" s="67">
        <v>43739</v>
      </c>
      <c r="B982" s="57">
        <v>0</v>
      </c>
      <c r="C982" s="57">
        <v>0</v>
      </c>
      <c r="D982" s="57">
        <v>34405.684320000008</v>
      </c>
      <c r="E982" s="57">
        <v>37298.212227492579</v>
      </c>
      <c r="F982" s="57">
        <v>50902.075120000001</v>
      </c>
      <c r="G982" s="57">
        <v>45640.323034914152</v>
      </c>
      <c r="H982" s="58">
        <v>8.407122150484736E-2</v>
      </c>
      <c r="I982" s="58">
        <v>-0.1033700899753387</v>
      </c>
      <c r="J982" s="58">
        <v>-2.7772669135210815E-2</v>
      </c>
    </row>
    <row r="983" spans="1:10" ht="11.25" customHeight="1" x14ac:dyDescent="0.2">
      <c r="A983" s="67">
        <v>43770</v>
      </c>
      <c r="B983" s="57">
        <v>0</v>
      </c>
      <c r="C983" s="57">
        <v>0</v>
      </c>
      <c r="D983" s="57">
        <v>43383.691679999996</v>
      </c>
      <c r="E983" s="57">
        <v>47031.011632927286</v>
      </c>
      <c r="F983" s="57">
        <v>64184.740880000005</v>
      </c>
      <c r="G983" s="57">
        <v>57549.958440190596</v>
      </c>
      <c r="H983" s="58">
        <v>8.4071221504847582E-2</v>
      </c>
      <c r="I983" s="58">
        <v>-0.10337008997533881</v>
      </c>
      <c r="J983" s="58">
        <v>-2.7772669135210926E-2</v>
      </c>
    </row>
    <row r="984" spans="1:10" ht="11.25" customHeight="1" x14ac:dyDescent="0.2">
      <c r="A984" s="67">
        <v>43800</v>
      </c>
      <c r="B984" s="57">
        <v>0</v>
      </c>
      <c r="C984" s="57">
        <v>0</v>
      </c>
      <c r="D984" s="57">
        <v>27344.76024</v>
      </c>
      <c r="E984" s="57">
        <v>29643.667635133985</v>
      </c>
      <c r="F984" s="57">
        <v>40455.670839999999</v>
      </c>
      <c r="G984" s="57">
        <v>36273.764505256513</v>
      </c>
      <c r="H984" s="58">
        <v>8.407122150484736E-2</v>
      </c>
      <c r="I984" s="58">
        <v>-0.1033700899753387</v>
      </c>
      <c r="J984" s="58">
        <v>-2.7772669135210593E-2</v>
      </c>
    </row>
    <row r="985" spans="1:10" ht="11.25" customHeight="1" x14ac:dyDescent="0.2">
      <c r="A985" s="67">
        <v>43831</v>
      </c>
      <c r="B985" s="57">
        <v>0</v>
      </c>
      <c r="C985" s="57">
        <v>0</v>
      </c>
      <c r="D985" s="57">
        <v>40263.876240000005</v>
      </c>
      <c r="E985" s="57">
        <v>43648.909498016801</v>
      </c>
      <c r="F985" s="57">
        <v>59569.076840000002</v>
      </c>
      <c r="G985" s="57">
        <v>53411.416007301341</v>
      </c>
      <c r="H985" s="58">
        <v>8.4071221504847138E-2</v>
      </c>
      <c r="I985" s="58">
        <v>-0.10337008997533859</v>
      </c>
      <c r="J985" s="58">
        <v>-2.7772669135210704E-2</v>
      </c>
    </row>
    <row r="986" spans="1:10" ht="11.25" customHeight="1" x14ac:dyDescent="0.2">
      <c r="A986" s="67">
        <v>43862</v>
      </c>
      <c r="B986" s="57">
        <v>0</v>
      </c>
      <c r="C986" s="57">
        <v>0</v>
      </c>
      <c r="D986" s="57">
        <v>28243.879440000001</v>
      </c>
      <c r="E986" s="57">
        <v>30618.376884556445</v>
      </c>
      <c r="F986" s="57">
        <v>41785.888039999998</v>
      </c>
      <c r="G986" s="57">
        <v>37466.47703360577</v>
      </c>
      <c r="H986" s="58">
        <v>8.407122150484736E-2</v>
      </c>
      <c r="I986" s="58">
        <v>-0.1033700899753387</v>
      </c>
      <c r="J986" s="58">
        <v>-2.7772669135210704E-2</v>
      </c>
    </row>
    <row r="987" spans="1:10" ht="11.25" customHeight="1" x14ac:dyDescent="0.2">
      <c r="A987" s="67">
        <v>43891</v>
      </c>
      <c r="B987" s="57">
        <v>0</v>
      </c>
      <c r="C987" s="57">
        <v>0</v>
      </c>
      <c r="D987" s="57">
        <v>29900.749200000002</v>
      </c>
      <c r="E987" s="57">
        <v>32414.541709154091</v>
      </c>
      <c r="F987" s="57">
        <v>44237.172200000001</v>
      </c>
      <c r="G987" s="57">
        <v>39664.371729431448</v>
      </c>
      <c r="H987" s="58">
        <v>8.407122150484736E-2</v>
      </c>
      <c r="I987" s="58">
        <v>-0.1033700899753387</v>
      </c>
      <c r="J987" s="58">
        <v>-2.7772669135210815E-2</v>
      </c>
    </row>
    <row r="988" spans="1:10" ht="11.25" customHeight="1" x14ac:dyDescent="0.2">
      <c r="A988" s="67">
        <v>43922</v>
      </c>
      <c r="B988" s="57">
        <v>0</v>
      </c>
      <c r="C988" s="57">
        <v>0</v>
      </c>
      <c r="D988" s="57">
        <v>41833.031519999997</v>
      </c>
      <c r="E988" s="57">
        <v>45349.985579137181</v>
      </c>
      <c r="F988" s="57">
        <v>61890.590320000003</v>
      </c>
      <c r="G988" s="57">
        <v>55492.954429994774</v>
      </c>
      <c r="H988" s="58">
        <v>8.407122150484736E-2</v>
      </c>
      <c r="I988" s="58">
        <v>-0.1033700899753387</v>
      </c>
      <c r="J988" s="58">
        <v>-2.7772669135210815E-2</v>
      </c>
    </row>
    <row r="989" spans="1:10" ht="11.25" customHeight="1" x14ac:dyDescent="0.2">
      <c r="A989" s="67">
        <v>43952</v>
      </c>
      <c r="B989" s="57">
        <v>0</v>
      </c>
      <c r="C989" s="57">
        <v>0</v>
      </c>
      <c r="D989" s="57">
        <v>44059.587599999999</v>
      </c>
      <c r="E989" s="57">
        <v>47763.730948531833</v>
      </c>
      <c r="F989" s="57">
        <v>65184.706599999998</v>
      </c>
      <c r="G989" s="57">
        <v>58446.557613741948</v>
      </c>
      <c r="H989" s="58">
        <v>8.4071221504847582E-2</v>
      </c>
      <c r="I989" s="58">
        <v>-0.10337008997533859</v>
      </c>
      <c r="J989" s="58">
        <v>-2.7772669135210704E-2</v>
      </c>
    </row>
    <row r="990" spans="1:10" ht="11.25" customHeight="1" x14ac:dyDescent="0.2">
      <c r="A990" s="67">
        <v>43983</v>
      </c>
      <c r="B990" s="57">
        <v>0</v>
      </c>
      <c r="C990" s="57">
        <v>0</v>
      </c>
      <c r="D990" s="57">
        <v>33286.637999999999</v>
      </c>
      <c r="E990" s="57">
        <v>36085.08631644967</v>
      </c>
      <c r="F990" s="57">
        <v>49246.483000000007</v>
      </c>
      <c r="G990" s="57">
        <v>44155.869621321013</v>
      </c>
      <c r="H990" s="58">
        <v>8.407122150484736E-2</v>
      </c>
      <c r="I990" s="58">
        <v>-0.10337008997533881</v>
      </c>
      <c r="J990" s="58">
        <v>-2.7772669135210815E-2</v>
      </c>
    </row>
    <row r="991" spans="1:10" ht="11.25" customHeight="1" x14ac:dyDescent="0.2">
      <c r="A991" s="67">
        <v>44013</v>
      </c>
      <c r="B991" s="57">
        <v>0</v>
      </c>
      <c r="C991" s="57">
        <v>0</v>
      </c>
      <c r="D991" s="57">
        <v>41122.159680000004</v>
      </c>
      <c r="E991" s="57">
        <v>44579.34987521499</v>
      </c>
      <c r="F991" s="57">
        <v>60838.878880000004</v>
      </c>
      <c r="G991" s="57">
        <v>54549.95849617567</v>
      </c>
      <c r="H991" s="58">
        <v>8.407122150484736E-2</v>
      </c>
      <c r="I991" s="58">
        <v>-0.1033700899753387</v>
      </c>
      <c r="J991" s="58">
        <v>-2.7772669135210926E-2</v>
      </c>
    </row>
    <row r="992" spans="1:10" ht="11.25" customHeight="1" x14ac:dyDescent="0.2">
      <c r="A992" s="67">
        <v>44044</v>
      </c>
      <c r="B992" s="57">
        <v>0</v>
      </c>
      <c r="C992" s="57">
        <v>0</v>
      </c>
      <c r="D992" s="57">
        <v>56354.2644</v>
      </c>
      <c r="E992" s="57">
        <v>61092.03624511513</v>
      </c>
      <c r="F992" s="57">
        <v>83374.275399999999</v>
      </c>
      <c r="G992" s="57">
        <v>74755.869050273337</v>
      </c>
      <c r="H992" s="58">
        <v>8.407122150484736E-2</v>
      </c>
      <c r="I992" s="58">
        <v>-0.10337008997533859</v>
      </c>
      <c r="J992" s="58">
        <v>-2.7772669135210704E-2</v>
      </c>
    </row>
    <row r="993" spans="1:10" ht="11.25" customHeight="1" x14ac:dyDescent="0.2">
      <c r="A993" s="67">
        <v>44075</v>
      </c>
      <c r="B993" s="57">
        <v>0</v>
      </c>
      <c r="C993" s="57">
        <v>0</v>
      </c>
      <c r="D993" s="57">
        <v>56354.2644</v>
      </c>
      <c r="E993" s="57">
        <v>61092.03624511513</v>
      </c>
      <c r="F993" s="57">
        <v>83374.275399999999</v>
      </c>
      <c r="G993" s="57">
        <v>74755.869050273337</v>
      </c>
      <c r="H993" s="58">
        <v>8.407122150484736E-2</v>
      </c>
      <c r="I993" s="58">
        <v>-0.10337008997533859</v>
      </c>
      <c r="J993" s="58">
        <v>-2.7772669135210704E-2</v>
      </c>
    </row>
    <row r="994" spans="1:10" ht="11.25" customHeight="1" x14ac:dyDescent="0.2">
      <c r="A994" s="60" t="s">
        <v>46</v>
      </c>
      <c r="B994" s="57">
        <v>0</v>
      </c>
      <c r="C994" s="57">
        <v>0</v>
      </c>
      <c r="D994" s="57">
        <v>15321687.923836099</v>
      </c>
      <c r="E994" s="57">
        <v>18189454.596797585</v>
      </c>
      <c r="F994" s="57">
        <v>16799218.853930999</v>
      </c>
      <c r="G994" s="57">
        <v>16251773.289011978</v>
      </c>
      <c r="H994" s="58">
        <v>0.18717041407037605</v>
      </c>
      <c r="I994" s="58">
        <v>-3.2587560747857069E-2</v>
      </c>
      <c r="J994" s="58">
        <v>7.2237098538217692E-2</v>
      </c>
    </row>
    <row r="995" spans="1:10" ht="11.25" customHeight="1" x14ac:dyDescent="0.2">
      <c r="A995" s="61" t="s">
        <v>37</v>
      </c>
      <c r="B995" s="57">
        <v>0</v>
      </c>
      <c r="C995" s="57">
        <v>0</v>
      </c>
      <c r="D995" s="57">
        <v>1358.0244900000002</v>
      </c>
      <c r="E995" s="57">
        <v>1619.4089398533483</v>
      </c>
      <c r="F995" s="57">
        <v>1434.4869500000002</v>
      </c>
      <c r="G995" s="57">
        <v>1382.9727251499862</v>
      </c>
      <c r="H995" s="58">
        <v>0.19247403252156969</v>
      </c>
      <c r="I995" s="58">
        <v>-3.5911253741286342E-2</v>
      </c>
      <c r="J995" s="58">
        <v>7.5154651829585362E-2</v>
      </c>
    </row>
    <row r="996" spans="1:10" ht="11.25" customHeight="1" x14ac:dyDescent="0.2">
      <c r="A996" s="62" t="s">
        <v>47</v>
      </c>
      <c r="B996" s="57">
        <v>0</v>
      </c>
      <c r="C996" s="57">
        <v>0</v>
      </c>
      <c r="D996" s="57">
        <v>1358.0244900000002</v>
      </c>
      <c r="E996" s="57">
        <v>1619.4089398533483</v>
      </c>
      <c r="F996" s="57">
        <v>1434.4869500000002</v>
      </c>
      <c r="G996" s="57">
        <v>1382.9727251499862</v>
      </c>
      <c r="H996" s="58">
        <v>0.19247403252156969</v>
      </c>
      <c r="I996" s="58">
        <v>-3.5911253741286342E-2</v>
      </c>
      <c r="J996" s="58">
        <v>7.5154651829585362E-2</v>
      </c>
    </row>
    <row r="997" spans="1:10" ht="11.25" customHeight="1" x14ac:dyDescent="0.2">
      <c r="A997" s="63" t="s">
        <v>25</v>
      </c>
      <c r="B997" s="57">
        <v>0</v>
      </c>
      <c r="C997" s="57">
        <v>0</v>
      </c>
      <c r="D997" s="57">
        <v>1358.0244900000002</v>
      </c>
      <c r="E997" s="57">
        <v>1619.4089398533483</v>
      </c>
      <c r="F997" s="57">
        <v>1434.4869500000002</v>
      </c>
      <c r="G997" s="57">
        <v>1382.9727251499862</v>
      </c>
      <c r="H997" s="58">
        <v>0.19247403252156969</v>
      </c>
      <c r="I997" s="58">
        <v>-3.5911253741286342E-2</v>
      </c>
      <c r="J997" s="58">
        <v>7.5154651829585362E-2</v>
      </c>
    </row>
    <row r="998" spans="1:10" ht="11.25" customHeight="1" x14ac:dyDescent="0.2">
      <c r="A998" s="64" t="s">
        <v>25</v>
      </c>
      <c r="B998" s="57">
        <v>0</v>
      </c>
      <c r="C998" s="57">
        <v>0</v>
      </c>
      <c r="D998" s="57">
        <v>1358.0244900000002</v>
      </c>
      <c r="E998" s="57">
        <v>1619.4089398533483</v>
      </c>
      <c r="F998" s="57">
        <v>1434.4869500000002</v>
      </c>
      <c r="G998" s="57">
        <v>1382.9727251499862</v>
      </c>
      <c r="H998" s="58">
        <v>0.19247403252156969</v>
      </c>
      <c r="I998" s="58">
        <v>-3.5911253741286342E-2</v>
      </c>
      <c r="J998" s="58">
        <v>7.5154651829585362E-2</v>
      </c>
    </row>
    <row r="999" spans="1:10" ht="11.25" customHeight="1" x14ac:dyDescent="0.2">
      <c r="A999" s="65" t="s">
        <v>25</v>
      </c>
      <c r="B999" s="57">
        <v>0</v>
      </c>
      <c r="C999" s="57">
        <v>0</v>
      </c>
      <c r="D999" s="57">
        <v>1358.0244900000002</v>
      </c>
      <c r="E999" s="57">
        <v>1619.4089398533483</v>
      </c>
      <c r="F999" s="57">
        <v>1434.4869500000002</v>
      </c>
      <c r="G999" s="57">
        <v>1382.9727251499862</v>
      </c>
      <c r="H999" s="58">
        <v>0.19247403252156969</v>
      </c>
      <c r="I999" s="58">
        <v>-3.5911253741286342E-2</v>
      </c>
      <c r="J999" s="58">
        <v>7.5154651829585362E-2</v>
      </c>
    </row>
    <row r="1000" spans="1:10" ht="11.25" customHeight="1" x14ac:dyDescent="0.2">
      <c r="A1000" s="66" t="s">
        <v>36</v>
      </c>
      <c r="B1000" s="57">
        <v>0</v>
      </c>
      <c r="C1000" s="57">
        <v>0</v>
      </c>
      <c r="D1000" s="57">
        <v>751.14844000000005</v>
      </c>
      <c r="E1000" s="57">
        <v>879.3197567374732</v>
      </c>
      <c r="F1000" s="57">
        <v>976.58820000000014</v>
      </c>
      <c r="G1000" s="57">
        <v>948.72779135780934</v>
      </c>
      <c r="H1000" s="58">
        <v>0.17063380539999939</v>
      </c>
      <c r="I1000" s="58">
        <v>-2.8528307675835918E-2</v>
      </c>
      <c r="J1000" s="58">
        <v>5.8059142680033871E-2</v>
      </c>
    </row>
    <row r="1001" spans="1:10" ht="11.25" customHeight="1" x14ac:dyDescent="0.2">
      <c r="A1001" s="67">
        <v>43739</v>
      </c>
      <c r="B1001" s="57">
        <v>0</v>
      </c>
      <c r="C1001" s="57">
        <v>0</v>
      </c>
      <c r="D1001" s="57">
        <v>66.392409999999998</v>
      </c>
      <c r="E1001" s="57">
        <v>77.721199567976996</v>
      </c>
      <c r="F1001" s="57">
        <v>86.318550000000002</v>
      </c>
      <c r="G1001" s="57">
        <v>83.856027847467971</v>
      </c>
      <c r="H1001" s="58">
        <v>0.17063380539999984</v>
      </c>
      <c r="I1001" s="58">
        <v>-2.8528307675836029E-2</v>
      </c>
      <c r="J1001" s="58">
        <v>5.8059142680033871E-2</v>
      </c>
    </row>
    <row r="1002" spans="1:10" ht="11.25" customHeight="1" x14ac:dyDescent="0.2">
      <c r="A1002" s="67">
        <v>43770</v>
      </c>
      <c r="B1002" s="57">
        <v>0</v>
      </c>
      <c r="C1002" s="57">
        <v>0</v>
      </c>
      <c r="D1002" s="57">
        <v>66.542280000000005</v>
      </c>
      <c r="E1002" s="57">
        <v>77.896642456392286</v>
      </c>
      <c r="F1002" s="57">
        <v>86.513400000000004</v>
      </c>
      <c r="G1002" s="57">
        <v>84.045319106717344</v>
      </c>
      <c r="H1002" s="58">
        <v>0.17063380539999962</v>
      </c>
      <c r="I1002" s="58">
        <v>-2.8528307675835918E-2</v>
      </c>
      <c r="J1002" s="58">
        <v>5.8059142680034093E-2</v>
      </c>
    </row>
    <row r="1003" spans="1:10" ht="11.25" customHeight="1" x14ac:dyDescent="0.2">
      <c r="A1003" s="67">
        <v>43800</v>
      </c>
      <c r="B1003" s="57">
        <v>0</v>
      </c>
      <c r="C1003" s="57">
        <v>0</v>
      </c>
      <c r="D1003" s="57">
        <v>55.152160000000002</v>
      </c>
      <c r="E1003" s="57">
        <v>64.562982936829641</v>
      </c>
      <c r="F1003" s="57">
        <v>71.704799999999992</v>
      </c>
      <c r="G1003" s="57">
        <v>69.659183403765724</v>
      </c>
      <c r="H1003" s="58">
        <v>0.17063380539999962</v>
      </c>
      <c r="I1003" s="58">
        <v>-2.8528307675835807E-2</v>
      </c>
      <c r="J1003" s="58">
        <v>5.8059142680034315E-2</v>
      </c>
    </row>
    <row r="1004" spans="1:10" ht="11.25" customHeight="1" x14ac:dyDescent="0.2">
      <c r="A1004" s="67">
        <v>43831</v>
      </c>
      <c r="B1004" s="57">
        <v>0</v>
      </c>
      <c r="C1004" s="57">
        <v>0</v>
      </c>
      <c r="D1004" s="57">
        <v>65.493189999999998</v>
      </c>
      <c r="E1004" s="57">
        <v>76.668542237485198</v>
      </c>
      <c r="F1004" s="57">
        <v>85.149450000000002</v>
      </c>
      <c r="G1004" s="57">
        <v>82.72028029197179</v>
      </c>
      <c r="H1004" s="58">
        <v>0.17063380539999962</v>
      </c>
      <c r="I1004" s="58">
        <v>-2.8528307675836029E-2</v>
      </c>
      <c r="J1004" s="58">
        <v>5.8059142680034093E-2</v>
      </c>
    </row>
    <row r="1005" spans="1:10" ht="11.25" customHeight="1" x14ac:dyDescent="0.2">
      <c r="A1005" s="67">
        <v>43862</v>
      </c>
      <c r="B1005" s="57">
        <v>0</v>
      </c>
      <c r="C1005" s="57">
        <v>0</v>
      </c>
      <c r="D1005" s="57">
        <v>53.803330000000003</v>
      </c>
      <c r="E1005" s="57">
        <v>62.983996941091959</v>
      </c>
      <c r="F1005" s="57">
        <v>69.951149999999998</v>
      </c>
      <c r="G1005" s="57">
        <v>67.955562070521452</v>
      </c>
      <c r="H1005" s="58">
        <v>0.17063380539999962</v>
      </c>
      <c r="I1005" s="58">
        <v>-2.8528307675835918E-2</v>
      </c>
      <c r="J1005" s="58">
        <v>5.8059142680034093E-2</v>
      </c>
    </row>
    <row r="1006" spans="1:10" ht="11.25" customHeight="1" x14ac:dyDescent="0.2">
      <c r="A1006" s="67">
        <v>43891</v>
      </c>
      <c r="B1006" s="57">
        <v>0</v>
      </c>
      <c r="C1006" s="57">
        <v>0</v>
      </c>
      <c r="D1006" s="57">
        <v>65.193449999999999</v>
      </c>
      <c r="E1006" s="57">
        <v>76.317656460654604</v>
      </c>
      <c r="F1006" s="57">
        <v>84.759749999999997</v>
      </c>
      <c r="G1006" s="57">
        <v>82.341697773473072</v>
      </c>
      <c r="H1006" s="58">
        <v>0.17063380539999962</v>
      </c>
      <c r="I1006" s="58">
        <v>-2.8528307675835807E-2</v>
      </c>
      <c r="J1006" s="58">
        <v>5.8059142680034093E-2</v>
      </c>
    </row>
    <row r="1007" spans="1:10" ht="11.25" customHeight="1" x14ac:dyDescent="0.2">
      <c r="A1007" s="67">
        <v>43922</v>
      </c>
      <c r="B1007" s="57">
        <v>0</v>
      </c>
      <c r="C1007" s="57">
        <v>0</v>
      </c>
      <c r="D1007" s="57">
        <v>65.043580000000006</v>
      </c>
      <c r="E1007" s="57">
        <v>76.142213572239314</v>
      </c>
      <c r="F1007" s="57">
        <v>84.564899999999994</v>
      </c>
      <c r="G1007" s="57">
        <v>82.152406514223699</v>
      </c>
      <c r="H1007" s="58">
        <v>0.17063380539999962</v>
      </c>
      <c r="I1007" s="58">
        <v>-2.8528307675835918E-2</v>
      </c>
      <c r="J1007" s="58">
        <v>5.8059142680034093E-2</v>
      </c>
    </row>
    <row r="1008" spans="1:10" ht="11.25" customHeight="1" x14ac:dyDescent="0.2">
      <c r="A1008" s="67">
        <v>43952</v>
      </c>
      <c r="B1008" s="57">
        <v>0</v>
      </c>
      <c r="C1008" s="57">
        <v>0</v>
      </c>
      <c r="D1008" s="57">
        <v>60.99709</v>
      </c>
      <c r="E1008" s="57">
        <v>71.405255585026254</v>
      </c>
      <c r="F1008" s="57">
        <v>79.303949999999986</v>
      </c>
      <c r="G1008" s="57">
        <v>77.041542514490885</v>
      </c>
      <c r="H1008" s="58">
        <v>0.17063380539999939</v>
      </c>
      <c r="I1008" s="58">
        <v>-2.8528307675835807E-2</v>
      </c>
      <c r="J1008" s="58">
        <v>5.8059142680033871E-2</v>
      </c>
    </row>
    <row r="1009" spans="1:10" ht="11.25" customHeight="1" x14ac:dyDescent="0.2">
      <c r="A1009" s="67">
        <v>43983</v>
      </c>
      <c r="B1009" s="57">
        <v>0</v>
      </c>
      <c r="C1009" s="57">
        <v>0</v>
      </c>
      <c r="D1009" s="57">
        <v>57.999690000000001</v>
      </c>
      <c r="E1009" s="57">
        <v>67.896397816720309</v>
      </c>
      <c r="F1009" s="57">
        <v>75.406949999999995</v>
      </c>
      <c r="G1009" s="57">
        <v>73.255717329503625</v>
      </c>
      <c r="H1009" s="58">
        <v>0.17063380539999962</v>
      </c>
      <c r="I1009" s="58">
        <v>-2.8528307675835807E-2</v>
      </c>
      <c r="J1009" s="58">
        <v>5.8059142680034093E-2</v>
      </c>
    </row>
    <row r="1010" spans="1:10" ht="11.25" customHeight="1" x14ac:dyDescent="0.2">
      <c r="A1010" s="67">
        <v>44013</v>
      </c>
      <c r="B1010" s="57">
        <v>0</v>
      </c>
      <c r="C1010" s="57">
        <v>0</v>
      </c>
      <c r="D1010" s="57">
        <v>57.550080000000001</v>
      </c>
      <c r="E1010" s="57">
        <v>67.370069151474411</v>
      </c>
      <c r="F1010" s="57">
        <v>74.822400000000002</v>
      </c>
      <c r="G1010" s="57">
        <v>72.687843551755535</v>
      </c>
      <c r="H1010" s="58">
        <v>0.17063380539999962</v>
      </c>
      <c r="I1010" s="58">
        <v>-2.8528307675835918E-2</v>
      </c>
      <c r="J1010" s="58">
        <v>5.8059142680033871E-2</v>
      </c>
    </row>
    <row r="1011" spans="1:10" ht="11.25" customHeight="1" x14ac:dyDescent="0.2">
      <c r="A1011" s="67">
        <v>44044</v>
      </c>
      <c r="B1011" s="57">
        <v>0</v>
      </c>
      <c r="C1011" s="57">
        <v>0</v>
      </c>
      <c r="D1011" s="57">
        <v>68.490590000000012</v>
      </c>
      <c r="E1011" s="57">
        <v>80.177400005791156</v>
      </c>
      <c r="F1011" s="57">
        <v>89.046450000000007</v>
      </c>
      <c r="G1011" s="57">
        <v>86.506105476959064</v>
      </c>
      <c r="H1011" s="58">
        <v>0.17063380539999939</v>
      </c>
      <c r="I1011" s="58">
        <v>-2.8528307675835918E-2</v>
      </c>
      <c r="J1011" s="58">
        <v>5.8059142680033871E-2</v>
      </c>
    </row>
    <row r="1012" spans="1:10" ht="11.25" customHeight="1" x14ac:dyDescent="0.2">
      <c r="A1012" s="67">
        <v>44075</v>
      </c>
      <c r="B1012" s="57">
        <v>0</v>
      </c>
      <c r="C1012" s="57">
        <v>0</v>
      </c>
      <c r="D1012" s="57">
        <v>68.490590000000012</v>
      </c>
      <c r="E1012" s="57">
        <v>80.177400005791156</v>
      </c>
      <c r="F1012" s="57">
        <v>89.046450000000007</v>
      </c>
      <c r="G1012" s="57">
        <v>86.506105476959064</v>
      </c>
      <c r="H1012" s="58">
        <v>0.17063380539999939</v>
      </c>
      <c r="I1012" s="58">
        <v>-2.8528307675835918E-2</v>
      </c>
      <c r="J1012" s="58">
        <v>5.8059142680033871E-2</v>
      </c>
    </row>
    <row r="1013" spans="1:10" ht="11.25" customHeight="1" x14ac:dyDescent="0.2">
      <c r="A1013" s="66" t="s">
        <v>38</v>
      </c>
      <c r="B1013" s="57">
        <v>0</v>
      </c>
      <c r="C1013" s="57">
        <v>0</v>
      </c>
      <c r="D1013" s="57">
        <v>164.27190000000002</v>
      </c>
      <c r="E1013" s="57">
        <v>198.67105138861044</v>
      </c>
      <c r="F1013" s="57">
        <v>112.42845</v>
      </c>
      <c r="G1013" s="57">
        <v>109.22105658688267</v>
      </c>
      <c r="H1013" s="58">
        <v>0.2094037470109642</v>
      </c>
      <c r="I1013" s="58">
        <v>-2.8528307675835918E-2</v>
      </c>
      <c r="J1013" s="58">
        <v>0.11272756964526098</v>
      </c>
    </row>
    <row r="1014" spans="1:10" ht="11.25" customHeight="1" x14ac:dyDescent="0.2">
      <c r="A1014" s="67">
        <v>43739</v>
      </c>
      <c r="B1014" s="57">
        <v>0</v>
      </c>
      <c r="C1014" s="57">
        <v>0</v>
      </c>
      <c r="D1014" s="57">
        <v>13.0962</v>
      </c>
      <c r="E1014" s="57">
        <v>15.838593351604992</v>
      </c>
      <c r="F1014" s="57">
        <v>8.963099999999999</v>
      </c>
      <c r="G1014" s="57">
        <v>8.7073979254707154</v>
      </c>
      <c r="H1014" s="58">
        <v>0.20940374701096443</v>
      </c>
      <c r="I1014" s="58">
        <v>-2.8528307675835807E-2</v>
      </c>
      <c r="J1014" s="58">
        <v>0.11272756964526098</v>
      </c>
    </row>
    <row r="1015" spans="1:10" ht="11.25" customHeight="1" x14ac:dyDescent="0.2">
      <c r="A1015" s="67">
        <v>43770</v>
      </c>
      <c r="B1015" s="57">
        <v>0</v>
      </c>
      <c r="C1015" s="57">
        <v>0</v>
      </c>
      <c r="D1015" s="57">
        <v>12.242099999999999</v>
      </c>
      <c r="E1015" s="57">
        <v>14.805641611282926</v>
      </c>
      <c r="F1015" s="57">
        <v>8.3785499999999988</v>
      </c>
      <c r="G1015" s="57">
        <v>8.139524147722625</v>
      </c>
      <c r="H1015" s="58">
        <v>0.20940374701096443</v>
      </c>
      <c r="I1015" s="58">
        <v>-2.8528307675835807E-2</v>
      </c>
      <c r="J1015" s="58">
        <v>0.11272756964526121</v>
      </c>
    </row>
    <row r="1016" spans="1:10" ht="11.25" customHeight="1" x14ac:dyDescent="0.2">
      <c r="A1016" s="67">
        <v>43800</v>
      </c>
      <c r="B1016" s="57">
        <v>0</v>
      </c>
      <c r="C1016" s="57">
        <v>0</v>
      </c>
      <c r="D1016" s="57">
        <v>9.6798000000000002</v>
      </c>
      <c r="E1016" s="57">
        <v>11.706786390316733</v>
      </c>
      <c r="F1016" s="57">
        <v>6.6249000000000002</v>
      </c>
      <c r="G1016" s="57">
        <v>6.4359028144783554</v>
      </c>
      <c r="H1016" s="58">
        <v>0.20940374701096443</v>
      </c>
      <c r="I1016" s="58">
        <v>-2.8528307675835807E-2</v>
      </c>
      <c r="J1016" s="58">
        <v>0.11272756964526121</v>
      </c>
    </row>
    <row r="1017" spans="1:10" ht="11.25" customHeight="1" x14ac:dyDescent="0.2">
      <c r="A1017" s="67">
        <v>43831</v>
      </c>
      <c r="B1017" s="57">
        <v>0</v>
      </c>
      <c r="C1017" s="57">
        <v>0</v>
      </c>
      <c r="D1017" s="57">
        <v>12.811499999999999</v>
      </c>
      <c r="E1017" s="57">
        <v>15.49427610483097</v>
      </c>
      <c r="F1017" s="57">
        <v>8.7682500000000001</v>
      </c>
      <c r="G1017" s="57">
        <v>8.5181066662213514</v>
      </c>
      <c r="H1017" s="58">
        <v>0.20940374701096443</v>
      </c>
      <c r="I1017" s="58">
        <v>-2.8528307675835918E-2</v>
      </c>
      <c r="J1017" s="58">
        <v>0.11272756964526121</v>
      </c>
    </row>
    <row r="1018" spans="1:10" ht="11.25" customHeight="1" x14ac:dyDescent="0.2">
      <c r="A1018" s="67">
        <v>43862</v>
      </c>
      <c r="B1018" s="57">
        <v>0</v>
      </c>
      <c r="C1018" s="57">
        <v>0</v>
      </c>
      <c r="D1018" s="57">
        <v>11.103299999999999</v>
      </c>
      <c r="E1018" s="57">
        <v>13.42837262418684</v>
      </c>
      <c r="F1018" s="57">
        <v>7.5991499999999998</v>
      </c>
      <c r="G1018" s="57">
        <v>7.3823591107251714</v>
      </c>
      <c r="H1018" s="58">
        <v>0.20940374701096443</v>
      </c>
      <c r="I1018" s="58">
        <v>-2.8528307675835918E-2</v>
      </c>
      <c r="J1018" s="58">
        <v>0.11272756964526098</v>
      </c>
    </row>
    <row r="1019" spans="1:10" ht="11.25" customHeight="1" x14ac:dyDescent="0.2">
      <c r="A1019" s="67">
        <v>43891</v>
      </c>
      <c r="B1019" s="57">
        <v>0</v>
      </c>
      <c r="C1019" s="57">
        <v>0</v>
      </c>
      <c r="D1019" s="57">
        <v>14.804399999999999</v>
      </c>
      <c r="E1019" s="57">
        <v>17.904496832249119</v>
      </c>
      <c r="F1019" s="57">
        <v>10.132199999999999</v>
      </c>
      <c r="G1019" s="57">
        <v>9.8431454809668946</v>
      </c>
      <c r="H1019" s="58">
        <v>0.20940374701096443</v>
      </c>
      <c r="I1019" s="58">
        <v>-2.8528307675835918E-2</v>
      </c>
      <c r="J1019" s="58">
        <v>0.11272756964526098</v>
      </c>
    </row>
    <row r="1020" spans="1:10" ht="11.25" customHeight="1" x14ac:dyDescent="0.2">
      <c r="A1020" s="67">
        <v>43922</v>
      </c>
      <c r="B1020" s="57">
        <v>0</v>
      </c>
      <c r="C1020" s="57">
        <v>0</v>
      </c>
      <c r="D1020" s="57">
        <v>14.804399999999999</v>
      </c>
      <c r="E1020" s="57">
        <v>17.904496832249119</v>
      </c>
      <c r="F1020" s="57">
        <v>10.132199999999999</v>
      </c>
      <c r="G1020" s="57">
        <v>9.8431454809668946</v>
      </c>
      <c r="H1020" s="58">
        <v>0.20940374701096443</v>
      </c>
      <c r="I1020" s="58">
        <v>-2.8528307675835918E-2</v>
      </c>
      <c r="J1020" s="58">
        <v>0.11272756964526098</v>
      </c>
    </row>
    <row r="1021" spans="1:10" ht="11.25" customHeight="1" x14ac:dyDescent="0.2">
      <c r="A1021" s="67">
        <v>43952</v>
      </c>
      <c r="B1021" s="57">
        <v>0</v>
      </c>
      <c r="C1021" s="57">
        <v>0</v>
      </c>
      <c r="D1021" s="57">
        <v>15.089099999999998</v>
      </c>
      <c r="E1021" s="57">
        <v>18.248814079023141</v>
      </c>
      <c r="F1021" s="57">
        <v>10.32705</v>
      </c>
      <c r="G1021" s="57">
        <v>10.032436740216259</v>
      </c>
      <c r="H1021" s="58">
        <v>0.20940374701096443</v>
      </c>
      <c r="I1021" s="58">
        <v>-2.8528307675835918E-2</v>
      </c>
      <c r="J1021" s="58">
        <v>0.11272756964526098</v>
      </c>
    </row>
    <row r="1022" spans="1:10" ht="11.25" customHeight="1" x14ac:dyDescent="0.2">
      <c r="A1022" s="67">
        <v>43983</v>
      </c>
      <c r="B1022" s="57">
        <v>0</v>
      </c>
      <c r="C1022" s="57">
        <v>0</v>
      </c>
      <c r="D1022" s="57">
        <v>13.9503</v>
      </c>
      <c r="E1022" s="57">
        <v>16.871545091927057</v>
      </c>
      <c r="F1022" s="57">
        <v>9.5476500000000009</v>
      </c>
      <c r="G1022" s="57">
        <v>9.2752717032188059</v>
      </c>
      <c r="H1022" s="58">
        <v>0.20940374701096443</v>
      </c>
      <c r="I1022" s="58">
        <v>-2.8528307675835918E-2</v>
      </c>
      <c r="J1022" s="58">
        <v>0.11272756964526098</v>
      </c>
    </row>
    <row r="1023" spans="1:10" ht="11.25" customHeight="1" x14ac:dyDescent="0.2">
      <c r="A1023" s="67">
        <v>44013</v>
      </c>
      <c r="B1023" s="57">
        <v>0</v>
      </c>
      <c r="C1023" s="57">
        <v>0</v>
      </c>
      <c r="D1023" s="57">
        <v>14.234999999999999</v>
      </c>
      <c r="E1023" s="57">
        <v>17.215862338701079</v>
      </c>
      <c r="F1023" s="57">
        <v>9.7424999999999997</v>
      </c>
      <c r="G1023" s="57">
        <v>9.46456296246817</v>
      </c>
      <c r="H1023" s="58">
        <v>0.20940374701096443</v>
      </c>
      <c r="I1023" s="58">
        <v>-2.8528307675835696E-2</v>
      </c>
      <c r="J1023" s="58">
        <v>0.11272756964526121</v>
      </c>
    </row>
    <row r="1024" spans="1:10" ht="11.25" customHeight="1" x14ac:dyDescent="0.2">
      <c r="A1024" s="67">
        <v>44044</v>
      </c>
      <c r="B1024" s="57">
        <v>0</v>
      </c>
      <c r="C1024" s="57">
        <v>0</v>
      </c>
      <c r="D1024" s="57">
        <v>16.227899999999998</v>
      </c>
      <c r="E1024" s="57">
        <v>19.626083066119229</v>
      </c>
      <c r="F1024" s="57">
        <v>11.106450000000001</v>
      </c>
      <c r="G1024" s="57">
        <v>10.789601777213713</v>
      </c>
      <c r="H1024" s="58">
        <v>0.20940374701096443</v>
      </c>
      <c r="I1024" s="58">
        <v>-2.8528307675835918E-2</v>
      </c>
      <c r="J1024" s="58">
        <v>0.11272756964526098</v>
      </c>
    </row>
    <row r="1025" spans="1:10" ht="11.25" customHeight="1" x14ac:dyDescent="0.2">
      <c r="A1025" s="67">
        <v>44075</v>
      </c>
      <c r="B1025" s="57">
        <v>0</v>
      </c>
      <c r="C1025" s="57">
        <v>0</v>
      </c>
      <c r="D1025" s="57">
        <v>16.227899999999998</v>
      </c>
      <c r="E1025" s="57">
        <v>19.626083066119229</v>
      </c>
      <c r="F1025" s="57">
        <v>11.106450000000001</v>
      </c>
      <c r="G1025" s="57">
        <v>10.789601777213713</v>
      </c>
      <c r="H1025" s="58">
        <v>0.20940374701096443</v>
      </c>
      <c r="I1025" s="58">
        <v>-2.8528307675835918E-2</v>
      </c>
      <c r="J1025" s="58">
        <v>0.11272756964526098</v>
      </c>
    </row>
    <row r="1026" spans="1:10" ht="11.25" customHeight="1" x14ac:dyDescent="0.2">
      <c r="A1026" s="66" t="s">
        <v>35</v>
      </c>
      <c r="B1026" s="57">
        <v>0</v>
      </c>
      <c r="C1026" s="57">
        <v>0</v>
      </c>
      <c r="D1026" s="57">
        <v>442.60414999999989</v>
      </c>
      <c r="E1026" s="57">
        <v>541.41813172726427</v>
      </c>
      <c r="F1026" s="57">
        <v>345.47030000000001</v>
      </c>
      <c r="G1026" s="57">
        <v>325.02387720529424</v>
      </c>
      <c r="H1026" s="58">
        <v>0.22325588616208059</v>
      </c>
      <c r="I1026" s="58">
        <v>-5.9184314236870095E-2</v>
      </c>
      <c r="J1026" s="58">
        <v>9.944182168646476E-2</v>
      </c>
    </row>
    <row r="1027" spans="1:10" ht="11.25" customHeight="1" x14ac:dyDescent="0.2">
      <c r="A1027" s="67">
        <v>43739</v>
      </c>
      <c r="B1027" s="57">
        <v>0</v>
      </c>
      <c r="C1027" s="57">
        <v>0</v>
      </c>
      <c r="D1027" s="57">
        <v>33.981929999999998</v>
      </c>
      <c r="E1027" s="57">
        <v>41.568595895647775</v>
      </c>
      <c r="F1027" s="57">
        <v>26.524259999999998</v>
      </c>
      <c r="G1027" s="57">
        <v>24.954439861259559</v>
      </c>
      <c r="H1027" s="58">
        <v>0.22325588616208014</v>
      </c>
      <c r="I1027" s="58">
        <v>-5.9184314236869984E-2</v>
      </c>
      <c r="J1027" s="58">
        <v>9.9441821686464538E-2</v>
      </c>
    </row>
    <row r="1028" spans="1:10" ht="11.25" customHeight="1" x14ac:dyDescent="0.2">
      <c r="A1028" s="67">
        <v>43770</v>
      </c>
      <c r="B1028" s="57">
        <v>0</v>
      </c>
      <c r="C1028" s="57">
        <v>0</v>
      </c>
      <c r="D1028" s="57">
        <v>32.303809999999999</v>
      </c>
      <c r="E1028" s="57">
        <v>39.515825727961463</v>
      </c>
      <c r="F1028" s="57">
        <v>25.214419999999997</v>
      </c>
      <c r="G1028" s="57">
        <v>23.722121843419579</v>
      </c>
      <c r="H1028" s="58">
        <v>0.22325588616208014</v>
      </c>
      <c r="I1028" s="58">
        <v>-5.9184314236869984E-2</v>
      </c>
      <c r="J1028" s="58">
        <v>9.9441821686464316E-2</v>
      </c>
    </row>
    <row r="1029" spans="1:10" ht="11.25" customHeight="1" x14ac:dyDescent="0.2">
      <c r="A1029" s="67">
        <v>43800</v>
      </c>
      <c r="B1029" s="57">
        <v>0</v>
      </c>
      <c r="C1029" s="57">
        <v>0</v>
      </c>
      <c r="D1029" s="57">
        <v>29.367100000000001</v>
      </c>
      <c r="E1029" s="57">
        <v>35.923477934510423</v>
      </c>
      <c r="F1029" s="57">
        <v>22.9222</v>
      </c>
      <c r="G1029" s="57">
        <v>21.56556531219962</v>
      </c>
      <c r="H1029" s="58">
        <v>0.22325588616208014</v>
      </c>
      <c r="I1029" s="58">
        <v>-5.9184314236869984E-2</v>
      </c>
      <c r="J1029" s="58">
        <v>9.9441821686464316E-2</v>
      </c>
    </row>
    <row r="1030" spans="1:10" ht="11.25" customHeight="1" x14ac:dyDescent="0.2">
      <c r="A1030" s="67">
        <v>43831</v>
      </c>
      <c r="B1030" s="57">
        <v>0</v>
      </c>
      <c r="C1030" s="57">
        <v>0</v>
      </c>
      <c r="D1030" s="57">
        <v>35.660049999999998</v>
      </c>
      <c r="E1030" s="57">
        <v>43.621366063334087</v>
      </c>
      <c r="F1030" s="57">
        <v>27.834099999999999</v>
      </c>
      <c r="G1030" s="57">
        <v>26.186757879099538</v>
      </c>
      <c r="H1030" s="58">
        <v>0.22325588616208014</v>
      </c>
      <c r="I1030" s="58">
        <v>-5.9184314236869984E-2</v>
      </c>
      <c r="J1030" s="58">
        <v>9.9441821686464538E-2</v>
      </c>
    </row>
    <row r="1031" spans="1:10" ht="11.25" customHeight="1" x14ac:dyDescent="0.2">
      <c r="A1031" s="67">
        <v>43862</v>
      </c>
      <c r="B1031" s="57">
        <v>0</v>
      </c>
      <c r="C1031" s="57">
        <v>0</v>
      </c>
      <c r="D1031" s="57">
        <v>31.884279999999997</v>
      </c>
      <c r="E1031" s="57">
        <v>39.002633186039887</v>
      </c>
      <c r="F1031" s="57">
        <v>24.886959999999998</v>
      </c>
      <c r="G1031" s="57">
        <v>23.414042338959586</v>
      </c>
      <c r="H1031" s="58">
        <v>0.22325588616208014</v>
      </c>
      <c r="I1031" s="58">
        <v>-5.9184314236869984E-2</v>
      </c>
      <c r="J1031" s="58">
        <v>9.9441821686464538E-2</v>
      </c>
    </row>
    <row r="1032" spans="1:10" ht="11.25" customHeight="1" x14ac:dyDescent="0.2">
      <c r="A1032" s="67">
        <v>43891</v>
      </c>
      <c r="B1032" s="57">
        <v>0</v>
      </c>
      <c r="C1032" s="57">
        <v>0</v>
      </c>
      <c r="D1032" s="57">
        <v>35.240519999999997</v>
      </c>
      <c r="E1032" s="57">
        <v>43.10817352141251</v>
      </c>
      <c r="F1032" s="57">
        <v>27.506640000000001</v>
      </c>
      <c r="G1032" s="57">
        <v>25.878678374639545</v>
      </c>
      <c r="H1032" s="58">
        <v>0.22325588616208036</v>
      </c>
      <c r="I1032" s="58">
        <v>-5.9184314236869873E-2</v>
      </c>
      <c r="J1032" s="58">
        <v>9.9441821686464538E-2</v>
      </c>
    </row>
    <row r="1033" spans="1:10" ht="11.25" customHeight="1" x14ac:dyDescent="0.2">
      <c r="A1033" s="67">
        <v>43922</v>
      </c>
      <c r="B1033" s="57">
        <v>0</v>
      </c>
      <c r="C1033" s="57">
        <v>0</v>
      </c>
      <c r="D1033" s="57">
        <v>45.309239999999996</v>
      </c>
      <c r="E1033" s="57">
        <v>55.424794527530366</v>
      </c>
      <c r="F1033" s="57">
        <v>35.365679999999998</v>
      </c>
      <c r="G1033" s="57">
        <v>33.272586481679411</v>
      </c>
      <c r="H1033" s="58">
        <v>0.22325588616208014</v>
      </c>
      <c r="I1033" s="58">
        <v>-5.9184314236869984E-2</v>
      </c>
      <c r="J1033" s="58">
        <v>9.9441821686464538E-2</v>
      </c>
    </row>
    <row r="1034" spans="1:10" ht="11.25" customHeight="1" x14ac:dyDescent="0.2">
      <c r="A1034" s="67">
        <v>43952</v>
      </c>
      <c r="B1034" s="57">
        <v>0</v>
      </c>
      <c r="C1034" s="57">
        <v>0</v>
      </c>
      <c r="D1034" s="57">
        <v>37.338169999999998</v>
      </c>
      <c r="E1034" s="57">
        <v>45.674136231020391</v>
      </c>
      <c r="F1034" s="57">
        <v>29.143939999999997</v>
      </c>
      <c r="G1034" s="57">
        <v>27.419075896939514</v>
      </c>
      <c r="H1034" s="58">
        <v>0.22325588616208014</v>
      </c>
      <c r="I1034" s="58">
        <v>-5.9184314236869984E-2</v>
      </c>
      <c r="J1034" s="58">
        <v>9.9441821686464316E-2</v>
      </c>
    </row>
    <row r="1035" spans="1:10" ht="11.25" customHeight="1" x14ac:dyDescent="0.2">
      <c r="A1035" s="67">
        <v>43983</v>
      </c>
      <c r="B1035" s="57">
        <v>0</v>
      </c>
      <c r="C1035" s="57">
        <v>0</v>
      </c>
      <c r="D1035" s="57">
        <v>39.016289999999998</v>
      </c>
      <c r="E1035" s="57">
        <v>47.726906398706703</v>
      </c>
      <c r="F1035" s="57">
        <v>30.453779999999998</v>
      </c>
      <c r="G1035" s="57">
        <v>28.651393914779494</v>
      </c>
      <c r="H1035" s="58">
        <v>0.22325588616208014</v>
      </c>
      <c r="I1035" s="58">
        <v>-5.9184314236869984E-2</v>
      </c>
      <c r="J1035" s="58">
        <v>9.9441821686464316E-2</v>
      </c>
    </row>
    <row r="1036" spans="1:10" ht="11.25" customHeight="1" x14ac:dyDescent="0.2">
      <c r="A1036" s="67">
        <v>44013</v>
      </c>
      <c r="B1036" s="57">
        <v>0</v>
      </c>
      <c r="C1036" s="57">
        <v>0</v>
      </c>
      <c r="D1036" s="57">
        <v>37.757699999999993</v>
      </c>
      <c r="E1036" s="57">
        <v>46.187328772941967</v>
      </c>
      <c r="F1036" s="57">
        <v>29.471399999999996</v>
      </c>
      <c r="G1036" s="57">
        <v>27.727155401399507</v>
      </c>
      <c r="H1036" s="58">
        <v>0.22325588616208014</v>
      </c>
      <c r="I1036" s="58">
        <v>-5.9184314236869984E-2</v>
      </c>
      <c r="J1036" s="58">
        <v>9.9441821686464538E-2</v>
      </c>
    </row>
    <row r="1037" spans="1:10" ht="11.25" customHeight="1" x14ac:dyDescent="0.2">
      <c r="A1037" s="67">
        <v>44044</v>
      </c>
      <c r="B1037" s="57">
        <v>0</v>
      </c>
      <c r="C1037" s="57">
        <v>0</v>
      </c>
      <c r="D1037" s="57">
        <v>42.372529999999998</v>
      </c>
      <c r="E1037" s="57">
        <v>51.832446734079326</v>
      </c>
      <c r="F1037" s="57">
        <v>33.073459999999997</v>
      </c>
      <c r="G1037" s="57">
        <v>31.116029950459453</v>
      </c>
      <c r="H1037" s="58">
        <v>0.22325588616208014</v>
      </c>
      <c r="I1037" s="58">
        <v>-5.9184314236869873E-2</v>
      </c>
      <c r="J1037" s="58">
        <v>9.9441821686464538E-2</v>
      </c>
    </row>
    <row r="1038" spans="1:10" ht="11.25" customHeight="1" x14ac:dyDescent="0.2">
      <c r="A1038" s="67">
        <v>44075</v>
      </c>
      <c r="B1038" s="57">
        <v>0</v>
      </c>
      <c r="C1038" s="57">
        <v>0</v>
      </c>
      <c r="D1038" s="57">
        <v>42.372529999999998</v>
      </c>
      <c r="E1038" s="57">
        <v>51.832446734079326</v>
      </c>
      <c r="F1038" s="57">
        <v>33.073459999999997</v>
      </c>
      <c r="G1038" s="57">
        <v>31.116029950459453</v>
      </c>
      <c r="H1038" s="58">
        <v>0.22325588616208014</v>
      </c>
      <c r="I1038" s="58">
        <v>-5.9184314236869873E-2</v>
      </c>
      <c r="J1038" s="58">
        <v>9.9441821686464538E-2</v>
      </c>
    </row>
    <row r="1039" spans="1:10" ht="11.25" customHeight="1" x14ac:dyDescent="0.2">
      <c r="A1039" s="61" t="s">
        <v>23</v>
      </c>
      <c r="B1039" s="57">
        <v>0</v>
      </c>
      <c r="C1039" s="57">
        <v>0</v>
      </c>
      <c r="D1039" s="57">
        <v>15320329.899346098</v>
      </c>
      <c r="E1039" s="57">
        <v>18187835.187857732</v>
      </c>
      <c r="F1039" s="57">
        <v>16797784.366981</v>
      </c>
      <c r="G1039" s="57">
        <v>16250390.316286825</v>
      </c>
      <c r="H1039" s="58">
        <v>0.18716994394709596</v>
      </c>
      <c r="I1039" s="58">
        <v>-3.2587276913148666E-2</v>
      </c>
      <c r="J1039" s="58">
        <v>7.2236844871365502E-2</v>
      </c>
    </row>
    <row r="1040" spans="1:10" ht="11.25" customHeight="1" x14ac:dyDescent="0.2">
      <c r="A1040" s="62" t="s">
        <v>47</v>
      </c>
      <c r="B1040" s="57">
        <v>0</v>
      </c>
      <c r="C1040" s="57">
        <v>0</v>
      </c>
      <c r="D1040" s="57">
        <v>15320329.899346098</v>
      </c>
      <c r="E1040" s="57">
        <v>18187835.187857732</v>
      </c>
      <c r="F1040" s="57">
        <v>16797784.366981</v>
      </c>
      <c r="G1040" s="57">
        <v>16250390.316286825</v>
      </c>
      <c r="H1040" s="58">
        <v>0.18716994394709596</v>
      </c>
      <c r="I1040" s="58">
        <v>-3.2587276913148666E-2</v>
      </c>
      <c r="J1040" s="58">
        <v>7.2236844871365502E-2</v>
      </c>
    </row>
    <row r="1041" spans="1:10" ht="11.25" customHeight="1" x14ac:dyDescent="0.2">
      <c r="A1041" s="63" t="s">
        <v>55</v>
      </c>
      <c r="B1041" s="57">
        <v>0</v>
      </c>
      <c r="C1041" s="57">
        <v>0</v>
      </c>
      <c r="D1041" s="57">
        <v>35830.630586100007</v>
      </c>
      <c r="E1041" s="57">
        <v>42537.047704489472</v>
      </c>
      <c r="F1041" s="57">
        <v>39286.047381000004</v>
      </c>
      <c r="G1041" s="57">
        <v>38005.822076172277</v>
      </c>
      <c r="H1041" s="58">
        <v>0.18716994394709618</v>
      </c>
      <c r="I1041" s="58">
        <v>-3.2587276913148888E-2</v>
      </c>
      <c r="J1041" s="58">
        <v>7.2236844871365502E-2</v>
      </c>
    </row>
    <row r="1042" spans="1:10" ht="11.25" customHeight="1" x14ac:dyDescent="0.2">
      <c r="A1042" s="64" t="s">
        <v>56</v>
      </c>
      <c r="B1042" s="57">
        <v>0</v>
      </c>
      <c r="C1042" s="57">
        <v>0</v>
      </c>
      <c r="D1042" s="57">
        <v>30673.243020000002</v>
      </c>
      <c r="E1042" s="57">
        <v>36414.352196729065</v>
      </c>
      <c r="F1042" s="57">
        <v>33631.294200000004</v>
      </c>
      <c r="G1042" s="57">
        <v>32535.341902957021</v>
      </c>
      <c r="H1042" s="58">
        <v>0.18716994394709618</v>
      </c>
      <c r="I1042" s="58">
        <v>-3.2587276913148999E-2</v>
      </c>
      <c r="J1042" s="58">
        <v>7.2236844871365502E-2</v>
      </c>
    </row>
    <row r="1043" spans="1:10" ht="11.25" customHeight="1" x14ac:dyDescent="0.2">
      <c r="A1043" s="65" t="s">
        <v>25</v>
      </c>
      <c r="B1043" s="57">
        <v>0</v>
      </c>
      <c r="C1043" s="57">
        <v>0</v>
      </c>
      <c r="D1043" s="57">
        <v>30673.243020000002</v>
      </c>
      <c r="E1043" s="57">
        <v>36414.352196729065</v>
      </c>
      <c r="F1043" s="57">
        <v>33631.294200000004</v>
      </c>
      <c r="G1043" s="57">
        <v>32535.341902957021</v>
      </c>
      <c r="H1043" s="58">
        <v>0.18716994394709618</v>
      </c>
      <c r="I1043" s="58">
        <v>-3.2587276913148999E-2</v>
      </c>
      <c r="J1043" s="58">
        <v>7.2236844871365502E-2</v>
      </c>
    </row>
    <row r="1044" spans="1:10" ht="11.25" customHeight="1" x14ac:dyDescent="0.2">
      <c r="A1044" s="66" t="s">
        <v>25</v>
      </c>
      <c r="B1044" s="57">
        <v>0</v>
      </c>
      <c r="C1044" s="57">
        <v>0</v>
      </c>
      <c r="D1044" s="57">
        <v>30673.243020000002</v>
      </c>
      <c r="E1044" s="57">
        <v>36414.352196729065</v>
      </c>
      <c r="F1044" s="57">
        <v>33631.294200000004</v>
      </c>
      <c r="G1044" s="57">
        <v>32535.341902957021</v>
      </c>
      <c r="H1044" s="58">
        <v>0.18716994394709618</v>
      </c>
      <c r="I1044" s="58">
        <v>-3.2587276913148999E-2</v>
      </c>
      <c r="J1044" s="58">
        <v>7.2236844871365502E-2</v>
      </c>
    </row>
    <row r="1045" spans="1:10" ht="11.25" customHeight="1" x14ac:dyDescent="0.2">
      <c r="A1045" s="67">
        <v>43739</v>
      </c>
      <c r="B1045" s="57">
        <v>0</v>
      </c>
      <c r="C1045" s="57">
        <v>0</v>
      </c>
      <c r="D1045" s="57">
        <v>3660.2148900000002</v>
      </c>
      <c r="E1045" s="57">
        <v>4345.2971057956274</v>
      </c>
      <c r="F1045" s="57">
        <v>4013.1969000000004</v>
      </c>
      <c r="G1045" s="57">
        <v>3882.4177413127095</v>
      </c>
      <c r="H1045" s="58">
        <v>0.18716994394709618</v>
      </c>
      <c r="I1045" s="58">
        <v>-3.2587276913148888E-2</v>
      </c>
      <c r="J1045" s="58">
        <v>7.2236844871365502E-2</v>
      </c>
    </row>
    <row r="1046" spans="1:10" ht="11.25" customHeight="1" x14ac:dyDescent="0.2">
      <c r="A1046" s="67">
        <v>43770</v>
      </c>
      <c r="B1046" s="57">
        <v>0</v>
      </c>
      <c r="C1046" s="57">
        <v>0</v>
      </c>
      <c r="D1046" s="57">
        <v>7926.9914800000006</v>
      </c>
      <c r="E1046" s="57">
        <v>9410.6860309807089</v>
      </c>
      <c r="F1046" s="57">
        <v>8691.4508000000005</v>
      </c>
      <c r="G1046" s="57">
        <v>8408.2200860033918</v>
      </c>
      <c r="H1046" s="58">
        <v>0.18716994394709618</v>
      </c>
      <c r="I1046" s="58">
        <v>-3.2587276913148777E-2</v>
      </c>
      <c r="J1046" s="58">
        <v>7.223684487136528E-2</v>
      </c>
    </row>
    <row r="1047" spans="1:10" ht="11.25" customHeight="1" x14ac:dyDescent="0.2">
      <c r="A1047" s="67">
        <v>43800</v>
      </c>
      <c r="B1047" s="57">
        <v>0</v>
      </c>
      <c r="C1047" s="57">
        <v>0</v>
      </c>
      <c r="D1047" s="57">
        <v>1347.01767</v>
      </c>
      <c r="E1047" s="57">
        <v>1599.1388917896481</v>
      </c>
      <c r="F1047" s="57">
        <v>1476.9206999999999</v>
      </c>
      <c r="G1047" s="57">
        <v>1428.7918761703384</v>
      </c>
      <c r="H1047" s="58">
        <v>0.18716994394709618</v>
      </c>
      <c r="I1047" s="58">
        <v>-3.2587276913148777E-2</v>
      </c>
      <c r="J1047" s="58">
        <v>7.2236844871365502E-2</v>
      </c>
    </row>
    <row r="1048" spans="1:10" ht="11.25" customHeight="1" x14ac:dyDescent="0.2">
      <c r="A1048" s="67">
        <v>43831</v>
      </c>
      <c r="B1048" s="57">
        <v>0</v>
      </c>
      <c r="C1048" s="57">
        <v>0</v>
      </c>
      <c r="D1048" s="57">
        <v>2244.0904999999998</v>
      </c>
      <c r="E1048" s="57">
        <v>2664.1167930972106</v>
      </c>
      <c r="F1048" s="57">
        <v>2460.5050000000001</v>
      </c>
      <c r="G1048" s="57">
        <v>2380.3238422188128</v>
      </c>
      <c r="H1048" s="58">
        <v>0.18716994394709618</v>
      </c>
      <c r="I1048" s="58">
        <v>-3.2587276913148777E-2</v>
      </c>
      <c r="J1048" s="58">
        <v>7.223684487136528E-2</v>
      </c>
    </row>
    <row r="1049" spans="1:10" ht="11.25" customHeight="1" x14ac:dyDescent="0.2">
      <c r="A1049" s="67">
        <v>43862</v>
      </c>
      <c r="B1049" s="57">
        <v>0</v>
      </c>
      <c r="C1049" s="57">
        <v>0</v>
      </c>
      <c r="D1049" s="57">
        <v>1195.09556</v>
      </c>
      <c r="E1049" s="57">
        <v>1418.7815289766236</v>
      </c>
      <c r="F1049" s="57">
        <v>1310.3476000000001</v>
      </c>
      <c r="G1049" s="57">
        <v>1267.6469399063201</v>
      </c>
      <c r="H1049" s="58">
        <v>0.18716994394709618</v>
      </c>
      <c r="I1049" s="58">
        <v>-3.2587276913148777E-2</v>
      </c>
      <c r="J1049" s="58">
        <v>7.2236844871365724E-2</v>
      </c>
    </row>
    <row r="1050" spans="1:10" ht="11.25" customHeight="1" x14ac:dyDescent="0.2">
      <c r="A1050" s="67">
        <v>43891</v>
      </c>
      <c r="B1050" s="57">
        <v>0</v>
      </c>
      <c r="C1050" s="57">
        <v>0</v>
      </c>
      <c r="D1050" s="57">
        <v>960.73363999999992</v>
      </c>
      <c r="E1050" s="57">
        <v>1140.5541015468898</v>
      </c>
      <c r="F1050" s="57">
        <v>1053.3843999999999</v>
      </c>
      <c r="G1050" s="57">
        <v>1019.0574708612088</v>
      </c>
      <c r="H1050" s="58">
        <v>0.18716994394709641</v>
      </c>
      <c r="I1050" s="58">
        <v>-3.2587276913148777E-2</v>
      </c>
      <c r="J1050" s="58">
        <v>7.2236844871365502E-2</v>
      </c>
    </row>
    <row r="1051" spans="1:10" ht="11.25" customHeight="1" x14ac:dyDescent="0.2">
      <c r="A1051" s="67">
        <v>43922</v>
      </c>
      <c r="B1051" s="57">
        <v>0</v>
      </c>
      <c r="C1051" s="57">
        <v>0</v>
      </c>
      <c r="D1051" s="57">
        <v>1058.7600199999999</v>
      </c>
      <c r="E1051" s="57">
        <v>1256.9280735968266</v>
      </c>
      <c r="F1051" s="57">
        <v>1160.8642</v>
      </c>
      <c r="G1051" s="57">
        <v>1123.0347968560391</v>
      </c>
      <c r="H1051" s="58">
        <v>0.18716994394709641</v>
      </c>
      <c r="I1051" s="58">
        <v>-3.2587276913148777E-2</v>
      </c>
      <c r="J1051" s="58">
        <v>7.2236844871365724E-2</v>
      </c>
    </row>
    <row r="1052" spans="1:10" ht="11.25" customHeight="1" x14ac:dyDescent="0.2">
      <c r="A1052" s="67">
        <v>43952</v>
      </c>
      <c r="B1052" s="57">
        <v>0</v>
      </c>
      <c r="C1052" s="57">
        <v>0</v>
      </c>
      <c r="D1052" s="57">
        <v>1160.3544099999999</v>
      </c>
      <c r="E1052" s="57">
        <v>1377.5378798784659</v>
      </c>
      <c r="F1052" s="57">
        <v>1272.2560999999998</v>
      </c>
      <c r="G1052" s="57">
        <v>1230.7967381648571</v>
      </c>
      <c r="H1052" s="58">
        <v>0.18716994394709641</v>
      </c>
      <c r="I1052" s="58">
        <v>-3.2587276913148888E-2</v>
      </c>
      <c r="J1052" s="58">
        <v>7.2236844871365502E-2</v>
      </c>
    </row>
    <row r="1053" spans="1:10" ht="11.25" customHeight="1" x14ac:dyDescent="0.2">
      <c r="A1053" s="67">
        <v>43983</v>
      </c>
      <c r="B1053" s="57">
        <v>0</v>
      </c>
      <c r="C1053" s="57">
        <v>0</v>
      </c>
      <c r="D1053" s="57">
        <v>1909.07314</v>
      </c>
      <c r="E1053" s="57">
        <v>2266.3942526047067</v>
      </c>
      <c r="F1053" s="57">
        <v>2093.1794</v>
      </c>
      <c r="G1053" s="57">
        <v>2024.9683832633009</v>
      </c>
      <c r="H1053" s="58">
        <v>0.18716994394709618</v>
      </c>
      <c r="I1053" s="58">
        <v>-3.2587276913148999E-2</v>
      </c>
      <c r="J1053" s="58">
        <v>7.223684487136528E-2</v>
      </c>
    </row>
    <row r="1054" spans="1:10" ht="11.25" customHeight="1" x14ac:dyDescent="0.2">
      <c r="A1054" s="67">
        <v>44013</v>
      </c>
      <c r="B1054" s="57">
        <v>0</v>
      </c>
      <c r="C1054" s="57">
        <v>0</v>
      </c>
      <c r="D1054" s="57">
        <v>1962.2177099999999</v>
      </c>
      <c r="E1054" s="57">
        <v>2329.4858887926994</v>
      </c>
      <c r="F1054" s="57">
        <v>2151.4491000000003</v>
      </c>
      <c r="G1054" s="57">
        <v>2081.3392324137553</v>
      </c>
      <c r="H1054" s="58">
        <v>0.18716994394709618</v>
      </c>
      <c r="I1054" s="58">
        <v>-3.2587276913148888E-2</v>
      </c>
      <c r="J1054" s="58">
        <v>7.223684487136528E-2</v>
      </c>
    </row>
    <row r="1055" spans="1:10" ht="11.25" customHeight="1" x14ac:dyDescent="0.2">
      <c r="A1055" s="67">
        <v>44044</v>
      </c>
      <c r="B1055" s="57">
        <v>0</v>
      </c>
      <c r="C1055" s="57">
        <v>0</v>
      </c>
      <c r="D1055" s="57">
        <v>3624.3469999999998</v>
      </c>
      <c r="E1055" s="57">
        <v>4302.715824834826</v>
      </c>
      <c r="F1055" s="57">
        <v>3973.87</v>
      </c>
      <c r="G1055" s="57">
        <v>3844.3723978931453</v>
      </c>
      <c r="H1055" s="58">
        <v>0.18716994394709618</v>
      </c>
      <c r="I1055" s="58">
        <v>-3.2587276913148777E-2</v>
      </c>
      <c r="J1055" s="58">
        <v>7.223684487136528E-2</v>
      </c>
    </row>
    <row r="1056" spans="1:10" ht="11.25" customHeight="1" x14ac:dyDescent="0.2">
      <c r="A1056" s="67">
        <v>44075</v>
      </c>
      <c r="B1056" s="57">
        <v>0</v>
      </c>
      <c r="C1056" s="57">
        <v>0</v>
      </c>
      <c r="D1056" s="57">
        <v>3624.3469999999998</v>
      </c>
      <c r="E1056" s="57">
        <v>4302.715824834826</v>
      </c>
      <c r="F1056" s="57">
        <v>3973.87</v>
      </c>
      <c r="G1056" s="57">
        <v>3844.3723978931453</v>
      </c>
      <c r="H1056" s="58">
        <v>0.18716994394709618</v>
      </c>
      <c r="I1056" s="58">
        <v>-3.2587276913148777E-2</v>
      </c>
      <c r="J1056" s="58">
        <v>7.223684487136528E-2</v>
      </c>
    </row>
    <row r="1057" spans="1:10" ht="11.25" customHeight="1" x14ac:dyDescent="0.2">
      <c r="A1057" s="64" t="s">
        <v>57</v>
      </c>
      <c r="B1057" s="57">
        <v>0</v>
      </c>
      <c r="C1057" s="57">
        <v>0</v>
      </c>
      <c r="D1057" s="57">
        <v>5157.3875660999993</v>
      </c>
      <c r="E1057" s="57">
        <v>6122.695507760388</v>
      </c>
      <c r="F1057" s="57">
        <v>5654.753181000001</v>
      </c>
      <c r="G1057" s="57">
        <v>5470.4801732152428</v>
      </c>
      <c r="H1057" s="58">
        <v>0.18716994394709641</v>
      </c>
      <c r="I1057" s="58">
        <v>-3.2587276913148999E-2</v>
      </c>
      <c r="J1057" s="58">
        <v>7.2236844871365502E-2</v>
      </c>
    </row>
    <row r="1058" spans="1:10" ht="11.25" customHeight="1" x14ac:dyDescent="0.2">
      <c r="A1058" s="65" t="s">
        <v>25</v>
      </c>
      <c r="B1058" s="57">
        <v>0</v>
      </c>
      <c r="C1058" s="57">
        <v>0</v>
      </c>
      <c r="D1058" s="57">
        <v>5157.3875660999993</v>
      </c>
      <c r="E1058" s="57">
        <v>6122.695507760388</v>
      </c>
      <c r="F1058" s="57">
        <v>5654.753181000001</v>
      </c>
      <c r="G1058" s="57">
        <v>5470.4801732152428</v>
      </c>
      <c r="H1058" s="58">
        <v>0.18716994394709641</v>
      </c>
      <c r="I1058" s="58">
        <v>-3.2587276913148999E-2</v>
      </c>
      <c r="J1058" s="58">
        <v>7.2236844871365502E-2</v>
      </c>
    </row>
    <row r="1059" spans="1:10" ht="11.25" customHeight="1" x14ac:dyDescent="0.2">
      <c r="A1059" s="66" t="s">
        <v>25</v>
      </c>
      <c r="B1059" s="57">
        <v>0</v>
      </c>
      <c r="C1059" s="57">
        <v>0</v>
      </c>
      <c r="D1059" s="57">
        <v>5157.3875660999993</v>
      </c>
      <c r="E1059" s="57">
        <v>6122.695507760388</v>
      </c>
      <c r="F1059" s="57">
        <v>5654.753181000001</v>
      </c>
      <c r="G1059" s="57">
        <v>5470.4801732152428</v>
      </c>
      <c r="H1059" s="58">
        <v>0.18716994394709641</v>
      </c>
      <c r="I1059" s="58">
        <v>-3.2587276913148999E-2</v>
      </c>
      <c r="J1059" s="58">
        <v>7.2236844871365502E-2</v>
      </c>
    </row>
    <row r="1060" spans="1:10" ht="11.25" customHeight="1" x14ac:dyDescent="0.2">
      <c r="A1060" s="67">
        <v>43739</v>
      </c>
      <c r="B1060" s="57">
        <v>0</v>
      </c>
      <c r="C1060" s="57">
        <v>0</v>
      </c>
      <c r="D1060" s="57">
        <v>956.08395959999984</v>
      </c>
      <c r="E1060" s="57">
        <v>1135.0341407270498</v>
      </c>
      <c r="F1060" s="57">
        <v>1048.2863159999999</v>
      </c>
      <c r="G1060" s="57">
        <v>1014.1255195362432</v>
      </c>
      <c r="H1060" s="58">
        <v>0.18716994394709641</v>
      </c>
      <c r="I1060" s="58">
        <v>-3.2587276913148888E-2</v>
      </c>
      <c r="J1060" s="58">
        <v>7.2236844871365502E-2</v>
      </c>
    </row>
    <row r="1061" spans="1:10" ht="11.25" customHeight="1" x14ac:dyDescent="0.2">
      <c r="A1061" s="67">
        <v>43770</v>
      </c>
      <c r="B1061" s="57">
        <v>0</v>
      </c>
      <c r="C1061" s="57">
        <v>0</v>
      </c>
      <c r="D1061" s="57">
        <v>1207.3131773999999</v>
      </c>
      <c r="E1061" s="57">
        <v>1433.2859171405485</v>
      </c>
      <c r="F1061" s="57">
        <v>1323.7434539999999</v>
      </c>
      <c r="G1061" s="57">
        <v>1280.6062595025339</v>
      </c>
      <c r="H1061" s="58">
        <v>0.18716994394709618</v>
      </c>
      <c r="I1061" s="58">
        <v>-3.2587276913148777E-2</v>
      </c>
      <c r="J1061" s="58">
        <v>7.223684487136528E-2</v>
      </c>
    </row>
    <row r="1062" spans="1:10" ht="11.25" customHeight="1" x14ac:dyDescent="0.2">
      <c r="A1062" s="67">
        <v>43800</v>
      </c>
      <c r="B1062" s="57">
        <v>0</v>
      </c>
      <c r="C1062" s="57">
        <v>0</v>
      </c>
      <c r="D1062" s="57">
        <v>237.28581030000001</v>
      </c>
      <c r="E1062" s="57">
        <v>281.69858211329233</v>
      </c>
      <c r="F1062" s="57">
        <v>260.16906300000005</v>
      </c>
      <c r="G1062" s="57">
        <v>251.69086169978453</v>
      </c>
      <c r="H1062" s="58">
        <v>0.18716994394709618</v>
      </c>
      <c r="I1062" s="58">
        <v>-3.2587276913148999E-2</v>
      </c>
      <c r="J1062" s="58">
        <v>7.2236844871365502E-2</v>
      </c>
    </row>
    <row r="1063" spans="1:10" ht="11.25" customHeight="1" x14ac:dyDescent="0.2">
      <c r="A1063" s="67">
        <v>43831</v>
      </c>
      <c r="B1063" s="57">
        <v>0</v>
      </c>
      <c r="C1063" s="57">
        <v>0</v>
      </c>
      <c r="D1063" s="57">
        <v>256.1868738</v>
      </c>
      <c r="E1063" s="57">
        <v>304.13735660912778</v>
      </c>
      <c r="F1063" s="57">
        <v>280.892898</v>
      </c>
      <c r="G1063" s="57">
        <v>271.73936334993709</v>
      </c>
      <c r="H1063" s="58">
        <v>0.18716994394709618</v>
      </c>
      <c r="I1063" s="58">
        <v>-3.2587276913148999E-2</v>
      </c>
      <c r="J1063" s="58">
        <v>7.223684487136528E-2</v>
      </c>
    </row>
    <row r="1064" spans="1:10" ht="11.25" customHeight="1" x14ac:dyDescent="0.2">
      <c r="A1064" s="67">
        <v>43862</v>
      </c>
      <c r="B1064" s="57">
        <v>0</v>
      </c>
      <c r="C1064" s="57">
        <v>0</v>
      </c>
      <c r="D1064" s="57">
        <v>222.7226958</v>
      </c>
      <c r="E1064" s="57">
        <v>264.40969028863219</v>
      </c>
      <c r="F1064" s="57">
        <v>244.20151800000002</v>
      </c>
      <c r="G1064" s="57">
        <v>236.2436555103227</v>
      </c>
      <c r="H1064" s="58">
        <v>0.18716994394709641</v>
      </c>
      <c r="I1064" s="58">
        <v>-3.2587276913148888E-2</v>
      </c>
      <c r="J1064" s="58">
        <v>7.2236844871365502E-2</v>
      </c>
    </row>
    <row r="1065" spans="1:10" ht="11.25" customHeight="1" x14ac:dyDescent="0.2">
      <c r="A1065" s="67">
        <v>43891</v>
      </c>
      <c r="B1065" s="57">
        <v>0</v>
      </c>
      <c r="C1065" s="57">
        <v>0</v>
      </c>
      <c r="D1065" s="57">
        <v>153.00565829999999</v>
      </c>
      <c r="E1065" s="57">
        <v>181.64371878759954</v>
      </c>
      <c r="F1065" s="57">
        <v>167.761143</v>
      </c>
      <c r="G1065" s="57">
        <v>162.29426417779263</v>
      </c>
      <c r="H1065" s="58">
        <v>0.18716994394709618</v>
      </c>
      <c r="I1065" s="58">
        <v>-3.2587276913148888E-2</v>
      </c>
      <c r="J1065" s="58">
        <v>7.223684487136528E-2</v>
      </c>
    </row>
    <row r="1066" spans="1:10" ht="11.25" customHeight="1" x14ac:dyDescent="0.2">
      <c r="A1066" s="67">
        <v>43922</v>
      </c>
      <c r="B1066" s="57">
        <v>0</v>
      </c>
      <c r="C1066" s="57">
        <v>0</v>
      </c>
      <c r="D1066" s="57">
        <v>71.947982699999997</v>
      </c>
      <c r="E1066" s="57">
        <v>85.414482589065656</v>
      </c>
      <c r="F1066" s="57">
        <v>78.88646700000001</v>
      </c>
      <c r="G1066" s="57">
        <v>76.315771855171022</v>
      </c>
      <c r="H1066" s="58">
        <v>0.18716994394709641</v>
      </c>
      <c r="I1066" s="58">
        <v>-3.2587276913148999E-2</v>
      </c>
      <c r="J1066" s="58">
        <v>7.2236844871365502E-2</v>
      </c>
    </row>
    <row r="1067" spans="1:10" ht="11.25" customHeight="1" x14ac:dyDescent="0.2">
      <c r="A1067" s="67">
        <v>43952</v>
      </c>
      <c r="B1067" s="57">
        <v>0</v>
      </c>
      <c r="C1067" s="57">
        <v>0</v>
      </c>
      <c r="D1067" s="57">
        <v>90.539192700000001</v>
      </c>
      <c r="E1067" s="57">
        <v>107.48540832267435</v>
      </c>
      <c r="F1067" s="57">
        <v>99.270567</v>
      </c>
      <c r="G1067" s="57">
        <v>96.035609543845695</v>
      </c>
      <c r="H1067" s="58">
        <v>0.18716994394709618</v>
      </c>
      <c r="I1067" s="58">
        <v>-3.2587276913148888E-2</v>
      </c>
      <c r="J1067" s="58">
        <v>7.223684487136528E-2</v>
      </c>
    </row>
    <row r="1068" spans="1:10" ht="11.25" customHeight="1" x14ac:dyDescent="0.2">
      <c r="A1068" s="67">
        <v>43983</v>
      </c>
      <c r="B1068" s="57">
        <v>0</v>
      </c>
      <c r="C1068" s="57">
        <v>0</v>
      </c>
      <c r="D1068" s="57">
        <v>294.8565906</v>
      </c>
      <c r="E1068" s="57">
        <v>350.0448821350339</v>
      </c>
      <c r="F1068" s="57">
        <v>323.29182600000001</v>
      </c>
      <c r="G1068" s="57">
        <v>312.75662574238049</v>
      </c>
      <c r="H1068" s="58">
        <v>0.18716994394709618</v>
      </c>
      <c r="I1068" s="58">
        <v>-3.2587276913148777E-2</v>
      </c>
      <c r="J1068" s="58">
        <v>7.2236844871365502E-2</v>
      </c>
    </row>
    <row r="1069" spans="1:10" ht="11.25" customHeight="1" x14ac:dyDescent="0.2">
      <c r="A1069" s="67">
        <v>44013</v>
      </c>
      <c r="B1069" s="57">
        <v>0</v>
      </c>
      <c r="C1069" s="57">
        <v>0</v>
      </c>
      <c r="D1069" s="57">
        <v>253.27425090000003</v>
      </c>
      <c r="E1069" s="57">
        <v>300.6795782441958</v>
      </c>
      <c r="F1069" s="57">
        <v>277.69938900000005</v>
      </c>
      <c r="G1069" s="57">
        <v>268.64992211204475</v>
      </c>
      <c r="H1069" s="58">
        <v>0.18716994394709618</v>
      </c>
      <c r="I1069" s="58">
        <v>-3.258727691314911E-2</v>
      </c>
      <c r="J1069" s="58">
        <v>7.2236844871365058E-2</v>
      </c>
    </row>
    <row r="1070" spans="1:10" ht="11.25" customHeight="1" x14ac:dyDescent="0.2">
      <c r="A1070" s="67">
        <v>44044</v>
      </c>
      <c r="B1070" s="57">
        <v>0</v>
      </c>
      <c r="C1070" s="57">
        <v>0</v>
      </c>
      <c r="D1070" s="57">
        <v>707.08568699999989</v>
      </c>
      <c r="E1070" s="57">
        <v>839.43087540158399</v>
      </c>
      <c r="F1070" s="57">
        <v>775.27526999999998</v>
      </c>
      <c r="G1070" s="57">
        <v>750.01116009259374</v>
      </c>
      <c r="H1070" s="58">
        <v>0.18716994394709641</v>
      </c>
      <c r="I1070" s="58">
        <v>-3.2587276913148888E-2</v>
      </c>
      <c r="J1070" s="58">
        <v>7.2236844871365502E-2</v>
      </c>
    </row>
    <row r="1071" spans="1:10" ht="11.25" customHeight="1" x14ac:dyDescent="0.2">
      <c r="A1071" s="67">
        <v>44075</v>
      </c>
      <c r="B1071" s="57">
        <v>0</v>
      </c>
      <c r="C1071" s="57">
        <v>0</v>
      </c>
      <c r="D1071" s="57">
        <v>707.08568699999989</v>
      </c>
      <c r="E1071" s="57">
        <v>839.43087540158399</v>
      </c>
      <c r="F1071" s="57">
        <v>775.27526999999998</v>
      </c>
      <c r="G1071" s="57">
        <v>750.01116009259374</v>
      </c>
      <c r="H1071" s="58">
        <v>0.18716994394709641</v>
      </c>
      <c r="I1071" s="58">
        <v>-3.2587276913148888E-2</v>
      </c>
      <c r="J1071" s="58">
        <v>7.2236844871365502E-2</v>
      </c>
    </row>
    <row r="1072" spans="1:10" ht="11.25" customHeight="1" x14ac:dyDescent="0.2">
      <c r="A1072" s="63" t="s">
        <v>25</v>
      </c>
      <c r="B1072" s="57">
        <v>0</v>
      </c>
      <c r="C1072" s="57">
        <v>0</v>
      </c>
      <c r="D1072" s="57">
        <v>15284499.268759998</v>
      </c>
      <c r="E1072" s="57">
        <v>18145298.140153244</v>
      </c>
      <c r="F1072" s="57">
        <v>16758498.319599999</v>
      </c>
      <c r="G1072" s="57">
        <v>16212384.494210653</v>
      </c>
      <c r="H1072" s="58">
        <v>0.18716994394709618</v>
      </c>
      <c r="I1072" s="58">
        <v>-3.2587276913148999E-2</v>
      </c>
      <c r="J1072" s="58">
        <v>7.223684487136528E-2</v>
      </c>
    </row>
    <row r="1073" spans="1:10" ht="11.25" customHeight="1" x14ac:dyDescent="0.2">
      <c r="A1073" s="64" t="s">
        <v>25</v>
      </c>
      <c r="B1073" s="57">
        <v>0</v>
      </c>
      <c r="C1073" s="57">
        <v>0</v>
      </c>
      <c r="D1073" s="57">
        <v>15284499.268759998</v>
      </c>
      <c r="E1073" s="57">
        <v>18145298.140153244</v>
      </c>
      <c r="F1073" s="57">
        <v>16758498.319599999</v>
      </c>
      <c r="G1073" s="57">
        <v>16212384.494210653</v>
      </c>
      <c r="H1073" s="58">
        <v>0.18716994394709618</v>
      </c>
      <c r="I1073" s="58">
        <v>-3.2587276913148999E-2</v>
      </c>
      <c r="J1073" s="58">
        <v>7.223684487136528E-2</v>
      </c>
    </row>
    <row r="1074" spans="1:10" ht="11.25" customHeight="1" x14ac:dyDescent="0.2">
      <c r="A1074" s="65" t="s">
        <v>25</v>
      </c>
      <c r="B1074" s="57">
        <v>0</v>
      </c>
      <c r="C1074" s="57">
        <v>0</v>
      </c>
      <c r="D1074" s="57">
        <v>15284499.268759998</v>
      </c>
      <c r="E1074" s="57">
        <v>18145298.140153244</v>
      </c>
      <c r="F1074" s="57">
        <v>16758498.319599999</v>
      </c>
      <c r="G1074" s="57">
        <v>16212384.494210653</v>
      </c>
      <c r="H1074" s="58">
        <v>0.18716994394709618</v>
      </c>
      <c r="I1074" s="58">
        <v>-3.2587276913148999E-2</v>
      </c>
      <c r="J1074" s="58">
        <v>7.223684487136528E-2</v>
      </c>
    </row>
    <row r="1075" spans="1:10" ht="11.25" customHeight="1" x14ac:dyDescent="0.2">
      <c r="A1075" s="66" t="s">
        <v>25</v>
      </c>
      <c r="B1075" s="57">
        <v>0</v>
      </c>
      <c r="C1075" s="57">
        <v>0</v>
      </c>
      <c r="D1075" s="57">
        <v>15284499.268759998</v>
      </c>
      <c r="E1075" s="57">
        <v>18145298.140153244</v>
      </c>
      <c r="F1075" s="57">
        <v>16758498.319599999</v>
      </c>
      <c r="G1075" s="57">
        <v>16212384.494210653</v>
      </c>
      <c r="H1075" s="58">
        <v>0.18716994394709618</v>
      </c>
      <c r="I1075" s="58">
        <v>-3.2587276913148999E-2</v>
      </c>
      <c r="J1075" s="58">
        <v>7.223684487136528E-2</v>
      </c>
    </row>
    <row r="1076" spans="1:10" ht="11.25" customHeight="1" x14ac:dyDescent="0.2">
      <c r="A1076" s="67">
        <v>43739</v>
      </c>
      <c r="B1076" s="57">
        <v>0</v>
      </c>
      <c r="C1076" s="57">
        <v>0</v>
      </c>
      <c r="D1076" s="57">
        <v>1467433.31275</v>
      </c>
      <c r="E1076" s="57">
        <v>1742092.7236435192</v>
      </c>
      <c r="F1076" s="57">
        <v>1608948.9275000002</v>
      </c>
      <c r="G1076" s="57">
        <v>1556517.6632604436</v>
      </c>
      <c r="H1076" s="58">
        <v>0.18716994394709618</v>
      </c>
      <c r="I1076" s="58">
        <v>-3.2587276913148999E-2</v>
      </c>
      <c r="J1076" s="58">
        <v>7.223684487136528E-2</v>
      </c>
    </row>
    <row r="1077" spans="1:10" ht="11.25" customHeight="1" x14ac:dyDescent="0.2">
      <c r="A1077" s="67">
        <v>43770</v>
      </c>
      <c r="B1077" s="57">
        <v>0</v>
      </c>
      <c r="C1077" s="57">
        <v>0</v>
      </c>
      <c r="D1077" s="57">
        <v>1439020.31017</v>
      </c>
      <c r="E1077" s="57">
        <v>1708361.6609632522</v>
      </c>
      <c r="F1077" s="57">
        <v>1577795.8456999999</v>
      </c>
      <c r="G1077" s="57">
        <v>1526379.7755637583</v>
      </c>
      <c r="H1077" s="58">
        <v>0.18716994394709641</v>
      </c>
      <c r="I1077" s="58">
        <v>-3.2587276913148777E-2</v>
      </c>
      <c r="J1077" s="58">
        <v>7.2236844871365502E-2</v>
      </c>
    </row>
    <row r="1078" spans="1:10" ht="11.25" customHeight="1" x14ac:dyDescent="0.2">
      <c r="A1078" s="67">
        <v>43800</v>
      </c>
      <c r="B1078" s="57">
        <v>0</v>
      </c>
      <c r="C1078" s="57">
        <v>0</v>
      </c>
      <c r="D1078" s="57">
        <v>1183153.0549499998</v>
      </c>
      <c r="E1078" s="57">
        <v>1404603.7459258272</v>
      </c>
      <c r="F1078" s="57">
        <v>1297253.3894999998</v>
      </c>
      <c r="G1078" s="57">
        <v>1254979.4340698426</v>
      </c>
      <c r="H1078" s="58">
        <v>0.18716994394709641</v>
      </c>
      <c r="I1078" s="58">
        <v>-3.2587276913148666E-2</v>
      </c>
      <c r="J1078" s="58">
        <v>7.2236844871365724E-2</v>
      </c>
    </row>
    <row r="1079" spans="1:10" ht="11.25" customHeight="1" x14ac:dyDescent="0.2">
      <c r="A1079" s="67">
        <v>43831</v>
      </c>
      <c r="B1079" s="57">
        <v>0</v>
      </c>
      <c r="C1079" s="57">
        <v>0</v>
      </c>
      <c r="D1079" s="57">
        <v>1275210.5298000001</v>
      </c>
      <c r="E1079" s="57">
        <v>1513891.6131834129</v>
      </c>
      <c r="F1079" s="57">
        <v>1398188.6580000001</v>
      </c>
      <c r="G1079" s="57">
        <v>1352625.4970249303</v>
      </c>
      <c r="H1079" s="58">
        <v>0.18716994394709618</v>
      </c>
      <c r="I1079" s="58">
        <v>-3.2587276913148666E-2</v>
      </c>
      <c r="J1079" s="58">
        <v>7.223684487136528E-2</v>
      </c>
    </row>
    <row r="1080" spans="1:10" ht="11.25" customHeight="1" x14ac:dyDescent="0.2">
      <c r="A1080" s="67">
        <v>43862</v>
      </c>
      <c r="B1080" s="57">
        <v>0</v>
      </c>
      <c r="C1080" s="57">
        <v>0</v>
      </c>
      <c r="D1080" s="57">
        <v>604855.81564000004</v>
      </c>
      <c r="E1080" s="57">
        <v>718066.64474941383</v>
      </c>
      <c r="F1080" s="57">
        <v>663186.60439999995</v>
      </c>
      <c r="G1080" s="57">
        <v>641575.15887732629</v>
      </c>
      <c r="H1080" s="58">
        <v>0.18716994394709596</v>
      </c>
      <c r="I1080" s="58">
        <v>-3.2587276913148777E-2</v>
      </c>
      <c r="J1080" s="58">
        <v>7.223684487136528E-2</v>
      </c>
    </row>
    <row r="1081" spans="1:10" ht="11.25" customHeight="1" x14ac:dyDescent="0.2">
      <c r="A1081" s="67">
        <v>43891</v>
      </c>
      <c r="B1081" s="57">
        <v>0</v>
      </c>
      <c r="C1081" s="57">
        <v>0</v>
      </c>
      <c r="D1081" s="57">
        <v>1131960.5619999999</v>
      </c>
      <c r="E1081" s="57">
        <v>1343829.5569398638</v>
      </c>
      <c r="F1081" s="57">
        <v>1241124.02</v>
      </c>
      <c r="G1081" s="57">
        <v>1200679.1678766995</v>
      </c>
      <c r="H1081" s="58">
        <v>0.18716994394709663</v>
      </c>
      <c r="I1081" s="58">
        <v>-3.2587276913148888E-2</v>
      </c>
      <c r="J1081" s="58">
        <v>7.2236844871365724E-2</v>
      </c>
    </row>
    <row r="1082" spans="1:10" ht="11.25" customHeight="1" x14ac:dyDescent="0.2">
      <c r="A1082" s="67">
        <v>43922</v>
      </c>
      <c r="B1082" s="57">
        <v>0</v>
      </c>
      <c r="C1082" s="57">
        <v>0</v>
      </c>
      <c r="D1082" s="57">
        <v>1290462.2702299997</v>
      </c>
      <c r="E1082" s="57">
        <v>1531998.0210147914</v>
      </c>
      <c r="F1082" s="57">
        <v>1414911.2383000001</v>
      </c>
      <c r="G1082" s="57">
        <v>1368803.1339699912</v>
      </c>
      <c r="H1082" s="58">
        <v>0.18716994394709641</v>
      </c>
      <c r="I1082" s="58">
        <v>-3.258727691314911E-2</v>
      </c>
      <c r="J1082" s="58">
        <v>7.223684487136528E-2</v>
      </c>
    </row>
    <row r="1083" spans="1:10" ht="11.25" customHeight="1" x14ac:dyDescent="0.2">
      <c r="A1083" s="67">
        <v>43952</v>
      </c>
      <c r="B1083" s="57">
        <v>0</v>
      </c>
      <c r="C1083" s="57">
        <v>0</v>
      </c>
      <c r="D1083" s="57">
        <v>1317931.25248</v>
      </c>
      <c r="E1083" s="57">
        <v>1564608.3711328078</v>
      </c>
      <c r="F1083" s="57">
        <v>1445029.2608000003</v>
      </c>
      <c r="G1083" s="57">
        <v>1397939.6921307077</v>
      </c>
      <c r="H1083" s="58">
        <v>0.18716994394709618</v>
      </c>
      <c r="I1083" s="58">
        <v>-3.2587276913148999E-2</v>
      </c>
      <c r="J1083" s="58">
        <v>7.223684487136528E-2</v>
      </c>
    </row>
    <row r="1084" spans="1:10" ht="11.25" customHeight="1" x14ac:dyDescent="0.2">
      <c r="A1084" s="67">
        <v>43983</v>
      </c>
      <c r="B1084" s="57">
        <v>0</v>
      </c>
      <c r="C1084" s="57">
        <v>0</v>
      </c>
      <c r="D1084" s="57">
        <v>1243502.3760899999</v>
      </c>
      <c r="E1084" s="57">
        <v>1476248.646120846</v>
      </c>
      <c r="F1084" s="57">
        <v>1363422.6488999999</v>
      </c>
      <c r="G1084" s="57">
        <v>1318992.4174906367</v>
      </c>
      <c r="H1084" s="58">
        <v>0.18716994394709618</v>
      </c>
      <c r="I1084" s="58">
        <v>-3.2587276913148888E-2</v>
      </c>
      <c r="J1084" s="58">
        <v>7.223684487136528E-2</v>
      </c>
    </row>
    <row r="1085" spans="1:10" ht="11.25" customHeight="1" x14ac:dyDescent="0.2">
      <c r="A1085" s="67">
        <v>44013</v>
      </c>
      <c r="B1085" s="57">
        <v>0</v>
      </c>
      <c r="C1085" s="57">
        <v>0</v>
      </c>
      <c r="D1085" s="57">
        <v>1319336.1094699998</v>
      </c>
      <c r="E1085" s="57">
        <v>1566276.1751268799</v>
      </c>
      <c r="F1085" s="57">
        <v>1446569.5987000002</v>
      </c>
      <c r="G1085" s="57">
        <v>1399429.8346130205</v>
      </c>
      <c r="H1085" s="58">
        <v>0.18716994394709641</v>
      </c>
      <c r="I1085" s="58">
        <v>-3.2587276913148999E-2</v>
      </c>
      <c r="J1085" s="58">
        <v>7.2236844871365502E-2</v>
      </c>
    </row>
    <row r="1086" spans="1:10" ht="11.25" customHeight="1" x14ac:dyDescent="0.2">
      <c r="A1086" s="67">
        <v>44044</v>
      </c>
      <c r="B1086" s="57">
        <v>0</v>
      </c>
      <c r="C1086" s="57">
        <v>0</v>
      </c>
      <c r="D1086" s="57">
        <v>1505816.8375899999</v>
      </c>
      <c r="E1086" s="57">
        <v>1787660.4906763139</v>
      </c>
      <c r="F1086" s="57">
        <v>1651034.0639000002</v>
      </c>
      <c r="G1086" s="57">
        <v>1597231.3596666493</v>
      </c>
      <c r="H1086" s="58">
        <v>0.18716994394709618</v>
      </c>
      <c r="I1086" s="58">
        <v>-3.2587276913148888E-2</v>
      </c>
      <c r="J1086" s="58">
        <v>7.223684487136528E-2</v>
      </c>
    </row>
    <row r="1087" spans="1:10" ht="11.25" customHeight="1" x14ac:dyDescent="0.2">
      <c r="A1087" s="67">
        <v>44075</v>
      </c>
      <c r="B1087" s="57">
        <v>0</v>
      </c>
      <c r="C1087" s="57">
        <v>0</v>
      </c>
      <c r="D1087" s="57">
        <v>1505816.8375899999</v>
      </c>
      <c r="E1087" s="57">
        <v>1787660.4906763139</v>
      </c>
      <c r="F1087" s="57">
        <v>1651034.0639000002</v>
      </c>
      <c r="G1087" s="57">
        <v>1597231.3596666493</v>
      </c>
      <c r="H1087" s="58">
        <v>0.18716994394709618</v>
      </c>
      <c r="I1087" s="58">
        <v>-3.2587276913148888E-2</v>
      </c>
      <c r="J1087" s="58">
        <v>7.223684487136528E-2</v>
      </c>
    </row>
    <row r="1088" spans="1:10" ht="11.25" customHeight="1" x14ac:dyDescent="0.2">
      <c r="A1088" s="60" t="s">
        <v>39</v>
      </c>
      <c r="B1088" s="57">
        <v>0</v>
      </c>
      <c r="C1088" s="57">
        <v>0</v>
      </c>
      <c r="D1088" s="57">
        <v>255842870.19882962</v>
      </c>
      <c r="E1088" s="57">
        <v>281497582.21714288</v>
      </c>
      <c r="F1088" s="57">
        <v>280653236.59763479</v>
      </c>
      <c r="G1088" s="57">
        <v>251644742.89947695</v>
      </c>
      <c r="H1088" s="58">
        <v>0.10027526660553598</v>
      </c>
      <c r="I1088" s="58">
        <v>-0.10336062412758418</v>
      </c>
      <c r="J1088" s="58">
        <v>-6.2512693705666367E-3</v>
      </c>
    </row>
    <row r="1089" spans="1:10" ht="11.25" customHeight="1" x14ac:dyDescent="0.2">
      <c r="A1089" s="61" t="s">
        <v>37</v>
      </c>
      <c r="B1089" s="57">
        <v>0</v>
      </c>
      <c r="C1089" s="57">
        <v>0</v>
      </c>
      <c r="D1089" s="57">
        <v>916111.51412000053</v>
      </c>
      <c r="E1089" s="57">
        <v>998298.14652982366</v>
      </c>
      <c r="F1089" s="57">
        <v>1140680.5943099989</v>
      </c>
      <c r="G1089" s="57">
        <v>1025424.9594526375</v>
      </c>
      <c r="H1089" s="58">
        <v>8.9712476203041236E-2</v>
      </c>
      <c r="I1089" s="58">
        <v>-0.10104111127364324</v>
      </c>
      <c r="J1089" s="58">
        <v>-1.6077950859497481E-2</v>
      </c>
    </row>
    <row r="1090" spans="1:10" ht="11.25" customHeight="1" x14ac:dyDescent="0.2">
      <c r="A1090" s="62" t="s">
        <v>42</v>
      </c>
      <c r="B1090" s="57">
        <v>0</v>
      </c>
      <c r="C1090" s="57">
        <v>0</v>
      </c>
      <c r="D1090" s="57">
        <v>822108.12157000008</v>
      </c>
      <c r="E1090" s="57">
        <v>895629.00019908766</v>
      </c>
      <c r="F1090" s="57">
        <v>1026971.2469099995</v>
      </c>
      <c r="G1090" s="57">
        <v>923255.2735001999</v>
      </c>
      <c r="H1090" s="58">
        <v>8.9429695073055093E-2</v>
      </c>
      <c r="I1090" s="58">
        <v>-0.10099209079306304</v>
      </c>
      <c r="J1090" s="58">
        <v>-1.6329799193819272E-2</v>
      </c>
    </row>
    <row r="1091" spans="1:10" ht="11.25" customHeight="1" x14ac:dyDescent="0.2">
      <c r="A1091" s="63" t="s">
        <v>25</v>
      </c>
      <c r="B1091" s="57">
        <v>0</v>
      </c>
      <c r="C1091" s="57">
        <v>0</v>
      </c>
      <c r="D1091" s="57">
        <v>822108.12157000008</v>
      </c>
      <c r="E1091" s="57">
        <v>895629.00019908766</v>
      </c>
      <c r="F1091" s="57">
        <v>1026971.2469099995</v>
      </c>
      <c r="G1091" s="57">
        <v>923255.2735001999</v>
      </c>
      <c r="H1091" s="58">
        <v>8.9429695073055093E-2</v>
      </c>
      <c r="I1091" s="58">
        <v>-0.10099209079306304</v>
      </c>
      <c r="J1091" s="58">
        <v>-1.6329799193819272E-2</v>
      </c>
    </row>
    <row r="1092" spans="1:10" ht="11.25" customHeight="1" x14ac:dyDescent="0.2">
      <c r="A1092" s="64" t="s">
        <v>25</v>
      </c>
      <c r="B1092" s="57">
        <v>0</v>
      </c>
      <c r="C1092" s="57">
        <v>0</v>
      </c>
      <c r="D1092" s="57">
        <v>822108.12157000008</v>
      </c>
      <c r="E1092" s="57">
        <v>895629.00019908766</v>
      </c>
      <c r="F1092" s="57">
        <v>1026971.2469099995</v>
      </c>
      <c r="G1092" s="57">
        <v>923255.2735001999</v>
      </c>
      <c r="H1092" s="58">
        <v>8.9429695073055093E-2</v>
      </c>
      <c r="I1092" s="58">
        <v>-0.10099209079306304</v>
      </c>
      <c r="J1092" s="58">
        <v>-1.6329799193819272E-2</v>
      </c>
    </row>
    <row r="1093" spans="1:10" ht="11.25" customHeight="1" x14ac:dyDescent="0.2">
      <c r="A1093" s="65" t="s">
        <v>25</v>
      </c>
      <c r="B1093" s="57">
        <v>0</v>
      </c>
      <c r="C1093" s="57">
        <v>0</v>
      </c>
      <c r="D1093" s="57">
        <v>822108.12157000008</v>
      </c>
      <c r="E1093" s="57">
        <v>895629.00019908766</v>
      </c>
      <c r="F1093" s="57">
        <v>1026971.2469099995</v>
      </c>
      <c r="G1093" s="57">
        <v>923255.2735001999</v>
      </c>
      <c r="H1093" s="58">
        <v>8.9429695073055093E-2</v>
      </c>
      <c r="I1093" s="58">
        <v>-0.10099209079306304</v>
      </c>
      <c r="J1093" s="58">
        <v>-1.6329799193819272E-2</v>
      </c>
    </row>
    <row r="1094" spans="1:10" ht="11.25" customHeight="1" x14ac:dyDescent="0.2">
      <c r="A1094" s="66" t="s">
        <v>36</v>
      </c>
      <c r="B1094" s="57">
        <v>0</v>
      </c>
      <c r="C1094" s="57">
        <v>0</v>
      </c>
      <c r="D1094" s="57">
        <v>744032.96982</v>
      </c>
      <c r="E1094" s="57">
        <v>807289.32539641112</v>
      </c>
      <c r="F1094" s="57">
        <v>967367.37563999998</v>
      </c>
      <c r="G1094" s="57">
        <v>871011.72559999302</v>
      </c>
      <c r="H1094" s="58">
        <v>8.5018215781102358E-2</v>
      </c>
      <c r="I1094" s="58">
        <v>-9.9606057084836608E-2</v>
      </c>
      <c r="J1094" s="58">
        <v>-1.9340474338106262E-2</v>
      </c>
    </row>
    <row r="1095" spans="1:10" ht="11.25" customHeight="1" x14ac:dyDescent="0.2">
      <c r="A1095" s="67">
        <v>43739</v>
      </c>
      <c r="B1095" s="57">
        <v>0</v>
      </c>
      <c r="C1095" s="57">
        <v>0</v>
      </c>
      <c r="D1095" s="57">
        <v>71082.656820000004</v>
      </c>
      <c r="E1095" s="57">
        <v>77125.977475816777</v>
      </c>
      <c r="F1095" s="57">
        <v>92419.349639999986</v>
      </c>
      <c r="G1095" s="57">
        <v>83213.822624014647</v>
      </c>
      <c r="H1095" s="58">
        <v>8.5018215781101913E-2</v>
      </c>
      <c r="I1095" s="58">
        <v>-9.9606057084836941E-2</v>
      </c>
      <c r="J1095" s="58">
        <v>-1.9340474338106706E-2</v>
      </c>
    </row>
    <row r="1096" spans="1:10" ht="11.25" customHeight="1" x14ac:dyDescent="0.2">
      <c r="A1096" s="67">
        <v>43770</v>
      </c>
      <c r="B1096" s="57">
        <v>0</v>
      </c>
      <c r="C1096" s="57">
        <v>0</v>
      </c>
      <c r="D1096" s="57">
        <v>278616.06108000001</v>
      </c>
      <c r="E1096" s="57">
        <v>302303.50148098014</v>
      </c>
      <c r="F1096" s="57">
        <v>362247.50615999999</v>
      </c>
      <c r="G1096" s="57">
        <v>326165.46038258716</v>
      </c>
      <c r="H1096" s="58">
        <v>8.5018215781101913E-2</v>
      </c>
      <c r="I1096" s="58">
        <v>-9.9606057084837052E-2</v>
      </c>
      <c r="J1096" s="58">
        <v>-1.9340474338106595E-2</v>
      </c>
    </row>
    <row r="1097" spans="1:10" ht="11.25" customHeight="1" x14ac:dyDescent="0.2">
      <c r="A1097" s="67">
        <v>43800</v>
      </c>
      <c r="B1097" s="57">
        <v>0</v>
      </c>
      <c r="C1097" s="57">
        <v>0</v>
      </c>
      <c r="D1097" s="57">
        <v>-120813.18605999999</v>
      </c>
      <c r="E1097" s="57">
        <v>-131084.5075816515</v>
      </c>
      <c r="F1097" s="57">
        <v>-157077.36012</v>
      </c>
      <c r="G1097" s="57">
        <v>-141431.50362115176</v>
      </c>
      <c r="H1097" s="58">
        <v>8.5018215781102136E-2</v>
      </c>
      <c r="I1097" s="58">
        <v>-9.9606057084837163E-2</v>
      </c>
      <c r="J1097" s="58">
        <v>-1.9340474338106817E-2</v>
      </c>
    </row>
    <row r="1098" spans="1:10" ht="11.25" customHeight="1" x14ac:dyDescent="0.2">
      <c r="A1098" s="67">
        <v>43831</v>
      </c>
      <c r="B1098" s="57">
        <v>0</v>
      </c>
      <c r="C1098" s="57">
        <v>0</v>
      </c>
      <c r="D1098" s="57">
        <v>73830.105089999997</v>
      </c>
      <c r="E1098" s="57">
        <v>80107.008895683073</v>
      </c>
      <c r="F1098" s="57">
        <v>95991.492180000001</v>
      </c>
      <c r="G1098" s="57">
        <v>86430.158130260228</v>
      </c>
      <c r="H1098" s="58">
        <v>8.5018215781102358E-2</v>
      </c>
      <c r="I1098" s="58">
        <v>-9.9606057084837052E-2</v>
      </c>
      <c r="J1098" s="58">
        <v>-1.9340474338106595E-2</v>
      </c>
    </row>
    <row r="1099" spans="1:10" ht="11.25" customHeight="1" x14ac:dyDescent="0.2">
      <c r="A1099" s="67">
        <v>43862</v>
      </c>
      <c r="B1099" s="57">
        <v>0</v>
      </c>
      <c r="C1099" s="57">
        <v>0</v>
      </c>
      <c r="D1099" s="57">
        <v>69268.508820000003</v>
      </c>
      <c r="E1099" s="57">
        <v>75157.593849693934</v>
      </c>
      <c r="F1099" s="57">
        <v>90060.653640000004</v>
      </c>
      <c r="G1099" s="57">
        <v>81090.067032436418</v>
      </c>
      <c r="H1099" s="58">
        <v>8.5018215781102136E-2</v>
      </c>
      <c r="I1099" s="58">
        <v>-9.9606057084837163E-2</v>
      </c>
      <c r="J1099" s="58">
        <v>-1.9340474338106706E-2</v>
      </c>
    </row>
    <row r="1100" spans="1:10" ht="11.25" customHeight="1" x14ac:dyDescent="0.2">
      <c r="A1100" s="67">
        <v>43891</v>
      </c>
      <c r="B1100" s="57">
        <v>0</v>
      </c>
      <c r="C1100" s="57">
        <v>0</v>
      </c>
      <c r="D1100" s="57">
        <v>66876.594119999994</v>
      </c>
      <c r="E1100" s="57">
        <v>72562.322829599347</v>
      </c>
      <c r="F1100" s="57">
        <v>86950.764240000004</v>
      </c>
      <c r="G1100" s="57">
        <v>78289.941453540348</v>
      </c>
      <c r="H1100" s="58">
        <v>8.5018215781102136E-2</v>
      </c>
      <c r="I1100" s="58">
        <v>-9.9606057084837163E-2</v>
      </c>
      <c r="J1100" s="58">
        <v>-1.9340474338106706E-2</v>
      </c>
    </row>
    <row r="1101" spans="1:10" ht="11.25" customHeight="1" x14ac:dyDescent="0.2">
      <c r="A1101" s="67">
        <v>43922</v>
      </c>
      <c r="B1101" s="57">
        <v>0</v>
      </c>
      <c r="C1101" s="57">
        <v>0</v>
      </c>
      <c r="D1101" s="57">
        <v>57078.223019999998</v>
      </c>
      <c r="E1101" s="57">
        <v>61930.911701116231</v>
      </c>
      <c r="F1101" s="57">
        <v>74211.242039999997</v>
      </c>
      <c r="G1101" s="57">
        <v>66819.352829027106</v>
      </c>
      <c r="H1101" s="58">
        <v>8.5018215781102136E-2</v>
      </c>
      <c r="I1101" s="58">
        <v>-9.9606057084836941E-2</v>
      </c>
      <c r="J1101" s="58">
        <v>-1.9340474338106484E-2</v>
      </c>
    </row>
    <row r="1102" spans="1:10" ht="11.25" customHeight="1" x14ac:dyDescent="0.2">
      <c r="A1102" s="67">
        <v>43952</v>
      </c>
      <c r="B1102" s="57">
        <v>0</v>
      </c>
      <c r="C1102" s="57">
        <v>0</v>
      </c>
      <c r="D1102" s="57">
        <v>48569.474519999996</v>
      </c>
      <c r="E1102" s="57">
        <v>52698.7645851161</v>
      </c>
      <c r="F1102" s="57">
        <v>63148.445039999991</v>
      </c>
      <c r="G1102" s="57">
        <v>56858.477418527058</v>
      </c>
      <c r="H1102" s="58">
        <v>8.5018215781102136E-2</v>
      </c>
      <c r="I1102" s="58">
        <v>-9.9606057084837052E-2</v>
      </c>
      <c r="J1102" s="58">
        <v>-1.9340474338106484E-2</v>
      </c>
    </row>
    <row r="1103" spans="1:10" ht="11.25" customHeight="1" x14ac:dyDescent="0.2">
      <c r="A1103" s="67">
        <v>43983</v>
      </c>
      <c r="B1103" s="57">
        <v>0</v>
      </c>
      <c r="C1103" s="57">
        <v>0</v>
      </c>
      <c r="D1103" s="57">
        <v>44979.236190000003</v>
      </c>
      <c r="E1103" s="57">
        <v>48803.290598070576</v>
      </c>
      <c r="F1103" s="57">
        <v>58480.534380000005</v>
      </c>
      <c r="G1103" s="57">
        <v>52655.51893419394</v>
      </c>
      <c r="H1103" s="58">
        <v>8.5018215781101913E-2</v>
      </c>
      <c r="I1103" s="58">
        <v>-9.9606057084837163E-2</v>
      </c>
      <c r="J1103" s="58">
        <v>-1.9340474338106817E-2</v>
      </c>
    </row>
    <row r="1104" spans="1:10" ht="11.25" customHeight="1" x14ac:dyDescent="0.2">
      <c r="A1104" s="67">
        <v>44013</v>
      </c>
      <c r="B1104" s="57">
        <v>0</v>
      </c>
      <c r="C1104" s="57">
        <v>0</v>
      </c>
      <c r="D1104" s="57">
        <v>48304.451160000004</v>
      </c>
      <c r="E1104" s="57">
        <v>52411.209411908589</v>
      </c>
      <c r="F1104" s="57">
        <v>62803.870320000002</v>
      </c>
      <c r="G1104" s="57">
        <v>56548.224427757377</v>
      </c>
      <c r="H1104" s="58">
        <v>8.5018215781102136E-2</v>
      </c>
      <c r="I1104" s="58">
        <v>-9.9606057084837052E-2</v>
      </c>
      <c r="J1104" s="58">
        <v>-1.9340474338106706E-2</v>
      </c>
    </row>
    <row r="1105" spans="1:10" ht="11.25" customHeight="1" x14ac:dyDescent="0.2">
      <c r="A1105" s="67">
        <v>44044</v>
      </c>
      <c r="B1105" s="57">
        <v>0</v>
      </c>
      <c r="C1105" s="57">
        <v>0</v>
      </c>
      <c r="D1105" s="57">
        <v>53120.422529999996</v>
      </c>
      <c r="E1105" s="57">
        <v>57636.626075038861</v>
      </c>
      <c r="F1105" s="57">
        <v>69065.439060000004</v>
      </c>
      <c r="G1105" s="57">
        <v>62186.102994400309</v>
      </c>
      <c r="H1105" s="58">
        <v>8.5018215781102136E-2</v>
      </c>
      <c r="I1105" s="58">
        <v>-9.9606057084837052E-2</v>
      </c>
      <c r="J1105" s="58">
        <v>-1.9340474338106484E-2</v>
      </c>
    </row>
    <row r="1106" spans="1:10" ht="11.25" customHeight="1" x14ac:dyDescent="0.2">
      <c r="A1106" s="67">
        <v>44075</v>
      </c>
      <c r="B1106" s="57">
        <v>0</v>
      </c>
      <c r="C1106" s="57">
        <v>0</v>
      </c>
      <c r="D1106" s="57">
        <v>53120.422529999996</v>
      </c>
      <c r="E1106" s="57">
        <v>57636.626075038861</v>
      </c>
      <c r="F1106" s="57">
        <v>69065.439060000004</v>
      </c>
      <c r="G1106" s="57">
        <v>62186.102994400309</v>
      </c>
      <c r="H1106" s="58">
        <v>8.5018215781102136E-2</v>
      </c>
      <c r="I1106" s="58">
        <v>-9.9606057084837052E-2</v>
      </c>
      <c r="J1106" s="58">
        <v>-1.9340474338106484E-2</v>
      </c>
    </row>
    <row r="1107" spans="1:10" ht="11.25" customHeight="1" x14ac:dyDescent="0.2">
      <c r="A1107" s="66" t="s">
        <v>38</v>
      </c>
      <c r="B1107" s="57">
        <v>0</v>
      </c>
      <c r="C1107" s="57">
        <v>0</v>
      </c>
      <c r="D1107" s="57">
        <v>13912.269400000019</v>
      </c>
      <c r="E1107" s="57">
        <v>15594.63198529309</v>
      </c>
      <c r="F1107" s="57">
        <v>9521.6968200000119</v>
      </c>
      <c r="G1107" s="57">
        <v>8573.2781430025352</v>
      </c>
      <c r="H1107" s="58">
        <v>0.12092653879266235</v>
      </c>
      <c r="I1107" s="58">
        <v>-9.9606057084843047E-2</v>
      </c>
      <c r="J1107" s="58">
        <v>3.1319662297250694E-2</v>
      </c>
    </row>
    <row r="1108" spans="1:10" ht="11.25" customHeight="1" x14ac:dyDescent="0.2">
      <c r="A1108" s="67">
        <v>43739</v>
      </c>
      <c r="B1108" s="57">
        <v>0</v>
      </c>
      <c r="C1108" s="57">
        <v>0</v>
      </c>
      <c r="D1108" s="57">
        <v>9395.3425999999999</v>
      </c>
      <c r="E1108" s="57">
        <v>10531.488861389309</v>
      </c>
      <c r="F1108" s="57">
        <v>6430.266779999999</v>
      </c>
      <c r="G1108" s="57">
        <v>5789.7732600405889</v>
      </c>
      <c r="H1108" s="58">
        <v>0.12092653879266835</v>
      </c>
      <c r="I1108" s="58">
        <v>-9.960605708483683E-2</v>
      </c>
      <c r="J1108" s="58">
        <v>3.1319662297256912E-2</v>
      </c>
    </row>
    <row r="1109" spans="1:10" ht="11.25" customHeight="1" x14ac:dyDescent="0.2">
      <c r="A1109" s="67">
        <v>43770</v>
      </c>
      <c r="B1109" s="57">
        <v>0</v>
      </c>
      <c r="C1109" s="57">
        <v>0</v>
      </c>
      <c r="D1109" s="57">
        <v>385536.82160000002</v>
      </c>
      <c r="E1109" s="57">
        <v>432158.45501321444</v>
      </c>
      <c r="F1109" s="57">
        <v>263865.27048000001</v>
      </c>
      <c r="G1109" s="57">
        <v>237582.69128586311</v>
      </c>
      <c r="H1109" s="58">
        <v>0.12092653879266813</v>
      </c>
      <c r="I1109" s="58">
        <v>-9.9606057084837274E-2</v>
      </c>
      <c r="J1109" s="58">
        <v>3.1319662297256468E-2</v>
      </c>
    </row>
    <row r="1110" spans="1:10" ht="11.25" customHeight="1" x14ac:dyDescent="0.2">
      <c r="A1110" s="67">
        <v>43800</v>
      </c>
      <c r="B1110" s="57">
        <v>0</v>
      </c>
      <c r="C1110" s="57">
        <v>0</v>
      </c>
      <c r="D1110" s="57">
        <v>-364182.74859999999</v>
      </c>
      <c r="E1110" s="57">
        <v>-408222.10787619848</v>
      </c>
      <c r="F1110" s="57">
        <v>-249250.32858</v>
      </c>
      <c r="G1110" s="57">
        <v>-224423.48612304611</v>
      </c>
      <c r="H1110" s="58">
        <v>0.12092653879266835</v>
      </c>
      <c r="I1110" s="58">
        <v>-9.9606057084837163E-2</v>
      </c>
      <c r="J1110" s="58">
        <v>3.131966229725669E-2</v>
      </c>
    </row>
    <row r="1111" spans="1:10" ht="11.25" customHeight="1" x14ac:dyDescent="0.2">
      <c r="A1111" s="67">
        <v>43831</v>
      </c>
      <c r="B1111" s="57">
        <v>0</v>
      </c>
      <c r="C1111" s="57">
        <v>0</v>
      </c>
      <c r="D1111" s="57">
        <v>6455.1072000000004</v>
      </c>
      <c r="E1111" s="57">
        <v>7235.700971231633</v>
      </c>
      <c r="F1111" s="57">
        <v>4417.9401599999992</v>
      </c>
      <c r="G1111" s="57">
        <v>3977.8865602256456</v>
      </c>
      <c r="H1111" s="58">
        <v>0.12092653879266835</v>
      </c>
      <c r="I1111" s="58">
        <v>-9.9606057084836941E-2</v>
      </c>
      <c r="J1111" s="58">
        <v>3.131966229725669E-2</v>
      </c>
    </row>
    <row r="1112" spans="1:10" ht="11.25" customHeight="1" x14ac:dyDescent="0.2">
      <c r="A1112" s="67">
        <v>43862</v>
      </c>
      <c r="B1112" s="57">
        <v>0</v>
      </c>
      <c r="C1112" s="57">
        <v>0</v>
      </c>
      <c r="D1112" s="57">
        <v>8652.5108</v>
      </c>
      <c r="E1112" s="57">
        <v>9698.8289829101814</v>
      </c>
      <c r="F1112" s="57">
        <v>5921.8652399999992</v>
      </c>
      <c r="G1112" s="57">
        <v>5332.0115928558471</v>
      </c>
      <c r="H1112" s="58">
        <v>0.12092653879266835</v>
      </c>
      <c r="I1112" s="58">
        <v>-9.9606057084837052E-2</v>
      </c>
      <c r="J1112" s="58">
        <v>3.131966229725669E-2</v>
      </c>
    </row>
    <row r="1113" spans="1:10" ht="11.25" customHeight="1" x14ac:dyDescent="0.2">
      <c r="A1113" s="67">
        <v>43891</v>
      </c>
      <c r="B1113" s="57">
        <v>0</v>
      </c>
      <c r="C1113" s="57">
        <v>0</v>
      </c>
      <c r="D1113" s="57">
        <v>7684.1698000000006</v>
      </c>
      <c r="E1113" s="57">
        <v>8613.3898574091509</v>
      </c>
      <c r="F1113" s="57">
        <v>5259.1229400000002</v>
      </c>
      <c r="G1113" s="57">
        <v>4735.2824402221841</v>
      </c>
      <c r="H1113" s="58">
        <v>0.12092653879266835</v>
      </c>
      <c r="I1113" s="58">
        <v>-9.9606057084837052E-2</v>
      </c>
      <c r="J1113" s="58">
        <v>3.131966229725669E-2</v>
      </c>
    </row>
    <row r="1114" spans="1:10" ht="11.25" customHeight="1" x14ac:dyDescent="0.2">
      <c r="A1114" s="67">
        <v>43922</v>
      </c>
      <c r="B1114" s="57">
        <v>0</v>
      </c>
      <c r="C1114" s="57">
        <v>0</v>
      </c>
      <c r="D1114" s="57">
        <v>6550.2556000000004</v>
      </c>
      <c r="E1114" s="57">
        <v>7342.3553379152927</v>
      </c>
      <c r="F1114" s="57">
        <v>4483.0606799999996</v>
      </c>
      <c r="G1114" s="57">
        <v>4036.5206819931318</v>
      </c>
      <c r="H1114" s="58">
        <v>0.12092653879266813</v>
      </c>
      <c r="I1114" s="58">
        <v>-9.9606057084836941E-2</v>
      </c>
      <c r="J1114" s="58">
        <v>3.131966229725669E-2</v>
      </c>
    </row>
    <row r="1115" spans="1:10" ht="11.25" customHeight="1" x14ac:dyDescent="0.2">
      <c r="A1115" s="67">
        <v>43952</v>
      </c>
      <c r="B1115" s="57">
        <v>0</v>
      </c>
      <c r="C1115" s="57">
        <v>0</v>
      </c>
      <c r="D1115" s="57">
        <v>5466.1632000000009</v>
      </c>
      <c r="E1115" s="57">
        <v>6127.1673962518562</v>
      </c>
      <c r="F1115" s="57">
        <v>3741.0969599999999</v>
      </c>
      <c r="G1115" s="57">
        <v>3368.4610426423301</v>
      </c>
      <c r="H1115" s="58">
        <v>0.12092653879266813</v>
      </c>
      <c r="I1115" s="58">
        <v>-9.9606057084836941E-2</v>
      </c>
      <c r="J1115" s="58">
        <v>3.1319662297256468E-2</v>
      </c>
    </row>
    <row r="1116" spans="1:10" ht="11.25" customHeight="1" x14ac:dyDescent="0.2">
      <c r="A1116" s="67">
        <v>43983</v>
      </c>
      <c r="B1116" s="57">
        <v>0</v>
      </c>
      <c r="C1116" s="57">
        <v>0</v>
      </c>
      <c r="D1116" s="57">
        <v>40978.992400000003</v>
      </c>
      <c r="E1116" s="57">
        <v>45934.440114143064</v>
      </c>
      <c r="F1116" s="57">
        <v>28046.433719999997</v>
      </c>
      <c r="G1116" s="57">
        <v>25252.839041859581</v>
      </c>
      <c r="H1116" s="58">
        <v>0.12092653879266835</v>
      </c>
      <c r="I1116" s="58">
        <v>-9.9606057084836941E-2</v>
      </c>
      <c r="J1116" s="58">
        <v>3.131966229725669E-2</v>
      </c>
    </row>
    <row r="1117" spans="1:10" ht="11.25" customHeight="1" x14ac:dyDescent="0.2">
      <c r="A1117" s="67">
        <v>44013</v>
      </c>
      <c r="B1117" s="57">
        <v>0</v>
      </c>
      <c r="C1117" s="57">
        <v>0</v>
      </c>
      <c r="D1117" s="57">
        <v>44524.2068</v>
      </c>
      <c r="E1117" s="57">
        <v>49908.365020812991</v>
      </c>
      <c r="F1117" s="57">
        <v>30472.814039999997</v>
      </c>
      <c r="G1117" s="57">
        <v>27437.537185196135</v>
      </c>
      <c r="H1117" s="58">
        <v>0.12092653879266835</v>
      </c>
      <c r="I1117" s="58">
        <v>-9.9606057084837052E-2</v>
      </c>
      <c r="J1117" s="58">
        <v>3.131966229725669E-2</v>
      </c>
    </row>
    <row r="1118" spans="1:10" ht="11.25" customHeight="1" x14ac:dyDescent="0.2">
      <c r="A1118" s="67">
        <v>44044</v>
      </c>
      <c r="B1118" s="57">
        <v>0</v>
      </c>
      <c r="C1118" s="57">
        <v>0</v>
      </c>
      <c r="D1118" s="57">
        <v>-68574.275999999998</v>
      </c>
      <c r="E1118" s="57">
        <v>-76866.725846893154</v>
      </c>
      <c r="F1118" s="57">
        <v>-46932.9228</v>
      </c>
      <c r="G1118" s="57">
        <v>-42258.119412424952</v>
      </c>
      <c r="H1118" s="58">
        <v>0.12092653879266857</v>
      </c>
      <c r="I1118" s="58">
        <v>-9.9606057084837052E-2</v>
      </c>
      <c r="J1118" s="58">
        <v>3.131966229725669E-2</v>
      </c>
    </row>
    <row r="1119" spans="1:10" ht="11.25" customHeight="1" x14ac:dyDescent="0.2">
      <c r="A1119" s="67">
        <v>44075</v>
      </c>
      <c r="B1119" s="57">
        <v>0</v>
      </c>
      <c r="C1119" s="57">
        <v>0</v>
      </c>
      <c r="D1119" s="57">
        <v>-68574.275999999998</v>
      </c>
      <c r="E1119" s="57">
        <v>-76866.725846893154</v>
      </c>
      <c r="F1119" s="57">
        <v>-46932.9228</v>
      </c>
      <c r="G1119" s="57">
        <v>-42258.119412424952</v>
      </c>
      <c r="H1119" s="58">
        <v>0.12092653879266857</v>
      </c>
      <c r="I1119" s="58">
        <v>-9.9606057084837052E-2</v>
      </c>
      <c r="J1119" s="58">
        <v>3.131966229725669E-2</v>
      </c>
    </row>
    <row r="1120" spans="1:10" ht="11.25" customHeight="1" x14ac:dyDescent="0.2">
      <c r="A1120" s="66" t="s">
        <v>35</v>
      </c>
      <c r="B1120" s="57">
        <v>0</v>
      </c>
      <c r="C1120" s="57">
        <v>0</v>
      </c>
      <c r="D1120" s="57">
        <v>64162.882349999913</v>
      </c>
      <c r="E1120" s="57">
        <v>72745.042817383495</v>
      </c>
      <c r="F1120" s="57">
        <v>50082.174449999962</v>
      </c>
      <c r="G1120" s="57">
        <v>43670.269757204253</v>
      </c>
      <c r="H1120" s="58">
        <v>0.13375584376913019</v>
      </c>
      <c r="I1120" s="58">
        <v>-0.12802768176923207</v>
      </c>
      <c r="J1120" s="58">
        <v>1.8996496088117043E-2</v>
      </c>
    </row>
    <row r="1121" spans="1:10" ht="11.25" customHeight="1" x14ac:dyDescent="0.2">
      <c r="A1121" s="67">
        <v>43739</v>
      </c>
      <c r="B1121" s="57">
        <v>0</v>
      </c>
      <c r="C1121" s="57">
        <v>0</v>
      </c>
      <c r="D1121" s="57">
        <v>16559.19598</v>
      </c>
      <c r="E1121" s="57">
        <v>18774.085210443267</v>
      </c>
      <c r="F1121" s="57">
        <v>12925.238259999998</v>
      </c>
      <c r="G1121" s="57">
        <v>11270.449969257215</v>
      </c>
      <c r="H1121" s="58">
        <v>0.13375584376912886</v>
      </c>
      <c r="I1121" s="58">
        <v>-0.12802768176923207</v>
      </c>
      <c r="J1121" s="58">
        <v>1.8996496088116377E-2</v>
      </c>
    </row>
    <row r="1122" spans="1:10" ht="11.25" customHeight="1" x14ac:dyDescent="0.2">
      <c r="A1122" s="67">
        <v>43770</v>
      </c>
      <c r="B1122" s="57">
        <v>0</v>
      </c>
      <c r="C1122" s="57">
        <v>0</v>
      </c>
      <c r="D1122" s="57">
        <v>572957.12346999999</v>
      </c>
      <c r="E1122" s="57">
        <v>649593.4869632629</v>
      </c>
      <c r="F1122" s="57">
        <v>447220.22389000002</v>
      </c>
      <c r="G1122" s="57">
        <v>389963.65538504627</v>
      </c>
      <c r="H1122" s="58">
        <v>0.13375584376912908</v>
      </c>
      <c r="I1122" s="58">
        <v>-0.12802768176923229</v>
      </c>
      <c r="J1122" s="58">
        <v>1.8996496088116377E-2</v>
      </c>
    </row>
    <row r="1123" spans="1:10" ht="11.25" customHeight="1" x14ac:dyDescent="0.2">
      <c r="A1123" s="67">
        <v>43800</v>
      </c>
      <c r="B1123" s="57">
        <v>0</v>
      </c>
      <c r="C1123" s="57">
        <v>0</v>
      </c>
      <c r="D1123" s="57">
        <v>-534320.28754000005</v>
      </c>
      <c r="E1123" s="57">
        <v>-605788.74844287639</v>
      </c>
      <c r="F1123" s="57">
        <v>-417062.33998000005</v>
      </c>
      <c r="G1123" s="57">
        <v>-363666.81543910917</v>
      </c>
      <c r="H1123" s="58">
        <v>0.13375584376912908</v>
      </c>
      <c r="I1123" s="58">
        <v>-0.1280276817692324</v>
      </c>
      <c r="J1123" s="58">
        <v>1.8996496088116377E-2</v>
      </c>
    </row>
    <row r="1124" spans="1:10" ht="11.25" customHeight="1" x14ac:dyDescent="0.2">
      <c r="A1124" s="67">
        <v>43831</v>
      </c>
      <c r="B1124" s="57">
        <v>0</v>
      </c>
      <c r="C1124" s="57">
        <v>0</v>
      </c>
      <c r="D1124" s="57">
        <v>16082.259339999999</v>
      </c>
      <c r="E1124" s="57">
        <v>18233.35550773565</v>
      </c>
      <c r="F1124" s="57">
        <v>12552.96658</v>
      </c>
      <c r="G1124" s="57">
        <v>10945.839369435951</v>
      </c>
      <c r="H1124" s="58">
        <v>0.13375584376912886</v>
      </c>
      <c r="I1124" s="58">
        <v>-0.1280276817692324</v>
      </c>
      <c r="J1124" s="58">
        <v>1.8996496088116155E-2</v>
      </c>
    </row>
    <row r="1125" spans="1:10" ht="11.25" customHeight="1" x14ac:dyDescent="0.2">
      <c r="A1125" s="67">
        <v>43862</v>
      </c>
      <c r="B1125" s="57">
        <v>0</v>
      </c>
      <c r="C1125" s="57">
        <v>0</v>
      </c>
      <c r="D1125" s="57">
        <v>16719.830889999997</v>
      </c>
      <c r="E1125" s="57">
        <v>18956.205978369093</v>
      </c>
      <c r="F1125" s="57">
        <v>13050.621430000001</v>
      </c>
      <c r="G1125" s="57">
        <v>11379.780622669237</v>
      </c>
      <c r="H1125" s="58">
        <v>0.13375584376912886</v>
      </c>
      <c r="I1125" s="58">
        <v>-0.12802768176923229</v>
      </c>
      <c r="J1125" s="58">
        <v>1.8996496088116377E-2</v>
      </c>
    </row>
    <row r="1126" spans="1:10" ht="11.25" customHeight="1" x14ac:dyDescent="0.2">
      <c r="A1126" s="67">
        <v>43891</v>
      </c>
      <c r="B1126" s="57">
        <v>0</v>
      </c>
      <c r="C1126" s="57">
        <v>0</v>
      </c>
      <c r="D1126" s="57">
        <v>14949.534819999999</v>
      </c>
      <c r="E1126" s="57">
        <v>16949.12246380507</v>
      </c>
      <c r="F1126" s="57">
        <v>11668.821339999999</v>
      </c>
      <c r="G1126" s="57">
        <v>10174.889194860452</v>
      </c>
      <c r="H1126" s="58">
        <v>0.13375584376912886</v>
      </c>
      <c r="I1126" s="58">
        <v>-0.12802768176923229</v>
      </c>
      <c r="J1126" s="58">
        <v>1.8996496088116155E-2</v>
      </c>
    </row>
    <row r="1127" spans="1:10" ht="11.25" customHeight="1" x14ac:dyDescent="0.2">
      <c r="A1127" s="67">
        <v>43922</v>
      </c>
      <c r="B1127" s="57">
        <v>0</v>
      </c>
      <c r="C1127" s="57">
        <v>0</v>
      </c>
      <c r="D1127" s="57">
        <v>14439.477579999999</v>
      </c>
      <c r="E1127" s="57">
        <v>16370.842087298321</v>
      </c>
      <c r="F1127" s="57">
        <v>11270.697459999999</v>
      </c>
      <c r="G1127" s="57">
        <v>9827.7361922738273</v>
      </c>
      <c r="H1127" s="58">
        <v>0.13375584376912908</v>
      </c>
      <c r="I1127" s="58">
        <v>-0.12802768176923207</v>
      </c>
      <c r="J1127" s="58">
        <v>1.8996496088116377E-2</v>
      </c>
    </row>
    <row r="1128" spans="1:10" ht="11.25" customHeight="1" x14ac:dyDescent="0.2">
      <c r="A1128" s="67">
        <v>43952</v>
      </c>
      <c r="B1128" s="57">
        <v>0</v>
      </c>
      <c r="C1128" s="57">
        <v>0</v>
      </c>
      <c r="D1128" s="57">
        <v>10397.66036</v>
      </c>
      <c r="E1128" s="57">
        <v>11788.408194676625</v>
      </c>
      <c r="F1128" s="57">
        <v>8115.8673200000003</v>
      </c>
      <c r="G1128" s="57">
        <v>7076.8116414737278</v>
      </c>
      <c r="H1128" s="58">
        <v>0.13375584376912908</v>
      </c>
      <c r="I1128" s="58">
        <v>-0.12802768176923229</v>
      </c>
      <c r="J1128" s="58">
        <v>1.8996496088116377E-2</v>
      </c>
    </row>
    <row r="1129" spans="1:10" ht="11.25" customHeight="1" x14ac:dyDescent="0.2">
      <c r="A1129" s="67">
        <v>43983</v>
      </c>
      <c r="B1129" s="57">
        <v>0</v>
      </c>
      <c r="C1129" s="57">
        <v>0</v>
      </c>
      <c r="D1129" s="57">
        <v>63056.102299999999</v>
      </c>
      <c r="E1129" s="57">
        <v>71490.224467929016</v>
      </c>
      <c r="F1129" s="57">
        <v>49218.280099999996</v>
      </c>
      <c r="G1129" s="57">
        <v>42916.977798128268</v>
      </c>
      <c r="H1129" s="58">
        <v>0.13375584376912908</v>
      </c>
      <c r="I1129" s="58">
        <v>-0.12802768176923207</v>
      </c>
      <c r="J1129" s="58">
        <v>1.8996496088116377E-2</v>
      </c>
    </row>
    <row r="1130" spans="1:10" ht="11.25" customHeight="1" x14ac:dyDescent="0.2">
      <c r="A1130" s="67">
        <v>44013</v>
      </c>
      <c r="B1130" s="57">
        <v>0</v>
      </c>
      <c r="C1130" s="57">
        <v>0</v>
      </c>
      <c r="D1130" s="57">
        <v>68210.219670000006</v>
      </c>
      <c r="E1130" s="57">
        <v>77333.735155638497</v>
      </c>
      <c r="F1130" s="57">
        <v>53241.313290000006</v>
      </c>
      <c r="G1130" s="57">
        <v>46424.951375131888</v>
      </c>
      <c r="H1130" s="58">
        <v>0.13375584376912908</v>
      </c>
      <c r="I1130" s="58">
        <v>-0.12802768176923229</v>
      </c>
      <c r="J1130" s="58">
        <v>1.8996496088116377E-2</v>
      </c>
    </row>
    <row r="1131" spans="1:10" ht="11.25" customHeight="1" x14ac:dyDescent="0.2">
      <c r="A1131" s="67">
        <v>44044</v>
      </c>
      <c r="B1131" s="57">
        <v>0</v>
      </c>
      <c r="C1131" s="57">
        <v>0</v>
      </c>
      <c r="D1131" s="57">
        <v>-97444.117259999999</v>
      </c>
      <c r="E1131" s="57">
        <v>-110477.83738444925</v>
      </c>
      <c r="F1131" s="57">
        <v>-76059.757620000004</v>
      </c>
      <c r="G1131" s="57">
        <v>-66322.003175981707</v>
      </c>
      <c r="H1131" s="58">
        <v>0.13375584376912908</v>
      </c>
      <c r="I1131" s="58">
        <v>-0.12802768176923229</v>
      </c>
      <c r="J1131" s="58">
        <v>1.8996496088116155E-2</v>
      </c>
    </row>
    <row r="1132" spans="1:10" ht="11.25" customHeight="1" x14ac:dyDescent="0.2">
      <c r="A1132" s="67">
        <v>44075</v>
      </c>
      <c r="B1132" s="57">
        <v>0</v>
      </c>
      <c r="C1132" s="57">
        <v>0</v>
      </c>
      <c r="D1132" s="57">
        <v>-97444.117259999999</v>
      </c>
      <c r="E1132" s="57">
        <v>-110477.83738444925</v>
      </c>
      <c r="F1132" s="57">
        <v>-76059.757620000004</v>
      </c>
      <c r="G1132" s="57">
        <v>-66322.003175981707</v>
      </c>
      <c r="H1132" s="58">
        <v>0.13375584376912908</v>
      </c>
      <c r="I1132" s="58">
        <v>-0.12802768176923229</v>
      </c>
      <c r="J1132" s="58">
        <v>1.8996496088116155E-2</v>
      </c>
    </row>
    <row r="1133" spans="1:10" ht="11.25" customHeight="1" x14ac:dyDescent="0.2">
      <c r="A1133" s="62" t="s">
        <v>40</v>
      </c>
      <c r="B1133" s="57">
        <v>0</v>
      </c>
      <c r="C1133" s="57">
        <v>0</v>
      </c>
      <c r="D1133" s="57">
        <v>91062.901299999998</v>
      </c>
      <c r="E1133" s="57">
        <v>99425.148768040657</v>
      </c>
      <c r="F1133" s="57">
        <v>110515.18640000001</v>
      </c>
      <c r="G1133" s="57">
        <v>99313.937661399163</v>
      </c>
      <c r="H1133" s="58">
        <v>9.1829354749985992E-2</v>
      </c>
      <c r="I1133" s="58">
        <v>-0.10135483731673678</v>
      </c>
      <c r="J1133" s="58">
        <v>-1.4083878376628611E-2</v>
      </c>
    </row>
    <row r="1134" spans="1:10" ht="11.25" customHeight="1" x14ac:dyDescent="0.2">
      <c r="A1134" s="63" t="s">
        <v>25</v>
      </c>
      <c r="B1134" s="57">
        <v>0</v>
      </c>
      <c r="C1134" s="57">
        <v>0</v>
      </c>
      <c r="D1134" s="57">
        <v>91062.901299999998</v>
      </c>
      <c r="E1134" s="57">
        <v>99425.148768040657</v>
      </c>
      <c r="F1134" s="57">
        <v>110515.18640000001</v>
      </c>
      <c r="G1134" s="57">
        <v>99313.937661399163</v>
      </c>
      <c r="H1134" s="58">
        <v>9.1829354749985992E-2</v>
      </c>
      <c r="I1134" s="58">
        <v>-0.10135483731673678</v>
      </c>
      <c r="J1134" s="58">
        <v>-1.4083878376628611E-2</v>
      </c>
    </row>
    <row r="1135" spans="1:10" ht="11.25" customHeight="1" x14ac:dyDescent="0.2">
      <c r="A1135" s="64" t="s">
        <v>25</v>
      </c>
      <c r="B1135" s="57">
        <v>0</v>
      </c>
      <c r="C1135" s="57">
        <v>0</v>
      </c>
      <c r="D1135" s="57">
        <v>91062.901299999998</v>
      </c>
      <c r="E1135" s="57">
        <v>99425.148768040657</v>
      </c>
      <c r="F1135" s="57">
        <v>110515.18640000001</v>
      </c>
      <c r="G1135" s="57">
        <v>99313.937661399163</v>
      </c>
      <c r="H1135" s="58">
        <v>9.1829354749985992E-2</v>
      </c>
      <c r="I1135" s="58">
        <v>-0.10135483731673678</v>
      </c>
      <c r="J1135" s="58">
        <v>-1.4083878376628611E-2</v>
      </c>
    </row>
    <row r="1136" spans="1:10" ht="11.25" customHeight="1" x14ac:dyDescent="0.2">
      <c r="A1136" s="65" t="s">
        <v>25</v>
      </c>
      <c r="B1136" s="57">
        <v>0</v>
      </c>
      <c r="C1136" s="57">
        <v>0</v>
      </c>
      <c r="D1136" s="57">
        <v>91062.901299999998</v>
      </c>
      <c r="E1136" s="57">
        <v>99425.148768040657</v>
      </c>
      <c r="F1136" s="57">
        <v>110515.18640000001</v>
      </c>
      <c r="G1136" s="57">
        <v>99313.937661399163</v>
      </c>
      <c r="H1136" s="58">
        <v>9.1829354749985992E-2</v>
      </c>
      <c r="I1136" s="58">
        <v>-0.10135483731673678</v>
      </c>
      <c r="J1136" s="58">
        <v>-1.4083878376628611E-2</v>
      </c>
    </row>
    <row r="1137" spans="1:10" ht="11.25" customHeight="1" x14ac:dyDescent="0.2">
      <c r="A1137" s="66" t="s">
        <v>36</v>
      </c>
      <c r="B1137" s="57">
        <v>0</v>
      </c>
      <c r="C1137" s="57">
        <v>0</v>
      </c>
      <c r="D1137" s="57">
        <v>76902.522479999985</v>
      </c>
      <c r="E1137" s="57">
        <v>83440.637730315691</v>
      </c>
      <c r="F1137" s="57">
        <v>99986.148960000006</v>
      </c>
      <c r="G1137" s="57">
        <v>90026.922898997233</v>
      </c>
      <c r="H1137" s="58">
        <v>8.5018215781102358E-2</v>
      </c>
      <c r="I1137" s="58">
        <v>-9.9606057084836941E-2</v>
      </c>
      <c r="J1137" s="58">
        <v>-1.9340474338106484E-2</v>
      </c>
    </row>
    <row r="1138" spans="1:10" ht="11.25" customHeight="1" x14ac:dyDescent="0.2">
      <c r="A1138" s="67">
        <v>43739</v>
      </c>
      <c r="B1138" s="57">
        <v>0</v>
      </c>
      <c r="C1138" s="57">
        <v>0</v>
      </c>
      <c r="D1138" s="57">
        <v>6700.3190100000002</v>
      </c>
      <c r="E1138" s="57">
        <v>7269.9681773944003</v>
      </c>
      <c r="F1138" s="57">
        <v>8711.5360199999996</v>
      </c>
      <c r="G1138" s="57">
        <v>7843.8142658952656</v>
      </c>
      <c r="H1138" s="58">
        <v>8.5018215781102136E-2</v>
      </c>
      <c r="I1138" s="58">
        <v>-9.9606057084837052E-2</v>
      </c>
      <c r="J1138" s="58">
        <v>-1.9340474338106484E-2</v>
      </c>
    </row>
    <row r="1139" spans="1:10" ht="11.25" customHeight="1" x14ac:dyDescent="0.2">
      <c r="A1139" s="67">
        <v>43770</v>
      </c>
      <c r="B1139" s="57">
        <v>0</v>
      </c>
      <c r="C1139" s="57">
        <v>0</v>
      </c>
      <c r="D1139" s="57">
        <v>6937.1441999999997</v>
      </c>
      <c r="E1139" s="57">
        <v>7526.9278225002208</v>
      </c>
      <c r="F1139" s="57">
        <v>9019.4483999999993</v>
      </c>
      <c r="G1139" s="57">
        <v>8121.0567077958576</v>
      </c>
      <c r="H1139" s="58">
        <v>8.5018215781102136E-2</v>
      </c>
      <c r="I1139" s="58">
        <v>-9.9606057084837052E-2</v>
      </c>
      <c r="J1139" s="58">
        <v>-1.9340474338106595E-2</v>
      </c>
    </row>
    <row r="1140" spans="1:10" ht="11.25" customHeight="1" x14ac:dyDescent="0.2">
      <c r="A1140" s="67">
        <v>43800</v>
      </c>
      <c r="B1140" s="57">
        <v>0</v>
      </c>
      <c r="C1140" s="57">
        <v>0</v>
      </c>
      <c r="D1140" s="57">
        <v>6395.4632700000002</v>
      </c>
      <c r="E1140" s="57">
        <v>6939.1941463089734</v>
      </c>
      <c r="F1140" s="57">
        <v>8315.1725399999996</v>
      </c>
      <c r="G1140" s="57">
        <v>7486.930989310491</v>
      </c>
      <c r="H1140" s="58">
        <v>8.5018215781102136E-2</v>
      </c>
      <c r="I1140" s="58">
        <v>-9.9606057084836941E-2</v>
      </c>
      <c r="J1140" s="58">
        <v>-1.9340474338106484E-2</v>
      </c>
    </row>
    <row r="1141" spans="1:10" ht="11.25" customHeight="1" x14ac:dyDescent="0.2">
      <c r="A1141" s="67">
        <v>43831</v>
      </c>
      <c r="B1141" s="57">
        <v>0</v>
      </c>
      <c r="C1141" s="57">
        <v>0</v>
      </c>
      <c r="D1141" s="57">
        <v>6250.7258099999999</v>
      </c>
      <c r="E1141" s="57">
        <v>6782.1513657030846</v>
      </c>
      <c r="F1141" s="57">
        <v>8126.9896200000003</v>
      </c>
      <c r="G1141" s="57">
        <v>7317.4922279824023</v>
      </c>
      <c r="H1141" s="58">
        <v>8.5018215781102136E-2</v>
      </c>
      <c r="I1141" s="58">
        <v>-9.9606057084837052E-2</v>
      </c>
      <c r="J1141" s="58">
        <v>-1.9340474338106484E-2</v>
      </c>
    </row>
    <row r="1142" spans="1:10" ht="11.25" customHeight="1" x14ac:dyDescent="0.2">
      <c r="A1142" s="67">
        <v>43862</v>
      </c>
      <c r="B1142" s="57">
        <v>0</v>
      </c>
      <c r="C1142" s="57">
        <v>0</v>
      </c>
      <c r="D1142" s="57">
        <v>6905.3966099999998</v>
      </c>
      <c r="E1142" s="57">
        <v>7492.4811090430703</v>
      </c>
      <c r="F1142" s="57">
        <v>8978.1712200000002</v>
      </c>
      <c r="G1142" s="57">
        <v>8083.8909849432384</v>
      </c>
      <c r="H1142" s="58">
        <v>8.5018215781102136E-2</v>
      </c>
      <c r="I1142" s="58">
        <v>-9.9606057084837163E-2</v>
      </c>
      <c r="J1142" s="58">
        <v>-1.9340474338106595E-2</v>
      </c>
    </row>
    <row r="1143" spans="1:10" ht="11.25" customHeight="1" x14ac:dyDescent="0.2">
      <c r="A1143" s="67">
        <v>43891</v>
      </c>
      <c r="B1143" s="57">
        <v>0</v>
      </c>
      <c r="C1143" s="57">
        <v>0</v>
      </c>
      <c r="D1143" s="57">
        <v>6234.1618500000004</v>
      </c>
      <c r="E1143" s="57">
        <v>6764.1791673776152</v>
      </c>
      <c r="F1143" s="57">
        <v>8105.4537</v>
      </c>
      <c r="G1143" s="57">
        <v>7298.1014160592968</v>
      </c>
      <c r="H1143" s="58">
        <v>8.5018215781102136E-2</v>
      </c>
      <c r="I1143" s="58">
        <v>-9.9606057084837052E-2</v>
      </c>
      <c r="J1143" s="58">
        <v>-1.9340474338106595E-2</v>
      </c>
    </row>
    <row r="1144" spans="1:10" ht="11.25" customHeight="1" x14ac:dyDescent="0.2">
      <c r="A1144" s="67">
        <v>43922</v>
      </c>
      <c r="B1144" s="57">
        <v>0</v>
      </c>
      <c r="C1144" s="57">
        <v>0</v>
      </c>
      <c r="D1144" s="57">
        <v>6335.7147000000004</v>
      </c>
      <c r="E1144" s="57">
        <v>6874.3658594921017</v>
      </c>
      <c r="F1144" s="57">
        <v>8237.4894000000004</v>
      </c>
      <c r="G1144" s="57">
        <v>7416.9855605878602</v>
      </c>
      <c r="H1144" s="58">
        <v>8.5018215781102136E-2</v>
      </c>
      <c r="I1144" s="58">
        <v>-9.9606057084837052E-2</v>
      </c>
      <c r="J1144" s="58">
        <v>-1.9340474338106484E-2</v>
      </c>
    </row>
    <row r="1145" spans="1:10" ht="11.25" customHeight="1" x14ac:dyDescent="0.2">
      <c r="A1145" s="67">
        <v>43952</v>
      </c>
      <c r="B1145" s="57">
        <v>0</v>
      </c>
      <c r="C1145" s="57">
        <v>0</v>
      </c>
      <c r="D1145" s="57">
        <v>5964.0115500000002</v>
      </c>
      <c r="E1145" s="57">
        <v>6471.0611708788856</v>
      </c>
      <c r="F1145" s="57">
        <v>7754.2130999999999</v>
      </c>
      <c r="G1145" s="57">
        <v>6981.8465073134093</v>
      </c>
      <c r="H1145" s="58">
        <v>8.5018215781102136E-2</v>
      </c>
      <c r="I1145" s="58">
        <v>-9.9606057084836941E-2</v>
      </c>
      <c r="J1145" s="58">
        <v>-1.9340474338106484E-2</v>
      </c>
    </row>
    <row r="1146" spans="1:10" ht="11.25" customHeight="1" x14ac:dyDescent="0.2">
      <c r="A1146" s="67">
        <v>43983</v>
      </c>
      <c r="B1146" s="57">
        <v>0</v>
      </c>
      <c r="C1146" s="57">
        <v>0</v>
      </c>
      <c r="D1146" s="57">
        <v>5910.3758699999998</v>
      </c>
      <c r="E1146" s="57">
        <v>6412.8654810630787</v>
      </c>
      <c r="F1146" s="57">
        <v>7684.4777399999994</v>
      </c>
      <c r="G1146" s="57">
        <v>6919.0572115624</v>
      </c>
      <c r="H1146" s="58">
        <v>8.5018215781102136E-2</v>
      </c>
      <c r="I1146" s="58">
        <v>-9.9606057084837052E-2</v>
      </c>
      <c r="J1146" s="58">
        <v>-1.9340474338106595E-2</v>
      </c>
    </row>
    <row r="1147" spans="1:10" ht="11.25" customHeight="1" x14ac:dyDescent="0.2">
      <c r="A1147" s="67">
        <v>44013</v>
      </c>
      <c r="B1147" s="57">
        <v>0</v>
      </c>
      <c r="C1147" s="57">
        <v>0</v>
      </c>
      <c r="D1147" s="57">
        <v>6243.2325900000005</v>
      </c>
      <c r="E1147" s="57">
        <v>6774.0210855082296</v>
      </c>
      <c r="F1147" s="57">
        <v>8117.2471800000003</v>
      </c>
      <c r="G1147" s="57">
        <v>7308.7201940171881</v>
      </c>
      <c r="H1147" s="58">
        <v>8.5018215781102136E-2</v>
      </c>
      <c r="I1147" s="58">
        <v>-9.9606057084837052E-2</v>
      </c>
      <c r="J1147" s="58">
        <v>-1.9340474338106706E-2</v>
      </c>
    </row>
    <row r="1148" spans="1:10" ht="11.25" customHeight="1" x14ac:dyDescent="0.2">
      <c r="A1148" s="67">
        <v>44044</v>
      </c>
      <c r="B1148" s="57">
        <v>0</v>
      </c>
      <c r="C1148" s="57">
        <v>0</v>
      </c>
      <c r="D1148" s="57">
        <v>6512.988510000001</v>
      </c>
      <c r="E1148" s="57">
        <v>7066.7111725230197</v>
      </c>
      <c r="F1148" s="57">
        <v>8467.9750199999999</v>
      </c>
      <c r="G1148" s="57">
        <v>7624.5134167649067</v>
      </c>
      <c r="H1148" s="58">
        <v>8.5018215781102136E-2</v>
      </c>
      <c r="I1148" s="58">
        <v>-9.9606057084836941E-2</v>
      </c>
      <c r="J1148" s="58">
        <v>-1.9340474338106595E-2</v>
      </c>
    </row>
    <row r="1149" spans="1:10" ht="11.25" customHeight="1" x14ac:dyDescent="0.2">
      <c r="A1149" s="67">
        <v>44075</v>
      </c>
      <c r="B1149" s="57">
        <v>0</v>
      </c>
      <c r="C1149" s="57">
        <v>0</v>
      </c>
      <c r="D1149" s="57">
        <v>6512.988510000001</v>
      </c>
      <c r="E1149" s="57">
        <v>7066.7111725230197</v>
      </c>
      <c r="F1149" s="57">
        <v>8467.9750199999999</v>
      </c>
      <c r="G1149" s="57">
        <v>7624.5134167649067</v>
      </c>
      <c r="H1149" s="58">
        <v>8.5018215781102136E-2</v>
      </c>
      <c r="I1149" s="58">
        <v>-9.9606057084836941E-2</v>
      </c>
      <c r="J1149" s="58">
        <v>-1.9340474338106595E-2</v>
      </c>
    </row>
    <row r="1150" spans="1:10" ht="11.25" customHeight="1" x14ac:dyDescent="0.2">
      <c r="A1150" s="66" t="s">
        <v>38</v>
      </c>
      <c r="B1150" s="57">
        <v>0</v>
      </c>
      <c r="C1150" s="57">
        <v>0</v>
      </c>
      <c r="D1150" s="57">
        <v>5448.5569999999998</v>
      </c>
      <c r="E1150" s="57">
        <v>6107.4321394245644</v>
      </c>
      <c r="F1150" s="57">
        <v>3729.0471000000002</v>
      </c>
      <c r="G1150" s="57">
        <v>3357.6114216853548</v>
      </c>
      <c r="H1150" s="58">
        <v>0.12092653879266857</v>
      </c>
      <c r="I1150" s="58">
        <v>-9.9606057084836941E-2</v>
      </c>
      <c r="J1150" s="58">
        <v>3.1319662297256912E-2</v>
      </c>
    </row>
    <row r="1151" spans="1:10" ht="11.25" customHeight="1" x14ac:dyDescent="0.2">
      <c r="A1151" s="67">
        <v>43739</v>
      </c>
      <c r="B1151" s="57">
        <v>0</v>
      </c>
      <c r="C1151" s="57">
        <v>0</v>
      </c>
      <c r="D1151" s="57">
        <v>538.30020000000002</v>
      </c>
      <c r="E1151" s="57">
        <v>603.39498001740117</v>
      </c>
      <c r="F1151" s="57">
        <v>368.41806000000003</v>
      </c>
      <c r="G1151" s="57">
        <v>331.72138968455511</v>
      </c>
      <c r="H1151" s="58">
        <v>0.12092653879266835</v>
      </c>
      <c r="I1151" s="58">
        <v>-9.9606057084837052E-2</v>
      </c>
      <c r="J1151" s="58">
        <v>3.131966229725669E-2</v>
      </c>
    </row>
    <row r="1152" spans="1:10" ht="11.25" customHeight="1" x14ac:dyDescent="0.2">
      <c r="A1152" s="67">
        <v>43770</v>
      </c>
      <c r="B1152" s="57">
        <v>0</v>
      </c>
      <c r="C1152" s="57">
        <v>0</v>
      </c>
      <c r="D1152" s="57">
        <v>600.85840000000007</v>
      </c>
      <c r="E1152" s="57">
        <v>673.51812661650069</v>
      </c>
      <c r="F1152" s="57">
        <v>411.23352</v>
      </c>
      <c r="G1152" s="57">
        <v>370.27217053168152</v>
      </c>
      <c r="H1152" s="58">
        <v>0.12092653879266835</v>
      </c>
      <c r="I1152" s="58">
        <v>-9.9606057084837052E-2</v>
      </c>
      <c r="J1152" s="58">
        <v>3.131966229725669E-2</v>
      </c>
    </row>
    <row r="1153" spans="1:10" ht="11.25" customHeight="1" x14ac:dyDescent="0.2">
      <c r="A1153" s="67">
        <v>43800</v>
      </c>
      <c r="B1153" s="57">
        <v>0</v>
      </c>
      <c r="C1153" s="57">
        <v>0</v>
      </c>
      <c r="D1153" s="57">
        <v>507.95760000000007</v>
      </c>
      <c r="E1153" s="57">
        <v>569.38315442143073</v>
      </c>
      <c r="F1153" s="57">
        <v>347.65128000000004</v>
      </c>
      <c r="G1153" s="57">
        <v>313.02310675870336</v>
      </c>
      <c r="H1153" s="58">
        <v>0.12092653879266813</v>
      </c>
      <c r="I1153" s="58">
        <v>-9.9606057084837052E-2</v>
      </c>
      <c r="J1153" s="58">
        <v>3.131966229725669E-2</v>
      </c>
    </row>
    <row r="1154" spans="1:10" ht="11.25" customHeight="1" x14ac:dyDescent="0.2">
      <c r="A1154" s="67">
        <v>43831</v>
      </c>
      <c r="B1154" s="57">
        <v>0</v>
      </c>
      <c r="C1154" s="57">
        <v>0</v>
      </c>
      <c r="D1154" s="57">
        <v>484.3578</v>
      </c>
      <c r="E1154" s="57">
        <v>542.9295122912315</v>
      </c>
      <c r="F1154" s="57">
        <v>331.49933999999996</v>
      </c>
      <c r="G1154" s="57">
        <v>298.47999781637418</v>
      </c>
      <c r="H1154" s="58">
        <v>0.12092653879266835</v>
      </c>
      <c r="I1154" s="58">
        <v>-9.9606057084836941E-2</v>
      </c>
      <c r="J1154" s="58">
        <v>3.131966229725669E-2</v>
      </c>
    </row>
    <row r="1155" spans="1:10" ht="11.25" customHeight="1" x14ac:dyDescent="0.2">
      <c r="A1155" s="67">
        <v>43862</v>
      </c>
      <c r="B1155" s="57">
        <v>0</v>
      </c>
      <c r="C1155" s="57">
        <v>0</v>
      </c>
      <c r="D1155" s="57">
        <v>510.95440000000008</v>
      </c>
      <c r="E1155" s="57">
        <v>572.74234707288463</v>
      </c>
      <c r="F1155" s="57">
        <v>349.70232000000004</v>
      </c>
      <c r="G1155" s="57">
        <v>314.86985075138006</v>
      </c>
      <c r="H1155" s="58">
        <v>0.12092653879266835</v>
      </c>
      <c r="I1155" s="58">
        <v>-9.9606057084837163E-2</v>
      </c>
      <c r="J1155" s="58">
        <v>3.131966229725669E-2</v>
      </c>
    </row>
    <row r="1156" spans="1:10" ht="11.25" customHeight="1" x14ac:dyDescent="0.2">
      <c r="A1156" s="67">
        <v>43891</v>
      </c>
      <c r="B1156" s="57">
        <v>0</v>
      </c>
      <c r="C1156" s="57">
        <v>0</v>
      </c>
      <c r="D1156" s="57">
        <v>431.53920000000005</v>
      </c>
      <c r="E1156" s="57">
        <v>483.72374180935708</v>
      </c>
      <c r="F1156" s="57">
        <v>295.34976</v>
      </c>
      <c r="G1156" s="57">
        <v>265.93113494544707</v>
      </c>
      <c r="H1156" s="58">
        <v>0.12092653879266835</v>
      </c>
      <c r="I1156" s="58">
        <v>-9.9606057084837052E-2</v>
      </c>
      <c r="J1156" s="58">
        <v>3.131966229725669E-2</v>
      </c>
    </row>
    <row r="1157" spans="1:10" ht="11.25" customHeight="1" x14ac:dyDescent="0.2">
      <c r="A1157" s="67">
        <v>43922</v>
      </c>
      <c r="B1157" s="57">
        <v>0</v>
      </c>
      <c r="C1157" s="57">
        <v>0</v>
      </c>
      <c r="D1157" s="57">
        <v>399.32360000000006</v>
      </c>
      <c r="E1157" s="57">
        <v>447.61242080622804</v>
      </c>
      <c r="F1157" s="57">
        <v>273.30108000000001</v>
      </c>
      <c r="G1157" s="57">
        <v>246.07863702417239</v>
      </c>
      <c r="H1157" s="58">
        <v>0.12092653879266835</v>
      </c>
      <c r="I1157" s="58">
        <v>-9.9606057084837052E-2</v>
      </c>
      <c r="J1157" s="58">
        <v>3.131966229725669E-2</v>
      </c>
    </row>
    <row r="1158" spans="1:10" ht="11.25" customHeight="1" x14ac:dyDescent="0.2">
      <c r="A1158" s="67">
        <v>43952</v>
      </c>
      <c r="B1158" s="57">
        <v>0</v>
      </c>
      <c r="C1158" s="57">
        <v>0</v>
      </c>
      <c r="D1158" s="57">
        <v>359.2414</v>
      </c>
      <c r="E1158" s="57">
        <v>402.68321909303251</v>
      </c>
      <c r="F1158" s="57">
        <v>245.86841999999999</v>
      </c>
      <c r="G1158" s="57">
        <v>221.37843612212131</v>
      </c>
      <c r="H1158" s="58">
        <v>0.12092653879266835</v>
      </c>
      <c r="I1158" s="58">
        <v>-9.9606057084836941E-2</v>
      </c>
      <c r="J1158" s="58">
        <v>3.131966229725669E-2</v>
      </c>
    </row>
    <row r="1159" spans="1:10" ht="11.25" customHeight="1" x14ac:dyDescent="0.2">
      <c r="A1159" s="67">
        <v>43983</v>
      </c>
      <c r="B1159" s="57">
        <v>0</v>
      </c>
      <c r="C1159" s="57">
        <v>0</v>
      </c>
      <c r="D1159" s="57">
        <v>361.11439999999999</v>
      </c>
      <c r="E1159" s="57">
        <v>404.78271450019116</v>
      </c>
      <c r="F1159" s="57">
        <v>247.15031999999999</v>
      </c>
      <c r="G1159" s="57">
        <v>222.53265111754425</v>
      </c>
      <c r="H1159" s="58">
        <v>0.12092653879266835</v>
      </c>
      <c r="I1159" s="58">
        <v>-9.9606057084837052E-2</v>
      </c>
      <c r="J1159" s="58">
        <v>3.131966229725669E-2</v>
      </c>
    </row>
    <row r="1160" spans="1:10" ht="11.25" customHeight="1" x14ac:dyDescent="0.2">
      <c r="A1160" s="67">
        <v>44013</v>
      </c>
      <c r="B1160" s="57">
        <v>0</v>
      </c>
      <c r="C1160" s="57">
        <v>0</v>
      </c>
      <c r="D1160" s="57">
        <v>375.3492</v>
      </c>
      <c r="E1160" s="57">
        <v>420.73887959459705</v>
      </c>
      <c r="F1160" s="57">
        <v>256.89276000000001</v>
      </c>
      <c r="G1160" s="57">
        <v>231.30468508275865</v>
      </c>
      <c r="H1160" s="58">
        <v>0.12092653879266835</v>
      </c>
      <c r="I1160" s="58">
        <v>-9.9606057084837052E-2</v>
      </c>
      <c r="J1160" s="58">
        <v>3.131966229725669E-2</v>
      </c>
    </row>
    <row r="1161" spans="1:10" ht="11.25" customHeight="1" x14ac:dyDescent="0.2">
      <c r="A1161" s="67">
        <v>44044</v>
      </c>
      <c r="B1161" s="57">
        <v>0</v>
      </c>
      <c r="C1161" s="57">
        <v>0</v>
      </c>
      <c r="D1161" s="57">
        <v>439.78039999999999</v>
      </c>
      <c r="E1161" s="57">
        <v>492.96152160085518</v>
      </c>
      <c r="F1161" s="57">
        <v>300.99011999999999</v>
      </c>
      <c r="G1161" s="57">
        <v>271.00968092530803</v>
      </c>
      <c r="H1161" s="58">
        <v>0.12092653879266835</v>
      </c>
      <c r="I1161" s="58">
        <v>-9.9606057084837052E-2</v>
      </c>
      <c r="J1161" s="58">
        <v>3.131966229725669E-2</v>
      </c>
    </row>
    <row r="1162" spans="1:10" ht="11.25" customHeight="1" x14ac:dyDescent="0.2">
      <c r="A1162" s="67">
        <v>44075</v>
      </c>
      <c r="B1162" s="57">
        <v>0</v>
      </c>
      <c r="C1162" s="57">
        <v>0</v>
      </c>
      <c r="D1162" s="57">
        <v>439.78039999999999</v>
      </c>
      <c r="E1162" s="57">
        <v>492.96152160085518</v>
      </c>
      <c r="F1162" s="57">
        <v>300.99011999999999</v>
      </c>
      <c r="G1162" s="57">
        <v>271.00968092530803</v>
      </c>
      <c r="H1162" s="58">
        <v>0.12092653879266835</v>
      </c>
      <c r="I1162" s="58">
        <v>-9.9606057084837052E-2</v>
      </c>
      <c r="J1162" s="58">
        <v>3.131966229725669E-2</v>
      </c>
    </row>
    <row r="1163" spans="1:10" ht="11.25" customHeight="1" x14ac:dyDescent="0.2">
      <c r="A1163" s="66" t="s">
        <v>35</v>
      </c>
      <c r="B1163" s="57">
        <v>0</v>
      </c>
      <c r="C1163" s="57">
        <v>0</v>
      </c>
      <c r="D1163" s="57">
        <v>8711.8218199999992</v>
      </c>
      <c r="E1163" s="57">
        <v>9877.0788983004059</v>
      </c>
      <c r="F1163" s="57">
        <v>6799.9903399999994</v>
      </c>
      <c r="G1163" s="57">
        <v>5929.4033407166262</v>
      </c>
      <c r="H1163" s="58">
        <v>0.13375584376912841</v>
      </c>
      <c r="I1163" s="58">
        <v>-0.12802768176923218</v>
      </c>
      <c r="J1163" s="58">
        <v>1.8996496088115933E-2</v>
      </c>
    </row>
    <row r="1164" spans="1:10" ht="11.25" customHeight="1" x14ac:dyDescent="0.2">
      <c r="A1164" s="67">
        <v>43739</v>
      </c>
      <c r="B1164" s="57">
        <v>0</v>
      </c>
      <c r="C1164" s="57">
        <v>0</v>
      </c>
      <c r="D1164" s="57">
        <v>853.9594699999999</v>
      </c>
      <c r="E1164" s="57">
        <v>968.18153945448807</v>
      </c>
      <c r="F1164" s="57">
        <v>666.55588999999998</v>
      </c>
      <c r="G1164" s="57">
        <v>581.21828463367262</v>
      </c>
      <c r="H1164" s="58">
        <v>0.13375584376912908</v>
      </c>
      <c r="I1164" s="58">
        <v>-0.12802768176923218</v>
      </c>
      <c r="J1164" s="58">
        <v>1.8996496088116377E-2</v>
      </c>
    </row>
    <row r="1165" spans="1:10" ht="11.25" customHeight="1" x14ac:dyDescent="0.2">
      <c r="A1165" s="67">
        <v>43770</v>
      </c>
      <c r="B1165" s="57">
        <v>0</v>
      </c>
      <c r="C1165" s="57">
        <v>0</v>
      </c>
      <c r="D1165" s="57">
        <v>910.81649999999991</v>
      </c>
      <c r="E1165" s="57">
        <v>1032.6435294763448</v>
      </c>
      <c r="F1165" s="57">
        <v>710.93549999999993</v>
      </c>
      <c r="G1165" s="57">
        <v>619.91607604754995</v>
      </c>
      <c r="H1165" s="58">
        <v>0.13375584376912908</v>
      </c>
      <c r="I1165" s="58">
        <v>-0.12802768176923218</v>
      </c>
      <c r="J1165" s="58">
        <v>1.8996496088116377E-2</v>
      </c>
    </row>
    <row r="1166" spans="1:10" ht="11.25" customHeight="1" x14ac:dyDescent="0.2">
      <c r="A1166" s="67">
        <v>43800</v>
      </c>
      <c r="B1166" s="57">
        <v>0</v>
      </c>
      <c r="C1166" s="57">
        <v>0</v>
      </c>
      <c r="D1166" s="57">
        <v>774.47002999999995</v>
      </c>
      <c r="E1166" s="57">
        <v>878.05992233655263</v>
      </c>
      <c r="F1166" s="57">
        <v>604.51061000000004</v>
      </c>
      <c r="G1166" s="57">
        <v>527.11651799679555</v>
      </c>
      <c r="H1166" s="58">
        <v>0.13375584376912908</v>
      </c>
      <c r="I1166" s="58">
        <v>-0.12802768176923229</v>
      </c>
      <c r="J1166" s="58">
        <v>1.8996496088116377E-2</v>
      </c>
    </row>
    <row r="1167" spans="1:10" ht="11.25" customHeight="1" x14ac:dyDescent="0.2">
      <c r="A1167" s="67">
        <v>43831</v>
      </c>
      <c r="B1167" s="57">
        <v>0</v>
      </c>
      <c r="C1167" s="57">
        <v>0</v>
      </c>
      <c r="D1167" s="57">
        <v>784.95821999999998</v>
      </c>
      <c r="E1167" s="57">
        <v>889.95096903961348</v>
      </c>
      <c r="F1167" s="57">
        <v>612.69713999999999</v>
      </c>
      <c r="G1167" s="57">
        <v>534.25494553916121</v>
      </c>
      <c r="H1167" s="58">
        <v>0.13375584376912886</v>
      </c>
      <c r="I1167" s="58">
        <v>-0.12802768176923229</v>
      </c>
      <c r="J1167" s="58">
        <v>1.8996496088116377E-2</v>
      </c>
    </row>
    <row r="1168" spans="1:10" ht="11.25" customHeight="1" x14ac:dyDescent="0.2">
      <c r="A1168" s="67">
        <v>43862</v>
      </c>
      <c r="B1168" s="57">
        <v>0</v>
      </c>
      <c r="C1168" s="57">
        <v>0</v>
      </c>
      <c r="D1168" s="57">
        <v>767.84591</v>
      </c>
      <c r="E1168" s="57">
        <v>870.54978757672461</v>
      </c>
      <c r="F1168" s="57">
        <v>599.34017000000006</v>
      </c>
      <c r="G1168" s="57">
        <v>522.60803744372242</v>
      </c>
      <c r="H1168" s="58">
        <v>0.13375584376912886</v>
      </c>
      <c r="I1168" s="58">
        <v>-0.1280276817692324</v>
      </c>
      <c r="J1168" s="58">
        <v>1.8996496088116377E-2</v>
      </c>
    </row>
    <row r="1169" spans="1:10" ht="11.25" customHeight="1" x14ac:dyDescent="0.2">
      <c r="A1169" s="67">
        <v>43891</v>
      </c>
      <c r="B1169" s="57">
        <v>0</v>
      </c>
      <c r="C1169" s="57">
        <v>0</v>
      </c>
      <c r="D1169" s="57">
        <v>686.70043999999996</v>
      </c>
      <c r="E1169" s="57">
        <v>778.55063676883208</v>
      </c>
      <c r="F1169" s="57">
        <v>536.00228000000004</v>
      </c>
      <c r="G1169" s="57">
        <v>467.37915066857704</v>
      </c>
      <c r="H1169" s="58">
        <v>0.13375584376912908</v>
      </c>
      <c r="I1169" s="58">
        <v>-0.1280276817692324</v>
      </c>
      <c r="J1169" s="58">
        <v>1.8996496088116377E-2</v>
      </c>
    </row>
    <row r="1170" spans="1:10" ht="11.25" customHeight="1" x14ac:dyDescent="0.2">
      <c r="A1170" s="67">
        <v>43922</v>
      </c>
      <c r="B1170" s="57">
        <v>0</v>
      </c>
      <c r="C1170" s="57">
        <v>0</v>
      </c>
      <c r="D1170" s="57">
        <v>711.54088999999999</v>
      </c>
      <c r="E1170" s="57">
        <v>806.71364211818684</v>
      </c>
      <c r="F1170" s="57">
        <v>555.39143000000001</v>
      </c>
      <c r="G1170" s="57">
        <v>484.28595274260113</v>
      </c>
      <c r="H1170" s="58">
        <v>0.13375584376912886</v>
      </c>
      <c r="I1170" s="58">
        <v>-0.1280276817692324</v>
      </c>
      <c r="J1170" s="58">
        <v>1.8996496088116377E-2</v>
      </c>
    </row>
    <row r="1171" spans="1:10" ht="11.25" customHeight="1" x14ac:dyDescent="0.2">
      <c r="A1171" s="67">
        <v>43952</v>
      </c>
      <c r="B1171" s="57">
        <v>0</v>
      </c>
      <c r="C1171" s="57">
        <v>0</v>
      </c>
      <c r="D1171" s="57">
        <v>588.99466999999993</v>
      </c>
      <c r="E1171" s="57">
        <v>667.77614906136955</v>
      </c>
      <c r="F1171" s="57">
        <v>459.73829000000001</v>
      </c>
      <c r="G1171" s="57">
        <v>400.87906251074895</v>
      </c>
      <c r="H1171" s="58">
        <v>0.13375584376912886</v>
      </c>
      <c r="I1171" s="58">
        <v>-0.12802768176923229</v>
      </c>
      <c r="J1171" s="58">
        <v>1.8996496088116377E-2</v>
      </c>
    </row>
    <row r="1172" spans="1:10" ht="11.25" customHeight="1" x14ac:dyDescent="0.2">
      <c r="A1172" s="67">
        <v>43983</v>
      </c>
      <c r="B1172" s="57">
        <v>0</v>
      </c>
      <c r="C1172" s="57">
        <v>0</v>
      </c>
      <c r="D1172" s="57">
        <v>581.81853999999998</v>
      </c>
      <c r="E1172" s="57">
        <v>659.64016973822265</v>
      </c>
      <c r="F1172" s="57">
        <v>454.13698000000005</v>
      </c>
      <c r="G1172" s="57">
        <v>395.9948752449198</v>
      </c>
      <c r="H1172" s="58">
        <v>0.13375584376912886</v>
      </c>
      <c r="I1172" s="58">
        <v>-0.1280276817692324</v>
      </c>
      <c r="J1172" s="58">
        <v>1.8996496088116377E-2</v>
      </c>
    </row>
    <row r="1173" spans="1:10" ht="11.25" customHeight="1" x14ac:dyDescent="0.2">
      <c r="A1173" s="67">
        <v>44013</v>
      </c>
      <c r="B1173" s="57">
        <v>0</v>
      </c>
      <c r="C1173" s="57">
        <v>0</v>
      </c>
      <c r="D1173" s="57">
        <v>626.53134999999997</v>
      </c>
      <c r="E1173" s="57">
        <v>710.33357936706147</v>
      </c>
      <c r="F1173" s="57">
        <v>489.03745000000004</v>
      </c>
      <c r="G1173" s="57">
        <v>426.42711897816315</v>
      </c>
      <c r="H1173" s="58">
        <v>0.13375584376912908</v>
      </c>
      <c r="I1173" s="58">
        <v>-0.1280276817692324</v>
      </c>
      <c r="J1173" s="58">
        <v>1.8996496088116377E-2</v>
      </c>
    </row>
    <row r="1174" spans="1:10" ht="11.25" customHeight="1" x14ac:dyDescent="0.2">
      <c r="A1174" s="67">
        <v>44044</v>
      </c>
      <c r="B1174" s="57">
        <v>0</v>
      </c>
      <c r="C1174" s="57">
        <v>0</v>
      </c>
      <c r="D1174" s="57">
        <v>712.09289999999999</v>
      </c>
      <c r="E1174" s="57">
        <v>807.33948668150595</v>
      </c>
      <c r="F1174" s="57">
        <v>555.82230000000004</v>
      </c>
      <c r="G1174" s="57">
        <v>484.66165945535727</v>
      </c>
      <c r="H1174" s="58">
        <v>0.13375584376912886</v>
      </c>
      <c r="I1174" s="58">
        <v>-0.12802768176923229</v>
      </c>
      <c r="J1174" s="58">
        <v>1.8996496088116377E-2</v>
      </c>
    </row>
    <row r="1175" spans="1:10" ht="11.25" customHeight="1" x14ac:dyDescent="0.2">
      <c r="A1175" s="67">
        <v>44075</v>
      </c>
      <c r="B1175" s="57">
        <v>0</v>
      </c>
      <c r="C1175" s="57">
        <v>0</v>
      </c>
      <c r="D1175" s="57">
        <v>712.09289999999999</v>
      </c>
      <c r="E1175" s="57">
        <v>807.33948668150595</v>
      </c>
      <c r="F1175" s="57">
        <v>555.82230000000004</v>
      </c>
      <c r="G1175" s="57">
        <v>484.66165945535727</v>
      </c>
      <c r="H1175" s="58">
        <v>0.13375584376912886</v>
      </c>
      <c r="I1175" s="58">
        <v>-0.12802768176923229</v>
      </c>
      <c r="J1175" s="58">
        <v>1.8996496088116377E-2</v>
      </c>
    </row>
    <row r="1176" spans="1:10" ht="11.25" customHeight="1" x14ac:dyDescent="0.2">
      <c r="A1176" s="62" t="s">
        <v>48</v>
      </c>
      <c r="B1176" s="57">
        <v>0</v>
      </c>
      <c r="C1176" s="57">
        <v>0</v>
      </c>
      <c r="D1176" s="57">
        <v>2940.4912500000005</v>
      </c>
      <c r="E1176" s="57">
        <v>3243.9975626954902</v>
      </c>
      <c r="F1176" s="57">
        <v>3194.1610000000001</v>
      </c>
      <c r="G1176" s="57">
        <v>2855.7482910383155</v>
      </c>
      <c r="H1176" s="58">
        <v>0.10321619310905605</v>
      </c>
      <c r="I1176" s="58">
        <v>-0.10594729225035449</v>
      </c>
      <c r="J1176" s="58">
        <v>-5.6900366709775607E-3</v>
      </c>
    </row>
    <row r="1177" spans="1:10" ht="11.25" customHeight="1" x14ac:dyDescent="0.2">
      <c r="A1177" s="63" t="s">
        <v>25</v>
      </c>
      <c r="B1177" s="57">
        <v>0</v>
      </c>
      <c r="C1177" s="57">
        <v>0</v>
      </c>
      <c r="D1177" s="57">
        <v>2940.4912500000005</v>
      </c>
      <c r="E1177" s="57">
        <v>3243.9975626954902</v>
      </c>
      <c r="F1177" s="57">
        <v>3194.1610000000001</v>
      </c>
      <c r="G1177" s="57">
        <v>2855.7482910383155</v>
      </c>
      <c r="H1177" s="58">
        <v>0.10321619310905605</v>
      </c>
      <c r="I1177" s="58">
        <v>-0.10594729225035449</v>
      </c>
      <c r="J1177" s="58">
        <v>-5.6900366709775607E-3</v>
      </c>
    </row>
    <row r="1178" spans="1:10" ht="11.25" customHeight="1" x14ac:dyDescent="0.2">
      <c r="A1178" s="64" t="s">
        <v>25</v>
      </c>
      <c r="B1178" s="57">
        <v>0</v>
      </c>
      <c r="C1178" s="57">
        <v>0</v>
      </c>
      <c r="D1178" s="57">
        <v>2940.4912500000005</v>
      </c>
      <c r="E1178" s="57">
        <v>3243.9975626954902</v>
      </c>
      <c r="F1178" s="57">
        <v>3194.1610000000001</v>
      </c>
      <c r="G1178" s="57">
        <v>2855.7482910383155</v>
      </c>
      <c r="H1178" s="58">
        <v>0.10321619310905605</v>
      </c>
      <c r="I1178" s="58">
        <v>-0.10594729225035449</v>
      </c>
      <c r="J1178" s="58">
        <v>-5.6900366709775607E-3</v>
      </c>
    </row>
    <row r="1179" spans="1:10" ht="11.25" customHeight="1" x14ac:dyDescent="0.2">
      <c r="A1179" s="65" t="s">
        <v>25</v>
      </c>
      <c r="B1179" s="57">
        <v>0</v>
      </c>
      <c r="C1179" s="57">
        <v>0</v>
      </c>
      <c r="D1179" s="57">
        <v>2940.4912500000005</v>
      </c>
      <c r="E1179" s="57">
        <v>3243.9975626954902</v>
      </c>
      <c r="F1179" s="57">
        <v>3194.1610000000001</v>
      </c>
      <c r="G1179" s="57">
        <v>2855.7482910383155</v>
      </c>
      <c r="H1179" s="58">
        <v>0.10321619310905605</v>
      </c>
      <c r="I1179" s="58">
        <v>-0.10594729225035449</v>
      </c>
      <c r="J1179" s="58">
        <v>-5.6900366709775607E-3</v>
      </c>
    </row>
    <row r="1180" spans="1:10" ht="11.25" customHeight="1" x14ac:dyDescent="0.2">
      <c r="A1180" s="66" t="s">
        <v>36</v>
      </c>
      <c r="B1180" s="57">
        <v>0</v>
      </c>
      <c r="C1180" s="57">
        <v>0</v>
      </c>
      <c r="D1180" s="57">
        <v>1776.48471</v>
      </c>
      <c r="E1180" s="57">
        <v>1927.5182704066083</v>
      </c>
      <c r="F1180" s="57">
        <v>2309.7274200000002</v>
      </c>
      <c r="G1180" s="57">
        <v>2079.6645787530665</v>
      </c>
      <c r="H1180" s="58">
        <v>8.5018215781101913E-2</v>
      </c>
      <c r="I1180" s="58">
        <v>-9.9606057084837163E-2</v>
      </c>
      <c r="J1180" s="58">
        <v>-1.9340474338106595E-2</v>
      </c>
    </row>
    <row r="1181" spans="1:10" ht="11.25" customHeight="1" x14ac:dyDescent="0.2">
      <c r="A1181" s="67">
        <v>43922</v>
      </c>
      <c r="B1181" s="57">
        <v>0</v>
      </c>
      <c r="C1181" s="57">
        <v>0</v>
      </c>
      <c r="D1181" s="57">
        <v>345.67406999999997</v>
      </c>
      <c r="E1181" s="57">
        <v>375.06266267319177</v>
      </c>
      <c r="F1181" s="57">
        <v>449.43413999999996</v>
      </c>
      <c r="G1181" s="57">
        <v>404.66777739528533</v>
      </c>
      <c r="H1181" s="58">
        <v>8.5018215781102136E-2</v>
      </c>
      <c r="I1181" s="58">
        <v>-9.9606057084837052E-2</v>
      </c>
      <c r="J1181" s="58">
        <v>-1.9340474338106595E-2</v>
      </c>
    </row>
    <row r="1182" spans="1:10" ht="11.25" customHeight="1" x14ac:dyDescent="0.2">
      <c r="A1182" s="67">
        <v>43952</v>
      </c>
      <c r="B1182" s="57">
        <v>0</v>
      </c>
      <c r="C1182" s="57">
        <v>0</v>
      </c>
      <c r="D1182" s="57">
        <v>231.50106</v>
      </c>
      <c r="E1182" s="57">
        <v>251.18286707263385</v>
      </c>
      <c r="F1182" s="57">
        <v>300.99011999999999</v>
      </c>
      <c r="G1182" s="57">
        <v>271.00968092530803</v>
      </c>
      <c r="H1182" s="58">
        <v>8.5018215781102136E-2</v>
      </c>
      <c r="I1182" s="58">
        <v>-9.9606057084837052E-2</v>
      </c>
      <c r="J1182" s="58">
        <v>-1.9340474338106595E-2</v>
      </c>
    </row>
    <row r="1183" spans="1:10" ht="11.25" customHeight="1" x14ac:dyDescent="0.2">
      <c r="A1183" s="67">
        <v>43983</v>
      </c>
      <c r="B1183" s="57">
        <v>0</v>
      </c>
      <c r="C1183" s="57">
        <v>0</v>
      </c>
      <c r="D1183" s="57">
        <v>254.57228999999998</v>
      </c>
      <c r="E1183" s="57">
        <v>276.21557188310931</v>
      </c>
      <c r="F1183" s="57">
        <v>330.98657999999995</v>
      </c>
      <c r="G1183" s="57">
        <v>298.01831181820501</v>
      </c>
      <c r="H1183" s="58">
        <v>8.5018215781102136E-2</v>
      </c>
      <c r="I1183" s="58">
        <v>-9.9606057084836941E-2</v>
      </c>
      <c r="J1183" s="58">
        <v>-1.9340474338106484E-2</v>
      </c>
    </row>
    <row r="1184" spans="1:10" ht="11.25" customHeight="1" x14ac:dyDescent="0.2">
      <c r="A1184" s="67">
        <v>44013</v>
      </c>
      <c r="B1184" s="57">
        <v>0</v>
      </c>
      <c r="C1184" s="57">
        <v>0</v>
      </c>
      <c r="D1184" s="57">
        <v>283.75641000000002</v>
      </c>
      <c r="E1184" s="57">
        <v>307.88087369465092</v>
      </c>
      <c r="F1184" s="57">
        <v>368.93081999999998</v>
      </c>
      <c r="G1184" s="57">
        <v>332.18307568272428</v>
      </c>
      <c r="H1184" s="58">
        <v>8.5018215781102136E-2</v>
      </c>
      <c r="I1184" s="58">
        <v>-9.9606057084836941E-2</v>
      </c>
      <c r="J1184" s="58">
        <v>-1.9340474338106595E-2</v>
      </c>
    </row>
    <row r="1185" spans="1:10" ht="11.25" customHeight="1" x14ac:dyDescent="0.2">
      <c r="A1185" s="67">
        <v>44044</v>
      </c>
      <c r="B1185" s="57">
        <v>0</v>
      </c>
      <c r="C1185" s="57">
        <v>0</v>
      </c>
      <c r="D1185" s="57">
        <v>330.49043999999998</v>
      </c>
      <c r="E1185" s="57">
        <v>358.58814754151138</v>
      </c>
      <c r="F1185" s="57">
        <v>429.69288</v>
      </c>
      <c r="G1185" s="57">
        <v>386.89286646577193</v>
      </c>
      <c r="H1185" s="58">
        <v>8.5018215781102136E-2</v>
      </c>
      <c r="I1185" s="58">
        <v>-9.9606057084837163E-2</v>
      </c>
      <c r="J1185" s="58">
        <v>-1.9340474338106595E-2</v>
      </c>
    </row>
    <row r="1186" spans="1:10" ht="11.25" customHeight="1" x14ac:dyDescent="0.2">
      <c r="A1186" s="67">
        <v>44075</v>
      </c>
      <c r="B1186" s="57">
        <v>0</v>
      </c>
      <c r="C1186" s="57">
        <v>0</v>
      </c>
      <c r="D1186" s="57">
        <v>330.49043999999998</v>
      </c>
      <c r="E1186" s="57">
        <v>358.58814754151138</v>
      </c>
      <c r="F1186" s="57">
        <v>429.69288</v>
      </c>
      <c r="G1186" s="57">
        <v>386.89286646577193</v>
      </c>
      <c r="H1186" s="58">
        <v>8.5018215781102136E-2</v>
      </c>
      <c r="I1186" s="58">
        <v>-9.9606057084837163E-2</v>
      </c>
      <c r="J1186" s="58">
        <v>-1.9340474338106595E-2</v>
      </c>
    </row>
    <row r="1187" spans="1:10" ht="11.25" customHeight="1" x14ac:dyDescent="0.2">
      <c r="A1187" s="66" t="s">
        <v>38</v>
      </c>
      <c r="B1187" s="57">
        <v>0</v>
      </c>
      <c r="C1187" s="57">
        <v>0</v>
      </c>
      <c r="D1187" s="57">
        <v>250.98200000000003</v>
      </c>
      <c r="E1187" s="57">
        <v>281.33238455926147</v>
      </c>
      <c r="F1187" s="57">
        <v>171.77459999999996</v>
      </c>
      <c r="G1187" s="57">
        <v>154.66480938667496</v>
      </c>
      <c r="H1187" s="58">
        <v>0.12092653879266813</v>
      </c>
      <c r="I1187" s="58">
        <v>-9.960605708483683E-2</v>
      </c>
      <c r="J1187" s="58">
        <v>3.131966229725669E-2</v>
      </c>
    </row>
    <row r="1188" spans="1:10" ht="11.25" customHeight="1" x14ac:dyDescent="0.2">
      <c r="A1188" s="67">
        <v>43922</v>
      </c>
      <c r="B1188" s="57">
        <v>0</v>
      </c>
      <c r="C1188" s="57">
        <v>0</v>
      </c>
      <c r="D1188" s="57">
        <v>30.342600000000004</v>
      </c>
      <c r="E1188" s="57">
        <v>34.011825595970421</v>
      </c>
      <c r="F1188" s="57">
        <v>20.766780000000001</v>
      </c>
      <c r="G1188" s="57">
        <v>18.69828292585175</v>
      </c>
      <c r="H1188" s="58">
        <v>0.12092653879266835</v>
      </c>
      <c r="I1188" s="58">
        <v>-9.9606057084836941E-2</v>
      </c>
      <c r="J1188" s="58">
        <v>3.131966229725669E-2</v>
      </c>
    </row>
    <row r="1189" spans="1:10" ht="11.25" customHeight="1" x14ac:dyDescent="0.2">
      <c r="A1189" s="67">
        <v>43952</v>
      </c>
      <c r="B1189" s="57">
        <v>0</v>
      </c>
      <c r="C1189" s="57">
        <v>0</v>
      </c>
      <c r="D1189" s="57">
        <v>32.590200000000003</v>
      </c>
      <c r="E1189" s="57">
        <v>36.531220084560822</v>
      </c>
      <c r="F1189" s="57">
        <v>22.305059999999997</v>
      </c>
      <c r="G1189" s="57">
        <v>20.083340920359284</v>
      </c>
      <c r="H1189" s="58">
        <v>0.12092653879266835</v>
      </c>
      <c r="I1189" s="58">
        <v>-9.9606057084836941E-2</v>
      </c>
      <c r="J1189" s="58">
        <v>3.131966229725669E-2</v>
      </c>
    </row>
    <row r="1190" spans="1:10" ht="11.25" customHeight="1" x14ac:dyDescent="0.2">
      <c r="A1190" s="67">
        <v>43983</v>
      </c>
      <c r="B1190" s="57">
        <v>0</v>
      </c>
      <c r="C1190" s="57">
        <v>0</v>
      </c>
      <c r="D1190" s="57">
        <v>44.951999999999998</v>
      </c>
      <c r="E1190" s="57">
        <v>50.387889771808027</v>
      </c>
      <c r="F1190" s="57">
        <v>30.765599999999999</v>
      </c>
      <c r="G1190" s="57">
        <v>27.701159890150738</v>
      </c>
      <c r="H1190" s="58">
        <v>0.12092653879266835</v>
      </c>
      <c r="I1190" s="58">
        <v>-9.9606057084837052E-2</v>
      </c>
      <c r="J1190" s="58">
        <v>3.131966229725669E-2</v>
      </c>
    </row>
    <row r="1191" spans="1:10" ht="11.25" customHeight="1" x14ac:dyDescent="0.2">
      <c r="A1191" s="67">
        <v>44013</v>
      </c>
      <c r="B1191" s="57">
        <v>0</v>
      </c>
      <c r="C1191" s="57">
        <v>0</v>
      </c>
      <c r="D1191" s="57">
        <v>46.450400000000002</v>
      </c>
      <c r="E1191" s="57">
        <v>52.06748609753496</v>
      </c>
      <c r="F1191" s="57">
        <v>31.791119999999999</v>
      </c>
      <c r="G1191" s="57">
        <v>28.624531886489095</v>
      </c>
      <c r="H1191" s="58">
        <v>0.12092653879266835</v>
      </c>
      <c r="I1191" s="58">
        <v>-9.9606057084837052E-2</v>
      </c>
      <c r="J1191" s="58">
        <v>3.131966229725669E-2</v>
      </c>
    </row>
    <row r="1192" spans="1:10" ht="11.25" customHeight="1" x14ac:dyDescent="0.2">
      <c r="A1192" s="67">
        <v>44044</v>
      </c>
      <c r="B1192" s="57">
        <v>0</v>
      </c>
      <c r="C1192" s="57">
        <v>0</v>
      </c>
      <c r="D1192" s="57">
        <v>48.323400000000007</v>
      </c>
      <c r="E1192" s="57">
        <v>54.166981504693631</v>
      </c>
      <c r="F1192" s="57">
        <v>33.07302</v>
      </c>
      <c r="G1192" s="57">
        <v>29.778746881912042</v>
      </c>
      <c r="H1192" s="58">
        <v>0.12092653879266813</v>
      </c>
      <c r="I1192" s="58">
        <v>-9.9606057084837052E-2</v>
      </c>
      <c r="J1192" s="58">
        <v>3.131966229725669E-2</v>
      </c>
    </row>
    <row r="1193" spans="1:10" ht="11.25" customHeight="1" x14ac:dyDescent="0.2">
      <c r="A1193" s="67">
        <v>44075</v>
      </c>
      <c r="B1193" s="57">
        <v>0</v>
      </c>
      <c r="C1193" s="57">
        <v>0</v>
      </c>
      <c r="D1193" s="57">
        <v>48.323400000000007</v>
      </c>
      <c r="E1193" s="57">
        <v>54.166981504693631</v>
      </c>
      <c r="F1193" s="57">
        <v>33.07302</v>
      </c>
      <c r="G1193" s="57">
        <v>29.778746881912042</v>
      </c>
      <c r="H1193" s="58">
        <v>0.12092653879266813</v>
      </c>
      <c r="I1193" s="58">
        <v>-9.9606057084837052E-2</v>
      </c>
      <c r="J1193" s="58">
        <v>3.131966229725669E-2</v>
      </c>
    </row>
    <row r="1194" spans="1:10" ht="11.25" customHeight="1" x14ac:dyDescent="0.2">
      <c r="A1194" s="66" t="s">
        <v>35</v>
      </c>
      <c r="B1194" s="57">
        <v>0</v>
      </c>
      <c r="C1194" s="57">
        <v>0</v>
      </c>
      <c r="D1194" s="57">
        <v>913.02453999999989</v>
      </c>
      <c r="E1194" s="57">
        <v>1035.1469077296206</v>
      </c>
      <c r="F1194" s="57">
        <v>712.65897999999993</v>
      </c>
      <c r="G1194" s="57">
        <v>621.41890289857429</v>
      </c>
      <c r="H1194" s="58">
        <v>0.13375584376912886</v>
      </c>
      <c r="I1194" s="58">
        <v>-0.12802768176923229</v>
      </c>
      <c r="J1194" s="58">
        <v>1.8996496088116155E-2</v>
      </c>
    </row>
    <row r="1195" spans="1:10" ht="11.25" customHeight="1" x14ac:dyDescent="0.2">
      <c r="A1195" s="67">
        <v>43922</v>
      </c>
      <c r="B1195" s="57">
        <v>0</v>
      </c>
      <c r="C1195" s="57">
        <v>0</v>
      </c>
      <c r="D1195" s="57">
        <v>113.16204999999999</v>
      </c>
      <c r="E1195" s="57">
        <v>128.29813548039434</v>
      </c>
      <c r="F1195" s="57">
        <v>88.32835</v>
      </c>
      <c r="G1195" s="57">
        <v>77.019876114998624</v>
      </c>
      <c r="H1195" s="58">
        <v>0.13375584376912886</v>
      </c>
      <c r="I1195" s="58">
        <v>-0.1280276817692324</v>
      </c>
      <c r="J1195" s="58">
        <v>1.8996496088116155E-2</v>
      </c>
    </row>
    <row r="1196" spans="1:10" ht="11.25" customHeight="1" x14ac:dyDescent="0.2">
      <c r="A1196" s="67">
        <v>43952</v>
      </c>
      <c r="B1196" s="57">
        <v>0</v>
      </c>
      <c r="C1196" s="57">
        <v>0</v>
      </c>
      <c r="D1196" s="57">
        <v>107.64195000000001</v>
      </c>
      <c r="E1196" s="57">
        <v>122.03968984720439</v>
      </c>
      <c r="F1196" s="57">
        <v>84.019649999999999</v>
      </c>
      <c r="G1196" s="57">
        <v>73.262808987437722</v>
      </c>
      <c r="H1196" s="58">
        <v>0.13375584376912886</v>
      </c>
      <c r="I1196" s="58">
        <v>-0.12802768176923229</v>
      </c>
      <c r="J1196" s="58">
        <v>1.8996496088116155E-2</v>
      </c>
    </row>
    <row r="1197" spans="1:10" ht="11.25" customHeight="1" x14ac:dyDescent="0.2">
      <c r="A1197" s="67">
        <v>43983</v>
      </c>
      <c r="B1197" s="57">
        <v>0</v>
      </c>
      <c r="C1197" s="57">
        <v>0</v>
      </c>
      <c r="D1197" s="57">
        <v>148.49069</v>
      </c>
      <c r="E1197" s="57">
        <v>168.35218753281015</v>
      </c>
      <c r="F1197" s="57">
        <v>115.90403000000001</v>
      </c>
      <c r="G1197" s="57">
        <v>101.06510573138846</v>
      </c>
      <c r="H1197" s="58">
        <v>0.13375584376912886</v>
      </c>
      <c r="I1197" s="58">
        <v>-0.12802768176923229</v>
      </c>
      <c r="J1197" s="58">
        <v>1.8996496088116377E-2</v>
      </c>
    </row>
    <row r="1198" spans="1:10" ht="11.25" customHeight="1" x14ac:dyDescent="0.2">
      <c r="A1198" s="67">
        <v>44013</v>
      </c>
      <c r="B1198" s="57">
        <v>0</v>
      </c>
      <c r="C1198" s="57">
        <v>0</v>
      </c>
      <c r="D1198" s="57">
        <v>161.73892999999998</v>
      </c>
      <c r="E1198" s="57">
        <v>183.37245705246607</v>
      </c>
      <c r="F1198" s="57">
        <v>126.24490999999999</v>
      </c>
      <c r="G1198" s="57">
        <v>110.08206683753463</v>
      </c>
      <c r="H1198" s="58">
        <v>0.13375584376912908</v>
      </c>
      <c r="I1198" s="58">
        <v>-0.12802768176923229</v>
      </c>
      <c r="J1198" s="58">
        <v>1.8996496088116377E-2</v>
      </c>
    </row>
    <row r="1199" spans="1:10" ht="11.25" customHeight="1" x14ac:dyDescent="0.2">
      <c r="A1199" s="67">
        <v>44044</v>
      </c>
      <c r="B1199" s="57">
        <v>0</v>
      </c>
      <c r="C1199" s="57">
        <v>0</v>
      </c>
      <c r="D1199" s="57">
        <v>190.99545999999998</v>
      </c>
      <c r="E1199" s="57">
        <v>216.54221890837289</v>
      </c>
      <c r="F1199" s="57">
        <v>149.08102</v>
      </c>
      <c r="G1199" s="57">
        <v>129.99452261360744</v>
      </c>
      <c r="H1199" s="58">
        <v>0.13375584376912886</v>
      </c>
      <c r="I1199" s="58">
        <v>-0.12802768176923229</v>
      </c>
      <c r="J1199" s="58">
        <v>1.8996496088116377E-2</v>
      </c>
    </row>
    <row r="1200" spans="1:10" ht="11.25" customHeight="1" x14ac:dyDescent="0.2">
      <c r="A1200" s="67">
        <v>44075</v>
      </c>
      <c r="B1200" s="57">
        <v>0</v>
      </c>
      <c r="C1200" s="57">
        <v>0</v>
      </c>
      <c r="D1200" s="57">
        <v>190.99545999999998</v>
      </c>
      <c r="E1200" s="57">
        <v>216.54221890837289</v>
      </c>
      <c r="F1200" s="57">
        <v>149.08102</v>
      </c>
      <c r="G1200" s="57">
        <v>129.99452261360744</v>
      </c>
      <c r="H1200" s="58">
        <v>0.13375584376912886</v>
      </c>
      <c r="I1200" s="58">
        <v>-0.12802768176923229</v>
      </c>
      <c r="J1200" s="58">
        <v>1.8996496088116377E-2</v>
      </c>
    </row>
    <row r="1201" spans="1:10" ht="11.25" customHeight="1" x14ac:dyDescent="0.2">
      <c r="A1201" s="61" t="s">
        <v>23</v>
      </c>
      <c r="B1201" s="57">
        <v>0</v>
      </c>
      <c r="C1201" s="57">
        <v>0</v>
      </c>
      <c r="D1201" s="57">
        <v>254926758.68470961</v>
      </c>
      <c r="E1201" s="57">
        <v>280499284.07061303</v>
      </c>
      <c r="F1201" s="57">
        <v>279512556.00332481</v>
      </c>
      <c r="G1201" s="57">
        <v>250619317.94002432</v>
      </c>
      <c r="H1201" s="58">
        <v>0.10031322532732312</v>
      </c>
      <c r="I1201" s="58">
        <v>-0.10337008997533936</v>
      </c>
      <c r="J1201" s="58">
        <v>-6.2134513426201909E-3</v>
      </c>
    </row>
    <row r="1202" spans="1:10" ht="11.25" customHeight="1" x14ac:dyDescent="0.2">
      <c r="A1202" s="62" t="s">
        <v>42</v>
      </c>
      <c r="B1202" s="57">
        <v>0</v>
      </c>
      <c r="C1202" s="57">
        <v>0</v>
      </c>
      <c r="D1202" s="57">
        <v>222040615.73452002</v>
      </c>
      <c r="E1202" s="57">
        <v>244314226.05251443</v>
      </c>
      <c r="F1202" s="57">
        <v>243454788.19376004</v>
      </c>
      <c r="G1202" s="57">
        <v>218288844.83324403</v>
      </c>
      <c r="H1202" s="58">
        <v>0.10031322532732356</v>
      </c>
      <c r="I1202" s="58">
        <v>-0.1033700899753387</v>
      </c>
      <c r="J1202" s="58">
        <v>-6.2134513426197469E-3</v>
      </c>
    </row>
    <row r="1203" spans="1:10" ht="11.25" customHeight="1" x14ac:dyDescent="0.2">
      <c r="A1203" s="63" t="s">
        <v>25</v>
      </c>
      <c r="B1203" s="57">
        <v>0</v>
      </c>
      <c r="C1203" s="57">
        <v>0</v>
      </c>
      <c r="D1203" s="57">
        <v>222040615.73452002</v>
      </c>
      <c r="E1203" s="57">
        <v>244314226.05251443</v>
      </c>
      <c r="F1203" s="57">
        <v>243454788.19376004</v>
      </c>
      <c r="G1203" s="57">
        <v>218288844.83324403</v>
      </c>
      <c r="H1203" s="58">
        <v>0.10031322532732356</v>
      </c>
      <c r="I1203" s="58">
        <v>-0.1033700899753387</v>
      </c>
      <c r="J1203" s="58">
        <v>-6.2134513426197469E-3</v>
      </c>
    </row>
    <row r="1204" spans="1:10" ht="11.25" customHeight="1" x14ac:dyDescent="0.2">
      <c r="A1204" s="64" t="s">
        <v>25</v>
      </c>
      <c r="B1204" s="57">
        <v>0</v>
      </c>
      <c r="C1204" s="57">
        <v>0</v>
      </c>
      <c r="D1204" s="57">
        <v>222040615.73452002</v>
      </c>
      <c r="E1204" s="57">
        <v>244314226.05251443</v>
      </c>
      <c r="F1204" s="57">
        <v>243454788.19376004</v>
      </c>
      <c r="G1204" s="57">
        <v>218288844.83324403</v>
      </c>
      <c r="H1204" s="58">
        <v>0.10031322532732356</v>
      </c>
      <c r="I1204" s="58">
        <v>-0.1033700899753387</v>
      </c>
      <c r="J1204" s="58">
        <v>-6.2134513426197469E-3</v>
      </c>
    </row>
    <row r="1205" spans="1:10" ht="11.25" customHeight="1" x14ac:dyDescent="0.2">
      <c r="A1205" s="65" t="s">
        <v>25</v>
      </c>
      <c r="B1205" s="57">
        <v>0</v>
      </c>
      <c r="C1205" s="57">
        <v>0</v>
      </c>
      <c r="D1205" s="57">
        <v>222040615.73452002</v>
      </c>
      <c r="E1205" s="57">
        <v>244314226.05251443</v>
      </c>
      <c r="F1205" s="57">
        <v>243454788.19376004</v>
      </c>
      <c r="G1205" s="57">
        <v>218288844.83324403</v>
      </c>
      <c r="H1205" s="58">
        <v>0.10031322532732356</v>
      </c>
      <c r="I1205" s="58">
        <v>-0.1033700899753387</v>
      </c>
      <c r="J1205" s="58">
        <v>-6.2134513426197469E-3</v>
      </c>
    </row>
    <row r="1206" spans="1:10" ht="11.25" customHeight="1" x14ac:dyDescent="0.2">
      <c r="A1206" s="66" t="s">
        <v>25</v>
      </c>
      <c r="B1206" s="57">
        <v>0</v>
      </c>
      <c r="C1206" s="57">
        <v>0</v>
      </c>
      <c r="D1206" s="57">
        <v>222040615.73452002</v>
      </c>
      <c r="E1206" s="57">
        <v>244314226.05251443</v>
      </c>
      <c r="F1206" s="57">
        <v>243454788.19376004</v>
      </c>
      <c r="G1206" s="57">
        <v>218288844.83324403</v>
      </c>
      <c r="H1206" s="58">
        <v>0.10031322532732356</v>
      </c>
      <c r="I1206" s="58">
        <v>-0.1033700899753387</v>
      </c>
      <c r="J1206" s="58">
        <v>-6.2134513426197469E-3</v>
      </c>
    </row>
    <row r="1207" spans="1:10" ht="11.25" customHeight="1" x14ac:dyDescent="0.2">
      <c r="A1207" s="67">
        <v>43739</v>
      </c>
      <c r="B1207" s="57">
        <v>0</v>
      </c>
      <c r="C1207" s="57">
        <v>0</v>
      </c>
      <c r="D1207" s="57">
        <v>21751655.64663</v>
      </c>
      <c r="E1207" s="57">
        <v>23933634.380752735</v>
      </c>
      <c r="F1207" s="57">
        <v>23849441.692439999</v>
      </c>
      <c r="G1207" s="57">
        <v>21384122.758830879</v>
      </c>
      <c r="H1207" s="58">
        <v>0.10031322532732312</v>
      </c>
      <c r="I1207" s="58">
        <v>-0.10337008997533881</v>
      </c>
      <c r="J1207" s="58">
        <v>-6.2134513426198579E-3</v>
      </c>
    </row>
    <row r="1208" spans="1:10" ht="11.25" customHeight="1" x14ac:dyDescent="0.2">
      <c r="A1208" s="67">
        <v>43770</v>
      </c>
      <c r="B1208" s="57">
        <v>0</v>
      </c>
      <c r="C1208" s="57">
        <v>0</v>
      </c>
      <c r="D1208" s="57">
        <v>23363976.704049997</v>
      </c>
      <c r="E1208" s="57">
        <v>25707692.563705698</v>
      </c>
      <c r="F1208" s="57">
        <v>25617259.171399999</v>
      </c>
      <c r="G1208" s="57">
        <v>22969200.785930809</v>
      </c>
      <c r="H1208" s="58">
        <v>0.10031322532732334</v>
      </c>
      <c r="I1208" s="58">
        <v>-0.10337008997533881</v>
      </c>
      <c r="J1208" s="58">
        <v>-6.2134513426197469E-3</v>
      </c>
    </row>
    <row r="1209" spans="1:10" ht="11.25" customHeight="1" x14ac:dyDescent="0.2">
      <c r="A1209" s="67">
        <v>43800</v>
      </c>
      <c r="B1209" s="57">
        <v>0</v>
      </c>
      <c r="C1209" s="57">
        <v>0</v>
      </c>
      <c r="D1209" s="57">
        <v>20524399.645209998</v>
      </c>
      <c r="E1209" s="57">
        <v>22583268.371527981</v>
      </c>
      <c r="F1209" s="57">
        <v>22503825.94148</v>
      </c>
      <c r="G1209" s="57">
        <v>20177603.429119851</v>
      </c>
      <c r="H1209" s="58">
        <v>0.10031322532732312</v>
      </c>
      <c r="I1209" s="58">
        <v>-0.1033700899753387</v>
      </c>
      <c r="J1209" s="58">
        <v>-6.2134513426196358E-3</v>
      </c>
    </row>
    <row r="1210" spans="1:10" ht="11.25" customHeight="1" x14ac:dyDescent="0.2">
      <c r="A1210" s="67">
        <v>43831</v>
      </c>
      <c r="B1210" s="57">
        <v>0</v>
      </c>
      <c r="C1210" s="57">
        <v>0</v>
      </c>
      <c r="D1210" s="57">
        <v>21064791.405370001</v>
      </c>
      <c r="E1210" s="57">
        <v>23177868.57208994</v>
      </c>
      <c r="F1210" s="57">
        <v>23096334.483560003</v>
      </c>
      <c r="G1210" s="57">
        <v>20708864.309893884</v>
      </c>
      <c r="H1210" s="58">
        <v>0.10031322532732312</v>
      </c>
      <c r="I1210" s="58">
        <v>-0.10337008997533892</v>
      </c>
      <c r="J1210" s="58">
        <v>-6.2134513426199689E-3</v>
      </c>
    </row>
    <row r="1211" spans="1:10" ht="11.25" customHeight="1" x14ac:dyDescent="0.2">
      <c r="A1211" s="67">
        <v>43862</v>
      </c>
      <c r="B1211" s="57">
        <v>0</v>
      </c>
      <c r="C1211" s="57">
        <v>0</v>
      </c>
      <c r="D1211" s="57">
        <v>20358626.470030002</v>
      </c>
      <c r="E1211" s="57">
        <v>22400865.954472922</v>
      </c>
      <c r="F1211" s="57">
        <v>22322065.171640005</v>
      </c>
      <c r="G1211" s="57">
        <v>20014631.286412198</v>
      </c>
      <c r="H1211" s="58">
        <v>0.1003132253273229</v>
      </c>
      <c r="I1211" s="58">
        <v>-0.10337008997533892</v>
      </c>
      <c r="J1211" s="58">
        <v>-6.2134513426198579E-3</v>
      </c>
    </row>
    <row r="1212" spans="1:10" ht="11.25" customHeight="1" x14ac:dyDescent="0.2">
      <c r="A1212" s="67">
        <v>43891</v>
      </c>
      <c r="B1212" s="57">
        <v>0</v>
      </c>
      <c r="C1212" s="57">
        <v>0</v>
      </c>
      <c r="D1212" s="57">
        <v>20062549.1479</v>
      </c>
      <c r="E1212" s="57">
        <v>22075088.161213789</v>
      </c>
      <c r="F1212" s="57">
        <v>21997433.385200001</v>
      </c>
      <c r="G1212" s="57">
        <v>19723556.716945358</v>
      </c>
      <c r="H1212" s="58">
        <v>0.10031322532732312</v>
      </c>
      <c r="I1212" s="58">
        <v>-0.1033700899753387</v>
      </c>
      <c r="J1212" s="58">
        <v>-6.2134513426197469E-3</v>
      </c>
    </row>
    <row r="1213" spans="1:10" ht="11.25" customHeight="1" x14ac:dyDescent="0.2">
      <c r="A1213" s="67">
        <v>43922</v>
      </c>
      <c r="B1213" s="57">
        <v>0</v>
      </c>
      <c r="C1213" s="57">
        <v>0</v>
      </c>
      <c r="D1213" s="57">
        <v>16936442.077439997</v>
      </c>
      <c r="E1213" s="57">
        <v>18635391.207797401</v>
      </c>
      <c r="F1213" s="57">
        <v>18569836.446720004</v>
      </c>
      <c r="G1213" s="57">
        <v>16650270.782395231</v>
      </c>
      <c r="H1213" s="58">
        <v>0.10031322532732356</v>
      </c>
      <c r="I1213" s="58">
        <v>-0.10337008997533881</v>
      </c>
      <c r="J1213" s="58">
        <v>-6.2134513426196358E-3</v>
      </c>
    </row>
    <row r="1214" spans="1:10" ht="11.25" customHeight="1" x14ac:dyDescent="0.2">
      <c r="A1214" s="67">
        <v>43952</v>
      </c>
      <c r="B1214" s="57">
        <v>0</v>
      </c>
      <c r="C1214" s="57">
        <v>0</v>
      </c>
      <c r="D1214" s="57">
        <v>15490566.774180001</v>
      </c>
      <c r="E1214" s="57">
        <v>17044475.489446264</v>
      </c>
      <c r="F1214" s="57">
        <v>16984517.181840003</v>
      </c>
      <c r="G1214" s="57">
        <v>15228826.112565514</v>
      </c>
      <c r="H1214" s="58">
        <v>0.10031322532732312</v>
      </c>
      <c r="I1214" s="58">
        <v>-0.10337008997533881</v>
      </c>
      <c r="J1214" s="58">
        <v>-6.2134513426199689E-3</v>
      </c>
    </row>
    <row r="1215" spans="1:10" ht="11.25" customHeight="1" x14ac:dyDescent="0.2">
      <c r="A1215" s="67">
        <v>43983</v>
      </c>
      <c r="B1215" s="57">
        <v>0</v>
      </c>
      <c r="C1215" s="57">
        <v>0</v>
      </c>
      <c r="D1215" s="57">
        <v>14317205.30229</v>
      </c>
      <c r="E1215" s="57">
        <v>15753410.343836162</v>
      </c>
      <c r="F1215" s="57">
        <v>15697993.688520001</v>
      </c>
      <c r="G1215" s="57">
        <v>14075290.668505389</v>
      </c>
      <c r="H1215" s="58">
        <v>0.10031322532732312</v>
      </c>
      <c r="I1215" s="58">
        <v>-0.1033700899753387</v>
      </c>
      <c r="J1215" s="58">
        <v>-6.2134513426197469E-3</v>
      </c>
    </row>
    <row r="1216" spans="1:10" ht="11.25" customHeight="1" x14ac:dyDescent="0.2">
      <c r="A1216" s="67">
        <v>44013</v>
      </c>
      <c r="B1216" s="57">
        <v>0</v>
      </c>
      <c r="C1216" s="57">
        <v>0</v>
      </c>
      <c r="D1216" s="57">
        <v>14973930.246620001</v>
      </c>
      <c r="E1216" s="57">
        <v>16476013.485484811</v>
      </c>
      <c r="F1216" s="57">
        <v>16418054.888560001</v>
      </c>
      <c r="G1216" s="57">
        <v>14720919.077509504</v>
      </c>
      <c r="H1216" s="58">
        <v>0.1003132253273229</v>
      </c>
      <c r="I1216" s="58">
        <v>-0.1033700899753387</v>
      </c>
      <c r="J1216" s="58">
        <v>-6.2134513426198579E-3</v>
      </c>
    </row>
    <row r="1217" spans="1:10" ht="11.25" customHeight="1" x14ac:dyDescent="0.2">
      <c r="A1217" s="67">
        <v>44044</v>
      </c>
      <c r="B1217" s="57">
        <v>0</v>
      </c>
      <c r="C1217" s="57">
        <v>0</v>
      </c>
      <c r="D1217" s="57">
        <v>16598236.157399999</v>
      </c>
      <c r="E1217" s="57">
        <v>18263258.761093389</v>
      </c>
      <c r="F1217" s="57">
        <v>18199013.071199998</v>
      </c>
      <c r="G1217" s="57">
        <v>16317779.452567693</v>
      </c>
      <c r="H1217" s="58">
        <v>0.10031322532732334</v>
      </c>
      <c r="I1217" s="58">
        <v>-0.10337008997533847</v>
      </c>
      <c r="J1217" s="58">
        <v>-6.2134513426196358E-3</v>
      </c>
    </row>
    <row r="1218" spans="1:10" ht="11.25" customHeight="1" x14ac:dyDescent="0.2">
      <c r="A1218" s="67">
        <v>44075</v>
      </c>
      <c r="B1218" s="57">
        <v>0</v>
      </c>
      <c r="C1218" s="57">
        <v>0</v>
      </c>
      <c r="D1218" s="57">
        <v>16598236.157399999</v>
      </c>
      <c r="E1218" s="57">
        <v>18263258.761093389</v>
      </c>
      <c r="F1218" s="57">
        <v>18199013.071199998</v>
      </c>
      <c r="G1218" s="57">
        <v>16317779.452567693</v>
      </c>
      <c r="H1218" s="58">
        <v>0.10031322532732334</v>
      </c>
      <c r="I1218" s="58">
        <v>-0.10337008997533847</v>
      </c>
      <c r="J1218" s="58">
        <v>-6.2134513426196358E-3</v>
      </c>
    </row>
    <row r="1219" spans="1:10" ht="11.25" customHeight="1" x14ac:dyDescent="0.2">
      <c r="A1219" s="62" t="s">
        <v>54</v>
      </c>
      <c r="B1219" s="57">
        <v>0</v>
      </c>
      <c r="C1219" s="57">
        <v>0</v>
      </c>
      <c r="D1219" s="57">
        <v>300669.98396000004</v>
      </c>
      <c r="E1219" s="57">
        <v>330831.15981014201</v>
      </c>
      <c r="F1219" s="57">
        <v>329667.37647999992</v>
      </c>
      <c r="G1219" s="57">
        <v>295589.63011132862</v>
      </c>
      <c r="H1219" s="58">
        <v>0.10031322532732267</v>
      </c>
      <c r="I1219" s="58">
        <v>-0.10337008997533825</v>
      </c>
      <c r="J1219" s="58">
        <v>-6.2134513426197469E-3</v>
      </c>
    </row>
    <row r="1220" spans="1:10" ht="11.25" customHeight="1" x14ac:dyDescent="0.2">
      <c r="A1220" s="63" t="s">
        <v>25</v>
      </c>
      <c r="B1220" s="57">
        <v>0</v>
      </c>
      <c r="C1220" s="57">
        <v>0</v>
      </c>
      <c r="D1220" s="57">
        <v>300669.98396000004</v>
      </c>
      <c r="E1220" s="57">
        <v>330831.15981014201</v>
      </c>
      <c r="F1220" s="57">
        <v>329667.37647999992</v>
      </c>
      <c r="G1220" s="57">
        <v>295589.63011132862</v>
      </c>
      <c r="H1220" s="58">
        <v>0.10031322532732267</v>
      </c>
      <c r="I1220" s="58">
        <v>-0.10337008997533825</v>
      </c>
      <c r="J1220" s="58">
        <v>-6.2134513426197469E-3</v>
      </c>
    </row>
    <row r="1221" spans="1:10" ht="11.25" customHeight="1" x14ac:dyDescent="0.2">
      <c r="A1221" s="64" t="s">
        <v>25</v>
      </c>
      <c r="B1221" s="57">
        <v>0</v>
      </c>
      <c r="C1221" s="57">
        <v>0</v>
      </c>
      <c r="D1221" s="57">
        <v>300669.98396000004</v>
      </c>
      <c r="E1221" s="57">
        <v>330831.15981014201</v>
      </c>
      <c r="F1221" s="57">
        <v>329667.37647999992</v>
      </c>
      <c r="G1221" s="57">
        <v>295589.63011132862</v>
      </c>
      <c r="H1221" s="58">
        <v>0.10031322532732267</v>
      </c>
      <c r="I1221" s="58">
        <v>-0.10337008997533825</v>
      </c>
      <c r="J1221" s="58">
        <v>-6.2134513426197469E-3</v>
      </c>
    </row>
    <row r="1222" spans="1:10" ht="11.25" customHeight="1" x14ac:dyDescent="0.2">
      <c r="A1222" s="65" t="s">
        <v>25</v>
      </c>
      <c r="B1222" s="57">
        <v>0</v>
      </c>
      <c r="C1222" s="57">
        <v>0</v>
      </c>
      <c r="D1222" s="57">
        <v>300669.98396000004</v>
      </c>
      <c r="E1222" s="57">
        <v>330831.15981014201</v>
      </c>
      <c r="F1222" s="57">
        <v>329667.37647999992</v>
      </c>
      <c r="G1222" s="57">
        <v>295589.63011132862</v>
      </c>
      <c r="H1222" s="58">
        <v>0.10031322532732267</v>
      </c>
      <c r="I1222" s="58">
        <v>-0.10337008997533825</v>
      </c>
      <c r="J1222" s="58">
        <v>-6.2134513426197469E-3</v>
      </c>
    </row>
    <row r="1223" spans="1:10" ht="11.25" customHeight="1" x14ac:dyDescent="0.2">
      <c r="A1223" s="66" t="s">
        <v>25</v>
      </c>
      <c r="B1223" s="57">
        <v>0</v>
      </c>
      <c r="C1223" s="57">
        <v>0</v>
      </c>
      <c r="D1223" s="57">
        <v>300669.98396000004</v>
      </c>
      <c r="E1223" s="57">
        <v>330831.15981014201</v>
      </c>
      <c r="F1223" s="57">
        <v>329667.37647999992</v>
      </c>
      <c r="G1223" s="57">
        <v>295589.63011132862</v>
      </c>
      <c r="H1223" s="58">
        <v>0.10031322532732267</v>
      </c>
      <c r="I1223" s="58">
        <v>-0.10337008997533825</v>
      </c>
      <c r="J1223" s="58">
        <v>-6.2134513426197469E-3</v>
      </c>
    </row>
    <row r="1224" spans="1:10" ht="11.25" customHeight="1" x14ac:dyDescent="0.2">
      <c r="A1224" s="67">
        <v>43739</v>
      </c>
      <c r="B1224" s="57">
        <v>0</v>
      </c>
      <c r="C1224" s="57">
        <v>0</v>
      </c>
      <c r="D1224" s="57">
        <v>26536.477640000001</v>
      </c>
      <c r="E1224" s="57">
        <v>29198.437300894791</v>
      </c>
      <c r="F1224" s="57">
        <v>29095.724320000001</v>
      </c>
      <c r="G1224" s="57">
        <v>26088.09667914395</v>
      </c>
      <c r="H1224" s="58">
        <v>0.10031322532732312</v>
      </c>
      <c r="I1224" s="58">
        <v>-0.1033700899753387</v>
      </c>
      <c r="J1224" s="58">
        <v>-6.2134513426198579E-3</v>
      </c>
    </row>
    <row r="1225" spans="1:10" ht="11.25" customHeight="1" x14ac:dyDescent="0.2">
      <c r="A1225" s="67">
        <v>43770</v>
      </c>
      <c r="B1225" s="57">
        <v>0</v>
      </c>
      <c r="C1225" s="57">
        <v>0</v>
      </c>
      <c r="D1225" s="57">
        <v>26729.702020000001</v>
      </c>
      <c r="E1225" s="57">
        <v>29411.044641664463</v>
      </c>
      <c r="F1225" s="57">
        <v>29307.583760000001</v>
      </c>
      <c r="G1225" s="57">
        <v>26278.056189769024</v>
      </c>
      <c r="H1225" s="58">
        <v>0.10031322532732312</v>
      </c>
      <c r="I1225" s="58">
        <v>-0.10337008997533881</v>
      </c>
      <c r="J1225" s="58">
        <v>-6.2134513426198579E-3</v>
      </c>
    </row>
    <row r="1226" spans="1:10" ht="11.25" customHeight="1" x14ac:dyDescent="0.2">
      <c r="A1226" s="67">
        <v>43800</v>
      </c>
      <c r="B1226" s="57">
        <v>0</v>
      </c>
      <c r="C1226" s="57">
        <v>0</v>
      </c>
      <c r="D1226" s="57">
        <v>25712.926670000001</v>
      </c>
      <c r="E1226" s="57">
        <v>28292.273276872649</v>
      </c>
      <c r="F1226" s="57">
        <v>28192.747960000001</v>
      </c>
      <c r="G1226" s="57">
        <v>25278.461066722753</v>
      </c>
      <c r="H1226" s="58">
        <v>0.10031322532732312</v>
      </c>
      <c r="I1226" s="58">
        <v>-0.1033700899753387</v>
      </c>
      <c r="J1226" s="58">
        <v>-6.2134513426197469E-3</v>
      </c>
    </row>
    <row r="1227" spans="1:10" ht="11.25" customHeight="1" x14ac:dyDescent="0.2">
      <c r="A1227" s="67">
        <v>43831</v>
      </c>
      <c r="B1227" s="57">
        <v>0</v>
      </c>
      <c r="C1227" s="57">
        <v>0</v>
      </c>
      <c r="D1227" s="57">
        <v>25936.296030000001</v>
      </c>
      <c r="E1227" s="57">
        <v>28538.049537813546</v>
      </c>
      <c r="F1227" s="57">
        <v>28437.659640000002</v>
      </c>
      <c r="G1227" s="57">
        <v>25498.056204325141</v>
      </c>
      <c r="H1227" s="58">
        <v>0.10031322532732312</v>
      </c>
      <c r="I1227" s="58">
        <v>-0.10337008997533881</v>
      </c>
      <c r="J1227" s="58">
        <v>-6.2134513426198579E-3</v>
      </c>
    </row>
    <row r="1228" spans="1:10" ht="11.25" customHeight="1" x14ac:dyDescent="0.2">
      <c r="A1228" s="67">
        <v>43862</v>
      </c>
      <c r="B1228" s="57">
        <v>0</v>
      </c>
      <c r="C1228" s="57">
        <v>0</v>
      </c>
      <c r="D1228" s="57">
        <v>25977.312969999999</v>
      </c>
      <c r="E1228" s="57">
        <v>28583.181019358002</v>
      </c>
      <c r="F1228" s="57">
        <v>28482.63236</v>
      </c>
      <c r="G1228" s="57">
        <v>25538.380090212304</v>
      </c>
      <c r="H1228" s="58">
        <v>0.10031322532732312</v>
      </c>
      <c r="I1228" s="58">
        <v>-0.10337008997533881</v>
      </c>
      <c r="J1228" s="58">
        <v>-6.2134513426199689E-3</v>
      </c>
    </row>
    <row r="1229" spans="1:10" ht="11.25" customHeight="1" x14ac:dyDescent="0.2">
      <c r="A1229" s="67">
        <v>43891</v>
      </c>
      <c r="B1229" s="57">
        <v>0</v>
      </c>
      <c r="C1229" s="57">
        <v>0</v>
      </c>
      <c r="D1229" s="57">
        <v>25431.244070000001</v>
      </c>
      <c r="E1229" s="57">
        <v>27982.334186748059</v>
      </c>
      <c r="F1229" s="57">
        <v>27883.899160000001</v>
      </c>
      <c r="G1229" s="57">
        <v>25001.53799496753</v>
      </c>
      <c r="H1229" s="58">
        <v>0.10031322532732312</v>
      </c>
      <c r="I1229" s="58">
        <v>-0.1033700899753387</v>
      </c>
      <c r="J1229" s="58">
        <v>-6.2134513426198579E-3</v>
      </c>
    </row>
    <row r="1230" spans="1:10" ht="11.25" customHeight="1" x14ac:dyDescent="0.2">
      <c r="A1230" s="67">
        <v>43922</v>
      </c>
      <c r="B1230" s="57">
        <v>0</v>
      </c>
      <c r="C1230" s="57">
        <v>0</v>
      </c>
      <c r="D1230" s="57">
        <v>25063.821240000001</v>
      </c>
      <c r="E1230" s="57">
        <v>27578.053987611871</v>
      </c>
      <c r="F1230" s="57">
        <v>27481.041120000005</v>
      </c>
      <c r="G1230" s="57">
        <v>24640.32342680962</v>
      </c>
      <c r="H1230" s="58">
        <v>0.10031322532732312</v>
      </c>
      <c r="I1230" s="58">
        <v>-0.10337008997533881</v>
      </c>
      <c r="J1230" s="58">
        <v>-6.2134513426198579E-3</v>
      </c>
    </row>
    <row r="1231" spans="1:10" ht="11.25" customHeight="1" x14ac:dyDescent="0.2">
      <c r="A1231" s="67">
        <v>43952</v>
      </c>
      <c r="B1231" s="57">
        <v>0</v>
      </c>
      <c r="C1231" s="57">
        <v>0</v>
      </c>
      <c r="D1231" s="57">
        <v>24351.954950000003</v>
      </c>
      <c r="E1231" s="57">
        <v>26794.778094060173</v>
      </c>
      <c r="F1231" s="57">
        <v>26700.520600000003</v>
      </c>
      <c r="G1231" s="57">
        <v>23940.485383189618</v>
      </c>
      <c r="H1231" s="58">
        <v>0.10031322532732312</v>
      </c>
      <c r="I1231" s="58">
        <v>-0.1033700899753387</v>
      </c>
      <c r="J1231" s="58">
        <v>-6.2134513426197469E-3</v>
      </c>
    </row>
    <row r="1232" spans="1:10" ht="11.25" customHeight="1" x14ac:dyDescent="0.2">
      <c r="A1232" s="67">
        <v>43983</v>
      </c>
      <c r="B1232" s="57">
        <v>0</v>
      </c>
      <c r="C1232" s="57">
        <v>0</v>
      </c>
      <c r="D1232" s="57">
        <v>24032.46758</v>
      </c>
      <c r="E1232" s="57">
        <v>26443.24191552413</v>
      </c>
      <c r="F1232" s="57">
        <v>26350.22104</v>
      </c>
      <c r="G1232" s="57">
        <v>23626.396320225136</v>
      </c>
      <c r="H1232" s="58">
        <v>0.10031322532732312</v>
      </c>
      <c r="I1232" s="58">
        <v>-0.1033700899753387</v>
      </c>
      <c r="J1232" s="58">
        <v>-6.2134513426197469E-3</v>
      </c>
    </row>
    <row r="1233" spans="1:10" ht="11.25" customHeight="1" x14ac:dyDescent="0.2">
      <c r="A1233" s="67">
        <v>44013</v>
      </c>
      <c r="B1233" s="57">
        <v>0</v>
      </c>
      <c r="C1233" s="57">
        <v>0</v>
      </c>
      <c r="D1233" s="57">
        <v>23524.697629999999</v>
      </c>
      <c r="E1233" s="57">
        <v>25884.535924115335</v>
      </c>
      <c r="F1233" s="57">
        <v>25793.480439999999</v>
      </c>
      <c r="G1233" s="57">
        <v>23127.206046140062</v>
      </c>
      <c r="H1233" s="58">
        <v>0.10031322532732312</v>
      </c>
      <c r="I1233" s="58">
        <v>-0.1033700899753387</v>
      </c>
      <c r="J1233" s="58">
        <v>-6.2134513426196358E-3</v>
      </c>
    </row>
    <row r="1234" spans="1:10" ht="11.25" customHeight="1" x14ac:dyDescent="0.2">
      <c r="A1234" s="67">
        <v>44044</v>
      </c>
      <c r="B1234" s="57">
        <v>0</v>
      </c>
      <c r="C1234" s="57">
        <v>0</v>
      </c>
      <c r="D1234" s="57">
        <v>23686.541579999997</v>
      </c>
      <c r="E1234" s="57">
        <v>26062.614962739546</v>
      </c>
      <c r="F1234" s="57">
        <v>25970.93304</v>
      </c>
      <c r="G1234" s="57">
        <v>23286.315354911701</v>
      </c>
      <c r="H1234" s="58">
        <v>0.10031322532732312</v>
      </c>
      <c r="I1234" s="58">
        <v>-0.10337008997533881</v>
      </c>
      <c r="J1234" s="58">
        <v>-6.2134513426197469E-3</v>
      </c>
    </row>
    <row r="1235" spans="1:10" ht="11.25" customHeight="1" x14ac:dyDescent="0.2">
      <c r="A1235" s="67">
        <v>44075</v>
      </c>
      <c r="B1235" s="57">
        <v>0</v>
      </c>
      <c r="C1235" s="57">
        <v>0</v>
      </c>
      <c r="D1235" s="57">
        <v>23686.541579999997</v>
      </c>
      <c r="E1235" s="57">
        <v>26062.614962739546</v>
      </c>
      <c r="F1235" s="57">
        <v>25970.93304</v>
      </c>
      <c r="G1235" s="57">
        <v>23286.315354911701</v>
      </c>
      <c r="H1235" s="58">
        <v>0.10031322532732312</v>
      </c>
      <c r="I1235" s="58">
        <v>-0.10337008997533881</v>
      </c>
      <c r="J1235" s="58">
        <v>-6.2134513426197469E-3</v>
      </c>
    </row>
    <row r="1236" spans="1:10" ht="11.25" customHeight="1" x14ac:dyDescent="0.2">
      <c r="A1236" s="62" t="s">
        <v>40</v>
      </c>
      <c r="B1236" s="57">
        <v>0</v>
      </c>
      <c r="C1236" s="57">
        <v>0</v>
      </c>
      <c r="D1236" s="57">
        <v>7315803.9035900002</v>
      </c>
      <c r="E1236" s="57">
        <v>8049675.7890213337</v>
      </c>
      <c r="F1236" s="57">
        <v>8021358.9929200001</v>
      </c>
      <c r="G1236" s="57">
        <v>7192190.392097367</v>
      </c>
      <c r="H1236" s="58">
        <v>0.10031322532732312</v>
      </c>
      <c r="I1236" s="58">
        <v>-0.10337008997533892</v>
      </c>
      <c r="J1236" s="58">
        <v>-6.2134513426199689E-3</v>
      </c>
    </row>
    <row r="1237" spans="1:10" ht="11.25" customHeight="1" x14ac:dyDescent="0.2">
      <c r="A1237" s="63" t="s">
        <v>25</v>
      </c>
      <c r="B1237" s="57">
        <v>0</v>
      </c>
      <c r="C1237" s="57">
        <v>0</v>
      </c>
      <c r="D1237" s="57">
        <v>7315803.9035900002</v>
      </c>
      <c r="E1237" s="57">
        <v>8049675.7890213337</v>
      </c>
      <c r="F1237" s="57">
        <v>8021358.9929200001</v>
      </c>
      <c r="G1237" s="57">
        <v>7192190.392097367</v>
      </c>
      <c r="H1237" s="58">
        <v>0.10031322532732312</v>
      </c>
      <c r="I1237" s="58">
        <v>-0.10337008997533892</v>
      </c>
      <c r="J1237" s="58">
        <v>-6.2134513426199689E-3</v>
      </c>
    </row>
    <row r="1238" spans="1:10" ht="11.25" customHeight="1" x14ac:dyDescent="0.2">
      <c r="A1238" s="64" t="s">
        <v>25</v>
      </c>
      <c r="B1238" s="57">
        <v>0</v>
      </c>
      <c r="C1238" s="57">
        <v>0</v>
      </c>
      <c r="D1238" s="57">
        <v>7315803.9035900002</v>
      </c>
      <c r="E1238" s="57">
        <v>8049675.7890213337</v>
      </c>
      <c r="F1238" s="57">
        <v>8021358.9929200001</v>
      </c>
      <c r="G1238" s="57">
        <v>7192190.392097367</v>
      </c>
      <c r="H1238" s="58">
        <v>0.10031322532732312</v>
      </c>
      <c r="I1238" s="58">
        <v>-0.10337008997533892</v>
      </c>
      <c r="J1238" s="58">
        <v>-6.2134513426199689E-3</v>
      </c>
    </row>
    <row r="1239" spans="1:10" ht="11.25" customHeight="1" x14ac:dyDescent="0.2">
      <c r="A1239" s="65" t="s">
        <v>25</v>
      </c>
      <c r="B1239" s="57">
        <v>0</v>
      </c>
      <c r="C1239" s="57">
        <v>0</v>
      </c>
      <c r="D1239" s="57">
        <v>7315803.9035900002</v>
      </c>
      <c r="E1239" s="57">
        <v>8049675.7890213337</v>
      </c>
      <c r="F1239" s="57">
        <v>8021358.9929200001</v>
      </c>
      <c r="G1239" s="57">
        <v>7192190.392097367</v>
      </c>
      <c r="H1239" s="58">
        <v>0.10031322532732312</v>
      </c>
      <c r="I1239" s="58">
        <v>-0.10337008997533892</v>
      </c>
      <c r="J1239" s="58">
        <v>-6.2134513426199689E-3</v>
      </c>
    </row>
    <row r="1240" spans="1:10" ht="11.25" customHeight="1" x14ac:dyDescent="0.2">
      <c r="A1240" s="66" t="s">
        <v>25</v>
      </c>
      <c r="B1240" s="57">
        <v>0</v>
      </c>
      <c r="C1240" s="57">
        <v>0</v>
      </c>
      <c r="D1240" s="57">
        <v>7315803.9035900002</v>
      </c>
      <c r="E1240" s="57">
        <v>8049675.7890213337</v>
      </c>
      <c r="F1240" s="57">
        <v>8021358.9929200001</v>
      </c>
      <c r="G1240" s="57">
        <v>7192190.392097367</v>
      </c>
      <c r="H1240" s="58">
        <v>0.10031322532732312</v>
      </c>
      <c r="I1240" s="58">
        <v>-0.10337008997533892</v>
      </c>
      <c r="J1240" s="58">
        <v>-6.2134513426199689E-3</v>
      </c>
    </row>
    <row r="1241" spans="1:10" ht="11.25" customHeight="1" x14ac:dyDescent="0.2">
      <c r="A1241" s="67">
        <v>43739</v>
      </c>
      <c r="B1241" s="57">
        <v>0</v>
      </c>
      <c r="C1241" s="57">
        <v>0</v>
      </c>
      <c r="D1241" s="57">
        <v>679927.68368999998</v>
      </c>
      <c r="E1241" s="57">
        <v>748133.42263027979</v>
      </c>
      <c r="F1241" s="57">
        <v>745501.67171999998</v>
      </c>
      <c r="G1241" s="57">
        <v>668439.09683753818</v>
      </c>
      <c r="H1241" s="58">
        <v>0.10031322532732312</v>
      </c>
      <c r="I1241" s="58">
        <v>-0.1033700899753387</v>
      </c>
      <c r="J1241" s="58">
        <v>-6.2134513426196358E-3</v>
      </c>
    </row>
    <row r="1242" spans="1:10" ht="11.25" customHeight="1" x14ac:dyDescent="0.2">
      <c r="A1242" s="67">
        <v>43770</v>
      </c>
      <c r="B1242" s="57">
        <v>0</v>
      </c>
      <c r="C1242" s="57">
        <v>0</v>
      </c>
      <c r="D1242" s="57">
        <v>732179.3118100001</v>
      </c>
      <c r="E1242" s="57">
        <v>805626.58009560104</v>
      </c>
      <c r="F1242" s="57">
        <v>802792.58227999997</v>
      </c>
      <c r="G1242" s="57">
        <v>719807.84081818198</v>
      </c>
      <c r="H1242" s="58">
        <v>0.10031322532732312</v>
      </c>
      <c r="I1242" s="58">
        <v>-0.10337008997533859</v>
      </c>
      <c r="J1242" s="58">
        <v>-6.2134513426198579E-3</v>
      </c>
    </row>
    <row r="1243" spans="1:10" ht="11.25" customHeight="1" x14ac:dyDescent="0.2">
      <c r="A1243" s="67">
        <v>43800</v>
      </c>
      <c r="B1243" s="57">
        <v>0</v>
      </c>
      <c r="C1243" s="57">
        <v>0</v>
      </c>
      <c r="D1243" s="57">
        <v>650477.76786000002</v>
      </c>
      <c r="E1243" s="57">
        <v>715729.29075775435</v>
      </c>
      <c r="F1243" s="57">
        <v>713211.52968000004</v>
      </c>
      <c r="G1243" s="57">
        <v>639486.78968552954</v>
      </c>
      <c r="H1243" s="58">
        <v>0.10031322532732312</v>
      </c>
      <c r="I1243" s="58">
        <v>-0.10337008997533859</v>
      </c>
      <c r="J1243" s="58">
        <v>-6.2134513426197469E-3</v>
      </c>
    </row>
    <row r="1244" spans="1:10" ht="11.25" customHeight="1" x14ac:dyDescent="0.2">
      <c r="A1244" s="67">
        <v>43831</v>
      </c>
      <c r="B1244" s="57">
        <v>0</v>
      </c>
      <c r="C1244" s="57">
        <v>0</v>
      </c>
      <c r="D1244" s="57">
        <v>675067.17630000005</v>
      </c>
      <c r="E1244" s="57">
        <v>742785.34206726169</v>
      </c>
      <c r="F1244" s="57">
        <v>740172.4044</v>
      </c>
      <c r="G1244" s="57">
        <v>663660.71635990927</v>
      </c>
      <c r="H1244" s="58">
        <v>0.10031322532732312</v>
      </c>
      <c r="I1244" s="58">
        <v>-0.10337008997533859</v>
      </c>
      <c r="J1244" s="58">
        <v>-6.2134513426198579E-3</v>
      </c>
    </row>
    <row r="1245" spans="1:10" ht="11.25" customHeight="1" x14ac:dyDescent="0.2">
      <c r="A1245" s="67">
        <v>43862</v>
      </c>
      <c r="B1245" s="57">
        <v>0</v>
      </c>
      <c r="C1245" s="57">
        <v>0</v>
      </c>
      <c r="D1245" s="57">
        <v>638001.6995799999</v>
      </c>
      <c r="E1245" s="57">
        <v>702001.70782918355</v>
      </c>
      <c r="F1245" s="57">
        <v>699532.23703999992</v>
      </c>
      <c r="G1245" s="57">
        <v>627221.52675652527</v>
      </c>
      <c r="H1245" s="58">
        <v>0.10031322532732312</v>
      </c>
      <c r="I1245" s="58">
        <v>-0.10337008997533859</v>
      </c>
      <c r="J1245" s="58">
        <v>-6.2134513426196358E-3</v>
      </c>
    </row>
    <row r="1246" spans="1:10" ht="11.25" customHeight="1" x14ac:dyDescent="0.2">
      <c r="A1246" s="67">
        <v>43891</v>
      </c>
      <c r="B1246" s="57">
        <v>0</v>
      </c>
      <c r="C1246" s="57">
        <v>0</v>
      </c>
      <c r="D1246" s="57">
        <v>640852.62399999984</v>
      </c>
      <c r="E1246" s="57">
        <v>705138.61767291813</v>
      </c>
      <c r="F1246" s="57">
        <v>702658.11200000008</v>
      </c>
      <c r="G1246" s="57">
        <v>630024.27974065824</v>
      </c>
      <c r="H1246" s="58">
        <v>0.10031322532732312</v>
      </c>
      <c r="I1246" s="58">
        <v>-0.10337008997533903</v>
      </c>
      <c r="J1246" s="58">
        <v>-6.2134513426199689E-3</v>
      </c>
    </row>
    <row r="1247" spans="1:10" ht="11.25" customHeight="1" x14ac:dyDescent="0.2">
      <c r="A1247" s="67">
        <v>43922</v>
      </c>
      <c r="B1247" s="57">
        <v>0</v>
      </c>
      <c r="C1247" s="57">
        <v>0</v>
      </c>
      <c r="D1247" s="57">
        <v>601614.23782000004</v>
      </c>
      <c r="E1247" s="57">
        <v>661964.10241856345</v>
      </c>
      <c r="F1247" s="57">
        <v>659635.4741600001</v>
      </c>
      <c r="G1247" s="57">
        <v>591448.89584515558</v>
      </c>
      <c r="H1247" s="58">
        <v>0.10031322532732312</v>
      </c>
      <c r="I1247" s="58">
        <v>-0.10337008997533881</v>
      </c>
      <c r="J1247" s="58">
        <v>-6.2134513426199689E-3</v>
      </c>
    </row>
    <row r="1248" spans="1:10" ht="11.25" customHeight="1" x14ac:dyDescent="0.2">
      <c r="A1248" s="67">
        <v>43952</v>
      </c>
      <c r="B1248" s="57">
        <v>0</v>
      </c>
      <c r="C1248" s="57">
        <v>0</v>
      </c>
      <c r="D1248" s="57">
        <v>561959.01080999989</v>
      </c>
      <c r="E1248" s="57">
        <v>618330.93168610311</v>
      </c>
      <c r="F1248" s="57">
        <v>616155.79428000003</v>
      </c>
      <c r="G1248" s="57">
        <v>552463.71438645013</v>
      </c>
      <c r="H1248" s="58">
        <v>0.10031322532732334</v>
      </c>
      <c r="I1248" s="58">
        <v>-0.1033700899753387</v>
      </c>
      <c r="J1248" s="58">
        <v>-6.2134513426197469E-3</v>
      </c>
    </row>
    <row r="1249" spans="1:10" ht="11.25" customHeight="1" x14ac:dyDescent="0.2">
      <c r="A1249" s="67">
        <v>43983</v>
      </c>
      <c r="B1249" s="57">
        <v>0</v>
      </c>
      <c r="C1249" s="57">
        <v>0</v>
      </c>
      <c r="D1249" s="57">
        <v>498538.17342000006</v>
      </c>
      <c r="E1249" s="57">
        <v>548548.14554455259</v>
      </c>
      <c r="F1249" s="57">
        <v>546618.48696000001</v>
      </c>
      <c r="G1249" s="57">
        <v>490114.4847807613</v>
      </c>
      <c r="H1249" s="58">
        <v>0.10031322532732312</v>
      </c>
      <c r="I1249" s="58">
        <v>-0.1033700899753387</v>
      </c>
      <c r="J1249" s="58">
        <v>-6.2134513426197469E-3</v>
      </c>
    </row>
    <row r="1250" spans="1:10" ht="11.25" customHeight="1" x14ac:dyDescent="0.2">
      <c r="A1250" s="67">
        <v>44013</v>
      </c>
      <c r="B1250" s="57">
        <v>0</v>
      </c>
      <c r="C1250" s="57">
        <v>0</v>
      </c>
      <c r="D1250" s="57">
        <v>511499.52646000002</v>
      </c>
      <c r="E1250" s="57">
        <v>562809.69371260097</v>
      </c>
      <c r="F1250" s="57">
        <v>560829.86648000008</v>
      </c>
      <c r="G1250" s="57">
        <v>502856.83272110519</v>
      </c>
      <c r="H1250" s="58">
        <v>0.1003132253273229</v>
      </c>
      <c r="I1250" s="58">
        <v>-0.10337008997533881</v>
      </c>
      <c r="J1250" s="58">
        <v>-6.2134513426199689E-3</v>
      </c>
    </row>
    <row r="1251" spans="1:10" ht="11.25" customHeight="1" x14ac:dyDescent="0.2">
      <c r="A1251" s="67">
        <v>44044</v>
      </c>
      <c r="B1251" s="57">
        <v>0</v>
      </c>
      <c r="C1251" s="57">
        <v>0</v>
      </c>
      <c r="D1251" s="57">
        <v>562843.34591999999</v>
      </c>
      <c r="E1251" s="57">
        <v>619303.97730325744</v>
      </c>
      <c r="F1251" s="57">
        <v>617125.41696000006</v>
      </c>
      <c r="G1251" s="57">
        <v>553333.10708277626</v>
      </c>
      <c r="H1251" s="58">
        <v>0.10031322532732312</v>
      </c>
      <c r="I1251" s="58">
        <v>-0.10337008997533903</v>
      </c>
      <c r="J1251" s="58">
        <v>-6.2134513426199689E-3</v>
      </c>
    </row>
    <row r="1252" spans="1:10" ht="11.25" customHeight="1" x14ac:dyDescent="0.2">
      <c r="A1252" s="67">
        <v>44075</v>
      </c>
      <c r="B1252" s="57">
        <v>0</v>
      </c>
      <c r="C1252" s="57">
        <v>0</v>
      </c>
      <c r="D1252" s="57">
        <v>562843.34591999999</v>
      </c>
      <c r="E1252" s="57">
        <v>619303.97730325744</v>
      </c>
      <c r="F1252" s="57">
        <v>617125.41696000006</v>
      </c>
      <c r="G1252" s="57">
        <v>553333.10708277626</v>
      </c>
      <c r="H1252" s="58">
        <v>0.10031322532732312</v>
      </c>
      <c r="I1252" s="58">
        <v>-0.10337008997533903</v>
      </c>
      <c r="J1252" s="58">
        <v>-6.2134513426199689E-3</v>
      </c>
    </row>
    <row r="1253" spans="1:10" ht="11.25" customHeight="1" x14ac:dyDescent="0.2">
      <c r="A1253" s="62" t="s">
        <v>48</v>
      </c>
      <c r="B1253" s="57">
        <v>0</v>
      </c>
      <c r="C1253" s="57">
        <v>0</v>
      </c>
      <c r="D1253" s="57">
        <v>22914979.087269995</v>
      </c>
      <c r="E1253" s="57">
        <v>25213654.547822215</v>
      </c>
      <c r="F1253" s="57">
        <v>25124959.060760003</v>
      </c>
      <c r="G1253" s="57">
        <v>22527789.782022543</v>
      </c>
      <c r="H1253" s="58">
        <v>0.10031322532732334</v>
      </c>
      <c r="I1253" s="58">
        <v>-0.10337008997533881</v>
      </c>
      <c r="J1253" s="58">
        <v>-6.2134513426199689E-3</v>
      </c>
    </row>
    <row r="1254" spans="1:10" ht="11.25" customHeight="1" x14ac:dyDescent="0.2">
      <c r="A1254" s="63" t="s">
        <v>25</v>
      </c>
      <c r="B1254" s="57">
        <v>0</v>
      </c>
      <c r="C1254" s="57">
        <v>0</v>
      </c>
      <c r="D1254" s="57">
        <v>22914979.087269995</v>
      </c>
      <c r="E1254" s="57">
        <v>25213654.547822215</v>
      </c>
      <c r="F1254" s="57">
        <v>25124959.060760003</v>
      </c>
      <c r="G1254" s="57">
        <v>22527789.782022543</v>
      </c>
      <c r="H1254" s="58">
        <v>0.10031322532732334</v>
      </c>
      <c r="I1254" s="58">
        <v>-0.10337008997533881</v>
      </c>
      <c r="J1254" s="58">
        <v>-6.2134513426199689E-3</v>
      </c>
    </row>
    <row r="1255" spans="1:10" ht="11.25" customHeight="1" x14ac:dyDescent="0.2">
      <c r="A1255" s="64" t="s">
        <v>25</v>
      </c>
      <c r="B1255" s="57">
        <v>0</v>
      </c>
      <c r="C1255" s="57">
        <v>0</v>
      </c>
      <c r="D1255" s="57">
        <v>22914979.087269995</v>
      </c>
      <c r="E1255" s="57">
        <v>25213654.547822215</v>
      </c>
      <c r="F1255" s="57">
        <v>25124959.060760003</v>
      </c>
      <c r="G1255" s="57">
        <v>22527789.782022543</v>
      </c>
      <c r="H1255" s="58">
        <v>0.10031322532732334</v>
      </c>
      <c r="I1255" s="58">
        <v>-0.10337008997533881</v>
      </c>
      <c r="J1255" s="58">
        <v>-6.2134513426199689E-3</v>
      </c>
    </row>
    <row r="1256" spans="1:10" ht="11.25" customHeight="1" x14ac:dyDescent="0.2">
      <c r="A1256" s="65" t="s">
        <v>25</v>
      </c>
      <c r="B1256" s="57">
        <v>0</v>
      </c>
      <c r="C1256" s="57">
        <v>0</v>
      </c>
      <c r="D1256" s="57">
        <v>22914979.087269995</v>
      </c>
      <c r="E1256" s="57">
        <v>25213654.547822215</v>
      </c>
      <c r="F1256" s="57">
        <v>25124959.060760003</v>
      </c>
      <c r="G1256" s="57">
        <v>22527789.782022543</v>
      </c>
      <c r="H1256" s="58">
        <v>0.10031322532732334</v>
      </c>
      <c r="I1256" s="58">
        <v>-0.10337008997533881</v>
      </c>
      <c r="J1256" s="58">
        <v>-6.2134513426199689E-3</v>
      </c>
    </row>
    <row r="1257" spans="1:10" ht="11.25" customHeight="1" x14ac:dyDescent="0.2">
      <c r="A1257" s="66" t="s">
        <v>25</v>
      </c>
      <c r="B1257" s="57">
        <v>0</v>
      </c>
      <c r="C1257" s="57">
        <v>0</v>
      </c>
      <c r="D1257" s="57">
        <v>22914979.087269995</v>
      </c>
      <c r="E1257" s="57">
        <v>25213654.547822215</v>
      </c>
      <c r="F1257" s="57">
        <v>25124959.060760003</v>
      </c>
      <c r="G1257" s="57">
        <v>22527789.782022543</v>
      </c>
      <c r="H1257" s="58">
        <v>0.10031322532732334</v>
      </c>
      <c r="I1257" s="58">
        <v>-0.10337008997533881</v>
      </c>
      <c r="J1257" s="58">
        <v>-6.2134513426199689E-3</v>
      </c>
    </row>
    <row r="1258" spans="1:10" ht="11.25" customHeight="1" x14ac:dyDescent="0.2">
      <c r="A1258" s="67">
        <v>43739</v>
      </c>
      <c r="B1258" s="57">
        <v>0</v>
      </c>
      <c r="C1258" s="57">
        <v>0</v>
      </c>
      <c r="D1258" s="57">
        <v>2552354.2068599998</v>
      </c>
      <c r="E1258" s="57">
        <v>2808389.0895278882</v>
      </c>
      <c r="F1258" s="57">
        <v>2798509.8616799996</v>
      </c>
      <c r="G1258" s="57">
        <v>2509227.6454812661</v>
      </c>
      <c r="H1258" s="58">
        <v>0.10031322532732312</v>
      </c>
      <c r="I1258" s="58">
        <v>-0.10337008997533847</v>
      </c>
      <c r="J1258" s="58">
        <v>-6.2134513426196358E-3</v>
      </c>
    </row>
    <row r="1259" spans="1:10" ht="11.25" customHeight="1" x14ac:dyDescent="0.2">
      <c r="A1259" s="67">
        <v>43770</v>
      </c>
      <c r="B1259" s="57">
        <v>0</v>
      </c>
      <c r="C1259" s="57">
        <v>0</v>
      </c>
      <c r="D1259" s="57">
        <v>2685409.70096</v>
      </c>
      <c r="E1259" s="57">
        <v>2954791.8093885798</v>
      </c>
      <c r="F1259" s="57">
        <v>2944397.5724800006</v>
      </c>
      <c r="G1259" s="57">
        <v>2640034.9304895736</v>
      </c>
      <c r="H1259" s="58">
        <v>0.10031322532732312</v>
      </c>
      <c r="I1259" s="58">
        <v>-0.10337008997533881</v>
      </c>
      <c r="J1259" s="58">
        <v>-6.2134513426199689E-3</v>
      </c>
    </row>
    <row r="1260" spans="1:10" ht="11.25" customHeight="1" x14ac:dyDescent="0.2">
      <c r="A1260" s="67">
        <v>43800</v>
      </c>
      <c r="B1260" s="57">
        <v>0</v>
      </c>
      <c r="C1260" s="57">
        <v>0</v>
      </c>
      <c r="D1260" s="57">
        <v>2266817.4970399998</v>
      </c>
      <c r="E1260" s="57">
        <v>2494209.2713964921</v>
      </c>
      <c r="F1260" s="57">
        <v>2485435.2515200004</v>
      </c>
      <c r="G1260" s="57">
        <v>2228515.5859424993</v>
      </c>
      <c r="H1260" s="58">
        <v>0.10031322532732312</v>
      </c>
      <c r="I1260" s="58">
        <v>-0.1033700899753387</v>
      </c>
      <c r="J1260" s="58">
        <v>-6.2134513426198579E-3</v>
      </c>
    </row>
    <row r="1261" spans="1:10" ht="11.25" customHeight="1" x14ac:dyDescent="0.2">
      <c r="A1261" s="67">
        <v>43831</v>
      </c>
      <c r="B1261" s="57">
        <v>0</v>
      </c>
      <c r="C1261" s="57">
        <v>0</v>
      </c>
      <c r="D1261" s="57">
        <v>2066263.6863699998</v>
      </c>
      <c r="E1261" s="57">
        <v>2273537.2611264992</v>
      </c>
      <c r="F1261" s="57">
        <v>2265539.51156</v>
      </c>
      <c r="G1261" s="57">
        <v>2031350.4884073581</v>
      </c>
      <c r="H1261" s="58">
        <v>0.10031322532732334</v>
      </c>
      <c r="I1261" s="58">
        <v>-0.10337008997533859</v>
      </c>
      <c r="J1261" s="58">
        <v>-6.2134513426197469E-3</v>
      </c>
    </row>
    <row r="1262" spans="1:10" ht="11.25" customHeight="1" x14ac:dyDescent="0.2">
      <c r="A1262" s="67">
        <v>43862</v>
      </c>
      <c r="B1262" s="57">
        <v>0</v>
      </c>
      <c r="C1262" s="57">
        <v>0</v>
      </c>
      <c r="D1262" s="57">
        <v>2068047.4290800001</v>
      </c>
      <c r="E1262" s="57">
        <v>2275499.9368208935</v>
      </c>
      <c r="F1262" s="57">
        <v>2267495.2830400001</v>
      </c>
      <c r="G1262" s="57">
        <v>2033104.0916134992</v>
      </c>
      <c r="H1262" s="58">
        <v>0.10031322532732312</v>
      </c>
      <c r="I1262" s="58">
        <v>-0.1033700899753387</v>
      </c>
      <c r="J1262" s="58">
        <v>-6.2134513426197469E-3</v>
      </c>
    </row>
    <row r="1263" spans="1:10" ht="11.25" customHeight="1" x14ac:dyDescent="0.2">
      <c r="A1263" s="67">
        <v>43891</v>
      </c>
      <c r="B1263" s="57">
        <v>0</v>
      </c>
      <c r="C1263" s="57">
        <v>0</v>
      </c>
      <c r="D1263" s="57">
        <v>2149674.3518500002</v>
      </c>
      <c r="E1263" s="57">
        <v>2365315.119487497</v>
      </c>
      <c r="F1263" s="57">
        <v>2356994.5178000005</v>
      </c>
      <c r="G1263" s="57">
        <v>2113351.7824236341</v>
      </c>
      <c r="H1263" s="58">
        <v>0.10031322532732334</v>
      </c>
      <c r="I1263" s="58">
        <v>-0.10337008997533881</v>
      </c>
      <c r="J1263" s="58">
        <v>-6.2134513426197469E-3</v>
      </c>
    </row>
    <row r="1264" spans="1:10" ht="11.25" customHeight="1" x14ac:dyDescent="0.2">
      <c r="A1264" s="67">
        <v>43922</v>
      </c>
      <c r="B1264" s="57">
        <v>0</v>
      </c>
      <c r="C1264" s="57">
        <v>0</v>
      </c>
      <c r="D1264" s="57">
        <v>1873768.46896</v>
      </c>
      <c r="E1264" s="57">
        <v>2061732.2275980178</v>
      </c>
      <c r="F1264" s="57">
        <v>2054479.55648</v>
      </c>
      <c r="G1264" s="57">
        <v>1842107.8198741686</v>
      </c>
      <c r="H1264" s="58">
        <v>0.10031322532732312</v>
      </c>
      <c r="I1264" s="58">
        <v>-0.10337008997533859</v>
      </c>
      <c r="J1264" s="58">
        <v>-6.2134513426197469E-3</v>
      </c>
    </row>
    <row r="1265" spans="1:10" ht="11.25" customHeight="1" x14ac:dyDescent="0.2">
      <c r="A1265" s="67">
        <v>43952</v>
      </c>
      <c r="B1265" s="57">
        <v>0</v>
      </c>
      <c r="C1265" s="57">
        <v>0</v>
      </c>
      <c r="D1265" s="57">
        <v>1564157.28626</v>
      </c>
      <c r="E1265" s="57">
        <v>1721062.9485639739</v>
      </c>
      <c r="F1265" s="57">
        <v>1715008.6688800002</v>
      </c>
      <c r="G1265" s="57">
        <v>1537728.0684693886</v>
      </c>
      <c r="H1265" s="58">
        <v>0.10031322532732334</v>
      </c>
      <c r="I1265" s="58">
        <v>-0.10337008997533881</v>
      </c>
      <c r="J1265" s="58">
        <v>-6.2134513426197469E-3</v>
      </c>
    </row>
    <row r="1266" spans="1:10" ht="11.25" customHeight="1" x14ac:dyDescent="0.2">
      <c r="A1266" s="67">
        <v>43983</v>
      </c>
      <c r="B1266" s="57">
        <v>0</v>
      </c>
      <c r="C1266" s="57">
        <v>0</v>
      </c>
      <c r="D1266" s="57">
        <v>1318446.2955499999</v>
      </c>
      <c r="E1266" s="57">
        <v>1450703.8958774817</v>
      </c>
      <c r="F1266" s="57">
        <v>1445600.6734</v>
      </c>
      <c r="G1266" s="57">
        <v>1296168.8017222318</v>
      </c>
      <c r="H1266" s="58">
        <v>0.10031322532732334</v>
      </c>
      <c r="I1266" s="58">
        <v>-0.1033700899753387</v>
      </c>
      <c r="J1266" s="58">
        <v>-6.2134513426196358E-3</v>
      </c>
    </row>
    <row r="1267" spans="1:10" ht="11.25" customHeight="1" x14ac:dyDescent="0.2">
      <c r="A1267" s="67">
        <v>44013</v>
      </c>
      <c r="B1267" s="57">
        <v>0</v>
      </c>
      <c r="C1267" s="57">
        <v>0</v>
      </c>
      <c r="D1267" s="57">
        <v>1429159.1705799999</v>
      </c>
      <c r="E1267" s="57">
        <v>1572522.7364870016</v>
      </c>
      <c r="F1267" s="57">
        <v>1566990.9850399999</v>
      </c>
      <c r="G1267" s="57">
        <v>1405010.9859258707</v>
      </c>
      <c r="H1267" s="58">
        <v>0.10031322532732312</v>
      </c>
      <c r="I1267" s="58">
        <v>-0.10337008997533859</v>
      </c>
      <c r="J1267" s="58">
        <v>-6.2134513426198579E-3</v>
      </c>
    </row>
    <row r="1268" spans="1:10" ht="11.25" customHeight="1" x14ac:dyDescent="0.2">
      <c r="A1268" s="67">
        <v>44044</v>
      </c>
      <c r="B1268" s="57">
        <v>0</v>
      </c>
      <c r="C1268" s="57">
        <v>0</v>
      </c>
      <c r="D1268" s="57">
        <v>1470440.4968799998</v>
      </c>
      <c r="E1268" s="57">
        <v>1617945.1257739442</v>
      </c>
      <c r="F1268" s="57">
        <v>1612253.58944</v>
      </c>
      <c r="G1268" s="57">
        <v>1445594.7908365245</v>
      </c>
      <c r="H1268" s="58">
        <v>0.10031322532732312</v>
      </c>
      <c r="I1268" s="58">
        <v>-0.1033700899753387</v>
      </c>
      <c r="J1268" s="58">
        <v>-6.2134513426197469E-3</v>
      </c>
    </row>
    <row r="1269" spans="1:10" ht="11.25" customHeight="1" x14ac:dyDescent="0.2">
      <c r="A1269" s="67">
        <v>44075</v>
      </c>
      <c r="B1269" s="57">
        <v>0</v>
      </c>
      <c r="C1269" s="57">
        <v>0</v>
      </c>
      <c r="D1269" s="57">
        <v>1470440.4968799998</v>
      </c>
      <c r="E1269" s="57">
        <v>1617945.1257739442</v>
      </c>
      <c r="F1269" s="57">
        <v>1612253.58944</v>
      </c>
      <c r="G1269" s="57">
        <v>1445594.7908365245</v>
      </c>
      <c r="H1269" s="58">
        <v>0.10031322532732312</v>
      </c>
      <c r="I1269" s="58">
        <v>-0.1033700899753387</v>
      </c>
      <c r="J1269" s="58">
        <v>-6.2134513426197469E-3</v>
      </c>
    </row>
    <row r="1270" spans="1:10" ht="11.25" customHeight="1" x14ac:dyDescent="0.2">
      <c r="A1270" s="62" t="s">
        <v>52</v>
      </c>
      <c r="B1270" s="57">
        <v>0</v>
      </c>
      <c r="C1270" s="57">
        <v>0</v>
      </c>
      <c r="D1270" s="57">
        <v>2354689.9753696001</v>
      </c>
      <c r="E1270" s="57">
        <v>2590896.5214448404</v>
      </c>
      <c r="F1270" s="57">
        <v>2581782.3794048005</v>
      </c>
      <c r="G1270" s="57">
        <v>2314903.3025489817</v>
      </c>
      <c r="H1270" s="58">
        <v>0.10031322532732334</v>
      </c>
      <c r="I1270" s="58">
        <v>-0.10337008997533892</v>
      </c>
      <c r="J1270" s="58">
        <v>-6.2134513426197469E-3</v>
      </c>
    </row>
    <row r="1271" spans="1:10" ht="11.25" customHeight="1" x14ac:dyDescent="0.2">
      <c r="A1271" s="63" t="s">
        <v>53</v>
      </c>
      <c r="B1271" s="57">
        <v>0</v>
      </c>
      <c r="C1271" s="57">
        <v>0</v>
      </c>
      <c r="D1271" s="57">
        <v>2354689.9753696001</v>
      </c>
      <c r="E1271" s="57">
        <v>2590896.5214448404</v>
      </c>
      <c r="F1271" s="57">
        <v>2581782.3794048005</v>
      </c>
      <c r="G1271" s="57">
        <v>2314903.3025489817</v>
      </c>
      <c r="H1271" s="58">
        <v>0.10031322532732334</v>
      </c>
      <c r="I1271" s="58">
        <v>-0.10337008997533892</v>
      </c>
      <c r="J1271" s="58">
        <v>-6.2134513426197469E-3</v>
      </c>
    </row>
    <row r="1272" spans="1:10" ht="11.25" customHeight="1" x14ac:dyDescent="0.2">
      <c r="A1272" s="64" t="s">
        <v>25</v>
      </c>
      <c r="B1272" s="57">
        <v>0</v>
      </c>
      <c r="C1272" s="57">
        <v>0</v>
      </c>
      <c r="D1272" s="57">
        <v>2354689.9753696001</v>
      </c>
      <c r="E1272" s="57">
        <v>2590896.5214448404</v>
      </c>
      <c r="F1272" s="57">
        <v>2581782.3794048005</v>
      </c>
      <c r="G1272" s="57">
        <v>2314903.3025489817</v>
      </c>
      <c r="H1272" s="58">
        <v>0.10031322532732334</v>
      </c>
      <c r="I1272" s="58">
        <v>-0.10337008997533892</v>
      </c>
      <c r="J1272" s="58">
        <v>-6.2134513426197469E-3</v>
      </c>
    </row>
    <row r="1273" spans="1:10" ht="11.25" customHeight="1" x14ac:dyDescent="0.2">
      <c r="A1273" s="65" t="s">
        <v>25</v>
      </c>
      <c r="B1273" s="57">
        <v>0</v>
      </c>
      <c r="C1273" s="57">
        <v>0</v>
      </c>
      <c r="D1273" s="57">
        <v>2354689.9753696001</v>
      </c>
      <c r="E1273" s="57">
        <v>2590896.5214448404</v>
      </c>
      <c r="F1273" s="57">
        <v>2581782.3794048005</v>
      </c>
      <c r="G1273" s="57">
        <v>2314903.3025489817</v>
      </c>
      <c r="H1273" s="58">
        <v>0.10031322532732334</v>
      </c>
      <c r="I1273" s="58">
        <v>-0.10337008997533892</v>
      </c>
      <c r="J1273" s="58">
        <v>-6.2134513426197469E-3</v>
      </c>
    </row>
    <row r="1274" spans="1:10" ht="11.25" customHeight="1" x14ac:dyDescent="0.2">
      <c r="A1274" s="66" t="s">
        <v>25</v>
      </c>
      <c r="B1274" s="57">
        <v>0</v>
      </c>
      <c r="C1274" s="57">
        <v>0</v>
      </c>
      <c r="D1274" s="57">
        <v>2354689.9753696001</v>
      </c>
      <c r="E1274" s="57">
        <v>2590896.5214448404</v>
      </c>
      <c r="F1274" s="57">
        <v>2581782.3794048005</v>
      </c>
      <c r="G1274" s="57">
        <v>2314903.3025489817</v>
      </c>
      <c r="H1274" s="58">
        <v>0.10031322532732334</v>
      </c>
      <c r="I1274" s="58">
        <v>-0.10337008997533892</v>
      </c>
      <c r="J1274" s="58">
        <v>-6.2134513426197469E-3</v>
      </c>
    </row>
    <row r="1275" spans="1:10" ht="11.25" customHeight="1" x14ac:dyDescent="0.2">
      <c r="A1275" s="67">
        <v>43739</v>
      </c>
      <c r="B1275" s="57">
        <v>0</v>
      </c>
      <c r="C1275" s="57">
        <v>0</v>
      </c>
      <c r="D1275" s="57">
        <v>199884.68106639999</v>
      </c>
      <c r="E1275" s="57">
        <v>219935.75811769388</v>
      </c>
      <c r="F1275" s="57">
        <v>219162.07776319998</v>
      </c>
      <c r="G1275" s="57">
        <v>196507.27406563581</v>
      </c>
      <c r="H1275" s="58">
        <v>0.10031322532732312</v>
      </c>
      <c r="I1275" s="58">
        <v>-0.10337008997533881</v>
      </c>
      <c r="J1275" s="58">
        <v>-6.2134513426197469E-3</v>
      </c>
    </row>
    <row r="1276" spans="1:10" ht="11.25" customHeight="1" x14ac:dyDescent="0.2">
      <c r="A1276" s="67">
        <v>43770</v>
      </c>
      <c r="B1276" s="57">
        <v>0</v>
      </c>
      <c r="C1276" s="57">
        <v>0</v>
      </c>
      <c r="D1276" s="57">
        <v>215016.27499440001</v>
      </c>
      <c r="E1276" s="57">
        <v>236585.25103695493</v>
      </c>
      <c r="F1276" s="57">
        <v>235753.00182720003</v>
      </c>
      <c r="G1276" s="57">
        <v>211383.19281636615</v>
      </c>
      <c r="H1276" s="58">
        <v>0.10031322532732312</v>
      </c>
      <c r="I1276" s="58">
        <v>-0.10337008997533881</v>
      </c>
      <c r="J1276" s="58">
        <v>-6.2134513426198579E-3</v>
      </c>
    </row>
    <row r="1277" spans="1:10" ht="11.25" customHeight="1" x14ac:dyDescent="0.2">
      <c r="A1277" s="67">
        <v>43800</v>
      </c>
      <c r="B1277" s="57">
        <v>0</v>
      </c>
      <c r="C1277" s="57">
        <v>0</v>
      </c>
      <c r="D1277" s="57">
        <v>187588.71174559998</v>
      </c>
      <c r="E1277" s="57">
        <v>206406.34045579864</v>
      </c>
      <c r="F1277" s="57">
        <v>205680.25329280001</v>
      </c>
      <c r="G1277" s="57">
        <v>184419.0670037728</v>
      </c>
      <c r="H1277" s="58">
        <v>0.10031322532732312</v>
      </c>
      <c r="I1277" s="58">
        <v>-0.10337008997533881</v>
      </c>
      <c r="J1277" s="58">
        <v>-6.2134513426199689E-3</v>
      </c>
    </row>
    <row r="1278" spans="1:10" ht="11.25" customHeight="1" x14ac:dyDescent="0.2">
      <c r="A1278" s="67">
        <v>43831</v>
      </c>
      <c r="B1278" s="57">
        <v>0</v>
      </c>
      <c r="C1278" s="57">
        <v>0</v>
      </c>
      <c r="D1278" s="57">
        <v>195637.2237336</v>
      </c>
      <c r="E1278" s="57">
        <v>215262.22464040056</v>
      </c>
      <c r="F1278" s="57">
        <v>214504.98463680001</v>
      </c>
      <c r="G1278" s="57">
        <v>192331.58507473534</v>
      </c>
      <c r="H1278" s="58">
        <v>0.10031322532732312</v>
      </c>
      <c r="I1278" s="58">
        <v>-0.10337008997533881</v>
      </c>
      <c r="J1278" s="58">
        <v>-6.2134513426198579E-3</v>
      </c>
    </row>
    <row r="1279" spans="1:10" ht="11.25" customHeight="1" x14ac:dyDescent="0.2">
      <c r="A1279" s="67">
        <v>43862</v>
      </c>
      <c r="B1279" s="57">
        <v>0</v>
      </c>
      <c r="C1279" s="57">
        <v>0</v>
      </c>
      <c r="D1279" s="57">
        <v>182134.46685279999</v>
      </c>
      <c r="E1279" s="57">
        <v>200404.96266607678</v>
      </c>
      <c r="F1279" s="57">
        <v>199699.9868864</v>
      </c>
      <c r="G1279" s="57">
        <v>179056.98127387886</v>
      </c>
      <c r="H1279" s="58">
        <v>0.10031322532732312</v>
      </c>
      <c r="I1279" s="58">
        <v>-0.10337008997533881</v>
      </c>
      <c r="J1279" s="58">
        <v>-6.2134513426198579E-3</v>
      </c>
    </row>
    <row r="1280" spans="1:10" ht="11.25" customHeight="1" x14ac:dyDescent="0.2">
      <c r="A1280" s="67">
        <v>43891</v>
      </c>
      <c r="B1280" s="57">
        <v>0</v>
      </c>
      <c r="C1280" s="57">
        <v>0</v>
      </c>
      <c r="D1280" s="57">
        <v>206291.96197280003</v>
      </c>
      <c r="E1280" s="57">
        <v>226985.77403739307</v>
      </c>
      <c r="F1280" s="57">
        <v>226187.29344640003</v>
      </c>
      <c r="G1280" s="57">
        <v>202806.29257156732</v>
      </c>
      <c r="H1280" s="58">
        <v>0.10031322532732312</v>
      </c>
      <c r="I1280" s="58">
        <v>-0.1033700899753387</v>
      </c>
      <c r="J1280" s="58">
        <v>-6.2134513426198579E-3</v>
      </c>
    </row>
    <row r="1281" spans="1:10" ht="11.25" customHeight="1" x14ac:dyDescent="0.2">
      <c r="A1281" s="67">
        <v>43922</v>
      </c>
      <c r="B1281" s="57">
        <v>0</v>
      </c>
      <c r="C1281" s="57">
        <v>0</v>
      </c>
      <c r="D1281" s="57">
        <v>202528.52429920001</v>
      </c>
      <c r="E1281" s="57">
        <v>222844.81379243592</v>
      </c>
      <c r="F1281" s="57">
        <v>222060.90008960004</v>
      </c>
      <c r="G1281" s="57">
        <v>199106.44486733337</v>
      </c>
      <c r="H1281" s="58">
        <v>0.10031322532732312</v>
      </c>
      <c r="I1281" s="58">
        <v>-0.10337008997533881</v>
      </c>
      <c r="J1281" s="58">
        <v>-6.2134513426197469E-3</v>
      </c>
    </row>
    <row r="1282" spans="1:10" ht="11.25" customHeight="1" x14ac:dyDescent="0.2">
      <c r="A1282" s="67">
        <v>43952</v>
      </c>
      <c r="B1282" s="57">
        <v>0</v>
      </c>
      <c r="C1282" s="57">
        <v>0</v>
      </c>
      <c r="D1282" s="57">
        <v>194206.90867599999</v>
      </c>
      <c r="E1282" s="57">
        <v>213688.43006613845</v>
      </c>
      <c r="F1282" s="57">
        <v>212936.72628800001</v>
      </c>
      <c r="G1282" s="57">
        <v>190925.43773255538</v>
      </c>
      <c r="H1282" s="58">
        <v>0.10031322532732312</v>
      </c>
      <c r="I1282" s="58">
        <v>-0.1033700899753387</v>
      </c>
      <c r="J1282" s="58">
        <v>-6.2134513426197469E-3</v>
      </c>
    </row>
    <row r="1283" spans="1:10" ht="11.25" customHeight="1" x14ac:dyDescent="0.2">
      <c r="A1283" s="67">
        <v>43983</v>
      </c>
      <c r="B1283" s="57">
        <v>0</v>
      </c>
      <c r="C1283" s="57">
        <v>0</v>
      </c>
      <c r="D1283" s="57">
        <v>181478.45278639998</v>
      </c>
      <c r="E1283" s="57">
        <v>199683.14171281611</v>
      </c>
      <c r="F1283" s="57">
        <v>198980.70512319999</v>
      </c>
      <c r="G1283" s="57">
        <v>178412.05173125846</v>
      </c>
      <c r="H1283" s="58">
        <v>0.10031322532732312</v>
      </c>
      <c r="I1283" s="58">
        <v>-0.10337008997533881</v>
      </c>
      <c r="J1283" s="58">
        <v>-6.2134513426196358E-3</v>
      </c>
    </row>
    <row r="1284" spans="1:10" ht="11.25" customHeight="1" x14ac:dyDescent="0.2">
      <c r="A1284" s="67">
        <v>44013</v>
      </c>
      <c r="B1284" s="57">
        <v>0</v>
      </c>
      <c r="C1284" s="57">
        <v>0</v>
      </c>
      <c r="D1284" s="57">
        <v>204124.31058799999</v>
      </c>
      <c r="E1284" s="57">
        <v>224600.67855079853</v>
      </c>
      <c r="F1284" s="57">
        <v>223810.58814400001</v>
      </c>
      <c r="G1284" s="57">
        <v>200675.26751012125</v>
      </c>
      <c r="H1284" s="58">
        <v>0.10031322532732312</v>
      </c>
      <c r="I1284" s="58">
        <v>-0.1033700899753387</v>
      </c>
      <c r="J1284" s="58">
        <v>-6.2134513426198579E-3</v>
      </c>
    </row>
    <row r="1285" spans="1:10" ht="11.25" customHeight="1" x14ac:dyDescent="0.2">
      <c r="A1285" s="67">
        <v>44044</v>
      </c>
      <c r="B1285" s="57">
        <v>0</v>
      </c>
      <c r="C1285" s="57">
        <v>0</v>
      </c>
      <c r="D1285" s="57">
        <v>192899.22932720001</v>
      </c>
      <c r="E1285" s="57">
        <v>212249.57318416639</v>
      </c>
      <c r="F1285" s="57">
        <v>211502.93095360004</v>
      </c>
      <c r="G1285" s="57">
        <v>189639.85395087855</v>
      </c>
      <c r="H1285" s="58">
        <v>0.10031322532732312</v>
      </c>
      <c r="I1285" s="58">
        <v>-0.1033700899753387</v>
      </c>
      <c r="J1285" s="58">
        <v>-6.2134513426199689E-3</v>
      </c>
    </row>
    <row r="1286" spans="1:10" ht="11.25" customHeight="1" x14ac:dyDescent="0.2">
      <c r="A1286" s="67">
        <v>44075</v>
      </c>
      <c r="B1286" s="57">
        <v>0</v>
      </c>
      <c r="C1286" s="57">
        <v>0</v>
      </c>
      <c r="D1286" s="57">
        <v>192899.22932720001</v>
      </c>
      <c r="E1286" s="57">
        <v>212249.57318416639</v>
      </c>
      <c r="F1286" s="57">
        <v>211502.93095360004</v>
      </c>
      <c r="G1286" s="57">
        <v>189639.85395087855</v>
      </c>
      <c r="H1286" s="58">
        <v>0.10031322532732312</v>
      </c>
      <c r="I1286" s="58">
        <v>-0.1033700899753387</v>
      </c>
      <c r="J1286" s="58">
        <v>-6.2134513426199689E-3</v>
      </c>
    </row>
    <row r="1287" spans="1:10" ht="11.25" customHeight="1" x14ac:dyDescent="0.2">
      <c r="A1287" s="60" t="s">
        <v>49</v>
      </c>
      <c r="B1287" s="57">
        <v>0</v>
      </c>
      <c r="C1287" s="57">
        <v>0</v>
      </c>
      <c r="D1287" s="57">
        <v>56822363.946000002</v>
      </c>
      <c r="E1287" s="57">
        <v>62522168.513246536</v>
      </c>
      <c r="F1287" s="57">
        <v>62303903.249400005</v>
      </c>
      <c r="G1287" s="57">
        <v>55862043.572904542</v>
      </c>
      <c r="H1287" s="58">
        <v>0.10030917708146081</v>
      </c>
      <c r="I1287" s="58">
        <v>-0.10339415896158177</v>
      </c>
      <c r="J1287" s="58">
        <v>-6.2291476659112055E-3</v>
      </c>
    </row>
    <row r="1288" spans="1:10" ht="11.25" customHeight="1" x14ac:dyDescent="0.2">
      <c r="A1288" s="61" t="s">
        <v>23</v>
      </c>
      <c r="B1288" s="57">
        <v>0</v>
      </c>
      <c r="C1288" s="57">
        <v>0</v>
      </c>
      <c r="D1288" s="57">
        <v>56822363.946000002</v>
      </c>
      <c r="E1288" s="57">
        <v>62522168.513246536</v>
      </c>
      <c r="F1288" s="57">
        <v>62303903.249400005</v>
      </c>
      <c r="G1288" s="57">
        <v>55862043.572904542</v>
      </c>
      <c r="H1288" s="58">
        <v>0.10030917708146081</v>
      </c>
      <c r="I1288" s="58">
        <v>-0.10339415896158177</v>
      </c>
      <c r="J1288" s="58">
        <v>-6.2291476659112055E-3</v>
      </c>
    </row>
    <row r="1289" spans="1:10" ht="11.25" customHeight="1" x14ac:dyDescent="0.2">
      <c r="A1289" s="62" t="s">
        <v>50</v>
      </c>
      <c r="B1289" s="57">
        <v>0</v>
      </c>
      <c r="C1289" s="57">
        <v>0</v>
      </c>
      <c r="D1289" s="57">
        <v>56822363.946000002</v>
      </c>
      <c r="E1289" s="57">
        <v>62522168.513246536</v>
      </c>
      <c r="F1289" s="57">
        <v>62303903.249400005</v>
      </c>
      <c r="G1289" s="57">
        <v>55862043.572904542</v>
      </c>
      <c r="H1289" s="58">
        <v>0.10030917708146081</v>
      </c>
      <c r="I1289" s="58">
        <v>-0.10339415896158177</v>
      </c>
      <c r="J1289" s="58">
        <v>-6.2291476659112055E-3</v>
      </c>
    </row>
    <row r="1290" spans="1:10" ht="11.25" customHeight="1" x14ac:dyDescent="0.2">
      <c r="A1290" s="63" t="s">
        <v>51</v>
      </c>
      <c r="B1290" s="57">
        <v>0</v>
      </c>
      <c r="C1290" s="57">
        <v>0</v>
      </c>
      <c r="D1290" s="57">
        <v>56822363.946000002</v>
      </c>
      <c r="E1290" s="57">
        <v>62522168.513246536</v>
      </c>
      <c r="F1290" s="57">
        <v>62303903.249400005</v>
      </c>
      <c r="G1290" s="57">
        <v>55862043.572904542</v>
      </c>
      <c r="H1290" s="58">
        <v>0.10030917708146081</v>
      </c>
      <c r="I1290" s="58">
        <v>-0.10339415896158177</v>
      </c>
      <c r="J1290" s="58">
        <v>-6.2291476659112055E-3</v>
      </c>
    </row>
    <row r="1291" spans="1:10" ht="11.25" customHeight="1" x14ac:dyDescent="0.2">
      <c r="A1291" s="64" t="s">
        <v>25</v>
      </c>
      <c r="B1291" s="57">
        <v>0</v>
      </c>
      <c r="C1291" s="57">
        <v>0</v>
      </c>
      <c r="D1291" s="57">
        <v>56822363.946000002</v>
      </c>
      <c r="E1291" s="57">
        <v>62522168.513246536</v>
      </c>
      <c r="F1291" s="57">
        <v>62303903.249400005</v>
      </c>
      <c r="G1291" s="57">
        <v>55862043.572904542</v>
      </c>
      <c r="H1291" s="58">
        <v>0.10030917708146081</v>
      </c>
      <c r="I1291" s="58">
        <v>-0.10339415896158177</v>
      </c>
      <c r="J1291" s="58">
        <v>-6.2291476659112055E-3</v>
      </c>
    </row>
    <row r="1292" spans="1:10" ht="11.25" customHeight="1" x14ac:dyDescent="0.2">
      <c r="A1292" s="65" t="s">
        <v>25</v>
      </c>
      <c r="B1292" s="57">
        <v>0</v>
      </c>
      <c r="C1292" s="57">
        <v>0</v>
      </c>
      <c r="D1292" s="57">
        <v>56822363.946000002</v>
      </c>
      <c r="E1292" s="57">
        <v>62522168.513246536</v>
      </c>
      <c r="F1292" s="57">
        <v>62303903.249400005</v>
      </c>
      <c r="G1292" s="57">
        <v>55862043.572904542</v>
      </c>
      <c r="H1292" s="58">
        <v>0.10030917708146081</v>
      </c>
      <c r="I1292" s="58">
        <v>-0.10339415896158177</v>
      </c>
      <c r="J1292" s="58">
        <v>-6.2291476659112055E-3</v>
      </c>
    </row>
    <row r="1293" spans="1:10" ht="11.25" customHeight="1" x14ac:dyDescent="0.2">
      <c r="A1293" s="66" t="s">
        <v>25</v>
      </c>
      <c r="B1293" s="57">
        <v>0</v>
      </c>
      <c r="C1293" s="57">
        <v>0</v>
      </c>
      <c r="D1293" s="57">
        <v>56822363.946000002</v>
      </c>
      <c r="E1293" s="57">
        <v>62522168.513246536</v>
      </c>
      <c r="F1293" s="57">
        <v>62303903.249400005</v>
      </c>
      <c r="G1293" s="57">
        <v>55862043.572904542</v>
      </c>
      <c r="H1293" s="58">
        <v>0.10030917708146081</v>
      </c>
      <c r="I1293" s="58">
        <v>-0.10339415896158177</v>
      </c>
      <c r="J1293" s="58">
        <v>-6.2291476659112055E-3</v>
      </c>
    </row>
    <row r="1294" spans="1:10" ht="11.25" customHeight="1" x14ac:dyDescent="0.2">
      <c r="A1294" s="67">
        <v>43739</v>
      </c>
      <c r="B1294" s="57">
        <v>0</v>
      </c>
      <c r="C1294" s="57">
        <v>0</v>
      </c>
      <c r="D1294" s="57">
        <v>4821634.0160999997</v>
      </c>
      <c r="E1294" s="57">
        <v>5305288.156442971</v>
      </c>
      <c r="F1294" s="57">
        <v>5286767.3637899999</v>
      </c>
      <c r="G1294" s="57">
        <v>4740146.4985853946</v>
      </c>
      <c r="H1294" s="58">
        <v>0.10030917708146103</v>
      </c>
      <c r="I1294" s="58">
        <v>-0.10339415896158166</v>
      </c>
      <c r="J1294" s="58">
        <v>-6.2291476659109835E-3</v>
      </c>
    </row>
    <row r="1295" spans="1:10" ht="11.25" customHeight="1" x14ac:dyDescent="0.2">
      <c r="A1295" s="67">
        <v>43770</v>
      </c>
      <c r="B1295" s="57">
        <v>0</v>
      </c>
      <c r="C1295" s="57">
        <v>0</v>
      </c>
      <c r="D1295" s="57">
        <v>4456961.043300001</v>
      </c>
      <c r="E1295" s="57">
        <v>4904035.1378375534</v>
      </c>
      <c r="F1295" s="57">
        <v>4886915.1218699999</v>
      </c>
      <c r="G1295" s="57">
        <v>4381636.6429276168</v>
      </c>
      <c r="H1295" s="58">
        <v>0.10030917708146081</v>
      </c>
      <c r="I1295" s="58">
        <v>-0.10339415896158144</v>
      </c>
      <c r="J1295" s="58">
        <v>-6.2291476659110945E-3</v>
      </c>
    </row>
    <row r="1296" spans="1:10" ht="11.25" customHeight="1" x14ac:dyDescent="0.2">
      <c r="A1296" s="67">
        <v>43800</v>
      </c>
      <c r="B1296" s="57">
        <v>0</v>
      </c>
      <c r="C1296" s="57">
        <v>0</v>
      </c>
      <c r="D1296" s="57">
        <v>4846522.4703000002</v>
      </c>
      <c r="E1296" s="57">
        <v>5332673.1510026027</v>
      </c>
      <c r="F1296" s="57">
        <v>5314056.7571700001</v>
      </c>
      <c r="G1296" s="57">
        <v>4764614.3280882984</v>
      </c>
      <c r="H1296" s="58">
        <v>0.10030917708146103</v>
      </c>
      <c r="I1296" s="58">
        <v>-0.10339415896158155</v>
      </c>
      <c r="J1296" s="58">
        <v>-6.2291476659109835E-3</v>
      </c>
    </row>
    <row r="1297" spans="1:10" ht="11.25" customHeight="1" x14ac:dyDescent="0.2">
      <c r="A1297" s="67">
        <v>43831</v>
      </c>
      <c r="B1297" s="57">
        <v>0</v>
      </c>
      <c r="C1297" s="57">
        <v>0</v>
      </c>
      <c r="D1297" s="57">
        <v>4832063.5257000001</v>
      </c>
      <c r="E1297" s="57">
        <v>5316763.8415683098</v>
      </c>
      <c r="F1297" s="57">
        <v>5298202.9872300001</v>
      </c>
      <c r="G1297" s="57">
        <v>4750399.7453576149</v>
      </c>
      <c r="H1297" s="58">
        <v>0.10030917708146081</v>
      </c>
      <c r="I1297" s="58">
        <v>-0.10339415896158155</v>
      </c>
      <c r="J1297" s="58">
        <v>-6.2291476659112055E-3</v>
      </c>
    </row>
    <row r="1298" spans="1:10" ht="11.25" customHeight="1" x14ac:dyDescent="0.2">
      <c r="A1298" s="67">
        <v>43862</v>
      </c>
      <c r="B1298" s="57">
        <v>0</v>
      </c>
      <c r="C1298" s="57">
        <v>0</v>
      </c>
      <c r="D1298" s="57">
        <v>4536615.8385000005</v>
      </c>
      <c r="E1298" s="57">
        <v>4991680.039994657</v>
      </c>
      <c r="F1298" s="57">
        <v>4974254.0551499994</v>
      </c>
      <c r="G1298" s="57">
        <v>4459945.2406565296</v>
      </c>
      <c r="H1298" s="58">
        <v>0.10030917708146081</v>
      </c>
      <c r="I1298" s="58">
        <v>-0.10339415896158144</v>
      </c>
      <c r="J1298" s="58">
        <v>-6.2291476659109835E-3</v>
      </c>
    </row>
    <row r="1299" spans="1:10" ht="11.25" customHeight="1" x14ac:dyDescent="0.2">
      <c r="A1299" s="67">
        <v>43891</v>
      </c>
      <c r="B1299" s="57">
        <v>0</v>
      </c>
      <c r="C1299" s="57">
        <v>0</v>
      </c>
      <c r="D1299" s="57">
        <v>4849202.6901000002</v>
      </c>
      <c r="E1299" s="57">
        <v>5335622.2214451386</v>
      </c>
      <c r="F1299" s="57">
        <v>5316995.5323900003</v>
      </c>
      <c r="G1299" s="57">
        <v>4767249.2511160495</v>
      </c>
      <c r="H1299" s="58">
        <v>0.10030917708146103</v>
      </c>
      <c r="I1299" s="58">
        <v>-0.10339415896158155</v>
      </c>
      <c r="J1299" s="58">
        <v>-6.2291476659110945E-3</v>
      </c>
    </row>
    <row r="1300" spans="1:10" ht="11.25" customHeight="1" x14ac:dyDescent="0.2">
      <c r="A1300" s="67">
        <v>43922</v>
      </c>
      <c r="B1300" s="57">
        <v>0</v>
      </c>
      <c r="C1300" s="57">
        <v>0</v>
      </c>
      <c r="D1300" s="57">
        <v>4689534.3237000005</v>
      </c>
      <c r="E1300" s="57">
        <v>5159937.6526056128</v>
      </c>
      <c r="F1300" s="57">
        <v>5141924.2794300001</v>
      </c>
      <c r="G1300" s="57">
        <v>4610279.3431141991</v>
      </c>
      <c r="H1300" s="58">
        <v>0.10030917708146081</v>
      </c>
      <c r="I1300" s="58">
        <v>-0.10339415896158155</v>
      </c>
      <c r="J1300" s="58">
        <v>-6.2291476659110945E-3</v>
      </c>
    </row>
    <row r="1301" spans="1:10" ht="11.25" customHeight="1" x14ac:dyDescent="0.2">
      <c r="A1301" s="67">
        <v>43952</v>
      </c>
      <c r="B1301" s="57">
        <v>0</v>
      </c>
      <c r="C1301" s="57">
        <v>0</v>
      </c>
      <c r="D1301" s="57">
        <v>4764346.7301000003</v>
      </c>
      <c r="E1301" s="57">
        <v>5242254.4299270809</v>
      </c>
      <c r="F1301" s="57">
        <v>5223953.6883899998</v>
      </c>
      <c r="G1301" s="57">
        <v>4683827.3903246643</v>
      </c>
      <c r="H1301" s="58">
        <v>0.10030917708146103</v>
      </c>
      <c r="I1301" s="58">
        <v>-0.10339415896158144</v>
      </c>
      <c r="J1301" s="58">
        <v>-6.2291476659110945E-3</v>
      </c>
    </row>
    <row r="1302" spans="1:10" ht="11.25" customHeight="1" x14ac:dyDescent="0.2">
      <c r="A1302" s="67">
        <v>43983</v>
      </c>
      <c r="B1302" s="57">
        <v>0</v>
      </c>
      <c r="C1302" s="57">
        <v>0</v>
      </c>
      <c r="D1302" s="57">
        <v>4615855.8668999998</v>
      </c>
      <c r="E1302" s="57">
        <v>5078868.5704353731</v>
      </c>
      <c r="F1302" s="57">
        <v>5061138.2099099997</v>
      </c>
      <c r="G1302" s="57">
        <v>4537846.0813080315</v>
      </c>
      <c r="H1302" s="58">
        <v>0.10030917708146103</v>
      </c>
      <c r="I1302" s="58">
        <v>-0.10339415896158144</v>
      </c>
      <c r="J1302" s="58">
        <v>-6.2291476659108724E-3</v>
      </c>
    </row>
    <row r="1303" spans="1:10" ht="11.25" customHeight="1" x14ac:dyDescent="0.2">
      <c r="A1303" s="67">
        <v>44013</v>
      </c>
      <c r="B1303" s="57">
        <v>0</v>
      </c>
      <c r="C1303" s="57">
        <v>0</v>
      </c>
      <c r="D1303" s="57">
        <v>4599883.8117000004</v>
      </c>
      <c r="E1303" s="57">
        <v>5061294.3715219609</v>
      </c>
      <c r="F1303" s="57">
        <v>5043625.3626300003</v>
      </c>
      <c r="G1303" s="57">
        <v>4522143.9601435699</v>
      </c>
      <c r="H1303" s="58">
        <v>0.10030917708146081</v>
      </c>
      <c r="I1303" s="58">
        <v>-0.10339415896158155</v>
      </c>
      <c r="J1303" s="58">
        <v>-6.2291476659109835E-3</v>
      </c>
    </row>
    <row r="1304" spans="1:10" ht="11.25" customHeight="1" x14ac:dyDescent="0.2">
      <c r="A1304" s="67">
        <v>44044</v>
      </c>
      <c r="B1304" s="57">
        <v>0</v>
      </c>
      <c r="C1304" s="57">
        <v>0</v>
      </c>
      <c r="D1304" s="57">
        <v>4904871.8147999998</v>
      </c>
      <c r="E1304" s="57">
        <v>5396875.4702326395</v>
      </c>
      <c r="F1304" s="57">
        <v>5378034.9457199993</v>
      </c>
      <c r="G1304" s="57">
        <v>4821977.5456412854</v>
      </c>
      <c r="H1304" s="58">
        <v>0.10030917708146081</v>
      </c>
      <c r="I1304" s="58">
        <v>-0.10339415896158144</v>
      </c>
      <c r="J1304" s="58">
        <v>-6.2291476659112055E-3</v>
      </c>
    </row>
    <row r="1305" spans="1:10" ht="11.25" customHeight="1" x14ac:dyDescent="0.2">
      <c r="A1305" s="67">
        <v>44075</v>
      </c>
      <c r="B1305" s="57">
        <v>0</v>
      </c>
      <c r="C1305" s="57">
        <v>0</v>
      </c>
      <c r="D1305" s="57">
        <v>4904871.8147999998</v>
      </c>
      <c r="E1305" s="57">
        <v>5396875.4702326395</v>
      </c>
      <c r="F1305" s="57">
        <v>5378034.9457199993</v>
      </c>
      <c r="G1305" s="57">
        <v>4821977.5456412854</v>
      </c>
      <c r="H1305" s="58">
        <v>0.10030917708146081</v>
      </c>
      <c r="I1305" s="58">
        <v>-0.10339415896158144</v>
      </c>
      <c r="J1305" s="58">
        <v>-6.2291476659112055E-3</v>
      </c>
    </row>
    <row r="1306" spans="1:10" ht="11.25" customHeight="1" x14ac:dyDescent="0.2">
      <c r="A1306" s="59" t="s">
        <v>69</v>
      </c>
      <c r="B1306" s="57">
        <v>10195567.200000001</v>
      </c>
      <c r="C1306" s="57">
        <v>14828774.704799509</v>
      </c>
      <c r="D1306" s="57">
        <v>887823.34378000023</v>
      </c>
      <c r="E1306" s="57">
        <v>737470.11767105304</v>
      </c>
      <c r="F1306" s="57">
        <v>0</v>
      </c>
      <c r="G1306" s="57">
        <v>0</v>
      </c>
      <c r="H1306" s="58">
        <v>0.40446596742964536</v>
      </c>
      <c r="I1306" s="58">
        <v>0</v>
      </c>
      <c r="J1306" s="58">
        <v>0.40446596742964536</v>
      </c>
    </row>
    <row r="1307" spans="1:10" ht="11.25" customHeight="1" x14ac:dyDescent="0.2">
      <c r="A1307" s="60" t="s">
        <v>43</v>
      </c>
      <c r="B1307" s="57">
        <v>10195567.200000001</v>
      </c>
      <c r="C1307" s="57">
        <v>14828774.704799509</v>
      </c>
      <c r="D1307" s="57">
        <v>887823.34378000023</v>
      </c>
      <c r="E1307" s="57">
        <v>737470.11767105304</v>
      </c>
      <c r="F1307" s="57">
        <v>0</v>
      </c>
      <c r="G1307" s="57">
        <v>0</v>
      </c>
      <c r="H1307" s="58">
        <v>0.40446596742964536</v>
      </c>
      <c r="I1307" s="58">
        <v>0</v>
      </c>
      <c r="J1307" s="58">
        <v>0.40446596742964536</v>
      </c>
    </row>
    <row r="1308" spans="1:10" ht="11.25" customHeight="1" x14ac:dyDescent="0.2">
      <c r="A1308" s="61" t="s">
        <v>67</v>
      </c>
      <c r="B1308" s="57">
        <v>10195567.200000001</v>
      </c>
      <c r="C1308" s="57">
        <v>14828774.704799509</v>
      </c>
      <c r="D1308" s="57">
        <v>887823.34378000023</v>
      </c>
      <c r="E1308" s="57">
        <v>737470.11767105304</v>
      </c>
      <c r="F1308" s="57">
        <v>0</v>
      </c>
      <c r="G1308" s="57">
        <v>0</v>
      </c>
      <c r="H1308" s="58">
        <v>0.40446596742964536</v>
      </c>
      <c r="I1308" s="58">
        <v>0</v>
      </c>
      <c r="J1308" s="58">
        <v>0.40446596742964536</v>
      </c>
    </row>
    <row r="1309" spans="1:10" ht="11.25" customHeight="1" x14ac:dyDescent="0.2">
      <c r="A1309" s="62" t="s">
        <v>25</v>
      </c>
      <c r="B1309" s="57">
        <v>10195567.200000001</v>
      </c>
      <c r="C1309" s="57">
        <v>14828774.704799509</v>
      </c>
      <c r="D1309" s="57">
        <v>887823.34378000023</v>
      </c>
      <c r="E1309" s="57">
        <v>737470.11767105304</v>
      </c>
      <c r="F1309" s="57">
        <v>0</v>
      </c>
      <c r="G1309" s="57">
        <v>0</v>
      </c>
      <c r="H1309" s="58">
        <v>0.40446596742964536</v>
      </c>
      <c r="I1309" s="58">
        <v>0</v>
      </c>
      <c r="J1309" s="58">
        <v>0.40446596742964536</v>
      </c>
    </row>
    <row r="1310" spans="1:10" ht="11.25" customHeight="1" x14ac:dyDescent="0.2">
      <c r="A1310" s="63" t="s">
        <v>25</v>
      </c>
      <c r="B1310" s="57">
        <v>10195567.200000001</v>
      </c>
      <c r="C1310" s="57">
        <v>14828774.704799509</v>
      </c>
      <c r="D1310" s="57">
        <v>887823.34378000023</v>
      </c>
      <c r="E1310" s="57">
        <v>737470.11767105304</v>
      </c>
      <c r="F1310" s="57">
        <v>0</v>
      </c>
      <c r="G1310" s="57">
        <v>0</v>
      </c>
      <c r="H1310" s="58">
        <v>0.40446596742964536</v>
      </c>
      <c r="I1310" s="58">
        <v>0</v>
      </c>
      <c r="J1310" s="58">
        <v>0.40446596742964536</v>
      </c>
    </row>
    <row r="1311" spans="1:10" ht="11.25" customHeight="1" x14ac:dyDescent="0.2">
      <c r="A1311" s="64" t="s">
        <v>25</v>
      </c>
      <c r="B1311" s="57">
        <v>10195567.200000001</v>
      </c>
      <c r="C1311" s="57">
        <v>14828774.704799509</v>
      </c>
      <c r="D1311" s="57">
        <v>887823.34378000023</v>
      </c>
      <c r="E1311" s="57">
        <v>737470.11767105304</v>
      </c>
      <c r="F1311" s="57">
        <v>0</v>
      </c>
      <c r="G1311" s="57">
        <v>0</v>
      </c>
      <c r="H1311" s="58">
        <v>0.40446596742964536</v>
      </c>
      <c r="I1311" s="58">
        <v>0</v>
      </c>
      <c r="J1311" s="58">
        <v>0.40446596742964536</v>
      </c>
    </row>
    <row r="1312" spans="1:10" ht="11.25" customHeight="1" x14ac:dyDescent="0.2">
      <c r="A1312" s="65" t="s">
        <v>68</v>
      </c>
      <c r="B1312" s="57">
        <v>10195567.200000001</v>
      </c>
      <c r="C1312" s="57">
        <v>14828774.704799509</v>
      </c>
      <c r="D1312" s="57">
        <v>887823.34378000023</v>
      </c>
      <c r="E1312" s="57">
        <v>737470.11767105304</v>
      </c>
      <c r="F1312" s="57">
        <v>0</v>
      </c>
      <c r="G1312" s="57">
        <v>0</v>
      </c>
      <c r="H1312" s="58">
        <v>0.40446596742964536</v>
      </c>
      <c r="I1312" s="58">
        <v>0</v>
      </c>
      <c r="J1312" s="58">
        <v>0.40446596742964536</v>
      </c>
    </row>
    <row r="1313" spans="1:10" ht="11.25" customHeight="1" x14ac:dyDescent="0.2">
      <c r="A1313" s="66" t="s">
        <v>36</v>
      </c>
      <c r="B1313" s="57">
        <v>4059007.2000000007</v>
      </c>
      <c r="C1313" s="57">
        <v>6225593.7640550928</v>
      </c>
      <c r="D1313" s="57">
        <v>0</v>
      </c>
      <c r="E1313" s="57">
        <v>0</v>
      </c>
      <c r="F1313" s="57">
        <v>0</v>
      </c>
      <c r="G1313" s="57">
        <v>0</v>
      </c>
      <c r="H1313" s="58">
        <v>0.53377253532713409</v>
      </c>
      <c r="I1313" s="58">
        <v>0</v>
      </c>
      <c r="J1313" s="58">
        <v>0.53377253532713409</v>
      </c>
    </row>
    <row r="1314" spans="1:10" ht="11.25" customHeight="1" x14ac:dyDescent="0.2">
      <c r="A1314" s="67">
        <v>43739</v>
      </c>
      <c r="B1314" s="57">
        <v>338250.60000000003</v>
      </c>
      <c r="C1314" s="57">
        <v>518799.48033792456</v>
      </c>
      <c r="D1314" s="57">
        <v>0</v>
      </c>
      <c r="E1314" s="57">
        <v>0</v>
      </c>
      <c r="F1314" s="57">
        <v>0</v>
      </c>
      <c r="G1314" s="57">
        <v>0</v>
      </c>
      <c r="H1314" s="58">
        <v>0.53377253532713476</v>
      </c>
      <c r="I1314" s="58">
        <v>0</v>
      </c>
      <c r="J1314" s="58">
        <v>0.53377253532713476</v>
      </c>
    </row>
    <row r="1315" spans="1:10" ht="11.25" customHeight="1" x14ac:dyDescent="0.2">
      <c r="A1315" s="67">
        <v>43770</v>
      </c>
      <c r="B1315" s="57">
        <v>338250.60000000003</v>
      </c>
      <c r="C1315" s="57">
        <v>518799.48033792456</v>
      </c>
      <c r="D1315" s="57">
        <v>0</v>
      </c>
      <c r="E1315" s="57">
        <v>0</v>
      </c>
      <c r="F1315" s="57">
        <v>0</v>
      </c>
      <c r="G1315" s="57">
        <v>0</v>
      </c>
      <c r="H1315" s="58">
        <v>0.53377253532713476</v>
      </c>
      <c r="I1315" s="58">
        <v>0</v>
      </c>
      <c r="J1315" s="58">
        <v>0.53377253532713476</v>
      </c>
    </row>
    <row r="1316" spans="1:10" ht="11.25" customHeight="1" x14ac:dyDescent="0.2">
      <c r="A1316" s="67">
        <v>43800</v>
      </c>
      <c r="B1316" s="57">
        <v>338250.60000000003</v>
      </c>
      <c r="C1316" s="57">
        <v>518799.48033792456</v>
      </c>
      <c r="D1316" s="57">
        <v>0</v>
      </c>
      <c r="E1316" s="57">
        <v>0</v>
      </c>
      <c r="F1316" s="57">
        <v>0</v>
      </c>
      <c r="G1316" s="57">
        <v>0</v>
      </c>
      <c r="H1316" s="58">
        <v>0.53377253532713476</v>
      </c>
      <c r="I1316" s="58">
        <v>0</v>
      </c>
      <c r="J1316" s="58">
        <v>0.53377253532713476</v>
      </c>
    </row>
    <row r="1317" spans="1:10" ht="11.25" customHeight="1" x14ac:dyDescent="0.2">
      <c r="A1317" s="67">
        <v>43831</v>
      </c>
      <c r="B1317" s="57">
        <v>338250.60000000003</v>
      </c>
      <c r="C1317" s="57">
        <v>518799.48033792456</v>
      </c>
      <c r="D1317" s="57">
        <v>0</v>
      </c>
      <c r="E1317" s="57">
        <v>0</v>
      </c>
      <c r="F1317" s="57">
        <v>0</v>
      </c>
      <c r="G1317" s="57">
        <v>0</v>
      </c>
      <c r="H1317" s="58">
        <v>0.53377253532713476</v>
      </c>
      <c r="I1317" s="58">
        <v>0</v>
      </c>
      <c r="J1317" s="58">
        <v>0.53377253532713476</v>
      </c>
    </row>
    <row r="1318" spans="1:10" ht="11.25" customHeight="1" x14ac:dyDescent="0.2">
      <c r="A1318" s="67">
        <v>43862</v>
      </c>
      <c r="B1318" s="57">
        <v>338250.60000000003</v>
      </c>
      <c r="C1318" s="57">
        <v>518799.48033792456</v>
      </c>
      <c r="D1318" s="57">
        <v>0</v>
      </c>
      <c r="E1318" s="57">
        <v>0</v>
      </c>
      <c r="F1318" s="57">
        <v>0</v>
      </c>
      <c r="G1318" s="57">
        <v>0</v>
      </c>
      <c r="H1318" s="58">
        <v>0.53377253532713476</v>
      </c>
      <c r="I1318" s="58">
        <v>0</v>
      </c>
      <c r="J1318" s="58">
        <v>0.53377253532713476</v>
      </c>
    </row>
    <row r="1319" spans="1:10" ht="11.25" customHeight="1" x14ac:dyDescent="0.2">
      <c r="A1319" s="67">
        <v>43891</v>
      </c>
      <c r="B1319" s="57">
        <v>338250.60000000003</v>
      </c>
      <c r="C1319" s="57">
        <v>518799.48033792456</v>
      </c>
      <c r="D1319" s="57">
        <v>0</v>
      </c>
      <c r="E1319" s="57">
        <v>0</v>
      </c>
      <c r="F1319" s="57">
        <v>0</v>
      </c>
      <c r="G1319" s="57">
        <v>0</v>
      </c>
      <c r="H1319" s="58">
        <v>0.53377253532713476</v>
      </c>
      <c r="I1319" s="58">
        <v>0</v>
      </c>
      <c r="J1319" s="58">
        <v>0.53377253532713476</v>
      </c>
    </row>
    <row r="1320" spans="1:10" ht="11.25" customHeight="1" x14ac:dyDescent="0.2">
      <c r="A1320" s="67">
        <v>43922</v>
      </c>
      <c r="B1320" s="57">
        <v>338250.60000000003</v>
      </c>
      <c r="C1320" s="57">
        <v>518799.48033792456</v>
      </c>
      <c r="D1320" s="57">
        <v>0</v>
      </c>
      <c r="E1320" s="57">
        <v>0</v>
      </c>
      <c r="F1320" s="57">
        <v>0</v>
      </c>
      <c r="G1320" s="57">
        <v>0</v>
      </c>
      <c r="H1320" s="58">
        <v>0.53377253532713476</v>
      </c>
      <c r="I1320" s="58">
        <v>0</v>
      </c>
      <c r="J1320" s="58">
        <v>0.53377253532713476</v>
      </c>
    </row>
    <row r="1321" spans="1:10" ht="11.25" customHeight="1" x14ac:dyDescent="0.2">
      <c r="A1321" s="67">
        <v>43952</v>
      </c>
      <c r="B1321" s="57">
        <v>338250.60000000003</v>
      </c>
      <c r="C1321" s="57">
        <v>518799.48033792456</v>
      </c>
      <c r="D1321" s="57">
        <v>0</v>
      </c>
      <c r="E1321" s="57">
        <v>0</v>
      </c>
      <c r="F1321" s="57">
        <v>0</v>
      </c>
      <c r="G1321" s="57">
        <v>0</v>
      </c>
      <c r="H1321" s="58">
        <v>0.53377253532713476</v>
      </c>
      <c r="I1321" s="58">
        <v>0</v>
      </c>
      <c r="J1321" s="58">
        <v>0.53377253532713476</v>
      </c>
    </row>
    <row r="1322" spans="1:10" ht="11.25" customHeight="1" x14ac:dyDescent="0.2">
      <c r="A1322" s="67">
        <v>43983</v>
      </c>
      <c r="B1322" s="57">
        <v>338250.60000000003</v>
      </c>
      <c r="C1322" s="57">
        <v>518799.48033792456</v>
      </c>
      <c r="D1322" s="57">
        <v>0</v>
      </c>
      <c r="E1322" s="57">
        <v>0</v>
      </c>
      <c r="F1322" s="57">
        <v>0</v>
      </c>
      <c r="G1322" s="57">
        <v>0</v>
      </c>
      <c r="H1322" s="58">
        <v>0.53377253532713476</v>
      </c>
      <c r="I1322" s="58">
        <v>0</v>
      </c>
      <c r="J1322" s="58">
        <v>0.53377253532713476</v>
      </c>
    </row>
    <row r="1323" spans="1:10" ht="11.25" customHeight="1" x14ac:dyDescent="0.2">
      <c r="A1323" s="67">
        <v>44013</v>
      </c>
      <c r="B1323" s="57">
        <v>338250.60000000003</v>
      </c>
      <c r="C1323" s="57">
        <v>518799.48033792456</v>
      </c>
      <c r="D1323" s="57">
        <v>0</v>
      </c>
      <c r="E1323" s="57">
        <v>0</v>
      </c>
      <c r="F1323" s="57">
        <v>0</v>
      </c>
      <c r="G1323" s="57">
        <v>0</v>
      </c>
      <c r="H1323" s="58">
        <v>0.53377253532713476</v>
      </c>
      <c r="I1323" s="58">
        <v>0</v>
      </c>
      <c r="J1323" s="58">
        <v>0.53377253532713476</v>
      </c>
    </row>
    <row r="1324" spans="1:10" ht="11.25" customHeight="1" x14ac:dyDescent="0.2">
      <c r="A1324" s="67">
        <v>44044</v>
      </c>
      <c r="B1324" s="57">
        <v>338250.60000000003</v>
      </c>
      <c r="C1324" s="57">
        <v>518799.48033792456</v>
      </c>
      <c r="D1324" s="57">
        <v>0</v>
      </c>
      <c r="E1324" s="57">
        <v>0</v>
      </c>
      <c r="F1324" s="57">
        <v>0</v>
      </c>
      <c r="G1324" s="57">
        <v>0</v>
      </c>
      <c r="H1324" s="58">
        <v>0.53377253532713476</v>
      </c>
      <c r="I1324" s="58">
        <v>0</v>
      </c>
      <c r="J1324" s="58">
        <v>0.53377253532713476</v>
      </c>
    </row>
    <row r="1325" spans="1:10" ht="11.25" customHeight="1" x14ac:dyDescent="0.2">
      <c r="A1325" s="67">
        <v>44075</v>
      </c>
      <c r="B1325" s="57">
        <v>338250.60000000003</v>
      </c>
      <c r="C1325" s="57">
        <v>518799.48033792456</v>
      </c>
      <c r="D1325" s="57">
        <v>0</v>
      </c>
      <c r="E1325" s="57">
        <v>0</v>
      </c>
      <c r="F1325" s="57">
        <v>0</v>
      </c>
      <c r="G1325" s="57">
        <v>0</v>
      </c>
      <c r="H1325" s="58">
        <v>0.53377253532713476</v>
      </c>
      <c r="I1325" s="58">
        <v>0</v>
      </c>
      <c r="J1325" s="58">
        <v>0.53377253532713476</v>
      </c>
    </row>
    <row r="1326" spans="1:10" ht="11.25" customHeight="1" x14ac:dyDescent="0.2">
      <c r="A1326" s="66" t="s">
        <v>25</v>
      </c>
      <c r="B1326" s="57">
        <v>0</v>
      </c>
      <c r="C1326" s="57">
        <v>0</v>
      </c>
      <c r="D1326" s="57">
        <v>887823.34378000023</v>
      </c>
      <c r="E1326" s="57">
        <v>737470.11767105304</v>
      </c>
      <c r="F1326" s="57">
        <v>0</v>
      </c>
      <c r="G1326" s="57">
        <v>0</v>
      </c>
      <c r="H1326" s="58">
        <v>-0.16935038615768161</v>
      </c>
      <c r="I1326" s="58">
        <v>0</v>
      </c>
      <c r="J1326" s="58">
        <v>-0.16935038615768161</v>
      </c>
    </row>
    <row r="1327" spans="1:10" ht="11.25" customHeight="1" x14ac:dyDescent="0.2">
      <c r="A1327" s="67">
        <v>43739</v>
      </c>
      <c r="B1327" s="57">
        <v>0</v>
      </c>
      <c r="C1327" s="57">
        <v>0</v>
      </c>
      <c r="D1327" s="57">
        <v>164865.00141999999</v>
      </c>
      <c r="E1327" s="57">
        <v>136945.0497656363</v>
      </c>
      <c r="F1327" s="57">
        <v>0</v>
      </c>
      <c r="G1327" s="57">
        <v>0</v>
      </c>
      <c r="H1327" s="58">
        <v>-0.16935038615768139</v>
      </c>
      <c r="I1327" s="58">
        <v>0</v>
      </c>
      <c r="J1327" s="58">
        <v>-0.16935038615768139</v>
      </c>
    </row>
    <row r="1328" spans="1:10" ht="11.25" customHeight="1" x14ac:dyDescent="0.2">
      <c r="A1328" s="67">
        <v>43770</v>
      </c>
      <c r="B1328" s="57">
        <v>0</v>
      </c>
      <c r="C1328" s="57">
        <v>0</v>
      </c>
      <c r="D1328" s="57">
        <v>164865.00141999999</v>
      </c>
      <c r="E1328" s="57">
        <v>136945.0497656363</v>
      </c>
      <c r="F1328" s="57">
        <v>0</v>
      </c>
      <c r="G1328" s="57">
        <v>0</v>
      </c>
      <c r="H1328" s="58">
        <v>-0.16935038615768139</v>
      </c>
      <c r="I1328" s="58">
        <v>0</v>
      </c>
      <c r="J1328" s="58">
        <v>-0.16935038615768139</v>
      </c>
    </row>
    <row r="1329" spans="1:10" ht="11.25" customHeight="1" x14ac:dyDescent="0.2">
      <c r="A1329" s="67">
        <v>43800</v>
      </c>
      <c r="B1329" s="57">
        <v>0</v>
      </c>
      <c r="C1329" s="57">
        <v>0</v>
      </c>
      <c r="D1329" s="57">
        <v>107245.09255999999</v>
      </c>
      <c r="E1329" s="57">
        <v>89083.094721447706</v>
      </c>
      <c r="F1329" s="57">
        <v>0</v>
      </c>
      <c r="G1329" s="57">
        <v>0</v>
      </c>
      <c r="H1329" s="58">
        <v>-0.16935038615768139</v>
      </c>
      <c r="I1329" s="58">
        <v>0</v>
      </c>
      <c r="J1329" s="58">
        <v>-0.16935038615768139</v>
      </c>
    </row>
    <row r="1330" spans="1:10" ht="11.25" customHeight="1" x14ac:dyDescent="0.2">
      <c r="A1330" s="67">
        <v>43831</v>
      </c>
      <c r="B1330" s="57">
        <v>0</v>
      </c>
      <c r="C1330" s="57">
        <v>0</v>
      </c>
      <c r="D1330" s="57">
        <v>76518.193119999996</v>
      </c>
      <c r="E1330" s="57">
        <v>63559.807567039956</v>
      </c>
      <c r="F1330" s="57">
        <v>0</v>
      </c>
      <c r="G1330" s="57">
        <v>0</v>
      </c>
      <c r="H1330" s="58">
        <v>-0.16935038615768139</v>
      </c>
      <c r="I1330" s="58">
        <v>0</v>
      </c>
      <c r="J1330" s="58">
        <v>-0.16935038615768139</v>
      </c>
    </row>
    <row r="1331" spans="1:10" ht="11.25" customHeight="1" x14ac:dyDescent="0.2">
      <c r="A1331" s="67">
        <v>43862</v>
      </c>
      <c r="B1331" s="57">
        <v>0</v>
      </c>
      <c r="C1331" s="57">
        <v>0</v>
      </c>
      <c r="D1331" s="57">
        <v>43106.219360000003</v>
      </c>
      <c r="E1331" s="57">
        <v>35806.164465586276</v>
      </c>
      <c r="F1331" s="57">
        <v>0</v>
      </c>
      <c r="G1331" s="57">
        <v>0</v>
      </c>
      <c r="H1331" s="58">
        <v>-0.1693503861576815</v>
      </c>
      <c r="I1331" s="58">
        <v>0</v>
      </c>
      <c r="J1331" s="58">
        <v>-0.1693503861576815</v>
      </c>
    </row>
    <row r="1332" spans="1:10" ht="11.25" customHeight="1" x14ac:dyDescent="0.2">
      <c r="A1332" s="67">
        <v>43891</v>
      </c>
      <c r="B1332" s="57">
        <v>0</v>
      </c>
      <c r="C1332" s="57">
        <v>0</v>
      </c>
      <c r="D1332" s="57">
        <v>18196.149979999998</v>
      </c>
      <c r="E1332" s="57">
        <v>15114.624954303912</v>
      </c>
      <c r="F1332" s="57">
        <v>0</v>
      </c>
      <c r="G1332" s="57">
        <v>0</v>
      </c>
      <c r="H1332" s="58">
        <v>-0.16935038615768139</v>
      </c>
      <c r="I1332" s="58">
        <v>0</v>
      </c>
      <c r="J1332" s="58">
        <v>-0.16935038615768139</v>
      </c>
    </row>
    <row r="1333" spans="1:10" ht="11.25" customHeight="1" x14ac:dyDescent="0.2">
      <c r="A1333" s="67">
        <v>43922</v>
      </c>
      <c r="B1333" s="57">
        <v>0</v>
      </c>
      <c r="C1333" s="57">
        <v>0</v>
      </c>
      <c r="D1333" s="57">
        <v>31403.65754</v>
      </c>
      <c r="E1333" s="57">
        <v>26085.436008837416</v>
      </c>
      <c r="F1333" s="57">
        <v>0</v>
      </c>
      <c r="G1333" s="57">
        <v>0</v>
      </c>
      <c r="H1333" s="58">
        <v>-0.16935038615768139</v>
      </c>
      <c r="I1333" s="58">
        <v>0</v>
      </c>
      <c r="J1333" s="58">
        <v>-0.16935038615768139</v>
      </c>
    </row>
    <row r="1334" spans="1:10" ht="11.25" customHeight="1" x14ac:dyDescent="0.2">
      <c r="A1334" s="67">
        <v>43952</v>
      </c>
      <c r="B1334" s="57">
        <v>0</v>
      </c>
      <c r="C1334" s="57">
        <v>0</v>
      </c>
      <c r="D1334" s="57">
        <v>31403.65754</v>
      </c>
      <c r="E1334" s="57">
        <v>26085.436008837416</v>
      </c>
      <c r="F1334" s="57">
        <v>0</v>
      </c>
      <c r="G1334" s="57">
        <v>0</v>
      </c>
      <c r="H1334" s="58">
        <v>-0.16935038615768139</v>
      </c>
      <c r="I1334" s="58">
        <v>0</v>
      </c>
      <c r="J1334" s="58">
        <v>-0.16935038615768139</v>
      </c>
    </row>
    <row r="1335" spans="1:10" ht="11.25" customHeight="1" x14ac:dyDescent="0.2">
      <c r="A1335" s="67">
        <v>43983</v>
      </c>
      <c r="B1335" s="57">
        <v>0</v>
      </c>
      <c r="C1335" s="57">
        <v>0</v>
      </c>
      <c r="D1335" s="57">
        <v>31403.65754</v>
      </c>
      <c r="E1335" s="57">
        <v>26085.436008837416</v>
      </c>
      <c r="F1335" s="57">
        <v>0</v>
      </c>
      <c r="G1335" s="57">
        <v>0</v>
      </c>
      <c r="H1335" s="58">
        <v>-0.16935038615768139</v>
      </c>
      <c r="I1335" s="58">
        <v>0</v>
      </c>
      <c r="J1335" s="58">
        <v>-0.16935038615768139</v>
      </c>
    </row>
    <row r="1336" spans="1:10" ht="11.25" customHeight="1" x14ac:dyDescent="0.2">
      <c r="A1336" s="67">
        <v>44013</v>
      </c>
      <c r="B1336" s="57">
        <v>0</v>
      </c>
      <c r="C1336" s="57">
        <v>0</v>
      </c>
      <c r="D1336" s="57">
        <v>156009.39822</v>
      </c>
      <c r="E1336" s="57">
        <v>129589.1463872155</v>
      </c>
      <c r="F1336" s="57">
        <v>0</v>
      </c>
      <c r="G1336" s="57">
        <v>0</v>
      </c>
      <c r="H1336" s="58">
        <v>-0.1693503861576815</v>
      </c>
      <c r="I1336" s="58">
        <v>0</v>
      </c>
      <c r="J1336" s="58">
        <v>-0.1693503861576815</v>
      </c>
    </row>
    <row r="1337" spans="1:10" ht="11.25" customHeight="1" x14ac:dyDescent="0.2">
      <c r="A1337" s="67">
        <v>44044</v>
      </c>
      <c r="B1337" s="57">
        <v>0</v>
      </c>
      <c r="C1337" s="57">
        <v>0</v>
      </c>
      <c r="D1337" s="57">
        <v>31403.65754</v>
      </c>
      <c r="E1337" s="57">
        <v>26085.436008837416</v>
      </c>
      <c r="F1337" s="57">
        <v>0</v>
      </c>
      <c r="G1337" s="57">
        <v>0</v>
      </c>
      <c r="H1337" s="58">
        <v>-0.16935038615768139</v>
      </c>
      <c r="I1337" s="58">
        <v>0</v>
      </c>
      <c r="J1337" s="58">
        <v>-0.16935038615768139</v>
      </c>
    </row>
    <row r="1338" spans="1:10" ht="11.25" customHeight="1" x14ac:dyDescent="0.2">
      <c r="A1338" s="67">
        <v>44075</v>
      </c>
      <c r="B1338" s="57">
        <v>0</v>
      </c>
      <c r="C1338" s="57">
        <v>0</v>
      </c>
      <c r="D1338" s="57">
        <v>31403.65754</v>
      </c>
      <c r="E1338" s="57">
        <v>26085.436008837416</v>
      </c>
      <c r="F1338" s="57">
        <v>0</v>
      </c>
      <c r="G1338" s="57">
        <v>0</v>
      </c>
      <c r="H1338" s="58">
        <v>-0.16935038615768139</v>
      </c>
      <c r="I1338" s="58">
        <v>0</v>
      </c>
      <c r="J1338" s="58">
        <v>-0.16935038615768139</v>
      </c>
    </row>
    <row r="1339" spans="1:10" ht="11.25" customHeight="1" x14ac:dyDescent="0.2">
      <c r="A1339" s="66" t="s">
        <v>35</v>
      </c>
      <c r="B1339" s="57">
        <v>6136560.0000000009</v>
      </c>
      <c r="C1339" s="57">
        <v>8603180.9407444187</v>
      </c>
      <c r="D1339" s="57">
        <v>0</v>
      </c>
      <c r="E1339" s="57">
        <v>0</v>
      </c>
      <c r="F1339" s="57">
        <v>0</v>
      </c>
      <c r="G1339" s="57">
        <v>0</v>
      </c>
      <c r="H1339" s="58">
        <v>0.40195499445037886</v>
      </c>
      <c r="I1339" s="58">
        <v>0</v>
      </c>
      <c r="J1339" s="58">
        <v>0.40195499445037886</v>
      </c>
    </row>
    <row r="1340" spans="1:10" ht="11.25" customHeight="1" x14ac:dyDescent="0.2">
      <c r="A1340" s="67">
        <v>43739</v>
      </c>
      <c r="B1340" s="57">
        <v>511380.00000000006</v>
      </c>
      <c r="C1340" s="57">
        <v>716931.74506203504</v>
      </c>
      <c r="D1340" s="57">
        <v>0</v>
      </c>
      <c r="E1340" s="57">
        <v>0</v>
      </c>
      <c r="F1340" s="57">
        <v>0</v>
      </c>
      <c r="G1340" s="57">
        <v>0</v>
      </c>
      <c r="H1340" s="58">
        <v>0.4019549944503793</v>
      </c>
      <c r="I1340" s="58">
        <v>0</v>
      </c>
      <c r="J1340" s="58">
        <v>0.4019549944503793</v>
      </c>
    </row>
    <row r="1341" spans="1:10" ht="11.25" customHeight="1" x14ac:dyDescent="0.2">
      <c r="A1341" s="67">
        <v>43770</v>
      </c>
      <c r="B1341" s="57">
        <v>511380.00000000006</v>
      </c>
      <c r="C1341" s="57">
        <v>716931.74506203504</v>
      </c>
      <c r="D1341" s="57">
        <v>0</v>
      </c>
      <c r="E1341" s="57">
        <v>0</v>
      </c>
      <c r="F1341" s="57">
        <v>0</v>
      </c>
      <c r="G1341" s="57">
        <v>0</v>
      </c>
      <c r="H1341" s="58">
        <v>0.4019549944503793</v>
      </c>
      <c r="I1341" s="58">
        <v>0</v>
      </c>
      <c r="J1341" s="58">
        <v>0.4019549944503793</v>
      </c>
    </row>
    <row r="1342" spans="1:10" ht="11.25" customHeight="1" x14ac:dyDescent="0.2">
      <c r="A1342" s="67">
        <v>43800</v>
      </c>
      <c r="B1342" s="57">
        <v>511380.00000000006</v>
      </c>
      <c r="C1342" s="57">
        <v>716931.74506203504</v>
      </c>
      <c r="D1342" s="57">
        <v>0</v>
      </c>
      <c r="E1342" s="57">
        <v>0</v>
      </c>
      <c r="F1342" s="57">
        <v>0</v>
      </c>
      <c r="G1342" s="57">
        <v>0</v>
      </c>
      <c r="H1342" s="58">
        <v>0.4019549944503793</v>
      </c>
      <c r="I1342" s="58">
        <v>0</v>
      </c>
      <c r="J1342" s="58">
        <v>0.4019549944503793</v>
      </c>
    </row>
    <row r="1343" spans="1:10" ht="11.25" customHeight="1" x14ac:dyDescent="0.2">
      <c r="A1343" s="67">
        <v>43831</v>
      </c>
      <c r="B1343" s="57">
        <v>511380.00000000006</v>
      </c>
      <c r="C1343" s="57">
        <v>716931.74506203504</v>
      </c>
      <c r="D1343" s="57">
        <v>0</v>
      </c>
      <c r="E1343" s="57">
        <v>0</v>
      </c>
      <c r="F1343" s="57">
        <v>0</v>
      </c>
      <c r="G1343" s="57">
        <v>0</v>
      </c>
      <c r="H1343" s="58">
        <v>0.4019549944503793</v>
      </c>
      <c r="I1343" s="58">
        <v>0</v>
      </c>
      <c r="J1343" s="58">
        <v>0.4019549944503793</v>
      </c>
    </row>
    <row r="1344" spans="1:10" ht="11.25" customHeight="1" x14ac:dyDescent="0.2">
      <c r="A1344" s="67">
        <v>43862</v>
      </c>
      <c r="B1344" s="57">
        <v>511380.00000000006</v>
      </c>
      <c r="C1344" s="57">
        <v>716931.74506203504</v>
      </c>
      <c r="D1344" s="57">
        <v>0</v>
      </c>
      <c r="E1344" s="57">
        <v>0</v>
      </c>
      <c r="F1344" s="57">
        <v>0</v>
      </c>
      <c r="G1344" s="57">
        <v>0</v>
      </c>
      <c r="H1344" s="58">
        <v>0.4019549944503793</v>
      </c>
      <c r="I1344" s="58">
        <v>0</v>
      </c>
      <c r="J1344" s="58">
        <v>0.4019549944503793</v>
      </c>
    </row>
    <row r="1345" spans="1:10" ht="11.25" customHeight="1" x14ac:dyDescent="0.2">
      <c r="A1345" s="67">
        <v>43891</v>
      </c>
      <c r="B1345" s="57">
        <v>511380.00000000006</v>
      </c>
      <c r="C1345" s="57">
        <v>716931.74506203504</v>
      </c>
      <c r="D1345" s="57">
        <v>0</v>
      </c>
      <c r="E1345" s="57">
        <v>0</v>
      </c>
      <c r="F1345" s="57">
        <v>0</v>
      </c>
      <c r="G1345" s="57">
        <v>0</v>
      </c>
      <c r="H1345" s="58">
        <v>0.4019549944503793</v>
      </c>
      <c r="I1345" s="58">
        <v>0</v>
      </c>
      <c r="J1345" s="58">
        <v>0.4019549944503793</v>
      </c>
    </row>
    <row r="1346" spans="1:10" ht="11.25" customHeight="1" x14ac:dyDescent="0.2">
      <c r="A1346" s="67">
        <v>43922</v>
      </c>
      <c r="B1346" s="57">
        <v>511380.00000000006</v>
      </c>
      <c r="C1346" s="57">
        <v>716931.74506203504</v>
      </c>
      <c r="D1346" s="57">
        <v>0</v>
      </c>
      <c r="E1346" s="57">
        <v>0</v>
      </c>
      <c r="F1346" s="57">
        <v>0</v>
      </c>
      <c r="G1346" s="57">
        <v>0</v>
      </c>
      <c r="H1346" s="58">
        <v>0.4019549944503793</v>
      </c>
      <c r="I1346" s="58">
        <v>0</v>
      </c>
      <c r="J1346" s="58">
        <v>0.4019549944503793</v>
      </c>
    </row>
    <row r="1347" spans="1:10" ht="11.25" customHeight="1" x14ac:dyDescent="0.2">
      <c r="A1347" s="67">
        <v>43952</v>
      </c>
      <c r="B1347" s="57">
        <v>511380.00000000006</v>
      </c>
      <c r="C1347" s="57">
        <v>716931.74506203504</v>
      </c>
      <c r="D1347" s="57">
        <v>0</v>
      </c>
      <c r="E1347" s="57">
        <v>0</v>
      </c>
      <c r="F1347" s="57">
        <v>0</v>
      </c>
      <c r="G1347" s="57">
        <v>0</v>
      </c>
      <c r="H1347" s="58">
        <v>0.4019549944503793</v>
      </c>
      <c r="I1347" s="58">
        <v>0</v>
      </c>
      <c r="J1347" s="58">
        <v>0.4019549944503793</v>
      </c>
    </row>
    <row r="1348" spans="1:10" ht="11.25" customHeight="1" x14ac:dyDescent="0.2">
      <c r="A1348" s="67">
        <v>43983</v>
      </c>
      <c r="B1348" s="57">
        <v>511380.00000000006</v>
      </c>
      <c r="C1348" s="57">
        <v>716931.74506203504</v>
      </c>
      <c r="D1348" s="57">
        <v>0</v>
      </c>
      <c r="E1348" s="57">
        <v>0</v>
      </c>
      <c r="F1348" s="57">
        <v>0</v>
      </c>
      <c r="G1348" s="57">
        <v>0</v>
      </c>
      <c r="H1348" s="58">
        <v>0.4019549944503793</v>
      </c>
      <c r="I1348" s="58">
        <v>0</v>
      </c>
      <c r="J1348" s="58">
        <v>0.4019549944503793</v>
      </c>
    </row>
    <row r="1349" spans="1:10" ht="11.25" customHeight="1" x14ac:dyDescent="0.2">
      <c r="A1349" s="67">
        <v>44013</v>
      </c>
      <c r="B1349" s="57">
        <v>511380.00000000006</v>
      </c>
      <c r="C1349" s="57">
        <v>716931.74506203504</v>
      </c>
      <c r="D1349" s="57">
        <v>0</v>
      </c>
      <c r="E1349" s="57">
        <v>0</v>
      </c>
      <c r="F1349" s="57">
        <v>0</v>
      </c>
      <c r="G1349" s="57">
        <v>0</v>
      </c>
      <c r="H1349" s="58">
        <v>0.4019549944503793</v>
      </c>
      <c r="I1349" s="58">
        <v>0</v>
      </c>
      <c r="J1349" s="58">
        <v>0.4019549944503793</v>
      </c>
    </row>
    <row r="1350" spans="1:10" ht="11.25" customHeight="1" x14ac:dyDescent="0.2">
      <c r="A1350" s="67">
        <v>44044</v>
      </c>
      <c r="B1350" s="57">
        <v>511380.00000000006</v>
      </c>
      <c r="C1350" s="57">
        <v>716931.74506203504</v>
      </c>
      <c r="D1350" s="57">
        <v>0</v>
      </c>
      <c r="E1350" s="57">
        <v>0</v>
      </c>
      <c r="F1350" s="57">
        <v>0</v>
      </c>
      <c r="G1350" s="57">
        <v>0</v>
      </c>
      <c r="H1350" s="58">
        <v>0.4019549944503793</v>
      </c>
      <c r="I1350" s="58">
        <v>0</v>
      </c>
      <c r="J1350" s="58">
        <v>0.4019549944503793</v>
      </c>
    </row>
    <row r="1351" spans="1:10" ht="11.25" customHeight="1" x14ac:dyDescent="0.2">
      <c r="A1351" s="67">
        <v>44075</v>
      </c>
      <c r="B1351" s="57">
        <v>511380.00000000006</v>
      </c>
      <c r="C1351" s="57">
        <v>716931.74506203504</v>
      </c>
      <c r="D1351" s="57">
        <v>0</v>
      </c>
      <c r="E1351" s="57">
        <v>0</v>
      </c>
      <c r="F1351" s="57">
        <v>0</v>
      </c>
      <c r="G1351" s="57">
        <v>0</v>
      </c>
      <c r="H1351" s="58">
        <v>0.4019549944503793</v>
      </c>
      <c r="I1351" s="58">
        <v>0</v>
      </c>
      <c r="J1351" s="58">
        <v>0.4019549944503793</v>
      </c>
    </row>
    <row r="1352" spans="1:10" ht="11.25" customHeight="1" x14ac:dyDescent="0.2">
      <c r="A1352" s="59" t="s">
        <v>66</v>
      </c>
      <c r="B1352" s="57">
        <v>8032447.1999999993</v>
      </c>
      <c r="C1352" s="57">
        <v>9488943.1716781463</v>
      </c>
      <c r="D1352" s="57">
        <v>0</v>
      </c>
      <c r="E1352" s="57">
        <v>0</v>
      </c>
      <c r="F1352" s="57">
        <v>0</v>
      </c>
      <c r="G1352" s="57">
        <v>0</v>
      </c>
      <c r="H1352" s="58">
        <v>0.18132655408903875</v>
      </c>
      <c r="I1352" s="58">
        <v>0</v>
      </c>
      <c r="J1352" s="58">
        <v>0.18132655408903875</v>
      </c>
    </row>
    <row r="1353" spans="1:10" ht="11.25" customHeight="1" x14ac:dyDescent="0.2">
      <c r="A1353" s="60" t="s">
        <v>43</v>
      </c>
      <c r="B1353" s="57">
        <v>7429440</v>
      </c>
      <c r="C1353" s="57">
        <v>8868164.7954881117</v>
      </c>
      <c r="D1353" s="57">
        <v>0</v>
      </c>
      <c r="E1353" s="57">
        <v>0</v>
      </c>
      <c r="F1353" s="57">
        <v>0</v>
      </c>
      <c r="G1353" s="57">
        <v>0</v>
      </c>
      <c r="H1353" s="58">
        <v>0.19365184933024726</v>
      </c>
      <c r="I1353" s="58">
        <v>0</v>
      </c>
      <c r="J1353" s="58">
        <v>0.19365184933024726</v>
      </c>
    </row>
    <row r="1354" spans="1:10" ht="11.25" customHeight="1" x14ac:dyDescent="0.2">
      <c r="A1354" s="61" t="s">
        <v>64</v>
      </c>
      <c r="B1354" s="57">
        <v>7429440</v>
      </c>
      <c r="C1354" s="57">
        <v>8868164.7954881117</v>
      </c>
      <c r="D1354" s="57">
        <v>0</v>
      </c>
      <c r="E1354" s="57">
        <v>0</v>
      </c>
      <c r="F1354" s="57">
        <v>0</v>
      </c>
      <c r="G1354" s="57">
        <v>0</v>
      </c>
      <c r="H1354" s="58">
        <v>0.19365184933024726</v>
      </c>
      <c r="I1354" s="58">
        <v>0</v>
      </c>
      <c r="J1354" s="58">
        <v>0.19365184933024726</v>
      </c>
    </row>
    <row r="1355" spans="1:10" ht="11.25" customHeight="1" x14ac:dyDescent="0.2">
      <c r="A1355" s="62" t="s">
        <v>25</v>
      </c>
      <c r="B1355" s="57">
        <v>7429440</v>
      </c>
      <c r="C1355" s="57">
        <v>8868164.7954881117</v>
      </c>
      <c r="D1355" s="57">
        <v>0</v>
      </c>
      <c r="E1355" s="57">
        <v>0</v>
      </c>
      <c r="F1355" s="57">
        <v>0</v>
      </c>
      <c r="G1355" s="57">
        <v>0</v>
      </c>
      <c r="H1355" s="58">
        <v>0.19365184933024726</v>
      </c>
      <c r="I1355" s="58">
        <v>0</v>
      </c>
      <c r="J1355" s="58">
        <v>0.19365184933024726</v>
      </c>
    </row>
    <row r="1356" spans="1:10" ht="11.25" customHeight="1" x14ac:dyDescent="0.2">
      <c r="A1356" s="63" t="s">
        <v>25</v>
      </c>
      <c r="B1356" s="57">
        <v>7429440</v>
      </c>
      <c r="C1356" s="57">
        <v>8868164.7954881117</v>
      </c>
      <c r="D1356" s="57">
        <v>0</v>
      </c>
      <c r="E1356" s="57">
        <v>0</v>
      </c>
      <c r="F1356" s="57">
        <v>0</v>
      </c>
      <c r="G1356" s="57">
        <v>0</v>
      </c>
      <c r="H1356" s="58">
        <v>0.19365184933024726</v>
      </c>
      <c r="I1356" s="58">
        <v>0</v>
      </c>
      <c r="J1356" s="58">
        <v>0.19365184933024726</v>
      </c>
    </row>
    <row r="1357" spans="1:10" ht="11.25" customHeight="1" x14ac:dyDescent="0.2">
      <c r="A1357" s="64" t="s">
        <v>25</v>
      </c>
      <c r="B1357" s="57">
        <v>7429440</v>
      </c>
      <c r="C1357" s="57">
        <v>8868164.7954881117</v>
      </c>
      <c r="D1357" s="57">
        <v>0</v>
      </c>
      <c r="E1357" s="57">
        <v>0</v>
      </c>
      <c r="F1357" s="57">
        <v>0</v>
      </c>
      <c r="G1357" s="57">
        <v>0</v>
      </c>
      <c r="H1357" s="58">
        <v>0.19365184933024726</v>
      </c>
      <c r="I1357" s="58">
        <v>0</v>
      </c>
      <c r="J1357" s="58">
        <v>0.19365184933024726</v>
      </c>
    </row>
    <row r="1358" spans="1:10" ht="11.25" customHeight="1" x14ac:dyDescent="0.2">
      <c r="A1358" s="65" t="s">
        <v>71</v>
      </c>
      <c r="B1358" s="57">
        <v>2812980</v>
      </c>
      <c r="C1358" s="57">
        <v>3362910.3418072034</v>
      </c>
      <c r="D1358" s="57">
        <v>0</v>
      </c>
      <c r="E1358" s="57">
        <v>0</v>
      </c>
      <c r="F1358" s="57">
        <v>0</v>
      </c>
      <c r="G1358" s="57">
        <v>0</v>
      </c>
      <c r="H1358" s="58">
        <v>0.19549742330453945</v>
      </c>
      <c r="I1358" s="58">
        <v>0</v>
      </c>
      <c r="J1358" s="58">
        <v>0.19549742330453945</v>
      </c>
    </row>
    <row r="1359" spans="1:10" ht="11.25" customHeight="1" x14ac:dyDescent="0.2">
      <c r="A1359" s="66" t="s">
        <v>25</v>
      </c>
      <c r="B1359" s="57">
        <v>2812980</v>
      </c>
      <c r="C1359" s="57">
        <v>3362910.3418072034</v>
      </c>
      <c r="D1359" s="57">
        <v>0</v>
      </c>
      <c r="E1359" s="57">
        <v>0</v>
      </c>
      <c r="F1359" s="57">
        <v>0</v>
      </c>
      <c r="G1359" s="57">
        <v>0</v>
      </c>
      <c r="H1359" s="58">
        <v>0.19549742330453945</v>
      </c>
      <c r="I1359" s="58">
        <v>0</v>
      </c>
      <c r="J1359" s="58">
        <v>0.19549742330453945</v>
      </c>
    </row>
    <row r="1360" spans="1:10" ht="11.25" customHeight="1" x14ac:dyDescent="0.2">
      <c r="A1360" s="67">
        <v>43739</v>
      </c>
      <c r="B1360" s="57">
        <v>234415</v>
      </c>
      <c r="C1360" s="57">
        <v>280242.52848393354</v>
      </c>
      <c r="D1360" s="57">
        <v>0</v>
      </c>
      <c r="E1360" s="57">
        <v>0</v>
      </c>
      <c r="F1360" s="57">
        <v>0</v>
      </c>
      <c r="G1360" s="57">
        <v>0</v>
      </c>
      <c r="H1360" s="58">
        <v>0.19549742330453901</v>
      </c>
      <c r="I1360" s="58">
        <v>0</v>
      </c>
      <c r="J1360" s="58">
        <v>0.19549742330453901</v>
      </c>
    </row>
    <row r="1361" spans="1:10" ht="11.25" customHeight="1" x14ac:dyDescent="0.2">
      <c r="A1361" s="67">
        <v>43770</v>
      </c>
      <c r="B1361" s="57">
        <v>234415</v>
      </c>
      <c r="C1361" s="57">
        <v>280242.52848393354</v>
      </c>
      <c r="D1361" s="57">
        <v>0</v>
      </c>
      <c r="E1361" s="57">
        <v>0</v>
      </c>
      <c r="F1361" s="57">
        <v>0</v>
      </c>
      <c r="G1361" s="57">
        <v>0</v>
      </c>
      <c r="H1361" s="58">
        <v>0.19549742330453901</v>
      </c>
      <c r="I1361" s="58">
        <v>0</v>
      </c>
      <c r="J1361" s="58">
        <v>0.19549742330453901</v>
      </c>
    </row>
    <row r="1362" spans="1:10" ht="11.25" customHeight="1" x14ac:dyDescent="0.2">
      <c r="A1362" s="67">
        <v>43800</v>
      </c>
      <c r="B1362" s="57">
        <v>234415</v>
      </c>
      <c r="C1362" s="57">
        <v>280242.52848393354</v>
      </c>
      <c r="D1362" s="57">
        <v>0</v>
      </c>
      <c r="E1362" s="57">
        <v>0</v>
      </c>
      <c r="F1362" s="57">
        <v>0</v>
      </c>
      <c r="G1362" s="57">
        <v>0</v>
      </c>
      <c r="H1362" s="58">
        <v>0.19549742330453901</v>
      </c>
      <c r="I1362" s="58">
        <v>0</v>
      </c>
      <c r="J1362" s="58">
        <v>0.19549742330453901</v>
      </c>
    </row>
    <row r="1363" spans="1:10" ht="11.25" customHeight="1" x14ac:dyDescent="0.2">
      <c r="A1363" s="67">
        <v>43831</v>
      </c>
      <c r="B1363" s="57">
        <v>234415</v>
      </c>
      <c r="C1363" s="57">
        <v>280242.52848393354</v>
      </c>
      <c r="D1363" s="57">
        <v>0</v>
      </c>
      <c r="E1363" s="57">
        <v>0</v>
      </c>
      <c r="F1363" s="57">
        <v>0</v>
      </c>
      <c r="G1363" s="57">
        <v>0</v>
      </c>
      <c r="H1363" s="58">
        <v>0.19549742330453901</v>
      </c>
      <c r="I1363" s="58">
        <v>0</v>
      </c>
      <c r="J1363" s="58">
        <v>0.19549742330453901</v>
      </c>
    </row>
    <row r="1364" spans="1:10" ht="11.25" customHeight="1" x14ac:dyDescent="0.2">
      <c r="A1364" s="67">
        <v>43862</v>
      </c>
      <c r="B1364" s="57">
        <v>234415</v>
      </c>
      <c r="C1364" s="57">
        <v>280242.52848393354</v>
      </c>
      <c r="D1364" s="57">
        <v>0</v>
      </c>
      <c r="E1364" s="57">
        <v>0</v>
      </c>
      <c r="F1364" s="57">
        <v>0</v>
      </c>
      <c r="G1364" s="57">
        <v>0</v>
      </c>
      <c r="H1364" s="58">
        <v>0.19549742330453901</v>
      </c>
      <c r="I1364" s="58">
        <v>0</v>
      </c>
      <c r="J1364" s="58">
        <v>0.19549742330453901</v>
      </c>
    </row>
    <row r="1365" spans="1:10" ht="11.25" customHeight="1" x14ac:dyDescent="0.2">
      <c r="A1365" s="67">
        <v>43891</v>
      </c>
      <c r="B1365" s="57">
        <v>234415</v>
      </c>
      <c r="C1365" s="57">
        <v>280242.52848393354</v>
      </c>
      <c r="D1365" s="57">
        <v>0</v>
      </c>
      <c r="E1365" s="57">
        <v>0</v>
      </c>
      <c r="F1365" s="57">
        <v>0</v>
      </c>
      <c r="G1365" s="57">
        <v>0</v>
      </c>
      <c r="H1365" s="58">
        <v>0.19549742330453901</v>
      </c>
      <c r="I1365" s="58">
        <v>0</v>
      </c>
      <c r="J1365" s="58">
        <v>0.19549742330453901</v>
      </c>
    </row>
    <row r="1366" spans="1:10" ht="11.25" customHeight="1" x14ac:dyDescent="0.2">
      <c r="A1366" s="67">
        <v>43922</v>
      </c>
      <c r="B1366" s="57">
        <v>234415</v>
      </c>
      <c r="C1366" s="57">
        <v>280242.52848393354</v>
      </c>
      <c r="D1366" s="57">
        <v>0</v>
      </c>
      <c r="E1366" s="57">
        <v>0</v>
      </c>
      <c r="F1366" s="57">
        <v>0</v>
      </c>
      <c r="G1366" s="57">
        <v>0</v>
      </c>
      <c r="H1366" s="58">
        <v>0.19549742330453901</v>
      </c>
      <c r="I1366" s="58">
        <v>0</v>
      </c>
      <c r="J1366" s="58">
        <v>0.19549742330453901</v>
      </c>
    </row>
    <row r="1367" spans="1:10" ht="11.25" customHeight="1" x14ac:dyDescent="0.2">
      <c r="A1367" s="67">
        <v>43952</v>
      </c>
      <c r="B1367" s="57">
        <v>234415</v>
      </c>
      <c r="C1367" s="57">
        <v>280242.52848393354</v>
      </c>
      <c r="D1367" s="57">
        <v>0</v>
      </c>
      <c r="E1367" s="57">
        <v>0</v>
      </c>
      <c r="F1367" s="57">
        <v>0</v>
      </c>
      <c r="G1367" s="57">
        <v>0</v>
      </c>
      <c r="H1367" s="58">
        <v>0.19549742330453901</v>
      </c>
      <c r="I1367" s="58">
        <v>0</v>
      </c>
      <c r="J1367" s="58">
        <v>0.19549742330453901</v>
      </c>
    </row>
    <row r="1368" spans="1:10" ht="11.25" customHeight="1" x14ac:dyDescent="0.2">
      <c r="A1368" s="67">
        <v>43983</v>
      </c>
      <c r="B1368" s="57">
        <v>234415</v>
      </c>
      <c r="C1368" s="57">
        <v>280242.52848393354</v>
      </c>
      <c r="D1368" s="57">
        <v>0</v>
      </c>
      <c r="E1368" s="57">
        <v>0</v>
      </c>
      <c r="F1368" s="57">
        <v>0</v>
      </c>
      <c r="G1368" s="57">
        <v>0</v>
      </c>
      <c r="H1368" s="58">
        <v>0.19549742330453901</v>
      </c>
      <c r="I1368" s="58">
        <v>0</v>
      </c>
      <c r="J1368" s="58">
        <v>0.19549742330453901</v>
      </c>
    </row>
    <row r="1369" spans="1:10" ht="11.25" customHeight="1" x14ac:dyDescent="0.2">
      <c r="A1369" s="67">
        <v>44013</v>
      </c>
      <c r="B1369" s="57">
        <v>234415</v>
      </c>
      <c r="C1369" s="57">
        <v>280242.52848393354</v>
      </c>
      <c r="D1369" s="57">
        <v>0</v>
      </c>
      <c r="E1369" s="57">
        <v>0</v>
      </c>
      <c r="F1369" s="57">
        <v>0</v>
      </c>
      <c r="G1369" s="57">
        <v>0</v>
      </c>
      <c r="H1369" s="58">
        <v>0.19549742330453901</v>
      </c>
      <c r="I1369" s="58">
        <v>0</v>
      </c>
      <c r="J1369" s="58">
        <v>0.19549742330453901</v>
      </c>
    </row>
    <row r="1370" spans="1:10" ht="11.25" customHeight="1" x14ac:dyDescent="0.2">
      <c r="A1370" s="67">
        <v>44044</v>
      </c>
      <c r="B1370" s="57">
        <v>234415</v>
      </c>
      <c r="C1370" s="57">
        <v>280242.52848393354</v>
      </c>
      <c r="D1370" s="57">
        <v>0</v>
      </c>
      <c r="E1370" s="57">
        <v>0</v>
      </c>
      <c r="F1370" s="57">
        <v>0</v>
      </c>
      <c r="G1370" s="57">
        <v>0</v>
      </c>
      <c r="H1370" s="58">
        <v>0.19549742330453901</v>
      </c>
      <c r="I1370" s="58">
        <v>0</v>
      </c>
      <c r="J1370" s="58">
        <v>0.19549742330453901</v>
      </c>
    </row>
    <row r="1371" spans="1:10" ht="11.25" customHeight="1" x14ac:dyDescent="0.2">
      <c r="A1371" s="67">
        <v>44075</v>
      </c>
      <c r="B1371" s="57">
        <v>234415</v>
      </c>
      <c r="C1371" s="57">
        <v>280242.52848393354</v>
      </c>
      <c r="D1371" s="57">
        <v>0</v>
      </c>
      <c r="E1371" s="57">
        <v>0</v>
      </c>
      <c r="F1371" s="57">
        <v>0</v>
      </c>
      <c r="G1371" s="57">
        <v>0</v>
      </c>
      <c r="H1371" s="58">
        <v>0.19549742330453901</v>
      </c>
      <c r="I1371" s="58">
        <v>0</v>
      </c>
      <c r="J1371" s="58">
        <v>0.19549742330453901</v>
      </c>
    </row>
    <row r="1372" spans="1:10" ht="11.25" customHeight="1" x14ac:dyDescent="0.2">
      <c r="A1372" s="65" t="s">
        <v>70</v>
      </c>
      <c r="B1372" s="57">
        <v>4616460</v>
      </c>
      <c r="C1372" s="57">
        <v>5505254.4536809102</v>
      </c>
      <c r="D1372" s="57">
        <v>0</v>
      </c>
      <c r="E1372" s="57">
        <v>0</v>
      </c>
      <c r="F1372" s="57">
        <v>0</v>
      </c>
      <c r="G1372" s="57">
        <v>0</v>
      </c>
      <c r="H1372" s="58">
        <v>0.19252727277630699</v>
      </c>
      <c r="I1372" s="58">
        <v>0</v>
      </c>
      <c r="J1372" s="58">
        <v>0.19252727277630699</v>
      </c>
    </row>
    <row r="1373" spans="1:10" ht="11.25" customHeight="1" x14ac:dyDescent="0.2">
      <c r="A1373" s="66" t="s">
        <v>25</v>
      </c>
      <c r="B1373" s="57">
        <v>4616460</v>
      </c>
      <c r="C1373" s="57">
        <v>5505254.4536809102</v>
      </c>
      <c r="D1373" s="57">
        <v>0</v>
      </c>
      <c r="E1373" s="57">
        <v>0</v>
      </c>
      <c r="F1373" s="57">
        <v>0</v>
      </c>
      <c r="G1373" s="57">
        <v>0</v>
      </c>
      <c r="H1373" s="58">
        <v>0.19252727277630699</v>
      </c>
      <c r="I1373" s="58">
        <v>0</v>
      </c>
      <c r="J1373" s="58">
        <v>0.19252727277630699</v>
      </c>
    </row>
    <row r="1374" spans="1:10" ht="11.25" customHeight="1" x14ac:dyDescent="0.2">
      <c r="A1374" s="67">
        <v>43739</v>
      </c>
      <c r="B1374" s="57">
        <v>384705</v>
      </c>
      <c r="C1374" s="57">
        <v>458771.20447340916</v>
      </c>
      <c r="D1374" s="57">
        <v>0</v>
      </c>
      <c r="E1374" s="57">
        <v>0</v>
      </c>
      <c r="F1374" s="57">
        <v>0</v>
      </c>
      <c r="G1374" s="57">
        <v>0</v>
      </c>
      <c r="H1374" s="58">
        <v>0.19252727277630699</v>
      </c>
      <c r="I1374" s="58">
        <v>0</v>
      </c>
      <c r="J1374" s="58">
        <v>0.19252727277630699</v>
      </c>
    </row>
    <row r="1375" spans="1:10" ht="11.25" customHeight="1" x14ac:dyDescent="0.2">
      <c r="A1375" s="67">
        <v>43770</v>
      </c>
      <c r="B1375" s="57">
        <v>384705</v>
      </c>
      <c r="C1375" s="57">
        <v>458771.20447340916</v>
      </c>
      <c r="D1375" s="57">
        <v>0</v>
      </c>
      <c r="E1375" s="57">
        <v>0</v>
      </c>
      <c r="F1375" s="57">
        <v>0</v>
      </c>
      <c r="G1375" s="57">
        <v>0</v>
      </c>
      <c r="H1375" s="58">
        <v>0.19252727277630699</v>
      </c>
      <c r="I1375" s="58">
        <v>0</v>
      </c>
      <c r="J1375" s="58">
        <v>0.19252727277630699</v>
      </c>
    </row>
    <row r="1376" spans="1:10" ht="11.25" customHeight="1" x14ac:dyDescent="0.2">
      <c r="A1376" s="67">
        <v>43800</v>
      </c>
      <c r="B1376" s="57">
        <v>384705</v>
      </c>
      <c r="C1376" s="57">
        <v>458771.20447340916</v>
      </c>
      <c r="D1376" s="57">
        <v>0</v>
      </c>
      <c r="E1376" s="57">
        <v>0</v>
      </c>
      <c r="F1376" s="57">
        <v>0</v>
      </c>
      <c r="G1376" s="57">
        <v>0</v>
      </c>
      <c r="H1376" s="58">
        <v>0.19252727277630699</v>
      </c>
      <c r="I1376" s="58">
        <v>0</v>
      </c>
      <c r="J1376" s="58">
        <v>0.19252727277630699</v>
      </c>
    </row>
    <row r="1377" spans="1:10" ht="11.25" customHeight="1" x14ac:dyDescent="0.2">
      <c r="A1377" s="67">
        <v>43831</v>
      </c>
      <c r="B1377" s="57">
        <v>384705</v>
      </c>
      <c r="C1377" s="57">
        <v>458771.20447340916</v>
      </c>
      <c r="D1377" s="57">
        <v>0</v>
      </c>
      <c r="E1377" s="57">
        <v>0</v>
      </c>
      <c r="F1377" s="57">
        <v>0</v>
      </c>
      <c r="G1377" s="57">
        <v>0</v>
      </c>
      <c r="H1377" s="58">
        <v>0.19252727277630699</v>
      </c>
      <c r="I1377" s="58">
        <v>0</v>
      </c>
      <c r="J1377" s="58">
        <v>0.19252727277630699</v>
      </c>
    </row>
    <row r="1378" spans="1:10" ht="11.25" customHeight="1" x14ac:dyDescent="0.2">
      <c r="A1378" s="67">
        <v>43862</v>
      </c>
      <c r="B1378" s="57">
        <v>384705</v>
      </c>
      <c r="C1378" s="57">
        <v>458771.20447340916</v>
      </c>
      <c r="D1378" s="57">
        <v>0</v>
      </c>
      <c r="E1378" s="57">
        <v>0</v>
      </c>
      <c r="F1378" s="57">
        <v>0</v>
      </c>
      <c r="G1378" s="57">
        <v>0</v>
      </c>
      <c r="H1378" s="58">
        <v>0.19252727277630699</v>
      </c>
      <c r="I1378" s="58">
        <v>0</v>
      </c>
      <c r="J1378" s="58">
        <v>0.19252727277630699</v>
      </c>
    </row>
    <row r="1379" spans="1:10" ht="11.25" customHeight="1" x14ac:dyDescent="0.2">
      <c r="A1379" s="67">
        <v>43891</v>
      </c>
      <c r="B1379" s="57">
        <v>384705</v>
      </c>
      <c r="C1379" s="57">
        <v>458771.20447340916</v>
      </c>
      <c r="D1379" s="57">
        <v>0</v>
      </c>
      <c r="E1379" s="57">
        <v>0</v>
      </c>
      <c r="F1379" s="57">
        <v>0</v>
      </c>
      <c r="G1379" s="57">
        <v>0</v>
      </c>
      <c r="H1379" s="58">
        <v>0.19252727277630699</v>
      </c>
      <c r="I1379" s="58">
        <v>0</v>
      </c>
      <c r="J1379" s="58">
        <v>0.19252727277630699</v>
      </c>
    </row>
    <row r="1380" spans="1:10" ht="11.25" customHeight="1" x14ac:dyDescent="0.2">
      <c r="A1380" s="67">
        <v>43922</v>
      </c>
      <c r="B1380" s="57">
        <v>384705</v>
      </c>
      <c r="C1380" s="57">
        <v>458771.20447340916</v>
      </c>
      <c r="D1380" s="57">
        <v>0</v>
      </c>
      <c r="E1380" s="57">
        <v>0</v>
      </c>
      <c r="F1380" s="57">
        <v>0</v>
      </c>
      <c r="G1380" s="57">
        <v>0</v>
      </c>
      <c r="H1380" s="58">
        <v>0.19252727277630699</v>
      </c>
      <c r="I1380" s="58">
        <v>0</v>
      </c>
      <c r="J1380" s="58">
        <v>0.19252727277630699</v>
      </c>
    </row>
    <row r="1381" spans="1:10" ht="11.25" customHeight="1" x14ac:dyDescent="0.2">
      <c r="A1381" s="67">
        <v>43952</v>
      </c>
      <c r="B1381" s="57">
        <v>384705</v>
      </c>
      <c r="C1381" s="57">
        <v>458771.20447340916</v>
      </c>
      <c r="D1381" s="57">
        <v>0</v>
      </c>
      <c r="E1381" s="57">
        <v>0</v>
      </c>
      <c r="F1381" s="57">
        <v>0</v>
      </c>
      <c r="G1381" s="57">
        <v>0</v>
      </c>
      <c r="H1381" s="58">
        <v>0.19252727277630699</v>
      </c>
      <c r="I1381" s="58">
        <v>0</v>
      </c>
      <c r="J1381" s="58">
        <v>0.19252727277630699</v>
      </c>
    </row>
    <row r="1382" spans="1:10" ht="11.25" customHeight="1" x14ac:dyDescent="0.2">
      <c r="A1382" s="67">
        <v>43983</v>
      </c>
      <c r="B1382" s="57">
        <v>384705</v>
      </c>
      <c r="C1382" s="57">
        <v>458771.20447340916</v>
      </c>
      <c r="D1382" s="57">
        <v>0</v>
      </c>
      <c r="E1382" s="57">
        <v>0</v>
      </c>
      <c r="F1382" s="57">
        <v>0</v>
      </c>
      <c r="G1382" s="57">
        <v>0</v>
      </c>
      <c r="H1382" s="58">
        <v>0.19252727277630699</v>
      </c>
      <c r="I1382" s="58">
        <v>0</v>
      </c>
      <c r="J1382" s="58">
        <v>0.19252727277630699</v>
      </c>
    </row>
    <row r="1383" spans="1:10" ht="11.25" customHeight="1" x14ac:dyDescent="0.2">
      <c r="A1383" s="67">
        <v>44013</v>
      </c>
      <c r="B1383" s="57">
        <v>384705</v>
      </c>
      <c r="C1383" s="57">
        <v>458771.20447340916</v>
      </c>
      <c r="D1383" s="57">
        <v>0</v>
      </c>
      <c r="E1383" s="57">
        <v>0</v>
      </c>
      <c r="F1383" s="57">
        <v>0</v>
      </c>
      <c r="G1383" s="57">
        <v>0</v>
      </c>
      <c r="H1383" s="58">
        <v>0.19252727277630699</v>
      </c>
      <c r="I1383" s="58">
        <v>0</v>
      </c>
      <c r="J1383" s="58">
        <v>0.19252727277630699</v>
      </c>
    </row>
    <row r="1384" spans="1:10" ht="11.25" customHeight="1" x14ac:dyDescent="0.2">
      <c r="A1384" s="67">
        <v>44044</v>
      </c>
      <c r="B1384" s="57">
        <v>384705</v>
      </c>
      <c r="C1384" s="57">
        <v>458771.20447340916</v>
      </c>
      <c r="D1384" s="57">
        <v>0</v>
      </c>
      <c r="E1384" s="57">
        <v>0</v>
      </c>
      <c r="F1384" s="57">
        <v>0</v>
      </c>
      <c r="G1384" s="57">
        <v>0</v>
      </c>
      <c r="H1384" s="58">
        <v>0.19252727277630699</v>
      </c>
      <c r="I1384" s="58">
        <v>0</v>
      </c>
      <c r="J1384" s="58">
        <v>0.19252727277630699</v>
      </c>
    </row>
    <row r="1385" spans="1:10" ht="11.25" customHeight="1" x14ac:dyDescent="0.2">
      <c r="A1385" s="67">
        <v>44075</v>
      </c>
      <c r="B1385" s="57">
        <v>384705</v>
      </c>
      <c r="C1385" s="57">
        <v>458771.20447340916</v>
      </c>
      <c r="D1385" s="57">
        <v>0</v>
      </c>
      <c r="E1385" s="57">
        <v>0</v>
      </c>
      <c r="F1385" s="57">
        <v>0</v>
      </c>
      <c r="G1385" s="57">
        <v>0</v>
      </c>
      <c r="H1385" s="58">
        <v>0.19252727277630699</v>
      </c>
      <c r="I1385" s="58">
        <v>0</v>
      </c>
      <c r="J1385" s="58">
        <v>0.19252727277630699</v>
      </c>
    </row>
    <row r="1386" spans="1:10" ht="11.25" customHeight="1" x14ac:dyDescent="0.2">
      <c r="A1386" s="60" t="s">
        <v>45</v>
      </c>
      <c r="B1386" s="57">
        <v>603007.20000000007</v>
      </c>
      <c r="C1386" s="57">
        <v>620778.37619003374</v>
      </c>
      <c r="D1386" s="57">
        <v>0</v>
      </c>
      <c r="E1386" s="57">
        <v>0</v>
      </c>
      <c r="F1386" s="57">
        <v>0</v>
      </c>
      <c r="G1386" s="57">
        <v>0</v>
      </c>
      <c r="H1386" s="58">
        <v>2.9470918738671248E-2</v>
      </c>
      <c r="I1386" s="58">
        <v>0</v>
      </c>
      <c r="J1386" s="58">
        <v>2.9470918738671248E-2</v>
      </c>
    </row>
    <row r="1387" spans="1:10" ht="11.25" customHeight="1" x14ac:dyDescent="0.2">
      <c r="A1387" s="61" t="s">
        <v>64</v>
      </c>
      <c r="B1387" s="57">
        <v>603007.20000000007</v>
      </c>
      <c r="C1387" s="57">
        <v>620778.37619003374</v>
      </c>
      <c r="D1387" s="57">
        <v>0</v>
      </c>
      <c r="E1387" s="57">
        <v>0</v>
      </c>
      <c r="F1387" s="57">
        <v>0</v>
      </c>
      <c r="G1387" s="57">
        <v>0</v>
      </c>
      <c r="H1387" s="58">
        <v>2.9470918738671248E-2</v>
      </c>
      <c r="I1387" s="58">
        <v>0</v>
      </c>
      <c r="J1387" s="58">
        <v>2.9470918738671248E-2</v>
      </c>
    </row>
    <row r="1388" spans="1:10" ht="11.25" customHeight="1" x14ac:dyDescent="0.2">
      <c r="A1388" s="62" t="s">
        <v>25</v>
      </c>
      <c r="B1388" s="57">
        <v>603007.20000000007</v>
      </c>
      <c r="C1388" s="57">
        <v>620778.37619003374</v>
      </c>
      <c r="D1388" s="57">
        <v>0</v>
      </c>
      <c r="E1388" s="57">
        <v>0</v>
      </c>
      <c r="F1388" s="57">
        <v>0</v>
      </c>
      <c r="G1388" s="57">
        <v>0</v>
      </c>
      <c r="H1388" s="58">
        <v>2.9470918738671248E-2</v>
      </c>
      <c r="I1388" s="58">
        <v>0</v>
      </c>
      <c r="J1388" s="58">
        <v>2.9470918738671248E-2</v>
      </c>
    </row>
    <row r="1389" spans="1:10" ht="11.25" customHeight="1" x14ac:dyDescent="0.2">
      <c r="A1389" s="63" t="s">
        <v>25</v>
      </c>
      <c r="B1389" s="57">
        <v>603007.20000000007</v>
      </c>
      <c r="C1389" s="57">
        <v>620778.37619003374</v>
      </c>
      <c r="D1389" s="57">
        <v>0</v>
      </c>
      <c r="E1389" s="57">
        <v>0</v>
      </c>
      <c r="F1389" s="57">
        <v>0</v>
      </c>
      <c r="G1389" s="57">
        <v>0</v>
      </c>
      <c r="H1389" s="58">
        <v>2.9470918738671248E-2</v>
      </c>
      <c r="I1389" s="58">
        <v>0</v>
      </c>
      <c r="J1389" s="58">
        <v>2.9470918738671248E-2</v>
      </c>
    </row>
    <row r="1390" spans="1:10" ht="11.25" customHeight="1" x14ac:dyDescent="0.2">
      <c r="A1390" s="64" t="s">
        <v>25</v>
      </c>
      <c r="B1390" s="57">
        <v>603007.20000000007</v>
      </c>
      <c r="C1390" s="57">
        <v>620778.37619003374</v>
      </c>
      <c r="D1390" s="57">
        <v>0</v>
      </c>
      <c r="E1390" s="57">
        <v>0</v>
      </c>
      <c r="F1390" s="57">
        <v>0</v>
      </c>
      <c r="G1390" s="57">
        <v>0</v>
      </c>
      <c r="H1390" s="58">
        <v>2.9470918738671248E-2</v>
      </c>
      <c r="I1390" s="58">
        <v>0</v>
      </c>
      <c r="J1390" s="58">
        <v>2.9470918738671248E-2</v>
      </c>
    </row>
    <row r="1391" spans="1:10" ht="11.25" customHeight="1" x14ac:dyDescent="0.2">
      <c r="A1391" s="65" t="s">
        <v>65</v>
      </c>
      <c r="B1391" s="57">
        <v>603007.20000000007</v>
      </c>
      <c r="C1391" s="57">
        <v>620778.37619003374</v>
      </c>
      <c r="D1391" s="57">
        <v>0</v>
      </c>
      <c r="E1391" s="57">
        <v>0</v>
      </c>
      <c r="F1391" s="57">
        <v>0</v>
      </c>
      <c r="G1391" s="57">
        <v>0</v>
      </c>
      <c r="H1391" s="58">
        <v>2.9470918738671248E-2</v>
      </c>
      <c r="I1391" s="58">
        <v>0</v>
      </c>
      <c r="J1391" s="58">
        <v>2.9470918738671248E-2</v>
      </c>
    </row>
    <row r="1392" spans="1:10" ht="11.25" customHeight="1" x14ac:dyDescent="0.2">
      <c r="A1392" s="66" t="s">
        <v>25</v>
      </c>
      <c r="B1392" s="57">
        <v>603007.20000000007</v>
      </c>
      <c r="C1392" s="57">
        <v>620778.37619003374</v>
      </c>
      <c r="D1392" s="57">
        <v>0</v>
      </c>
      <c r="E1392" s="57">
        <v>0</v>
      </c>
      <c r="F1392" s="57">
        <v>0</v>
      </c>
      <c r="G1392" s="57">
        <v>0</v>
      </c>
      <c r="H1392" s="58">
        <v>2.9470918738671248E-2</v>
      </c>
      <c r="I1392" s="58">
        <v>0</v>
      </c>
      <c r="J1392" s="58">
        <v>2.9470918738671248E-2</v>
      </c>
    </row>
    <row r="1393" spans="1:10" ht="11.25" customHeight="1" x14ac:dyDescent="0.2">
      <c r="A1393" s="67">
        <v>43739</v>
      </c>
      <c r="B1393" s="57">
        <v>54129.599999999999</v>
      </c>
      <c r="C1393" s="57">
        <v>55724.849042956797</v>
      </c>
      <c r="D1393" s="57">
        <v>0</v>
      </c>
      <c r="E1393" s="57">
        <v>0</v>
      </c>
      <c r="F1393" s="57">
        <v>0</v>
      </c>
      <c r="G1393" s="57">
        <v>0</v>
      </c>
      <c r="H1393" s="58">
        <v>2.9470918738671692E-2</v>
      </c>
      <c r="I1393" s="58">
        <v>0</v>
      </c>
      <c r="J1393" s="58">
        <v>2.9470918738671692E-2</v>
      </c>
    </row>
    <row r="1394" spans="1:10" ht="11.25" customHeight="1" x14ac:dyDescent="0.2">
      <c r="A1394" s="67">
        <v>43770</v>
      </c>
      <c r="B1394" s="57">
        <v>50241.599999999999</v>
      </c>
      <c r="C1394" s="57">
        <v>51722.26611090084</v>
      </c>
      <c r="D1394" s="57">
        <v>0</v>
      </c>
      <c r="E1394" s="57">
        <v>0</v>
      </c>
      <c r="F1394" s="57">
        <v>0</v>
      </c>
      <c r="G1394" s="57">
        <v>0</v>
      </c>
      <c r="H1394" s="58">
        <v>2.947091873867147E-2</v>
      </c>
      <c r="I1394" s="58">
        <v>0</v>
      </c>
      <c r="J1394" s="58">
        <v>2.947091873867147E-2</v>
      </c>
    </row>
    <row r="1395" spans="1:10" ht="11.25" customHeight="1" x14ac:dyDescent="0.2">
      <c r="A1395" s="67">
        <v>43800</v>
      </c>
      <c r="B1395" s="57">
        <v>50483.520000000004</v>
      </c>
      <c r="C1395" s="57">
        <v>51971.315715562101</v>
      </c>
      <c r="D1395" s="57">
        <v>0</v>
      </c>
      <c r="E1395" s="57">
        <v>0</v>
      </c>
      <c r="F1395" s="57">
        <v>0</v>
      </c>
      <c r="G1395" s="57">
        <v>0</v>
      </c>
      <c r="H1395" s="58">
        <v>2.947091873867147E-2</v>
      </c>
      <c r="I1395" s="58">
        <v>0</v>
      </c>
      <c r="J1395" s="58">
        <v>2.947091873867147E-2</v>
      </c>
    </row>
    <row r="1396" spans="1:10" ht="11.25" customHeight="1" x14ac:dyDescent="0.2">
      <c r="A1396" s="67">
        <v>43831</v>
      </c>
      <c r="B1396" s="57">
        <v>49934.879999999997</v>
      </c>
      <c r="C1396" s="57">
        <v>51406.506790705309</v>
      </c>
      <c r="D1396" s="57">
        <v>0</v>
      </c>
      <c r="E1396" s="57">
        <v>0</v>
      </c>
      <c r="F1396" s="57">
        <v>0</v>
      </c>
      <c r="G1396" s="57">
        <v>0</v>
      </c>
      <c r="H1396" s="58">
        <v>2.947091873867147E-2</v>
      </c>
      <c r="I1396" s="58">
        <v>0</v>
      </c>
      <c r="J1396" s="58">
        <v>2.947091873867147E-2</v>
      </c>
    </row>
    <row r="1397" spans="1:10" ht="11.25" customHeight="1" x14ac:dyDescent="0.2">
      <c r="A1397" s="67">
        <v>43862</v>
      </c>
      <c r="B1397" s="57">
        <v>49939.200000000004</v>
      </c>
      <c r="C1397" s="57">
        <v>51410.954105074263</v>
      </c>
      <c r="D1397" s="57">
        <v>0</v>
      </c>
      <c r="E1397" s="57">
        <v>0</v>
      </c>
      <c r="F1397" s="57">
        <v>0</v>
      </c>
      <c r="G1397" s="57">
        <v>0</v>
      </c>
      <c r="H1397" s="58">
        <v>2.947091873867147E-2</v>
      </c>
      <c r="I1397" s="58">
        <v>0</v>
      </c>
      <c r="J1397" s="58">
        <v>2.947091873867147E-2</v>
      </c>
    </row>
    <row r="1398" spans="1:10" ht="11.25" customHeight="1" x14ac:dyDescent="0.2">
      <c r="A1398" s="67">
        <v>43891</v>
      </c>
      <c r="B1398" s="57">
        <v>49865.760000000002</v>
      </c>
      <c r="C1398" s="57">
        <v>51335.349760802099</v>
      </c>
      <c r="D1398" s="57">
        <v>0</v>
      </c>
      <c r="E1398" s="57">
        <v>0</v>
      </c>
      <c r="F1398" s="57">
        <v>0</v>
      </c>
      <c r="G1398" s="57">
        <v>0</v>
      </c>
      <c r="H1398" s="58">
        <v>2.947091873867147E-2</v>
      </c>
      <c r="I1398" s="58">
        <v>0</v>
      </c>
      <c r="J1398" s="58">
        <v>2.947091873867147E-2</v>
      </c>
    </row>
    <row r="1399" spans="1:10" ht="11.25" customHeight="1" x14ac:dyDescent="0.2">
      <c r="A1399" s="67">
        <v>43922</v>
      </c>
      <c r="B1399" s="57">
        <v>49904.639999999999</v>
      </c>
      <c r="C1399" s="57">
        <v>51375.375590122654</v>
      </c>
      <c r="D1399" s="57">
        <v>0</v>
      </c>
      <c r="E1399" s="57">
        <v>0</v>
      </c>
      <c r="F1399" s="57">
        <v>0</v>
      </c>
      <c r="G1399" s="57">
        <v>0</v>
      </c>
      <c r="H1399" s="58">
        <v>2.947091873867147E-2</v>
      </c>
      <c r="I1399" s="58">
        <v>0</v>
      </c>
      <c r="J1399" s="58">
        <v>2.947091873867147E-2</v>
      </c>
    </row>
    <row r="1400" spans="1:10" ht="11.25" customHeight="1" x14ac:dyDescent="0.2">
      <c r="A1400" s="67">
        <v>43952</v>
      </c>
      <c r="B1400" s="57">
        <v>49934.879999999997</v>
      </c>
      <c r="C1400" s="57">
        <v>51406.506790705309</v>
      </c>
      <c r="D1400" s="57">
        <v>0</v>
      </c>
      <c r="E1400" s="57">
        <v>0</v>
      </c>
      <c r="F1400" s="57">
        <v>0</v>
      </c>
      <c r="G1400" s="57">
        <v>0</v>
      </c>
      <c r="H1400" s="58">
        <v>2.947091873867147E-2</v>
      </c>
      <c r="I1400" s="58">
        <v>0</v>
      </c>
      <c r="J1400" s="58">
        <v>2.947091873867147E-2</v>
      </c>
    </row>
    <row r="1401" spans="1:10" ht="11.25" customHeight="1" x14ac:dyDescent="0.2">
      <c r="A1401" s="67">
        <v>43983</v>
      </c>
      <c r="B1401" s="57">
        <v>49723.200000000004</v>
      </c>
      <c r="C1401" s="57">
        <v>51188.58838662671</v>
      </c>
      <c r="D1401" s="57">
        <v>0</v>
      </c>
      <c r="E1401" s="57">
        <v>0</v>
      </c>
      <c r="F1401" s="57">
        <v>0</v>
      </c>
      <c r="G1401" s="57">
        <v>0</v>
      </c>
      <c r="H1401" s="58">
        <v>2.947091873867147E-2</v>
      </c>
      <c r="I1401" s="58">
        <v>0</v>
      </c>
      <c r="J1401" s="58">
        <v>2.947091873867147E-2</v>
      </c>
    </row>
    <row r="1402" spans="1:10" ht="11.25" customHeight="1" x14ac:dyDescent="0.2">
      <c r="A1402" s="67">
        <v>44013</v>
      </c>
      <c r="B1402" s="57">
        <v>49645.440000000002</v>
      </c>
      <c r="C1402" s="57">
        <v>51108.536727985593</v>
      </c>
      <c r="D1402" s="57">
        <v>0</v>
      </c>
      <c r="E1402" s="57">
        <v>0</v>
      </c>
      <c r="F1402" s="57">
        <v>0</v>
      </c>
      <c r="G1402" s="57">
        <v>0</v>
      </c>
      <c r="H1402" s="58">
        <v>2.947091873867147E-2</v>
      </c>
      <c r="I1402" s="58">
        <v>0</v>
      </c>
      <c r="J1402" s="58">
        <v>2.947091873867147E-2</v>
      </c>
    </row>
    <row r="1403" spans="1:10" ht="11.25" customHeight="1" x14ac:dyDescent="0.2">
      <c r="A1403" s="67">
        <v>44044</v>
      </c>
      <c r="B1403" s="57">
        <v>49602.239999999998</v>
      </c>
      <c r="C1403" s="57">
        <v>51064.063584296084</v>
      </c>
      <c r="D1403" s="57">
        <v>0</v>
      </c>
      <c r="E1403" s="57">
        <v>0</v>
      </c>
      <c r="F1403" s="57">
        <v>0</v>
      </c>
      <c r="G1403" s="57">
        <v>0</v>
      </c>
      <c r="H1403" s="58">
        <v>2.9470918738671692E-2</v>
      </c>
      <c r="I1403" s="58">
        <v>0</v>
      </c>
      <c r="J1403" s="58">
        <v>2.9470918738671692E-2</v>
      </c>
    </row>
    <row r="1404" spans="1:10" ht="11.25" customHeight="1" x14ac:dyDescent="0.2">
      <c r="A1404" s="67">
        <v>44075</v>
      </c>
      <c r="B1404" s="57">
        <v>49602.239999999998</v>
      </c>
      <c r="C1404" s="57">
        <v>51064.063584296084</v>
      </c>
      <c r="D1404" s="57">
        <v>0</v>
      </c>
      <c r="E1404" s="57">
        <v>0</v>
      </c>
      <c r="F1404" s="57">
        <v>0</v>
      </c>
      <c r="G1404" s="57">
        <v>0</v>
      </c>
      <c r="H1404" s="58">
        <v>2.9470918738671692E-2</v>
      </c>
      <c r="I1404" s="58">
        <v>0</v>
      </c>
      <c r="J1404" s="58">
        <v>2.9470918738671692E-2</v>
      </c>
    </row>
    <row r="1405" spans="1:10" ht="11.25" customHeight="1" x14ac:dyDescent="0.2">
      <c r="A1405" s="59" t="s">
        <v>60</v>
      </c>
      <c r="B1405" s="57">
        <v>26473224.60429655</v>
      </c>
      <c r="C1405" s="57">
        <v>33776304.625972524</v>
      </c>
      <c r="D1405" s="57">
        <v>61867288.228616633</v>
      </c>
      <c r="E1405" s="57">
        <v>64583767.80834768</v>
      </c>
      <c r="F1405" s="57">
        <v>0</v>
      </c>
      <c r="G1405" s="57">
        <v>0</v>
      </c>
      <c r="H1405" s="58">
        <v>0.11341975816189764</v>
      </c>
      <c r="I1405" s="58">
        <v>0</v>
      </c>
      <c r="J1405" s="58">
        <v>0.11341975816189764</v>
      </c>
    </row>
    <row r="1406" spans="1:10" ht="11.25" customHeight="1" x14ac:dyDescent="0.2">
      <c r="A1406" s="60" t="s">
        <v>43</v>
      </c>
      <c r="B1406" s="57">
        <v>5756040</v>
      </c>
      <c r="C1406" s="57">
        <v>8513881.4119944759</v>
      </c>
      <c r="D1406" s="57">
        <v>17120220.214650001</v>
      </c>
      <c r="E1406" s="57">
        <v>17495274.577069636</v>
      </c>
      <c r="F1406" s="57">
        <v>0</v>
      </c>
      <c r="G1406" s="57">
        <v>0</v>
      </c>
      <c r="H1406" s="58">
        <v>0.13694964758303452</v>
      </c>
      <c r="I1406" s="58">
        <v>0</v>
      </c>
      <c r="J1406" s="58">
        <v>0.13694964758303452</v>
      </c>
    </row>
    <row r="1407" spans="1:10" ht="11.25" customHeight="1" x14ac:dyDescent="0.2">
      <c r="A1407" s="61" t="s">
        <v>41</v>
      </c>
      <c r="B1407" s="57">
        <v>5756040</v>
      </c>
      <c r="C1407" s="57">
        <v>8513881.4119944759</v>
      </c>
      <c r="D1407" s="57">
        <v>17120220.214650001</v>
      </c>
      <c r="E1407" s="57">
        <v>17495274.577069636</v>
      </c>
      <c r="F1407" s="57">
        <v>0</v>
      </c>
      <c r="G1407" s="57">
        <v>0</v>
      </c>
      <c r="H1407" s="58">
        <v>0.13694964758303452</v>
      </c>
      <c r="I1407" s="58">
        <v>0</v>
      </c>
      <c r="J1407" s="58">
        <v>0.13694964758303452</v>
      </c>
    </row>
    <row r="1408" spans="1:10" ht="11.25" customHeight="1" x14ac:dyDescent="0.2">
      <c r="A1408" s="62" t="s">
        <v>40</v>
      </c>
      <c r="B1408" s="57">
        <v>5756040</v>
      </c>
      <c r="C1408" s="57">
        <v>8513881.4119944759</v>
      </c>
      <c r="D1408" s="57">
        <v>17120220.214650001</v>
      </c>
      <c r="E1408" s="57">
        <v>17495274.577069636</v>
      </c>
      <c r="F1408" s="57">
        <v>0</v>
      </c>
      <c r="G1408" s="57">
        <v>0</v>
      </c>
      <c r="H1408" s="58">
        <v>0.13694964758303452</v>
      </c>
      <c r="I1408" s="58">
        <v>0</v>
      </c>
      <c r="J1408" s="58">
        <v>0.13694964758303452</v>
      </c>
    </row>
    <row r="1409" spans="1:10" ht="11.25" customHeight="1" x14ac:dyDescent="0.2">
      <c r="A1409" s="63" t="s">
        <v>25</v>
      </c>
      <c r="B1409" s="57">
        <v>5756040</v>
      </c>
      <c r="C1409" s="57">
        <v>8513881.4119944759</v>
      </c>
      <c r="D1409" s="57">
        <v>17120220.214650001</v>
      </c>
      <c r="E1409" s="57">
        <v>17495274.577069636</v>
      </c>
      <c r="F1409" s="57">
        <v>0</v>
      </c>
      <c r="G1409" s="57">
        <v>0</v>
      </c>
      <c r="H1409" s="58">
        <v>0.13694964758303452</v>
      </c>
      <c r="I1409" s="58">
        <v>0</v>
      </c>
      <c r="J1409" s="58">
        <v>0.13694964758303452</v>
      </c>
    </row>
    <row r="1410" spans="1:10" ht="11.25" customHeight="1" x14ac:dyDescent="0.2">
      <c r="A1410" s="64" t="s">
        <v>25</v>
      </c>
      <c r="B1410" s="57">
        <v>5756040</v>
      </c>
      <c r="C1410" s="57">
        <v>8513881.4119944759</v>
      </c>
      <c r="D1410" s="57">
        <v>17120220.214650001</v>
      </c>
      <c r="E1410" s="57">
        <v>17495274.577069636</v>
      </c>
      <c r="F1410" s="57">
        <v>0</v>
      </c>
      <c r="G1410" s="57">
        <v>0</v>
      </c>
      <c r="H1410" s="58">
        <v>0.13694964758303452</v>
      </c>
      <c r="I1410" s="58">
        <v>0</v>
      </c>
      <c r="J1410" s="58">
        <v>0.13694964758303452</v>
      </c>
    </row>
    <row r="1411" spans="1:10" ht="11.25" customHeight="1" x14ac:dyDescent="0.2">
      <c r="A1411" s="65" t="s">
        <v>25</v>
      </c>
      <c r="B1411" s="57">
        <v>5756040</v>
      </c>
      <c r="C1411" s="57">
        <v>8513881.4119944759</v>
      </c>
      <c r="D1411" s="57">
        <v>17120220.214650001</v>
      </c>
      <c r="E1411" s="57">
        <v>17495274.577069636</v>
      </c>
      <c r="F1411" s="57">
        <v>0</v>
      </c>
      <c r="G1411" s="57">
        <v>0</v>
      </c>
      <c r="H1411" s="58">
        <v>0.13694964758303452</v>
      </c>
      <c r="I1411" s="58">
        <v>0</v>
      </c>
      <c r="J1411" s="58">
        <v>0.13694964758303452</v>
      </c>
    </row>
    <row r="1412" spans="1:10" ht="11.25" customHeight="1" x14ac:dyDescent="0.2">
      <c r="A1412" s="66" t="s">
        <v>36</v>
      </c>
      <c r="B1412" s="57">
        <v>3369600</v>
      </c>
      <c r="C1412" s="57">
        <v>5168199.9350383133</v>
      </c>
      <c r="D1412" s="57">
        <v>0</v>
      </c>
      <c r="E1412" s="57">
        <v>0</v>
      </c>
      <c r="F1412" s="57">
        <v>0</v>
      </c>
      <c r="G1412" s="57">
        <v>0</v>
      </c>
      <c r="H1412" s="58">
        <v>0.53377253532713476</v>
      </c>
      <c r="I1412" s="58">
        <v>0</v>
      </c>
      <c r="J1412" s="58">
        <v>0.53377253532713476</v>
      </c>
    </row>
    <row r="1413" spans="1:10" ht="11.25" customHeight="1" x14ac:dyDescent="0.2">
      <c r="A1413" s="67">
        <v>43739</v>
      </c>
      <c r="B1413" s="57">
        <v>280800</v>
      </c>
      <c r="C1413" s="57">
        <v>430683.32791985944</v>
      </c>
      <c r="D1413" s="57">
        <v>0</v>
      </c>
      <c r="E1413" s="57">
        <v>0</v>
      </c>
      <c r="F1413" s="57">
        <v>0</v>
      </c>
      <c r="G1413" s="57">
        <v>0</v>
      </c>
      <c r="H1413" s="58">
        <v>0.53377253532713476</v>
      </c>
      <c r="I1413" s="58">
        <v>0</v>
      </c>
      <c r="J1413" s="58">
        <v>0.53377253532713476</v>
      </c>
    </row>
    <row r="1414" spans="1:10" ht="11.25" customHeight="1" x14ac:dyDescent="0.2">
      <c r="A1414" s="67">
        <v>43770</v>
      </c>
      <c r="B1414" s="57">
        <v>280800</v>
      </c>
      <c r="C1414" s="57">
        <v>430683.32791985944</v>
      </c>
      <c r="D1414" s="57">
        <v>0</v>
      </c>
      <c r="E1414" s="57">
        <v>0</v>
      </c>
      <c r="F1414" s="57">
        <v>0</v>
      </c>
      <c r="G1414" s="57">
        <v>0</v>
      </c>
      <c r="H1414" s="58">
        <v>0.53377253532713476</v>
      </c>
      <c r="I1414" s="58">
        <v>0</v>
      </c>
      <c r="J1414" s="58">
        <v>0.53377253532713476</v>
      </c>
    </row>
    <row r="1415" spans="1:10" ht="11.25" customHeight="1" x14ac:dyDescent="0.2">
      <c r="A1415" s="67">
        <v>43800</v>
      </c>
      <c r="B1415" s="57">
        <v>280800</v>
      </c>
      <c r="C1415" s="57">
        <v>430683.32791985944</v>
      </c>
      <c r="D1415" s="57">
        <v>0</v>
      </c>
      <c r="E1415" s="57">
        <v>0</v>
      </c>
      <c r="F1415" s="57">
        <v>0</v>
      </c>
      <c r="G1415" s="57">
        <v>0</v>
      </c>
      <c r="H1415" s="58">
        <v>0.53377253532713476</v>
      </c>
      <c r="I1415" s="58">
        <v>0</v>
      </c>
      <c r="J1415" s="58">
        <v>0.53377253532713476</v>
      </c>
    </row>
    <row r="1416" spans="1:10" ht="11.25" customHeight="1" x14ac:dyDescent="0.2">
      <c r="A1416" s="67">
        <v>43831</v>
      </c>
      <c r="B1416" s="57">
        <v>280800</v>
      </c>
      <c r="C1416" s="57">
        <v>430683.32791985944</v>
      </c>
      <c r="D1416" s="57">
        <v>0</v>
      </c>
      <c r="E1416" s="57">
        <v>0</v>
      </c>
      <c r="F1416" s="57">
        <v>0</v>
      </c>
      <c r="G1416" s="57">
        <v>0</v>
      </c>
      <c r="H1416" s="58">
        <v>0.53377253532713476</v>
      </c>
      <c r="I1416" s="58">
        <v>0</v>
      </c>
      <c r="J1416" s="58">
        <v>0.53377253532713476</v>
      </c>
    </row>
    <row r="1417" spans="1:10" ht="11.25" customHeight="1" x14ac:dyDescent="0.2">
      <c r="A1417" s="67">
        <v>43862</v>
      </c>
      <c r="B1417" s="57">
        <v>280800</v>
      </c>
      <c r="C1417" s="57">
        <v>430683.32791985944</v>
      </c>
      <c r="D1417" s="57">
        <v>0</v>
      </c>
      <c r="E1417" s="57">
        <v>0</v>
      </c>
      <c r="F1417" s="57">
        <v>0</v>
      </c>
      <c r="G1417" s="57">
        <v>0</v>
      </c>
      <c r="H1417" s="58">
        <v>0.53377253532713476</v>
      </c>
      <c r="I1417" s="58">
        <v>0</v>
      </c>
      <c r="J1417" s="58">
        <v>0.53377253532713476</v>
      </c>
    </row>
    <row r="1418" spans="1:10" ht="11.25" customHeight="1" x14ac:dyDescent="0.2">
      <c r="A1418" s="67">
        <v>43891</v>
      </c>
      <c r="B1418" s="57">
        <v>280800</v>
      </c>
      <c r="C1418" s="57">
        <v>430683.32791985944</v>
      </c>
      <c r="D1418" s="57">
        <v>0</v>
      </c>
      <c r="E1418" s="57">
        <v>0</v>
      </c>
      <c r="F1418" s="57">
        <v>0</v>
      </c>
      <c r="G1418" s="57">
        <v>0</v>
      </c>
      <c r="H1418" s="58">
        <v>0.53377253532713476</v>
      </c>
      <c r="I1418" s="58">
        <v>0</v>
      </c>
      <c r="J1418" s="58">
        <v>0.53377253532713476</v>
      </c>
    </row>
    <row r="1419" spans="1:10" ht="11.25" customHeight="1" x14ac:dyDescent="0.2">
      <c r="A1419" s="67">
        <v>43922</v>
      </c>
      <c r="B1419" s="57">
        <v>280800</v>
      </c>
      <c r="C1419" s="57">
        <v>430683.32791985944</v>
      </c>
      <c r="D1419" s="57">
        <v>0</v>
      </c>
      <c r="E1419" s="57">
        <v>0</v>
      </c>
      <c r="F1419" s="57">
        <v>0</v>
      </c>
      <c r="G1419" s="57">
        <v>0</v>
      </c>
      <c r="H1419" s="58">
        <v>0.53377253532713476</v>
      </c>
      <c r="I1419" s="58">
        <v>0</v>
      </c>
      <c r="J1419" s="58">
        <v>0.53377253532713476</v>
      </c>
    </row>
    <row r="1420" spans="1:10" ht="11.25" customHeight="1" x14ac:dyDescent="0.2">
      <c r="A1420" s="67">
        <v>43952</v>
      </c>
      <c r="B1420" s="57">
        <v>280800</v>
      </c>
      <c r="C1420" s="57">
        <v>430683.32791985944</v>
      </c>
      <c r="D1420" s="57">
        <v>0</v>
      </c>
      <c r="E1420" s="57">
        <v>0</v>
      </c>
      <c r="F1420" s="57">
        <v>0</v>
      </c>
      <c r="G1420" s="57">
        <v>0</v>
      </c>
      <c r="H1420" s="58">
        <v>0.53377253532713476</v>
      </c>
      <c r="I1420" s="58">
        <v>0</v>
      </c>
      <c r="J1420" s="58">
        <v>0.53377253532713476</v>
      </c>
    </row>
    <row r="1421" spans="1:10" ht="11.25" customHeight="1" x14ac:dyDescent="0.2">
      <c r="A1421" s="67">
        <v>43983</v>
      </c>
      <c r="B1421" s="57">
        <v>280800</v>
      </c>
      <c r="C1421" s="57">
        <v>430683.32791985944</v>
      </c>
      <c r="D1421" s="57">
        <v>0</v>
      </c>
      <c r="E1421" s="57">
        <v>0</v>
      </c>
      <c r="F1421" s="57">
        <v>0</v>
      </c>
      <c r="G1421" s="57">
        <v>0</v>
      </c>
      <c r="H1421" s="58">
        <v>0.53377253532713476</v>
      </c>
      <c r="I1421" s="58">
        <v>0</v>
      </c>
      <c r="J1421" s="58">
        <v>0.53377253532713476</v>
      </c>
    </row>
    <row r="1422" spans="1:10" ht="11.25" customHeight="1" x14ac:dyDescent="0.2">
      <c r="A1422" s="67">
        <v>44013</v>
      </c>
      <c r="B1422" s="57">
        <v>280800</v>
      </c>
      <c r="C1422" s="57">
        <v>430683.32791985944</v>
      </c>
      <c r="D1422" s="57">
        <v>0</v>
      </c>
      <c r="E1422" s="57">
        <v>0</v>
      </c>
      <c r="F1422" s="57">
        <v>0</v>
      </c>
      <c r="G1422" s="57">
        <v>0</v>
      </c>
      <c r="H1422" s="58">
        <v>0.53377253532713476</v>
      </c>
      <c r="I1422" s="58">
        <v>0</v>
      </c>
      <c r="J1422" s="58">
        <v>0.53377253532713476</v>
      </c>
    </row>
    <row r="1423" spans="1:10" ht="11.25" customHeight="1" x14ac:dyDescent="0.2">
      <c r="A1423" s="67">
        <v>44044</v>
      </c>
      <c r="B1423" s="57">
        <v>280800</v>
      </c>
      <c r="C1423" s="57">
        <v>430683.32791985944</v>
      </c>
      <c r="D1423" s="57">
        <v>0</v>
      </c>
      <c r="E1423" s="57">
        <v>0</v>
      </c>
      <c r="F1423" s="57">
        <v>0</v>
      </c>
      <c r="G1423" s="57">
        <v>0</v>
      </c>
      <c r="H1423" s="58">
        <v>0.53377253532713476</v>
      </c>
      <c r="I1423" s="58">
        <v>0</v>
      </c>
      <c r="J1423" s="58">
        <v>0.53377253532713476</v>
      </c>
    </row>
    <row r="1424" spans="1:10" ht="11.25" customHeight="1" x14ac:dyDescent="0.2">
      <c r="A1424" s="67">
        <v>44075</v>
      </c>
      <c r="B1424" s="57">
        <v>280800</v>
      </c>
      <c r="C1424" s="57">
        <v>430683.32791985944</v>
      </c>
      <c r="D1424" s="57">
        <v>0</v>
      </c>
      <c r="E1424" s="57">
        <v>0</v>
      </c>
      <c r="F1424" s="57">
        <v>0</v>
      </c>
      <c r="G1424" s="57">
        <v>0</v>
      </c>
      <c r="H1424" s="58">
        <v>0.53377253532713476</v>
      </c>
      <c r="I1424" s="58">
        <v>0</v>
      </c>
      <c r="J1424" s="58">
        <v>0.53377253532713476</v>
      </c>
    </row>
    <row r="1425" spans="1:10" ht="11.25" customHeight="1" x14ac:dyDescent="0.2">
      <c r="A1425" s="66" t="s">
        <v>25</v>
      </c>
      <c r="B1425" s="57">
        <v>0</v>
      </c>
      <c r="C1425" s="57">
        <v>0</v>
      </c>
      <c r="D1425" s="57">
        <v>17120220.214650001</v>
      </c>
      <c r="E1425" s="57">
        <v>17495274.577069636</v>
      </c>
      <c r="F1425" s="57">
        <v>0</v>
      </c>
      <c r="G1425" s="57">
        <v>0</v>
      </c>
      <c r="H1425" s="58">
        <v>2.1907099191323276E-2</v>
      </c>
      <c r="I1425" s="58">
        <v>0</v>
      </c>
      <c r="J1425" s="58">
        <v>2.1907099191323276E-2</v>
      </c>
    </row>
    <row r="1426" spans="1:10" ht="11.25" customHeight="1" x14ac:dyDescent="0.2">
      <c r="A1426" s="67">
        <v>43739</v>
      </c>
      <c r="B1426" s="57">
        <v>0</v>
      </c>
      <c r="C1426" s="57">
        <v>0</v>
      </c>
      <c r="D1426" s="57">
        <v>1285934.7290999999</v>
      </c>
      <c r="E1426" s="57">
        <v>1314105.8287639613</v>
      </c>
      <c r="F1426" s="57">
        <v>0</v>
      </c>
      <c r="G1426" s="57">
        <v>0</v>
      </c>
      <c r="H1426" s="58">
        <v>2.1907099191323498E-2</v>
      </c>
      <c r="I1426" s="58">
        <v>0</v>
      </c>
      <c r="J1426" s="58">
        <v>2.1907099191323498E-2</v>
      </c>
    </row>
    <row r="1427" spans="1:10" ht="11.25" customHeight="1" x14ac:dyDescent="0.2">
      <c r="A1427" s="67">
        <v>43770</v>
      </c>
      <c r="B1427" s="57">
        <v>0</v>
      </c>
      <c r="C1427" s="57">
        <v>0</v>
      </c>
      <c r="D1427" s="57">
        <v>1278077.6046499999</v>
      </c>
      <c r="E1427" s="57">
        <v>1306076.5775092766</v>
      </c>
      <c r="F1427" s="57">
        <v>0</v>
      </c>
      <c r="G1427" s="57">
        <v>0</v>
      </c>
      <c r="H1427" s="58">
        <v>2.1907099191323498E-2</v>
      </c>
      <c r="I1427" s="58">
        <v>0</v>
      </c>
      <c r="J1427" s="58">
        <v>2.1907099191323498E-2</v>
      </c>
    </row>
    <row r="1428" spans="1:10" ht="11.25" customHeight="1" x14ac:dyDescent="0.2">
      <c r="A1428" s="67">
        <v>43800</v>
      </c>
      <c r="B1428" s="57">
        <v>0</v>
      </c>
      <c r="C1428" s="57">
        <v>0</v>
      </c>
      <c r="D1428" s="57">
        <v>1233031.8160999999</v>
      </c>
      <c r="E1428" s="57">
        <v>1260043.9664013605</v>
      </c>
      <c r="F1428" s="57">
        <v>0</v>
      </c>
      <c r="G1428" s="57">
        <v>0</v>
      </c>
      <c r="H1428" s="58">
        <v>2.1907099191323498E-2</v>
      </c>
      <c r="I1428" s="58">
        <v>0</v>
      </c>
      <c r="J1428" s="58">
        <v>2.1907099191323498E-2</v>
      </c>
    </row>
    <row r="1429" spans="1:10" ht="11.25" customHeight="1" x14ac:dyDescent="0.2">
      <c r="A1429" s="67">
        <v>43831</v>
      </c>
      <c r="B1429" s="57">
        <v>0</v>
      </c>
      <c r="C1429" s="57">
        <v>0</v>
      </c>
      <c r="D1429" s="57">
        <v>1266764.6435499999</v>
      </c>
      <c r="E1429" s="57">
        <v>1294515.7822483112</v>
      </c>
      <c r="F1429" s="57">
        <v>0</v>
      </c>
      <c r="G1429" s="57">
        <v>0</v>
      </c>
      <c r="H1429" s="58">
        <v>2.1907099191323498E-2</v>
      </c>
      <c r="I1429" s="58">
        <v>0</v>
      </c>
      <c r="J1429" s="58">
        <v>2.1907099191323498E-2</v>
      </c>
    </row>
    <row r="1430" spans="1:10" ht="11.25" customHeight="1" x14ac:dyDescent="0.2">
      <c r="A1430" s="67">
        <v>43862</v>
      </c>
      <c r="B1430" s="57">
        <v>0</v>
      </c>
      <c r="C1430" s="57">
        <v>0</v>
      </c>
      <c r="D1430" s="57">
        <v>1238862.3383499999</v>
      </c>
      <c r="E1430" s="57">
        <v>1266002.2184806282</v>
      </c>
      <c r="F1430" s="57">
        <v>0</v>
      </c>
      <c r="G1430" s="57">
        <v>0</v>
      </c>
      <c r="H1430" s="58">
        <v>2.1907099191323498E-2</v>
      </c>
      <c r="I1430" s="58">
        <v>0</v>
      </c>
      <c r="J1430" s="58">
        <v>2.1907099191323498E-2</v>
      </c>
    </row>
    <row r="1431" spans="1:10" ht="11.25" customHeight="1" x14ac:dyDescent="0.2">
      <c r="A1431" s="67">
        <v>43891</v>
      </c>
      <c r="B1431" s="57">
        <v>0</v>
      </c>
      <c r="C1431" s="57">
        <v>0</v>
      </c>
      <c r="D1431" s="57">
        <v>1319753.1990999999</v>
      </c>
      <c r="E1431" s="57">
        <v>1348665.1633407499</v>
      </c>
      <c r="F1431" s="57">
        <v>0</v>
      </c>
      <c r="G1431" s="57">
        <v>0</v>
      </c>
      <c r="H1431" s="58">
        <v>2.1907099191323498E-2</v>
      </c>
      <c r="I1431" s="58">
        <v>0</v>
      </c>
      <c r="J1431" s="58">
        <v>2.1907099191323498E-2</v>
      </c>
    </row>
    <row r="1432" spans="1:10" ht="11.25" customHeight="1" x14ac:dyDescent="0.2">
      <c r="A1432" s="67">
        <v>43922</v>
      </c>
      <c r="B1432" s="57">
        <v>0</v>
      </c>
      <c r="C1432" s="57">
        <v>0</v>
      </c>
      <c r="D1432" s="57">
        <v>998791.48529999994</v>
      </c>
      <c r="E1432" s="57">
        <v>1020672.1094399163</v>
      </c>
      <c r="F1432" s="57">
        <v>0</v>
      </c>
      <c r="G1432" s="57">
        <v>0</v>
      </c>
      <c r="H1432" s="58">
        <v>2.1907099191323498E-2</v>
      </c>
      <c r="I1432" s="58">
        <v>0</v>
      </c>
      <c r="J1432" s="58">
        <v>2.1907099191323498E-2</v>
      </c>
    </row>
    <row r="1433" spans="1:10" ht="11.25" customHeight="1" x14ac:dyDescent="0.2">
      <c r="A1433" s="67">
        <v>43952</v>
      </c>
      <c r="B1433" s="57">
        <v>0</v>
      </c>
      <c r="C1433" s="57">
        <v>0</v>
      </c>
      <c r="D1433" s="57">
        <v>1584559.3372</v>
      </c>
      <c r="E1433" s="57">
        <v>1619272.435774578</v>
      </c>
      <c r="F1433" s="57">
        <v>0</v>
      </c>
      <c r="G1433" s="57">
        <v>0</v>
      </c>
      <c r="H1433" s="58">
        <v>2.1907099191323498E-2</v>
      </c>
      <c r="I1433" s="58">
        <v>0</v>
      </c>
      <c r="J1433" s="58">
        <v>2.1907099191323498E-2</v>
      </c>
    </row>
    <row r="1434" spans="1:10" ht="11.25" customHeight="1" x14ac:dyDescent="0.2">
      <c r="A1434" s="67">
        <v>43983</v>
      </c>
      <c r="B1434" s="57">
        <v>0</v>
      </c>
      <c r="C1434" s="57">
        <v>0</v>
      </c>
      <c r="D1434" s="57">
        <v>1584559.3372</v>
      </c>
      <c r="E1434" s="57">
        <v>1619272.435774578</v>
      </c>
      <c r="F1434" s="57">
        <v>0</v>
      </c>
      <c r="G1434" s="57">
        <v>0</v>
      </c>
      <c r="H1434" s="58">
        <v>2.1907099191323498E-2</v>
      </c>
      <c r="I1434" s="58">
        <v>0</v>
      </c>
      <c r="J1434" s="58">
        <v>2.1907099191323498E-2</v>
      </c>
    </row>
    <row r="1435" spans="1:10" ht="11.25" customHeight="1" x14ac:dyDescent="0.2">
      <c r="A1435" s="67">
        <v>44013</v>
      </c>
      <c r="B1435" s="57">
        <v>0</v>
      </c>
      <c r="C1435" s="57">
        <v>0</v>
      </c>
      <c r="D1435" s="57">
        <v>1375863.0403</v>
      </c>
      <c r="E1435" s="57">
        <v>1406004.2083975277</v>
      </c>
      <c r="F1435" s="57">
        <v>0</v>
      </c>
      <c r="G1435" s="57">
        <v>0</v>
      </c>
      <c r="H1435" s="58">
        <v>2.1907099191323276E-2</v>
      </c>
      <c r="I1435" s="58">
        <v>0</v>
      </c>
      <c r="J1435" s="58">
        <v>2.1907099191323276E-2</v>
      </c>
    </row>
    <row r="1436" spans="1:10" ht="11.25" customHeight="1" x14ac:dyDescent="0.2">
      <c r="A1436" s="67">
        <v>44044</v>
      </c>
      <c r="B1436" s="57">
        <v>0</v>
      </c>
      <c r="C1436" s="57">
        <v>0</v>
      </c>
      <c r="D1436" s="57">
        <v>1977011.3418999999</v>
      </c>
      <c r="E1436" s="57">
        <v>2020321.9254693747</v>
      </c>
      <c r="F1436" s="57">
        <v>0</v>
      </c>
      <c r="G1436" s="57">
        <v>0</v>
      </c>
      <c r="H1436" s="58">
        <v>2.1907099191323498E-2</v>
      </c>
      <c r="I1436" s="58">
        <v>0</v>
      </c>
      <c r="J1436" s="58">
        <v>2.1907099191323498E-2</v>
      </c>
    </row>
    <row r="1437" spans="1:10" ht="11.25" customHeight="1" x14ac:dyDescent="0.2">
      <c r="A1437" s="67">
        <v>44075</v>
      </c>
      <c r="B1437" s="57">
        <v>0</v>
      </c>
      <c r="C1437" s="57">
        <v>0</v>
      </c>
      <c r="D1437" s="57">
        <v>1977011.3418999999</v>
      </c>
      <c r="E1437" s="57">
        <v>2020321.9254693747</v>
      </c>
      <c r="F1437" s="57">
        <v>0</v>
      </c>
      <c r="G1437" s="57">
        <v>0</v>
      </c>
      <c r="H1437" s="58">
        <v>2.1907099191323498E-2</v>
      </c>
      <c r="I1437" s="58">
        <v>0</v>
      </c>
      <c r="J1437" s="58">
        <v>2.1907099191323498E-2</v>
      </c>
    </row>
    <row r="1438" spans="1:10" ht="11.25" customHeight="1" x14ac:dyDescent="0.2">
      <c r="A1438" s="66" t="s">
        <v>35</v>
      </c>
      <c r="B1438" s="57">
        <v>2386440</v>
      </c>
      <c r="C1438" s="57">
        <v>3345681.4769561631</v>
      </c>
      <c r="D1438" s="57">
        <v>0</v>
      </c>
      <c r="E1438" s="57">
        <v>0</v>
      </c>
      <c r="F1438" s="57">
        <v>0</v>
      </c>
      <c r="G1438" s="57">
        <v>0</v>
      </c>
      <c r="H1438" s="58">
        <v>0.4019549944503793</v>
      </c>
      <c r="I1438" s="58">
        <v>0</v>
      </c>
      <c r="J1438" s="58">
        <v>0.4019549944503793</v>
      </c>
    </row>
    <row r="1439" spans="1:10" ht="11.25" customHeight="1" x14ac:dyDescent="0.2">
      <c r="A1439" s="67">
        <v>43739</v>
      </c>
      <c r="B1439" s="57">
        <v>198870</v>
      </c>
      <c r="C1439" s="57">
        <v>278806.789746347</v>
      </c>
      <c r="D1439" s="57">
        <v>0</v>
      </c>
      <c r="E1439" s="57">
        <v>0</v>
      </c>
      <c r="F1439" s="57">
        <v>0</v>
      </c>
      <c r="G1439" s="57">
        <v>0</v>
      </c>
      <c r="H1439" s="58">
        <v>0.40195499445037974</v>
      </c>
      <c r="I1439" s="58">
        <v>0</v>
      </c>
      <c r="J1439" s="58">
        <v>0.40195499445037974</v>
      </c>
    </row>
    <row r="1440" spans="1:10" ht="11.25" customHeight="1" x14ac:dyDescent="0.2">
      <c r="A1440" s="67">
        <v>43770</v>
      </c>
      <c r="B1440" s="57">
        <v>198870</v>
      </c>
      <c r="C1440" s="57">
        <v>278806.789746347</v>
      </c>
      <c r="D1440" s="57">
        <v>0</v>
      </c>
      <c r="E1440" s="57">
        <v>0</v>
      </c>
      <c r="F1440" s="57">
        <v>0</v>
      </c>
      <c r="G1440" s="57">
        <v>0</v>
      </c>
      <c r="H1440" s="58">
        <v>0.40195499445037974</v>
      </c>
      <c r="I1440" s="58">
        <v>0</v>
      </c>
      <c r="J1440" s="58">
        <v>0.40195499445037974</v>
      </c>
    </row>
    <row r="1441" spans="1:10" ht="11.25" customHeight="1" x14ac:dyDescent="0.2">
      <c r="A1441" s="67">
        <v>43800</v>
      </c>
      <c r="B1441" s="57">
        <v>198870</v>
      </c>
      <c r="C1441" s="57">
        <v>278806.789746347</v>
      </c>
      <c r="D1441" s="57">
        <v>0</v>
      </c>
      <c r="E1441" s="57">
        <v>0</v>
      </c>
      <c r="F1441" s="57">
        <v>0</v>
      </c>
      <c r="G1441" s="57">
        <v>0</v>
      </c>
      <c r="H1441" s="58">
        <v>0.40195499445037974</v>
      </c>
      <c r="I1441" s="58">
        <v>0</v>
      </c>
      <c r="J1441" s="58">
        <v>0.40195499445037974</v>
      </c>
    </row>
    <row r="1442" spans="1:10" ht="11.25" customHeight="1" x14ac:dyDescent="0.2">
      <c r="A1442" s="67">
        <v>43831</v>
      </c>
      <c r="B1442" s="57">
        <v>198870</v>
      </c>
      <c r="C1442" s="57">
        <v>278806.789746347</v>
      </c>
      <c r="D1442" s="57">
        <v>0</v>
      </c>
      <c r="E1442" s="57">
        <v>0</v>
      </c>
      <c r="F1442" s="57">
        <v>0</v>
      </c>
      <c r="G1442" s="57">
        <v>0</v>
      </c>
      <c r="H1442" s="58">
        <v>0.40195499445037974</v>
      </c>
      <c r="I1442" s="58">
        <v>0</v>
      </c>
      <c r="J1442" s="58">
        <v>0.40195499445037974</v>
      </c>
    </row>
    <row r="1443" spans="1:10" ht="11.25" customHeight="1" x14ac:dyDescent="0.2">
      <c r="A1443" s="67">
        <v>43862</v>
      </c>
      <c r="B1443" s="57">
        <v>198870</v>
      </c>
      <c r="C1443" s="57">
        <v>278806.789746347</v>
      </c>
      <c r="D1443" s="57">
        <v>0</v>
      </c>
      <c r="E1443" s="57">
        <v>0</v>
      </c>
      <c r="F1443" s="57">
        <v>0</v>
      </c>
      <c r="G1443" s="57">
        <v>0</v>
      </c>
      <c r="H1443" s="58">
        <v>0.40195499445037974</v>
      </c>
      <c r="I1443" s="58">
        <v>0</v>
      </c>
      <c r="J1443" s="58">
        <v>0.40195499445037974</v>
      </c>
    </row>
    <row r="1444" spans="1:10" ht="11.25" customHeight="1" x14ac:dyDescent="0.2">
      <c r="A1444" s="67">
        <v>43891</v>
      </c>
      <c r="B1444" s="57">
        <v>198870</v>
      </c>
      <c r="C1444" s="57">
        <v>278806.789746347</v>
      </c>
      <c r="D1444" s="57">
        <v>0</v>
      </c>
      <c r="E1444" s="57">
        <v>0</v>
      </c>
      <c r="F1444" s="57">
        <v>0</v>
      </c>
      <c r="G1444" s="57">
        <v>0</v>
      </c>
      <c r="H1444" s="58">
        <v>0.40195499445037974</v>
      </c>
      <c r="I1444" s="58">
        <v>0</v>
      </c>
      <c r="J1444" s="58">
        <v>0.40195499445037974</v>
      </c>
    </row>
    <row r="1445" spans="1:10" ht="11.25" customHeight="1" x14ac:dyDescent="0.2">
      <c r="A1445" s="67">
        <v>43922</v>
      </c>
      <c r="B1445" s="57">
        <v>198870</v>
      </c>
      <c r="C1445" s="57">
        <v>278806.789746347</v>
      </c>
      <c r="D1445" s="57">
        <v>0</v>
      </c>
      <c r="E1445" s="57">
        <v>0</v>
      </c>
      <c r="F1445" s="57">
        <v>0</v>
      </c>
      <c r="G1445" s="57">
        <v>0</v>
      </c>
      <c r="H1445" s="58">
        <v>0.40195499445037974</v>
      </c>
      <c r="I1445" s="58">
        <v>0</v>
      </c>
      <c r="J1445" s="58">
        <v>0.40195499445037974</v>
      </c>
    </row>
    <row r="1446" spans="1:10" ht="11.25" customHeight="1" x14ac:dyDescent="0.2">
      <c r="A1446" s="67">
        <v>43952</v>
      </c>
      <c r="B1446" s="57">
        <v>198870</v>
      </c>
      <c r="C1446" s="57">
        <v>278806.789746347</v>
      </c>
      <c r="D1446" s="57">
        <v>0</v>
      </c>
      <c r="E1446" s="57">
        <v>0</v>
      </c>
      <c r="F1446" s="57">
        <v>0</v>
      </c>
      <c r="G1446" s="57">
        <v>0</v>
      </c>
      <c r="H1446" s="58">
        <v>0.40195499445037974</v>
      </c>
      <c r="I1446" s="58">
        <v>0</v>
      </c>
      <c r="J1446" s="58">
        <v>0.40195499445037974</v>
      </c>
    </row>
    <row r="1447" spans="1:10" ht="11.25" customHeight="1" x14ac:dyDescent="0.2">
      <c r="A1447" s="67">
        <v>43983</v>
      </c>
      <c r="B1447" s="57">
        <v>198870</v>
      </c>
      <c r="C1447" s="57">
        <v>278806.789746347</v>
      </c>
      <c r="D1447" s="57">
        <v>0</v>
      </c>
      <c r="E1447" s="57">
        <v>0</v>
      </c>
      <c r="F1447" s="57">
        <v>0</v>
      </c>
      <c r="G1447" s="57">
        <v>0</v>
      </c>
      <c r="H1447" s="58">
        <v>0.40195499445037974</v>
      </c>
      <c r="I1447" s="58">
        <v>0</v>
      </c>
      <c r="J1447" s="58">
        <v>0.40195499445037974</v>
      </c>
    </row>
    <row r="1448" spans="1:10" ht="11.25" customHeight="1" x14ac:dyDescent="0.2">
      <c r="A1448" s="67">
        <v>44013</v>
      </c>
      <c r="B1448" s="57">
        <v>198870</v>
      </c>
      <c r="C1448" s="57">
        <v>278806.789746347</v>
      </c>
      <c r="D1448" s="57">
        <v>0</v>
      </c>
      <c r="E1448" s="57">
        <v>0</v>
      </c>
      <c r="F1448" s="57">
        <v>0</v>
      </c>
      <c r="G1448" s="57">
        <v>0</v>
      </c>
      <c r="H1448" s="58">
        <v>0.40195499445037974</v>
      </c>
      <c r="I1448" s="58">
        <v>0</v>
      </c>
      <c r="J1448" s="58">
        <v>0.40195499445037974</v>
      </c>
    </row>
    <row r="1449" spans="1:10" ht="11.25" customHeight="1" x14ac:dyDescent="0.2">
      <c r="A1449" s="67">
        <v>44044</v>
      </c>
      <c r="B1449" s="57">
        <v>198870</v>
      </c>
      <c r="C1449" s="57">
        <v>278806.789746347</v>
      </c>
      <c r="D1449" s="57">
        <v>0</v>
      </c>
      <c r="E1449" s="57">
        <v>0</v>
      </c>
      <c r="F1449" s="57">
        <v>0</v>
      </c>
      <c r="G1449" s="57">
        <v>0</v>
      </c>
      <c r="H1449" s="58">
        <v>0.40195499445037974</v>
      </c>
      <c r="I1449" s="58">
        <v>0</v>
      </c>
      <c r="J1449" s="58">
        <v>0.40195499445037974</v>
      </c>
    </row>
    <row r="1450" spans="1:10" ht="11.25" customHeight="1" x14ac:dyDescent="0.2">
      <c r="A1450" s="67">
        <v>44075</v>
      </c>
      <c r="B1450" s="57">
        <v>198870</v>
      </c>
      <c r="C1450" s="57">
        <v>278806.789746347</v>
      </c>
      <c r="D1450" s="57">
        <v>0</v>
      </c>
      <c r="E1450" s="57">
        <v>0</v>
      </c>
      <c r="F1450" s="57">
        <v>0</v>
      </c>
      <c r="G1450" s="57">
        <v>0</v>
      </c>
      <c r="H1450" s="58">
        <v>0.40195499445037974</v>
      </c>
      <c r="I1450" s="58">
        <v>0</v>
      </c>
      <c r="J1450" s="58">
        <v>0.40195499445037974</v>
      </c>
    </row>
    <row r="1451" spans="1:10" ht="11.25" customHeight="1" x14ac:dyDescent="0.2">
      <c r="A1451" s="60" t="s">
        <v>45</v>
      </c>
      <c r="B1451" s="57">
        <v>1094289.9212957053</v>
      </c>
      <c r="C1451" s="57">
        <v>1337000.1933424128</v>
      </c>
      <c r="D1451" s="57">
        <v>928411.06704907515</v>
      </c>
      <c r="E1451" s="57">
        <v>970109.90218034817</v>
      </c>
      <c r="F1451" s="57">
        <v>0</v>
      </c>
      <c r="G1451" s="57">
        <v>0</v>
      </c>
      <c r="H1451" s="58">
        <v>0.1406085767579115</v>
      </c>
      <c r="I1451" s="58">
        <v>0</v>
      </c>
      <c r="J1451" s="58">
        <v>0.1406085767579115</v>
      </c>
    </row>
    <row r="1452" spans="1:10" ht="11.25" customHeight="1" x14ac:dyDescent="0.2">
      <c r="A1452" s="61" t="s">
        <v>41</v>
      </c>
      <c r="B1452" s="57">
        <v>1051192.2052214202</v>
      </c>
      <c r="C1452" s="57">
        <v>1280976.3096619246</v>
      </c>
      <c r="D1452" s="57">
        <v>792078.08475000004</v>
      </c>
      <c r="E1452" s="57">
        <v>820874.3207241412</v>
      </c>
      <c r="F1452" s="57">
        <v>0</v>
      </c>
      <c r="G1452" s="57">
        <v>0</v>
      </c>
      <c r="H1452" s="58">
        <v>0.14028346348416165</v>
      </c>
      <c r="I1452" s="58">
        <v>0</v>
      </c>
      <c r="J1452" s="58">
        <v>0.14028346348416165</v>
      </c>
    </row>
    <row r="1453" spans="1:10" ht="11.25" customHeight="1" x14ac:dyDescent="0.2">
      <c r="A1453" s="62" t="s">
        <v>40</v>
      </c>
      <c r="B1453" s="57">
        <v>1051192.2052214202</v>
      </c>
      <c r="C1453" s="57">
        <v>1280976.3096619246</v>
      </c>
      <c r="D1453" s="57">
        <v>792078.08475000004</v>
      </c>
      <c r="E1453" s="57">
        <v>820874.3207241412</v>
      </c>
      <c r="F1453" s="57">
        <v>0</v>
      </c>
      <c r="G1453" s="57">
        <v>0</v>
      </c>
      <c r="H1453" s="58">
        <v>0.14028346348416165</v>
      </c>
      <c r="I1453" s="58">
        <v>0</v>
      </c>
      <c r="J1453" s="58">
        <v>0.14028346348416165</v>
      </c>
    </row>
    <row r="1454" spans="1:10" ht="11.25" customHeight="1" x14ac:dyDescent="0.2">
      <c r="A1454" s="63" t="s">
        <v>25</v>
      </c>
      <c r="B1454" s="57">
        <v>1051192.2052214202</v>
      </c>
      <c r="C1454" s="57">
        <v>1280976.3096619246</v>
      </c>
      <c r="D1454" s="57">
        <v>792078.08475000004</v>
      </c>
      <c r="E1454" s="57">
        <v>820874.3207241412</v>
      </c>
      <c r="F1454" s="57">
        <v>0</v>
      </c>
      <c r="G1454" s="57">
        <v>0</v>
      </c>
      <c r="H1454" s="58">
        <v>0.14028346348416165</v>
      </c>
      <c r="I1454" s="58">
        <v>0</v>
      </c>
      <c r="J1454" s="58">
        <v>0.14028346348416165</v>
      </c>
    </row>
    <row r="1455" spans="1:10" ht="11.25" customHeight="1" x14ac:dyDescent="0.2">
      <c r="A1455" s="64" t="s">
        <v>63</v>
      </c>
      <c r="B1455" s="57">
        <v>1051192.2052214202</v>
      </c>
      <c r="C1455" s="57">
        <v>1280976.3096619246</v>
      </c>
      <c r="D1455" s="57">
        <v>792078.08475000004</v>
      </c>
      <c r="E1455" s="57">
        <v>820874.3207241412</v>
      </c>
      <c r="F1455" s="57">
        <v>0</v>
      </c>
      <c r="G1455" s="57">
        <v>0</v>
      </c>
      <c r="H1455" s="58">
        <v>0.14028346348416165</v>
      </c>
      <c r="I1455" s="58">
        <v>0</v>
      </c>
      <c r="J1455" s="58">
        <v>0.14028346348416165</v>
      </c>
    </row>
    <row r="1456" spans="1:10" ht="11.25" customHeight="1" x14ac:dyDescent="0.2">
      <c r="A1456" s="65" t="s">
        <v>25</v>
      </c>
      <c r="B1456" s="57">
        <v>1051192.2052214202</v>
      </c>
      <c r="C1456" s="57">
        <v>1280976.3096619246</v>
      </c>
      <c r="D1456" s="57">
        <v>792078.08475000004</v>
      </c>
      <c r="E1456" s="57">
        <v>820874.3207241412</v>
      </c>
      <c r="F1456" s="57">
        <v>0</v>
      </c>
      <c r="G1456" s="57">
        <v>0</v>
      </c>
      <c r="H1456" s="58">
        <v>0.14028346348416165</v>
      </c>
      <c r="I1456" s="58">
        <v>0</v>
      </c>
      <c r="J1456" s="58">
        <v>0.14028346348416165</v>
      </c>
    </row>
    <row r="1457" spans="1:10" ht="11.25" customHeight="1" x14ac:dyDescent="0.2">
      <c r="A1457" s="66" t="s">
        <v>36</v>
      </c>
      <c r="B1457" s="57">
        <v>298018.19991021999</v>
      </c>
      <c r="C1457" s="57">
        <v>387401.89706713578</v>
      </c>
      <c r="D1457" s="57">
        <v>0</v>
      </c>
      <c r="E1457" s="57">
        <v>0</v>
      </c>
      <c r="F1457" s="57">
        <v>0</v>
      </c>
      <c r="G1457" s="57">
        <v>0</v>
      </c>
      <c r="H1457" s="58">
        <v>0.29992697487550513</v>
      </c>
      <c r="I1457" s="58">
        <v>0</v>
      </c>
      <c r="J1457" s="58">
        <v>0.29992697487550513</v>
      </c>
    </row>
    <row r="1458" spans="1:10" ht="11.25" customHeight="1" x14ac:dyDescent="0.2">
      <c r="A1458" s="67">
        <v>43739</v>
      </c>
      <c r="B1458" s="57">
        <v>18766.575494180001</v>
      </c>
      <c r="C1458" s="57">
        <v>24395.177710922184</v>
      </c>
      <c r="D1458" s="57">
        <v>0</v>
      </c>
      <c r="E1458" s="57">
        <v>0</v>
      </c>
      <c r="F1458" s="57">
        <v>0</v>
      </c>
      <c r="G1458" s="57">
        <v>0</v>
      </c>
      <c r="H1458" s="58">
        <v>0.29992697487550446</v>
      </c>
      <c r="I1458" s="58">
        <v>0</v>
      </c>
      <c r="J1458" s="58">
        <v>0.29992697487550446</v>
      </c>
    </row>
    <row r="1459" spans="1:10" ht="11.25" customHeight="1" x14ac:dyDescent="0.2">
      <c r="A1459" s="67">
        <v>43770</v>
      </c>
      <c r="B1459" s="57">
        <v>18800.30489634</v>
      </c>
      <c r="C1459" s="57">
        <v>24439.023470636392</v>
      </c>
      <c r="D1459" s="57">
        <v>0</v>
      </c>
      <c r="E1459" s="57">
        <v>0</v>
      </c>
      <c r="F1459" s="57">
        <v>0</v>
      </c>
      <c r="G1459" s="57">
        <v>0</v>
      </c>
      <c r="H1459" s="58">
        <v>0.29992697487550446</v>
      </c>
      <c r="I1459" s="58">
        <v>0</v>
      </c>
      <c r="J1459" s="58">
        <v>0.29992697487550446</v>
      </c>
    </row>
    <row r="1460" spans="1:10" ht="11.25" customHeight="1" x14ac:dyDescent="0.2">
      <c r="A1460" s="67">
        <v>43800</v>
      </c>
      <c r="B1460" s="57">
        <v>18860.380039660002</v>
      </c>
      <c r="C1460" s="57">
        <v>24517.116769957571</v>
      </c>
      <c r="D1460" s="57">
        <v>0</v>
      </c>
      <c r="E1460" s="57">
        <v>0</v>
      </c>
      <c r="F1460" s="57">
        <v>0</v>
      </c>
      <c r="G1460" s="57">
        <v>0</v>
      </c>
      <c r="H1460" s="58">
        <v>0.29992697487550424</v>
      </c>
      <c r="I1460" s="58">
        <v>0</v>
      </c>
      <c r="J1460" s="58">
        <v>0.29992697487550424</v>
      </c>
    </row>
    <row r="1461" spans="1:10" ht="11.25" customHeight="1" x14ac:dyDescent="0.2">
      <c r="A1461" s="67">
        <v>43831</v>
      </c>
      <c r="B1461" s="57">
        <v>18669.617391580003</v>
      </c>
      <c r="C1461" s="57">
        <v>24269.139257919698</v>
      </c>
      <c r="D1461" s="57">
        <v>0</v>
      </c>
      <c r="E1461" s="57">
        <v>0</v>
      </c>
      <c r="F1461" s="57">
        <v>0</v>
      </c>
      <c r="G1461" s="57">
        <v>0</v>
      </c>
      <c r="H1461" s="58">
        <v>0.29992697487550446</v>
      </c>
      <c r="I1461" s="58">
        <v>0</v>
      </c>
      <c r="J1461" s="58">
        <v>0.29992697487550446</v>
      </c>
    </row>
    <row r="1462" spans="1:10" ht="11.25" customHeight="1" x14ac:dyDescent="0.2">
      <c r="A1462" s="67">
        <v>43862</v>
      </c>
      <c r="B1462" s="57">
        <v>18663.988435900003</v>
      </c>
      <c r="C1462" s="57">
        <v>24261.822026590889</v>
      </c>
      <c r="D1462" s="57">
        <v>0</v>
      </c>
      <c r="E1462" s="57">
        <v>0</v>
      </c>
      <c r="F1462" s="57">
        <v>0</v>
      </c>
      <c r="G1462" s="57">
        <v>0</v>
      </c>
      <c r="H1462" s="58">
        <v>0.29992697487550446</v>
      </c>
      <c r="I1462" s="58">
        <v>0</v>
      </c>
      <c r="J1462" s="58">
        <v>0.29992697487550446</v>
      </c>
    </row>
    <row r="1463" spans="1:10" ht="11.25" customHeight="1" x14ac:dyDescent="0.2">
      <c r="A1463" s="67">
        <v>43891</v>
      </c>
      <c r="B1463" s="57">
        <v>24533.333652559999</v>
      </c>
      <c r="C1463" s="57">
        <v>31891.542198583731</v>
      </c>
      <c r="D1463" s="57">
        <v>0</v>
      </c>
      <c r="E1463" s="57">
        <v>0</v>
      </c>
      <c r="F1463" s="57">
        <v>0</v>
      </c>
      <c r="G1463" s="57">
        <v>0</v>
      </c>
      <c r="H1463" s="58">
        <v>0.29992697487550446</v>
      </c>
      <c r="I1463" s="58">
        <v>0</v>
      </c>
      <c r="J1463" s="58">
        <v>0.29992697487550446</v>
      </c>
    </row>
    <row r="1464" spans="1:10" ht="11.25" customHeight="1" x14ac:dyDescent="0.2">
      <c r="A1464" s="67">
        <v>43922</v>
      </c>
      <c r="B1464" s="57">
        <v>29954</v>
      </c>
      <c r="C1464" s="57">
        <v>38938.012605420867</v>
      </c>
      <c r="D1464" s="57">
        <v>0</v>
      </c>
      <c r="E1464" s="57">
        <v>0</v>
      </c>
      <c r="F1464" s="57">
        <v>0</v>
      </c>
      <c r="G1464" s="57">
        <v>0</v>
      </c>
      <c r="H1464" s="58">
        <v>0.29992697487550468</v>
      </c>
      <c r="I1464" s="58">
        <v>0</v>
      </c>
      <c r="J1464" s="58">
        <v>0.29992697487550468</v>
      </c>
    </row>
    <row r="1465" spans="1:10" ht="11.25" customHeight="1" x14ac:dyDescent="0.2">
      <c r="A1465" s="67">
        <v>43952</v>
      </c>
      <c r="B1465" s="57">
        <v>29954</v>
      </c>
      <c r="C1465" s="57">
        <v>38938.012605420867</v>
      </c>
      <c r="D1465" s="57">
        <v>0</v>
      </c>
      <c r="E1465" s="57">
        <v>0</v>
      </c>
      <c r="F1465" s="57">
        <v>0</v>
      </c>
      <c r="G1465" s="57">
        <v>0</v>
      </c>
      <c r="H1465" s="58">
        <v>0.29992697487550468</v>
      </c>
      <c r="I1465" s="58">
        <v>0</v>
      </c>
      <c r="J1465" s="58">
        <v>0.29992697487550468</v>
      </c>
    </row>
    <row r="1466" spans="1:10" ht="11.25" customHeight="1" x14ac:dyDescent="0.2">
      <c r="A1466" s="67">
        <v>43983</v>
      </c>
      <c r="B1466" s="57">
        <v>29954</v>
      </c>
      <c r="C1466" s="57">
        <v>38938.012605420867</v>
      </c>
      <c r="D1466" s="57">
        <v>0</v>
      </c>
      <c r="E1466" s="57">
        <v>0</v>
      </c>
      <c r="F1466" s="57">
        <v>0</v>
      </c>
      <c r="G1466" s="57">
        <v>0</v>
      </c>
      <c r="H1466" s="58">
        <v>0.29992697487550468</v>
      </c>
      <c r="I1466" s="58">
        <v>0</v>
      </c>
      <c r="J1466" s="58">
        <v>0.29992697487550468</v>
      </c>
    </row>
    <row r="1467" spans="1:10" ht="11.25" customHeight="1" x14ac:dyDescent="0.2">
      <c r="A1467" s="67">
        <v>44013</v>
      </c>
      <c r="B1467" s="57">
        <v>29954</v>
      </c>
      <c r="C1467" s="57">
        <v>38938.012605420867</v>
      </c>
      <c r="D1467" s="57">
        <v>0</v>
      </c>
      <c r="E1467" s="57">
        <v>0</v>
      </c>
      <c r="F1467" s="57">
        <v>0</v>
      </c>
      <c r="G1467" s="57">
        <v>0</v>
      </c>
      <c r="H1467" s="58">
        <v>0.29992697487550468</v>
      </c>
      <c r="I1467" s="58">
        <v>0</v>
      </c>
      <c r="J1467" s="58">
        <v>0.29992697487550468</v>
      </c>
    </row>
    <row r="1468" spans="1:10" ht="11.25" customHeight="1" x14ac:dyDescent="0.2">
      <c r="A1468" s="67">
        <v>44044</v>
      </c>
      <c r="B1468" s="57">
        <v>29954</v>
      </c>
      <c r="C1468" s="57">
        <v>38938.012605420867</v>
      </c>
      <c r="D1468" s="57">
        <v>0</v>
      </c>
      <c r="E1468" s="57">
        <v>0</v>
      </c>
      <c r="F1468" s="57">
        <v>0</v>
      </c>
      <c r="G1468" s="57">
        <v>0</v>
      </c>
      <c r="H1468" s="58">
        <v>0.29992697487550468</v>
      </c>
      <c r="I1468" s="58">
        <v>0</v>
      </c>
      <c r="J1468" s="58">
        <v>0.29992697487550468</v>
      </c>
    </row>
    <row r="1469" spans="1:10" ht="11.25" customHeight="1" x14ac:dyDescent="0.2">
      <c r="A1469" s="67">
        <v>44075</v>
      </c>
      <c r="B1469" s="57">
        <v>29954</v>
      </c>
      <c r="C1469" s="57">
        <v>38938.012605420867</v>
      </c>
      <c r="D1469" s="57">
        <v>0</v>
      </c>
      <c r="E1469" s="57">
        <v>0</v>
      </c>
      <c r="F1469" s="57">
        <v>0</v>
      </c>
      <c r="G1469" s="57">
        <v>0</v>
      </c>
      <c r="H1469" s="58">
        <v>0.29992697487550468</v>
      </c>
      <c r="I1469" s="58">
        <v>0</v>
      </c>
      <c r="J1469" s="58">
        <v>0.29992697487550468</v>
      </c>
    </row>
    <row r="1470" spans="1:10" ht="11.25" customHeight="1" x14ac:dyDescent="0.2">
      <c r="A1470" s="66" t="s">
        <v>25</v>
      </c>
      <c r="B1470" s="57">
        <v>0</v>
      </c>
      <c r="C1470" s="57">
        <v>0</v>
      </c>
      <c r="D1470" s="57">
        <v>792078.08475000004</v>
      </c>
      <c r="E1470" s="57">
        <v>820874.3207241412</v>
      </c>
      <c r="F1470" s="57">
        <v>0</v>
      </c>
      <c r="G1470" s="57">
        <v>0</v>
      </c>
      <c r="H1470" s="58">
        <v>3.635529946928151E-2</v>
      </c>
      <c r="I1470" s="58">
        <v>0</v>
      </c>
      <c r="J1470" s="58">
        <v>3.635529946928151E-2</v>
      </c>
    </row>
    <row r="1471" spans="1:10" ht="11.25" customHeight="1" x14ac:dyDescent="0.2">
      <c r="A1471" s="67">
        <v>43739</v>
      </c>
      <c r="B1471" s="57">
        <v>0</v>
      </c>
      <c r="C1471" s="57">
        <v>0</v>
      </c>
      <c r="D1471" s="57">
        <v>90517.901400000017</v>
      </c>
      <c r="E1471" s="57">
        <v>93808.706812727891</v>
      </c>
      <c r="F1471" s="57">
        <v>0</v>
      </c>
      <c r="G1471" s="57">
        <v>0</v>
      </c>
      <c r="H1471" s="58">
        <v>3.6355299469281288E-2</v>
      </c>
      <c r="I1471" s="58">
        <v>0</v>
      </c>
      <c r="J1471" s="58">
        <v>3.6355299469281288E-2</v>
      </c>
    </row>
    <row r="1472" spans="1:10" ht="11.25" customHeight="1" x14ac:dyDescent="0.2">
      <c r="A1472" s="67">
        <v>43770</v>
      </c>
      <c r="B1472" s="57">
        <v>0</v>
      </c>
      <c r="C1472" s="57">
        <v>0</v>
      </c>
      <c r="D1472" s="57">
        <v>89773.221300000005</v>
      </c>
      <c r="E1472" s="57">
        <v>93036.953644683585</v>
      </c>
      <c r="F1472" s="57">
        <v>0</v>
      </c>
      <c r="G1472" s="57">
        <v>0</v>
      </c>
      <c r="H1472" s="58">
        <v>3.635529946928151E-2</v>
      </c>
      <c r="I1472" s="58">
        <v>0</v>
      </c>
      <c r="J1472" s="58">
        <v>3.635529946928151E-2</v>
      </c>
    </row>
    <row r="1473" spans="1:10" ht="11.25" customHeight="1" x14ac:dyDescent="0.2">
      <c r="A1473" s="67">
        <v>43800</v>
      </c>
      <c r="B1473" s="57">
        <v>0</v>
      </c>
      <c r="C1473" s="57">
        <v>0</v>
      </c>
      <c r="D1473" s="57">
        <v>92921.010600000009</v>
      </c>
      <c r="E1473" s="57">
        <v>96299.181767351271</v>
      </c>
      <c r="F1473" s="57">
        <v>0</v>
      </c>
      <c r="G1473" s="57">
        <v>0</v>
      </c>
      <c r="H1473" s="58">
        <v>3.6355299469281288E-2</v>
      </c>
      <c r="I1473" s="58">
        <v>0</v>
      </c>
      <c r="J1473" s="58">
        <v>3.6355299469281288E-2</v>
      </c>
    </row>
    <row r="1474" spans="1:10" ht="11.25" customHeight="1" x14ac:dyDescent="0.2">
      <c r="A1474" s="67">
        <v>43831</v>
      </c>
      <c r="B1474" s="57">
        <v>0</v>
      </c>
      <c r="C1474" s="57">
        <v>0</v>
      </c>
      <c r="D1474" s="57">
        <v>88921.711950000012</v>
      </c>
      <c r="E1474" s="57">
        <v>92154.48741726343</v>
      </c>
      <c r="F1474" s="57">
        <v>0</v>
      </c>
      <c r="G1474" s="57">
        <v>0</v>
      </c>
      <c r="H1474" s="58">
        <v>3.6355299469281288E-2</v>
      </c>
      <c r="I1474" s="58">
        <v>0</v>
      </c>
      <c r="J1474" s="58">
        <v>3.6355299469281288E-2</v>
      </c>
    </row>
    <row r="1475" spans="1:10" ht="11.25" customHeight="1" x14ac:dyDescent="0.2">
      <c r="A1475" s="67">
        <v>43862</v>
      </c>
      <c r="B1475" s="57">
        <v>0</v>
      </c>
      <c r="C1475" s="57">
        <v>0</v>
      </c>
      <c r="D1475" s="57">
        <v>81679.617750000005</v>
      </c>
      <c r="E1475" s="57">
        <v>84649.104713837689</v>
      </c>
      <c r="F1475" s="57">
        <v>0</v>
      </c>
      <c r="G1475" s="57">
        <v>0</v>
      </c>
      <c r="H1475" s="58">
        <v>3.635529946928151E-2</v>
      </c>
      <c r="I1475" s="58">
        <v>0</v>
      </c>
      <c r="J1475" s="58">
        <v>3.635529946928151E-2</v>
      </c>
    </row>
    <row r="1476" spans="1:10" ht="11.25" customHeight="1" x14ac:dyDescent="0.2">
      <c r="A1476" s="67">
        <v>43891</v>
      </c>
      <c r="B1476" s="57">
        <v>0</v>
      </c>
      <c r="C1476" s="57">
        <v>0</v>
      </c>
      <c r="D1476" s="57">
        <v>60359.370750000002</v>
      </c>
      <c r="E1476" s="57">
        <v>62553.753749393632</v>
      </c>
      <c r="F1476" s="57">
        <v>0</v>
      </c>
      <c r="G1476" s="57">
        <v>0</v>
      </c>
      <c r="H1476" s="58">
        <v>3.6355299469281288E-2</v>
      </c>
      <c r="I1476" s="58">
        <v>0</v>
      </c>
      <c r="J1476" s="58">
        <v>3.6355299469281288E-2</v>
      </c>
    </row>
    <row r="1477" spans="1:10" ht="11.25" customHeight="1" x14ac:dyDescent="0.2">
      <c r="A1477" s="67">
        <v>43922</v>
      </c>
      <c r="B1477" s="57">
        <v>0</v>
      </c>
      <c r="C1477" s="57">
        <v>0</v>
      </c>
      <c r="D1477" s="57">
        <v>24534.498450000003</v>
      </c>
      <c r="E1477" s="57">
        <v>25426.457488478372</v>
      </c>
      <c r="F1477" s="57">
        <v>0</v>
      </c>
      <c r="G1477" s="57">
        <v>0</v>
      </c>
      <c r="H1477" s="58">
        <v>3.6355299469281288E-2</v>
      </c>
      <c r="I1477" s="58">
        <v>0</v>
      </c>
      <c r="J1477" s="58">
        <v>3.6355299469281288E-2</v>
      </c>
    </row>
    <row r="1478" spans="1:10" ht="11.25" customHeight="1" x14ac:dyDescent="0.2">
      <c r="A1478" s="67">
        <v>43952</v>
      </c>
      <c r="B1478" s="57">
        <v>0</v>
      </c>
      <c r="C1478" s="57">
        <v>0</v>
      </c>
      <c r="D1478" s="57">
        <v>32587.988249999999</v>
      </c>
      <c r="E1478" s="57">
        <v>33772.734321930169</v>
      </c>
      <c r="F1478" s="57">
        <v>0</v>
      </c>
      <c r="G1478" s="57">
        <v>0</v>
      </c>
      <c r="H1478" s="58">
        <v>3.6355299469281288E-2</v>
      </c>
      <c r="I1478" s="58">
        <v>0</v>
      </c>
      <c r="J1478" s="58">
        <v>3.6355299469281288E-2</v>
      </c>
    </row>
    <row r="1479" spans="1:10" ht="11.25" customHeight="1" x14ac:dyDescent="0.2">
      <c r="A1479" s="67">
        <v>43983</v>
      </c>
      <c r="B1479" s="57">
        <v>0</v>
      </c>
      <c r="C1479" s="57">
        <v>0</v>
      </c>
      <c r="D1479" s="57">
        <v>32587.988249999999</v>
      </c>
      <c r="E1479" s="57">
        <v>33772.734321930169</v>
      </c>
      <c r="F1479" s="57">
        <v>0</v>
      </c>
      <c r="G1479" s="57">
        <v>0</v>
      </c>
      <c r="H1479" s="58">
        <v>3.6355299469281288E-2</v>
      </c>
      <c r="I1479" s="58">
        <v>0</v>
      </c>
      <c r="J1479" s="58">
        <v>3.6355299469281288E-2</v>
      </c>
    </row>
    <row r="1480" spans="1:10" ht="11.25" customHeight="1" x14ac:dyDescent="0.2">
      <c r="A1480" s="67">
        <v>44013</v>
      </c>
      <c r="B1480" s="57">
        <v>0</v>
      </c>
      <c r="C1480" s="57">
        <v>0</v>
      </c>
      <c r="D1480" s="57">
        <v>74988.306450000004</v>
      </c>
      <c r="E1480" s="57">
        <v>77714.528787684001</v>
      </c>
      <c r="F1480" s="57">
        <v>0</v>
      </c>
      <c r="G1480" s="57">
        <v>0</v>
      </c>
      <c r="H1480" s="58">
        <v>3.635529946928151E-2</v>
      </c>
      <c r="I1480" s="58">
        <v>0</v>
      </c>
      <c r="J1480" s="58">
        <v>3.635529946928151E-2</v>
      </c>
    </row>
    <row r="1481" spans="1:10" ht="11.25" customHeight="1" x14ac:dyDescent="0.2">
      <c r="A1481" s="67">
        <v>44044</v>
      </c>
      <c r="B1481" s="57">
        <v>0</v>
      </c>
      <c r="C1481" s="57">
        <v>0</v>
      </c>
      <c r="D1481" s="57">
        <v>61603.234800000006</v>
      </c>
      <c r="E1481" s="57">
        <v>63842.83884943046</v>
      </c>
      <c r="F1481" s="57">
        <v>0</v>
      </c>
      <c r="G1481" s="57">
        <v>0</v>
      </c>
      <c r="H1481" s="58">
        <v>3.6355299469281288E-2</v>
      </c>
      <c r="I1481" s="58">
        <v>0</v>
      </c>
      <c r="J1481" s="58">
        <v>3.6355299469281288E-2</v>
      </c>
    </row>
    <row r="1482" spans="1:10" ht="11.25" customHeight="1" x14ac:dyDescent="0.2">
      <c r="A1482" s="67">
        <v>44075</v>
      </c>
      <c r="B1482" s="57">
        <v>0</v>
      </c>
      <c r="C1482" s="57">
        <v>0</v>
      </c>
      <c r="D1482" s="57">
        <v>61603.234800000006</v>
      </c>
      <c r="E1482" s="57">
        <v>63842.83884943046</v>
      </c>
      <c r="F1482" s="57">
        <v>0</v>
      </c>
      <c r="G1482" s="57">
        <v>0</v>
      </c>
      <c r="H1482" s="58">
        <v>3.6355299469281288E-2</v>
      </c>
      <c r="I1482" s="58">
        <v>0</v>
      </c>
      <c r="J1482" s="58">
        <v>3.6355299469281288E-2</v>
      </c>
    </row>
    <row r="1483" spans="1:10" ht="11.25" customHeight="1" x14ac:dyDescent="0.2">
      <c r="A1483" s="66" t="s">
        <v>35</v>
      </c>
      <c r="B1483" s="57">
        <v>753174.00531119993</v>
      </c>
      <c r="C1483" s="57">
        <v>893574.41259478871</v>
      </c>
      <c r="D1483" s="57">
        <v>0</v>
      </c>
      <c r="E1483" s="57">
        <v>0</v>
      </c>
      <c r="F1483" s="57">
        <v>0</v>
      </c>
      <c r="G1483" s="57">
        <v>0</v>
      </c>
      <c r="H1483" s="58">
        <v>0.18641164763191398</v>
      </c>
      <c r="I1483" s="58">
        <v>0</v>
      </c>
      <c r="J1483" s="58">
        <v>0.18641164763191398</v>
      </c>
    </row>
    <row r="1484" spans="1:10" ht="11.25" customHeight="1" x14ac:dyDescent="0.2">
      <c r="A1484" s="67">
        <v>43739</v>
      </c>
      <c r="B1484" s="57">
        <v>47428.299238320011</v>
      </c>
      <c r="C1484" s="57">
        <v>56269.486643714699</v>
      </c>
      <c r="D1484" s="57">
        <v>0</v>
      </c>
      <c r="E1484" s="57">
        <v>0</v>
      </c>
      <c r="F1484" s="57">
        <v>0</v>
      </c>
      <c r="G1484" s="57">
        <v>0</v>
      </c>
      <c r="H1484" s="58">
        <v>0.18641164763191398</v>
      </c>
      <c r="I1484" s="58">
        <v>0</v>
      </c>
      <c r="J1484" s="58">
        <v>0.18641164763191398</v>
      </c>
    </row>
    <row r="1485" spans="1:10" ht="11.25" customHeight="1" x14ac:dyDescent="0.2">
      <c r="A1485" s="67">
        <v>43770</v>
      </c>
      <c r="B1485" s="57">
        <v>47513.551045619999</v>
      </c>
      <c r="C1485" s="57">
        <v>56370.630380877083</v>
      </c>
      <c r="D1485" s="57">
        <v>0</v>
      </c>
      <c r="E1485" s="57">
        <v>0</v>
      </c>
      <c r="F1485" s="57">
        <v>0</v>
      </c>
      <c r="G1485" s="57">
        <v>0</v>
      </c>
      <c r="H1485" s="58">
        <v>0.1864116476319142</v>
      </c>
      <c r="I1485" s="58">
        <v>0</v>
      </c>
      <c r="J1485" s="58">
        <v>0.1864116476319142</v>
      </c>
    </row>
    <row r="1486" spans="1:10" ht="11.25" customHeight="1" x14ac:dyDescent="0.2">
      <c r="A1486" s="67">
        <v>43800</v>
      </c>
      <c r="B1486" s="57">
        <v>47665.366107480004</v>
      </c>
      <c r="C1486" s="57">
        <v>56550.745538553754</v>
      </c>
      <c r="D1486" s="57">
        <v>0</v>
      </c>
      <c r="E1486" s="57">
        <v>0</v>
      </c>
      <c r="F1486" s="57">
        <v>0</v>
      </c>
      <c r="G1486" s="57">
        <v>0</v>
      </c>
      <c r="H1486" s="58">
        <v>0.1864116476319142</v>
      </c>
      <c r="I1486" s="58">
        <v>0</v>
      </c>
      <c r="J1486" s="58">
        <v>0.1864116476319142</v>
      </c>
    </row>
    <row r="1487" spans="1:10" ht="11.25" customHeight="1" x14ac:dyDescent="0.2">
      <c r="A1487" s="67">
        <v>43831</v>
      </c>
      <c r="B1487" s="57">
        <v>47183.265490680002</v>
      </c>
      <c r="C1487" s="57">
        <v>55978.775751451692</v>
      </c>
      <c r="D1487" s="57">
        <v>0</v>
      </c>
      <c r="E1487" s="57">
        <v>0</v>
      </c>
      <c r="F1487" s="57">
        <v>0</v>
      </c>
      <c r="G1487" s="57">
        <v>0</v>
      </c>
      <c r="H1487" s="58">
        <v>0.18641164763191398</v>
      </c>
      <c r="I1487" s="58">
        <v>0</v>
      </c>
      <c r="J1487" s="58">
        <v>0.18641164763191398</v>
      </c>
    </row>
    <row r="1488" spans="1:10" ht="11.25" customHeight="1" x14ac:dyDescent="0.2">
      <c r="A1488" s="67">
        <v>43862</v>
      </c>
      <c r="B1488" s="57">
        <v>47169.041841900005</v>
      </c>
      <c r="C1488" s="57">
        <v>55961.900648867289</v>
      </c>
      <c r="D1488" s="57">
        <v>0</v>
      </c>
      <c r="E1488" s="57">
        <v>0</v>
      </c>
      <c r="F1488" s="57">
        <v>0</v>
      </c>
      <c r="G1488" s="57">
        <v>0</v>
      </c>
      <c r="H1488" s="58">
        <v>0.1864116476319142</v>
      </c>
      <c r="I1488" s="58">
        <v>0</v>
      </c>
      <c r="J1488" s="58">
        <v>0.1864116476319142</v>
      </c>
    </row>
    <row r="1489" spans="1:10" ht="11.25" customHeight="1" x14ac:dyDescent="0.2">
      <c r="A1489" s="67">
        <v>43891</v>
      </c>
      <c r="B1489" s="57">
        <v>62002.481587200004</v>
      </c>
      <c r="C1489" s="57">
        <v>73560.466337137375</v>
      </c>
      <c r="D1489" s="57">
        <v>0</v>
      </c>
      <c r="E1489" s="57">
        <v>0</v>
      </c>
      <c r="F1489" s="57">
        <v>0</v>
      </c>
      <c r="G1489" s="57">
        <v>0</v>
      </c>
      <c r="H1489" s="58">
        <v>0.1864116476319142</v>
      </c>
      <c r="I1489" s="58">
        <v>0</v>
      </c>
      <c r="J1489" s="58">
        <v>0.1864116476319142</v>
      </c>
    </row>
    <row r="1490" spans="1:10" ht="11.25" customHeight="1" x14ac:dyDescent="0.2">
      <c r="A1490" s="67">
        <v>43922</v>
      </c>
      <c r="B1490" s="57">
        <v>75702</v>
      </c>
      <c r="C1490" s="57">
        <v>89813.734549031171</v>
      </c>
      <c r="D1490" s="57">
        <v>0</v>
      </c>
      <c r="E1490" s="57">
        <v>0</v>
      </c>
      <c r="F1490" s="57">
        <v>0</v>
      </c>
      <c r="G1490" s="57">
        <v>0</v>
      </c>
      <c r="H1490" s="58">
        <v>0.1864116476319142</v>
      </c>
      <c r="I1490" s="58">
        <v>0</v>
      </c>
      <c r="J1490" s="58">
        <v>0.1864116476319142</v>
      </c>
    </row>
    <row r="1491" spans="1:10" ht="11.25" customHeight="1" x14ac:dyDescent="0.2">
      <c r="A1491" s="67">
        <v>43952</v>
      </c>
      <c r="B1491" s="57">
        <v>75702</v>
      </c>
      <c r="C1491" s="57">
        <v>89813.734549031171</v>
      </c>
      <c r="D1491" s="57">
        <v>0</v>
      </c>
      <c r="E1491" s="57">
        <v>0</v>
      </c>
      <c r="F1491" s="57">
        <v>0</v>
      </c>
      <c r="G1491" s="57">
        <v>0</v>
      </c>
      <c r="H1491" s="58">
        <v>0.1864116476319142</v>
      </c>
      <c r="I1491" s="58">
        <v>0</v>
      </c>
      <c r="J1491" s="58">
        <v>0.1864116476319142</v>
      </c>
    </row>
    <row r="1492" spans="1:10" ht="11.25" customHeight="1" x14ac:dyDescent="0.2">
      <c r="A1492" s="67">
        <v>43983</v>
      </c>
      <c r="B1492" s="57">
        <v>75702</v>
      </c>
      <c r="C1492" s="57">
        <v>89813.734549031171</v>
      </c>
      <c r="D1492" s="57">
        <v>0</v>
      </c>
      <c r="E1492" s="57">
        <v>0</v>
      </c>
      <c r="F1492" s="57">
        <v>0</v>
      </c>
      <c r="G1492" s="57">
        <v>0</v>
      </c>
      <c r="H1492" s="58">
        <v>0.1864116476319142</v>
      </c>
      <c r="I1492" s="58">
        <v>0</v>
      </c>
      <c r="J1492" s="58">
        <v>0.1864116476319142</v>
      </c>
    </row>
    <row r="1493" spans="1:10" ht="11.25" customHeight="1" x14ac:dyDescent="0.2">
      <c r="A1493" s="67">
        <v>44013</v>
      </c>
      <c r="B1493" s="57">
        <v>75702</v>
      </c>
      <c r="C1493" s="57">
        <v>89813.734549031171</v>
      </c>
      <c r="D1493" s="57">
        <v>0</v>
      </c>
      <c r="E1493" s="57">
        <v>0</v>
      </c>
      <c r="F1493" s="57">
        <v>0</v>
      </c>
      <c r="G1493" s="57">
        <v>0</v>
      </c>
      <c r="H1493" s="58">
        <v>0.1864116476319142</v>
      </c>
      <c r="I1493" s="58">
        <v>0</v>
      </c>
      <c r="J1493" s="58">
        <v>0.1864116476319142</v>
      </c>
    </row>
    <row r="1494" spans="1:10" ht="11.25" customHeight="1" x14ac:dyDescent="0.2">
      <c r="A1494" s="67">
        <v>44044</v>
      </c>
      <c r="B1494" s="57">
        <v>75702</v>
      </c>
      <c r="C1494" s="57">
        <v>89813.734549031171</v>
      </c>
      <c r="D1494" s="57">
        <v>0</v>
      </c>
      <c r="E1494" s="57">
        <v>0</v>
      </c>
      <c r="F1494" s="57">
        <v>0</v>
      </c>
      <c r="G1494" s="57">
        <v>0</v>
      </c>
      <c r="H1494" s="58">
        <v>0.1864116476319142</v>
      </c>
      <c r="I1494" s="58">
        <v>0</v>
      </c>
      <c r="J1494" s="58">
        <v>0.1864116476319142</v>
      </c>
    </row>
    <row r="1495" spans="1:10" ht="11.25" customHeight="1" x14ac:dyDescent="0.2">
      <c r="A1495" s="67">
        <v>44075</v>
      </c>
      <c r="B1495" s="57">
        <v>75702</v>
      </c>
      <c r="C1495" s="57">
        <v>89813.734549031171</v>
      </c>
      <c r="D1495" s="57">
        <v>0</v>
      </c>
      <c r="E1495" s="57">
        <v>0</v>
      </c>
      <c r="F1495" s="57">
        <v>0</v>
      </c>
      <c r="G1495" s="57">
        <v>0</v>
      </c>
      <c r="H1495" s="58">
        <v>0.1864116476319142</v>
      </c>
      <c r="I1495" s="58">
        <v>0</v>
      </c>
      <c r="J1495" s="58">
        <v>0.1864116476319142</v>
      </c>
    </row>
    <row r="1496" spans="1:10" ht="11.25" customHeight="1" x14ac:dyDescent="0.2">
      <c r="A1496" s="61" t="s">
        <v>34</v>
      </c>
      <c r="B1496" s="57">
        <v>43097.716074284996</v>
      </c>
      <c r="C1496" s="57">
        <v>56023.883680488703</v>
      </c>
      <c r="D1496" s="57">
        <v>136332.98229907482</v>
      </c>
      <c r="E1496" s="57">
        <v>149235.58145620709</v>
      </c>
      <c r="F1496" s="57">
        <v>0</v>
      </c>
      <c r="G1496" s="57">
        <v>0</v>
      </c>
      <c r="H1496" s="58">
        <v>0.14394842687170195</v>
      </c>
      <c r="I1496" s="58">
        <v>0</v>
      </c>
      <c r="J1496" s="58">
        <v>0.14394842687170195</v>
      </c>
    </row>
    <row r="1497" spans="1:10" ht="11.25" customHeight="1" x14ac:dyDescent="0.2">
      <c r="A1497" s="62" t="s">
        <v>40</v>
      </c>
      <c r="B1497" s="57">
        <v>43097.716074284996</v>
      </c>
      <c r="C1497" s="57">
        <v>56023.883680488703</v>
      </c>
      <c r="D1497" s="57">
        <v>136332.98229907482</v>
      </c>
      <c r="E1497" s="57">
        <v>149235.58145620709</v>
      </c>
      <c r="F1497" s="57">
        <v>0</v>
      </c>
      <c r="G1497" s="57">
        <v>0</v>
      </c>
      <c r="H1497" s="58">
        <v>0.14394842687170195</v>
      </c>
      <c r="I1497" s="58">
        <v>0</v>
      </c>
      <c r="J1497" s="58">
        <v>0.14394842687170195</v>
      </c>
    </row>
    <row r="1498" spans="1:10" ht="11.25" customHeight="1" x14ac:dyDescent="0.2">
      <c r="A1498" s="63" t="s">
        <v>25</v>
      </c>
      <c r="B1498" s="57">
        <v>43097.716074284996</v>
      </c>
      <c r="C1498" s="57">
        <v>56023.883680488703</v>
      </c>
      <c r="D1498" s="57">
        <v>136332.98229907482</v>
      </c>
      <c r="E1498" s="57">
        <v>149235.58145620709</v>
      </c>
      <c r="F1498" s="57">
        <v>0</v>
      </c>
      <c r="G1498" s="57">
        <v>0</v>
      </c>
      <c r="H1498" s="58">
        <v>0.14394842687170195</v>
      </c>
      <c r="I1498" s="58">
        <v>0</v>
      </c>
      <c r="J1498" s="58">
        <v>0.14394842687170195</v>
      </c>
    </row>
    <row r="1499" spans="1:10" ht="11.25" customHeight="1" x14ac:dyDescent="0.2">
      <c r="A1499" s="64" t="s">
        <v>63</v>
      </c>
      <c r="B1499" s="57">
        <v>43097.716074284996</v>
      </c>
      <c r="C1499" s="57">
        <v>56023.883680488703</v>
      </c>
      <c r="D1499" s="57">
        <v>136332.98229907482</v>
      </c>
      <c r="E1499" s="57">
        <v>149235.58145620709</v>
      </c>
      <c r="F1499" s="57">
        <v>0</v>
      </c>
      <c r="G1499" s="57">
        <v>0</v>
      </c>
      <c r="H1499" s="58">
        <v>0.14394842687170195</v>
      </c>
      <c r="I1499" s="58">
        <v>0</v>
      </c>
      <c r="J1499" s="58">
        <v>0.14394842687170195</v>
      </c>
    </row>
    <row r="1500" spans="1:10" ht="11.25" customHeight="1" x14ac:dyDescent="0.2">
      <c r="A1500" s="65" t="s">
        <v>25</v>
      </c>
      <c r="B1500" s="57">
        <v>43097.716074284996</v>
      </c>
      <c r="C1500" s="57">
        <v>56023.883680488703</v>
      </c>
      <c r="D1500" s="57">
        <v>136332.98229907482</v>
      </c>
      <c r="E1500" s="57">
        <v>149235.58145620709</v>
      </c>
      <c r="F1500" s="57">
        <v>0</v>
      </c>
      <c r="G1500" s="57">
        <v>0</v>
      </c>
      <c r="H1500" s="58">
        <v>0.14394842687170195</v>
      </c>
      <c r="I1500" s="58">
        <v>0</v>
      </c>
      <c r="J1500" s="58">
        <v>0.14394842687170195</v>
      </c>
    </row>
    <row r="1501" spans="1:10" ht="11.25" customHeight="1" x14ac:dyDescent="0.2">
      <c r="A1501" s="66" t="s">
        <v>36</v>
      </c>
      <c r="B1501" s="57">
        <v>0</v>
      </c>
      <c r="C1501" s="57">
        <v>0</v>
      </c>
      <c r="D1501" s="57">
        <v>74426.882849999995</v>
      </c>
      <c r="E1501" s="57">
        <v>77132.694464576867</v>
      </c>
      <c r="F1501" s="57">
        <v>0</v>
      </c>
      <c r="G1501" s="57">
        <v>0</v>
      </c>
      <c r="H1501" s="58">
        <v>3.6355299469281288E-2</v>
      </c>
      <c r="I1501" s="58">
        <v>0</v>
      </c>
      <c r="J1501" s="58">
        <v>3.6355299469281288E-2</v>
      </c>
    </row>
    <row r="1502" spans="1:10" ht="11.25" customHeight="1" x14ac:dyDescent="0.2">
      <c r="A1502" s="67">
        <v>43739</v>
      </c>
      <c r="B1502" s="57">
        <v>0</v>
      </c>
      <c r="C1502" s="57">
        <v>0</v>
      </c>
      <c r="D1502" s="57">
        <v>10211.609549999999</v>
      </c>
      <c r="E1502" s="57">
        <v>10582.855673253624</v>
      </c>
      <c r="F1502" s="57">
        <v>0</v>
      </c>
      <c r="G1502" s="57">
        <v>0</v>
      </c>
      <c r="H1502" s="58">
        <v>3.635529946928151E-2</v>
      </c>
      <c r="I1502" s="58">
        <v>0</v>
      </c>
      <c r="J1502" s="58">
        <v>3.635529946928151E-2</v>
      </c>
    </row>
    <row r="1503" spans="1:10" ht="11.25" customHeight="1" x14ac:dyDescent="0.2">
      <c r="A1503" s="67">
        <v>43770</v>
      </c>
      <c r="B1503" s="57">
        <v>0</v>
      </c>
      <c r="C1503" s="57">
        <v>0</v>
      </c>
      <c r="D1503" s="57">
        <v>9885.6325500000003</v>
      </c>
      <c r="E1503" s="57">
        <v>10245.027681798525</v>
      </c>
      <c r="F1503" s="57">
        <v>0</v>
      </c>
      <c r="G1503" s="57">
        <v>0</v>
      </c>
      <c r="H1503" s="58">
        <v>3.6355299469281288E-2</v>
      </c>
      <c r="I1503" s="58">
        <v>0</v>
      </c>
      <c r="J1503" s="58">
        <v>3.6355299469281288E-2</v>
      </c>
    </row>
    <row r="1504" spans="1:10" ht="11.25" customHeight="1" x14ac:dyDescent="0.2">
      <c r="A1504" s="67">
        <v>43800</v>
      </c>
      <c r="B1504" s="57">
        <v>0</v>
      </c>
      <c r="C1504" s="57">
        <v>0</v>
      </c>
      <c r="D1504" s="57">
        <v>10012.30755</v>
      </c>
      <c r="E1504" s="57">
        <v>10376.307989358796</v>
      </c>
      <c r="F1504" s="57">
        <v>0</v>
      </c>
      <c r="G1504" s="57">
        <v>0</v>
      </c>
      <c r="H1504" s="58">
        <v>3.6355299469281288E-2</v>
      </c>
      <c r="I1504" s="58">
        <v>0</v>
      </c>
      <c r="J1504" s="58">
        <v>3.6355299469281288E-2</v>
      </c>
    </row>
    <row r="1505" spans="1:10" ht="11.25" customHeight="1" x14ac:dyDescent="0.2">
      <c r="A1505" s="67">
        <v>43831</v>
      </c>
      <c r="B1505" s="57">
        <v>0</v>
      </c>
      <c r="C1505" s="57">
        <v>0</v>
      </c>
      <c r="D1505" s="57">
        <v>10086.45465</v>
      </c>
      <c r="E1505" s="57">
        <v>10453.150729384075</v>
      </c>
      <c r="F1505" s="57">
        <v>0</v>
      </c>
      <c r="G1505" s="57">
        <v>0</v>
      </c>
      <c r="H1505" s="58">
        <v>3.6355299469281288E-2</v>
      </c>
      <c r="I1505" s="58">
        <v>0</v>
      </c>
      <c r="J1505" s="58">
        <v>3.6355299469281288E-2</v>
      </c>
    </row>
    <row r="1506" spans="1:10" ht="11.25" customHeight="1" x14ac:dyDescent="0.2">
      <c r="A1506" s="67">
        <v>43862</v>
      </c>
      <c r="B1506" s="57">
        <v>0</v>
      </c>
      <c r="C1506" s="57">
        <v>0</v>
      </c>
      <c r="D1506" s="57">
        <v>9169.7498999999989</v>
      </c>
      <c r="E1506" s="57">
        <v>9503.118903672912</v>
      </c>
      <c r="F1506" s="57">
        <v>0</v>
      </c>
      <c r="G1506" s="57">
        <v>0</v>
      </c>
      <c r="H1506" s="58">
        <v>3.6355299469281288E-2</v>
      </c>
      <c r="I1506" s="58">
        <v>0</v>
      </c>
      <c r="J1506" s="58">
        <v>3.6355299469281288E-2</v>
      </c>
    </row>
    <row r="1507" spans="1:10" ht="11.25" customHeight="1" x14ac:dyDescent="0.2">
      <c r="A1507" s="67">
        <v>43891</v>
      </c>
      <c r="B1507" s="57">
        <v>0</v>
      </c>
      <c r="C1507" s="57">
        <v>0</v>
      </c>
      <c r="D1507" s="57">
        <v>5320.0122000000001</v>
      </c>
      <c r="E1507" s="57">
        <v>5513.422836711231</v>
      </c>
      <c r="F1507" s="57">
        <v>0</v>
      </c>
      <c r="G1507" s="57">
        <v>0</v>
      </c>
      <c r="H1507" s="58">
        <v>3.635529946928151E-2</v>
      </c>
      <c r="I1507" s="58">
        <v>0</v>
      </c>
      <c r="J1507" s="58">
        <v>3.635529946928151E-2</v>
      </c>
    </row>
    <row r="1508" spans="1:10" ht="11.25" customHeight="1" x14ac:dyDescent="0.2">
      <c r="A1508" s="67">
        <v>43922</v>
      </c>
      <c r="B1508" s="57">
        <v>0</v>
      </c>
      <c r="C1508" s="57">
        <v>0</v>
      </c>
      <c r="D1508" s="57">
        <v>915.86025000000006</v>
      </c>
      <c r="E1508" s="57">
        <v>949.15662366076094</v>
      </c>
      <c r="F1508" s="57">
        <v>0</v>
      </c>
      <c r="G1508" s="57">
        <v>0</v>
      </c>
      <c r="H1508" s="58">
        <v>3.6355299469281288E-2</v>
      </c>
      <c r="I1508" s="58">
        <v>0</v>
      </c>
      <c r="J1508" s="58">
        <v>3.6355299469281288E-2</v>
      </c>
    </row>
    <row r="1509" spans="1:10" ht="11.25" customHeight="1" x14ac:dyDescent="0.2">
      <c r="A1509" s="67">
        <v>43952</v>
      </c>
      <c r="B1509" s="57">
        <v>0</v>
      </c>
      <c r="C1509" s="57">
        <v>0</v>
      </c>
      <c r="D1509" s="57">
        <v>1873.1010000000001</v>
      </c>
      <c r="E1509" s="57">
        <v>1941.1981477912104</v>
      </c>
      <c r="F1509" s="57">
        <v>0</v>
      </c>
      <c r="G1509" s="57">
        <v>0</v>
      </c>
      <c r="H1509" s="58">
        <v>3.6355299469281288E-2</v>
      </c>
      <c r="I1509" s="58">
        <v>0</v>
      </c>
      <c r="J1509" s="58">
        <v>3.6355299469281288E-2</v>
      </c>
    </row>
    <row r="1510" spans="1:10" ht="11.25" customHeight="1" x14ac:dyDescent="0.2">
      <c r="A1510" s="67">
        <v>43983</v>
      </c>
      <c r="B1510" s="57">
        <v>0</v>
      </c>
      <c r="C1510" s="57">
        <v>0</v>
      </c>
      <c r="D1510" s="57">
        <v>1873.1010000000001</v>
      </c>
      <c r="E1510" s="57">
        <v>1941.1981477912104</v>
      </c>
      <c r="F1510" s="57">
        <v>0</v>
      </c>
      <c r="G1510" s="57">
        <v>0</v>
      </c>
      <c r="H1510" s="58">
        <v>3.6355299469281288E-2</v>
      </c>
      <c r="I1510" s="58">
        <v>0</v>
      </c>
      <c r="J1510" s="58">
        <v>3.6355299469281288E-2</v>
      </c>
    </row>
    <row r="1511" spans="1:10" ht="11.25" customHeight="1" x14ac:dyDescent="0.2">
      <c r="A1511" s="67">
        <v>44013</v>
      </c>
      <c r="B1511" s="57">
        <v>0</v>
      </c>
      <c r="C1511" s="57">
        <v>0</v>
      </c>
      <c r="D1511" s="57">
        <v>4710.6210000000001</v>
      </c>
      <c r="E1511" s="57">
        <v>4881.8770371412857</v>
      </c>
      <c r="F1511" s="57">
        <v>0</v>
      </c>
      <c r="G1511" s="57">
        <v>0</v>
      </c>
      <c r="H1511" s="58">
        <v>3.6355299469281288E-2</v>
      </c>
      <c r="I1511" s="58">
        <v>0</v>
      </c>
      <c r="J1511" s="58">
        <v>3.6355299469281288E-2</v>
      </c>
    </row>
    <row r="1512" spans="1:10" ht="11.25" customHeight="1" x14ac:dyDescent="0.2">
      <c r="A1512" s="67">
        <v>44044</v>
      </c>
      <c r="B1512" s="57">
        <v>0</v>
      </c>
      <c r="C1512" s="57">
        <v>0</v>
      </c>
      <c r="D1512" s="57">
        <v>5184.2165999999997</v>
      </c>
      <c r="E1512" s="57">
        <v>5372.69034700662</v>
      </c>
      <c r="F1512" s="57">
        <v>0</v>
      </c>
      <c r="G1512" s="57">
        <v>0</v>
      </c>
      <c r="H1512" s="58">
        <v>3.635529946928151E-2</v>
      </c>
      <c r="I1512" s="58">
        <v>0</v>
      </c>
      <c r="J1512" s="58">
        <v>3.635529946928151E-2</v>
      </c>
    </row>
    <row r="1513" spans="1:10" ht="11.25" customHeight="1" x14ac:dyDescent="0.2">
      <c r="A1513" s="67">
        <v>44075</v>
      </c>
      <c r="B1513" s="57">
        <v>0</v>
      </c>
      <c r="C1513" s="57">
        <v>0</v>
      </c>
      <c r="D1513" s="57">
        <v>5184.2165999999997</v>
      </c>
      <c r="E1513" s="57">
        <v>5372.69034700662</v>
      </c>
      <c r="F1513" s="57">
        <v>0</v>
      </c>
      <c r="G1513" s="57">
        <v>0</v>
      </c>
      <c r="H1513" s="58">
        <v>3.635529946928151E-2</v>
      </c>
      <c r="I1513" s="58">
        <v>0</v>
      </c>
      <c r="J1513" s="58">
        <v>3.635529946928151E-2</v>
      </c>
    </row>
    <row r="1514" spans="1:10" ht="11.25" customHeight="1" x14ac:dyDescent="0.2">
      <c r="A1514" s="66" t="s">
        <v>25</v>
      </c>
      <c r="B1514" s="57">
        <v>43097.716074284996</v>
      </c>
      <c r="C1514" s="57">
        <v>56023.883680488703</v>
      </c>
      <c r="D1514" s="57">
        <v>0</v>
      </c>
      <c r="E1514" s="57">
        <v>0</v>
      </c>
      <c r="F1514" s="57">
        <v>0</v>
      </c>
      <c r="G1514" s="57">
        <v>0</v>
      </c>
      <c r="H1514" s="58">
        <v>0.29992697487550468</v>
      </c>
      <c r="I1514" s="58">
        <v>0</v>
      </c>
      <c r="J1514" s="58">
        <v>0.29992697487550468</v>
      </c>
    </row>
    <row r="1515" spans="1:10" ht="11.25" customHeight="1" x14ac:dyDescent="0.2">
      <c r="A1515" s="67">
        <v>43739</v>
      </c>
      <c r="B1515" s="57">
        <v>3698.9051150100004</v>
      </c>
      <c r="C1515" s="57">
        <v>4808.3065365064795</v>
      </c>
      <c r="D1515" s="57">
        <v>0</v>
      </c>
      <c r="E1515" s="57">
        <v>0</v>
      </c>
      <c r="F1515" s="57">
        <v>0</v>
      </c>
      <c r="G1515" s="57">
        <v>0</v>
      </c>
      <c r="H1515" s="58">
        <v>0.29992697487550446</v>
      </c>
      <c r="I1515" s="58">
        <v>0</v>
      </c>
      <c r="J1515" s="58">
        <v>0.29992697487550446</v>
      </c>
    </row>
    <row r="1516" spans="1:10" ht="11.25" customHeight="1" x14ac:dyDescent="0.2">
      <c r="A1516" s="67">
        <v>43770</v>
      </c>
      <c r="B1516" s="57">
        <v>3716.9716269539999</v>
      </c>
      <c r="C1516" s="57">
        <v>4831.7916827243953</v>
      </c>
      <c r="D1516" s="57">
        <v>0</v>
      </c>
      <c r="E1516" s="57">
        <v>0</v>
      </c>
      <c r="F1516" s="57">
        <v>0</v>
      </c>
      <c r="G1516" s="57">
        <v>0</v>
      </c>
      <c r="H1516" s="58">
        <v>0.29992697487550446</v>
      </c>
      <c r="I1516" s="58">
        <v>0</v>
      </c>
      <c r="J1516" s="58">
        <v>0.29992697487550446</v>
      </c>
    </row>
    <row r="1517" spans="1:10" ht="11.25" customHeight="1" x14ac:dyDescent="0.2">
      <c r="A1517" s="67">
        <v>43800</v>
      </c>
      <c r="B1517" s="57">
        <v>3745.3409475860003</v>
      </c>
      <c r="C1517" s="57">
        <v>4868.6697278728252</v>
      </c>
      <c r="D1517" s="57">
        <v>0</v>
      </c>
      <c r="E1517" s="57">
        <v>0</v>
      </c>
      <c r="F1517" s="57">
        <v>0</v>
      </c>
      <c r="G1517" s="57">
        <v>0</v>
      </c>
      <c r="H1517" s="58">
        <v>0.29992697487550468</v>
      </c>
      <c r="I1517" s="58">
        <v>0</v>
      </c>
      <c r="J1517" s="58">
        <v>0.29992697487550468</v>
      </c>
    </row>
    <row r="1518" spans="1:10" ht="11.25" customHeight="1" x14ac:dyDescent="0.2">
      <c r="A1518" s="67">
        <v>43831</v>
      </c>
      <c r="B1518" s="57">
        <v>3740.7675356260006</v>
      </c>
      <c r="C1518" s="57">
        <v>4862.7246262988028</v>
      </c>
      <c r="D1518" s="57">
        <v>0</v>
      </c>
      <c r="E1518" s="57">
        <v>0</v>
      </c>
      <c r="F1518" s="57">
        <v>0</v>
      </c>
      <c r="G1518" s="57">
        <v>0</v>
      </c>
      <c r="H1518" s="58">
        <v>0.29992697487550446</v>
      </c>
      <c r="I1518" s="58">
        <v>0</v>
      </c>
      <c r="J1518" s="58">
        <v>0.29992697487550446</v>
      </c>
    </row>
    <row r="1519" spans="1:10" ht="11.25" customHeight="1" x14ac:dyDescent="0.2">
      <c r="A1519" s="67">
        <v>43862</v>
      </c>
      <c r="B1519" s="57">
        <v>3701.2371537260001</v>
      </c>
      <c r="C1519" s="57">
        <v>4811.3380165398621</v>
      </c>
      <c r="D1519" s="57">
        <v>0</v>
      </c>
      <c r="E1519" s="57">
        <v>0</v>
      </c>
      <c r="F1519" s="57">
        <v>0</v>
      </c>
      <c r="G1519" s="57">
        <v>0</v>
      </c>
      <c r="H1519" s="58">
        <v>0.29992697487550446</v>
      </c>
      <c r="I1519" s="58">
        <v>0</v>
      </c>
      <c r="J1519" s="58">
        <v>0.29992697487550446</v>
      </c>
    </row>
    <row r="1520" spans="1:10" ht="11.25" customHeight="1" x14ac:dyDescent="0.2">
      <c r="A1520" s="67">
        <v>43891</v>
      </c>
      <c r="B1520" s="57">
        <v>3691.0541698480006</v>
      </c>
      <c r="C1520" s="57">
        <v>4798.1008811121274</v>
      </c>
      <c r="D1520" s="57">
        <v>0</v>
      </c>
      <c r="E1520" s="57">
        <v>0</v>
      </c>
      <c r="F1520" s="57">
        <v>0</v>
      </c>
      <c r="G1520" s="57">
        <v>0</v>
      </c>
      <c r="H1520" s="58">
        <v>0.29992697487550424</v>
      </c>
      <c r="I1520" s="58">
        <v>0</v>
      </c>
      <c r="J1520" s="58">
        <v>0.29992697487550424</v>
      </c>
    </row>
    <row r="1521" spans="1:10" ht="11.25" customHeight="1" x14ac:dyDescent="0.2">
      <c r="A1521" s="67">
        <v>43922</v>
      </c>
      <c r="B1521" s="57">
        <v>3695.0139371160003</v>
      </c>
      <c r="C1521" s="57">
        <v>4803.2482893980296</v>
      </c>
      <c r="D1521" s="57">
        <v>0</v>
      </c>
      <c r="E1521" s="57">
        <v>0</v>
      </c>
      <c r="F1521" s="57">
        <v>0</v>
      </c>
      <c r="G1521" s="57">
        <v>0</v>
      </c>
      <c r="H1521" s="58">
        <v>0.29992697487550446</v>
      </c>
      <c r="I1521" s="58">
        <v>0</v>
      </c>
      <c r="J1521" s="58">
        <v>0.29992697487550446</v>
      </c>
    </row>
    <row r="1522" spans="1:10" ht="11.25" customHeight="1" x14ac:dyDescent="0.2">
      <c r="A1522" s="67">
        <v>43952</v>
      </c>
      <c r="B1522" s="57">
        <v>3686.5097401450003</v>
      </c>
      <c r="C1522" s="57">
        <v>4792.1934543557727</v>
      </c>
      <c r="D1522" s="57">
        <v>0</v>
      </c>
      <c r="E1522" s="57">
        <v>0</v>
      </c>
      <c r="F1522" s="57">
        <v>0</v>
      </c>
      <c r="G1522" s="57">
        <v>0</v>
      </c>
      <c r="H1522" s="58">
        <v>0.29992697487550468</v>
      </c>
      <c r="I1522" s="58">
        <v>0</v>
      </c>
      <c r="J1522" s="58">
        <v>0.29992697487550468</v>
      </c>
    </row>
    <row r="1523" spans="1:10" ht="11.25" customHeight="1" x14ac:dyDescent="0.2">
      <c r="A1523" s="67">
        <v>43983</v>
      </c>
      <c r="B1523" s="57">
        <v>3693.3656671680001</v>
      </c>
      <c r="C1523" s="57">
        <v>4801.1056588307474</v>
      </c>
      <c r="D1523" s="57">
        <v>0</v>
      </c>
      <c r="E1523" s="57">
        <v>0</v>
      </c>
      <c r="F1523" s="57">
        <v>0</v>
      </c>
      <c r="G1523" s="57">
        <v>0</v>
      </c>
      <c r="H1523" s="58">
        <v>0.29992697487550446</v>
      </c>
      <c r="I1523" s="58">
        <v>0</v>
      </c>
      <c r="J1523" s="58">
        <v>0.29992697487550446</v>
      </c>
    </row>
    <row r="1524" spans="1:10" ht="11.25" customHeight="1" x14ac:dyDescent="0.2">
      <c r="A1524" s="67">
        <v>44013</v>
      </c>
      <c r="B1524" s="57">
        <v>2409.2021811060004</v>
      </c>
      <c r="C1524" s="57">
        <v>3131.7869031485902</v>
      </c>
      <c r="D1524" s="57">
        <v>0</v>
      </c>
      <c r="E1524" s="57">
        <v>0</v>
      </c>
      <c r="F1524" s="57">
        <v>0</v>
      </c>
      <c r="G1524" s="57">
        <v>0</v>
      </c>
      <c r="H1524" s="58">
        <v>0.29992697487550446</v>
      </c>
      <c r="I1524" s="58">
        <v>0</v>
      </c>
      <c r="J1524" s="58">
        <v>0.29992697487550446</v>
      </c>
    </row>
    <row r="1525" spans="1:10" ht="11.25" customHeight="1" x14ac:dyDescent="0.2">
      <c r="A1525" s="67">
        <v>44044</v>
      </c>
      <c r="B1525" s="57">
        <v>3659.674</v>
      </c>
      <c r="C1525" s="57">
        <v>4757.3089518505367</v>
      </c>
      <c r="D1525" s="57">
        <v>0</v>
      </c>
      <c r="E1525" s="57">
        <v>0</v>
      </c>
      <c r="F1525" s="57">
        <v>0</v>
      </c>
      <c r="G1525" s="57">
        <v>0</v>
      </c>
      <c r="H1525" s="58">
        <v>0.29992697487550446</v>
      </c>
      <c r="I1525" s="58">
        <v>0</v>
      </c>
      <c r="J1525" s="58">
        <v>0.29992697487550446</v>
      </c>
    </row>
    <row r="1526" spans="1:10" ht="11.25" customHeight="1" x14ac:dyDescent="0.2">
      <c r="A1526" s="67">
        <v>44075</v>
      </c>
      <c r="B1526" s="57">
        <v>3659.674</v>
      </c>
      <c r="C1526" s="57">
        <v>4757.3089518505367</v>
      </c>
      <c r="D1526" s="57">
        <v>0</v>
      </c>
      <c r="E1526" s="57">
        <v>0</v>
      </c>
      <c r="F1526" s="57">
        <v>0</v>
      </c>
      <c r="G1526" s="57">
        <v>0</v>
      </c>
      <c r="H1526" s="58">
        <v>0.29992697487550446</v>
      </c>
      <c r="I1526" s="58">
        <v>0</v>
      </c>
      <c r="J1526" s="58">
        <v>0.29992697487550446</v>
      </c>
    </row>
    <row r="1527" spans="1:10" ht="11.25" customHeight="1" x14ac:dyDescent="0.2">
      <c r="A1527" s="66" t="s">
        <v>35</v>
      </c>
      <c r="B1527" s="57">
        <v>0</v>
      </c>
      <c r="C1527" s="57">
        <v>0</v>
      </c>
      <c r="D1527" s="57">
        <v>61906.099449074791</v>
      </c>
      <c r="E1527" s="57">
        <v>72102.886991630221</v>
      </c>
      <c r="F1527" s="57">
        <v>0</v>
      </c>
      <c r="G1527" s="57">
        <v>0</v>
      </c>
      <c r="H1527" s="58">
        <v>0.16471377834010537</v>
      </c>
      <c r="I1527" s="58">
        <v>0</v>
      </c>
      <c r="J1527" s="58">
        <v>0.16471377834010537</v>
      </c>
    </row>
    <row r="1528" spans="1:10" ht="11.25" customHeight="1" x14ac:dyDescent="0.2">
      <c r="A1528" s="67">
        <v>43739</v>
      </c>
      <c r="B1528" s="57">
        <v>0</v>
      </c>
      <c r="C1528" s="57">
        <v>0</v>
      </c>
      <c r="D1528" s="57">
        <v>9503.5706221597811</v>
      </c>
      <c r="E1528" s="57">
        <v>11068.939647057745</v>
      </c>
      <c r="F1528" s="57">
        <v>0</v>
      </c>
      <c r="G1528" s="57">
        <v>0</v>
      </c>
      <c r="H1528" s="58">
        <v>0.16471377834010537</v>
      </c>
      <c r="I1528" s="58">
        <v>0</v>
      </c>
      <c r="J1528" s="58">
        <v>0.16471377834010537</v>
      </c>
    </row>
    <row r="1529" spans="1:10" ht="11.25" customHeight="1" x14ac:dyDescent="0.2">
      <c r="A1529" s="67">
        <v>43770</v>
      </c>
      <c r="B1529" s="57">
        <v>0</v>
      </c>
      <c r="C1529" s="57">
        <v>0</v>
      </c>
      <c r="D1529" s="57">
        <v>7921.5699395935753</v>
      </c>
      <c r="E1529" s="57">
        <v>9226.3616547294332</v>
      </c>
      <c r="F1529" s="57">
        <v>0</v>
      </c>
      <c r="G1529" s="57">
        <v>0</v>
      </c>
      <c r="H1529" s="58">
        <v>0.16471377834010537</v>
      </c>
      <c r="I1529" s="58">
        <v>0</v>
      </c>
      <c r="J1529" s="58">
        <v>0.16471377834010537</v>
      </c>
    </row>
    <row r="1530" spans="1:10" ht="11.25" customHeight="1" x14ac:dyDescent="0.2">
      <c r="A1530" s="67">
        <v>43800</v>
      </c>
      <c r="B1530" s="57">
        <v>0</v>
      </c>
      <c r="C1530" s="57">
        <v>0</v>
      </c>
      <c r="D1530" s="57">
        <v>7879.0269756236466</v>
      </c>
      <c r="E1530" s="57">
        <v>9176.8112784222303</v>
      </c>
      <c r="F1530" s="57">
        <v>0</v>
      </c>
      <c r="G1530" s="57">
        <v>0</v>
      </c>
      <c r="H1530" s="58">
        <v>0.16471377834010537</v>
      </c>
      <c r="I1530" s="58">
        <v>0</v>
      </c>
      <c r="J1530" s="58">
        <v>0.16471377834010537</v>
      </c>
    </row>
    <row r="1531" spans="1:10" ht="11.25" customHeight="1" x14ac:dyDescent="0.2">
      <c r="A1531" s="67">
        <v>43831</v>
      </c>
      <c r="B1531" s="57">
        <v>0</v>
      </c>
      <c r="C1531" s="57">
        <v>0</v>
      </c>
      <c r="D1531" s="57">
        <v>8913.2152379369891</v>
      </c>
      <c r="E1531" s="57">
        <v>10381.344596936191</v>
      </c>
      <c r="F1531" s="57">
        <v>0</v>
      </c>
      <c r="G1531" s="57">
        <v>0</v>
      </c>
      <c r="H1531" s="58">
        <v>0.16471377834010537</v>
      </c>
      <c r="I1531" s="58">
        <v>0</v>
      </c>
      <c r="J1531" s="58">
        <v>0.16471377834010537</v>
      </c>
    </row>
    <row r="1532" spans="1:10" ht="11.25" customHeight="1" x14ac:dyDescent="0.2">
      <c r="A1532" s="67">
        <v>43862</v>
      </c>
      <c r="B1532" s="57">
        <v>0</v>
      </c>
      <c r="C1532" s="57">
        <v>0</v>
      </c>
      <c r="D1532" s="57">
        <v>7231.6214539432412</v>
      </c>
      <c r="E1532" s="57">
        <v>8422.7691471475991</v>
      </c>
      <c r="F1532" s="57">
        <v>0</v>
      </c>
      <c r="G1532" s="57">
        <v>0</v>
      </c>
      <c r="H1532" s="58">
        <v>0.16471377834010537</v>
      </c>
      <c r="I1532" s="58">
        <v>0</v>
      </c>
      <c r="J1532" s="58">
        <v>0.16471377834010537</v>
      </c>
    </row>
    <row r="1533" spans="1:10" ht="11.25" customHeight="1" x14ac:dyDescent="0.2">
      <c r="A1533" s="67">
        <v>43891</v>
      </c>
      <c r="B1533" s="57">
        <v>0</v>
      </c>
      <c r="C1533" s="57">
        <v>0</v>
      </c>
      <c r="D1533" s="57">
        <v>4481.7303258151178</v>
      </c>
      <c r="E1533" s="57">
        <v>5219.9330612815575</v>
      </c>
      <c r="F1533" s="57">
        <v>0</v>
      </c>
      <c r="G1533" s="57">
        <v>0</v>
      </c>
      <c r="H1533" s="58">
        <v>0.16471377834010537</v>
      </c>
      <c r="I1533" s="58">
        <v>0</v>
      </c>
      <c r="J1533" s="58">
        <v>0.16471377834010537</v>
      </c>
    </row>
    <row r="1534" spans="1:10" ht="11.25" customHeight="1" x14ac:dyDescent="0.2">
      <c r="A1534" s="67">
        <v>43922</v>
      </c>
      <c r="B1534" s="57">
        <v>0</v>
      </c>
      <c r="C1534" s="57">
        <v>0</v>
      </c>
      <c r="D1534" s="57">
        <v>426.69386692527843</v>
      </c>
      <c r="E1534" s="57">
        <v>496.97622594109117</v>
      </c>
      <c r="F1534" s="57">
        <v>0</v>
      </c>
      <c r="G1534" s="57">
        <v>0</v>
      </c>
      <c r="H1534" s="58">
        <v>0.16471377834010537</v>
      </c>
      <c r="I1534" s="58">
        <v>0</v>
      </c>
      <c r="J1534" s="58">
        <v>0.16471377834010537</v>
      </c>
    </row>
    <row r="1535" spans="1:10" ht="11.25" customHeight="1" x14ac:dyDescent="0.2">
      <c r="A1535" s="67">
        <v>43952</v>
      </c>
      <c r="B1535" s="57">
        <v>0</v>
      </c>
      <c r="C1535" s="57">
        <v>0</v>
      </c>
      <c r="D1535" s="57">
        <v>828.51005298397001</v>
      </c>
      <c r="E1535" s="57">
        <v>964.97707420372058</v>
      </c>
      <c r="F1535" s="57">
        <v>0</v>
      </c>
      <c r="G1535" s="57">
        <v>0</v>
      </c>
      <c r="H1535" s="58">
        <v>0.16471377834010537</v>
      </c>
      <c r="I1535" s="58">
        <v>0</v>
      </c>
      <c r="J1535" s="58">
        <v>0.16471377834010537</v>
      </c>
    </row>
    <row r="1536" spans="1:10" ht="11.25" customHeight="1" x14ac:dyDescent="0.2">
      <c r="A1536" s="67">
        <v>43983</v>
      </c>
      <c r="B1536" s="57">
        <v>0</v>
      </c>
      <c r="C1536" s="57">
        <v>0</v>
      </c>
      <c r="D1536" s="57">
        <v>829.02028307493708</v>
      </c>
      <c r="E1536" s="57">
        <v>965.57134622079366</v>
      </c>
      <c r="F1536" s="57">
        <v>0</v>
      </c>
      <c r="G1536" s="57">
        <v>0</v>
      </c>
      <c r="H1536" s="58">
        <v>0.16471377834010537</v>
      </c>
      <c r="I1536" s="58">
        <v>0</v>
      </c>
      <c r="J1536" s="58">
        <v>0.16471377834010537</v>
      </c>
    </row>
    <row r="1537" spans="1:10" ht="11.25" customHeight="1" x14ac:dyDescent="0.2">
      <c r="A1537" s="67">
        <v>44013</v>
      </c>
      <c r="B1537" s="57">
        <v>0</v>
      </c>
      <c r="C1537" s="57">
        <v>0</v>
      </c>
      <c r="D1537" s="57">
        <v>4896.1931214182532</v>
      </c>
      <c r="E1537" s="57">
        <v>5702.6635899298881</v>
      </c>
      <c r="F1537" s="57">
        <v>0</v>
      </c>
      <c r="G1537" s="57">
        <v>0</v>
      </c>
      <c r="H1537" s="58">
        <v>0.16471377834010537</v>
      </c>
      <c r="I1537" s="58">
        <v>0</v>
      </c>
      <c r="J1537" s="58">
        <v>0.16471377834010537</v>
      </c>
    </row>
    <row r="1538" spans="1:10" ht="11.25" customHeight="1" x14ac:dyDescent="0.2">
      <c r="A1538" s="67">
        <v>44044</v>
      </c>
      <c r="B1538" s="57">
        <v>0</v>
      </c>
      <c r="C1538" s="57">
        <v>0</v>
      </c>
      <c r="D1538" s="57">
        <v>4497.4737847999995</v>
      </c>
      <c r="E1538" s="57">
        <v>5238.2696848799815</v>
      </c>
      <c r="F1538" s="57">
        <v>0</v>
      </c>
      <c r="G1538" s="57">
        <v>0</v>
      </c>
      <c r="H1538" s="58">
        <v>0.16471377834010537</v>
      </c>
      <c r="I1538" s="58">
        <v>0</v>
      </c>
      <c r="J1538" s="58">
        <v>0.16471377834010537</v>
      </c>
    </row>
    <row r="1539" spans="1:10" ht="11.25" customHeight="1" x14ac:dyDescent="0.2">
      <c r="A1539" s="67">
        <v>44075</v>
      </c>
      <c r="B1539" s="57">
        <v>0</v>
      </c>
      <c r="C1539" s="57">
        <v>0</v>
      </c>
      <c r="D1539" s="57">
        <v>4497.4737847999995</v>
      </c>
      <c r="E1539" s="57">
        <v>5238.2696848799815</v>
      </c>
      <c r="F1539" s="57">
        <v>0</v>
      </c>
      <c r="G1539" s="57">
        <v>0</v>
      </c>
      <c r="H1539" s="58">
        <v>0.16471377834010537</v>
      </c>
      <c r="I1539" s="58">
        <v>0</v>
      </c>
      <c r="J1539" s="58">
        <v>0.16471377834010537</v>
      </c>
    </row>
    <row r="1540" spans="1:10" ht="11.25" customHeight="1" x14ac:dyDescent="0.2">
      <c r="A1540" s="60" t="s">
        <v>33</v>
      </c>
      <c r="B1540" s="57">
        <v>13576408.61773655</v>
      </c>
      <c r="C1540" s="57">
        <v>16744110.530555811</v>
      </c>
      <c r="D1540" s="57">
        <v>32294408.047087748</v>
      </c>
      <c r="E1540" s="57">
        <v>34060354.82041271</v>
      </c>
      <c r="F1540" s="57">
        <v>0</v>
      </c>
      <c r="G1540" s="57">
        <v>0</v>
      </c>
      <c r="H1540" s="58">
        <v>0.1075552833993374</v>
      </c>
      <c r="I1540" s="58">
        <v>0</v>
      </c>
      <c r="J1540" s="58">
        <v>0.1075552833993374</v>
      </c>
    </row>
    <row r="1541" spans="1:10" ht="11.25" customHeight="1" x14ac:dyDescent="0.2">
      <c r="A1541" s="61" t="s">
        <v>41</v>
      </c>
      <c r="B1541" s="57">
        <v>11464882.507652666</v>
      </c>
      <c r="C1541" s="57">
        <v>13999280.781903822</v>
      </c>
      <c r="D1541" s="57">
        <v>18913285.275450002</v>
      </c>
      <c r="E1541" s="57">
        <v>19600883.425586931</v>
      </c>
      <c r="F1541" s="57">
        <v>0</v>
      </c>
      <c r="G1541" s="57">
        <v>0</v>
      </c>
      <c r="H1541" s="58">
        <v>0.10606289514867551</v>
      </c>
      <c r="I1541" s="58">
        <v>0</v>
      </c>
      <c r="J1541" s="58">
        <v>0.10606289514867551</v>
      </c>
    </row>
    <row r="1542" spans="1:10" ht="11.25" customHeight="1" x14ac:dyDescent="0.2">
      <c r="A1542" s="62" t="s">
        <v>40</v>
      </c>
      <c r="B1542" s="57">
        <v>11464882.507652666</v>
      </c>
      <c r="C1542" s="57">
        <v>13999280.781903822</v>
      </c>
      <c r="D1542" s="57">
        <v>18913285.275450002</v>
      </c>
      <c r="E1542" s="57">
        <v>19600883.425586931</v>
      </c>
      <c r="F1542" s="57">
        <v>0</v>
      </c>
      <c r="G1542" s="57">
        <v>0</v>
      </c>
      <c r="H1542" s="58">
        <v>0.10606289514867551</v>
      </c>
      <c r="I1542" s="58">
        <v>0</v>
      </c>
      <c r="J1542" s="58">
        <v>0.10606289514867551</v>
      </c>
    </row>
    <row r="1543" spans="1:10" ht="11.25" customHeight="1" x14ac:dyDescent="0.2">
      <c r="A1543" s="63" t="s">
        <v>25</v>
      </c>
      <c r="B1543" s="57">
        <v>11464882.507652666</v>
      </c>
      <c r="C1543" s="57">
        <v>13999280.781903822</v>
      </c>
      <c r="D1543" s="57">
        <v>18913285.275450002</v>
      </c>
      <c r="E1543" s="57">
        <v>19600883.425586931</v>
      </c>
      <c r="F1543" s="57">
        <v>0</v>
      </c>
      <c r="G1543" s="57">
        <v>0</v>
      </c>
      <c r="H1543" s="58">
        <v>0.10606289514867551</v>
      </c>
      <c r="I1543" s="58">
        <v>0</v>
      </c>
      <c r="J1543" s="58">
        <v>0.10606289514867551</v>
      </c>
    </row>
    <row r="1544" spans="1:10" ht="11.25" customHeight="1" x14ac:dyDescent="0.2">
      <c r="A1544" s="64" t="s">
        <v>63</v>
      </c>
      <c r="B1544" s="57">
        <v>11464882.507652666</v>
      </c>
      <c r="C1544" s="57">
        <v>13999280.781903822</v>
      </c>
      <c r="D1544" s="57">
        <v>18913285.275450002</v>
      </c>
      <c r="E1544" s="57">
        <v>19600883.425586931</v>
      </c>
      <c r="F1544" s="57">
        <v>0</v>
      </c>
      <c r="G1544" s="57">
        <v>0</v>
      </c>
      <c r="H1544" s="58">
        <v>0.10606289514867551</v>
      </c>
      <c r="I1544" s="58">
        <v>0</v>
      </c>
      <c r="J1544" s="58">
        <v>0.10606289514867551</v>
      </c>
    </row>
    <row r="1545" spans="1:10" ht="11.25" customHeight="1" x14ac:dyDescent="0.2">
      <c r="A1545" s="65" t="s">
        <v>25</v>
      </c>
      <c r="B1545" s="57">
        <v>11464882.507652666</v>
      </c>
      <c r="C1545" s="57">
        <v>13999280.781903822</v>
      </c>
      <c r="D1545" s="57">
        <v>18913285.275450002</v>
      </c>
      <c r="E1545" s="57">
        <v>19600883.425586931</v>
      </c>
      <c r="F1545" s="57">
        <v>0</v>
      </c>
      <c r="G1545" s="57">
        <v>0</v>
      </c>
      <c r="H1545" s="58">
        <v>0.10606289514867551</v>
      </c>
      <c r="I1545" s="58">
        <v>0</v>
      </c>
      <c r="J1545" s="58">
        <v>0.10606289514867551</v>
      </c>
    </row>
    <row r="1546" spans="1:10" ht="11.25" customHeight="1" x14ac:dyDescent="0.2">
      <c r="A1546" s="66" t="s">
        <v>36</v>
      </c>
      <c r="B1546" s="57">
        <v>3499180.6458078255</v>
      </c>
      <c r="C1546" s="57">
        <v>4548679.3114478793</v>
      </c>
      <c r="D1546" s="57">
        <v>0</v>
      </c>
      <c r="E1546" s="57">
        <v>0</v>
      </c>
      <c r="F1546" s="57">
        <v>0</v>
      </c>
      <c r="G1546" s="57">
        <v>0</v>
      </c>
      <c r="H1546" s="58">
        <v>0.29992697487550402</v>
      </c>
      <c r="I1546" s="58">
        <v>0</v>
      </c>
      <c r="J1546" s="58">
        <v>0.29992697487550402</v>
      </c>
    </row>
    <row r="1547" spans="1:10" ht="11.25" customHeight="1" x14ac:dyDescent="0.2">
      <c r="A1547" s="67">
        <v>43739</v>
      </c>
      <c r="B1547" s="57">
        <v>283753.9083041586</v>
      </c>
      <c r="C1547" s="57">
        <v>368859.35963092622</v>
      </c>
      <c r="D1547" s="57">
        <v>0</v>
      </c>
      <c r="E1547" s="57">
        <v>0</v>
      </c>
      <c r="F1547" s="57">
        <v>0</v>
      </c>
      <c r="G1547" s="57">
        <v>0</v>
      </c>
      <c r="H1547" s="58">
        <v>0.29992697487550468</v>
      </c>
      <c r="I1547" s="58">
        <v>0</v>
      </c>
      <c r="J1547" s="58">
        <v>0.29992697487550468</v>
      </c>
    </row>
    <row r="1548" spans="1:10" ht="11.25" customHeight="1" x14ac:dyDescent="0.2">
      <c r="A1548" s="67">
        <v>43770</v>
      </c>
      <c r="B1548" s="57">
        <v>289741.82372109598</v>
      </c>
      <c r="C1548" s="57">
        <v>376643.21240467601</v>
      </c>
      <c r="D1548" s="57">
        <v>0</v>
      </c>
      <c r="E1548" s="57">
        <v>0</v>
      </c>
      <c r="F1548" s="57">
        <v>0</v>
      </c>
      <c r="G1548" s="57">
        <v>0</v>
      </c>
      <c r="H1548" s="58">
        <v>0.29992697487550468</v>
      </c>
      <c r="I1548" s="58">
        <v>0</v>
      </c>
      <c r="J1548" s="58">
        <v>0.29992697487550468</v>
      </c>
    </row>
    <row r="1549" spans="1:10" ht="11.25" customHeight="1" x14ac:dyDescent="0.2">
      <c r="A1549" s="67">
        <v>43800</v>
      </c>
      <c r="B1549" s="57">
        <v>290683.0035321496</v>
      </c>
      <c r="C1549" s="57">
        <v>377866.67742927279</v>
      </c>
      <c r="D1549" s="57">
        <v>0</v>
      </c>
      <c r="E1549" s="57">
        <v>0</v>
      </c>
      <c r="F1549" s="57">
        <v>0</v>
      </c>
      <c r="G1549" s="57">
        <v>0</v>
      </c>
      <c r="H1549" s="58">
        <v>0.29992697487550446</v>
      </c>
      <c r="I1549" s="58">
        <v>0</v>
      </c>
      <c r="J1549" s="58">
        <v>0.29992697487550446</v>
      </c>
    </row>
    <row r="1550" spans="1:10" ht="11.25" customHeight="1" x14ac:dyDescent="0.2">
      <c r="A1550" s="67">
        <v>43831</v>
      </c>
      <c r="B1550" s="57">
        <v>296744.98577584</v>
      </c>
      <c r="C1550" s="57">
        <v>385746.8116690623</v>
      </c>
      <c r="D1550" s="57">
        <v>0</v>
      </c>
      <c r="E1550" s="57">
        <v>0</v>
      </c>
      <c r="F1550" s="57">
        <v>0</v>
      </c>
      <c r="G1550" s="57">
        <v>0</v>
      </c>
      <c r="H1550" s="58">
        <v>0.29992697487550446</v>
      </c>
      <c r="I1550" s="58">
        <v>0</v>
      </c>
      <c r="J1550" s="58">
        <v>0.29992697487550446</v>
      </c>
    </row>
    <row r="1551" spans="1:10" ht="11.25" customHeight="1" x14ac:dyDescent="0.2">
      <c r="A1551" s="67">
        <v>43862</v>
      </c>
      <c r="B1551" s="57">
        <v>297192.16035341797</v>
      </c>
      <c r="C1551" s="57">
        <v>386328.10596493451</v>
      </c>
      <c r="D1551" s="57">
        <v>0</v>
      </c>
      <c r="E1551" s="57">
        <v>0</v>
      </c>
      <c r="F1551" s="57">
        <v>0</v>
      </c>
      <c r="G1551" s="57">
        <v>0</v>
      </c>
      <c r="H1551" s="58">
        <v>0.29992697487550468</v>
      </c>
      <c r="I1551" s="58">
        <v>0</v>
      </c>
      <c r="J1551" s="58">
        <v>0.29992697487550468</v>
      </c>
    </row>
    <row r="1552" spans="1:10" ht="11.25" customHeight="1" x14ac:dyDescent="0.2">
      <c r="A1552" s="67">
        <v>43891</v>
      </c>
      <c r="B1552" s="57">
        <v>308639.1998658969</v>
      </c>
      <c r="C1552" s="57">
        <v>401208.4214096716</v>
      </c>
      <c r="D1552" s="57">
        <v>0</v>
      </c>
      <c r="E1552" s="57">
        <v>0</v>
      </c>
      <c r="F1552" s="57">
        <v>0</v>
      </c>
      <c r="G1552" s="57">
        <v>0</v>
      </c>
      <c r="H1552" s="58">
        <v>0.29992697487550468</v>
      </c>
      <c r="I1552" s="58">
        <v>0</v>
      </c>
      <c r="J1552" s="58">
        <v>0.29992697487550468</v>
      </c>
    </row>
    <row r="1553" spans="1:10" ht="11.25" customHeight="1" x14ac:dyDescent="0.2">
      <c r="A1553" s="67">
        <v>43922</v>
      </c>
      <c r="B1553" s="57">
        <v>307268.56354657322</v>
      </c>
      <c r="C1553" s="57">
        <v>399426.69428543863</v>
      </c>
      <c r="D1553" s="57">
        <v>0</v>
      </c>
      <c r="E1553" s="57">
        <v>0</v>
      </c>
      <c r="F1553" s="57">
        <v>0</v>
      </c>
      <c r="G1553" s="57">
        <v>0</v>
      </c>
      <c r="H1553" s="58">
        <v>0.29992697487550446</v>
      </c>
      <c r="I1553" s="58">
        <v>0</v>
      </c>
      <c r="J1553" s="58">
        <v>0.29992697487550446</v>
      </c>
    </row>
    <row r="1554" spans="1:10" ht="11.25" customHeight="1" x14ac:dyDescent="0.2">
      <c r="A1554" s="67">
        <v>43952</v>
      </c>
      <c r="B1554" s="57">
        <v>277465.19343147002</v>
      </c>
      <c r="C1554" s="57">
        <v>360684.48953061749</v>
      </c>
      <c r="D1554" s="57">
        <v>0</v>
      </c>
      <c r="E1554" s="57">
        <v>0</v>
      </c>
      <c r="F1554" s="57">
        <v>0</v>
      </c>
      <c r="G1554" s="57">
        <v>0</v>
      </c>
      <c r="H1554" s="58">
        <v>0.29992697487550446</v>
      </c>
      <c r="I1554" s="58">
        <v>0</v>
      </c>
      <c r="J1554" s="58">
        <v>0.29992697487550446</v>
      </c>
    </row>
    <row r="1555" spans="1:10" ht="11.25" customHeight="1" x14ac:dyDescent="0.2">
      <c r="A1555" s="67">
        <v>43983</v>
      </c>
      <c r="B1555" s="57">
        <v>272826.82229497202</v>
      </c>
      <c r="C1555" s="57">
        <v>354654.94577079982</v>
      </c>
      <c r="D1555" s="57">
        <v>0</v>
      </c>
      <c r="E1555" s="57">
        <v>0</v>
      </c>
      <c r="F1555" s="57">
        <v>0</v>
      </c>
      <c r="G1555" s="57">
        <v>0</v>
      </c>
      <c r="H1555" s="58">
        <v>0.29992697487550446</v>
      </c>
      <c r="I1555" s="58">
        <v>0</v>
      </c>
      <c r="J1555" s="58">
        <v>0.29992697487550446</v>
      </c>
    </row>
    <row r="1556" spans="1:10" ht="11.25" customHeight="1" x14ac:dyDescent="0.2">
      <c r="A1556" s="67">
        <v>44013</v>
      </c>
      <c r="B1556" s="57">
        <v>282859.41498225072</v>
      </c>
      <c r="C1556" s="57">
        <v>367696.5836329321</v>
      </c>
      <c r="D1556" s="57">
        <v>0</v>
      </c>
      <c r="E1556" s="57">
        <v>0</v>
      </c>
      <c r="F1556" s="57">
        <v>0</v>
      </c>
      <c r="G1556" s="57">
        <v>0</v>
      </c>
      <c r="H1556" s="58">
        <v>0.29992697487550446</v>
      </c>
      <c r="I1556" s="58">
        <v>0</v>
      </c>
      <c r="J1556" s="58">
        <v>0.29992697487550446</v>
      </c>
    </row>
    <row r="1557" spans="1:10" ht="11.25" customHeight="1" x14ac:dyDescent="0.2">
      <c r="A1557" s="67">
        <v>44044</v>
      </c>
      <c r="B1557" s="57">
        <v>296002.78500000003</v>
      </c>
      <c r="C1557" s="57">
        <v>384782.00485977437</v>
      </c>
      <c r="D1557" s="57">
        <v>0</v>
      </c>
      <c r="E1557" s="57">
        <v>0</v>
      </c>
      <c r="F1557" s="57">
        <v>0</v>
      </c>
      <c r="G1557" s="57">
        <v>0</v>
      </c>
      <c r="H1557" s="58">
        <v>0.29992697487550446</v>
      </c>
      <c r="I1557" s="58">
        <v>0</v>
      </c>
      <c r="J1557" s="58">
        <v>0.29992697487550446</v>
      </c>
    </row>
    <row r="1558" spans="1:10" ht="11.25" customHeight="1" x14ac:dyDescent="0.2">
      <c r="A1558" s="67">
        <v>44075</v>
      </c>
      <c r="B1558" s="57">
        <v>296002.78500000003</v>
      </c>
      <c r="C1558" s="57">
        <v>384782.00485977437</v>
      </c>
      <c r="D1558" s="57">
        <v>0</v>
      </c>
      <c r="E1558" s="57">
        <v>0</v>
      </c>
      <c r="F1558" s="57">
        <v>0</v>
      </c>
      <c r="G1558" s="57">
        <v>0</v>
      </c>
      <c r="H1558" s="58">
        <v>0.29992697487550446</v>
      </c>
      <c r="I1558" s="58">
        <v>0</v>
      </c>
      <c r="J1558" s="58">
        <v>0.29992697487550446</v>
      </c>
    </row>
    <row r="1559" spans="1:10" ht="11.25" customHeight="1" x14ac:dyDescent="0.2">
      <c r="A1559" s="66" t="s">
        <v>25</v>
      </c>
      <c r="B1559" s="57">
        <v>0</v>
      </c>
      <c r="C1559" s="57">
        <v>0</v>
      </c>
      <c r="D1559" s="57">
        <v>18913285.275450002</v>
      </c>
      <c r="E1559" s="57">
        <v>19600883.425586931</v>
      </c>
      <c r="F1559" s="57">
        <v>0</v>
      </c>
      <c r="G1559" s="57">
        <v>0</v>
      </c>
      <c r="H1559" s="58">
        <v>3.6355299469281066E-2</v>
      </c>
      <c r="I1559" s="58">
        <v>0</v>
      </c>
      <c r="J1559" s="58">
        <v>3.6355299469281066E-2</v>
      </c>
    </row>
    <row r="1560" spans="1:10" ht="11.25" customHeight="1" x14ac:dyDescent="0.2">
      <c r="A1560" s="67">
        <v>43739</v>
      </c>
      <c r="B1560" s="57">
        <v>0</v>
      </c>
      <c r="C1560" s="57">
        <v>0</v>
      </c>
      <c r="D1560" s="57">
        <v>1713281.8240499999</v>
      </c>
      <c r="E1560" s="57">
        <v>1775568.6978386142</v>
      </c>
      <c r="F1560" s="57">
        <v>0</v>
      </c>
      <c r="G1560" s="57">
        <v>0</v>
      </c>
      <c r="H1560" s="58">
        <v>3.6355299469281288E-2</v>
      </c>
      <c r="I1560" s="58">
        <v>0</v>
      </c>
      <c r="J1560" s="58">
        <v>3.6355299469281288E-2</v>
      </c>
    </row>
    <row r="1561" spans="1:10" ht="11.25" customHeight="1" x14ac:dyDescent="0.2">
      <c r="A1561" s="67">
        <v>43770</v>
      </c>
      <c r="B1561" s="57">
        <v>0</v>
      </c>
      <c r="C1561" s="57">
        <v>0</v>
      </c>
      <c r="D1561" s="57">
        <v>1665253.5045000003</v>
      </c>
      <c r="E1561" s="57">
        <v>1725794.294348368</v>
      </c>
      <c r="F1561" s="57">
        <v>0</v>
      </c>
      <c r="G1561" s="57">
        <v>0</v>
      </c>
      <c r="H1561" s="58">
        <v>3.6355299469281288E-2</v>
      </c>
      <c r="I1561" s="58">
        <v>0</v>
      </c>
      <c r="J1561" s="58">
        <v>3.6355299469281288E-2</v>
      </c>
    </row>
    <row r="1562" spans="1:10" ht="11.25" customHeight="1" x14ac:dyDescent="0.2">
      <c r="A1562" s="67">
        <v>43800</v>
      </c>
      <c r="B1562" s="57">
        <v>0</v>
      </c>
      <c r="C1562" s="57">
        <v>0</v>
      </c>
      <c r="D1562" s="57">
        <v>1681185.1658999999</v>
      </c>
      <c r="E1562" s="57">
        <v>1742305.1560696079</v>
      </c>
      <c r="F1562" s="57">
        <v>0</v>
      </c>
      <c r="G1562" s="57">
        <v>0</v>
      </c>
      <c r="H1562" s="58">
        <v>3.635529946928151E-2</v>
      </c>
      <c r="I1562" s="58">
        <v>0</v>
      </c>
      <c r="J1562" s="58">
        <v>3.635529946928151E-2</v>
      </c>
    </row>
    <row r="1563" spans="1:10" ht="11.25" customHeight="1" x14ac:dyDescent="0.2">
      <c r="A1563" s="67">
        <v>43831</v>
      </c>
      <c r="B1563" s="57">
        <v>0</v>
      </c>
      <c r="C1563" s="57">
        <v>0</v>
      </c>
      <c r="D1563" s="57">
        <v>1769414.6412000002</v>
      </c>
      <c r="E1563" s="57">
        <v>1833742.2403661571</v>
      </c>
      <c r="F1563" s="57">
        <v>0</v>
      </c>
      <c r="G1563" s="57">
        <v>0</v>
      </c>
      <c r="H1563" s="58">
        <v>3.6355299469281288E-2</v>
      </c>
      <c r="I1563" s="58">
        <v>0</v>
      </c>
      <c r="J1563" s="58">
        <v>3.6355299469281288E-2</v>
      </c>
    </row>
    <row r="1564" spans="1:10" ht="11.25" customHeight="1" x14ac:dyDescent="0.2">
      <c r="A1564" s="67">
        <v>43862</v>
      </c>
      <c r="B1564" s="57">
        <v>0</v>
      </c>
      <c r="C1564" s="57">
        <v>0</v>
      </c>
      <c r="D1564" s="57">
        <v>1640203.6077000003</v>
      </c>
      <c r="E1564" s="57">
        <v>1699833.7010485292</v>
      </c>
      <c r="F1564" s="57">
        <v>0</v>
      </c>
      <c r="G1564" s="57">
        <v>0</v>
      </c>
      <c r="H1564" s="58">
        <v>3.6355299469281288E-2</v>
      </c>
      <c r="I1564" s="58">
        <v>0</v>
      </c>
      <c r="J1564" s="58">
        <v>3.6355299469281288E-2</v>
      </c>
    </row>
    <row r="1565" spans="1:10" ht="11.25" customHeight="1" x14ac:dyDescent="0.2">
      <c r="A1565" s="67">
        <v>43891</v>
      </c>
      <c r="B1565" s="57">
        <v>0</v>
      </c>
      <c r="C1565" s="57">
        <v>0</v>
      </c>
      <c r="D1565" s="57">
        <v>1636516.6895999999</v>
      </c>
      <c r="E1565" s="57">
        <v>1696012.7439368849</v>
      </c>
      <c r="F1565" s="57">
        <v>0</v>
      </c>
      <c r="G1565" s="57">
        <v>0</v>
      </c>
      <c r="H1565" s="58">
        <v>3.6355299469281288E-2</v>
      </c>
      <c r="I1565" s="58">
        <v>0</v>
      </c>
      <c r="J1565" s="58">
        <v>3.6355299469281288E-2</v>
      </c>
    </row>
    <row r="1566" spans="1:10" ht="11.25" customHeight="1" x14ac:dyDescent="0.2">
      <c r="A1566" s="67">
        <v>43922</v>
      </c>
      <c r="B1566" s="57">
        <v>0</v>
      </c>
      <c r="C1566" s="57">
        <v>0</v>
      </c>
      <c r="D1566" s="57">
        <v>1254252.1600500001</v>
      </c>
      <c r="E1566" s="57">
        <v>1299850.8729386108</v>
      </c>
      <c r="F1566" s="57">
        <v>0</v>
      </c>
      <c r="G1566" s="57">
        <v>0</v>
      </c>
      <c r="H1566" s="58">
        <v>3.6355299469281288E-2</v>
      </c>
      <c r="I1566" s="58">
        <v>0</v>
      </c>
      <c r="J1566" s="58">
        <v>3.6355299469281288E-2</v>
      </c>
    </row>
    <row r="1567" spans="1:10" ht="11.25" customHeight="1" x14ac:dyDescent="0.2">
      <c r="A1567" s="67">
        <v>43952</v>
      </c>
      <c r="B1567" s="57">
        <v>0</v>
      </c>
      <c r="C1567" s="57">
        <v>0</v>
      </c>
      <c r="D1567" s="57">
        <v>1360383.0085499999</v>
      </c>
      <c r="E1567" s="57">
        <v>1409840.1402187571</v>
      </c>
      <c r="F1567" s="57">
        <v>0</v>
      </c>
      <c r="G1567" s="57">
        <v>0</v>
      </c>
      <c r="H1567" s="58">
        <v>3.6355299469281288E-2</v>
      </c>
      <c r="I1567" s="58">
        <v>0</v>
      </c>
      <c r="J1567" s="58">
        <v>3.6355299469281288E-2</v>
      </c>
    </row>
    <row r="1568" spans="1:10" ht="11.25" customHeight="1" x14ac:dyDescent="0.2">
      <c r="A1568" s="67">
        <v>43983</v>
      </c>
      <c r="B1568" s="57">
        <v>0</v>
      </c>
      <c r="C1568" s="57">
        <v>0</v>
      </c>
      <c r="D1568" s="57">
        <v>1360383.0085499999</v>
      </c>
      <c r="E1568" s="57">
        <v>1409840.1402187571</v>
      </c>
      <c r="F1568" s="57">
        <v>0</v>
      </c>
      <c r="G1568" s="57">
        <v>0</v>
      </c>
      <c r="H1568" s="58">
        <v>3.6355299469281288E-2</v>
      </c>
      <c r="I1568" s="58">
        <v>0</v>
      </c>
      <c r="J1568" s="58">
        <v>3.6355299469281288E-2</v>
      </c>
    </row>
    <row r="1569" spans="1:10" ht="11.25" customHeight="1" x14ac:dyDescent="0.2">
      <c r="A1569" s="67">
        <v>44013</v>
      </c>
      <c r="B1569" s="57">
        <v>0</v>
      </c>
      <c r="C1569" s="57">
        <v>0</v>
      </c>
      <c r="D1569" s="57">
        <v>1464948.6607500003</v>
      </c>
      <c r="E1569" s="57">
        <v>1518207.308018689</v>
      </c>
      <c r="F1569" s="57">
        <v>0</v>
      </c>
      <c r="G1569" s="57">
        <v>0</v>
      </c>
      <c r="H1569" s="58">
        <v>3.6355299469281288E-2</v>
      </c>
      <c r="I1569" s="58">
        <v>0</v>
      </c>
      <c r="J1569" s="58">
        <v>3.6355299469281288E-2</v>
      </c>
    </row>
    <row r="1570" spans="1:10" ht="11.25" customHeight="1" x14ac:dyDescent="0.2">
      <c r="A1570" s="67">
        <v>44044</v>
      </c>
      <c r="B1570" s="57">
        <v>0</v>
      </c>
      <c r="C1570" s="57">
        <v>0</v>
      </c>
      <c r="D1570" s="57">
        <v>1683731.5023000003</v>
      </c>
      <c r="E1570" s="57">
        <v>1744944.0652919796</v>
      </c>
      <c r="F1570" s="57">
        <v>0</v>
      </c>
      <c r="G1570" s="57">
        <v>0</v>
      </c>
      <c r="H1570" s="58">
        <v>3.6355299469281288E-2</v>
      </c>
      <c r="I1570" s="58">
        <v>0</v>
      </c>
      <c r="J1570" s="58">
        <v>3.6355299469281288E-2</v>
      </c>
    </row>
    <row r="1571" spans="1:10" ht="11.25" customHeight="1" x14ac:dyDescent="0.2">
      <c r="A1571" s="67">
        <v>44075</v>
      </c>
      <c r="B1571" s="57">
        <v>0</v>
      </c>
      <c r="C1571" s="57">
        <v>0</v>
      </c>
      <c r="D1571" s="57">
        <v>1683731.5023000003</v>
      </c>
      <c r="E1571" s="57">
        <v>1744944.0652919796</v>
      </c>
      <c r="F1571" s="57">
        <v>0</v>
      </c>
      <c r="G1571" s="57">
        <v>0</v>
      </c>
      <c r="H1571" s="58">
        <v>3.6355299469281288E-2</v>
      </c>
      <c r="I1571" s="58">
        <v>0</v>
      </c>
      <c r="J1571" s="58">
        <v>3.6355299469281288E-2</v>
      </c>
    </row>
    <row r="1572" spans="1:10" ht="11.25" customHeight="1" x14ac:dyDescent="0.2">
      <c r="A1572" s="66" t="s">
        <v>35</v>
      </c>
      <c r="B1572" s="57">
        <v>7965701.8618448405</v>
      </c>
      <c r="C1572" s="57">
        <v>9450601.4704559445</v>
      </c>
      <c r="D1572" s="57">
        <v>0</v>
      </c>
      <c r="E1572" s="57">
        <v>0</v>
      </c>
      <c r="F1572" s="57">
        <v>0</v>
      </c>
      <c r="G1572" s="57">
        <v>0</v>
      </c>
      <c r="H1572" s="58">
        <v>0.1864116476319142</v>
      </c>
      <c r="I1572" s="58">
        <v>0</v>
      </c>
      <c r="J1572" s="58">
        <v>0.1864116476319142</v>
      </c>
    </row>
    <row r="1573" spans="1:10" ht="11.25" customHeight="1" x14ac:dyDescent="0.2">
      <c r="A1573" s="67">
        <v>43739</v>
      </c>
      <c r="B1573" s="57">
        <v>642441.4221917016</v>
      </c>
      <c r="C1573" s="57">
        <v>762199.98620944691</v>
      </c>
      <c r="D1573" s="57">
        <v>0</v>
      </c>
      <c r="E1573" s="57">
        <v>0</v>
      </c>
      <c r="F1573" s="57">
        <v>0</v>
      </c>
      <c r="G1573" s="57">
        <v>0</v>
      </c>
      <c r="H1573" s="58">
        <v>0.1864116476319142</v>
      </c>
      <c r="I1573" s="58">
        <v>0</v>
      </c>
      <c r="J1573" s="58">
        <v>0.1864116476319142</v>
      </c>
    </row>
    <row r="1574" spans="1:10" ht="11.25" customHeight="1" x14ac:dyDescent="0.2">
      <c r="A1574" s="67">
        <v>43770</v>
      </c>
      <c r="B1574" s="57">
        <v>657833.25704261602</v>
      </c>
      <c r="C1574" s="57">
        <v>780461.03835499857</v>
      </c>
      <c r="D1574" s="57">
        <v>0</v>
      </c>
      <c r="E1574" s="57">
        <v>0</v>
      </c>
      <c r="F1574" s="57">
        <v>0</v>
      </c>
      <c r="G1574" s="57">
        <v>0</v>
      </c>
      <c r="H1574" s="58">
        <v>0.1864116476319142</v>
      </c>
      <c r="I1574" s="58">
        <v>0</v>
      </c>
      <c r="J1574" s="58">
        <v>0.1864116476319142</v>
      </c>
    </row>
    <row r="1575" spans="1:10" ht="11.25" customHeight="1" x14ac:dyDescent="0.2">
      <c r="A1575" s="67">
        <v>43800</v>
      </c>
      <c r="B1575" s="57">
        <v>659768.98223309603</v>
      </c>
      <c r="C1575" s="57">
        <v>782757.60526759853</v>
      </c>
      <c r="D1575" s="57">
        <v>0</v>
      </c>
      <c r="E1575" s="57">
        <v>0</v>
      </c>
      <c r="F1575" s="57">
        <v>0</v>
      </c>
      <c r="G1575" s="57">
        <v>0</v>
      </c>
      <c r="H1575" s="58">
        <v>0.1864116476319142</v>
      </c>
      <c r="I1575" s="58">
        <v>0</v>
      </c>
      <c r="J1575" s="58">
        <v>0.1864116476319142</v>
      </c>
    </row>
    <row r="1576" spans="1:10" ht="11.25" customHeight="1" x14ac:dyDescent="0.2">
      <c r="A1576" s="67">
        <v>43831</v>
      </c>
      <c r="B1576" s="57">
        <v>679251.25137422106</v>
      </c>
      <c r="C1576" s="57">
        <v>805871.59629892907</v>
      </c>
      <c r="D1576" s="57">
        <v>0</v>
      </c>
      <c r="E1576" s="57">
        <v>0</v>
      </c>
      <c r="F1576" s="57">
        <v>0</v>
      </c>
      <c r="G1576" s="57">
        <v>0</v>
      </c>
      <c r="H1576" s="58">
        <v>0.1864116476319142</v>
      </c>
      <c r="I1576" s="58">
        <v>0</v>
      </c>
      <c r="J1576" s="58">
        <v>0.1864116476319142</v>
      </c>
    </row>
    <row r="1577" spans="1:10" ht="11.25" customHeight="1" x14ac:dyDescent="0.2">
      <c r="A1577" s="67">
        <v>43862</v>
      </c>
      <c r="B1577" s="57">
        <v>677758.18228147004</v>
      </c>
      <c r="C1577" s="57">
        <v>804100.2017365701</v>
      </c>
      <c r="D1577" s="57">
        <v>0</v>
      </c>
      <c r="E1577" s="57">
        <v>0</v>
      </c>
      <c r="F1577" s="57">
        <v>0</v>
      </c>
      <c r="G1577" s="57">
        <v>0</v>
      </c>
      <c r="H1577" s="58">
        <v>0.1864116476319142</v>
      </c>
      <c r="I1577" s="58">
        <v>0</v>
      </c>
      <c r="J1577" s="58">
        <v>0.1864116476319142</v>
      </c>
    </row>
    <row r="1578" spans="1:10" ht="11.25" customHeight="1" x14ac:dyDescent="0.2">
      <c r="A1578" s="67">
        <v>43891</v>
      </c>
      <c r="B1578" s="57">
        <v>701162.02682188002</v>
      </c>
      <c r="C1578" s="57">
        <v>831866.79549867904</v>
      </c>
      <c r="D1578" s="57">
        <v>0</v>
      </c>
      <c r="E1578" s="57">
        <v>0</v>
      </c>
      <c r="F1578" s="57">
        <v>0</v>
      </c>
      <c r="G1578" s="57">
        <v>0</v>
      </c>
      <c r="H1578" s="58">
        <v>0.1864116476319142</v>
      </c>
      <c r="I1578" s="58">
        <v>0</v>
      </c>
      <c r="J1578" s="58">
        <v>0.1864116476319142</v>
      </c>
    </row>
    <row r="1579" spans="1:10" ht="11.25" customHeight="1" x14ac:dyDescent="0.2">
      <c r="A1579" s="67">
        <v>43922</v>
      </c>
      <c r="B1579" s="57">
        <v>699195.34838292166</v>
      </c>
      <c r="C1579" s="57">
        <v>829533.50529155228</v>
      </c>
      <c r="D1579" s="57">
        <v>0</v>
      </c>
      <c r="E1579" s="57">
        <v>0</v>
      </c>
      <c r="F1579" s="57">
        <v>0</v>
      </c>
      <c r="G1579" s="57">
        <v>0</v>
      </c>
      <c r="H1579" s="58">
        <v>0.1864116476319142</v>
      </c>
      <c r="I1579" s="58">
        <v>0</v>
      </c>
      <c r="J1579" s="58">
        <v>0.1864116476319142</v>
      </c>
    </row>
    <row r="1580" spans="1:10" ht="11.25" customHeight="1" x14ac:dyDescent="0.2">
      <c r="A1580" s="67">
        <v>43952</v>
      </c>
      <c r="B1580" s="57">
        <v>625906.54670587368</v>
      </c>
      <c r="C1580" s="57">
        <v>742582.81734091719</v>
      </c>
      <c r="D1580" s="57">
        <v>0</v>
      </c>
      <c r="E1580" s="57">
        <v>0</v>
      </c>
      <c r="F1580" s="57">
        <v>0</v>
      </c>
      <c r="G1580" s="57">
        <v>0</v>
      </c>
      <c r="H1580" s="58">
        <v>0.18641164763191398</v>
      </c>
      <c r="I1580" s="58">
        <v>0</v>
      </c>
      <c r="J1580" s="58">
        <v>0.18641164763191398</v>
      </c>
    </row>
    <row r="1581" spans="1:10" ht="11.25" customHeight="1" x14ac:dyDescent="0.2">
      <c r="A1581" s="67">
        <v>43983</v>
      </c>
      <c r="B1581" s="57">
        <v>615446.60241734725</v>
      </c>
      <c r="C1581" s="57">
        <v>730173.01760342857</v>
      </c>
      <c r="D1581" s="57">
        <v>0</v>
      </c>
      <c r="E1581" s="57">
        <v>0</v>
      </c>
      <c r="F1581" s="57">
        <v>0</v>
      </c>
      <c r="G1581" s="57">
        <v>0</v>
      </c>
      <c r="H1581" s="58">
        <v>0.1864116476319142</v>
      </c>
      <c r="I1581" s="58">
        <v>0</v>
      </c>
      <c r="J1581" s="58">
        <v>0.1864116476319142</v>
      </c>
    </row>
    <row r="1582" spans="1:10" ht="11.25" customHeight="1" x14ac:dyDescent="0.2">
      <c r="A1582" s="67">
        <v>44013</v>
      </c>
      <c r="B1582" s="57">
        <v>637991.90719371301</v>
      </c>
      <c r="C1582" s="57">
        <v>756921.02978952043</v>
      </c>
      <c r="D1582" s="57">
        <v>0</v>
      </c>
      <c r="E1582" s="57">
        <v>0</v>
      </c>
      <c r="F1582" s="57">
        <v>0</v>
      </c>
      <c r="G1582" s="57">
        <v>0</v>
      </c>
      <c r="H1582" s="58">
        <v>0.18641164763191442</v>
      </c>
      <c r="I1582" s="58">
        <v>0</v>
      </c>
      <c r="J1582" s="58">
        <v>0.18641164763191442</v>
      </c>
    </row>
    <row r="1583" spans="1:10" ht="11.25" customHeight="1" x14ac:dyDescent="0.2">
      <c r="A1583" s="67">
        <v>44044</v>
      </c>
      <c r="B1583" s="57">
        <v>684473.16760000004</v>
      </c>
      <c r="C1583" s="57">
        <v>812066.9385321514</v>
      </c>
      <c r="D1583" s="57">
        <v>0</v>
      </c>
      <c r="E1583" s="57">
        <v>0</v>
      </c>
      <c r="F1583" s="57">
        <v>0</v>
      </c>
      <c r="G1583" s="57">
        <v>0</v>
      </c>
      <c r="H1583" s="58">
        <v>0.1864116476319142</v>
      </c>
      <c r="I1583" s="58">
        <v>0</v>
      </c>
      <c r="J1583" s="58">
        <v>0.1864116476319142</v>
      </c>
    </row>
    <row r="1584" spans="1:10" ht="11.25" customHeight="1" x14ac:dyDescent="0.2">
      <c r="A1584" s="67">
        <v>44075</v>
      </c>
      <c r="B1584" s="57">
        <v>684473.16760000004</v>
      </c>
      <c r="C1584" s="57">
        <v>812066.9385321514</v>
      </c>
      <c r="D1584" s="57">
        <v>0</v>
      </c>
      <c r="E1584" s="57">
        <v>0</v>
      </c>
      <c r="F1584" s="57">
        <v>0</v>
      </c>
      <c r="G1584" s="57">
        <v>0</v>
      </c>
      <c r="H1584" s="58">
        <v>0.1864116476319142</v>
      </c>
      <c r="I1584" s="58">
        <v>0</v>
      </c>
      <c r="J1584" s="58">
        <v>0.1864116476319142</v>
      </c>
    </row>
    <row r="1585" spans="1:10" ht="11.25" customHeight="1" x14ac:dyDescent="0.2">
      <c r="A1585" s="61" t="s">
        <v>34</v>
      </c>
      <c r="B1585" s="57">
        <v>2111526.1100838864</v>
      </c>
      <c r="C1585" s="57">
        <v>2744829.7486519874</v>
      </c>
      <c r="D1585" s="57">
        <v>13381122.771637741</v>
      </c>
      <c r="E1585" s="57">
        <v>14459471.394825781</v>
      </c>
      <c r="F1585" s="57">
        <v>0</v>
      </c>
      <c r="G1585" s="57">
        <v>0</v>
      </c>
      <c r="H1585" s="58">
        <v>0.11048157579918838</v>
      </c>
      <c r="I1585" s="58">
        <v>0</v>
      </c>
      <c r="J1585" s="58">
        <v>0.11048157579918838</v>
      </c>
    </row>
    <row r="1586" spans="1:10" ht="11.25" customHeight="1" x14ac:dyDescent="0.2">
      <c r="A1586" s="62" t="s">
        <v>40</v>
      </c>
      <c r="B1586" s="57">
        <v>2111526.1100838864</v>
      </c>
      <c r="C1586" s="57">
        <v>2744829.7486519874</v>
      </c>
      <c r="D1586" s="57">
        <v>13381122.771637741</v>
      </c>
      <c r="E1586" s="57">
        <v>14459471.394825781</v>
      </c>
      <c r="F1586" s="57">
        <v>0</v>
      </c>
      <c r="G1586" s="57">
        <v>0</v>
      </c>
      <c r="H1586" s="58">
        <v>0.11048157579918838</v>
      </c>
      <c r="I1586" s="58">
        <v>0</v>
      </c>
      <c r="J1586" s="58">
        <v>0.11048157579918838</v>
      </c>
    </row>
    <row r="1587" spans="1:10" ht="11.25" customHeight="1" x14ac:dyDescent="0.2">
      <c r="A1587" s="63" t="s">
        <v>25</v>
      </c>
      <c r="B1587" s="57">
        <v>2111526.1100838864</v>
      </c>
      <c r="C1587" s="57">
        <v>2744829.7486519874</v>
      </c>
      <c r="D1587" s="57">
        <v>13381122.771637741</v>
      </c>
      <c r="E1587" s="57">
        <v>14459471.394825781</v>
      </c>
      <c r="F1587" s="57">
        <v>0</v>
      </c>
      <c r="G1587" s="57">
        <v>0</v>
      </c>
      <c r="H1587" s="58">
        <v>0.11048157579918838</v>
      </c>
      <c r="I1587" s="58">
        <v>0</v>
      </c>
      <c r="J1587" s="58">
        <v>0.11048157579918838</v>
      </c>
    </row>
    <row r="1588" spans="1:10" ht="11.25" customHeight="1" x14ac:dyDescent="0.2">
      <c r="A1588" s="64" t="s">
        <v>63</v>
      </c>
      <c r="B1588" s="57">
        <v>2111526.1100838864</v>
      </c>
      <c r="C1588" s="57">
        <v>2744829.7486519874</v>
      </c>
      <c r="D1588" s="57">
        <v>13381122.771637741</v>
      </c>
      <c r="E1588" s="57">
        <v>14459471.394825781</v>
      </c>
      <c r="F1588" s="57">
        <v>0</v>
      </c>
      <c r="G1588" s="57">
        <v>0</v>
      </c>
      <c r="H1588" s="58">
        <v>0.11048157579918838</v>
      </c>
      <c r="I1588" s="58">
        <v>0</v>
      </c>
      <c r="J1588" s="58">
        <v>0.11048157579918838</v>
      </c>
    </row>
    <row r="1589" spans="1:10" ht="11.25" customHeight="1" x14ac:dyDescent="0.2">
      <c r="A1589" s="65" t="s">
        <v>25</v>
      </c>
      <c r="B1589" s="57">
        <v>2111526.1100838864</v>
      </c>
      <c r="C1589" s="57">
        <v>2744829.7486519874</v>
      </c>
      <c r="D1589" s="57">
        <v>13381122.771637741</v>
      </c>
      <c r="E1589" s="57">
        <v>14459471.394825781</v>
      </c>
      <c r="F1589" s="57">
        <v>0</v>
      </c>
      <c r="G1589" s="57">
        <v>0</v>
      </c>
      <c r="H1589" s="58">
        <v>0.11048157579918838</v>
      </c>
      <c r="I1589" s="58">
        <v>0</v>
      </c>
      <c r="J1589" s="58">
        <v>0.11048157579918838</v>
      </c>
    </row>
    <row r="1590" spans="1:10" ht="11.25" customHeight="1" x14ac:dyDescent="0.2">
      <c r="A1590" s="66" t="s">
        <v>36</v>
      </c>
      <c r="B1590" s="57">
        <v>0</v>
      </c>
      <c r="C1590" s="57">
        <v>0</v>
      </c>
      <c r="D1590" s="57">
        <v>8770021.8705000002</v>
      </c>
      <c r="E1590" s="57">
        <v>9088858.6419541743</v>
      </c>
      <c r="F1590" s="57">
        <v>0</v>
      </c>
      <c r="G1590" s="57">
        <v>0</v>
      </c>
      <c r="H1590" s="58">
        <v>3.6355299469281288E-2</v>
      </c>
      <c r="I1590" s="58">
        <v>0</v>
      </c>
      <c r="J1590" s="58">
        <v>3.6355299469281288E-2</v>
      </c>
    </row>
    <row r="1591" spans="1:10" ht="11.25" customHeight="1" x14ac:dyDescent="0.2">
      <c r="A1591" s="67">
        <v>43739</v>
      </c>
      <c r="B1591" s="57">
        <v>0</v>
      </c>
      <c r="C1591" s="57">
        <v>0</v>
      </c>
      <c r="D1591" s="57">
        <v>804181.45875000011</v>
      </c>
      <c r="E1591" s="57">
        <v>833417.71651049983</v>
      </c>
      <c r="F1591" s="57">
        <v>0</v>
      </c>
      <c r="G1591" s="57">
        <v>0</v>
      </c>
      <c r="H1591" s="58">
        <v>3.6355299469281288E-2</v>
      </c>
      <c r="I1591" s="58">
        <v>0</v>
      </c>
      <c r="J1591" s="58">
        <v>3.6355299469281288E-2</v>
      </c>
    </row>
    <row r="1592" spans="1:10" ht="11.25" customHeight="1" x14ac:dyDescent="0.2">
      <c r="A1592" s="67">
        <v>43770</v>
      </c>
      <c r="B1592" s="57">
        <v>0</v>
      </c>
      <c r="C1592" s="57">
        <v>0</v>
      </c>
      <c r="D1592" s="57">
        <v>769646.56020000007</v>
      </c>
      <c r="E1592" s="57">
        <v>797627.2913815733</v>
      </c>
      <c r="F1592" s="57">
        <v>0</v>
      </c>
      <c r="G1592" s="57">
        <v>0</v>
      </c>
      <c r="H1592" s="58">
        <v>3.6355299469281288E-2</v>
      </c>
      <c r="I1592" s="58">
        <v>0</v>
      </c>
      <c r="J1592" s="58">
        <v>3.6355299469281288E-2</v>
      </c>
    </row>
    <row r="1593" spans="1:10" ht="11.25" customHeight="1" x14ac:dyDescent="0.2">
      <c r="A1593" s="67">
        <v>43800</v>
      </c>
      <c r="B1593" s="57">
        <v>0</v>
      </c>
      <c r="C1593" s="57">
        <v>0</v>
      </c>
      <c r="D1593" s="57">
        <v>783453.45960000006</v>
      </c>
      <c r="E1593" s="57">
        <v>811936.14474400261</v>
      </c>
      <c r="F1593" s="57">
        <v>0</v>
      </c>
      <c r="G1593" s="57">
        <v>0</v>
      </c>
      <c r="H1593" s="58">
        <v>3.6355299469281288E-2</v>
      </c>
      <c r="I1593" s="58">
        <v>0</v>
      </c>
      <c r="J1593" s="58">
        <v>3.6355299469281288E-2</v>
      </c>
    </row>
    <row r="1594" spans="1:10" ht="11.25" customHeight="1" x14ac:dyDescent="0.2">
      <c r="A1594" s="67">
        <v>43831</v>
      </c>
      <c r="B1594" s="57">
        <v>0</v>
      </c>
      <c r="C1594" s="57">
        <v>0</v>
      </c>
      <c r="D1594" s="57">
        <v>768995.95740000007</v>
      </c>
      <c r="E1594" s="57">
        <v>796953.03572194383</v>
      </c>
      <c r="F1594" s="57">
        <v>0</v>
      </c>
      <c r="G1594" s="57">
        <v>0</v>
      </c>
      <c r="H1594" s="58">
        <v>3.6355299469281288E-2</v>
      </c>
      <c r="I1594" s="58">
        <v>0</v>
      </c>
      <c r="J1594" s="58">
        <v>3.6355299469281288E-2</v>
      </c>
    </row>
    <row r="1595" spans="1:10" ht="11.25" customHeight="1" x14ac:dyDescent="0.2">
      <c r="A1595" s="67">
        <v>43862</v>
      </c>
      <c r="B1595" s="57">
        <v>0</v>
      </c>
      <c r="C1595" s="57">
        <v>0</v>
      </c>
      <c r="D1595" s="57">
        <v>741291.45929999999</v>
      </c>
      <c r="E1595" s="57">
        <v>768241.33229687205</v>
      </c>
      <c r="F1595" s="57">
        <v>0</v>
      </c>
      <c r="G1595" s="57">
        <v>0</v>
      </c>
      <c r="H1595" s="58">
        <v>3.6355299469281288E-2</v>
      </c>
      <c r="I1595" s="58">
        <v>0</v>
      </c>
      <c r="J1595" s="58">
        <v>3.6355299469281288E-2</v>
      </c>
    </row>
    <row r="1596" spans="1:10" ht="11.25" customHeight="1" x14ac:dyDescent="0.2">
      <c r="A1596" s="67">
        <v>43891</v>
      </c>
      <c r="B1596" s="57">
        <v>0</v>
      </c>
      <c r="C1596" s="57">
        <v>0</v>
      </c>
      <c r="D1596" s="57">
        <v>770969.21610000008</v>
      </c>
      <c r="E1596" s="57">
        <v>798998.03283291264</v>
      </c>
      <c r="F1596" s="57">
        <v>0</v>
      </c>
      <c r="G1596" s="57">
        <v>0</v>
      </c>
      <c r="H1596" s="58">
        <v>3.6355299469281288E-2</v>
      </c>
      <c r="I1596" s="58">
        <v>0</v>
      </c>
      <c r="J1596" s="58">
        <v>3.6355299469281288E-2</v>
      </c>
    </row>
    <row r="1597" spans="1:10" ht="11.25" customHeight="1" x14ac:dyDescent="0.2">
      <c r="A1597" s="67">
        <v>43922</v>
      </c>
      <c r="B1597" s="57">
        <v>0</v>
      </c>
      <c r="C1597" s="57">
        <v>0</v>
      </c>
      <c r="D1597" s="57">
        <v>676140.56445000006</v>
      </c>
      <c r="E1597" s="57">
        <v>700721.8571539087</v>
      </c>
      <c r="F1597" s="57">
        <v>0</v>
      </c>
      <c r="G1597" s="57">
        <v>0</v>
      </c>
      <c r="H1597" s="58">
        <v>3.6355299469281288E-2</v>
      </c>
      <c r="I1597" s="58">
        <v>0</v>
      </c>
      <c r="J1597" s="58">
        <v>3.6355299469281288E-2</v>
      </c>
    </row>
    <row r="1598" spans="1:10" ht="11.25" customHeight="1" x14ac:dyDescent="0.2">
      <c r="A1598" s="67">
        <v>43952</v>
      </c>
      <c r="B1598" s="57">
        <v>0</v>
      </c>
      <c r="C1598" s="57">
        <v>0</v>
      </c>
      <c r="D1598" s="57">
        <v>688548.63404999999</v>
      </c>
      <c r="E1598" s="57">
        <v>713581.0258400524</v>
      </c>
      <c r="F1598" s="57">
        <v>0</v>
      </c>
      <c r="G1598" s="57">
        <v>0</v>
      </c>
      <c r="H1598" s="58">
        <v>3.635529946928151E-2</v>
      </c>
      <c r="I1598" s="58">
        <v>0</v>
      </c>
      <c r="J1598" s="58">
        <v>3.635529946928151E-2</v>
      </c>
    </row>
    <row r="1599" spans="1:10" ht="11.25" customHeight="1" x14ac:dyDescent="0.2">
      <c r="A1599" s="67">
        <v>43983</v>
      </c>
      <c r="B1599" s="57">
        <v>0</v>
      </c>
      <c r="C1599" s="57">
        <v>0</v>
      </c>
      <c r="D1599" s="57">
        <v>688548.63404999999</v>
      </c>
      <c r="E1599" s="57">
        <v>713581.0258400524</v>
      </c>
      <c r="F1599" s="57">
        <v>0</v>
      </c>
      <c r="G1599" s="57">
        <v>0</v>
      </c>
      <c r="H1599" s="58">
        <v>3.635529946928151E-2</v>
      </c>
      <c r="I1599" s="58">
        <v>0</v>
      </c>
      <c r="J1599" s="58">
        <v>3.635529946928151E-2</v>
      </c>
    </row>
    <row r="1600" spans="1:10" ht="11.25" customHeight="1" x14ac:dyDescent="0.2">
      <c r="A1600" s="67">
        <v>44013</v>
      </c>
      <c r="B1600" s="57">
        <v>0</v>
      </c>
      <c r="C1600" s="57">
        <v>0</v>
      </c>
      <c r="D1600" s="57">
        <v>616878.53700000001</v>
      </c>
      <c r="E1600" s="57">
        <v>639305.34094880719</v>
      </c>
      <c r="F1600" s="57">
        <v>0</v>
      </c>
      <c r="G1600" s="57">
        <v>0</v>
      </c>
      <c r="H1600" s="58">
        <v>3.6355299469281288E-2</v>
      </c>
      <c r="I1600" s="58">
        <v>0</v>
      </c>
      <c r="J1600" s="58">
        <v>3.6355299469281288E-2</v>
      </c>
    </row>
    <row r="1601" spans="1:10" ht="11.25" customHeight="1" x14ac:dyDescent="0.2">
      <c r="A1601" s="67">
        <v>44044</v>
      </c>
      <c r="B1601" s="57">
        <v>0</v>
      </c>
      <c r="C1601" s="57">
        <v>0</v>
      </c>
      <c r="D1601" s="57">
        <v>730683.69479999994</v>
      </c>
      <c r="E1601" s="57">
        <v>757247.91934177489</v>
      </c>
      <c r="F1601" s="57">
        <v>0</v>
      </c>
      <c r="G1601" s="57">
        <v>0</v>
      </c>
      <c r="H1601" s="58">
        <v>3.6355299469281288E-2</v>
      </c>
      <c r="I1601" s="58">
        <v>0</v>
      </c>
      <c r="J1601" s="58">
        <v>3.6355299469281288E-2</v>
      </c>
    </row>
    <row r="1602" spans="1:10" ht="11.25" customHeight="1" x14ac:dyDescent="0.2">
      <c r="A1602" s="67">
        <v>44075</v>
      </c>
      <c r="B1602" s="57">
        <v>0</v>
      </c>
      <c r="C1602" s="57">
        <v>0</v>
      </c>
      <c r="D1602" s="57">
        <v>730683.69479999994</v>
      </c>
      <c r="E1602" s="57">
        <v>757247.91934177489</v>
      </c>
      <c r="F1602" s="57">
        <v>0</v>
      </c>
      <c r="G1602" s="57">
        <v>0</v>
      </c>
      <c r="H1602" s="58">
        <v>3.6355299469281288E-2</v>
      </c>
      <c r="I1602" s="58">
        <v>0</v>
      </c>
      <c r="J1602" s="58">
        <v>3.6355299469281288E-2</v>
      </c>
    </row>
    <row r="1603" spans="1:10" ht="11.25" customHeight="1" x14ac:dyDescent="0.2">
      <c r="A1603" s="66" t="s">
        <v>25</v>
      </c>
      <c r="B1603" s="57">
        <v>2111526.1100838864</v>
      </c>
      <c r="C1603" s="57">
        <v>2744829.7486519874</v>
      </c>
      <c r="D1603" s="57">
        <v>0</v>
      </c>
      <c r="E1603" s="57">
        <v>0</v>
      </c>
      <c r="F1603" s="57">
        <v>0</v>
      </c>
      <c r="G1603" s="57">
        <v>0</v>
      </c>
      <c r="H1603" s="58">
        <v>0.29992697487550424</v>
      </c>
      <c r="I1603" s="58">
        <v>0</v>
      </c>
      <c r="J1603" s="58">
        <v>0.29992697487550424</v>
      </c>
    </row>
    <row r="1604" spans="1:10" ht="11.25" customHeight="1" x14ac:dyDescent="0.2">
      <c r="A1604" s="67">
        <v>43739</v>
      </c>
      <c r="B1604" s="57">
        <v>159512.07267688843</v>
      </c>
      <c r="C1604" s="57">
        <v>207354.04609098917</v>
      </c>
      <c r="D1604" s="57">
        <v>0</v>
      </c>
      <c r="E1604" s="57">
        <v>0</v>
      </c>
      <c r="F1604" s="57">
        <v>0</v>
      </c>
      <c r="G1604" s="57">
        <v>0</v>
      </c>
      <c r="H1604" s="58">
        <v>0.29992697487550424</v>
      </c>
      <c r="I1604" s="58">
        <v>0</v>
      </c>
      <c r="J1604" s="58">
        <v>0.29992697487550424</v>
      </c>
    </row>
    <row r="1605" spans="1:10" ht="11.25" customHeight="1" x14ac:dyDescent="0.2">
      <c r="A1605" s="67">
        <v>43770</v>
      </c>
      <c r="B1605" s="57">
        <v>172131.60268292762</v>
      </c>
      <c r="C1605" s="57">
        <v>223758.51355609036</v>
      </c>
      <c r="D1605" s="57">
        <v>0</v>
      </c>
      <c r="E1605" s="57">
        <v>0</v>
      </c>
      <c r="F1605" s="57">
        <v>0</v>
      </c>
      <c r="G1605" s="57">
        <v>0</v>
      </c>
      <c r="H1605" s="58">
        <v>0.29992697487550446</v>
      </c>
      <c r="I1605" s="58">
        <v>0</v>
      </c>
      <c r="J1605" s="58">
        <v>0.29992697487550446</v>
      </c>
    </row>
    <row r="1606" spans="1:10" ht="11.25" customHeight="1" x14ac:dyDescent="0.2">
      <c r="A1606" s="67">
        <v>43800</v>
      </c>
      <c r="B1606" s="57">
        <v>161262.906839367</v>
      </c>
      <c r="C1606" s="57">
        <v>209630.00264732866</v>
      </c>
      <c r="D1606" s="57">
        <v>0</v>
      </c>
      <c r="E1606" s="57">
        <v>0</v>
      </c>
      <c r="F1606" s="57">
        <v>0</v>
      </c>
      <c r="G1606" s="57">
        <v>0</v>
      </c>
      <c r="H1606" s="58">
        <v>0.29992697487550446</v>
      </c>
      <c r="I1606" s="58">
        <v>0</v>
      </c>
      <c r="J1606" s="58">
        <v>0.29992697487550446</v>
      </c>
    </row>
    <row r="1607" spans="1:10" ht="11.25" customHeight="1" x14ac:dyDescent="0.2">
      <c r="A1607" s="67">
        <v>43831</v>
      </c>
      <c r="B1607" s="57">
        <v>171618.1441162916</v>
      </c>
      <c r="C1607" s="57">
        <v>223091.0549148393</v>
      </c>
      <c r="D1607" s="57">
        <v>0</v>
      </c>
      <c r="E1607" s="57">
        <v>0</v>
      </c>
      <c r="F1607" s="57">
        <v>0</v>
      </c>
      <c r="G1607" s="57">
        <v>0</v>
      </c>
      <c r="H1607" s="58">
        <v>0.29992697487550446</v>
      </c>
      <c r="I1607" s="58">
        <v>0</v>
      </c>
      <c r="J1607" s="58">
        <v>0.29992697487550446</v>
      </c>
    </row>
    <row r="1608" spans="1:10" ht="11.25" customHeight="1" x14ac:dyDescent="0.2">
      <c r="A1608" s="67">
        <v>43862</v>
      </c>
      <c r="B1608" s="57">
        <v>172484.29926259143</v>
      </c>
      <c r="C1608" s="57">
        <v>224216.99335394168</v>
      </c>
      <c r="D1608" s="57">
        <v>0</v>
      </c>
      <c r="E1608" s="57">
        <v>0</v>
      </c>
      <c r="F1608" s="57">
        <v>0</v>
      </c>
      <c r="G1608" s="57">
        <v>0</v>
      </c>
      <c r="H1608" s="58">
        <v>0.29992697487550446</v>
      </c>
      <c r="I1608" s="58">
        <v>0</v>
      </c>
      <c r="J1608" s="58">
        <v>0.29992697487550446</v>
      </c>
    </row>
    <row r="1609" spans="1:10" ht="11.25" customHeight="1" x14ac:dyDescent="0.2">
      <c r="A1609" s="67">
        <v>43891</v>
      </c>
      <c r="B1609" s="57">
        <v>179191.4567897174</v>
      </c>
      <c r="C1609" s="57">
        <v>232935.80834819202</v>
      </c>
      <c r="D1609" s="57">
        <v>0</v>
      </c>
      <c r="E1609" s="57">
        <v>0</v>
      </c>
      <c r="F1609" s="57">
        <v>0</v>
      </c>
      <c r="G1609" s="57">
        <v>0</v>
      </c>
      <c r="H1609" s="58">
        <v>0.29992697487550446</v>
      </c>
      <c r="I1609" s="58">
        <v>0</v>
      </c>
      <c r="J1609" s="58">
        <v>0.29992697487550446</v>
      </c>
    </row>
    <row r="1610" spans="1:10" ht="11.25" customHeight="1" x14ac:dyDescent="0.2">
      <c r="A1610" s="67">
        <v>43922</v>
      </c>
      <c r="B1610" s="57">
        <v>185003.12726675672</v>
      </c>
      <c r="C1610" s="57">
        <v>240490.555570383</v>
      </c>
      <c r="D1610" s="57">
        <v>0</v>
      </c>
      <c r="E1610" s="57">
        <v>0</v>
      </c>
      <c r="F1610" s="57">
        <v>0</v>
      </c>
      <c r="G1610" s="57">
        <v>0</v>
      </c>
      <c r="H1610" s="58">
        <v>0.29992697487550446</v>
      </c>
      <c r="I1610" s="58">
        <v>0</v>
      </c>
      <c r="J1610" s="58">
        <v>0.29992697487550446</v>
      </c>
    </row>
    <row r="1611" spans="1:10" ht="11.25" customHeight="1" x14ac:dyDescent="0.2">
      <c r="A1611" s="67">
        <v>43952</v>
      </c>
      <c r="B1611" s="57">
        <v>187303.17942607091</v>
      </c>
      <c r="C1611" s="57">
        <v>243480.45541589617</v>
      </c>
      <c r="D1611" s="57">
        <v>0</v>
      </c>
      <c r="E1611" s="57">
        <v>0</v>
      </c>
      <c r="F1611" s="57">
        <v>0</v>
      </c>
      <c r="G1611" s="57">
        <v>0</v>
      </c>
      <c r="H1611" s="58">
        <v>0.29992697487550446</v>
      </c>
      <c r="I1611" s="58">
        <v>0</v>
      </c>
      <c r="J1611" s="58">
        <v>0.29992697487550446</v>
      </c>
    </row>
    <row r="1612" spans="1:10" ht="11.25" customHeight="1" x14ac:dyDescent="0.2">
      <c r="A1612" s="67">
        <v>43983</v>
      </c>
      <c r="B1612" s="57">
        <v>184452.84928076321</v>
      </c>
      <c r="C1612" s="57">
        <v>239775.23437270988</v>
      </c>
      <c r="D1612" s="57">
        <v>0</v>
      </c>
      <c r="E1612" s="57">
        <v>0</v>
      </c>
      <c r="F1612" s="57">
        <v>0</v>
      </c>
      <c r="G1612" s="57">
        <v>0</v>
      </c>
      <c r="H1612" s="58">
        <v>0.29992697487550446</v>
      </c>
      <c r="I1612" s="58">
        <v>0</v>
      </c>
      <c r="J1612" s="58">
        <v>0.29992697487550446</v>
      </c>
    </row>
    <row r="1613" spans="1:10" ht="11.25" customHeight="1" x14ac:dyDescent="0.2">
      <c r="A1613" s="67">
        <v>44013</v>
      </c>
      <c r="B1613" s="57">
        <v>153568.76694251201</v>
      </c>
      <c r="C1613" s="57">
        <v>199628.18264694102</v>
      </c>
      <c r="D1613" s="57">
        <v>0</v>
      </c>
      <c r="E1613" s="57">
        <v>0</v>
      </c>
      <c r="F1613" s="57">
        <v>0</v>
      </c>
      <c r="G1613" s="57">
        <v>0</v>
      </c>
      <c r="H1613" s="58">
        <v>0.29992697487550446</v>
      </c>
      <c r="I1613" s="58">
        <v>0</v>
      </c>
      <c r="J1613" s="58">
        <v>0.29992697487550446</v>
      </c>
    </row>
    <row r="1614" spans="1:10" ht="11.25" customHeight="1" x14ac:dyDescent="0.2">
      <c r="A1614" s="67">
        <v>44044</v>
      </c>
      <c r="B1614" s="57">
        <v>192498.85240000003</v>
      </c>
      <c r="C1614" s="57">
        <v>250234.45086733828</v>
      </c>
      <c r="D1614" s="57">
        <v>0</v>
      </c>
      <c r="E1614" s="57">
        <v>0</v>
      </c>
      <c r="F1614" s="57">
        <v>0</v>
      </c>
      <c r="G1614" s="57">
        <v>0</v>
      </c>
      <c r="H1614" s="58">
        <v>0.29992697487550446</v>
      </c>
      <c r="I1614" s="58">
        <v>0</v>
      </c>
      <c r="J1614" s="58">
        <v>0.29992697487550446</v>
      </c>
    </row>
    <row r="1615" spans="1:10" ht="11.25" customHeight="1" x14ac:dyDescent="0.2">
      <c r="A1615" s="67">
        <v>44075</v>
      </c>
      <c r="B1615" s="57">
        <v>192498.85240000003</v>
      </c>
      <c r="C1615" s="57">
        <v>250234.45086733828</v>
      </c>
      <c r="D1615" s="57">
        <v>0</v>
      </c>
      <c r="E1615" s="57">
        <v>0</v>
      </c>
      <c r="F1615" s="57">
        <v>0</v>
      </c>
      <c r="G1615" s="57">
        <v>0</v>
      </c>
      <c r="H1615" s="58">
        <v>0.29992697487550446</v>
      </c>
      <c r="I1615" s="58">
        <v>0</v>
      </c>
      <c r="J1615" s="58">
        <v>0.29992697487550446</v>
      </c>
    </row>
    <row r="1616" spans="1:10" ht="11.25" customHeight="1" x14ac:dyDescent="0.2">
      <c r="A1616" s="66" t="s">
        <v>35</v>
      </c>
      <c r="B1616" s="57">
        <v>0</v>
      </c>
      <c r="C1616" s="57">
        <v>0</v>
      </c>
      <c r="D1616" s="57">
        <v>4611100.9011377422</v>
      </c>
      <c r="E1616" s="57">
        <v>5370612.7528716037</v>
      </c>
      <c r="F1616" s="57">
        <v>0</v>
      </c>
      <c r="G1616" s="57">
        <v>0</v>
      </c>
      <c r="H1616" s="58">
        <v>0.16471377834010514</v>
      </c>
      <c r="I1616" s="58">
        <v>0</v>
      </c>
      <c r="J1616" s="58">
        <v>0.16471377834010514</v>
      </c>
    </row>
    <row r="1617" spans="1:10" ht="11.25" customHeight="1" x14ac:dyDescent="0.2">
      <c r="A1617" s="67">
        <v>43739</v>
      </c>
      <c r="B1617" s="57">
        <v>0</v>
      </c>
      <c r="C1617" s="57">
        <v>0</v>
      </c>
      <c r="D1617" s="57">
        <v>456297.82713511109</v>
      </c>
      <c r="E1617" s="57">
        <v>531456.36629091552</v>
      </c>
      <c r="F1617" s="57">
        <v>0</v>
      </c>
      <c r="G1617" s="57">
        <v>0</v>
      </c>
      <c r="H1617" s="58">
        <v>0.16471377834010537</v>
      </c>
      <c r="I1617" s="58">
        <v>0</v>
      </c>
      <c r="J1617" s="58">
        <v>0.16471377834010537</v>
      </c>
    </row>
    <row r="1618" spans="1:10" ht="11.25" customHeight="1" x14ac:dyDescent="0.2">
      <c r="A1618" s="67">
        <v>43770</v>
      </c>
      <c r="B1618" s="57">
        <v>0</v>
      </c>
      <c r="C1618" s="57">
        <v>0</v>
      </c>
      <c r="D1618" s="57">
        <v>361478.44067062507</v>
      </c>
      <c r="E1618" s="57">
        <v>421018.92042197334</v>
      </c>
      <c r="F1618" s="57">
        <v>0</v>
      </c>
      <c r="G1618" s="57">
        <v>0</v>
      </c>
      <c r="H1618" s="58">
        <v>0.16471377834010537</v>
      </c>
      <c r="I1618" s="58">
        <v>0</v>
      </c>
      <c r="J1618" s="58">
        <v>0.16471377834010537</v>
      </c>
    </row>
    <row r="1619" spans="1:10" ht="11.25" customHeight="1" x14ac:dyDescent="0.2">
      <c r="A1619" s="67">
        <v>43800</v>
      </c>
      <c r="B1619" s="57">
        <v>0</v>
      </c>
      <c r="C1619" s="57">
        <v>0</v>
      </c>
      <c r="D1619" s="57">
        <v>383819.56114731502</v>
      </c>
      <c r="E1619" s="57">
        <v>447039.9312647304</v>
      </c>
      <c r="F1619" s="57">
        <v>0</v>
      </c>
      <c r="G1619" s="57">
        <v>0</v>
      </c>
      <c r="H1619" s="58">
        <v>0.16471377834010537</v>
      </c>
      <c r="I1619" s="58">
        <v>0</v>
      </c>
      <c r="J1619" s="58">
        <v>0.16471377834010537</v>
      </c>
    </row>
    <row r="1620" spans="1:10" ht="11.25" customHeight="1" x14ac:dyDescent="0.2">
      <c r="A1620" s="67">
        <v>43831</v>
      </c>
      <c r="B1620" s="57">
        <v>0</v>
      </c>
      <c r="C1620" s="57">
        <v>0</v>
      </c>
      <c r="D1620" s="57">
        <v>433297.86005393829</v>
      </c>
      <c r="E1620" s="57">
        <v>504667.98773010465</v>
      </c>
      <c r="F1620" s="57">
        <v>0</v>
      </c>
      <c r="G1620" s="57">
        <v>0</v>
      </c>
      <c r="H1620" s="58">
        <v>0.16471377834010537</v>
      </c>
      <c r="I1620" s="58">
        <v>0</v>
      </c>
      <c r="J1620" s="58">
        <v>0.16471377834010537</v>
      </c>
    </row>
    <row r="1621" spans="1:10" ht="11.25" customHeight="1" x14ac:dyDescent="0.2">
      <c r="A1621" s="67">
        <v>43862</v>
      </c>
      <c r="B1621" s="57">
        <v>0</v>
      </c>
      <c r="C1621" s="57">
        <v>0</v>
      </c>
      <c r="D1621" s="57">
        <v>384643.42629840266</v>
      </c>
      <c r="E1621" s="57">
        <v>447999.49835769646</v>
      </c>
      <c r="F1621" s="57">
        <v>0</v>
      </c>
      <c r="G1621" s="57">
        <v>0</v>
      </c>
      <c r="H1621" s="58">
        <v>0.16471377834010559</v>
      </c>
      <c r="I1621" s="58">
        <v>0</v>
      </c>
      <c r="J1621" s="58">
        <v>0.16471377834010559</v>
      </c>
    </row>
    <row r="1622" spans="1:10" ht="11.25" customHeight="1" x14ac:dyDescent="0.2">
      <c r="A1622" s="67">
        <v>43891</v>
      </c>
      <c r="B1622" s="57">
        <v>0</v>
      </c>
      <c r="C1622" s="57">
        <v>0</v>
      </c>
      <c r="D1622" s="57">
        <v>432343.00931597082</v>
      </c>
      <c r="E1622" s="57">
        <v>503555.85991933575</v>
      </c>
      <c r="F1622" s="57">
        <v>0</v>
      </c>
      <c r="G1622" s="57">
        <v>0</v>
      </c>
      <c r="H1622" s="58">
        <v>0.16471377834010537</v>
      </c>
      <c r="I1622" s="58">
        <v>0</v>
      </c>
      <c r="J1622" s="58">
        <v>0.16471377834010537</v>
      </c>
    </row>
    <row r="1623" spans="1:10" ht="11.25" customHeight="1" x14ac:dyDescent="0.2">
      <c r="A1623" s="67">
        <v>43922</v>
      </c>
      <c r="B1623" s="57">
        <v>0</v>
      </c>
      <c r="C1623" s="57">
        <v>0</v>
      </c>
      <c r="D1623" s="57">
        <v>343001.7506578372</v>
      </c>
      <c r="E1623" s="57">
        <v>399498.86498596024</v>
      </c>
      <c r="F1623" s="57">
        <v>0</v>
      </c>
      <c r="G1623" s="57">
        <v>0</v>
      </c>
      <c r="H1623" s="58">
        <v>0.16471377834010514</v>
      </c>
      <c r="I1623" s="58">
        <v>0</v>
      </c>
      <c r="J1623" s="58">
        <v>0.16471377834010514</v>
      </c>
    </row>
    <row r="1624" spans="1:10" ht="11.25" customHeight="1" x14ac:dyDescent="0.2">
      <c r="A1624" s="67">
        <v>43952</v>
      </c>
      <c r="B1624" s="57">
        <v>0</v>
      </c>
      <c r="C1624" s="57">
        <v>0</v>
      </c>
      <c r="D1624" s="57">
        <v>352558.88118276745</v>
      </c>
      <c r="E1624" s="57">
        <v>410630.18658974132</v>
      </c>
      <c r="F1624" s="57">
        <v>0</v>
      </c>
      <c r="G1624" s="57">
        <v>0</v>
      </c>
      <c r="H1624" s="58">
        <v>0.16471377834010537</v>
      </c>
      <c r="I1624" s="58">
        <v>0</v>
      </c>
      <c r="J1624" s="58">
        <v>0.16471377834010537</v>
      </c>
    </row>
    <row r="1625" spans="1:10" ht="11.25" customHeight="1" x14ac:dyDescent="0.2">
      <c r="A1625" s="67">
        <v>43983</v>
      </c>
      <c r="B1625" s="57">
        <v>0</v>
      </c>
      <c r="C1625" s="57">
        <v>0</v>
      </c>
      <c r="D1625" s="57">
        <v>348927.77442515135</v>
      </c>
      <c r="E1625" s="57">
        <v>406400.98651852203</v>
      </c>
      <c r="F1625" s="57">
        <v>0</v>
      </c>
      <c r="G1625" s="57">
        <v>0</v>
      </c>
      <c r="H1625" s="58">
        <v>0.16471377834010537</v>
      </c>
      <c r="I1625" s="58">
        <v>0</v>
      </c>
      <c r="J1625" s="58">
        <v>0.16471377834010537</v>
      </c>
    </row>
    <row r="1626" spans="1:10" ht="11.25" customHeight="1" x14ac:dyDescent="0.2">
      <c r="A1626" s="67">
        <v>44013</v>
      </c>
      <c r="B1626" s="57">
        <v>0</v>
      </c>
      <c r="C1626" s="57">
        <v>0</v>
      </c>
      <c r="D1626" s="57">
        <v>361044.22500422312</v>
      </c>
      <c r="E1626" s="57">
        <v>420513.18345254386</v>
      </c>
      <c r="F1626" s="57">
        <v>0</v>
      </c>
      <c r="G1626" s="57">
        <v>0</v>
      </c>
      <c r="H1626" s="58">
        <v>0.16471377834010537</v>
      </c>
      <c r="I1626" s="58">
        <v>0</v>
      </c>
      <c r="J1626" s="58">
        <v>0.16471377834010537</v>
      </c>
    </row>
    <row r="1627" spans="1:10" ht="11.25" customHeight="1" x14ac:dyDescent="0.2">
      <c r="A1627" s="67">
        <v>44044</v>
      </c>
      <c r="B1627" s="57">
        <v>0</v>
      </c>
      <c r="C1627" s="57">
        <v>0</v>
      </c>
      <c r="D1627" s="57">
        <v>376844.07262320002</v>
      </c>
      <c r="E1627" s="57">
        <v>438915.48367004038</v>
      </c>
      <c r="F1627" s="57">
        <v>0</v>
      </c>
      <c r="G1627" s="57">
        <v>0</v>
      </c>
      <c r="H1627" s="58">
        <v>0.16471377834010537</v>
      </c>
      <c r="I1627" s="58">
        <v>0</v>
      </c>
      <c r="J1627" s="58">
        <v>0.16471377834010537</v>
      </c>
    </row>
    <row r="1628" spans="1:10" ht="11.25" customHeight="1" x14ac:dyDescent="0.2">
      <c r="A1628" s="67">
        <v>44075</v>
      </c>
      <c r="B1628" s="57">
        <v>0</v>
      </c>
      <c r="C1628" s="57">
        <v>0</v>
      </c>
      <c r="D1628" s="57">
        <v>376844.07262320002</v>
      </c>
      <c r="E1628" s="57">
        <v>438915.48367004038</v>
      </c>
      <c r="F1628" s="57">
        <v>0</v>
      </c>
      <c r="G1628" s="57">
        <v>0</v>
      </c>
      <c r="H1628" s="58">
        <v>0.16471377834010537</v>
      </c>
      <c r="I1628" s="58">
        <v>0</v>
      </c>
      <c r="J1628" s="58">
        <v>0.16471377834010537</v>
      </c>
    </row>
    <row r="1629" spans="1:10" ht="11.25" customHeight="1" x14ac:dyDescent="0.2">
      <c r="A1629" s="60" t="s">
        <v>44</v>
      </c>
      <c r="B1629" s="57">
        <v>6046486.065264293</v>
      </c>
      <c r="C1629" s="57">
        <v>7181312.4900798071</v>
      </c>
      <c r="D1629" s="57">
        <v>11524248.899829827</v>
      </c>
      <c r="E1629" s="57">
        <v>12058028.508684985</v>
      </c>
      <c r="F1629" s="57">
        <v>0</v>
      </c>
      <c r="G1629" s="57">
        <v>0</v>
      </c>
      <c r="H1629" s="58">
        <v>9.4965067595949249E-2</v>
      </c>
      <c r="I1629" s="58">
        <v>0</v>
      </c>
      <c r="J1629" s="58">
        <v>9.4965067595949249E-2</v>
      </c>
    </row>
    <row r="1630" spans="1:10" ht="11.25" customHeight="1" x14ac:dyDescent="0.2">
      <c r="A1630" s="61" t="s">
        <v>41</v>
      </c>
      <c r="B1630" s="57">
        <v>5076589.7476459108</v>
      </c>
      <c r="C1630" s="57">
        <v>5913431.736462824</v>
      </c>
      <c r="D1630" s="57">
        <v>6476164.2175000012</v>
      </c>
      <c r="E1630" s="57">
        <v>6666792.4653290547</v>
      </c>
      <c r="F1630" s="57">
        <v>0</v>
      </c>
      <c r="G1630" s="57">
        <v>0</v>
      </c>
      <c r="H1630" s="58">
        <v>8.8937255977734386E-2</v>
      </c>
      <c r="I1630" s="58">
        <v>0</v>
      </c>
      <c r="J1630" s="58">
        <v>8.8937255977734386E-2</v>
      </c>
    </row>
    <row r="1631" spans="1:10" ht="11.25" customHeight="1" x14ac:dyDescent="0.2">
      <c r="A1631" s="62" t="s">
        <v>40</v>
      </c>
      <c r="B1631" s="57">
        <v>5076589.7476459108</v>
      </c>
      <c r="C1631" s="57">
        <v>5913431.736462824</v>
      </c>
      <c r="D1631" s="57">
        <v>6476164.2175000012</v>
      </c>
      <c r="E1631" s="57">
        <v>6666792.4653290547</v>
      </c>
      <c r="F1631" s="57">
        <v>0</v>
      </c>
      <c r="G1631" s="57">
        <v>0</v>
      </c>
      <c r="H1631" s="58">
        <v>8.8937255977734386E-2</v>
      </c>
      <c r="I1631" s="58">
        <v>0</v>
      </c>
      <c r="J1631" s="58">
        <v>8.8937255977734386E-2</v>
      </c>
    </row>
    <row r="1632" spans="1:10" ht="11.25" customHeight="1" x14ac:dyDescent="0.2">
      <c r="A1632" s="63" t="s">
        <v>25</v>
      </c>
      <c r="B1632" s="57">
        <v>5076589.7476459108</v>
      </c>
      <c r="C1632" s="57">
        <v>5913431.736462824</v>
      </c>
      <c r="D1632" s="57">
        <v>6476164.2175000012</v>
      </c>
      <c r="E1632" s="57">
        <v>6666792.4653290547</v>
      </c>
      <c r="F1632" s="57">
        <v>0</v>
      </c>
      <c r="G1632" s="57">
        <v>0</v>
      </c>
      <c r="H1632" s="58">
        <v>8.8937255977734386E-2</v>
      </c>
      <c r="I1632" s="58">
        <v>0</v>
      </c>
      <c r="J1632" s="58">
        <v>8.8937255977734386E-2</v>
      </c>
    </row>
    <row r="1633" spans="1:10" ht="11.25" customHeight="1" x14ac:dyDescent="0.2">
      <c r="A1633" s="64" t="s">
        <v>63</v>
      </c>
      <c r="B1633" s="57">
        <v>5076589.7476459108</v>
      </c>
      <c r="C1633" s="57">
        <v>5913431.736462824</v>
      </c>
      <c r="D1633" s="57">
        <v>6476164.2175000012</v>
      </c>
      <c r="E1633" s="57">
        <v>6666792.4653290547</v>
      </c>
      <c r="F1633" s="57">
        <v>0</v>
      </c>
      <c r="G1633" s="57">
        <v>0</v>
      </c>
      <c r="H1633" s="58">
        <v>8.8937255977734386E-2</v>
      </c>
      <c r="I1633" s="58">
        <v>0</v>
      </c>
      <c r="J1633" s="58">
        <v>8.8937255977734386E-2</v>
      </c>
    </row>
    <row r="1634" spans="1:10" ht="11.25" customHeight="1" x14ac:dyDescent="0.2">
      <c r="A1634" s="65" t="s">
        <v>25</v>
      </c>
      <c r="B1634" s="57">
        <v>5076589.7476459108</v>
      </c>
      <c r="C1634" s="57">
        <v>5913431.736462824</v>
      </c>
      <c r="D1634" s="57">
        <v>6476164.2175000012</v>
      </c>
      <c r="E1634" s="57">
        <v>6666792.4653290547</v>
      </c>
      <c r="F1634" s="57">
        <v>0</v>
      </c>
      <c r="G1634" s="57">
        <v>0</v>
      </c>
      <c r="H1634" s="58">
        <v>8.8937255977734386E-2</v>
      </c>
      <c r="I1634" s="58">
        <v>0</v>
      </c>
      <c r="J1634" s="58">
        <v>8.8937255977734386E-2</v>
      </c>
    </row>
    <row r="1635" spans="1:10" ht="11.25" customHeight="1" x14ac:dyDescent="0.2">
      <c r="A1635" s="66" t="s">
        <v>36</v>
      </c>
      <c r="B1635" s="57">
        <v>1179100.9708796735</v>
      </c>
      <c r="C1635" s="57">
        <v>1541360.0406488471</v>
      </c>
      <c r="D1635" s="57">
        <v>0</v>
      </c>
      <c r="E1635" s="57">
        <v>0</v>
      </c>
      <c r="F1635" s="57">
        <v>0</v>
      </c>
      <c r="G1635" s="57">
        <v>0</v>
      </c>
      <c r="H1635" s="58">
        <v>0.30723328935850902</v>
      </c>
      <c r="I1635" s="58">
        <v>0</v>
      </c>
      <c r="J1635" s="58">
        <v>0.30723328935850902</v>
      </c>
    </row>
    <row r="1636" spans="1:10" ht="11.25" customHeight="1" x14ac:dyDescent="0.2">
      <c r="A1636" s="67">
        <v>43739</v>
      </c>
      <c r="B1636" s="57">
        <v>87844.124211753602</v>
      </c>
      <c r="C1636" s="57">
        <v>114832.76344414809</v>
      </c>
      <c r="D1636" s="57">
        <v>0</v>
      </c>
      <c r="E1636" s="57">
        <v>0</v>
      </c>
      <c r="F1636" s="57">
        <v>0</v>
      </c>
      <c r="G1636" s="57">
        <v>0</v>
      </c>
      <c r="H1636" s="58">
        <v>0.3072332893585088</v>
      </c>
      <c r="I1636" s="58">
        <v>0</v>
      </c>
      <c r="J1636" s="58">
        <v>0.3072332893585088</v>
      </c>
    </row>
    <row r="1637" spans="1:10" ht="11.25" customHeight="1" x14ac:dyDescent="0.2">
      <c r="A1637" s="67">
        <v>43770</v>
      </c>
      <c r="B1637" s="57">
        <v>88097.783631587998</v>
      </c>
      <c r="C1637" s="57">
        <v>115164.35548191499</v>
      </c>
      <c r="D1637" s="57">
        <v>0</v>
      </c>
      <c r="E1637" s="57">
        <v>0</v>
      </c>
      <c r="F1637" s="57">
        <v>0</v>
      </c>
      <c r="G1637" s="57">
        <v>0</v>
      </c>
      <c r="H1637" s="58">
        <v>0.30723328935850902</v>
      </c>
      <c r="I1637" s="58">
        <v>0</v>
      </c>
      <c r="J1637" s="58">
        <v>0.30723328935850902</v>
      </c>
    </row>
    <row r="1638" spans="1:10" ht="11.25" customHeight="1" x14ac:dyDescent="0.2">
      <c r="A1638" s="67">
        <v>43800</v>
      </c>
      <c r="B1638" s="57">
        <v>88553.359730635202</v>
      </c>
      <c r="C1638" s="57">
        <v>115759.89972442559</v>
      </c>
      <c r="D1638" s="57">
        <v>0</v>
      </c>
      <c r="E1638" s="57">
        <v>0</v>
      </c>
      <c r="F1638" s="57">
        <v>0</v>
      </c>
      <c r="G1638" s="57">
        <v>0</v>
      </c>
      <c r="H1638" s="58">
        <v>0.30723328935850902</v>
      </c>
      <c r="I1638" s="58">
        <v>0</v>
      </c>
      <c r="J1638" s="58">
        <v>0.30723328935850902</v>
      </c>
    </row>
    <row r="1639" spans="1:10" ht="11.25" customHeight="1" x14ac:dyDescent="0.2">
      <c r="A1639" s="67">
        <v>43831</v>
      </c>
      <c r="B1639" s="57">
        <v>107194.9834129824</v>
      </c>
      <c r="C1639" s="57">
        <v>140128.85076968381</v>
      </c>
      <c r="D1639" s="57">
        <v>0</v>
      </c>
      <c r="E1639" s="57">
        <v>0</v>
      </c>
      <c r="F1639" s="57">
        <v>0</v>
      </c>
      <c r="G1639" s="57">
        <v>0</v>
      </c>
      <c r="H1639" s="58">
        <v>0.30723328935850902</v>
      </c>
      <c r="I1639" s="58">
        <v>0</v>
      </c>
      <c r="J1639" s="58">
        <v>0.30723328935850902</v>
      </c>
    </row>
    <row r="1640" spans="1:10" ht="11.25" customHeight="1" x14ac:dyDescent="0.2">
      <c r="A1640" s="67">
        <v>43862</v>
      </c>
      <c r="B1640" s="57">
        <v>100606.31243757361</v>
      </c>
      <c r="C1640" s="57">
        <v>131515.92073799923</v>
      </c>
      <c r="D1640" s="57">
        <v>0</v>
      </c>
      <c r="E1640" s="57">
        <v>0</v>
      </c>
      <c r="F1640" s="57">
        <v>0</v>
      </c>
      <c r="G1640" s="57">
        <v>0</v>
      </c>
      <c r="H1640" s="58">
        <v>0.30723328935850902</v>
      </c>
      <c r="I1640" s="58">
        <v>0</v>
      </c>
      <c r="J1640" s="58">
        <v>0.30723328935850902</v>
      </c>
    </row>
    <row r="1641" spans="1:10" ht="11.25" customHeight="1" x14ac:dyDescent="0.2">
      <c r="A1641" s="67">
        <v>43891</v>
      </c>
      <c r="B1641" s="57">
        <v>99911.230378185603</v>
      </c>
      <c r="C1641" s="57">
        <v>130607.28633113134</v>
      </c>
      <c r="D1641" s="57">
        <v>0</v>
      </c>
      <c r="E1641" s="57">
        <v>0</v>
      </c>
      <c r="F1641" s="57">
        <v>0</v>
      </c>
      <c r="G1641" s="57">
        <v>0</v>
      </c>
      <c r="H1641" s="58">
        <v>0.3072332893585088</v>
      </c>
      <c r="I1641" s="58">
        <v>0</v>
      </c>
      <c r="J1641" s="58">
        <v>0.3072332893585088</v>
      </c>
    </row>
    <row r="1642" spans="1:10" ht="11.25" customHeight="1" x14ac:dyDescent="0.2">
      <c r="A1642" s="67">
        <v>43922</v>
      </c>
      <c r="B1642" s="57">
        <v>99323.277497243995</v>
      </c>
      <c r="C1642" s="57">
        <v>129838.69475259025</v>
      </c>
      <c r="D1642" s="57">
        <v>0</v>
      </c>
      <c r="E1642" s="57">
        <v>0</v>
      </c>
      <c r="F1642" s="57">
        <v>0</v>
      </c>
      <c r="G1642" s="57">
        <v>0</v>
      </c>
      <c r="H1642" s="58">
        <v>0.30723328935850902</v>
      </c>
      <c r="I1642" s="58">
        <v>0</v>
      </c>
      <c r="J1642" s="58">
        <v>0.30723328935850902</v>
      </c>
    </row>
    <row r="1643" spans="1:10" ht="11.25" customHeight="1" x14ac:dyDescent="0.2">
      <c r="A1643" s="67">
        <v>43952</v>
      </c>
      <c r="B1643" s="57">
        <v>102632.8403814912</v>
      </c>
      <c r="C1643" s="57">
        <v>134165.06552810356</v>
      </c>
      <c r="D1643" s="57">
        <v>0</v>
      </c>
      <c r="E1643" s="57">
        <v>0</v>
      </c>
      <c r="F1643" s="57">
        <v>0</v>
      </c>
      <c r="G1643" s="57">
        <v>0</v>
      </c>
      <c r="H1643" s="58">
        <v>0.30723328935850902</v>
      </c>
      <c r="I1643" s="58">
        <v>0</v>
      </c>
      <c r="J1643" s="58">
        <v>0.30723328935850902</v>
      </c>
    </row>
    <row r="1644" spans="1:10" ht="11.25" customHeight="1" x14ac:dyDescent="0.2">
      <c r="A1644" s="67">
        <v>43983</v>
      </c>
      <c r="B1644" s="57">
        <v>98998.134120230403</v>
      </c>
      <c r="C1644" s="57">
        <v>129413.65650634363</v>
      </c>
      <c r="D1644" s="57">
        <v>0</v>
      </c>
      <c r="E1644" s="57">
        <v>0</v>
      </c>
      <c r="F1644" s="57">
        <v>0</v>
      </c>
      <c r="G1644" s="57">
        <v>0</v>
      </c>
      <c r="H1644" s="58">
        <v>0.30723328935850902</v>
      </c>
      <c r="I1644" s="58">
        <v>0</v>
      </c>
      <c r="J1644" s="58">
        <v>0.30723328935850902</v>
      </c>
    </row>
    <row r="1645" spans="1:10" ht="11.25" customHeight="1" x14ac:dyDescent="0.2">
      <c r="A1645" s="67">
        <v>44013</v>
      </c>
      <c r="B1645" s="57">
        <v>87355.781077989595</v>
      </c>
      <c r="C1645" s="57">
        <v>114194.38504306214</v>
      </c>
      <c r="D1645" s="57">
        <v>0</v>
      </c>
      <c r="E1645" s="57">
        <v>0</v>
      </c>
      <c r="F1645" s="57">
        <v>0</v>
      </c>
      <c r="G1645" s="57">
        <v>0</v>
      </c>
      <c r="H1645" s="58">
        <v>0.30723328935850902</v>
      </c>
      <c r="I1645" s="58">
        <v>0</v>
      </c>
      <c r="J1645" s="58">
        <v>0.30723328935850902</v>
      </c>
    </row>
    <row r="1646" spans="1:10" ht="11.25" customHeight="1" x14ac:dyDescent="0.2">
      <c r="A1646" s="67">
        <v>44044</v>
      </c>
      <c r="B1646" s="57">
        <v>109291.572</v>
      </c>
      <c r="C1646" s="57">
        <v>142869.5811647223</v>
      </c>
      <c r="D1646" s="57">
        <v>0</v>
      </c>
      <c r="E1646" s="57">
        <v>0</v>
      </c>
      <c r="F1646" s="57">
        <v>0</v>
      </c>
      <c r="G1646" s="57">
        <v>0</v>
      </c>
      <c r="H1646" s="58">
        <v>0.3072332893585088</v>
      </c>
      <c r="I1646" s="58">
        <v>0</v>
      </c>
      <c r="J1646" s="58">
        <v>0.3072332893585088</v>
      </c>
    </row>
    <row r="1647" spans="1:10" ht="11.25" customHeight="1" x14ac:dyDescent="0.2">
      <c r="A1647" s="67">
        <v>44075</v>
      </c>
      <c r="B1647" s="57">
        <v>109291.572</v>
      </c>
      <c r="C1647" s="57">
        <v>142869.5811647223</v>
      </c>
      <c r="D1647" s="57">
        <v>0</v>
      </c>
      <c r="E1647" s="57">
        <v>0</v>
      </c>
      <c r="F1647" s="57">
        <v>0</v>
      </c>
      <c r="G1647" s="57">
        <v>0</v>
      </c>
      <c r="H1647" s="58">
        <v>0.3072332893585088</v>
      </c>
      <c r="I1647" s="58">
        <v>0</v>
      </c>
      <c r="J1647" s="58">
        <v>0.3072332893585088</v>
      </c>
    </row>
    <row r="1648" spans="1:10" ht="11.25" customHeight="1" x14ac:dyDescent="0.2">
      <c r="A1648" s="66" t="s">
        <v>25</v>
      </c>
      <c r="B1648" s="57">
        <v>0</v>
      </c>
      <c r="C1648" s="57">
        <v>0</v>
      </c>
      <c r="D1648" s="57">
        <v>6476164.2175000012</v>
      </c>
      <c r="E1648" s="57">
        <v>6666792.4653290547</v>
      </c>
      <c r="F1648" s="57">
        <v>0</v>
      </c>
      <c r="G1648" s="57">
        <v>0</v>
      </c>
      <c r="H1648" s="58">
        <v>2.9435363500192713E-2</v>
      </c>
      <c r="I1648" s="58">
        <v>0</v>
      </c>
      <c r="J1648" s="58">
        <v>2.9435363500192713E-2</v>
      </c>
    </row>
    <row r="1649" spans="1:10" ht="11.25" customHeight="1" x14ac:dyDescent="0.2">
      <c r="A1649" s="67">
        <v>43739</v>
      </c>
      <c r="B1649" s="57">
        <v>0</v>
      </c>
      <c r="C1649" s="57">
        <v>0</v>
      </c>
      <c r="D1649" s="57">
        <v>616516.674</v>
      </c>
      <c r="E1649" s="57">
        <v>634664.06640311994</v>
      </c>
      <c r="F1649" s="57">
        <v>0</v>
      </c>
      <c r="G1649" s="57">
        <v>0</v>
      </c>
      <c r="H1649" s="58">
        <v>2.9435363500192935E-2</v>
      </c>
      <c r="I1649" s="58">
        <v>0</v>
      </c>
      <c r="J1649" s="58">
        <v>2.9435363500192935E-2</v>
      </c>
    </row>
    <row r="1650" spans="1:10" ht="11.25" customHeight="1" x14ac:dyDescent="0.2">
      <c r="A1650" s="67">
        <v>43770</v>
      </c>
      <c r="B1650" s="57">
        <v>0</v>
      </c>
      <c r="C1650" s="57">
        <v>0</v>
      </c>
      <c r="D1650" s="57">
        <v>593604.60550000006</v>
      </c>
      <c r="E1650" s="57">
        <v>611077.57283828116</v>
      </c>
      <c r="F1650" s="57">
        <v>0</v>
      </c>
      <c r="G1650" s="57">
        <v>0</v>
      </c>
      <c r="H1650" s="58">
        <v>2.9435363500192935E-2</v>
      </c>
      <c r="I1650" s="58">
        <v>0</v>
      </c>
      <c r="J1650" s="58">
        <v>2.9435363500192935E-2</v>
      </c>
    </row>
    <row r="1651" spans="1:10" ht="11.25" customHeight="1" x14ac:dyDescent="0.2">
      <c r="A1651" s="67">
        <v>43800</v>
      </c>
      <c r="B1651" s="57">
        <v>0</v>
      </c>
      <c r="C1651" s="57">
        <v>0</v>
      </c>
      <c r="D1651" s="57">
        <v>604297.87725000002</v>
      </c>
      <c r="E1651" s="57">
        <v>622085.60492924869</v>
      </c>
      <c r="F1651" s="57">
        <v>0</v>
      </c>
      <c r="G1651" s="57">
        <v>0</v>
      </c>
      <c r="H1651" s="58">
        <v>2.9435363500192935E-2</v>
      </c>
      <c r="I1651" s="58">
        <v>0</v>
      </c>
      <c r="J1651" s="58">
        <v>2.9435363500192935E-2</v>
      </c>
    </row>
    <row r="1652" spans="1:10" ht="11.25" customHeight="1" x14ac:dyDescent="0.2">
      <c r="A1652" s="67">
        <v>43831</v>
      </c>
      <c r="B1652" s="57">
        <v>0</v>
      </c>
      <c r="C1652" s="57">
        <v>0</v>
      </c>
      <c r="D1652" s="57">
        <v>613031.78225000005</v>
      </c>
      <c r="E1652" s="57">
        <v>631076.59559769987</v>
      </c>
      <c r="F1652" s="57">
        <v>0</v>
      </c>
      <c r="G1652" s="57">
        <v>0</v>
      </c>
      <c r="H1652" s="58">
        <v>2.9435363500192935E-2</v>
      </c>
      <c r="I1652" s="58">
        <v>0</v>
      </c>
      <c r="J1652" s="58">
        <v>2.9435363500192935E-2</v>
      </c>
    </row>
    <row r="1653" spans="1:10" ht="11.25" customHeight="1" x14ac:dyDescent="0.2">
      <c r="A1653" s="67">
        <v>43862</v>
      </c>
      <c r="B1653" s="57">
        <v>0</v>
      </c>
      <c r="C1653" s="57">
        <v>0</v>
      </c>
      <c r="D1653" s="57">
        <v>569288.61499999999</v>
      </c>
      <c r="E1653" s="57">
        <v>586045.83231904637</v>
      </c>
      <c r="F1653" s="57">
        <v>0</v>
      </c>
      <c r="G1653" s="57">
        <v>0</v>
      </c>
      <c r="H1653" s="58">
        <v>2.9435363500192935E-2</v>
      </c>
      <c r="I1653" s="58">
        <v>0</v>
      </c>
      <c r="J1653" s="58">
        <v>2.9435363500192935E-2</v>
      </c>
    </row>
    <row r="1654" spans="1:10" ht="11.25" customHeight="1" x14ac:dyDescent="0.2">
      <c r="A1654" s="67">
        <v>43891</v>
      </c>
      <c r="B1654" s="57">
        <v>0</v>
      </c>
      <c r="C1654" s="57">
        <v>0</v>
      </c>
      <c r="D1654" s="57">
        <v>543974.55800000008</v>
      </c>
      <c r="E1654" s="57">
        <v>559986.64684958674</v>
      </c>
      <c r="F1654" s="57">
        <v>0</v>
      </c>
      <c r="G1654" s="57">
        <v>0</v>
      </c>
      <c r="H1654" s="58">
        <v>2.9435363500192713E-2</v>
      </c>
      <c r="I1654" s="58">
        <v>0</v>
      </c>
      <c r="J1654" s="58">
        <v>2.9435363500192713E-2</v>
      </c>
    </row>
    <row r="1655" spans="1:10" ht="11.25" customHeight="1" x14ac:dyDescent="0.2">
      <c r="A1655" s="67">
        <v>43922</v>
      </c>
      <c r="B1655" s="57">
        <v>0</v>
      </c>
      <c r="C1655" s="57">
        <v>0</v>
      </c>
      <c r="D1655" s="57">
        <v>434373.81799999997</v>
      </c>
      <c r="E1655" s="57">
        <v>447159.76922779664</v>
      </c>
      <c r="F1655" s="57">
        <v>0</v>
      </c>
      <c r="G1655" s="57">
        <v>0</v>
      </c>
      <c r="H1655" s="58">
        <v>2.9435363500192935E-2</v>
      </c>
      <c r="I1655" s="58">
        <v>0</v>
      </c>
      <c r="J1655" s="58">
        <v>2.9435363500192935E-2</v>
      </c>
    </row>
    <row r="1656" spans="1:10" ht="11.25" customHeight="1" x14ac:dyDescent="0.2">
      <c r="A1656" s="67">
        <v>43952</v>
      </c>
      <c r="B1656" s="57">
        <v>0</v>
      </c>
      <c r="C1656" s="57">
        <v>0</v>
      </c>
      <c r="D1656" s="57">
        <v>446783.68949999998</v>
      </c>
      <c r="E1656" s="57">
        <v>459934.92980638979</v>
      </c>
      <c r="F1656" s="57">
        <v>0</v>
      </c>
      <c r="G1656" s="57">
        <v>0</v>
      </c>
      <c r="H1656" s="58">
        <v>2.9435363500192935E-2</v>
      </c>
      <c r="I1656" s="58">
        <v>0</v>
      </c>
      <c r="J1656" s="58">
        <v>2.9435363500192935E-2</v>
      </c>
    </row>
    <row r="1657" spans="1:10" ht="11.25" customHeight="1" x14ac:dyDescent="0.2">
      <c r="A1657" s="67">
        <v>43983</v>
      </c>
      <c r="B1657" s="57">
        <v>0</v>
      </c>
      <c r="C1657" s="57">
        <v>0</v>
      </c>
      <c r="D1657" s="57">
        <v>446783.68949999998</v>
      </c>
      <c r="E1657" s="57">
        <v>459934.92980638979</v>
      </c>
      <c r="F1657" s="57">
        <v>0</v>
      </c>
      <c r="G1657" s="57">
        <v>0</v>
      </c>
      <c r="H1657" s="58">
        <v>2.9435363500192935E-2</v>
      </c>
      <c r="I1657" s="58">
        <v>0</v>
      </c>
      <c r="J1657" s="58">
        <v>2.9435363500192935E-2</v>
      </c>
    </row>
    <row r="1658" spans="1:10" ht="11.25" customHeight="1" x14ac:dyDescent="0.2">
      <c r="A1658" s="67">
        <v>44013</v>
      </c>
      <c r="B1658" s="57">
        <v>0</v>
      </c>
      <c r="C1658" s="57">
        <v>0</v>
      </c>
      <c r="D1658" s="57">
        <v>519385.9485</v>
      </c>
      <c r="E1658" s="57">
        <v>534674.26269099</v>
      </c>
      <c r="F1658" s="57">
        <v>0</v>
      </c>
      <c r="G1658" s="57">
        <v>0</v>
      </c>
      <c r="H1658" s="58">
        <v>2.9435363500192935E-2</v>
      </c>
      <c r="I1658" s="58">
        <v>0</v>
      </c>
      <c r="J1658" s="58">
        <v>2.9435363500192935E-2</v>
      </c>
    </row>
    <row r="1659" spans="1:10" ht="11.25" customHeight="1" x14ac:dyDescent="0.2">
      <c r="A1659" s="67">
        <v>44044</v>
      </c>
      <c r="B1659" s="57">
        <v>0</v>
      </c>
      <c r="C1659" s="57">
        <v>0</v>
      </c>
      <c r="D1659" s="57">
        <v>544061.48</v>
      </c>
      <c r="E1659" s="57">
        <v>560076.12743025285</v>
      </c>
      <c r="F1659" s="57">
        <v>0</v>
      </c>
      <c r="G1659" s="57">
        <v>0</v>
      </c>
      <c r="H1659" s="58">
        <v>2.9435363500192713E-2</v>
      </c>
      <c r="I1659" s="58">
        <v>0</v>
      </c>
      <c r="J1659" s="58">
        <v>2.9435363500192713E-2</v>
      </c>
    </row>
    <row r="1660" spans="1:10" ht="11.25" customHeight="1" x14ac:dyDescent="0.2">
      <c r="A1660" s="67">
        <v>44075</v>
      </c>
      <c r="B1660" s="57">
        <v>0</v>
      </c>
      <c r="C1660" s="57">
        <v>0</v>
      </c>
      <c r="D1660" s="57">
        <v>544061.48</v>
      </c>
      <c r="E1660" s="57">
        <v>560076.12743025285</v>
      </c>
      <c r="F1660" s="57">
        <v>0</v>
      </c>
      <c r="G1660" s="57">
        <v>0</v>
      </c>
      <c r="H1660" s="58">
        <v>2.9435363500192713E-2</v>
      </c>
      <c r="I1660" s="58">
        <v>0</v>
      </c>
      <c r="J1660" s="58">
        <v>2.9435363500192713E-2</v>
      </c>
    </row>
    <row r="1661" spans="1:10" ht="11.25" customHeight="1" x14ac:dyDescent="0.2">
      <c r="A1661" s="66" t="s">
        <v>35</v>
      </c>
      <c r="B1661" s="57">
        <v>3897488.7767662378</v>
      </c>
      <c r="C1661" s="57">
        <v>4372071.695813979</v>
      </c>
      <c r="D1661" s="57">
        <v>0</v>
      </c>
      <c r="E1661" s="57">
        <v>0</v>
      </c>
      <c r="F1661" s="57">
        <v>0</v>
      </c>
      <c r="G1661" s="57">
        <v>0</v>
      </c>
      <c r="H1661" s="58">
        <v>0.12176633371642565</v>
      </c>
      <c r="I1661" s="58">
        <v>0</v>
      </c>
      <c r="J1661" s="58">
        <v>0.12176633371642565</v>
      </c>
    </row>
    <row r="1662" spans="1:10" ht="11.25" customHeight="1" x14ac:dyDescent="0.2">
      <c r="A1662" s="67">
        <v>43739</v>
      </c>
      <c r="B1662" s="57">
        <v>290311.65445075196</v>
      </c>
      <c r="C1662" s="57">
        <v>325661.84024836984</v>
      </c>
      <c r="D1662" s="57">
        <v>0</v>
      </c>
      <c r="E1662" s="57">
        <v>0</v>
      </c>
      <c r="F1662" s="57">
        <v>0</v>
      </c>
      <c r="G1662" s="57">
        <v>0</v>
      </c>
      <c r="H1662" s="58">
        <v>0.12176633371642565</v>
      </c>
      <c r="I1662" s="58">
        <v>0</v>
      </c>
      <c r="J1662" s="58">
        <v>0.12176633371642565</v>
      </c>
    </row>
    <row r="1663" spans="1:10" ht="11.25" customHeight="1" x14ac:dyDescent="0.2">
      <c r="A1663" s="67">
        <v>43770</v>
      </c>
      <c r="B1663" s="57">
        <v>291109.3893995008</v>
      </c>
      <c r="C1663" s="57">
        <v>326556.71245710528</v>
      </c>
      <c r="D1663" s="57">
        <v>0</v>
      </c>
      <c r="E1663" s="57">
        <v>0</v>
      </c>
      <c r="F1663" s="57">
        <v>0</v>
      </c>
      <c r="G1663" s="57">
        <v>0</v>
      </c>
      <c r="H1663" s="58">
        <v>0.12176633371642565</v>
      </c>
      <c r="I1663" s="58">
        <v>0</v>
      </c>
      <c r="J1663" s="58">
        <v>0.12176633371642565</v>
      </c>
    </row>
    <row r="1664" spans="1:10" ht="11.25" customHeight="1" x14ac:dyDescent="0.2">
      <c r="A1664" s="67">
        <v>43800</v>
      </c>
      <c r="B1664" s="57">
        <v>292602.25803964154</v>
      </c>
      <c r="C1664" s="57">
        <v>328231.36223827623</v>
      </c>
      <c r="D1664" s="57">
        <v>0</v>
      </c>
      <c r="E1664" s="57">
        <v>0</v>
      </c>
      <c r="F1664" s="57">
        <v>0</v>
      </c>
      <c r="G1664" s="57">
        <v>0</v>
      </c>
      <c r="H1664" s="58">
        <v>0.12176633371642565</v>
      </c>
      <c r="I1664" s="58">
        <v>0</v>
      </c>
      <c r="J1664" s="58">
        <v>0.12176633371642565</v>
      </c>
    </row>
    <row r="1665" spans="1:10" ht="11.25" customHeight="1" x14ac:dyDescent="0.2">
      <c r="A1665" s="67">
        <v>43831</v>
      </c>
      <c r="B1665" s="57">
        <v>354659.56256451597</v>
      </c>
      <c r="C1665" s="57">
        <v>397845.15721546835</v>
      </c>
      <c r="D1665" s="57">
        <v>0</v>
      </c>
      <c r="E1665" s="57">
        <v>0</v>
      </c>
      <c r="F1665" s="57">
        <v>0</v>
      </c>
      <c r="G1665" s="57">
        <v>0</v>
      </c>
      <c r="H1665" s="58">
        <v>0.12176633371642565</v>
      </c>
      <c r="I1665" s="58">
        <v>0</v>
      </c>
      <c r="J1665" s="58">
        <v>0.12176633371642565</v>
      </c>
    </row>
    <row r="1666" spans="1:10" ht="11.25" customHeight="1" x14ac:dyDescent="0.2">
      <c r="A1666" s="67">
        <v>43862</v>
      </c>
      <c r="B1666" s="57">
        <v>331222.30263391678</v>
      </c>
      <c r="C1666" s="57">
        <v>371554.02807076124</v>
      </c>
      <c r="D1666" s="57">
        <v>0</v>
      </c>
      <c r="E1666" s="57">
        <v>0</v>
      </c>
      <c r="F1666" s="57">
        <v>0</v>
      </c>
      <c r="G1666" s="57">
        <v>0</v>
      </c>
      <c r="H1666" s="58">
        <v>0.12176633371642565</v>
      </c>
      <c r="I1666" s="58">
        <v>0</v>
      </c>
      <c r="J1666" s="58">
        <v>0.12176633371642565</v>
      </c>
    </row>
    <row r="1667" spans="1:10" ht="11.25" customHeight="1" x14ac:dyDescent="0.2">
      <c r="A1667" s="67">
        <v>43891</v>
      </c>
      <c r="B1667" s="57">
        <v>329936.51406629756</v>
      </c>
      <c r="C1667" s="57">
        <v>370111.67374332849</v>
      </c>
      <c r="D1667" s="57">
        <v>0</v>
      </c>
      <c r="E1667" s="57">
        <v>0</v>
      </c>
      <c r="F1667" s="57">
        <v>0</v>
      </c>
      <c r="G1667" s="57">
        <v>0</v>
      </c>
      <c r="H1667" s="58">
        <v>0.12176633371642565</v>
      </c>
      <c r="I1667" s="58">
        <v>0</v>
      </c>
      <c r="J1667" s="58">
        <v>0.12176633371642565</v>
      </c>
    </row>
    <row r="1668" spans="1:10" ht="11.25" customHeight="1" x14ac:dyDescent="0.2">
      <c r="A1668" s="67">
        <v>43922</v>
      </c>
      <c r="B1668" s="57">
        <v>328337.7756635088</v>
      </c>
      <c r="C1668" s="57">
        <v>368318.26282666047</v>
      </c>
      <c r="D1668" s="57">
        <v>0</v>
      </c>
      <c r="E1668" s="57">
        <v>0</v>
      </c>
      <c r="F1668" s="57">
        <v>0</v>
      </c>
      <c r="G1668" s="57">
        <v>0</v>
      </c>
      <c r="H1668" s="58">
        <v>0.12176633371642542</v>
      </c>
      <c r="I1668" s="58">
        <v>0</v>
      </c>
      <c r="J1668" s="58">
        <v>0.12176633371642542</v>
      </c>
    </row>
    <row r="1669" spans="1:10" ht="11.25" customHeight="1" x14ac:dyDescent="0.2">
      <c r="A1669" s="67">
        <v>43952</v>
      </c>
      <c r="B1669" s="57">
        <v>340276.82394559355</v>
      </c>
      <c r="C1669" s="57">
        <v>381711.08524611808</v>
      </c>
      <c r="D1669" s="57">
        <v>0</v>
      </c>
      <c r="E1669" s="57">
        <v>0</v>
      </c>
      <c r="F1669" s="57">
        <v>0</v>
      </c>
      <c r="G1669" s="57">
        <v>0</v>
      </c>
      <c r="H1669" s="58">
        <v>0.12176633371642542</v>
      </c>
      <c r="I1669" s="58">
        <v>0</v>
      </c>
      <c r="J1669" s="58">
        <v>0.12176633371642542</v>
      </c>
    </row>
    <row r="1670" spans="1:10" ht="11.25" customHeight="1" x14ac:dyDescent="0.2">
      <c r="A1670" s="67">
        <v>43983</v>
      </c>
      <c r="B1670" s="57">
        <v>327367.44722433441</v>
      </c>
      <c r="C1670" s="57">
        <v>367229.78105094703</v>
      </c>
      <c r="D1670" s="57">
        <v>0</v>
      </c>
      <c r="E1670" s="57">
        <v>0</v>
      </c>
      <c r="F1670" s="57">
        <v>0</v>
      </c>
      <c r="G1670" s="57">
        <v>0</v>
      </c>
      <c r="H1670" s="58">
        <v>0.12176633371642542</v>
      </c>
      <c r="I1670" s="58">
        <v>0</v>
      </c>
      <c r="J1670" s="58">
        <v>0.12176633371642542</v>
      </c>
    </row>
    <row r="1671" spans="1:10" ht="11.25" customHeight="1" x14ac:dyDescent="0.2">
      <c r="A1671" s="67">
        <v>44013</v>
      </c>
      <c r="B1671" s="57">
        <v>288675.45677817595</v>
      </c>
      <c r="C1671" s="57">
        <v>323826.40878396895</v>
      </c>
      <c r="D1671" s="57">
        <v>0</v>
      </c>
      <c r="E1671" s="57">
        <v>0</v>
      </c>
      <c r="F1671" s="57">
        <v>0</v>
      </c>
      <c r="G1671" s="57">
        <v>0</v>
      </c>
      <c r="H1671" s="58">
        <v>0.12176633371642565</v>
      </c>
      <c r="I1671" s="58">
        <v>0</v>
      </c>
      <c r="J1671" s="58">
        <v>0.12176633371642565</v>
      </c>
    </row>
    <row r="1672" spans="1:10" ht="11.25" customHeight="1" x14ac:dyDescent="0.2">
      <c r="A1672" s="67">
        <v>44044</v>
      </c>
      <c r="B1672" s="57">
        <v>361494.79599999997</v>
      </c>
      <c r="C1672" s="57">
        <v>405512.69196648721</v>
      </c>
      <c r="D1672" s="57">
        <v>0</v>
      </c>
      <c r="E1672" s="57">
        <v>0</v>
      </c>
      <c r="F1672" s="57">
        <v>0</v>
      </c>
      <c r="G1672" s="57">
        <v>0</v>
      </c>
      <c r="H1672" s="58">
        <v>0.12176633371642565</v>
      </c>
      <c r="I1672" s="58">
        <v>0</v>
      </c>
      <c r="J1672" s="58">
        <v>0.12176633371642565</v>
      </c>
    </row>
    <row r="1673" spans="1:10" ht="11.25" customHeight="1" x14ac:dyDescent="0.2">
      <c r="A1673" s="67">
        <v>44075</v>
      </c>
      <c r="B1673" s="57">
        <v>361494.79599999997</v>
      </c>
      <c r="C1673" s="57">
        <v>405512.69196648721</v>
      </c>
      <c r="D1673" s="57">
        <v>0</v>
      </c>
      <c r="E1673" s="57">
        <v>0</v>
      </c>
      <c r="F1673" s="57">
        <v>0</v>
      </c>
      <c r="G1673" s="57">
        <v>0</v>
      </c>
      <c r="H1673" s="58">
        <v>0.12176633371642565</v>
      </c>
      <c r="I1673" s="58">
        <v>0</v>
      </c>
      <c r="J1673" s="58">
        <v>0.12176633371642565</v>
      </c>
    </row>
    <row r="1674" spans="1:10" ht="11.25" customHeight="1" x14ac:dyDescent="0.2">
      <c r="A1674" s="61" t="s">
        <v>34</v>
      </c>
      <c r="B1674" s="57">
        <v>969896.3176183824</v>
      </c>
      <c r="C1674" s="57">
        <v>1267880.7536169833</v>
      </c>
      <c r="D1674" s="57">
        <v>5048084.6823298289</v>
      </c>
      <c r="E1674" s="57">
        <v>5391236.0433559297</v>
      </c>
      <c r="F1674" s="57">
        <v>0</v>
      </c>
      <c r="G1674" s="57">
        <v>0</v>
      </c>
      <c r="H1674" s="58">
        <v>0.10653669345752648</v>
      </c>
      <c r="I1674" s="58">
        <v>0</v>
      </c>
      <c r="J1674" s="58">
        <v>0.10653669345752648</v>
      </c>
    </row>
    <row r="1675" spans="1:10" ht="11.25" customHeight="1" x14ac:dyDescent="0.2">
      <c r="A1675" s="62" t="s">
        <v>40</v>
      </c>
      <c r="B1675" s="57">
        <v>969896.3176183824</v>
      </c>
      <c r="C1675" s="57">
        <v>1267880.7536169833</v>
      </c>
      <c r="D1675" s="57">
        <v>5048084.6823298289</v>
      </c>
      <c r="E1675" s="57">
        <v>5391236.0433559297</v>
      </c>
      <c r="F1675" s="57">
        <v>0</v>
      </c>
      <c r="G1675" s="57">
        <v>0</v>
      </c>
      <c r="H1675" s="58">
        <v>0.10653669345752648</v>
      </c>
      <c r="I1675" s="58">
        <v>0</v>
      </c>
      <c r="J1675" s="58">
        <v>0.10653669345752648</v>
      </c>
    </row>
    <row r="1676" spans="1:10" ht="11.25" customHeight="1" x14ac:dyDescent="0.2">
      <c r="A1676" s="63" t="s">
        <v>25</v>
      </c>
      <c r="B1676" s="57">
        <v>969896.3176183824</v>
      </c>
      <c r="C1676" s="57">
        <v>1267880.7536169833</v>
      </c>
      <c r="D1676" s="57">
        <v>5048084.6823298289</v>
      </c>
      <c r="E1676" s="57">
        <v>5391236.0433559297</v>
      </c>
      <c r="F1676" s="57">
        <v>0</v>
      </c>
      <c r="G1676" s="57">
        <v>0</v>
      </c>
      <c r="H1676" s="58">
        <v>0.10653669345752648</v>
      </c>
      <c r="I1676" s="58">
        <v>0</v>
      </c>
      <c r="J1676" s="58">
        <v>0.10653669345752648</v>
      </c>
    </row>
    <row r="1677" spans="1:10" ht="11.25" customHeight="1" x14ac:dyDescent="0.2">
      <c r="A1677" s="64" t="s">
        <v>63</v>
      </c>
      <c r="B1677" s="57">
        <v>969896.3176183824</v>
      </c>
      <c r="C1677" s="57">
        <v>1267880.7536169833</v>
      </c>
      <c r="D1677" s="57">
        <v>5048084.6823298289</v>
      </c>
      <c r="E1677" s="57">
        <v>5391236.0433559297</v>
      </c>
      <c r="F1677" s="57">
        <v>0</v>
      </c>
      <c r="G1677" s="57">
        <v>0</v>
      </c>
      <c r="H1677" s="58">
        <v>0.10653669345752648</v>
      </c>
      <c r="I1677" s="58">
        <v>0</v>
      </c>
      <c r="J1677" s="58">
        <v>0.10653669345752648</v>
      </c>
    </row>
    <row r="1678" spans="1:10" ht="11.25" customHeight="1" x14ac:dyDescent="0.2">
      <c r="A1678" s="65" t="s">
        <v>25</v>
      </c>
      <c r="B1678" s="57">
        <v>969896.3176183824</v>
      </c>
      <c r="C1678" s="57">
        <v>1267880.7536169833</v>
      </c>
      <c r="D1678" s="57">
        <v>5048084.6823298289</v>
      </c>
      <c r="E1678" s="57">
        <v>5391236.0433559297</v>
      </c>
      <c r="F1678" s="57">
        <v>0</v>
      </c>
      <c r="G1678" s="57">
        <v>0</v>
      </c>
      <c r="H1678" s="58">
        <v>0.10653669345752648</v>
      </c>
      <c r="I1678" s="58">
        <v>0</v>
      </c>
      <c r="J1678" s="58">
        <v>0.10653669345752648</v>
      </c>
    </row>
    <row r="1679" spans="1:10" ht="11.25" customHeight="1" x14ac:dyDescent="0.2">
      <c r="A1679" s="66" t="s">
        <v>36</v>
      </c>
      <c r="B1679" s="57">
        <v>0</v>
      </c>
      <c r="C1679" s="57">
        <v>0</v>
      </c>
      <c r="D1679" s="57">
        <v>2675236.8064999999</v>
      </c>
      <c r="E1679" s="57">
        <v>2753983.374348422</v>
      </c>
      <c r="F1679" s="57">
        <v>0</v>
      </c>
      <c r="G1679" s="57">
        <v>0</v>
      </c>
      <c r="H1679" s="58">
        <v>2.9435363500192713E-2</v>
      </c>
      <c r="I1679" s="58">
        <v>0</v>
      </c>
      <c r="J1679" s="58">
        <v>2.9435363500192713E-2</v>
      </c>
    </row>
    <row r="1680" spans="1:10" ht="11.25" customHeight="1" x14ac:dyDescent="0.2">
      <c r="A1680" s="67">
        <v>43739</v>
      </c>
      <c r="B1680" s="57">
        <v>0</v>
      </c>
      <c r="C1680" s="57">
        <v>0</v>
      </c>
      <c r="D1680" s="57">
        <v>243222.13324999998</v>
      </c>
      <c r="E1680" s="57">
        <v>250381.46515350608</v>
      </c>
      <c r="F1680" s="57">
        <v>0</v>
      </c>
      <c r="G1680" s="57">
        <v>0</v>
      </c>
      <c r="H1680" s="58">
        <v>2.9435363500192935E-2</v>
      </c>
      <c r="I1680" s="58">
        <v>0</v>
      </c>
      <c r="J1680" s="58">
        <v>2.9435363500192935E-2</v>
      </c>
    </row>
    <row r="1681" spans="1:10" ht="11.25" customHeight="1" x14ac:dyDescent="0.2">
      <c r="A1681" s="67">
        <v>43770</v>
      </c>
      <c r="B1681" s="57">
        <v>0</v>
      </c>
      <c r="C1681" s="57">
        <v>0</v>
      </c>
      <c r="D1681" s="57">
        <v>227801.49</v>
      </c>
      <c r="E1681" s="57">
        <v>234506.90966403554</v>
      </c>
      <c r="F1681" s="57">
        <v>0</v>
      </c>
      <c r="G1681" s="57">
        <v>0</v>
      </c>
      <c r="H1681" s="58">
        <v>2.9435363500192935E-2</v>
      </c>
      <c r="I1681" s="58">
        <v>0</v>
      </c>
      <c r="J1681" s="58">
        <v>2.9435363500192935E-2</v>
      </c>
    </row>
    <row r="1682" spans="1:10" ht="11.25" customHeight="1" x14ac:dyDescent="0.2">
      <c r="A1682" s="67">
        <v>43800</v>
      </c>
      <c r="B1682" s="57">
        <v>0</v>
      </c>
      <c r="C1682" s="57">
        <v>0</v>
      </c>
      <c r="D1682" s="57">
        <v>239620.4675</v>
      </c>
      <c r="E1682" s="57">
        <v>246673.78306294864</v>
      </c>
      <c r="F1682" s="57">
        <v>0</v>
      </c>
      <c r="G1682" s="57">
        <v>0</v>
      </c>
      <c r="H1682" s="58">
        <v>2.9435363500192935E-2</v>
      </c>
      <c r="I1682" s="58">
        <v>0</v>
      </c>
      <c r="J1682" s="58">
        <v>2.9435363500192935E-2</v>
      </c>
    </row>
    <row r="1683" spans="1:10" ht="11.25" customHeight="1" x14ac:dyDescent="0.2">
      <c r="A1683" s="67">
        <v>43831</v>
      </c>
      <c r="B1683" s="57">
        <v>0</v>
      </c>
      <c r="C1683" s="57">
        <v>0</v>
      </c>
      <c r="D1683" s="57">
        <v>240665.28749999998</v>
      </c>
      <c r="E1683" s="57">
        <v>247749.35771944092</v>
      </c>
      <c r="F1683" s="57">
        <v>0</v>
      </c>
      <c r="G1683" s="57">
        <v>0</v>
      </c>
      <c r="H1683" s="58">
        <v>2.9435363500192935E-2</v>
      </c>
      <c r="I1683" s="58">
        <v>0</v>
      </c>
      <c r="J1683" s="58">
        <v>2.9435363500192935E-2</v>
      </c>
    </row>
    <row r="1684" spans="1:10" ht="11.25" customHeight="1" x14ac:dyDescent="0.2">
      <c r="A1684" s="67">
        <v>43862</v>
      </c>
      <c r="B1684" s="57">
        <v>0</v>
      </c>
      <c r="C1684" s="57">
        <v>0</v>
      </c>
      <c r="D1684" s="57">
        <v>215199.88524999999</v>
      </c>
      <c r="E1684" s="57">
        <v>221534.37209753355</v>
      </c>
      <c r="F1684" s="57">
        <v>0</v>
      </c>
      <c r="G1684" s="57">
        <v>0</v>
      </c>
      <c r="H1684" s="58">
        <v>2.9435363500192935E-2</v>
      </c>
      <c r="I1684" s="58">
        <v>0</v>
      </c>
      <c r="J1684" s="58">
        <v>2.9435363500192935E-2</v>
      </c>
    </row>
    <row r="1685" spans="1:10" ht="11.25" customHeight="1" x14ac:dyDescent="0.2">
      <c r="A1685" s="67">
        <v>43891</v>
      </c>
      <c r="B1685" s="57">
        <v>0</v>
      </c>
      <c r="C1685" s="57">
        <v>0</v>
      </c>
      <c r="D1685" s="57">
        <v>229835.37700000001</v>
      </c>
      <c r="E1685" s="57">
        <v>236600.66486719888</v>
      </c>
      <c r="F1685" s="57">
        <v>0</v>
      </c>
      <c r="G1685" s="57">
        <v>0</v>
      </c>
      <c r="H1685" s="58">
        <v>2.9435363500192935E-2</v>
      </c>
      <c r="I1685" s="58">
        <v>0</v>
      </c>
      <c r="J1685" s="58">
        <v>2.9435363500192935E-2</v>
      </c>
    </row>
    <row r="1686" spans="1:10" ht="11.25" customHeight="1" x14ac:dyDescent="0.2">
      <c r="A1686" s="67">
        <v>43922</v>
      </c>
      <c r="B1686" s="57">
        <v>0</v>
      </c>
      <c r="C1686" s="57">
        <v>0</v>
      </c>
      <c r="D1686" s="57">
        <v>212309.28975</v>
      </c>
      <c r="E1686" s="57">
        <v>218558.69086825903</v>
      </c>
      <c r="F1686" s="57">
        <v>0</v>
      </c>
      <c r="G1686" s="57">
        <v>0</v>
      </c>
      <c r="H1686" s="58">
        <v>2.9435363500192935E-2</v>
      </c>
      <c r="I1686" s="58">
        <v>0</v>
      </c>
      <c r="J1686" s="58">
        <v>2.9435363500192935E-2</v>
      </c>
    </row>
    <row r="1687" spans="1:10" ht="11.25" customHeight="1" x14ac:dyDescent="0.2">
      <c r="A1687" s="67">
        <v>43952</v>
      </c>
      <c r="B1687" s="57">
        <v>0</v>
      </c>
      <c r="C1687" s="57">
        <v>0</v>
      </c>
      <c r="D1687" s="57">
        <v>213273.22399999999</v>
      </c>
      <c r="E1687" s="57">
        <v>219550.99887329806</v>
      </c>
      <c r="F1687" s="57">
        <v>0</v>
      </c>
      <c r="G1687" s="57">
        <v>0</v>
      </c>
      <c r="H1687" s="58">
        <v>2.9435363500192935E-2</v>
      </c>
      <c r="I1687" s="58">
        <v>0</v>
      </c>
      <c r="J1687" s="58">
        <v>2.9435363500192935E-2</v>
      </c>
    </row>
    <row r="1688" spans="1:10" ht="11.25" customHeight="1" x14ac:dyDescent="0.2">
      <c r="A1688" s="67">
        <v>43983</v>
      </c>
      <c r="B1688" s="57">
        <v>0</v>
      </c>
      <c r="C1688" s="57">
        <v>0</v>
      </c>
      <c r="D1688" s="57">
        <v>213273.22399999999</v>
      </c>
      <c r="E1688" s="57">
        <v>219550.99887329806</v>
      </c>
      <c r="F1688" s="57">
        <v>0</v>
      </c>
      <c r="G1688" s="57">
        <v>0</v>
      </c>
      <c r="H1688" s="58">
        <v>2.9435363500192935E-2</v>
      </c>
      <c r="I1688" s="58">
        <v>0</v>
      </c>
      <c r="J1688" s="58">
        <v>2.9435363500192935E-2</v>
      </c>
    </row>
    <row r="1689" spans="1:10" ht="11.25" customHeight="1" x14ac:dyDescent="0.2">
      <c r="A1689" s="67">
        <v>44013</v>
      </c>
      <c r="B1689" s="57">
        <v>0</v>
      </c>
      <c r="C1689" s="57">
        <v>0</v>
      </c>
      <c r="D1689" s="57">
        <v>184633.85175</v>
      </c>
      <c r="E1689" s="57">
        <v>190068.61629070199</v>
      </c>
      <c r="F1689" s="57">
        <v>0</v>
      </c>
      <c r="G1689" s="57">
        <v>0</v>
      </c>
      <c r="H1689" s="58">
        <v>2.9435363500192935E-2</v>
      </c>
      <c r="I1689" s="58">
        <v>0</v>
      </c>
      <c r="J1689" s="58">
        <v>2.9435363500192935E-2</v>
      </c>
    </row>
    <row r="1690" spans="1:10" ht="11.25" customHeight="1" x14ac:dyDescent="0.2">
      <c r="A1690" s="67">
        <v>44044</v>
      </c>
      <c r="B1690" s="57">
        <v>0</v>
      </c>
      <c r="C1690" s="57">
        <v>0</v>
      </c>
      <c r="D1690" s="57">
        <v>227701.28824999998</v>
      </c>
      <c r="E1690" s="57">
        <v>234403.75843910093</v>
      </c>
      <c r="F1690" s="57">
        <v>0</v>
      </c>
      <c r="G1690" s="57">
        <v>0</v>
      </c>
      <c r="H1690" s="58">
        <v>2.9435363500192935E-2</v>
      </c>
      <c r="I1690" s="58">
        <v>0</v>
      </c>
      <c r="J1690" s="58">
        <v>2.9435363500192935E-2</v>
      </c>
    </row>
    <row r="1691" spans="1:10" ht="11.25" customHeight="1" x14ac:dyDescent="0.2">
      <c r="A1691" s="67">
        <v>44075</v>
      </c>
      <c r="B1691" s="57">
        <v>0</v>
      </c>
      <c r="C1691" s="57">
        <v>0</v>
      </c>
      <c r="D1691" s="57">
        <v>227701.28824999998</v>
      </c>
      <c r="E1691" s="57">
        <v>234403.75843910093</v>
      </c>
      <c r="F1691" s="57">
        <v>0</v>
      </c>
      <c r="G1691" s="57">
        <v>0</v>
      </c>
      <c r="H1691" s="58">
        <v>2.9435363500192935E-2</v>
      </c>
      <c r="I1691" s="58">
        <v>0</v>
      </c>
      <c r="J1691" s="58">
        <v>2.9435363500192935E-2</v>
      </c>
    </row>
    <row r="1692" spans="1:10" ht="11.25" customHeight="1" x14ac:dyDescent="0.2">
      <c r="A1692" s="66" t="s">
        <v>25</v>
      </c>
      <c r="B1692" s="57">
        <v>969896.3176183824</v>
      </c>
      <c r="C1692" s="57">
        <v>1267880.7536169833</v>
      </c>
      <c r="D1692" s="57">
        <v>0</v>
      </c>
      <c r="E1692" s="57">
        <v>0</v>
      </c>
      <c r="F1692" s="57">
        <v>0</v>
      </c>
      <c r="G1692" s="57">
        <v>0</v>
      </c>
      <c r="H1692" s="58">
        <v>0.30723328935850902</v>
      </c>
      <c r="I1692" s="58">
        <v>0</v>
      </c>
      <c r="J1692" s="58">
        <v>0.30723328935850902</v>
      </c>
    </row>
    <row r="1693" spans="1:10" ht="11.25" customHeight="1" x14ac:dyDescent="0.2">
      <c r="A1693" s="67">
        <v>43739</v>
      </c>
      <c r="B1693" s="57">
        <v>68916.209714740791</v>
      </c>
      <c r="C1693" s="57">
        <v>90089.56351552144</v>
      </c>
      <c r="D1693" s="57">
        <v>0</v>
      </c>
      <c r="E1693" s="57">
        <v>0</v>
      </c>
      <c r="F1693" s="57">
        <v>0</v>
      </c>
      <c r="G1693" s="57">
        <v>0</v>
      </c>
      <c r="H1693" s="58">
        <v>0.30723328935850902</v>
      </c>
      <c r="I1693" s="58">
        <v>0</v>
      </c>
      <c r="J1693" s="58">
        <v>0.30723328935850902</v>
      </c>
    </row>
    <row r="1694" spans="1:10" ht="11.25" customHeight="1" x14ac:dyDescent="0.2">
      <c r="A1694" s="67">
        <v>43770</v>
      </c>
      <c r="B1694" s="57">
        <v>72821.384534836805</v>
      </c>
      <c r="C1694" s="57">
        <v>95194.538041115564</v>
      </c>
      <c r="D1694" s="57">
        <v>0</v>
      </c>
      <c r="E1694" s="57">
        <v>0</v>
      </c>
      <c r="F1694" s="57">
        <v>0</v>
      </c>
      <c r="G1694" s="57">
        <v>0</v>
      </c>
      <c r="H1694" s="58">
        <v>0.3072332893585088</v>
      </c>
      <c r="I1694" s="58">
        <v>0</v>
      </c>
      <c r="J1694" s="58">
        <v>0.3072332893585088</v>
      </c>
    </row>
    <row r="1695" spans="1:10" ht="11.25" customHeight="1" x14ac:dyDescent="0.2">
      <c r="A1695" s="67">
        <v>43800</v>
      </c>
      <c r="B1695" s="57">
        <v>73098.206644377598</v>
      </c>
      <c r="C1695" s="57">
        <v>95556.409117937743</v>
      </c>
      <c r="D1695" s="57">
        <v>0</v>
      </c>
      <c r="E1695" s="57">
        <v>0</v>
      </c>
      <c r="F1695" s="57">
        <v>0</v>
      </c>
      <c r="G1695" s="57">
        <v>0</v>
      </c>
      <c r="H1695" s="58">
        <v>0.30723328935850902</v>
      </c>
      <c r="I1695" s="58">
        <v>0</v>
      </c>
      <c r="J1695" s="58">
        <v>0.30723328935850902</v>
      </c>
    </row>
    <row r="1696" spans="1:10" ht="11.25" customHeight="1" x14ac:dyDescent="0.2">
      <c r="A1696" s="67">
        <v>43831</v>
      </c>
      <c r="B1696" s="57">
        <v>74909.201743605605</v>
      </c>
      <c r="C1696" s="57">
        <v>97923.802198513702</v>
      </c>
      <c r="D1696" s="57">
        <v>0</v>
      </c>
      <c r="E1696" s="57">
        <v>0</v>
      </c>
      <c r="F1696" s="57">
        <v>0</v>
      </c>
      <c r="G1696" s="57">
        <v>0</v>
      </c>
      <c r="H1696" s="58">
        <v>0.3072332893585088</v>
      </c>
      <c r="I1696" s="58">
        <v>0</v>
      </c>
      <c r="J1696" s="58">
        <v>0.3072332893585088</v>
      </c>
    </row>
    <row r="1697" spans="1:10" ht="11.25" customHeight="1" x14ac:dyDescent="0.2">
      <c r="A1697" s="67">
        <v>43862</v>
      </c>
      <c r="B1697" s="57">
        <v>72077.645702966402</v>
      </c>
      <c r="C1697" s="57">
        <v>94222.297881505976</v>
      </c>
      <c r="D1697" s="57">
        <v>0</v>
      </c>
      <c r="E1697" s="57">
        <v>0</v>
      </c>
      <c r="F1697" s="57">
        <v>0</v>
      </c>
      <c r="G1697" s="57">
        <v>0</v>
      </c>
      <c r="H1697" s="58">
        <v>0.30723328935850902</v>
      </c>
      <c r="I1697" s="58">
        <v>0</v>
      </c>
      <c r="J1697" s="58">
        <v>0.30723328935850902</v>
      </c>
    </row>
    <row r="1698" spans="1:10" ht="11.25" customHeight="1" x14ac:dyDescent="0.2">
      <c r="A1698" s="67">
        <v>43891</v>
      </c>
      <c r="B1698" s="57">
        <v>79669.784411071203</v>
      </c>
      <c r="C1698" s="57">
        <v>104146.99433816786</v>
      </c>
      <c r="D1698" s="57">
        <v>0</v>
      </c>
      <c r="E1698" s="57">
        <v>0</v>
      </c>
      <c r="F1698" s="57">
        <v>0</v>
      </c>
      <c r="G1698" s="57">
        <v>0</v>
      </c>
      <c r="H1698" s="58">
        <v>0.3072332893585088</v>
      </c>
      <c r="I1698" s="58">
        <v>0</v>
      </c>
      <c r="J1698" s="58">
        <v>0.3072332893585088</v>
      </c>
    </row>
    <row r="1699" spans="1:10" ht="11.25" customHeight="1" x14ac:dyDescent="0.2">
      <c r="A1699" s="67">
        <v>43922</v>
      </c>
      <c r="B1699" s="57">
        <v>91117.342991908794</v>
      </c>
      <c r="C1699" s="57">
        <v>119111.62399692042</v>
      </c>
      <c r="D1699" s="57">
        <v>0</v>
      </c>
      <c r="E1699" s="57">
        <v>0</v>
      </c>
      <c r="F1699" s="57">
        <v>0</v>
      </c>
      <c r="G1699" s="57">
        <v>0</v>
      </c>
      <c r="H1699" s="58">
        <v>0.30723328935850902</v>
      </c>
      <c r="I1699" s="58">
        <v>0</v>
      </c>
      <c r="J1699" s="58">
        <v>0.30723328935850902</v>
      </c>
    </row>
    <row r="1700" spans="1:10" ht="11.25" customHeight="1" x14ac:dyDescent="0.2">
      <c r="A1700" s="67">
        <v>43952</v>
      </c>
      <c r="B1700" s="57">
        <v>92891.710777435204</v>
      </c>
      <c r="C1700" s="57">
        <v>121431.13663372588</v>
      </c>
      <c r="D1700" s="57">
        <v>0</v>
      </c>
      <c r="E1700" s="57">
        <v>0</v>
      </c>
      <c r="F1700" s="57">
        <v>0</v>
      </c>
      <c r="G1700" s="57">
        <v>0</v>
      </c>
      <c r="H1700" s="58">
        <v>0.30723328935850902</v>
      </c>
      <c r="I1700" s="58">
        <v>0</v>
      </c>
      <c r="J1700" s="58">
        <v>0.30723328935850902</v>
      </c>
    </row>
    <row r="1701" spans="1:10" ht="11.25" customHeight="1" x14ac:dyDescent="0.2">
      <c r="A1701" s="67">
        <v>43983</v>
      </c>
      <c r="B1701" s="57">
        <v>93673.879370107199</v>
      </c>
      <c r="C1701" s="57">
        <v>122453.61345595741</v>
      </c>
      <c r="D1701" s="57">
        <v>0</v>
      </c>
      <c r="E1701" s="57">
        <v>0</v>
      </c>
      <c r="F1701" s="57">
        <v>0</v>
      </c>
      <c r="G1701" s="57">
        <v>0</v>
      </c>
      <c r="H1701" s="58">
        <v>0.30723328935850902</v>
      </c>
      <c r="I1701" s="58">
        <v>0</v>
      </c>
      <c r="J1701" s="58">
        <v>0.30723328935850902</v>
      </c>
    </row>
    <row r="1702" spans="1:10" ht="11.25" customHeight="1" x14ac:dyDescent="0.2">
      <c r="A1702" s="67">
        <v>44013</v>
      </c>
      <c r="B1702" s="57">
        <v>65882.753327332801</v>
      </c>
      <c r="C1702" s="57">
        <v>86124.128344084515</v>
      </c>
      <c r="D1702" s="57">
        <v>0</v>
      </c>
      <c r="E1702" s="57">
        <v>0</v>
      </c>
      <c r="F1702" s="57">
        <v>0</v>
      </c>
      <c r="G1702" s="57">
        <v>0</v>
      </c>
      <c r="H1702" s="58">
        <v>0.30723328935850902</v>
      </c>
      <c r="I1702" s="58">
        <v>0</v>
      </c>
      <c r="J1702" s="58">
        <v>0.30723328935850902</v>
      </c>
    </row>
    <row r="1703" spans="1:10" ht="11.25" customHeight="1" x14ac:dyDescent="0.2">
      <c r="A1703" s="67">
        <v>44044</v>
      </c>
      <c r="B1703" s="57">
        <v>92419.099199999997</v>
      </c>
      <c r="C1703" s="57">
        <v>120813.32304676635</v>
      </c>
      <c r="D1703" s="57">
        <v>0</v>
      </c>
      <c r="E1703" s="57">
        <v>0</v>
      </c>
      <c r="F1703" s="57">
        <v>0</v>
      </c>
      <c r="G1703" s="57">
        <v>0</v>
      </c>
      <c r="H1703" s="58">
        <v>0.30723328935850902</v>
      </c>
      <c r="I1703" s="58">
        <v>0</v>
      </c>
      <c r="J1703" s="58">
        <v>0.30723328935850902</v>
      </c>
    </row>
    <row r="1704" spans="1:10" ht="11.25" customHeight="1" x14ac:dyDescent="0.2">
      <c r="A1704" s="67">
        <v>44075</v>
      </c>
      <c r="B1704" s="57">
        <v>92419.099199999997</v>
      </c>
      <c r="C1704" s="57">
        <v>120813.32304676635</v>
      </c>
      <c r="D1704" s="57">
        <v>0</v>
      </c>
      <c r="E1704" s="57">
        <v>0</v>
      </c>
      <c r="F1704" s="57">
        <v>0</v>
      </c>
      <c r="G1704" s="57">
        <v>0</v>
      </c>
      <c r="H1704" s="58">
        <v>0.30723328935850902</v>
      </c>
      <c r="I1704" s="58">
        <v>0</v>
      </c>
      <c r="J1704" s="58">
        <v>0.30723328935850902</v>
      </c>
    </row>
    <row r="1705" spans="1:10" ht="11.25" customHeight="1" x14ac:dyDescent="0.2">
      <c r="A1705" s="66" t="s">
        <v>35</v>
      </c>
      <c r="B1705" s="57">
        <v>0</v>
      </c>
      <c r="C1705" s="57">
        <v>0</v>
      </c>
      <c r="D1705" s="57">
        <v>2372847.8758298298</v>
      </c>
      <c r="E1705" s="57">
        <v>2637252.6690075067</v>
      </c>
      <c r="F1705" s="57">
        <v>0</v>
      </c>
      <c r="G1705" s="57">
        <v>0</v>
      </c>
      <c r="H1705" s="58">
        <v>0.11142930647638316</v>
      </c>
      <c r="I1705" s="58">
        <v>0</v>
      </c>
      <c r="J1705" s="58">
        <v>0.11142930647638316</v>
      </c>
    </row>
    <row r="1706" spans="1:10" ht="11.25" customHeight="1" x14ac:dyDescent="0.2">
      <c r="A1706" s="67">
        <v>43739</v>
      </c>
      <c r="B1706" s="57">
        <v>0</v>
      </c>
      <c r="C1706" s="57">
        <v>0</v>
      </c>
      <c r="D1706" s="57">
        <v>229576.48429228915</v>
      </c>
      <c r="E1706" s="57">
        <v>255158.03272026527</v>
      </c>
      <c r="F1706" s="57">
        <v>0</v>
      </c>
      <c r="G1706" s="57">
        <v>0</v>
      </c>
      <c r="H1706" s="58">
        <v>0.11142930647638338</v>
      </c>
      <c r="I1706" s="58">
        <v>0</v>
      </c>
      <c r="J1706" s="58">
        <v>0.11142930647638338</v>
      </c>
    </row>
    <row r="1707" spans="1:10" ht="11.25" customHeight="1" x14ac:dyDescent="0.2">
      <c r="A1707" s="67">
        <v>43770</v>
      </c>
      <c r="B1707" s="57">
        <v>0</v>
      </c>
      <c r="C1707" s="57">
        <v>0</v>
      </c>
      <c r="D1707" s="57">
        <v>189702.91875379949</v>
      </c>
      <c r="E1707" s="57">
        <v>210841.38342708111</v>
      </c>
      <c r="F1707" s="57">
        <v>0</v>
      </c>
      <c r="G1707" s="57">
        <v>0</v>
      </c>
      <c r="H1707" s="58">
        <v>0.1114293064763836</v>
      </c>
      <c r="I1707" s="58">
        <v>0</v>
      </c>
      <c r="J1707" s="58">
        <v>0.1114293064763836</v>
      </c>
    </row>
    <row r="1708" spans="1:10" ht="11.25" customHeight="1" x14ac:dyDescent="0.2">
      <c r="A1708" s="67">
        <v>43800</v>
      </c>
      <c r="B1708" s="57">
        <v>0</v>
      </c>
      <c r="C1708" s="57">
        <v>0</v>
      </c>
      <c r="D1708" s="57">
        <v>206066.16841158431</v>
      </c>
      <c r="E1708" s="57">
        <v>229027.97864593277</v>
      </c>
      <c r="F1708" s="57">
        <v>0</v>
      </c>
      <c r="G1708" s="57">
        <v>0</v>
      </c>
      <c r="H1708" s="58">
        <v>0.11142930647638338</v>
      </c>
      <c r="I1708" s="58">
        <v>0</v>
      </c>
      <c r="J1708" s="58">
        <v>0.11142930647638338</v>
      </c>
    </row>
    <row r="1709" spans="1:10" ht="11.25" customHeight="1" x14ac:dyDescent="0.2">
      <c r="A1709" s="67">
        <v>43831</v>
      </c>
      <c r="B1709" s="57">
        <v>0</v>
      </c>
      <c r="C1709" s="57">
        <v>0</v>
      </c>
      <c r="D1709" s="57">
        <v>233182.15287126909</v>
      </c>
      <c r="E1709" s="57">
        <v>259165.47844838465</v>
      </c>
      <c r="F1709" s="57">
        <v>0</v>
      </c>
      <c r="G1709" s="57">
        <v>0</v>
      </c>
      <c r="H1709" s="58">
        <v>0.1114293064763836</v>
      </c>
      <c r="I1709" s="58">
        <v>0</v>
      </c>
      <c r="J1709" s="58">
        <v>0.1114293064763836</v>
      </c>
    </row>
    <row r="1710" spans="1:10" ht="11.25" customHeight="1" x14ac:dyDescent="0.2">
      <c r="A1710" s="67">
        <v>43862</v>
      </c>
      <c r="B1710" s="57">
        <v>0</v>
      </c>
      <c r="C1710" s="57">
        <v>0</v>
      </c>
      <c r="D1710" s="57">
        <v>184530.29737569389</v>
      </c>
      <c r="E1710" s="57">
        <v>205092.38043614829</v>
      </c>
      <c r="F1710" s="57">
        <v>0</v>
      </c>
      <c r="G1710" s="57">
        <v>0</v>
      </c>
      <c r="H1710" s="58">
        <v>0.1114293064763836</v>
      </c>
      <c r="I1710" s="58">
        <v>0</v>
      </c>
      <c r="J1710" s="58">
        <v>0.1114293064763836</v>
      </c>
    </row>
    <row r="1711" spans="1:10" ht="11.25" customHeight="1" x14ac:dyDescent="0.2">
      <c r="A1711" s="67">
        <v>43891</v>
      </c>
      <c r="B1711" s="57">
        <v>0</v>
      </c>
      <c r="C1711" s="57">
        <v>0</v>
      </c>
      <c r="D1711" s="57">
        <v>207405.1978696757</v>
      </c>
      <c r="E1711" s="57">
        <v>230516.21522789076</v>
      </c>
      <c r="F1711" s="57">
        <v>0</v>
      </c>
      <c r="G1711" s="57">
        <v>0</v>
      </c>
      <c r="H1711" s="58">
        <v>0.1114293064763836</v>
      </c>
      <c r="I1711" s="58">
        <v>0</v>
      </c>
      <c r="J1711" s="58">
        <v>0.1114293064763836</v>
      </c>
    </row>
    <row r="1712" spans="1:10" ht="11.25" customHeight="1" x14ac:dyDescent="0.2">
      <c r="A1712" s="67">
        <v>43922</v>
      </c>
      <c r="B1712" s="57">
        <v>0</v>
      </c>
      <c r="C1712" s="57">
        <v>0</v>
      </c>
      <c r="D1712" s="57">
        <v>193772.36005067691</v>
      </c>
      <c r="E1712" s="57">
        <v>215364.2797454159</v>
      </c>
      <c r="F1712" s="57">
        <v>0</v>
      </c>
      <c r="G1712" s="57">
        <v>0</v>
      </c>
      <c r="H1712" s="58">
        <v>0.11142930647638338</v>
      </c>
      <c r="I1712" s="58">
        <v>0</v>
      </c>
      <c r="J1712" s="58">
        <v>0.11142930647638338</v>
      </c>
    </row>
    <row r="1713" spans="1:10" ht="11.25" customHeight="1" x14ac:dyDescent="0.2">
      <c r="A1713" s="67">
        <v>43952</v>
      </c>
      <c r="B1713" s="57">
        <v>0</v>
      </c>
      <c r="C1713" s="57">
        <v>0</v>
      </c>
      <c r="D1713" s="57">
        <v>171208.64365425741</v>
      </c>
      <c r="E1713" s="57">
        <v>190286.30407941359</v>
      </c>
      <c r="F1713" s="57">
        <v>0</v>
      </c>
      <c r="G1713" s="57">
        <v>0</v>
      </c>
      <c r="H1713" s="58">
        <v>0.1114293064763836</v>
      </c>
      <c r="I1713" s="58">
        <v>0</v>
      </c>
      <c r="J1713" s="58">
        <v>0.1114293064763836</v>
      </c>
    </row>
    <row r="1714" spans="1:10" ht="11.25" customHeight="1" x14ac:dyDescent="0.2">
      <c r="A1714" s="67">
        <v>43983</v>
      </c>
      <c r="B1714" s="57">
        <v>0</v>
      </c>
      <c r="C1714" s="57">
        <v>0</v>
      </c>
      <c r="D1714" s="57">
        <v>173598.36591716894</v>
      </c>
      <c r="E1714" s="57">
        <v>192942.31143675253</v>
      </c>
      <c r="F1714" s="57">
        <v>0</v>
      </c>
      <c r="G1714" s="57">
        <v>0</v>
      </c>
      <c r="H1714" s="58">
        <v>0.1114293064763836</v>
      </c>
      <c r="I1714" s="58">
        <v>0</v>
      </c>
      <c r="J1714" s="58">
        <v>0.1114293064763836</v>
      </c>
    </row>
    <row r="1715" spans="1:10" ht="11.25" customHeight="1" x14ac:dyDescent="0.2">
      <c r="A1715" s="67">
        <v>44013</v>
      </c>
      <c r="B1715" s="57">
        <v>0</v>
      </c>
      <c r="C1715" s="57">
        <v>0</v>
      </c>
      <c r="D1715" s="57">
        <v>171977.3373622144</v>
      </c>
      <c r="E1715" s="57">
        <v>191140.65279414097</v>
      </c>
      <c r="F1715" s="57">
        <v>0</v>
      </c>
      <c r="G1715" s="57">
        <v>0</v>
      </c>
      <c r="H1715" s="58">
        <v>0.11142930647638338</v>
      </c>
      <c r="I1715" s="58">
        <v>0</v>
      </c>
      <c r="J1715" s="58">
        <v>0.11142930647638338</v>
      </c>
    </row>
    <row r="1716" spans="1:10" ht="11.25" customHeight="1" x14ac:dyDescent="0.2">
      <c r="A1716" s="67">
        <v>44044</v>
      </c>
      <c r="B1716" s="57">
        <v>0</v>
      </c>
      <c r="C1716" s="57">
        <v>0</v>
      </c>
      <c r="D1716" s="57">
        <v>205913.97463560003</v>
      </c>
      <c r="E1716" s="57">
        <v>228858.82602304054</v>
      </c>
      <c r="F1716" s="57">
        <v>0</v>
      </c>
      <c r="G1716" s="57">
        <v>0</v>
      </c>
      <c r="H1716" s="58">
        <v>0.11142930647638338</v>
      </c>
      <c r="I1716" s="58">
        <v>0</v>
      </c>
      <c r="J1716" s="58">
        <v>0.11142930647638338</v>
      </c>
    </row>
    <row r="1717" spans="1:10" ht="11.25" customHeight="1" x14ac:dyDescent="0.2">
      <c r="A1717" s="67">
        <v>44075</v>
      </c>
      <c r="B1717" s="57">
        <v>0</v>
      </c>
      <c r="C1717" s="57">
        <v>0</v>
      </c>
      <c r="D1717" s="57">
        <v>205913.97463560003</v>
      </c>
      <c r="E1717" s="57">
        <v>228858.82602304054</v>
      </c>
      <c r="F1717" s="57">
        <v>0</v>
      </c>
      <c r="G1717" s="57">
        <v>0</v>
      </c>
      <c r="H1717" s="58">
        <v>0.11142930647638338</v>
      </c>
      <c r="I1717" s="58">
        <v>0</v>
      </c>
      <c r="J1717" s="58">
        <v>0.11142930647638338</v>
      </c>
    </row>
    <row r="1718" spans="1:10" ht="11.25" customHeight="1" x14ac:dyDescent="0.2">
      <c r="A1718" s="59" t="s">
        <v>62</v>
      </c>
      <c r="B1718" s="57">
        <v>1950748.2000000011</v>
      </c>
      <c r="C1718" s="57">
        <v>2909540.5143733295</v>
      </c>
      <c r="D1718" s="57">
        <v>1103674.5274</v>
      </c>
      <c r="E1718" s="57">
        <v>948968.84301090706</v>
      </c>
      <c r="F1718" s="57">
        <v>0</v>
      </c>
      <c r="G1718" s="57">
        <v>0</v>
      </c>
      <c r="H1718" s="58">
        <v>0.26325322384851857</v>
      </c>
      <c r="I1718" s="58">
        <v>0</v>
      </c>
      <c r="J1718" s="58">
        <v>0.26325322384851857</v>
      </c>
    </row>
    <row r="1719" spans="1:10" ht="11.25" customHeight="1" x14ac:dyDescent="0.2">
      <c r="A1719" s="60" t="s">
        <v>43</v>
      </c>
      <c r="B1719" s="57">
        <v>1950748.2000000011</v>
      </c>
      <c r="C1719" s="57">
        <v>2909540.5143733295</v>
      </c>
      <c r="D1719" s="57">
        <v>1103674.5274</v>
      </c>
      <c r="E1719" s="57">
        <v>948968.84301090706</v>
      </c>
      <c r="F1719" s="57">
        <v>0</v>
      </c>
      <c r="G1719" s="57">
        <v>0</v>
      </c>
      <c r="H1719" s="58">
        <v>0.26325322384851857</v>
      </c>
      <c r="I1719" s="58">
        <v>0</v>
      </c>
      <c r="J1719" s="58">
        <v>0.26325322384851857</v>
      </c>
    </row>
    <row r="1720" spans="1:10" ht="11.25" customHeight="1" x14ac:dyDescent="0.2">
      <c r="A1720" s="61" t="s">
        <v>41</v>
      </c>
      <c r="B1720" s="57">
        <v>1950748.2000000011</v>
      </c>
      <c r="C1720" s="57">
        <v>2909540.5143733295</v>
      </c>
      <c r="D1720" s="57">
        <v>1103674.5274</v>
      </c>
      <c r="E1720" s="57">
        <v>948968.84301090706</v>
      </c>
      <c r="F1720" s="57">
        <v>0</v>
      </c>
      <c r="G1720" s="57">
        <v>0</v>
      </c>
      <c r="H1720" s="58">
        <v>0.26325322384851857</v>
      </c>
      <c r="I1720" s="58">
        <v>0</v>
      </c>
      <c r="J1720" s="58">
        <v>0.26325322384851857</v>
      </c>
    </row>
    <row r="1721" spans="1:10" ht="11.25" customHeight="1" x14ac:dyDescent="0.2">
      <c r="A1721" s="62" t="s">
        <v>40</v>
      </c>
      <c r="B1721" s="57">
        <v>1950748.2000000011</v>
      </c>
      <c r="C1721" s="57">
        <v>2909540.5143733295</v>
      </c>
      <c r="D1721" s="57">
        <v>1103674.5274</v>
      </c>
      <c r="E1721" s="57">
        <v>948968.84301090706</v>
      </c>
      <c r="F1721" s="57">
        <v>0</v>
      </c>
      <c r="G1721" s="57">
        <v>0</v>
      </c>
      <c r="H1721" s="58">
        <v>0.26325322384851857</v>
      </c>
      <c r="I1721" s="58">
        <v>0</v>
      </c>
      <c r="J1721" s="58">
        <v>0.26325322384851857</v>
      </c>
    </row>
    <row r="1722" spans="1:10" ht="11.25" customHeight="1" x14ac:dyDescent="0.2">
      <c r="A1722" s="63" t="s">
        <v>25</v>
      </c>
      <c r="B1722" s="57">
        <v>1950748.2000000011</v>
      </c>
      <c r="C1722" s="57">
        <v>2909540.5143733295</v>
      </c>
      <c r="D1722" s="57">
        <v>1103674.5274</v>
      </c>
      <c r="E1722" s="57">
        <v>948968.84301090706</v>
      </c>
      <c r="F1722" s="57">
        <v>0</v>
      </c>
      <c r="G1722" s="57">
        <v>0</v>
      </c>
      <c r="H1722" s="58">
        <v>0.26325322384851857</v>
      </c>
      <c r="I1722" s="58">
        <v>0</v>
      </c>
      <c r="J1722" s="58">
        <v>0.26325322384851857</v>
      </c>
    </row>
    <row r="1723" spans="1:10" ht="11.25" customHeight="1" x14ac:dyDescent="0.2">
      <c r="A1723" s="64" t="s">
        <v>61</v>
      </c>
      <c r="B1723" s="57">
        <v>1950748.2000000011</v>
      </c>
      <c r="C1723" s="57">
        <v>2909540.5143733295</v>
      </c>
      <c r="D1723" s="57">
        <v>1103674.5274</v>
      </c>
      <c r="E1723" s="57">
        <v>948968.84301090706</v>
      </c>
      <c r="F1723" s="57">
        <v>0</v>
      </c>
      <c r="G1723" s="57">
        <v>0</v>
      </c>
      <c r="H1723" s="58">
        <v>0.26325322384851857</v>
      </c>
      <c r="I1723" s="58">
        <v>0</v>
      </c>
      <c r="J1723" s="58">
        <v>0.26325322384851857</v>
      </c>
    </row>
    <row r="1724" spans="1:10" ht="11.25" customHeight="1" x14ac:dyDescent="0.2">
      <c r="A1724" s="65" t="s">
        <v>25</v>
      </c>
      <c r="B1724" s="57">
        <v>1950748.2000000011</v>
      </c>
      <c r="C1724" s="57">
        <v>2909540.5143733295</v>
      </c>
      <c r="D1724" s="57">
        <v>1103674.5274</v>
      </c>
      <c r="E1724" s="57">
        <v>948968.84301090706</v>
      </c>
      <c r="F1724" s="57">
        <v>0</v>
      </c>
      <c r="G1724" s="57">
        <v>0</v>
      </c>
      <c r="H1724" s="58">
        <v>0.26325322384851857</v>
      </c>
      <c r="I1724" s="58">
        <v>0</v>
      </c>
      <c r="J1724" s="58">
        <v>0.26325322384851857</v>
      </c>
    </row>
    <row r="1725" spans="1:10" ht="11.25" customHeight="1" x14ac:dyDescent="0.2">
      <c r="A1725" s="66" t="s">
        <v>36</v>
      </c>
      <c r="B1725" s="57">
        <v>1325160</v>
      </c>
      <c r="C1725" s="57">
        <v>2032494.0129141053</v>
      </c>
      <c r="D1725" s="57">
        <v>0</v>
      </c>
      <c r="E1725" s="57">
        <v>0</v>
      </c>
      <c r="F1725" s="57">
        <v>0</v>
      </c>
      <c r="G1725" s="57">
        <v>0</v>
      </c>
      <c r="H1725" s="58">
        <v>0.53377253532713431</v>
      </c>
      <c r="I1725" s="58">
        <v>0</v>
      </c>
      <c r="J1725" s="58">
        <v>0.53377253532713431</v>
      </c>
    </row>
    <row r="1726" spans="1:10" ht="11.25" customHeight="1" x14ac:dyDescent="0.2">
      <c r="A1726" s="67">
        <v>43739</v>
      </c>
      <c r="B1726" s="57">
        <v>110430</v>
      </c>
      <c r="C1726" s="57">
        <v>169374.50107617548</v>
      </c>
      <c r="D1726" s="57">
        <v>0</v>
      </c>
      <c r="E1726" s="57">
        <v>0</v>
      </c>
      <c r="F1726" s="57">
        <v>0</v>
      </c>
      <c r="G1726" s="57">
        <v>0</v>
      </c>
      <c r="H1726" s="58">
        <v>0.53377253532713476</v>
      </c>
      <c r="I1726" s="58">
        <v>0</v>
      </c>
      <c r="J1726" s="58">
        <v>0.53377253532713476</v>
      </c>
    </row>
    <row r="1727" spans="1:10" ht="11.25" customHeight="1" x14ac:dyDescent="0.2">
      <c r="A1727" s="67">
        <v>43770</v>
      </c>
      <c r="B1727" s="57">
        <v>110430</v>
      </c>
      <c r="C1727" s="57">
        <v>169374.50107617548</v>
      </c>
      <c r="D1727" s="57">
        <v>0</v>
      </c>
      <c r="E1727" s="57">
        <v>0</v>
      </c>
      <c r="F1727" s="57">
        <v>0</v>
      </c>
      <c r="G1727" s="57">
        <v>0</v>
      </c>
      <c r="H1727" s="58">
        <v>0.53377253532713476</v>
      </c>
      <c r="I1727" s="58">
        <v>0</v>
      </c>
      <c r="J1727" s="58">
        <v>0.53377253532713476</v>
      </c>
    </row>
    <row r="1728" spans="1:10" ht="11.25" customHeight="1" x14ac:dyDescent="0.2">
      <c r="A1728" s="67">
        <v>43800</v>
      </c>
      <c r="B1728" s="57">
        <v>110430</v>
      </c>
      <c r="C1728" s="57">
        <v>169374.50107617548</v>
      </c>
      <c r="D1728" s="57">
        <v>0</v>
      </c>
      <c r="E1728" s="57">
        <v>0</v>
      </c>
      <c r="F1728" s="57">
        <v>0</v>
      </c>
      <c r="G1728" s="57">
        <v>0</v>
      </c>
      <c r="H1728" s="58">
        <v>0.53377253532713476</v>
      </c>
      <c r="I1728" s="58">
        <v>0</v>
      </c>
      <c r="J1728" s="58">
        <v>0.53377253532713476</v>
      </c>
    </row>
    <row r="1729" spans="1:10" ht="11.25" customHeight="1" x14ac:dyDescent="0.2">
      <c r="A1729" s="67">
        <v>43831</v>
      </c>
      <c r="B1729" s="57">
        <v>110430</v>
      </c>
      <c r="C1729" s="57">
        <v>169374.50107617548</v>
      </c>
      <c r="D1729" s="57">
        <v>0</v>
      </c>
      <c r="E1729" s="57">
        <v>0</v>
      </c>
      <c r="F1729" s="57">
        <v>0</v>
      </c>
      <c r="G1729" s="57">
        <v>0</v>
      </c>
      <c r="H1729" s="58">
        <v>0.53377253532713476</v>
      </c>
      <c r="I1729" s="58">
        <v>0</v>
      </c>
      <c r="J1729" s="58">
        <v>0.53377253532713476</v>
      </c>
    </row>
    <row r="1730" spans="1:10" ht="11.25" customHeight="1" x14ac:dyDescent="0.2">
      <c r="A1730" s="67">
        <v>43862</v>
      </c>
      <c r="B1730" s="57">
        <v>110430</v>
      </c>
      <c r="C1730" s="57">
        <v>169374.50107617548</v>
      </c>
      <c r="D1730" s="57">
        <v>0</v>
      </c>
      <c r="E1730" s="57">
        <v>0</v>
      </c>
      <c r="F1730" s="57">
        <v>0</v>
      </c>
      <c r="G1730" s="57">
        <v>0</v>
      </c>
      <c r="H1730" s="58">
        <v>0.53377253532713476</v>
      </c>
      <c r="I1730" s="58">
        <v>0</v>
      </c>
      <c r="J1730" s="58">
        <v>0.53377253532713476</v>
      </c>
    </row>
    <row r="1731" spans="1:10" ht="11.25" customHeight="1" x14ac:dyDescent="0.2">
      <c r="A1731" s="67">
        <v>43891</v>
      </c>
      <c r="B1731" s="57">
        <v>110430</v>
      </c>
      <c r="C1731" s="57">
        <v>169374.50107617548</v>
      </c>
      <c r="D1731" s="57">
        <v>0</v>
      </c>
      <c r="E1731" s="57">
        <v>0</v>
      </c>
      <c r="F1731" s="57">
        <v>0</v>
      </c>
      <c r="G1731" s="57">
        <v>0</v>
      </c>
      <c r="H1731" s="58">
        <v>0.53377253532713476</v>
      </c>
      <c r="I1731" s="58">
        <v>0</v>
      </c>
      <c r="J1731" s="58">
        <v>0.53377253532713476</v>
      </c>
    </row>
    <row r="1732" spans="1:10" ht="11.25" customHeight="1" x14ac:dyDescent="0.2">
      <c r="A1732" s="67">
        <v>43922</v>
      </c>
      <c r="B1732" s="57">
        <v>110430</v>
      </c>
      <c r="C1732" s="57">
        <v>169374.50107617548</v>
      </c>
      <c r="D1732" s="57">
        <v>0</v>
      </c>
      <c r="E1732" s="57">
        <v>0</v>
      </c>
      <c r="F1732" s="57">
        <v>0</v>
      </c>
      <c r="G1732" s="57">
        <v>0</v>
      </c>
      <c r="H1732" s="58">
        <v>0.53377253532713476</v>
      </c>
      <c r="I1732" s="58">
        <v>0</v>
      </c>
      <c r="J1732" s="58">
        <v>0.53377253532713476</v>
      </c>
    </row>
    <row r="1733" spans="1:10" ht="11.25" customHeight="1" x14ac:dyDescent="0.2">
      <c r="A1733" s="67">
        <v>43952</v>
      </c>
      <c r="B1733" s="57">
        <v>110430</v>
      </c>
      <c r="C1733" s="57">
        <v>169374.50107617548</v>
      </c>
      <c r="D1733" s="57">
        <v>0</v>
      </c>
      <c r="E1733" s="57">
        <v>0</v>
      </c>
      <c r="F1733" s="57">
        <v>0</v>
      </c>
      <c r="G1733" s="57">
        <v>0</v>
      </c>
      <c r="H1733" s="58">
        <v>0.53377253532713476</v>
      </c>
      <c r="I1733" s="58">
        <v>0</v>
      </c>
      <c r="J1733" s="58">
        <v>0.53377253532713476</v>
      </c>
    </row>
    <row r="1734" spans="1:10" ht="11.25" customHeight="1" x14ac:dyDescent="0.2">
      <c r="A1734" s="67">
        <v>43983</v>
      </c>
      <c r="B1734" s="57">
        <v>110430</v>
      </c>
      <c r="C1734" s="57">
        <v>169374.50107617548</v>
      </c>
      <c r="D1734" s="57">
        <v>0</v>
      </c>
      <c r="E1734" s="57">
        <v>0</v>
      </c>
      <c r="F1734" s="57">
        <v>0</v>
      </c>
      <c r="G1734" s="57">
        <v>0</v>
      </c>
      <c r="H1734" s="58">
        <v>0.53377253532713476</v>
      </c>
      <c r="I1734" s="58">
        <v>0</v>
      </c>
      <c r="J1734" s="58">
        <v>0.53377253532713476</v>
      </c>
    </row>
    <row r="1735" spans="1:10" ht="11.25" customHeight="1" x14ac:dyDescent="0.2">
      <c r="A1735" s="67">
        <v>44013</v>
      </c>
      <c r="B1735" s="57">
        <v>110430</v>
      </c>
      <c r="C1735" s="57">
        <v>169374.50107617548</v>
      </c>
      <c r="D1735" s="57">
        <v>0</v>
      </c>
      <c r="E1735" s="57">
        <v>0</v>
      </c>
      <c r="F1735" s="57">
        <v>0</v>
      </c>
      <c r="G1735" s="57">
        <v>0</v>
      </c>
      <c r="H1735" s="58">
        <v>0.53377253532713476</v>
      </c>
      <c r="I1735" s="58">
        <v>0</v>
      </c>
      <c r="J1735" s="58">
        <v>0.53377253532713476</v>
      </c>
    </row>
    <row r="1736" spans="1:10" ht="11.25" customHeight="1" x14ac:dyDescent="0.2">
      <c r="A1736" s="67">
        <v>44044</v>
      </c>
      <c r="B1736" s="57">
        <v>110430</v>
      </c>
      <c r="C1736" s="57">
        <v>169374.50107617548</v>
      </c>
      <c r="D1736" s="57">
        <v>0</v>
      </c>
      <c r="E1736" s="57">
        <v>0</v>
      </c>
      <c r="F1736" s="57">
        <v>0</v>
      </c>
      <c r="G1736" s="57">
        <v>0</v>
      </c>
      <c r="H1736" s="58">
        <v>0.53377253532713476</v>
      </c>
      <c r="I1736" s="58">
        <v>0</v>
      </c>
      <c r="J1736" s="58">
        <v>0.53377253532713476</v>
      </c>
    </row>
    <row r="1737" spans="1:10" ht="11.25" customHeight="1" x14ac:dyDescent="0.2">
      <c r="A1737" s="67">
        <v>44075</v>
      </c>
      <c r="B1737" s="57">
        <v>110430</v>
      </c>
      <c r="C1737" s="57">
        <v>169374.50107617548</v>
      </c>
      <c r="D1737" s="57">
        <v>0</v>
      </c>
      <c r="E1737" s="57">
        <v>0</v>
      </c>
      <c r="F1737" s="57">
        <v>0</v>
      </c>
      <c r="G1737" s="57">
        <v>0</v>
      </c>
      <c r="H1737" s="58">
        <v>0.53377253532713476</v>
      </c>
      <c r="I1737" s="58">
        <v>0</v>
      </c>
      <c r="J1737" s="58">
        <v>0.53377253532713476</v>
      </c>
    </row>
    <row r="1738" spans="1:10" ht="11.25" customHeight="1" x14ac:dyDescent="0.2">
      <c r="A1738" s="66" t="s">
        <v>25</v>
      </c>
      <c r="B1738" s="57">
        <v>0</v>
      </c>
      <c r="C1738" s="57">
        <v>0</v>
      </c>
      <c r="D1738" s="57">
        <v>1103674.5274</v>
      </c>
      <c r="E1738" s="57">
        <v>948968.84301090706</v>
      </c>
      <c r="F1738" s="57">
        <v>0</v>
      </c>
      <c r="G1738" s="57">
        <v>0</v>
      </c>
      <c r="H1738" s="58">
        <v>-0.14017328528324691</v>
      </c>
      <c r="I1738" s="58">
        <v>0</v>
      </c>
      <c r="J1738" s="58">
        <v>-0.14017328528324691</v>
      </c>
    </row>
    <row r="1739" spans="1:10" ht="11.25" customHeight="1" x14ac:dyDescent="0.2">
      <c r="A1739" s="67">
        <v>43739</v>
      </c>
      <c r="B1739" s="57">
        <v>0</v>
      </c>
      <c r="C1739" s="57">
        <v>0</v>
      </c>
      <c r="D1739" s="57">
        <v>97813.680599999992</v>
      </c>
      <c r="E1739" s="57">
        <v>84102.815644651782</v>
      </c>
      <c r="F1739" s="57">
        <v>0</v>
      </c>
      <c r="G1739" s="57">
        <v>0</v>
      </c>
      <c r="H1739" s="58">
        <v>-0.14017328528324713</v>
      </c>
      <c r="I1739" s="58">
        <v>0</v>
      </c>
      <c r="J1739" s="58">
        <v>-0.14017328528324713</v>
      </c>
    </row>
    <row r="1740" spans="1:10" ht="11.25" customHeight="1" x14ac:dyDescent="0.2">
      <c r="A1740" s="67">
        <v>43770</v>
      </c>
      <c r="B1740" s="57">
        <v>0</v>
      </c>
      <c r="C1740" s="57">
        <v>0</v>
      </c>
      <c r="D1740" s="57">
        <v>89213.245939999993</v>
      </c>
      <c r="E1740" s="57">
        <v>76707.932165807899</v>
      </c>
      <c r="F1740" s="57">
        <v>0</v>
      </c>
      <c r="G1740" s="57">
        <v>0</v>
      </c>
      <c r="H1740" s="58">
        <v>-0.14017328528324702</v>
      </c>
      <c r="I1740" s="58">
        <v>0</v>
      </c>
      <c r="J1740" s="58">
        <v>-0.14017328528324702</v>
      </c>
    </row>
    <row r="1741" spans="1:10" ht="11.25" customHeight="1" x14ac:dyDescent="0.2">
      <c r="A1741" s="67">
        <v>43800</v>
      </c>
      <c r="B1741" s="57">
        <v>0</v>
      </c>
      <c r="C1741" s="57">
        <v>0</v>
      </c>
      <c r="D1741" s="57">
        <v>90470.506380000006</v>
      </c>
      <c r="E1741" s="57">
        <v>77788.958279476443</v>
      </c>
      <c r="F1741" s="57">
        <v>0</v>
      </c>
      <c r="G1741" s="57">
        <v>0</v>
      </c>
      <c r="H1741" s="58">
        <v>-0.14017328528324702</v>
      </c>
      <c r="I1741" s="58">
        <v>0</v>
      </c>
      <c r="J1741" s="58">
        <v>-0.14017328528324702</v>
      </c>
    </row>
    <row r="1742" spans="1:10" ht="11.25" customHeight="1" x14ac:dyDescent="0.2">
      <c r="A1742" s="67">
        <v>43831</v>
      </c>
      <c r="B1742" s="57">
        <v>0</v>
      </c>
      <c r="C1742" s="57">
        <v>0</v>
      </c>
      <c r="D1742" s="57">
        <v>78139.088640000002</v>
      </c>
      <c r="E1742" s="57">
        <v>67186.075876292351</v>
      </c>
      <c r="F1742" s="57">
        <v>0</v>
      </c>
      <c r="G1742" s="57">
        <v>0</v>
      </c>
      <c r="H1742" s="58">
        <v>-0.14017328528324713</v>
      </c>
      <c r="I1742" s="58">
        <v>0</v>
      </c>
      <c r="J1742" s="58">
        <v>-0.14017328528324713</v>
      </c>
    </row>
    <row r="1743" spans="1:10" ht="11.25" customHeight="1" x14ac:dyDescent="0.2">
      <c r="A1743" s="67">
        <v>43862</v>
      </c>
      <c r="B1743" s="57">
        <v>0</v>
      </c>
      <c r="C1743" s="57">
        <v>0</v>
      </c>
      <c r="D1743" s="57">
        <v>69701.677280000004</v>
      </c>
      <c r="E1743" s="57">
        <v>59931.364185909741</v>
      </c>
      <c r="F1743" s="57">
        <v>0</v>
      </c>
      <c r="G1743" s="57">
        <v>0</v>
      </c>
      <c r="H1743" s="58">
        <v>-0.14017328528324713</v>
      </c>
      <c r="I1743" s="58">
        <v>0</v>
      </c>
      <c r="J1743" s="58">
        <v>-0.14017328528324713</v>
      </c>
    </row>
    <row r="1744" spans="1:10" ht="11.25" customHeight="1" x14ac:dyDescent="0.2">
      <c r="A1744" s="67">
        <v>43891</v>
      </c>
      <c r="B1744" s="57">
        <v>0</v>
      </c>
      <c r="C1744" s="57">
        <v>0</v>
      </c>
      <c r="D1744" s="57">
        <v>65972.92972</v>
      </c>
      <c r="E1744" s="57">
        <v>56725.287421386834</v>
      </c>
      <c r="F1744" s="57">
        <v>0</v>
      </c>
      <c r="G1744" s="57">
        <v>0</v>
      </c>
      <c r="H1744" s="58">
        <v>-0.14017328528324702</v>
      </c>
      <c r="I1744" s="58">
        <v>0</v>
      </c>
      <c r="J1744" s="58">
        <v>-0.14017328528324702</v>
      </c>
    </row>
    <row r="1745" spans="1:10" ht="11.25" customHeight="1" x14ac:dyDescent="0.2">
      <c r="A1745" s="67">
        <v>43922</v>
      </c>
      <c r="B1745" s="57">
        <v>0</v>
      </c>
      <c r="C1745" s="57">
        <v>0</v>
      </c>
      <c r="D1745" s="57">
        <v>89044.593919999999</v>
      </c>
      <c r="E1745" s="57">
        <v>76562.920653520952</v>
      </c>
      <c r="F1745" s="57">
        <v>0</v>
      </c>
      <c r="G1745" s="57">
        <v>0</v>
      </c>
      <c r="H1745" s="58">
        <v>-0.14017328528324702</v>
      </c>
      <c r="I1745" s="58">
        <v>0</v>
      </c>
      <c r="J1745" s="58">
        <v>-0.14017328528324702</v>
      </c>
    </row>
    <row r="1746" spans="1:10" ht="11.25" customHeight="1" x14ac:dyDescent="0.2">
      <c r="A1746" s="67">
        <v>43952</v>
      </c>
      <c r="B1746" s="57">
        <v>0</v>
      </c>
      <c r="C1746" s="57">
        <v>0</v>
      </c>
      <c r="D1746" s="57">
        <v>106226.95034000001</v>
      </c>
      <c r="E1746" s="57">
        <v>91336.769725221864</v>
      </c>
      <c r="F1746" s="57">
        <v>0</v>
      </c>
      <c r="G1746" s="57">
        <v>0</v>
      </c>
      <c r="H1746" s="58">
        <v>-0.14017328528324713</v>
      </c>
      <c r="I1746" s="58">
        <v>0</v>
      </c>
      <c r="J1746" s="58">
        <v>-0.14017328528324713</v>
      </c>
    </row>
    <row r="1747" spans="1:10" ht="11.25" customHeight="1" x14ac:dyDescent="0.2">
      <c r="A1747" s="67">
        <v>43983</v>
      </c>
      <c r="B1747" s="57">
        <v>0</v>
      </c>
      <c r="C1747" s="57">
        <v>0</v>
      </c>
      <c r="D1747" s="57">
        <v>106226.95034000001</v>
      </c>
      <c r="E1747" s="57">
        <v>91336.769725221864</v>
      </c>
      <c r="F1747" s="57">
        <v>0</v>
      </c>
      <c r="G1747" s="57">
        <v>0</v>
      </c>
      <c r="H1747" s="58">
        <v>-0.14017328528324713</v>
      </c>
      <c r="I1747" s="58">
        <v>0</v>
      </c>
      <c r="J1747" s="58">
        <v>-0.14017328528324713</v>
      </c>
    </row>
    <row r="1748" spans="1:10" ht="11.25" customHeight="1" x14ac:dyDescent="0.2">
      <c r="A1748" s="67">
        <v>44013</v>
      </c>
      <c r="B1748" s="57">
        <v>0</v>
      </c>
      <c r="C1748" s="57">
        <v>0</v>
      </c>
      <c r="D1748" s="57">
        <v>98857.967840000012</v>
      </c>
      <c r="E1748" s="57">
        <v>85000.721711441613</v>
      </c>
      <c r="F1748" s="57">
        <v>0</v>
      </c>
      <c r="G1748" s="57">
        <v>0</v>
      </c>
      <c r="H1748" s="58">
        <v>-0.14017328528324724</v>
      </c>
      <c r="I1748" s="58">
        <v>0</v>
      </c>
      <c r="J1748" s="58">
        <v>-0.14017328528324724</v>
      </c>
    </row>
    <row r="1749" spans="1:10" ht="11.25" customHeight="1" x14ac:dyDescent="0.2">
      <c r="A1749" s="67">
        <v>44044</v>
      </c>
      <c r="B1749" s="57">
        <v>0</v>
      </c>
      <c r="C1749" s="57">
        <v>0</v>
      </c>
      <c r="D1749" s="57">
        <v>106003.4682</v>
      </c>
      <c r="E1749" s="57">
        <v>91144.613810987794</v>
      </c>
      <c r="F1749" s="57">
        <v>0</v>
      </c>
      <c r="G1749" s="57">
        <v>0</v>
      </c>
      <c r="H1749" s="58">
        <v>-0.14017328528324702</v>
      </c>
      <c r="I1749" s="58">
        <v>0</v>
      </c>
      <c r="J1749" s="58">
        <v>-0.14017328528324702</v>
      </c>
    </row>
    <row r="1750" spans="1:10" ht="11.25" customHeight="1" x14ac:dyDescent="0.2">
      <c r="A1750" s="67">
        <v>44075</v>
      </c>
      <c r="B1750" s="57">
        <v>0</v>
      </c>
      <c r="C1750" s="57">
        <v>0</v>
      </c>
      <c r="D1750" s="57">
        <v>106003.4682</v>
      </c>
      <c r="E1750" s="57">
        <v>91144.613810987794</v>
      </c>
      <c r="F1750" s="57">
        <v>0</v>
      </c>
      <c r="G1750" s="57">
        <v>0</v>
      </c>
      <c r="H1750" s="58">
        <v>-0.14017328528324702</v>
      </c>
      <c r="I1750" s="58">
        <v>0</v>
      </c>
      <c r="J1750" s="58">
        <v>-0.14017328528324702</v>
      </c>
    </row>
    <row r="1751" spans="1:10" ht="11.25" customHeight="1" x14ac:dyDescent="0.2">
      <c r="A1751" s="66" t="s">
        <v>35</v>
      </c>
      <c r="B1751" s="57">
        <v>625588.19999999995</v>
      </c>
      <c r="C1751" s="57">
        <v>877046.50145922287</v>
      </c>
      <c r="D1751" s="57">
        <v>0</v>
      </c>
      <c r="E1751" s="57">
        <v>0</v>
      </c>
      <c r="F1751" s="57">
        <v>0</v>
      </c>
      <c r="G1751" s="57">
        <v>0</v>
      </c>
      <c r="H1751" s="58">
        <v>0.40195499445037952</v>
      </c>
      <c r="I1751" s="58">
        <v>0</v>
      </c>
      <c r="J1751" s="58">
        <v>0.40195499445037952</v>
      </c>
    </row>
    <row r="1752" spans="1:10" ht="11.25" customHeight="1" x14ac:dyDescent="0.2">
      <c r="A1752" s="67">
        <v>43739</v>
      </c>
      <c r="B1752" s="57">
        <v>52132.350000000006</v>
      </c>
      <c r="C1752" s="57">
        <v>73087.208454935244</v>
      </c>
      <c r="D1752" s="57">
        <v>0</v>
      </c>
      <c r="E1752" s="57">
        <v>0</v>
      </c>
      <c r="F1752" s="57">
        <v>0</v>
      </c>
      <c r="G1752" s="57">
        <v>0</v>
      </c>
      <c r="H1752" s="58">
        <v>0.4019549944503793</v>
      </c>
      <c r="I1752" s="58">
        <v>0</v>
      </c>
      <c r="J1752" s="58">
        <v>0.4019549944503793</v>
      </c>
    </row>
    <row r="1753" spans="1:10" ht="11.25" customHeight="1" x14ac:dyDescent="0.2">
      <c r="A1753" s="67">
        <v>43770</v>
      </c>
      <c r="B1753" s="57">
        <v>52132.350000000006</v>
      </c>
      <c r="C1753" s="57">
        <v>73087.208454935244</v>
      </c>
      <c r="D1753" s="57">
        <v>0</v>
      </c>
      <c r="E1753" s="57">
        <v>0</v>
      </c>
      <c r="F1753" s="57">
        <v>0</v>
      </c>
      <c r="G1753" s="57">
        <v>0</v>
      </c>
      <c r="H1753" s="58">
        <v>0.4019549944503793</v>
      </c>
      <c r="I1753" s="58">
        <v>0</v>
      </c>
      <c r="J1753" s="58">
        <v>0.4019549944503793</v>
      </c>
    </row>
    <row r="1754" spans="1:10" ht="11.25" customHeight="1" x14ac:dyDescent="0.2">
      <c r="A1754" s="67">
        <v>43800</v>
      </c>
      <c r="B1754" s="57">
        <v>52132.350000000006</v>
      </c>
      <c r="C1754" s="57">
        <v>73087.208454935244</v>
      </c>
      <c r="D1754" s="57">
        <v>0</v>
      </c>
      <c r="E1754" s="57">
        <v>0</v>
      </c>
      <c r="F1754" s="57">
        <v>0</v>
      </c>
      <c r="G1754" s="57">
        <v>0</v>
      </c>
      <c r="H1754" s="58">
        <v>0.4019549944503793</v>
      </c>
      <c r="I1754" s="58">
        <v>0</v>
      </c>
      <c r="J1754" s="58">
        <v>0.4019549944503793</v>
      </c>
    </row>
    <row r="1755" spans="1:10" ht="11.25" customHeight="1" x14ac:dyDescent="0.2">
      <c r="A1755" s="67">
        <v>43831</v>
      </c>
      <c r="B1755" s="57">
        <v>52132.350000000006</v>
      </c>
      <c r="C1755" s="57">
        <v>73087.208454935244</v>
      </c>
      <c r="D1755" s="57">
        <v>0</v>
      </c>
      <c r="E1755" s="57">
        <v>0</v>
      </c>
      <c r="F1755" s="57">
        <v>0</v>
      </c>
      <c r="G1755" s="57">
        <v>0</v>
      </c>
      <c r="H1755" s="58">
        <v>0.4019549944503793</v>
      </c>
      <c r="I1755" s="58">
        <v>0</v>
      </c>
      <c r="J1755" s="58">
        <v>0.4019549944503793</v>
      </c>
    </row>
    <row r="1756" spans="1:10" ht="11.25" customHeight="1" x14ac:dyDescent="0.2">
      <c r="A1756" s="67">
        <v>43862</v>
      </c>
      <c r="B1756" s="57">
        <v>52132.350000000006</v>
      </c>
      <c r="C1756" s="57">
        <v>73087.208454935244</v>
      </c>
      <c r="D1756" s="57">
        <v>0</v>
      </c>
      <c r="E1756" s="57">
        <v>0</v>
      </c>
      <c r="F1756" s="57">
        <v>0</v>
      </c>
      <c r="G1756" s="57">
        <v>0</v>
      </c>
      <c r="H1756" s="58">
        <v>0.4019549944503793</v>
      </c>
      <c r="I1756" s="58">
        <v>0</v>
      </c>
      <c r="J1756" s="58">
        <v>0.4019549944503793</v>
      </c>
    </row>
    <row r="1757" spans="1:10" ht="11.25" customHeight="1" x14ac:dyDescent="0.2">
      <c r="A1757" s="67">
        <v>43891</v>
      </c>
      <c r="B1757" s="57">
        <v>52132.350000000006</v>
      </c>
      <c r="C1757" s="57">
        <v>73087.208454935244</v>
      </c>
      <c r="D1757" s="57">
        <v>0</v>
      </c>
      <c r="E1757" s="57">
        <v>0</v>
      </c>
      <c r="F1757" s="57">
        <v>0</v>
      </c>
      <c r="G1757" s="57">
        <v>0</v>
      </c>
      <c r="H1757" s="58">
        <v>0.4019549944503793</v>
      </c>
      <c r="I1757" s="58">
        <v>0</v>
      </c>
      <c r="J1757" s="58">
        <v>0.4019549944503793</v>
      </c>
    </row>
    <row r="1758" spans="1:10" ht="11.25" customHeight="1" x14ac:dyDescent="0.2">
      <c r="A1758" s="67">
        <v>43922</v>
      </c>
      <c r="B1758" s="57">
        <v>52132.350000000006</v>
      </c>
      <c r="C1758" s="57">
        <v>73087.208454935244</v>
      </c>
      <c r="D1758" s="57">
        <v>0</v>
      </c>
      <c r="E1758" s="57">
        <v>0</v>
      </c>
      <c r="F1758" s="57">
        <v>0</v>
      </c>
      <c r="G1758" s="57">
        <v>0</v>
      </c>
      <c r="H1758" s="58">
        <v>0.4019549944503793</v>
      </c>
      <c r="I1758" s="58">
        <v>0</v>
      </c>
      <c r="J1758" s="58">
        <v>0.4019549944503793</v>
      </c>
    </row>
    <row r="1759" spans="1:10" ht="11.25" customHeight="1" x14ac:dyDescent="0.2">
      <c r="A1759" s="67">
        <v>43952</v>
      </c>
      <c r="B1759" s="57">
        <v>52132.350000000006</v>
      </c>
      <c r="C1759" s="57">
        <v>73087.208454935244</v>
      </c>
      <c r="D1759" s="57">
        <v>0</v>
      </c>
      <c r="E1759" s="57">
        <v>0</v>
      </c>
      <c r="F1759" s="57">
        <v>0</v>
      </c>
      <c r="G1759" s="57">
        <v>0</v>
      </c>
      <c r="H1759" s="58">
        <v>0.4019549944503793</v>
      </c>
      <c r="I1759" s="58">
        <v>0</v>
      </c>
      <c r="J1759" s="58">
        <v>0.4019549944503793</v>
      </c>
    </row>
    <row r="1760" spans="1:10" ht="11.25" customHeight="1" x14ac:dyDescent="0.2">
      <c r="A1760" s="67">
        <v>43983</v>
      </c>
      <c r="B1760" s="57">
        <v>52132.350000000006</v>
      </c>
      <c r="C1760" s="57">
        <v>73087.208454935244</v>
      </c>
      <c r="D1760" s="57">
        <v>0</v>
      </c>
      <c r="E1760" s="57">
        <v>0</v>
      </c>
      <c r="F1760" s="57">
        <v>0</v>
      </c>
      <c r="G1760" s="57">
        <v>0</v>
      </c>
      <c r="H1760" s="58">
        <v>0.4019549944503793</v>
      </c>
      <c r="I1760" s="58">
        <v>0</v>
      </c>
      <c r="J1760" s="58">
        <v>0.4019549944503793</v>
      </c>
    </row>
    <row r="1761" spans="1:10" ht="11.25" customHeight="1" x14ac:dyDescent="0.2">
      <c r="A1761" s="67">
        <v>44013</v>
      </c>
      <c r="B1761" s="57">
        <v>52132.350000000006</v>
      </c>
      <c r="C1761" s="57">
        <v>73087.208454935244</v>
      </c>
      <c r="D1761" s="57">
        <v>0</v>
      </c>
      <c r="E1761" s="57">
        <v>0</v>
      </c>
      <c r="F1761" s="57">
        <v>0</v>
      </c>
      <c r="G1761" s="57">
        <v>0</v>
      </c>
      <c r="H1761" s="58">
        <v>0.4019549944503793</v>
      </c>
      <c r="I1761" s="58">
        <v>0</v>
      </c>
      <c r="J1761" s="58">
        <v>0.4019549944503793</v>
      </c>
    </row>
    <row r="1762" spans="1:10" ht="11.25" customHeight="1" x14ac:dyDescent="0.2">
      <c r="A1762" s="67">
        <v>44044</v>
      </c>
      <c r="B1762" s="57">
        <v>52132.350000000006</v>
      </c>
      <c r="C1762" s="57">
        <v>73087.208454935244</v>
      </c>
      <c r="D1762" s="57">
        <v>0</v>
      </c>
      <c r="E1762" s="57">
        <v>0</v>
      </c>
      <c r="F1762" s="57">
        <v>0</v>
      </c>
      <c r="G1762" s="57">
        <v>0</v>
      </c>
      <c r="H1762" s="58">
        <v>0.4019549944503793</v>
      </c>
      <c r="I1762" s="58">
        <v>0</v>
      </c>
      <c r="J1762" s="58">
        <v>0.4019549944503793</v>
      </c>
    </row>
    <row r="1763" spans="1:10" ht="11.25" customHeight="1" x14ac:dyDescent="0.2">
      <c r="A1763" s="67">
        <v>44075</v>
      </c>
      <c r="B1763" s="57">
        <v>52132.350000000006</v>
      </c>
      <c r="C1763" s="57">
        <v>73087.208454935244</v>
      </c>
      <c r="D1763" s="57">
        <v>0</v>
      </c>
      <c r="E1763" s="57">
        <v>0</v>
      </c>
      <c r="F1763" s="57">
        <v>0</v>
      </c>
      <c r="G1763" s="57">
        <v>0</v>
      </c>
      <c r="H1763" s="58">
        <v>0.4019549944503793</v>
      </c>
      <c r="I1763" s="58">
        <v>0</v>
      </c>
      <c r="J1763" s="58">
        <v>0.4019549944503793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1CD21-A0B2-473C-B027-04D6CE248918}">
  <dimension ref="A1:G840"/>
  <sheetViews>
    <sheetView showGridLines="0" workbookViewId="0"/>
  </sheetViews>
  <sheetFormatPr defaultColWidth="8.85546875" defaultRowHeight="11.25" customHeight="1" x14ac:dyDescent="0.2"/>
  <cols>
    <col min="1" max="1" width="33.28515625" style="16" bestFit="1" customWidth="1"/>
    <col min="2" max="2" width="19.7109375" style="57" bestFit="1" customWidth="1"/>
    <col min="3" max="3" width="21.140625" style="57" bestFit="1" customWidth="1"/>
    <col min="4" max="4" width="19.7109375" style="57" bestFit="1" customWidth="1"/>
    <col min="5" max="5" width="21.140625" style="57" bestFit="1" customWidth="1"/>
    <col min="6" max="7" width="13.7109375" style="57" bestFit="1" customWidth="1"/>
    <col min="8" max="16384" width="8.85546875" style="16"/>
  </cols>
  <sheetData>
    <row r="1" spans="1:7" ht="11.25" customHeight="1" x14ac:dyDescent="0.2">
      <c r="A1" s="56" t="s">
        <v>1133</v>
      </c>
      <c r="B1" s="57" t="s">
        <v>1159</v>
      </c>
      <c r="C1" s="57" t="s">
        <v>1160</v>
      </c>
      <c r="D1" s="57" t="s">
        <v>1161</v>
      </c>
      <c r="E1" s="57" t="s">
        <v>1162</v>
      </c>
      <c r="F1" s="57" t="s">
        <v>1163</v>
      </c>
      <c r="G1" s="57" t="s">
        <v>1164</v>
      </c>
    </row>
    <row r="2" spans="1:7" ht="11.25" customHeight="1" x14ac:dyDescent="0.2">
      <c r="A2" s="59" t="s">
        <v>1148</v>
      </c>
      <c r="B2" s="57">
        <v>1332680.2455</v>
      </c>
      <c r="C2" s="57">
        <v>12231736.544672396</v>
      </c>
      <c r="D2" s="57">
        <v>1733907.1647204228</v>
      </c>
      <c r="E2" s="57">
        <v>11488669.320103286</v>
      </c>
      <c r="F2" s="57">
        <v>13564416.790172398</v>
      </c>
      <c r="G2" s="57">
        <v>13222576.484823709</v>
      </c>
    </row>
    <row r="3" spans="1:7" ht="11.25" customHeight="1" x14ac:dyDescent="0.2">
      <c r="A3" s="60" t="s">
        <v>43</v>
      </c>
      <c r="B3" s="57">
        <v>319807.33650000003</v>
      </c>
      <c r="C3" s="57">
        <v>4225458.6403595991</v>
      </c>
      <c r="D3" s="57">
        <v>472507.36614256894</v>
      </c>
      <c r="E3" s="57">
        <v>3893551.7187189953</v>
      </c>
      <c r="F3" s="57">
        <v>4545265.9768595994</v>
      </c>
      <c r="G3" s="57">
        <v>4366059.0848615644</v>
      </c>
    </row>
    <row r="4" spans="1:7" ht="11.25" customHeight="1" x14ac:dyDescent="0.2">
      <c r="A4" s="61" t="s">
        <v>41</v>
      </c>
      <c r="B4" s="57">
        <v>319807.33650000003</v>
      </c>
      <c r="C4" s="57">
        <v>4225458.6403595991</v>
      </c>
      <c r="D4" s="57">
        <v>472507.36614256894</v>
      </c>
      <c r="E4" s="57">
        <v>3893551.7187189953</v>
      </c>
      <c r="F4" s="57">
        <v>4545265.9768595994</v>
      </c>
      <c r="G4" s="57">
        <v>4366059.0848615644</v>
      </c>
    </row>
    <row r="5" spans="1:7" ht="11.25" customHeight="1" x14ac:dyDescent="0.2">
      <c r="A5" s="62" t="s">
        <v>52</v>
      </c>
      <c r="B5" s="57">
        <v>319807.33650000003</v>
      </c>
      <c r="C5" s="57">
        <v>4225458.6403595991</v>
      </c>
      <c r="D5" s="57">
        <v>472507.36614256894</v>
      </c>
      <c r="E5" s="57">
        <v>3893551.7187189953</v>
      </c>
      <c r="F5" s="57">
        <v>4545265.9768595994</v>
      </c>
      <c r="G5" s="57">
        <v>4366059.0848615644</v>
      </c>
    </row>
    <row r="6" spans="1:7" ht="11.25" customHeight="1" x14ac:dyDescent="0.2">
      <c r="A6" s="63" t="s">
        <v>53</v>
      </c>
      <c r="B6" s="57">
        <v>319807.33650000003</v>
      </c>
      <c r="C6" s="57">
        <v>4225458.6403595991</v>
      </c>
      <c r="D6" s="57">
        <v>472507.36614256894</v>
      </c>
      <c r="E6" s="57">
        <v>3893551.7187189953</v>
      </c>
      <c r="F6" s="57">
        <v>4545265.9768595994</v>
      </c>
      <c r="G6" s="57">
        <v>4366059.0848615644</v>
      </c>
    </row>
    <row r="7" spans="1:7" ht="11.25" customHeight="1" x14ac:dyDescent="0.2">
      <c r="A7" s="64" t="s">
        <v>25</v>
      </c>
      <c r="B7" s="57">
        <v>319807.33650000003</v>
      </c>
      <c r="C7" s="57">
        <v>4225458.6403595991</v>
      </c>
      <c r="D7" s="57">
        <v>472507.36614256894</v>
      </c>
      <c r="E7" s="57">
        <v>3893551.7187189953</v>
      </c>
      <c r="F7" s="57">
        <v>4545265.9768595994</v>
      </c>
      <c r="G7" s="57">
        <v>4366059.0848615644</v>
      </c>
    </row>
    <row r="8" spans="1:7" ht="11.25" customHeight="1" x14ac:dyDescent="0.2">
      <c r="A8" s="65" t="s">
        <v>25</v>
      </c>
      <c r="B8" s="57">
        <v>319807.33650000003</v>
      </c>
      <c r="C8" s="57">
        <v>4225458.6403595991</v>
      </c>
      <c r="D8" s="57">
        <v>472507.36614256894</v>
      </c>
      <c r="E8" s="57">
        <v>3893551.7187189953</v>
      </c>
      <c r="F8" s="57">
        <v>4545265.9768595994</v>
      </c>
      <c r="G8" s="57">
        <v>4366059.0848615644</v>
      </c>
    </row>
    <row r="9" spans="1:7" ht="11.25" customHeight="1" x14ac:dyDescent="0.2">
      <c r="A9" s="66" t="s">
        <v>36</v>
      </c>
      <c r="B9" s="57">
        <v>183222.00000000003</v>
      </c>
      <c r="C9" s="57">
        <v>3868924.0392011995</v>
      </c>
      <c r="D9" s="57">
        <v>281020.8714677082</v>
      </c>
      <c r="E9" s="57">
        <v>3575877.3138864134</v>
      </c>
      <c r="F9" s="57">
        <v>4052146.0392011995</v>
      </c>
      <c r="G9" s="57">
        <v>3856898.1853541215</v>
      </c>
    </row>
    <row r="10" spans="1:7" ht="11.25" customHeight="1" x14ac:dyDescent="0.2">
      <c r="A10" s="67">
        <v>43739</v>
      </c>
      <c r="B10" s="57">
        <v>15268.500000000002</v>
      </c>
      <c r="C10" s="57">
        <v>325639.49764440011</v>
      </c>
      <c r="D10" s="57">
        <v>23418.405955642356</v>
      </c>
      <c r="E10" s="57">
        <v>300974.34850966901</v>
      </c>
      <c r="F10" s="57">
        <v>340907.99764440011</v>
      </c>
      <c r="G10" s="57">
        <v>324392.75446531136</v>
      </c>
    </row>
    <row r="11" spans="1:7" ht="11.25" customHeight="1" x14ac:dyDescent="0.2">
      <c r="A11" s="67">
        <v>43770</v>
      </c>
      <c r="B11" s="57">
        <v>15268.500000000002</v>
      </c>
      <c r="C11" s="57">
        <v>329115.07427039999</v>
      </c>
      <c r="D11" s="57">
        <v>23418.405955642356</v>
      </c>
      <c r="E11" s="57">
        <v>304186.67200934491</v>
      </c>
      <c r="F11" s="57">
        <v>344383.57427039999</v>
      </c>
      <c r="G11" s="57">
        <v>327605.07796498726</v>
      </c>
    </row>
    <row r="12" spans="1:7" ht="11.25" customHeight="1" x14ac:dyDescent="0.2">
      <c r="A12" s="67">
        <v>43800</v>
      </c>
      <c r="B12" s="57">
        <v>15268.500000000002</v>
      </c>
      <c r="C12" s="57">
        <v>306859.74564959999</v>
      </c>
      <c r="D12" s="57">
        <v>23418.405955642356</v>
      </c>
      <c r="E12" s="57">
        <v>283617.0449187503</v>
      </c>
      <c r="F12" s="57">
        <v>322128.24564959999</v>
      </c>
      <c r="G12" s="57">
        <v>307035.45087439264</v>
      </c>
    </row>
    <row r="13" spans="1:7" ht="11.25" customHeight="1" x14ac:dyDescent="0.2">
      <c r="A13" s="67">
        <v>43831</v>
      </c>
      <c r="B13" s="57">
        <v>15268.500000000002</v>
      </c>
      <c r="C13" s="57">
        <v>314999.45154720009</v>
      </c>
      <c r="D13" s="57">
        <v>23418.405955642356</v>
      </c>
      <c r="E13" s="57">
        <v>291140.21915686358</v>
      </c>
      <c r="F13" s="57">
        <v>330267.95154720009</v>
      </c>
      <c r="G13" s="57">
        <v>314558.62511250592</v>
      </c>
    </row>
    <row r="14" spans="1:7" ht="11.25" customHeight="1" x14ac:dyDescent="0.2">
      <c r="A14" s="67">
        <v>43862</v>
      </c>
      <c r="B14" s="57">
        <v>15268.500000000002</v>
      </c>
      <c r="C14" s="57">
        <v>319565.19196680002</v>
      </c>
      <c r="D14" s="57">
        <v>23418.405955642356</v>
      </c>
      <c r="E14" s="57">
        <v>295360.13338162372</v>
      </c>
      <c r="F14" s="57">
        <v>334833.69196680002</v>
      </c>
      <c r="G14" s="57">
        <v>318778.53933726606</v>
      </c>
    </row>
    <row r="15" spans="1:7" ht="11.25" customHeight="1" x14ac:dyDescent="0.2">
      <c r="A15" s="67">
        <v>43891</v>
      </c>
      <c r="B15" s="57">
        <v>15268.500000000002</v>
      </c>
      <c r="C15" s="57">
        <v>299140.39367999998</v>
      </c>
      <c r="D15" s="57">
        <v>23418.405955642356</v>
      </c>
      <c r="E15" s="57">
        <v>276482.3854355684</v>
      </c>
      <c r="F15" s="57">
        <v>314408.89367999998</v>
      </c>
      <c r="G15" s="57">
        <v>299900.79139121075</v>
      </c>
    </row>
    <row r="16" spans="1:7" ht="11.25" customHeight="1" x14ac:dyDescent="0.2">
      <c r="A16" s="67">
        <v>43922</v>
      </c>
      <c r="B16" s="57">
        <v>15268.500000000002</v>
      </c>
      <c r="C16" s="57">
        <v>330319.62946079986</v>
      </c>
      <c r="D16" s="57">
        <v>23418.405955642356</v>
      </c>
      <c r="E16" s="57">
        <v>305299.98970052513</v>
      </c>
      <c r="F16" s="57">
        <v>345588.12946079986</v>
      </c>
      <c r="G16" s="57">
        <v>328718.39565616747</v>
      </c>
    </row>
    <row r="17" spans="1:7" ht="11.25" customHeight="1" x14ac:dyDescent="0.2">
      <c r="A17" s="67">
        <v>43952</v>
      </c>
      <c r="B17" s="57">
        <v>15268.500000000002</v>
      </c>
      <c r="C17" s="57">
        <v>308195.76672239992</v>
      </c>
      <c r="D17" s="57">
        <v>23418.405955642356</v>
      </c>
      <c r="E17" s="57">
        <v>284851.87077645463</v>
      </c>
      <c r="F17" s="57">
        <v>323464.26672239992</v>
      </c>
      <c r="G17" s="57">
        <v>308270.27673209697</v>
      </c>
    </row>
    <row r="18" spans="1:7" ht="11.25" customHeight="1" x14ac:dyDescent="0.2">
      <c r="A18" s="67">
        <v>43983</v>
      </c>
      <c r="B18" s="57">
        <v>15268.500000000002</v>
      </c>
      <c r="C18" s="57">
        <v>323803.99044239993</v>
      </c>
      <c r="D18" s="57">
        <v>23418.405955642356</v>
      </c>
      <c r="E18" s="57">
        <v>299277.86946365947</v>
      </c>
      <c r="F18" s="57">
        <v>339072.49044239993</v>
      </c>
      <c r="G18" s="57">
        <v>322696.27541930182</v>
      </c>
    </row>
    <row r="19" spans="1:7" ht="11.25" customHeight="1" x14ac:dyDescent="0.2">
      <c r="A19" s="67">
        <v>44013</v>
      </c>
      <c r="B19" s="57">
        <v>15268.500000000002</v>
      </c>
      <c r="C19" s="57">
        <v>322299.55981320009</v>
      </c>
      <c r="D19" s="57">
        <v>23418.405955642356</v>
      </c>
      <c r="E19" s="57">
        <v>297887.39001698047</v>
      </c>
      <c r="F19" s="57">
        <v>337568.05981320009</v>
      </c>
      <c r="G19" s="57">
        <v>321305.79597262281</v>
      </c>
    </row>
    <row r="20" spans="1:7" ht="11.25" customHeight="1" x14ac:dyDescent="0.2">
      <c r="A20" s="67">
        <v>44044</v>
      </c>
      <c r="B20" s="57">
        <v>15268.500000000002</v>
      </c>
      <c r="C20" s="57">
        <v>344492.86900199996</v>
      </c>
      <c r="D20" s="57">
        <v>23418.405955642356</v>
      </c>
      <c r="E20" s="57">
        <v>318399.69525848678</v>
      </c>
      <c r="F20" s="57">
        <v>359761.36900199996</v>
      </c>
      <c r="G20" s="57">
        <v>341818.10121412913</v>
      </c>
    </row>
    <row r="21" spans="1:7" ht="11.25" customHeight="1" x14ac:dyDescent="0.2">
      <c r="A21" s="67">
        <v>44075</v>
      </c>
      <c r="B21" s="57">
        <v>15268.500000000002</v>
      </c>
      <c r="C21" s="57">
        <v>344492.86900199996</v>
      </c>
      <c r="D21" s="57">
        <v>23418.405955642356</v>
      </c>
      <c r="E21" s="57">
        <v>318399.69525848678</v>
      </c>
      <c r="F21" s="57">
        <v>359761.36900199996</v>
      </c>
      <c r="G21" s="57">
        <v>341818.10121412913</v>
      </c>
    </row>
    <row r="22" spans="1:7" ht="11.25" customHeight="1" x14ac:dyDescent="0.2">
      <c r="A22" s="66" t="s">
        <v>35</v>
      </c>
      <c r="B22" s="57">
        <v>136585.33650000003</v>
      </c>
      <c r="C22" s="57">
        <v>356534.60115840001</v>
      </c>
      <c r="D22" s="57">
        <v>191486.49467486076</v>
      </c>
      <c r="E22" s="57">
        <v>317674.40483258193</v>
      </c>
      <c r="F22" s="57">
        <v>493119.93765840004</v>
      </c>
      <c r="G22" s="57">
        <v>509160.89950744272</v>
      </c>
    </row>
    <row r="23" spans="1:7" ht="11.25" customHeight="1" x14ac:dyDescent="0.2">
      <c r="A23" s="67">
        <v>43739</v>
      </c>
      <c r="B23" s="57">
        <v>11413.717500000001</v>
      </c>
      <c r="C23" s="57">
        <v>30968.695852799989</v>
      </c>
      <c r="D23" s="57">
        <v>16001.5182543707</v>
      </c>
      <c r="E23" s="57">
        <v>27593.288257340017</v>
      </c>
      <c r="F23" s="57">
        <v>42382.413352799987</v>
      </c>
      <c r="G23" s="57">
        <v>43594.806511710718</v>
      </c>
    </row>
    <row r="24" spans="1:7" ht="11.25" customHeight="1" x14ac:dyDescent="0.2">
      <c r="A24" s="67">
        <v>43770</v>
      </c>
      <c r="B24" s="57">
        <v>11372.523000000007</v>
      </c>
      <c r="C24" s="57">
        <v>29700.566601600003</v>
      </c>
      <c r="D24" s="57">
        <v>15943.765419351821</v>
      </c>
      <c r="E24" s="57">
        <v>26463.377713407244</v>
      </c>
      <c r="F24" s="57">
        <v>41073.089601600012</v>
      </c>
      <c r="G24" s="57">
        <v>42407.143132759069</v>
      </c>
    </row>
    <row r="25" spans="1:7" ht="11.25" customHeight="1" x14ac:dyDescent="0.2">
      <c r="A25" s="67">
        <v>43800</v>
      </c>
      <c r="B25" s="57">
        <v>11413.717500000001</v>
      </c>
      <c r="C25" s="57">
        <v>29530.420646400002</v>
      </c>
      <c r="D25" s="57">
        <v>16001.5182543707</v>
      </c>
      <c r="E25" s="57">
        <v>26311.776676993897</v>
      </c>
      <c r="F25" s="57">
        <v>40944.138146400001</v>
      </c>
      <c r="G25" s="57">
        <v>42313.294931364595</v>
      </c>
    </row>
    <row r="26" spans="1:7" ht="11.25" customHeight="1" x14ac:dyDescent="0.2">
      <c r="A26" s="67">
        <v>43831</v>
      </c>
      <c r="B26" s="57">
        <v>11413.717500000001</v>
      </c>
      <c r="C26" s="57">
        <v>28078.938844800003</v>
      </c>
      <c r="D26" s="57">
        <v>16001.5182543707</v>
      </c>
      <c r="E26" s="57">
        <v>25018.497943455917</v>
      </c>
      <c r="F26" s="57">
        <v>39492.656344800002</v>
      </c>
      <c r="G26" s="57">
        <v>41020.016197826619</v>
      </c>
    </row>
    <row r="27" spans="1:7" ht="11.25" customHeight="1" x14ac:dyDescent="0.2">
      <c r="A27" s="67">
        <v>43862</v>
      </c>
      <c r="B27" s="57">
        <v>11372.523000000007</v>
      </c>
      <c r="C27" s="57">
        <v>31092.352223999995</v>
      </c>
      <c r="D27" s="57">
        <v>15943.765419351821</v>
      </c>
      <c r="E27" s="57">
        <v>27703.466803817937</v>
      </c>
      <c r="F27" s="57">
        <v>42464.875224000003</v>
      </c>
      <c r="G27" s="57">
        <v>43647.232223169762</v>
      </c>
    </row>
    <row r="28" spans="1:7" ht="11.25" customHeight="1" x14ac:dyDescent="0.2">
      <c r="A28" s="67">
        <v>43891</v>
      </c>
      <c r="B28" s="57">
        <v>11372.523000000007</v>
      </c>
      <c r="C28" s="57">
        <v>28240.971331200009</v>
      </c>
      <c r="D28" s="57">
        <v>15943.765419351821</v>
      </c>
      <c r="E28" s="57">
        <v>25162.869831944234</v>
      </c>
      <c r="F28" s="57">
        <v>39613.494331200018</v>
      </c>
      <c r="G28" s="57">
        <v>41106.635251296058</v>
      </c>
    </row>
    <row r="29" spans="1:7" ht="11.25" customHeight="1" x14ac:dyDescent="0.2">
      <c r="A29" s="67">
        <v>43922</v>
      </c>
      <c r="B29" s="57">
        <v>11372.523000000007</v>
      </c>
      <c r="C29" s="57">
        <v>29696.717145599989</v>
      </c>
      <c r="D29" s="57">
        <v>15943.765419351821</v>
      </c>
      <c r="E29" s="57">
        <v>26459.947825705567</v>
      </c>
      <c r="F29" s="57">
        <v>41069.240145599993</v>
      </c>
      <c r="G29" s="57">
        <v>42403.713245057384</v>
      </c>
    </row>
    <row r="30" spans="1:7" ht="11.25" customHeight="1" x14ac:dyDescent="0.2">
      <c r="A30" s="67">
        <v>43952</v>
      </c>
      <c r="B30" s="57">
        <v>11372.523000000007</v>
      </c>
      <c r="C30" s="57">
        <v>26860.73407680001</v>
      </c>
      <c r="D30" s="57">
        <v>15943.765419351821</v>
      </c>
      <c r="E30" s="57">
        <v>23933.070404638507</v>
      </c>
      <c r="F30" s="57">
        <v>38233.257076800015</v>
      </c>
      <c r="G30" s="57">
        <v>39876.835823990332</v>
      </c>
    </row>
    <row r="31" spans="1:7" ht="11.25" customHeight="1" x14ac:dyDescent="0.2">
      <c r="A31" s="67">
        <v>43983</v>
      </c>
      <c r="B31" s="57">
        <v>11364</v>
      </c>
      <c r="C31" s="57">
        <v>31046.691753600004</v>
      </c>
      <c r="D31" s="57">
        <v>15931.816556934113</v>
      </c>
      <c r="E31" s="57">
        <v>27662.783058925957</v>
      </c>
      <c r="F31" s="57">
        <v>42410.691753600004</v>
      </c>
      <c r="G31" s="57">
        <v>43594.599615860068</v>
      </c>
    </row>
    <row r="32" spans="1:7" ht="11.25" customHeight="1" x14ac:dyDescent="0.2">
      <c r="A32" s="67">
        <v>44013</v>
      </c>
      <c r="B32" s="57">
        <v>11372.523000000007</v>
      </c>
      <c r="C32" s="57">
        <v>29608.890326399996</v>
      </c>
      <c r="D32" s="57">
        <v>15943.765419351821</v>
      </c>
      <c r="E32" s="57">
        <v>26381.693618604637</v>
      </c>
      <c r="F32" s="57">
        <v>40981.413326400005</v>
      </c>
      <c r="G32" s="57">
        <v>42325.459037956462</v>
      </c>
    </row>
    <row r="33" spans="1:7" ht="11.25" customHeight="1" x14ac:dyDescent="0.2">
      <c r="A33" s="67">
        <v>44044</v>
      </c>
      <c r="B33" s="57">
        <v>11372.523000000007</v>
      </c>
      <c r="C33" s="57">
        <v>30854.811177600001</v>
      </c>
      <c r="D33" s="57">
        <v>15943.765419351821</v>
      </c>
      <c r="E33" s="57">
        <v>27491.816348874014</v>
      </c>
      <c r="F33" s="57">
        <v>42227.334177600009</v>
      </c>
      <c r="G33" s="57">
        <v>43435.581768225835</v>
      </c>
    </row>
    <row r="34" spans="1:7" ht="11.25" customHeight="1" x14ac:dyDescent="0.2">
      <c r="A34" s="67">
        <v>44075</v>
      </c>
      <c r="B34" s="57">
        <v>11372.523000000007</v>
      </c>
      <c r="C34" s="57">
        <v>30854.811177600001</v>
      </c>
      <c r="D34" s="57">
        <v>15943.765419351821</v>
      </c>
      <c r="E34" s="57">
        <v>27491.816348874014</v>
      </c>
      <c r="F34" s="57">
        <v>42227.334177600009</v>
      </c>
      <c r="G34" s="57">
        <v>43435.581768225835</v>
      </c>
    </row>
    <row r="35" spans="1:7" ht="11.25" customHeight="1" x14ac:dyDescent="0.2">
      <c r="A35" s="60" t="s">
        <v>45</v>
      </c>
      <c r="B35" s="57">
        <v>253547.81250000003</v>
      </c>
      <c r="C35" s="57">
        <v>1563268.3818984004</v>
      </c>
      <c r="D35" s="57">
        <v>311491.77586066927</v>
      </c>
      <c r="E35" s="57">
        <v>1462305.8937372251</v>
      </c>
      <c r="F35" s="57">
        <v>1816816.1943984004</v>
      </c>
      <c r="G35" s="57">
        <v>1773797.6695978944</v>
      </c>
    </row>
    <row r="36" spans="1:7" ht="11.25" customHeight="1" x14ac:dyDescent="0.2">
      <c r="A36" s="61" t="s">
        <v>41</v>
      </c>
      <c r="B36" s="57">
        <v>236614.1115</v>
      </c>
      <c r="C36" s="57">
        <v>1276154.9935019999</v>
      </c>
      <c r="D36" s="57">
        <v>289479.20114629291</v>
      </c>
      <c r="E36" s="57">
        <v>1186179.5158766026</v>
      </c>
      <c r="F36" s="57">
        <v>1512769.105002</v>
      </c>
      <c r="G36" s="57">
        <v>1475658.7170228956</v>
      </c>
    </row>
    <row r="37" spans="1:7" ht="11.25" customHeight="1" x14ac:dyDescent="0.2">
      <c r="A37" s="62" t="s">
        <v>52</v>
      </c>
      <c r="B37" s="57">
        <v>236614.1115</v>
      </c>
      <c r="C37" s="57">
        <v>1276154.9935019999</v>
      </c>
      <c r="D37" s="57">
        <v>289479.20114629291</v>
      </c>
      <c r="E37" s="57">
        <v>1186179.5158766026</v>
      </c>
      <c r="F37" s="57">
        <v>1512769.105002</v>
      </c>
      <c r="G37" s="57">
        <v>1475658.7170228956</v>
      </c>
    </row>
    <row r="38" spans="1:7" ht="11.25" customHeight="1" x14ac:dyDescent="0.2">
      <c r="A38" s="63" t="s">
        <v>53</v>
      </c>
      <c r="B38" s="57">
        <v>236614.1115</v>
      </c>
      <c r="C38" s="57">
        <v>1276154.9935019999</v>
      </c>
      <c r="D38" s="57">
        <v>289479.20114629291</v>
      </c>
      <c r="E38" s="57">
        <v>1186179.5158766026</v>
      </c>
      <c r="F38" s="57">
        <v>1512769.105002</v>
      </c>
      <c r="G38" s="57">
        <v>1475658.7170228956</v>
      </c>
    </row>
    <row r="39" spans="1:7" ht="11.25" customHeight="1" x14ac:dyDescent="0.2">
      <c r="A39" s="64" t="s">
        <v>25</v>
      </c>
      <c r="B39" s="57">
        <v>236614.1115</v>
      </c>
      <c r="C39" s="57">
        <v>1276154.9935019999</v>
      </c>
      <c r="D39" s="57">
        <v>289479.20114629291</v>
      </c>
      <c r="E39" s="57">
        <v>1186179.5158766026</v>
      </c>
      <c r="F39" s="57">
        <v>1512769.105002</v>
      </c>
      <c r="G39" s="57">
        <v>1475658.7170228956</v>
      </c>
    </row>
    <row r="40" spans="1:7" ht="11.25" customHeight="1" x14ac:dyDescent="0.2">
      <c r="A40" s="65" t="s">
        <v>25</v>
      </c>
      <c r="B40" s="57">
        <v>236614.1115</v>
      </c>
      <c r="C40" s="57">
        <v>1276154.9935019999</v>
      </c>
      <c r="D40" s="57">
        <v>289479.20114629291</v>
      </c>
      <c r="E40" s="57">
        <v>1186179.5158766026</v>
      </c>
      <c r="F40" s="57">
        <v>1512769.105002</v>
      </c>
      <c r="G40" s="57">
        <v>1475658.7170228956</v>
      </c>
    </row>
    <row r="41" spans="1:7" ht="11.25" customHeight="1" x14ac:dyDescent="0.2">
      <c r="A41" s="66" t="s">
        <v>36</v>
      </c>
      <c r="B41" s="57">
        <v>77147.848500000007</v>
      </c>
      <c r="C41" s="57">
        <v>1109709.828486</v>
      </c>
      <c r="D41" s="57">
        <v>100286.56931875873</v>
      </c>
      <c r="E41" s="57">
        <v>1036560.0934352969</v>
      </c>
      <c r="F41" s="57">
        <v>1186857.676986</v>
      </c>
      <c r="G41" s="57">
        <v>1136846.6627540556</v>
      </c>
    </row>
    <row r="42" spans="1:7" ht="11.25" customHeight="1" x14ac:dyDescent="0.2">
      <c r="A42" s="67">
        <v>43739</v>
      </c>
      <c r="B42" s="57">
        <v>6431.7405000000017</v>
      </c>
      <c r="C42" s="57">
        <v>83395.715885999976</v>
      </c>
      <c r="D42" s="57">
        <v>8360.7929713492667</v>
      </c>
      <c r="E42" s="57">
        <v>77898.445910706097</v>
      </c>
      <c r="F42" s="57">
        <v>89827.456385999976</v>
      </c>
      <c r="G42" s="57">
        <v>86259.238882055361</v>
      </c>
    </row>
    <row r="43" spans="1:7" ht="11.25" customHeight="1" x14ac:dyDescent="0.2">
      <c r="A43" s="67">
        <v>43770</v>
      </c>
      <c r="B43" s="57">
        <v>6470.0640000000049</v>
      </c>
      <c r="C43" s="57">
        <v>94979.382397199995</v>
      </c>
      <c r="D43" s="57">
        <v>8410.6107227709126</v>
      </c>
      <c r="E43" s="57">
        <v>88718.541518541198</v>
      </c>
      <c r="F43" s="57">
        <v>101449.44639719999</v>
      </c>
      <c r="G43" s="57">
        <v>97129.152241312113</v>
      </c>
    </row>
    <row r="44" spans="1:7" ht="11.25" customHeight="1" x14ac:dyDescent="0.2">
      <c r="A44" s="67">
        <v>43800</v>
      </c>
      <c r="B44" s="57">
        <v>6368.3085000000037</v>
      </c>
      <c r="C44" s="57">
        <v>89242.559103599968</v>
      </c>
      <c r="D44" s="57">
        <v>8278.3360034789657</v>
      </c>
      <c r="E44" s="57">
        <v>83359.877535769367</v>
      </c>
      <c r="F44" s="57">
        <v>95610.867603599967</v>
      </c>
      <c r="G44" s="57">
        <v>91638.213539248332</v>
      </c>
    </row>
    <row r="45" spans="1:7" ht="11.25" customHeight="1" x14ac:dyDescent="0.2">
      <c r="A45" s="67">
        <v>43831</v>
      </c>
      <c r="B45" s="57">
        <v>6431.7405000000017</v>
      </c>
      <c r="C45" s="57">
        <v>81647.503383600008</v>
      </c>
      <c r="D45" s="57">
        <v>8360.7929713492667</v>
      </c>
      <c r="E45" s="57">
        <v>76265.471895053022</v>
      </c>
      <c r="F45" s="57">
        <v>88079.243883600007</v>
      </c>
      <c r="G45" s="57">
        <v>84626.264866402285</v>
      </c>
    </row>
    <row r="46" spans="1:7" ht="11.25" customHeight="1" x14ac:dyDescent="0.2">
      <c r="A46" s="67">
        <v>43862</v>
      </c>
      <c r="B46" s="57">
        <v>6444.9555000000018</v>
      </c>
      <c r="C46" s="57">
        <v>87121.62854640001</v>
      </c>
      <c r="D46" s="57">
        <v>8377.9715063222466</v>
      </c>
      <c r="E46" s="57">
        <v>81378.754254613625</v>
      </c>
      <c r="F46" s="57">
        <v>93566.584046400007</v>
      </c>
      <c r="G46" s="57">
        <v>89756.725760935864</v>
      </c>
    </row>
    <row r="47" spans="1:7" ht="11.25" customHeight="1" x14ac:dyDescent="0.2">
      <c r="A47" s="67">
        <v>43891</v>
      </c>
      <c r="B47" s="57">
        <v>6483.279000000005</v>
      </c>
      <c r="C47" s="57">
        <v>82214.371839600004</v>
      </c>
      <c r="D47" s="57">
        <v>8427.7892577438924</v>
      </c>
      <c r="E47" s="57">
        <v>76794.973576153337</v>
      </c>
      <c r="F47" s="57">
        <v>88697.650839600014</v>
      </c>
      <c r="G47" s="57">
        <v>85222.762833897228</v>
      </c>
    </row>
    <row r="48" spans="1:7" ht="11.25" customHeight="1" x14ac:dyDescent="0.2">
      <c r="A48" s="67">
        <v>43922</v>
      </c>
      <c r="B48" s="57">
        <v>6483.279000000005</v>
      </c>
      <c r="C48" s="57">
        <v>95007.071426399983</v>
      </c>
      <c r="D48" s="57">
        <v>8427.7892577438924</v>
      </c>
      <c r="E48" s="57">
        <v>88744.405345244289</v>
      </c>
      <c r="F48" s="57">
        <v>101490.35042639999</v>
      </c>
      <c r="G48" s="57">
        <v>97172.19460298818</v>
      </c>
    </row>
    <row r="49" spans="1:7" ht="11.25" customHeight="1" x14ac:dyDescent="0.2">
      <c r="A49" s="67">
        <v>43952</v>
      </c>
      <c r="B49" s="57">
        <v>6356.415</v>
      </c>
      <c r="C49" s="57">
        <v>94541.797576800018</v>
      </c>
      <c r="D49" s="57">
        <v>8262.8753220032795</v>
      </c>
      <c r="E49" s="57">
        <v>88309.801368029497</v>
      </c>
      <c r="F49" s="57">
        <v>100898.21257680001</v>
      </c>
      <c r="G49" s="57">
        <v>96572.676690032778</v>
      </c>
    </row>
    <row r="50" spans="1:7" ht="11.25" customHeight="1" x14ac:dyDescent="0.2">
      <c r="A50" s="67">
        <v>43983</v>
      </c>
      <c r="B50" s="57">
        <v>6406.6319999999987</v>
      </c>
      <c r="C50" s="57">
        <v>103709.52471599993</v>
      </c>
      <c r="D50" s="57">
        <v>8328.1537549006007</v>
      </c>
      <c r="E50" s="57">
        <v>96873.211239746495</v>
      </c>
      <c r="F50" s="57">
        <v>110116.15671599992</v>
      </c>
      <c r="G50" s="57">
        <v>105201.3649946471</v>
      </c>
    </row>
    <row r="51" spans="1:7" ht="11.25" customHeight="1" x14ac:dyDescent="0.2">
      <c r="A51" s="67">
        <v>44013</v>
      </c>
      <c r="B51" s="57">
        <v>6431.7405000000017</v>
      </c>
      <c r="C51" s="57">
        <v>100372.93534800007</v>
      </c>
      <c r="D51" s="57">
        <v>8360.7929713492667</v>
      </c>
      <c r="E51" s="57">
        <v>93756.562816646765</v>
      </c>
      <c r="F51" s="57">
        <v>106804.67584800007</v>
      </c>
      <c r="G51" s="57">
        <v>102117.35578799603</v>
      </c>
    </row>
    <row r="52" spans="1:7" ht="11.25" customHeight="1" x14ac:dyDescent="0.2">
      <c r="A52" s="67">
        <v>44044</v>
      </c>
      <c r="B52" s="57">
        <v>6419.8469999999988</v>
      </c>
      <c r="C52" s="57">
        <v>98738.669131200004</v>
      </c>
      <c r="D52" s="57">
        <v>8345.3322898735805</v>
      </c>
      <c r="E52" s="57">
        <v>92230.023987396606</v>
      </c>
      <c r="F52" s="57">
        <v>105158.5161312</v>
      </c>
      <c r="G52" s="57">
        <v>100575.35627727018</v>
      </c>
    </row>
    <row r="53" spans="1:7" ht="11.25" customHeight="1" x14ac:dyDescent="0.2">
      <c r="A53" s="67">
        <v>44075</v>
      </c>
      <c r="B53" s="57">
        <v>6419.8469999999988</v>
      </c>
      <c r="C53" s="57">
        <v>98738.669131200004</v>
      </c>
      <c r="D53" s="57">
        <v>8345.3322898735805</v>
      </c>
      <c r="E53" s="57">
        <v>92230.023987396606</v>
      </c>
      <c r="F53" s="57">
        <v>105158.5161312</v>
      </c>
      <c r="G53" s="57">
        <v>100575.35627727018</v>
      </c>
    </row>
    <row r="54" spans="1:7" ht="11.25" customHeight="1" x14ac:dyDescent="0.2">
      <c r="A54" s="66" t="s">
        <v>35</v>
      </c>
      <c r="B54" s="57">
        <v>159466.26300000004</v>
      </c>
      <c r="C54" s="57">
        <v>166445.16501600001</v>
      </c>
      <c r="D54" s="57">
        <v>189192.63182753418</v>
      </c>
      <c r="E54" s="57">
        <v>149619.42244130542</v>
      </c>
      <c r="F54" s="57">
        <v>325911.42801600008</v>
      </c>
      <c r="G54" s="57">
        <v>338812.05426883959</v>
      </c>
    </row>
    <row r="55" spans="1:7" ht="11.25" customHeight="1" x14ac:dyDescent="0.2">
      <c r="A55" s="67">
        <v>43739</v>
      </c>
      <c r="B55" s="57">
        <v>13075.800000000001</v>
      </c>
      <c r="C55" s="57">
        <v>13126.004299200005</v>
      </c>
      <c r="D55" s="57">
        <v>15513.281422105385</v>
      </c>
      <c r="E55" s="57">
        <v>11799.112230262806</v>
      </c>
      <c r="F55" s="57">
        <v>26201.804299200005</v>
      </c>
      <c r="G55" s="57">
        <v>27312.393652368191</v>
      </c>
    </row>
    <row r="56" spans="1:7" ht="11.25" customHeight="1" x14ac:dyDescent="0.2">
      <c r="A56" s="67">
        <v>43770</v>
      </c>
      <c r="B56" s="57">
        <v>13075.800000000001</v>
      </c>
      <c r="C56" s="57">
        <v>15422.249606399993</v>
      </c>
      <c r="D56" s="57">
        <v>15513.281422105385</v>
      </c>
      <c r="E56" s="57">
        <v>13863.232846886271</v>
      </c>
      <c r="F56" s="57">
        <v>28498.049606399996</v>
      </c>
      <c r="G56" s="57">
        <v>29376.514268991654</v>
      </c>
    </row>
    <row r="57" spans="1:7" ht="11.25" customHeight="1" x14ac:dyDescent="0.2">
      <c r="A57" s="67">
        <v>43800</v>
      </c>
      <c r="B57" s="57">
        <v>13543.776000000003</v>
      </c>
      <c r="C57" s="57">
        <v>13476.566188799996</v>
      </c>
      <c r="D57" s="57">
        <v>16068.493599317579</v>
      </c>
      <c r="E57" s="57">
        <v>12114.236237901247</v>
      </c>
      <c r="F57" s="57">
        <v>27020.342188800001</v>
      </c>
      <c r="G57" s="57">
        <v>28182.729837218823</v>
      </c>
    </row>
    <row r="58" spans="1:7" ht="11.25" customHeight="1" x14ac:dyDescent="0.2">
      <c r="A58" s="67">
        <v>43831</v>
      </c>
      <c r="B58" s="57">
        <v>13075.800000000001</v>
      </c>
      <c r="C58" s="57">
        <v>11335.411588799996</v>
      </c>
      <c r="D58" s="57">
        <v>15513.281422105385</v>
      </c>
      <c r="E58" s="57">
        <v>10189.528394457739</v>
      </c>
      <c r="F58" s="57">
        <v>24411.211588799997</v>
      </c>
      <c r="G58" s="57">
        <v>25702.809816563124</v>
      </c>
    </row>
    <row r="59" spans="1:7" ht="11.25" customHeight="1" x14ac:dyDescent="0.2">
      <c r="A59" s="67">
        <v>43862</v>
      </c>
      <c r="B59" s="57">
        <v>13378.608000000007</v>
      </c>
      <c r="C59" s="57">
        <v>14433.082560000004</v>
      </c>
      <c r="D59" s="57">
        <v>15872.536360301516</v>
      </c>
      <c r="E59" s="57">
        <v>12974.059513637982</v>
      </c>
      <c r="F59" s="57">
        <v>27811.69056000001</v>
      </c>
      <c r="G59" s="57">
        <v>28846.595873939499</v>
      </c>
    </row>
    <row r="60" spans="1:7" ht="11.25" customHeight="1" x14ac:dyDescent="0.2">
      <c r="A60" s="67">
        <v>43891</v>
      </c>
      <c r="B60" s="57">
        <v>13378.608000000007</v>
      </c>
      <c r="C60" s="57">
        <v>12093.983241600006</v>
      </c>
      <c r="D60" s="57">
        <v>15872.536360301516</v>
      </c>
      <c r="E60" s="57">
        <v>10871.416946530571</v>
      </c>
      <c r="F60" s="57">
        <v>25472.591241600014</v>
      </c>
      <c r="G60" s="57">
        <v>26743.953306832089</v>
      </c>
    </row>
    <row r="61" spans="1:7" ht="11.25" customHeight="1" x14ac:dyDescent="0.2">
      <c r="A61" s="67">
        <v>43922</v>
      </c>
      <c r="B61" s="57">
        <v>13344.198000000008</v>
      </c>
      <c r="C61" s="57">
        <v>12289.268908799995</v>
      </c>
      <c r="D61" s="57">
        <v>15831.711935506502</v>
      </c>
      <c r="E61" s="57">
        <v>11046.961419298637</v>
      </c>
      <c r="F61" s="57">
        <v>25633.466908800001</v>
      </c>
      <c r="G61" s="57">
        <v>26878.673354805142</v>
      </c>
    </row>
    <row r="62" spans="1:7" ht="11.25" customHeight="1" x14ac:dyDescent="0.2">
      <c r="A62" s="67">
        <v>43952</v>
      </c>
      <c r="B62" s="57">
        <v>13278.819</v>
      </c>
      <c r="C62" s="57">
        <v>13153.336871999996</v>
      </c>
      <c r="D62" s="57">
        <v>15754.145528395966</v>
      </c>
      <c r="E62" s="57">
        <v>11823.681785982713</v>
      </c>
      <c r="F62" s="57">
        <v>26432.155871999996</v>
      </c>
      <c r="G62" s="57">
        <v>27577.827314378679</v>
      </c>
    </row>
    <row r="63" spans="1:7" ht="11.25" customHeight="1" x14ac:dyDescent="0.2">
      <c r="A63" s="67">
        <v>43983</v>
      </c>
      <c r="B63" s="57">
        <v>13313.228999999999</v>
      </c>
      <c r="C63" s="57">
        <v>14554.656854400002</v>
      </c>
      <c r="D63" s="57">
        <v>15794.969953190979</v>
      </c>
      <c r="E63" s="57">
        <v>13083.344008084476</v>
      </c>
      <c r="F63" s="57">
        <v>27867.885854400003</v>
      </c>
      <c r="G63" s="57">
        <v>28878.313961275453</v>
      </c>
    </row>
    <row r="64" spans="1:7" ht="11.25" customHeight="1" x14ac:dyDescent="0.2">
      <c r="A64" s="67">
        <v>44013</v>
      </c>
      <c r="B64" s="57">
        <v>13313.228999999999</v>
      </c>
      <c r="C64" s="57">
        <v>14523.7376544</v>
      </c>
      <c r="D64" s="57">
        <v>15794.969953190979</v>
      </c>
      <c r="E64" s="57">
        <v>13055.550393016698</v>
      </c>
      <c r="F64" s="57">
        <v>27836.966654399999</v>
      </c>
      <c r="G64" s="57">
        <v>28850.520346207675</v>
      </c>
    </row>
    <row r="65" spans="1:7" ht="11.25" customHeight="1" x14ac:dyDescent="0.2">
      <c r="A65" s="67">
        <v>44044</v>
      </c>
      <c r="B65" s="57">
        <v>13344.198000000008</v>
      </c>
      <c r="C65" s="57">
        <v>16018.4336208</v>
      </c>
      <c r="D65" s="57">
        <v>15831.711935506502</v>
      </c>
      <c r="E65" s="57">
        <v>14399.149332623141</v>
      </c>
      <c r="F65" s="57">
        <v>29362.631620800006</v>
      </c>
      <c r="G65" s="57">
        <v>30230.861268129644</v>
      </c>
    </row>
    <row r="66" spans="1:7" ht="11.25" customHeight="1" x14ac:dyDescent="0.2">
      <c r="A66" s="67">
        <v>44075</v>
      </c>
      <c r="B66" s="57">
        <v>13344.198000000008</v>
      </c>
      <c r="C66" s="57">
        <v>16018.4336208</v>
      </c>
      <c r="D66" s="57">
        <v>15831.711935506502</v>
      </c>
      <c r="E66" s="57">
        <v>14399.149332623141</v>
      </c>
      <c r="F66" s="57">
        <v>29362.631620800006</v>
      </c>
      <c r="G66" s="57">
        <v>30230.861268129644</v>
      </c>
    </row>
    <row r="67" spans="1:7" ht="11.25" customHeight="1" x14ac:dyDescent="0.2">
      <c r="A67" s="61" t="s">
        <v>34</v>
      </c>
      <c r="B67" s="57">
        <v>16933.701000000001</v>
      </c>
      <c r="C67" s="57">
        <v>287113.38839640009</v>
      </c>
      <c r="D67" s="57">
        <v>22012.574714376311</v>
      </c>
      <c r="E67" s="57">
        <v>276126.37786062225</v>
      </c>
      <c r="F67" s="57">
        <v>304047.08939640009</v>
      </c>
      <c r="G67" s="57">
        <v>298138.95257499855</v>
      </c>
    </row>
    <row r="68" spans="1:7" ht="11.25" customHeight="1" x14ac:dyDescent="0.2">
      <c r="A68" s="62" t="s">
        <v>52</v>
      </c>
      <c r="B68" s="57">
        <v>16933.701000000001</v>
      </c>
      <c r="C68" s="57">
        <v>287113.38839640009</v>
      </c>
      <c r="D68" s="57">
        <v>22012.574714376311</v>
      </c>
      <c r="E68" s="57">
        <v>276126.37786062225</v>
      </c>
      <c r="F68" s="57">
        <v>304047.08939640009</v>
      </c>
      <c r="G68" s="57">
        <v>298138.95257499855</v>
      </c>
    </row>
    <row r="69" spans="1:7" ht="11.25" customHeight="1" x14ac:dyDescent="0.2">
      <c r="A69" s="63" t="s">
        <v>53</v>
      </c>
      <c r="B69" s="57">
        <v>16933.701000000001</v>
      </c>
      <c r="C69" s="57">
        <v>287113.38839640009</v>
      </c>
      <c r="D69" s="57">
        <v>22012.574714376311</v>
      </c>
      <c r="E69" s="57">
        <v>276126.37786062225</v>
      </c>
      <c r="F69" s="57">
        <v>304047.08939640009</v>
      </c>
      <c r="G69" s="57">
        <v>298138.95257499855</v>
      </c>
    </row>
    <row r="70" spans="1:7" ht="11.25" customHeight="1" x14ac:dyDescent="0.2">
      <c r="A70" s="64" t="s">
        <v>25</v>
      </c>
      <c r="B70" s="57">
        <v>16933.701000000001</v>
      </c>
      <c r="C70" s="57">
        <v>287113.38839640009</v>
      </c>
      <c r="D70" s="57">
        <v>22012.574714376311</v>
      </c>
      <c r="E70" s="57">
        <v>276126.37786062225</v>
      </c>
      <c r="F70" s="57">
        <v>304047.08939640009</v>
      </c>
      <c r="G70" s="57">
        <v>298138.95257499855</v>
      </c>
    </row>
    <row r="71" spans="1:7" ht="11.25" customHeight="1" x14ac:dyDescent="0.2">
      <c r="A71" s="65" t="s">
        <v>25</v>
      </c>
      <c r="B71" s="57">
        <v>16933.701000000001</v>
      </c>
      <c r="C71" s="57">
        <v>287113.38839640009</v>
      </c>
      <c r="D71" s="57">
        <v>22012.574714376311</v>
      </c>
      <c r="E71" s="57">
        <v>276126.37786062225</v>
      </c>
      <c r="F71" s="57">
        <v>304047.08939640009</v>
      </c>
      <c r="G71" s="57">
        <v>298138.95257499855</v>
      </c>
    </row>
    <row r="72" spans="1:7" ht="11.25" customHeight="1" x14ac:dyDescent="0.2">
      <c r="A72" s="66" t="s">
        <v>36</v>
      </c>
      <c r="B72" s="57">
        <v>0</v>
      </c>
      <c r="C72" s="57">
        <v>216897.49083240001</v>
      </c>
      <c r="D72" s="57">
        <v>0</v>
      </c>
      <c r="E72" s="57">
        <v>202600.06498261844</v>
      </c>
      <c r="F72" s="57">
        <v>216897.49083240001</v>
      </c>
      <c r="G72" s="57">
        <v>202600.06498261844</v>
      </c>
    </row>
    <row r="73" spans="1:7" ht="11.25" customHeight="1" x14ac:dyDescent="0.2">
      <c r="A73" s="67">
        <v>43739</v>
      </c>
      <c r="B73" s="57">
        <v>0</v>
      </c>
      <c r="C73" s="57">
        <v>19081.258484399987</v>
      </c>
      <c r="D73" s="57">
        <v>0</v>
      </c>
      <c r="E73" s="57">
        <v>17823.462106699935</v>
      </c>
      <c r="F73" s="57">
        <v>19081.258484399987</v>
      </c>
      <c r="G73" s="57">
        <v>17823.462106699935</v>
      </c>
    </row>
    <row r="74" spans="1:7" ht="11.25" customHeight="1" x14ac:dyDescent="0.2">
      <c r="A74" s="67">
        <v>43770</v>
      </c>
      <c r="B74" s="57">
        <v>0</v>
      </c>
      <c r="C74" s="57">
        <v>19354.09971599999</v>
      </c>
      <c r="D74" s="57">
        <v>0</v>
      </c>
      <c r="E74" s="57">
        <v>18078.318218865898</v>
      </c>
      <c r="F74" s="57">
        <v>19354.09971599999</v>
      </c>
      <c r="G74" s="57">
        <v>18078.318218865898</v>
      </c>
    </row>
    <row r="75" spans="1:7" ht="11.25" customHeight="1" x14ac:dyDescent="0.2">
      <c r="A75" s="67">
        <v>43800</v>
      </c>
      <c r="B75" s="57">
        <v>0</v>
      </c>
      <c r="C75" s="57">
        <v>18781.546215599999</v>
      </c>
      <c r="D75" s="57">
        <v>0</v>
      </c>
      <c r="E75" s="57">
        <v>17543.506239520786</v>
      </c>
      <c r="F75" s="57">
        <v>18781.546215599999</v>
      </c>
      <c r="G75" s="57">
        <v>17543.506239520786</v>
      </c>
    </row>
    <row r="76" spans="1:7" ht="11.25" customHeight="1" x14ac:dyDescent="0.2">
      <c r="A76" s="67">
        <v>43831</v>
      </c>
      <c r="B76" s="57">
        <v>0</v>
      </c>
      <c r="C76" s="57">
        <v>19570.090503600004</v>
      </c>
      <c r="D76" s="57">
        <v>0</v>
      </c>
      <c r="E76" s="57">
        <v>18280.071348583861</v>
      </c>
      <c r="F76" s="57">
        <v>19570.090503600004</v>
      </c>
      <c r="G76" s="57">
        <v>18280.071348583861</v>
      </c>
    </row>
    <row r="77" spans="1:7" ht="11.25" customHeight="1" x14ac:dyDescent="0.2">
      <c r="A77" s="67">
        <v>43862</v>
      </c>
      <c r="B77" s="57">
        <v>0</v>
      </c>
      <c r="C77" s="57">
        <v>19202.280400800006</v>
      </c>
      <c r="D77" s="57">
        <v>0</v>
      </c>
      <c r="E77" s="57">
        <v>17936.506513220571</v>
      </c>
      <c r="F77" s="57">
        <v>19202.280400800006</v>
      </c>
      <c r="G77" s="57">
        <v>17936.506513220571</v>
      </c>
    </row>
    <row r="78" spans="1:7" ht="11.25" customHeight="1" x14ac:dyDescent="0.2">
      <c r="A78" s="67">
        <v>43891</v>
      </c>
      <c r="B78" s="57">
        <v>0</v>
      </c>
      <c r="C78" s="57">
        <v>16320.903580800001</v>
      </c>
      <c r="D78" s="57">
        <v>0</v>
      </c>
      <c r="E78" s="57">
        <v>15245.063985549761</v>
      </c>
      <c r="F78" s="57">
        <v>16320.903580800001</v>
      </c>
      <c r="G78" s="57">
        <v>15245.063985549761</v>
      </c>
    </row>
    <row r="79" spans="1:7" ht="11.25" customHeight="1" x14ac:dyDescent="0.2">
      <c r="A79" s="67">
        <v>43922</v>
      </c>
      <c r="B79" s="57">
        <v>0</v>
      </c>
      <c r="C79" s="57">
        <v>17340.980504399991</v>
      </c>
      <c r="D79" s="57">
        <v>0</v>
      </c>
      <c r="E79" s="57">
        <v>16197.89958643886</v>
      </c>
      <c r="F79" s="57">
        <v>17340.980504399991</v>
      </c>
      <c r="G79" s="57">
        <v>16197.89958643886</v>
      </c>
    </row>
    <row r="80" spans="1:7" ht="11.25" customHeight="1" x14ac:dyDescent="0.2">
      <c r="A80" s="67">
        <v>43952</v>
      </c>
      <c r="B80" s="57">
        <v>0</v>
      </c>
      <c r="C80" s="57">
        <v>16102.172519999989</v>
      </c>
      <c r="D80" s="57">
        <v>0</v>
      </c>
      <c r="E80" s="57">
        <v>15040.75121567064</v>
      </c>
      <c r="F80" s="57">
        <v>16102.172519999989</v>
      </c>
      <c r="G80" s="57">
        <v>15040.75121567064</v>
      </c>
    </row>
    <row r="81" spans="1:7" ht="11.25" customHeight="1" x14ac:dyDescent="0.2">
      <c r="A81" s="67">
        <v>43983</v>
      </c>
      <c r="B81" s="57">
        <v>0</v>
      </c>
      <c r="C81" s="57">
        <v>17788.299429600003</v>
      </c>
      <c r="D81" s="57">
        <v>0</v>
      </c>
      <c r="E81" s="57">
        <v>16615.732190060386</v>
      </c>
      <c r="F81" s="57">
        <v>17788.299429600003</v>
      </c>
      <c r="G81" s="57">
        <v>16615.732190060386</v>
      </c>
    </row>
    <row r="82" spans="1:7" ht="11.25" customHeight="1" x14ac:dyDescent="0.2">
      <c r="A82" s="67">
        <v>44013</v>
      </c>
      <c r="B82" s="57">
        <v>0</v>
      </c>
      <c r="C82" s="57">
        <v>17984.085814799997</v>
      </c>
      <c r="D82" s="57">
        <v>0</v>
      </c>
      <c r="E82" s="57">
        <v>16798.612749037813</v>
      </c>
      <c r="F82" s="57">
        <v>17984.085814799997</v>
      </c>
      <c r="G82" s="57">
        <v>16798.612749037813</v>
      </c>
    </row>
    <row r="83" spans="1:7" ht="11.25" customHeight="1" x14ac:dyDescent="0.2">
      <c r="A83" s="67">
        <v>44044</v>
      </c>
      <c r="B83" s="57">
        <v>0</v>
      </c>
      <c r="C83" s="57">
        <v>17685.886831200005</v>
      </c>
      <c r="D83" s="57">
        <v>0</v>
      </c>
      <c r="E83" s="57">
        <v>16520.070414484977</v>
      </c>
      <c r="F83" s="57">
        <v>17685.886831200005</v>
      </c>
      <c r="G83" s="57">
        <v>16520.070414484977</v>
      </c>
    </row>
    <row r="84" spans="1:7" ht="11.25" customHeight="1" x14ac:dyDescent="0.2">
      <c r="A84" s="67">
        <v>44075</v>
      </c>
      <c r="B84" s="57">
        <v>0</v>
      </c>
      <c r="C84" s="57">
        <v>17685.886831200005</v>
      </c>
      <c r="D84" s="57">
        <v>0</v>
      </c>
      <c r="E84" s="57">
        <v>16520.070414484977</v>
      </c>
      <c r="F84" s="57">
        <v>17685.886831200005</v>
      </c>
      <c r="G84" s="57">
        <v>16520.070414484977</v>
      </c>
    </row>
    <row r="85" spans="1:7" ht="11.25" customHeight="1" x14ac:dyDescent="0.2">
      <c r="A85" s="66" t="s">
        <v>25</v>
      </c>
      <c r="B85" s="57">
        <v>16933.701000000001</v>
      </c>
      <c r="C85" s="57">
        <v>0</v>
      </c>
      <c r="D85" s="57">
        <v>22012.574714376311</v>
      </c>
      <c r="E85" s="57">
        <v>0</v>
      </c>
      <c r="F85" s="57">
        <v>16933.701000000001</v>
      </c>
      <c r="G85" s="57">
        <v>22012.574714376311</v>
      </c>
    </row>
    <row r="86" spans="1:7" ht="11.25" customHeight="1" x14ac:dyDescent="0.2">
      <c r="A86" s="67">
        <v>43739</v>
      </c>
      <c r="B86" s="57">
        <v>1493.2950000000001</v>
      </c>
      <c r="C86" s="57">
        <v>0</v>
      </c>
      <c r="D86" s="57">
        <v>1941.1744519467165</v>
      </c>
      <c r="E86" s="57">
        <v>0</v>
      </c>
      <c r="F86" s="57">
        <v>1493.2950000000001</v>
      </c>
      <c r="G86" s="57">
        <v>1941.1744519467165</v>
      </c>
    </row>
    <row r="87" spans="1:7" ht="11.25" customHeight="1" x14ac:dyDescent="0.2">
      <c r="A87" s="67">
        <v>43770</v>
      </c>
      <c r="B87" s="57">
        <v>1543.5120000000004</v>
      </c>
      <c r="C87" s="57">
        <v>0</v>
      </c>
      <c r="D87" s="57">
        <v>2006.4528848440402</v>
      </c>
      <c r="E87" s="57">
        <v>0</v>
      </c>
      <c r="F87" s="57">
        <v>1543.5120000000004</v>
      </c>
      <c r="G87" s="57">
        <v>2006.4528848440402</v>
      </c>
    </row>
    <row r="88" spans="1:7" ht="11.25" customHeight="1" x14ac:dyDescent="0.2">
      <c r="A88" s="67">
        <v>43800</v>
      </c>
      <c r="B88" s="57">
        <v>1432.5060000000003</v>
      </c>
      <c r="C88" s="57">
        <v>0</v>
      </c>
      <c r="D88" s="57">
        <v>1862.1531910710098</v>
      </c>
      <c r="E88" s="57">
        <v>0</v>
      </c>
      <c r="F88" s="57">
        <v>1432.5060000000003</v>
      </c>
      <c r="G88" s="57">
        <v>1862.1531910710098</v>
      </c>
    </row>
    <row r="89" spans="1:7" ht="11.25" customHeight="1" x14ac:dyDescent="0.2">
      <c r="A89" s="67">
        <v>43831</v>
      </c>
      <c r="B89" s="57">
        <v>1421.934</v>
      </c>
      <c r="C89" s="57">
        <v>0</v>
      </c>
      <c r="D89" s="57">
        <v>1848.4103630926254</v>
      </c>
      <c r="E89" s="57">
        <v>0</v>
      </c>
      <c r="F89" s="57">
        <v>1421.934</v>
      </c>
      <c r="G89" s="57">
        <v>1848.4103630926254</v>
      </c>
    </row>
    <row r="90" spans="1:7" ht="11.25" customHeight="1" x14ac:dyDescent="0.2">
      <c r="A90" s="67">
        <v>43862</v>
      </c>
      <c r="B90" s="57">
        <v>1406.0760000000002</v>
      </c>
      <c r="C90" s="57">
        <v>0</v>
      </c>
      <c r="D90" s="57">
        <v>1827.7961211250501</v>
      </c>
      <c r="E90" s="57">
        <v>0</v>
      </c>
      <c r="F90" s="57">
        <v>1406.0760000000002</v>
      </c>
      <c r="G90" s="57">
        <v>1827.7961211250501</v>
      </c>
    </row>
    <row r="91" spans="1:7" ht="11.25" customHeight="1" x14ac:dyDescent="0.2">
      <c r="A91" s="67">
        <v>43891</v>
      </c>
      <c r="B91" s="57">
        <v>1193.3145000000004</v>
      </c>
      <c r="C91" s="57">
        <v>0</v>
      </c>
      <c r="D91" s="57">
        <v>1551.2217080600758</v>
      </c>
      <c r="E91" s="57">
        <v>0</v>
      </c>
      <c r="F91" s="57">
        <v>1193.3145000000004</v>
      </c>
      <c r="G91" s="57">
        <v>1551.2217080600758</v>
      </c>
    </row>
    <row r="92" spans="1:7" ht="11.25" customHeight="1" x14ac:dyDescent="0.2">
      <c r="A92" s="67">
        <v>43922</v>
      </c>
      <c r="B92" s="57">
        <v>1326.7860000000003</v>
      </c>
      <c r="C92" s="57">
        <v>0</v>
      </c>
      <c r="D92" s="57">
        <v>1724.7249112871714</v>
      </c>
      <c r="E92" s="57">
        <v>0</v>
      </c>
      <c r="F92" s="57">
        <v>1326.7860000000003</v>
      </c>
      <c r="G92" s="57">
        <v>1724.7249112871714</v>
      </c>
    </row>
    <row r="93" spans="1:7" ht="11.25" customHeight="1" x14ac:dyDescent="0.2">
      <c r="A93" s="67">
        <v>43952</v>
      </c>
      <c r="B93" s="57">
        <v>1037.3775000000001</v>
      </c>
      <c r="C93" s="57">
        <v>0</v>
      </c>
      <c r="D93" s="57">
        <v>1348.5149953789137</v>
      </c>
      <c r="E93" s="57">
        <v>0</v>
      </c>
      <c r="F93" s="57">
        <v>1037.3775000000001</v>
      </c>
      <c r="G93" s="57">
        <v>1348.5149953789137</v>
      </c>
    </row>
    <row r="94" spans="1:7" ht="11.25" customHeight="1" x14ac:dyDescent="0.2">
      <c r="A94" s="67">
        <v>43983</v>
      </c>
      <c r="B94" s="57">
        <v>1519.7250000000001</v>
      </c>
      <c r="C94" s="57">
        <v>0</v>
      </c>
      <c r="D94" s="57">
        <v>1975.5315218926762</v>
      </c>
      <c r="E94" s="57">
        <v>0</v>
      </c>
      <c r="F94" s="57">
        <v>1519.7250000000001</v>
      </c>
      <c r="G94" s="57">
        <v>1975.5315218926762</v>
      </c>
    </row>
    <row r="95" spans="1:7" ht="11.25" customHeight="1" x14ac:dyDescent="0.2">
      <c r="A95" s="67">
        <v>44013</v>
      </c>
      <c r="B95" s="57">
        <v>1519.7250000000001</v>
      </c>
      <c r="C95" s="57">
        <v>0</v>
      </c>
      <c r="D95" s="57">
        <v>1975.5315218926762</v>
      </c>
      <c r="E95" s="57">
        <v>0</v>
      </c>
      <c r="F95" s="57">
        <v>1519.7250000000001</v>
      </c>
      <c r="G95" s="57">
        <v>1975.5315218926762</v>
      </c>
    </row>
    <row r="96" spans="1:7" ht="11.25" customHeight="1" x14ac:dyDescent="0.2">
      <c r="A96" s="67">
        <v>44044</v>
      </c>
      <c r="B96" s="57">
        <v>1519.7250000000001</v>
      </c>
      <c r="C96" s="57">
        <v>0</v>
      </c>
      <c r="D96" s="57">
        <v>1975.5315218926762</v>
      </c>
      <c r="E96" s="57">
        <v>0</v>
      </c>
      <c r="F96" s="57">
        <v>1519.7250000000001</v>
      </c>
      <c r="G96" s="57">
        <v>1975.5315218926762</v>
      </c>
    </row>
    <row r="97" spans="1:7" ht="11.25" customHeight="1" x14ac:dyDescent="0.2">
      <c r="A97" s="67">
        <v>44075</v>
      </c>
      <c r="B97" s="57">
        <v>1519.7250000000001</v>
      </c>
      <c r="C97" s="57">
        <v>0</v>
      </c>
      <c r="D97" s="57">
        <v>1975.5315218926762</v>
      </c>
      <c r="E97" s="57">
        <v>0</v>
      </c>
      <c r="F97" s="57">
        <v>1519.7250000000001</v>
      </c>
      <c r="G97" s="57">
        <v>1975.5315218926762</v>
      </c>
    </row>
    <row r="98" spans="1:7" ht="11.25" customHeight="1" x14ac:dyDescent="0.2">
      <c r="A98" s="66" t="s">
        <v>35</v>
      </c>
      <c r="B98" s="57">
        <v>0</v>
      </c>
      <c r="C98" s="57">
        <v>70215.897563999999</v>
      </c>
      <c r="D98" s="57">
        <v>0</v>
      </c>
      <c r="E98" s="57">
        <v>73526.312878003868</v>
      </c>
      <c r="F98" s="57">
        <v>70215.897563999999</v>
      </c>
      <c r="G98" s="57">
        <v>73526.312878003868</v>
      </c>
    </row>
    <row r="99" spans="1:7" ht="11.25" customHeight="1" x14ac:dyDescent="0.2">
      <c r="A99" s="67">
        <v>43739</v>
      </c>
      <c r="B99" s="57">
        <v>0</v>
      </c>
      <c r="C99" s="57">
        <v>5996.8582559999977</v>
      </c>
      <c r="D99" s="57">
        <v>0</v>
      </c>
      <c r="E99" s="57">
        <v>6279.5875537132142</v>
      </c>
      <c r="F99" s="57">
        <v>5996.8582559999977</v>
      </c>
      <c r="G99" s="57">
        <v>6279.5875537132142</v>
      </c>
    </row>
    <row r="100" spans="1:7" ht="11.25" customHeight="1" x14ac:dyDescent="0.2">
      <c r="A100" s="67">
        <v>43770</v>
      </c>
      <c r="B100" s="57">
        <v>0</v>
      </c>
      <c r="C100" s="57">
        <v>6514.2771768000002</v>
      </c>
      <c r="D100" s="57">
        <v>0</v>
      </c>
      <c r="E100" s="57">
        <v>6821.4008293330844</v>
      </c>
      <c r="F100" s="57">
        <v>6514.2771768000002</v>
      </c>
      <c r="G100" s="57">
        <v>6821.4008293330844</v>
      </c>
    </row>
    <row r="101" spans="1:7" ht="11.25" customHeight="1" x14ac:dyDescent="0.2">
      <c r="A101" s="67">
        <v>43800</v>
      </c>
      <c r="B101" s="57">
        <v>0</v>
      </c>
      <c r="C101" s="57">
        <v>5782.8870576000018</v>
      </c>
      <c r="D101" s="57">
        <v>0</v>
      </c>
      <c r="E101" s="57">
        <v>6055.5284185850232</v>
      </c>
      <c r="F101" s="57">
        <v>5782.8870576000018</v>
      </c>
      <c r="G101" s="57">
        <v>6055.5284185850232</v>
      </c>
    </row>
    <row r="102" spans="1:7" ht="11.25" customHeight="1" x14ac:dyDescent="0.2">
      <c r="A102" s="67">
        <v>43831</v>
      </c>
      <c r="B102" s="57">
        <v>0</v>
      </c>
      <c r="C102" s="57">
        <v>6042.8195784000036</v>
      </c>
      <c r="D102" s="57">
        <v>0</v>
      </c>
      <c r="E102" s="57">
        <v>6327.715779489854</v>
      </c>
      <c r="F102" s="57">
        <v>6042.8195784000036</v>
      </c>
      <c r="G102" s="57">
        <v>6327.715779489854</v>
      </c>
    </row>
    <row r="103" spans="1:7" ht="11.25" customHeight="1" x14ac:dyDescent="0.2">
      <c r="A103" s="67">
        <v>43862</v>
      </c>
      <c r="B103" s="57">
        <v>0</v>
      </c>
      <c r="C103" s="57">
        <v>6628.2149088000015</v>
      </c>
      <c r="D103" s="57">
        <v>0</v>
      </c>
      <c r="E103" s="57">
        <v>6940.7102965944905</v>
      </c>
      <c r="F103" s="57">
        <v>6628.2149088000015</v>
      </c>
      <c r="G103" s="57">
        <v>6940.7102965944905</v>
      </c>
    </row>
    <row r="104" spans="1:7" ht="11.25" customHeight="1" x14ac:dyDescent="0.2">
      <c r="A104" s="67">
        <v>43891</v>
      </c>
      <c r="B104" s="57">
        <v>0</v>
      </c>
      <c r="C104" s="57">
        <v>5005.6643592</v>
      </c>
      <c r="D104" s="57">
        <v>0</v>
      </c>
      <c r="E104" s="57">
        <v>5241.6625950176822</v>
      </c>
      <c r="F104" s="57">
        <v>5005.6643592</v>
      </c>
      <c r="G104" s="57">
        <v>5241.6625950176822</v>
      </c>
    </row>
    <row r="105" spans="1:7" ht="11.25" customHeight="1" x14ac:dyDescent="0.2">
      <c r="A105" s="67">
        <v>43922</v>
      </c>
      <c r="B105" s="57">
        <v>0</v>
      </c>
      <c r="C105" s="57">
        <v>5010.8140871999958</v>
      </c>
      <c r="D105" s="57">
        <v>0</v>
      </c>
      <c r="E105" s="57">
        <v>5247.0551133119779</v>
      </c>
      <c r="F105" s="57">
        <v>5010.8140871999958</v>
      </c>
      <c r="G105" s="57">
        <v>5247.0551133119779</v>
      </c>
    </row>
    <row r="106" spans="1:7" ht="11.25" customHeight="1" x14ac:dyDescent="0.2">
      <c r="A106" s="67">
        <v>43952</v>
      </c>
      <c r="B106" s="57">
        <v>0</v>
      </c>
      <c r="C106" s="57">
        <v>5608.0537920000043</v>
      </c>
      <c r="D106" s="57">
        <v>0</v>
      </c>
      <c r="E106" s="57">
        <v>5872.4524224935149</v>
      </c>
      <c r="F106" s="57">
        <v>5608.0537920000043</v>
      </c>
      <c r="G106" s="57">
        <v>5872.4524224935149</v>
      </c>
    </row>
    <row r="107" spans="1:7" ht="11.25" customHeight="1" x14ac:dyDescent="0.2">
      <c r="A107" s="67">
        <v>43983</v>
      </c>
      <c r="B107" s="57">
        <v>0</v>
      </c>
      <c r="C107" s="57">
        <v>5429.4869736000019</v>
      </c>
      <c r="D107" s="57">
        <v>0</v>
      </c>
      <c r="E107" s="57">
        <v>5685.4668506386352</v>
      </c>
      <c r="F107" s="57">
        <v>5429.4869736000019</v>
      </c>
      <c r="G107" s="57">
        <v>5685.4668506386352</v>
      </c>
    </row>
    <row r="108" spans="1:7" ht="11.25" customHeight="1" x14ac:dyDescent="0.2">
      <c r="A108" s="67">
        <v>44013</v>
      </c>
      <c r="B108" s="57">
        <v>0</v>
      </c>
      <c r="C108" s="57">
        <v>5751.2162303999958</v>
      </c>
      <c r="D108" s="57">
        <v>0</v>
      </c>
      <c r="E108" s="57">
        <v>6022.3644310750678</v>
      </c>
      <c r="F108" s="57">
        <v>5751.2162303999958</v>
      </c>
      <c r="G108" s="57">
        <v>6022.3644310750678</v>
      </c>
    </row>
    <row r="109" spans="1:7" ht="11.25" customHeight="1" x14ac:dyDescent="0.2">
      <c r="A109" s="67">
        <v>44044</v>
      </c>
      <c r="B109" s="57">
        <v>0</v>
      </c>
      <c r="C109" s="57">
        <v>6222.8025719999969</v>
      </c>
      <c r="D109" s="57">
        <v>0</v>
      </c>
      <c r="E109" s="57">
        <v>6516.184293875659</v>
      </c>
      <c r="F109" s="57">
        <v>6222.8025719999969</v>
      </c>
      <c r="G109" s="57">
        <v>6516.184293875659</v>
      </c>
    </row>
    <row r="110" spans="1:7" ht="11.25" customHeight="1" x14ac:dyDescent="0.2">
      <c r="A110" s="67">
        <v>44075</v>
      </c>
      <c r="B110" s="57">
        <v>0</v>
      </c>
      <c r="C110" s="57">
        <v>6222.8025719999969</v>
      </c>
      <c r="D110" s="57">
        <v>0</v>
      </c>
      <c r="E110" s="57">
        <v>6516.184293875659</v>
      </c>
      <c r="F110" s="57">
        <v>6222.8025719999969</v>
      </c>
      <c r="G110" s="57">
        <v>6516.184293875659</v>
      </c>
    </row>
    <row r="111" spans="1:7" ht="11.25" customHeight="1" x14ac:dyDescent="0.2">
      <c r="A111" s="60" t="s">
        <v>33</v>
      </c>
      <c r="B111" s="57">
        <v>759325.0965000001</v>
      </c>
      <c r="C111" s="57">
        <v>5769854.2013088008</v>
      </c>
      <c r="D111" s="57">
        <v>949908.02271718415</v>
      </c>
      <c r="E111" s="57">
        <v>5463839.004375184</v>
      </c>
      <c r="F111" s="57">
        <v>6529179.2978088008</v>
      </c>
      <c r="G111" s="57">
        <v>6413747.0270923683</v>
      </c>
    </row>
    <row r="112" spans="1:7" ht="11.25" customHeight="1" x14ac:dyDescent="0.2">
      <c r="A112" s="61" t="s">
        <v>41</v>
      </c>
      <c r="B112" s="57">
        <v>483275.64000000007</v>
      </c>
      <c r="C112" s="57">
        <v>2534600.1504972</v>
      </c>
      <c r="D112" s="57">
        <v>591063.88781311212</v>
      </c>
      <c r="E112" s="57">
        <v>2357381.3770312406</v>
      </c>
      <c r="F112" s="57">
        <v>3017875.7904972001</v>
      </c>
      <c r="G112" s="57">
        <v>2948445.2648443528</v>
      </c>
    </row>
    <row r="113" spans="1:7" ht="11.25" customHeight="1" x14ac:dyDescent="0.2">
      <c r="A113" s="62" t="s">
        <v>52</v>
      </c>
      <c r="B113" s="57">
        <v>483275.64000000007</v>
      </c>
      <c r="C113" s="57">
        <v>2534600.1504972</v>
      </c>
      <c r="D113" s="57">
        <v>591063.88781311212</v>
      </c>
      <c r="E113" s="57">
        <v>2357381.3770312406</v>
      </c>
      <c r="F113" s="57">
        <v>3017875.7904972001</v>
      </c>
      <c r="G113" s="57">
        <v>2948445.2648443528</v>
      </c>
    </row>
    <row r="114" spans="1:7" ht="11.25" customHeight="1" x14ac:dyDescent="0.2">
      <c r="A114" s="63" t="s">
        <v>53</v>
      </c>
      <c r="B114" s="57">
        <v>483275.64000000007</v>
      </c>
      <c r="C114" s="57">
        <v>2534600.1504972</v>
      </c>
      <c r="D114" s="57">
        <v>591063.88781311212</v>
      </c>
      <c r="E114" s="57">
        <v>2357381.3770312406</v>
      </c>
      <c r="F114" s="57">
        <v>3017875.7904972001</v>
      </c>
      <c r="G114" s="57">
        <v>2948445.2648443528</v>
      </c>
    </row>
    <row r="115" spans="1:7" ht="11.25" customHeight="1" x14ac:dyDescent="0.2">
      <c r="A115" s="64" t="s">
        <v>25</v>
      </c>
      <c r="B115" s="57">
        <v>483275.64000000007</v>
      </c>
      <c r="C115" s="57">
        <v>2534600.1504972</v>
      </c>
      <c r="D115" s="57">
        <v>591063.88781311212</v>
      </c>
      <c r="E115" s="57">
        <v>2357381.3770312406</v>
      </c>
      <c r="F115" s="57">
        <v>3017875.7904972001</v>
      </c>
      <c r="G115" s="57">
        <v>2948445.2648443528</v>
      </c>
    </row>
    <row r="116" spans="1:7" ht="11.25" customHeight="1" x14ac:dyDescent="0.2">
      <c r="A116" s="65" t="s">
        <v>25</v>
      </c>
      <c r="B116" s="57">
        <v>483275.64000000007</v>
      </c>
      <c r="C116" s="57">
        <v>2534600.1504972</v>
      </c>
      <c r="D116" s="57">
        <v>591063.88781311212</v>
      </c>
      <c r="E116" s="57">
        <v>2357381.3770312406</v>
      </c>
      <c r="F116" s="57">
        <v>3017875.7904972001</v>
      </c>
      <c r="G116" s="57">
        <v>2948445.2648443528</v>
      </c>
    </row>
    <row r="117" spans="1:7" ht="11.25" customHeight="1" x14ac:dyDescent="0.2">
      <c r="A117" s="66" t="s">
        <v>36</v>
      </c>
      <c r="B117" s="57">
        <v>155926.42800000004</v>
      </c>
      <c r="C117" s="57">
        <v>2246200.7559516001</v>
      </c>
      <c r="D117" s="57">
        <v>202692.9698531832</v>
      </c>
      <c r="E117" s="57">
        <v>2098135.9322014861</v>
      </c>
      <c r="F117" s="57">
        <v>2402127.1839516</v>
      </c>
      <c r="G117" s="57">
        <v>2300828.9020546693</v>
      </c>
    </row>
    <row r="118" spans="1:7" ht="11.25" customHeight="1" x14ac:dyDescent="0.2">
      <c r="A118" s="67">
        <v>43739</v>
      </c>
      <c r="B118" s="57">
        <v>12950.7</v>
      </c>
      <c r="C118" s="57">
        <v>184629.95591040005</v>
      </c>
      <c r="D118" s="57">
        <v>16834.964273520196</v>
      </c>
      <c r="E118" s="57">
        <v>172459.53801323249</v>
      </c>
      <c r="F118" s="57">
        <v>197580.65591040006</v>
      </c>
      <c r="G118" s="57">
        <v>189294.50228675269</v>
      </c>
    </row>
    <row r="119" spans="1:7" ht="11.25" customHeight="1" x14ac:dyDescent="0.2">
      <c r="A119" s="67">
        <v>43770</v>
      </c>
      <c r="B119" s="57">
        <v>12944.092500000001</v>
      </c>
      <c r="C119" s="57">
        <v>186997.02026039996</v>
      </c>
      <c r="D119" s="57">
        <v>16826.375006033708</v>
      </c>
      <c r="E119" s="57">
        <v>174670.57046587893</v>
      </c>
      <c r="F119" s="57">
        <v>199941.11276039996</v>
      </c>
      <c r="G119" s="57">
        <v>191496.94547191265</v>
      </c>
    </row>
    <row r="120" spans="1:7" ht="11.25" customHeight="1" x14ac:dyDescent="0.2">
      <c r="A120" s="67">
        <v>43800</v>
      </c>
      <c r="B120" s="57">
        <v>12991.666499999998</v>
      </c>
      <c r="C120" s="57">
        <v>177722.99506080005</v>
      </c>
      <c r="D120" s="57">
        <v>16888.217731936431</v>
      </c>
      <c r="E120" s="57">
        <v>166007.86947805953</v>
      </c>
      <c r="F120" s="57">
        <v>190714.66156080004</v>
      </c>
      <c r="G120" s="57">
        <v>182896.08720999595</v>
      </c>
    </row>
    <row r="121" spans="1:7" ht="11.25" customHeight="1" x14ac:dyDescent="0.2">
      <c r="A121" s="67">
        <v>43831</v>
      </c>
      <c r="B121" s="57">
        <v>12961.272000000006</v>
      </c>
      <c r="C121" s="57">
        <v>187130.06665919995</v>
      </c>
      <c r="D121" s="57">
        <v>16848.707101498589</v>
      </c>
      <c r="E121" s="57">
        <v>174794.84672624106</v>
      </c>
      <c r="F121" s="57">
        <v>200091.33865919994</v>
      </c>
      <c r="G121" s="57">
        <v>191643.55382773964</v>
      </c>
    </row>
    <row r="122" spans="1:7" ht="11.25" customHeight="1" x14ac:dyDescent="0.2">
      <c r="A122" s="67">
        <v>43862</v>
      </c>
      <c r="B122" s="57">
        <v>13020.739500000007</v>
      </c>
      <c r="C122" s="57">
        <v>194965.81652519997</v>
      </c>
      <c r="D122" s="57">
        <v>16926.010508877</v>
      </c>
      <c r="E122" s="57">
        <v>182114.0804617104</v>
      </c>
      <c r="F122" s="57">
        <v>207986.55602519997</v>
      </c>
      <c r="G122" s="57">
        <v>199040.09097058739</v>
      </c>
    </row>
    <row r="123" spans="1:7" ht="11.25" customHeight="1" x14ac:dyDescent="0.2">
      <c r="A123" s="67">
        <v>43891</v>
      </c>
      <c r="B123" s="57">
        <v>13044.526499999998</v>
      </c>
      <c r="C123" s="57">
        <v>182325.79514520004</v>
      </c>
      <c r="D123" s="57">
        <v>16956.93187182835</v>
      </c>
      <c r="E123" s="57">
        <v>170307.26267353923</v>
      </c>
      <c r="F123" s="57">
        <v>195370.32164520005</v>
      </c>
      <c r="G123" s="57">
        <v>187264.19454536759</v>
      </c>
    </row>
    <row r="124" spans="1:7" ht="11.25" customHeight="1" x14ac:dyDescent="0.2">
      <c r="A124" s="67">
        <v>43922</v>
      </c>
      <c r="B124" s="57">
        <v>13031.311499999998</v>
      </c>
      <c r="C124" s="57">
        <v>197331.20399160008</v>
      </c>
      <c r="D124" s="57">
        <v>16939.75333685537</v>
      </c>
      <c r="E124" s="57">
        <v>184323.54656739271</v>
      </c>
      <c r="F124" s="57">
        <v>210362.51549160009</v>
      </c>
      <c r="G124" s="57">
        <v>201263.2999042481</v>
      </c>
    </row>
    <row r="125" spans="1:7" ht="11.25" customHeight="1" x14ac:dyDescent="0.2">
      <c r="A125" s="67">
        <v>43952</v>
      </c>
      <c r="B125" s="57">
        <v>13010.167500000001</v>
      </c>
      <c r="C125" s="57">
        <v>188659.75259879991</v>
      </c>
      <c r="D125" s="57">
        <v>16912.267680898607</v>
      </c>
      <c r="E125" s="57">
        <v>176223.69898993749</v>
      </c>
      <c r="F125" s="57">
        <v>201669.92009879992</v>
      </c>
      <c r="G125" s="57">
        <v>193135.96667083609</v>
      </c>
    </row>
    <row r="126" spans="1:7" ht="11.25" customHeight="1" x14ac:dyDescent="0.2">
      <c r="A126" s="67">
        <v>43983</v>
      </c>
      <c r="B126" s="57">
        <v>13039.240500000011</v>
      </c>
      <c r="C126" s="57">
        <v>192272.700564</v>
      </c>
      <c r="D126" s="57">
        <v>16950.060457839172</v>
      </c>
      <c r="E126" s="57">
        <v>179598.48903346993</v>
      </c>
      <c r="F126" s="57">
        <v>205311.94106400001</v>
      </c>
      <c r="G126" s="57">
        <v>196548.5494913091</v>
      </c>
    </row>
    <row r="127" spans="1:7" ht="11.25" customHeight="1" x14ac:dyDescent="0.2">
      <c r="A127" s="67">
        <v>44013</v>
      </c>
      <c r="B127" s="57">
        <v>12973.16550000001</v>
      </c>
      <c r="C127" s="57">
        <v>184489.01588880003</v>
      </c>
      <c r="D127" s="57">
        <v>16864.167782974277</v>
      </c>
      <c r="E127" s="57">
        <v>172327.8884610628</v>
      </c>
      <c r="F127" s="57">
        <v>197462.18138880003</v>
      </c>
      <c r="G127" s="57">
        <v>189192.05624403708</v>
      </c>
    </row>
    <row r="128" spans="1:7" ht="11.25" customHeight="1" x14ac:dyDescent="0.2">
      <c r="A128" s="67">
        <v>44044</v>
      </c>
      <c r="B128" s="57">
        <v>12979.77300000001</v>
      </c>
      <c r="C128" s="57">
        <v>184838.21667359999</v>
      </c>
      <c r="D128" s="57">
        <v>16872.757050460765</v>
      </c>
      <c r="E128" s="57">
        <v>172654.07066548083</v>
      </c>
      <c r="F128" s="57">
        <v>197817.98967360001</v>
      </c>
      <c r="G128" s="57">
        <v>189526.82771594159</v>
      </c>
    </row>
    <row r="129" spans="1:7" ht="11.25" customHeight="1" x14ac:dyDescent="0.2">
      <c r="A129" s="67">
        <v>44075</v>
      </c>
      <c r="B129" s="57">
        <v>12979.77300000001</v>
      </c>
      <c r="C129" s="57">
        <v>184838.21667359999</v>
      </c>
      <c r="D129" s="57">
        <v>16872.757050460765</v>
      </c>
      <c r="E129" s="57">
        <v>172654.07066548083</v>
      </c>
      <c r="F129" s="57">
        <v>197817.98967360001</v>
      </c>
      <c r="G129" s="57">
        <v>189526.82771594159</v>
      </c>
    </row>
    <row r="130" spans="1:7" ht="11.25" customHeight="1" x14ac:dyDescent="0.2">
      <c r="A130" s="66" t="s">
        <v>35</v>
      </c>
      <c r="B130" s="57">
        <v>327349.21200000006</v>
      </c>
      <c r="C130" s="57">
        <v>288399.39454559993</v>
      </c>
      <c r="D130" s="57">
        <v>388370.91795992886</v>
      </c>
      <c r="E130" s="57">
        <v>259245.44482975465</v>
      </c>
      <c r="F130" s="57">
        <v>615748.60654559999</v>
      </c>
      <c r="G130" s="57">
        <v>647616.36278968351</v>
      </c>
    </row>
    <row r="131" spans="1:7" ht="11.25" customHeight="1" x14ac:dyDescent="0.2">
      <c r="A131" s="67">
        <v>43739</v>
      </c>
      <c r="B131" s="57">
        <v>27338.745000000003</v>
      </c>
      <c r="C131" s="57">
        <v>24113.265695999999</v>
      </c>
      <c r="D131" s="57">
        <v>32435.005499638755</v>
      </c>
      <c r="E131" s="57">
        <v>21675.684519057384</v>
      </c>
      <c r="F131" s="57">
        <v>51452.010695999998</v>
      </c>
      <c r="G131" s="57">
        <v>54110.690018696143</v>
      </c>
    </row>
    <row r="132" spans="1:7" ht="11.25" customHeight="1" x14ac:dyDescent="0.2">
      <c r="A132" s="67">
        <v>43770</v>
      </c>
      <c r="B132" s="57">
        <v>27435.092999999997</v>
      </c>
      <c r="C132" s="57">
        <v>25207.619860800012</v>
      </c>
      <c r="D132" s="57">
        <v>32549.313889064793</v>
      </c>
      <c r="E132" s="57">
        <v>22659.411730766267</v>
      </c>
      <c r="F132" s="57">
        <v>52642.712860800006</v>
      </c>
      <c r="G132" s="57">
        <v>55208.725619831064</v>
      </c>
    </row>
    <row r="133" spans="1:7" ht="11.25" customHeight="1" x14ac:dyDescent="0.2">
      <c r="A133" s="67">
        <v>43800</v>
      </c>
      <c r="B133" s="57">
        <v>27324.981000000014</v>
      </c>
      <c r="C133" s="57">
        <v>22408.566523199996</v>
      </c>
      <c r="D133" s="57">
        <v>32418.675729720766</v>
      </c>
      <c r="E133" s="57">
        <v>20143.311345910603</v>
      </c>
      <c r="F133" s="57">
        <v>49733.54752320001</v>
      </c>
      <c r="G133" s="57">
        <v>52561.987075631368</v>
      </c>
    </row>
    <row r="134" spans="1:7" ht="11.25" customHeight="1" x14ac:dyDescent="0.2">
      <c r="A134" s="67">
        <v>43831</v>
      </c>
      <c r="B134" s="57">
        <v>27256.161000000015</v>
      </c>
      <c r="C134" s="57">
        <v>23433.909033599986</v>
      </c>
      <c r="D134" s="57">
        <v>32337.026880130739</v>
      </c>
      <c r="E134" s="57">
        <v>21065.003208788188</v>
      </c>
      <c r="F134" s="57">
        <v>50690.070033600001</v>
      </c>
      <c r="G134" s="57">
        <v>53402.030088918924</v>
      </c>
    </row>
    <row r="135" spans="1:7" ht="11.25" customHeight="1" x14ac:dyDescent="0.2">
      <c r="A135" s="67">
        <v>43862</v>
      </c>
      <c r="B135" s="57">
        <v>27180.45900000001</v>
      </c>
      <c r="C135" s="57">
        <v>24863.674680000015</v>
      </c>
      <c r="D135" s="57">
        <v>32247.213145581703</v>
      </c>
      <c r="E135" s="57">
        <v>22350.235556752323</v>
      </c>
      <c r="F135" s="57">
        <v>52044.133680000028</v>
      </c>
      <c r="G135" s="57">
        <v>54597.448702334026</v>
      </c>
    </row>
    <row r="136" spans="1:7" ht="11.25" customHeight="1" x14ac:dyDescent="0.2">
      <c r="A136" s="67">
        <v>43891</v>
      </c>
      <c r="B136" s="57">
        <v>27297.452999999998</v>
      </c>
      <c r="C136" s="57">
        <v>22655.920123200009</v>
      </c>
      <c r="D136" s="57">
        <v>32386.016189884736</v>
      </c>
      <c r="E136" s="57">
        <v>20365.660266452822</v>
      </c>
      <c r="F136" s="57">
        <v>49953.373123200006</v>
      </c>
      <c r="G136" s="57">
        <v>52751.676456337562</v>
      </c>
    </row>
    <row r="137" spans="1:7" ht="11.25" customHeight="1" x14ac:dyDescent="0.2">
      <c r="A137" s="67">
        <v>43922</v>
      </c>
      <c r="B137" s="57">
        <v>27373.155000000002</v>
      </c>
      <c r="C137" s="57">
        <v>25770.844007999985</v>
      </c>
      <c r="D137" s="57">
        <v>32475.829924433772</v>
      </c>
      <c r="E137" s="57">
        <v>23165.700222840856</v>
      </c>
      <c r="F137" s="57">
        <v>53143.999007999984</v>
      </c>
      <c r="G137" s="57">
        <v>55641.530147274629</v>
      </c>
    </row>
    <row r="138" spans="1:7" ht="11.25" customHeight="1" x14ac:dyDescent="0.2">
      <c r="A138" s="67">
        <v>43952</v>
      </c>
      <c r="B138" s="57">
        <v>27242.397000000004</v>
      </c>
      <c r="C138" s="57">
        <v>22237.707024000014</v>
      </c>
      <c r="D138" s="57">
        <v>32320.697110212721</v>
      </c>
      <c r="E138" s="57">
        <v>19989.723829046085</v>
      </c>
      <c r="F138" s="57">
        <v>49480.104024000015</v>
      </c>
      <c r="G138" s="57">
        <v>52310.420939258809</v>
      </c>
    </row>
    <row r="139" spans="1:7" ht="11.25" customHeight="1" x14ac:dyDescent="0.2">
      <c r="A139" s="67">
        <v>43983</v>
      </c>
      <c r="B139" s="57">
        <v>27252.720000000001</v>
      </c>
      <c r="C139" s="57">
        <v>24519.296630399993</v>
      </c>
      <c r="D139" s="57">
        <v>32332.944437651222</v>
      </c>
      <c r="E139" s="57">
        <v>22040.670272127416</v>
      </c>
      <c r="F139" s="57">
        <v>51772.016630399994</v>
      </c>
      <c r="G139" s="57">
        <v>54373.614709778638</v>
      </c>
    </row>
    <row r="140" spans="1:7" ht="11.25" customHeight="1" x14ac:dyDescent="0.2">
      <c r="A140" s="67">
        <v>44013</v>
      </c>
      <c r="B140" s="57">
        <v>27225.192000000006</v>
      </c>
      <c r="C140" s="57">
        <v>24346.520140799985</v>
      </c>
      <c r="D140" s="57">
        <v>32300.284897815214</v>
      </c>
      <c r="E140" s="57">
        <v>21885.359551128673</v>
      </c>
      <c r="F140" s="57">
        <v>51571.712140799995</v>
      </c>
      <c r="G140" s="57">
        <v>54185.644448943887</v>
      </c>
    </row>
    <row r="141" spans="1:7" ht="11.25" customHeight="1" x14ac:dyDescent="0.2">
      <c r="A141" s="67">
        <v>44044</v>
      </c>
      <c r="B141" s="57">
        <v>27211.427999999996</v>
      </c>
      <c r="C141" s="57">
        <v>24421.0354128</v>
      </c>
      <c r="D141" s="57">
        <v>32283.955127897199</v>
      </c>
      <c r="E141" s="57">
        <v>21952.34216344203</v>
      </c>
      <c r="F141" s="57">
        <v>51632.463412799996</v>
      </c>
      <c r="G141" s="57">
        <v>54236.29729133923</v>
      </c>
    </row>
    <row r="142" spans="1:7" ht="11.25" customHeight="1" x14ac:dyDescent="0.2">
      <c r="A142" s="67">
        <v>44075</v>
      </c>
      <c r="B142" s="57">
        <v>27211.427999999996</v>
      </c>
      <c r="C142" s="57">
        <v>24421.0354128</v>
      </c>
      <c r="D142" s="57">
        <v>32283.955127897199</v>
      </c>
      <c r="E142" s="57">
        <v>21952.34216344203</v>
      </c>
      <c r="F142" s="57">
        <v>51632.463412799996</v>
      </c>
      <c r="G142" s="57">
        <v>54236.29729133923</v>
      </c>
    </row>
    <row r="143" spans="1:7" ht="11.25" customHeight="1" x14ac:dyDescent="0.2">
      <c r="A143" s="61" t="s">
        <v>34</v>
      </c>
      <c r="B143" s="57">
        <v>276049.45650000009</v>
      </c>
      <c r="C143" s="57">
        <v>3235254.0508115995</v>
      </c>
      <c r="D143" s="57">
        <v>358844.13490407227</v>
      </c>
      <c r="E143" s="57">
        <v>3106457.6273439438</v>
      </c>
      <c r="F143" s="57">
        <v>3511303.5073115993</v>
      </c>
      <c r="G143" s="57">
        <v>3465301.762248016</v>
      </c>
    </row>
    <row r="144" spans="1:7" ht="11.25" customHeight="1" x14ac:dyDescent="0.2">
      <c r="A144" s="62" t="s">
        <v>52</v>
      </c>
      <c r="B144" s="57">
        <v>276049.45650000009</v>
      </c>
      <c r="C144" s="57">
        <v>3235254.0508115995</v>
      </c>
      <c r="D144" s="57">
        <v>358844.13490407227</v>
      </c>
      <c r="E144" s="57">
        <v>3106457.6273439438</v>
      </c>
      <c r="F144" s="57">
        <v>3511303.5073115993</v>
      </c>
      <c r="G144" s="57">
        <v>3465301.762248016</v>
      </c>
    </row>
    <row r="145" spans="1:7" ht="11.25" customHeight="1" x14ac:dyDescent="0.2">
      <c r="A145" s="63" t="s">
        <v>53</v>
      </c>
      <c r="B145" s="57">
        <v>276049.45650000009</v>
      </c>
      <c r="C145" s="57">
        <v>3235254.0508115995</v>
      </c>
      <c r="D145" s="57">
        <v>358844.13490407227</v>
      </c>
      <c r="E145" s="57">
        <v>3106457.6273439438</v>
      </c>
      <c r="F145" s="57">
        <v>3511303.5073115993</v>
      </c>
      <c r="G145" s="57">
        <v>3465301.762248016</v>
      </c>
    </row>
    <row r="146" spans="1:7" ht="11.25" customHeight="1" x14ac:dyDescent="0.2">
      <c r="A146" s="64" t="s">
        <v>25</v>
      </c>
      <c r="B146" s="57">
        <v>276049.45650000009</v>
      </c>
      <c r="C146" s="57">
        <v>3235254.0508115995</v>
      </c>
      <c r="D146" s="57">
        <v>358844.13490407227</v>
      </c>
      <c r="E146" s="57">
        <v>3106457.6273439438</v>
      </c>
      <c r="F146" s="57">
        <v>3511303.5073115993</v>
      </c>
      <c r="G146" s="57">
        <v>3465301.762248016</v>
      </c>
    </row>
    <row r="147" spans="1:7" ht="11.25" customHeight="1" x14ac:dyDescent="0.2">
      <c r="A147" s="65" t="s">
        <v>25</v>
      </c>
      <c r="B147" s="57">
        <v>276049.45650000009</v>
      </c>
      <c r="C147" s="57">
        <v>3235254.0508115995</v>
      </c>
      <c r="D147" s="57">
        <v>358844.13490407227</v>
      </c>
      <c r="E147" s="57">
        <v>3106457.6273439438</v>
      </c>
      <c r="F147" s="57">
        <v>3511303.5073115993</v>
      </c>
      <c r="G147" s="57">
        <v>3465301.762248016</v>
      </c>
    </row>
    <row r="148" spans="1:7" ht="11.25" customHeight="1" x14ac:dyDescent="0.2">
      <c r="A148" s="66" t="s">
        <v>36</v>
      </c>
      <c r="B148" s="57">
        <v>0</v>
      </c>
      <c r="C148" s="57">
        <v>2488202.7075612</v>
      </c>
      <c r="D148" s="57">
        <v>0</v>
      </c>
      <c r="E148" s="57">
        <v>2324185.6247722106</v>
      </c>
      <c r="F148" s="57">
        <v>2488202.7075612</v>
      </c>
      <c r="G148" s="57">
        <v>2324185.6247722106</v>
      </c>
    </row>
    <row r="149" spans="1:7" ht="11.25" customHeight="1" x14ac:dyDescent="0.2">
      <c r="A149" s="67">
        <v>43739</v>
      </c>
      <c r="B149" s="57">
        <v>0</v>
      </c>
      <c r="C149" s="57">
        <v>219006.92860200009</v>
      </c>
      <c r="D149" s="57">
        <v>0</v>
      </c>
      <c r="E149" s="57">
        <v>204570.45305653129</v>
      </c>
      <c r="F149" s="57">
        <v>219006.92860200009</v>
      </c>
      <c r="G149" s="57">
        <v>204570.45305653129</v>
      </c>
    </row>
    <row r="150" spans="1:7" ht="11.25" customHeight="1" x14ac:dyDescent="0.2">
      <c r="A150" s="67">
        <v>43770</v>
      </c>
      <c r="B150" s="57">
        <v>0</v>
      </c>
      <c r="C150" s="57">
        <v>217427.79504600004</v>
      </c>
      <c r="D150" s="57">
        <v>0</v>
      </c>
      <c r="E150" s="57">
        <v>203095.41265918032</v>
      </c>
      <c r="F150" s="57">
        <v>217427.79504600004</v>
      </c>
      <c r="G150" s="57">
        <v>203095.41265918032</v>
      </c>
    </row>
    <row r="151" spans="1:7" ht="11.25" customHeight="1" x14ac:dyDescent="0.2">
      <c r="A151" s="67">
        <v>43800</v>
      </c>
      <c r="B151" s="57">
        <v>0</v>
      </c>
      <c r="C151" s="57">
        <v>193851.50692319992</v>
      </c>
      <c r="D151" s="57">
        <v>0</v>
      </c>
      <c r="E151" s="57">
        <v>181073.22380214481</v>
      </c>
      <c r="F151" s="57">
        <v>193851.50692319992</v>
      </c>
      <c r="G151" s="57">
        <v>181073.22380214481</v>
      </c>
    </row>
    <row r="152" spans="1:7" ht="11.25" customHeight="1" x14ac:dyDescent="0.2">
      <c r="A152" s="67">
        <v>43831</v>
      </c>
      <c r="B152" s="57">
        <v>0</v>
      </c>
      <c r="C152" s="57">
        <v>221885.64694799992</v>
      </c>
      <c r="D152" s="57">
        <v>0</v>
      </c>
      <c r="E152" s="57">
        <v>207259.41235120973</v>
      </c>
      <c r="F152" s="57">
        <v>221885.64694799992</v>
      </c>
      <c r="G152" s="57">
        <v>207259.41235120973</v>
      </c>
    </row>
    <row r="153" spans="1:7" ht="11.25" customHeight="1" x14ac:dyDescent="0.2">
      <c r="A153" s="67">
        <v>43862</v>
      </c>
      <c r="B153" s="57">
        <v>0</v>
      </c>
      <c r="C153" s="57">
        <v>226152.4568184001</v>
      </c>
      <c r="D153" s="57">
        <v>0</v>
      </c>
      <c r="E153" s="57">
        <v>211244.96310006338</v>
      </c>
      <c r="F153" s="57">
        <v>226152.4568184001</v>
      </c>
      <c r="G153" s="57">
        <v>211244.96310006338</v>
      </c>
    </row>
    <row r="154" spans="1:7" ht="11.25" customHeight="1" x14ac:dyDescent="0.2">
      <c r="A154" s="67">
        <v>43891</v>
      </c>
      <c r="B154" s="57">
        <v>0</v>
      </c>
      <c r="C154" s="57">
        <v>210968.23492080002</v>
      </c>
      <c r="D154" s="57">
        <v>0</v>
      </c>
      <c r="E154" s="57">
        <v>197061.65313479785</v>
      </c>
      <c r="F154" s="57">
        <v>210968.23492080002</v>
      </c>
      <c r="G154" s="57">
        <v>197061.65313479785</v>
      </c>
    </row>
    <row r="155" spans="1:7" ht="11.25" customHeight="1" x14ac:dyDescent="0.2">
      <c r="A155" s="67">
        <v>43922</v>
      </c>
      <c r="B155" s="57">
        <v>0</v>
      </c>
      <c r="C155" s="57">
        <v>214166.25644399994</v>
      </c>
      <c r="D155" s="57">
        <v>0</v>
      </c>
      <c r="E155" s="57">
        <v>200048.86781362863</v>
      </c>
      <c r="F155" s="57">
        <v>214166.25644399994</v>
      </c>
      <c r="G155" s="57">
        <v>200048.86781362863</v>
      </c>
    </row>
    <row r="156" spans="1:7" ht="11.25" customHeight="1" x14ac:dyDescent="0.2">
      <c r="A156" s="67">
        <v>43952</v>
      </c>
      <c r="B156" s="57">
        <v>0</v>
      </c>
      <c r="C156" s="57">
        <v>198222.73347239997</v>
      </c>
      <c r="D156" s="57">
        <v>0</v>
      </c>
      <c r="E156" s="57">
        <v>185156.30830221405</v>
      </c>
      <c r="F156" s="57">
        <v>198222.73347239997</v>
      </c>
      <c r="G156" s="57">
        <v>185156.30830221405</v>
      </c>
    </row>
    <row r="157" spans="1:7" ht="11.25" customHeight="1" x14ac:dyDescent="0.2">
      <c r="A157" s="67">
        <v>43983</v>
      </c>
      <c r="B157" s="57">
        <v>0</v>
      </c>
      <c r="C157" s="57">
        <v>196636.85148239988</v>
      </c>
      <c r="D157" s="57">
        <v>0</v>
      </c>
      <c r="E157" s="57">
        <v>183674.9643134214</v>
      </c>
      <c r="F157" s="57">
        <v>196636.85148239988</v>
      </c>
      <c r="G157" s="57">
        <v>183674.9643134214</v>
      </c>
    </row>
    <row r="158" spans="1:7" ht="11.25" customHeight="1" x14ac:dyDescent="0.2">
      <c r="A158" s="67">
        <v>44013</v>
      </c>
      <c r="B158" s="57">
        <v>0</v>
      </c>
      <c r="C158" s="57">
        <v>190273.36451760004</v>
      </c>
      <c r="D158" s="57">
        <v>0</v>
      </c>
      <c r="E158" s="57">
        <v>177730.94500901777</v>
      </c>
      <c r="F158" s="57">
        <v>190273.36451760004</v>
      </c>
      <c r="G158" s="57">
        <v>177730.94500901777</v>
      </c>
    </row>
    <row r="159" spans="1:7" ht="11.25" customHeight="1" x14ac:dyDescent="0.2">
      <c r="A159" s="67">
        <v>44044</v>
      </c>
      <c r="B159" s="57">
        <v>0</v>
      </c>
      <c r="C159" s="57">
        <v>199805.46619319997</v>
      </c>
      <c r="D159" s="57">
        <v>0</v>
      </c>
      <c r="E159" s="57">
        <v>186634.71061500045</v>
      </c>
      <c r="F159" s="57">
        <v>199805.46619319997</v>
      </c>
      <c r="G159" s="57">
        <v>186634.71061500045</v>
      </c>
    </row>
    <row r="160" spans="1:7" ht="11.25" customHeight="1" x14ac:dyDescent="0.2">
      <c r="A160" s="67">
        <v>44075</v>
      </c>
      <c r="B160" s="57">
        <v>0</v>
      </c>
      <c r="C160" s="57">
        <v>199805.46619319997</v>
      </c>
      <c r="D160" s="57">
        <v>0</v>
      </c>
      <c r="E160" s="57">
        <v>186634.71061500045</v>
      </c>
      <c r="F160" s="57">
        <v>199805.46619319997</v>
      </c>
      <c r="G160" s="57">
        <v>186634.71061500045</v>
      </c>
    </row>
    <row r="161" spans="1:7" ht="11.25" customHeight="1" x14ac:dyDescent="0.2">
      <c r="A161" s="66" t="s">
        <v>25</v>
      </c>
      <c r="B161" s="57">
        <v>276049.45650000009</v>
      </c>
      <c r="C161" s="57">
        <v>0</v>
      </c>
      <c r="D161" s="57">
        <v>358844.13490407227</v>
      </c>
      <c r="E161" s="57">
        <v>0</v>
      </c>
      <c r="F161" s="57">
        <v>276049.45650000009</v>
      </c>
      <c r="G161" s="57">
        <v>358844.13490407227</v>
      </c>
    </row>
    <row r="162" spans="1:7" ht="11.25" customHeight="1" x14ac:dyDescent="0.2">
      <c r="A162" s="67">
        <v>43739</v>
      </c>
      <c r="B162" s="57">
        <v>22729.800000000003</v>
      </c>
      <c r="C162" s="57">
        <v>0</v>
      </c>
      <c r="D162" s="57">
        <v>29547.080153525243</v>
      </c>
      <c r="E162" s="57">
        <v>0</v>
      </c>
      <c r="F162" s="57">
        <v>22729.800000000003</v>
      </c>
      <c r="G162" s="57">
        <v>29547.080153525243</v>
      </c>
    </row>
    <row r="163" spans="1:7" ht="11.25" customHeight="1" x14ac:dyDescent="0.2">
      <c r="A163" s="67">
        <v>43770</v>
      </c>
      <c r="B163" s="57">
        <v>22965.027000000009</v>
      </c>
      <c r="C163" s="57">
        <v>0</v>
      </c>
      <c r="D163" s="57">
        <v>29852.858076044293</v>
      </c>
      <c r="E163" s="57">
        <v>0</v>
      </c>
      <c r="F163" s="57">
        <v>22965.027000000009</v>
      </c>
      <c r="G163" s="57">
        <v>29852.858076044293</v>
      </c>
    </row>
    <row r="164" spans="1:7" ht="11.25" customHeight="1" x14ac:dyDescent="0.2">
      <c r="A164" s="67">
        <v>43800</v>
      </c>
      <c r="B164" s="57">
        <v>23020.530000000002</v>
      </c>
      <c r="C164" s="57">
        <v>0</v>
      </c>
      <c r="D164" s="57">
        <v>29925.007922930799</v>
      </c>
      <c r="E164" s="57">
        <v>0</v>
      </c>
      <c r="F164" s="57">
        <v>23020.530000000002</v>
      </c>
      <c r="G164" s="57">
        <v>29925.007922930799</v>
      </c>
    </row>
    <row r="165" spans="1:7" ht="11.25" customHeight="1" x14ac:dyDescent="0.2">
      <c r="A165" s="67">
        <v>43831</v>
      </c>
      <c r="B165" s="57">
        <v>22820.983500000006</v>
      </c>
      <c r="C165" s="57">
        <v>0</v>
      </c>
      <c r="D165" s="57">
        <v>29665.612044838806</v>
      </c>
      <c r="E165" s="57">
        <v>0</v>
      </c>
      <c r="F165" s="57">
        <v>22820.983500000006</v>
      </c>
      <c r="G165" s="57">
        <v>29665.612044838806</v>
      </c>
    </row>
    <row r="166" spans="1:7" ht="11.25" customHeight="1" x14ac:dyDescent="0.2">
      <c r="A166" s="67">
        <v>43862</v>
      </c>
      <c r="B166" s="57">
        <v>23115.678000000011</v>
      </c>
      <c r="C166" s="57">
        <v>0</v>
      </c>
      <c r="D166" s="57">
        <v>30048.693374736267</v>
      </c>
      <c r="E166" s="57">
        <v>0</v>
      </c>
      <c r="F166" s="57">
        <v>23115.678000000011</v>
      </c>
      <c r="G166" s="57">
        <v>30048.693374736267</v>
      </c>
    </row>
    <row r="167" spans="1:7" ht="11.25" customHeight="1" x14ac:dyDescent="0.2">
      <c r="A167" s="67">
        <v>43891</v>
      </c>
      <c r="B167" s="57">
        <v>23113.035</v>
      </c>
      <c r="C167" s="57">
        <v>0</v>
      </c>
      <c r="D167" s="57">
        <v>30045.257667741658</v>
      </c>
      <c r="E167" s="57">
        <v>0</v>
      </c>
      <c r="F167" s="57">
        <v>23113.035</v>
      </c>
      <c r="G167" s="57">
        <v>30045.257667741658</v>
      </c>
    </row>
    <row r="168" spans="1:7" ht="11.25" customHeight="1" x14ac:dyDescent="0.2">
      <c r="A168" s="67">
        <v>43922</v>
      </c>
      <c r="B168" s="57">
        <v>23179.11</v>
      </c>
      <c r="C168" s="57">
        <v>0</v>
      </c>
      <c r="D168" s="57">
        <v>30131.150342606557</v>
      </c>
      <c r="E168" s="57">
        <v>0</v>
      </c>
      <c r="F168" s="57">
        <v>23179.11</v>
      </c>
      <c r="G168" s="57">
        <v>30131.150342606557</v>
      </c>
    </row>
    <row r="169" spans="1:7" ht="11.25" customHeight="1" x14ac:dyDescent="0.2">
      <c r="A169" s="67">
        <v>43952</v>
      </c>
      <c r="B169" s="57">
        <v>22984.849500000008</v>
      </c>
      <c r="C169" s="57">
        <v>0</v>
      </c>
      <c r="D169" s="57">
        <v>29878.625878503761</v>
      </c>
      <c r="E169" s="57">
        <v>0</v>
      </c>
      <c r="F169" s="57">
        <v>22984.849500000008</v>
      </c>
      <c r="G169" s="57">
        <v>29878.625878503761</v>
      </c>
    </row>
    <row r="170" spans="1:7" ht="11.25" customHeight="1" x14ac:dyDescent="0.2">
      <c r="A170" s="67">
        <v>43983</v>
      </c>
      <c r="B170" s="57">
        <v>22986.171000000006</v>
      </c>
      <c r="C170" s="57">
        <v>0</v>
      </c>
      <c r="D170" s="57">
        <v>29880.343732001056</v>
      </c>
      <c r="E170" s="57">
        <v>0</v>
      </c>
      <c r="F170" s="57">
        <v>22986.171000000006</v>
      </c>
      <c r="G170" s="57">
        <v>29880.343732001056</v>
      </c>
    </row>
    <row r="171" spans="1:7" ht="11.25" customHeight="1" x14ac:dyDescent="0.2">
      <c r="A171" s="67">
        <v>44013</v>
      </c>
      <c r="B171" s="57">
        <v>22963.705500000011</v>
      </c>
      <c r="C171" s="57">
        <v>0</v>
      </c>
      <c r="D171" s="57">
        <v>29851.140222546997</v>
      </c>
      <c r="E171" s="57">
        <v>0</v>
      </c>
      <c r="F171" s="57">
        <v>22963.705500000011</v>
      </c>
      <c r="G171" s="57">
        <v>29851.140222546997</v>
      </c>
    </row>
    <row r="172" spans="1:7" ht="11.25" customHeight="1" x14ac:dyDescent="0.2">
      <c r="A172" s="67">
        <v>44044</v>
      </c>
      <c r="B172" s="57">
        <v>23085.283500000005</v>
      </c>
      <c r="C172" s="57">
        <v>0</v>
      </c>
      <c r="D172" s="57">
        <v>30009.182744298403</v>
      </c>
      <c r="E172" s="57">
        <v>0</v>
      </c>
      <c r="F172" s="57">
        <v>23085.283500000005</v>
      </c>
      <c r="G172" s="57">
        <v>30009.182744298403</v>
      </c>
    </row>
    <row r="173" spans="1:7" ht="11.25" customHeight="1" x14ac:dyDescent="0.2">
      <c r="A173" s="67">
        <v>44075</v>
      </c>
      <c r="B173" s="57">
        <v>23085.283500000005</v>
      </c>
      <c r="C173" s="57">
        <v>0</v>
      </c>
      <c r="D173" s="57">
        <v>30009.182744298403</v>
      </c>
      <c r="E173" s="57">
        <v>0</v>
      </c>
      <c r="F173" s="57">
        <v>23085.283500000005</v>
      </c>
      <c r="G173" s="57">
        <v>30009.182744298403</v>
      </c>
    </row>
    <row r="174" spans="1:7" ht="11.25" customHeight="1" x14ac:dyDescent="0.2">
      <c r="A174" s="66" t="s">
        <v>35</v>
      </c>
      <c r="B174" s="57">
        <v>0</v>
      </c>
      <c r="C174" s="57">
        <v>747051.34325039992</v>
      </c>
      <c r="D174" s="57">
        <v>0</v>
      </c>
      <c r="E174" s="57">
        <v>782272.00257173332</v>
      </c>
      <c r="F174" s="57">
        <v>747051.34325039992</v>
      </c>
      <c r="G174" s="57">
        <v>782272.00257173332</v>
      </c>
    </row>
    <row r="175" spans="1:7" ht="11.25" customHeight="1" x14ac:dyDescent="0.2">
      <c r="A175" s="67">
        <v>43739</v>
      </c>
      <c r="B175" s="57">
        <v>0</v>
      </c>
      <c r="C175" s="57">
        <v>64373.788634400022</v>
      </c>
      <c r="D175" s="57">
        <v>0</v>
      </c>
      <c r="E175" s="57">
        <v>67408.770499034406</v>
      </c>
      <c r="F175" s="57">
        <v>64373.788634400022</v>
      </c>
      <c r="G175" s="57">
        <v>67408.770499034406</v>
      </c>
    </row>
    <row r="176" spans="1:7" ht="11.25" customHeight="1" x14ac:dyDescent="0.2">
      <c r="A176" s="67">
        <v>43770</v>
      </c>
      <c r="B176" s="57">
        <v>0</v>
      </c>
      <c r="C176" s="57">
        <v>61189.454325599974</v>
      </c>
      <c r="D176" s="57">
        <v>0</v>
      </c>
      <c r="E176" s="57">
        <v>64074.306811753493</v>
      </c>
      <c r="F176" s="57">
        <v>61189.454325599974</v>
      </c>
      <c r="G176" s="57">
        <v>64074.306811753493</v>
      </c>
    </row>
    <row r="177" spans="1:7" ht="11.25" customHeight="1" x14ac:dyDescent="0.2">
      <c r="A177" s="67">
        <v>43800</v>
      </c>
      <c r="B177" s="57">
        <v>0</v>
      </c>
      <c r="C177" s="57">
        <v>58737.540081599996</v>
      </c>
      <c r="D177" s="57">
        <v>0</v>
      </c>
      <c r="E177" s="57">
        <v>61506.794038879576</v>
      </c>
      <c r="F177" s="57">
        <v>58737.540081599996</v>
      </c>
      <c r="G177" s="57">
        <v>61506.794038879576</v>
      </c>
    </row>
    <row r="178" spans="1:7" ht="11.25" customHeight="1" x14ac:dyDescent="0.2">
      <c r="A178" s="67">
        <v>43831</v>
      </c>
      <c r="B178" s="57">
        <v>0</v>
      </c>
      <c r="C178" s="57">
        <v>65486.516111999998</v>
      </c>
      <c r="D178" s="57">
        <v>0</v>
      </c>
      <c r="E178" s="57">
        <v>68573.958889475412</v>
      </c>
      <c r="F178" s="57">
        <v>65486.516111999998</v>
      </c>
      <c r="G178" s="57">
        <v>68573.958889475412</v>
      </c>
    </row>
    <row r="179" spans="1:7" ht="11.25" customHeight="1" x14ac:dyDescent="0.2">
      <c r="A179" s="67">
        <v>43862</v>
      </c>
      <c r="B179" s="57">
        <v>0</v>
      </c>
      <c r="C179" s="57">
        <v>69041.630836799974</v>
      </c>
      <c r="D179" s="57">
        <v>0</v>
      </c>
      <c r="E179" s="57">
        <v>72296.683893945912</v>
      </c>
      <c r="F179" s="57">
        <v>69041.630836799974</v>
      </c>
      <c r="G179" s="57">
        <v>72296.683893945912</v>
      </c>
    </row>
    <row r="180" spans="1:7" ht="11.25" customHeight="1" x14ac:dyDescent="0.2">
      <c r="A180" s="67">
        <v>43891</v>
      </c>
      <c r="B180" s="57">
        <v>0</v>
      </c>
      <c r="C180" s="57">
        <v>62038.90195919999</v>
      </c>
      <c r="D180" s="57">
        <v>0</v>
      </c>
      <c r="E180" s="57">
        <v>64963.802704398418</v>
      </c>
      <c r="F180" s="57">
        <v>62038.90195919999</v>
      </c>
      <c r="G180" s="57">
        <v>64963.802704398418</v>
      </c>
    </row>
    <row r="181" spans="1:7" ht="11.25" customHeight="1" x14ac:dyDescent="0.2">
      <c r="A181" s="67">
        <v>43922</v>
      </c>
      <c r="B181" s="57">
        <v>0</v>
      </c>
      <c r="C181" s="57">
        <v>64805.72207039997</v>
      </c>
      <c r="D181" s="57">
        <v>0</v>
      </c>
      <c r="E181" s="57">
        <v>67861.067970968827</v>
      </c>
      <c r="F181" s="57">
        <v>64805.72207039997</v>
      </c>
      <c r="G181" s="57">
        <v>67861.067970968827</v>
      </c>
    </row>
    <row r="182" spans="1:7" ht="11.25" customHeight="1" x14ac:dyDescent="0.2">
      <c r="A182" s="67">
        <v>43952</v>
      </c>
      <c r="B182" s="57">
        <v>0</v>
      </c>
      <c r="C182" s="57">
        <v>56432.908058399989</v>
      </c>
      <c r="D182" s="57">
        <v>0</v>
      </c>
      <c r="E182" s="57">
        <v>59093.507289222631</v>
      </c>
      <c r="F182" s="57">
        <v>56432.908058399989</v>
      </c>
      <c r="G182" s="57">
        <v>59093.507289222631</v>
      </c>
    </row>
    <row r="183" spans="1:7" ht="11.25" customHeight="1" x14ac:dyDescent="0.2">
      <c r="A183" s="67">
        <v>43983</v>
      </c>
      <c r="B183" s="57">
        <v>0</v>
      </c>
      <c r="C183" s="57">
        <v>60618.478233599992</v>
      </c>
      <c r="D183" s="57">
        <v>0</v>
      </c>
      <c r="E183" s="57">
        <v>63476.411345872912</v>
      </c>
      <c r="F183" s="57">
        <v>60618.478233599992</v>
      </c>
      <c r="G183" s="57">
        <v>63476.411345872912</v>
      </c>
    </row>
    <row r="184" spans="1:7" ht="11.25" customHeight="1" x14ac:dyDescent="0.2">
      <c r="A184" s="67">
        <v>44013</v>
      </c>
      <c r="B184" s="57">
        <v>0</v>
      </c>
      <c r="C184" s="57">
        <v>58702.650674400022</v>
      </c>
      <c r="D184" s="57">
        <v>0</v>
      </c>
      <c r="E184" s="57">
        <v>61470.259727435718</v>
      </c>
      <c r="F184" s="57">
        <v>58702.650674400022</v>
      </c>
      <c r="G184" s="57">
        <v>61470.259727435718</v>
      </c>
    </row>
    <row r="185" spans="1:7" ht="11.25" customHeight="1" x14ac:dyDescent="0.2">
      <c r="A185" s="67">
        <v>44044</v>
      </c>
      <c r="B185" s="57">
        <v>0</v>
      </c>
      <c r="C185" s="57">
        <v>62811.876131999998</v>
      </c>
      <c r="D185" s="57">
        <v>0</v>
      </c>
      <c r="E185" s="57">
        <v>65773.219700372967</v>
      </c>
      <c r="F185" s="57">
        <v>62811.876131999998</v>
      </c>
      <c r="G185" s="57">
        <v>65773.219700372967</v>
      </c>
    </row>
    <row r="186" spans="1:7" ht="11.25" customHeight="1" x14ac:dyDescent="0.2">
      <c r="A186" s="67">
        <v>44075</v>
      </c>
      <c r="B186" s="57">
        <v>0</v>
      </c>
      <c r="C186" s="57">
        <v>62811.876131999998</v>
      </c>
      <c r="D186" s="57">
        <v>0</v>
      </c>
      <c r="E186" s="57">
        <v>65773.219700372967</v>
      </c>
      <c r="F186" s="57">
        <v>62811.876131999998</v>
      </c>
      <c r="G186" s="57">
        <v>65773.219700372967</v>
      </c>
    </row>
    <row r="187" spans="1:7" ht="11.25" customHeight="1" x14ac:dyDescent="0.2">
      <c r="A187" s="60" t="s">
        <v>39</v>
      </c>
      <c r="B187" s="57">
        <v>0</v>
      </c>
      <c r="C187" s="57">
        <v>673155.32110559999</v>
      </c>
      <c r="D187" s="57">
        <v>0</v>
      </c>
      <c r="E187" s="57">
        <v>668972.7032718847</v>
      </c>
      <c r="F187" s="57">
        <v>673155.32110559987</v>
      </c>
      <c r="G187" s="57">
        <v>668972.7032718847</v>
      </c>
    </row>
    <row r="188" spans="1:7" ht="11.25" customHeight="1" x14ac:dyDescent="0.2">
      <c r="A188" s="61" t="s">
        <v>23</v>
      </c>
      <c r="B188" s="57">
        <v>0</v>
      </c>
      <c r="C188" s="57">
        <v>673155.32110559999</v>
      </c>
      <c r="D188" s="57">
        <v>0</v>
      </c>
      <c r="E188" s="57">
        <v>668972.7032718847</v>
      </c>
      <c r="F188" s="57">
        <v>673155.32110559987</v>
      </c>
      <c r="G188" s="57">
        <v>668972.7032718847</v>
      </c>
    </row>
    <row r="189" spans="1:7" ht="11.25" customHeight="1" x14ac:dyDescent="0.2">
      <c r="A189" s="62" t="s">
        <v>52</v>
      </c>
      <c r="B189" s="57">
        <v>0</v>
      </c>
      <c r="C189" s="57">
        <v>673155.32110559999</v>
      </c>
      <c r="D189" s="57">
        <v>0</v>
      </c>
      <c r="E189" s="57">
        <v>668972.7032718847</v>
      </c>
      <c r="F189" s="57">
        <v>673155.32110559987</v>
      </c>
      <c r="G189" s="57">
        <v>668972.7032718847</v>
      </c>
    </row>
    <row r="190" spans="1:7" ht="11.25" customHeight="1" x14ac:dyDescent="0.2">
      <c r="A190" s="63" t="s">
        <v>53</v>
      </c>
      <c r="B190" s="57">
        <v>0</v>
      </c>
      <c r="C190" s="57">
        <v>673155.32110559999</v>
      </c>
      <c r="D190" s="57">
        <v>0</v>
      </c>
      <c r="E190" s="57">
        <v>668972.7032718847</v>
      </c>
      <c r="F190" s="57">
        <v>673155.32110559987</v>
      </c>
      <c r="G190" s="57">
        <v>668972.7032718847</v>
      </c>
    </row>
    <row r="191" spans="1:7" ht="11.25" customHeight="1" x14ac:dyDescent="0.2">
      <c r="A191" s="64" t="s">
        <v>25</v>
      </c>
      <c r="B191" s="57">
        <v>0</v>
      </c>
      <c r="C191" s="57">
        <v>673155.32110559999</v>
      </c>
      <c r="D191" s="57">
        <v>0</v>
      </c>
      <c r="E191" s="57">
        <v>668972.7032718847</v>
      </c>
      <c r="F191" s="57">
        <v>673155.32110559987</v>
      </c>
      <c r="G191" s="57">
        <v>668972.7032718847</v>
      </c>
    </row>
    <row r="192" spans="1:7" ht="11.25" customHeight="1" x14ac:dyDescent="0.2">
      <c r="A192" s="65" t="s">
        <v>25</v>
      </c>
      <c r="B192" s="57">
        <v>0</v>
      </c>
      <c r="C192" s="57">
        <v>673155.32110559999</v>
      </c>
      <c r="D192" s="57">
        <v>0</v>
      </c>
      <c r="E192" s="57">
        <v>668972.7032718847</v>
      </c>
      <c r="F192" s="57">
        <v>673155.32110559987</v>
      </c>
      <c r="G192" s="57">
        <v>668972.7032718847</v>
      </c>
    </row>
    <row r="193" spans="1:7" ht="11.25" customHeight="1" x14ac:dyDescent="0.2">
      <c r="A193" s="66" t="s">
        <v>25</v>
      </c>
      <c r="B193" s="57">
        <v>0</v>
      </c>
      <c r="C193" s="57">
        <v>673155.32110559999</v>
      </c>
      <c r="D193" s="57">
        <v>0</v>
      </c>
      <c r="E193" s="57">
        <v>668972.7032718847</v>
      </c>
      <c r="F193" s="57">
        <v>673155.32110559987</v>
      </c>
      <c r="G193" s="57">
        <v>668972.7032718847</v>
      </c>
    </row>
    <row r="194" spans="1:7" ht="11.25" customHeight="1" x14ac:dyDescent="0.2">
      <c r="A194" s="67">
        <v>43739</v>
      </c>
      <c r="B194" s="57">
        <v>0</v>
      </c>
      <c r="C194" s="57">
        <v>57142.739840399998</v>
      </c>
      <c r="D194" s="57">
        <v>0</v>
      </c>
      <c r="E194" s="57">
        <v>56787.6862068177</v>
      </c>
      <c r="F194" s="57">
        <v>57142.739840399998</v>
      </c>
      <c r="G194" s="57">
        <v>56787.6862068177</v>
      </c>
    </row>
    <row r="195" spans="1:7" ht="11.25" customHeight="1" x14ac:dyDescent="0.2">
      <c r="A195" s="67">
        <v>43770</v>
      </c>
      <c r="B195" s="57">
        <v>0</v>
      </c>
      <c r="C195" s="57">
        <v>61468.537748399976</v>
      </c>
      <c r="D195" s="57">
        <v>0</v>
      </c>
      <c r="E195" s="57">
        <v>61086.605979998305</v>
      </c>
      <c r="F195" s="57">
        <v>61468.537748399976</v>
      </c>
      <c r="G195" s="57">
        <v>61086.605979998305</v>
      </c>
    </row>
    <row r="196" spans="1:7" ht="11.25" customHeight="1" x14ac:dyDescent="0.2">
      <c r="A196" s="67">
        <v>43800</v>
      </c>
      <c r="B196" s="57">
        <v>0</v>
      </c>
      <c r="C196" s="57">
        <v>53627.586141600004</v>
      </c>
      <c r="D196" s="57">
        <v>0</v>
      </c>
      <c r="E196" s="57">
        <v>53294.37374448702</v>
      </c>
      <c r="F196" s="57">
        <v>53627.586141600004</v>
      </c>
      <c r="G196" s="57">
        <v>53294.37374448702</v>
      </c>
    </row>
    <row r="197" spans="1:7" ht="11.25" customHeight="1" x14ac:dyDescent="0.2">
      <c r="A197" s="67">
        <v>43831</v>
      </c>
      <c r="B197" s="57">
        <v>0</v>
      </c>
      <c r="C197" s="57">
        <v>55928.482959599976</v>
      </c>
      <c r="D197" s="57">
        <v>0</v>
      </c>
      <c r="E197" s="57">
        <v>55580.974052063961</v>
      </c>
      <c r="F197" s="57">
        <v>55928.482959599976</v>
      </c>
      <c r="G197" s="57">
        <v>55580.974052063961</v>
      </c>
    </row>
    <row r="198" spans="1:7" ht="11.25" customHeight="1" x14ac:dyDescent="0.2">
      <c r="A198" s="67">
        <v>43862</v>
      </c>
      <c r="B198" s="57">
        <v>0</v>
      </c>
      <c r="C198" s="57">
        <v>52068.334600800023</v>
      </c>
      <c r="D198" s="57">
        <v>0</v>
      </c>
      <c r="E198" s="57">
        <v>51744.810537266705</v>
      </c>
      <c r="F198" s="57">
        <v>52068.334600800023</v>
      </c>
      <c r="G198" s="57">
        <v>51744.810537266705</v>
      </c>
    </row>
    <row r="199" spans="1:7" ht="11.25" customHeight="1" x14ac:dyDescent="0.2">
      <c r="A199" s="67">
        <v>43891</v>
      </c>
      <c r="B199" s="57">
        <v>0</v>
      </c>
      <c r="C199" s="57">
        <v>58974.443920799997</v>
      </c>
      <c r="D199" s="57">
        <v>0</v>
      </c>
      <c r="E199" s="57">
        <v>58608.009083040044</v>
      </c>
      <c r="F199" s="57">
        <v>58974.443920799997</v>
      </c>
      <c r="G199" s="57">
        <v>58608.009083040044</v>
      </c>
    </row>
    <row r="200" spans="1:7" ht="11.25" customHeight="1" x14ac:dyDescent="0.2">
      <c r="A200" s="67">
        <v>43922</v>
      </c>
      <c r="B200" s="57">
        <v>0</v>
      </c>
      <c r="C200" s="57">
        <v>57898.557871199999</v>
      </c>
      <c r="D200" s="57">
        <v>0</v>
      </c>
      <c r="E200" s="57">
        <v>57538.807999059441</v>
      </c>
      <c r="F200" s="57">
        <v>57898.557871199999</v>
      </c>
      <c r="G200" s="57">
        <v>57538.807999059441</v>
      </c>
    </row>
    <row r="201" spans="1:7" ht="11.25" customHeight="1" x14ac:dyDescent="0.2">
      <c r="A201" s="67">
        <v>43952</v>
      </c>
      <c r="B201" s="57">
        <v>0</v>
      </c>
      <c r="C201" s="57">
        <v>55519.586585999976</v>
      </c>
      <c r="D201" s="57">
        <v>0</v>
      </c>
      <c r="E201" s="57">
        <v>55174.6183361855</v>
      </c>
      <c r="F201" s="57">
        <v>55519.586585999976</v>
      </c>
      <c r="G201" s="57">
        <v>55174.6183361855</v>
      </c>
    </row>
    <row r="202" spans="1:7" ht="11.25" customHeight="1" x14ac:dyDescent="0.2">
      <c r="A202" s="67">
        <v>43983</v>
      </c>
      <c r="B202" s="57">
        <v>0</v>
      </c>
      <c r="C202" s="57">
        <v>51880.794260400005</v>
      </c>
      <c r="D202" s="57">
        <v>0</v>
      </c>
      <c r="E202" s="57">
        <v>51558.435469646545</v>
      </c>
      <c r="F202" s="57">
        <v>51880.794260400005</v>
      </c>
      <c r="G202" s="57">
        <v>51558.435469646545</v>
      </c>
    </row>
    <row r="203" spans="1:7" ht="11.25" customHeight="1" x14ac:dyDescent="0.2">
      <c r="A203" s="67">
        <v>44013</v>
      </c>
      <c r="B203" s="57">
        <v>0</v>
      </c>
      <c r="C203" s="57">
        <v>58354.758917999992</v>
      </c>
      <c r="D203" s="57">
        <v>0</v>
      </c>
      <c r="E203" s="57">
        <v>57992.174462852687</v>
      </c>
      <c r="F203" s="57">
        <v>58354.758917999992</v>
      </c>
      <c r="G203" s="57">
        <v>57992.174462852687</v>
      </c>
    </row>
    <row r="204" spans="1:7" ht="11.25" customHeight="1" x14ac:dyDescent="0.2">
      <c r="A204" s="67">
        <v>44044</v>
      </c>
      <c r="B204" s="57">
        <v>0</v>
      </c>
      <c r="C204" s="57">
        <v>55145.749129199976</v>
      </c>
      <c r="D204" s="57">
        <v>0</v>
      </c>
      <c r="E204" s="57">
        <v>54803.103700233376</v>
      </c>
      <c r="F204" s="57">
        <v>55145.749129199976</v>
      </c>
      <c r="G204" s="57">
        <v>54803.103700233376</v>
      </c>
    </row>
    <row r="205" spans="1:7" ht="11.25" customHeight="1" x14ac:dyDescent="0.2">
      <c r="A205" s="67">
        <v>44075</v>
      </c>
      <c r="B205" s="57">
        <v>0</v>
      </c>
      <c r="C205" s="57">
        <v>55145.749129199976</v>
      </c>
      <c r="D205" s="57">
        <v>0</v>
      </c>
      <c r="E205" s="57">
        <v>54803.103700233376</v>
      </c>
      <c r="F205" s="57">
        <v>55145.749129199976</v>
      </c>
      <c r="G205" s="57">
        <v>54803.103700233376</v>
      </c>
    </row>
    <row r="206" spans="1:7" ht="11.25" customHeight="1" x14ac:dyDescent="0.2">
      <c r="A206" s="59" t="s">
        <v>1153</v>
      </c>
      <c r="B206" s="57">
        <v>0</v>
      </c>
      <c r="C206" s="57">
        <v>2709420.4882200006</v>
      </c>
      <c r="D206" s="57">
        <v>0</v>
      </c>
      <c r="E206" s="57">
        <v>2634158.6211260124</v>
      </c>
      <c r="F206" s="57">
        <v>2709420.4882199978</v>
      </c>
      <c r="G206" s="57">
        <v>2634158.6211260152</v>
      </c>
    </row>
    <row r="207" spans="1:7" ht="11.25" customHeight="1" x14ac:dyDescent="0.2">
      <c r="A207" s="60" t="s">
        <v>22</v>
      </c>
      <c r="B207" s="57">
        <v>0</v>
      </c>
      <c r="C207" s="57">
        <v>2709420.4882200006</v>
      </c>
      <c r="D207" s="57">
        <v>0</v>
      </c>
      <c r="E207" s="57">
        <v>2634158.6211260124</v>
      </c>
      <c r="F207" s="57">
        <v>2709420.4882199978</v>
      </c>
      <c r="G207" s="57">
        <v>2634158.6211260152</v>
      </c>
    </row>
    <row r="208" spans="1:7" ht="11.25" customHeight="1" x14ac:dyDescent="0.2">
      <c r="A208" s="61" t="s">
        <v>23</v>
      </c>
      <c r="B208" s="57">
        <v>0</v>
      </c>
      <c r="C208" s="57">
        <v>2709420.4882200006</v>
      </c>
      <c r="D208" s="57">
        <v>0</v>
      </c>
      <c r="E208" s="57">
        <v>2634158.6211260124</v>
      </c>
      <c r="F208" s="57">
        <v>2709420.4882199978</v>
      </c>
      <c r="G208" s="57">
        <v>2634158.6211260152</v>
      </c>
    </row>
    <row r="209" spans="1:7" ht="11.25" customHeight="1" x14ac:dyDescent="0.2">
      <c r="A209" s="62" t="s">
        <v>24</v>
      </c>
      <c r="B209" s="57">
        <v>0</v>
      </c>
      <c r="C209" s="57">
        <v>2709420.4882200006</v>
      </c>
      <c r="D209" s="57">
        <v>0</v>
      </c>
      <c r="E209" s="57">
        <v>2634158.6211260124</v>
      </c>
      <c r="F209" s="57">
        <v>2709420.4882199978</v>
      </c>
      <c r="G209" s="57">
        <v>2634158.6211260152</v>
      </c>
    </row>
    <row r="210" spans="1:7" ht="11.25" customHeight="1" x14ac:dyDescent="0.2">
      <c r="A210" s="63" t="s">
        <v>29</v>
      </c>
      <c r="B210" s="57">
        <v>0</v>
      </c>
      <c r="C210" s="57">
        <v>1035012.0561000002</v>
      </c>
      <c r="D210" s="57">
        <v>0</v>
      </c>
      <c r="E210" s="57">
        <v>1006253.3704266504</v>
      </c>
      <c r="F210" s="57">
        <v>1035012.0561000002</v>
      </c>
      <c r="G210" s="57">
        <v>1006253.3704266504</v>
      </c>
    </row>
    <row r="211" spans="1:7" ht="11.25" customHeight="1" x14ac:dyDescent="0.2">
      <c r="A211" s="64" t="s">
        <v>25</v>
      </c>
      <c r="B211" s="57">
        <v>0</v>
      </c>
      <c r="C211" s="57">
        <v>1035012.0561000002</v>
      </c>
      <c r="D211" s="57">
        <v>0</v>
      </c>
      <c r="E211" s="57">
        <v>1006253.3704266504</v>
      </c>
      <c r="F211" s="57">
        <v>1035012.0561000002</v>
      </c>
      <c r="G211" s="57">
        <v>1006253.3704266504</v>
      </c>
    </row>
    <row r="212" spans="1:7" ht="11.25" customHeight="1" x14ac:dyDescent="0.2">
      <c r="A212" s="65" t="s">
        <v>25</v>
      </c>
      <c r="B212" s="57">
        <v>0</v>
      </c>
      <c r="C212" s="57">
        <v>1035012.0561000002</v>
      </c>
      <c r="D212" s="57">
        <v>0</v>
      </c>
      <c r="E212" s="57">
        <v>1006253.3704266504</v>
      </c>
      <c r="F212" s="57">
        <v>1035012.0561000002</v>
      </c>
      <c r="G212" s="57">
        <v>1006253.3704266504</v>
      </c>
    </row>
    <row r="213" spans="1:7" ht="11.25" customHeight="1" x14ac:dyDescent="0.2">
      <c r="A213" s="66" t="s">
        <v>25</v>
      </c>
      <c r="B213" s="57">
        <v>0</v>
      </c>
      <c r="C213" s="57">
        <v>1035012.0561000002</v>
      </c>
      <c r="D213" s="57">
        <v>0</v>
      </c>
      <c r="E213" s="57">
        <v>1006253.3704266504</v>
      </c>
      <c r="F213" s="57">
        <v>1035012.0561000002</v>
      </c>
      <c r="G213" s="57">
        <v>1006253.3704266504</v>
      </c>
    </row>
    <row r="214" spans="1:7" ht="11.25" customHeight="1" x14ac:dyDescent="0.2">
      <c r="A214" s="67">
        <v>43739</v>
      </c>
      <c r="B214" s="57">
        <v>0</v>
      </c>
      <c r="C214" s="57">
        <v>76754.459100000022</v>
      </c>
      <c r="D214" s="57">
        <v>0</v>
      </c>
      <c r="E214" s="57">
        <v>74621.77151411587</v>
      </c>
      <c r="F214" s="57">
        <v>76754.459100000022</v>
      </c>
      <c r="G214" s="57">
        <v>74621.77151411587</v>
      </c>
    </row>
    <row r="215" spans="1:7" ht="11.25" customHeight="1" x14ac:dyDescent="0.2">
      <c r="A215" s="67">
        <v>43770</v>
      </c>
      <c r="B215" s="57">
        <v>0</v>
      </c>
      <c r="C215" s="57">
        <v>78578.362500000017</v>
      </c>
      <c r="D215" s="57">
        <v>0</v>
      </c>
      <c r="E215" s="57">
        <v>76394.996214993473</v>
      </c>
      <c r="F215" s="57">
        <v>78578.362500000017</v>
      </c>
      <c r="G215" s="57">
        <v>76394.996214993473</v>
      </c>
    </row>
    <row r="216" spans="1:7" ht="11.25" customHeight="1" x14ac:dyDescent="0.2">
      <c r="A216" s="67">
        <v>43800</v>
      </c>
      <c r="B216" s="57">
        <v>0</v>
      </c>
      <c r="C216" s="57">
        <v>80473.097100000014</v>
      </c>
      <c r="D216" s="57">
        <v>0</v>
      </c>
      <c r="E216" s="57">
        <v>78237.084011050785</v>
      </c>
      <c r="F216" s="57">
        <v>80473.097100000014</v>
      </c>
      <c r="G216" s="57">
        <v>78237.084011050785</v>
      </c>
    </row>
    <row r="217" spans="1:7" ht="11.25" customHeight="1" x14ac:dyDescent="0.2">
      <c r="A217" s="67">
        <v>43831</v>
      </c>
      <c r="B217" s="57">
        <v>0</v>
      </c>
      <c r="C217" s="57">
        <v>81402.756600000022</v>
      </c>
      <c r="D217" s="57">
        <v>0</v>
      </c>
      <c r="E217" s="57">
        <v>79140.91213528451</v>
      </c>
      <c r="F217" s="57">
        <v>81402.756600000022</v>
      </c>
      <c r="G217" s="57">
        <v>79140.91213528451</v>
      </c>
    </row>
    <row r="218" spans="1:7" ht="11.25" customHeight="1" x14ac:dyDescent="0.2">
      <c r="A218" s="67">
        <v>43862</v>
      </c>
      <c r="B218" s="57">
        <v>0</v>
      </c>
      <c r="C218" s="57">
        <v>81588.688500000004</v>
      </c>
      <c r="D218" s="57">
        <v>0</v>
      </c>
      <c r="E218" s="57">
        <v>79321.677760131235</v>
      </c>
      <c r="F218" s="57">
        <v>81588.688500000004</v>
      </c>
      <c r="G218" s="57">
        <v>79321.677760131235</v>
      </c>
    </row>
    <row r="219" spans="1:7" ht="11.25" customHeight="1" x14ac:dyDescent="0.2">
      <c r="A219" s="67">
        <v>43891</v>
      </c>
      <c r="B219" s="57">
        <v>0</v>
      </c>
      <c r="C219" s="57">
        <v>75727.406700000021</v>
      </c>
      <c r="D219" s="57">
        <v>0</v>
      </c>
      <c r="E219" s="57">
        <v>73623.256634010046</v>
      </c>
      <c r="F219" s="57">
        <v>75727.406700000021</v>
      </c>
      <c r="G219" s="57">
        <v>73623.256634010046</v>
      </c>
    </row>
    <row r="220" spans="1:7" ht="11.25" customHeight="1" x14ac:dyDescent="0.2">
      <c r="A220" s="67">
        <v>43922</v>
      </c>
      <c r="B220" s="57">
        <v>0</v>
      </c>
      <c r="C220" s="57">
        <v>74638.377000000008</v>
      </c>
      <c r="D220" s="57">
        <v>0</v>
      </c>
      <c r="E220" s="57">
        <v>72564.486545621956</v>
      </c>
      <c r="F220" s="57">
        <v>74638.377000000008</v>
      </c>
      <c r="G220" s="57">
        <v>72564.486545621956</v>
      </c>
    </row>
    <row r="221" spans="1:7" ht="11.25" customHeight="1" x14ac:dyDescent="0.2">
      <c r="A221" s="67">
        <v>43952</v>
      </c>
      <c r="B221" s="57">
        <v>0</v>
      </c>
      <c r="C221" s="57">
        <v>88742.639700000014</v>
      </c>
      <c r="D221" s="57">
        <v>0</v>
      </c>
      <c r="E221" s="57">
        <v>86276.850373282199</v>
      </c>
      <c r="F221" s="57">
        <v>88742.639700000014</v>
      </c>
      <c r="G221" s="57">
        <v>86276.850373282199</v>
      </c>
    </row>
    <row r="222" spans="1:7" ht="11.25" customHeight="1" x14ac:dyDescent="0.2">
      <c r="A222" s="67">
        <v>43983</v>
      </c>
      <c r="B222" s="57">
        <v>0</v>
      </c>
      <c r="C222" s="57">
        <v>95719.512900000016</v>
      </c>
      <c r="D222" s="57">
        <v>0</v>
      </c>
      <c r="E222" s="57">
        <v>93059.865248483868</v>
      </c>
      <c r="F222" s="57">
        <v>95719.512900000016</v>
      </c>
      <c r="G222" s="57">
        <v>93059.865248483868</v>
      </c>
    </row>
    <row r="223" spans="1:7" ht="11.25" customHeight="1" x14ac:dyDescent="0.2">
      <c r="A223" s="67">
        <v>44013</v>
      </c>
      <c r="B223" s="57">
        <v>0</v>
      </c>
      <c r="C223" s="57">
        <v>99340.758000000016</v>
      </c>
      <c r="D223" s="57">
        <v>0</v>
      </c>
      <c r="E223" s="57">
        <v>96580.490989546684</v>
      </c>
      <c r="F223" s="57">
        <v>99340.758000000016</v>
      </c>
      <c r="G223" s="57">
        <v>96580.490989546684</v>
      </c>
    </row>
    <row r="224" spans="1:7" ht="11.25" customHeight="1" x14ac:dyDescent="0.2">
      <c r="A224" s="67">
        <v>44044</v>
      </c>
      <c r="B224" s="57">
        <v>0</v>
      </c>
      <c r="C224" s="57">
        <v>101022.99900000001</v>
      </c>
      <c r="D224" s="57">
        <v>0</v>
      </c>
      <c r="E224" s="57">
        <v>98215.989500064839</v>
      </c>
      <c r="F224" s="57">
        <v>101022.99900000001</v>
      </c>
      <c r="G224" s="57">
        <v>98215.989500064839</v>
      </c>
    </row>
    <row r="225" spans="1:7" ht="11.25" customHeight="1" x14ac:dyDescent="0.2">
      <c r="A225" s="67">
        <v>44075</v>
      </c>
      <c r="B225" s="57">
        <v>0</v>
      </c>
      <c r="C225" s="57">
        <v>101022.99900000001</v>
      </c>
      <c r="D225" s="57">
        <v>0</v>
      </c>
      <c r="E225" s="57">
        <v>98215.989500064839</v>
      </c>
      <c r="F225" s="57">
        <v>101022.99900000001</v>
      </c>
      <c r="G225" s="57">
        <v>98215.989500064839</v>
      </c>
    </row>
    <row r="226" spans="1:7" ht="11.25" customHeight="1" x14ac:dyDescent="0.2">
      <c r="A226" s="63" t="s">
        <v>30</v>
      </c>
      <c r="B226" s="57">
        <v>0</v>
      </c>
      <c r="C226" s="57">
        <v>1343199.0427199998</v>
      </c>
      <c r="D226" s="57">
        <v>0</v>
      </c>
      <c r="E226" s="57">
        <v>1305866.0590882343</v>
      </c>
      <c r="F226" s="57">
        <v>1343199.0427200003</v>
      </c>
      <c r="G226" s="57">
        <v>1305866.0590882339</v>
      </c>
    </row>
    <row r="227" spans="1:7" ht="11.25" customHeight="1" x14ac:dyDescent="0.2">
      <c r="A227" s="64" t="s">
        <v>25</v>
      </c>
      <c r="B227" s="57">
        <v>0</v>
      </c>
      <c r="C227" s="57">
        <v>1343199.0427199998</v>
      </c>
      <c r="D227" s="57">
        <v>0</v>
      </c>
      <c r="E227" s="57">
        <v>1305866.0590882343</v>
      </c>
      <c r="F227" s="57">
        <v>1343199.0427200003</v>
      </c>
      <c r="G227" s="57">
        <v>1305866.0590882339</v>
      </c>
    </row>
    <row r="228" spans="1:7" ht="11.25" customHeight="1" x14ac:dyDescent="0.2">
      <c r="A228" s="65" t="s">
        <v>25</v>
      </c>
      <c r="B228" s="57">
        <v>0</v>
      </c>
      <c r="C228" s="57">
        <v>1343199.0427199998</v>
      </c>
      <c r="D228" s="57">
        <v>0</v>
      </c>
      <c r="E228" s="57">
        <v>1305866.0590882343</v>
      </c>
      <c r="F228" s="57">
        <v>1343199.0427200003</v>
      </c>
      <c r="G228" s="57">
        <v>1305866.0590882339</v>
      </c>
    </row>
    <row r="229" spans="1:7" ht="11.25" customHeight="1" x14ac:dyDescent="0.2">
      <c r="A229" s="66" t="s">
        <v>25</v>
      </c>
      <c r="B229" s="57">
        <v>0</v>
      </c>
      <c r="C229" s="57">
        <v>1343199.0427199998</v>
      </c>
      <c r="D229" s="57">
        <v>0</v>
      </c>
      <c r="E229" s="57">
        <v>1305866.0590882343</v>
      </c>
      <c r="F229" s="57">
        <v>1343199.0427200003</v>
      </c>
      <c r="G229" s="57">
        <v>1305866.0590882339</v>
      </c>
    </row>
    <row r="230" spans="1:7" ht="11.25" customHeight="1" x14ac:dyDescent="0.2">
      <c r="A230" s="67">
        <v>43739</v>
      </c>
      <c r="B230" s="57">
        <v>0</v>
      </c>
      <c r="C230" s="57">
        <v>98824.708979999996</v>
      </c>
      <c r="D230" s="57">
        <v>0</v>
      </c>
      <c r="E230" s="57">
        <v>96077.966966773703</v>
      </c>
      <c r="F230" s="57">
        <v>98824.708979999996</v>
      </c>
      <c r="G230" s="57">
        <v>96077.966966773703</v>
      </c>
    </row>
    <row r="231" spans="1:7" ht="11.25" customHeight="1" x14ac:dyDescent="0.2">
      <c r="A231" s="67">
        <v>43770</v>
      </c>
      <c r="B231" s="57">
        <v>0</v>
      </c>
      <c r="C231" s="57">
        <v>102969.27738</v>
      </c>
      <c r="D231" s="57">
        <v>0</v>
      </c>
      <c r="E231" s="57">
        <v>100107.34089498149</v>
      </c>
      <c r="F231" s="57">
        <v>102969.27738</v>
      </c>
      <c r="G231" s="57">
        <v>100107.34089498149</v>
      </c>
    </row>
    <row r="232" spans="1:7" ht="11.25" customHeight="1" x14ac:dyDescent="0.2">
      <c r="A232" s="67">
        <v>43800</v>
      </c>
      <c r="B232" s="57">
        <v>0</v>
      </c>
      <c r="C232" s="57">
        <v>102059.5428</v>
      </c>
      <c r="D232" s="57">
        <v>0</v>
      </c>
      <c r="E232" s="57">
        <v>99222.891552019486</v>
      </c>
      <c r="F232" s="57">
        <v>102059.5428</v>
      </c>
      <c r="G232" s="57">
        <v>99222.891552019486</v>
      </c>
    </row>
    <row r="233" spans="1:7" ht="11.25" customHeight="1" x14ac:dyDescent="0.2">
      <c r="A233" s="67">
        <v>43831</v>
      </c>
      <c r="B233" s="57">
        <v>0</v>
      </c>
      <c r="C233" s="57">
        <v>103947.84594</v>
      </c>
      <c r="D233" s="57">
        <v>0</v>
      </c>
      <c r="E233" s="57">
        <v>101058.71104069507</v>
      </c>
      <c r="F233" s="57">
        <v>103947.84594</v>
      </c>
      <c r="G233" s="57">
        <v>101058.71104069507</v>
      </c>
    </row>
    <row r="234" spans="1:7" ht="11.25" customHeight="1" x14ac:dyDescent="0.2">
      <c r="A234" s="67">
        <v>43862</v>
      </c>
      <c r="B234" s="57">
        <v>0</v>
      </c>
      <c r="C234" s="57">
        <v>102556.2735</v>
      </c>
      <c r="D234" s="57">
        <v>0</v>
      </c>
      <c r="E234" s="57">
        <v>99705.816078472097</v>
      </c>
      <c r="F234" s="57">
        <v>102556.2735</v>
      </c>
      <c r="G234" s="57">
        <v>99705.816078472097</v>
      </c>
    </row>
    <row r="235" spans="1:7" ht="11.25" customHeight="1" x14ac:dyDescent="0.2">
      <c r="A235" s="67">
        <v>43891</v>
      </c>
      <c r="B235" s="57">
        <v>0</v>
      </c>
      <c r="C235" s="57">
        <v>96818.352839999992</v>
      </c>
      <c r="D235" s="57">
        <v>0</v>
      </c>
      <c r="E235" s="57">
        <v>94127.375652798626</v>
      </c>
      <c r="F235" s="57">
        <v>96818.352839999992</v>
      </c>
      <c r="G235" s="57">
        <v>94127.375652798626</v>
      </c>
    </row>
    <row r="236" spans="1:7" ht="11.25" customHeight="1" x14ac:dyDescent="0.2">
      <c r="A236" s="67">
        <v>43922</v>
      </c>
      <c r="B236" s="57">
        <v>0</v>
      </c>
      <c r="C236" s="57">
        <v>97791.109559999997</v>
      </c>
      <c r="D236" s="57">
        <v>0</v>
      </c>
      <c r="E236" s="57">
        <v>95073.095493266665</v>
      </c>
      <c r="F236" s="57">
        <v>97791.109559999997</v>
      </c>
      <c r="G236" s="57">
        <v>95073.095493266665</v>
      </c>
    </row>
    <row r="237" spans="1:7" ht="11.25" customHeight="1" x14ac:dyDescent="0.2">
      <c r="A237" s="67">
        <v>43952</v>
      </c>
      <c r="B237" s="57">
        <v>0</v>
      </c>
      <c r="C237" s="57">
        <v>116529.02658000001</v>
      </c>
      <c r="D237" s="57">
        <v>0</v>
      </c>
      <c r="E237" s="57">
        <v>113290.20932092337</v>
      </c>
      <c r="F237" s="57">
        <v>116529.02658000001</v>
      </c>
      <c r="G237" s="57">
        <v>113290.20932092337</v>
      </c>
    </row>
    <row r="238" spans="1:7" ht="11.25" customHeight="1" x14ac:dyDescent="0.2">
      <c r="A238" s="67">
        <v>43983</v>
      </c>
      <c r="B238" s="57">
        <v>0</v>
      </c>
      <c r="C238" s="57">
        <v>124201.7451</v>
      </c>
      <c r="D238" s="57">
        <v>0</v>
      </c>
      <c r="E238" s="57">
        <v>120749.67167723652</v>
      </c>
      <c r="F238" s="57">
        <v>124201.7451</v>
      </c>
      <c r="G238" s="57">
        <v>120749.67167723652</v>
      </c>
    </row>
    <row r="239" spans="1:7" ht="11.25" customHeight="1" x14ac:dyDescent="0.2">
      <c r="A239" s="67">
        <v>44013</v>
      </c>
      <c r="B239" s="57">
        <v>0</v>
      </c>
      <c r="C239" s="57">
        <v>129802.72428000001</v>
      </c>
      <c r="D239" s="57">
        <v>0</v>
      </c>
      <c r="E239" s="57">
        <v>126194.97678556257</v>
      </c>
      <c r="F239" s="57">
        <v>129802.72428000001</v>
      </c>
      <c r="G239" s="57">
        <v>126194.97678556257</v>
      </c>
    </row>
    <row r="240" spans="1:7" ht="11.25" customHeight="1" x14ac:dyDescent="0.2">
      <c r="A240" s="67">
        <v>44044</v>
      </c>
      <c r="B240" s="57">
        <v>0</v>
      </c>
      <c r="C240" s="57">
        <v>133849.21788000001</v>
      </c>
      <c r="D240" s="57">
        <v>0</v>
      </c>
      <c r="E240" s="57">
        <v>130129.00181275229</v>
      </c>
      <c r="F240" s="57">
        <v>133849.21788000001</v>
      </c>
      <c r="G240" s="57">
        <v>130129.00181275229</v>
      </c>
    </row>
    <row r="241" spans="1:7" ht="11.25" customHeight="1" x14ac:dyDescent="0.2">
      <c r="A241" s="67">
        <v>44075</v>
      </c>
      <c r="B241" s="57">
        <v>0</v>
      </c>
      <c r="C241" s="57">
        <v>133849.21788000001</v>
      </c>
      <c r="D241" s="57">
        <v>0</v>
      </c>
      <c r="E241" s="57">
        <v>130129.00181275229</v>
      </c>
      <c r="F241" s="57">
        <v>133849.21788000001</v>
      </c>
      <c r="G241" s="57">
        <v>130129.00181275229</v>
      </c>
    </row>
    <row r="242" spans="1:7" ht="11.25" customHeight="1" x14ac:dyDescent="0.2">
      <c r="A242" s="63" t="s">
        <v>31</v>
      </c>
      <c r="B242" s="57">
        <v>0</v>
      </c>
      <c r="C242" s="57">
        <v>331209.38939999999</v>
      </c>
      <c r="D242" s="57">
        <v>0</v>
      </c>
      <c r="E242" s="57">
        <v>322039.19161112944</v>
      </c>
      <c r="F242" s="57">
        <v>331209.38940000004</v>
      </c>
      <c r="G242" s="57">
        <v>322039.19161112944</v>
      </c>
    </row>
    <row r="243" spans="1:7" ht="11.25" customHeight="1" x14ac:dyDescent="0.2">
      <c r="A243" s="64" t="s">
        <v>25</v>
      </c>
      <c r="B243" s="57">
        <v>0</v>
      </c>
      <c r="C243" s="57">
        <v>331209.38939999999</v>
      </c>
      <c r="D243" s="57">
        <v>0</v>
      </c>
      <c r="E243" s="57">
        <v>322039.19161112944</v>
      </c>
      <c r="F243" s="57">
        <v>331209.38940000004</v>
      </c>
      <c r="G243" s="57">
        <v>322039.19161112944</v>
      </c>
    </row>
    <row r="244" spans="1:7" ht="11.25" customHeight="1" x14ac:dyDescent="0.2">
      <c r="A244" s="65" t="s">
        <v>25</v>
      </c>
      <c r="B244" s="57">
        <v>0</v>
      </c>
      <c r="C244" s="57">
        <v>331209.38939999999</v>
      </c>
      <c r="D244" s="57">
        <v>0</v>
      </c>
      <c r="E244" s="57">
        <v>322039.19161112944</v>
      </c>
      <c r="F244" s="57">
        <v>331209.38940000004</v>
      </c>
      <c r="G244" s="57">
        <v>322039.19161112944</v>
      </c>
    </row>
    <row r="245" spans="1:7" ht="11.25" customHeight="1" x14ac:dyDescent="0.2">
      <c r="A245" s="66" t="s">
        <v>25</v>
      </c>
      <c r="B245" s="57">
        <v>0</v>
      </c>
      <c r="C245" s="57">
        <v>331209.38939999999</v>
      </c>
      <c r="D245" s="57">
        <v>0</v>
      </c>
      <c r="E245" s="57">
        <v>322039.19161112944</v>
      </c>
      <c r="F245" s="57">
        <v>331209.38940000004</v>
      </c>
      <c r="G245" s="57">
        <v>322039.19161112944</v>
      </c>
    </row>
    <row r="246" spans="1:7" ht="11.25" customHeight="1" x14ac:dyDescent="0.2">
      <c r="A246" s="67">
        <v>43739</v>
      </c>
      <c r="B246" s="57">
        <v>0</v>
      </c>
      <c r="C246" s="57">
        <v>23720.365000000002</v>
      </c>
      <c r="D246" s="57">
        <v>0</v>
      </c>
      <c r="E246" s="57">
        <v>23063.619008987334</v>
      </c>
      <c r="F246" s="57">
        <v>23720.365000000002</v>
      </c>
      <c r="G246" s="57">
        <v>23063.619008987334</v>
      </c>
    </row>
    <row r="247" spans="1:7" ht="11.25" customHeight="1" x14ac:dyDescent="0.2">
      <c r="A247" s="67">
        <v>43770</v>
      </c>
      <c r="B247" s="57">
        <v>0</v>
      </c>
      <c r="C247" s="57">
        <v>26889.966000000004</v>
      </c>
      <c r="D247" s="57">
        <v>0</v>
      </c>
      <c r="E247" s="57">
        <v>26145.463233328119</v>
      </c>
      <c r="F247" s="57">
        <v>26889.966000000004</v>
      </c>
      <c r="G247" s="57">
        <v>26145.463233328119</v>
      </c>
    </row>
    <row r="248" spans="1:7" ht="11.25" customHeight="1" x14ac:dyDescent="0.2">
      <c r="A248" s="67">
        <v>43800</v>
      </c>
      <c r="B248" s="57">
        <v>0</v>
      </c>
      <c r="C248" s="57">
        <v>22589.269400000001</v>
      </c>
      <c r="D248" s="57">
        <v>0</v>
      </c>
      <c r="E248" s="57">
        <v>21963.840064559543</v>
      </c>
      <c r="F248" s="57">
        <v>22589.269400000001</v>
      </c>
      <c r="G248" s="57">
        <v>21963.840064559543</v>
      </c>
    </row>
    <row r="249" spans="1:7" ht="11.25" customHeight="1" x14ac:dyDescent="0.2">
      <c r="A249" s="67">
        <v>43831</v>
      </c>
      <c r="B249" s="57">
        <v>0</v>
      </c>
      <c r="C249" s="57">
        <v>25996.584800000004</v>
      </c>
      <c r="D249" s="57">
        <v>0</v>
      </c>
      <c r="E249" s="57">
        <v>25276.817087849668</v>
      </c>
      <c r="F249" s="57">
        <v>25996.584800000004</v>
      </c>
      <c r="G249" s="57">
        <v>25276.817087849668</v>
      </c>
    </row>
    <row r="250" spans="1:7" ht="11.25" customHeight="1" x14ac:dyDescent="0.2">
      <c r="A250" s="67">
        <v>43862</v>
      </c>
      <c r="B250" s="57">
        <v>0</v>
      </c>
      <c r="C250" s="57">
        <v>22883.915400000002</v>
      </c>
      <c r="D250" s="57">
        <v>0</v>
      </c>
      <c r="E250" s="57">
        <v>22250.328197711038</v>
      </c>
      <c r="F250" s="57">
        <v>22883.915400000002</v>
      </c>
      <c r="G250" s="57">
        <v>22250.328197711038</v>
      </c>
    </row>
    <row r="251" spans="1:7" ht="11.25" customHeight="1" x14ac:dyDescent="0.2">
      <c r="A251" s="67">
        <v>43891</v>
      </c>
      <c r="B251" s="57">
        <v>0</v>
      </c>
      <c r="C251" s="57">
        <v>22466.144600000003</v>
      </c>
      <c r="D251" s="57">
        <v>0</v>
      </c>
      <c r="E251" s="57">
        <v>21844.124222170198</v>
      </c>
      <c r="F251" s="57">
        <v>22466.144600000003</v>
      </c>
      <c r="G251" s="57">
        <v>21844.124222170198</v>
      </c>
    </row>
    <row r="252" spans="1:7" ht="11.25" customHeight="1" x14ac:dyDescent="0.2">
      <c r="A252" s="67">
        <v>43922</v>
      </c>
      <c r="B252" s="57">
        <v>0</v>
      </c>
      <c r="C252" s="57">
        <v>25552.663600000003</v>
      </c>
      <c r="D252" s="57">
        <v>0</v>
      </c>
      <c r="E252" s="57">
        <v>24845.186738704011</v>
      </c>
      <c r="F252" s="57">
        <v>25552.663600000003</v>
      </c>
      <c r="G252" s="57">
        <v>24845.186738704011</v>
      </c>
    </row>
    <row r="253" spans="1:7" ht="11.25" customHeight="1" x14ac:dyDescent="0.2">
      <c r="A253" s="67">
        <v>43952</v>
      </c>
      <c r="B253" s="57">
        <v>0</v>
      </c>
      <c r="C253" s="57">
        <v>29983.476600000005</v>
      </c>
      <c r="D253" s="57">
        <v>0</v>
      </c>
      <c r="E253" s="57">
        <v>29153.323773360444</v>
      </c>
      <c r="F253" s="57">
        <v>29983.476600000005</v>
      </c>
      <c r="G253" s="57">
        <v>29153.323773360444</v>
      </c>
    </row>
    <row r="254" spans="1:7" ht="11.25" customHeight="1" x14ac:dyDescent="0.2">
      <c r="A254" s="67">
        <v>43983</v>
      </c>
      <c r="B254" s="57">
        <v>0</v>
      </c>
      <c r="C254" s="57">
        <v>28719.449799999999</v>
      </c>
      <c r="D254" s="57">
        <v>0</v>
      </c>
      <c r="E254" s="57">
        <v>27924.294096441496</v>
      </c>
      <c r="F254" s="57">
        <v>28719.449799999999</v>
      </c>
      <c r="G254" s="57">
        <v>27924.294096441496</v>
      </c>
    </row>
    <row r="255" spans="1:7" ht="11.25" customHeight="1" x14ac:dyDescent="0.2">
      <c r="A255" s="67">
        <v>44013</v>
      </c>
      <c r="B255" s="57">
        <v>0</v>
      </c>
      <c r="C255" s="57">
        <v>31431.191800000004</v>
      </c>
      <c r="D255" s="57">
        <v>0</v>
      </c>
      <c r="E255" s="57">
        <v>30560.956067649331</v>
      </c>
      <c r="F255" s="57">
        <v>31431.191800000004</v>
      </c>
      <c r="G255" s="57">
        <v>30560.956067649331</v>
      </c>
    </row>
    <row r="256" spans="1:7" ht="11.25" customHeight="1" x14ac:dyDescent="0.2">
      <c r="A256" s="67">
        <v>44044</v>
      </c>
      <c r="B256" s="57">
        <v>0</v>
      </c>
      <c r="C256" s="57">
        <v>35488.181199999999</v>
      </c>
      <c r="D256" s="57">
        <v>0</v>
      </c>
      <c r="E256" s="57">
        <v>34505.619560184125</v>
      </c>
      <c r="F256" s="57">
        <v>35488.181199999999</v>
      </c>
      <c r="G256" s="57">
        <v>34505.619560184125</v>
      </c>
    </row>
    <row r="257" spans="1:7" ht="11.25" customHeight="1" x14ac:dyDescent="0.2">
      <c r="A257" s="67">
        <v>44075</v>
      </c>
      <c r="B257" s="57">
        <v>0</v>
      </c>
      <c r="C257" s="57">
        <v>35488.181199999999</v>
      </c>
      <c r="D257" s="57">
        <v>0</v>
      </c>
      <c r="E257" s="57">
        <v>34505.619560184125</v>
      </c>
      <c r="F257" s="57">
        <v>35488.181199999999</v>
      </c>
      <c r="G257" s="57">
        <v>34505.619560184125</v>
      </c>
    </row>
    <row r="258" spans="1:7" ht="11.25" customHeight="1" x14ac:dyDescent="0.2">
      <c r="A258" s="63" t="s">
        <v>32</v>
      </c>
      <c r="B258" s="57">
        <v>0</v>
      </c>
      <c r="C258" s="57">
        <v>0</v>
      </c>
      <c r="D258" s="57">
        <v>0</v>
      </c>
      <c r="E258" s="57">
        <v>0</v>
      </c>
      <c r="F258" s="57">
        <v>0</v>
      </c>
      <c r="G258" s="57">
        <v>0</v>
      </c>
    </row>
    <row r="259" spans="1:7" ht="11.25" customHeight="1" x14ac:dyDescent="0.2">
      <c r="A259" s="64" t="s">
        <v>25</v>
      </c>
      <c r="B259" s="57">
        <v>0</v>
      </c>
      <c r="C259" s="57">
        <v>0</v>
      </c>
      <c r="D259" s="57">
        <v>0</v>
      </c>
      <c r="E259" s="57">
        <v>0</v>
      </c>
      <c r="F259" s="57">
        <v>0</v>
      </c>
      <c r="G259" s="57">
        <v>0</v>
      </c>
    </row>
    <row r="260" spans="1:7" ht="11.25" customHeight="1" x14ac:dyDescent="0.2">
      <c r="A260" s="65" t="s">
        <v>25</v>
      </c>
      <c r="B260" s="57">
        <v>0</v>
      </c>
      <c r="C260" s="57">
        <v>0</v>
      </c>
      <c r="D260" s="57">
        <v>0</v>
      </c>
      <c r="E260" s="57">
        <v>0</v>
      </c>
      <c r="F260" s="57">
        <v>0</v>
      </c>
      <c r="G260" s="57">
        <v>0</v>
      </c>
    </row>
    <row r="261" spans="1:7" ht="11.25" customHeight="1" x14ac:dyDescent="0.2">
      <c r="A261" s="66" t="s">
        <v>25</v>
      </c>
      <c r="B261" s="57">
        <v>0</v>
      </c>
      <c r="C261" s="57">
        <v>0</v>
      </c>
      <c r="D261" s="57">
        <v>0</v>
      </c>
      <c r="E261" s="57">
        <v>0</v>
      </c>
      <c r="F261" s="57">
        <v>0</v>
      </c>
      <c r="G261" s="57">
        <v>0</v>
      </c>
    </row>
    <row r="262" spans="1:7" ht="11.25" customHeight="1" x14ac:dyDescent="0.2">
      <c r="A262" s="67">
        <v>43739</v>
      </c>
      <c r="B262" s="57">
        <v>0</v>
      </c>
      <c r="C262" s="57">
        <v>0</v>
      </c>
      <c r="D262" s="57">
        <v>0</v>
      </c>
      <c r="E262" s="57">
        <v>0</v>
      </c>
      <c r="F262" s="57">
        <v>0</v>
      </c>
      <c r="G262" s="57">
        <v>0</v>
      </c>
    </row>
    <row r="263" spans="1:7" ht="11.25" customHeight="1" x14ac:dyDescent="0.2">
      <c r="A263" s="67">
        <v>43770</v>
      </c>
      <c r="B263" s="57">
        <v>0</v>
      </c>
      <c r="C263" s="57">
        <v>0</v>
      </c>
      <c r="D263" s="57">
        <v>0</v>
      </c>
      <c r="E263" s="57">
        <v>0</v>
      </c>
      <c r="F263" s="57">
        <v>0</v>
      </c>
      <c r="G263" s="57">
        <v>0</v>
      </c>
    </row>
    <row r="264" spans="1:7" ht="11.25" customHeight="1" x14ac:dyDescent="0.2">
      <c r="A264" s="67">
        <v>43800</v>
      </c>
      <c r="B264" s="57">
        <v>0</v>
      </c>
      <c r="C264" s="57">
        <v>0</v>
      </c>
      <c r="D264" s="57">
        <v>0</v>
      </c>
      <c r="E264" s="57">
        <v>0</v>
      </c>
      <c r="F264" s="57">
        <v>0</v>
      </c>
      <c r="G264" s="57">
        <v>0</v>
      </c>
    </row>
    <row r="265" spans="1:7" ht="11.25" customHeight="1" x14ac:dyDescent="0.2">
      <c r="A265" s="67">
        <v>43831</v>
      </c>
      <c r="B265" s="57">
        <v>0</v>
      </c>
      <c r="C265" s="57">
        <v>0</v>
      </c>
      <c r="D265" s="57">
        <v>0</v>
      </c>
      <c r="E265" s="57">
        <v>0</v>
      </c>
      <c r="F265" s="57">
        <v>0</v>
      </c>
      <c r="G265" s="57">
        <v>0</v>
      </c>
    </row>
    <row r="266" spans="1:7" ht="11.25" customHeight="1" x14ac:dyDescent="0.2">
      <c r="A266" s="67">
        <v>43862</v>
      </c>
      <c r="B266" s="57">
        <v>0</v>
      </c>
      <c r="C266" s="57">
        <v>0</v>
      </c>
      <c r="D266" s="57">
        <v>0</v>
      </c>
      <c r="E266" s="57">
        <v>0</v>
      </c>
      <c r="F266" s="57">
        <v>0</v>
      </c>
      <c r="G266" s="57">
        <v>0</v>
      </c>
    </row>
    <row r="267" spans="1:7" ht="11.25" customHeight="1" x14ac:dyDescent="0.2">
      <c r="A267" s="67">
        <v>43891</v>
      </c>
      <c r="B267" s="57">
        <v>0</v>
      </c>
      <c r="C267" s="57">
        <v>0</v>
      </c>
      <c r="D267" s="57">
        <v>0</v>
      </c>
      <c r="E267" s="57">
        <v>0</v>
      </c>
      <c r="F267" s="57">
        <v>0</v>
      </c>
      <c r="G267" s="57">
        <v>0</v>
      </c>
    </row>
    <row r="268" spans="1:7" ht="11.25" customHeight="1" x14ac:dyDescent="0.2">
      <c r="A268" s="67">
        <v>43922</v>
      </c>
      <c r="B268" s="57">
        <v>0</v>
      </c>
      <c r="C268" s="57">
        <v>0</v>
      </c>
      <c r="D268" s="57">
        <v>0</v>
      </c>
      <c r="E268" s="57">
        <v>0</v>
      </c>
      <c r="F268" s="57">
        <v>0</v>
      </c>
      <c r="G268" s="57">
        <v>0</v>
      </c>
    </row>
    <row r="269" spans="1:7" ht="11.25" customHeight="1" x14ac:dyDescent="0.2">
      <c r="A269" s="67">
        <v>43952</v>
      </c>
      <c r="B269" s="57">
        <v>0</v>
      </c>
      <c r="C269" s="57">
        <v>0</v>
      </c>
      <c r="D269" s="57">
        <v>0</v>
      </c>
      <c r="E269" s="57">
        <v>0</v>
      </c>
      <c r="F269" s="57">
        <v>0</v>
      </c>
      <c r="G269" s="57">
        <v>0</v>
      </c>
    </row>
    <row r="270" spans="1:7" ht="11.25" customHeight="1" x14ac:dyDescent="0.2">
      <c r="A270" s="67">
        <v>43983</v>
      </c>
      <c r="B270" s="57">
        <v>0</v>
      </c>
      <c r="C270" s="57">
        <v>0</v>
      </c>
      <c r="D270" s="57">
        <v>0</v>
      </c>
      <c r="E270" s="57">
        <v>0</v>
      </c>
      <c r="F270" s="57">
        <v>0</v>
      </c>
      <c r="G270" s="57">
        <v>0</v>
      </c>
    </row>
    <row r="271" spans="1:7" ht="11.25" customHeight="1" x14ac:dyDescent="0.2">
      <c r="A271" s="67">
        <v>44013</v>
      </c>
      <c r="B271" s="57">
        <v>0</v>
      </c>
      <c r="C271" s="57">
        <v>0</v>
      </c>
      <c r="D271" s="57">
        <v>0</v>
      </c>
      <c r="E271" s="57">
        <v>0</v>
      </c>
      <c r="F271" s="57">
        <v>0</v>
      </c>
      <c r="G271" s="57">
        <v>0</v>
      </c>
    </row>
    <row r="272" spans="1:7" ht="11.25" customHeight="1" x14ac:dyDescent="0.2">
      <c r="A272" s="67">
        <v>44044</v>
      </c>
      <c r="B272" s="57">
        <v>0</v>
      </c>
      <c r="C272" s="57">
        <v>0</v>
      </c>
      <c r="D272" s="57">
        <v>0</v>
      </c>
      <c r="E272" s="57">
        <v>0</v>
      </c>
      <c r="F272" s="57">
        <v>0</v>
      </c>
      <c r="G272" s="57">
        <v>0</v>
      </c>
    </row>
    <row r="273" spans="1:7" ht="11.25" customHeight="1" x14ac:dyDescent="0.2">
      <c r="A273" s="67">
        <v>44075</v>
      </c>
      <c r="B273" s="57">
        <v>0</v>
      </c>
      <c r="C273" s="57">
        <v>0</v>
      </c>
      <c r="D273" s="57">
        <v>0</v>
      </c>
      <c r="E273" s="57">
        <v>0</v>
      </c>
      <c r="F273" s="57">
        <v>0</v>
      </c>
      <c r="G273" s="57">
        <v>0</v>
      </c>
    </row>
    <row r="274" spans="1:7" ht="11.25" customHeight="1" x14ac:dyDescent="0.2">
      <c r="A274" s="59" t="s">
        <v>1150</v>
      </c>
      <c r="B274" s="57">
        <v>8938367.9857034478</v>
      </c>
      <c r="C274" s="57">
        <v>3256166.9528833539</v>
      </c>
      <c r="D274" s="57">
        <v>10891157.024407618</v>
      </c>
      <c r="E274" s="57">
        <v>3726924.748101247</v>
      </c>
      <c r="F274" s="57">
        <v>12194534.938586801</v>
      </c>
      <c r="G274" s="57">
        <v>14618081.772508865</v>
      </c>
    </row>
    <row r="275" spans="1:7" ht="11.25" customHeight="1" x14ac:dyDescent="0.2">
      <c r="A275" s="60" t="s">
        <v>45</v>
      </c>
      <c r="B275" s="57">
        <v>242211.978704295</v>
      </c>
      <c r="C275" s="57">
        <v>29250.70264092521</v>
      </c>
      <c r="D275" s="57">
        <v>297234.63080401957</v>
      </c>
      <c r="E275" s="57">
        <v>34068.696392014899</v>
      </c>
      <c r="F275" s="57">
        <v>271462.68134522019</v>
      </c>
      <c r="G275" s="57">
        <v>331303.32719603449</v>
      </c>
    </row>
    <row r="276" spans="1:7" ht="11.25" customHeight="1" x14ac:dyDescent="0.2">
      <c r="A276" s="61" t="s">
        <v>41</v>
      </c>
      <c r="B276" s="57">
        <v>216679.79477858002</v>
      </c>
      <c r="C276" s="57">
        <v>0</v>
      </c>
      <c r="D276" s="57">
        <v>264044.65619149985</v>
      </c>
      <c r="E276" s="57">
        <v>0</v>
      </c>
      <c r="F276" s="57">
        <v>216679.79477858002</v>
      </c>
      <c r="G276" s="57">
        <v>264044.65619149985</v>
      </c>
    </row>
    <row r="277" spans="1:7" ht="11.25" customHeight="1" x14ac:dyDescent="0.2">
      <c r="A277" s="62" t="s">
        <v>40</v>
      </c>
      <c r="B277" s="57">
        <v>216679.79477858002</v>
      </c>
      <c r="C277" s="57">
        <v>0</v>
      </c>
      <c r="D277" s="57">
        <v>264044.65619149985</v>
      </c>
      <c r="E277" s="57">
        <v>0</v>
      </c>
      <c r="F277" s="57">
        <v>216679.79477858002</v>
      </c>
      <c r="G277" s="57">
        <v>264044.65619149985</v>
      </c>
    </row>
    <row r="278" spans="1:7" ht="11.25" customHeight="1" x14ac:dyDescent="0.2">
      <c r="A278" s="63" t="s">
        <v>25</v>
      </c>
      <c r="B278" s="57">
        <v>216679.79477858002</v>
      </c>
      <c r="C278" s="57">
        <v>0</v>
      </c>
      <c r="D278" s="57">
        <v>264044.65619149985</v>
      </c>
      <c r="E278" s="57">
        <v>0</v>
      </c>
      <c r="F278" s="57">
        <v>216679.79477858002</v>
      </c>
      <c r="G278" s="57">
        <v>264044.65619149985</v>
      </c>
    </row>
    <row r="279" spans="1:7" ht="11.25" customHeight="1" x14ac:dyDescent="0.2">
      <c r="A279" s="64" t="s">
        <v>63</v>
      </c>
      <c r="B279" s="57">
        <v>216679.79477858002</v>
      </c>
      <c r="C279" s="57">
        <v>0</v>
      </c>
      <c r="D279" s="57">
        <v>264044.65619149985</v>
      </c>
      <c r="E279" s="57">
        <v>0</v>
      </c>
      <c r="F279" s="57">
        <v>216679.79477858002</v>
      </c>
      <c r="G279" s="57">
        <v>264044.65619149985</v>
      </c>
    </row>
    <row r="280" spans="1:7" ht="11.25" customHeight="1" x14ac:dyDescent="0.2">
      <c r="A280" s="65" t="s">
        <v>25</v>
      </c>
      <c r="B280" s="57">
        <v>216679.79477858002</v>
      </c>
      <c r="C280" s="57">
        <v>0</v>
      </c>
      <c r="D280" s="57">
        <v>264044.65619149985</v>
      </c>
      <c r="E280" s="57">
        <v>0</v>
      </c>
      <c r="F280" s="57">
        <v>216679.79477858002</v>
      </c>
      <c r="G280" s="57">
        <v>264044.65619149985</v>
      </c>
    </row>
    <row r="281" spans="1:7" ht="11.25" customHeight="1" x14ac:dyDescent="0.2">
      <c r="A281" s="66" t="s">
        <v>36</v>
      </c>
      <c r="B281" s="57">
        <v>61429.800089780008</v>
      </c>
      <c r="C281" s="57">
        <v>0</v>
      </c>
      <c r="D281" s="57">
        <v>79854.254197914721</v>
      </c>
      <c r="E281" s="57">
        <v>0</v>
      </c>
      <c r="F281" s="57">
        <v>61429.800089780008</v>
      </c>
      <c r="G281" s="57">
        <v>79854.254197914721</v>
      </c>
    </row>
    <row r="282" spans="1:7" ht="11.25" customHeight="1" x14ac:dyDescent="0.2">
      <c r="A282" s="67">
        <v>43739</v>
      </c>
      <c r="B282" s="57">
        <v>11187.424505820001</v>
      </c>
      <c r="C282" s="57">
        <v>0</v>
      </c>
      <c r="D282" s="57">
        <v>14542.834894498681</v>
      </c>
      <c r="E282" s="57">
        <v>0</v>
      </c>
      <c r="F282" s="57">
        <v>11187.424505820001</v>
      </c>
      <c r="G282" s="57">
        <v>14542.834894498681</v>
      </c>
    </row>
    <row r="283" spans="1:7" ht="11.25" customHeight="1" x14ac:dyDescent="0.2">
      <c r="A283" s="67">
        <v>43770</v>
      </c>
      <c r="B283" s="57">
        <v>11153.695103660002</v>
      </c>
      <c r="C283" s="57">
        <v>0</v>
      </c>
      <c r="D283" s="57">
        <v>14498.989134784473</v>
      </c>
      <c r="E283" s="57">
        <v>0</v>
      </c>
      <c r="F283" s="57">
        <v>11153.695103660002</v>
      </c>
      <c r="G283" s="57">
        <v>14498.989134784473</v>
      </c>
    </row>
    <row r="284" spans="1:7" ht="11.25" customHeight="1" x14ac:dyDescent="0.2">
      <c r="A284" s="67">
        <v>43800</v>
      </c>
      <c r="B284" s="57">
        <v>11093.619960340002</v>
      </c>
      <c r="C284" s="57">
        <v>0</v>
      </c>
      <c r="D284" s="57">
        <v>14420.895835463292</v>
      </c>
      <c r="E284" s="57">
        <v>0</v>
      </c>
      <c r="F284" s="57">
        <v>11093.619960340002</v>
      </c>
      <c r="G284" s="57">
        <v>14420.895835463292</v>
      </c>
    </row>
    <row r="285" spans="1:7" ht="11.25" customHeight="1" x14ac:dyDescent="0.2">
      <c r="A285" s="67">
        <v>43831</v>
      </c>
      <c r="B285" s="57">
        <v>11284.382608420001</v>
      </c>
      <c r="C285" s="57">
        <v>0</v>
      </c>
      <c r="D285" s="57">
        <v>14668.873347501165</v>
      </c>
      <c r="E285" s="57">
        <v>0</v>
      </c>
      <c r="F285" s="57">
        <v>11284.382608420001</v>
      </c>
      <c r="G285" s="57">
        <v>14668.873347501165</v>
      </c>
    </row>
    <row r="286" spans="1:7" ht="11.25" customHeight="1" x14ac:dyDescent="0.2">
      <c r="A286" s="67">
        <v>43862</v>
      </c>
      <c r="B286" s="57">
        <v>11290.011564099999</v>
      </c>
      <c r="C286" s="57">
        <v>0</v>
      </c>
      <c r="D286" s="57">
        <v>14676.190578829975</v>
      </c>
      <c r="E286" s="57">
        <v>0</v>
      </c>
      <c r="F286" s="57">
        <v>11290.011564099999</v>
      </c>
      <c r="G286" s="57">
        <v>14676.190578829975</v>
      </c>
    </row>
    <row r="287" spans="1:7" ht="11.25" customHeight="1" x14ac:dyDescent="0.2">
      <c r="A287" s="67">
        <v>43891</v>
      </c>
      <c r="B287" s="57">
        <v>5420.6663474400011</v>
      </c>
      <c r="C287" s="57">
        <v>0</v>
      </c>
      <c r="D287" s="57">
        <v>7046.4704068371311</v>
      </c>
      <c r="E287" s="57">
        <v>0</v>
      </c>
      <c r="F287" s="57">
        <v>5420.6663474400011</v>
      </c>
      <c r="G287" s="57">
        <v>7046.4704068371311</v>
      </c>
    </row>
    <row r="288" spans="1:7" ht="11.25" customHeight="1" x14ac:dyDescent="0.2">
      <c r="A288" s="67">
        <v>43922</v>
      </c>
      <c r="B288" s="57">
        <v>0</v>
      </c>
      <c r="C288" s="57">
        <v>0</v>
      </c>
      <c r="D288" s="57">
        <v>0</v>
      </c>
      <c r="E288" s="57">
        <v>0</v>
      </c>
      <c r="F288" s="57">
        <v>0</v>
      </c>
      <c r="G288" s="57">
        <v>0</v>
      </c>
    </row>
    <row r="289" spans="1:7" ht="11.25" customHeight="1" x14ac:dyDescent="0.2">
      <c r="A289" s="67">
        <v>43952</v>
      </c>
      <c r="B289" s="57">
        <v>0</v>
      </c>
      <c r="C289" s="57">
        <v>0</v>
      </c>
      <c r="D289" s="57">
        <v>0</v>
      </c>
      <c r="E289" s="57">
        <v>0</v>
      </c>
      <c r="F289" s="57">
        <v>0</v>
      </c>
      <c r="G289" s="57">
        <v>0</v>
      </c>
    </row>
    <row r="290" spans="1:7" ht="11.25" customHeight="1" x14ac:dyDescent="0.2">
      <c r="A290" s="67">
        <v>43983</v>
      </c>
      <c r="B290" s="57">
        <v>0</v>
      </c>
      <c r="C290" s="57">
        <v>0</v>
      </c>
      <c r="D290" s="57">
        <v>0</v>
      </c>
      <c r="E290" s="57">
        <v>0</v>
      </c>
      <c r="F290" s="57">
        <v>0</v>
      </c>
      <c r="G290" s="57">
        <v>0</v>
      </c>
    </row>
    <row r="291" spans="1:7" ht="11.25" customHeight="1" x14ac:dyDescent="0.2">
      <c r="A291" s="67">
        <v>44013</v>
      </c>
      <c r="B291" s="57">
        <v>0</v>
      </c>
      <c r="C291" s="57">
        <v>0</v>
      </c>
      <c r="D291" s="57">
        <v>0</v>
      </c>
      <c r="E291" s="57">
        <v>0</v>
      </c>
      <c r="F291" s="57">
        <v>0</v>
      </c>
      <c r="G291" s="57">
        <v>0</v>
      </c>
    </row>
    <row r="292" spans="1:7" ht="11.25" customHeight="1" x14ac:dyDescent="0.2">
      <c r="A292" s="67">
        <v>44044</v>
      </c>
      <c r="B292" s="57">
        <v>0</v>
      </c>
      <c r="C292" s="57">
        <v>0</v>
      </c>
      <c r="D292" s="57">
        <v>0</v>
      </c>
      <c r="E292" s="57">
        <v>0</v>
      </c>
      <c r="F292" s="57">
        <v>0</v>
      </c>
      <c r="G292" s="57">
        <v>0</v>
      </c>
    </row>
    <row r="293" spans="1:7" ht="11.25" customHeight="1" x14ac:dyDescent="0.2">
      <c r="A293" s="67">
        <v>44075</v>
      </c>
      <c r="B293" s="57">
        <v>0</v>
      </c>
      <c r="C293" s="57">
        <v>0</v>
      </c>
      <c r="D293" s="57">
        <v>0</v>
      </c>
      <c r="E293" s="57">
        <v>0</v>
      </c>
      <c r="F293" s="57">
        <v>0</v>
      </c>
      <c r="G293" s="57">
        <v>0</v>
      </c>
    </row>
    <row r="294" spans="1:7" ht="11.25" customHeight="1" x14ac:dyDescent="0.2">
      <c r="A294" s="66" t="s">
        <v>25</v>
      </c>
      <c r="B294" s="57">
        <v>0</v>
      </c>
      <c r="C294" s="57">
        <v>0</v>
      </c>
      <c r="D294" s="57">
        <v>0</v>
      </c>
      <c r="E294" s="57">
        <v>0</v>
      </c>
      <c r="F294" s="57">
        <v>0</v>
      </c>
      <c r="G294" s="57">
        <v>0</v>
      </c>
    </row>
    <row r="295" spans="1:7" ht="11.25" customHeight="1" x14ac:dyDescent="0.2">
      <c r="A295" s="67">
        <v>43739</v>
      </c>
      <c r="B295" s="57">
        <v>0</v>
      </c>
      <c r="C295" s="57">
        <v>0</v>
      </c>
      <c r="D295" s="57">
        <v>0</v>
      </c>
      <c r="E295" s="57">
        <v>0</v>
      </c>
      <c r="F295" s="57">
        <v>0</v>
      </c>
      <c r="G295" s="57">
        <v>0</v>
      </c>
    </row>
    <row r="296" spans="1:7" ht="11.25" customHeight="1" x14ac:dyDescent="0.2">
      <c r="A296" s="67">
        <v>43770</v>
      </c>
      <c r="B296" s="57">
        <v>0</v>
      </c>
      <c r="C296" s="57">
        <v>0</v>
      </c>
      <c r="D296" s="57">
        <v>0</v>
      </c>
      <c r="E296" s="57">
        <v>0</v>
      </c>
      <c r="F296" s="57">
        <v>0</v>
      </c>
      <c r="G296" s="57">
        <v>0</v>
      </c>
    </row>
    <row r="297" spans="1:7" ht="11.25" customHeight="1" x14ac:dyDescent="0.2">
      <c r="A297" s="67">
        <v>43800</v>
      </c>
      <c r="B297" s="57">
        <v>0</v>
      </c>
      <c r="C297" s="57">
        <v>0</v>
      </c>
      <c r="D297" s="57">
        <v>0</v>
      </c>
      <c r="E297" s="57">
        <v>0</v>
      </c>
      <c r="F297" s="57">
        <v>0</v>
      </c>
      <c r="G297" s="57">
        <v>0</v>
      </c>
    </row>
    <row r="298" spans="1:7" ht="11.25" customHeight="1" x14ac:dyDescent="0.2">
      <c r="A298" s="67">
        <v>43831</v>
      </c>
      <c r="B298" s="57">
        <v>0</v>
      </c>
      <c r="C298" s="57">
        <v>0</v>
      </c>
      <c r="D298" s="57">
        <v>0</v>
      </c>
      <c r="E298" s="57">
        <v>0</v>
      </c>
      <c r="F298" s="57">
        <v>0</v>
      </c>
      <c r="G298" s="57">
        <v>0</v>
      </c>
    </row>
    <row r="299" spans="1:7" ht="11.25" customHeight="1" x14ac:dyDescent="0.2">
      <c r="A299" s="67">
        <v>43862</v>
      </c>
      <c r="B299" s="57">
        <v>0</v>
      </c>
      <c r="C299" s="57">
        <v>0</v>
      </c>
      <c r="D299" s="57">
        <v>0</v>
      </c>
      <c r="E299" s="57">
        <v>0</v>
      </c>
      <c r="F299" s="57">
        <v>0</v>
      </c>
      <c r="G299" s="57">
        <v>0</v>
      </c>
    </row>
    <row r="300" spans="1:7" ht="11.25" customHeight="1" x14ac:dyDescent="0.2">
      <c r="A300" s="67">
        <v>43891</v>
      </c>
      <c r="B300" s="57">
        <v>0</v>
      </c>
      <c r="C300" s="57">
        <v>0</v>
      </c>
      <c r="D300" s="57">
        <v>0</v>
      </c>
      <c r="E300" s="57">
        <v>0</v>
      </c>
      <c r="F300" s="57">
        <v>0</v>
      </c>
      <c r="G300" s="57">
        <v>0</v>
      </c>
    </row>
    <row r="301" spans="1:7" ht="11.25" customHeight="1" x14ac:dyDescent="0.2">
      <c r="A301" s="67">
        <v>43922</v>
      </c>
      <c r="B301" s="57">
        <v>0</v>
      </c>
      <c r="C301" s="57">
        <v>0</v>
      </c>
      <c r="D301" s="57">
        <v>0</v>
      </c>
      <c r="E301" s="57">
        <v>0</v>
      </c>
      <c r="F301" s="57">
        <v>0</v>
      </c>
      <c r="G301" s="57">
        <v>0</v>
      </c>
    </row>
    <row r="302" spans="1:7" ht="11.25" customHeight="1" x14ac:dyDescent="0.2">
      <c r="A302" s="67">
        <v>43952</v>
      </c>
      <c r="B302" s="57">
        <v>0</v>
      </c>
      <c r="C302" s="57">
        <v>0</v>
      </c>
      <c r="D302" s="57">
        <v>0</v>
      </c>
      <c r="E302" s="57">
        <v>0</v>
      </c>
      <c r="F302" s="57">
        <v>0</v>
      </c>
      <c r="G302" s="57">
        <v>0</v>
      </c>
    </row>
    <row r="303" spans="1:7" ht="11.25" customHeight="1" x14ac:dyDescent="0.2">
      <c r="A303" s="67">
        <v>43983</v>
      </c>
      <c r="B303" s="57">
        <v>0</v>
      </c>
      <c r="C303" s="57">
        <v>0</v>
      </c>
      <c r="D303" s="57">
        <v>0</v>
      </c>
      <c r="E303" s="57">
        <v>0</v>
      </c>
      <c r="F303" s="57">
        <v>0</v>
      </c>
      <c r="G303" s="57">
        <v>0</v>
      </c>
    </row>
    <row r="304" spans="1:7" ht="11.25" customHeight="1" x14ac:dyDescent="0.2">
      <c r="A304" s="67">
        <v>44013</v>
      </c>
      <c r="B304" s="57">
        <v>0</v>
      </c>
      <c r="C304" s="57">
        <v>0</v>
      </c>
      <c r="D304" s="57">
        <v>0</v>
      </c>
      <c r="E304" s="57">
        <v>0</v>
      </c>
      <c r="F304" s="57">
        <v>0</v>
      </c>
      <c r="G304" s="57">
        <v>0</v>
      </c>
    </row>
    <row r="305" spans="1:7" ht="11.25" customHeight="1" x14ac:dyDescent="0.2">
      <c r="A305" s="67">
        <v>44044</v>
      </c>
      <c r="B305" s="57">
        <v>0</v>
      </c>
      <c r="C305" s="57">
        <v>0</v>
      </c>
      <c r="D305" s="57">
        <v>0</v>
      </c>
      <c r="E305" s="57">
        <v>0</v>
      </c>
      <c r="F305" s="57">
        <v>0</v>
      </c>
      <c r="G305" s="57">
        <v>0</v>
      </c>
    </row>
    <row r="306" spans="1:7" ht="11.25" customHeight="1" x14ac:dyDescent="0.2">
      <c r="A306" s="67">
        <v>44075</v>
      </c>
      <c r="B306" s="57">
        <v>0</v>
      </c>
      <c r="C306" s="57">
        <v>0</v>
      </c>
      <c r="D306" s="57">
        <v>0</v>
      </c>
      <c r="E306" s="57">
        <v>0</v>
      </c>
      <c r="F306" s="57">
        <v>0</v>
      </c>
      <c r="G306" s="57">
        <v>0</v>
      </c>
    </row>
    <row r="307" spans="1:7" ht="11.25" customHeight="1" x14ac:dyDescent="0.2">
      <c r="A307" s="66" t="s">
        <v>35</v>
      </c>
      <c r="B307" s="57">
        <v>155249.99468880001</v>
      </c>
      <c r="C307" s="57">
        <v>0</v>
      </c>
      <c r="D307" s="57">
        <v>184190.40199358514</v>
      </c>
      <c r="E307" s="57">
        <v>0</v>
      </c>
      <c r="F307" s="57">
        <v>155249.99468880001</v>
      </c>
      <c r="G307" s="57">
        <v>184190.40199358514</v>
      </c>
    </row>
    <row r="308" spans="1:7" ht="11.25" customHeight="1" x14ac:dyDescent="0.2">
      <c r="A308" s="67">
        <v>43739</v>
      </c>
      <c r="B308" s="57">
        <v>28273.700761679997</v>
      </c>
      <c r="C308" s="57">
        <v>0</v>
      </c>
      <c r="D308" s="57">
        <v>33544.247905316472</v>
      </c>
      <c r="E308" s="57">
        <v>0</v>
      </c>
      <c r="F308" s="57">
        <v>28273.700761679997</v>
      </c>
      <c r="G308" s="57">
        <v>33544.247905316472</v>
      </c>
    </row>
    <row r="309" spans="1:7" ht="11.25" customHeight="1" x14ac:dyDescent="0.2">
      <c r="A309" s="67">
        <v>43770</v>
      </c>
      <c r="B309" s="57">
        <v>28188.448954380005</v>
      </c>
      <c r="C309" s="57">
        <v>0</v>
      </c>
      <c r="D309" s="57">
        <v>33443.104168154088</v>
      </c>
      <c r="E309" s="57">
        <v>0</v>
      </c>
      <c r="F309" s="57">
        <v>28188.448954380005</v>
      </c>
      <c r="G309" s="57">
        <v>33443.104168154088</v>
      </c>
    </row>
    <row r="310" spans="1:7" ht="11.25" customHeight="1" x14ac:dyDescent="0.2">
      <c r="A310" s="67">
        <v>43800</v>
      </c>
      <c r="B310" s="57">
        <v>28036.633892519996</v>
      </c>
      <c r="C310" s="57">
        <v>0</v>
      </c>
      <c r="D310" s="57">
        <v>33262.989010477417</v>
      </c>
      <c r="E310" s="57">
        <v>0</v>
      </c>
      <c r="F310" s="57">
        <v>28036.633892519996</v>
      </c>
      <c r="G310" s="57">
        <v>33262.989010477417</v>
      </c>
    </row>
    <row r="311" spans="1:7" ht="11.25" customHeight="1" x14ac:dyDescent="0.2">
      <c r="A311" s="67">
        <v>43831</v>
      </c>
      <c r="B311" s="57">
        <v>28518.734509320006</v>
      </c>
      <c r="C311" s="57">
        <v>0</v>
      </c>
      <c r="D311" s="57">
        <v>33834.958797579478</v>
      </c>
      <c r="E311" s="57">
        <v>0</v>
      </c>
      <c r="F311" s="57">
        <v>28518.734509320006</v>
      </c>
      <c r="G311" s="57">
        <v>33834.958797579478</v>
      </c>
    </row>
    <row r="312" spans="1:7" ht="11.25" customHeight="1" x14ac:dyDescent="0.2">
      <c r="A312" s="67">
        <v>43862</v>
      </c>
      <c r="B312" s="57">
        <v>28532.958158099998</v>
      </c>
      <c r="C312" s="57">
        <v>0</v>
      </c>
      <c r="D312" s="57">
        <v>33851.833900163881</v>
      </c>
      <c r="E312" s="57">
        <v>0</v>
      </c>
      <c r="F312" s="57">
        <v>28532.958158099998</v>
      </c>
      <c r="G312" s="57">
        <v>33851.833900163881</v>
      </c>
    </row>
    <row r="313" spans="1:7" ht="11.25" customHeight="1" x14ac:dyDescent="0.2">
      <c r="A313" s="67">
        <v>43891</v>
      </c>
      <c r="B313" s="57">
        <v>13699.5184128</v>
      </c>
      <c r="C313" s="57">
        <v>0</v>
      </c>
      <c r="D313" s="57">
        <v>16253.268211893796</v>
      </c>
      <c r="E313" s="57">
        <v>0</v>
      </c>
      <c r="F313" s="57">
        <v>13699.5184128</v>
      </c>
      <c r="G313" s="57">
        <v>16253.268211893796</v>
      </c>
    </row>
    <row r="314" spans="1:7" ht="11.25" customHeight="1" x14ac:dyDescent="0.2">
      <c r="A314" s="67">
        <v>43922</v>
      </c>
      <c r="B314" s="57">
        <v>0</v>
      </c>
      <c r="C314" s="57">
        <v>0</v>
      </c>
      <c r="D314" s="57">
        <v>0</v>
      </c>
      <c r="E314" s="57">
        <v>0</v>
      </c>
      <c r="F314" s="57">
        <v>0</v>
      </c>
      <c r="G314" s="57">
        <v>0</v>
      </c>
    </row>
    <row r="315" spans="1:7" ht="11.25" customHeight="1" x14ac:dyDescent="0.2">
      <c r="A315" s="67">
        <v>43952</v>
      </c>
      <c r="B315" s="57">
        <v>0</v>
      </c>
      <c r="C315" s="57">
        <v>0</v>
      </c>
      <c r="D315" s="57">
        <v>0</v>
      </c>
      <c r="E315" s="57">
        <v>0</v>
      </c>
      <c r="F315" s="57">
        <v>0</v>
      </c>
      <c r="G315" s="57">
        <v>0</v>
      </c>
    </row>
    <row r="316" spans="1:7" ht="11.25" customHeight="1" x14ac:dyDescent="0.2">
      <c r="A316" s="67">
        <v>43983</v>
      </c>
      <c r="B316" s="57">
        <v>0</v>
      </c>
      <c r="C316" s="57">
        <v>0</v>
      </c>
      <c r="D316" s="57">
        <v>0</v>
      </c>
      <c r="E316" s="57">
        <v>0</v>
      </c>
      <c r="F316" s="57">
        <v>0</v>
      </c>
      <c r="G316" s="57">
        <v>0</v>
      </c>
    </row>
    <row r="317" spans="1:7" ht="11.25" customHeight="1" x14ac:dyDescent="0.2">
      <c r="A317" s="67">
        <v>44013</v>
      </c>
      <c r="B317" s="57">
        <v>0</v>
      </c>
      <c r="C317" s="57">
        <v>0</v>
      </c>
      <c r="D317" s="57">
        <v>0</v>
      </c>
      <c r="E317" s="57">
        <v>0</v>
      </c>
      <c r="F317" s="57">
        <v>0</v>
      </c>
      <c r="G317" s="57">
        <v>0</v>
      </c>
    </row>
    <row r="318" spans="1:7" ht="11.25" customHeight="1" x14ac:dyDescent="0.2">
      <c r="A318" s="67">
        <v>44044</v>
      </c>
      <c r="B318" s="57">
        <v>0</v>
      </c>
      <c r="C318" s="57">
        <v>0</v>
      </c>
      <c r="D318" s="57">
        <v>0</v>
      </c>
      <c r="E318" s="57">
        <v>0</v>
      </c>
      <c r="F318" s="57">
        <v>0</v>
      </c>
      <c r="G318" s="57">
        <v>0</v>
      </c>
    </row>
    <row r="319" spans="1:7" ht="11.25" customHeight="1" x14ac:dyDescent="0.2">
      <c r="A319" s="67">
        <v>44075</v>
      </c>
      <c r="B319" s="57">
        <v>0</v>
      </c>
      <c r="C319" s="57">
        <v>0</v>
      </c>
      <c r="D319" s="57">
        <v>0</v>
      </c>
      <c r="E319" s="57">
        <v>0</v>
      </c>
      <c r="F319" s="57">
        <v>0</v>
      </c>
      <c r="G319" s="57">
        <v>0</v>
      </c>
    </row>
    <row r="320" spans="1:7" ht="11.25" customHeight="1" x14ac:dyDescent="0.2">
      <c r="A320" s="61" t="s">
        <v>34</v>
      </c>
      <c r="B320" s="57">
        <v>25532.183925715006</v>
      </c>
      <c r="C320" s="57">
        <v>29250.70264092521</v>
      </c>
      <c r="D320" s="57">
        <v>33189.974612519683</v>
      </c>
      <c r="E320" s="57">
        <v>34068.696392014899</v>
      </c>
      <c r="F320" s="57">
        <v>54782.886566640213</v>
      </c>
      <c r="G320" s="57">
        <v>67258.671004534583</v>
      </c>
    </row>
    <row r="321" spans="1:7" ht="11.25" customHeight="1" x14ac:dyDescent="0.2">
      <c r="A321" s="62" t="s">
        <v>40</v>
      </c>
      <c r="B321" s="57">
        <v>25532.183925715006</v>
      </c>
      <c r="C321" s="57">
        <v>29250.70264092521</v>
      </c>
      <c r="D321" s="57">
        <v>33189.974612519683</v>
      </c>
      <c r="E321" s="57">
        <v>34068.696392014899</v>
      </c>
      <c r="F321" s="57">
        <v>54782.886566640213</v>
      </c>
      <c r="G321" s="57">
        <v>67258.671004534583</v>
      </c>
    </row>
    <row r="322" spans="1:7" ht="11.25" customHeight="1" x14ac:dyDescent="0.2">
      <c r="A322" s="63" t="s">
        <v>25</v>
      </c>
      <c r="B322" s="57">
        <v>25532.183925715006</v>
      </c>
      <c r="C322" s="57">
        <v>29250.70264092521</v>
      </c>
      <c r="D322" s="57">
        <v>33189.974612519683</v>
      </c>
      <c r="E322" s="57">
        <v>34068.696392014899</v>
      </c>
      <c r="F322" s="57">
        <v>54782.886566640213</v>
      </c>
      <c r="G322" s="57">
        <v>67258.671004534583</v>
      </c>
    </row>
    <row r="323" spans="1:7" ht="11.25" customHeight="1" x14ac:dyDescent="0.2">
      <c r="A323" s="64" t="s">
        <v>63</v>
      </c>
      <c r="B323" s="57">
        <v>25532.183925715006</v>
      </c>
      <c r="C323" s="57">
        <v>29250.70264092521</v>
      </c>
      <c r="D323" s="57">
        <v>33189.974612519683</v>
      </c>
      <c r="E323" s="57">
        <v>34068.696392014899</v>
      </c>
      <c r="F323" s="57">
        <v>54782.886566640213</v>
      </c>
      <c r="G323" s="57">
        <v>67258.671004534583</v>
      </c>
    </row>
    <row r="324" spans="1:7" ht="11.25" customHeight="1" x14ac:dyDescent="0.2">
      <c r="A324" s="65" t="s">
        <v>25</v>
      </c>
      <c r="B324" s="57">
        <v>25532.183925715006</v>
      </c>
      <c r="C324" s="57">
        <v>29250.70264092521</v>
      </c>
      <c r="D324" s="57">
        <v>33189.974612519683</v>
      </c>
      <c r="E324" s="57">
        <v>34068.696392014899</v>
      </c>
      <c r="F324" s="57">
        <v>54782.886566640213</v>
      </c>
      <c r="G324" s="57">
        <v>67258.671004534583</v>
      </c>
    </row>
    <row r="325" spans="1:7" ht="11.25" customHeight="1" x14ac:dyDescent="0.2">
      <c r="A325" s="66" t="s">
        <v>36</v>
      </c>
      <c r="B325" s="57">
        <v>0</v>
      </c>
      <c r="C325" s="57">
        <v>0</v>
      </c>
      <c r="D325" s="57">
        <v>0</v>
      </c>
      <c r="E325" s="57">
        <v>0</v>
      </c>
      <c r="F325" s="57">
        <v>0</v>
      </c>
      <c r="G325" s="57">
        <v>0</v>
      </c>
    </row>
    <row r="326" spans="1:7" ht="11.25" customHeight="1" x14ac:dyDescent="0.2">
      <c r="A326" s="67">
        <v>43739</v>
      </c>
      <c r="B326" s="57">
        <v>0</v>
      </c>
      <c r="C326" s="57">
        <v>0</v>
      </c>
      <c r="D326" s="57">
        <v>0</v>
      </c>
      <c r="E326" s="57">
        <v>0</v>
      </c>
      <c r="F326" s="57">
        <v>0</v>
      </c>
      <c r="G326" s="57">
        <v>0</v>
      </c>
    </row>
    <row r="327" spans="1:7" ht="11.25" customHeight="1" x14ac:dyDescent="0.2">
      <c r="A327" s="67">
        <v>43770</v>
      </c>
      <c r="B327" s="57">
        <v>0</v>
      </c>
      <c r="C327" s="57">
        <v>0</v>
      </c>
      <c r="D327" s="57">
        <v>0</v>
      </c>
      <c r="E327" s="57">
        <v>0</v>
      </c>
      <c r="F327" s="57">
        <v>0</v>
      </c>
      <c r="G327" s="57">
        <v>0</v>
      </c>
    </row>
    <row r="328" spans="1:7" ht="11.25" customHeight="1" x14ac:dyDescent="0.2">
      <c r="A328" s="67">
        <v>43800</v>
      </c>
      <c r="B328" s="57">
        <v>0</v>
      </c>
      <c r="C328" s="57">
        <v>0</v>
      </c>
      <c r="D328" s="57">
        <v>0</v>
      </c>
      <c r="E328" s="57">
        <v>0</v>
      </c>
      <c r="F328" s="57">
        <v>0</v>
      </c>
      <c r="G328" s="57">
        <v>0</v>
      </c>
    </row>
    <row r="329" spans="1:7" ht="11.25" customHeight="1" x14ac:dyDescent="0.2">
      <c r="A329" s="67">
        <v>43831</v>
      </c>
      <c r="B329" s="57">
        <v>0</v>
      </c>
      <c r="C329" s="57">
        <v>0</v>
      </c>
      <c r="D329" s="57">
        <v>0</v>
      </c>
      <c r="E329" s="57">
        <v>0</v>
      </c>
      <c r="F329" s="57">
        <v>0</v>
      </c>
      <c r="G329" s="57">
        <v>0</v>
      </c>
    </row>
    <row r="330" spans="1:7" ht="11.25" customHeight="1" x14ac:dyDescent="0.2">
      <c r="A330" s="67">
        <v>43862</v>
      </c>
      <c r="B330" s="57">
        <v>0</v>
      </c>
      <c r="C330" s="57">
        <v>0</v>
      </c>
      <c r="D330" s="57">
        <v>0</v>
      </c>
      <c r="E330" s="57">
        <v>0</v>
      </c>
      <c r="F330" s="57">
        <v>0</v>
      </c>
      <c r="G330" s="57">
        <v>0</v>
      </c>
    </row>
    <row r="331" spans="1:7" ht="11.25" customHeight="1" x14ac:dyDescent="0.2">
      <c r="A331" s="67">
        <v>43891</v>
      </c>
      <c r="B331" s="57">
        <v>0</v>
      </c>
      <c r="C331" s="57">
        <v>0</v>
      </c>
      <c r="D331" s="57">
        <v>0</v>
      </c>
      <c r="E331" s="57">
        <v>0</v>
      </c>
      <c r="F331" s="57">
        <v>0</v>
      </c>
      <c r="G331" s="57">
        <v>0</v>
      </c>
    </row>
    <row r="332" spans="1:7" ht="11.25" customHeight="1" x14ac:dyDescent="0.2">
      <c r="A332" s="67">
        <v>43922</v>
      </c>
      <c r="B332" s="57">
        <v>0</v>
      </c>
      <c r="C332" s="57">
        <v>0</v>
      </c>
      <c r="D332" s="57">
        <v>0</v>
      </c>
      <c r="E332" s="57">
        <v>0</v>
      </c>
      <c r="F332" s="57">
        <v>0</v>
      </c>
      <c r="G332" s="57">
        <v>0</v>
      </c>
    </row>
    <row r="333" spans="1:7" ht="11.25" customHeight="1" x14ac:dyDescent="0.2">
      <c r="A333" s="67">
        <v>43952</v>
      </c>
      <c r="B333" s="57">
        <v>0</v>
      </c>
      <c r="C333" s="57">
        <v>0</v>
      </c>
      <c r="D333" s="57">
        <v>0</v>
      </c>
      <c r="E333" s="57">
        <v>0</v>
      </c>
      <c r="F333" s="57">
        <v>0</v>
      </c>
      <c r="G333" s="57">
        <v>0</v>
      </c>
    </row>
    <row r="334" spans="1:7" ht="11.25" customHeight="1" x14ac:dyDescent="0.2">
      <c r="A334" s="67">
        <v>43983</v>
      </c>
      <c r="B334" s="57">
        <v>0</v>
      </c>
      <c r="C334" s="57">
        <v>0</v>
      </c>
      <c r="D334" s="57">
        <v>0</v>
      </c>
      <c r="E334" s="57">
        <v>0</v>
      </c>
      <c r="F334" s="57">
        <v>0</v>
      </c>
      <c r="G334" s="57">
        <v>0</v>
      </c>
    </row>
    <row r="335" spans="1:7" ht="11.25" customHeight="1" x14ac:dyDescent="0.2">
      <c r="A335" s="67">
        <v>44013</v>
      </c>
      <c r="B335" s="57">
        <v>0</v>
      </c>
      <c r="C335" s="57">
        <v>0</v>
      </c>
      <c r="D335" s="57">
        <v>0</v>
      </c>
      <c r="E335" s="57">
        <v>0</v>
      </c>
      <c r="F335" s="57">
        <v>0</v>
      </c>
      <c r="G335" s="57">
        <v>0</v>
      </c>
    </row>
    <row r="336" spans="1:7" ht="11.25" customHeight="1" x14ac:dyDescent="0.2">
      <c r="A336" s="67">
        <v>44044</v>
      </c>
      <c r="B336" s="57">
        <v>0</v>
      </c>
      <c r="C336" s="57">
        <v>0</v>
      </c>
      <c r="D336" s="57">
        <v>0</v>
      </c>
      <c r="E336" s="57">
        <v>0</v>
      </c>
      <c r="F336" s="57">
        <v>0</v>
      </c>
      <c r="G336" s="57">
        <v>0</v>
      </c>
    </row>
    <row r="337" spans="1:7" ht="11.25" customHeight="1" x14ac:dyDescent="0.2">
      <c r="A337" s="67">
        <v>44075</v>
      </c>
      <c r="B337" s="57">
        <v>0</v>
      </c>
      <c r="C337" s="57">
        <v>0</v>
      </c>
      <c r="D337" s="57">
        <v>0</v>
      </c>
      <c r="E337" s="57">
        <v>0</v>
      </c>
      <c r="F337" s="57">
        <v>0</v>
      </c>
      <c r="G337" s="57">
        <v>0</v>
      </c>
    </row>
    <row r="338" spans="1:7" ht="11.25" customHeight="1" x14ac:dyDescent="0.2">
      <c r="A338" s="66" t="s">
        <v>25</v>
      </c>
      <c r="B338" s="57">
        <v>25532.183925715006</v>
      </c>
      <c r="C338" s="57">
        <v>0</v>
      </c>
      <c r="D338" s="57">
        <v>33189.974612519683</v>
      </c>
      <c r="E338" s="57">
        <v>0</v>
      </c>
      <c r="F338" s="57">
        <v>25532.183925715006</v>
      </c>
      <c r="G338" s="57">
        <v>33189.974612519683</v>
      </c>
    </row>
    <row r="339" spans="1:7" ht="11.25" customHeight="1" x14ac:dyDescent="0.2">
      <c r="A339" s="67">
        <v>43739</v>
      </c>
      <c r="B339" s="57">
        <v>2203.7948849899999</v>
      </c>
      <c r="C339" s="57">
        <v>0</v>
      </c>
      <c r="D339" s="57">
        <v>2864.7724180911609</v>
      </c>
      <c r="E339" s="57">
        <v>0</v>
      </c>
      <c r="F339" s="57">
        <v>2203.7948849899999</v>
      </c>
      <c r="G339" s="57">
        <v>2864.7724180911609</v>
      </c>
    </row>
    <row r="340" spans="1:7" ht="11.25" customHeight="1" x14ac:dyDescent="0.2">
      <c r="A340" s="67">
        <v>43770</v>
      </c>
      <c r="B340" s="57">
        <v>2185.7283730460003</v>
      </c>
      <c r="C340" s="57">
        <v>0</v>
      </c>
      <c r="D340" s="57">
        <v>2841.2872718732451</v>
      </c>
      <c r="E340" s="57">
        <v>0</v>
      </c>
      <c r="F340" s="57">
        <v>2185.7283730460003</v>
      </c>
      <c r="G340" s="57">
        <v>2841.2872718732451</v>
      </c>
    </row>
    <row r="341" spans="1:7" ht="11.25" customHeight="1" x14ac:dyDescent="0.2">
      <c r="A341" s="67">
        <v>43800</v>
      </c>
      <c r="B341" s="57">
        <v>2157.359052414</v>
      </c>
      <c r="C341" s="57">
        <v>0</v>
      </c>
      <c r="D341" s="57">
        <v>2804.4092267248157</v>
      </c>
      <c r="E341" s="57">
        <v>0</v>
      </c>
      <c r="F341" s="57">
        <v>2157.359052414</v>
      </c>
      <c r="G341" s="57">
        <v>2804.4092267248157</v>
      </c>
    </row>
    <row r="342" spans="1:7" ht="11.25" customHeight="1" x14ac:dyDescent="0.2">
      <c r="A342" s="67">
        <v>43831</v>
      </c>
      <c r="B342" s="57">
        <v>2161.9324643740001</v>
      </c>
      <c r="C342" s="57">
        <v>0</v>
      </c>
      <c r="D342" s="57">
        <v>2810.354328298838</v>
      </c>
      <c r="E342" s="57">
        <v>0</v>
      </c>
      <c r="F342" s="57">
        <v>2161.9324643740001</v>
      </c>
      <c r="G342" s="57">
        <v>2810.354328298838</v>
      </c>
    </row>
    <row r="343" spans="1:7" ht="11.25" customHeight="1" x14ac:dyDescent="0.2">
      <c r="A343" s="67">
        <v>43862</v>
      </c>
      <c r="B343" s="57">
        <v>2201.4628462740002</v>
      </c>
      <c r="C343" s="57">
        <v>0</v>
      </c>
      <c r="D343" s="57">
        <v>2861.7409380577792</v>
      </c>
      <c r="E343" s="57">
        <v>0</v>
      </c>
      <c r="F343" s="57">
        <v>2201.4628462740002</v>
      </c>
      <c r="G343" s="57">
        <v>2861.7409380577792</v>
      </c>
    </row>
    <row r="344" spans="1:7" ht="11.25" customHeight="1" x14ac:dyDescent="0.2">
      <c r="A344" s="67">
        <v>43891</v>
      </c>
      <c r="B344" s="57">
        <v>2211.6458301520001</v>
      </c>
      <c r="C344" s="57">
        <v>0</v>
      </c>
      <c r="D344" s="57">
        <v>2874.9780734855131</v>
      </c>
      <c r="E344" s="57">
        <v>0</v>
      </c>
      <c r="F344" s="57">
        <v>2211.6458301520001</v>
      </c>
      <c r="G344" s="57">
        <v>2874.9780734855131</v>
      </c>
    </row>
    <row r="345" spans="1:7" ht="11.25" customHeight="1" x14ac:dyDescent="0.2">
      <c r="A345" s="67">
        <v>43922</v>
      </c>
      <c r="B345" s="57">
        <v>2207.686062884</v>
      </c>
      <c r="C345" s="57">
        <v>0</v>
      </c>
      <c r="D345" s="57">
        <v>2869.8306651996108</v>
      </c>
      <c r="E345" s="57">
        <v>0</v>
      </c>
      <c r="F345" s="57">
        <v>2207.686062884</v>
      </c>
      <c r="G345" s="57">
        <v>2869.8306651996108</v>
      </c>
    </row>
    <row r="346" spans="1:7" ht="11.25" customHeight="1" x14ac:dyDescent="0.2">
      <c r="A346" s="67">
        <v>43952</v>
      </c>
      <c r="B346" s="57">
        <v>2216.190259855</v>
      </c>
      <c r="C346" s="57">
        <v>0</v>
      </c>
      <c r="D346" s="57">
        <v>2880.8855002418686</v>
      </c>
      <c r="E346" s="57">
        <v>0</v>
      </c>
      <c r="F346" s="57">
        <v>2216.190259855</v>
      </c>
      <c r="G346" s="57">
        <v>2880.8855002418686</v>
      </c>
    </row>
    <row r="347" spans="1:7" ht="11.25" customHeight="1" x14ac:dyDescent="0.2">
      <c r="A347" s="67">
        <v>43983</v>
      </c>
      <c r="B347" s="57">
        <v>2209.3343328320002</v>
      </c>
      <c r="C347" s="57">
        <v>0</v>
      </c>
      <c r="D347" s="57">
        <v>2871.973295766893</v>
      </c>
      <c r="E347" s="57">
        <v>0</v>
      </c>
      <c r="F347" s="57">
        <v>2209.3343328320002</v>
      </c>
      <c r="G347" s="57">
        <v>2871.973295766893</v>
      </c>
    </row>
    <row r="348" spans="1:7" ht="11.25" customHeight="1" x14ac:dyDescent="0.2">
      <c r="A348" s="67">
        <v>44013</v>
      </c>
      <c r="B348" s="57">
        <v>1290.9978188939999</v>
      </c>
      <c r="C348" s="57">
        <v>0</v>
      </c>
      <c r="D348" s="57">
        <v>1678.2028892857518</v>
      </c>
      <c r="E348" s="57">
        <v>0</v>
      </c>
      <c r="F348" s="57">
        <v>1290.9978188939999</v>
      </c>
      <c r="G348" s="57">
        <v>1678.2028892857518</v>
      </c>
    </row>
    <row r="349" spans="1:7" ht="11.25" customHeight="1" x14ac:dyDescent="0.2">
      <c r="A349" s="67">
        <v>44044</v>
      </c>
      <c r="B349" s="57">
        <v>2243.0260000000003</v>
      </c>
      <c r="C349" s="57">
        <v>0</v>
      </c>
      <c r="D349" s="57">
        <v>2915.7700027471037</v>
      </c>
      <c r="E349" s="57">
        <v>0</v>
      </c>
      <c r="F349" s="57">
        <v>2243.0260000000003</v>
      </c>
      <c r="G349" s="57">
        <v>2915.7700027471037</v>
      </c>
    </row>
    <row r="350" spans="1:7" ht="11.25" customHeight="1" x14ac:dyDescent="0.2">
      <c r="A350" s="67">
        <v>44075</v>
      </c>
      <c r="B350" s="57">
        <v>2243.0260000000003</v>
      </c>
      <c r="C350" s="57">
        <v>0</v>
      </c>
      <c r="D350" s="57">
        <v>2915.7700027471037</v>
      </c>
      <c r="E350" s="57">
        <v>0</v>
      </c>
      <c r="F350" s="57">
        <v>2243.0260000000003</v>
      </c>
      <c r="G350" s="57">
        <v>2915.7700027471037</v>
      </c>
    </row>
    <row r="351" spans="1:7" ht="11.25" customHeight="1" x14ac:dyDescent="0.2">
      <c r="A351" s="66" t="s">
        <v>35</v>
      </c>
      <c r="B351" s="57">
        <v>0</v>
      </c>
      <c r="C351" s="57">
        <v>29250.70264092521</v>
      </c>
      <c r="D351" s="57">
        <v>0</v>
      </c>
      <c r="E351" s="57">
        <v>34068.696392014899</v>
      </c>
      <c r="F351" s="57">
        <v>29250.70264092521</v>
      </c>
      <c r="G351" s="57">
        <v>34068.696392014899</v>
      </c>
    </row>
    <row r="352" spans="1:7" ht="11.25" customHeight="1" x14ac:dyDescent="0.2">
      <c r="A352" s="67">
        <v>43739</v>
      </c>
      <c r="B352" s="57">
        <v>0</v>
      </c>
      <c r="C352" s="57">
        <v>4538.0346578402196</v>
      </c>
      <c r="D352" s="57">
        <v>0</v>
      </c>
      <c r="E352" s="57">
        <v>5285.5114925714288</v>
      </c>
      <c r="F352" s="57">
        <v>4538.0346578402196</v>
      </c>
      <c r="G352" s="57">
        <v>5285.5114925714288</v>
      </c>
    </row>
    <row r="353" spans="1:7" ht="11.25" customHeight="1" x14ac:dyDescent="0.2">
      <c r="A353" s="67">
        <v>43770</v>
      </c>
      <c r="B353" s="57">
        <v>0</v>
      </c>
      <c r="C353" s="57">
        <v>3747.882290406425</v>
      </c>
      <c r="D353" s="57">
        <v>0</v>
      </c>
      <c r="E353" s="57">
        <v>4365.2101432332347</v>
      </c>
      <c r="F353" s="57">
        <v>3747.882290406425</v>
      </c>
      <c r="G353" s="57">
        <v>4365.2101432332347</v>
      </c>
    </row>
    <row r="354" spans="1:7" ht="11.25" customHeight="1" x14ac:dyDescent="0.2">
      <c r="A354" s="67">
        <v>43800</v>
      </c>
      <c r="B354" s="57">
        <v>0</v>
      </c>
      <c r="C354" s="57">
        <v>3649.1874543763538</v>
      </c>
      <c r="D354" s="57">
        <v>0</v>
      </c>
      <c r="E354" s="57">
        <v>4250.258907857994</v>
      </c>
      <c r="F354" s="57">
        <v>3649.1874543763538</v>
      </c>
      <c r="G354" s="57">
        <v>4250.258907857994</v>
      </c>
    </row>
    <row r="355" spans="1:7" ht="11.25" customHeight="1" x14ac:dyDescent="0.2">
      <c r="A355" s="67">
        <v>43831</v>
      </c>
      <c r="B355" s="57">
        <v>0</v>
      </c>
      <c r="C355" s="57">
        <v>4117.8977820630107</v>
      </c>
      <c r="D355" s="57">
        <v>0</v>
      </c>
      <c r="E355" s="57">
        <v>4796.1722845649492</v>
      </c>
      <c r="F355" s="57">
        <v>4117.8977820630107</v>
      </c>
      <c r="G355" s="57">
        <v>4796.1722845649492</v>
      </c>
    </row>
    <row r="356" spans="1:7" ht="11.25" customHeight="1" x14ac:dyDescent="0.2">
      <c r="A356" s="67">
        <v>43862</v>
      </c>
      <c r="B356" s="57">
        <v>0</v>
      </c>
      <c r="C356" s="57">
        <v>3453.018116056759</v>
      </c>
      <c r="D356" s="57">
        <v>0</v>
      </c>
      <c r="E356" s="57">
        <v>4021.7777766293002</v>
      </c>
      <c r="F356" s="57">
        <v>3453.018116056759</v>
      </c>
      <c r="G356" s="57">
        <v>4021.7777766293002</v>
      </c>
    </row>
    <row r="357" spans="1:7" ht="11.25" customHeight="1" x14ac:dyDescent="0.2">
      <c r="A357" s="67">
        <v>43891</v>
      </c>
      <c r="B357" s="57">
        <v>0</v>
      </c>
      <c r="C357" s="57">
        <v>2159.0142341848818</v>
      </c>
      <c r="D357" s="57">
        <v>0</v>
      </c>
      <c r="E357" s="57">
        <v>2514.6336261875431</v>
      </c>
      <c r="F357" s="57">
        <v>2159.0142341848818</v>
      </c>
      <c r="G357" s="57">
        <v>2514.6336261875431</v>
      </c>
    </row>
    <row r="358" spans="1:7" ht="11.25" customHeight="1" x14ac:dyDescent="0.2">
      <c r="A358" s="67">
        <v>43922</v>
      </c>
      <c r="B358" s="57">
        <v>0</v>
      </c>
      <c r="C358" s="57">
        <v>205.02429307472158</v>
      </c>
      <c r="D358" s="57">
        <v>0</v>
      </c>
      <c r="E358" s="57">
        <v>238.79461903856807</v>
      </c>
      <c r="F358" s="57">
        <v>205.02429307472158</v>
      </c>
      <c r="G358" s="57">
        <v>238.79461903856807</v>
      </c>
    </row>
    <row r="359" spans="1:7" ht="11.25" customHeight="1" x14ac:dyDescent="0.2">
      <c r="A359" s="67">
        <v>43952</v>
      </c>
      <c r="B359" s="57">
        <v>0</v>
      </c>
      <c r="C359" s="57">
        <v>400.90079701603003</v>
      </c>
      <c r="D359" s="57">
        <v>0</v>
      </c>
      <c r="E359" s="57">
        <v>466.9346820321</v>
      </c>
      <c r="F359" s="57">
        <v>400.90079701603003</v>
      </c>
      <c r="G359" s="57">
        <v>466.9346820321</v>
      </c>
    </row>
    <row r="360" spans="1:7" ht="11.25" customHeight="1" x14ac:dyDescent="0.2">
      <c r="A360" s="67">
        <v>43983</v>
      </c>
      <c r="B360" s="57">
        <v>0</v>
      </c>
      <c r="C360" s="57">
        <v>400.39056692506301</v>
      </c>
      <c r="D360" s="57">
        <v>0</v>
      </c>
      <c r="E360" s="57">
        <v>466.34041001502698</v>
      </c>
      <c r="F360" s="57">
        <v>400.39056692506301</v>
      </c>
      <c r="G360" s="57">
        <v>466.34041001502698</v>
      </c>
    </row>
    <row r="361" spans="1:7" ht="11.25" customHeight="1" x14ac:dyDescent="0.2">
      <c r="A361" s="67">
        <v>44013</v>
      </c>
      <c r="B361" s="57">
        <v>0</v>
      </c>
      <c r="C361" s="57">
        <v>2149.0051385817469</v>
      </c>
      <c r="D361" s="57">
        <v>0</v>
      </c>
      <c r="E361" s="57">
        <v>2502.975894629848</v>
      </c>
      <c r="F361" s="57">
        <v>2149.0051385817469</v>
      </c>
      <c r="G361" s="57">
        <v>2502.975894629848</v>
      </c>
    </row>
    <row r="362" spans="1:7" ht="11.25" customHeight="1" x14ac:dyDescent="0.2">
      <c r="A362" s="67">
        <v>44044</v>
      </c>
      <c r="B362" s="57">
        <v>0</v>
      </c>
      <c r="C362" s="57">
        <v>2215.1736551999998</v>
      </c>
      <c r="D362" s="57">
        <v>0</v>
      </c>
      <c r="E362" s="57">
        <v>2580.0432776274538</v>
      </c>
      <c r="F362" s="57">
        <v>2215.1736551999998</v>
      </c>
      <c r="G362" s="57">
        <v>2580.0432776274538</v>
      </c>
    </row>
    <row r="363" spans="1:7" ht="11.25" customHeight="1" x14ac:dyDescent="0.2">
      <c r="A363" s="67">
        <v>44075</v>
      </c>
      <c r="B363" s="57">
        <v>0</v>
      </c>
      <c r="C363" s="57">
        <v>2215.1736551999998</v>
      </c>
      <c r="D363" s="57">
        <v>0</v>
      </c>
      <c r="E363" s="57">
        <v>2580.0432776274538</v>
      </c>
      <c r="F363" s="57">
        <v>2215.1736551999998</v>
      </c>
      <c r="G363" s="57">
        <v>2580.0432776274538</v>
      </c>
    </row>
    <row r="364" spans="1:7" ht="11.25" customHeight="1" x14ac:dyDescent="0.2">
      <c r="A364" s="60" t="s">
        <v>33</v>
      </c>
      <c r="B364" s="57">
        <v>5290727.1122634504</v>
      </c>
      <c r="C364" s="57">
        <v>1996205.609712258</v>
      </c>
      <c r="D364" s="57">
        <v>6543139.2965718238</v>
      </c>
      <c r="E364" s="57">
        <v>2325008.1780316778</v>
      </c>
      <c r="F364" s="57">
        <v>7286932.7219757084</v>
      </c>
      <c r="G364" s="57">
        <v>8868147.4746035021</v>
      </c>
    </row>
    <row r="365" spans="1:7" ht="11.25" customHeight="1" x14ac:dyDescent="0.2">
      <c r="A365" s="61" t="s">
        <v>41</v>
      </c>
      <c r="B365" s="57">
        <v>4193950.7623473359</v>
      </c>
      <c r="C365" s="57">
        <v>0</v>
      </c>
      <c r="D365" s="57">
        <v>5117410.1339103729</v>
      </c>
      <c r="E365" s="57">
        <v>0</v>
      </c>
      <c r="F365" s="57">
        <v>4193950.7623473359</v>
      </c>
      <c r="G365" s="57">
        <v>5117410.1339103729</v>
      </c>
    </row>
    <row r="366" spans="1:7" ht="11.25" customHeight="1" x14ac:dyDescent="0.2">
      <c r="A366" s="62" t="s">
        <v>40</v>
      </c>
      <c r="B366" s="57">
        <v>4193950.7623473359</v>
      </c>
      <c r="C366" s="57">
        <v>0</v>
      </c>
      <c r="D366" s="57">
        <v>5117410.1339103729</v>
      </c>
      <c r="E366" s="57">
        <v>0</v>
      </c>
      <c r="F366" s="57">
        <v>4193950.7623473359</v>
      </c>
      <c r="G366" s="57">
        <v>5117410.1339103729</v>
      </c>
    </row>
    <row r="367" spans="1:7" ht="11.25" customHeight="1" x14ac:dyDescent="0.2">
      <c r="A367" s="63" t="s">
        <v>25</v>
      </c>
      <c r="B367" s="57">
        <v>4193950.7623473359</v>
      </c>
      <c r="C367" s="57">
        <v>0</v>
      </c>
      <c r="D367" s="57">
        <v>5117410.1339103729</v>
      </c>
      <c r="E367" s="57">
        <v>0</v>
      </c>
      <c r="F367" s="57">
        <v>4193950.7623473359</v>
      </c>
      <c r="G367" s="57">
        <v>5117410.1339103729</v>
      </c>
    </row>
    <row r="368" spans="1:7" ht="11.25" customHeight="1" x14ac:dyDescent="0.2">
      <c r="A368" s="64" t="s">
        <v>63</v>
      </c>
      <c r="B368" s="57">
        <v>4193950.7623473359</v>
      </c>
      <c r="C368" s="57">
        <v>0</v>
      </c>
      <c r="D368" s="57">
        <v>5117410.1339103729</v>
      </c>
      <c r="E368" s="57">
        <v>0</v>
      </c>
      <c r="F368" s="57">
        <v>4193950.7623473359</v>
      </c>
      <c r="G368" s="57">
        <v>5117410.1339103729</v>
      </c>
    </row>
    <row r="369" spans="1:7" ht="11.25" customHeight="1" x14ac:dyDescent="0.2">
      <c r="A369" s="65" t="s">
        <v>25</v>
      </c>
      <c r="B369" s="57">
        <v>4193950.7623473359</v>
      </c>
      <c r="C369" s="57">
        <v>0</v>
      </c>
      <c r="D369" s="57">
        <v>5117410.1339103729</v>
      </c>
      <c r="E369" s="57">
        <v>0</v>
      </c>
      <c r="F369" s="57">
        <v>4193950.7623473359</v>
      </c>
      <c r="G369" s="57">
        <v>5117410.1339103729</v>
      </c>
    </row>
    <row r="370" spans="1:7" ht="11.25" customHeight="1" x14ac:dyDescent="0.2">
      <c r="A370" s="66" t="s">
        <v>36</v>
      </c>
      <c r="B370" s="57">
        <v>1247920.4641921753</v>
      </c>
      <c r="C370" s="57">
        <v>0</v>
      </c>
      <c r="D370" s="57">
        <v>1622205.4739025699</v>
      </c>
      <c r="E370" s="57">
        <v>0</v>
      </c>
      <c r="F370" s="57">
        <v>1247920.4641921753</v>
      </c>
      <c r="G370" s="57">
        <v>1622205.4739025699</v>
      </c>
    </row>
    <row r="371" spans="1:7" ht="11.25" customHeight="1" x14ac:dyDescent="0.2">
      <c r="A371" s="67">
        <v>43739</v>
      </c>
      <c r="B371" s="57">
        <v>108414.43169584141</v>
      </c>
      <c r="C371" s="57">
        <v>0</v>
      </c>
      <c r="D371" s="57">
        <v>140930.84422722214</v>
      </c>
      <c r="E371" s="57">
        <v>0</v>
      </c>
      <c r="F371" s="57">
        <v>108414.43169584141</v>
      </c>
      <c r="G371" s="57">
        <v>140930.84422722214</v>
      </c>
    </row>
    <row r="372" spans="1:7" ht="11.25" customHeight="1" x14ac:dyDescent="0.2">
      <c r="A372" s="67">
        <v>43770</v>
      </c>
      <c r="B372" s="57">
        <v>110796.01627890403</v>
      </c>
      <c r="C372" s="57">
        <v>0</v>
      </c>
      <c r="D372" s="57">
        <v>144026.73026969287</v>
      </c>
      <c r="E372" s="57">
        <v>0</v>
      </c>
      <c r="F372" s="57">
        <v>110796.01627890403</v>
      </c>
      <c r="G372" s="57">
        <v>144026.73026969287</v>
      </c>
    </row>
    <row r="373" spans="1:7" ht="11.25" customHeight="1" x14ac:dyDescent="0.2">
      <c r="A373" s="67">
        <v>43800</v>
      </c>
      <c r="B373" s="57">
        <v>109854.83646785043</v>
      </c>
      <c r="C373" s="57">
        <v>0</v>
      </c>
      <c r="D373" s="57">
        <v>142803.26524509606</v>
      </c>
      <c r="E373" s="57">
        <v>0</v>
      </c>
      <c r="F373" s="57">
        <v>109854.83646785043</v>
      </c>
      <c r="G373" s="57">
        <v>142803.26524509606</v>
      </c>
    </row>
    <row r="374" spans="1:7" ht="11.25" customHeight="1" x14ac:dyDescent="0.2">
      <c r="A374" s="67">
        <v>43831</v>
      </c>
      <c r="B374" s="57">
        <v>112743.81422416003</v>
      </c>
      <c r="C374" s="57">
        <v>0</v>
      </c>
      <c r="D374" s="57">
        <v>146558.72536033823</v>
      </c>
      <c r="E374" s="57">
        <v>0</v>
      </c>
      <c r="F374" s="57">
        <v>112743.81422416003</v>
      </c>
      <c r="G374" s="57">
        <v>146558.72536033823</v>
      </c>
    </row>
    <row r="375" spans="1:7" ht="11.25" customHeight="1" x14ac:dyDescent="0.2">
      <c r="A375" s="67">
        <v>43862</v>
      </c>
      <c r="B375" s="57">
        <v>114939.63964658203</v>
      </c>
      <c r="C375" s="57">
        <v>0</v>
      </c>
      <c r="D375" s="57">
        <v>149413.13805906198</v>
      </c>
      <c r="E375" s="57">
        <v>0</v>
      </c>
      <c r="F375" s="57">
        <v>114939.63964658203</v>
      </c>
      <c r="G375" s="57">
        <v>149413.13805906198</v>
      </c>
    </row>
    <row r="376" spans="1:7" ht="11.25" customHeight="1" x14ac:dyDescent="0.2">
      <c r="A376" s="67">
        <v>43891</v>
      </c>
      <c r="B376" s="57">
        <v>99202.130134103121</v>
      </c>
      <c r="C376" s="57">
        <v>0</v>
      </c>
      <c r="D376" s="57">
        <v>128955.52492643079</v>
      </c>
      <c r="E376" s="57">
        <v>0</v>
      </c>
      <c r="F376" s="57">
        <v>99202.130134103121</v>
      </c>
      <c r="G376" s="57">
        <v>128955.52492643079</v>
      </c>
    </row>
    <row r="377" spans="1:7" ht="11.25" customHeight="1" x14ac:dyDescent="0.2">
      <c r="A377" s="67">
        <v>43922</v>
      </c>
      <c r="B377" s="57">
        <v>101594.72645342683</v>
      </c>
      <c r="C377" s="57">
        <v>0</v>
      </c>
      <c r="D377" s="57">
        <v>132065.72542190753</v>
      </c>
      <c r="E377" s="57">
        <v>0</v>
      </c>
      <c r="F377" s="57">
        <v>101594.72645342683</v>
      </c>
      <c r="G377" s="57">
        <v>132065.72542190753</v>
      </c>
    </row>
    <row r="378" spans="1:7" ht="11.25" customHeight="1" x14ac:dyDescent="0.2">
      <c r="A378" s="67">
        <v>43952</v>
      </c>
      <c r="B378" s="57">
        <v>91761.906568530001</v>
      </c>
      <c r="C378" s="57">
        <v>0</v>
      </c>
      <c r="D378" s="57">
        <v>119283.77761443789</v>
      </c>
      <c r="E378" s="57">
        <v>0</v>
      </c>
      <c r="F378" s="57">
        <v>91761.906568530001</v>
      </c>
      <c r="G378" s="57">
        <v>119283.77761443789</v>
      </c>
    </row>
    <row r="379" spans="1:7" ht="11.25" customHeight="1" x14ac:dyDescent="0.2">
      <c r="A379" s="67">
        <v>43983</v>
      </c>
      <c r="B379" s="57">
        <v>96400.277705028013</v>
      </c>
      <c r="C379" s="57">
        <v>0</v>
      </c>
      <c r="D379" s="57">
        <v>125313.3213742556</v>
      </c>
      <c r="E379" s="57">
        <v>0</v>
      </c>
      <c r="F379" s="57">
        <v>96400.277705028013</v>
      </c>
      <c r="G379" s="57">
        <v>125313.3213742556</v>
      </c>
    </row>
    <row r="380" spans="1:7" ht="11.25" customHeight="1" x14ac:dyDescent="0.2">
      <c r="A380" s="67">
        <v>44013</v>
      </c>
      <c r="B380" s="57">
        <v>104877.4950177493</v>
      </c>
      <c r="C380" s="57">
        <v>0</v>
      </c>
      <c r="D380" s="57">
        <v>136333.08483094364</v>
      </c>
      <c r="E380" s="57">
        <v>0</v>
      </c>
      <c r="F380" s="57">
        <v>104877.4950177493</v>
      </c>
      <c r="G380" s="57">
        <v>136333.08483094364</v>
      </c>
    </row>
    <row r="381" spans="1:7" ht="11.25" customHeight="1" x14ac:dyDescent="0.2">
      <c r="A381" s="67">
        <v>44044</v>
      </c>
      <c r="B381" s="57">
        <v>98667.595000000001</v>
      </c>
      <c r="C381" s="57">
        <v>0</v>
      </c>
      <c r="D381" s="57">
        <v>128260.66828659146</v>
      </c>
      <c r="E381" s="57">
        <v>0</v>
      </c>
      <c r="F381" s="57">
        <v>98667.595000000001</v>
      </c>
      <c r="G381" s="57">
        <v>128260.66828659146</v>
      </c>
    </row>
    <row r="382" spans="1:7" ht="11.25" customHeight="1" x14ac:dyDescent="0.2">
      <c r="A382" s="67">
        <v>44075</v>
      </c>
      <c r="B382" s="57">
        <v>98667.595000000001</v>
      </c>
      <c r="C382" s="57">
        <v>0</v>
      </c>
      <c r="D382" s="57">
        <v>128260.66828659146</v>
      </c>
      <c r="E382" s="57">
        <v>0</v>
      </c>
      <c r="F382" s="57">
        <v>98667.595000000001</v>
      </c>
      <c r="G382" s="57">
        <v>128260.66828659146</v>
      </c>
    </row>
    <row r="383" spans="1:7" ht="11.25" customHeight="1" x14ac:dyDescent="0.2">
      <c r="A383" s="66" t="s">
        <v>25</v>
      </c>
      <c r="B383" s="57">
        <v>0</v>
      </c>
      <c r="C383" s="57">
        <v>0</v>
      </c>
      <c r="D383" s="57">
        <v>0</v>
      </c>
      <c r="E383" s="57">
        <v>0</v>
      </c>
      <c r="F383" s="57">
        <v>0</v>
      </c>
      <c r="G383" s="57">
        <v>0</v>
      </c>
    </row>
    <row r="384" spans="1:7" ht="11.25" customHeight="1" x14ac:dyDescent="0.2">
      <c r="A384" s="67">
        <v>43739</v>
      </c>
      <c r="B384" s="57">
        <v>0</v>
      </c>
      <c r="C384" s="57">
        <v>0</v>
      </c>
      <c r="D384" s="57">
        <v>0</v>
      </c>
      <c r="E384" s="57">
        <v>0</v>
      </c>
      <c r="F384" s="57">
        <v>0</v>
      </c>
      <c r="G384" s="57">
        <v>0</v>
      </c>
    </row>
    <row r="385" spans="1:7" ht="11.25" customHeight="1" x14ac:dyDescent="0.2">
      <c r="A385" s="67">
        <v>43770</v>
      </c>
      <c r="B385" s="57">
        <v>0</v>
      </c>
      <c r="C385" s="57">
        <v>0</v>
      </c>
      <c r="D385" s="57">
        <v>0</v>
      </c>
      <c r="E385" s="57">
        <v>0</v>
      </c>
      <c r="F385" s="57">
        <v>0</v>
      </c>
      <c r="G385" s="57">
        <v>0</v>
      </c>
    </row>
    <row r="386" spans="1:7" ht="11.25" customHeight="1" x14ac:dyDescent="0.2">
      <c r="A386" s="67">
        <v>43800</v>
      </c>
      <c r="B386" s="57">
        <v>0</v>
      </c>
      <c r="C386" s="57">
        <v>0</v>
      </c>
      <c r="D386" s="57">
        <v>0</v>
      </c>
      <c r="E386" s="57">
        <v>0</v>
      </c>
      <c r="F386" s="57">
        <v>0</v>
      </c>
      <c r="G386" s="57">
        <v>0</v>
      </c>
    </row>
    <row r="387" spans="1:7" ht="11.25" customHeight="1" x14ac:dyDescent="0.2">
      <c r="A387" s="67">
        <v>43831</v>
      </c>
      <c r="B387" s="57">
        <v>0</v>
      </c>
      <c r="C387" s="57">
        <v>0</v>
      </c>
      <c r="D387" s="57">
        <v>0</v>
      </c>
      <c r="E387" s="57">
        <v>0</v>
      </c>
      <c r="F387" s="57">
        <v>0</v>
      </c>
      <c r="G387" s="57">
        <v>0</v>
      </c>
    </row>
    <row r="388" spans="1:7" ht="11.25" customHeight="1" x14ac:dyDescent="0.2">
      <c r="A388" s="67">
        <v>43862</v>
      </c>
      <c r="B388" s="57">
        <v>0</v>
      </c>
      <c r="C388" s="57">
        <v>0</v>
      </c>
      <c r="D388" s="57">
        <v>0</v>
      </c>
      <c r="E388" s="57">
        <v>0</v>
      </c>
      <c r="F388" s="57">
        <v>0</v>
      </c>
      <c r="G388" s="57">
        <v>0</v>
      </c>
    </row>
    <row r="389" spans="1:7" ht="11.25" customHeight="1" x14ac:dyDescent="0.2">
      <c r="A389" s="67">
        <v>43891</v>
      </c>
      <c r="B389" s="57">
        <v>0</v>
      </c>
      <c r="C389" s="57">
        <v>0</v>
      </c>
      <c r="D389" s="57">
        <v>0</v>
      </c>
      <c r="E389" s="57">
        <v>0</v>
      </c>
      <c r="F389" s="57">
        <v>0</v>
      </c>
      <c r="G389" s="57">
        <v>0</v>
      </c>
    </row>
    <row r="390" spans="1:7" ht="11.25" customHeight="1" x14ac:dyDescent="0.2">
      <c r="A390" s="67">
        <v>43922</v>
      </c>
      <c r="B390" s="57">
        <v>0</v>
      </c>
      <c r="C390" s="57">
        <v>0</v>
      </c>
      <c r="D390" s="57">
        <v>0</v>
      </c>
      <c r="E390" s="57">
        <v>0</v>
      </c>
      <c r="F390" s="57">
        <v>0</v>
      </c>
      <c r="G390" s="57">
        <v>0</v>
      </c>
    </row>
    <row r="391" spans="1:7" ht="11.25" customHeight="1" x14ac:dyDescent="0.2">
      <c r="A391" s="67">
        <v>43952</v>
      </c>
      <c r="B391" s="57">
        <v>0</v>
      </c>
      <c r="C391" s="57">
        <v>0</v>
      </c>
      <c r="D391" s="57">
        <v>0</v>
      </c>
      <c r="E391" s="57">
        <v>0</v>
      </c>
      <c r="F391" s="57">
        <v>0</v>
      </c>
      <c r="G391" s="57">
        <v>0</v>
      </c>
    </row>
    <row r="392" spans="1:7" ht="11.25" customHeight="1" x14ac:dyDescent="0.2">
      <c r="A392" s="67">
        <v>43983</v>
      </c>
      <c r="B392" s="57">
        <v>0</v>
      </c>
      <c r="C392" s="57">
        <v>0</v>
      </c>
      <c r="D392" s="57">
        <v>0</v>
      </c>
      <c r="E392" s="57">
        <v>0</v>
      </c>
      <c r="F392" s="57">
        <v>0</v>
      </c>
      <c r="G392" s="57">
        <v>0</v>
      </c>
    </row>
    <row r="393" spans="1:7" ht="11.25" customHeight="1" x14ac:dyDescent="0.2">
      <c r="A393" s="67">
        <v>44013</v>
      </c>
      <c r="B393" s="57">
        <v>0</v>
      </c>
      <c r="C393" s="57">
        <v>0</v>
      </c>
      <c r="D393" s="57">
        <v>0</v>
      </c>
      <c r="E393" s="57">
        <v>0</v>
      </c>
      <c r="F393" s="57">
        <v>0</v>
      </c>
      <c r="G393" s="57">
        <v>0</v>
      </c>
    </row>
    <row r="394" spans="1:7" ht="11.25" customHeight="1" x14ac:dyDescent="0.2">
      <c r="A394" s="67">
        <v>44044</v>
      </c>
      <c r="B394" s="57">
        <v>0</v>
      </c>
      <c r="C394" s="57">
        <v>0</v>
      </c>
      <c r="D394" s="57">
        <v>0</v>
      </c>
      <c r="E394" s="57">
        <v>0</v>
      </c>
      <c r="F394" s="57">
        <v>0</v>
      </c>
      <c r="G394" s="57">
        <v>0</v>
      </c>
    </row>
    <row r="395" spans="1:7" ht="11.25" customHeight="1" x14ac:dyDescent="0.2">
      <c r="A395" s="67">
        <v>44075</v>
      </c>
      <c r="B395" s="57">
        <v>0</v>
      </c>
      <c r="C395" s="57">
        <v>0</v>
      </c>
      <c r="D395" s="57">
        <v>0</v>
      </c>
      <c r="E395" s="57">
        <v>0</v>
      </c>
      <c r="F395" s="57">
        <v>0</v>
      </c>
      <c r="G395" s="57">
        <v>0</v>
      </c>
    </row>
    <row r="396" spans="1:7" ht="11.25" customHeight="1" x14ac:dyDescent="0.2">
      <c r="A396" s="66" t="s">
        <v>35</v>
      </c>
      <c r="B396" s="57">
        <v>2946030.2981551602</v>
      </c>
      <c r="C396" s="57">
        <v>0</v>
      </c>
      <c r="D396" s="57">
        <v>3495204.6600078028</v>
      </c>
      <c r="E396" s="57">
        <v>0</v>
      </c>
      <c r="F396" s="57">
        <v>2946030.2981551602</v>
      </c>
      <c r="G396" s="57">
        <v>3495204.6600078028</v>
      </c>
    </row>
    <row r="397" spans="1:7" ht="11.25" customHeight="1" x14ac:dyDescent="0.2">
      <c r="A397" s="67">
        <v>43739</v>
      </c>
      <c r="B397" s="57">
        <v>251323.91780829846</v>
      </c>
      <c r="C397" s="57">
        <v>0</v>
      </c>
      <c r="D397" s="57">
        <v>298173.62341625115</v>
      </c>
      <c r="E397" s="57">
        <v>0</v>
      </c>
      <c r="F397" s="57">
        <v>251323.91780829846</v>
      </c>
      <c r="G397" s="57">
        <v>298173.62341625115</v>
      </c>
    </row>
    <row r="398" spans="1:7" ht="11.25" customHeight="1" x14ac:dyDescent="0.2">
      <c r="A398" s="67">
        <v>43770</v>
      </c>
      <c r="B398" s="57">
        <v>257013.94295738405</v>
      </c>
      <c r="C398" s="57">
        <v>0</v>
      </c>
      <c r="D398" s="57">
        <v>304924.33552844479</v>
      </c>
      <c r="E398" s="57">
        <v>0</v>
      </c>
      <c r="F398" s="57">
        <v>257013.94295738405</v>
      </c>
      <c r="G398" s="57">
        <v>304924.33552844479</v>
      </c>
    </row>
    <row r="399" spans="1:7" ht="11.25" customHeight="1" x14ac:dyDescent="0.2">
      <c r="A399" s="67">
        <v>43800</v>
      </c>
      <c r="B399" s="57">
        <v>255078.21776690404</v>
      </c>
      <c r="C399" s="57">
        <v>0</v>
      </c>
      <c r="D399" s="57">
        <v>302627.76861584483</v>
      </c>
      <c r="E399" s="57">
        <v>0</v>
      </c>
      <c r="F399" s="57">
        <v>255078.21776690404</v>
      </c>
      <c r="G399" s="57">
        <v>302627.76861584483</v>
      </c>
    </row>
    <row r="400" spans="1:7" ht="11.25" customHeight="1" x14ac:dyDescent="0.2">
      <c r="A400" s="67">
        <v>43831</v>
      </c>
      <c r="B400" s="57">
        <v>265027.96862577897</v>
      </c>
      <c r="C400" s="57">
        <v>0</v>
      </c>
      <c r="D400" s="57">
        <v>314432.2689258497</v>
      </c>
      <c r="E400" s="57">
        <v>0</v>
      </c>
      <c r="F400" s="57">
        <v>265027.96862577897</v>
      </c>
      <c r="G400" s="57">
        <v>314432.2689258497</v>
      </c>
    </row>
    <row r="401" spans="1:7" ht="11.25" customHeight="1" x14ac:dyDescent="0.2">
      <c r="A401" s="67">
        <v>43862</v>
      </c>
      <c r="B401" s="57">
        <v>268402.11771852995</v>
      </c>
      <c r="C401" s="57">
        <v>0</v>
      </c>
      <c r="D401" s="57">
        <v>318435.39871033613</v>
      </c>
      <c r="E401" s="57">
        <v>0</v>
      </c>
      <c r="F401" s="57">
        <v>268402.11771852995</v>
      </c>
      <c r="G401" s="57">
        <v>318435.39871033613</v>
      </c>
    </row>
    <row r="402" spans="1:7" ht="11.25" customHeight="1" x14ac:dyDescent="0.2">
      <c r="A402" s="67">
        <v>43891</v>
      </c>
      <c r="B402" s="57">
        <v>235248.77317812006</v>
      </c>
      <c r="C402" s="57">
        <v>0</v>
      </c>
      <c r="D402" s="57">
        <v>279101.88458963984</v>
      </c>
      <c r="E402" s="57">
        <v>0</v>
      </c>
      <c r="F402" s="57">
        <v>235248.77317812006</v>
      </c>
      <c r="G402" s="57">
        <v>279101.88458963984</v>
      </c>
    </row>
    <row r="403" spans="1:7" ht="11.25" customHeight="1" x14ac:dyDescent="0.2">
      <c r="A403" s="67">
        <v>43922</v>
      </c>
      <c r="B403" s="57">
        <v>242078.73161707842</v>
      </c>
      <c r="C403" s="57">
        <v>0</v>
      </c>
      <c r="D403" s="57">
        <v>287205.02683446195</v>
      </c>
      <c r="E403" s="57">
        <v>0</v>
      </c>
      <c r="F403" s="57">
        <v>242078.73161707842</v>
      </c>
      <c r="G403" s="57">
        <v>287205.02683446195</v>
      </c>
    </row>
    <row r="404" spans="1:7" ht="11.25" customHeight="1" x14ac:dyDescent="0.2">
      <c r="A404" s="67">
        <v>43952</v>
      </c>
      <c r="B404" s="57">
        <v>216633.77329412641</v>
      </c>
      <c r="C404" s="57">
        <v>0</v>
      </c>
      <c r="D404" s="57">
        <v>257016.83190660307</v>
      </c>
      <c r="E404" s="57">
        <v>0</v>
      </c>
      <c r="F404" s="57">
        <v>216633.77329412641</v>
      </c>
      <c r="G404" s="57">
        <v>257016.83190660307</v>
      </c>
    </row>
    <row r="405" spans="1:7" ht="11.25" customHeight="1" x14ac:dyDescent="0.2">
      <c r="A405" s="67">
        <v>43983</v>
      </c>
      <c r="B405" s="57">
        <v>227093.71758265281</v>
      </c>
      <c r="C405" s="57">
        <v>0</v>
      </c>
      <c r="D405" s="57">
        <v>269426.63164409174</v>
      </c>
      <c r="E405" s="57">
        <v>0</v>
      </c>
      <c r="F405" s="57">
        <v>227093.71758265281</v>
      </c>
      <c r="G405" s="57">
        <v>269426.63164409174</v>
      </c>
    </row>
    <row r="406" spans="1:7" ht="11.25" customHeight="1" x14ac:dyDescent="0.2">
      <c r="A406" s="67">
        <v>44013</v>
      </c>
      <c r="B406" s="57">
        <v>247147.99280628699</v>
      </c>
      <c r="C406" s="57">
        <v>0</v>
      </c>
      <c r="D406" s="57">
        <v>293219.25735422742</v>
      </c>
      <c r="E406" s="57">
        <v>0</v>
      </c>
      <c r="F406" s="57">
        <v>247147.99280628699</v>
      </c>
      <c r="G406" s="57">
        <v>293219.25735422742</v>
      </c>
    </row>
    <row r="407" spans="1:7" ht="11.25" customHeight="1" x14ac:dyDescent="0.2">
      <c r="A407" s="67">
        <v>44044</v>
      </c>
      <c r="B407" s="57">
        <v>240490.5724</v>
      </c>
      <c r="C407" s="57">
        <v>0</v>
      </c>
      <c r="D407" s="57">
        <v>285320.81624102616</v>
      </c>
      <c r="E407" s="57">
        <v>0</v>
      </c>
      <c r="F407" s="57">
        <v>240490.5724</v>
      </c>
      <c r="G407" s="57">
        <v>285320.81624102616</v>
      </c>
    </row>
    <row r="408" spans="1:7" ht="11.25" customHeight="1" x14ac:dyDescent="0.2">
      <c r="A408" s="67">
        <v>44075</v>
      </c>
      <c r="B408" s="57">
        <v>240490.5724</v>
      </c>
      <c r="C408" s="57">
        <v>0</v>
      </c>
      <c r="D408" s="57">
        <v>285320.81624102616</v>
      </c>
      <c r="E408" s="57">
        <v>0</v>
      </c>
      <c r="F408" s="57">
        <v>240490.5724</v>
      </c>
      <c r="G408" s="57">
        <v>285320.81624102616</v>
      </c>
    </row>
    <row r="409" spans="1:7" ht="11.25" customHeight="1" x14ac:dyDescent="0.2">
      <c r="A409" s="61" t="s">
        <v>34</v>
      </c>
      <c r="B409" s="57">
        <v>1096776.3499161138</v>
      </c>
      <c r="C409" s="57">
        <v>1996205.609712258</v>
      </c>
      <c r="D409" s="57">
        <v>1425729.1626614516</v>
      </c>
      <c r="E409" s="57">
        <v>2325008.1780316778</v>
      </c>
      <c r="F409" s="57">
        <v>3092981.9596283715</v>
      </c>
      <c r="G409" s="57">
        <v>3750737.3406931292</v>
      </c>
    </row>
    <row r="410" spans="1:7" ht="11.25" customHeight="1" x14ac:dyDescent="0.2">
      <c r="A410" s="62" t="s">
        <v>40</v>
      </c>
      <c r="B410" s="57">
        <v>1096776.3499161138</v>
      </c>
      <c r="C410" s="57">
        <v>1996205.609712258</v>
      </c>
      <c r="D410" s="57">
        <v>1425729.1626614516</v>
      </c>
      <c r="E410" s="57">
        <v>2325008.1780316778</v>
      </c>
      <c r="F410" s="57">
        <v>3092981.9596283715</v>
      </c>
      <c r="G410" s="57">
        <v>3750737.3406931292</v>
      </c>
    </row>
    <row r="411" spans="1:7" ht="11.25" customHeight="1" x14ac:dyDescent="0.2">
      <c r="A411" s="63" t="s">
        <v>25</v>
      </c>
      <c r="B411" s="57">
        <v>1096776.3499161138</v>
      </c>
      <c r="C411" s="57">
        <v>1996205.609712258</v>
      </c>
      <c r="D411" s="57">
        <v>1425729.1626614516</v>
      </c>
      <c r="E411" s="57">
        <v>2325008.1780316778</v>
      </c>
      <c r="F411" s="57">
        <v>3092981.9596283715</v>
      </c>
      <c r="G411" s="57">
        <v>3750737.3406931292</v>
      </c>
    </row>
    <row r="412" spans="1:7" ht="11.25" customHeight="1" x14ac:dyDescent="0.2">
      <c r="A412" s="64" t="s">
        <v>63</v>
      </c>
      <c r="B412" s="57">
        <v>1096776.3499161138</v>
      </c>
      <c r="C412" s="57">
        <v>1996205.609712258</v>
      </c>
      <c r="D412" s="57">
        <v>1425729.1626614516</v>
      </c>
      <c r="E412" s="57">
        <v>2325008.1780316778</v>
      </c>
      <c r="F412" s="57">
        <v>3092981.9596283715</v>
      </c>
      <c r="G412" s="57">
        <v>3750737.3406931292</v>
      </c>
    </row>
    <row r="413" spans="1:7" ht="11.25" customHeight="1" x14ac:dyDescent="0.2">
      <c r="A413" s="65" t="s">
        <v>25</v>
      </c>
      <c r="B413" s="57">
        <v>1096776.3499161138</v>
      </c>
      <c r="C413" s="57">
        <v>1996205.609712258</v>
      </c>
      <c r="D413" s="57">
        <v>1425729.1626614516</v>
      </c>
      <c r="E413" s="57">
        <v>2325008.1780316778</v>
      </c>
      <c r="F413" s="57">
        <v>3092981.9596283715</v>
      </c>
      <c r="G413" s="57">
        <v>3750737.3406931292</v>
      </c>
    </row>
    <row r="414" spans="1:7" ht="11.25" customHeight="1" x14ac:dyDescent="0.2">
      <c r="A414" s="66" t="s">
        <v>36</v>
      </c>
      <c r="B414" s="57">
        <v>0</v>
      </c>
      <c r="C414" s="57">
        <v>0</v>
      </c>
      <c r="D414" s="57">
        <v>0</v>
      </c>
      <c r="E414" s="57">
        <v>0</v>
      </c>
      <c r="F414" s="57">
        <v>0</v>
      </c>
      <c r="G414" s="57">
        <v>0</v>
      </c>
    </row>
    <row r="415" spans="1:7" ht="11.25" customHeight="1" x14ac:dyDescent="0.2">
      <c r="A415" s="67">
        <v>43739</v>
      </c>
      <c r="B415" s="57">
        <v>0</v>
      </c>
      <c r="C415" s="57">
        <v>0</v>
      </c>
      <c r="D415" s="57">
        <v>0</v>
      </c>
      <c r="E415" s="57">
        <v>0</v>
      </c>
      <c r="F415" s="57">
        <v>0</v>
      </c>
      <c r="G415" s="57">
        <v>0</v>
      </c>
    </row>
    <row r="416" spans="1:7" ht="11.25" customHeight="1" x14ac:dyDescent="0.2">
      <c r="A416" s="67">
        <v>43770</v>
      </c>
      <c r="B416" s="57">
        <v>0</v>
      </c>
      <c r="C416" s="57">
        <v>0</v>
      </c>
      <c r="D416" s="57">
        <v>0</v>
      </c>
      <c r="E416" s="57">
        <v>0</v>
      </c>
      <c r="F416" s="57">
        <v>0</v>
      </c>
      <c r="G416" s="57">
        <v>0</v>
      </c>
    </row>
    <row r="417" spans="1:7" ht="11.25" customHeight="1" x14ac:dyDescent="0.2">
      <c r="A417" s="67">
        <v>43800</v>
      </c>
      <c r="B417" s="57">
        <v>0</v>
      </c>
      <c r="C417" s="57">
        <v>0</v>
      </c>
      <c r="D417" s="57">
        <v>0</v>
      </c>
      <c r="E417" s="57">
        <v>0</v>
      </c>
      <c r="F417" s="57">
        <v>0</v>
      </c>
      <c r="G417" s="57">
        <v>0</v>
      </c>
    </row>
    <row r="418" spans="1:7" ht="11.25" customHeight="1" x14ac:dyDescent="0.2">
      <c r="A418" s="67">
        <v>43831</v>
      </c>
      <c r="B418" s="57">
        <v>0</v>
      </c>
      <c r="C418" s="57">
        <v>0</v>
      </c>
      <c r="D418" s="57">
        <v>0</v>
      </c>
      <c r="E418" s="57">
        <v>0</v>
      </c>
      <c r="F418" s="57">
        <v>0</v>
      </c>
      <c r="G418" s="57">
        <v>0</v>
      </c>
    </row>
    <row r="419" spans="1:7" ht="11.25" customHeight="1" x14ac:dyDescent="0.2">
      <c r="A419" s="67">
        <v>43862</v>
      </c>
      <c r="B419" s="57">
        <v>0</v>
      </c>
      <c r="C419" s="57">
        <v>0</v>
      </c>
      <c r="D419" s="57">
        <v>0</v>
      </c>
      <c r="E419" s="57">
        <v>0</v>
      </c>
      <c r="F419" s="57">
        <v>0</v>
      </c>
      <c r="G419" s="57">
        <v>0</v>
      </c>
    </row>
    <row r="420" spans="1:7" ht="11.25" customHeight="1" x14ac:dyDescent="0.2">
      <c r="A420" s="67">
        <v>43891</v>
      </c>
      <c r="B420" s="57">
        <v>0</v>
      </c>
      <c r="C420" s="57">
        <v>0</v>
      </c>
      <c r="D420" s="57">
        <v>0</v>
      </c>
      <c r="E420" s="57">
        <v>0</v>
      </c>
      <c r="F420" s="57">
        <v>0</v>
      </c>
      <c r="G420" s="57">
        <v>0</v>
      </c>
    </row>
    <row r="421" spans="1:7" ht="11.25" customHeight="1" x14ac:dyDescent="0.2">
      <c r="A421" s="67">
        <v>43922</v>
      </c>
      <c r="B421" s="57">
        <v>0</v>
      </c>
      <c r="C421" s="57">
        <v>0</v>
      </c>
      <c r="D421" s="57">
        <v>0</v>
      </c>
      <c r="E421" s="57">
        <v>0</v>
      </c>
      <c r="F421" s="57">
        <v>0</v>
      </c>
      <c r="G421" s="57">
        <v>0</v>
      </c>
    </row>
    <row r="422" spans="1:7" ht="11.25" customHeight="1" x14ac:dyDescent="0.2">
      <c r="A422" s="67">
        <v>43952</v>
      </c>
      <c r="B422" s="57">
        <v>0</v>
      </c>
      <c r="C422" s="57">
        <v>0</v>
      </c>
      <c r="D422" s="57">
        <v>0</v>
      </c>
      <c r="E422" s="57">
        <v>0</v>
      </c>
      <c r="F422" s="57">
        <v>0</v>
      </c>
      <c r="G422" s="57">
        <v>0</v>
      </c>
    </row>
    <row r="423" spans="1:7" ht="11.25" customHeight="1" x14ac:dyDescent="0.2">
      <c r="A423" s="67">
        <v>43983</v>
      </c>
      <c r="B423" s="57">
        <v>0</v>
      </c>
      <c r="C423" s="57">
        <v>0</v>
      </c>
      <c r="D423" s="57">
        <v>0</v>
      </c>
      <c r="E423" s="57">
        <v>0</v>
      </c>
      <c r="F423" s="57">
        <v>0</v>
      </c>
      <c r="G423" s="57">
        <v>0</v>
      </c>
    </row>
    <row r="424" spans="1:7" ht="11.25" customHeight="1" x14ac:dyDescent="0.2">
      <c r="A424" s="67">
        <v>44013</v>
      </c>
      <c r="B424" s="57">
        <v>0</v>
      </c>
      <c r="C424" s="57">
        <v>0</v>
      </c>
      <c r="D424" s="57">
        <v>0</v>
      </c>
      <c r="E424" s="57">
        <v>0</v>
      </c>
      <c r="F424" s="57">
        <v>0</v>
      </c>
      <c r="G424" s="57">
        <v>0</v>
      </c>
    </row>
    <row r="425" spans="1:7" ht="11.25" customHeight="1" x14ac:dyDescent="0.2">
      <c r="A425" s="67">
        <v>44044</v>
      </c>
      <c r="B425" s="57">
        <v>0</v>
      </c>
      <c r="C425" s="57">
        <v>0</v>
      </c>
      <c r="D425" s="57">
        <v>0</v>
      </c>
      <c r="E425" s="57">
        <v>0</v>
      </c>
      <c r="F425" s="57">
        <v>0</v>
      </c>
      <c r="G425" s="57">
        <v>0</v>
      </c>
    </row>
    <row r="426" spans="1:7" ht="11.25" customHeight="1" x14ac:dyDescent="0.2">
      <c r="A426" s="67">
        <v>44075</v>
      </c>
      <c r="B426" s="57">
        <v>0</v>
      </c>
      <c r="C426" s="57">
        <v>0</v>
      </c>
      <c r="D426" s="57">
        <v>0</v>
      </c>
      <c r="E426" s="57">
        <v>0</v>
      </c>
      <c r="F426" s="57">
        <v>0</v>
      </c>
      <c r="G426" s="57">
        <v>0</v>
      </c>
    </row>
    <row r="427" spans="1:7" ht="11.25" customHeight="1" x14ac:dyDescent="0.2">
      <c r="A427" s="66" t="s">
        <v>25</v>
      </c>
      <c r="B427" s="57">
        <v>1096776.3499161138</v>
      </c>
      <c r="C427" s="57">
        <v>0</v>
      </c>
      <c r="D427" s="57">
        <v>1425729.1626614516</v>
      </c>
      <c r="E427" s="57">
        <v>0</v>
      </c>
      <c r="F427" s="57">
        <v>1096776.3499161138</v>
      </c>
      <c r="G427" s="57">
        <v>1425729.1626614516</v>
      </c>
    </row>
    <row r="428" spans="1:7" ht="11.25" customHeight="1" x14ac:dyDescent="0.2">
      <c r="A428" s="67">
        <v>43739</v>
      </c>
      <c r="B428" s="57">
        <v>92964.907323111591</v>
      </c>
      <c r="C428" s="57">
        <v>0</v>
      </c>
      <c r="D428" s="57">
        <v>120847.59074611409</v>
      </c>
      <c r="E428" s="57">
        <v>0</v>
      </c>
      <c r="F428" s="57">
        <v>92964.907323111591</v>
      </c>
      <c r="G428" s="57">
        <v>120847.59074611409</v>
      </c>
    </row>
    <row r="429" spans="1:7" ht="11.25" customHeight="1" x14ac:dyDescent="0.2">
      <c r="A429" s="67">
        <v>43770</v>
      </c>
      <c r="B429" s="57">
        <v>81754.977317072393</v>
      </c>
      <c r="C429" s="57">
        <v>0</v>
      </c>
      <c r="D429" s="57">
        <v>106275.5003447974</v>
      </c>
      <c r="E429" s="57">
        <v>0</v>
      </c>
      <c r="F429" s="57">
        <v>81754.977317072393</v>
      </c>
      <c r="G429" s="57">
        <v>106275.5003447974</v>
      </c>
    </row>
    <row r="430" spans="1:7" ht="11.25" customHeight="1" x14ac:dyDescent="0.2">
      <c r="A430" s="67">
        <v>43800</v>
      </c>
      <c r="B430" s="57">
        <v>91918.873160632997</v>
      </c>
      <c r="C430" s="57">
        <v>0</v>
      </c>
      <c r="D430" s="57">
        <v>119487.82272166686</v>
      </c>
      <c r="E430" s="57">
        <v>0</v>
      </c>
      <c r="F430" s="57">
        <v>91918.873160632997</v>
      </c>
      <c r="G430" s="57">
        <v>119487.82272166686</v>
      </c>
    </row>
    <row r="431" spans="1:7" ht="11.25" customHeight="1" x14ac:dyDescent="0.2">
      <c r="A431" s="67">
        <v>43831</v>
      </c>
      <c r="B431" s="57">
        <v>96082.515883708402</v>
      </c>
      <c r="C431" s="57">
        <v>0</v>
      </c>
      <c r="D431" s="57">
        <v>124900.25421113668</v>
      </c>
      <c r="E431" s="57">
        <v>0</v>
      </c>
      <c r="F431" s="57">
        <v>96082.515883708402</v>
      </c>
      <c r="G431" s="57">
        <v>124900.25421113668</v>
      </c>
    </row>
    <row r="432" spans="1:7" ht="11.25" customHeight="1" x14ac:dyDescent="0.2">
      <c r="A432" s="67">
        <v>43862</v>
      </c>
      <c r="B432" s="57">
        <v>98238.190737408586</v>
      </c>
      <c r="C432" s="57">
        <v>0</v>
      </c>
      <c r="D432" s="57">
        <v>127702.47410252235</v>
      </c>
      <c r="E432" s="57">
        <v>0</v>
      </c>
      <c r="F432" s="57">
        <v>98238.190737408586</v>
      </c>
      <c r="G432" s="57">
        <v>127702.47410252235</v>
      </c>
    </row>
    <row r="433" spans="1:7" ht="11.25" customHeight="1" x14ac:dyDescent="0.2">
      <c r="A433" s="67">
        <v>43891</v>
      </c>
      <c r="B433" s="57">
        <v>91046.483210282619</v>
      </c>
      <c r="C433" s="57">
        <v>0</v>
      </c>
      <c r="D433" s="57">
        <v>118353.77949259609</v>
      </c>
      <c r="E433" s="57">
        <v>0</v>
      </c>
      <c r="F433" s="57">
        <v>91046.483210282619</v>
      </c>
      <c r="G433" s="57">
        <v>118353.77949259609</v>
      </c>
    </row>
    <row r="434" spans="1:7" ht="11.25" customHeight="1" x14ac:dyDescent="0.2">
      <c r="A434" s="67">
        <v>43922</v>
      </c>
      <c r="B434" s="57">
        <v>90159.6027332433</v>
      </c>
      <c r="C434" s="57">
        <v>0</v>
      </c>
      <c r="D434" s="57">
        <v>117200.89963700224</v>
      </c>
      <c r="E434" s="57">
        <v>0</v>
      </c>
      <c r="F434" s="57">
        <v>90159.6027332433</v>
      </c>
      <c r="G434" s="57">
        <v>117200.89963700224</v>
      </c>
    </row>
    <row r="435" spans="1:7" ht="11.25" customHeight="1" x14ac:dyDescent="0.2">
      <c r="A435" s="67">
        <v>43952</v>
      </c>
      <c r="B435" s="57">
        <v>92757.910573929112</v>
      </c>
      <c r="C435" s="57">
        <v>0</v>
      </c>
      <c r="D435" s="57">
        <v>120578.51008814023</v>
      </c>
      <c r="E435" s="57">
        <v>0</v>
      </c>
      <c r="F435" s="57">
        <v>92757.910573929112</v>
      </c>
      <c r="G435" s="57">
        <v>120578.51008814023</v>
      </c>
    </row>
    <row r="436" spans="1:7" ht="11.25" customHeight="1" x14ac:dyDescent="0.2">
      <c r="A436" s="67">
        <v>43983</v>
      </c>
      <c r="B436" s="57">
        <v>95608.240719236812</v>
      </c>
      <c r="C436" s="57">
        <v>0</v>
      </c>
      <c r="D436" s="57">
        <v>124283.73113132654</v>
      </c>
      <c r="E436" s="57">
        <v>0</v>
      </c>
      <c r="F436" s="57">
        <v>95608.240719236812</v>
      </c>
      <c r="G436" s="57">
        <v>124283.73113132654</v>
      </c>
    </row>
    <row r="437" spans="1:7" ht="11.25" customHeight="1" x14ac:dyDescent="0.2">
      <c r="A437" s="67">
        <v>44013</v>
      </c>
      <c r="B437" s="57">
        <v>76618.913057488011</v>
      </c>
      <c r="C437" s="57">
        <v>0</v>
      </c>
      <c r="D437" s="57">
        <v>99598.99186906968</v>
      </c>
      <c r="E437" s="57">
        <v>0</v>
      </c>
      <c r="F437" s="57">
        <v>76618.913057488011</v>
      </c>
      <c r="G437" s="57">
        <v>99598.99186906968</v>
      </c>
    </row>
    <row r="438" spans="1:7" ht="11.25" customHeight="1" x14ac:dyDescent="0.2">
      <c r="A438" s="67">
        <v>44044</v>
      </c>
      <c r="B438" s="57">
        <v>94812.867599999998</v>
      </c>
      <c r="C438" s="57">
        <v>0</v>
      </c>
      <c r="D438" s="57">
        <v>123249.80415853973</v>
      </c>
      <c r="E438" s="57">
        <v>0</v>
      </c>
      <c r="F438" s="57">
        <v>94812.867599999998</v>
      </c>
      <c r="G438" s="57">
        <v>123249.80415853973</v>
      </c>
    </row>
    <row r="439" spans="1:7" ht="11.25" customHeight="1" x14ac:dyDescent="0.2">
      <c r="A439" s="67">
        <v>44075</v>
      </c>
      <c r="B439" s="57">
        <v>94812.867599999998</v>
      </c>
      <c r="C439" s="57">
        <v>0</v>
      </c>
      <c r="D439" s="57">
        <v>123249.80415853973</v>
      </c>
      <c r="E439" s="57">
        <v>0</v>
      </c>
      <c r="F439" s="57">
        <v>94812.867599999998</v>
      </c>
      <c r="G439" s="57">
        <v>123249.80415853973</v>
      </c>
    </row>
    <row r="440" spans="1:7" ht="11.25" customHeight="1" x14ac:dyDescent="0.2">
      <c r="A440" s="66" t="s">
        <v>35</v>
      </c>
      <c r="B440" s="57">
        <v>0</v>
      </c>
      <c r="C440" s="57">
        <v>1996205.609712258</v>
      </c>
      <c r="D440" s="57">
        <v>0</v>
      </c>
      <c r="E440" s="57">
        <v>2325008.1780316778</v>
      </c>
      <c r="F440" s="57">
        <v>1996205.609712258</v>
      </c>
      <c r="G440" s="57">
        <v>2325008.1780316778</v>
      </c>
    </row>
    <row r="441" spans="1:7" ht="11.25" customHeight="1" x14ac:dyDescent="0.2">
      <c r="A441" s="67">
        <v>43739</v>
      </c>
      <c r="B441" s="57">
        <v>0</v>
      </c>
      <c r="C441" s="57">
        <v>215905.50624488885</v>
      </c>
      <c r="D441" s="57">
        <v>0</v>
      </c>
      <c r="E441" s="57">
        <v>251468.11794291771</v>
      </c>
      <c r="F441" s="57">
        <v>215905.50624488885</v>
      </c>
      <c r="G441" s="57">
        <v>251468.11794291771</v>
      </c>
    </row>
    <row r="442" spans="1:7" ht="11.25" customHeight="1" x14ac:dyDescent="0.2">
      <c r="A442" s="67">
        <v>43770</v>
      </c>
      <c r="B442" s="57">
        <v>0</v>
      </c>
      <c r="C442" s="57">
        <v>211811.56743937498</v>
      </c>
      <c r="D442" s="57">
        <v>0</v>
      </c>
      <c r="E442" s="57">
        <v>246699.85100845448</v>
      </c>
      <c r="F442" s="57">
        <v>211811.56743937498</v>
      </c>
      <c r="G442" s="57">
        <v>246699.85100845448</v>
      </c>
    </row>
    <row r="443" spans="1:7" ht="11.25" customHeight="1" x14ac:dyDescent="0.2">
      <c r="A443" s="67">
        <v>43800</v>
      </c>
      <c r="B443" s="57">
        <v>0</v>
      </c>
      <c r="C443" s="57">
        <v>178179.76883268502</v>
      </c>
      <c r="D443" s="57">
        <v>0</v>
      </c>
      <c r="E443" s="57">
        <v>207528.43178088311</v>
      </c>
      <c r="F443" s="57">
        <v>178179.76883268502</v>
      </c>
      <c r="G443" s="57">
        <v>207528.43178088311</v>
      </c>
    </row>
    <row r="444" spans="1:7" ht="11.25" customHeight="1" x14ac:dyDescent="0.2">
      <c r="A444" s="67">
        <v>43831</v>
      </c>
      <c r="B444" s="57">
        <v>0</v>
      </c>
      <c r="C444" s="57">
        <v>195785.57298606171</v>
      </c>
      <c r="D444" s="57">
        <v>0</v>
      </c>
      <c r="E444" s="57">
        <v>228034.1544570784</v>
      </c>
      <c r="F444" s="57">
        <v>195785.57298606171</v>
      </c>
      <c r="G444" s="57">
        <v>228034.1544570784</v>
      </c>
    </row>
    <row r="445" spans="1:7" ht="11.25" customHeight="1" x14ac:dyDescent="0.2">
      <c r="A445" s="67">
        <v>43862</v>
      </c>
      <c r="B445" s="57">
        <v>0</v>
      </c>
      <c r="C445" s="57">
        <v>176563.68802159734</v>
      </c>
      <c r="D445" s="57">
        <v>0</v>
      </c>
      <c r="E445" s="57">
        <v>205646.16019329824</v>
      </c>
      <c r="F445" s="57">
        <v>176563.68802159734</v>
      </c>
      <c r="G445" s="57">
        <v>205646.16019329824</v>
      </c>
    </row>
    <row r="446" spans="1:7" ht="11.25" customHeight="1" x14ac:dyDescent="0.2">
      <c r="A446" s="67">
        <v>43891</v>
      </c>
      <c r="B446" s="57">
        <v>0</v>
      </c>
      <c r="C446" s="57">
        <v>171964.74564402917</v>
      </c>
      <c r="D446" s="57">
        <v>0</v>
      </c>
      <c r="E446" s="57">
        <v>200289.70864035239</v>
      </c>
      <c r="F446" s="57">
        <v>171964.74564402917</v>
      </c>
      <c r="G446" s="57">
        <v>200289.70864035239</v>
      </c>
    </row>
    <row r="447" spans="1:7" ht="11.25" customHeight="1" x14ac:dyDescent="0.2">
      <c r="A447" s="67">
        <v>43922</v>
      </c>
      <c r="B447" s="57">
        <v>0</v>
      </c>
      <c r="C447" s="57">
        <v>137679.27398216282</v>
      </c>
      <c r="D447" s="57">
        <v>0</v>
      </c>
      <c r="E447" s="57">
        <v>160356.94739888742</v>
      </c>
      <c r="F447" s="57">
        <v>137679.27398216282</v>
      </c>
      <c r="G447" s="57">
        <v>160356.94739888742</v>
      </c>
    </row>
    <row r="448" spans="1:7" ht="11.25" customHeight="1" x14ac:dyDescent="0.2">
      <c r="A448" s="67">
        <v>43952</v>
      </c>
      <c r="B448" s="57">
        <v>0</v>
      </c>
      <c r="C448" s="57">
        <v>135105.06868723262</v>
      </c>
      <c r="D448" s="57">
        <v>0</v>
      </c>
      <c r="E448" s="57">
        <v>157358.73502360616</v>
      </c>
      <c r="F448" s="57">
        <v>135105.06868723262</v>
      </c>
      <c r="G448" s="57">
        <v>157358.73502360616</v>
      </c>
    </row>
    <row r="449" spans="1:7" ht="11.25" customHeight="1" x14ac:dyDescent="0.2">
      <c r="A449" s="67">
        <v>43983</v>
      </c>
      <c r="B449" s="57">
        <v>0</v>
      </c>
      <c r="C449" s="57">
        <v>138736.17544484869</v>
      </c>
      <c r="D449" s="57">
        <v>0</v>
      </c>
      <c r="E449" s="57">
        <v>161587.93509482546</v>
      </c>
      <c r="F449" s="57">
        <v>138736.17544484869</v>
      </c>
      <c r="G449" s="57">
        <v>161587.93509482546</v>
      </c>
    </row>
    <row r="450" spans="1:7" ht="11.25" customHeight="1" x14ac:dyDescent="0.2">
      <c r="A450" s="67">
        <v>44013</v>
      </c>
      <c r="B450" s="57">
        <v>0</v>
      </c>
      <c r="C450" s="57">
        <v>141373.29705577693</v>
      </c>
      <c r="D450" s="57">
        <v>0</v>
      </c>
      <c r="E450" s="57">
        <v>164659.42697023205</v>
      </c>
      <c r="F450" s="57">
        <v>141373.29705577693</v>
      </c>
      <c r="G450" s="57">
        <v>164659.42697023205</v>
      </c>
    </row>
    <row r="451" spans="1:7" ht="11.25" customHeight="1" x14ac:dyDescent="0.2">
      <c r="A451" s="67">
        <v>44044</v>
      </c>
      <c r="B451" s="57">
        <v>0</v>
      </c>
      <c r="C451" s="57">
        <v>146550.47268679997</v>
      </c>
      <c r="D451" s="57">
        <v>0</v>
      </c>
      <c r="E451" s="57">
        <v>170689.35476057121</v>
      </c>
      <c r="F451" s="57">
        <v>146550.47268679997</v>
      </c>
      <c r="G451" s="57">
        <v>170689.35476057121</v>
      </c>
    </row>
    <row r="452" spans="1:7" ht="11.25" customHeight="1" x14ac:dyDescent="0.2">
      <c r="A452" s="67">
        <v>44075</v>
      </c>
      <c r="B452" s="57">
        <v>0</v>
      </c>
      <c r="C452" s="57">
        <v>146550.47268679997</v>
      </c>
      <c r="D452" s="57">
        <v>0</v>
      </c>
      <c r="E452" s="57">
        <v>170689.35476057121</v>
      </c>
      <c r="F452" s="57">
        <v>146550.47268679997</v>
      </c>
      <c r="G452" s="57">
        <v>170689.35476057121</v>
      </c>
    </row>
    <row r="453" spans="1:7" ht="11.25" customHeight="1" x14ac:dyDescent="0.2">
      <c r="A453" s="60" t="s">
        <v>44</v>
      </c>
      <c r="B453" s="57">
        <v>3405428.894735706</v>
      </c>
      <c r="C453" s="57">
        <v>1230710.6405301706</v>
      </c>
      <c r="D453" s="57">
        <v>4050783.0970317759</v>
      </c>
      <c r="E453" s="57">
        <v>1367847.8736775534</v>
      </c>
      <c r="F453" s="57">
        <v>4636139.5352658769</v>
      </c>
      <c r="G453" s="57">
        <v>5418630.9707093295</v>
      </c>
    </row>
    <row r="454" spans="1:7" ht="11.25" customHeight="1" x14ac:dyDescent="0.2">
      <c r="A454" s="61" t="s">
        <v>41</v>
      </c>
      <c r="B454" s="57">
        <v>2815998.1723540882</v>
      </c>
      <c r="C454" s="57">
        <v>0</v>
      </c>
      <c r="D454" s="57">
        <v>3280259.6349638915</v>
      </c>
      <c r="E454" s="57">
        <v>0</v>
      </c>
      <c r="F454" s="57">
        <v>2815998.1723540882</v>
      </c>
      <c r="G454" s="57">
        <v>3280259.6349638915</v>
      </c>
    </row>
    <row r="455" spans="1:7" ht="11.25" customHeight="1" x14ac:dyDescent="0.2">
      <c r="A455" s="62" t="s">
        <v>40</v>
      </c>
      <c r="B455" s="57">
        <v>2815998.1723540882</v>
      </c>
      <c r="C455" s="57">
        <v>0</v>
      </c>
      <c r="D455" s="57">
        <v>3280259.6349638915</v>
      </c>
      <c r="E455" s="57">
        <v>0</v>
      </c>
      <c r="F455" s="57">
        <v>2815998.1723540882</v>
      </c>
      <c r="G455" s="57">
        <v>3280259.6349638915</v>
      </c>
    </row>
    <row r="456" spans="1:7" ht="11.25" customHeight="1" x14ac:dyDescent="0.2">
      <c r="A456" s="63" t="s">
        <v>25</v>
      </c>
      <c r="B456" s="57">
        <v>2815998.1723540882</v>
      </c>
      <c r="C456" s="57">
        <v>0</v>
      </c>
      <c r="D456" s="57">
        <v>3280259.6349638915</v>
      </c>
      <c r="E456" s="57">
        <v>0</v>
      </c>
      <c r="F456" s="57">
        <v>2815998.1723540882</v>
      </c>
      <c r="G456" s="57">
        <v>3280259.6349638915</v>
      </c>
    </row>
    <row r="457" spans="1:7" ht="11.25" customHeight="1" x14ac:dyDescent="0.2">
      <c r="A457" s="64" t="s">
        <v>63</v>
      </c>
      <c r="B457" s="57">
        <v>2815998.1723540882</v>
      </c>
      <c r="C457" s="57">
        <v>0</v>
      </c>
      <c r="D457" s="57">
        <v>3280259.6349638915</v>
      </c>
      <c r="E457" s="57">
        <v>0</v>
      </c>
      <c r="F457" s="57">
        <v>2815998.1723540882</v>
      </c>
      <c r="G457" s="57">
        <v>3280259.6349638915</v>
      </c>
    </row>
    <row r="458" spans="1:7" ht="11.25" customHeight="1" x14ac:dyDescent="0.2">
      <c r="A458" s="65" t="s">
        <v>25</v>
      </c>
      <c r="B458" s="57">
        <v>2815998.1723540882</v>
      </c>
      <c r="C458" s="57">
        <v>0</v>
      </c>
      <c r="D458" s="57">
        <v>3280259.6349638915</v>
      </c>
      <c r="E458" s="57">
        <v>0</v>
      </c>
      <c r="F458" s="57">
        <v>2815998.1723540882</v>
      </c>
      <c r="G458" s="57">
        <v>3280259.6349638915</v>
      </c>
    </row>
    <row r="459" spans="1:7" ht="11.25" customHeight="1" x14ac:dyDescent="0.2">
      <c r="A459" s="66" t="s">
        <v>36</v>
      </c>
      <c r="B459" s="57">
        <v>654389.82912032632</v>
      </c>
      <c r="C459" s="57">
        <v>0</v>
      </c>
      <c r="D459" s="57">
        <v>855440.16884371697</v>
      </c>
      <c r="E459" s="57">
        <v>0</v>
      </c>
      <c r="F459" s="57">
        <v>654389.82912032632</v>
      </c>
      <c r="G459" s="57">
        <v>855440.16884371697</v>
      </c>
    </row>
    <row r="460" spans="1:7" ht="11.25" customHeight="1" x14ac:dyDescent="0.2">
      <c r="A460" s="67">
        <v>43739</v>
      </c>
      <c r="B460" s="57">
        <v>50553.555788246405</v>
      </c>
      <c r="C460" s="57">
        <v>0</v>
      </c>
      <c r="D460" s="57">
        <v>66085.291021838231</v>
      </c>
      <c r="E460" s="57">
        <v>0</v>
      </c>
      <c r="F460" s="57">
        <v>50553.555788246405</v>
      </c>
      <c r="G460" s="57">
        <v>66085.291021838231</v>
      </c>
    </row>
    <row r="461" spans="1:7" ht="11.25" customHeight="1" x14ac:dyDescent="0.2">
      <c r="A461" s="67">
        <v>43770</v>
      </c>
      <c r="B461" s="57">
        <v>50299.896368412003</v>
      </c>
      <c r="C461" s="57">
        <v>0</v>
      </c>
      <c r="D461" s="57">
        <v>65753.698984071336</v>
      </c>
      <c r="E461" s="57">
        <v>0</v>
      </c>
      <c r="F461" s="57">
        <v>50299.896368412003</v>
      </c>
      <c r="G461" s="57">
        <v>65753.698984071336</v>
      </c>
    </row>
    <row r="462" spans="1:7" ht="11.25" customHeight="1" x14ac:dyDescent="0.2">
      <c r="A462" s="67">
        <v>43800</v>
      </c>
      <c r="B462" s="57">
        <v>49844.320269364798</v>
      </c>
      <c r="C462" s="57">
        <v>0</v>
      </c>
      <c r="D462" s="57">
        <v>65158.154741560749</v>
      </c>
      <c r="E462" s="57">
        <v>0</v>
      </c>
      <c r="F462" s="57">
        <v>49844.320269364798</v>
      </c>
      <c r="G462" s="57">
        <v>65158.154741560749</v>
      </c>
    </row>
    <row r="463" spans="1:7" ht="11.25" customHeight="1" x14ac:dyDescent="0.2">
      <c r="A463" s="67">
        <v>43831</v>
      </c>
      <c r="B463" s="57">
        <v>51288.536587017603</v>
      </c>
      <c r="C463" s="57">
        <v>0</v>
      </c>
      <c r="D463" s="57">
        <v>67046.08238903126</v>
      </c>
      <c r="E463" s="57">
        <v>0</v>
      </c>
      <c r="F463" s="57">
        <v>51288.536587017603</v>
      </c>
      <c r="G463" s="57">
        <v>67046.08238903126</v>
      </c>
    </row>
    <row r="464" spans="1:7" ht="11.25" customHeight="1" x14ac:dyDescent="0.2">
      <c r="A464" s="67">
        <v>43862</v>
      </c>
      <c r="B464" s="57">
        <v>57130.567562426397</v>
      </c>
      <c r="C464" s="57">
        <v>0</v>
      </c>
      <c r="D464" s="57">
        <v>74682.979757549183</v>
      </c>
      <c r="E464" s="57">
        <v>0</v>
      </c>
      <c r="F464" s="57">
        <v>57130.567562426397</v>
      </c>
      <c r="G464" s="57">
        <v>74682.979757549183</v>
      </c>
    </row>
    <row r="465" spans="1:7" ht="11.25" customHeight="1" x14ac:dyDescent="0.2">
      <c r="A465" s="67">
        <v>43891</v>
      </c>
      <c r="B465" s="57">
        <v>56405.809621814406</v>
      </c>
      <c r="C465" s="57">
        <v>0</v>
      </c>
      <c r="D465" s="57">
        <v>73735.552050854283</v>
      </c>
      <c r="E465" s="57">
        <v>0</v>
      </c>
      <c r="F465" s="57">
        <v>56405.809621814406</v>
      </c>
      <c r="G465" s="57">
        <v>73735.552050854283</v>
      </c>
    </row>
    <row r="466" spans="1:7" ht="11.25" customHeight="1" x14ac:dyDescent="0.2">
      <c r="A466" s="67">
        <v>43922</v>
      </c>
      <c r="B466" s="57">
        <v>57238.562502756009</v>
      </c>
      <c r="C466" s="57">
        <v>0</v>
      </c>
      <c r="D466" s="57">
        <v>74824.154338630338</v>
      </c>
      <c r="E466" s="57">
        <v>0</v>
      </c>
      <c r="F466" s="57">
        <v>57238.562502756009</v>
      </c>
      <c r="G466" s="57">
        <v>74824.154338630338</v>
      </c>
    </row>
    <row r="467" spans="1:7" ht="11.25" customHeight="1" x14ac:dyDescent="0.2">
      <c r="A467" s="67">
        <v>43952</v>
      </c>
      <c r="B467" s="57">
        <v>54626.679618508802</v>
      </c>
      <c r="C467" s="57">
        <v>0</v>
      </c>
      <c r="D467" s="57">
        <v>71409.814084436686</v>
      </c>
      <c r="E467" s="57">
        <v>0</v>
      </c>
      <c r="F467" s="57">
        <v>54626.679618508802</v>
      </c>
      <c r="G467" s="57">
        <v>71409.814084436686</v>
      </c>
    </row>
    <row r="468" spans="1:7" ht="11.25" customHeight="1" x14ac:dyDescent="0.2">
      <c r="A468" s="67">
        <v>43983</v>
      </c>
      <c r="B468" s="57">
        <v>58261.385879769594</v>
      </c>
      <c r="C468" s="57">
        <v>0</v>
      </c>
      <c r="D468" s="57">
        <v>76161.223106196601</v>
      </c>
      <c r="E468" s="57">
        <v>0</v>
      </c>
      <c r="F468" s="57">
        <v>58261.385879769594</v>
      </c>
      <c r="G468" s="57">
        <v>76161.223106196601</v>
      </c>
    </row>
    <row r="469" spans="1:7" ht="11.25" customHeight="1" x14ac:dyDescent="0.2">
      <c r="A469" s="67">
        <v>44013</v>
      </c>
      <c r="B469" s="57">
        <v>51041.898922010405</v>
      </c>
      <c r="C469" s="57">
        <v>0</v>
      </c>
      <c r="D469" s="57">
        <v>66723.669422924198</v>
      </c>
      <c r="E469" s="57">
        <v>0</v>
      </c>
      <c r="F469" s="57">
        <v>51041.898922010405</v>
      </c>
      <c r="G469" s="57">
        <v>66723.669422924198</v>
      </c>
    </row>
    <row r="470" spans="1:7" ht="11.25" customHeight="1" x14ac:dyDescent="0.2">
      <c r="A470" s="67">
        <v>44044</v>
      </c>
      <c r="B470" s="57">
        <v>58849.308000000012</v>
      </c>
      <c r="C470" s="57">
        <v>0</v>
      </c>
      <c r="D470" s="57">
        <v>76929.774473312034</v>
      </c>
      <c r="E470" s="57">
        <v>0</v>
      </c>
      <c r="F470" s="57">
        <v>58849.308000000012</v>
      </c>
      <c r="G470" s="57">
        <v>76929.774473312034</v>
      </c>
    </row>
    <row r="471" spans="1:7" ht="11.25" customHeight="1" x14ac:dyDescent="0.2">
      <c r="A471" s="67">
        <v>44075</v>
      </c>
      <c r="B471" s="57">
        <v>58849.308000000012</v>
      </c>
      <c r="C471" s="57">
        <v>0</v>
      </c>
      <c r="D471" s="57">
        <v>76929.774473312034</v>
      </c>
      <c r="E471" s="57">
        <v>0</v>
      </c>
      <c r="F471" s="57">
        <v>58849.308000000012</v>
      </c>
      <c r="G471" s="57">
        <v>76929.774473312034</v>
      </c>
    </row>
    <row r="472" spans="1:7" ht="11.25" customHeight="1" x14ac:dyDescent="0.2">
      <c r="A472" s="66" t="s">
        <v>25</v>
      </c>
      <c r="B472" s="57">
        <v>0</v>
      </c>
      <c r="C472" s="57">
        <v>0</v>
      </c>
      <c r="D472" s="57">
        <v>0</v>
      </c>
      <c r="E472" s="57">
        <v>0</v>
      </c>
      <c r="F472" s="57">
        <v>0</v>
      </c>
      <c r="G472" s="57">
        <v>0</v>
      </c>
    </row>
    <row r="473" spans="1:7" ht="11.25" customHeight="1" x14ac:dyDescent="0.2">
      <c r="A473" s="67">
        <v>43739</v>
      </c>
      <c r="B473" s="57">
        <v>0</v>
      </c>
      <c r="C473" s="57">
        <v>0</v>
      </c>
      <c r="D473" s="57">
        <v>0</v>
      </c>
      <c r="E473" s="57">
        <v>0</v>
      </c>
      <c r="F473" s="57">
        <v>0</v>
      </c>
      <c r="G473" s="57">
        <v>0</v>
      </c>
    </row>
    <row r="474" spans="1:7" ht="11.25" customHeight="1" x14ac:dyDescent="0.2">
      <c r="A474" s="67">
        <v>43770</v>
      </c>
      <c r="B474" s="57">
        <v>0</v>
      </c>
      <c r="C474" s="57">
        <v>0</v>
      </c>
      <c r="D474" s="57">
        <v>0</v>
      </c>
      <c r="E474" s="57">
        <v>0</v>
      </c>
      <c r="F474" s="57">
        <v>0</v>
      </c>
      <c r="G474" s="57">
        <v>0</v>
      </c>
    </row>
    <row r="475" spans="1:7" ht="11.25" customHeight="1" x14ac:dyDescent="0.2">
      <c r="A475" s="67">
        <v>43800</v>
      </c>
      <c r="B475" s="57">
        <v>0</v>
      </c>
      <c r="C475" s="57">
        <v>0</v>
      </c>
      <c r="D475" s="57">
        <v>0</v>
      </c>
      <c r="E475" s="57">
        <v>0</v>
      </c>
      <c r="F475" s="57">
        <v>0</v>
      </c>
      <c r="G475" s="57">
        <v>0</v>
      </c>
    </row>
    <row r="476" spans="1:7" ht="11.25" customHeight="1" x14ac:dyDescent="0.2">
      <c r="A476" s="67">
        <v>43831</v>
      </c>
      <c r="B476" s="57">
        <v>0</v>
      </c>
      <c r="C476" s="57">
        <v>0</v>
      </c>
      <c r="D476" s="57">
        <v>0</v>
      </c>
      <c r="E476" s="57">
        <v>0</v>
      </c>
      <c r="F476" s="57">
        <v>0</v>
      </c>
      <c r="G476" s="57">
        <v>0</v>
      </c>
    </row>
    <row r="477" spans="1:7" ht="11.25" customHeight="1" x14ac:dyDescent="0.2">
      <c r="A477" s="67">
        <v>43862</v>
      </c>
      <c r="B477" s="57">
        <v>0</v>
      </c>
      <c r="C477" s="57">
        <v>0</v>
      </c>
      <c r="D477" s="57">
        <v>0</v>
      </c>
      <c r="E477" s="57">
        <v>0</v>
      </c>
      <c r="F477" s="57">
        <v>0</v>
      </c>
      <c r="G477" s="57">
        <v>0</v>
      </c>
    </row>
    <row r="478" spans="1:7" ht="11.25" customHeight="1" x14ac:dyDescent="0.2">
      <c r="A478" s="67">
        <v>43891</v>
      </c>
      <c r="B478" s="57">
        <v>0</v>
      </c>
      <c r="C478" s="57">
        <v>0</v>
      </c>
      <c r="D478" s="57">
        <v>0</v>
      </c>
      <c r="E478" s="57">
        <v>0</v>
      </c>
      <c r="F478" s="57">
        <v>0</v>
      </c>
      <c r="G478" s="57">
        <v>0</v>
      </c>
    </row>
    <row r="479" spans="1:7" ht="11.25" customHeight="1" x14ac:dyDescent="0.2">
      <c r="A479" s="67">
        <v>43922</v>
      </c>
      <c r="B479" s="57">
        <v>0</v>
      </c>
      <c r="C479" s="57">
        <v>0</v>
      </c>
      <c r="D479" s="57">
        <v>0</v>
      </c>
      <c r="E479" s="57">
        <v>0</v>
      </c>
      <c r="F479" s="57">
        <v>0</v>
      </c>
      <c r="G479" s="57">
        <v>0</v>
      </c>
    </row>
    <row r="480" spans="1:7" ht="11.25" customHeight="1" x14ac:dyDescent="0.2">
      <c r="A480" s="67">
        <v>43952</v>
      </c>
      <c r="B480" s="57">
        <v>0</v>
      </c>
      <c r="C480" s="57">
        <v>0</v>
      </c>
      <c r="D480" s="57">
        <v>0</v>
      </c>
      <c r="E480" s="57">
        <v>0</v>
      </c>
      <c r="F480" s="57">
        <v>0</v>
      </c>
      <c r="G480" s="57">
        <v>0</v>
      </c>
    </row>
    <row r="481" spans="1:7" ht="11.25" customHeight="1" x14ac:dyDescent="0.2">
      <c r="A481" s="67">
        <v>43983</v>
      </c>
      <c r="B481" s="57">
        <v>0</v>
      </c>
      <c r="C481" s="57">
        <v>0</v>
      </c>
      <c r="D481" s="57">
        <v>0</v>
      </c>
      <c r="E481" s="57">
        <v>0</v>
      </c>
      <c r="F481" s="57">
        <v>0</v>
      </c>
      <c r="G481" s="57">
        <v>0</v>
      </c>
    </row>
    <row r="482" spans="1:7" ht="11.25" customHeight="1" x14ac:dyDescent="0.2">
      <c r="A482" s="67">
        <v>44013</v>
      </c>
      <c r="B482" s="57">
        <v>0</v>
      </c>
      <c r="C482" s="57">
        <v>0</v>
      </c>
      <c r="D482" s="57">
        <v>0</v>
      </c>
      <c r="E482" s="57">
        <v>0</v>
      </c>
      <c r="F482" s="57">
        <v>0</v>
      </c>
      <c r="G482" s="57">
        <v>0</v>
      </c>
    </row>
    <row r="483" spans="1:7" ht="11.25" customHeight="1" x14ac:dyDescent="0.2">
      <c r="A483" s="67">
        <v>44044</v>
      </c>
      <c r="B483" s="57">
        <v>0</v>
      </c>
      <c r="C483" s="57">
        <v>0</v>
      </c>
      <c r="D483" s="57">
        <v>0</v>
      </c>
      <c r="E483" s="57">
        <v>0</v>
      </c>
      <c r="F483" s="57">
        <v>0</v>
      </c>
      <c r="G483" s="57">
        <v>0</v>
      </c>
    </row>
    <row r="484" spans="1:7" ht="11.25" customHeight="1" x14ac:dyDescent="0.2">
      <c r="A484" s="67">
        <v>44075</v>
      </c>
      <c r="B484" s="57">
        <v>0</v>
      </c>
      <c r="C484" s="57">
        <v>0</v>
      </c>
      <c r="D484" s="57">
        <v>0</v>
      </c>
      <c r="E484" s="57">
        <v>0</v>
      </c>
      <c r="F484" s="57">
        <v>0</v>
      </c>
      <c r="G484" s="57">
        <v>0</v>
      </c>
    </row>
    <row r="485" spans="1:7" ht="11.25" customHeight="1" x14ac:dyDescent="0.2">
      <c r="A485" s="66" t="s">
        <v>35</v>
      </c>
      <c r="B485" s="57">
        <v>2161608.3432337623</v>
      </c>
      <c r="C485" s="57">
        <v>0</v>
      </c>
      <c r="D485" s="57">
        <v>2424819.4661201746</v>
      </c>
      <c r="E485" s="57">
        <v>0</v>
      </c>
      <c r="F485" s="57">
        <v>2161608.3432337623</v>
      </c>
      <c r="G485" s="57">
        <v>2424819.4661201746</v>
      </c>
    </row>
    <row r="486" spans="1:7" ht="11.25" customHeight="1" x14ac:dyDescent="0.2">
      <c r="A486" s="67">
        <v>43739</v>
      </c>
      <c r="B486" s="57">
        <v>166892.82554924799</v>
      </c>
      <c r="C486" s="57">
        <v>0</v>
      </c>
      <c r="D486" s="57">
        <v>187214.75303995493</v>
      </c>
      <c r="E486" s="57">
        <v>0</v>
      </c>
      <c r="F486" s="57">
        <v>166892.82554924799</v>
      </c>
      <c r="G486" s="57">
        <v>187214.75303995493</v>
      </c>
    </row>
    <row r="487" spans="1:7" ht="11.25" customHeight="1" x14ac:dyDescent="0.2">
      <c r="A487" s="67">
        <v>43770</v>
      </c>
      <c r="B487" s="57">
        <v>166095.09060049921</v>
      </c>
      <c r="C487" s="57">
        <v>0</v>
      </c>
      <c r="D487" s="57">
        <v>186319.88083121952</v>
      </c>
      <c r="E487" s="57">
        <v>0</v>
      </c>
      <c r="F487" s="57">
        <v>166095.09060049921</v>
      </c>
      <c r="G487" s="57">
        <v>186319.88083121952</v>
      </c>
    </row>
    <row r="488" spans="1:7" ht="11.25" customHeight="1" x14ac:dyDescent="0.2">
      <c r="A488" s="67">
        <v>43800</v>
      </c>
      <c r="B488" s="57">
        <v>164602.22196035841</v>
      </c>
      <c r="C488" s="57">
        <v>0</v>
      </c>
      <c r="D488" s="57">
        <v>184645.23105004858</v>
      </c>
      <c r="E488" s="57">
        <v>0</v>
      </c>
      <c r="F488" s="57">
        <v>164602.22196035841</v>
      </c>
      <c r="G488" s="57">
        <v>184645.23105004858</v>
      </c>
    </row>
    <row r="489" spans="1:7" ht="11.25" customHeight="1" x14ac:dyDescent="0.2">
      <c r="A489" s="67">
        <v>43831</v>
      </c>
      <c r="B489" s="57">
        <v>169541.477435484</v>
      </c>
      <c r="C489" s="57">
        <v>0</v>
      </c>
      <c r="D489" s="57">
        <v>190185.92155566899</v>
      </c>
      <c r="E489" s="57">
        <v>0</v>
      </c>
      <c r="F489" s="57">
        <v>169541.477435484</v>
      </c>
      <c r="G489" s="57">
        <v>190185.92155566899</v>
      </c>
    </row>
    <row r="490" spans="1:7" ht="11.25" customHeight="1" x14ac:dyDescent="0.2">
      <c r="A490" s="67">
        <v>43862</v>
      </c>
      <c r="B490" s="57">
        <v>188821.53736608318</v>
      </c>
      <c r="C490" s="57">
        <v>0</v>
      </c>
      <c r="D490" s="57">
        <v>211813.64369785017</v>
      </c>
      <c r="E490" s="57">
        <v>0</v>
      </c>
      <c r="F490" s="57">
        <v>188821.53736608318</v>
      </c>
      <c r="G490" s="57">
        <v>211813.64369785017</v>
      </c>
    </row>
    <row r="491" spans="1:7" ht="11.25" customHeight="1" x14ac:dyDescent="0.2">
      <c r="A491" s="67">
        <v>43891</v>
      </c>
      <c r="B491" s="57">
        <v>186519.0059337024</v>
      </c>
      <c r="C491" s="57">
        <v>0</v>
      </c>
      <c r="D491" s="57">
        <v>209230.74145468159</v>
      </c>
      <c r="E491" s="57">
        <v>0</v>
      </c>
      <c r="F491" s="57">
        <v>186519.0059337024</v>
      </c>
      <c r="G491" s="57">
        <v>209230.74145468159</v>
      </c>
    </row>
    <row r="492" spans="1:7" ht="11.25" customHeight="1" x14ac:dyDescent="0.2">
      <c r="A492" s="67">
        <v>43922</v>
      </c>
      <c r="B492" s="57">
        <v>189036.70433649121</v>
      </c>
      <c r="C492" s="57">
        <v>0</v>
      </c>
      <c r="D492" s="57">
        <v>212055.01076138165</v>
      </c>
      <c r="E492" s="57">
        <v>0</v>
      </c>
      <c r="F492" s="57">
        <v>189036.70433649121</v>
      </c>
      <c r="G492" s="57">
        <v>212055.01076138165</v>
      </c>
    </row>
    <row r="493" spans="1:7" ht="11.25" customHeight="1" x14ac:dyDescent="0.2">
      <c r="A493" s="67">
        <v>43952</v>
      </c>
      <c r="B493" s="57">
        <v>179679.49605440642</v>
      </c>
      <c r="C493" s="57">
        <v>0</v>
      </c>
      <c r="D493" s="57">
        <v>201558.40953296644</v>
      </c>
      <c r="E493" s="57">
        <v>0</v>
      </c>
      <c r="F493" s="57">
        <v>179679.49605440642</v>
      </c>
      <c r="G493" s="57">
        <v>201558.40953296644</v>
      </c>
    </row>
    <row r="494" spans="1:7" ht="11.25" customHeight="1" x14ac:dyDescent="0.2">
      <c r="A494" s="67">
        <v>43983</v>
      </c>
      <c r="B494" s="57">
        <v>192588.87277566557</v>
      </c>
      <c r="C494" s="57">
        <v>0</v>
      </c>
      <c r="D494" s="57">
        <v>216039.71372813749</v>
      </c>
      <c r="E494" s="57">
        <v>0</v>
      </c>
      <c r="F494" s="57">
        <v>192588.87277566557</v>
      </c>
      <c r="G494" s="57">
        <v>216039.71372813749</v>
      </c>
    </row>
    <row r="495" spans="1:7" ht="11.25" customHeight="1" x14ac:dyDescent="0.2">
      <c r="A495" s="67">
        <v>44013</v>
      </c>
      <c r="B495" s="57">
        <v>168529.023221824</v>
      </c>
      <c r="C495" s="57">
        <v>0</v>
      </c>
      <c r="D495" s="57">
        <v>189050.18450435586</v>
      </c>
      <c r="E495" s="57">
        <v>0</v>
      </c>
      <c r="F495" s="57">
        <v>168529.023221824</v>
      </c>
      <c r="G495" s="57">
        <v>189050.18450435586</v>
      </c>
    </row>
    <row r="496" spans="1:7" ht="11.25" customHeight="1" x14ac:dyDescent="0.2">
      <c r="A496" s="67">
        <v>44044</v>
      </c>
      <c r="B496" s="57">
        <v>194651.04399999997</v>
      </c>
      <c r="C496" s="57">
        <v>0</v>
      </c>
      <c r="D496" s="57">
        <v>218352.98798195462</v>
      </c>
      <c r="E496" s="57">
        <v>0</v>
      </c>
      <c r="F496" s="57">
        <v>194651.04399999997</v>
      </c>
      <c r="G496" s="57">
        <v>218352.98798195462</v>
      </c>
    </row>
    <row r="497" spans="1:7" ht="11.25" customHeight="1" x14ac:dyDescent="0.2">
      <c r="A497" s="67">
        <v>44075</v>
      </c>
      <c r="B497" s="57">
        <v>194651.04399999997</v>
      </c>
      <c r="C497" s="57">
        <v>0</v>
      </c>
      <c r="D497" s="57">
        <v>218352.98798195462</v>
      </c>
      <c r="E497" s="57">
        <v>0</v>
      </c>
      <c r="F497" s="57">
        <v>194651.04399999997</v>
      </c>
      <c r="G497" s="57">
        <v>218352.98798195462</v>
      </c>
    </row>
    <row r="498" spans="1:7" ht="11.25" customHeight="1" x14ac:dyDescent="0.2">
      <c r="A498" s="61" t="s">
        <v>34</v>
      </c>
      <c r="B498" s="57">
        <v>589430.72238161764</v>
      </c>
      <c r="C498" s="57">
        <v>1230710.6405301706</v>
      </c>
      <c r="D498" s="57">
        <v>770523.46206788416</v>
      </c>
      <c r="E498" s="57">
        <v>1367847.8736775534</v>
      </c>
      <c r="F498" s="57">
        <v>1820141.3629117883</v>
      </c>
      <c r="G498" s="57">
        <v>2138371.3357454375</v>
      </c>
    </row>
    <row r="499" spans="1:7" ht="11.25" customHeight="1" x14ac:dyDescent="0.2">
      <c r="A499" s="62" t="s">
        <v>40</v>
      </c>
      <c r="B499" s="57">
        <v>589430.72238161764</v>
      </c>
      <c r="C499" s="57">
        <v>1230710.6405301706</v>
      </c>
      <c r="D499" s="57">
        <v>770523.46206788416</v>
      </c>
      <c r="E499" s="57">
        <v>1367847.8736775534</v>
      </c>
      <c r="F499" s="57">
        <v>1820141.3629117883</v>
      </c>
      <c r="G499" s="57">
        <v>2138371.3357454375</v>
      </c>
    </row>
    <row r="500" spans="1:7" ht="11.25" customHeight="1" x14ac:dyDescent="0.2">
      <c r="A500" s="63" t="s">
        <v>25</v>
      </c>
      <c r="B500" s="57">
        <v>589430.72238161764</v>
      </c>
      <c r="C500" s="57">
        <v>1230710.6405301706</v>
      </c>
      <c r="D500" s="57">
        <v>770523.46206788416</v>
      </c>
      <c r="E500" s="57">
        <v>1367847.8736775534</v>
      </c>
      <c r="F500" s="57">
        <v>1820141.3629117883</v>
      </c>
      <c r="G500" s="57">
        <v>2138371.3357454375</v>
      </c>
    </row>
    <row r="501" spans="1:7" ht="11.25" customHeight="1" x14ac:dyDescent="0.2">
      <c r="A501" s="64" t="s">
        <v>63</v>
      </c>
      <c r="B501" s="57">
        <v>589430.72238161764</v>
      </c>
      <c r="C501" s="57">
        <v>1230710.6405301706</v>
      </c>
      <c r="D501" s="57">
        <v>770523.46206788416</v>
      </c>
      <c r="E501" s="57">
        <v>1367847.8736775534</v>
      </c>
      <c r="F501" s="57">
        <v>1820141.3629117883</v>
      </c>
      <c r="G501" s="57">
        <v>2138371.3357454375</v>
      </c>
    </row>
    <row r="502" spans="1:7" ht="11.25" customHeight="1" x14ac:dyDescent="0.2">
      <c r="A502" s="65" t="s">
        <v>25</v>
      </c>
      <c r="B502" s="57">
        <v>589430.72238161764</v>
      </c>
      <c r="C502" s="57">
        <v>1230710.6405301706</v>
      </c>
      <c r="D502" s="57">
        <v>770523.46206788416</v>
      </c>
      <c r="E502" s="57">
        <v>1367847.8736775534</v>
      </c>
      <c r="F502" s="57">
        <v>1820141.3629117883</v>
      </c>
      <c r="G502" s="57">
        <v>2138371.3357454375</v>
      </c>
    </row>
    <row r="503" spans="1:7" ht="11.25" customHeight="1" x14ac:dyDescent="0.2">
      <c r="A503" s="66" t="s">
        <v>36</v>
      </c>
      <c r="B503" s="57">
        <v>0</v>
      </c>
      <c r="C503" s="57">
        <v>0</v>
      </c>
      <c r="D503" s="57">
        <v>0</v>
      </c>
      <c r="E503" s="57">
        <v>0</v>
      </c>
      <c r="F503" s="57">
        <v>0</v>
      </c>
      <c r="G503" s="57">
        <v>0</v>
      </c>
    </row>
    <row r="504" spans="1:7" ht="11.25" customHeight="1" x14ac:dyDescent="0.2">
      <c r="A504" s="67">
        <v>43739</v>
      </c>
      <c r="B504" s="57">
        <v>0</v>
      </c>
      <c r="C504" s="57">
        <v>0</v>
      </c>
      <c r="D504" s="57">
        <v>0</v>
      </c>
      <c r="E504" s="57">
        <v>0</v>
      </c>
      <c r="F504" s="57">
        <v>0</v>
      </c>
      <c r="G504" s="57">
        <v>0</v>
      </c>
    </row>
    <row r="505" spans="1:7" ht="11.25" customHeight="1" x14ac:dyDescent="0.2">
      <c r="A505" s="67">
        <v>43770</v>
      </c>
      <c r="B505" s="57">
        <v>0</v>
      </c>
      <c r="C505" s="57">
        <v>0</v>
      </c>
      <c r="D505" s="57">
        <v>0</v>
      </c>
      <c r="E505" s="57">
        <v>0</v>
      </c>
      <c r="F505" s="57">
        <v>0</v>
      </c>
      <c r="G505" s="57">
        <v>0</v>
      </c>
    </row>
    <row r="506" spans="1:7" ht="11.25" customHeight="1" x14ac:dyDescent="0.2">
      <c r="A506" s="67">
        <v>43800</v>
      </c>
      <c r="B506" s="57">
        <v>0</v>
      </c>
      <c r="C506" s="57">
        <v>0</v>
      </c>
      <c r="D506" s="57">
        <v>0</v>
      </c>
      <c r="E506" s="57">
        <v>0</v>
      </c>
      <c r="F506" s="57">
        <v>0</v>
      </c>
      <c r="G506" s="57">
        <v>0</v>
      </c>
    </row>
    <row r="507" spans="1:7" ht="11.25" customHeight="1" x14ac:dyDescent="0.2">
      <c r="A507" s="67">
        <v>43831</v>
      </c>
      <c r="B507" s="57">
        <v>0</v>
      </c>
      <c r="C507" s="57">
        <v>0</v>
      </c>
      <c r="D507" s="57">
        <v>0</v>
      </c>
      <c r="E507" s="57">
        <v>0</v>
      </c>
      <c r="F507" s="57">
        <v>0</v>
      </c>
      <c r="G507" s="57">
        <v>0</v>
      </c>
    </row>
    <row r="508" spans="1:7" ht="11.25" customHeight="1" x14ac:dyDescent="0.2">
      <c r="A508" s="67">
        <v>43862</v>
      </c>
      <c r="B508" s="57">
        <v>0</v>
      </c>
      <c r="C508" s="57">
        <v>0</v>
      </c>
      <c r="D508" s="57">
        <v>0</v>
      </c>
      <c r="E508" s="57">
        <v>0</v>
      </c>
      <c r="F508" s="57">
        <v>0</v>
      </c>
      <c r="G508" s="57">
        <v>0</v>
      </c>
    </row>
    <row r="509" spans="1:7" ht="11.25" customHeight="1" x14ac:dyDescent="0.2">
      <c r="A509" s="67">
        <v>43891</v>
      </c>
      <c r="B509" s="57">
        <v>0</v>
      </c>
      <c r="C509" s="57">
        <v>0</v>
      </c>
      <c r="D509" s="57">
        <v>0</v>
      </c>
      <c r="E509" s="57">
        <v>0</v>
      </c>
      <c r="F509" s="57">
        <v>0</v>
      </c>
      <c r="G509" s="57">
        <v>0</v>
      </c>
    </row>
    <row r="510" spans="1:7" ht="11.25" customHeight="1" x14ac:dyDescent="0.2">
      <c r="A510" s="67">
        <v>43922</v>
      </c>
      <c r="B510" s="57">
        <v>0</v>
      </c>
      <c r="C510" s="57">
        <v>0</v>
      </c>
      <c r="D510" s="57">
        <v>0</v>
      </c>
      <c r="E510" s="57">
        <v>0</v>
      </c>
      <c r="F510" s="57">
        <v>0</v>
      </c>
      <c r="G510" s="57">
        <v>0</v>
      </c>
    </row>
    <row r="511" spans="1:7" ht="11.25" customHeight="1" x14ac:dyDescent="0.2">
      <c r="A511" s="67">
        <v>43952</v>
      </c>
      <c r="B511" s="57">
        <v>0</v>
      </c>
      <c r="C511" s="57">
        <v>0</v>
      </c>
      <c r="D511" s="57">
        <v>0</v>
      </c>
      <c r="E511" s="57">
        <v>0</v>
      </c>
      <c r="F511" s="57">
        <v>0</v>
      </c>
      <c r="G511" s="57">
        <v>0</v>
      </c>
    </row>
    <row r="512" spans="1:7" ht="11.25" customHeight="1" x14ac:dyDescent="0.2">
      <c r="A512" s="67">
        <v>43983</v>
      </c>
      <c r="B512" s="57">
        <v>0</v>
      </c>
      <c r="C512" s="57">
        <v>0</v>
      </c>
      <c r="D512" s="57">
        <v>0</v>
      </c>
      <c r="E512" s="57">
        <v>0</v>
      </c>
      <c r="F512" s="57">
        <v>0</v>
      </c>
      <c r="G512" s="57">
        <v>0</v>
      </c>
    </row>
    <row r="513" spans="1:7" ht="11.25" customHeight="1" x14ac:dyDescent="0.2">
      <c r="A513" s="67">
        <v>44013</v>
      </c>
      <c r="B513" s="57">
        <v>0</v>
      </c>
      <c r="C513" s="57">
        <v>0</v>
      </c>
      <c r="D513" s="57">
        <v>0</v>
      </c>
      <c r="E513" s="57">
        <v>0</v>
      </c>
      <c r="F513" s="57">
        <v>0</v>
      </c>
      <c r="G513" s="57">
        <v>0</v>
      </c>
    </row>
    <row r="514" spans="1:7" ht="11.25" customHeight="1" x14ac:dyDescent="0.2">
      <c r="A514" s="67">
        <v>44044</v>
      </c>
      <c r="B514" s="57">
        <v>0</v>
      </c>
      <c r="C514" s="57">
        <v>0</v>
      </c>
      <c r="D514" s="57">
        <v>0</v>
      </c>
      <c r="E514" s="57">
        <v>0</v>
      </c>
      <c r="F514" s="57">
        <v>0</v>
      </c>
      <c r="G514" s="57">
        <v>0</v>
      </c>
    </row>
    <row r="515" spans="1:7" ht="11.25" customHeight="1" x14ac:dyDescent="0.2">
      <c r="A515" s="67">
        <v>44075</v>
      </c>
      <c r="B515" s="57">
        <v>0</v>
      </c>
      <c r="C515" s="57">
        <v>0</v>
      </c>
      <c r="D515" s="57">
        <v>0</v>
      </c>
      <c r="E515" s="57">
        <v>0</v>
      </c>
      <c r="F515" s="57">
        <v>0</v>
      </c>
      <c r="G515" s="57">
        <v>0</v>
      </c>
    </row>
    <row r="516" spans="1:7" ht="11.25" customHeight="1" x14ac:dyDescent="0.2">
      <c r="A516" s="66" t="s">
        <v>25</v>
      </c>
      <c r="B516" s="57">
        <v>589430.72238161764</v>
      </c>
      <c r="C516" s="57">
        <v>0</v>
      </c>
      <c r="D516" s="57">
        <v>770523.46206788416</v>
      </c>
      <c r="E516" s="57">
        <v>0</v>
      </c>
      <c r="F516" s="57">
        <v>589430.72238161764</v>
      </c>
      <c r="G516" s="57">
        <v>770523.46206788416</v>
      </c>
    </row>
    <row r="517" spans="1:7" ht="11.25" customHeight="1" x14ac:dyDescent="0.2">
      <c r="A517" s="67">
        <v>43739</v>
      </c>
      <c r="B517" s="57">
        <v>42137.310285259206</v>
      </c>
      <c r="C517" s="57">
        <v>0</v>
      </c>
      <c r="D517" s="57">
        <v>55083.294728919522</v>
      </c>
      <c r="E517" s="57">
        <v>0</v>
      </c>
      <c r="F517" s="57">
        <v>42137.310285259206</v>
      </c>
      <c r="G517" s="57">
        <v>55083.294728919522</v>
      </c>
    </row>
    <row r="518" spans="1:7" ht="11.25" customHeight="1" x14ac:dyDescent="0.2">
      <c r="A518" s="67">
        <v>43770</v>
      </c>
      <c r="B518" s="57">
        <v>38232.135465163199</v>
      </c>
      <c r="C518" s="57">
        <v>0</v>
      </c>
      <c r="D518" s="57">
        <v>49978.320203325398</v>
      </c>
      <c r="E518" s="57">
        <v>0</v>
      </c>
      <c r="F518" s="57">
        <v>38232.135465163199</v>
      </c>
      <c r="G518" s="57">
        <v>49978.320203325398</v>
      </c>
    </row>
    <row r="519" spans="1:7" ht="11.25" customHeight="1" x14ac:dyDescent="0.2">
      <c r="A519" s="67">
        <v>43800</v>
      </c>
      <c r="B519" s="57">
        <v>43340.913355622404</v>
      </c>
      <c r="C519" s="57">
        <v>0</v>
      </c>
      <c r="D519" s="57">
        <v>56656.684729672408</v>
      </c>
      <c r="E519" s="57">
        <v>0</v>
      </c>
      <c r="F519" s="57">
        <v>43340.913355622404</v>
      </c>
      <c r="G519" s="57">
        <v>56656.684729672408</v>
      </c>
    </row>
    <row r="520" spans="1:7" ht="11.25" customHeight="1" x14ac:dyDescent="0.2">
      <c r="A520" s="67">
        <v>43831</v>
      </c>
      <c r="B520" s="57">
        <v>41529.918256394405</v>
      </c>
      <c r="C520" s="57">
        <v>0</v>
      </c>
      <c r="D520" s="57">
        <v>54289.291649096449</v>
      </c>
      <c r="E520" s="57">
        <v>0</v>
      </c>
      <c r="F520" s="57">
        <v>41529.918256394405</v>
      </c>
      <c r="G520" s="57">
        <v>54289.291649096449</v>
      </c>
    </row>
    <row r="521" spans="1:7" ht="11.25" customHeight="1" x14ac:dyDescent="0.2">
      <c r="A521" s="67">
        <v>43862</v>
      </c>
      <c r="B521" s="57">
        <v>44361.474297033601</v>
      </c>
      <c r="C521" s="57">
        <v>0</v>
      </c>
      <c r="D521" s="57">
        <v>57990.795966104182</v>
      </c>
      <c r="E521" s="57">
        <v>0</v>
      </c>
      <c r="F521" s="57">
        <v>44361.474297033601</v>
      </c>
      <c r="G521" s="57">
        <v>57990.795966104182</v>
      </c>
    </row>
    <row r="522" spans="1:7" ht="11.25" customHeight="1" x14ac:dyDescent="0.2">
      <c r="A522" s="67">
        <v>43891</v>
      </c>
      <c r="B522" s="57">
        <v>47173.335588928807</v>
      </c>
      <c r="C522" s="57">
        <v>0</v>
      </c>
      <c r="D522" s="57">
        <v>61666.554651928222</v>
      </c>
      <c r="E522" s="57">
        <v>0</v>
      </c>
      <c r="F522" s="57">
        <v>47173.335588928807</v>
      </c>
      <c r="G522" s="57">
        <v>61666.554651928222</v>
      </c>
    </row>
    <row r="523" spans="1:7" ht="11.25" customHeight="1" x14ac:dyDescent="0.2">
      <c r="A523" s="67">
        <v>43922</v>
      </c>
      <c r="B523" s="57">
        <v>55738.177008091203</v>
      </c>
      <c r="C523" s="57">
        <v>0</v>
      </c>
      <c r="D523" s="57">
        <v>72862.800473133888</v>
      </c>
      <c r="E523" s="57">
        <v>0</v>
      </c>
      <c r="F523" s="57">
        <v>55738.177008091203</v>
      </c>
      <c r="G523" s="57">
        <v>72862.800473133888</v>
      </c>
    </row>
    <row r="524" spans="1:7" ht="11.25" customHeight="1" x14ac:dyDescent="0.2">
      <c r="A524" s="67">
        <v>43952</v>
      </c>
      <c r="B524" s="57">
        <v>58615.009222564797</v>
      </c>
      <c r="C524" s="57">
        <v>0</v>
      </c>
      <c r="D524" s="57">
        <v>76623.491311792721</v>
      </c>
      <c r="E524" s="57">
        <v>0</v>
      </c>
      <c r="F524" s="57">
        <v>58615.009222564797</v>
      </c>
      <c r="G524" s="57">
        <v>76623.491311792721</v>
      </c>
    </row>
    <row r="525" spans="1:7" ht="11.25" customHeight="1" x14ac:dyDescent="0.2">
      <c r="A525" s="67">
        <v>43983</v>
      </c>
      <c r="B525" s="57">
        <v>57832.840629892802</v>
      </c>
      <c r="C525" s="57">
        <v>0</v>
      </c>
      <c r="D525" s="57">
        <v>75601.014489561203</v>
      </c>
      <c r="E525" s="57">
        <v>0</v>
      </c>
      <c r="F525" s="57">
        <v>57832.840629892802</v>
      </c>
      <c r="G525" s="57">
        <v>75601.014489561203</v>
      </c>
    </row>
    <row r="526" spans="1:7" ht="11.25" customHeight="1" x14ac:dyDescent="0.2">
      <c r="A526" s="67">
        <v>44013</v>
      </c>
      <c r="B526" s="57">
        <v>42294.366672667195</v>
      </c>
      <c r="C526" s="57">
        <v>0</v>
      </c>
      <c r="D526" s="57">
        <v>55288.604066845633</v>
      </c>
      <c r="E526" s="57">
        <v>0</v>
      </c>
      <c r="F526" s="57">
        <v>42294.366672667195</v>
      </c>
      <c r="G526" s="57">
        <v>55288.604066845633</v>
      </c>
    </row>
    <row r="527" spans="1:7" ht="11.25" customHeight="1" x14ac:dyDescent="0.2">
      <c r="A527" s="67">
        <v>44044</v>
      </c>
      <c r="B527" s="57">
        <v>59087.620800000004</v>
      </c>
      <c r="C527" s="57">
        <v>0</v>
      </c>
      <c r="D527" s="57">
        <v>77241.304898752249</v>
      </c>
      <c r="E527" s="57">
        <v>0</v>
      </c>
      <c r="F527" s="57">
        <v>59087.620800000004</v>
      </c>
      <c r="G527" s="57">
        <v>77241.304898752249</v>
      </c>
    </row>
    <row r="528" spans="1:7" ht="11.25" customHeight="1" x14ac:dyDescent="0.2">
      <c r="A528" s="67">
        <v>44075</v>
      </c>
      <c r="B528" s="57">
        <v>59087.620800000004</v>
      </c>
      <c r="C528" s="57">
        <v>0</v>
      </c>
      <c r="D528" s="57">
        <v>77241.304898752249</v>
      </c>
      <c r="E528" s="57">
        <v>0</v>
      </c>
      <c r="F528" s="57">
        <v>59087.620800000004</v>
      </c>
      <c r="G528" s="57">
        <v>77241.304898752249</v>
      </c>
    </row>
    <row r="529" spans="1:7" ht="11.25" customHeight="1" x14ac:dyDescent="0.2">
      <c r="A529" s="66" t="s">
        <v>35</v>
      </c>
      <c r="B529" s="57">
        <v>0</v>
      </c>
      <c r="C529" s="57">
        <v>1230710.6405301706</v>
      </c>
      <c r="D529" s="57">
        <v>0</v>
      </c>
      <c r="E529" s="57">
        <v>1367847.8736775534</v>
      </c>
      <c r="F529" s="57">
        <v>1230710.6405301706</v>
      </c>
      <c r="G529" s="57">
        <v>1367847.8736775534</v>
      </c>
    </row>
    <row r="530" spans="1:7" ht="11.25" customHeight="1" x14ac:dyDescent="0.2">
      <c r="A530" s="67">
        <v>43739</v>
      </c>
      <c r="B530" s="57">
        <v>0</v>
      </c>
      <c r="C530" s="57">
        <v>120415.81202771087</v>
      </c>
      <c r="D530" s="57">
        <v>0</v>
      </c>
      <c r="E530" s="57">
        <v>133833.66245074925</v>
      </c>
      <c r="F530" s="57">
        <v>120415.81202771087</v>
      </c>
      <c r="G530" s="57">
        <v>133833.66245074925</v>
      </c>
    </row>
    <row r="531" spans="1:7" ht="11.25" customHeight="1" x14ac:dyDescent="0.2">
      <c r="A531" s="67">
        <v>43770</v>
      </c>
      <c r="B531" s="57">
        <v>0</v>
      </c>
      <c r="C531" s="57">
        <v>115477.27322620052</v>
      </c>
      <c r="D531" s="57">
        <v>0</v>
      </c>
      <c r="E531" s="57">
        <v>128344.82569557989</v>
      </c>
      <c r="F531" s="57">
        <v>115477.27322620052</v>
      </c>
      <c r="G531" s="57">
        <v>128344.82569557989</v>
      </c>
    </row>
    <row r="532" spans="1:7" ht="11.25" customHeight="1" x14ac:dyDescent="0.2">
      <c r="A532" s="67">
        <v>43800</v>
      </c>
      <c r="B532" s="57">
        <v>0</v>
      </c>
      <c r="C532" s="57">
        <v>104977.92628841575</v>
      </c>
      <c r="D532" s="57">
        <v>0</v>
      </c>
      <c r="E532" s="57">
        <v>116675.54381006282</v>
      </c>
      <c r="F532" s="57">
        <v>104977.92628841575</v>
      </c>
      <c r="G532" s="57">
        <v>116675.54381006282</v>
      </c>
    </row>
    <row r="533" spans="1:7" ht="11.25" customHeight="1" x14ac:dyDescent="0.2">
      <c r="A533" s="67">
        <v>43831</v>
      </c>
      <c r="B533" s="57">
        <v>0</v>
      </c>
      <c r="C533" s="57">
        <v>106628.19056873092</v>
      </c>
      <c r="D533" s="57">
        <v>0</v>
      </c>
      <c r="E533" s="57">
        <v>118509.69589463627</v>
      </c>
      <c r="F533" s="57">
        <v>106628.19056873092</v>
      </c>
      <c r="G533" s="57">
        <v>118509.69589463627</v>
      </c>
    </row>
    <row r="534" spans="1:7" ht="11.25" customHeight="1" x14ac:dyDescent="0.2">
      <c r="A534" s="67">
        <v>43862</v>
      </c>
      <c r="B534" s="57">
        <v>0</v>
      </c>
      <c r="C534" s="57">
        <v>97677.068984306126</v>
      </c>
      <c r="D534" s="57">
        <v>0</v>
      </c>
      <c r="E534" s="57">
        <v>108561.15703987323</v>
      </c>
      <c r="F534" s="57">
        <v>97677.068984306126</v>
      </c>
      <c r="G534" s="57">
        <v>108561.15703987323</v>
      </c>
    </row>
    <row r="535" spans="1:7" ht="11.25" customHeight="1" x14ac:dyDescent="0.2">
      <c r="A535" s="67">
        <v>43891</v>
      </c>
      <c r="B535" s="57">
        <v>0</v>
      </c>
      <c r="C535" s="57">
        <v>103737.56827032435</v>
      </c>
      <c r="D535" s="57">
        <v>0</v>
      </c>
      <c r="E535" s="57">
        <v>115296.97355823308</v>
      </c>
      <c r="F535" s="57">
        <v>103737.56827032435</v>
      </c>
      <c r="G535" s="57">
        <v>115296.97355823308</v>
      </c>
    </row>
    <row r="536" spans="1:7" ht="11.25" customHeight="1" x14ac:dyDescent="0.2">
      <c r="A536" s="67">
        <v>43922</v>
      </c>
      <c r="B536" s="57">
        <v>0</v>
      </c>
      <c r="C536" s="57">
        <v>99140.857549323133</v>
      </c>
      <c r="D536" s="57">
        <v>0</v>
      </c>
      <c r="E536" s="57">
        <v>110188.05454951814</v>
      </c>
      <c r="F536" s="57">
        <v>99140.857549323133</v>
      </c>
      <c r="G536" s="57">
        <v>110188.05454951814</v>
      </c>
    </row>
    <row r="537" spans="1:7" ht="11.25" customHeight="1" x14ac:dyDescent="0.2">
      <c r="A537" s="67">
        <v>43952</v>
      </c>
      <c r="B537" s="57">
        <v>0</v>
      </c>
      <c r="C537" s="57">
        <v>88186.825505742614</v>
      </c>
      <c r="D537" s="57">
        <v>0</v>
      </c>
      <c r="E537" s="57">
        <v>98013.42231220135</v>
      </c>
      <c r="F537" s="57">
        <v>88186.825505742614</v>
      </c>
      <c r="G537" s="57">
        <v>98013.42231220135</v>
      </c>
    </row>
    <row r="538" spans="1:7" ht="11.25" customHeight="1" x14ac:dyDescent="0.2">
      <c r="A538" s="67">
        <v>43983</v>
      </c>
      <c r="B538" s="57">
        <v>0</v>
      </c>
      <c r="C538" s="57">
        <v>85797.103242831072</v>
      </c>
      <c r="D538" s="57">
        <v>0</v>
      </c>
      <c r="E538" s="57">
        <v>95357.414954862412</v>
      </c>
      <c r="F538" s="57">
        <v>85797.103242831072</v>
      </c>
      <c r="G538" s="57">
        <v>95357.414954862412</v>
      </c>
    </row>
    <row r="539" spans="1:7" ht="11.25" customHeight="1" x14ac:dyDescent="0.2">
      <c r="A539" s="67">
        <v>44013</v>
      </c>
      <c r="B539" s="57">
        <v>0</v>
      </c>
      <c r="C539" s="57">
        <v>96518.22281778563</v>
      </c>
      <c r="D539" s="57">
        <v>0</v>
      </c>
      <c r="E539" s="57">
        <v>107273.18144870453</v>
      </c>
      <c r="F539" s="57">
        <v>96518.22281778563</v>
      </c>
      <c r="G539" s="57">
        <v>107273.18144870453</v>
      </c>
    </row>
    <row r="540" spans="1:7" ht="11.25" customHeight="1" x14ac:dyDescent="0.2">
      <c r="A540" s="67">
        <v>44044</v>
      </c>
      <c r="B540" s="57">
        <v>0</v>
      </c>
      <c r="C540" s="57">
        <v>106076.8960244</v>
      </c>
      <c r="D540" s="57">
        <v>0</v>
      </c>
      <c r="E540" s="57">
        <v>117896.97098156634</v>
      </c>
      <c r="F540" s="57">
        <v>106076.8960244</v>
      </c>
      <c r="G540" s="57">
        <v>117896.97098156634</v>
      </c>
    </row>
    <row r="541" spans="1:7" ht="11.25" customHeight="1" x14ac:dyDescent="0.2">
      <c r="A541" s="67">
        <v>44075</v>
      </c>
      <c r="B541" s="57">
        <v>0</v>
      </c>
      <c r="C541" s="57">
        <v>106076.8960244</v>
      </c>
      <c r="D541" s="57">
        <v>0</v>
      </c>
      <c r="E541" s="57">
        <v>117896.97098156634</v>
      </c>
      <c r="F541" s="57">
        <v>106076.8960244</v>
      </c>
      <c r="G541" s="57">
        <v>117896.97098156634</v>
      </c>
    </row>
    <row r="542" spans="1:7" ht="11.25" customHeight="1" x14ac:dyDescent="0.2">
      <c r="A542" s="59" t="s">
        <v>1149</v>
      </c>
      <c r="B542" s="57">
        <v>433792.8</v>
      </c>
      <c r="C542" s="57">
        <v>0</v>
      </c>
      <c r="D542" s="57">
        <v>446577.07235822082</v>
      </c>
      <c r="E542" s="57">
        <v>0</v>
      </c>
      <c r="F542" s="57">
        <v>433792.8</v>
      </c>
      <c r="G542" s="57">
        <v>446577.07235822082</v>
      </c>
    </row>
    <row r="543" spans="1:7" ht="11.25" customHeight="1" x14ac:dyDescent="0.2">
      <c r="A543" s="60" t="s">
        <v>43</v>
      </c>
      <c r="B543" s="57">
        <v>0</v>
      </c>
      <c r="C543" s="57">
        <v>0</v>
      </c>
      <c r="D543" s="57">
        <v>0</v>
      </c>
      <c r="E543" s="57">
        <v>0</v>
      </c>
      <c r="F543" s="57">
        <v>0</v>
      </c>
      <c r="G543" s="57">
        <v>0</v>
      </c>
    </row>
    <row r="544" spans="1:7" ht="11.25" customHeight="1" x14ac:dyDescent="0.2">
      <c r="A544" s="61" t="s">
        <v>64</v>
      </c>
      <c r="B544" s="57">
        <v>0</v>
      </c>
      <c r="C544" s="57">
        <v>0</v>
      </c>
      <c r="D544" s="57">
        <v>0</v>
      </c>
      <c r="E544" s="57">
        <v>0</v>
      </c>
      <c r="F544" s="57">
        <v>0</v>
      </c>
      <c r="G544" s="57">
        <v>0</v>
      </c>
    </row>
    <row r="545" spans="1:7" ht="11.25" customHeight="1" x14ac:dyDescent="0.2">
      <c r="A545" s="62" t="s">
        <v>25</v>
      </c>
      <c r="B545" s="57">
        <v>0</v>
      </c>
      <c r="C545" s="57">
        <v>0</v>
      </c>
      <c r="D545" s="57">
        <v>0</v>
      </c>
      <c r="E545" s="57">
        <v>0</v>
      </c>
      <c r="F545" s="57">
        <v>0</v>
      </c>
      <c r="G545" s="57">
        <v>0</v>
      </c>
    </row>
    <row r="546" spans="1:7" ht="11.25" customHeight="1" x14ac:dyDescent="0.2">
      <c r="A546" s="63" t="s">
        <v>25</v>
      </c>
      <c r="B546" s="57">
        <v>0</v>
      </c>
      <c r="C546" s="57">
        <v>0</v>
      </c>
      <c r="D546" s="57">
        <v>0</v>
      </c>
      <c r="E546" s="57">
        <v>0</v>
      </c>
      <c r="F546" s="57">
        <v>0</v>
      </c>
      <c r="G546" s="57">
        <v>0</v>
      </c>
    </row>
    <row r="547" spans="1:7" ht="11.25" customHeight="1" x14ac:dyDescent="0.2">
      <c r="A547" s="64" t="s">
        <v>25</v>
      </c>
      <c r="B547" s="57">
        <v>0</v>
      </c>
      <c r="C547" s="57">
        <v>0</v>
      </c>
      <c r="D547" s="57">
        <v>0</v>
      </c>
      <c r="E547" s="57">
        <v>0</v>
      </c>
      <c r="F547" s="57">
        <v>0</v>
      </c>
      <c r="G547" s="57">
        <v>0</v>
      </c>
    </row>
    <row r="548" spans="1:7" ht="11.25" customHeight="1" x14ac:dyDescent="0.2">
      <c r="A548" s="65" t="s">
        <v>71</v>
      </c>
      <c r="B548" s="57">
        <v>0</v>
      </c>
      <c r="C548" s="57">
        <v>0</v>
      </c>
      <c r="D548" s="57">
        <v>0</v>
      </c>
      <c r="E548" s="57">
        <v>0</v>
      </c>
      <c r="F548" s="57">
        <v>0</v>
      </c>
      <c r="G548" s="57">
        <v>0</v>
      </c>
    </row>
    <row r="549" spans="1:7" ht="11.25" customHeight="1" x14ac:dyDescent="0.2">
      <c r="A549" s="66" t="s">
        <v>25</v>
      </c>
      <c r="B549" s="57">
        <v>0</v>
      </c>
      <c r="C549" s="57">
        <v>0</v>
      </c>
      <c r="D549" s="57">
        <v>0</v>
      </c>
      <c r="E549" s="57">
        <v>0</v>
      </c>
      <c r="F549" s="57">
        <v>0</v>
      </c>
      <c r="G549" s="57">
        <v>0</v>
      </c>
    </row>
    <row r="550" spans="1:7" ht="11.25" customHeight="1" x14ac:dyDescent="0.2">
      <c r="A550" s="67">
        <v>43739</v>
      </c>
      <c r="B550" s="57">
        <v>0</v>
      </c>
      <c r="C550" s="57">
        <v>0</v>
      </c>
      <c r="D550" s="57">
        <v>0</v>
      </c>
      <c r="E550" s="57">
        <v>0</v>
      </c>
      <c r="F550" s="57">
        <v>0</v>
      </c>
      <c r="G550" s="57">
        <v>0</v>
      </c>
    </row>
    <row r="551" spans="1:7" ht="11.25" customHeight="1" x14ac:dyDescent="0.2">
      <c r="A551" s="67">
        <v>43770</v>
      </c>
      <c r="B551" s="57">
        <v>0</v>
      </c>
      <c r="C551" s="57">
        <v>0</v>
      </c>
      <c r="D551" s="57">
        <v>0</v>
      </c>
      <c r="E551" s="57">
        <v>0</v>
      </c>
      <c r="F551" s="57">
        <v>0</v>
      </c>
      <c r="G551" s="57">
        <v>0</v>
      </c>
    </row>
    <row r="552" spans="1:7" ht="11.25" customHeight="1" x14ac:dyDescent="0.2">
      <c r="A552" s="67">
        <v>43800</v>
      </c>
      <c r="B552" s="57">
        <v>0</v>
      </c>
      <c r="C552" s="57">
        <v>0</v>
      </c>
      <c r="D552" s="57">
        <v>0</v>
      </c>
      <c r="E552" s="57">
        <v>0</v>
      </c>
      <c r="F552" s="57">
        <v>0</v>
      </c>
      <c r="G552" s="57">
        <v>0</v>
      </c>
    </row>
    <row r="553" spans="1:7" ht="11.25" customHeight="1" x14ac:dyDescent="0.2">
      <c r="A553" s="67">
        <v>43831</v>
      </c>
      <c r="B553" s="57">
        <v>0</v>
      </c>
      <c r="C553" s="57">
        <v>0</v>
      </c>
      <c r="D553" s="57">
        <v>0</v>
      </c>
      <c r="E553" s="57">
        <v>0</v>
      </c>
      <c r="F553" s="57">
        <v>0</v>
      </c>
      <c r="G553" s="57">
        <v>0</v>
      </c>
    </row>
    <row r="554" spans="1:7" ht="11.25" customHeight="1" x14ac:dyDescent="0.2">
      <c r="A554" s="67">
        <v>43862</v>
      </c>
      <c r="B554" s="57">
        <v>0</v>
      </c>
      <c r="C554" s="57">
        <v>0</v>
      </c>
      <c r="D554" s="57">
        <v>0</v>
      </c>
      <c r="E554" s="57">
        <v>0</v>
      </c>
      <c r="F554" s="57">
        <v>0</v>
      </c>
      <c r="G554" s="57">
        <v>0</v>
      </c>
    </row>
    <row r="555" spans="1:7" ht="11.25" customHeight="1" x14ac:dyDescent="0.2">
      <c r="A555" s="67">
        <v>43891</v>
      </c>
      <c r="B555" s="57">
        <v>0</v>
      </c>
      <c r="C555" s="57">
        <v>0</v>
      </c>
      <c r="D555" s="57">
        <v>0</v>
      </c>
      <c r="E555" s="57">
        <v>0</v>
      </c>
      <c r="F555" s="57">
        <v>0</v>
      </c>
      <c r="G555" s="57">
        <v>0</v>
      </c>
    </row>
    <row r="556" spans="1:7" ht="11.25" customHeight="1" x14ac:dyDescent="0.2">
      <c r="A556" s="67">
        <v>43922</v>
      </c>
      <c r="B556" s="57">
        <v>0</v>
      </c>
      <c r="C556" s="57">
        <v>0</v>
      </c>
      <c r="D556" s="57">
        <v>0</v>
      </c>
      <c r="E556" s="57">
        <v>0</v>
      </c>
      <c r="F556" s="57">
        <v>0</v>
      </c>
      <c r="G556" s="57">
        <v>0</v>
      </c>
    </row>
    <row r="557" spans="1:7" ht="11.25" customHeight="1" x14ac:dyDescent="0.2">
      <c r="A557" s="67">
        <v>43952</v>
      </c>
      <c r="B557" s="57">
        <v>0</v>
      </c>
      <c r="C557" s="57">
        <v>0</v>
      </c>
      <c r="D557" s="57">
        <v>0</v>
      </c>
      <c r="E557" s="57">
        <v>0</v>
      </c>
      <c r="F557" s="57">
        <v>0</v>
      </c>
      <c r="G557" s="57">
        <v>0</v>
      </c>
    </row>
    <row r="558" spans="1:7" ht="11.25" customHeight="1" x14ac:dyDescent="0.2">
      <c r="A558" s="67">
        <v>43983</v>
      </c>
      <c r="B558" s="57">
        <v>0</v>
      </c>
      <c r="C558" s="57">
        <v>0</v>
      </c>
      <c r="D558" s="57">
        <v>0</v>
      </c>
      <c r="E558" s="57">
        <v>0</v>
      </c>
      <c r="F558" s="57">
        <v>0</v>
      </c>
      <c r="G558" s="57">
        <v>0</v>
      </c>
    </row>
    <row r="559" spans="1:7" ht="11.25" customHeight="1" x14ac:dyDescent="0.2">
      <c r="A559" s="67">
        <v>44013</v>
      </c>
      <c r="B559" s="57">
        <v>0</v>
      </c>
      <c r="C559" s="57">
        <v>0</v>
      </c>
      <c r="D559" s="57">
        <v>0</v>
      </c>
      <c r="E559" s="57">
        <v>0</v>
      </c>
      <c r="F559" s="57">
        <v>0</v>
      </c>
      <c r="G559" s="57">
        <v>0</v>
      </c>
    </row>
    <row r="560" spans="1:7" ht="11.25" customHeight="1" x14ac:dyDescent="0.2">
      <c r="A560" s="67">
        <v>44044</v>
      </c>
      <c r="B560" s="57">
        <v>0</v>
      </c>
      <c r="C560" s="57">
        <v>0</v>
      </c>
      <c r="D560" s="57">
        <v>0</v>
      </c>
      <c r="E560" s="57">
        <v>0</v>
      </c>
      <c r="F560" s="57">
        <v>0</v>
      </c>
      <c r="G560" s="57">
        <v>0</v>
      </c>
    </row>
    <row r="561" spans="1:7" ht="11.25" customHeight="1" x14ac:dyDescent="0.2">
      <c r="A561" s="67">
        <v>44075</v>
      </c>
      <c r="B561" s="57">
        <v>0</v>
      </c>
      <c r="C561" s="57">
        <v>0</v>
      </c>
      <c r="D561" s="57">
        <v>0</v>
      </c>
      <c r="E561" s="57">
        <v>0</v>
      </c>
      <c r="F561" s="57">
        <v>0</v>
      </c>
      <c r="G561" s="57">
        <v>0</v>
      </c>
    </row>
    <row r="562" spans="1:7" ht="11.25" customHeight="1" x14ac:dyDescent="0.2">
      <c r="A562" s="65" t="s">
        <v>70</v>
      </c>
      <c r="B562" s="57">
        <v>0</v>
      </c>
      <c r="C562" s="57">
        <v>0</v>
      </c>
      <c r="D562" s="57">
        <v>0</v>
      </c>
      <c r="E562" s="57">
        <v>0</v>
      </c>
      <c r="F562" s="57">
        <v>0</v>
      </c>
      <c r="G562" s="57">
        <v>0</v>
      </c>
    </row>
    <row r="563" spans="1:7" ht="11.25" customHeight="1" x14ac:dyDescent="0.2">
      <c r="A563" s="66" t="s">
        <v>25</v>
      </c>
      <c r="B563" s="57">
        <v>0</v>
      </c>
      <c r="C563" s="57">
        <v>0</v>
      </c>
      <c r="D563" s="57">
        <v>0</v>
      </c>
      <c r="E563" s="57">
        <v>0</v>
      </c>
      <c r="F563" s="57">
        <v>0</v>
      </c>
      <c r="G563" s="57">
        <v>0</v>
      </c>
    </row>
    <row r="564" spans="1:7" ht="11.25" customHeight="1" x14ac:dyDescent="0.2">
      <c r="A564" s="67">
        <v>43739</v>
      </c>
      <c r="B564" s="57">
        <v>0</v>
      </c>
      <c r="C564" s="57">
        <v>0</v>
      </c>
      <c r="D564" s="57">
        <v>0</v>
      </c>
      <c r="E564" s="57">
        <v>0</v>
      </c>
      <c r="F564" s="57">
        <v>0</v>
      </c>
      <c r="G564" s="57">
        <v>0</v>
      </c>
    </row>
    <row r="565" spans="1:7" ht="11.25" customHeight="1" x14ac:dyDescent="0.2">
      <c r="A565" s="67">
        <v>43770</v>
      </c>
      <c r="B565" s="57">
        <v>0</v>
      </c>
      <c r="C565" s="57">
        <v>0</v>
      </c>
      <c r="D565" s="57">
        <v>0</v>
      </c>
      <c r="E565" s="57">
        <v>0</v>
      </c>
      <c r="F565" s="57">
        <v>0</v>
      </c>
      <c r="G565" s="57">
        <v>0</v>
      </c>
    </row>
    <row r="566" spans="1:7" ht="11.25" customHeight="1" x14ac:dyDescent="0.2">
      <c r="A566" s="67">
        <v>43800</v>
      </c>
      <c r="B566" s="57">
        <v>0</v>
      </c>
      <c r="C566" s="57">
        <v>0</v>
      </c>
      <c r="D566" s="57">
        <v>0</v>
      </c>
      <c r="E566" s="57">
        <v>0</v>
      </c>
      <c r="F566" s="57">
        <v>0</v>
      </c>
      <c r="G566" s="57">
        <v>0</v>
      </c>
    </row>
    <row r="567" spans="1:7" ht="11.25" customHeight="1" x14ac:dyDescent="0.2">
      <c r="A567" s="67">
        <v>43831</v>
      </c>
      <c r="B567" s="57">
        <v>0</v>
      </c>
      <c r="C567" s="57">
        <v>0</v>
      </c>
      <c r="D567" s="57">
        <v>0</v>
      </c>
      <c r="E567" s="57">
        <v>0</v>
      </c>
      <c r="F567" s="57">
        <v>0</v>
      </c>
      <c r="G567" s="57">
        <v>0</v>
      </c>
    </row>
    <row r="568" spans="1:7" ht="11.25" customHeight="1" x14ac:dyDescent="0.2">
      <c r="A568" s="67">
        <v>43862</v>
      </c>
      <c r="B568" s="57">
        <v>0</v>
      </c>
      <c r="C568" s="57">
        <v>0</v>
      </c>
      <c r="D568" s="57">
        <v>0</v>
      </c>
      <c r="E568" s="57">
        <v>0</v>
      </c>
      <c r="F568" s="57">
        <v>0</v>
      </c>
      <c r="G568" s="57">
        <v>0</v>
      </c>
    </row>
    <row r="569" spans="1:7" ht="11.25" customHeight="1" x14ac:dyDescent="0.2">
      <c r="A569" s="67">
        <v>43891</v>
      </c>
      <c r="B569" s="57">
        <v>0</v>
      </c>
      <c r="C569" s="57">
        <v>0</v>
      </c>
      <c r="D569" s="57">
        <v>0</v>
      </c>
      <c r="E569" s="57">
        <v>0</v>
      </c>
      <c r="F569" s="57">
        <v>0</v>
      </c>
      <c r="G569" s="57">
        <v>0</v>
      </c>
    </row>
    <row r="570" spans="1:7" ht="11.25" customHeight="1" x14ac:dyDescent="0.2">
      <c r="A570" s="67">
        <v>43922</v>
      </c>
      <c r="B570" s="57">
        <v>0</v>
      </c>
      <c r="C570" s="57">
        <v>0</v>
      </c>
      <c r="D570" s="57">
        <v>0</v>
      </c>
      <c r="E570" s="57">
        <v>0</v>
      </c>
      <c r="F570" s="57">
        <v>0</v>
      </c>
      <c r="G570" s="57">
        <v>0</v>
      </c>
    </row>
    <row r="571" spans="1:7" ht="11.25" customHeight="1" x14ac:dyDescent="0.2">
      <c r="A571" s="67">
        <v>43952</v>
      </c>
      <c r="B571" s="57">
        <v>0</v>
      </c>
      <c r="C571" s="57">
        <v>0</v>
      </c>
      <c r="D571" s="57">
        <v>0</v>
      </c>
      <c r="E571" s="57">
        <v>0</v>
      </c>
      <c r="F571" s="57">
        <v>0</v>
      </c>
      <c r="G571" s="57">
        <v>0</v>
      </c>
    </row>
    <row r="572" spans="1:7" ht="11.25" customHeight="1" x14ac:dyDescent="0.2">
      <c r="A572" s="67">
        <v>43983</v>
      </c>
      <c r="B572" s="57">
        <v>0</v>
      </c>
      <c r="C572" s="57">
        <v>0</v>
      </c>
      <c r="D572" s="57">
        <v>0</v>
      </c>
      <c r="E572" s="57">
        <v>0</v>
      </c>
      <c r="F572" s="57">
        <v>0</v>
      </c>
      <c r="G572" s="57">
        <v>0</v>
      </c>
    </row>
    <row r="573" spans="1:7" ht="11.25" customHeight="1" x14ac:dyDescent="0.2">
      <c r="A573" s="67">
        <v>44013</v>
      </c>
      <c r="B573" s="57">
        <v>0</v>
      </c>
      <c r="C573" s="57">
        <v>0</v>
      </c>
      <c r="D573" s="57">
        <v>0</v>
      </c>
      <c r="E573" s="57">
        <v>0</v>
      </c>
      <c r="F573" s="57">
        <v>0</v>
      </c>
      <c r="G573" s="57">
        <v>0</v>
      </c>
    </row>
    <row r="574" spans="1:7" ht="11.25" customHeight="1" x14ac:dyDescent="0.2">
      <c r="A574" s="67">
        <v>44044</v>
      </c>
      <c r="B574" s="57">
        <v>0</v>
      </c>
      <c r="C574" s="57">
        <v>0</v>
      </c>
      <c r="D574" s="57">
        <v>0</v>
      </c>
      <c r="E574" s="57">
        <v>0</v>
      </c>
      <c r="F574" s="57">
        <v>0</v>
      </c>
      <c r="G574" s="57">
        <v>0</v>
      </c>
    </row>
    <row r="575" spans="1:7" ht="11.25" customHeight="1" x14ac:dyDescent="0.2">
      <c r="A575" s="67">
        <v>44075</v>
      </c>
      <c r="B575" s="57">
        <v>0</v>
      </c>
      <c r="C575" s="57">
        <v>0</v>
      </c>
      <c r="D575" s="57">
        <v>0</v>
      </c>
      <c r="E575" s="57">
        <v>0</v>
      </c>
      <c r="F575" s="57">
        <v>0</v>
      </c>
      <c r="G575" s="57">
        <v>0</v>
      </c>
    </row>
    <row r="576" spans="1:7" ht="11.25" customHeight="1" x14ac:dyDescent="0.2">
      <c r="A576" s="60" t="s">
        <v>45</v>
      </c>
      <c r="B576" s="57">
        <v>433792.8</v>
      </c>
      <c r="C576" s="57">
        <v>0</v>
      </c>
      <c r="D576" s="57">
        <v>446577.07235822082</v>
      </c>
      <c r="E576" s="57">
        <v>0</v>
      </c>
      <c r="F576" s="57">
        <v>433792.8</v>
      </c>
      <c r="G576" s="57">
        <v>446577.07235822082</v>
      </c>
    </row>
    <row r="577" spans="1:7" ht="11.25" customHeight="1" x14ac:dyDescent="0.2">
      <c r="A577" s="61" t="s">
        <v>64</v>
      </c>
      <c r="B577" s="57">
        <v>433792.8</v>
      </c>
      <c r="C577" s="57">
        <v>0</v>
      </c>
      <c r="D577" s="57">
        <v>446577.07235822082</v>
      </c>
      <c r="E577" s="57">
        <v>0</v>
      </c>
      <c r="F577" s="57">
        <v>433792.8</v>
      </c>
      <c r="G577" s="57">
        <v>446577.07235822082</v>
      </c>
    </row>
    <row r="578" spans="1:7" ht="11.25" customHeight="1" x14ac:dyDescent="0.2">
      <c r="A578" s="62" t="s">
        <v>25</v>
      </c>
      <c r="B578" s="57">
        <v>433792.8</v>
      </c>
      <c r="C578" s="57">
        <v>0</v>
      </c>
      <c r="D578" s="57">
        <v>446577.07235822082</v>
      </c>
      <c r="E578" s="57">
        <v>0</v>
      </c>
      <c r="F578" s="57">
        <v>433792.8</v>
      </c>
      <c r="G578" s="57">
        <v>446577.07235822082</v>
      </c>
    </row>
    <row r="579" spans="1:7" ht="11.25" customHeight="1" x14ac:dyDescent="0.2">
      <c r="A579" s="63" t="s">
        <v>25</v>
      </c>
      <c r="B579" s="57">
        <v>433792.8</v>
      </c>
      <c r="C579" s="57">
        <v>0</v>
      </c>
      <c r="D579" s="57">
        <v>446577.07235822082</v>
      </c>
      <c r="E579" s="57">
        <v>0</v>
      </c>
      <c r="F579" s="57">
        <v>433792.8</v>
      </c>
      <c r="G579" s="57">
        <v>446577.07235822082</v>
      </c>
    </row>
    <row r="580" spans="1:7" ht="11.25" customHeight="1" x14ac:dyDescent="0.2">
      <c r="A580" s="64" t="s">
        <v>25</v>
      </c>
      <c r="B580" s="57">
        <v>433792.8</v>
      </c>
      <c r="C580" s="57">
        <v>0</v>
      </c>
      <c r="D580" s="57">
        <v>446577.07235822082</v>
      </c>
      <c r="E580" s="57">
        <v>0</v>
      </c>
      <c r="F580" s="57">
        <v>433792.8</v>
      </c>
      <c r="G580" s="57">
        <v>446577.07235822082</v>
      </c>
    </row>
    <row r="581" spans="1:7" ht="11.25" customHeight="1" x14ac:dyDescent="0.2">
      <c r="A581" s="65" t="s">
        <v>65</v>
      </c>
      <c r="B581" s="57">
        <v>433792.8</v>
      </c>
      <c r="C581" s="57">
        <v>0</v>
      </c>
      <c r="D581" s="57">
        <v>446577.07235822082</v>
      </c>
      <c r="E581" s="57">
        <v>0</v>
      </c>
      <c r="F581" s="57">
        <v>433792.8</v>
      </c>
      <c r="G581" s="57">
        <v>446577.07235822082</v>
      </c>
    </row>
    <row r="582" spans="1:7" ht="11.25" customHeight="1" x14ac:dyDescent="0.2">
      <c r="A582" s="66" t="s">
        <v>25</v>
      </c>
      <c r="B582" s="57">
        <v>433792.8</v>
      </c>
      <c r="C582" s="57">
        <v>0</v>
      </c>
      <c r="D582" s="57">
        <v>446577.07235822082</v>
      </c>
      <c r="E582" s="57">
        <v>0</v>
      </c>
      <c r="F582" s="57">
        <v>433792.8</v>
      </c>
      <c r="G582" s="57">
        <v>446577.07235822082</v>
      </c>
    </row>
    <row r="583" spans="1:7" ht="11.25" customHeight="1" x14ac:dyDescent="0.2">
      <c r="A583" s="67">
        <v>43739</v>
      </c>
      <c r="B583" s="57">
        <v>32270.400000000001</v>
      </c>
      <c r="C583" s="57">
        <v>0</v>
      </c>
      <c r="D583" s="57">
        <v>33221.438336064428</v>
      </c>
      <c r="E583" s="57">
        <v>0</v>
      </c>
      <c r="F583" s="57">
        <v>32270.400000000001</v>
      </c>
      <c r="G583" s="57">
        <v>33221.438336064428</v>
      </c>
    </row>
    <row r="584" spans="1:7" ht="11.25" customHeight="1" x14ac:dyDescent="0.2">
      <c r="A584" s="67">
        <v>43770</v>
      </c>
      <c r="B584" s="57">
        <v>36158.400000000001</v>
      </c>
      <c r="C584" s="57">
        <v>0</v>
      </c>
      <c r="D584" s="57">
        <v>37224.021268120385</v>
      </c>
      <c r="E584" s="57">
        <v>0</v>
      </c>
      <c r="F584" s="57">
        <v>36158.400000000001</v>
      </c>
      <c r="G584" s="57">
        <v>37224.021268120385</v>
      </c>
    </row>
    <row r="585" spans="1:7" ht="11.25" customHeight="1" x14ac:dyDescent="0.2">
      <c r="A585" s="67">
        <v>43800</v>
      </c>
      <c r="B585" s="57">
        <v>35916.479999999996</v>
      </c>
      <c r="C585" s="57">
        <v>0</v>
      </c>
      <c r="D585" s="57">
        <v>36974.971663459117</v>
      </c>
      <c r="E585" s="57">
        <v>0</v>
      </c>
      <c r="F585" s="57">
        <v>35916.479999999996</v>
      </c>
      <c r="G585" s="57">
        <v>36974.971663459117</v>
      </c>
    </row>
    <row r="586" spans="1:7" ht="11.25" customHeight="1" x14ac:dyDescent="0.2">
      <c r="A586" s="67">
        <v>43831</v>
      </c>
      <c r="B586" s="57">
        <v>36465.120000000003</v>
      </c>
      <c r="C586" s="57">
        <v>0</v>
      </c>
      <c r="D586" s="57">
        <v>37539.780588315909</v>
      </c>
      <c r="E586" s="57">
        <v>0</v>
      </c>
      <c r="F586" s="57">
        <v>36465.120000000003</v>
      </c>
      <c r="G586" s="57">
        <v>37539.780588315909</v>
      </c>
    </row>
    <row r="587" spans="1:7" ht="11.25" customHeight="1" x14ac:dyDescent="0.2">
      <c r="A587" s="67">
        <v>43862</v>
      </c>
      <c r="B587" s="57">
        <v>36460.800000000003</v>
      </c>
      <c r="C587" s="57">
        <v>0</v>
      </c>
      <c r="D587" s="57">
        <v>37535.333273946955</v>
      </c>
      <c r="E587" s="57">
        <v>0</v>
      </c>
      <c r="F587" s="57">
        <v>36460.800000000003</v>
      </c>
      <c r="G587" s="57">
        <v>37535.333273946955</v>
      </c>
    </row>
    <row r="588" spans="1:7" ht="11.25" customHeight="1" x14ac:dyDescent="0.2">
      <c r="A588" s="67">
        <v>43891</v>
      </c>
      <c r="B588" s="57">
        <v>36534.239999999998</v>
      </c>
      <c r="C588" s="57">
        <v>0</v>
      </c>
      <c r="D588" s="57">
        <v>37610.937618219119</v>
      </c>
      <c r="E588" s="57">
        <v>0</v>
      </c>
      <c r="F588" s="57">
        <v>36534.239999999998</v>
      </c>
      <c r="G588" s="57">
        <v>37610.937618219119</v>
      </c>
    </row>
    <row r="589" spans="1:7" ht="11.25" customHeight="1" x14ac:dyDescent="0.2">
      <c r="A589" s="67">
        <v>43922</v>
      </c>
      <c r="B589" s="57">
        <v>36495.360000000001</v>
      </c>
      <c r="C589" s="57">
        <v>0</v>
      </c>
      <c r="D589" s="57">
        <v>37570.911788898564</v>
      </c>
      <c r="E589" s="57">
        <v>0</v>
      </c>
      <c r="F589" s="57">
        <v>36495.360000000001</v>
      </c>
      <c r="G589" s="57">
        <v>37570.911788898564</v>
      </c>
    </row>
    <row r="590" spans="1:7" ht="11.25" customHeight="1" x14ac:dyDescent="0.2">
      <c r="A590" s="67">
        <v>43952</v>
      </c>
      <c r="B590" s="57">
        <v>36465.120000000003</v>
      </c>
      <c r="C590" s="57">
        <v>0</v>
      </c>
      <c r="D590" s="57">
        <v>37539.780588315909</v>
      </c>
      <c r="E590" s="57">
        <v>0</v>
      </c>
      <c r="F590" s="57">
        <v>36465.120000000003</v>
      </c>
      <c r="G590" s="57">
        <v>37539.780588315909</v>
      </c>
    </row>
    <row r="591" spans="1:7" ht="11.25" customHeight="1" x14ac:dyDescent="0.2">
      <c r="A591" s="67">
        <v>43983</v>
      </c>
      <c r="B591" s="57">
        <v>36676.800000000003</v>
      </c>
      <c r="C591" s="57">
        <v>0</v>
      </c>
      <c r="D591" s="57">
        <v>37757.698992394508</v>
      </c>
      <c r="E591" s="57">
        <v>0</v>
      </c>
      <c r="F591" s="57">
        <v>36676.800000000003</v>
      </c>
      <c r="G591" s="57">
        <v>37757.698992394508</v>
      </c>
    </row>
    <row r="592" spans="1:7" ht="11.25" customHeight="1" x14ac:dyDescent="0.2">
      <c r="A592" s="67">
        <v>44013</v>
      </c>
      <c r="B592" s="57">
        <v>36754.560000000005</v>
      </c>
      <c r="C592" s="57">
        <v>0</v>
      </c>
      <c r="D592" s="57">
        <v>37837.750651035632</v>
      </c>
      <c r="E592" s="57">
        <v>0</v>
      </c>
      <c r="F592" s="57">
        <v>36754.560000000005</v>
      </c>
      <c r="G592" s="57">
        <v>37837.750651035632</v>
      </c>
    </row>
    <row r="593" spans="1:7" ht="11.25" customHeight="1" x14ac:dyDescent="0.2">
      <c r="A593" s="67">
        <v>44044</v>
      </c>
      <c r="B593" s="57">
        <v>36797.760000000002</v>
      </c>
      <c r="C593" s="57">
        <v>0</v>
      </c>
      <c r="D593" s="57">
        <v>37882.223794725141</v>
      </c>
      <c r="E593" s="57">
        <v>0</v>
      </c>
      <c r="F593" s="57">
        <v>36797.760000000002</v>
      </c>
      <c r="G593" s="57">
        <v>37882.223794725141</v>
      </c>
    </row>
    <row r="594" spans="1:7" ht="11.25" customHeight="1" x14ac:dyDescent="0.2">
      <c r="A594" s="67">
        <v>44075</v>
      </c>
      <c r="B594" s="57">
        <v>36797.760000000002</v>
      </c>
      <c r="C594" s="57">
        <v>0</v>
      </c>
      <c r="D594" s="57">
        <v>37882.223794725141</v>
      </c>
      <c r="E594" s="57">
        <v>0</v>
      </c>
      <c r="F594" s="57">
        <v>36797.760000000002</v>
      </c>
      <c r="G594" s="57">
        <v>37882.223794725141</v>
      </c>
    </row>
    <row r="595" spans="1:7" ht="11.25" customHeight="1" x14ac:dyDescent="0.2">
      <c r="A595" s="59" t="s">
        <v>1152</v>
      </c>
      <c r="B595" s="57">
        <v>0</v>
      </c>
      <c r="C595" s="57">
        <v>2026779.4693628997</v>
      </c>
      <c r="D595" s="57">
        <v>0</v>
      </c>
      <c r="E595" s="57">
        <v>1894258.5654830399</v>
      </c>
      <c r="F595" s="57">
        <v>2026779.4693628999</v>
      </c>
      <c r="G595" s="57">
        <v>1894258.5654830397</v>
      </c>
    </row>
    <row r="596" spans="1:7" ht="11.25" customHeight="1" x14ac:dyDescent="0.2">
      <c r="A596" s="60" t="s">
        <v>33</v>
      </c>
      <c r="B596" s="57">
        <v>0</v>
      </c>
      <c r="C596" s="57">
        <v>1994481.26388</v>
      </c>
      <c r="D596" s="57">
        <v>0</v>
      </c>
      <c r="E596" s="57">
        <v>1863009.2589726793</v>
      </c>
      <c r="F596" s="57">
        <v>1994481.26388</v>
      </c>
      <c r="G596" s="57">
        <v>1863009.258972679</v>
      </c>
    </row>
    <row r="597" spans="1:7" ht="11.25" customHeight="1" x14ac:dyDescent="0.2">
      <c r="A597" s="61" t="s">
        <v>34</v>
      </c>
      <c r="B597" s="57">
        <v>0</v>
      </c>
      <c r="C597" s="57">
        <v>1994481.26388</v>
      </c>
      <c r="D597" s="57">
        <v>0</v>
      </c>
      <c r="E597" s="57">
        <v>1863009.2589726793</v>
      </c>
      <c r="F597" s="57">
        <v>1994481.26388</v>
      </c>
      <c r="G597" s="57">
        <v>1863009.258972679</v>
      </c>
    </row>
    <row r="598" spans="1:7" ht="11.25" customHeight="1" x14ac:dyDescent="0.2">
      <c r="A598" s="62" t="s">
        <v>47</v>
      </c>
      <c r="B598" s="57">
        <v>0</v>
      </c>
      <c r="C598" s="57">
        <v>1994481.26388</v>
      </c>
      <c r="D598" s="57">
        <v>0</v>
      </c>
      <c r="E598" s="57">
        <v>1863009.2589726793</v>
      </c>
      <c r="F598" s="57">
        <v>1994481.26388</v>
      </c>
      <c r="G598" s="57">
        <v>1863009.258972679</v>
      </c>
    </row>
    <row r="599" spans="1:7" ht="11.25" customHeight="1" x14ac:dyDescent="0.2">
      <c r="A599" s="63" t="s">
        <v>55</v>
      </c>
      <c r="B599" s="57">
        <v>0</v>
      </c>
      <c r="C599" s="57">
        <v>1994481.26388</v>
      </c>
      <c r="D599" s="57">
        <v>0</v>
      </c>
      <c r="E599" s="57">
        <v>1863009.2589726793</v>
      </c>
      <c r="F599" s="57">
        <v>1994481.26388</v>
      </c>
      <c r="G599" s="57">
        <v>1863009.258972679</v>
      </c>
    </row>
    <row r="600" spans="1:7" ht="11.25" customHeight="1" x14ac:dyDescent="0.2">
      <c r="A600" s="64" t="s">
        <v>57</v>
      </c>
      <c r="B600" s="57">
        <v>0</v>
      </c>
      <c r="C600" s="57">
        <v>1994481.26388</v>
      </c>
      <c r="D600" s="57">
        <v>0</v>
      </c>
      <c r="E600" s="57">
        <v>1863009.2589726793</v>
      </c>
      <c r="F600" s="57">
        <v>1994481.26388</v>
      </c>
      <c r="G600" s="57">
        <v>1863009.258972679</v>
      </c>
    </row>
    <row r="601" spans="1:7" ht="11.25" customHeight="1" x14ac:dyDescent="0.2">
      <c r="A601" s="65" t="s">
        <v>25</v>
      </c>
      <c r="B601" s="57">
        <v>0</v>
      </c>
      <c r="C601" s="57">
        <v>1994481.26388</v>
      </c>
      <c r="D601" s="57">
        <v>0</v>
      </c>
      <c r="E601" s="57">
        <v>1863009.2589726793</v>
      </c>
      <c r="F601" s="57">
        <v>1994481.26388</v>
      </c>
      <c r="G601" s="57">
        <v>1863009.258972679</v>
      </c>
    </row>
    <row r="602" spans="1:7" ht="11.25" customHeight="1" x14ac:dyDescent="0.2">
      <c r="A602" s="66" t="s">
        <v>36</v>
      </c>
      <c r="B602" s="57">
        <v>0</v>
      </c>
      <c r="C602" s="57">
        <v>1994481.26388</v>
      </c>
      <c r="D602" s="57">
        <v>0</v>
      </c>
      <c r="E602" s="57">
        <v>1863009.2589726793</v>
      </c>
      <c r="F602" s="57">
        <v>1994481.26388</v>
      </c>
      <c r="G602" s="57">
        <v>1863009.258972679</v>
      </c>
    </row>
    <row r="603" spans="1:7" ht="11.25" customHeight="1" x14ac:dyDescent="0.2">
      <c r="A603" s="67">
        <v>43739</v>
      </c>
      <c r="B603" s="57">
        <v>0</v>
      </c>
      <c r="C603" s="57">
        <v>185704.63379999998</v>
      </c>
      <c r="D603" s="57">
        <v>0</v>
      </c>
      <c r="E603" s="57">
        <v>173463.37539942234</v>
      </c>
      <c r="F603" s="57">
        <v>185704.63379999998</v>
      </c>
      <c r="G603" s="57">
        <v>173463.37539942234</v>
      </c>
    </row>
    <row r="604" spans="1:7" ht="11.25" customHeight="1" x14ac:dyDescent="0.2">
      <c r="A604" s="67">
        <v>43770</v>
      </c>
      <c r="B604" s="57">
        <v>0</v>
      </c>
      <c r="C604" s="57">
        <v>233310.132216</v>
      </c>
      <c r="D604" s="57">
        <v>0</v>
      </c>
      <c r="E604" s="57">
        <v>217930.81960819048</v>
      </c>
      <c r="F604" s="57">
        <v>233310.132216</v>
      </c>
      <c r="G604" s="57">
        <v>217930.81960819048</v>
      </c>
    </row>
    <row r="605" spans="1:7" ht="11.25" customHeight="1" x14ac:dyDescent="0.2">
      <c r="A605" s="67">
        <v>43800</v>
      </c>
      <c r="B605" s="57">
        <v>0</v>
      </c>
      <c r="C605" s="57">
        <v>51915.770928000005</v>
      </c>
      <c r="D605" s="57">
        <v>0</v>
      </c>
      <c r="E605" s="57">
        <v>48493.592633411601</v>
      </c>
      <c r="F605" s="57">
        <v>51915.770928000005</v>
      </c>
      <c r="G605" s="57">
        <v>48493.592633411601</v>
      </c>
    </row>
    <row r="606" spans="1:7" ht="11.25" customHeight="1" x14ac:dyDescent="0.2">
      <c r="A606" s="67">
        <v>43831</v>
      </c>
      <c r="B606" s="57">
        <v>0</v>
      </c>
      <c r="C606" s="57">
        <v>66368.598912000001</v>
      </c>
      <c r="D606" s="57">
        <v>0</v>
      </c>
      <c r="E606" s="57">
        <v>61993.720631681674</v>
      </c>
      <c r="F606" s="57">
        <v>66368.598912000001</v>
      </c>
      <c r="G606" s="57">
        <v>61993.720631681674</v>
      </c>
    </row>
    <row r="607" spans="1:7" ht="11.25" customHeight="1" x14ac:dyDescent="0.2">
      <c r="A607" s="67">
        <v>43862</v>
      </c>
      <c r="B607" s="57">
        <v>0</v>
      </c>
      <c r="C607" s="57">
        <v>44641.095407999994</v>
      </c>
      <c r="D607" s="57">
        <v>0</v>
      </c>
      <c r="E607" s="57">
        <v>41698.448404572511</v>
      </c>
      <c r="F607" s="57">
        <v>44641.095407999994</v>
      </c>
      <c r="G607" s="57">
        <v>41698.448404572511</v>
      </c>
    </row>
    <row r="608" spans="1:7" ht="11.25" customHeight="1" x14ac:dyDescent="0.2">
      <c r="A608" s="67">
        <v>43891</v>
      </c>
      <c r="B608" s="57">
        <v>0</v>
      </c>
      <c r="C608" s="57">
        <v>22342.906152000003</v>
      </c>
      <c r="D608" s="57">
        <v>0</v>
      </c>
      <c r="E608" s="57">
        <v>20870.108828476845</v>
      </c>
      <c r="F608" s="57">
        <v>22342.906152000003</v>
      </c>
      <c r="G608" s="57">
        <v>20870.108828476845</v>
      </c>
    </row>
    <row r="609" spans="1:7" ht="11.25" customHeight="1" x14ac:dyDescent="0.2">
      <c r="A609" s="67">
        <v>43922</v>
      </c>
      <c r="B609" s="57">
        <v>0</v>
      </c>
      <c r="C609" s="57">
        <v>59413.758263999996</v>
      </c>
      <c r="D609" s="57">
        <v>0</v>
      </c>
      <c r="E609" s="57">
        <v>55497.328433593255</v>
      </c>
      <c r="F609" s="57">
        <v>59413.758263999996</v>
      </c>
      <c r="G609" s="57">
        <v>55497.328433593255</v>
      </c>
    </row>
    <row r="610" spans="1:7" ht="11.25" customHeight="1" x14ac:dyDescent="0.2">
      <c r="A610" s="67">
        <v>43952</v>
      </c>
      <c r="B610" s="57">
        <v>0</v>
      </c>
      <c r="C610" s="57">
        <v>112183.24017599999</v>
      </c>
      <c r="D610" s="57">
        <v>0</v>
      </c>
      <c r="E610" s="57">
        <v>104788.35722069659</v>
      </c>
      <c r="F610" s="57">
        <v>112183.24017599999</v>
      </c>
      <c r="G610" s="57">
        <v>104788.35722069659</v>
      </c>
    </row>
    <row r="611" spans="1:7" ht="11.25" customHeight="1" x14ac:dyDescent="0.2">
      <c r="A611" s="67">
        <v>43983</v>
      </c>
      <c r="B611" s="57">
        <v>0</v>
      </c>
      <c r="C611" s="57">
        <v>234695.81066399999</v>
      </c>
      <c r="D611" s="57">
        <v>0</v>
      </c>
      <c r="E611" s="57">
        <v>219225.15705088014</v>
      </c>
      <c r="F611" s="57">
        <v>234695.81066399999</v>
      </c>
      <c r="G611" s="57">
        <v>219225.15705088014</v>
      </c>
    </row>
    <row r="612" spans="1:7" ht="11.25" customHeight="1" x14ac:dyDescent="0.2">
      <c r="A612" s="67">
        <v>44013</v>
      </c>
      <c r="B612" s="57">
        <v>0</v>
      </c>
      <c r="C612" s="57">
        <v>329744.02708799997</v>
      </c>
      <c r="D612" s="57">
        <v>0</v>
      </c>
      <c r="E612" s="57">
        <v>308007.99520212633</v>
      </c>
      <c r="F612" s="57">
        <v>329744.02708799997</v>
      </c>
      <c r="G612" s="57">
        <v>308007.99520212633</v>
      </c>
    </row>
    <row r="613" spans="1:7" ht="11.25" customHeight="1" x14ac:dyDescent="0.2">
      <c r="A613" s="67">
        <v>44044</v>
      </c>
      <c r="B613" s="57">
        <v>0</v>
      </c>
      <c r="C613" s="57">
        <v>327080.64513600001</v>
      </c>
      <c r="D613" s="57">
        <v>0</v>
      </c>
      <c r="E613" s="57">
        <v>305520.17777981376</v>
      </c>
      <c r="F613" s="57">
        <v>327080.64513600001</v>
      </c>
      <c r="G613" s="57">
        <v>305520.17777981376</v>
      </c>
    </row>
    <row r="614" spans="1:7" ht="11.25" customHeight="1" x14ac:dyDescent="0.2">
      <c r="A614" s="67">
        <v>44075</v>
      </c>
      <c r="B614" s="57">
        <v>0</v>
      </c>
      <c r="C614" s="57">
        <v>327080.64513600001</v>
      </c>
      <c r="D614" s="57">
        <v>0</v>
      </c>
      <c r="E614" s="57">
        <v>305520.17777981376</v>
      </c>
      <c r="F614" s="57">
        <v>327080.64513600001</v>
      </c>
      <c r="G614" s="57">
        <v>305520.17777981376</v>
      </c>
    </row>
    <row r="615" spans="1:7" ht="11.25" customHeight="1" x14ac:dyDescent="0.2">
      <c r="A615" s="60" t="s">
        <v>46</v>
      </c>
      <c r="B615" s="57">
        <v>0</v>
      </c>
      <c r="C615" s="57">
        <v>32298.205482900001</v>
      </c>
      <c r="D615" s="57">
        <v>0</v>
      </c>
      <c r="E615" s="57">
        <v>31249.306510360773</v>
      </c>
      <c r="F615" s="57">
        <v>32298.205482899994</v>
      </c>
      <c r="G615" s="57">
        <v>31249.306510360773</v>
      </c>
    </row>
    <row r="616" spans="1:7" ht="11.25" customHeight="1" x14ac:dyDescent="0.2">
      <c r="A616" s="61" t="s">
        <v>23</v>
      </c>
      <c r="B616" s="57">
        <v>0</v>
      </c>
      <c r="C616" s="57">
        <v>32298.205482900001</v>
      </c>
      <c r="D616" s="57">
        <v>0</v>
      </c>
      <c r="E616" s="57">
        <v>31249.306510360773</v>
      </c>
      <c r="F616" s="57">
        <v>32298.205482899994</v>
      </c>
      <c r="G616" s="57">
        <v>31249.306510360773</v>
      </c>
    </row>
    <row r="617" spans="1:7" ht="11.25" customHeight="1" x14ac:dyDescent="0.2">
      <c r="A617" s="62" t="s">
        <v>47</v>
      </c>
      <c r="B617" s="57">
        <v>0</v>
      </c>
      <c r="C617" s="57">
        <v>32298.205482900001</v>
      </c>
      <c r="D617" s="57">
        <v>0</v>
      </c>
      <c r="E617" s="57">
        <v>31249.306510360773</v>
      </c>
      <c r="F617" s="57">
        <v>32298.205482899994</v>
      </c>
      <c r="G617" s="57">
        <v>31249.306510360773</v>
      </c>
    </row>
    <row r="618" spans="1:7" ht="11.25" customHeight="1" x14ac:dyDescent="0.2">
      <c r="A618" s="63" t="s">
        <v>55</v>
      </c>
      <c r="B618" s="57">
        <v>0</v>
      </c>
      <c r="C618" s="57">
        <v>32298.205482900001</v>
      </c>
      <c r="D618" s="57">
        <v>0</v>
      </c>
      <c r="E618" s="57">
        <v>31249.306510360773</v>
      </c>
      <c r="F618" s="57">
        <v>32298.205482899994</v>
      </c>
      <c r="G618" s="57">
        <v>31249.306510360773</v>
      </c>
    </row>
    <row r="619" spans="1:7" ht="11.25" customHeight="1" x14ac:dyDescent="0.2">
      <c r="A619" s="64" t="s">
        <v>57</v>
      </c>
      <c r="B619" s="57">
        <v>0</v>
      </c>
      <c r="C619" s="57">
        <v>32298.205482900001</v>
      </c>
      <c r="D619" s="57">
        <v>0</v>
      </c>
      <c r="E619" s="57">
        <v>31249.306510360773</v>
      </c>
      <c r="F619" s="57">
        <v>32298.205482899994</v>
      </c>
      <c r="G619" s="57">
        <v>31249.306510360773</v>
      </c>
    </row>
    <row r="620" spans="1:7" ht="11.25" customHeight="1" x14ac:dyDescent="0.2">
      <c r="A620" s="65" t="s">
        <v>25</v>
      </c>
      <c r="B620" s="57">
        <v>0</v>
      </c>
      <c r="C620" s="57">
        <v>32298.205482900001</v>
      </c>
      <c r="D620" s="57">
        <v>0</v>
      </c>
      <c r="E620" s="57">
        <v>31249.306510360773</v>
      </c>
      <c r="F620" s="57">
        <v>32298.205482899994</v>
      </c>
      <c r="G620" s="57">
        <v>31249.306510360773</v>
      </c>
    </row>
    <row r="621" spans="1:7" ht="11.25" customHeight="1" x14ac:dyDescent="0.2">
      <c r="A621" s="66" t="s">
        <v>25</v>
      </c>
      <c r="B621" s="57">
        <v>0</v>
      </c>
      <c r="C621" s="57">
        <v>32298.205482900001</v>
      </c>
      <c r="D621" s="57">
        <v>0</v>
      </c>
      <c r="E621" s="57">
        <v>31249.306510360773</v>
      </c>
      <c r="F621" s="57">
        <v>32298.205482899994</v>
      </c>
      <c r="G621" s="57">
        <v>31249.306510360773</v>
      </c>
    </row>
    <row r="622" spans="1:7" ht="11.25" customHeight="1" x14ac:dyDescent="0.2">
      <c r="A622" s="67">
        <v>43739</v>
      </c>
      <c r="B622" s="57">
        <v>0</v>
      </c>
      <c r="C622" s="57">
        <v>5987.4880044000001</v>
      </c>
      <c r="D622" s="57">
        <v>0</v>
      </c>
      <c r="E622" s="57">
        <v>5793.0415971768125</v>
      </c>
      <c r="F622" s="57">
        <v>5987.4880044000001</v>
      </c>
      <c r="G622" s="57">
        <v>5793.0415971768125</v>
      </c>
    </row>
    <row r="623" spans="1:7" ht="11.25" customHeight="1" x14ac:dyDescent="0.2">
      <c r="A623" s="67">
        <v>43770</v>
      </c>
      <c r="B623" s="57">
        <v>0</v>
      </c>
      <c r="C623" s="57">
        <v>7560.8141886000012</v>
      </c>
      <c r="D623" s="57">
        <v>0</v>
      </c>
      <c r="E623" s="57">
        <v>7315.2732950608433</v>
      </c>
      <c r="F623" s="57">
        <v>7560.8141886000012</v>
      </c>
      <c r="G623" s="57">
        <v>7315.2732950608433</v>
      </c>
    </row>
    <row r="624" spans="1:7" ht="11.25" customHeight="1" x14ac:dyDescent="0.2">
      <c r="A624" s="67">
        <v>43800</v>
      </c>
      <c r="B624" s="57">
        <v>0</v>
      </c>
      <c r="C624" s="57">
        <v>1486.0054167000001</v>
      </c>
      <c r="D624" s="57">
        <v>0</v>
      </c>
      <c r="E624" s="57">
        <v>1437.7467121849895</v>
      </c>
      <c r="F624" s="57">
        <v>1486.0054167000001</v>
      </c>
      <c r="G624" s="57">
        <v>1437.7467121849895</v>
      </c>
    </row>
    <row r="625" spans="1:7" ht="11.25" customHeight="1" x14ac:dyDescent="0.2">
      <c r="A625" s="67">
        <v>43831</v>
      </c>
      <c r="B625" s="57">
        <v>0</v>
      </c>
      <c r="C625" s="57">
        <v>1604.3735682000004</v>
      </c>
      <c r="D625" s="57">
        <v>0</v>
      </c>
      <c r="E625" s="57">
        <v>1552.2708039103545</v>
      </c>
      <c r="F625" s="57">
        <v>1604.3735682000004</v>
      </c>
      <c r="G625" s="57">
        <v>1552.2708039103545</v>
      </c>
    </row>
    <row r="626" spans="1:7" ht="11.25" customHeight="1" x14ac:dyDescent="0.2">
      <c r="A626" s="67">
        <v>43862</v>
      </c>
      <c r="B626" s="57">
        <v>0</v>
      </c>
      <c r="C626" s="57">
        <v>1394.8037262</v>
      </c>
      <c r="D626" s="57">
        <v>0</v>
      </c>
      <c r="E626" s="57">
        <v>1349.506838232659</v>
      </c>
      <c r="F626" s="57">
        <v>1394.8037262</v>
      </c>
      <c r="G626" s="57">
        <v>1349.506838232659</v>
      </c>
    </row>
    <row r="627" spans="1:7" ht="11.25" customHeight="1" x14ac:dyDescent="0.2">
      <c r="A627" s="67">
        <v>43891</v>
      </c>
      <c r="B627" s="57">
        <v>0</v>
      </c>
      <c r="C627" s="57">
        <v>958.19988869999997</v>
      </c>
      <c r="D627" s="57">
        <v>0</v>
      </c>
      <c r="E627" s="57">
        <v>927.08190973746116</v>
      </c>
      <c r="F627" s="57">
        <v>958.19988869999997</v>
      </c>
      <c r="G627" s="57">
        <v>927.08190973746116</v>
      </c>
    </row>
    <row r="628" spans="1:7" ht="11.25" customHeight="1" x14ac:dyDescent="0.2">
      <c r="A628" s="67">
        <v>43922</v>
      </c>
      <c r="B628" s="57">
        <v>0</v>
      </c>
      <c r="C628" s="57">
        <v>450.57516030000005</v>
      </c>
      <c r="D628" s="57">
        <v>0</v>
      </c>
      <c r="E628" s="57">
        <v>435.94252620704441</v>
      </c>
      <c r="F628" s="57">
        <v>450.57516030000005</v>
      </c>
      <c r="G628" s="57">
        <v>435.94252620704441</v>
      </c>
    </row>
    <row r="629" spans="1:7" ht="11.25" customHeight="1" x14ac:dyDescent="0.2">
      <c r="A629" s="67">
        <v>43952</v>
      </c>
      <c r="B629" s="57">
        <v>0</v>
      </c>
      <c r="C629" s="57">
        <v>567.00285030000009</v>
      </c>
      <c r="D629" s="57">
        <v>0</v>
      </c>
      <c r="E629" s="57">
        <v>548.58917380576395</v>
      </c>
      <c r="F629" s="57">
        <v>567.00285030000009</v>
      </c>
      <c r="G629" s="57">
        <v>548.58917380576395</v>
      </c>
    </row>
    <row r="630" spans="1:7" ht="11.25" customHeight="1" x14ac:dyDescent="0.2">
      <c r="A630" s="67">
        <v>43983</v>
      </c>
      <c r="B630" s="57">
        <v>0</v>
      </c>
      <c r="C630" s="57">
        <v>1846.5431634000001</v>
      </c>
      <c r="D630" s="57">
        <v>0</v>
      </c>
      <c r="E630" s="57">
        <v>1786.5758309156909</v>
      </c>
      <c r="F630" s="57">
        <v>1846.5431634000001</v>
      </c>
      <c r="G630" s="57">
        <v>1786.5758309156909</v>
      </c>
    </row>
    <row r="631" spans="1:7" ht="11.25" customHeight="1" x14ac:dyDescent="0.2">
      <c r="A631" s="67">
        <v>44013</v>
      </c>
      <c r="B631" s="57">
        <v>0</v>
      </c>
      <c r="C631" s="57">
        <v>1586.1332301</v>
      </c>
      <c r="D631" s="57">
        <v>0</v>
      </c>
      <c r="E631" s="57">
        <v>1534.6228291198881</v>
      </c>
      <c r="F631" s="57">
        <v>1586.1332301</v>
      </c>
      <c r="G631" s="57">
        <v>1534.6228291198881</v>
      </c>
    </row>
    <row r="632" spans="1:7" ht="11.25" customHeight="1" x14ac:dyDescent="0.2">
      <c r="A632" s="67">
        <v>44044</v>
      </c>
      <c r="B632" s="57">
        <v>0</v>
      </c>
      <c r="C632" s="57">
        <v>4428.133143</v>
      </c>
      <c r="D632" s="57">
        <v>0</v>
      </c>
      <c r="E632" s="57">
        <v>4284.3274970046314</v>
      </c>
      <c r="F632" s="57">
        <v>4428.133143</v>
      </c>
      <c r="G632" s="57">
        <v>4284.3274970046314</v>
      </c>
    </row>
    <row r="633" spans="1:7" ht="11.25" customHeight="1" x14ac:dyDescent="0.2">
      <c r="A633" s="67">
        <v>44075</v>
      </c>
      <c r="B633" s="57">
        <v>0</v>
      </c>
      <c r="C633" s="57">
        <v>4428.133143</v>
      </c>
      <c r="D633" s="57">
        <v>0</v>
      </c>
      <c r="E633" s="57">
        <v>4284.3274970046314</v>
      </c>
      <c r="F633" s="57">
        <v>4428.133143</v>
      </c>
      <c r="G633" s="57">
        <v>4284.3274970046314</v>
      </c>
    </row>
    <row r="634" spans="1:7" ht="11.25" customHeight="1" x14ac:dyDescent="0.2">
      <c r="A634" s="59" t="s">
        <v>1151</v>
      </c>
      <c r="B634" s="57">
        <v>183067.01119999992</v>
      </c>
      <c r="C634" s="57">
        <v>11449952.024840094</v>
      </c>
      <c r="D634" s="57">
        <v>236235.28789190424</v>
      </c>
      <c r="E634" s="57">
        <v>8803476.356395511</v>
      </c>
      <c r="F634" s="57">
        <v>11633019.036040099</v>
      </c>
      <c r="G634" s="57">
        <v>9039711.6442874186</v>
      </c>
    </row>
    <row r="635" spans="1:7" ht="11.25" customHeight="1" x14ac:dyDescent="0.2">
      <c r="A635" s="60" t="s">
        <v>33</v>
      </c>
      <c r="B635" s="57">
        <v>183067.01119999992</v>
      </c>
      <c r="C635" s="57">
        <v>1310448.5362839992</v>
      </c>
      <c r="D635" s="57">
        <v>236235.28789190424</v>
      </c>
      <c r="E635" s="57">
        <v>1245751.6639282664</v>
      </c>
      <c r="F635" s="57">
        <v>1493515.547483999</v>
      </c>
      <c r="G635" s="57">
        <v>1481986.9518201707</v>
      </c>
    </row>
    <row r="636" spans="1:7" ht="11.25" customHeight="1" x14ac:dyDescent="0.2">
      <c r="A636" s="61" t="s">
        <v>41</v>
      </c>
      <c r="B636" s="57">
        <v>22056.860799999988</v>
      </c>
      <c r="C636" s="57">
        <v>119418.46358559992</v>
      </c>
      <c r="D636" s="57">
        <v>26933.850158182278</v>
      </c>
      <c r="E636" s="57">
        <v>111014.37629053034</v>
      </c>
      <c r="F636" s="57">
        <v>141475.3243855999</v>
      </c>
      <c r="G636" s="57">
        <v>137948.22644871264</v>
      </c>
    </row>
    <row r="637" spans="1:7" ht="11.25" customHeight="1" x14ac:dyDescent="0.2">
      <c r="A637" s="62" t="s">
        <v>47</v>
      </c>
      <c r="B637" s="57">
        <v>22056.860799999988</v>
      </c>
      <c r="C637" s="57">
        <v>119418.46358559992</v>
      </c>
      <c r="D637" s="57">
        <v>26933.850158182278</v>
      </c>
      <c r="E637" s="57">
        <v>111014.37629053034</v>
      </c>
      <c r="F637" s="57">
        <v>141475.3243855999</v>
      </c>
      <c r="G637" s="57">
        <v>137948.22644871264</v>
      </c>
    </row>
    <row r="638" spans="1:7" ht="11.25" customHeight="1" x14ac:dyDescent="0.2">
      <c r="A638" s="63" t="s">
        <v>25</v>
      </c>
      <c r="B638" s="57">
        <v>22056.860799999988</v>
      </c>
      <c r="C638" s="57">
        <v>119418.46358559992</v>
      </c>
      <c r="D638" s="57">
        <v>26933.850158182278</v>
      </c>
      <c r="E638" s="57">
        <v>111014.37629053034</v>
      </c>
      <c r="F638" s="57">
        <v>141475.3243855999</v>
      </c>
      <c r="G638" s="57">
        <v>137948.22644871264</v>
      </c>
    </row>
    <row r="639" spans="1:7" ht="11.25" customHeight="1" x14ac:dyDescent="0.2">
      <c r="A639" s="64" t="s">
        <v>25</v>
      </c>
      <c r="B639" s="57">
        <v>22056.860799999988</v>
      </c>
      <c r="C639" s="57">
        <v>119418.46358559992</v>
      </c>
      <c r="D639" s="57">
        <v>26933.850158182278</v>
      </c>
      <c r="E639" s="57">
        <v>111014.37629053034</v>
      </c>
      <c r="F639" s="57">
        <v>141475.3243855999</v>
      </c>
      <c r="G639" s="57">
        <v>137948.22644871264</v>
      </c>
    </row>
    <row r="640" spans="1:7" ht="11.25" customHeight="1" x14ac:dyDescent="0.2">
      <c r="A640" s="65" t="s">
        <v>25</v>
      </c>
      <c r="B640" s="57">
        <v>22056.860799999988</v>
      </c>
      <c r="C640" s="57">
        <v>119418.46358559992</v>
      </c>
      <c r="D640" s="57">
        <v>26933.850158182278</v>
      </c>
      <c r="E640" s="57">
        <v>111014.37629053034</v>
      </c>
      <c r="F640" s="57">
        <v>141475.3243855999</v>
      </c>
      <c r="G640" s="57">
        <v>137948.22644871264</v>
      </c>
    </row>
    <row r="641" spans="1:7" ht="11.25" customHeight="1" x14ac:dyDescent="0.2">
      <c r="A641" s="66" t="s">
        <v>36</v>
      </c>
      <c r="B641" s="57">
        <v>6742.1167999999971</v>
      </c>
      <c r="C641" s="57">
        <v>104284.54582559991</v>
      </c>
      <c r="D641" s="57">
        <v>8764.259496081313</v>
      </c>
      <c r="E641" s="57">
        <v>97410.328168689477</v>
      </c>
      <c r="F641" s="57">
        <v>111026.66262559991</v>
      </c>
      <c r="G641" s="57">
        <v>106174.58766477079</v>
      </c>
    </row>
    <row r="642" spans="1:7" ht="11.25" customHeight="1" x14ac:dyDescent="0.2">
      <c r="A642" s="67">
        <v>43739</v>
      </c>
      <c r="B642" s="57">
        <v>550.44880000000023</v>
      </c>
      <c r="C642" s="57">
        <v>9597.8545991999963</v>
      </c>
      <c r="D642" s="57">
        <v>715.54324340785183</v>
      </c>
      <c r="E642" s="57">
        <v>8965.1842353225184</v>
      </c>
      <c r="F642" s="57">
        <v>10148.303399199996</v>
      </c>
      <c r="G642" s="57">
        <v>9680.7274787303704</v>
      </c>
    </row>
    <row r="643" spans="1:7" ht="11.25" customHeight="1" x14ac:dyDescent="0.2">
      <c r="A643" s="67">
        <v>43770</v>
      </c>
      <c r="B643" s="57">
        <v>549.03919999999948</v>
      </c>
      <c r="C643" s="57">
        <v>8888.7100679999894</v>
      </c>
      <c r="D643" s="57">
        <v>713.7108663440664</v>
      </c>
      <c r="E643" s="57">
        <v>8302.7850182923503</v>
      </c>
      <c r="F643" s="57">
        <v>9437.7492679999887</v>
      </c>
      <c r="G643" s="57">
        <v>9016.495884636417</v>
      </c>
    </row>
    <row r="644" spans="1:7" ht="11.25" customHeight="1" x14ac:dyDescent="0.2">
      <c r="A644" s="67">
        <v>43800</v>
      </c>
      <c r="B644" s="57">
        <v>516.61839999999995</v>
      </c>
      <c r="C644" s="57">
        <v>8107.9639704000019</v>
      </c>
      <c r="D644" s="57">
        <v>671.56619387702324</v>
      </c>
      <c r="E644" s="57">
        <v>7573.5040593396679</v>
      </c>
      <c r="F644" s="57">
        <v>8624.5823704000013</v>
      </c>
      <c r="G644" s="57">
        <v>8245.0702532166906</v>
      </c>
    </row>
    <row r="645" spans="1:7" ht="11.25" customHeight="1" x14ac:dyDescent="0.2">
      <c r="A645" s="67">
        <v>43831</v>
      </c>
      <c r="B645" s="57">
        <v>508.86559999999997</v>
      </c>
      <c r="C645" s="57">
        <v>8955.9217439999939</v>
      </c>
      <c r="D645" s="57">
        <v>661.48812002620843</v>
      </c>
      <c r="E645" s="57">
        <v>8365.5662421457582</v>
      </c>
      <c r="F645" s="57">
        <v>9464.787343999993</v>
      </c>
      <c r="G645" s="57">
        <v>9027.0543621719662</v>
      </c>
    </row>
    <row r="646" spans="1:7" ht="11.25" customHeight="1" x14ac:dyDescent="0.2">
      <c r="A646" s="67">
        <v>43862</v>
      </c>
      <c r="B646" s="57">
        <v>547.62959999999975</v>
      </c>
      <c r="C646" s="57">
        <v>8673.5509055999883</v>
      </c>
      <c r="D646" s="57">
        <v>711.87848928028222</v>
      </c>
      <c r="E646" s="57">
        <v>8101.8086947924639</v>
      </c>
      <c r="F646" s="57">
        <v>9221.1805055999885</v>
      </c>
      <c r="G646" s="57">
        <v>8813.6871840727454</v>
      </c>
    </row>
    <row r="647" spans="1:7" ht="11.25" customHeight="1" x14ac:dyDescent="0.2">
      <c r="A647" s="67">
        <v>43891</v>
      </c>
      <c r="B647" s="57">
        <v>581.46</v>
      </c>
      <c r="C647" s="57">
        <v>8694.8459639999874</v>
      </c>
      <c r="D647" s="57">
        <v>755.85553881111093</v>
      </c>
      <c r="E647" s="57">
        <v>8121.7000277861771</v>
      </c>
      <c r="F647" s="57">
        <v>9276.3059639999883</v>
      </c>
      <c r="G647" s="57">
        <v>8877.5555665972879</v>
      </c>
    </row>
    <row r="648" spans="1:7" ht="11.25" customHeight="1" x14ac:dyDescent="0.2">
      <c r="A648" s="67">
        <v>43922</v>
      </c>
      <c r="B648" s="57">
        <v>544.81039999999928</v>
      </c>
      <c r="C648" s="57">
        <v>8926.119568799988</v>
      </c>
      <c r="D648" s="57">
        <v>708.21373515271262</v>
      </c>
      <c r="E648" s="57">
        <v>8337.7285635770841</v>
      </c>
      <c r="F648" s="57">
        <v>9470.9299687999865</v>
      </c>
      <c r="G648" s="57">
        <v>9045.9422987297967</v>
      </c>
    </row>
    <row r="649" spans="1:7" ht="11.25" customHeight="1" x14ac:dyDescent="0.2">
      <c r="A649" s="67">
        <v>43952</v>
      </c>
      <c r="B649" s="57">
        <v>546.22</v>
      </c>
      <c r="C649" s="57">
        <v>7503.7405463999967</v>
      </c>
      <c r="D649" s="57">
        <v>710.04611221649805</v>
      </c>
      <c r="E649" s="57">
        <v>7009.1097710672684</v>
      </c>
      <c r="F649" s="57">
        <v>8049.9605463999969</v>
      </c>
      <c r="G649" s="57">
        <v>7719.1558832837663</v>
      </c>
    </row>
    <row r="650" spans="1:7" ht="11.25" customHeight="1" x14ac:dyDescent="0.2">
      <c r="A650" s="67">
        <v>43983</v>
      </c>
      <c r="B650" s="57">
        <v>562.43039999999928</v>
      </c>
      <c r="C650" s="57">
        <v>8984.9059271999904</v>
      </c>
      <c r="D650" s="57">
        <v>731.11844845001906</v>
      </c>
      <c r="E650" s="57">
        <v>8392.6398490245265</v>
      </c>
      <c r="F650" s="57">
        <v>9547.3363271999897</v>
      </c>
      <c r="G650" s="57">
        <v>9123.7582974745455</v>
      </c>
    </row>
    <row r="651" spans="1:7" ht="11.25" customHeight="1" x14ac:dyDescent="0.2">
      <c r="A651" s="67">
        <v>44013</v>
      </c>
      <c r="B651" s="57">
        <v>599.78480000000013</v>
      </c>
      <c r="C651" s="57">
        <v>5882.3713368000008</v>
      </c>
      <c r="D651" s="57">
        <v>779.67644064030969</v>
      </c>
      <c r="E651" s="57">
        <v>5494.6178054612465</v>
      </c>
      <c r="F651" s="57">
        <v>6482.1561368000011</v>
      </c>
      <c r="G651" s="57">
        <v>6274.2942461015564</v>
      </c>
    </row>
    <row r="652" spans="1:7" ht="11.25" customHeight="1" x14ac:dyDescent="0.2">
      <c r="A652" s="67">
        <v>44044</v>
      </c>
      <c r="B652" s="57">
        <v>617.40479999999934</v>
      </c>
      <c r="C652" s="57">
        <v>10034.2805976</v>
      </c>
      <c r="D652" s="57">
        <v>802.58115393761511</v>
      </c>
      <c r="E652" s="57">
        <v>9372.8419509402065</v>
      </c>
      <c r="F652" s="57">
        <v>10651.685397599998</v>
      </c>
      <c r="G652" s="57">
        <v>10175.423104877822</v>
      </c>
    </row>
    <row r="653" spans="1:7" ht="11.25" customHeight="1" x14ac:dyDescent="0.2">
      <c r="A653" s="67">
        <v>44075</v>
      </c>
      <c r="B653" s="57">
        <v>617.40479999999934</v>
      </c>
      <c r="C653" s="57">
        <v>10034.2805976</v>
      </c>
      <c r="D653" s="57">
        <v>802.58115393761511</v>
      </c>
      <c r="E653" s="57">
        <v>9372.8419509402065</v>
      </c>
      <c r="F653" s="57">
        <v>10651.685397599998</v>
      </c>
      <c r="G653" s="57">
        <v>10175.423104877822</v>
      </c>
    </row>
    <row r="654" spans="1:7" ht="11.25" customHeight="1" x14ac:dyDescent="0.2">
      <c r="A654" s="66" t="s">
        <v>35</v>
      </c>
      <c r="B654" s="57">
        <v>15314.743999999992</v>
      </c>
      <c r="C654" s="57">
        <v>15133.917759999993</v>
      </c>
      <c r="D654" s="57">
        <v>18169.590662100964</v>
      </c>
      <c r="E654" s="57">
        <v>13604.048121840904</v>
      </c>
      <c r="F654" s="57">
        <v>30448.661759999984</v>
      </c>
      <c r="G654" s="57">
        <v>31773.638783941868</v>
      </c>
    </row>
    <row r="655" spans="1:7" ht="11.25" customHeight="1" x14ac:dyDescent="0.2">
      <c r="A655" s="67">
        <v>43739</v>
      </c>
      <c r="B655" s="57">
        <v>1291.9807999999987</v>
      </c>
      <c r="C655" s="57">
        <v>1404.7623199999996</v>
      </c>
      <c r="D655" s="57">
        <v>1532.8210696367969</v>
      </c>
      <c r="E655" s="57">
        <v>1262.7565779126362</v>
      </c>
      <c r="F655" s="57">
        <v>2696.7431199999983</v>
      </c>
      <c r="G655" s="57">
        <v>2795.5776475494331</v>
      </c>
    </row>
    <row r="656" spans="1:7" ht="11.25" customHeight="1" x14ac:dyDescent="0.2">
      <c r="A656" s="67">
        <v>43770</v>
      </c>
      <c r="B656" s="57">
        <v>1321.3440000000005</v>
      </c>
      <c r="C656" s="57">
        <v>1335.4208607999994</v>
      </c>
      <c r="D656" s="57">
        <v>1567.6579121285447</v>
      </c>
      <c r="E656" s="57">
        <v>1200.4247638539696</v>
      </c>
      <c r="F656" s="57">
        <v>2656.7648608</v>
      </c>
      <c r="G656" s="57">
        <v>2768.082675982514</v>
      </c>
    </row>
    <row r="657" spans="1:7" ht="11.25" customHeight="1" x14ac:dyDescent="0.2">
      <c r="A657" s="67">
        <v>43800</v>
      </c>
      <c r="B657" s="57">
        <v>1156.1759999999995</v>
      </c>
      <c r="C657" s="57">
        <v>1197.603679999999</v>
      </c>
      <c r="D657" s="57">
        <v>1371.7006731124754</v>
      </c>
      <c r="E657" s="57">
        <v>1076.5393569585347</v>
      </c>
      <c r="F657" s="57">
        <v>2353.7796799999987</v>
      </c>
      <c r="G657" s="57">
        <v>2448.2400300710101</v>
      </c>
    </row>
    <row r="658" spans="1:7" ht="11.25" customHeight="1" x14ac:dyDescent="0.2">
      <c r="A658" s="67">
        <v>43831</v>
      </c>
      <c r="B658" s="57">
        <v>1209.3968000000007</v>
      </c>
      <c r="C658" s="57">
        <v>1212.7334751999992</v>
      </c>
      <c r="D658" s="57">
        <v>1434.8424501287654</v>
      </c>
      <c r="E658" s="57">
        <v>1090.1396992650334</v>
      </c>
      <c r="F658" s="57">
        <v>2422.1302752000001</v>
      </c>
      <c r="G658" s="57">
        <v>2524.9821493937989</v>
      </c>
    </row>
    <row r="659" spans="1:7" ht="11.25" customHeight="1" x14ac:dyDescent="0.2">
      <c r="A659" s="67">
        <v>43862</v>
      </c>
      <c r="B659" s="57">
        <v>1242.4303999999993</v>
      </c>
      <c r="C659" s="57">
        <v>1245.2604736000001</v>
      </c>
      <c r="D659" s="57">
        <v>1474.0338979319774</v>
      </c>
      <c r="E659" s="57">
        <v>1119.3785823163346</v>
      </c>
      <c r="F659" s="57">
        <v>2487.6908735999996</v>
      </c>
      <c r="G659" s="57">
        <v>2593.412480248312</v>
      </c>
    </row>
    <row r="660" spans="1:7" ht="11.25" customHeight="1" x14ac:dyDescent="0.2">
      <c r="A660" s="67">
        <v>43891</v>
      </c>
      <c r="B660" s="57">
        <v>1247.9359999999995</v>
      </c>
      <c r="C660" s="57">
        <v>1247.4454303999996</v>
      </c>
      <c r="D660" s="57">
        <v>1480.5658058991798</v>
      </c>
      <c r="E660" s="57">
        <v>1121.3426644477904</v>
      </c>
      <c r="F660" s="57">
        <v>2495.3814303999989</v>
      </c>
      <c r="G660" s="57">
        <v>2601.9084703469703</v>
      </c>
    </row>
    <row r="661" spans="1:7" ht="11.25" customHeight="1" x14ac:dyDescent="0.2">
      <c r="A661" s="67">
        <v>43922</v>
      </c>
      <c r="B661" s="57">
        <v>1211.2319999999991</v>
      </c>
      <c r="C661" s="57">
        <v>1229.8833248000001</v>
      </c>
      <c r="D661" s="57">
        <v>1437.0197527844975</v>
      </c>
      <c r="E661" s="57">
        <v>1105.5558910892939</v>
      </c>
      <c r="F661" s="57">
        <v>2441.1153247999991</v>
      </c>
      <c r="G661" s="57">
        <v>2542.5756438737917</v>
      </c>
    </row>
    <row r="662" spans="1:7" ht="11.25" customHeight="1" x14ac:dyDescent="0.2">
      <c r="A662" s="67">
        <v>43952</v>
      </c>
      <c r="B662" s="57">
        <v>1213.0672</v>
      </c>
      <c r="C662" s="57">
        <v>1032.0004447999997</v>
      </c>
      <c r="D662" s="57">
        <v>1439.1970554402328</v>
      </c>
      <c r="E662" s="57">
        <v>927.67675465552543</v>
      </c>
      <c r="F662" s="57">
        <v>2245.0676447999995</v>
      </c>
      <c r="G662" s="57">
        <v>2366.873810095758</v>
      </c>
    </row>
    <row r="663" spans="1:7" ht="11.25" customHeight="1" x14ac:dyDescent="0.2">
      <c r="A663" s="67">
        <v>43983</v>
      </c>
      <c r="B663" s="57">
        <v>1306.6623999999983</v>
      </c>
      <c r="C663" s="57">
        <v>1298.2765951999995</v>
      </c>
      <c r="D663" s="57">
        <v>1550.2394908826693</v>
      </c>
      <c r="E663" s="57">
        <v>1167.0353676192146</v>
      </c>
      <c r="F663" s="57">
        <v>2604.9389951999979</v>
      </c>
      <c r="G663" s="57">
        <v>2717.274858501884</v>
      </c>
    </row>
    <row r="664" spans="1:7" ht="11.25" customHeight="1" x14ac:dyDescent="0.2">
      <c r="A664" s="67">
        <v>44013</v>
      </c>
      <c r="B664" s="57">
        <v>1255.2768000000001</v>
      </c>
      <c r="C664" s="57">
        <v>748.82179839999912</v>
      </c>
      <c r="D664" s="57">
        <v>1489.2750165221169</v>
      </c>
      <c r="E664" s="57">
        <v>673.12429878811758</v>
      </c>
      <c r="F664" s="57">
        <v>2004.0985983999992</v>
      </c>
      <c r="G664" s="57">
        <v>2162.3993153102347</v>
      </c>
    </row>
    <row r="665" spans="1:7" ht="11.25" customHeight="1" x14ac:dyDescent="0.2">
      <c r="A665" s="67">
        <v>44044</v>
      </c>
      <c r="B665" s="57">
        <v>1429.6207999999986</v>
      </c>
      <c r="C665" s="57">
        <v>1590.8546783999993</v>
      </c>
      <c r="D665" s="57">
        <v>1696.1187688168536</v>
      </c>
      <c r="E665" s="57">
        <v>1430.0370824672257</v>
      </c>
      <c r="F665" s="57">
        <v>3020.4754783999979</v>
      </c>
      <c r="G665" s="57">
        <v>3126.1558512840793</v>
      </c>
    </row>
    <row r="666" spans="1:7" ht="11.25" customHeight="1" x14ac:dyDescent="0.2">
      <c r="A666" s="67">
        <v>44075</v>
      </c>
      <c r="B666" s="57">
        <v>1429.6207999999986</v>
      </c>
      <c r="C666" s="57">
        <v>1590.8546783999993</v>
      </c>
      <c r="D666" s="57">
        <v>1696.1187688168536</v>
      </c>
      <c r="E666" s="57">
        <v>1430.0370824672257</v>
      </c>
      <c r="F666" s="57">
        <v>3020.4754783999979</v>
      </c>
      <c r="G666" s="57">
        <v>3126.1558512840793</v>
      </c>
    </row>
    <row r="667" spans="1:7" ht="11.25" customHeight="1" x14ac:dyDescent="0.2">
      <c r="A667" s="61" t="s">
        <v>34</v>
      </c>
      <c r="B667" s="57">
        <v>161010.15039999995</v>
      </c>
      <c r="C667" s="57">
        <v>1191030.0726983992</v>
      </c>
      <c r="D667" s="57">
        <v>209301.43773372192</v>
      </c>
      <c r="E667" s="57">
        <v>1134737.2876377359</v>
      </c>
      <c r="F667" s="57">
        <v>1352040.2230983989</v>
      </c>
      <c r="G667" s="57">
        <v>1344038.7253714579</v>
      </c>
    </row>
    <row r="668" spans="1:7" ht="11.25" customHeight="1" x14ac:dyDescent="0.2">
      <c r="A668" s="62" t="s">
        <v>47</v>
      </c>
      <c r="B668" s="57">
        <v>161010.15039999995</v>
      </c>
      <c r="C668" s="57">
        <v>1191030.0726983992</v>
      </c>
      <c r="D668" s="57">
        <v>209301.43773372192</v>
      </c>
      <c r="E668" s="57">
        <v>1134737.2876377359</v>
      </c>
      <c r="F668" s="57">
        <v>1352040.2230983989</v>
      </c>
      <c r="G668" s="57">
        <v>1344038.7253714579</v>
      </c>
    </row>
    <row r="669" spans="1:7" ht="11.25" customHeight="1" x14ac:dyDescent="0.2">
      <c r="A669" s="63" t="s">
        <v>55</v>
      </c>
      <c r="B669" s="57">
        <v>93802.536799999973</v>
      </c>
      <c r="C669" s="57">
        <v>362626.30569359969</v>
      </c>
      <c r="D669" s="57">
        <v>121936.4478980721</v>
      </c>
      <c r="E669" s="57">
        <v>340761.8781055616</v>
      </c>
      <c r="F669" s="57">
        <v>456428.8424935998</v>
      </c>
      <c r="G669" s="57">
        <v>462698.32600363379</v>
      </c>
    </row>
    <row r="670" spans="1:7" ht="11.25" customHeight="1" x14ac:dyDescent="0.2">
      <c r="A670" s="64" t="s">
        <v>25</v>
      </c>
      <c r="B670" s="57">
        <v>93802.536799999973</v>
      </c>
      <c r="C670" s="57">
        <v>362626.30569359969</v>
      </c>
      <c r="D670" s="57">
        <v>121936.4478980721</v>
      </c>
      <c r="E670" s="57">
        <v>340761.8781055616</v>
      </c>
      <c r="F670" s="57">
        <v>456428.8424935998</v>
      </c>
      <c r="G670" s="57">
        <v>462698.32600363379</v>
      </c>
    </row>
    <row r="671" spans="1:7" ht="11.25" customHeight="1" x14ac:dyDescent="0.2">
      <c r="A671" s="65" t="s">
        <v>25</v>
      </c>
      <c r="B671" s="57">
        <v>93802.536799999973</v>
      </c>
      <c r="C671" s="57">
        <v>362626.30569359969</v>
      </c>
      <c r="D671" s="57">
        <v>121936.4478980721</v>
      </c>
      <c r="E671" s="57">
        <v>340761.8781055616</v>
      </c>
      <c r="F671" s="57">
        <v>456428.8424935998</v>
      </c>
      <c r="G671" s="57">
        <v>462698.32600363379</v>
      </c>
    </row>
    <row r="672" spans="1:7" ht="11.25" customHeight="1" x14ac:dyDescent="0.2">
      <c r="A672" s="66" t="s">
        <v>36</v>
      </c>
      <c r="B672" s="57">
        <v>0</v>
      </c>
      <c r="C672" s="57">
        <v>344591.09994959971</v>
      </c>
      <c r="D672" s="57">
        <v>0</v>
      </c>
      <c r="E672" s="57">
        <v>321876.38028587145</v>
      </c>
      <c r="F672" s="57">
        <v>344591.09994959983</v>
      </c>
      <c r="G672" s="57">
        <v>321876.38028587145</v>
      </c>
    </row>
    <row r="673" spans="1:7" ht="11.25" customHeight="1" x14ac:dyDescent="0.2">
      <c r="A673" s="67">
        <v>43739</v>
      </c>
      <c r="B673" s="57">
        <v>0</v>
      </c>
      <c r="C673" s="57">
        <v>26122.901716799999</v>
      </c>
      <c r="D673" s="57">
        <v>0</v>
      </c>
      <c r="E673" s="57">
        <v>24400.935045614853</v>
      </c>
      <c r="F673" s="57">
        <v>26122.901716799999</v>
      </c>
      <c r="G673" s="57">
        <v>24400.935045614853</v>
      </c>
    </row>
    <row r="674" spans="1:7" ht="11.25" customHeight="1" x14ac:dyDescent="0.2">
      <c r="A674" s="67">
        <v>43770</v>
      </c>
      <c r="B674" s="57">
        <v>0</v>
      </c>
      <c r="C674" s="57">
        <v>33695.708054399991</v>
      </c>
      <c r="D674" s="57">
        <v>0</v>
      </c>
      <c r="E674" s="57">
        <v>31474.557936365964</v>
      </c>
      <c r="F674" s="57">
        <v>33695.708054399991</v>
      </c>
      <c r="G674" s="57">
        <v>31474.557936365964</v>
      </c>
    </row>
    <row r="675" spans="1:7" ht="11.25" customHeight="1" x14ac:dyDescent="0.2">
      <c r="A675" s="67">
        <v>43800</v>
      </c>
      <c r="B675" s="57">
        <v>0</v>
      </c>
      <c r="C675" s="57">
        <v>9350.1120887999987</v>
      </c>
      <c r="D675" s="57">
        <v>0</v>
      </c>
      <c r="E675" s="57">
        <v>8733.7723895083072</v>
      </c>
      <c r="F675" s="57">
        <v>9350.1120887999987</v>
      </c>
      <c r="G675" s="57">
        <v>8733.7723895083072</v>
      </c>
    </row>
    <row r="676" spans="1:7" ht="11.25" customHeight="1" x14ac:dyDescent="0.2">
      <c r="A676" s="67">
        <v>43831</v>
      </c>
      <c r="B676" s="57">
        <v>0</v>
      </c>
      <c r="C676" s="57">
        <v>9277.6925303999888</v>
      </c>
      <c r="D676" s="57">
        <v>0</v>
      </c>
      <c r="E676" s="57">
        <v>8666.1265758958652</v>
      </c>
      <c r="F676" s="57">
        <v>9277.6925303999888</v>
      </c>
      <c r="G676" s="57">
        <v>8666.1265758958652</v>
      </c>
    </row>
    <row r="677" spans="1:7" ht="11.25" customHeight="1" x14ac:dyDescent="0.2">
      <c r="A677" s="67">
        <v>43862</v>
      </c>
      <c r="B677" s="57">
        <v>0</v>
      </c>
      <c r="C677" s="57">
        <v>8588.7796679999919</v>
      </c>
      <c r="D677" s="57">
        <v>0</v>
      </c>
      <c r="E677" s="57">
        <v>8022.6253986625543</v>
      </c>
      <c r="F677" s="57">
        <v>8588.7796679999919</v>
      </c>
      <c r="G677" s="57">
        <v>8022.6253986625543</v>
      </c>
    </row>
    <row r="678" spans="1:7" ht="11.25" customHeight="1" x14ac:dyDescent="0.2">
      <c r="A678" s="67">
        <v>43891</v>
      </c>
      <c r="B678" s="57">
        <v>0</v>
      </c>
      <c r="C678" s="57">
        <v>3998.7538919999988</v>
      </c>
      <c r="D678" s="57">
        <v>0</v>
      </c>
      <c r="E678" s="57">
        <v>3735.1644560734539</v>
      </c>
      <c r="F678" s="57">
        <v>3998.7538919999988</v>
      </c>
      <c r="G678" s="57">
        <v>3735.1644560734539</v>
      </c>
    </row>
    <row r="679" spans="1:7" ht="11.25" customHeight="1" x14ac:dyDescent="0.2">
      <c r="A679" s="67">
        <v>43922</v>
      </c>
      <c r="B679" s="57">
        <v>0</v>
      </c>
      <c r="C679" s="57">
        <v>9595.0461599999853</v>
      </c>
      <c r="D679" s="57">
        <v>0</v>
      </c>
      <c r="E679" s="57">
        <v>8962.5609225205226</v>
      </c>
      <c r="F679" s="57">
        <v>9595.0461599999853</v>
      </c>
      <c r="G679" s="57">
        <v>8962.5609225205226</v>
      </c>
    </row>
    <row r="680" spans="1:7" ht="11.25" customHeight="1" x14ac:dyDescent="0.2">
      <c r="A680" s="67">
        <v>43952</v>
      </c>
      <c r="B680" s="57">
        <v>0</v>
      </c>
      <c r="C680" s="57">
        <v>19712.134814400008</v>
      </c>
      <c r="D680" s="57">
        <v>0</v>
      </c>
      <c r="E680" s="57">
        <v>18412.752397534903</v>
      </c>
      <c r="F680" s="57">
        <v>19712.134814400008</v>
      </c>
      <c r="G680" s="57">
        <v>18412.752397534903</v>
      </c>
    </row>
    <row r="681" spans="1:7" ht="11.25" customHeight="1" x14ac:dyDescent="0.2">
      <c r="A681" s="67">
        <v>43983</v>
      </c>
      <c r="B681" s="57">
        <v>0</v>
      </c>
      <c r="C681" s="57">
        <v>53659.211810399938</v>
      </c>
      <c r="D681" s="57">
        <v>0</v>
      </c>
      <c r="E681" s="57">
        <v>50122.109564206912</v>
      </c>
      <c r="F681" s="57">
        <v>53659.211810399938</v>
      </c>
      <c r="G681" s="57">
        <v>50122.109564206912</v>
      </c>
    </row>
    <row r="682" spans="1:7" ht="11.25" customHeight="1" x14ac:dyDescent="0.2">
      <c r="A682" s="67">
        <v>44013</v>
      </c>
      <c r="B682" s="57">
        <v>0</v>
      </c>
      <c r="C682" s="57">
        <v>55239.599620799941</v>
      </c>
      <c r="D682" s="57">
        <v>0</v>
      </c>
      <c r="E682" s="57">
        <v>51598.321538148972</v>
      </c>
      <c r="F682" s="57">
        <v>55239.599620799941</v>
      </c>
      <c r="G682" s="57">
        <v>51598.321538148972</v>
      </c>
    </row>
    <row r="683" spans="1:7" ht="11.25" customHeight="1" x14ac:dyDescent="0.2">
      <c r="A683" s="67">
        <v>44044</v>
      </c>
      <c r="B683" s="57">
        <v>0</v>
      </c>
      <c r="C683" s="57">
        <v>57675.579796799953</v>
      </c>
      <c r="D683" s="57">
        <v>0</v>
      </c>
      <c r="E683" s="57">
        <v>53873.727030669543</v>
      </c>
      <c r="F683" s="57">
        <v>57675.579796799953</v>
      </c>
      <c r="G683" s="57">
        <v>53873.727030669543</v>
      </c>
    </row>
    <row r="684" spans="1:7" ht="11.25" customHeight="1" x14ac:dyDescent="0.2">
      <c r="A684" s="67">
        <v>44075</v>
      </c>
      <c r="B684" s="57">
        <v>0</v>
      </c>
      <c r="C684" s="57">
        <v>57675.579796799953</v>
      </c>
      <c r="D684" s="57">
        <v>0</v>
      </c>
      <c r="E684" s="57">
        <v>53873.727030669543</v>
      </c>
      <c r="F684" s="57">
        <v>57675.579796799953</v>
      </c>
      <c r="G684" s="57">
        <v>53873.727030669543</v>
      </c>
    </row>
    <row r="685" spans="1:7" ht="11.25" customHeight="1" x14ac:dyDescent="0.2">
      <c r="A685" s="66" t="s">
        <v>25</v>
      </c>
      <c r="B685" s="57">
        <v>93802.536799999973</v>
      </c>
      <c r="C685" s="57">
        <v>0</v>
      </c>
      <c r="D685" s="57">
        <v>121936.4478980721</v>
      </c>
      <c r="E685" s="57">
        <v>0</v>
      </c>
      <c r="F685" s="57">
        <v>93802.536799999958</v>
      </c>
      <c r="G685" s="57">
        <v>121936.4478980721</v>
      </c>
    </row>
    <row r="686" spans="1:7" ht="11.25" customHeight="1" x14ac:dyDescent="0.2">
      <c r="A686" s="67">
        <v>43739</v>
      </c>
      <c r="B686" s="57">
        <v>5999.9623999999958</v>
      </c>
      <c r="C686" s="57">
        <v>0</v>
      </c>
      <c r="D686" s="57">
        <v>7799.5129719987663</v>
      </c>
      <c r="E686" s="57">
        <v>0</v>
      </c>
      <c r="F686" s="57">
        <v>5999.9623999999958</v>
      </c>
      <c r="G686" s="57">
        <v>7799.5129719987663</v>
      </c>
    </row>
    <row r="687" spans="1:7" ht="11.25" customHeight="1" x14ac:dyDescent="0.2">
      <c r="A687" s="67">
        <v>43770</v>
      </c>
      <c r="B687" s="57">
        <v>8061.502400000003</v>
      </c>
      <c r="C687" s="57">
        <v>0</v>
      </c>
      <c r="D687" s="57">
        <v>10479.364427783623</v>
      </c>
      <c r="E687" s="57">
        <v>0</v>
      </c>
      <c r="F687" s="57">
        <v>8061.502400000003</v>
      </c>
      <c r="G687" s="57">
        <v>10479.364427783623</v>
      </c>
    </row>
    <row r="688" spans="1:7" ht="11.25" customHeight="1" x14ac:dyDescent="0.2">
      <c r="A688" s="67">
        <v>43800</v>
      </c>
      <c r="B688" s="57">
        <v>5486.8679999999968</v>
      </c>
      <c r="C688" s="57">
        <v>0</v>
      </c>
      <c r="D688" s="57">
        <v>7132.5277207812051</v>
      </c>
      <c r="E688" s="57">
        <v>0</v>
      </c>
      <c r="F688" s="57">
        <v>5486.8679999999968</v>
      </c>
      <c r="G688" s="57">
        <v>7132.5277207812051</v>
      </c>
    </row>
    <row r="689" spans="1:7" ht="11.25" customHeight="1" x14ac:dyDescent="0.2">
      <c r="A689" s="67">
        <v>43831</v>
      </c>
      <c r="B689" s="57">
        <v>7456.0791999999901</v>
      </c>
      <c r="C689" s="57">
        <v>0</v>
      </c>
      <c r="D689" s="57">
        <v>9692.3584788881581</v>
      </c>
      <c r="E689" s="57">
        <v>0</v>
      </c>
      <c r="F689" s="57">
        <v>7456.0791999999901</v>
      </c>
      <c r="G689" s="57">
        <v>9692.3584788881581</v>
      </c>
    </row>
    <row r="690" spans="1:7" ht="11.25" customHeight="1" x14ac:dyDescent="0.2">
      <c r="A690" s="67">
        <v>43862</v>
      </c>
      <c r="B690" s="57">
        <v>6971.8815999999943</v>
      </c>
      <c r="C690" s="57">
        <v>0</v>
      </c>
      <c r="D690" s="57">
        <v>9062.9369574781849</v>
      </c>
      <c r="E690" s="57">
        <v>0</v>
      </c>
      <c r="F690" s="57">
        <v>6971.8815999999943</v>
      </c>
      <c r="G690" s="57">
        <v>9062.9369574781849</v>
      </c>
    </row>
    <row r="691" spans="1:7" ht="11.25" customHeight="1" x14ac:dyDescent="0.2">
      <c r="A691" s="67">
        <v>43891</v>
      </c>
      <c r="B691" s="57">
        <v>4297.1655999999948</v>
      </c>
      <c r="C691" s="57">
        <v>0</v>
      </c>
      <c r="D691" s="57">
        <v>5586.0014789470752</v>
      </c>
      <c r="E691" s="57">
        <v>0</v>
      </c>
      <c r="F691" s="57">
        <v>4297.1655999999948</v>
      </c>
      <c r="G691" s="57">
        <v>5586.0014789470752</v>
      </c>
    </row>
    <row r="692" spans="1:7" ht="11.25" customHeight="1" x14ac:dyDescent="0.2">
      <c r="A692" s="67">
        <v>43922</v>
      </c>
      <c r="B692" s="57">
        <v>6175.4575999999943</v>
      </c>
      <c r="C692" s="57">
        <v>0</v>
      </c>
      <c r="D692" s="57">
        <v>8027.6439164399353</v>
      </c>
      <c r="E692" s="57">
        <v>0</v>
      </c>
      <c r="F692" s="57">
        <v>6175.4575999999943</v>
      </c>
      <c r="G692" s="57">
        <v>8027.6439164399353</v>
      </c>
    </row>
    <row r="693" spans="1:7" ht="11.25" customHeight="1" x14ac:dyDescent="0.2">
      <c r="A693" s="67">
        <v>43952</v>
      </c>
      <c r="B693" s="57">
        <v>8952.3695999999982</v>
      </c>
      <c r="C693" s="57">
        <v>0</v>
      </c>
      <c r="D693" s="57">
        <v>11637.426732095428</v>
      </c>
      <c r="E693" s="57">
        <v>0</v>
      </c>
      <c r="F693" s="57">
        <v>8952.3695999999982</v>
      </c>
      <c r="G693" s="57">
        <v>11637.426732095428</v>
      </c>
    </row>
    <row r="694" spans="1:7" ht="11.25" customHeight="1" x14ac:dyDescent="0.2">
      <c r="A694" s="67">
        <v>43983</v>
      </c>
      <c r="B694" s="57">
        <v>10697.454399999999</v>
      </c>
      <c r="C694" s="57">
        <v>0</v>
      </c>
      <c r="D694" s="57">
        <v>13905.909537060654</v>
      </c>
      <c r="E694" s="57">
        <v>0</v>
      </c>
      <c r="F694" s="57">
        <v>10697.454399999999</v>
      </c>
      <c r="G694" s="57">
        <v>13905.909537060654</v>
      </c>
    </row>
    <row r="695" spans="1:7" ht="11.25" customHeight="1" x14ac:dyDescent="0.2">
      <c r="A695" s="67">
        <v>44013</v>
      </c>
      <c r="B695" s="57">
        <v>10740.447199999995</v>
      </c>
      <c r="C695" s="57">
        <v>0</v>
      </c>
      <c r="D695" s="57">
        <v>13961.797037506076</v>
      </c>
      <c r="E695" s="57">
        <v>0</v>
      </c>
      <c r="F695" s="57">
        <v>10740.447199999995</v>
      </c>
      <c r="G695" s="57">
        <v>13961.797037506076</v>
      </c>
    </row>
    <row r="696" spans="1:7" ht="11.25" customHeight="1" x14ac:dyDescent="0.2">
      <c r="A696" s="67">
        <v>44044</v>
      </c>
      <c r="B696" s="57">
        <v>9481.6743999999999</v>
      </c>
      <c r="C696" s="57">
        <v>0</v>
      </c>
      <c r="D696" s="57">
        <v>12325.484319546513</v>
      </c>
      <c r="E696" s="57">
        <v>0</v>
      </c>
      <c r="F696" s="57">
        <v>9481.6743999999999</v>
      </c>
      <c r="G696" s="57">
        <v>12325.484319546513</v>
      </c>
    </row>
    <row r="697" spans="1:7" ht="11.25" customHeight="1" x14ac:dyDescent="0.2">
      <c r="A697" s="67">
        <v>44075</v>
      </c>
      <c r="B697" s="57">
        <v>9481.6743999999999</v>
      </c>
      <c r="C697" s="57">
        <v>0</v>
      </c>
      <c r="D697" s="57">
        <v>12325.484319546513</v>
      </c>
      <c r="E697" s="57">
        <v>0</v>
      </c>
      <c r="F697" s="57">
        <v>9481.6743999999999</v>
      </c>
      <c r="G697" s="57">
        <v>12325.484319546513</v>
      </c>
    </row>
    <row r="698" spans="1:7" ht="11.25" customHeight="1" x14ac:dyDescent="0.2">
      <c r="A698" s="66" t="s">
        <v>35</v>
      </c>
      <c r="B698" s="57">
        <v>0</v>
      </c>
      <c r="C698" s="57">
        <v>18035.205743999995</v>
      </c>
      <c r="D698" s="57">
        <v>0</v>
      </c>
      <c r="E698" s="57">
        <v>18885.497819690248</v>
      </c>
      <c r="F698" s="57">
        <v>18035.205743999992</v>
      </c>
      <c r="G698" s="57">
        <v>18885.497819690248</v>
      </c>
    </row>
    <row r="699" spans="1:7" ht="11.25" customHeight="1" x14ac:dyDescent="0.2">
      <c r="A699" s="67">
        <v>43739</v>
      </c>
      <c r="B699" s="57">
        <v>0</v>
      </c>
      <c r="C699" s="57">
        <v>-15.191697600000007</v>
      </c>
      <c r="D699" s="57">
        <v>0</v>
      </c>
      <c r="E699" s="57">
        <v>-15.907928968187203</v>
      </c>
      <c r="F699" s="57">
        <v>-15.191697600000007</v>
      </c>
      <c r="G699" s="57">
        <v>-15.907928968187203</v>
      </c>
    </row>
    <row r="700" spans="1:7" ht="11.25" customHeight="1" x14ac:dyDescent="0.2">
      <c r="A700" s="67">
        <v>43770</v>
      </c>
      <c r="B700" s="57">
        <v>0</v>
      </c>
      <c r="C700" s="57">
        <v>1412.312903999999</v>
      </c>
      <c r="D700" s="57">
        <v>0</v>
      </c>
      <c r="E700" s="57">
        <v>1478.898142211978</v>
      </c>
      <c r="F700" s="57">
        <v>1412.312903999999</v>
      </c>
      <c r="G700" s="57">
        <v>1478.898142211978</v>
      </c>
    </row>
    <row r="701" spans="1:7" ht="11.25" customHeight="1" x14ac:dyDescent="0.2">
      <c r="A701" s="67">
        <v>43800</v>
      </c>
      <c r="B701" s="57">
        <v>0</v>
      </c>
      <c r="C701" s="57">
        <v>1906.257647999998</v>
      </c>
      <c r="D701" s="57">
        <v>0</v>
      </c>
      <c r="E701" s="57">
        <v>1996.1305219403234</v>
      </c>
      <c r="F701" s="57">
        <v>1906.257647999998</v>
      </c>
      <c r="G701" s="57">
        <v>1996.1305219403234</v>
      </c>
    </row>
    <row r="702" spans="1:7" ht="11.25" customHeight="1" x14ac:dyDescent="0.2">
      <c r="A702" s="67">
        <v>43831</v>
      </c>
      <c r="B702" s="57">
        <v>0</v>
      </c>
      <c r="C702" s="57">
        <v>306.92378879999967</v>
      </c>
      <c r="D702" s="57">
        <v>0</v>
      </c>
      <c r="E702" s="57">
        <v>321.39409034032406</v>
      </c>
      <c r="F702" s="57">
        <v>306.92378879999967</v>
      </c>
      <c r="G702" s="57">
        <v>321.39409034032406</v>
      </c>
    </row>
    <row r="703" spans="1:7" ht="11.25" customHeight="1" x14ac:dyDescent="0.2">
      <c r="A703" s="67">
        <v>43862</v>
      </c>
      <c r="B703" s="57">
        <v>0</v>
      </c>
      <c r="C703" s="57">
        <v>805.50328799999943</v>
      </c>
      <c r="D703" s="57">
        <v>0</v>
      </c>
      <c r="E703" s="57">
        <v>843.47973653354074</v>
      </c>
      <c r="F703" s="57">
        <v>805.50328799999943</v>
      </c>
      <c r="G703" s="57">
        <v>843.47973653354074</v>
      </c>
    </row>
    <row r="704" spans="1:7" ht="11.25" customHeight="1" x14ac:dyDescent="0.2">
      <c r="A704" s="67">
        <v>43891</v>
      </c>
      <c r="B704" s="57">
        <v>0</v>
      </c>
      <c r="C704" s="57">
        <v>492.05651039999981</v>
      </c>
      <c r="D704" s="57">
        <v>0</v>
      </c>
      <c r="E704" s="57">
        <v>515.25512302043603</v>
      </c>
      <c r="F704" s="57">
        <v>492.05651039999981</v>
      </c>
      <c r="G704" s="57">
        <v>515.25512302043603</v>
      </c>
    </row>
    <row r="705" spans="1:7" ht="11.25" customHeight="1" x14ac:dyDescent="0.2">
      <c r="A705" s="67">
        <v>43922</v>
      </c>
      <c r="B705" s="57">
        <v>0</v>
      </c>
      <c r="C705" s="57">
        <v>664.40074079999954</v>
      </c>
      <c r="D705" s="57">
        <v>0</v>
      </c>
      <c r="E705" s="57">
        <v>695.72473526970066</v>
      </c>
      <c r="F705" s="57">
        <v>664.40074079999954</v>
      </c>
      <c r="G705" s="57">
        <v>695.72473526970066</v>
      </c>
    </row>
    <row r="706" spans="1:7" ht="11.25" customHeight="1" x14ac:dyDescent="0.2">
      <c r="A706" s="67">
        <v>43952</v>
      </c>
      <c r="B706" s="57">
        <v>0</v>
      </c>
      <c r="C706" s="57">
        <v>1315.8413327999995</v>
      </c>
      <c r="D706" s="57">
        <v>0</v>
      </c>
      <c r="E706" s="57">
        <v>1377.8782994987446</v>
      </c>
      <c r="F706" s="57">
        <v>1315.8413327999995</v>
      </c>
      <c r="G706" s="57">
        <v>1377.8782994987446</v>
      </c>
    </row>
    <row r="707" spans="1:7" ht="11.25" customHeight="1" x14ac:dyDescent="0.2">
      <c r="A707" s="67">
        <v>43983</v>
      </c>
      <c r="B707" s="57">
        <v>0</v>
      </c>
      <c r="C707" s="57">
        <v>3015.3374015999998</v>
      </c>
      <c r="D707" s="57">
        <v>0</v>
      </c>
      <c r="E707" s="57">
        <v>3157.4992119228959</v>
      </c>
      <c r="F707" s="57">
        <v>3015.3374015999998</v>
      </c>
      <c r="G707" s="57">
        <v>3157.4992119228959</v>
      </c>
    </row>
    <row r="708" spans="1:7" ht="11.25" customHeight="1" x14ac:dyDescent="0.2">
      <c r="A708" s="67">
        <v>44013</v>
      </c>
      <c r="B708" s="57">
        <v>0</v>
      </c>
      <c r="C708" s="57">
        <v>2722.4895359999987</v>
      </c>
      <c r="D708" s="57">
        <v>0</v>
      </c>
      <c r="E708" s="57">
        <v>2850.8446715869918</v>
      </c>
      <c r="F708" s="57">
        <v>2722.4895359999987</v>
      </c>
      <c r="G708" s="57">
        <v>2850.8446715869918</v>
      </c>
    </row>
    <row r="709" spans="1:7" ht="11.25" customHeight="1" x14ac:dyDescent="0.2">
      <c r="A709" s="67">
        <v>44044</v>
      </c>
      <c r="B709" s="57">
        <v>0</v>
      </c>
      <c r="C709" s="57">
        <v>2704.6371456000002</v>
      </c>
      <c r="D709" s="57">
        <v>0</v>
      </c>
      <c r="E709" s="57">
        <v>2832.1506081667512</v>
      </c>
      <c r="F709" s="57">
        <v>2704.6371456000002</v>
      </c>
      <c r="G709" s="57">
        <v>2832.1506081667512</v>
      </c>
    </row>
    <row r="710" spans="1:7" ht="11.25" customHeight="1" x14ac:dyDescent="0.2">
      <c r="A710" s="67">
        <v>44075</v>
      </c>
      <c r="B710" s="57">
        <v>0</v>
      </c>
      <c r="C710" s="57">
        <v>2704.6371456000002</v>
      </c>
      <c r="D710" s="57">
        <v>0</v>
      </c>
      <c r="E710" s="57">
        <v>2832.1506081667512</v>
      </c>
      <c r="F710" s="57">
        <v>2704.6371456000002</v>
      </c>
      <c r="G710" s="57">
        <v>2832.1506081667512</v>
      </c>
    </row>
    <row r="711" spans="1:7" ht="11.25" customHeight="1" x14ac:dyDescent="0.2">
      <c r="A711" s="63" t="s">
        <v>25</v>
      </c>
      <c r="B711" s="57">
        <v>67207.613599999968</v>
      </c>
      <c r="C711" s="57">
        <v>828403.76700479956</v>
      </c>
      <c r="D711" s="57">
        <v>87364.989835649787</v>
      </c>
      <c r="E711" s="57">
        <v>793975.40953217424</v>
      </c>
      <c r="F711" s="57">
        <v>895611.3806047996</v>
      </c>
      <c r="G711" s="57">
        <v>881340.39936782373</v>
      </c>
    </row>
    <row r="712" spans="1:7" ht="11.25" customHeight="1" x14ac:dyDescent="0.2">
      <c r="A712" s="64" t="s">
        <v>25</v>
      </c>
      <c r="B712" s="57">
        <v>67207.613599999968</v>
      </c>
      <c r="C712" s="57">
        <v>828403.76700479956</v>
      </c>
      <c r="D712" s="57">
        <v>87364.989835649787</v>
      </c>
      <c r="E712" s="57">
        <v>793975.40953217424</v>
      </c>
      <c r="F712" s="57">
        <v>895611.3806047996</v>
      </c>
      <c r="G712" s="57">
        <v>881340.39936782373</v>
      </c>
    </row>
    <row r="713" spans="1:7" ht="11.25" customHeight="1" x14ac:dyDescent="0.2">
      <c r="A713" s="65" t="s">
        <v>25</v>
      </c>
      <c r="B713" s="57">
        <v>67207.613599999968</v>
      </c>
      <c r="C713" s="57">
        <v>828403.76700479956</v>
      </c>
      <c r="D713" s="57">
        <v>87364.989835649787</v>
      </c>
      <c r="E713" s="57">
        <v>793975.40953217424</v>
      </c>
      <c r="F713" s="57">
        <v>895611.3806047996</v>
      </c>
      <c r="G713" s="57">
        <v>881340.39936782373</v>
      </c>
    </row>
    <row r="714" spans="1:7" ht="11.25" customHeight="1" x14ac:dyDescent="0.2">
      <c r="A714" s="66" t="s">
        <v>36</v>
      </c>
      <c r="B714" s="57">
        <v>0</v>
      </c>
      <c r="C714" s="57">
        <v>649936.25252639968</v>
      </c>
      <c r="D714" s="57">
        <v>0</v>
      </c>
      <c r="E714" s="57">
        <v>607093.82340507116</v>
      </c>
      <c r="F714" s="57">
        <v>649936.25252639968</v>
      </c>
      <c r="G714" s="57">
        <v>607093.82340507093</v>
      </c>
    </row>
    <row r="715" spans="1:7" ht="11.25" customHeight="1" x14ac:dyDescent="0.2">
      <c r="A715" s="67">
        <v>43739</v>
      </c>
      <c r="B715" s="57">
        <v>0</v>
      </c>
      <c r="C715" s="57">
        <v>51373.142301599997</v>
      </c>
      <c r="D715" s="57">
        <v>0</v>
      </c>
      <c r="E715" s="57">
        <v>47986.732943388641</v>
      </c>
      <c r="F715" s="57">
        <v>51373.142301599997</v>
      </c>
      <c r="G715" s="57">
        <v>47986.732943388641</v>
      </c>
    </row>
    <row r="716" spans="1:7" ht="11.25" customHeight="1" x14ac:dyDescent="0.2">
      <c r="A716" s="67">
        <v>43770</v>
      </c>
      <c r="B716" s="57">
        <v>0</v>
      </c>
      <c r="C716" s="57">
        <v>55592.263238399981</v>
      </c>
      <c r="D716" s="57">
        <v>0</v>
      </c>
      <c r="E716" s="57">
        <v>51927.738312720983</v>
      </c>
      <c r="F716" s="57">
        <v>55592.263238399981</v>
      </c>
      <c r="G716" s="57">
        <v>51927.738312720983</v>
      </c>
    </row>
    <row r="717" spans="1:7" ht="11.25" customHeight="1" x14ac:dyDescent="0.2">
      <c r="A717" s="67">
        <v>43800</v>
      </c>
      <c r="B717" s="57">
        <v>0</v>
      </c>
      <c r="C717" s="57">
        <v>48650.783126399961</v>
      </c>
      <c r="D717" s="57">
        <v>0</v>
      </c>
      <c r="E717" s="57">
        <v>45443.825952234256</v>
      </c>
      <c r="F717" s="57">
        <v>48650.783126399961</v>
      </c>
      <c r="G717" s="57">
        <v>45443.825952234256</v>
      </c>
    </row>
    <row r="718" spans="1:7" ht="11.25" customHeight="1" x14ac:dyDescent="0.2">
      <c r="A718" s="67">
        <v>43831</v>
      </c>
      <c r="B718" s="57">
        <v>0</v>
      </c>
      <c r="C718" s="57">
        <v>44901.598593599978</v>
      </c>
      <c r="D718" s="57">
        <v>0</v>
      </c>
      <c r="E718" s="57">
        <v>41941.77976874914</v>
      </c>
      <c r="F718" s="57">
        <v>44901.598593599978</v>
      </c>
      <c r="G718" s="57">
        <v>41941.77976874914</v>
      </c>
    </row>
    <row r="719" spans="1:7" ht="11.25" customHeight="1" x14ac:dyDescent="0.2">
      <c r="A719" s="67">
        <v>43862</v>
      </c>
      <c r="B719" s="57">
        <v>0</v>
      </c>
      <c r="C719" s="57">
        <v>48238.542424799991</v>
      </c>
      <c r="D719" s="57">
        <v>0</v>
      </c>
      <c r="E719" s="57">
        <v>45058.759289581285</v>
      </c>
      <c r="F719" s="57">
        <v>48238.542424799991</v>
      </c>
      <c r="G719" s="57">
        <v>45058.759289581285</v>
      </c>
    </row>
    <row r="720" spans="1:7" ht="11.25" customHeight="1" x14ac:dyDescent="0.2">
      <c r="A720" s="67">
        <v>43891</v>
      </c>
      <c r="B720" s="57">
        <v>0</v>
      </c>
      <c r="C720" s="57">
        <v>59556.061605599934</v>
      </c>
      <c r="D720" s="57">
        <v>0</v>
      </c>
      <c r="E720" s="57">
        <v>55630.251438579369</v>
      </c>
      <c r="F720" s="57">
        <v>59556.061605599934</v>
      </c>
      <c r="G720" s="57">
        <v>55630.251438579369</v>
      </c>
    </row>
    <row r="721" spans="1:7" ht="11.25" customHeight="1" x14ac:dyDescent="0.2">
      <c r="A721" s="67">
        <v>43922</v>
      </c>
      <c r="B721" s="57">
        <v>0</v>
      </c>
      <c r="C721" s="57">
        <v>66389.457707999958</v>
      </c>
      <c r="D721" s="57">
        <v>0</v>
      </c>
      <c r="E721" s="57">
        <v>62013.204459774061</v>
      </c>
      <c r="F721" s="57">
        <v>66389.457707999958</v>
      </c>
      <c r="G721" s="57">
        <v>62013.204459774061</v>
      </c>
    </row>
    <row r="722" spans="1:7" ht="11.25" customHeight="1" x14ac:dyDescent="0.2">
      <c r="A722" s="67">
        <v>43952</v>
      </c>
      <c r="B722" s="57">
        <v>0</v>
      </c>
      <c r="C722" s="57">
        <v>54366.720357599937</v>
      </c>
      <c r="D722" s="57">
        <v>0</v>
      </c>
      <c r="E722" s="57">
        <v>50782.980637857283</v>
      </c>
      <c r="F722" s="57">
        <v>54366.720357599937</v>
      </c>
      <c r="G722" s="57">
        <v>50782.980637857283</v>
      </c>
    </row>
    <row r="723" spans="1:7" ht="11.25" customHeight="1" x14ac:dyDescent="0.2">
      <c r="A723" s="67">
        <v>43983</v>
      </c>
      <c r="B723" s="57">
        <v>0</v>
      </c>
      <c r="C723" s="57">
        <v>51394.05563039994</v>
      </c>
      <c r="D723" s="57">
        <v>0</v>
      </c>
      <c r="E723" s="57">
        <v>48006.267709593682</v>
      </c>
      <c r="F723" s="57">
        <v>51394.05563039994</v>
      </c>
      <c r="G723" s="57">
        <v>48006.267709593682</v>
      </c>
    </row>
    <row r="724" spans="1:7" ht="11.25" customHeight="1" x14ac:dyDescent="0.2">
      <c r="A724" s="67">
        <v>44013</v>
      </c>
      <c r="B724" s="57">
        <v>0</v>
      </c>
      <c r="C724" s="57">
        <v>54192.051799199988</v>
      </c>
      <c r="D724" s="57">
        <v>0</v>
      </c>
      <c r="E724" s="57">
        <v>50619.825863007449</v>
      </c>
      <c r="F724" s="57">
        <v>54192.051799199988</v>
      </c>
      <c r="G724" s="57">
        <v>50619.825863007449</v>
      </c>
    </row>
    <row r="725" spans="1:7" ht="11.25" customHeight="1" x14ac:dyDescent="0.2">
      <c r="A725" s="67">
        <v>44044</v>
      </c>
      <c r="B725" s="57">
        <v>0</v>
      </c>
      <c r="C725" s="57">
        <v>57640.787870399989</v>
      </c>
      <c r="D725" s="57">
        <v>0</v>
      </c>
      <c r="E725" s="57">
        <v>53841.228514792514</v>
      </c>
      <c r="F725" s="57">
        <v>57640.787870399989</v>
      </c>
      <c r="G725" s="57">
        <v>53841.228514792514</v>
      </c>
    </row>
    <row r="726" spans="1:7" ht="11.25" customHeight="1" x14ac:dyDescent="0.2">
      <c r="A726" s="67">
        <v>44075</v>
      </c>
      <c r="B726" s="57">
        <v>0</v>
      </c>
      <c r="C726" s="57">
        <v>57640.787870399989</v>
      </c>
      <c r="D726" s="57">
        <v>0</v>
      </c>
      <c r="E726" s="57">
        <v>53841.228514792514</v>
      </c>
      <c r="F726" s="57">
        <v>57640.787870399989</v>
      </c>
      <c r="G726" s="57">
        <v>53841.228514792514</v>
      </c>
    </row>
    <row r="727" spans="1:7" ht="11.25" customHeight="1" x14ac:dyDescent="0.2">
      <c r="A727" s="66" t="s">
        <v>25</v>
      </c>
      <c r="B727" s="57">
        <v>67207.613599999968</v>
      </c>
      <c r="C727" s="57">
        <v>0</v>
      </c>
      <c r="D727" s="57">
        <v>87364.989835649787</v>
      </c>
      <c r="E727" s="57">
        <v>0</v>
      </c>
      <c r="F727" s="57">
        <v>67207.613599999968</v>
      </c>
      <c r="G727" s="57">
        <v>87364.989835649787</v>
      </c>
    </row>
    <row r="728" spans="1:7" ht="11.25" customHeight="1" x14ac:dyDescent="0.2">
      <c r="A728" s="67">
        <v>43739</v>
      </c>
      <c r="B728" s="57">
        <v>5610.2080000000005</v>
      </c>
      <c r="C728" s="57">
        <v>0</v>
      </c>
      <c r="D728" s="57">
        <v>7292.8607138623538</v>
      </c>
      <c r="E728" s="57">
        <v>0</v>
      </c>
      <c r="F728" s="57">
        <v>5610.2080000000005</v>
      </c>
      <c r="G728" s="57">
        <v>7292.8607138623538</v>
      </c>
    </row>
    <row r="729" spans="1:7" ht="11.25" customHeight="1" x14ac:dyDescent="0.2">
      <c r="A729" s="67">
        <v>43770</v>
      </c>
      <c r="B729" s="57">
        <v>5861.8215999999957</v>
      </c>
      <c r="C729" s="57">
        <v>0</v>
      </c>
      <c r="D729" s="57">
        <v>7619.9400197478835</v>
      </c>
      <c r="E729" s="57">
        <v>0</v>
      </c>
      <c r="F729" s="57">
        <v>5861.8215999999957</v>
      </c>
      <c r="G729" s="57">
        <v>7619.9400197478835</v>
      </c>
    </row>
    <row r="730" spans="1:7" ht="11.25" customHeight="1" x14ac:dyDescent="0.2">
      <c r="A730" s="67">
        <v>43800</v>
      </c>
      <c r="B730" s="57">
        <v>4985.0504000000001</v>
      </c>
      <c r="C730" s="57">
        <v>0</v>
      </c>
      <c r="D730" s="57">
        <v>6480.2014860739228</v>
      </c>
      <c r="E730" s="57">
        <v>0</v>
      </c>
      <c r="F730" s="57">
        <v>4985.0504000000001</v>
      </c>
      <c r="G730" s="57">
        <v>6480.2014860739228</v>
      </c>
    </row>
    <row r="731" spans="1:7" ht="11.25" customHeight="1" x14ac:dyDescent="0.2">
      <c r="A731" s="67">
        <v>43831</v>
      </c>
      <c r="B731" s="57">
        <v>4877.9207999999981</v>
      </c>
      <c r="C731" s="57">
        <v>0</v>
      </c>
      <c r="D731" s="57">
        <v>6340.940829226297</v>
      </c>
      <c r="E731" s="57">
        <v>0</v>
      </c>
      <c r="F731" s="57">
        <v>4877.9207999999981</v>
      </c>
      <c r="G731" s="57">
        <v>6340.940829226297</v>
      </c>
    </row>
    <row r="732" spans="1:7" ht="11.25" customHeight="1" x14ac:dyDescent="0.2">
      <c r="A732" s="67">
        <v>43862</v>
      </c>
      <c r="B732" s="57">
        <v>5307.1439999999966</v>
      </c>
      <c r="C732" s="57">
        <v>0</v>
      </c>
      <c r="D732" s="57">
        <v>6898.8996451486801</v>
      </c>
      <c r="E732" s="57">
        <v>0</v>
      </c>
      <c r="F732" s="57">
        <v>5307.1439999999966</v>
      </c>
      <c r="G732" s="57">
        <v>6898.8996451486801</v>
      </c>
    </row>
    <row r="733" spans="1:7" ht="11.25" customHeight="1" x14ac:dyDescent="0.2">
      <c r="A733" s="67">
        <v>43891</v>
      </c>
      <c r="B733" s="57">
        <v>5697.6031999999941</v>
      </c>
      <c r="C733" s="57">
        <v>0</v>
      </c>
      <c r="D733" s="57">
        <v>7406.4680918169861</v>
      </c>
      <c r="E733" s="57">
        <v>0</v>
      </c>
      <c r="F733" s="57">
        <v>5697.6031999999941</v>
      </c>
      <c r="G733" s="57">
        <v>7406.4680918169861</v>
      </c>
    </row>
    <row r="734" spans="1:7" ht="11.25" customHeight="1" x14ac:dyDescent="0.2">
      <c r="A734" s="67">
        <v>43922</v>
      </c>
      <c r="B734" s="57">
        <v>6145.8560000000007</v>
      </c>
      <c r="C734" s="57">
        <v>0</v>
      </c>
      <c r="D734" s="57">
        <v>7989.1639981004682</v>
      </c>
      <c r="E734" s="57">
        <v>0</v>
      </c>
      <c r="F734" s="57">
        <v>6145.8560000000007</v>
      </c>
      <c r="G734" s="57">
        <v>7989.1639981004682</v>
      </c>
    </row>
    <row r="735" spans="1:7" ht="11.25" customHeight="1" x14ac:dyDescent="0.2">
      <c r="A735" s="67">
        <v>43952</v>
      </c>
      <c r="B735" s="57">
        <v>5446.6943999999994</v>
      </c>
      <c r="C735" s="57">
        <v>0</v>
      </c>
      <c r="D735" s="57">
        <v>7080.3049744633518</v>
      </c>
      <c r="E735" s="57">
        <v>0</v>
      </c>
      <c r="F735" s="57">
        <v>5446.6943999999994</v>
      </c>
      <c r="G735" s="57">
        <v>7080.3049744633518</v>
      </c>
    </row>
    <row r="736" spans="1:7" ht="11.25" customHeight="1" x14ac:dyDescent="0.2">
      <c r="A736" s="67">
        <v>43983</v>
      </c>
      <c r="B736" s="57">
        <v>5477.7055999999957</v>
      </c>
      <c r="C736" s="57">
        <v>0</v>
      </c>
      <c r="D736" s="57">
        <v>7120.6172698666051</v>
      </c>
      <c r="E736" s="57">
        <v>0</v>
      </c>
      <c r="F736" s="57">
        <v>5477.7055999999957</v>
      </c>
      <c r="G736" s="57">
        <v>7120.6172698666051</v>
      </c>
    </row>
    <row r="737" spans="1:7" ht="11.25" customHeight="1" x14ac:dyDescent="0.2">
      <c r="A737" s="67">
        <v>44013</v>
      </c>
      <c r="B737" s="57">
        <v>5741.3008</v>
      </c>
      <c r="C737" s="57">
        <v>0</v>
      </c>
      <c r="D737" s="57">
        <v>7463.2717807943136</v>
      </c>
      <c r="E737" s="57">
        <v>0</v>
      </c>
      <c r="F737" s="57">
        <v>5741.3008</v>
      </c>
      <c r="G737" s="57">
        <v>7463.2717807943136</v>
      </c>
    </row>
    <row r="738" spans="1:7" ht="11.25" customHeight="1" x14ac:dyDescent="0.2">
      <c r="A738" s="67">
        <v>44044</v>
      </c>
      <c r="B738" s="57">
        <v>6028.1543999999949</v>
      </c>
      <c r="C738" s="57">
        <v>0</v>
      </c>
      <c r="D738" s="57">
        <v>7836.1605132744553</v>
      </c>
      <c r="E738" s="57">
        <v>0</v>
      </c>
      <c r="F738" s="57">
        <v>6028.1543999999949</v>
      </c>
      <c r="G738" s="57">
        <v>7836.1605132744553</v>
      </c>
    </row>
    <row r="739" spans="1:7" ht="11.25" customHeight="1" x14ac:dyDescent="0.2">
      <c r="A739" s="67">
        <v>44075</v>
      </c>
      <c r="B739" s="57">
        <v>6028.1543999999949</v>
      </c>
      <c r="C739" s="57">
        <v>0</v>
      </c>
      <c r="D739" s="57">
        <v>7836.1605132744553</v>
      </c>
      <c r="E739" s="57">
        <v>0</v>
      </c>
      <c r="F739" s="57">
        <v>6028.1543999999949</v>
      </c>
      <c r="G739" s="57">
        <v>7836.1605132744553</v>
      </c>
    </row>
    <row r="740" spans="1:7" ht="11.25" customHeight="1" x14ac:dyDescent="0.2">
      <c r="A740" s="66" t="s">
        <v>35</v>
      </c>
      <c r="B740" s="57">
        <v>0</v>
      </c>
      <c r="C740" s="57">
        <v>178467.51447839994</v>
      </c>
      <c r="D740" s="57">
        <v>0</v>
      </c>
      <c r="E740" s="57">
        <v>186881.58612710313</v>
      </c>
      <c r="F740" s="57">
        <v>178467.51447839994</v>
      </c>
      <c r="G740" s="57">
        <v>186881.58612710316</v>
      </c>
    </row>
    <row r="741" spans="1:7" ht="11.25" customHeight="1" x14ac:dyDescent="0.2">
      <c r="A741" s="67">
        <v>43739</v>
      </c>
      <c r="B741" s="57">
        <v>0</v>
      </c>
      <c r="C741" s="57">
        <v>15879.615431999991</v>
      </c>
      <c r="D741" s="57">
        <v>0</v>
      </c>
      <c r="E741" s="57">
        <v>16628.279537000861</v>
      </c>
      <c r="F741" s="57">
        <v>15879.615431999991</v>
      </c>
      <c r="G741" s="57">
        <v>16628.279537000861</v>
      </c>
    </row>
    <row r="742" spans="1:7" ht="11.25" customHeight="1" x14ac:dyDescent="0.2">
      <c r="A742" s="67">
        <v>43770</v>
      </c>
      <c r="B742" s="57">
        <v>0</v>
      </c>
      <c r="C742" s="57">
        <v>15681.522561599977</v>
      </c>
      <c r="D742" s="57">
        <v>0</v>
      </c>
      <c r="E742" s="57">
        <v>16420.847333280082</v>
      </c>
      <c r="F742" s="57">
        <v>15681.522561599977</v>
      </c>
      <c r="G742" s="57">
        <v>16420.847333280082</v>
      </c>
    </row>
    <row r="743" spans="1:7" ht="11.25" customHeight="1" x14ac:dyDescent="0.2">
      <c r="A743" s="67">
        <v>43800</v>
      </c>
      <c r="B743" s="57">
        <v>0</v>
      </c>
      <c r="C743" s="57">
        <v>13060.654324800002</v>
      </c>
      <c r="D743" s="57">
        <v>0</v>
      </c>
      <c r="E743" s="57">
        <v>13676.415022700645</v>
      </c>
      <c r="F743" s="57">
        <v>13060.654324800002</v>
      </c>
      <c r="G743" s="57">
        <v>13676.415022700645</v>
      </c>
    </row>
    <row r="744" spans="1:7" ht="11.25" customHeight="1" x14ac:dyDescent="0.2">
      <c r="A744" s="67">
        <v>43831</v>
      </c>
      <c r="B744" s="57">
        <v>0</v>
      </c>
      <c r="C744" s="57">
        <v>11003.509646400002</v>
      </c>
      <c r="D744" s="57">
        <v>0</v>
      </c>
      <c r="E744" s="57">
        <v>11522.283714737307</v>
      </c>
      <c r="F744" s="57">
        <v>11003.509646400002</v>
      </c>
      <c r="G744" s="57">
        <v>11522.283714737307</v>
      </c>
    </row>
    <row r="745" spans="1:7" ht="11.25" customHeight="1" x14ac:dyDescent="0.2">
      <c r="A745" s="67">
        <v>43862</v>
      </c>
      <c r="B745" s="57">
        <v>0</v>
      </c>
      <c r="C745" s="57">
        <v>12253.091145599998</v>
      </c>
      <c r="D745" s="57">
        <v>0</v>
      </c>
      <c r="E745" s="57">
        <v>12830.778278849379</v>
      </c>
      <c r="F745" s="57">
        <v>12253.091145599998</v>
      </c>
      <c r="G745" s="57">
        <v>12830.778278849379</v>
      </c>
    </row>
    <row r="746" spans="1:7" ht="11.25" customHeight="1" x14ac:dyDescent="0.2">
      <c r="A746" s="67">
        <v>43891</v>
      </c>
      <c r="B746" s="57">
        <v>0</v>
      </c>
      <c r="C746" s="57">
        <v>15689.590468800003</v>
      </c>
      <c r="D746" s="57">
        <v>0</v>
      </c>
      <c r="E746" s="57">
        <v>16429.295611941176</v>
      </c>
      <c r="F746" s="57">
        <v>15689.590468800003</v>
      </c>
      <c r="G746" s="57">
        <v>16429.295611941176</v>
      </c>
    </row>
    <row r="747" spans="1:7" ht="11.25" customHeight="1" x14ac:dyDescent="0.2">
      <c r="A747" s="67">
        <v>43922</v>
      </c>
      <c r="B747" s="57">
        <v>0</v>
      </c>
      <c r="C747" s="57">
        <v>18035.291572800008</v>
      </c>
      <c r="D747" s="57">
        <v>0</v>
      </c>
      <c r="E747" s="57">
        <v>18885.587694995171</v>
      </c>
      <c r="F747" s="57">
        <v>18035.291572800008</v>
      </c>
      <c r="G747" s="57">
        <v>18885.587694995171</v>
      </c>
    </row>
    <row r="748" spans="1:7" ht="11.25" customHeight="1" x14ac:dyDescent="0.2">
      <c r="A748" s="67">
        <v>43952</v>
      </c>
      <c r="B748" s="57">
        <v>0</v>
      </c>
      <c r="C748" s="57">
        <v>13584.982463999992</v>
      </c>
      <c r="D748" s="57">
        <v>0</v>
      </c>
      <c r="E748" s="57">
        <v>14225.463260365354</v>
      </c>
      <c r="F748" s="57">
        <v>13584.982463999992</v>
      </c>
      <c r="G748" s="57">
        <v>14225.463260365354</v>
      </c>
    </row>
    <row r="749" spans="1:7" ht="11.25" customHeight="1" x14ac:dyDescent="0.2">
      <c r="A749" s="67">
        <v>43983</v>
      </c>
      <c r="B749" s="57">
        <v>0</v>
      </c>
      <c r="C749" s="57">
        <v>14161.75200000001</v>
      </c>
      <c r="D749" s="57">
        <v>0</v>
      </c>
      <c r="E749" s="57">
        <v>14829.425309327056</v>
      </c>
      <c r="F749" s="57">
        <v>14161.75200000001</v>
      </c>
      <c r="G749" s="57">
        <v>14829.425309327056</v>
      </c>
    </row>
    <row r="750" spans="1:7" ht="11.25" customHeight="1" x14ac:dyDescent="0.2">
      <c r="A750" s="67">
        <v>44013</v>
      </c>
      <c r="B750" s="57">
        <v>0</v>
      </c>
      <c r="C750" s="57">
        <v>15051.024196799986</v>
      </c>
      <c r="D750" s="57">
        <v>0</v>
      </c>
      <c r="E750" s="57">
        <v>15760.623343447867</v>
      </c>
      <c r="F750" s="57">
        <v>15051.024196799986</v>
      </c>
      <c r="G750" s="57">
        <v>15760.623343447867</v>
      </c>
    </row>
    <row r="751" spans="1:7" ht="11.25" customHeight="1" x14ac:dyDescent="0.2">
      <c r="A751" s="67">
        <v>44044</v>
      </c>
      <c r="B751" s="57">
        <v>0</v>
      </c>
      <c r="C751" s="57">
        <v>17033.240332799993</v>
      </c>
      <c r="D751" s="57">
        <v>0</v>
      </c>
      <c r="E751" s="57">
        <v>17836.293510229134</v>
      </c>
      <c r="F751" s="57">
        <v>17033.240332799993</v>
      </c>
      <c r="G751" s="57">
        <v>17836.293510229134</v>
      </c>
    </row>
    <row r="752" spans="1:7" ht="11.25" customHeight="1" x14ac:dyDescent="0.2">
      <c r="A752" s="67">
        <v>44075</v>
      </c>
      <c r="B752" s="57">
        <v>0</v>
      </c>
      <c r="C752" s="57">
        <v>17033.240332799993</v>
      </c>
      <c r="D752" s="57">
        <v>0</v>
      </c>
      <c r="E752" s="57">
        <v>17836.293510229134</v>
      </c>
      <c r="F752" s="57">
        <v>17033.240332799993</v>
      </c>
      <c r="G752" s="57">
        <v>17836.293510229134</v>
      </c>
    </row>
    <row r="753" spans="1:7" ht="11.25" customHeight="1" x14ac:dyDescent="0.2">
      <c r="A753" s="60" t="s">
        <v>46</v>
      </c>
      <c r="B753" s="57">
        <v>0</v>
      </c>
      <c r="C753" s="57">
        <v>10139503.488556098</v>
      </c>
      <c r="D753" s="57">
        <v>0</v>
      </c>
      <c r="E753" s="57">
        <v>7557724.6924672453</v>
      </c>
      <c r="F753" s="57">
        <v>10139503.488556102</v>
      </c>
      <c r="G753" s="57">
        <v>7557724.6924672462</v>
      </c>
    </row>
    <row r="754" spans="1:7" ht="11.25" customHeight="1" x14ac:dyDescent="0.2">
      <c r="A754" s="61" t="s">
        <v>37</v>
      </c>
      <c r="B754" s="57">
        <v>0</v>
      </c>
      <c r="C754" s="57">
        <v>612.99031609756105</v>
      </c>
      <c r="D754" s="57">
        <v>0</v>
      </c>
      <c r="E754" s="57">
        <v>659.05938987878062</v>
      </c>
      <c r="F754" s="57">
        <v>612.99031609756105</v>
      </c>
      <c r="G754" s="57">
        <v>659.05938987878062</v>
      </c>
    </row>
    <row r="755" spans="1:7" ht="11.25" customHeight="1" x14ac:dyDescent="0.2">
      <c r="A755" s="62" t="s">
        <v>47</v>
      </c>
      <c r="B755" s="57">
        <v>0</v>
      </c>
      <c r="C755" s="57">
        <v>612.99031609756105</v>
      </c>
      <c r="D755" s="57">
        <v>0</v>
      </c>
      <c r="E755" s="57">
        <v>659.05938987878062</v>
      </c>
      <c r="F755" s="57">
        <v>612.99031609756105</v>
      </c>
      <c r="G755" s="57">
        <v>659.05938987878062</v>
      </c>
    </row>
    <row r="756" spans="1:7" ht="11.25" customHeight="1" x14ac:dyDescent="0.2">
      <c r="A756" s="63" t="s">
        <v>25</v>
      </c>
      <c r="B756" s="57">
        <v>0</v>
      </c>
      <c r="C756" s="57">
        <v>612.99031609756105</v>
      </c>
      <c r="D756" s="57">
        <v>0</v>
      </c>
      <c r="E756" s="57">
        <v>659.05938987878062</v>
      </c>
      <c r="F756" s="57">
        <v>612.99031609756105</v>
      </c>
      <c r="G756" s="57">
        <v>659.05938987878062</v>
      </c>
    </row>
    <row r="757" spans="1:7" ht="11.25" customHeight="1" x14ac:dyDescent="0.2">
      <c r="A757" s="64" t="s">
        <v>25</v>
      </c>
      <c r="B757" s="57">
        <v>0</v>
      </c>
      <c r="C757" s="57">
        <v>612.99031609756105</v>
      </c>
      <c r="D757" s="57">
        <v>0</v>
      </c>
      <c r="E757" s="57">
        <v>659.05938987878062</v>
      </c>
      <c r="F757" s="57">
        <v>612.99031609756105</v>
      </c>
      <c r="G757" s="57">
        <v>659.05938987878062</v>
      </c>
    </row>
    <row r="758" spans="1:7" ht="11.25" customHeight="1" x14ac:dyDescent="0.2">
      <c r="A758" s="65" t="s">
        <v>25</v>
      </c>
      <c r="B758" s="57">
        <v>0</v>
      </c>
      <c r="C758" s="57">
        <v>612.99031609756105</v>
      </c>
      <c r="D758" s="57">
        <v>0</v>
      </c>
      <c r="E758" s="57">
        <v>659.05938987878062</v>
      </c>
      <c r="F758" s="57">
        <v>612.99031609756105</v>
      </c>
      <c r="G758" s="57">
        <v>659.05938987878062</v>
      </c>
    </row>
    <row r="759" spans="1:7" ht="11.25" customHeight="1" x14ac:dyDescent="0.2">
      <c r="A759" s="66" t="s">
        <v>36</v>
      </c>
      <c r="B759" s="57">
        <v>0</v>
      </c>
      <c r="C759" s="57">
        <v>379.25926243902438</v>
      </c>
      <c r="D759" s="57">
        <v>0</v>
      </c>
      <c r="E759" s="57">
        <v>401.27873006969605</v>
      </c>
      <c r="F759" s="57">
        <v>379.25926243902438</v>
      </c>
      <c r="G759" s="57">
        <v>401.27873006969605</v>
      </c>
    </row>
    <row r="760" spans="1:7" ht="11.25" customHeight="1" x14ac:dyDescent="0.2">
      <c r="A760" s="67">
        <v>43739</v>
      </c>
      <c r="B760" s="57">
        <v>0</v>
      </c>
      <c r="C760" s="57">
        <v>33.521918048780485</v>
      </c>
      <c r="D760" s="57">
        <v>0</v>
      </c>
      <c r="E760" s="57">
        <v>35.468171871683033</v>
      </c>
      <c r="F760" s="57">
        <v>33.521918048780485</v>
      </c>
      <c r="G760" s="57">
        <v>35.468171871683033</v>
      </c>
    </row>
    <row r="761" spans="1:7" ht="11.25" customHeight="1" x14ac:dyDescent="0.2">
      <c r="A761" s="67">
        <v>43770</v>
      </c>
      <c r="B761" s="57">
        <v>0</v>
      </c>
      <c r="C761" s="57">
        <v>33.597588292682921</v>
      </c>
      <c r="D761" s="57">
        <v>0</v>
      </c>
      <c r="E761" s="57">
        <v>35.548235465072842</v>
      </c>
      <c r="F761" s="57">
        <v>33.597588292682921</v>
      </c>
      <c r="G761" s="57">
        <v>35.548235465072842</v>
      </c>
    </row>
    <row r="762" spans="1:7" ht="11.25" customHeight="1" x14ac:dyDescent="0.2">
      <c r="A762" s="67">
        <v>43800</v>
      </c>
      <c r="B762" s="57">
        <v>0</v>
      </c>
      <c r="C762" s="57">
        <v>27.846649756097555</v>
      </c>
      <c r="D762" s="57">
        <v>0</v>
      </c>
      <c r="E762" s="57">
        <v>29.46340236744776</v>
      </c>
      <c r="F762" s="57">
        <v>27.846649756097555</v>
      </c>
      <c r="G762" s="57">
        <v>29.46340236744776</v>
      </c>
    </row>
    <row r="763" spans="1:7" ht="11.25" customHeight="1" x14ac:dyDescent="0.2">
      <c r="A763" s="67">
        <v>43831</v>
      </c>
      <c r="B763" s="57">
        <v>0</v>
      </c>
      <c r="C763" s="57">
        <v>33.067896585365851</v>
      </c>
      <c r="D763" s="57">
        <v>0</v>
      </c>
      <c r="E763" s="57">
        <v>34.98779031134422</v>
      </c>
      <c r="F763" s="57">
        <v>33.067896585365851</v>
      </c>
      <c r="G763" s="57">
        <v>34.98779031134422</v>
      </c>
    </row>
    <row r="764" spans="1:7" ht="11.25" customHeight="1" x14ac:dyDescent="0.2">
      <c r="A764" s="67">
        <v>43862</v>
      </c>
      <c r="B764" s="57">
        <v>0</v>
      </c>
      <c r="C764" s="57">
        <v>27.165617560975605</v>
      </c>
      <c r="D764" s="57">
        <v>0</v>
      </c>
      <c r="E764" s="57">
        <v>28.742830026939529</v>
      </c>
      <c r="F764" s="57">
        <v>27.165617560975605</v>
      </c>
      <c r="G764" s="57">
        <v>28.742830026939529</v>
      </c>
    </row>
    <row r="765" spans="1:7" ht="11.25" customHeight="1" x14ac:dyDescent="0.2">
      <c r="A765" s="67">
        <v>43891</v>
      </c>
      <c r="B765" s="57">
        <v>0</v>
      </c>
      <c r="C765" s="57">
        <v>32.916556097560971</v>
      </c>
      <c r="D765" s="57">
        <v>0</v>
      </c>
      <c r="E765" s="57">
        <v>34.827663124564609</v>
      </c>
      <c r="F765" s="57">
        <v>32.916556097560971</v>
      </c>
      <c r="G765" s="57">
        <v>34.827663124564609</v>
      </c>
    </row>
    <row r="766" spans="1:7" ht="11.25" customHeight="1" x14ac:dyDescent="0.2">
      <c r="A766" s="67">
        <v>43922</v>
      </c>
      <c r="B766" s="57">
        <v>0</v>
      </c>
      <c r="C766" s="57">
        <v>32.840885853658527</v>
      </c>
      <c r="D766" s="57">
        <v>0</v>
      </c>
      <c r="E766" s="57">
        <v>34.747599531174799</v>
      </c>
      <c r="F766" s="57">
        <v>32.840885853658527</v>
      </c>
      <c r="G766" s="57">
        <v>34.747599531174799</v>
      </c>
    </row>
    <row r="767" spans="1:7" ht="11.25" customHeight="1" x14ac:dyDescent="0.2">
      <c r="A767" s="67">
        <v>43952</v>
      </c>
      <c r="B767" s="57">
        <v>0</v>
      </c>
      <c r="C767" s="57">
        <v>30.797789268292679</v>
      </c>
      <c r="D767" s="57">
        <v>0</v>
      </c>
      <c r="E767" s="57">
        <v>32.585882509650098</v>
      </c>
      <c r="F767" s="57">
        <v>30.797789268292679</v>
      </c>
      <c r="G767" s="57">
        <v>32.585882509650098</v>
      </c>
    </row>
    <row r="768" spans="1:7" ht="11.25" customHeight="1" x14ac:dyDescent="0.2">
      <c r="A768" s="67">
        <v>43983</v>
      </c>
      <c r="B768" s="57">
        <v>0</v>
      </c>
      <c r="C768" s="57">
        <v>29.284384390243893</v>
      </c>
      <c r="D768" s="57">
        <v>0</v>
      </c>
      <c r="E768" s="57">
        <v>30.984610641854033</v>
      </c>
      <c r="F768" s="57">
        <v>29.284384390243893</v>
      </c>
      <c r="G768" s="57">
        <v>30.984610641854033</v>
      </c>
    </row>
    <row r="769" spans="1:7" ht="11.25" customHeight="1" x14ac:dyDescent="0.2">
      <c r="A769" s="67">
        <v>44013</v>
      </c>
      <c r="B769" s="57">
        <v>0</v>
      </c>
      <c r="C769" s="57">
        <v>29.05737365853658</v>
      </c>
      <c r="D769" s="57">
        <v>0</v>
      </c>
      <c r="E769" s="57">
        <v>30.744419861684616</v>
      </c>
      <c r="F769" s="57">
        <v>29.05737365853658</v>
      </c>
      <c r="G769" s="57">
        <v>30.744419861684616</v>
      </c>
    </row>
    <row r="770" spans="1:7" ht="11.25" customHeight="1" x14ac:dyDescent="0.2">
      <c r="A770" s="67">
        <v>44044</v>
      </c>
      <c r="B770" s="57">
        <v>0</v>
      </c>
      <c r="C770" s="57">
        <v>34.581301463414633</v>
      </c>
      <c r="D770" s="57">
        <v>0</v>
      </c>
      <c r="E770" s="57">
        <v>36.589062179140285</v>
      </c>
      <c r="F770" s="57">
        <v>34.581301463414633</v>
      </c>
      <c r="G770" s="57">
        <v>36.589062179140285</v>
      </c>
    </row>
    <row r="771" spans="1:7" ht="11.25" customHeight="1" x14ac:dyDescent="0.2">
      <c r="A771" s="67">
        <v>44075</v>
      </c>
      <c r="B771" s="57">
        <v>0</v>
      </c>
      <c r="C771" s="57">
        <v>34.581301463414633</v>
      </c>
      <c r="D771" s="57">
        <v>0</v>
      </c>
      <c r="E771" s="57">
        <v>36.589062179140285</v>
      </c>
      <c r="F771" s="57">
        <v>34.581301463414633</v>
      </c>
      <c r="G771" s="57">
        <v>36.589062179140285</v>
      </c>
    </row>
    <row r="772" spans="1:7" ht="11.25" customHeight="1" x14ac:dyDescent="0.2">
      <c r="A772" s="66" t="s">
        <v>38</v>
      </c>
      <c r="B772" s="57">
        <v>0</v>
      </c>
      <c r="C772" s="57">
        <v>60.739101219512193</v>
      </c>
      <c r="D772" s="57">
        <v>0</v>
      </c>
      <c r="E772" s="57">
        <v>67.586072482425308</v>
      </c>
      <c r="F772" s="57">
        <v>60.739101219512193</v>
      </c>
      <c r="G772" s="57">
        <v>67.586072482425308</v>
      </c>
    </row>
    <row r="773" spans="1:7" ht="11.25" customHeight="1" x14ac:dyDescent="0.2">
      <c r="A773" s="67">
        <v>43739</v>
      </c>
      <c r="B773" s="57">
        <v>0</v>
      </c>
      <c r="C773" s="57">
        <v>4.842285365853658</v>
      </c>
      <c r="D773" s="57">
        <v>0</v>
      </c>
      <c r="E773" s="57">
        <v>5.3881444266751553</v>
      </c>
      <c r="F773" s="57">
        <v>4.842285365853658</v>
      </c>
      <c r="G773" s="57">
        <v>5.3881444266751553</v>
      </c>
    </row>
    <row r="774" spans="1:7" ht="11.25" customHeight="1" x14ac:dyDescent="0.2">
      <c r="A774" s="67">
        <v>43770</v>
      </c>
      <c r="B774" s="57">
        <v>0</v>
      </c>
      <c r="C774" s="57">
        <v>4.5264841463414625</v>
      </c>
      <c r="D774" s="57">
        <v>0</v>
      </c>
      <c r="E774" s="57">
        <v>5.0367437031963398</v>
      </c>
      <c r="F774" s="57">
        <v>4.5264841463414625</v>
      </c>
      <c r="G774" s="57">
        <v>5.0367437031963398</v>
      </c>
    </row>
    <row r="775" spans="1:7" ht="11.25" customHeight="1" x14ac:dyDescent="0.2">
      <c r="A775" s="67">
        <v>43800</v>
      </c>
      <c r="B775" s="57">
        <v>0</v>
      </c>
      <c r="C775" s="57">
        <v>3.5790804878048776</v>
      </c>
      <c r="D775" s="57">
        <v>0</v>
      </c>
      <c r="E775" s="57">
        <v>3.9825415327598974</v>
      </c>
      <c r="F775" s="57">
        <v>3.5790804878048776</v>
      </c>
      <c r="G775" s="57">
        <v>3.9825415327598974</v>
      </c>
    </row>
    <row r="776" spans="1:7" ht="11.25" customHeight="1" x14ac:dyDescent="0.2">
      <c r="A776" s="67">
        <v>43831</v>
      </c>
      <c r="B776" s="57">
        <v>0</v>
      </c>
      <c r="C776" s="57">
        <v>4.7370182926829258</v>
      </c>
      <c r="D776" s="57">
        <v>0</v>
      </c>
      <c r="E776" s="57">
        <v>5.2710108521822168</v>
      </c>
      <c r="F776" s="57">
        <v>4.7370182926829258</v>
      </c>
      <c r="G776" s="57">
        <v>5.2710108521822168</v>
      </c>
    </row>
    <row r="777" spans="1:7" ht="11.25" customHeight="1" x14ac:dyDescent="0.2">
      <c r="A777" s="67">
        <v>43862</v>
      </c>
      <c r="B777" s="57">
        <v>0</v>
      </c>
      <c r="C777" s="57">
        <v>4.1054158536585357</v>
      </c>
      <c r="D777" s="57">
        <v>0</v>
      </c>
      <c r="E777" s="57">
        <v>4.5682094052245876</v>
      </c>
      <c r="F777" s="57">
        <v>4.1054158536585357</v>
      </c>
      <c r="G777" s="57">
        <v>4.5682094052245876</v>
      </c>
    </row>
    <row r="778" spans="1:7" ht="11.25" customHeight="1" x14ac:dyDescent="0.2">
      <c r="A778" s="67">
        <v>43891</v>
      </c>
      <c r="B778" s="57">
        <v>0</v>
      </c>
      <c r="C778" s="57">
        <v>5.4738878048780482</v>
      </c>
      <c r="D778" s="57">
        <v>0</v>
      </c>
      <c r="E778" s="57">
        <v>6.0909458736327826</v>
      </c>
      <c r="F778" s="57">
        <v>5.4738878048780482</v>
      </c>
      <c r="G778" s="57">
        <v>6.0909458736327826</v>
      </c>
    </row>
    <row r="779" spans="1:7" ht="11.25" customHeight="1" x14ac:dyDescent="0.2">
      <c r="A779" s="67">
        <v>43922</v>
      </c>
      <c r="B779" s="57">
        <v>0</v>
      </c>
      <c r="C779" s="57">
        <v>5.4738878048780482</v>
      </c>
      <c r="D779" s="57">
        <v>0</v>
      </c>
      <c r="E779" s="57">
        <v>6.0909458736327826</v>
      </c>
      <c r="F779" s="57">
        <v>5.4738878048780482</v>
      </c>
      <c r="G779" s="57">
        <v>6.0909458736327826</v>
      </c>
    </row>
    <row r="780" spans="1:7" ht="11.25" customHeight="1" x14ac:dyDescent="0.2">
      <c r="A780" s="67">
        <v>43952</v>
      </c>
      <c r="B780" s="57">
        <v>0</v>
      </c>
      <c r="C780" s="57">
        <v>5.5791548780487794</v>
      </c>
      <c r="D780" s="57">
        <v>0</v>
      </c>
      <c r="E780" s="57">
        <v>6.2080794481257211</v>
      </c>
      <c r="F780" s="57">
        <v>5.5791548780487794</v>
      </c>
      <c r="G780" s="57">
        <v>6.2080794481257211</v>
      </c>
    </row>
    <row r="781" spans="1:7" ht="11.25" customHeight="1" x14ac:dyDescent="0.2">
      <c r="A781" s="67">
        <v>43983</v>
      </c>
      <c r="B781" s="57">
        <v>0</v>
      </c>
      <c r="C781" s="57">
        <v>5.1580865853658535</v>
      </c>
      <c r="D781" s="57">
        <v>0</v>
      </c>
      <c r="E781" s="57">
        <v>5.7395451501539698</v>
      </c>
      <c r="F781" s="57">
        <v>5.1580865853658535</v>
      </c>
      <c r="G781" s="57">
        <v>5.7395451501539698</v>
      </c>
    </row>
    <row r="782" spans="1:7" ht="11.25" customHeight="1" x14ac:dyDescent="0.2">
      <c r="A782" s="67">
        <v>44013</v>
      </c>
      <c r="B782" s="57">
        <v>0</v>
      </c>
      <c r="C782" s="57">
        <v>5.2633536585365848</v>
      </c>
      <c r="D782" s="57">
        <v>0</v>
      </c>
      <c r="E782" s="57">
        <v>5.8566787246469074</v>
      </c>
      <c r="F782" s="57">
        <v>5.2633536585365848</v>
      </c>
      <c r="G782" s="57">
        <v>5.8566787246469074</v>
      </c>
    </row>
    <row r="783" spans="1:7" ht="11.25" customHeight="1" x14ac:dyDescent="0.2">
      <c r="A783" s="67">
        <v>44044</v>
      </c>
      <c r="B783" s="57">
        <v>0</v>
      </c>
      <c r="C783" s="57">
        <v>6.0002231707317071</v>
      </c>
      <c r="D783" s="57">
        <v>0</v>
      </c>
      <c r="E783" s="57">
        <v>6.6766137460974742</v>
      </c>
      <c r="F783" s="57">
        <v>6.0002231707317071</v>
      </c>
      <c r="G783" s="57">
        <v>6.6766137460974742</v>
      </c>
    </row>
    <row r="784" spans="1:7" ht="11.25" customHeight="1" x14ac:dyDescent="0.2">
      <c r="A784" s="67">
        <v>44075</v>
      </c>
      <c r="B784" s="57">
        <v>0</v>
      </c>
      <c r="C784" s="57">
        <v>6.0002231707317071</v>
      </c>
      <c r="D784" s="57">
        <v>0</v>
      </c>
      <c r="E784" s="57">
        <v>6.6766137460974742</v>
      </c>
      <c r="F784" s="57">
        <v>6.0002231707317071</v>
      </c>
      <c r="G784" s="57">
        <v>6.6766137460974742</v>
      </c>
    </row>
    <row r="785" spans="1:7" ht="11.25" customHeight="1" x14ac:dyDescent="0.2">
      <c r="A785" s="66" t="s">
        <v>35</v>
      </c>
      <c r="B785" s="57">
        <v>0</v>
      </c>
      <c r="C785" s="57">
        <v>172.99195243902437</v>
      </c>
      <c r="D785" s="57">
        <v>0</v>
      </c>
      <c r="E785" s="57">
        <v>190.19458732665919</v>
      </c>
      <c r="F785" s="57">
        <v>172.99195243902437</v>
      </c>
      <c r="G785" s="57">
        <v>190.19458732665919</v>
      </c>
    </row>
    <row r="786" spans="1:7" ht="11.25" customHeight="1" x14ac:dyDescent="0.2">
      <c r="A786" s="67">
        <v>43739</v>
      </c>
      <c r="B786" s="57">
        <v>0</v>
      </c>
      <c r="C786" s="57">
        <v>13.281846585365852</v>
      </c>
      <c r="D786" s="57">
        <v>0</v>
      </c>
      <c r="E786" s="57">
        <v>14.602617605174778</v>
      </c>
      <c r="F786" s="57">
        <v>13.281846585365852</v>
      </c>
      <c r="G786" s="57">
        <v>14.602617605174778</v>
      </c>
    </row>
    <row r="787" spans="1:7" ht="11.25" customHeight="1" x14ac:dyDescent="0.2">
      <c r="A787" s="67">
        <v>43770</v>
      </c>
      <c r="B787" s="57">
        <v>0</v>
      </c>
      <c r="C787" s="57">
        <v>12.625952926829266</v>
      </c>
      <c r="D787" s="57">
        <v>0</v>
      </c>
      <c r="E787" s="57">
        <v>13.881500686400715</v>
      </c>
      <c r="F787" s="57">
        <v>12.625952926829266</v>
      </c>
      <c r="G787" s="57">
        <v>13.881500686400715</v>
      </c>
    </row>
    <row r="788" spans="1:7" ht="11.25" customHeight="1" x14ac:dyDescent="0.2">
      <c r="A788" s="67">
        <v>43800</v>
      </c>
      <c r="B788" s="57">
        <v>0</v>
      </c>
      <c r="C788" s="57">
        <v>11.478139024390241</v>
      </c>
      <c r="D788" s="57">
        <v>0</v>
      </c>
      <c r="E788" s="57">
        <v>12.619546078546106</v>
      </c>
      <c r="F788" s="57">
        <v>11.478139024390241</v>
      </c>
      <c r="G788" s="57">
        <v>12.619546078546106</v>
      </c>
    </row>
    <row r="789" spans="1:7" ht="11.25" customHeight="1" x14ac:dyDescent="0.2">
      <c r="A789" s="67">
        <v>43831</v>
      </c>
      <c r="B789" s="57">
        <v>0</v>
      </c>
      <c r="C789" s="57">
        <v>13.937740243902438</v>
      </c>
      <c r="D789" s="57">
        <v>0</v>
      </c>
      <c r="E789" s="57">
        <v>15.323734523948843</v>
      </c>
      <c r="F789" s="57">
        <v>13.937740243902438</v>
      </c>
      <c r="G789" s="57">
        <v>15.323734523948843</v>
      </c>
    </row>
    <row r="790" spans="1:7" ht="11.25" customHeight="1" x14ac:dyDescent="0.2">
      <c r="A790" s="67">
        <v>43862</v>
      </c>
      <c r="B790" s="57">
        <v>0</v>
      </c>
      <c r="C790" s="57">
        <v>12.461979512195118</v>
      </c>
      <c r="D790" s="57">
        <v>0</v>
      </c>
      <c r="E790" s="57">
        <v>13.701221456707202</v>
      </c>
      <c r="F790" s="57">
        <v>12.461979512195118</v>
      </c>
      <c r="G790" s="57">
        <v>13.701221456707202</v>
      </c>
    </row>
    <row r="791" spans="1:7" ht="11.25" customHeight="1" x14ac:dyDescent="0.2">
      <c r="A791" s="67">
        <v>43891</v>
      </c>
      <c r="B791" s="57">
        <v>0</v>
      </c>
      <c r="C791" s="57">
        <v>13.77376682926829</v>
      </c>
      <c r="D791" s="57">
        <v>0</v>
      </c>
      <c r="E791" s="57">
        <v>15.143455294255327</v>
      </c>
      <c r="F791" s="57">
        <v>13.77376682926829</v>
      </c>
      <c r="G791" s="57">
        <v>15.143455294255327</v>
      </c>
    </row>
    <row r="792" spans="1:7" ht="11.25" customHeight="1" x14ac:dyDescent="0.2">
      <c r="A792" s="67">
        <v>43922</v>
      </c>
      <c r="B792" s="57">
        <v>0</v>
      </c>
      <c r="C792" s="57">
        <v>17.709128780487799</v>
      </c>
      <c r="D792" s="57">
        <v>0</v>
      </c>
      <c r="E792" s="57">
        <v>19.470156806899706</v>
      </c>
      <c r="F792" s="57">
        <v>17.709128780487799</v>
      </c>
      <c r="G792" s="57">
        <v>19.470156806899706</v>
      </c>
    </row>
    <row r="793" spans="1:7" ht="11.25" customHeight="1" x14ac:dyDescent="0.2">
      <c r="A793" s="67">
        <v>43952</v>
      </c>
      <c r="B793" s="57">
        <v>0</v>
      </c>
      <c r="C793" s="57">
        <v>14.59363390243902</v>
      </c>
      <c r="D793" s="57">
        <v>0</v>
      </c>
      <c r="E793" s="57">
        <v>16.044851442722905</v>
      </c>
      <c r="F793" s="57">
        <v>14.59363390243902</v>
      </c>
      <c r="G793" s="57">
        <v>16.044851442722905</v>
      </c>
    </row>
    <row r="794" spans="1:7" ht="11.25" customHeight="1" x14ac:dyDescent="0.2">
      <c r="A794" s="67">
        <v>43983</v>
      </c>
      <c r="B794" s="57">
        <v>0</v>
      </c>
      <c r="C794" s="57">
        <v>15.249527560975608</v>
      </c>
      <c r="D794" s="57">
        <v>0</v>
      </c>
      <c r="E794" s="57">
        <v>16.765968361496967</v>
      </c>
      <c r="F794" s="57">
        <v>15.249527560975608</v>
      </c>
      <c r="G794" s="57">
        <v>16.765968361496967</v>
      </c>
    </row>
    <row r="795" spans="1:7" ht="11.25" customHeight="1" x14ac:dyDescent="0.2">
      <c r="A795" s="67">
        <v>44013</v>
      </c>
      <c r="B795" s="57">
        <v>0</v>
      </c>
      <c r="C795" s="57">
        <v>14.757607317073168</v>
      </c>
      <c r="D795" s="57">
        <v>0</v>
      </c>
      <c r="E795" s="57">
        <v>16.225130672416419</v>
      </c>
      <c r="F795" s="57">
        <v>14.757607317073168</v>
      </c>
      <c r="G795" s="57">
        <v>16.225130672416419</v>
      </c>
    </row>
    <row r="796" spans="1:7" ht="11.25" customHeight="1" x14ac:dyDescent="0.2">
      <c r="A796" s="67">
        <v>44044</v>
      </c>
      <c r="B796" s="57">
        <v>0</v>
      </c>
      <c r="C796" s="57">
        <v>16.56131487804878</v>
      </c>
      <c r="D796" s="57">
        <v>0</v>
      </c>
      <c r="E796" s="57">
        <v>18.208202199045093</v>
      </c>
      <c r="F796" s="57">
        <v>16.56131487804878</v>
      </c>
      <c r="G796" s="57">
        <v>18.208202199045093</v>
      </c>
    </row>
    <row r="797" spans="1:7" ht="11.25" customHeight="1" x14ac:dyDescent="0.2">
      <c r="A797" s="67">
        <v>44075</v>
      </c>
      <c r="B797" s="57">
        <v>0</v>
      </c>
      <c r="C797" s="57">
        <v>16.56131487804878</v>
      </c>
      <c r="D797" s="57">
        <v>0</v>
      </c>
      <c r="E797" s="57">
        <v>18.208202199045093</v>
      </c>
      <c r="F797" s="57">
        <v>16.56131487804878</v>
      </c>
      <c r="G797" s="57">
        <v>18.208202199045093</v>
      </c>
    </row>
    <row r="798" spans="1:7" ht="11.25" customHeight="1" x14ac:dyDescent="0.2">
      <c r="A798" s="61" t="s">
        <v>23</v>
      </c>
      <c r="B798" s="57">
        <v>0</v>
      </c>
      <c r="C798" s="57">
        <v>10138890.498240001</v>
      </c>
      <c r="D798" s="57">
        <v>0</v>
      </c>
      <c r="E798" s="57">
        <v>7557065.6330773672</v>
      </c>
      <c r="F798" s="57">
        <v>10138890.498240003</v>
      </c>
      <c r="G798" s="57">
        <v>7557065.6330773681</v>
      </c>
    </row>
    <row r="799" spans="1:7" ht="11.25" customHeight="1" x14ac:dyDescent="0.2">
      <c r="A799" s="62" t="s">
        <v>47</v>
      </c>
      <c r="B799" s="57">
        <v>0</v>
      </c>
      <c r="C799" s="57">
        <v>10138890.498240001</v>
      </c>
      <c r="D799" s="57">
        <v>0</v>
      </c>
      <c r="E799" s="57">
        <v>7557065.6330773672</v>
      </c>
      <c r="F799" s="57">
        <v>10138890.498240003</v>
      </c>
      <c r="G799" s="57">
        <v>7557065.6330773681</v>
      </c>
    </row>
    <row r="800" spans="1:7" ht="11.25" customHeight="1" x14ac:dyDescent="0.2">
      <c r="A800" s="63" t="s">
        <v>55</v>
      </c>
      <c r="B800" s="57">
        <v>0</v>
      </c>
      <c r="C800" s="57">
        <v>20306.180160000004</v>
      </c>
      <c r="D800" s="57">
        <v>0</v>
      </c>
      <c r="E800" s="57">
        <v>15135.298704809127</v>
      </c>
      <c r="F800" s="57">
        <v>20306.180160000011</v>
      </c>
      <c r="G800" s="57">
        <v>15135.298704809125</v>
      </c>
    </row>
    <row r="801" spans="1:7" ht="11.25" customHeight="1" x14ac:dyDescent="0.2">
      <c r="A801" s="64" t="s">
        <v>56</v>
      </c>
      <c r="B801" s="57">
        <v>0</v>
      </c>
      <c r="C801" s="57">
        <v>20306.180160000004</v>
      </c>
      <c r="D801" s="57">
        <v>0</v>
      </c>
      <c r="E801" s="57">
        <v>15135.298704809127</v>
      </c>
      <c r="F801" s="57">
        <v>20306.180160000011</v>
      </c>
      <c r="G801" s="57">
        <v>15135.298704809125</v>
      </c>
    </row>
    <row r="802" spans="1:7" ht="11.25" customHeight="1" x14ac:dyDescent="0.2">
      <c r="A802" s="65" t="s">
        <v>25</v>
      </c>
      <c r="B802" s="57">
        <v>0</v>
      </c>
      <c r="C802" s="57">
        <v>20306.180160000004</v>
      </c>
      <c r="D802" s="57">
        <v>0</v>
      </c>
      <c r="E802" s="57">
        <v>15135.298704809127</v>
      </c>
      <c r="F802" s="57">
        <v>20306.180160000011</v>
      </c>
      <c r="G802" s="57">
        <v>15135.298704809125</v>
      </c>
    </row>
    <row r="803" spans="1:7" ht="11.25" customHeight="1" x14ac:dyDescent="0.2">
      <c r="A803" s="66" t="s">
        <v>25</v>
      </c>
      <c r="B803" s="57">
        <v>0</v>
      </c>
      <c r="C803" s="57">
        <v>20306.180160000004</v>
      </c>
      <c r="D803" s="57">
        <v>0</v>
      </c>
      <c r="E803" s="57">
        <v>15135.298704809127</v>
      </c>
      <c r="F803" s="57">
        <v>20306.180160000011</v>
      </c>
      <c r="G803" s="57">
        <v>15135.298704809125</v>
      </c>
    </row>
    <row r="804" spans="1:7" ht="11.25" customHeight="1" x14ac:dyDescent="0.2">
      <c r="A804" s="67">
        <v>43739</v>
      </c>
      <c r="B804" s="57">
        <v>0</v>
      </c>
      <c r="C804" s="57">
        <v>2423.1211200000007</v>
      </c>
      <c r="D804" s="57">
        <v>0</v>
      </c>
      <c r="E804" s="57">
        <v>1806.083746926219</v>
      </c>
      <c r="F804" s="57">
        <v>2423.1211200000007</v>
      </c>
      <c r="G804" s="57">
        <v>1806.083746926219</v>
      </c>
    </row>
    <row r="805" spans="1:7" ht="11.25" customHeight="1" x14ac:dyDescent="0.2">
      <c r="A805" s="67">
        <v>43770</v>
      </c>
      <c r="B805" s="57">
        <v>0</v>
      </c>
      <c r="C805" s="57">
        <v>5247.7958400000016</v>
      </c>
      <c r="D805" s="57">
        <v>0</v>
      </c>
      <c r="E805" s="57">
        <v>3911.4671964111412</v>
      </c>
      <c r="F805" s="57">
        <v>5247.7958400000016</v>
      </c>
      <c r="G805" s="57">
        <v>3911.4671964111412</v>
      </c>
    </row>
    <row r="806" spans="1:7" ht="11.25" customHeight="1" x14ac:dyDescent="0.2">
      <c r="A806" s="67">
        <v>43800</v>
      </c>
      <c r="B806" s="57">
        <v>0</v>
      </c>
      <c r="C806" s="57">
        <v>891.74736000000019</v>
      </c>
      <c r="D806" s="57">
        <v>0</v>
      </c>
      <c r="E806" s="57">
        <v>664.66772955219164</v>
      </c>
      <c r="F806" s="57">
        <v>891.74736000000019</v>
      </c>
      <c r="G806" s="57">
        <v>664.66772955219164</v>
      </c>
    </row>
    <row r="807" spans="1:7" ht="11.25" customHeight="1" x14ac:dyDescent="0.2">
      <c r="A807" s="67">
        <v>43831</v>
      </c>
      <c r="B807" s="57">
        <v>0</v>
      </c>
      <c r="C807" s="57">
        <v>1485.6240000000003</v>
      </c>
      <c r="D807" s="57">
        <v>0</v>
      </c>
      <c r="E807" s="57">
        <v>1107.3162370205896</v>
      </c>
      <c r="F807" s="57">
        <v>1485.6240000000003</v>
      </c>
      <c r="G807" s="57">
        <v>1107.3162370205896</v>
      </c>
    </row>
    <row r="808" spans="1:7" ht="11.25" customHeight="1" x14ac:dyDescent="0.2">
      <c r="A808" s="67">
        <v>43862</v>
      </c>
      <c r="B808" s="57">
        <v>0</v>
      </c>
      <c r="C808" s="57">
        <v>791.17248000000018</v>
      </c>
      <c r="D808" s="57">
        <v>0</v>
      </c>
      <c r="E808" s="57">
        <v>589.703810242597</v>
      </c>
      <c r="F808" s="57">
        <v>791.17248000000018</v>
      </c>
      <c r="G808" s="57">
        <v>589.703810242597</v>
      </c>
    </row>
    <row r="809" spans="1:7" ht="11.25" customHeight="1" x14ac:dyDescent="0.2">
      <c r="A809" s="67">
        <v>43891</v>
      </c>
      <c r="B809" s="57">
        <v>0</v>
      </c>
      <c r="C809" s="57">
        <v>636.02112000000011</v>
      </c>
      <c r="D809" s="57">
        <v>0</v>
      </c>
      <c r="E809" s="57">
        <v>474.06107687007005</v>
      </c>
      <c r="F809" s="57">
        <v>636.02112000000011</v>
      </c>
      <c r="G809" s="57">
        <v>474.06107687007005</v>
      </c>
    </row>
    <row r="810" spans="1:7" ht="11.25" customHeight="1" x14ac:dyDescent="0.2">
      <c r="A810" s="67">
        <v>43922</v>
      </c>
      <c r="B810" s="57">
        <v>0</v>
      </c>
      <c r="C810" s="57">
        <v>700.91616000000022</v>
      </c>
      <c r="D810" s="57">
        <v>0</v>
      </c>
      <c r="E810" s="57">
        <v>522.43087400184822</v>
      </c>
      <c r="F810" s="57">
        <v>700.91616000000022</v>
      </c>
      <c r="G810" s="57">
        <v>522.43087400184822</v>
      </c>
    </row>
    <row r="811" spans="1:7" ht="11.25" customHeight="1" x14ac:dyDescent="0.2">
      <c r="A811" s="67">
        <v>43952</v>
      </c>
      <c r="B811" s="57">
        <v>0</v>
      </c>
      <c r="C811" s="57">
        <v>768.17328000000009</v>
      </c>
      <c r="D811" s="57">
        <v>0</v>
      </c>
      <c r="E811" s="57">
        <v>572.56125761926569</v>
      </c>
      <c r="F811" s="57">
        <v>768.17328000000009</v>
      </c>
      <c r="G811" s="57">
        <v>572.56125761926569</v>
      </c>
    </row>
    <row r="812" spans="1:7" ht="11.25" customHeight="1" x14ac:dyDescent="0.2">
      <c r="A812" s="67">
        <v>43983</v>
      </c>
      <c r="B812" s="57">
        <v>0</v>
      </c>
      <c r="C812" s="57">
        <v>1263.8371200000001</v>
      </c>
      <c r="D812" s="57">
        <v>0</v>
      </c>
      <c r="E812" s="57">
        <v>942.00643226370835</v>
      </c>
      <c r="F812" s="57">
        <v>1263.8371200000001</v>
      </c>
      <c r="G812" s="57">
        <v>942.00643226370835</v>
      </c>
    </row>
    <row r="813" spans="1:7" ht="11.25" customHeight="1" x14ac:dyDescent="0.2">
      <c r="A813" s="67">
        <v>44013</v>
      </c>
      <c r="B813" s="57">
        <v>0</v>
      </c>
      <c r="C813" s="57">
        <v>1299.0196800000003</v>
      </c>
      <c r="D813" s="57">
        <v>0</v>
      </c>
      <c r="E813" s="57">
        <v>968.22990465507473</v>
      </c>
      <c r="F813" s="57">
        <v>1299.0196800000003</v>
      </c>
      <c r="G813" s="57">
        <v>968.22990465507473</v>
      </c>
    </row>
    <row r="814" spans="1:7" ht="11.25" customHeight="1" x14ac:dyDescent="0.2">
      <c r="A814" s="67">
        <v>44044</v>
      </c>
      <c r="B814" s="57">
        <v>0</v>
      </c>
      <c r="C814" s="57">
        <v>2399.3760000000002</v>
      </c>
      <c r="D814" s="57">
        <v>0</v>
      </c>
      <c r="E814" s="57">
        <v>1788.3852196232119</v>
      </c>
      <c r="F814" s="57">
        <v>2399.3760000000002</v>
      </c>
      <c r="G814" s="57">
        <v>1788.3852196232119</v>
      </c>
    </row>
    <row r="815" spans="1:7" ht="11.25" customHeight="1" x14ac:dyDescent="0.2">
      <c r="A815" s="67">
        <v>44075</v>
      </c>
      <c r="B815" s="57">
        <v>0</v>
      </c>
      <c r="C815" s="57">
        <v>2399.3760000000002</v>
      </c>
      <c r="D815" s="57">
        <v>0</v>
      </c>
      <c r="E815" s="57">
        <v>1788.3852196232119</v>
      </c>
      <c r="F815" s="57">
        <v>2399.3760000000002</v>
      </c>
      <c r="G815" s="57">
        <v>1788.3852196232119</v>
      </c>
    </row>
    <row r="816" spans="1:7" ht="11.25" customHeight="1" x14ac:dyDescent="0.2">
      <c r="A816" s="63" t="s">
        <v>25</v>
      </c>
      <c r="B816" s="57">
        <v>0</v>
      </c>
      <c r="C816" s="57">
        <v>10118584.318080001</v>
      </c>
      <c r="D816" s="57">
        <v>0</v>
      </c>
      <c r="E816" s="57">
        <v>7541930.3343725577</v>
      </c>
      <c r="F816" s="57">
        <v>10118584.318080004</v>
      </c>
      <c r="G816" s="57">
        <v>7541930.3343725586</v>
      </c>
    </row>
    <row r="817" spans="1:7" ht="11.25" customHeight="1" x14ac:dyDescent="0.2">
      <c r="A817" s="64" t="s">
        <v>25</v>
      </c>
      <c r="B817" s="57">
        <v>0</v>
      </c>
      <c r="C817" s="57">
        <v>10118584.318080001</v>
      </c>
      <c r="D817" s="57">
        <v>0</v>
      </c>
      <c r="E817" s="57">
        <v>7541930.3343725577</v>
      </c>
      <c r="F817" s="57">
        <v>10118584.318080004</v>
      </c>
      <c r="G817" s="57">
        <v>7541930.3343725586</v>
      </c>
    </row>
    <row r="818" spans="1:7" ht="11.25" customHeight="1" x14ac:dyDescent="0.2">
      <c r="A818" s="65" t="s">
        <v>25</v>
      </c>
      <c r="B818" s="57">
        <v>0</v>
      </c>
      <c r="C818" s="57">
        <v>10118584.318080001</v>
      </c>
      <c r="D818" s="57">
        <v>0</v>
      </c>
      <c r="E818" s="57">
        <v>7541930.3343725577</v>
      </c>
      <c r="F818" s="57">
        <v>10118584.318080004</v>
      </c>
      <c r="G818" s="57">
        <v>7541930.3343725586</v>
      </c>
    </row>
    <row r="819" spans="1:7" ht="11.25" customHeight="1" x14ac:dyDescent="0.2">
      <c r="A819" s="66" t="s">
        <v>25</v>
      </c>
      <c r="B819" s="57">
        <v>0</v>
      </c>
      <c r="C819" s="57">
        <v>10118584.318080001</v>
      </c>
      <c r="D819" s="57">
        <v>0</v>
      </c>
      <c r="E819" s="57">
        <v>7541930.3343725577</v>
      </c>
      <c r="F819" s="57">
        <v>10118584.318080004</v>
      </c>
      <c r="G819" s="57">
        <v>7541930.3343725586</v>
      </c>
    </row>
    <row r="820" spans="1:7" ht="11.25" customHeight="1" x14ac:dyDescent="0.2">
      <c r="A820" s="67">
        <v>43739</v>
      </c>
      <c r="B820" s="57">
        <v>0</v>
      </c>
      <c r="C820" s="57">
        <v>971464.45200000016</v>
      </c>
      <c r="D820" s="57">
        <v>0</v>
      </c>
      <c r="E820" s="57">
        <v>724085.20688135712</v>
      </c>
      <c r="F820" s="57">
        <v>971464.45200000016</v>
      </c>
      <c r="G820" s="57">
        <v>724085.20688135712</v>
      </c>
    </row>
    <row r="821" spans="1:7" ht="11.25" customHeight="1" x14ac:dyDescent="0.2">
      <c r="A821" s="67">
        <v>43770</v>
      </c>
      <c r="B821" s="57">
        <v>0</v>
      </c>
      <c r="C821" s="57">
        <v>952654.58736000012</v>
      </c>
      <c r="D821" s="57">
        <v>0</v>
      </c>
      <c r="E821" s="57">
        <v>710065.19338397728</v>
      </c>
      <c r="F821" s="57">
        <v>952654.58736000012</v>
      </c>
      <c r="G821" s="57">
        <v>710065.19338397728</v>
      </c>
    </row>
    <row r="822" spans="1:7" ht="11.25" customHeight="1" x14ac:dyDescent="0.2">
      <c r="A822" s="67">
        <v>43800</v>
      </c>
      <c r="B822" s="57">
        <v>0</v>
      </c>
      <c r="C822" s="57">
        <v>783266.34960000007</v>
      </c>
      <c r="D822" s="57">
        <v>0</v>
      </c>
      <c r="E822" s="57">
        <v>583810.94195026846</v>
      </c>
      <c r="F822" s="57">
        <v>783266.34960000007</v>
      </c>
      <c r="G822" s="57">
        <v>583810.94195026846</v>
      </c>
    </row>
    <row r="823" spans="1:7" ht="11.25" customHeight="1" x14ac:dyDescent="0.2">
      <c r="A823" s="67">
        <v>43831</v>
      </c>
      <c r="B823" s="57">
        <v>0</v>
      </c>
      <c r="C823" s="57">
        <v>844209.87840000016</v>
      </c>
      <c r="D823" s="57">
        <v>0</v>
      </c>
      <c r="E823" s="57">
        <v>629235.46321646508</v>
      </c>
      <c r="F823" s="57">
        <v>844209.87840000016</v>
      </c>
      <c r="G823" s="57">
        <v>629235.46321646508</v>
      </c>
    </row>
    <row r="824" spans="1:7" ht="11.25" customHeight="1" x14ac:dyDescent="0.2">
      <c r="A824" s="67">
        <v>43862</v>
      </c>
      <c r="B824" s="57">
        <v>0</v>
      </c>
      <c r="C824" s="57">
        <v>400424.27712000004</v>
      </c>
      <c r="D824" s="57">
        <v>0</v>
      </c>
      <c r="E824" s="57">
        <v>298457.95689367445</v>
      </c>
      <c r="F824" s="57">
        <v>400424.27712000004</v>
      </c>
      <c r="G824" s="57">
        <v>298457.95689367445</v>
      </c>
    </row>
    <row r="825" spans="1:7" ht="11.25" customHeight="1" x14ac:dyDescent="0.2">
      <c r="A825" s="67">
        <v>43891</v>
      </c>
      <c r="B825" s="57">
        <v>0</v>
      </c>
      <c r="C825" s="57">
        <v>749376.09600000025</v>
      </c>
      <c r="D825" s="57">
        <v>0</v>
      </c>
      <c r="E825" s="57">
        <v>558550.69569144025</v>
      </c>
      <c r="F825" s="57">
        <v>749376.09600000025</v>
      </c>
      <c r="G825" s="57">
        <v>558550.69569144025</v>
      </c>
    </row>
    <row r="826" spans="1:7" ht="11.25" customHeight="1" x14ac:dyDescent="0.2">
      <c r="A826" s="67">
        <v>43922</v>
      </c>
      <c r="B826" s="57">
        <v>0</v>
      </c>
      <c r="C826" s="57">
        <v>854306.77584000013</v>
      </c>
      <c r="D826" s="57">
        <v>0</v>
      </c>
      <c r="E826" s="57">
        <v>636761.22914300067</v>
      </c>
      <c r="F826" s="57">
        <v>854306.77584000013</v>
      </c>
      <c r="G826" s="57">
        <v>636761.22914300067</v>
      </c>
    </row>
    <row r="827" spans="1:7" ht="11.25" customHeight="1" x14ac:dyDescent="0.2">
      <c r="A827" s="67">
        <v>43952</v>
      </c>
      <c r="B827" s="57">
        <v>0</v>
      </c>
      <c r="C827" s="57">
        <v>872491.68384000019</v>
      </c>
      <c r="D827" s="57">
        <v>0</v>
      </c>
      <c r="E827" s="57">
        <v>650315.42852125899</v>
      </c>
      <c r="F827" s="57">
        <v>872491.68384000019</v>
      </c>
      <c r="G827" s="57">
        <v>650315.42852125899</v>
      </c>
    </row>
    <row r="828" spans="1:7" ht="11.25" customHeight="1" x14ac:dyDescent="0.2">
      <c r="A828" s="67">
        <v>43983</v>
      </c>
      <c r="B828" s="57">
        <v>0</v>
      </c>
      <c r="C828" s="57">
        <v>823218.57072000008</v>
      </c>
      <c r="D828" s="57">
        <v>0</v>
      </c>
      <c r="E828" s="57">
        <v>613589.50176837388</v>
      </c>
      <c r="F828" s="57">
        <v>823218.57072000008</v>
      </c>
      <c r="G828" s="57">
        <v>613589.50176837388</v>
      </c>
    </row>
    <row r="829" spans="1:7" ht="11.25" customHeight="1" x14ac:dyDescent="0.2">
      <c r="A829" s="67">
        <v>44013</v>
      </c>
      <c r="B829" s="57">
        <v>0</v>
      </c>
      <c r="C829" s="57">
        <v>873421.7217600001</v>
      </c>
      <c r="D829" s="57">
        <v>0</v>
      </c>
      <c r="E829" s="57">
        <v>651008.63628436788</v>
      </c>
      <c r="F829" s="57">
        <v>873421.7217600001</v>
      </c>
      <c r="G829" s="57">
        <v>651008.63628436788</v>
      </c>
    </row>
    <row r="830" spans="1:7" ht="11.25" customHeight="1" x14ac:dyDescent="0.2">
      <c r="A830" s="67">
        <v>44044</v>
      </c>
      <c r="B830" s="57">
        <v>0</v>
      </c>
      <c r="C830" s="57">
        <v>996874.96272000019</v>
      </c>
      <c r="D830" s="57">
        <v>0</v>
      </c>
      <c r="E830" s="57">
        <v>743025.04031918652</v>
      </c>
      <c r="F830" s="57">
        <v>996874.96272000019</v>
      </c>
      <c r="G830" s="57">
        <v>743025.04031918652</v>
      </c>
    </row>
    <row r="831" spans="1:7" ht="11.25" customHeight="1" x14ac:dyDescent="0.2">
      <c r="A831" s="67">
        <v>44075</v>
      </c>
      <c r="B831" s="57">
        <v>0</v>
      </c>
      <c r="C831" s="57">
        <v>996874.96272000019</v>
      </c>
      <c r="D831" s="57">
        <v>0</v>
      </c>
      <c r="E831" s="57">
        <v>743025.04031918652</v>
      </c>
      <c r="F831" s="57">
        <v>996874.96272000019</v>
      </c>
      <c r="G831" s="57">
        <v>743025.04031918652</v>
      </c>
    </row>
    <row r="832" spans="1:7" ht="11.25" customHeight="1" x14ac:dyDescent="0.2">
      <c r="A832" s="59" t="s">
        <v>1158</v>
      </c>
      <c r="B832" s="57">
        <v>0</v>
      </c>
      <c r="C832" s="57">
        <v>0</v>
      </c>
      <c r="D832" s="57">
        <v>0</v>
      </c>
      <c r="E832" s="57">
        <v>0</v>
      </c>
      <c r="F832" s="57">
        <v>0</v>
      </c>
      <c r="G832" s="57">
        <v>0</v>
      </c>
    </row>
    <row r="833" spans="1:7" ht="11.25" customHeight="1" x14ac:dyDescent="0.2">
      <c r="A833" s="60" t="s">
        <v>22</v>
      </c>
      <c r="B833" s="57">
        <v>0</v>
      </c>
      <c r="C833" s="57">
        <v>0</v>
      </c>
      <c r="D833" s="57">
        <v>0</v>
      </c>
      <c r="E833" s="57">
        <v>0</v>
      </c>
      <c r="F833" s="57">
        <v>0</v>
      </c>
      <c r="G833" s="57">
        <v>0</v>
      </c>
    </row>
    <row r="834" spans="1:7" ht="11.25" customHeight="1" x14ac:dyDescent="0.2">
      <c r="A834" s="61" t="s">
        <v>23</v>
      </c>
      <c r="B834" s="57">
        <v>0</v>
      </c>
      <c r="C834" s="57">
        <v>0</v>
      </c>
      <c r="D834" s="57">
        <v>0</v>
      </c>
      <c r="E834" s="57">
        <v>0</v>
      </c>
      <c r="F834" s="57">
        <v>0</v>
      </c>
      <c r="G834" s="57">
        <v>0</v>
      </c>
    </row>
    <row r="835" spans="1:7" ht="11.25" customHeight="1" x14ac:dyDescent="0.2">
      <c r="A835" s="62" t="s">
        <v>24</v>
      </c>
      <c r="B835" s="57">
        <v>0</v>
      </c>
      <c r="C835" s="57">
        <v>0</v>
      </c>
      <c r="D835" s="57">
        <v>0</v>
      </c>
      <c r="E835" s="57">
        <v>0</v>
      </c>
      <c r="F835" s="57">
        <v>0</v>
      </c>
      <c r="G835" s="57">
        <v>0</v>
      </c>
    </row>
    <row r="836" spans="1:7" ht="11.25" customHeight="1" x14ac:dyDescent="0.2">
      <c r="A836" s="63" t="s">
        <v>24</v>
      </c>
      <c r="B836" s="57">
        <v>0</v>
      </c>
      <c r="C836" s="57">
        <v>0</v>
      </c>
      <c r="D836" s="57">
        <v>0</v>
      </c>
      <c r="E836" s="57">
        <v>0</v>
      </c>
      <c r="F836" s="57">
        <v>0</v>
      </c>
      <c r="G836" s="57">
        <v>0</v>
      </c>
    </row>
    <row r="837" spans="1:7" ht="11.25" customHeight="1" x14ac:dyDescent="0.2">
      <c r="A837" s="64" t="s">
        <v>25</v>
      </c>
      <c r="B837" s="57">
        <v>0</v>
      </c>
      <c r="C837" s="57">
        <v>0</v>
      </c>
      <c r="D837" s="57">
        <v>0</v>
      </c>
      <c r="E837" s="57">
        <v>0</v>
      </c>
      <c r="F837" s="57">
        <v>0</v>
      </c>
      <c r="G837" s="57">
        <v>0</v>
      </c>
    </row>
    <row r="838" spans="1:7" ht="11.25" customHeight="1" x14ac:dyDescent="0.2">
      <c r="A838" s="65" t="s">
        <v>25</v>
      </c>
      <c r="B838" s="57">
        <v>0</v>
      </c>
      <c r="C838" s="57">
        <v>0</v>
      </c>
      <c r="D838" s="57">
        <v>0</v>
      </c>
      <c r="E838" s="57">
        <v>0</v>
      </c>
      <c r="F838" s="57">
        <v>0</v>
      </c>
      <c r="G838" s="57">
        <v>0</v>
      </c>
    </row>
    <row r="839" spans="1:7" ht="11.25" customHeight="1" x14ac:dyDescent="0.2">
      <c r="A839" s="66" t="s">
        <v>25</v>
      </c>
      <c r="B839" s="57">
        <v>0</v>
      </c>
      <c r="C839" s="57">
        <v>0</v>
      </c>
      <c r="D839" s="57">
        <v>0</v>
      </c>
      <c r="E839" s="57">
        <v>0</v>
      </c>
      <c r="F839" s="57">
        <v>0</v>
      </c>
      <c r="G839" s="57">
        <v>0</v>
      </c>
    </row>
    <row r="840" spans="1:7" ht="11.25" customHeight="1" x14ac:dyDescent="0.2">
      <c r="A840" s="67">
        <v>43739</v>
      </c>
      <c r="B840" s="57">
        <v>0</v>
      </c>
      <c r="C840" s="57">
        <v>0</v>
      </c>
      <c r="D840" s="57">
        <v>0</v>
      </c>
      <c r="E840" s="57">
        <v>0</v>
      </c>
      <c r="F840" s="57">
        <v>0</v>
      </c>
      <c r="G840" s="57">
        <v>0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71361-B606-40EF-9427-3FC124D653B8}">
  <dimension ref="A1:V46"/>
  <sheetViews>
    <sheetView showGridLines="0" workbookViewId="0">
      <selection sqref="A1:J1"/>
    </sheetView>
  </sheetViews>
  <sheetFormatPr defaultRowHeight="11.25" customHeight="1" x14ac:dyDescent="0.25"/>
  <cols>
    <col min="1" max="1" width="9.28515625" style="76" bestFit="1" customWidth="1"/>
    <col min="2" max="2" width="11.140625" style="76" bestFit="1" customWidth="1"/>
    <col min="3" max="3" width="13.7109375" style="76" bestFit="1" customWidth="1"/>
    <col min="4" max="4" width="6.28515625" style="76" bestFit="1" customWidth="1"/>
    <col min="5" max="10" width="7.7109375" style="76" customWidth="1"/>
    <col min="11" max="12" width="9.140625" style="76"/>
    <col min="13" max="13" width="14.28515625" style="76" customWidth="1"/>
    <col min="14" max="14" width="16.7109375" style="76" customWidth="1"/>
    <col min="15" max="15" width="31.7109375" style="76" customWidth="1"/>
    <col min="16" max="22" width="7.7109375" style="76" customWidth="1"/>
    <col min="23" max="16384" width="9.140625" style="76"/>
  </cols>
  <sheetData>
    <row r="1" spans="1:22" ht="11.25" customHeight="1" x14ac:dyDescent="0.25">
      <c r="A1" s="112" t="s">
        <v>1231</v>
      </c>
      <c r="B1" s="131"/>
      <c r="C1" s="131"/>
      <c r="D1" s="131"/>
      <c r="E1" s="131"/>
      <c r="F1" s="131"/>
      <c r="G1" s="131"/>
      <c r="H1" s="131"/>
      <c r="I1" s="131"/>
      <c r="J1" s="131"/>
      <c r="L1" s="112" t="s">
        <v>1241</v>
      </c>
      <c r="M1" s="113"/>
      <c r="N1" s="113"/>
      <c r="O1" s="113"/>
      <c r="P1" s="113"/>
      <c r="Q1" s="113"/>
      <c r="R1" s="113"/>
      <c r="S1" s="113"/>
      <c r="T1" s="113"/>
      <c r="U1" s="113"/>
      <c r="V1" s="113"/>
    </row>
    <row r="2" spans="1:22" ht="11.25" customHeight="1" x14ac:dyDescent="0.25">
      <c r="A2" s="129" t="s">
        <v>78</v>
      </c>
      <c r="B2" s="129" t="s">
        <v>79</v>
      </c>
      <c r="C2" s="129" t="s">
        <v>1232</v>
      </c>
      <c r="D2" s="129" t="s">
        <v>84</v>
      </c>
      <c r="E2" s="129" t="s">
        <v>1233</v>
      </c>
      <c r="F2" s="132"/>
      <c r="G2" s="132"/>
      <c r="H2" s="129" t="s">
        <v>998</v>
      </c>
      <c r="I2" s="132"/>
      <c r="J2" s="132"/>
      <c r="L2" s="129" t="s">
        <v>78</v>
      </c>
      <c r="M2" s="129" t="s">
        <v>79</v>
      </c>
      <c r="N2" s="129" t="s">
        <v>80</v>
      </c>
      <c r="O2" s="129" t="s">
        <v>81</v>
      </c>
      <c r="P2" s="129" t="s">
        <v>84</v>
      </c>
      <c r="Q2" s="129" t="s">
        <v>1233</v>
      </c>
      <c r="R2" s="134"/>
      <c r="S2" s="134"/>
      <c r="T2" s="129" t="s">
        <v>998</v>
      </c>
      <c r="U2" s="134"/>
      <c r="V2" s="134"/>
    </row>
    <row r="3" spans="1:22" ht="11.25" customHeight="1" x14ac:dyDescent="0.25">
      <c r="A3" s="132"/>
      <c r="B3" s="132"/>
      <c r="C3" s="132"/>
      <c r="D3" s="132"/>
      <c r="E3" s="129" t="s">
        <v>955</v>
      </c>
      <c r="F3" s="132"/>
      <c r="G3" s="90" t="s">
        <v>984</v>
      </c>
      <c r="H3" s="129" t="s">
        <v>955</v>
      </c>
      <c r="I3" s="132"/>
      <c r="J3" s="90" t="s">
        <v>984</v>
      </c>
      <c r="L3" s="134"/>
      <c r="M3" s="134"/>
      <c r="N3" s="134"/>
      <c r="O3" s="134"/>
      <c r="P3" s="134"/>
      <c r="Q3" s="129" t="s">
        <v>955</v>
      </c>
      <c r="R3" s="134"/>
      <c r="S3" s="90" t="s">
        <v>984</v>
      </c>
      <c r="T3" s="129" t="s">
        <v>955</v>
      </c>
      <c r="U3" s="134"/>
      <c r="V3" s="90" t="s">
        <v>984</v>
      </c>
    </row>
    <row r="4" spans="1:22" ht="11.25" customHeight="1" x14ac:dyDescent="0.25">
      <c r="A4" s="132"/>
      <c r="B4" s="132"/>
      <c r="C4" s="132"/>
      <c r="D4" s="132"/>
      <c r="E4" s="90" t="s">
        <v>1234</v>
      </c>
      <c r="F4" s="90" t="s">
        <v>1235</v>
      </c>
      <c r="G4" s="90" t="s">
        <v>1235</v>
      </c>
      <c r="H4" s="90" t="s">
        <v>1234</v>
      </c>
      <c r="I4" s="90" t="s">
        <v>1235</v>
      </c>
      <c r="J4" s="90" t="s">
        <v>1235</v>
      </c>
      <c r="L4" s="134"/>
      <c r="M4" s="134"/>
      <c r="N4" s="134"/>
      <c r="O4" s="134"/>
      <c r="P4" s="134"/>
      <c r="Q4" s="90" t="s">
        <v>1234</v>
      </c>
      <c r="R4" s="90" t="s">
        <v>1235</v>
      </c>
      <c r="S4" s="90" t="s">
        <v>1235</v>
      </c>
      <c r="T4" s="90" t="s">
        <v>1234</v>
      </c>
      <c r="U4" s="90" t="s">
        <v>1235</v>
      </c>
      <c r="V4" s="90" t="s">
        <v>1235</v>
      </c>
    </row>
    <row r="5" spans="1:22" ht="11.25" customHeight="1" x14ac:dyDescent="0.25">
      <c r="A5" s="133" t="s">
        <v>43</v>
      </c>
      <c r="B5" s="133" t="s">
        <v>41</v>
      </c>
      <c r="C5" s="133" t="s">
        <v>25</v>
      </c>
      <c r="D5" s="91" t="s">
        <v>1236</v>
      </c>
      <c r="E5" s="45">
        <f ca="1">ROUND('TUSD BE'!$AM$5+'TUSD BF'!$AM$5+'TUSD CVA'!$AM$5,2)</f>
        <v>13.28</v>
      </c>
      <c r="F5" s="45">
        <f ca="1">ROUND('TUSD BE'!$AM$7+'TUSD BF'!$AM$7+'TUSD CVA'!$AM$7,2)</f>
        <v>64.02</v>
      </c>
      <c r="G5" s="45">
        <f>ROUND('TE BE'!$AA$5+'TE BF'!$AA$5+'TE CVA'!$AA$5,2)</f>
        <v>375.69</v>
      </c>
      <c r="H5" s="45">
        <f ca="1">ROUND('TUSD BE'!$AM$5,2)</f>
        <v>12.79</v>
      </c>
      <c r="I5" s="45">
        <f ca="1">ROUND('TUSD BE'!$AM$7,2)</f>
        <v>62.17</v>
      </c>
      <c r="J5" s="45">
        <f>ROUND('TE BE'!$AA$5,2)</f>
        <v>412.59</v>
      </c>
      <c r="L5" s="135" t="s">
        <v>22</v>
      </c>
      <c r="M5" s="135" t="s">
        <v>1242</v>
      </c>
      <c r="N5" s="135" t="s">
        <v>1243</v>
      </c>
      <c r="O5" s="135" t="s">
        <v>1243</v>
      </c>
      <c r="P5" s="91" t="s">
        <v>1236</v>
      </c>
      <c r="Q5" s="45">
        <v>0</v>
      </c>
      <c r="R5" s="45">
        <f ca="1">ROUND('TUSD BE'!$AM$52+'TUSD BF'!$AM$52+'TUSD CVA'!$AM$52,2)</f>
        <v>569.53</v>
      </c>
      <c r="S5" s="45">
        <f>ROUND('TE BE'!$AA$16+'TE BF'!$AA$16+'TE CVA'!$AA$16,2)</f>
        <v>375.69</v>
      </c>
      <c r="T5" s="45">
        <v>0</v>
      </c>
      <c r="U5" s="45">
        <f ca="1">ROUND('TUSD BE'!$AM$52,2)</f>
        <v>561.6</v>
      </c>
      <c r="V5" s="45">
        <f>ROUND('TE BE'!$AA$16,2)</f>
        <v>412.59</v>
      </c>
    </row>
    <row r="6" spans="1:22" ht="11.25" customHeight="1" x14ac:dyDescent="0.25">
      <c r="A6" s="132"/>
      <c r="B6" s="132"/>
      <c r="C6" s="132"/>
      <c r="D6" s="91" t="s">
        <v>1237</v>
      </c>
      <c r="E6" s="45">
        <f ca="1">ROUND('TUSD BE'!$AM$6+'TUSD BF'!$AM$6+'TUSD CVA'!$AM$6,2)</f>
        <v>8.2799999999999994</v>
      </c>
      <c r="F6" s="45">
        <f ca="1">ROUND('TUSD BE'!$AM$7+'TUSD BF'!$AM$7+'TUSD CVA'!$AM$7,2)</f>
        <v>64.02</v>
      </c>
      <c r="G6" s="45">
        <f>ROUND('TE BE'!$AA$6+'TE BF'!$AA$6+'TE CVA'!$AA$6,2)</f>
        <v>230.83</v>
      </c>
      <c r="H6" s="45">
        <f ca="1">ROUND('TUSD BE'!$AM$6,2)</f>
        <v>7.91</v>
      </c>
      <c r="I6" s="45">
        <f ca="1">ROUND('TUSD BE'!$AM$7,2)</f>
        <v>62.17</v>
      </c>
      <c r="J6" s="45">
        <f>ROUND('TE BE'!$AA$6,2)</f>
        <v>253.89</v>
      </c>
      <c r="L6" s="136"/>
      <c r="M6" s="136"/>
      <c r="N6" s="136"/>
      <c r="O6" s="136"/>
      <c r="P6" s="91" t="s">
        <v>1244</v>
      </c>
      <c r="Q6" s="45">
        <v>0</v>
      </c>
      <c r="R6" s="45">
        <f ca="1">ROUND('TUSD BE'!$AM$53+'TUSD BF'!$AM$53+'TUSD CVA'!$AM$53,2)</f>
        <v>386.11</v>
      </c>
      <c r="S6" s="45">
        <f>ROUND('TE BE'!$AA$17+'TE BF'!$AA$17+'TE CVA'!$AA$17,2)</f>
        <v>230.83</v>
      </c>
      <c r="T6" s="45">
        <v>0</v>
      </c>
      <c r="U6" s="45">
        <f ca="1">ROUND('TUSD BE'!$AM$53,2)</f>
        <v>381.08</v>
      </c>
      <c r="V6" s="45">
        <f>ROUND('TE BE'!$AA$17,2)</f>
        <v>253.89</v>
      </c>
    </row>
    <row r="7" spans="1:22" ht="11.25" customHeight="1" x14ac:dyDescent="0.25">
      <c r="A7" s="132"/>
      <c r="B7" s="133" t="s">
        <v>1238</v>
      </c>
      <c r="C7" s="133" t="s">
        <v>25</v>
      </c>
      <c r="D7" s="91" t="s">
        <v>1236</v>
      </c>
      <c r="E7" s="45">
        <f ca="1">ROUND('TUSD BE'!$AM$5+'TUSD BF'!$AM$5+'TUSD CVA'!$AM$5,2)</f>
        <v>13.28</v>
      </c>
      <c r="F7" s="45">
        <f ca="1">ROUND('TUSD BE'!$AM$8+'TUSD BF'!$AM$8+'TUSD CVA'!$AM$8,2)</f>
        <v>8.58</v>
      </c>
      <c r="G7" s="45">
        <v>0</v>
      </c>
      <c r="H7" s="45">
        <f ca="1">ROUND('TUSD BE'!$AM$5,2)</f>
        <v>12.79</v>
      </c>
      <c r="I7" s="45">
        <f ca="1">ROUND('TUSD BE'!$AM$8,2)</f>
        <v>9.2899999999999991</v>
      </c>
      <c r="J7" s="45">
        <v>0</v>
      </c>
      <c r="L7" s="136"/>
      <c r="M7" s="137"/>
      <c r="N7" s="137"/>
      <c r="O7" s="137"/>
      <c r="P7" s="91" t="s">
        <v>1237</v>
      </c>
      <c r="Q7" s="45">
        <v>0</v>
      </c>
      <c r="R7" s="45">
        <f ca="1">ROUND('TUSD BE'!$AM$54+'TUSD BF'!$AM$54+'TUSD CVA'!$AM$54,2)</f>
        <v>202.69</v>
      </c>
      <c r="S7" s="45">
        <f>ROUND('TE BE'!$AA$18+'TE BF'!$AA$18+'TE CVA'!$AA$18,2)</f>
        <v>230.83</v>
      </c>
      <c r="T7" s="45">
        <v>0</v>
      </c>
      <c r="U7" s="45">
        <f ca="1">ROUND('TUSD BE'!$AM$54,2)</f>
        <v>200.57</v>
      </c>
      <c r="V7" s="45">
        <f>ROUND('TE BE'!$AA$18,2)</f>
        <v>253.89</v>
      </c>
    </row>
    <row r="8" spans="1:22" ht="11.25" customHeight="1" x14ac:dyDescent="0.25">
      <c r="A8" s="132"/>
      <c r="B8" s="132"/>
      <c r="C8" s="132"/>
      <c r="D8" s="91" t="s">
        <v>1237</v>
      </c>
      <c r="E8" s="45">
        <f ca="1">ROUND('TUSD BE'!$AM$6+'TUSD BF'!$AM$6+'TUSD CVA'!$AM$6,2)</f>
        <v>8.2799999999999994</v>
      </c>
      <c r="F8" s="45">
        <f ca="1">ROUND('TUSD BE'!$AM$8+'TUSD BF'!$AM$8+'TUSD CVA'!$AM$8,2)</f>
        <v>8.58</v>
      </c>
      <c r="G8" s="45">
        <v>0</v>
      </c>
      <c r="H8" s="45">
        <f ca="1">ROUND('TUSD BE'!$AM$6,2)</f>
        <v>7.91</v>
      </c>
      <c r="I8" s="45">
        <f ca="1">ROUND('TUSD BE'!$AM$8,2)</f>
        <v>9.2899999999999991</v>
      </c>
      <c r="J8" s="45">
        <v>0</v>
      </c>
      <c r="L8" s="136"/>
      <c r="M8" s="91" t="s">
        <v>1245</v>
      </c>
      <c r="N8" s="91" t="s">
        <v>1243</v>
      </c>
      <c r="O8" s="91" t="s">
        <v>1243</v>
      </c>
      <c r="P8" s="91" t="s">
        <v>1239</v>
      </c>
      <c r="Q8" s="45">
        <v>0</v>
      </c>
      <c r="R8" s="45">
        <f ca="1">ROUND('TUSD BE'!$AM$60+'TUSD BF'!$AM$60+'TUSD CVA'!$AM$60,2)</f>
        <v>271.87</v>
      </c>
      <c r="S8" s="45">
        <f>ROUND('TE BE'!$AA$24+'TE BF'!$AA$24+'TE CVA'!$AA$24,2)</f>
        <v>242.91</v>
      </c>
      <c r="T8" s="45">
        <v>0</v>
      </c>
      <c r="U8" s="45">
        <f ca="1">ROUND('TUSD BE'!$AM$60,2)</f>
        <v>268.66000000000003</v>
      </c>
      <c r="V8" s="45">
        <f>ROUND('TE BE'!$AA$24,2)</f>
        <v>267.11</v>
      </c>
    </row>
    <row r="9" spans="1:22" ht="11.25" customHeight="1" x14ac:dyDescent="0.25">
      <c r="A9" s="132"/>
      <c r="B9" s="133" t="s">
        <v>67</v>
      </c>
      <c r="C9" s="133" t="s">
        <v>68</v>
      </c>
      <c r="D9" s="91" t="s">
        <v>1236</v>
      </c>
      <c r="E9" s="45">
        <f ca="1">ROUND('TUSD BE'!$AM$9+'TUSD BF'!$AM$9+'TUSD CVA'!$AM$9-0*('TUSD BE'!$AC$9+'TUSD BF'!$AC$9+'TUSD CVA'!$AC$9),2)</f>
        <v>13.28</v>
      </c>
      <c r="F9" s="45">
        <f ca="1">ROUND('TUSD BE'!$AM$11+'TUSD BF'!$AM$11+'TUSD CVA'!$AM$11,2)</f>
        <v>4.2699999999999996</v>
      </c>
      <c r="G9" s="45">
        <v>0</v>
      </c>
      <c r="H9" s="45">
        <f ca="1">ROUND('TUSD BE'!$AM$9-0*('TUSD BE'!$AC$9),2)</f>
        <v>12.79</v>
      </c>
      <c r="I9" s="45">
        <f ca="1">ROUND('TUSD BE'!$AM$11,2)</f>
        <v>4.68</v>
      </c>
      <c r="J9" s="45">
        <v>0</v>
      </c>
      <c r="L9" s="136"/>
      <c r="M9" s="91" t="s">
        <v>1247</v>
      </c>
      <c r="N9" s="91" t="s">
        <v>1243</v>
      </c>
      <c r="O9" s="91" t="s">
        <v>1243</v>
      </c>
      <c r="P9" s="91" t="s">
        <v>1239</v>
      </c>
      <c r="Q9" s="45">
        <v>0</v>
      </c>
      <c r="R9" s="45">
        <f ca="1">ROUND('TUSD BE'!$AM$55+'TUSD BF'!$AM$55+'TUSD CVA'!$AM$55,2)</f>
        <v>271.87</v>
      </c>
      <c r="S9" s="45">
        <f>ROUND('TE BE'!$AA$19+'TE BF'!$AA$19+'TE CVA'!$AA$19,2)</f>
        <v>242.91</v>
      </c>
      <c r="T9" s="45">
        <v>0</v>
      </c>
      <c r="U9" s="45">
        <f ca="1">ROUND('TUSD BE'!$AM$55,2)</f>
        <v>268.66000000000003</v>
      </c>
      <c r="V9" s="45">
        <f>ROUND('TE BE'!$AA$19,2)</f>
        <v>267.11</v>
      </c>
    </row>
    <row r="10" spans="1:22" ht="11.25" customHeight="1" x14ac:dyDescent="0.25">
      <c r="A10" s="132"/>
      <c r="B10" s="132"/>
      <c r="C10" s="132"/>
      <c r="D10" s="91" t="s">
        <v>1237</v>
      </c>
      <c r="E10" s="45">
        <f ca="1">ROUND('TUSD BE'!$AM$10+'TUSD BF'!$AM$10+'TUSD CVA'!$AM$10-0*('TUSD BE'!$AC$10+'TUSD BF'!$AC$10+'TUSD CVA'!$AC$10),2)</f>
        <v>8.2799999999999994</v>
      </c>
      <c r="F10" s="45">
        <f ca="1">ROUND('TUSD BE'!$AM$11+'TUSD BF'!$AM$11+'TUSD CVA'!$AM$11,2)</f>
        <v>4.2699999999999996</v>
      </c>
      <c r="G10" s="45">
        <v>0</v>
      </c>
      <c r="H10" s="45">
        <f ca="1">ROUND('TUSD BE'!$AM$10-0*('TUSD BE'!$AC$10),2)</f>
        <v>7.91</v>
      </c>
      <c r="I10" s="45">
        <f ca="1">ROUND('TUSD BE'!$AM$11,2)</f>
        <v>4.68</v>
      </c>
      <c r="J10" s="45">
        <v>0</v>
      </c>
      <c r="L10" s="136"/>
      <c r="M10" s="91" t="s">
        <v>1245</v>
      </c>
      <c r="N10" s="91" t="s">
        <v>1243</v>
      </c>
      <c r="O10" s="91" t="s">
        <v>1246</v>
      </c>
      <c r="P10" s="91" t="s">
        <v>1239</v>
      </c>
      <c r="Q10" s="45">
        <v>0</v>
      </c>
      <c r="R10" s="45">
        <f ca="1">ROUND('TUSD BE'!$AM$61+'TUSD BF'!$AM$61+'TUSD CVA'!$AM$61,2)</f>
        <v>198.51</v>
      </c>
      <c r="S10" s="45">
        <f>ROUND('TE BE'!$AA$25+'TE BF'!$AA$25+'TE CVA'!$AA$25,2)</f>
        <v>242.91</v>
      </c>
      <c r="T10" s="45">
        <v>0</v>
      </c>
      <c r="U10" s="45">
        <f ca="1">ROUND('TUSD BE'!$AM$61,2)</f>
        <v>199.17</v>
      </c>
      <c r="V10" s="45">
        <f>ROUND('TE BE'!$AA$25,2)</f>
        <v>267.11</v>
      </c>
    </row>
    <row r="11" spans="1:22" ht="11.25" customHeight="1" x14ac:dyDescent="0.25">
      <c r="A11" s="132"/>
      <c r="B11" s="132"/>
      <c r="C11" s="132"/>
      <c r="D11" s="91" t="s">
        <v>1239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L11" s="137"/>
      <c r="M11" s="91" t="s">
        <v>1247</v>
      </c>
      <c r="N11" s="91" t="s">
        <v>1243</v>
      </c>
      <c r="O11" s="91" t="s">
        <v>1246</v>
      </c>
      <c r="P11" s="91" t="s">
        <v>1239</v>
      </c>
      <c r="Q11" s="45">
        <v>0</v>
      </c>
      <c r="R11" s="45">
        <f ca="1">ROUND('TUSD BE'!$AM$56+'TUSD BF'!$AM$56+'TUSD CVA'!$AM$56,2)</f>
        <v>198.51</v>
      </c>
      <c r="S11" s="45">
        <f>ROUND('TE BE'!$AA$20+'TE BF'!$AA$20+'TE CVA'!$AA$20,2)</f>
        <v>242.91</v>
      </c>
      <c r="T11" s="45">
        <v>0</v>
      </c>
      <c r="U11" s="45">
        <f ca="1">ROUND('TUSD BE'!$AM$56,2)</f>
        <v>199.17</v>
      </c>
      <c r="V11" s="45">
        <f>ROUND('TE BE'!$AA$20,2)</f>
        <v>267.11</v>
      </c>
    </row>
    <row r="12" spans="1:22" ht="11.25" customHeight="1" x14ac:dyDescent="0.25">
      <c r="A12" s="132"/>
      <c r="B12" s="133" t="s">
        <v>64</v>
      </c>
      <c r="C12" s="91" t="s">
        <v>70</v>
      </c>
      <c r="D12" s="91" t="s">
        <v>1239</v>
      </c>
      <c r="E12" s="45">
        <f ca="1">ROUND('TUSD BE'!$AM$12+'TUSD BF'!$AM$12+'TUSD CVA'!$AM$12,2)</f>
        <v>3.68</v>
      </c>
      <c r="F12" s="45">
        <v>0</v>
      </c>
      <c r="G12" s="45">
        <v>0</v>
      </c>
      <c r="H12" s="45">
        <f>ROUND('TUSD BE'!$AM$12,2)</f>
        <v>3.57</v>
      </c>
      <c r="I12" s="45">
        <v>0</v>
      </c>
      <c r="J12" s="45">
        <v>0</v>
      </c>
      <c r="L12" s="135" t="s">
        <v>46</v>
      </c>
      <c r="M12" s="135" t="s">
        <v>1242</v>
      </c>
      <c r="N12" s="135" t="s">
        <v>1248</v>
      </c>
      <c r="O12" s="135" t="s">
        <v>1249</v>
      </c>
      <c r="P12" s="91" t="s">
        <v>1236</v>
      </c>
      <c r="Q12" s="45">
        <v>0</v>
      </c>
      <c r="R12" s="45">
        <f ca="1">ROUND(('TUSD BE'!$AM$65+'TUSD BF'!$AM$65+'TUSD CVA'!$AM$65)*(1-CUSTOS!$M$38),2)</f>
        <v>513.19000000000005</v>
      </c>
      <c r="S12" s="45">
        <f>ROUND(('TE BE'!$AA$29+'TE BF'!$AA$29+'TE CVA'!$AA$29)*(1-CUSTOS!$M$38),2)</f>
        <v>308.07</v>
      </c>
      <c r="T12" s="45">
        <v>0</v>
      </c>
      <c r="U12" s="45">
        <f ca="1">ROUND('TUSD BE'!$AM$65*(1-CUSTOS!$M$38),2)</f>
        <v>505.96</v>
      </c>
      <c r="V12" s="45">
        <f>ROUND('TE BE'!$AA$29*(1-CUSTOS!$M$38),2)</f>
        <v>338.32</v>
      </c>
    </row>
    <row r="13" spans="1:22" ht="11.25" customHeight="1" x14ac:dyDescent="0.25">
      <c r="A13" s="132"/>
      <c r="B13" s="132"/>
      <c r="C13" s="91" t="s">
        <v>71</v>
      </c>
      <c r="D13" s="91" t="s">
        <v>1239</v>
      </c>
      <c r="E13" s="45">
        <f ca="1">ROUND('TUSD BE'!$AM$13+'TUSD BF'!$AM$13+'TUSD CVA'!$AM$13,2)</f>
        <v>3.24</v>
      </c>
      <c r="F13" s="45">
        <v>0</v>
      </c>
      <c r="G13" s="45">
        <v>0</v>
      </c>
      <c r="H13" s="45">
        <f>ROUND('TUSD BE'!$AM$13,2)</f>
        <v>3.13</v>
      </c>
      <c r="I13" s="45">
        <v>0</v>
      </c>
      <c r="J13" s="45">
        <v>0</v>
      </c>
      <c r="L13" s="136"/>
      <c r="M13" s="136"/>
      <c r="N13" s="136"/>
      <c r="O13" s="136"/>
      <c r="P13" s="91" t="s">
        <v>1244</v>
      </c>
      <c r="Q13" s="45">
        <v>0</v>
      </c>
      <c r="R13" s="45">
        <f ca="1">ROUND(('TUSD BE'!$AM$66+'TUSD BF'!$AM$66+'TUSD CVA'!$AM$66)*(1-CUSTOS!$M$38),2)</f>
        <v>344.32</v>
      </c>
      <c r="S13" s="45">
        <f>ROUND(('TE BE'!$AA$30+'TE BF'!$AA$30+'TE CVA'!$AA$30)*(1-CUSTOS!$M$38),2)</f>
        <v>189.28</v>
      </c>
      <c r="T13" s="45">
        <v>0</v>
      </c>
      <c r="U13" s="45">
        <f ca="1">ROUND('TUSD BE'!$AM$66*(1-CUSTOS!$M$38),2)</f>
        <v>339.76</v>
      </c>
      <c r="V13" s="45">
        <f>ROUND('TE BE'!$AA$30*(1-CUSTOS!$M$38),2)</f>
        <v>208.19</v>
      </c>
    </row>
    <row r="14" spans="1:22" ht="11.25" customHeight="1" x14ac:dyDescent="0.25">
      <c r="A14" s="132"/>
      <c r="B14" s="132"/>
      <c r="C14" s="91" t="s">
        <v>95</v>
      </c>
      <c r="D14" s="91" t="s">
        <v>1239</v>
      </c>
      <c r="E14" s="45">
        <f ca="1">ROUND('TUSD BE'!$AM$14+'TUSD BF'!$AM$14+'TUSD CVA'!$AM$14,2)</f>
        <v>3.38</v>
      </c>
      <c r="F14" s="45">
        <v>0</v>
      </c>
      <c r="G14" s="45">
        <v>0</v>
      </c>
      <c r="H14" s="45">
        <f>ROUND('TUSD BE'!$AM$14,2)</f>
        <v>3.36</v>
      </c>
      <c r="I14" s="45">
        <v>0</v>
      </c>
      <c r="J14" s="45">
        <v>0</v>
      </c>
      <c r="L14" s="136"/>
      <c r="M14" s="137"/>
      <c r="N14" s="137"/>
      <c r="O14" s="137"/>
      <c r="P14" s="91" t="s">
        <v>1237</v>
      </c>
      <c r="Q14" s="45">
        <v>0</v>
      </c>
      <c r="R14" s="45">
        <f ca="1">ROUND(('TUSD BE'!$AM$67+'TUSD BF'!$AM$67+'TUSD CVA'!$AM$67)*(1-CUSTOS!$M$38),2)</f>
        <v>175.44</v>
      </c>
      <c r="S14" s="45">
        <f>ROUND(('TE BE'!$AA$31+'TE BF'!$AA$31+'TE CVA'!$AA$31)*(1-CUSTOS!$M$38),2)</f>
        <v>189.28</v>
      </c>
      <c r="T14" s="45">
        <v>0</v>
      </c>
      <c r="U14" s="45">
        <f ca="1">ROUND('TUSD BE'!$AM$67*(1-CUSTOS!$M$38),2)</f>
        <v>173.55</v>
      </c>
      <c r="V14" s="45">
        <f>ROUND('TE BE'!$AA$31*(1-CUSTOS!$M$38),2)</f>
        <v>208.19</v>
      </c>
    </row>
    <row r="15" spans="1:22" ht="11.25" customHeight="1" x14ac:dyDescent="0.25">
      <c r="A15" s="133" t="s">
        <v>45</v>
      </c>
      <c r="B15" s="133" t="s">
        <v>41</v>
      </c>
      <c r="C15" s="133" t="s">
        <v>25</v>
      </c>
      <c r="D15" s="91" t="s">
        <v>1236</v>
      </c>
      <c r="E15" s="45">
        <f ca="1">ROUND('TUSD BE'!$AM$15+'TUSD BF'!$AM$15+'TUSD CVA'!$AM$15,2)</f>
        <v>27.22</v>
      </c>
      <c r="F15" s="45">
        <f ca="1">ROUND('TUSD BE'!$AM$17+'TUSD BF'!$AM$17+'TUSD CVA'!$AM$17,2)</f>
        <v>87.52</v>
      </c>
      <c r="G15" s="45">
        <f>ROUND('TE BE'!$AA$7+'TE BF'!$AA$7+'TE CVA'!$AA$7,2)</f>
        <v>375.69</v>
      </c>
      <c r="H15" s="45">
        <f ca="1">ROUND('TUSD BE'!$AM$15,2)</f>
        <v>26.72</v>
      </c>
      <c r="I15" s="45">
        <f ca="1">ROUND('TUSD BE'!$AM$17,2)</f>
        <v>85.95</v>
      </c>
      <c r="J15" s="45">
        <f>ROUND('TE BE'!$AA$7,2)</f>
        <v>412.59</v>
      </c>
      <c r="L15" s="136"/>
      <c r="M15" s="91" t="s">
        <v>1245</v>
      </c>
      <c r="N15" s="91" t="s">
        <v>1248</v>
      </c>
      <c r="O15" s="91" t="s">
        <v>1249</v>
      </c>
      <c r="P15" s="91" t="s">
        <v>1239</v>
      </c>
      <c r="Q15" s="45">
        <v>0</v>
      </c>
      <c r="R15" s="45">
        <f ca="1">ROUND(('TUSD BE'!$AM$77+'TUSD BF'!$AM$77+'TUSD CVA'!$AM$77)*(1-CUSTOS!$M$38),2)</f>
        <v>222.94</v>
      </c>
      <c r="S15" s="45">
        <f>ROUND(('TE BE'!$AA$41+'TE BF'!$AA$41+'TE CVA'!$AA$41)*(1-CUSTOS!$M$38),2)</f>
        <v>199.18</v>
      </c>
      <c r="T15" s="45">
        <v>0</v>
      </c>
      <c r="U15" s="45">
        <f ca="1">ROUND(('TUSD BE'!$AM$77)*(1-CUSTOS!$M$38),2)</f>
        <v>220.3</v>
      </c>
      <c r="V15" s="45">
        <f>ROUND(('TE BE'!$AA$41)*(1-CUSTOS!$M$38),2)</f>
        <v>219.03</v>
      </c>
    </row>
    <row r="16" spans="1:22" ht="11.25" customHeight="1" x14ac:dyDescent="0.25">
      <c r="A16" s="132"/>
      <c r="B16" s="132"/>
      <c r="C16" s="132"/>
      <c r="D16" s="91" t="s">
        <v>1237</v>
      </c>
      <c r="E16" s="45">
        <f ca="1">ROUND('TUSD BE'!$AM$16+'TUSD BF'!$AM$16+'TUSD CVA'!$AM$16,2)</f>
        <v>11.45</v>
      </c>
      <c r="F16" s="45">
        <f ca="1">ROUND('TUSD BE'!$AM$17+'TUSD BF'!$AM$17+'TUSD CVA'!$AM$17,2)</f>
        <v>87.52</v>
      </c>
      <c r="G16" s="45">
        <f>ROUND('TE BE'!$AA$8+'TE BF'!$AA$8+'TE CVA'!$AA$8,2)</f>
        <v>230.83</v>
      </c>
      <c r="H16" s="45">
        <f ca="1">ROUND('TUSD BE'!$AM$16,2)</f>
        <v>11.11</v>
      </c>
      <c r="I16" s="45">
        <f ca="1">ROUND('TUSD BE'!$AM$17,2)</f>
        <v>85.95</v>
      </c>
      <c r="J16" s="45">
        <f>ROUND('TE BE'!$AA$8,2)</f>
        <v>253.89</v>
      </c>
      <c r="L16" s="136"/>
      <c r="M16" s="91" t="s">
        <v>1247</v>
      </c>
      <c r="N16" s="91" t="s">
        <v>1248</v>
      </c>
      <c r="O16" s="91" t="s">
        <v>1249</v>
      </c>
      <c r="P16" s="91" t="s">
        <v>1239</v>
      </c>
      <c r="Q16" s="45">
        <v>0</v>
      </c>
      <c r="R16" s="45">
        <f ca="1">ROUND(('TUSD BE'!$AM$68+'TUSD BF'!$AM$68+'TUSD CVA'!$AM$68)*(1-CUSTOS!$M$38),2)</f>
        <v>222.94</v>
      </c>
      <c r="S16" s="45">
        <f>ROUND(('TE BE'!$AA$32+'TE BF'!$AA$32+'TE CVA'!$AA$32)*(1-CUSTOS!$M$38),2)</f>
        <v>199.18</v>
      </c>
      <c r="T16" s="45">
        <v>0</v>
      </c>
      <c r="U16" s="45">
        <f ca="1">ROUND(('TUSD BE'!$AM$68)*(1-CUSTOS!$M$38),2)</f>
        <v>220.3</v>
      </c>
      <c r="V16" s="45">
        <f>ROUND(('TE BE'!$AA$32)*(1-CUSTOS!$M$38),2)</f>
        <v>219.03</v>
      </c>
    </row>
    <row r="17" spans="1:22" ht="11.25" customHeight="1" x14ac:dyDescent="0.25">
      <c r="A17" s="132"/>
      <c r="B17" s="133" t="s">
        <v>1238</v>
      </c>
      <c r="C17" s="133" t="s">
        <v>25</v>
      </c>
      <c r="D17" s="91" t="s">
        <v>1236</v>
      </c>
      <c r="E17" s="45">
        <f ca="1">ROUND('TUSD BE'!$AM$15+'TUSD BF'!$AM$15+'TUSD CVA'!$AM$15,2)</f>
        <v>27.22</v>
      </c>
      <c r="F17" s="45">
        <f ca="1">ROUND('TUSD BE'!$AM$18+'TUSD BF'!$AM$18+'TUSD CVA'!$AM$18,2)</f>
        <v>21.46</v>
      </c>
      <c r="G17" s="45">
        <v>0</v>
      </c>
      <c r="H17" s="45">
        <f ca="1">ROUND('TUSD BE'!$AM$15,2)</f>
        <v>26.72</v>
      </c>
      <c r="I17" s="45">
        <f ca="1">ROUND('TUSD BE'!$AM$18,2)</f>
        <v>23.24</v>
      </c>
      <c r="J17" s="45">
        <v>0</v>
      </c>
      <c r="L17" s="136"/>
      <c r="M17" s="135" t="s">
        <v>1242</v>
      </c>
      <c r="N17" s="135" t="s">
        <v>1248</v>
      </c>
      <c r="O17" s="135" t="s">
        <v>1250</v>
      </c>
      <c r="P17" s="91" t="s">
        <v>1236</v>
      </c>
      <c r="Q17" s="45">
        <v>0</v>
      </c>
      <c r="R17" s="45">
        <f ca="1">ROUND(('TUSD BE'!$AM$69+'TUSD BF'!$AM$69+'TUSD CVA'!$AM$69)*(1-CUSTOS!$M$39),2)</f>
        <v>513.19000000000005</v>
      </c>
      <c r="S17" s="45">
        <f>ROUND(('TE BE'!$AA$33+'TE BF'!$AA$33+'TE CVA'!$AA$33)*(1-CUSTOS!$M$39),2)</f>
        <v>308.07</v>
      </c>
      <c r="T17" s="45">
        <v>0</v>
      </c>
      <c r="U17" s="45">
        <f ca="1">ROUND('TUSD BE'!$AM$69*(1-CUSTOS!$M$39),2)</f>
        <v>505.96</v>
      </c>
      <c r="V17" s="45">
        <f>ROUND('TE BE'!$AA$33*(1-CUSTOS!$M$39),2)</f>
        <v>338.32</v>
      </c>
    </row>
    <row r="18" spans="1:22" ht="11.25" customHeight="1" x14ac:dyDescent="0.25">
      <c r="A18" s="132"/>
      <c r="B18" s="132"/>
      <c r="C18" s="132"/>
      <c r="D18" s="91" t="s">
        <v>1237</v>
      </c>
      <c r="E18" s="45">
        <f ca="1">ROUND('TUSD BE'!$AM$16+'TUSD BF'!$AM$16+'TUSD CVA'!$AM$16,2)</f>
        <v>11.45</v>
      </c>
      <c r="F18" s="45">
        <f ca="1">ROUND('TUSD BE'!$AM$18+'TUSD BF'!$AM$18+'TUSD CVA'!$AM$18,2)</f>
        <v>21.46</v>
      </c>
      <c r="G18" s="45">
        <v>0</v>
      </c>
      <c r="H18" s="45">
        <f ca="1">ROUND('TUSD BE'!$AM$16,2)</f>
        <v>11.11</v>
      </c>
      <c r="I18" s="45">
        <f ca="1">ROUND('TUSD BE'!$AM$18,2)</f>
        <v>23.24</v>
      </c>
      <c r="J18" s="45">
        <v>0</v>
      </c>
      <c r="L18" s="136"/>
      <c r="M18" s="136"/>
      <c r="N18" s="136"/>
      <c r="O18" s="136"/>
      <c r="P18" s="91" t="s">
        <v>1244</v>
      </c>
      <c r="Q18" s="45">
        <v>0</v>
      </c>
      <c r="R18" s="45">
        <f ca="1">ROUND(('TUSD BE'!$AM$70+'TUSD BF'!$AM$70+'TUSD CVA'!$AM$70)*(1-CUSTOS!$M$39),2)</f>
        <v>344.32</v>
      </c>
      <c r="S18" s="45">
        <f>ROUND(('TE BE'!$AA$34+'TE BF'!$AA$34+'TE CVA'!$AA$34)*(1-CUSTOS!$M$39),2)</f>
        <v>189.28</v>
      </c>
      <c r="T18" s="45">
        <v>0</v>
      </c>
      <c r="U18" s="45">
        <f ca="1">ROUND('TUSD BE'!$AM$70*(1-CUSTOS!$M$39),2)</f>
        <v>339.76</v>
      </c>
      <c r="V18" s="45">
        <f>ROUND('TE BE'!$AA$34*(1-CUSTOS!$M$39),2)</f>
        <v>208.19</v>
      </c>
    </row>
    <row r="19" spans="1:22" ht="11.25" customHeight="1" x14ac:dyDescent="0.25">
      <c r="A19" s="132"/>
      <c r="B19" s="133" t="s">
        <v>34</v>
      </c>
      <c r="C19" s="133" t="s">
        <v>25</v>
      </c>
      <c r="D19" s="91" t="s">
        <v>1239</v>
      </c>
      <c r="E19" s="45">
        <f ca="1">ROUND('TUSD BE'!$AM$20+'TUSD BF'!$AM$20+'TUSD CVA'!$AM$20,2)</f>
        <v>11.45</v>
      </c>
      <c r="F19" s="45">
        <v>0</v>
      </c>
      <c r="G19" s="45">
        <v>0</v>
      </c>
      <c r="H19" s="45">
        <f ca="1">ROUND('TUSD BE'!$AM$20,2)</f>
        <v>11.11</v>
      </c>
      <c r="I19" s="45">
        <v>0</v>
      </c>
      <c r="J19" s="45">
        <v>0</v>
      </c>
      <c r="L19" s="136"/>
      <c r="M19" s="137"/>
      <c r="N19" s="137"/>
      <c r="O19" s="137"/>
      <c r="P19" s="91" t="s">
        <v>1237</v>
      </c>
      <c r="Q19" s="45">
        <v>0</v>
      </c>
      <c r="R19" s="45">
        <f ca="1">ROUND(('TUSD BE'!$AM$71+'TUSD BF'!$AM$71+'TUSD CVA'!$AM$71)*(1-CUSTOS!$M$39),2)</f>
        <v>175.44</v>
      </c>
      <c r="S19" s="45">
        <f>ROUND(('TE BE'!$AA$35+'TE BF'!$AA$35+'TE CVA'!$AA$35)*(1-CUSTOS!$M$39),2)</f>
        <v>189.28</v>
      </c>
      <c r="T19" s="45">
        <v>0</v>
      </c>
      <c r="U19" s="45">
        <f ca="1">ROUND('TUSD BE'!$AM$71*(1-CUSTOS!$M$39),2)</f>
        <v>173.55</v>
      </c>
      <c r="V19" s="45">
        <f>ROUND('TE BE'!$AA$35*(1-CUSTOS!$M$39),2)</f>
        <v>208.19</v>
      </c>
    </row>
    <row r="20" spans="1:22" ht="11.25" customHeight="1" x14ac:dyDescent="0.25">
      <c r="A20" s="132"/>
      <c r="B20" s="132"/>
      <c r="C20" s="132"/>
      <c r="D20" s="91" t="s">
        <v>1236</v>
      </c>
      <c r="E20" s="45">
        <v>0</v>
      </c>
      <c r="F20" s="45">
        <f ca="1">ROUND('TUSD BE'!$AM$21+'TUSD BF'!$AM$21+'TUSD CVA'!$AM$21,2)</f>
        <v>747.73</v>
      </c>
      <c r="G20" s="45">
        <f>ROUND('TE BE'!$AA$7+'TE BF'!$AA$7+'TE CVA'!$AA$7,2)</f>
        <v>375.69</v>
      </c>
      <c r="H20" s="45">
        <v>0</v>
      </c>
      <c r="I20" s="45">
        <f ca="1">ROUND('TUSD BE'!$AM$21,2)</f>
        <v>734.14</v>
      </c>
      <c r="J20" s="45">
        <f>ROUND('TE BE'!$AA$7,2)</f>
        <v>412.59</v>
      </c>
      <c r="L20" s="136"/>
      <c r="M20" s="91" t="s">
        <v>1245</v>
      </c>
      <c r="N20" s="91" t="s">
        <v>1248</v>
      </c>
      <c r="O20" s="91" t="s">
        <v>1250</v>
      </c>
      <c r="P20" s="91" t="s">
        <v>1239</v>
      </c>
      <c r="Q20" s="45">
        <v>0</v>
      </c>
      <c r="R20" s="45">
        <f ca="1">ROUND(('TUSD BE'!$AM$77+'TUSD BF'!$AM$77+'TUSD CVA'!$AM$77)*(1-CUSTOS!$M$39),2)</f>
        <v>222.94</v>
      </c>
      <c r="S20" s="45">
        <f>ROUND(('TE BE'!$AA$41+'TE BF'!$AA$41+'TE CVA'!$AA$41)*(1-CUSTOS!$M$39),2)</f>
        <v>199.18</v>
      </c>
      <c r="T20" s="45">
        <v>0</v>
      </c>
      <c r="U20" s="45">
        <f ca="1">ROUND(('TUSD BE'!$AM$77)*(1-CUSTOS!$M$39),2)</f>
        <v>220.3</v>
      </c>
      <c r="V20" s="45">
        <f>ROUND(('TE BE'!$AA$41)*(1-CUSTOS!$M$39),2)</f>
        <v>219.03</v>
      </c>
    </row>
    <row r="21" spans="1:22" ht="11.25" customHeight="1" x14ac:dyDescent="0.25">
      <c r="A21" s="132"/>
      <c r="B21" s="132"/>
      <c r="C21" s="132"/>
      <c r="D21" s="91" t="s">
        <v>1237</v>
      </c>
      <c r="E21" s="45">
        <v>0</v>
      </c>
      <c r="F21" s="45">
        <f ca="1">ROUND('TUSD BE'!$AM$22+'TUSD BF'!$AM$22+'TUSD CVA'!$AM$22,2)</f>
        <v>87.52</v>
      </c>
      <c r="G21" s="45">
        <f>ROUND('TE BE'!$AA$8+'TE BF'!$AA$8+'TE CVA'!$AA$8,2)</f>
        <v>230.83</v>
      </c>
      <c r="H21" s="45">
        <v>0</v>
      </c>
      <c r="I21" s="45">
        <f ca="1">ROUND('TUSD BE'!$AM$22,2)</f>
        <v>85.95</v>
      </c>
      <c r="J21" s="45">
        <f>ROUND('TE BE'!$AA$8,2)</f>
        <v>253.89</v>
      </c>
      <c r="L21" s="136"/>
      <c r="M21" s="91" t="s">
        <v>1247</v>
      </c>
      <c r="N21" s="91" t="s">
        <v>1248</v>
      </c>
      <c r="O21" s="91" t="s">
        <v>1250</v>
      </c>
      <c r="P21" s="91" t="s">
        <v>1239</v>
      </c>
      <c r="Q21" s="45">
        <v>0</v>
      </c>
      <c r="R21" s="45">
        <f ca="1">ROUND(('TUSD BE'!$AM$68+'TUSD BF'!$AM$68+'TUSD CVA'!$AM$68)*(1-CUSTOS!$M$39),2)</f>
        <v>222.94</v>
      </c>
      <c r="S21" s="45">
        <f>ROUND(('TE BE'!$AA$32+'TE BF'!$AA$32+'TE CVA'!$AA$32)*(1-CUSTOS!$M$39),2)</f>
        <v>199.18</v>
      </c>
      <c r="T21" s="45">
        <v>0</v>
      </c>
      <c r="U21" s="45">
        <f ca="1">ROUND(('TUSD BE'!$AM$68)*(1-CUSTOS!$M$39),2)</f>
        <v>220.3</v>
      </c>
      <c r="V21" s="45">
        <f>ROUND(('TE BE'!$AA$32)*(1-CUSTOS!$M$39),2)</f>
        <v>219.03</v>
      </c>
    </row>
    <row r="22" spans="1:22" ht="11.25" customHeight="1" x14ac:dyDescent="0.25">
      <c r="A22" s="132"/>
      <c r="B22" s="133" t="s">
        <v>1240</v>
      </c>
      <c r="C22" s="133" t="s">
        <v>25</v>
      </c>
      <c r="D22" s="91" t="s">
        <v>1239</v>
      </c>
      <c r="E22" s="45">
        <f ca="1">ROUND('TUSD BE'!$AM$20+'TUSD BF'!$AM$20+'TUSD CVA'!$AM$20,2)</f>
        <v>11.45</v>
      </c>
      <c r="F22" s="45">
        <v>0</v>
      </c>
      <c r="G22" s="45">
        <v>0</v>
      </c>
      <c r="H22" s="45">
        <f ca="1">ROUND('TUSD BE'!$AM$20,2)</f>
        <v>11.11</v>
      </c>
      <c r="I22" s="45">
        <v>0</v>
      </c>
      <c r="J22" s="45">
        <v>0</v>
      </c>
      <c r="L22" s="136"/>
      <c r="M22" s="135" t="s">
        <v>1242</v>
      </c>
      <c r="N22" s="135" t="s">
        <v>1248</v>
      </c>
      <c r="O22" s="135" t="s">
        <v>1251</v>
      </c>
      <c r="P22" s="91" t="s">
        <v>1236</v>
      </c>
      <c r="Q22" s="45">
        <v>0</v>
      </c>
      <c r="R22" s="45">
        <f ca="1">ROUND(('TUSD BE'!$AM$73+'TUSD BF'!$AM$73+'TUSD CVA'!$AM$73)*(1-CUSTOS!$M$40),2)</f>
        <v>475.64</v>
      </c>
      <c r="S22" s="45">
        <f>ROUND(('TE BE'!$AA$37+'TE BF'!$AA$37+'TE CVA'!$AA$37)*(1-CUSTOS!$M$40),2)</f>
        <v>285.52999999999997</v>
      </c>
      <c r="T22" s="45">
        <v>0</v>
      </c>
      <c r="U22" s="45">
        <f ca="1">ROUND('TUSD BE'!$AM$73*(1-CUSTOS!$M$40),2)</f>
        <v>468.94</v>
      </c>
      <c r="V22" s="45">
        <f>ROUND('TE BE'!$AA$37*(1-CUSTOS!$M$40),2)</f>
        <v>313.57</v>
      </c>
    </row>
    <row r="23" spans="1:22" ht="11.25" customHeight="1" x14ac:dyDescent="0.25">
      <c r="A23" s="132"/>
      <c r="B23" s="132"/>
      <c r="C23" s="132"/>
      <c r="D23" s="91" t="s">
        <v>1236</v>
      </c>
      <c r="E23" s="45">
        <v>0</v>
      </c>
      <c r="F23" s="45">
        <f ca="1">ROUND('TUSD BE'!$AM$23+'TUSD BF'!$AM$23+'TUSD CVA'!$AM$23,2)</f>
        <v>681.67</v>
      </c>
      <c r="G23" s="45">
        <v>0</v>
      </c>
      <c r="H23" s="45">
        <v>0</v>
      </c>
      <c r="I23" s="45">
        <f ca="1">ROUND('TUSD BE'!$AM$23,2)</f>
        <v>671.43</v>
      </c>
      <c r="J23" s="45">
        <v>0</v>
      </c>
      <c r="L23" s="136"/>
      <c r="M23" s="136"/>
      <c r="N23" s="136"/>
      <c r="O23" s="136"/>
      <c r="P23" s="91" t="s">
        <v>1244</v>
      </c>
      <c r="Q23" s="45">
        <v>0</v>
      </c>
      <c r="R23" s="45">
        <f ca="1">ROUND(('TUSD BE'!$AM$74+'TUSD BF'!$AM$74+'TUSD CVA'!$AM$74)*(1-CUSTOS!$M$40),2)</f>
        <v>319.12</v>
      </c>
      <c r="S23" s="45">
        <f>ROUND(('TE BE'!$AA$38+'TE BF'!$AA$38+'TE CVA'!$AA$38)*(1-CUSTOS!$M$40),2)</f>
        <v>175.43</v>
      </c>
      <c r="T23" s="45">
        <v>0</v>
      </c>
      <c r="U23" s="45">
        <f ca="1">ROUND('TUSD BE'!$AM$74*(1-CUSTOS!$M$40),2)</f>
        <v>314.89999999999998</v>
      </c>
      <c r="V23" s="45">
        <f>ROUND('TE BE'!$AA$38*(1-CUSTOS!$M$40),2)</f>
        <v>192.95</v>
      </c>
    </row>
    <row r="24" spans="1:22" ht="11.25" customHeight="1" x14ac:dyDescent="0.25">
      <c r="A24" s="132"/>
      <c r="B24" s="132"/>
      <c r="C24" s="132"/>
      <c r="D24" s="91" t="s">
        <v>1237</v>
      </c>
      <c r="E24" s="45">
        <v>0</v>
      </c>
      <c r="F24" s="45">
        <f ca="1">ROUND('TUSD BE'!$AM$24+'TUSD BF'!$AM$24+'TUSD CVA'!$AM$24,2)</f>
        <v>21.46</v>
      </c>
      <c r="G24" s="45">
        <v>0</v>
      </c>
      <c r="H24" s="45">
        <v>0</v>
      </c>
      <c r="I24" s="45">
        <f ca="1">ROUND('TUSD BE'!$AM$24,2)</f>
        <v>23.24</v>
      </c>
      <c r="J24" s="45">
        <v>0</v>
      </c>
      <c r="L24" s="136"/>
      <c r="M24" s="137"/>
      <c r="N24" s="137"/>
      <c r="O24" s="137"/>
      <c r="P24" s="91" t="s">
        <v>1237</v>
      </c>
      <c r="Q24" s="45">
        <v>0</v>
      </c>
      <c r="R24" s="45">
        <f ca="1">ROUND(('TUSD BE'!$AM$75+'TUSD BF'!$AM$75+'TUSD CVA'!$AM$75)*(1-CUSTOS!$M$40),2)</f>
        <v>162.6</v>
      </c>
      <c r="S24" s="45">
        <f>ROUND(('TE BE'!$AA$39+'TE BF'!$AA$39+'TE CVA'!$AA$39)*(1-CUSTOS!$M$40),2)</f>
        <v>175.43</v>
      </c>
      <c r="T24" s="45">
        <v>0</v>
      </c>
      <c r="U24" s="45">
        <f ca="1">ROUND('TUSD BE'!$AM$75*(1-CUSTOS!$M$40),2)</f>
        <v>160.85</v>
      </c>
      <c r="V24" s="45">
        <f>ROUND('TE BE'!$AA$39*(1-CUSTOS!$M$40),2)</f>
        <v>192.95</v>
      </c>
    </row>
    <row r="25" spans="1:22" ht="11.25" customHeight="1" x14ac:dyDescent="0.25">
      <c r="A25" s="132"/>
      <c r="B25" s="91" t="s">
        <v>64</v>
      </c>
      <c r="C25" s="91" t="s">
        <v>25</v>
      </c>
      <c r="D25" s="91" t="s">
        <v>1239</v>
      </c>
      <c r="E25" s="45">
        <f ca="1">ROUND('TUSD BE'!$AM$19+'TUSD BF'!$AM$19+'TUSD CVA'!$AM$19,2)</f>
        <v>3.71</v>
      </c>
      <c r="F25" s="45">
        <v>0</v>
      </c>
      <c r="G25" s="45">
        <v>0</v>
      </c>
      <c r="H25" s="45">
        <f ca="1">ROUND('TUSD BE'!$AM$19,2)</f>
        <v>3.71</v>
      </c>
      <c r="I25" s="45">
        <v>0</v>
      </c>
      <c r="J25" s="45">
        <v>0</v>
      </c>
      <c r="L25" s="136"/>
      <c r="M25" s="91" t="s">
        <v>1245</v>
      </c>
      <c r="N25" s="91" t="s">
        <v>1248</v>
      </c>
      <c r="O25" s="91" t="s">
        <v>1251</v>
      </c>
      <c r="P25" s="91" t="s">
        <v>1239</v>
      </c>
      <c r="Q25" s="45">
        <v>0</v>
      </c>
      <c r="R25" s="45">
        <f ca="1">ROUND(('TUSD BE'!$AM$77+'TUSD BF'!$AM$77+'TUSD CVA'!$AM$77)*(1-CUSTOS!$M$40),2)</f>
        <v>206.62</v>
      </c>
      <c r="S25" s="45">
        <f>ROUND(('TE BE'!$AA$41+'TE BF'!$AA$41+'TE CVA'!$AA$41)*(1-CUSTOS!$M$40),2)</f>
        <v>184.61</v>
      </c>
      <c r="T25" s="45">
        <v>0</v>
      </c>
      <c r="U25" s="45">
        <f ca="1">ROUND(('TUSD BE'!$AM$77)*(1-CUSTOS!$M$40),2)</f>
        <v>204.18</v>
      </c>
      <c r="V25" s="45">
        <f>ROUND(('TE BE'!$AA$41)*(1-CUSTOS!$M$40),2)</f>
        <v>203</v>
      </c>
    </row>
    <row r="26" spans="1:22" ht="11.25" customHeight="1" x14ac:dyDescent="0.25">
      <c r="A26" s="133" t="s">
        <v>33</v>
      </c>
      <c r="B26" s="133" t="s">
        <v>41</v>
      </c>
      <c r="C26" s="133" t="s">
        <v>25</v>
      </c>
      <c r="D26" s="91" t="s">
        <v>1236</v>
      </c>
      <c r="E26" s="45">
        <f ca="1">ROUND('TUSD BE'!$AM$27+'TUSD BF'!$AM$27+'TUSD CVA'!$AM$27,2)</f>
        <v>27.22</v>
      </c>
      <c r="F26" s="45">
        <f ca="1">ROUND('TUSD BE'!$AM$29+'TUSD BF'!$AM$29+'TUSD CVA'!$AM$29,2)</f>
        <v>87.52</v>
      </c>
      <c r="G26" s="45">
        <f>ROUND('TE BE'!$AA$10+'TE BF'!$AA$10+'TE CVA'!$AA$10,2)</f>
        <v>375.69</v>
      </c>
      <c r="H26" s="45">
        <f ca="1">ROUND('TUSD BE'!$AM$27,2)</f>
        <v>26.72</v>
      </c>
      <c r="I26" s="45">
        <f ca="1">ROUND('TUSD BE'!$AM$29,2)</f>
        <v>85.95</v>
      </c>
      <c r="J26" s="45">
        <f>ROUND('TE BE'!$AA$10,2)</f>
        <v>412.59</v>
      </c>
      <c r="L26" s="137"/>
      <c r="M26" s="91" t="s">
        <v>1247</v>
      </c>
      <c r="N26" s="91" t="s">
        <v>1248</v>
      </c>
      <c r="O26" s="91" t="s">
        <v>1251</v>
      </c>
      <c r="P26" s="91" t="s">
        <v>1239</v>
      </c>
      <c r="Q26" s="45">
        <v>0</v>
      </c>
      <c r="R26" s="45">
        <f ca="1">ROUND(('TUSD BE'!$AM$68+'TUSD BF'!$AM$68+'TUSD CVA'!$AM$68)*(1-CUSTOS!$M$40),2)</f>
        <v>206.62</v>
      </c>
      <c r="S26" s="45">
        <f>ROUND(('TE BE'!$AA$32+'TE BF'!$AA$32+'TE CVA'!$AA$32)*(1-CUSTOS!$M$40),2)</f>
        <v>184.61</v>
      </c>
      <c r="T26" s="45">
        <v>0</v>
      </c>
      <c r="U26" s="45">
        <f ca="1">ROUND(('TUSD BE'!$AM$68)*(1-CUSTOS!$M$40),2)</f>
        <v>204.18</v>
      </c>
      <c r="V26" s="45">
        <f>ROUND(('TE BE'!$AA$32)*(1-CUSTOS!$M$40),2)</f>
        <v>203</v>
      </c>
    </row>
    <row r="27" spans="1:22" ht="11.25" customHeight="1" x14ac:dyDescent="0.25">
      <c r="A27" s="132"/>
      <c r="B27" s="132"/>
      <c r="C27" s="132"/>
      <c r="D27" s="91" t="s">
        <v>1237</v>
      </c>
      <c r="E27" s="45">
        <f ca="1">ROUND('TUSD BE'!$AM$28+'TUSD BF'!$AM$28+'TUSD CVA'!$AM$28,2)</f>
        <v>11.45</v>
      </c>
      <c r="F27" s="45">
        <f ca="1">ROUND('TUSD BE'!$AM$29+'TUSD BF'!$AM$29+'TUSD CVA'!$AM$29,2)</f>
        <v>87.52</v>
      </c>
      <c r="G27" s="45">
        <f>ROUND('TE BE'!$AA$11+'TE BF'!$AA$11+'TE CVA'!$AA$11,2)</f>
        <v>230.83</v>
      </c>
      <c r="H27" s="45">
        <f ca="1">ROUND('TUSD BE'!$AM$28,2)</f>
        <v>11.11</v>
      </c>
      <c r="I27" s="45">
        <f ca="1">ROUND('TUSD BE'!$AM$29,2)</f>
        <v>85.95</v>
      </c>
      <c r="J27" s="45">
        <f>ROUND('TE BE'!$AA$11,2)</f>
        <v>253.89</v>
      </c>
      <c r="L27" s="135" t="s">
        <v>39</v>
      </c>
      <c r="M27" s="135" t="s">
        <v>1242</v>
      </c>
      <c r="N27" s="135" t="s">
        <v>1239</v>
      </c>
      <c r="O27" s="135" t="s">
        <v>1239</v>
      </c>
      <c r="P27" s="91" t="s">
        <v>1236</v>
      </c>
      <c r="Q27" s="45">
        <v>0</v>
      </c>
      <c r="R27" s="45">
        <f ca="1">ROUND(('TUSD BE'!$AM$80+'TUSD BF'!$AM$80+'TUSD CVA'!$AM$80)*(1-CUSTOS!$M$31),2)</f>
        <v>625.84</v>
      </c>
      <c r="S27" s="45">
        <f>ROUND(('TE BE'!$AA$44+'TE BF'!$AA$44+'TE CVA'!$AA$44)*(1-CUSTOS!$M$31),2)</f>
        <v>375.69</v>
      </c>
      <c r="T27" s="45">
        <v>0</v>
      </c>
      <c r="U27" s="45">
        <f ca="1">ROUND('TUSD BE'!$AM$80*(1-CUSTOS!$M$31),2)</f>
        <v>617.02</v>
      </c>
      <c r="V27" s="45">
        <f>ROUND('TE BE'!$AA$44*(1-CUSTOS!$M$31),2)</f>
        <v>412.59</v>
      </c>
    </row>
    <row r="28" spans="1:22" ht="11.25" customHeight="1" x14ac:dyDescent="0.25">
      <c r="A28" s="132"/>
      <c r="B28" s="133" t="s">
        <v>1238</v>
      </c>
      <c r="C28" s="133" t="s">
        <v>25</v>
      </c>
      <c r="D28" s="91" t="s">
        <v>1236</v>
      </c>
      <c r="E28" s="45">
        <f ca="1">ROUND('TUSD BE'!$AM$27+'TUSD BF'!$AM$27+'TUSD CVA'!$AM$27,2)</f>
        <v>27.22</v>
      </c>
      <c r="F28" s="45">
        <f ca="1">ROUND('TUSD BE'!$AM$30+'TUSD BF'!$AM$30+'TUSD CVA'!$AM$30,2)</f>
        <v>21.46</v>
      </c>
      <c r="G28" s="45">
        <v>0</v>
      </c>
      <c r="H28" s="45">
        <f ca="1">ROUND('TUSD BE'!$AM$27,2)</f>
        <v>26.72</v>
      </c>
      <c r="I28" s="45">
        <f ca="1">ROUND('TUSD BE'!$AM$30,2)</f>
        <v>23.24</v>
      </c>
      <c r="J28" s="45">
        <v>0</v>
      </c>
      <c r="L28" s="136"/>
      <c r="M28" s="136"/>
      <c r="N28" s="136"/>
      <c r="O28" s="136"/>
      <c r="P28" s="91" t="s">
        <v>1244</v>
      </c>
      <c r="Q28" s="45">
        <v>0</v>
      </c>
      <c r="R28" s="45">
        <f ca="1">ROUND(('TUSD BE'!$AM$81+'TUSD BF'!$AM$81+'TUSD CVA'!$AM$81)*(1-CUSTOS!$M$31),2)</f>
        <v>419.9</v>
      </c>
      <c r="S28" s="45">
        <f>ROUND(('TE BE'!$AA$45+'TE BF'!$AA$45+'TE CVA'!$AA$45)*(1-CUSTOS!$M$31),2)</f>
        <v>230.83</v>
      </c>
      <c r="T28" s="45">
        <v>0</v>
      </c>
      <c r="U28" s="45">
        <f ca="1">ROUND('TUSD BE'!$AM$81*(1-CUSTOS!$M$31),2)</f>
        <v>414.34</v>
      </c>
      <c r="V28" s="45">
        <f>ROUND('TE BE'!$AA$45*(1-CUSTOS!$M$31),2)</f>
        <v>253.89</v>
      </c>
    </row>
    <row r="29" spans="1:22" ht="11.25" customHeight="1" x14ac:dyDescent="0.25">
      <c r="A29" s="132"/>
      <c r="B29" s="132"/>
      <c r="C29" s="132"/>
      <c r="D29" s="91" t="s">
        <v>1237</v>
      </c>
      <c r="E29" s="45">
        <f ca="1">ROUND('TUSD BE'!$AM$28+'TUSD BF'!$AM$28+'TUSD CVA'!$AM$28,2)</f>
        <v>11.45</v>
      </c>
      <c r="F29" s="45">
        <f ca="1">ROUND('TUSD BE'!$AM$30+'TUSD BF'!$AM$30+'TUSD CVA'!$AM$30,2)</f>
        <v>21.46</v>
      </c>
      <c r="G29" s="45">
        <v>0</v>
      </c>
      <c r="H29" s="45">
        <f ca="1">ROUND('TUSD BE'!$AM$28,2)</f>
        <v>11.11</v>
      </c>
      <c r="I29" s="45">
        <f ca="1">ROUND('TUSD BE'!$AM$30,2)</f>
        <v>23.24</v>
      </c>
      <c r="J29" s="45">
        <v>0</v>
      </c>
      <c r="L29" s="136"/>
      <c r="M29" s="137"/>
      <c r="N29" s="137"/>
      <c r="O29" s="137"/>
      <c r="P29" s="91" t="s">
        <v>1237</v>
      </c>
      <c r="Q29" s="45">
        <v>0</v>
      </c>
      <c r="R29" s="45">
        <f ca="1">ROUND(('TUSD BE'!$AM$82+'TUSD BF'!$AM$82+'TUSD CVA'!$AM$82)*(1-CUSTOS!$M$31),2)</f>
        <v>213.95</v>
      </c>
      <c r="S29" s="45">
        <f>ROUND(('TE BE'!$AA$46+'TE BF'!$AA$46+'TE CVA'!$AA$46)*(1-CUSTOS!$M$31),2)</f>
        <v>230.83</v>
      </c>
      <c r="T29" s="45">
        <v>0</v>
      </c>
      <c r="U29" s="45">
        <f ca="1">ROUND('TUSD BE'!$AM$82*(1-CUSTOS!$M$31),2)</f>
        <v>211.65</v>
      </c>
      <c r="V29" s="45">
        <f>ROUND('TE BE'!$AA$46*(1-CUSTOS!$M$31),2)</f>
        <v>253.89</v>
      </c>
    </row>
    <row r="30" spans="1:22" ht="11.25" customHeight="1" x14ac:dyDescent="0.25">
      <c r="A30" s="132"/>
      <c r="B30" s="133" t="s">
        <v>34</v>
      </c>
      <c r="C30" s="133" t="s">
        <v>25</v>
      </c>
      <c r="D30" s="91" t="s">
        <v>1239</v>
      </c>
      <c r="E30" s="45">
        <f ca="1">ROUND('TUSD BE'!$AM$32+'TUSD BF'!$AM$32+'TUSD CVA'!$AM$32,2)</f>
        <v>11.45</v>
      </c>
      <c r="F30" s="45">
        <v>0</v>
      </c>
      <c r="G30" s="45">
        <v>0</v>
      </c>
      <c r="H30" s="45">
        <f ca="1">ROUND('TUSD BE'!$AM$32,2)</f>
        <v>11.11</v>
      </c>
      <c r="I30" s="45">
        <v>0</v>
      </c>
      <c r="J30" s="45">
        <v>0</v>
      </c>
      <c r="L30" s="136"/>
      <c r="M30" s="91" t="s">
        <v>1245</v>
      </c>
      <c r="N30" s="91" t="s">
        <v>1239</v>
      </c>
      <c r="O30" s="91" t="s">
        <v>1239</v>
      </c>
      <c r="P30" s="91" t="s">
        <v>1239</v>
      </c>
      <c r="Q30" s="45">
        <v>0</v>
      </c>
      <c r="R30" s="45">
        <f ca="1">ROUND(('TUSD BE'!$AM$84+'TUSD BF'!$AM$84+'TUSD CVA'!$AM$84)*(1-CUSTOS!$M$31),2)</f>
        <v>271.87</v>
      </c>
      <c r="S30" s="45">
        <f>ROUND(('TE BE'!$AA$48+'TE BF'!$AA$48+'TE CVA'!$AA$48)*(1-CUSTOS!$M$31),2)</f>
        <v>242.91</v>
      </c>
      <c r="T30" s="45">
        <v>0</v>
      </c>
      <c r="U30" s="45">
        <f ca="1">ROUND(('TUSD BE'!$AM$84)*(1-CUSTOS!$M$31),2)</f>
        <v>268.66000000000003</v>
      </c>
      <c r="V30" s="45">
        <f>ROUND(('TE BE'!$AA$48)*(1-CUSTOS!$M$31),2)</f>
        <v>267.11</v>
      </c>
    </row>
    <row r="31" spans="1:22" ht="11.25" customHeight="1" x14ac:dyDescent="0.25">
      <c r="A31" s="132"/>
      <c r="B31" s="132"/>
      <c r="C31" s="132"/>
      <c r="D31" s="91" t="s">
        <v>1236</v>
      </c>
      <c r="E31" s="45">
        <v>0</v>
      </c>
      <c r="F31" s="45">
        <f ca="1">ROUND('TUSD BE'!$AM$33+'TUSD BF'!$AM$33+'TUSD CVA'!$AM$33,2)</f>
        <v>747.73</v>
      </c>
      <c r="G31" s="45">
        <f>ROUND('TE BE'!$AA$10+'TE BF'!$AA$10+'TE CVA'!$AA$10,2)</f>
        <v>375.69</v>
      </c>
      <c r="H31" s="45">
        <v>0</v>
      </c>
      <c r="I31" s="45">
        <f ca="1">ROUND('TUSD BE'!$AM$33,2)</f>
        <v>734.14</v>
      </c>
      <c r="J31" s="45">
        <f>ROUND('TE BE'!$AA$10,2)</f>
        <v>412.59</v>
      </c>
      <c r="L31" s="137"/>
      <c r="M31" s="91" t="s">
        <v>1247</v>
      </c>
      <c r="N31" s="91" t="s">
        <v>1239</v>
      </c>
      <c r="O31" s="91" t="s">
        <v>1239</v>
      </c>
      <c r="P31" s="91" t="s">
        <v>1239</v>
      </c>
      <c r="Q31" s="45">
        <v>0</v>
      </c>
      <c r="R31" s="45">
        <f ca="1">ROUND(('TUSD BE'!$AM$83+'TUSD BF'!$AM$83+'TUSD CVA'!$AM$83)*(1-CUSTOS!$M$31),2)</f>
        <v>271.87</v>
      </c>
      <c r="S31" s="45">
        <f>ROUND(('TE BE'!$AA$47+'TE BF'!$AA$47+'TE CVA'!$AA$47)*(1-CUSTOS!$M$31),2)</f>
        <v>242.91</v>
      </c>
      <c r="T31" s="45">
        <v>0</v>
      </c>
      <c r="U31" s="45">
        <f ca="1">ROUND(('TUSD BE'!$AM$83)*(1-CUSTOS!$M$31),2)</f>
        <v>268.66000000000003</v>
      </c>
      <c r="V31" s="45">
        <f>ROUND(('TE BE'!$AA$47)*(1-CUSTOS!$M$31),2)</f>
        <v>267.11</v>
      </c>
    </row>
    <row r="32" spans="1:22" ht="11.25" customHeight="1" x14ac:dyDescent="0.25">
      <c r="A32" s="132"/>
      <c r="B32" s="132"/>
      <c r="C32" s="132"/>
      <c r="D32" s="91" t="s">
        <v>1237</v>
      </c>
      <c r="E32" s="45">
        <v>0</v>
      </c>
      <c r="F32" s="45">
        <f ca="1">ROUND('TUSD BE'!$AM$34+'TUSD BF'!$AM$34+'TUSD CVA'!$AM$34,2)</f>
        <v>87.52</v>
      </c>
      <c r="G32" s="45">
        <f>ROUND('TE BE'!$AA$11+'TE BF'!$AA$11+'TE CVA'!$AA$11,2)</f>
        <v>230.83</v>
      </c>
      <c r="H32" s="45">
        <v>0</v>
      </c>
      <c r="I32" s="45">
        <f ca="1">ROUND('TUSD BE'!$AM$34,2)</f>
        <v>85.95</v>
      </c>
      <c r="J32" s="45">
        <f>ROUND('TE BE'!$AA$11,2)</f>
        <v>253.89</v>
      </c>
      <c r="L32" s="135" t="s">
        <v>49</v>
      </c>
      <c r="M32" s="135" t="s">
        <v>1247</v>
      </c>
      <c r="N32" s="135" t="s">
        <v>1252</v>
      </c>
      <c r="O32" s="91" t="s">
        <v>1253</v>
      </c>
      <c r="P32" s="91" t="s">
        <v>1239</v>
      </c>
      <c r="Q32" s="45">
        <v>0</v>
      </c>
      <c r="R32" s="45">
        <f ca="1">ROUND(('TUSD BE'!$AM$85+'TUSD BF'!$AM$85+'TUSD CVA'!$AM$85),2)</f>
        <v>149.53</v>
      </c>
      <c r="S32" s="45">
        <f>ROUND(('TE BE'!$AA$49+'TE BF'!$AA$49+'TE CVA'!$AA$49),2)</f>
        <v>133.6</v>
      </c>
      <c r="T32" s="45">
        <v>0</v>
      </c>
      <c r="U32" s="45">
        <f ca="1">ROUND(('TUSD BE'!$AM$85),2)</f>
        <v>147.76</v>
      </c>
      <c r="V32" s="45">
        <f>ROUND(('TE BE'!$AA$49),2)</f>
        <v>146.91</v>
      </c>
    </row>
    <row r="33" spans="1:22" ht="11.25" customHeight="1" x14ac:dyDescent="0.25">
      <c r="A33" s="132"/>
      <c r="B33" s="133" t="s">
        <v>1240</v>
      </c>
      <c r="C33" s="133" t="s">
        <v>25</v>
      </c>
      <c r="D33" s="91" t="s">
        <v>1239</v>
      </c>
      <c r="E33" s="45">
        <f ca="1">ROUND('TUSD BE'!$AM$32+'TUSD BF'!$AM$32+'TUSD CVA'!$AM$32,2)</f>
        <v>11.45</v>
      </c>
      <c r="F33" s="45">
        <v>0</v>
      </c>
      <c r="G33" s="45">
        <v>0</v>
      </c>
      <c r="H33" s="45">
        <f ca="1">ROUND('TUSD BE'!$AM$32,2)</f>
        <v>11.11</v>
      </c>
      <c r="I33" s="45">
        <v>0</v>
      </c>
      <c r="J33" s="45">
        <v>0</v>
      </c>
      <c r="L33" s="137"/>
      <c r="M33" s="137"/>
      <c r="N33" s="137"/>
      <c r="O33" s="91" t="s">
        <v>1254</v>
      </c>
      <c r="P33" s="91" t="s">
        <v>1239</v>
      </c>
      <c r="Q33" s="45">
        <v>0</v>
      </c>
      <c r="R33" s="45">
        <f ca="1">ROUND(('TUSD BE'!$AM$86+'TUSD BF'!$AM$86+'TUSD CVA'!$AM$86),2)</f>
        <v>163.12</v>
      </c>
      <c r="S33" s="45">
        <f>ROUND(('TE BE'!$AA$50+'TE BF'!$AA$50+'TE CVA'!$AA$50),2)</f>
        <v>145.74</v>
      </c>
      <c r="T33" s="45">
        <v>0</v>
      </c>
      <c r="U33" s="45">
        <f ca="1">ROUND(('TUSD BE'!$AM$86),2)</f>
        <v>161.19</v>
      </c>
      <c r="V33" s="45">
        <f>ROUND(('TE BE'!$AA$50),2)</f>
        <v>160.27000000000001</v>
      </c>
    </row>
    <row r="34" spans="1:22" ht="11.25" customHeight="1" x14ac:dyDescent="0.25">
      <c r="A34" s="132"/>
      <c r="B34" s="132"/>
      <c r="C34" s="132"/>
      <c r="D34" s="91" t="s">
        <v>1236</v>
      </c>
      <c r="E34" s="45">
        <v>0</v>
      </c>
      <c r="F34" s="45">
        <f ca="1">ROUND('TUSD BE'!$AM$35+'TUSD BF'!$AM$35+'TUSD CVA'!$AM$35,2)</f>
        <v>681.67</v>
      </c>
      <c r="G34" s="45">
        <v>0</v>
      </c>
      <c r="H34" s="45">
        <v>0</v>
      </c>
      <c r="I34" s="45">
        <f ca="1">ROUND('TUSD BE'!$AM$35,2)</f>
        <v>671.43</v>
      </c>
      <c r="J34" s="45">
        <v>0</v>
      </c>
      <c r="L34" s="135" t="s">
        <v>97</v>
      </c>
      <c r="M34" s="135" t="s">
        <v>66</v>
      </c>
      <c r="N34" s="91" t="s">
        <v>98</v>
      </c>
      <c r="O34" s="91" t="s">
        <v>1239</v>
      </c>
      <c r="P34" s="91" t="s">
        <v>1239</v>
      </c>
      <c r="Q34" s="45">
        <f ca="1">ROUND(('TUSD BE'!$AM$50+'TUSD BF'!$AM$50+'TUSD CVA'!$AM$50),2)</f>
        <v>2.08</v>
      </c>
      <c r="R34" s="45">
        <v>0</v>
      </c>
      <c r="S34" s="45">
        <v>0</v>
      </c>
      <c r="T34" s="45">
        <f ca="1">ROUND(('TUSD BE'!$AM$50),2)</f>
        <v>2.08</v>
      </c>
      <c r="U34" s="45">
        <v>0</v>
      </c>
      <c r="V34" s="45">
        <v>0</v>
      </c>
    </row>
    <row r="35" spans="1:22" ht="11.25" customHeight="1" x14ac:dyDescent="0.25">
      <c r="A35" s="132"/>
      <c r="B35" s="132"/>
      <c r="C35" s="132"/>
      <c r="D35" s="91" t="s">
        <v>1237</v>
      </c>
      <c r="E35" s="45">
        <v>0</v>
      </c>
      <c r="F35" s="45">
        <f ca="1">ROUND('TUSD BE'!$AM$36+'TUSD BF'!$AM$36+'TUSD CVA'!$AM$36,2)</f>
        <v>21.46</v>
      </c>
      <c r="G35" s="45">
        <v>0</v>
      </c>
      <c r="H35" s="45">
        <v>0</v>
      </c>
      <c r="I35" s="45">
        <f ca="1">ROUND('TUSD BE'!$AM$36,2)</f>
        <v>23.24</v>
      </c>
      <c r="J35" s="45">
        <v>0</v>
      </c>
      <c r="L35" s="137"/>
      <c r="M35" s="137"/>
      <c r="N35" s="91" t="s">
        <v>99</v>
      </c>
      <c r="O35" s="91" t="s">
        <v>1239</v>
      </c>
      <c r="P35" s="91" t="s">
        <v>1239</v>
      </c>
      <c r="Q35" s="45">
        <f ca="1">ROUND(('TUSD BE'!$AM$51+'TUSD BF'!$AM$51+'TUSD CVA'!$AM$51),2)</f>
        <v>7.66</v>
      </c>
      <c r="R35" s="45">
        <v>0</v>
      </c>
      <c r="S35" s="45">
        <v>0</v>
      </c>
      <c r="T35" s="45">
        <f ca="1">ROUND(('TUSD BE'!$AM$51),2)</f>
        <v>7.66</v>
      </c>
      <c r="U35" s="45">
        <v>0</v>
      </c>
      <c r="V35" s="45">
        <v>0</v>
      </c>
    </row>
    <row r="36" spans="1:22" ht="11.25" customHeight="1" x14ac:dyDescent="0.25">
      <c r="A36" s="132"/>
      <c r="B36" s="91" t="s">
        <v>64</v>
      </c>
      <c r="C36" s="91" t="s">
        <v>25</v>
      </c>
      <c r="D36" s="91" t="s">
        <v>1239</v>
      </c>
      <c r="E36" s="45">
        <f ca="1">ROUND('TUSD BE'!$AM$31+'TUSD BF'!$AM$31+'TUSD CVA'!$AM$31,2)</f>
        <v>3.71</v>
      </c>
      <c r="F36" s="45">
        <v>0</v>
      </c>
      <c r="G36" s="45">
        <v>0</v>
      </c>
      <c r="H36" s="45">
        <f ca="1">ROUND('TUSD BE'!$AM$31,2)</f>
        <v>3.71</v>
      </c>
      <c r="I36" s="45">
        <v>0</v>
      </c>
      <c r="J36" s="45">
        <v>0</v>
      </c>
    </row>
    <row r="37" spans="1:22" ht="11.25" customHeight="1" x14ac:dyDescent="0.25">
      <c r="A37" s="133" t="s">
        <v>44</v>
      </c>
      <c r="B37" s="133" t="s">
        <v>41</v>
      </c>
      <c r="C37" s="133" t="s">
        <v>25</v>
      </c>
      <c r="D37" s="91" t="s">
        <v>1236</v>
      </c>
      <c r="E37" s="45">
        <f ca="1">ROUND('TUSD BE'!$AM$39+'TUSD BF'!$AM$39+'TUSD CVA'!$AM$39,2)</f>
        <v>49.09</v>
      </c>
      <c r="F37" s="45">
        <f ca="1">ROUND('TUSD BE'!$AM$41+'TUSD BF'!$AM$41+'TUSD CVA'!$AM$41,2)</f>
        <v>112.98</v>
      </c>
      <c r="G37" s="45">
        <f>ROUND('TE BE'!$AA$13+'TE BF'!$AA$13+'TE CVA'!$AA$13,2)</f>
        <v>375.69</v>
      </c>
      <c r="H37" s="45">
        <f ca="1">ROUND('TUSD BE'!$AM$39,2)</f>
        <v>48.53</v>
      </c>
      <c r="I37" s="45">
        <f ca="1">ROUND('TUSD BE'!$AM$41,2)</f>
        <v>112.45</v>
      </c>
      <c r="J37" s="45">
        <f>ROUND('TE BE'!$AA$13,2)</f>
        <v>412.59</v>
      </c>
    </row>
    <row r="38" spans="1:22" ht="11.25" customHeight="1" x14ac:dyDescent="0.25">
      <c r="A38" s="132"/>
      <c r="B38" s="132"/>
      <c r="C38" s="132"/>
      <c r="D38" s="91" t="s">
        <v>1237</v>
      </c>
      <c r="E38" s="45">
        <f ca="1">ROUND('TUSD BE'!$AM$40+'TUSD BF'!$AM$40+'TUSD CVA'!$AM$40,2)</f>
        <v>16</v>
      </c>
      <c r="F38" s="45">
        <f ca="1">ROUND('TUSD BE'!$AM$41+'TUSD BF'!$AM$41+'TUSD CVA'!$AM$41,2)</f>
        <v>112.98</v>
      </c>
      <c r="G38" s="45">
        <f>ROUND('TE BE'!$AA$14+'TE BF'!$AA$14+'TE CVA'!$AA$14,2)</f>
        <v>230.83</v>
      </c>
      <c r="H38" s="45">
        <f ca="1">ROUND('TUSD BE'!$AM$40,2)</f>
        <v>15.52</v>
      </c>
      <c r="I38" s="45">
        <f ca="1">ROUND('TUSD BE'!$AM$41,2)</f>
        <v>112.45</v>
      </c>
      <c r="J38" s="45">
        <f>ROUND('TE BE'!$AA$14,2)</f>
        <v>253.89</v>
      </c>
    </row>
    <row r="39" spans="1:22" ht="11.25" customHeight="1" x14ac:dyDescent="0.25">
      <c r="A39" s="132"/>
      <c r="B39" s="133" t="s">
        <v>1238</v>
      </c>
      <c r="C39" s="133" t="s">
        <v>25</v>
      </c>
      <c r="D39" s="91" t="s">
        <v>1236</v>
      </c>
      <c r="E39" s="45">
        <f ca="1">ROUND('TUSD BE'!$AM$39+'TUSD BF'!$AM$39+'TUSD CVA'!$AM$39,2)</f>
        <v>49.09</v>
      </c>
      <c r="F39" s="45">
        <f ca="1">ROUND('TUSD BE'!$AM$42+'TUSD BF'!$AM$42+'TUSD CVA'!$AM$42,2)</f>
        <v>39.619999999999997</v>
      </c>
      <c r="G39" s="45">
        <v>0</v>
      </c>
      <c r="H39" s="45">
        <f ca="1">ROUND('TUSD BE'!$AM$39,2)</f>
        <v>48.53</v>
      </c>
      <c r="I39" s="45">
        <f ca="1">ROUND('TUSD BE'!$AM$42,2)</f>
        <v>42.97</v>
      </c>
      <c r="J39" s="45">
        <v>0</v>
      </c>
    </row>
    <row r="40" spans="1:22" ht="11.25" customHeight="1" x14ac:dyDescent="0.25">
      <c r="A40" s="132"/>
      <c r="B40" s="132"/>
      <c r="C40" s="132"/>
      <c r="D40" s="91" t="s">
        <v>1237</v>
      </c>
      <c r="E40" s="45">
        <f ca="1">ROUND('TUSD BE'!$AM$40+'TUSD BF'!$AM$40+'TUSD CVA'!$AM$40,2)</f>
        <v>16</v>
      </c>
      <c r="F40" s="45">
        <f ca="1">ROUND('TUSD BE'!$AM$42+'TUSD BF'!$AM$42+'TUSD CVA'!$AM$42,2)</f>
        <v>39.619999999999997</v>
      </c>
      <c r="G40" s="45">
        <v>0</v>
      </c>
      <c r="H40" s="45">
        <f ca="1">ROUND('TUSD BE'!$AM$40,2)</f>
        <v>15.52</v>
      </c>
      <c r="I40" s="45">
        <f ca="1">ROUND('TUSD BE'!$AM$42,2)</f>
        <v>42.97</v>
      </c>
      <c r="J40" s="45">
        <v>0</v>
      </c>
    </row>
    <row r="41" spans="1:22" ht="11.25" customHeight="1" x14ac:dyDescent="0.25">
      <c r="A41" s="132"/>
      <c r="B41" s="133" t="s">
        <v>34</v>
      </c>
      <c r="C41" s="133" t="s">
        <v>25</v>
      </c>
      <c r="D41" s="91" t="s">
        <v>1239</v>
      </c>
      <c r="E41" s="45">
        <f ca="1">ROUND('TUSD BE'!$AM$43+'TUSD BF'!$AM$43+'TUSD CVA'!$AM$43,2)</f>
        <v>16</v>
      </c>
      <c r="F41" s="45">
        <v>0</v>
      </c>
      <c r="G41" s="45">
        <v>0</v>
      </c>
      <c r="H41" s="45">
        <f ca="1">ROUND('TUSD BE'!$AM$43,2)</f>
        <v>15.52</v>
      </c>
      <c r="I41" s="45">
        <v>0</v>
      </c>
      <c r="J41" s="45">
        <v>0</v>
      </c>
    </row>
    <row r="42" spans="1:22" ht="11.25" customHeight="1" x14ac:dyDescent="0.25">
      <c r="A42" s="132"/>
      <c r="B42" s="132"/>
      <c r="C42" s="132"/>
      <c r="D42" s="91" t="s">
        <v>1236</v>
      </c>
      <c r="E42" s="45">
        <v>0</v>
      </c>
      <c r="F42" s="45">
        <f ca="1">ROUND('TUSD BE'!$AM$44+'TUSD BF'!$AM$44+'TUSD CVA'!$AM$44,2)</f>
        <v>1305.55</v>
      </c>
      <c r="G42" s="45">
        <f>ROUND('TE BE'!$AA$13+'TE BF'!$AA$13+'TE CVA'!$AA$13,2)</f>
        <v>375.69</v>
      </c>
      <c r="H42" s="45">
        <v>0</v>
      </c>
      <c r="I42" s="45">
        <f ca="1">ROUND('TUSD BE'!$AM$44,2)</f>
        <v>1291.6199999999999</v>
      </c>
      <c r="J42" s="45">
        <f>ROUND('TE BE'!$AA$13,2)</f>
        <v>412.59</v>
      </c>
    </row>
    <row r="43" spans="1:22" ht="11.25" customHeight="1" x14ac:dyDescent="0.25">
      <c r="A43" s="132"/>
      <c r="B43" s="132"/>
      <c r="C43" s="132"/>
      <c r="D43" s="91" t="s">
        <v>1237</v>
      </c>
      <c r="E43" s="45">
        <v>0</v>
      </c>
      <c r="F43" s="45">
        <f ca="1">ROUND('TUSD BE'!$AM$45+'TUSD BF'!$AM$45+'TUSD CVA'!$AM$45,2)</f>
        <v>112.98</v>
      </c>
      <c r="G43" s="45">
        <f>ROUND('TE BE'!$AA$14+'TE BF'!$AA$14+'TE CVA'!$AA$14,2)</f>
        <v>230.83</v>
      </c>
      <c r="H43" s="45">
        <v>0</v>
      </c>
      <c r="I43" s="45">
        <f ca="1">ROUND('TUSD BE'!$AM$45,2)</f>
        <v>112.45</v>
      </c>
      <c r="J43" s="45">
        <f>ROUND('TE BE'!$AA$14,2)</f>
        <v>253.89</v>
      </c>
    </row>
    <row r="44" spans="1:22" ht="11.25" customHeight="1" x14ac:dyDescent="0.25">
      <c r="A44" s="132"/>
      <c r="B44" s="133" t="s">
        <v>1240</v>
      </c>
      <c r="C44" s="133" t="s">
        <v>25</v>
      </c>
      <c r="D44" s="91" t="s">
        <v>1239</v>
      </c>
      <c r="E44" s="45">
        <f ca="1">ROUND('TUSD BE'!$AM$43+'TUSD BF'!$AM$43+'TUSD CVA'!$AM$43,2)</f>
        <v>16</v>
      </c>
      <c r="F44" s="45">
        <v>0</v>
      </c>
      <c r="G44" s="45">
        <v>0</v>
      </c>
      <c r="H44" s="45">
        <f ca="1">ROUND('TUSD BE'!$AM$43,2)</f>
        <v>15.52</v>
      </c>
      <c r="I44" s="45">
        <v>0</v>
      </c>
      <c r="J44" s="45">
        <v>0</v>
      </c>
    </row>
    <row r="45" spans="1:22" ht="11.25" customHeight="1" x14ac:dyDescent="0.25">
      <c r="A45" s="132"/>
      <c r="B45" s="132"/>
      <c r="C45" s="132"/>
      <c r="D45" s="91" t="s">
        <v>1236</v>
      </c>
      <c r="E45" s="45">
        <v>0</v>
      </c>
      <c r="F45" s="45">
        <f ca="1">ROUND('TUSD BE'!$AM$46+'TUSD BF'!$AM$46+'TUSD CVA'!$AM$46,2)</f>
        <v>1232.19</v>
      </c>
      <c r="G45" s="45">
        <v>0</v>
      </c>
      <c r="H45" s="45">
        <v>0</v>
      </c>
      <c r="I45" s="45">
        <f ca="1">ROUND('TUSD BE'!$AM$46,2)</f>
        <v>1222.1400000000001</v>
      </c>
      <c r="J45" s="45">
        <v>0</v>
      </c>
    </row>
    <row r="46" spans="1:22" ht="11.25" customHeight="1" x14ac:dyDescent="0.25">
      <c r="A46" s="132"/>
      <c r="B46" s="132"/>
      <c r="C46" s="132"/>
      <c r="D46" s="91" t="s">
        <v>1237</v>
      </c>
      <c r="E46" s="45">
        <v>0</v>
      </c>
      <c r="F46" s="45">
        <f ca="1">ROUND('TUSD BE'!$AM$47+'TUSD BF'!$AM$47+'TUSD CVA'!$AM$47,2)</f>
        <v>39.619999999999997</v>
      </c>
      <c r="G46" s="45">
        <v>0</v>
      </c>
      <c r="H46" s="45">
        <v>0</v>
      </c>
      <c r="I46" s="45">
        <f ca="1">ROUND('TUSD BE'!$AM$47,2)</f>
        <v>42.97</v>
      </c>
      <c r="J46" s="45">
        <v>0</v>
      </c>
    </row>
  </sheetData>
  <mergeCells count="77">
    <mergeCell ref="N27:N29"/>
    <mergeCell ref="N32:N33"/>
    <mergeCell ref="O5:O7"/>
    <mergeCell ref="O12:O14"/>
    <mergeCell ref="O17:O19"/>
    <mergeCell ref="O22:O24"/>
    <mergeCell ref="O27:O29"/>
    <mergeCell ref="L32:L33"/>
    <mergeCell ref="L34:L35"/>
    <mergeCell ref="M5:M7"/>
    <mergeCell ref="M12:M14"/>
    <mergeCell ref="M17:M19"/>
    <mergeCell ref="M22:M24"/>
    <mergeCell ref="M27:M29"/>
    <mergeCell ref="M32:M33"/>
    <mergeCell ref="M34:M35"/>
    <mergeCell ref="L27:L31"/>
    <mergeCell ref="Q3:R3"/>
    <mergeCell ref="T2:V2"/>
    <mergeCell ref="T3:U3"/>
    <mergeCell ref="L5:L11"/>
    <mergeCell ref="L12:L26"/>
    <mergeCell ref="N5:N7"/>
    <mergeCell ref="N12:N14"/>
    <mergeCell ref="N17:N19"/>
    <mergeCell ref="N22:N24"/>
    <mergeCell ref="C39:C40"/>
    <mergeCell ref="C41:C43"/>
    <mergeCell ref="C44:C46"/>
    <mergeCell ref="L1:V1"/>
    <mergeCell ref="L2:L4"/>
    <mergeCell ref="M2:M4"/>
    <mergeCell ref="N2:N4"/>
    <mergeCell ref="O2:O4"/>
    <mergeCell ref="P2:P4"/>
    <mergeCell ref="Q2:S2"/>
    <mergeCell ref="C22:C24"/>
    <mergeCell ref="C26:C27"/>
    <mergeCell ref="C28:C29"/>
    <mergeCell ref="C30:C32"/>
    <mergeCell ref="C33:C35"/>
    <mergeCell ref="C37:C38"/>
    <mergeCell ref="C19:C21"/>
    <mergeCell ref="B19:B21"/>
    <mergeCell ref="B22:B24"/>
    <mergeCell ref="B26:B27"/>
    <mergeCell ref="B28:B29"/>
    <mergeCell ref="C5:C6"/>
    <mergeCell ref="C7:C8"/>
    <mergeCell ref="C9:C11"/>
    <mergeCell ref="C15:C16"/>
    <mergeCell ref="C17:C18"/>
    <mergeCell ref="A5:A14"/>
    <mergeCell ref="A15:A25"/>
    <mergeCell ref="A26:A36"/>
    <mergeCell ref="A37:A46"/>
    <mergeCell ref="B5:B6"/>
    <mergeCell ref="B7:B8"/>
    <mergeCell ref="B9:B11"/>
    <mergeCell ref="B12:B14"/>
    <mergeCell ref="B15:B16"/>
    <mergeCell ref="B17:B18"/>
    <mergeCell ref="B37:B38"/>
    <mergeCell ref="B39:B40"/>
    <mergeCell ref="B41:B43"/>
    <mergeCell ref="B44:B46"/>
    <mergeCell ref="B30:B32"/>
    <mergeCell ref="B33:B35"/>
    <mergeCell ref="A1:J1"/>
    <mergeCell ref="A2:A4"/>
    <mergeCell ref="B2:B4"/>
    <mergeCell ref="C2:C4"/>
    <mergeCell ref="D2:D4"/>
    <mergeCell ref="E2:G2"/>
    <mergeCell ref="E3:F3"/>
    <mergeCell ref="H2:J2"/>
    <mergeCell ref="H3:I3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F46EB-AF01-42DD-B83C-5BE5A8C74F9C}">
  <dimension ref="A1:AN2285"/>
  <sheetViews>
    <sheetView showGridLines="0" workbookViewId="0">
      <selection sqref="A1:O2285 Q1:AJ13"/>
    </sheetView>
  </sheetViews>
  <sheetFormatPr defaultColWidth="8.85546875" defaultRowHeight="11.25" customHeight="1" x14ac:dyDescent="0.25"/>
  <cols>
    <col min="1" max="1" width="19.140625" style="4" bestFit="1" customWidth="1"/>
    <col min="2" max="2" width="8.7109375" style="4" bestFit="1" customWidth="1"/>
    <col min="3" max="3" width="10.285156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7" width="13.7109375" style="4" bestFit="1" customWidth="1"/>
    <col min="8" max="8" width="10.28515625" style="4" bestFit="1" customWidth="1"/>
    <col min="9" max="9" width="8.7109375" style="5" bestFit="1" customWidth="1"/>
    <col min="10" max="10" width="10.140625" style="6" bestFit="1" customWidth="1"/>
    <col min="11" max="12" width="10.85546875" style="6" bestFit="1" customWidth="1"/>
    <col min="13" max="13" width="13.7109375" style="6" bestFit="1" customWidth="1"/>
    <col min="14" max="14" width="14.140625" style="6" bestFit="1" customWidth="1"/>
    <col min="15" max="15" width="12.85546875" style="6" bestFit="1" customWidth="1"/>
    <col min="16" max="16" width="7.85546875" style="6" bestFit="1" customWidth="1"/>
    <col min="17" max="17" width="9.28515625" style="4" bestFit="1" customWidth="1"/>
    <col min="18" max="18" width="18.85546875" style="4" bestFit="1" customWidth="1"/>
    <col min="19" max="19" width="20.28515625" style="4" bestFit="1" customWidth="1"/>
    <col min="20" max="20" width="18.140625" style="4" bestFit="1" customWidth="1"/>
    <col min="21" max="21" width="17" style="4" bestFit="1" customWidth="1"/>
    <col min="22" max="22" width="18.5703125" style="4" bestFit="1" customWidth="1"/>
    <col min="23" max="23" width="16.28515625" style="4" bestFit="1" customWidth="1"/>
    <col min="24" max="24" width="16.7109375" style="4" bestFit="1" customWidth="1"/>
    <col min="25" max="25" width="18.28515625" style="4" bestFit="1" customWidth="1"/>
    <col min="26" max="26" width="16" style="4" bestFit="1" customWidth="1"/>
    <col min="27" max="27" width="16.85546875" style="4" bestFit="1" customWidth="1"/>
    <col min="28" max="28" width="18.42578125" style="4" bestFit="1" customWidth="1"/>
    <col min="29" max="29" width="16.140625" style="4" bestFit="1" customWidth="1"/>
    <col min="30" max="30" width="17.28515625" style="4" bestFit="1" customWidth="1"/>
    <col min="31" max="31" width="21.5703125" style="4" bestFit="1" customWidth="1"/>
    <col min="32" max="32" width="11.42578125" style="4" bestFit="1" customWidth="1"/>
    <col min="33" max="33" width="12.85546875" style="4" bestFit="1" customWidth="1"/>
    <col min="34" max="34" width="10.7109375" style="4" bestFit="1" customWidth="1"/>
    <col min="35" max="35" width="11.7109375" style="4" bestFit="1" customWidth="1"/>
    <col min="36" max="36" width="16" style="4" bestFit="1" customWidth="1"/>
    <col min="37" max="37" width="8.85546875" style="4"/>
    <col min="38" max="38" width="8.7109375" style="4" bestFit="1" customWidth="1"/>
    <col min="39" max="39" width="5.5703125" style="4" bestFit="1" customWidth="1"/>
    <col min="40" max="40" width="14.7109375" style="4" bestFit="1" customWidth="1"/>
    <col min="41" max="16384" width="8.85546875" style="4"/>
  </cols>
  <sheetData>
    <row r="1" spans="1:40" s="1" customFormat="1" ht="11.25" customHeight="1" x14ac:dyDescent="0.25">
      <c r="A1" s="52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2" t="s">
        <v>6</v>
      </c>
      <c r="H1" s="52" t="s">
        <v>7</v>
      </c>
      <c r="I1" s="72" t="s">
        <v>8</v>
      </c>
      <c r="J1" s="84" t="s">
        <v>1202</v>
      </c>
      <c r="K1" s="84" t="s">
        <v>1203</v>
      </c>
      <c r="L1" s="84" t="s">
        <v>1204</v>
      </c>
      <c r="M1" s="84" t="s">
        <v>1205</v>
      </c>
      <c r="N1" s="84" t="s">
        <v>1206</v>
      </c>
      <c r="O1" s="84" t="s">
        <v>1207</v>
      </c>
      <c r="P1" s="83"/>
      <c r="Q1" s="129" t="s">
        <v>1208</v>
      </c>
      <c r="R1" s="134"/>
      <c r="S1" s="134"/>
      <c r="T1" s="134"/>
      <c r="U1" s="134"/>
      <c r="V1" s="134"/>
      <c r="W1" s="134"/>
      <c r="X1" s="134"/>
      <c r="Y1" s="134"/>
      <c r="Z1" s="134"/>
      <c r="AA1" s="134"/>
      <c r="AB1" s="134"/>
      <c r="AC1" s="134"/>
      <c r="AD1" s="134"/>
      <c r="AE1" s="134"/>
      <c r="AF1" s="134"/>
      <c r="AG1" s="134"/>
      <c r="AH1" s="134"/>
      <c r="AI1" s="134"/>
      <c r="AJ1" s="134"/>
      <c r="AL1" s="52" t="s">
        <v>1229</v>
      </c>
      <c r="AM1" s="52" t="s">
        <v>75</v>
      </c>
      <c r="AN1" s="52" t="s">
        <v>1230</v>
      </c>
    </row>
    <row r="2" spans="1:40" ht="11.25" customHeight="1" x14ac:dyDescent="0.2">
      <c r="A2" s="53" t="s">
        <v>21</v>
      </c>
      <c r="B2" s="53" t="s">
        <v>43</v>
      </c>
      <c r="C2" s="53" t="s">
        <v>41</v>
      </c>
      <c r="D2" s="53" t="s">
        <v>42</v>
      </c>
      <c r="E2" s="53" t="s">
        <v>25</v>
      </c>
      <c r="F2" s="53" t="s">
        <v>25</v>
      </c>
      <c r="G2" s="53" t="s">
        <v>25</v>
      </c>
      <c r="H2" s="53" t="s">
        <v>36</v>
      </c>
      <c r="I2" s="73">
        <v>43739</v>
      </c>
      <c r="J2" s="74">
        <f ca="1">EFEITO!$J$2*EFEITO!$Y$2</f>
        <v>7454.1345216898753</v>
      </c>
      <c r="K2" s="74">
        <f ca="1">EFEITO!$L$2*EFEITO!$Z$2</f>
        <v>0</v>
      </c>
      <c r="L2" s="74">
        <f>EFEITO!$N$2*EFEITO!$AA$2</f>
        <v>0</v>
      </c>
      <c r="M2" s="74">
        <f ca="1">$J$2-EFEITO!$K$2*EFEITO!$Y$2</f>
        <v>0</v>
      </c>
      <c r="N2" s="74">
        <f ca="1">$K$2-EFEITO!$M$2*EFEITO!$Z$2</f>
        <v>0</v>
      </c>
      <c r="O2" s="74">
        <f>$L$2-EFEITO!$O$2*EFEITO!$AA$2</f>
        <v>0</v>
      </c>
      <c r="P2" s="57"/>
      <c r="Q2" s="44" t="s">
        <v>78</v>
      </c>
      <c r="R2" s="44" t="s">
        <v>1210</v>
      </c>
      <c r="S2" s="44" t="s">
        <v>1211</v>
      </c>
      <c r="T2" s="44" t="s">
        <v>1212</v>
      </c>
      <c r="U2" s="44" t="s">
        <v>1213</v>
      </c>
      <c r="V2" s="44" t="s">
        <v>1214</v>
      </c>
      <c r="W2" s="44" t="s">
        <v>1215</v>
      </c>
      <c r="X2" s="75" t="s">
        <v>1216</v>
      </c>
      <c r="Y2" s="75" t="s">
        <v>1217</v>
      </c>
      <c r="Z2" s="75" t="s">
        <v>1218</v>
      </c>
      <c r="AA2" s="75" t="s">
        <v>1219</v>
      </c>
      <c r="AB2" s="75" t="s">
        <v>1220</v>
      </c>
      <c r="AC2" s="75" t="s">
        <v>1221</v>
      </c>
      <c r="AD2" s="75" t="s">
        <v>1222</v>
      </c>
      <c r="AE2" s="75" t="s">
        <v>1223</v>
      </c>
      <c r="AF2" s="75" t="s">
        <v>1224</v>
      </c>
      <c r="AG2" s="75" t="s">
        <v>1225</v>
      </c>
      <c r="AH2" s="75" t="s">
        <v>1226</v>
      </c>
      <c r="AI2" s="75" t="s">
        <v>1227</v>
      </c>
      <c r="AJ2" s="75" t="s">
        <v>1228</v>
      </c>
      <c r="AL2" s="53"/>
      <c r="AM2" s="53"/>
      <c r="AN2" s="53"/>
    </row>
    <row r="3" spans="1:40" ht="11.25" customHeight="1" x14ac:dyDescent="0.2">
      <c r="A3" s="53" t="s">
        <v>21</v>
      </c>
      <c r="B3" s="53" t="s">
        <v>43</v>
      </c>
      <c r="C3" s="53" t="s">
        <v>41</v>
      </c>
      <c r="D3" s="53" t="s">
        <v>42</v>
      </c>
      <c r="E3" s="53" t="s">
        <v>25</v>
      </c>
      <c r="F3" s="53" t="s">
        <v>25</v>
      </c>
      <c r="G3" s="53" t="s">
        <v>25</v>
      </c>
      <c r="H3" s="53" t="s">
        <v>36</v>
      </c>
      <c r="I3" s="73">
        <v>43770</v>
      </c>
      <c r="J3" s="74">
        <f ca="1">EFEITO!$J$3*EFEITO!$Y$3</f>
        <v>7454.1345216898753</v>
      </c>
      <c r="K3" s="74">
        <f ca="1">EFEITO!$L$3*EFEITO!$Z$3</f>
        <v>0</v>
      </c>
      <c r="L3" s="74">
        <f>EFEITO!$N$3*EFEITO!$AA$3</f>
        <v>0</v>
      </c>
      <c r="M3" s="74">
        <f ca="1">$J$3-EFEITO!$K$3*EFEITO!$Y$3</f>
        <v>0</v>
      </c>
      <c r="N3" s="74">
        <f ca="1">$K$3-EFEITO!$M$3*EFEITO!$Z$3</f>
        <v>0</v>
      </c>
      <c r="O3" s="74">
        <f>$L$3-EFEITO!$O$3*EFEITO!$AA$3</f>
        <v>0</v>
      </c>
      <c r="P3" s="57"/>
      <c r="Q3" s="74" t="s">
        <v>1209</v>
      </c>
      <c r="R3" s="74">
        <f>SUMIF($B$2:$B$2285,$Q$3,$J$2:$J$2285)</f>
        <v>0</v>
      </c>
      <c r="S3" s="74">
        <f>SUMIF($B$2:$B$2285,$Q$3,$K$2:$K$2285)</f>
        <v>0</v>
      </c>
      <c r="T3" s="74">
        <f>SUMIF($B$2:$B$2285,$Q$3,$L$2:$L$2285)</f>
        <v>0</v>
      </c>
      <c r="U3" s="74">
        <f>SUMIF($B$2:$B$2285,$Q$3,$M$2:$M$2285)</f>
        <v>0</v>
      </c>
      <c r="V3" s="74">
        <f>SUMIF($B$2:$B$2285,$Q$3,$N$2:$N$2285)</f>
        <v>0</v>
      </c>
      <c r="W3" s="74">
        <f>SUMIF($B$2:$B$2285,$Q$3,$O$2:$O$2285)</f>
        <v>0</v>
      </c>
      <c r="X3" s="54">
        <f>$R$3-$U$3</f>
        <v>0</v>
      </c>
      <c r="Y3" s="54">
        <f>$S$3-$V$3</f>
        <v>0</v>
      </c>
      <c r="Z3" s="54">
        <f>$T$3-$W$3</f>
        <v>0</v>
      </c>
      <c r="AA3" s="54">
        <f>SUMIF(EFEITO!$B$2:$B$2285,$Q$3,EFEITO!$AE$2:$AE$2285)</f>
        <v>0</v>
      </c>
      <c r="AB3" s="54">
        <f>SUMIF(EFEITO!$B$2:$B$2285,$Q$3,EFEITO!$AF$2:$AF$2285)</f>
        <v>0</v>
      </c>
      <c r="AC3" s="54">
        <f>SUMIF(EFEITO!$B$2:$B$2285,$Q$3,EFEITO!$AG$2:$AH$2285)</f>
        <v>0</v>
      </c>
      <c r="AD3" s="54">
        <f>SUMIF(SUBSIDIO!$B$2:$B$2285,$Q$3,SUBSIDIO!$AD$2:$AD$2285)</f>
        <v>0</v>
      </c>
      <c r="AE3" s="54">
        <f>SUMIF(SUBSIDIO!$B$2:$B$2285,$Q$3,SUBSIDIO!$AE$2:$AE$2285)</f>
        <v>0</v>
      </c>
      <c r="AF3" s="54" t="str">
        <f>IF(ABS($X$3-$AA$3)&lt;0.01,"OK","ERRO")</f>
        <v>OK</v>
      </c>
      <c r="AG3" s="54" t="str">
        <f>IF(ABS($Y$3-$AB$3)&lt;0.01,"OK","ERRO")</f>
        <v>OK</v>
      </c>
      <c r="AH3" s="54" t="str">
        <f>IF(ABS($Z$3-$AC$3)&lt;0.01,"OK","ERRO")</f>
        <v>OK</v>
      </c>
      <c r="AI3" s="54" t="str">
        <f>IF(ABS($U$3-$AD$3)&lt;0.01,"OK","ERRO")</f>
        <v>OK</v>
      </c>
      <c r="AJ3" s="54" t="str">
        <f>IF(ABS(($V$3+$W$3)-$AE$3)&lt;0.01,"OK","ERRO")</f>
        <v>OK</v>
      </c>
    </row>
    <row r="4" spans="1:40" ht="11.25" customHeight="1" x14ac:dyDescent="0.2">
      <c r="A4" s="53" t="s">
        <v>21</v>
      </c>
      <c r="B4" s="53" t="s">
        <v>43</v>
      </c>
      <c r="C4" s="53" t="s">
        <v>41</v>
      </c>
      <c r="D4" s="53" t="s">
        <v>42</v>
      </c>
      <c r="E4" s="53" t="s">
        <v>25</v>
      </c>
      <c r="F4" s="53" t="s">
        <v>25</v>
      </c>
      <c r="G4" s="53" t="s">
        <v>25</v>
      </c>
      <c r="H4" s="53" t="s">
        <v>36</v>
      </c>
      <c r="I4" s="73">
        <v>43800</v>
      </c>
      <c r="J4" s="74">
        <f ca="1">EFEITO!$J$4*EFEITO!$Y$4</f>
        <v>7454.1345216898753</v>
      </c>
      <c r="K4" s="74">
        <f ca="1">EFEITO!$L$4*EFEITO!$Z$4</f>
        <v>72.409041864228016</v>
      </c>
      <c r="L4" s="74">
        <f>EFEITO!$N$4*EFEITO!$AA$4</f>
        <v>261.07349084196147</v>
      </c>
      <c r="M4" s="74">
        <f ca="1">$J$4-EFEITO!$K$4*EFEITO!$Y$4</f>
        <v>0</v>
      </c>
      <c r="N4" s="74">
        <f ca="1">$K$4-EFEITO!$M$4*EFEITO!$Z$4</f>
        <v>0</v>
      </c>
      <c r="O4" s="74">
        <f>$L$4-EFEITO!$O$4*EFEITO!$AA$4</f>
        <v>0</v>
      </c>
      <c r="P4" s="57"/>
      <c r="Q4" s="74" t="s">
        <v>43</v>
      </c>
      <c r="R4" s="74">
        <f ca="1">SUMIF($B$2:$B$2285,$Q$4,$J$2:$J$2285)</f>
        <v>38503246.4991384</v>
      </c>
      <c r="S4" s="74">
        <f ca="1">SUMIF($B$2:$B$2285,$Q$4,$K$2:$K$2285)</f>
        <v>26116687.782406226</v>
      </c>
      <c r="T4" s="74">
        <f>SUMIF($B$2:$B$2285,$Q$4,$L$2:$L$2285)</f>
        <v>25899480.738836564</v>
      </c>
      <c r="U4" s="74">
        <f ca="1">SUMIF($B$2:$B$2285,$Q$4,$M$2:$M$2285)</f>
        <v>283504.41968554142</v>
      </c>
      <c r="V4" s="74">
        <f ca="1">SUMIF($B$2:$B$2285,$Q$4,$N$2:$N$2285)</f>
        <v>616993.21834309306</v>
      </c>
      <c r="W4" s="74">
        <f>SUMIF($B$2:$B$2285,$Q$4,$O$2:$O$2285)</f>
        <v>2303079.2854101281</v>
      </c>
      <c r="X4" s="54">
        <f ca="1">$R$4-$U$4</f>
        <v>38219742.079452857</v>
      </c>
      <c r="Y4" s="54">
        <f ca="1">$S$4-$V$4</f>
        <v>25499694.564063132</v>
      </c>
      <c r="Z4" s="54">
        <f>$T$4-$W$4</f>
        <v>23596401.453426436</v>
      </c>
      <c r="AA4" s="54">
        <f ca="1">SUMIF(EFEITO!$B$2:$B$2285,$Q$4,EFEITO!$AE$2:$AE$2285)</f>
        <v>38219742.079452842</v>
      </c>
      <c r="AB4" s="54">
        <f ca="1">SUMIF(EFEITO!$B$2:$B$2285,$Q$4,EFEITO!$AF$2:$AF$2285)</f>
        <v>25499694.564063121</v>
      </c>
      <c r="AC4" s="54">
        <f>SUMIF(EFEITO!$B$2:$B$2285,$Q$4,EFEITO!$AG$2:$AH$2285)</f>
        <v>23596401.453426439</v>
      </c>
      <c r="AD4" s="54">
        <f ca="1">SUMIF(SUBSIDIO!$B$2:$B$2285,$Q$4,SUBSIDIO!$AD$2:$AD$2285)</f>
        <v>283504.4196855413</v>
      </c>
      <c r="AE4" s="54">
        <f ca="1">SUMIF(SUBSIDIO!$B$2:$B$2285,$Q$4,SUBSIDIO!$AE$2:$AE$2285)</f>
        <v>2920072.5037532244</v>
      </c>
      <c r="AF4" s="54" t="str">
        <f ca="1">IF(ABS($X$4-$AA$4)&lt;0.01,"OK","ERRO")</f>
        <v>OK</v>
      </c>
      <c r="AG4" s="54" t="str">
        <f ca="1">IF(ABS($Y$4-$AB$4)&lt;0.01,"OK","ERRO")</f>
        <v>OK</v>
      </c>
      <c r="AH4" s="54" t="str">
        <f>IF(ABS($Z$4-$AC$4)&lt;0.01,"OK","ERRO")</f>
        <v>OK</v>
      </c>
      <c r="AI4" s="54" t="str">
        <f ca="1">IF(ABS($U$4-$AD$4)&lt;0.01,"OK","ERRO")</f>
        <v>OK</v>
      </c>
      <c r="AJ4" s="54" t="str">
        <f ca="1">IF(ABS(($V$4+$W$4)-$AE$4)&lt;0.01,"OK","ERRO")</f>
        <v>OK</v>
      </c>
    </row>
    <row r="5" spans="1:40" ht="11.25" customHeight="1" x14ac:dyDescent="0.2">
      <c r="A5" s="53" t="s">
        <v>21</v>
      </c>
      <c r="B5" s="53" t="s">
        <v>43</v>
      </c>
      <c r="C5" s="53" t="s">
        <v>41</v>
      </c>
      <c r="D5" s="53" t="s">
        <v>42</v>
      </c>
      <c r="E5" s="53" t="s">
        <v>25</v>
      </c>
      <c r="F5" s="53" t="s">
        <v>25</v>
      </c>
      <c r="G5" s="53" t="s">
        <v>25</v>
      </c>
      <c r="H5" s="53" t="s">
        <v>36</v>
      </c>
      <c r="I5" s="73">
        <v>43831</v>
      </c>
      <c r="J5" s="74">
        <f ca="1">EFEITO!$J$5*EFEITO!$Y$5</f>
        <v>7454.1345216898753</v>
      </c>
      <c r="K5" s="74">
        <f ca="1">EFEITO!$L$5*EFEITO!$Z$5</f>
        <v>1906.0031700618322</v>
      </c>
      <c r="L5" s="74">
        <f>EFEITO!$N$5*EFEITO!$AA$5</f>
        <v>6872.1652483254065</v>
      </c>
      <c r="M5" s="74">
        <f ca="1">$J$5-EFEITO!$K$5*EFEITO!$Y$5</f>
        <v>0</v>
      </c>
      <c r="N5" s="74">
        <f ca="1">$K$5-EFEITO!$M$5*EFEITO!$Z$5</f>
        <v>0</v>
      </c>
      <c r="O5" s="74">
        <f>$L$5-EFEITO!$O$5*EFEITO!$AA$5</f>
        <v>0</v>
      </c>
      <c r="P5" s="57"/>
      <c r="Q5" s="74" t="s">
        <v>1087</v>
      </c>
      <c r="R5" s="74">
        <f>SUMIF($B$2:$B$2285,$Q$5,$J$2:$J$2285)</f>
        <v>0</v>
      </c>
      <c r="S5" s="74">
        <f>SUMIF($B$2:$B$2285,$Q$5,$K$2:$K$2285)</f>
        <v>0</v>
      </c>
      <c r="T5" s="74">
        <f>SUMIF($B$2:$B$2285,$Q$5,$L$2:$L$2285)</f>
        <v>0</v>
      </c>
      <c r="U5" s="74">
        <f>SUMIF($B$2:$B$2285,$Q$5,$M$2:$M$2285)</f>
        <v>0</v>
      </c>
      <c r="V5" s="74">
        <f>SUMIF($B$2:$B$2285,$Q$5,$N$2:$N$2285)</f>
        <v>0</v>
      </c>
      <c r="W5" s="74">
        <f>SUMIF($B$2:$B$2285,$Q$5,$O$2:$O$2285)</f>
        <v>0</v>
      </c>
      <c r="X5" s="54">
        <f>$R$5-$U$5</f>
        <v>0</v>
      </c>
      <c r="Y5" s="54">
        <f>$S$5-$V$5</f>
        <v>0</v>
      </c>
      <c r="Z5" s="54">
        <f>$T$5-$W$5</f>
        <v>0</v>
      </c>
      <c r="AA5" s="54">
        <f>SUMIF(EFEITO!$B$2:$B$2285,$Q$5,EFEITO!$AE$2:$AE$2285)</f>
        <v>0</v>
      </c>
      <c r="AB5" s="54">
        <f>SUMIF(EFEITO!$B$2:$B$2285,$Q$5,EFEITO!$AF$2:$AF$2285)</f>
        <v>0</v>
      </c>
      <c r="AC5" s="54">
        <f>SUMIF(EFEITO!$B$2:$B$2285,$Q$5,EFEITO!$AG$2:$AH$2285)</f>
        <v>0</v>
      </c>
      <c r="AD5" s="54">
        <f>SUMIF(SUBSIDIO!$B$2:$B$2285,$Q$5,SUBSIDIO!$AD$2:$AD$2285)</f>
        <v>0</v>
      </c>
      <c r="AE5" s="54">
        <f>SUMIF(SUBSIDIO!$B$2:$B$2285,$Q$5,SUBSIDIO!$AE$2:$AE$2285)</f>
        <v>0</v>
      </c>
      <c r="AF5" s="54" t="str">
        <f>IF(ABS($X$5-$AA$5)&lt;0.01,"OK","ERRO")</f>
        <v>OK</v>
      </c>
      <c r="AG5" s="54" t="str">
        <f>IF(ABS($Y$5-$AB$5)&lt;0.01,"OK","ERRO")</f>
        <v>OK</v>
      </c>
      <c r="AH5" s="54" t="str">
        <f>IF(ABS($Z$5-$AC$5)&lt;0.01,"OK","ERRO")</f>
        <v>OK</v>
      </c>
      <c r="AI5" s="54" t="str">
        <f>IF(ABS($U$5-$AD$5)&lt;0.01,"OK","ERRO")</f>
        <v>OK</v>
      </c>
      <c r="AJ5" s="54" t="str">
        <f>IF(ABS(($V$5+$W$5)-$AE$5)&lt;0.01,"OK","ERRO")</f>
        <v>OK</v>
      </c>
    </row>
    <row r="6" spans="1:40" ht="11.25" customHeight="1" x14ac:dyDescent="0.2">
      <c r="A6" s="53" t="s">
        <v>21</v>
      </c>
      <c r="B6" s="53" t="s">
        <v>43</v>
      </c>
      <c r="C6" s="53" t="s">
        <v>41</v>
      </c>
      <c r="D6" s="53" t="s">
        <v>42</v>
      </c>
      <c r="E6" s="53" t="s">
        <v>25</v>
      </c>
      <c r="F6" s="53" t="s">
        <v>25</v>
      </c>
      <c r="G6" s="53" t="s">
        <v>25</v>
      </c>
      <c r="H6" s="53" t="s">
        <v>36</v>
      </c>
      <c r="I6" s="73">
        <v>43862</v>
      </c>
      <c r="J6" s="74">
        <f ca="1">EFEITO!$J$6*EFEITO!$Y$6</f>
        <v>7454.1345216898753</v>
      </c>
      <c r="K6" s="74">
        <f ca="1">EFEITO!$L$6*EFEITO!$Z$6</f>
        <v>10160.954053290565</v>
      </c>
      <c r="L6" s="74">
        <f>EFEITO!$N$6*EFEITO!$AA$6</f>
        <v>36635.69737535606</v>
      </c>
      <c r="M6" s="74">
        <f ca="1">$J$6-EFEITO!$K$6*EFEITO!$Y$6</f>
        <v>0</v>
      </c>
      <c r="N6" s="74">
        <f ca="1">$K$6-EFEITO!$M$6*EFEITO!$Z$6</f>
        <v>0</v>
      </c>
      <c r="O6" s="74">
        <f>$L$6-EFEITO!$O$6*EFEITO!$AA$6</f>
        <v>0</v>
      </c>
      <c r="P6" s="57"/>
      <c r="Q6" s="74" t="s">
        <v>45</v>
      </c>
      <c r="R6" s="74" t="e">
        <f ca="1">SUMIF($B$2:$B$2285,$Q$6,$J$2:$J$2285)</f>
        <v>#NAME?</v>
      </c>
      <c r="S6" s="74" t="e">
        <f ca="1">SUMIF($B$2:$B$2285,$Q$6,$K$2:$K$2285)</f>
        <v>#NAME?</v>
      </c>
      <c r="T6" s="74" t="e">
        <f>SUMIF($B$2:$B$2285,$Q$6,$L$2:$L$2285)</f>
        <v>#NAME?</v>
      </c>
      <c r="U6" s="74" t="e">
        <f ca="1">SUMIF($B$2:$B$2285,$Q$6,$M$2:$M$2285)</f>
        <v>#NAME?</v>
      </c>
      <c r="V6" s="74" t="e">
        <f ca="1">SUMIF($B$2:$B$2285,$Q$6,$N$2:$N$2285)</f>
        <v>#NAME?</v>
      </c>
      <c r="W6" s="74" t="e">
        <f>SUMIF($B$2:$B$2285,$Q$6,$O$2:$O$2285)</f>
        <v>#NAME?</v>
      </c>
      <c r="X6" s="54" t="e">
        <f ca="1">$R$6-$U$6</f>
        <v>#NAME?</v>
      </c>
      <c r="Y6" s="54" t="e">
        <f ca="1">$S$6-$V$6</f>
        <v>#NAME?</v>
      </c>
      <c r="Z6" s="54" t="e">
        <f>$T$6-$W$6</f>
        <v>#NAME?</v>
      </c>
      <c r="AA6" s="54">
        <f ca="1">SUMIF(EFEITO!$B$2:$B$2285,$Q$6,EFEITO!$AE$2:$AE$2285)</f>
        <v>3905489.9027511957</v>
      </c>
      <c r="AB6" s="54">
        <f ca="1">SUMIF(EFEITO!$B$2:$B$2285,$Q$6,EFEITO!$AF$2:$AF$2285)</f>
        <v>4269987.9982127389</v>
      </c>
      <c r="AC6" s="54">
        <f>SUMIF(EFEITO!$B$2:$B$2285,$Q$6,EFEITO!$AG$2:$AH$2285)</f>
        <v>8099259.4911882915</v>
      </c>
      <c r="AD6" s="54">
        <f ca="1">SUMIF(SUBSIDIO!$B$2:$B$2285,$Q$6,SUBSIDIO!$AD$2:$AD$2285)</f>
        <v>930706.64321491809</v>
      </c>
      <c r="AE6" s="54">
        <f ca="1">SUMIF(SUBSIDIO!$B$2:$B$2285,$Q$6,SUBSIDIO!$AE$2:$AE$2285)</f>
        <v>1130765.3574653598</v>
      </c>
      <c r="AF6" s="54" t="e">
        <f ca="1">IF(ABS($X$6-$AA$6)&lt;0.01,"OK","ERRO")</f>
        <v>#NAME?</v>
      </c>
      <c r="AG6" s="54" t="e">
        <f ca="1">IF(ABS($Y$6-$AB$6)&lt;0.01,"OK","ERRO")</f>
        <v>#NAME?</v>
      </c>
      <c r="AH6" s="54" t="e">
        <f>IF(ABS($Z$6-$AC$6)&lt;0.01,"OK","ERRO")</f>
        <v>#NAME?</v>
      </c>
      <c r="AI6" s="54" t="e">
        <f ca="1">IF(ABS($U$6-$AD$6)&lt;0.01,"OK","ERRO")</f>
        <v>#NAME?</v>
      </c>
      <c r="AJ6" s="54" t="e">
        <f ca="1">IF(ABS(($V$6+$W$6)-$AE$6)&lt;0.01,"OK","ERRO")</f>
        <v>#NAME?</v>
      </c>
    </row>
    <row r="7" spans="1:40" ht="11.25" customHeight="1" x14ac:dyDescent="0.2">
      <c r="A7" s="53" t="s">
        <v>21</v>
      </c>
      <c r="B7" s="53" t="s">
        <v>43</v>
      </c>
      <c r="C7" s="53" t="s">
        <v>41</v>
      </c>
      <c r="D7" s="53" t="s">
        <v>42</v>
      </c>
      <c r="E7" s="53" t="s">
        <v>25</v>
      </c>
      <c r="F7" s="53" t="s">
        <v>25</v>
      </c>
      <c r="G7" s="53" t="s">
        <v>25</v>
      </c>
      <c r="H7" s="53" t="s">
        <v>36</v>
      </c>
      <c r="I7" s="73">
        <v>43891</v>
      </c>
      <c r="J7" s="74">
        <f ca="1">EFEITO!$J$7*EFEITO!$Y$7</f>
        <v>7454.1345216898753</v>
      </c>
      <c r="K7" s="74">
        <f ca="1">EFEITO!$L$7*EFEITO!$Z$7</f>
        <v>9383.2771023402729</v>
      </c>
      <c r="L7" s="74">
        <f>EFEITO!$N$7*EFEITO!$AA$7</f>
        <v>33831.754233660831</v>
      </c>
      <c r="M7" s="74">
        <f ca="1">$J$7-EFEITO!$K$7*EFEITO!$Y$7</f>
        <v>0</v>
      </c>
      <c r="N7" s="74">
        <f ca="1">$K$7-EFEITO!$M$7*EFEITO!$Z$7</f>
        <v>0</v>
      </c>
      <c r="O7" s="74">
        <f>$L$7-EFEITO!$O$7*EFEITO!$AA$7</f>
        <v>0</v>
      </c>
      <c r="P7" s="57"/>
      <c r="Q7" s="74" t="s">
        <v>33</v>
      </c>
      <c r="R7" s="74">
        <f ca="1">SUMIF($B$2:$B$2285,$Q$7,$J$2:$J$2285)</f>
        <v>99775522.879979536</v>
      </c>
      <c r="S7" s="74">
        <f ca="1">SUMIF($B$2:$B$2285,$Q$7,$K$2:$K$2285)</f>
        <v>148073586.22444919</v>
      </c>
      <c r="T7" s="74">
        <f>SUMIF($B$2:$B$2285,$Q$7,$L$2:$L$2285)</f>
        <v>229583338.69969583</v>
      </c>
      <c r="U7" s="74">
        <f ca="1">SUMIF($B$2:$B$2285,$Q$7,$M$2:$M$2285)</f>
        <v>7290260.5761210676</v>
      </c>
      <c r="V7" s="74">
        <f ca="1">SUMIF($B$2:$B$2285,$Q$7,$N$2:$N$2285)</f>
        <v>4492430.1745745661</v>
      </c>
      <c r="W7" s="74">
        <f>SUMIF($B$2:$B$2285,$Q$7,$O$2:$O$2285)</f>
        <v>4727579.8229718944</v>
      </c>
      <c r="X7" s="54">
        <f ca="1">$R$7-$U$7</f>
        <v>92485262.303858474</v>
      </c>
      <c r="Y7" s="54">
        <f ca="1">$S$7-$V$7</f>
        <v>143581156.04987463</v>
      </c>
      <c r="Z7" s="54">
        <f>$T$7-$W$7</f>
        <v>224855758.87672395</v>
      </c>
      <c r="AA7" s="54">
        <f ca="1">SUMIF(EFEITO!$B$2:$B$2285,$Q$7,EFEITO!$AE$2:$AE$2285)</f>
        <v>92485262.303858399</v>
      </c>
      <c r="AB7" s="54">
        <f ca="1">SUMIF(EFEITO!$B$2:$B$2285,$Q$7,EFEITO!$AF$2:$AF$2285)</f>
        <v>143581156.04987472</v>
      </c>
      <c r="AC7" s="54">
        <f>SUMIF(EFEITO!$B$2:$B$2285,$Q$7,EFEITO!$AG$2:$AH$2285)</f>
        <v>224855758.87672386</v>
      </c>
      <c r="AD7" s="54">
        <f ca="1">SUMIF(SUBSIDIO!$B$2:$B$2285,$Q$7,SUBSIDIO!$AD$2:$AD$2285)</f>
        <v>7290260.5761210676</v>
      </c>
      <c r="AE7" s="54">
        <f ca="1">SUMIF(SUBSIDIO!$B$2:$B$2285,$Q$7,SUBSIDIO!$AE$2:$AE$2285)</f>
        <v>9220009.9975464568</v>
      </c>
      <c r="AF7" s="54" t="str">
        <f ca="1">IF(ABS($X$7-$AA$7)&lt;0.01,"OK","ERRO")</f>
        <v>OK</v>
      </c>
      <c r="AG7" s="54" t="str">
        <f ca="1">IF(ABS($Y$7-$AB$7)&lt;0.01,"OK","ERRO")</f>
        <v>OK</v>
      </c>
      <c r="AH7" s="54" t="str">
        <f>IF(ABS($Z$7-$AC$7)&lt;0.01,"OK","ERRO")</f>
        <v>OK</v>
      </c>
      <c r="AI7" s="54" t="str">
        <f ca="1">IF(ABS($U$7-$AD$7)&lt;0.01,"OK","ERRO")</f>
        <v>OK</v>
      </c>
      <c r="AJ7" s="54" t="str">
        <f ca="1">IF(ABS(($V$7+$W$7)-$AE$7)&lt;0.01,"OK","ERRO")</f>
        <v>OK</v>
      </c>
    </row>
    <row r="8" spans="1:40" ht="11.25" customHeight="1" x14ac:dyDescent="0.2">
      <c r="A8" s="53" t="s">
        <v>21</v>
      </c>
      <c r="B8" s="53" t="s">
        <v>43</v>
      </c>
      <c r="C8" s="53" t="s">
        <v>41</v>
      </c>
      <c r="D8" s="53" t="s">
        <v>42</v>
      </c>
      <c r="E8" s="53" t="s">
        <v>25</v>
      </c>
      <c r="F8" s="53" t="s">
        <v>25</v>
      </c>
      <c r="G8" s="53" t="s">
        <v>25</v>
      </c>
      <c r="H8" s="53" t="s">
        <v>36</v>
      </c>
      <c r="I8" s="73">
        <v>43922</v>
      </c>
      <c r="J8" s="74">
        <f ca="1">EFEITO!$J$8*EFEITO!$Y$8</f>
        <v>7454.1345216898753</v>
      </c>
      <c r="K8" s="74">
        <f ca="1">EFEITO!$L$8*EFEITO!$Z$8</f>
        <v>9521.7569940753092</v>
      </c>
      <c r="L8" s="74">
        <f>EFEITO!$N$8*EFEITO!$AA$8</f>
        <v>34331.048628613229</v>
      </c>
      <c r="M8" s="74">
        <f ca="1">$J$8-EFEITO!$K$8*EFEITO!$Y$8</f>
        <v>0</v>
      </c>
      <c r="N8" s="74">
        <f ca="1">$K$8-EFEITO!$M$8*EFEITO!$Z$8</f>
        <v>0</v>
      </c>
      <c r="O8" s="74">
        <f>$L$8-EFEITO!$O$8*EFEITO!$AA$8</f>
        <v>0</v>
      </c>
      <c r="P8" s="57"/>
      <c r="Q8" s="74" t="s">
        <v>44</v>
      </c>
      <c r="R8" s="74">
        <f ca="1">SUMIF($B$2:$B$2285,$Q$8,$J$2:$J$2285)</f>
        <v>56325303.883907318</v>
      </c>
      <c r="S8" s="74">
        <f ca="1">SUMIF($B$2:$B$2285,$Q$8,$K$2:$K$2285)</f>
        <v>79962352.354507133</v>
      </c>
      <c r="T8" s="74">
        <f>SUMIF($B$2:$B$2285,$Q$8,$L$2:$L$2285)</f>
        <v>90903772.636874005</v>
      </c>
      <c r="U8" s="74">
        <f ca="1">SUMIF($B$2:$B$2285,$Q$8,$M$2:$M$2285)</f>
        <v>4050783.0970317754</v>
      </c>
      <c r="V8" s="74">
        <f ca="1">SUMIF($B$2:$B$2285,$Q$8,$N$2:$N$2285)</f>
        <v>1367845.963516979</v>
      </c>
      <c r="W8" s="74">
        <f>SUMIF($B$2:$B$2285,$Q$8,$O$2:$O$2285)</f>
        <v>0</v>
      </c>
      <c r="X8" s="54">
        <f ca="1">$R$8-$U$8</f>
        <v>52274520.786875546</v>
      </c>
      <c r="Y8" s="54">
        <f ca="1">$S$8-$V$8</f>
        <v>78594506.390990153</v>
      </c>
      <c r="Z8" s="54">
        <f>$T$8-$W$8</f>
        <v>90903772.636874005</v>
      </c>
      <c r="AA8" s="54">
        <f ca="1">SUMIF(EFEITO!$B$2:$B$2285,$Q$8,EFEITO!$AE$2:$AE$2285)</f>
        <v>52274520.786875524</v>
      </c>
      <c r="AB8" s="54">
        <f ca="1">SUMIF(EFEITO!$B$2:$B$2285,$Q$8,EFEITO!$AF$2:$AF$2285)</f>
        <v>78594506.390990153</v>
      </c>
      <c r="AC8" s="54">
        <f>SUMIF(EFEITO!$B$2:$B$2285,$Q$8,EFEITO!$AG$2:$AH$2285)</f>
        <v>90903772.636874005</v>
      </c>
      <c r="AD8" s="54">
        <f ca="1">SUMIF(SUBSIDIO!$B$2:$B$2285,$Q$8,SUBSIDIO!$AD$2:$AD$2285)</f>
        <v>4050783.0970317759</v>
      </c>
      <c r="AE8" s="54">
        <f ca="1">SUMIF(SUBSIDIO!$B$2:$B$2285,$Q$8,SUBSIDIO!$AE$2:$AE$2285)</f>
        <v>1367845.963516979</v>
      </c>
      <c r="AF8" s="54" t="str">
        <f ca="1">IF(ABS($X$8-$AA$8)&lt;0.01,"OK","ERRO")</f>
        <v>OK</v>
      </c>
      <c r="AG8" s="54" t="str">
        <f ca="1">IF(ABS($Y$8-$AB$8)&lt;0.01,"OK","ERRO")</f>
        <v>OK</v>
      </c>
      <c r="AH8" s="54" t="str">
        <f>IF(ABS($Z$8-$AC$8)&lt;0.01,"OK","ERRO")</f>
        <v>OK</v>
      </c>
      <c r="AI8" s="54" t="str">
        <f ca="1">IF(ABS($U$8-$AD$8)&lt;0.01,"OK","ERRO")</f>
        <v>OK</v>
      </c>
      <c r="AJ8" s="54" t="str">
        <f ca="1">IF(ABS(($V$8+$W$8)-$AE$8)&lt;0.01,"OK","ERRO")</f>
        <v>OK</v>
      </c>
    </row>
    <row r="9" spans="1:40" ht="11.25" customHeight="1" x14ac:dyDescent="0.2">
      <c r="A9" s="53" t="s">
        <v>21</v>
      </c>
      <c r="B9" s="53" t="s">
        <v>43</v>
      </c>
      <c r="C9" s="53" t="s">
        <v>41</v>
      </c>
      <c r="D9" s="53" t="s">
        <v>42</v>
      </c>
      <c r="E9" s="53" t="s">
        <v>25</v>
      </c>
      <c r="F9" s="53" t="s">
        <v>25</v>
      </c>
      <c r="G9" s="53" t="s">
        <v>25</v>
      </c>
      <c r="H9" s="53" t="s">
        <v>36</v>
      </c>
      <c r="I9" s="73">
        <v>43952</v>
      </c>
      <c r="J9" s="74">
        <f ca="1">EFEITO!$J$9*EFEITO!$Y$9</f>
        <v>7454.1345216898753</v>
      </c>
      <c r="K9" s="74">
        <f ca="1">EFEITO!$L$9*EFEITO!$Z$9</f>
        <v>9452.2929707130752</v>
      </c>
      <c r="L9" s="74">
        <f>EFEITO!$N$9*EFEITO!$AA$9</f>
        <v>34080.593511404099</v>
      </c>
      <c r="M9" s="74">
        <f ca="1">$J$9-EFEITO!$K$9*EFEITO!$Y$9</f>
        <v>0</v>
      </c>
      <c r="N9" s="74">
        <f ca="1">$K$9-EFEITO!$M$9*EFEITO!$Z$9</f>
        <v>0</v>
      </c>
      <c r="O9" s="74">
        <f>$L$9-EFEITO!$O$9*EFEITO!$AA$9</f>
        <v>0</v>
      </c>
      <c r="P9" s="57"/>
      <c r="Q9" s="74" t="s">
        <v>22</v>
      </c>
      <c r="R9" s="74">
        <f>SUMIF($B$2:$B$2285,$Q$9,$J$2:$J$2285)</f>
        <v>0</v>
      </c>
      <c r="S9" s="74">
        <f ca="1">SUMIF($B$2:$B$2285,$Q$9,$K$2:$K$2285)</f>
        <v>636189662.89959967</v>
      </c>
      <c r="T9" s="74">
        <f>SUMIF($B$2:$B$2285,$Q$9,$L$2:$L$2285)</f>
        <v>569817437.21360636</v>
      </c>
      <c r="U9" s="74">
        <f>SUMIF($B$2:$B$2285,$Q$9,$M$2:$M$2285)</f>
        <v>0</v>
      </c>
      <c r="V9" s="74">
        <f ca="1">SUMIF($B$2:$B$2285,$Q$9,$N$2:$N$2285)</f>
        <v>1184595.9339861365</v>
      </c>
      <c r="W9" s="74">
        <f>SUMIF($B$2:$B$2285,$Q$9,$O$2:$O$2285)</f>
        <v>1449498.0817700871</v>
      </c>
      <c r="X9" s="54">
        <f>$R$9-$U$9</f>
        <v>0</v>
      </c>
      <c r="Y9" s="54">
        <f ca="1">$S$9-$V$9</f>
        <v>635005066.96561348</v>
      </c>
      <c r="Z9" s="54">
        <f>$T$9-$W$9</f>
        <v>568367939.1318363</v>
      </c>
      <c r="AA9" s="54">
        <f>SUMIF(EFEITO!$B$2:$B$2285,$Q$9,EFEITO!$AE$2:$AE$2285)</f>
        <v>0</v>
      </c>
      <c r="AB9" s="54">
        <f ca="1">SUMIF(EFEITO!$B$2:$B$2285,$Q$9,EFEITO!$AF$2:$AF$2285)</f>
        <v>635005066.96561337</v>
      </c>
      <c r="AC9" s="54">
        <f>SUMIF(EFEITO!$B$2:$B$2285,$Q$9,EFEITO!$AG$2:$AH$2285)</f>
        <v>568367939.13183618</v>
      </c>
      <c r="AD9" s="54">
        <f>SUMIF(SUBSIDIO!$B$2:$B$2285,$Q$9,SUBSIDIO!$AD$2:$AD$2285)</f>
        <v>0</v>
      </c>
      <c r="AE9" s="54">
        <f ca="1">SUMIF(SUBSIDIO!$B$2:$B$2285,$Q$9,SUBSIDIO!$AE$2:$AE$2285)</f>
        <v>2634094.0157562252</v>
      </c>
      <c r="AF9" s="54" t="str">
        <f>IF(ABS($X$9-$AA$9)&lt;0.01,"OK","ERRO")</f>
        <v>OK</v>
      </c>
      <c r="AG9" s="54" t="str">
        <f ca="1">IF(ABS($Y$9-$AB$9)&lt;0.01,"OK","ERRO")</f>
        <v>OK</v>
      </c>
      <c r="AH9" s="54" t="str">
        <f>IF(ABS($Z$9-$AC$9)&lt;0.01,"OK","ERRO")</f>
        <v>OK</v>
      </c>
      <c r="AI9" s="54" t="str">
        <f>IF(ABS($U$9-$AD$9)&lt;0.01,"OK","ERRO")</f>
        <v>OK</v>
      </c>
      <c r="AJ9" s="54" t="str">
        <f ca="1">IF(ABS(($V$9+$W$9)-$AE$9)&lt;0.01,"OK","ERRO")</f>
        <v>OK</v>
      </c>
    </row>
    <row r="10" spans="1:40" ht="11.25" customHeight="1" x14ac:dyDescent="0.2">
      <c r="A10" s="53" t="s">
        <v>21</v>
      </c>
      <c r="B10" s="53" t="s">
        <v>43</v>
      </c>
      <c r="C10" s="53" t="s">
        <v>41</v>
      </c>
      <c r="D10" s="53" t="s">
        <v>42</v>
      </c>
      <c r="E10" s="53" t="s">
        <v>25</v>
      </c>
      <c r="F10" s="53" t="s">
        <v>25</v>
      </c>
      <c r="G10" s="53" t="s">
        <v>25</v>
      </c>
      <c r="H10" s="53" t="s">
        <v>36</v>
      </c>
      <c r="I10" s="73">
        <v>43983</v>
      </c>
      <c r="J10" s="74">
        <f ca="1">EFEITO!$J$10*EFEITO!$Y$10</f>
        <v>7454.1345216898753</v>
      </c>
      <c r="K10" s="74">
        <f ca="1">EFEITO!$L$10*EFEITO!$Z$10</f>
        <v>10185.602577709422</v>
      </c>
      <c r="L10" s="74">
        <f>EFEITO!$N$10*EFEITO!$AA$10</f>
        <v>36724.568545978655</v>
      </c>
      <c r="M10" s="74">
        <f ca="1">$J$10-EFEITO!$K$10*EFEITO!$Y$10</f>
        <v>0</v>
      </c>
      <c r="N10" s="74">
        <f ca="1">$K$10-EFEITO!$M$10*EFEITO!$Z$10</f>
        <v>0</v>
      </c>
      <c r="O10" s="74">
        <f>$L$10-EFEITO!$O$10*EFEITO!$AA$10</f>
        <v>0</v>
      </c>
      <c r="P10" s="57"/>
      <c r="Q10" s="74" t="s">
        <v>46</v>
      </c>
      <c r="R10" s="74">
        <f>SUMIF($B$2:$B$2285,$Q$10,$J$2:$J$2285)</f>
        <v>0</v>
      </c>
      <c r="S10" s="74">
        <f ca="1">SUMIF($B$2:$B$2285,$Q$10,$K$2:$K$2285)</f>
        <v>22197296.690127436</v>
      </c>
      <c r="T10" s="74">
        <f>SUMIF($B$2:$B$2285,$Q$10,$L$2:$L$2285)</f>
        <v>19832021.239536349</v>
      </c>
      <c r="U10" s="74">
        <f>SUMIF($B$2:$B$2285,$Q$10,$M$2:$M$2285)</f>
        <v>0</v>
      </c>
      <c r="V10" s="74">
        <f ca="1">SUMIF($B$2:$B$2285,$Q$10,$N$2:$N$2285)</f>
        <v>4007944.2616422041</v>
      </c>
      <c r="W10" s="74">
        <f>SUMIF($B$2:$B$2285,$Q$10,$O$2:$O$2285)</f>
        <v>3580870.1303815208</v>
      </c>
      <c r="X10" s="54">
        <f>$R$10-$U$10</f>
        <v>0</v>
      </c>
      <c r="Y10" s="54">
        <f ca="1">$S$10-$V$10</f>
        <v>18189352.428485233</v>
      </c>
      <c r="Z10" s="54">
        <f>$T$10-$W$10</f>
        <v>16251151.109154828</v>
      </c>
      <c r="AA10" s="54">
        <f>SUMIF(EFEITO!$B$2:$B$2285,$Q$10,EFEITO!$AE$2:$AE$2285)</f>
        <v>0</v>
      </c>
      <c r="AB10" s="54">
        <f ca="1">SUMIF(EFEITO!$B$2:$B$2285,$Q$10,EFEITO!$AF$2:$AF$2285)</f>
        <v>18189352.428485233</v>
      </c>
      <c r="AC10" s="54">
        <f>SUMIF(EFEITO!$B$2:$B$2285,$Q$10,EFEITO!$AG$2:$AH$2285)</f>
        <v>16251151.109154833</v>
      </c>
      <c r="AD10" s="54">
        <f>SUMIF(SUBSIDIO!$B$2:$B$2285,$Q$10,SUBSIDIO!$AD$2:$AD$2285)</f>
        <v>0</v>
      </c>
      <c r="AE10" s="54">
        <f ca="1">SUMIF(SUBSIDIO!$B$2:$B$2285,$Q$10,SUBSIDIO!$AE$2:$AE$2285)</f>
        <v>7588814.3920237217</v>
      </c>
      <c r="AF10" s="54" t="str">
        <f>IF(ABS($X$10-$AA$10)&lt;0.01,"OK","ERRO")</f>
        <v>OK</v>
      </c>
      <c r="AG10" s="54" t="str">
        <f ca="1">IF(ABS($Y$10-$AB$10)&lt;0.01,"OK","ERRO")</f>
        <v>OK</v>
      </c>
      <c r="AH10" s="54" t="str">
        <f>IF(ABS($Z$10-$AC$10)&lt;0.01,"OK","ERRO")</f>
        <v>OK</v>
      </c>
      <c r="AI10" s="54" t="str">
        <f>IF(ABS($U$10-$AD$10)&lt;0.01,"OK","ERRO")</f>
        <v>OK</v>
      </c>
      <c r="AJ10" s="54" t="str">
        <f ca="1">IF(ABS(($V$10+$W$10)-$AE$10)&lt;0.01,"OK","ERRO")</f>
        <v>OK</v>
      </c>
    </row>
    <row r="11" spans="1:40" ht="11.25" customHeight="1" x14ac:dyDescent="0.2">
      <c r="A11" s="53" t="s">
        <v>21</v>
      </c>
      <c r="B11" s="53" t="s">
        <v>43</v>
      </c>
      <c r="C11" s="53" t="s">
        <v>41</v>
      </c>
      <c r="D11" s="53" t="s">
        <v>42</v>
      </c>
      <c r="E11" s="53" t="s">
        <v>25</v>
      </c>
      <c r="F11" s="53" t="s">
        <v>25</v>
      </c>
      <c r="G11" s="53" t="s">
        <v>25</v>
      </c>
      <c r="H11" s="53" t="s">
        <v>36</v>
      </c>
      <c r="I11" s="73">
        <v>44013</v>
      </c>
      <c r="J11" s="74">
        <f ca="1">EFEITO!$J$11*EFEITO!$Y$11</f>
        <v>7454.1345216898753</v>
      </c>
      <c r="K11" s="74">
        <f ca="1">EFEITO!$L$11*EFEITO!$Z$11</f>
        <v>9065.5352148317306</v>
      </c>
      <c r="L11" s="74">
        <f>EFEITO!$N$11*EFEITO!$AA$11</f>
        <v>32686.124052362284</v>
      </c>
      <c r="M11" s="74">
        <f ca="1">$J$11-EFEITO!$K$11*EFEITO!$Y$11</f>
        <v>0</v>
      </c>
      <c r="N11" s="74">
        <f ca="1">$K$11-EFEITO!$M$11*EFEITO!$Z$11</f>
        <v>0</v>
      </c>
      <c r="O11" s="74">
        <f>$L$11-EFEITO!$O$11*EFEITO!$AA$11</f>
        <v>0</v>
      </c>
      <c r="P11" s="57"/>
      <c r="Q11" s="74" t="s">
        <v>39</v>
      </c>
      <c r="R11" s="74">
        <f>SUMIF($B$2:$B$2285,$Q$11,$J$2:$J$2285)</f>
        <v>0</v>
      </c>
      <c r="S11" s="74">
        <f ca="1">SUMIF($B$2:$B$2285,$Q$11,$K$2:$K$2285)</f>
        <v>281849302.13690054</v>
      </c>
      <c r="T11" s="74">
        <f>SUMIF($B$2:$B$2285,$Q$11,$L$2:$L$2285)</f>
        <v>251950765.66175291</v>
      </c>
      <c r="U11" s="74">
        <f>SUMIF($B$2:$B$2285,$Q$11,$M$2:$M$2285)</f>
        <v>0</v>
      </c>
      <c r="V11" s="74">
        <f ca="1">SUMIF($B$2:$B$2285,$Q$11,$N$2:$N$2285)</f>
        <v>264976.56496395072</v>
      </c>
      <c r="W11" s="74">
        <f>SUMIF($B$2:$B$2285,$Q$11,$O$2:$O$2285)</f>
        <v>236742.41037849378</v>
      </c>
      <c r="X11" s="54">
        <f>$R$11-$U$11</f>
        <v>0</v>
      </c>
      <c r="Y11" s="54">
        <f ca="1">$S$11-$V$11</f>
        <v>281584325.57193661</v>
      </c>
      <c r="Z11" s="54">
        <f>$T$11-$W$11</f>
        <v>251714023.25137442</v>
      </c>
      <c r="AA11" s="54">
        <f>SUMIF(EFEITO!$B$2:$B$2285,$Q$11,EFEITO!$AE$2:$AE$2285)</f>
        <v>0</v>
      </c>
      <c r="AB11" s="54">
        <f ca="1">SUMIF(EFEITO!$B$2:$B$2285,$Q$11,EFEITO!$AF$2:$AF$2285)</f>
        <v>281584325.57193655</v>
      </c>
      <c r="AC11" s="54">
        <f>SUMIF(EFEITO!$B$2:$B$2285,$Q$11,EFEITO!$AG$2:$AH$2285)</f>
        <v>251714023.25137445</v>
      </c>
      <c r="AD11" s="54">
        <f>SUMIF(SUBSIDIO!$B$2:$B$2285,$Q$11,SUBSIDIO!$AD$2:$AD$2285)</f>
        <v>0</v>
      </c>
      <c r="AE11" s="54">
        <f ca="1">SUMIF(SUBSIDIO!$B$2:$B$2285,$Q$11,SUBSIDIO!$AE$2:$AE$2285)</f>
        <v>501718.97534244478</v>
      </c>
      <c r="AF11" s="54" t="str">
        <f>IF(ABS($X$11-$AA$11)&lt;0.01,"OK","ERRO")</f>
        <v>OK</v>
      </c>
      <c r="AG11" s="54" t="str">
        <f ca="1">IF(ABS($Y$11-$AB$11)&lt;0.01,"OK","ERRO")</f>
        <v>OK</v>
      </c>
      <c r="AH11" s="54" t="str">
        <f>IF(ABS($Z$11-$AC$11)&lt;0.01,"OK","ERRO")</f>
        <v>OK</v>
      </c>
      <c r="AI11" s="54" t="str">
        <f>IF(ABS($U$11-$AD$11)&lt;0.01,"OK","ERRO")</f>
        <v>OK</v>
      </c>
      <c r="AJ11" s="54" t="str">
        <f ca="1">IF(ABS(($V$11+$W$11)-$AE$11)&lt;0.01,"OK","ERRO")</f>
        <v>OK</v>
      </c>
    </row>
    <row r="12" spans="1:40" ht="11.25" customHeight="1" x14ac:dyDescent="0.2">
      <c r="A12" s="53" t="s">
        <v>21</v>
      </c>
      <c r="B12" s="53" t="s">
        <v>43</v>
      </c>
      <c r="C12" s="53" t="s">
        <v>41</v>
      </c>
      <c r="D12" s="53" t="s">
        <v>42</v>
      </c>
      <c r="E12" s="53" t="s">
        <v>25</v>
      </c>
      <c r="F12" s="53" t="s">
        <v>25</v>
      </c>
      <c r="G12" s="53" t="s">
        <v>25</v>
      </c>
      <c r="H12" s="53" t="s">
        <v>36</v>
      </c>
      <c r="I12" s="73">
        <v>44044</v>
      </c>
      <c r="J12" s="74">
        <f ca="1">EFEITO!$J$12*EFEITO!$Y$12</f>
        <v>7454.1345216898753</v>
      </c>
      <c r="K12" s="74">
        <f ca="1">EFEITO!$L$12*EFEITO!$Z$12</f>
        <v>4978.9379104678592</v>
      </c>
      <c r="L12" s="74">
        <f>EFEITO!$N$12*EFEITO!$AA$12</f>
        <v>17951.745631554822</v>
      </c>
      <c r="M12" s="74">
        <f ca="1">$J$12-EFEITO!$K$12*EFEITO!$Y$12</f>
        <v>0</v>
      </c>
      <c r="N12" s="74">
        <f ca="1">$K$12-EFEITO!$M$12*EFEITO!$Z$12</f>
        <v>0</v>
      </c>
      <c r="O12" s="74">
        <f>$L$12-EFEITO!$O$12*EFEITO!$AA$12</f>
        <v>0</v>
      </c>
      <c r="P12" s="57"/>
      <c r="Q12" s="74" t="s">
        <v>49</v>
      </c>
      <c r="R12" s="74">
        <f>SUMIF($B$2:$B$2285,$Q$12,$J$2:$J$2285)</f>
        <v>0</v>
      </c>
      <c r="S12" s="74">
        <f ca="1">SUMIF($B$2:$B$2285,$Q$12,$K$2:$K$2285)</f>
        <v>62521817.330022588</v>
      </c>
      <c r="T12" s="74">
        <f>SUMIF($B$2:$B$2285,$Q$12,$L$2:$L$2285)</f>
        <v>55859904.961660095</v>
      </c>
      <c r="U12" s="74">
        <f>SUMIF($B$2:$B$2285,$Q$12,$M$2:$M$2285)</f>
        <v>0</v>
      </c>
      <c r="V12" s="74">
        <f ca="1">SUMIF($B$2:$B$2285,$Q$12,$N$2:$N$2285)</f>
        <v>0</v>
      </c>
      <c r="W12" s="74">
        <f>SUMIF($B$2:$B$2285,$Q$12,$O$2:$O$2285)</f>
        <v>0</v>
      </c>
      <c r="X12" s="54">
        <f>$R$12-$U$12</f>
        <v>0</v>
      </c>
      <c r="Y12" s="54">
        <f ca="1">$S$12-$V$12</f>
        <v>62521817.330022588</v>
      </c>
      <c r="Z12" s="54">
        <f>$T$12-$W$12</f>
        <v>55859904.961660095</v>
      </c>
      <c r="AA12" s="54">
        <f>SUMIF(EFEITO!$B$2:$B$2285,$Q$12,EFEITO!$AE$2:$AE$2285)</f>
        <v>0</v>
      </c>
      <c r="AB12" s="54">
        <f ca="1">SUMIF(EFEITO!$B$2:$B$2285,$Q$12,EFEITO!$AF$2:$AF$2285)</f>
        <v>62521817.330022588</v>
      </c>
      <c r="AC12" s="54">
        <f>SUMIF(EFEITO!$B$2:$B$2285,$Q$12,EFEITO!$AG$2:$AH$2285)</f>
        <v>55859904.961660095</v>
      </c>
      <c r="AD12" s="54">
        <f>SUMIF(SUBSIDIO!$B$2:$B$2285,$Q$12,SUBSIDIO!$AD$2:$AD$2285)</f>
        <v>0</v>
      </c>
      <c r="AE12" s="54">
        <f>SUMIF(SUBSIDIO!$B$2:$B$2285,$Q$12,SUBSIDIO!$AE$2:$AE$2285)</f>
        <v>0</v>
      </c>
      <c r="AF12" s="54" t="str">
        <f>IF(ABS($X$12-$AA$12)&lt;0.01,"OK","ERRO")</f>
        <v>OK</v>
      </c>
      <c r="AG12" s="54" t="str">
        <f ca="1">IF(ABS($Y$12-$AB$12)&lt;0.01,"OK","ERRO")</f>
        <v>OK</v>
      </c>
      <c r="AH12" s="54" t="str">
        <f>IF(ABS($Z$12-$AC$12)&lt;0.01,"OK","ERRO")</f>
        <v>OK</v>
      </c>
      <c r="AI12" s="54" t="str">
        <f>IF(ABS($U$12-$AD$12)&lt;0.01,"OK","ERRO")</f>
        <v>OK</v>
      </c>
      <c r="AJ12" s="54" t="str">
        <f ca="1">IF(ABS(($V$12+$W$12)-$AE$12)&lt;0.01,"OK","ERRO")</f>
        <v>OK</v>
      </c>
    </row>
    <row r="13" spans="1:40" ht="11.25" customHeight="1" x14ac:dyDescent="0.2">
      <c r="A13" s="53" t="s">
        <v>59</v>
      </c>
      <c r="B13" s="53" t="s">
        <v>43</v>
      </c>
      <c r="C13" s="53" t="s">
        <v>41</v>
      </c>
      <c r="D13" s="53" t="s">
        <v>42</v>
      </c>
      <c r="E13" s="53" t="s">
        <v>25</v>
      </c>
      <c r="F13" s="53" t="s">
        <v>25</v>
      </c>
      <c r="G13" s="53" t="s">
        <v>25</v>
      </c>
      <c r="H13" s="53" t="s">
        <v>36</v>
      </c>
      <c r="I13" s="73">
        <v>44075</v>
      </c>
      <c r="J13" s="74">
        <f ca="1">EFEITO!$J$13*EFEITO!$Y$13</f>
        <v>7454.1345216898753</v>
      </c>
      <c r="K13" s="74">
        <f ca="1">EFEITO!$L$13*EFEITO!$Z$13</f>
        <v>4978.9379104678592</v>
      </c>
      <c r="L13" s="74">
        <f>EFEITO!$N$13*EFEITO!$AA$13</f>
        <v>17951.745631554822</v>
      </c>
      <c r="M13" s="74">
        <f ca="1">$J$13-EFEITO!$K$13*EFEITO!$Y$13</f>
        <v>0</v>
      </c>
      <c r="N13" s="74">
        <f ca="1">$K$13-EFEITO!$M$13*EFEITO!$Z$13</f>
        <v>0</v>
      </c>
      <c r="O13" s="74">
        <f>$L$13-EFEITO!$O$13*EFEITO!$AA$13</f>
        <v>0</v>
      </c>
      <c r="P13" s="57"/>
      <c r="Q13" s="74" t="s">
        <v>97</v>
      </c>
      <c r="R13" s="74">
        <f>SUMIF($B$2:$B$2285,$Q$13,$J$2:$J$2285)</f>
        <v>0</v>
      </c>
      <c r="S13" s="74">
        <f>SUMIF($B$2:$B$2285,$Q$13,$K$2:$K$2285)</f>
        <v>0</v>
      </c>
      <c r="T13" s="74">
        <f>SUMIF($B$2:$B$2285,$Q$13,$L$2:$L$2285)</f>
        <v>0</v>
      </c>
      <c r="U13" s="74">
        <f>SUMIF($B$2:$B$2285,$Q$13,$M$2:$M$2285)</f>
        <v>0</v>
      </c>
      <c r="V13" s="74">
        <f>SUMIF($B$2:$B$2285,$Q$13,$N$2:$N$2285)</f>
        <v>0</v>
      </c>
      <c r="W13" s="74">
        <f>SUMIF($B$2:$B$2285,$Q$13,$O$2:$O$2285)</f>
        <v>0</v>
      </c>
      <c r="X13" s="54">
        <f>$R$13-$U$13</f>
        <v>0</v>
      </c>
      <c r="Y13" s="54">
        <f>$S$13-$V$13</f>
        <v>0</v>
      </c>
      <c r="Z13" s="54">
        <f>$T$13-$W$13</f>
        <v>0</v>
      </c>
      <c r="AA13" s="54">
        <f>SUMIF(EFEITO!$B$2:$B$2285,$Q$13,EFEITO!$AE$2:$AE$2285)</f>
        <v>0</v>
      </c>
      <c r="AB13" s="54">
        <f>SUMIF(EFEITO!$B$2:$B$2285,$Q$13,EFEITO!$AF$2:$AF$2285)</f>
        <v>0</v>
      </c>
      <c r="AC13" s="54">
        <f>SUMIF(EFEITO!$B$2:$B$2285,$Q$13,EFEITO!$AG$2:$AH$2285)</f>
        <v>0</v>
      </c>
      <c r="AD13" s="54">
        <f>SUMIF(SUBSIDIO!$B$2:$B$2285,$Q$13,SUBSIDIO!$AD$2:$AD$2285)</f>
        <v>0</v>
      </c>
      <c r="AE13" s="54">
        <f>SUMIF(SUBSIDIO!$B$2:$B$2285,$Q$13,SUBSIDIO!$AE$2:$AE$2285)</f>
        <v>0</v>
      </c>
      <c r="AF13" s="54" t="str">
        <f>IF(ABS($X$13-$AA$13)&lt;0.01,"OK","ERRO")</f>
        <v>OK</v>
      </c>
      <c r="AG13" s="54" t="str">
        <f>IF(ABS($Y$13-$AB$13)&lt;0.01,"OK","ERRO")</f>
        <v>OK</v>
      </c>
      <c r="AH13" s="54" t="str">
        <f>IF(ABS($Z$13-$AC$13)&lt;0.01,"OK","ERRO")</f>
        <v>OK</v>
      </c>
      <c r="AI13" s="54" t="str">
        <f>IF(ABS($U$13-$AD$13)&lt;0.01,"OK","ERRO")</f>
        <v>OK</v>
      </c>
      <c r="AJ13" s="54" t="str">
        <f>IF(ABS(($V$13+$W$13)-$AE$13)&lt;0.01,"OK","ERRO")</f>
        <v>OK</v>
      </c>
    </row>
    <row r="14" spans="1:40" ht="11.25" customHeight="1" x14ac:dyDescent="0.2">
      <c r="A14" s="53" t="s">
        <v>21</v>
      </c>
      <c r="B14" s="53" t="s">
        <v>43</v>
      </c>
      <c r="C14" s="53" t="s">
        <v>41</v>
      </c>
      <c r="D14" s="53" t="s">
        <v>42</v>
      </c>
      <c r="E14" s="53" t="s">
        <v>25</v>
      </c>
      <c r="F14" s="53" t="s">
        <v>25</v>
      </c>
      <c r="G14" s="53" t="s">
        <v>25</v>
      </c>
      <c r="H14" s="53" t="s">
        <v>35</v>
      </c>
      <c r="I14" s="73">
        <v>43739</v>
      </c>
      <c r="J14" s="74">
        <f ca="1">EFEITO!$J$14*EFEITO!$Y$14</f>
        <v>11948.862417700586</v>
      </c>
      <c r="K14" s="74">
        <f ca="1">EFEITO!$L$14*EFEITO!$Z$14</f>
        <v>0</v>
      </c>
      <c r="L14" s="74">
        <f>EFEITO!$N$14*EFEITO!$AA$14</f>
        <v>0</v>
      </c>
      <c r="M14" s="74">
        <f ca="1">$J$14-EFEITO!$K$14*EFEITO!$Y$14</f>
        <v>0</v>
      </c>
      <c r="N14" s="74">
        <f ca="1">$K$14-EFEITO!$M$14*EFEITO!$Z$14</f>
        <v>0</v>
      </c>
      <c r="O14" s="74">
        <f>$L$14-EFEITO!$O$14*EFEITO!$AA$14</f>
        <v>0</v>
      </c>
      <c r="P14" s="57"/>
      <c r="Q14" s="57"/>
      <c r="R14" s="57"/>
      <c r="S14" s="57"/>
      <c r="T14" s="57"/>
      <c r="U14" s="57"/>
      <c r="V14" s="57"/>
      <c r="W14" s="57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</row>
    <row r="15" spans="1:40" ht="11.25" customHeight="1" x14ac:dyDescent="0.2">
      <c r="A15" s="53" t="s">
        <v>21</v>
      </c>
      <c r="B15" s="53" t="s">
        <v>43</v>
      </c>
      <c r="C15" s="53" t="s">
        <v>41</v>
      </c>
      <c r="D15" s="53" t="s">
        <v>42</v>
      </c>
      <c r="E15" s="53" t="s">
        <v>25</v>
      </c>
      <c r="F15" s="53" t="s">
        <v>25</v>
      </c>
      <c r="G15" s="53" t="s">
        <v>25</v>
      </c>
      <c r="H15" s="53" t="s">
        <v>35</v>
      </c>
      <c r="I15" s="73">
        <v>43770</v>
      </c>
      <c r="J15" s="74">
        <f ca="1">EFEITO!$J$15*EFEITO!$Y$15</f>
        <v>11948.862417700586</v>
      </c>
      <c r="K15" s="74">
        <f ca="1">EFEITO!$L$15*EFEITO!$Z$15</f>
        <v>0</v>
      </c>
      <c r="L15" s="74">
        <f>EFEITO!$N$15*EFEITO!$AA$15</f>
        <v>0</v>
      </c>
      <c r="M15" s="74">
        <f ca="1">$J$15-EFEITO!$K$15*EFEITO!$Y$15</f>
        <v>0</v>
      </c>
      <c r="N15" s="74">
        <f ca="1">$K$15-EFEITO!$M$15*EFEITO!$Z$15</f>
        <v>0</v>
      </c>
      <c r="O15" s="74">
        <f>$L$15-EFEITO!$O$15*EFEITO!$AA$15</f>
        <v>0</v>
      </c>
      <c r="P15" s="57"/>
      <c r="Q15" s="57"/>
      <c r="R15" s="57"/>
      <c r="S15" s="57"/>
      <c r="T15" s="57"/>
      <c r="U15" s="57"/>
      <c r="V15" s="57"/>
      <c r="W15" s="57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</row>
    <row r="16" spans="1:40" ht="11.25" customHeight="1" x14ac:dyDescent="0.2">
      <c r="A16" s="53" t="s">
        <v>21</v>
      </c>
      <c r="B16" s="53" t="s">
        <v>43</v>
      </c>
      <c r="C16" s="53" t="s">
        <v>41</v>
      </c>
      <c r="D16" s="53" t="s">
        <v>42</v>
      </c>
      <c r="E16" s="53" t="s">
        <v>25</v>
      </c>
      <c r="F16" s="53" t="s">
        <v>25</v>
      </c>
      <c r="G16" s="53" t="s">
        <v>25</v>
      </c>
      <c r="H16" s="53" t="s">
        <v>35</v>
      </c>
      <c r="I16" s="73">
        <v>43800</v>
      </c>
      <c r="J16" s="74">
        <f ca="1">EFEITO!$J$16*EFEITO!$Y$16</f>
        <v>11948.862417700586</v>
      </c>
      <c r="K16" s="74">
        <f ca="1">EFEITO!$L$16*EFEITO!$Z$16</f>
        <v>10.307564756976756</v>
      </c>
      <c r="L16" s="74">
        <f>EFEITO!$N$16*EFEITO!$AA$16</f>
        <v>60.486380232608241</v>
      </c>
      <c r="M16" s="74">
        <f ca="1">$J$16-EFEITO!$K$16*EFEITO!$Y$16</f>
        <v>0</v>
      </c>
      <c r="N16" s="74">
        <f ca="1">$K$16-EFEITO!$M$16*EFEITO!$Z$16</f>
        <v>0</v>
      </c>
      <c r="O16" s="74">
        <f>$L$16-EFEITO!$O$16*EFEITO!$AA$16</f>
        <v>0</v>
      </c>
      <c r="P16" s="57"/>
      <c r="Q16" s="57"/>
      <c r="R16" s="57"/>
      <c r="S16" s="57"/>
      <c r="T16" s="57"/>
      <c r="U16" s="57"/>
      <c r="V16" s="57"/>
      <c r="W16" s="57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</row>
    <row r="17" spans="1:36" ht="11.25" customHeight="1" x14ac:dyDescent="0.2">
      <c r="A17" s="53" t="s">
        <v>21</v>
      </c>
      <c r="B17" s="53" t="s">
        <v>43</v>
      </c>
      <c r="C17" s="53" t="s">
        <v>41</v>
      </c>
      <c r="D17" s="53" t="s">
        <v>42</v>
      </c>
      <c r="E17" s="53" t="s">
        <v>25</v>
      </c>
      <c r="F17" s="53" t="s">
        <v>25</v>
      </c>
      <c r="G17" s="53" t="s">
        <v>25</v>
      </c>
      <c r="H17" s="53" t="s">
        <v>35</v>
      </c>
      <c r="I17" s="73">
        <v>43831</v>
      </c>
      <c r="J17" s="74">
        <f ca="1">EFEITO!$J$17*EFEITO!$Y$17</f>
        <v>11948.862417700586</v>
      </c>
      <c r="K17" s="74">
        <f ca="1">EFEITO!$L$17*EFEITO!$Z$17</f>
        <v>347.38413895252097</v>
      </c>
      <c r="L17" s="74">
        <f>EFEITO!$N$17*EFEITO!$AA$17</f>
        <v>2038.5037213797036</v>
      </c>
      <c r="M17" s="74">
        <f ca="1">$J$17-EFEITO!$K$17*EFEITO!$Y$17</f>
        <v>0</v>
      </c>
      <c r="N17" s="74">
        <f ca="1">$K$17-EFEITO!$M$17*EFEITO!$Z$17</f>
        <v>0</v>
      </c>
      <c r="O17" s="74">
        <f>$L$17-EFEITO!$O$17*EFEITO!$AA$17</f>
        <v>0</v>
      </c>
      <c r="P17" s="57"/>
      <c r="Q17" s="57"/>
      <c r="R17" s="57"/>
      <c r="S17" s="57"/>
      <c r="T17" s="57"/>
      <c r="U17" s="57"/>
      <c r="V17" s="57"/>
      <c r="W17" s="57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</row>
    <row r="18" spans="1:36" ht="11.25" customHeight="1" x14ac:dyDescent="0.2">
      <c r="A18" s="53" t="s">
        <v>21</v>
      </c>
      <c r="B18" s="53" t="s">
        <v>43</v>
      </c>
      <c r="C18" s="53" t="s">
        <v>41</v>
      </c>
      <c r="D18" s="53" t="s">
        <v>42</v>
      </c>
      <c r="E18" s="53" t="s">
        <v>25</v>
      </c>
      <c r="F18" s="53" t="s">
        <v>25</v>
      </c>
      <c r="G18" s="53" t="s">
        <v>25</v>
      </c>
      <c r="H18" s="53" t="s">
        <v>35</v>
      </c>
      <c r="I18" s="73">
        <v>43862</v>
      </c>
      <c r="J18" s="74">
        <f ca="1">EFEITO!$J$18*EFEITO!$Y$18</f>
        <v>11948.862417700586</v>
      </c>
      <c r="K18" s="74">
        <f ca="1">EFEITO!$L$18*EFEITO!$Z$18</f>
        <v>1319.4323110343726</v>
      </c>
      <c r="L18" s="74">
        <f>EFEITO!$N$18*EFEITO!$AA$18</f>
        <v>7742.6323615765423</v>
      </c>
      <c r="M18" s="74">
        <f ca="1">$J$18-EFEITO!$K$18*EFEITO!$Y$18</f>
        <v>0</v>
      </c>
      <c r="N18" s="74">
        <f ca="1">$K$18-EFEITO!$M$18*EFEITO!$Z$18</f>
        <v>0</v>
      </c>
      <c r="O18" s="74">
        <f>$L$18-EFEITO!$O$18*EFEITO!$AA$18</f>
        <v>0</v>
      </c>
      <c r="P18" s="57"/>
      <c r="Q18" s="57"/>
      <c r="R18" s="57"/>
      <c r="S18" s="57"/>
      <c r="T18" s="57"/>
      <c r="U18" s="57"/>
      <c r="V18" s="57"/>
      <c r="W18" s="57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</row>
    <row r="19" spans="1:36" ht="11.25" customHeight="1" x14ac:dyDescent="0.2">
      <c r="A19" s="53" t="s">
        <v>21</v>
      </c>
      <c r="B19" s="53" t="s">
        <v>43</v>
      </c>
      <c r="C19" s="53" t="s">
        <v>41</v>
      </c>
      <c r="D19" s="53" t="s">
        <v>42</v>
      </c>
      <c r="E19" s="53" t="s">
        <v>25</v>
      </c>
      <c r="F19" s="53" t="s">
        <v>25</v>
      </c>
      <c r="G19" s="53" t="s">
        <v>25</v>
      </c>
      <c r="H19" s="53" t="s">
        <v>35</v>
      </c>
      <c r="I19" s="73">
        <v>43891</v>
      </c>
      <c r="J19" s="74">
        <f ca="1">EFEITO!$J$19*EFEITO!$Y$19</f>
        <v>11948.862417700586</v>
      </c>
      <c r="K19" s="74">
        <f ca="1">EFEITO!$L$19*EFEITO!$Z$19</f>
        <v>1449.2692136874709</v>
      </c>
      <c r="L19" s="74">
        <f>EFEITO!$N$19*EFEITO!$AA$19</f>
        <v>8504.5353374257938</v>
      </c>
      <c r="M19" s="74">
        <f ca="1">$J$19-EFEITO!$K$19*EFEITO!$Y$19</f>
        <v>0</v>
      </c>
      <c r="N19" s="74">
        <f ca="1">$K$19-EFEITO!$M$19*EFEITO!$Z$19</f>
        <v>0</v>
      </c>
      <c r="O19" s="74">
        <f>$L$19-EFEITO!$O$19*EFEITO!$AA$19</f>
        <v>0</v>
      </c>
      <c r="P19" s="57"/>
      <c r="Q19" s="57"/>
      <c r="R19" s="57"/>
      <c r="S19" s="57"/>
      <c r="T19" s="57"/>
      <c r="U19" s="57"/>
      <c r="V19" s="57"/>
      <c r="W19" s="57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</row>
    <row r="20" spans="1:36" ht="11.25" customHeight="1" x14ac:dyDescent="0.2">
      <c r="A20" s="53" t="s">
        <v>21</v>
      </c>
      <c r="B20" s="53" t="s">
        <v>43</v>
      </c>
      <c r="C20" s="53" t="s">
        <v>41</v>
      </c>
      <c r="D20" s="53" t="s">
        <v>42</v>
      </c>
      <c r="E20" s="53" t="s">
        <v>25</v>
      </c>
      <c r="F20" s="53" t="s">
        <v>25</v>
      </c>
      <c r="G20" s="53" t="s">
        <v>25</v>
      </c>
      <c r="H20" s="53" t="s">
        <v>35</v>
      </c>
      <c r="I20" s="73">
        <v>43922</v>
      </c>
      <c r="J20" s="74">
        <f ca="1">EFEITO!$J$20*EFEITO!$Y$20</f>
        <v>11948.862417700586</v>
      </c>
      <c r="K20" s="74">
        <f ca="1">EFEITO!$L$20*EFEITO!$Z$20</f>
        <v>1388.3201351244777</v>
      </c>
      <c r="L20" s="74">
        <f>EFEITO!$N$20*EFEITO!$AA$20</f>
        <v>8146.8767412677607</v>
      </c>
      <c r="M20" s="74">
        <f ca="1">$J$20-EFEITO!$K$20*EFEITO!$Y$20</f>
        <v>0</v>
      </c>
      <c r="N20" s="74">
        <f ca="1">$K$20-EFEITO!$M$20*EFEITO!$Z$20</f>
        <v>0</v>
      </c>
      <c r="O20" s="74">
        <f>$L$20-EFEITO!$O$20*EFEITO!$AA$20</f>
        <v>0</v>
      </c>
      <c r="P20" s="57"/>
      <c r="Q20" s="57"/>
      <c r="R20" s="57"/>
      <c r="S20" s="57"/>
      <c r="T20" s="57"/>
      <c r="U20" s="57"/>
      <c r="V20" s="57"/>
      <c r="W20" s="57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</row>
    <row r="21" spans="1:36" ht="11.25" customHeight="1" x14ac:dyDescent="0.2">
      <c r="A21" s="53" t="s">
        <v>21</v>
      </c>
      <c r="B21" s="53" t="s">
        <v>43</v>
      </c>
      <c r="C21" s="53" t="s">
        <v>41</v>
      </c>
      <c r="D21" s="53" t="s">
        <v>42</v>
      </c>
      <c r="E21" s="53" t="s">
        <v>25</v>
      </c>
      <c r="F21" s="53" t="s">
        <v>25</v>
      </c>
      <c r="G21" s="53" t="s">
        <v>25</v>
      </c>
      <c r="H21" s="53" t="s">
        <v>35</v>
      </c>
      <c r="I21" s="73">
        <v>43952</v>
      </c>
      <c r="J21" s="74">
        <f ca="1">EFEITO!$J$21*EFEITO!$Y$21</f>
        <v>11948.862417700586</v>
      </c>
      <c r="K21" s="74">
        <f ca="1">EFEITO!$L$21*EFEITO!$Z$21</f>
        <v>1300.6098014781539</v>
      </c>
      <c r="L21" s="74">
        <f>EFEITO!$N$21*EFEITO!$AA$21</f>
        <v>7632.1789715865616</v>
      </c>
      <c r="M21" s="74">
        <f ca="1">$J$21-EFEITO!$K$21*EFEITO!$Y$21</f>
        <v>0</v>
      </c>
      <c r="N21" s="74">
        <f ca="1">$K$21-EFEITO!$M$21*EFEITO!$Z$21</f>
        <v>0</v>
      </c>
      <c r="O21" s="74">
        <f>$L$21-EFEITO!$O$21*EFEITO!$AA$21</f>
        <v>0</v>
      </c>
      <c r="P21" s="57"/>
      <c r="Q21" s="57"/>
      <c r="R21" s="57"/>
      <c r="S21" s="57"/>
      <c r="T21" s="57"/>
      <c r="U21" s="57"/>
      <c r="V21" s="57"/>
      <c r="W21" s="57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</row>
    <row r="22" spans="1:36" ht="11.25" customHeight="1" x14ac:dyDescent="0.2">
      <c r="A22" s="53" t="s">
        <v>21</v>
      </c>
      <c r="B22" s="53" t="s">
        <v>43</v>
      </c>
      <c r="C22" s="53" t="s">
        <v>41</v>
      </c>
      <c r="D22" s="53" t="s">
        <v>42</v>
      </c>
      <c r="E22" s="53" t="s">
        <v>25</v>
      </c>
      <c r="F22" s="53" t="s">
        <v>25</v>
      </c>
      <c r="G22" s="53" t="s">
        <v>25</v>
      </c>
      <c r="H22" s="53" t="s">
        <v>35</v>
      </c>
      <c r="I22" s="73">
        <v>43983</v>
      </c>
      <c r="J22" s="74">
        <f ca="1">EFEITO!$J$22*EFEITO!$Y$22</f>
        <v>11948.862417700586</v>
      </c>
      <c r="K22" s="74">
        <f ca="1">EFEITO!$L$22*EFEITO!$Z$22</f>
        <v>1337.2944884703757</v>
      </c>
      <c r="L22" s="74">
        <f>EFEITO!$N$22*EFEITO!$AA$22</f>
        <v>7847.4503745262173</v>
      </c>
      <c r="M22" s="74">
        <f ca="1">$J$22-EFEITO!$K$22*EFEITO!$Y$22</f>
        <v>0</v>
      </c>
      <c r="N22" s="74">
        <f ca="1">$K$22-EFEITO!$M$22*EFEITO!$Z$22</f>
        <v>0</v>
      </c>
      <c r="O22" s="74">
        <f>$L$22-EFEITO!$O$22*EFEITO!$AA$22</f>
        <v>0</v>
      </c>
      <c r="P22" s="57"/>
      <c r="Q22" s="57"/>
      <c r="R22" s="57"/>
      <c r="S22" s="57"/>
      <c r="T22" s="57"/>
      <c r="U22" s="57"/>
      <c r="V22" s="57"/>
      <c r="W22" s="57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</row>
    <row r="23" spans="1:36" ht="11.25" customHeight="1" x14ac:dyDescent="0.2">
      <c r="A23" s="53" t="s">
        <v>21</v>
      </c>
      <c r="B23" s="53" t="s">
        <v>43</v>
      </c>
      <c r="C23" s="53" t="s">
        <v>41</v>
      </c>
      <c r="D23" s="53" t="s">
        <v>42</v>
      </c>
      <c r="E23" s="53" t="s">
        <v>25</v>
      </c>
      <c r="F23" s="53" t="s">
        <v>25</v>
      </c>
      <c r="G23" s="53" t="s">
        <v>25</v>
      </c>
      <c r="H23" s="53" t="s">
        <v>35</v>
      </c>
      <c r="I23" s="73">
        <v>44013</v>
      </c>
      <c r="J23" s="74">
        <f ca="1">EFEITO!$J$23*EFEITO!$Y$23</f>
        <v>11948.862417700586</v>
      </c>
      <c r="K23" s="74">
        <f ca="1">EFEITO!$L$23*EFEITO!$Z$23</f>
        <v>1375.5797289962893</v>
      </c>
      <c r="L23" s="74">
        <f>EFEITO!$N$23*EFEITO!$AA$23</f>
        <v>8072.114072533047</v>
      </c>
      <c r="M23" s="74">
        <f ca="1">$J$23-EFEITO!$K$23*EFEITO!$Y$23</f>
        <v>0</v>
      </c>
      <c r="N23" s="74">
        <f ca="1">$K$23-EFEITO!$M$23*EFEITO!$Z$23</f>
        <v>0</v>
      </c>
      <c r="O23" s="74">
        <f>$L$23-EFEITO!$O$23*EFEITO!$AA$23</f>
        <v>0</v>
      </c>
      <c r="P23" s="57"/>
      <c r="Q23" s="57"/>
      <c r="R23" s="57"/>
      <c r="S23" s="57"/>
      <c r="T23" s="57"/>
      <c r="U23" s="57"/>
      <c r="V23" s="57"/>
      <c r="W23" s="57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</row>
    <row r="24" spans="1:36" ht="11.25" customHeight="1" x14ac:dyDescent="0.2">
      <c r="A24" s="53" t="s">
        <v>21</v>
      </c>
      <c r="B24" s="53" t="s">
        <v>43</v>
      </c>
      <c r="C24" s="53" t="s">
        <v>41</v>
      </c>
      <c r="D24" s="53" t="s">
        <v>42</v>
      </c>
      <c r="E24" s="53" t="s">
        <v>25</v>
      </c>
      <c r="F24" s="53" t="s">
        <v>25</v>
      </c>
      <c r="G24" s="53" t="s">
        <v>25</v>
      </c>
      <c r="H24" s="53" t="s">
        <v>35</v>
      </c>
      <c r="I24" s="73">
        <v>44044</v>
      </c>
      <c r="J24" s="74">
        <f ca="1">EFEITO!$J$24*EFEITO!$Y$24</f>
        <v>11948.862417700586</v>
      </c>
      <c r="K24" s="74">
        <f ca="1">EFEITO!$L$24*EFEITO!$Z$24</f>
        <v>710.58174681791934</v>
      </c>
      <c r="L24" s="74">
        <f>EFEITO!$N$24*EFEITO!$AA$24</f>
        <v>4169.8033180230987</v>
      </c>
      <c r="M24" s="74">
        <f ca="1">$J$24-EFEITO!$K$24*EFEITO!$Y$24</f>
        <v>0</v>
      </c>
      <c r="N24" s="74">
        <f ca="1">$K$24-EFEITO!$M$24*EFEITO!$Z$24</f>
        <v>0</v>
      </c>
      <c r="O24" s="74">
        <f>$L$24-EFEITO!$O$24*EFEITO!$AA$24</f>
        <v>0</v>
      </c>
      <c r="P24" s="57"/>
      <c r="Q24" s="57"/>
      <c r="R24" s="57"/>
      <c r="S24" s="57"/>
      <c r="T24" s="57"/>
      <c r="U24" s="57"/>
      <c r="V24" s="57"/>
      <c r="W24" s="57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</row>
    <row r="25" spans="1:36" ht="11.25" customHeight="1" x14ac:dyDescent="0.2">
      <c r="A25" s="53" t="s">
        <v>59</v>
      </c>
      <c r="B25" s="53" t="s">
        <v>43</v>
      </c>
      <c r="C25" s="53" t="s">
        <v>41</v>
      </c>
      <c r="D25" s="53" t="s">
        <v>42</v>
      </c>
      <c r="E25" s="53" t="s">
        <v>25</v>
      </c>
      <c r="F25" s="53" t="s">
        <v>25</v>
      </c>
      <c r="G25" s="53" t="s">
        <v>25</v>
      </c>
      <c r="H25" s="53" t="s">
        <v>35</v>
      </c>
      <c r="I25" s="73">
        <v>44075</v>
      </c>
      <c r="J25" s="74">
        <f ca="1">EFEITO!$J$25*EFEITO!$Y$25</f>
        <v>11948.862417700586</v>
      </c>
      <c r="K25" s="74">
        <f ca="1">EFEITO!$L$25*EFEITO!$Z$25</f>
        <v>710.58174681791934</v>
      </c>
      <c r="L25" s="74">
        <f>EFEITO!$N$25*EFEITO!$AA$25</f>
        <v>4169.8033180230987</v>
      </c>
      <c r="M25" s="74">
        <f ca="1">$J$25-EFEITO!$K$25*EFEITO!$Y$25</f>
        <v>0</v>
      </c>
      <c r="N25" s="74">
        <f ca="1">$K$25-EFEITO!$M$25*EFEITO!$Z$25</f>
        <v>0</v>
      </c>
      <c r="O25" s="74">
        <f>$L$25-EFEITO!$O$25*EFEITO!$AA$25</f>
        <v>0</v>
      </c>
      <c r="P25" s="57"/>
      <c r="Q25" s="57"/>
      <c r="R25" s="57"/>
      <c r="S25" s="57"/>
      <c r="T25" s="57"/>
      <c r="U25" s="57"/>
      <c r="V25" s="57"/>
      <c r="W25" s="57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</row>
    <row r="26" spans="1:36" ht="11.25" customHeight="1" x14ac:dyDescent="0.2">
      <c r="A26" s="53" t="s">
        <v>21</v>
      </c>
      <c r="B26" s="53" t="s">
        <v>43</v>
      </c>
      <c r="C26" s="53" t="s">
        <v>41</v>
      </c>
      <c r="D26" s="53" t="s">
        <v>40</v>
      </c>
      <c r="E26" s="53" t="s">
        <v>25</v>
      </c>
      <c r="F26" s="53" t="s">
        <v>61</v>
      </c>
      <c r="G26" s="53" t="s">
        <v>25</v>
      </c>
      <c r="H26" s="53" t="s">
        <v>36</v>
      </c>
      <c r="I26" s="73">
        <v>43739</v>
      </c>
      <c r="J26" s="74">
        <f ca="1">EFEITO!$J$26*EFEITO!$Y$26</f>
        <v>169374.50107617548</v>
      </c>
      <c r="K26" s="74">
        <f ca="1">EFEITO!$L$26*EFEITO!$Z$26</f>
        <v>0</v>
      </c>
      <c r="L26" s="74">
        <f>EFEITO!$N$26*EFEITO!$AA$26</f>
        <v>0</v>
      </c>
      <c r="M26" s="74">
        <f ca="1">$J$26-EFEITO!$K$26*EFEITO!$Y$26</f>
        <v>0</v>
      </c>
      <c r="N26" s="74">
        <f ca="1">$K$26-EFEITO!$M$26*EFEITO!$Z$26</f>
        <v>0</v>
      </c>
      <c r="O26" s="74">
        <f>$L$26-EFEITO!$O$26*EFEITO!$AA$26</f>
        <v>0</v>
      </c>
      <c r="P26" s="57"/>
      <c r="Q26" s="57"/>
      <c r="R26" s="57"/>
      <c r="S26" s="57"/>
      <c r="T26" s="57"/>
      <c r="U26" s="57"/>
      <c r="V26" s="57"/>
      <c r="W26" s="57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</row>
    <row r="27" spans="1:36" ht="11.25" customHeight="1" x14ac:dyDescent="0.2">
      <c r="A27" s="53" t="s">
        <v>21</v>
      </c>
      <c r="B27" s="53" t="s">
        <v>43</v>
      </c>
      <c r="C27" s="53" t="s">
        <v>41</v>
      </c>
      <c r="D27" s="53" t="s">
        <v>40</v>
      </c>
      <c r="E27" s="53" t="s">
        <v>25</v>
      </c>
      <c r="F27" s="53" t="s">
        <v>61</v>
      </c>
      <c r="G27" s="53" t="s">
        <v>25</v>
      </c>
      <c r="H27" s="53" t="s">
        <v>36</v>
      </c>
      <c r="I27" s="73">
        <v>43770</v>
      </c>
      <c r="J27" s="74">
        <f ca="1">EFEITO!$J$27*EFEITO!$Y$27</f>
        <v>169374.50107617548</v>
      </c>
      <c r="K27" s="74">
        <f ca="1">EFEITO!$L$27*EFEITO!$Z$27</f>
        <v>0</v>
      </c>
      <c r="L27" s="74">
        <f>EFEITO!$N$27*EFEITO!$AA$27</f>
        <v>0</v>
      </c>
      <c r="M27" s="74">
        <f ca="1">$J$27-EFEITO!$K$27*EFEITO!$Y$27</f>
        <v>0</v>
      </c>
      <c r="N27" s="74">
        <f ca="1">$K$27-EFEITO!$M$27*EFEITO!$Z$27</f>
        <v>0</v>
      </c>
      <c r="O27" s="74">
        <f>$L$27-EFEITO!$O$27*EFEITO!$AA$27</f>
        <v>0</v>
      </c>
      <c r="P27" s="57"/>
      <c r="Q27" s="57"/>
      <c r="R27" s="57"/>
      <c r="S27" s="57"/>
      <c r="T27" s="57"/>
      <c r="U27" s="57"/>
      <c r="V27" s="57"/>
      <c r="W27" s="57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</row>
    <row r="28" spans="1:36" ht="11.25" customHeight="1" x14ac:dyDescent="0.2">
      <c r="A28" s="53" t="s">
        <v>21</v>
      </c>
      <c r="B28" s="53" t="s">
        <v>43</v>
      </c>
      <c r="C28" s="53" t="s">
        <v>41</v>
      </c>
      <c r="D28" s="53" t="s">
        <v>40</v>
      </c>
      <c r="E28" s="53" t="s">
        <v>25</v>
      </c>
      <c r="F28" s="53" t="s">
        <v>61</v>
      </c>
      <c r="G28" s="53" t="s">
        <v>25</v>
      </c>
      <c r="H28" s="53" t="s">
        <v>36</v>
      </c>
      <c r="I28" s="73">
        <v>43800</v>
      </c>
      <c r="J28" s="74">
        <f ca="1">EFEITO!$J$28*EFEITO!$Y$28</f>
        <v>169374.50107617548</v>
      </c>
      <c r="K28" s="74">
        <f ca="1">EFEITO!$L$28*EFEITO!$Z$28</f>
        <v>0</v>
      </c>
      <c r="L28" s="74">
        <f>EFEITO!$N$28*EFEITO!$AA$28</f>
        <v>0</v>
      </c>
      <c r="M28" s="74">
        <f ca="1">$J$28-EFEITO!$K$28*EFEITO!$Y$28</f>
        <v>0</v>
      </c>
      <c r="N28" s="74">
        <f ca="1">$K$28-EFEITO!$M$28*EFEITO!$Z$28</f>
        <v>0</v>
      </c>
      <c r="O28" s="74">
        <f>$L$28-EFEITO!$O$28*EFEITO!$AA$28</f>
        <v>0</v>
      </c>
      <c r="P28" s="57"/>
      <c r="Q28" s="57"/>
      <c r="R28" s="57"/>
      <c r="S28" s="57"/>
      <c r="T28" s="57"/>
      <c r="U28" s="57"/>
      <c r="V28" s="57"/>
      <c r="W28" s="57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</row>
    <row r="29" spans="1:36" ht="11.25" customHeight="1" x14ac:dyDescent="0.2">
      <c r="A29" s="53" t="s">
        <v>21</v>
      </c>
      <c r="B29" s="53" t="s">
        <v>43</v>
      </c>
      <c r="C29" s="53" t="s">
        <v>41</v>
      </c>
      <c r="D29" s="53" t="s">
        <v>40</v>
      </c>
      <c r="E29" s="53" t="s">
        <v>25</v>
      </c>
      <c r="F29" s="53" t="s">
        <v>61</v>
      </c>
      <c r="G29" s="53" t="s">
        <v>25</v>
      </c>
      <c r="H29" s="53" t="s">
        <v>36</v>
      </c>
      <c r="I29" s="73">
        <v>43831</v>
      </c>
      <c r="J29" s="74">
        <f ca="1">EFEITO!$J$29*EFEITO!$Y$29</f>
        <v>169374.50107617548</v>
      </c>
      <c r="K29" s="74">
        <f ca="1">EFEITO!$L$29*EFEITO!$Z$29</f>
        <v>0</v>
      </c>
      <c r="L29" s="74">
        <f>EFEITO!$N$29*EFEITO!$AA$29</f>
        <v>0</v>
      </c>
      <c r="M29" s="74">
        <f ca="1">$J$29-EFEITO!$K$29*EFEITO!$Y$29</f>
        <v>0</v>
      </c>
      <c r="N29" s="74">
        <f ca="1">$K$29-EFEITO!$M$29*EFEITO!$Z$29</f>
        <v>0</v>
      </c>
      <c r="O29" s="74">
        <f>$L$29-EFEITO!$O$29*EFEITO!$AA$29</f>
        <v>0</v>
      </c>
      <c r="P29" s="57"/>
      <c r="Q29" s="57"/>
      <c r="R29" s="57"/>
      <c r="S29" s="57"/>
      <c r="T29" s="57"/>
      <c r="U29" s="57"/>
      <c r="V29" s="57"/>
      <c r="W29" s="57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</row>
    <row r="30" spans="1:36" ht="11.25" customHeight="1" x14ac:dyDescent="0.2">
      <c r="A30" s="53" t="s">
        <v>21</v>
      </c>
      <c r="B30" s="53" t="s">
        <v>43</v>
      </c>
      <c r="C30" s="53" t="s">
        <v>41</v>
      </c>
      <c r="D30" s="53" t="s">
        <v>40</v>
      </c>
      <c r="E30" s="53" t="s">
        <v>25</v>
      </c>
      <c r="F30" s="53" t="s">
        <v>61</v>
      </c>
      <c r="G30" s="53" t="s">
        <v>25</v>
      </c>
      <c r="H30" s="53" t="s">
        <v>36</v>
      </c>
      <c r="I30" s="73">
        <v>43862</v>
      </c>
      <c r="J30" s="74">
        <f ca="1">EFEITO!$J$30*EFEITO!$Y$30</f>
        <v>169374.50107617548</v>
      </c>
      <c r="K30" s="74">
        <f ca="1">EFEITO!$L$30*EFEITO!$Z$30</f>
        <v>0</v>
      </c>
      <c r="L30" s="74">
        <f>EFEITO!$N$30*EFEITO!$AA$30</f>
        <v>0</v>
      </c>
      <c r="M30" s="74">
        <f ca="1">$J$30-EFEITO!$K$30*EFEITO!$Y$30</f>
        <v>0</v>
      </c>
      <c r="N30" s="74">
        <f ca="1">$K$30-EFEITO!$M$30*EFEITO!$Z$30</f>
        <v>0</v>
      </c>
      <c r="O30" s="74">
        <f>$L$30-EFEITO!$O$30*EFEITO!$AA$30</f>
        <v>0</v>
      </c>
      <c r="P30" s="57"/>
      <c r="Q30" s="57"/>
      <c r="R30" s="57"/>
      <c r="S30" s="57"/>
      <c r="T30" s="57"/>
      <c r="U30" s="57"/>
      <c r="V30" s="57"/>
      <c r="W30" s="57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</row>
    <row r="31" spans="1:36" ht="11.25" customHeight="1" x14ac:dyDescent="0.2">
      <c r="A31" s="53" t="s">
        <v>21</v>
      </c>
      <c r="B31" s="53" t="s">
        <v>43</v>
      </c>
      <c r="C31" s="53" t="s">
        <v>41</v>
      </c>
      <c r="D31" s="53" t="s">
        <v>40</v>
      </c>
      <c r="E31" s="53" t="s">
        <v>25</v>
      </c>
      <c r="F31" s="53" t="s">
        <v>61</v>
      </c>
      <c r="G31" s="53" t="s">
        <v>25</v>
      </c>
      <c r="H31" s="53" t="s">
        <v>36</v>
      </c>
      <c r="I31" s="73">
        <v>43891</v>
      </c>
      <c r="J31" s="74">
        <f ca="1">EFEITO!$J$31*EFEITO!$Y$31</f>
        <v>169374.50107617548</v>
      </c>
      <c r="K31" s="74">
        <f ca="1">EFEITO!$L$31*EFEITO!$Z$31</f>
        <v>0</v>
      </c>
      <c r="L31" s="74">
        <f>EFEITO!$N$31*EFEITO!$AA$31</f>
        <v>0</v>
      </c>
      <c r="M31" s="74">
        <f ca="1">$J$31-EFEITO!$K$31*EFEITO!$Y$31</f>
        <v>0</v>
      </c>
      <c r="N31" s="74">
        <f ca="1">$K$31-EFEITO!$M$31*EFEITO!$Z$31</f>
        <v>0</v>
      </c>
      <c r="O31" s="74">
        <f>$L$31-EFEITO!$O$31*EFEITO!$AA$31</f>
        <v>0</v>
      </c>
      <c r="P31" s="57"/>
      <c r="Q31" s="57"/>
      <c r="R31" s="57"/>
      <c r="S31" s="57"/>
      <c r="T31" s="57"/>
      <c r="U31" s="57"/>
      <c r="V31" s="57"/>
      <c r="W31" s="57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</row>
    <row r="32" spans="1:36" ht="11.25" customHeight="1" x14ac:dyDescent="0.2">
      <c r="A32" s="53" t="s">
        <v>21</v>
      </c>
      <c r="B32" s="53" t="s">
        <v>43</v>
      </c>
      <c r="C32" s="53" t="s">
        <v>41</v>
      </c>
      <c r="D32" s="53" t="s">
        <v>40</v>
      </c>
      <c r="E32" s="53" t="s">
        <v>25</v>
      </c>
      <c r="F32" s="53" t="s">
        <v>61</v>
      </c>
      <c r="G32" s="53" t="s">
        <v>25</v>
      </c>
      <c r="H32" s="53" t="s">
        <v>36</v>
      </c>
      <c r="I32" s="73">
        <v>43922</v>
      </c>
      <c r="J32" s="74">
        <f ca="1">EFEITO!$J$32*EFEITO!$Y$32</f>
        <v>169374.50107617548</v>
      </c>
      <c r="K32" s="74">
        <f ca="1">EFEITO!$L$32*EFEITO!$Z$32</f>
        <v>0</v>
      </c>
      <c r="L32" s="74">
        <f>EFEITO!$N$32*EFEITO!$AA$32</f>
        <v>0</v>
      </c>
      <c r="M32" s="74">
        <f ca="1">$J$32-EFEITO!$K$32*EFEITO!$Y$32</f>
        <v>0</v>
      </c>
      <c r="N32" s="74">
        <f ca="1">$K$32-EFEITO!$M$32*EFEITO!$Z$32</f>
        <v>0</v>
      </c>
      <c r="O32" s="74">
        <f>$L$32-EFEITO!$O$32*EFEITO!$AA$32</f>
        <v>0</v>
      </c>
      <c r="P32" s="57"/>
      <c r="Q32" s="57"/>
      <c r="R32" s="57"/>
      <c r="S32" s="57"/>
      <c r="T32" s="57"/>
      <c r="U32" s="57"/>
      <c r="V32" s="57"/>
      <c r="W32" s="57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</row>
    <row r="33" spans="1:36" ht="11.25" customHeight="1" x14ac:dyDescent="0.2">
      <c r="A33" s="53" t="s">
        <v>21</v>
      </c>
      <c r="B33" s="53" t="s">
        <v>43</v>
      </c>
      <c r="C33" s="53" t="s">
        <v>41</v>
      </c>
      <c r="D33" s="53" t="s">
        <v>40</v>
      </c>
      <c r="E33" s="53" t="s">
        <v>25</v>
      </c>
      <c r="F33" s="53" t="s">
        <v>61</v>
      </c>
      <c r="G33" s="53" t="s">
        <v>25</v>
      </c>
      <c r="H33" s="53" t="s">
        <v>36</v>
      </c>
      <c r="I33" s="73">
        <v>43952</v>
      </c>
      <c r="J33" s="74">
        <f ca="1">EFEITO!$J$33*EFEITO!$Y$33</f>
        <v>169374.50107617548</v>
      </c>
      <c r="K33" s="74">
        <f ca="1">EFEITO!$L$33*EFEITO!$Z$33</f>
        <v>0</v>
      </c>
      <c r="L33" s="74">
        <f>EFEITO!$N$33*EFEITO!$AA$33</f>
        <v>0</v>
      </c>
      <c r="M33" s="74">
        <f ca="1">$J$33-EFEITO!$K$33*EFEITO!$Y$33</f>
        <v>0</v>
      </c>
      <c r="N33" s="74">
        <f ca="1">$K$33-EFEITO!$M$33*EFEITO!$Z$33</f>
        <v>0</v>
      </c>
      <c r="O33" s="74">
        <f>$L$33-EFEITO!$O$33*EFEITO!$AA$33</f>
        <v>0</v>
      </c>
      <c r="P33" s="57"/>
      <c r="Q33" s="57"/>
      <c r="R33" s="57"/>
      <c r="S33" s="57"/>
      <c r="T33" s="57"/>
      <c r="U33" s="57"/>
      <c r="V33" s="57"/>
      <c r="W33" s="57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</row>
    <row r="34" spans="1:36" ht="11.25" customHeight="1" x14ac:dyDescent="0.2">
      <c r="A34" s="53" t="s">
        <v>21</v>
      </c>
      <c r="B34" s="53" t="s">
        <v>43</v>
      </c>
      <c r="C34" s="53" t="s">
        <v>41</v>
      </c>
      <c r="D34" s="53" t="s">
        <v>40</v>
      </c>
      <c r="E34" s="53" t="s">
        <v>25</v>
      </c>
      <c r="F34" s="53" t="s">
        <v>61</v>
      </c>
      <c r="G34" s="53" t="s">
        <v>25</v>
      </c>
      <c r="H34" s="53" t="s">
        <v>36</v>
      </c>
      <c r="I34" s="73">
        <v>43983</v>
      </c>
      <c r="J34" s="74">
        <f ca="1">EFEITO!$J$34*EFEITO!$Y$34</f>
        <v>169374.50107617548</v>
      </c>
      <c r="K34" s="74">
        <f ca="1">EFEITO!$L$34*EFEITO!$Z$34</f>
        <v>0</v>
      </c>
      <c r="L34" s="74">
        <f>EFEITO!$N$34*EFEITO!$AA$34</f>
        <v>0</v>
      </c>
      <c r="M34" s="74">
        <f ca="1">$J$34-EFEITO!$K$34*EFEITO!$Y$34</f>
        <v>0</v>
      </c>
      <c r="N34" s="74">
        <f ca="1">$K$34-EFEITO!$M$34*EFEITO!$Z$34</f>
        <v>0</v>
      </c>
      <c r="O34" s="74">
        <f>$L$34-EFEITO!$O$34*EFEITO!$AA$34</f>
        <v>0</v>
      </c>
      <c r="P34" s="57"/>
      <c r="Q34" s="57"/>
      <c r="R34" s="57"/>
      <c r="S34" s="57"/>
      <c r="T34" s="57"/>
      <c r="U34" s="57"/>
      <c r="V34" s="57"/>
      <c r="W34" s="57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</row>
    <row r="35" spans="1:36" ht="11.25" customHeight="1" x14ac:dyDescent="0.2">
      <c r="A35" s="53" t="s">
        <v>21</v>
      </c>
      <c r="B35" s="53" t="s">
        <v>43</v>
      </c>
      <c r="C35" s="53" t="s">
        <v>41</v>
      </c>
      <c r="D35" s="53" t="s">
        <v>40</v>
      </c>
      <c r="E35" s="53" t="s">
        <v>25</v>
      </c>
      <c r="F35" s="53" t="s">
        <v>61</v>
      </c>
      <c r="G35" s="53" t="s">
        <v>25</v>
      </c>
      <c r="H35" s="53" t="s">
        <v>36</v>
      </c>
      <c r="I35" s="73">
        <v>44013</v>
      </c>
      <c r="J35" s="74">
        <f ca="1">EFEITO!$J$35*EFEITO!$Y$35</f>
        <v>169374.50107617548</v>
      </c>
      <c r="K35" s="74">
        <f ca="1">EFEITO!$L$35*EFEITO!$Z$35</f>
        <v>0</v>
      </c>
      <c r="L35" s="74">
        <f>EFEITO!$N$35*EFEITO!$AA$35</f>
        <v>0</v>
      </c>
      <c r="M35" s="74">
        <f ca="1">$J$35-EFEITO!$K$35*EFEITO!$Y$35</f>
        <v>0</v>
      </c>
      <c r="N35" s="74">
        <f ca="1">$K$35-EFEITO!$M$35*EFEITO!$Z$35</f>
        <v>0</v>
      </c>
      <c r="O35" s="74">
        <f>$L$35-EFEITO!$O$35*EFEITO!$AA$35</f>
        <v>0</v>
      </c>
      <c r="P35" s="57"/>
      <c r="Q35" s="57"/>
      <c r="R35" s="57"/>
      <c r="S35" s="57"/>
      <c r="T35" s="57"/>
      <c r="U35" s="57"/>
      <c r="V35" s="57"/>
      <c r="W35" s="57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</row>
    <row r="36" spans="1:36" ht="11.25" customHeight="1" x14ac:dyDescent="0.2">
      <c r="A36" s="53" t="s">
        <v>21</v>
      </c>
      <c r="B36" s="53" t="s">
        <v>43</v>
      </c>
      <c r="C36" s="53" t="s">
        <v>41</v>
      </c>
      <c r="D36" s="53" t="s">
        <v>40</v>
      </c>
      <c r="E36" s="53" t="s">
        <v>25</v>
      </c>
      <c r="F36" s="53" t="s">
        <v>61</v>
      </c>
      <c r="G36" s="53" t="s">
        <v>25</v>
      </c>
      <c r="H36" s="53" t="s">
        <v>36</v>
      </c>
      <c r="I36" s="73">
        <v>44044</v>
      </c>
      <c r="J36" s="74">
        <f ca="1">EFEITO!$J$36*EFEITO!$Y$36</f>
        <v>169374.50107617548</v>
      </c>
      <c r="K36" s="74">
        <f ca="1">EFEITO!$L$36*EFEITO!$Z$36</f>
        <v>0</v>
      </c>
      <c r="L36" s="74">
        <f>EFEITO!$N$36*EFEITO!$AA$36</f>
        <v>0</v>
      </c>
      <c r="M36" s="74">
        <f ca="1">$J$36-EFEITO!$K$36*EFEITO!$Y$36</f>
        <v>0</v>
      </c>
      <c r="N36" s="74">
        <f ca="1">$K$36-EFEITO!$M$36*EFEITO!$Z$36</f>
        <v>0</v>
      </c>
      <c r="O36" s="74">
        <f>$L$36-EFEITO!$O$36*EFEITO!$AA$36</f>
        <v>0</v>
      </c>
      <c r="P36" s="57"/>
      <c r="Q36" s="57"/>
      <c r="R36" s="57"/>
      <c r="S36" s="57"/>
      <c r="T36" s="57"/>
      <c r="U36" s="57"/>
      <c r="V36" s="57"/>
      <c r="W36" s="57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</row>
    <row r="37" spans="1:36" ht="11.25" customHeight="1" x14ac:dyDescent="0.2">
      <c r="A37" s="53" t="s">
        <v>59</v>
      </c>
      <c r="B37" s="53" t="s">
        <v>43</v>
      </c>
      <c r="C37" s="53" t="s">
        <v>41</v>
      </c>
      <c r="D37" s="53" t="s">
        <v>40</v>
      </c>
      <c r="E37" s="53" t="s">
        <v>25</v>
      </c>
      <c r="F37" s="53" t="s">
        <v>61</v>
      </c>
      <c r="G37" s="53" t="s">
        <v>25</v>
      </c>
      <c r="H37" s="53" t="s">
        <v>36</v>
      </c>
      <c r="I37" s="73">
        <v>44075</v>
      </c>
      <c r="J37" s="74">
        <f ca="1">EFEITO!$J$37*EFEITO!$Y$37</f>
        <v>169374.50107617548</v>
      </c>
      <c r="K37" s="74">
        <f ca="1">EFEITO!$L$37*EFEITO!$Z$37</f>
        <v>0</v>
      </c>
      <c r="L37" s="74">
        <f>EFEITO!$N$37*EFEITO!$AA$37</f>
        <v>0</v>
      </c>
      <c r="M37" s="74">
        <f ca="1">$J$37-EFEITO!$K$37*EFEITO!$Y$37</f>
        <v>0</v>
      </c>
      <c r="N37" s="74">
        <f ca="1">$K$37-EFEITO!$M$37*EFEITO!$Z$37</f>
        <v>0</v>
      </c>
      <c r="O37" s="74">
        <f>$L$37-EFEITO!$O$37*EFEITO!$AA$37</f>
        <v>0</v>
      </c>
      <c r="P37" s="57"/>
      <c r="Q37" s="57"/>
      <c r="R37" s="57"/>
      <c r="S37" s="57"/>
      <c r="T37" s="57"/>
      <c r="U37" s="57"/>
      <c r="V37" s="57"/>
      <c r="W37" s="57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</row>
    <row r="38" spans="1:36" ht="11.25" customHeight="1" x14ac:dyDescent="0.2">
      <c r="A38" s="53" t="s">
        <v>21</v>
      </c>
      <c r="B38" s="53" t="s">
        <v>43</v>
      </c>
      <c r="C38" s="53" t="s">
        <v>41</v>
      </c>
      <c r="D38" s="53" t="s">
        <v>40</v>
      </c>
      <c r="E38" s="53" t="s">
        <v>25</v>
      </c>
      <c r="F38" s="53" t="s">
        <v>61</v>
      </c>
      <c r="G38" s="53" t="s">
        <v>25</v>
      </c>
      <c r="H38" s="53" t="s">
        <v>25</v>
      </c>
      <c r="I38" s="73">
        <v>43739</v>
      </c>
      <c r="J38" s="74">
        <f>EFEITO!$J$38*EFEITO!$Y$38</f>
        <v>0</v>
      </c>
      <c r="K38" s="74">
        <f ca="1">EFEITO!$L$38*EFEITO!$Z$38</f>
        <v>84099.501846648956</v>
      </c>
      <c r="L38" s="74">
        <f>EFEITO!$N$38*EFEITO!$AA$38</f>
        <v>0</v>
      </c>
      <c r="M38" s="74">
        <f>$J$38-EFEITO!$K$38*EFEITO!$Y$38</f>
        <v>0</v>
      </c>
      <c r="N38" s="74">
        <f ca="1">$K$38-EFEITO!$M$38*EFEITO!$Z$38</f>
        <v>0</v>
      </c>
      <c r="O38" s="74">
        <f>$L$38-EFEITO!$O$38*EFEITO!$AA$38</f>
        <v>0</v>
      </c>
      <c r="P38" s="57"/>
      <c r="Q38" s="57"/>
      <c r="R38" s="57"/>
      <c r="S38" s="57"/>
      <c r="T38" s="57"/>
      <c r="U38" s="57"/>
      <c r="V38" s="57"/>
      <c r="W38" s="57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</row>
    <row r="39" spans="1:36" ht="11.25" customHeight="1" x14ac:dyDescent="0.2">
      <c r="A39" s="53" t="s">
        <v>21</v>
      </c>
      <c r="B39" s="53" t="s">
        <v>43</v>
      </c>
      <c r="C39" s="53" t="s">
        <v>41</v>
      </c>
      <c r="D39" s="53" t="s">
        <v>40</v>
      </c>
      <c r="E39" s="53" t="s">
        <v>25</v>
      </c>
      <c r="F39" s="53" t="s">
        <v>61</v>
      </c>
      <c r="G39" s="53" t="s">
        <v>25</v>
      </c>
      <c r="H39" s="53" t="s">
        <v>25</v>
      </c>
      <c r="I39" s="73">
        <v>43770</v>
      </c>
      <c r="J39" s="74">
        <f>EFEITO!$J$39*EFEITO!$Y$39</f>
        <v>0</v>
      </c>
      <c r="K39" s="74">
        <f ca="1">EFEITO!$L$39*EFEITO!$Z$39</f>
        <v>76704.909739145194</v>
      </c>
      <c r="L39" s="74">
        <f>EFEITO!$N$39*EFEITO!$AA$39</f>
        <v>0</v>
      </c>
      <c r="M39" s="74">
        <f>$J$39-EFEITO!$K$39*EFEITO!$Y$39</f>
        <v>0</v>
      </c>
      <c r="N39" s="74">
        <f ca="1">$K$39-EFEITO!$M$39*EFEITO!$Z$39</f>
        <v>0</v>
      </c>
      <c r="O39" s="74">
        <f>$L$39-EFEITO!$O$39*EFEITO!$AA$39</f>
        <v>0</v>
      </c>
      <c r="P39" s="57"/>
      <c r="Q39" s="57"/>
      <c r="R39" s="57"/>
      <c r="S39" s="57"/>
      <c r="T39" s="57"/>
      <c r="U39" s="57"/>
      <c r="V39" s="57"/>
      <c r="W39" s="57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</row>
    <row r="40" spans="1:36" ht="11.25" customHeight="1" x14ac:dyDescent="0.2">
      <c r="A40" s="53" t="s">
        <v>21</v>
      </c>
      <c r="B40" s="53" t="s">
        <v>43</v>
      </c>
      <c r="C40" s="53" t="s">
        <v>41</v>
      </c>
      <c r="D40" s="53" t="s">
        <v>40</v>
      </c>
      <c r="E40" s="53" t="s">
        <v>25</v>
      </c>
      <c r="F40" s="53" t="s">
        <v>61</v>
      </c>
      <c r="G40" s="53" t="s">
        <v>25</v>
      </c>
      <c r="H40" s="53" t="s">
        <v>25</v>
      </c>
      <c r="I40" s="73">
        <v>43800</v>
      </c>
      <c r="J40" s="74">
        <f>EFEITO!$J$40*EFEITO!$Y$40</f>
        <v>0</v>
      </c>
      <c r="K40" s="74">
        <f ca="1">EFEITO!$L$40*EFEITO!$Z$40</f>
        <v>77785.893258494529</v>
      </c>
      <c r="L40" s="74">
        <f>EFEITO!$N$40*EFEITO!$AA$40</f>
        <v>0</v>
      </c>
      <c r="M40" s="74">
        <f>$J$40-EFEITO!$K$40*EFEITO!$Y$40</f>
        <v>0</v>
      </c>
      <c r="N40" s="74">
        <f ca="1">$K$40-EFEITO!$M$40*EFEITO!$Z$40</f>
        <v>0</v>
      </c>
      <c r="O40" s="74">
        <f>$L$40-EFEITO!$O$40*EFEITO!$AA$40</f>
        <v>0</v>
      </c>
      <c r="P40" s="57"/>
      <c r="Q40" s="57"/>
      <c r="R40" s="57"/>
      <c r="S40" s="57"/>
      <c r="T40" s="57"/>
      <c r="U40" s="57"/>
      <c r="V40" s="57"/>
      <c r="W40" s="57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</row>
    <row r="41" spans="1:36" ht="11.25" customHeight="1" x14ac:dyDescent="0.2">
      <c r="A41" s="53" t="s">
        <v>21</v>
      </c>
      <c r="B41" s="53" t="s">
        <v>43</v>
      </c>
      <c r="C41" s="53" t="s">
        <v>41</v>
      </c>
      <c r="D41" s="53" t="s">
        <v>40</v>
      </c>
      <c r="E41" s="53" t="s">
        <v>25</v>
      </c>
      <c r="F41" s="53" t="s">
        <v>61</v>
      </c>
      <c r="G41" s="53" t="s">
        <v>25</v>
      </c>
      <c r="H41" s="53" t="s">
        <v>25</v>
      </c>
      <c r="I41" s="73">
        <v>43831</v>
      </c>
      <c r="J41" s="74">
        <f>EFEITO!$J$41*EFEITO!$Y$41</f>
        <v>0</v>
      </c>
      <c r="K41" s="74">
        <f ca="1">EFEITO!$L$41*EFEITO!$Z$41</f>
        <v>67183.428627417859</v>
      </c>
      <c r="L41" s="74">
        <f>EFEITO!$N$41*EFEITO!$AA$41</f>
        <v>0</v>
      </c>
      <c r="M41" s="74">
        <f>$J$41-EFEITO!$K$41*EFEITO!$Y$41</f>
        <v>0</v>
      </c>
      <c r="N41" s="74">
        <f ca="1">$K$41-EFEITO!$M$41*EFEITO!$Z$41</f>
        <v>0</v>
      </c>
      <c r="O41" s="74">
        <f>$L$41-EFEITO!$O$41*EFEITO!$AA$41</f>
        <v>0</v>
      </c>
      <c r="P41" s="57"/>
      <c r="Q41" s="57"/>
      <c r="R41" s="57"/>
      <c r="S41" s="57"/>
      <c r="T41" s="57"/>
      <c r="U41" s="57"/>
      <c r="V41" s="57"/>
      <c r="W41" s="57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</row>
    <row r="42" spans="1:36" ht="11.25" customHeight="1" x14ac:dyDescent="0.2">
      <c r="A42" s="53" t="s">
        <v>21</v>
      </c>
      <c r="B42" s="53" t="s">
        <v>43</v>
      </c>
      <c r="C42" s="53" t="s">
        <v>41</v>
      </c>
      <c r="D42" s="53" t="s">
        <v>40</v>
      </c>
      <c r="E42" s="53" t="s">
        <v>25</v>
      </c>
      <c r="F42" s="53" t="s">
        <v>61</v>
      </c>
      <c r="G42" s="53" t="s">
        <v>25</v>
      </c>
      <c r="H42" s="53" t="s">
        <v>25</v>
      </c>
      <c r="I42" s="73">
        <v>43862</v>
      </c>
      <c r="J42" s="74">
        <f>EFEITO!$J$42*EFEITO!$Y$42</f>
        <v>0</v>
      </c>
      <c r="K42" s="74">
        <f ca="1">EFEITO!$L$42*EFEITO!$Z$42</f>
        <v>59929.002785361808</v>
      </c>
      <c r="L42" s="74">
        <f>EFEITO!$N$42*EFEITO!$AA$42</f>
        <v>0</v>
      </c>
      <c r="M42" s="74">
        <f>$J$42-EFEITO!$K$42*EFEITO!$Y$42</f>
        <v>0</v>
      </c>
      <c r="N42" s="74">
        <f ca="1">$K$42-EFEITO!$M$42*EFEITO!$Z$42</f>
        <v>0</v>
      </c>
      <c r="O42" s="74">
        <f>$L$42-EFEITO!$O$42*EFEITO!$AA$42</f>
        <v>0</v>
      </c>
      <c r="P42" s="57"/>
      <c r="Q42" s="57"/>
      <c r="R42" s="57"/>
      <c r="S42" s="57"/>
      <c r="T42" s="57"/>
      <c r="U42" s="57"/>
      <c r="V42" s="57"/>
      <c r="W42" s="57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</row>
    <row r="43" spans="1:36" ht="11.25" customHeight="1" x14ac:dyDescent="0.2">
      <c r="A43" s="53" t="s">
        <v>21</v>
      </c>
      <c r="B43" s="53" t="s">
        <v>43</v>
      </c>
      <c r="C43" s="53" t="s">
        <v>41</v>
      </c>
      <c r="D43" s="53" t="s">
        <v>40</v>
      </c>
      <c r="E43" s="53" t="s">
        <v>25</v>
      </c>
      <c r="F43" s="53" t="s">
        <v>61</v>
      </c>
      <c r="G43" s="53" t="s">
        <v>25</v>
      </c>
      <c r="H43" s="53" t="s">
        <v>25</v>
      </c>
      <c r="I43" s="73">
        <v>43891</v>
      </c>
      <c r="J43" s="74">
        <f>EFEITO!$J$43*EFEITO!$Y$43</f>
        <v>0</v>
      </c>
      <c r="K43" s="74">
        <f ca="1">EFEITO!$L$43*EFEITO!$Z$43</f>
        <v>56723.052345869728</v>
      </c>
      <c r="L43" s="74">
        <f>EFEITO!$N$43*EFEITO!$AA$43</f>
        <v>0</v>
      </c>
      <c r="M43" s="74">
        <f>$J$43-EFEITO!$K$43*EFEITO!$Y$43</f>
        <v>0</v>
      </c>
      <c r="N43" s="74">
        <f ca="1">$K$43-EFEITO!$M$43*EFEITO!$Z$43</f>
        <v>0</v>
      </c>
      <c r="O43" s="74">
        <f>$L$43-EFEITO!$O$43*EFEITO!$AA$43</f>
        <v>0</v>
      </c>
      <c r="P43" s="57"/>
      <c r="Q43" s="57"/>
      <c r="R43" s="57"/>
      <c r="S43" s="57"/>
      <c r="T43" s="57"/>
      <c r="U43" s="57"/>
      <c r="V43" s="57"/>
      <c r="W43" s="57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</row>
    <row r="44" spans="1:36" ht="11.25" customHeight="1" x14ac:dyDescent="0.2">
      <c r="A44" s="53" t="s">
        <v>21</v>
      </c>
      <c r="B44" s="53" t="s">
        <v>43</v>
      </c>
      <c r="C44" s="53" t="s">
        <v>41</v>
      </c>
      <c r="D44" s="53" t="s">
        <v>40</v>
      </c>
      <c r="E44" s="53" t="s">
        <v>25</v>
      </c>
      <c r="F44" s="53" t="s">
        <v>61</v>
      </c>
      <c r="G44" s="53" t="s">
        <v>25</v>
      </c>
      <c r="H44" s="53" t="s">
        <v>25</v>
      </c>
      <c r="I44" s="73">
        <v>43922</v>
      </c>
      <c r="J44" s="74">
        <f>EFEITO!$J$44*EFEITO!$Y$44</f>
        <v>0</v>
      </c>
      <c r="K44" s="74">
        <f ca="1">EFEITO!$L$44*EFEITO!$Z$44</f>
        <v>76559.903940565418</v>
      </c>
      <c r="L44" s="74">
        <f>EFEITO!$N$44*EFEITO!$AA$44</f>
        <v>0</v>
      </c>
      <c r="M44" s="74">
        <f>$J$44-EFEITO!$K$44*EFEITO!$Y$44</f>
        <v>0</v>
      </c>
      <c r="N44" s="74">
        <f ca="1">$K$44-EFEITO!$M$44*EFEITO!$Z$44</f>
        <v>0</v>
      </c>
      <c r="O44" s="74">
        <f>$L$44-EFEITO!$O$44*EFEITO!$AA$44</f>
        <v>0</v>
      </c>
      <c r="P44" s="57"/>
      <c r="Q44" s="57"/>
      <c r="R44" s="57"/>
      <c r="S44" s="57"/>
      <c r="T44" s="57"/>
      <c r="U44" s="57"/>
      <c r="V44" s="57"/>
      <c r="W44" s="57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</row>
    <row r="45" spans="1:36" ht="11.25" customHeight="1" x14ac:dyDescent="0.2">
      <c r="A45" s="53" t="s">
        <v>21</v>
      </c>
      <c r="B45" s="53" t="s">
        <v>43</v>
      </c>
      <c r="C45" s="53" t="s">
        <v>41</v>
      </c>
      <c r="D45" s="53" t="s">
        <v>40</v>
      </c>
      <c r="E45" s="53" t="s">
        <v>25</v>
      </c>
      <c r="F45" s="53" t="s">
        <v>61</v>
      </c>
      <c r="G45" s="53" t="s">
        <v>25</v>
      </c>
      <c r="H45" s="53" t="s">
        <v>25</v>
      </c>
      <c r="I45" s="73">
        <v>43952</v>
      </c>
      <c r="J45" s="74">
        <f>EFEITO!$J$45*EFEITO!$Y$45</f>
        <v>0</v>
      </c>
      <c r="K45" s="74">
        <f ca="1">EFEITO!$L$45*EFEITO!$Z$45</f>
        <v>91333.170896778596</v>
      </c>
      <c r="L45" s="74">
        <f>EFEITO!$N$45*EFEITO!$AA$45</f>
        <v>0</v>
      </c>
      <c r="M45" s="74">
        <f>$J$45-EFEITO!$K$45*EFEITO!$Y$45</f>
        <v>0</v>
      </c>
      <c r="N45" s="74">
        <f ca="1">$K$45-EFEITO!$M$45*EFEITO!$Z$45</f>
        <v>0</v>
      </c>
      <c r="O45" s="74">
        <f>$L$45-EFEITO!$O$45*EFEITO!$AA$45</f>
        <v>0</v>
      </c>
      <c r="P45" s="57"/>
      <c r="Q45" s="57"/>
      <c r="R45" s="57"/>
      <c r="S45" s="57"/>
      <c r="T45" s="57"/>
      <c r="U45" s="57"/>
      <c r="V45" s="57"/>
      <c r="W45" s="57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</row>
    <row r="46" spans="1:36" ht="11.25" customHeight="1" x14ac:dyDescent="0.2">
      <c r="A46" s="53" t="s">
        <v>21</v>
      </c>
      <c r="B46" s="53" t="s">
        <v>43</v>
      </c>
      <c r="C46" s="53" t="s">
        <v>41</v>
      </c>
      <c r="D46" s="53" t="s">
        <v>40</v>
      </c>
      <c r="E46" s="53" t="s">
        <v>25</v>
      </c>
      <c r="F46" s="53" t="s">
        <v>61</v>
      </c>
      <c r="G46" s="53" t="s">
        <v>25</v>
      </c>
      <c r="H46" s="53" t="s">
        <v>25</v>
      </c>
      <c r="I46" s="73">
        <v>43983</v>
      </c>
      <c r="J46" s="74">
        <f>EFEITO!$J$46*EFEITO!$Y$46</f>
        <v>0</v>
      </c>
      <c r="K46" s="74">
        <f ca="1">EFEITO!$L$46*EFEITO!$Z$46</f>
        <v>91333.170896778596</v>
      </c>
      <c r="L46" s="74">
        <f>EFEITO!$N$46*EFEITO!$AA$46</f>
        <v>0</v>
      </c>
      <c r="M46" s="74">
        <f>$J$46-EFEITO!$K$46*EFEITO!$Y$46</f>
        <v>0</v>
      </c>
      <c r="N46" s="74">
        <f ca="1">$K$46-EFEITO!$M$46*EFEITO!$Z$46</f>
        <v>0</v>
      </c>
      <c r="O46" s="74">
        <f>$L$46-EFEITO!$O$46*EFEITO!$AA$46</f>
        <v>0</v>
      </c>
      <c r="P46" s="57"/>
      <c r="Q46" s="57"/>
      <c r="R46" s="57"/>
      <c r="S46" s="57"/>
      <c r="T46" s="57"/>
      <c r="U46" s="57"/>
      <c r="V46" s="57"/>
      <c r="W46" s="57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</row>
    <row r="47" spans="1:36" ht="11.25" customHeight="1" x14ac:dyDescent="0.2">
      <c r="A47" s="53" t="s">
        <v>21</v>
      </c>
      <c r="B47" s="53" t="s">
        <v>43</v>
      </c>
      <c r="C47" s="53" t="s">
        <v>41</v>
      </c>
      <c r="D47" s="53" t="s">
        <v>40</v>
      </c>
      <c r="E47" s="53" t="s">
        <v>25</v>
      </c>
      <c r="F47" s="53" t="s">
        <v>61</v>
      </c>
      <c r="G47" s="53" t="s">
        <v>25</v>
      </c>
      <c r="H47" s="53" t="s">
        <v>25</v>
      </c>
      <c r="I47" s="73">
        <v>44013</v>
      </c>
      <c r="J47" s="74">
        <f>EFEITO!$J$47*EFEITO!$Y$47</f>
        <v>0</v>
      </c>
      <c r="K47" s="74">
        <f ca="1">EFEITO!$L$47*EFEITO!$Z$47</f>
        <v>84997.372534369628</v>
      </c>
      <c r="L47" s="74">
        <f>EFEITO!$N$47*EFEITO!$AA$47</f>
        <v>0</v>
      </c>
      <c r="M47" s="74">
        <f>$J$47-EFEITO!$K$47*EFEITO!$Y$47</f>
        <v>0</v>
      </c>
      <c r="N47" s="74">
        <f ca="1">$K$47-EFEITO!$M$47*EFEITO!$Z$47</f>
        <v>0</v>
      </c>
      <c r="O47" s="74">
        <f>$L$47-EFEITO!$O$47*EFEITO!$AA$47</f>
        <v>0</v>
      </c>
      <c r="P47" s="57"/>
      <c r="Q47" s="57"/>
      <c r="R47" s="57"/>
      <c r="S47" s="57"/>
      <c r="T47" s="57"/>
      <c r="U47" s="57"/>
      <c r="V47" s="57"/>
      <c r="W47" s="57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</row>
    <row r="48" spans="1:36" ht="11.25" customHeight="1" x14ac:dyDescent="0.2">
      <c r="A48" s="53" t="s">
        <v>21</v>
      </c>
      <c r="B48" s="53" t="s">
        <v>43</v>
      </c>
      <c r="C48" s="53" t="s">
        <v>41</v>
      </c>
      <c r="D48" s="53" t="s">
        <v>40</v>
      </c>
      <c r="E48" s="53" t="s">
        <v>25</v>
      </c>
      <c r="F48" s="53" t="s">
        <v>61</v>
      </c>
      <c r="G48" s="53" t="s">
        <v>25</v>
      </c>
      <c r="H48" s="53" t="s">
        <v>25</v>
      </c>
      <c r="I48" s="73">
        <v>44044</v>
      </c>
      <c r="J48" s="74">
        <f>EFEITO!$J$48*EFEITO!$Y$48</f>
        <v>0</v>
      </c>
      <c r="K48" s="74">
        <f ca="1">EFEITO!$L$48*EFEITO!$Z$48</f>
        <v>91141.022553823568</v>
      </c>
      <c r="L48" s="74">
        <f>EFEITO!$N$48*EFEITO!$AA$48</f>
        <v>0</v>
      </c>
      <c r="M48" s="74">
        <f>$J$48-EFEITO!$K$48*EFEITO!$Y$48</f>
        <v>0</v>
      </c>
      <c r="N48" s="74">
        <f ca="1">$K$48-EFEITO!$M$48*EFEITO!$Z$48</f>
        <v>0</v>
      </c>
      <c r="O48" s="74">
        <f>$L$48-EFEITO!$O$48*EFEITO!$AA$48</f>
        <v>0</v>
      </c>
      <c r="P48" s="57"/>
      <c r="Q48" s="57"/>
      <c r="R48" s="57"/>
      <c r="S48" s="57"/>
      <c r="T48" s="57"/>
      <c r="U48" s="57"/>
      <c r="V48" s="57"/>
      <c r="W48" s="57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</row>
    <row r="49" spans="1:36" ht="11.25" customHeight="1" x14ac:dyDescent="0.2">
      <c r="A49" s="53" t="s">
        <v>59</v>
      </c>
      <c r="B49" s="53" t="s">
        <v>43</v>
      </c>
      <c r="C49" s="53" t="s">
        <v>41</v>
      </c>
      <c r="D49" s="53" t="s">
        <v>40</v>
      </c>
      <c r="E49" s="53" t="s">
        <v>25</v>
      </c>
      <c r="F49" s="53" t="s">
        <v>61</v>
      </c>
      <c r="G49" s="53" t="s">
        <v>25</v>
      </c>
      <c r="H49" s="53" t="s">
        <v>25</v>
      </c>
      <c r="I49" s="73">
        <v>44075</v>
      </c>
      <c r="J49" s="74">
        <f>EFEITO!$J$49*EFEITO!$Y$49</f>
        <v>0</v>
      </c>
      <c r="K49" s="74">
        <f ca="1">EFEITO!$L$49*EFEITO!$Z$49</f>
        <v>91141.022553823568</v>
      </c>
      <c r="L49" s="74">
        <f>EFEITO!$N$49*EFEITO!$AA$49</f>
        <v>0</v>
      </c>
      <c r="M49" s="74">
        <f>$J$49-EFEITO!$K$49*EFEITO!$Y$49</f>
        <v>0</v>
      </c>
      <c r="N49" s="74">
        <f ca="1">$K$49-EFEITO!$M$49*EFEITO!$Z$49</f>
        <v>0</v>
      </c>
      <c r="O49" s="74">
        <f>$L$49-EFEITO!$O$49*EFEITO!$AA$49</f>
        <v>0</v>
      </c>
      <c r="P49" s="57"/>
      <c r="Q49" s="57"/>
      <c r="R49" s="57"/>
      <c r="S49" s="57"/>
      <c r="T49" s="57"/>
      <c r="U49" s="57"/>
      <c r="V49" s="57"/>
      <c r="W49" s="57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</row>
    <row r="50" spans="1:36" ht="11.25" customHeight="1" x14ac:dyDescent="0.2">
      <c r="A50" s="53" t="s">
        <v>21</v>
      </c>
      <c r="B50" s="53" t="s">
        <v>43</v>
      </c>
      <c r="C50" s="53" t="s">
        <v>41</v>
      </c>
      <c r="D50" s="53" t="s">
        <v>40</v>
      </c>
      <c r="E50" s="53" t="s">
        <v>25</v>
      </c>
      <c r="F50" s="53" t="s">
        <v>61</v>
      </c>
      <c r="G50" s="53" t="s">
        <v>25</v>
      </c>
      <c r="H50" s="53" t="s">
        <v>35</v>
      </c>
      <c r="I50" s="73">
        <v>43739</v>
      </c>
      <c r="J50" s="74">
        <f ca="1">EFEITO!$J$50*EFEITO!$Y$50</f>
        <v>73087.208454935244</v>
      </c>
      <c r="K50" s="74">
        <f ca="1">EFEITO!$L$50*EFEITO!$Z$50</f>
        <v>0</v>
      </c>
      <c r="L50" s="74">
        <f>EFEITO!$N$50*EFEITO!$AA$50</f>
        <v>0</v>
      </c>
      <c r="M50" s="74">
        <f ca="1">$J$50-EFEITO!$K$50*EFEITO!$Y$50</f>
        <v>0</v>
      </c>
      <c r="N50" s="74">
        <f ca="1">$K$50-EFEITO!$M$50*EFEITO!$Z$50</f>
        <v>0</v>
      </c>
      <c r="O50" s="74">
        <f>$L$50-EFEITO!$O$50*EFEITO!$AA$50</f>
        <v>0</v>
      </c>
      <c r="P50" s="57"/>
      <c r="Q50" s="57"/>
      <c r="R50" s="57"/>
      <c r="S50" s="57"/>
      <c r="T50" s="57"/>
      <c r="U50" s="57"/>
      <c r="V50" s="57"/>
      <c r="W50" s="57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</row>
    <row r="51" spans="1:36" ht="11.25" customHeight="1" x14ac:dyDescent="0.2">
      <c r="A51" s="53" t="s">
        <v>21</v>
      </c>
      <c r="B51" s="53" t="s">
        <v>43</v>
      </c>
      <c r="C51" s="53" t="s">
        <v>41</v>
      </c>
      <c r="D51" s="53" t="s">
        <v>40</v>
      </c>
      <c r="E51" s="53" t="s">
        <v>25</v>
      </c>
      <c r="F51" s="53" t="s">
        <v>61</v>
      </c>
      <c r="G51" s="53" t="s">
        <v>25</v>
      </c>
      <c r="H51" s="53" t="s">
        <v>35</v>
      </c>
      <c r="I51" s="73">
        <v>43770</v>
      </c>
      <c r="J51" s="74">
        <f ca="1">EFEITO!$J$51*EFEITO!$Y$51</f>
        <v>73087.208454935244</v>
      </c>
      <c r="K51" s="74">
        <f ca="1">EFEITO!$L$51*EFEITO!$Z$51</f>
        <v>0</v>
      </c>
      <c r="L51" s="74">
        <f>EFEITO!$N$51*EFEITO!$AA$51</f>
        <v>0</v>
      </c>
      <c r="M51" s="74">
        <f ca="1">$J$51-EFEITO!$K$51*EFEITO!$Y$51</f>
        <v>0</v>
      </c>
      <c r="N51" s="74">
        <f ca="1">$K$51-EFEITO!$M$51*EFEITO!$Z$51</f>
        <v>0</v>
      </c>
      <c r="O51" s="74">
        <f>$L$51-EFEITO!$O$51*EFEITO!$AA$51</f>
        <v>0</v>
      </c>
      <c r="P51" s="57"/>
      <c r="Q51" s="57"/>
      <c r="R51" s="57"/>
      <c r="S51" s="57"/>
      <c r="T51" s="57"/>
      <c r="U51" s="57"/>
      <c r="V51" s="57"/>
      <c r="W51" s="57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</row>
    <row r="52" spans="1:36" ht="11.25" customHeight="1" x14ac:dyDescent="0.2">
      <c r="A52" s="53" t="s">
        <v>21</v>
      </c>
      <c r="B52" s="53" t="s">
        <v>43</v>
      </c>
      <c r="C52" s="53" t="s">
        <v>41</v>
      </c>
      <c r="D52" s="53" t="s">
        <v>40</v>
      </c>
      <c r="E52" s="53" t="s">
        <v>25</v>
      </c>
      <c r="F52" s="53" t="s">
        <v>61</v>
      </c>
      <c r="G52" s="53" t="s">
        <v>25</v>
      </c>
      <c r="H52" s="53" t="s">
        <v>35</v>
      </c>
      <c r="I52" s="73">
        <v>43800</v>
      </c>
      <c r="J52" s="74">
        <f ca="1">EFEITO!$J$52*EFEITO!$Y$52</f>
        <v>73087.208454935244</v>
      </c>
      <c r="K52" s="74">
        <f ca="1">EFEITO!$L$52*EFEITO!$Z$52</f>
        <v>0</v>
      </c>
      <c r="L52" s="74">
        <f>EFEITO!$N$52*EFEITO!$AA$52</f>
        <v>0</v>
      </c>
      <c r="M52" s="74">
        <f ca="1">$J$52-EFEITO!$K$52*EFEITO!$Y$52</f>
        <v>0</v>
      </c>
      <c r="N52" s="74">
        <f ca="1">$K$52-EFEITO!$M$52*EFEITO!$Z$52</f>
        <v>0</v>
      </c>
      <c r="O52" s="74">
        <f>$L$52-EFEITO!$O$52*EFEITO!$AA$52</f>
        <v>0</v>
      </c>
      <c r="P52" s="57"/>
      <c r="Q52" s="57"/>
      <c r="R52" s="57"/>
      <c r="S52" s="57"/>
      <c r="T52" s="57"/>
      <c r="U52" s="57"/>
      <c r="V52" s="57"/>
      <c r="W52" s="57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</row>
    <row r="53" spans="1:36" ht="11.25" customHeight="1" x14ac:dyDescent="0.2">
      <c r="A53" s="53" t="s">
        <v>21</v>
      </c>
      <c r="B53" s="53" t="s">
        <v>43</v>
      </c>
      <c r="C53" s="53" t="s">
        <v>41</v>
      </c>
      <c r="D53" s="53" t="s">
        <v>40</v>
      </c>
      <c r="E53" s="53" t="s">
        <v>25</v>
      </c>
      <c r="F53" s="53" t="s">
        <v>61</v>
      </c>
      <c r="G53" s="53" t="s">
        <v>25</v>
      </c>
      <c r="H53" s="53" t="s">
        <v>35</v>
      </c>
      <c r="I53" s="73">
        <v>43831</v>
      </c>
      <c r="J53" s="74">
        <f ca="1">EFEITO!$J$53*EFEITO!$Y$53</f>
        <v>73087.208454935244</v>
      </c>
      <c r="K53" s="74">
        <f ca="1">EFEITO!$L$53*EFEITO!$Z$53</f>
        <v>0</v>
      </c>
      <c r="L53" s="74">
        <f>EFEITO!$N$53*EFEITO!$AA$53</f>
        <v>0</v>
      </c>
      <c r="M53" s="74">
        <f ca="1">$J$53-EFEITO!$K$53*EFEITO!$Y$53</f>
        <v>0</v>
      </c>
      <c r="N53" s="74">
        <f ca="1">$K$53-EFEITO!$M$53*EFEITO!$Z$53</f>
        <v>0</v>
      </c>
      <c r="O53" s="74">
        <f>$L$53-EFEITO!$O$53*EFEITO!$AA$53</f>
        <v>0</v>
      </c>
      <c r="P53" s="57"/>
      <c r="Q53" s="57"/>
      <c r="R53" s="57"/>
      <c r="S53" s="57"/>
      <c r="T53" s="57"/>
      <c r="U53" s="57"/>
      <c r="V53" s="57"/>
      <c r="W53" s="57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</row>
    <row r="54" spans="1:36" ht="11.25" customHeight="1" x14ac:dyDescent="0.2">
      <c r="A54" s="53" t="s">
        <v>21</v>
      </c>
      <c r="B54" s="53" t="s">
        <v>43</v>
      </c>
      <c r="C54" s="53" t="s">
        <v>41</v>
      </c>
      <c r="D54" s="53" t="s">
        <v>40</v>
      </c>
      <c r="E54" s="53" t="s">
        <v>25</v>
      </c>
      <c r="F54" s="53" t="s">
        <v>61</v>
      </c>
      <c r="G54" s="53" t="s">
        <v>25</v>
      </c>
      <c r="H54" s="53" t="s">
        <v>35</v>
      </c>
      <c r="I54" s="73">
        <v>43862</v>
      </c>
      <c r="J54" s="74">
        <f ca="1">EFEITO!$J$54*EFEITO!$Y$54</f>
        <v>73087.208454935244</v>
      </c>
      <c r="K54" s="74">
        <f ca="1">EFEITO!$L$54*EFEITO!$Z$54</f>
        <v>0</v>
      </c>
      <c r="L54" s="74">
        <f>EFEITO!$N$54*EFEITO!$AA$54</f>
        <v>0</v>
      </c>
      <c r="M54" s="74">
        <f ca="1">$J$54-EFEITO!$K$54*EFEITO!$Y$54</f>
        <v>0</v>
      </c>
      <c r="N54" s="74">
        <f ca="1">$K$54-EFEITO!$M$54*EFEITO!$Z$54</f>
        <v>0</v>
      </c>
      <c r="O54" s="74">
        <f>$L$54-EFEITO!$O$54*EFEITO!$AA$54</f>
        <v>0</v>
      </c>
      <c r="P54" s="57"/>
      <c r="Q54" s="57"/>
      <c r="R54" s="57"/>
      <c r="S54" s="57"/>
      <c r="T54" s="57"/>
      <c r="U54" s="57"/>
      <c r="V54" s="57"/>
      <c r="W54" s="57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</row>
    <row r="55" spans="1:36" ht="11.25" customHeight="1" x14ac:dyDescent="0.2">
      <c r="A55" s="53" t="s">
        <v>21</v>
      </c>
      <c r="B55" s="53" t="s">
        <v>43</v>
      </c>
      <c r="C55" s="53" t="s">
        <v>41</v>
      </c>
      <c r="D55" s="53" t="s">
        <v>40</v>
      </c>
      <c r="E55" s="53" t="s">
        <v>25</v>
      </c>
      <c r="F55" s="53" t="s">
        <v>61</v>
      </c>
      <c r="G55" s="53" t="s">
        <v>25</v>
      </c>
      <c r="H55" s="53" t="s">
        <v>35</v>
      </c>
      <c r="I55" s="73">
        <v>43891</v>
      </c>
      <c r="J55" s="74">
        <f ca="1">EFEITO!$J$55*EFEITO!$Y$55</f>
        <v>73087.208454935244</v>
      </c>
      <c r="K55" s="74">
        <f ca="1">EFEITO!$L$55*EFEITO!$Z$55</f>
        <v>0</v>
      </c>
      <c r="L55" s="74">
        <f>EFEITO!$N$55*EFEITO!$AA$55</f>
        <v>0</v>
      </c>
      <c r="M55" s="74">
        <f ca="1">$J$55-EFEITO!$K$55*EFEITO!$Y$55</f>
        <v>0</v>
      </c>
      <c r="N55" s="74">
        <f ca="1">$K$55-EFEITO!$M$55*EFEITO!$Z$55</f>
        <v>0</v>
      </c>
      <c r="O55" s="74">
        <f>$L$55-EFEITO!$O$55*EFEITO!$AA$55</f>
        <v>0</v>
      </c>
      <c r="P55" s="57"/>
      <c r="Q55" s="57"/>
      <c r="R55" s="57"/>
      <c r="S55" s="57"/>
      <c r="T55" s="57"/>
      <c r="U55" s="57"/>
      <c r="V55" s="57"/>
      <c r="W55" s="57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</row>
    <row r="56" spans="1:36" ht="11.25" customHeight="1" x14ac:dyDescent="0.2">
      <c r="A56" s="53" t="s">
        <v>21</v>
      </c>
      <c r="B56" s="53" t="s">
        <v>43</v>
      </c>
      <c r="C56" s="53" t="s">
        <v>41</v>
      </c>
      <c r="D56" s="53" t="s">
        <v>40</v>
      </c>
      <c r="E56" s="53" t="s">
        <v>25</v>
      </c>
      <c r="F56" s="53" t="s">
        <v>61</v>
      </c>
      <c r="G56" s="53" t="s">
        <v>25</v>
      </c>
      <c r="H56" s="53" t="s">
        <v>35</v>
      </c>
      <c r="I56" s="73">
        <v>43922</v>
      </c>
      <c r="J56" s="74">
        <f ca="1">EFEITO!$J$56*EFEITO!$Y$56</f>
        <v>73087.208454935244</v>
      </c>
      <c r="K56" s="74">
        <f ca="1">EFEITO!$L$56*EFEITO!$Z$56</f>
        <v>0</v>
      </c>
      <c r="L56" s="74">
        <f>EFEITO!$N$56*EFEITO!$AA$56</f>
        <v>0</v>
      </c>
      <c r="M56" s="74">
        <f ca="1">$J$56-EFEITO!$K$56*EFEITO!$Y$56</f>
        <v>0</v>
      </c>
      <c r="N56" s="74">
        <f ca="1">$K$56-EFEITO!$M$56*EFEITO!$Z$56</f>
        <v>0</v>
      </c>
      <c r="O56" s="74">
        <f>$L$56-EFEITO!$O$56*EFEITO!$AA$56</f>
        <v>0</v>
      </c>
      <c r="P56" s="57"/>
      <c r="Q56" s="57"/>
      <c r="R56" s="57"/>
      <c r="S56" s="57"/>
      <c r="T56" s="57"/>
      <c r="U56" s="57"/>
      <c r="V56" s="57"/>
      <c r="W56" s="57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</row>
    <row r="57" spans="1:36" ht="11.25" customHeight="1" x14ac:dyDescent="0.2">
      <c r="A57" s="53" t="s">
        <v>21</v>
      </c>
      <c r="B57" s="53" t="s">
        <v>43</v>
      </c>
      <c r="C57" s="53" t="s">
        <v>41</v>
      </c>
      <c r="D57" s="53" t="s">
        <v>40</v>
      </c>
      <c r="E57" s="53" t="s">
        <v>25</v>
      </c>
      <c r="F57" s="53" t="s">
        <v>61</v>
      </c>
      <c r="G57" s="53" t="s">
        <v>25</v>
      </c>
      <c r="H57" s="53" t="s">
        <v>35</v>
      </c>
      <c r="I57" s="73">
        <v>43952</v>
      </c>
      <c r="J57" s="74">
        <f ca="1">EFEITO!$J$57*EFEITO!$Y$57</f>
        <v>73087.208454935244</v>
      </c>
      <c r="K57" s="74">
        <f ca="1">EFEITO!$L$57*EFEITO!$Z$57</f>
        <v>0</v>
      </c>
      <c r="L57" s="74">
        <f>EFEITO!$N$57*EFEITO!$AA$57</f>
        <v>0</v>
      </c>
      <c r="M57" s="74">
        <f ca="1">$J$57-EFEITO!$K$57*EFEITO!$Y$57</f>
        <v>0</v>
      </c>
      <c r="N57" s="74">
        <f ca="1">$K$57-EFEITO!$M$57*EFEITO!$Z$57</f>
        <v>0</v>
      </c>
      <c r="O57" s="74">
        <f>$L$57-EFEITO!$O$57*EFEITO!$AA$57</f>
        <v>0</v>
      </c>
      <c r="P57" s="57"/>
      <c r="Q57" s="57"/>
      <c r="R57" s="57"/>
      <c r="S57" s="57"/>
      <c r="T57" s="57"/>
      <c r="U57" s="57"/>
      <c r="V57" s="57"/>
      <c r="W57" s="57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</row>
    <row r="58" spans="1:36" ht="11.25" customHeight="1" x14ac:dyDescent="0.2">
      <c r="A58" s="53" t="s">
        <v>21</v>
      </c>
      <c r="B58" s="53" t="s">
        <v>43</v>
      </c>
      <c r="C58" s="53" t="s">
        <v>41</v>
      </c>
      <c r="D58" s="53" t="s">
        <v>40</v>
      </c>
      <c r="E58" s="53" t="s">
        <v>25</v>
      </c>
      <c r="F58" s="53" t="s">
        <v>61</v>
      </c>
      <c r="G58" s="53" t="s">
        <v>25</v>
      </c>
      <c r="H58" s="53" t="s">
        <v>35</v>
      </c>
      <c r="I58" s="73">
        <v>43983</v>
      </c>
      <c r="J58" s="74">
        <f ca="1">EFEITO!$J$58*EFEITO!$Y$58</f>
        <v>73087.208454935244</v>
      </c>
      <c r="K58" s="74">
        <f ca="1">EFEITO!$L$58*EFEITO!$Z$58</f>
        <v>0</v>
      </c>
      <c r="L58" s="74">
        <f>EFEITO!$N$58*EFEITO!$AA$58</f>
        <v>0</v>
      </c>
      <c r="M58" s="74">
        <f ca="1">$J$58-EFEITO!$K$58*EFEITO!$Y$58</f>
        <v>0</v>
      </c>
      <c r="N58" s="74">
        <f ca="1">$K$58-EFEITO!$M$58*EFEITO!$Z$58</f>
        <v>0</v>
      </c>
      <c r="O58" s="74">
        <f>$L$58-EFEITO!$O$58*EFEITO!$AA$58</f>
        <v>0</v>
      </c>
      <c r="P58" s="57"/>
      <c r="Q58" s="57"/>
      <c r="R58" s="57"/>
      <c r="S58" s="57"/>
      <c r="T58" s="57"/>
      <c r="U58" s="57"/>
      <c r="V58" s="57"/>
      <c r="W58" s="57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</row>
    <row r="59" spans="1:36" ht="11.25" customHeight="1" x14ac:dyDescent="0.2">
      <c r="A59" s="53" t="s">
        <v>21</v>
      </c>
      <c r="B59" s="53" t="s">
        <v>43</v>
      </c>
      <c r="C59" s="53" t="s">
        <v>41</v>
      </c>
      <c r="D59" s="53" t="s">
        <v>40</v>
      </c>
      <c r="E59" s="53" t="s">
        <v>25</v>
      </c>
      <c r="F59" s="53" t="s">
        <v>61</v>
      </c>
      <c r="G59" s="53" t="s">
        <v>25</v>
      </c>
      <c r="H59" s="53" t="s">
        <v>35</v>
      </c>
      <c r="I59" s="73">
        <v>44013</v>
      </c>
      <c r="J59" s="74">
        <f ca="1">EFEITO!$J$59*EFEITO!$Y$59</f>
        <v>73087.208454935244</v>
      </c>
      <c r="K59" s="74">
        <f ca="1">EFEITO!$L$59*EFEITO!$Z$59</f>
        <v>0</v>
      </c>
      <c r="L59" s="74">
        <f>EFEITO!$N$59*EFEITO!$AA$59</f>
        <v>0</v>
      </c>
      <c r="M59" s="74">
        <f ca="1">$J$59-EFEITO!$K$59*EFEITO!$Y$59</f>
        <v>0</v>
      </c>
      <c r="N59" s="74">
        <f ca="1">$K$59-EFEITO!$M$59*EFEITO!$Z$59</f>
        <v>0</v>
      </c>
      <c r="O59" s="74">
        <f>$L$59-EFEITO!$O$59*EFEITO!$AA$59</f>
        <v>0</v>
      </c>
      <c r="P59" s="57"/>
      <c r="Q59" s="57"/>
      <c r="R59" s="57"/>
      <c r="S59" s="57"/>
      <c r="T59" s="57"/>
      <c r="U59" s="57"/>
      <c r="V59" s="57"/>
      <c r="W59" s="57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</row>
    <row r="60" spans="1:36" ht="11.25" customHeight="1" x14ac:dyDescent="0.2">
      <c r="A60" s="53" t="s">
        <v>21</v>
      </c>
      <c r="B60" s="53" t="s">
        <v>43</v>
      </c>
      <c r="C60" s="53" t="s">
        <v>41</v>
      </c>
      <c r="D60" s="53" t="s">
        <v>40</v>
      </c>
      <c r="E60" s="53" t="s">
        <v>25</v>
      </c>
      <c r="F60" s="53" t="s">
        <v>61</v>
      </c>
      <c r="G60" s="53" t="s">
        <v>25</v>
      </c>
      <c r="H60" s="53" t="s">
        <v>35</v>
      </c>
      <c r="I60" s="73">
        <v>44044</v>
      </c>
      <c r="J60" s="74">
        <f ca="1">EFEITO!$J$60*EFEITO!$Y$60</f>
        <v>73087.208454935244</v>
      </c>
      <c r="K60" s="74">
        <f ca="1">EFEITO!$L$60*EFEITO!$Z$60</f>
        <v>0</v>
      </c>
      <c r="L60" s="74">
        <f>EFEITO!$N$60*EFEITO!$AA$60</f>
        <v>0</v>
      </c>
      <c r="M60" s="74">
        <f ca="1">$J$60-EFEITO!$K$60*EFEITO!$Y$60</f>
        <v>0</v>
      </c>
      <c r="N60" s="74">
        <f ca="1">$K$60-EFEITO!$M$60*EFEITO!$Z$60</f>
        <v>0</v>
      </c>
      <c r="O60" s="74">
        <f>$L$60-EFEITO!$O$60*EFEITO!$AA$60</f>
        <v>0</v>
      </c>
      <c r="P60" s="57"/>
      <c r="Q60" s="57"/>
      <c r="R60" s="57"/>
      <c r="S60" s="57"/>
      <c r="T60" s="57"/>
      <c r="U60" s="57"/>
      <c r="V60" s="57"/>
      <c r="W60" s="57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</row>
    <row r="61" spans="1:36" ht="11.25" customHeight="1" x14ac:dyDescent="0.2">
      <c r="A61" s="53" t="s">
        <v>59</v>
      </c>
      <c r="B61" s="53" t="s">
        <v>43</v>
      </c>
      <c r="C61" s="53" t="s">
        <v>41</v>
      </c>
      <c r="D61" s="53" t="s">
        <v>40</v>
      </c>
      <c r="E61" s="53" t="s">
        <v>25</v>
      </c>
      <c r="F61" s="53" t="s">
        <v>61</v>
      </c>
      <c r="G61" s="53" t="s">
        <v>25</v>
      </c>
      <c r="H61" s="53" t="s">
        <v>35</v>
      </c>
      <c r="I61" s="73">
        <v>44075</v>
      </c>
      <c r="J61" s="74">
        <f ca="1">EFEITO!$J$61*EFEITO!$Y$61</f>
        <v>73087.208454935244</v>
      </c>
      <c r="K61" s="74">
        <f ca="1">EFEITO!$L$61*EFEITO!$Z$61</f>
        <v>0</v>
      </c>
      <c r="L61" s="74">
        <f>EFEITO!$N$61*EFEITO!$AA$61</f>
        <v>0</v>
      </c>
      <c r="M61" s="74">
        <f ca="1">$J$61-EFEITO!$K$61*EFEITO!$Y$61</f>
        <v>0</v>
      </c>
      <c r="N61" s="74">
        <f ca="1">$K$61-EFEITO!$M$61*EFEITO!$Z$61</f>
        <v>0</v>
      </c>
      <c r="O61" s="74">
        <f>$L$61-EFEITO!$O$61*EFEITO!$AA$61</f>
        <v>0</v>
      </c>
      <c r="P61" s="57"/>
      <c r="Q61" s="57"/>
      <c r="R61" s="57"/>
      <c r="S61" s="57"/>
      <c r="T61" s="57"/>
      <c r="U61" s="57"/>
      <c r="V61" s="57"/>
      <c r="W61" s="57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</row>
    <row r="62" spans="1:36" ht="11.25" customHeight="1" x14ac:dyDescent="0.2">
      <c r="A62" s="53" t="s">
        <v>21</v>
      </c>
      <c r="B62" s="53" t="s">
        <v>43</v>
      </c>
      <c r="C62" s="53" t="s">
        <v>41</v>
      </c>
      <c r="D62" s="53" t="s">
        <v>40</v>
      </c>
      <c r="E62" s="53" t="s">
        <v>25</v>
      </c>
      <c r="F62" s="53" t="s">
        <v>25</v>
      </c>
      <c r="G62" s="53" t="s">
        <v>25</v>
      </c>
      <c r="H62" s="53" t="s">
        <v>36</v>
      </c>
      <c r="I62" s="73">
        <v>43739</v>
      </c>
      <c r="J62" s="74">
        <f ca="1">EFEITO!$J$62*EFEITO!$Y$62</f>
        <v>430683.32791985944</v>
      </c>
      <c r="K62" s="74">
        <f ca="1">EFEITO!$L$62*EFEITO!$Z$62</f>
        <v>0</v>
      </c>
      <c r="L62" s="74">
        <f>EFEITO!$N$62*EFEITO!$AA$62</f>
        <v>0</v>
      </c>
      <c r="M62" s="74">
        <f ca="1">$J$62-EFEITO!$K$62*EFEITO!$Y$62</f>
        <v>0</v>
      </c>
      <c r="N62" s="74">
        <f ca="1">$K$62-EFEITO!$M$62*EFEITO!$Z$62</f>
        <v>0</v>
      </c>
      <c r="O62" s="74">
        <f>$L$62-EFEITO!$O$62*EFEITO!$AA$62</f>
        <v>0</v>
      </c>
      <c r="P62" s="57"/>
      <c r="Q62" s="57"/>
      <c r="R62" s="57"/>
      <c r="S62" s="57"/>
      <c r="T62" s="57"/>
      <c r="U62" s="57"/>
      <c r="V62" s="57"/>
      <c r="W62" s="57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</row>
    <row r="63" spans="1:36" ht="11.25" customHeight="1" x14ac:dyDescent="0.2">
      <c r="A63" s="53" t="s">
        <v>21</v>
      </c>
      <c r="B63" s="53" t="s">
        <v>43</v>
      </c>
      <c r="C63" s="53" t="s">
        <v>41</v>
      </c>
      <c r="D63" s="53" t="s">
        <v>40</v>
      </c>
      <c r="E63" s="53" t="s">
        <v>25</v>
      </c>
      <c r="F63" s="53" t="s">
        <v>25</v>
      </c>
      <c r="G63" s="53" t="s">
        <v>25</v>
      </c>
      <c r="H63" s="53" t="s">
        <v>36</v>
      </c>
      <c r="I63" s="73">
        <v>43770</v>
      </c>
      <c r="J63" s="74">
        <f ca="1">EFEITO!$J$63*EFEITO!$Y$63</f>
        <v>430683.32791985944</v>
      </c>
      <c r="K63" s="74">
        <f ca="1">EFEITO!$L$63*EFEITO!$Z$63</f>
        <v>0</v>
      </c>
      <c r="L63" s="74">
        <f>EFEITO!$N$63*EFEITO!$AA$63</f>
        <v>0</v>
      </c>
      <c r="M63" s="74">
        <f ca="1">$J$63-EFEITO!$K$63*EFEITO!$Y$63</f>
        <v>0</v>
      </c>
      <c r="N63" s="74">
        <f ca="1">$K$63-EFEITO!$M$63*EFEITO!$Z$63</f>
        <v>0</v>
      </c>
      <c r="O63" s="74">
        <f>$L$63-EFEITO!$O$63*EFEITO!$AA$63</f>
        <v>0</v>
      </c>
      <c r="P63" s="57"/>
      <c r="Q63" s="57"/>
      <c r="R63" s="57"/>
      <c r="S63" s="57"/>
      <c r="T63" s="57"/>
      <c r="U63" s="57"/>
      <c r="V63" s="57"/>
      <c r="W63" s="57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</row>
    <row r="64" spans="1:36" ht="11.25" customHeight="1" x14ac:dyDescent="0.2">
      <c r="A64" s="53" t="s">
        <v>21</v>
      </c>
      <c r="B64" s="53" t="s">
        <v>43</v>
      </c>
      <c r="C64" s="53" t="s">
        <v>41</v>
      </c>
      <c r="D64" s="53" t="s">
        <v>40</v>
      </c>
      <c r="E64" s="53" t="s">
        <v>25</v>
      </c>
      <c r="F64" s="53" t="s">
        <v>25</v>
      </c>
      <c r="G64" s="53" t="s">
        <v>25</v>
      </c>
      <c r="H64" s="53" t="s">
        <v>36</v>
      </c>
      <c r="I64" s="73">
        <v>43800</v>
      </c>
      <c r="J64" s="74">
        <f ca="1">EFEITO!$J$64*EFEITO!$Y$64</f>
        <v>430683.32791985944</v>
      </c>
      <c r="K64" s="74">
        <f ca="1">EFEITO!$L$64*EFEITO!$Z$64</f>
        <v>0</v>
      </c>
      <c r="L64" s="74">
        <f>EFEITO!$N$64*EFEITO!$AA$64</f>
        <v>0</v>
      </c>
      <c r="M64" s="74">
        <f ca="1">$J$64-EFEITO!$K$64*EFEITO!$Y$64</f>
        <v>0</v>
      </c>
      <c r="N64" s="74">
        <f ca="1">$K$64-EFEITO!$M$64*EFEITO!$Z$64</f>
        <v>0</v>
      </c>
      <c r="O64" s="74">
        <f>$L$64-EFEITO!$O$64*EFEITO!$AA$64</f>
        <v>0</v>
      </c>
      <c r="P64" s="57"/>
      <c r="Q64" s="57"/>
      <c r="R64" s="57"/>
      <c r="S64" s="57"/>
      <c r="T64" s="57"/>
      <c r="U64" s="57"/>
      <c r="V64" s="57"/>
      <c r="W64" s="57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</row>
    <row r="65" spans="1:36" ht="11.25" customHeight="1" x14ac:dyDescent="0.2">
      <c r="A65" s="53" t="s">
        <v>21</v>
      </c>
      <c r="B65" s="53" t="s">
        <v>43</v>
      </c>
      <c r="C65" s="53" t="s">
        <v>41</v>
      </c>
      <c r="D65" s="53" t="s">
        <v>40</v>
      </c>
      <c r="E65" s="53" t="s">
        <v>25</v>
      </c>
      <c r="F65" s="53" t="s">
        <v>25</v>
      </c>
      <c r="G65" s="53" t="s">
        <v>25</v>
      </c>
      <c r="H65" s="53" t="s">
        <v>36</v>
      </c>
      <c r="I65" s="73">
        <v>43831</v>
      </c>
      <c r="J65" s="74">
        <f ca="1">EFEITO!$J$65*EFEITO!$Y$65</f>
        <v>430683.32791985944</v>
      </c>
      <c r="K65" s="74">
        <f ca="1">EFEITO!$L$65*EFEITO!$Z$65</f>
        <v>0</v>
      </c>
      <c r="L65" s="74">
        <f>EFEITO!$N$65*EFEITO!$AA$65</f>
        <v>0</v>
      </c>
      <c r="M65" s="74">
        <f ca="1">$J$65-EFEITO!$K$65*EFEITO!$Y$65</f>
        <v>0</v>
      </c>
      <c r="N65" s="74">
        <f ca="1">$K$65-EFEITO!$M$65*EFEITO!$Z$65</f>
        <v>0</v>
      </c>
      <c r="O65" s="74">
        <f>$L$65-EFEITO!$O$65*EFEITO!$AA$65</f>
        <v>0</v>
      </c>
      <c r="P65" s="57"/>
      <c r="Q65" s="57"/>
      <c r="R65" s="57"/>
      <c r="S65" s="57"/>
      <c r="T65" s="57"/>
      <c r="U65" s="57"/>
      <c r="V65" s="57"/>
      <c r="W65" s="57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</row>
    <row r="66" spans="1:36" ht="11.25" customHeight="1" x14ac:dyDescent="0.2">
      <c r="A66" s="53" t="s">
        <v>21</v>
      </c>
      <c r="B66" s="53" t="s">
        <v>43</v>
      </c>
      <c r="C66" s="53" t="s">
        <v>41</v>
      </c>
      <c r="D66" s="53" t="s">
        <v>40</v>
      </c>
      <c r="E66" s="53" t="s">
        <v>25</v>
      </c>
      <c r="F66" s="53" t="s">
        <v>25</v>
      </c>
      <c r="G66" s="53" t="s">
        <v>25</v>
      </c>
      <c r="H66" s="53" t="s">
        <v>36</v>
      </c>
      <c r="I66" s="73">
        <v>43862</v>
      </c>
      <c r="J66" s="74">
        <f ca="1">EFEITO!$J$66*EFEITO!$Y$66</f>
        <v>430683.32791985944</v>
      </c>
      <c r="K66" s="74">
        <f ca="1">EFEITO!$L$66*EFEITO!$Z$66</f>
        <v>0</v>
      </c>
      <c r="L66" s="74">
        <f>EFEITO!$N$66*EFEITO!$AA$66</f>
        <v>0</v>
      </c>
      <c r="M66" s="74">
        <f ca="1">$J$66-EFEITO!$K$66*EFEITO!$Y$66</f>
        <v>0</v>
      </c>
      <c r="N66" s="74">
        <f ca="1">$K$66-EFEITO!$M$66*EFEITO!$Z$66</f>
        <v>0</v>
      </c>
      <c r="O66" s="74">
        <f>$L$66-EFEITO!$O$66*EFEITO!$AA$66</f>
        <v>0</v>
      </c>
      <c r="P66" s="57"/>
      <c r="Q66" s="57"/>
      <c r="R66" s="57"/>
      <c r="S66" s="57"/>
      <c r="T66" s="57"/>
      <c r="U66" s="57"/>
      <c r="V66" s="57"/>
      <c r="W66" s="57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</row>
    <row r="67" spans="1:36" ht="11.25" customHeight="1" x14ac:dyDescent="0.2">
      <c r="A67" s="53" t="s">
        <v>21</v>
      </c>
      <c r="B67" s="53" t="s">
        <v>43</v>
      </c>
      <c r="C67" s="53" t="s">
        <v>41</v>
      </c>
      <c r="D67" s="53" t="s">
        <v>40</v>
      </c>
      <c r="E67" s="53" t="s">
        <v>25</v>
      </c>
      <c r="F67" s="53" t="s">
        <v>25</v>
      </c>
      <c r="G67" s="53" t="s">
        <v>25</v>
      </c>
      <c r="H67" s="53" t="s">
        <v>36</v>
      </c>
      <c r="I67" s="73">
        <v>43891</v>
      </c>
      <c r="J67" s="74">
        <f ca="1">EFEITO!$J$67*EFEITO!$Y$67</f>
        <v>430683.32791985944</v>
      </c>
      <c r="K67" s="74">
        <f ca="1">EFEITO!$L$67*EFEITO!$Z$67</f>
        <v>0</v>
      </c>
      <c r="L67" s="74">
        <f>EFEITO!$N$67*EFEITO!$AA$67</f>
        <v>0</v>
      </c>
      <c r="M67" s="74">
        <f ca="1">$J$67-EFEITO!$K$67*EFEITO!$Y$67</f>
        <v>0</v>
      </c>
      <c r="N67" s="74">
        <f ca="1">$K$67-EFEITO!$M$67*EFEITO!$Z$67</f>
        <v>0</v>
      </c>
      <c r="O67" s="74">
        <f>$L$67-EFEITO!$O$67*EFEITO!$AA$67</f>
        <v>0</v>
      </c>
      <c r="P67" s="57"/>
      <c r="Q67" s="57"/>
      <c r="R67" s="57"/>
      <c r="S67" s="57"/>
      <c r="T67" s="57"/>
      <c r="U67" s="57"/>
      <c r="V67" s="57"/>
      <c r="W67" s="57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</row>
    <row r="68" spans="1:36" ht="11.25" customHeight="1" x14ac:dyDescent="0.2">
      <c r="A68" s="53" t="s">
        <v>21</v>
      </c>
      <c r="B68" s="53" t="s">
        <v>43</v>
      </c>
      <c r="C68" s="53" t="s">
        <v>41</v>
      </c>
      <c r="D68" s="53" t="s">
        <v>40</v>
      </c>
      <c r="E68" s="53" t="s">
        <v>25</v>
      </c>
      <c r="F68" s="53" t="s">
        <v>25</v>
      </c>
      <c r="G68" s="53" t="s">
        <v>25</v>
      </c>
      <c r="H68" s="53" t="s">
        <v>36</v>
      </c>
      <c r="I68" s="73">
        <v>43922</v>
      </c>
      <c r="J68" s="74">
        <f ca="1">EFEITO!$J$68*EFEITO!$Y$68</f>
        <v>430683.32791985944</v>
      </c>
      <c r="K68" s="74">
        <f ca="1">EFEITO!$L$68*EFEITO!$Z$68</f>
        <v>0</v>
      </c>
      <c r="L68" s="74">
        <f>EFEITO!$N$68*EFEITO!$AA$68</f>
        <v>0</v>
      </c>
      <c r="M68" s="74">
        <f ca="1">$J$68-EFEITO!$K$68*EFEITO!$Y$68</f>
        <v>0</v>
      </c>
      <c r="N68" s="74">
        <f ca="1">$K$68-EFEITO!$M$68*EFEITO!$Z$68</f>
        <v>0</v>
      </c>
      <c r="O68" s="74">
        <f>$L$68-EFEITO!$O$68*EFEITO!$AA$68</f>
        <v>0</v>
      </c>
      <c r="P68" s="57"/>
      <c r="Q68" s="57"/>
      <c r="R68" s="57"/>
      <c r="S68" s="57"/>
      <c r="T68" s="57"/>
      <c r="U68" s="57"/>
      <c r="V68" s="57"/>
      <c r="W68" s="57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</row>
    <row r="69" spans="1:36" ht="11.25" customHeight="1" x14ac:dyDescent="0.2">
      <c r="A69" s="53" t="s">
        <v>21</v>
      </c>
      <c r="B69" s="53" t="s">
        <v>43</v>
      </c>
      <c r="C69" s="53" t="s">
        <v>41</v>
      </c>
      <c r="D69" s="53" t="s">
        <v>40</v>
      </c>
      <c r="E69" s="53" t="s">
        <v>25</v>
      </c>
      <c r="F69" s="53" t="s">
        <v>25</v>
      </c>
      <c r="G69" s="53" t="s">
        <v>25</v>
      </c>
      <c r="H69" s="53" t="s">
        <v>36</v>
      </c>
      <c r="I69" s="73">
        <v>43952</v>
      </c>
      <c r="J69" s="74">
        <f ca="1">EFEITO!$J$69*EFEITO!$Y$69</f>
        <v>430683.32791985944</v>
      </c>
      <c r="K69" s="74">
        <f ca="1">EFEITO!$L$69*EFEITO!$Z$69</f>
        <v>0</v>
      </c>
      <c r="L69" s="74">
        <f>EFEITO!$N$69*EFEITO!$AA$69</f>
        <v>0</v>
      </c>
      <c r="M69" s="74">
        <f ca="1">$J$69-EFEITO!$K$69*EFEITO!$Y$69</f>
        <v>0</v>
      </c>
      <c r="N69" s="74">
        <f ca="1">$K$69-EFEITO!$M$69*EFEITO!$Z$69</f>
        <v>0</v>
      </c>
      <c r="O69" s="74">
        <f>$L$69-EFEITO!$O$69*EFEITO!$AA$69</f>
        <v>0</v>
      </c>
      <c r="P69" s="57"/>
      <c r="Q69" s="57"/>
      <c r="R69" s="57"/>
      <c r="S69" s="57"/>
      <c r="T69" s="57"/>
      <c r="U69" s="57"/>
      <c r="V69" s="57"/>
      <c r="W69" s="57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</row>
    <row r="70" spans="1:36" ht="11.25" customHeight="1" x14ac:dyDescent="0.2">
      <c r="A70" s="53" t="s">
        <v>21</v>
      </c>
      <c r="B70" s="53" t="s">
        <v>43</v>
      </c>
      <c r="C70" s="53" t="s">
        <v>41</v>
      </c>
      <c r="D70" s="53" t="s">
        <v>40</v>
      </c>
      <c r="E70" s="53" t="s">
        <v>25</v>
      </c>
      <c r="F70" s="53" t="s">
        <v>25</v>
      </c>
      <c r="G70" s="53" t="s">
        <v>25</v>
      </c>
      <c r="H70" s="53" t="s">
        <v>36</v>
      </c>
      <c r="I70" s="73">
        <v>43983</v>
      </c>
      <c r="J70" s="74">
        <f ca="1">EFEITO!$J$70*EFEITO!$Y$70</f>
        <v>430683.32791985944</v>
      </c>
      <c r="K70" s="74">
        <f ca="1">EFEITO!$L$70*EFEITO!$Z$70</f>
        <v>0</v>
      </c>
      <c r="L70" s="74">
        <f>EFEITO!$N$70*EFEITO!$AA$70</f>
        <v>0</v>
      </c>
      <c r="M70" s="74">
        <f ca="1">$J$70-EFEITO!$K$70*EFEITO!$Y$70</f>
        <v>0</v>
      </c>
      <c r="N70" s="74">
        <f ca="1">$K$70-EFEITO!$M$70*EFEITO!$Z$70</f>
        <v>0</v>
      </c>
      <c r="O70" s="74">
        <f>$L$70-EFEITO!$O$70*EFEITO!$AA$70</f>
        <v>0</v>
      </c>
      <c r="P70" s="57"/>
      <c r="Q70" s="57"/>
      <c r="R70" s="57"/>
      <c r="S70" s="57"/>
      <c r="T70" s="57"/>
      <c r="U70" s="57"/>
      <c r="V70" s="57"/>
      <c r="W70" s="57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</row>
    <row r="71" spans="1:36" ht="11.25" customHeight="1" x14ac:dyDescent="0.2">
      <c r="A71" s="53" t="s">
        <v>21</v>
      </c>
      <c r="B71" s="53" t="s">
        <v>43</v>
      </c>
      <c r="C71" s="53" t="s">
        <v>41</v>
      </c>
      <c r="D71" s="53" t="s">
        <v>40</v>
      </c>
      <c r="E71" s="53" t="s">
        <v>25</v>
      </c>
      <c r="F71" s="53" t="s">
        <v>25</v>
      </c>
      <c r="G71" s="53" t="s">
        <v>25</v>
      </c>
      <c r="H71" s="53" t="s">
        <v>36</v>
      </c>
      <c r="I71" s="73">
        <v>44013</v>
      </c>
      <c r="J71" s="74">
        <f ca="1">EFEITO!$J$71*EFEITO!$Y$71</f>
        <v>430683.32791985944</v>
      </c>
      <c r="K71" s="74">
        <f ca="1">EFEITO!$L$71*EFEITO!$Z$71</f>
        <v>0</v>
      </c>
      <c r="L71" s="74">
        <f>EFEITO!$N$71*EFEITO!$AA$71</f>
        <v>0</v>
      </c>
      <c r="M71" s="74">
        <f ca="1">$J$71-EFEITO!$K$71*EFEITO!$Y$71</f>
        <v>0</v>
      </c>
      <c r="N71" s="74">
        <f ca="1">$K$71-EFEITO!$M$71*EFEITO!$Z$71</f>
        <v>0</v>
      </c>
      <c r="O71" s="74">
        <f>$L$71-EFEITO!$O$71*EFEITO!$AA$71</f>
        <v>0</v>
      </c>
      <c r="P71" s="57"/>
      <c r="Q71" s="57"/>
      <c r="R71" s="57"/>
      <c r="S71" s="57"/>
      <c r="T71" s="57"/>
      <c r="U71" s="57"/>
      <c r="V71" s="57"/>
      <c r="W71" s="57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</row>
    <row r="72" spans="1:36" ht="11.25" customHeight="1" x14ac:dyDescent="0.2">
      <c r="A72" s="53" t="s">
        <v>21</v>
      </c>
      <c r="B72" s="53" t="s">
        <v>43</v>
      </c>
      <c r="C72" s="53" t="s">
        <v>41</v>
      </c>
      <c r="D72" s="53" t="s">
        <v>40</v>
      </c>
      <c r="E72" s="53" t="s">
        <v>25</v>
      </c>
      <c r="F72" s="53" t="s">
        <v>25</v>
      </c>
      <c r="G72" s="53" t="s">
        <v>25</v>
      </c>
      <c r="H72" s="53" t="s">
        <v>36</v>
      </c>
      <c r="I72" s="73">
        <v>44044</v>
      </c>
      <c r="J72" s="74">
        <f ca="1">EFEITO!$J$72*EFEITO!$Y$72</f>
        <v>430683.32791985944</v>
      </c>
      <c r="K72" s="74">
        <f ca="1">EFEITO!$L$72*EFEITO!$Z$72</f>
        <v>0</v>
      </c>
      <c r="L72" s="74">
        <f>EFEITO!$N$72*EFEITO!$AA$72</f>
        <v>0</v>
      </c>
      <c r="M72" s="74">
        <f ca="1">$J$72-EFEITO!$K$72*EFEITO!$Y$72</f>
        <v>0</v>
      </c>
      <c r="N72" s="74">
        <f ca="1">$K$72-EFEITO!$M$72*EFEITO!$Z$72</f>
        <v>0</v>
      </c>
      <c r="O72" s="74">
        <f>$L$72-EFEITO!$O$72*EFEITO!$AA$72</f>
        <v>0</v>
      </c>
      <c r="P72" s="57"/>
      <c r="Q72" s="57"/>
      <c r="R72" s="57"/>
      <c r="S72" s="57"/>
      <c r="T72" s="57"/>
      <c r="U72" s="57"/>
      <c r="V72" s="57"/>
      <c r="W72" s="57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</row>
    <row r="73" spans="1:36" ht="11.25" customHeight="1" x14ac:dyDescent="0.2">
      <c r="A73" s="53" t="s">
        <v>59</v>
      </c>
      <c r="B73" s="53" t="s">
        <v>43</v>
      </c>
      <c r="C73" s="53" t="s">
        <v>41</v>
      </c>
      <c r="D73" s="53" t="s">
        <v>40</v>
      </c>
      <c r="E73" s="53" t="s">
        <v>25</v>
      </c>
      <c r="F73" s="53" t="s">
        <v>25</v>
      </c>
      <c r="G73" s="53" t="s">
        <v>25</v>
      </c>
      <c r="H73" s="53" t="s">
        <v>36</v>
      </c>
      <c r="I73" s="73">
        <v>44075</v>
      </c>
      <c r="J73" s="74">
        <f ca="1">EFEITO!$J$73*EFEITO!$Y$73</f>
        <v>430683.32791985944</v>
      </c>
      <c r="K73" s="74">
        <f ca="1">EFEITO!$L$73*EFEITO!$Z$73</f>
        <v>0</v>
      </c>
      <c r="L73" s="74">
        <f>EFEITO!$N$73*EFEITO!$AA$73</f>
        <v>0</v>
      </c>
      <c r="M73" s="74">
        <f ca="1">$J$73-EFEITO!$K$73*EFEITO!$Y$73</f>
        <v>0</v>
      </c>
      <c r="N73" s="74">
        <f ca="1">$K$73-EFEITO!$M$73*EFEITO!$Z$73</f>
        <v>0</v>
      </c>
      <c r="O73" s="74">
        <f>$L$73-EFEITO!$O$73*EFEITO!$AA$73</f>
        <v>0</v>
      </c>
      <c r="P73" s="57"/>
      <c r="Q73" s="57"/>
      <c r="R73" s="57"/>
      <c r="S73" s="57"/>
      <c r="T73" s="57"/>
      <c r="U73" s="57"/>
      <c r="V73" s="57"/>
      <c r="W73" s="57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</row>
    <row r="74" spans="1:36" ht="11.25" customHeight="1" x14ac:dyDescent="0.2">
      <c r="A74" s="53" t="s">
        <v>21</v>
      </c>
      <c r="B74" s="53" t="s">
        <v>43</v>
      </c>
      <c r="C74" s="53" t="s">
        <v>41</v>
      </c>
      <c r="D74" s="53" t="s">
        <v>40</v>
      </c>
      <c r="E74" s="53" t="s">
        <v>25</v>
      </c>
      <c r="F74" s="53" t="s">
        <v>25</v>
      </c>
      <c r="G74" s="53" t="s">
        <v>25</v>
      </c>
      <c r="H74" s="53" t="s">
        <v>25</v>
      </c>
      <c r="I74" s="73">
        <v>43739</v>
      </c>
      <c r="J74" s="74">
        <f>EFEITO!$J$74*EFEITO!$Y$74</f>
        <v>0</v>
      </c>
      <c r="K74" s="74">
        <f ca="1">EFEITO!$L$74*EFEITO!$Z$74</f>
        <v>1314098.8825272624</v>
      </c>
      <c r="L74" s="74">
        <f>EFEITO!$N$74*EFEITO!$AA$74</f>
        <v>0</v>
      </c>
      <c r="M74" s="74">
        <f>$J$74-EFEITO!$K$74*EFEITO!$Y$74</f>
        <v>0</v>
      </c>
      <c r="N74" s="74">
        <f ca="1">$K$74-EFEITO!$M$74*EFEITO!$Z$74</f>
        <v>0</v>
      </c>
      <c r="O74" s="74">
        <f>$L$74-EFEITO!$O$74*EFEITO!$AA$74</f>
        <v>0</v>
      </c>
      <c r="P74" s="57"/>
      <c r="Q74" s="57"/>
      <c r="R74" s="57"/>
      <c r="S74" s="57"/>
      <c r="T74" s="57"/>
      <c r="U74" s="57"/>
      <c r="V74" s="57"/>
      <c r="W74" s="57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</row>
    <row r="75" spans="1:36" ht="11.25" customHeight="1" x14ac:dyDescent="0.2">
      <c r="A75" s="53" t="s">
        <v>21</v>
      </c>
      <c r="B75" s="53" t="s">
        <v>43</v>
      </c>
      <c r="C75" s="53" t="s">
        <v>41</v>
      </c>
      <c r="D75" s="53" t="s">
        <v>40</v>
      </c>
      <c r="E75" s="53" t="s">
        <v>25</v>
      </c>
      <c r="F75" s="53" t="s">
        <v>25</v>
      </c>
      <c r="G75" s="53" t="s">
        <v>25</v>
      </c>
      <c r="H75" s="53" t="s">
        <v>25</v>
      </c>
      <c r="I75" s="73">
        <v>43770</v>
      </c>
      <c r="J75" s="74">
        <f>EFEITO!$J$75*EFEITO!$Y$75</f>
        <v>0</v>
      </c>
      <c r="K75" s="74">
        <f ca="1">EFEITO!$L$75*EFEITO!$Z$75</f>
        <v>1306069.6737144254</v>
      </c>
      <c r="L75" s="74">
        <f>EFEITO!$N$75*EFEITO!$AA$75</f>
        <v>0</v>
      </c>
      <c r="M75" s="74">
        <f>$J$75-EFEITO!$K$75*EFEITO!$Y$75</f>
        <v>0</v>
      </c>
      <c r="N75" s="74">
        <f ca="1">$K$75-EFEITO!$M$75*EFEITO!$Z$75</f>
        <v>0</v>
      </c>
      <c r="O75" s="74">
        <f>$L$75-EFEITO!$O$75*EFEITO!$AA$75</f>
        <v>0</v>
      </c>
      <c r="P75" s="57"/>
      <c r="Q75" s="57"/>
      <c r="R75" s="57"/>
      <c r="S75" s="57"/>
      <c r="T75" s="57"/>
      <c r="U75" s="57"/>
      <c r="V75" s="57"/>
      <c r="W75" s="57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</row>
    <row r="76" spans="1:36" ht="11.25" customHeight="1" x14ac:dyDescent="0.2">
      <c r="A76" s="53" t="s">
        <v>21</v>
      </c>
      <c r="B76" s="53" t="s">
        <v>43</v>
      </c>
      <c r="C76" s="53" t="s">
        <v>41</v>
      </c>
      <c r="D76" s="53" t="s">
        <v>40</v>
      </c>
      <c r="E76" s="53" t="s">
        <v>25</v>
      </c>
      <c r="F76" s="53" t="s">
        <v>25</v>
      </c>
      <c r="G76" s="53" t="s">
        <v>25</v>
      </c>
      <c r="H76" s="53" t="s">
        <v>25</v>
      </c>
      <c r="I76" s="73">
        <v>43800</v>
      </c>
      <c r="J76" s="74">
        <f>EFEITO!$J$76*EFEITO!$Y$76</f>
        <v>0</v>
      </c>
      <c r="K76" s="74">
        <f ca="1">EFEITO!$L$76*EFEITO!$Z$76</f>
        <v>1260037.3059304531</v>
      </c>
      <c r="L76" s="74">
        <f>EFEITO!$N$76*EFEITO!$AA$76</f>
        <v>0</v>
      </c>
      <c r="M76" s="74">
        <f>$J$76-EFEITO!$K$76*EFEITO!$Y$76</f>
        <v>0</v>
      </c>
      <c r="N76" s="74">
        <f ca="1">$K$76-EFEITO!$M$76*EFEITO!$Z$76</f>
        <v>0</v>
      </c>
      <c r="O76" s="74">
        <f>$L$76-EFEITO!$O$76*EFEITO!$AA$76</f>
        <v>0</v>
      </c>
      <c r="P76" s="57"/>
      <c r="Q76" s="57"/>
      <c r="R76" s="57"/>
      <c r="S76" s="57"/>
      <c r="T76" s="57"/>
      <c r="U76" s="57"/>
      <c r="V76" s="57"/>
      <c r="W76" s="57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</row>
    <row r="77" spans="1:36" ht="11.25" customHeight="1" x14ac:dyDescent="0.2">
      <c r="A77" s="53" t="s">
        <v>21</v>
      </c>
      <c r="B77" s="53" t="s">
        <v>43</v>
      </c>
      <c r="C77" s="53" t="s">
        <v>41</v>
      </c>
      <c r="D77" s="53" t="s">
        <v>40</v>
      </c>
      <c r="E77" s="53" t="s">
        <v>25</v>
      </c>
      <c r="F77" s="53" t="s">
        <v>25</v>
      </c>
      <c r="G77" s="53" t="s">
        <v>25</v>
      </c>
      <c r="H77" s="53" t="s">
        <v>25</v>
      </c>
      <c r="I77" s="73">
        <v>43831</v>
      </c>
      <c r="J77" s="74">
        <f>EFEITO!$J$77*EFEITO!$Y$77</f>
        <v>0</v>
      </c>
      <c r="K77" s="74">
        <f ca="1">EFEITO!$L$77*EFEITO!$Z$77</f>
        <v>1294508.9395627093</v>
      </c>
      <c r="L77" s="74">
        <f>EFEITO!$N$77*EFEITO!$AA$77</f>
        <v>0</v>
      </c>
      <c r="M77" s="74">
        <f>$J$77-EFEITO!$K$77*EFEITO!$Y$77</f>
        <v>0</v>
      </c>
      <c r="N77" s="74">
        <f ca="1">$K$77-EFEITO!$M$77*EFEITO!$Z$77</f>
        <v>0</v>
      </c>
      <c r="O77" s="74">
        <f>$L$77-EFEITO!$O$77*EFEITO!$AA$77</f>
        <v>0</v>
      </c>
      <c r="P77" s="57"/>
      <c r="Q77" s="57"/>
      <c r="R77" s="57"/>
      <c r="S77" s="57"/>
      <c r="T77" s="57"/>
      <c r="U77" s="57"/>
      <c r="V77" s="57"/>
      <c r="W77" s="57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</row>
    <row r="78" spans="1:36" ht="11.25" customHeight="1" x14ac:dyDescent="0.2">
      <c r="A78" s="53" t="s">
        <v>21</v>
      </c>
      <c r="B78" s="53" t="s">
        <v>43</v>
      </c>
      <c r="C78" s="53" t="s">
        <v>41</v>
      </c>
      <c r="D78" s="53" t="s">
        <v>40</v>
      </c>
      <c r="E78" s="53" t="s">
        <v>25</v>
      </c>
      <c r="F78" s="53" t="s">
        <v>25</v>
      </c>
      <c r="G78" s="53" t="s">
        <v>25</v>
      </c>
      <c r="H78" s="53" t="s">
        <v>25</v>
      </c>
      <c r="I78" s="73">
        <v>43862</v>
      </c>
      <c r="J78" s="74">
        <f>EFEITO!$J$78*EFEITO!$Y$78</f>
        <v>0</v>
      </c>
      <c r="K78" s="74">
        <f ca="1">EFEITO!$L$78*EFEITO!$Z$78</f>
        <v>1265995.5265149749</v>
      </c>
      <c r="L78" s="74">
        <f>EFEITO!$N$78*EFEITO!$AA$78</f>
        <v>0</v>
      </c>
      <c r="M78" s="74">
        <f>$J$78-EFEITO!$K$78*EFEITO!$Y$78</f>
        <v>0</v>
      </c>
      <c r="N78" s="74">
        <f ca="1">$K$78-EFEITO!$M$78*EFEITO!$Z$78</f>
        <v>0</v>
      </c>
      <c r="O78" s="74">
        <f>$L$78-EFEITO!$O$78*EFEITO!$AA$78</f>
        <v>0</v>
      </c>
      <c r="P78" s="57"/>
      <c r="Q78" s="57"/>
      <c r="R78" s="57"/>
      <c r="S78" s="57"/>
      <c r="T78" s="57"/>
      <c r="U78" s="57"/>
      <c r="V78" s="57"/>
      <c r="W78" s="57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</row>
    <row r="79" spans="1:36" ht="11.25" customHeight="1" x14ac:dyDescent="0.2">
      <c r="A79" s="53" t="s">
        <v>21</v>
      </c>
      <c r="B79" s="53" t="s">
        <v>43</v>
      </c>
      <c r="C79" s="53" t="s">
        <v>41</v>
      </c>
      <c r="D79" s="53" t="s">
        <v>40</v>
      </c>
      <c r="E79" s="53" t="s">
        <v>25</v>
      </c>
      <c r="F79" s="53" t="s">
        <v>25</v>
      </c>
      <c r="G79" s="53" t="s">
        <v>25</v>
      </c>
      <c r="H79" s="53" t="s">
        <v>25</v>
      </c>
      <c r="I79" s="73">
        <v>43891</v>
      </c>
      <c r="J79" s="74">
        <f>EFEITO!$J$79*EFEITO!$Y$79</f>
        <v>0</v>
      </c>
      <c r="K79" s="74">
        <f ca="1">EFEITO!$L$79*EFEITO!$Z$79</f>
        <v>1348658.0344267408</v>
      </c>
      <c r="L79" s="74">
        <f>EFEITO!$N$79*EFEITO!$AA$79</f>
        <v>0</v>
      </c>
      <c r="M79" s="74">
        <f>$J$79-EFEITO!$K$79*EFEITO!$Y$79</f>
        <v>0</v>
      </c>
      <c r="N79" s="74">
        <f ca="1">$K$79-EFEITO!$M$79*EFEITO!$Z$79</f>
        <v>0</v>
      </c>
      <c r="O79" s="74">
        <f>$L$79-EFEITO!$O$79*EFEITO!$AA$79</f>
        <v>0</v>
      </c>
      <c r="P79" s="57"/>
      <c r="Q79" s="57"/>
      <c r="R79" s="57"/>
      <c r="S79" s="57"/>
      <c r="T79" s="57"/>
      <c r="U79" s="57"/>
      <c r="V79" s="57"/>
      <c r="W79" s="57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</row>
    <row r="80" spans="1:36" ht="11.25" customHeight="1" x14ac:dyDescent="0.2">
      <c r="A80" s="53" t="s">
        <v>21</v>
      </c>
      <c r="B80" s="53" t="s">
        <v>43</v>
      </c>
      <c r="C80" s="53" t="s">
        <v>41</v>
      </c>
      <c r="D80" s="53" t="s">
        <v>40</v>
      </c>
      <c r="E80" s="53" t="s">
        <v>25</v>
      </c>
      <c r="F80" s="53" t="s">
        <v>25</v>
      </c>
      <c r="G80" s="53" t="s">
        <v>25</v>
      </c>
      <c r="H80" s="53" t="s">
        <v>25</v>
      </c>
      <c r="I80" s="73">
        <v>43922</v>
      </c>
      <c r="J80" s="74">
        <f>EFEITO!$J$80*EFEITO!$Y$80</f>
        <v>0</v>
      </c>
      <c r="K80" s="74">
        <f ca="1">EFEITO!$L$80*EFEITO!$Z$80</f>
        <v>1020666.7142655636</v>
      </c>
      <c r="L80" s="74">
        <f>EFEITO!$N$80*EFEITO!$AA$80</f>
        <v>0</v>
      </c>
      <c r="M80" s="74">
        <f>$J$80-EFEITO!$K$80*EFEITO!$Y$80</f>
        <v>0</v>
      </c>
      <c r="N80" s="74">
        <f ca="1">$K$80-EFEITO!$M$80*EFEITO!$Z$80</f>
        <v>0</v>
      </c>
      <c r="O80" s="74">
        <f>$L$80-EFEITO!$O$80*EFEITO!$AA$80</f>
        <v>0</v>
      </c>
      <c r="P80" s="57"/>
      <c r="Q80" s="57"/>
      <c r="R80" s="57"/>
      <c r="S80" s="57"/>
      <c r="T80" s="57"/>
      <c r="U80" s="57"/>
      <c r="V80" s="57"/>
      <c r="W80" s="57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</row>
    <row r="81" spans="1:36" ht="11.25" customHeight="1" x14ac:dyDescent="0.2">
      <c r="A81" s="53" t="s">
        <v>21</v>
      </c>
      <c r="B81" s="53" t="s">
        <v>43</v>
      </c>
      <c r="C81" s="53" t="s">
        <v>41</v>
      </c>
      <c r="D81" s="53" t="s">
        <v>40</v>
      </c>
      <c r="E81" s="53" t="s">
        <v>25</v>
      </c>
      <c r="F81" s="53" t="s">
        <v>25</v>
      </c>
      <c r="G81" s="53" t="s">
        <v>25</v>
      </c>
      <c r="H81" s="53" t="s">
        <v>25</v>
      </c>
      <c r="I81" s="73">
        <v>43952</v>
      </c>
      <c r="J81" s="74">
        <f>EFEITO!$J$81*EFEITO!$Y$81</f>
        <v>0</v>
      </c>
      <c r="K81" s="74">
        <f ca="1">EFEITO!$L$81*EFEITO!$Z$81</f>
        <v>1619263.8764566199</v>
      </c>
      <c r="L81" s="74">
        <f>EFEITO!$N$81*EFEITO!$AA$81</f>
        <v>0</v>
      </c>
      <c r="M81" s="74">
        <f>$J$81-EFEITO!$K$81*EFEITO!$Y$81</f>
        <v>0</v>
      </c>
      <c r="N81" s="74">
        <f ca="1">$K$81-EFEITO!$M$81*EFEITO!$Z$81</f>
        <v>0</v>
      </c>
      <c r="O81" s="74">
        <f>$L$81-EFEITO!$O$81*EFEITO!$AA$81</f>
        <v>0</v>
      </c>
      <c r="P81" s="57"/>
      <c r="Q81" s="57"/>
      <c r="R81" s="57"/>
      <c r="S81" s="57"/>
      <c r="T81" s="57"/>
      <c r="U81" s="57"/>
      <c r="V81" s="57"/>
      <c r="W81" s="57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</row>
    <row r="82" spans="1:36" ht="11.25" customHeight="1" x14ac:dyDescent="0.2">
      <c r="A82" s="53" t="s">
        <v>21</v>
      </c>
      <c r="B82" s="53" t="s">
        <v>43</v>
      </c>
      <c r="C82" s="53" t="s">
        <v>41</v>
      </c>
      <c r="D82" s="53" t="s">
        <v>40</v>
      </c>
      <c r="E82" s="53" t="s">
        <v>25</v>
      </c>
      <c r="F82" s="53" t="s">
        <v>25</v>
      </c>
      <c r="G82" s="53" t="s">
        <v>25</v>
      </c>
      <c r="H82" s="53" t="s">
        <v>25</v>
      </c>
      <c r="I82" s="73">
        <v>43983</v>
      </c>
      <c r="J82" s="74">
        <f>EFEITO!$J$82*EFEITO!$Y$82</f>
        <v>0</v>
      </c>
      <c r="K82" s="74">
        <f ca="1">EFEITO!$L$82*EFEITO!$Z$82</f>
        <v>1619263.8764566199</v>
      </c>
      <c r="L82" s="74">
        <f>EFEITO!$N$82*EFEITO!$AA$82</f>
        <v>0</v>
      </c>
      <c r="M82" s="74">
        <f>$J$82-EFEITO!$K$82*EFEITO!$Y$82</f>
        <v>0</v>
      </c>
      <c r="N82" s="74">
        <f ca="1">$K$82-EFEITO!$M$82*EFEITO!$Z$82</f>
        <v>0</v>
      </c>
      <c r="O82" s="74">
        <f>$L$82-EFEITO!$O$82*EFEITO!$AA$82</f>
        <v>0</v>
      </c>
      <c r="P82" s="57"/>
      <c r="Q82" s="57"/>
      <c r="R82" s="57"/>
      <c r="S82" s="57"/>
      <c r="T82" s="57"/>
      <c r="U82" s="57"/>
      <c r="V82" s="57"/>
      <c r="W82" s="57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</row>
    <row r="83" spans="1:36" ht="11.25" customHeight="1" x14ac:dyDescent="0.2">
      <c r="A83" s="53" t="s">
        <v>21</v>
      </c>
      <c r="B83" s="53" t="s">
        <v>43</v>
      </c>
      <c r="C83" s="53" t="s">
        <v>41</v>
      </c>
      <c r="D83" s="53" t="s">
        <v>40</v>
      </c>
      <c r="E83" s="53" t="s">
        <v>25</v>
      </c>
      <c r="F83" s="53" t="s">
        <v>25</v>
      </c>
      <c r="G83" s="53" t="s">
        <v>25</v>
      </c>
      <c r="H83" s="53" t="s">
        <v>25</v>
      </c>
      <c r="I83" s="73">
        <v>44013</v>
      </c>
      <c r="J83" s="74">
        <f>EFEITO!$J$83*EFEITO!$Y$83</f>
        <v>0</v>
      </c>
      <c r="K83" s="74">
        <f ca="1">EFEITO!$L$83*EFEITO!$Z$83</f>
        <v>1405996.7763948555</v>
      </c>
      <c r="L83" s="74">
        <f>EFEITO!$N$83*EFEITO!$AA$83</f>
        <v>0</v>
      </c>
      <c r="M83" s="74">
        <f>$J$83-EFEITO!$K$83*EFEITO!$Y$83</f>
        <v>0</v>
      </c>
      <c r="N83" s="74">
        <f ca="1">$K$83-EFEITO!$M$83*EFEITO!$Z$83</f>
        <v>0</v>
      </c>
      <c r="O83" s="74">
        <f>$L$83-EFEITO!$O$83*EFEITO!$AA$83</f>
        <v>0</v>
      </c>
      <c r="P83" s="57"/>
      <c r="Q83" s="57"/>
      <c r="R83" s="57"/>
      <c r="S83" s="57"/>
      <c r="T83" s="57"/>
      <c r="U83" s="57"/>
      <c r="V83" s="57"/>
      <c r="W83" s="57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</row>
    <row r="84" spans="1:36" ht="11.25" customHeight="1" x14ac:dyDescent="0.2">
      <c r="A84" s="53" t="s">
        <v>21</v>
      </c>
      <c r="B84" s="53" t="s">
        <v>43</v>
      </c>
      <c r="C84" s="53" t="s">
        <v>41</v>
      </c>
      <c r="D84" s="53" t="s">
        <v>40</v>
      </c>
      <c r="E84" s="53" t="s">
        <v>25</v>
      </c>
      <c r="F84" s="53" t="s">
        <v>25</v>
      </c>
      <c r="G84" s="53" t="s">
        <v>25</v>
      </c>
      <c r="H84" s="53" t="s">
        <v>25</v>
      </c>
      <c r="I84" s="73">
        <v>44044</v>
      </c>
      <c r="J84" s="74">
        <f>EFEITO!$J$84*EFEITO!$Y$84</f>
        <v>0</v>
      </c>
      <c r="K84" s="74">
        <f ca="1">EFEITO!$L$84*EFEITO!$Z$84</f>
        <v>2020311.246242485</v>
      </c>
      <c r="L84" s="74">
        <f>EFEITO!$N$84*EFEITO!$AA$84</f>
        <v>0</v>
      </c>
      <c r="M84" s="74">
        <f>$J$84-EFEITO!$K$84*EFEITO!$Y$84</f>
        <v>0</v>
      </c>
      <c r="N84" s="74">
        <f ca="1">$K$84-EFEITO!$M$84*EFEITO!$Z$84</f>
        <v>0</v>
      </c>
      <c r="O84" s="74">
        <f>$L$84-EFEITO!$O$84*EFEITO!$AA$84</f>
        <v>0</v>
      </c>
      <c r="P84" s="57"/>
      <c r="Q84" s="57"/>
      <c r="R84" s="57"/>
      <c r="S84" s="57"/>
      <c r="T84" s="57"/>
      <c r="U84" s="57"/>
      <c r="V84" s="57"/>
      <c r="W84" s="57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</row>
    <row r="85" spans="1:36" ht="11.25" customHeight="1" x14ac:dyDescent="0.2">
      <c r="A85" s="53" t="s">
        <v>59</v>
      </c>
      <c r="B85" s="53" t="s">
        <v>43</v>
      </c>
      <c r="C85" s="53" t="s">
        <v>41</v>
      </c>
      <c r="D85" s="53" t="s">
        <v>40</v>
      </c>
      <c r="E85" s="53" t="s">
        <v>25</v>
      </c>
      <c r="F85" s="53" t="s">
        <v>25</v>
      </c>
      <c r="G85" s="53" t="s">
        <v>25</v>
      </c>
      <c r="H85" s="53" t="s">
        <v>25</v>
      </c>
      <c r="I85" s="73">
        <v>44075</v>
      </c>
      <c r="J85" s="74">
        <f>EFEITO!$J$85*EFEITO!$Y$85</f>
        <v>0</v>
      </c>
      <c r="K85" s="74">
        <f ca="1">EFEITO!$L$85*EFEITO!$Z$85</f>
        <v>2020311.246242485</v>
      </c>
      <c r="L85" s="74">
        <f>EFEITO!$N$85*EFEITO!$AA$85</f>
        <v>0</v>
      </c>
      <c r="M85" s="74">
        <f>$J$85-EFEITO!$K$85*EFEITO!$Y$85</f>
        <v>0</v>
      </c>
      <c r="N85" s="74">
        <f ca="1">$K$85-EFEITO!$M$85*EFEITO!$Z$85</f>
        <v>0</v>
      </c>
      <c r="O85" s="74">
        <f>$L$85-EFEITO!$O$85*EFEITO!$AA$85</f>
        <v>0</v>
      </c>
      <c r="P85" s="57"/>
      <c r="Q85" s="57"/>
      <c r="R85" s="57"/>
      <c r="S85" s="57"/>
      <c r="T85" s="57"/>
      <c r="U85" s="57"/>
      <c r="V85" s="57"/>
      <c r="W85" s="57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</row>
    <row r="86" spans="1:36" ht="11.25" customHeight="1" x14ac:dyDescent="0.2">
      <c r="A86" s="53" t="s">
        <v>21</v>
      </c>
      <c r="B86" s="53" t="s">
        <v>43</v>
      </c>
      <c r="C86" s="53" t="s">
        <v>41</v>
      </c>
      <c r="D86" s="53" t="s">
        <v>40</v>
      </c>
      <c r="E86" s="53" t="s">
        <v>25</v>
      </c>
      <c r="F86" s="53" t="s">
        <v>25</v>
      </c>
      <c r="G86" s="53" t="s">
        <v>25</v>
      </c>
      <c r="H86" s="53" t="s">
        <v>35</v>
      </c>
      <c r="I86" s="73">
        <v>43739</v>
      </c>
      <c r="J86" s="74">
        <f ca="1">EFEITO!$J$86*EFEITO!$Y$86</f>
        <v>278806.789746347</v>
      </c>
      <c r="K86" s="74">
        <f ca="1">EFEITO!$L$86*EFEITO!$Z$86</f>
        <v>0</v>
      </c>
      <c r="L86" s="74">
        <f>EFEITO!$N$86*EFEITO!$AA$86</f>
        <v>0</v>
      </c>
      <c r="M86" s="74">
        <f ca="1">$J$86-EFEITO!$K$86*EFEITO!$Y$86</f>
        <v>0</v>
      </c>
      <c r="N86" s="74">
        <f ca="1">$K$86-EFEITO!$M$86*EFEITO!$Z$86</f>
        <v>0</v>
      </c>
      <c r="O86" s="74">
        <f>$L$86-EFEITO!$O$86*EFEITO!$AA$86</f>
        <v>0</v>
      </c>
      <c r="P86" s="57"/>
      <c r="Q86" s="57"/>
      <c r="R86" s="57"/>
      <c r="S86" s="57"/>
      <c r="T86" s="57"/>
      <c r="U86" s="57"/>
      <c r="V86" s="57"/>
      <c r="W86" s="57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</row>
    <row r="87" spans="1:36" ht="11.25" customHeight="1" x14ac:dyDescent="0.2">
      <c r="A87" s="53" t="s">
        <v>21</v>
      </c>
      <c r="B87" s="53" t="s">
        <v>43</v>
      </c>
      <c r="C87" s="53" t="s">
        <v>41</v>
      </c>
      <c r="D87" s="53" t="s">
        <v>40</v>
      </c>
      <c r="E87" s="53" t="s">
        <v>25</v>
      </c>
      <c r="F87" s="53" t="s">
        <v>25</v>
      </c>
      <c r="G87" s="53" t="s">
        <v>25</v>
      </c>
      <c r="H87" s="53" t="s">
        <v>35</v>
      </c>
      <c r="I87" s="73">
        <v>43770</v>
      </c>
      <c r="J87" s="74">
        <f ca="1">EFEITO!$J$87*EFEITO!$Y$87</f>
        <v>278806.789746347</v>
      </c>
      <c r="K87" s="74">
        <f ca="1">EFEITO!$L$87*EFEITO!$Z$87</f>
        <v>0</v>
      </c>
      <c r="L87" s="74">
        <f>EFEITO!$N$87*EFEITO!$AA$87</f>
        <v>0</v>
      </c>
      <c r="M87" s="74">
        <f ca="1">$J$87-EFEITO!$K$87*EFEITO!$Y$87</f>
        <v>0</v>
      </c>
      <c r="N87" s="74">
        <f ca="1">$K$87-EFEITO!$M$87*EFEITO!$Z$87</f>
        <v>0</v>
      </c>
      <c r="O87" s="74">
        <f>$L$87-EFEITO!$O$87*EFEITO!$AA$87</f>
        <v>0</v>
      </c>
      <c r="P87" s="57"/>
      <c r="Q87" s="57"/>
      <c r="R87" s="57"/>
      <c r="S87" s="57"/>
      <c r="T87" s="57"/>
      <c r="U87" s="57"/>
      <c r="V87" s="57"/>
      <c r="W87" s="57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</row>
    <row r="88" spans="1:36" ht="11.25" customHeight="1" x14ac:dyDescent="0.2">
      <c r="A88" s="53" t="s">
        <v>21</v>
      </c>
      <c r="B88" s="53" t="s">
        <v>43</v>
      </c>
      <c r="C88" s="53" t="s">
        <v>41</v>
      </c>
      <c r="D88" s="53" t="s">
        <v>40</v>
      </c>
      <c r="E88" s="53" t="s">
        <v>25</v>
      </c>
      <c r="F88" s="53" t="s">
        <v>25</v>
      </c>
      <c r="G88" s="53" t="s">
        <v>25</v>
      </c>
      <c r="H88" s="53" t="s">
        <v>35</v>
      </c>
      <c r="I88" s="73">
        <v>43800</v>
      </c>
      <c r="J88" s="74">
        <f ca="1">EFEITO!$J$88*EFEITO!$Y$88</f>
        <v>278806.789746347</v>
      </c>
      <c r="K88" s="74">
        <f ca="1">EFEITO!$L$88*EFEITO!$Z$88</f>
        <v>0</v>
      </c>
      <c r="L88" s="74">
        <f>EFEITO!$N$88*EFEITO!$AA$88</f>
        <v>0</v>
      </c>
      <c r="M88" s="74">
        <f ca="1">$J$88-EFEITO!$K$88*EFEITO!$Y$88</f>
        <v>0</v>
      </c>
      <c r="N88" s="74">
        <f ca="1">$K$88-EFEITO!$M$88*EFEITO!$Z$88</f>
        <v>0</v>
      </c>
      <c r="O88" s="74">
        <f>$L$88-EFEITO!$O$88*EFEITO!$AA$88</f>
        <v>0</v>
      </c>
      <c r="P88" s="57"/>
      <c r="Q88" s="57"/>
      <c r="R88" s="57"/>
      <c r="S88" s="57"/>
      <c r="T88" s="57"/>
      <c r="U88" s="57"/>
      <c r="V88" s="57"/>
      <c r="W88" s="57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</row>
    <row r="89" spans="1:36" ht="11.25" customHeight="1" x14ac:dyDescent="0.2">
      <c r="A89" s="53" t="s">
        <v>21</v>
      </c>
      <c r="B89" s="53" t="s">
        <v>43</v>
      </c>
      <c r="C89" s="53" t="s">
        <v>41</v>
      </c>
      <c r="D89" s="53" t="s">
        <v>40</v>
      </c>
      <c r="E89" s="53" t="s">
        <v>25</v>
      </c>
      <c r="F89" s="53" t="s">
        <v>25</v>
      </c>
      <c r="G89" s="53" t="s">
        <v>25</v>
      </c>
      <c r="H89" s="53" t="s">
        <v>35</v>
      </c>
      <c r="I89" s="73">
        <v>43831</v>
      </c>
      <c r="J89" s="74">
        <f ca="1">EFEITO!$J$89*EFEITO!$Y$89</f>
        <v>278806.789746347</v>
      </c>
      <c r="K89" s="74">
        <f ca="1">EFEITO!$L$89*EFEITO!$Z$89</f>
        <v>0</v>
      </c>
      <c r="L89" s="74">
        <f>EFEITO!$N$89*EFEITO!$AA$89</f>
        <v>0</v>
      </c>
      <c r="M89" s="74">
        <f ca="1">$J$89-EFEITO!$K$89*EFEITO!$Y$89</f>
        <v>0</v>
      </c>
      <c r="N89" s="74">
        <f ca="1">$K$89-EFEITO!$M$89*EFEITO!$Z$89</f>
        <v>0</v>
      </c>
      <c r="O89" s="74">
        <f>$L$89-EFEITO!$O$89*EFEITO!$AA$89</f>
        <v>0</v>
      </c>
      <c r="P89" s="57"/>
      <c r="Q89" s="57"/>
      <c r="R89" s="57"/>
      <c r="S89" s="57"/>
      <c r="T89" s="57"/>
      <c r="U89" s="57"/>
      <c r="V89" s="57"/>
      <c r="W89" s="57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</row>
    <row r="90" spans="1:36" ht="11.25" customHeight="1" x14ac:dyDescent="0.2">
      <c r="A90" s="53" t="s">
        <v>21</v>
      </c>
      <c r="B90" s="53" t="s">
        <v>43</v>
      </c>
      <c r="C90" s="53" t="s">
        <v>41</v>
      </c>
      <c r="D90" s="53" t="s">
        <v>40</v>
      </c>
      <c r="E90" s="53" t="s">
        <v>25</v>
      </c>
      <c r="F90" s="53" t="s">
        <v>25</v>
      </c>
      <c r="G90" s="53" t="s">
        <v>25</v>
      </c>
      <c r="H90" s="53" t="s">
        <v>35</v>
      </c>
      <c r="I90" s="73">
        <v>43862</v>
      </c>
      <c r="J90" s="74">
        <f ca="1">EFEITO!$J$90*EFEITO!$Y$90</f>
        <v>278806.789746347</v>
      </c>
      <c r="K90" s="74">
        <f ca="1">EFEITO!$L$90*EFEITO!$Z$90</f>
        <v>0</v>
      </c>
      <c r="L90" s="74">
        <f>EFEITO!$N$90*EFEITO!$AA$90</f>
        <v>0</v>
      </c>
      <c r="M90" s="74">
        <f ca="1">$J$90-EFEITO!$K$90*EFEITO!$Y$90</f>
        <v>0</v>
      </c>
      <c r="N90" s="74">
        <f ca="1">$K$90-EFEITO!$M$90*EFEITO!$Z$90</f>
        <v>0</v>
      </c>
      <c r="O90" s="74">
        <f>$L$90-EFEITO!$O$90*EFEITO!$AA$90</f>
        <v>0</v>
      </c>
      <c r="P90" s="57"/>
      <c r="Q90" s="57"/>
      <c r="R90" s="57"/>
      <c r="S90" s="57"/>
      <c r="T90" s="57"/>
      <c r="U90" s="57"/>
      <c r="V90" s="57"/>
      <c r="W90" s="57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</row>
    <row r="91" spans="1:36" ht="11.25" customHeight="1" x14ac:dyDescent="0.2">
      <c r="A91" s="53" t="s">
        <v>21</v>
      </c>
      <c r="B91" s="53" t="s">
        <v>43</v>
      </c>
      <c r="C91" s="53" t="s">
        <v>41</v>
      </c>
      <c r="D91" s="53" t="s">
        <v>40</v>
      </c>
      <c r="E91" s="53" t="s">
        <v>25</v>
      </c>
      <c r="F91" s="53" t="s">
        <v>25</v>
      </c>
      <c r="G91" s="53" t="s">
        <v>25</v>
      </c>
      <c r="H91" s="53" t="s">
        <v>35</v>
      </c>
      <c r="I91" s="73">
        <v>43891</v>
      </c>
      <c r="J91" s="74">
        <f ca="1">EFEITO!$J$91*EFEITO!$Y$91</f>
        <v>278806.789746347</v>
      </c>
      <c r="K91" s="74">
        <f ca="1">EFEITO!$L$91*EFEITO!$Z$91</f>
        <v>0</v>
      </c>
      <c r="L91" s="74">
        <f>EFEITO!$N$91*EFEITO!$AA$91</f>
        <v>0</v>
      </c>
      <c r="M91" s="74">
        <f ca="1">$J$91-EFEITO!$K$91*EFEITO!$Y$91</f>
        <v>0</v>
      </c>
      <c r="N91" s="74">
        <f ca="1">$K$91-EFEITO!$M$91*EFEITO!$Z$91</f>
        <v>0</v>
      </c>
      <c r="O91" s="74">
        <f>$L$91-EFEITO!$O$91*EFEITO!$AA$91</f>
        <v>0</v>
      </c>
      <c r="P91" s="57"/>
      <c r="Q91" s="57"/>
      <c r="R91" s="57"/>
      <c r="S91" s="57"/>
      <c r="T91" s="57"/>
      <c r="U91" s="57"/>
      <c r="V91" s="57"/>
      <c r="W91" s="57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</row>
    <row r="92" spans="1:36" ht="11.25" customHeight="1" x14ac:dyDescent="0.2">
      <c r="A92" s="53" t="s">
        <v>21</v>
      </c>
      <c r="B92" s="53" t="s">
        <v>43</v>
      </c>
      <c r="C92" s="53" t="s">
        <v>41</v>
      </c>
      <c r="D92" s="53" t="s">
        <v>40</v>
      </c>
      <c r="E92" s="53" t="s">
        <v>25</v>
      </c>
      <c r="F92" s="53" t="s">
        <v>25</v>
      </c>
      <c r="G92" s="53" t="s">
        <v>25</v>
      </c>
      <c r="H92" s="53" t="s">
        <v>35</v>
      </c>
      <c r="I92" s="73">
        <v>43922</v>
      </c>
      <c r="J92" s="74">
        <f ca="1">EFEITO!$J$92*EFEITO!$Y$92</f>
        <v>278806.789746347</v>
      </c>
      <c r="K92" s="74">
        <f ca="1">EFEITO!$L$92*EFEITO!$Z$92</f>
        <v>0</v>
      </c>
      <c r="L92" s="74">
        <f>EFEITO!$N$92*EFEITO!$AA$92</f>
        <v>0</v>
      </c>
      <c r="M92" s="74">
        <f ca="1">$J$92-EFEITO!$K$92*EFEITO!$Y$92</f>
        <v>0</v>
      </c>
      <c r="N92" s="74">
        <f ca="1">$K$92-EFEITO!$M$92*EFEITO!$Z$92</f>
        <v>0</v>
      </c>
      <c r="O92" s="74">
        <f>$L$92-EFEITO!$O$92*EFEITO!$AA$92</f>
        <v>0</v>
      </c>
      <c r="P92" s="57"/>
      <c r="Q92" s="57"/>
      <c r="R92" s="57"/>
      <c r="S92" s="57"/>
      <c r="T92" s="57"/>
      <c r="U92" s="57"/>
      <c r="V92" s="57"/>
      <c r="W92" s="57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</row>
    <row r="93" spans="1:36" ht="11.25" customHeight="1" x14ac:dyDescent="0.2">
      <c r="A93" s="53" t="s">
        <v>21</v>
      </c>
      <c r="B93" s="53" t="s">
        <v>43</v>
      </c>
      <c r="C93" s="53" t="s">
        <v>41</v>
      </c>
      <c r="D93" s="53" t="s">
        <v>40</v>
      </c>
      <c r="E93" s="53" t="s">
        <v>25</v>
      </c>
      <c r="F93" s="53" t="s">
        <v>25</v>
      </c>
      <c r="G93" s="53" t="s">
        <v>25</v>
      </c>
      <c r="H93" s="53" t="s">
        <v>35</v>
      </c>
      <c r="I93" s="73">
        <v>43952</v>
      </c>
      <c r="J93" s="74">
        <f ca="1">EFEITO!$J$93*EFEITO!$Y$93</f>
        <v>278806.789746347</v>
      </c>
      <c r="K93" s="74">
        <f ca="1">EFEITO!$L$93*EFEITO!$Z$93</f>
        <v>0</v>
      </c>
      <c r="L93" s="74">
        <f>EFEITO!$N$93*EFEITO!$AA$93</f>
        <v>0</v>
      </c>
      <c r="M93" s="74">
        <f ca="1">$J$93-EFEITO!$K$93*EFEITO!$Y$93</f>
        <v>0</v>
      </c>
      <c r="N93" s="74">
        <f ca="1">$K$93-EFEITO!$M$93*EFEITO!$Z$93</f>
        <v>0</v>
      </c>
      <c r="O93" s="74">
        <f>$L$93-EFEITO!$O$93*EFEITO!$AA$93</f>
        <v>0</v>
      </c>
      <c r="P93" s="57"/>
      <c r="Q93" s="57"/>
      <c r="R93" s="57"/>
      <c r="S93" s="57"/>
      <c r="T93" s="57"/>
      <c r="U93" s="57"/>
      <c r="V93" s="57"/>
      <c r="W93" s="57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</row>
    <row r="94" spans="1:36" ht="11.25" customHeight="1" x14ac:dyDescent="0.2">
      <c r="A94" s="53" t="s">
        <v>21</v>
      </c>
      <c r="B94" s="53" t="s">
        <v>43</v>
      </c>
      <c r="C94" s="53" t="s">
        <v>41</v>
      </c>
      <c r="D94" s="53" t="s">
        <v>40</v>
      </c>
      <c r="E94" s="53" t="s">
        <v>25</v>
      </c>
      <c r="F94" s="53" t="s">
        <v>25</v>
      </c>
      <c r="G94" s="53" t="s">
        <v>25</v>
      </c>
      <c r="H94" s="53" t="s">
        <v>35</v>
      </c>
      <c r="I94" s="73">
        <v>43983</v>
      </c>
      <c r="J94" s="74">
        <f ca="1">EFEITO!$J$94*EFEITO!$Y$94</f>
        <v>278806.789746347</v>
      </c>
      <c r="K94" s="74">
        <f ca="1">EFEITO!$L$94*EFEITO!$Z$94</f>
        <v>0</v>
      </c>
      <c r="L94" s="74">
        <f>EFEITO!$N$94*EFEITO!$AA$94</f>
        <v>0</v>
      </c>
      <c r="M94" s="74">
        <f ca="1">$J$94-EFEITO!$K$94*EFEITO!$Y$94</f>
        <v>0</v>
      </c>
      <c r="N94" s="74">
        <f ca="1">$K$94-EFEITO!$M$94*EFEITO!$Z$94</f>
        <v>0</v>
      </c>
      <c r="O94" s="74">
        <f>$L$94-EFEITO!$O$94*EFEITO!$AA$94</f>
        <v>0</v>
      </c>
      <c r="P94" s="57"/>
      <c r="Q94" s="57"/>
      <c r="R94" s="57"/>
      <c r="S94" s="57"/>
      <c r="T94" s="57"/>
      <c r="U94" s="57"/>
      <c r="V94" s="57"/>
      <c r="W94" s="57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</row>
    <row r="95" spans="1:36" ht="11.25" customHeight="1" x14ac:dyDescent="0.2">
      <c r="A95" s="53" t="s">
        <v>21</v>
      </c>
      <c r="B95" s="53" t="s">
        <v>43</v>
      </c>
      <c r="C95" s="53" t="s">
        <v>41</v>
      </c>
      <c r="D95" s="53" t="s">
        <v>40</v>
      </c>
      <c r="E95" s="53" t="s">
        <v>25</v>
      </c>
      <c r="F95" s="53" t="s">
        <v>25</v>
      </c>
      <c r="G95" s="53" t="s">
        <v>25</v>
      </c>
      <c r="H95" s="53" t="s">
        <v>35</v>
      </c>
      <c r="I95" s="73">
        <v>44013</v>
      </c>
      <c r="J95" s="74">
        <f ca="1">EFEITO!$J$95*EFEITO!$Y$95</f>
        <v>278806.789746347</v>
      </c>
      <c r="K95" s="74">
        <f ca="1">EFEITO!$L$95*EFEITO!$Z$95</f>
        <v>0</v>
      </c>
      <c r="L95" s="74">
        <f>EFEITO!$N$95*EFEITO!$AA$95</f>
        <v>0</v>
      </c>
      <c r="M95" s="74">
        <f ca="1">$J$95-EFEITO!$K$95*EFEITO!$Y$95</f>
        <v>0</v>
      </c>
      <c r="N95" s="74">
        <f ca="1">$K$95-EFEITO!$M$95*EFEITO!$Z$95</f>
        <v>0</v>
      </c>
      <c r="O95" s="74">
        <f>$L$95-EFEITO!$O$95*EFEITO!$AA$95</f>
        <v>0</v>
      </c>
      <c r="P95" s="57"/>
      <c r="Q95" s="57"/>
      <c r="R95" s="57"/>
      <c r="S95" s="57"/>
      <c r="T95" s="57"/>
      <c r="U95" s="57"/>
      <c r="V95" s="57"/>
      <c r="W95" s="57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</row>
    <row r="96" spans="1:36" ht="11.25" customHeight="1" x14ac:dyDescent="0.2">
      <c r="A96" s="53" t="s">
        <v>21</v>
      </c>
      <c r="B96" s="53" t="s">
        <v>43</v>
      </c>
      <c r="C96" s="53" t="s">
        <v>41</v>
      </c>
      <c r="D96" s="53" t="s">
        <v>40</v>
      </c>
      <c r="E96" s="53" t="s">
        <v>25</v>
      </c>
      <c r="F96" s="53" t="s">
        <v>25</v>
      </c>
      <c r="G96" s="53" t="s">
        <v>25</v>
      </c>
      <c r="H96" s="53" t="s">
        <v>35</v>
      </c>
      <c r="I96" s="73">
        <v>44044</v>
      </c>
      <c r="J96" s="74">
        <f ca="1">EFEITO!$J$96*EFEITO!$Y$96</f>
        <v>278806.789746347</v>
      </c>
      <c r="K96" s="74">
        <f ca="1">EFEITO!$L$96*EFEITO!$Z$96</f>
        <v>0</v>
      </c>
      <c r="L96" s="74">
        <f>EFEITO!$N$96*EFEITO!$AA$96</f>
        <v>0</v>
      </c>
      <c r="M96" s="74">
        <f ca="1">$J$96-EFEITO!$K$96*EFEITO!$Y$96</f>
        <v>0</v>
      </c>
      <c r="N96" s="74">
        <f ca="1">$K$96-EFEITO!$M$96*EFEITO!$Z$96</f>
        <v>0</v>
      </c>
      <c r="O96" s="74">
        <f>$L$96-EFEITO!$O$96*EFEITO!$AA$96</f>
        <v>0</v>
      </c>
      <c r="P96" s="57"/>
      <c r="Q96" s="57"/>
      <c r="R96" s="57"/>
      <c r="S96" s="57"/>
      <c r="T96" s="57"/>
      <c r="U96" s="57"/>
      <c r="V96" s="57"/>
      <c r="W96" s="57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</row>
    <row r="97" spans="1:36" ht="11.25" customHeight="1" x14ac:dyDescent="0.2">
      <c r="A97" s="53" t="s">
        <v>59</v>
      </c>
      <c r="B97" s="53" t="s">
        <v>43</v>
      </c>
      <c r="C97" s="53" t="s">
        <v>41</v>
      </c>
      <c r="D97" s="53" t="s">
        <v>40</v>
      </c>
      <c r="E97" s="53" t="s">
        <v>25</v>
      </c>
      <c r="F97" s="53" t="s">
        <v>25</v>
      </c>
      <c r="G97" s="53" t="s">
        <v>25</v>
      </c>
      <c r="H97" s="53" t="s">
        <v>35</v>
      </c>
      <c r="I97" s="73">
        <v>44075</v>
      </c>
      <c r="J97" s="74">
        <f ca="1">EFEITO!$J$97*EFEITO!$Y$97</f>
        <v>278806.789746347</v>
      </c>
      <c r="K97" s="74">
        <f ca="1">EFEITO!$L$97*EFEITO!$Z$97</f>
        <v>0</v>
      </c>
      <c r="L97" s="74">
        <f>EFEITO!$N$97*EFEITO!$AA$97</f>
        <v>0</v>
      </c>
      <c r="M97" s="74">
        <f ca="1">$J$97-EFEITO!$K$97*EFEITO!$Y$97</f>
        <v>0</v>
      </c>
      <c r="N97" s="74">
        <f ca="1">$K$97-EFEITO!$M$97*EFEITO!$Z$97</f>
        <v>0</v>
      </c>
      <c r="O97" s="74">
        <f>$L$97-EFEITO!$O$97*EFEITO!$AA$97</f>
        <v>0</v>
      </c>
      <c r="P97" s="57"/>
      <c r="Q97" s="57"/>
      <c r="R97" s="57"/>
      <c r="S97" s="57"/>
      <c r="T97" s="57"/>
      <c r="U97" s="57"/>
      <c r="V97" s="57"/>
      <c r="W97" s="57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</row>
    <row r="98" spans="1:36" ht="11.25" customHeight="1" x14ac:dyDescent="0.2">
      <c r="A98" s="53" t="s">
        <v>21</v>
      </c>
      <c r="B98" s="53" t="s">
        <v>43</v>
      </c>
      <c r="C98" s="53" t="s">
        <v>41</v>
      </c>
      <c r="D98" s="53" t="s">
        <v>52</v>
      </c>
      <c r="E98" s="53" t="s">
        <v>53</v>
      </c>
      <c r="F98" s="53" t="s">
        <v>25</v>
      </c>
      <c r="G98" s="53" t="s">
        <v>25</v>
      </c>
      <c r="H98" s="53" t="s">
        <v>36</v>
      </c>
      <c r="I98" s="73">
        <v>43739</v>
      </c>
      <c r="J98" s="74">
        <f ca="1">EFEITO!$J$98*EFEITO!$Y$13</f>
        <v>156122.70637094905</v>
      </c>
      <c r="K98" s="74">
        <f ca="1">EFEITO!$L$98*EFEITO!$Z$13</f>
        <v>544570.98983841226</v>
      </c>
      <c r="L98" s="74">
        <f>EFEITO!$N$98*EFEITO!$AA$13</f>
        <v>1963470.9377174329</v>
      </c>
      <c r="M98" s="74">
        <f ca="1">$J$98-EFEITO!$K$98*EFEITO!$Y$98</f>
        <v>14051.043573385425</v>
      </c>
      <c r="N98" s="74">
        <f ca="1">$K$98-EFEITO!$M$98*EFEITO!$Z$98</f>
        <v>49011.38908545702</v>
      </c>
      <c r="O98" s="74">
        <f>$L$98-EFEITO!$O$98*EFEITO!$AA$98</f>
        <v>176712.38439456886</v>
      </c>
      <c r="P98" s="57"/>
      <c r="Q98" s="57"/>
      <c r="R98" s="57"/>
      <c r="S98" s="57"/>
      <c r="T98" s="57"/>
      <c r="U98" s="57"/>
      <c r="V98" s="57"/>
      <c r="W98" s="57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</row>
    <row r="99" spans="1:36" ht="11.25" customHeight="1" x14ac:dyDescent="0.2">
      <c r="A99" s="53" t="s">
        <v>21</v>
      </c>
      <c r="B99" s="53" t="s">
        <v>43</v>
      </c>
      <c r="C99" s="53" t="s">
        <v>41</v>
      </c>
      <c r="D99" s="53" t="s">
        <v>52</v>
      </c>
      <c r="E99" s="53" t="s">
        <v>53</v>
      </c>
      <c r="F99" s="53" t="s">
        <v>25</v>
      </c>
      <c r="G99" s="53" t="s">
        <v>25</v>
      </c>
      <c r="H99" s="53" t="s">
        <v>36</v>
      </c>
      <c r="I99" s="73">
        <v>43770</v>
      </c>
      <c r="J99" s="74">
        <f ca="1">EFEITO!$J$99*EFEITO!$Y$13</f>
        <v>156122.70637094905</v>
      </c>
      <c r="K99" s="74">
        <f ca="1">EFEITO!$L$99*EFEITO!$Z$13</f>
        <v>550383.23994066159</v>
      </c>
      <c r="L99" s="74">
        <f>EFEITO!$N$99*EFEITO!$AA$13</f>
        <v>1984427.2214186594</v>
      </c>
      <c r="M99" s="74">
        <f ca="1">$J$99-EFEITO!$K$99*EFEITO!$Y$99</f>
        <v>14051.043573385425</v>
      </c>
      <c r="N99" s="74">
        <f ca="1">$K$99-EFEITO!$M$99*EFEITO!$Z$99</f>
        <v>49534.491594659514</v>
      </c>
      <c r="O99" s="74">
        <f>$L$99-EFEITO!$O$99*EFEITO!$AA$99</f>
        <v>178598.44992767903</v>
      </c>
      <c r="P99" s="57"/>
      <c r="Q99" s="57"/>
      <c r="R99" s="57"/>
      <c r="S99" s="57"/>
      <c r="T99" s="57"/>
      <c r="U99" s="57"/>
      <c r="V99" s="57"/>
      <c r="W99" s="57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</row>
    <row r="100" spans="1:36" ht="11.25" customHeight="1" x14ac:dyDescent="0.2">
      <c r="A100" s="53" t="s">
        <v>21</v>
      </c>
      <c r="B100" s="53" t="s">
        <v>43</v>
      </c>
      <c r="C100" s="53" t="s">
        <v>41</v>
      </c>
      <c r="D100" s="53" t="s">
        <v>52</v>
      </c>
      <c r="E100" s="53" t="s">
        <v>53</v>
      </c>
      <c r="F100" s="53" t="s">
        <v>25</v>
      </c>
      <c r="G100" s="53" t="s">
        <v>25</v>
      </c>
      <c r="H100" s="53" t="s">
        <v>36</v>
      </c>
      <c r="I100" s="73">
        <v>43800</v>
      </c>
      <c r="J100" s="74">
        <f ca="1">EFEITO!$J$100*EFEITO!$Y$13</f>
        <v>156122.70637094905</v>
      </c>
      <c r="K100" s="74">
        <f ca="1">EFEITO!$L$100*EFEITO!$Z$13</f>
        <v>513165.37655529648</v>
      </c>
      <c r="L100" s="74">
        <f>EFEITO!$N$100*EFEITO!$AA$13</f>
        <v>1850236.8321311479</v>
      </c>
      <c r="M100" s="74">
        <f ca="1">$J$100-EFEITO!$K$100*EFEITO!$Y$100</f>
        <v>14051.043573385425</v>
      </c>
      <c r="N100" s="74">
        <f ca="1">$K$100-EFEITO!$M$100*EFEITO!$Z$100</f>
        <v>46184.883889976656</v>
      </c>
      <c r="O100" s="74">
        <f>$L$100-EFEITO!$O$100*EFEITO!$AA$100</f>
        <v>166521.31489180308</v>
      </c>
      <c r="P100" s="57"/>
      <c r="Q100" s="57"/>
      <c r="R100" s="57"/>
      <c r="S100" s="57"/>
      <c r="T100" s="57"/>
      <c r="U100" s="57"/>
      <c r="V100" s="57"/>
      <c r="W100" s="57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</row>
    <row r="101" spans="1:36" ht="11.25" customHeight="1" x14ac:dyDescent="0.2">
      <c r="A101" s="53" t="s">
        <v>21</v>
      </c>
      <c r="B101" s="53" t="s">
        <v>43</v>
      </c>
      <c r="C101" s="53" t="s">
        <v>41</v>
      </c>
      <c r="D101" s="53" t="s">
        <v>52</v>
      </c>
      <c r="E101" s="53" t="s">
        <v>53</v>
      </c>
      <c r="F101" s="53" t="s">
        <v>25</v>
      </c>
      <c r="G101" s="53" t="s">
        <v>25</v>
      </c>
      <c r="H101" s="53" t="s">
        <v>36</v>
      </c>
      <c r="I101" s="73">
        <v>43831</v>
      </c>
      <c r="J101" s="74">
        <f ca="1">EFEITO!$J$101*EFEITO!$Y$13</f>
        <v>156122.70637094905</v>
      </c>
      <c r="K101" s="74">
        <f ca="1">EFEITO!$L$101*EFEITO!$Z$13</f>
        <v>526777.50816007517</v>
      </c>
      <c r="L101" s="74">
        <f>EFEITO!$N$101*EFEITO!$AA$13</f>
        <v>1899315.8783989237</v>
      </c>
      <c r="M101" s="74">
        <f ca="1">$J$101-EFEITO!$K$101*EFEITO!$Y$101</f>
        <v>14051.043573385425</v>
      </c>
      <c r="N101" s="74">
        <f ca="1">$K$101-EFEITO!$M$101*EFEITO!$Z$101</f>
        <v>47409.975734406733</v>
      </c>
      <c r="O101" s="74">
        <f>$L$101-EFEITO!$O$101*EFEITO!$AA$101</f>
        <v>170938.42905590287</v>
      </c>
      <c r="P101" s="57"/>
      <c r="Q101" s="57"/>
      <c r="R101" s="57"/>
      <c r="S101" s="57"/>
      <c r="T101" s="57"/>
      <c r="U101" s="57"/>
      <c r="V101" s="57"/>
      <c r="W101" s="57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</row>
    <row r="102" spans="1:36" ht="11.25" customHeight="1" x14ac:dyDescent="0.2">
      <c r="A102" s="53" t="s">
        <v>21</v>
      </c>
      <c r="B102" s="53" t="s">
        <v>43</v>
      </c>
      <c r="C102" s="53" t="s">
        <v>41</v>
      </c>
      <c r="D102" s="53" t="s">
        <v>52</v>
      </c>
      <c r="E102" s="53" t="s">
        <v>53</v>
      </c>
      <c r="F102" s="53" t="s">
        <v>25</v>
      </c>
      <c r="G102" s="53" t="s">
        <v>25</v>
      </c>
      <c r="H102" s="53" t="s">
        <v>36</v>
      </c>
      <c r="I102" s="73">
        <v>43862</v>
      </c>
      <c r="J102" s="74">
        <f ca="1">EFEITO!$J$102*EFEITO!$Y$13</f>
        <v>156122.70637094905</v>
      </c>
      <c r="K102" s="74">
        <f ca="1">EFEITO!$L$102*EFEITO!$Z$13</f>
        <v>534412.85275934101</v>
      </c>
      <c r="L102" s="74">
        <f>EFEITO!$N$102*EFEITO!$AA$13</f>
        <v>1926845.3970472908</v>
      </c>
      <c r="M102" s="74">
        <f ca="1">$J$102-EFEITO!$K$102*EFEITO!$Y$102</f>
        <v>14051.043573385425</v>
      </c>
      <c r="N102" s="74">
        <f ca="1">$K$102-EFEITO!$M$102*EFEITO!$Z$102</f>
        <v>48097.156748340582</v>
      </c>
      <c r="O102" s="74">
        <f>$L$102-EFEITO!$O$102*EFEITO!$AA$102</f>
        <v>173416.08573425584</v>
      </c>
      <c r="P102" s="57"/>
      <c r="Q102" s="57"/>
      <c r="R102" s="57"/>
      <c r="S102" s="57"/>
      <c r="T102" s="57"/>
      <c r="U102" s="57"/>
      <c r="V102" s="57"/>
      <c r="W102" s="57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</row>
    <row r="103" spans="1:36" ht="11.25" customHeight="1" x14ac:dyDescent="0.2">
      <c r="A103" s="53" t="s">
        <v>21</v>
      </c>
      <c r="B103" s="53" t="s">
        <v>43</v>
      </c>
      <c r="C103" s="53" t="s">
        <v>41</v>
      </c>
      <c r="D103" s="53" t="s">
        <v>52</v>
      </c>
      <c r="E103" s="53" t="s">
        <v>53</v>
      </c>
      <c r="F103" s="53" t="s">
        <v>25</v>
      </c>
      <c r="G103" s="53" t="s">
        <v>25</v>
      </c>
      <c r="H103" s="53" t="s">
        <v>36</v>
      </c>
      <c r="I103" s="73">
        <v>43891</v>
      </c>
      <c r="J103" s="74">
        <f ca="1">EFEITO!$J$103*EFEITO!$Y$13</f>
        <v>156122.70637094905</v>
      </c>
      <c r="K103" s="74">
        <f ca="1">EFEITO!$L$103*EFEITO!$Z$13</f>
        <v>500256.20806251536</v>
      </c>
      <c r="L103" s="74">
        <f>EFEITO!$N$103*EFEITO!$AA$13</f>
        <v>1803692.3454826865</v>
      </c>
      <c r="M103" s="74">
        <f ca="1">$J$103-EFEITO!$K$103*EFEITO!$Y$103</f>
        <v>14051.043573385425</v>
      </c>
      <c r="N103" s="74">
        <f ca="1">$K$103-EFEITO!$M$103*EFEITO!$Z$103</f>
        <v>45023.058725626324</v>
      </c>
      <c r="O103" s="74">
        <f>$L$103-EFEITO!$O$103*EFEITO!$AA$103</f>
        <v>162332.31109344144</v>
      </c>
      <c r="P103" s="57"/>
      <c r="Q103" s="57"/>
      <c r="R103" s="57"/>
      <c r="S103" s="57"/>
      <c r="T103" s="57"/>
      <c r="U103" s="57"/>
      <c r="V103" s="57"/>
      <c r="W103" s="57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</row>
    <row r="104" spans="1:36" ht="11.25" customHeight="1" x14ac:dyDescent="0.2">
      <c r="A104" s="53" t="s">
        <v>21</v>
      </c>
      <c r="B104" s="53" t="s">
        <v>43</v>
      </c>
      <c r="C104" s="53" t="s">
        <v>41</v>
      </c>
      <c r="D104" s="53" t="s">
        <v>52</v>
      </c>
      <c r="E104" s="53" t="s">
        <v>53</v>
      </c>
      <c r="F104" s="53" t="s">
        <v>25</v>
      </c>
      <c r="G104" s="53" t="s">
        <v>25</v>
      </c>
      <c r="H104" s="53" t="s">
        <v>36</v>
      </c>
      <c r="I104" s="73">
        <v>43922</v>
      </c>
      <c r="J104" s="74">
        <f ca="1">EFEITO!$J$104*EFEITO!$Y$13</f>
        <v>156122.70637094905</v>
      </c>
      <c r="K104" s="74">
        <f ca="1">EFEITO!$L$104*EFEITO!$Z$13</f>
        <v>552397.63259602501</v>
      </c>
      <c r="L104" s="74">
        <f>EFEITO!$N$104*EFEITO!$AA$13</f>
        <v>1991690.1889835149</v>
      </c>
      <c r="M104" s="74">
        <f ca="1">$J$104-EFEITO!$K$104*EFEITO!$Y$104</f>
        <v>14051.043573385425</v>
      </c>
      <c r="N104" s="74">
        <f ca="1">$K$104-EFEITO!$M$104*EFEITO!$Z$104</f>
        <v>49715.78693364223</v>
      </c>
      <c r="O104" s="74">
        <f>$L$104-EFEITO!$O$104*EFEITO!$AA$104</f>
        <v>179252.1170085161</v>
      </c>
      <c r="P104" s="57"/>
      <c r="Q104" s="57"/>
      <c r="R104" s="57"/>
      <c r="S104" s="57"/>
      <c r="T104" s="57"/>
      <c r="U104" s="57"/>
      <c r="V104" s="57"/>
      <c r="W104" s="57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</row>
    <row r="105" spans="1:36" ht="11.25" customHeight="1" x14ac:dyDescent="0.2">
      <c r="A105" s="53" t="s">
        <v>21</v>
      </c>
      <c r="B105" s="53" t="s">
        <v>43</v>
      </c>
      <c r="C105" s="53" t="s">
        <v>41</v>
      </c>
      <c r="D105" s="53" t="s">
        <v>52</v>
      </c>
      <c r="E105" s="53" t="s">
        <v>53</v>
      </c>
      <c r="F105" s="53" t="s">
        <v>25</v>
      </c>
      <c r="G105" s="53" t="s">
        <v>25</v>
      </c>
      <c r="H105" s="53" t="s">
        <v>36</v>
      </c>
      <c r="I105" s="73">
        <v>43952</v>
      </c>
      <c r="J105" s="74">
        <f ca="1">EFEITO!$J$105*EFEITO!$Y$13</f>
        <v>156122.70637094905</v>
      </c>
      <c r="K105" s="74">
        <f ca="1">EFEITO!$L$105*EFEITO!$Z$13</f>
        <v>515399.62124404788</v>
      </c>
      <c r="L105" s="74">
        <f>EFEITO!$N$105*EFEITO!$AA$13</f>
        <v>1858292.484371115</v>
      </c>
      <c r="M105" s="74">
        <f ca="1">$J$105-EFEITO!$K$105*EFEITO!$Y$105</f>
        <v>14051.043573385425</v>
      </c>
      <c r="N105" s="74">
        <f ca="1">$K$105-EFEITO!$M$105*EFEITO!$Z$105</f>
        <v>46385.965911964246</v>
      </c>
      <c r="O105" s="74">
        <f>$L$105-EFEITO!$O$105*EFEITO!$AA$105</f>
        <v>167246.32359340019</v>
      </c>
      <c r="P105" s="57"/>
      <c r="Q105" s="57"/>
      <c r="R105" s="57"/>
      <c r="S105" s="57"/>
      <c r="T105" s="57"/>
      <c r="U105" s="57"/>
      <c r="V105" s="57"/>
      <c r="W105" s="57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</row>
    <row r="106" spans="1:36" ht="11.25" customHeight="1" x14ac:dyDescent="0.2">
      <c r="A106" s="53" t="s">
        <v>21</v>
      </c>
      <c r="B106" s="53" t="s">
        <v>43</v>
      </c>
      <c r="C106" s="53" t="s">
        <v>41</v>
      </c>
      <c r="D106" s="53" t="s">
        <v>52</v>
      </c>
      <c r="E106" s="53" t="s">
        <v>53</v>
      </c>
      <c r="F106" s="53" t="s">
        <v>25</v>
      </c>
      <c r="G106" s="53" t="s">
        <v>25</v>
      </c>
      <c r="H106" s="53" t="s">
        <v>36</v>
      </c>
      <c r="I106" s="73">
        <v>43983</v>
      </c>
      <c r="J106" s="74">
        <f ca="1">EFEITO!$J$106*EFEITO!$Y$13</f>
        <v>156122.70637094905</v>
      </c>
      <c r="K106" s="74">
        <f ca="1">EFEITO!$L$106*EFEITO!$Z$13</f>
        <v>541501.44827149773</v>
      </c>
      <c r="L106" s="74">
        <f>EFEITO!$N$106*EFEITO!$AA$13</f>
        <v>1952403.5915473022</v>
      </c>
      <c r="M106" s="74">
        <f ca="1">$J$106-EFEITO!$K$106*EFEITO!$Y$106</f>
        <v>14051.043573385425</v>
      </c>
      <c r="N106" s="74">
        <f ca="1">$K$106-EFEITO!$M$106*EFEITO!$Z$106</f>
        <v>48735.130344434758</v>
      </c>
      <c r="O106" s="74">
        <f>$L$106-EFEITO!$O$106*EFEITO!$AA$106</f>
        <v>175716.32323925709</v>
      </c>
      <c r="P106" s="57"/>
      <c r="Q106" s="57"/>
      <c r="R106" s="57"/>
      <c r="S106" s="57"/>
      <c r="T106" s="57"/>
      <c r="U106" s="57"/>
      <c r="V106" s="57"/>
      <c r="W106" s="57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</row>
    <row r="107" spans="1:36" ht="11.25" customHeight="1" x14ac:dyDescent="0.2">
      <c r="A107" s="53" t="s">
        <v>21</v>
      </c>
      <c r="B107" s="53" t="s">
        <v>43</v>
      </c>
      <c r="C107" s="53" t="s">
        <v>41</v>
      </c>
      <c r="D107" s="53" t="s">
        <v>52</v>
      </c>
      <c r="E107" s="53" t="s">
        <v>53</v>
      </c>
      <c r="F107" s="53" t="s">
        <v>25</v>
      </c>
      <c r="G107" s="53" t="s">
        <v>25</v>
      </c>
      <c r="H107" s="53" t="s">
        <v>36</v>
      </c>
      <c r="I107" s="73">
        <v>44013</v>
      </c>
      <c r="J107" s="74">
        <f ca="1">EFEITO!$J$107*EFEITO!$Y$13</f>
        <v>156122.70637094905</v>
      </c>
      <c r="K107" s="74">
        <f ca="1">EFEITO!$L$107*EFEITO!$Z$13</f>
        <v>538985.5701829578</v>
      </c>
      <c r="L107" s="74">
        <f>EFEITO!$N$107*EFEITO!$AA$13</f>
        <v>1943332.4996201433</v>
      </c>
      <c r="M107" s="74">
        <f ca="1">$J$107-EFEITO!$K$107*EFEITO!$Y$107</f>
        <v>14051.043573385425</v>
      </c>
      <c r="N107" s="74">
        <f ca="1">$K$107-EFEITO!$M$107*EFEITO!$Z$107</f>
        <v>48508.701316466148</v>
      </c>
      <c r="O107" s="74">
        <f>$L$107-EFEITO!$O$107*EFEITO!$AA$107</f>
        <v>174899.92496581282</v>
      </c>
      <c r="P107" s="57"/>
      <c r="Q107" s="57"/>
      <c r="R107" s="57"/>
      <c r="S107" s="57"/>
      <c r="T107" s="57"/>
      <c r="U107" s="57"/>
      <c r="V107" s="57"/>
      <c r="W107" s="57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</row>
    <row r="108" spans="1:36" ht="11.25" customHeight="1" x14ac:dyDescent="0.2">
      <c r="A108" s="53" t="s">
        <v>21</v>
      </c>
      <c r="B108" s="53" t="s">
        <v>43</v>
      </c>
      <c r="C108" s="53" t="s">
        <v>41</v>
      </c>
      <c r="D108" s="53" t="s">
        <v>52</v>
      </c>
      <c r="E108" s="53" t="s">
        <v>53</v>
      </c>
      <c r="F108" s="53" t="s">
        <v>25</v>
      </c>
      <c r="G108" s="53" t="s">
        <v>25</v>
      </c>
      <c r="H108" s="53" t="s">
        <v>36</v>
      </c>
      <c r="I108" s="73">
        <v>44044</v>
      </c>
      <c r="J108" s="74">
        <f ca="1">EFEITO!$J$108*EFEITO!$Y$13</f>
        <v>156122.70637094905</v>
      </c>
      <c r="K108" s="74">
        <f ca="1">EFEITO!$L$108*EFEITO!$Z$13</f>
        <v>576099.71769933973</v>
      </c>
      <c r="L108" s="74">
        <f>EFEITO!$N$108*EFEITO!$AA$13</f>
        <v>2077148.937488412</v>
      </c>
      <c r="M108" s="74">
        <f ca="1">$J$108-EFEITO!$K$108*EFEITO!$Y$108</f>
        <v>14051.043573385425</v>
      </c>
      <c r="N108" s="74">
        <f ca="1">$K$108-EFEITO!$M$108*EFEITO!$Z$108</f>
        <v>51848.974592940533</v>
      </c>
      <c r="O108" s="74">
        <f>$L$108-EFEITO!$O$108*EFEITO!$AA$108</f>
        <v>186943.40437395684</v>
      </c>
      <c r="P108" s="57"/>
      <c r="Q108" s="57"/>
      <c r="R108" s="57"/>
      <c r="S108" s="57"/>
      <c r="T108" s="57"/>
      <c r="U108" s="57"/>
      <c r="V108" s="57"/>
      <c r="W108" s="57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</row>
    <row r="109" spans="1:36" ht="11.25" customHeight="1" x14ac:dyDescent="0.2">
      <c r="A109" s="53" t="s">
        <v>59</v>
      </c>
      <c r="B109" s="53" t="s">
        <v>43</v>
      </c>
      <c r="C109" s="53" t="s">
        <v>41</v>
      </c>
      <c r="D109" s="53" t="s">
        <v>52</v>
      </c>
      <c r="E109" s="53" t="s">
        <v>53</v>
      </c>
      <c r="F109" s="53" t="s">
        <v>25</v>
      </c>
      <c r="G109" s="53" t="s">
        <v>25</v>
      </c>
      <c r="H109" s="53" t="s">
        <v>36</v>
      </c>
      <c r="I109" s="73">
        <v>44075</v>
      </c>
      <c r="J109" s="74">
        <f ca="1">EFEITO!$J$109*EFEITO!$Y$13</f>
        <v>156122.70637094905</v>
      </c>
      <c r="K109" s="74">
        <f ca="1">EFEITO!$L$109*EFEITO!$Z$13</f>
        <v>576099.71769933973</v>
      </c>
      <c r="L109" s="74">
        <f>EFEITO!$N$109*EFEITO!$AA$13</f>
        <v>2077148.937488412</v>
      </c>
      <c r="M109" s="74">
        <f ca="1">$J$109-EFEITO!$K$109*EFEITO!$Y$109</f>
        <v>14051.043573385425</v>
      </c>
      <c r="N109" s="74">
        <f ca="1">$K$109-EFEITO!$M$109*EFEITO!$Z$109</f>
        <v>51848.974592940533</v>
      </c>
      <c r="O109" s="74">
        <f>$L$109-EFEITO!$O$109*EFEITO!$AA$109</f>
        <v>186943.40437395684</v>
      </c>
      <c r="P109" s="57"/>
      <c r="Q109" s="57"/>
      <c r="R109" s="57"/>
      <c r="S109" s="57"/>
      <c r="T109" s="57"/>
      <c r="U109" s="57"/>
      <c r="V109" s="57"/>
      <c r="W109" s="57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</row>
    <row r="110" spans="1:36" ht="11.25" customHeight="1" x14ac:dyDescent="0.2">
      <c r="A110" s="53" t="s">
        <v>21</v>
      </c>
      <c r="B110" s="53" t="s">
        <v>43</v>
      </c>
      <c r="C110" s="53" t="s">
        <v>41</v>
      </c>
      <c r="D110" s="53" t="s">
        <v>52</v>
      </c>
      <c r="E110" s="53" t="s">
        <v>53</v>
      </c>
      <c r="F110" s="53" t="s">
        <v>25</v>
      </c>
      <c r="G110" s="53" t="s">
        <v>25</v>
      </c>
      <c r="H110" s="53" t="s">
        <v>35</v>
      </c>
      <c r="I110" s="73">
        <v>43739</v>
      </c>
      <c r="J110" s="74">
        <f ca="1">EFEITO!$J$110*EFEITO!$Y$25</f>
        <v>106676.78836247133</v>
      </c>
      <c r="K110" s="74">
        <f ca="1">EFEITO!$L$110*EFEITO!$Z$25</f>
        <v>33478.586197812416</v>
      </c>
      <c r="L110" s="74">
        <f>EFEITO!$N$110*EFEITO!$AA$25</f>
        <v>196457.50884469543</v>
      </c>
      <c r="M110" s="74">
        <f ca="1">$J$110-EFEITO!$K$110*EFEITO!$Y$110</f>
        <v>9600.9109526224202</v>
      </c>
      <c r="N110" s="74">
        <f ca="1">$K$110-EFEITO!$M$110*EFEITO!$Z$110</f>
        <v>3013.0727578031147</v>
      </c>
      <c r="O110" s="74">
        <f>$L$110-EFEITO!$O$110*EFEITO!$AA$110</f>
        <v>17681.17579602258</v>
      </c>
      <c r="P110" s="57"/>
      <c r="Q110" s="57"/>
      <c r="R110" s="57"/>
      <c r="S110" s="57"/>
      <c r="T110" s="57"/>
      <c r="U110" s="57"/>
      <c r="V110" s="57"/>
      <c r="W110" s="57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</row>
    <row r="111" spans="1:36" ht="11.25" customHeight="1" x14ac:dyDescent="0.2">
      <c r="A111" s="53" t="s">
        <v>21</v>
      </c>
      <c r="B111" s="53" t="s">
        <v>43</v>
      </c>
      <c r="C111" s="53" t="s">
        <v>41</v>
      </c>
      <c r="D111" s="53" t="s">
        <v>52</v>
      </c>
      <c r="E111" s="53" t="s">
        <v>53</v>
      </c>
      <c r="F111" s="53" t="s">
        <v>25</v>
      </c>
      <c r="G111" s="53" t="s">
        <v>25</v>
      </c>
      <c r="H111" s="53" t="s">
        <v>35</v>
      </c>
      <c r="I111" s="73">
        <v>43770</v>
      </c>
      <c r="J111" s="74">
        <f ca="1">EFEITO!$J$111*EFEITO!$Y$25</f>
        <v>106291.76946234543</v>
      </c>
      <c r="K111" s="74">
        <f ca="1">EFEITO!$L$111*EFEITO!$Z$25</f>
        <v>32107.680085134507</v>
      </c>
      <c r="L111" s="74">
        <f>EFEITO!$N$111*EFEITO!$AA$25</f>
        <v>188412.82027375855</v>
      </c>
      <c r="M111" s="74">
        <f ca="1">$J$111-EFEITO!$K$111*EFEITO!$Y$111</f>
        <v>9566.259251611089</v>
      </c>
      <c r="N111" s="74">
        <f ca="1">$K$111-EFEITO!$M$111*EFEITO!$Z$111</f>
        <v>2889.6912076621011</v>
      </c>
      <c r="O111" s="74">
        <f>$L$111-EFEITO!$O$111*EFEITO!$AA$111</f>
        <v>16957.153824638284</v>
      </c>
      <c r="P111" s="57"/>
      <c r="Q111" s="57"/>
      <c r="R111" s="57"/>
      <c r="S111" s="57"/>
      <c r="T111" s="57"/>
      <c r="U111" s="57"/>
      <c r="V111" s="57"/>
      <c r="W111" s="57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</row>
    <row r="112" spans="1:36" ht="11.25" customHeight="1" x14ac:dyDescent="0.2">
      <c r="A112" s="53" t="s">
        <v>21</v>
      </c>
      <c r="B112" s="53" t="s">
        <v>43</v>
      </c>
      <c r="C112" s="53" t="s">
        <v>41</v>
      </c>
      <c r="D112" s="53" t="s">
        <v>52</v>
      </c>
      <c r="E112" s="53" t="s">
        <v>53</v>
      </c>
      <c r="F112" s="53" t="s">
        <v>25</v>
      </c>
      <c r="G112" s="53" t="s">
        <v>25</v>
      </c>
      <c r="H112" s="53" t="s">
        <v>35</v>
      </c>
      <c r="I112" s="73">
        <v>43800</v>
      </c>
      <c r="J112" s="74">
        <f ca="1">EFEITO!$J$112*EFEITO!$Y$25</f>
        <v>106676.78836247133</v>
      </c>
      <c r="K112" s="74">
        <f ca="1">EFEITO!$L$112*EFEITO!$Z$25</f>
        <v>31923.744473042618</v>
      </c>
      <c r="L112" s="74">
        <f>EFEITO!$N$112*EFEITO!$AA$25</f>
        <v>187333.45772463878</v>
      </c>
      <c r="M112" s="74">
        <f ca="1">$J$112-EFEITO!$K$112*EFEITO!$Y$112</f>
        <v>9600.9109526224202</v>
      </c>
      <c r="N112" s="74">
        <f ca="1">$K$112-EFEITO!$M$112*EFEITO!$Z$112</f>
        <v>2873.1370025738324</v>
      </c>
      <c r="O112" s="74">
        <f>$L$112-EFEITO!$O$112*EFEITO!$AA$112</f>
        <v>16860.011195217492</v>
      </c>
      <c r="P112" s="57"/>
      <c r="Q112" s="57"/>
      <c r="R112" s="57"/>
      <c r="S112" s="57"/>
      <c r="T112" s="57"/>
      <c r="U112" s="57"/>
      <c r="V112" s="57"/>
      <c r="W112" s="57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</row>
    <row r="113" spans="1:36" ht="11.25" customHeight="1" x14ac:dyDescent="0.2">
      <c r="A113" s="53" t="s">
        <v>21</v>
      </c>
      <c r="B113" s="53" t="s">
        <v>43</v>
      </c>
      <c r="C113" s="53" t="s">
        <v>41</v>
      </c>
      <c r="D113" s="53" t="s">
        <v>52</v>
      </c>
      <c r="E113" s="53" t="s">
        <v>53</v>
      </c>
      <c r="F113" s="53" t="s">
        <v>25</v>
      </c>
      <c r="G113" s="53" t="s">
        <v>25</v>
      </c>
      <c r="H113" s="53" t="s">
        <v>35</v>
      </c>
      <c r="I113" s="73">
        <v>43831</v>
      </c>
      <c r="J113" s="74">
        <f ca="1">EFEITO!$J$113*EFEITO!$Y$25</f>
        <v>106676.78836247133</v>
      </c>
      <c r="K113" s="74">
        <f ca="1">EFEITO!$L$113*EFEITO!$Z$25</f>
        <v>30354.625810752288</v>
      </c>
      <c r="L113" s="74">
        <f>EFEITO!$N$113*EFEITO!$AA$25</f>
        <v>178125.6273325829</v>
      </c>
      <c r="M113" s="74">
        <f ca="1">$J$113-EFEITO!$K$113*EFEITO!$Y$113</f>
        <v>9600.9109526224202</v>
      </c>
      <c r="N113" s="74">
        <f ca="1">$K$113-EFEITO!$M$113*EFEITO!$Z$113</f>
        <v>2731.9163229677033</v>
      </c>
      <c r="O113" s="74">
        <f>$L$113-EFEITO!$O$113*EFEITO!$AA$113</f>
        <v>16031.306459932472</v>
      </c>
      <c r="P113" s="57"/>
      <c r="Q113" s="57"/>
      <c r="R113" s="57"/>
      <c r="S113" s="57"/>
      <c r="T113" s="57"/>
      <c r="U113" s="57"/>
      <c r="V113" s="57"/>
      <c r="W113" s="57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</row>
    <row r="114" spans="1:36" ht="11.25" customHeight="1" x14ac:dyDescent="0.2">
      <c r="A114" s="53" t="s">
        <v>21</v>
      </c>
      <c r="B114" s="53" t="s">
        <v>43</v>
      </c>
      <c r="C114" s="53" t="s">
        <v>41</v>
      </c>
      <c r="D114" s="53" t="s">
        <v>52</v>
      </c>
      <c r="E114" s="53" t="s">
        <v>53</v>
      </c>
      <c r="F114" s="53" t="s">
        <v>25</v>
      </c>
      <c r="G114" s="53" t="s">
        <v>25</v>
      </c>
      <c r="H114" s="53" t="s">
        <v>35</v>
      </c>
      <c r="I114" s="73">
        <v>43862</v>
      </c>
      <c r="J114" s="74">
        <f ca="1">EFEITO!$J$114*EFEITO!$Y$25</f>
        <v>106291.76946234543</v>
      </c>
      <c r="K114" s="74">
        <f ca="1">EFEITO!$L$114*EFEITO!$Z$25</f>
        <v>33612.264428946371</v>
      </c>
      <c r="L114" s="74">
        <f>EFEITO!$N$114*EFEITO!$AA$25</f>
        <v>197241.95332870589</v>
      </c>
      <c r="M114" s="74">
        <f ca="1">$J$114-EFEITO!$K$114*EFEITO!$Y$114</f>
        <v>9566.259251611089</v>
      </c>
      <c r="N114" s="74">
        <f ca="1">$K$114-EFEITO!$M$114*EFEITO!$Z$114</f>
        <v>3025.103798605167</v>
      </c>
      <c r="O114" s="74">
        <f>$L$114-EFEITO!$O$114*EFEITO!$AA$114</f>
        <v>17751.775799583527</v>
      </c>
      <c r="P114" s="57"/>
      <c r="Q114" s="57"/>
      <c r="R114" s="57"/>
      <c r="S114" s="57"/>
      <c r="T114" s="57"/>
      <c r="U114" s="57"/>
      <c r="V114" s="57"/>
      <c r="W114" s="57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</row>
    <row r="115" spans="1:36" ht="11.25" customHeight="1" x14ac:dyDescent="0.2">
      <c r="A115" s="53" t="s">
        <v>21</v>
      </c>
      <c r="B115" s="53" t="s">
        <v>43</v>
      </c>
      <c r="C115" s="53" t="s">
        <v>41</v>
      </c>
      <c r="D115" s="53" t="s">
        <v>52</v>
      </c>
      <c r="E115" s="53" t="s">
        <v>53</v>
      </c>
      <c r="F115" s="53" t="s">
        <v>25</v>
      </c>
      <c r="G115" s="53" t="s">
        <v>25</v>
      </c>
      <c r="H115" s="53" t="s">
        <v>35</v>
      </c>
      <c r="I115" s="73">
        <v>43891</v>
      </c>
      <c r="J115" s="74">
        <f ca="1">EFEITO!$J$115*EFEITO!$Y$25</f>
        <v>106291.76946234543</v>
      </c>
      <c r="K115" s="74">
        <f ca="1">EFEITO!$L$115*EFEITO!$Z$25</f>
        <v>30529.790389479542</v>
      </c>
      <c r="L115" s="74">
        <f>EFEITO!$N$115*EFEITO!$AA$25</f>
        <v>179153.52010473455</v>
      </c>
      <c r="M115" s="74">
        <f ca="1">$J$115-EFEITO!$K$115*EFEITO!$Y$115</f>
        <v>9566.259251611089</v>
      </c>
      <c r="N115" s="74">
        <f ca="1">$K$115-EFEITO!$M$115*EFEITO!$Z$115</f>
        <v>2747.6811350531534</v>
      </c>
      <c r="O115" s="74">
        <f>$L$115-EFEITO!$O$115*EFEITO!$AA$115</f>
        <v>16123.81680942612</v>
      </c>
      <c r="P115" s="57"/>
      <c r="Q115" s="57"/>
      <c r="R115" s="57"/>
      <c r="S115" s="57"/>
      <c r="T115" s="57"/>
      <c r="U115" s="57"/>
      <c r="V115" s="57"/>
      <c r="W115" s="57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</row>
    <row r="116" spans="1:36" ht="11.25" customHeight="1" x14ac:dyDescent="0.2">
      <c r="A116" s="53" t="s">
        <v>21</v>
      </c>
      <c r="B116" s="53" t="s">
        <v>43</v>
      </c>
      <c r="C116" s="53" t="s">
        <v>41</v>
      </c>
      <c r="D116" s="53" t="s">
        <v>52</v>
      </c>
      <c r="E116" s="53" t="s">
        <v>53</v>
      </c>
      <c r="F116" s="53" t="s">
        <v>25</v>
      </c>
      <c r="G116" s="53" t="s">
        <v>25</v>
      </c>
      <c r="H116" s="53" t="s">
        <v>35</v>
      </c>
      <c r="I116" s="73">
        <v>43922</v>
      </c>
      <c r="J116" s="74">
        <f ca="1">EFEITO!$J$116*EFEITO!$Y$25</f>
        <v>106291.76946234543</v>
      </c>
      <c r="K116" s="74">
        <f ca="1">EFEITO!$L$116*EFEITO!$Z$25</f>
        <v>32103.518645946908</v>
      </c>
      <c r="L116" s="74">
        <f>EFEITO!$N$116*EFEITO!$AA$25</f>
        <v>188388.40030658388</v>
      </c>
      <c r="M116" s="74">
        <f ca="1">$J$116-EFEITO!$K$116*EFEITO!$Y$116</f>
        <v>9566.259251611089</v>
      </c>
      <c r="N116" s="74">
        <f ca="1">$K$116-EFEITO!$M$116*EFEITO!$Z$116</f>
        <v>2889.3166781352193</v>
      </c>
      <c r="O116" s="74">
        <f>$L$116-EFEITO!$O$116*EFEITO!$AA$116</f>
        <v>16954.956027592532</v>
      </c>
      <c r="P116" s="57"/>
      <c r="Q116" s="57"/>
      <c r="R116" s="57"/>
      <c r="S116" s="57"/>
      <c r="T116" s="57"/>
      <c r="U116" s="57"/>
      <c r="V116" s="57"/>
      <c r="W116" s="57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</row>
    <row r="117" spans="1:36" ht="11.25" customHeight="1" x14ac:dyDescent="0.2">
      <c r="A117" s="53" t="s">
        <v>21</v>
      </c>
      <c r="B117" s="53" t="s">
        <v>43</v>
      </c>
      <c r="C117" s="53" t="s">
        <v>41</v>
      </c>
      <c r="D117" s="53" t="s">
        <v>52</v>
      </c>
      <c r="E117" s="53" t="s">
        <v>53</v>
      </c>
      <c r="F117" s="53" t="s">
        <v>25</v>
      </c>
      <c r="G117" s="53" t="s">
        <v>25</v>
      </c>
      <c r="H117" s="53" t="s">
        <v>35</v>
      </c>
      <c r="I117" s="73">
        <v>43952</v>
      </c>
      <c r="J117" s="74">
        <f ca="1">EFEITO!$J$117*EFEITO!$Y$25</f>
        <v>106291.76946234543</v>
      </c>
      <c r="K117" s="74">
        <f ca="1">EFEITO!$L$117*EFEITO!$Z$25</f>
        <v>29037.690363230475</v>
      </c>
      <c r="L117" s="74">
        <f>EFEITO!$N$117*EFEITO!$AA$25</f>
        <v>170397.64695131115</v>
      </c>
      <c r="M117" s="74">
        <f ca="1">$J$117-EFEITO!$K$117*EFEITO!$Y$117</f>
        <v>9566.259251611089</v>
      </c>
      <c r="N117" s="74">
        <f ca="1">$K$117-EFEITO!$M$117*EFEITO!$Z$117</f>
        <v>2613.3921326907403</v>
      </c>
      <c r="O117" s="74">
        <f>$L$117-EFEITO!$O$117*EFEITO!$AA$117</f>
        <v>15335.788225618016</v>
      </c>
      <c r="P117" s="57"/>
      <c r="Q117" s="57"/>
      <c r="R117" s="57"/>
      <c r="S117" s="57"/>
      <c r="T117" s="57"/>
      <c r="U117" s="57"/>
      <c r="V117" s="57"/>
      <c r="W117" s="57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</row>
    <row r="118" spans="1:36" ht="11.25" customHeight="1" x14ac:dyDescent="0.2">
      <c r="A118" s="53" t="s">
        <v>21</v>
      </c>
      <c r="B118" s="53" t="s">
        <v>43</v>
      </c>
      <c r="C118" s="53" t="s">
        <v>41</v>
      </c>
      <c r="D118" s="53" t="s">
        <v>52</v>
      </c>
      <c r="E118" s="53" t="s">
        <v>53</v>
      </c>
      <c r="F118" s="53" t="s">
        <v>25</v>
      </c>
      <c r="G118" s="53" t="s">
        <v>25</v>
      </c>
      <c r="H118" s="53" t="s">
        <v>35</v>
      </c>
      <c r="I118" s="73">
        <v>43983</v>
      </c>
      <c r="J118" s="74">
        <f ca="1">EFEITO!$J$118*EFEITO!$Y$25</f>
        <v>106212.11037956075</v>
      </c>
      <c r="K118" s="74">
        <f ca="1">EFEITO!$L$118*EFEITO!$Z$25</f>
        <v>33562.903357967312</v>
      </c>
      <c r="L118" s="74">
        <f>EFEITO!$N$118*EFEITO!$AA$25</f>
        <v>196952.29494883423</v>
      </c>
      <c r="M118" s="74">
        <f ca="1">$J$118-EFEITO!$K$118*EFEITO!$Y$118</f>
        <v>9559.0899341604672</v>
      </c>
      <c r="N118" s="74">
        <f ca="1">$K$118-EFEITO!$M$118*EFEITO!$Z$118</f>
        <v>3020.6613022170532</v>
      </c>
      <c r="O118" s="74">
        <f>$L$118-EFEITO!$O$118*EFEITO!$AA$118</f>
        <v>17725.706545395078</v>
      </c>
      <c r="P118" s="57"/>
      <c r="Q118" s="57"/>
      <c r="R118" s="57"/>
      <c r="S118" s="57"/>
      <c r="T118" s="57"/>
      <c r="U118" s="57"/>
      <c r="V118" s="57"/>
      <c r="W118" s="57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</row>
    <row r="119" spans="1:36" ht="11.25" customHeight="1" x14ac:dyDescent="0.2">
      <c r="A119" s="53" t="s">
        <v>21</v>
      </c>
      <c r="B119" s="53" t="s">
        <v>43</v>
      </c>
      <c r="C119" s="53" t="s">
        <v>41</v>
      </c>
      <c r="D119" s="53" t="s">
        <v>52</v>
      </c>
      <c r="E119" s="53" t="s">
        <v>53</v>
      </c>
      <c r="F119" s="53" t="s">
        <v>25</v>
      </c>
      <c r="G119" s="53" t="s">
        <v>25</v>
      </c>
      <c r="H119" s="53" t="s">
        <v>35</v>
      </c>
      <c r="I119" s="73">
        <v>44013</v>
      </c>
      <c r="J119" s="74">
        <f ca="1">EFEITO!$J$119*EFEITO!$Y$25</f>
        <v>106291.76946234543</v>
      </c>
      <c r="K119" s="74">
        <f ca="1">EFEITO!$L$119*EFEITO!$Z$25</f>
        <v>32008.573810328297</v>
      </c>
      <c r="L119" s="74">
        <f>EFEITO!$N$119*EFEITO!$AA$25</f>
        <v>187831.24936319905</v>
      </c>
      <c r="M119" s="74">
        <f ca="1">$J$119-EFEITO!$K$119*EFEITO!$Y$119</f>
        <v>9566.259251611089</v>
      </c>
      <c r="N119" s="74">
        <f ca="1">$K$119-EFEITO!$M$119*EFEITO!$Z$119</f>
        <v>2880.7716429295433</v>
      </c>
      <c r="O119" s="74">
        <f>$L$119-EFEITO!$O$119*EFEITO!$AA$119</f>
        <v>16904.812442687922</v>
      </c>
      <c r="P119" s="57"/>
      <c r="Q119" s="57"/>
      <c r="R119" s="57"/>
      <c r="S119" s="57"/>
      <c r="T119" s="57"/>
      <c r="U119" s="57"/>
      <c r="V119" s="57"/>
      <c r="W119" s="57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</row>
    <row r="120" spans="1:36" ht="11.25" customHeight="1" x14ac:dyDescent="0.2">
      <c r="A120" s="53" t="s">
        <v>21</v>
      </c>
      <c r="B120" s="53" t="s">
        <v>43</v>
      </c>
      <c r="C120" s="53" t="s">
        <v>41</v>
      </c>
      <c r="D120" s="53" t="s">
        <v>52</v>
      </c>
      <c r="E120" s="53" t="s">
        <v>53</v>
      </c>
      <c r="F120" s="53" t="s">
        <v>25</v>
      </c>
      <c r="G120" s="53" t="s">
        <v>25</v>
      </c>
      <c r="H120" s="53" t="s">
        <v>35</v>
      </c>
      <c r="I120" s="73">
        <v>44044</v>
      </c>
      <c r="J120" s="74">
        <f ca="1">EFEITO!$J$120*EFEITO!$Y$25</f>
        <v>106291.76946234543</v>
      </c>
      <c r="K120" s="74">
        <f ca="1">EFEITO!$L$120*EFEITO!$Z$25</f>
        <v>33355.471620000826</v>
      </c>
      <c r="L120" s="74">
        <f>EFEITO!$N$120*EFEITO!$AA$25</f>
        <v>195735.05350812833</v>
      </c>
      <c r="M120" s="74">
        <f ca="1">$J$120-EFEITO!$K$120*EFEITO!$Y$120</f>
        <v>9566.259251611089</v>
      </c>
      <c r="N120" s="74">
        <f ca="1">$K$120-EFEITO!$M$120*EFEITO!$Z$120</f>
        <v>3001.9924458000714</v>
      </c>
      <c r="O120" s="74">
        <f>$L$120-EFEITO!$O$120*EFEITO!$AA$120</f>
        <v>17616.15481573157</v>
      </c>
      <c r="P120" s="57"/>
      <c r="Q120" s="57"/>
      <c r="R120" s="57"/>
      <c r="S120" s="57"/>
      <c r="T120" s="57"/>
      <c r="U120" s="57"/>
      <c r="V120" s="57"/>
      <c r="W120" s="57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</row>
    <row r="121" spans="1:36" ht="11.25" customHeight="1" x14ac:dyDescent="0.2">
      <c r="A121" s="53" t="s">
        <v>59</v>
      </c>
      <c r="B121" s="53" t="s">
        <v>43</v>
      </c>
      <c r="C121" s="53" t="s">
        <v>41</v>
      </c>
      <c r="D121" s="53" t="s">
        <v>52</v>
      </c>
      <c r="E121" s="53" t="s">
        <v>53</v>
      </c>
      <c r="F121" s="53" t="s">
        <v>25</v>
      </c>
      <c r="G121" s="53" t="s">
        <v>25</v>
      </c>
      <c r="H121" s="53" t="s">
        <v>35</v>
      </c>
      <c r="I121" s="73">
        <v>44075</v>
      </c>
      <c r="J121" s="74">
        <f ca="1">EFEITO!$J$121*EFEITO!$Y$25</f>
        <v>106291.76946234543</v>
      </c>
      <c r="K121" s="74">
        <f ca="1">EFEITO!$L$121*EFEITO!$Z$25</f>
        <v>33355.471620000826</v>
      </c>
      <c r="L121" s="74">
        <f>EFEITO!$N$121*EFEITO!$AA$25</f>
        <v>195735.05350812833</v>
      </c>
      <c r="M121" s="74">
        <f ca="1">$J$121-EFEITO!$K$121*EFEITO!$Y$121</f>
        <v>9566.259251611089</v>
      </c>
      <c r="N121" s="74">
        <f ca="1">$K$121-EFEITO!$M$121*EFEITO!$Z$121</f>
        <v>3001.9924458000714</v>
      </c>
      <c r="O121" s="74">
        <f>$L$121-EFEITO!$O$121*EFEITO!$AA$121</f>
        <v>17616.15481573157</v>
      </c>
      <c r="P121" s="57"/>
      <c r="Q121" s="57"/>
      <c r="R121" s="57"/>
      <c r="S121" s="57"/>
      <c r="T121" s="57"/>
      <c r="U121" s="57"/>
      <c r="V121" s="57"/>
      <c r="W121" s="57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</row>
    <row r="122" spans="1:36" ht="11.25" customHeight="1" x14ac:dyDescent="0.2">
      <c r="A122" s="53" t="s">
        <v>21</v>
      </c>
      <c r="B122" s="53" t="s">
        <v>43</v>
      </c>
      <c r="C122" s="53" t="s">
        <v>67</v>
      </c>
      <c r="D122" s="53" t="s">
        <v>25</v>
      </c>
      <c r="E122" s="53" t="s">
        <v>25</v>
      </c>
      <c r="F122" s="53" t="s">
        <v>25</v>
      </c>
      <c r="G122" s="53" t="s">
        <v>68</v>
      </c>
      <c r="H122" s="53" t="s">
        <v>36</v>
      </c>
      <c r="I122" s="73">
        <v>43739</v>
      </c>
      <c r="J122" s="74">
        <f ca="1">EFEITO!$J$122*EFEITO!$Y$122</f>
        <v>518799.48033792456</v>
      </c>
      <c r="K122" s="74">
        <f ca="1">EFEITO!$L$122*EFEITO!$Z$122</f>
        <v>0</v>
      </c>
      <c r="L122" s="74">
        <f>EFEITO!$N$122*EFEITO!$AA$122</f>
        <v>0</v>
      </c>
      <c r="M122" s="74">
        <f ca="1">$J$122-EFEITO!$K$122*EFEITO!$Y$122</f>
        <v>0</v>
      </c>
      <c r="N122" s="74">
        <f ca="1">$K$122-EFEITO!$M$122*EFEITO!$Z$122</f>
        <v>0</v>
      </c>
      <c r="O122" s="74">
        <f>$L$122-EFEITO!$O$122*EFEITO!$AA$122</f>
        <v>0</v>
      </c>
      <c r="P122" s="57"/>
      <c r="Q122" s="57"/>
      <c r="R122" s="57"/>
      <c r="S122" s="57"/>
      <c r="T122" s="57"/>
      <c r="U122" s="57"/>
      <c r="V122" s="57"/>
      <c r="W122" s="57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</row>
    <row r="123" spans="1:36" ht="11.25" customHeight="1" x14ac:dyDescent="0.2">
      <c r="A123" s="53" t="s">
        <v>21</v>
      </c>
      <c r="B123" s="53" t="s">
        <v>43</v>
      </c>
      <c r="C123" s="53" t="s">
        <v>67</v>
      </c>
      <c r="D123" s="53" t="s">
        <v>25</v>
      </c>
      <c r="E123" s="53" t="s">
        <v>25</v>
      </c>
      <c r="F123" s="53" t="s">
        <v>25</v>
      </c>
      <c r="G123" s="53" t="s">
        <v>68</v>
      </c>
      <c r="H123" s="53" t="s">
        <v>36</v>
      </c>
      <c r="I123" s="73">
        <v>43770</v>
      </c>
      <c r="J123" s="74">
        <f ca="1">EFEITO!$J$123*EFEITO!$Y$123</f>
        <v>518799.48033792456</v>
      </c>
      <c r="K123" s="74">
        <f ca="1">EFEITO!$L$123*EFEITO!$Z$123</f>
        <v>0</v>
      </c>
      <c r="L123" s="74">
        <f>EFEITO!$N$123*EFEITO!$AA$123</f>
        <v>0</v>
      </c>
      <c r="M123" s="74">
        <f ca="1">$J$123-EFEITO!$K$123*EFEITO!$Y$123</f>
        <v>0</v>
      </c>
      <c r="N123" s="74">
        <f ca="1">$K$123-EFEITO!$M$123*EFEITO!$Z$123</f>
        <v>0</v>
      </c>
      <c r="O123" s="74">
        <f>$L$123-EFEITO!$O$123*EFEITO!$AA$123</f>
        <v>0</v>
      </c>
      <c r="P123" s="57"/>
      <c r="Q123" s="57"/>
      <c r="R123" s="57"/>
      <c r="S123" s="57"/>
      <c r="T123" s="57"/>
      <c r="U123" s="57"/>
      <c r="V123" s="57"/>
      <c r="W123" s="57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</row>
    <row r="124" spans="1:36" ht="11.25" customHeight="1" x14ac:dyDescent="0.2">
      <c r="A124" s="53" t="s">
        <v>21</v>
      </c>
      <c r="B124" s="53" t="s">
        <v>43</v>
      </c>
      <c r="C124" s="53" t="s">
        <v>67</v>
      </c>
      <c r="D124" s="53" t="s">
        <v>25</v>
      </c>
      <c r="E124" s="53" t="s">
        <v>25</v>
      </c>
      <c r="F124" s="53" t="s">
        <v>25</v>
      </c>
      <c r="G124" s="53" t="s">
        <v>68</v>
      </c>
      <c r="H124" s="53" t="s">
        <v>36</v>
      </c>
      <c r="I124" s="73">
        <v>43800</v>
      </c>
      <c r="J124" s="74">
        <f ca="1">EFEITO!$J$124*EFEITO!$Y$124</f>
        <v>518799.48033792456</v>
      </c>
      <c r="K124" s="74">
        <f ca="1">EFEITO!$L$124*EFEITO!$Z$124</f>
        <v>0</v>
      </c>
      <c r="L124" s="74">
        <f>EFEITO!$N$124*EFEITO!$AA$124</f>
        <v>0</v>
      </c>
      <c r="M124" s="74">
        <f ca="1">$J$124-EFEITO!$K$124*EFEITO!$Y$124</f>
        <v>0</v>
      </c>
      <c r="N124" s="74">
        <f ca="1">$K$124-EFEITO!$M$124*EFEITO!$Z$124</f>
        <v>0</v>
      </c>
      <c r="O124" s="74">
        <f>$L$124-EFEITO!$O$124*EFEITO!$AA$124</f>
        <v>0</v>
      </c>
      <c r="P124" s="57"/>
      <c r="Q124" s="57"/>
      <c r="R124" s="57"/>
      <c r="S124" s="57"/>
      <c r="T124" s="57"/>
      <c r="U124" s="57"/>
      <c r="V124" s="57"/>
      <c r="W124" s="57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</row>
    <row r="125" spans="1:36" ht="11.25" customHeight="1" x14ac:dyDescent="0.2">
      <c r="A125" s="53" t="s">
        <v>21</v>
      </c>
      <c r="B125" s="53" t="s">
        <v>43</v>
      </c>
      <c r="C125" s="53" t="s">
        <v>67</v>
      </c>
      <c r="D125" s="53" t="s">
        <v>25</v>
      </c>
      <c r="E125" s="53" t="s">
        <v>25</v>
      </c>
      <c r="F125" s="53" t="s">
        <v>25</v>
      </c>
      <c r="G125" s="53" t="s">
        <v>68</v>
      </c>
      <c r="H125" s="53" t="s">
        <v>36</v>
      </c>
      <c r="I125" s="73">
        <v>43831</v>
      </c>
      <c r="J125" s="74">
        <f ca="1">EFEITO!$J$125*EFEITO!$Y$125</f>
        <v>518799.48033792456</v>
      </c>
      <c r="K125" s="74">
        <f ca="1">EFEITO!$L$125*EFEITO!$Z$125</f>
        <v>0</v>
      </c>
      <c r="L125" s="74">
        <f>EFEITO!$N$125*EFEITO!$AA$125</f>
        <v>0</v>
      </c>
      <c r="M125" s="74">
        <f ca="1">$J$125-EFEITO!$K$125*EFEITO!$Y$125</f>
        <v>0</v>
      </c>
      <c r="N125" s="74">
        <f ca="1">$K$125-EFEITO!$M$125*EFEITO!$Z$125</f>
        <v>0</v>
      </c>
      <c r="O125" s="74">
        <f>$L$125-EFEITO!$O$125*EFEITO!$AA$125</f>
        <v>0</v>
      </c>
      <c r="P125" s="57"/>
      <c r="Q125" s="57"/>
      <c r="R125" s="57"/>
      <c r="S125" s="57"/>
      <c r="T125" s="57"/>
      <c r="U125" s="57"/>
      <c r="V125" s="57"/>
      <c r="W125" s="57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</row>
    <row r="126" spans="1:36" ht="11.25" customHeight="1" x14ac:dyDescent="0.2">
      <c r="A126" s="53" t="s">
        <v>21</v>
      </c>
      <c r="B126" s="53" t="s">
        <v>43</v>
      </c>
      <c r="C126" s="53" t="s">
        <v>67</v>
      </c>
      <c r="D126" s="53" t="s">
        <v>25</v>
      </c>
      <c r="E126" s="53" t="s">
        <v>25</v>
      </c>
      <c r="F126" s="53" t="s">
        <v>25</v>
      </c>
      <c r="G126" s="53" t="s">
        <v>68</v>
      </c>
      <c r="H126" s="53" t="s">
        <v>36</v>
      </c>
      <c r="I126" s="73">
        <v>43862</v>
      </c>
      <c r="J126" s="74">
        <f ca="1">EFEITO!$J$126*EFEITO!$Y$126</f>
        <v>518799.48033792456</v>
      </c>
      <c r="K126" s="74">
        <f ca="1">EFEITO!$L$126*EFEITO!$Z$126</f>
        <v>0</v>
      </c>
      <c r="L126" s="74">
        <f>EFEITO!$N$126*EFEITO!$AA$126</f>
        <v>0</v>
      </c>
      <c r="M126" s="74">
        <f ca="1">$J$126-EFEITO!$K$126*EFEITO!$Y$126</f>
        <v>0</v>
      </c>
      <c r="N126" s="74">
        <f ca="1">$K$126-EFEITO!$M$126*EFEITO!$Z$126</f>
        <v>0</v>
      </c>
      <c r="O126" s="74">
        <f>$L$126-EFEITO!$O$126*EFEITO!$AA$126</f>
        <v>0</v>
      </c>
      <c r="P126" s="57"/>
      <c r="Q126" s="57"/>
      <c r="R126" s="57"/>
      <c r="S126" s="57"/>
      <c r="T126" s="57"/>
      <c r="U126" s="57"/>
      <c r="V126" s="57"/>
      <c r="W126" s="57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</row>
    <row r="127" spans="1:36" ht="11.25" customHeight="1" x14ac:dyDescent="0.2">
      <c r="A127" s="53" t="s">
        <v>21</v>
      </c>
      <c r="B127" s="53" t="s">
        <v>43</v>
      </c>
      <c r="C127" s="53" t="s">
        <v>67</v>
      </c>
      <c r="D127" s="53" t="s">
        <v>25</v>
      </c>
      <c r="E127" s="53" t="s">
        <v>25</v>
      </c>
      <c r="F127" s="53" t="s">
        <v>25</v>
      </c>
      <c r="G127" s="53" t="s">
        <v>68</v>
      </c>
      <c r="H127" s="53" t="s">
        <v>36</v>
      </c>
      <c r="I127" s="73">
        <v>43891</v>
      </c>
      <c r="J127" s="74">
        <f ca="1">EFEITO!$J$127*EFEITO!$Y$127</f>
        <v>518799.48033792456</v>
      </c>
      <c r="K127" s="74">
        <f ca="1">EFEITO!$L$127*EFEITO!$Z$127</f>
        <v>0</v>
      </c>
      <c r="L127" s="74">
        <f>EFEITO!$N$127*EFEITO!$AA$127</f>
        <v>0</v>
      </c>
      <c r="M127" s="74">
        <f ca="1">$J$127-EFEITO!$K$127*EFEITO!$Y$127</f>
        <v>0</v>
      </c>
      <c r="N127" s="74">
        <f ca="1">$K$127-EFEITO!$M$127*EFEITO!$Z$127</f>
        <v>0</v>
      </c>
      <c r="O127" s="74">
        <f>$L$127-EFEITO!$O$127*EFEITO!$AA$127</f>
        <v>0</v>
      </c>
      <c r="P127" s="57"/>
      <c r="Q127" s="57"/>
      <c r="R127" s="57"/>
      <c r="S127" s="57"/>
      <c r="T127" s="57"/>
      <c r="U127" s="57"/>
      <c r="V127" s="57"/>
      <c r="W127" s="57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</row>
    <row r="128" spans="1:36" ht="11.25" customHeight="1" x14ac:dyDescent="0.2">
      <c r="A128" s="53" t="s">
        <v>21</v>
      </c>
      <c r="B128" s="53" t="s">
        <v>43</v>
      </c>
      <c r="C128" s="53" t="s">
        <v>67</v>
      </c>
      <c r="D128" s="53" t="s">
        <v>25</v>
      </c>
      <c r="E128" s="53" t="s">
        <v>25</v>
      </c>
      <c r="F128" s="53" t="s">
        <v>25</v>
      </c>
      <c r="G128" s="53" t="s">
        <v>68</v>
      </c>
      <c r="H128" s="53" t="s">
        <v>36</v>
      </c>
      <c r="I128" s="73">
        <v>43922</v>
      </c>
      <c r="J128" s="74">
        <f ca="1">EFEITO!$J$128*EFEITO!$Y$128</f>
        <v>518799.48033792456</v>
      </c>
      <c r="K128" s="74">
        <f ca="1">EFEITO!$L$128*EFEITO!$Z$128</f>
        <v>0</v>
      </c>
      <c r="L128" s="74">
        <f>EFEITO!$N$128*EFEITO!$AA$128</f>
        <v>0</v>
      </c>
      <c r="M128" s="74">
        <f ca="1">$J$128-EFEITO!$K$128*EFEITO!$Y$128</f>
        <v>0</v>
      </c>
      <c r="N128" s="74">
        <f ca="1">$K$128-EFEITO!$M$128*EFEITO!$Z$128</f>
        <v>0</v>
      </c>
      <c r="O128" s="74">
        <f>$L$128-EFEITO!$O$128*EFEITO!$AA$128</f>
        <v>0</v>
      </c>
      <c r="P128" s="57"/>
      <c r="Q128" s="57"/>
      <c r="R128" s="57"/>
      <c r="S128" s="57"/>
      <c r="T128" s="57"/>
      <c r="U128" s="57"/>
      <c r="V128" s="57"/>
      <c r="W128" s="57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</row>
    <row r="129" spans="1:36" ht="11.25" customHeight="1" x14ac:dyDescent="0.2">
      <c r="A129" s="53" t="s">
        <v>21</v>
      </c>
      <c r="B129" s="53" t="s">
        <v>43</v>
      </c>
      <c r="C129" s="53" t="s">
        <v>67</v>
      </c>
      <c r="D129" s="53" t="s">
        <v>25</v>
      </c>
      <c r="E129" s="53" t="s">
        <v>25</v>
      </c>
      <c r="F129" s="53" t="s">
        <v>25</v>
      </c>
      <c r="G129" s="53" t="s">
        <v>68</v>
      </c>
      <c r="H129" s="53" t="s">
        <v>36</v>
      </c>
      <c r="I129" s="73">
        <v>43952</v>
      </c>
      <c r="J129" s="74">
        <f ca="1">EFEITO!$J$129*EFEITO!$Y$129</f>
        <v>518799.48033792456</v>
      </c>
      <c r="K129" s="74">
        <f ca="1">EFEITO!$L$129*EFEITO!$Z$129</f>
        <v>0</v>
      </c>
      <c r="L129" s="74">
        <f>EFEITO!$N$129*EFEITO!$AA$129</f>
        <v>0</v>
      </c>
      <c r="M129" s="74">
        <f ca="1">$J$129-EFEITO!$K$129*EFEITO!$Y$129</f>
        <v>0</v>
      </c>
      <c r="N129" s="74">
        <f ca="1">$K$129-EFEITO!$M$129*EFEITO!$Z$129</f>
        <v>0</v>
      </c>
      <c r="O129" s="74">
        <f>$L$129-EFEITO!$O$129*EFEITO!$AA$129</f>
        <v>0</v>
      </c>
      <c r="P129" s="57"/>
      <c r="Q129" s="57"/>
      <c r="R129" s="57"/>
      <c r="S129" s="57"/>
      <c r="T129" s="57"/>
      <c r="U129" s="57"/>
      <c r="V129" s="57"/>
      <c r="W129" s="57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</row>
    <row r="130" spans="1:36" ht="11.25" customHeight="1" x14ac:dyDescent="0.2">
      <c r="A130" s="53" t="s">
        <v>21</v>
      </c>
      <c r="B130" s="53" t="s">
        <v>43</v>
      </c>
      <c r="C130" s="53" t="s">
        <v>67</v>
      </c>
      <c r="D130" s="53" t="s">
        <v>25</v>
      </c>
      <c r="E130" s="53" t="s">
        <v>25</v>
      </c>
      <c r="F130" s="53" t="s">
        <v>25</v>
      </c>
      <c r="G130" s="53" t="s">
        <v>68</v>
      </c>
      <c r="H130" s="53" t="s">
        <v>36</v>
      </c>
      <c r="I130" s="73">
        <v>43983</v>
      </c>
      <c r="J130" s="74">
        <f ca="1">EFEITO!$J$130*EFEITO!$Y$130</f>
        <v>518799.48033792456</v>
      </c>
      <c r="K130" s="74">
        <f ca="1">EFEITO!$L$130*EFEITO!$Z$130</f>
        <v>0</v>
      </c>
      <c r="L130" s="74">
        <f>EFEITO!$N$130*EFEITO!$AA$130</f>
        <v>0</v>
      </c>
      <c r="M130" s="74">
        <f ca="1">$J$130-EFEITO!$K$130*EFEITO!$Y$130</f>
        <v>0</v>
      </c>
      <c r="N130" s="74">
        <f ca="1">$K$130-EFEITO!$M$130*EFEITO!$Z$130</f>
        <v>0</v>
      </c>
      <c r="O130" s="74">
        <f>$L$130-EFEITO!$O$130*EFEITO!$AA$130</f>
        <v>0</v>
      </c>
      <c r="P130" s="57"/>
      <c r="Q130" s="57"/>
      <c r="R130" s="57"/>
      <c r="S130" s="57"/>
      <c r="T130" s="57"/>
      <c r="U130" s="57"/>
      <c r="V130" s="57"/>
      <c r="W130" s="57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</row>
    <row r="131" spans="1:36" ht="11.25" customHeight="1" x14ac:dyDescent="0.2">
      <c r="A131" s="53" t="s">
        <v>21</v>
      </c>
      <c r="B131" s="53" t="s">
        <v>43</v>
      </c>
      <c r="C131" s="53" t="s">
        <v>67</v>
      </c>
      <c r="D131" s="53" t="s">
        <v>25</v>
      </c>
      <c r="E131" s="53" t="s">
        <v>25</v>
      </c>
      <c r="F131" s="53" t="s">
        <v>25</v>
      </c>
      <c r="G131" s="53" t="s">
        <v>68</v>
      </c>
      <c r="H131" s="53" t="s">
        <v>36</v>
      </c>
      <c r="I131" s="73">
        <v>44013</v>
      </c>
      <c r="J131" s="74">
        <f ca="1">EFEITO!$J$131*EFEITO!$Y$131</f>
        <v>518799.48033792456</v>
      </c>
      <c r="K131" s="74">
        <f ca="1">EFEITO!$L$131*EFEITO!$Z$131</f>
        <v>0</v>
      </c>
      <c r="L131" s="74">
        <f>EFEITO!$N$131*EFEITO!$AA$131</f>
        <v>0</v>
      </c>
      <c r="M131" s="74">
        <f ca="1">$J$131-EFEITO!$K$131*EFEITO!$Y$131</f>
        <v>0</v>
      </c>
      <c r="N131" s="74">
        <f ca="1">$K$131-EFEITO!$M$131*EFEITO!$Z$131</f>
        <v>0</v>
      </c>
      <c r="O131" s="74">
        <f>$L$131-EFEITO!$O$131*EFEITO!$AA$131</f>
        <v>0</v>
      </c>
      <c r="P131" s="57"/>
      <c r="Q131" s="57"/>
      <c r="R131" s="57"/>
      <c r="S131" s="57"/>
      <c r="T131" s="57"/>
      <c r="U131" s="57"/>
      <c r="V131" s="57"/>
      <c r="W131" s="57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</row>
    <row r="132" spans="1:36" ht="11.25" customHeight="1" x14ac:dyDescent="0.2">
      <c r="A132" s="53" t="s">
        <v>21</v>
      </c>
      <c r="B132" s="53" t="s">
        <v>43</v>
      </c>
      <c r="C132" s="53" t="s">
        <v>67</v>
      </c>
      <c r="D132" s="53" t="s">
        <v>25</v>
      </c>
      <c r="E132" s="53" t="s">
        <v>25</v>
      </c>
      <c r="F132" s="53" t="s">
        <v>25</v>
      </c>
      <c r="G132" s="53" t="s">
        <v>68</v>
      </c>
      <c r="H132" s="53" t="s">
        <v>36</v>
      </c>
      <c r="I132" s="73">
        <v>44044</v>
      </c>
      <c r="J132" s="74">
        <f ca="1">EFEITO!$J$132*EFEITO!$Y$132</f>
        <v>518799.48033792456</v>
      </c>
      <c r="K132" s="74">
        <f ca="1">EFEITO!$L$132*EFEITO!$Z$132</f>
        <v>0</v>
      </c>
      <c r="L132" s="74">
        <f>EFEITO!$N$132*EFEITO!$AA$132</f>
        <v>0</v>
      </c>
      <c r="M132" s="74">
        <f ca="1">$J$132-EFEITO!$K$132*EFEITO!$Y$132</f>
        <v>0</v>
      </c>
      <c r="N132" s="74">
        <f ca="1">$K$132-EFEITO!$M$132*EFEITO!$Z$132</f>
        <v>0</v>
      </c>
      <c r="O132" s="74">
        <f>$L$132-EFEITO!$O$132*EFEITO!$AA$132</f>
        <v>0</v>
      </c>
      <c r="P132" s="57"/>
      <c r="Q132" s="57"/>
      <c r="R132" s="57"/>
      <c r="S132" s="57"/>
      <c r="T132" s="57"/>
      <c r="U132" s="57"/>
      <c r="V132" s="57"/>
      <c r="W132" s="57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</row>
    <row r="133" spans="1:36" ht="11.25" customHeight="1" x14ac:dyDescent="0.2">
      <c r="A133" s="53" t="s">
        <v>59</v>
      </c>
      <c r="B133" s="53" t="s">
        <v>43</v>
      </c>
      <c r="C133" s="53" t="s">
        <v>67</v>
      </c>
      <c r="D133" s="53" t="s">
        <v>25</v>
      </c>
      <c r="E133" s="53" t="s">
        <v>25</v>
      </c>
      <c r="F133" s="53" t="s">
        <v>25</v>
      </c>
      <c r="G133" s="53" t="s">
        <v>68</v>
      </c>
      <c r="H133" s="53" t="s">
        <v>36</v>
      </c>
      <c r="I133" s="73">
        <v>44075</v>
      </c>
      <c r="J133" s="74">
        <f ca="1">EFEITO!$J$133*EFEITO!$Y$133</f>
        <v>518799.48033792456</v>
      </c>
      <c r="K133" s="74">
        <f ca="1">EFEITO!$L$133*EFEITO!$Z$133</f>
        <v>0</v>
      </c>
      <c r="L133" s="74">
        <f>EFEITO!$N$133*EFEITO!$AA$133</f>
        <v>0</v>
      </c>
      <c r="M133" s="74">
        <f ca="1">$J$133-EFEITO!$K$133*EFEITO!$Y$133</f>
        <v>0</v>
      </c>
      <c r="N133" s="74">
        <f ca="1">$K$133-EFEITO!$M$133*EFEITO!$Z$133</f>
        <v>0</v>
      </c>
      <c r="O133" s="74">
        <f>$L$133-EFEITO!$O$133*EFEITO!$AA$133</f>
        <v>0</v>
      </c>
      <c r="P133" s="57"/>
      <c r="Q133" s="57"/>
      <c r="R133" s="57"/>
      <c r="S133" s="57"/>
      <c r="T133" s="57"/>
      <c r="U133" s="57"/>
      <c r="V133" s="57"/>
      <c r="W133" s="57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</row>
    <row r="134" spans="1:36" ht="11.25" customHeight="1" x14ac:dyDescent="0.2">
      <c r="A134" s="53" t="s">
        <v>21</v>
      </c>
      <c r="B134" s="53" t="s">
        <v>43</v>
      </c>
      <c r="C134" s="53" t="s">
        <v>67</v>
      </c>
      <c r="D134" s="53" t="s">
        <v>25</v>
      </c>
      <c r="E134" s="53" t="s">
        <v>25</v>
      </c>
      <c r="F134" s="53" t="s">
        <v>25</v>
      </c>
      <c r="G134" s="53" t="s">
        <v>68</v>
      </c>
      <c r="H134" s="53" t="s">
        <v>25</v>
      </c>
      <c r="I134" s="73">
        <v>43739</v>
      </c>
      <c r="J134" s="74">
        <f ca="1">EFEITO!$J$134*EFEITO!$Y$134</f>
        <v>0</v>
      </c>
      <c r="K134" s="74">
        <f ca="1">EFEITO!$L$134*EFEITO!$Z$134</f>
        <v>136939.26392999353</v>
      </c>
      <c r="L134" s="74">
        <f>EFEITO!$N$134*EFEITO!$AA$134</f>
        <v>0</v>
      </c>
      <c r="M134" s="74">
        <f ca="1">$J$134-EFEITO!$K$134*EFEITO!$Y$134</f>
        <v>0</v>
      </c>
      <c r="N134" s="74">
        <f ca="1">$K$134-EFEITO!$M$134*EFEITO!$Z$134</f>
        <v>0</v>
      </c>
      <c r="O134" s="74">
        <f>$L$134-EFEITO!$O$134*EFEITO!$AA$134</f>
        <v>0</v>
      </c>
      <c r="P134" s="57"/>
      <c r="Q134" s="57"/>
      <c r="R134" s="57"/>
      <c r="S134" s="57"/>
      <c r="T134" s="57"/>
      <c r="U134" s="57"/>
      <c r="V134" s="57"/>
      <c r="W134" s="57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</row>
    <row r="135" spans="1:36" ht="11.25" customHeight="1" x14ac:dyDescent="0.2">
      <c r="A135" s="53" t="s">
        <v>21</v>
      </c>
      <c r="B135" s="53" t="s">
        <v>43</v>
      </c>
      <c r="C135" s="53" t="s">
        <v>67</v>
      </c>
      <c r="D135" s="53" t="s">
        <v>25</v>
      </c>
      <c r="E135" s="53" t="s">
        <v>25</v>
      </c>
      <c r="F135" s="53" t="s">
        <v>25</v>
      </c>
      <c r="G135" s="53" t="s">
        <v>68</v>
      </c>
      <c r="H135" s="53" t="s">
        <v>25</v>
      </c>
      <c r="I135" s="73">
        <v>43770</v>
      </c>
      <c r="J135" s="74">
        <f ca="1">EFEITO!$J$135*EFEITO!$Y$135</f>
        <v>0</v>
      </c>
      <c r="K135" s="74">
        <f ca="1">EFEITO!$L$135*EFEITO!$Z$135</f>
        <v>136939.26392999353</v>
      </c>
      <c r="L135" s="74">
        <f>EFEITO!$N$135*EFEITO!$AA$135</f>
        <v>0</v>
      </c>
      <c r="M135" s="74">
        <f ca="1">$J$135-EFEITO!$K$135*EFEITO!$Y$135</f>
        <v>0</v>
      </c>
      <c r="N135" s="74">
        <f ca="1">$K$135-EFEITO!$M$135*EFEITO!$Z$135</f>
        <v>0</v>
      </c>
      <c r="O135" s="74">
        <f>$L$135-EFEITO!$O$135*EFEITO!$AA$135</f>
        <v>0</v>
      </c>
      <c r="P135" s="57"/>
      <c r="Q135" s="57"/>
      <c r="R135" s="57"/>
      <c r="S135" s="57"/>
      <c r="T135" s="57"/>
      <c r="U135" s="57"/>
      <c r="V135" s="57"/>
      <c r="W135" s="57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</row>
    <row r="136" spans="1:36" ht="11.25" customHeight="1" x14ac:dyDescent="0.2">
      <c r="A136" s="53" t="s">
        <v>21</v>
      </c>
      <c r="B136" s="53" t="s">
        <v>43</v>
      </c>
      <c r="C136" s="53" t="s">
        <v>67</v>
      </c>
      <c r="D136" s="53" t="s">
        <v>25</v>
      </c>
      <c r="E136" s="53" t="s">
        <v>25</v>
      </c>
      <c r="F136" s="53" t="s">
        <v>25</v>
      </c>
      <c r="G136" s="53" t="s">
        <v>68</v>
      </c>
      <c r="H136" s="53" t="s">
        <v>25</v>
      </c>
      <c r="I136" s="73">
        <v>43800</v>
      </c>
      <c r="J136" s="74">
        <f ca="1">EFEITO!$J$136*EFEITO!$Y$136</f>
        <v>0</v>
      </c>
      <c r="K136" s="74">
        <f ca="1">EFEITO!$L$136*EFEITO!$Z$136</f>
        <v>89079.331021003716</v>
      </c>
      <c r="L136" s="74">
        <f>EFEITO!$N$136*EFEITO!$AA$136</f>
        <v>0</v>
      </c>
      <c r="M136" s="74">
        <f ca="1">$J$136-EFEITO!$K$136*EFEITO!$Y$136</f>
        <v>0</v>
      </c>
      <c r="N136" s="74">
        <f ca="1">$K$136-EFEITO!$M$136*EFEITO!$Z$136</f>
        <v>0</v>
      </c>
      <c r="O136" s="74">
        <f>$L$136-EFEITO!$O$136*EFEITO!$AA$136</f>
        <v>0</v>
      </c>
      <c r="P136" s="57"/>
      <c r="Q136" s="57"/>
      <c r="R136" s="57"/>
      <c r="S136" s="57"/>
      <c r="T136" s="57"/>
      <c r="U136" s="57"/>
      <c r="V136" s="57"/>
      <c r="W136" s="57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</row>
    <row r="137" spans="1:36" ht="11.25" customHeight="1" x14ac:dyDescent="0.2">
      <c r="A137" s="53" t="s">
        <v>21</v>
      </c>
      <c r="B137" s="53" t="s">
        <v>43</v>
      </c>
      <c r="C137" s="53" t="s">
        <v>67</v>
      </c>
      <c r="D137" s="53" t="s">
        <v>25</v>
      </c>
      <c r="E137" s="53" t="s">
        <v>25</v>
      </c>
      <c r="F137" s="53" t="s">
        <v>25</v>
      </c>
      <c r="G137" s="53" t="s">
        <v>68</v>
      </c>
      <c r="H137" s="53" t="s">
        <v>25</v>
      </c>
      <c r="I137" s="73">
        <v>43831</v>
      </c>
      <c r="J137" s="74">
        <f ca="1">EFEITO!$J$137*EFEITO!$Y$137</f>
        <v>0</v>
      </c>
      <c r="K137" s="74">
        <f ca="1">EFEITO!$L$137*EFEITO!$Z$137</f>
        <v>63557.122208199333</v>
      </c>
      <c r="L137" s="74">
        <f>EFEITO!$N$137*EFEITO!$AA$137</f>
        <v>0</v>
      </c>
      <c r="M137" s="74">
        <f ca="1">$J$137-EFEITO!$K$137*EFEITO!$Y$137</f>
        <v>0</v>
      </c>
      <c r="N137" s="74">
        <f ca="1">$K$137-EFEITO!$M$137*EFEITO!$Z$137</f>
        <v>0</v>
      </c>
      <c r="O137" s="74">
        <f>$L$137-EFEITO!$O$137*EFEITO!$AA$137</f>
        <v>0</v>
      </c>
      <c r="P137" s="57"/>
      <c r="Q137" s="57"/>
      <c r="R137" s="57"/>
      <c r="S137" s="57"/>
      <c r="T137" s="57"/>
      <c r="U137" s="57"/>
      <c r="V137" s="57"/>
      <c r="W137" s="57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</row>
    <row r="138" spans="1:36" ht="11.25" customHeight="1" x14ac:dyDescent="0.2">
      <c r="A138" s="53" t="s">
        <v>21</v>
      </c>
      <c r="B138" s="53" t="s">
        <v>43</v>
      </c>
      <c r="C138" s="53" t="s">
        <v>67</v>
      </c>
      <c r="D138" s="53" t="s">
        <v>25</v>
      </c>
      <c r="E138" s="53" t="s">
        <v>25</v>
      </c>
      <c r="F138" s="53" t="s">
        <v>25</v>
      </c>
      <c r="G138" s="53" t="s">
        <v>68</v>
      </c>
      <c r="H138" s="53" t="s">
        <v>25</v>
      </c>
      <c r="I138" s="73">
        <v>43862</v>
      </c>
      <c r="J138" s="74">
        <f ca="1">EFEITO!$J$138*EFEITO!$Y$138</f>
        <v>0</v>
      </c>
      <c r="K138" s="74">
        <f ca="1">EFEITO!$L$138*EFEITO!$Z$138</f>
        <v>35804.651679377872</v>
      </c>
      <c r="L138" s="74">
        <f>EFEITO!$N$138*EFEITO!$AA$138</f>
        <v>0</v>
      </c>
      <c r="M138" s="74">
        <f ca="1">$J$138-EFEITO!$K$138*EFEITO!$Y$138</f>
        <v>0</v>
      </c>
      <c r="N138" s="74">
        <f ca="1">$K$138-EFEITO!$M$138*EFEITO!$Z$138</f>
        <v>0</v>
      </c>
      <c r="O138" s="74">
        <f>$L$138-EFEITO!$O$138*EFEITO!$AA$138</f>
        <v>0</v>
      </c>
      <c r="P138" s="57"/>
      <c r="Q138" s="57"/>
      <c r="R138" s="57"/>
      <c r="S138" s="57"/>
      <c r="T138" s="57"/>
      <c r="U138" s="57"/>
      <c r="V138" s="57"/>
      <c r="W138" s="57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</row>
    <row r="139" spans="1:36" ht="11.25" customHeight="1" x14ac:dyDescent="0.2">
      <c r="A139" s="53" t="s">
        <v>21</v>
      </c>
      <c r="B139" s="53" t="s">
        <v>43</v>
      </c>
      <c r="C139" s="53" t="s">
        <v>67</v>
      </c>
      <c r="D139" s="53" t="s">
        <v>25</v>
      </c>
      <c r="E139" s="53" t="s">
        <v>25</v>
      </c>
      <c r="F139" s="53" t="s">
        <v>25</v>
      </c>
      <c r="G139" s="53" t="s">
        <v>68</v>
      </c>
      <c r="H139" s="53" t="s">
        <v>25</v>
      </c>
      <c r="I139" s="73">
        <v>43891</v>
      </c>
      <c r="J139" s="74">
        <f ca="1">EFEITO!$J$139*EFEITO!$Y$139</f>
        <v>0</v>
      </c>
      <c r="K139" s="74">
        <f ca="1">EFEITO!$L$139*EFEITO!$Z$139</f>
        <v>15113.986371631978</v>
      </c>
      <c r="L139" s="74">
        <f>EFEITO!$N$139*EFEITO!$AA$139</f>
        <v>0</v>
      </c>
      <c r="M139" s="74">
        <f ca="1">$J$139-EFEITO!$K$139*EFEITO!$Y$139</f>
        <v>0</v>
      </c>
      <c r="N139" s="74">
        <f ca="1">$K$139-EFEITO!$M$139*EFEITO!$Z$139</f>
        <v>0</v>
      </c>
      <c r="O139" s="74">
        <f>$L$139-EFEITO!$O$139*EFEITO!$AA$139</f>
        <v>0</v>
      </c>
      <c r="P139" s="57"/>
      <c r="Q139" s="57"/>
      <c r="R139" s="57"/>
      <c r="S139" s="57"/>
      <c r="T139" s="57"/>
      <c r="U139" s="57"/>
      <c r="V139" s="57"/>
      <c r="W139" s="57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</row>
    <row r="140" spans="1:36" ht="11.25" customHeight="1" x14ac:dyDescent="0.2">
      <c r="A140" s="53" t="s">
        <v>21</v>
      </c>
      <c r="B140" s="53" t="s">
        <v>43</v>
      </c>
      <c r="C140" s="53" t="s">
        <v>67</v>
      </c>
      <c r="D140" s="53" t="s">
        <v>25</v>
      </c>
      <c r="E140" s="53" t="s">
        <v>25</v>
      </c>
      <c r="F140" s="53" t="s">
        <v>25</v>
      </c>
      <c r="G140" s="53" t="s">
        <v>68</v>
      </c>
      <c r="H140" s="53" t="s">
        <v>25</v>
      </c>
      <c r="I140" s="73">
        <v>43922</v>
      </c>
      <c r="J140" s="74">
        <f ca="1">EFEITO!$J$140*EFEITO!$Y$140</f>
        <v>0</v>
      </c>
      <c r="K140" s="74">
        <f ca="1">EFEITO!$L$140*EFEITO!$Z$140</f>
        <v>26084.333916825512</v>
      </c>
      <c r="L140" s="74">
        <f>EFEITO!$N$140*EFEITO!$AA$140</f>
        <v>0</v>
      </c>
      <c r="M140" s="74">
        <f ca="1">$J$140-EFEITO!$K$140*EFEITO!$Y$140</f>
        <v>0</v>
      </c>
      <c r="N140" s="74">
        <f ca="1">$K$140-EFEITO!$M$140*EFEITO!$Z$140</f>
        <v>0</v>
      </c>
      <c r="O140" s="74">
        <f>$L$140-EFEITO!$O$140*EFEITO!$AA$140</f>
        <v>0</v>
      </c>
      <c r="P140" s="57"/>
      <c r="Q140" s="57"/>
      <c r="R140" s="57"/>
      <c r="S140" s="57"/>
      <c r="T140" s="57"/>
      <c r="U140" s="57"/>
      <c r="V140" s="57"/>
      <c r="W140" s="57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</row>
    <row r="141" spans="1:36" ht="11.25" customHeight="1" x14ac:dyDescent="0.2">
      <c r="A141" s="53" t="s">
        <v>21</v>
      </c>
      <c r="B141" s="53" t="s">
        <v>43</v>
      </c>
      <c r="C141" s="53" t="s">
        <v>67</v>
      </c>
      <c r="D141" s="53" t="s">
        <v>25</v>
      </c>
      <c r="E141" s="53" t="s">
        <v>25</v>
      </c>
      <c r="F141" s="53" t="s">
        <v>25</v>
      </c>
      <c r="G141" s="53" t="s">
        <v>68</v>
      </c>
      <c r="H141" s="53" t="s">
        <v>25</v>
      </c>
      <c r="I141" s="73">
        <v>43952</v>
      </c>
      <c r="J141" s="74">
        <f ca="1">EFEITO!$J$141*EFEITO!$Y$141</f>
        <v>0</v>
      </c>
      <c r="K141" s="74">
        <f ca="1">EFEITO!$L$141*EFEITO!$Z$141</f>
        <v>26084.333916825512</v>
      </c>
      <c r="L141" s="74">
        <f>EFEITO!$N$141*EFEITO!$AA$141</f>
        <v>0</v>
      </c>
      <c r="M141" s="74">
        <f ca="1">$J$141-EFEITO!$K$141*EFEITO!$Y$141</f>
        <v>0</v>
      </c>
      <c r="N141" s="74">
        <f ca="1">$K$141-EFEITO!$M$141*EFEITO!$Z$141</f>
        <v>0</v>
      </c>
      <c r="O141" s="74">
        <f>$L$141-EFEITO!$O$141*EFEITO!$AA$141</f>
        <v>0</v>
      </c>
      <c r="P141" s="57"/>
      <c r="Q141" s="57"/>
      <c r="R141" s="57"/>
      <c r="S141" s="57"/>
      <c r="T141" s="57"/>
      <c r="U141" s="57"/>
      <c r="V141" s="57"/>
      <c r="W141" s="57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</row>
    <row r="142" spans="1:36" ht="11.25" customHeight="1" x14ac:dyDescent="0.2">
      <c r="A142" s="53" t="s">
        <v>21</v>
      </c>
      <c r="B142" s="53" t="s">
        <v>43</v>
      </c>
      <c r="C142" s="53" t="s">
        <v>67</v>
      </c>
      <c r="D142" s="53" t="s">
        <v>25</v>
      </c>
      <c r="E142" s="53" t="s">
        <v>25</v>
      </c>
      <c r="F142" s="53" t="s">
        <v>25</v>
      </c>
      <c r="G142" s="53" t="s">
        <v>68</v>
      </c>
      <c r="H142" s="53" t="s">
        <v>25</v>
      </c>
      <c r="I142" s="73">
        <v>43983</v>
      </c>
      <c r="J142" s="74">
        <f ca="1">EFEITO!$J$142*EFEITO!$Y$142</f>
        <v>0</v>
      </c>
      <c r="K142" s="74">
        <f ca="1">EFEITO!$L$142*EFEITO!$Z$142</f>
        <v>26084.333916825512</v>
      </c>
      <c r="L142" s="74">
        <f>EFEITO!$N$142*EFEITO!$AA$142</f>
        <v>0</v>
      </c>
      <c r="M142" s="74">
        <f ca="1">$J$142-EFEITO!$K$142*EFEITO!$Y$142</f>
        <v>0</v>
      </c>
      <c r="N142" s="74">
        <f ca="1">$K$142-EFEITO!$M$142*EFEITO!$Z$142</f>
        <v>0</v>
      </c>
      <c r="O142" s="74">
        <f>$L$142-EFEITO!$O$142*EFEITO!$AA$142</f>
        <v>0</v>
      </c>
      <c r="P142" s="57"/>
      <c r="Q142" s="57"/>
      <c r="R142" s="57"/>
      <c r="S142" s="57"/>
      <c r="T142" s="57"/>
      <c r="U142" s="57"/>
      <c r="V142" s="57"/>
      <c r="W142" s="57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</row>
    <row r="143" spans="1:36" ht="11.25" customHeight="1" x14ac:dyDescent="0.2">
      <c r="A143" s="53" t="s">
        <v>21</v>
      </c>
      <c r="B143" s="53" t="s">
        <v>43</v>
      </c>
      <c r="C143" s="53" t="s">
        <v>67</v>
      </c>
      <c r="D143" s="53" t="s">
        <v>25</v>
      </c>
      <c r="E143" s="53" t="s">
        <v>25</v>
      </c>
      <c r="F143" s="53" t="s">
        <v>25</v>
      </c>
      <c r="G143" s="53" t="s">
        <v>68</v>
      </c>
      <c r="H143" s="53" t="s">
        <v>25</v>
      </c>
      <c r="I143" s="73">
        <v>44013</v>
      </c>
      <c r="J143" s="74">
        <f ca="1">EFEITO!$J$143*EFEITO!$Y$143</f>
        <v>0</v>
      </c>
      <c r="K143" s="74">
        <f ca="1">EFEITO!$L$143*EFEITO!$Z$143</f>
        <v>129583.67133351065</v>
      </c>
      <c r="L143" s="74">
        <f>EFEITO!$N$143*EFEITO!$AA$143</f>
        <v>0</v>
      </c>
      <c r="M143" s="74">
        <f ca="1">$J$143-EFEITO!$K$143*EFEITO!$Y$143</f>
        <v>0</v>
      </c>
      <c r="N143" s="74">
        <f ca="1">$K$143-EFEITO!$M$143*EFEITO!$Z$143</f>
        <v>0</v>
      </c>
      <c r="O143" s="74">
        <f>$L$143-EFEITO!$O$143*EFEITO!$AA$143</f>
        <v>0</v>
      </c>
      <c r="P143" s="57"/>
      <c r="Q143" s="57"/>
      <c r="R143" s="57"/>
      <c r="S143" s="57"/>
      <c r="T143" s="57"/>
      <c r="U143" s="57"/>
      <c r="V143" s="57"/>
      <c r="W143" s="57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</row>
    <row r="144" spans="1:36" ht="11.25" customHeight="1" x14ac:dyDescent="0.2">
      <c r="A144" s="53" t="s">
        <v>21</v>
      </c>
      <c r="B144" s="53" t="s">
        <v>43</v>
      </c>
      <c r="C144" s="53" t="s">
        <v>67</v>
      </c>
      <c r="D144" s="53" t="s">
        <v>25</v>
      </c>
      <c r="E144" s="53" t="s">
        <v>25</v>
      </c>
      <c r="F144" s="53" t="s">
        <v>25</v>
      </c>
      <c r="G144" s="53" t="s">
        <v>68</v>
      </c>
      <c r="H144" s="53" t="s">
        <v>25</v>
      </c>
      <c r="I144" s="73">
        <v>44044</v>
      </c>
      <c r="J144" s="74">
        <f ca="1">EFEITO!$J$144*EFEITO!$Y$144</f>
        <v>0</v>
      </c>
      <c r="K144" s="74">
        <f ca="1">EFEITO!$L$144*EFEITO!$Z$144</f>
        <v>26084.333916825512</v>
      </c>
      <c r="L144" s="74">
        <f>EFEITO!$N$144*EFEITO!$AA$144</f>
        <v>0</v>
      </c>
      <c r="M144" s="74">
        <f ca="1">$J$144-EFEITO!$K$144*EFEITO!$Y$144</f>
        <v>0</v>
      </c>
      <c r="N144" s="74">
        <f ca="1">$K$144-EFEITO!$M$144*EFEITO!$Z$144</f>
        <v>0</v>
      </c>
      <c r="O144" s="74">
        <f>$L$144-EFEITO!$O$144*EFEITO!$AA$144</f>
        <v>0</v>
      </c>
      <c r="P144" s="57"/>
      <c r="Q144" s="57"/>
      <c r="R144" s="57"/>
      <c r="S144" s="57"/>
      <c r="T144" s="57"/>
      <c r="U144" s="57"/>
      <c r="V144" s="57"/>
      <c r="W144" s="57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</row>
    <row r="145" spans="1:36" ht="11.25" customHeight="1" x14ac:dyDescent="0.2">
      <c r="A145" s="53" t="s">
        <v>59</v>
      </c>
      <c r="B145" s="53" t="s">
        <v>43</v>
      </c>
      <c r="C145" s="53" t="s">
        <v>67</v>
      </c>
      <c r="D145" s="53" t="s">
        <v>25</v>
      </c>
      <c r="E145" s="53" t="s">
        <v>25</v>
      </c>
      <c r="F145" s="53" t="s">
        <v>25</v>
      </c>
      <c r="G145" s="53" t="s">
        <v>68</v>
      </c>
      <c r="H145" s="53" t="s">
        <v>25</v>
      </c>
      <c r="I145" s="73">
        <v>44075</v>
      </c>
      <c r="J145" s="74">
        <f ca="1">EFEITO!$J$145*EFEITO!$Y$145</f>
        <v>0</v>
      </c>
      <c r="K145" s="74">
        <f ca="1">EFEITO!$L$145*EFEITO!$Z$145</f>
        <v>26084.333916825512</v>
      </c>
      <c r="L145" s="74">
        <f>EFEITO!$N$145*EFEITO!$AA$145</f>
        <v>0</v>
      </c>
      <c r="M145" s="74">
        <f ca="1">$J$145-EFEITO!$K$145*EFEITO!$Y$145</f>
        <v>0</v>
      </c>
      <c r="N145" s="74">
        <f ca="1">$K$145-EFEITO!$M$145*EFEITO!$Z$145</f>
        <v>0</v>
      </c>
      <c r="O145" s="74">
        <f>$L$145-EFEITO!$O$145*EFEITO!$AA$145</f>
        <v>0</v>
      </c>
      <c r="P145" s="57"/>
      <c r="Q145" s="57"/>
      <c r="R145" s="57"/>
      <c r="S145" s="57"/>
      <c r="T145" s="57"/>
      <c r="U145" s="57"/>
      <c r="V145" s="57"/>
      <c r="W145" s="57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</row>
    <row r="146" spans="1:36" ht="11.25" customHeight="1" x14ac:dyDescent="0.2">
      <c r="A146" s="53" t="s">
        <v>21</v>
      </c>
      <c r="B146" s="53" t="s">
        <v>43</v>
      </c>
      <c r="C146" s="53" t="s">
        <v>67</v>
      </c>
      <c r="D146" s="53" t="s">
        <v>25</v>
      </c>
      <c r="E146" s="53" t="s">
        <v>25</v>
      </c>
      <c r="F146" s="53" t="s">
        <v>25</v>
      </c>
      <c r="G146" s="53" t="s">
        <v>68</v>
      </c>
      <c r="H146" s="53" t="s">
        <v>35</v>
      </c>
      <c r="I146" s="73">
        <v>43739</v>
      </c>
      <c r="J146" s="74">
        <f ca="1">EFEITO!$J$146*EFEITO!$Y$146</f>
        <v>716931.74506203504</v>
      </c>
      <c r="K146" s="74">
        <f ca="1">EFEITO!$L$146*EFEITO!$Z$146</f>
        <v>0</v>
      </c>
      <c r="L146" s="74">
        <f>EFEITO!$N$146*EFEITO!$AA$146</f>
        <v>0</v>
      </c>
      <c r="M146" s="74">
        <f ca="1">$J$146-EFEITO!$K$146*EFEITO!$Y$146</f>
        <v>0</v>
      </c>
      <c r="N146" s="74">
        <f ca="1">$K$146-EFEITO!$M$146*EFEITO!$Z$146</f>
        <v>0</v>
      </c>
      <c r="O146" s="74">
        <f>$L$146-EFEITO!$O$146*EFEITO!$AA$146</f>
        <v>0</v>
      </c>
      <c r="P146" s="57"/>
      <c r="Q146" s="57"/>
      <c r="R146" s="57"/>
      <c r="S146" s="57"/>
      <c r="T146" s="57"/>
      <c r="U146" s="57"/>
      <c r="V146" s="57"/>
      <c r="W146" s="57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</row>
    <row r="147" spans="1:36" ht="11.25" customHeight="1" x14ac:dyDescent="0.2">
      <c r="A147" s="53" t="s">
        <v>21</v>
      </c>
      <c r="B147" s="53" t="s">
        <v>43</v>
      </c>
      <c r="C147" s="53" t="s">
        <v>67</v>
      </c>
      <c r="D147" s="53" t="s">
        <v>25</v>
      </c>
      <c r="E147" s="53" t="s">
        <v>25</v>
      </c>
      <c r="F147" s="53" t="s">
        <v>25</v>
      </c>
      <c r="G147" s="53" t="s">
        <v>68</v>
      </c>
      <c r="H147" s="53" t="s">
        <v>35</v>
      </c>
      <c r="I147" s="73">
        <v>43770</v>
      </c>
      <c r="J147" s="74">
        <f ca="1">EFEITO!$J$147*EFEITO!$Y$147</f>
        <v>716931.74506203504</v>
      </c>
      <c r="K147" s="74">
        <f ca="1">EFEITO!$L$147*EFEITO!$Z$147</f>
        <v>0</v>
      </c>
      <c r="L147" s="74">
        <f>EFEITO!$N$147*EFEITO!$AA$147</f>
        <v>0</v>
      </c>
      <c r="M147" s="74">
        <f ca="1">$J$147-EFEITO!$K$147*EFEITO!$Y$147</f>
        <v>0</v>
      </c>
      <c r="N147" s="74">
        <f ca="1">$K$147-EFEITO!$M$147*EFEITO!$Z$147</f>
        <v>0</v>
      </c>
      <c r="O147" s="74">
        <f>$L$147-EFEITO!$O$147*EFEITO!$AA$147</f>
        <v>0</v>
      </c>
      <c r="P147" s="57"/>
      <c r="Q147" s="57"/>
      <c r="R147" s="57"/>
      <c r="S147" s="57"/>
      <c r="T147" s="57"/>
      <c r="U147" s="57"/>
      <c r="V147" s="57"/>
      <c r="W147" s="57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</row>
    <row r="148" spans="1:36" ht="11.25" customHeight="1" x14ac:dyDescent="0.2">
      <c r="A148" s="53" t="s">
        <v>21</v>
      </c>
      <c r="B148" s="53" t="s">
        <v>43</v>
      </c>
      <c r="C148" s="53" t="s">
        <v>67</v>
      </c>
      <c r="D148" s="53" t="s">
        <v>25</v>
      </c>
      <c r="E148" s="53" t="s">
        <v>25</v>
      </c>
      <c r="F148" s="53" t="s">
        <v>25</v>
      </c>
      <c r="G148" s="53" t="s">
        <v>68</v>
      </c>
      <c r="H148" s="53" t="s">
        <v>35</v>
      </c>
      <c r="I148" s="73">
        <v>43800</v>
      </c>
      <c r="J148" s="74">
        <f ca="1">EFEITO!$J$148*EFEITO!$Y$148</f>
        <v>716931.74506203504</v>
      </c>
      <c r="K148" s="74">
        <f ca="1">EFEITO!$L$148*EFEITO!$Z$148</f>
        <v>0</v>
      </c>
      <c r="L148" s="74">
        <f>EFEITO!$N$148*EFEITO!$AA$148</f>
        <v>0</v>
      </c>
      <c r="M148" s="74">
        <f ca="1">$J$148-EFEITO!$K$148*EFEITO!$Y$148</f>
        <v>0</v>
      </c>
      <c r="N148" s="74">
        <f ca="1">$K$148-EFEITO!$M$148*EFEITO!$Z$148</f>
        <v>0</v>
      </c>
      <c r="O148" s="74">
        <f>$L$148-EFEITO!$O$148*EFEITO!$AA$148</f>
        <v>0</v>
      </c>
      <c r="P148" s="57"/>
      <c r="Q148" s="57"/>
      <c r="R148" s="57"/>
      <c r="S148" s="57"/>
      <c r="T148" s="57"/>
      <c r="U148" s="57"/>
      <c r="V148" s="57"/>
      <c r="W148" s="57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</row>
    <row r="149" spans="1:36" ht="11.25" customHeight="1" x14ac:dyDescent="0.2">
      <c r="A149" s="53" t="s">
        <v>21</v>
      </c>
      <c r="B149" s="53" t="s">
        <v>43</v>
      </c>
      <c r="C149" s="53" t="s">
        <v>67</v>
      </c>
      <c r="D149" s="53" t="s">
        <v>25</v>
      </c>
      <c r="E149" s="53" t="s">
        <v>25</v>
      </c>
      <c r="F149" s="53" t="s">
        <v>25</v>
      </c>
      <c r="G149" s="53" t="s">
        <v>68</v>
      </c>
      <c r="H149" s="53" t="s">
        <v>35</v>
      </c>
      <c r="I149" s="73">
        <v>43831</v>
      </c>
      <c r="J149" s="74">
        <f ca="1">EFEITO!$J$149*EFEITO!$Y$149</f>
        <v>716931.74506203504</v>
      </c>
      <c r="K149" s="74">
        <f ca="1">EFEITO!$L$149*EFEITO!$Z$149</f>
        <v>0</v>
      </c>
      <c r="L149" s="74">
        <f>EFEITO!$N$149*EFEITO!$AA$149</f>
        <v>0</v>
      </c>
      <c r="M149" s="74">
        <f ca="1">$J$149-EFEITO!$K$149*EFEITO!$Y$149</f>
        <v>0</v>
      </c>
      <c r="N149" s="74">
        <f ca="1">$K$149-EFEITO!$M$149*EFEITO!$Z$149</f>
        <v>0</v>
      </c>
      <c r="O149" s="74">
        <f>$L$149-EFEITO!$O$149*EFEITO!$AA$149</f>
        <v>0</v>
      </c>
      <c r="P149" s="57"/>
      <c r="Q149" s="57"/>
      <c r="R149" s="57"/>
      <c r="S149" s="57"/>
      <c r="T149" s="57"/>
      <c r="U149" s="57"/>
      <c r="V149" s="57"/>
      <c r="W149" s="57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</row>
    <row r="150" spans="1:36" ht="11.25" customHeight="1" x14ac:dyDescent="0.2">
      <c r="A150" s="53" t="s">
        <v>21</v>
      </c>
      <c r="B150" s="53" t="s">
        <v>43</v>
      </c>
      <c r="C150" s="53" t="s">
        <v>67</v>
      </c>
      <c r="D150" s="53" t="s">
        <v>25</v>
      </c>
      <c r="E150" s="53" t="s">
        <v>25</v>
      </c>
      <c r="F150" s="53" t="s">
        <v>25</v>
      </c>
      <c r="G150" s="53" t="s">
        <v>68</v>
      </c>
      <c r="H150" s="53" t="s">
        <v>35</v>
      </c>
      <c r="I150" s="73">
        <v>43862</v>
      </c>
      <c r="J150" s="74">
        <f ca="1">EFEITO!$J$150*EFEITO!$Y$150</f>
        <v>716931.74506203504</v>
      </c>
      <c r="K150" s="74">
        <f ca="1">EFEITO!$L$150*EFEITO!$Z$150</f>
        <v>0</v>
      </c>
      <c r="L150" s="74">
        <f>EFEITO!$N$150*EFEITO!$AA$150</f>
        <v>0</v>
      </c>
      <c r="M150" s="74">
        <f ca="1">$J$150-EFEITO!$K$150*EFEITO!$Y$150</f>
        <v>0</v>
      </c>
      <c r="N150" s="74">
        <f ca="1">$K$150-EFEITO!$M$150*EFEITO!$Z$150</f>
        <v>0</v>
      </c>
      <c r="O150" s="74">
        <f>$L$150-EFEITO!$O$150*EFEITO!$AA$150</f>
        <v>0</v>
      </c>
      <c r="P150" s="57"/>
      <c r="Q150" s="57"/>
      <c r="R150" s="57"/>
      <c r="S150" s="57"/>
      <c r="T150" s="57"/>
      <c r="U150" s="57"/>
      <c r="V150" s="57"/>
      <c r="W150" s="57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</row>
    <row r="151" spans="1:36" ht="11.25" customHeight="1" x14ac:dyDescent="0.2">
      <c r="A151" s="53" t="s">
        <v>21</v>
      </c>
      <c r="B151" s="53" t="s">
        <v>43</v>
      </c>
      <c r="C151" s="53" t="s">
        <v>67</v>
      </c>
      <c r="D151" s="53" t="s">
        <v>25</v>
      </c>
      <c r="E151" s="53" t="s">
        <v>25</v>
      </c>
      <c r="F151" s="53" t="s">
        <v>25</v>
      </c>
      <c r="G151" s="53" t="s">
        <v>68</v>
      </c>
      <c r="H151" s="53" t="s">
        <v>35</v>
      </c>
      <c r="I151" s="73">
        <v>43891</v>
      </c>
      <c r="J151" s="74">
        <f ca="1">EFEITO!$J$151*EFEITO!$Y$151</f>
        <v>716931.74506203504</v>
      </c>
      <c r="K151" s="74">
        <f ca="1">EFEITO!$L$151*EFEITO!$Z$151</f>
        <v>0</v>
      </c>
      <c r="L151" s="74">
        <f>EFEITO!$N$151*EFEITO!$AA$151</f>
        <v>0</v>
      </c>
      <c r="M151" s="74">
        <f ca="1">$J$151-EFEITO!$K$151*EFEITO!$Y$151</f>
        <v>0</v>
      </c>
      <c r="N151" s="74">
        <f ca="1">$K$151-EFEITO!$M$151*EFEITO!$Z$151</f>
        <v>0</v>
      </c>
      <c r="O151" s="74">
        <f>$L$151-EFEITO!$O$151*EFEITO!$AA$151</f>
        <v>0</v>
      </c>
      <c r="P151" s="57"/>
      <c r="Q151" s="57"/>
      <c r="R151" s="57"/>
      <c r="S151" s="57"/>
      <c r="T151" s="57"/>
      <c r="U151" s="57"/>
      <c r="V151" s="57"/>
      <c r="W151" s="57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</row>
    <row r="152" spans="1:36" ht="11.25" customHeight="1" x14ac:dyDescent="0.2">
      <c r="A152" s="53" t="s">
        <v>21</v>
      </c>
      <c r="B152" s="53" t="s">
        <v>43</v>
      </c>
      <c r="C152" s="53" t="s">
        <v>67</v>
      </c>
      <c r="D152" s="53" t="s">
        <v>25</v>
      </c>
      <c r="E152" s="53" t="s">
        <v>25</v>
      </c>
      <c r="F152" s="53" t="s">
        <v>25</v>
      </c>
      <c r="G152" s="53" t="s">
        <v>68</v>
      </c>
      <c r="H152" s="53" t="s">
        <v>35</v>
      </c>
      <c r="I152" s="73">
        <v>43922</v>
      </c>
      <c r="J152" s="74">
        <f ca="1">EFEITO!$J$152*EFEITO!$Y$152</f>
        <v>716931.74506203504</v>
      </c>
      <c r="K152" s="74">
        <f ca="1">EFEITO!$L$152*EFEITO!$Z$152</f>
        <v>0</v>
      </c>
      <c r="L152" s="74">
        <f>EFEITO!$N$152*EFEITO!$AA$152</f>
        <v>0</v>
      </c>
      <c r="M152" s="74">
        <f ca="1">$J$152-EFEITO!$K$152*EFEITO!$Y$152</f>
        <v>0</v>
      </c>
      <c r="N152" s="74">
        <f ca="1">$K$152-EFEITO!$M$152*EFEITO!$Z$152</f>
        <v>0</v>
      </c>
      <c r="O152" s="74">
        <f>$L$152-EFEITO!$O$152*EFEITO!$AA$152</f>
        <v>0</v>
      </c>
      <c r="P152" s="57"/>
      <c r="Q152" s="57"/>
      <c r="R152" s="57"/>
      <c r="S152" s="57"/>
      <c r="T152" s="57"/>
      <c r="U152" s="57"/>
      <c r="V152" s="57"/>
      <c r="W152" s="57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</row>
    <row r="153" spans="1:36" ht="11.25" customHeight="1" x14ac:dyDescent="0.2">
      <c r="A153" s="53" t="s">
        <v>21</v>
      </c>
      <c r="B153" s="53" t="s">
        <v>43</v>
      </c>
      <c r="C153" s="53" t="s">
        <v>67</v>
      </c>
      <c r="D153" s="53" t="s">
        <v>25</v>
      </c>
      <c r="E153" s="53" t="s">
        <v>25</v>
      </c>
      <c r="F153" s="53" t="s">
        <v>25</v>
      </c>
      <c r="G153" s="53" t="s">
        <v>68</v>
      </c>
      <c r="H153" s="53" t="s">
        <v>35</v>
      </c>
      <c r="I153" s="73">
        <v>43952</v>
      </c>
      <c r="J153" s="74">
        <f ca="1">EFEITO!$J$153*EFEITO!$Y$153</f>
        <v>716931.74506203504</v>
      </c>
      <c r="K153" s="74">
        <f ca="1">EFEITO!$L$153*EFEITO!$Z$153</f>
        <v>0</v>
      </c>
      <c r="L153" s="74">
        <f>EFEITO!$N$153*EFEITO!$AA$153</f>
        <v>0</v>
      </c>
      <c r="M153" s="74">
        <f ca="1">$J$153-EFEITO!$K$153*EFEITO!$Y$153</f>
        <v>0</v>
      </c>
      <c r="N153" s="74">
        <f ca="1">$K$153-EFEITO!$M$153*EFEITO!$Z$153</f>
        <v>0</v>
      </c>
      <c r="O153" s="74">
        <f>$L$153-EFEITO!$O$153*EFEITO!$AA$153</f>
        <v>0</v>
      </c>
      <c r="P153" s="57"/>
      <c r="Q153" s="57"/>
      <c r="R153" s="57"/>
      <c r="S153" s="57"/>
      <c r="T153" s="57"/>
      <c r="U153" s="57"/>
      <c r="V153" s="57"/>
      <c r="W153" s="57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</row>
    <row r="154" spans="1:36" ht="11.25" customHeight="1" x14ac:dyDescent="0.2">
      <c r="A154" s="53" t="s">
        <v>21</v>
      </c>
      <c r="B154" s="53" t="s">
        <v>43</v>
      </c>
      <c r="C154" s="53" t="s">
        <v>67</v>
      </c>
      <c r="D154" s="53" t="s">
        <v>25</v>
      </c>
      <c r="E154" s="53" t="s">
        <v>25</v>
      </c>
      <c r="F154" s="53" t="s">
        <v>25</v>
      </c>
      <c r="G154" s="53" t="s">
        <v>68</v>
      </c>
      <c r="H154" s="53" t="s">
        <v>35</v>
      </c>
      <c r="I154" s="73">
        <v>43983</v>
      </c>
      <c r="J154" s="74">
        <f ca="1">EFEITO!$J$154*EFEITO!$Y$154</f>
        <v>716931.74506203504</v>
      </c>
      <c r="K154" s="74">
        <f ca="1">EFEITO!$L$154*EFEITO!$Z$154</f>
        <v>0</v>
      </c>
      <c r="L154" s="74">
        <f>EFEITO!$N$154*EFEITO!$AA$154</f>
        <v>0</v>
      </c>
      <c r="M154" s="74">
        <f ca="1">$J$154-EFEITO!$K$154*EFEITO!$Y$154</f>
        <v>0</v>
      </c>
      <c r="N154" s="74">
        <f ca="1">$K$154-EFEITO!$M$154*EFEITO!$Z$154</f>
        <v>0</v>
      </c>
      <c r="O154" s="74">
        <f>$L$154-EFEITO!$O$154*EFEITO!$AA$154</f>
        <v>0</v>
      </c>
      <c r="P154" s="57"/>
      <c r="Q154" s="57"/>
      <c r="R154" s="57"/>
      <c r="S154" s="57"/>
      <c r="T154" s="57"/>
      <c r="U154" s="57"/>
      <c r="V154" s="57"/>
      <c r="W154" s="57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</row>
    <row r="155" spans="1:36" ht="11.25" customHeight="1" x14ac:dyDescent="0.2">
      <c r="A155" s="53" t="s">
        <v>21</v>
      </c>
      <c r="B155" s="53" t="s">
        <v>43</v>
      </c>
      <c r="C155" s="53" t="s">
        <v>67</v>
      </c>
      <c r="D155" s="53" t="s">
        <v>25</v>
      </c>
      <c r="E155" s="53" t="s">
        <v>25</v>
      </c>
      <c r="F155" s="53" t="s">
        <v>25</v>
      </c>
      <c r="G155" s="53" t="s">
        <v>68</v>
      </c>
      <c r="H155" s="53" t="s">
        <v>35</v>
      </c>
      <c r="I155" s="73">
        <v>44013</v>
      </c>
      <c r="J155" s="74">
        <f ca="1">EFEITO!$J$155*EFEITO!$Y$155</f>
        <v>716931.74506203504</v>
      </c>
      <c r="K155" s="74">
        <f ca="1">EFEITO!$L$155*EFEITO!$Z$155</f>
        <v>0</v>
      </c>
      <c r="L155" s="74">
        <f>EFEITO!$N$155*EFEITO!$AA$155</f>
        <v>0</v>
      </c>
      <c r="M155" s="74">
        <f ca="1">$J$155-EFEITO!$K$155*EFEITO!$Y$155</f>
        <v>0</v>
      </c>
      <c r="N155" s="74">
        <f ca="1">$K$155-EFEITO!$M$155*EFEITO!$Z$155</f>
        <v>0</v>
      </c>
      <c r="O155" s="74">
        <f>$L$155-EFEITO!$O$155*EFEITO!$AA$155</f>
        <v>0</v>
      </c>
      <c r="P155" s="57"/>
      <c r="Q155" s="57"/>
      <c r="R155" s="57"/>
      <c r="S155" s="57"/>
      <c r="T155" s="57"/>
      <c r="U155" s="57"/>
      <c r="V155" s="57"/>
      <c r="W155" s="57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</row>
    <row r="156" spans="1:36" ht="11.25" customHeight="1" x14ac:dyDescent="0.2">
      <c r="A156" s="53" t="s">
        <v>21</v>
      </c>
      <c r="B156" s="53" t="s">
        <v>43</v>
      </c>
      <c r="C156" s="53" t="s">
        <v>67</v>
      </c>
      <c r="D156" s="53" t="s">
        <v>25</v>
      </c>
      <c r="E156" s="53" t="s">
        <v>25</v>
      </c>
      <c r="F156" s="53" t="s">
        <v>25</v>
      </c>
      <c r="G156" s="53" t="s">
        <v>68</v>
      </c>
      <c r="H156" s="53" t="s">
        <v>35</v>
      </c>
      <c r="I156" s="73">
        <v>44044</v>
      </c>
      <c r="J156" s="74">
        <f ca="1">EFEITO!$J$156*EFEITO!$Y$156</f>
        <v>716931.74506203504</v>
      </c>
      <c r="K156" s="74">
        <f ca="1">EFEITO!$L$156*EFEITO!$Z$156</f>
        <v>0</v>
      </c>
      <c r="L156" s="74">
        <f>EFEITO!$N$156*EFEITO!$AA$156</f>
        <v>0</v>
      </c>
      <c r="M156" s="74">
        <f ca="1">$J$156-EFEITO!$K$156*EFEITO!$Y$156</f>
        <v>0</v>
      </c>
      <c r="N156" s="74">
        <f ca="1">$K$156-EFEITO!$M$156*EFEITO!$Z$156</f>
        <v>0</v>
      </c>
      <c r="O156" s="74">
        <f>$L$156-EFEITO!$O$156*EFEITO!$AA$156</f>
        <v>0</v>
      </c>
      <c r="P156" s="57"/>
      <c r="Q156" s="57"/>
      <c r="R156" s="57"/>
      <c r="S156" s="57"/>
      <c r="T156" s="57"/>
      <c r="U156" s="57"/>
      <c r="V156" s="57"/>
      <c r="W156" s="57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</row>
    <row r="157" spans="1:36" ht="11.25" customHeight="1" x14ac:dyDescent="0.2">
      <c r="A157" s="53" t="s">
        <v>59</v>
      </c>
      <c r="B157" s="53" t="s">
        <v>43</v>
      </c>
      <c r="C157" s="53" t="s">
        <v>67</v>
      </c>
      <c r="D157" s="53" t="s">
        <v>25</v>
      </c>
      <c r="E157" s="53" t="s">
        <v>25</v>
      </c>
      <c r="F157" s="53" t="s">
        <v>25</v>
      </c>
      <c r="G157" s="53" t="s">
        <v>68</v>
      </c>
      <c r="H157" s="53" t="s">
        <v>35</v>
      </c>
      <c r="I157" s="73">
        <v>44075</v>
      </c>
      <c r="J157" s="74">
        <f ca="1">EFEITO!$J$157*EFEITO!$Y$157</f>
        <v>716931.74506203504</v>
      </c>
      <c r="K157" s="74">
        <f ca="1">EFEITO!$L$157*EFEITO!$Z$157</f>
        <v>0</v>
      </c>
      <c r="L157" s="74">
        <f>EFEITO!$N$157*EFEITO!$AA$157</f>
        <v>0</v>
      </c>
      <c r="M157" s="74">
        <f ca="1">$J$157-EFEITO!$K$157*EFEITO!$Y$157</f>
        <v>0</v>
      </c>
      <c r="N157" s="74">
        <f ca="1">$K$157-EFEITO!$M$157*EFEITO!$Z$157</f>
        <v>0</v>
      </c>
      <c r="O157" s="74">
        <f>$L$157-EFEITO!$O$157*EFEITO!$AA$157</f>
        <v>0</v>
      </c>
      <c r="P157" s="57"/>
      <c r="Q157" s="57"/>
      <c r="R157" s="57"/>
      <c r="S157" s="57"/>
      <c r="T157" s="57"/>
      <c r="U157" s="57"/>
      <c r="V157" s="57"/>
      <c r="W157" s="57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</row>
    <row r="158" spans="1:36" ht="11.25" customHeight="1" x14ac:dyDescent="0.2">
      <c r="A158" s="53" t="s">
        <v>21</v>
      </c>
      <c r="B158" s="53" t="s">
        <v>43</v>
      </c>
      <c r="C158" s="53" t="s">
        <v>64</v>
      </c>
      <c r="D158" s="53" t="s">
        <v>25</v>
      </c>
      <c r="E158" s="53" t="s">
        <v>25</v>
      </c>
      <c r="F158" s="53" t="s">
        <v>25</v>
      </c>
      <c r="G158" s="53" t="s">
        <v>70</v>
      </c>
      <c r="H158" s="53" t="s">
        <v>25</v>
      </c>
      <c r="I158" s="73">
        <v>43739</v>
      </c>
      <c r="J158" s="74">
        <f ca="1">EFEITO!$J$158*EFEITO!$Y$158</f>
        <v>458771.20455628738</v>
      </c>
      <c r="K158" s="74">
        <f>EFEITO!$L$158*EFEITO!$Z$158</f>
        <v>0</v>
      </c>
      <c r="L158" s="74">
        <f>EFEITO!$N$158*EFEITO!$AA$158</f>
        <v>0</v>
      </c>
      <c r="M158" s="74">
        <f ca="1">$J$158-EFEITO!$K$158*EFEITO!$Y$158</f>
        <v>0</v>
      </c>
      <c r="N158" s="74">
        <f>$K$158-EFEITO!$M$158*EFEITO!$Z$158</f>
        <v>0</v>
      </c>
      <c r="O158" s="74">
        <f>$L$158-EFEITO!$O$158*EFEITO!$AA$158</f>
        <v>0</v>
      </c>
      <c r="P158" s="57"/>
      <c r="Q158" s="57"/>
      <c r="R158" s="57"/>
      <c r="S158" s="57"/>
      <c r="T158" s="57"/>
      <c r="U158" s="57"/>
      <c r="V158" s="57"/>
      <c r="W158" s="57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</row>
    <row r="159" spans="1:36" ht="11.25" customHeight="1" x14ac:dyDescent="0.2">
      <c r="A159" s="53" t="s">
        <v>21</v>
      </c>
      <c r="B159" s="53" t="s">
        <v>43</v>
      </c>
      <c r="C159" s="53" t="s">
        <v>64</v>
      </c>
      <c r="D159" s="53" t="s">
        <v>25</v>
      </c>
      <c r="E159" s="53" t="s">
        <v>25</v>
      </c>
      <c r="F159" s="53" t="s">
        <v>25</v>
      </c>
      <c r="G159" s="53" t="s">
        <v>71</v>
      </c>
      <c r="H159" s="53" t="s">
        <v>25</v>
      </c>
      <c r="I159" s="73">
        <v>43739</v>
      </c>
      <c r="J159" s="74">
        <f ca="1">EFEITO!$J$159*EFEITO!$Y$159</f>
        <v>280242.52853381983</v>
      </c>
      <c r="K159" s="74">
        <f>EFEITO!$L$159*EFEITO!$Z$159</f>
        <v>0</v>
      </c>
      <c r="L159" s="74">
        <f>EFEITO!$N$159*EFEITO!$AA$159</f>
        <v>0</v>
      </c>
      <c r="M159" s="74">
        <f ca="1">$J$159-EFEITO!$K$159*EFEITO!$Y$159</f>
        <v>0</v>
      </c>
      <c r="N159" s="74">
        <f>$K$159-EFEITO!$M$159*EFEITO!$Z$159</f>
        <v>0</v>
      </c>
      <c r="O159" s="74">
        <f>$L$159-EFEITO!$O$159*EFEITO!$AA$159</f>
        <v>0</v>
      </c>
      <c r="P159" s="57"/>
      <c r="Q159" s="57"/>
      <c r="R159" s="57"/>
      <c r="S159" s="57"/>
      <c r="T159" s="57"/>
      <c r="U159" s="57"/>
      <c r="V159" s="57"/>
      <c r="W159" s="57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</row>
    <row r="160" spans="1:36" ht="11.25" customHeight="1" x14ac:dyDescent="0.2">
      <c r="A160" s="53" t="s">
        <v>21</v>
      </c>
      <c r="B160" s="53" t="s">
        <v>43</v>
      </c>
      <c r="C160" s="53" t="s">
        <v>64</v>
      </c>
      <c r="D160" s="53" t="s">
        <v>25</v>
      </c>
      <c r="E160" s="53" t="s">
        <v>25</v>
      </c>
      <c r="F160" s="53" t="s">
        <v>25</v>
      </c>
      <c r="G160" s="53" t="s">
        <v>70</v>
      </c>
      <c r="H160" s="53" t="s">
        <v>25</v>
      </c>
      <c r="I160" s="73">
        <v>43770</v>
      </c>
      <c r="J160" s="74">
        <f ca="1">EFEITO!$J$160*EFEITO!$Y$160</f>
        <v>458771.20455628738</v>
      </c>
      <c r="K160" s="74">
        <f>EFEITO!$L$160*EFEITO!$Z$160</f>
        <v>0</v>
      </c>
      <c r="L160" s="74">
        <f>EFEITO!$N$160*EFEITO!$AA$160</f>
        <v>0</v>
      </c>
      <c r="M160" s="74">
        <f ca="1">$J$160-EFEITO!$K$160*EFEITO!$Y$160</f>
        <v>0</v>
      </c>
      <c r="N160" s="74">
        <f>$K$160-EFEITO!$M$160*EFEITO!$Z$160</f>
        <v>0</v>
      </c>
      <c r="O160" s="74">
        <f>$L$160-EFEITO!$O$160*EFEITO!$AA$160</f>
        <v>0</v>
      </c>
      <c r="P160" s="57"/>
      <c r="Q160" s="57"/>
      <c r="R160" s="57"/>
      <c r="S160" s="57"/>
      <c r="T160" s="57"/>
      <c r="U160" s="57"/>
      <c r="V160" s="57"/>
      <c r="W160" s="57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</row>
    <row r="161" spans="1:36" ht="11.25" customHeight="1" x14ac:dyDescent="0.2">
      <c r="A161" s="53" t="s">
        <v>21</v>
      </c>
      <c r="B161" s="53" t="s">
        <v>43</v>
      </c>
      <c r="C161" s="53" t="s">
        <v>64</v>
      </c>
      <c r="D161" s="53" t="s">
        <v>25</v>
      </c>
      <c r="E161" s="53" t="s">
        <v>25</v>
      </c>
      <c r="F161" s="53" t="s">
        <v>25</v>
      </c>
      <c r="G161" s="53" t="s">
        <v>71</v>
      </c>
      <c r="H161" s="53" t="s">
        <v>25</v>
      </c>
      <c r="I161" s="73">
        <v>43770</v>
      </c>
      <c r="J161" s="74">
        <f ca="1">EFEITO!$J$161*EFEITO!$Y$161</f>
        <v>280242.52853381983</v>
      </c>
      <c r="K161" s="74">
        <f>EFEITO!$L$161*EFEITO!$Z$161</f>
        <v>0</v>
      </c>
      <c r="L161" s="74">
        <f>EFEITO!$N$161*EFEITO!$AA$161</f>
        <v>0</v>
      </c>
      <c r="M161" s="74">
        <f ca="1">$J$161-EFEITO!$K$161*EFEITO!$Y$161</f>
        <v>0</v>
      </c>
      <c r="N161" s="74">
        <f>$K$161-EFEITO!$M$161*EFEITO!$Z$161</f>
        <v>0</v>
      </c>
      <c r="O161" s="74">
        <f>$L$161-EFEITO!$O$161*EFEITO!$AA$161</f>
        <v>0</v>
      </c>
      <c r="P161" s="57"/>
      <c r="Q161" s="57"/>
      <c r="R161" s="57"/>
      <c r="S161" s="57"/>
      <c r="T161" s="57"/>
      <c r="U161" s="57"/>
      <c r="V161" s="57"/>
      <c r="W161" s="57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</row>
    <row r="162" spans="1:36" ht="11.25" customHeight="1" x14ac:dyDescent="0.2">
      <c r="A162" s="53" t="s">
        <v>21</v>
      </c>
      <c r="B162" s="53" t="s">
        <v>43</v>
      </c>
      <c r="C162" s="53" t="s">
        <v>64</v>
      </c>
      <c r="D162" s="53" t="s">
        <v>25</v>
      </c>
      <c r="E162" s="53" t="s">
        <v>25</v>
      </c>
      <c r="F162" s="53" t="s">
        <v>25</v>
      </c>
      <c r="G162" s="53" t="s">
        <v>70</v>
      </c>
      <c r="H162" s="53" t="s">
        <v>25</v>
      </c>
      <c r="I162" s="73">
        <v>43800</v>
      </c>
      <c r="J162" s="74">
        <f ca="1">EFEITO!$J$162*EFEITO!$Y$162</f>
        <v>458771.20455628738</v>
      </c>
      <c r="K162" s="74">
        <f>EFEITO!$L$162*EFEITO!$Z$162</f>
        <v>0</v>
      </c>
      <c r="L162" s="74">
        <f>EFEITO!$N$162*EFEITO!$AA$162</f>
        <v>0</v>
      </c>
      <c r="M162" s="74">
        <f ca="1">$J$162-EFEITO!$K$162*EFEITO!$Y$162</f>
        <v>0</v>
      </c>
      <c r="N162" s="74">
        <f>$K$162-EFEITO!$M$162*EFEITO!$Z$162</f>
        <v>0</v>
      </c>
      <c r="O162" s="74">
        <f>$L$162-EFEITO!$O$162*EFEITO!$AA$162</f>
        <v>0</v>
      </c>
      <c r="P162" s="57"/>
      <c r="Q162" s="57"/>
      <c r="R162" s="57"/>
      <c r="S162" s="57"/>
      <c r="T162" s="57"/>
      <c r="U162" s="57"/>
      <c r="V162" s="57"/>
      <c r="W162" s="57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</row>
    <row r="163" spans="1:36" ht="11.25" customHeight="1" x14ac:dyDescent="0.2">
      <c r="A163" s="53" t="s">
        <v>21</v>
      </c>
      <c r="B163" s="53" t="s">
        <v>43</v>
      </c>
      <c r="C163" s="53" t="s">
        <v>64</v>
      </c>
      <c r="D163" s="53" t="s">
        <v>25</v>
      </c>
      <c r="E163" s="53" t="s">
        <v>25</v>
      </c>
      <c r="F163" s="53" t="s">
        <v>25</v>
      </c>
      <c r="G163" s="53" t="s">
        <v>71</v>
      </c>
      <c r="H163" s="53" t="s">
        <v>25</v>
      </c>
      <c r="I163" s="73">
        <v>43800</v>
      </c>
      <c r="J163" s="74">
        <f ca="1">EFEITO!$J$163*EFEITO!$Y$163</f>
        <v>280242.52853381983</v>
      </c>
      <c r="K163" s="74">
        <f>EFEITO!$L$163*EFEITO!$Z$163</f>
        <v>0</v>
      </c>
      <c r="L163" s="74">
        <f>EFEITO!$N$163*EFEITO!$AA$163</f>
        <v>0</v>
      </c>
      <c r="M163" s="74">
        <f ca="1">$J$163-EFEITO!$K$163*EFEITO!$Y$163</f>
        <v>0</v>
      </c>
      <c r="N163" s="74">
        <f>$K$163-EFEITO!$M$163*EFEITO!$Z$163</f>
        <v>0</v>
      </c>
      <c r="O163" s="74">
        <f>$L$163-EFEITO!$O$163*EFEITO!$AA$163</f>
        <v>0</v>
      </c>
      <c r="P163" s="57"/>
      <c r="Q163" s="57"/>
      <c r="R163" s="57"/>
      <c r="S163" s="57"/>
      <c r="T163" s="57"/>
      <c r="U163" s="57"/>
      <c r="V163" s="57"/>
      <c r="W163" s="57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</row>
    <row r="164" spans="1:36" ht="11.25" customHeight="1" x14ac:dyDescent="0.2">
      <c r="A164" s="53" t="s">
        <v>21</v>
      </c>
      <c r="B164" s="53" t="s">
        <v>43</v>
      </c>
      <c r="C164" s="53" t="s">
        <v>64</v>
      </c>
      <c r="D164" s="53" t="s">
        <v>25</v>
      </c>
      <c r="E164" s="53" t="s">
        <v>25</v>
      </c>
      <c r="F164" s="53" t="s">
        <v>25</v>
      </c>
      <c r="G164" s="53" t="s">
        <v>70</v>
      </c>
      <c r="H164" s="53" t="s">
        <v>25</v>
      </c>
      <c r="I164" s="73">
        <v>43831</v>
      </c>
      <c r="J164" s="74">
        <f ca="1">EFEITO!$J$164*EFEITO!$Y$164</f>
        <v>458771.20455628738</v>
      </c>
      <c r="K164" s="74">
        <f>EFEITO!$L$164*EFEITO!$Z$164</f>
        <v>0</v>
      </c>
      <c r="L164" s="74">
        <f>EFEITO!$N$164*EFEITO!$AA$164</f>
        <v>0</v>
      </c>
      <c r="M164" s="74">
        <f ca="1">$J$164-EFEITO!$K$164*EFEITO!$Y$164</f>
        <v>0</v>
      </c>
      <c r="N164" s="74">
        <f>$K$164-EFEITO!$M$164*EFEITO!$Z$164</f>
        <v>0</v>
      </c>
      <c r="O164" s="74">
        <f>$L$164-EFEITO!$O$164*EFEITO!$AA$164</f>
        <v>0</v>
      </c>
      <c r="P164" s="57"/>
      <c r="Q164" s="57"/>
      <c r="R164" s="57"/>
      <c r="S164" s="57"/>
      <c r="T164" s="57"/>
      <c r="U164" s="57"/>
      <c r="V164" s="57"/>
      <c r="W164" s="57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</row>
    <row r="165" spans="1:36" ht="11.25" customHeight="1" x14ac:dyDescent="0.2">
      <c r="A165" s="53" t="s">
        <v>21</v>
      </c>
      <c r="B165" s="53" t="s">
        <v>43</v>
      </c>
      <c r="C165" s="53" t="s">
        <v>64</v>
      </c>
      <c r="D165" s="53" t="s">
        <v>25</v>
      </c>
      <c r="E165" s="53" t="s">
        <v>25</v>
      </c>
      <c r="F165" s="53" t="s">
        <v>25</v>
      </c>
      <c r="G165" s="53" t="s">
        <v>71</v>
      </c>
      <c r="H165" s="53" t="s">
        <v>25</v>
      </c>
      <c r="I165" s="73">
        <v>43831</v>
      </c>
      <c r="J165" s="74">
        <f ca="1">EFEITO!$J$165*EFEITO!$Y$165</f>
        <v>280242.52853381983</v>
      </c>
      <c r="K165" s="74">
        <f>EFEITO!$L$165*EFEITO!$Z$165</f>
        <v>0</v>
      </c>
      <c r="L165" s="74">
        <f>EFEITO!$N$165*EFEITO!$AA$165</f>
        <v>0</v>
      </c>
      <c r="M165" s="74">
        <f ca="1">$J$165-EFEITO!$K$165*EFEITO!$Y$165</f>
        <v>0</v>
      </c>
      <c r="N165" s="74">
        <f>$K$165-EFEITO!$M$165*EFEITO!$Z$165</f>
        <v>0</v>
      </c>
      <c r="O165" s="74">
        <f>$L$165-EFEITO!$O$165*EFEITO!$AA$165</f>
        <v>0</v>
      </c>
      <c r="P165" s="57"/>
      <c r="Q165" s="57"/>
      <c r="R165" s="57"/>
      <c r="S165" s="57"/>
      <c r="T165" s="57"/>
      <c r="U165" s="57"/>
      <c r="V165" s="57"/>
      <c r="W165" s="57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</row>
    <row r="166" spans="1:36" ht="11.25" customHeight="1" x14ac:dyDescent="0.2">
      <c r="A166" s="53" t="s">
        <v>21</v>
      </c>
      <c r="B166" s="53" t="s">
        <v>43</v>
      </c>
      <c r="C166" s="53" t="s">
        <v>64</v>
      </c>
      <c r="D166" s="53" t="s">
        <v>25</v>
      </c>
      <c r="E166" s="53" t="s">
        <v>25</v>
      </c>
      <c r="F166" s="53" t="s">
        <v>25</v>
      </c>
      <c r="G166" s="53" t="s">
        <v>70</v>
      </c>
      <c r="H166" s="53" t="s">
        <v>25</v>
      </c>
      <c r="I166" s="73">
        <v>43862</v>
      </c>
      <c r="J166" s="74">
        <f ca="1">EFEITO!$J$166*EFEITO!$Y$166</f>
        <v>458771.20455628738</v>
      </c>
      <c r="K166" s="74">
        <f>EFEITO!$L$166*EFEITO!$Z$166</f>
        <v>0</v>
      </c>
      <c r="L166" s="74">
        <f>EFEITO!$N$166*EFEITO!$AA$166</f>
        <v>0</v>
      </c>
      <c r="M166" s="74">
        <f ca="1">$J$166-EFEITO!$K$166*EFEITO!$Y$166</f>
        <v>0</v>
      </c>
      <c r="N166" s="74">
        <f>$K$166-EFEITO!$M$166*EFEITO!$Z$166</f>
        <v>0</v>
      </c>
      <c r="O166" s="74">
        <f>$L$166-EFEITO!$O$166*EFEITO!$AA$166</f>
        <v>0</v>
      </c>
      <c r="P166" s="57"/>
      <c r="Q166" s="57"/>
      <c r="R166" s="57"/>
      <c r="S166" s="57"/>
      <c r="T166" s="57"/>
      <c r="U166" s="57"/>
      <c r="V166" s="57"/>
      <c r="W166" s="57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</row>
    <row r="167" spans="1:36" ht="11.25" customHeight="1" x14ac:dyDescent="0.2">
      <c r="A167" s="53" t="s">
        <v>21</v>
      </c>
      <c r="B167" s="53" t="s">
        <v>43</v>
      </c>
      <c r="C167" s="53" t="s">
        <v>64</v>
      </c>
      <c r="D167" s="53" t="s">
        <v>25</v>
      </c>
      <c r="E167" s="53" t="s">
        <v>25</v>
      </c>
      <c r="F167" s="53" t="s">
        <v>25</v>
      </c>
      <c r="G167" s="53" t="s">
        <v>71</v>
      </c>
      <c r="H167" s="53" t="s">
        <v>25</v>
      </c>
      <c r="I167" s="73">
        <v>43862</v>
      </c>
      <c r="J167" s="74">
        <f ca="1">EFEITO!$J$167*EFEITO!$Y$167</f>
        <v>280242.52853381983</v>
      </c>
      <c r="K167" s="74">
        <f>EFEITO!$L$167*EFEITO!$Z$167</f>
        <v>0</v>
      </c>
      <c r="L167" s="74">
        <f>EFEITO!$N$167*EFEITO!$AA$167</f>
        <v>0</v>
      </c>
      <c r="M167" s="74">
        <f ca="1">$J$167-EFEITO!$K$167*EFEITO!$Y$167</f>
        <v>0</v>
      </c>
      <c r="N167" s="74">
        <f>$K$167-EFEITO!$M$167*EFEITO!$Z$167</f>
        <v>0</v>
      </c>
      <c r="O167" s="74">
        <f>$L$167-EFEITO!$O$167*EFEITO!$AA$167</f>
        <v>0</v>
      </c>
      <c r="P167" s="57"/>
      <c r="Q167" s="57"/>
      <c r="R167" s="57"/>
      <c r="S167" s="57"/>
      <c r="T167" s="57"/>
      <c r="U167" s="57"/>
      <c r="V167" s="57"/>
      <c r="W167" s="57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</row>
    <row r="168" spans="1:36" ht="11.25" customHeight="1" x14ac:dyDescent="0.2">
      <c r="A168" s="53" t="s">
        <v>21</v>
      </c>
      <c r="B168" s="53" t="s">
        <v>43</v>
      </c>
      <c r="C168" s="53" t="s">
        <v>64</v>
      </c>
      <c r="D168" s="53" t="s">
        <v>25</v>
      </c>
      <c r="E168" s="53" t="s">
        <v>25</v>
      </c>
      <c r="F168" s="53" t="s">
        <v>25</v>
      </c>
      <c r="G168" s="53" t="s">
        <v>70</v>
      </c>
      <c r="H168" s="53" t="s">
        <v>25</v>
      </c>
      <c r="I168" s="73">
        <v>43891</v>
      </c>
      <c r="J168" s="74">
        <f ca="1">EFEITO!$J$168*EFEITO!$Y$168</f>
        <v>458771.20455628738</v>
      </c>
      <c r="K168" s="74">
        <f>EFEITO!$L$168*EFEITO!$Z$168</f>
        <v>0</v>
      </c>
      <c r="L168" s="74">
        <f>EFEITO!$N$168*EFEITO!$AA$168</f>
        <v>0</v>
      </c>
      <c r="M168" s="74">
        <f ca="1">$J$168-EFEITO!$K$168*EFEITO!$Y$168</f>
        <v>0</v>
      </c>
      <c r="N168" s="74">
        <f>$K$168-EFEITO!$M$168*EFEITO!$Z$168</f>
        <v>0</v>
      </c>
      <c r="O168" s="74">
        <f>$L$168-EFEITO!$O$168*EFEITO!$AA$168</f>
        <v>0</v>
      </c>
      <c r="P168" s="57"/>
      <c r="Q168" s="57"/>
      <c r="R168" s="57"/>
      <c r="S168" s="57"/>
      <c r="T168" s="57"/>
      <c r="U168" s="57"/>
      <c r="V168" s="57"/>
      <c r="W168" s="57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</row>
    <row r="169" spans="1:36" ht="11.25" customHeight="1" x14ac:dyDescent="0.2">
      <c r="A169" s="53" t="s">
        <v>21</v>
      </c>
      <c r="B169" s="53" t="s">
        <v>43</v>
      </c>
      <c r="C169" s="53" t="s">
        <v>64</v>
      </c>
      <c r="D169" s="53" t="s">
        <v>25</v>
      </c>
      <c r="E169" s="53" t="s">
        <v>25</v>
      </c>
      <c r="F169" s="53" t="s">
        <v>25</v>
      </c>
      <c r="G169" s="53" t="s">
        <v>71</v>
      </c>
      <c r="H169" s="53" t="s">
        <v>25</v>
      </c>
      <c r="I169" s="73">
        <v>43891</v>
      </c>
      <c r="J169" s="74">
        <f ca="1">EFEITO!$J$169*EFEITO!$Y$169</f>
        <v>280242.52853381983</v>
      </c>
      <c r="K169" s="74">
        <f>EFEITO!$L$169*EFEITO!$Z$169</f>
        <v>0</v>
      </c>
      <c r="L169" s="74">
        <f>EFEITO!$N$169*EFEITO!$AA$169</f>
        <v>0</v>
      </c>
      <c r="M169" s="74">
        <f ca="1">$J$169-EFEITO!$K$169*EFEITO!$Y$169</f>
        <v>0</v>
      </c>
      <c r="N169" s="74">
        <f>$K$169-EFEITO!$M$169*EFEITO!$Z$169</f>
        <v>0</v>
      </c>
      <c r="O169" s="74">
        <f>$L$169-EFEITO!$O$169*EFEITO!$AA$169</f>
        <v>0</v>
      </c>
      <c r="P169" s="57"/>
      <c r="Q169" s="57"/>
      <c r="R169" s="57"/>
      <c r="S169" s="57"/>
      <c r="T169" s="57"/>
      <c r="U169" s="57"/>
      <c r="V169" s="57"/>
      <c r="W169" s="57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</row>
    <row r="170" spans="1:36" ht="11.25" customHeight="1" x14ac:dyDescent="0.2">
      <c r="A170" s="53" t="s">
        <v>21</v>
      </c>
      <c r="B170" s="53" t="s">
        <v>43</v>
      </c>
      <c r="C170" s="53" t="s">
        <v>64</v>
      </c>
      <c r="D170" s="53" t="s">
        <v>25</v>
      </c>
      <c r="E170" s="53" t="s">
        <v>25</v>
      </c>
      <c r="F170" s="53" t="s">
        <v>25</v>
      </c>
      <c r="G170" s="53" t="s">
        <v>70</v>
      </c>
      <c r="H170" s="53" t="s">
        <v>25</v>
      </c>
      <c r="I170" s="73">
        <v>43922</v>
      </c>
      <c r="J170" s="74">
        <f ca="1">EFEITO!$J$170*EFEITO!$Y$170</f>
        <v>458771.20455628738</v>
      </c>
      <c r="K170" s="74">
        <f>EFEITO!$L$170*EFEITO!$Z$170</f>
        <v>0</v>
      </c>
      <c r="L170" s="74">
        <f>EFEITO!$N$170*EFEITO!$AA$170</f>
        <v>0</v>
      </c>
      <c r="M170" s="74">
        <f ca="1">$J$170-EFEITO!$K$170*EFEITO!$Y$170</f>
        <v>0</v>
      </c>
      <c r="N170" s="74">
        <f>$K$170-EFEITO!$M$170*EFEITO!$Z$170</f>
        <v>0</v>
      </c>
      <c r="O170" s="74">
        <f>$L$170-EFEITO!$O$170*EFEITO!$AA$170</f>
        <v>0</v>
      </c>
      <c r="P170" s="57"/>
      <c r="Q170" s="57"/>
      <c r="R170" s="57"/>
      <c r="S170" s="57"/>
      <c r="T170" s="57"/>
      <c r="U170" s="57"/>
      <c r="V170" s="57"/>
      <c r="W170" s="57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</row>
    <row r="171" spans="1:36" ht="11.25" customHeight="1" x14ac:dyDescent="0.2">
      <c r="A171" s="53" t="s">
        <v>21</v>
      </c>
      <c r="B171" s="53" t="s">
        <v>43</v>
      </c>
      <c r="C171" s="53" t="s">
        <v>64</v>
      </c>
      <c r="D171" s="53" t="s">
        <v>25</v>
      </c>
      <c r="E171" s="53" t="s">
        <v>25</v>
      </c>
      <c r="F171" s="53" t="s">
        <v>25</v>
      </c>
      <c r="G171" s="53" t="s">
        <v>71</v>
      </c>
      <c r="H171" s="53" t="s">
        <v>25</v>
      </c>
      <c r="I171" s="73">
        <v>43922</v>
      </c>
      <c r="J171" s="74">
        <f ca="1">EFEITO!$J$171*EFEITO!$Y$171</f>
        <v>280242.52853381983</v>
      </c>
      <c r="K171" s="74">
        <f>EFEITO!$L$171*EFEITO!$Z$171</f>
        <v>0</v>
      </c>
      <c r="L171" s="74">
        <f>EFEITO!$N$171*EFEITO!$AA$171</f>
        <v>0</v>
      </c>
      <c r="M171" s="74">
        <f ca="1">$J$171-EFEITO!$K$171*EFEITO!$Y$171</f>
        <v>0</v>
      </c>
      <c r="N171" s="74">
        <f>$K$171-EFEITO!$M$171*EFEITO!$Z$171</f>
        <v>0</v>
      </c>
      <c r="O171" s="74">
        <f>$L$171-EFEITO!$O$171*EFEITO!$AA$171</f>
        <v>0</v>
      </c>
      <c r="P171" s="57"/>
      <c r="Q171" s="57"/>
      <c r="R171" s="57"/>
      <c r="S171" s="57"/>
      <c r="T171" s="57"/>
      <c r="U171" s="57"/>
      <c r="V171" s="57"/>
      <c r="W171" s="57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</row>
    <row r="172" spans="1:36" ht="11.25" customHeight="1" x14ac:dyDescent="0.2">
      <c r="A172" s="53" t="s">
        <v>21</v>
      </c>
      <c r="B172" s="53" t="s">
        <v>43</v>
      </c>
      <c r="C172" s="53" t="s">
        <v>64</v>
      </c>
      <c r="D172" s="53" t="s">
        <v>25</v>
      </c>
      <c r="E172" s="53" t="s">
        <v>25</v>
      </c>
      <c r="F172" s="53" t="s">
        <v>25</v>
      </c>
      <c r="G172" s="53" t="s">
        <v>70</v>
      </c>
      <c r="H172" s="53" t="s">
        <v>25</v>
      </c>
      <c r="I172" s="73">
        <v>43952</v>
      </c>
      <c r="J172" s="74">
        <f ca="1">EFEITO!$J$172*EFEITO!$Y$172</f>
        <v>458771.20455628738</v>
      </c>
      <c r="K172" s="74">
        <f>EFEITO!$L$172*EFEITO!$Z$172</f>
        <v>0</v>
      </c>
      <c r="L172" s="74">
        <f>EFEITO!$N$172*EFEITO!$AA$172</f>
        <v>0</v>
      </c>
      <c r="M172" s="74">
        <f ca="1">$J$172-EFEITO!$K$172*EFEITO!$Y$172</f>
        <v>0</v>
      </c>
      <c r="N172" s="74">
        <f>$K$172-EFEITO!$M$172*EFEITO!$Z$172</f>
        <v>0</v>
      </c>
      <c r="O172" s="74">
        <f>$L$172-EFEITO!$O$172*EFEITO!$AA$172</f>
        <v>0</v>
      </c>
      <c r="P172" s="57"/>
      <c r="Q172" s="57"/>
      <c r="R172" s="57"/>
      <c r="S172" s="57"/>
      <c r="T172" s="57"/>
      <c r="U172" s="57"/>
      <c r="V172" s="57"/>
      <c r="W172" s="57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</row>
    <row r="173" spans="1:36" ht="11.25" customHeight="1" x14ac:dyDescent="0.2">
      <c r="A173" s="53" t="s">
        <v>21</v>
      </c>
      <c r="B173" s="53" t="s">
        <v>43</v>
      </c>
      <c r="C173" s="53" t="s">
        <v>64</v>
      </c>
      <c r="D173" s="53" t="s">
        <v>25</v>
      </c>
      <c r="E173" s="53" t="s">
        <v>25</v>
      </c>
      <c r="F173" s="53" t="s">
        <v>25</v>
      </c>
      <c r="G173" s="53" t="s">
        <v>71</v>
      </c>
      <c r="H173" s="53" t="s">
        <v>25</v>
      </c>
      <c r="I173" s="73">
        <v>43952</v>
      </c>
      <c r="J173" s="74">
        <f ca="1">EFEITO!$J$173*EFEITO!$Y$173</f>
        <v>280242.52853381983</v>
      </c>
      <c r="K173" s="74">
        <f>EFEITO!$L$173*EFEITO!$Z$173</f>
        <v>0</v>
      </c>
      <c r="L173" s="74">
        <f>EFEITO!$N$173*EFEITO!$AA$173</f>
        <v>0</v>
      </c>
      <c r="M173" s="74">
        <f ca="1">$J$173-EFEITO!$K$173*EFEITO!$Y$173</f>
        <v>0</v>
      </c>
      <c r="N173" s="74">
        <f>$K$173-EFEITO!$M$173*EFEITO!$Z$173</f>
        <v>0</v>
      </c>
      <c r="O173" s="74">
        <f>$L$173-EFEITO!$O$173*EFEITO!$AA$173</f>
        <v>0</v>
      </c>
      <c r="P173" s="57"/>
      <c r="Q173" s="57"/>
      <c r="R173" s="57"/>
      <c r="S173" s="57"/>
      <c r="T173" s="57"/>
      <c r="U173" s="57"/>
      <c r="V173" s="57"/>
      <c r="W173" s="57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</row>
    <row r="174" spans="1:36" ht="11.25" customHeight="1" x14ac:dyDescent="0.2">
      <c r="A174" s="53" t="s">
        <v>21</v>
      </c>
      <c r="B174" s="53" t="s">
        <v>43</v>
      </c>
      <c r="C174" s="53" t="s">
        <v>64</v>
      </c>
      <c r="D174" s="53" t="s">
        <v>25</v>
      </c>
      <c r="E174" s="53" t="s">
        <v>25</v>
      </c>
      <c r="F174" s="53" t="s">
        <v>25</v>
      </c>
      <c r="G174" s="53" t="s">
        <v>70</v>
      </c>
      <c r="H174" s="53" t="s">
        <v>25</v>
      </c>
      <c r="I174" s="73">
        <v>43983</v>
      </c>
      <c r="J174" s="74">
        <f ca="1">EFEITO!$J$174*EFEITO!$Y$174</f>
        <v>458771.20455628738</v>
      </c>
      <c r="K174" s="74">
        <f>EFEITO!$L$174*EFEITO!$Z$174</f>
        <v>0</v>
      </c>
      <c r="L174" s="74">
        <f>EFEITO!$N$174*EFEITO!$AA$174</f>
        <v>0</v>
      </c>
      <c r="M174" s="74">
        <f ca="1">$J$174-EFEITO!$K$174*EFEITO!$Y$174</f>
        <v>0</v>
      </c>
      <c r="N174" s="74">
        <f>$K$174-EFEITO!$M$174*EFEITO!$Z$174</f>
        <v>0</v>
      </c>
      <c r="O174" s="74">
        <f>$L$174-EFEITO!$O$174*EFEITO!$AA$174</f>
        <v>0</v>
      </c>
      <c r="P174" s="57"/>
      <c r="Q174" s="57"/>
      <c r="R174" s="57"/>
      <c r="S174" s="57"/>
      <c r="T174" s="57"/>
      <c r="U174" s="57"/>
      <c r="V174" s="57"/>
      <c r="W174" s="57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</row>
    <row r="175" spans="1:36" ht="11.25" customHeight="1" x14ac:dyDescent="0.2">
      <c r="A175" s="53" t="s">
        <v>21</v>
      </c>
      <c r="B175" s="53" t="s">
        <v>43</v>
      </c>
      <c r="C175" s="53" t="s">
        <v>64</v>
      </c>
      <c r="D175" s="53" t="s">
        <v>25</v>
      </c>
      <c r="E175" s="53" t="s">
        <v>25</v>
      </c>
      <c r="F175" s="53" t="s">
        <v>25</v>
      </c>
      <c r="G175" s="53" t="s">
        <v>71</v>
      </c>
      <c r="H175" s="53" t="s">
        <v>25</v>
      </c>
      <c r="I175" s="73">
        <v>43983</v>
      </c>
      <c r="J175" s="74">
        <f ca="1">EFEITO!$J$175*EFEITO!$Y$175</f>
        <v>280242.52853381983</v>
      </c>
      <c r="K175" s="74">
        <f>EFEITO!$L$175*EFEITO!$Z$175</f>
        <v>0</v>
      </c>
      <c r="L175" s="74">
        <f>EFEITO!$N$175*EFEITO!$AA$175</f>
        <v>0</v>
      </c>
      <c r="M175" s="74">
        <f ca="1">$J$175-EFEITO!$K$175*EFEITO!$Y$175</f>
        <v>0</v>
      </c>
      <c r="N175" s="74">
        <f>$K$175-EFEITO!$M$175*EFEITO!$Z$175</f>
        <v>0</v>
      </c>
      <c r="O175" s="74">
        <f>$L$175-EFEITO!$O$175*EFEITO!$AA$175</f>
        <v>0</v>
      </c>
      <c r="P175" s="57"/>
      <c r="Q175" s="57"/>
      <c r="R175" s="57"/>
      <c r="S175" s="57"/>
      <c r="T175" s="57"/>
      <c r="U175" s="57"/>
      <c r="V175" s="57"/>
      <c r="W175" s="57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</row>
    <row r="176" spans="1:36" ht="11.25" customHeight="1" x14ac:dyDescent="0.2">
      <c r="A176" s="53" t="s">
        <v>21</v>
      </c>
      <c r="B176" s="53" t="s">
        <v>43</v>
      </c>
      <c r="C176" s="53" t="s">
        <v>64</v>
      </c>
      <c r="D176" s="53" t="s">
        <v>25</v>
      </c>
      <c r="E176" s="53" t="s">
        <v>25</v>
      </c>
      <c r="F176" s="53" t="s">
        <v>25</v>
      </c>
      <c r="G176" s="53" t="s">
        <v>70</v>
      </c>
      <c r="H176" s="53" t="s">
        <v>25</v>
      </c>
      <c r="I176" s="73">
        <v>44013</v>
      </c>
      <c r="J176" s="74">
        <f ca="1">EFEITO!$J$176*EFEITO!$Y$176</f>
        <v>458771.20455628738</v>
      </c>
      <c r="K176" s="74">
        <f>EFEITO!$L$176*EFEITO!$Z$176</f>
        <v>0</v>
      </c>
      <c r="L176" s="74">
        <f>EFEITO!$N$176*EFEITO!$AA$176</f>
        <v>0</v>
      </c>
      <c r="M176" s="74">
        <f ca="1">$J$176-EFEITO!$K$176*EFEITO!$Y$176</f>
        <v>0</v>
      </c>
      <c r="N176" s="74">
        <f>$K$176-EFEITO!$M$176*EFEITO!$Z$176</f>
        <v>0</v>
      </c>
      <c r="O176" s="74">
        <f>$L$176-EFEITO!$O$176*EFEITO!$AA$176</f>
        <v>0</v>
      </c>
      <c r="P176" s="57"/>
      <c r="Q176" s="57"/>
      <c r="R176" s="57"/>
      <c r="S176" s="57"/>
      <c r="T176" s="57"/>
      <c r="U176" s="57"/>
      <c r="V176" s="57"/>
      <c r="W176" s="57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</row>
    <row r="177" spans="1:36" ht="11.25" customHeight="1" x14ac:dyDescent="0.2">
      <c r="A177" s="53" t="s">
        <v>21</v>
      </c>
      <c r="B177" s="53" t="s">
        <v>43</v>
      </c>
      <c r="C177" s="53" t="s">
        <v>64</v>
      </c>
      <c r="D177" s="53" t="s">
        <v>25</v>
      </c>
      <c r="E177" s="53" t="s">
        <v>25</v>
      </c>
      <c r="F177" s="53" t="s">
        <v>25</v>
      </c>
      <c r="G177" s="53" t="s">
        <v>71</v>
      </c>
      <c r="H177" s="53" t="s">
        <v>25</v>
      </c>
      <c r="I177" s="73">
        <v>44013</v>
      </c>
      <c r="J177" s="74">
        <f ca="1">EFEITO!$J$177*EFEITO!$Y$177</f>
        <v>280242.52853381983</v>
      </c>
      <c r="K177" s="74">
        <f>EFEITO!$L$177*EFEITO!$Z$177</f>
        <v>0</v>
      </c>
      <c r="L177" s="74">
        <f>EFEITO!$N$177*EFEITO!$AA$177</f>
        <v>0</v>
      </c>
      <c r="M177" s="74">
        <f ca="1">$J$177-EFEITO!$K$177*EFEITO!$Y$177</f>
        <v>0</v>
      </c>
      <c r="N177" s="74">
        <f>$K$177-EFEITO!$M$177*EFEITO!$Z$177</f>
        <v>0</v>
      </c>
      <c r="O177" s="74">
        <f>$L$177-EFEITO!$O$177*EFEITO!$AA$177</f>
        <v>0</v>
      </c>
      <c r="P177" s="57"/>
      <c r="Q177" s="57"/>
      <c r="R177" s="57"/>
      <c r="S177" s="57"/>
      <c r="T177" s="57"/>
      <c r="U177" s="57"/>
      <c r="V177" s="57"/>
      <c r="W177" s="57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</row>
    <row r="178" spans="1:36" ht="11.25" customHeight="1" x14ac:dyDescent="0.2">
      <c r="A178" s="53" t="s">
        <v>21</v>
      </c>
      <c r="B178" s="53" t="s">
        <v>43</v>
      </c>
      <c r="C178" s="53" t="s">
        <v>64</v>
      </c>
      <c r="D178" s="53" t="s">
        <v>25</v>
      </c>
      <c r="E178" s="53" t="s">
        <v>25</v>
      </c>
      <c r="F178" s="53" t="s">
        <v>25</v>
      </c>
      <c r="G178" s="53" t="s">
        <v>70</v>
      </c>
      <c r="H178" s="53" t="s">
        <v>25</v>
      </c>
      <c r="I178" s="73">
        <v>44044</v>
      </c>
      <c r="J178" s="74">
        <f ca="1">EFEITO!$J$178*EFEITO!$Y$178</f>
        <v>458771.20455628738</v>
      </c>
      <c r="K178" s="74">
        <f>EFEITO!$L$178*EFEITO!$Z$178</f>
        <v>0</v>
      </c>
      <c r="L178" s="74">
        <f>EFEITO!$N$178*EFEITO!$AA$178</f>
        <v>0</v>
      </c>
      <c r="M178" s="74">
        <f ca="1">$J$178-EFEITO!$K$178*EFEITO!$Y$178</f>
        <v>0</v>
      </c>
      <c r="N178" s="74">
        <f>$K$178-EFEITO!$M$178*EFEITO!$Z$178</f>
        <v>0</v>
      </c>
      <c r="O178" s="74">
        <f>$L$178-EFEITO!$O$178*EFEITO!$AA$178</f>
        <v>0</v>
      </c>
      <c r="P178" s="57"/>
      <c r="Q178" s="57"/>
      <c r="R178" s="57"/>
      <c r="S178" s="57"/>
      <c r="T178" s="57"/>
      <c r="U178" s="57"/>
      <c r="V178" s="57"/>
      <c r="W178" s="57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</row>
    <row r="179" spans="1:36" ht="11.25" customHeight="1" x14ac:dyDescent="0.2">
      <c r="A179" s="53" t="s">
        <v>21</v>
      </c>
      <c r="B179" s="53" t="s">
        <v>43</v>
      </c>
      <c r="C179" s="53" t="s">
        <v>64</v>
      </c>
      <c r="D179" s="53" t="s">
        <v>25</v>
      </c>
      <c r="E179" s="53" t="s">
        <v>25</v>
      </c>
      <c r="F179" s="53" t="s">
        <v>25</v>
      </c>
      <c r="G179" s="53" t="s">
        <v>71</v>
      </c>
      <c r="H179" s="53" t="s">
        <v>25</v>
      </c>
      <c r="I179" s="73">
        <v>44044</v>
      </c>
      <c r="J179" s="74">
        <f ca="1">EFEITO!$J$179*EFEITO!$Y$179</f>
        <v>280242.52853381983</v>
      </c>
      <c r="K179" s="74">
        <f>EFEITO!$L$179*EFEITO!$Z$179</f>
        <v>0</v>
      </c>
      <c r="L179" s="74">
        <f>EFEITO!$N$179*EFEITO!$AA$179</f>
        <v>0</v>
      </c>
      <c r="M179" s="74">
        <f ca="1">$J$179-EFEITO!$K$179*EFEITO!$Y$179</f>
        <v>0</v>
      </c>
      <c r="N179" s="74">
        <f>$K$179-EFEITO!$M$179*EFEITO!$Z$179</f>
        <v>0</v>
      </c>
      <c r="O179" s="74">
        <f>$L$179-EFEITO!$O$179*EFEITO!$AA$179</f>
        <v>0</v>
      </c>
      <c r="P179" s="57"/>
      <c r="Q179" s="57"/>
      <c r="R179" s="57"/>
      <c r="S179" s="57"/>
      <c r="T179" s="57"/>
      <c r="U179" s="57"/>
      <c r="V179" s="57"/>
      <c r="W179" s="57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</row>
    <row r="180" spans="1:36" ht="11.25" customHeight="1" x14ac:dyDescent="0.2">
      <c r="A180" s="53" t="s">
        <v>59</v>
      </c>
      <c r="B180" s="53" t="s">
        <v>43</v>
      </c>
      <c r="C180" s="53" t="s">
        <v>64</v>
      </c>
      <c r="D180" s="53" t="s">
        <v>25</v>
      </c>
      <c r="E180" s="53" t="s">
        <v>25</v>
      </c>
      <c r="F180" s="53" t="s">
        <v>25</v>
      </c>
      <c r="G180" s="53" t="s">
        <v>70</v>
      </c>
      <c r="H180" s="53" t="s">
        <v>25</v>
      </c>
      <c r="I180" s="73">
        <v>44075</v>
      </c>
      <c r="J180" s="74">
        <f ca="1">EFEITO!$J$180*EFEITO!$Y$180</f>
        <v>458771.20455628738</v>
      </c>
      <c r="K180" s="74">
        <f>EFEITO!$L$180*EFEITO!$Z$180</f>
        <v>0</v>
      </c>
      <c r="L180" s="74">
        <f>EFEITO!$N$180*EFEITO!$AA$180</f>
        <v>0</v>
      </c>
      <c r="M180" s="74">
        <f ca="1">$J$180-EFEITO!$K$180*EFEITO!$Y$180</f>
        <v>0</v>
      </c>
      <c r="N180" s="74">
        <f>$K$180-EFEITO!$M$180*EFEITO!$Z$180</f>
        <v>0</v>
      </c>
      <c r="O180" s="74">
        <f>$L$180-EFEITO!$O$180*EFEITO!$AA$180</f>
        <v>0</v>
      </c>
      <c r="P180" s="57"/>
      <c r="Q180" s="57"/>
      <c r="R180" s="57"/>
      <c r="S180" s="57"/>
      <c r="T180" s="57"/>
      <c r="U180" s="57"/>
      <c r="V180" s="57"/>
      <c r="W180" s="57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</row>
    <row r="181" spans="1:36" ht="11.25" customHeight="1" x14ac:dyDescent="0.2">
      <c r="A181" s="53" t="s">
        <v>59</v>
      </c>
      <c r="B181" s="53" t="s">
        <v>43</v>
      </c>
      <c r="C181" s="53" t="s">
        <v>64</v>
      </c>
      <c r="D181" s="53" t="s">
        <v>25</v>
      </c>
      <c r="E181" s="53" t="s">
        <v>25</v>
      </c>
      <c r="F181" s="53" t="s">
        <v>25</v>
      </c>
      <c r="G181" s="53" t="s">
        <v>71</v>
      </c>
      <c r="H181" s="53" t="s">
        <v>25</v>
      </c>
      <c r="I181" s="73">
        <v>44075</v>
      </c>
      <c r="J181" s="74">
        <f ca="1">EFEITO!$J$181*EFEITO!$Y$181</f>
        <v>280242.52853381983</v>
      </c>
      <c r="K181" s="74">
        <f>EFEITO!$L$181*EFEITO!$Z$181</f>
        <v>0</v>
      </c>
      <c r="L181" s="74">
        <f>EFEITO!$N$181*EFEITO!$AA$181</f>
        <v>0</v>
      </c>
      <c r="M181" s="74">
        <f ca="1">$J$181-EFEITO!$K$181*EFEITO!$Y$181</f>
        <v>0</v>
      </c>
      <c r="N181" s="74">
        <f>$K$181-EFEITO!$M$181*EFEITO!$Z$181</f>
        <v>0</v>
      </c>
      <c r="O181" s="74">
        <f>$L$181-EFEITO!$O$181*EFEITO!$AA$181</f>
        <v>0</v>
      </c>
      <c r="P181" s="57"/>
      <c r="Q181" s="57"/>
      <c r="R181" s="57"/>
      <c r="S181" s="57"/>
      <c r="T181" s="57"/>
      <c r="U181" s="57"/>
      <c r="V181" s="57"/>
      <c r="W181" s="57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</row>
    <row r="182" spans="1:36" ht="11.25" customHeight="1" x14ac:dyDescent="0.2">
      <c r="A182" s="53" t="s">
        <v>21</v>
      </c>
      <c r="B182" s="53" t="s">
        <v>45</v>
      </c>
      <c r="C182" s="53" t="s">
        <v>41</v>
      </c>
      <c r="D182" s="53" t="s">
        <v>40</v>
      </c>
      <c r="E182" s="53" t="s">
        <v>25</v>
      </c>
      <c r="F182" s="53" t="s">
        <v>63</v>
      </c>
      <c r="G182" s="53" t="s">
        <v>25</v>
      </c>
      <c r="H182" s="53" t="s">
        <v>36</v>
      </c>
      <c r="I182" s="73">
        <v>43739</v>
      </c>
      <c r="J182" s="74">
        <f ca="1">EFEITO!$J$182*EFEITO!$Y$182</f>
        <v>38938.012605420867</v>
      </c>
      <c r="K182" s="74">
        <f ca="1">EFEITO!$L$182*EFEITO!$Z$182</f>
        <v>0</v>
      </c>
      <c r="L182" s="74">
        <f>EFEITO!$N$182*EFEITO!$AA$182</f>
        <v>0</v>
      </c>
      <c r="M182" s="74">
        <f ca="1">$J$182-EFEITO!$K$182*EFEITO!$Y$182</f>
        <v>14542.834894498683</v>
      </c>
      <c r="N182" s="74">
        <f ca="1">$K$182-EFEITO!$M$182*EFEITO!$Z$182</f>
        <v>0</v>
      </c>
      <c r="O182" s="74">
        <f>$L$182-EFEITO!$O$182*EFEITO!$AA$182</f>
        <v>0</v>
      </c>
      <c r="P182" s="57"/>
      <c r="Q182" s="57"/>
      <c r="R182" s="57"/>
      <c r="S182" s="57"/>
      <c r="T182" s="57"/>
      <c r="U182" s="57"/>
      <c r="V182" s="57"/>
      <c r="W182" s="57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</row>
    <row r="183" spans="1:36" ht="11.25" customHeight="1" x14ac:dyDescent="0.2">
      <c r="A183" s="53" t="s">
        <v>21</v>
      </c>
      <c r="B183" s="53" t="s">
        <v>45</v>
      </c>
      <c r="C183" s="53" t="s">
        <v>41</v>
      </c>
      <c r="D183" s="53" t="s">
        <v>40</v>
      </c>
      <c r="E183" s="53" t="s">
        <v>25</v>
      </c>
      <c r="F183" s="53" t="s">
        <v>63</v>
      </c>
      <c r="G183" s="53" t="s">
        <v>25</v>
      </c>
      <c r="H183" s="53" t="s">
        <v>36</v>
      </c>
      <c r="I183" s="73">
        <v>43770</v>
      </c>
      <c r="J183" s="74">
        <f ca="1">EFEITO!$J$183*EFEITO!$Y$183</f>
        <v>38938.012605420867</v>
      </c>
      <c r="K183" s="74">
        <f ca="1">EFEITO!$L$183*EFEITO!$Z$183</f>
        <v>0</v>
      </c>
      <c r="L183" s="74">
        <f>EFEITO!$N$183*EFEITO!$AA$183</f>
        <v>0</v>
      </c>
      <c r="M183" s="74">
        <f ca="1">$J$183-EFEITO!$K$183*EFEITO!$Y$183</f>
        <v>14498.989134784475</v>
      </c>
      <c r="N183" s="74">
        <f ca="1">$K$183-EFEITO!$M$183*EFEITO!$Z$183</f>
        <v>0</v>
      </c>
      <c r="O183" s="74">
        <f>$L$183-EFEITO!$O$183*EFEITO!$AA$183</f>
        <v>0</v>
      </c>
      <c r="P183" s="57"/>
      <c r="Q183" s="57"/>
      <c r="R183" s="57"/>
      <c r="S183" s="57"/>
      <c r="T183" s="57"/>
      <c r="U183" s="57"/>
      <c r="V183" s="57"/>
      <c r="W183" s="57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</row>
    <row r="184" spans="1:36" ht="11.25" customHeight="1" x14ac:dyDescent="0.2">
      <c r="A184" s="53" t="s">
        <v>21</v>
      </c>
      <c r="B184" s="53" t="s">
        <v>45</v>
      </c>
      <c r="C184" s="53" t="s">
        <v>41</v>
      </c>
      <c r="D184" s="53" t="s">
        <v>40</v>
      </c>
      <c r="E184" s="53" t="s">
        <v>25</v>
      </c>
      <c r="F184" s="53" t="s">
        <v>63</v>
      </c>
      <c r="G184" s="53" t="s">
        <v>25</v>
      </c>
      <c r="H184" s="53" t="s">
        <v>36</v>
      </c>
      <c r="I184" s="73">
        <v>43800</v>
      </c>
      <c r="J184" s="74">
        <f ca="1">EFEITO!$J$184*EFEITO!$Y$184</f>
        <v>38938.012605420867</v>
      </c>
      <c r="K184" s="74">
        <f ca="1">EFEITO!$L$184*EFEITO!$Z$184</f>
        <v>0</v>
      </c>
      <c r="L184" s="74">
        <f>EFEITO!$N$184*EFEITO!$AA$184</f>
        <v>0</v>
      </c>
      <c r="M184" s="74">
        <f ca="1">$J$184-EFEITO!$K$184*EFEITO!$Y$184</f>
        <v>14420.895835463296</v>
      </c>
      <c r="N184" s="74">
        <f ca="1">$K$184-EFEITO!$M$184*EFEITO!$Z$184</f>
        <v>0</v>
      </c>
      <c r="O184" s="74">
        <f>$L$184-EFEITO!$O$184*EFEITO!$AA$184</f>
        <v>0</v>
      </c>
      <c r="P184" s="57"/>
      <c r="Q184" s="57"/>
      <c r="R184" s="57"/>
      <c r="S184" s="57"/>
      <c r="T184" s="57"/>
      <c r="U184" s="57"/>
      <c r="V184" s="57"/>
      <c r="W184" s="57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</row>
    <row r="185" spans="1:36" ht="11.25" customHeight="1" x14ac:dyDescent="0.2">
      <c r="A185" s="53" t="s">
        <v>21</v>
      </c>
      <c r="B185" s="53" t="s">
        <v>45</v>
      </c>
      <c r="C185" s="53" t="s">
        <v>41</v>
      </c>
      <c r="D185" s="53" t="s">
        <v>40</v>
      </c>
      <c r="E185" s="53" t="s">
        <v>25</v>
      </c>
      <c r="F185" s="53" t="s">
        <v>63</v>
      </c>
      <c r="G185" s="53" t="s">
        <v>25</v>
      </c>
      <c r="H185" s="53" t="s">
        <v>36</v>
      </c>
      <c r="I185" s="73">
        <v>43831</v>
      </c>
      <c r="J185" s="74">
        <f ca="1">EFEITO!$J$185*EFEITO!$Y$185</f>
        <v>38938.012605420867</v>
      </c>
      <c r="K185" s="74">
        <f ca="1">EFEITO!$L$185*EFEITO!$Z$185</f>
        <v>0</v>
      </c>
      <c r="L185" s="74">
        <f>EFEITO!$N$185*EFEITO!$AA$185</f>
        <v>0</v>
      </c>
      <c r="M185" s="74">
        <f ca="1">$J$185-EFEITO!$K$185*EFEITO!$Y$185</f>
        <v>14668.873347501169</v>
      </c>
      <c r="N185" s="74">
        <f ca="1">$K$185-EFEITO!$M$185*EFEITO!$Z$185</f>
        <v>0</v>
      </c>
      <c r="O185" s="74">
        <f>$L$185-EFEITO!$O$185*EFEITO!$AA$185</f>
        <v>0</v>
      </c>
      <c r="P185" s="57"/>
      <c r="Q185" s="57"/>
      <c r="R185" s="57"/>
      <c r="S185" s="57"/>
      <c r="T185" s="57"/>
      <c r="U185" s="57"/>
      <c r="V185" s="57"/>
      <c r="W185" s="57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</row>
    <row r="186" spans="1:36" ht="11.25" customHeight="1" x14ac:dyDescent="0.2">
      <c r="A186" s="53" t="s">
        <v>21</v>
      </c>
      <c r="B186" s="53" t="s">
        <v>45</v>
      </c>
      <c r="C186" s="53" t="s">
        <v>41</v>
      </c>
      <c r="D186" s="53" t="s">
        <v>40</v>
      </c>
      <c r="E186" s="53" t="s">
        <v>25</v>
      </c>
      <c r="F186" s="53" t="s">
        <v>63</v>
      </c>
      <c r="G186" s="53" t="s">
        <v>25</v>
      </c>
      <c r="H186" s="53" t="s">
        <v>36</v>
      </c>
      <c r="I186" s="73">
        <v>43862</v>
      </c>
      <c r="J186" s="74">
        <f ca="1">EFEITO!$J$186*EFEITO!$Y$186</f>
        <v>38938.012605420867</v>
      </c>
      <c r="K186" s="74">
        <f ca="1">EFEITO!$L$186*EFEITO!$Z$186</f>
        <v>0</v>
      </c>
      <c r="L186" s="74">
        <f>EFEITO!$N$186*EFEITO!$AA$186</f>
        <v>0</v>
      </c>
      <c r="M186" s="74">
        <f ca="1">$J$186-EFEITO!$K$186*EFEITO!$Y$186</f>
        <v>14676.190578829977</v>
      </c>
      <c r="N186" s="74">
        <f ca="1">$K$186-EFEITO!$M$186*EFEITO!$Z$186</f>
        <v>0</v>
      </c>
      <c r="O186" s="74">
        <f>$L$186-EFEITO!$O$186*EFEITO!$AA$186</f>
        <v>0</v>
      </c>
      <c r="P186" s="57"/>
      <c r="Q186" s="57"/>
      <c r="R186" s="57"/>
      <c r="S186" s="57"/>
      <c r="T186" s="57"/>
      <c r="U186" s="57"/>
      <c r="V186" s="57"/>
      <c r="W186" s="57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</row>
    <row r="187" spans="1:36" ht="11.25" customHeight="1" x14ac:dyDescent="0.2">
      <c r="A187" s="53" t="s">
        <v>21</v>
      </c>
      <c r="B187" s="53" t="s">
        <v>45</v>
      </c>
      <c r="C187" s="53" t="s">
        <v>41</v>
      </c>
      <c r="D187" s="53" t="s">
        <v>40</v>
      </c>
      <c r="E187" s="53" t="s">
        <v>25</v>
      </c>
      <c r="F187" s="53" t="s">
        <v>63</v>
      </c>
      <c r="G187" s="53" t="s">
        <v>25</v>
      </c>
      <c r="H187" s="53" t="s">
        <v>36</v>
      </c>
      <c r="I187" s="73">
        <v>43891</v>
      </c>
      <c r="J187" s="74">
        <f ca="1">EFEITO!$J$187*EFEITO!$Y$187</f>
        <v>38938.012605420867</v>
      </c>
      <c r="K187" s="74">
        <f ca="1">EFEITO!$L$187*EFEITO!$Z$187</f>
        <v>0</v>
      </c>
      <c r="L187" s="74">
        <f>EFEITO!$N$187*EFEITO!$AA$187</f>
        <v>0</v>
      </c>
      <c r="M187" s="74">
        <f ca="1">$J$187-EFEITO!$K$187*EFEITO!$Y$187</f>
        <v>7046.4704068371357</v>
      </c>
      <c r="N187" s="74">
        <f ca="1">$K$187-EFEITO!$M$187*EFEITO!$Z$187</f>
        <v>0</v>
      </c>
      <c r="O187" s="74">
        <f>$L$187-EFEITO!$O$187*EFEITO!$AA$187</f>
        <v>0</v>
      </c>
      <c r="P187" s="57"/>
      <c r="Q187" s="57"/>
      <c r="R187" s="57"/>
      <c r="S187" s="57"/>
      <c r="T187" s="57"/>
      <c r="U187" s="57"/>
      <c r="V187" s="57"/>
      <c r="W187" s="57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</row>
    <row r="188" spans="1:36" ht="11.25" customHeight="1" x14ac:dyDescent="0.2">
      <c r="A188" s="53" t="s">
        <v>21</v>
      </c>
      <c r="B188" s="53" t="s">
        <v>45</v>
      </c>
      <c r="C188" s="53" t="s">
        <v>41</v>
      </c>
      <c r="D188" s="53" t="s">
        <v>40</v>
      </c>
      <c r="E188" s="53" t="s">
        <v>25</v>
      </c>
      <c r="F188" s="53" t="s">
        <v>63</v>
      </c>
      <c r="G188" s="53" t="s">
        <v>25</v>
      </c>
      <c r="H188" s="53" t="s">
        <v>36</v>
      </c>
      <c r="I188" s="73">
        <v>43922</v>
      </c>
      <c r="J188" s="74">
        <f ca="1">EFEITO!$J$188*EFEITO!$Y$188</f>
        <v>38938.012605420867</v>
      </c>
      <c r="K188" s="74">
        <f ca="1">EFEITO!$L$188*EFEITO!$Z$188</f>
        <v>0</v>
      </c>
      <c r="L188" s="74">
        <f>EFEITO!$N$188*EFEITO!$AA$188</f>
        <v>0</v>
      </c>
      <c r="M188" s="74">
        <f ca="1">$J$188-EFEITO!$K$188*EFEITO!$Y$188</f>
        <v>0</v>
      </c>
      <c r="N188" s="74">
        <f ca="1">$K$188-EFEITO!$M$188*EFEITO!$Z$188</f>
        <v>0</v>
      </c>
      <c r="O188" s="74">
        <f>$L$188-EFEITO!$O$188*EFEITO!$AA$188</f>
        <v>0</v>
      </c>
      <c r="P188" s="57"/>
      <c r="Q188" s="57"/>
      <c r="R188" s="57"/>
      <c r="S188" s="57"/>
      <c r="T188" s="57"/>
      <c r="U188" s="57"/>
      <c r="V188" s="57"/>
      <c r="W188" s="57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</row>
    <row r="189" spans="1:36" ht="11.25" customHeight="1" x14ac:dyDescent="0.2">
      <c r="A189" s="53" t="s">
        <v>21</v>
      </c>
      <c r="B189" s="53" t="s">
        <v>45</v>
      </c>
      <c r="C189" s="53" t="s">
        <v>41</v>
      </c>
      <c r="D189" s="53" t="s">
        <v>40</v>
      </c>
      <c r="E189" s="53" t="s">
        <v>25</v>
      </c>
      <c r="F189" s="53" t="s">
        <v>63</v>
      </c>
      <c r="G189" s="53" t="s">
        <v>25</v>
      </c>
      <c r="H189" s="53" t="s">
        <v>36</v>
      </c>
      <c r="I189" s="73">
        <v>43952</v>
      </c>
      <c r="J189" s="74">
        <f ca="1">EFEITO!$J$189*EFEITO!$Y$189</f>
        <v>38938.012605420867</v>
      </c>
      <c r="K189" s="74">
        <f ca="1">EFEITO!$L$189*EFEITO!$Z$189</f>
        <v>0</v>
      </c>
      <c r="L189" s="74">
        <f>EFEITO!$N$189*EFEITO!$AA$189</f>
        <v>0</v>
      </c>
      <c r="M189" s="74">
        <f ca="1">$J$189-EFEITO!$K$189*EFEITO!$Y$189</f>
        <v>0</v>
      </c>
      <c r="N189" s="74">
        <f ca="1">$K$189-EFEITO!$M$189*EFEITO!$Z$189</f>
        <v>0</v>
      </c>
      <c r="O189" s="74">
        <f>$L$189-EFEITO!$O$189*EFEITO!$AA$189</f>
        <v>0</v>
      </c>
      <c r="P189" s="57"/>
      <c r="Q189" s="57"/>
      <c r="R189" s="57"/>
      <c r="S189" s="57"/>
      <c r="T189" s="57"/>
      <c r="U189" s="57"/>
      <c r="V189" s="57"/>
      <c r="W189" s="57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</row>
    <row r="190" spans="1:36" ht="11.25" customHeight="1" x14ac:dyDescent="0.2">
      <c r="A190" s="53" t="s">
        <v>21</v>
      </c>
      <c r="B190" s="53" t="s">
        <v>45</v>
      </c>
      <c r="C190" s="53" t="s">
        <v>41</v>
      </c>
      <c r="D190" s="53" t="s">
        <v>40</v>
      </c>
      <c r="E190" s="53" t="s">
        <v>25</v>
      </c>
      <c r="F190" s="53" t="s">
        <v>63</v>
      </c>
      <c r="G190" s="53" t="s">
        <v>25</v>
      </c>
      <c r="H190" s="53" t="s">
        <v>36</v>
      </c>
      <c r="I190" s="73">
        <v>43983</v>
      </c>
      <c r="J190" s="74">
        <f ca="1">EFEITO!$J$190*EFEITO!$Y$190</f>
        <v>38938.012605420867</v>
      </c>
      <c r="K190" s="74">
        <f ca="1">EFEITO!$L$190*EFEITO!$Z$190</f>
        <v>0</v>
      </c>
      <c r="L190" s="74">
        <f>EFEITO!$N$190*EFEITO!$AA$190</f>
        <v>0</v>
      </c>
      <c r="M190" s="74">
        <f ca="1">$J$190-EFEITO!$K$190*EFEITO!$Y$190</f>
        <v>0</v>
      </c>
      <c r="N190" s="74">
        <f ca="1">$K$190-EFEITO!$M$190*EFEITO!$Z$190</f>
        <v>0</v>
      </c>
      <c r="O190" s="74">
        <f>$L$190-EFEITO!$O$190*EFEITO!$AA$190</f>
        <v>0</v>
      </c>
      <c r="P190" s="57"/>
      <c r="Q190" s="57"/>
      <c r="R190" s="57"/>
      <c r="S190" s="57"/>
      <c r="T190" s="57"/>
      <c r="U190" s="57"/>
      <c r="V190" s="57"/>
      <c r="W190" s="57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</row>
    <row r="191" spans="1:36" ht="11.25" customHeight="1" x14ac:dyDescent="0.2">
      <c r="A191" s="53" t="s">
        <v>21</v>
      </c>
      <c r="B191" s="53" t="s">
        <v>45</v>
      </c>
      <c r="C191" s="53" t="s">
        <v>41</v>
      </c>
      <c r="D191" s="53" t="s">
        <v>40</v>
      </c>
      <c r="E191" s="53" t="s">
        <v>25</v>
      </c>
      <c r="F191" s="53" t="s">
        <v>63</v>
      </c>
      <c r="G191" s="53" t="s">
        <v>25</v>
      </c>
      <c r="H191" s="53" t="s">
        <v>36</v>
      </c>
      <c r="I191" s="73">
        <v>44013</v>
      </c>
      <c r="J191" s="74">
        <f ca="1">EFEITO!$J$191*EFEITO!$Y$191</f>
        <v>38938.012605420867</v>
      </c>
      <c r="K191" s="74">
        <f ca="1">EFEITO!$L$191*EFEITO!$Z$191</f>
        <v>0</v>
      </c>
      <c r="L191" s="74">
        <f>EFEITO!$N$191*EFEITO!$AA$191</f>
        <v>0</v>
      </c>
      <c r="M191" s="74">
        <f ca="1">$J$191-EFEITO!$K$191*EFEITO!$Y$191</f>
        <v>0</v>
      </c>
      <c r="N191" s="74">
        <f ca="1">$K$191-EFEITO!$M$191*EFEITO!$Z$191</f>
        <v>0</v>
      </c>
      <c r="O191" s="74">
        <f>$L$191-EFEITO!$O$191*EFEITO!$AA$191</f>
        <v>0</v>
      </c>
      <c r="P191" s="57"/>
      <c r="Q191" s="57"/>
      <c r="R191" s="57"/>
      <c r="S191" s="57"/>
      <c r="T191" s="57"/>
      <c r="U191" s="57"/>
      <c r="V191" s="57"/>
      <c r="W191" s="57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</row>
    <row r="192" spans="1:36" ht="11.25" customHeight="1" x14ac:dyDescent="0.2">
      <c r="A192" s="53" t="s">
        <v>21</v>
      </c>
      <c r="B192" s="53" t="s">
        <v>45</v>
      </c>
      <c r="C192" s="53" t="s">
        <v>41</v>
      </c>
      <c r="D192" s="53" t="s">
        <v>40</v>
      </c>
      <c r="E192" s="53" t="s">
        <v>25</v>
      </c>
      <c r="F192" s="53" t="s">
        <v>63</v>
      </c>
      <c r="G192" s="53" t="s">
        <v>25</v>
      </c>
      <c r="H192" s="53" t="s">
        <v>36</v>
      </c>
      <c r="I192" s="73">
        <v>44044</v>
      </c>
      <c r="J192" s="74">
        <f ca="1">EFEITO!$J$192*EFEITO!$Y$192</f>
        <v>38938.012605420867</v>
      </c>
      <c r="K192" s="74">
        <f ca="1">EFEITO!$L$192*EFEITO!$Z$192</f>
        <v>0</v>
      </c>
      <c r="L192" s="74">
        <f>EFEITO!$N$192*EFEITO!$AA$192</f>
        <v>0</v>
      </c>
      <c r="M192" s="74">
        <f ca="1">$J$192-EFEITO!$K$192*EFEITO!$Y$192</f>
        <v>0</v>
      </c>
      <c r="N192" s="74">
        <f ca="1">$K$192-EFEITO!$M$192*EFEITO!$Z$192</f>
        <v>0</v>
      </c>
      <c r="O192" s="74">
        <f>$L$192-EFEITO!$O$192*EFEITO!$AA$192</f>
        <v>0</v>
      </c>
      <c r="P192" s="57"/>
      <c r="Q192" s="57"/>
      <c r="R192" s="57"/>
      <c r="S192" s="57"/>
      <c r="T192" s="57"/>
      <c r="U192" s="57"/>
      <c r="V192" s="57"/>
      <c r="W192" s="57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</row>
    <row r="193" spans="1:36" ht="11.25" customHeight="1" x14ac:dyDescent="0.2">
      <c r="A193" s="53" t="s">
        <v>59</v>
      </c>
      <c r="B193" s="53" t="s">
        <v>45</v>
      </c>
      <c r="C193" s="53" t="s">
        <v>41</v>
      </c>
      <c r="D193" s="53" t="s">
        <v>40</v>
      </c>
      <c r="E193" s="53" t="s">
        <v>25</v>
      </c>
      <c r="F193" s="53" t="s">
        <v>63</v>
      </c>
      <c r="G193" s="53" t="s">
        <v>25</v>
      </c>
      <c r="H193" s="53" t="s">
        <v>36</v>
      </c>
      <c r="I193" s="73">
        <v>44075</v>
      </c>
      <c r="J193" s="74">
        <f ca="1">EFEITO!$J$193*EFEITO!$Y$193</f>
        <v>38938.012605420867</v>
      </c>
      <c r="K193" s="74">
        <f ca="1">EFEITO!$L$193*EFEITO!$Z$193</f>
        <v>0</v>
      </c>
      <c r="L193" s="74">
        <f>EFEITO!$N$193*EFEITO!$AA$193</f>
        <v>0</v>
      </c>
      <c r="M193" s="74">
        <f ca="1">$J$193-EFEITO!$K$193*EFEITO!$Y$193</f>
        <v>0</v>
      </c>
      <c r="N193" s="74">
        <f ca="1">$K$193-EFEITO!$M$193*EFEITO!$Z$193</f>
        <v>0</v>
      </c>
      <c r="O193" s="74">
        <f>$L$193-EFEITO!$O$193*EFEITO!$AA$193</f>
        <v>0</v>
      </c>
      <c r="P193" s="57"/>
      <c r="Q193" s="57"/>
      <c r="R193" s="57"/>
      <c r="S193" s="57"/>
      <c r="T193" s="57"/>
      <c r="U193" s="57"/>
      <c r="V193" s="57"/>
      <c r="W193" s="57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</row>
    <row r="194" spans="1:36" ht="11.25" customHeight="1" x14ac:dyDescent="0.2">
      <c r="A194" s="53" t="s">
        <v>21</v>
      </c>
      <c r="B194" s="53" t="s">
        <v>45</v>
      </c>
      <c r="C194" s="53" t="s">
        <v>41</v>
      </c>
      <c r="D194" s="53" t="s">
        <v>40</v>
      </c>
      <c r="E194" s="53" t="s">
        <v>25</v>
      </c>
      <c r="F194" s="53" t="s">
        <v>63</v>
      </c>
      <c r="G194" s="53" t="s">
        <v>25</v>
      </c>
      <c r="H194" s="53" t="s">
        <v>25</v>
      </c>
      <c r="I194" s="73">
        <v>43739</v>
      </c>
      <c r="J194" s="74">
        <f>EFEITO!$J$194*EFEITO!$Y$194</f>
        <v>0</v>
      </c>
      <c r="K194" s="74">
        <f ca="1">EFEITO!$L$194*EFEITO!$Z$194</f>
        <v>93807.803161182179</v>
      </c>
      <c r="L194" s="74">
        <f>EFEITO!$N$194*EFEITO!$AA$194</f>
        <v>0</v>
      </c>
      <c r="M194" s="74">
        <f>$J$194-EFEITO!$K$194*EFEITO!$Y$194</f>
        <v>0</v>
      </c>
      <c r="N194" s="74">
        <f ca="1">$K$194-EFEITO!$M$194*EFEITO!$Z$194</f>
        <v>0</v>
      </c>
      <c r="O194" s="74">
        <f>$L$194-EFEITO!$O$194*EFEITO!$AA$194</f>
        <v>0</v>
      </c>
      <c r="P194" s="57"/>
      <c r="Q194" s="57"/>
      <c r="R194" s="57"/>
      <c r="S194" s="57"/>
      <c r="T194" s="57"/>
      <c r="U194" s="57"/>
      <c r="V194" s="57"/>
      <c r="W194" s="57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</row>
    <row r="195" spans="1:36" ht="11.25" customHeight="1" x14ac:dyDescent="0.2">
      <c r="A195" s="53" t="s">
        <v>21</v>
      </c>
      <c r="B195" s="53" t="s">
        <v>45</v>
      </c>
      <c r="C195" s="53" t="s">
        <v>41</v>
      </c>
      <c r="D195" s="53" t="s">
        <v>40</v>
      </c>
      <c r="E195" s="53" t="s">
        <v>25</v>
      </c>
      <c r="F195" s="53" t="s">
        <v>63</v>
      </c>
      <c r="G195" s="53" t="s">
        <v>25</v>
      </c>
      <c r="H195" s="53" t="s">
        <v>25</v>
      </c>
      <c r="I195" s="73">
        <v>43770</v>
      </c>
      <c r="J195" s="74">
        <f>EFEITO!$J$195*EFEITO!$Y$195</f>
        <v>0</v>
      </c>
      <c r="K195" s="74">
        <f ca="1">EFEITO!$L$195*EFEITO!$Z$195</f>
        <v>93036.057427372565</v>
      </c>
      <c r="L195" s="74">
        <f>EFEITO!$N$195*EFEITO!$AA$195</f>
        <v>0</v>
      </c>
      <c r="M195" s="74">
        <f>$J$195-EFEITO!$K$195*EFEITO!$Y$195</f>
        <v>0</v>
      </c>
      <c r="N195" s="74">
        <f ca="1">$K$195-EFEITO!$M$195*EFEITO!$Z$195</f>
        <v>0</v>
      </c>
      <c r="O195" s="74">
        <f>$L$195-EFEITO!$O$195*EFEITO!$AA$195</f>
        <v>0</v>
      </c>
      <c r="P195" s="57"/>
      <c r="Q195" s="57"/>
      <c r="R195" s="57"/>
      <c r="S195" s="57"/>
      <c r="T195" s="57"/>
      <c r="U195" s="57"/>
      <c r="V195" s="57"/>
      <c r="W195" s="57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</row>
    <row r="196" spans="1:36" ht="11.25" customHeight="1" x14ac:dyDescent="0.2">
      <c r="A196" s="53" t="s">
        <v>21</v>
      </c>
      <c r="B196" s="53" t="s">
        <v>45</v>
      </c>
      <c r="C196" s="53" t="s">
        <v>41</v>
      </c>
      <c r="D196" s="53" t="s">
        <v>40</v>
      </c>
      <c r="E196" s="53" t="s">
        <v>25</v>
      </c>
      <c r="F196" s="53" t="s">
        <v>63</v>
      </c>
      <c r="G196" s="53" t="s">
        <v>25</v>
      </c>
      <c r="H196" s="53" t="s">
        <v>25</v>
      </c>
      <c r="I196" s="73">
        <v>43800</v>
      </c>
      <c r="J196" s="74">
        <f>EFEITO!$J$196*EFEITO!$Y$196</f>
        <v>0</v>
      </c>
      <c r="K196" s="74">
        <f ca="1">EFEITO!$L$196*EFEITO!$Z$196</f>
        <v>96298.254125265448</v>
      </c>
      <c r="L196" s="74">
        <f>EFEITO!$N$196*EFEITO!$AA$196</f>
        <v>0</v>
      </c>
      <c r="M196" s="74">
        <f>$J$196-EFEITO!$K$196*EFEITO!$Y$196</f>
        <v>0</v>
      </c>
      <c r="N196" s="74">
        <f ca="1">$K$196-EFEITO!$M$196*EFEITO!$Z$196</f>
        <v>0</v>
      </c>
      <c r="O196" s="74">
        <f>$L$196-EFEITO!$O$196*EFEITO!$AA$196</f>
        <v>0</v>
      </c>
      <c r="P196" s="57"/>
      <c r="Q196" s="57"/>
      <c r="R196" s="57"/>
      <c r="S196" s="57"/>
      <c r="T196" s="57"/>
      <c r="U196" s="57"/>
      <c r="V196" s="57"/>
      <c r="W196" s="57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</row>
    <row r="197" spans="1:36" ht="11.25" customHeight="1" x14ac:dyDescent="0.2">
      <c r="A197" s="53" t="s">
        <v>21</v>
      </c>
      <c r="B197" s="53" t="s">
        <v>45</v>
      </c>
      <c r="C197" s="53" t="s">
        <v>41</v>
      </c>
      <c r="D197" s="53" t="s">
        <v>40</v>
      </c>
      <c r="E197" s="53" t="s">
        <v>25</v>
      </c>
      <c r="F197" s="53" t="s">
        <v>63</v>
      </c>
      <c r="G197" s="53" t="s">
        <v>25</v>
      </c>
      <c r="H197" s="53" t="s">
        <v>25</v>
      </c>
      <c r="I197" s="73">
        <v>43831</v>
      </c>
      <c r="J197" s="74">
        <f>EFEITO!$J$197*EFEITO!$Y$197</f>
        <v>0</v>
      </c>
      <c r="K197" s="74">
        <f ca="1">EFEITO!$L$197*EFEITO!$Z$197</f>
        <v>92153.599700676888</v>
      </c>
      <c r="L197" s="74">
        <f>EFEITO!$N$197*EFEITO!$AA$197</f>
        <v>0</v>
      </c>
      <c r="M197" s="74">
        <f>$J$197-EFEITO!$K$197*EFEITO!$Y$197</f>
        <v>0</v>
      </c>
      <c r="N197" s="74">
        <f ca="1">$K$197-EFEITO!$M$197*EFEITO!$Z$197</f>
        <v>0</v>
      </c>
      <c r="O197" s="74">
        <f>$L$197-EFEITO!$O$197*EFEITO!$AA$197</f>
        <v>0</v>
      </c>
      <c r="P197" s="57"/>
      <c r="Q197" s="57"/>
      <c r="R197" s="57"/>
      <c r="S197" s="57"/>
      <c r="T197" s="57"/>
      <c r="U197" s="57"/>
      <c r="V197" s="57"/>
      <c r="W197" s="57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</row>
    <row r="198" spans="1:36" ht="11.25" customHeight="1" x14ac:dyDescent="0.2">
      <c r="A198" s="53" t="s">
        <v>21</v>
      </c>
      <c r="B198" s="53" t="s">
        <v>45</v>
      </c>
      <c r="C198" s="53" t="s">
        <v>41</v>
      </c>
      <c r="D198" s="53" t="s">
        <v>40</v>
      </c>
      <c r="E198" s="53" t="s">
        <v>25</v>
      </c>
      <c r="F198" s="53" t="s">
        <v>63</v>
      </c>
      <c r="G198" s="53" t="s">
        <v>25</v>
      </c>
      <c r="H198" s="53" t="s">
        <v>25</v>
      </c>
      <c r="I198" s="73">
        <v>43862</v>
      </c>
      <c r="J198" s="74">
        <f>EFEITO!$J$198*EFEITO!$Y$198</f>
        <v>0</v>
      </c>
      <c r="K198" s="74">
        <f ca="1">EFEITO!$L$198*EFEITO!$Z$198</f>
        <v>84648.289295984519</v>
      </c>
      <c r="L198" s="74">
        <f>EFEITO!$N$198*EFEITO!$AA$198</f>
        <v>0</v>
      </c>
      <c r="M198" s="74">
        <f>$J$198-EFEITO!$K$198*EFEITO!$Y$198</f>
        <v>0</v>
      </c>
      <c r="N198" s="74">
        <f ca="1">$K$198-EFEITO!$M$198*EFEITO!$Z$198</f>
        <v>0</v>
      </c>
      <c r="O198" s="74">
        <f>$L$198-EFEITO!$O$198*EFEITO!$AA$198</f>
        <v>0</v>
      </c>
      <c r="P198" s="57"/>
      <c r="Q198" s="57"/>
      <c r="R198" s="57"/>
      <c r="S198" s="57"/>
      <c r="T198" s="57"/>
      <c r="U198" s="57"/>
      <c r="V198" s="57"/>
      <c r="W198" s="57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</row>
    <row r="199" spans="1:36" ht="11.25" customHeight="1" x14ac:dyDescent="0.2">
      <c r="A199" s="53" t="s">
        <v>21</v>
      </c>
      <c r="B199" s="53" t="s">
        <v>45</v>
      </c>
      <c r="C199" s="53" t="s">
        <v>41</v>
      </c>
      <c r="D199" s="53" t="s">
        <v>40</v>
      </c>
      <c r="E199" s="53" t="s">
        <v>25</v>
      </c>
      <c r="F199" s="53" t="s">
        <v>63</v>
      </c>
      <c r="G199" s="53" t="s">
        <v>25</v>
      </c>
      <c r="H199" s="53" t="s">
        <v>25</v>
      </c>
      <c r="I199" s="73">
        <v>43891</v>
      </c>
      <c r="J199" s="74">
        <f>EFEITO!$J$199*EFEITO!$Y$199</f>
        <v>0</v>
      </c>
      <c r="K199" s="74">
        <f ca="1">EFEITO!$L$199*EFEITO!$Z$199</f>
        <v>62553.151174236315</v>
      </c>
      <c r="L199" s="74">
        <f>EFEITO!$N$199*EFEITO!$AA$199</f>
        <v>0</v>
      </c>
      <c r="M199" s="74">
        <f>$J$199-EFEITO!$K$199*EFEITO!$Y$199</f>
        <v>0</v>
      </c>
      <c r="N199" s="74">
        <f ca="1">$K$199-EFEITO!$M$199*EFEITO!$Z$199</f>
        <v>0</v>
      </c>
      <c r="O199" s="74">
        <f>$L$199-EFEITO!$O$199*EFEITO!$AA$199</f>
        <v>0</v>
      </c>
      <c r="P199" s="57"/>
      <c r="Q199" s="57"/>
      <c r="R199" s="57"/>
      <c r="S199" s="57"/>
      <c r="T199" s="57"/>
      <c r="U199" s="57"/>
      <c r="V199" s="57"/>
      <c r="W199" s="57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</row>
    <row r="200" spans="1:36" ht="11.25" customHeight="1" x14ac:dyDescent="0.2">
      <c r="A200" s="53" t="s">
        <v>21</v>
      </c>
      <c r="B200" s="53" t="s">
        <v>45</v>
      </c>
      <c r="C200" s="53" t="s">
        <v>41</v>
      </c>
      <c r="D200" s="53" t="s">
        <v>40</v>
      </c>
      <c r="E200" s="53" t="s">
        <v>25</v>
      </c>
      <c r="F200" s="53" t="s">
        <v>63</v>
      </c>
      <c r="G200" s="53" t="s">
        <v>25</v>
      </c>
      <c r="H200" s="53" t="s">
        <v>25</v>
      </c>
      <c r="I200" s="73">
        <v>43922</v>
      </c>
      <c r="J200" s="74">
        <f>EFEITO!$J$200*EFEITO!$Y$200</f>
        <v>0</v>
      </c>
      <c r="K200" s="74">
        <f ca="1">EFEITO!$L$200*EFEITO!$Z$200</f>
        <v>25426.212557507759</v>
      </c>
      <c r="L200" s="74">
        <f>EFEITO!$N$200*EFEITO!$AA$200</f>
        <v>0</v>
      </c>
      <c r="M200" s="74">
        <f>$J$200-EFEITO!$K$200*EFEITO!$Y$200</f>
        <v>0</v>
      </c>
      <c r="N200" s="74">
        <f ca="1">$K$200-EFEITO!$M$200*EFEITO!$Z$200</f>
        <v>0</v>
      </c>
      <c r="O200" s="74">
        <f>$L$200-EFEITO!$O$200*EFEITO!$AA$200</f>
        <v>0</v>
      </c>
      <c r="P200" s="57"/>
      <c r="Q200" s="57"/>
      <c r="R200" s="57"/>
      <c r="S200" s="57"/>
      <c r="T200" s="57"/>
      <c r="U200" s="57"/>
      <c r="V200" s="57"/>
      <c r="W200" s="57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</row>
    <row r="201" spans="1:36" ht="11.25" customHeight="1" x14ac:dyDescent="0.2">
      <c r="A201" s="53" t="s">
        <v>21</v>
      </c>
      <c r="B201" s="53" t="s">
        <v>45</v>
      </c>
      <c r="C201" s="53" t="s">
        <v>41</v>
      </c>
      <c r="D201" s="53" t="s">
        <v>40</v>
      </c>
      <c r="E201" s="53" t="s">
        <v>25</v>
      </c>
      <c r="F201" s="53" t="s">
        <v>63</v>
      </c>
      <c r="G201" s="53" t="s">
        <v>25</v>
      </c>
      <c r="H201" s="53" t="s">
        <v>25</v>
      </c>
      <c r="I201" s="73">
        <v>43952</v>
      </c>
      <c r="J201" s="74">
        <f>EFEITO!$J$201*EFEITO!$Y$201</f>
        <v>0</v>
      </c>
      <c r="K201" s="74">
        <f ca="1">EFEITO!$L$201*EFEITO!$Z$201</f>
        <v>33772.408991962307</v>
      </c>
      <c r="L201" s="74">
        <f>EFEITO!$N$201*EFEITO!$AA$201</f>
        <v>0</v>
      </c>
      <c r="M201" s="74">
        <f>$J$201-EFEITO!$K$201*EFEITO!$Y$201</f>
        <v>0</v>
      </c>
      <c r="N201" s="74">
        <f ca="1">$K$201-EFEITO!$M$201*EFEITO!$Z$201</f>
        <v>0</v>
      </c>
      <c r="O201" s="74">
        <f>$L$201-EFEITO!$O$201*EFEITO!$AA$201</f>
        <v>0</v>
      </c>
      <c r="P201" s="57"/>
      <c r="Q201" s="57"/>
      <c r="R201" s="57"/>
      <c r="S201" s="57"/>
      <c r="T201" s="57"/>
      <c r="U201" s="57"/>
      <c r="V201" s="57"/>
      <c r="W201" s="57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</row>
    <row r="202" spans="1:36" ht="11.25" customHeight="1" x14ac:dyDescent="0.2">
      <c r="A202" s="53" t="s">
        <v>21</v>
      </c>
      <c r="B202" s="53" t="s">
        <v>45</v>
      </c>
      <c r="C202" s="53" t="s">
        <v>41</v>
      </c>
      <c r="D202" s="53" t="s">
        <v>40</v>
      </c>
      <c r="E202" s="53" t="s">
        <v>25</v>
      </c>
      <c r="F202" s="53" t="s">
        <v>63</v>
      </c>
      <c r="G202" s="53" t="s">
        <v>25</v>
      </c>
      <c r="H202" s="53" t="s">
        <v>25</v>
      </c>
      <c r="I202" s="73">
        <v>43983</v>
      </c>
      <c r="J202" s="74">
        <f>EFEITO!$J$202*EFEITO!$Y$202</f>
        <v>0</v>
      </c>
      <c r="K202" s="74">
        <f ca="1">EFEITO!$L$202*EFEITO!$Z$202</f>
        <v>33772.408991962307</v>
      </c>
      <c r="L202" s="74">
        <f>EFEITO!$N$202*EFEITO!$AA$202</f>
        <v>0</v>
      </c>
      <c r="M202" s="74">
        <f>$J$202-EFEITO!$K$202*EFEITO!$Y$202</f>
        <v>0</v>
      </c>
      <c r="N202" s="74">
        <f ca="1">$K$202-EFEITO!$M$202*EFEITO!$Z$202</f>
        <v>0</v>
      </c>
      <c r="O202" s="74">
        <f>$L$202-EFEITO!$O$202*EFEITO!$AA$202</f>
        <v>0</v>
      </c>
      <c r="P202" s="57"/>
      <c r="Q202" s="57"/>
      <c r="R202" s="57"/>
      <c r="S202" s="57"/>
      <c r="T202" s="57"/>
      <c r="U202" s="57"/>
      <c r="V202" s="57"/>
      <c r="W202" s="57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</row>
    <row r="203" spans="1:36" ht="11.25" customHeight="1" x14ac:dyDescent="0.2">
      <c r="A203" s="53" t="s">
        <v>21</v>
      </c>
      <c r="B203" s="53" t="s">
        <v>45</v>
      </c>
      <c r="C203" s="53" t="s">
        <v>41</v>
      </c>
      <c r="D203" s="53" t="s">
        <v>40</v>
      </c>
      <c r="E203" s="53" t="s">
        <v>25</v>
      </c>
      <c r="F203" s="53" t="s">
        <v>63</v>
      </c>
      <c r="G203" s="53" t="s">
        <v>25</v>
      </c>
      <c r="H203" s="53" t="s">
        <v>25</v>
      </c>
      <c r="I203" s="73">
        <v>44013</v>
      </c>
      <c r="J203" s="74">
        <f>EFEITO!$J$203*EFEITO!$Y$203</f>
        <v>0</v>
      </c>
      <c r="K203" s="74">
        <f ca="1">EFEITO!$L$203*EFEITO!$Z$203</f>
        <v>77713.780170029524</v>
      </c>
      <c r="L203" s="74">
        <f>EFEITO!$N$203*EFEITO!$AA$203</f>
        <v>0</v>
      </c>
      <c r="M203" s="74">
        <f>$J$203-EFEITO!$K$203*EFEITO!$Y$203</f>
        <v>0</v>
      </c>
      <c r="N203" s="74">
        <f ca="1">$K$203-EFEITO!$M$203*EFEITO!$Z$203</f>
        <v>0</v>
      </c>
      <c r="O203" s="74">
        <f>$L$203-EFEITO!$O$203*EFEITO!$AA$203</f>
        <v>0</v>
      </c>
      <c r="P203" s="57"/>
      <c r="Q203" s="57"/>
      <c r="R203" s="57"/>
      <c r="S203" s="57"/>
      <c r="T203" s="57"/>
      <c r="U203" s="57"/>
      <c r="V203" s="57"/>
      <c r="W203" s="57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</row>
    <row r="204" spans="1:36" ht="11.25" customHeight="1" x14ac:dyDescent="0.2">
      <c r="A204" s="53" t="s">
        <v>21</v>
      </c>
      <c r="B204" s="53" t="s">
        <v>45</v>
      </c>
      <c r="C204" s="53" t="s">
        <v>41</v>
      </c>
      <c r="D204" s="53" t="s">
        <v>40</v>
      </c>
      <c r="E204" s="53" t="s">
        <v>25</v>
      </c>
      <c r="F204" s="53" t="s">
        <v>63</v>
      </c>
      <c r="G204" s="53" t="s">
        <v>25</v>
      </c>
      <c r="H204" s="53" t="s">
        <v>25</v>
      </c>
      <c r="I204" s="73">
        <v>44044</v>
      </c>
      <c r="J204" s="74">
        <f>EFEITO!$J$204*EFEITO!$Y$204</f>
        <v>0</v>
      </c>
      <c r="K204" s="74">
        <f ca="1">EFEITO!$L$204*EFEITO!$Z$204</f>
        <v>63842.22385662255</v>
      </c>
      <c r="L204" s="74">
        <f>EFEITO!$N$204*EFEITO!$AA$204</f>
        <v>0</v>
      </c>
      <c r="M204" s="74">
        <f>$J$204-EFEITO!$K$204*EFEITO!$Y$204</f>
        <v>0</v>
      </c>
      <c r="N204" s="74">
        <f ca="1">$K$204-EFEITO!$M$204*EFEITO!$Z$204</f>
        <v>0</v>
      </c>
      <c r="O204" s="74">
        <f>$L$204-EFEITO!$O$204*EFEITO!$AA$204</f>
        <v>0</v>
      </c>
      <c r="P204" s="57"/>
      <c r="Q204" s="57"/>
      <c r="R204" s="57"/>
      <c r="S204" s="57"/>
      <c r="T204" s="57"/>
      <c r="U204" s="57"/>
      <c r="V204" s="57"/>
      <c r="W204" s="57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</row>
    <row r="205" spans="1:36" ht="11.25" customHeight="1" x14ac:dyDescent="0.2">
      <c r="A205" s="53" t="s">
        <v>59</v>
      </c>
      <c r="B205" s="53" t="s">
        <v>45</v>
      </c>
      <c r="C205" s="53" t="s">
        <v>41</v>
      </c>
      <c r="D205" s="53" t="s">
        <v>40</v>
      </c>
      <c r="E205" s="53" t="s">
        <v>25</v>
      </c>
      <c r="F205" s="53" t="s">
        <v>63</v>
      </c>
      <c r="G205" s="53" t="s">
        <v>25</v>
      </c>
      <c r="H205" s="53" t="s">
        <v>25</v>
      </c>
      <c r="I205" s="73">
        <v>44075</v>
      </c>
      <c r="J205" s="74">
        <f>EFEITO!$J$205*EFEITO!$Y$205</f>
        <v>0</v>
      </c>
      <c r="K205" s="74">
        <f ca="1">EFEITO!$L$205*EFEITO!$Z$205</f>
        <v>63842.22385662255</v>
      </c>
      <c r="L205" s="74">
        <f>EFEITO!$N$205*EFEITO!$AA$205</f>
        <v>0</v>
      </c>
      <c r="M205" s="74">
        <f>$J$205-EFEITO!$K$205*EFEITO!$Y$205</f>
        <v>0</v>
      </c>
      <c r="N205" s="74">
        <f ca="1">$K$205-EFEITO!$M$205*EFEITO!$Z$205</f>
        <v>0</v>
      </c>
      <c r="O205" s="74">
        <f>$L$205-EFEITO!$O$205*EFEITO!$AA$205</f>
        <v>0</v>
      </c>
      <c r="P205" s="57"/>
      <c r="Q205" s="57"/>
      <c r="R205" s="57"/>
      <c r="S205" s="57"/>
      <c r="T205" s="57"/>
      <c r="U205" s="57"/>
      <c r="V205" s="57"/>
      <c r="W205" s="57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</row>
    <row r="206" spans="1:36" ht="11.25" customHeight="1" x14ac:dyDescent="0.2">
      <c r="A206" s="53" t="s">
        <v>21</v>
      </c>
      <c r="B206" s="53" t="s">
        <v>45</v>
      </c>
      <c r="C206" s="53" t="s">
        <v>41</v>
      </c>
      <c r="D206" s="53" t="s">
        <v>40</v>
      </c>
      <c r="E206" s="53" t="s">
        <v>25</v>
      </c>
      <c r="F206" s="53" t="s">
        <v>63</v>
      </c>
      <c r="G206" s="53" t="s">
        <v>25</v>
      </c>
      <c r="H206" s="53" t="s">
        <v>35</v>
      </c>
      <c r="I206" s="73">
        <v>43739</v>
      </c>
      <c r="J206" s="74">
        <f ca="1">EFEITO!$J$206*EFEITO!$Y$206</f>
        <v>89813.734549031171</v>
      </c>
      <c r="K206" s="74">
        <f ca="1">EFEITO!$L$206*EFEITO!$Z$206</f>
        <v>0</v>
      </c>
      <c r="L206" s="74">
        <f>EFEITO!$N$206*EFEITO!$AA$206</f>
        <v>0</v>
      </c>
      <c r="M206" s="74">
        <f ca="1">$J$206-EFEITO!$K$206*EFEITO!$Y$206</f>
        <v>33544.247905316472</v>
      </c>
      <c r="N206" s="74">
        <f ca="1">$K$206-EFEITO!$M$206*EFEITO!$Z$206</f>
        <v>0</v>
      </c>
      <c r="O206" s="74">
        <f>$L$206-EFEITO!$O$206*EFEITO!$AA$206</f>
        <v>0</v>
      </c>
      <c r="P206" s="57"/>
      <c r="Q206" s="57"/>
      <c r="R206" s="57"/>
      <c r="S206" s="57"/>
      <c r="T206" s="57"/>
      <c r="U206" s="57"/>
      <c r="V206" s="57"/>
      <c r="W206" s="57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</row>
    <row r="207" spans="1:36" ht="11.25" customHeight="1" x14ac:dyDescent="0.2">
      <c r="A207" s="53" t="s">
        <v>21</v>
      </c>
      <c r="B207" s="53" t="s">
        <v>45</v>
      </c>
      <c r="C207" s="53" t="s">
        <v>41</v>
      </c>
      <c r="D207" s="53" t="s">
        <v>40</v>
      </c>
      <c r="E207" s="53" t="s">
        <v>25</v>
      </c>
      <c r="F207" s="53" t="s">
        <v>63</v>
      </c>
      <c r="G207" s="53" t="s">
        <v>25</v>
      </c>
      <c r="H207" s="53" t="s">
        <v>35</v>
      </c>
      <c r="I207" s="73">
        <v>43770</v>
      </c>
      <c r="J207" s="74">
        <f ca="1">EFEITO!$J$207*EFEITO!$Y$207</f>
        <v>89813.734549031171</v>
      </c>
      <c r="K207" s="74">
        <f ca="1">EFEITO!$L$207*EFEITO!$Z$207</f>
        <v>0</v>
      </c>
      <c r="L207" s="74">
        <f>EFEITO!$N$207*EFEITO!$AA$207</f>
        <v>0</v>
      </c>
      <c r="M207" s="74">
        <f ca="1">$J$207-EFEITO!$K$207*EFEITO!$Y$207</f>
        <v>33443.104168154088</v>
      </c>
      <c r="N207" s="74">
        <f ca="1">$K$207-EFEITO!$M$207*EFEITO!$Z$207</f>
        <v>0</v>
      </c>
      <c r="O207" s="74">
        <f>$L$207-EFEITO!$O$207*EFEITO!$AA$207</f>
        <v>0</v>
      </c>
      <c r="P207" s="57"/>
      <c r="Q207" s="57"/>
      <c r="R207" s="57"/>
      <c r="S207" s="57"/>
      <c r="T207" s="57"/>
      <c r="U207" s="57"/>
      <c r="V207" s="57"/>
      <c r="W207" s="57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</row>
    <row r="208" spans="1:36" ht="11.25" customHeight="1" x14ac:dyDescent="0.2">
      <c r="A208" s="53" t="s">
        <v>21</v>
      </c>
      <c r="B208" s="53" t="s">
        <v>45</v>
      </c>
      <c r="C208" s="53" t="s">
        <v>41</v>
      </c>
      <c r="D208" s="53" t="s">
        <v>40</v>
      </c>
      <c r="E208" s="53" t="s">
        <v>25</v>
      </c>
      <c r="F208" s="53" t="s">
        <v>63</v>
      </c>
      <c r="G208" s="53" t="s">
        <v>25</v>
      </c>
      <c r="H208" s="53" t="s">
        <v>35</v>
      </c>
      <c r="I208" s="73">
        <v>43800</v>
      </c>
      <c r="J208" s="74">
        <f ca="1">EFEITO!$J$208*EFEITO!$Y$208</f>
        <v>89813.734549031171</v>
      </c>
      <c r="K208" s="74">
        <f ca="1">EFEITO!$L$208*EFEITO!$Z$208</f>
        <v>0</v>
      </c>
      <c r="L208" s="74">
        <f>EFEITO!$N$208*EFEITO!$AA$208</f>
        <v>0</v>
      </c>
      <c r="M208" s="74">
        <f ca="1">$J$208-EFEITO!$K$208*EFEITO!$Y$208</f>
        <v>33262.989010477417</v>
      </c>
      <c r="N208" s="74">
        <f ca="1">$K$208-EFEITO!$M$208*EFEITO!$Z$208</f>
        <v>0</v>
      </c>
      <c r="O208" s="74">
        <f>$L$208-EFEITO!$O$208*EFEITO!$AA$208</f>
        <v>0</v>
      </c>
      <c r="P208" s="57"/>
      <c r="Q208" s="57"/>
      <c r="R208" s="57"/>
      <c r="S208" s="57"/>
      <c r="T208" s="57"/>
      <c r="U208" s="57"/>
      <c r="V208" s="57"/>
      <c r="W208" s="57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</row>
    <row r="209" spans="1:36" ht="11.25" customHeight="1" x14ac:dyDescent="0.2">
      <c r="A209" s="53" t="s">
        <v>21</v>
      </c>
      <c r="B209" s="53" t="s">
        <v>45</v>
      </c>
      <c r="C209" s="53" t="s">
        <v>41</v>
      </c>
      <c r="D209" s="53" t="s">
        <v>40</v>
      </c>
      <c r="E209" s="53" t="s">
        <v>25</v>
      </c>
      <c r="F209" s="53" t="s">
        <v>63</v>
      </c>
      <c r="G209" s="53" t="s">
        <v>25</v>
      </c>
      <c r="H209" s="53" t="s">
        <v>35</v>
      </c>
      <c r="I209" s="73">
        <v>43831</v>
      </c>
      <c r="J209" s="74">
        <f ca="1">EFEITO!$J$209*EFEITO!$Y$209</f>
        <v>89813.734549031171</v>
      </c>
      <c r="K209" s="74">
        <f ca="1">EFEITO!$L$209*EFEITO!$Z$209</f>
        <v>0</v>
      </c>
      <c r="L209" s="74">
        <f>EFEITO!$N$209*EFEITO!$AA$209</f>
        <v>0</v>
      </c>
      <c r="M209" s="74">
        <f ca="1">$J$209-EFEITO!$K$209*EFEITO!$Y$209</f>
        <v>33834.958797579478</v>
      </c>
      <c r="N209" s="74">
        <f ca="1">$K$209-EFEITO!$M$209*EFEITO!$Z$209</f>
        <v>0</v>
      </c>
      <c r="O209" s="74">
        <f>$L$209-EFEITO!$O$209*EFEITO!$AA$209</f>
        <v>0</v>
      </c>
      <c r="P209" s="57"/>
      <c r="Q209" s="57"/>
      <c r="R209" s="57"/>
      <c r="S209" s="57"/>
      <c r="T209" s="57"/>
      <c r="U209" s="57"/>
      <c r="V209" s="57"/>
      <c r="W209" s="57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</row>
    <row r="210" spans="1:36" ht="11.25" customHeight="1" x14ac:dyDescent="0.2">
      <c r="A210" s="53" t="s">
        <v>21</v>
      </c>
      <c r="B210" s="53" t="s">
        <v>45</v>
      </c>
      <c r="C210" s="53" t="s">
        <v>41</v>
      </c>
      <c r="D210" s="53" t="s">
        <v>40</v>
      </c>
      <c r="E210" s="53" t="s">
        <v>25</v>
      </c>
      <c r="F210" s="53" t="s">
        <v>63</v>
      </c>
      <c r="G210" s="53" t="s">
        <v>25</v>
      </c>
      <c r="H210" s="53" t="s">
        <v>35</v>
      </c>
      <c r="I210" s="73">
        <v>43862</v>
      </c>
      <c r="J210" s="74">
        <f ca="1">EFEITO!$J$210*EFEITO!$Y$210</f>
        <v>89813.734549031171</v>
      </c>
      <c r="K210" s="74">
        <f ca="1">EFEITO!$L$210*EFEITO!$Z$210</f>
        <v>0</v>
      </c>
      <c r="L210" s="74">
        <f>EFEITO!$N$210*EFEITO!$AA$210</f>
        <v>0</v>
      </c>
      <c r="M210" s="74">
        <f ca="1">$J$210-EFEITO!$K$210*EFEITO!$Y$210</f>
        <v>33851.833900163881</v>
      </c>
      <c r="N210" s="74">
        <f ca="1">$K$210-EFEITO!$M$210*EFEITO!$Z$210</f>
        <v>0</v>
      </c>
      <c r="O210" s="74">
        <f>$L$210-EFEITO!$O$210*EFEITO!$AA$210</f>
        <v>0</v>
      </c>
      <c r="P210" s="57"/>
      <c r="Q210" s="57"/>
      <c r="R210" s="57"/>
      <c r="S210" s="57"/>
      <c r="T210" s="57"/>
      <c r="U210" s="57"/>
      <c r="V210" s="57"/>
      <c r="W210" s="57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</row>
    <row r="211" spans="1:36" ht="11.25" customHeight="1" x14ac:dyDescent="0.2">
      <c r="A211" s="53" t="s">
        <v>21</v>
      </c>
      <c r="B211" s="53" t="s">
        <v>45</v>
      </c>
      <c r="C211" s="53" t="s">
        <v>41</v>
      </c>
      <c r="D211" s="53" t="s">
        <v>40</v>
      </c>
      <c r="E211" s="53" t="s">
        <v>25</v>
      </c>
      <c r="F211" s="53" t="s">
        <v>63</v>
      </c>
      <c r="G211" s="53" t="s">
        <v>25</v>
      </c>
      <c r="H211" s="53" t="s">
        <v>35</v>
      </c>
      <c r="I211" s="73">
        <v>43891</v>
      </c>
      <c r="J211" s="74">
        <f ca="1">EFEITO!$J$211*EFEITO!$Y$211</f>
        <v>89813.734549031171</v>
      </c>
      <c r="K211" s="74">
        <f ca="1">EFEITO!$L$211*EFEITO!$Z$211</f>
        <v>0</v>
      </c>
      <c r="L211" s="74">
        <f>EFEITO!$N$211*EFEITO!$AA$211</f>
        <v>0</v>
      </c>
      <c r="M211" s="74">
        <f ca="1">$J$211-EFEITO!$K$211*EFEITO!$Y$211</f>
        <v>16253.268211893796</v>
      </c>
      <c r="N211" s="74">
        <f ca="1">$K$211-EFEITO!$M$211*EFEITO!$Z$211</f>
        <v>0</v>
      </c>
      <c r="O211" s="74">
        <f>$L$211-EFEITO!$O$211*EFEITO!$AA$211</f>
        <v>0</v>
      </c>
      <c r="P211" s="57"/>
      <c r="Q211" s="57"/>
      <c r="R211" s="57"/>
      <c r="S211" s="57"/>
      <c r="T211" s="57"/>
      <c r="U211" s="57"/>
      <c r="V211" s="57"/>
      <c r="W211" s="57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</row>
    <row r="212" spans="1:36" ht="11.25" customHeight="1" x14ac:dyDescent="0.2">
      <c r="A212" s="53" t="s">
        <v>21</v>
      </c>
      <c r="B212" s="53" t="s">
        <v>45</v>
      </c>
      <c r="C212" s="53" t="s">
        <v>41</v>
      </c>
      <c r="D212" s="53" t="s">
        <v>40</v>
      </c>
      <c r="E212" s="53" t="s">
        <v>25</v>
      </c>
      <c r="F212" s="53" t="s">
        <v>63</v>
      </c>
      <c r="G212" s="53" t="s">
        <v>25</v>
      </c>
      <c r="H212" s="53" t="s">
        <v>35</v>
      </c>
      <c r="I212" s="73">
        <v>43922</v>
      </c>
      <c r="J212" s="74">
        <f ca="1">EFEITO!$J$212*EFEITO!$Y$212</f>
        <v>89813.734549031171</v>
      </c>
      <c r="K212" s="74">
        <f ca="1">EFEITO!$L$212*EFEITO!$Z$212</f>
        <v>0</v>
      </c>
      <c r="L212" s="74">
        <f>EFEITO!$N$212*EFEITO!$AA$212</f>
        <v>0</v>
      </c>
      <c r="M212" s="74">
        <f ca="1">$J$212-EFEITO!$K$212*EFEITO!$Y$212</f>
        <v>0</v>
      </c>
      <c r="N212" s="74">
        <f ca="1">$K$212-EFEITO!$M$212*EFEITO!$Z$212</f>
        <v>0</v>
      </c>
      <c r="O212" s="74">
        <f>$L$212-EFEITO!$O$212*EFEITO!$AA$212</f>
        <v>0</v>
      </c>
      <c r="P212" s="57"/>
      <c r="Q212" s="57"/>
      <c r="R212" s="57"/>
      <c r="S212" s="57"/>
      <c r="T212" s="57"/>
      <c r="U212" s="57"/>
      <c r="V212" s="57"/>
      <c r="W212" s="57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</row>
    <row r="213" spans="1:36" ht="11.25" customHeight="1" x14ac:dyDescent="0.2">
      <c r="A213" s="53" t="s">
        <v>21</v>
      </c>
      <c r="B213" s="53" t="s">
        <v>45</v>
      </c>
      <c r="C213" s="53" t="s">
        <v>41</v>
      </c>
      <c r="D213" s="53" t="s">
        <v>40</v>
      </c>
      <c r="E213" s="53" t="s">
        <v>25</v>
      </c>
      <c r="F213" s="53" t="s">
        <v>63</v>
      </c>
      <c r="G213" s="53" t="s">
        <v>25</v>
      </c>
      <c r="H213" s="53" t="s">
        <v>35</v>
      </c>
      <c r="I213" s="73">
        <v>43952</v>
      </c>
      <c r="J213" s="74">
        <f ca="1">EFEITO!$J$213*EFEITO!$Y$213</f>
        <v>89813.734549031171</v>
      </c>
      <c r="K213" s="74">
        <f ca="1">EFEITO!$L$213*EFEITO!$Z$213</f>
        <v>0</v>
      </c>
      <c r="L213" s="74">
        <f>EFEITO!$N$213*EFEITO!$AA$213</f>
        <v>0</v>
      </c>
      <c r="M213" s="74">
        <f ca="1">$J$213-EFEITO!$K$213*EFEITO!$Y$213</f>
        <v>0</v>
      </c>
      <c r="N213" s="74">
        <f ca="1">$K$213-EFEITO!$M$213*EFEITO!$Z$213</f>
        <v>0</v>
      </c>
      <c r="O213" s="74">
        <f>$L$213-EFEITO!$O$213*EFEITO!$AA$213</f>
        <v>0</v>
      </c>
      <c r="P213" s="57"/>
      <c r="Q213" s="57"/>
      <c r="R213" s="57"/>
      <c r="S213" s="57"/>
      <c r="T213" s="57"/>
      <c r="U213" s="57"/>
      <c r="V213" s="57"/>
      <c r="W213" s="57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</row>
    <row r="214" spans="1:36" ht="11.25" customHeight="1" x14ac:dyDescent="0.2">
      <c r="A214" s="53" t="s">
        <v>21</v>
      </c>
      <c r="B214" s="53" t="s">
        <v>45</v>
      </c>
      <c r="C214" s="53" t="s">
        <v>41</v>
      </c>
      <c r="D214" s="53" t="s">
        <v>40</v>
      </c>
      <c r="E214" s="53" t="s">
        <v>25</v>
      </c>
      <c r="F214" s="53" t="s">
        <v>63</v>
      </c>
      <c r="G214" s="53" t="s">
        <v>25</v>
      </c>
      <c r="H214" s="53" t="s">
        <v>35</v>
      </c>
      <c r="I214" s="73">
        <v>43983</v>
      </c>
      <c r="J214" s="74">
        <f ca="1">EFEITO!$J$214*EFEITO!$Y$214</f>
        <v>89813.734549031171</v>
      </c>
      <c r="K214" s="74">
        <f ca="1">EFEITO!$L$214*EFEITO!$Z$214</f>
        <v>0</v>
      </c>
      <c r="L214" s="74">
        <f>EFEITO!$N$214*EFEITO!$AA$214</f>
        <v>0</v>
      </c>
      <c r="M214" s="74">
        <f ca="1">$J$214-EFEITO!$K$214*EFEITO!$Y$214</f>
        <v>0</v>
      </c>
      <c r="N214" s="74">
        <f ca="1">$K$214-EFEITO!$M$214*EFEITO!$Z$214</f>
        <v>0</v>
      </c>
      <c r="O214" s="74">
        <f>$L$214-EFEITO!$O$214*EFEITO!$AA$214</f>
        <v>0</v>
      </c>
      <c r="P214" s="57"/>
      <c r="Q214" s="57"/>
      <c r="R214" s="57"/>
      <c r="S214" s="57"/>
      <c r="T214" s="57"/>
      <c r="U214" s="57"/>
      <c r="V214" s="57"/>
      <c r="W214" s="57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</row>
    <row r="215" spans="1:36" ht="11.25" customHeight="1" x14ac:dyDescent="0.2">
      <c r="A215" s="53" t="s">
        <v>21</v>
      </c>
      <c r="B215" s="53" t="s">
        <v>45</v>
      </c>
      <c r="C215" s="53" t="s">
        <v>41</v>
      </c>
      <c r="D215" s="53" t="s">
        <v>40</v>
      </c>
      <c r="E215" s="53" t="s">
        <v>25</v>
      </c>
      <c r="F215" s="53" t="s">
        <v>63</v>
      </c>
      <c r="G215" s="53" t="s">
        <v>25</v>
      </c>
      <c r="H215" s="53" t="s">
        <v>35</v>
      </c>
      <c r="I215" s="73">
        <v>44013</v>
      </c>
      <c r="J215" s="74">
        <f ca="1">EFEITO!$J$215*EFEITO!$Y$215</f>
        <v>89813.734549031171</v>
      </c>
      <c r="K215" s="74">
        <f ca="1">EFEITO!$L$215*EFEITO!$Z$215</f>
        <v>0</v>
      </c>
      <c r="L215" s="74">
        <f>EFEITO!$N$215*EFEITO!$AA$215</f>
        <v>0</v>
      </c>
      <c r="M215" s="74">
        <f ca="1">$J$215-EFEITO!$K$215*EFEITO!$Y$215</f>
        <v>0</v>
      </c>
      <c r="N215" s="74">
        <f ca="1">$K$215-EFEITO!$M$215*EFEITO!$Z$215</f>
        <v>0</v>
      </c>
      <c r="O215" s="74">
        <f>$L$215-EFEITO!$O$215*EFEITO!$AA$215</f>
        <v>0</v>
      </c>
      <c r="P215" s="57"/>
      <c r="Q215" s="57"/>
      <c r="R215" s="57"/>
      <c r="S215" s="57"/>
      <c r="T215" s="57"/>
      <c r="U215" s="57"/>
      <c r="V215" s="57"/>
      <c r="W215" s="57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</row>
    <row r="216" spans="1:36" ht="11.25" customHeight="1" x14ac:dyDescent="0.2">
      <c r="A216" s="53" t="s">
        <v>21</v>
      </c>
      <c r="B216" s="53" t="s">
        <v>45</v>
      </c>
      <c r="C216" s="53" t="s">
        <v>41</v>
      </c>
      <c r="D216" s="53" t="s">
        <v>40</v>
      </c>
      <c r="E216" s="53" t="s">
        <v>25</v>
      </c>
      <c r="F216" s="53" t="s">
        <v>63</v>
      </c>
      <c r="G216" s="53" t="s">
        <v>25</v>
      </c>
      <c r="H216" s="53" t="s">
        <v>35</v>
      </c>
      <c r="I216" s="73">
        <v>44044</v>
      </c>
      <c r="J216" s="74">
        <f ca="1">EFEITO!$J$216*EFEITO!$Y$216</f>
        <v>89813.734549031171</v>
      </c>
      <c r="K216" s="74">
        <f ca="1">EFEITO!$L$216*EFEITO!$Z$216</f>
        <v>0</v>
      </c>
      <c r="L216" s="74">
        <f>EFEITO!$N$216*EFEITO!$AA$216</f>
        <v>0</v>
      </c>
      <c r="M216" s="74">
        <f ca="1">$J$216-EFEITO!$K$216*EFEITO!$Y$216</f>
        <v>0</v>
      </c>
      <c r="N216" s="74">
        <f ca="1">$K$216-EFEITO!$M$216*EFEITO!$Z$216</f>
        <v>0</v>
      </c>
      <c r="O216" s="74">
        <f>$L$216-EFEITO!$O$216*EFEITO!$AA$216</f>
        <v>0</v>
      </c>
      <c r="P216" s="57"/>
      <c r="Q216" s="57"/>
      <c r="R216" s="57"/>
      <c r="S216" s="57"/>
      <c r="T216" s="57"/>
      <c r="U216" s="57"/>
      <c r="V216" s="57"/>
      <c r="W216" s="57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</row>
    <row r="217" spans="1:36" ht="11.25" customHeight="1" x14ac:dyDescent="0.2">
      <c r="A217" s="53" t="s">
        <v>59</v>
      </c>
      <c r="B217" s="53" t="s">
        <v>45</v>
      </c>
      <c r="C217" s="53" t="s">
        <v>41</v>
      </c>
      <c r="D217" s="53" t="s">
        <v>40</v>
      </c>
      <c r="E217" s="53" t="s">
        <v>25</v>
      </c>
      <c r="F217" s="53" t="s">
        <v>63</v>
      </c>
      <c r="G217" s="53" t="s">
        <v>25</v>
      </c>
      <c r="H217" s="53" t="s">
        <v>35</v>
      </c>
      <c r="I217" s="73">
        <v>44075</v>
      </c>
      <c r="J217" s="74">
        <f ca="1">EFEITO!$J$217*EFEITO!$Y$217</f>
        <v>89813.734549031171</v>
      </c>
      <c r="K217" s="74">
        <f ca="1">EFEITO!$L$217*EFEITO!$Z$217</f>
        <v>0</v>
      </c>
      <c r="L217" s="74">
        <f>EFEITO!$N$217*EFEITO!$AA$217</f>
        <v>0</v>
      </c>
      <c r="M217" s="74">
        <f ca="1">$J$217-EFEITO!$K$217*EFEITO!$Y$217</f>
        <v>0</v>
      </c>
      <c r="N217" s="74">
        <f ca="1">$K$217-EFEITO!$M$217*EFEITO!$Z$217</f>
        <v>0</v>
      </c>
      <c r="O217" s="74">
        <f>$L$217-EFEITO!$O$217*EFEITO!$AA$217</f>
        <v>0</v>
      </c>
      <c r="P217" s="57"/>
      <c r="Q217" s="57"/>
      <c r="R217" s="57"/>
      <c r="S217" s="57"/>
      <c r="T217" s="57"/>
      <c r="U217" s="57"/>
      <c r="V217" s="57"/>
      <c r="W217" s="57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</row>
    <row r="218" spans="1:36" ht="11.25" customHeight="1" x14ac:dyDescent="0.2">
      <c r="A218" s="53" t="s">
        <v>21</v>
      </c>
      <c r="B218" s="53" t="s">
        <v>45</v>
      </c>
      <c r="C218" s="53" t="s">
        <v>41</v>
      </c>
      <c r="D218" s="53" t="s">
        <v>52</v>
      </c>
      <c r="E218" s="53" t="s">
        <v>53</v>
      </c>
      <c r="F218" s="53" t="s">
        <v>25</v>
      </c>
      <c r="G218" s="53" t="s">
        <v>25</v>
      </c>
      <c r="H218" s="53" t="s">
        <v>36</v>
      </c>
      <c r="I218" s="73">
        <v>43739</v>
      </c>
      <c r="J218" s="74" t="e">
        <f>EFEITO!$J$218*EFEITO!R0C25</f>
        <v>#NAME?</v>
      </c>
      <c r="K218" s="74" t="e">
        <f>EFEITO!$L$218*EFEITO!R0C26</f>
        <v>#NAME?</v>
      </c>
      <c r="L218" s="74" t="e">
        <f>EFEITO!$N$218*EFEITO!R0C27</f>
        <v>#NAME?</v>
      </c>
      <c r="M218" s="74" t="e">
        <f ca="1">$J$218-EFEITO!$K$218*EFEITO!$Y$218</f>
        <v>#NAME?</v>
      </c>
      <c r="N218" s="74" t="e">
        <f ca="1">$K$218-EFEITO!$M$218*EFEITO!$Z$218</f>
        <v>#NAME?</v>
      </c>
      <c r="O218" s="74" t="e">
        <f>$L$218-EFEITO!$O$218*EFEITO!$AA$218</f>
        <v>#NAME?</v>
      </c>
      <c r="P218" s="57"/>
      <c r="Q218" s="57"/>
      <c r="R218" s="57"/>
      <c r="S218" s="57"/>
      <c r="T218" s="57"/>
      <c r="U218" s="57"/>
      <c r="V218" s="57"/>
      <c r="W218" s="57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</row>
    <row r="219" spans="1:36" ht="11.25" customHeight="1" x14ac:dyDescent="0.2">
      <c r="A219" s="53" t="s">
        <v>21</v>
      </c>
      <c r="B219" s="53" t="s">
        <v>45</v>
      </c>
      <c r="C219" s="53" t="s">
        <v>41</v>
      </c>
      <c r="D219" s="53" t="s">
        <v>52</v>
      </c>
      <c r="E219" s="53" t="s">
        <v>53</v>
      </c>
      <c r="F219" s="53" t="s">
        <v>25</v>
      </c>
      <c r="G219" s="53" t="s">
        <v>25</v>
      </c>
      <c r="H219" s="53" t="s">
        <v>36</v>
      </c>
      <c r="I219" s="73">
        <v>43770</v>
      </c>
      <c r="J219" s="74" t="e">
        <f>EFEITO!$J$219*EFEITO!R0C25</f>
        <v>#NAME?</v>
      </c>
      <c r="K219" s="74" t="e">
        <f>EFEITO!$L$219*EFEITO!R0C26</f>
        <v>#NAME?</v>
      </c>
      <c r="L219" s="74" t="e">
        <f>EFEITO!$N$219*EFEITO!R0C27</f>
        <v>#NAME?</v>
      </c>
      <c r="M219" s="74" t="e">
        <f ca="1">$J$219-EFEITO!$K$219*EFEITO!$Y$219</f>
        <v>#NAME?</v>
      </c>
      <c r="N219" s="74" t="e">
        <f ca="1">$K$219-EFEITO!$M$219*EFEITO!$Z$219</f>
        <v>#NAME?</v>
      </c>
      <c r="O219" s="74" t="e">
        <f>$L$219-EFEITO!$O$219*EFEITO!$AA$219</f>
        <v>#NAME?</v>
      </c>
      <c r="P219" s="57"/>
      <c r="Q219" s="57"/>
      <c r="R219" s="57"/>
      <c r="S219" s="57"/>
      <c r="T219" s="57"/>
      <c r="U219" s="57"/>
      <c r="V219" s="57"/>
      <c r="W219" s="57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</row>
    <row r="220" spans="1:36" ht="11.25" customHeight="1" x14ac:dyDescent="0.2">
      <c r="A220" s="53" t="s">
        <v>21</v>
      </c>
      <c r="B220" s="53" t="s">
        <v>45</v>
      </c>
      <c r="C220" s="53" t="s">
        <v>41</v>
      </c>
      <c r="D220" s="53" t="s">
        <v>52</v>
      </c>
      <c r="E220" s="53" t="s">
        <v>53</v>
      </c>
      <c r="F220" s="53" t="s">
        <v>25</v>
      </c>
      <c r="G220" s="53" t="s">
        <v>25</v>
      </c>
      <c r="H220" s="53" t="s">
        <v>36</v>
      </c>
      <c r="I220" s="73">
        <v>43800</v>
      </c>
      <c r="J220" s="74" t="e">
        <f>EFEITO!$J$220*EFEITO!R0C25</f>
        <v>#NAME?</v>
      </c>
      <c r="K220" s="74" t="e">
        <f>EFEITO!$L$220*EFEITO!R0C26</f>
        <v>#NAME?</v>
      </c>
      <c r="L220" s="74" t="e">
        <f>EFEITO!$N$220*EFEITO!R0C27</f>
        <v>#NAME?</v>
      </c>
      <c r="M220" s="74" t="e">
        <f ca="1">$J$220-EFEITO!$K$220*EFEITO!$Y$220</f>
        <v>#NAME?</v>
      </c>
      <c r="N220" s="74" t="e">
        <f ca="1">$K$220-EFEITO!$M$220*EFEITO!$Z$220</f>
        <v>#NAME?</v>
      </c>
      <c r="O220" s="74" t="e">
        <f>$L$220-EFEITO!$O$220*EFEITO!$AA$220</f>
        <v>#NAME?</v>
      </c>
      <c r="P220" s="57"/>
      <c r="Q220" s="57"/>
      <c r="R220" s="57"/>
      <c r="S220" s="57"/>
      <c r="T220" s="57"/>
      <c r="U220" s="57"/>
      <c r="V220" s="57"/>
      <c r="W220" s="57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</row>
    <row r="221" spans="1:36" ht="11.25" customHeight="1" x14ac:dyDescent="0.2">
      <c r="A221" s="53" t="s">
        <v>21</v>
      </c>
      <c r="B221" s="53" t="s">
        <v>45</v>
      </c>
      <c r="C221" s="53" t="s">
        <v>41</v>
      </c>
      <c r="D221" s="53" t="s">
        <v>52</v>
      </c>
      <c r="E221" s="53" t="s">
        <v>53</v>
      </c>
      <c r="F221" s="53" t="s">
        <v>25</v>
      </c>
      <c r="G221" s="53" t="s">
        <v>25</v>
      </c>
      <c r="H221" s="53" t="s">
        <v>36</v>
      </c>
      <c r="I221" s="73">
        <v>43831</v>
      </c>
      <c r="J221" s="74" t="e">
        <f>EFEITO!$J$221*EFEITO!R0C25</f>
        <v>#NAME?</v>
      </c>
      <c r="K221" s="74" t="e">
        <f>EFEITO!$L$221*EFEITO!R0C26</f>
        <v>#NAME?</v>
      </c>
      <c r="L221" s="74" t="e">
        <f>EFEITO!$N$221*EFEITO!R0C27</f>
        <v>#NAME?</v>
      </c>
      <c r="M221" s="74" t="e">
        <f ca="1">$J$221-EFEITO!$K$221*EFEITO!$Y$221</f>
        <v>#NAME?</v>
      </c>
      <c r="N221" s="74" t="e">
        <f ca="1">$K$221-EFEITO!$M$221*EFEITO!$Z$221</f>
        <v>#NAME?</v>
      </c>
      <c r="O221" s="74" t="e">
        <f>$L$221-EFEITO!$O$221*EFEITO!$AA$221</f>
        <v>#NAME?</v>
      </c>
      <c r="P221" s="57"/>
      <c r="Q221" s="57"/>
      <c r="R221" s="57"/>
      <c r="S221" s="57"/>
      <c r="T221" s="57"/>
      <c r="U221" s="57"/>
      <c r="V221" s="57"/>
      <c r="W221" s="57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</row>
    <row r="222" spans="1:36" ht="11.25" customHeight="1" x14ac:dyDescent="0.2">
      <c r="A222" s="53" t="s">
        <v>21</v>
      </c>
      <c r="B222" s="53" t="s">
        <v>45</v>
      </c>
      <c r="C222" s="53" t="s">
        <v>41</v>
      </c>
      <c r="D222" s="53" t="s">
        <v>52</v>
      </c>
      <c r="E222" s="53" t="s">
        <v>53</v>
      </c>
      <c r="F222" s="53" t="s">
        <v>25</v>
      </c>
      <c r="G222" s="53" t="s">
        <v>25</v>
      </c>
      <c r="H222" s="53" t="s">
        <v>36</v>
      </c>
      <c r="I222" s="73">
        <v>43862</v>
      </c>
      <c r="J222" s="74" t="e">
        <f>EFEITO!$J$222*EFEITO!R0C25</f>
        <v>#NAME?</v>
      </c>
      <c r="K222" s="74" t="e">
        <f>EFEITO!$L$222*EFEITO!R0C26</f>
        <v>#NAME?</v>
      </c>
      <c r="L222" s="74" t="e">
        <f>EFEITO!$N$222*EFEITO!R0C27</f>
        <v>#NAME?</v>
      </c>
      <c r="M222" s="74" t="e">
        <f ca="1">$J$222-EFEITO!$K$222*EFEITO!$Y$222</f>
        <v>#NAME?</v>
      </c>
      <c r="N222" s="74" t="e">
        <f ca="1">$K$222-EFEITO!$M$222*EFEITO!$Z$222</f>
        <v>#NAME?</v>
      </c>
      <c r="O222" s="74" t="e">
        <f>$L$222-EFEITO!$O$222*EFEITO!$AA$222</f>
        <v>#NAME?</v>
      </c>
      <c r="P222" s="57"/>
      <c r="Q222" s="57"/>
      <c r="R222" s="57"/>
      <c r="S222" s="57"/>
      <c r="T222" s="57"/>
      <c r="U222" s="57"/>
      <c r="V222" s="57"/>
      <c r="W222" s="57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</row>
    <row r="223" spans="1:36" ht="11.25" customHeight="1" x14ac:dyDescent="0.2">
      <c r="A223" s="53" t="s">
        <v>21</v>
      </c>
      <c r="B223" s="53" t="s">
        <v>45</v>
      </c>
      <c r="C223" s="53" t="s">
        <v>41</v>
      </c>
      <c r="D223" s="53" t="s">
        <v>52</v>
      </c>
      <c r="E223" s="53" t="s">
        <v>53</v>
      </c>
      <c r="F223" s="53" t="s">
        <v>25</v>
      </c>
      <c r="G223" s="53" t="s">
        <v>25</v>
      </c>
      <c r="H223" s="53" t="s">
        <v>36</v>
      </c>
      <c r="I223" s="73">
        <v>43891</v>
      </c>
      <c r="J223" s="74" t="e">
        <f>EFEITO!$J$223*EFEITO!R0C25</f>
        <v>#NAME?</v>
      </c>
      <c r="K223" s="74" t="e">
        <f>EFEITO!$L$223*EFEITO!R0C26</f>
        <v>#NAME?</v>
      </c>
      <c r="L223" s="74" t="e">
        <f>EFEITO!$N$223*EFEITO!R0C27</f>
        <v>#NAME?</v>
      </c>
      <c r="M223" s="74" t="e">
        <f ca="1">$J$223-EFEITO!$K$223*EFEITO!$Y$223</f>
        <v>#NAME?</v>
      </c>
      <c r="N223" s="74" t="e">
        <f ca="1">$K$223-EFEITO!$M$223*EFEITO!$Z$223</f>
        <v>#NAME?</v>
      </c>
      <c r="O223" s="74" t="e">
        <f>$L$223-EFEITO!$O$223*EFEITO!$AA$223</f>
        <v>#NAME?</v>
      </c>
      <c r="P223" s="57"/>
      <c r="Q223" s="57"/>
      <c r="R223" s="57"/>
      <c r="S223" s="57"/>
      <c r="T223" s="57"/>
      <c r="U223" s="57"/>
      <c r="V223" s="57"/>
      <c r="W223" s="57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</row>
    <row r="224" spans="1:36" ht="11.25" customHeight="1" x14ac:dyDescent="0.2">
      <c r="A224" s="53" t="s">
        <v>21</v>
      </c>
      <c r="B224" s="53" t="s">
        <v>45</v>
      </c>
      <c r="C224" s="53" t="s">
        <v>41</v>
      </c>
      <c r="D224" s="53" t="s">
        <v>52</v>
      </c>
      <c r="E224" s="53" t="s">
        <v>53</v>
      </c>
      <c r="F224" s="53" t="s">
        <v>25</v>
      </c>
      <c r="G224" s="53" t="s">
        <v>25</v>
      </c>
      <c r="H224" s="53" t="s">
        <v>36</v>
      </c>
      <c r="I224" s="73">
        <v>43922</v>
      </c>
      <c r="J224" s="74" t="e">
        <f>EFEITO!$J$224*EFEITO!R0C25</f>
        <v>#NAME?</v>
      </c>
      <c r="K224" s="74" t="e">
        <f>EFEITO!$L$224*EFEITO!R0C26</f>
        <v>#NAME?</v>
      </c>
      <c r="L224" s="74" t="e">
        <f>EFEITO!$N$224*EFEITO!R0C27</f>
        <v>#NAME?</v>
      </c>
      <c r="M224" s="74" t="e">
        <f ca="1">$J$224-EFEITO!$K$224*EFEITO!$Y$224</f>
        <v>#NAME?</v>
      </c>
      <c r="N224" s="74" t="e">
        <f ca="1">$K$224-EFEITO!$M$224*EFEITO!$Z$224</f>
        <v>#NAME?</v>
      </c>
      <c r="O224" s="74" t="e">
        <f>$L$224-EFEITO!$O$224*EFEITO!$AA$224</f>
        <v>#NAME?</v>
      </c>
      <c r="P224" s="57"/>
      <c r="Q224" s="57"/>
      <c r="R224" s="57"/>
      <c r="S224" s="57"/>
      <c r="T224" s="57"/>
      <c r="U224" s="57"/>
      <c r="V224" s="57"/>
      <c r="W224" s="57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</row>
    <row r="225" spans="1:36" ht="11.25" customHeight="1" x14ac:dyDescent="0.2">
      <c r="A225" s="53" t="s">
        <v>21</v>
      </c>
      <c r="B225" s="53" t="s">
        <v>45</v>
      </c>
      <c r="C225" s="53" t="s">
        <v>41</v>
      </c>
      <c r="D225" s="53" t="s">
        <v>52</v>
      </c>
      <c r="E225" s="53" t="s">
        <v>53</v>
      </c>
      <c r="F225" s="53" t="s">
        <v>25</v>
      </c>
      <c r="G225" s="53" t="s">
        <v>25</v>
      </c>
      <c r="H225" s="53" t="s">
        <v>36</v>
      </c>
      <c r="I225" s="73">
        <v>43952</v>
      </c>
      <c r="J225" s="74" t="e">
        <f>EFEITO!$J$225*EFEITO!R0C25</f>
        <v>#NAME?</v>
      </c>
      <c r="K225" s="74" t="e">
        <f>EFEITO!$L$225*EFEITO!R0C26</f>
        <v>#NAME?</v>
      </c>
      <c r="L225" s="74" t="e">
        <f>EFEITO!$N$225*EFEITO!R0C27</f>
        <v>#NAME?</v>
      </c>
      <c r="M225" s="74" t="e">
        <f ca="1">$J$225-EFEITO!$K$225*EFEITO!$Y$225</f>
        <v>#NAME?</v>
      </c>
      <c r="N225" s="74" t="e">
        <f ca="1">$K$225-EFEITO!$M$225*EFEITO!$Z$225</f>
        <v>#NAME?</v>
      </c>
      <c r="O225" s="74" t="e">
        <f>$L$225-EFEITO!$O$225*EFEITO!$AA$225</f>
        <v>#NAME?</v>
      </c>
      <c r="P225" s="57"/>
      <c r="Q225" s="57"/>
      <c r="R225" s="57"/>
      <c r="S225" s="57"/>
      <c r="T225" s="57"/>
      <c r="U225" s="57"/>
      <c r="V225" s="57"/>
      <c r="W225" s="57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</row>
    <row r="226" spans="1:36" ht="11.25" customHeight="1" x14ac:dyDescent="0.2">
      <c r="A226" s="53" t="s">
        <v>21</v>
      </c>
      <c r="B226" s="53" t="s">
        <v>45</v>
      </c>
      <c r="C226" s="53" t="s">
        <v>41</v>
      </c>
      <c r="D226" s="53" t="s">
        <v>52</v>
      </c>
      <c r="E226" s="53" t="s">
        <v>53</v>
      </c>
      <c r="F226" s="53" t="s">
        <v>25</v>
      </c>
      <c r="G226" s="53" t="s">
        <v>25</v>
      </c>
      <c r="H226" s="53" t="s">
        <v>36</v>
      </c>
      <c r="I226" s="73">
        <v>43983</v>
      </c>
      <c r="J226" s="74" t="e">
        <f>EFEITO!$J$226*EFEITO!R0C25</f>
        <v>#NAME?</v>
      </c>
      <c r="K226" s="74" t="e">
        <f>EFEITO!$L$226*EFEITO!R0C26</f>
        <v>#NAME?</v>
      </c>
      <c r="L226" s="74" t="e">
        <f>EFEITO!$N$226*EFEITO!R0C27</f>
        <v>#NAME?</v>
      </c>
      <c r="M226" s="74" t="e">
        <f ca="1">$J$226-EFEITO!$K$226*EFEITO!$Y$226</f>
        <v>#NAME?</v>
      </c>
      <c r="N226" s="74" t="e">
        <f ca="1">$K$226-EFEITO!$M$226*EFEITO!$Z$226</f>
        <v>#NAME?</v>
      </c>
      <c r="O226" s="74" t="e">
        <f>$L$226-EFEITO!$O$226*EFEITO!$AA$226</f>
        <v>#NAME?</v>
      </c>
      <c r="P226" s="57"/>
      <c r="Q226" s="57"/>
      <c r="R226" s="57"/>
      <c r="S226" s="57"/>
      <c r="T226" s="57"/>
      <c r="U226" s="57"/>
      <c r="V226" s="57"/>
      <c r="W226" s="57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</row>
    <row r="227" spans="1:36" ht="11.25" customHeight="1" x14ac:dyDescent="0.2">
      <c r="A227" s="53" t="s">
        <v>21</v>
      </c>
      <c r="B227" s="53" t="s">
        <v>45</v>
      </c>
      <c r="C227" s="53" t="s">
        <v>41</v>
      </c>
      <c r="D227" s="53" t="s">
        <v>52</v>
      </c>
      <c r="E227" s="53" t="s">
        <v>53</v>
      </c>
      <c r="F227" s="53" t="s">
        <v>25</v>
      </c>
      <c r="G227" s="53" t="s">
        <v>25</v>
      </c>
      <c r="H227" s="53" t="s">
        <v>36</v>
      </c>
      <c r="I227" s="73">
        <v>44013</v>
      </c>
      <c r="J227" s="74" t="e">
        <f>EFEITO!$J$227*EFEITO!R0C25</f>
        <v>#NAME?</v>
      </c>
      <c r="K227" s="74" t="e">
        <f>EFEITO!$L$227*EFEITO!R0C26</f>
        <v>#NAME?</v>
      </c>
      <c r="L227" s="74" t="e">
        <f>EFEITO!$N$227*EFEITO!R0C27</f>
        <v>#NAME?</v>
      </c>
      <c r="M227" s="74" t="e">
        <f ca="1">$J$227-EFEITO!$K$227*EFEITO!$Y$227</f>
        <v>#NAME?</v>
      </c>
      <c r="N227" s="74" t="e">
        <f ca="1">$K$227-EFEITO!$M$227*EFEITO!$Z$227</f>
        <v>#NAME?</v>
      </c>
      <c r="O227" s="74" t="e">
        <f>$L$227-EFEITO!$O$227*EFEITO!$AA$227</f>
        <v>#NAME?</v>
      </c>
      <c r="P227" s="57"/>
      <c r="Q227" s="57"/>
      <c r="R227" s="57"/>
      <c r="S227" s="57"/>
      <c r="T227" s="57"/>
      <c r="U227" s="57"/>
      <c r="V227" s="57"/>
      <c r="W227" s="57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</row>
    <row r="228" spans="1:36" ht="11.25" customHeight="1" x14ac:dyDescent="0.2">
      <c r="A228" s="53" t="s">
        <v>21</v>
      </c>
      <c r="B228" s="53" t="s">
        <v>45</v>
      </c>
      <c r="C228" s="53" t="s">
        <v>41</v>
      </c>
      <c r="D228" s="53" t="s">
        <v>52</v>
      </c>
      <c r="E228" s="53" t="s">
        <v>53</v>
      </c>
      <c r="F228" s="53" t="s">
        <v>25</v>
      </c>
      <c r="G228" s="53" t="s">
        <v>25</v>
      </c>
      <c r="H228" s="53" t="s">
        <v>36</v>
      </c>
      <c r="I228" s="73">
        <v>44044</v>
      </c>
      <c r="J228" s="74" t="e">
        <f>EFEITO!$J$228*EFEITO!R0C25</f>
        <v>#NAME?</v>
      </c>
      <c r="K228" s="74" t="e">
        <f>EFEITO!$L$228*EFEITO!R0C26</f>
        <v>#NAME?</v>
      </c>
      <c r="L228" s="74" t="e">
        <f>EFEITO!$N$228*EFEITO!R0C27</f>
        <v>#NAME?</v>
      </c>
      <c r="M228" s="74" t="e">
        <f ca="1">$J$228-EFEITO!$K$228*EFEITO!$Y$228</f>
        <v>#NAME?</v>
      </c>
      <c r="N228" s="74" t="e">
        <f ca="1">$K$228-EFEITO!$M$228*EFEITO!$Z$228</f>
        <v>#NAME?</v>
      </c>
      <c r="O228" s="74" t="e">
        <f>$L$228-EFEITO!$O$228*EFEITO!$AA$228</f>
        <v>#NAME?</v>
      </c>
      <c r="P228" s="57"/>
      <c r="Q228" s="57"/>
      <c r="R228" s="57"/>
      <c r="S228" s="57"/>
      <c r="T228" s="57"/>
      <c r="U228" s="57"/>
      <c r="V228" s="57"/>
      <c r="W228" s="57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</row>
    <row r="229" spans="1:36" ht="11.25" customHeight="1" x14ac:dyDescent="0.2">
      <c r="A229" s="53" t="s">
        <v>59</v>
      </c>
      <c r="B229" s="53" t="s">
        <v>45</v>
      </c>
      <c r="C229" s="53" t="s">
        <v>41</v>
      </c>
      <c r="D229" s="53" t="s">
        <v>52</v>
      </c>
      <c r="E229" s="53" t="s">
        <v>53</v>
      </c>
      <c r="F229" s="53" t="s">
        <v>25</v>
      </c>
      <c r="G229" s="53" t="s">
        <v>25</v>
      </c>
      <c r="H229" s="53" t="s">
        <v>36</v>
      </c>
      <c r="I229" s="73">
        <v>44075</v>
      </c>
      <c r="J229" s="74" t="e">
        <f>EFEITO!$J$229*EFEITO!R0C25</f>
        <v>#NAME?</v>
      </c>
      <c r="K229" s="74" t="e">
        <f>EFEITO!$L$229*EFEITO!R0C26</f>
        <v>#NAME?</v>
      </c>
      <c r="L229" s="74" t="e">
        <f>EFEITO!$N$229*EFEITO!R0C27</f>
        <v>#NAME?</v>
      </c>
      <c r="M229" s="74" t="e">
        <f ca="1">$J$229-EFEITO!$K$229*EFEITO!$Y$229</f>
        <v>#NAME?</v>
      </c>
      <c r="N229" s="74" t="e">
        <f ca="1">$K$229-EFEITO!$M$229*EFEITO!$Z$229</f>
        <v>#NAME?</v>
      </c>
      <c r="O229" s="74" t="e">
        <f>$L$229-EFEITO!$O$229*EFEITO!$AA$229</f>
        <v>#NAME?</v>
      </c>
      <c r="P229" s="57"/>
      <c r="Q229" s="57"/>
      <c r="R229" s="57"/>
      <c r="S229" s="57"/>
      <c r="T229" s="57"/>
      <c r="U229" s="57"/>
      <c r="V229" s="57"/>
      <c r="W229" s="57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</row>
    <row r="230" spans="1:36" ht="11.25" customHeight="1" x14ac:dyDescent="0.2">
      <c r="A230" s="53" t="s">
        <v>21</v>
      </c>
      <c r="B230" s="53" t="s">
        <v>45</v>
      </c>
      <c r="C230" s="53" t="s">
        <v>41</v>
      </c>
      <c r="D230" s="53" t="s">
        <v>52</v>
      </c>
      <c r="E230" s="53" t="s">
        <v>53</v>
      </c>
      <c r="F230" s="53" t="s">
        <v>25</v>
      </c>
      <c r="G230" s="53" t="s">
        <v>25</v>
      </c>
      <c r="H230" s="53" t="s">
        <v>35</v>
      </c>
      <c r="I230" s="73">
        <v>43739</v>
      </c>
      <c r="J230" s="74" t="e">
        <f>EFEITO!$J$230*EFEITO!R0C25</f>
        <v>#NAME?</v>
      </c>
      <c r="K230" s="74" t="e">
        <f>EFEITO!$L$230*EFEITO!R0C26</f>
        <v>#NAME?</v>
      </c>
      <c r="L230" s="74" t="e">
        <f>EFEITO!$N$230*EFEITO!R0C27</f>
        <v>#NAME?</v>
      </c>
      <c r="M230" s="74" t="e">
        <f ca="1">$J$230-EFEITO!$K$230*EFEITO!$Y$230</f>
        <v>#NAME?</v>
      </c>
      <c r="N230" s="74" t="e">
        <f ca="1">$K$230-EFEITO!$M$230*EFEITO!$Z$230</f>
        <v>#NAME?</v>
      </c>
      <c r="O230" s="74" t="e">
        <f>$L$230-EFEITO!$O$230*EFEITO!$AA$230</f>
        <v>#NAME?</v>
      </c>
      <c r="P230" s="57"/>
      <c r="Q230" s="57"/>
      <c r="R230" s="57"/>
      <c r="S230" s="57"/>
      <c r="T230" s="57"/>
      <c r="U230" s="57"/>
      <c r="V230" s="57"/>
      <c r="W230" s="57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</row>
    <row r="231" spans="1:36" ht="11.25" customHeight="1" x14ac:dyDescent="0.2">
      <c r="A231" s="53" t="s">
        <v>21</v>
      </c>
      <c r="B231" s="53" t="s">
        <v>45</v>
      </c>
      <c r="C231" s="53" t="s">
        <v>41</v>
      </c>
      <c r="D231" s="53" t="s">
        <v>52</v>
      </c>
      <c r="E231" s="53" t="s">
        <v>53</v>
      </c>
      <c r="F231" s="53" t="s">
        <v>25</v>
      </c>
      <c r="G231" s="53" t="s">
        <v>25</v>
      </c>
      <c r="H231" s="53" t="s">
        <v>35</v>
      </c>
      <c r="I231" s="73">
        <v>43770</v>
      </c>
      <c r="J231" s="74" t="e">
        <f>EFEITO!$J$231*EFEITO!R0C25</f>
        <v>#NAME?</v>
      </c>
      <c r="K231" s="74" t="e">
        <f>EFEITO!$L$231*EFEITO!R0C26</f>
        <v>#NAME?</v>
      </c>
      <c r="L231" s="74" t="e">
        <f>EFEITO!$N$231*EFEITO!R0C27</f>
        <v>#NAME?</v>
      </c>
      <c r="M231" s="74" t="e">
        <f ca="1">$J$231-EFEITO!$K$231*EFEITO!$Y$231</f>
        <v>#NAME?</v>
      </c>
      <c r="N231" s="74" t="e">
        <f ca="1">$K$231-EFEITO!$M$231*EFEITO!$Z$231</f>
        <v>#NAME?</v>
      </c>
      <c r="O231" s="74" t="e">
        <f>$L$231-EFEITO!$O$231*EFEITO!$AA$231</f>
        <v>#NAME?</v>
      </c>
      <c r="P231" s="57"/>
      <c r="Q231" s="57"/>
      <c r="R231" s="57"/>
      <c r="S231" s="57"/>
      <c r="T231" s="57"/>
      <c r="U231" s="57"/>
      <c r="V231" s="57"/>
      <c r="W231" s="57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</row>
    <row r="232" spans="1:36" ht="11.25" customHeight="1" x14ac:dyDescent="0.2">
      <c r="A232" s="53" t="s">
        <v>21</v>
      </c>
      <c r="B232" s="53" t="s">
        <v>45</v>
      </c>
      <c r="C232" s="53" t="s">
        <v>41</v>
      </c>
      <c r="D232" s="53" t="s">
        <v>52</v>
      </c>
      <c r="E232" s="53" t="s">
        <v>53</v>
      </c>
      <c r="F232" s="53" t="s">
        <v>25</v>
      </c>
      <c r="G232" s="53" t="s">
        <v>25</v>
      </c>
      <c r="H232" s="53" t="s">
        <v>35</v>
      </c>
      <c r="I232" s="73">
        <v>43800</v>
      </c>
      <c r="J232" s="74" t="e">
        <f>EFEITO!$J$232*EFEITO!R0C25</f>
        <v>#NAME?</v>
      </c>
      <c r="K232" s="74" t="e">
        <f>EFEITO!$L$232*EFEITO!R0C26</f>
        <v>#NAME?</v>
      </c>
      <c r="L232" s="74" t="e">
        <f>EFEITO!$N$232*EFEITO!R0C27</f>
        <v>#NAME?</v>
      </c>
      <c r="M232" s="74" t="e">
        <f ca="1">$J$232-EFEITO!$K$232*EFEITO!$Y$232</f>
        <v>#NAME?</v>
      </c>
      <c r="N232" s="74" t="e">
        <f ca="1">$K$232-EFEITO!$M$232*EFEITO!$Z$232</f>
        <v>#NAME?</v>
      </c>
      <c r="O232" s="74" t="e">
        <f>$L$232-EFEITO!$O$232*EFEITO!$AA$232</f>
        <v>#NAME?</v>
      </c>
      <c r="P232" s="57"/>
      <c r="Q232" s="57"/>
      <c r="R232" s="57"/>
      <c r="S232" s="57"/>
      <c r="T232" s="57"/>
      <c r="U232" s="57"/>
      <c r="V232" s="57"/>
      <c r="W232" s="57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</row>
    <row r="233" spans="1:36" ht="11.25" customHeight="1" x14ac:dyDescent="0.2">
      <c r="A233" s="53" t="s">
        <v>21</v>
      </c>
      <c r="B233" s="53" t="s">
        <v>45</v>
      </c>
      <c r="C233" s="53" t="s">
        <v>41</v>
      </c>
      <c r="D233" s="53" t="s">
        <v>52</v>
      </c>
      <c r="E233" s="53" t="s">
        <v>53</v>
      </c>
      <c r="F233" s="53" t="s">
        <v>25</v>
      </c>
      <c r="G233" s="53" t="s">
        <v>25</v>
      </c>
      <c r="H233" s="53" t="s">
        <v>35</v>
      </c>
      <c r="I233" s="73">
        <v>43831</v>
      </c>
      <c r="J233" s="74" t="e">
        <f>EFEITO!$J$233*EFEITO!R0C25</f>
        <v>#NAME?</v>
      </c>
      <c r="K233" s="74" t="e">
        <f>EFEITO!$L$233*EFEITO!R0C26</f>
        <v>#NAME?</v>
      </c>
      <c r="L233" s="74" t="e">
        <f>EFEITO!$N$233*EFEITO!R0C27</f>
        <v>#NAME?</v>
      </c>
      <c r="M233" s="74" t="e">
        <f ca="1">$J$233-EFEITO!$K$233*EFEITO!$Y$233</f>
        <v>#NAME?</v>
      </c>
      <c r="N233" s="74" t="e">
        <f ca="1">$K$233-EFEITO!$M$233*EFEITO!$Z$233</f>
        <v>#NAME?</v>
      </c>
      <c r="O233" s="74" t="e">
        <f>$L$233-EFEITO!$O$233*EFEITO!$AA$233</f>
        <v>#NAME?</v>
      </c>
      <c r="P233" s="57"/>
      <c r="Q233" s="57"/>
      <c r="R233" s="57"/>
      <c r="S233" s="57"/>
      <c r="T233" s="57"/>
      <c r="U233" s="57"/>
      <c r="V233" s="57"/>
      <c r="W233" s="57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</row>
    <row r="234" spans="1:36" ht="11.25" customHeight="1" x14ac:dyDescent="0.2">
      <c r="A234" s="53" t="s">
        <v>21</v>
      </c>
      <c r="B234" s="53" t="s">
        <v>45</v>
      </c>
      <c r="C234" s="53" t="s">
        <v>41</v>
      </c>
      <c r="D234" s="53" t="s">
        <v>52</v>
      </c>
      <c r="E234" s="53" t="s">
        <v>53</v>
      </c>
      <c r="F234" s="53" t="s">
        <v>25</v>
      </c>
      <c r="G234" s="53" t="s">
        <v>25</v>
      </c>
      <c r="H234" s="53" t="s">
        <v>35</v>
      </c>
      <c r="I234" s="73">
        <v>43862</v>
      </c>
      <c r="J234" s="74" t="e">
        <f>EFEITO!$J$234*EFEITO!R0C25</f>
        <v>#NAME?</v>
      </c>
      <c r="K234" s="74" t="e">
        <f>EFEITO!$L$234*EFEITO!R0C26</f>
        <v>#NAME?</v>
      </c>
      <c r="L234" s="74" t="e">
        <f>EFEITO!$N$234*EFEITO!R0C27</f>
        <v>#NAME?</v>
      </c>
      <c r="M234" s="74" t="e">
        <f ca="1">$J$234-EFEITO!$K$234*EFEITO!$Y$234</f>
        <v>#NAME?</v>
      </c>
      <c r="N234" s="74" t="e">
        <f ca="1">$K$234-EFEITO!$M$234*EFEITO!$Z$234</f>
        <v>#NAME?</v>
      </c>
      <c r="O234" s="74" t="e">
        <f>$L$234-EFEITO!$O$234*EFEITO!$AA$234</f>
        <v>#NAME?</v>
      </c>
      <c r="P234" s="57"/>
      <c r="Q234" s="57"/>
      <c r="R234" s="57"/>
      <c r="S234" s="57"/>
      <c r="T234" s="57"/>
      <c r="U234" s="57"/>
      <c r="V234" s="57"/>
      <c r="W234" s="57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</row>
    <row r="235" spans="1:36" ht="11.25" customHeight="1" x14ac:dyDescent="0.2">
      <c r="A235" s="53" t="s">
        <v>21</v>
      </c>
      <c r="B235" s="53" t="s">
        <v>45</v>
      </c>
      <c r="C235" s="53" t="s">
        <v>41</v>
      </c>
      <c r="D235" s="53" t="s">
        <v>52</v>
      </c>
      <c r="E235" s="53" t="s">
        <v>53</v>
      </c>
      <c r="F235" s="53" t="s">
        <v>25</v>
      </c>
      <c r="G235" s="53" t="s">
        <v>25</v>
      </c>
      <c r="H235" s="53" t="s">
        <v>35</v>
      </c>
      <c r="I235" s="73">
        <v>43891</v>
      </c>
      <c r="J235" s="74" t="e">
        <f>EFEITO!$J$235*EFEITO!R0C25</f>
        <v>#NAME?</v>
      </c>
      <c r="K235" s="74" t="e">
        <f>EFEITO!$L$235*EFEITO!R0C26</f>
        <v>#NAME?</v>
      </c>
      <c r="L235" s="74" t="e">
        <f>EFEITO!$N$235*EFEITO!R0C27</f>
        <v>#NAME?</v>
      </c>
      <c r="M235" s="74" t="e">
        <f ca="1">$J$235-EFEITO!$K$235*EFEITO!$Y$235</f>
        <v>#NAME?</v>
      </c>
      <c r="N235" s="74" t="e">
        <f ca="1">$K$235-EFEITO!$M$235*EFEITO!$Z$235</f>
        <v>#NAME?</v>
      </c>
      <c r="O235" s="74" t="e">
        <f>$L$235-EFEITO!$O$235*EFEITO!$AA$235</f>
        <v>#NAME?</v>
      </c>
      <c r="P235" s="57"/>
      <c r="Q235" s="57"/>
      <c r="R235" s="57"/>
      <c r="S235" s="57"/>
      <c r="T235" s="57"/>
      <c r="U235" s="57"/>
      <c r="V235" s="57"/>
      <c r="W235" s="57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</row>
    <row r="236" spans="1:36" ht="11.25" customHeight="1" x14ac:dyDescent="0.2">
      <c r="A236" s="53" t="s">
        <v>21</v>
      </c>
      <c r="B236" s="53" t="s">
        <v>45</v>
      </c>
      <c r="C236" s="53" t="s">
        <v>41</v>
      </c>
      <c r="D236" s="53" t="s">
        <v>52</v>
      </c>
      <c r="E236" s="53" t="s">
        <v>53</v>
      </c>
      <c r="F236" s="53" t="s">
        <v>25</v>
      </c>
      <c r="G236" s="53" t="s">
        <v>25</v>
      </c>
      <c r="H236" s="53" t="s">
        <v>35</v>
      </c>
      <c r="I236" s="73">
        <v>43922</v>
      </c>
      <c r="J236" s="74" t="e">
        <f>EFEITO!$J$236*EFEITO!R0C25</f>
        <v>#NAME?</v>
      </c>
      <c r="K236" s="74" t="e">
        <f>EFEITO!$L$236*EFEITO!R0C26</f>
        <v>#NAME?</v>
      </c>
      <c r="L236" s="74" t="e">
        <f>EFEITO!$N$236*EFEITO!R0C27</f>
        <v>#NAME?</v>
      </c>
      <c r="M236" s="74" t="e">
        <f ca="1">$J$236-EFEITO!$K$236*EFEITO!$Y$236</f>
        <v>#NAME?</v>
      </c>
      <c r="N236" s="74" t="e">
        <f ca="1">$K$236-EFEITO!$M$236*EFEITO!$Z$236</f>
        <v>#NAME?</v>
      </c>
      <c r="O236" s="74" t="e">
        <f>$L$236-EFEITO!$O$236*EFEITO!$AA$236</f>
        <v>#NAME?</v>
      </c>
      <c r="P236" s="57"/>
      <c r="Q236" s="57"/>
      <c r="R236" s="57"/>
      <c r="S236" s="57"/>
      <c r="T236" s="57"/>
      <c r="U236" s="57"/>
      <c r="V236" s="57"/>
      <c r="W236" s="57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</row>
    <row r="237" spans="1:36" ht="11.25" customHeight="1" x14ac:dyDescent="0.2">
      <c r="A237" s="53" t="s">
        <v>21</v>
      </c>
      <c r="B237" s="53" t="s">
        <v>45</v>
      </c>
      <c r="C237" s="53" t="s">
        <v>41</v>
      </c>
      <c r="D237" s="53" t="s">
        <v>52</v>
      </c>
      <c r="E237" s="53" t="s">
        <v>53</v>
      </c>
      <c r="F237" s="53" t="s">
        <v>25</v>
      </c>
      <c r="G237" s="53" t="s">
        <v>25</v>
      </c>
      <c r="H237" s="53" t="s">
        <v>35</v>
      </c>
      <c r="I237" s="73">
        <v>43952</v>
      </c>
      <c r="J237" s="74" t="e">
        <f>EFEITO!$J$237*EFEITO!R0C25</f>
        <v>#NAME?</v>
      </c>
      <c r="K237" s="74" t="e">
        <f>EFEITO!$L$237*EFEITO!R0C26</f>
        <v>#NAME?</v>
      </c>
      <c r="L237" s="74" t="e">
        <f>EFEITO!$N$237*EFEITO!R0C27</f>
        <v>#NAME?</v>
      </c>
      <c r="M237" s="74" t="e">
        <f ca="1">$J$237-EFEITO!$K$237*EFEITO!$Y$237</f>
        <v>#NAME?</v>
      </c>
      <c r="N237" s="74" t="e">
        <f ca="1">$K$237-EFEITO!$M$237*EFEITO!$Z$237</f>
        <v>#NAME?</v>
      </c>
      <c r="O237" s="74" t="e">
        <f>$L$237-EFEITO!$O$237*EFEITO!$AA$237</f>
        <v>#NAME?</v>
      </c>
      <c r="P237" s="57"/>
      <c r="Q237" s="57"/>
      <c r="R237" s="57"/>
      <c r="S237" s="57"/>
      <c r="T237" s="57"/>
      <c r="U237" s="57"/>
      <c r="V237" s="57"/>
      <c r="W237" s="57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</row>
    <row r="238" spans="1:36" ht="11.25" customHeight="1" x14ac:dyDescent="0.2">
      <c r="A238" s="53" t="s">
        <v>21</v>
      </c>
      <c r="B238" s="53" t="s">
        <v>45</v>
      </c>
      <c r="C238" s="53" t="s">
        <v>41</v>
      </c>
      <c r="D238" s="53" t="s">
        <v>52</v>
      </c>
      <c r="E238" s="53" t="s">
        <v>53</v>
      </c>
      <c r="F238" s="53" t="s">
        <v>25</v>
      </c>
      <c r="G238" s="53" t="s">
        <v>25</v>
      </c>
      <c r="H238" s="53" t="s">
        <v>35</v>
      </c>
      <c r="I238" s="73">
        <v>43983</v>
      </c>
      <c r="J238" s="74" t="e">
        <f>EFEITO!$J$238*EFEITO!R0C25</f>
        <v>#NAME?</v>
      </c>
      <c r="K238" s="74" t="e">
        <f>EFEITO!$L$238*EFEITO!R0C26</f>
        <v>#NAME?</v>
      </c>
      <c r="L238" s="74" t="e">
        <f>EFEITO!$N$238*EFEITO!R0C27</f>
        <v>#NAME?</v>
      </c>
      <c r="M238" s="74" t="e">
        <f ca="1">$J$238-EFEITO!$K$238*EFEITO!$Y$238</f>
        <v>#NAME?</v>
      </c>
      <c r="N238" s="74" t="e">
        <f ca="1">$K$238-EFEITO!$M$238*EFEITO!$Z$238</f>
        <v>#NAME?</v>
      </c>
      <c r="O238" s="74" t="e">
        <f>$L$238-EFEITO!$O$238*EFEITO!$AA$238</f>
        <v>#NAME?</v>
      </c>
      <c r="P238" s="57"/>
      <c r="Q238" s="57"/>
      <c r="R238" s="57"/>
      <c r="S238" s="57"/>
      <c r="T238" s="57"/>
      <c r="U238" s="57"/>
      <c r="V238" s="57"/>
      <c r="W238" s="57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</row>
    <row r="239" spans="1:36" ht="11.25" customHeight="1" x14ac:dyDescent="0.2">
      <c r="A239" s="53" t="s">
        <v>21</v>
      </c>
      <c r="B239" s="53" t="s">
        <v>45</v>
      </c>
      <c r="C239" s="53" t="s">
        <v>41</v>
      </c>
      <c r="D239" s="53" t="s">
        <v>52</v>
      </c>
      <c r="E239" s="53" t="s">
        <v>53</v>
      </c>
      <c r="F239" s="53" t="s">
        <v>25</v>
      </c>
      <c r="G239" s="53" t="s">
        <v>25</v>
      </c>
      <c r="H239" s="53" t="s">
        <v>35</v>
      </c>
      <c r="I239" s="73">
        <v>44013</v>
      </c>
      <c r="J239" s="74" t="e">
        <f>EFEITO!$J$239*EFEITO!R0C25</f>
        <v>#NAME?</v>
      </c>
      <c r="K239" s="74" t="e">
        <f>EFEITO!$L$239*EFEITO!R0C26</f>
        <v>#NAME?</v>
      </c>
      <c r="L239" s="74" t="e">
        <f>EFEITO!$N$239*EFEITO!R0C27</f>
        <v>#NAME?</v>
      </c>
      <c r="M239" s="74" t="e">
        <f ca="1">$J$239-EFEITO!$K$239*EFEITO!$Y$239</f>
        <v>#NAME?</v>
      </c>
      <c r="N239" s="74" t="e">
        <f ca="1">$K$239-EFEITO!$M$239*EFEITO!$Z$239</f>
        <v>#NAME?</v>
      </c>
      <c r="O239" s="74" t="e">
        <f>$L$239-EFEITO!$O$239*EFEITO!$AA$239</f>
        <v>#NAME?</v>
      </c>
      <c r="P239" s="57"/>
      <c r="Q239" s="57"/>
      <c r="R239" s="57"/>
      <c r="S239" s="57"/>
      <c r="T239" s="57"/>
      <c r="U239" s="57"/>
      <c r="V239" s="57"/>
      <c r="W239" s="57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</row>
    <row r="240" spans="1:36" ht="11.25" customHeight="1" x14ac:dyDescent="0.2">
      <c r="A240" s="53" t="s">
        <v>21</v>
      </c>
      <c r="B240" s="53" t="s">
        <v>45</v>
      </c>
      <c r="C240" s="53" t="s">
        <v>41</v>
      </c>
      <c r="D240" s="53" t="s">
        <v>52</v>
      </c>
      <c r="E240" s="53" t="s">
        <v>53</v>
      </c>
      <c r="F240" s="53" t="s">
        <v>25</v>
      </c>
      <c r="G240" s="53" t="s">
        <v>25</v>
      </c>
      <c r="H240" s="53" t="s">
        <v>35</v>
      </c>
      <c r="I240" s="73">
        <v>44044</v>
      </c>
      <c r="J240" s="74" t="e">
        <f>EFEITO!$J$240*EFEITO!R0C25</f>
        <v>#NAME?</v>
      </c>
      <c r="K240" s="74" t="e">
        <f>EFEITO!$L$240*EFEITO!R0C26</f>
        <v>#NAME?</v>
      </c>
      <c r="L240" s="74" t="e">
        <f>EFEITO!$N$240*EFEITO!R0C27</f>
        <v>#NAME?</v>
      </c>
      <c r="M240" s="74" t="e">
        <f ca="1">$J$240-EFEITO!$K$240*EFEITO!$Y$240</f>
        <v>#NAME?</v>
      </c>
      <c r="N240" s="74" t="e">
        <f ca="1">$K$240-EFEITO!$M$240*EFEITO!$Z$240</f>
        <v>#NAME?</v>
      </c>
      <c r="O240" s="74" t="e">
        <f>$L$240-EFEITO!$O$240*EFEITO!$AA$240</f>
        <v>#NAME?</v>
      </c>
      <c r="P240" s="57"/>
      <c r="Q240" s="57"/>
      <c r="R240" s="57"/>
      <c r="S240" s="57"/>
      <c r="T240" s="57"/>
      <c r="U240" s="57"/>
      <c r="V240" s="57"/>
      <c r="W240" s="57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</row>
    <row r="241" spans="1:36" ht="11.25" customHeight="1" x14ac:dyDescent="0.2">
      <c r="A241" s="53" t="s">
        <v>59</v>
      </c>
      <c r="B241" s="53" t="s">
        <v>45</v>
      </c>
      <c r="C241" s="53" t="s">
        <v>41</v>
      </c>
      <c r="D241" s="53" t="s">
        <v>52</v>
      </c>
      <c r="E241" s="53" t="s">
        <v>53</v>
      </c>
      <c r="F241" s="53" t="s">
        <v>25</v>
      </c>
      <c r="G241" s="53" t="s">
        <v>25</v>
      </c>
      <c r="H241" s="53" t="s">
        <v>35</v>
      </c>
      <c r="I241" s="73">
        <v>44075</v>
      </c>
      <c r="J241" s="74" t="e">
        <f>EFEITO!$J$241*EFEITO!R0C25</f>
        <v>#NAME?</v>
      </c>
      <c r="K241" s="74" t="e">
        <f>EFEITO!$L$241*EFEITO!R0C26</f>
        <v>#NAME?</v>
      </c>
      <c r="L241" s="74" t="e">
        <f>EFEITO!$N$241*EFEITO!R0C27</f>
        <v>#NAME?</v>
      </c>
      <c r="M241" s="74" t="e">
        <f ca="1">$J$241-EFEITO!$K$241*EFEITO!$Y$241</f>
        <v>#NAME?</v>
      </c>
      <c r="N241" s="74" t="e">
        <f ca="1">$K$241-EFEITO!$M$241*EFEITO!$Z$241</f>
        <v>#NAME?</v>
      </c>
      <c r="O241" s="74" t="e">
        <f>$L$241-EFEITO!$O$241*EFEITO!$AA$241</f>
        <v>#NAME?</v>
      </c>
      <c r="P241" s="57"/>
      <c r="Q241" s="57"/>
      <c r="R241" s="57"/>
      <c r="S241" s="57"/>
      <c r="T241" s="57"/>
      <c r="U241" s="57"/>
      <c r="V241" s="57"/>
      <c r="W241" s="57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</row>
    <row r="242" spans="1:36" ht="11.25" customHeight="1" x14ac:dyDescent="0.2">
      <c r="A242" s="53" t="s">
        <v>21</v>
      </c>
      <c r="B242" s="53" t="s">
        <v>45</v>
      </c>
      <c r="C242" s="53" t="s">
        <v>64</v>
      </c>
      <c r="D242" s="53" t="s">
        <v>25</v>
      </c>
      <c r="E242" s="53" t="s">
        <v>25</v>
      </c>
      <c r="F242" s="53" t="s">
        <v>25</v>
      </c>
      <c r="G242" s="53" t="s">
        <v>65</v>
      </c>
      <c r="H242" s="53" t="s">
        <v>25</v>
      </c>
      <c r="I242" s="73">
        <v>43739</v>
      </c>
      <c r="J242" s="74">
        <f ca="1">EFEITO!$J$242*EFEITO!$Y$242</f>
        <v>88946.262389981071</v>
      </c>
      <c r="K242" s="74">
        <f>EFEITO!$L$242*EFEITO!$Z$242</f>
        <v>0</v>
      </c>
      <c r="L242" s="74">
        <f>EFEITO!$N$242*EFEITO!$AA$242</f>
        <v>0</v>
      </c>
      <c r="M242" s="74">
        <f ca="1">$J$242-EFEITO!$K$242*EFEITO!$Y$242</f>
        <v>33221.429002657933</v>
      </c>
      <c r="N242" s="74">
        <f>$K$242-EFEITO!$M$242*EFEITO!$Z$242</f>
        <v>0</v>
      </c>
      <c r="O242" s="74">
        <f>$L$242-EFEITO!$O$242*EFEITO!$AA$242</f>
        <v>0</v>
      </c>
      <c r="P242" s="57"/>
      <c r="Q242" s="57"/>
      <c r="R242" s="57"/>
      <c r="S242" s="57"/>
      <c r="T242" s="57"/>
      <c r="U242" s="57"/>
      <c r="V242" s="57"/>
      <c r="W242" s="57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</row>
    <row r="243" spans="1:36" ht="11.25" customHeight="1" x14ac:dyDescent="0.2">
      <c r="A243" s="53" t="s">
        <v>21</v>
      </c>
      <c r="B243" s="53" t="s">
        <v>45</v>
      </c>
      <c r="C243" s="53" t="s">
        <v>64</v>
      </c>
      <c r="D243" s="53" t="s">
        <v>25</v>
      </c>
      <c r="E243" s="53" t="s">
        <v>25</v>
      </c>
      <c r="F243" s="53" t="s">
        <v>25</v>
      </c>
      <c r="G243" s="53" t="s">
        <v>65</v>
      </c>
      <c r="H243" s="53" t="s">
        <v>25</v>
      </c>
      <c r="I243" s="73">
        <v>43770</v>
      </c>
      <c r="J243" s="74">
        <f ca="1">EFEITO!$J$243*EFEITO!$Y$243</f>
        <v>88946.262389981071</v>
      </c>
      <c r="K243" s="74">
        <f>EFEITO!$L$243*EFEITO!$Z$243</f>
        <v>0</v>
      </c>
      <c r="L243" s="74">
        <f>EFEITO!$N$243*EFEITO!$AA$243</f>
        <v>0</v>
      </c>
      <c r="M243" s="74">
        <f ca="1">$J$243-EFEITO!$K$243*EFEITO!$Y$243</f>
        <v>37224.010810207081</v>
      </c>
      <c r="N243" s="74">
        <f>$K$243-EFEITO!$M$243*EFEITO!$Z$243</f>
        <v>0</v>
      </c>
      <c r="O243" s="74">
        <f>$L$243-EFEITO!$O$243*EFEITO!$AA$243</f>
        <v>0</v>
      </c>
      <c r="P243" s="57"/>
      <c r="Q243" s="57"/>
      <c r="R243" s="57"/>
      <c r="S243" s="57"/>
      <c r="T243" s="57"/>
      <c r="U243" s="57"/>
      <c r="V243" s="57"/>
      <c r="W243" s="57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</row>
    <row r="244" spans="1:36" ht="11.25" customHeight="1" x14ac:dyDescent="0.2">
      <c r="A244" s="53" t="s">
        <v>21</v>
      </c>
      <c r="B244" s="53" t="s">
        <v>45</v>
      </c>
      <c r="C244" s="53" t="s">
        <v>64</v>
      </c>
      <c r="D244" s="53" t="s">
        <v>25</v>
      </c>
      <c r="E244" s="53" t="s">
        <v>25</v>
      </c>
      <c r="F244" s="53" t="s">
        <v>25</v>
      </c>
      <c r="G244" s="53" t="s">
        <v>65</v>
      </c>
      <c r="H244" s="53" t="s">
        <v>25</v>
      </c>
      <c r="I244" s="73">
        <v>43800</v>
      </c>
      <c r="J244" s="74">
        <f ca="1">EFEITO!$J$244*EFEITO!$Y$244</f>
        <v>88946.262389981071</v>
      </c>
      <c r="K244" s="74">
        <f>EFEITO!$L$244*EFEITO!$Z$244</f>
        <v>0</v>
      </c>
      <c r="L244" s="74">
        <f>EFEITO!$N$244*EFEITO!$AA$244</f>
        <v>0</v>
      </c>
      <c r="M244" s="74">
        <f ca="1">$J$244-EFEITO!$K$244*EFEITO!$Y$244</f>
        <v>36974.961275515125</v>
      </c>
      <c r="N244" s="74">
        <f>$K$244-EFEITO!$M$244*EFEITO!$Z$244</f>
        <v>0</v>
      </c>
      <c r="O244" s="74">
        <f>$L$244-EFEITO!$O$244*EFEITO!$AA$244</f>
        <v>0</v>
      </c>
      <c r="P244" s="57"/>
      <c r="Q244" s="57"/>
      <c r="R244" s="57"/>
      <c r="S244" s="57"/>
      <c r="T244" s="57"/>
      <c r="U244" s="57"/>
      <c r="V244" s="57"/>
      <c r="W244" s="57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</row>
    <row r="245" spans="1:36" ht="11.25" customHeight="1" x14ac:dyDescent="0.2">
      <c r="A245" s="53" t="s">
        <v>21</v>
      </c>
      <c r="B245" s="53" t="s">
        <v>45</v>
      </c>
      <c r="C245" s="53" t="s">
        <v>64</v>
      </c>
      <c r="D245" s="53" t="s">
        <v>25</v>
      </c>
      <c r="E245" s="53" t="s">
        <v>25</v>
      </c>
      <c r="F245" s="53" t="s">
        <v>25</v>
      </c>
      <c r="G245" s="53" t="s">
        <v>65</v>
      </c>
      <c r="H245" s="53" t="s">
        <v>25</v>
      </c>
      <c r="I245" s="73">
        <v>43831</v>
      </c>
      <c r="J245" s="74">
        <f ca="1">EFEITO!$J$245*EFEITO!$Y$245</f>
        <v>88946.262389981071</v>
      </c>
      <c r="K245" s="74">
        <f>EFEITO!$L$245*EFEITO!$Z$245</f>
        <v>0</v>
      </c>
      <c r="L245" s="74">
        <f>EFEITO!$N$245*EFEITO!$AA$245</f>
        <v>0</v>
      </c>
      <c r="M245" s="74">
        <f ca="1">$J$245-EFEITO!$K$245*EFEITO!$Y$245</f>
        <v>37539.77004169151</v>
      </c>
      <c r="N245" s="74">
        <f>$K$245-EFEITO!$M$245*EFEITO!$Z$245</f>
        <v>0</v>
      </c>
      <c r="O245" s="74">
        <f>$L$245-EFEITO!$O$245*EFEITO!$AA$245</f>
        <v>0</v>
      </c>
      <c r="P245" s="57"/>
      <c r="Q245" s="57"/>
      <c r="R245" s="57"/>
      <c r="S245" s="57"/>
      <c r="T245" s="57"/>
      <c r="U245" s="57"/>
      <c r="V245" s="57"/>
      <c r="W245" s="57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</row>
    <row r="246" spans="1:36" ht="11.25" customHeight="1" x14ac:dyDescent="0.2">
      <c r="A246" s="53" t="s">
        <v>21</v>
      </c>
      <c r="B246" s="53" t="s">
        <v>45</v>
      </c>
      <c r="C246" s="53" t="s">
        <v>64</v>
      </c>
      <c r="D246" s="53" t="s">
        <v>25</v>
      </c>
      <c r="E246" s="53" t="s">
        <v>25</v>
      </c>
      <c r="F246" s="53" t="s">
        <v>25</v>
      </c>
      <c r="G246" s="53" t="s">
        <v>65</v>
      </c>
      <c r="H246" s="53" t="s">
        <v>25</v>
      </c>
      <c r="I246" s="73">
        <v>43862</v>
      </c>
      <c r="J246" s="74">
        <f ca="1">EFEITO!$J$246*EFEITO!$Y$246</f>
        <v>88946.262389981071</v>
      </c>
      <c r="K246" s="74">
        <f>EFEITO!$L$246*EFEITO!$Z$246</f>
        <v>0</v>
      </c>
      <c r="L246" s="74">
        <f>EFEITO!$N$246*EFEITO!$AA$246</f>
        <v>0</v>
      </c>
      <c r="M246" s="74">
        <f ca="1">$J$246-EFEITO!$K$246*EFEITO!$Y$246</f>
        <v>37535.322728572013</v>
      </c>
      <c r="N246" s="74">
        <f>$K$246-EFEITO!$M$246*EFEITO!$Z$246</f>
        <v>0</v>
      </c>
      <c r="O246" s="74">
        <f>$L$246-EFEITO!$O$246*EFEITO!$AA$246</f>
        <v>0</v>
      </c>
      <c r="P246" s="57"/>
      <c r="Q246" s="57"/>
      <c r="R246" s="57"/>
      <c r="S246" s="57"/>
      <c r="T246" s="57"/>
      <c r="U246" s="57"/>
      <c r="V246" s="57"/>
      <c r="W246" s="57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</row>
    <row r="247" spans="1:36" ht="11.25" customHeight="1" x14ac:dyDescent="0.2">
      <c r="A247" s="53" t="s">
        <v>21</v>
      </c>
      <c r="B247" s="53" t="s">
        <v>45</v>
      </c>
      <c r="C247" s="53" t="s">
        <v>64</v>
      </c>
      <c r="D247" s="53" t="s">
        <v>25</v>
      </c>
      <c r="E247" s="53" t="s">
        <v>25</v>
      </c>
      <c r="F247" s="53" t="s">
        <v>25</v>
      </c>
      <c r="G247" s="53" t="s">
        <v>65</v>
      </c>
      <c r="H247" s="53" t="s">
        <v>25</v>
      </c>
      <c r="I247" s="73">
        <v>43891</v>
      </c>
      <c r="J247" s="74">
        <f ca="1">EFEITO!$J$247*EFEITO!$Y$247</f>
        <v>88946.262389981071</v>
      </c>
      <c r="K247" s="74">
        <f>EFEITO!$L$247*EFEITO!$Z$247</f>
        <v>0</v>
      </c>
      <c r="L247" s="74">
        <f>EFEITO!$N$247*EFEITO!$AA$247</f>
        <v>0</v>
      </c>
      <c r="M247" s="74">
        <f ca="1">$J$247-EFEITO!$K$247*EFEITO!$Y$247</f>
        <v>37610.927051603496</v>
      </c>
      <c r="N247" s="74">
        <f>$K$247-EFEITO!$M$247*EFEITO!$Z$247</f>
        <v>0</v>
      </c>
      <c r="O247" s="74">
        <f>$L$247-EFEITO!$O$247*EFEITO!$AA$247</f>
        <v>0</v>
      </c>
      <c r="P247" s="57"/>
      <c r="Q247" s="57"/>
      <c r="R247" s="57"/>
      <c r="S247" s="57"/>
      <c r="T247" s="57"/>
      <c r="U247" s="57"/>
      <c r="V247" s="57"/>
      <c r="W247" s="57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</row>
    <row r="248" spans="1:36" ht="11.25" customHeight="1" x14ac:dyDescent="0.2">
      <c r="A248" s="53" t="s">
        <v>21</v>
      </c>
      <c r="B248" s="53" t="s">
        <v>45</v>
      </c>
      <c r="C248" s="53" t="s">
        <v>64</v>
      </c>
      <c r="D248" s="53" t="s">
        <v>25</v>
      </c>
      <c r="E248" s="53" t="s">
        <v>25</v>
      </c>
      <c r="F248" s="53" t="s">
        <v>25</v>
      </c>
      <c r="G248" s="53" t="s">
        <v>65</v>
      </c>
      <c r="H248" s="53" t="s">
        <v>25</v>
      </c>
      <c r="I248" s="73">
        <v>43922</v>
      </c>
      <c r="J248" s="74">
        <f ca="1">EFEITO!$J$248*EFEITO!$Y$248</f>
        <v>88946.262389981071</v>
      </c>
      <c r="K248" s="74">
        <f>EFEITO!$L$248*EFEITO!$Z$248</f>
        <v>0</v>
      </c>
      <c r="L248" s="74">
        <f>EFEITO!$N$248*EFEITO!$AA$248</f>
        <v>0</v>
      </c>
      <c r="M248" s="74">
        <f ca="1">$J$248-EFEITO!$K$248*EFEITO!$Y$248</f>
        <v>37570.901233528006</v>
      </c>
      <c r="N248" s="74">
        <f>$K$248-EFEITO!$M$248*EFEITO!$Z$248</f>
        <v>0</v>
      </c>
      <c r="O248" s="74">
        <f>$L$248-EFEITO!$O$248*EFEITO!$AA$248</f>
        <v>0</v>
      </c>
      <c r="P248" s="57"/>
      <c r="Q248" s="57"/>
      <c r="R248" s="57"/>
      <c r="S248" s="57"/>
      <c r="T248" s="57"/>
      <c r="U248" s="57"/>
      <c r="V248" s="57"/>
      <c r="W248" s="57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</row>
    <row r="249" spans="1:36" ht="11.25" customHeight="1" x14ac:dyDescent="0.2">
      <c r="A249" s="53" t="s">
        <v>21</v>
      </c>
      <c r="B249" s="53" t="s">
        <v>45</v>
      </c>
      <c r="C249" s="53" t="s">
        <v>64</v>
      </c>
      <c r="D249" s="53" t="s">
        <v>25</v>
      </c>
      <c r="E249" s="53" t="s">
        <v>25</v>
      </c>
      <c r="F249" s="53" t="s">
        <v>25</v>
      </c>
      <c r="G249" s="53" t="s">
        <v>65</v>
      </c>
      <c r="H249" s="53" t="s">
        <v>25</v>
      </c>
      <c r="I249" s="73">
        <v>43952</v>
      </c>
      <c r="J249" s="74">
        <f ca="1">EFEITO!$J$249*EFEITO!$Y$249</f>
        <v>88946.262389981071</v>
      </c>
      <c r="K249" s="74">
        <f>EFEITO!$L$249*EFEITO!$Z$249</f>
        <v>0</v>
      </c>
      <c r="L249" s="74">
        <f>EFEITO!$N$249*EFEITO!$AA$249</f>
        <v>0</v>
      </c>
      <c r="M249" s="74">
        <f ca="1">$J$249-EFEITO!$K$249*EFEITO!$Y$249</f>
        <v>37539.77004169151</v>
      </c>
      <c r="N249" s="74">
        <f>$K$249-EFEITO!$M$249*EFEITO!$Z$249</f>
        <v>0</v>
      </c>
      <c r="O249" s="74">
        <f>$L$249-EFEITO!$O$249*EFEITO!$AA$249</f>
        <v>0</v>
      </c>
      <c r="P249" s="57"/>
      <c r="Q249" s="57"/>
      <c r="R249" s="57"/>
      <c r="S249" s="57"/>
      <c r="T249" s="57"/>
      <c r="U249" s="57"/>
      <c r="V249" s="57"/>
      <c r="W249" s="57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</row>
    <row r="250" spans="1:36" ht="11.25" customHeight="1" x14ac:dyDescent="0.2">
      <c r="A250" s="53" t="s">
        <v>21</v>
      </c>
      <c r="B250" s="53" t="s">
        <v>45</v>
      </c>
      <c r="C250" s="53" t="s">
        <v>64</v>
      </c>
      <c r="D250" s="53" t="s">
        <v>25</v>
      </c>
      <c r="E250" s="53" t="s">
        <v>25</v>
      </c>
      <c r="F250" s="53" t="s">
        <v>25</v>
      </c>
      <c r="G250" s="53" t="s">
        <v>65</v>
      </c>
      <c r="H250" s="53" t="s">
        <v>25</v>
      </c>
      <c r="I250" s="73">
        <v>43983</v>
      </c>
      <c r="J250" s="74">
        <f ca="1">EFEITO!$J$250*EFEITO!$Y$250</f>
        <v>88946.262389981071</v>
      </c>
      <c r="K250" s="74">
        <f>EFEITO!$L$250*EFEITO!$Z$250</f>
        <v>0</v>
      </c>
      <c r="L250" s="74">
        <f>EFEITO!$N$250*EFEITO!$AA$250</f>
        <v>0</v>
      </c>
      <c r="M250" s="74">
        <f ca="1">$J$250-EFEITO!$K$250*EFEITO!$Y$250</f>
        <v>37757.688384546964</v>
      </c>
      <c r="N250" s="74">
        <f>$K$250-EFEITO!$M$250*EFEITO!$Z$250</f>
        <v>0</v>
      </c>
      <c r="O250" s="74">
        <f>$L$250-EFEITO!$O$250*EFEITO!$AA$250</f>
        <v>0</v>
      </c>
      <c r="P250" s="57"/>
      <c r="Q250" s="57"/>
      <c r="R250" s="57"/>
      <c r="S250" s="57"/>
      <c r="T250" s="57"/>
      <c r="U250" s="57"/>
      <c r="V250" s="57"/>
      <c r="W250" s="57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</row>
    <row r="251" spans="1:36" ht="11.25" customHeight="1" x14ac:dyDescent="0.2">
      <c r="A251" s="53" t="s">
        <v>21</v>
      </c>
      <c r="B251" s="53" t="s">
        <v>45</v>
      </c>
      <c r="C251" s="53" t="s">
        <v>64</v>
      </c>
      <c r="D251" s="53" t="s">
        <v>25</v>
      </c>
      <c r="E251" s="53" t="s">
        <v>25</v>
      </c>
      <c r="F251" s="53" t="s">
        <v>25</v>
      </c>
      <c r="G251" s="53" t="s">
        <v>65</v>
      </c>
      <c r="H251" s="53" t="s">
        <v>25</v>
      </c>
      <c r="I251" s="73">
        <v>44013</v>
      </c>
      <c r="J251" s="74">
        <f ca="1">EFEITO!$J$251*EFEITO!$Y$251</f>
        <v>88946.262389981071</v>
      </c>
      <c r="K251" s="74">
        <f>EFEITO!$L$251*EFEITO!$Z$251</f>
        <v>0</v>
      </c>
      <c r="L251" s="74">
        <f>EFEITO!$N$251*EFEITO!$AA$251</f>
        <v>0</v>
      </c>
      <c r="M251" s="74">
        <f ca="1">$J$251-EFEITO!$K$251*EFEITO!$Y$251</f>
        <v>37837.740020697951</v>
      </c>
      <c r="N251" s="74">
        <f>$K$251-EFEITO!$M$251*EFEITO!$Z$251</f>
        <v>0</v>
      </c>
      <c r="O251" s="74">
        <f>$L$251-EFEITO!$O$251*EFEITO!$AA$251</f>
        <v>0</v>
      </c>
      <c r="P251" s="57"/>
      <c r="Q251" s="57"/>
      <c r="R251" s="57"/>
      <c r="S251" s="57"/>
      <c r="T251" s="57"/>
      <c r="U251" s="57"/>
      <c r="V251" s="57"/>
      <c r="W251" s="57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</row>
    <row r="252" spans="1:36" ht="11.25" customHeight="1" x14ac:dyDescent="0.2">
      <c r="A252" s="53" t="s">
        <v>21</v>
      </c>
      <c r="B252" s="53" t="s">
        <v>45</v>
      </c>
      <c r="C252" s="53" t="s">
        <v>64</v>
      </c>
      <c r="D252" s="53" t="s">
        <v>25</v>
      </c>
      <c r="E252" s="53" t="s">
        <v>25</v>
      </c>
      <c r="F252" s="53" t="s">
        <v>25</v>
      </c>
      <c r="G252" s="53" t="s">
        <v>65</v>
      </c>
      <c r="H252" s="53" t="s">
        <v>25</v>
      </c>
      <c r="I252" s="73">
        <v>44044</v>
      </c>
      <c r="J252" s="74">
        <f ca="1">EFEITO!$J$252*EFEITO!$Y$252</f>
        <v>88946.262389981071</v>
      </c>
      <c r="K252" s="74">
        <f>EFEITO!$L$252*EFEITO!$Z$252</f>
        <v>0</v>
      </c>
      <c r="L252" s="74">
        <f>EFEITO!$N$252*EFEITO!$AA$252</f>
        <v>0</v>
      </c>
      <c r="M252" s="74">
        <f ca="1">$J$252-EFEITO!$K$252*EFEITO!$Y$252</f>
        <v>37882.213151892938</v>
      </c>
      <c r="N252" s="74">
        <f>$K$252-EFEITO!$M$252*EFEITO!$Z$252</f>
        <v>0</v>
      </c>
      <c r="O252" s="74">
        <f>$L$252-EFEITO!$O$252*EFEITO!$AA$252</f>
        <v>0</v>
      </c>
      <c r="P252" s="57"/>
      <c r="Q252" s="57"/>
      <c r="R252" s="57"/>
      <c r="S252" s="57"/>
      <c r="T252" s="57"/>
      <c r="U252" s="57"/>
      <c r="V252" s="57"/>
      <c r="W252" s="57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</row>
    <row r="253" spans="1:36" ht="11.25" customHeight="1" x14ac:dyDescent="0.2">
      <c r="A253" s="53" t="s">
        <v>59</v>
      </c>
      <c r="B253" s="53" t="s">
        <v>45</v>
      </c>
      <c r="C253" s="53" t="s">
        <v>64</v>
      </c>
      <c r="D253" s="53" t="s">
        <v>25</v>
      </c>
      <c r="E253" s="53" t="s">
        <v>25</v>
      </c>
      <c r="F253" s="53" t="s">
        <v>25</v>
      </c>
      <c r="G253" s="53" t="s">
        <v>65</v>
      </c>
      <c r="H253" s="53" t="s">
        <v>25</v>
      </c>
      <c r="I253" s="73">
        <v>44075</v>
      </c>
      <c r="J253" s="74">
        <f ca="1">EFEITO!$J$253*EFEITO!$Y$253</f>
        <v>88946.262389981071</v>
      </c>
      <c r="K253" s="74">
        <f>EFEITO!$L$253*EFEITO!$Z$253</f>
        <v>0</v>
      </c>
      <c r="L253" s="74">
        <f>EFEITO!$N$253*EFEITO!$AA$253</f>
        <v>0</v>
      </c>
      <c r="M253" s="74">
        <f ca="1">$J$253-EFEITO!$K$253*EFEITO!$Y$253</f>
        <v>37882.213151892938</v>
      </c>
      <c r="N253" s="74">
        <f>$K$253-EFEITO!$M$253*EFEITO!$Z$253</f>
        <v>0</v>
      </c>
      <c r="O253" s="74">
        <f>$L$253-EFEITO!$O$253*EFEITO!$AA$253</f>
        <v>0</v>
      </c>
      <c r="P253" s="57"/>
      <c r="Q253" s="57"/>
      <c r="R253" s="57"/>
      <c r="S253" s="57"/>
      <c r="T253" s="57"/>
      <c r="U253" s="57"/>
      <c r="V253" s="57"/>
      <c r="W253" s="57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</row>
    <row r="254" spans="1:36" ht="11.25" customHeight="1" x14ac:dyDescent="0.2">
      <c r="A254" s="53" t="s">
        <v>21</v>
      </c>
      <c r="B254" s="53" t="s">
        <v>45</v>
      </c>
      <c r="C254" s="53" t="s">
        <v>34</v>
      </c>
      <c r="D254" s="53" t="s">
        <v>42</v>
      </c>
      <c r="E254" s="53" t="s">
        <v>25</v>
      </c>
      <c r="F254" s="53" t="s">
        <v>25</v>
      </c>
      <c r="G254" s="53" t="s">
        <v>25</v>
      </c>
      <c r="H254" s="53" t="s">
        <v>36</v>
      </c>
      <c r="I254" s="73">
        <v>43739</v>
      </c>
      <c r="J254" s="74">
        <f>EFEITO!$J$254*EFEITO!$Y$254</f>
        <v>0</v>
      </c>
      <c r="K254" s="74">
        <f ca="1">EFEITO!$L$254*EFEITO!$Z$254</f>
        <v>3427.8708500931307</v>
      </c>
      <c r="L254" s="74">
        <f>EFEITO!$N$254*EFEITO!$AA$254</f>
        <v>9041.0834799355489</v>
      </c>
      <c r="M254" s="74">
        <f>$J$254-EFEITO!$K$254*EFEITO!$Y$254</f>
        <v>0</v>
      </c>
      <c r="N254" s="74">
        <f ca="1">$K$254-EFEITO!$M$254*EFEITO!$Z$254</f>
        <v>0</v>
      </c>
      <c r="O254" s="74">
        <f>$L$254-EFEITO!$O$254*EFEITO!$AA$254</f>
        <v>0</v>
      </c>
      <c r="P254" s="57"/>
      <c r="Q254" s="57"/>
      <c r="R254" s="57"/>
      <c r="S254" s="57"/>
      <c r="T254" s="57"/>
      <c r="U254" s="57"/>
      <c r="V254" s="57"/>
      <c r="W254" s="57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</row>
    <row r="255" spans="1:36" ht="11.25" customHeight="1" x14ac:dyDescent="0.2">
      <c r="A255" s="53" t="s">
        <v>27</v>
      </c>
      <c r="B255" s="53" t="s">
        <v>45</v>
      </c>
      <c r="C255" s="53" t="s">
        <v>34</v>
      </c>
      <c r="D255" s="53" t="s">
        <v>42</v>
      </c>
      <c r="E255" s="53" t="s">
        <v>25</v>
      </c>
      <c r="F255" s="53" t="s">
        <v>25</v>
      </c>
      <c r="G255" s="53" t="s">
        <v>25</v>
      </c>
      <c r="H255" s="53" t="s">
        <v>36</v>
      </c>
      <c r="I255" s="73">
        <v>43739</v>
      </c>
      <c r="J255" s="74">
        <f>EFEITO!$J$255*EFEITO!$Y$255</f>
        <v>0</v>
      </c>
      <c r="K255" s="74">
        <f ca="1">EFEITO!$L$255*EFEITO!$Z$255</f>
        <v>2147.1125070935932</v>
      </c>
      <c r="L255" s="74">
        <f>EFEITO!$N$255*EFEITO!$AA$255</f>
        <v>5663.0556594392938</v>
      </c>
      <c r="M255" s="74">
        <f>$J$255-EFEITO!$K$255*EFEITO!$Y$255</f>
        <v>0</v>
      </c>
      <c r="N255" s="74">
        <f ca="1">$K$255-EFEITO!$M$255*EFEITO!$Z$255</f>
        <v>0</v>
      </c>
      <c r="O255" s="74">
        <f>$L$255-EFEITO!$O$255*EFEITO!$AA$255</f>
        <v>0</v>
      </c>
      <c r="P255" s="57"/>
      <c r="Q255" s="57"/>
      <c r="R255" s="57"/>
      <c r="S255" s="57"/>
      <c r="T255" s="57"/>
      <c r="U255" s="57"/>
      <c r="V255" s="57"/>
      <c r="W255" s="57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</row>
    <row r="256" spans="1:36" ht="11.25" customHeight="1" x14ac:dyDescent="0.2">
      <c r="A256" s="53" t="s">
        <v>21</v>
      </c>
      <c r="B256" s="53" t="s">
        <v>45</v>
      </c>
      <c r="C256" s="53" t="s">
        <v>34</v>
      </c>
      <c r="D256" s="53" t="s">
        <v>42</v>
      </c>
      <c r="E256" s="53" t="s">
        <v>25</v>
      </c>
      <c r="F256" s="53" t="s">
        <v>25</v>
      </c>
      <c r="G256" s="53" t="s">
        <v>25</v>
      </c>
      <c r="H256" s="53" t="s">
        <v>36</v>
      </c>
      <c r="I256" s="73">
        <v>43770</v>
      </c>
      <c r="J256" s="74">
        <f>EFEITO!$J$256*EFEITO!$Y$256</f>
        <v>0</v>
      </c>
      <c r="K256" s="74">
        <f ca="1">EFEITO!$L$256*EFEITO!$Z$256</f>
        <v>5994.7262171720849</v>
      </c>
      <c r="L256" s="74">
        <f>EFEITO!$N$256*EFEITO!$AA$256</f>
        <v>15811.220007702026</v>
      </c>
      <c r="M256" s="74">
        <f>$J$256-EFEITO!$K$256*EFEITO!$Y$256</f>
        <v>0</v>
      </c>
      <c r="N256" s="74">
        <f ca="1">$K$256-EFEITO!$M$256*EFEITO!$Z$256</f>
        <v>0</v>
      </c>
      <c r="O256" s="74">
        <f>$L$256-EFEITO!$O$256*EFEITO!$AA$256</f>
        <v>0</v>
      </c>
      <c r="P256" s="57"/>
      <c r="Q256" s="57"/>
      <c r="R256" s="57"/>
      <c r="S256" s="57"/>
      <c r="T256" s="57"/>
      <c r="U256" s="57"/>
      <c r="V256" s="57"/>
      <c r="W256" s="57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</row>
    <row r="257" spans="1:36" ht="11.25" customHeight="1" x14ac:dyDescent="0.2">
      <c r="A257" s="53" t="s">
        <v>21</v>
      </c>
      <c r="B257" s="53" t="s">
        <v>45</v>
      </c>
      <c r="C257" s="53" t="s">
        <v>34</v>
      </c>
      <c r="D257" s="53" t="s">
        <v>42</v>
      </c>
      <c r="E257" s="53" t="s">
        <v>25</v>
      </c>
      <c r="F257" s="53" t="s">
        <v>25</v>
      </c>
      <c r="G257" s="53" t="s">
        <v>25</v>
      </c>
      <c r="H257" s="53" t="s">
        <v>36</v>
      </c>
      <c r="I257" s="73">
        <v>43800</v>
      </c>
      <c r="J257" s="74">
        <f>EFEITO!$J$257*EFEITO!$Y$257</f>
        <v>0</v>
      </c>
      <c r="K257" s="74">
        <f ca="1">EFEITO!$L$257*EFEITO!$Z$257</f>
        <v>5727.0044889203709</v>
      </c>
      <c r="L257" s="74">
        <f>EFEITO!$N$257*EFEITO!$AA$257</f>
        <v>15105.098161118862</v>
      </c>
      <c r="M257" s="74">
        <f>$J$257-EFEITO!$K$257*EFEITO!$Y$257</f>
        <v>0</v>
      </c>
      <c r="N257" s="74">
        <f ca="1">$K$257-EFEITO!$M$257*EFEITO!$Z$257</f>
        <v>0</v>
      </c>
      <c r="O257" s="74">
        <f>$L$257-EFEITO!$O$257*EFEITO!$AA$257</f>
        <v>0</v>
      </c>
      <c r="P257" s="57"/>
      <c r="Q257" s="57"/>
      <c r="R257" s="57"/>
      <c r="S257" s="57"/>
      <c r="T257" s="57"/>
      <c r="U257" s="57"/>
      <c r="V257" s="57"/>
      <c r="W257" s="57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</row>
    <row r="258" spans="1:36" ht="11.25" customHeight="1" x14ac:dyDescent="0.2">
      <c r="A258" s="53" t="s">
        <v>21</v>
      </c>
      <c r="B258" s="53" t="s">
        <v>45</v>
      </c>
      <c r="C258" s="53" t="s">
        <v>34</v>
      </c>
      <c r="D258" s="53" t="s">
        <v>42</v>
      </c>
      <c r="E258" s="53" t="s">
        <v>25</v>
      </c>
      <c r="F258" s="53" t="s">
        <v>25</v>
      </c>
      <c r="G258" s="53" t="s">
        <v>25</v>
      </c>
      <c r="H258" s="53" t="s">
        <v>36</v>
      </c>
      <c r="I258" s="73">
        <v>43831</v>
      </c>
      <c r="J258" s="74">
        <f>EFEITO!$J$258*EFEITO!$Y$258</f>
        <v>0</v>
      </c>
      <c r="K258" s="74">
        <f ca="1">EFEITO!$L$258*EFEITO!$Z$258</f>
        <v>6149.7230072125512</v>
      </c>
      <c r="L258" s="74">
        <f>EFEITO!$N$258*EFEITO!$AA$258</f>
        <v>16220.027392565964</v>
      </c>
      <c r="M258" s="74">
        <f>$J$258-EFEITO!$K$258*EFEITO!$Y$258</f>
        <v>0</v>
      </c>
      <c r="N258" s="74">
        <f ca="1">$K$258-EFEITO!$M$258*EFEITO!$Z$258</f>
        <v>0</v>
      </c>
      <c r="O258" s="74">
        <f>$L$258-EFEITO!$O$258*EFEITO!$AA$258</f>
        <v>0</v>
      </c>
      <c r="P258" s="57"/>
      <c r="Q258" s="57"/>
      <c r="R258" s="57"/>
      <c r="S258" s="57"/>
      <c r="T258" s="57"/>
      <c r="U258" s="57"/>
      <c r="V258" s="57"/>
      <c r="W258" s="57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</row>
    <row r="259" spans="1:36" ht="11.25" customHeight="1" x14ac:dyDescent="0.2">
      <c r="A259" s="53" t="s">
        <v>21</v>
      </c>
      <c r="B259" s="53" t="s">
        <v>45</v>
      </c>
      <c r="C259" s="53" t="s">
        <v>34</v>
      </c>
      <c r="D259" s="53" t="s">
        <v>42</v>
      </c>
      <c r="E259" s="53" t="s">
        <v>25</v>
      </c>
      <c r="F259" s="53" t="s">
        <v>25</v>
      </c>
      <c r="G259" s="53" t="s">
        <v>25</v>
      </c>
      <c r="H259" s="53" t="s">
        <v>36</v>
      </c>
      <c r="I259" s="73">
        <v>43862</v>
      </c>
      <c r="J259" s="74">
        <f>EFEITO!$J$259*EFEITO!$Y$259</f>
        <v>0</v>
      </c>
      <c r="K259" s="74">
        <f ca="1">EFEITO!$L$259*EFEITO!$Z$259</f>
        <v>6538.4840130622124</v>
      </c>
      <c r="L259" s="74">
        <f>EFEITO!$N$259*EFEITO!$AA$259</f>
        <v>17245.392950762245</v>
      </c>
      <c r="M259" s="74">
        <f>$J$259-EFEITO!$K$259*EFEITO!$Y$259</f>
        <v>0</v>
      </c>
      <c r="N259" s="74">
        <f ca="1">$K$259-EFEITO!$M$259*EFEITO!$Z$259</f>
        <v>0</v>
      </c>
      <c r="O259" s="74">
        <f>$L$259-EFEITO!$O$259*EFEITO!$AA$259</f>
        <v>0</v>
      </c>
      <c r="P259" s="57"/>
      <c r="Q259" s="57"/>
      <c r="R259" s="57"/>
      <c r="S259" s="57"/>
      <c r="T259" s="57"/>
      <c r="U259" s="57"/>
      <c r="V259" s="57"/>
      <c r="W259" s="57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</row>
    <row r="260" spans="1:36" ht="11.25" customHeight="1" x14ac:dyDescent="0.2">
      <c r="A260" s="53" t="s">
        <v>21</v>
      </c>
      <c r="B260" s="53" t="s">
        <v>45</v>
      </c>
      <c r="C260" s="53" t="s">
        <v>34</v>
      </c>
      <c r="D260" s="53" t="s">
        <v>42</v>
      </c>
      <c r="E260" s="53" t="s">
        <v>25</v>
      </c>
      <c r="F260" s="53" t="s">
        <v>25</v>
      </c>
      <c r="G260" s="53" t="s">
        <v>25</v>
      </c>
      <c r="H260" s="53" t="s">
        <v>36</v>
      </c>
      <c r="I260" s="73">
        <v>43891</v>
      </c>
      <c r="J260" s="74">
        <f>EFEITO!$J$260*EFEITO!$Y$260</f>
        <v>0</v>
      </c>
      <c r="K260" s="74">
        <f ca="1">EFEITO!$L$260*EFEITO!$Z$260</f>
        <v>5520.8088721302311</v>
      </c>
      <c r="L260" s="74">
        <f>EFEITO!$N$260*EFEITO!$AA$260</f>
        <v>14561.252763750463</v>
      </c>
      <c r="M260" s="74">
        <f>$J$260-EFEITO!$K$260*EFEITO!$Y$260</f>
        <v>0</v>
      </c>
      <c r="N260" s="74">
        <f ca="1">$K$260-EFEITO!$M$260*EFEITO!$Z$260</f>
        <v>0</v>
      </c>
      <c r="O260" s="74">
        <f>$L$260-EFEITO!$O$260*EFEITO!$AA$260</f>
        <v>0</v>
      </c>
      <c r="P260" s="57"/>
      <c r="Q260" s="57"/>
      <c r="R260" s="57"/>
      <c r="S260" s="57"/>
      <c r="T260" s="57"/>
      <c r="U260" s="57"/>
      <c r="V260" s="57"/>
      <c r="W260" s="57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</row>
    <row r="261" spans="1:36" ht="11.25" customHeight="1" x14ac:dyDescent="0.2">
      <c r="A261" s="53" t="s">
        <v>21</v>
      </c>
      <c r="B261" s="53" t="s">
        <v>45</v>
      </c>
      <c r="C261" s="53" t="s">
        <v>34</v>
      </c>
      <c r="D261" s="53" t="s">
        <v>42</v>
      </c>
      <c r="E261" s="53" t="s">
        <v>25</v>
      </c>
      <c r="F261" s="53" t="s">
        <v>25</v>
      </c>
      <c r="G261" s="53" t="s">
        <v>25</v>
      </c>
      <c r="H261" s="53" t="s">
        <v>36</v>
      </c>
      <c r="I261" s="73">
        <v>43922</v>
      </c>
      <c r="J261" s="74">
        <f>EFEITO!$J$261*EFEITO!$Y$261</f>
        <v>0</v>
      </c>
      <c r="K261" s="74">
        <f ca="1">EFEITO!$L$261*EFEITO!$Z$261</f>
        <v>2239.4454339669369</v>
      </c>
      <c r="L261" s="74">
        <f>EFEITO!$N$261*EFEITO!$AA$261</f>
        <v>5906.5857503661455</v>
      </c>
      <c r="M261" s="74">
        <f>$J$261-EFEITO!$K$261*EFEITO!$Y$261</f>
        <v>0</v>
      </c>
      <c r="N261" s="74">
        <f ca="1">$K$261-EFEITO!$M$261*EFEITO!$Z$261</f>
        <v>0</v>
      </c>
      <c r="O261" s="74">
        <f>$L$261-EFEITO!$O$261*EFEITO!$AA$261</f>
        <v>0</v>
      </c>
      <c r="P261" s="57"/>
      <c r="Q261" s="57"/>
      <c r="R261" s="57"/>
      <c r="S261" s="57"/>
      <c r="T261" s="57"/>
      <c r="U261" s="57"/>
      <c r="V261" s="57"/>
      <c r="W261" s="57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</row>
    <row r="262" spans="1:36" ht="11.25" customHeight="1" x14ac:dyDescent="0.2">
      <c r="A262" s="53" t="s">
        <v>21</v>
      </c>
      <c r="B262" s="53" t="s">
        <v>45</v>
      </c>
      <c r="C262" s="53" t="s">
        <v>34</v>
      </c>
      <c r="D262" s="53" t="s">
        <v>42</v>
      </c>
      <c r="E262" s="53" t="s">
        <v>25</v>
      </c>
      <c r="F262" s="53" t="s">
        <v>25</v>
      </c>
      <c r="G262" s="53" t="s">
        <v>25</v>
      </c>
      <c r="H262" s="53" t="s">
        <v>36</v>
      </c>
      <c r="I262" s="73">
        <v>43952</v>
      </c>
      <c r="J262" s="74">
        <f>EFEITO!$J$262*EFEITO!$Y$262</f>
        <v>0</v>
      </c>
      <c r="K262" s="74">
        <f ca="1">EFEITO!$L$262*EFEITO!$Z$262</f>
        <v>1996.4916851513901</v>
      </c>
      <c r="L262" s="74">
        <f>EFEITO!$N$262*EFEITO!$AA$262</f>
        <v>5265.7899850458225</v>
      </c>
      <c r="M262" s="74">
        <f>$J$262-EFEITO!$K$262*EFEITO!$Y$262</f>
        <v>0</v>
      </c>
      <c r="N262" s="74">
        <f ca="1">$K$262-EFEITO!$M$262*EFEITO!$Z$262</f>
        <v>0</v>
      </c>
      <c r="O262" s="74">
        <f>$L$262-EFEITO!$O$262*EFEITO!$AA$262</f>
        <v>0</v>
      </c>
      <c r="P262" s="57"/>
      <c r="Q262" s="57"/>
      <c r="R262" s="57"/>
      <c r="S262" s="57"/>
      <c r="T262" s="57"/>
      <c r="U262" s="57"/>
      <c r="V262" s="57"/>
      <c r="W262" s="57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</row>
    <row r="263" spans="1:36" ht="11.25" customHeight="1" x14ac:dyDescent="0.2">
      <c r="A263" s="53" t="s">
        <v>21</v>
      </c>
      <c r="B263" s="53" t="s">
        <v>45</v>
      </c>
      <c r="C263" s="53" t="s">
        <v>34</v>
      </c>
      <c r="D263" s="53" t="s">
        <v>42</v>
      </c>
      <c r="E263" s="53" t="s">
        <v>25</v>
      </c>
      <c r="F263" s="53" t="s">
        <v>25</v>
      </c>
      <c r="G263" s="53" t="s">
        <v>25</v>
      </c>
      <c r="H263" s="53" t="s">
        <v>36</v>
      </c>
      <c r="I263" s="73">
        <v>43983</v>
      </c>
      <c r="J263" s="74">
        <f>EFEITO!$J$263*EFEITO!$Y$263</f>
        <v>0</v>
      </c>
      <c r="K263" s="74">
        <f ca="1">EFEITO!$L$263*EFEITO!$Z$263</f>
        <v>2695.508829167879</v>
      </c>
      <c r="L263" s="74">
        <f>EFEITO!$N$263*EFEITO!$AA$263</f>
        <v>7109.4628155982064</v>
      </c>
      <c r="M263" s="74">
        <f>$J$263-EFEITO!$K$263*EFEITO!$Y$263</f>
        <v>0</v>
      </c>
      <c r="N263" s="74">
        <f ca="1">$K$263-EFEITO!$M$263*EFEITO!$Z$263</f>
        <v>0</v>
      </c>
      <c r="O263" s="74">
        <f>$L$263-EFEITO!$O$263*EFEITO!$AA$263</f>
        <v>0</v>
      </c>
      <c r="P263" s="57"/>
      <c r="Q263" s="57"/>
      <c r="R263" s="57"/>
      <c r="S263" s="57"/>
      <c r="T263" s="57"/>
      <c r="U263" s="57"/>
      <c r="V263" s="57"/>
      <c r="W263" s="57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</row>
    <row r="264" spans="1:36" ht="11.25" customHeight="1" x14ac:dyDescent="0.2">
      <c r="A264" s="53" t="s">
        <v>21</v>
      </c>
      <c r="B264" s="53" t="s">
        <v>45</v>
      </c>
      <c r="C264" s="53" t="s">
        <v>34</v>
      </c>
      <c r="D264" s="53" t="s">
        <v>42</v>
      </c>
      <c r="E264" s="53" t="s">
        <v>25</v>
      </c>
      <c r="F264" s="53" t="s">
        <v>25</v>
      </c>
      <c r="G264" s="53" t="s">
        <v>25</v>
      </c>
      <c r="H264" s="53" t="s">
        <v>36</v>
      </c>
      <c r="I264" s="73">
        <v>44013</v>
      </c>
      <c r="J264" s="74">
        <f>EFEITO!$J$264*EFEITO!$Y$264</f>
        <v>0</v>
      </c>
      <c r="K264" s="74">
        <f ca="1">EFEITO!$L$264*EFEITO!$Z$264</f>
        <v>2936.712190744121</v>
      </c>
      <c r="L264" s="74">
        <f>EFEITO!$N$264*EFEITO!$AA$264</f>
        <v>7745.6418967303425</v>
      </c>
      <c r="M264" s="74">
        <f>$J$264-EFEITO!$K$264*EFEITO!$Y$264</f>
        <v>0</v>
      </c>
      <c r="N264" s="74">
        <f ca="1">$K$264-EFEITO!$M$264*EFEITO!$Z$264</f>
        <v>0</v>
      </c>
      <c r="O264" s="74">
        <f>$L$264-EFEITO!$O$264*EFEITO!$AA$264</f>
        <v>0</v>
      </c>
      <c r="P264" s="57"/>
      <c r="Q264" s="57"/>
      <c r="R264" s="57"/>
      <c r="S264" s="57"/>
      <c r="T264" s="57"/>
      <c r="U264" s="57"/>
      <c r="V264" s="57"/>
      <c r="W264" s="57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</row>
    <row r="265" spans="1:36" ht="11.25" customHeight="1" x14ac:dyDescent="0.2">
      <c r="A265" s="53" t="s">
        <v>21</v>
      </c>
      <c r="B265" s="53" t="s">
        <v>45</v>
      </c>
      <c r="C265" s="53" t="s">
        <v>34</v>
      </c>
      <c r="D265" s="53" t="s">
        <v>42</v>
      </c>
      <c r="E265" s="53" t="s">
        <v>25</v>
      </c>
      <c r="F265" s="53" t="s">
        <v>25</v>
      </c>
      <c r="G265" s="53" t="s">
        <v>25</v>
      </c>
      <c r="H265" s="53" t="s">
        <v>36</v>
      </c>
      <c r="I265" s="73">
        <v>44044</v>
      </c>
      <c r="J265" s="74">
        <f>EFEITO!$J$265*EFEITO!$Y$265</f>
        <v>0</v>
      </c>
      <c r="K265" s="74">
        <f ca="1">EFEITO!$L$265*EFEITO!$Z$265</f>
        <v>3841.837432188785</v>
      </c>
      <c r="L265" s="74">
        <f>EFEITO!$N$265*EFEITO!$AA$265</f>
        <v>10132.929290441718</v>
      </c>
      <c r="M265" s="74">
        <f>$J$265-EFEITO!$K$265*EFEITO!$Y$265</f>
        <v>0</v>
      </c>
      <c r="N265" s="74">
        <f ca="1">$K$265-EFEITO!$M$265*EFEITO!$Z$265</f>
        <v>0</v>
      </c>
      <c r="O265" s="74">
        <f>$L$265-EFEITO!$O$265*EFEITO!$AA$265</f>
        <v>0</v>
      </c>
      <c r="P265" s="57"/>
      <c r="Q265" s="57"/>
      <c r="R265" s="57"/>
      <c r="S265" s="57"/>
      <c r="T265" s="57"/>
      <c r="U265" s="57"/>
      <c r="V265" s="57"/>
      <c r="W265" s="57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</row>
    <row r="266" spans="1:36" ht="11.25" customHeight="1" x14ac:dyDescent="0.2">
      <c r="A266" s="53" t="s">
        <v>59</v>
      </c>
      <c r="B266" s="53" t="s">
        <v>45</v>
      </c>
      <c r="C266" s="53" t="s">
        <v>34</v>
      </c>
      <c r="D266" s="53" t="s">
        <v>42</v>
      </c>
      <c r="E266" s="53" t="s">
        <v>25</v>
      </c>
      <c r="F266" s="53" t="s">
        <v>25</v>
      </c>
      <c r="G266" s="53" t="s">
        <v>25</v>
      </c>
      <c r="H266" s="53" t="s">
        <v>36</v>
      </c>
      <c r="I266" s="73">
        <v>44075</v>
      </c>
      <c r="J266" s="74">
        <f>EFEITO!$J$266*EFEITO!$Y$266</f>
        <v>0</v>
      </c>
      <c r="K266" s="74">
        <f ca="1">EFEITO!$L$266*EFEITO!$Z$266</f>
        <v>3841.837432188785</v>
      </c>
      <c r="L266" s="74">
        <f>EFEITO!$N$266*EFEITO!$AA$266</f>
        <v>10132.929290441718</v>
      </c>
      <c r="M266" s="74">
        <f>$J$266-EFEITO!$K$266*EFEITO!$Y$266</f>
        <v>0</v>
      </c>
      <c r="N266" s="74">
        <f ca="1">$K$266-EFEITO!$M$266*EFEITO!$Z$266</f>
        <v>0</v>
      </c>
      <c r="O266" s="74">
        <f>$L$266-EFEITO!$O$266*EFEITO!$AA$266</f>
        <v>0</v>
      </c>
      <c r="P266" s="57"/>
      <c r="Q266" s="57"/>
      <c r="R266" s="57"/>
      <c r="S266" s="57"/>
      <c r="T266" s="57"/>
      <c r="U266" s="57"/>
      <c r="V266" s="57"/>
      <c r="W266" s="57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</row>
    <row r="267" spans="1:36" ht="11.25" customHeight="1" x14ac:dyDescent="0.2">
      <c r="A267" s="53" t="s">
        <v>21</v>
      </c>
      <c r="B267" s="53" t="s">
        <v>45</v>
      </c>
      <c r="C267" s="53" t="s">
        <v>34</v>
      </c>
      <c r="D267" s="53" t="s">
        <v>42</v>
      </c>
      <c r="E267" s="53" t="s">
        <v>25</v>
      </c>
      <c r="F267" s="53" t="s">
        <v>25</v>
      </c>
      <c r="G267" s="53" t="s">
        <v>25</v>
      </c>
      <c r="H267" s="53" t="s">
        <v>25</v>
      </c>
      <c r="I267" s="73">
        <v>43739</v>
      </c>
      <c r="J267" s="74">
        <f ca="1">EFEITO!$J$267*EFEITO!$Y$267</f>
        <v>3115.041008433669</v>
      </c>
      <c r="K267" s="74">
        <f>EFEITO!$L$267*EFEITO!$Z$267</f>
        <v>0</v>
      </c>
      <c r="L267" s="74">
        <f>EFEITO!$N$267*EFEITO!$AA$267</f>
        <v>0</v>
      </c>
      <c r="M267" s="74">
        <f ca="1">$J$267-EFEITO!$K$267*EFEITO!$Y$267</f>
        <v>0</v>
      </c>
      <c r="N267" s="74">
        <f>$K$267-EFEITO!$M$267*EFEITO!$Z$267</f>
        <v>0</v>
      </c>
      <c r="O267" s="74">
        <f>$L$267-EFEITO!$O$267*EFEITO!$AA$267</f>
        <v>0</v>
      </c>
      <c r="P267" s="57"/>
      <c r="Q267" s="57"/>
      <c r="R267" s="57"/>
      <c r="S267" s="57"/>
      <c r="T267" s="57"/>
      <c r="U267" s="57"/>
      <c r="V267" s="57"/>
      <c r="W267" s="57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</row>
    <row r="268" spans="1:36" ht="11.25" customHeight="1" x14ac:dyDescent="0.2">
      <c r="A268" s="53" t="s">
        <v>27</v>
      </c>
      <c r="B268" s="53" t="s">
        <v>45</v>
      </c>
      <c r="C268" s="53" t="s">
        <v>34</v>
      </c>
      <c r="D268" s="53" t="s">
        <v>42</v>
      </c>
      <c r="E268" s="53" t="s">
        <v>25</v>
      </c>
      <c r="F268" s="53" t="s">
        <v>25</v>
      </c>
      <c r="G268" s="53" t="s">
        <v>25</v>
      </c>
      <c r="H268" s="53" t="s">
        <v>25</v>
      </c>
      <c r="I268" s="73">
        <v>43739</v>
      </c>
      <c r="J268" s="74">
        <f ca="1">EFEITO!$J$268*EFEITO!$Y$268</f>
        <v>1717.8534972979792</v>
      </c>
      <c r="K268" s="74">
        <f>EFEITO!$L$268*EFEITO!$Z$268</f>
        <v>0</v>
      </c>
      <c r="L268" s="74">
        <f>EFEITO!$N$268*EFEITO!$AA$268</f>
        <v>0</v>
      </c>
      <c r="M268" s="74">
        <f ca="1">$J$268-EFEITO!$K$268*EFEITO!$Y$268</f>
        <v>0</v>
      </c>
      <c r="N268" s="74">
        <f>$K$268-EFEITO!$M$268*EFEITO!$Z$268</f>
        <v>0</v>
      </c>
      <c r="O268" s="74">
        <f>$L$268-EFEITO!$O$268*EFEITO!$AA$268</f>
        <v>0</v>
      </c>
      <c r="P268" s="57"/>
      <c r="Q268" s="57"/>
      <c r="R268" s="57"/>
      <c r="S268" s="57"/>
      <c r="T268" s="57"/>
      <c r="U268" s="57"/>
      <c r="V268" s="57"/>
      <c r="W268" s="57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</row>
    <row r="269" spans="1:36" ht="11.25" customHeight="1" x14ac:dyDescent="0.2">
      <c r="A269" s="53" t="s">
        <v>21</v>
      </c>
      <c r="B269" s="53" t="s">
        <v>45</v>
      </c>
      <c r="C269" s="53" t="s">
        <v>34</v>
      </c>
      <c r="D269" s="53" t="s">
        <v>42</v>
      </c>
      <c r="E269" s="53" t="s">
        <v>25</v>
      </c>
      <c r="F269" s="53" t="s">
        <v>25</v>
      </c>
      <c r="G269" s="53" t="s">
        <v>25</v>
      </c>
      <c r="H269" s="53" t="s">
        <v>25</v>
      </c>
      <c r="I269" s="73">
        <v>43770</v>
      </c>
      <c r="J269" s="74">
        <f ca="1">EFEITO!$J$269*EFEITO!$Y$269</f>
        <v>4832.8945057316487</v>
      </c>
      <c r="K269" s="74">
        <f>EFEITO!$L$269*EFEITO!$Z$269</f>
        <v>0</v>
      </c>
      <c r="L269" s="74">
        <f>EFEITO!$N$269*EFEITO!$AA$269</f>
        <v>0</v>
      </c>
      <c r="M269" s="74">
        <f ca="1">$J$269-EFEITO!$K$269*EFEITO!$Y$269</f>
        <v>0</v>
      </c>
      <c r="N269" s="74">
        <f>$K$269-EFEITO!$M$269*EFEITO!$Z$269</f>
        <v>0</v>
      </c>
      <c r="O269" s="74">
        <f>$L$269-EFEITO!$O$269*EFEITO!$AA$269</f>
        <v>0</v>
      </c>
      <c r="P269" s="57"/>
      <c r="Q269" s="57"/>
      <c r="R269" s="57"/>
      <c r="S269" s="57"/>
      <c r="T269" s="57"/>
      <c r="U269" s="57"/>
      <c r="V269" s="57"/>
      <c r="W269" s="57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</row>
    <row r="270" spans="1:36" ht="11.25" customHeight="1" x14ac:dyDescent="0.2">
      <c r="A270" s="53" t="s">
        <v>21</v>
      </c>
      <c r="B270" s="53" t="s">
        <v>45</v>
      </c>
      <c r="C270" s="53" t="s">
        <v>34</v>
      </c>
      <c r="D270" s="53" t="s">
        <v>42</v>
      </c>
      <c r="E270" s="53" t="s">
        <v>25</v>
      </c>
      <c r="F270" s="53" t="s">
        <v>25</v>
      </c>
      <c r="G270" s="53" t="s">
        <v>25</v>
      </c>
      <c r="H270" s="53" t="s">
        <v>25</v>
      </c>
      <c r="I270" s="73">
        <v>43800</v>
      </c>
      <c r="J270" s="74">
        <f ca="1">EFEITO!$J$270*EFEITO!$Y$270</f>
        <v>4832.8945057316487</v>
      </c>
      <c r="K270" s="74">
        <f>EFEITO!$L$270*EFEITO!$Z$270</f>
        <v>0</v>
      </c>
      <c r="L270" s="74">
        <f>EFEITO!$N$270*EFEITO!$AA$270</f>
        <v>0</v>
      </c>
      <c r="M270" s="74">
        <f ca="1">$J$270-EFEITO!$K$270*EFEITO!$Y$270</f>
        <v>0</v>
      </c>
      <c r="N270" s="74">
        <f>$K$270-EFEITO!$M$270*EFEITO!$Z$270</f>
        <v>0</v>
      </c>
      <c r="O270" s="74">
        <f>$L$270-EFEITO!$O$270*EFEITO!$AA$270</f>
        <v>0</v>
      </c>
      <c r="P270" s="57"/>
      <c r="Q270" s="57"/>
      <c r="R270" s="57"/>
      <c r="S270" s="57"/>
      <c r="T270" s="57"/>
      <c r="U270" s="57"/>
      <c r="V270" s="57"/>
      <c r="W270" s="57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</row>
    <row r="271" spans="1:36" ht="11.25" customHeight="1" x14ac:dyDescent="0.2">
      <c r="A271" s="53" t="s">
        <v>21</v>
      </c>
      <c r="B271" s="53" t="s">
        <v>45</v>
      </c>
      <c r="C271" s="53" t="s">
        <v>34</v>
      </c>
      <c r="D271" s="53" t="s">
        <v>42</v>
      </c>
      <c r="E271" s="53" t="s">
        <v>25</v>
      </c>
      <c r="F271" s="53" t="s">
        <v>25</v>
      </c>
      <c r="G271" s="53" t="s">
        <v>25</v>
      </c>
      <c r="H271" s="53" t="s">
        <v>25</v>
      </c>
      <c r="I271" s="73">
        <v>43831</v>
      </c>
      <c r="J271" s="74">
        <f ca="1">EFEITO!$J$271*EFEITO!$Y$271</f>
        <v>4832.8945057316487</v>
      </c>
      <c r="K271" s="74">
        <f>EFEITO!$L$271*EFEITO!$Z$271</f>
        <v>0</v>
      </c>
      <c r="L271" s="74">
        <f>EFEITO!$N$271*EFEITO!$AA$271</f>
        <v>0</v>
      </c>
      <c r="M271" s="74">
        <f ca="1">$J$271-EFEITO!$K$271*EFEITO!$Y$271</f>
        <v>0</v>
      </c>
      <c r="N271" s="74">
        <f>$K$271-EFEITO!$M$271*EFEITO!$Z$271</f>
        <v>0</v>
      </c>
      <c r="O271" s="74">
        <f>$L$271-EFEITO!$O$271*EFEITO!$AA$271</f>
        <v>0</v>
      </c>
      <c r="P271" s="57"/>
      <c r="Q271" s="57"/>
      <c r="R271" s="57"/>
      <c r="S271" s="57"/>
      <c r="T271" s="57"/>
      <c r="U271" s="57"/>
      <c r="V271" s="57"/>
      <c r="W271" s="57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</row>
    <row r="272" spans="1:36" ht="11.25" customHeight="1" x14ac:dyDescent="0.2">
      <c r="A272" s="53" t="s">
        <v>21</v>
      </c>
      <c r="B272" s="53" t="s">
        <v>45</v>
      </c>
      <c r="C272" s="53" t="s">
        <v>34</v>
      </c>
      <c r="D272" s="53" t="s">
        <v>42</v>
      </c>
      <c r="E272" s="53" t="s">
        <v>25</v>
      </c>
      <c r="F272" s="53" t="s">
        <v>25</v>
      </c>
      <c r="G272" s="53" t="s">
        <v>25</v>
      </c>
      <c r="H272" s="53" t="s">
        <v>25</v>
      </c>
      <c r="I272" s="73">
        <v>43862</v>
      </c>
      <c r="J272" s="74">
        <f ca="1">EFEITO!$J$272*EFEITO!$Y$272</f>
        <v>4832.8945057316487</v>
      </c>
      <c r="K272" s="74">
        <f>EFEITO!$L$272*EFEITO!$Z$272</f>
        <v>0</v>
      </c>
      <c r="L272" s="74">
        <f>EFEITO!$N$272*EFEITO!$AA$272</f>
        <v>0</v>
      </c>
      <c r="M272" s="74">
        <f ca="1">$J$272-EFEITO!$K$272*EFEITO!$Y$272</f>
        <v>0</v>
      </c>
      <c r="N272" s="74">
        <f>$K$272-EFEITO!$M$272*EFEITO!$Z$272</f>
        <v>0</v>
      </c>
      <c r="O272" s="74">
        <f>$L$272-EFEITO!$O$272*EFEITO!$AA$272</f>
        <v>0</v>
      </c>
      <c r="P272" s="57"/>
      <c r="Q272" s="57"/>
      <c r="R272" s="57"/>
      <c r="S272" s="57"/>
      <c r="T272" s="57"/>
      <c r="U272" s="57"/>
      <c r="V272" s="57"/>
      <c r="W272" s="57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</row>
    <row r="273" spans="1:36" ht="11.25" customHeight="1" x14ac:dyDescent="0.2">
      <c r="A273" s="53" t="s">
        <v>21</v>
      </c>
      <c r="B273" s="53" t="s">
        <v>45</v>
      </c>
      <c r="C273" s="53" t="s">
        <v>34</v>
      </c>
      <c r="D273" s="53" t="s">
        <v>42</v>
      </c>
      <c r="E273" s="53" t="s">
        <v>25</v>
      </c>
      <c r="F273" s="53" t="s">
        <v>25</v>
      </c>
      <c r="G273" s="53" t="s">
        <v>25</v>
      </c>
      <c r="H273" s="53" t="s">
        <v>25</v>
      </c>
      <c r="I273" s="73">
        <v>43891</v>
      </c>
      <c r="J273" s="74">
        <f ca="1">EFEITO!$J$273*EFEITO!$Y$273</f>
        <v>4832.8945057316487</v>
      </c>
      <c r="K273" s="74">
        <f>EFEITO!$L$273*EFEITO!$Z$273</f>
        <v>0</v>
      </c>
      <c r="L273" s="74">
        <f>EFEITO!$N$273*EFEITO!$AA$273</f>
        <v>0</v>
      </c>
      <c r="M273" s="74">
        <f ca="1">$J$273-EFEITO!$K$273*EFEITO!$Y$273</f>
        <v>0</v>
      </c>
      <c r="N273" s="74">
        <f>$K$273-EFEITO!$M$273*EFEITO!$Z$273</f>
        <v>0</v>
      </c>
      <c r="O273" s="74">
        <f>$L$273-EFEITO!$O$273*EFEITO!$AA$273</f>
        <v>0</v>
      </c>
      <c r="P273" s="57"/>
      <c r="Q273" s="57"/>
      <c r="R273" s="57"/>
      <c r="S273" s="57"/>
      <c r="T273" s="57"/>
      <c r="U273" s="57"/>
      <c r="V273" s="57"/>
      <c r="W273" s="57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</row>
    <row r="274" spans="1:36" ht="11.25" customHeight="1" x14ac:dyDescent="0.2">
      <c r="A274" s="53" t="s">
        <v>21</v>
      </c>
      <c r="B274" s="53" t="s">
        <v>45</v>
      </c>
      <c r="C274" s="53" t="s">
        <v>34</v>
      </c>
      <c r="D274" s="53" t="s">
        <v>42</v>
      </c>
      <c r="E274" s="53" t="s">
        <v>25</v>
      </c>
      <c r="F274" s="53" t="s">
        <v>25</v>
      </c>
      <c r="G274" s="53" t="s">
        <v>25</v>
      </c>
      <c r="H274" s="53" t="s">
        <v>25</v>
      </c>
      <c r="I274" s="73">
        <v>43922</v>
      </c>
      <c r="J274" s="74">
        <f ca="1">EFEITO!$J$274*EFEITO!$Y$274</f>
        <v>4832.8945057316487</v>
      </c>
      <c r="K274" s="74">
        <f>EFEITO!$L$274*EFEITO!$Z$274</f>
        <v>0</v>
      </c>
      <c r="L274" s="74">
        <f>EFEITO!$N$274*EFEITO!$AA$274</f>
        <v>0</v>
      </c>
      <c r="M274" s="74">
        <f ca="1">$J$274-EFEITO!$K$274*EFEITO!$Y$274</f>
        <v>0</v>
      </c>
      <c r="N274" s="74">
        <f>$K$274-EFEITO!$M$274*EFEITO!$Z$274</f>
        <v>0</v>
      </c>
      <c r="O274" s="74">
        <f>$L$274-EFEITO!$O$274*EFEITO!$AA$274</f>
        <v>0</v>
      </c>
      <c r="P274" s="57"/>
      <c r="Q274" s="57"/>
      <c r="R274" s="57"/>
      <c r="S274" s="57"/>
      <c r="T274" s="57"/>
      <c r="U274" s="57"/>
      <c r="V274" s="57"/>
      <c r="W274" s="57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</row>
    <row r="275" spans="1:36" ht="11.25" customHeight="1" x14ac:dyDescent="0.2">
      <c r="A275" s="53" t="s">
        <v>21</v>
      </c>
      <c r="B275" s="53" t="s">
        <v>45</v>
      </c>
      <c r="C275" s="53" t="s">
        <v>34</v>
      </c>
      <c r="D275" s="53" t="s">
        <v>42</v>
      </c>
      <c r="E275" s="53" t="s">
        <v>25</v>
      </c>
      <c r="F275" s="53" t="s">
        <v>25</v>
      </c>
      <c r="G275" s="53" t="s">
        <v>25</v>
      </c>
      <c r="H275" s="53" t="s">
        <v>25</v>
      </c>
      <c r="I275" s="73">
        <v>43952</v>
      </c>
      <c r="J275" s="74">
        <f ca="1">EFEITO!$J$275*EFEITO!$Y$275</f>
        <v>4832.8945057316487</v>
      </c>
      <c r="K275" s="74">
        <f>EFEITO!$L$275*EFEITO!$Z$275</f>
        <v>0</v>
      </c>
      <c r="L275" s="74">
        <f>EFEITO!$N$275*EFEITO!$AA$275</f>
        <v>0</v>
      </c>
      <c r="M275" s="74">
        <f ca="1">$J$275-EFEITO!$K$275*EFEITO!$Y$275</f>
        <v>0</v>
      </c>
      <c r="N275" s="74">
        <f>$K$275-EFEITO!$M$275*EFEITO!$Z$275</f>
        <v>0</v>
      </c>
      <c r="O275" s="74">
        <f>$L$275-EFEITO!$O$275*EFEITO!$AA$275</f>
        <v>0</v>
      </c>
      <c r="P275" s="57"/>
      <c r="Q275" s="57"/>
      <c r="R275" s="57"/>
      <c r="S275" s="57"/>
      <c r="T275" s="57"/>
      <c r="U275" s="57"/>
      <c r="V275" s="57"/>
      <c r="W275" s="57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</row>
    <row r="276" spans="1:36" ht="11.25" customHeight="1" x14ac:dyDescent="0.2">
      <c r="A276" s="53" t="s">
        <v>21</v>
      </c>
      <c r="B276" s="53" t="s">
        <v>45</v>
      </c>
      <c r="C276" s="53" t="s">
        <v>34</v>
      </c>
      <c r="D276" s="53" t="s">
        <v>42</v>
      </c>
      <c r="E276" s="53" t="s">
        <v>25</v>
      </c>
      <c r="F276" s="53" t="s">
        <v>25</v>
      </c>
      <c r="G276" s="53" t="s">
        <v>25</v>
      </c>
      <c r="H276" s="53" t="s">
        <v>25</v>
      </c>
      <c r="I276" s="73">
        <v>43983</v>
      </c>
      <c r="J276" s="74">
        <f ca="1">EFEITO!$J$276*EFEITO!$Y$276</f>
        <v>4832.8945057316487</v>
      </c>
      <c r="K276" s="74">
        <f>EFEITO!$L$276*EFEITO!$Z$276</f>
        <v>0</v>
      </c>
      <c r="L276" s="74">
        <f>EFEITO!$N$276*EFEITO!$AA$276</f>
        <v>0</v>
      </c>
      <c r="M276" s="74">
        <f ca="1">$J$276-EFEITO!$K$276*EFEITO!$Y$276</f>
        <v>0</v>
      </c>
      <c r="N276" s="74">
        <f>$K$276-EFEITO!$M$276*EFEITO!$Z$276</f>
        <v>0</v>
      </c>
      <c r="O276" s="74">
        <f>$L$276-EFEITO!$O$276*EFEITO!$AA$276</f>
        <v>0</v>
      </c>
      <c r="P276" s="57"/>
      <c r="Q276" s="57"/>
      <c r="R276" s="57"/>
      <c r="S276" s="57"/>
      <c r="T276" s="57"/>
      <c r="U276" s="57"/>
      <c r="V276" s="57"/>
      <c r="W276" s="57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</row>
    <row r="277" spans="1:36" ht="11.25" customHeight="1" x14ac:dyDescent="0.2">
      <c r="A277" s="53" t="s">
        <v>21</v>
      </c>
      <c r="B277" s="53" t="s">
        <v>45</v>
      </c>
      <c r="C277" s="53" t="s">
        <v>34</v>
      </c>
      <c r="D277" s="53" t="s">
        <v>42</v>
      </c>
      <c r="E277" s="53" t="s">
        <v>25</v>
      </c>
      <c r="F277" s="53" t="s">
        <v>25</v>
      </c>
      <c r="G277" s="53" t="s">
        <v>25</v>
      </c>
      <c r="H277" s="53" t="s">
        <v>25</v>
      </c>
      <c r="I277" s="73">
        <v>44013</v>
      </c>
      <c r="J277" s="74">
        <f ca="1">EFEITO!$J$277*EFEITO!$Y$277</f>
        <v>4832.8945057316487</v>
      </c>
      <c r="K277" s="74">
        <f>EFEITO!$L$277*EFEITO!$Z$277</f>
        <v>0</v>
      </c>
      <c r="L277" s="74">
        <f>EFEITO!$N$277*EFEITO!$AA$277</f>
        <v>0</v>
      </c>
      <c r="M277" s="74">
        <f ca="1">$J$277-EFEITO!$K$277*EFEITO!$Y$277</f>
        <v>0</v>
      </c>
      <c r="N277" s="74">
        <f>$K$277-EFEITO!$M$277*EFEITO!$Z$277</f>
        <v>0</v>
      </c>
      <c r="O277" s="74">
        <f>$L$277-EFEITO!$O$277*EFEITO!$AA$277</f>
        <v>0</v>
      </c>
      <c r="P277" s="57"/>
      <c r="Q277" s="57"/>
      <c r="R277" s="57"/>
      <c r="S277" s="57"/>
      <c r="T277" s="57"/>
      <c r="U277" s="57"/>
      <c r="V277" s="57"/>
      <c r="W277" s="57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</row>
    <row r="278" spans="1:36" ht="11.25" customHeight="1" x14ac:dyDescent="0.2">
      <c r="A278" s="53" t="s">
        <v>21</v>
      </c>
      <c r="B278" s="53" t="s">
        <v>45</v>
      </c>
      <c r="C278" s="53" t="s">
        <v>34</v>
      </c>
      <c r="D278" s="53" t="s">
        <v>42</v>
      </c>
      <c r="E278" s="53" t="s">
        <v>25</v>
      </c>
      <c r="F278" s="53" t="s">
        <v>25</v>
      </c>
      <c r="G278" s="53" t="s">
        <v>25</v>
      </c>
      <c r="H278" s="53" t="s">
        <v>25</v>
      </c>
      <c r="I278" s="73">
        <v>44044</v>
      </c>
      <c r="J278" s="74">
        <f ca="1">EFEITO!$J$278*EFEITO!$Y$278</f>
        <v>4832.8945057316487</v>
      </c>
      <c r="K278" s="74">
        <f>EFEITO!$L$278*EFEITO!$Z$278</f>
        <v>0</v>
      </c>
      <c r="L278" s="74">
        <f>EFEITO!$N$278*EFEITO!$AA$278</f>
        <v>0</v>
      </c>
      <c r="M278" s="74">
        <f ca="1">$J$278-EFEITO!$K$278*EFEITO!$Y$278</f>
        <v>0</v>
      </c>
      <c r="N278" s="74">
        <f>$K$278-EFEITO!$M$278*EFEITO!$Z$278</f>
        <v>0</v>
      </c>
      <c r="O278" s="74">
        <f>$L$278-EFEITO!$O$278*EFEITO!$AA$278</f>
        <v>0</v>
      </c>
      <c r="P278" s="57"/>
      <c r="Q278" s="57"/>
      <c r="R278" s="57"/>
      <c r="S278" s="57"/>
      <c r="T278" s="57"/>
      <c r="U278" s="57"/>
      <c r="V278" s="57"/>
      <c r="W278" s="57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</row>
    <row r="279" spans="1:36" ht="11.25" customHeight="1" x14ac:dyDescent="0.2">
      <c r="A279" s="53" t="s">
        <v>59</v>
      </c>
      <c r="B279" s="53" t="s">
        <v>45</v>
      </c>
      <c r="C279" s="53" t="s">
        <v>34</v>
      </c>
      <c r="D279" s="53" t="s">
        <v>42</v>
      </c>
      <c r="E279" s="53" t="s">
        <v>25</v>
      </c>
      <c r="F279" s="53" t="s">
        <v>25</v>
      </c>
      <c r="G279" s="53" t="s">
        <v>25</v>
      </c>
      <c r="H279" s="53" t="s">
        <v>25</v>
      </c>
      <c r="I279" s="73">
        <v>44075</v>
      </c>
      <c r="J279" s="74">
        <f ca="1">EFEITO!$J$279*EFEITO!$Y$279</f>
        <v>4832.8945057316487</v>
      </c>
      <c r="K279" s="74">
        <f>EFEITO!$L$279*EFEITO!$Z$279</f>
        <v>0</v>
      </c>
      <c r="L279" s="74">
        <f>EFEITO!$N$279*EFEITO!$AA$279</f>
        <v>0</v>
      </c>
      <c r="M279" s="74">
        <f ca="1">$J$279-EFEITO!$K$279*EFEITO!$Y$279</f>
        <v>0</v>
      </c>
      <c r="N279" s="74">
        <f>$K$279-EFEITO!$M$279*EFEITO!$Z$279</f>
        <v>0</v>
      </c>
      <c r="O279" s="74">
        <f>$L$279-EFEITO!$O$279*EFEITO!$AA$279</f>
        <v>0</v>
      </c>
      <c r="P279" s="57"/>
      <c r="Q279" s="57"/>
      <c r="R279" s="57"/>
      <c r="S279" s="57"/>
      <c r="T279" s="57"/>
      <c r="U279" s="57"/>
      <c r="V279" s="57"/>
      <c r="W279" s="57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</row>
    <row r="280" spans="1:36" ht="11.25" customHeight="1" x14ac:dyDescent="0.2">
      <c r="A280" s="53" t="s">
        <v>21</v>
      </c>
      <c r="B280" s="53" t="s">
        <v>45</v>
      </c>
      <c r="C280" s="53" t="s">
        <v>34</v>
      </c>
      <c r="D280" s="53" t="s">
        <v>42</v>
      </c>
      <c r="E280" s="53" t="s">
        <v>25</v>
      </c>
      <c r="F280" s="53" t="s">
        <v>25</v>
      </c>
      <c r="G280" s="53" t="s">
        <v>25</v>
      </c>
      <c r="H280" s="53" t="s">
        <v>35</v>
      </c>
      <c r="I280" s="73">
        <v>43739</v>
      </c>
      <c r="J280" s="74">
        <f>EFEITO!$J$280*EFEITO!$Y$280</f>
        <v>0</v>
      </c>
      <c r="K280" s="74">
        <f ca="1">EFEITO!$L$280*EFEITO!$Z$280</f>
        <v>4221.7041042278752</v>
      </c>
      <c r="L280" s="74">
        <f>EFEITO!$N$280*EFEITO!$AA$280</f>
        <v>2121.1559179708452</v>
      </c>
      <c r="M280" s="74">
        <f>$J$280-EFEITO!$K$280*EFEITO!$Y$280</f>
        <v>0</v>
      </c>
      <c r="N280" s="74">
        <f ca="1">$K$280-EFEITO!$M$280*EFEITO!$Z$280</f>
        <v>0</v>
      </c>
      <c r="O280" s="74">
        <f>$L$280-EFEITO!$O$280*EFEITO!$AA$280</f>
        <v>0</v>
      </c>
      <c r="P280" s="57"/>
      <c r="Q280" s="57"/>
      <c r="R280" s="57"/>
      <c r="S280" s="57"/>
      <c r="T280" s="57"/>
      <c r="U280" s="57"/>
      <c r="V280" s="57"/>
      <c r="W280" s="57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</row>
    <row r="281" spans="1:36" ht="11.25" customHeight="1" x14ac:dyDescent="0.2">
      <c r="A281" s="53" t="s">
        <v>27</v>
      </c>
      <c r="B281" s="53" t="s">
        <v>45</v>
      </c>
      <c r="C281" s="53" t="s">
        <v>34</v>
      </c>
      <c r="D281" s="53" t="s">
        <v>42</v>
      </c>
      <c r="E281" s="53" t="s">
        <v>25</v>
      </c>
      <c r="F281" s="53" t="s">
        <v>25</v>
      </c>
      <c r="G281" s="53" t="s">
        <v>25</v>
      </c>
      <c r="H281" s="53" t="s">
        <v>35</v>
      </c>
      <c r="I281" s="73">
        <v>43739</v>
      </c>
      <c r="J281" s="74">
        <f>EFEITO!$J$281*EFEITO!$Y$281</f>
        <v>0</v>
      </c>
      <c r="K281" s="74">
        <f ca="1">EFEITO!$L$281*EFEITO!$Z$281</f>
        <v>3476.9614035883137</v>
      </c>
      <c r="L281" s="74">
        <f>EFEITO!$N$281*EFEITO!$AA$281</f>
        <v>1746.9668824945859</v>
      </c>
      <c r="M281" s="74">
        <f>$J$281-EFEITO!$K$281*EFEITO!$Y$281</f>
        <v>0</v>
      </c>
      <c r="N281" s="74">
        <f ca="1">$K$281-EFEITO!$M$281*EFEITO!$Z$281</f>
        <v>0</v>
      </c>
      <c r="O281" s="74">
        <f>$L$281-EFEITO!$O$281*EFEITO!$AA$281</f>
        <v>0</v>
      </c>
      <c r="P281" s="57"/>
      <c r="Q281" s="57"/>
      <c r="R281" s="57"/>
      <c r="S281" s="57"/>
      <c r="T281" s="57"/>
      <c r="U281" s="57"/>
      <c r="V281" s="57"/>
      <c r="W281" s="57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</row>
    <row r="282" spans="1:36" ht="11.25" customHeight="1" x14ac:dyDescent="0.2">
      <c r="A282" s="53" t="s">
        <v>21</v>
      </c>
      <c r="B282" s="53" t="s">
        <v>45</v>
      </c>
      <c r="C282" s="53" t="s">
        <v>34</v>
      </c>
      <c r="D282" s="53" t="s">
        <v>42</v>
      </c>
      <c r="E282" s="53" t="s">
        <v>25</v>
      </c>
      <c r="F282" s="53" t="s">
        <v>25</v>
      </c>
      <c r="G282" s="53" t="s">
        <v>25</v>
      </c>
      <c r="H282" s="53" t="s">
        <v>35</v>
      </c>
      <c r="I282" s="73">
        <v>43770</v>
      </c>
      <c r="J282" s="74">
        <f>EFEITO!$J$282*EFEITO!$Y$282</f>
        <v>0</v>
      </c>
      <c r="K282" s="74">
        <f ca="1">EFEITO!$L$282*EFEITO!$Z$282</f>
        <v>8978.7854912448311</v>
      </c>
      <c r="L282" s="74">
        <f>EFEITO!$N$282*EFEITO!$AA$282</f>
        <v>4511.3071666655878</v>
      </c>
      <c r="M282" s="74">
        <f>$J$282-EFEITO!$K$282*EFEITO!$Y$282</f>
        <v>0</v>
      </c>
      <c r="N282" s="74">
        <f ca="1">$K$282-EFEITO!$M$282*EFEITO!$Z$282</f>
        <v>0</v>
      </c>
      <c r="O282" s="74">
        <f>$L$282-EFEITO!$O$282*EFEITO!$AA$282</f>
        <v>0</v>
      </c>
      <c r="P282" s="57"/>
      <c r="Q282" s="57"/>
      <c r="R282" s="57"/>
      <c r="S282" s="57"/>
      <c r="T282" s="57"/>
      <c r="U282" s="57"/>
      <c r="V282" s="57"/>
      <c r="W282" s="57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</row>
    <row r="283" spans="1:36" ht="11.25" customHeight="1" x14ac:dyDescent="0.2">
      <c r="A283" s="53" t="s">
        <v>21</v>
      </c>
      <c r="B283" s="53" t="s">
        <v>45</v>
      </c>
      <c r="C283" s="53" t="s">
        <v>34</v>
      </c>
      <c r="D283" s="53" t="s">
        <v>42</v>
      </c>
      <c r="E283" s="53" t="s">
        <v>25</v>
      </c>
      <c r="F283" s="53" t="s">
        <v>25</v>
      </c>
      <c r="G283" s="53" t="s">
        <v>25</v>
      </c>
      <c r="H283" s="53" t="s">
        <v>35</v>
      </c>
      <c r="I283" s="73">
        <v>43800</v>
      </c>
      <c r="J283" s="74">
        <f>EFEITO!$J$283*EFEITO!$Y$283</f>
        <v>0</v>
      </c>
      <c r="K283" s="74">
        <f ca="1">EFEITO!$L$283*EFEITO!$Z$283</f>
        <v>8203.3857115628798</v>
      </c>
      <c r="L283" s="74">
        <f>EFEITO!$N$283*EFEITO!$AA$283</f>
        <v>4121.7147672791616</v>
      </c>
      <c r="M283" s="74">
        <f>$J$283-EFEITO!$K$283*EFEITO!$Y$283</f>
        <v>0</v>
      </c>
      <c r="N283" s="74">
        <f ca="1">$K$283-EFEITO!$M$283*EFEITO!$Z$283</f>
        <v>0</v>
      </c>
      <c r="O283" s="74">
        <f>$L$283-EFEITO!$O$283*EFEITO!$AA$283</f>
        <v>0</v>
      </c>
      <c r="P283" s="57"/>
      <c r="Q283" s="57"/>
      <c r="R283" s="57"/>
      <c r="S283" s="57"/>
      <c r="T283" s="57"/>
      <c r="U283" s="57"/>
      <c r="V283" s="57"/>
      <c r="W283" s="57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</row>
    <row r="284" spans="1:36" ht="11.25" customHeight="1" x14ac:dyDescent="0.2">
      <c r="A284" s="53" t="s">
        <v>21</v>
      </c>
      <c r="B284" s="53" t="s">
        <v>45</v>
      </c>
      <c r="C284" s="53" t="s">
        <v>34</v>
      </c>
      <c r="D284" s="53" t="s">
        <v>42</v>
      </c>
      <c r="E284" s="53" t="s">
        <v>25</v>
      </c>
      <c r="F284" s="53" t="s">
        <v>25</v>
      </c>
      <c r="G284" s="53" t="s">
        <v>25</v>
      </c>
      <c r="H284" s="53" t="s">
        <v>35</v>
      </c>
      <c r="I284" s="73">
        <v>43831</v>
      </c>
      <c r="J284" s="74">
        <f>EFEITO!$J$284*EFEITO!$Y$284</f>
        <v>0</v>
      </c>
      <c r="K284" s="74">
        <f ca="1">EFEITO!$L$284*EFEITO!$Z$284</f>
        <v>7644.0809524480283</v>
      </c>
      <c r="L284" s="74">
        <f>EFEITO!$N$284*EFEITO!$AA$284</f>
        <v>3840.6972988692796</v>
      </c>
      <c r="M284" s="74">
        <f>$J$284-EFEITO!$K$284*EFEITO!$Y$284</f>
        <v>0</v>
      </c>
      <c r="N284" s="74">
        <f ca="1">$K$284-EFEITO!$M$284*EFEITO!$Z$284</f>
        <v>0</v>
      </c>
      <c r="O284" s="74">
        <f>$L$284-EFEITO!$O$284*EFEITO!$AA$284</f>
        <v>0</v>
      </c>
      <c r="P284" s="57"/>
      <c r="Q284" s="57"/>
      <c r="R284" s="57"/>
      <c r="S284" s="57"/>
      <c r="T284" s="57"/>
      <c r="U284" s="57"/>
      <c r="V284" s="57"/>
      <c r="W284" s="57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</row>
    <row r="285" spans="1:36" ht="11.25" customHeight="1" x14ac:dyDescent="0.2">
      <c r="A285" s="53" t="s">
        <v>21</v>
      </c>
      <c r="B285" s="53" t="s">
        <v>45</v>
      </c>
      <c r="C285" s="53" t="s">
        <v>34</v>
      </c>
      <c r="D285" s="53" t="s">
        <v>42</v>
      </c>
      <c r="E285" s="53" t="s">
        <v>25</v>
      </c>
      <c r="F285" s="53" t="s">
        <v>25</v>
      </c>
      <c r="G285" s="53" t="s">
        <v>25</v>
      </c>
      <c r="H285" s="53" t="s">
        <v>35</v>
      </c>
      <c r="I285" s="73">
        <v>43862</v>
      </c>
      <c r="J285" s="74">
        <f>EFEITO!$J$285*EFEITO!$Y$285</f>
        <v>0</v>
      </c>
      <c r="K285" s="74">
        <f ca="1">EFEITO!$L$285*EFEITO!$Z$285</f>
        <v>9877.5613207315328</v>
      </c>
      <c r="L285" s="74">
        <f>EFEITO!$N$285*EFEITO!$AA$285</f>
        <v>4962.888713495372</v>
      </c>
      <c r="M285" s="74">
        <f>$J$285-EFEITO!$K$285*EFEITO!$Y$285</f>
        <v>0</v>
      </c>
      <c r="N285" s="74">
        <f ca="1">$K$285-EFEITO!$M$285*EFEITO!$Z$285</f>
        <v>0</v>
      </c>
      <c r="O285" s="74">
        <f>$L$285-EFEITO!$O$285*EFEITO!$AA$285</f>
        <v>0</v>
      </c>
      <c r="P285" s="57"/>
      <c r="Q285" s="57"/>
      <c r="R285" s="57"/>
      <c r="S285" s="57"/>
      <c r="T285" s="57"/>
      <c r="U285" s="57"/>
      <c r="V285" s="57"/>
      <c r="W285" s="57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</row>
    <row r="286" spans="1:36" ht="11.25" customHeight="1" x14ac:dyDescent="0.2">
      <c r="A286" s="53" t="s">
        <v>21</v>
      </c>
      <c r="B286" s="53" t="s">
        <v>45</v>
      </c>
      <c r="C286" s="53" t="s">
        <v>34</v>
      </c>
      <c r="D286" s="53" t="s">
        <v>42</v>
      </c>
      <c r="E286" s="53" t="s">
        <v>25</v>
      </c>
      <c r="F286" s="53" t="s">
        <v>25</v>
      </c>
      <c r="G286" s="53" t="s">
        <v>25</v>
      </c>
      <c r="H286" s="53" t="s">
        <v>35</v>
      </c>
      <c r="I286" s="73">
        <v>43891</v>
      </c>
      <c r="J286" s="74">
        <f>EFEITO!$J$286*EFEITO!$Y$286</f>
        <v>0</v>
      </c>
      <c r="K286" s="74">
        <f ca="1">EFEITO!$L$286*EFEITO!$Z$286</f>
        <v>8196.6561088462568</v>
      </c>
      <c r="L286" s="74">
        <f>EFEITO!$N$286*EFEITO!$AA$286</f>
        <v>4118.333541054978</v>
      </c>
      <c r="M286" s="74">
        <f>$J$286-EFEITO!$K$286*EFEITO!$Y$286</f>
        <v>0</v>
      </c>
      <c r="N286" s="74">
        <f ca="1">$K$286-EFEITO!$M$286*EFEITO!$Z$286</f>
        <v>0</v>
      </c>
      <c r="O286" s="74">
        <f>$L$286-EFEITO!$O$286*EFEITO!$AA$286</f>
        <v>0</v>
      </c>
      <c r="P286" s="57"/>
      <c r="Q286" s="57"/>
      <c r="R286" s="57"/>
      <c r="S286" s="57"/>
      <c r="T286" s="57"/>
      <c r="U286" s="57"/>
      <c r="V286" s="57"/>
      <c r="W286" s="57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</row>
    <row r="287" spans="1:36" ht="11.25" customHeight="1" x14ac:dyDescent="0.2">
      <c r="A287" s="53" t="s">
        <v>21</v>
      </c>
      <c r="B287" s="53" t="s">
        <v>45</v>
      </c>
      <c r="C287" s="53" t="s">
        <v>34</v>
      </c>
      <c r="D287" s="53" t="s">
        <v>42</v>
      </c>
      <c r="E287" s="53" t="s">
        <v>25</v>
      </c>
      <c r="F287" s="53" t="s">
        <v>25</v>
      </c>
      <c r="G287" s="53" t="s">
        <v>25</v>
      </c>
      <c r="H287" s="53" t="s">
        <v>35</v>
      </c>
      <c r="I287" s="73">
        <v>43922</v>
      </c>
      <c r="J287" s="74">
        <f>EFEITO!$J$287*EFEITO!$Y$287</f>
        <v>0</v>
      </c>
      <c r="K287" s="74">
        <f ca="1">EFEITO!$L$287*EFEITO!$Z$287</f>
        <v>2148.9864675081321</v>
      </c>
      <c r="L287" s="74">
        <f>EFEITO!$N$287*EFEITO!$AA$287</f>
        <v>1079.7382409224601</v>
      </c>
      <c r="M287" s="74">
        <f>$J$287-EFEITO!$K$287*EFEITO!$Y$287</f>
        <v>0</v>
      </c>
      <c r="N287" s="74">
        <f ca="1">$K$287-EFEITO!$M$287*EFEITO!$Z$287</f>
        <v>0</v>
      </c>
      <c r="O287" s="74">
        <f>$L$287-EFEITO!$O$287*EFEITO!$AA$287</f>
        <v>0</v>
      </c>
      <c r="P287" s="57"/>
      <c r="Q287" s="57"/>
      <c r="R287" s="57"/>
      <c r="S287" s="57"/>
      <c r="T287" s="57"/>
      <c r="U287" s="57"/>
      <c r="V287" s="57"/>
      <c r="W287" s="57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</row>
    <row r="288" spans="1:36" ht="11.25" customHeight="1" x14ac:dyDescent="0.2">
      <c r="A288" s="53" t="s">
        <v>21</v>
      </c>
      <c r="B288" s="53" t="s">
        <v>45</v>
      </c>
      <c r="C288" s="53" t="s">
        <v>34</v>
      </c>
      <c r="D288" s="53" t="s">
        <v>42</v>
      </c>
      <c r="E288" s="53" t="s">
        <v>25</v>
      </c>
      <c r="F288" s="53" t="s">
        <v>25</v>
      </c>
      <c r="G288" s="53" t="s">
        <v>25</v>
      </c>
      <c r="H288" s="53" t="s">
        <v>35</v>
      </c>
      <c r="I288" s="73">
        <v>43952</v>
      </c>
      <c r="J288" s="74">
        <f>EFEITO!$J$288*EFEITO!$Y$288</f>
        <v>0</v>
      </c>
      <c r="K288" s="74">
        <f ca="1">EFEITO!$L$288*EFEITO!$Z$288</f>
        <v>1777.3628508235313</v>
      </c>
      <c r="L288" s="74">
        <f>EFEITO!$N$288*EFEITO!$AA$288</f>
        <v>893.01941498701717</v>
      </c>
      <c r="M288" s="74">
        <f>$J$288-EFEITO!$K$288*EFEITO!$Y$288</f>
        <v>0</v>
      </c>
      <c r="N288" s="74">
        <f ca="1">$K$288-EFEITO!$M$288*EFEITO!$Z$288</f>
        <v>0</v>
      </c>
      <c r="O288" s="74">
        <f>$L$288-EFEITO!$O$288*EFEITO!$AA$288</f>
        <v>0</v>
      </c>
      <c r="P288" s="57"/>
      <c r="Q288" s="57"/>
      <c r="R288" s="57"/>
      <c r="S288" s="57"/>
      <c r="T288" s="57"/>
      <c r="U288" s="57"/>
      <c r="V288" s="57"/>
      <c r="W288" s="57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</row>
    <row r="289" spans="1:36" ht="11.25" customHeight="1" x14ac:dyDescent="0.2">
      <c r="A289" s="53" t="s">
        <v>21</v>
      </c>
      <c r="B289" s="53" t="s">
        <v>45</v>
      </c>
      <c r="C289" s="53" t="s">
        <v>34</v>
      </c>
      <c r="D289" s="53" t="s">
        <v>42</v>
      </c>
      <c r="E289" s="53" t="s">
        <v>25</v>
      </c>
      <c r="F289" s="53" t="s">
        <v>25</v>
      </c>
      <c r="G289" s="53" t="s">
        <v>25</v>
      </c>
      <c r="H289" s="53" t="s">
        <v>35</v>
      </c>
      <c r="I289" s="73">
        <v>43983</v>
      </c>
      <c r="J289" s="74">
        <f>EFEITO!$J$289*EFEITO!$Y$289</f>
        <v>0</v>
      </c>
      <c r="K289" s="74">
        <f ca="1">EFEITO!$L$289*EFEITO!$Z$289</f>
        <v>4126.7419325599794</v>
      </c>
      <c r="L289" s="74">
        <f>EFEITO!$N$289*EFEITO!$AA$289</f>
        <v>2073.4430590295956</v>
      </c>
      <c r="M289" s="74">
        <f>$J$289-EFEITO!$K$289*EFEITO!$Y$289</f>
        <v>0</v>
      </c>
      <c r="N289" s="74">
        <f ca="1">$K$289-EFEITO!$M$289*EFEITO!$Z$289</f>
        <v>0</v>
      </c>
      <c r="O289" s="74">
        <f>$L$289-EFEITO!$O$289*EFEITO!$AA$289</f>
        <v>0</v>
      </c>
      <c r="P289" s="57"/>
      <c r="Q289" s="57"/>
      <c r="R289" s="57"/>
      <c r="S289" s="57"/>
      <c r="T289" s="57"/>
      <c r="U289" s="57"/>
      <c r="V289" s="57"/>
      <c r="W289" s="57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</row>
    <row r="290" spans="1:36" ht="11.25" customHeight="1" x14ac:dyDescent="0.2">
      <c r="A290" s="53" t="s">
        <v>21</v>
      </c>
      <c r="B290" s="53" t="s">
        <v>45</v>
      </c>
      <c r="C290" s="53" t="s">
        <v>34</v>
      </c>
      <c r="D290" s="53" t="s">
        <v>42</v>
      </c>
      <c r="E290" s="53" t="s">
        <v>25</v>
      </c>
      <c r="F290" s="53" t="s">
        <v>25</v>
      </c>
      <c r="G290" s="53" t="s">
        <v>25</v>
      </c>
      <c r="H290" s="53" t="s">
        <v>35</v>
      </c>
      <c r="I290" s="73">
        <v>44013</v>
      </c>
      <c r="J290" s="74">
        <f>EFEITO!$J$290*EFEITO!$Y$290</f>
        <v>0</v>
      </c>
      <c r="K290" s="74">
        <f ca="1">EFEITO!$L$290*EFEITO!$Z$290</f>
        <v>5500.328620386158</v>
      </c>
      <c r="L290" s="74">
        <f>EFEITO!$N$290*EFEITO!$AA$290</f>
        <v>2763.5889005656286</v>
      </c>
      <c r="M290" s="74">
        <f>$J$290-EFEITO!$K$290*EFEITO!$Y$290</f>
        <v>0</v>
      </c>
      <c r="N290" s="74">
        <f ca="1">$K$290-EFEITO!$M$290*EFEITO!$Z$290</f>
        <v>0</v>
      </c>
      <c r="O290" s="74">
        <f>$L$290-EFEITO!$O$290*EFEITO!$AA$290</f>
        <v>0</v>
      </c>
      <c r="P290" s="57"/>
      <c r="Q290" s="57"/>
      <c r="R290" s="57"/>
      <c r="S290" s="57"/>
      <c r="T290" s="57"/>
      <c r="U290" s="57"/>
      <c r="V290" s="57"/>
      <c r="W290" s="57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</row>
    <row r="291" spans="1:36" ht="11.25" customHeight="1" x14ac:dyDescent="0.2">
      <c r="A291" s="53" t="s">
        <v>21</v>
      </c>
      <c r="B291" s="53" t="s">
        <v>45</v>
      </c>
      <c r="C291" s="53" t="s">
        <v>34</v>
      </c>
      <c r="D291" s="53" t="s">
        <v>42</v>
      </c>
      <c r="E291" s="53" t="s">
        <v>25</v>
      </c>
      <c r="F291" s="53" t="s">
        <v>25</v>
      </c>
      <c r="G291" s="53" t="s">
        <v>25</v>
      </c>
      <c r="H291" s="53" t="s">
        <v>35</v>
      </c>
      <c r="I291" s="73">
        <v>44044</v>
      </c>
      <c r="J291" s="74">
        <f>EFEITO!$J$291*EFEITO!$Y$291</f>
        <v>0</v>
      </c>
      <c r="K291" s="74">
        <f ca="1">EFEITO!$L$291*EFEITO!$Z$291</f>
        <v>6968.8774798802333</v>
      </c>
      <c r="L291" s="74">
        <f>EFEITO!$N$291*EFEITO!$AA$291</f>
        <v>3501.4476010429116</v>
      </c>
      <c r="M291" s="74">
        <f>$J$291-EFEITO!$K$291*EFEITO!$Y$291</f>
        <v>0</v>
      </c>
      <c r="N291" s="74">
        <f ca="1">$K$291-EFEITO!$M$291*EFEITO!$Z$291</f>
        <v>0</v>
      </c>
      <c r="O291" s="74">
        <f>$L$291-EFEITO!$O$291*EFEITO!$AA$291</f>
        <v>0</v>
      </c>
      <c r="P291" s="57"/>
      <c r="Q291" s="57"/>
      <c r="R291" s="57"/>
      <c r="S291" s="57"/>
      <c r="T291" s="57"/>
      <c r="U291" s="57"/>
      <c r="V291" s="57"/>
      <c r="W291" s="57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</row>
    <row r="292" spans="1:36" ht="11.25" customHeight="1" x14ac:dyDescent="0.2">
      <c r="A292" s="53" t="s">
        <v>59</v>
      </c>
      <c r="B292" s="53" t="s">
        <v>45</v>
      </c>
      <c r="C292" s="53" t="s">
        <v>34</v>
      </c>
      <c r="D292" s="53" t="s">
        <v>42</v>
      </c>
      <c r="E292" s="53" t="s">
        <v>25</v>
      </c>
      <c r="F292" s="53" t="s">
        <v>25</v>
      </c>
      <c r="G292" s="53" t="s">
        <v>25</v>
      </c>
      <c r="H292" s="53" t="s">
        <v>35</v>
      </c>
      <c r="I292" s="73">
        <v>44075</v>
      </c>
      <c r="J292" s="74">
        <f>EFEITO!$J$292*EFEITO!$Y$292</f>
        <v>0</v>
      </c>
      <c r="K292" s="74">
        <f ca="1">EFEITO!$L$292*EFEITO!$Z$292</f>
        <v>6968.8774798802333</v>
      </c>
      <c r="L292" s="74">
        <f>EFEITO!$N$292*EFEITO!$AA$292</f>
        <v>3501.4476010429116</v>
      </c>
      <c r="M292" s="74">
        <f>$J$292-EFEITO!$K$292*EFEITO!$Y$292</f>
        <v>0</v>
      </c>
      <c r="N292" s="74">
        <f ca="1">$K$292-EFEITO!$M$292*EFEITO!$Z$292</f>
        <v>0</v>
      </c>
      <c r="O292" s="74">
        <f>$L$292-EFEITO!$O$292*EFEITO!$AA$292</f>
        <v>0</v>
      </c>
      <c r="P292" s="57"/>
      <c r="Q292" s="57"/>
      <c r="R292" s="57"/>
      <c r="S292" s="57"/>
      <c r="T292" s="57"/>
      <c r="U292" s="57"/>
      <c r="V292" s="57"/>
      <c r="W292" s="57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</row>
    <row r="293" spans="1:36" ht="11.25" customHeight="1" x14ac:dyDescent="0.2">
      <c r="A293" s="53" t="s">
        <v>21</v>
      </c>
      <c r="B293" s="53" t="s">
        <v>45</v>
      </c>
      <c r="C293" s="53" t="s">
        <v>34</v>
      </c>
      <c r="D293" s="53" t="s">
        <v>40</v>
      </c>
      <c r="E293" s="53" t="s">
        <v>25</v>
      </c>
      <c r="F293" s="53" t="s">
        <v>63</v>
      </c>
      <c r="G293" s="53" t="s">
        <v>25</v>
      </c>
      <c r="H293" s="53" t="s">
        <v>36</v>
      </c>
      <c r="I293" s="73">
        <v>43739</v>
      </c>
      <c r="J293" s="74">
        <f>EFEITO!$J$293*EFEITO!$Y$293</f>
        <v>0</v>
      </c>
      <c r="K293" s="74">
        <f ca="1">EFEITO!$L$293*EFEITO!$Z$293</f>
        <v>10582.753729476632</v>
      </c>
      <c r="L293" s="74">
        <f>EFEITO!$N$293*EFEITO!$AA$293</f>
        <v>0</v>
      </c>
      <c r="M293" s="74">
        <f>$J$293-EFEITO!$K$293*EFEITO!$Y$293</f>
        <v>0</v>
      </c>
      <c r="N293" s="74">
        <f ca="1">$K$293-EFEITO!$M$293*EFEITO!$Z$293</f>
        <v>0</v>
      </c>
      <c r="O293" s="74">
        <f>$L$293-EFEITO!$O$293*EFEITO!$AA$293</f>
        <v>0</v>
      </c>
      <c r="P293" s="57"/>
      <c r="Q293" s="57"/>
      <c r="R293" s="57"/>
      <c r="S293" s="57"/>
      <c r="T293" s="57"/>
      <c r="U293" s="57"/>
      <c r="V293" s="57"/>
      <c r="W293" s="57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</row>
    <row r="294" spans="1:36" ht="11.25" customHeight="1" x14ac:dyDescent="0.2">
      <c r="A294" s="53" t="s">
        <v>21</v>
      </c>
      <c r="B294" s="53" t="s">
        <v>45</v>
      </c>
      <c r="C294" s="53" t="s">
        <v>34</v>
      </c>
      <c r="D294" s="53" t="s">
        <v>40</v>
      </c>
      <c r="E294" s="53" t="s">
        <v>25</v>
      </c>
      <c r="F294" s="53" t="s">
        <v>63</v>
      </c>
      <c r="G294" s="53" t="s">
        <v>25</v>
      </c>
      <c r="H294" s="53" t="s">
        <v>36</v>
      </c>
      <c r="I294" s="73">
        <v>43770</v>
      </c>
      <c r="J294" s="74">
        <f>EFEITO!$J$294*EFEITO!$Y$294</f>
        <v>0</v>
      </c>
      <c r="K294" s="74">
        <f ca="1">EFEITO!$L$294*EFEITO!$Z$294</f>
        <v>10244.928992290748</v>
      </c>
      <c r="L294" s="74">
        <f>EFEITO!$N$294*EFEITO!$AA$294</f>
        <v>0</v>
      </c>
      <c r="M294" s="74">
        <f>$J$294-EFEITO!$K$294*EFEITO!$Y$294</f>
        <v>0</v>
      </c>
      <c r="N294" s="74">
        <f ca="1">$K$294-EFEITO!$M$294*EFEITO!$Z$294</f>
        <v>0</v>
      </c>
      <c r="O294" s="74">
        <f>$L$294-EFEITO!$O$294*EFEITO!$AA$294</f>
        <v>0</v>
      </c>
      <c r="P294" s="57"/>
      <c r="Q294" s="57"/>
      <c r="R294" s="57"/>
      <c r="S294" s="57"/>
      <c r="T294" s="57"/>
      <c r="U294" s="57"/>
      <c r="V294" s="57"/>
      <c r="W294" s="57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</row>
    <row r="295" spans="1:36" ht="11.25" customHeight="1" x14ac:dyDescent="0.2">
      <c r="A295" s="53" t="s">
        <v>21</v>
      </c>
      <c r="B295" s="53" t="s">
        <v>45</v>
      </c>
      <c r="C295" s="53" t="s">
        <v>34</v>
      </c>
      <c r="D295" s="53" t="s">
        <v>40</v>
      </c>
      <c r="E295" s="53" t="s">
        <v>25</v>
      </c>
      <c r="F295" s="53" t="s">
        <v>63</v>
      </c>
      <c r="G295" s="53" t="s">
        <v>25</v>
      </c>
      <c r="H295" s="53" t="s">
        <v>36</v>
      </c>
      <c r="I295" s="73">
        <v>43800</v>
      </c>
      <c r="J295" s="74">
        <f>EFEITO!$J$295*EFEITO!$Y$295</f>
        <v>0</v>
      </c>
      <c r="K295" s="74">
        <f ca="1">EFEITO!$L$295*EFEITO!$Z$295</f>
        <v>10376.208035238631</v>
      </c>
      <c r="L295" s="74">
        <f>EFEITO!$N$295*EFEITO!$AA$295</f>
        <v>0</v>
      </c>
      <c r="M295" s="74">
        <f>$J$295-EFEITO!$K$295*EFEITO!$Y$295</f>
        <v>0</v>
      </c>
      <c r="N295" s="74">
        <f ca="1">$K$295-EFEITO!$M$295*EFEITO!$Z$295</f>
        <v>0</v>
      </c>
      <c r="O295" s="74">
        <f>$L$295-EFEITO!$O$295*EFEITO!$AA$295</f>
        <v>0</v>
      </c>
      <c r="P295" s="57"/>
      <c r="Q295" s="57"/>
      <c r="R295" s="57"/>
      <c r="S295" s="57"/>
      <c r="T295" s="57"/>
      <c r="U295" s="57"/>
      <c r="V295" s="57"/>
      <c r="W295" s="57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</row>
    <row r="296" spans="1:36" ht="11.25" customHeight="1" x14ac:dyDescent="0.2">
      <c r="A296" s="53" t="s">
        <v>21</v>
      </c>
      <c r="B296" s="53" t="s">
        <v>45</v>
      </c>
      <c r="C296" s="53" t="s">
        <v>34</v>
      </c>
      <c r="D296" s="53" t="s">
        <v>40</v>
      </c>
      <c r="E296" s="53" t="s">
        <v>25</v>
      </c>
      <c r="F296" s="53" t="s">
        <v>63</v>
      </c>
      <c r="G296" s="53" t="s">
        <v>25</v>
      </c>
      <c r="H296" s="53" t="s">
        <v>36</v>
      </c>
      <c r="I296" s="73">
        <v>43831</v>
      </c>
      <c r="J296" s="74">
        <f>EFEITO!$J$296*EFEITO!$Y$296</f>
        <v>0</v>
      </c>
      <c r="K296" s="74">
        <f ca="1">EFEITO!$L$296*EFEITO!$Z$296</f>
        <v>10453.050035044123</v>
      </c>
      <c r="L296" s="74">
        <f>EFEITO!$N$296*EFEITO!$AA$296</f>
        <v>0</v>
      </c>
      <c r="M296" s="74">
        <f>$J$296-EFEITO!$K$296*EFEITO!$Y$296</f>
        <v>0</v>
      </c>
      <c r="N296" s="74">
        <f ca="1">$K$296-EFEITO!$M$296*EFEITO!$Z$296</f>
        <v>0</v>
      </c>
      <c r="O296" s="74">
        <f>$L$296-EFEITO!$O$296*EFEITO!$AA$296</f>
        <v>0</v>
      </c>
      <c r="P296" s="57"/>
      <c r="Q296" s="57"/>
      <c r="R296" s="57"/>
      <c r="S296" s="57"/>
      <c r="T296" s="57"/>
      <c r="U296" s="57"/>
      <c r="V296" s="57"/>
      <c r="W296" s="57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</row>
    <row r="297" spans="1:36" ht="11.25" customHeight="1" x14ac:dyDescent="0.2">
      <c r="A297" s="53" t="s">
        <v>21</v>
      </c>
      <c r="B297" s="53" t="s">
        <v>45</v>
      </c>
      <c r="C297" s="53" t="s">
        <v>34</v>
      </c>
      <c r="D297" s="53" t="s">
        <v>40</v>
      </c>
      <c r="E297" s="53" t="s">
        <v>25</v>
      </c>
      <c r="F297" s="53" t="s">
        <v>63</v>
      </c>
      <c r="G297" s="53" t="s">
        <v>25</v>
      </c>
      <c r="H297" s="53" t="s">
        <v>36</v>
      </c>
      <c r="I297" s="73">
        <v>43862</v>
      </c>
      <c r="J297" s="74">
        <f>EFEITO!$J$297*EFEITO!$Y$297</f>
        <v>0</v>
      </c>
      <c r="K297" s="74">
        <f ca="1">EFEITO!$L$297*EFEITO!$Z$297</f>
        <v>9503.0273609112846</v>
      </c>
      <c r="L297" s="74">
        <f>EFEITO!$N$297*EFEITO!$AA$297</f>
        <v>0</v>
      </c>
      <c r="M297" s="74">
        <f>$J$297-EFEITO!$K$297*EFEITO!$Y$297</f>
        <v>0</v>
      </c>
      <c r="N297" s="74">
        <f ca="1">$K$297-EFEITO!$M$297*EFEITO!$Z$297</f>
        <v>0</v>
      </c>
      <c r="O297" s="74">
        <f>$L$297-EFEITO!$O$297*EFEITO!$AA$297</f>
        <v>0</v>
      </c>
      <c r="P297" s="57"/>
      <c r="Q297" s="57"/>
      <c r="R297" s="57"/>
      <c r="S297" s="57"/>
      <c r="T297" s="57"/>
      <c r="U297" s="57"/>
      <c r="V297" s="57"/>
      <c r="W297" s="57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</row>
    <row r="298" spans="1:36" ht="11.25" customHeight="1" x14ac:dyDescent="0.2">
      <c r="A298" s="53" t="s">
        <v>21</v>
      </c>
      <c r="B298" s="53" t="s">
        <v>45</v>
      </c>
      <c r="C298" s="53" t="s">
        <v>34</v>
      </c>
      <c r="D298" s="53" t="s">
        <v>40</v>
      </c>
      <c r="E298" s="53" t="s">
        <v>25</v>
      </c>
      <c r="F298" s="53" t="s">
        <v>63</v>
      </c>
      <c r="G298" s="53" t="s">
        <v>25</v>
      </c>
      <c r="H298" s="53" t="s">
        <v>36</v>
      </c>
      <c r="I298" s="73">
        <v>43891</v>
      </c>
      <c r="J298" s="74">
        <f>EFEITO!$J$298*EFEITO!$Y$298</f>
        <v>0</v>
      </c>
      <c r="K298" s="74">
        <f ca="1">EFEITO!$L$298*EFEITO!$Z$298</f>
        <v>5513.3697263631848</v>
      </c>
      <c r="L298" s="74">
        <f>EFEITO!$N$298*EFEITO!$AA$298</f>
        <v>0</v>
      </c>
      <c r="M298" s="74">
        <f>$J$298-EFEITO!$K$298*EFEITO!$Y$298</f>
        <v>0</v>
      </c>
      <c r="N298" s="74">
        <f ca="1">$K$298-EFEITO!$M$298*EFEITO!$Z$298</f>
        <v>0</v>
      </c>
      <c r="O298" s="74">
        <f>$L$298-EFEITO!$O$298*EFEITO!$AA$298</f>
        <v>0</v>
      </c>
      <c r="P298" s="57"/>
      <c r="Q298" s="57"/>
      <c r="R298" s="57"/>
      <c r="S298" s="57"/>
      <c r="T298" s="57"/>
      <c r="U298" s="57"/>
      <c r="V298" s="57"/>
      <c r="W298" s="57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</row>
    <row r="299" spans="1:36" ht="11.25" customHeight="1" x14ac:dyDescent="0.2">
      <c r="A299" s="53" t="s">
        <v>21</v>
      </c>
      <c r="B299" s="53" t="s">
        <v>45</v>
      </c>
      <c r="C299" s="53" t="s">
        <v>34</v>
      </c>
      <c r="D299" s="53" t="s">
        <v>40</v>
      </c>
      <c r="E299" s="53" t="s">
        <v>25</v>
      </c>
      <c r="F299" s="53" t="s">
        <v>63</v>
      </c>
      <c r="G299" s="53" t="s">
        <v>25</v>
      </c>
      <c r="H299" s="53" t="s">
        <v>36</v>
      </c>
      <c r="I299" s="73">
        <v>43922</v>
      </c>
      <c r="J299" s="74">
        <f>EFEITO!$J$299*EFEITO!$Y$299</f>
        <v>0</v>
      </c>
      <c r="K299" s="74">
        <f ca="1">EFEITO!$L$299*EFEITO!$Z$299</f>
        <v>949.14748051318713</v>
      </c>
      <c r="L299" s="74">
        <f>EFEITO!$N$299*EFEITO!$AA$299</f>
        <v>0</v>
      </c>
      <c r="M299" s="74">
        <f>$J$299-EFEITO!$K$299*EFEITO!$Y$299</f>
        <v>0</v>
      </c>
      <c r="N299" s="74">
        <f ca="1">$K$299-EFEITO!$M$299*EFEITO!$Z$299</f>
        <v>0</v>
      </c>
      <c r="O299" s="74">
        <f>$L$299-EFEITO!$O$299*EFEITO!$AA$299</f>
        <v>0</v>
      </c>
      <c r="P299" s="57"/>
      <c r="Q299" s="57"/>
      <c r="R299" s="57"/>
      <c r="S299" s="57"/>
      <c r="T299" s="57"/>
      <c r="U299" s="57"/>
      <c r="V299" s="57"/>
      <c r="W299" s="57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</row>
    <row r="300" spans="1:36" ht="11.25" customHeight="1" x14ac:dyDescent="0.2">
      <c r="A300" s="53" t="s">
        <v>21</v>
      </c>
      <c r="B300" s="53" t="s">
        <v>45</v>
      </c>
      <c r="C300" s="53" t="s">
        <v>34</v>
      </c>
      <c r="D300" s="53" t="s">
        <v>40</v>
      </c>
      <c r="E300" s="53" t="s">
        <v>25</v>
      </c>
      <c r="F300" s="53" t="s">
        <v>63</v>
      </c>
      <c r="G300" s="53" t="s">
        <v>25</v>
      </c>
      <c r="H300" s="53" t="s">
        <v>36</v>
      </c>
      <c r="I300" s="73">
        <v>43952</v>
      </c>
      <c r="J300" s="74">
        <f>EFEITO!$J$300*EFEITO!$Y$300</f>
        <v>0</v>
      </c>
      <c r="K300" s="74">
        <f ca="1">EFEITO!$L$300*EFEITO!$Z$300</f>
        <v>1941.1794483893489</v>
      </c>
      <c r="L300" s="74">
        <f>EFEITO!$N$300*EFEITO!$AA$300</f>
        <v>0</v>
      </c>
      <c r="M300" s="74">
        <f>$J$300-EFEITO!$K$300*EFEITO!$Y$300</f>
        <v>0</v>
      </c>
      <c r="N300" s="74">
        <f ca="1">$K$300-EFEITO!$M$300*EFEITO!$Z$300</f>
        <v>0</v>
      </c>
      <c r="O300" s="74">
        <f>$L$300-EFEITO!$O$300*EFEITO!$AA$300</f>
        <v>0</v>
      </c>
      <c r="P300" s="57"/>
      <c r="Q300" s="57"/>
      <c r="R300" s="57"/>
      <c r="S300" s="57"/>
      <c r="T300" s="57"/>
      <c r="U300" s="57"/>
      <c r="V300" s="57"/>
      <c r="W300" s="57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</row>
    <row r="301" spans="1:36" ht="11.25" customHeight="1" x14ac:dyDescent="0.2">
      <c r="A301" s="53" t="s">
        <v>21</v>
      </c>
      <c r="B301" s="53" t="s">
        <v>45</v>
      </c>
      <c r="C301" s="53" t="s">
        <v>34</v>
      </c>
      <c r="D301" s="53" t="s">
        <v>40</v>
      </c>
      <c r="E301" s="53" t="s">
        <v>25</v>
      </c>
      <c r="F301" s="53" t="s">
        <v>63</v>
      </c>
      <c r="G301" s="53" t="s">
        <v>25</v>
      </c>
      <c r="H301" s="53" t="s">
        <v>36</v>
      </c>
      <c r="I301" s="73">
        <v>43983</v>
      </c>
      <c r="J301" s="74">
        <f>EFEITO!$J$301*EFEITO!$Y$301</f>
        <v>0</v>
      </c>
      <c r="K301" s="74">
        <f ca="1">EFEITO!$L$301*EFEITO!$Z$301</f>
        <v>1941.1794483893489</v>
      </c>
      <c r="L301" s="74">
        <f>EFEITO!$N$301*EFEITO!$AA$301</f>
        <v>0</v>
      </c>
      <c r="M301" s="74">
        <f>$J$301-EFEITO!$K$301*EFEITO!$Y$301</f>
        <v>0</v>
      </c>
      <c r="N301" s="74">
        <f ca="1">$K$301-EFEITO!$M$301*EFEITO!$Z$301</f>
        <v>0</v>
      </c>
      <c r="O301" s="74">
        <f>$L$301-EFEITO!$O$301*EFEITO!$AA$301</f>
        <v>0</v>
      </c>
      <c r="P301" s="57"/>
      <c r="Q301" s="57"/>
      <c r="R301" s="57"/>
      <c r="S301" s="57"/>
      <c r="T301" s="57"/>
      <c r="U301" s="57"/>
      <c r="V301" s="57"/>
      <c r="W301" s="57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</row>
    <row r="302" spans="1:36" ht="11.25" customHeight="1" x14ac:dyDescent="0.2">
      <c r="A302" s="53" t="s">
        <v>21</v>
      </c>
      <c r="B302" s="53" t="s">
        <v>45</v>
      </c>
      <c r="C302" s="53" t="s">
        <v>34</v>
      </c>
      <c r="D302" s="53" t="s">
        <v>40</v>
      </c>
      <c r="E302" s="53" t="s">
        <v>25</v>
      </c>
      <c r="F302" s="53" t="s">
        <v>63</v>
      </c>
      <c r="G302" s="53" t="s">
        <v>25</v>
      </c>
      <c r="H302" s="53" t="s">
        <v>36</v>
      </c>
      <c r="I302" s="73">
        <v>44013</v>
      </c>
      <c r="J302" s="74">
        <f>EFEITO!$J$302*EFEITO!$Y$302</f>
        <v>0</v>
      </c>
      <c r="K302" s="74">
        <f ca="1">EFEITO!$L$302*EFEITO!$Z$302</f>
        <v>4881.830010421907</v>
      </c>
      <c r="L302" s="74">
        <f>EFEITO!$N$302*EFEITO!$AA$302</f>
        <v>0</v>
      </c>
      <c r="M302" s="74">
        <f>$J$302-EFEITO!$K$302*EFEITO!$Y$302</f>
        <v>0</v>
      </c>
      <c r="N302" s="74">
        <f ca="1">$K$302-EFEITO!$M$302*EFEITO!$Z$302</f>
        <v>0</v>
      </c>
      <c r="O302" s="74">
        <f>$L$302-EFEITO!$O$302*EFEITO!$AA$302</f>
        <v>0</v>
      </c>
      <c r="P302" s="57"/>
      <c r="Q302" s="57"/>
      <c r="R302" s="57"/>
      <c r="S302" s="57"/>
      <c r="T302" s="57"/>
      <c r="U302" s="57"/>
      <c r="V302" s="57"/>
      <c r="W302" s="57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</row>
    <row r="303" spans="1:36" ht="11.25" customHeight="1" x14ac:dyDescent="0.2">
      <c r="A303" s="53" t="s">
        <v>21</v>
      </c>
      <c r="B303" s="53" t="s">
        <v>45</v>
      </c>
      <c r="C303" s="53" t="s">
        <v>34</v>
      </c>
      <c r="D303" s="53" t="s">
        <v>40</v>
      </c>
      <c r="E303" s="53" t="s">
        <v>25</v>
      </c>
      <c r="F303" s="53" t="s">
        <v>63</v>
      </c>
      <c r="G303" s="53" t="s">
        <v>25</v>
      </c>
      <c r="H303" s="53" t="s">
        <v>36</v>
      </c>
      <c r="I303" s="73">
        <v>44044</v>
      </c>
      <c r="J303" s="74">
        <f>EFEITO!$J$303*EFEITO!$Y$303</f>
        <v>0</v>
      </c>
      <c r="K303" s="74">
        <f ca="1">EFEITO!$L$303*EFEITO!$Z$303</f>
        <v>5372.6385923230546</v>
      </c>
      <c r="L303" s="74">
        <f>EFEITO!$N$303*EFEITO!$AA$303</f>
        <v>0</v>
      </c>
      <c r="M303" s="74">
        <f>$J$303-EFEITO!$K$303*EFEITO!$Y$303</f>
        <v>0</v>
      </c>
      <c r="N303" s="74">
        <f ca="1">$K$303-EFEITO!$M$303*EFEITO!$Z$303</f>
        <v>0</v>
      </c>
      <c r="O303" s="74">
        <f>$L$303-EFEITO!$O$303*EFEITO!$AA$303</f>
        <v>0</v>
      </c>
      <c r="P303" s="57"/>
      <c r="Q303" s="57"/>
      <c r="R303" s="57"/>
      <c r="S303" s="57"/>
      <c r="T303" s="57"/>
      <c r="U303" s="57"/>
      <c r="V303" s="57"/>
      <c r="W303" s="57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</row>
    <row r="304" spans="1:36" ht="11.25" customHeight="1" x14ac:dyDescent="0.2">
      <c r="A304" s="53" t="s">
        <v>59</v>
      </c>
      <c r="B304" s="53" t="s">
        <v>45</v>
      </c>
      <c r="C304" s="53" t="s">
        <v>34</v>
      </c>
      <c r="D304" s="53" t="s">
        <v>40</v>
      </c>
      <c r="E304" s="53" t="s">
        <v>25</v>
      </c>
      <c r="F304" s="53" t="s">
        <v>63</v>
      </c>
      <c r="G304" s="53" t="s">
        <v>25</v>
      </c>
      <c r="H304" s="53" t="s">
        <v>36</v>
      </c>
      <c r="I304" s="73">
        <v>44075</v>
      </c>
      <c r="J304" s="74">
        <f>EFEITO!$J$304*EFEITO!$Y$304</f>
        <v>0</v>
      </c>
      <c r="K304" s="74">
        <f ca="1">EFEITO!$L$304*EFEITO!$Z$304</f>
        <v>5372.6385923230546</v>
      </c>
      <c r="L304" s="74">
        <f>EFEITO!$N$304*EFEITO!$AA$304</f>
        <v>0</v>
      </c>
      <c r="M304" s="74">
        <f>$J$304-EFEITO!$K$304*EFEITO!$Y$304</f>
        <v>0</v>
      </c>
      <c r="N304" s="74">
        <f ca="1">$K$304-EFEITO!$M$304*EFEITO!$Z$304</f>
        <v>0</v>
      </c>
      <c r="O304" s="74">
        <f>$L$304-EFEITO!$O$304*EFEITO!$AA$304</f>
        <v>0</v>
      </c>
      <c r="P304" s="57"/>
      <c r="Q304" s="57"/>
      <c r="R304" s="57"/>
      <c r="S304" s="57"/>
      <c r="T304" s="57"/>
      <c r="U304" s="57"/>
      <c r="V304" s="57"/>
      <c r="W304" s="57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</row>
    <row r="305" spans="1:36" ht="11.25" customHeight="1" x14ac:dyDescent="0.2">
      <c r="A305" s="53" t="s">
        <v>21</v>
      </c>
      <c r="B305" s="53" t="s">
        <v>45</v>
      </c>
      <c r="C305" s="53" t="s">
        <v>34</v>
      </c>
      <c r="D305" s="53" t="s">
        <v>40</v>
      </c>
      <c r="E305" s="53" t="s">
        <v>25</v>
      </c>
      <c r="F305" s="53" t="s">
        <v>63</v>
      </c>
      <c r="G305" s="53" t="s">
        <v>25</v>
      </c>
      <c r="H305" s="53" t="s">
        <v>25</v>
      </c>
      <c r="I305" s="73">
        <v>43739</v>
      </c>
      <c r="J305" s="74">
        <f ca="1">EFEITO!$J$305*EFEITO!$Y$305</f>
        <v>7673.0789545976404</v>
      </c>
      <c r="K305" s="74">
        <f>EFEITO!$L$305*EFEITO!$Z$305</f>
        <v>0</v>
      </c>
      <c r="L305" s="74">
        <f>EFEITO!$N$305*EFEITO!$AA$305</f>
        <v>0</v>
      </c>
      <c r="M305" s="74">
        <f ca="1">$J$305-EFEITO!$K$305*EFEITO!$Y$305</f>
        <v>2864.7724180911609</v>
      </c>
      <c r="N305" s="74">
        <f>$K$305-EFEITO!$M$305*EFEITO!$Z$305</f>
        <v>0</v>
      </c>
      <c r="O305" s="74">
        <f>$L$305-EFEITO!$O$305*EFEITO!$AA$305</f>
        <v>0</v>
      </c>
      <c r="P305" s="57"/>
      <c r="Q305" s="57"/>
      <c r="R305" s="57"/>
      <c r="S305" s="57"/>
      <c r="T305" s="57"/>
      <c r="U305" s="57"/>
      <c r="V305" s="57"/>
      <c r="W305" s="57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</row>
    <row r="306" spans="1:36" ht="11.25" customHeight="1" x14ac:dyDescent="0.2">
      <c r="A306" s="53" t="s">
        <v>21</v>
      </c>
      <c r="B306" s="53" t="s">
        <v>45</v>
      </c>
      <c r="C306" s="53" t="s">
        <v>34</v>
      </c>
      <c r="D306" s="53" t="s">
        <v>40</v>
      </c>
      <c r="E306" s="53" t="s">
        <v>25</v>
      </c>
      <c r="F306" s="53" t="s">
        <v>63</v>
      </c>
      <c r="G306" s="53" t="s">
        <v>25</v>
      </c>
      <c r="H306" s="53" t="s">
        <v>25</v>
      </c>
      <c r="I306" s="73">
        <v>43770</v>
      </c>
      <c r="J306" s="74">
        <f ca="1">EFEITO!$J$306*EFEITO!$Y$306</f>
        <v>7673.0789545976404</v>
      </c>
      <c r="K306" s="74">
        <f>EFEITO!$L$306*EFEITO!$Z$306</f>
        <v>0</v>
      </c>
      <c r="L306" s="74">
        <f>EFEITO!$N$306*EFEITO!$AA$306</f>
        <v>0</v>
      </c>
      <c r="M306" s="74">
        <f ca="1">$J$306-EFEITO!$K$306*EFEITO!$Y$306</f>
        <v>2841.2872718732451</v>
      </c>
      <c r="N306" s="74">
        <f>$K$306-EFEITO!$M$306*EFEITO!$Z$306</f>
        <v>0</v>
      </c>
      <c r="O306" s="74">
        <f>$L$306-EFEITO!$O$306*EFEITO!$AA$306</f>
        <v>0</v>
      </c>
      <c r="P306" s="57"/>
      <c r="Q306" s="57"/>
      <c r="R306" s="57"/>
      <c r="S306" s="57"/>
      <c r="T306" s="57"/>
      <c r="U306" s="57"/>
      <c r="V306" s="57"/>
      <c r="W306" s="57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</row>
    <row r="307" spans="1:36" ht="11.25" customHeight="1" x14ac:dyDescent="0.2">
      <c r="A307" s="53" t="s">
        <v>21</v>
      </c>
      <c r="B307" s="53" t="s">
        <v>45</v>
      </c>
      <c r="C307" s="53" t="s">
        <v>34</v>
      </c>
      <c r="D307" s="53" t="s">
        <v>40</v>
      </c>
      <c r="E307" s="53" t="s">
        <v>25</v>
      </c>
      <c r="F307" s="53" t="s">
        <v>63</v>
      </c>
      <c r="G307" s="53" t="s">
        <v>25</v>
      </c>
      <c r="H307" s="53" t="s">
        <v>25</v>
      </c>
      <c r="I307" s="73">
        <v>43800</v>
      </c>
      <c r="J307" s="74">
        <f ca="1">EFEITO!$J$307*EFEITO!$Y$307</f>
        <v>7673.0789545976404</v>
      </c>
      <c r="K307" s="74">
        <f>EFEITO!$L$307*EFEITO!$Z$307</f>
        <v>0</v>
      </c>
      <c r="L307" s="74">
        <f>EFEITO!$N$307*EFEITO!$AA$307</f>
        <v>0</v>
      </c>
      <c r="M307" s="74">
        <f ca="1">$J$307-EFEITO!$K$307*EFEITO!$Y$307</f>
        <v>2804.4092267248152</v>
      </c>
      <c r="N307" s="74">
        <f>$K$307-EFEITO!$M$307*EFEITO!$Z$307</f>
        <v>0</v>
      </c>
      <c r="O307" s="74">
        <f>$L$307-EFEITO!$O$307*EFEITO!$AA$307</f>
        <v>0</v>
      </c>
      <c r="P307" s="57"/>
      <c r="Q307" s="57"/>
      <c r="R307" s="57"/>
      <c r="S307" s="57"/>
      <c r="T307" s="57"/>
      <c r="U307" s="57"/>
      <c r="V307" s="57"/>
      <c r="W307" s="57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</row>
    <row r="308" spans="1:36" ht="11.25" customHeight="1" x14ac:dyDescent="0.2">
      <c r="A308" s="53" t="s">
        <v>21</v>
      </c>
      <c r="B308" s="53" t="s">
        <v>45</v>
      </c>
      <c r="C308" s="53" t="s">
        <v>34</v>
      </c>
      <c r="D308" s="53" t="s">
        <v>40</v>
      </c>
      <c r="E308" s="53" t="s">
        <v>25</v>
      </c>
      <c r="F308" s="53" t="s">
        <v>63</v>
      </c>
      <c r="G308" s="53" t="s">
        <v>25</v>
      </c>
      <c r="H308" s="53" t="s">
        <v>25</v>
      </c>
      <c r="I308" s="73">
        <v>43831</v>
      </c>
      <c r="J308" s="74">
        <f ca="1">EFEITO!$J$308*EFEITO!$Y$308</f>
        <v>7673.0789545976404</v>
      </c>
      <c r="K308" s="74">
        <f>EFEITO!$L$308*EFEITO!$Z$308</f>
        <v>0</v>
      </c>
      <c r="L308" s="74">
        <f>EFEITO!$N$308*EFEITO!$AA$308</f>
        <v>0</v>
      </c>
      <c r="M308" s="74">
        <f ca="1">$J$308-EFEITO!$K$308*EFEITO!$Y$308</f>
        <v>2810.3543282988376</v>
      </c>
      <c r="N308" s="74">
        <f>$K$308-EFEITO!$M$308*EFEITO!$Z$308</f>
        <v>0</v>
      </c>
      <c r="O308" s="74">
        <f>$L$308-EFEITO!$O$308*EFEITO!$AA$308</f>
        <v>0</v>
      </c>
      <c r="P308" s="57"/>
      <c r="Q308" s="57"/>
      <c r="R308" s="57"/>
      <c r="S308" s="57"/>
      <c r="T308" s="57"/>
      <c r="U308" s="57"/>
      <c r="V308" s="57"/>
      <c r="W308" s="57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</row>
    <row r="309" spans="1:36" ht="11.25" customHeight="1" x14ac:dyDescent="0.2">
      <c r="A309" s="53" t="s">
        <v>21</v>
      </c>
      <c r="B309" s="53" t="s">
        <v>45</v>
      </c>
      <c r="C309" s="53" t="s">
        <v>34</v>
      </c>
      <c r="D309" s="53" t="s">
        <v>40</v>
      </c>
      <c r="E309" s="53" t="s">
        <v>25</v>
      </c>
      <c r="F309" s="53" t="s">
        <v>63</v>
      </c>
      <c r="G309" s="53" t="s">
        <v>25</v>
      </c>
      <c r="H309" s="53" t="s">
        <v>25</v>
      </c>
      <c r="I309" s="73">
        <v>43862</v>
      </c>
      <c r="J309" s="74">
        <f ca="1">EFEITO!$J$309*EFEITO!$Y$309</f>
        <v>7673.0789545976404</v>
      </c>
      <c r="K309" s="74">
        <f>EFEITO!$L$309*EFEITO!$Z$309</f>
        <v>0</v>
      </c>
      <c r="L309" s="74">
        <f>EFEITO!$N$309*EFEITO!$AA$309</f>
        <v>0</v>
      </c>
      <c r="M309" s="74">
        <f ca="1">$J$309-EFEITO!$K$309*EFEITO!$Y$309</f>
        <v>2861.7409380577783</v>
      </c>
      <c r="N309" s="74">
        <f>$K$309-EFEITO!$M$309*EFEITO!$Z$309</f>
        <v>0</v>
      </c>
      <c r="O309" s="74">
        <f>$L$309-EFEITO!$O$309*EFEITO!$AA$309</f>
        <v>0</v>
      </c>
      <c r="P309" s="57"/>
      <c r="Q309" s="57"/>
      <c r="R309" s="57"/>
      <c r="S309" s="57"/>
      <c r="T309" s="57"/>
      <c r="U309" s="57"/>
      <c r="V309" s="57"/>
      <c r="W309" s="57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</row>
    <row r="310" spans="1:36" ht="11.25" customHeight="1" x14ac:dyDescent="0.2">
      <c r="A310" s="53" t="s">
        <v>21</v>
      </c>
      <c r="B310" s="53" t="s">
        <v>45</v>
      </c>
      <c r="C310" s="53" t="s">
        <v>34</v>
      </c>
      <c r="D310" s="53" t="s">
        <v>40</v>
      </c>
      <c r="E310" s="53" t="s">
        <v>25</v>
      </c>
      <c r="F310" s="53" t="s">
        <v>63</v>
      </c>
      <c r="G310" s="53" t="s">
        <v>25</v>
      </c>
      <c r="H310" s="53" t="s">
        <v>25</v>
      </c>
      <c r="I310" s="73">
        <v>43891</v>
      </c>
      <c r="J310" s="74">
        <f ca="1">EFEITO!$J$310*EFEITO!$Y$310</f>
        <v>7673.0789545976404</v>
      </c>
      <c r="K310" s="74">
        <f>EFEITO!$L$310*EFEITO!$Z$310</f>
        <v>0</v>
      </c>
      <c r="L310" s="74">
        <f>EFEITO!$N$310*EFEITO!$AA$310</f>
        <v>0</v>
      </c>
      <c r="M310" s="74">
        <f ca="1">$J$310-EFEITO!$K$310*EFEITO!$Y$310</f>
        <v>2874.9780734855131</v>
      </c>
      <c r="N310" s="74">
        <f>$K$310-EFEITO!$M$310*EFEITO!$Z$310</f>
        <v>0</v>
      </c>
      <c r="O310" s="74">
        <f>$L$310-EFEITO!$O$310*EFEITO!$AA$310</f>
        <v>0</v>
      </c>
      <c r="P310" s="57"/>
      <c r="Q310" s="57"/>
      <c r="R310" s="57"/>
      <c r="S310" s="57"/>
      <c r="T310" s="57"/>
      <c r="U310" s="57"/>
      <c r="V310" s="57"/>
      <c r="W310" s="57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</row>
    <row r="311" spans="1:36" ht="11.25" customHeight="1" x14ac:dyDescent="0.2">
      <c r="A311" s="53" t="s">
        <v>21</v>
      </c>
      <c r="B311" s="53" t="s">
        <v>45</v>
      </c>
      <c r="C311" s="53" t="s">
        <v>34</v>
      </c>
      <c r="D311" s="53" t="s">
        <v>40</v>
      </c>
      <c r="E311" s="53" t="s">
        <v>25</v>
      </c>
      <c r="F311" s="53" t="s">
        <v>63</v>
      </c>
      <c r="G311" s="53" t="s">
        <v>25</v>
      </c>
      <c r="H311" s="53" t="s">
        <v>25</v>
      </c>
      <c r="I311" s="73">
        <v>43922</v>
      </c>
      <c r="J311" s="74">
        <f ca="1">EFEITO!$J$311*EFEITO!$Y$311</f>
        <v>7673.0789545976404</v>
      </c>
      <c r="K311" s="74">
        <f>EFEITO!$L$311*EFEITO!$Z$311</f>
        <v>0</v>
      </c>
      <c r="L311" s="74">
        <f>EFEITO!$N$311*EFEITO!$AA$311</f>
        <v>0</v>
      </c>
      <c r="M311" s="74">
        <f ca="1">$J$311-EFEITO!$K$311*EFEITO!$Y$311</f>
        <v>2869.8306651996108</v>
      </c>
      <c r="N311" s="74">
        <f>$K$311-EFEITO!$M$311*EFEITO!$Z$311</f>
        <v>0</v>
      </c>
      <c r="O311" s="74">
        <f>$L$311-EFEITO!$O$311*EFEITO!$AA$311</f>
        <v>0</v>
      </c>
      <c r="P311" s="57"/>
      <c r="Q311" s="57"/>
      <c r="R311" s="57"/>
      <c r="S311" s="57"/>
      <c r="T311" s="57"/>
      <c r="U311" s="57"/>
      <c r="V311" s="57"/>
      <c r="W311" s="57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</row>
    <row r="312" spans="1:36" ht="11.25" customHeight="1" x14ac:dyDescent="0.2">
      <c r="A312" s="53" t="s">
        <v>21</v>
      </c>
      <c r="B312" s="53" t="s">
        <v>45</v>
      </c>
      <c r="C312" s="53" t="s">
        <v>34</v>
      </c>
      <c r="D312" s="53" t="s">
        <v>40</v>
      </c>
      <c r="E312" s="53" t="s">
        <v>25</v>
      </c>
      <c r="F312" s="53" t="s">
        <v>63</v>
      </c>
      <c r="G312" s="53" t="s">
        <v>25</v>
      </c>
      <c r="H312" s="53" t="s">
        <v>25</v>
      </c>
      <c r="I312" s="73">
        <v>43952</v>
      </c>
      <c r="J312" s="74">
        <f ca="1">EFEITO!$J$312*EFEITO!$Y$312</f>
        <v>7673.0789545976404</v>
      </c>
      <c r="K312" s="74">
        <f>EFEITO!$L$312*EFEITO!$Z$312</f>
        <v>0</v>
      </c>
      <c r="L312" s="74">
        <f>EFEITO!$N$312*EFEITO!$AA$312</f>
        <v>0</v>
      </c>
      <c r="M312" s="74">
        <f ca="1">$J$312-EFEITO!$K$312*EFEITO!$Y$312</f>
        <v>2880.8855002418677</v>
      </c>
      <c r="N312" s="74">
        <f>$K$312-EFEITO!$M$312*EFEITO!$Z$312</f>
        <v>0</v>
      </c>
      <c r="O312" s="74">
        <f>$L$312-EFEITO!$O$312*EFEITO!$AA$312</f>
        <v>0</v>
      </c>
      <c r="P312" s="57"/>
      <c r="Q312" s="57"/>
      <c r="R312" s="57"/>
      <c r="S312" s="57"/>
      <c r="T312" s="57"/>
      <c r="U312" s="57"/>
      <c r="V312" s="57"/>
      <c r="W312" s="57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</row>
    <row r="313" spans="1:36" ht="11.25" customHeight="1" x14ac:dyDescent="0.2">
      <c r="A313" s="53" t="s">
        <v>21</v>
      </c>
      <c r="B313" s="53" t="s">
        <v>45</v>
      </c>
      <c r="C313" s="53" t="s">
        <v>34</v>
      </c>
      <c r="D313" s="53" t="s">
        <v>40</v>
      </c>
      <c r="E313" s="53" t="s">
        <v>25</v>
      </c>
      <c r="F313" s="53" t="s">
        <v>63</v>
      </c>
      <c r="G313" s="53" t="s">
        <v>25</v>
      </c>
      <c r="H313" s="53" t="s">
        <v>25</v>
      </c>
      <c r="I313" s="73">
        <v>43983</v>
      </c>
      <c r="J313" s="74">
        <f ca="1">EFEITO!$J$313*EFEITO!$Y$313</f>
        <v>7673.0789545976404</v>
      </c>
      <c r="K313" s="74">
        <f>EFEITO!$L$313*EFEITO!$Z$313</f>
        <v>0</v>
      </c>
      <c r="L313" s="74">
        <f>EFEITO!$N$313*EFEITO!$AA$313</f>
        <v>0</v>
      </c>
      <c r="M313" s="74">
        <f ca="1">$J$313-EFEITO!$K$313*EFEITO!$Y$313</f>
        <v>2871.973295766893</v>
      </c>
      <c r="N313" s="74">
        <f>$K$313-EFEITO!$M$313*EFEITO!$Z$313</f>
        <v>0</v>
      </c>
      <c r="O313" s="74">
        <f>$L$313-EFEITO!$O$313*EFEITO!$AA$313</f>
        <v>0</v>
      </c>
      <c r="P313" s="57"/>
      <c r="Q313" s="57"/>
      <c r="R313" s="57"/>
      <c r="S313" s="57"/>
      <c r="T313" s="57"/>
      <c r="U313" s="57"/>
      <c r="V313" s="57"/>
      <c r="W313" s="57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</row>
    <row r="314" spans="1:36" ht="11.25" customHeight="1" x14ac:dyDescent="0.2">
      <c r="A314" s="53" t="s">
        <v>21</v>
      </c>
      <c r="B314" s="53" t="s">
        <v>45</v>
      </c>
      <c r="C314" s="53" t="s">
        <v>34</v>
      </c>
      <c r="D314" s="53" t="s">
        <v>40</v>
      </c>
      <c r="E314" s="53" t="s">
        <v>25</v>
      </c>
      <c r="F314" s="53" t="s">
        <v>63</v>
      </c>
      <c r="G314" s="53" t="s">
        <v>25</v>
      </c>
      <c r="H314" s="53" t="s">
        <v>25</v>
      </c>
      <c r="I314" s="73">
        <v>44013</v>
      </c>
      <c r="J314" s="74">
        <f ca="1">EFEITO!$J$314*EFEITO!$Y$314</f>
        <v>4809.9897924343422</v>
      </c>
      <c r="K314" s="74">
        <f>EFEITO!$L$314*EFEITO!$Z$314</f>
        <v>0</v>
      </c>
      <c r="L314" s="74">
        <f>EFEITO!$N$314*EFEITO!$AA$314</f>
        <v>0</v>
      </c>
      <c r="M314" s="74">
        <f ca="1">$J$314-EFEITO!$K$314*EFEITO!$Y$314</f>
        <v>1678.202889285752</v>
      </c>
      <c r="N314" s="74">
        <f>$K$314-EFEITO!$M$314*EFEITO!$Z$314</f>
        <v>0</v>
      </c>
      <c r="O314" s="74">
        <f>$L$314-EFEITO!$O$314*EFEITO!$AA$314</f>
        <v>0</v>
      </c>
      <c r="P314" s="57"/>
      <c r="Q314" s="57"/>
      <c r="R314" s="57"/>
      <c r="S314" s="57"/>
      <c r="T314" s="57"/>
      <c r="U314" s="57"/>
      <c r="V314" s="57"/>
      <c r="W314" s="57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</row>
    <row r="315" spans="1:36" ht="11.25" customHeight="1" x14ac:dyDescent="0.2">
      <c r="A315" s="53" t="s">
        <v>21</v>
      </c>
      <c r="B315" s="53" t="s">
        <v>45</v>
      </c>
      <c r="C315" s="53" t="s">
        <v>34</v>
      </c>
      <c r="D315" s="53" t="s">
        <v>40</v>
      </c>
      <c r="E315" s="53" t="s">
        <v>25</v>
      </c>
      <c r="F315" s="53" t="s">
        <v>63</v>
      </c>
      <c r="G315" s="53" t="s">
        <v>25</v>
      </c>
      <c r="H315" s="53" t="s">
        <v>25</v>
      </c>
      <c r="I315" s="73">
        <v>44044</v>
      </c>
      <c r="J315" s="74">
        <f ca="1">EFEITO!$J$315*EFEITO!$Y$315</f>
        <v>7673.0789545976404</v>
      </c>
      <c r="K315" s="74">
        <f>EFEITO!$L$315*EFEITO!$Z$315</f>
        <v>0</v>
      </c>
      <c r="L315" s="74">
        <f>EFEITO!$N$315*EFEITO!$AA$315</f>
        <v>0</v>
      </c>
      <c r="M315" s="74">
        <f ca="1">$J$315-EFEITO!$K$315*EFEITO!$Y$315</f>
        <v>2915.7700027471037</v>
      </c>
      <c r="N315" s="74">
        <f>$K$315-EFEITO!$M$315*EFEITO!$Z$315</f>
        <v>0</v>
      </c>
      <c r="O315" s="74">
        <f>$L$315-EFEITO!$O$315*EFEITO!$AA$315</f>
        <v>0</v>
      </c>
      <c r="P315" s="57"/>
      <c r="Q315" s="57"/>
      <c r="R315" s="57"/>
      <c r="S315" s="57"/>
      <c r="T315" s="57"/>
      <c r="U315" s="57"/>
      <c r="V315" s="57"/>
      <c r="W315" s="57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</row>
    <row r="316" spans="1:36" ht="11.25" customHeight="1" x14ac:dyDescent="0.2">
      <c r="A316" s="53" t="s">
        <v>59</v>
      </c>
      <c r="B316" s="53" t="s">
        <v>45</v>
      </c>
      <c r="C316" s="53" t="s">
        <v>34</v>
      </c>
      <c r="D316" s="53" t="s">
        <v>40</v>
      </c>
      <c r="E316" s="53" t="s">
        <v>25</v>
      </c>
      <c r="F316" s="53" t="s">
        <v>63</v>
      </c>
      <c r="G316" s="53" t="s">
        <v>25</v>
      </c>
      <c r="H316" s="53" t="s">
        <v>25</v>
      </c>
      <c r="I316" s="73">
        <v>44075</v>
      </c>
      <c r="J316" s="74">
        <f ca="1">EFEITO!$J$316*EFEITO!$Y$316</f>
        <v>7673.0789545976404</v>
      </c>
      <c r="K316" s="74">
        <f>EFEITO!$L$316*EFEITO!$Z$316</f>
        <v>0</v>
      </c>
      <c r="L316" s="74">
        <f>EFEITO!$N$316*EFEITO!$AA$316</f>
        <v>0</v>
      </c>
      <c r="M316" s="74">
        <f ca="1">$J$316-EFEITO!$K$316*EFEITO!$Y$316</f>
        <v>2915.7700027471037</v>
      </c>
      <c r="N316" s="74">
        <f>$K$316-EFEITO!$M$316*EFEITO!$Z$316</f>
        <v>0</v>
      </c>
      <c r="O316" s="74">
        <f>$L$316-EFEITO!$O$316*EFEITO!$AA$316</f>
        <v>0</v>
      </c>
      <c r="P316" s="57"/>
      <c r="Q316" s="57"/>
      <c r="R316" s="57"/>
      <c r="S316" s="57"/>
      <c r="T316" s="57"/>
      <c r="U316" s="57"/>
      <c r="V316" s="57"/>
      <c r="W316" s="57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</row>
    <row r="317" spans="1:36" ht="11.25" customHeight="1" x14ac:dyDescent="0.2">
      <c r="A317" s="53" t="s">
        <v>21</v>
      </c>
      <c r="B317" s="53" t="s">
        <v>45</v>
      </c>
      <c r="C317" s="53" t="s">
        <v>34</v>
      </c>
      <c r="D317" s="53" t="s">
        <v>40</v>
      </c>
      <c r="E317" s="53" t="s">
        <v>25</v>
      </c>
      <c r="F317" s="53" t="s">
        <v>63</v>
      </c>
      <c r="G317" s="53" t="s">
        <v>25</v>
      </c>
      <c r="H317" s="53" t="s">
        <v>35</v>
      </c>
      <c r="I317" s="73">
        <v>43739</v>
      </c>
      <c r="J317" s="74">
        <f>EFEITO!$J$317*EFEITO!$Y$317</f>
        <v>0</v>
      </c>
      <c r="K317" s="74">
        <f ca="1">EFEITO!$L$317*EFEITO!$Z$317</f>
        <v>16354.430068663138</v>
      </c>
      <c r="L317" s="74">
        <f>EFEITO!$N$317*EFEITO!$AA$317</f>
        <v>0</v>
      </c>
      <c r="M317" s="74">
        <f>$J$317-EFEITO!$K$317*EFEITO!$Y$317</f>
        <v>0</v>
      </c>
      <c r="N317" s="74">
        <f ca="1">$K$317-EFEITO!$M$317*EFEITO!$Z$317</f>
        <v>5285.504682753588</v>
      </c>
      <c r="O317" s="74">
        <f>$L$317-EFEITO!$O$317*EFEITO!$AA$317</f>
        <v>0</v>
      </c>
      <c r="P317" s="57"/>
      <c r="Q317" s="57"/>
      <c r="R317" s="57"/>
      <c r="S317" s="57"/>
      <c r="T317" s="57"/>
      <c r="U317" s="57"/>
      <c r="V317" s="57"/>
      <c r="W317" s="57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</row>
    <row r="318" spans="1:36" ht="11.25" customHeight="1" x14ac:dyDescent="0.2">
      <c r="A318" s="53" t="s">
        <v>21</v>
      </c>
      <c r="B318" s="53" t="s">
        <v>45</v>
      </c>
      <c r="C318" s="53" t="s">
        <v>34</v>
      </c>
      <c r="D318" s="53" t="s">
        <v>40</v>
      </c>
      <c r="E318" s="53" t="s">
        <v>25</v>
      </c>
      <c r="F318" s="53" t="s">
        <v>63</v>
      </c>
      <c r="G318" s="53" t="s">
        <v>25</v>
      </c>
      <c r="H318" s="53" t="s">
        <v>35</v>
      </c>
      <c r="I318" s="73">
        <v>43770</v>
      </c>
      <c r="J318" s="74">
        <f>EFEITO!$J$318*EFEITO!$Y$318</f>
        <v>0</v>
      </c>
      <c r="K318" s="74">
        <f ca="1">EFEITO!$L$318*EFEITO!$Z$318</f>
        <v>13591.554286671993</v>
      </c>
      <c r="L318" s="74">
        <f>EFEITO!$N$318*EFEITO!$AA$318</f>
        <v>0</v>
      </c>
      <c r="M318" s="74">
        <f>$J$318-EFEITO!$K$318*EFEITO!$Y$318</f>
        <v>0</v>
      </c>
      <c r="N318" s="74">
        <f ca="1">$K$318-EFEITO!$M$318*EFEITO!$Z$318</f>
        <v>4365.2045191255293</v>
      </c>
      <c r="O318" s="74">
        <f>$L$318-EFEITO!$O$318*EFEITO!$AA$318</f>
        <v>0</v>
      </c>
      <c r="P318" s="57"/>
      <c r="Q318" s="57"/>
      <c r="R318" s="57"/>
      <c r="S318" s="57"/>
      <c r="T318" s="57"/>
      <c r="U318" s="57"/>
      <c r="V318" s="57"/>
      <c r="W318" s="57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</row>
    <row r="319" spans="1:36" ht="11.25" customHeight="1" x14ac:dyDescent="0.2">
      <c r="A319" s="53" t="s">
        <v>21</v>
      </c>
      <c r="B319" s="53" t="s">
        <v>45</v>
      </c>
      <c r="C319" s="53" t="s">
        <v>34</v>
      </c>
      <c r="D319" s="53" t="s">
        <v>40</v>
      </c>
      <c r="E319" s="53" t="s">
        <v>25</v>
      </c>
      <c r="F319" s="53" t="s">
        <v>63</v>
      </c>
      <c r="G319" s="53" t="s">
        <v>25</v>
      </c>
      <c r="H319" s="53" t="s">
        <v>35</v>
      </c>
      <c r="I319" s="73">
        <v>43800</v>
      </c>
      <c r="J319" s="74">
        <f>EFEITO!$J$319*EFEITO!$Y$319</f>
        <v>0</v>
      </c>
      <c r="K319" s="74">
        <f ca="1">EFEITO!$L$319*EFEITO!$Z$319</f>
        <v>13427.052886932333</v>
      </c>
      <c r="L319" s="74">
        <f>EFEITO!$N$319*EFEITO!$AA$319</f>
        <v>0</v>
      </c>
      <c r="M319" s="74">
        <f>$J$319-EFEITO!$K$319*EFEITO!$Y$319</f>
        <v>0</v>
      </c>
      <c r="N319" s="74">
        <f ca="1">$K$319-EFEITO!$M$319*EFEITO!$Z$319</f>
        <v>4250.2534318526959</v>
      </c>
      <c r="O319" s="74">
        <f>$L$319-EFEITO!$O$319*EFEITO!$AA$319</f>
        <v>0</v>
      </c>
      <c r="P319" s="57"/>
      <c r="Q319" s="57"/>
      <c r="R319" s="57"/>
      <c r="S319" s="57"/>
      <c r="T319" s="57"/>
      <c r="U319" s="57"/>
      <c r="V319" s="57"/>
      <c r="W319" s="57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</row>
    <row r="320" spans="1:36" ht="11.25" customHeight="1" x14ac:dyDescent="0.2">
      <c r="A320" s="53" t="s">
        <v>21</v>
      </c>
      <c r="B320" s="53" t="s">
        <v>45</v>
      </c>
      <c r="C320" s="53" t="s">
        <v>34</v>
      </c>
      <c r="D320" s="53" t="s">
        <v>40</v>
      </c>
      <c r="E320" s="53" t="s">
        <v>25</v>
      </c>
      <c r="F320" s="53" t="s">
        <v>63</v>
      </c>
      <c r="G320" s="53" t="s">
        <v>25</v>
      </c>
      <c r="H320" s="53" t="s">
        <v>35</v>
      </c>
      <c r="I320" s="73">
        <v>43831</v>
      </c>
      <c r="J320" s="74">
        <f>EFEITO!$J$320*EFEITO!$Y$320</f>
        <v>0</v>
      </c>
      <c r="K320" s="74">
        <f ca="1">EFEITO!$L$320*EFEITO!$Z$320</f>
        <v>15177.497326889372</v>
      </c>
      <c r="L320" s="74">
        <f>EFEITO!$N$320*EFEITO!$AA$320</f>
        <v>0</v>
      </c>
      <c r="M320" s="74">
        <f>$J$320-EFEITO!$K$320*EFEITO!$Y$320</f>
        <v>0</v>
      </c>
      <c r="N320" s="74">
        <f ca="1">$K$320-EFEITO!$M$320*EFEITO!$Z$320</f>
        <v>4796.1661052084874</v>
      </c>
      <c r="O320" s="74">
        <f>$L$320-EFEITO!$O$320*EFEITO!$AA$320</f>
        <v>0</v>
      </c>
      <c r="P320" s="57"/>
      <c r="Q320" s="57"/>
      <c r="R320" s="57"/>
      <c r="S320" s="57"/>
      <c r="T320" s="57"/>
      <c r="U320" s="57"/>
      <c r="V320" s="57"/>
      <c r="W320" s="57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</row>
    <row r="321" spans="1:36" ht="11.25" customHeight="1" x14ac:dyDescent="0.2">
      <c r="A321" s="53" t="s">
        <v>21</v>
      </c>
      <c r="B321" s="53" t="s">
        <v>45</v>
      </c>
      <c r="C321" s="53" t="s">
        <v>34</v>
      </c>
      <c r="D321" s="53" t="s">
        <v>40</v>
      </c>
      <c r="E321" s="53" t="s">
        <v>25</v>
      </c>
      <c r="F321" s="53" t="s">
        <v>63</v>
      </c>
      <c r="G321" s="53" t="s">
        <v>25</v>
      </c>
      <c r="H321" s="53" t="s">
        <v>35</v>
      </c>
      <c r="I321" s="73">
        <v>43862</v>
      </c>
      <c r="J321" s="74">
        <f>EFEITO!$J$321*EFEITO!$Y$321</f>
        <v>0</v>
      </c>
      <c r="K321" s="74">
        <f ca="1">EFEITO!$L$321*EFEITO!$Z$321</f>
        <v>12444.530890305441</v>
      </c>
      <c r="L321" s="74">
        <f>EFEITO!$N$321*EFEITO!$AA$321</f>
        <v>0</v>
      </c>
      <c r="M321" s="74">
        <f>$J$321-EFEITO!$K$321*EFEITO!$Y$321</f>
        <v>0</v>
      </c>
      <c r="N321" s="74">
        <f ca="1">$K$321-EFEITO!$M$321*EFEITO!$Z$321</f>
        <v>4021.7725949975702</v>
      </c>
      <c r="O321" s="74">
        <f>$L$321-EFEITO!$O$321*EFEITO!$AA$321</f>
        <v>0</v>
      </c>
      <c r="P321" s="57"/>
      <c r="Q321" s="57"/>
      <c r="R321" s="57"/>
      <c r="S321" s="57"/>
      <c r="T321" s="57"/>
      <c r="U321" s="57"/>
      <c r="V321" s="57"/>
      <c r="W321" s="57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</row>
    <row r="322" spans="1:36" ht="11.25" customHeight="1" x14ac:dyDescent="0.2">
      <c r="A322" s="53" t="s">
        <v>21</v>
      </c>
      <c r="B322" s="53" t="s">
        <v>45</v>
      </c>
      <c r="C322" s="53" t="s">
        <v>34</v>
      </c>
      <c r="D322" s="53" t="s">
        <v>40</v>
      </c>
      <c r="E322" s="53" t="s">
        <v>25</v>
      </c>
      <c r="F322" s="53" t="s">
        <v>63</v>
      </c>
      <c r="G322" s="53" t="s">
        <v>25</v>
      </c>
      <c r="H322" s="53" t="s">
        <v>35</v>
      </c>
      <c r="I322" s="73">
        <v>43891</v>
      </c>
      <c r="J322" s="74">
        <f>EFEITO!$J$322*EFEITO!$Y$322</f>
        <v>0</v>
      </c>
      <c r="K322" s="74">
        <f ca="1">EFEITO!$L$322*EFEITO!$Z$322</f>
        <v>7734.5567223048411</v>
      </c>
      <c r="L322" s="74">
        <f>EFEITO!$N$322*EFEITO!$AA$322</f>
        <v>0</v>
      </c>
      <c r="M322" s="74">
        <f>$J$322-EFEITO!$K$322*EFEITO!$Y$322</f>
        <v>0</v>
      </c>
      <c r="N322" s="74">
        <f ca="1">$K$322-EFEITO!$M$322*EFEITO!$Z$322</f>
        <v>2514.630386350309</v>
      </c>
      <c r="O322" s="74">
        <f>$L$322-EFEITO!$O$322*EFEITO!$AA$322</f>
        <v>0</v>
      </c>
      <c r="P322" s="57"/>
      <c r="Q322" s="57"/>
      <c r="R322" s="57"/>
      <c r="S322" s="57"/>
      <c r="T322" s="57"/>
      <c r="U322" s="57"/>
      <c r="V322" s="57"/>
      <c r="W322" s="57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</row>
    <row r="323" spans="1:36" ht="11.25" customHeight="1" x14ac:dyDescent="0.2">
      <c r="A323" s="53" t="s">
        <v>21</v>
      </c>
      <c r="B323" s="53" t="s">
        <v>45</v>
      </c>
      <c r="C323" s="53" t="s">
        <v>34</v>
      </c>
      <c r="D323" s="53" t="s">
        <v>40</v>
      </c>
      <c r="E323" s="53" t="s">
        <v>25</v>
      </c>
      <c r="F323" s="53" t="s">
        <v>63</v>
      </c>
      <c r="G323" s="53" t="s">
        <v>25</v>
      </c>
      <c r="H323" s="53" t="s">
        <v>35</v>
      </c>
      <c r="I323" s="73">
        <v>43922</v>
      </c>
      <c r="J323" s="74">
        <f>EFEITO!$J$323*EFEITO!$Y$323</f>
        <v>0</v>
      </c>
      <c r="K323" s="74">
        <f ca="1">EFEITO!$L$323*EFEITO!$Z$323</f>
        <v>735.76989701739797</v>
      </c>
      <c r="L323" s="74">
        <f>EFEITO!$N$323*EFEITO!$AA$323</f>
        <v>0</v>
      </c>
      <c r="M323" s="74">
        <f>$J$323-EFEITO!$K$323*EFEITO!$Y$323</f>
        <v>0</v>
      </c>
      <c r="N323" s="74">
        <f ca="1">$K$323-EFEITO!$M$323*EFEITO!$Z$323</f>
        <v>238.79431137716972</v>
      </c>
      <c r="O323" s="74">
        <f>$L$323-EFEITO!$O$323*EFEITO!$AA$323</f>
        <v>0</v>
      </c>
      <c r="P323" s="57"/>
      <c r="Q323" s="57"/>
      <c r="R323" s="57"/>
      <c r="S323" s="57"/>
      <c r="T323" s="57"/>
      <c r="U323" s="57"/>
      <c r="V323" s="57"/>
      <c r="W323" s="57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</row>
    <row r="324" spans="1:36" ht="11.25" customHeight="1" x14ac:dyDescent="0.2">
      <c r="A324" s="53" t="s">
        <v>21</v>
      </c>
      <c r="B324" s="53" t="s">
        <v>45</v>
      </c>
      <c r="C324" s="53" t="s">
        <v>34</v>
      </c>
      <c r="D324" s="53" t="s">
        <v>40</v>
      </c>
      <c r="E324" s="53" t="s">
        <v>25</v>
      </c>
      <c r="F324" s="53" t="s">
        <v>63</v>
      </c>
      <c r="G324" s="53" t="s">
        <v>25</v>
      </c>
      <c r="H324" s="53" t="s">
        <v>35</v>
      </c>
      <c r="I324" s="73">
        <v>43952</v>
      </c>
      <c r="J324" s="74">
        <f>EFEITO!$J$324*EFEITO!$Y$324</f>
        <v>0</v>
      </c>
      <c r="K324" s="74">
        <f ca="1">EFEITO!$L$324*EFEITO!$Z$324</f>
        <v>1431.9099113702409</v>
      </c>
      <c r="L324" s="74">
        <f>EFEITO!$N$324*EFEITO!$AA$324</f>
        <v>0</v>
      </c>
      <c r="M324" s="74">
        <f>$J$324-EFEITO!$K$324*EFEITO!$Y$324</f>
        <v>0</v>
      </c>
      <c r="N324" s="74">
        <f ca="1">$K$324-EFEITO!$M$324*EFEITO!$Z$324</f>
        <v>466.93408043656234</v>
      </c>
      <c r="O324" s="74">
        <f>$L$324-EFEITO!$O$324*EFEITO!$AA$324</f>
        <v>0</v>
      </c>
      <c r="P324" s="57"/>
      <c r="Q324" s="57"/>
      <c r="R324" s="57"/>
      <c r="S324" s="57"/>
      <c r="T324" s="57"/>
      <c r="U324" s="57"/>
      <c r="V324" s="57"/>
      <c r="W324" s="57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</row>
    <row r="325" spans="1:36" ht="11.25" customHeight="1" x14ac:dyDescent="0.2">
      <c r="A325" s="53" t="s">
        <v>21</v>
      </c>
      <c r="B325" s="53" t="s">
        <v>45</v>
      </c>
      <c r="C325" s="53" t="s">
        <v>34</v>
      </c>
      <c r="D325" s="53" t="s">
        <v>40</v>
      </c>
      <c r="E325" s="53" t="s">
        <v>25</v>
      </c>
      <c r="F325" s="53" t="s">
        <v>63</v>
      </c>
      <c r="G325" s="53" t="s">
        <v>25</v>
      </c>
      <c r="H325" s="53" t="s">
        <v>35</v>
      </c>
      <c r="I325" s="73">
        <v>43983</v>
      </c>
      <c r="J325" s="74">
        <f>EFEITO!$J$325*EFEITO!$Y$325</f>
        <v>0</v>
      </c>
      <c r="K325" s="74">
        <f ca="1">EFEITO!$L$325*EFEITO!$Z$325</f>
        <v>1431.9099113702409</v>
      </c>
      <c r="L325" s="74">
        <f>EFEITO!$N$325*EFEITO!$AA$325</f>
        <v>0</v>
      </c>
      <c r="M325" s="74">
        <f>$J$325-EFEITO!$K$325*EFEITO!$Y$325</f>
        <v>0</v>
      </c>
      <c r="N325" s="74">
        <f ca="1">$K$325-EFEITO!$M$325*EFEITO!$Z$325</f>
        <v>466.33980918514544</v>
      </c>
      <c r="O325" s="74">
        <f>$L$325-EFEITO!$O$325*EFEITO!$AA$325</f>
        <v>0</v>
      </c>
      <c r="P325" s="57"/>
      <c r="Q325" s="57"/>
      <c r="R325" s="57"/>
      <c r="S325" s="57"/>
      <c r="T325" s="57"/>
      <c r="U325" s="57"/>
      <c r="V325" s="57"/>
      <c r="W325" s="57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</row>
    <row r="326" spans="1:36" ht="11.25" customHeight="1" x14ac:dyDescent="0.2">
      <c r="A326" s="53" t="s">
        <v>21</v>
      </c>
      <c r="B326" s="53" t="s">
        <v>45</v>
      </c>
      <c r="C326" s="53" t="s">
        <v>34</v>
      </c>
      <c r="D326" s="53" t="s">
        <v>40</v>
      </c>
      <c r="E326" s="53" t="s">
        <v>25</v>
      </c>
      <c r="F326" s="53" t="s">
        <v>63</v>
      </c>
      <c r="G326" s="53" t="s">
        <v>25</v>
      </c>
      <c r="H326" s="53" t="s">
        <v>35</v>
      </c>
      <c r="I326" s="73">
        <v>44013</v>
      </c>
      <c r="J326" s="74">
        <f>EFEITO!$J$326*EFEITO!$Y$326</f>
        <v>0</v>
      </c>
      <c r="K326" s="74">
        <f ca="1">EFEITO!$L$326*EFEITO!$Z$326</f>
        <v>8205.6289124684208</v>
      </c>
      <c r="L326" s="74">
        <f>EFEITO!$N$326*EFEITO!$AA$326</f>
        <v>0</v>
      </c>
      <c r="M326" s="74">
        <f>$J$326-EFEITO!$K$326*EFEITO!$Y$326</f>
        <v>0</v>
      </c>
      <c r="N326" s="74">
        <f ca="1">$K$326-EFEITO!$M$326*EFEITO!$Z$326</f>
        <v>2502.9726698123595</v>
      </c>
      <c r="O326" s="74">
        <f>$L$326-EFEITO!$O$326*EFEITO!$AA$326</f>
        <v>0</v>
      </c>
      <c r="P326" s="57"/>
      <c r="Q326" s="57"/>
      <c r="R326" s="57"/>
      <c r="S326" s="57"/>
      <c r="T326" s="57"/>
      <c r="U326" s="57"/>
      <c r="V326" s="57"/>
      <c r="W326" s="57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</row>
    <row r="327" spans="1:36" ht="11.25" customHeight="1" x14ac:dyDescent="0.2">
      <c r="A327" s="53" t="s">
        <v>21</v>
      </c>
      <c r="B327" s="53" t="s">
        <v>45</v>
      </c>
      <c r="C327" s="53" t="s">
        <v>34</v>
      </c>
      <c r="D327" s="53" t="s">
        <v>40</v>
      </c>
      <c r="E327" s="53" t="s">
        <v>25</v>
      </c>
      <c r="F327" s="53" t="s">
        <v>63</v>
      </c>
      <c r="G327" s="53" t="s">
        <v>25</v>
      </c>
      <c r="H327" s="53" t="s">
        <v>35</v>
      </c>
      <c r="I327" s="73">
        <v>44044</v>
      </c>
      <c r="J327" s="74">
        <f>EFEITO!$J$327*EFEITO!$Y$327</f>
        <v>0</v>
      </c>
      <c r="K327" s="74">
        <f ca="1">EFEITO!$L$327*EFEITO!$Z$327</f>
        <v>7818.3028894450335</v>
      </c>
      <c r="L327" s="74">
        <f>EFEITO!$N$327*EFEITO!$AA$327</f>
        <v>0</v>
      </c>
      <c r="M327" s="74">
        <f>$J$327-EFEITO!$K$327*EFEITO!$Y$327</f>
        <v>0</v>
      </c>
      <c r="N327" s="74">
        <f ca="1">$K$327-EFEITO!$M$327*EFEITO!$Z$327</f>
        <v>2580.0399535168608</v>
      </c>
      <c r="O327" s="74">
        <f>$L$327-EFEITO!$O$327*EFEITO!$AA$327</f>
        <v>0</v>
      </c>
      <c r="P327" s="57"/>
      <c r="Q327" s="57"/>
      <c r="R327" s="57"/>
      <c r="S327" s="57"/>
      <c r="T327" s="57"/>
      <c r="U327" s="57"/>
      <c r="V327" s="57"/>
      <c r="W327" s="57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</row>
    <row r="328" spans="1:36" ht="11.25" customHeight="1" x14ac:dyDescent="0.2">
      <c r="A328" s="53" t="s">
        <v>59</v>
      </c>
      <c r="B328" s="53" t="s">
        <v>45</v>
      </c>
      <c r="C328" s="53" t="s">
        <v>34</v>
      </c>
      <c r="D328" s="53" t="s">
        <v>40</v>
      </c>
      <c r="E328" s="53" t="s">
        <v>25</v>
      </c>
      <c r="F328" s="53" t="s">
        <v>63</v>
      </c>
      <c r="G328" s="53" t="s">
        <v>25</v>
      </c>
      <c r="H328" s="53" t="s">
        <v>35</v>
      </c>
      <c r="I328" s="73">
        <v>44075</v>
      </c>
      <c r="J328" s="74">
        <f>EFEITO!$J$328*EFEITO!$Y$328</f>
        <v>0</v>
      </c>
      <c r="K328" s="74">
        <f ca="1">EFEITO!$L$328*EFEITO!$Z$328</f>
        <v>7818.3028894450335</v>
      </c>
      <c r="L328" s="74">
        <f>EFEITO!$N$328*EFEITO!$AA$328</f>
        <v>0</v>
      </c>
      <c r="M328" s="74">
        <f>$J$328-EFEITO!$K$328*EFEITO!$Y$328</f>
        <v>0</v>
      </c>
      <c r="N328" s="74">
        <f ca="1">$K$328-EFEITO!$M$328*EFEITO!$Z$328</f>
        <v>2580.0399535168608</v>
      </c>
      <c r="O328" s="74">
        <f>$L$328-EFEITO!$O$328*EFEITO!$AA$328</f>
        <v>0</v>
      </c>
      <c r="P328" s="57"/>
      <c r="Q328" s="57"/>
      <c r="R328" s="57"/>
      <c r="S328" s="57"/>
      <c r="T328" s="57"/>
      <c r="U328" s="57"/>
      <c r="V328" s="57"/>
      <c r="W328" s="57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</row>
    <row r="329" spans="1:36" ht="11.25" customHeight="1" x14ac:dyDescent="0.2">
      <c r="A329" s="53" t="s">
        <v>21</v>
      </c>
      <c r="B329" s="53" t="s">
        <v>45</v>
      </c>
      <c r="C329" s="53" t="s">
        <v>34</v>
      </c>
      <c r="D329" s="53" t="s">
        <v>52</v>
      </c>
      <c r="E329" s="53" t="s">
        <v>53</v>
      </c>
      <c r="F329" s="53" t="s">
        <v>25</v>
      </c>
      <c r="G329" s="53" t="s">
        <v>25</v>
      </c>
      <c r="H329" s="53" t="s">
        <v>36</v>
      </c>
      <c r="I329" s="73">
        <v>43739</v>
      </c>
      <c r="J329" s="74">
        <f>EFEITO!$J$329*EFEITO!$Y$266</f>
        <v>0</v>
      </c>
      <c r="K329" s="74">
        <f ca="1">EFEITO!$L$329*EFEITO!$Z$266</f>
        <v>40831.195611907955</v>
      </c>
      <c r="L329" s="74">
        <f>EFEITO!$N$329*EFEITO!$AA$266</f>
        <v>107693.16122362322</v>
      </c>
      <c r="M329" s="74">
        <f>$J$329-EFEITO!$K$329*EFEITO!$Y$329</f>
        <v>0</v>
      </c>
      <c r="N329" s="74">
        <f ca="1">$K$329-EFEITO!$M$329*EFEITO!$Z$329</f>
        <v>3674.8076050717136</v>
      </c>
      <c r="O329" s="74">
        <f>$L$329-EFEITO!$O$329*EFEITO!$AA$329</f>
        <v>9692.3845101260813</v>
      </c>
      <c r="P329" s="57"/>
      <c r="Q329" s="57"/>
      <c r="R329" s="57"/>
      <c r="S329" s="57"/>
      <c r="T329" s="57"/>
      <c r="U329" s="57"/>
      <c r="V329" s="57"/>
      <c r="W329" s="57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</row>
    <row r="330" spans="1:36" ht="11.25" customHeight="1" x14ac:dyDescent="0.2">
      <c r="A330" s="53" t="s">
        <v>21</v>
      </c>
      <c r="B330" s="53" t="s">
        <v>45</v>
      </c>
      <c r="C330" s="53" t="s">
        <v>34</v>
      </c>
      <c r="D330" s="53" t="s">
        <v>52</v>
      </c>
      <c r="E330" s="53" t="s">
        <v>53</v>
      </c>
      <c r="F330" s="53" t="s">
        <v>25</v>
      </c>
      <c r="G330" s="53" t="s">
        <v>25</v>
      </c>
      <c r="H330" s="53" t="s">
        <v>36</v>
      </c>
      <c r="I330" s="73">
        <v>43770</v>
      </c>
      <c r="J330" s="74">
        <f>EFEITO!$J$330*EFEITO!$Y$266</f>
        <v>0</v>
      </c>
      <c r="K330" s="74">
        <f ca="1">EFEITO!$L$330*EFEITO!$Z$266</f>
        <v>41415.037275578172</v>
      </c>
      <c r="L330" s="74">
        <f>EFEITO!$N$330*EFEITO!$AA$266</f>
        <v>109233.05623459291</v>
      </c>
      <c r="M330" s="74">
        <f>$J$330-EFEITO!$K$330*EFEITO!$Y$330</f>
        <v>0</v>
      </c>
      <c r="N330" s="74">
        <f ca="1">$K$330-EFEITO!$M$330*EFEITO!$Z$330</f>
        <v>3727.353354802035</v>
      </c>
      <c r="O330" s="74">
        <f>$L$330-EFEITO!$O$330*EFEITO!$AA$330</f>
        <v>9830.9750611133495</v>
      </c>
      <c r="P330" s="57"/>
      <c r="Q330" s="57"/>
      <c r="R330" s="57"/>
      <c r="S330" s="57"/>
      <c r="T330" s="57"/>
      <c r="U330" s="57"/>
      <c r="V330" s="57"/>
      <c r="W330" s="57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</row>
    <row r="331" spans="1:36" ht="11.25" customHeight="1" x14ac:dyDescent="0.2">
      <c r="A331" s="53" t="s">
        <v>21</v>
      </c>
      <c r="B331" s="53" t="s">
        <v>45</v>
      </c>
      <c r="C331" s="53" t="s">
        <v>34</v>
      </c>
      <c r="D331" s="53" t="s">
        <v>52</v>
      </c>
      <c r="E331" s="53" t="s">
        <v>53</v>
      </c>
      <c r="F331" s="53" t="s">
        <v>25</v>
      </c>
      <c r="G331" s="53" t="s">
        <v>25</v>
      </c>
      <c r="H331" s="53" t="s">
        <v>36</v>
      </c>
      <c r="I331" s="73">
        <v>43800</v>
      </c>
      <c r="J331" s="74">
        <f>EFEITO!$J$331*EFEITO!$Y$266</f>
        <v>0</v>
      </c>
      <c r="K331" s="74">
        <f ca="1">EFEITO!$L$331*EFEITO!$Z$266</f>
        <v>40189.853727426569</v>
      </c>
      <c r="L331" s="74">
        <f>EFEITO!$N$331*EFEITO!$AA$266</f>
        <v>106001.6081370716</v>
      </c>
      <c r="M331" s="74">
        <f>$J$331-EFEITO!$K$331*EFEITO!$Y$331</f>
        <v>0</v>
      </c>
      <c r="N331" s="74">
        <f ca="1">$K$331-EFEITO!$M$331*EFEITO!$Z$331</f>
        <v>3617.0868354683844</v>
      </c>
      <c r="O331" s="74">
        <f>$L$331-EFEITO!$O$331*EFEITO!$AA$331</f>
        <v>9540.1447323364409</v>
      </c>
      <c r="P331" s="57"/>
      <c r="Q331" s="57"/>
      <c r="R331" s="57"/>
      <c r="S331" s="57"/>
      <c r="T331" s="57"/>
      <c r="U331" s="57"/>
      <c r="V331" s="57"/>
      <c r="W331" s="57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</row>
    <row r="332" spans="1:36" ht="11.25" customHeight="1" x14ac:dyDescent="0.2">
      <c r="A332" s="53" t="s">
        <v>21</v>
      </c>
      <c r="B332" s="53" t="s">
        <v>45</v>
      </c>
      <c r="C332" s="53" t="s">
        <v>34</v>
      </c>
      <c r="D332" s="53" t="s">
        <v>52</v>
      </c>
      <c r="E332" s="53" t="s">
        <v>53</v>
      </c>
      <c r="F332" s="53" t="s">
        <v>25</v>
      </c>
      <c r="G332" s="53" t="s">
        <v>25</v>
      </c>
      <c r="H332" s="53" t="s">
        <v>36</v>
      </c>
      <c r="I332" s="73">
        <v>43831</v>
      </c>
      <c r="J332" s="74">
        <f>EFEITO!$J$332*EFEITO!$Y$266</f>
        <v>0</v>
      </c>
      <c r="K332" s="74">
        <f ca="1">EFEITO!$L$332*EFEITO!$Z$266</f>
        <v>41877.227026116678</v>
      </c>
      <c r="L332" s="74">
        <f>EFEITO!$N$332*EFEITO!$AA$266</f>
        <v>110452.09169448362</v>
      </c>
      <c r="M332" s="74">
        <f>$J$332-EFEITO!$K$332*EFEITO!$Y$332</f>
        <v>0</v>
      </c>
      <c r="N332" s="74">
        <f ca="1">$K$332-EFEITO!$M$332*EFEITO!$Z$332</f>
        <v>3768.9504323504952</v>
      </c>
      <c r="O332" s="74">
        <f>$L$332-EFEITO!$O$332*EFEITO!$AA$332</f>
        <v>9940.6882525035035</v>
      </c>
      <c r="P332" s="57"/>
      <c r="Q332" s="57"/>
      <c r="R332" s="57"/>
      <c r="S332" s="57"/>
      <c r="T332" s="57"/>
      <c r="U332" s="57"/>
      <c r="V332" s="57"/>
      <c r="W332" s="57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</row>
    <row r="333" spans="1:36" ht="11.25" customHeight="1" x14ac:dyDescent="0.2">
      <c r="A333" s="53" t="s">
        <v>21</v>
      </c>
      <c r="B333" s="53" t="s">
        <v>45</v>
      </c>
      <c r="C333" s="53" t="s">
        <v>34</v>
      </c>
      <c r="D333" s="53" t="s">
        <v>52</v>
      </c>
      <c r="E333" s="53" t="s">
        <v>53</v>
      </c>
      <c r="F333" s="53" t="s">
        <v>25</v>
      </c>
      <c r="G333" s="53" t="s">
        <v>25</v>
      </c>
      <c r="H333" s="53" t="s">
        <v>36</v>
      </c>
      <c r="I333" s="73">
        <v>43862</v>
      </c>
      <c r="J333" s="74">
        <f>EFEITO!$J$333*EFEITO!$Y$266</f>
        <v>0</v>
      </c>
      <c r="K333" s="74">
        <f ca="1">EFEITO!$L$333*EFEITO!$Z$266</f>
        <v>41090.165403963147</v>
      </c>
      <c r="L333" s="74">
        <f>EFEITO!$N$333*EFEITO!$AA$266</f>
        <v>108376.19964926546</v>
      </c>
      <c r="M333" s="74">
        <f>$J$333-EFEITO!$K$333*EFEITO!$Y$333</f>
        <v>0</v>
      </c>
      <c r="N333" s="74">
        <f ca="1">$K$333-EFEITO!$M$333*EFEITO!$Z$333</f>
        <v>3698.1148863566777</v>
      </c>
      <c r="O333" s="74">
        <f>$L$333-EFEITO!$O$333*EFEITO!$AA$333</f>
        <v>9753.8579684338911</v>
      </c>
      <c r="P333" s="57"/>
      <c r="Q333" s="57"/>
      <c r="R333" s="57"/>
      <c r="S333" s="57"/>
      <c r="T333" s="57"/>
      <c r="U333" s="57"/>
      <c r="V333" s="57"/>
      <c r="W333" s="57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</row>
    <row r="334" spans="1:36" ht="11.25" customHeight="1" x14ac:dyDescent="0.2">
      <c r="A334" s="53" t="s">
        <v>21</v>
      </c>
      <c r="B334" s="53" t="s">
        <v>45</v>
      </c>
      <c r="C334" s="53" t="s">
        <v>34</v>
      </c>
      <c r="D334" s="53" t="s">
        <v>52</v>
      </c>
      <c r="E334" s="53" t="s">
        <v>53</v>
      </c>
      <c r="F334" s="53" t="s">
        <v>25</v>
      </c>
      <c r="G334" s="53" t="s">
        <v>25</v>
      </c>
      <c r="H334" s="53" t="s">
        <v>36</v>
      </c>
      <c r="I334" s="73">
        <v>43891</v>
      </c>
      <c r="J334" s="74">
        <f>EFEITO!$J$334*EFEITO!$Y$266</f>
        <v>0</v>
      </c>
      <c r="K334" s="74">
        <f ca="1">EFEITO!$L$334*EFEITO!$Z$266</f>
        <v>34924.426353510957</v>
      </c>
      <c r="L334" s="74">
        <f>EFEITO!$N$334*EFEITO!$AA$266</f>
        <v>92113.92959637758</v>
      </c>
      <c r="M334" s="74">
        <f>$J$334-EFEITO!$K$334*EFEITO!$Y$334</f>
        <v>0</v>
      </c>
      <c r="N334" s="74">
        <f ca="1">$K$334-EFEITO!$M$334*EFEITO!$Z$334</f>
        <v>3143.1983718159863</v>
      </c>
      <c r="O334" s="74">
        <f>$L$334-EFEITO!$O$334*EFEITO!$AA$334</f>
        <v>8290.2536636739824</v>
      </c>
      <c r="P334" s="57"/>
      <c r="Q334" s="57"/>
      <c r="R334" s="57"/>
      <c r="S334" s="57"/>
      <c r="T334" s="57"/>
      <c r="U334" s="57"/>
      <c r="V334" s="57"/>
      <c r="W334" s="57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</row>
    <row r="335" spans="1:36" ht="11.25" customHeight="1" x14ac:dyDescent="0.2">
      <c r="A335" s="53" t="s">
        <v>21</v>
      </c>
      <c r="B335" s="53" t="s">
        <v>45</v>
      </c>
      <c r="C335" s="53" t="s">
        <v>34</v>
      </c>
      <c r="D335" s="53" t="s">
        <v>52</v>
      </c>
      <c r="E335" s="53" t="s">
        <v>53</v>
      </c>
      <c r="F335" s="53" t="s">
        <v>25</v>
      </c>
      <c r="G335" s="53" t="s">
        <v>25</v>
      </c>
      <c r="H335" s="53" t="s">
        <v>36</v>
      </c>
      <c r="I335" s="73">
        <v>43922</v>
      </c>
      <c r="J335" s="74">
        <f>EFEITO!$J$335*EFEITO!$Y$266</f>
        <v>0</v>
      </c>
      <c r="K335" s="74">
        <f ca="1">EFEITO!$L$335*EFEITO!$Z$266</f>
        <v>37107.246760286369</v>
      </c>
      <c r="L335" s="74">
        <f>EFEITO!$N$335*EFEITO!$AA$266</f>
        <v>97871.165613255871</v>
      </c>
      <c r="M335" s="74">
        <f>$J$335-EFEITO!$K$335*EFEITO!$Y$335</f>
        <v>0</v>
      </c>
      <c r="N335" s="74">
        <f ca="1">$K$335-EFEITO!$M$335*EFEITO!$Z$335</f>
        <v>3339.652208425774</v>
      </c>
      <c r="O335" s="74">
        <f>$L$335-EFEITO!$O$335*EFEITO!$AA$335</f>
        <v>8808.4049051930197</v>
      </c>
      <c r="P335" s="57"/>
      <c r="Q335" s="57"/>
      <c r="R335" s="57"/>
      <c r="S335" s="57"/>
      <c r="T335" s="57"/>
      <c r="U335" s="57"/>
      <c r="V335" s="57"/>
      <c r="W335" s="57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</row>
    <row r="336" spans="1:36" ht="11.25" customHeight="1" x14ac:dyDescent="0.2">
      <c r="A336" s="53" t="s">
        <v>21</v>
      </c>
      <c r="B336" s="53" t="s">
        <v>45</v>
      </c>
      <c r="C336" s="53" t="s">
        <v>34</v>
      </c>
      <c r="D336" s="53" t="s">
        <v>52</v>
      </c>
      <c r="E336" s="53" t="s">
        <v>53</v>
      </c>
      <c r="F336" s="53" t="s">
        <v>25</v>
      </c>
      <c r="G336" s="53" t="s">
        <v>25</v>
      </c>
      <c r="H336" s="53" t="s">
        <v>36</v>
      </c>
      <c r="I336" s="73">
        <v>43952</v>
      </c>
      <c r="J336" s="74">
        <f>EFEITO!$J$336*EFEITO!$Y$266</f>
        <v>0</v>
      </c>
      <c r="K336" s="74">
        <f ca="1">EFEITO!$L$336*EFEITO!$Z$266</f>
        <v>34456.37280572077</v>
      </c>
      <c r="L336" s="74">
        <f>EFEITO!$N$336*EFEITO!$AA$266</f>
        <v>90879.428244456431</v>
      </c>
      <c r="M336" s="74">
        <f>$J$336-EFEITO!$K$336*EFEITO!$Y$336</f>
        <v>0</v>
      </c>
      <c r="N336" s="74">
        <f ca="1">$K$336-EFEITO!$M$336*EFEITO!$Z$336</f>
        <v>3101.0735525148666</v>
      </c>
      <c r="O336" s="74">
        <f>$L$336-EFEITO!$O$336*EFEITO!$AA$336</f>
        <v>8179.1485420010722</v>
      </c>
      <c r="P336" s="57"/>
      <c r="Q336" s="57"/>
      <c r="R336" s="57"/>
      <c r="S336" s="57"/>
      <c r="T336" s="57"/>
      <c r="U336" s="57"/>
      <c r="V336" s="57"/>
      <c r="W336" s="57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</row>
    <row r="337" spans="1:36" ht="11.25" customHeight="1" x14ac:dyDescent="0.2">
      <c r="A337" s="53" t="s">
        <v>21</v>
      </c>
      <c r="B337" s="53" t="s">
        <v>45</v>
      </c>
      <c r="C337" s="53" t="s">
        <v>34</v>
      </c>
      <c r="D337" s="53" t="s">
        <v>52</v>
      </c>
      <c r="E337" s="53" t="s">
        <v>53</v>
      </c>
      <c r="F337" s="53" t="s">
        <v>25</v>
      </c>
      <c r="G337" s="53" t="s">
        <v>25</v>
      </c>
      <c r="H337" s="53" t="s">
        <v>36</v>
      </c>
      <c r="I337" s="73">
        <v>43983</v>
      </c>
      <c r="J337" s="74">
        <f>EFEITO!$J$337*EFEITO!$Y$266</f>
        <v>0</v>
      </c>
      <c r="K337" s="74">
        <f ca="1">EFEITO!$L$337*EFEITO!$Z$266</f>
        <v>38064.446022100361</v>
      </c>
      <c r="L337" s="74">
        <f>EFEITO!$N$337*EFEITO!$AA$266</f>
        <v>100395.79936156581</v>
      </c>
      <c r="M337" s="74">
        <f>$J$337-EFEITO!$K$337*EFEITO!$Y$337</f>
        <v>0</v>
      </c>
      <c r="N337" s="74">
        <f ca="1">$K$337-EFEITO!$M$337*EFEITO!$Z$337</f>
        <v>3425.8001419890279</v>
      </c>
      <c r="O337" s="74">
        <f>$L$337-EFEITO!$O$337*EFEITO!$AA$337</f>
        <v>9035.6219425409072</v>
      </c>
      <c r="P337" s="57"/>
      <c r="Q337" s="57"/>
      <c r="R337" s="57"/>
      <c r="S337" s="57"/>
      <c r="T337" s="57"/>
      <c r="U337" s="57"/>
      <c r="V337" s="57"/>
      <c r="W337" s="57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</row>
    <row r="338" spans="1:36" ht="11.25" customHeight="1" x14ac:dyDescent="0.2">
      <c r="A338" s="53" t="s">
        <v>21</v>
      </c>
      <c r="B338" s="53" t="s">
        <v>45</v>
      </c>
      <c r="C338" s="53" t="s">
        <v>34</v>
      </c>
      <c r="D338" s="53" t="s">
        <v>52</v>
      </c>
      <c r="E338" s="53" t="s">
        <v>53</v>
      </c>
      <c r="F338" s="53" t="s">
        <v>25</v>
      </c>
      <c r="G338" s="53" t="s">
        <v>25</v>
      </c>
      <c r="H338" s="53" t="s">
        <v>36</v>
      </c>
      <c r="I338" s="73">
        <v>44013</v>
      </c>
      <c r="J338" s="74">
        <f>EFEITO!$J$338*EFEITO!$Y$266</f>
        <v>0</v>
      </c>
      <c r="K338" s="74">
        <f ca="1">EFEITO!$L$338*EFEITO!$Z$266</f>
        <v>38483.401207828036</v>
      </c>
      <c r="L338" s="74">
        <f>EFEITO!$N$338*EFEITO!$AA$266</f>
        <v>101500.80272200832</v>
      </c>
      <c r="M338" s="74">
        <f>$J$338-EFEITO!$K$338*EFEITO!$Y$338</f>
        <v>0</v>
      </c>
      <c r="N338" s="74">
        <f ca="1">$K$338-EFEITO!$M$338*EFEITO!$Z$338</f>
        <v>3463.5061087045178</v>
      </c>
      <c r="O338" s="74">
        <f>$L$338-EFEITO!$O$338*EFEITO!$AA$338</f>
        <v>9135.0722449807363</v>
      </c>
      <c r="P338" s="57"/>
      <c r="Q338" s="57"/>
      <c r="R338" s="57"/>
      <c r="S338" s="57"/>
      <c r="T338" s="57"/>
      <c r="U338" s="57"/>
      <c r="V338" s="57"/>
      <c r="W338" s="57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</row>
    <row r="339" spans="1:36" ht="11.25" customHeight="1" x14ac:dyDescent="0.2">
      <c r="A339" s="53" t="s">
        <v>21</v>
      </c>
      <c r="B339" s="53" t="s">
        <v>45</v>
      </c>
      <c r="C339" s="53" t="s">
        <v>34</v>
      </c>
      <c r="D339" s="53" t="s">
        <v>52</v>
      </c>
      <c r="E339" s="53" t="s">
        <v>53</v>
      </c>
      <c r="F339" s="53" t="s">
        <v>25</v>
      </c>
      <c r="G339" s="53" t="s">
        <v>25</v>
      </c>
      <c r="H339" s="53" t="s">
        <v>36</v>
      </c>
      <c r="I339" s="73">
        <v>44044</v>
      </c>
      <c r="J339" s="74">
        <f>EFEITO!$J$339*EFEITO!$Y$266</f>
        <v>0</v>
      </c>
      <c r="K339" s="74">
        <f ca="1">EFEITO!$L$339*EFEITO!$Z$266</f>
        <v>37845.297539739367</v>
      </c>
      <c r="L339" s="74">
        <f>EFEITO!$N$339*EFEITO!$AA$266</f>
        <v>99817.790501204843</v>
      </c>
      <c r="M339" s="74">
        <f>$J$339-EFEITO!$K$339*EFEITO!$Y$339</f>
        <v>0</v>
      </c>
      <c r="N339" s="74">
        <f ca="1">$K$339-EFEITO!$M$339*EFEITO!$Z$339</f>
        <v>3406.076778576542</v>
      </c>
      <c r="O339" s="74">
        <f>$L$339-EFEITO!$O$339*EFEITO!$AA$339</f>
        <v>8983.6011451084341</v>
      </c>
      <c r="P339" s="57"/>
      <c r="Q339" s="57"/>
      <c r="R339" s="57"/>
      <c r="S339" s="57"/>
      <c r="T339" s="57"/>
      <c r="U339" s="57"/>
      <c r="V339" s="57"/>
      <c r="W339" s="57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</row>
    <row r="340" spans="1:36" ht="11.25" customHeight="1" x14ac:dyDescent="0.2">
      <c r="A340" s="53" t="s">
        <v>59</v>
      </c>
      <c r="B340" s="53" t="s">
        <v>45</v>
      </c>
      <c r="C340" s="53" t="s">
        <v>34</v>
      </c>
      <c r="D340" s="53" t="s">
        <v>52</v>
      </c>
      <c r="E340" s="53" t="s">
        <v>53</v>
      </c>
      <c r="F340" s="53" t="s">
        <v>25</v>
      </c>
      <c r="G340" s="53" t="s">
        <v>25</v>
      </c>
      <c r="H340" s="53" t="s">
        <v>36</v>
      </c>
      <c r="I340" s="73">
        <v>44075</v>
      </c>
      <c r="J340" s="74">
        <f>EFEITO!$J$340*EFEITO!$Y$266</f>
        <v>0</v>
      </c>
      <c r="K340" s="74">
        <f ca="1">EFEITO!$L$340*EFEITO!$Z$266</f>
        <v>37845.297539739367</v>
      </c>
      <c r="L340" s="74">
        <f>EFEITO!$N$340*EFEITO!$AA$266</f>
        <v>99817.790501204843</v>
      </c>
      <c r="M340" s="74">
        <f>$J$340-EFEITO!$K$340*EFEITO!$Y$340</f>
        <v>0</v>
      </c>
      <c r="N340" s="74">
        <f ca="1">$K$340-EFEITO!$M$340*EFEITO!$Z$340</f>
        <v>3406.076778576542</v>
      </c>
      <c r="O340" s="74">
        <f>$L$340-EFEITO!$O$340*EFEITO!$AA$340</f>
        <v>8983.6011451084341</v>
      </c>
      <c r="P340" s="57"/>
      <c r="Q340" s="57"/>
      <c r="R340" s="57"/>
      <c r="S340" s="57"/>
      <c r="T340" s="57"/>
      <c r="U340" s="57"/>
      <c r="V340" s="57"/>
      <c r="W340" s="57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</row>
    <row r="341" spans="1:36" ht="11.25" customHeight="1" x14ac:dyDescent="0.2">
      <c r="A341" s="53" t="s">
        <v>21</v>
      </c>
      <c r="B341" s="53" t="s">
        <v>45</v>
      </c>
      <c r="C341" s="53" t="s">
        <v>34</v>
      </c>
      <c r="D341" s="53" t="s">
        <v>52</v>
      </c>
      <c r="E341" s="53" t="s">
        <v>53</v>
      </c>
      <c r="F341" s="53" t="s">
        <v>25</v>
      </c>
      <c r="G341" s="53" t="s">
        <v>25</v>
      </c>
      <c r="H341" s="53" t="s">
        <v>25</v>
      </c>
      <c r="I341" s="73">
        <v>43739</v>
      </c>
      <c r="J341" s="74">
        <f ca="1">EFEITO!$J$341*EFEITO!$Y$279</f>
        <v>12941.16301297811</v>
      </c>
      <c r="K341" s="74">
        <f>EFEITO!$L$341*EFEITO!$Z$279</f>
        <v>0</v>
      </c>
      <c r="L341" s="74">
        <f>EFEITO!$N$341*EFEITO!$AA$279</f>
        <v>0</v>
      </c>
      <c r="M341" s="74">
        <f ca="1">$J$341-EFEITO!$K$341*EFEITO!$Y$341</f>
        <v>1164.7046711680287</v>
      </c>
      <c r="N341" s="74">
        <f>$K$341-EFEITO!$M$341*EFEITO!$Z$341</f>
        <v>0</v>
      </c>
      <c r="O341" s="74">
        <f>$L$341-EFEITO!$O$341*EFEITO!$AA$341</f>
        <v>0</v>
      </c>
      <c r="P341" s="57"/>
      <c r="Q341" s="57"/>
      <c r="R341" s="57"/>
      <c r="S341" s="57"/>
      <c r="T341" s="57"/>
      <c r="U341" s="57"/>
      <c r="V341" s="57"/>
      <c r="W341" s="57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</row>
    <row r="342" spans="1:36" ht="11.25" customHeight="1" x14ac:dyDescent="0.2">
      <c r="A342" s="53" t="s">
        <v>21</v>
      </c>
      <c r="B342" s="53" t="s">
        <v>45</v>
      </c>
      <c r="C342" s="53" t="s">
        <v>34</v>
      </c>
      <c r="D342" s="53" t="s">
        <v>52</v>
      </c>
      <c r="E342" s="53" t="s">
        <v>53</v>
      </c>
      <c r="F342" s="53" t="s">
        <v>25</v>
      </c>
      <c r="G342" s="53" t="s">
        <v>25</v>
      </c>
      <c r="H342" s="53" t="s">
        <v>25</v>
      </c>
      <c r="I342" s="73">
        <v>43770</v>
      </c>
      <c r="J342" s="74">
        <f ca="1">EFEITO!$J$342*EFEITO!$Y$279</f>
        <v>13376.352565626932</v>
      </c>
      <c r="K342" s="74">
        <f>EFEITO!$L$342*EFEITO!$Z$279</f>
        <v>0</v>
      </c>
      <c r="L342" s="74">
        <f>EFEITO!$N$342*EFEITO!$AA$279</f>
        <v>0</v>
      </c>
      <c r="M342" s="74">
        <f ca="1">$J$342-EFEITO!$K$342*EFEITO!$Y$342</f>
        <v>1203.8717309064232</v>
      </c>
      <c r="N342" s="74">
        <f>$K$342-EFEITO!$M$342*EFEITO!$Z$342</f>
        <v>0</v>
      </c>
      <c r="O342" s="74">
        <f>$L$342-EFEITO!$O$342*EFEITO!$AA$342</f>
        <v>0</v>
      </c>
      <c r="P342" s="57"/>
      <c r="Q342" s="57"/>
      <c r="R342" s="57"/>
      <c r="S342" s="57"/>
      <c r="T342" s="57"/>
      <c r="U342" s="57"/>
      <c r="V342" s="57"/>
      <c r="W342" s="57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</row>
    <row r="343" spans="1:36" ht="11.25" customHeight="1" x14ac:dyDescent="0.2">
      <c r="A343" s="53" t="s">
        <v>21</v>
      </c>
      <c r="B343" s="53" t="s">
        <v>45</v>
      </c>
      <c r="C343" s="53" t="s">
        <v>34</v>
      </c>
      <c r="D343" s="53" t="s">
        <v>52</v>
      </c>
      <c r="E343" s="53" t="s">
        <v>53</v>
      </c>
      <c r="F343" s="53" t="s">
        <v>25</v>
      </c>
      <c r="G343" s="53" t="s">
        <v>25</v>
      </c>
      <c r="H343" s="53" t="s">
        <v>25</v>
      </c>
      <c r="I343" s="73">
        <v>43800</v>
      </c>
      <c r="J343" s="74">
        <f ca="1">EFEITO!$J$343*EFEITO!$Y$279</f>
        <v>12414.354607140063</v>
      </c>
      <c r="K343" s="74">
        <f>EFEITO!$L$343*EFEITO!$Z$279</f>
        <v>0</v>
      </c>
      <c r="L343" s="74">
        <f>EFEITO!$N$343*EFEITO!$AA$279</f>
        <v>0</v>
      </c>
      <c r="M343" s="74">
        <f ca="1">$J$343-EFEITO!$K$343*EFEITO!$Y$343</f>
        <v>1117.2919146426048</v>
      </c>
      <c r="N343" s="74">
        <f>$K$343-EFEITO!$M$343*EFEITO!$Z$343</f>
        <v>0</v>
      </c>
      <c r="O343" s="74">
        <f>$L$343-EFEITO!$O$343*EFEITO!$AA$343</f>
        <v>0</v>
      </c>
      <c r="P343" s="57"/>
      <c r="Q343" s="57"/>
      <c r="R343" s="57"/>
      <c r="S343" s="57"/>
      <c r="T343" s="57"/>
      <c r="U343" s="57"/>
      <c r="V343" s="57"/>
      <c r="W343" s="57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</row>
    <row r="344" spans="1:36" ht="11.25" customHeight="1" x14ac:dyDescent="0.2">
      <c r="A344" s="53" t="s">
        <v>21</v>
      </c>
      <c r="B344" s="53" t="s">
        <v>45</v>
      </c>
      <c r="C344" s="53" t="s">
        <v>34</v>
      </c>
      <c r="D344" s="53" t="s">
        <v>52</v>
      </c>
      <c r="E344" s="53" t="s">
        <v>53</v>
      </c>
      <c r="F344" s="53" t="s">
        <v>25</v>
      </c>
      <c r="G344" s="53" t="s">
        <v>25</v>
      </c>
      <c r="H344" s="53" t="s">
        <v>25</v>
      </c>
      <c r="I344" s="73">
        <v>43831</v>
      </c>
      <c r="J344" s="74">
        <f ca="1">EFEITO!$J$344*EFEITO!$Y$279</f>
        <v>12322.735753950838</v>
      </c>
      <c r="K344" s="74">
        <f>EFEITO!$L$344*EFEITO!$Z$279</f>
        <v>0</v>
      </c>
      <c r="L344" s="74">
        <f>EFEITO!$N$344*EFEITO!$AA$279</f>
        <v>0</v>
      </c>
      <c r="M344" s="74">
        <f ca="1">$J$344-EFEITO!$K$344*EFEITO!$Y$344</f>
        <v>1109.0462178555754</v>
      </c>
      <c r="N344" s="74">
        <f>$K$344-EFEITO!$M$344*EFEITO!$Z$344</f>
        <v>0</v>
      </c>
      <c r="O344" s="74">
        <f>$L$344-EFEITO!$O$344*EFEITO!$AA$344</f>
        <v>0</v>
      </c>
      <c r="P344" s="57"/>
      <c r="Q344" s="57"/>
      <c r="R344" s="57"/>
      <c r="S344" s="57"/>
      <c r="T344" s="57"/>
      <c r="U344" s="57"/>
      <c r="V344" s="57"/>
      <c r="W344" s="57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</row>
    <row r="345" spans="1:36" ht="11.25" customHeight="1" x14ac:dyDescent="0.2">
      <c r="A345" s="53" t="s">
        <v>21</v>
      </c>
      <c r="B345" s="53" t="s">
        <v>45</v>
      </c>
      <c r="C345" s="53" t="s">
        <v>34</v>
      </c>
      <c r="D345" s="53" t="s">
        <v>52</v>
      </c>
      <c r="E345" s="53" t="s">
        <v>53</v>
      </c>
      <c r="F345" s="53" t="s">
        <v>25</v>
      </c>
      <c r="G345" s="53" t="s">
        <v>25</v>
      </c>
      <c r="H345" s="53" t="s">
        <v>25</v>
      </c>
      <c r="I345" s="73">
        <v>43862</v>
      </c>
      <c r="J345" s="74">
        <f ca="1">EFEITO!$J$345*EFEITO!$Y$279</f>
        <v>12185.307474166999</v>
      </c>
      <c r="K345" s="74">
        <f>EFEITO!$L$345*EFEITO!$Z$279</f>
        <v>0</v>
      </c>
      <c r="L345" s="74">
        <f>EFEITO!$N$345*EFEITO!$AA$279</f>
        <v>0</v>
      </c>
      <c r="M345" s="74">
        <f ca="1">$J$345-EFEITO!$K$345*EFEITO!$Y$345</f>
        <v>1096.6776726750286</v>
      </c>
      <c r="N345" s="74">
        <f>$K$345-EFEITO!$M$345*EFEITO!$Z$345</f>
        <v>0</v>
      </c>
      <c r="O345" s="74">
        <f>$L$345-EFEITO!$O$345*EFEITO!$AA$345</f>
        <v>0</v>
      </c>
      <c r="P345" s="57"/>
      <c r="Q345" s="57"/>
      <c r="R345" s="57"/>
      <c r="S345" s="57"/>
      <c r="T345" s="57"/>
      <c r="U345" s="57"/>
      <c r="V345" s="57"/>
      <c r="W345" s="57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</row>
    <row r="346" spans="1:36" ht="11.25" customHeight="1" x14ac:dyDescent="0.2">
      <c r="A346" s="53" t="s">
        <v>21</v>
      </c>
      <c r="B346" s="53" t="s">
        <v>45</v>
      </c>
      <c r="C346" s="53" t="s">
        <v>34</v>
      </c>
      <c r="D346" s="53" t="s">
        <v>52</v>
      </c>
      <c r="E346" s="53" t="s">
        <v>53</v>
      </c>
      <c r="F346" s="53" t="s">
        <v>25</v>
      </c>
      <c r="G346" s="53" t="s">
        <v>25</v>
      </c>
      <c r="H346" s="53" t="s">
        <v>25</v>
      </c>
      <c r="I346" s="73">
        <v>43891</v>
      </c>
      <c r="J346" s="74">
        <f ca="1">EFEITO!$J$346*EFEITO!$Y$279</f>
        <v>10341.478053733836</v>
      </c>
      <c r="K346" s="74">
        <f>EFEITO!$L$346*EFEITO!$Z$279</f>
        <v>0</v>
      </c>
      <c r="L346" s="74">
        <f>EFEITO!$N$346*EFEITO!$AA$279</f>
        <v>0</v>
      </c>
      <c r="M346" s="74">
        <f ca="1">$J$346-EFEITO!$K$346*EFEITO!$Y$346</f>
        <v>930.73302483604493</v>
      </c>
      <c r="N346" s="74">
        <f>$K$346-EFEITO!$M$346*EFEITO!$Z$346</f>
        <v>0</v>
      </c>
      <c r="O346" s="74">
        <f>$L$346-EFEITO!$O$346*EFEITO!$AA$346</f>
        <v>0</v>
      </c>
      <c r="P346" s="57"/>
      <c r="Q346" s="57"/>
      <c r="R346" s="57"/>
      <c r="S346" s="57"/>
      <c r="T346" s="57"/>
      <c r="U346" s="57"/>
      <c r="V346" s="57"/>
      <c r="W346" s="57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</row>
    <row r="347" spans="1:36" ht="11.25" customHeight="1" x14ac:dyDescent="0.2">
      <c r="A347" s="53" t="s">
        <v>21</v>
      </c>
      <c r="B347" s="53" t="s">
        <v>45</v>
      </c>
      <c r="C347" s="53" t="s">
        <v>34</v>
      </c>
      <c r="D347" s="53" t="s">
        <v>52</v>
      </c>
      <c r="E347" s="53" t="s">
        <v>53</v>
      </c>
      <c r="F347" s="53" t="s">
        <v>25</v>
      </c>
      <c r="G347" s="53" t="s">
        <v>25</v>
      </c>
      <c r="H347" s="53" t="s">
        <v>25</v>
      </c>
      <c r="I347" s="73">
        <v>43922</v>
      </c>
      <c r="J347" s="74">
        <f ca="1">EFEITO!$J$347*EFEITO!$Y$279</f>
        <v>11498.166075247807</v>
      </c>
      <c r="K347" s="74">
        <f>EFEITO!$L$347*EFEITO!$Z$279</f>
        <v>0</v>
      </c>
      <c r="L347" s="74">
        <f>EFEITO!$N$347*EFEITO!$AA$279</f>
        <v>0</v>
      </c>
      <c r="M347" s="74">
        <f ca="1">$J$347-EFEITO!$K$347*EFEITO!$Y$347</f>
        <v>1034.8349467723019</v>
      </c>
      <c r="N347" s="74">
        <f>$K$347-EFEITO!$M$347*EFEITO!$Z$347</f>
        <v>0</v>
      </c>
      <c r="O347" s="74">
        <f>$L$347-EFEITO!$O$347*EFEITO!$AA$347</f>
        <v>0</v>
      </c>
      <c r="P347" s="57"/>
      <c r="Q347" s="57"/>
      <c r="R347" s="57"/>
      <c r="S347" s="57"/>
      <c r="T347" s="57"/>
      <c r="U347" s="57"/>
      <c r="V347" s="57"/>
      <c r="W347" s="57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</row>
    <row r="348" spans="1:36" ht="11.25" customHeight="1" x14ac:dyDescent="0.2">
      <c r="A348" s="53" t="s">
        <v>21</v>
      </c>
      <c r="B348" s="53" t="s">
        <v>45</v>
      </c>
      <c r="C348" s="53" t="s">
        <v>34</v>
      </c>
      <c r="D348" s="53" t="s">
        <v>52</v>
      </c>
      <c r="E348" s="53" t="s">
        <v>53</v>
      </c>
      <c r="F348" s="53" t="s">
        <v>25</v>
      </c>
      <c r="G348" s="53" t="s">
        <v>25</v>
      </c>
      <c r="H348" s="53" t="s">
        <v>25</v>
      </c>
      <c r="I348" s="73">
        <v>43952</v>
      </c>
      <c r="J348" s="74">
        <f ca="1">EFEITO!$J$348*EFEITO!$Y$279</f>
        <v>8990.0999691927591</v>
      </c>
      <c r="K348" s="74">
        <f>EFEITO!$L$348*EFEITO!$Z$279</f>
        <v>0</v>
      </c>
      <c r="L348" s="74">
        <f>EFEITO!$N$348*EFEITO!$AA$279</f>
        <v>0</v>
      </c>
      <c r="M348" s="74">
        <f ca="1">$J$348-EFEITO!$K$348*EFEITO!$Y$348</f>
        <v>809.10899722734848</v>
      </c>
      <c r="N348" s="74">
        <f>$K$348-EFEITO!$M$348*EFEITO!$Z$348</f>
        <v>0</v>
      </c>
      <c r="O348" s="74">
        <f>$L$348-EFEITO!$O$348*EFEITO!$AA$348</f>
        <v>0</v>
      </c>
      <c r="P348" s="57"/>
      <c r="Q348" s="57"/>
      <c r="R348" s="57"/>
      <c r="S348" s="57"/>
      <c r="T348" s="57"/>
      <c r="U348" s="57"/>
      <c r="V348" s="57"/>
      <c r="W348" s="57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</row>
    <row r="349" spans="1:36" ht="11.25" customHeight="1" x14ac:dyDescent="0.2">
      <c r="A349" s="53" t="s">
        <v>21</v>
      </c>
      <c r="B349" s="53" t="s">
        <v>45</v>
      </c>
      <c r="C349" s="53" t="s">
        <v>34</v>
      </c>
      <c r="D349" s="53" t="s">
        <v>52</v>
      </c>
      <c r="E349" s="53" t="s">
        <v>53</v>
      </c>
      <c r="F349" s="53" t="s">
        <v>25</v>
      </c>
      <c r="G349" s="53" t="s">
        <v>25</v>
      </c>
      <c r="H349" s="53" t="s">
        <v>25</v>
      </c>
      <c r="I349" s="73">
        <v>43983</v>
      </c>
      <c r="J349" s="74">
        <f ca="1">EFEITO!$J$349*EFEITO!$Y$279</f>
        <v>13170.210145951174</v>
      </c>
      <c r="K349" s="74">
        <f>EFEITO!$L$349*EFEITO!$Z$279</f>
        <v>0</v>
      </c>
      <c r="L349" s="74">
        <f>EFEITO!$N$349*EFEITO!$AA$279</f>
        <v>0</v>
      </c>
      <c r="M349" s="74">
        <f ca="1">$J$349-EFEITO!$K$349*EFEITO!$Y$349</f>
        <v>1185.3189131356048</v>
      </c>
      <c r="N349" s="74">
        <f>$K$349-EFEITO!$M$349*EFEITO!$Z$349</f>
        <v>0</v>
      </c>
      <c r="O349" s="74">
        <f>$L$349-EFEITO!$O$349*EFEITO!$AA$349</f>
        <v>0</v>
      </c>
      <c r="P349" s="57"/>
      <c r="Q349" s="57"/>
      <c r="R349" s="57"/>
      <c r="S349" s="57"/>
      <c r="T349" s="57"/>
      <c r="U349" s="57"/>
      <c r="V349" s="57"/>
      <c r="W349" s="57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</row>
    <row r="350" spans="1:36" ht="11.25" customHeight="1" x14ac:dyDescent="0.2">
      <c r="A350" s="53" t="s">
        <v>21</v>
      </c>
      <c r="B350" s="53" t="s">
        <v>45</v>
      </c>
      <c r="C350" s="53" t="s">
        <v>34</v>
      </c>
      <c r="D350" s="53" t="s">
        <v>52</v>
      </c>
      <c r="E350" s="53" t="s">
        <v>53</v>
      </c>
      <c r="F350" s="53" t="s">
        <v>25</v>
      </c>
      <c r="G350" s="53" t="s">
        <v>25</v>
      </c>
      <c r="H350" s="53" t="s">
        <v>25</v>
      </c>
      <c r="I350" s="73">
        <v>44013</v>
      </c>
      <c r="J350" s="74">
        <f ca="1">EFEITO!$J$350*EFEITO!$Y$279</f>
        <v>13170.210145951174</v>
      </c>
      <c r="K350" s="74">
        <f>EFEITO!$L$350*EFEITO!$Z$279</f>
        <v>0</v>
      </c>
      <c r="L350" s="74">
        <f>EFEITO!$N$350*EFEITO!$AA$279</f>
        <v>0</v>
      </c>
      <c r="M350" s="74">
        <f ca="1">$J$350-EFEITO!$K$350*EFEITO!$Y$350</f>
        <v>1185.3189131356048</v>
      </c>
      <c r="N350" s="74">
        <f>$K$350-EFEITO!$M$350*EFEITO!$Z$350</f>
        <v>0</v>
      </c>
      <c r="O350" s="74">
        <f>$L$350-EFEITO!$O$350*EFEITO!$AA$350</f>
        <v>0</v>
      </c>
      <c r="P350" s="57"/>
      <c r="Q350" s="57"/>
      <c r="R350" s="57"/>
      <c r="S350" s="57"/>
      <c r="T350" s="57"/>
      <c r="U350" s="57"/>
      <c r="V350" s="57"/>
      <c r="W350" s="57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</row>
    <row r="351" spans="1:36" ht="11.25" customHeight="1" x14ac:dyDescent="0.2">
      <c r="A351" s="53" t="s">
        <v>21</v>
      </c>
      <c r="B351" s="53" t="s">
        <v>45</v>
      </c>
      <c r="C351" s="53" t="s">
        <v>34</v>
      </c>
      <c r="D351" s="53" t="s">
        <v>52</v>
      </c>
      <c r="E351" s="53" t="s">
        <v>53</v>
      </c>
      <c r="F351" s="53" t="s">
        <v>25</v>
      </c>
      <c r="G351" s="53" t="s">
        <v>25</v>
      </c>
      <c r="H351" s="53" t="s">
        <v>25</v>
      </c>
      <c r="I351" s="73">
        <v>44044</v>
      </c>
      <c r="J351" s="74">
        <f ca="1">EFEITO!$J$351*EFEITO!$Y$279</f>
        <v>13170.210145951174</v>
      </c>
      <c r="K351" s="74">
        <f>EFEITO!$L$351*EFEITO!$Z$279</f>
        <v>0</v>
      </c>
      <c r="L351" s="74">
        <f>EFEITO!$N$351*EFEITO!$AA$279</f>
        <v>0</v>
      </c>
      <c r="M351" s="74">
        <f ca="1">$J$351-EFEITO!$K$351*EFEITO!$Y$351</f>
        <v>1185.3189131356048</v>
      </c>
      <c r="N351" s="74">
        <f>$K$351-EFEITO!$M$351*EFEITO!$Z$351</f>
        <v>0</v>
      </c>
      <c r="O351" s="74">
        <f>$L$351-EFEITO!$O$351*EFEITO!$AA$351</f>
        <v>0</v>
      </c>
      <c r="P351" s="57"/>
      <c r="Q351" s="57"/>
      <c r="R351" s="57"/>
      <c r="S351" s="57"/>
      <c r="T351" s="57"/>
      <c r="U351" s="57"/>
      <c r="V351" s="57"/>
      <c r="W351" s="57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</row>
    <row r="352" spans="1:36" ht="11.25" customHeight="1" x14ac:dyDescent="0.2">
      <c r="A352" s="53" t="s">
        <v>59</v>
      </c>
      <c r="B352" s="53" t="s">
        <v>45</v>
      </c>
      <c r="C352" s="53" t="s">
        <v>34</v>
      </c>
      <c r="D352" s="53" t="s">
        <v>52</v>
      </c>
      <c r="E352" s="53" t="s">
        <v>53</v>
      </c>
      <c r="F352" s="53" t="s">
        <v>25</v>
      </c>
      <c r="G352" s="53" t="s">
        <v>25</v>
      </c>
      <c r="H352" s="53" t="s">
        <v>25</v>
      </c>
      <c r="I352" s="73">
        <v>44075</v>
      </c>
      <c r="J352" s="74">
        <f ca="1">EFEITO!$J$352*EFEITO!$Y$279</f>
        <v>13170.210145951174</v>
      </c>
      <c r="K352" s="74">
        <f>EFEITO!$L$352*EFEITO!$Z$279</f>
        <v>0</v>
      </c>
      <c r="L352" s="74">
        <f>EFEITO!$N$352*EFEITO!$AA$279</f>
        <v>0</v>
      </c>
      <c r="M352" s="74">
        <f ca="1">$J$352-EFEITO!$K$352*EFEITO!$Y$352</f>
        <v>1185.3189131356048</v>
      </c>
      <c r="N352" s="74">
        <f>$K$352-EFEITO!$M$352*EFEITO!$Z$352</f>
        <v>0</v>
      </c>
      <c r="O352" s="74">
        <f>$L$352-EFEITO!$O$352*EFEITO!$AA$352</f>
        <v>0</v>
      </c>
      <c r="P352" s="57"/>
      <c r="Q352" s="57"/>
      <c r="R352" s="57"/>
      <c r="S352" s="57"/>
      <c r="T352" s="57"/>
      <c r="U352" s="57"/>
      <c r="V352" s="57"/>
      <c r="W352" s="57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</row>
    <row r="353" spans="1:36" ht="11.25" customHeight="1" x14ac:dyDescent="0.2">
      <c r="A353" s="53" t="s">
        <v>21</v>
      </c>
      <c r="B353" s="53" t="s">
        <v>45</v>
      </c>
      <c r="C353" s="53" t="s">
        <v>34</v>
      </c>
      <c r="D353" s="53" t="s">
        <v>52</v>
      </c>
      <c r="E353" s="53" t="s">
        <v>53</v>
      </c>
      <c r="F353" s="53" t="s">
        <v>25</v>
      </c>
      <c r="G353" s="53" t="s">
        <v>25</v>
      </c>
      <c r="H353" s="53" t="s">
        <v>35</v>
      </c>
      <c r="I353" s="73">
        <v>43739</v>
      </c>
      <c r="J353" s="74">
        <f>EFEITO!$J$353*EFEITO!$Y$292</f>
        <v>0</v>
      </c>
      <c r="K353" s="74">
        <f ca="1">EFEITO!$L$353*EFEITO!$Z$292</f>
        <v>34829.43272669756</v>
      </c>
      <c r="L353" s="74">
        <f>EFEITO!$N$353*EFEITO!$AA$292</f>
        <v>17499.724169160818</v>
      </c>
      <c r="M353" s="74">
        <f>$J$353-EFEITO!$K$353*EFEITO!$Y$353</f>
        <v>0</v>
      </c>
      <c r="N353" s="74">
        <f ca="1">$K$353-EFEITO!$M$353*EFEITO!$Z$353</f>
        <v>3134.6489454027796</v>
      </c>
      <c r="O353" s="74">
        <f>$L$353-EFEITO!$O$353*EFEITO!$AA$353</f>
        <v>1574.9751752244738</v>
      </c>
      <c r="P353" s="57"/>
      <c r="Q353" s="57"/>
      <c r="R353" s="57"/>
      <c r="S353" s="57"/>
      <c r="T353" s="57"/>
      <c r="U353" s="57"/>
      <c r="V353" s="57"/>
      <c r="W353" s="57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</row>
    <row r="354" spans="1:36" ht="11.25" customHeight="1" x14ac:dyDescent="0.2">
      <c r="A354" s="53" t="s">
        <v>21</v>
      </c>
      <c r="B354" s="53" t="s">
        <v>45</v>
      </c>
      <c r="C354" s="53" t="s">
        <v>34</v>
      </c>
      <c r="D354" s="53" t="s">
        <v>52</v>
      </c>
      <c r="E354" s="53" t="s">
        <v>53</v>
      </c>
      <c r="F354" s="53" t="s">
        <v>25</v>
      </c>
      <c r="G354" s="53" t="s">
        <v>25</v>
      </c>
      <c r="H354" s="53" t="s">
        <v>35</v>
      </c>
      <c r="I354" s="73">
        <v>43770</v>
      </c>
      <c r="J354" s="74">
        <f>EFEITO!$J$354*EFEITO!$Y$292</f>
        <v>0</v>
      </c>
      <c r="K354" s="74">
        <f ca="1">EFEITO!$L$354*EFEITO!$Z$292</f>
        <v>37834.574206487108</v>
      </c>
      <c r="L354" s="74">
        <f>EFEITO!$N$354*EFEITO!$AA$292</f>
        <v>19009.6295241599</v>
      </c>
      <c r="M354" s="74">
        <f>$J$354-EFEITO!$K$354*EFEITO!$Y$354</f>
        <v>0</v>
      </c>
      <c r="N354" s="74">
        <f ca="1">$K$354-EFEITO!$M$354*EFEITO!$Z$354</f>
        <v>3405.1116785838385</v>
      </c>
      <c r="O354" s="74">
        <f>$L$354-EFEITO!$O$354*EFEITO!$AA$354</f>
        <v>1710.8666571743925</v>
      </c>
      <c r="P354" s="57"/>
      <c r="Q354" s="57"/>
      <c r="R354" s="57"/>
      <c r="S354" s="57"/>
      <c r="T354" s="57"/>
      <c r="U354" s="57"/>
      <c r="V354" s="57"/>
      <c r="W354" s="57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</row>
    <row r="355" spans="1:36" ht="11.25" customHeight="1" x14ac:dyDescent="0.2">
      <c r="A355" s="53" t="s">
        <v>21</v>
      </c>
      <c r="B355" s="53" t="s">
        <v>45</v>
      </c>
      <c r="C355" s="53" t="s">
        <v>34</v>
      </c>
      <c r="D355" s="53" t="s">
        <v>52</v>
      </c>
      <c r="E355" s="53" t="s">
        <v>53</v>
      </c>
      <c r="F355" s="53" t="s">
        <v>25</v>
      </c>
      <c r="G355" s="53" t="s">
        <v>25</v>
      </c>
      <c r="H355" s="53" t="s">
        <v>35</v>
      </c>
      <c r="I355" s="73">
        <v>43800</v>
      </c>
      <c r="J355" s="74">
        <f>EFEITO!$J$355*EFEITO!$Y$292</f>
        <v>0</v>
      </c>
      <c r="K355" s="74">
        <f ca="1">EFEITO!$L$355*EFEITO!$Z$292</f>
        <v>33586.699425027931</v>
      </c>
      <c r="L355" s="74">
        <f>EFEITO!$N$355*EFEITO!$AA$292</f>
        <v>16875.324393095012</v>
      </c>
      <c r="M355" s="74">
        <f>$J$355-EFEITO!$K$355*EFEITO!$Y$355</f>
        <v>0</v>
      </c>
      <c r="N355" s="74">
        <f ca="1">$K$355-EFEITO!$M$355*EFEITO!$Z$355</f>
        <v>3022.8029482525162</v>
      </c>
      <c r="O355" s="74">
        <f>$L$355-EFEITO!$O$355*EFEITO!$AA$355</f>
        <v>1518.7791953785527</v>
      </c>
      <c r="P355" s="57"/>
      <c r="Q355" s="57"/>
      <c r="R355" s="57"/>
      <c r="S355" s="57"/>
      <c r="T355" s="57"/>
      <c r="U355" s="57"/>
      <c r="V355" s="57"/>
      <c r="W355" s="57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</row>
    <row r="356" spans="1:36" ht="11.25" customHeight="1" x14ac:dyDescent="0.2">
      <c r="A356" s="53" t="s">
        <v>21</v>
      </c>
      <c r="B356" s="53" t="s">
        <v>45</v>
      </c>
      <c r="C356" s="53" t="s">
        <v>34</v>
      </c>
      <c r="D356" s="53" t="s">
        <v>52</v>
      </c>
      <c r="E356" s="53" t="s">
        <v>53</v>
      </c>
      <c r="F356" s="53" t="s">
        <v>25</v>
      </c>
      <c r="G356" s="53" t="s">
        <v>25</v>
      </c>
      <c r="H356" s="53" t="s">
        <v>35</v>
      </c>
      <c r="I356" s="73">
        <v>43831</v>
      </c>
      <c r="J356" s="74">
        <f>EFEITO!$J$356*EFEITO!$Y$292</f>
        <v>0</v>
      </c>
      <c r="K356" s="74">
        <f ca="1">EFEITO!$L$356*EFEITO!$Z$292</f>
        <v>35096.373634456919</v>
      </c>
      <c r="L356" s="74">
        <f>EFEITO!$N$356*EFEITO!$AA$292</f>
        <v>17633.846142720078</v>
      </c>
      <c r="M356" s="74">
        <f>$J$356-EFEITO!$K$356*EFEITO!$Y$356</f>
        <v>0</v>
      </c>
      <c r="N356" s="74">
        <f ca="1">$K$356-EFEITO!$M$356*EFEITO!$Z$356</f>
        <v>3158.6736271011214</v>
      </c>
      <c r="O356" s="74">
        <f>$L$356-EFEITO!$O$356*EFEITO!$AA$356</f>
        <v>1587.0461528448068</v>
      </c>
      <c r="P356" s="57"/>
      <c r="Q356" s="57"/>
      <c r="R356" s="57"/>
      <c r="S356" s="57"/>
      <c r="T356" s="57"/>
      <c r="U356" s="57"/>
      <c r="V356" s="57"/>
      <c r="W356" s="57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</row>
    <row r="357" spans="1:36" ht="11.25" customHeight="1" x14ac:dyDescent="0.2">
      <c r="A357" s="53" t="s">
        <v>21</v>
      </c>
      <c r="B357" s="53" t="s">
        <v>45</v>
      </c>
      <c r="C357" s="53" t="s">
        <v>34</v>
      </c>
      <c r="D357" s="53" t="s">
        <v>52</v>
      </c>
      <c r="E357" s="53" t="s">
        <v>53</v>
      </c>
      <c r="F357" s="53" t="s">
        <v>25</v>
      </c>
      <c r="G357" s="53" t="s">
        <v>25</v>
      </c>
      <c r="H357" s="53" t="s">
        <v>35</v>
      </c>
      <c r="I357" s="73">
        <v>43862</v>
      </c>
      <c r="J357" s="74">
        <f>EFEITO!$J$357*EFEITO!$Y$292</f>
        <v>0</v>
      </c>
      <c r="K357" s="74">
        <f ca="1">EFEITO!$L$357*EFEITO!$Z$292</f>
        <v>38496.318473621664</v>
      </c>
      <c r="L357" s="74">
        <f>EFEITO!$N$357*EFEITO!$AA$292</f>
        <v>19342.116769537904</v>
      </c>
      <c r="M357" s="74">
        <f>$J$357-EFEITO!$K$357*EFEITO!$Y$357</f>
        <v>0</v>
      </c>
      <c r="N357" s="74">
        <f ca="1">$K$357-EFEITO!$M$357*EFEITO!$Z$357</f>
        <v>3464.668662625947</v>
      </c>
      <c r="O357" s="74">
        <f>$L$357-EFEITO!$O$357*EFEITO!$AA$357</f>
        <v>1740.7905092584115</v>
      </c>
      <c r="P357" s="57"/>
      <c r="Q357" s="57"/>
      <c r="R357" s="57"/>
      <c r="S357" s="57"/>
      <c r="T357" s="57"/>
      <c r="U357" s="57"/>
      <c r="V357" s="57"/>
      <c r="W357" s="57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</row>
    <row r="358" spans="1:36" ht="11.25" customHeight="1" x14ac:dyDescent="0.2">
      <c r="A358" s="53" t="s">
        <v>21</v>
      </c>
      <c r="B358" s="53" t="s">
        <v>45</v>
      </c>
      <c r="C358" s="53" t="s">
        <v>34</v>
      </c>
      <c r="D358" s="53" t="s">
        <v>52</v>
      </c>
      <c r="E358" s="53" t="s">
        <v>53</v>
      </c>
      <c r="F358" s="53" t="s">
        <v>25</v>
      </c>
      <c r="G358" s="53" t="s">
        <v>25</v>
      </c>
      <c r="H358" s="53" t="s">
        <v>35</v>
      </c>
      <c r="I358" s="73">
        <v>43891</v>
      </c>
      <c r="J358" s="74">
        <f>EFEITO!$J$358*EFEITO!$Y$292</f>
        <v>0</v>
      </c>
      <c r="K358" s="74">
        <f ca="1">EFEITO!$L$358*EFEITO!$Z$292</f>
        <v>29072.631469444565</v>
      </c>
      <c r="L358" s="74">
        <f>EFEITO!$N$358*EFEITO!$AA$292</f>
        <v>14607.272980273545</v>
      </c>
      <c r="M358" s="74">
        <f>$J$358-EFEITO!$K$358*EFEITO!$Y$358</f>
        <v>0</v>
      </c>
      <c r="N358" s="74">
        <f ca="1">$K$358-EFEITO!$M$358*EFEITO!$Z$358</f>
        <v>2616.5368322500108</v>
      </c>
      <c r="O358" s="74">
        <f>$L$358-EFEITO!$O$358*EFEITO!$AA$358</f>
        <v>1314.6545682246178</v>
      </c>
      <c r="P358" s="57"/>
      <c r="Q358" s="57"/>
      <c r="R358" s="57"/>
      <c r="S358" s="57"/>
      <c r="T358" s="57"/>
      <c r="U358" s="57"/>
      <c r="V358" s="57"/>
      <c r="W358" s="57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</row>
    <row r="359" spans="1:36" ht="11.25" customHeight="1" x14ac:dyDescent="0.2">
      <c r="A359" s="53" t="s">
        <v>21</v>
      </c>
      <c r="B359" s="53" t="s">
        <v>45</v>
      </c>
      <c r="C359" s="53" t="s">
        <v>34</v>
      </c>
      <c r="D359" s="53" t="s">
        <v>52</v>
      </c>
      <c r="E359" s="53" t="s">
        <v>53</v>
      </c>
      <c r="F359" s="53" t="s">
        <v>25</v>
      </c>
      <c r="G359" s="53" t="s">
        <v>25</v>
      </c>
      <c r="H359" s="53" t="s">
        <v>35</v>
      </c>
      <c r="I359" s="73">
        <v>43922</v>
      </c>
      <c r="J359" s="74">
        <f>EFEITO!$J$359*EFEITO!$Y$292</f>
        <v>0</v>
      </c>
      <c r="K359" s="74">
        <f ca="1">EFEITO!$L$359*EFEITO!$Z$292</f>
        <v>29102.540814851774</v>
      </c>
      <c r="L359" s="74">
        <f>EFEITO!$N$359*EFEITO!$AA$292</f>
        <v>14622.300652381025</v>
      </c>
      <c r="M359" s="74">
        <f>$J$359-EFEITO!$K$359*EFEITO!$Y$359</f>
        <v>0</v>
      </c>
      <c r="N359" s="74">
        <f ca="1">$K$359-EFEITO!$M$359*EFEITO!$Z$359</f>
        <v>2619.22867333666</v>
      </c>
      <c r="O359" s="74">
        <f>$L$359-EFEITO!$O$359*EFEITO!$AA$359</f>
        <v>1316.0070587142927</v>
      </c>
      <c r="P359" s="57"/>
      <c r="Q359" s="57"/>
      <c r="R359" s="57"/>
      <c r="S359" s="57"/>
      <c r="T359" s="57"/>
      <c r="U359" s="57"/>
      <c r="V359" s="57"/>
      <c r="W359" s="57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</row>
    <row r="360" spans="1:36" ht="11.25" customHeight="1" x14ac:dyDescent="0.2">
      <c r="A360" s="53" t="s">
        <v>21</v>
      </c>
      <c r="B360" s="53" t="s">
        <v>45</v>
      </c>
      <c r="C360" s="53" t="s">
        <v>34</v>
      </c>
      <c r="D360" s="53" t="s">
        <v>52</v>
      </c>
      <c r="E360" s="53" t="s">
        <v>53</v>
      </c>
      <c r="F360" s="53" t="s">
        <v>25</v>
      </c>
      <c r="G360" s="53" t="s">
        <v>25</v>
      </c>
      <c r="H360" s="53" t="s">
        <v>35</v>
      </c>
      <c r="I360" s="73">
        <v>43952</v>
      </c>
      <c r="J360" s="74">
        <f>EFEITO!$J$360*EFEITO!$Y$292</f>
        <v>0</v>
      </c>
      <c r="K360" s="74">
        <f ca="1">EFEITO!$L$360*EFEITO!$Z$292</f>
        <v>32571.277148453108</v>
      </c>
      <c r="L360" s="74">
        <f>EFEITO!$N$360*EFEITO!$AA$292</f>
        <v>16365.134925046055</v>
      </c>
      <c r="M360" s="74">
        <f>$J$360-EFEITO!$K$360*EFEITO!$Y$360</f>
        <v>0</v>
      </c>
      <c r="N360" s="74">
        <f ca="1">$K$360-EFEITO!$M$360*EFEITO!$Z$360</f>
        <v>2931.4149433607781</v>
      </c>
      <c r="O360" s="74">
        <f>$L$360-EFEITO!$O$360*EFEITO!$AA$360</f>
        <v>1472.8621432541458</v>
      </c>
      <c r="P360" s="57"/>
      <c r="Q360" s="57"/>
      <c r="R360" s="57"/>
      <c r="S360" s="57"/>
      <c r="T360" s="57"/>
      <c r="U360" s="57"/>
      <c r="V360" s="57"/>
      <c r="W360" s="57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</row>
    <row r="361" spans="1:36" ht="11.25" customHeight="1" x14ac:dyDescent="0.2">
      <c r="A361" s="53" t="s">
        <v>21</v>
      </c>
      <c r="B361" s="53" t="s">
        <v>45</v>
      </c>
      <c r="C361" s="53" t="s">
        <v>34</v>
      </c>
      <c r="D361" s="53" t="s">
        <v>52</v>
      </c>
      <c r="E361" s="53" t="s">
        <v>53</v>
      </c>
      <c r="F361" s="53" t="s">
        <v>25</v>
      </c>
      <c r="G361" s="53" t="s">
        <v>25</v>
      </c>
      <c r="H361" s="53" t="s">
        <v>35</v>
      </c>
      <c r="I361" s="73">
        <v>43983</v>
      </c>
      <c r="J361" s="74">
        <f>EFEITO!$J$361*EFEITO!$Y$292</f>
        <v>0</v>
      </c>
      <c r="K361" s="74">
        <f ca="1">EFEITO!$L$361*EFEITO!$Z$292</f>
        <v>31534.170596458054</v>
      </c>
      <c r="L361" s="74">
        <f>EFEITO!$N$361*EFEITO!$AA$292</f>
        <v>15844.050394719176</v>
      </c>
      <c r="M361" s="74">
        <f>$J$361-EFEITO!$K$361*EFEITO!$Y$361</f>
        <v>0</v>
      </c>
      <c r="N361" s="74">
        <f ca="1">$K$361-EFEITO!$M$361*EFEITO!$Z$361</f>
        <v>2838.0753536812226</v>
      </c>
      <c r="O361" s="74">
        <f>$L$361-EFEITO!$O$361*EFEITO!$AA$361</f>
        <v>1425.9645355247267</v>
      </c>
      <c r="P361" s="57"/>
      <c r="Q361" s="57"/>
      <c r="R361" s="57"/>
      <c r="S361" s="57"/>
      <c r="T361" s="57"/>
      <c r="U361" s="57"/>
      <c r="V361" s="57"/>
      <c r="W361" s="57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</row>
    <row r="362" spans="1:36" ht="11.25" customHeight="1" x14ac:dyDescent="0.2">
      <c r="A362" s="53" t="s">
        <v>21</v>
      </c>
      <c r="B362" s="53" t="s">
        <v>45</v>
      </c>
      <c r="C362" s="53" t="s">
        <v>34</v>
      </c>
      <c r="D362" s="53" t="s">
        <v>52</v>
      </c>
      <c r="E362" s="53" t="s">
        <v>53</v>
      </c>
      <c r="F362" s="53" t="s">
        <v>25</v>
      </c>
      <c r="G362" s="53" t="s">
        <v>25</v>
      </c>
      <c r="H362" s="53" t="s">
        <v>35</v>
      </c>
      <c r="I362" s="73">
        <v>44013</v>
      </c>
      <c r="J362" s="74">
        <f>EFEITO!$J$362*EFEITO!$Y$292</f>
        <v>0</v>
      </c>
      <c r="K362" s="74">
        <f ca="1">EFEITO!$L$362*EFEITO!$Z$292</f>
        <v>33402.756950773575</v>
      </c>
      <c r="L362" s="74">
        <f>EFEITO!$N$362*EFEITO!$AA$292</f>
        <v>16782.904209634005</v>
      </c>
      <c r="M362" s="74">
        <f>$J$362-EFEITO!$K$362*EFEITO!$Y$362</f>
        <v>0</v>
      </c>
      <c r="N362" s="74">
        <f ca="1">$K$362-EFEITO!$M$362*EFEITO!$Z$362</f>
        <v>3006.2481255696184</v>
      </c>
      <c r="O362" s="74">
        <f>$L$362-EFEITO!$O$362*EFEITO!$AA$362</f>
        <v>1510.4613788670595</v>
      </c>
      <c r="P362" s="57"/>
      <c r="Q362" s="57"/>
      <c r="R362" s="57"/>
      <c r="S362" s="57"/>
      <c r="T362" s="57"/>
      <c r="U362" s="57"/>
      <c r="V362" s="57"/>
      <c r="W362" s="57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</row>
    <row r="363" spans="1:36" ht="11.25" customHeight="1" x14ac:dyDescent="0.2">
      <c r="A363" s="53" t="s">
        <v>21</v>
      </c>
      <c r="B363" s="53" t="s">
        <v>45</v>
      </c>
      <c r="C363" s="53" t="s">
        <v>34</v>
      </c>
      <c r="D363" s="53" t="s">
        <v>52</v>
      </c>
      <c r="E363" s="53" t="s">
        <v>53</v>
      </c>
      <c r="F363" s="53" t="s">
        <v>25</v>
      </c>
      <c r="G363" s="53" t="s">
        <v>25</v>
      </c>
      <c r="H363" s="53" t="s">
        <v>35</v>
      </c>
      <c r="I363" s="73">
        <v>44044</v>
      </c>
      <c r="J363" s="74">
        <f>EFEITO!$J$363*EFEITO!$Y$292</f>
        <v>0</v>
      </c>
      <c r="K363" s="74">
        <f ca="1">EFEITO!$L$363*EFEITO!$Z$292</f>
        <v>36141.705256438952</v>
      </c>
      <c r="L363" s="74">
        <f>EFEITO!$N$363*EFEITO!$AA$292</f>
        <v>18159.063282876516</v>
      </c>
      <c r="M363" s="74">
        <f>$J$363-EFEITO!$K$363*EFEITO!$Y$363</f>
        <v>0</v>
      </c>
      <c r="N363" s="74">
        <f ca="1">$K$363-EFEITO!$M$363*EFEITO!$Z$363</f>
        <v>3252.7534730795014</v>
      </c>
      <c r="O363" s="74">
        <f>$L$363-EFEITO!$O$363*EFEITO!$AA$363</f>
        <v>1634.3156954588849</v>
      </c>
      <c r="P363" s="57"/>
      <c r="Q363" s="57"/>
      <c r="R363" s="57"/>
      <c r="S363" s="57"/>
      <c r="T363" s="57"/>
      <c r="U363" s="57"/>
      <c r="V363" s="57"/>
      <c r="W363" s="57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</row>
    <row r="364" spans="1:36" ht="11.25" customHeight="1" x14ac:dyDescent="0.2">
      <c r="A364" s="53" t="s">
        <v>59</v>
      </c>
      <c r="B364" s="53" t="s">
        <v>45</v>
      </c>
      <c r="C364" s="53" t="s">
        <v>34</v>
      </c>
      <c r="D364" s="53" t="s">
        <v>52</v>
      </c>
      <c r="E364" s="53" t="s">
        <v>53</v>
      </c>
      <c r="F364" s="53" t="s">
        <v>25</v>
      </c>
      <c r="G364" s="53" t="s">
        <v>25</v>
      </c>
      <c r="H364" s="53" t="s">
        <v>35</v>
      </c>
      <c r="I364" s="73">
        <v>44075</v>
      </c>
      <c r="J364" s="74">
        <f>EFEITO!$J$364*EFEITO!$Y$292</f>
        <v>0</v>
      </c>
      <c r="K364" s="74">
        <f ca="1">EFEITO!$L$364*EFEITO!$Z$292</f>
        <v>36141.705256438952</v>
      </c>
      <c r="L364" s="74">
        <f>EFEITO!$N$364*EFEITO!$AA$292</f>
        <v>18159.063282876516</v>
      </c>
      <c r="M364" s="74">
        <f>$J$364-EFEITO!$K$364*EFEITO!$Y$364</f>
        <v>0</v>
      </c>
      <c r="N364" s="74">
        <f ca="1">$K$364-EFEITO!$M$364*EFEITO!$Z$364</f>
        <v>3252.7534730795014</v>
      </c>
      <c r="O364" s="74">
        <f>$L$364-EFEITO!$O$364*EFEITO!$AA$364</f>
        <v>1634.3156954588849</v>
      </c>
      <c r="P364" s="57"/>
      <c r="Q364" s="57"/>
      <c r="R364" s="57"/>
      <c r="S364" s="57"/>
      <c r="T364" s="57"/>
      <c r="U364" s="57"/>
      <c r="V364" s="57"/>
      <c r="W364" s="57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</row>
    <row r="365" spans="1:36" ht="11.25" customHeight="1" x14ac:dyDescent="0.2">
      <c r="A365" s="53" t="s">
        <v>21</v>
      </c>
      <c r="B365" s="53" t="s">
        <v>33</v>
      </c>
      <c r="C365" s="53" t="s">
        <v>41</v>
      </c>
      <c r="D365" s="53" t="s">
        <v>42</v>
      </c>
      <c r="E365" s="53" t="s">
        <v>25</v>
      </c>
      <c r="F365" s="53" t="s">
        <v>25</v>
      </c>
      <c r="G365" s="53" t="s">
        <v>25</v>
      </c>
      <c r="H365" s="53" t="s">
        <v>36</v>
      </c>
      <c r="I365" s="73">
        <v>43739</v>
      </c>
      <c r="J365" s="74">
        <f ca="1">EFEITO!$J$365*EFEITO!$Y$365</f>
        <v>515619.4533923128</v>
      </c>
      <c r="K365" s="74">
        <f ca="1">EFEITO!$L$365*EFEITO!$Z$365</f>
        <v>1361637.4359337641</v>
      </c>
      <c r="L365" s="74">
        <f>EFEITO!$N$365*EFEITO!$AA$365</f>
        <v>3591348.1767692878</v>
      </c>
      <c r="M365" s="74">
        <f ca="1">$J$365-EFEITO!$K$365*EFEITO!$Y$365</f>
        <v>0</v>
      </c>
      <c r="N365" s="74">
        <f ca="1">$K$365-EFEITO!$M$365*EFEITO!$Z$365</f>
        <v>0</v>
      </c>
      <c r="O365" s="74">
        <f>$L$365-EFEITO!$O$365*EFEITO!$AA$365</f>
        <v>0</v>
      </c>
      <c r="P365" s="57"/>
      <c r="Q365" s="57"/>
      <c r="R365" s="57"/>
      <c r="S365" s="57"/>
      <c r="T365" s="57"/>
      <c r="U365" s="57"/>
      <c r="V365" s="57"/>
      <c r="W365" s="57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</row>
    <row r="366" spans="1:36" ht="11.25" customHeight="1" x14ac:dyDescent="0.2">
      <c r="A366" s="53" t="s">
        <v>27</v>
      </c>
      <c r="B366" s="53" t="s">
        <v>33</v>
      </c>
      <c r="C366" s="53" t="s">
        <v>41</v>
      </c>
      <c r="D366" s="53" t="s">
        <v>42</v>
      </c>
      <c r="E366" s="53" t="s">
        <v>25</v>
      </c>
      <c r="F366" s="53" t="s">
        <v>25</v>
      </c>
      <c r="G366" s="53" t="s">
        <v>25</v>
      </c>
      <c r="H366" s="53" t="s">
        <v>36</v>
      </c>
      <c r="I366" s="73">
        <v>43739</v>
      </c>
      <c r="J366" s="74">
        <f ca="1">EFEITO!$J$366*EFEITO!$Y$366</f>
        <v>1019.2597417301344</v>
      </c>
      <c r="K366" s="74">
        <f ca="1">EFEITO!$L$366*EFEITO!$Z$366</f>
        <v>0</v>
      </c>
      <c r="L366" s="74">
        <f>EFEITO!$N$366*EFEITO!$AA$366</f>
        <v>0</v>
      </c>
      <c r="M366" s="74">
        <f ca="1">$J$366-EFEITO!$K$366*EFEITO!$Y$366</f>
        <v>0</v>
      </c>
      <c r="N366" s="74">
        <f ca="1">$K$366-EFEITO!$M$366*EFEITO!$Z$366</f>
        <v>0</v>
      </c>
      <c r="O366" s="74">
        <f>$L$366-EFEITO!$O$366*EFEITO!$AA$366</f>
        <v>0</v>
      </c>
      <c r="P366" s="57"/>
      <c r="Q366" s="57"/>
      <c r="R366" s="57"/>
      <c r="S366" s="57"/>
      <c r="T366" s="57"/>
      <c r="U366" s="57"/>
      <c r="V366" s="57"/>
      <c r="W366" s="57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</row>
    <row r="367" spans="1:36" ht="11.25" customHeight="1" x14ac:dyDescent="0.2">
      <c r="A367" s="53" t="s">
        <v>28</v>
      </c>
      <c r="B367" s="53" t="s">
        <v>33</v>
      </c>
      <c r="C367" s="53" t="s">
        <v>41</v>
      </c>
      <c r="D367" s="53" t="s">
        <v>42</v>
      </c>
      <c r="E367" s="53" t="s">
        <v>25</v>
      </c>
      <c r="F367" s="53" t="s">
        <v>25</v>
      </c>
      <c r="G367" s="53" t="s">
        <v>25</v>
      </c>
      <c r="H367" s="53" t="s">
        <v>36</v>
      </c>
      <c r="I367" s="73">
        <v>43739</v>
      </c>
      <c r="J367" s="74">
        <f ca="1">EFEITO!$J$367*EFEITO!$Y$367</f>
        <v>6298.7961567592574</v>
      </c>
      <c r="K367" s="74">
        <f ca="1">EFEITO!$L$367*EFEITO!$Z$367</f>
        <v>9198.9850974439905</v>
      </c>
      <c r="L367" s="74">
        <f>EFEITO!$N$367*EFEITO!$AA$367</f>
        <v>24262.522082596719</v>
      </c>
      <c r="M367" s="74">
        <f ca="1">$J$367-EFEITO!$K$367*EFEITO!$Y$367</f>
        <v>0</v>
      </c>
      <c r="N367" s="74">
        <f ca="1">$K$367-EFEITO!$M$367*EFEITO!$Z$367</f>
        <v>0</v>
      </c>
      <c r="O367" s="74">
        <f>$L$367-EFEITO!$O$367*EFEITO!$AA$367</f>
        <v>0</v>
      </c>
      <c r="P367" s="57"/>
      <c r="Q367" s="57"/>
      <c r="R367" s="57"/>
      <c r="S367" s="57"/>
      <c r="T367" s="57"/>
      <c r="U367" s="57"/>
      <c r="V367" s="57"/>
      <c r="W367" s="57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</row>
    <row r="368" spans="1:36" ht="11.25" customHeight="1" x14ac:dyDescent="0.2">
      <c r="A368" s="53" t="s">
        <v>21</v>
      </c>
      <c r="B368" s="53" t="s">
        <v>33</v>
      </c>
      <c r="C368" s="53" t="s">
        <v>41</v>
      </c>
      <c r="D368" s="53" t="s">
        <v>42</v>
      </c>
      <c r="E368" s="53" t="s">
        <v>25</v>
      </c>
      <c r="F368" s="53" t="s">
        <v>25</v>
      </c>
      <c r="G368" s="53" t="s">
        <v>25</v>
      </c>
      <c r="H368" s="53" t="s">
        <v>36</v>
      </c>
      <c r="I368" s="73">
        <v>43770</v>
      </c>
      <c r="J368" s="74">
        <f ca="1">EFEITO!$J$368*EFEITO!$Y$368</f>
        <v>528514.80697869626</v>
      </c>
      <c r="K368" s="74">
        <f ca="1">EFEITO!$L$368*EFEITO!$Z$368</f>
        <v>1454554.9046256738</v>
      </c>
      <c r="L368" s="74">
        <f>EFEITO!$N$368*EFEITO!$AA$368</f>
        <v>3836420.0093807844</v>
      </c>
      <c r="M368" s="74">
        <f ca="1">$J$368-EFEITO!$K$368*EFEITO!$Y$368</f>
        <v>0</v>
      </c>
      <c r="N368" s="74">
        <f ca="1">$K$368-EFEITO!$M$368*EFEITO!$Z$368</f>
        <v>0</v>
      </c>
      <c r="O368" s="74">
        <f>$L$368-EFEITO!$O$368*EFEITO!$AA$368</f>
        <v>0</v>
      </c>
      <c r="P368" s="57"/>
      <c r="Q368" s="57"/>
      <c r="R368" s="57"/>
      <c r="S368" s="57"/>
      <c r="T368" s="57"/>
      <c r="U368" s="57"/>
      <c r="V368" s="57"/>
      <c r="W368" s="57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</row>
    <row r="369" spans="1:36" ht="11.25" customHeight="1" x14ac:dyDescent="0.2">
      <c r="A369" s="53" t="s">
        <v>27</v>
      </c>
      <c r="B369" s="53" t="s">
        <v>33</v>
      </c>
      <c r="C369" s="53" t="s">
        <v>41</v>
      </c>
      <c r="D369" s="53" t="s">
        <v>42</v>
      </c>
      <c r="E369" s="53" t="s">
        <v>25</v>
      </c>
      <c r="F369" s="53" t="s">
        <v>25</v>
      </c>
      <c r="G369" s="53" t="s">
        <v>25</v>
      </c>
      <c r="H369" s="53" t="s">
        <v>36</v>
      </c>
      <c r="I369" s="73">
        <v>43770</v>
      </c>
      <c r="J369" s="74">
        <f ca="1">EFEITO!$J$369*EFEITO!$Y$369</f>
        <v>916.18853189225558</v>
      </c>
      <c r="K369" s="74">
        <f ca="1">EFEITO!$L$369*EFEITO!$Z$369</f>
        <v>2087.5993409572202</v>
      </c>
      <c r="L369" s="74">
        <f>EFEITO!$N$369*EFEITO!$AA$369</f>
        <v>5506.0883970409441</v>
      </c>
      <c r="M369" s="74">
        <f ca="1">$J$369-EFEITO!$K$369*EFEITO!$Y$369</f>
        <v>0</v>
      </c>
      <c r="N369" s="74">
        <f ca="1">$K$369-EFEITO!$M$369*EFEITO!$Z$369</f>
        <v>0</v>
      </c>
      <c r="O369" s="74">
        <f>$L$369-EFEITO!$O$369*EFEITO!$AA$369</f>
        <v>0</v>
      </c>
      <c r="P369" s="57"/>
      <c r="Q369" s="57"/>
      <c r="R369" s="57"/>
      <c r="S369" s="57"/>
      <c r="T369" s="57"/>
      <c r="U369" s="57"/>
      <c r="V369" s="57"/>
      <c r="W369" s="57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</row>
    <row r="370" spans="1:36" ht="11.25" customHeight="1" x14ac:dyDescent="0.2">
      <c r="A370" s="53" t="s">
        <v>28</v>
      </c>
      <c r="B370" s="53" t="s">
        <v>33</v>
      </c>
      <c r="C370" s="53" t="s">
        <v>41</v>
      </c>
      <c r="D370" s="53" t="s">
        <v>42</v>
      </c>
      <c r="E370" s="53" t="s">
        <v>25</v>
      </c>
      <c r="F370" s="53" t="s">
        <v>25</v>
      </c>
      <c r="G370" s="53" t="s">
        <v>25</v>
      </c>
      <c r="H370" s="53" t="s">
        <v>36</v>
      </c>
      <c r="I370" s="73">
        <v>43770</v>
      </c>
      <c r="J370" s="74">
        <f ca="1">EFEITO!$J$370*EFEITO!$Y$370</f>
        <v>6298.7961567592574</v>
      </c>
      <c r="K370" s="74">
        <f ca="1">EFEITO!$L$370*EFEITO!$Z$370</f>
        <v>9275.2144617157264</v>
      </c>
      <c r="L370" s="74">
        <f>EFEITO!$N$370*EFEITO!$AA$370</f>
        <v>24463.578678992249</v>
      </c>
      <c r="M370" s="74">
        <f ca="1">$J$370-EFEITO!$K$370*EFEITO!$Y$370</f>
        <v>0</v>
      </c>
      <c r="N370" s="74">
        <f ca="1">$K$370-EFEITO!$M$370*EFEITO!$Z$370</f>
        <v>0</v>
      </c>
      <c r="O370" s="74">
        <f>$L$370-EFEITO!$O$370*EFEITO!$AA$370</f>
        <v>0</v>
      </c>
      <c r="P370" s="57"/>
      <c r="Q370" s="57"/>
      <c r="R370" s="57"/>
      <c r="S370" s="57"/>
      <c r="T370" s="57"/>
      <c r="U370" s="57"/>
      <c r="V370" s="57"/>
      <c r="W370" s="57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</row>
    <row r="371" spans="1:36" ht="11.25" customHeight="1" x14ac:dyDescent="0.2">
      <c r="A371" s="53" t="s">
        <v>21</v>
      </c>
      <c r="B371" s="53" t="s">
        <v>33</v>
      </c>
      <c r="C371" s="53" t="s">
        <v>41</v>
      </c>
      <c r="D371" s="53" t="s">
        <v>42</v>
      </c>
      <c r="E371" s="53" t="s">
        <v>25</v>
      </c>
      <c r="F371" s="53" t="s">
        <v>25</v>
      </c>
      <c r="G371" s="53" t="s">
        <v>25</v>
      </c>
      <c r="H371" s="53" t="s">
        <v>36</v>
      </c>
      <c r="I371" s="73">
        <v>43800</v>
      </c>
      <c r="J371" s="74">
        <f ca="1">EFEITO!$J$371*EFEITO!$Y$371</f>
        <v>512607.48359371704</v>
      </c>
      <c r="K371" s="74">
        <f ca="1">EFEITO!$L$371*EFEITO!$Z$371</f>
        <v>1380188.8275701771</v>
      </c>
      <c r="L371" s="74">
        <f>EFEITO!$N$371*EFEITO!$AA$371</f>
        <v>3640277.8733035754</v>
      </c>
      <c r="M371" s="74">
        <f ca="1">$J$371-EFEITO!$K$371*EFEITO!$Y$371</f>
        <v>0</v>
      </c>
      <c r="N371" s="74">
        <f ca="1">$K$371-EFEITO!$M$371*EFEITO!$Z$371</f>
        <v>0</v>
      </c>
      <c r="O371" s="74">
        <f>$L$371-EFEITO!$O$371*EFEITO!$AA$371</f>
        <v>0</v>
      </c>
      <c r="P371" s="57"/>
      <c r="Q371" s="57"/>
      <c r="R371" s="57"/>
      <c r="S371" s="57"/>
      <c r="T371" s="57"/>
      <c r="U371" s="57"/>
      <c r="V371" s="57"/>
      <c r="W371" s="57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</row>
    <row r="372" spans="1:36" ht="11.25" customHeight="1" x14ac:dyDescent="0.2">
      <c r="A372" s="53" t="s">
        <v>28</v>
      </c>
      <c r="B372" s="53" t="s">
        <v>33</v>
      </c>
      <c r="C372" s="53" t="s">
        <v>41</v>
      </c>
      <c r="D372" s="53" t="s">
        <v>42</v>
      </c>
      <c r="E372" s="53" t="s">
        <v>25</v>
      </c>
      <c r="F372" s="53" t="s">
        <v>25</v>
      </c>
      <c r="G372" s="53" t="s">
        <v>25</v>
      </c>
      <c r="H372" s="53" t="s">
        <v>36</v>
      </c>
      <c r="I372" s="73">
        <v>43800</v>
      </c>
      <c r="J372" s="74">
        <f ca="1">EFEITO!$J$372*EFEITO!$Y$372</f>
        <v>6298.7961567592574</v>
      </c>
      <c r="K372" s="74">
        <f ca="1">EFEITO!$L$372*EFEITO!$Z$372</f>
        <v>9626.8672580921193</v>
      </c>
      <c r="L372" s="74">
        <f>EFEITO!$N$372*EFEITO!$AA$372</f>
        <v>25391.070532398971</v>
      </c>
      <c r="M372" s="74">
        <f ca="1">$J$372-EFEITO!$K$372*EFEITO!$Y$372</f>
        <v>0</v>
      </c>
      <c r="N372" s="74">
        <f ca="1">$K$372-EFEITO!$M$372*EFEITO!$Z$372</f>
        <v>0</v>
      </c>
      <c r="O372" s="74">
        <f>$L$372-EFEITO!$O$372*EFEITO!$AA$372</f>
        <v>0</v>
      </c>
      <c r="P372" s="57"/>
      <c r="Q372" s="57"/>
      <c r="R372" s="57"/>
      <c r="S372" s="57"/>
      <c r="T372" s="57"/>
      <c r="U372" s="57"/>
      <c r="V372" s="57"/>
      <c r="W372" s="57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</row>
    <row r="373" spans="1:36" ht="11.25" customHeight="1" x14ac:dyDescent="0.2">
      <c r="A373" s="53" t="s">
        <v>21</v>
      </c>
      <c r="B373" s="53" t="s">
        <v>33</v>
      </c>
      <c r="C373" s="53" t="s">
        <v>41</v>
      </c>
      <c r="D373" s="53" t="s">
        <v>42</v>
      </c>
      <c r="E373" s="53" t="s">
        <v>25</v>
      </c>
      <c r="F373" s="53" t="s">
        <v>25</v>
      </c>
      <c r="G373" s="53" t="s">
        <v>25</v>
      </c>
      <c r="H373" s="53" t="s">
        <v>36</v>
      </c>
      <c r="I373" s="73">
        <v>43831</v>
      </c>
      <c r="J373" s="74">
        <f ca="1">EFEITO!$J$373*EFEITO!$Y$373</f>
        <v>509538.25201187795</v>
      </c>
      <c r="K373" s="74">
        <f ca="1">EFEITO!$L$373*EFEITO!$Z$373</f>
        <v>1399810.2309259772</v>
      </c>
      <c r="L373" s="74">
        <f>EFEITO!$N$373*EFEITO!$AA$373</f>
        <v>3692029.7488821023</v>
      </c>
      <c r="M373" s="74">
        <f ca="1">$J$373-EFEITO!$K$373*EFEITO!$Y$373</f>
        <v>0</v>
      </c>
      <c r="N373" s="74">
        <f ca="1">$K$373-EFEITO!$M$373*EFEITO!$Z$373</f>
        <v>0</v>
      </c>
      <c r="O373" s="74">
        <f>$L$373-EFEITO!$O$373*EFEITO!$AA$373</f>
        <v>0</v>
      </c>
      <c r="P373" s="57"/>
      <c r="Q373" s="57"/>
      <c r="R373" s="57"/>
      <c r="S373" s="57"/>
      <c r="T373" s="57"/>
      <c r="U373" s="57"/>
      <c r="V373" s="57"/>
      <c r="W373" s="57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</row>
    <row r="374" spans="1:36" ht="11.25" customHeight="1" x14ac:dyDescent="0.2">
      <c r="A374" s="53" t="s">
        <v>27</v>
      </c>
      <c r="B374" s="53" t="s">
        <v>33</v>
      </c>
      <c r="C374" s="53" t="s">
        <v>41</v>
      </c>
      <c r="D374" s="53" t="s">
        <v>42</v>
      </c>
      <c r="E374" s="53" t="s">
        <v>25</v>
      </c>
      <c r="F374" s="53" t="s">
        <v>25</v>
      </c>
      <c r="G374" s="53" t="s">
        <v>25</v>
      </c>
      <c r="H374" s="53" t="s">
        <v>36</v>
      </c>
      <c r="I374" s="73">
        <v>43831</v>
      </c>
      <c r="J374" s="74">
        <f ca="1">EFEITO!$J$374*EFEITO!$Y$374</f>
        <v>3195.2075049742416</v>
      </c>
      <c r="K374" s="74">
        <f ca="1">EFEITO!$L$374*EFEITO!$Z$374</f>
        <v>11119.509976409539</v>
      </c>
      <c r="L374" s="74">
        <f>EFEITO!$N$374*EFEITO!$AA$374</f>
        <v>29327.947973875234</v>
      </c>
      <c r="M374" s="74">
        <f ca="1">$J$374-EFEITO!$K$374*EFEITO!$Y$374</f>
        <v>0</v>
      </c>
      <c r="N374" s="74">
        <f ca="1">$K$374-EFEITO!$M$374*EFEITO!$Z$374</f>
        <v>0</v>
      </c>
      <c r="O374" s="74">
        <f>$L$374-EFEITO!$O$374*EFEITO!$AA$374</f>
        <v>0</v>
      </c>
      <c r="P374" s="57"/>
      <c r="Q374" s="57"/>
      <c r="R374" s="57"/>
      <c r="S374" s="57"/>
      <c r="T374" s="57"/>
      <c r="U374" s="57"/>
      <c r="V374" s="57"/>
      <c r="W374" s="57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</row>
    <row r="375" spans="1:36" ht="11.25" customHeight="1" x14ac:dyDescent="0.2">
      <c r="A375" s="53" t="s">
        <v>28</v>
      </c>
      <c r="B375" s="53" t="s">
        <v>33</v>
      </c>
      <c r="C375" s="53" t="s">
        <v>41</v>
      </c>
      <c r="D375" s="53" t="s">
        <v>42</v>
      </c>
      <c r="E375" s="53" t="s">
        <v>25</v>
      </c>
      <c r="F375" s="53" t="s">
        <v>25</v>
      </c>
      <c r="G375" s="53" t="s">
        <v>25</v>
      </c>
      <c r="H375" s="53" t="s">
        <v>36</v>
      </c>
      <c r="I375" s="73">
        <v>43831</v>
      </c>
      <c r="J375" s="74">
        <f ca="1">EFEITO!$J$375*EFEITO!$Y$375</f>
        <v>6298.7961567592574</v>
      </c>
      <c r="K375" s="74">
        <f ca="1">EFEITO!$L$375*EFEITO!$Z$375</f>
        <v>7739.3371785874724</v>
      </c>
      <c r="L375" s="74">
        <f>EFEITO!$N$375*EFEITO!$AA$375</f>
        <v>20412.669138067777</v>
      </c>
      <c r="M375" s="74">
        <f ca="1">$J$375-EFEITO!$K$375*EFEITO!$Y$375</f>
        <v>0</v>
      </c>
      <c r="N375" s="74">
        <f ca="1">$K$375-EFEITO!$M$375*EFEITO!$Z$375</f>
        <v>0</v>
      </c>
      <c r="O375" s="74">
        <f>$L$375-EFEITO!$O$375*EFEITO!$AA$375</f>
        <v>0</v>
      </c>
      <c r="P375" s="57"/>
      <c r="Q375" s="57"/>
      <c r="R375" s="57"/>
      <c r="S375" s="57"/>
      <c r="T375" s="57"/>
      <c r="U375" s="57"/>
      <c r="V375" s="57"/>
      <c r="W375" s="57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</row>
    <row r="376" spans="1:36" ht="11.25" customHeight="1" x14ac:dyDescent="0.2">
      <c r="A376" s="53" t="s">
        <v>21</v>
      </c>
      <c r="B376" s="53" t="s">
        <v>33</v>
      </c>
      <c r="C376" s="53" t="s">
        <v>41</v>
      </c>
      <c r="D376" s="53" t="s">
        <v>42</v>
      </c>
      <c r="E376" s="53" t="s">
        <v>25</v>
      </c>
      <c r="F376" s="53" t="s">
        <v>25</v>
      </c>
      <c r="G376" s="53" t="s">
        <v>25</v>
      </c>
      <c r="H376" s="53" t="s">
        <v>36</v>
      </c>
      <c r="I376" s="73">
        <v>43862</v>
      </c>
      <c r="J376" s="74">
        <f ca="1">EFEITO!$J$376*EFEITO!$Y$376</f>
        <v>498395.10899273842</v>
      </c>
      <c r="K376" s="74">
        <f ca="1">EFEITO!$L$376*EFEITO!$Z$376</f>
        <v>1373701.9799806743</v>
      </c>
      <c r="L376" s="74">
        <f>EFEITO!$N$376*EFEITO!$AA$376</f>
        <v>3623168.6725363648</v>
      </c>
      <c r="M376" s="74">
        <f ca="1">$J$376-EFEITO!$K$376*EFEITO!$Y$376</f>
        <v>0</v>
      </c>
      <c r="N376" s="74">
        <f ca="1">$K$376-EFEITO!$M$376*EFEITO!$Z$376</f>
        <v>0</v>
      </c>
      <c r="O376" s="74">
        <f>$L$376-EFEITO!$O$376*EFEITO!$AA$376</f>
        <v>0</v>
      </c>
      <c r="P376" s="57"/>
      <c r="Q376" s="57"/>
      <c r="R376" s="57"/>
      <c r="S376" s="57"/>
      <c r="T376" s="57"/>
      <c r="U376" s="57"/>
      <c r="V376" s="57"/>
      <c r="W376" s="57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</row>
    <row r="377" spans="1:36" ht="11.25" customHeight="1" x14ac:dyDescent="0.2">
      <c r="A377" s="53" t="s">
        <v>27</v>
      </c>
      <c r="B377" s="53" t="s">
        <v>33</v>
      </c>
      <c r="C377" s="53" t="s">
        <v>41</v>
      </c>
      <c r="D377" s="53" t="s">
        <v>42</v>
      </c>
      <c r="E377" s="53" t="s">
        <v>25</v>
      </c>
      <c r="F377" s="53" t="s">
        <v>25</v>
      </c>
      <c r="G377" s="53" t="s">
        <v>25</v>
      </c>
      <c r="H377" s="53" t="s">
        <v>36</v>
      </c>
      <c r="I377" s="73">
        <v>43862</v>
      </c>
      <c r="J377" s="74">
        <f ca="1">EFEITO!$J$377*EFEITO!$Y$377</f>
        <v>2530.9708193523561</v>
      </c>
      <c r="K377" s="74">
        <f ca="1">EFEITO!$L$377*EFEITO!$Z$377</f>
        <v>9599.1236203491353</v>
      </c>
      <c r="L377" s="74">
        <f>EFEITO!$N$377*EFEITO!$AA$377</f>
        <v>25317.896088016212</v>
      </c>
      <c r="M377" s="74">
        <f ca="1">$J$377-EFEITO!$K$377*EFEITO!$Y$377</f>
        <v>0</v>
      </c>
      <c r="N377" s="74">
        <f ca="1">$K$377-EFEITO!$M$377*EFEITO!$Z$377</f>
        <v>0</v>
      </c>
      <c r="O377" s="74">
        <f>$L$377-EFEITO!$O$377*EFEITO!$AA$377</f>
        <v>0</v>
      </c>
      <c r="P377" s="57"/>
      <c r="Q377" s="57"/>
      <c r="R377" s="57"/>
      <c r="S377" s="57"/>
      <c r="T377" s="57"/>
      <c r="U377" s="57"/>
      <c r="V377" s="57"/>
      <c r="W377" s="57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</row>
    <row r="378" spans="1:36" ht="11.25" customHeight="1" x14ac:dyDescent="0.2">
      <c r="A378" s="53" t="s">
        <v>28</v>
      </c>
      <c r="B378" s="53" t="s">
        <v>33</v>
      </c>
      <c r="C378" s="53" t="s">
        <v>41</v>
      </c>
      <c r="D378" s="53" t="s">
        <v>42</v>
      </c>
      <c r="E378" s="53" t="s">
        <v>25</v>
      </c>
      <c r="F378" s="53" t="s">
        <v>25</v>
      </c>
      <c r="G378" s="53" t="s">
        <v>25</v>
      </c>
      <c r="H378" s="53" t="s">
        <v>36</v>
      </c>
      <c r="I378" s="73">
        <v>43862</v>
      </c>
      <c r="J378" s="74">
        <f ca="1">EFEITO!$J$378*EFEITO!$Y$378</f>
        <v>6298.7961567592574</v>
      </c>
      <c r="K378" s="74">
        <f ca="1">EFEITO!$L$378*EFEITO!$Z$378</f>
        <v>8494.1916755377952</v>
      </c>
      <c r="L378" s="74">
        <f>EFEITO!$N$378*EFEITO!$AA$378</f>
        <v>22403.614194223319</v>
      </c>
      <c r="M378" s="74">
        <f ca="1">$J$378-EFEITO!$K$378*EFEITO!$Y$378</f>
        <v>0</v>
      </c>
      <c r="N378" s="74">
        <f ca="1">$K$378-EFEITO!$M$378*EFEITO!$Z$378</f>
        <v>0</v>
      </c>
      <c r="O378" s="74">
        <f>$L$378-EFEITO!$O$378*EFEITO!$AA$378</f>
        <v>0</v>
      </c>
      <c r="P378" s="57"/>
      <c r="Q378" s="57"/>
      <c r="R378" s="57"/>
      <c r="S378" s="57"/>
      <c r="T378" s="57"/>
      <c r="U378" s="57"/>
      <c r="V378" s="57"/>
      <c r="W378" s="57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</row>
    <row r="379" spans="1:36" ht="11.25" customHeight="1" x14ac:dyDescent="0.2">
      <c r="A379" s="53" t="s">
        <v>21</v>
      </c>
      <c r="B379" s="53" t="s">
        <v>33</v>
      </c>
      <c r="C379" s="53" t="s">
        <v>41</v>
      </c>
      <c r="D379" s="53" t="s">
        <v>42</v>
      </c>
      <c r="E379" s="53" t="s">
        <v>25</v>
      </c>
      <c r="F379" s="53" t="s">
        <v>25</v>
      </c>
      <c r="G379" s="53" t="s">
        <v>25</v>
      </c>
      <c r="H379" s="53" t="s">
        <v>36</v>
      </c>
      <c r="I379" s="73">
        <v>43891</v>
      </c>
      <c r="J379" s="74">
        <f ca="1">EFEITO!$J$379*EFEITO!$Y$379</f>
        <v>501533.05471446936</v>
      </c>
      <c r="K379" s="74">
        <f ca="1">EFEITO!$L$379*EFEITO!$Z$379</f>
        <v>1286595.6218845337</v>
      </c>
      <c r="L379" s="74">
        <f>EFEITO!$N$379*EFEITO!$AA$379</f>
        <v>3393423.7697612294</v>
      </c>
      <c r="M379" s="74">
        <f ca="1">$J$379-EFEITO!$K$379*EFEITO!$Y$379</f>
        <v>0</v>
      </c>
      <c r="N379" s="74">
        <f ca="1">$K$379-EFEITO!$M$379*EFEITO!$Z$379</f>
        <v>0</v>
      </c>
      <c r="O379" s="74">
        <f>$L$379-EFEITO!$O$379*EFEITO!$AA$379</f>
        <v>0</v>
      </c>
      <c r="P379" s="57"/>
      <c r="Q379" s="57"/>
      <c r="R379" s="57"/>
      <c r="S379" s="57"/>
      <c r="T379" s="57"/>
      <c r="U379" s="57"/>
      <c r="V379" s="57"/>
      <c r="W379" s="57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</row>
    <row r="380" spans="1:36" ht="11.25" customHeight="1" x14ac:dyDescent="0.2">
      <c r="A380" s="53" t="s">
        <v>28</v>
      </c>
      <c r="B380" s="53" t="s">
        <v>33</v>
      </c>
      <c r="C380" s="53" t="s">
        <v>41</v>
      </c>
      <c r="D380" s="53" t="s">
        <v>42</v>
      </c>
      <c r="E380" s="53" t="s">
        <v>25</v>
      </c>
      <c r="F380" s="53" t="s">
        <v>25</v>
      </c>
      <c r="G380" s="53" t="s">
        <v>25</v>
      </c>
      <c r="H380" s="53" t="s">
        <v>36</v>
      </c>
      <c r="I380" s="73">
        <v>43891</v>
      </c>
      <c r="J380" s="74">
        <f ca="1">EFEITO!$J$380*EFEITO!$Y$380</f>
        <v>6298.7961567592574</v>
      </c>
      <c r="K380" s="74">
        <f ca="1">EFEITO!$L$380*EFEITO!$Z$380</f>
        <v>8191.1121250521164</v>
      </c>
      <c r="L380" s="74">
        <f>EFEITO!$N$380*EFEITO!$AA$380</f>
        <v>21604.235327038779</v>
      </c>
      <c r="M380" s="74">
        <f ca="1">$J$380-EFEITO!$K$380*EFEITO!$Y$380</f>
        <v>0</v>
      </c>
      <c r="N380" s="74">
        <f ca="1">$K$380-EFEITO!$M$380*EFEITO!$Z$380</f>
        <v>0</v>
      </c>
      <c r="O380" s="74">
        <f>$L$380-EFEITO!$O$380*EFEITO!$AA$380</f>
        <v>0</v>
      </c>
      <c r="P380" s="57"/>
      <c r="Q380" s="57"/>
      <c r="R380" s="57"/>
      <c r="S380" s="57"/>
      <c r="T380" s="57"/>
      <c r="U380" s="57"/>
      <c r="V380" s="57"/>
      <c r="W380" s="57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</row>
    <row r="381" spans="1:36" ht="11.25" customHeight="1" x14ac:dyDescent="0.2">
      <c r="A381" s="53" t="s">
        <v>21</v>
      </c>
      <c r="B381" s="53" t="s">
        <v>33</v>
      </c>
      <c r="C381" s="53" t="s">
        <v>41</v>
      </c>
      <c r="D381" s="53" t="s">
        <v>42</v>
      </c>
      <c r="E381" s="53" t="s">
        <v>25</v>
      </c>
      <c r="F381" s="53" t="s">
        <v>25</v>
      </c>
      <c r="G381" s="53" t="s">
        <v>25</v>
      </c>
      <c r="H381" s="53" t="s">
        <v>36</v>
      </c>
      <c r="I381" s="73">
        <v>43922</v>
      </c>
      <c r="J381" s="74">
        <f ca="1">EFEITO!$J$381*EFEITO!$Y$381</f>
        <v>500960.43688203674</v>
      </c>
      <c r="K381" s="74">
        <f ca="1">EFEITO!$L$381*EFEITO!$Z$381</f>
        <v>1334661.8681113853</v>
      </c>
      <c r="L381" s="74">
        <f>EFEITO!$N$381*EFEITO!$AA$381</f>
        <v>3520199.5334083037</v>
      </c>
      <c r="M381" s="74">
        <f ca="1">$J$381-EFEITO!$K$381*EFEITO!$Y$381</f>
        <v>0</v>
      </c>
      <c r="N381" s="74">
        <f ca="1">$K$381-EFEITO!$M$381*EFEITO!$Z$381</f>
        <v>0</v>
      </c>
      <c r="O381" s="74">
        <f>$L$381-EFEITO!$O$381*EFEITO!$AA$381</f>
        <v>0</v>
      </c>
      <c r="P381" s="57"/>
      <c r="Q381" s="57"/>
      <c r="R381" s="57"/>
      <c r="S381" s="57"/>
      <c r="T381" s="57"/>
      <c r="U381" s="57"/>
      <c r="V381" s="57"/>
      <c r="W381" s="57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</row>
    <row r="382" spans="1:36" ht="11.25" customHeight="1" x14ac:dyDescent="0.2">
      <c r="A382" s="53" t="s">
        <v>27</v>
      </c>
      <c r="B382" s="53" t="s">
        <v>33</v>
      </c>
      <c r="C382" s="53" t="s">
        <v>41</v>
      </c>
      <c r="D382" s="53" t="s">
        <v>42</v>
      </c>
      <c r="E382" s="53" t="s">
        <v>25</v>
      </c>
      <c r="F382" s="53" t="s">
        <v>25</v>
      </c>
      <c r="G382" s="53" t="s">
        <v>25</v>
      </c>
      <c r="H382" s="53" t="s">
        <v>36</v>
      </c>
      <c r="I382" s="73">
        <v>43922</v>
      </c>
      <c r="J382" s="74">
        <f ca="1">EFEITO!$J$382*EFEITO!$Y$382</f>
        <v>572.61783243265972</v>
      </c>
      <c r="K382" s="74">
        <f ca="1">EFEITO!$L$382*EFEITO!$Z$382</f>
        <v>581.12856344929105</v>
      </c>
      <c r="L382" s="74">
        <f>EFEITO!$N$382*EFEITO!$AA$382</f>
        <v>1532.7391504780053</v>
      </c>
      <c r="M382" s="74">
        <f ca="1">$J$382-EFEITO!$K$382*EFEITO!$Y$382</f>
        <v>0</v>
      </c>
      <c r="N382" s="74">
        <f ca="1">$K$382-EFEITO!$M$382*EFEITO!$Z$382</f>
        <v>0</v>
      </c>
      <c r="O382" s="74">
        <f>$L$382-EFEITO!$O$382*EFEITO!$AA$382</f>
        <v>0</v>
      </c>
      <c r="P382" s="57"/>
      <c r="Q382" s="57"/>
      <c r="R382" s="57"/>
      <c r="S382" s="57"/>
      <c r="T382" s="57"/>
      <c r="U382" s="57"/>
      <c r="V382" s="57"/>
      <c r="W382" s="57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</row>
    <row r="383" spans="1:36" ht="11.25" customHeight="1" x14ac:dyDescent="0.2">
      <c r="A383" s="53" t="s">
        <v>28</v>
      </c>
      <c r="B383" s="53" t="s">
        <v>33</v>
      </c>
      <c r="C383" s="53" t="s">
        <v>41</v>
      </c>
      <c r="D383" s="53" t="s">
        <v>42</v>
      </c>
      <c r="E383" s="53" t="s">
        <v>25</v>
      </c>
      <c r="F383" s="53" t="s">
        <v>25</v>
      </c>
      <c r="G383" s="53" t="s">
        <v>25</v>
      </c>
      <c r="H383" s="53" t="s">
        <v>36</v>
      </c>
      <c r="I383" s="73">
        <v>43922</v>
      </c>
      <c r="J383" s="74">
        <f ca="1">EFEITO!$J$383*EFEITO!$Y$383</f>
        <v>6298.7961567592574</v>
      </c>
      <c r="K383" s="74">
        <f ca="1">EFEITO!$L$383*EFEITO!$Z$383</f>
        <v>5094.1519825496143</v>
      </c>
      <c r="L383" s="74">
        <f>EFEITO!$N$383*EFEITO!$AA$383</f>
        <v>13435.935992879939</v>
      </c>
      <c r="M383" s="74">
        <f ca="1">$J$383-EFEITO!$K$383*EFEITO!$Y$383</f>
        <v>0</v>
      </c>
      <c r="N383" s="74">
        <f ca="1">$K$383-EFEITO!$M$383*EFEITO!$Z$383</f>
        <v>0</v>
      </c>
      <c r="O383" s="74">
        <f>$L$383-EFEITO!$O$383*EFEITO!$AA$383</f>
        <v>0</v>
      </c>
      <c r="P383" s="57"/>
      <c r="Q383" s="57"/>
      <c r="R383" s="57"/>
      <c r="S383" s="57"/>
      <c r="T383" s="57"/>
      <c r="U383" s="57"/>
      <c r="V383" s="57"/>
      <c r="W383" s="57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</row>
    <row r="384" spans="1:36" ht="11.25" customHeight="1" x14ac:dyDescent="0.2">
      <c r="A384" s="53" t="s">
        <v>21</v>
      </c>
      <c r="B384" s="53" t="s">
        <v>33</v>
      </c>
      <c r="C384" s="53" t="s">
        <v>41</v>
      </c>
      <c r="D384" s="53" t="s">
        <v>42</v>
      </c>
      <c r="E384" s="53" t="s">
        <v>25</v>
      </c>
      <c r="F384" s="53" t="s">
        <v>25</v>
      </c>
      <c r="G384" s="53" t="s">
        <v>25</v>
      </c>
      <c r="H384" s="53" t="s">
        <v>36</v>
      </c>
      <c r="I384" s="73">
        <v>43952</v>
      </c>
      <c r="J384" s="74">
        <f ca="1">EFEITO!$J$384*EFEITO!$Y$384</f>
        <v>480804.28918040707</v>
      </c>
      <c r="K384" s="74">
        <f ca="1">EFEITO!$L$384*EFEITO!$Z$384</f>
        <v>1175853.5223379703</v>
      </c>
      <c r="L384" s="74">
        <f>EFEITO!$N$384*EFEITO!$AA$384</f>
        <v>3101339.0878903796</v>
      </c>
      <c r="M384" s="74">
        <f ca="1">$J$384-EFEITO!$K$384*EFEITO!$Y$384</f>
        <v>0</v>
      </c>
      <c r="N384" s="74">
        <f ca="1">$K$384-EFEITO!$M$384*EFEITO!$Z$384</f>
        <v>0</v>
      </c>
      <c r="O384" s="74">
        <f>$L$384-EFEITO!$O$384*EFEITO!$AA$384</f>
        <v>0</v>
      </c>
      <c r="P384" s="57"/>
      <c r="Q384" s="57"/>
      <c r="R384" s="57"/>
      <c r="S384" s="57"/>
      <c r="T384" s="57"/>
      <c r="U384" s="57"/>
      <c r="V384" s="57"/>
      <c r="W384" s="57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</row>
    <row r="385" spans="1:36" ht="11.25" customHeight="1" x14ac:dyDescent="0.2">
      <c r="A385" s="53" t="s">
        <v>27</v>
      </c>
      <c r="B385" s="53" t="s">
        <v>33</v>
      </c>
      <c r="C385" s="53" t="s">
        <v>41</v>
      </c>
      <c r="D385" s="53" t="s">
        <v>42</v>
      </c>
      <c r="E385" s="53" t="s">
        <v>25</v>
      </c>
      <c r="F385" s="53" t="s">
        <v>25</v>
      </c>
      <c r="G385" s="53" t="s">
        <v>25</v>
      </c>
      <c r="H385" s="53" t="s">
        <v>36</v>
      </c>
      <c r="I385" s="73">
        <v>43952</v>
      </c>
      <c r="J385" s="74">
        <f ca="1">EFEITO!$J$385*EFEITO!$Y$385</f>
        <v>10776.667606382656</v>
      </c>
      <c r="K385" s="74">
        <f ca="1">EFEITO!$L$385*EFEITO!$Z$385</f>
        <v>27163.821969965924</v>
      </c>
      <c r="L385" s="74">
        <f>EFEITO!$N$385*EFEITO!$AA$385</f>
        <v>71645.167745423329</v>
      </c>
      <c r="M385" s="74">
        <f ca="1">$J$385-EFEITO!$K$385*EFEITO!$Y$385</f>
        <v>0</v>
      </c>
      <c r="N385" s="74">
        <f ca="1">$K$385-EFEITO!$M$385*EFEITO!$Z$385</f>
        <v>0</v>
      </c>
      <c r="O385" s="74">
        <f>$L$385-EFEITO!$O$385*EFEITO!$AA$385</f>
        <v>0</v>
      </c>
      <c r="P385" s="57"/>
      <c r="Q385" s="57"/>
      <c r="R385" s="57"/>
      <c r="S385" s="57"/>
      <c r="T385" s="57"/>
      <c r="U385" s="57"/>
      <c r="V385" s="57"/>
      <c r="W385" s="57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</row>
    <row r="386" spans="1:36" ht="11.25" customHeight="1" x14ac:dyDescent="0.2">
      <c r="A386" s="53" t="s">
        <v>28</v>
      </c>
      <c r="B386" s="53" t="s">
        <v>33</v>
      </c>
      <c r="C386" s="53" t="s">
        <v>41</v>
      </c>
      <c r="D386" s="53" t="s">
        <v>42</v>
      </c>
      <c r="E386" s="53" t="s">
        <v>25</v>
      </c>
      <c r="F386" s="53" t="s">
        <v>25</v>
      </c>
      <c r="G386" s="53" t="s">
        <v>25</v>
      </c>
      <c r="H386" s="53" t="s">
        <v>36</v>
      </c>
      <c r="I386" s="73">
        <v>43952</v>
      </c>
      <c r="J386" s="74">
        <f ca="1">EFEITO!$J$386*EFEITO!$Y$386</f>
        <v>6298.7961567592574</v>
      </c>
      <c r="K386" s="74">
        <f ca="1">EFEITO!$L$386*EFEITO!$Z$386</f>
        <v>3936.095785025364</v>
      </c>
      <c r="L386" s="74">
        <f>EFEITO!$N$386*EFEITO!$AA$386</f>
        <v>10381.537733975574</v>
      </c>
      <c r="M386" s="74">
        <f ca="1">$J$386-EFEITO!$K$386*EFEITO!$Y$386</f>
        <v>0</v>
      </c>
      <c r="N386" s="74">
        <f ca="1">$K$386-EFEITO!$M$386*EFEITO!$Z$386</f>
        <v>0</v>
      </c>
      <c r="O386" s="74">
        <f>$L$386-EFEITO!$O$386*EFEITO!$AA$386</f>
        <v>0</v>
      </c>
      <c r="P386" s="57"/>
      <c r="Q386" s="57"/>
      <c r="R386" s="57"/>
      <c r="S386" s="57"/>
      <c r="T386" s="57"/>
      <c r="U386" s="57"/>
      <c r="V386" s="57"/>
      <c r="W386" s="57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</row>
    <row r="387" spans="1:36" ht="11.25" customHeight="1" x14ac:dyDescent="0.2">
      <c r="A387" s="53" t="s">
        <v>21</v>
      </c>
      <c r="B387" s="53" t="s">
        <v>33</v>
      </c>
      <c r="C387" s="53" t="s">
        <v>41</v>
      </c>
      <c r="D387" s="53" t="s">
        <v>42</v>
      </c>
      <c r="E387" s="53" t="s">
        <v>25</v>
      </c>
      <c r="F387" s="53" t="s">
        <v>25</v>
      </c>
      <c r="G387" s="53" t="s">
        <v>25</v>
      </c>
      <c r="H387" s="53" t="s">
        <v>36</v>
      </c>
      <c r="I387" s="73">
        <v>43983</v>
      </c>
      <c r="J387" s="74">
        <f ca="1">EFEITO!$J$387*EFEITO!$Y$387</f>
        <v>475490.39569543203</v>
      </c>
      <c r="K387" s="74">
        <f ca="1">EFEITO!$L$387*EFEITO!$Z$387</f>
        <v>1170047.7504232815</v>
      </c>
      <c r="L387" s="74">
        <f>EFEITO!$N$387*EFEITO!$AA$387</f>
        <v>3086026.2389407926</v>
      </c>
      <c r="M387" s="74">
        <f ca="1">$J$387-EFEITO!$K$387*EFEITO!$Y$387</f>
        <v>0</v>
      </c>
      <c r="N387" s="74">
        <f ca="1">$K$387-EFEITO!$M$387*EFEITO!$Z$387</f>
        <v>0</v>
      </c>
      <c r="O387" s="74">
        <f>$L$387-EFEITO!$O$387*EFEITO!$AA$387</f>
        <v>0</v>
      </c>
      <c r="P387" s="57"/>
      <c r="Q387" s="57"/>
      <c r="R387" s="57"/>
      <c r="S387" s="57"/>
      <c r="T387" s="57"/>
      <c r="U387" s="57"/>
      <c r="V387" s="57"/>
      <c r="W387" s="57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</row>
    <row r="388" spans="1:36" ht="11.25" customHeight="1" x14ac:dyDescent="0.2">
      <c r="A388" s="53" t="s">
        <v>27</v>
      </c>
      <c r="B388" s="53" t="s">
        <v>33</v>
      </c>
      <c r="C388" s="53" t="s">
        <v>41</v>
      </c>
      <c r="D388" s="53" t="s">
        <v>42</v>
      </c>
      <c r="E388" s="53" t="s">
        <v>25</v>
      </c>
      <c r="F388" s="53" t="s">
        <v>25</v>
      </c>
      <c r="G388" s="53" t="s">
        <v>25</v>
      </c>
      <c r="H388" s="53" t="s">
        <v>36</v>
      </c>
      <c r="I388" s="73">
        <v>43983</v>
      </c>
      <c r="J388" s="74">
        <f ca="1">EFEITO!$J$388*EFEITO!$Y$388</f>
        <v>6424.7720798944429</v>
      </c>
      <c r="K388" s="74">
        <f ca="1">EFEITO!$L$388*EFEITO!$Z$388</f>
        <v>10973.177603203632</v>
      </c>
      <c r="L388" s="74">
        <f>EFEITO!$N$388*EFEITO!$AA$388</f>
        <v>28941.99317574282</v>
      </c>
      <c r="M388" s="74">
        <f ca="1">$J$388-EFEITO!$K$388*EFEITO!$Y$388</f>
        <v>0</v>
      </c>
      <c r="N388" s="74">
        <f ca="1">$K$388-EFEITO!$M$388*EFEITO!$Z$388</f>
        <v>0</v>
      </c>
      <c r="O388" s="74">
        <f>$L$388-EFEITO!$O$388*EFEITO!$AA$388</f>
        <v>0</v>
      </c>
      <c r="P388" s="57"/>
      <c r="Q388" s="57"/>
      <c r="R388" s="57"/>
      <c r="S388" s="57"/>
      <c r="T388" s="57"/>
      <c r="U388" s="57"/>
      <c r="V388" s="57"/>
      <c r="W388" s="57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</row>
    <row r="389" spans="1:36" ht="11.25" customHeight="1" x14ac:dyDescent="0.2">
      <c r="A389" s="53" t="s">
        <v>28</v>
      </c>
      <c r="B389" s="53" t="s">
        <v>33</v>
      </c>
      <c r="C389" s="53" t="s">
        <v>41</v>
      </c>
      <c r="D389" s="53" t="s">
        <v>42</v>
      </c>
      <c r="E389" s="53" t="s">
        <v>25</v>
      </c>
      <c r="F389" s="53" t="s">
        <v>25</v>
      </c>
      <c r="G389" s="53" t="s">
        <v>25</v>
      </c>
      <c r="H389" s="53" t="s">
        <v>36</v>
      </c>
      <c r="I389" s="73">
        <v>43983</v>
      </c>
      <c r="J389" s="74">
        <f ca="1">EFEITO!$J$389*EFEITO!$Y$389</f>
        <v>6298.7961567592574</v>
      </c>
      <c r="K389" s="74">
        <f ca="1">EFEITO!$L$389*EFEITO!$Z$389</f>
        <v>3622.2513530179608</v>
      </c>
      <c r="L389" s="74">
        <f>EFEITO!$N$389*EFEITO!$AA$389</f>
        <v>9553.7662590336877</v>
      </c>
      <c r="M389" s="74">
        <f ca="1">$J$389-EFEITO!$K$389*EFEITO!$Y$389</f>
        <v>0</v>
      </c>
      <c r="N389" s="74">
        <f ca="1">$K$389-EFEITO!$M$389*EFEITO!$Z$389</f>
        <v>0</v>
      </c>
      <c r="O389" s="74">
        <f>$L$389-EFEITO!$O$389*EFEITO!$AA$389</f>
        <v>0</v>
      </c>
      <c r="P389" s="57"/>
      <c r="Q389" s="57"/>
      <c r="R389" s="57"/>
      <c r="S389" s="57"/>
      <c r="T389" s="57"/>
      <c r="U389" s="57"/>
      <c r="V389" s="57"/>
      <c r="W389" s="57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</row>
    <row r="390" spans="1:36" ht="11.25" customHeight="1" x14ac:dyDescent="0.2">
      <c r="A390" s="53" t="s">
        <v>21</v>
      </c>
      <c r="B390" s="53" t="s">
        <v>33</v>
      </c>
      <c r="C390" s="53" t="s">
        <v>41</v>
      </c>
      <c r="D390" s="53" t="s">
        <v>42</v>
      </c>
      <c r="E390" s="53" t="s">
        <v>25</v>
      </c>
      <c r="F390" s="53" t="s">
        <v>25</v>
      </c>
      <c r="G390" s="53" t="s">
        <v>25</v>
      </c>
      <c r="H390" s="53" t="s">
        <v>36</v>
      </c>
      <c r="I390" s="73">
        <v>44013</v>
      </c>
      <c r="J390" s="74">
        <f ca="1">EFEITO!$J$390*EFEITO!$Y$390</f>
        <v>486816.77642095002</v>
      </c>
      <c r="K390" s="74">
        <f ca="1">EFEITO!$L$390*EFEITO!$Z$390</f>
        <v>1136664.5400339784</v>
      </c>
      <c r="L390" s="74">
        <f>EFEITO!$N$390*EFEITO!$AA$390</f>
        <v>2997977.2997721131</v>
      </c>
      <c r="M390" s="74">
        <f ca="1">$J$390-EFEITO!$K$390*EFEITO!$Y$390</f>
        <v>0</v>
      </c>
      <c r="N390" s="74">
        <f ca="1">$K$390-EFEITO!$M$390*EFEITO!$Z$390</f>
        <v>0</v>
      </c>
      <c r="O390" s="74">
        <f>$L$390-EFEITO!$O$390*EFEITO!$AA$390</f>
        <v>0</v>
      </c>
      <c r="P390" s="57"/>
      <c r="Q390" s="57"/>
      <c r="R390" s="57"/>
      <c r="S390" s="57"/>
      <c r="T390" s="57"/>
      <c r="U390" s="57"/>
      <c r="V390" s="57"/>
      <c r="W390" s="57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</row>
    <row r="391" spans="1:36" ht="11.25" customHeight="1" x14ac:dyDescent="0.2">
      <c r="A391" s="53" t="s">
        <v>28</v>
      </c>
      <c r="B391" s="53" t="s">
        <v>33</v>
      </c>
      <c r="C391" s="53" t="s">
        <v>41</v>
      </c>
      <c r="D391" s="53" t="s">
        <v>42</v>
      </c>
      <c r="E391" s="53" t="s">
        <v>25</v>
      </c>
      <c r="F391" s="53" t="s">
        <v>25</v>
      </c>
      <c r="G391" s="53" t="s">
        <v>25</v>
      </c>
      <c r="H391" s="53" t="s">
        <v>36</v>
      </c>
      <c r="I391" s="73">
        <v>44013</v>
      </c>
      <c r="J391" s="74">
        <f ca="1">EFEITO!$J$391*EFEITO!$Y$391</f>
        <v>6298.7961567592574</v>
      </c>
      <c r="K391" s="74">
        <f ca="1">EFEITO!$L$391*EFEITO!$Z$391</f>
        <v>3245.4804997575393</v>
      </c>
      <c r="L391" s="74">
        <f>EFEITO!$N$391*EFEITO!$AA$391</f>
        <v>8560.0249875264872</v>
      </c>
      <c r="M391" s="74">
        <f ca="1">$J$391-EFEITO!$K$391*EFEITO!$Y$391</f>
        <v>0</v>
      </c>
      <c r="N391" s="74">
        <f ca="1">$K$391-EFEITO!$M$391*EFEITO!$Z$391</f>
        <v>0</v>
      </c>
      <c r="O391" s="74">
        <f>$L$391-EFEITO!$O$391*EFEITO!$AA$391</f>
        <v>0</v>
      </c>
      <c r="P391" s="57"/>
      <c r="Q391" s="57"/>
      <c r="R391" s="57"/>
      <c r="S391" s="57"/>
      <c r="T391" s="57"/>
      <c r="U391" s="57"/>
      <c r="V391" s="57"/>
      <c r="W391" s="57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</row>
    <row r="392" spans="1:36" ht="11.25" customHeight="1" x14ac:dyDescent="0.2">
      <c r="A392" s="53" t="s">
        <v>21</v>
      </c>
      <c r="B392" s="53" t="s">
        <v>33</v>
      </c>
      <c r="C392" s="53" t="s">
        <v>41</v>
      </c>
      <c r="D392" s="53" t="s">
        <v>42</v>
      </c>
      <c r="E392" s="53" t="s">
        <v>25</v>
      </c>
      <c r="F392" s="53" t="s">
        <v>25</v>
      </c>
      <c r="G392" s="53" t="s">
        <v>25</v>
      </c>
      <c r="H392" s="53" t="s">
        <v>36</v>
      </c>
      <c r="I392" s="73">
        <v>44044</v>
      </c>
      <c r="J392" s="74">
        <f ca="1">EFEITO!$J$392*EFEITO!$Y$392</f>
        <v>486072.37323878758</v>
      </c>
      <c r="K392" s="74">
        <f ca="1">EFEITO!$L$392*EFEITO!$Z$392</f>
        <v>1159352.3592749555</v>
      </c>
      <c r="L392" s="74">
        <f>EFEITO!$N$392*EFEITO!$AA$392</f>
        <v>3057816.9135457147</v>
      </c>
      <c r="M392" s="74">
        <f ca="1">$J$392-EFEITO!$K$392*EFEITO!$Y$392</f>
        <v>0</v>
      </c>
      <c r="N392" s="74">
        <f ca="1">$K$392-EFEITO!$M$392*EFEITO!$Z$392</f>
        <v>0</v>
      </c>
      <c r="O392" s="74">
        <f>$L$392-EFEITO!$O$392*EFEITO!$AA$392</f>
        <v>0</v>
      </c>
      <c r="P392" s="57"/>
      <c r="Q392" s="57"/>
      <c r="R392" s="57"/>
      <c r="S392" s="57"/>
      <c r="T392" s="57"/>
      <c r="U392" s="57"/>
      <c r="V392" s="57"/>
      <c r="W392" s="57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</row>
    <row r="393" spans="1:36" ht="11.25" customHeight="1" x14ac:dyDescent="0.2">
      <c r="A393" s="53" t="s">
        <v>28</v>
      </c>
      <c r="B393" s="53" t="s">
        <v>33</v>
      </c>
      <c r="C393" s="53" t="s">
        <v>41</v>
      </c>
      <c r="D393" s="53" t="s">
        <v>42</v>
      </c>
      <c r="E393" s="53" t="s">
        <v>25</v>
      </c>
      <c r="F393" s="53" t="s">
        <v>25</v>
      </c>
      <c r="G393" s="53" t="s">
        <v>25</v>
      </c>
      <c r="H393" s="53" t="s">
        <v>36</v>
      </c>
      <c r="I393" s="73">
        <v>44044</v>
      </c>
      <c r="J393" s="74">
        <f ca="1">EFEITO!$J$393*EFEITO!$Y$393</f>
        <v>6298.7961567592574</v>
      </c>
      <c r="K393" s="74">
        <f ca="1">EFEITO!$L$393*EFEITO!$Z$393</f>
        <v>3558.9748543170817</v>
      </c>
      <c r="L393" s="74">
        <f>EFEITO!$N$393*EFEITO!$AA$393</f>
        <v>9386.8731256307365</v>
      </c>
      <c r="M393" s="74">
        <f ca="1">$J$393-EFEITO!$K$393*EFEITO!$Y$393</f>
        <v>0</v>
      </c>
      <c r="N393" s="74">
        <f ca="1">$K$393-EFEITO!$M$393*EFEITO!$Z$393</f>
        <v>0</v>
      </c>
      <c r="O393" s="74">
        <f>$L$393-EFEITO!$O$393*EFEITO!$AA$393</f>
        <v>0</v>
      </c>
      <c r="P393" s="57"/>
      <c r="Q393" s="57"/>
      <c r="R393" s="57"/>
      <c r="S393" s="57"/>
      <c r="T393" s="57"/>
      <c r="U393" s="57"/>
      <c r="V393" s="57"/>
      <c r="W393" s="57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</row>
    <row r="394" spans="1:36" ht="11.25" customHeight="1" x14ac:dyDescent="0.2">
      <c r="A394" s="53" t="s">
        <v>59</v>
      </c>
      <c r="B394" s="53" t="s">
        <v>33</v>
      </c>
      <c r="C394" s="53" t="s">
        <v>41</v>
      </c>
      <c r="D394" s="53" t="s">
        <v>42</v>
      </c>
      <c r="E394" s="53" t="s">
        <v>25</v>
      </c>
      <c r="F394" s="53" t="s">
        <v>25</v>
      </c>
      <c r="G394" s="53" t="s">
        <v>25</v>
      </c>
      <c r="H394" s="53" t="s">
        <v>36</v>
      </c>
      <c r="I394" s="73">
        <v>44075</v>
      </c>
      <c r="J394" s="74">
        <f ca="1">EFEITO!$J$394*EFEITO!$Y$394</f>
        <v>486072.37323878758</v>
      </c>
      <c r="K394" s="74">
        <f ca="1">EFEITO!$L$394*EFEITO!$Z$394</f>
        <v>1159352.3592749555</v>
      </c>
      <c r="L394" s="74">
        <f>EFEITO!$N$394*EFEITO!$AA$394</f>
        <v>3057816.9135457147</v>
      </c>
      <c r="M394" s="74">
        <f ca="1">$J$394-EFEITO!$K$394*EFEITO!$Y$394</f>
        <v>0</v>
      </c>
      <c r="N394" s="74">
        <f ca="1">$K$394-EFEITO!$M$394*EFEITO!$Z$394</f>
        <v>0</v>
      </c>
      <c r="O394" s="74">
        <f>$L$394-EFEITO!$O$394*EFEITO!$AA$394</f>
        <v>0</v>
      </c>
      <c r="P394" s="57"/>
      <c r="Q394" s="57"/>
      <c r="R394" s="57"/>
      <c r="S394" s="57"/>
      <c r="T394" s="57"/>
      <c r="U394" s="57"/>
      <c r="V394" s="57"/>
      <c r="W394" s="57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</row>
    <row r="395" spans="1:36" ht="11.25" customHeight="1" x14ac:dyDescent="0.2">
      <c r="A395" s="53" t="s">
        <v>59</v>
      </c>
      <c r="B395" s="53" t="s">
        <v>33</v>
      </c>
      <c r="C395" s="53" t="s">
        <v>41</v>
      </c>
      <c r="D395" s="53" t="s">
        <v>42</v>
      </c>
      <c r="E395" s="53" t="s">
        <v>25</v>
      </c>
      <c r="F395" s="53" t="s">
        <v>25</v>
      </c>
      <c r="G395" s="53" t="s">
        <v>25</v>
      </c>
      <c r="H395" s="53" t="s">
        <v>36</v>
      </c>
      <c r="I395" s="73">
        <v>44075</v>
      </c>
      <c r="J395" s="74">
        <f ca="1">EFEITO!$J$395*EFEITO!$Y$395</f>
        <v>6298.7961567592574</v>
      </c>
      <c r="K395" s="74">
        <f ca="1">EFEITO!$L$395*EFEITO!$Z$395</f>
        <v>3558.9748543170817</v>
      </c>
      <c r="L395" s="74">
        <f>EFEITO!$N$395*EFEITO!$AA$395</f>
        <v>9386.8731256307365</v>
      </c>
      <c r="M395" s="74">
        <f ca="1">$J$395-EFEITO!$K$395*EFEITO!$Y$395</f>
        <v>0</v>
      </c>
      <c r="N395" s="74">
        <f ca="1">$K$395-EFEITO!$M$395*EFEITO!$Z$395</f>
        <v>0</v>
      </c>
      <c r="O395" s="74">
        <f>$L$395-EFEITO!$O$395*EFEITO!$AA$395</f>
        <v>0</v>
      </c>
      <c r="P395" s="57"/>
      <c r="Q395" s="57"/>
      <c r="R395" s="57"/>
      <c r="S395" s="57"/>
      <c r="T395" s="57"/>
      <c r="U395" s="57"/>
      <c r="V395" s="57"/>
      <c r="W395" s="57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</row>
    <row r="396" spans="1:36" ht="11.25" customHeight="1" x14ac:dyDescent="0.2">
      <c r="A396" s="53" t="s">
        <v>21</v>
      </c>
      <c r="B396" s="53" t="s">
        <v>33</v>
      </c>
      <c r="C396" s="53" t="s">
        <v>41</v>
      </c>
      <c r="D396" s="53" t="s">
        <v>42</v>
      </c>
      <c r="E396" s="53" t="s">
        <v>25</v>
      </c>
      <c r="F396" s="53" t="s">
        <v>25</v>
      </c>
      <c r="G396" s="53" t="s">
        <v>25</v>
      </c>
      <c r="H396" s="53" t="s">
        <v>35</v>
      </c>
      <c r="I396" s="73">
        <v>43739</v>
      </c>
      <c r="J396" s="74">
        <f ca="1">EFEITO!$J$396*EFEITO!$Y$396</f>
        <v>1123379.3052260033</v>
      </c>
      <c r="K396" s="74">
        <f ca="1">EFEITO!$L$396*EFEITO!$Z$396</f>
        <v>141937.50092545862</v>
      </c>
      <c r="L396" s="74">
        <f>EFEITO!$N$396*EFEITO!$AA$396</f>
        <v>609290.95452894608</v>
      </c>
      <c r="M396" s="74">
        <f ca="1">$J$396-EFEITO!$K$396*EFEITO!$Y$396</f>
        <v>0</v>
      </c>
      <c r="N396" s="74">
        <f ca="1">$K$396-EFEITO!$M$396*EFEITO!$Z$396</f>
        <v>0</v>
      </c>
      <c r="O396" s="74">
        <f>$L$396-EFEITO!$O$396*EFEITO!$AA$396</f>
        <v>0</v>
      </c>
      <c r="P396" s="57"/>
      <c r="Q396" s="57"/>
      <c r="R396" s="57"/>
      <c r="S396" s="57"/>
      <c r="T396" s="57"/>
      <c r="U396" s="57"/>
      <c r="V396" s="57"/>
      <c r="W396" s="57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</row>
    <row r="397" spans="1:36" ht="11.25" customHeight="1" x14ac:dyDescent="0.2">
      <c r="A397" s="53" t="s">
        <v>27</v>
      </c>
      <c r="B397" s="53" t="s">
        <v>33</v>
      </c>
      <c r="C397" s="53" t="s">
        <v>41</v>
      </c>
      <c r="D397" s="53" t="s">
        <v>42</v>
      </c>
      <c r="E397" s="53" t="s">
        <v>25</v>
      </c>
      <c r="F397" s="53" t="s">
        <v>25</v>
      </c>
      <c r="G397" s="53" t="s">
        <v>25</v>
      </c>
      <c r="H397" s="53" t="s">
        <v>35</v>
      </c>
      <c r="I397" s="73">
        <v>43739</v>
      </c>
      <c r="J397" s="74">
        <f ca="1">EFEITO!$J$397*EFEITO!$Y$397</f>
        <v>2422.249204504174</v>
      </c>
      <c r="K397" s="74">
        <f ca="1">EFEITO!$L$397*EFEITO!$Z$397</f>
        <v>0</v>
      </c>
      <c r="L397" s="74">
        <f>EFEITO!$N$397*EFEITO!$AA$397</f>
        <v>0</v>
      </c>
      <c r="M397" s="74">
        <f ca="1">$J$397-EFEITO!$K$397*EFEITO!$Y$397</f>
        <v>0</v>
      </c>
      <c r="N397" s="74">
        <f ca="1">$K$397-EFEITO!$M$397*EFEITO!$Z$397</f>
        <v>0</v>
      </c>
      <c r="O397" s="74">
        <f>$L$397-EFEITO!$O$397*EFEITO!$AA$397</f>
        <v>0</v>
      </c>
      <c r="P397" s="57"/>
      <c r="Q397" s="57"/>
      <c r="R397" s="57"/>
      <c r="S397" s="57"/>
      <c r="T397" s="57"/>
      <c r="U397" s="57"/>
      <c r="V397" s="57"/>
      <c r="W397" s="57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</row>
    <row r="398" spans="1:36" ht="11.25" customHeight="1" x14ac:dyDescent="0.2">
      <c r="A398" s="53" t="s">
        <v>28</v>
      </c>
      <c r="B398" s="53" t="s">
        <v>33</v>
      </c>
      <c r="C398" s="53" t="s">
        <v>41</v>
      </c>
      <c r="D398" s="53" t="s">
        <v>42</v>
      </c>
      <c r="E398" s="53" t="s">
        <v>25</v>
      </c>
      <c r="F398" s="53" t="s">
        <v>25</v>
      </c>
      <c r="G398" s="53" t="s">
        <v>25</v>
      </c>
      <c r="H398" s="53" t="s">
        <v>35</v>
      </c>
      <c r="I398" s="73">
        <v>43739</v>
      </c>
      <c r="J398" s="74">
        <f ca="1">EFEITO!$J$398*EFEITO!$Y$398</f>
        <v>14968.955758171862</v>
      </c>
      <c r="K398" s="74">
        <f ca="1">EFEITO!$L$398*EFEITO!$Z$398</f>
        <v>0</v>
      </c>
      <c r="L398" s="74">
        <f>EFEITO!$N$398*EFEITO!$AA$398</f>
        <v>0</v>
      </c>
      <c r="M398" s="74">
        <f ca="1">$J$398-EFEITO!$K$398*EFEITO!$Y$398</f>
        <v>0</v>
      </c>
      <c r="N398" s="74">
        <f ca="1">$K$398-EFEITO!$M$398*EFEITO!$Z$398</f>
        <v>0</v>
      </c>
      <c r="O398" s="74">
        <f>$L$398-EFEITO!$O$398*EFEITO!$AA$398</f>
        <v>0</v>
      </c>
      <c r="P398" s="57"/>
      <c r="Q398" s="57"/>
      <c r="R398" s="57"/>
      <c r="S398" s="57"/>
      <c r="T398" s="57"/>
      <c r="U398" s="57"/>
      <c r="V398" s="57"/>
      <c r="W398" s="57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</row>
    <row r="399" spans="1:36" ht="11.25" customHeight="1" x14ac:dyDescent="0.2">
      <c r="A399" s="53" t="s">
        <v>21</v>
      </c>
      <c r="B399" s="53" t="s">
        <v>33</v>
      </c>
      <c r="C399" s="53" t="s">
        <v>41</v>
      </c>
      <c r="D399" s="53" t="s">
        <v>42</v>
      </c>
      <c r="E399" s="53" t="s">
        <v>25</v>
      </c>
      <c r="F399" s="53" t="s">
        <v>25</v>
      </c>
      <c r="G399" s="53" t="s">
        <v>25</v>
      </c>
      <c r="H399" s="53" t="s">
        <v>35</v>
      </c>
      <c r="I399" s="73">
        <v>43770</v>
      </c>
      <c r="J399" s="74">
        <f ca="1">EFEITO!$J$399*EFEITO!$Y$399</f>
        <v>1139654.6425776156</v>
      </c>
      <c r="K399" s="74">
        <f ca="1">EFEITO!$L$399*EFEITO!$Z$399</f>
        <v>153431.6812904414</v>
      </c>
      <c r="L399" s="74">
        <f>EFEITO!$N$399*EFEITO!$AA$399</f>
        <v>658631.68605123879</v>
      </c>
      <c r="M399" s="74">
        <f ca="1">$J$399-EFEITO!$K$399*EFEITO!$Y$399</f>
        <v>0</v>
      </c>
      <c r="N399" s="74">
        <f ca="1">$K$399-EFEITO!$M$399*EFEITO!$Z$399</f>
        <v>0</v>
      </c>
      <c r="O399" s="74">
        <f>$L$399-EFEITO!$O$399*EFEITO!$AA$399</f>
        <v>0</v>
      </c>
      <c r="P399" s="57"/>
      <c r="Q399" s="57"/>
      <c r="R399" s="57"/>
      <c r="S399" s="57"/>
      <c r="T399" s="57"/>
      <c r="U399" s="57"/>
      <c r="V399" s="57"/>
      <c r="W399" s="57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</row>
    <row r="400" spans="1:36" ht="11.25" customHeight="1" x14ac:dyDescent="0.2">
      <c r="A400" s="53" t="s">
        <v>27</v>
      </c>
      <c r="B400" s="53" t="s">
        <v>33</v>
      </c>
      <c r="C400" s="53" t="s">
        <v>41</v>
      </c>
      <c r="D400" s="53" t="s">
        <v>42</v>
      </c>
      <c r="E400" s="53" t="s">
        <v>25</v>
      </c>
      <c r="F400" s="53" t="s">
        <v>25</v>
      </c>
      <c r="G400" s="53" t="s">
        <v>25</v>
      </c>
      <c r="H400" s="53" t="s">
        <v>35</v>
      </c>
      <c r="I400" s="73">
        <v>43770</v>
      </c>
      <c r="J400" s="74">
        <f ca="1">EFEITO!$J$400*EFEITO!$Y$400</f>
        <v>2041.2212397507085</v>
      </c>
      <c r="K400" s="74">
        <f ca="1">EFEITO!$L$400*EFEITO!$Z$400</f>
        <v>222.47421811567739</v>
      </c>
      <c r="L400" s="74">
        <f>EFEITO!$N$400*EFEITO!$AA$400</f>
        <v>955.00856243037344</v>
      </c>
      <c r="M400" s="74">
        <f ca="1">$J$400-EFEITO!$K$400*EFEITO!$Y$400</f>
        <v>0</v>
      </c>
      <c r="N400" s="74">
        <f ca="1">$K$400-EFEITO!$M$400*EFEITO!$Z$400</f>
        <v>0</v>
      </c>
      <c r="O400" s="74">
        <f>$L$400-EFEITO!$O$400*EFEITO!$AA$400</f>
        <v>0</v>
      </c>
      <c r="P400" s="57"/>
      <c r="Q400" s="57"/>
      <c r="R400" s="57"/>
      <c r="S400" s="57"/>
      <c r="T400" s="57"/>
      <c r="U400" s="57"/>
      <c r="V400" s="57"/>
      <c r="W400" s="57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</row>
    <row r="401" spans="1:36" ht="11.25" customHeight="1" x14ac:dyDescent="0.2">
      <c r="A401" s="53" t="s">
        <v>28</v>
      </c>
      <c r="B401" s="53" t="s">
        <v>33</v>
      </c>
      <c r="C401" s="53" t="s">
        <v>41</v>
      </c>
      <c r="D401" s="53" t="s">
        <v>42</v>
      </c>
      <c r="E401" s="53" t="s">
        <v>25</v>
      </c>
      <c r="F401" s="53" t="s">
        <v>25</v>
      </c>
      <c r="G401" s="53" t="s">
        <v>25</v>
      </c>
      <c r="H401" s="53" t="s">
        <v>35</v>
      </c>
      <c r="I401" s="73">
        <v>43770</v>
      </c>
      <c r="J401" s="74">
        <f ca="1">EFEITO!$J$401*EFEITO!$Y$401</f>
        <v>14968.955758171862</v>
      </c>
      <c r="K401" s="74">
        <f ca="1">EFEITO!$L$401*EFEITO!$Z$401</f>
        <v>2615.2535742457408</v>
      </c>
      <c r="L401" s="74">
        <f>EFEITO!$N$401*EFEITO!$AA$401</f>
        <v>11226.422447893165</v>
      </c>
      <c r="M401" s="74">
        <f ca="1">$J$401-EFEITO!$K$401*EFEITO!$Y$401</f>
        <v>0</v>
      </c>
      <c r="N401" s="74">
        <f ca="1">$K$401-EFEITO!$M$401*EFEITO!$Z$401</f>
        <v>0</v>
      </c>
      <c r="O401" s="74">
        <f>$L$401-EFEITO!$O$401*EFEITO!$AA$401</f>
        <v>0</v>
      </c>
      <c r="P401" s="57"/>
      <c r="Q401" s="57"/>
      <c r="R401" s="57"/>
      <c r="S401" s="57"/>
      <c r="T401" s="57"/>
      <c r="U401" s="57"/>
      <c r="V401" s="57"/>
      <c r="W401" s="57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</row>
    <row r="402" spans="1:36" ht="11.25" customHeight="1" x14ac:dyDescent="0.2">
      <c r="A402" s="53" t="s">
        <v>21</v>
      </c>
      <c r="B402" s="53" t="s">
        <v>33</v>
      </c>
      <c r="C402" s="53" t="s">
        <v>41</v>
      </c>
      <c r="D402" s="53" t="s">
        <v>42</v>
      </c>
      <c r="E402" s="53" t="s">
        <v>25</v>
      </c>
      <c r="F402" s="53" t="s">
        <v>25</v>
      </c>
      <c r="G402" s="53" t="s">
        <v>25</v>
      </c>
      <c r="H402" s="53" t="s">
        <v>35</v>
      </c>
      <c r="I402" s="73">
        <v>43800</v>
      </c>
      <c r="J402" s="74">
        <f ca="1">EFEITO!$J$402*EFEITO!$Y$402</f>
        <v>1119378.5115960918</v>
      </c>
      <c r="K402" s="74">
        <f ca="1">EFEITO!$L$402*EFEITO!$Z$402</f>
        <v>138233.33144964118</v>
      </c>
      <c r="L402" s="74">
        <f>EFEITO!$N$402*EFEITO!$AA$402</f>
        <v>593390.17467202118</v>
      </c>
      <c r="M402" s="74">
        <f ca="1">$J$402-EFEITO!$K$402*EFEITO!$Y$402</f>
        <v>0</v>
      </c>
      <c r="N402" s="74">
        <f ca="1">$K$402-EFEITO!$M$402*EFEITO!$Z$402</f>
        <v>0</v>
      </c>
      <c r="O402" s="74">
        <f>$L$402-EFEITO!$O$402*EFEITO!$AA$402</f>
        <v>0</v>
      </c>
      <c r="P402" s="57"/>
      <c r="Q402" s="57"/>
      <c r="R402" s="57"/>
      <c r="S402" s="57"/>
      <c r="T402" s="57"/>
      <c r="U402" s="57"/>
      <c r="V402" s="57"/>
      <c r="W402" s="57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</row>
    <row r="403" spans="1:36" ht="11.25" customHeight="1" x14ac:dyDescent="0.2">
      <c r="A403" s="53" t="s">
        <v>28</v>
      </c>
      <c r="B403" s="53" t="s">
        <v>33</v>
      </c>
      <c r="C403" s="53" t="s">
        <v>41</v>
      </c>
      <c r="D403" s="53" t="s">
        <v>42</v>
      </c>
      <c r="E403" s="53" t="s">
        <v>25</v>
      </c>
      <c r="F403" s="53" t="s">
        <v>25</v>
      </c>
      <c r="G403" s="53" t="s">
        <v>25</v>
      </c>
      <c r="H403" s="53" t="s">
        <v>35</v>
      </c>
      <c r="I403" s="73">
        <v>43800</v>
      </c>
      <c r="J403" s="74">
        <f ca="1">EFEITO!$J$403*EFEITO!$Y$403</f>
        <v>14968.955758171862</v>
      </c>
      <c r="K403" s="74">
        <f ca="1">EFEITO!$L$403*EFEITO!$Z$403</f>
        <v>2325.1268893309211</v>
      </c>
      <c r="L403" s="74">
        <f>EFEITO!$N$403*EFEITO!$AA$403</f>
        <v>9981.0041219857339</v>
      </c>
      <c r="M403" s="74">
        <f ca="1">$J$403-EFEITO!$K$403*EFEITO!$Y$403</f>
        <v>0</v>
      </c>
      <c r="N403" s="74">
        <f ca="1">$K$403-EFEITO!$M$403*EFEITO!$Z$403</f>
        <v>0</v>
      </c>
      <c r="O403" s="74">
        <f>$L$403-EFEITO!$O$403*EFEITO!$AA$403</f>
        <v>0</v>
      </c>
      <c r="P403" s="57"/>
      <c r="Q403" s="57"/>
      <c r="R403" s="57"/>
      <c r="S403" s="57"/>
      <c r="T403" s="57"/>
      <c r="U403" s="57"/>
      <c r="V403" s="57"/>
      <c r="W403" s="57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</row>
    <row r="404" spans="1:36" ht="11.25" customHeight="1" x14ac:dyDescent="0.2">
      <c r="A404" s="53" t="s">
        <v>21</v>
      </c>
      <c r="B404" s="53" t="s">
        <v>33</v>
      </c>
      <c r="C404" s="53" t="s">
        <v>41</v>
      </c>
      <c r="D404" s="53" t="s">
        <v>42</v>
      </c>
      <c r="E404" s="53" t="s">
        <v>25</v>
      </c>
      <c r="F404" s="53" t="s">
        <v>25</v>
      </c>
      <c r="G404" s="53" t="s">
        <v>25</v>
      </c>
      <c r="H404" s="53" t="s">
        <v>35</v>
      </c>
      <c r="I404" s="73">
        <v>43831</v>
      </c>
      <c r="J404" s="74">
        <f ca="1">EFEITO!$J$404*EFEITO!$Y$404</f>
        <v>1106777.3724760308</v>
      </c>
      <c r="K404" s="74">
        <f ca="1">EFEITO!$L$404*EFEITO!$Z$404</f>
        <v>133963.78689552817</v>
      </c>
      <c r="L404" s="74">
        <f>EFEITO!$N$404*EFEITO!$AA$404</f>
        <v>575062.42576973815</v>
      </c>
      <c r="M404" s="74">
        <f ca="1">$J$404-EFEITO!$K$404*EFEITO!$Y$404</f>
        <v>0</v>
      </c>
      <c r="N404" s="74">
        <f ca="1">$K$404-EFEITO!$M$404*EFEITO!$Z$404</f>
        <v>0</v>
      </c>
      <c r="O404" s="74">
        <f>$L$404-EFEITO!$O$404*EFEITO!$AA$404</f>
        <v>0</v>
      </c>
      <c r="P404" s="57"/>
      <c r="Q404" s="57"/>
      <c r="R404" s="57"/>
      <c r="S404" s="57"/>
      <c r="T404" s="57"/>
      <c r="U404" s="57"/>
      <c r="V404" s="57"/>
      <c r="W404" s="57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</row>
    <row r="405" spans="1:36" ht="11.25" customHeight="1" x14ac:dyDescent="0.2">
      <c r="A405" s="53" t="s">
        <v>27</v>
      </c>
      <c r="B405" s="53" t="s">
        <v>33</v>
      </c>
      <c r="C405" s="53" t="s">
        <v>41</v>
      </c>
      <c r="D405" s="53" t="s">
        <v>42</v>
      </c>
      <c r="E405" s="53" t="s">
        <v>25</v>
      </c>
      <c r="F405" s="53" t="s">
        <v>25</v>
      </c>
      <c r="G405" s="53" t="s">
        <v>25</v>
      </c>
      <c r="H405" s="53" t="s">
        <v>35</v>
      </c>
      <c r="I405" s="73">
        <v>43831</v>
      </c>
      <c r="J405" s="74">
        <f ca="1">EFEITO!$J$405*EFEITO!$Y$405</f>
        <v>7321.180179905874</v>
      </c>
      <c r="K405" s="74">
        <f ca="1">EFEITO!$L$405*EFEITO!$Z$405</f>
        <v>1200.5030880773986</v>
      </c>
      <c r="L405" s="74">
        <f>EFEITO!$N$405*EFEITO!$AA$405</f>
        <v>5153.3644574576847</v>
      </c>
      <c r="M405" s="74">
        <f ca="1">$J$405-EFEITO!$K$405*EFEITO!$Y$405</f>
        <v>0</v>
      </c>
      <c r="N405" s="74">
        <f ca="1">$K$405-EFEITO!$M$405*EFEITO!$Z$405</f>
        <v>0</v>
      </c>
      <c r="O405" s="74">
        <f>$L$405-EFEITO!$O$405*EFEITO!$AA$405</f>
        <v>0</v>
      </c>
      <c r="P405" s="57"/>
      <c r="Q405" s="57"/>
      <c r="R405" s="57"/>
      <c r="S405" s="57"/>
      <c r="T405" s="57"/>
      <c r="U405" s="57"/>
      <c r="V405" s="57"/>
      <c r="W405" s="57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</row>
    <row r="406" spans="1:36" ht="11.25" customHeight="1" x14ac:dyDescent="0.2">
      <c r="A406" s="53" t="s">
        <v>28</v>
      </c>
      <c r="B406" s="53" t="s">
        <v>33</v>
      </c>
      <c r="C406" s="53" t="s">
        <v>41</v>
      </c>
      <c r="D406" s="53" t="s">
        <v>42</v>
      </c>
      <c r="E406" s="53" t="s">
        <v>25</v>
      </c>
      <c r="F406" s="53" t="s">
        <v>25</v>
      </c>
      <c r="G406" s="53" t="s">
        <v>25</v>
      </c>
      <c r="H406" s="53" t="s">
        <v>35</v>
      </c>
      <c r="I406" s="73">
        <v>43831</v>
      </c>
      <c r="J406" s="74">
        <f ca="1">EFEITO!$J$406*EFEITO!$Y$406</f>
        <v>14968.955758171862</v>
      </c>
      <c r="K406" s="74">
        <f ca="1">EFEITO!$L$406*EFEITO!$Z$406</f>
        <v>1976.6247899852772</v>
      </c>
      <c r="L406" s="74">
        <f>EFEITO!$N$406*EFEITO!$AA$406</f>
        <v>8484.999363686069</v>
      </c>
      <c r="M406" s="74">
        <f ca="1">$J$406-EFEITO!$K$406*EFEITO!$Y$406</f>
        <v>0</v>
      </c>
      <c r="N406" s="74">
        <f ca="1">$K$406-EFEITO!$M$406*EFEITO!$Z$406</f>
        <v>0</v>
      </c>
      <c r="O406" s="74">
        <f>$L$406-EFEITO!$O$406*EFEITO!$AA$406</f>
        <v>0</v>
      </c>
      <c r="P406" s="57"/>
      <c r="Q406" s="57"/>
      <c r="R406" s="57"/>
      <c r="S406" s="57"/>
      <c r="T406" s="57"/>
      <c r="U406" s="57"/>
      <c r="V406" s="57"/>
      <c r="W406" s="57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</row>
    <row r="407" spans="1:36" ht="11.25" customHeight="1" x14ac:dyDescent="0.2">
      <c r="A407" s="53" t="s">
        <v>21</v>
      </c>
      <c r="B407" s="53" t="s">
        <v>33</v>
      </c>
      <c r="C407" s="53" t="s">
        <v>41</v>
      </c>
      <c r="D407" s="53" t="s">
        <v>42</v>
      </c>
      <c r="E407" s="53" t="s">
        <v>25</v>
      </c>
      <c r="F407" s="53" t="s">
        <v>25</v>
      </c>
      <c r="G407" s="53" t="s">
        <v>25</v>
      </c>
      <c r="H407" s="53" t="s">
        <v>35</v>
      </c>
      <c r="I407" s="73">
        <v>43862</v>
      </c>
      <c r="J407" s="74">
        <f ca="1">EFEITO!$J$407*EFEITO!$Y$407</f>
        <v>1087562.6765391775</v>
      </c>
      <c r="K407" s="74">
        <f ca="1">EFEITO!$L$407*EFEITO!$Z$407</f>
        <v>141221.154947773</v>
      </c>
      <c r="L407" s="74">
        <f>EFEITO!$N$407*EFEITO!$AA$407</f>
        <v>606215.91712395288</v>
      </c>
      <c r="M407" s="74">
        <f ca="1">$J$407-EFEITO!$K$407*EFEITO!$Y$407</f>
        <v>0</v>
      </c>
      <c r="N407" s="74">
        <f ca="1">$K$407-EFEITO!$M$407*EFEITO!$Z$407</f>
        <v>0</v>
      </c>
      <c r="O407" s="74">
        <f>$L$407-EFEITO!$O$407*EFEITO!$AA$407</f>
        <v>0</v>
      </c>
      <c r="P407" s="57"/>
      <c r="Q407" s="57"/>
      <c r="R407" s="57"/>
      <c r="S407" s="57"/>
      <c r="T407" s="57"/>
      <c r="U407" s="57"/>
      <c r="V407" s="57"/>
      <c r="W407" s="57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</row>
    <row r="408" spans="1:36" ht="11.25" customHeight="1" x14ac:dyDescent="0.2">
      <c r="A408" s="53" t="s">
        <v>27</v>
      </c>
      <c r="B408" s="53" t="s">
        <v>33</v>
      </c>
      <c r="C408" s="53" t="s">
        <v>41</v>
      </c>
      <c r="D408" s="53" t="s">
        <v>42</v>
      </c>
      <c r="E408" s="53" t="s">
        <v>25</v>
      </c>
      <c r="F408" s="53" t="s">
        <v>25</v>
      </c>
      <c r="G408" s="53" t="s">
        <v>25</v>
      </c>
      <c r="H408" s="53" t="s">
        <v>35</v>
      </c>
      <c r="I408" s="73">
        <v>43862</v>
      </c>
      <c r="J408" s="74">
        <f ca="1">EFEITO!$J$408*EFEITO!$Y$408</f>
        <v>5797.0683208920118</v>
      </c>
      <c r="K408" s="74">
        <f ca="1">EFEITO!$L$408*EFEITO!$Z$408</f>
        <v>1052.4203276321878</v>
      </c>
      <c r="L408" s="74">
        <f>EFEITO!$N$408*EFEITO!$AA$408</f>
        <v>4517.6939273112675</v>
      </c>
      <c r="M408" s="74">
        <f ca="1">$J$408-EFEITO!$K$408*EFEITO!$Y$408</f>
        <v>0</v>
      </c>
      <c r="N408" s="74">
        <f ca="1">$K$408-EFEITO!$M$408*EFEITO!$Z$408</f>
        <v>0</v>
      </c>
      <c r="O408" s="74">
        <f>$L$408-EFEITO!$O$408*EFEITO!$AA$408</f>
        <v>0</v>
      </c>
      <c r="P408" s="57"/>
      <c r="Q408" s="57"/>
      <c r="R408" s="57"/>
      <c r="S408" s="57"/>
      <c r="T408" s="57"/>
      <c r="U408" s="57"/>
      <c r="V408" s="57"/>
      <c r="W408" s="57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</row>
    <row r="409" spans="1:36" ht="11.25" customHeight="1" x14ac:dyDescent="0.2">
      <c r="A409" s="53" t="s">
        <v>28</v>
      </c>
      <c r="B409" s="53" t="s">
        <v>33</v>
      </c>
      <c r="C409" s="53" t="s">
        <v>41</v>
      </c>
      <c r="D409" s="53" t="s">
        <v>42</v>
      </c>
      <c r="E409" s="53" t="s">
        <v>25</v>
      </c>
      <c r="F409" s="53" t="s">
        <v>25</v>
      </c>
      <c r="G409" s="53" t="s">
        <v>25</v>
      </c>
      <c r="H409" s="53" t="s">
        <v>35</v>
      </c>
      <c r="I409" s="73">
        <v>43862</v>
      </c>
      <c r="J409" s="74">
        <f ca="1">EFEITO!$J$409*EFEITO!$Y$409</f>
        <v>14968.955758171862</v>
      </c>
      <c r="K409" s="74">
        <f ca="1">EFEITO!$L$409*EFEITO!$Z$409</f>
        <v>2234.4568303349174</v>
      </c>
      <c r="L409" s="74">
        <f>EFEITO!$N$409*EFEITO!$AA$409</f>
        <v>9591.7874144019934</v>
      </c>
      <c r="M409" s="74">
        <f ca="1">$J$409-EFEITO!$K$409*EFEITO!$Y$409</f>
        <v>0</v>
      </c>
      <c r="N409" s="74">
        <f ca="1">$K$409-EFEITO!$M$409*EFEITO!$Z$409</f>
        <v>0</v>
      </c>
      <c r="O409" s="74">
        <f>$L$409-EFEITO!$O$409*EFEITO!$AA$409</f>
        <v>0</v>
      </c>
      <c r="P409" s="57"/>
      <c r="Q409" s="57"/>
      <c r="R409" s="57"/>
      <c r="S409" s="57"/>
      <c r="T409" s="57"/>
      <c r="U409" s="57"/>
      <c r="V409" s="57"/>
      <c r="W409" s="57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</row>
    <row r="410" spans="1:36" ht="11.25" customHeight="1" x14ac:dyDescent="0.2">
      <c r="A410" s="53" t="s">
        <v>21</v>
      </c>
      <c r="B410" s="53" t="s">
        <v>33</v>
      </c>
      <c r="C410" s="53" t="s">
        <v>41</v>
      </c>
      <c r="D410" s="53" t="s">
        <v>42</v>
      </c>
      <c r="E410" s="53" t="s">
        <v>25</v>
      </c>
      <c r="F410" s="53" t="s">
        <v>25</v>
      </c>
      <c r="G410" s="53" t="s">
        <v>25</v>
      </c>
      <c r="H410" s="53" t="s">
        <v>35</v>
      </c>
      <c r="I410" s="73">
        <v>43891</v>
      </c>
      <c r="J410" s="74">
        <f ca="1">EFEITO!$J$410*EFEITO!$Y$410</f>
        <v>1092271.0935322025</v>
      </c>
      <c r="K410" s="74">
        <f ca="1">EFEITO!$L$410*EFEITO!$Z$410</f>
        <v>126204.67034113656</v>
      </c>
      <c r="L410" s="74">
        <f>EFEITO!$N$410*EFEITO!$AA$410</f>
        <v>541755.09331071877</v>
      </c>
      <c r="M410" s="74">
        <f ca="1">$J$410-EFEITO!$K$410*EFEITO!$Y$410</f>
        <v>0</v>
      </c>
      <c r="N410" s="74">
        <f ca="1">$K$410-EFEITO!$M$410*EFEITO!$Z$410</f>
        <v>0</v>
      </c>
      <c r="O410" s="74">
        <f>$L$410-EFEITO!$O$410*EFEITO!$AA$410</f>
        <v>0</v>
      </c>
      <c r="P410" s="57"/>
      <c r="Q410" s="57"/>
      <c r="R410" s="57"/>
      <c r="S410" s="57"/>
      <c r="T410" s="57"/>
      <c r="U410" s="57"/>
      <c r="V410" s="57"/>
      <c r="W410" s="57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</row>
    <row r="411" spans="1:36" ht="11.25" customHeight="1" x14ac:dyDescent="0.2">
      <c r="A411" s="53" t="s">
        <v>28</v>
      </c>
      <c r="B411" s="53" t="s">
        <v>33</v>
      </c>
      <c r="C411" s="53" t="s">
        <v>41</v>
      </c>
      <c r="D411" s="53" t="s">
        <v>42</v>
      </c>
      <c r="E411" s="53" t="s">
        <v>25</v>
      </c>
      <c r="F411" s="53" t="s">
        <v>25</v>
      </c>
      <c r="G411" s="53" t="s">
        <v>25</v>
      </c>
      <c r="H411" s="53" t="s">
        <v>35</v>
      </c>
      <c r="I411" s="73">
        <v>43891</v>
      </c>
      <c r="J411" s="74">
        <f ca="1">EFEITO!$J$411*EFEITO!$Y$411</f>
        <v>14968.955758171862</v>
      </c>
      <c r="K411" s="74">
        <f ca="1">EFEITO!$L$411*EFEITO!$Z$411</f>
        <v>1973.0364961447017</v>
      </c>
      <c r="L411" s="74">
        <f>EFEITO!$N$411*EFEITO!$AA$411</f>
        <v>8469.5959997759019</v>
      </c>
      <c r="M411" s="74">
        <f ca="1">$J$411-EFEITO!$K$411*EFEITO!$Y$411</f>
        <v>0</v>
      </c>
      <c r="N411" s="74">
        <f ca="1">$K$411-EFEITO!$M$411*EFEITO!$Z$411</f>
        <v>0</v>
      </c>
      <c r="O411" s="74">
        <f>$L$411-EFEITO!$O$411*EFEITO!$AA$411</f>
        <v>0</v>
      </c>
      <c r="P411" s="57"/>
      <c r="Q411" s="57"/>
      <c r="R411" s="57"/>
      <c r="S411" s="57"/>
      <c r="T411" s="57"/>
      <c r="U411" s="57"/>
      <c r="V411" s="57"/>
      <c r="W411" s="57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</row>
    <row r="412" spans="1:36" ht="11.25" customHeight="1" x14ac:dyDescent="0.2">
      <c r="A412" s="53" t="s">
        <v>21</v>
      </c>
      <c r="B412" s="53" t="s">
        <v>33</v>
      </c>
      <c r="C412" s="53" t="s">
        <v>41</v>
      </c>
      <c r="D412" s="53" t="s">
        <v>42</v>
      </c>
      <c r="E412" s="53" t="s">
        <v>25</v>
      </c>
      <c r="F412" s="53" t="s">
        <v>25</v>
      </c>
      <c r="G412" s="53" t="s">
        <v>25</v>
      </c>
      <c r="H412" s="53" t="s">
        <v>35</v>
      </c>
      <c r="I412" s="73">
        <v>43922</v>
      </c>
      <c r="J412" s="74">
        <f ca="1">EFEITO!$J$412*EFEITO!$Y$412</f>
        <v>1089957.709460485</v>
      </c>
      <c r="K412" s="74">
        <f ca="1">EFEITO!$L$412*EFEITO!$Z$412</f>
        <v>132226.52756051789</v>
      </c>
      <c r="L412" s="74">
        <f>EFEITO!$N$412*EFEITO!$AA$412</f>
        <v>567604.94348640111</v>
      </c>
      <c r="M412" s="74">
        <f ca="1">$J$412-EFEITO!$K$412*EFEITO!$Y$412</f>
        <v>0</v>
      </c>
      <c r="N412" s="74">
        <f ca="1">$K$412-EFEITO!$M$412*EFEITO!$Z$412</f>
        <v>0</v>
      </c>
      <c r="O412" s="74">
        <f>$L$412-EFEITO!$O$412*EFEITO!$AA$412</f>
        <v>0</v>
      </c>
      <c r="P412" s="57"/>
      <c r="Q412" s="57"/>
      <c r="R412" s="57"/>
      <c r="S412" s="57"/>
      <c r="T412" s="57"/>
      <c r="U412" s="57"/>
      <c r="V412" s="57"/>
      <c r="W412" s="57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</row>
    <row r="413" spans="1:36" ht="11.25" customHeight="1" x14ac:dyDescent="0.2">
      <c r="A413" s="53" t="s">
        <v>27</v>
      </c>
      <c r="B413" s="53" t="s">
        <v>33</v>
      </c>
      <c r="C413" s="53" t="s">
        <v>41</v>
      </c>
      <c r="D413" s="53" t="s">
        <v>42</v>
      </c>
      <c r="E413" s="53" t="s">
        <v>25</v>
      </c>
      <c r="F413" s="53" t="s">
        <v>25</v>
      </c>
      <c r="G413" s="53" t="s">
        <v>25</v>
      </c>
      <c r="H413" s="53" t="s">
        <v>35</v>
      </c>
      <c r="I413" s="73">
        <v>43922</v>
      </c>
      <c r="J413" s="74">
        <f ca="1">EFEITO!$J$413*EFEITO!$Y$413</f>
        <v>816.4884959002834</v>
      </c>
      <c r="K413" s="74">
        <f ca="1">EFEITO!$L$413*EFEITO!$Z$413</f>
        <v>42.009293743322246</v>
      </c>
      <c r="L413" s="74">
        <f>EFEITO!$N$413*EFEITO!$AA$413</f>
        <v>180.33206528976368</v>
      </c>
      <c r="M413" s="74">
        <f ca="1">$J$413-EFEITO!$K$413*EFEITO!$Y$413</f>
        <v>0</v>
      </c>
      <c r="N413" s="74">
        <f ca="1">$K$413-EFEITO!$M$413*EFEITO!$Z$413</f>
        <v>0</v>
      </c>
      <c r="O413" s="74">
        <f>$L$413-EFEITO!$O$413*EFEITO!$AA$413</f>
        <v>0</v>
      </c>
      <c r="P413" s="57"/>
      <c r="Q413" s="57"/>
      <c r="R413" s="57"/>
      <c r="S413" s="57"/>
      <c r="T413" s="57"/>
      <c r="U413" s="57"/>
      <c r="V413" s="57"/>
      <c r="W413" s="57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</row>
    <row r="414" spans="1:36" ht="11.25" customHeight="1" x14ac:dyDescent="0.2">
      <c r="A414" s="53" t="s">
        <v>28</v>
      </c>
      <c r="B414" s="53" t="s">
        <v>33</v>
      </c>
      <c r="C414" s="53" t="s">
        <v>41</v>
      </c>
      <c r="D414" s="53" t="s">
        <v>42</v>
      </c>
      <c r="E414" s="53" t="s">
        <v>25</v>
      </c>
      <c r="F414" s="53" t="s">
        <v>25</v>
      </c>
      <c r="G414" s="53" t="s">
        <v>25</v>
      </c>
      <c r="H414" s="53" t="s">
        <v>35</v>
      </c>
      <c r="I414" s="73">
        <v>43922</v>
      </c>
      <c r="J414" s="74">
        <f ca="1">EFEITO!$J$414*EFEITO!$Y$414</f>
        <v>14968.955758171862</v>
      </c>
      <c r="K414" s="74">
        <f ca="1">EFEITO!$L$414*EFEITO!$Z$414</f>
        <v>1487.6541146853992</v>
      </c>
      <c r="L414" s="74">
        <f>EFEITO!$N$414*EFEITO!$AA$414</f>
        <v>6386.0092620737569</v>
      </c>
      <c r="M414" s="74">
        <f ca="1">$J$414-EFEITO!$K$414*EFEITO!$Y$414</f>
        <v>0</v>
      </c>
      <c r="N414" s="74">
        <f ca="1">$K$414-EFEITO!$M$414*EFEITO!$Z$414</f>
        <v>0</v>
      </c>
      <c r="O414" s="74">
        <f>$L$414-EFEITO!$O$414*EFEITO!$AA$414</f>
        <v>0</v>
      </c>
      <c r="P414" s="57"/>
      <c r="Q414" s="57"/>
      <c r="R414" s="57"/>
      <c r="S414" s="57"/>
      <c r="T414" s="57"/>
      <c r="U414" s="57"/>
      <c r="V414" s="57"/>
      <c r="W414" s="57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</row>
    <row r="415" spans="1:36" ht="11.25" customHeight="1" x14ac:dyDescent="0.2">
      <c r="A415" s="53" t="s">
        <v>21</v>
      </c>
      <c r="B415" s="53" t="s">
        <v>33</v>
      </c>
      <c r="C415" s="53" t="s">
        <v>41</v>
      </c>
      <c r="D415" s="53" t="s">
        <v>42</v>
      </c>
      <c r="E415" s="53" t="s">
        <v>25</v>
      </c>
      <c r="F415" s="53" t="s">
        <v>25</v>
      </c>
      <c r="G415" s="53" t="s">
        <v>25</v>
      </c>
      <c r="H415" s="53" t="s">
        <v>35</v>
      </c>
      <c r="I415" s="73">
        <v>43952</v>
      </c>
      <c r="J415" s="74">
        <f ca="1">EFEITO!$J$415*EFEITO!$Y$415</f>
        <v>1053460.6736937424</v>
      </c>
      <c r="K415" s="74">
        <f ca="1">EFEITO!$L$415*EFEITO!$Z$415</f>
        <v>109509.47685264458</v>
      </c>
      <c r="L415" s="74">
        <f>EFEITO!$N$415*EFEITO!$AA$415</f>
        <v>470088.12503014522</v>
      </c>
      <c r="M415" s="74">
        <f ca="1">$J$415-EFEITO!$K$415*EFEITO!$Y$415</f>
        <v>0</v>
      </c>
      <c r="N415" s="74">
        <f ca="1">$K$415-EFEITO!$M$415*EFEITO!$Z$415</f>
        <v>0</v>
      </c>
      <c r="O415" s="74">
        <f>$L$415-EFEITO!$O$415*EFEITO!$AA$415</f>
        <v>0</v>
      </c>
      <c r="P415" s="57"/>
      <c r="Q415" s="57"/>
      <c r="R415" s="57"/>
      <c r="S415" s="57"/>
      <c r="T415" s="57"/>
      <c r="U415" s="57"/>
      <c r="V415" s="57"/>
      <c r="W415" s="57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</row>
    <row r="416" spans="1:36" ht="11.25" customHeight="1" x14ac:dyDescent="0.2">
      <c r="A416" s="53" t="s">
        <v>27</v>
      </c>
      <c r="B416" s="53" t="s">
        <v>33</v>
      </c>
      <c r="C416" s="53" t="s">
        <v>41</v>
      </c>
      <c r="D416" s="53" t="s">
        <v>42</v>
      </c>
      <c r="E416" s="53" t="s">
        <v>25</v>
      </c>
      <c r="F416" s="53" t="s">
        <v>25</v>
      </c>
      <c r="G416" s="53" t="s">
        <v>25</v>
      </c>
      <c r="H416" s="53" t="s">
        <v>35</v>
      </c>
      <c r="I416" s="73">
        <v>43952</v>
      </c>
      <c r="J416" s="74">
        <f ca="1">EFEITO!$J$416*EFEITO!$Y$416</f>
        <v>21582.512574964156</v>
      </c>
      <c r="K416" s="74">
        <f ca="1">EFEITO!$L$416*EFEITO!$Z$416</f>
        <v>3350.0661373060188</v>
      </c>
      <c r="L416" s="74">
        <f>EFEITO!$N$416*EFEITO!$AA$416</f>
        <v>14380.73082325328</v>
      </c>
      <c r="M416" s="74">
        <f ca="1">$J$416-EFEITO!$K$416*EFEITO!$Y$416</f>
        <v>0</v>
      </c>
      <c r="N416" s="74">
        <f ca="1">$K$416-EFEITO!$M$416*EFEITO!$Z$416</f>
        <v>0</v>
      </c>
      <c r="O416" s="74">
        <f>$L$416-EFEITO!$O$416*EFEITO!$AA$416</f>
        <v>0</v>
      </c>
      <c r="P416" s="57"/>
      <c r="Q416" s="57"/>
      <c r="R416" s="57"/>
      <c r="S416" s="57"/>
      <c r="T416" s="57"/>
      <c r="U416" s="57"/>
      <c r="V416" s="57"/>
      <c r="W416" s="57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</row>
    <row r="417" spans="1:36" ht="11.25" customHeight="1" x14ac:dyDescent="0.2">
      <c r="A417" s="53" t="s">
        <v>28</v>
      </c>
      <c r="B417" s="53" t="s">
        <v>33</v>
      </c>
      <c r="C417" s="53" t="s">
        <v>41</v>
      </c>
      <c r="D417" s="53" t="s">
        <v>42</v>
      </c>
      <c r="E417" s="53" t="s">
        <v>25</v>
      </c>
      <c r="F417" s="53" t="s">
        <v>25</v>
      </c>
      <c r="G417" s="53" t="s">
        <v>25</v>
      </c>
      <c r="H417" s="53" t="s">
        <v>35</v>
      </c>
      <c r="I417" s="73">
        <v>43952</v>
      </c>
      <c r="J417" s="74">
        <f ca="1">EFEITO!$J$417*EFEITO!$Y$417</f>
        <v>14968.955758171862</v>
      </c>
      <c r="K417" s="74">
        <f ca="1">EFEITO!$L$417*EFEITO!$Z$417</f>
        <v>1016.9749860362595</v>
      </c>
      <c r="L417" s="74">
        <f>EFEITO!$N$417*EFEITO!$AA$417</f>
        <v>4365.5387472230286</v>
      </c>
      <c r="M417" s="74">
        <f ca="1">$J$417-EFEITO!$K$417*EFEITO!$Y$417</f>
        <v>0</v>
      </c>
      <c r="N417" s="74">
        <f ca="1">$K$417-EFEITO!$M$417*EFEITO!$Z$417</f>
        <v>0</v>
      </c>
      <c r="O417" s="74">
        <f>$L$417-EFEITO!$O$417*EFEITO!$AA$417</f>
        <v>0</v>
      </c>
      <c r="P417" s="57"/>
      <c r="Q417" s="57"/>
      <c r="R417" s="57"/>
      <c r="S417" s="57"/>
      <c r="T417" s="57"/>
      <c r="U417" s="57"/>
      <c r="V417" s="57"/>
      <c r="W417" s="57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</row>
    <row r="418" spans="1:36" ht="11.25" customHeight="1" x14ac:dyDescent="0.2">
      <c r="A418" s="53" t="s">
        <v>21</v>
      </c>
      <c r="B418" s="53" t="s">
        <v>33</v>
      </c>
      <c r="C418" s="53" t="s">
        <v>41</v>
      </c>
      <c r="D418" s="53" t="s">
        <v>42</v>
      </c>
      <c r="E418" s="53" t="s">
        <v>25</v>
      </c>
      <c r="F418" s="53" t="s">
        <v>25</v>
      </c>
      <c r="G418" s="53" t="s">
        <v>25</v>
      </c>
      <c r="H418" s="53" t="s">
        <v>35</v>
      </c>
      <c r="I418" s="73">
        <v>43983</v>
      </c>
      <c r="J418" s="74">
        <f ca="1">EFEITO!$J$418*EFEITO!$Y$418</f>
        <v>1035688.4407663128</v>
      </c>
      <c r="K418" s="74">
        <f ca="1">EFEITO!$L$418*EFEITO!$Z$418</f>
        <v>112500.80112525504</v>
      </c>
      <c r="L418" s="74">
        <f>EFEITO!$N$418*EFEITO!$AA$418</f>
        <v>482928.89515418449</v>
      </c>
      <c r="M418" s="74">
        <f ca="1">$J$418-EFEITO!$K$418*EFEITO!$Y$418</f>
        <v>0</v>
      </c>
      <c r="N418" s="74">
        <f ca="1">$K$418-EFEITO!$M$418*EFEITO!$Z$418</f>
        <v>0</v>
      </c>
      <c r="O418" s="74">
        <f>$L$418-EFEITO!$O$418*EFEITO!$AA$418</f>
        <v>0</v>
      </c>
      <c r="P418" s="57"/>
      <c r="Q418" s="57"/>
      <c r="R418" s="57"/>
      <c r="S418" s="57"/>
      <c r="T418" s="57"/>
      <c r="U418" s="57"/>
      <c r="V418" s="57"/>
      <c r="W418" s="57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</row>
    <row r="419" spans="1:36" ht="11.25" customHeight="1" x14ac:dyDescent="0.2">
      <c r="A419" s="53" t="s">
        <v>27</v>
      </c>
      <c r="B419" s="53" t="s">
        <v>33</v>
      </c>
      <c r="C419" s="53" t="s">
        <v>41</v>
      </c>
      <c r="D419" s="53" t="s">
        <v>42</v>
      </c>
      <c r="E419" s="53" t="s">
        <v>25</v>
      </c>
      <c r="F419" s="53" t="s">
        <v>25</v>
      </c>
      <c r="G419" s="53" t="s">
        <v>25</v>
      </c>
      <c r="H419" s="53" t="s">
        <v>35</v>
      </c>
      <c r="I419" s="73">
        <v>43983</v>
      </c>
      <c r="J419" s="74">
        <f ca="1">EFEITO!$J$419*EFEITO!$Y$419</f>
        <v>15622.146554892088</v>
      </c>
      <c r="K419" s="74">
        <f ca="1">EFEITO!$L$419*EFEITO!$Z$419</f>
        <v>1346.5729031974086</v>
      </c>
      <c r="L419" s="74">
        <f>EFEITO!$N$419*EFEITO!$AA$419</f>
        <v>5780.3940761423</v>
      </c>
      <c r="M419" s="74">
        <f ca="1">$J$419-EFEITO!$K$419*EFEITO!$Y$419</f>
        <v>0</v>
      </c>
      <c r="N419" s="74">
        <f ca="1">$K$419-EFEITO!$M$419*EFEITO!$Z$419</f>
        <v>0</v>
      </c>
      <c r="O419" s="74">
        <f>$L$419-EFEITO!$O$419*EFEITO!$AA$419</f>
        <v>0</v>
      </c>
      <c r="P419" s="57"/>
      <c r="Q419" s="57"/>
      <c r="R419" s="57"/>
      <c r="S419" s="57"/>
      <c r="T419" s="57"/>
      <c r="U419" s="57"/>
      <c r="V419" s="57"/>
      <c r="W419" s="57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</row>
    <row r="420" spans="1:36" ht="11.25" customHeight="1" x14ac:dyDescent="0.2">
      <c r="A420" s="53" t="s">
        <v>28</v>
      </c>
      <c r="B420" s="53" t="s">
        <v>33</v>
      </c>
      <c r="C420" s="53" t="s">
        <v>41</v>
      </c>
      <c r="D420" s="53" t="s">
        <v>42</v>
      </c>
      <c r="E420" s="53" t="s">
        <v>25</v>
      </c>
      <c r="F420" s="53" t="s">
        <v>25</v>
      </c>
      <c r="G420" s="53" t="s">
        <v>25</v>
      </c>
      <c r="H420" s="53" t="s">
        <v>35</v>
      </c>
      <c r="I420" s="73">
        <v>43983</v>
      </c>
      <c r="J420" s="74">
        <f ca="1">EFEITO!$J$420*EFEITO!$Y$420</f>
        <v>14968.955758171862</v>
      </c>
      <c r="K420" s="74">
        <f ca="1">EFEITO!$L$420*EFEITO!$Z$420</f>
        <v>1048.8320337916123</v>
      </c>
      <c r="L420" s="74">
        <f>EFEITO!$N$420*EFEITO!$AA$420</f>
        <v>4502.2905634011004</v>
      </c>
      <c r="M420" s="74">
        <f ca="1">$J$420-EFEITO!$K$420*EFEITO!$Y$420</f>
        <v>0</v>
      </c>
      <c r="N420" s="74">
        <f ca="1">$K$420-EFEITO!$M$420*EFEITO!$Z$420</f>
        <v>0</v>
      </c>
      <c r="O420" s="74">
        <f>$L$420-EFEITO!$O$420*EFEITO!$AA$420</f>
        <v>0</v>
      </c>
      <c r="P420" s="57"/>
      <c r="Q420" s="57"/>
      <c r="R420" s="57"/>
      <c r="S420" s="57"/>
      <c r="T420" s="57"/>
      <c r="U420" s="57"/>
      <c r="V420" s="57"/>
      <c r="W420" s="57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</row>
    <row r="421" spans="1:36" ht="11.25" customHeight="1" x14ac:dyDescent="0.2">
      <c r="A421" s="53" t="s">
        <v>21</v>
      </c>
      <c r="B421" s="53" t="s">
        <v>33</v>
      </c>
      <c r="C421" s="53" t="s">
        <v>41</v>
      </c>
      <c r="D421" s="53" t="s">
        <v>42</v>
      </c>
      <c r="E421" s="53" t="s">
        <v>25</v>
      </c>
      <c r="F421" s="53" t="s">
        <v>25</v>
      </c>
      <c r="G421" s="53" t="s">
        <v>25</v>
      </c>
      <c r="H421" s="53" t="s">
        <v>35</v>
      </c>
      <c r="I421" s="73">
        <v>44013</v>
      </c>
      <c r="J421" s="74">
        <f ca="1">EFEITO!$J$421*EFEITO!$Y$421</f>
        <v>1070198.6878596982</v>
      </c>
      <c r="K421" s="74">
        <f ca="1">EFEITO!$L$421*EFEITO!$Z$421</f>
        <v>111465.88467001589</v>
      </c>
      <c r="L421" s="74">
        <f>EFEITO!$N$421*EFEITO!$AA$421</f>
        <v>478486.33958741062</v>
      </c>
      <c r="M421" s="74">
        <f ca="1">$J$421-EFEITO!$K$421*EFEITO!$Y$421</f>
        <v>0</v>
      </c>
      <c r="N421" s="74">
        <f ca="1">$K$421-EFEITO!$M$421*EFEITO!$Z$421</f>
        <v>0</v>
      </c>
      <c r="O421" s="74">
        <f>$L$421-EFEITO!$O$421*EFEITO!$AA$421</f>
        <v>0</v>
      </c>
      <c r="P421" s="57"/>
      <c r="Q421" s="57"/>
      <c r="R421" s="57"/>
      <c r="S421" s="57"/>
      <c r="T421" s="57"/>
      <c r="U421" s="57"/>
      <c r="V421" s="57"/>
      <c r="W421" s="57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</row>
    <row r="422" spans="1:36" ht="11.25" customHeight="1" x14ac:dyDescent="0.2">
      <c r="A422" s="53" t="s">
        <v>28</v>
      </c>
      <c r="B422" s="53" t="s">
        <v>33</v>
      </c>
      <c r="C422" s="53" t="s">
        <v>41</v>
      </c>
      <c r="D422" s="53" t="s">
        <v>42</v>
      </c>
      <c r="E422" s="53" t="s">
        <v>25</v>
      </c>
      <c r="F422" s="53" t="s">
        <v>25</v>
      </c>
      <c r="G422" s="53" t="s">
        <v>25</v>
      </c>
      <c r="H422" s="53" t="s">
        <v>35</v>
      </c>
      <c r="I422" s="73">
        <v>44013</v>
      </c>
      <c r="J422" s="74">
        <f ca="1">EFEITO!$J$422*EFEITO!$Y$422</f>
        <v>14968.955758171862</v>
      </c>
      <c r="K422" s="74">
        <f ca="1">EFEITO!$L$422*EFEITO!$Z$422</f>
        <v>1054.2582342334579</v>
      </c>
      <c r="L422" s="74">
        <f>EFEITO!$N$422*EFEITO!$AA$422</f>
        <v>4525.5834551676944</v>
      </c>
      <c r="M422" s="74">
        <f ca="1">$J$422-EFEITO!$K$422*EFEITO!$Y$422</f>
        <v>0</v>
      </c>
      <c r="N422" s="74">
        <f ca="1">$K$422-EFEITO!$M$422*EFEITO!$Z$422</f>
        <v>0</v>
      </c>
      <c r="O422" s="74">
        <f>$L$422-EFEITO!$O$422*EFEITO!$AA$422</f>
        <v>0</v>
      </c>
      <c r="P422" s="57"/>
      <c r="Q422" s="57"/>
      <c r="R422" s="57"/>
      <c r="S422" s="57"/>
      <c r="T422" s="57"/>
      <c r="U422" s="57"/>
      <c r="V422" s="57"/>
      <c r="W422" s="57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</row>
    <row r="423" spans="1:36" ht="11.25" customHeight="1" x14ac:dyDescent="0.2">
      <c r="A423" s="53" t="s">
        <v>21</v>
      </c>
      <c r="B423" s="53" t="s">
        <v>33</v>
      </c>
      <c r="C423" s="53" t="s">
        <v>41</v>
      </c>
      <c r="D423" s="53" t="s">
        <v>42</v>
      </c>
      <c r="E423" s="53" t="s">
        <v>25</v>
      </c>
      <c r="F423" s="53" t="s">
        <v>25</v>
      </c>
      <c r="G423" s="53" t="s">
        <v>25</v>
      </c>
      <c r="H423" s="53" t="s">
        <v>35</v>
      </c>
      <c r="I423" s="73">
        <v>44044</v>
      </c>
      <c r="J423" s="74">
        <f ca="1">EFEITO!$J$423*EFEITO!$Y$423</f>
        <v>1072430.4230818255</v>
      </c>
      <c r="K423" s="74">
        <f ca="1">EFEITO!$L$423*EFEITO!$Z$423</f>
        <v>117581.38760670002</v>
      </c>
      <c r="L423" s="74">
        <f>EFEITO!$N$423*EFEITO!$AA$423</f>
        <v>504738.17999196798</v>
      </c>
      <c r="M423" s="74">
        <f ca="1">$J$423-EFEITO!$K$423*EFEITO!$Y$423</f>
        <v>0</v>
      </c>
      <c r="N423" s="74">
        <f ca="1">$K$423-EFEITO!$M$423*EFEITO!$Z$423</f>
        <v>0</v>
      </c>
      <c r="O423" s="74">
        <f>$L$423-EFEITO!$O$423*EFEITO!$AA$423</f>
        <v>0</v>
      </c>
      <c r="P423" s="57"/>
      <c r="Q423" s="57"/>
      <c r="R423" s="57"/>
      <c r="S423" s="57"/>
      <c r="T423" s="57"/>
      <c r="U423" s="57"/>
      <c r="V423" s="57"/>
      <c r="W423" s="57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</row>
    <row r="424" spans="1:36" ht="11.25" customHeight="1" x14ac:dyDescent="0.2">
      <c r="A424" s="53" t="s">
        <v>28</v>
      </c>
      <c r="B424" s="53" t="s">
        <v>33</v>
      </c>
      <c r="C424" s="53" t="s">
        <v>41</v>
      </c>
      <c r="D424" s="53" t="s">
        <v>42</v>
      </c>
      <c r="E424" s="53" t="s">
        <v>25</v>
      </c>
      <c r="F424" s="53" t="s">
        <v>25</v>
      </c>
      <c r="G424" s="53" t="s">
        <v>25</v>
      </c>
      <c r="H424" s="53" t="s">
        <v>35</v>
      </c>
      <c r="I424" s="73">
        <v>44044</v>
      </c>
      <c r="J424" s="74">
        <f ca="1">EFEITO!$J$424*EFEITO!$Y$424</f>
        <v>14968.955758171862</v>
      </c>
      <c r="K424" s="74">
        <f ca="1">EFEITO!$L$424*EFEITO!$Z$424</f>
        <v>1420.5267640580489</v>
      </c>
      <c r="L424" s="74">
        <f>EFEITO!$N$424*EFEITO!$AA$424</f>
        <v>6097.8536494128221</v>
      </c>
      <c r="M424" s="74">
        <f ca="1">$J$424-EFEITO!$K$424*EFEITO!$Y$424</f>
        <v>0</v>
      </c>
      <c r="N424" s="74">
        <f ca="1">$K$424-EFEITO!$M$424*EFEITO!$Z$424</f>
        <v>0</v>
      </c>
      <c r="O424" s="74">
        <f>$L$424-EFEITO!$O$424*EFEITO!$AA$424</f>
        <v>0</v>
      </c>
      <c r="P424" s="57"/>
      <c r="Q424" s="57"/>
      <c r="R424" s="57"/>
      <c r="S424" s="57"/>
      <c r="T424" s="57"/>
      <c r="U424" s="57"/>
      <c r="V424" s="57"/>
      <c r="W424" s="57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</row>
    <row r="425" spans="1:36" ht="11.25" customHeight="1" x14ac:dyDescent="0.2">
      <c r="A425" s="53" t="s">
        <v>59</v>
      </c>
      <c r="B425" s="53" t="s">
        <v>33</v>
      </c>
      <c r="C425" s="53" t="s">
        <v>41</v>
      </c>
      <c r="D425" s="53" t="s">
        <v>42</v>
      </c>
      <c r="E425" s="53" t="s">
        <v>25</v>
      </c>
      <c r="F425" s="53" t="s">
        <v>25</v>
      </c>
      <c r="G425" s="53" t="s">
        <v>25</v>
      </c>
      <c r="H425" s="53" t="s">
        <v>35</v>
      </c>
      <c r="I425" s="73">
        <v>44075</v>
      </c>
      <c r="J425" s="74">
        <f ca="1">EFEITO!$J$425*EFEITO!$Y$425</f>
        <v>1072430.4230818255</v>
      </c>
      <c r="K425" s="74">
        <f ca="1">EFEITO!$L$425*EFEITO!$Z$425</f>
        <v>117581.38760670002</v>
      </c>
      <c r="L425" s="74">
        <f>EFEITO!$N$425*EFEITO!$AA$425</f>
        <v>504738.17999196798</v>
      </c>
      <c r="M425" s="74">
        <f ca="1">$J$425-EFEITO!$K$425*EFEITO!$Y$425</f>
        <v>0</v>
      </c>
      <c r="N425" s="74">
        <f ca="1">$K$425-EFEITO!$M$425*EFEITO!$Z$425</f>
        <v>0</v>
      </c>
      <c r="O425" s="74">
        <f>$L$425-EFEITO!$O$425*EFEITO!$AA$425</f>
        <v>0</v>
      </c>
      <c r="P425" s="57"/>
      <c r="Q425" s="57"/>
      <c r="R425" s="57"/>
      <c r="S425" s="57"/>
      <c r="T425" s="57"/>
      <c r="U425" s="57"/>
      <c r="V425" s="57"/>
      <c r="W425" s="57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</row>
    <row r="426" spans="1:36" ht="11.25" customHeight="1" x14ac:dyDescent="0.2">
      <c r="A426" s="53" t="s">
        <v>59</v>
      </c>
      <c r="B426" s="53" t="s">
        <v>33</v>
      </c>
      <c r="C426" s="53" t="s">
        <v>41</v>
      </c>
      <c r="D426" s="53" t="s">
        <v>42</v>
      </c>
      <c r="E426" s="53" t="s">
        <v>25</v>
      </c>
      <c r="F426" s="53" t="s">
        <v>25</v>
      </c>
      <c r="G426" s="53" t="s">
        <v>25</v>
      </c>
      <c r="H426" s="53" t="s">
        <v>35</v>
      </c>
      <c r="I426" s="73">
        <v>44075</v>
      </c>
      <c r="J426" s="74">
        <f ca="1">EFEITO!$J$426*EFEITO!$Y$426</f>
        <v>14968.955758171862</v>
      </c>
      <c r="K426" s="74">
        <f ca="1">EFEITO!$L$426*EFEITO!$Z$426</f>
        <v>1420.5267640580489</v>
      </c>
      <c r="L426" s="74">
        <f>EFEITO!$N$426*EFEITO!$AA$426</f>
        <v>6097.8536494128221</v>
      </c>
      <c r="M426" s="74">
        <f ca="1">$J$426-EFEITO!$K$426*EFEITO!$Y$426</f>
        <v>0</v>
      </c>
      <c r="N426" s="74">
        <f ca="1">$K$426-EFEITO!$M$426*EFEITO!$Z$426</f>
        <v>0</v>
      </c>
      <c r="O426" s="74">
        <f>$L$426-EFEITO!$O$426*EFEITO!$AA$426</f>
        <v>0</v>
      </c>
      <c r="P426" s="57"/>
      <c r="Q426" s="57"/>
      <c r="R426" s="57"/>
      <c r="S426" s="57"/>
      <c r="T426" s="57"/>
      <c r="U426" s="57"/>
      <c r="V426" s="57"/>
      <c r="W426" s="57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</row>
    <row r="427" spans="1:36" ht="11.25" customHeight="1" x14ac:dyDescent="0.2">
      <c r="A427" s="53" t="s">
        <v>21</v>
      </c>
      <c r="B427" s="53" t="s">
        <v>33</v>
      </c>
      <c r="C427" s="53" t="s">
        <v>41</v>
      </c>
      <c r="D427" s="53" t="s">
        <v>40</v>
      </c>
      <c r="E427" s="53" t="s">
        <v>25</v>
      </c>
      <c r="F427" s="53" t="s">
        <v>63</v>
      </c>
      <c r="G427" s="53" t="s">
        <v>25</v>
      </c>
      <c r="H427" s="53" t="s">
        <v>36</v>
      </c>
      <c r="I427" s="73">
        <v>43739</v>
      </c>
      <c r="J427" s="74">
        <f ca="1">EFEITO!$J$427*EFEITO!$Y$427</f>
        <v>509790.20385814831</v>
      </c>
      <c r="K427" s="74">
        <f ca="1">EFEITO!$L$427*EFEITO!$Z$427</f>
        <v>0</v>
      </c>
      <c r="L427" s="74">
        <f>EFEITO!$N$427*EFEITO!$AA$427</f>
        <v>0</v>
      </c>
      <c r="M427" s="74">
        <f ca="1">$J$427-EFEITO!$K$427*EFEITO!$Y$427</f>
        <v>140930.84422722209</v>
      </c>
      <c r="N427" s="74">
        <f ca="1">$K$427-EFEITO!$M$427*EFEITO!$Z$427</f>
        <v>0</v>
      </c>
      <c r="O427" s="74">
        <f>$L$427-EFEITO!$O$427*EFEITO!$AA$427</f>
        <v>0</v>
      </c>
      <c r="P427" s="57"/>
      <c r="Q427" s="57"/>
      <c r="R427" s="57"/>
      <c r="S427" s="57"/>
      <c r="T427" s="57"/>
      <c r="U427" s="57"/>
      <c r="V427" s="57"/>
      <c r="W427" s="57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</row>
    <row r="428" spans="1:36" ht="11.25" customHeight="1" x14ac:dyDescent="0.2">
      <c r="A428" s="53" t="s">
        <v>21</v>
      </c>
      <c r="B428" s="53" t="s">
        <v>33</v>
      </c>
      <c r="C428" s="53" t="s">
        <v>41</v>
      </c>
      <c r="D428" s="53" t="s">
        <v>40</v>
      </c>
      <c r="E428" s="53" t="s">
        <v>25</v>
      </c>
      <c r="F428" s="53" t="s">
        <v>63</v>
      </c>
      <c r="G428" s="53" t="s">
        <v>25</v>
      </c>
      <c r="H428" s="53" t="s">
        <v>36</v>
      </c>
      <c r="I428" s="73">
        <v>43770</v>
      </c>
      <c r="J428" s="74">
        <f ca="1">EFEITO!$J$428*EFEITO!$Y$428</f>
        <v>520669.94267436885</v>
      </c>
      <c r="K428" s="74">
        <f ca="1">EFEITO!$L$428*EFEITO!$Z$428</f>
        <v>0</v>
      </c>
      <c r="L428" s="74">
        <f>EFEITO!$N$428*EFEITO!$AA$428</f>
        <v>0</v>
      </c>
      <c r="M428" s="74">
        <f ca="1">$J$428-EFEITO!$K$428*EFEITO!$Y$428</f>
        <v>144026.73026969284</v>
      </c>
      <c r="N428" s="74">
        <f ca="1">$K$428-EFEITO!$M$428*EFEITO!$Z$428</f>
        <v>0</v>
      </c>
      <c r="O428" s="74">
        <f>$L$428-EFEITO!$O$428*EFEITO!$AA$428</f>
        <v>0</v>
      </c>
      <c r="P428" s="57"/>
      <c r="Q428" s="57"/>
      <c r="R428" s="57"/>
      <c r="S428" s="57"/>
      <c r="T428" s="57"/>
      <c r="U428" s="57"/>
      <c r="V428" s="57"/>
      <c r="W428" s="57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</row>
    <row r="429" spans="1:36" ht="11.25" customHeight="1" x14ac:dyDescent="0.2">
      <c r="A429" s="53" t="s">
        <v>21</v>
      </c>
      <c r="B429" s="53" t="s">
        <v>33</v>
      </c>
      <c r="C429" s="53" t="s">
        <v>41</v>
      </c>
      <c r="D429" s="53" t="s">
        <v>40</v>
      </c>
      <c r="E429" s="53" t="s">
        <v>25</v>
      </c>
      <c r="F429" s="53" t="s">
        <v>63</v>
      </c>
      <c r="G429" s="53" t="s">
        <v>25</v>
      </c>
      <c r="H429" s="53" t="s">
        <v>36</v>
      </c>
      <c r="I429" s="73">
        <v>43800</v>
      </c>
      <c r="J429" s="74">
        <f ca="1">EFEITO!$J$429*EFEITO!$Y$429</f>
        <v>520669.94267436885</v>
      </c>
      <c r="K429" s="74">
        <f ca="1">EFEITO!$L$429*EFEITO!$Z$429</f>
        <v>0</v>
      </c>
      <c r="L429" s="74">
        <f>EFEITO!$N$429*EFEITO!$AA$429</f>
        <v>0</v>
      </c>
      <c r="M429" s="74">
        <f ca="1">$J$429-EFEITO!$K$429*EFEITO!$Y$429</f>
        <v>142803.26524509606</v>
      </c>
      <c r="N429" s="74">
        <f ca="1">$K$429-EFEITO!$M$429*EFEITO!$Z$429</f>
        <v>0</v>
      </c>
      <c r="O429" s="74">
        <f>$L$429-EFEITO!$O$429*EFEITO!$AA$429</f>
        <v>0</v>
      </c>
      <c r="P429" s="57"/>
      <c r="Q429" s="57"/>
      <c r="R429" s="57"/>
      <c r="S429" s="57"/>
      <c r="T429" s="57"/>
      <c r="U429" s="57"/>
      <c r="V429" s="57"/>
      <c r="W429" s="57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</row>
    <row r="430" spans="1:36" ht="11.25" customHeight="1" x14ac:dyDescent="0.2">
      <c r="A430" s="53" t="s">
        <v>21</v>
      </c>
      <c r="B430" s="53" t="s">
        <v>33</v>
      </c>
      <c r="C430" s="53" t="s">
        <v>41</v>
      </c>
      <c r="D430" s="53" t="s">
        <v>40</v>
      </c>
      <c r="E430" s="53" t="s">
        <v>25</v>
      </c>
      <c r="F430" s="53" t="s">
        <v>63</v>
      </c>
      <c r="G430" s="53" t="s">
        <v>25</v>
      </c>
      <c r="H430" s="53" t="s">
        <v>36</v>
      </c>
      <c r="I430" s="73">
        <v>43831</v>
      </c>
      <c r="J430" s="74">
        <f ca="1">EFEITO!$J$430*EFEITO!$Y$430</f>
        <v>532305.53702940047</v>
      </c>
      <c r="K430" s="74">
        <f ca="1">EFEITO!$L$430*EFEITO!$Z$430</f>
        <v>0</v>
      </c>
      <c r="L430" s="74">
        <f>EFEITO!$N$430*EFEITO!$AA$430</f>
        <v>0</v>
      </c>
      <c r="M430" s="74">
        <f ca="1">$J$430-EFEITO!$K$430*EFEITO!$Y$430</f>
        <v>146558.72536033817</v>
      </c>
      <c r="N430" s="74">
        <f ca="1">$K$430-EFEITO!$M$430*EFEITO!$Z$430</f>
        <v>0</v>
      </c>
      <c r="O430" s="74">
        <f>$L$430-EFEITO!$O$430*EFEITO!$AA$430</f>
        <v>0</v>
      </c>
      <c r="P430" s="57"/>
      <c r="Q430" s="57"/>
      <c r="R430" s="57"/>
      <c r="S430" s="57"/>
      <c r="T430" s="57"/>
      <c r="U430" s="57"/>
      <c r="V430" s="57"/>
      <c r="W430" s="57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</row>
    <row r="431" spans="1:36" ht="11.25" customHeight="1" x14ac:dyDescent="0.2">
      <c r="A431" s="53" t="s">
        <v>21</v>
      </c>
      <c r="B431" s="53" t="s">
        <v>33</v>
      </c>
      <c r="C431" s="53" t="s">
        <v>41</v>
      </c>
      <c r="D431" s="53" t="s">
        <v>40</v>
      </c>
      <c r="E431" s="53" t="s">
        <v>25</v>
      </c>
      <c r="F431" s="53" t="s">
        <v>63</v>
      </c>
      <c r="G431" s="53" t="s">
        <v>25</v>
      </c>
      <c r="H431" s="53" t="s">
        <v>36</v>
      </c>
      <c r="I431" s="73">
        <v>43862</v>
      </c>
      <c r="J431" s="74">
        <f ca="1">EFEITO!$J$431*EFEITO!$Y$431</f>
        <v>535741.24402399652</v>
      </c>
      <c r="K431" s="74">
        <f ca="1">EFEITO!$L$431*EFEITO!$Z$431</f>
        <v>0</v>
      </c>
      <c r="L431" s="74">
        <f>EFEITO!$N$431*EFEITO!$AA$431</f>
        <v>0</v>
      </c>
      <c r="M431" s="74">
        <f ca="1">$J$431-EFEITO!$K$431*EFEITO!$Y$431</f>
        <v>149413.13805906201</v>
      </c>
      <c r="N431" s="74">
        <f ca="1">$K$431-EFEITO!$M$431*EFEITO!$Z$431</f>
        <v>0</v>
      </c>
      <c r="O431" s="74">
        <f>$L$431-EFEITO!$O$431*EFEITO!$AA$431</f>
        <v>0</v>
      </c>
      <c r="P431" s="57"/>
      <c r="Q431" s="57"/>
      <c r="R431" s="57"/>
      <c r="S431" s="57"/>
      <c r="T431" s="57"/>
      <c r="U431" s="57"/>
      <c r="V431" s="57"/>
      <c r="W431" s="57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</row>
    <row r="432" spans="1:36" ht="11.25" customHeight="1" x14ac:dyDescent="0.2">
      <c r="A432" s="53" t="s">
        <v>21</v>
      </c>
      <c r="B432" s="53" t="s">
        <v>33</v>
      </c>
      <c r="C432" s="53" t="s">
        <v>41</v>
      </c>
      <c r="D432" s="53" t="s">
        <v>40</v>
      </c>
      <c r="E432" s="53" t="s">
        <v>25</v>
      </c>
      <c r="F432" s="53" t="s">
        <v>63</v>
      </c>
      <c r="G432" s="53" t="s">
        <v>25</v>
      </c>
      <c r="H432" s="53" t="s">
        <v>36</v>
      </c>
      <c r="I432" s="73">
        <v>43891</v>
      </c>
      <c r="J432" s="74">
        <f ca="1">EFEITO!$J$432*EFEITO!$Y$432</f>
        <v>530163.94633610232</v>
      </c>
      <c r="K432" s="74">
        <f ca="1">EFEITO!$L$432*EFEITO!$Z$432</f>
        <v>0</v>
      </c>
      <c r="L432" s="74">
        <f>EFEITO!$N$432*EFEITO!$AA$432</f>
        <v>0</v>
      </c>
      <c r="M432" s="74">
        <f ca="1">$J$432-EFEITO!$K$432*EFEITO!$Y$432</f>
        <v>128955.52492643072</v>
      </c>
      <c r="N432" s="74">
        <f ca="1">$K$432-EFEITO!$M$432*EFEITO!$Z$432</f>
        <v>0</v>
      </c>
      <c r="O432" s="74">
        <f>$L$432-EFEITO!$O$432*EFEITO!$AA$432</f>
        <v>0</v>
      </c>
      <c r="P432" s="57"/>
      <c r="Q432" s="57"/>
      <c r="R432" s="57"/>
      <c r="S432" s="57"/>
      <c r="T432" s="57"/>
      <c r="U432" s="57"/>
      <c r="V432" s="57"/>
      <c r="W432" s="57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</row>
    <row r="433" spans="1:36" ht="11.25" customHeight="1" x14ac:dyDescent="0.2">
      <c r="A433" s="53" t="s">
        <v>21</v>
      </c>
      <c r="B433" s="53" t="s">
        <v>33</v>
      </c>
      <c r="C433" s="53" t="s">
        <v>41</v>
      </c>
      <c r="D433" s="53" t="s">
        <v>40</v>
      </c>
      <c r="E433" s="53" t="s">
        <v>25</v>
      </c>
      <c r="F433" s="53" t="s">
        <v>63</v>
      </c>
      <c r="G433" s="53" t="s">
        <v>25</v>
      </c>
      <c r="H433" s="53" t="s">
        <v>36</v>
      </c>
      <c r="I433" s="73">
        <v>43922</v>
      </c>
      <c r="J433" s="74">
        <f ca="1">EFEITO!$J$433*EFEITO!$Y$433</f>
        <v>531492.41970734613</v>
      </c>
      <c r="K433" s="74">
        <f ca="1">EFEITO!$L$433*EFEITO!$Z$433</f>
        <v>0</v>
      </c>
      <c r="L433" s="74">
        <f>EFEITO!$N$433*EFEITO!$AA$433</f>
        <v>0</v>
      </c>
      <c r="M433" s="74">
        <f ca="1">$J$433-EFEITO!$K$433*EFEITO!$Y$433</f>
        <v>132065.7254219075</v>
      </c>
      <c r="N433" s="74">
        <f ca="1">$K$433-EFEITO!$M$433*EFEITO!$Z$433</f>
        <v>0</v>
      </c>
      <c r="O433" s="74">
        <f>$L$433-EFEITO!$O$433*EFEITO!$AA$433</f>
        <v>0</v>
      </c>
      <c r="P433" s="57"/>
      <c r="Q433" s="57"/>
      <c r="R433" s="57"/>
      <c r="S433" s="57"/>
      <c r="T433" s="57"/>
      <c r="U433" s="57"/>
      <c r="V433" s="57"/>
      <c r="W433" s="57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</row>
    <row r="434" spans="1:36" ht="11.25" customHeight="1" x14ac:dyDescent="0.2">
      <c r="A434" s="53" t="s">
        <v>21</v>
      </c>
      <c r="B434" s="53" t="s">
        <v>33</v>
      </c>
      <c r="C434" s="53" t="s">
        <v>41</v>
      </c>
      <c r="D434" s="53" t="s">
        <v>40</v>
      </c>
      <c r="E434" s="53" t="s">
        <v>25</v>
      </c>
      <c r="F434" s="53" t="s">
        <v>63</v>
      </c>
      <c r="G434" s="53" t="s">
        <v>25</v>
      </c>
      <c r="H434" s="53" t="s">
        <v>36</v>
      </c>
      <c r="I434" s="73">
        <v>43952</v>
      </c>
      <c r="J434" s="74">
        <f ca="1">EFEITO!$J$434*EFEITO!$Y$434</f>
        <v>479968.2671450554</v>
      </c>
      <c r="K434" s="74">
        <f ca="1">EFEITO!$L$434*EFEITO!$Z$434</f>
        <v>0</v>
      </c>
      <c r="L434" s="74">
        <f>EFEITO!$N$434*EFEITO!$AA$434</f>
        <v>0</v>
      </c>
      <c r="M434" s="74">
        <f ca="1">$J$434-EFEITO!$K$434*EFEITO!$Y$434</f>
        <v>119283.77761443792</v>
      </c>
      <c r="N434" s="74">
        <f ca="1">$K$434-EFEITO!$M$434*EFEITO!$Z$434</f>
        <v>0</v>
      </c>
      <c r="O434" s="74">
        <f>$L$434-EFEITO!$O$434*EFEITO!$AA$434</f>
        <v>0</v>
      </c>
      <c r="P434" s="57"/>
      <c r="Q434" s="57"/>
      <c r="R434" s="57"/>
      <c r="S434" s="57"/>
      <c r="T434" s="57"/>
      <c r="U434" s="57"/>
      <c r="V434" s="57"/>
      <c r="W434" s="57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</row>
    <row r="435" spans="1:36" ht="11.25" customHeight="1" x14ac:dyDescent="0.2">
      <c r="A435" s="53" t="s">
        <v>21</v>
      </c>
      <c r="B435" s="53" t="s">
        <v>33</v>
      </c>
      <c r="C435" s="53" t="s">
        <v>41</v>
      </c>
      <c r="D435" s="53" t="s">
        <v>40</v>
      </c>
      <c r="E435" s="53" t="s">
        <v>25</v>
      </c>
      <c r="F435" s="53" t="s">
        <v>63</v>
      </c>
      <c r="G435" s="53" t="s">
        <v>25</v>
      </c>
      <c r="H435" s="53" t="s">
        <v>36</v>
      </c>
      <c r="I435" s="73">
        <v>43983</v>
      </c>
      <c r="J435" s="74">
        <f ca="1">EFEITO!$J$435*EFEITO!$Y$435</f>
        <v>479968.2671450554</v>
      </c>
      <c r="K435" s="74">
        <f ca="1">EFEITO!$L$435*EFEITO!$Z$435</f>
        <v>0</v>
      </c>
      <c r="L435" s="74">
        <f>EFEITO!$N$435*EFEITO!$AA$435</f>
        <v>0</v>
      </c>
      <c r="M435" s="74">
        <f ca="1">$J$435-EFEITO!$K$435*EFEITO!$Y$435</f>
        <v>125313.32137425558</v>
      </c>
      <c r="N435" s="74">
        <f ca="1">$K$435-EFEITO!$M$435*EFEITO!$Z$435</f>
        <v>0</v>
      </c>
      <c r="O435" s="74">
        <f>$L$435-EFEITO!$O$435*EFEITO!$AA$435</f>
        <v>0</v>
      </c>
      <c r="P435" s="57"/>
      <c r="Q435" s="57"/>
      <c r="R435" s="57"/>
      <c r="S435" s="57"/>
      <c r="T435" s="57"/>
      <c r="U435" s="57"/>
      <c r="V435" s="57"/>
      <c r="W435" s="57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</row>
    <row r="436" spans="1:36" ht="11.25" customHeight="1" x14ac:dyDescent="0.2">
      <c r="A436" s="53" t="s">
        <v>21</v>
      </c>
      <c r="B436" s="53" t="s">
        <v>33</v>
      </c>
      <c r="C436" s="53" t="s">
        <v>41</v>
      </c>
      <c r="D436" s="53" t="s">
        <v>40</v>
      </c>
      <c r="E436" s="53" t="s">
        <v>25</v>
      </c>
      <c r="F436" s="53" t="s">
        <v>63</v>
      </c>
      <c r="G436" s="53" t="s">
        <v>25</v>
      </c>
      <c r="H436" s="53" t="s">
        <v>36</v>
      </c>
      <c r="I436" s="73">
        <v>44013</v>
      </c>
      <c r="J436" s="74">
        <f ca="1">EFEITO!$J$436*EFEITO!$Y$436</f>
        <v>504029.66846387577</v>
      </c>
      <c r="K436" s="74">
        <f ca="1">EFEITO!$L$436*EFEITO!$Z$436</f>
        <v>0</v>
      </c>
      <c r="L436" s="74">
        <f>EFEITO!$N$436*EFEITO!$AA$436</f>
        <v>0</v>
      </c>
      <c r="M436" s="74">
        <f ca="1">$J$436-EFEITO!$K$436*EFEITO!$Y$436</f>
        <v>136333.08483094367</v>
      </c>
      <c r="N436" s="74">
        <f ca="1">$K$436-EFEITO!$M$436*EFEITO!$Z$436</f>
        <v>0</v>
      </c>
      <c r="O436" s="74">
        <f>$L$436-EFEITO!$O$436*EFEITO!$AA$436</f>
        <v>0</v>
      </c>
      <c r="P436" s="57"/>
      <c r="Q436" s="57"/>
      <c r="R436" s="57"/>
      <c r="S436" s="57"/>
      <c r="T436" s="57"/>
      <c r="U436" s="57"/>
      <c r="V436" s="57"/>
      <c r="W436" s="57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</row>
    <row r="437" spans="1:36" ht="11.25" customHeight="1" x14ac:dyDescent="0.2">
      <c r="A437" s="53" t="s">
        <v>21</v>
      </c>
      <c r="B437" s="53" t="s">
        <v>33</v>
      </c>
      <c r="C437" s="53" t="s">
        <v>41</v>
      </c>
      <c r="D437" s="53" t="s">
        <v>40</v>
      </c>
      <c r="E437" s="53" t="s">
        <v>25</v>
      </c>
      <c r="F437" s="53" t="s">
        <v>63</v>
      </c>
      <c r="G437" s="53" t="s">
        <v>25</v>
      </c>
      <c r="H437" s="53" t="s">
        <v>36</v>
      </c>
      <c r="I437" s="73">
        <v>44044</v>
      </c>
      <c r="J437" s="74">
        <f ca="1">EFEITO!$J$437*EFEITO!$Y$437</f>
        <v>513042.67314636585</v>
      </c>
      <c r="K437" s="74">
        <f ca="1">EFEITO!$L$437*EFEITO!$Z$437</f>
        <v>0</v>
      </c>
      <c r="L437" s="74">
        <f>EFEITO!$N$437*EFEITO!$AA$437</f>
        <v>0</v>
      </c>
      <c r="M437" s="74">
        <f ca="1">$J$437-EFEITO!$K$437*EFEITO!$Y$437</f>
        <v>128260.66828659148</v>
      </c>
      <c r="N437" s="74">
        <f ca="1">$K$437-EFEITO!$M$437*EFEITO!$Z$437</f>
        <v>0</v>
      </c>
      <c r="O437" s="74">
        <f>$L$437-EFEITO!$O$437*EFEITO!$AA$437</f>
        <v>0</v>
      </c>
      <c r="P437" s="57"/>
      <c r="Q437" s="57"/>
      <c r="R437" s="57"/>
      <c r="S437" s="57"/>
      <c r="T437" s="57"/>
      <c r="U437" s="57"/>
      <c r="V437" s="57"/>
      <c r="W437" s="57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</row>
    <row r="438" spans="1:36" ht="11.25" customHeight="1" x14ac:dyDescent="0.2">
      <c r="A438" s="53" t="s">
        <v>59</v>
      </c>
      <c r="B438" s="53" t="s">
        <v>33</v>
      </c>
      <c r="C438" s="53" t="s">
        <v>41</v>
      </c>
      <c r="D438" s="53" t="s">
        <v>40</v>
      </c>
      <c r="E438" s="53" t="s">
        <v>25</v>
      </c>
      <c r="F438" s="53" t="s">
        <v>63</v>
      </c>
      <c r="G438" s="53" t="s">
        <v>25</v>
      </c>
      <c r="H438" s="53" t="s">
        <v>36</v>
      </c>
      <c r="I438" s="73">
        <v>44075</v>
      </c>
      <c r="J438" s="74">
        <f ca="1">EFEITO!$J$438*EFEITO!$Y$438</f>
        <v>513042.67314636585</v>
      </c>
      <c r="K438" s="74">
        <f ca="1">EFEITO!$L$438*EFEITO!$Z$438</f>
        <v>0</v>
      </c>
      <c r="L438" s="74">
        <f>EFEITO!$N$438*EFEITO!$AA$438</f>
        <v>0</v>
      </c>
      <c r="M438" s="74">
        <f ca="1">$J$438-EFEITO!$K$438*EFEITO!$Y$438</f>
        <v>128260.66828659148</v>
      </c>
      <c r="N438" s="74">
        <f ca="1">$K$438-EFEITO!$M$438*EFEITO!$Z$438</f>
        <v>0</v>
      </c>
      <c r="O438" s="74">
        <f>$L$438-EFEITO!$O$438*EFEITO!$AA$438</f>
        <v>0</v>
      </c>
      <c r="P438" s="57"/>
      <c r="Q438" s="57"/>
      <c r="R438" s="57"/>
      <c r="S438" s="57"/>
      <c r="T438" s="57"/>
      <c r="U438" s="57"/>
      <c r="V438" s="57"/>
      <c r="W438" s="57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</row>
    <row r="439" spans="1:36" ht="11.25" customHeight="1" x14ac:dyDescent="0.2">
      <c r="A439" s="53" t="s">
        <v>21</v>
      </c>
      <c r="B439" s="53" t="s">
        <v>33</v>
      </c>
      <c r="C439" s="53" t="s">
        <v>41</v>
      </c>
      <c r="D439" s="53" t="s">
        <v>40</v>
      </c>
      <c r="E439" s="53" t="s">
        <v>25</v>
      </c>
      <c r="F439" s="53" t="s">
        <v>63</v>
      </c>
      <c r="G439" s="53" t="s">
        <v>25</v>
      </c>
      <c r="H439" s="53" t="s">
        <v>25</v>
      </c>
      <c r="I439" s="73">
        <v>43739</v>
      </c>
      <c r="J439" s="74">
        <f>EFEITO!$J$439*EFEITO!$Y$439</f>
        <v>0</v>
      </c>
      <c r="K439" s="74">
        <f ca="1">EFEITO!$L$439*EFEITO!$Z$439</f>
        <v>1775551.5939316014</v>
      </c>
      <c r="L439" s="74">
        <f>EFEITO!$N$439*EFEITO!$AA$439</f>
        <v>0</v>
      </c>
      <c r="M439" s="74">
        <f>$J$439-EFEITO!$K$439*EFEITO!$Y$439</f>
        <v>0</v>
      </c>
      <c r="N439" s="74">
        <f ca="1">$K$439-EFEITO!$M$439*EFEITO!$Z$439</f>
        <v>0</v>
      </c>
      <c r="O439" s="74">
        <f>$L$439-EFEITO!$O$439*EFEITO!$AA$439</f>
        <v>0</v>
      </c>
      <c r="P439" s="57"/>
      <c r="Q439" s="57"/>
      <c r="R439" s="57"/>
      <c r="S439" s="57"/>
      <c r="T439" s="57"/>
      <c r="U439" s="57"/>
      <c r="V439" s="57"/>
      <c r="W439" s="57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</row>
    <row r="440" spans="1:36" ht="11.25" customHeight="1" x14ac:dyDescent="0.2">
      <c r="A440" s="53" t="s">
        <v>21</v>
      </c>
      <c r="B440" s="53" t="s">
        <v>33</v>
      </c>
      <c r="C440" s="53" t="s">
        <v>41</v>
      </c>
      <c r="D440" s="53" t="s">
        <v>40</v>
      </c>
      <c r="E440" s="53" t="s">
        <v>25</v>
      </c>
      <c r="F440" s="53" t="s">
        <v>63</v>
      </c>
      <c r="G440" s="53" t="s">
        <v>25</v>
      </c>
      <c r="H440" s="53" t="s">
        <v>25</v>
      </c>
      <c r="I440" s="73">
        <v>43770</v>
      </c>
      <c r="J440" s="74">
        <f>EFEITO!$J$440*EFEITO!$Y$440</f>
        <v>0</v>
      </c>
      <c r="K440" s="74">
        <f ca="1">EFEITO!$L$440*EFEITO!$Z$440</f>
        <v>1725777.669914084</v>
      </c>
      <c r="L440" s="74">
        <f>EFEITO!$N$440*EFEITO!$AA$440</f>
        <v>0</v>
      </c>
      <c r="M440" s="74">
        <f>$J$440-EFEITO!$K$440*EFEITO!$Y$440</f>
        <v>0</v>
      </c>
      <c r="N440" s="74">
        <f ca="1">$K$440-EFEITO!$M$440*EFEITO!$Z$440</f>
        <v>0</v>
      </c>
      <c r="O440" s="74">
        <f>$L$440-EFEITO!$O$440*EFEITO!$AA$440</f>
        <v>0</v>
      </c>
      <c r="P440" s="57"/>
      <c r="Q440" s="57"/>
      <c r="R440" s="57"/>
      <c r="S440" s="57"/>
      <c r="T440" s="57"/>
      <c r="U440" s="57"/>
      <c r="V440" s="57"/>
      <c r="W440" s="57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</row>
    <row r="441" spans="1:36" ht="11.25" customHeight="1" x14ac:dyDescent="0.2">
      <c r="A441" s="53" t="s">
        <v>21</v>
      </c>
      <c r="B441" s="53" t="s">
        <v>33</v>
      </c>
      <c r="C441" s="53" t="s">
        <v>41</v>
      </c>
      <c r="D441" s="53" t="s">
        <v>40</v>
      </c>
      <c r="E441" s="53" t="s">
        <v>25</v>
      </c>
      <c r="F441" s="53" t="s">
        <v>63</v>
      </c>
      <c r="G441" s="53" t="s">
        <v>25</v>
      </c>
      <c r="H441" s="53" t="s">
        <v>25</v>
      </c>
      <c r="I441" s="73">
        <v>43800</v>
      </c>
      <c r="J441" s="74">
        <f>EFEITO!$J$441*EFEITO!$Y$441</f>
        <v>0</v>
      </c>
      <c r="K441" s="74">
        <f ca="1">EFEITO!$L$441*EFEITO!$Z$441</f>
        <v>1742288.372587553</v>
      </c>
      <c r="L441" s="74">
        <f>EFEITO!$N$441*EFEITO!$AA$441</f>
        <v>0</v>
      </c>
      <c r="M441" s="74">
        <f>$J$441-EFEITO!$K$441*EFEITO!$Y$441</f>
        <v>0</v>
      </c>
      <c r="N441" s="74">
        <f ca="1">$K$441-EFEITO!$M$441*EFEITO!$Z$441</f>
        <v>0</v>
      </c>
      <c r="O441" s="74">
        <f>$L$441-EFEITO!$O$441*EFEITO!$AA$441</f>
        <v>0</v>
      </c>
      <c r="P441" s="57"/>
      <c r="Q441" s="57"/>
      <c r="R441" s="57"/>
      <c r="S441" s="57"/>
      <c r="T441" s="57"/>
      <c r="U441" s="57"/>
      <c r="V441" s="57"/>
      <c r="W441" s="57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</row>
    <row r="442" spans="1:36" ht="11.25" customHeight="1" x14ac:dyDescent="0.2">
      <c r="A442" s="53" t="s">
        <v>21</v>
      </c>
      <c r="B442" s="53" t="s">
        <v>33</v>
      </c>
      <c r="C442" s="53" t="s">
        <v>41</v>
      </c>
      <c r="D442" s="53" t="s">
        <v>40</v>
      </c>
      <c r="E442" s="53" t="s">
        <v>25</v>
      </c>
      <c r="F442" s="53" t="s">
        <v>63</v>
      </c>
      <c r="G442" s="53" t="s">
        <v>25</v>
      </c>
      <c r="H442" s="53" t="s">
        <v>25</v>
      </c>
      <c r="I442" s="73">
        <v>43831</v>
      </c>
      <c r="J442" s="74">
        <f>EFEITO!$J$442*EFEITO!$Y$442</f>
        <v>0</v>
      </c>
      <c r="K442" s="74">
        <f ca="1">EFEITO!$L$442*EFEITO!$Z$442</f>
        <v>1833724.5760782007</v>
      </c>
      <c r="L442" s="74">
        <f>EFEITO!$N$442*EFEITO!$AA$442</f>
        <v>0</v>
      </c>
      <c r="M442" s="74">
        <f>$J$442-EFEITO!$K$442*EFEITO!$Y$442</f>
        <v>0</v>
      </c>
      <c r="N442" s="74">
        <f ca="1">$K$442-EFEITO!$M$442*EFEITO!$Z$442</f>
        <v>0</v>
      </c>
      <c r="O442" s="74">
        <f>$L$442-EFEITO!$O$442*EFEITO!$AA$442</f>
        <v>0</v>
      </c>
      <c r="P442" s="57"/>
      <c r="Q442" s="57"/>
      <c r="R442" s="57"/>
      <c r="S442" s="57"/>
      <c r="T442" s="57"/>
      <c r="U442" s="57"/>
      <c r="V442" s="57"/>
      <c r="W442" s="57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</row>
    <row r="443" spans="1:36" ht="11.25" customHeight="1" x14ac:dyDescent="0.2">
      <c r="A443" s="53" t="s">
        <v>21</v>
      </c>
      <c r="B443" s="53" t="s">
        <v>33</v>
      </c>
      <c r="C443" s="53" t="s">
        <v>41</v>
      </c>
      <c r="D443" s="53" t="s">
        <v>40</v>
      </c>
      <c r="E443" s="53" t="s">
        <v>25</v>
      </c>
      <c r="F443" s="53" t="s">
        <v>63</v>
      </c>
      <c r="G443" s="53" t="s">
        <v>25</v>
      </c>
      <c r="H443" s="53" t="s">
        <v>25</v>
      </c>
      <c r="I443" s="73">
        <v>43862</v>
      </c>
      <c r="J443" s="74">
        <f>EFEITO!$J$443*EFEITO!$Y$443</f>
        <v>0</v>
      </c>
      <c r="K443" s="74">
        <f ca="1">EFEITO!$L$443*EFEITO!$Z$443</f>
        <v>1699817.3266905022</v>
      </c>
      <c r="L443" s="74">
        <f>EFEITO!$N$443*EFEITO!$AA$443</f>
        <v>0</v>
      </c>
      <c r="M443" s="74">
        <f>$J$443-EFEITO!$K$443*EFEITO!$Y$443</f>
        <v>0</v>
      </c>
      <c r="N443" s="74">
        <f ca="1">$K$443-EFEITO!$M$443*EFEITO!$Z$443</f>
        <v>0</v>
      </c>
      <c r="O443" s="74">
        <f>$L$443-EFEITO!$O$443*EFEITO!$AA$443</f>
        <v>0</v>
      </c>
      <c r="P443" s="57"/>
      <c r="Q443" s="57"/>
      <c r="R443" s="57"/>
      <c r="S443" s="57"/>
      <c r="T443" s="57"/>
      <c r="U443" s="57"/>
      <c r="V443" s="57"/>
      <c r="W443" s="57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</row>
    <row r="444" spans="1:36" ht="11.25" customHeight="1" x14ac:dyDescent="0.2">
      <c r="A444" s="53" t="s">
        <v>21</v>
      </c>
      <c r="B444" s="53" t="s">
        <v>33</v>
      </c>
      <c r="C444" s="53" t="s">
        <v>41</v>
      </c>
      <c r="D444" s="53" t="s">
        <v>40</v>
      </c>
      <c r="E444" s="53" t="s">
        <v>25</v>
      </c>
      <c r="F444" s="53" t="s">
        <v>63</v>
      </c>
      <c r="G444" s="53" t="s">
        <v>25</v>
      </c>
      <c r="H444" s="53" t="s">
        <v>25</v>
      </c>
      <c r="I444" s="73">
        <v>43891</v>
      </c>
      <c r="J444" s="74">
        <f>EFEITO!$J$444*EFEITO!$Y$444</f>
        <v>0</v>
      </c>
      <c r="K444" s="74">
        <f ca="1">EFEITO!$L$444*EFEITO!$Z$444</f>
        <v>1695996.4063858229</v>
      </c>
      <c r="L444" s="74">
        <f>EFEITO!$N$444*EFEITO!$AA$444</f>
        <v>0</v>
      </c>
      <c r="M444" s="74">
        <f>$J$444-EFEITO!$K$444*EFEITO!$Y$444</f>
        <v>0</v>
      </c>
      <c r="N444" s="74">
        <f ca="1">$K$444-EFEITO!$M$444*EFEITO!$Z$444</f>
        <v>0</v>
      </c>
      <c r="O444" s="74">
        <f>$L$444-EFEITO!$O$444*EFEITO!$AA$444</f>
        <v>0</v>
      </c>
      <c r="P444" s="57"/>
      <c r="Q444" s="57"/>
      <c r="R444" s="57"/>
      <c r="S444" s="57"/>
      <c r="T444" s="57"/>
      <c r="U444" s="57"/>
      <c r="V444" s="57"/>
      <c r="W444" s="57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</row>
    <row r="445" spans="1:36" ht="11.25" customHeight="1" x14ac:dyDescent="0.2">
      <c r="A445" s="53" t="s">
        <v>21</v>
      </c>
      <c r="B445" s="53" t="s">
        <v>33</v>
      </c>
      <c r="C445" s="53" t="s">
        <v>41</v>
      </c>
      <c r="D445" s="53" t="s">
        <v>40</v>
      </c>
      <c r="E445" s="53" t="s">
        <v>25</v>
      </c>
      <c r="F445" s="53" t="s">
        <v>63</v>
      </c>
      <c r="G445" s="53" t="s">
        <v>25</v>
      </c>
      <c r="H445" s="53" t="s">
        <v>25</v>
      </c>
      <c r="I445" s="73">
        <v>43922</v>
      </c>
      <c r="J445" s="74">
        <f>EFEITO!$J$445*EFEITO!$Y$445</f>
        <v>0</v>
      </c>
      <c r="K445" s="74">
        <f ca="1">EFEITO!$L$445*EFEITO!$Z$445</f>
        <v>1299838.3515822203</v>
      </c>
      <c r="L445" s="74">
        <f>EFEITO!$N$445*EFEITO!$AA$445</f>
        <v>0</v>
      </c>
      <c r="M445" s="74">
        <f>$J$445-EFEITO!$K$445*EFEITO!$Y$445</f>
        <v>0</v>
      </c>
      <c r="N445" s="74">
        <f ca="1">$K$445-EFEITO!$M$445*EFEITO!$Z$445</f>
        <v>0</v>
      </c>
      <c r="O445" s="74">
        <f>$L$445-EFEITO!$O$445*EFEITO!$AA$445</f>
        <v>0</v>
      </c>
      <c r="P445" s="57"/>
      <c r="Q445" s="57"/>
      <c r="R445" s="57"/>
      <c r="S445" s="57"/>
      <c r="T445" s="57"/>
      <c r="U445" s="57"/>
      <c r="V445" s="57"/>
      <c r="W445" s="57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</row>
    <row r="446" spans="1:36" ht="11.25" customHeight="1" x14ac:dyDescent="0.2">
      <c r="A446" s="53" t="s">
        <v>21</v>
      </c>
      <c r="B446" s="53" t="s">
        <v>33</v>
      </c>
      <c r="C446" s="53" t="s">
        <v>41</v>
      </c>
      <c r="D446" s="53" t="s">
        <v>40</v>
      </c>
      <c r="E446" s="53" t="s">
        <v>25</v>
      </c>
      <c r="F446" s="53" t="s">
        <v>63</v>
      </c>
      <c r="G446" s="53" t="s">
        <v>25</v>
      </c>
      <c r="H446" s="53" t="s">
        <v>25</v>
      </c>
      <c r="I446" s="73">
        <v>43952</v>
      </c>
      <c r="J446" s="74">
        <f>EFEITO!$J$446*EFEITO!$Y$446</f>
        <v>0</v>
      </c>
      <c r="K446" s="74">
        <f ca="1">EFEITO!$L$446*EFEITO!$Z$446</f>
        <v>1409826.5593448149</v>
      </c>
      <c r="L446" s="74">
        <f>EFEITO!$N$446*EFEITO!$AA$446</f>
        <v>0</v>
      </c>
      <c r="M446" s="74">
        <f>$J$446-EFEITO!$K$446*EFEITO!$Y$446</f>
        <v>0</v>
      </c>
      <c r="N446" s="74">
        <f ca="1">$K$446-EFEITO!$M$446*EFEITO!$Z$446</f>
        <v>0</v>
      </c>
      <c r="O446" s="74">
        <f>$L$446-EFEITO!$O$446*EFEITO!$AA$446</f>
        <v>0</v>
      </c>
      <c r="P446" s="57"/>
      <c r="Q446" s="57"/>
      <c r="R446" s="57"/>
      <c r="S446" s="57"/>
      <c r="T446" s="57"/>
      <c r="U446" s="57"/>
      <c r="V446" s="57"/>
      <c r="W446" s="57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</row>
    <row r="447" spans="1:36" ht="11.25" customHeight="1" x14ac:dyDescent="0.2">
      <c r="A447" s="53" t="s">
        <v>21</v>
      </c>
      <c r="B447" s="53" t="s">
        <v>33</v>
      </c>
      <c r="C447" s="53" t="s">
        <v>41</v>
      </c>
      <c r="D447" s="53" t="s">
        <v>40</v>
      </c>
      <c r="E447" s="53" t="s">
        <v>25</v>
      </c>
      <c r="F447" s="53" t="s">
        <v>63</v>
      </c>
      <c r="G447" s="53" t="s">
        <v>25</v>
      </c>
      <c r="H447" s="53" t="s">
        <v>25</v>
      </c>
      <c r="I447" s="73">
        <v>43983</v>
      </c>
      <c r="J447" s="74">
        <f>EFEITO!$J$447*EFEITO!$Y$447</f>
        <v>0</v>
      </c>
      <c r="K447" s="74">
        <f ca="1">EFEITO!$L$447*EFEITO!$Z$447</f>
        <v>1409826.5593448149</v>
      </c>
      <c r="L447" s="74">
        <f>EFEITO!$N$447*EFEITO!$AA$447</f>
        <v>0</v>
      </c>
      <c r="M447" s="74">
        <f>$J$447-EFEITO!$K$447*EFEITO!$Y$447</f>
        <v>0</v>
      </c>
      <c r="N447" s="74">
        <f ca="1">$K$447-EFEITO!$M$447*EFEITO!$Z$447</f>
        <v>0</v>
      </c>
      <c r="O447" s="74">
        <f>$L$447-EFEITO!$O$447*EFEITO!$AA$447</f>
        <v>0</v>
      </c>
      <c r="P447" s="57"/>
      <c r="Q447" s="57"/>
      <c r="R447" s="57"/>
      <c r="S447" s="57"/>
      <c r="T447" s="57"/>
      <c r="U447" s="57"/>
      <c r="V447" s="57"/>
      <c r="W447" s="57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</row>
    <row r="448" spans="1:36" ht="11.25" customHeight="1" x14ac:dyDescent="0.2">
      <c r="A448" s="53" t="s">
        <v>21</v>
      </c>
      <c r="B448" s="53" t="s">
        <v>33</v>
      </c>
      <c r="C448" s="53" t="s">
        <v>41</v>
      </c>
      <c r="D448" s="53" t="s">
        <v>40</v>
      </c>
      <c r="E448" s="53" t="s">
        <v>25</v>
      </c>
      <c r="F448" s="53" t="s">
        <v>63</v>
      </c>
      <c r="G448" s="53" t="s">
        <v>25</v>
      </c>
      <c r="H448" s="53" t="s">
        <v>25</v>
      </c>
      <c r="I448" s="73">
        <v>44013</v>
      </c>
      <c r="J448" s="74">
        <f>EFEITO!$J$448*EFEITO!$Y$448</f>
        <v>0</v>
      </c>
      <c r="K448" s="74">
        <f ca="1">EFEITO!$L$448*EFEITO!$Z$448</f>
        <v>1518192.6832527455</v>
      </c>
      <c r="L448" s="74">
        <f>EFEITO!$N$448*EFEITO!$AA$448</f>
        <v>0</v>
      </c>
      <c r="M448" s="74">
        <f>$J$448-EFEITO!$K$448*EFEITO!$Y$448</f>
        <v>0</v>
      </c>
      <c r="N448" s="74">
        <f ca="1">$K$448-EFEITO!$M$448*EFEITO!$Z$448</f>
        <v>0</v>
      </c>
      <c r="O448" s="74">
        <f>$L$448-EFEITO!$O$448*EFEITO!$AA$448</f>
        <v>0</v>
      </c>
      <c r="P448" s="57"/>
      <c r="Q448" s="57"/>
      <c r="R448" s="57"/>
      <c r="S448" s="57"/>
      <c r="T448" s="57"/>
      <c r="U448" s="57"/>
      <c r="V448" s="57"/>
      <c r="W448" s="57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</row>
    <row r="449" spans="1:36" ht="11.25" customHeight="1" x14ac:dyDescent="0.2">
      <c r="A449" s="53" t="s">
        <v>21</v>
      </c>
      <c r="B449" s="53" t="s">
        <v>33</v>
      </c>
      <c r="C449" s="53" t="s">
        <v>41</v>
      </c>
      <c r="D449" s="53" t="s">
        <v>40</v>
      </c>
      <c r="E449" s="53" t="s">
        <v>25</v>
      </c>
      <c r="F449" s="53" t="s">
        <v>63</v>
      </c>
      <c r="G449" s="53" t="s">
        <v>25</v>
      </c>
      <c r="H449" s="53" t="s">
        <v>25</v>
      </c>
      <c r="I449" s="73">
        <v>44044</v>
      </c>
      <c r="J449" s="74">
        <f>EFEITO!$J$449*EFEITO!$Y$449</f>
        <v>0</v>
      </c>
      <c r="K449" s="74">
        <f ca="1">EFEITO!$L$449*EFEITO!$Z$449</f>
        <v>1744927.2563895294</v>
      </c>
      <c r="L449" s="74">
        <f>EFEITO!$N$449*EFEITO!$AA$449</f>
        <v>0</v>
      </c>
      <c r="M449" s="74">
        <f>$J$449-EFEITO!$K$449*EFEITO!$Y$449</f>
        <v>0</v>
      </c>
      <c r="N449" s="74">
        <f ca="1">$K$449-EFEITO!$M$449*EFEITO!$Z$449</f>
        <v>0</v>
      </c>
      <c r="O449" s="74">
        <f>$L$449-EFEITO!$O$449*EFEITO!$AA$449</f>
        <v>0</v>
      </c>
      <c r="P449" s="57"/>
      <c r="Q449" s="57"/>
      <c r="R449" s="57"/>
      <c r="S449" s="57"/>
      <c r="T449" s="57"/>
      <c r="U449" s="57"/>
      <c r="V449" s="57"/>
      <c r="W449" s="57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</row>
    <row r="450" spans="1:36" ht="11.25" customHeight="1" x14ac:dyDescent="0.2">
      <c r="A450" s="53" t="s">
        <v>59</v>
      </c>
      <c r="B450" s="53" t="s">
        <v>33</v>
      </c>
      <c r="C450" s="53" t="s">
        <v>41</v>
      </c>
      <c r="D450" s="53" t="s">
        <v>40</v>
      </c>
      <c r="E450" s="53" t="s">
        <v>25</v>
      </c>
      <c r="F450" s="53" t="s">
        <v>63</v>
      </c>
      <c r="G450" s="53" t="s">
        <v>25</v>
      </c>
      <c r="H450" s="53" t="s">
        <v>25</v>
      </c>
      <c r="I450" s="73">
        <v>44075</v>
      </c>
      <c r="J450" s="74">
        <f>EFEITO!$J$450*EFEITO!$Y$450</f>
        <v>0</v>
      </c>
      <c r="K450" s="74">
        <f ca="1">EFEITO!$L$450*EFEITO!$Z$450</f>
        <v>1744927.2563895294</v>
      </c>
      <c r="L450" s="74">
        <f>EFEITO!$N$450*EFEITO!$AA$450</f>
        <v>0</v>
      </c>
      <c r="M450" s="74">
        <f>$J$450-EFEITO!$K$450*EFEITO!$Y$450</f>
        <v>0</v>
      </c>
      <c r="N450" s="74">
        <f ca="1">$K$450-EFEITO!$M$450*EFEITO!$Z$450</f>
        <v>0</v>
      </c>
      <c r="O450" s="74">
        <f>$L$450-EFEITO!$O$450*EFEITO!$AA$450</f>
        <v>0</v>
      </c>
      <c r="P450" s="57"/>
      <c r="Q450" s="57"/>
      <c r="R450" s="57"/>
      <c r="S450" s="57"/>
      <c r="T450" s="57"/>
      <c r="U450" s="57"/>
      <c r="V450" s="57"/>
      <c r="W450" s="57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</row>
    <row r="451" spans="1:36" ht="11.25" customHeight="1" x14ac:dyDescent="0.2">
      <c r="A451" s="53" t="s">
        <v>21</v>
      </c>
      <c r="B451" s="53" t="s">
        <v>33</v>
      </c>
      <c r="C451" s="53" t="s">
        <v>41</v>
      </c>
      <c r="D451" s="53" t="s">
        <v>40</v>
      </c>
      <c r="E451" s="53" t="s">
        <v>25</v>
      </c>
      <c r="F451" s="53" t="s">
        <v>63</v>
      </c>
      <c r="G451" s="53" t="s">
        <v>25</v>
      </c>
      <c r="H451" s="53" t="s">
        <v>35</v>
      </c>
      <c r="I451" s="73">
        <v>43739</v>
      </c>
      <c r="J451" s="74">
        <f ca="1">EFEITO!$J$451*EFEITO!$Y$451</f>
        <v>1060373.6096256981</v>
      </c>
      <c r="K451" s="74">
        <f ca="1">EFEITO!$L$451*EFEITO!$Z$451</f>
        <v>0</v>
      </c>
      <c r="L451" s="74">
        <f>EFEITO!$N$451*EFEITO!$AA$451</f>
        <v>0</v>
      </c>
      <c r="M451" s="74">
        <f ca="1">$J$451-EFEITO!$K$451*EFEITO!$Y$451</f>
        <v>298173.62341625115</v>
      </c>
      <c r="N451" s="74">
        <f ca="1">$K$451-EFEITO!$M$451*EFEITO!$Z$451</f>
        <v>0</v>
      </c>
      <c r="O451" s="74">
        <f>$L$451-EFEITO!$O$451*EFEITO!$AA$451</f>
        <v>0</v>
      </c>
      <c r="P451" s="57"/>
      <c r="Q451" s="57"/>
      <c r="R451" s="57"/>
      <c r="S451" s="57"/>
      <c r="T451" s="57"/>
      <c r="U451" s="57"/>
      <c r="V451" s="57"/>
      <c r="W451" s="57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</row>
    <row r="452" spans="1:36" ht="11.25" customHeight="1" x14ac:dyDescent="0.2">
      <c r="A452" s="53" t="s">
        <v>21</v>
      </c>
      <c r="B452" s="53" t="s">
        <v>33</v>
      </c>
      <c r="C452" s="53" t="s">
        <v>41</v>
      </c>
      <c r="D452" s="53" t="s">
        <v>40</v>
      </c>
      <c r="E452" s="53" t="s">
        <v>25</v>
      </c>
      <c r="F452" s="53" t="s">
        <v>63</v>
      </c>
      <c r="G452" s="53" t="s">
        <v>25</v>
      </c>
      <c r="H452" s="53" t="s">
        <v>35</v>
      </c>
      <c r="I452" s="73">
        <v>43770</v>
      </c>
      <c r="J452" s="74">
        <f ca="1">EFEITO!$J$452*EFEITO!$Y$452</f>
        <v>1085385.3738834434</v>
      </c>
      <c r="K452" s="74">
        <f ca="1">EFEITO!$L$452*EFEITO!$Z$452</f>
        <v>0</v>
      </c>
      <c r="L452" s="74">
        <f>EFEITO!$N$452*EFEITO!$AA$452</f>
        <v>0</v>
      </c>
      <c r="M452" s="74">
        <f ca="1">$J$452-EFEITO!$K$452*EFEITO!$Y$452</f>
        <v>304924.33552844485</v>
      </c>
      <c r="N452" s="74">
        <f ca="1">$K$452-EFEITO!$M$452*EFEITO!$Z$452</f>
        <v>0</v>
      </c>
      <c r="O452" s="74">
        <f>$L$452-EFEITO!$O$452*EFEITO!$AA$452</f>
        <v>0</v>
      </c>
      <c r="P452" s="57"/>
      <c r="Q452" s="57"/>
      <c r="R452" s="57"/>
      <c r="S452" s="57"/>
      <c r="T452" s="57"/>
      <c r="U452" s="57"/>
      <c r="V452" s="57"/>
      <c r="W452" s="57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</row>
    <row r="453" spans="1:36" ht="11.25" customHeight="1" x14ac:dyDescent="0.2">
      <c r="A453" s="53" t="s">
        <v>21</v>
      </c>
      <c r="B453" s="53" t="s">
        <v>33</v>
      </c>
      <c r="C453" s="53" t="s">
        <v>41</v>
      </c>
      <c r="D453" s="53" t="s">
        <v>40</v>
      </c>
      <c r="E453" s="53" t="s">
        <v>25</v>
      </c>
      <c r="F453" s="53" t="s">
        <v>63</v>
      </c>
      <c r="G453" s="53" t="s">
        <v>25</v>
      </c>
      <c r="H453" s="53" t="s">
        <v>35</v>
      </c>
      <c r="I453" s="73">
        <v>43800</v>
      </c>
      <c r="J453" s="74">
        <f ca="1">EFEITO!$J$453*EFEITO!$Y$453</f>
        <v>1085385.3738834434</v>
      </c>
      <c r="K453" s="74">
        <f ca="1">EFEITO!$L$453*EFEITO!$Z$453</f>
        <v>0</v>
      </c>
      <c r="L453" s="74">
        <f>EFEITO!$N$453*EFEITO!$AA$453</f>
        <v>0</v>
      </c>
      <c r="M453" s="74">
        <f ca="1">$J$453-EFEITO!$K$453*EFEITO!$Y$453</f>
        <v>302627.76861584489</v>
      </c>
      <c r="N453" s="74">
        <f ca="1">$K$453-EFEITO!$M$453*EFEITO!$Z$453</f>
        <v>0</v>
      </c>
      <c r="O453" s="74">
        <f>$L$453-EFEITO!$O$453*EFEITO!$AA$453</f>
        <v>0</v>
      </c>
      <c r="P453" s="57"/>
      <c r="Q453" s="57"/>
      <c r="R453" s="57"/>
      <c r="S453" s="57"/>
      <c r="T453" s="57"/>
      <c r="U453" s="57"/>
      <c r="V453" s="57"/>
      <c r="W453" s="57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</row>
    <row r="454" spans="1:36" ht="11.25" customHeight="1" x14ac:dyDescent="0.2">
      <c r="A454" s="53" t="s">
        <v>21</v>
      </c>
      <c r="B454" s="53" t="s">
        <v>33</v>
      </c>
      <c r="C454" s="53" t="s">
        <v>41</v>
      </c>
      <c r="D454" s="53" t="s">
        <v>40</v>
      </c>
      <c r="E454" s="53" t="s">
        <v>25</v>
      </c>
      <c r="F454" s="53" t="s">
        <v>63</v>
      </c>
      <c r="G454" s="53" t="s">
        <v>25</v>
      </c>
      <c r="H454" s="53" t="s">
        <v>35</v>
      </c>
      <c r="I454" s="73">
        <v>43831</v>
      </c>
      <c r="J454" s="74">
        <f ca="1">EFEITO!$J$454*EFEITO!$Y$454</f>
        <v>1120303.8652247789</v>
      </c>
      <c r="K454" s="74">
        <f ca="1">EFEITO!$L$454*EFEITO!$Z$454</f>
        <v>0</v>
      </c>
      <c r="L454" s="74">
        <f>EFEITO!$N$454*EFEITO!$AA$454</f>
        <v>0</v>
      </c>
      <c r="M454" s="74">
        <f ca="1">$J$454-EFEITO!$K$454*EFEITO!$Y$454</f>
        <v>314432.26892584981</v>
      </c>
      <c r="N454" s="74">
        <f ca="1">$K$454-EFEITO!$M$454*EFEITO!$Z$454</f>
        <v>0</v>
      </c>
      <c r="O454" s="74">
        <f>$L$454-EFEITO!$O$454*EFEITO!$AA$454</f>
        <v>0</v>
      </c>
      <c r="P454" s="57"/>
      <c r="Q454" s="57"/>
      <c r="R454" s="57"/>
      <c r="S454" s="57"/>
      <c r="T454" s="57"/>
      <c r="U454" s="57"/>
      <c r="V454" s="57"/>
      <c r="W454" s="57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</row>
    <row r="455" spans="1:36" ht="11.25" customHeight="1" x14ac:dyDescent="0.2">
      <c r="A455" s="53" t="s">
        <v>21</v>
      </c>
      <c r="B455" s="53" t="s">
        <v>33</v>
      </c>
      <c r="C455" s="53" t="s">
        <v>41</v>
      </c>
      <c r="D455" s="53" t="s">
        <v>40</v>
      </c>
      <c r="E455" s="53" t="s">
        <v>25</v>
      </c>
      <c r="F455" s="53" t="s">
        <v>63</v>
      </c>
      <c r="G455" s="53" t="s">
        <v>25</v>
      </c>
      <c r="H455" s="53" t="s">
        <v>35</v>
      </c>
      <c r="I455" s="73">
        <v>43862</v>
      </c>
      <c r="J455" s="74">
        <f ca="1">EFEITO!$J$455*EFEITO!$Y$455</f>
        <v>1122535.6004469062</v>
      </c>
      <c r="K455" s="74">
        <f ca="1">EFEITO!$L$455*EFEITO!$Z$455</f>
        <v>0</v>
      </c>
      <c r="L455" s="74">
        <f>EFEITO!$N$455*EFEITO!$AA$455</f>
        <v>0</v>
      </c>
      <c r="M455" s="74">
        <f ca="1">$J$455-EFEITO!$K$455*EFEITO!$Y$455</f>
        <v>318435.39871033607</v>
      </c>
      <c r="N455" s="74">
        <f ca="1">$K$455-EFEITO!$M$455*EFEITO!$Z$455</f>
        <v>0</v>
      </c>
      <c r="O455" s="74">
        <f>$L$455-EFEITO!$O$455*EFEITO!$AA$455</f>
        <v>0</v>
      </c>
      <c r="P455" s="57"/>
      <c r="Q455" s="57"/>
      <c r="R455" s="57"/>
      <c r="S455" s="57"/>
      <c r="T455" s="57"/>
      <c r="U455" s="57"/>
      <c r="V455" s="57"/>
      <c r="W455" s="57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</row>
    <row r="456" spans="1:36" ht="11.25" customHeight="1" x14ac:dyDescent="0.2">
      <c r="A456" s="53" t="s">
        <v>21</v>
      </c>
      <c r="B456" s="53" t="s">
        <v>33</v>
      </c>
      <c r="C456" s="53" t="s">
        <v>41</v>
      </c>
      <c r="D456" s="53" t="s">
        <v>40</v>
      </c>
      <c r="E456" s="53" t="s">
        <v>25</v>
      </c>
      <c r="F456" s="53" t="s">
        <v>63</v>
      </c>
      <c r="G456" s="53" t="s">
        <v>25</v>
      </c>
      <c r="H456" s="53" t="s">
        <v>35</v>
      </c>
      <c r="I456" s="73">
        <v>43891</v>
      </c>
      <c r="J456" s="74">
        <f ca="1">EFEITO!$J$456*EFEITO!$Y$456</f>
        <v>1110968.6800883189</v>
      </c>
      <c r="K456" s="74">
        <f ca="1">EFEITO!$L$456*EFEITO!$Z$456</f>
        <v>0</v>
      </c>
      <c r="L456" s="74">
        <f>EFEITO!$N$456*EFEITO!$AA$456</f>
        <v>0</v>
      </c>
      <c r="M456" s="74">
        <f ca="1">$J$456-EFEITO!$K$456*EFEITO!$Y$456</f>
        <v>279101.88458963984</v>
      </c>
      <c r="N456" s="74">
        <f ca="1">$K$456-EFEITO!$M$456*EFEITO!$Z$456</f>
        <v>0</v>
      </c>
      <c r="O456" s="74">
        <f>$L$456-EFEITO!$O$456*EFEITO!$AA$456</f>
        <v>0</v>
      </c>
      <c r="P456" s="57"/>
      <c r="Q456" s="57"/>
      <c r="R456" s="57"/>
      <c r="S456" s="57"/>
      <c r="T456" s="57"/>
      <c r="U456" s="57"/>
      <c r="V456" s="57"/>
      <c r="W456" s="57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</row>
    <row r="457" spans="1:36" ht="11.25" customHeight="1" x14ac:dyDescent="0.2">
      <c r="A457" s="53" t="s">
        <v>21</v>
      </c>
      <c r="B457" s="53" t="s">
        <v>33</v>
      </c>
      <c r="C457" s="53" t="s">
        <v>41</v>
      </c>
      <c r="D457" s="53" t="s">
        <v>40</v>
      </c>
      <c r="E457" s="53" t="s">
        <v>25</v>
      </c>
      <c r="F457" s="53" t="s">
        <v>63</v>
      </c>
      <c r="G457" s="53" t="s">
        <v>25</v>
      </c>
      <c r="H457" s="53" t="s">
        <v>35</v>
      </c>
      <c r="I457" s="73">
        <v>43922</v>
      </c>
      <c r="J457" s="74">
        <f ca="1">EFEITO!$J$457*EFEITO!$Y$457</f>
        <v>1116738.5321260144</v>
      </c>
      <c r="K457" s="74">
        <f ca="1">EFEITO!$L$457*EFEITO!$Z$457</f>
        <v>0</v>
      </c>
      <c r="L457" s="74">
        <f>EFEITO!$N$457*EFEITO!$AA$457</f>
        <v>0</v>
      </c>
      <c r="M457" s="74">
        <f ca="1">$J$457-EFEITO!$K$457*EFEITO!$Y$457</f>
        <v>287205.02683446207</v>
      </c>
      <c r="N457" s="74">
        <f ca="1">$K$457-EFEITO!$M$457*EFEITO!$Z$457</f>
        <v>0</v>
      </c>
      <c r="O457" s="74">
        <f>$L$457-EFEITO!$O$457*EFEITO!$AA$457</f>
        <v>0</v>
      </c>
      <c r="P457" s="57"/>
      <c r="Q457" s="57"/>
      <c r="R457" s="57"/>
      <c r="S457" s="57"/>
      <c r="T457" s="57"/>
      <c r="U457" s="57"/>
      <c r="V457" s="57"/>
      <c r="W457" s="57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</row>
    <row r="458" spans="1:36" ht="11.25" customHeight="1" x14ac:dyDescent="0.2">
      <c r="A458" s="53" t="s">
        <v>21</v>
      </c>
      <c r="B458" s="53" t="s">
        <v>33</v>
      </c>
      <c r="C458" s="53" t="s">
        <v>41</v>
      </c>
      <c r="D458" s="53" t="s">
        <v>40</v>
      </c>
      <c r="E458" s="53" t="s">
        <v>25</v>
      </c>
      <c r="F458" s="53" t="s">
        <v>63</v>
      </c>
      <c r="G458" s="53" t="s">
        <v>25</v>
      </c>
      <c r="H458" s="53" t="s">
        <v>35</v>
      </c>
      <c r="I458" s="73">
        <v>43952</v>
      </c>
      <c r="J458" s="74">
        <f ca="1">EFEITO!$J$458*EFEITO!$Y$458</f>
        <v>999599.64924752025</v>
      </c>
      <c r="K458" s="74">
        <f ca="1">EFEITO!$L$458*EFEITO!$Z$458</f>
        <v>0</v>
      </c>
      <c r="L458" s="74">
        <f>EFEITO!$N$458*EFEITO!$AA$458</f>
        <v>0</v>
      </c>
      <c r="M458" s="74">
        <f ca="1">$J$458-EFEITO!$K$458*EFEITO!$Y$458</f>
        <v>257016.83190660307</v>
      </c>
      <c r="N458" s="74">
        <f ca="1">$K$458-EFEITO!$M$458*EFEITO!$Z$458</f>
        <v>0</v>
      </c>
      <c r="O458" s="74">
        <f>$L$458-EFEITO!$O$458*EFEITO!$AA$458</f>
        <v>0</v>
      </c>
      <c r="P458" s="57"/>
      <c r="Q458" s="57"/>
      <c r="R458" s="57"/>
      <c r="S458" s="57"/>
      <c r="T458" s="57"/>
      <c r="U458" s="57"/>
      <c r="V458" s="57"/>
      <c r="W458" s="57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</row>
    <row r="459" spans="1:36" ht="11.25" customHeight="1" x14ac:dyDescent="0.2">
      <c r="A459" s="53" t="s">
        <v>21</v>
      </c>
      <c r="B459" s="53" t="s">
        <v>33</v>
      </c>
      <c r="C459" s="53" t="s">
        <v>41</v>
      </c>
      <c r="D459" s="53" t="s">
        <v>40</v>
      </c>
      <c r="E459" s="53" t="s">
        <v>25</v>
      </c>
      <c r="F459" s="53" t="s">
        <v>63</v>
      </c>
      <c r="G459" s="53" t="s">
        <v>25</v>
      </c>
      <c r="H459" s="53" t="s">
        <v>35</v>
      </c>
      <c r="I459" s="73">
        <v>43983</v>
      </c>
      <c r="J459" s="74">
        <f ca="1">EFEITO!$J$459*EFEITO!$Y$459</f>
        <v>999599.64924752025</v>
      </c>
      <c r="K459" s="74">
        <f ca="1">EFEITO!$L$459*EFEITO!$Z$459</f>
        <v>0</v>
      </c>
      <c r="L459" s="74">
        <f>EFEITO!$N$459*EFEITO!$AA$459</f>
        <v>0</v>
      </c>
      <c r="M459" s="74">
        <f ca="1">$J$459-EFEITO!$K$459*EFEITO!$Y$459</f>
        <v>269426.63164409169</v>
      </c>
      <c r="N459" s="74">
        <f ca="1">$K$459-EFEITO!$M$459*EFEITO!$Z$459</f>
        <v>0</v>
      </c>
      <c r="O459" s="74">
        <f>$L$459-EFEITO!$O$459*EFEITO!$AA$459</f>
        <v>0</v>
      </c>
      <c r="P459" s="57"/>
      <c r="Q459" s="57"/>
      <c r="R459" s="57"/>
      <c r="S459" s="57"/>
      <c r="T459" s="57"/>
      <c r="U459" s="57"/>
      <c r="V459" s="57"/>
      <c r="W459" s="57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</row>
    <row r="460" spans="1:36" ht="11.25" customHeight="1" x14ac:dyDescent="0.2">
      <c r="A460" s="53" t="s">
        <v>21</v>
      </c>
      <c r="B460" s="53" t="s">
        <v>33</v>
      </c>
      <c r="C460" s="53" t="s">
        <v>41</v>
      </c>
      <c r="D460" s="53" t="s">
        <v>40</v>
      </c>
      <c r="E460" s="53" t="s">
        <v>25</v>
      </c>
      <c r="F460" s="53" t="s">
        <v>63</v>
      </c>
      <c r="G460" s="53" t="s">
        <v>25</v>
      </c>
      <c r="H460" s="53" t="s">
        <v>35</v>
      </c>
      <c r="I460" s="73">
        <v>44013</v>
      </c>
      <c r="J460" s="74">
        <f ca="1">EFEITO!$J$460*EFEITO!$Y$460</f>
        <v>1050140.2871437478</v>
      </c>
      <c r="K460" s="74">
        <f ca="1">EFEITO!$L$460*EFEITO!$Z$460</f>
        <v>0</v>
      </c>
      <c r="L460" s="74">
        <f>EFEITO!$N$460*EFEITO!$AA$460</f>
        <v>0</v>
      </c>
      <c r="M460" s="74">
        <f ca="1">$J$460-EFEITO!$K$460*EFEITO!$Y$460</f>
        <v>293219.25735422736</v>
      </c>
      <c r="N460" s="74">
        <f ca="1">$K$460-EFEITO!$M$460*EFEITO!$Z$460</f>
        <v>0</v>
      </c>
      <c r="O460" s="74">
        <f>$L$460-EFEITO!$O$460*EFEITO!$AA$460</f>
        <v>0</v>
      </c>
      <c r="P460" s="57"/>
      <c r="Q460" s="57"/>
      <c r="R460" s="57"/>
      <c r="S460" s="57"/>
      <c r="T460" s="57"/>
      <c r="U460" s="57"/>
      <c r="V460" s="57"/>
      <c r="W460" s="57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</row>
    <row r="461" spans="1:36" ht="11.25" customHeight="1" x14ac:dyDescent="0.2">
      <c r="A461" s="53" t="s">
        <v>21</v>
      </c>
      <c r="B461" s="53" t="s">
        <v>33</v>
      </c>
      <c r="C461" s="53" t="s">
        <v>41</v>
      </c>
      <c r="D461" s="53" t="s">
        <v>40</v>
      </c>
      <c r="E461" s="53" t="s">
        <v>25</v>
      </c>
      <c r="F461" s="53" t="s">
        <v>63</v>
      </c>
      <c r="G461" s="53" t="s">
        <v>25</v>
      </c>
      <c r="H461" s="53" t="s">
        <v>35</v>
      </c>
      <c r="I461" s="73">
        <v>44044</v>
      </c>
      <c r="J461" s="74">
        <f ca="1">EFEITO!$J$461*EFEITO!$Y$461</f>
        <v>1097387.7547731774</v>
      </c>
      <c r="K461" s="74">
        <f ca="1">EFEITO!$L$461*EFEITO!$Z$461</f>
        <v>0</v>
      </c>
      <c r="L461" s="74">
        <f>EFEITO!$N$461*EFEITO!$AA$461</f>
        <v>0</v>
      </c>
      <c r="M461" s="74">
        <f ca="1">$J$461-EFEITO!$K$461*EFEITO!$Y$461</f>
        <v>285320.81624102604</v>
      </c>
      <c r="N461" s="74">
        <f ca="1">$K$461-EFEITO!$M$461*EFEITO!$Z$461</f>
        <v>0</v>
      </c>
      <c r="O461" s="74">
        <f>$L$461-EFEITO!$O$461*EFEITO!$AA$461</f>
        <v>0</v>
      </c>
      <c r="P461" s="57"/>
      <c r="Q461" s="57"/>
      <c r="R461" s="57"/>
      <c r="S461" s="57"/>
      <c r="T461" s="57"/>
      <c r="U461" s="57"/>
      <c r="V461" s="57"/>
      <c r="W461" s="57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</row>
    <row r="462" spans="1:36" ht="11.25" customHeight="1" x14ac:dyDescent="0.2">
      <c r="A462" s="53" t="s">
        <v>59</v>
      </c>
      <c r="B462" s="53" t="s">
        <v>33</v>
      </c>
      <c r="C462" s="53" t="s">
        <v>41</v>
      </c>
      <c r="D462" s="53" t="s">
        <v>40</v>
      </c>
      <c r="E462" s="53" t="s">
        <v>25</v>
      </c>
      <c r="F462" s="53" t="s">
        <v>63</v>
      </c>
      <c r="G462" s="53" t="s">
        <v>25</v>
      </c>
      <c r="H462" s="53" t="s">
        <v>35</v>
      </c>
      <c r="I462" s="73">
        <v>44075</v>
      </c>
      <c r="J462" s="74">
        <f ca="1">EFEITO!$J$462*EFEITO!$Y$462</f>
        <v>1097387.7547731774</v>
      </c>
      <c r="K462" s="74">
        <f ca="1">EFEITO!$L$462*EFEITO!$Z$462</f>
        <v>0</v>
      </c>
      <c r="L462" s="74">
        <f>EFEITO!$N$462*EFEITO!$AA$462</f>
        <v>0</v>
      </c>
      <c r="M462" s="74">
        <f ca="1">$J$462-EFEITO!$K$462*EFEITO!$Y$462</f>
        <v>285320.81624102604</v>
      </c>
      <c r="N462" s="74">
        <f ca="1">$K$462-EFEITO!$M$462*EFEITO!$Z$462</f>
        <v>0</v>
      </c>
      <c r="O462" s="74">
        <f>$L$462-EFEITO!$O$462*EFEITO!$AA$462</f>
        <v>0</v>
      </c>
      <c r="P462" s="57"/>
      <c r="Q462" s="57"/>
      <c r="R462" s="57"/>
      <c r="S462" s="57"/>
      <c r="T462" s="57"/>
      <c r="U462" s="57"/>
      <c r="V462" s="57"/>
      <c r="W462" s="57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</row>
    <row r="463" spans="1:36" ht="11.25" customHeight="1" x14ac:dyDescent="0.2">
      <c r="A463" s="53" t="s">
        <v>21</v>
      </c>
      <c r="B463" s="53" t="s">
        <v>33</v>
      </c>
      <c r="C463" s="53" t="s">
        <v>41</v>
      </c>
      <c r="D463" s="53" t="s">
        <v>40</v>
      </c>
      <c r="E463" s="53" t="s">
        <v>25</v>
      </c>
      <c r="F463" s="53" t="s">
        <v>25</v>
      </c>
      <c r="G463" s="53" t="s">
        <v>25</v>
      </c>
      <c r="H463" s="53" t="s">
        <v>36</v>
      </c>
      <c r="I463" s="73">
        <v>43739</v>
      </c>
      <c r="J463" s="74">
        <f ca="1">EFEITO!$J$463*EFEITO!$Y$463</f>
        <v>27920.845509416489</v>
      </c>
      <c r="K463" s="74">
        <f ca="1">EFEITO!$L$463*EFEITO!$Z$463</f>
        <v>44955.458025158623</v>
      </c>
      <c r="L463" s="74">
        <f>EFEITO!$N$463*EFEITO!$AA$463</f>
        <v>118570.99250782888</v>
      </c>
      <c r="M463" s="74">
        <f ca="1">$J$463-EFEITO!$K$463*EFEITO!$Y$463</f>
        <v>0</v>
      </c>
      <c r="N463" s="74">
        <f ca="1">$K$463-EFEITO!$M$463*EFEITO!$Z$463</f>
        <v>0</v>
      </c>
      <c r="O463" s="74">
        <f>$L$463-EFEITO!$O$463*EFEITO!$AA$463</f>
        <v>0</v>
      </c>
      <c r="P463" s="57"/>
      <c r="Q463" s="57"/>
      <c r="R463" s="57"/>
      <c r="S463" s="57"/>
      <c r="T463" s="57"/>
      <c r="U463" s="57"/>
      <c r="V463" s="57"/>
      <c r="W463" s="57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</row>
    <row r="464" spans="1:36" ht="11.25" customHeight="1" x14ac:dyDescent="0.2">
      <c r="A464" s="53" t="s">
        <v>21</v>
      </c>
      <c r="B464" s="53" t="s">
        <v>33</v>
      </c>
      <c r="C464" s="53" t="s">
        <v>41</v>
      </c>
      <c r="D464" s="53" t="s">
        <v>40</v>
      </c>
      <c r="E464" s="53" t="s">
        <v>25</v>
      </c>
      <c r="F464" s="53" t="s">
        <v>25</v>
      </c>
      <c r="G464" s="53" t="s">
        <v>25</v>
      </c>
      <c r="H464" s="53" t="s">
        <v>36</v>
      </c>
      <c r="I464" s="73">
        <v>43770</v>
      </c>
      <c r="J464" s="74">
        <f ca="1">EFEITO!$J$464*EFEITO!$Y$464</f>
        <v>28768.319901416828</v>
      </c>
      <c r="K464" s="74">
        <f ca="1">EFEITO!$L$464*EFEITO!$Z$464</f>
        <v>49992.197306259026</v>
      </c>
      <c r="L464" s="74">
        <f>EFEITO!$N$464*EFEITO!$AA$464</f>
        <v>131855.50125933628</v>
      </c>
      <c r="M464" s="74">
        <f ca="1">$J$464-EFEITO!$K$464*EFEITO!$Y$464</f>
        <v>0</v>
      </c>
      <c r="N464" s="74">
        <f ca="1">$K$464-EFEITO!$M$464*EFEITO!$Z$464</f>
        <v>0</v>
      </c>
      <c r="O464" s="74">
        <f>$L$464-EFEITO!$O$464*EFEITO!$AA$464</f>
        <v>0</v>
      </c>
      <c r="P464" s="57"/>
      <c r="Q464" s="57"/>
      <c r="R464" s="57"/>
      <c r="S464" s="57"/>
      <c r="T464" s="57"/>
      <c r="U464" s="57"/>
      <c r="V464" s="57"/>
      <c r="W464" s="57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</row>
    <row r="465" spans="1:36" ht="11.25" customHeight="1" x14ac:dyDescent="0.2">
      <c r="A465" s="53" t="s">
        <v>21</v>
      </c>
      <c r="B465" s="53" t="s">
        <v>33</v>
      </c>
      <c r="C465" s="53" t="s">
        <v>41</v>
      </c>
      <c r="D465" s="53" t="s">
        <v>40</v>
      </c>
      <c r="E465" s="53" t="s">
        <v>25</v>
      </c>
      <c r="F465" s="53" t="s">
        <v>25</v>
      </c>
      <c r="G465" s="53" t="s">
        <v>25</v>
      </c>
      <c r="H465" s="53" t="s">
        <v>36</v>
      </c>
      <c r="I465" s="73">
        <v>43800</v>
      </c>
      <c r="J465" s="74">
        <f ca="1">EFEITO!$J$465*EFEITO!$Y$465</f>
        <v>29272.223593957566</v>
      </c>
      <c r="K465" s="74">
        <f ca="1">EFEITO!$L$465*EFEITO!$Z$465</f>
        <v>46382.286183278164</v>
      </c>
      <c r="L465" s="74">
        <f>EFEITO!$N$465*EFEITO!$AA$465</f>
        <v>122334.28262382932</v>
      </c>
      <c r="M465" s="74">
        <f ca="1">$J$465-EFEITO!$K$465*EFEITO!$Y$465</f>
        <v>0</v>
      </c>
      <c r="N465" s="74">
        <f ca="1">$K$465-EFEITO!$M$465*EFEITO!$Z$465</f>
        <v>0</v>
      </c>
      <c r="O465" s="74">
        <f>$L$465-EFEITO!$O$465*EFEITO!$AA$465</f>
        <v>0</v>
      </c>
      <c r="P465" s="57"/>
      <c r="Q465" s="57"/>
      <c r="R465" s="57"/>
      <c r="S465" s="57"/>
      <c r="T465" s="57"/>
      <c r="U465" s="57"/>
      <c r="V465" s="57"/>
      <c r="W465" s="57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</row>
    <row r="466" spans="1:36" ht="11.25" customHeight="1" x14ac:dyDescent="0.2">
      <c r="A466" s="53" t="s">
        <v>21</v>
      </c>
      <c r="B466" s="53" t="s">
        <v>33</v>
      </c>
      <c r="C466" s="53" t="s">
        <v>41</v>
      </c>
      <c r="D466" s="53" t="s">
        <v>40</v>
      </c>
      <c r="E466" s="53" t="s">
        <v>25</v>
      </c>
      <c r="F466" s="53" t="s">
        <v>25</v>
      </c>
      <c r="G466" s="53" t="s">
        <v>25</v>
      </c>
      <c r="H466" s="53" t="s">
        <v>36</v>
      </c>
      <c r="I466" s="73">
        <v>43831</v>
      </c>
      <c r="J466" s="74">
        <f ca="1">EFEITO!$J$466*EFEITO!$Y$466</f>
        <v>28997.367034389888</v>
      </c>
      <c r="K466" s="74">
        <f ca="1">EFEITO!$L$466*EFEITO!$Z$466</f>
        <v>44648.265064660576</v>
      </c>
      <c r="L466" s="74">
        <f>EFEITO!$N$466*EFEITO!$AA$466</f>
        <v>117760.7644328021</v>
      </c>
      <c r="M466" s="74">
        <f ca="1">$J$466-EFEITO!$K$466*EFEITO!$Y$466</f>
        <v>0</v>
      </c>
      <c r="N466" s="74">
        <f ca="1">$K$466-EFEITO!$M$466*EFEITO!$Z$466</f>
        <v>0</v>
      </c>
      <c r="O466" s="74">
        <f>$L$466-EFEITO!$O$466*EFEITO!$AA$466</f>
        <v>0</v>
      </c>
      <c r="P466" s="57"/>
      <c r="Q466" s="57"/>
      <c r="R466" s="57"/>
      <c r="S466" s="57"/>
      <c r="T466" s="57"/>
      <c r="U466" s="57"/>
      <c r="V466" s="57"/>
      <c r="W466" s="57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</row>
    <row r="467" spans="1:36" ht="11.25" customHeight="1" x14ac:dyDescent="0.2">
      <c r="A467" s="53" t="s">
        <v>21</v>
      </c>
      <c r="B467" s="53" t="s">
        <v>33</v>
      </c>
      <c r="C467" s="53" t="s">
        <v>41</v>
      </c>
      <c r="D467" s="53" t="s">
        <v>40</v>
      </c>
      <c r="E467" s="53" t="s">
        <v>25</v>
      </c>
      <c r="F467" s="53" t="s">
        <v>25</v>
      </c>
      <c r="G467" s="53" t="s">
        <v>25</v>
      </c>
      <c r="H467" s="53" t="s">
        <v>36</v>
      </c>
      <c r="I467" s="73">
        <v>43862</v>
      </c>
      <c r="J467" s="74">
        <f ca="1">EFEITO!$J$467*EFEITO!$Y$467</f>
        <v>31379.457217309755</v>
      </c>
      <c r="K467" s="74">
        <f ca="1">EFEITO!$L$467*EFEITO!$Z$467</f>
        <v>46118.677865038815</v>
      </c>
      <c r="L467" s="74">
        <f>EFEITO!$N$467*EFEITO!$AA$467</f>
        <v>121639.00998508837</v>
      </c>
      <c r="M467" s="74">
        <f ca="1">$J$467-EFEITO!$K$467*EFEITO!$Y$467</f>
        <v>0</v>
      </c>
      <c r="N467" s="74">
        <f ca="1">$K$467-EFEITO!$M$467*EFEITO!$Z$467</f>
        <v>0</v>
      </c>
      <c r="O467" s="74">
        <f>$L$467-EFEITO!$O$467*EFEITO!$AA$467</f>
        <v>0</v>
      </c>
      <c r="P467" s="57"/>
      <c r="Q467" s="57"/>
      <c r="R467" s="57"/>
      <c r="S467" s="57"/>
      <c r="T467" s="57"/>
      <c r="U467" s="57"/>
      <c r="V467" s="57"/>
      <c r="W467" s="57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</row>
    <row r="468" spans="1:36" ht="11.25" customHeight="1" x14ac:dyDescent="0.2">
      <c r="A468" s="53" t="s">
        <v>21</v>
      </c>
      <c r="B468" s="53" t="s">
        <v>33</v>
      </c>
      <c r="C468" s="53" t="s">
        <v>41</v>
      </c>
      <c r="D468" s="53" t="s">
        <v>40</v>
      </c>
      <c r="E468" s="53" t="s">
        <v>25</v>
      </c>
      <c r="F468" s="53" t="s">
        <v>25</v>
      </c>
      <c r="G468" s="53" t="s">
        <v>25</v>
      </c>
      <c r="H468" s="53" t="s">
        <v>36</v>
      </c>
      <c r="I468" s="73">
        <v>43891</v>
      </c>
      <c r="J468" s="74">
        <f ca="1">EFEITO!$J$468*EFEITO!$Y$468</f>
        <v>31345.100147363795</v>
      </c>
      <c r="K468" s="74">
        <f ca="1">EFEITO!$L$468*EFEITO!$Z$468</f>
        <v>41233.084522052406</v>
      </c>
      <c r="L468" s="74">
        <f>EFEITO!$N$468*EFEITO!$AA$468</f>
        <v>108753.15191323089</v>
      </c>
      <c r="M468" s="74">
        <f ca="1">$J$468-EFEITO!$K$468*EFEITO!$Y$468</f>
        <v>0</v>
      </c>
      <c r="N468" s="74">
        <f ca="1">$K$468-EFEITO!$M$468*EFEITO!$Z$468</f>
        <v>0</v>
      </c>
      <c r="O468" s="74">
        <f>$L$468-EFEITO!$O$468*EFEITO!$AA$468</f>
        <v>0</v>
      </c>
      <c r="P468" s="57"/>
      <c r="Q468" s="57"/>
      <c r="R468" s="57"/>
      <c r="S468" s="57"/>
      <c r="T468" s="57"/>
      <c r="U468" s="57"/>
      <c r="V468" s="57"/>
      <c r="W468" s="57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</row>
    <row r="469" spans="1:36" ht="11.25" customHeight="1" x14ac:dyDescent="0.2">
      <c r="A469" s="53" t="s">
        <v>21</v>
      </c>
      <c r="B469" s="53" t="s">
        <v>33</v>
      </c>
      <c r="C469" s="53" t="s">
        <v>41</v>
      </c>
      <c r="D469" s="53" t="s">
        <v>40</v>
      </c>
      <c r="E469" s="53" t="s">
        <v>25</v>
      </c>
      <c r="F469" s="53" t="s">
        <v>25</v>
      </c>
      <c r="G469" s="53" t="s">
        <v>25</v>
      </c>
      <c r="H469" s="53" t="s">
        <v>36</v>
      </c>
      <c r="I469" s="73">
        <v>43922</v>
      </c>
      <c r="J469" s="74">
        <f ca="1">EFEITO!$J$469*EFEITO!$Y$469</f>
        <v>31184.76715428265</v>
      </c>
      <c r="K469" s="74">
        <f ca="1">EFEITO!$L$469*EFEITO!$Z$469</f>
        <v>40711.119047291628</v>
      </c>
      <c r="L469" s="74">
        <f>EFEITO!$N$469*EFEITO!$AA$469</f>
        <v>107376.4566883136</v>
      </c>
      <c r="M469" s="74">
        <f ca="1">$J$469-EFEITO!$K$469*EFEITO!$Y$469</f>
        <v>0</v>
      </c>
      <c r="N469" s="74">
        <f ca="1">$K$469-EFEITO!$M$469*EFEITO!$Z$469</f>
        <v>0</v>
      </c>
      <c r="O469" s="74">
        <f>$L$469-EFEITO!$O$469*EFEITO!$AA$469</f>
        <v>0</v>
      </c>
      <c r="P469" s="57"/>
      <c r="Q469" s="57"/>
      <c r="R469" s="57"/>
      <c r="S469" s="57"/>
      <c r="T469" s="57"/>
      <c r="U469" s="57"/>
      <c r="V469" s="57"/>
      <c r="W469" s="57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</row>
    <row r="470" spans="1:36" ht="11.25" customHeight="1" x14ac:dyDescent="0.2">
      <c r="A470" s="53" t="s">
        <v>21</v>
      </c>
      <c r="B470" s="53" t="s">
        <v>33</v>
      </c>
      <c r="C470" s="53" t="s">
        <v>41</v>
      </c>
      <c r="D470" s="53" t="s">
        <v>40</v>
      </c>
      <c r="E470" s="53" t="s">
        <v>25</v>
      </c>
      <c r="F470" s="53" t="s">
        <v>25</v>
      </c>
      <c r="G470" s="53" t="s">
        <v>25</v>
      </c>
      <c r="H470" s="53" t="s">
        <v>36</v>
      </c>
      <c r="I470" s="73">
        <v>43952</v>
      </c>
      <c r="J470" s="74">
        <f ca="1">EFEITO!$J$470*EFEITO!$Y$470</f>
        <v>31585.599636985513</v>
      </c>
      <c r="K470" s="74">
        <f ca="1">EFEITO!$L$470*EFEITO!$Z$470</f>
        <v>33931.169114567281</v>
      </c>
      <c r="L470" s="74">
        <f>EFEITO!$N$470*EFEITO!$AA$470</f>
        <v>89494.192153791009</v>
      </c>
      <c r="M470" s="74">
        <f ca="1">$J$470-EFEITO!$K$470*EFEITO!$Y$470</f>
        <v>0</v>
      </c>
      <c r="N470" s="74">
        <f ca="1">$K$470-EFEITO!$M$470*EFEITO!$Z$470</f>
        <v>0</v>
      </c>
      <c r="O470" s="74">
        <f>$L$470-EFEITO!$O$470*EFEITO!$AA$470</f>
        <v>0</v>
      </c>
      <c r="P470" s="57"/>
      <c r="Q470" s="57"/>
      <c r="R470" s="57"/>
      <c r="S470" s="57"/>
      <c r="T470" s="57"/>
      <c r="U470" s="57"/>
      <c r="V470" s="57"/>
      <c r="W470" s="57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</row>
    <row r="471" spans="1:36" ht="11.25" customHeight="1" x14ac:dyDescent="0.2">
      <c r="A471" s="53" t="s">
        <v>21</v>
      </c>
      <c r="B471" s="53" t="s">
        <v>33</v>
      </c>
      <c r="C471" s="53" t="s">
        <v>41</v>
      </c>
      <c r="D471" s="53" t="s">
        <v>40</v>
      </c>
      <c r="E471" s="53" t="s">
        <v>25</v>
      </c>
      <c r="F471" s="53" t="s">
        <v>25</v>
      </c>
      <c r="G471" s="53" t="s">
        <v>25</v>
      </c>
      <c r="H471" s="53" t="s">
        <v>36</v>
      </c>
      <c r="I471" s="73">
        <v>43983</v>
      </c>
      <c r="J471" s="74">
        <f ca="1">EFEITO!$J$471*EFEITO!$Y$471</f>
        <v>31940.622693093763</v>
      </c>
      <c r="K471" s="74">
        <f ca="1">EFEITO!$L$471*EFEITO!$Z$471</f>
        <v>37801.625378118704</v>
      </c>
      <c r="L471" s="74">
        <f>EFEITO!$N$471*EFEITO!$AA$471</f>
        <v>99702.604230709578</v>
      </c>
      <c r="M471" s="74">
        <f ca="1">$J$471-EFEITO!$K$471*EFEITO!$Y$471</f>
        <v>0</v>
      </c>
      <c r="N471" s="74">
        <f ca="1">$K$471-EFEITO!$M$471*EFEITO!$Z$471</f>
        <v>0</v>
      </c>
      <c r="O471" s="74">
        <f>$L$471-EFEITO!$O$471*EFEITO!$AA$471</f>
        <v>0</v>
      </c>
      <c r="P471" s="57"/>
      <c r="Q471" s="57"/>
      <c r="R471" s="57"/>
      <c r="S471" s="57"/>
      <c r="T471" s="57"/>
      <c r="U471" s="57"/>
      <c r="V471" s="57"/>
      <c r="W471" s="57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</row>
    <row r="472" spans="1:36" ht="11.25" customHeight="1" x14ac:dyDescent="0.2">
      <c r="A472" s="53" t="s">
        <v>21</v>
      </c>
      <c r="B472" s="53" t="s">
        <v>33</v>
      </c>
      <c r="C472" s="53" t="s">
        <v>41</v>
      </c>
      <c r="D472" s="53" t="s">
        <v>40</v>
      </c>
      <c r="E472" s="53" t="s">
        <v>25</v>
      </c>
      <c r="F472" s="53" t="s">
        <v>25</v>
      </c>
      <c r="G472" s="53" t="s">
        <v>25</v>
      </c>
      <c r="H472" s="53" t="s">
        <v>36</v>
      </c>
      <c r="I472" s="73">
        <v>44013</v>
      </c>
      <c r="J472" s="74">
        <f ca="1">EFEITO!$J$472*EFEITO!$Y$472</f>
        <v>32192.57453936413</v>
      </c>
      <c r="K472" s="74">
        <f ca="1">EFEITO!$L$472*EFEITO!$Z$472</f>
        <v>37539.592408394725</v>
      </c>
      <c r="L472" s="74">
        <f>EFEITO!$N$472*EFEITO!$AA$472</f>
        <v>99011.486607738014</v>
      </c>
      <c r="M472" s="74">
        <f ca="1">$J$472-EFEITO!$K$472*EFEITO!$Y$472</f>
        <v>0</v>
      </c>
      <c r="N472" s="74">
        <f ca="1">$K$472-EFEITO!$M$472*EFEITO!$Z$472</f>
        <v>0</v>
      </c>
      <c r="O472" s="74">
        <f>$L$472-EFEITO!$O$472*EFEITO!$AA$472</f>
        <v>0</v>
      </c>
      <c r="P472" s="57"/>
      <c r="Q472" s="57"/>
      <c r="R472" s="57"/>
      <c r="S472" s="57"/>
      <c r="T472" s="57"/>
      <c r="U472" s="57"/>
      <c r="V472" s="57"/>
      <c r="W472" s="57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</row>
    <row r="473" spans="1:36" ht="11.25" customHeight="1" x14ac:dyDescent="0.2">
      <c r="A473" s="53" t="s">
        <v>21</v>
      </c>
      <c r="B473" s="53" t="s">
        <v>33</v>
      </c>
      <c r="C473" s="53" t="s">
        <v>41</v>
      </c>
      <c r="D473" s="53" t="s">
        <v>40</v>
      </c>
      <c r="E473" s="53" t="s">
        <v>25</v>
      </c>
      <c r="F473" s="53" t="s">
        <v>25</v>
      </c>
      <c r="G473" s="53" t="s">
        <v>25</v>
      </c>
      <c r="H473" s="53" t="s">
        <v>36</v>
      </c>
      <c r="I473" s="73">
        <v>44044</v>
      </c>
      <c r="J473" s="74">
        <f ca="1">EFEITO!$J$473*EFEITO!$Y$473</f>
        <v>30577.792251904029</v>
      </c>
      <c r="K473" s="74">
        <f ca="1">EFEITO!$L$473*EFEITO!$Z$473</f>
        <v>35463.983220026748</v>
      </c>
      <c r="L473" s="74">
        <f>EFEITO!$N$473*EFEITO!$AA$473</f>
        <v>93537.022497386148</v>
      </c>
      <c r="M473" s="74">
        <f ca="1">$J$473-EFEITO!$K$473*EFEITO!$Y$473</f>
        <v>0</v>
      </c>
      <c r="N473" s="74">
        <f ca="1">$K$473-EFEITO!$M$473*EFEITO!$Z$473</f>
        <v>0</v>
      </c>
      <c r="O473" s="74">
        <f>$L$473-EFEITO!$O$473*EFEITO!$AA$473</f>
        <v>0</v>
      </c>
      <c r="P473" s="57"/>
      <c r="Q473" s="57"/>
      <c r="R473" s="57"/>
      <c r="S473" s="57"/>
      <c r="T473" s="57"/>
      <c r="U473" s="57"/>
      <c r="V473" s="57"/>
      <c r="W473" s="57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</row>
    <row r="474" spans="1:36" ht="11.25" customHeight="1" x14ac:dyDescent="0.2">
      <c r="A474" s="53" t="s">
        <v>27</v>
      </c>
      <c r="B474" s="53" t="s">
        <v>33</v>
      </c>
      <c r="C474" s="53" t="s">
        <v>41</v>
      </c>
      <c r="D474" s="53" t="s">
        <v>40</v>
      </c>
      <c r="E474" s="53" t="s">
        <v>25</v>
      </c>
      <c r="F474" s="53" t="s">
        <v>25</v>
      </c>
      <c r="G474" s="53" t="s">
        <v>25</v>
      </c>
      <c r="H474" s="53" t="s">
        <v>36</v>
      </c>
      <c r="I474" s="73">
        <v>44044</v>
      </c>
      <c r="J474" s="74">
        <f ca="1">EFEITO!$J$474*EFEITO!$Y$474</f>
        <v>1717.8534972979792</v>
      </c>
      <c r="K474" s="74">
        <f ca="1">EFEITO!$L$474*EFEITO!$Z$474</f>
        <v>0</v>
      </c>
      <c r="L474" s="74">
        <f>EFEITO!$N$474*EFEITO!$AA$474</f>
        <v>0</v>
      </c>
      <c r="M474" s="74">
        <f ca="1">$J$474-EFEITO!$K$474*EFEITO!$Y$474</f>
        <v>0</v>
      </c>
      <c r="N474" s="74">
        <f ca="1">$K$474-EFEITO!$M$474*EFEITO!$Z$474</f>
        <v>0</v>
      </c>
      <c r="O474" s="74">
        <f>$L$474-EFEITO!$O$474*EFEITO!$AA$474</f>
        <v>0</v>
      </c>
      <c r="P474" s="57"/>
      <c r="Q474" s="57"/>
      <c r="R474" s="57"/>
      <c r="S474" s="57"/>
      <c r="T474" s="57"/>
      <c r="U474" s="57"/>
      <c r="V474" s="57"/>
      <c r="W474" s="57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</row>
    <row r="475" spans="1:36" ht="11.25" customHeight="1" x14ac:dyDescent="0.2">
      <c r="A475" s="53" t="s">
        <v>59</v>
      </c>
      <c r="B475" s="53" t="s">
        <v>33</v>
      </c>
      <c r="C475" s="53" t="s">
        <v>41</v>
      </c>
      <c r="D475" s="53" t="s">
        <v>40</v>
      </c>
      <c r="E475" s="53" t="s">
        <v>25</v>
      </c>
      <c r="F475" s="53" t="s">
        <v>25</v>
      </c>
      <c r="G475" s="53" t="s">
        <v>25</v>
      </c>
      <c r="H475" s="53" t="s">
        <v>36</v>
      </c>
      <c r="I475" s="73">
        <v>44075</v>
      </c>
      <c r="J475" s="74">
        <f ca="1">EFEITO!$J$475*EFEITO!$Y$475</f>
        <v>30577.792251904029</v>
      </c>
      <c r="K475" s="74">
        <f ca="1">EFEITO!$L$475*EFEITO!$Z$475</f>
        <v>35463.983220026748</v>
      </c>
      <c r="L475" s="74">
        <f>EFEITO!$N$475*EFEITO!$AA$475</f>
        <v>93537.022497386148</v>
      </c>
      <c r="M475" s="74">
        <f ca="1">$J$475-EFEITO!$K$475*EFEITO!$Y$475</f>
        <v>0</v>
      </c>
      <c r="N475" s="74">
        <f ca="1">$K$475-EFEITO!$M$475*EFEITO!$Z$475</f>
        <v>0</v>
      </c>
      <c r="O475" s="74">
        <f>$L$475-EFEITO!$O$475*EFEITO!$AA$475</f>
        <v>0</v>
      </c>
      <c r="P475" s="57"/>
      <c r="Q475" s="57"/>
      <c r="R475" s="57"/>
      <c r="S475" s="57"/>
      <c r="T475" s="57"/>
      <c r="U475" s="57"/>
      <c r="V475" s="57"/>
      <c r="W475" s="57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</row>
    <row r="476" spans="1:36" ht="11.25" customHeight="1" x14ac:dyDescent="0.2">
      <c r="A476" s="53" t="s">
        <v>59</v>
      </c>
      <c r="B476" s="53" t="s">
        <v>33</v>
      </c>
      <c r="C476" s="53" t="s">
        <v>41</v>
      </c>
      <c r="D476" s="53" t="s">
        <v>40</v>
      </c>
      <c r="E476" s="53" t="s">
        <v>25</v>
      </c>
      <c r="F476" s="53" t="s">
        <v>25</v>
      </c>
      <c r="G476" s="53" t="s">
        <v>25</v>
      </c>
      <c r="H476" s="53" t="s">
        <v>36</v>
      </c>
      <c r="I476" s="73">
        <v>44075</v>
      </c>
      <c r="J476" s="74">
        <f ca="1">EFEITO!$J$476*EFEITO!$Y$476</f>
        <v>1717.8534972979792</v>
      </c>
      <c r="K476" s="74">
        <f ca="1">EFEITO!$L$476*EFEITO!$Z$476</f>
        <v>0</v>
      </c>
      <c r="L476" s="74">
        <f>EFEITO!$N$476*EFEITO!$AA$476</f>
        <v>0</v>
      </c>
      <c r="M476" s="74">
        <f ca="1">$J$476-EFEITO!$K$476*EFEITO!$Y$476</f>
        <v>0</v>
      </c>
      <c r="N476" s="74">
        <f ca="1">$K$476-EFEITO!$M$476*EFEITO!$Z$476</f>
        <v>0</v>
      </c>
      <c r="O476" s="74">
        <f>$L$476-EFEITO!$O$476*EFEITO!$AA$476</f>
        <v>0</v>
      </c>
      <c r="P476" s="57"/>
      <c r="Q476" s="57"/>
      <c r="R476" s="57"/>
      <c r="S476" s="57"/>
      <c r="T476" s="57"/>
      <c r="U476" s="57"/>
      <c r="V476" s="57"/>
      <c r="W476" s="57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</row>
    <row r="477" spans="1:36" ht="11.25" customHeight="1" x14ac:dyDescent="0.2">
      <c r="A477" s="53" t="s">
        <v>21</v>
      </c>
      <c r="B477" s="53" t="s">
        <v>33</v>
      </c>
      <c r="C477" s="53" t="s">
        <v>41</v>
      </c>
      <c r="D477" s="53" t="s">
        <v>40</v>
      </c>
      <c r="E477" s="53" t="s">
        <v>25</v>
      </c>
      <c r="F477" s="53" t="s">
        <v>25</v>
      </c>
      <c r="G477" s="53" t="s">
        <v>25</v>
      </c>
      <c r="H477" s="53" t="s">
        <v>35</v>
      </c>
      <c r="I477" s="73">
        <v>43739</v>
      </c>
      <c r="J477" s="74">
        <f ca="1">EFEITO!$J$477*EFEITO!$Y$477</f>
        <v>32986.135234371446</v>
      </c>
      <c r="K477" s="74">
        <f ca="1">EFEITO!$L$477*EFEITO!$Z$477</f>
        <v>3559.0623736790467</v>
      </c>
      <c r="L477" s="74">
        <f>EFEITO!$N$477*EFEITO!$AA$477</f>
        <v>15277.882848069854</v>
      </c>
      <c r="M477" s="74">
        <f ca="1">$J$477-EFEITO!$K$477*EFEITO!$Y$477</f>
        <v>0</v>
      </c>
      <c r="N477" s="74">
        <f ca="1">$K$477-EFEITO!$M$477*EFEITO!$Z$477</f>
        <v>0</v>
      </c>
      <c r="O477" s="74">
        <f>$L$477-EFEITO!$O$477*EFEITO!$AA$477</f>
        <v>0</v>
      </c>
      <c r="P477" s="57"/>
      <c r="Q477" s="57"/>
      <c r="R477" s="57"/>
      <c r="S477" s="57"/>
      <c r="T477" s="57"/>
      <c r="U477" s="57"/>
      <c r="V477" s="57"/>
      <c r="W477" s="57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</row>
    <row r="478" spans="1:36" ht="11.25" customHeight="1" x14ac:dyDescent="0.2">
      <c r="A478" s="53" t="s">
        <v>21</v>
      </c>
      <c r="B478" s="53" t="s">
        <v>33</v>
      </c>
      <c r="C478" s="53" t="s">
        <v>41</v>
      </c>
      <c r="D478" s="53" t="s">
        <v>40</v>
      </c>
      <c r="E478" s="53" t="s">
        <v>25</v>
      </c>
      <c r="F478" s="53" t="s">
        <v>25</v>
      </c>
      <c r="G478" s="53" t="s">
        <v>25</v>
      </c>
      <c r="H478" s="53" t="s">
        <v>35</v>
      </c>
      <c r="I478" s="73">
        <v>43770</v>
      </c>
      <c r="J478" s="74">
        <f ca="1">EFEITO!$J$478*EFEITO!$Y$478</f>
        <v>33612.109747894996</v>
      </c>
      <c r="K478" s="74">
        <f ca="1">EFEITO!$L$478*EFEITO!$Z$478</f>
        <v>4026.328247211542</v>
      </c>
      <c r="L478" s="74">
        <f>EFEITO!$N$478*EFEITO!$AA$478</f>
        <v>17283.701382615789</v>
      </c>
      <c r="M478" s="74">
        <f ca="1">$J$478-EFEITO!$K$478*EFEITO!$Y$478</f>
        <v>0</v>
      </c>
      <c r="N478" s="74">
        <f ca="1">$K$478-EFEITO!$M$478*EFEITO!$Z$478</f>
        <v>0</v>
      </c>
      <c r="O478" s="74">
        <f>$L$478-EFEITO!$O$478*EFEITO!$AA$478</f>
        <v>0</v>
      </c>
      <c r="P478" s="57"/>
      <c r="Q478" s="57"/>
      <c r="R478" s="57"/>
      <c r="S478" s="57"/>
      <c r="T478" s="57"/>
      <c r="U478" s="57"/>
      <c r="V478" s="57"/>
      <c r="W478" s="57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</row>
    <row r="479" spans="1:36" ht="11.25" customHeight="1" x14ac:dyDescent="0.2">
      <c r="A479" s="53" t="s">
        <v>21</v>
      </c>
      <c r="B479" s="53" t="s">
        <v>33</v>
      </c>
      <c r="C479" s="53" t="s">
        <v>41</v>
      </c>
      <c r="D479" s="53" t="s">
        <v>40</v>
      </c>
      <c r="E479" s="53" t="s">
        <v>25</v>
      </c>
      <c r="F479" s="53" t="s">
        <v>25</v>
      </c>
      <c r="G479" s="53" t="s">
        <v>25</v>
      </c>
      <c r="H479" s="53" t="s">
        <v>35</v>
      </c>
      <c r="I479" s="73">
        <v>43800</v>
      </c>
      <c r="J479" s="74">
        <f ca="1">EFEITO!$J$479*EFEITO!$Y$479</f>
        <v>34619.112226172016</v>
      </c>
      <c r="K479" s="74">
        <f ca="1">EFEITO!$L$479*EFEITO!$Z$479</f>
        <v>3441.3488318357795</v>
      </c>
      <c r="L479" s="74">
        <f>EFEITO!$N$479*EFEITO!$AA$479</f>
        <v>14772.577373455828</v>
      </c>
      <c r="M479" s="74">
        <f ca="1">$J$479-EFEITO!$K$479*EFEITO!$Y$479</f>
        <v>0</v>
      </c>
      <c r="N479" s="74">
        <f ca="1">$K$479-EFEITO!$M$479*EFEITO!$Z$479</f>
        <v>0</v>
      </c>
      <c r="O479" s="74">
        <f>$L$479-EFEITO!$O$479*EFEITO!$AA$479</f>
        <v>0</v>
      </c>
      <c r="P479" s="57"/>
      <c r="Q479" s="57"/>
      <c r="R479" s="57"/>
      <c r="S479" s="57"/>
      <c r="T479" s="57"/>
      <c r="U479" s="57"/>
      <c r="V479" s="57"/>
      <c r="W479" s="57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</row>
    <row r="480" spans="1:36" ht="11.25" customHeight="1" x14ac:dyDescent="0.2">
      <c r="A480" s="53" t="s">
        <v>21</v>
      </c>
      <c r="B480" s="53" t="s">
        <v>33</v>
      </c>
      <c r="C480" s="53" t="s">
        <v>41</v>
      </c>
      <c r="D480" s="53" t="s">
        <v>40</v>
      </c>
      <c r="E480" s="53" t="s">
        <v>25</v>
      </c>
      <c r="F480" s="53" t="s">
        <v>25</v>
      </c>
      <c r="G480" s="53" t="s">
        <v>25</v>
      </c>
      <c r="H480" s="53" t="s">
        <v>35</v>
      </c>
      <c r="I480" s="73">
        <v>43831</v>
      </c>
      <c r="J480" s="74">
        <f ca="1">EFEITO!$J$480*EFEITO!$Y$480</f>
        <v>33476.028331911621</v>
      </c>
      <c r="K480" s="74">
        <f ca="1">EFEITO!$L$480*EFEITO!$Z$480</f>
        <v>3192.268727682665</v>
      </c>
      <c r="L480" s="74">
        <f>EFEITO!$N$480*EFEITO!$AA$480</f>
        <v>13703.358503008605</v>
      </c>
      <c r="M480" s="74">
        <f ca="1">$J$480-EFEITO!$K$480*EFEITO!$Y$480</f>
        <v>0</v>
      </c>
      <c r="N480" s="74">
        <f ca="1">$K$480-EFEITO!$M$480*EFEITO!$Z$480</f>
        <v>0</v>
      </c>
      <c r="O480" s="74">
        <f>$L$480-EFEITO!$O$480*EFEITO!$AA$480</f>
        <v>0</v>
      </c>
      <c r="P480" s="57"/>
      <c r="Q480" s="57"/>
      <c r="R480" s="57"/>
      <c r="S480" s="57"/>
      <c r="T480" s="57"/>
      <c r="U480" s="57"/>
      <c r="V480" s="57"/>
      <c r="W480" s="57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</row>
    <row r="481" spans="1:36" ht="11.25" customHeight="1" x14ac:dyDescent="0.2">
      <c r="A481" s="53" t="s">
        <v>21</v>
      </c>
      <c r="B481" s="53" t="s">
        <v>33</v>
      </c>
      <c r="C481" s="53" t="s">
        <v>41</v>
      </c>
      <c r="D481" s="53" t="s">
        <v>40</v>
      </c>
      <c r="E481" s="53" t="s">
        <v>25</v>
      </c>
      <c r="F481" s="53" t="s">
        <v>25</v>
      </c>
      <c r="G481" s="53" t="s">
        <v>25</v>
      </c>
      <c r="H481" s="53" t="s">
        <v>35</v>
      </c>
      <c r="I481" s="73">
        <v>43862</v>
      </c>
      <c r="J481" s="74">
        <f ca="1">EFEITO!$J$481*EFEITO!$Y$481</f>
        <v>39626.908334360422</v>
      </c>
      <c r="K481" s="74">
        <f ca="1">EFEITO!$L$481*EFEITO!$Z$481</f>
        <v>3410.1044196141834</v>
      </c>
      <c r="L481" s="74">
        <f>EFEITO!$N$481*EFEITO!$AA$481</f>
        <v>14638.455399896568</v>
      </c>
      <c r="M481" s="74">
        <f ca="1">$J$481-EFEITO!$K$481*EFEITO!$Y$481</f>
        <v>0</v>
      </c>
      <c r="N481" s="74">
        <f ca="1">$K$481-EFEITO!$M$481*EFEITO!$Z$481</f>
        <v>0</v>
      </c>
      <c r="O481" s="74">
        <f>$L$481-EFEITO!$O$481*EFEITO!$AA$481</f>
        <v>0</v>
      </c>
      <c r="P481" s="57"/>
      <c r="Q481" s="57"/>
      <c r="R481" s="57"/>
      <c r="S481" s="57"/>
      <c r="T481" s="57"/>
      <c r="U481" s="57"/>
      <c r="V481" s="57"/>
      <c r="W481" s="57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</row>
    <row r="482" spans="1:36" ht="11.25" customHeight="1" x14ac:dyDescent="0.2">
      <c r="A482" s="53" t="s">
        <v>21</v>
      </c>
      <c r="B482" s="53" t="s">
        <v>33</v>
      </c>
      <c r="C482" s="53" t="s">
        <v>41</v>
      </c>
      <c r="D482" s="53" t="s">
        <v>40</v>
      </c>
      <c r="E482" s="53" t="s">
        <v>25</v>
      </c>
      <c r="F482" s="53" t="s">
        <v>25</v>
      </c>
      <c r="G482" s="53" t="s">
        <v>25</v>
      </c>
      <c r="H482" s="53" t="s">
        <v>35</v>
      </c>
      <c r="I482" s="73">
        <v>43891</v>
      </c>
      <c r="J482" s="74">
        <f ca="1">EFEITO!$J$482*EFEITO!$Y$482</f>
        <v>39028.150104033542</v>
      </c>
      <c r="K482" s="74">
        <f ca="1">EFEITO!$L$482*EFEITO!$Z$482</f>
        <v>3026.3320173965421</v>
      </c>
      <c r="L482" s="74">
        <f>EFEITO!$N$482*EFEITO!$AA$482</f>
        <v>12991.046845114039</v>
      </c>
      <c r="M482" s="74">
        <f ca="1">$J$482-EFEITO!$K$482*EFEITO!$Y$482</f>
        <v>0</v>
      </c>
      <c r="N482" s="74">
        <f ca="1">$K$482-EFEITO!$M$482*EFEITO!$Z$482</f>
        <v>0</v>
      </c>
      <c r="O482" s="74">
        <f>$L$482-EFEITO!$O$482*EFEITO!$AA$482</f>
        <v>0</v>
      </c>
      <c r="P482" s="57"/>
      <c r="Q482" s="57"/>
      <c r="R482" s="57"/>
      <c r="S482" s="57"/>
      <c r="T482" s="57"/>
      <c r="U482" s="57"/>
      <c r="V482" s="57"/>
      <c r="W482" s="57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</row>
    <row r="483" spans="1:36" ht="11.25" customHeight="1" x14ac:dyDescent="0.2">
      <c r="A483" s="53" t="s">
        <v>21</v>
      </c>
      <c r="B483" s="53" t="s">
        <v>33</v>
      </c>
      <c r="C483" s="53" t="s">
        <v>41</v>
      </c>
      <c r="D483" s="53" t="s">
        <v>40</v>
      </c>
      <c r="E483" s="53" t="s">
        <v>25</v>
      </c>
      <c r="F483" s="53" t="s">
        <v>25</v>
      </c>
      <c r="G483" s="53" t="s">
        <v>25</v>
      </c>
      <c r="H483" s="53" t="s">
        <v>35</v>
      </c>
      <c r="I483" s="73">
        <v>43922</v>
      </c>
      <c r="J483" s="74">
        <f ca="1">EFEITO!$J$483*EFEITO!$Y$483</f>
        <v>39572.475767967066</v>
      </c>
      <c r="K483" s="74">
        <f ca="1">EFEITO!$L$483*EFEITO!$Z$483</f>
        <v>3017.6676005619815</v>
      </c>
      <c r="L483" s="74">
        <f>EFEITO!$N$483*EFEITO!$AA$483</f>
        <v>12953.853356648024</v>
      </c>
      <c r="M483" s="74">
        <f ca="1">$J$483-EFEITO!$K$483*EFEITO!$Y$483</f>
        <v>0</v>
      </c>
      <c r="N483" s="74">
        <f ca="1">$K$483-EFEITO!$M$483*EFEITO!$Z$483</f>
        <v>0</v>
      </c>
      <c r="O483" s="74">
        <f>$L$483-EFEITO!$O$483*EFEITO!$AA$483</f>
        <v>0</v>
      </c>
      <c r="P483" s="57"/>
      <c r="Q483" s="57"/>
      <c r="R483" s="57"/>
      <c r="S483" s="57"/>
      <c r="T483" s="57"/>
      <c r="U483" s="57"/>
      <c r="V483" s="57"/>
      <c r="W483" s="57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</row>
    <row r="484" spans="1:36" ht="11.25" customHeight="1" x14ac:dyDescent="0.2">
      <c r="A484" s="53" t="s">
        <v>21</v>
      </c>
      <c r="B484" s="53" t="s">
        <v>33</v>
      </c>
      <c r="C484" s="53" t="s">
        <v>41</v>
      </c>
      <c r="D484" s="53" t="s">
        <v>40</v>
      </c>
      <c r="E484" s="53" t="s">
        <v>25</v>
      </c>
      <c r="F484" s="53" t="s">
        <v>25</v>
      </c>
      <c r="G484" s="53" t="s">
        <v>25</v>
      </c>
      <c r="H484" s="53" t="s">
        <v>35</v>
      </c>
      <c r="I484" s="73">
        <v>43952</v>
      </c>
      <c r="J484" s="74">
        <f ca="1">EFEITO!$J$484*EFEITO!$Y$484</f>
        <v>40252.882847883971</v>
      </c>
      <c r="K484" s="74">
        <f ca="1">EFEITO!$L$484*EFEITO!$Z$484</f>
        <v>2514.4312692617673</v>
      </c>
      <c r="L484" s="74">
        <f>EFEITO!$N$484*EFEITO!$AA$484</f>
        <v>10793.62549119773</v>
      </c>
      <c r="M484" s="74">
        <f ca="1">$J$484-EFEITO!$K$484*EFEITO!$Y$484</f>
        <v>0</v>
      </c>
      <c r="N484" s="74">
        <f ca="1">$K$484-EFEITO!$M$484*EFEITO!$Z$484</f>
        <v>0</v>
      </c>
      <c r="O484" s="74">
        <f>$L$484-EFEITO!$O$484*EFEITO!$AA$484</f>
        <v>0</v>
      </c>
      <c r="P484" s="57"/>
      <c r="Q484" s="57"/>
      <c r="R484" s="57"/>
      <c r="S484" s="57"/>
      <c r="T484" s="57"/>
      <c r="U484" s="57"/>
      <c r="V484" s="57"/>
      <c r="W484" s="57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</row>
    <row r="485" spans="1:36" ht="11.25" customHeight="1" x14ac:dyDescent="0.2">
      <c r="A485" s="53" t="s">
        <v>21</v>
      </c>
      <c r="B485" s="53" t="s">
        <v>33</v>
      </c>
      <c r="C485" s="53" t="s">
        <v>41</v>
      </c>
      <c r="D485" s="53" t="s">
        <v>40</v>
      </c>
      <c r="E485" s="53" t="s">
        <v>25</v>
      </c>
      <c r="F485" s="53" t="s">
        <v>25</v>
      </c>
      <c r="G485" s="53" t="s">
        <v>25</v>
      </c>
      <c r="H485" s="53" t="s">
        <v>35</v>
      </c>
      <c r="I485" s="73">
        <v>43983</v>
      </c>
      <c r="J485" s="74">
        <f ca="1">EFEITO!$J$485*EFEITO!$Y$485</f>
        <v>41613.697007717776</v>
      </c>
      <c r="K485" s="74">
        <f ca="1">EFEITO!$L$485*EFEITO!$Z$485</f>
        <v>2617.7041163807676</v>
      </c>
      <c r="L485" s="74">
        <f>EFEITO!$N$485*EFEITO!$AA$485</f>
        <v>11236.941818368399</v>
      </c>
      <c r="M485" s="74">
        <f ca="1">$J$485-EFEITO!$K$485*EFEITO!$Y$485</f>
        <v>0</v>
      </c>
      <c r="N485" s="74">
        <f ca="1">$K$485-EFEITO!$M$485*EFEITO!$Z$485</f>
        <v>0</v>
      </c>
      <c r="O485" s="74">
        <f>$L$485-EFEITO!$O$485*EFEITO!$AA$485</f>
        <v>0</v>
      </c>
      <c r="P485" s="57"/>
      <c r="Q485" s="57"/>
      <c r="R485" s="57"/>
      <c r="S485" s="57"/>
      <c r="T485" s="57"/>
      <c r="U485" s="57"/>
      <c r="V485" s="57"/>
      <c r="W485" s="57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</row>
    <row r="486" spans="1:36" ht="11.25" customHeight="1" x14ac:dyDescent="0.2">
      <c r="A486" s="53" t="s">
        <v>21</v>
      </c>
      <c r="B486" s="53" t="s">
        <v>33</v>
      </c>
      <c r="C486" s="53" t="s">
        <v>41</v>
      </c>
      <c r="D486" s="53" t="s">
        <v>40</v>
      </c>
      <c r="E486" s="53" t="s">
        <v>25</v>
      </c>
      <c r="F486" s="53" t="s">
        <v>25</v>
      </c>
      <c r="G486" s="53" t="s">
        <v>25</v>
      </c>
      <c r="H486" s="53" t="s">
        <v>35</v>
      </c>
      <c r="I486" s="73">
        <v>44013</v>
      </c>
      <c r="J486" s="74">
        <f ca="1">EFEITO!$J$486*EFEITO!$Y$486</f>
        <v>42484.618070011413</v>
      </c>
      <c r="K486" s="74">
        <f ca="1">EFEITO!$L$486*EFEITO!$Z$486</f>
        <v>2837.4652342755221</v>
      </c>
      <c r="L486" s="74">
        <f>EFEITO!$N$486*EFEITO!$AA$486</f>
        <v>12180.303934915475</v>
      </c>
      <c r="M486" s="74">
        <f ca="1">$J$486-EFEITO!$K$486*EFEITO!$Y$486</f>
        <v>0</v>
      </c>
      <c r="N486" s="74">
        <f ca="1">$K$486-EFEITO!$M$486*EFEITO!$Z$486</f>
        <v>0</v>
      </c>
      <c r="O486" s="74">
        <f>$L$486-EFEITO!$O$486*EFEITO!$AA$486</f>
        <v>0</v>
      </c>
      <c r="P486" s="57"/>
      <c r="Q486" s="57"/>
      <c r="R486" s="57"/>
      <c r="S486" s="57"/>
      <c r="T486" s="57"/>
      <c r="U486" s="57"/>
      <c r="V486" s="57"/>
      <c r="W486" s="57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</row>
    <row r="487" spans="1:36" ht="11.25" customHeight="1" x14ac:dyDescent="0.2">
      <c r="A487" s="53" t="s">
        <v>21</v>
      </c>
      <c r="B487" s="53" t="s">
        <v>33</v>
      </c>
      <c r="C487" s="53" t="s">
        <v>41</v>
      </c>
      <c r="D487" s="53" t="s">
        <v>40</v>
      </c>
      <c r="E487" s="53" t="s">
        <v>25</v>
      </c>
      <c r="F487" s="53" t="s">
        <v>25</v>
      </c>
      <c r="G487" s="53" t="s">
        <v>25</v>
      </c>
      <c r="H487" s="53" t="s">
        <v>35</v>
      </c>
      <c r="I487" s="73">
        <v>44044</v>
      </c>
      <c r="J487" s="74">
        <f ca="1">EFEITO!$J$487*EFEITO!$Y$487</f>
        <v>39681.34090075377</v>
      </c>
      <c r="K487" s="74">
        <f ca="1">EFEITO!$L$487*EFEITO!$Z$487</f>
        <v>2368.8865703135489</v>
      </c>
      <c r="L487" s="74">
        <f>EFEITO!$N$487*EFEITO!$AA$487</f>
        <v>10168.850023329236</v>
      </c>
      <c r="M487" s="74">
        <f ca="1">$J$487-EFEITO!$K$487*EFEITO!$Y$487</f>
        <v>0</v>
      </c>
      <c r="N487" s="74">
        <f ca="1">$K$487-EFEITO!$M$487*EFEITO!$Z$487</f>
        <v>0</v>
      </c>
      <c r="O487" s="74">
        <f>$L$487-EFEITO!$O$487*EFEITO!$AA$487</f>
        <v>0</v>
      </c>
      <c r="P487" s="57"/>
      <c r="Q487" s="57"/>
      <c r="R487" s="57"/>
      <c r="S487" s="57"/>
      <c r="T487" s="57"/>
      <c r="U487" s="57"/>
      <c r="V487" s="57"/>
      <c r="W487" s="57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</row>
    <row r="488" spans="1:36" ht="11.25" customHeight="1" x14ac:dyDescent="0.2">
      <c r="A488" s="53" t="s">
        <v>27</v>
      </c>
      <c r="B488" s="53" t="s">
        <v>33</v>
      </c>
      <c r="C488" s="53" t="s">
        <v>41</v>
      </c>
      <c r="D488" s="53" t="s">
        <v>40</v>
      </c>
      <c r="E488" s="53" t="s">
        <v>25</v>
      </c>
      <c r="F488" s="53" t="s">
        <v>25</v>
      </c>
      <c r="G488" s="53" t="s">
        <v>25</v>
      </c>
      <c r="H488" s="53" t="s">
        <v>35</v>
      </c>
      <c r="I488" s="73">
        <v>44044</v>
      </c>
      <c r="J488" s="74">
        <f ca="1">EFEITO!$J$488*EFEITO!$Y$488</f>
        <v>4082.442479501417</v>
      </c>
      <c r="K488" s="74">
        <f ca="1">EFEITO!$L$488*EFEITO!$Z$488</f>
        <v>0</v>
      </c>
      <c r="L488" s="74">
        <f>EFEITO!$N$488*EFEITO!$AA$488</f>
        <v>0</v>
      </c>
      <c r="M488" s="74">
        <f ca="1">$J$488-EFEITO!$K$488*EFEITO!$Y$488</f>
        <v>0</v>
      </c>
      <c r="N488" s="74">
        <f ca="1">$K$488-EFEITO!$M$488*EFEITO!$Z$488</f>
        <v>0</v>
      </c>
      <c r="O488" s="74">
        <f>$L$488-EFEITO!$O$488*EFEITO!$AA$488</f>
        <v>0</v>
      </c>
      <c r="P488" s="57"/>
      <c r="Q488" s="57"/>
      <c r="R488" s="57"/>
      <c r="S488" s="57"/>
      <c r="T488" s="57"/>
      <c r="U488" s="57"/>
      <c r="V488" s="57"/>
      <c r="W488" s="57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</row>
    <row r="489" spans="1:36" ht="11.25" customHeight="1" x14ac:dyDescent="0.2">
      <c r="A489" s="53" t="s">
        <v>59</v>
      </c>
      <c r="B489" s="53" t="s">
        <v>33</v>
      </c>
      <c r="C489" s="53" t="s">
        <v>41</v>
      </c>
      <c r="D489" s="53" t="s">
        <v>40</v>
      </c>
      <c r="E489" s="53" t="s">
        <v>25</v>
      </c>
      <c r="F489" s="53" t="s">
        <v>25</v>
      </c>
      <c r="G489" s="53" t="s">
        <v>25</v>
      </c>
      <c r="H489" s="53" t="s">
        <v>35</v>
      </c>
      <c r="I489" s="73">
        <v>44075</v>
      </c>
      <c r="J489" s="74">
        <f ca="1">EFEITO!$J$489*EFEITO!$Y$489</f>
        <v>39681.34090075377</v>
      </c>
      <c r="K489" s="74">
        <f ca="1">EFEITO!$L$489*EFEITO!$Z$489</f>
        <v>2368.8865703135489</v>
      </c>
      <c r="L489" s="74">
        <f>EFEITO!$N$489*EFEITO!$AA$489</f>
        <v>10168.850023329236</v>
      </c>
      <c r="M489" s="74">
        <f ca="1">$J$489-EFEITO!$K$489*EFEITO!$Y$489</f>
        <v>0</v>
      </c>
      <c r="N489" s="74">
        <f ca="1">$K$489-EFEITO!$M$489*EFEITO!$Z$489</f>
        <v>0</v>
      </c>
      <c r="O489" s="74">
        <f>$L$489-EFEITO!$O$489*EFEITO!$AA$489</f>
        <v>0</v>
      </c>
      <c r="P489" s="57"/>
      <c r="Q489" s="57"/>
      <c r="R489" s="57"/>
      <c r="S489" s="57"/>
      <c r="T489" s="57"/>
      <c r="U489" s="57"/>
      <c r="V489" s="57"/>
      <c r="W489" s="57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</row>
    <row r="490" spans="1:36" ht="11.25" customHeight="1" x14ac:dyDescent="0.2">
      <c r="A490" s="53" t="s">
        <v>59</v>
      </c>
      <c r="B490" s="53" t="s">
        <v>33</v>
      </c>
      <c r="C490" s="53" t="s">
        <v>41</v>
      </c>
      <c r="D490" s="53" t="s">
        <v>40</v>
      </c>
      <c r="E490" s="53" t="s">
        <v>25</v>
      </c>
      <c r="F490" s="53" t="s">
        <v>25</v>
      </c>
      <c r="G490" s="53" t="s">
        <v>25</v>
      </c>
      <c r="H490" s="53" t="s">
        <v>35</v>
      </c>
      <c r="I490" s="73">
        <v>44075</v>
      </c>
      <c r="J490" s="74">
        <f ca="1">EFEITO!$J$490*EFEITO!$Y$490</f>
        <v>4082.442479501417</v>
      </c>
      <c r="K490" s="74">
        <f ca="1">EFEITO!$L$490*EFEITO!$Z$490</f>
        <v>0</v>
      </c>
      <c r="L490" s="74">
        <f>EFEITO!$N$490*EFEITO!$AA$490</f>
        <v>0</v>
      </c>
      <c r="M490" s="74">
        <f ca="1">$J$490-EFEITO!$K$490*EFEITO!$Y$490</f>
        <v>0</v>
      </c>
      <c r="N490" s="74">
        <f ca="1">$K$490-EFEITO!$M$490*EFEITO!$Z$490</f>
        <v>0</v>
      </c>
      <c r="O490" s="74">
        <f>$L$490-EFEITO!$O$490*EFEITO!$AA$490</f>
        <v>0</v>
      </c>
      <c r="P490" s="57"/>
      <c r="Q490" s="57"/>
      <c r="R490" s="57"/>
      <c r="S490" s="57"/>
      <c r="T490" s="57"/>
      <c r="U490" s="57"/>
      <c r="V490" s="57"/>
      <c r="W490" s="57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</row>
    <row r="491" spans="1:36" ht="11.25" customHeight="1" x14ac:dyDescent="0.2">
      <c r="A491" s="53" t="s">
        <v>21</v>
      </c>
      <c r="B491" s="53" t="s">
        <v>33</v>
      </c>
      <c r="C491" s="53" t="s">
        <v>41</v>
      </c>
      <c r="D491" s="53" t="s">
        <v>48</v>
      </c>
      <c r="E491" s="53" t="s">
        <v>25</v>
      </c>
      <c r="F491" s="53" t="s">
        <v>25</v>
      </c>
      <c r="G491" s="53" t="s">
        <v>25</v>
      </c>
      <c r="H491" s="53" t="s">
        <v>36</v>
      </c>
      <c r="I491" s="73">
        <v>43739</v>
      </c>
      <c r="J491" s="74">
        <f ca="1">EFEITO!$J$491*EFEITO!$Y$491</f>
        <v>282781.59036854468</v>
      </c>
      <c r="K491" s="74">
        <f ca="1">EFEITO!$L$491*EFEITO!$Z$491</f>
        <v>583276.55115000438</v>
      </c>
      <c r="L491" s="74">
        <f>EFEITO!$N$491*EFEITO!$AA$491</f>
        <v>1538404.5144795387</v>
      </c>
      <c r="M491" s="74">
        <f ca="1">$J$491-EFEITO!$K$491*EFEITO!$Y$491</f>
        <v>0</v>
      </c>
      <c r="N491" s="74">
        <f ca="1">$K$491-EFEITO!$M$491*EFEITO!$Z$491</f>
        <v>0</v>
      </c>
      <c r="O491" s="74">
        <f>$L$491-EFEITO!$O$491*EFEITO!$AA$491</f>
        <v>0</v>
      </c>
      <c r="P491" s="57"/>
      <c r="Q491" s="57"/>
      <c r="R491" s="57"/>
      <c r="S491" s="57"/>
      <c r="T491" s="57"/>
      <c r="U491" s="57"/>
      <c r="V491" s="57"/>
      <c r="W491" s="57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</row>
    <row r="492" spans="1:36" ht="11.25" customHeight="1" x14ac:dyDescent="0.2">
      <c r="A492" s="53" t="s">
        <v>28</v>
      </c>
      <c r="B492" s="53" t="s">
        <v>33</v>
      </c>
      <c r="C492" s="53" t="s">
        <v>41</v>
      </c>
      <c r="D492" s="53" t="s">
        <v>48</v>
      </c>
      <c r="E492" s="53" t="s">
        <v>25</v>
      </c>
      <c r="F492" s="53" t="s">
        <v>25</v>
      </c>
      <c r="G492" s="53" t="s">
        <v>25</v>
      </c>
      <c r="H492" s="53" t="s">
        <v>36</v>
      </c>
      <c r="I492" s="73">
        <v>43739</v>
      </c>
      <c r="J492" s="74">
        <f ca="1">EFEITO!$J$492*EFEITO!$Y$492</f>
        <v>45809.426594612778</v>
      </c>
      <c r="K492" s="74">
        <f ca="1">EFEITO!$L$492*EFEITO!$Z$492</f>
        <v>149968.1900600284</v>
      </c>
      <c r="L492" s="74">
        <f>EFEITO!$N$492*EFEITO!$AA$492</f>
        <v>395544.34369390551</v>
      </c>
      <c r="M492" s="74">
        <f ca="1">$J$492-EFEITO!$K$492*EFEITO!$Y$492</f>
        <v>0</v>
      </c>
      <c r="N492" s="74">
        <f ca="1">$K$492-EFEITO!$M$492*EFEITO!$Z$492</f>
        <v>0</v>
      </c>
      <c r="O492" s="74">
        <f>$L$492-EFEITO!$O$492*EFEITO!$AA$492</f>
        <v>0</v>
      </c>
      <c r="P492" s="57"/>
      <c r="Q492" s="57"/>
      <c r="R492" s="57"/>
      <c r="S492" s="57"/>
      <c r="T492" s="57"/>
      <c r="U492" s="57"/>
      <c r="V492" s="57"/>
      <c r="W492" s="57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</row>
    <row r="493" spans="1:36" ht="11.25" customHeight="1" x14ac:dyDescent="0.2">
      <c r="A493" s="53" t="s">
        <v>21</v>
      </c>
      <c r="B493" s="53" t="s">
        <v>33</v>
      </c>
      <c r="C493" s="53" t="s">
        <v>41</v>
      </c>
      <c r="D493" s="53" t="s">
        <v>48</v>
      </c>
      <c r="E493" s="53" t="s">
        <v>25</v>
      </c>
      <c r="F493" s="53" t="s">
        <v>25</v>
      </c>
      <c r="G493" s="53" t="s">
        <v>25</v>
      </c>
      <c r="H493" s="53" t="s">
        <v>36</v>
      </c>
      <c r="I493" s="73">
        <v>43770</v>
      </c>
      <c r="J493" s="74">
        <f ca="1">EFEITO!$J$493*EFEITO!$Y$493</f>
        <v>280674.35674519249</v>
      </c>
      <c r="K493" s="74">
        <f ca="1">EFEITO!$L$493*EFEITO!$Z$493</f>
        <v>646111.51466976875</v>
      </c>
      <c r="L493" s="74">
        <f>EFEITO!$N$493*EFEITO!$AA$493</f>
        <v>1704133.0892960201</v>
      </c>
      <c r="M493" s="74">
        <f ca="1">$J$493-EFEITO!$K$493*EFEITO!$Y$493</f>
        <v>0</v>
      </c>
      <c r="N493" s="74">
        <f ca="1">$K$493-EFEITO!$M$493*EFEITO!$Z$493</f>
        <v>0</v>
      </c>
      <c r="O493" s="74">
        <f>$L$493-EFEITO!$O$493*EFEITO!$AA$493</f>
        <v>0</v>
      </c>
      <c r="P493" s="57"/>
      <c r="Q493" s="57"/>
      <c r="R493" s="57"/>
      <c r="S493" s="57"/>
      <c r="T493" s="57"/>
      <c r="U493" s="57"/>
      <c r="V493" s="57"/>
      <c r="W493" s="57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</row>
    <row r="494" spans="1:36" ht="11.25" customHeight="1" x14ac:dyDescent="0.2">
      <c r="A494" s="53" t="s">
        <v>28</v>
      </c>
      <c r="B494" s="53" t="s">
        <v>33</v>
      </c>
      <c r="C494" s="53" t="s">
        <v>41</v>
      </c>
      <c r="D494" s="53" t="s">
        <v>48</v>
      </c>
      <c r="E494" s="53" t="s">
        <v>25</v>
      </c>
      <c r="F494" s="53" t="s">
        <v>25</v>
      </c>
      <c r="G494" s="53" t="s">
        <v>25</v>
      </c>
      <c r="H494" s="53" t="s">
        <v>36</v>
      </c>
      <c r="I494" s="73">
        <v>43770</v>
      </c>
      <c r="J494" s="74">
        <f ca="1">EFEITO!$J$494*EFEITO!$Y$494</f>
        <v>45809.426594612778</v>
      </c>
      <c r="K494" s="74">
        <f ca="1">EFEITO!$L$494*EFEITO!$Z$494</f>
        <v>163527.21473185747</v>
      </c>
      <c r="L494" s="74">
        <f>EFEITO!$N$494*EFEITO!$AA$494</f>
        <v>431306.56442085671</v>
      </c>
      <c r="M494" s="74">
        <f ca="1">$J$494-EFEITO!$K$494*EFEITO!$Y$494</f>
        <v>0</v>
      </c>
      <c r="N494" s="74">
        <f ca="1">$K$494-EFEITO!$M$494*EFEITO!$Z$494</f>
        <v>0</v>
      </c>
      <c r="O494" s="74">
        <f>$L$494-EFEITO!$O$494*EFEITO!$AA$494</f>
        <v>0</v>
      </c>
      <c r="P494" s="57"/>
      <c r="Q494" s="57"/>
      <c r="R494" s="57"/>
      <c r="S494" s="57"/>
      <c r="T494" s="57"/>
      <c r="U494" s="57"/>
      <c r="V494" s="57"/>
      <c r="W494" s="57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</row>
    <row r="495" spans="1:36" ht="11.25" customHeight="1" x14ac:dyDescent="0.2">
      <c r="A495" s="53" t="s">
        <v>21</v>
      </c>
      <c r="B495" s="53" t="s">
        <v>33</v>
      </c>
      <c r="C495" s="53" t="s">
        <v>41</v>
      </c>
      <c r="D495" s="53" t="s">
        <v>48</v>
      </c>
      <c r="E495" s="53" t="s">
        <v>25</v>
      </c>
      <c r="F495" s="53" t="s">
        <v>25</v>
      </c>
      <c r="G495" s="53" t="s">
        <v>25</v>
      </c>
      <c r="H495" s="53" t="s">
        <v>36</v>
      </c>
      <c r="I495" s="73">
        <v>43800</v>
      </c>
      <c r="J495" s="74">
        <f ca="1">EFEITO!$J$495*EFEITO!$Y$495</f>
        <v>282151.71075286879</v>
      </c>
      <c r="K495" s="74">
        <f ca="1">EFEITO!$L$495*EFEITO!$Z$495</f>
        <v>588847.07101973088</v>
      </c>
      <c r="L495" s="74">
        <f>EFEITO!$N$495*EFEITO!$AA$495</f>
        <v>1553096.8810742339</v>
      </c>
      <c r="M495" s="74">
        <f ca="1">$J$495-EFEITO!$K$495*EFEITO!$Y$495</f>
        <v>0</v>
      </c>
      <c r="N495" s="74">
        <f ca="1">$K$495-EFEITO!$M$495*EFEITO!$Z$495</f>
        <v>0</v>
      </c>
      <c r="O495" s="74">
        <f>$L$495-EFEITO!$O$495*EFEITO!$AA$495</f>
        <v>0</v>
      </c>
      <c r="P495" s="57"/>
      <c r="Q495" s="57"/>
      <c r="R495" s="57"/>
      <c r="S495" s="57"/>
      <c r="T495" s="57"/>
      <c r="U495" s="57"/>
      <c r="V495" s="57"/>
      <c r="W495" s="57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</row>
    <row r="496" spans="1:36" ht="11.25" customHeight="1" x14ac:dyDescent="0.2">
      <c r="A496" s="53" t="s">
        <v>28</v>
      </c>
      <c r="B496" s="53" t="s">
        <v>33</v>
      </c>
      <c r="C496" s="53" t="s">
        <v>41</v>
      </c>
      <c r="D496" s="53" t="s">
        <v>48</v>
      </c>
      <c r="E496" s="53" t="s">
        <v>25</v>
      </c>
      <c r="F496" s="53" t="s">
        <v>25</v>
      </c>
      <c r="G496" s="53" t="s">
        <v>25</v>
      </c>
      <c r="H496" s="53" t="s">
        <v>36</v>
      </c>
      <c r="I496" s="73">
        <v>43800</v>
      </c>
      <c r="J496" s="74">
        <f ca="1">EFEITO!$J$496*EFEITO!$Y$496</f>
        <v>45809.426594612778</v>
      </c>
      <c r="K496" s="74">
        <f ca="1">EFEITO!$L$496*EFEITO!$Z$496</f>
        <v>147450.43305501196</v>
      </c>
      <c r="L496" s="74">
        <f>EFEITO!$N$496*EFEITO!$AA$496</f>
        <v>388903.70515761775</v>
      </c>
      <c r="M496" s="74">
        <f ca="1">$J$496-EFEITO!$K$496*EFEITO!$Y$496</f>
        <v>0</v>
      </c>
      <c r="N496" s="74">
        <f ca="1">$K$496-EFEITO!$M$496*EFEITO!$Z$496</f>
        <v>0</v>
      </c>
      <c r="O496" s="74">
        <f>$L$496-EFEITO!$O$496*EFEITO!$AA$496</f>
        <v>0</v>
      </c>
      <c r="P496" s="57"/>
      <c r="Q496" s="57"/>
      <c r="R496" s="57"/>
      <c r="S496" s="57"/>
      <c r="T496" s="57"/>
      <c r="U496" s="57"/>
      <c r="V496" s="57"/>
      <c r="W496" s="57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</row>
    <row r="497" spans="1:36" ht="11.25" customHeight="1" x14ac:dyDescent="0.2">
      <c r="A497" s="53" t="s">
        <v>21</v>
      </c>
      <c r="B497" s="53" t="s">
        <v>33</v>
      </c>
      <c r="C497" s="53" t="s">
        <v>41</v>
      </c>
      <c r="D497" s="53" t="s">
        <v>48</v>
      </c>
      <c r="E497" s="53" t="s">
        <v>25</v>
      </c>
      <c r="F497" s="53" t="s">
        <v>25</v>
      </c>
      <c r="G497" s="53" t="s">
        <v>25</v>
      </c>
      <c r="H497" s="53" t="s">
        <v>36</v>
      </c>
      <c r="I497" s="73">
        <v>43831</v>
      </c>
      <c r="J497" s="74">
        <f ca="1">EFEITO!$J$497*EFEITO!$Y$497</f>
        <v>271466.66199967533</v>
      </c>
      <c r="K497" s="74">
        <f ca="1">EFEITO!$L$497*EFEITO!$Z$497</f>
        <v>574086.14295003307</v>
      </c>
      <c r="L497" s="74">
        <f>EFEITO!$N$497*EFEITO!$AA$497</f>
        <v>1514164.6141494643</v>
      </c>
      <c r="M497" s="74">
        <f ca="1">$J$497-EFEITO!$K$497*EFEITO!$Y$497</f>
        <v>0</v>
      </c>
      <c r="N497" s="74">
        <f ca="1">$K$497-EFEITO!$M$497*EFEITO!$Z$497</f>
        <v>0</v>
      </c>
      <c r="O497" s="74">
        <f>$L$497-EFEITO!$O$497*EFEITO!$AA$497</f>
        <v>0</v>
      </c>
      <c r="P497" s="57"/>
      <c r="Q497" s="57"/>
      <c r="R497" s="57"/>
      <c r="S497" s="57"/>
      <c r="T497" s="57"/>
      <c r="U497" s="57"/>
      <c r="V497" s="57"/>
      <c r="W497" s="57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</row>
    <row r="498" spans="1:36" ht="11.25" customHeight="1" x14ac:dyDescent="0.2">
      <c r="A498" s="53" t="s">
        <v>28</v>
      </c>
      <c r="B498" s="53" t="s">
        <v>33</v>
      </c>
      <c r="C498" s="53" t="s">
        <v>41</v>
      </c>
      <c r="D498" s="53" t="s">
        <v>48</v>
      </c>
      <c r="E498" s="53" t="s">
        <v>25</v>
      </c>
      <c r="F498" s="53" t="s">
        <v>25</v>
      </c>
      <c r="G498" s="53" t="s">
        <v>25</v>
      </c>
      <c r="H498" s="53" t="s">
        <v>36</v>
      </c>
      <c r="I498" s="73">
        <v>43831</v>
      </c>
      <c r="J498" s="74">
        <f ca="1">EFEITO!$J$498*EFEITO!$Y$498</f>
        <v>45809.426594612778</v>
      </c>
      <c r="K498" s="74">
        <f ca="1">EFEITO!$L$498*EFEITO!$Z$498</f>
        <v>119713.27174481166</v>
      </c>
      <c r="L498" s="74">
        <f>EFEITO!$N$498*EFEITO!$AA$498</f>
        <v>315746.3425063538</v>
      </c>
      <c r="M498" s="74">
        <f ca="1">$J$498-EFEITO!$K$498*EFEITO!$Y$498</f>
        <v>0</v>
      </c>
      <c r="N498" s="74">
        <f ca="1">$K$498-EFEITO!$M$498*EFEITO!$Z$498</f>
        <v>0</v>
      </c>
      <c r="O498" s="74">
        <f>$L$498-EFEITO!$O$498*EFEITO!$AA$498</f>
        <v>0</v>
      </c>
      <c r="P498" s="57"/>
      <c r="Q498" s="57"/>
      <c r="R498" s="57"/>
      <c r="S498" s="57"/>
      <c r="T498" s="57"/>
      <c r="U498" s="57"/>
      <c r="V498" s="57"/>
      <c r="W498" s="57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</row>
    <row r="499" spans="1:36" ht="11.25" customHeight="1" x14ac:dyDescent="0.2">
      <c r="A499" s="53" t="s">
        <v>21</v>
      </c>
      <c r="B499" s="53" t="s">
        <v>33</v>
      </c>
      <c r="C499" s="53" t="s">
        <v>41</v>
      </c>
      <c r="D499" s="53" t="s">
        <v>48</v>
      </c>
      <c r="E499" s="53" t="s">
        <v>25</v>
      </c>
      <c r="F499" s="53" t="s">
        <v>25</v>
      </c>
      <c r="G499" s="53" t="s">
        <v>25</v>
      </c>
      <c r="H499" s="53" t="s">
        <v>36</v>
      </c>
      <c r="I499" s="73">
        <v>43862</v>
      </c>
      <c r="J499" s="74">
        <f ca="1">EFEITO!$J$499*EFEITO!$Y$499</f>
        <v>275474.98682670394</v>
      </c>
      <c r="K499" s="74">
        <f ca="1">EFEITO!$L$499*EFEITO!$Z$499</f>
        <v>578681.08449193276</v>
      </c>
      <c r="L499" s="74">
        <f>EFEITO!$N$499*EFEITO!$AA$499</f>
        <v>1526283.8718118733</v>
      </c>
      <c r="M499" s="74">
        <f ca="1">$J$499-EFEITO!$K$499*EFEITO!$Y$499</f>
        <v>0</v>
      </c>
      <c r="N499" s="74">
        <f ca="1">$K$499-EFEITO!$M$499*EFEITO!$Z$499</f>
        <v>0</v>
      </c>
      <c r="O499" s="74">
        <f>$L$499-EFEITO!$O$499*EFEITO!$AA$499</f>
        <v>0</v>
      </c>
      <c r="P499" s="57"/>
      <c r="Q499" s="57"/>
      <c r="R499" s="57"/>
      <c r="S499" s="57"/>
      <c r="T499" s="57"/>
      <c r="U499" s="57"/>
      <c r="V499" s="57"/>
      <c r="W499" s="57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</row>
    <row r="500" spans="1:36" ht="11.25" customHeight="1" x14ac:dyDescent="0.2">
      <c r="A500" s="53" t="s">
        <v>28</v>
      </c>
      <c r="B500" s="53" t="s">
        <v>33</v>
      </c>
      <c r="C500" s="53" t="s">
        <v>41</v>
      </c>
      <c r="D500" s="53" t="s">
        <v>48</v>
      </c>
      <c r="E500" s="53" t="s">
        <v>25</v>
      </c>
      <c r="F500" s="53" t="s">
        <v>25</v>
      </c>
      <c r="G500" s="53" t="s">
        <v>25</v>
      </c>
      <c r="H500" s="53" t="s">
        <v>36</v>
      </c>
      <c r="I500" s="73">
        <v>43862</v>
      </c>
      <c r="J500" s="74">
        <f ca="1">EFEITO!$J$500*EFEITO!$Y$500</f>
        <v>45809.426594612778</v>
      </c>
      <c r="K500" s="74">
        <f ca="1">EFEITO!$L$500*EFEITO!$Z$500</f>
        <v>134940.24041697453</v>
      </c>
      <c r="L500" s="74">
        <f>EFEITO!$N$500*EFEITO!$AA$500</f>
        <v>355907.80159622815</v>
      </c>
      <c r="M500" s="74">
        <f ca="1">$J$500-EFEITO!$K$500*EFEITO!$Y$500</f>
        <v>0</v>
      </c>
      <c r="N500" s="74">
        <f ca="1">$K$500-EFEITO!$M$500*EFEITO!$Z$500</f>
        <v>0</v>
      </c>
      <c r="O500" s="74">
        <f>$L$500-EFEITO!$O$500*EFEITO!$AA$500</f>
        <v>0</v>
      </c>
      <c r="P500" s="57"/>
      <c r="Q500" s="57"/>
      <c r="R500" s="57"/>
      <c r="S500" s="57"/>
      <c r="T500" s="57"/>
      <c r="U500" s="57"/>
      <c r="V500" s="57"/>
      <c r="W500" s="57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</row>
    <row r="501" spans="1:36" ht="11.25" customHeight="1" x14ac:dyDescent="0.2">
      <c r="A501" s="53" t="s">
        <v>21</v>
      </c>
      <c r="B501" s="53" t="s">
        <v>33</v>
      </c>
      <c r="C501" s="53" t="s">
        <v>41</v>
      </c>
      <c r="D501" s="53" t="s">
        <v>48</v>
      </c>
      <c r="E501" s="53" t="s">
        <v>25</v>
      </c>
      <c r="F501" s="53" t="s">
        <v>25</v>
      </c>
      <c r="G501" s="53" t="s">
        <v>25</v>
      </c>
      <c r="H501" s="53" t="s">
        <v>36</v>
      </c>
      <c r="I501" s="73">
        <v>43891</v>
      </c>
      <c r="J501" s="74">
        <f ca="1">EFEITO!$J$501*EFEITO!$Y$501</f>
        <v>274524.44122486573</v>
      </c>
      <c r="K501" s="74">
        <f ca="1">EFEITO!$L$501*EFEITO!$Z$501</f>
        <v>542508.10692062543</v>
      </c>
      <c r="L501" s="74">
        <f>EFEITO!$N$501*EFEITO!$AA$501</f>
        <v>1430876.8613840621</v>
      </c>
      <c r="M501" s="74">
        <f ca="1">$J$501-EFEITO!$K$501*EFEITO!$Y$501</f>
        <v>0</v>
      </c>
      <c r="N501" s="74">
        <f ca="1">$K$501-EFEITO!$M$501*EFEITO!$Z$501</f>
        <v>0</v>
      </c>
      <c r="O501" s="74">
        <f>$L$501-EFEITO!$O$501*EFEITO!$AA$501</f>
        <v>0</v>
      </c>
      <c r="P501" s="57"/>
      <c r="Q501" s="57"/>
      <c r="R501" s="57"/>
      <c r="S501" s="57"/>
      <c r="T501" s="57"/>
      <c r="U501" s="57"/>
      <c r="V501" s="57"/>
      <c r="W501" s="57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</row>
    <row r="502" spans="1:36" ht="11.25" customHeight="1" x14ac:dyDescent="0.2">
      <c r="A502" s="53" t="s">
        <v>28</v>
      </c>
      <c r="B502" s="53" t="s">
        <v>33</v>
      </c>
      <c r="C502" s="53" t="s">
        <v>41</v>
      </c>
      <c r="D502" s="53" t="s">
        <v>48</v>
      </c>
      <c r="E502" s="53" t="s">
        <v>25</v>
      </c>
      <c r="F502" s="53" t="s">
        <v>25</v>
      </c>
      <c r="G502" s="53" t="s">
        <v>25</v>
      </c>
      <c r="H502" s="53" t="s">
        <v>36</v>
      </c>
      <c r="I502" s="73">
        <v>43891</v>
      </c>
      <c r="J502" s="74">
        <f ca="1">EFEITO!$J$502*EFEITO!$Y$502</f>
        <v>45809.426594612778</v>
      </c>
      <c r="K502" s="74">
        <f ca="1">EFEITO!$L$502*EFEITO!$Z$502</f>
        <v>120143.42940887088</v>
      </c>
      <c r="L502" s="74">
        <f>EFEITO!$N$502*EFEITO!$AA$502</f>
        <v>316880.89264560066</v>
      </c>
      <c r="M502" s="74">
        <f ca="1">$J$502-EFEITO!$K$502*EFEITO!$Y$502</f>
        <v>0</v>
      </c>
      <c r="N502" s="74">
        <f ca="1">$K$502-EFEITO!$M$502*EFEITO!$Z$502</f>
        <v>0</v>
      </c>
      <c r="O502" s="74">
        <f>$L$502-EFEITO!$O$502*EFEITO!$AA$502</f>
        <v>0</v>
      </c>
      <c r="P502" s="57"/>
      <c r="Q502" s="57"/>
      <c r="R502" s="57"/>
      <c r="S502" s="57"/>
      <c r="T502" s="57"/>
      <c r="U502" s="57"/>
      <c r="V502" s="57"/>
      <c r="W502" s="57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</row>
    <row r="503" spans="1:36" ht="11.25" customHeight="1" x14ac:dyDescent="0.2">
      <c r="A503" s="53" t="s">
        <v>21</v>
      </c>
      <c r="B503" s="53" t="s">
        <v>33</v>
      </c>
      <c r="C503" s="53" t="s">
        <v>41</v>
      </c>
      <c r="D503" s="53" t="s">
        <v>48</v>
      </c>
      <c r="E503" s="53" t="s">
        <v>25</v>
      </c>
      <c r="F503" s="53" t="s">
        <v>25</v>
      </c>
      <c r="G503" s="53" t="s">
        <v>25</v>
      </c>
      <c r="H503" s="53" t="s">
        <v>36</v>
      </c>
      <c r="I503" s="73">
        <v>43922</v>
      </c>
      <c r="J503" s="74">
        <f ca="1">EFEITO!$J$503*EFEITO!$Y$503</f>
        <v>260838.87502972517</v>
      </c>
      <c r="K503" s="74">
        <f ca="1">EFEITO!$L$503*EFEITO!$Z$503</f>
        <v>539388.12918592617</v>
      </c>
      <c r="L503" s="74">
        <f>EFEITO!$N$503*EFEITO!$AA$503</f>
        <v>1422647.8526528287</v>
      </c>
      <c r="M503" s="74">
        <f ca="1">$J$503-EFEITO!$K$503*EFEITO!$Y$503</f>
        <v>0</v>
      </c>
      <c r="N503" s="74">
        <f ca="1">$K$503-EFEITO!$M$503*EFEITO!$Z$503</f>
        <v>0</v>
      </c>
      <c r="O503" s="74">
        <f>$L$503-EFEITO!$O$503*EFEITO!$AA$503</f>
        <v>0</v>
      </c>
      <c r="P503" s="57"/>
      <c r="Q503" s="57"/>
      <c r="R503" s="57"/>
      <c r="S503" s="57"/>
      <c r="T503" s="57"/>
      <c r="U503" s="57"/>
      <c r="V503" s="57"/>
      <c r="W503" s="57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</row>
    <row r="504" spans="1:36" ht="11.25" customHeight="1" x14ac:dyDescent="0.2">
      <c r="A504" s="53" t="s">
        <v>28</v>
      </c>
      <c r="B504" s="53" t="s">
        <v>33</v>
      </c>
      <c r="C504" s="53" t="s">
        <v>41</v>
      </c>
      <c r="D504" s="53" t="s">
        <v>48</v>
      </c>
      <c r="E504" s="53" t="s">
        <v>25</v>
      </c>
      <c r="F504" s="53" t="s">
        <v>25</v>
      </c>
      <c r="G504" s="53" t="s">
        <v>25</v>
      </c>
      <c r="H504" s="53" t="s">
        <v>36</v>
      </c>
      <c r="I504" s="73">
        <v>43922</v>
      </c>
      <c r="J504" s="74">
        <f ca="1">EFEITO!$J$504*EFEITO!$Y$504</f>
        <v>45809.426594612778</v>
      </c>
      <c r="K504" s="74">
        <f ca="1">EFEITO!$L$504*EFEITO!$Z$504</f>
        <v>102385.66334675875</v>
      </c>
      <c r="L504" s="74">
        <f>EFEITO!$N$504*EFEITO!$AA$504</f>
        <v>270044.40072223661</v>
      </c>
      <c r="M504" s="74">
        <f ca="1">$J$504-EFEITO!$K$504*EFEITO!$Y$504</f>
        <v>0</v>
      </c>
      <c r="N504" s="74">
        <f ca="1">$K$504-EFEITO!$M$504*EFEITO!$Z$504</f>
        <v>0</v>
      </c>
      <c r="O504" s="74">
        <f>$L$504-EFEITO!$O$504*EFEITO!$AA$504</f>
        <v>0</v>
      </c>
      <c r="P504" s="57"/>
      <c r="Q504" s="57"/>
      <c r="R504" s="57"/>
      <c r="S504" s="57"/>
      <c r="T504" s="57"/>
      <c r="U504" s="57"/>
      <c r="V504" s="57"/>
      <c r="W504" s="57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</row>
    <row r="505" spans="1:36" ht="11.25" customHeight="1" x14ac:dyDescent="0.2">
      <c r="A505" s="53" t="s">
        <v>21</v>
      </c>
      <c r="B505" s="53" t="s">
        <v>33</v>
      </c>
      <c r="C505" s="53" t="s">
        <v>41</v>
      </c>
      <c r="D505" s="53" t="s">
        <v>48</v>
      </c>
      <c r="E505" s="53" t="s">
        <v>25</v>
      </c>
      <c r="F505" s="53" t="s">
        <v>25</v>
      </c>
      <c r="G505" s="53" t="s">
        <v>25</v>
      </c>
      <c r="H505" s="53" t="s">
        <v>36</v>
      </c>
      <c r="I505" s="73">
        <v>43952</v>
      </c>
      <c r="J505" s="74">
        <f ca="1">EFEITO!$J$505*EFEITO!$Y$505</f>
        <v>264663.96215037536</v>
      </c>
      <c r="K505" s="74">
        <f ca="1">EFEITO!$L$505*EFEITO!$Z$505</f>
        <v>500522.180846948</v>
      </c>
      <c r="L505" s="74">
        <f>EFEITO!$N$505*EFEITO!$AA$505</f>
        <v>1320138.0736014922</v>
      </c>
      <c r="M505" s="74">
        <f ca="1">$J$505-EFEITO!$K$505*EFEITO!$Y$505</f>
        <v>0</v>
      </c>
      <c r="N505" s="74">
        <f ca="1">$K$505-EFEITO!$M$505*EFEITO!$Z$505</f>
        <v>0</v>
      </c>
      <c r="O505" s="74">
        <f>$L$505-EFEITO!$O$505*EFEITO!$AA$505</f>
        <v>0</v>
      </c>
      <c r="P505" s="57"/>
      <c r="Q505" s="57"/>
      <c r="R505" s="57"/>
      <c r="S505" s="57"/>
      <c r="T505" s="57"/>
      <c r="U505" s="57"/>
      <c r="V505" s="57"/>
      <c r="W505" s="57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</row>
    <row r="506" spans="1:36" ht="11.25" customHeight="1" x14ac:dyDescent="0.2">
      <c r="A506" s="53" t="s">
        <v>28</v>
      </c>
      <c r="B506" s="53" t="s">
        <v>33</v>
      </c>
      <c r="C506" s="53" t="s">
        <v>41</v>
      </c>
      <c r="D506" s="53" t="s">
        <v>48</v>
      </c>
      <c r="E506" s="53" t="s">
        <v>25</v>
      </c>
      <c r="F506" s="53" t="s">
        <v>25</v>
      </c>
      <c r="G506" s="53" t="s">
        <v>25</v>
      </c>
      <c r="H506" s="53" t="s">
        <v>36</v>
      </c>
      <c r="I506" s="73">
        <v>43952</v>
      </c>
      <c r="J506" s="74">
        <f ca="1">EFEITO!$J$506*EFEITO!$Y$506</f>
        <v>45809.426594612778</v>
      </c>
      <c r="K506" s="74">
        <f ca="1">EFEITO!$L$506*EFEITO!$Z$506</f>
        <v>80732.935599744902</v>
      </c>
      <c r="L506" s="74">
        <f>EFEITO!$N$506*EFEITO!$AA$506</f>
        <v>212934.86314331926</v>
      </c>
      <c r="M506" s="74">
        <f ca="1">$J$506-EFEITO!$K$506*EFEITO!$Y$506</f>
        <v>0</v>
      </c>
      <c r="N506" s="74">
        <f ca="1">$K$506-EFEITO!$M$506*EFEITO!$Z$506</f>
        <v>0</v>
      </c>
      <c r="O506" s="74">
        <f>$L$506-EFEITO!$O$506*EFEITO!$AA$506</f>
        <v>0</v>
      </c>
      <c r="P506" s="57"/>
      <c r="Q506" s="57"/>
      <c r="R506" s="57"/>
      <c r="S506" s="57"/>
      <c r="T506" s="57"/>
      <c r="U506" s="57"/>
      <c r="V506" s="57"/>
      <c r="W506" s="57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</row>
    <row r="507" spans="1:36" ht="11.25" customHeight="1" x14ac:dyDescent="0.2">
      <c r="A507" s="53" t="s">
        <v>21</v>
      </c>
      <c r="B507" s="53" t="s">
        <v>33</v>
      </c>
      <c r="C507" s="53" t="s">
        <v>41</v>
      </c>
      <c r="D507" s="53" t="s">
        <v>48</v>
      </c>
      <c r="E507" s="53" t="s">
        <v>25</v>
      </c>
      <c r="F507" s="53" t="s">
        <v>25</v>
      </c>
      <c r="G507" s="53" t="s">
        <v>25</v>
      </c>
      <c r="H507" s="53" t="s">
        <v>36</v>
      </c>
      <c r="I507" s="73">
        <v>43983</v>
      </c>
      <c r="J507" s="74">
        <f ca="1">EFEITO!$J$507*EFEITO!$Y$507</f>
        <v>239296.99217360851</v>
      </c>
      <c r="K507" s="74">
        <f ca="1">EFEITO!$L$507*EFEITO!$Z$507</f>
        <v>424467.94281850359</v>
      </c>
      <c r="L507" s="74">
        <f>EFEITO!$N$507*EFEITO!$AA$507</f>
        <v>1119543.3764589864</v>
      </c>
      <c r="M507" s="74">
        <f ca="1">$J$507-EFEITO!$K$507*EFEITO!$Y$507</f>
        <v>0</v>
      </c>
      <c r="N507" s="74">
        <f ca="1">$K$507-EFEITO!$M$507*EFEITO!$Z$507</f>
        <v>0</v>
      </c>
      <c r="O507" s="74">
        <f>$L$507-EFEITO!$O$507*EFEITO!$AA$507</f>
        <v>0</v>
      </c>
      <c r="P507" s="57"/>
      <c r="Q507" s="57"/>
      <c r="R507" s="57"/>
      <c r="S507" s="57"/>
      <c r="T507" s="57"/>
      <c r="U507" s="57"/>
      <c r="V507" s="57"/>
      <c r="W507" s="57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</row>
    <row r="508" spans="1:36" ht="11.25" customHeight="1" x14ac:dyDescent="0.2">
      <c r="A508" s="53" t="s">
        <v>28</v>
      </c>
      <c r="B508" s="53" t="s">
        <v>33</v>
      </c>
      <c r="C508" s="53" t="s">
        <v>41</v>
      </c>
      <c r="D508" s="53" t="s">
        <v>48</v>
      </c>
      <c r="E508" s="53" t="s">
        <v>25</v>
      </c>
      <c r="F508" s="53" t="s">
        <v>25</v>
      </c>
      <c r="G508" s="53" t="s">
        <v>25</v>
      </c>
      <c r="H508" s="53" t="s">
        <v>36</v>
      </c>
      <c r="I508" s="73">
        <v>43983</v>
      </c>
      <c r="J508" s="74">
        <f ca="1">EFEITO!$J$508*EFEITO!$Y$508</f>
        <v>45809.426594612778</v>
      </c>
      <c r="K508" s="74">
        <f ca="1">EFEITO!$L$508*EFEITO!$Z$508</f>
        <v>79249.744972519737</v>
      </c>
      <c r="L508" s="74">
        <f>EFEITO!$N$508*EFEITO!$AA$508</f>
        <v>209022.91579645922</v>
      </c>
      <c r="M508" s="74">
        <f ca="1">$J$508-EFEITO!$K$508*EFEITO!$Y$508</f>
        <v>0</v>
      </c>
      <c r="N508" s="74">
        <f ca="1">$K$508-EFEITO!$M$508*EFEITO!$Z$508</f>
        <v>0</v>
      </c>
      <c r="O508" s="74">
        <f>$L$508-EFEITO!$O$508*EFEITO!$AA$508</f>
        <v>0</v>
      </c>
      <c r="P508" s="57"/>
      <c r="Q508" s="57"/>
      <c r="R508" s="57"/>
      <c r="S508" s="57"/>
      <c r="T508" s="57"/>
      <c r="U508" s="57"/>
      <c r="V508" s="57"/>
      <c r="W508" s="57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</row>
    <row r="509" spans="1:36" ht="11.25" customHeight="1" x14ac:dyDescent="0.2">
      <c r="A509" s="53" t="s">
        <v>21</v>
      </c>
      <c r="B509" s="53" t="s">
        <v>33</v>
      </c>
      <c r="C509" s="53" t="s">
        <v>41</v>
      </c>
      <c r="D509" s="53" t="s">
        <v>48</v>
      </c>
      <c r="E509" s="53" t="s">
        <v>25</v>
      </c>
      <c r="F509" s="53" t="s">
        <v>25</v>
      </c>
      <c r="G509" s="53" t="s">
        <v>25</v>
      </c>
      <c r="H509" s="53" t="s">
        <v>36</v>
      </c>
      <c r="I509" s="73">
        <v>44013</v>
      </c>
      <c r="J509" s="74">
        <f ca="1">EFEITO!$J$509*EFEITO!$Y$509</f>
        <v>240384.96605523056</v>
      </c>
      <c r="K509" s="74">
        <f ca="1">EFEITO!$L$509*EFEITO!$Z$509</f>
        <v>396880.17705917807</v>
      </c>
      <c r="L509" s="74">
        <f>EFEITO!$N$509*EFEITO!$AA$509</f>
        <v>1046780.0478031846</v>
      </c>
      <c r="M509" s="74">
        <f ca="1">$J$509-EFEITO!$K$509*EFEITO!$Y$509</f>
        <v>0</v>
      </c>
      <c r="N509" s="74">
        <f ca="1">$K$509-EFEITO!$M$509*EFEITO!$Z$509</f>
        <v>0</v>
      </c>
      <c r="O509" s="74">
        <f>$L$509-EFEITO!$O$509*EFEITO!$AA$509</f>
        <v>0</v>
      </c>
      <c r="P509" s="57"/>
      <c r="Q509" s="57"/>
      <c r="R509" s="57"/>
      <c r="S509" s="57"/>
      <c r="T509" s="57"/>
      <c r="U509" s="57"/>
      <c r="V509" s="57"/>
      <c r="W509" s="57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</row>
    <row r="510" spans="1:36" ht="11.25" customHeight="1" x14ac:dyDescent="0.2">
      <c r="A510" s="53" t="s">
        <v>28</v>
      </c>
      <c r="B510" s="53" t="s">
        <v>33</v>
      </c>
      <c r="C510" s="53" t="s">
        <v>41</v>
      </c>
      <c r="D510" s="53" t="s">
        <v>48</v>
      </c>
      <c r="E510" s="53" t="s">
        <v>25</v>
      </c>
      <c r="F510" s="53" t="s">
        <v>25</v>
      </c>
      <c r="G510" s="53" t="s">
        <v>25</v>
      </c>
      <c r="H510" s="53" t="s">
        <v>36</v>
      </c>
      <c r="I510" s="73">
        <v>44013</v>
      </c>
      <c r="J510" s="74">
        <f ca="1">EFEITO!$J$510*EFEITO!$Y$510</f>
        <v>45809.426594612778</v>
      </c>
      <c r="K510" s="74">
        <f ca="1">EFEITO!$L$510*EFEITO!$Z$510</f>
        <v>72409.669238125251</v>
      </c>
      <c r="L510" s="74">
        <f>EFEITO!$N$510*EFEITO!$AA$510</f>
        <v>190982.06816007241</v>
      </c>
      <c r="M510" s="74">
        <f ca="1">$J$510-EFEITO!$K$510*EFEITO!$Y$510</f>
        <v>0</v>
      </c>
      <c r="N510" s="74">
        <f ca="1">$K$510-EFEITO!$M$510*EFEITO!$Z$510</f>
        <v>0</v>
      </c>
      <c r="O510" s="74">
        <f>$L$510-EFEITO!$O$510*EFEITO!$AA$510</f>
        <v>0</v>
      </c>
      <c r="P510" s="57"/>
      <c r="Q510" s="57"/>
      <c r="R510" s="57"/>
      <c r="S510" s="57"/>
      <c r="T510" s="57"/>
      <c r="U510" s="57"/>
      <c r="V510" s="57"/>
      <c r="W510" s="57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</row>
    <row r="511" spans="1:36" ht="11.25" customHeight="1" x14ac:dyDescent="0.2">
      <c r="A511" s="53" t="s">
        <v>21</v>
      </c>
      <c r="B511" s="53" t="s">
        <v>33</v>
      </c>
      <c r="C511" s="53" t="s">
        <v>41</v>
      </c>
      <c r="D511" s="53" t="s">
        <v>48</v>
      </c>
      <c r="E511" s="53" t="s">
        <v>25</v>
      </c>
      <c r="F511" s="53" t="s">
        <v>25</v>
      </c>
      <c r="G511" s="53" t="s">
        <v>25</v>
      </c>
      <c r="H511" s="53" t="s">
        <v>36</v>
      </c>
      <c r="I511" s="73">
        <v>44044</v>
      </c>
      <c r="J511" s="74">
        <f ca="1">EFEITO!$J$511*EFEITO!$Y$511</f>
        <v>248722.2816954501</v>
      </c>
      <c r="K511" s="74">
        <f ca="1">EFEITO!$L$511*EFEITO!$Z$511</f>
        <v>429910.59690039884</v>
      </c>
      <c r="L511" s="74">
        <f>EFEITO!$N$511*EFEITO!$AA$511</f>
        <v>1133898.4942737345</v>
      </c>
      <c r="M511" s="74">
        <f ca="1">$J$511-EFEITO!$K$511*EFEITO!$Y$511</f>
        <v>0</v>
      </c>
      <c r="N511" s="74">
        <f ca="1">$K$511-EFEITO!$M$511*EFEITO!$Z$511</f>
        <v>0</v>
      </c>
      <c r="O511" s="74">
        <f>$L$511-EFEITO!$O$511*EFEITO!$AA$511</f>
        <v>0</v>
      </c>
      <c r="P511" s="57"/>
      <c r="Q511" s="57"/>
      <c r="R511" s="57"/>
      <c r="S511" s="57"/>
      <c r="T511" s="57"/>
      <c r="U511" s="57"/>
      <c r="V511" s="57"/>
      <c r="W511" s="57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</row>
    <row r="512" spans="1:36" ht="11.25" customHeight="1" x14ac:dyDescent="0.2">
      <c r="A512" s="53" t="s">
        <v>28</v>
      </c>
      <c r="B512" s="53" t="s">
        <v>33</v>
      </c>
      <c r="C512" s="53" t="s">
        <v>41</v>
      </c>
      <c r="D512" s="53" t="s">
        <v>48</v>
      </c>
      <c r="E512" s="53" t="s">
        <v>25</v>
      </c>
      <c r="F512" s="53" t="s">
        <v>25</v>
      </c>
      <c r="G512" s="53" t="s">
        <v>25</v>
      </c>
      <c r="H512" s="53" t="s">
        <v>36</v>
      </c>
      <c r="I512" s="73">
        <v>44044</v>
      </c>
      <c r="J512" s="74">
        <f ca="1">EFEITO!$J$512*EFEITO!$Y$512</f>
        <v>45809.426594612778</v>
      </c>
      <c r="K512" s="74">
        <f ca="1">EFEITO!$L$512*EFEITO!$Z$512</f>
        <v>76115.676620543964</v>
      </c>
      <c r="L512" s="74">
        <f>EFEITO!$N$512*EFEITO!$AA$512</f>
        <v>200756.74275751083</v>
      </c>
      <c r="M512" s="74">
        <f ca="1">$J$512-EFEITO!$K$512*EFEITO!$Y$512</f>
        <v>0</v>
      </c>
      <c r="N512" s="74">
        <f ca="1">$K$512-EFEITO!$M$512*EFEITO!$Z$512</f>
        <v>0</v>
      </c>
      <c r="O512" s="74">
        <f>$L$512-EFEITO!$O$512*EFEITO!$AA$512</f>
        <v>0</v>
      </c>
      <c r="P512" s="57"/>
      <c r="Q512" s="57"/>
      <c r="R512" s="57"/>
      <c r="S512" s="57"/>
      <c r="T512" s="57"/>
      <c r="U512" s="57"/>
      <c r="V512" s="57"/>
      <c r="W512" s="57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</row>
    <row r="513" spans="1:36" ht="11.25" customHeight="1" x14ac:dyDescent="0.2">
      <c r="A513" s="53" t="s">
        <v>59</v>
      </c>
      <c r="B513" s="53" t="s">
        <v>33</v>
      </c>
      <c r="C513" s="53" t="s">
        <v>41</v>
      </c>
      <c r="D513" s="53" t="s">
        <v>48</v>
      </c>
      <c r="E513" s="53" t="s">
        <v>25</v>
      </c>
      <c r="F513" s="53" t="s">
        <v>25</v>
      </c>
      <c r="G513" s="53" t="s">
        <v>25</v>
      </c>
      <c r="H513" s="53" t="s">
        <v>36</v>
      </c>
      <c r="I513" s="73">
        <v>44075</v>
      </c>
      <c r="J513" s="74">
        <f ca="1">EFEITO!$J$513*EFEITO!$Y$513</f>
        <v>248722.2816954501</v>
      </c>
      <c r="K513" s="74">
        <f ca="1">EFEITO!$L$513*EFEITO!$Z$513</f>
        <v>429910.59690039884</v>
      </c>
      <c r="L513" s="74">
        <f>EFEITO!$N$513*EFEITO!$AA$513</f>
        <v>1133898.4942737345</v>
      </c>
      <c r="M513" s="74">
        <f ca="1">$J$513-EFEITO!$K$513*EFEITO!$Y$513</f>
        <v>0</v>
      </c>
      <c r="N513" s="74">
        <f ca="1">$K$513-EFEITO!$M$513*EFEITO!$Z$513</f>
        <v>0</v>
      </c>
      <c r="O513" s="74">
        <f>$L$513-EFEITO!$O$513*EFEITO!$AA$513</f>
        <v>0</v>
      </c>
      <c r="P513" s="57"/>
      <c r="Q513" s="57"/>
      <c r="R513" s="57"/>
      <c r="S513" s="57"/>
      <c r="T513" s="57"/>
      <c r="U513" s="57"/>
      <c r="V513" s="57"/>
      <c r="W513" s="57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</row>
    <row r="514" spans="1:36" ht="11.25" customHeight="1" x14ac:dyDescent="0.2">
      <c r="A514" s="53" t="s">
        <v>59</v>
      </c>
      <c r="B514" s="53" t="s">
        <v>33</v>
      </c>
      <c r="C514" s="53" t="s">
        <v>41</v>
      </c>
      <c r="D514" s="53" t="s">
        <v>48</v>
      </c>
      <c r="E514" s="53" t="s">
        <v>25</v>
      </c>
      <c r="F514" s="53" t="s">
        <v>25</v>
      </c>
      <c r="G514" s="53" t="s">
        <v>25</v>
      </c>
      <c r="H514" s="53" t="s">
        <v>36</v>
      </c>
      <c r="I514" s="73">
        <v>44075</v>
      </c>
      <c r="J514" s="74">
        <f ca="1">EFEITO!$J$514*EFEITO!$Y$514</f>
        <v>45809.426594612778</v>
      </c>
      <c r="K514" s="74">
        <f ca="1">EFEITO!$L$514*EFEITO!$Z$514</f>
        <v>76115.676620543964</v>
      </c>
      <c r="L514" s="74">
        <f>EFEITO!$N$514*EFEITO!$AA$514</f>
        <v>200756.74275751083</v>
      </c>
      <c r="M514" s="74">
        <f ca="1">$J$514-EFEITO!$K$514*EFEITO!$Y$514</f>
        <v>0</v>
      </c>
      <c r="N514" s="74">
        <f ca="1">$K$514-EFEITO!$M$514*EFEITO!$Z$514</f>
        <v>0</v>
      </c>
      <c r="O514" s="74">
        <f>$L$514-EFEITO!$O$514*EFEITO!$AA$514</f>
        <v>0</v>
      </c>
      <c r="P514" s="57"/>
      <c r="Q514" s="57"/>
      <c r="R514" s="57"/>
      <c r="S514" s="57"/>
      <c r="T514" s="57"/>
      <c r="U514" s="57"/>
      <c r="V514" s="57"/>
      <c r="W514" s="57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</row>
    <row r="515" spans="1:36" ht="11.25" customHeight="1" x14ac:dyDescent="0.2">
      <c r="A515" s="53" t="s">
        <v>21</v>
      </c>
      <c r="B515" s="53" t="s">
        <v>33</v>
      </c>
      <c r="C515" s="53" t="s">
        <v>41</v>
      </c>
      <c r="D515" s="53" t="s">
        <v>48</v>
      </c>
      <c r="E515" s="53" t="s">
        <v>25</v>
      </c>
      <c r="F515" s="53" t="s">
        <v>25</v>
      </c>
      <c r="G515" s="53" t="s">
        <v>25</v>
      </c>
      <c r="H515" s="53" t="s">
        <v>35</v>
      </c>
      <c r="I515" s="73">
        <v>43739</v>
      </c>
      <c r="J515" s="74">
        <f ca="1">EFEITO!$J$515*EFEITO!$Y$515</f>
        <v>492396.99559426424</v>
      </c>
      <c r="K515" s="74">
        <f ca="1">EFEITO!$L$515*EFEITO!$Z$515</f>
        <v>61214.104936167911</v>
      </c>
      <c r="L515" s="74">
        <f>EFEITO!$N$515*EFEITO!$AA$515</f>
        <v>262771.99601238722</v>
      </c>
      <c r="M515" s="74">
        <f ca="1">$J$515-EFEITO!$K$515*EFEITO!$Y$515</f>
        <v>0</v>
      </c>
      <c r="N515" s="74">
        <f ca="1">$K$515-EFEITO!$M$515*EFEITO!$Z$515</f>
        <v>0</v>
      </c>
      <c r="O515" s="74">
        <f>$L$515-EFEITO!$O$515*EFEITO!$AA$515</f>
        <v>0</v>
      </c>
      <c r="P515" s="57"/>
      <c r="Q515" s="57"/>
      <c r="R515" s="57"/>
      <c r="S515" s="57"/>
      <c r="T515" s="57"/>
      <c r="U515" s="57"/>
      <c r="V515" s="57"/>
      <c r="W515" s="57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</row>
    <row r="516" spans="1:36" ht="11.25" customHeight="1" x14ac:dyDescent="0.2">
      <c r="A516" s="53" t="s">
        <v>28</v>
      </c>
      <c r="B516" s="53" t="s">
        <v>33</v>
      </c>
      <c r="C516" s="53" t="s">
        <v>41</v>
      </c>
      <c r="D516" s="53" t="s">
        <v>48</v>
      </c>
      <c r="E516" s="53" t="s">
        <v>25</v>
      </c>
      <c r="F516" s="53" t="s">
        <v>25</v>
      </c>
      <c r="G516" s="53" t="s">
        <v>25</v>
      </c>
      <c r="H516" s="53" t="s">
        <v>35</v>
      </c>
      <c r="I516" s="73">
        <v>43739</v>
      </c>
      <c r="J516" s="74">
        <f ca="1">EFEITO!$J$516*EFEITO!$Y$516</f>
        <v>77566.407110526925</v>
      </c>
      <c r="K516" s="74">
        <f ca="1">EFEITO!$L$516*EFEITO!$Z$516</f>
        <v>0</v>
      </c>
      <c r="L516" s="74">
        <f>EFEITO!$N$516*EFEITO!$AA$516</f>
        <v>0</v>
      </c>
      <c r="M516" s="74">
        <f ca="1">$J$516-EFEITO!$K$516*EFEITO!$Y$516</f>
        <v>0</v>
      </c>
      <c r="N516" s="74">
        <f ca="1">$K$516-EFEITO!$M$516*EFEITO!$Z$516</f>
        <v>0</v>
      </c>
      <c r="O516" s="74">
        <f>$L$516-EFEITO!$O$516*EFEITO!$AA$516</f>
        <v>0</v>
      </c>
      <c r="P516" s="57"/>
      <c r="Q516" s="57"/>
      <c r="R516" s="57"/>
      <c r="S516" s="57"/>
      <c r="T516" s="57"/>
      <c r="U516" s="57"/>
      <c r="V516" s="57"/>
      <c r="W516" s="57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</row>
    <row r="517" spans="1:36" ht="11.25" customHeight="1" x14ac:dyDescent="0.2">
      <c r="A517" s="53" t="s">
        <v>21</v>
      </c>
      <c r="B517" s="53" t="s">
        <v>33</v>
      </c>
      <c r="C517" s="53" t="s">
        <v>41</v>
      </c>
      <c r="D517" s="53" t="s">
        <v>48</v>
      </c>
      <c r="E517" s="53" t="s">
        <v>25</v>
      </c>
      <c r="F517" s="53" t="s">
        <v>25</v>
      </c>
      <c r="G517" s="53" t="s">
        <v>25</v>
      </c>
      <c r="H517" s="53" t="s">
        <v>35</v>
      </c>
      <c r="I517" s="73">
        <v>43770</v>
      </c>
      <c r="J517" s="74">
        <f ca="1">EFEITO!$J$517*EFEITO!$Y$517</f>
        <v>494302.13541803154</v>
      </c>
      <c r="K517" s="74">
        <f ca="1">EFEITO!$L$517*EFEITO!$Z$517</f>
        <v>65396.480205763502</v>
      </c>
      <c r="L517" s="74">
        <f>EFEITO!$N$517*EFEITO!$AA$517</f>
        <v>280725.55587919394</v>
      </c>
      <c r="M517" s="74">
        <f ca="1">$J$517-EFEITO!$K$517*EFEITO!$Y$517</f>
        <v>0</v>
      </c>
      <c r="N517" s="74">
        <f ca="1">$K$517-EFEITO!$M$517*EFEITO!$Z$517</f>
        <v>0</v>
      </c>
      <c r="O517" s="74">
        <f>$L$517-EFEITO!$O$517*EFEITO!$AA$517</f>
        <v>0</v>
      </c>
      <c r="P517" s="57"/>
      <c r="Q517" s="57"/>
      <c r="R517" s="57"/>
      <c r="S517" s="57"/>
      <c r="T517" s="57"/>
      <c r="U517" s="57"/>
      <c r="V517" s="57"/>
      <c r="W517" s="57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</row>
    <row r="518" spans="1:36" ht="11.25" customHeight="1" x14ac:dyDescent="0.2">
      <c r="A518" s="53" t="s">
        <v>28</v>
      </c>
      <c r="B518" s="53" t="s">
        <v>33</v>
      </c>
      <c r="C518" s="53" t="s">
        <v>41</v>
      </c>
      <c r="D518" s="53" t="s">
        <v>48</v>
      </c>
      <c r="E518" s="53" t="s">
        <v>25</v>
      </c>
      <c r="F518" s="53" t="s">
        <v>25</v>
      </c>
      <c r="G518" s="53" t="s">
        <v>25</v>
      </c>
      <c r="H518" s="53" t="s">
        <v>35</v>
      </c>
      <c r="I518" s="73">
        <v>43770</v>
      </c>
      <c r="J518" s="74">
        <f ca="1">EFEITO!$J$518*EFEITO!$Y$518</f>
        <v>77566.407110526925</v>
      </c>
      <c r="K518" s="74">
        <f ca="1">EFEITO!$L$518*EFEITO!$Z$518</f>
        <v>18752.336091485293</v>
      </c>
      <c r="L518" s="74">
        <f>EFEITO!$N$518*EFEITO!$AA$518</f>
        <v>80497.604102731697</v>
      </c>
      <c r="M518" s="74">
        <f ca="1">$J$518-EFEITO!$K$518*EFEITO!$Y$518</f>
        <v>0</v>
      </c>
      <c r="N518" s="74">
        <f ca="1">$K$518-EFEITO!$M$518*EFEITO!$Z$518</f>
        <v>0</v>
      </c>
      <c r="O518" s="74">
        <f>$L$518-EFEITO!$O$518*EFEITO!$AA$518</f>
        <v>0</v>
      </c>
      <c r="P518" s="57"/>
      <c r="Q518" s="57"/>
      <c r="R518" s="57"/>
      <c r="S518" s="57"/>
      <c r="T518" s="57"/>
      <c r="U518" s="57"/>
      <c r="V518" s="57"/>
      <c r="W518" s="57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</row>
    <row r="519" spans="1:36" ht="11.25" customHeight="1" x14ac:dyDescent="0.2">
      <c r="A519" s="53" t="s">
        <v>21</v>
      </c>
      <c r="B519" s="53" t="s">
        <v>33</v>
      </c>
      <c r="C519" s="53" t="s">
        <v>41</v>
      </c>
      <c r="D519" s="53" t="s">
        <v>48</v>
      </c>
      <c r="E519" s="53" t="s">
        <v>25</v>
      </c>
      <c r="F519" s="53" t="s">
        <v>25</v>
      </c>
      <c r="G519" s="53" t="s">
        <v>25</v>
      </c>
      <c r="H519" s="53" t="s">
        <v>35</v>
      </c>
      <c r="I519" s="73">
        <v>43800</v>
      </c>
      <c r="J519" s="74">
        <f ca="1">EFEITO!$J$519*EFEITO!$Y$519</f>
        <v>487879.09258361597</v>
      </c>
      <c r="K519" s="74">
        <f ca="1">EFEITO!$L$519*EFEITO!$Z$519</f>
        <v>56977.555181515832</v>
      </c>
      <c r="L519" s="74">
        <f>EFEITO!$N$519*EFEITO!$AA$519</f>
        <v>244585.88291971723</v>
      </c>
      <c r="M519" s="74">
        <f ca="1">$J$519-EFEITO!$K$519*EFEITO!$Y$519</f>
        <v>0</v>
      </c>
      <c r="N519" s="74">
        <f ca="1">$K$519-EFEITO!$M$519*EFEITO!$Z$519</f>
        <v>0</v>
      </c>
      <c r="O519" s="74">
        <f>$L$519-EFEITO!$O$519*EFEITO!$AA$519</f>
        <v>0</v>
      </c>
      <c r="P519" s="57"/>
      <c r="Q519" s="57"/>
      <c r="R519" s="57"/>
      <c r="S519" s="57"/>
      <c r="T519" s="57"/>
      <c r="U519" s="57"/>
      <c r="V519" s="57"/>
      <c r="W519" s="57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</row>
    <row r="520" spans="1:36" ht="11.25" customHeight="1" x14ac:dyDescent="0.2">
      <c r="A520" s="53" t="s">
        <v>28</v>
      </c>
      <c r="B520" s="53" t="s">
        <v>33</v>
      </c>
      <c r="C520" s="53" t="s">
        <v>41</v>
      </c>
      <c r="D520" s="53" t="s">
        <v>48</v>
      </c>
      <c r="E520" s="53" t="s">
        <v>25</v>
      </c>
      <c r="F520" s="53" t="s">
        <v>25</v>
      </c>
      <c r="G520" s="53" t="s">
        <v>25</v>
      </c>
      <c r="H520" s="53" t="s">
        <v>35</v>
      </c>
      <c r="I520" s="73">
        <v>43800</v>
      </c>
      <c r="J520" s="74">
        <f ca="1">EFEITO!$J$520*EFEITO!$Y$520</f>
        <v>77566.407110526925</v>
      </c>
      <c r="K520" s="74">
        <f ca="1">EFEITO!$L$520*EFEITO!$Z$520</f>
        <v>15947.865656670674</v>
      </c>
      <c r="L520" s="74">
        <f>EFEITO!$N$520*EFEITO!$AA$520</f>
        <v>68458.935977429224</v>
      </c>
      <c r="M520" s="74">
        <f ca="1">$J$520-EFEITO!$K$520*EFEITO!$Y$520</f>
        <v>0</v>
      </c>
      <c r="N520" s="74">
        <f ca="1">$K$520-EFEITO!$M$520*EFEITO!$Z$520</f>
        <v>0</v>
      </c>
      <c r="O520" s="74">
        <f>$L$520-EFEITO!$O$520*EFEITO!$AA$520</f>
        <v>0</v>
      </c>
      <c r="P520" s="57"/>
      <c r="Q520" s="57"/>
      <c r="R520" s="57"/>
      <c r="S520" s="57"/>
      <c r="T520" s="57"/>
      <c r="U520" s="57"/>
      <c r="V520" s="57"/>
      <c r="W520" s="57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</row>
    <row r="521" spans="1:36" ht="11.25" customHeight="1" x14ac:dyDescent="0.2">
      <c r="A521" s="53" t="s">
        <v>21</v>
      </c>
      <c r="B521" s="53" t="s">
        <v>33</v>
      </c>
      <c r="C521" s="53" t="s">
        <v>41</v>
      </c>
      <c r="D521" s="53" t="s">
        <v>48</v>
      </c>
      <c r="E521" s="53" t="s">
        <v>25</v>
      </c>
      <c r="F521" s="53" t="s">
        <v>25</v>
      </c>
      <c r="G521" s="53" t="s">
        <v>25</v>
      </c>
      <c r="H521" s="53" t="s">
        <v>35</v>
      </c>
      <c r="I521" s="73">
        <v>43831</v>
      </c>
      <c r="J521" s="74">
        <f ca="1">EFEITO!$J$521*EFEITO!$Y$521</f>
        <v>489566.50214180991</v>
      </c>
      <c r="K521" s="74">
        <f ca="1">EFEITO!$L$521*EFEITO!$Z$521</f>
        <v>54225.333805794464</v>
      </c>
      <c r="L521" s="74">
        <f>EFEITO!$N$521*EFEITO!$AA$521</f>
        <v>232771.50280061891</v>
      </c>
      <c r="M521" s="74">
        <f ca="1">$J$521-EFEITO!$K$521*EFEITO!$Y$521</f>
        <v>0</v>
      </c>
      <c r="N521" s="74">
        <f ca="1">$K$521-EFEITO!$M$521*EFEITO!$Z$521</f>
        <v>0</v>
      </c>
      <c r="O521" s="74">
        <f>$L$521-EFEITO!$O$521*EFEITO!$AA$521</f>
        <v>0</v>
      </c>
      <c r="P521" s="57"/>
      <c r="Q521" s="57"/>
      <c r="R521" s="57"/>
      <c r="S521" s="57"/>
      <c r="T521" s="57"/>
      <c r="U521" s="57"/>
      <c r="V521" s="57"/>
      <c r="W521" s="57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</row>
    <row r="522" spans="1:36" ht="11.25" customHeight="1" x14ac:dyDescent="0.2">
      <c r="A522" s="53" t="s">
        <v>28</v>
      </c>
      <c r="B522" s="53" t="s">
        <v>33</v>
      </c>
      <c r="C522" s="53" t="s">
        <v>41</v>
      </c>
      <c r="D522" s="53" t="s">
        <v>48</v>
      </c>
      <c r="E522" s="53" t="s">
        <v>25</v>
      </c>
      <c r="F522" s="53" t="s">
        <v>25</v>
      </c>
      <c r="G522" s="53" t="s">
        <v>25</v>
      </c>
      <c r="H522" s="53" t="s">
        <v>35</v>
      </c>
      <c r="I522" s="73">
        <v>43831</v>
      </c>
      <c r="J522" s="74">
        <f ca="1">EFEITO!$J$522*EFEITO!$Y$522</f>
        <v>77566.407110526925</v>
      </c>
      <c r="K522" s="74">
        <f ca="1">EFEITO!$L$522*EFEITO!$Z$522</f>
        <v>10608.834499342278</v>
      </c>
      <c r="L522" s="74">
        <f>EFEITO!$N$522*EFEITO!$AA$522</f>
        <v>45540.233246311007</v>
      </c>
      <c r="M522" s="74">
        <f ca="1">$J$522-EFEITO!$K$522*EFEITO!$Y$522</f>
        <v>0</v>
      </c>
      <c r="N522" s="74">
        <f ca="1">$K$522-EFEITO!$M$522*EFEITO!$Z$522</f>
        <v>0</v>
      </c>
      <c r="O522" s="74">
        <f>$L$522-EFEITO!$O$522*EFEITO!$AA$522</f>
        <v>0</v>
      </c>
      <c r="P522" s="57"/>
      <c r="Q522" s="57"/>
      <c r="R522" s="57"/>
      <c r="S522" s="57"/>
      <c r="T522" s="57"/>
      <c r="U522" s="57"/>
      <c r="V522" s="57"/>
      <c r="W522" s="57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</row>
    <row r="523" spans="1:36" ht="11.25" customHeight="1" x14ac:dyDescent="0.2">
      <c r="A523" s="53" t="s">
        <v>21</v>
      </c>
      <c r="B523" s="53" t="s">
        <v>33</v>
      </c>
      <c r="C523" s="53" t="s">
        <v>41</v>
      </c>
      <c r="D523" s="53" t="s">
        <v>48</v>
      </c>
      <c r="E523" s="53" t="s">
        <v>25</v>
      </c>
      <c r="F523" s="53" t="s">
        <v>25</v>
      </c>
      <c r="G523" s="53" t="s">
        <v>25</v>
      </c>
      <c r="H523" s="53" t="s">
        <v>35</v>
      </c>
      <c r="I523" s="73">
        <v>43862</v>
      </c>
      <c r="J523" s="74">
        <f ca="1">EFEITO!$J$523*EFEITO!$Y$523</f>
        <v>496261.70780819224</v>
      </c>
      <c r="K523" s="74">
        <f ca="1">EFEITO!$L$523*EFEITO!$Z$523</f>
        <v>57910.94917687527</v>
      </c>
      <c r="L523" s="74">
        <f>EFEITO!$N$523*EFEITO!$AA$523</f>
        <v>248592.63599537418</v>
      </c>
      <c r="M523" s="74">
        <f ca="1">$J$523-EFEITO!$K$523*EFEITO!$Y$523</f>
        <v>0</v>
      </c>
      <c r="N523" s="74">
        <f ca="1">$K$523-EFEITO!$M$523*EFEITO!$Z$523</f>
        <v>0</v>
      </c>
      <c r="O523" s="74">
        <f>$L$523-EFEITO!$O$523*EFEITO!$AA$523</f>
        <v>0</v>
      </c>
      <c r="P523" s="57"/>
      <c r="Q523" s="57"/>
      <c r="R523" s="57"/>
      <c r="S523" s="57"/>
      <c r="T523" s="57"/>
      <c r="U523" s="57"/>
      <c r="V523" s="57"/>
      <c r="W523" s="57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</row>
    <row r="524" spans="1:36" ht="11.25" customHeight="1" x14ac:dyDescent="0.2">
      <c r="A524" s="53" t="s">
        <v>28</v>
      </c>
      <c r="B524" s="53" t="s">
        <v>33</v>
      </c>
      <c r="C524" s="53" t="s">
        <v>41</v>
      </c>
      <c r="D524" s="53" t="s">
        <v>48</v>
      </c>
      <c r="E524" s="53" t="s">
        <v>25</v>
      </c>
      <c r="F524" s="53" t="s">
        <v>25</v>
      </c>
      <c r="G524" s="53" t="s">
        <v>25</v>
      </c>
      <c r="H524" s="53" t="s">
        <v>35</v>
      </c>
      <c r="I524" s="73">
        <v>43862</v>
      </c>
      <c r="J524" s="74">
        <f ca="1">EFEITO!$J$524*EFEITO!$Y$524</f>
        <v>77566.407110526925</v>
      </c>
      <c r="K524" s="74">
        <f ca="1">EFEITO!$L$524*EFEITO!$Z$524</f>
        <v>13798.915242975811</v>
      </c>
      <c r="L524" s="74">
        <f>EFEITO!$N$524*EFEITO!$AA$524</f>
        <v>59234.199454252441</v>
      </c>
      <c r="M524" s="74">
        <f ca="1">$J$524-EFEITO!$K$524*EFEITO!$Y$524</f>
        <v>0</v>
      </c>
      <c r="N524" s="74">
        <f ca="1">$K$524-EFEITO!$M$524*EFEITO!$Z$524</f>
        <v>0</v>
      </c>
      <c r="O524" s="74">
        <f>$L$524-EFEITO!$O$524*EFEITO!$AA$524</f>
        <v>0</v>
      </c>
      <c r="P524" s="57"/>
      <c r="Q524" s="57"/>
      <c r="R524" s="57"/>
      <c r="S524" s="57"/>
      <c r="T524" s="57"/>
      <c r="U524" s="57"/>
      <c r="V524" s="57"/>
      <c r="W524" s="57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</row>
    <row r="525" spans="1:36" ht="11.25" customHeight="1" x14ac:dyDescent="0.2">
      <c r="A525" s="53" t="s">
        <v>21</v>
      </c>
      <c r="B525" s="53" t="s">
        <v>33</v>
      </c>
      <c r="C525" s="53" t="s">
        <v>41</v>
      </c>
      <c r="D525" s="53" t="s">
        <v>48</v>
      </c>
      <c r="E525" s="53" t="s">
        <v>25</v>
      </c>
      <c r="F525" s="53" t="s">
        <v>25</v>
      </c>
      <c r="G525" s="53" t="s">
        <v>25</v>
      </c>
      <c r="H525" s="53" t="s">
        <v>35</v>
      </c>
      <c r="I525" s="73">
        <v>43891</v>
      </c>
      <c r="J525" s="74">
        <f ca="1">EFEITO!$J$525*EFEITO!$Y$525</f>
        <v>482408.61966108409</v>
      </c>
      <c r="K525" s="74">
        <f ca="1">EFEITO!$L$525*EFEITO!$Z$525</f>
        <v>52354.257366339283</v>
      </c>
      <c r="L525" s="74">
        <f>EFEITO!$N$525*EFEITO!$AA$525</f>
        <v>224739.58775097335</v>
      </c>
      <c r="M525" s="74">
        <f ca="1">$J$525-EFEITO!$K$525*EFEITO!$Y$525</f>
        <v>0</v>
      </c>
      <c r="N525" s="74">
        <f ca="1">$K$525-EFEITO!$M$525*EFEITO!$Z$525</f>
        <v>0</v>
      </c>
      <c r="O525" s="74">
        <f>$L$525-EFEITO!$O$525*EFEITO!$AA$525</f>
        <v>0</v>
      </c>
      <c r="P525" s="57"/>
      <c r="Q525" s="57"/>
      <c r="R525" s="57"/>
      <c r="S525" s="57"/>
      <c r="T525" s="57"/>
      <c r="U525" s="57"/>
      <c r="V525" s="57"/>
      <c r="W525" s="57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</row>
    <row r="526" spans="1:36" ht="11.25" customHeight="1" x14ac:dyDescent="0.2">
      <c r="A526" s="53" t="s">
        <v>28</v>
      </c>
      <c r="B526" s="53" t="s">
        <v>33</v>
      </c>
      <c r="C526" s="53" t="s">
        <v>41</v>
      </c>
      <c r="D526" s="53" t="s">
        <v>48</v>
      </c>
      <c r="E526" s="53" t="s">
        <v>25</v>
      </c>
      <c r="F526" s="53" t="s">
        <v>25</v>
      </c>
      <c r="G526" s="53" t="s">
        <v>25</v>
      </c>
      <c r="H526" s="53" t="s">
        <v>35</v>
      </c>
      <c r="I526" s="73">
        <v>43891</v>
      </c>
      <c r="J526" s="74">
        <f ca="1">EFEITO!$J$526*EFEITO!$Y$526</f>
        <v>77566.407110526925</v>
      </c>
      <c r="K526" s="74">
        <f ca="1">EFEITO!$L$526*EFEITO!$Z$526</f>
        <v>11771.791781136582</v>
      </c>
      <c r="L526" s="74">
        <f>EFEITO!$N$526*EFEITO!$AA$526</f>
        <v>50532.425920415968</v>
      </c>
      <c r="M526" s="74">
        <f ca="1">$J$526-EFEITO!$K$526*EFEITO!$Y$526</f>
        <v>0</v>
      </c>
      <c r="N526" s="74">
        <f ca="1">$K$526-EFEITO!$M$526*EFEITO!$Z$526</f>
        <v>0</v>
      </c>
      <c r="O526" s="74">
        <f>$L$526-EFEITO!$O$526*EFEITO!$AA$526</f>
        <v>0</v>
      </c>
      <c r="P526" s="57"/>
      <c r="Q526" s="57"/>
      <c r="R526" s="57"/>
      <c r="S526" s="57"/>
      <c r="T526" s="57"/>
      <c r="U526" s="57"/>
      <c r="V526" s="57"/>
      <c r="W526" s="57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</row>
    <row r="527" spans="1:36" ht="11.25" customHeight="1" x14ac:dyDescent="0.2">
      <c r="A527" s="53" t="s">
        <v>21</v>
      </c>
      <c r="B527" s="53" t="s">
        <v>33</v>
      </c>
      <c r="C527" s="53" t="s">
        <v>41</v>
      </c>
      <c r="D527" s="53" t="s">
        <v>48</v>
      </c>
      <c r="E527" s="53" t="s">
        <v>25</v>
      </c>
      <c r="F527" s="53" t="s">
        <v>25</v>
      </c>
      <c r="G527" s="53" t="s">
        <v>25</v>
      </c>
      <c r="H527" s="53" t="s">
        <v>35</v>
      </c>
      <c r="I527" s="73">
        <v>43922</v>
      </c>
      <c r="J527" s="74">
        <f ca="1">EFEITO!$J$527*EFEITO!$Y$527</f>
        <v>461533.7304492335</v>
      </c>
      <c r="K527" s="74">
        <f ca="1">EFEITO!$L$527*EFEITO!$Z$527</f>
        <v>53656.545472382277</v>
      </c>
      <c r="L527" s="74">
        <f>EFEITO!$N$527*EFEITO!$AA$527</f>
        <v>230329.88177495604</v>
      </c>
      <c r="M527" s="74">
        <f ca="1">$J$527-EFEITO!$K$527*EFEITO!$Y$527</f>
        <v>0</v>
      </c>
      <c r="N527" s="74">
        <f ca="1">$K$527-EFEITO!$M$527*EFEITO!$Z$527</f>
        <v>0</v>
      </c>
      <c r="O527" s="74">
        <f>$L$527-EFEITO!$O$527*EFEITO!$AA$527</f>
        <v>0</v>
      </c>
      <c r="P527" s="57"/>
      <c r="Q527" s="57"/>
      <c r="R527" s="57"/>
      <c r="S527" s="57"/>
      <c r="T527" s="57"/>
      <c r="U527" s="57"/>
      <c r="V527" s="57"/>
      <c r="W527" s="57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</row>
    <row r="528" spans="1:36" ht="11.25" customHeight="1" x14ac:dyDescent="0.2">
      <c r="A528" s="53" t="s">
        <v>28</v>
      </c>
      <c r="B528" s="53" t="s">
        <v>33</v>
      </c>
      <c r="C528" s="53" t="s">
        <v>41</v>
      </c>
      <c r="D528" s="53" t="s">
        <v>48</v>
      </c>
      <c r="E528" s="53" t="s">
        <v>25</v>
      </c>
      <c r="F528" s="53" t="s">
        <v>25</v>
      </c>
      <c r="G528" s="53" t="s">
        <v>25</v>
      </c>
      <c r="H528" s="53" t="s">
        <v>35</v>
      </c>
      <c r="I528" s="73">
        <v>43922</v>
      </c>
      <c r="J528" s="74">
        <f ca="1">EFEITO!$J$528*EFEITO!$Y$528</f>
        <v>77566.407110526925</v>
      </c>
      <c r="K528" s="74">
        <f ca="1">EFEITO!$L$528*EFEITO!$Z$528</f>
        <v>10693.728280448575</v>
      </c>
      <c r="L528" s="74">
        <f>EFEITO!$N$528*EFEITO!$AA$528</f>
        <v>45904.654294917404</v>
      </c>
      <c r="M528" s="74">
        <f ca="1">$J$528-EFEITO!$K$528*EFEITO!$Y$528</f>
        <v>0</v>
      </c>
      <c r="N528" s="74">
        <f ca="1">$K$528-EFEITO!$M$528*EFEITO!$Z$528</f>
        <v>0</v>
      </c>
      <c r="O528" s="74">
        <f>$L$528-EFEITO!$O$528*EFEITO!$AA$528</f>
        <v>0</v>
      </c>
      <c r="P528" s="57"/>
      <c r="Q528" s="57"/>
      <c r="R528" s="57"/>
      <c r="S528" s="57"/>
      <c r="T528" s="57"/>
      <c r="U528" s="57"/>
      <c r="V528" s="57"/>
      <c r="W528" s="57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</row>
    <row r="529" spans="1:36" ht="11.25" customHeight="1" x14ac:dyDescent="0.2">
      <c r="A529" s="53" t="s">
        <v>21</v>
      </c>
      <c r="B529" s="53" t="s">
        <v>33</v>
      </c>
      <c r="C529" s="53" t="s">
        <v>41</v>
      </c>
      <c r="D529" s="53" t="s">
        <v>48</v>
      </c>
      <c r="E529" s="53" t="s">
        <v>25</v>
      </c>
      <c r="F529" s="53" t="s">
        <v>25</v>
      </c>
      <c r="G529" s="53" t="s">
        <v>25</v>
      </c>
      <c r="H529" s="53" t="s">
        <v>35</v>
      </c>
      <c r="I529" s="73">
        <v>43952</v>
      </c>
      <c r="J529" s="74">
        <f ca="1">EFEITO!$J$529*EFEITO!$Y$529</f>
        <v>474352.59983486799</v>
      </c>
      <c r="K529" s="74">
        <f ca="1">EFEITO!$L$529*EFEITO!$Z$529</f>
        <v>47833.35720466209</v>
      </c>
      <c r="L529" s="74">
        <f>EFEITO!$N$529*EFEITO!$AA$529</f>
        <v>205332.85199137332</v>
      </c>
      <c r="M529" s="74">
        <f ca="1">$J$529-EFEITO!$K$529*EFEITO!$Y$529</f>
        <v>0</v>
      </c>
      <c r="N529" s="74">
        <f ca="1">$K$529-EFEITO!$M$529*EFEITO!$Z$529</f>
        <v>0</v>
      </c>
      <c r="O529" s="74">
        <f>$L$529-EFEITO!$O$529*EFEITO!$AA$529</f>
        <v>0</v>
      </c>
      <c r="P529" s="57"/>
      <c r="Q529" s="57"/>
      <c r="R529" s="57"/>
      <c r="S529" s="57"/>
      <c r="T529" s="57"/>
      <c r="U529" s="57"/>
      <c r="V529" s="57"/>
      <c r="W529" s="57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</row>
    <row r="530" spans="1:36" ht="11.25" customHeight="1" x14ac:dyDescent="0.2">
      <c r="A530" s="53" t="s">
        <v>28</v>
      </c>
      <c r="B530" s="53" t="s">
        <v>33</v>
      </c>
      <c r="C530" s="53" t="s">
        <v>41</v>
      </c>
      <c r="D530" s="53" t="s">
        <v>48</v>
      </c>
      <c r="E530" s="53" t="s">
        <v>25</v>
      </c>
      <c r="F530" s="53" t="s">
        <v>25</v>
      </c>
      <c r="G530" s="53" t="s">
        <v>25</v>
      </c>
      <c r="H530" s="53" t="s">
        <v>35</v>
      </c>
      <c r="I530" s="73">
        <v>43952</v>
      </c>
      <c r="J530" s="74">
        <f ca="1">EFEITO!$J$530*EFEITO!$Y$530</f>
        <v>77566.407110526925</v>
      </c>
      <c r="K530" s="74">
        <f ca="1">EFEITO!$L$530*EFEITO!$Z$530</f>
        <v>7789.9233698033886</v>
      </c>
      <c r="L530" s="74">
        <f>EFEITO!$N$530*EFEITO!$AA$530</f>
        <v>33439.575973565181</v>
      </c>
      <c r="M530" s="74">
        <f ca="1">$J$530-EFEITO!$K$530*EFEITO!$Y$530</f>
        <v>0</v>
      </c>
      <c r="N530" s="74">
        <f ca="1">$K$530-EFEITO!$M$530*EFEITO!$Z$530</f>
        <v>0</v>
      </c>
      <c r="O530" s="74">
        <f>$L$530-EFEITO!$O$530*EFEITO!$AA$530</f>
        <v>0</v>
      </c>
      <c r="P530" s="57"/>
      <c r="Q530" s="57"/>
      <c r="R530" s="57"/>
      <c r="S530" s="57"/>
      <c r="T530" s="57"/>
      <c r="U530" s="57"/>
      <c r="V530" s="57"/>
      <c r="W530" s="57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</row>
    <row r="531" spans="1:36" ht="11.25" customHeight="1" x14ac:dyDescent="0.2">
      <c r="A531" s="53" t="s">
        <v>21</v>
      </c>
      <c r="B531" s="53" t="s">
        <v>33</v>
      </c>
      <c r="C531" s="53" t="s">
        <v>41</v>
      </c>
      <c r="D531" s="53" t="s">
        <v>48</v>
      </c>
      <c r="E531" s="53" t="s">
        <v>25</v>
      </c>
      <c r="F531" s="53" t="s">
        <v>25</v>
      </c>
      <c r="G531" s="53" t="s">
        <v>25</v>
      </c>
      <c r="H531" s="53" t="s">
        <v>35</v>
      </c>
      <c r="I531" s="73">
        <v>43983</v>
      </c>
      <c r="J531" s="74">
        <f ca="1">EFEITO!$J$531*EFEITO!$Y$531</f>
        <v>418178.19131692848</v>
      </c>
      <c r="K531" s="74">
        <f ca="1">EFEITO!$L$531*EFEITO!$Z$531</f>
        <v>43377.221370839179</v>
      </c>
      <c r="L531" s="74">
        <f>EFEITO!$N$531*EFEITO!$AA$531</f>
        <v>186204.12816576162</v>
      </c>
      <c r="M531" s="74">
        <f ca="1">$J$531-EFEITO!$K$531*EFEITO!$Y$531</f>
        <v>0</v>
      </c>
      <c r="N531" s="74">
        <f ca="1">$K$531-EFEITO!$M$531*EFEITO!$Z$531</f>
        <v>0</v>
      </c>
      <c r="O531" s="74">
        <f>$L$531-EFEITO!$O$531*EFEITO!$AA$531</f>
        <v>0</v>
      </c>
      <c r="P531" s="57"/>
      <c r="Q531" s="57"/>
      <c r="R531" s="57"/>
      <c r="S531" s="57"/>
      <c r="T531" s="57"/>
      <c r="U531" s="57"/>
      <c r="V531" s="57"/>
      <c r="W531" s="57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</row>
    <row r="532" spans="1:36" ht="11.25" customHeight="1" x14ac:dyDescent="0.2">
      <c r="A532" s="53" t="s">
        <v>28</v>
      </c>
      <c r="B532" s="53" t="s">
        <v>33</v>
      </c>
      <c r="C532" s="53" t="s">
        <v>41</v>
      </c>
      <c r="D532" s="53" t="s">
        <v>48</v>
      </c>
      <c r="E532" s="53" t="s">
        <v>25</v>
      </c>
      <c r="F532" s="53" t="s">
        <v>25</v>
      </c>
      <c r="G532" s="53" t="s">
        <v>25</v>
      </c>
      <c r="H532" s="53" t="s">
        <v>35</v>
      </c>
      <c r="I532" s="73">
        <v>43983</v>
      </c>
      <c r="J532" s="74">
        <f ca="1">EFEITO!$J$532*EFEITO!$Y$532</f>
        <v>77566.407110526925</v>
      </c>
      <c r="K532" s="74">
        <f ca="1">EFEITO!$L$532*EFEITO!$Z$532</f>
        <v>8711.7648093834159</v>
      </c>
      <c r="L532" s="74">
        <f>EFEITO!$N$532*EFEITO!$AA$532</f>
        <v>37396.737731267429</v>
      </c>
      <c r="M532" s="74">
        <f ca="1">$J$532-EFEITO!$K$532*EFEITO!$Y$532</f>
        <v>0</v>
      </c>
      <c r="N532" s="74">
        <f ca="1">$K$532-EFEITO!$M$532*EFEITO!$Z$532</f>
        <v>0</v>
      </c>
      <c r="O532" s="74">
        <f>$L$532-EFEITO!$O$532*EFEITO!$AA$532</f>
        <v>0</v>
      </c>
      <c r="P532" s="57"/>
      <c r="Q532" s="57"/>
      <c r="R532" s="57"/>
      <c r="S532" s="57"/>
      <c r="T532" s="57"/>
      <c r="U532" s="57"/>
      <c r="V532" s="57"/>
      <c r="W532" s="57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</row>
    <row r="533" spans="1:36" ht="11.25" customHeight="1" x14ac:dyDescent="0.2">
      <c r="A533" s="53" t="s">
        <v>21</v>
      </c>
      <c r="B533" s="53" t="s">
        <v>33</v>
      </c>
      <c r="C533" s="53" t="s">
        <v>41</v>
      </c>
      <c r="D533" s="53" t="s">
        <v>48</v>
      </c>
      <c r="E533" s="53" t="s">
        <v>25</v>
      </c>
      <c r="F533" s="53" t="s">
        <v>25</v>
      </c>
      <c r="G533" s="53" t="s">
        <v>25</v>
      </c>
      <c r="H533" s="53" t="s">
        <v>35</v>
      </c>
      <c r="I533" s="73">
        <v>44013</v>
      </c>
      <c r="J533" s="74">
        <f ca="1">EFEITO!$J$533*EFEITO!$Y$533</f>
        <v>419157.9775120088</v>
      </c>
      <c r="K533" s="74">
        <f ca="1">EFEITO!$L$533*EFEITO!$Z$533</f>
        <v>40957.836128671683</v>
      </c>
      <c r="L533" s="74">
        <f>EFEITO!$N$533*EFEITO!$AA$533</f>
        <v>175818.50397228196</v>
      </c>
      <c r="M533" s="74">
        <f ca="1">$J$533-EFEITO!$K$533*EFEITO!$Y$533</f>
        <v>0</v>
      </c>
      <c r="N533" s="74">
        <f ca="1">$K$533-EFEITO!$M$533*EFEITO!$Z$533</f>
        <v>0</v>
      </c>
      <c r="O533" s="74">
        <f>$L$533-EFEITO!$O$533*EFEITO!$AA$533</f>
        <v>0</v>
      </c>
      <c r="P533" s="57"/>
      <c r="Q533" s="57"/>
      <c r="R533" s="57"/>
      <c r="S533" s="57"/>
      <c r="T533" s="57"/>
      <c r="U533" s="57"/>
      <c r="V533" s="57"/>
      <c r="W533" s="57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</row>
    <row r="534" spans="1:36" ht="11.25" customHeight="1" x14ac:dyDescent="0.2">
      <c r="A534" s="53" t="s">
        <v>28</v>
      </c>
      <c r="B534" s="53" t="s">
        <v>33</v>
      </c>
      <c r="C534" s="53" t="s">
        <v>41</v>
      </c>
      <c r="D534" s="53" t="s">
        <v>48</v>
      </c>
      <c r="E534" s="53" t="s">
        <v>25</v>
      </c>
      <c r="F534" s="53" t="s">
        <v>25</v>
      </c>
      <c r="G534" s="53" t="s">
        <v>25</v>
      </c>
      <c r="H534" s="53" t="s">
        <v>35</v>
      </c>
      <c r="I534" s="73">
        <v>44013</v>
      </c>
      <c r="J534" s="74">
        <f ca="1">EFEITO!$J$534*EFEITO!$Y$534</f>
        <v>77566.407110526925</v>
      </c>
      <c r="K534" s="74">
        <f ca="1">EFEITO!$L$534*EFEITO!$Z$534</f>
        <v>7971.2634877953969</v>
      </c>
      <c r="L534" s="74">
        <f>EFEITO!$N$534*EFEITO!$AA$534</f>
        <v>34218.009388732658</v>
      </c>
      <c r="M534" s="74">
        <f ca="1">$J$534-EFEITO!$K$534*EFEITO!$Y$534</f>
        <v>0</v>
      </c>
      <c r="N534" s="74">
        <f ca="1">$K$534-EFEITO!$M$534*EFEITO!$Z$534</f>
        <v>0</v>
      </c>
      <c r="O534" s="74">
        <f>$L$534-EFEITO!$O$534*EFEITO!$AA$534</f>
        <v>0</v>
      </c>
      <c r="P534" s="57"/>
      <c r="Q534" s="57"/>
      <c r="R534" s="57"/>
      <c r="S534" s="57"/>
      <c r="T534" s="57"/>
      <c r="U534" s="57"/>
      <c r="V534" s="57"/>
      <c r="W534" s="57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</row>
    <row r="535" spans="1:36" ht="11.25" customHeight="1" x14ac:dyDescent="0.2">
      <c r="A535" s="53" t="s">
        <v>21</v>
      </c>
      <c r="B535" s="53" t="s">
        <v>33</v>
      </c>
      <c r="C535" s="53" t="s">
        <v>41</v>
      </c>
      <c r="D535" s="53" t="s">
        <v>48</v>
      </c>
      <c r="E535" s="53" t="s">
        <v>25</v>
      </c>
      <c r="F535" s="53" t="s">
        <v>25</v>
      </c>
      <c r="G535" s="53" t="s">
        <v>25</v>
      </c>
      <c r="H535" s="53" t="s">
        <v>35</v>
      </c>
      <c r="I535" s="73">
        <v>44044</v>
      </c>
      <c r="J535" s="74">
        <f ca="1">EFEITO!$J$535*EFEITO!$Y$535</f>
        <v>438726.48513041891</v>
      </c>
      <c r="K535" s="74">
        <f ca="1">EFEITO!$L$535*EFEITO!$Z$535</f>
        <v>46038.860206926511</v>
      </c>
      <c r="L535" s="74">
        <f>EFEITO!$N$535*EFEITO!$AA$535</f>
        <v>197629.6672690789</v>
      </c>
      <c r="M535" s="74">
        <f ca="1">$J$535-EFEITO!$K$535*EFEITO!$Y$535</f>
        <v>0</v>
      </c>
      <c r="N535" s="74">
        <f ca="1">$K$535-EFEITO!$M$535*EFEITO!$Z$535</f>
        <v>0</v>
      </c>
      <c r="O535" s="74">
        <f>$L$535-EFEITO!$O$535*EFEITO!$AA$535</f>
        <v>0</v>
      </c>
      <c r="P535" s="57"/>
      <c r="Q535" s="57"/>
      <c r="R535" s="57"/>
      <c r="S535" s="57"/>
      <c r="T535" s="57"/>
      <c r="U535" s="57"/>
      <c r="V535" s="57"/>
      <c r="W535" s="57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</row>
    <row r="536" spans="1:36" ht="11.25" customHeight="1" x14ac:dyDescent="0.2">
      <c r="A536" s="53" t="s">
        <v>28</v>
      </c>
      <c r="B536" s="53" t="s">
        <v>33</v>
      </c>
      <c r="C536" s="53" t="s">
        <v>41</v>
      </c>
      <c r="D536" s="53" t="s">
        <v>48</v>
      </c>
      <c r="E536" s="53" t="s">
        <v>25</v>
      </c>
      <c r="F536" s="53" t="s">
        <v>25</v>
      </c>
      <c r="G536" s="53" t="s">
        <v>25</v>
      </c>
      <c r="H536" s="53" t="s">
        <v>35</v>
      </c>
      <c r="I536" s="73">
        <v>44044</v>
      </c>
      <c r="J536" s="74">
        <f ca="1">EFEITO!$J$536*EFEITO!$Y$536</f>
        <v>77566.407110526925</v>
      </c>
      <c r="K536" s="74">
        <f ca="1">EFEITO!$L$536*EFEITO!$Z$536</f>
        <v>8923.9992621491583</v>
      </c>
      <c r="L536" s="74">
        <f>EFEITO!$N$536*EFEITO!$AA$536</f>
        <v>38307.790352783421</v>
      </c>
      <c r="M536" s="74">
        <f ca="1">$J$536-EFEITO!$K$536*EFEITO!$Y$536</f>
        <v>0</v>
      </c>
      <c r="N536" s="74">
        <f ca="1">$K$536-EFEITO!$M$536*EFEITO!$Z$536</f>
        <v>0</v>
      </c>
      <c r="O536" s="74">
        <f>$L$536-EFEITO!$O$536*EFEITO!$AA$536</f>
        <v>0</v>
      </c>
      <c r="P536" s="57"/>
      <c r="Q536" s="57"/>
      <c r="R536" s="57"/>
      <c r="S536" s="57"/>
      <c r="T536" s="57"/>
      <c r="U536" s="57"/>
      <c r="V536" s="57"/>
      <c r="W536" s="57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</row>
    <row r="537" spans="1:36" ht="11.25" customHeight="1" x14ac:dyDescent="0.2">
      <c r="A537" s="53" t="s">
        <v>59</v>
      </c>
      <c r="B537" s="53" t="s">
        <v>33</v>
      </c>
      <c r="C537" s="53" t="s">
        <v>41</v>
      </c>
      <c r="D537" s="53" t="s">
        <v>48</v>
      </c>
      <c r="E537" s="53" t="s">
        <v>25</v>
      </c>
      <c r="F537" s="53" t="s">
        <v>25</v>
      </c>
      <c r="G537" s="53" t="s">
        <v>25</v>
      </c>
      <c r="H537" s="53" t="s">
        <v>35</v>
      </c>
      <c r="I537" s="73">
        <v>44075</v>
      </c>
      <c r="J537" s="74">
        <f ca="1">EFEITO!$J$537*EFEITO!$Y$537</f>
        <v>438726.48513041891</v>
      </c>
      <c r="K537" s="74">
        <f ca="1">EFEITO!$L$537*EFEITO!$Z$537</f>
        <v>46038.860206926511</v>
      </c>
      <c r="L537" s="74">
        <f>EFEITO!$N$537*EFEITO!$AA$537</f>
        <v>197629.6672690789</v>
      </c>
      <c r="M537" s="74">
        <f ca="1">$J$537-EFEITO!$K$537*EFEITO!$Y$537</f>
        <v>0</v>
      </c>
      <c r="N537" s="74">
        <f ca="1">$K$537-EFEITO!$M$537*EFEITO!$Z$537</f>
        <v>0</v>
      </c>
      <c r="O537" s="74">
        <f>$L$537-EFEITO!$O$537*EFEITO!$AA$537</f>
        <v>0</v>
      </c>
      <c r="P537" s="57"/>
      <c r="Q537" s="57"/>
      <c r="R537" s="57"/>
      <c r="S537" s="57"/>
      <c r="T537" s="57"/>
      <c r="U537" s="57"/>
      <c r="V537" s="57"/>
      <c r="W537" s="57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</row>
    <row r="538" spans="1:36" ht="11.25" customHeight="1" x14ac:dyDescent="0.2">
      <c r="A538" s="53" t="s">
        <v>59</v>
      </c>
      <c r="B538" s="53" t="s">
        <v>33</v>
      </c>
      <c r="C538" s="53" t="s">
        <v>41</v>
      </c>
      <c r="D538" s="53" t="s">
        <v>48</v>
      </c>
      <c r="E538" s="53" t="s">
        <v>25</v>
      </c>
      <c r="F538" s="53" t="s">
        <v>25</v>
      </c>
      <c r="G538" s="53" t="s">
        <v>25</v>
      </c>
      <c r="H538" s="53" t="s">
        <v>35</v>
      </c>
      <c r="I538" s="73">
        <v>44075</v>
      </c>
      <c r="J538" s="74">
        <f ca="1">EFEITO!$J$538*EFEITO!$Y$538</f>
        <v>77566.407110526925</v>
      </c>
      <c r="K538" s="74">
        <f ca="1">EFEITO!$L$538*EFEITO!$Z$538</f>
        <v>8923.9992621491583</v>
      </c>
      <c r="L538" s="74">
        <f>EFEITO!$N$538*EFEITO!$AA$538</f>
        <v>38307.790352783421</v>
      </c>
      <c r="M538" s="74">
        <f ca="1">$J$538-EFEITO!$K$538*EFEITO!$Y$538</f>
        <v>0</v>
      </c>
      <c r="N538" s="74">
        <f ca="1">$K$538-EFEITO!$M$538*EFEITO!$Z$538</f>
        <v>0</v>
      </c>
      <c r="O538" s="74">
        <f>$L$538-EFEITO!$O$538*EFEITO!$AA$538</f>
        <v>0</v>
      </c>
      <c r="P538" s="57"/>
      <c r="Q538" s="57"/>
      <c r="R538" s="57"/>
      <c r="S538" s="57"/>
      <c r="T538" s="57"/>
      <c r="U538" s="57"/>
      <c r="V538" s="57"/>
      <c r="W538" s="57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</row>
    <row r="539" spans="1:36" ht="11.25" customHeight="1" x14ac:dyDescent="0.2">
      <c r="A539" s="53" t="s">
        <v>21</v>
      </c>
      <c r="B539" s="53" t="s">
        <v>33</v>
      </c>
      <c r="C539" s="53" t="s">
        <v>41</v>
      </c>
      <c r="D539" s="53" t="s">
        <v>47</v>
      </c>
      <c r="E539" s="53" t="s">
        <v>25</v>
      </c>
      <c r="F539" s="53" t="s">
        <v>25</v>
      </c>
      <c r="G539" s="53" t="s">
        <v>25</v>
      </c>
      <c r="H539" s="53" t="s">
        <v>36</v>
      </c>
      <c r="I539" s="73">
        <v>43739</v>
      </c>
      <c r="J539" s="74">
        <f ca="1">EFEITO!$J$539*EFEITO!$Y$514</f>
        <v>8944.2905425981462</v>
      </c>
      <c r="K539" s="74">
        <f ca="1">EFEITO!$L$539*EFEITO!$Z$514</f>
        <v>30807.077969855545</v>
      </c>
      <c r="L539" s="74">
        <f>EFEITO!$N$539*EFEITO!$AA$514</f>
        <v>81254.334214715258</v>
      </c>
      <c r="M539" s="74">
        <f ca="1">$J$539-EFEITO!$K$539*EFEITO!$Y$539</f>
        <v>536.65743255588859</v>
      </c>
      <c r="N539" s="74">
        <f ca="1">$K$539-EFEITO!$M$539*EFEITO!$Z$539</f>
        <v>1848.4246781913316</v>
      </c>
      <c r="O539" s="74">
        <f>$L$539-EFEITO!$O$539*EFEITO!$AA$539</f>
        <v>4875.2600528829207</v>
      </c>
      <c r="P539" s="57"/>
      <c r="Q539" s="57"/>
      <c r="R539" s="57"/>
      <c r="S539" s="57"/>
      <c r="T539" s="57"/>
      <c r="U539" s="57"/>
      <c r="V539" s="57"/>
      <c r="W539" s="57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</row>
    <row r="540" spans="1:36" ht="11.25" customHeight="1" x14ac:dyDescent="0.2">
      <c r="A540" s="53" t="s">
        <v>21</v>
      </c>
      <c r="B540" s="53" t="s">
        <v>33</v>
      </c>
      <c r="C540" s="53" t="s">
        <v>41</v>
      </c>
      <c r="D540" s="53" t="s">
        <v>47</v>
      </c>
      <c r="E540" s="53" t="s">
        <v>25</v>
      </c>
      <c r="F540" s="53" t="s">
        <v>25</v>
      </c>
      <c r="G540" s="53" t="s">
        <v>25</v>
      </c>
      <c r="H540" s="53" t="s">
        <v>36</v>
      </c>
      <c r="I540" s="73">
        <v>43770</v>
      </c>
      <c r="J540" s="74">
        <f ca="1">EFEITO!$J$540*EFEITO!$Y$514</f>
        <v>8921.3858293008398</v>
      </c>
      <c r="K540" s="74">
        <f ca="1">EFEITO!$L$540*EFEITO!$Z$514</f>
        <v>28530.874403863203</v>
      </c>
      <c r="L540" s="74">
        <f>EFEITO!$N$540*EFEITO!$AA$514</f>
        <v>75250.798096397193</v>
      </c>
      <c r="M540" s="74">
        <f ca="1">$J$540-EFEITO!$K$540*EFEITO!$Y$540</f>
        <v>535.28314975805006</v>
      </c>
      <c r="N540" s="74">
        <f ca="1">$K$540-EFEITO!$M$540*EFEITO!$Z$540</f>
        <v>1711.8524642317934</v>
      </c>
      <c r="O540" s="74">
        <f>$L$540-EFEITO!$O$540*EFEITO!$AA$540</f>
        <v>4515.0478857838316</v>
      </c>
      <c r="P540" s="57"/>
      <c r="Q540" s="57"/>
      <c r="R540" s="57"/>
      <c r="S540" s="57"/>
      <c r="T540" s="57"/>
      <c r="U540" s="57"/>
      <c r="V540" s="57"/>
      <c r="W540" s="57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</row>
    <row r="541" spans="1:36" ht="11.25" customHeight="1" x14ac:dyDescent="0.2">
      <c r="A541" s="53" t="s">
        <v>21</v>
      </c>
      <c r="B541" s="53" t="s">
        <v>33</v>
      </c>
      <c r="C541" s="53" t="s">
        <v>41</v>
      </c>
      <c r="D541" s="53" t="s">
        <v>47</v>
      </c>
      <c r="E541" s="53" t="s">
        <v>25</v>
      </c>
      <c r="F541" s="53" t="s">
        <v>25</v>
      </c>
      <c r="G541" s="53" t="s">
        <v>25</v>
      </c>
      <c r="H541" s="53" t="s">
        <v>36</v>
      </c>
      <c r="I541" s="73">
        <v>43800</v>
      </c>
      <c r="J541" s="74">
        <f ca="1">EFEITO!$J$541*EFEITO!$Y$514</f>
        <v>8394.5774234627916</v>
      </c>
      <c r="K541" s="74">
        <f ca="1">EFEITO!$L$541*EFEITO!$Z$514</f>
        <v>26024.8449933501</v>
      </c>
      <c r="L541" s="74">
        <f>EFEITO!$N$541*EFEITO!$AA$514</f>
        <v>68641.0913441702</v>
      </c>
      <c r="M541" s="74">
        <f ca="1">$J$541-EFEITO!$K$541*EFEITO!$Y$541</f>
        <v>503.67464540776655</v>
      </c>
      <c r="N541" s="74">
        <f ca="1">$K$541-EFEITO!$M$541*EFEITO!$Z$541</f>
        <v>1561.4906996010068</v>
      </c>
      <c r="O541" s="74">
        <f>$L$541-EFEITO!$O$541*EFEITO!$AA$541</f>
        <v>4118.4654806502149</v>
      </c>
      <c r="P541" s="57"/>
      <c r="Q541" s="57"/>
      <c r="R541" s="57"/>
      <c r="S541" s="57"/>
      <c r="T541" s="57"/>
      <c r="U541" s="57"/>
      <c r="V541" s="57"/>
      <c r="W541" s="57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</row>
    <row r="542" spans="1:36" ht="11.25" customHeight="1" x14ac:dyDescent="0.2">
      <c r="A542" s="53" t="s">
        <v>21</v>
      </c>
      <c r="B542" s="53" t="s">
        <v>33</v>
      </c>
      <c r="C542" s="53" t="s">
        <v>41</v>
      </c>
      <c r="D542" s="53" t="s">
        <v>47</v>
      </c>
      <c r="E542" s="53" t="s">
        <v>25</v>
      </c>
      <c r="F542" s="53" t="s">
        <v>25</v>
      </c>
      <c r="G542" s="53" t="s">
        <v>25</v>
      </c>
      <c r="H542" s="53" t="s">
        <v>36</v>
      </c>
      <c r="I542" s="73">
        <v>43831</v>
      </c>
      <c r="J542" s="74">
        <f ca="1">EFEITO!$J$542*EFEITO!$Y$514</f>
        <v>8268.6015003276061</v>
      </c>
      <c r="K542" s="74">
        <f ca="1">EFEITO!$L$542*EFEITO!$Z$514</f>
        <v>28746.609631107553</v>
      </c>
      <c r="L542" s="74">
        <f>EFEITO!$N$542*EFEITO!$AA$514</f>
        <v>75819.804422591216</v>
      </c>
      <c r="M542" s="74">
        <f ca="1">$J$542-EFEITO!$K$542*EFEITO!$Y$542</f>
        <v>496.11609001965553</v>
      </c>
      <c r="N542" s="74">
        <f ca="1">$K$542-EFEITO!$M$542*EFEITO!$Z$542</f>
        <v>1724.7965778664511</v>
      </c>
      <c r="O542" s="74">
        <f>$L$542-EFEITO!$O$542*EFEITO!$AA$542</f>
        <v>4549.1882653554931</v>
      </c>
      <c r="P542" s="57"/>
      <c r="Q542" s="57"/>
      <c r="R542" s="57"/>
      <c r="S542" s="57"/>
      <c r="T542" s="57"/>
      <c r="U542" s="57"/>
      <c r="V542" s="57"/>
      <c r="W542" s="57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</row>
    <row r="543" spans="1:36" ht="11.25" customHeight="1" x14ac:dyDescent="0.2">
      <c r="A543" s="53" t="s">
        <v>21</v>
      </c>
      <c r="B543" s="53" t="s">
        <v>33</v>
      </c>
      <c r="C543" s="53" t="s">
        <v>41</v>
      </c>
      <c r="D543" s="53" t="s">
        <v>47</v>
      </c>
      <c r="E543" s="53" t="s">
        <v>25</v>
      </c>
      <c r="F543" s="53" t="s">
        <v>25</v>
      </c>
      <c r="G543" s="53" t="s">
        <v>25</v>
      </c>
      <c r="H543" s="53" t="s">
        <v>36</v>
      </c>
      <c r="I543" s="73">
        <v>43862</v>
      </c>
      <c r="J543" s="74">
        <f ca="1">EFEITO!$J$543*EFEITO!$Y$514</f>
        <v>8898.4811160035333</v>
      </c>
      <c r="K543" s="74">
        <f ca="1">EFEITO!$L$543*EFEITO!$Z$514</f>
        <v>27840.259118595375</v>
      </c>
      <c r="L543" s="74">
        <f>EFEITO!$N$543*EFEITO!$AA$514</f>
        <v>73429.285349948113</v>
      </c>
      <c r="M543" s="74">
        <f ca="1">$J$543-EFEITO!$K$543*EFEITO!$Y$543</f>
        <v>533.90886696021335</v>
      </c>
      <c r="N543" s="74">
        <f ca="1">$K$543-EFEITO!$M$543*EFEITO!$Z$543</f>
        <v>1670.415547115721</v>
      </c>
      <c r="O543" s="74">
        <f>$L$543-EFEITO!$O$543*EFEITO!$AA$543</f>
        <v>4405.7571209969028</v>
      </c>
      <c r="P543" s="57"/>
      <c r="Q543" s="57"/>
      <c r="R543" s="57"/>
      <c r="S543" s="57"/>
      <c r="T543" s="57"/>
      <c r="U543" s="57"/>
      <c r="V543" s="57"/>
      <c r="W543" s="57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</row>
    <row r="544" spans="1:36" ht="11.25" customHeight="1" x14ac:dyDescent="0.2">
      <c r="A544" s="53" t="s">
        <v>21</v>
      </c>
      <c r="B544" s="53" t="s">
        <v>33</v>
      </c>
      <c r="C544" s="53" t="s">
        <v>41</v>
      </c>
      <c r="D544" s="53" t="s">
        <v>47</v>
      </c>
      <c r="E544" s="53" t="s">
        <v>25</v>
      </c>
      <c r="F544" s="53" t="s">
        <v>25</v>
      </c>
      <c r="G544" s="53" t="s">
        <v>25</v>
      </c>
      <c r="H544" s="53" t="s">
        <v>36</v>
      </c>
      <c r="I544" s="73">
        <v>43891</v>
      </c>
      <c r="J544" s="74">
        <f ca="1">EFEITO!$J$544*EFEITO!$Y$514</f>
        <v>9448.1942351388861</v>
      </c>
      <c r="K544" s="74">
        <f ca="1">EFEITO!$L$544*EFEITO!$Z$514</f>
        <v>27908.611740290242</v>
      </c>
      <c r="L544" s="74">
        <f>EFEITO!$N$544*EFEITO!$AA$514</f>
        <v>73609.566867496804</v>
      </c>
      <c r="M544" s="74">
        <f ca="1">$J$544-EFEITO!$K$544*EFEITO!$Y$544</f>
        <v>566.89165410833266</v>
      </c>
      <c r="N544" s="74">
        <f ca="1">$K$544-EFEITO!$M$544*EFEITO!$Z$544</f>
        <v>1674.5167044174159</v>
      </c>
      <c r="O544" s="74">
        <f>$L$544-EFEITO!$O$544*EFEITO!$AA$544</f>
        <v>4416.5740120498231</v>
      </c>
      <c r="P544" s="57"/>
      <c r="Q544" s="57"/>
      <c r="R544" s="57"/>
      <c r="S544" s="57"/>
      <c r="T544" s="57"/>
      <c r="U544" s="57"/>
      <c r="V544" s="57"/>
      <c r="W544" s="57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</row>
    <row r="545" spans="1:36" ht="11.25" customHeight="1" x14ac:dyDescent="0.2">
      <c r="A545" s="53" t="s">
        <v>21</v>
      </c>
      <c r="B545" s="53" t="s">
        <v>33</v>
      </c>
      <c r="C545" s="53" t="s">
        <v>41</v>
      </c>
      <c r="D545" s="53" t="s">
        <v>47</v>
      </c>
      <c r="E545" s="53" t="s">
        <v>25</v>
      </c>
      <c r="F545" s="53" t="s">
        <v>25</v>
      </c>
      <c r="G545" s="53" t="s">
        <v>25</v>
      </c>
      <c r="H545" s="53" t="s">
        <v>36</v>
      </c>
      <c r="I545" s="73">
        <v>43922</v>
      </c>
      <c r="J545" s="74">
        <f ca="1">EFEITO!$J$545*EFEITO!$Y$514</f>
        <v>8852.6716894089204</v>
      </c>
      <c r="K545" s="74">
        <f ca="1">EFEITO!$L$545*EFEITO!$Z$514</f>
        <v>28650.950968479534</v>
      </c>
      <c r="L545" s="74">
        <f>EFEITO!$N$545*EFEITO!$AA$514</f>
        <v>75567.502631706811</v>
      </c>
      <c r="M545" s="74">
        <f ca="1">$J$545-EFEITO!$K$545*EFEITO!$Y$545</f>
        <v>531.16030136453628</v>
      </c>
      <c r="N545" s="74">
        <f ca="1">$K$545-EFEITO!$M$545*EFEITO!$Z$545</f>
        <v>1719.0570581087741</v>
      </c>
      <c r="O545" s="74">
        <f>$L$545-EFEITO!$O$545*EFEITO!$AA$545</f>
        <v>4534.050157902413</v>
      </c>
      <c r="P545" s="57"/>
      <c r="Q545" s="57"/>
      <c r="R545" s="57"/>
      <c r="S545" s="57"/>
      <c r="T545" s="57"/>
      <c r="U545" s="57"/>
      <c r="V545" s="57"/>
      <c r="W545" s="57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</row>
    <row r="546" spans="1:36" ht="11.25" customHeight="1" x14ac:dyDescent="0.2">
      <c r="A546" s="53" t="s">
        <v>21</v>
      </c>
      <c r="B546" s="53" t="s">
        <v>33</v>
      </c>
      <c r="C546" s="53" t="s">
        <v>41</v>
      </c>
      <c r="D546" s="53" t="s">
        <v>47</v>
      </c>
      <c r="E546" s="53" t="s">
        <v>25</v>
      </c>
      <c r="F546" s="53" t="s">
        <v>25</v>
      </c>
      <c r="G546" s="53" t="s">
        <v>25</v>
      </c>
      <c r="H546" s="53" t="s">
        <v>36</v>
      </c>
      <c r="I546" s="73">
        <v>43952</v>
      </c>
      <c r="J546" s="74">
        <f ca="1">EFEITO!$J$546*EFEITO!$Y$514</f>
        <v>8875.5764027062269</v>
      </c>
      <c r="K546" s="74">
        <f ca="1">EFEITO!$L$546*EFEITO!$Z$514</f>
        <v>24085.415932200056</v>
      </c>
      <c r="L546" s="74">
        <f>EFEITO!$N$546*EFEITO!$AA$514</f>
        <v>63525.805263659277</v>
      </c>
      <c r="M546" s="74">
        <f ca="1">$J$546-EFEITO!$K$546*EFEITO!$Y$546</f>
        <v>532.53458416237481</v>
      </c>
      <c r="N546" s="74">
        <f ca="1">$K$546-EFEITO!$M$546*EFEITO!$Z$546</f>
        <v>1445.1249559320022</v>
      </c>
      <c r="O546" s="74">
        <f>$L$546-EFEITO!$O$546*EFEITO!$AA$546</f>
        <v>3811.5483158195639</v>
      </c>
      <c r="P546" s="57"/>
      <c r="Q546" s="57"/>
      <c r="R546" s="57"/>
      <c r="S546" s="57"/>
      <c r="T546" s="57"/>
      <c r="U546" s="57"/>
      <c r="V546" s="57"/>
      <c r="W546" s="57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</row>
    <row r="547" spans="1:36" ht="11.25" customHeight="1" x14ac:dyDescent="0.2">
      <c r="A547" s="53" t="s">
        <v>21</v>
      </c>
      <c r="B547" s="53" t="s">
        <v>33</v>
      </c>
      <c r="C547" s="53" t="s">
        <v>41</v>
      </c>
      <c r="D547" s="53" t="s">
        <v>47</v>
      </c>
      <c r="E547" s="53" t="s">
        <v>25</v>
      </c>
      <c r="F547" s="53" t="s">
        <v>25</v>
      </c>
      <c r="G547" s="53" t="s">
        <v>25</v>
      </c>
      <c r="H547" s="53" t="s">
        <v>36</v>
      </c>
      <c r="I547" s="73">
        <v>43983</v>
      </c>
      <c r="J547" s="74">
        <f ca="1">EFEITO!$J$547*EFEITO!$Y$514</f>
        <v>9138.9806056252492</v>
      </c>
      <c r="K547" s="74">
        <f ca="1">EFEITO!$L$547*EFEITO!$Z$514</f>
        <v>28839.642712876623</v>
      </c>
      <c r="L547" s="74">
        <f>EFEITO!$N$547*EFEITO!$AA$514</f>
        <v>76065.181187193346</v>
      </c>
      <c r="M547" s="74">
        <f ca="1">$J$547-EFEITO!$K$547*EFEITO!$Y$547</f>
        <v>548.33883633751429</v>
      </c>
      <c r="N547" s="74">
        <f ca="1">$K$547-EFEITO!$M$547*EFEITO!$Z$547</f>
        <v>1730.3785627725956</v>
      </c>
      <c r="O547" s="74">
        <f>$L$547-EFEITO!$O$547*EFEITO!$AA$547</f>
        <v>4563.9108712316083</v>
      </c>
      <c r="P547" s="57"/>
      <c r="Q547" s="57"/>
      <c r="R547" s="57"/>
      <c r="S547" s="57"/>
      <c r="T547" s="57"/>
      <c r="U547" s="57"/>
      <c r="V547" s="57"/>
      <c r="W547" s="57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</row>
    <row r="548" spans="1:36" ht="11.25" customHeight="1" x14ac:dyDescent="0.2">
      <c r="A548" s="53" t="s">
        <v>21</v>
      </c>
      <c r="B548" s="53" t="s">
        <v>33</v>
      </c>
      <c r="C548" s="53" t="s">
        <v>41</v>
      </c>
      <c r="D548" s="53" t="s">
        <v>47</v>
      </c>
      <c r="E548" s="53" t="s">
        <v>25</v>
      </c>
      <c r="F548" s="53" t="s">
        <v>25</v>
      </c>
      <c r="G548" s="53" t="s">
        <v>25</v>
      </c>
      <c r="H548" s="53" t="s">
        <v>36</v>
      </c>
      <c r="I548" s="73">
        <v>44013</v>
      </c>
      <c r="J548" s="74">
        <f ca="1">EFEITO!$J$548*EFEITO!$Y$514</f>
        <v>6940.128129083836</v>
      </c>
      <c r="K548" s="74">
        <f ca="1">EFEITO!$L$548*EFEITO!$Z$514</f>
        <v>18881.164592298152</v>
      </c>
      <c r="L548" s="74">
        <f>EFEITO!$N$548*EFEITO!$AA$514</f>
        <v>49799.47983534239</v>
      </c>
      <c r="M548" s="74">
        <f ca="1">$J$548-EFEITO!$K$548*EFEITO!$Y$548</f>
        <v>416.40768774502976</v>
      </c>
      <c r="N548" s="74">
        <f ca="1">$K$548-EFEITO!$M$548*EFEITO!$Z$548</f>
        <v>1132.86987553789</v>
      </c>
      <c r="O548" s="74">
        <f>$L$548-EFEITO!$O$548*EFEITO!$AA$548</f>
        <v>2987.9687901205543</v>
      </c>
      <c r="P548" s="57"/>
      <c r="Q548" s="57"/>
      <c r="R548" s="57"/>
      <c r="S548" s="57"/>
      <c r="T548" s="57"/>
      <c r="U548" s="57"/>
      <c r="V548" s="57"/>
      <c r="W548" s="57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</row>
    <row r="549" spans="1:36" ht="11.25" customHeight="1" x14ac:dyDescent="0.2">
      <c r="A549" s="53" t="s">
        <v>27</v>
      </c>
      <c r="B549" s="53" t="s">
        <v>33</v>
      </c>
      <c r="C549" s="53" t="s">
        <v>41</v>
      </c>
      <c r="D549" s="53" t="s">
        <v>47</v>
      </c>
      <c r="E549" s="53" t="s">
        <v>25</v>
      </c>
      <c r="F549" s="53" t="s">
        <v>25</v>
      </c>
      <c r="G549" s="53" t="s">
        <v>25</v>
      </c>
      <c r="H549" s="53" t="s">
        <v>36</v>
      </c>
      <c r="I549" s="73">
        <v>44013</v>
      </c>
      <c r="J549" s="74">
        <f ca="1">EFEITO!$J$549*EFEITO!$Y$514</f>
        <v>2805.827378920033</v>
      </c>
      <c r="K549" s="74">
        <f ca="1">EFEITO!$L$549*EFEITO!$Z$514</f>
        <v>0</v>
      </c>
      <c r="L549" s="74">
        <f>EFEITO!$N$549*EFEITO!$AA$514</f>
        <v>0</v>
      </c>
      <c r="M549" s="74">
        <f ca="1">$J$549-EFEITO!$K$549*EFEITO!$Y$549</f>
        <v>168.349642735202</v>
      </c>
      <c r="N549" s="74">
        <f ca="1">$K$549-EFEITO!$M$549*EFEITO!$Z$549</f>
        <v>0</v>
      </c>
      <c r="O549" s="74">
        <f>$L$549-EFEITO!$O$549*EFEITO!$AA$549</f>
        <v>0</v>
      </c>
      <c r="P549" s="57"/>
      <c r="Q549" s="57"/>
      <c r="R549" s="57"/>
      <c r="S549" s="57"/>
      <c r="T549" s="57"/>
      <c r="U549" s="57"/>
      <c r="V549" s="57"/>
      <c r="W549" s="57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</row>
    <row r="550" spans="1:36" ht="11.25" customHeight="1" x14ac:dyDescent="0.2">
      <c r="A550" s="53" t="s">
        <v>21</v>
      </c>
      <c r="B550" s="53" t="s">
        <v>33</v>
      </c>
      <c r="C550" s="53" t="s">
        <v>41</v>
      </c>
      <c r="D550" s="53" t="s">
        <v>47</v>
      </c>
      <c r="E550" s="53" t="s">
        <v>25</v>
      </c>
      <c r="F550" s="53" t="s">
        <v>25</v>
      </c>
      <c r="G550" s="53" t="s">
        <v>25</v>
      </c>
      <c r="H550" s="53" t="s">
        <v>36</v>
      </c>
      <c r="I550" s="73">
        <v>44044</v>
      </c>
      <c r="J550" s="74">
        <f ca="1">EFEITO!$J$550*EFEITO!$Y$514</f>
        <v>10032.264424220199</v>
      </c>
      <c r="K550" s="74">
        <f ca="1">EFEITO!$L$550*EFEITO!$Z$514</f>
        <v>32207.912877471415</v>
      </c>
      <c r="L550" s="74">
        <f>EFEITO!$N$550*EFEITO!$AA$514</f>
        <v>84949.066570521129</v>
      </c>
      <c r="M550" s="74">
        <f ca="1">$J$550-EFEITO!$K$550*EFEITO!$Y$550</f>
        <v>601.93586545321159</v>
      </c>
      <c r="N550" s="74">
        <f ca="1">$K$550-EFEITO!$M$550*EFEITO!$Z$550</f>
        <v>1932.4747726482856</v>
      </c>
      <c r="O550" s="74">
        <f>$L$550-EFEITO!$O$550*EFEITO!$AA$550</f>
        <v>5096.9439942312747</v>
      </c>
      <c r="P550" s="57"/>
      <c r="Q550" s="57"/>
      <c r="R550" s="57"/>
      <c r="S550" s="57"/>
      <c r="T550" s="57"/>
      <c r="U550" s="57"/>
      <c r="V550" s="57"/>
      <c r="W550" s="57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</row>
    <row r="551" spans="1:36" ht="11.25" customHeight="1" x14ac:dyDescent="0.2">
      <c r="A551" s="53" t="s">
        <v>59</v>
      </c>
      <c r="B551" s="53" t="s">
        <v>33</v>
      </c>
      <c r="C551" s="53" t="s">
        <v>41</v>
      </c>
      <c r="D551" s="53" t="s">
        <v>47</v>
      </c>
      <c r="E551" s="53" t="s">
        <v>25</v>
      </c>
      <c r="F551" s="53" t="s">
        <v>25</v>
      </c>
      <c r="G551" s="53" t="s">
        <v>25</v>
      </c>
      <c r="H551" s="53" t="s">
        <v>36</v>
      </c>
      <c r="I551" s="73">
        <v>44075</v>
      </c>
      <c r="J551" s="74">
        <f ca="1">EFEITO!$J$551*EFEITO!$Y$514</f>
        <v>10032.264424220199</v>
      </c>
      <c r="K551" s="74">
        <f ca="1">EFEITO!$L$551*EFEITO!$Z$514</f>
        <v>32207.912877471415</v>
      </c>
      <c r="L551" s="74">
        <f>EFEITO!$N$551*EFEITO!$AA$514</f>
        <v>84949.066570521129</v>
      </c>
      <c r="M551" s="74">
        <f ca="1">$J$551-EFEITO!$K$551*EFEITO!$Y$551</f>
        <v>601.93586545321159</v>
      </c>
      <c r="N551" s="74">
        <f ca="1">$K$551-EFEITO!$M$551*EFEITO!$Z$551</f>
        <v>1932.4747726482856</v>
      </c>
      <c r="O551" s="74">
        <f>$L$551-EFEITO!$O$551*EFEITO!$AA$551</f>
        <v>5096.9439942312747</v>
      </c>
      <c r="P551" s="57"/>
      <c r="Q551" s="57"/>
      <c r="R551" s="57"/>
      <c r="S551" s="57"/>
      <c r="T551" s="57"/>
      <c r="U551" s="57"/>
      <c r="V551" s="57"/>
      <c r="W551" s="57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</row>
    <row r="552" spans="1:36" ht="11.25" customHeight="1" x14ac:dyDescent="0.2">
      <c r="A552" s="53" t="s">
        <v>21</v>
      </c>
      <c r="B552" s="53" t="s">
        <v>33</v>
      </c>
      <c r="C552" s="53" t="s">
        <v>41</v>
      </c>
      <c r="D552" s="53" t="s">
        <v>47</v>
      </c>
      <c r="E552" s="53" t="s">
        <v>25</v>
      </c>
      <c r="F552" s="53" t="s">
        <v>25</v>
      </c>
      <c r="G552" s="53" t="s">
        <v>25</v>
      </c>
      <c r="H552" s="53" t="s">
        <v>35</v>
      </c>
      <c r="I552" s="73">
        <v>43739</v>
      </c>
      <c r="J552" s="74">
        <f ca="1">EFEITO!$J$552*EFEITO!$Y$538</f>
        <v>19160.263370459983</v>
      </c>
      <c r="K552" s="74">
        <f ca="1">EFEITO!$L$552*EFEITO!$Z$538</f>
        <v>2982.2222589660537</v>
      </c>
      <c r="L552" s="74">
        <f>EFEITO!$N$552*EFEITO!$AA$538</f>
        <v>12801.698176559788</v>
      </c>
      <c r="M552" s="74">
        <f ca="1">$J$552-EFEITO!$K$552*EFEITO!$Y$552</f>
        <v>1149.6158022275995</v>
      </c>
      <c r="N552" s="74">
        <f ca="1">$K$552-EFEITO!$M$552*EFEITO!$Z$552</f>
        <v>178.9333355379631</v>
      </c>
      <c r="O552" s="74">
        <f>$L$552-EFEITO!$O$552*EFEITO!$AA$552</f>
        <v>768.10189059358709</v>
      </c>
      <c r="P552" s="57"/>
      <c r="Q552" s="57"/>
      <c r="R552" s="57"/>
      <c r="S552" s="57"/>
      <c r="T552" s="57"/>
      <c r="U552" s="57"/>
      <c r="V552" s="57"/>
      <c r="W552" s="57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</row>
    <row r="553" spans="1:36" ht="11.25" customHeight="1" x14ac:dyDescent="0.2">
      <c r="A553" s="53" t="s">
        <v>21</v>
      </c>
      <c r="B553" s="53" t="s">
        <v>33</v>
      </c>
      <c r="C553" s="53" t="s">
        <v>41</v>
      </c>
      <c r="D553" s="53" t="s">
        <v>47</v>
      </c>
      <c r="E553" s="53" t="s">
        <v>25</v>
      </c>
      <c r="F553" s="53" t="s">
        <v>25</v>
      </c>
      <c r="G553" s="53" t="s">
        <v>25</v>
      </c>
      <c r="H553" s="53" t="s">
        <v>35</v>
      </c>
      <c r="I553" s="73">
        <v>43770</v>
      </c>
      <c r="J553" s="74">
        <f ca="1">EFEITO!$J$553*EFEITO!$Y$538</f>
        <v>19595.723901606802</v>
      </c>
      <c r="K553" s="74">
        <f ca="1">EFEITO!$L$553*EFEITO!$Z$538</f>
        <v>2835.0146921404953</v>
      </c>
      <c r="L553" s="74">
        <f>EFEITO!$N$553*EFEITO!$AA$538</f>
        <v>12169.784564440241</v>
      </c>
      <c r="M553" s="74">
        <f ca="1">$J$553-EFEITO!$K$553*EFEITO!$Y$553</f>
        <v>1175.7434340964101</v>
      </c>
      <c r="N553" s="74">
        <f ca="1">$K$553-EFEITO!$M$553*EFEITO!$Z$553</f>
        <v>170.10088152842991</v>
      </c>
      <c r="O553" s="74">
        <f>$L$553-EFEITO!$O$553*EFEITO!$AA$553</f>
        <v>730.18707386641472</v>
      </c>
      <c r="P553" s="57"/>
      <c r="Q553" s="57"/>
      <c r="R553" s="57"/>
      <c r="S553" s="57"/>
      <c r="T553" s="57"/>
      <c r="U553" s="57"/>
      <c r="V553" s="57"/>
      <c r="W553" s="57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</row>
    <row r="554" spans="1:36" ht="11.25" customHeight="1" x14ac:dyDescent="0.2">
      <c r="A554" s="53" t="s">
        <v>21</v>
      </c>
      <c r="B554" s="53" t="s">
        <v>33</v>
      </c>
      <c r="C554" s="53" t="s">
        <v>41</v>
      </c>
      <c r="D554" s="53" t="s">
        <v>47</v>
      </c>
      <c r="E554" s="53" t="s">
        <v>25</v>
      </c>
      <c r="F554" s="53" t="s">
        <v>25</v>
      </c>
      <c r="G554" s="53" t="s">
        <v>25</v>
      </c>
      <c r="H554" s="53" t="s">
        <v>35</v>
      </c>
      <c r="I554" s="73">
        <v>43800</v>
      </c>
      <c r="J554" s="74">
        <f ca="1">EFEITO!$J$554*EFEITO!$Y$538</f>
        <v>17146.258413905951</v>
      </c>
      <c r="K554" s="74">
        <f ca="1">EFEITO!$L$554*EFEITO!$Z$538</f>
        <v>2542.4374650906489</v>
      </c>
      <c r="L554" s="74">
        <f>EFEITO!$N$554*EFEITO!$AA$538</f>
        <v>10913.846868057573</v>
      </c>
      <c r="M554" s="74">
        <f ca="1">$J$554-EFEITO!$K$554*EFEITO!$Y$554</f>
        <v>1028.7755048343588</v>
      </c>
      <c r="N554" s="74">
        <f ca="1">$K$554-EFEITO!$M$554*EFEITO!$Z$554</f>
        <v>152.54624790543903</v>
      </c>
      <c r="O554" s="74">
        <f>$L$554-EFEITO!$O$554*EFEITO!$AA$554</f>
        <v>654.83081208345357</v>
      </c>
      <c r="P554" s="57"/>
      <c r="Q554" s="57"/>
      <c r="R554" s="57"/>
      <c r="S554" s="57"/>
      <c r="T554" s="57"/>
      <c r="U554" s="57"/>
      <c r="V554" s="57"/>
      <c r="W554" s="57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</row>
    <row r="555" spans="1:36" ht="11.25" customHeight="1" x14ac:dyDescent="0.2">
      <c r="A555" s="53" t="s">
        <v>21</v>
      </c>
      <c r="B555" s="53" t="s">
        <v>33</v>
      </c>
      <c r="C555" s="53" t="s">
        <v>41</v>
      </c>
      <c r="D555" s="53" t="s">
        <v>47</v>
      </c>
      <c r="E555" s="53" t="s">
        <v>25</v>
      </c>
      <c r="F555" s="53" t="s">
        <v>25</v>
      </c>
      <c r="G555" s="53" t="s">
        <v>25</v>
      </c>
      <c r="H555" s="53" t="s">
        <v>35</v>
      </c>
      <c r="I555" s="73">
        <v>43831</v>
      </c>
      <c r="J555" s="74">
        <f ca="1">EFEITO!$J$555*EFEITO!$Y$538</f>
        <v>17935.530626609558</v>
      </c>
      <c r="K555" s="74">
        <f ca="1">EFEITO!$L$555*EFEITO!$Z$538</f>
        <v>2574.5570709318972</v>
      </c>
      <c r="L555" s="74">
        <f>EFEITO!$N$555*EFEITO!$AA$538</f>
        <v>11051.725759643705</v>
      </c>
      <c r="M555" s="74">
        <f ca="1">$J$555-EFEITO!$K$555*EFEITO!$Y$555</f>
        <v>1076.1318375965748</v>
      </c>
      <c r="N555" s="74">
        <f ca="1">$K$555-EFEITO!$M$555*EFEITO!$Z$555</f>
        <v>154.47342425591387</v>
      </c>
      <c r="O555" s="74">
        <f>$L$555-EFEITO!$O$555*EFEITO!$AA$555</f>
        <v>663.10354557862229</v>
      </c>
      <c r="P555" s="57"/>
      <c r="Q555" s="57"/>
      <c r="R555" s="57"/>
      <c r="S555" s="57"/>
      <c r="T555" s="57"/>
      <c r="U555" s="57"/>
      <c r="V555" s="57"/>
      <c r="W555" s="57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</row>
    <row r="556" spans="1:36" ht="11.25" customHeight="1" x14ac:dyDescent="0.2">
      <c r="A556" s="53" t="s">
        <v>21</v>
      </c>
      <c r="B556" s="53" t="s">
        <v>33</v>
      </c>
      <c r="C556" s="53" t="s">
        <v>41</v>
      </c>
      <c r="D556" s="53" t="s">
        <v>47</v>
      </c>
      <c r="E556" s="53" t="s">
        <v>25</v>
      </c>
      <c r="F556" s="53" t="s">
        <v>25</v>
      </c>
      <c r="G556" s="53" t="s">
        <v>25</v>
      </c>
      <c r="H556" s="53" t="s">
        <v>35</v>
      </c>
      <c r="I556" s="73">
        <v>43862</v>
      </c>
      <c r="J556" s="74">
        <f ca="1">EFEITO!$J$556*EFEITO!$Y$538</f>
        <v>18425.423724149729</v>
      </c>
      <c r="K556" s="74">
        <f ca="1">EFEITO!$L$556*EFEITO!$Z$538</f>
        <v>2643.6098475224831</v>
      </c>
      <c r="L556" s="74">
        <f>EFEITO!$N$556*EFEITO!$AA$538</f>
        <v>11348.146591963754</v>
      </c>
      <c r="M556" s="74">
        <f ca="1">$J$556-EFEITO!$K$556*EFEITO!$Y$556</f>
        <v>1105.5254234489839</v>
      </c>
      <c r="N556" s="74">
        <f ca="1">$K$556-EFEITO!$M$556*EFEITO!$Z$556</f>
        <v>158.61659085134897</v>
      </c>
      <c r="O556" s="74">
        <f>$L$556-EFEITO!$O$556*EFEITO!$AA$556</f>
        <v>680.8887955178252</v>
      </c>
      <c r="P556" s="57"/>
      <c r="Q556" s="57"/>
      <c r="R556" s="57"/>
      <c r="S556" s="57"/>
      <c r="T556" s="57"/>
      <c r="U556" s="57"/>
      <c r="V556" s="57"/>
      <c r="W556" s="57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</row>
    <row r="557" spans="1:36" ht="11.25" customHeight="1" x14ac:dyDescent="0.2">
      <c r="A557" s="53" t="s">
        <v>21</v>
      </c>
      <c r="B557" s="53" t="s">
        <v>33</v>
      </c>
      <c r="C557" s="53" t="s">
        <v>41</v>
      </c>
      <c r="D557" s="53" t="s">
        <v>47</v>
      </c>
      <c r="E557" s="53" t="s">
        <v>25</v>
      </c>
      <c r="F557" s="53" t="s">
        <v>25</v>
      </c>
      <c r="G557" s="53" t="s">
        <v>25</v>
      </c>
      <c r="H557" s="53" t="s">
        <v>35</v>
      </c>
      <c r="I557" s="73">
        <v>43891</v>
      </c>
      <c r="J557" s="74">
        <f ca="1">EFEITO!$J$557*EFEITO!$Y$538</f>
        <v>18507.072573739755</v>
      </c>
      <c r="K557" s="74">
        <f ca="1">EFEITO!$L$557*EFEITO!$Z$538</f>
        <v>2648.2483737066418</v>
      </c>
      <c r="L557" s="74">
        <f>EFEITO!$N$557*EFEITO!$AA$538</f>
        <v>11368.058257506165</v>
      </c>
      <c r="M557" s="74">
        <f ca="1">$J$557-EFEITO!$K$557*EFEITO!$Y$557</f>
        <v>1110.4243544243836</v>
      </c>
      <c r="N557" s="74">
        <f ca="1">$K$557-EFEITO!$M$557*EFEITO!$Z$557</f>
        <v>158.89490242239845</v>
      </c>
      <c r="O557" s="74">
        <f>$L$557-EFEITO!$O$557*EFEITO!$AA$557</f>
        <v>682.08349545036981</v>
      </c>
      <c r="P557" s="57"/>
      <c r="Q557" s="57"/>
      <c r="R557" s="57"/>
      <c r="S557" s="57"/>
      <c r="T557" s="57"/>
      <c r="U557" s="57"/>
      <c r="V557" s="57"/>
      <c r="W557" s="57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</row>
    <row r="558" spans="1:36" ht="11.25" customHeight="1" x14ac:dyDescent="0.2">
      <c r="A558" s="53" t="s">
        <v>21</v>
      </c>
      <c r="B558" s="53" t="s">
        <v>33</v>
      </c>
      <c r="C558" s="53" t="s">
        <v>41</v>
      </c>
      <c r="D558" s="53" t="s">
        <v>47</v>
      </c>
      <c r="E558" s="53" t="s">
        <v>25</v>
      </c>
      <c r="F558" s="53" t="s">
        <v>25</v>
      </c>
      <c r="G558" s="53" t="s">
        <v>25</v>
      </c>
      <c r="H558" s="53" t="s">
        <v>35</v>
      </c>
      <c r="I558" s="73">
        <v>43922</v>
      </c>
      <c r="J558" s="74">
        <f ca="1">EFEITO!$J$558*EFEITO!$Y$538</f>
        <v>17962.746909806236</v>
      </c>
      <c r="K558" s="74">
        <f ca="1">EFEITO!$L$558*EFEITO!$Z$538</f>
        <v>2610.9651255094432</v>
      </c>
      <c r="L558" s="74">
        <f>EFEITO!$N$558*EFEITO!$AA$538</f>
        <v>11208.0135495615</v>
      </c>
      <c r="M558" s="74">
        <f ca="1">$J$558-EFEITO!$K$558*EFEITO!$Y$558</f>
        <v>1077.7648145883759</v>
      </c>
      <c r="N558" s="74">
        <f ca="1">$K$558-EFEITO!$M$558*EFEITO!$Z$558</f>
        <v>156.65790753056672</v>
      </c>
      <c r="O558" s="74">
        <f>$L$558-EFEITO!$O$558*EFEITO!$AA$558</f>
        <v>672.48081297369026</v>
      </c>
      <c r="P558" s="57"/>
      <c r="Q558" s="57"/>
      <c r="R558" s="57"/>
      <c r="S558" s="57"/>
      <c r="T558" s="57"/>
      <c r="U558" s="57"/>
      <c r="V558" s="57"/>
      <c r="W558" s="57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</row>
    <row r="559" spans="1:36" ht="11.25" customHeight="1" x14ac:dyDescent="0.2">
      <c r="A559" s="53" t="s">
        <v>21</v>
      </c>
      <c r="B559" s="53" t="s">
        <v>33</v>
      </c>
      <c r="C559" s="53" t="s">
        <v>41</v>
      </c>
      <c r="D559" s="53" t="s">
        <v>47</v>
      </c>
      <c r="E559" s="53" t="s">
        <v>25</v>
      </c>
      <c r="F559" s="53" t="s">
        <v>25</v>
      </c>
      <c r="G559" s="53" t="s">
        <v>25</v>
      </c>
      <c r="H559" s="53" t="s">
        <v>35</v>
      </c>
      <c r="I559" s="73">
        <v>43952</v>
      </c>
      <c r="J559" s="74">
        <f ca="1">EFEITO!$J$559*EFEITO!$Y$538</f>
        <v>17989.96319300291</v>
      </c>
      <c r="K559" s="74">
        <f ca="1">EFEITO!$L$559*EFEITO!$Z$538</f>
        <v>2190.8721880762209</v>
      </c>
      <c r="L559" s="74">
        <f>EFEITO!$N$559*EFEITO!$AA$538</f>
        <v>9404.6928966638643</v>
      </c>
      <c r="M559" s="74">
        <f ca="1">$J$559-EFEITO!$K$559*EFEITO!$Y$559</f>
        <v>1079.3977915801734</v>
      </c>
      <c r="N559" s="74">
        <f ca="1">$K$559-EFEITO!$M$559*EFEITO!$Z$559</f>
        <v>131.45233128457357</v>
      </c>
      <c r="O559" s="74">
        <f>$L$559-EFEITO!$O$559*EFEITO!$AA$559</f>
        <v>564.28157379983168</v>
      </c>
      <c r="P559" s="57"/>
      <c r="Q559" s="57"/>
      <c r="R559" s="57"/>
      <c r="S559" s="57"/>
      <c r="T559" s="57"/>
      <c r="U559" s="57"/>
      <c r="V559" s="57"/>
      <c r="W559" s="57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</row>
    <row r="560" spans="1:36" ht="11.25" customHeight="1" x14ac:dyDescent="0.2">
      <c r="A560" s="53" t="s">
        <v>21</v>
      </c>
      <c r="B560" s="53" t="s">
        <v>33</v>
      </c>
      <c r="C560" s="53" t="s">
        <v>41</v>
      </c>
      <c r="D560" s="53" t="s">
        <v>47</v>
      </c>
      <c r="E560" s="53" t="s">
        <v>25</v>
      </c>
      <c r="F560" s="53" t="s">
        <v>25</v>
      </c>
      <c r="G560" s="53" t="s">
        <v>25</v>
      </c>
      <c r="H560" s="53" t="s">
        <v>35</v>
      </c>
      <c r="I560" s="73">
        <v>43983</v>
      </c>
      <c r="J560" s="74">
        <f ca="1">EFEITO!$J$560*EFEITO!$Y$538</f>
        <v>19377.993636033392</v>
      </c>
      <c r="K560" s="74">
        <f ca="1">EFEITO!$L$560*EFEITO!$Z$538</f>
        <v>2756.1597470098009</v>
      </c>
      <c r="L560" s="74">
        <f>EFEITO!$N$560*EFEITO!$AA$538</f>
        <v>11831.286250219246</v>
      </c>
      <c r="M560" s="74">
        <f ca="1">$J$560-EFEITO!$K$560*EFEITO!$Y$560</f>
        <v>1162.6796181620048</v>
      </c>
      <c r="N560" s="74">
        <f ca="1">$K$560-EFEITO!$M$560*EFEITO!$Z$560</f>
        <v>165.36958482058799</v>
      </c>
      <c r="O560" s="74">
        <f>$L$560-EFEITO!$O$560*EFEITO!$AA$560</f>
        <v>709.87717501315456</v>
      </c>
      <c r="P560" s="57"/>
      <c r="Q560" s="57"/>
      <c r="R560" s="57"/>
      <c r="S560" s="57"/>
      <c r="T560" s="57"/>
      <c r="U560" s="57"/>
      <c r="V560" s="57"/>
      <c r="W560" s="57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</row>
    <row r="561" spans="1:36" ht="11.25" customHeight="1" x14ac:dyDescent="0.2">
      <c r="A561" s="53" t="s">
        <v>21</v>
      </c>
      <c r="B561" s="53" t="s">
        <v>33</v>
      </c>
      <c r="C561" s="53" t="s">
        <v>41</v>
      </c>
      <c r="D561" s="53" t="s">
        <v>47</v>
      </c>
      <c r="E561" s="53" t="s">
        <v>25</v>
      </c>
      <c r="F561" s="53" t="s">
        <v>25</v>
      </c>
      <c r="G561" s="53" t="s">
        <v>25</v>
      </c>
      <c r="H561" s="53" t="s">
        <v>35</v>
      </c>
      <c r="I561" s="73">
        <v>44013</v>
      </c>
      <c r="J561" s="74">
        <f ca="1">EFEITO!$J$561*EFEITO!$Y$538</f>
        <v>11947.948323340814</v>
      </c>
      <c r="K561" s="74">
        <f ca="1">EFEITO!$L$561*EFEITO!$Z$538</f>
        <v>1589.7016907368863</v>
      </c>
      <c r="L561" s="74">
        <f>EFEITO!$N$561*EFEITO!$AA$538</f>
        <v>6824.0659040068076</v>
      </c>
      <c r="M561" s="74">
        <f ca="1">$J$561-EFEITO!$K$561*EFEITO!$Y$561</f>
        <v>716.87689940044947</v>
      </c>
      <c r="N561" s="74">
        <f ca="1">$K$561-EFEITO!$M$561*EFEITO!$Z$561</f>
        <v>95.382101444213276</v>
      </c>
      <c r="O561" s="74">
        <f>$L$561-EFEITO!$O$561*EFEITO!$AA$561</f>
        <v>409.44395424040795</v>
      </c>
      <c r="P561" s="57"/>
      <c r="Q561" s="57"/>
      <c r="R561" s="57"/>
      <c r="S561" s="57"/>
      <c r="T561" s="57"/>
      <c r="U561" s="57"/>
      <c r="V561" s="57"/>
      <c r="W561" s="57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</row>
    <row r="562" spans="1:36" ht="11.25" customHeight="1" x14ac:dyDescent="0.2">
      <c r="A562" s="53" t="s">
        <v>27</v>
      </c>
      <c r="B562" s="53" t="s">
        <v>33</v>
      </c>
      <c r="C562" s="53" t="s">
        <v>41</v>
      </c>
      <c r="D562" s="53" t="s">
        <v>47</v>
      </c>
      <c r="E562" s="53" t="s">
        <v>25</v>
      </c>
      <c r="F562" s="53" t="s">
        <v>25</v>
      </c>
      <c r="G562" s="53" t="s">
        <v>25</v>
      </c>
      <c r="H562" s="53" t="s">
        <v>35</v>
      </c>
      <c r="I562" s="73">
        <v>44013</v>
      </c>
      <c r="J562" s="74">
        <f ca="1">EFEITO!$J$562*EFEITO!$Y$538</f>
        <v>6667.989383185648</v>
      </c>
      <c r="K562" s="74">
        <f ca="1">EFEITO!$L$562*EFEITO!$Z$538</f>
        <v>0</v>
      </c>
      <c r="L562" s="74">
        <f>EFEITO!$N$562*EFEITO!$AA$538</f>
        <v>0</v>
      </c>
      <c r="M562" s="74">
        <f ca="1">$J$562-EFEITO!$K$562*EFEITO!$Y$562</f>
        <v>400.07936299113953</v>
      </c>
      <c r="N562" s="74">
        <f ca="1">$K$562-EFEITO!$M$562*EFEITO!$Z$562</f>
        <v>0</v>
      </c>
      <c r="O562" s="74">
        <f>$L$562-EFEITO!$O$562*EFEITO!$AA$562</f>
        <v>0</v>
      </c>
      <c r="P562" s="57"/>
      <c r="Q562" s="57"/>
      <c r="R562" s="57"/>
      <c r="S562" s="57"/>
      <c r="T562" s="57"/>
      <c r="U562" s="57"/>
      <c r="V562" s="57"/>
      <c r="W562" s="57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</row>
    <row r="563" spans="1:36" ht="11.25" customHeight="1" x14ac:dyDescent="0.2">
      <c r="A563" s="53" t="s">
        <v>21</v>
      </c>
      <c r="B563" s="53" t="s">
        <v>33</v>
      </c>
      <c r="C563" s="53" t="s">
        <v>41</v>
      </c>
      <c r="D563" s="53" t="s">
        <v>47</v>
      </c>
      <c r="E563" s="53" t="s">
        <v>25</v>
      </c>
      <c r="F563" s="53" t="s">
        <v>25</v>
      </c>
      <c r="G563" s="53" t="s">
        <v>25</v>
      </c>
      <c r="H563" s="53" t="s">
        <v>35</v>
      </c>
      <c r="I563" s="73">
        <v>44044</v>
      </c>
      <c r="J563" s="74">
        <f ca="1">EFEITO!$J$563*EFEITO!$Y$538</f>
        <v>21201.484610210693</v>
      </c>
      <c r="K563" s="74">
        <f ca="1">EFEITO!$L$563*EFEITO!$Z$538</f>
        <v>3377.2846588772131</v>
      </c>
      <c r="L563" s="74">
        <f>EFEITO!$N$563*EFEITO!$AA$538</f>
        <v>14497.570973888938</v>
      </c>
      <c r="M563" s="74">
        <f ca="1">$J$563-EFEITO!$K$563*EFEITO!$Y$563</f>
        <v>1272.0890766126431</v>
      </c>
      <c r="N563" s="74">
        <f ca="1">$K$563-EFEITO!$M$563*EFEITO!$Z$563</f>
        <v>202.63707953263292</v>
      </c>
      <c r="O563" s="74">
        <f>$L$563-EFEITO!$O$563*EFEITO!$AA$563</f>
        <v>869.85425843333542</v>
      </c>
      <c r="P563" s="57"/>
      <c r="Q563" s="57"/>
      <c r="R563" s="57"/>
      <c r="S563" s="57"/>
      <c r="T563" s="57"/>
      <c r="U563" s="57"/>
      <c r="V563" s="57"/>
      <c r="W563" s="57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</row>
    <row r="564" spans="1:36" ht="11.25" customHeight="1" x14ac:dyDescent="0.2">
      <c r="A564" s="53" t="s">
        <v>59</v>
      </c>
      <c r="B564" s="53" t="s">
        <v>33</v>
      </c>
      <c r="C564" s="53" t="s">
        <v>41</v>
      </c>
      <c r="D564" s="53" t="s">
        <v>47</v>
      </c>
      <c r="E564" s="53" t="s">
        <v>25</v>
      </c>
      <c r="F564" s="53" t="s">
        <v>25</v>
      </c>
      <c r="G564" s="53" t="s">
        <v>25</v>
      </c>
      <c r="H564" s="53" t="s">
        <v>35</v>
      </c>
      <c r="I564" s="73">
        <v>44075</v>
      </c>
      <c r="J564" s="74">
        <f ca="1">EFEITO!$J$564*EFEITO!$Y$538</f>
        <v>21201.484610210693</v>
      </c>
      <c r="K564" s="74">
        <f ca="1">EFEITO!$L$564*EFEITO!$Z$538</f>
        <v>3377.2846588772131</v>
      </c>
      <c r="L564" s="74">
        <f>EFEITO!$N$564*EFEITO!$AA$538</f>
        <v>14497.570973888938</v>
      </c>
      <c r="M564" s="74">
        <f ca="1">$J$564-EFEITO!$K$564*EFEITO!$Y$564</f>
        <v>1272.0890766126431</v>
      </c>
      <c r="N564" s="74">
        <f ca="1">$K$564-EFEITO!$M$564*EFEITO!$Z$564</f>
        <v>202.63707953263292</v>
      </c>
      <c r="O564" s="74">
        <f>$L$564-EFEITO!$O$564*EFEITO!$AA$564</f>
        <v>869.85425843333542</v>
      </c>
      <c r="P564" s="57"/>
      <c r="Q564" s="57"/>
      <c r="R564" s="57"/>
      <c r="S564" s="57"/>
      <c r="T564" s="57"/>
      <c r="U564" s="57"/>
      <c r="V564" s="57"/>
      <c r="W564" s="57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</row>
    <row r="565" spans="1:36" ht="11.25" customHeight="1" x14ac:dyDescent="0.2">
      <c r="A565" s="53" t="s">
        <v>21</v>
      </c>
      <c r="B565" s="53" t="s">
        <v>33</v>
      </c>
      <c r="C565" s="53" t="s">
        <v>41</v>
      </c>
      <c r="D565" s="53" t="s">
        <v>52</v>
      </c>
      <c r="E565" s="53" t="s">
        <v>53</v>
      </c>
      <c r="F565" s="53" t="s">
        <v>25</v>
      </c>
      <c r="G565" s="53" t="s">
        <v>25</v>
      </c>
      <c r="H565" s="53" t="s">
        <v>36</v>
      </c>
      <c r="I565" s="73">
        <v>43739</v>
      </c>
      <c r="J565" s="74">
        <f ca="1">EFEITO!$J$565*EFEITO!$Y$514</f>
        <v>112233.09515680131</v>
      </c>
      <c r="K565" s="74">
        <f ca="1">EFEITO!$L$565*EFEITO!$Z$514</f>
        <v>395082.00424823991</v>
      </c>
      <c r="L565" s="74">
        <f>EFEITO!$N$565*EFEITO!$AA$514</f>
        <v>1042037.3281366603</v>
      </c>
      <c r="M565" s="74">
        <f ca="1">$J$565-EFEITO!$K$565*EFEITO!$Y$565</f>
        <v>10100.978564112113</v>
      </c>
      <c r="N565" s="74">
        <f ca="1">$K$565-EFEITO!$M$565*EFEITO!$Z$565</f>
        <v>35557.380382341566</v>
      </c>
      <c r="O565" s="74">
        <f>$L$565-EFEITO!$O$565*EFEITO!$AA$565</f>
        <v>93783.359532299335</v>
      </c>
      <c r="P565" s="57"/>
      <c r="Q565" s="57"/>
      <c r="R565" s="57"/>
      <c r="S565" s="57"/>
      <c r="T565" s="57"/>
      <c r="U565" s="57"/>
      <c r="V565" s="57"/>
      <c r="W565" s="57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</row>
    <row r="566" spans="1:36" ht="11.25" customHeight="1" x14ac:dyDescent="0.2">
      <c r="A566" s="53" t="s">
        <v>21</v>
      </c>
      <c r="B566" s="53" t="s">
        <v>33</v>
      </c>
      <c r="C566" s="53" t="s">
        <v>41</v>
      </c>
      <c r="D566" s="53" t="s">
        <v>52</v>
      </c>
      <c r="E566" s="53" t="s">
        <v>53</v>
      </c>
      <c r="F566" s="53" t="s">
        <v>25</v>
      </c>
      <c r="G566" s="53" t="s">
        <v>25</v>
      </c>
      <c r="H566" s="53" t="s">
        <v>36</v>
      </c>
      <c r="I566" s="73">
        <v>43770</v>
      </c>
      <c r="J566" s="74">
        <f ca="1">EFEITO!$J$566*EFEITO!$Y$514</f>
        <v>112175.83337355805</v>
      </c>
      <c r="K566" s="74">
        <f ca="1">EFEITO!$L$566*EFEITO!$Z$514</f>
        <v>400147.18732197903</v>
      </c>
      <c r="L566" s="74">
        <f>EFEITO!$N$566*EFEITO!$AA$514</f>
        <v>1055396.8580062257</v>
      </c>
      <c r="M566" s="74">
        <f ca="1">$J$566-EFEITO!$K$566*EFEITO!$Y$566</f>
        <v>10095.825003620223</v>
      </c>
      <c r="N566" s="74">
        <f ca="1">$K$566-EFEITO!$M$566*EFEITO!$Z$566</f>
        <v>36013.24685897812</v>
      </c>
      <c r="O566" s="74">
        <f>$L$566-EFEITO!$O$566*EFEITO!$AA$566</f>
        <v>94985.717220560182</v>
      </c>
      <c r="P566" s="57"/>
      <c r="Q566" s="57"/>
      <c r="R566" s="57"/>
      <c r="S566" s="57"/>
      <c r="T566" s="57"/>
      <c r="U566" s="57"/>
      <c r="V566" s="57"/>
      <c r="W566" s="57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</row>
    <row r="567" spans="1:36" ht="11.25" customHeight="1" x14ac:dyDescent="0.2">
      <c r="A567" s="53" t="s">
        <v>21</v>
      </c>
      <c r="B567" s="53" t="s">
        <v>33</v>
      </c>
      <c r="C567" s="53" t="s">
        <v>41</v>
      </c>
      <c r="D567" s="53" t="s">
        <v>52</v>
      </c>
      <c r="E567" s="53" t="s">
        <v>53</v>
      </c>
      <c r="F567" s="53" t="s">
        <v>25</v>
      </c>
      <c r="G567" s="53" t="s">
        <v>25</v>
      </c>
      <c r="H567" s="53" t="s">
        <v>36</v>
      </c>
      <c r="I567" s="73">
        <v>43800</v>
      </c>
      <c r="J567" s="74">
        <f ca="1">EFEITO!$J$567*EFEITO!$Y$514</f>
        <v>112588.11821290955</v>
      </c>
      <c r="K567" s="74">
        <f ca="1">EFEITO!$L$567*EFEITO!$Z$514</f>
        <v>380302.08447699551</v>
      </c>
      <c r="L567" s="74">
        <f>EFEITO!$N$567*EFEITO!$AA$514</f>
        <v>1003054.9701884488</v>
      </c>
      <c r="M567" s="74">
        <f ca="1">$J$567-EFEITO!$K$567*EFEITO!$Y$567</f>
        <v>10132.930639161845</v>
      </c>
      <c r="N567" s="74">
        <f ca="1">$K$567-EFEITO!$M$567*EFEITO!$Z$567</f>
        <v>34227.187602929538</v>
      </c>
      <c r="O567" s="74">
        <f>$L$567-EFEITO!$O$567*EFEITO!$AA$567</f>
        <v>90274.947316960315</v>
      </c>
      <c r="P567" s="57"/>
      <c r="Q567" s="57"/>
      <c r="R567" s="57"/>
      <c r="S567" s="57"/>
      <c r="T567" s="57"/>
      <c r="U567" s="57"/>
      <c r="V567" s="57"/>
      <c r="W567" s="57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</row>
    <row r="568" spans="1:36" ht="11.25" customHeight="1" x14ac:dyDescent="0.2">
      <c r="A568" s="53" t="s">
        <v>21</v>
      </c>
      <c r="B568" s="53" t="s">
        <v>33</v>
      </c>
      <c r="C568" s="53" t="s">
        <v>41</v>
      </c>
      <c r="D568" s="53" t="s">
        <v>52</v>
      </c>
      <c r="E568" s="53" t="s">
        <v>53</v>
      </c>
      <c r="F568" s="53" t="s">
        <v>25</v>
      </c>
      <c r="G568" s="53" t="s">
        <v>25</v>
      </c>
      <c r="H568" s="53" t="s">
        <v>36</v>
      </c>
      <c r="I568" s="73">
        <v>43831</v>
      </c>
      <c r="J568" s="74">
        <f ca="1">EFEITO!$J$568*EFEITO!$Y$514</f>
        <v>112324.71400999054</v>
      </c>
      <c r="K568" s="74">
        <f ca="1">EFEITO!$L$568*EFEITO!$Z$514</f>
        <v>400431.88780645194</v>
      </c>
      <c r="L568" s="74">
        <f>EFEITO!$N$568*EFEITO!$AA$514</f>
        <v>1056147.7616894343</v>
      </c>
      <c r="M568" s="74">
        <f ca="1">$J$568-EFEITO!$K$568*EFEITO!$Y$568</f>
        <v>10109.224260899151</v>
      </c>
      <c r="N568" s="74">
        <f ca="1">$K$568-EFEITO!$M$568*EFEITO!$Z$568</f>
        <v>36038.869902580627</v>
      </c>
      <c r="O568" s="74">
        <f>$L$568-EFEITO!$O$568*EFEITO!$AA$568</f>
        <v>95053.298552049091</v>
      </c>
      <c r="P568" s="57"/>
      <c r="Q568" s="57"/>
      <c r="R568" s="57"/>
      <c r="S568" s="57"/>
      <c r="T568" s="57"/>
      <c r="U568" s="57"/>
      <c r="V568" s="57"/>
      <c r="W568" s="57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</row>
    <row r="569" spans="1:36" ht="11.25" customHeight="1" x14ac:dyDescent="0.2">
      <c r="A569" s="53" t="s">
        <v>21</v>
      </c>
      <c r="B569" s="53" t="s">
        <v>33</v>
      </c>
      <c r="C569" s="53" t="s">
        <v>41</v>
      </c>
      <c r="D569" s="53" t="s">
        <v>52</v>
      </c>
      <c r="E569" s="53" t="s">
        <v>53</v>
      </c>
      <c r="F569" s="53" t="s">
        <v>25</v>
      </c>
      <c r="G569" s="53" t="s">
        <v>25</v>
      </c>
      <c r="H569" s="53" t="s">
        <v>36</v>
      </c>
      <c r="I569" s="73">
        <v>43862</v>
      </c>
      <c r="J569" s="74">
        <f ca="1">EFEITO!$J$569*EFEITO!$Y$514</f>
        <v>112840.07005917993</v>
      </c>
      <c r="K569" s="74">
        <f ca="1">EFEITO!$L$569*EFEITO!$Z$514</f>
        <v>417199.28476856527</v>
      </c>
      <c r="L569" s="74">
        <f>EFEITO!$N$569*EFEITO!$AA$514</f>
        <v>1100372.1336991224</v>
      </c>
      <c r="M569" s="74">
        <f ca="1">$J$569-EFEITO!$K$569*EFEITO!$Y$569</f>
        <v>10155.60630532619</v>
      </c>
      <c r="N569" s="74">
        <f ca="1">$K$569-EFEITO!$M$569*EFEITO!$Z$569</f>
        <v>37547.935629170795</v>
      </c>
      <c r="O569" s="74">
        <f>$L$569-EFEITO!$O$569*EFEITO!$AA$569</f>
        <v>99033.492032921058</v>
      </c>
      <c r="P569" s="57"/>
      <c r="Q569" s="57"/>
      <c r="R569" s="57"/>
      <c r="S569" s="57"/>
      <c r="T569" s="57"/>
      <c r="U569" s="57"/>
      <c r="V569" s="57"/>
      <c r="W569" s="57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</row>
    <row r="570" spans="1:36" ht="11.25" customHeight="1" x14ac:dyDescent="0.2">
      <c r="A570" s="53" t="s">
        <v>21</v>
      </c>
      <c r="B570" s="53" t="s">
        <v>33</v>
      </c>
      <c r="C570" s="53" t="s">
        <v>41</v>
      </c>
      <c r="D570" s="53" t="s">
        <v>52</v>
      </c>
      <c r="E570" s="53" t="s">
        <v>53</v>
      </c>
      <c r="F570" s="53" t="s">
        <v>25</v>
      </c>
      <c r="G570" s="53" t="s">
        <v>25</v>
      </c>
      <c r="H570" s="53" t="s">
        <v>36</v>
      </c>
      <c r="I570" s="73">
        <v>43891</v>
      </c>
      <c r="J570" s="74">
        <f ca="1">EFEITO!$J$570*EFEITO!$Y$514</f>
        <v>113046.21247885568</v>
      </c>
      <c r="K570" s="74">
        <f ca="1">EFEITO!$L$570*EFEITO!$Z$514</f>
        <v>390151.42595320329</v>
      </c>
      <c r="L570" s="74">
        <f>EFEITO!$N$570*EFEITO!$AA$514</f>
        <v>1029032.8212811663</v>
      </c>
      <c r="M570" s="74">
        <f ca="1">$J$570-EFEITO!$K$570*EFEITO!$Y$570</f>
        <v>10174.159123097008</v>
      </c>
      <c r="N570" s="74">
        <f ca="1">$K$570-EFEITO!$M$570*EFEITO!$Z$570</f>
        <v>35113.628335788264</v>
      </c>
      <c r="O570" s="74">
        <f>$L$570-EFEITO!$O$570*EFEITO!$AA$570</f>
        <v>92612.953915304854</v>
      </c>
      <c r="P570" s="57"/>
      <c r="Q570" s="57"/>
      <c r="R570" s="57"/>
      <c r="S570" s="57"/>
      <c r="T570" s="57"/>
      <c r="U570" s="57"/>
      <c r="V570" s="57"/>
      <c r="W570" s="57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</row>
    <row r="571" spans="1:36" ht="11.25" customHeight="1" x14ac:dyDescent="0.2">
      <c r="A571" s="53" t="s">
        <v>21</v>
      </c>
      <c r="B571" s="53" t="s">
        <v>33</v>
      </c>
      <c r="C571" s="53" t="s">
        <v>41</v>
      </c>
      <c r="D571" s="53" t="s">
        <v>52</v>
      </c>
      <c r="E571" s="53" t="s">
        <v>53</v>
      </c>
      <c r="F571" s="53" t="s">
        <v>25</v>
      </c>
      <c r="G571" s="53" t="s">
        <v>25</v>
      </c>
      <c r="H571" s="53" t="s">
        <v>36</v>
      </c>
      <c r="I571" s="73">
        <v>43922</v>
      </c>
      <c r="J571" s="74">
        <f ca="1">EFEITO!$J$571*EFEITO!$Y$514</f>
        <v>112931.68891236915</v>
      </c>
      <c r="K571" s="74">
        <f ca="1">EFEITO!$L$571*EFEITO!$Z$514</f>
        <v>422260.8795484638</v>
      </c>
      <c r="L571" s="74">
        <f>EFEITO!$N$571*EFEITO!$AA$514</f>
        <v>1113722.1993661018</v>
      </c>
      <c r="M571" s="74">
        <f ca="1">$J$571-EFEITO!$K$571*EFEITO!$Y$571</f>
        <v>10163.852002113214</v>
      </c>
      <c r="N571" s="74">
        <f ca="1">$K$571-EFEITO!$M$571*EFEITO!$Z$571</f>
        <v>38003.479159361683</v>
      </c>
      <c r="O571" s="74">
        <f>$L$571-EFEITO!$O$571*EFEITO!$AA$571</f>
        <v>100234.99794294895</v>
      </c>
      <c r="P571" s="57"/>
      <c r="Q571" s="57"/>
      <c r="R571" s="57"/>
      <c r="S571" s="57"/>
      <c r="T571" s="57"/>
      <c r="U571" s="57"/>
      <c r="V571" s="57"/>
      <c r="W571" s="57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</row>
    <row r="572" spans="1:36" ht="11.25" customHeight="1" x14ac:dyDescent="0.2">
      <c r="A572" s="53" t="s">
        <v>21</v>
      </c>
      <c r="B572" s="53" t="s">
        <v>33</v>
      </c>
      <c r="C572" s="53" t="s">
        <v>41</v>
      </c>
      <c r="D572" s="53" t="s">
        <v>52</v>
      </c>
      <c r="E572" s="53" t="s">
        <v>53</v>
      </c>
      <c r="F572" s="53" t="s">
        <v>25</v>
      </c>
      <c r="G572" s="53" t="s">
        <v>25</v>
      </c>
      <c r="H572" s="53" t="s">
        <v>36</v>
      </c>
      <c r="I572" s="73">
        <v>43952</v>
      </c>
      <c r="J572" s="74">
        <f ca="1">EFEITO!$J$572*EFEITO!$Y$514</f>
        <v>112748.4512059907</v>
      </c>
      <c r="K572" s="74">
        <f ca="1">EFEITO!$L$572*EFEITO!$Z$514</f>
        <v>403705.19946331443</v>
      </c>
      <c r="L572" s="74">
        <f>EFEITO!$N$572*EFEITO!$AA$514</f>
        <v>1064781.1919555529</v>
      </c>
      <c r="M572" s="74">
        <f ca="1">$J$572-EFEITO!$K$572*EFEITO!$Y$572</f>
        <v>10147.360608539151</v>
      </c>
      <c r="N572" s="74">
        <f ca="1">$K$572-EFEITO!$M$572*EFEITO!$Z$572</f>
        <v>36333.467951698287</v>
      </c>
      <c r="O572" s="74">
        <f>$L$572-EFEITO!$O$572*EFEITO!$AA$572</f>
        <v>95830.307275999803</v>
      </c>
      <c r="P572" s="57"/>
      <c r="Q572" s="57"/>
      <c r="R572" s="57"/>
      <c r="S572" s="57"/>
      <c r="T572" s="57"/>
      <c r="U572" s="57"/>
      <c r="V572" s="57"/>
      <c r="W572" s="57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</row>
    <row r="573" spans="1:36" ht="11.25" customHeight="1" x14ac:dyDescent="0.2">
      <c r="A573" s="53" t="s">
        <v>21</v>
      </c>
      <c r="B573" s="53" t="s">
        <v>33</v>
      </c>
      <c r="C573" s="53" t="s">
        <v>41</v>
      </c>
      <c r="D573" s="53" t="s">
        <v>52</v>
      </c>
      <c r="E573" s="53" t="s">
        <v>53</v>
      </c>
      <c r="F573" s="53" t="s">
        <v>25</v>
      </c>
      <c r="G573" s="53" t="s">
        <v>25</v>
      </c>
      <c r="H573" s="53" t="s">
        <v>36</v>
      </c>
      <c r="I573" s="73">
        <v>43983</v>
      </c>
      <c r="J573" s="74">
        <f ca="1">EFEITO!$J$573*EFEITO!$Y$514</f>
        <v>113000.40305226107</v>
      </c>
      <c r="K573" s="74">
        <f ca="1">EFEITO!$L$573*EFEITO!$Z$514</f>
        <v>411436.39734123915</v>
      </c>
      <c r="L573" s="74">
        <f>EFEITO!$N$573*EFEITO!$AA$514</f>
        <v>1085172.3935121456</v>
      </c>
      <c r="M573" s="74">
        <f ca="1">$J$573-EFEITO!$K$573*EFEITO!$Y$573</f>
        <v>10170.036274703481</v>
      </c>
      <c r="N573" s="74">
        <f ca="1">$K$573-EFEITO!$M$573*EFEITO!$Z$573</f>
        <v>37029.275760711462</v>
      </c>
      <c r="O573" s="74">
        <f>$L$573-EFEITO!$O$573*EFEITO!$AA$573</f>
        <v>97665.515416093054</v>
      </c>
      <c r="P573" s="57"/>
      <c r="Q573" s="57"/>
      <c r="R573" s="57"/>
      <c r="S573" s="57"/>
      <c r="T573" s="57"/>
      <c r="U573" s="57"/>
      <c r="V573" s="57"/>
      <c r="W573" s="57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</row>
    <row r="574" spans="1:36" ht="11.25" customHeight="1" x14ac:dyDescent="0.2">
      <c r="A574" s="53" t="s">
        <v>21</v>
      </c>
      <c r="B574" s="53" t="s">
        <v>33</v>
      </c>
      <c r="C574" s="53" t="s">
        <v>41</v>
      </c>
      <c r="D574" s="53" t="s">
        <v>52</v>
      </c>
      <c r="E574" s="53" t="s">
        <v>53</v>
      </c>
      <c r="F574" s="53" t="s">
        <v>25</v>
      </c>
      <c r="G574" s="53" t="s">
        <v>25</v>
      </c>
      <c r="H574" s="53" t="s">
        <v>36</v>
      </c>
      <c r="I574" s="73">
        <v>44013</v>
      </c>
      <c r="J574" s="74">
        <f ca="1">EFEITO!$J$574*EFEITO!$Y$514</f>
        <v>112427.78521982842</v>
      </c>
      <c r="K574" s="74">
        <f ca="1">EFEITO!$L$574*EFEITO!$Z$514</f>
        <v>394780.41252690763</v>
      </c>
      <c r="L574" s="74">
        <f>EFEITO!$N$574*EFEITO!$AA$514</f>
        <v>1041241.8734510357</v>
      </c>
      <c r="M574" s="74">
        <f ca="1">$J$574-EFEITO!$K$574*EFEITO!$Y$574</f>
        <v>10118.500669784567</v>
      </c>
      <c r="N574" s="74">
        <f ca="1">$K$574-EFEITO!$M$574*EFEITO!$Z$574</f>
        <v>35530.237127421657</v>
      </c>
      <c r="O574" s="74">
        <f>$L$574-EFEITO!$O$574*EFEITO!$AA$574</f>
        <v>93711.768610593164</v>
      </c>
      <c r="P574" s="57"/>
      <c r="Q574" s="57"/>
      <c r="R574" s="57"/>
      <c r="S574" s="57"/>
      <c r="T574" s="57"/>
      <c r="U574" s="57"/>
      <c r="V574" s="57"/>
      <c r="W574" s="57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</row>
    <row r="575" spans="1:36" ht="11.25" customHeight="1" x14ac:dyDescent="0.2">
      <c r="A575" s="53" t="s">
        <v>21</v>
      </c>
      <c r="B575" s="53" t="s">
        <v>33</v>
      </c>
      <c r="C575" s="53" t="s">
        <v>41</v>
      </c>
      <c r="D575" s="53" t="s">
        <v>52</v>
      </c>
      <c r="E575" s="53" t="s">
        <v>53</v>
      </c>
      <c r="F575" s="53" t="s">
        <v>25</v>
      </c>
      <c r="G575" s="53" t="s">
        <v>25</v>
      </c>
      <c r="H575" s="53" t="s">
        <v>36</v>
      </c>
      <c r="I575" s="73">
        <v>44044</v>
      </c>
      <c r="J575" s="74">
        <f ca="1">EFEITO!$J$575*EFEITO!$Y$514</f>
        <v>112485.04700307168</v>
      </c>
      <c r="K575" s="74">
        <f ca="1">EFEITO!$L$575*EFEITO!$Z$514</f>
        <v>395527.65283936693</v>
      </c>
      <c r="L575" s="74">
        <f>EFEITO!$N$575*EFEITO!$AA$514</f>
        <v>1043212.7359309725</v>
      </c>
      <c r="M575" s="74">
        <f ca="1">$J$575-EFEITO!$K$575*EFEITO!$Y$575</f>
        <v>10123.654230276443</v>
      </c>
      <c r="N575" s="74">
        <f ca="1">$K$575-EFEITO!$M$575*EFEITO!$Z$575</f>
        <v>35597.48875554296</v>
      </c>
      <c r="O575" s="74">
        <f>$L$575-EFEITO!$O$575*EFEITO!$AA$575</f>
        <v>93889.146233787411</v>
      </c>
      <c r="P575" s="57"/>
      <c r="Q575" s="57"/>
      <c r="R575" s="57"/>
      <c r="S575" s="57"/>
      <c r="T575" s="57"/>
      <c r="U575" s="57"/>
      <c r="V575" s="57"/>
      <c r="W575" s="57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</row>
    <row r="576" spans="1:36" ht="11.25" customHeight="1" x14ac:dyDescent="0.2">
      <c r="A576" s="53" t="s">
        <v>59</v>
      </c>
      <c r="B576" s="53" t="s">
        <v>33</v>
      </c>
      <c r="C576" s="53" t="s">
        <v>41</v>
      </c>
      <c r="D576" s="53" t="s">
        <v>52</v>
      </c>
      <c r="E576" s="53" t="s">
        <v>53</v>
      </c>
      <c r="F576" s="53" t="s">
        <v>25</v>
      </c>
      <c r="G576" s="53" t="s">
        <v>25</v>
      </c>
      <c r="H576" s="53" t="s">
        <v>36</v>
      </c>
      <c r="I576" s="73">
        <v>44075</v>
      </c>
      <c r="J576" s="74">
        <f ca="1">EFEITO!$J$576*EFEITO!$Y$514</f>
        <v>112485.04700307168</v>
      </c>
      <c r="K576" s="74">
        <f ca="1">EFEITO!$L$576*EFEITO!$Z$514</f>
        <v>395527.65283936693</v>
      </c>
      <c r="L576" s="74">
        <f>EFEITO!$N$576*EFEITO!$AA$514</f>
        <v>1043212.7359309725</v>
      </c>
      <c r="M576" s="74">
        <f ca="1">$J$576-EFEITO!$K$576*EFEITO!$Y$576</f>
        <v>10123.654230276443</v>
      </c>
      <c r="N576" s="74">
        <f ca="1">$K$576-EFEITO!$M$576*EFEITO!$Z$576</f>
        <v>35597.48875554296</v>
      </c>
      <c r="O576" s="74">
        <f>$L$576-EFEITO!$O$576*EFEITO!$AA$576</f>
        <v>93889.146233787411</v>
      </c>
      <c r="P576" s="57"/>
      <c r="Q576" s="57"/>
      <c r="R576" s="57"/>
      <c r="S576" s="57"/>
      <c r="T576" s="57"/>
      <c r="U576" s="57"/>
      <c r="V576" s="57"/>
      <c r="W576" s="57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</row>
    <row r="577" spans="1:36" ht="11.25" customHeight="1" x14ac:dyDescent="0.2">
      <c r="A577" s="53" t="s">
        <v>21</v>
      </c>
      <c r="B577" s="53" t="s">
        <v>33</v>
      </c>
      <c r="C577" s="53" t="s">
        <v>41</v>
      </c>
      <c r="D577" s="53" t="s">
        <v>52</v>
      </c>
      <c r="E577" s="53" t="s">
        <v>53</v>
      </c>
      <c r="F577" s="53" t="s">
        <v>25</v>
      </c>
      <c r="G577" s="53" t="s">
        <v>25</v>
      </c>
      <c r="H577" s="53" t="s">
        <v>35</v>
      </c>
      <c r="I577" s="73">
        <v>43739</v>
      </c>
      <c r="J577" s="74">
        <f ca="1">EFEITO!$J$577*EFEITO!$Y$538</f>
        <v>216233.36999759171</v>
      </c>
      <c r="K577" s="74">
        <f ca="1">EFEITO!$L$577*EFEITO!$Z$538</f>
        <v>34127.300004731413</v>
      </c>
      <c r="L577" s="74">
        <f>EFEITO!$N$577*EFEITO!$AA$538</f>
        <v>146497.26153977177</v>
      </c>
      <c r="M577" s="74">
        <f ca="1">$J$577-EFEITO!$K$577*EFEITO!$Y$577</f>
        <v>19461.003299783246</v>
      </c>
      <c r="N577" s="74">
        <f ca="1">$K$577-EFEITO!$M$577*EFEITO!$Z$577</f>
        <v>3071.4570004258239</v>
      </c>
      <c r="O577" s="74">
        <f>$L$577-EFEITO!$O$577*EFEITO!$AA$577</f>
        <v>13184.753538579447</v>
      </c>
      <c r="P577" s="57"/>
      <c r="Q577" s="57"/>
      <c r="R577" s="57"/>
      <c r="S577" s="57"/>
      <c r="T577" s="57"/>
      <c r="U577" s="57"/>
      <c r="V577" s="57"/>
      <c r="W577" s="57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</row>
    <row r="578" spans="1:36" ht="11.25" customHeight="1" x14ac:dyDescent="0.2">
      <c r="A578" s="53" t="s">
        <v>21</v>
      </c>
      <c r="B578" s="53" t="s">
        <v>33</v>
      </c>
      <c r="C578" s="53" t="s">
        <v>41</v>
      </c>
      <c r="D578" s="53" t="s">
        <v>52</v>
      </c>
      <c r="E578" s="53" t="s">
        <v>53</v>
      </c>
      <c r="F578" s="53" t="s">
        <v>25</v>
      </c>
      <c r="G578" s="53" t="s">
        <v>25</v>
      </c>
      <c r="H578" s="53" t="s">
        <v>35</v>
      </c>
      <c r="I578" s="73">
        <v>43770</v>
      </c>
      <c r="J578" s="74">
        <f ca="1">EFEITO!$J$578*EFEITO!$Y$538</f>
        <v>216995.42592709864</v>
      </c>
      <c r="K578" s="74">
        <f ca="1">EFEITO!$L$578*EFEITO!$Z$538</f>
        <v>35676.130153430524</v>
      </c>
      <c r="L578" s="74">
        <f>EFEITO!$N$578*EFEITO!$AA$538</f>
        <v>153145.87937192374</v>
      </c>
      <c r="M578" s="74">
        <f ca="1">$J$578-EFEITO!$K$578*EFEITO!$Y$578</f>
        <v>19529.588333438849</v>
      </c>
      <c r="N578" s="74">
        <f ca="1">$K$578-EFEITO!$M$578*EFEITO!$Z$578</f>
        <v>3210.8517138087409</v>
      </c>
      <c r="O578" s="74">
        <f>$L$578-EFEITO!$O$578*EFEITO!$AA$578</f>
        <v>13783.129143473139</v>
      </c>
      <c r="P578" s="57"/>
      <c r="Q578" s="57"/>
      <c r="R578" s="57"/>
      <c r="S578" s="57"/>
      <c r="T578" s="57"/>
      <c r="U578" s="57"/>
      <c r="V578" s="57"/>
      <c r="W578" s="57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</row>
    <row r="579" spans="1:36" ht="11.25" customHeight="1" x14ac:dyDescent="0.2">
      <c r="A579" s="53" t="s">
        <v>21</v>
      </c>
      <c r="B579" s="53" t="s">
        <v>33</v>
      </c>
      <c r="C579" s="53" t="s">
        <v>41</v>
      </c>
      <c r="D579" s="53" t="s">
        <v>52</v>
      </c>
      <c r="E579" s="53" t="s">
        <v>53</v>
      </c>
      <c r="F579" s="53" t="s">
        <v>25</v>
      </c>
      <c r="G579" s="53" t="s">
        <v>25</v>
      </c>
      <c r="H579" s="53" t="s">
        <v>35</v>
      </c>
      <c r="I579" s="73">
        <v>43800</v>
      </c>
      <c r="J579" s="74">
        <f ca="1">EFEITO!$J$579*EFEITO!$Y$538</f>
        <v>216124.504864805</v>
      </c>
      <c r="K579" s="74">
        <f ca="1">EFEITO!$L$579*EFEITO!$Z$538</f>
        <v>31714.653753435236</v>
      </c>
      <c r="L579" s="74">
        <f>EFEITO!$N$579*EFEITO!$AA$538</f>
        <v>136140.56561509904</v>
      </c>
      <c r="M579" s="74">
        <f ca="1">$J$579-EFEITO!$K$579*EFEITO!$Y$579</f>
        <v>19451.205437832425</v>
      </c>
      <c r="N579" s="74">
        <f ca="1">$K$579-EFEITO!$M$579*EFEITO!$Z$579</f>
        <v>2854.3188378091691</v>
      </c>
      <c r="O579" s="74">
        <f>$L$579-EFEITO!$O$579*EFEITO!$AA$579</f>
        <v>12252.650905358925</v>
      </c>
      <c r="P579" s="57"/>
      <c r="Q579" s="57"/>
      <c r="R579" s="57"/>
      <c r="S579" s="57"/>
      <c r="T579" s="57"/>
      <c r="U579" s="57"/>
      <c r="V579" s="57"/>
      <c r="W579" s="57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</row>
    <row r="580" spans="1:36" ht="11.25" customHeight="1" x14ac:dyDescent="0.2">
      <c r="A580" s="53" t="s">
        <v>21</v>
      </c>
      <c r="B580" s="53" t="s">
        <v>33</v>
      </c>
      <c r="C580" s="53" t="s">
        <v>41</v>
      </c>
      <c r="D580" s="53" t="s">
        <v>52</v>
      </c>
      <c r="E580" s="53" t="s">
        <v>53</v>
      </c>
      <c r="F580" s="53" t="s">
        <v>25</v>
      </c>
      <c r="G580" s="53" t="s">
        <v>25</v>
      </c>
      <c r="H580" s="53" t="s">
        <v>35</v>
      </c>
      <c r="I580" s="73">
        <v>43831</v>
      </c>
      <c r="J580" s="74">
        <f ca="1">EFEITO!$J$580*EFEITO!$Y$538</f>
        <v>215580.1792008715</v>
      </c>
      <c r="K580" s="74">
        <f ca="1">EFEITO!$L$580*EFEITO!$Z$538</f>
        <v>33165.812294181123</v>
      </c>
      <c r="L580" s="74">
        <f>EFEITO!$N$580*EFEITO!$AA$538</f>
        <v>142369.91139545231</v>
      </c>
      <c r="M580" s="74">
        <f ca="1">$J$580-EFEITO!$K$580*EFEITO!$Y$580</f>
        <v>19402.216128078435</v>
      </c>
      <c r="N580" s="74">
        <f ca="1">$K$580-EFEITO!$M$580*EFEITO!$Z$580</f>
        <v>2984.9231064762971</v>
      </c>
      <c r="O580" s="74">
        <f>$L$580-EFEITO!$O$580*EFEITO!$AA$580</f>
        <v>12813.292025590708</v>
      </c>
      <c r="P580" s="57"/>
      <c r="Q580" s="57"/>
      <c r="R580" s="57"/>
      <c r="S580" s="57"/>
      <c r="T580" s="57"/>
      <c r="U580" s="57"/>
      <c r="V580" s="57"/>
      <c r="W580" s="57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</row>
    <row r="581" spans="1:36" ht="11.25" customHeight="1" x14ac:dyDescent="0.2">
      <c r="A581" s="53" t="s">
        <v>21</v>
      </c>
      <c r="B581" s="53" t="s">
        <v>33</v>
      </c>
      <c r="C581" s="53" t="s">
        <v>41</v>
      </c>
      <c r="D581" s="53" t="s">
        <v>52</v>
      </c>
      <c r="E581" s="53" t="s">
        <v>53</v>
      </c>
      <c r="F581" s="53" t="s">
        <v>25</v>
      </c>
      <c r="G581" s="53" t="s">
        <v>25</v>
      </c>
      <c r="H581" s="53" t="s">
        <v>35</v>
      </c>
      <c r="I581" s="73">
        <v>43862</v>
      </c>
      <c r="J581" s="74">
        <f ca="1">EFEITO!$J$581*EFEITO!$Y$538</f>
        <v>214981.42097054463</v>
      </c>
      <c r="K581" s="74">
        <f ca="1">EFEITO!$L$581*EFEITO!$Z$538</f>
        <v>35189.34746217978</v>
      </c>
      <c r="L581" s="74">
        <f>EFEITO!$N$581*EFEITO!$AA$538</f>
        <v>151056.28156537859</v>
      </c>
      <c r="M581" s="74">
        <f ca="1">$J$581-EFEITO!$K$581*EFEITO!$Y$581</f>
        <v>19348.327887349005</v>
      </c>
      <c r="N581" s="74">
        <f ca="1">$K$581-EFEITO!$M$581*EFEITO!$Z$581</f>
        <v>3167.0412715961793</v>
      </c>
      <c r="O581" s="74">
        <f>$L$581-EFEITO!$O$581*EFEITO!$AA$581</f>
        <v>13595.065340884059</v>
      </c>
      <c r="P581" s="57"/>
      <c r="Q581" s="57"/>
      <c r="R581" s="57"/>
      <c r="S581" s="57"/>
      <c r="T581" s="57"/>
      <c r="U581" s="57"/>
      <c r="V581" s="57"/>
      <c r="W581" s="57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</row>
    <row r="582" spans="1:36" ht="11.25" customHeight="1" x14ac:dyDescent="0.2">
      <c r="A582" s="53" t="s">
        <v>21</v>
      </c>
      <c r="B582" s="53" t="s">
        <v>33</v>
      </c>
      <c r="C582" s="53" t="s">
        <v>41</v>
      </c>
      <c r="D582" s="53" t="s">
        <v>52</v>
      </c>
      <c r="E582" s="53" t="s">
        <v>53</v>
      </c>
      <c r="F582" s="53" t="s">
        <v>25</v>
      </c>
      <c r="G582" s="53" t="s">
        <v>25</v>
      </c>
      <c r="H582" s="53" t="s">
        <v>35</v>
      </c>
      <c r="I582" s="73">
        <v>43891</v>
      </c>
      <c r="J582" s="74">
        <f ca="1">EFEITO!$J$582*EFEITO!$Y$538</f>
        <v>215906.7745992316</v>
      </c>
      <c r="K582" s="74">
        <f ca="1">EFEITO!$L$582*EFEITO!$Z$538</f>
        <v>32064.731201296254</v>
      </c>
      <c r="L582" s="74">
        <f>EFEITO!$N$582*EFEITO!$AA$538</f>
        <v>137643.33282584706</v>
      </c>
      <c r="M582" s="74">
        <f ca="1">$J$582-EFEITO!$K$582*EFEITO!$Y$582</f>
        <v>19431.60971393084</v>
      </c>
      <c r="N582" s="74">
        <f ca="1">$K$582-EFEITO!$M$582*EFEITO!$Z$582</f>
        <v>2885.8258081166605</v>
      </c>
      <c r="O582" s="74">
        <f>$L$582-EFEITO!$O$582*EFEITO!$AA$582</f>
        <v>12387.899954326233</v>
      </c>
      <c r="P582" s="57"/>
      <c r="Q582" s="57"/>
      <c r="R582" s="57"/>
      <c r="S582" s="57"/>
      <c r="T582" s="57"/>
      <c r="U582" s="57"/>
      <c r="V582" s="57"/>
      <c r="W582" s="57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</row>
    <row r="583" spans="1:36" ht="11.25" customHeight="1" x14ac:dyDescent="0.2">
      <c r="A583" s="53" t="s">
        <v>21</v>
      </c>
      <c r="B583" s="53" t="s">
        <v>33</v>
      </c>
      <c r="C583" s="53" t="s">
        <v>41</v>
      </c>
      <c r="D583" s="53" t="s">
        <v>52</v>
      </c>
      <c r="E583" s="53" t="s">
        <v>53</v>
      </c>
      <c r="F583" s="53" t="s">
        <v>25</v>
      </c>
      <c r="G583" s="53" t="s">
        <v>25</v>
      </c>
      <c r="H583" s="53" t="s">
        <v>35</v>
      </c>
      <c r="I583" s="73">
        <v>43922</v>
      </c>
      <c r="J583" s="74">
        <f ca="1">EFEITO!$J$583*EFEITO!$Y$538</f>
        <v>216505.53282955848</v>
      </c>
      <c r="K583" s="74">
        <f ca="1">EFEITO!$L$583*EFEITO!$Z$538</f>
        <v>36473.256502210068</v>
      </c>
      <c r="L583" s="74">
        <f>EFEITO!$N$583*EFEITO!$AA$538</f>
        <v>156567.680310797</v>
      </c>
      <c r="M583" s="74">
        <f ca="1">$J$583-EFEITO!$K$583*EFEITO!$Y$583</f>
        <v>19485.497954660241</v>
      </c>
      <c r="N583" s="74">
        <f ca="1">$K$583-EFEITO!$M$583*EFEITO!$Z$583</f>
        <v>3282.5930851989033</v>
      </c>
      <c r="O583" s="74">
        <f>$L$583-EFEITO!$O$583*EFEITO!$AA$583</f>
        <v>14091.091227971716</v>
      </c>
      <c r="P583" s="57"/>
      <c r="Q583" s="57"/>
      <c r="R583" s="57"/>
      <c r="S583" s="57"/>
      <c r="T583" s="57"/>
      <c r="U583" s="57"/>
      <c r="V583" s="57"/>
      <c r="W583" s="57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</row>
    <row r="584" spans="1:36" ht="11.25" customHeight="1" x14ac:dyDescent="0.2">
      <c r="A584" s="53" t="s">
        <v>21</v>
      </c>
      <c r="B584" s="53" t="s">
        <v>33</v>
      </c>
      <c r="C584" s="53" t="s">
        <v>41</v>
      </c>
      <c r="D584" s="53" t="s">
        <v>52</v>
      </c>
      <c r="E584" s="53" t="s">
        <v>53</v>
      </c>
      <c r="F584" s="53" t="s">
        <v>25</v>
      </c>
      <c r="G584" s="53" t="s">
        <v>25</v>
      </c>
      <c r="H584" s="53" t="s">
        <v>35</v>
      </c>
      <c r="I584" s="73">
        <v>43952</v>
      </c>
      <c r="J584" s="74">
        <f ca="1">EFEITO!$J$584*EFEITO!$Y$538</f>
        <v>215471.31406808479</v>
      </c>
      <c r="K584" s="74">
        <f ca="1">EFEITO!$L$584*EFEITO!$Z$538</f>
        <v>31472.83775632524</v>
      </c>
      <c r="L584" s="74">
        <f>EFEITO!$N$584*EFEITO!$AA$538</f>
        <v>135102.52916427483</v>
      </c>
      <c r="M584" s="74">
        <f ca="1">$J$584-EFEITO!$K$584*EFEITO!$Y$584</f>
        <v>19392.418266127614</v>
      </c>
      <c r="N584" s="74">
        <f ca="1">$K$584-EFEITO!$M$584*EFEITO!$Z$584</f>
        <v>2832.5553980692675</v>
      </c>
      <c r="O584" s="74">
        <f>$L$584-EFEITO!$O$584*EFEITO!$AA$584</f>
        <v>12159.227624784733</v>
      </c>
      <c r="P584" s="57"/>
      <c r="Q584" s="57"/>
      <c r="R584" s="57"/>
      <c r="S584" s="57"/>
      <c r="T584" s="57"/>
      <c r="U584" s="57"/>
      <c r="V584" s="57"/>
      <c r="W584" s="57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</row>
    <row r="585" spans="1:36" ht="11.25" customHeight="1" x14ac:dyDescent="0.2">
      <c r="A585" s="53" t="s">
        <v>21</v>
      </c>
      <c r="B585" s="53" t="s">
        <v>33</v>
      </c>
      <c r="C585" s="53" t="s">
        <v>41</v>
      </c>
      <c r="D585" s="53" t="s">
        <v>52</v>
      </c>
      <c r="E585" s="53" t="s">
        <v>53</v>
      </c>
      <c r="F585" s="53" t="s">
        <v>25</v>
      </c>
      <c r="G585" s="53" t="s">
        <v>25</v>
      </c>
      <c r="H585" s="53" t="s">
        <v>35</v>
      </c>
      <c r="I585" s="73">
        <v>43983</v>
      </c>
      <c r="J585" s="74">
        <f ca="1">EFEITO!$J$585*EFEITO!$Y$538</f>
        <v>215552.9629176748</v>
      </c>
      <c r="K585" s="74">
        <f ca="1">EFEITO!$L$585*EFEITO!$Z$538</f>
        <v>34701.952135395273</v>
      </c>
      <c r="L585" s="74">
        <f>EFEITO!$N$585*EFEITO!$AA$538</f>
        <v>148964.05391621465</v>
      </c>
      <c r="M585" s="74">
        <f ca="1">$J$585-EFEITO!$K$585*EFEITO!$Y$585</f>
        <v>19399.7666625907</v>
      </c>
      <c r="N585" s="74">
        <f ca="1">$K$585-EFEITO!$M$585*EFEITO!$Z$585</f>
        <v>3123.1756921855704</v>
      </c>
      <c r="O585" s="74">
        <f>$L$585-EFEITO!$O$585*EFEITO!$AA$585</f>
        <v>13406.76485245931</v>
      </c>
      <c r="P585" s="57"/>
      <c r="Q585" s="57"/>
      <c r="R585" s="57"/>
      <c r="S585" s="57"/>
      <c r="T585" s="57"/>
      <c r="U585" s="57"/>
      <c r="V585" s="57"/>
      <c r="W585" s="57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</row>
    <row r="586" spans="1:36" ht="11.25" customHeight="1" x14ac:dyDescent="0.2">
      <c r="A586" s="53" t="s">
        <v>21</v>
      </c>
      <c r="B586" s="53" t="s">
        <v>33</v>
      </c>
      <c r="C586" s="53" t="s">
        <v>41</v>
      </c>
      <c r="D586" s="53" t="s">
        <v>52</v>
      </c>
      <c r="E586" s="53" t="s">
        <v>53</v>
      </c>
      <c r="F586" s="53" t="s">
        <v>25</v>
      </c>
      <c r="G586" s="53" t="s">
        <v>25</v>
      </c>
      <c r="H586" s="53" t="s">
        <v>35</v>
      </c>
      <c r="I586" s="73">
        <v>44013</v>
      </c>
      <c r="J586" s="74">
        <f ca="1">EFEITO!$J$586*EFEITO!$Y$538</f>
        <v>215335.2326521014</v>
      </c>
      <c r="K586" s="74">
        <f ca="1">EFEITO!$L$586*EFEITO!$Z$538</f>
        <v>34457.423038064349</v>
      </c>
      <c r="L586" s="74">
        <f>EFEITO!$N$586*EFEITO!$AA$538</f>
        <v>147914.37101950718</v>
      </c>
      <c r="M586" s="74">
        <f ca="1">$J$586-EFEITO!$K$586*EFEITO!$Y$586</f>
        <v>19380.170938689116</v>
      </c>
      <c r="N586" s="74">
        <f ca="1">$K$586-EFEITO!$M$586*EFEITO!$Z$586</f>
        <v>3101.1680734257861</v>
      </c>
      <c r="O586" s="74">
        <f>$L$586-EFEITO!$O$586*EFEITO!$AA$586</f>
        <v>13312.293391755666</v>
      </c>
      <c r="P586" s="57"/>
      <c r="Q586" s="57"/>
      <c r="R586" s="57"/>
      <c r="S586" s="57"/>
      <c r="T586" s="57"/>
      <c r="U586" s="57"/>
      <c r="V586" s="57"/>
      <c r="W586" s="57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</row>
    <row r="587" spans="1:36" ht="11.25" customHeight="1" x14ac:dyDescent="0.2">
      <c r="A587" s="53" t="s">
        <v>21</v>
      </c>
      <c r="B587" s="53" t="s">
        <v>33</v>
      </c>
      <c r="C587" s="53" t="s">
        <v>41</v>
      </c>
      <c r="D587" s="53" t="s">
        <v>52</v>
      </c>
      <c r="E587" s="53" t="s">
        <v>53</v>
      </c>
      <c r="F587" s="53" t="s">
        <v>25</v>
      </c>
      <c r="G587" s="53" t="s">
        <v>25</v>
      </c>
      <c r="H587" s="53" t="s">
        <v>35</v>
      </c>
      <c r="I587" s="73">
        <v>44044</v>
      </c>
      <c r="J587" s="74">
        <f ca="1">EFEITO!$J$587*EFEITO!$Y$538</f>
        <v>215226.36751931469</v>
      </c>
      <c r="K587" s="74">
        <f ca="1">EFEITO!$L$587*EFEITO!$Z$538</f>
        <v>34562.883869232486</v>
      </c>
      <c r="L587" s="74">
        <f>EFEITO!$N$587*EFEITO!$AA$538</f>
        <v>148367.07964174499</v>
      </c>
      <c r="M587" s="74">
        <f ca="1">$J$587-EFEITO!$K$587*EFEITO!$Y$587</f>
        <v>19370.373076738295</v>
      </c>
      <c r="N587" s="74">
        <f ca="1">$K$587-EFEITO!$M$587*EFEITO!$Z$587</f>
        <v>3110.659548230924</v>
      </c>
      <c r="O587" s="74">
        <f>$L$587-EFEITO!$O$587*EFEITO!$AA$587</f>
        <v>13353.037167757051</v>
      </c>
      <c r="P587" s="57"/>
      <c r="Q587" s="57"/>
      <c r="R587" s="57"/>
      <c r="S587" s="57"/>
      <c r="T587" s="57"/>
      <c r="U587" s="57"/>
      <c r="V587" s="57"/>
      <c r="W587" s="57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</row>
    <row r="588" spans="1:36" ht="11.25" customHeight="1" x14ac:dyDescent="0.2">
      <c r="A588" s="53" t="s">
        <v>59</v>
      </c>
      <c r="B588" s="53" t="s">
        <v>33</v>
      </c>
      <c r="C588" s="53" t="s">
        <v>41</v>
      </c>
      <c r="D588" s="53" t="s">
        <v>52</v>
      </c>
      <c r="E588" s="53" t="s">
        <v>53</v>
      </c>
      <c r="F588" s="53" t="s">
        <v>25</v>
      </c>
      <c r="G588" s="53" t="s">
        <v>25</v>
      </c>
      <c r="H588" s="53" t="s">
        <v>35</v>
      </c>
      <c r="I588" s="73">
        <v>44075</v>
      </c>
      <c r="J588" s="74">
        <f ca="1">EFEITO!$J$588*EFEITO!$Y$538</f>
        <v>215226.36751931469</v>
      </c>
      <c r="K588" s="74">
        <f ca="1">EFEITO!$L$588*EFEITO!$Z$538</f>
        <v>34562.883869232486</v>
      </c>
      <c r="L588" s="74">
        <f>EFEITO!$N$588*EFEITO!$AA$538</f>
        <v>148367.07964174499</v>
      </c>
      <c r="M588" s="74">
        <f ca="1">$J$588-EFEITO!$K$588*EFEITO!$Y$588</f>
        <v>19370.373076738295</v>
      </c>
      <c r="N588" s="74">
        <f ca="1">$K$588-EFEITO!$M$588*EFEITO!$Z$588</f>
        <v>3110.659548230924</v>
      </c>
      <c r="O588" s="74">
        <f>$L$588-EFEITO!$O$588*EFEITO!$AA$588</f>
        <v>13353.037167757051</v>
      </c>
      <c r="P588" s="57"/>
      <c r="Q588" s="57"/>
      <c r="R588" s="57"/>
      <c r="S588" s="57"/>
      <c r="T588" s="57"/>
      <c r="U588" s="57"/>
      <c r="V588" s="57"/>
      <c r="W588" s="57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</row>
    <row r="589" spans="1:36" ht="11.25" customHeight="1" x14ac:dyDescent="0.2">
      <c r="A589" s="53" t="s">
        <v>21</v>
      </c>
      <c r="B589" s="53" t="s">
        <v>33</v>
      </c>
      <c r="C589" s="53" t="s">
        <v>41</v>
      </c>
      <c r="D589" s="53" t="s">
        <v>52</v>
      </c>
      <c r="E589" s="53" t="s">
        <v>58</v>
      </c>
      <c r="F589" s="53" t="s">
        <v>25</v>
      </c>
      <c r="G589" s="53" t="s">
        <v>25</v>
      </c>
      <c r="H589" s="53" t="s">
        <v>36</v>
      </c>
      <c r="I589" s="73">
        <v>43770</v>
      </c>
      <c r="J589" s="74">
        <f ca="1">EFEITO!$J$589*EFEITO!$Y$589</f>
        <v>395186.47087507579</v>
      </c>
      <c r="K589" s="74">
        <f ca="1">EFEITO!$L$589*EFEITO!$Z$589</f>
        <v>757598.84158346616</v>
      </c>
      <c r="L589" s="74">
        <f>EFEITO!$N$589*EFEITO!$AA$589</f>
        <v>1998183.3244599903</v>
      </c>
      <c r="M589" s="74">
        <f ca="1">$J$589-EFEITO!$K$589*EFEITO!$Y$589</f>
        <v>0</v>
      </c>
      <c r="N589" s="74">
        <f ca="1">$K$589-EFEITO!$M$589*EFEITO!$Z$589</f>
        <v>0</v>
      </c>
      <c r="O589" s="74">
        <f>$L$589-EFEITO!$O$589*EFEITO!$AA$589</f>
        <v>0</v>
      </c>
      <c r="P589" s="57"/>
      <c r="Q589" s="57"/>
      <c r="R589" s="57"/>
      <c r="S589" s="57"/>
      <c r="T589" s="57"/>
      <c r="U589" s="57"/>
      <c r="V589" s="57"/>
      <c r="W589" s="57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</row>
    <row r="590" spans="1:36" ht="11.25" customHeight="1" x14ac:dyDescent="0.2">
      <c r="A590" s="53" t="s">
        <v>21</v>
      </c>
      <c r="B590" s="53" t="s">
        <v>33</v>
      </c>
      <c r="C590" s="53" t="s">
        <v>41</v>
      </c>
      <c r="D590" s="53" t="s">
        <v>52</v>
      </c>
      <c r="E590" s="53" t="s">
        <v>58</v>
      </c>
      <c r="F590" s="53" t="s">
        <v>25</v>
      </c>
      <c r="G590" s="53" t="s">
        <v>25</v>
      </c>
      <c r="H590" s="53" t="s">
        <v>36</v>
      </c>
      <c r="I590" s="73">
        <v>43800</v>
      </c>
      <c r="J590" s="74">
        <f ca="1">EFEITO!$J$590*EFEITO!$Y$590</f>
        <v>178599.50193574658</v>
      </c>
      <c r="K590" s="74">
        <f ca="1">EFEITO!$L$590*EFEITO!$Z$590</f>
        <v>360106.11650989333</v>
      </c>
      <c r="L590" s="74">
        <f>EFEITO!$N$590*EFEITO!$AA$590</f>
        <v>949787.66802514985</v>
      </c>
      <c r="M590" s="74">
        <f ca="1">$J$590-EFEITO!$K$590*EFEITO!$Y$590</f>
        <v>0</v>
      </c>
      <c r="N590" s="74">
        <f ca="1">$K$590-EFEITO!$M$590*EFEITO!$Z$590</f>
        <v>0</v>
      </c>
      <c r="O590" s="74">
        <f>$L$590-EFEITO!$O$590*EFEITO!$AA$590</f>
        <v>0</v>
      </c>
      <c r="P590" s="57"/>
      <c r="Q590" s="57"/>
      <c r="R590" s="57"/>
      <c r="S590" s="57"/>
      <c r="T590" s="57"/>
      <c r="U590" s="57"/>
      <c r="V590" s="57"/>
      <c r="W590" s="57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</row>
    <row r="591" spans="1:36" ht="11.25" customHeight="1" x14ac:dyDescent="0.2">
      <c r="A591" s="53" t="s">
        <v>21</v>
      </c>
      <c r="B591" s="53" t="s">
        <v>33</v>
      </c>
      <c r="C591" s="53" t="s">
        <v>41</v>
      </c>
      <c r="D591" s="53" t="s">
        <v>52</v>
      </c>
      <c r="E591" s="53" t="s">
        <v>58</v>
      </c>
      <c r="F591" s="53" t="s">
        <v>25</v>
      </c>
      <c r="G591" s="53" t="s">
        <v>25</v>
      </c>
      <c r="H591" s="53" t="s">
        <v>36</v>
      </c>
      <c r="I591" s="73">
        <v>43831</v>
      </c>
      <c r="J591" s="74">
        <f ca="1">EFEITO!$J$591*EFEITO!$Y$591</f>
        <v>169975.87737931072</v>
      </c>
      <c r="K591" s="74">
        <f ca="1">EFEITO!$L$591*EFEITO!$Z$591</f>
        <v>334774.77494075592</v>
      </c>
      <c r="L591" s="74">
        <f>EFEITO!$N$591*EFEITO!$AA$591</f>
        <v>882975.7069563393</v>
      </c>
      <c r="M591" s="74">
        <f ca="1">$J$591-EFEITO!$K$591*EFEITO!$Y$591</f>
        <v>0</v>
      </c>
      <c r="N591" s="74">
        <f ca="1">$K$591-EFEITO!$M$591*EFEITO!$Z$591</f>
        <v>0</v>
      </c>
      <c r="O591" s="74">
        <f>$L$591-EFEITO!$O$591*EFEITO!$AA$591</f>
        <v>0</v>
      </c>
      <c r="P591" s="57"/>
      <c r="Q591" s="57"/>
      <c r="R591" s="57"/>
      <c r="S591" s="57"/>
      <c r="T591" s="57"/>
      <c r="U591" s="57"/>
      <c r="V591" s="57"/>
      <c r="W591" s="57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</row>
    <row r="592" spans="1:36" ht="11.25" customHeight="1" x14ac:dyDescent="0.2">
      <c r="A592" s="53" t="s">
        <v>21</v>
      </c>
      <c r="B592" s="53" t="s">
        <v>33</v>
      </c>
      <c r="C592" s="53" t="s">
        <v>41</v>
      </c>
      <c r="D592" s="53" t="s">
        <v>52</v>
      </c>
      <c r="E592" s="53" t="s">
        <v>58</v>
      </c>
      <c r="F592" s="53" t="s">
        <v>25</v>
      </c>
      <c r="G592" s="53" t="s">
        <v>25</v>
      </c>
      <c r="H592" s="53" t="s">
        <v>36</v>
      </c>
      <c r="I592" s="73">
        <v>43862</v>
      </c>
      <c r="J592" s="74">
        <f ca="1">EFEITO!$J$592*EFEITO!$Y$592</f>
        <v>185825.93898104675</v>
      </c>
      <c r="K592" s="74">
        <f ca="1">EFEITO!$L$592*EFEITO!$Z$592</f>
        <v>363796.89552333014</v>
      </c>
      <c r="L592" s="74">
        <f>EFEITO!$N$592*EFEITO!$AA$592</f>
        <v>959522.1774701511</v>
      </c>
      <c r="M592" s="74">
        <f ca="1">$J$592-EFEITO!$K$592*EFEITO!$Y$592</f>
        <v>0</v>
      </c>
      <c r="N592" s="74">
        <f ca="1">$K$592-EFEITO!$M$592*EFEITO!$Z$592</f>
        <v>0</v>
      </c>
      <c r="O592" s="74">
        <f>$L$592-EFEITO!$O$592*EFEITO!$AA$592</f>
        <v>0</v>
      </c>
      <c r="P592" s="57"/>
      <c r="Q592" s="57"/>
      <c r="R592" s="57"/>
      <c r="S592" s="57"/>
      <c r="T592" s="57"/>
      <c r="U592" s="57"/>
      <c r="V592" s="57"/>
      <c r="W592" s="57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</row>
    <row r="593" spans="1:36" ht="11.25" customHeight="1" x14ac:dyDescent="0.2">
      <c r="A593" s="53" t="s">
        <v>21</v>
      </c>
      <c r="B593" s="53" t="s">
        <v>33</v>
      </c>
      <c r="C593" s="53" t="s">
        <v>41</v>
      </c>
      <c r="D593" s="53" t="s">
        <v>52</v>
      </c>
      <c r="E593" s="53" t="s">
        <v>58</v>
      </c>
      <c r="F593" s="53" t="s">
        <v>25</v>
      </c>
      <c r="G593" s="53" t="s">
        <v>25</v>
      </c>
      <c r="H593" s="53" t="s">
        <v>36</v>
      </c>
      <c r="I593" s="73">
        <v>43891</v>
      </c>
      <c r="J593" s="74">
        <f ca="1">EFEITO!$J$593*EFEITO!$Y$593</f>
        <v>171567.75495347352</v>
      </c>
      <c r="K593" s="74">
        <f ca="1">EFEITO!$L$593*EFEITO!$Z$593</f>
        <v>351621.37692544784</v>
      </c>
      <c r="L593" s="74">
        <f>EFEITO!$N$593*EFEITO!$AA$593</f>
        <v>927408.98392554279</v>
      </c>
      <c r="M593" s="74">
        <f ca="1">$J$593-EFEITO!$K$593*EFEITO!$Y$593</f>
        <v>0</v>
      </c>
      <c r="N593" s="74">
        <f ca="1">$K$593-EFEITO!$M$593*EFEITO!$Z$593</f>
        <v>0</v>
      </c>
      <c r="O593" s="74">
        <f>$L$593-EFEITO!$O$593*EFEITO!$AA$593</f>
        <v>0</v>
      </c>
      <c r="P593" s="57"/>
      <c r="Q593" s="57"/>
      <c r="R593" s="57"/>
      <c r="S593" s="57"/>
      <c r="T593" s="57"/>
      <c r="U593" s="57"/>
      <c r="V593" s="57"/>
      <c r="W593" s="57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</row>
    <row r="594" spans="1:36" ht="11.25" customHeight="1" x14ac:dyDescent="0.2">
      <c r="A594" s="53" t="s">
        <v>21</v>
      </c>
      <c r="B594" s="53" t="s">
        <v>33</v>
      </c>
      <c r="C594" s="53" t="s">
        <v>41</v>
      </c>
      <c r="D594" s="53" t="s">
        <v>52</v>
      </c>
      <c r="E594" s="53" t="s">
        <v>58</v>
      </c>
      <c r="F594" s="53" t="s">
        <v>25</v>
      </c>
      <c r="G594" s="53" t="s">
        <v>25</v>
      </c>
      <c r="H594" s="53" t="s">
        <v>36</v>
      </c>
      <c r="I594" s="73">
        <v>43922</v>
      </c>
      <c r="J594" s="74">
        <f ca="1">EFEITO!$J$594*EFEITO!$Y$594</f>
        <v>170422.51928860819</v>
      </c>
      <c r="K594" s="74">
        <f ca="1">EFEITO!$L$594*EFEITO!$Z$594</f>
        <v>345908.72561188973</v>
      </c>
      <c r="L594" s="74">
        <f>EFEITO!$N$594*EFEITO!$AA$594</f>
        <v>912341.74257476709</v>
      </c>
      <c r="M594" s="74">
        <f ca="1">$J$594-EFEITO!$K$594*EFEITO!$Y$594</f>
        <v>0</v>
      </c>
      <c r="N594" s="74">
        <f ca="1">$K$594-EFEITO!$M$594*EFEITO!$Z$594</f>
        <v>0</v>
      </c>
      <c r="O594" s="74">
        <f>$L$594-EFEITO!$O$594*EFEITO!$AA$594</f>
        <v>0</v>
      </c>
      <c r="P594" s="57"/>
      <c r="Q594" s="57"/>
      <c r="R594" s="57"/>
      <c r="S594" s="57"/>
      <c r="T594" s="57"/>
      <c r="U594" s="57"/>
      <c r="V594" s="57"/>
      <c r="W594" s="57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</row>
    <row r="595" spans="1:36" ht="11.25" customHeight="1" x14ac:dyDescent="0.2">
      <c r="A595" s="53" t="s">
        <v>21</v>
      </c>
      <c r="B595" s="53" t="s">
        <v>33</v>
      </c>
      <c r="C595" s="53" t="s">
        <v>41</v>
      </c>
      <c r="D595" s="53" t="s">
        <v>52</v>
      </c>
      <c r="E595" s="53" t="s">
        <v>58</v>
      </c>
      <c r="F595" s="53" t="s">
        <v>25</v>
      </c>
      <c r="G595" s="53" t="s">
        <v>25</v>
      </c>
      <c r="H595" s="53" t="s">
        <v>36</v>
      </c>
      <c r="I595" s="73">
        <v>43952</v>
      </c>
      <c r="J595" s="74">
        <f ca="1">EFEITO!$J$595*EFEITO!$Y$595</f>
        <v>166013.36197887672</v>
      </c>
      <c r="K595" s="74">
        <f ca="1">EFEITO!$L$595*EFEITO!$Z$595</f>
        <v>313359.22466466797</v>
      </c>
      <c r="L595" s="74">
        <f>EFEITO!$N$595*EFEITO!$AA$595</f>
        <v>826491.73008492135</v>
      </c>
      <c r="M595" s="74">
        <f ca="1">$J$595-EFEITO!$K$595*EFEITO!$Y$595</f>
        <v>0</v>
      </c>
      <c r="N595" s="74">
        <f ca="1">$K$595-EFEITO!$M$595*EFEITO!$Z$595</f>
        <v>0</v>
      </c>
      <c r="O595" s="74">
        <f>$L$595-EFEITO!$O$595*EFEITO!$AA$595</f>
        <v>0</v>
      </c>
      <c r="P595" s="57"/>
      <c r="Q595" s="57"/>
      <c r="R595" s="57"/>
      <c r="S595" s="57"/>
      <c r="T595" s="57"/>
      <c r="U595" s="57"/>
      <c r="V595" s="57"/>
      <c r="W595" s="57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</row>
    <row r="596" spans="1:36" ht="11.25" customHeight="1" x14ac:dyDescent="0.2">
      <c r="A596" s="53" t="s">
        <v>21</v>
      </c>
      <c r="B596" s="53" t="s">
        <v>33</v>
      </c>
      <c r="C596" s="53" t="s">
        <v>41</v>
      </c>
      <c r="D596" s="53" t="s">
        <v>52</v>
      </c>
      <c r="E596" s="53" t="s">
        <v>58</v>
      </c>
      <c r="F596" s="53" t="s">
        <v>25</v>
      </c>
      <c r="G596" s="53" t="s">
        <v>25</v>
      </c>
      <c r="H596" s="53" t="s">
        <v>36</v>
      </c>
      <c r="I596" s="73">
        <v>43983</v>
      </c>
      <c r="J596" s="74">
        <f ca="1">EFEITO!$J$596*EFEITO!$Y$596</f>
        <v>177626.05162061105</v>
      </c>
      <c r="K596" s="74">
        <f ca="1">EFEITO!$L$596*EFEITO!$Z$596</f>
        <v>334071.46934800316</v>
      </c>
      <c r="L596" s="74">
        <f>EFEITO!$N$596*EFEITO!$AA$596</f>
        <v>881120.72324952588</v>
      </c>
      <c r="M596" s="74">
        <f ca="1">$J$596-EFEITO!$K$596*EFEITO!$Y$596</f>
        <v>0</v>
      </c>
      <c r="N596" s="74">
        <f ca="1">$K$596-EFEITO!$M$596*EFEITO!$Z$596</f>
        <v>0</v>
      </c>
      <c r="O596" s="74">
        <f>$L$596-EFEITO!$O$596*EFEITO!$AA$596</f>
        <v>0</v>
      </c>
      <c r="P596" s="57"/>
      <c r="Q596" s="57"/>
      <c r="R596" s="57"/>
      <c r="S596" s="57"/>
      <c r="T596" s="57"/>
      <c r="U596" s="57"/>
      <c r="V596" s="57"/>
      <c r="W596" s="57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</row>
    <row r="597" spans="1:36" ht="11.25" customHeight="1" x14ac:dyDescent="0.2">
      <c r="A597" s="53" t="s">
        <v>21</v>
      </c>
      <c r="B597" s="53" t="s">
        <v>33</v>
      </c>
      <c r="C597" s="53" t="s">
        <v>41</v>
      </c>
      <c r="D597" s="53" t="s">
        <v>52</v>
      </c>
      <c r="E597" s="53" t="s">
        <v>58</v>
      </c>
      <c r="F597" s="53" t="s">
        <v>25</v>
      </c>
      <c r="G597" s="53" t="s">
        <v>25</v>
      </c>
      <c r="H597" s="53" t="s">
        <v>36</v>
      </c>
      <c r="I597" s="73">
        <v>44013</v>
      </c>
      <c r="J597" s="74">
        <f ca="1">EFEITO!$J$597*EFEITO!$Y$597</f>
        <v>198881.6255605114</v>
      </c>
      <c r="K597" s="74">
        <f ca="1">EFEITO!$L$597*EFEITO!$Z$597</f>
        <v>330279.34291341063</v>
      </c>
      <c r="L597" s="74">
        <f>EFEITO!$N$597*EFEITO!$AA$597</f>
        <v>871118.90779002872</v>
      </c>
      <c r="M597" s="74">
        <f ca="1">$J$597-EFEITO!$K$597*EFEITO!$Y$597</f>
        <v>0</v>
      </c>
      <c r="N597" s="74">
        <f ca="1">$K$597-EFEITO!$M$597*EFEITO!$Z$597</f>
        <v>0</v>
      </c>
      <c r="O597" s="74">
        <f>$L$597-EFEITO!$O$597*EFEITO!$AA$597</f>
        <v>0</v>
      </c>
      <c r="P597" s="57"/>
      <c r="Q597" s="57"/>
      <c r="R597" s="57"/>
      <c r="S597" s="57"/>
      <c r="T597" s="57"/>
      <c r="U597" s="57"/>
      <c r="V597" s="57"/>
      <c r="W597" s="57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</row>
    <row r="598" spans="1:36" ht="11.25" customHeight="1" x14ac:dyDescent="0.2">
      <c r="A598" s="53" t="s">
        <v>21</v>
      </c>
      <c r="B598" s="53" t="s">
        <v>33</v>
      </c>
      <c r="C598" s="53" t="s">
        <v>41</v>
      </c>
      <c r="D598" s="53" t="s">
        <v>52</v>
      </c>
      <c r="E598" s="53" t="s">
        <v>58</v>
      </c>
      <c r="F598" s="53" t="s">
        <v>25</v>
      </c>
      <c r="G598" s="53" t="s">
        <v>25</v>
      </c>
      <c r="H598" s="53" t="s">
        <v>36</v>
      </c>
      <c r="I598" s="73">
        <v>44044</v>
      </c>
      <c r="J598" s="74">
        <f ca="1">EFEITO!$J$598*EFEITO!$Y$598</f>
        <v>187394.91184191222</v>
      </c>
      <c r="K598" s="74">
        <f ca="1">EFEITO!$L$598*EFEITO!$Z$598</f>
        <v>346191.15059295163</v>
      </c>
      <c r="L598" s="74">
        <f>EFEITO!$N$598*EFEITO!$AA$598</f>
        <v>913086.64456853096</v>
      </c>
      <c r="M598" s="74">
        <f ca="1">$J$598-EFEITO!$K$598*EFEITO!$Y$598</f>
        <v>0</v>
      </c>
      <c r="N598" s="74">
        <f ca="1">$K$598-EFEITO!$M$598*EFEITO!$Z$598</f>
        <v>0</v>
      </c>
      <c r="O598" s="74">
        <f>$L$598-EFEITO!$O$598*EFEITO!$AA$598</f>
        <v>0</v>
      </c>
      <c r="P598" s="57"/>
      <c r="Q598" s="57"/>
      <c r="R598" s="57"/>
      <c r="S598" s="57"/>
      <c r="T598" s="57"/>
      <c r="U598" s="57"/>
      <c r="V598" s="57"/>
      <c r="W598" s="57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</row>
    <row r="599" spans="1:36" ht="11.25" customHeight="1" x14ac:dyDescent="0.2">
      <c r="A599" s="53" t="s">
        <v>59</v>
      </c>
      <c r="B599" s="53" t="s">
        <v>33</v>
      </c>
      <c r="C599" s="53" t="s">
        <v>41</v>
      </c>
      <c r="D599" s="53" t="s">
        <v>52</v>
      </c>
      <c r="E599" s="53" t="s">
        <v>58</v>
      </c>
      <c r="F599" s="53" t="s">
        <v>25</v>
      </c>
      <c r="G599" s="53" t="s">
        <v>25</v>
      </c>
      <c r="H599" s="53" t="s">
        <v>36</v>
      </c>
      <c r="I599" s="73">
        <v>44075</v>
      </c>
      <c r="J599" s="74">
        <f ca="1">EFEITO!$J$599*EFEITO!$Y$599</f>
        <v>187394.91184191222</v>
      </c>
      <c r="K599" s="74">
        <f ca="1">EFEITO!$L$599*EFEITO!$Z$599</f>
        <v>346191.15059295163</v>
      </c>
      <c r="L599" s="74">
        <f>EFEITO!$N$599*EFEITO!$AA$599</f>
        <v>913086.64456853096</v>
      </c>
      <c r="M599" s="74">
        <f ca="1">$J$599-EFEITO!$K$599*EFEITO!$Y$599</f>
        <v>0</v>
      </c>
      <c r="N599" s="74">
        <f ca="1">$K$599-EFEITO!$M$599*EFEITO!$Z$599</f>
        <v>0</v>
      </c>
      <c r="O599" s="74">
        <f>$L$599-EFEITO!$O$599*EFEITO!$AA$599</f>
        <v>0</v>
      </c>
      <c r="P599" s="57"/>
      <c r="Q599" s="57"/>
      <c r="R599" s="57"/>
      <c r="S599" s="57"/>
      <c r="T599" s="57"/>
      <c r="U599" s="57"/>
      <c r="V599" s="57"/>
      <c r="W599" s="57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</row>
    <row r="600" spans="1:36" ht="11.25" customHeight="1" x14ac:dyDescent="0.2">
      <c r="A600" s="53" t="s">
        <v>21</v>
      </c>
      <c r="B600" s="53" t="s">
        <v>33</v>
      </c>
      <c r="C600" s="53" t="s">
        <v>41</v>
      </c>
      <c r="D600" s="53" t="s">
        <v>52</v>
      </c>
      <c r="E600" s="53" t="s">
        <v>58</v>
      </c>
      <c r="F600" s="53" t="s">
        <v>25</v>
      </c>
      <c r="G600" s="53" t="s">
        <v>25</v>
      </c>
      <c r="H600" s="53" t="s">
        <v>35</v>
      </c>
      <c r="I600" s="73">
        <v>43770</v>
      </c>
      <c r="J600" s="74">
        <f ca="1">EFEITO!$J$600*EFEITO!$Y$600</f>
        <v>849637.92883383483</v>
      </c>
      <c r="K600" s="74">
        <f ca="1">EFEITO!$L$600*EFEITO!$Z$600</f>
        <v>128240.63325853428</v>
      </c>
      <c r="L600" s="74">
        <f>EFEITO!$N$600*EFEITO!$AA$600</f>
        <v>550494.81171662663</v>
      </c>
      <c r="M600" s="74">
        <f ca="1">$J$600-EFEITO!$K$600*EFEITO!$Y$600</f>
        <v>0</v>
      </c>
      <c r="N600" s="74">
        <f ca="1">$K$600-EFEITO!$M$600*EFEITO!$Z$600</f>
        <v>0</v>
      </c>
      <c r="O600" s="74">
        <f>$L$600-EFEITO!$O$600*EFEITO!$AA$600</f>
        <v>0</v>
      </c>
      <c r="P600" s="57"/>
      <c r="Q600" s="57"/>
      <c r="R600" s="57"/>
      <c r="S600" s="57"/>
      <c r="T600" s="57"/>
      <c r="U600" s="57"/>
      <c r="V600" s="57"/>
      <c r="W600" s="57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</row>
    <row r="601" spans="1:36" ht="11.25" customHeight="1" x14ac:dyDescent="0.2">
      <c r="A601" s="53" t="s">
        <v>21</v>
      </c>
      <c r="B601" s="53" t="s">
        <v>33</v>
      </c>
      <c r="C601" s="53" t="s">
        <v>41</v>
      </c>
      <c r="D601" s="53" t="s">
        <v>52</v>
      </c>
      <c r="E601" s="53" t="s">
        <v>58</v>
      </c>
      <c r="F601" s="53" t="s">
        <v>25</v>
      </c>
      <c r="G601" s="53" t="s">
        <v>25</v>
      </c>
      <c r="H601" s="53" t="s">
        <v>35</v>
      </c>
      <c r="I601" s="73">
        <v>43800</v>
      </c>
      <c r="J601" s="74">
        <f ca="1">EFEITO!$J$601*EFEITO!$Y$601</f>
        <v>441665.84371565992</v>
      </c>
      <c r="K601" s="74">
        <f ca="1">EFEITO!$L$601*EFEITO!$Z$601</f>
        <v>59886.261176431071</v>
      </c>
      <c r="L601" s="74">
        <f>EFEITO!$N$601*EFEITO!$AA$601</f>
        <v>257071.99998201994</v>
      </c>
      <c r="M601" s="74">
        <f ca="1">$J$601-EFEITO!$K$601*EFEITO!$Y$601</f>
        <v>0</v>
      </c>
      <c r="N601" s="74">
        <f ca="1">$K$601-EFEITO!$M$601*EFEITO!$Z$601</f>
        <v>0</v>
      </c>
      <c r="O601" s="74">
        <f>$L$601-EFEITO!$O$601*EFEITO!$AA$601</f>
        <v>0</v>
      </c>
      <c r="P601" s="57"/>
      <c r="Q601" s="57"/>
      <c r="R601" s="57"/>
      <c r="S601" s="57"/>
      <c r="T601" s="57"/>
      <c r="U601" s="57"/>
      <c r="V601" s="57"/>
      <c r="W601" s="57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</row>
    <row r="602" spans="1:36" ht="11.25" customHeight="1" x14ac:dyDescent="0.2">
      <c r="A602" s="53" t="s">
        <v>21</v>
      </c>
      <c r="B602" s="53" t="s">
        <v>33</v>
      </c>
      <c r="C602" s="53" t="s">
        <v>41</v>
      </c>
      <c r="D602" s="53" t="s">
        <v>52</v>
      </c>
      <c r="E602" s="53" t="s">
        <v>58</v>
      </c>
      <c r="F602" s="53" t="s">
        <v>25</v>
      </c>
      <c r="G602" s="53" t="s">
        <v>25</v>
      </c>
      <c r="H602" s="53" t="s">
        <v>35</v>
      </c>
      <c r="I602" s="73">
        <v>43831</v>
      </c>
      <c r="J602" s="74">
        <f ca="1">EFEITO!$J$602*EFEITO!$Y$602</f>
        <v>409686.71095956553</v>
      </c>
      <c r="K602" s="74">
        <f ca="1">EFEITO!$L$602*EFEITO!$Z$602</f>
        <v>50472.503564724349</v>
      </c>
      <c r="L602" s="74">
        <f>EFEITO!$N$602*EFEITO!$AA$602</f>
        <v>216661.83830140001</v>
      </c>
      <c r="M602" s="74">
        <f ca="1">$J$602-EFEITO!$K$602*EFEITO!$Y$602</f>
        <v>0</v>
      </c>
      <c r="N602" s="74">
        <f ca="1">$K$602-EFEITO!$M$602*EFEITO!$Z$602</f>
        <v>0</v>
      </c>
      <c r="O602" s="74">
        <f>$L$602-EFEITO!$O$602*EFEITO!$AA$602</f>
        <v>0</v>
      </c>
      <c r="P602" s="57"/>
      <c r="Q602" s="57"/>
      <c r="R602" s="57"/>
      <c r="S602" s="57"/>
      <c r="T602" s="57"/>
      <c r="U602" s="57"/>
      <c r="V602" s="57"/>
      <c r="W602" s="57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</row>
    <row r="603" spans="1:36" ht="11.25" customHeight="1" x14ac:dyDescent="0.2">
      <c r="A603" s="53" t="s">
        <v>21</v>
      </c>
      <c r="B603" s="53" t="s">
        <v>33</v>
      </c>
      <c r="C603" s="53" t="s">
        <v>41</v>
      </c>
      <c r="D603" s="53" t="s">
        <v>52</v>
      </c>
      <c r="E603" s="53" t="s">
        <v>58</v>
      </c>
      <c r="F603" s="53" t="s">
        <v>25</v>
      </c>
      <c r="G603" s="53" t="s">
        <v>25</v>
      </c>
      <c r="H603" s="53" t="s">
        <v>35</v>
      </c>
      <c r="I603" s="73">
        <v>43862</v>
      </c>
      <c r="J603" s="74">
        <f ca="1">EFEITO!$J$603*EFEITO!$Y$603</f>
        <v>404243.45432023029</v>
      </c>
      <c r="K603" s="74">
        <f ca="1">EFEITO!$L$603*EFEITO!$Z$603</f>
        <v>63011.052476038523</v>
      </c>
      <c r="L603" s="74">
        <f>EFEITO!$N$603*EFEITO!$AA$603</f>
        <v>270485.70010515687</v>
      </c>
      <c r="M603" s="74">
        <f ca="1">$J$603-EFEITO!$K$603*EFEITO!$Y$603</f>
        <v>0</v>
      </c>
      <c r="N603" s="74">
        <f ca="1">$K$603-EFEITO!$M$603*EFEITO!$Z$603</f>
        <v>0</v>
      </c>
      <c r="O603" s="74">
        <f>$L$603-EFEITO!$O$603*EFEITO!$AA$603</f>
        <v>0</v>
      </c>
      <c r="P603" s="57"/>
      <c r="Q603" s="57"/>
      <c r="R603" s="57"/>
      <c r="S603" s="57"/>
      <c r="T603" s="57"/>
      <c r="U603" s="57"/>
      <c r="V603" s="57"/>
      <c r="W603" s="57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</row>
    <row r="604" spans="1:36" ht="11.25" customHeight="1" x14ac:dyDescent="0.2">
      <c r="A604" s="53" t="s">
        <v>21</v>
      </c>
      <c r="B604" s="53" t="s">
        <v>33</v>
      </c>
      <c r="C604" s="53" t="s">
        <v>41</v>
      </c>
      <c r="D604" s="53" t="s">
        <v>52</v>
      </c>
      <c r="E604" s="53" t="s">
        <v>58</v>
      </c>
      <c r="F604" s="53" t="s">
        <v>25</v>
      </c>
      <c r="G604" s="53" t="s">
        <v>25</v>
      </c>
      <c r="H604" s="53" t="s">
        <v>35</v>
      </c>
      <c r="I604" s="73">
        <v>43891</v>
      </c>
      <c r="J604" s="74">
        <f ca="1">EFEITO!$J$604*EFEITO!$Y$604</f>
        <v>415483.77928045753</v>
      </c>
      <c r="K604" s="74">
        <f ca="1">EFEITO!$L$604*EFEITO!$Z$604</f>
        <v>57148.655534157901</v>
      </c>
      <c r="L604" s="74">
        <f>EFEITO!$N$604*EFEITO!$AA$604</f>
        <v>245320.3603939703</v>
      </c>
      <c r="M604" s="74">
        <f ca="1">$J$604-EFEITO!$K$604*EFEITO!$Y$604</f>
        <v>0</v>
      </c>
      <c r="N604" s="74">
        <f ca="1">$K$604-EFEITO!$M$604*EFEITO!$Z$604</f>
        <v>0</v>
      </c>
      <c r="O604" s="74">
        <f>$L$604-EFEITO!$O$604*EFEITO!$AA$604</f>
        <v>0</v>
      </c>
      <c r="P604" s="57"/>
      <c r="Q604" s="57"/>
      <c r="R604" s="57"/>
      <c r="S604" s="57"/>
      <c r="T604" s="57"/>
      <c r="U604" s="57"/>
      <c r="V604" s="57"/>
      <c r="W604" s="57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</row>
    <row r="605" spans="1:36" ht="11.25" customHeight="1" x14ac:dyDescent="0.2">
      <c r="A605" s="53" t="s">
        <v>21</v>
      </c>
      <c r="B605" s="53" t="s">
        <v>33</v>
      </c>
      <c r="C605" s="53" t="s">
        <v>41</v>
      </c>
      <c r="D605" s="53" t="s">
        <v>52</v>
      </c>
      <c r="E605" s="53" t="s">
        <v>58</v>
      </c>
      <c r="F605" s="53" t="s">
        <v>25</v>
      </c>
      <c r="G605" s="53" t="s">
        <v>25</v>
      </c>
      <c r="H605" s="53" t="s">
        <v>35</v>
      </c>
      <c r="I605" s="73">
        <v>43922</v>
      </c>
      <c r="J605" s="74">
        <f ca="1">EFEITO!$J$605*EFEITO!$Y$605</f>
        <v>397575.46493704466</v>
      </c>
      <c r="K605" s="74">
        <f ca="1">EFEITO!$L$605*EFEITO!$Z$605</f>
        <v>55259.725144861812</v>
      </c>
      <c r="L605" s="74">
        <f>EFEITO!$N$605*EFEITO!$AA$605</f>
        <v>237211.80421657665</v>
      </c>
      <c r="M605" s="74">
        <f ca="1">$J$605-EFEITO!$K$605*EFEITO!$Y$605</f>
        <v>0</v>
      </c>
      <c r="N605" s="74">
        <f ca="1">$K$605-EFEITO!$M$605*EFEITO!$Z$605</f>
        <v>0</v>
      </c>
      <c r="O605" s="74">
        <f>$L$605-EFEITO!$O$605*EFEITO!$AA$605</f>
        <v>0</v>
      </c>
      <c r="P605" s="57"/>
      <c r="Q605" s="57"/>
      <c r="R605" s="57"/>
      <c r="S605" s="57"/>
      <c r="T605" s="57"/>
      <c r="U605" s="57"/>
      <c r="V605" s="57"/>
      <c r="W605" s="57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</row>
    <row r="606" spans="1:36" ht="11.25" customHeight="1" x14ac:dyDescent="0.2">
      <c r="A606" s="53" t="s">
        <v>21</v>
      </c>
      <c r="B606" s="53" t="s">
        <v>33</v>
      </c>
      <c r="C606" s="53" t="s">
        <v>41</v>
      </c>
      <c r="D606" s="53" t="s">
        <v>52</v>
      </c>
      <c r="E606" s="53" t="s">
        <v>58</v>
      </c>
      <c r="F606" s="53" t="s">
        <v>25</v>
      </c>
      <c r="G606" s="53" t="s">
        <v>25</v>
      </c>
      <c r="H606" s="53" t="s">
        <v>35</v>
      </c>
      <c r="I606" s="73">
        <v>43952</v>
      </c>
      <c r="J606" s="74">
        <f ca="1">EFEITO!$J$606*EFEITO!$Y$606</f>
        <v>384647.73041862348</v>
      </c>
      <c r="K606" s="74">
        <f ca="1">EFEITO!$L$606*EFEITO!$Z$606</f>
        <v>53372.195065357162</v>
      </c>
      <c r="L606" s="74">
        <f>EFEITO!$N$606*EFEITO!$AA$606</f>
        <v>229109.25910802593</v>
      </c>
      <c r="M606" s="74">
        <f ca="1">$J$606-EFEITO!$K$606*EFEITO!$Y$606</f>
        <v>0</v>
      </c>
      <c r="N606" s="74">
        <f ca="1">$K$606-EFEITO!$M$606*EFEITO!$Z$606</f>
        <v>0</v>
      </c>
      <c r="O606" s="74">
        <f>$L$606-EFEITO!$O$606*EFEITO!$AA$606</f>
        <v>0</v>
      </c>
      <c r="P606" s="57"/>
      <c r="Q606" s="57"/>
      <c r="R606" s="57"/>
      <c r="S606" s="57"/>
      <c r="T606" s="57"/>
      <c r="U606" s="57"/>
      <c r="V606" s="57"/>
      <c r="W606" s="57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</row>
    <row r="607" spans="1:36" ht="11.25" customHeight="1" x14ac:dyDescent="0.2">
      <c r="A607" s="53" t="s">
        <v>21</v>
      </c>
      <c r="B607" s="53" t="s">
        <v>33</v>
      </c>
      <c r="C607" s="53" t="s">
        <v>41</v>
      </c>
      <c r="D607" s="53" t="s">
        <v>52</v>
      </c>
      <c r="E607" s="53" t="s">
        <v>58</v>
      </c>
      <c r="F607" s="53" t="s">
        <v>25</v>
      </c>
      <c r="G607" s="53" t="s">
        <v>25</v>
      </c>
      <c r="H607" s="53" t="s">
        <v>35</v>
      </c>
      <c r="I607" s="73">
        <v>43983</v>
      </c>
      <c r="J607" s="74">
        <f ca="1">EFEITO!$J$607*EFEITO!$Y$607</f>
        <v>449612.9984090894</v>
      </c>
      <c r="K607" s="74">
        <f ca="1">EFEITO!$L$607*EFEITO!$Z$607</f>
        <v>58005.470087797745</v>
      </c>
      <c r="L607" s="74">
        <f>EFEITO!$N$607*EFEITO!$AA$607</f>
        <v>248998.38314227614</v>
      </c>
      <c r="M607" s="74">
        <f ca="1">$J$607-EFEITO!$K$607*EFEITO!$Y$607</f>
        <v>0</v>
      </c>
      <c r="N607" s="74">
        <f ca="1">$K$607-EFEITO!$M$607*EFEITO!$Z$607</f>
        <v>0</v>
      </c>
      <c r="O607" s="74">
        <f>$L$607-EFEITO!$O$607*EFEITO!$AA$607</f>
        <v>0</v>
      </c>
      <c r="P607" s="57"/>
      <c r="Q607" s="57"/>
      <c r="R607" s="57"/>
      <c r="S607" s="57"/>
      <c r="T607" s="57"/>
      <c r="U607" s="57"/>
      <c r="V607" s="57"/>
      <c r="W607" s="57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</row>
    <row r="608" spans="1:36" ht="11.25" customHeight="1" x14ac:dyDescent="0.2">
      <c r="A608" s="53" t="s">
        <v>21</v>
      </c>
      <c r="B608" s="53" t="s">
        <v>33</v>
      </c>
      <c r="C608" s="53" t="s">
        <v>41</v>
      </c>
      <c r="D608" s="53" t="s">
        <v>52</v>
      </c>
      <c r="E608" s="53" t="s">
        <v>58</v>
      </c>
      <c r="F608" s="53" t="s">
        <v>25</v>
      </c>
      <c r="G608" s="53" t="s">
        <v>25</v>
      </c>
      <c r="H608" s="53" t="s">
        <v>35</v>
      </c>
      <c r="I608" s="73">
        <v>44013</v>
      </c>
      <c r="J608" s="74">
        <f ca="1">EFEITO!$J$608*EFEITO!$Y$608</f>
        <v>554259.607300309</v>
      </c>
      <c r="K608" s="74">
        <f ca="1">EFEITO!$L$608*EFEITO!$Z$608</f>
        <v>58461.621002360655</v>
      </c>
      <c r="L608" s="74">
        <f>EFEITO!$N$608*EFEITO!$AA$608</f>
        <v>250956.48881788083</v>
      </c>
      <c r="M608" s="74">
        <f ca="1">$J$608-EFEITO!$K$608*EFEITO!$Y$608</f>
        <v>0</v>
      </c>
      <c r="N608" s="74">
        <f ca="1">$K$608-EFEITO!$M$608*EFEITO!$Z$608</f>
        <v>0</v>
      </c>
      <c r="O608" s="74">
        <f>$L$608-EFEITO!$O$608*EFEITO!$AA$608</f>
        <v>0</v>
      </c>
      <c r="P608" s="57"/>
      <c r="Q608" s="57"/>
      <c r="R608" s="57"/>
      <c r="S608" s="57"/>
      <c r="T608" s="57"/>
      <c r="U608" s="57"/>
      <c r="V608" s="57"/>
      <c r="W608" s="57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</row>
    <row r="609" spans="1:36" ht="11.25" customHeight="1" x14ac:dyDescent="0.2">
      <c r="A609" s="53" t="s">
        <v>21</v>
      </c>
      <c r="B609" s="53" t="s">
        <v>33</v>
      </c>
      <c r="C609" s="53" t="s">
        <v>41</v>
      </c>
      <c r="D609" s="53" t="s">
        <v>52</v>
      </c>
      <c r="E609" s="53" t="s">
        <v>58</v>
      </c>
      <c r="F609" s="53" t="s">
        <v>25</v>
      </c>
      <c r="G609" s="53" t="s">
        <v>25</v>
      </c>
      <c r="H609" s="53" t="s">
        <v>35</v>
      </c>
      <c r="I609" s="73">
        <v>44044</v>
      </c>
      <c r="J609" s="74">
        <f ca="1">EFEITO!$J$609*EFEITO!$Y$609</f>
        <v>458812.1021295659</v>
      </c>
      <c r="K609" s="74">
        <f ca="1">EFEITO!$L$609*EFEITO!$Z$609</f>
        <v>63319.908304413904</v>
      </c>
      <c r="L609" s="74">
        <f>EFEITO!$N$609*EFEITO!$AA$609</f>
        <v>271811.51647683932</v>
      </c>
      <c r="M609" s="74">
        <f ca="1">$J$609-EFEITO!$K$609*EFEITO!$Y$609</f>
        <v>0</v>
      </c>
      <c r="N609" s="74">
        <f ca="1">$K$609-EFEITO!$M$609*EFEITO!$Z$609</f>
        <v>0</v>
      </c>
      <c r="O609" s="74">
        <f>$L$609-EFEITO!$O$609*EFEITO!$AA$609</f>
        <v>0</v>
      </c>
      <c r="P609" s="57"/>
      <c r="Q609" s="57"/>
      <c r="R609" s="57"/>
      <c r="S609" s="57"/>
      <c r="T609" s="57"/>
      <c r="U609" s="57"/>
      <c r="V609" s="57"/>
      <c r="W609" s="57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</row>
    <row r="610" spans="1:36" ht="11.25" customHeight="1" x14ac:dyDescent="0.2">
      <c r="A610" s="53" t="s">
        <v>59</v>
      </c>
      <c r="B610" s="53" t="s">
        <v>33</v>
      </c>
      <c r="C610" s="53" t="s">
        <v>41</v>
      </c>
      <c r="D610" s="53" t="s">
        <v>52</v>
      </c>
      <c r="E610" s="53" t="s">
        <v>58</v>
      </c>
      <c r="F610" s="53" t="s">
        <v>25</v>
      </c>
      <c r="G610" s="53" t="s">
        <v>25</v>
      </c>
      <c r="H610" s="53" t="s">
        <v>35</v>
      </c>
      <c r="I610" s="73">
        <v>44075</v>
      </c>
      <c r="J610" s="74">
        <f ca="1">EFEITO!$J$610*EFEITO!$Y$610</f>
        <v>458812.1021295659</v>
      </c>
      <c r="K610" s="74">
        <f ca="1">EFEITO!$L$610*EFEITO!$Z$610</f>
        <v>63319.908304413904</v>
      </c>
      <c r="L610" s="74">
        <f>EFEITO!$N$610*EFEITO!$AA$610</f>
        <v>271811.51647683932</v>
      </c>
      <c r="M610" s="74">
        <f ca="1">$J$610-EFEITO!$K$610*EFEITO!$Y$610</f>
        <v>0</v>
      </c>
      <c r="N610" s="74">
        <f ca="1">$K$610-EFEITO!$M$610*EFEITO!$Z$610</f>
        <v>0</v>
      </c>
      <c r="O610" s="74">
        <f>$L$610-EFEITO!$O$610*EFEITO!$AA$610</f>
        <v>0</v>
      </c>
      <c r="P610" s="57"/>
      <c r="Q610" s="57"/>
      <c r="R610" s="57"/>
      <c r="S610" s="57"/>
      <c r="T610" s="57"/>
      <c r="U610" s="57"/>
      <c r="V610" s="57"/>
      <c r="W610" s="57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</row>
    <row r="611" spans="1:36" ht="11.25" customHeight="1" x14ac:dyDescent="0.2">
      <c r="A611" s="53" t="s">
        <v>21</v>
      </c>
      <c r="B611" s="53" t="s">
        <v>33</v>
      </c>
      <c r="C611" s="53" t="s">
        <v>34</v>
      </c>
      <c r="D611" s="53" t="s">
        <v>42</v>
      </c>
      <c r="E611" s="53" t="s">
        <v>25</v>
      </c>
      <c r="F611" s="53" t="s">
        <v>25</v>
      </c>
      <c r="G611" s="53" t="s">
        <v>25</v>
      </c>
      <c r="H611" s="53" t="s">
        <v>36</v>
      </c>
      <c r="I611" s="73">
        <v>43739</v>
      </c>
      <c r="J611" s="74">
        <f>EFEITO!$J$611*EFEITO!$Y$611</f>
        <v>0</v>
      </c>
      <c r="K611" s="74">
        <f ca="1">EFEITO!$L$611*EFEITO!$Z$611</f>
        <v>1978299.2104183966</v>
      </c>
      <c r="L611" s="74">
        <f>EFEITO!$N$611*EFEITO!$AA$611</f>
        <v>5217806.9396043224</v>
      </c>
      <c r="M611" s="74">
        <f>$J$611-EFEITO!$K$611*EFEITO!$Y$611</f>
        <v>0</v>
      </c>
      <c r="N611" s="74">
        <f ca="1">$K$611-EFEITO!$M$611*EFEITO!$Z$611</f>
        <v>0</v>
      </c>
      <c r="O611" s="74">
        <f>$L$611-EFEITO!$O$611*EFEITO!$AA$611</f>
        <v>0</v>
      </c>
      <c r="P611" s="57"/>
      <c r="Q611" s="57"/>
      <c r="R611" s="57"/>
      <c r="S611" s="57"/>
      <c r="T611" s="57"/>
      <c r="U611" s="57"/>
      <c r="V611" s="57"/>
      <c r="W611" s="57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</row>
    <row r="612" spans="1:36" ht="11.25" customHeight="1" x14ac:dyDescent="0.2">
      <c r="A612" s="53" t="s">
        <v>27</v>
      </c>
      <c r="B612" s="53" t="s">
        <v>33</v>
      </c>
      <c r="C612" s="53" t="s">
        <v>34</v>
      </c>
      <c r="D612" s="53" t="s">
        <v>42</v>
      </c>
      <c r="E612" s="53" t="s">
        <v>25</v>
      </c>
      <c r="F612" s="53" t="s">
        <v>25</v>
      </c>
      <c r="G612" s="53" t="s">
        <v>25</v>
      </c>
      <c r="H612" s="53" t="s">
        <v>36</v>
      </c>
      <c r="I612" s="73">
        <v>43739</v>
      </c>
      <c r="J612" s="74">
        <f>EFEITO!$J$612*EFEITO!$Y$612</f>
        <v>0</v>
      </c>
      <c r="K612" s="74">
        <f ca="1">EFEITO!$L$612*EFEITO!$Z$612</f>
        <v>9027.0970705442305</v>
      </c>
      <c r="L612" s="74">
        <f>EFEITO!$N$612*EFEITO!$AA$612</f>
        <v>23809.163695316776</v>
      </c>
      <c r="M612" s="74">
        <f>$J$612-EFEITO!$K$612*EFEITO!$Y$612</f>
        <v>0</v>
      </c>
      <c r="N612" s="74">
        <f ca="1">$K$612-EFEITO!$M$612*EFEITO!$Z$612</f>
        <v>0</v>
      </c>
      <c r="O612" s="74">
        <f>$L$612-EFEITO!$O$612*EFEITO!$AA$612</f>
        <v>0</v>
      </c>
      <c r="P612" s="57"/>
      <c r="Q612" s="57"/>
      <c r="R612" s="57"/>
      <c r="S612" s="57"/>
      <c r="T612" s="57"/>
      <c r="U612" s="57"/>
      <c r="V612" s="57"/>
      <c r="W612" s="57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</row>
    <row r="613" spans="1:36" ht="11.25" customHeight="1" x14ac:dyDescent="0.2">
      <c r="A613" s="53" t="s">
        <v>28</v>
      </c>
      <c r="B613" s="53" t="s">
        <v>33</v>
      </c>
      <c r="C613" s="53" t="s">
        <v>34</v>
      </c>
      <c r="D613" s="53" t="s">
        <v>42</v>
      </c>
      <c r="E613" s="53" t="s">
        <v>25</v>
      </c>
      <c r="F613" s="53" t="s">
        <v>25</v>
      </c>
      <c r="G613" s="53" t="s">
        <v>25</v>
      </c>
      <c r="H613" s="53" t="s">
        <v>36</v>
      </c>
      <c r="I613" s="73">
        <v>43739</v>
      </c>
      <c r="J613" s="74">
        <f>EFEITO!$J$613*EFEITO!$Y$613</f>
        <v>0</v>
      </c>
      <c r="K613" s="74">
        <f ca="1">EFEITO!$L$613*EFEITO!$Z$613</f>
        <v>73866.166459951026</v>
      </c>
      <c r="L613" s="74">
        <f>EFEITO!$N$613*EFEITO!$AA$613</f>
        <v>194823.61107306261</v>
      </c>
      <c r="M613" s="74">
        <f>$J$613-EFEITO!$K$613*EFEITO!$Y$613</f>
        <v>0</v>
      </c>
      <c r="N613" s="74">
        <f ca="1">$K$613-EFEITO!$M$613*EFEITO!$Z$613</f>
        <v>0</v>
      </c>
      <c r="O613" s="74">
        <f>$L$613-EFEITO!$O$613*EFEITO!$AA$613</f>
        <v>0</v>
      </c>
      <c r="P613" s="57"/>
      <c r="Q613" s="57"/>
      <c r="R613" s="57"/>
      <c r="S613" s="57"/>
      <c r="T613" s="57"/>
      <c r="U613" s="57"/>
      <c r="V613" s="57"/>
      <c r="W613" s="57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</row>
    <row r="614" spans="1:36" ht="11.25" customHeight="1" x14ac:dyDescent="0.2">
      <c r="A614" s="53" t="s">
        <v>21</v>
      </c>
      <c r="B614" s="53" t="s">
        <v>33</v>
      </c>
      <c r="C614" s="53" t="s">
        <v>34</v>
      </c>
      <c r="D614" s="53" t="s">
        <v>42</v>
      </c>
      <c r="E614" s="53" t="s">
        <v>25</v>
      </c>
      <c r="F614" s="53" t="s">
        <v>25</v>
      </c>
      <c r="G614" s="53" t="s">
        <v>25</v>
      </c>
      <c r="H614" s="53" t="s">
        <v>36</v>
      </c>
      <c r="I614" s="73">
        <v>43770</v>
      </c>
      <c r="J614" s="74">
        <f>EFEITO!$J$614*EFEITO!$Y$614</f>
        <v>0</v>
      </c>
      <c r="K614" s="74">
        <f ca="1">EFEITO!$L$614*EFEITO!$Z$614</f>
        <v>2097360.6379552907</v>
      </c>
      <c r="L614" s="74">
        <f>EFEITO!$N$614*EFEITO!$AA$614</f>
        <v>5531834.0289189946</v>
      </c>
      <c r="M614" s="74">
        <f>$J$614-EFEITO!$K$614*EFEITO!$Y$614</f>
        <v>0</v>
      </c>
      <c r="N614" s="74">
        <f ca="1">$K$614-EFEITO!$M$614*EFEITO!$Z$614</f>
        <v>0</v>
      </c>
      <c r="O614" s="74">
        <f>$L$614-EFEITO!$O$614*EFEITO!$AA$614</f>
        <v>0</v>
      </c>
      <c r="P614" s="57"/>
      <c r="Q614" s="57"/>
      <c r="R614" s="57"/>
      <c r="S614" s="57"/>
      <c r="T614" s="57"/>
      <c r="U614" s="57"/>
      <c r="V614" s="57"/>
      <c r="W614" s="57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</row>
    <row r="615" spans="1:36" ht="11.25" customHeight="1" x14ac:dyDescent="0.2">
      <c r="A615" s="53" t="s">
        <v>27</v>
      </c>
      <c r="B615" s="53" t="s">
        <v>33</v>
      </c>
      <c r="C615" s="53" t="s">
        <v>34</v>
      </c>
      <c r="D615" s="53" t="s">
        <v>42</v>
      </c>
      <c r="E615" s="53" t="s">
        <v>25</v>
      </c>
      <c r="F615" s="53" t="s">
        <v>25</v>
      </c>
      <c r="G615" s="53" t="s">
        <v>25</v>
      </c>
      <c r="H615" s="53" t="s">
        <v>36</v>
      </c>
      <c r="I615" s="73">
        <v>43770</v>
      </c>
      <c r="J615" s="74">
        <f>EFEITO!$J$615*EFEITO!$Y$615</f>
        <v>0</v>
      </c>
      <c r="K615" s="74">
        <f ca="1">EFEITO!$L$615*EFEITO!$Z$615</f>
        <v>682.91358141488229</v>
      </c>
      <c r="L615" s="74">
        <f>EFEITO!$N$615*EFEITO!$AA$615</f>
        <v>1801.1993360210658</v>
      </c>
      <c r="M615" s="74">
        <f>$J$615-EFEITO!$K$615*EFEITO!$Y$615</f>
        <v>0</v>
      </c>
      <c r="N615" s="74">
        <f ca="1">$K$615-EFEITO!$M$615*EFEITO!$Z$615</f>
        <v>0</v>
      </c>
      <c r="O615" s="74">
        <f>$L$615-EFEITO!$O$615*EFEITO!$AA$615</f>
        <v>0</v>
      </c>
      <c r="P615" s="57"/>
      <c r="Q615" s="57"/>
      <c r="R615" s="57"/>
      <c r="S615" s="57"/>
      <c r="T615" s="57"/>
      <c r="U615" s="57"/>
      <c r="V615" s="57"/>
      <c r="W615" s="57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</row>
    <row r="616" spans="1:36" ht="11.25" customHeight="1" x14ac:dyDescent="0.2">
      <c r="A616" s="53" t="s">
        <v>28</v>
      </c>
      <c r="B616" s="53" t="s">
        <v>33</v>
      </c>
      <c r="C616" s="53" t="s">
        <v>34</v>
      </c>
      <c r="D616" s="53" t="s">
        <v>42</v>
      </c>
      <c r="E616" s="53" t="s">
        <v>25</v>
      </c>
      <c r="F616" s="53" t="s">
        <v>25</v>
      </c>
      <c r="G616" s="53" t="s">
        <v>25</v>
      </c>
      <c r="H616" s="53" t="s">
        <v>36</v>
      </c>
      <c r="I616" s="73">
        <v>43770</v>
      </c>
      <c r="J616" s="74">
        <f>EFEITO!$J$616*EFEITO!$Y$616</f>
        <v>0</v>
      </c>
      <c r="K616" s="74">
        <f ca="1">EFEITO!$L$616*EFEITO!$Z$616</f>
        <v>75867.034113200687</v>
      </c>
      <c r="L616" s="74">
        <f>EFEITO!$N$616*EFEITO!$AA$616</f>
        <v>200100.94276857888</v>
      </c>
      <c r="M616" s="74">
        <f>$J$616-EFEITO!$K$616*EFEITO!$Y$616</f>
        <v>0</v>
      </c>
      <c r="N616" s="74">
        <f ca="1">$K$616-EFEITO!$M$616*EFEITO!$Z$616</f>
        <v>0</v>
      </c>
      <c r="O616" s="74">
        <f>$L$616-EFEITO!$O$616*EFEITO!$AA$616</f>
        <v>0</v>
      </c>
      <c r="P616" s="57"/>
      <c r="Q616" s="57"/>
      <c r="R616" s="57"/>
      <c r="S616" s="57"/>
      <c r="T616" s="57"/>
      <c r="U616" s="57"/>
      <c r="V616" s="57"/>
      <c r="W616" s="57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</row>
    <row r="617" spans="1:36" ht="11.25" customHeight="1" x14ac:dyDescent="0.2">
      <c r="A617" s="53" t="s">
        <v>21</v>
      </c>
      <c r="B617" s="53" t="s">
        <v>33</v>
      </c>
      <c r="C617" s="53" t="s">
        <v>34</v>
      </c>
      <c r="D617" s="53" t="s">
        <v>42</v>
      </c>
      <c r="E617" s="53" t="s">
        <v>25</v>
      </c>
      <c r="F617" s="53" t="s">
        <v>25</v>
      </c>
      <c r="G617" s="53" t="s">
        <v>25</v>
      </c>
      <c r="H617" s="53" t="s">
        <v>36</v>
      </c>
      <c r="I617" s="73">
        <v>43800</v>
      </c>
      <c r="J617" s="74">
        <f>EFEITO!$J$617*EFEITO!$Y$617</f>
        <v>0</v>
      </c>
      <c r="K617" s="74">
        <f ca="1">EFEITO!$L$617*EFEITO!$Z$617</f>
        <v>1913624.1523133123</v>
      </c>
      <c r="L617" s="74">
        <f>EFEITO!$N$617*EFEITO!$AA$617</f>
        <v>5047225.0755350087</v>
      </c>
      <c r="M617" s="74">
        <f>$J$617-EFEITO!$K$617*EFEITO!$Y$617</f>
        <v>0</v>
      </c>
      <c r="N617" s="74">
        <f ca="1">$K$617-EFEITO!$M$617*EFEITO!$Z$617</f>
        <v>0</v>
      </c>
      <c r="O617" s="74">
        <f>$L$617-EFEITO!$O$617*EFEITO!$AA$617</f>
        <v>0</v>
      </c>
      <c r="P617" s="57"/>
      <c r="Q617" s="57"/>
      <c r="R617" s="57"/>
      <c r="S617" s="57"/>
      <c r="T617" s="57"/>
      <c r="U617" s="57"/>
      <c r="V617" s="57"/>
      <c r="W617" s="57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</row>
    <row r="618" spans="1:36" ht="11.25" customHeight="1" x14ac:dyDescent="0.2">
      <c r="A618" s="53" t="s">
        <v>27</v>
      </c>
      <c r="B618" s="53" t="s">
        <v>33</v>
      </c>
      <c r="C618" s="53" t="s">
        <v>34</v>
      </c>
      <c r="D618" s="53" t="s">
        <v>42</v>
      </c>
      <c r="E618" s="53" t="s">
        <v>25</v>
      </c>
      <c r="F618" s="53" t="s">
        <v>25</v>
      </c>
      <c r="G618" s="53" t="s">
        <v>25</v>
      </c>
      <c r="H618" s="53" t="s">
        <v>36</v>
      </c>
      <c r="I618" s="73">
        <v>43800</v>
      </c>
      <c r="J618" s="74">
        <f>EFEITO!$J$618*EFEITO!$Y$618</f>
        <v>0</v>
      </c>
      <c r="K618" s="74">
        <f ca="1">EFEITO!$L$618*EFEITO!$Z$618</f>
        <v>2655.5124807497577</v>
      </c>
      <c r="L618" s="74">
        <f>EFEITO!$N$618*EFEITO!$AA$618</f>
        <v>7003.9715818981385</v>
      </c>
      <c r="M618" s="74">
        <f>$J$618-EFEITO!$K$618*EFEITO!$Y$618</f>
        <v>0</v>
      </c>
      <c r="N618" s="74">
        <f ca="1">$K$618-EFEITO!$M$618*EFEITO!$Z$618</f>
        <v>0</v>
      </c>
      <c r="O618" s="74">
        <f>$L$618-EFEITO!$O$618*EFEITO!$AA$618</f>
        <v>0</v>
      </c>
      <c r="P618" s="57"/>
      <c r="Q618" s="57"/>
      <c r="R618" s="57"/>
      <c r="S618" s="57"/>
      <c r="T618" s="57"/>
      <c r="U618" s="57"/>
      <c r="V618" s="57"/>
      <c r="W618" s="57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</row>
    <row r="619" spans="1:36" ht="11.25" customHeight="1" x14ac:dyDescent="0.2">
      <c r="A619" s="53" t="s">
        <v>28</v>
      </c>
      <c r="B619" s="53" t="s">
        <v>33</v>
      </c>
      <c r="C619" s="53" t="s">
        <v>34</v>
      </c>
      <c r="D619" s="53" t="s">
        <v>42</v>
      </c>
      <c r="E619" s="53" t="s">
        <v>25</v>
      </c>
      <c r="F619" s="53" t="s">
        <v>25</v>
      </c>
      <c r="G619" s="53" t="s">
        <v>25</v>
      </c>
      <c r="H619" s="53" t="s">
        <v>36</v>
      </c>
      <c r="I619" s="73">
        <v>43800</v>
      </c>
      <c r="J619" s="74">
        <f>EFEITO!$J$619*EFEITO!$Y$619</f>
        <v>0</v>
      </c>
      <c r="K619" s="74">
        <f ca="1">EFEITO!$L$619*EFEITO!$Z$619</f>
        <v>71951.592897599112</v>
      </c>
      <c r="L619" s="74">
        <f>EFEITO!$N$619*EFEITO!$AA$619</f>
        <v>189773.8819080239</v>
      </c>
      <c r="M619" s="74">
        <f>$J$619-EFEITO!$K$619*EFEITO!$Y$619</f>
        <v>0</v>
      </c>
      <c r="N619" s="74">
        <f ca="1">$K$619-EFEITO!$M$619*EFEITO!$Z$619</f>
        <v>0</v>
      </c>
      <c r="O619" s="74">
        <f>$L$619-EFEITO!$O$619*EFEITO!$AA$619</f>
        <v>0</v>
      </c>
      <c r="P619" s="57"/>
      <c r="Q619" s="57"/>
      <c r="R619" s="57"/>
      <c r="S619" s="57"/>
      <c r="T619" s="57"/>
      <c r="U619" s="57"/>
      <c r="V619" s="57"/>
      <c r="W619" s="57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</row>
    <row r="620" spans="1:36" ht="11.25" customHeight="1" x14ac:dyDescent="0.2">
      <c r="A620" s="53" t="s">
        <v>21</v>
      </c>
      <c r="B620" s="53" t="s">
        <v>33</v>
      </c>
      <c r="C620" s="53" t="s">
        <v>34</v>
      </c>
      <c r="D620" s="53" t="s">
        <v>42</v>
      </c>
      <c r="E620" s="53" t="s">
        <v>25</v>
      </c>
      <c r="F620" s="53" t="s">
        <v>25</v>
      </c>
      <c r="G620" s="53" t="s">
        <v>25</v>
      </c>
      <c r="H620" s="53" t="s">
        <v>36</v>
      </c>
      <c r="I620" s="73">
        <v>43831</v>
      </c>
      <c r="J620" s="74">
        <f>EFEITO!$J$620*EFEITO!$Y$620</f>
        <v>0</v>
      </c>
      <c r="K620" s="74">
        <f ca="1">EFEITO!$L$620*EFEITO!$Z$620</f>
        <v>1808642.6646906643</v>
      </c>
      <c r="L620" s="74">
        <f>EFEITO!$N$620*EFEITO!$AA$620</f>
        <v>4770334.1321616918</v>
      </c>
      <c r="M620" s="74">
        <f>$J$620-EFEITO!$K$620*EFEITO!$Y$620</f>
        <v>0</v>
      </c>
      <c r="N620" s="74">
        <f ca="1">$K$620-EFEITO!$M$620*EFEITO!$Z$620</f>
        <v>0</v>
      </c>
      <c r="O620" s="74">
        <f>$L$620-EFEITO!$O$620*EFEITO!$AA$620</f>
        <v>0</v>
      </c>
      <c r="P620" s="57"/>
      <c r="Q620" s="57"/>
      <c r="R620" s="57"/>
      <c r="S620" s="57"/>
      <c r="T620" s="57"/>
      <c r="U620" s="57"/>
      <c r="V620" s="57"/>
      <c r="W620" s="57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</row>
    <row r="621" spans="1:36" ht="11.25" customHeight="1" x14ac:dyDescent="0.2">
      <c r="A621" s="53" t="s">
        <v>27</v>
      </c>
      <c r="B621" s="53" t="s">
        <v>33</v>
      </c>
      <c r="C621" s="53" t="s">
        <v>34</v>
      </c>
      <c r="D621" s="53" t="s">
        <v>42</v>
      </c>
      <c r="E621" s="53" t="s">
        <v>25</v>
      </c>
      <c r="F621" s="53" t="s">
        <v>25</v>
      </c>
      <c r="G621" s="53" t="s">
        <v>25</v>
      </c>
      <c r="H621" s="53" t="s">
        <v>36</v>
      </c>
      <c r="I621" s="73">
        <v>43831</v>
      </c>
      <c r="J621" s="74">
        <f>EFEITO!$J$621*EFEITO!$Y$621</f>
        <v>0</v>
      </c>
      <c r="K621" s="74">
        <f ca="1">EFEITO!$L$621*EFEITO!$Z$621</f>
        <v>3729.2000133395022</v>
      </c>
      <c r="L621" s="74">
        <f>EFEITO!$N$621*EFEITO!$AA$621</f>
        <v>9835.8456629318989</v>
      </c>
      <c r="M621" s="74">
        <f>$J$621-EFEITO!$K$621*EFEITO!$Y$621</f>
        <v>0</v>
      </c>
      <c r="N621" s="74">
        <f ca="1">$K$621-EFEITO!$M$621*EFEITO!$Z$621</f>
        <v>0</v>
      </c>
      <c r="O621" s="74">
        <f>$L$621-EFEITO!$O$621*EFEITO!$AA$621</f>
        <v>0</v>
      </c>
      <c r="P621" s="57"/>
      <c r="Q621" s="57"/>
      <c r="R621" s="57"/>
      <c r="S621" s="57"/>
      <c r="T621" s="57"/>
      <c r="U621" s="57"/>
      <c r="V621" s="57"/>
      <c r="W621" s="57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</row>
    <row r="622" spans="1:36" ht="11.25" customHeight="1" x14ac:dyDescent="0.2">
      <c r="A622" s="53" t="s">
        <v>28</v>
      </c>
      <c r="B622" s="53" t="s">
        <v>33</v>
      </c>
      <c r="C622" s="53" t="s">
        <v>34</v>
      </c>
      <c r="D622" s="53" t="s">
        <v>42</v>
      </c>
      <c r="E622" s="53" t="s">
        <v>25</v>
      </c>
      <c r="F622" s="53" t="s">
        <v>25</v>
      </c>
      <c r="G622" s="53" t="s">
        <v>25</v>
      </c>
      <c r="H622" s="53" t="s">
        <v>36</v>
      </c>
      <c r="I622" s="73">
        <v>43831</v>
      </c>
      <c r="J622" s="74">
        <f>EFEITO!$J$622*EFEITO!$Y$622</f>
        <v>0</v>
      </c>
      <c r="K622" s="74">
        <f ca="1">EFEITO!$L$622*EFEITO!$Z$622</f>
        <v>54011.086407703522</v>
      </c>
      <c r="L622" s="74">
        <f>EFEITO!$N$622*EFEITO!$AA$622</f>
        <v>142455.40815541311</v>
      </c>
      <c r="M622" s="74">
        <f>$J$622-EFEITO!$K$622*EFEITO!$Y$622</f>
        <v>0</v>
      </c>
      <c r="N622" s="74">
        <f ca="1">$K$622-EFEITO!$M$622*EFEITO!$Z$622</f>
        <v>0</v>
      </c>
      <c r="O622" s="74">
        <f>$L$622-EFEITO!$O$622*EFEITO!$AA$622</f>
        <v>0</v>
      </c>
      <c r="P622" s="57"/>
      <c r="Q622" s="57"/>
      <c r="R622" s="57"/>
      <c r="S622" s="57"/>
      <c r="T622" s="57"/>
      <c r="U622" s="57"/>
      <c r="V622" s="57"/>
      <c r="W622" s="57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</row>
    <row r="623" spans="1:36" ht="11.25" customHeight="1" x14ac:dyDescent="0.2">
      <c r="A623" s="53" t="s">
        <v>21</v>
      </c>
      <c r="B623" s="53" t="s">
        <v>33</v>
      </c>
      <c r="C623" s="53" t="s">
        <v>34</v>
      </c>
      <c r="D623" s="53" t="s">
        <v>42</v>
      </c>
      <c r="E623" s="53" t="s">
        <v>25</v>
      </c>
      <c r="F623" s="53" t="s">
        <v>25</v>
      </c>
      <c r="G623" s="53" t="s">
        <v>25</v>
      </c>
      <c r="H623" s="53" t="s">
        <v>36</v>
      </c>
      <c r="I623" s="73">
        <v>43862</v>
      </c>
      <c r="J623" s="74">
        <f>EFEITO!$J$623*EFEITO!$Y$623</f>
        <v>0</v>
      </c>
      <c r="K623" s="74">
        <f ca="1">EFEITO!$L$623*EFEITO!$Z$623</f>
        <v>1908277.5069714931</v>
      </c>
      <c r="L623" s="74">
        <f>EFEITO!$N$623*EFEITO!$AA$623</f>
        <v>5033123.1828479841</v>
      </c>
      <c r="M623" s="74">
        <f>$J$623-EFEITO!$K$623*EFEITO!$Y$623</f>
        <v>0</v>
      </c>
      <c r="N623" s="74">
        <f ca="1">$K$623-EFEITO!$M$623*EFEITO!$Z$623</f>
        <v>0</v>
      </c>
      <c r="O623" s="74">
        <f>$L$623-EFEITO!$O$623*EFEITO!$AA$623</f>
        <v>0</v>
      </c>
      <c r="P623" s="57"/>
      <c r="Q623" s="57"/>
      <c r="R623" s="57"/>
      <c r="S623" s="57"/>
      <c r="T623" s="57"/>
      <c r="U623" s="57"/>
      <c r="V623" s="57"/>
      <c r="W623" s="57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</row>
    <row r="624" spans="1:36" ht="11.25" customHeight="1" x14ac:dyDescent="0.2">
      <c r="A624" s="53" t="s">
        <v>27</v>
      </c>
      <c r="B624" s="53" t="s">
        <v>33</v>
      </c>
      <c r="C624" s="53" t="s">
        <v>34</v>
      </c>
      <c r="D624" s="53" t="s">
        <v>42</v>
      </c>
      <c r="E624" s="53" t="s">
        <v>25</v>
      </c>
      <c r="F624" s="53" t="s">
        <v>25</v>
      </c>
      <c r="G624" s="53" t="s">
        <v>25</v>
      </c>
      <c r="H624" s="53" t="s">
        <v>36</v>
      </c>
      <c r="I624" s="73">
        <v>43862</v>
      </c>
      <c r="J624" s="74">
        <f>EFEITO!$J$624*EFEITO!$Y$624</f>
        <v>0</v>
      </c>
      <c r="K624" s="74">
        <f ca="1">EFEITO!$L$624*EFEITO!$Z$624</f>
        <v>9205.2864915054888</v>
      </c>
      <c r="L624" s="74">
        <f>EFEITO!$N$624*EFEITO!$AA$624</f>
        <v>24279.142145674192</v>
      </c>
      <c r="M624" s="74">
        <f>$J$624-EFEITO!$K$624*EFEITO!$Y$624</f>
        <v>0</v>
      </c>
      <c r="N624" s="74">
        <f ca="1">$K$624-EFEITO!$M$624*EFEITO!$Z$624</f>
        <v>0</v>
      </c>
      <c r="O624" s="74">
        <f>$L$624-EFEITO!$O$624*EFEITO!$AA$624</f>
        <v>0</v>
      </c>
      <c r="P624" s="57"/>
      <c r="Q624" s="57"/>
      <c r="R624" s="57"/>
      <c r="S624" s="57"/>
      <c r="T624" s="57"/>
      <c r="U624" s="57"/>
      <c r="V624" s="57"/>
      <c r="W624" s="57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</row>
    <row r="625" spans="1:36" ht="11.25" customHeight="1" x14ac:dyDescent="0.2">
      <c r="A625" s="53" t="s">
        <v>28</v>
      </c>
      <c r="B625" s="53" t="s">
        <v>33</v>
      </c>
      <c r="C625" s="53" t="s">
        <v>34</v>
      </c>
      <c r="D625" s="53" t="s">
        <v>42</v>
      </c>
      <c r="E625" s="53" t="s">
        <v>25</v>
      </c>
      <c r="F625" s="53" t="s">
        <v>25</v>
      </c>
      <c r="G625" s="53" t="s">
        <v>25</v>
      </c>
      <c r="H625" s="53" t="s">
        <v>36</v>
      </c>
      <c r="I625" s="73">
        <v>43862</v>
      </c>
      <c r="J625" s="74">
        <f>EFEITO!$J$625*EFEITO!$Y$625</f>
        <v>0</v>
      </c>
      <c r="K625" s="74">
        <f ca="1">EFEITO!$L$625*EFEITO!$Z$625</f>
        <v>58829.902477510441</v>
      </c>
      <c r="L625" s="74">
        <f>EFEITO!$N$625*EFEITO!$AA$625</f>
        <v>155165.13972549126</v>
      </c>
      <c r="M625" s="74">
        <f>$J$625-EFEITO!$K$625*EFEITO!$Y$625</f>
        <v>0</v>
      </c>
      <c r="N625" s="74">
        <f ca="1">$K$625-EFEITO!$M$625*EFEITO!$Z$625</f>
        <v>0</v>
      </c>
      <c r="O625" s="74">
        <f>$L$625-EFEITO!$O$625*EFEITO!$AA$625</f>
        <v>0</v>
      </c>
      <c r="P625" s="57"/>
      <c r="Q625" s="57"/>
      <c r="R625" s="57"/>
      <c r="S625" s="57"/>
      <c r="T625" s="57"/>
      <c r="U625" s="57"/>
      <c r="V625" s="57"/>
      <c r="W625" s="57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</row>
    <row r="626" spans="1:36" ht="11.25" customHeight="1" x14ac:dyDescent="0.2">
      <c r="A626" s="53" t="s">
        <v>21</v>
      </c>
      <c r="B626" s="53" t="s">
        <v>33</v>
      </c>
      <c r="C626" s="53" t="s">
        <v>34</v>
      </c>
      <c r="D626" s="53" t="s">
        <v>42</v>
      </c>
      <c r="E626" s="53" t="s">
        <v>25</v>
      </c>
      <c r="F626" s="53" t="s">
        <v>25</v>
      </c>
      <c r="G626" s="53" t="s">
        <v>25</v>
      </c>
      <c r="H626" s="53" t="s">
        <v>36</v>
      </c>
      <c r="I626" s="73">
        <v>43891</v>
      </c>
      <c r="J626" s="74">
        <f>EFEITO!$J$626*EFEITO!$Y$626</f>
        <v>0</v>
      </c>
      <c r="K626" s="74">
        <f ca="1">EFEITO!$L$626*EFEITO!$Z$626</f>
        <v>1738959.5736552046</v>
      </c>
      <c r="L626" s="74">
        <f>EFEITO!$N$626*EFEITO!$AA$626</f>
        <v>4586543.472961558</v>
      </c>
      <c r="M626" s="74">
        <f>$J$626-EFEITO!$K$626*EFEITO!$Y$626</f>
        <v>0</v>
      </c>
      <c r="N626" s="74">
        <f ca="1">$K$626-EFEITO!$M$626*EFEITO!$Z$626</f>
        <v>0</v>
      </c>
      <c r="O626" s="74">
        <f>$L$626-EFEITO!$O$626*EFEITO!$AA$626</f>
        <v>0</v>
      </c>
      <c r="P626" s="57"/>
      <c r="Q626" s="57"/>
      <c r="R626" s="57"/>
      <c r="S626" s="57"/>
      <c r="T626" s="57"/>
      <c r="U626" s="57"/>
      <c r="V626" s="57"/>
      <c r="W626" s="57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</row>
    <row r="627" spans="1:36" ht="11.25" customHeight="1" x14ac:dyDescent="0.2">
      <c r="A627" s="53" t="s">
        <v>27</v>
      </c>
      <c r="B627" s="53" t="s">
        <v>33</v>
      </c>
      <c r="C627" s="53" t="s">
        <v>34</v>
      </c>
      <c r="D627" s="53" t="s">
        <v>42</v>
      </c>
      <c r="E627" s="53" t="s">
        <v>25</v>
      </c>
      <c r="F627" s="53" t="s">
        <v>25</v>
      </c>
      <c r="G627" s="53" t="s">
        <v>25</v>
      </c>
      <c r="H627" s="53" t="s">
        <v>36</v>
      </c>
      <c r="I627" s="73">
        <v>43891</v>
      </c>
      <c r="J627" s="74">
        <f>EFEITO!$J$627*EFEITO!$Y$627</f>
        <v>0</v>
      </c>
      <c r="K627" s="74">
        <f ca="1">EFEITO!$L$627*EFEITO!$Z$627</f>
        <v>8158.9925192108676</v>
      </c>
      <c r="L627" s="74">
        <f>EFEITO!$N$627*EFEITO!$AA$627</f>
        <v>21519.519172185548</v>
      </c>
      <c r="M627" s="74">
        <f>$J$627-EFEITO!$K$627*EFEITO!$Y$627</f>
        <v>0</v>
      </c>
      <c r="N627" s="74">
        <f ca="1">$K$627-EFEITO!$M$627*EFEITO!$Z$627</f>
        <v>0</v>
      </c>
      <c r="O627" s="74">
        <f>$L$627-EFEITO!$O$627*EFEITO!$AA$627</f>
        <v>0</v>
      </c>
      <c r="P627" s="57"/>
      <c r="Q627" s="57"/>
      <c r="R627" s="57"/>
      <c r="S627" s="57"/>
      <c r="T627" s="57"/>
      <c r="U627" s="57"/>
      <c r="V627" s="57"/>
      <c r="W627" s="57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</row>
    <row r="628" spans="1:36" ht="11.25" customHeight="1" x14ac:dyDescent="0.2">
      <c r="A628" s="53" t="s">
        <v>28</v>
      </c>
      <c r="B628" s="53" t="s">
        <v>33</v>
      </c>
      <c r="C628" s="53" t="s">
        <v>34</v>
      </c>
      <c r="D628" s="53" t="s">
        <v>42</v>
      </c>
      <c r="E628" s="53" t="s">
        <v>25</v>
      </c>
      <c r="F628" s="53" t="s">
        <v>25</v>
      </c>
      <c r="G628" s="53" t="s">
        <v>25</v>
      </c>
      <c r="H628" s="53" t="s">
        <v>36</v>
      </c>
      <c r="I628" s="73">
        <v>43891</v>
      </c>
      <c r="J628" s="74">
        <f>EFEITO!$J$628*EFEITO!$Y$628</f>
        <v>0</v>
      </c>
      <c r="K628" s="74">
        <f ca="1">EFEITO!$L$628*EFEITO!$Z$628</f>
        <v>61581.423698336082</v>
      </c>
      <c r="L628" s="74">
        <f>EFEITO!$N$628*EFEITO!$AA$628</f>
        <v>162422.33643511141</v>
      </c>
      <c r="M628" s="74">
        <f>$J$628-EFEITO!$K$628*EFEITO!$Y$628</f>
        <v>0</v>
      </c>
      <c r="N628" s="74">
        <f ca="1">$K$628-EFEITO!$M$628*EFEITO!$Z$628</f>
        <v>0</v>
      </c>
      <c r="O628" s="74">
        <f>$L$628-EFEITO!$O$628*EFEITO!$AA$628</f>
        <v>0</v>
      </c>
      <c r="P628" s="57"/>
      <c r="Q628" s="57"/>
      <c r="R628" s="57"/>
      <c r="S628" s="57"/>
      <c r="T628" s="57"/>
      <c r="U628" s="57"/>
      <c r="V628" s="57"/>
      <c r="W628" s="57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</row>
    <row r="629" spans="1:36" ht="11.25" customHeight="1" x14ac:dyDescent="0.2">
      <c r="A629" s="53" t="s">
        <v>21</v>
      </c>
      <c r="B629" s="53" t="s">
        <v>33</v>
      </c>
      <c r="C629" s="53" t="s">
        <v>34</v>
      </c>
      <c r="D629" s="53" t="s">
        <v>42</v>
      </c>
      <c r="E629" s="53" t="s">
        <v>25</v>
      </c>
      <c r="F629" s="53" t="s">
        <v>25</v>
      </c>
      <c r="G629" s="53" t="s">
        <v>25</v>
      </c>
      <c r="H629" s="53" t="s">
        <v>36</v>
      </c>
      <c r="I629" s="73">
        <v>43922</v>
      </c>
      <c r="J629" s="74">
        <f>EFEITO!$J$629*EFEITO!$Y$629</f>
        <v>0</v>
      </c>
      <c r="K629" s="74">
        <f ca="1">EFEITO!$L$629*EFEITO!$Z$629</f>
        <v>1657909.5554070596</v>
      </c>
      <c r="L629" s="74">
        <f>EFEITO!$N$629*EFEITO!$AA$629</f>
        <v>4372772.2974775489</v>
      </c>
      <c r="M629" s="74">
        <f>$J$629-EFEITO!$K$629*EFEITO!$Y$629</f>
        <v>0</v>
      </c>
      <c r="N629" s="74">
        <f ca="1">$K$629-EFEITO!$M$629*EFEITO!$Z$629</f>
        <v>0</v>
      </c>
      <c r="O629" s="74">
        <f>$L$629-EFEITO!$O$629*EFEITO!$AA$629</f>
        <v>0</v>
      </c>
      <c r="P629" s="57"/>
      <c r="Q629" s="57"/>
      <c r="R629" s="57"/>
      <c r="S629" s="57"/>
      <c r="T629" s="57"/>
      <c r="U629" s="57"/>
      <c r="V629" s="57"/>
      <c r="W629" s="57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</row>
    <row r="630" spans="1:36" ht="11.25" customHeight="1" x14ac:dyDescent="0.2">
      <c r="A630" s="53" t="s">
        <v>27</v>
      </c>
      <c r="B630" s="53" t="s">
        <v>33</v>
      </c>
      <c r="C630" s="53" t="s">
        <v>34</v>
      </c>
      <c r="D630" s="53" t="s">
        <v>42</v>
      </c>
      <c r="E630" s="53" t="s">
        <v>25</v>
      </c>
      <c r="F630" s="53" t="s">
        <v>25</v>
      </c>
      <c r="G630" s="53" t="s">
        <v>25</v>
      </c>
      <c r="H630" s="53" t="s">
        <v>36</v>
      </c>
      <c r="I630" s="73">
        <v>43922</v>
      </c>
      <c r="J630" s="74">
        <f>EFEITO!$J$630*EFEITO!$Y$630</f>
        <v>0</v>
      </c>
      <c r="K630" s="74">
        <f ca="1">EFEITO!$L$630*EFEITO!$Z$630</f>
        <v>1152.4549583584737</v>
      </c>
      <c r="L630" s="74">
        <f>EFEITO!$N$630*EFEITO!$AA$630</f>
        <v>3039.624869502165</v>
      </c>
      <c r="M630" s="74">
        <f>$J$630-EFEITO!$K$630*EFEITO!$Y$630</f>
        <v>0</v>
      </c>
      <c r="N630" s="74">
        <f ca="1">$K$630-EFEITO!$M$630*EFEITO!$Z$630</f>
        <v>0</v>
      </c>
      <c r="O630" s="74">
        <f>$L$630-EFEITO!$O$630*EFEITO!$AA$630</f>
        <v>0</v>
      </c>
      <c r="P630" s="57"/>
      <c r="Q630" s="57"/>
      <c r="R630" s="57"/>
      <c r="S630" s="57"/>
      <c r="T630" s="57"/>
      <c r="U630" s="57"/>
      <c r="V630" s="57"/>
      <c r="W630" s="57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</row>
    <row r="631" spans="1:36" ht="11.25" customHeight="1" x14ac:dyDescent="0.2">
      <c r="A631" s="53" t="s">
        <v>28</v>
      </c>
      <c r="B631" s="53" t="s">
        <v>33</v>
      </c>
      <c r="C631" s="53" t="s">
        <v>34</v>
      </c>
      <c r="D631" s="53" t="s">
        <v>42</v>
      </c>
      <c r="E631" s="53" t="s">
        <v>25</v>
      </c>
      <c r="F631" s="53" t="s">
        <v>25</v>
      </c>
      <c r="G631" s="53" t="s">
        <v>25</v>
      </c>
      <c r="H631" s="53" t="s">
        <v>36</v>
      </c>
      <c r="I631" s="73">
        <v>43922</v>
      </c>
      <c r="J631" s="74">
        <f>EFEITO!$J$631*EFEITO!$Y$631</f>
        <v>0</v>
      </c>
      <c r="K631" s="74">
        <f ca="1">EFEITO!$L$631*EFEITO!$Z$631</f>
        <v>65164.553896555575</v>
      </c>
      <c r="L631" s="74">
        <f>EFEITO!$N$631*EFEITO!$AA$631</f>
        <v>171872.91980253914</v>
      </c>
      <c r="M631" s="74">
        <f>$J$631-EFEITO!$K$631*EFEITO!$Y$631</f>
        <v>0</v>
      </c>
      <c r="N631" s="74">
        <f ca="1">$K$631-EFEITO!$M$631*EFEITO!$Z$631</f>
        <v>0</v>
      </c>
      <c r="O631" s="74">
        <f>$L$631-EFEITO!$O$631*EFEITO!$AA$631</f>
        <v>0</v>
      </c>
      <c r="P631" s="57"/>
      <c r="Q631" s="57"/>
      <c r="R631" s="57"/>
      <c r="S631" s="57"/>
      <c r="T631" s="57"/>
      <c r="U631" s="57"/>
      <c r="V631" s="57"/>
      <c r="W631" s="57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</row>
    <row r="632" spans="1:36" ht="11.25" customHeight="1" x14ac:dyDescent="0.2">
      <c r="A632" s="53" t="s">
        <v>21</v>
      </c>
      <c r="B632" s="53" t="s">
        <v>33</v>
      </c>
      <c r="C632" s="53" t="s">
        <v>34</v>
      </c>
      <c r="D632" s="53" t="s">
        <v>42</v>
      </c>
      <c r="E632" s="53" t="s">
        <v>25</v>
      </c>
      <c r="F632" s="53" t="s">
        <v>25</v>
      </c>
      <c r="G632" s="53" t="s">
        <v>25</v>
      </c>
      <c r="H632" s="53" t="s">
        <v>36</v>
      </c>
      <c r="I632" s="73">
        <v>43952</v>
      </c>
      <c r="J632" s="74">
        <f>EFEITO!$J$632*EFEITO!$Y$632</f>
        <v>0</v>
      </c>
      <c r="K632" s="74">
        <f ca="1">EFEITO!$L$632*EFEITO!$Z$632</f>
        <v>1347904.1602122621</v>
      </c>
      <c r="L632" s="74">
        <f>EFEITO!$N$632*EFEITO!$AA$632</f>
        <v>3555126.3651314024</v>
      </c>
      <c r="M632" s="74">
        <f>$J$632-EFEITO!$K$632*EFEITO!$Y$632</f>
        <v>0</v>
      </c>
      <c r="N632" s="74">
        <f ca="1">$K$632-EFEITO!$M$632*EFEITO!$Z$632</f>
        <v>0</v>
      </c>
      <c r="O632" s="74">
        <f>$L$632-EFEITO!$O$632*EFEITO!$AA$632</f>
        <v>0</v>
      </c>
      <c r="P632" s="57"/>
      <c r="Q632" s="57"/>
      <c r="R632" s="57"/>
      <c r="S632" s="57"/>
      <c r="T632" s="57"/>
      <c r="U632" s="57"/>
      <c r="V632" s="57"/>
      <c r="W632" s="57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</row>
    <row r="633" spans="1:36" ht="11.25" customHeight="1" x14ac:dyDescent="0.2">
      <c r="A633" s="53" t="s">
        <v>27</v>
      </c>
      <c r="B633" s="53" t="s">
        <v>33</v>
      </c>
      <c r="C633" s="53" t="s">
        <v>34</v>
      </c>
      <c r="D633" s="53" t="s">
        <v>42</v>
      </c>
      <c r="E633" s="53" t="s">
        <v>25</v>
      </c>
      <c r="F633" s="53" t="s">
        <v>25</v>
      </c>
      <c r="G633" s="53" t="s">
        <v>25</v>
      </c>
      <c r="H633" s="53" t="s">
        <v>36</v>
      </c>
      <c r="I633" s="73">
        <v>43952</v>
      </c>
      <c r="J633" s="74">
        <f>EFEITO!$J$633*EFEITO!$Y$633</f>
        <v>0</v>
      </c>
      <c r="K633" s="74">
        <f ca="1">EFEITO!$L$633*EFEITO!$Z$633</f>
        <v>1136.2638763949017</v>
      </c>
      <c r="L633" s="74">
        <f>EFEITO!$N$633*EFEITO!$AA$633</f>
        <v>2996.9205407614377</v>
      </c>
      <c r="M633" s="74">
        <f>$J$633-EFEITO!$K$633*EFEITO!$Y$633</f>
        <v>0</v>
      </c>
      <c r="N633" s="74">
        <f ca="1">$K$633-EFEITO!$M$633*EFEITO!$Z$633</f>
        <v>0</v>
      </c>
      <c r="O633" s="74">
        <f>$L$633-EFEITO!$O$633*EFEITO!$AA$633</f>
        <v>0</v>
      </c>
      <c r="P633" s="57"/>
      <c r="Q633" s="57"/>
      <c r="R633" s="57"/>
      <c r="S633" s="57"/>
      <c r="T633" s="57"/>
      <c r="U633" s="57"/>
      <c r="V633" s="57"/>
      <c r="W633" s="57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</row>
    <row r="634" spans="1:36" ht="11.25" customHeight="1" x14ac:dyDescent="0.2">
      <c r="A634" s="53" t="s">
        <v>28</v>
      </c>
      <c r="B634" s="53" t="s">
        <v>33</v>
      </c>
      <c r="C634" s="53" t="s">
        <v>34</v>
      </c>
      <c r="D634" s="53" t="s">
        <v>42</v>
      </c>
      <c r="E634" s="53" t="s">
        <v>25</v>
      </c>
      <c r="F634" s="53" t="s">
        <v>25</v>
      </c>
      <c r="G634" s="53" t="s">
        <v>25</v>
      </c>
      <c r="H634" s="53" t="s">
        <v>36</v>
      </c>
      <c r="I634" s="73">
        <v>43952</v>
      </c>
      <c r="J634" s="74">
        <f>EFEITO!$J$634*EFEITO!$Y$634</f>
        <v>0</v>
      </c>
      <c r="K634" s="74">
        <f ca="1">EFEITO!$L$634*EFEITO!$Z$634</f>
        <v>54562.458388084626</v>
      </c>
      <c r="L634" s="74">
        <f>EFEITO!$N$634*EFEITO!$AA$634</f>
        <v>143909.66367469192</v>
      </c>
      <c r="M634" s="74">
        <f>$J$634-EFEITO!$K$634*EFEITO!$Y$634</f>
        <v>0</v>
      </c>
      <c r="N634" s="74">
        <f ca="1">$K$634-EFEITO!$M$634*EFEITO!$Z$634</f>
        <v>0</v>
      </c>
      <c r="O634" s="74">
        <f>$L$634-EFEITO!$O$634*EFEITO!$AA$634</f>
        <v>0</v>
      </c>
      <c r="P634" s="57"/>
      <c r="Q634" s="57"/>
      <c r="R634" s="57"/>
      <c r="S634" s="57"/>
      <c r="T634" s="57"/>
      <c r="U634" s="57"/>
      <c r="V634" s="57"/>
      <c r="W634" s="57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</row>
    <row r="635" spans="1:36" ht="11.25" customHeight="1" x14ac:dyDescent="0.2">
      <c r="A635" s="53" t="s">
        <v>21</v>
      </c>
      <c r="B635" s="53" t="s">
        <v>33</v>
      </c>
      <c r="C635" s="53" t="s">
        <v>34</v>
      </c>
      <c r="D635" s="53" t="s">
        <v>42</v>
      </c>
      <c r="E635" s="53" t="s">
        <v>25</v>
      </c>
      <c r="F635" s="53" t="s">
        <v>25</v>
      </c>
      <c r="G635" s="53" t="s">
        <v>25</v>
      </c>
      <c r="H635" s="53" t="s">
        <v>36</v>
      </c>
      <c r="I635" s="73">
        <v>43983</v>
      </c>
      <c r="J635" s="74">
        <f>EFEITO!$J$635*EFEITO!$Y$635</f>
        <v>0</v>
      </c>
      <c r="K635" s="74">
        <f ca="1">EFEITO!$L$635*EFEITO!$Z$635</f>
        <v>1361396.8452077217</v>
      </c>
      <c r="L635" s="74">
        <f>EFEITO!$N$635*EFEITO!$AA$635</f>
        <v>3590713.6135276216</v>
      </c>
      <c r="M635" s="74">
        <f>$J$635-EFEITO!$K$635*EFEITO!$Y$635</f>
        <v>0</v>
      </c>
      <c r="N635" s="74">
        <f ca="1">$K$635-EFEITO!$M$635*EFEITO!$Z$635</f>
        <v>0</v>
      </c>
      <c r="O635" s="74">
        <f>$L$635-EFEITO!$O$635*EFEITO!$AA$635</f>
        <v>0</v>
      </c>
      <c r="P635" s="57"/>
      <c r="Q635" s="57"/>
      <c r="R635" s="57"/>
      <c r="S635" s="57"/>
      <c r="T635" s="57"/>
      <c r="U635" s="57"/>
      <c r="V635" s="57"/>
      <c r="W635" s="57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</row>
    <row r="636" spans="1:36" ht="11.25" customHeight="1" x14ac:dyDescent="0.2">
      <c r="A636" s="53" t="s">
        <v>27</v>
      </c>
      <c r="B636" s="53" t="s">
        <v>33</v>
      </c>
      <c r="C636" s="53" t="s">
        <v>34</v>
      </c>
      <c r="D636" s="53" t="s">
        <v>42</v>
      </c>
      <c r="E636" s="53" t="s">
        <v>25</v>
      </c>
      <c r="F636" s="53" t="s">
        <v>25</v>
      </c>
      <c r="G636" s="53" t="s">
        <v>25</v>
      </c>
      <c r="H636" s="53" t="s">
        <v>36</v>
      </c>
      <c r="I636" s="73">
        <v>43983</v>
      </c>
      <c r="J636" s="74">
        <f>EFEITO!$J$636*EFEITO!$Y$636</f>
        <v>0</v>
      </c>
      <c r="K636" s="74">
        <f ca="1">EFEITO!$L$636*EFEITO!$Z$636</f>
        <v>1085.7652045409498</v>
      </c>
      <c r="L636" s="74">
        <f>EFEITO!$N$636*EFEITO!$AA$636</f>
        <v>2863.7292019322495</v>
      </c>
      <c r="M636" s="74">
        <f>$J$636-EFEITO!$K$636*EFEITO!$Y$636</f>
        <v>0</v>
      </c>
      <c r="N636" s="74">
        <f ca="1">$K$636-EFEITO!$M$636*EFEITO!$Z$636</f>
        <v>0</v>
      </c>
      <c r="O636" s="74">
        <f>$L$636-EFEITO!$O$636*EFEITO!$AA$636</f>
        <v>0</v>
      </c>
      <c r="P636" s="57"/>
      <c r="Q636" s="57"/>
      <c r="R636" s="57"/>
      <c r="S636" s="57"/>
      <c r="T636" s="57"/>
      <c r="U636" s="57"/>
      <c r="V636" s="57"/>
      <c r="W636" s="57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</row>
    <row r="637" spans="1:36" ht="11.25" customHeight="1" x14ac:dyDescent="0.2">
      <c r="A637" s="53" t="s">
        <v>28</v>
      </c>
      <c r="B637" s="53" t="s">
        <v>33</v>
      </c>
      <c r="C637" s="53" t="s">
        <v>34</v>
      </c>
      <c r="D637" s="53" t="s">
        <v>42</v>
      </c>
      <c r="E637" s="53" t="s">
        <v>25</v>
      </c>
      <c r="F637" s="53" t="s">
        <v>25</v>
      </c>
      <c r="G637" s="53" t="s">
        <v>25</v>
      </c>
      <c r="H637" s="53" t="s">
        <v>36</v>
      </c>
      <c r="I637" s="73">
        <v>43983</v>
      </c>
      <c r="J637" s="74">
        <f>EFEITO!$J$637*EFEITO!$Y$637</f>
        <v>0</v>
      </c>
      <c r="K637" s="74">
        <f ca="1">EFEITO!$L$637*EFEITO!$Z$637</f>
        <v>21371.440517657509</v>
      </c>
      <c r="L637" s="74">
        <f>EFEITO!$N$637*EFEITO!$AA$637</f>
        <v>56367.636429875696</v>
      </c>
      <c r="M637" s="74">
        <f>$J$637-EFEITO!$K$637*EFEITO!$Y$637</f>
        <v>0</v>
      </c>
      <c r="N637" s="74">
        <f ca="1">$K$637-EFEITO!$M$637*EFEITO!$Z$637</f>
        <v>0</v>
      </c>
      <c r="O637" s="74">
        <f>$L$637-EFEITO!$O$637*EFEITO!$AA$637</f>
        <v>0</v>
      </c>
      <c r="P637" s="57"/>
      <c r="Q637" s="57"/>
      <c r="R637" s="57"/>
      <c r="S637" s="57"/>
      <c r="T637" s="57"/>
      <c r="U637" s="57"/>
      <c r="V637" s="57"/>
      <c r="W637" s="57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</row>
    <row r="638" spans="1:36" ht="11.25" customHeight="1" x14ac:dyDescent="0.2">
      <c r="A638" s="53" t="s">
        <v>21</v>
      </c>
      <c r="B638" s="53" t="s">
        <v>33</v>
      </c>
      <c r="C638" s="53" t="s">
        <v>34</v>
      </c>
      <c r="D638" s="53" t="s">
        <v>42</v>
      </c>
      <c r="E638" s="53" t="s">
        <v>25</v>
      </c>
      <c r="F638" s="53" t="s">
        <v>25</v>
      </c>
      <c r="G638" s="53" t="s">
        <v>25</v>
      </c>
      <c r="H638" s="53" t="s">
        <v>36</v>
      </c>
      <c r="I638" s="73">
        <v>44013</v>
      </c>
      <c r="J638" s="74">
        <f>EFEITO!$J$638*EFEITO!$Y$638</f>
        <v>0</v>
      </c>
      <c r="K638" s="74">
        <f ca="1">EFEITO!$L$638*EFEITO!$Z$638</f>
        <v>1323070.1911771733</v>
      </c>
      <c r="L638" s="74">
        <f>EFEITO!$N$638*EFEITO!$AA$638</f>
        <v>3489626.2348746653</v>
      </c>
      <c r="M638" s="74">
        <f>$J$638-EFEITO!$K$638*EFEITO!$Y$638</f>
        <v>0</v>
      </c>
      <c r="N638" s="74">
        <f ca="1">$K$638-EFEITO!$M$638*EFEITO!$Z$638</f>
        <v>0</v>
      </c>
      <c r="O638" s="74">
        <f>$L$638-EFEITO!$O$638*EFEITO!$AA$638</f>
        <v>0</v>
      </c>
      <c r="P638" s="57"/>
      <c r="Q638" s="57"/>
      <c r="R638" s="57"/>
      <c r="S638" s="57"/>
      <c r="T638" s="57"/>
      <c r="U638" s="57"/>
      <c r="V638" s="57"/>
      <c r="W638" s="57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</row>
    <row r="639" spans="1:36" ht="11.25" customHeight="1" x14ac:dyDescent="0.2">
      <c r="A639" s="53" t="s">
        <v>27</v>
      </c>
      <c r="B639" s="53" t="s">
        <v>33</v>
      </c>
      <c r="C639" s="53" t="s">
        <v>34</v>
      </c>
      <c r="D639" s="53" t="s">
        <v>42</v>
      </c>
      <c r="E639" s="53" t="s">
        <v>25</v>
      </c>
      <c r="F639" s="53" t="s">
        <v>25</v>
      </c>
      <c r="G639" s="53" t="s">
        <v>25</v>
      </c>
      <c r="H639" s="53" t="s">
        <v>36</v>
      </c>
      <c r="I639" s="73">
        <v>44013</v>
      </c>
      <c r="J639" s="74">
        <f>EFEITO!$J$639*EFEITO!$Y$639</f>
        <v>0</v>
      </c>
      <c r="K639" s="74">
        <f ca="1">EFEITO!$L$639*EFEITO!$Z$639</f>
        <v>3084.5323931034363</v>
      </c>
      <c r="L639" s="74">
        <f>EFEITO!$N$639*EFEITO!$AA$639</f>
        <v>8135.5208764227145</v>
      </c>
      <c r="M639" s="74">
        <f>$J$639-EFEITO!$K$639*EFEITO!$Y$639</f>
        <v>0</v>
      </c>
      <c r="N639" s="74">
        <f ca="1">$K$639-EFEITO!$M$639*EFEITO!$Z$639</f>
        <v>0</v>
      </c>
      <c r="O639" s="74">
        <f>$L$639-EFEITO!$O$639*EFEITO!$AA$639</f>
        <v>0</v>
      </c>
      <c r="P639" s="57"/>
      <c r="Q639" s="57"/>
      <c r="R639" s="57"/>
      <c r="S639" s="57"/>
      <c r="T639" s="57"/>
      <c r="U639" s="57"/>
      <c r="V639" s="57"/>
      <c r="W639" s="57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</row>
    <row r="640" spans="1:36" ht="11.25" customHeight="1" x14ac:dyDescent="0.2">
      <c r="A640" s="53" t="s">
        <v>28</v>
      </c>
      <c r="B640" s="53" t="s">
        <v>33</v>
      </c>
      <c r="C640" s="53" t="s">
        <v>34</v>
      </c>
      <c r="D640" s="53" t="s">
        <v>42</v>
      </c>
      <c r="E640" s="53" t="s">
        <v>25</v>
      </c>
      <c r="F640" s="53" t="s">
        <v>25</v>
      </c>
      <c r="G640" s="53" t="s">
        <v>25</v>
      </c>
      <c r="H640" s="53" t="s">
        <v>36</v>
      </c>
      <c r="I640" s="73">
        <v>44013</v>
      </c>
      <c r="J640" s="74">
        <f>EFEITO!$J$640*EFEITO!$Y$640</f>
        <v>0</v>
      </c>
      <c r="K640" s="74">
        <f ca="1">EFEITO!$L$640*EFEITO!$Z$640</f>
        <v>20667.872366818825</v>
      </c>
      <c r="L640" s="74">
        <f>EFEITO!$N$640*EFEITO!$AA$640</f>
        <v>54511.960220434026</v>
      </c>
      <c r="M640" s="74">
        <f>$J$640-EFEITO!$K$640*EFEITO!$Y$640</f>
        <v>0</v>
      </c>
      <c r="N640" s="74">
        <f ca="1">$K$640-EFEITO!$M$640*EFEITO!$Z$640</f>
        <v>0</v>
      </c>
      <c r="O640" s="74">
        <f>$L$640-EFEITO!$O$640*EFEITO!$AA$640</f>
        <v>0</v>
      </c>
      <c r="P640" s="57"/>
      <c r="Q640" s="57"/>
      <c r="R640" s="57"/>
      <c r="S640" s="57"/>
      <c r="T640" s="57"/>
      <c r="U640" s="57"/>
      <c r="V640" s="57"/>
      <c r="W640" s="57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</row>
    <row r="641" spans="1:36" ht="11.25" customHeight="1" x14ac:dyDescent="0.2">
      <c r="A641" s="53" t="s">
        <v>21</v>
      </c>
      <c r="B641" s="53" t="s">
        <v>33</v>
      </c>
      <c r="C641" s="53" t="s">
        <v>34</v>
      </c>
      <c r="D641" s="53" t="s">
        <v>42</v>
      </c>
      <c r="E641" s="53" t="s">
        <v>25</v>
      </c>
      <c r="F641" s="53" t="s">
        <v>25</v>
      </c>
      <c r="G641" s="53" t="s">
        <v>25</v>
      </c>
      <c r="H641" s="53" t="s">
        <v>36</v>
      </c>
      <c r="I641" s="73">
        <v>44044</v>
      </c>
      <c r="J641" s="74">
        <f>EFEITO!$J$641*EFEITO!$Y$641</f>
        <v>0</v>
      </c>
      <c r="K641" s="74">
        <f ca="1">EFEITO!$L$641*EFEITO!$Z$641</f>
        <v>1428837.7777089933</v>
      </c>
      <c r="L641" s="74">
        <f>EFEITO!$N$641*EFEITO!$AA$641</f>
        <v>3768590.5311168972</v>
      </c>
      <c r="M641" s="74">
        <f>$J$641-EFEITO!$K$641*EFEITO!$Y$641</f>
        <v>0</v>
      </c>
      <c r="N641" s="74">
        <f ca="1">$K$641-EFEITO!$M$641*EFEITO!$Z$641</f>
        <v>0</v>
      </c>
      <c r="O641" s="74">
        <f>$L$641-EFEITO!$O$641*EFEITO!$AA$641</f>
        <v>0</v>
      </c>
      <c r="P641" s="57"/>
      <c r="Q641" s="57"/>
      <c r="R641" s="57"/>
      <c r="S641" s="57"/>
      <c r="T641" s="57"/>
      <c r="U641" s="57"/>
      <c r="V641" s="57"/>
      <c r="W641" s="57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</row>
    <row r="642" spans="1:36" ht="11.25" customHeight="1" x14ac:dyDescent="0.2">
      <c r="A642" s="53" t="s">
        <v>27</v>
      </c>
      <c r="B642" s="53" t="s">
        <v>33</v>
      </c>
      <c r="C642" s="53" t="s">
        <v>34</v>
      </c>
      <c r="D642" s="53" t="s">
        <v>42</v>
      </c>
      <c r="E642" s="53" t="s">
        <v>25</v>
      </c>
      <c r="F642" s="53" t="s">
        <v>25</v>
      </c>
      <c r="G642" s="53" t="s">
        <v>25</v>
      </c>
      <c r="H642" s="53" t="s">
        <v>36</v>
      </c>
      <c r="I642" s="73">
        <v>44044</v>
      </c>
      <c r="J642" s="74">
        <f>EFEITO!$J$642*EFEITO!$Y$642</f>
        <v>0</v>
      </c>
      <c r="K642" s="74">
        <f ca="1">EFEITO!$L$642*EFEITO!$Z$642</f>
        <v>36.057977129684929</v>
      </c>
      <c r="L642" s="74">
        <f>EFEITO!$N$642*EFEITO!$AA$642</f>
        <v>95.103694276647317</v>
      </c>
      <c r="M642" s="74">
        <f>$J$642-EFEITO!$K$642*EFEITO!$Y$642</f>
        <v>0</v>
      </c>
      <c r="N642" s="74">
        <f ca="1">$K$642-EFEITO!$M$642*EFEITO!$Z$642</f>
        <v>0</v>
      </c>
      <c r="O642" s="74">
        <f>$L$642-EFEITO!$O$642*EFEITO!$AA$642</f>
        <v>0</v>
      </c>
      <c r="P642" s="57"/>
      <c r="Q642" s="57"/>
      <c r="R642" s="57"/>
      <c r="S642" s="57"/>
      <c r="T642" s="57"/>
      <c r="U642" s="57"/>
      <c r="V642" s="57"/>
      <c r="W642" s="57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</row>
    <row r="643" spans="1:36" ht="11.25" customHeight="1" x14ac:dyDescent="0.2">
      <c r="A643" s="53" t="s">
        <v>28</v>
      </c>
      <c r="B643" s="53" t="s">
        <v>33</v>
      </c>
      <c r="C643" s="53" t="s">
        <v>34</v>
      </c>
      <c r="D643" s="53" t="s">
        <v>42</v>
      </c>
      <c r="E643" s="53" t="s">
        <v>25</v>
      </c>
      <c r="F643" s="53" t="s">
        <v>25</v>
      </c>
      <c r="G643" s="53" t="s">
        <v>25</v>
      </c>
      <c r="H643" s="53" t="s">
        <v>36</v>
      </c>
      <c r="I643" s="73">
        <v>44044</v>
      </c>
      <c r="J643" s="74">
        <f>EFEITO!$J$643*EFEITO!$Y$643</f>
        <v>0</v>
      </c>
      <c r="K643" s="74">
        <f ca="1">EFEITO!$L$643*EFEITO!$Z$643</f>
        <v>30851.712844457823</v>
      </c>
      <c r="L643" s="74">
        <f>EFEITO!$N$643*EFEITO!$AA$643</f>
        <v>81372.059661514024</v>
      </c>
      <c r="M643" s="74">
        <f>$J$643-EFEITO!$K$643*EFEITO!$Y$643</f>
        <v>0</v>
      </c>
      <c r="N643" s="74">
        <f ca="1">$K$643-EFEITO!$M$643*EFEITO!$Z$643</f>
        <v>0</v>
      </c>
      <c r="O643" s="74">
        <f>$L$643-EFEITO!$O$643*EFEITO!$AA$643</f>
        <v>0</v>
      </c>
      <c r="P643" s="57"/>
      <c r="Q643" s="57"/>
      <c r="R643" s="57"/>
      <c r="S643" s="57"/>
      <c r="T643" s="57"/>
      <c r="U643" s="57"/>
      <c r="V643" s="57"/>
      <c r="W643" s="57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</row>
    <row r="644" spans="1:36" ht="11.25" customHeight="1" x14ac:dyDescent="0.2">
      <c r="A644" s="53" t="s">
        <v>59</v>
      </c>
      <c r="B644" s="53" t="s">
        <v>33</v>
      </c>
      <c r="C644" s="53" t="s">
        <v>34</v>
      </c>
      <c r="D644" s="53" t="s">
        <v>42</v>
      </c>
      <c r="E644" s="53" t="s">
        <v>25</v>
      </c>
      <c r="F644" s="53" t="s">
        <v>25</v>
      </c>
      <c r="G644" s="53" t="s">
        <v>25</v>
      </c>
      <c r="H644" s="53" t="s">
        <v>36</v>
      </c>
      <c r="I644" s="73">
        <v>44075</v>
      </c>
      <c r="J644" s="74">
        <f>EFEITO!$J$644*EFEITO!$Y$644</f>
        <v>0</v>
      </c>
      <c r="K644" s="74">
        <f ca="1">EFEITO!$L$644*EFEITO!$Z$644</f>
        <v>1428837.7777089933</v>
      </c>
      <c r="L644" s="74">
        <f>EFEITO!$N$644*EFEITO!$AA$644</f>
        <v>3768590.5311168972</v>
      </c>
      <c r="M644" s="74">
        <f>$J$644-EFEITO!$K$644*EFEITO!$Y$644</f>
        <v>0</v>
      </c>
      <c r="N644" s="74">
        <f ca="1">$K$644-EFEITO!$M$644*EFEITO!$Z$644</f>
        <v>0</v>
      </c>
      <c r="O644" s="74">
        <f>$L$644-EFEITO!$O$644*EFEITO!$AA$644</f>
        <v>0</v>
      </c>
      <c r="P644" s="57"/>
      <c r="Q644" s="57"/>
      <c r="R644" s="57"/>
      <c r="S644" s="57"/>
      <c r="T644" s="57"/>
      <c r="U644" s="57"/>
      <c r="V644" s="57"/>
      <c r="W644" s="57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</row>
    <row r="645" spans="1:36" ht="11.25" customHeight="1" x14ac:dyDescent="0.2">
      <c r="A645" s="53" t="s">
        <v>59</v>
      </c>
      <c r="B645" s="53" t="s">
        <v>33</v>
      </c>
      <c r="C645" s="53" t="s">
        <v>34</v>
      </c>
      <c r="D645" s="53" t="s">
        <v>42</v>
      </c>
      <c r="E645" s="53" t="s">
        <v>25</v>
      </c>
      <c r="F645" s="53" t="s">
        <v>25</v>
      </c>
      <c r="G645" s="53" t="s">
        <v>25</v>
      </c>
      <c r="H645" s="53" t="s">
        <v>36</v>
      </c>
      <c r="I645" s="73">
        <v>44075</v>
      </c>
      <c r="J645" s="74">
        <f>EFEITO!$J$645*EFEITO!$Y$645</f>
        <v>0</v>
      </c>
      <c r="K645" s="74">
        <f ca="1">EFEITO!$L$645*EFEITO!$Z$645</f>
        <v>36.057977129684929</v>
      </c>
      <c r="L645" s="74">
        <f>EFEITO!$N$645*EFEITO!$AA$645</f>
        <v>95.103694276647317</v>
      </c>
      <c r="M645" s="74">
        <f>$J$645-EFEITO!$K$645*EFEITO!$Y$645</f>
        <v>0</v>
      </c>
      <c r="N645" s="74">
        <f ca="1">$K$645-EFEITO!$M$645*EFEITO!$Z$645</f>
        <v>0</v>
      </c>
      <c r="O645" s="74">
        <f>$L$645-EFEITO!$O$645*EFEITO!$AA$645</f>
        <v>0</v>
      </c>
      <c r="P645" s="57"/>
      <c r="Q645" s="57"/>
      <c r="R645" s="57"/>
      <c r="S645" s="57"/>
      <c r="T645" s="57"/>
      <c r="U645" s="57"/>
      <c r="V645" s="57"/>
      <c r="W645" s="57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</row>
    <row r="646" spans="1:36" ht="11.25" customHeight="1" x14ac:dyDescent="0.2">
      <c r="A646" s="53" t="s">
        <v>59</v>
      </c>
      <c r="B646" s="53" t="s">
        <v>33</v>
      </c>
      <c r="C646" s="53" t="s">
        <v>34</v>
      </c>
      <c r="D646" s="53" t="s">
        <v>42</v>
      </c>
      <c r="E646" s="53" t="s">
        <v>25</v>
      </c>
      <c r="F646" s="53" t="s">
        <v>25</v>
      </c>
      <c r="G646" s="53" t="s">
        <v>25</v>
      </c>
      <c r="H646" s="53" t="s">
        <v>36</v>
      </c>
      <c r="I646" s="73">
        <v>44075</v>
      </c>
      <c r="J646" s="74">
        <f>EFEITO!$J$646*EFEITO!$Y$646</f>
        <v>0</v>
      </c>
      <c r="K646" s="74">
        <f ca="1">EFEITO!$L$646*EFEITO!$Z$646</f>
        <v>30851.712844457823</v>
      </c>
      <c r="L646" s="74">
        <f>EFEITO!$N$646*EFEITO!$AA$646</f>
        <v>81372.059661514024</v>
      </c>
      <c r="M646" s="74">
        <f>$J$646-EFEITO!$K$646*EFEITO!$Y$646</f>
        <v>0</v>
      </c>
      <c r="N646" s="74">
        <f ca="1">$K$646-EFEITO!$M$646*EFEITO!$Z$646</f>
        <v>0</v>
      </c>
      <c r="O646" s="74">
        <f>$L$646-EFEITO!$O$646*EFEITO!$AA$646</f>
        <v>0</v>
      </c>
      <c r="P646" s="57"/>
      <c r="Q646" s="57"/>
      <c r="R646" s="57"/>
      <c r="S646" s="57"/>
      <c r="T646" s="57"/>
      <c r="U646" s="57"/>
      <c r="V646" s="57"/>
      <c r="W646" s="57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</row>
    <row r="647" spans="1:36" ht="11.25" customHeight="1" x14ac:dyDescent="0.2">
      <c r="A647" s="53" t="s">
        <v>21</v>
      </c>
      <c r="B647" s="53" t="s">
        <v>33</v>
      </c>
      <c r="C647" s="53" t="s">
        <v>34</v>
      </c>
      <c r="D647" s="53" t="s">
        <v>42</v>
      </c>
      <c r="E647" s="53" t="s">
        <v>25</v>
      </c>
      <c r="F647" s="53" t="s">
        <v>25</v>
      </c>
      <c r="G647" s="53" t="s">
        <v>25</v>
      </c>
      <c r="H647" s="53" t="s">
        <v>25</v>
      </c>
      <c r="I647" s="73">
        <v>43739</v>
      </c>
      <c r="J647" s="74">
        <f ca="1">EFEITO!$J$647*EFEITO!$Y$647</f>
        <v>1417652.8724668331</v>
      </c>
      <c r="K647" s="74">
        <f>EFEITO!$L$647*EFEITO!$Z$647</f>
        <v>0</v>
      </c>
      <c r="L647" s="74">
        <f>EFEITO!$N$647*EFEITO!$AA$647</f>
        <v>0</v>
      </c>
      <c r="M647" s="74">
        <f ca="1">$J$647-EFEITO!$K$647*EFEITO!$Y$647</f>
        <v>0</v>
      </c>
      <c r="N647" s="74">
        <f>$K$647-EFEITO!$M$647*EFEITO!$Z$647</f>
        <v>0</v>
      </c>
      <c r="O647" s="74">
        <f>$L$647-EFEITO!$O$647*EFEITO!$AA$647</f>
        <v>0</v>
      </c>
      <c r="P647" s="57"/>
      <c r="Q647" s="57"/>
      <c r="R647" s="57"/>
      <c r="S647" s="57"/>
      <c r="T647" s="57"/>
      <c r="U647" s="57"/>
      <c r="V647" s="57"/>
      <c r="W647" s="57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</row>
    <row r="648" spans="1:36" ht="11.25" customHeight="1" x14ac:dyDescent="0.2">
      <c r="A648" s="53" t="s">
        <v>27</v>
      </c>
      <c r="B648" s="53" t="s">
        <v>33</v>
      </c>
      <c r="C648" s="53" t="s">
        <v>34</v>
      </c>
      <c r="D648" s="53" t="s">
        <v>42</v>
      </c>
      <c r="E648" s="53" t="s">
        <v>25</v>
      </c>
      <c r="F648" s="53" t="s">
        <v>25</v>
      </c>
      <c r="G648" s="53" t="s">
        <v>25</v>
      </c>
      <c r="H648" s="53" t="s">
        <v>25</v>
      </c>
      <c r="I648" s="73">
        <v>43739</v>
      </c>
      <c r="J648" s="74">
        <f ca="1">EFEITO!$J$648*EFEITO!$Y$648</f>
        <v>3137.9457217309755</v>
      </c>
      <c r="K648" s="74">
        <f>EFEITO!$L$648*EFEITO!$Z$648</f>
        <v>0</v>
      </c>
      <c r="L648" s="74">
        <f>EFEITO!$N$648*EFEITO!$AA$648</f>
        <v>0</v>
      </c>
      <c r="M648" s="74">
        <f ca="1">$J$648-EFEITO!$K$648*EFEITO!$Y$648</f>
        <v>0</v>
      </c>
      <c r="N648" s="74">
        <f>$K$648-EFEITO!$M$648*EFEITO!$Z$648</f>
        <v>0</v>
      </c>
      <c r="O648" s="74">
        <f>$L$648-EFEITO!$O$648*EFEITO!$AA$648</f>
        <v>0</v>
      </c>
      <c r="P648" s="57"/>
      <c r="Q648" s="57"/>
      <c r="R648" s="57"/>
      <c r="S648" s="57"/>
      <c r="T648" s="57"/>
      <c r="U648" s="57"/>
      <c r="V648" s="57"/>
      <c r="W648" s="57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</row>
    <row r="649" spans="1:36" ht="11.25" customHeight="1" x14ac:dyDescent="0.2">
      <c r="A649" s="53" t="s">
        <v>28</v>
      </c>
      <c r="B649" s="53" t="s">
        <v>33</v>
      </c>
      <c r="C649" s="53" t="s">
        <v>34</v>
      </c>
      <c r="D649" s="53" t="s">
        <v>42</v>
      </c>
      <c r="E649" s="53" t="s">
        <v>25</v>
      </c>
      <c r="F649" s="53" t="s">
        <v>25</v>
      </c>
      <c r="G649" s="53" t="s">
        <v>25</v>
      </c>
      <c r="H649" s="53" t="s">
        <v>25</v>
      </c>
      <c r="I649" s="73">
        <v>43739</v>
      </c>
      <c r="J649" s="74">
        <f ca="1">EFEITO!$J$649*EFEITO!$Y$649</f>
        <v>126250.77969475283</v>
      </c>
      <c r="K649" s="74">
        <f>EFEITO!$L$649*EFEITO!$Z$649</f>
        <v>0</v>
      </c>
      <c r="L649" s="74">
        <f>EFEITO!$N$649*EFEITO!$AA$649</f>
        <v>0</v>
      </c>
      <c r="M649" s="74">
        <f ca="1">$J$649-EFEITO!$K$649*EFEITO!$Y$649</f>
        <v>0</v>
      </c>
      <c r="N649" s="74">
        <f>$K$649-EFEITO!$M$649*EFEITO!$Z$649</f>
        <v>0</v>
      </c>
      <c r="O649" s="74">
        <f>$L$649-EFEITO!$O$649*EFEITO!$AA$649</f>
        <v>0</v>
      </c>
      <c r="P649" s="57"/>
      <c r="Q649" s="57"/>
      <c r="R649" s="57"/>
      <c r="S649" s="57"/>
      <c r="T649" s="57"/>
      <c r="U649" s="57"/>
      <c r="V649" s="57"/>
      <c r="W649" s="57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</row>
    <row r="650" spans="1:36" ht="11.25" customHeight="1" x14ac:dyDescent="0.2">
      <c r="A650" s="53" t="s">
        <v>21</v>
      </c>
      <c r="B650" s="53" t="s">
        <v>33</v>
      </c>
      <c r="C650" s="53" t="s">
        <v>34</v>
      </c>
      <c r="D650" s="53" t="s">
        <v>42</v>
      </c>
      <c r="E650" s="53" t="s">
        <v>25</v>
      </c>
      <c r="F650" s="53" t="s">
        <v>25</v>
      </c>
      <c r="G650" s="53" t="s">
        <v>25</v>
      </c>
      <c r="H650" s="53" t="s">
        <v>25</v>
      </c>
      <c r="I650" s="73">
        <v>43770</v>
      </c>
      <c r="J650" s="74">
        <f ca="1">EFEITO!$J$650*EFEITO!$Y$650</f>
        <v>1426768.9483591609</v>
      </c>
      <c r="K650" s="74">
        <f>EFEITO!$L$650*EFEITO!$Z$650</f>
        <v>0</v>
      </c>
      <c r="L650" s="74">
        <f>EFEITO!$N$650*EFEITO!$AA$650</f>
        <v>0</v>
      </c>
      <c r="M650" s="74">
        <f ca="1">$J$650-EFEITO!$K$650*EFEITO!$Y$650</f>
        <v>0</v>
      </c>
      <c r="N650" s="74">
        <f>$K$650-EFEITO!$M$650*EFEITO!$Z$650</f>
        <v>0</v>
      </c>
      <c r="O650" s="74">
        <f>$L$650-EFEITO!$O$650*EFEITO!$AA$650</f>
        <v>0</v>
      </c>
      <c r="P650" s="57"/>
      <c r="Q650" s="57"/>
      <c r="R650" s="57"/>
      <c r="S650" s="57"/>
      <c r="T650" s="57"/>
      <c r="U650" s="57"/>
      <c r="V650" s="57"/>
      <c r="W650" s="57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</row>
    <row r="651" spans="1:36" ht="11.25" customHeight="1" x14ac:dyDescent="0.2">
      <c r="A651" s="53" t="s">
        <v>27</v>
      </c>
      <c r="B651" s="53" t="s">
        <v>33</v>
      </c>
      <c r="C651" s="53" t="s">
        <v>34</v>
      </c>
      <c r="D651" s="53" t="s">
        <v>42</v>
      </c>
      <c r="E651" s="53" t="s">
        <v>25</v>
      </c>
      <c r="F651" s="53" t="s">
        <v>25</v>
      </c>
      <c r="G651" s="53" t="s">
        <v>25</v>
      </c>
      <c r="H651" s="53" t="s">
        <v>25</v>
      </c>
      <c r="I651" s="73">
        <v>43770</v>
      </c>
      <c r="J651" s="74">
        <f ca="1">EFEITO!$J$651*EFEITO!$Y$651</f>
        <v>916.18853189225558</v>
      </c>
      <c r="K651" s="74">
        <f>EFEITO!$L$651*EFEITO!$Z$651</f>
        <v>0</v>
      </c>
      <c r="L651" s="74">
        <f>EFEITO!$N$651*EFEITO!$AA$651</f>
        <v>0</v>
      </c>
      <c r="M651" s="74">
        <f ca="1">$J$651-EFEITO!$K$651*EFEITO!$Y$651</f>
        <v>0</v>
      </c>
      <c r="N651" s="74">
        <f>$K$651-EFEITO!$M$651*EFEITO!$Z$651</f>
        <v>0</v>
      </c>
      <c r="O651" s="74">
        <f>$L$651-EFEITO!$O$651*EFEITO!$AA$651</f>
        <v>0</v>
      </c>
      <c r="P651" s="57"/>
      <c r="Q651" s="57"/>
      <c r="R651" s="57"/>
      <c r="S651" s="57"/>
      <c r="T651" s="57"/>
      <c r="U651" s="57"/>
      <c r="V651" s="57"/>
      <c r="W651" s="57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</row>
    <row r="652" spans="1:36" ht="11.25" customHeight="1" x14ac:dyDescent="0.2">
      <c r="A652" s="53" t="s">
        <v>28</v>
      </c>
      <c r="B652" s="53" t="s">
        <v>33</v>
      </c>
      <c r="C652" s="53" t="s">
        <v>34</v>
      </c>
      <c r="D652" s="53" t="s">
        <v>42</v>
      </c>
      <c r="E652" s="53" t="s">
        <v>25</v>
      </c>
      <c r="F652" s="53" t="s">
        <v>25</v>
      </c>
      <c r="G652" s="53" t="s">
        <v>25</v>
      </c>
      <c r="H652" s="53" t="s">
        <v>25</v>
      </c>
      <c r="I652" s="73">
        <v>43770</v>
      </c>
      <c r="J652" s="74">
        <f ca="1">EFEITO!$J$652*EFEITO!$Y$652</f>
        <v>126250.77969475283</v>
      </c>
      <c r="K652" s="74">
        <f>EFEITO!$L$652*EFEITO!$Z$652</f>
        <v>0</v>
      </c>
      <c r="L652" s="74">
        <f>EFEITO!$N$652*EFEITO!$AA$652</f>
        <v>0</v>
      </c>
      <c r="M652" s="74">
        <f ca="1">$J$652-EFEITO!$K$652*EFEITO!$Y$652</f>
        <v>0</v>
      </c>
      <c r="N652" s="74">
        <f>$K$652-EFEITO!$M$652*EFEITO!$Z$652</f>
        <v>0</v>
      </c>
      <c r="O652" s="74">
        <f>$L$652-EFEITO!$O$652*EFEITO!$AA$652</f>
        <v>0</v>
      </c>
      <c r="P652" s="57"/>
      <c r="Q652" s="57"/>
      <c r="R652" s="57"/>
      <c r="S652" s="57"/>
      <c r="T652" s="57"/>
      <c r="U652" s="57"/>
      <c r="V652" s="57"/>
      <c r="W652" s="57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</row>
    <row r="653" spans="1:36" ht="11.25" customHeight="1" x14ac:dyDescent="0.2">
      <c r="A653" s="53" t="s">
        <v>21</v>
      </c>
      <c r="B653" s="53" t="s">
        <v>33</v>
      </c>
      <c r="C653" s="53" t="s">
        <v>34</v>
      </c>
      <c r="D653" s="53" t="s">
        <v>42</v>
      </c>
      <c r="E653" s="53" t="s">
        <v>25</v>
      </c>
      <c r="F653" s="53" t="s">
        <v>25</v>
      </c>
      <c r="G653" s="53" t="s">
        <v>25</v>
      </c>
      <c r="H653" s="53" t="s">
        <v>25</v>
      </c>
      <c r="I653" s="73">
        <v>43800</v>
      </c>
      <c r="J653" s="74">
        <f ca="1">EFEITO!$J$653*EFEITO!$Y$653</f>
        <v>1397462.3676952575</v>
      </c>
      <c r="K653" s="74">
        <f>EFEITO!$L$653*EFEITO!$Z$653</f>
        <v>0</v>
      </c>
      <c r="L653" s="74">
        <f>EFEITO!$N$653*EFEITO!$AA$653</f>
        <v>0</v>
      </c>
      <c r="M653" s="74">
        <f ca="1">$J$653-EFEITO!$K$653*EFEITO!$Y$653</f>
        <v>0</v>
      </c>
      <c r="N653" s="74">
        <f>$K$653-EFEITO!$M$653*EFEITO!$Z$653</f>
        <v>0</v>
      </c>
      <c r="O653" s="74">
        <f>$L$653-EFEITO!$O$653*EFEITO!$AA$653</f>
        <v>0</v>
      </c>
      <c r="P653" s="57"/>
      <c r="Q653" s="57"/>
      <c r="R653" s="57"/>
      <c r="S653" s="57"/>
      <c r="T653" s="57"/>
      <c r="U653" s="57"/>
      <c r="V653" s="57"/>
      <c r="W653" s="57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</row>
    <row r="654" spans="1:36" ht="11.25" customHeight="1" x14ac:dyDescent="0.2">
      <c r="A654" s="53" t="s">
        <v>27</v>
      </c>
      <c r="B654" s="53" t="s">
        <v>33</v>
      </c>
      <c r="C654" s="53" t="s">
        <v>34</v>
      </c>
      <c r="D654" s="53" t="s">
        <v>42</v>
      </c>
      <c r="E654" s="53" t="s">
        <v>25</v>
      </c>
      <c r="F654" s="53" t="s">
        <v>25</v>
      </c>
      <c r="G654" s="53" t="s">
        <v>25</v>
      </c>
      <c r="H654" s="53" t="s">
        <v>25</v>
      </c>
      <c r="I654" s="73">
        <v>43800</v>
      </c>
      <c r="J654" s="74">
        <f ca="1">EFEITO!$J$654*EFEITO!$Y$654</f>
        <v>2634.0420291902351</v>
      </c>
      <c r="K654" s="74">
        <f>EFEITO!$L$654*EFEITO!$Z$654</f>
        <v>0</v>
      </c>
      <c r="L654" s="74">
        <f>EFEITO!$N$654*EFEITO!$AA$654</f>
        <v>0</v>
      </c>
      <c r="M654" s="74">
        <f ca="1">$J$654-EFEITO!$K$654*EFEITO!$Y$654</f>
        <v>0</v>
      </c>
      <c r="N654" s="74">
        <f>$K$654-EFEITO!$M$654*EFEITO!$Z$654</f>
        <v>0</v>
      </c>
      <c r="O654" s="74">
        <f>$L$654-EFEITO!$O$654*EFEITO!$AA$654</f>
        <v>0</v>
      </c>
      <c r="P654" s="57"/>
      <c r="Q654" s="57"/>
      <c r="R654" s="57"/>
      <c r="S654" s="57"/>
      <c r="T654" s="57"/>
      <c r="U654" s="57"/>
      <c r="V654" s="57"/>
      <c r="W654" s="57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</row>
    <row r="655" spans="1:36" ht="11.25" customHeight="1" x14ac:dyDescent="0.2">
      <c r="A655" s="53" t="s">
        <v>28</v>
      </c>
      <c r="B655" s="53" t="s">
        <v>33</v>
      </c>
      <c r="C655" s="53" t="s">
        <v>34</v>
      </c>
      <c r="D655" s="53" t="s">
        <v>42</v>
      </c>
      <c r="E655" s="53" t="s">
        <v>25</v>
      </c>
      <c r="F655" s="53" t="s">
        <v>25</v>
      </c>
      <c r="G655" s="53" t="s">
        <v>25</v>
      </c>
      <c r="H655" s="53" t="s">
        <v>25</v>
      </c>
      <c r="I655" s="73">
        <v>43800</v>
      </c>
      <c r="J655" s="74">
        <f ca="1">EFEITO!$J$655*EFEITO!$Y$655</f>
        <v>132893.14655097167</v>
      </c>
      <c r="K655" s="74">
        <f>EFEITO!$L$655*EFEITO!$Z$655</f>
        <v>0</v>
      </c>
      <c r="L655" s="74">
        <f>EFEITO!$N$655*EFEITO!$AA$655</f>
        <v>0</v>
      </c>
      <c r="M655" s="74">
        <f ca="1">$J$655-EFEITO!$K$655*EFEITO!$Y$655</f>
        <v>0</v>
      </c>
      <c r="N655" s="74">
        <f>$K$655-EFEITO!$M$655*EFEITO!$Z$655</f>
        <v>0</v>
      </c>
      <c r="O655" s="74">
        <f>$L$655-EFEITO!$O$655*EFEITO!$AA$655</f>
        <v>0</v>
      </c>
      <c r="P655" s="57"/>
      <c r="Q655" s="57"/>
      <c r="R655" s="57"/>
      <c r="S655" s="57"/>
      <c r="T655" s="57"/>
      <c r="U655" s="57"/>
      <c r="V655" s="57"/>
      <c r="W655" s="57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</row>
    <row r="656" spans="1:36" ht="11.25" customHeight="1" x14ac:dyDescent="0.2">
      <c r="A656" s="53" t="s">
        <v>21</v>
      </c>
      <c r="B656" s="53" t="s">
        <v>33</v>
      </c>
      <c r="C656" s="53" t="s">
        <v>34</v>
      </c>
      <c r="D656" s="53" t="s">
        <v>42</v>
      </c>
      <c r="E656" s="53" t="s">
        <v>25</v>
      </c>
      <c r="F656" s="53" t="s">
        <v>25</v>
      </c>
      <c r="G656" s="53" t="s">
        <v>25</v>
      </c>
      <c r="H656" s="53" t="s">
        <v>25</v>
      </c>
      <c r="I656" s="73">
        <v>43831</v>
      </c>
      <c r="J656" s="74">
        <f ca="1">EFEITO!$J$656*EFEITO!$Y$656</f>
        <v>1382322.352205738</v>
      </c>
      <c r="K656" s="74">
        <f>EFEITO!$L$656*EFEITO!$Z$656</f>
        <v>0</v>
      </c>
      <c r="L656" s="74">
        <f>EFEITO!$N$656*EFEITO!$AA$656</f>
        <v>0</v>
      </c>
      <c r="M656" s="74">
        <f ca="1">$J$656-EFEITO!$K$656*EFEITO!$Y$656</f>
        <v>0</v>
      </c>
      <c r="N656" s="74">
        <f>$K$656-EFEITO!$M$656*EFEITO!$Z$656</f>
        <v>0</v>
      </c>
      <c r="O656" s="74">
        <f>$L$656-EFEITO!$O$656*EFEITO!$AA$656</f>
        <v>0</v>
      </c>
      <c r="P656" s="57"/>
      <c r="Q656" s="57"/>
      <c r="R656" s="57"/>
      <c r="S656" s="57"/>
      <c r="T656" s="57"/>
      <c r="U656" s="57"/>
      <c r="V656" s="57"/>
      <c r="W656" s="57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</row>
    <row r="657" spans="1:36" ht="11.25" customHeight="1" x14ac:dyDescent="0.2">
      <c r="A657" s="53" t="s">
        <v>27</v>
      </c>
      <c r="B657" s="53" t="s">
        <v>33</v>
      </c>
      <c r="C657" s="53" t="s">
        <v>34</v>
      </c>
      <c r="D657" s="53" t="s">
        <v>42</v>
      </c>
      <c r="E657" s="53" t="s">
        <v>25</v>
      </c>
      <c r="F657" s="53" t="s">
        <v>25</v>
      </c>
      <c r="G657" s="53" t="s">
        <v>25</v>
      </c>
      <c r="H657" s="53" t="s">
        <v>25</v>
      </c>
      <c r="I657" s="73">
        <v>43831</v>
      </c>
      <c r="J657" s="74">
        <f ca="1">EFEITO!$J$657*EFEITO!$Y$657</f>
        <v>3046.3268685417497</v>
      </c>
      <c r="K657" s="74">
        <f>EFEITO!$L$657*EFEITO!$Z$657</f>
        <v>0</v>
      </c>
      <c r="L657" s="74">
        <f>EFEITO!$N$657*EFEITO!$AA$657</f>
        <v>0</v>
      </c>
      <c r="M657" s="74">
        <f ca="1">$J$657-EFEITO!$K$657*EFEITO!$Y$657</f>
        <v>0</v>
      </c>
      <c r="N657" s="74">
        <f>$K$657-EFEITO!$M$657*EFEITO!$Z$657</f>
        <v>0</v>
      </c>
      <c r="O657" s="74">
        <f>$L$657-EFEITO!$O$657*EFEITO!$AA$657</f>
        <v>0</v>
      </c>
      <c r="P657" s="57"/>
      <c r="Q657" s="57"/>
      <c r="R657" s="57"/>
      <c r="S657" s="57"/>
      <c r="T657" s="57"/>
      <c r="U657" s="57"/>
      <c r="V657" s="57"/>
      <c r="W657" s="57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</row>
    <row r="658" spans="1:36" ht="11.25" customHeight="1" x14ac:dyDescent="0.2">
      <c r="A658" s="53" t="s">
        <v>28</v>
      </c>
      <c r="B658" s="53" t="s">
        <v>33</v>
      </c>
      <c r="C658" s="53" t="s">
        <v>34</v>
      </c>
      <c r="D658" s="53" t="s">
        <v>42</v>
      </c>
      <c r="E658" s="53" t="s">
        <v>25</v>
      </c>
      <c r="F658" s="53" t="s">
        <v>25</v>
      </c>
      <c r="G658" s="53" t="s">
        <v>25</v>
      </c>
      <c r="H658" s="53" t="s">
        <v>25</v>
      </c>
      <c r="I658" s="73">
        <v>43831</v>
      </c>
      <c r="J658" s="74">
        <f ca="1">EFEITO!$J$658*EFEITO!$Y$658</f>
        <v>133465.76438340434</v>
      </c>
      <c r="K658" s="74">
        <f>EFEITO!$L$658*EFEITO!$Z$658</f>
        <v>0</v>
      </c>
      <c r="L658" s="74">
        <f>EFEITO!$N$658*EFEITO!$AA$658</f>
        <v>0</v>
      </c>
      <c r="M658" s="74">
        <f ca="1">$J$658-EFEITO!$K$658*EFEITO!$Y$658</f>
        <v>0</v>
      </c>
      <c r="N658" s="74">
        <f>$K$658-EFEITO!$M$658*EFEITO!$Z$658</f>
        <v>0</v>
      </c>
      <c r="O658" s="74">
        <f>$L$658-EFEITO!$O$658*EFEITO!$AA$658</f>
        <v>0</v>
      </c>
      <c r="P658" s="57"/>
      <c r="Q658" s="57"/>
      <c r="R658" s="57"/>
      <c r="S658" s="57"/>
      <c r="T658" s="57"/>
      <c r="U658" s="57"/>
      <c r="V658" s="57"/>
      <c r="W658" s="57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</row>
    <row r="659" spans="1:36" ht="11.25" customHeight="1" x14ac:dyDescent="0.2">
      <c r="A659" s="53" t="s">
        <v>21</v>
      </c>
      <c r="B659" s="53" t="s">
        <v>33</v>
      </c>
      <c r="C659" s="53" t="s">
        <v>34</v>
      </c>
      <c r="D659" s="53" t="s">
        <v>42</v>
      </c>
      <c r="E659" s="53" t="s">
        <v>25</v>
      </c>
      <c r="F659" s="53" t="s">
        <v>25</v>
      </c>
      <c r="G659" s="53" t="s">
        <v>25</v>
      </c>
      <c r="H659" s="53" t="s">
        <v>25</v>
      </c>
      <c r="I659" s="73">
        <v>43862</v>
      </c>
      <c r="J659" s="74">
        <f ca="1">EFEITO!$J$659*EFEITO!$Y$659</f>
        <v>1390762.7390557954</v>
      </c>
      <c r="K659" s="74">
        <f>EFEITO!$L$659*EFEITO!$Z$659</f>
        <v>0</v>
      </c>
      <c r="L659" s="74">
        <f>EFEITO!$N$659*EFEITO!$AA$659</f>
        <v>0</v>
      </c>
      <c r="M659" s="74">
        <f ca="1">$J$659-EFEITO!$K$659*EFEITO!$Y$659</f>
        <v>0</v>
      </c>
      <c r="N659" s="74">
        <f>$K$659-EFEITO!$M$659*EFEITO!$Z$659</f>
        <v>0</v>
      </c>
      <c r="O659" s="74">
        <f>$L$659-EFEITO!$O$659*EFEITO!$AA$659</f>
        <v>0</v>
      </c>
      <c r="P659" s="57"/>
      <c r="Q659" s="57"/>
      <c r="R659" s="57"/>
      <c r="S659" s="57"/>
      <c r="T659" s="57"/>
      <c r="U659" s="57"/>
      <c r="V659" s="57"/>
      <c r="W659" s="57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</row>
    <row r="660" spans="1:36" ht="11.25" customHeight="1" x14ac:dyDescent="0.2">
      <c r="A660" s="53" t="s">
        <v>27</v>
      </c>
      <c r="B660" s="53" t="s">
        <v>33</v>
      </c>
      <c r="C660" s="53" t="s">
        <v>34</v>
      </c>
      <c r="D660" s="53" t="s">
        <v>42</v>
      </c>
      <c r="E660" s="53" t="s">
        <v>25</v>
      </c>
      <c r="F660" s="53" t="s">
        <v>25</v>
      </c>
      <c r="G660" s="53" t="s">
        <v>25</v>
      </c>
      <c r="H660" s="53" t="s">
        <v>25</v>
      </c>
      <c r="I660" s="73">
        <v>43862</v>
      </c>
      <c r="J660" s="74">
        <f ca="1">EFEITO!$J$660*EFEITO!$Y$660</f>
        <v>4237.3719600016821</v>
      </c>
      <c r="K660" s="74">
        <f>EFEITO!$L$660*EFEITO!$Z$660</f>
        <v>0</v>
      </c>
      <c r="L660" s="74">
        <f>EFEITO!$N$660*EFEITO!$AA$660</f>
        <v>0</v>
      </c>
      <c r="M660" s="74">
        <f ca="1">$J$660-EFEITO!$K$660*EFEITO!$Y$660</f>
        <v>0</v>
      </c>
      <c r="N660" s="74">
        <f>$K$660-EFEITO!$M$660*EFEITO!$Z$660</f>
        <v>0</v>
      </c>
      <c r="O660" s="74">
        <f>$L$660-EFEITO!$O$660*EFEITO!$AA$660</f>
        <v>0</v>
      </c>
      <c r="P660" s="57"/>
      <c r="Q660" s="57"/>
      <c r="R660" s="57"/>
      <c r="S660" s="57"/>
      <c r="T660" s="57"/>
      <c r="U660" s="57"/>
      <c r="V660" s="57"/>
      <c r="W660" s="57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</row>
    <row r="661" spans="1:36" ht="11.25" customHeight="1" x14ac:dyDescent="0.2">
      <c r="A661" s="53" t="s">
        <v>28</v>
      </c>
      <c r="B661" s="53" t="s">
        <v>33</v>
      </c>
      <c r="C661" s="53" t="s">
        <v>34</v>
      </c>
      <c r="D661" s="53" t="s">
        <v>42</v>
      </c>
      <c r="E661" s="53" t="s">
        <v>25</v>
      </c>
      <c r="F661" s="53" t="s">
        <v>25</v>
      </c>
      <c r="G661" s="53" t="s">
        <v>25</v>
      </c>
      <c r="H661" s="53" t="s">
        <v>25</v>
      </c>
      <c r="I661" s="73">
        <v>43862</v>
      </c>
      <c r="J661" s="74">
        <f ca="1">EFEITO!$J$661*EFEITO!$Y$661</f>
        <v>134611.00004826966</v>
      </c>
      <c r="K661" s="74">
        <f>EFEITO!$L$661*EFEITO!$Z$661</f>
        <v>0</v>
      </c>
      <c r="L661" s="74">
        <f>EFEITO!$N$661*EFEITO!$AA$661</f>
        <v>0</v>
      </c>
      <c r="M661" s="74">
        <f ca="1">$J$661-EFEITO!$K$661*EFEITO!$Y$661</f>
        <v>0</v>
      </c>
      <c r="N661" s="74">
        <f>$K$661-EFEITO!$M$661*EFEITO!$Z$661</f>
        <v>0</v>
      </c>
      <c r="O661" s="74">
        <f>$L$661-EFEITO!$O$661*EFEITO!$AA$661</f>
        <v>0</v>
      </c>
      <c r="P661" s="57"/>
      <c r="Q661" s="57"/>
      <c r="R661" s="57"/>
      <c r="S661" s="57"/>
      <c r="T661" s="57"/>
      <c r="U661" s="57"/>
      <c r="V661" s="57"/>
      <c r="W661" s="57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</row>
    <row r="662" spans="1:36" ht="11.25" customHeight="1" x14ac:dyDescent="0.2">
      <c r="A662" s="53" t="s">
        <v>21</v>
      </c>
      <c r="B662" s="53" t="s">
        <v>33</v>
      </c>
      <c r="C662" s="53" t="s">
        <v>34</v>
      </c>
      <c r="D662" s="53" t="s">
        <v>42</v>
      </c>
      <c r="E662" s="53" t="s">
        <v>25</v>
      </c>
      <c r="F662" s="53" t="s">
        <v>25</v>
      </c>
      <c r="G662" s="53" t="s">
        <v>25</v>
      </c>
      <c r="H662" s="53" t="s">
        <v>25</v>
      </c>
      <c r="I662" s="73">
        <v>43891</v>
      </c>
      <c r="J662" s="74">
        <f ca="1">EFEITO!$J$662*EFEITO!$Y$662</f>
        <v>1346419.2141122101</v>
      </c>
      <c r="K662" s="74">
        <f>EFEITO!$L$662*EFEITO!$Z$662</f>
        <v>0</v>
      </c>
      <c r="L662" s="74">
        <f>EFEITO!$N$662*EFEITO!$AA$662</f>
        <v>0</v>
      </c>
      <c r="M662" s="74">
        <f ca="1">$J$662-EFEITO!$K$662*EFEITO!$Y$662</f>
        <v>0</v>
      </c>
      <c r="N662" s="74">
        <f>$K$662-EFEITO!$M$662*EFEITO!$Z$662</f>
        <v>0</v>
      </c>
      <c r="O662" s="74">
        <f>$L$662-EFEITO!$O$662*EFEITO!$AA$662</f>
        <v>0</v>
      </c>
      <c r="P662" s="57"/>
      <c r="Q662" s="57"/>
      <c r="R662" s="57"/>
      <c r="S662" s="57"/>
      <c r="T662" s="57"/>
      <c r="U662" s="57"/>
      <c r="V662" s="57"/>
      <c r="W662" s="57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</row>
    <row r="663" spans="1:36" ht="11.25" customHeight="1" x14ac:dyDescent="0.2">
      <c r="A663" s="53" t="s">
        <v>27</v>
      </c>
      <c r="B663" s="53" t="s">
        <v>33</v>
      </c>
      <c r="C663" s="53" t="s">
        <v>34</v>
      </c>
      <c r="D663" s="53" t="s">
        <v>42</v>
      </c>
      <c r="E663" s="53" t="s">
        <v>25</v>
      </c>
      <c r="F663" s="53" t="s">
        <v>25</v>
      </c>
      <c r="G663" s="53" t="s">
        <v>25</v>
      </c>
      <c r="H663" s="53" t="s">
        <v>25</v>
      </c>
      <c r="I663" s="73">
        <v>43891</v>
      </c>
      <c r="J663" s="74">
        <f ca="1">EFEITO!$J$663*EFEITO!$Y$663</f>
        <v>26512.205641632147</v>
      </c>
      <c r="K663" s="74">
        <f>EFEITO!$L$663*EFEITO!$Z$663</f>
        <v>0</v>
      </c>
      <c r="L663" s="74">
        <f>EFEITO!$N$663*EFEITO!$AA$663</f>
        <v>0</v>
      </c>
      <c r="M663" s="74">
        <f ca="1">$J$663-EFEITO!$K$663*EFEITO!$Y$663</f>
        <v>0</v>
      </c>
      <c r="N663" s="74">
        <f>$K$663-EFEITO!$M$663*EFEITO!$Z$663</f>
        <v>0</v>
      </c>
      <c r="O663" s="74">
        <f>$L$663-EFEITO!$O$663*EFEITO!$AA$663</f>
        <v>0</v>
      </c>
      <c r="P663" s="57"/>
      <c r="Q663" s="57"/>
      <c r="R663" s="57"/>
      <c r="S663" s="57"/>
      <c r="T663" s="57"/>
      <c r="U663" s="57"/>
      <c r="V663" s="57"/>
      <c r="W663" s="57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</row>
    <row r="664" spans="1:36" ht="11.25" customHeight="1" x14ac:dyDescent="0.2">
      <c r="A664" s="53" t="s">
        <v>28</v>
      </c>
      <c r="B664" s="53" t="s">
        <v>33</v>
      </c>
      <c r="C664" s="53" t="s">
        <v>34</v>
      </c>
      <c r="D664" s="53" t="s">
        <v>42</v>
      </c>
      <c r="E664" s="53" t="s">
        <v>25</v>
      </c>
      <c r="F664" s="53" t="s">
        <v>25</v>
      </c>
      <c r="G664" s="53" t="s">
        <v>25</v>
      </c>
      <c r="H664" s="53" t="s">
        <v>25</v>
      </c>
      <c r="I664" s="73">
        <v>43891</v>
      </c>
      <c r="J664" s="74">
        <f ca="1">EFEITO!$J$664*EFEITO!$Y$664</f>
        <v>148628.68458622118</v>
      </c>
      <c r="K664" s="74">
        <f>EFEITO!$L$664*EFEITO!$Z$664</f>
        <v>0</v>
      </c>
      <c r="L664" s="74">
        <f>EFEITO!$N$664*EFEITO!$AA$664</f>
        <v>0</v>
      </c>
      <c r="M664" s="74">
        <f ca="1">$J$664-EFEITO!$K$664*EFEITO!$Y$664</f>
        <v>0</v>
      </c>
      <c r="N664" s="74">
        <f>$K$664-EFEITO!$M$664*EFEITO!$Z$664</f>
        <v>0</v>
      </c>
      <c r="O664" s="74">
        <f>$L$664-EFEITO!$O$664*EFEITO!$AA$664</f>
        <v>0</v>
      </c>
      <c r="P664" s="57"/>
      <c r="Q664" s="57"/>
      <c r="R664" s="57"/>
      <c r="S664" s="57"/>
      <c r="T664" s="57"/>
      <c r="U664" s="57"/>
      <c r="V664" s="57"/>
      <c r="W664" s="57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</row>
    <row r="665" spans="1:36" ht="11.25" customHeight="1" x14ac:dyDescent="0.2">
      <c r="A665" s="53" t="s">
        <v>21</v>
      </c>
      <c r="B665" s="53" t="s">
        <v>33</v>
      </c>
      <c r="C665" s="53" t="s">
        <v>34</v>
      </c>
      <c r="D665" s="53" t="s">
        <v>42</v>
      </c>
      <c r="E665" s="53" t="s">
        <v>25</v>
      </c>
      <c r="F665" s="53" t="s">
        <v>25</v>
      </c>
      <c r="G665" s="53" t="s">
        <v>25</v>
      </c>
      <c r="H665" s="53" t="s">
        <v>25</v>
      </c>
      <c r="I665" s="73">
        <v>43922</v>
      </c>
      <c r="J665" s="74">
        <f ca="1">EFEITO!$J$665*EFEITO!$Y$665</f>
        <v>1374832.5109575188</v>
      </c>
      <c r="K665" s="74">
        <f>EFEITO!$L$665*EFEITO!$Z$665</f>
        <v>0</v>
      </c>
      <c r="L665" s="74">
        <f>EFEITO!$N$665*EFEITO!$AA$665</f>
        <v>0</v>
      </c>
      <c r="M665" s="74">
        <f ca="1">$J$665-EFEITO!$K$665*EFEITO!$Y$665</f>
        <v>0</v>
      </c>
      <c r="N665" s="74">
        <f>$K$665-EFEITO!$M$665*EFEITO!$Z$665</f>
        <v>0</v>
      </c>
      <c r="O665" s="74">
        <f>$L$665-EFEITO!$O$665*EFEITO!$AA$665</f>
        <v>0</v>
      </c>
      <c r="P665" s="57"/>
      <c r="Q665" s="57"/>
      <c r="R665" s="57"/>
      <c r="S665" s="57"/>
      <c r="T665" s="57"/>
      <c r="U665" s="57"/>
      <c r="V665" s="57"/>
      <c r="W665" s="57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</row>
    <row r="666" spans="1:36" ht="11.25" customHeight="1" x14ac:dyDescent="0.2">
      <c r="A666" s="53" t="s">
        <v>27</v>
      </c>
      <c r="B666" s="53" t="s">
        <v>33</v>
      </c>
      <c r="C666" s="53" t="s">
        <v>34</v>
      </c>
      <c r="D666" s="53" t="s">
        <v>42</v>
      </c>
      <c r="E666" s="53" t="s">
        <v>25</v>
      </c>
      <c r="F666" s="53" t="s">
        <v>25</v>
      </c>
      <c r="G666" s="53" t="s">
        <v>25</v>
      </c>
      <c r="H666" s="53" t="s">
        <v>25</v>
      </c>
      <c r="I666" s="73">
        <v>43922</v>
      </c>
      <c r="J666" s="74">
        <f ca="1">EFEITO!$J$666*EFEITO!$Y$666</f>
        <v>1946.9006302710432</v>
      </c>
      <c r="K666" s="74">
        <f>EFEITO!$L$666*EFEITO!$Z$666</f>
        <v>0</v>
      </c>
      <c r="L666" s="74">
        <f>EFEITO!$N$666*EFEITO!$AA$666</f>
        <v>0</v>
      </c>
      <c r="M666" s="74">
        <f ca="1">$J$666-EFEITO!$K$666*EFEITO!$Y$666</f>
        <v>0</v>
      </c>
      <c r="N666" s="74">
        <f>$K$666-EFEITO!$M$666*EFEITO!$Z$666</f>
        <v>0</v>
      </c>
      <c r="O666" s="74">
        <f>$L$666-EFEITO!$O$666*EFEITO!$AA$666</f>
        <v>0</v>
      </c>
      <c r="P666" s="57"/>
      <c r="Q666" s="57"/>
      <c r="R666" s="57"/>
      <c r="S666" s="57"/>
      <c r="T666" s="57"/>
      <c r="U666" s="57"/>
      <c r="V666" s="57"/>
      <c r="W666" s="57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</row>
    <row r="667" spans="1:36" ht="11.25" customHeight="1" x14ac:dyDescent="0.2">
      <c r="A667" s="53" t="s">
        <v>28</v>
      </c>
      <c r="B667" s="53" t="s">
        <v>33</v>
      </c>
      <c r="C667" s="53" t="s">
        <v>34</v>
      </c>
      <c r="D667" s="53" t="s">
        <v>42</v>
      </c>
      <c r="E667" s="53" t="s">
        <v>25</v>
      </c>
      <c r="F667" s="53" t="s">
        <v>25</v>
      </c>
      <c r="G667" s="53" t="s">
        <v>25</v>
      </c>
      <c r="H667" s="53" t="s">
        <v>25</v>
      </c>
      <c r="I667" s="73">
        <v>43922</v>
      </c>
      <c r="J667" s="74">
        <f ca="1">EFEITO!$J$667*EFEITO!$Y$667</f>
        <v>156759.85780676492</v>
      </c>
      <c r="K667" s="74">
        <f>EFEITO!$L$667*EFEITO!$Z$667</f>
        <v>0</v>
      </c>
      <c r="L667" s="74">
        <f>EFEITO!$N$667*EFEITO!$AA$667</f>
        <v>0</v>
      </c>
      <c r="M667" s="74">
        <f ca="1">$J$667-EFEITO!$K$667*EFEITO!$Y$667</f>
        <v>0</v>
      </c>
      <c r="N667" s="74">
        <f>$K$667-EFEITO!$M$667*EFEITO!$Z$667</f>
        <v>0</v>
      </c>
      <c r="O667" s="74">
        <f>$L$667-EFEITO!$O$667*EFEITO!$AA$667</f>
        <v>0</v>
      </c>
      <c r="P667" s="57"/>
      <c r="Q667" s="57"/>
      <c r="R667" s="57"/>
      <c r="S667" s="57"/>
      <c r="T667" s="57"/>
      <c r="U667" s="57"/>
      <c r="V667" s="57"/>
      <c r="W667" s="57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</row>
    <row r="668" spans="1:36" ht="11.25" customHeight="1" x14ac:dyDescent="0.2">
      <c r="A668" s="53" t="s">
        <v>21</v>
      </c>
      <c r="B668" s="53" t="s">
        <v>33</v>
      </c>
      <c r="C668" s="53" t="s">
        <v>34</v>
      </c>
      <c r="D668" s="53" t="s">
        <v>42</v>
      </c>
      <c r="E668" s="53" t="s">
        <v>25</v>
      </c>
      <c r="F668" s="53" t="s">
        <v>25</v>
      </c>
      <c r="G668" s="53" t="s">
        <v>25</v>
      </c>
      <c r="H668" s="53" t="s">
        <v>25</v>
      </c>
      <c r="I668" s="73">
        <v>43952</v>
      </c>
      <c r="J668" s="74">
        <f ca="1">EFEITO!$J$668*EFEITO!$Y$668</f>
        <v>1330133.9629578253</v>
      </c>
      <c r="K668" s="74">
        <f>EFEITO!$L$668*EFEITO!$Z$668</f>
        <v>0</v>
      </c>
      <c r="L668" s="74">
        <f>EFEITO!$N$668*EFEITO!$AA$668</f>
        <v>0</v>
      </c>
      <c r="M668" s="74">
        <f ca="1">$J$668-EFEITO!$K$668*EFEITO!$Y$668</f>
        <v>0</v>
      </c>
      <c r="N668" s="74">
        <f>$K$668-EFEITO!$M$668*EFEITO!$Z$668</f>
        <v>0</v>
      </c>
      <c r="O668" s="74">
        <f>$L$668-EFEITO!$O$668*EFEITO!$AA$668</f>
        <v>0</v>
      </c>
      <c r="P668" s="57"/>
      <c r="Q668" s="57"/>
      <c r="R668" s="57"/>
      <c r="S668" s="57"/>
      <c r="T668" s="57"/>
      <c r="U668" s="57"/>
      <c r="V668" s="57"/>
      <c r="W668" s="57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</row>
    <row r="669" spans="1:36" ht="11.25" customHeight="1" x14ac:dyDescent="0.2">
      <c r="A669" s="53" t="s">
        <v>27</v>
      </c>
      <c r="B669" s="53" t="s">
        <v>33</v>
      </c>
      <c r="C669" s="53" t="s">
        <v>34</v>
      </c>
      <c r="D669" s="53" t="s">
        <v>42</v>
      </c>
      <c r="E669" s="53" t="s">
        <v>25</v>
      </c>
      <c r="F669" s="53" t="s">
        <v>25</v>
      </c>
      <c r="G669" s="53" t="s">
        <v>25</v>
      </c>
      <c r="H669" s="53" t="s">
        <v>25</v>
      </c>
      <c r="I669" s="73">
        <v>43952</v>
      </c>
      <c r="J669" s="74">
        <f ca="1">EFEITO!$J$669*EFEITO!$Y$669</f>
        <v>15002.587209735686</v>
      </c>
      <c r="K669" s="74">
        <f>EFEITO!$L$669*EFEITO!$Z$669</f>
        <v>0</v>
      </c>
      <c r="L669" s="74">
        <f>EFEITO!$N$669*EFEITO!$AA$669</f>
        <v>0</v>
      </c>
      <c r="M669" s="74">
        <f ca="1">$J$669-EFEITO!$K$669*EFEITO!$Y$669</f>
        <v>0</v>
      </c>
      <c r="N669" s="74">
        <f>$K$669-EFEITO!$M$669*EFEITO!$Z$669</f>
        <v>0</v>
      </c>
      <c r="O669" s="74">
        <f>$L$669-EFEITO!$O$669*EFEITO!$AA$669</f>
        <v>0</v>
      </c>
      <c r="P669" s="57"/>
      <c r="Q669" s="57"/>
      <c r="R669" s="57"/>
      <c r="S669" s="57"/>
      <c r="T669" s="57"/>
      <c r="U669" s="57"/>
      <c r="V669" s="57"/>
      <c r="W669" s="57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</row>
    <row r="670" spans="1:36" ht="11.25" customHeight="1" x14ac:dyDescent="0.2">
      <c r="A670" s="53" t="s">
        <v>28</v>
      </c>
      <c r="B670" s="53" t="s">
        <v>33</v>
      </c>
      <c r="C670" s="53" t="s">
        <v>34</v>
      </c>
      <c r="D670" s="53" t="s">
        <v>42</v>
      </c>
      <c r="E670" s="53" t="s">
        <v>25</v>
      </c>
      <c r="F670" s="53" t="s">
        <v>25</v>
      </c>
      <c r="G670" s="53" t="s">
        <v>25</v>
      </c>
      <c r="H670" s="53" t="s">
        <v>25</v>
      </c>
      <c r="I670" s="73">
        <v>43952</v>
      </c>
      <c r="J670" s="74">
        <f ca="1">EFEITO!$J$670*EFEITO!$Y$670</f>
        <v>178805.64435542232</v>
      </c>
      <c r="K670" s="74">
        <f>EFEITO!$L$670*EFEITO!$Z$670</f>
        <v>0</v>
      </c>
      <c r="L670" s="74">
        <f>EFEITO!$N$670*EFEITO!$AA$670</f>
        <v>0</v>
      </c>
      <c r="M670" s="74">
        <f ca="1">$J$670-EFEITO!$K$670*EFEITO!$Y$670</f>
        <v>0</v>
      </c>
      <c r="N670" s="74">
        <f>$K$670-EFEITO!$M$670*EFEITO!$Z$670</f>
        <v>0</v>
      </c>
      <c r="O670" s="74">
        <f>$L$670-EFEITO!$O$670*EFEITO!$AA$670</f>
        <v>0</v>
      </c>
      <c r="P670" s="57"/>
      <c r="Q670" s="57"/>
      <c r="R670" s="57"/>
      <c r="S670" s="57"/>
      <c r="T670" s="57"/>
      <c r="U670" s="57"/>
      <c r="V670" s="57"/>
      <c r="W670" s="57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</row>
    <row r="671" spans="1:36" ht="11.25" customHeight="1" x14ac:dyDescent="0.2">
      <c r="A671" s="53" t="s">
        <v>21</v>
      </c>
      <c r="B671" s="53" t="s">
        <v>33</v>
      </c>
      <c r="C671" s="53" t="s">
        <v>34</v>
      </c>
      <c r="D671" s="53" t="s">
        <v>42</v>
      </c>
      <c r="E671" s="53" t="s">
        <v>25</v>
      </c>
      <c r="F671" s="53" t="s">
        <v>25</v>
      </c>
      <c r="G671" s="53" t="s">
        <v>25</v>
      </c>
      <c r="H671" s="53" t="s">
        <v>25</v>
      </c>
      <c r="I671" s="73">
        <v>43983</v>
      </c>
      <c r="J671" s="74">
        <f ca="1">EFEITO!$J$671*EFEITO!$Y$671</f>
        <v>1311856.0017465749</v>
      </c>
      <c r="K671" s="74">
        <f>EFEITO!$L$671*EFEITO!$Z$671</f>
        <v>0</v>
      </c>
      <c r="L671" s="74">
        <f>EFEITO!$N$671*EFEITO!$AA$671</f>
        <v>0</v>
      </c>
      <c r="M671" s="74">
        <f ca="1">$J$671-EFEITO!$K$671*EFEITO!$Y$671</f>
        <v>0</v>
      </c>
      <c r="N671" s="74">
        <f>$K$671-EFEITO!$M$671*EFEITO!$Z$671</f>
        <v>0</v>
      </c>
      <c r="O671" s="74">
        <f>$L$671-EFEITO!$O$671*EFEITO!$AA$671</f>
        <v>0</v>
      </c>
      <c r="P671" s="57"/>
      <c r="Q671" s="57"/>
      <c r="R671" s="57"/>
      <c r="S671" s="57"/>
      <c r="T671" s="57"/>
      <c r="U671" s="57"/>
      <c r="V671" s="57"/>
      <c r="W671" s="57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</row>
    <row r="672" spans="1:36" ht="11.25" customHeight="1" x14ac:dyDescent="0.2">
      <c r="A672" s="53" t="s">
        <v>27</v>
      </c>
      <c r="B672" s="53" t="s">
        <v>33</v>
      </c>
      <c r="C672" s="53" t="s">
        <v>34</v>
      </c>
      <c r="D672" s="53" t="s">
        <v>42</v>
      </c>
      <c r="E672" s="53" t="s">
        <v>25</v>
      </c>
      <c r="F672" s="53" t="s">
        <v>25</v>
      </c>
      <c r="G672" s="53" t="s">
        <v>25</v>
      </c>
      <c r="H672" s="53" t="s">
        <v>25</v>
      </c>
      <c r="I672" s="73">
        <v>43983</v>
      </c>
      <c r="J672" s="74">
        <f ca="1">EFEITO!$J$672*EFEITO!$Y$672</f>
        <v>13055.686579464642</v>
      </c>
      <c r="K672" s="74">
        <f>EFEITO!$L$672*EFEITO!$Z$672</f>
        <v>0</v>
      </c>
      <c r="L672" s="74">
        <f>EFEITO!$N$672*EFEITO!$AA$672</f>
        <v>0</v>
      </c>
      <c r="M672" s="74">
        <f ca="1">$J$672-EFEITO!$K$672*EFEITO!$Y$672</f>
        <v>0</v>
      </c>
      <c r="N672" s="74">
        <f>$K$672-EFEITO!$M$672*EFEITO!$Z$672</f>
        <v>0</v>
      </c>
      <c r="O672" s="74">
        <f>$L$672-EFEITO!$O$672*EFEITO!$AA$672</f>
        <v>0</v>
      </c>
      <c r="P672" s="57"/>
      <c r="Q672" s="57"/>
      <c r="R672" s="57"/>
      <c r="S672" s="57"/>
      <c r="T672" s="57"/>
      <c r="U672" s="57"/>
      <c r="V672" s="57"/>
      <c r="W672" s="57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</row>
    <row r="673" spans="1:36" ht="11.25" customHeight="1" x14ac:dyDescent="0.2">
      <c r="A673" s="53" t="s">
        <v>28</v>
      </c>
      <c r="B673" s="53" t="s">
        <v>33</v>
      </c>
      <c r="C673" s="53" t="s">
        <v>34</v>
      </c>
      <c r="D673" s="53" t="s">
        <v>42</v>
      </c>
      <c r="E673" s="53" t="s">
        <v>25</v>
      </c>
      <c r="F673" s="53" t="s">
        <v>25</v>
      </c>
      <c r="G673" s="53" t="s">
        <v>25</v>
      </c>
      <c r="H673" s="53" t="s">
        <v>25</v>
      </c>
      <c r="I673" s="73">
        <v>43983</v>
      </c>
      <c r="J673" s="74">
        <f ca="1">EFEITO!$J$673*EFEITO!$Y$673</f>
        <v>74783.888915705364</v>
      </c>
      <c r="K673" s="74">
        <f>EFEITO!$L$673*EFEITO!$Z$673</f>
        <v>0</v>
      </c>
      <c r="L673" s="74">
        <f>EFEITO!$N$673*EFEITO!$AA$673</f>
        <v>0</v>
      </c>
      <c r="M673" s="74">
        <f ca="1">$J$673-EFEITO!$K$673*EFEITO!$Y$673</f>
        <v>0</v>
      </c>
      <c r="N673" s="74">
        <f>$K$673-EFEITO!$M$673*EFEITO!$Z$673</f>
        <v>0</v>
      </c>
      <c r="O673" s="74">
        <f>$L$673-EFEITO!$O$673*EFEITO!$AA$673</f>
        <v>0</v>
      </c>
      <c r="P673" s="57"/>
      <c r="Q673" s="57"/>
      <c r="R673" s="57"/>
      <c r="S673" s="57"/>
      <c r="T673" s="57"/>
      <c r="U673" s="57"/>
      <c r="V673" s="57"/>
      <c r="W673" s="57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</row>
    <row r="674" spans="1:36" ht="11.25" customHeight="1" x14ac:dyDescent="0.2">
      <c r="A674" s="53" t="s">
        <v>21</v>
      </c>
      <c r="B674" s="53" t="s">
        <v>33</v>
      </c>
      <c r="C674" s="53" t="s">
        <v>34</v>
      </c>
      <c r="D674" s="53" t="s">
        <v>42</v>
      </c>
      <c r="E674" s="53" t="s">
        <v>25</v>
      </c>
      <c r="F674" s="53" t="s">
        <v>25</v>
      </c>
      <c r="G674" s="53" t="s">
        <v>25</v>
      </c>
      <c r="H674" s="53" t="s">
        <v>25</v>
      </c>
      <c r="I674" s="73">
        <v>44013</v>
      </c>
      <c r="J674" s="74">
        <f ca="1">EFEITO!$J$674*EFEITO!$Y$674</f>
        <v>1371362.4468929768</v>
      </c>
      <c r="K674" s="74">
        <f>EFEITO!$L$674*EFEITO!$Z$674</f>
        <v>0</v>
      </c>
      <c r="L674" s="74">
        <f>EFEITO!$N$674*EFEITO!$AA$674</f>
        <v>0</v>
      </c>
      <c r="M674" s="74">
        <f ca="1">$J$674-EFEITO!$K$674*EFEITO!$Y$674</f>
        <v>0</v>
      </c>
      <c r="N674" s="74">
        <f>$K$674-EFEITO!$M$674*EFEITO!$Z$674</f>
        <v>0</v>
      </c>
      <c r="O674" s="74">
        <f>$L$674-EFEITO!$O$674*EFEITO!$AA$674</f>
        <v>0</v>
      </c>
      <c r="P674" s="57"/>
      <c r="Q674" s="57"/>
      <c r="R674" s="57"/>
      <c r="S674" s="57"/>
      <c r="T674" s="57"/>
      <c r="U674" s="57"/>
      <c r="V674" s="57"/>
      <c r="W674" s="57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</row>
    <row r="675" spans="1:36" ht="11.25" customHeight="1" x14ac:dyDescent="0.2">
      <c r="A675" s="53" t="s">
        <v>27</v>
      </c>
      <c r="B675" s="53" t="s">
        <v>33</v>
      </c>
      <c r="C675" s="53" t="s">
        <v>34</v>
      </c>
      <c r="D675" s="53" t="s">
        <v>42</v>
      </c>
      <c r="E675" s="53" t="s">
        <v>25</v>
      </c>
      <c r="F675" s="53" t="s">
        <v>25</v>
      </c>
      <c r="G675" s="53" t="s">
        <v>25</v>
      </c>
      <c r="H675" s="53" t="s">
        <v>25</v>
      </c>
      <c r="I675" s="73">
        <v>44013</v>
      </c>
      <c r="J675" s="74">
        <f ca="1">EFEITO!$J$675*EFEITO!$Y$675</f>
        <v>3710.5635541636352</v>
      </c>
      <c r="K675" s="74">
        <f>EFEITO!$L$675*EFEITO!$Z$675</f>
        <v>0</v>
      </c>
      <c r="L675" s="74">
        <f>EFEITO!$N$675*EFEITO!$AA$675</f>
        <v>0</v>
      </c>
      <c r="M675" s="74">
        <f ca="1">$J$675-EFEITO!$K$675*EFEITO!$Y$675</f>
        <v>0</v>
      </c>
      <c r="N675" s="74">
        <f>$K$675-EFEITO!$M$675*EFEITO!$Z$675</f>
        <v>0</v>
      </c>
      <c r="O675" s="74">
        <f>$L$675-EFEITO!$O$675*EFEITO!$AA$675</f>
        <v>0</v>
      </c>
      <c r="P675" s="57"/>
      <c r="Q675" s="57"/>
      <c r="R675" s="57"/>
      <c r="S675" s="57"/>
      <c r="T675" s="57"/>
      <c r="U675" s="57"/>
      <c r="V675" s="57"/>
      <c r="W675" s="57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</row>
    <row r="676" spans="1:36" ht="11.25" customHeight="1" x14ac:dyDescent="0.2">
      <c r="A676" s="53" t="s">
        <v>28</v>
      </c>
      <c r="B676" s="53" t="s">
        <v>33</v>
      </c>
      <c r="C676" s="53" t="s">
        <v>34</v>
      </c>
      <c r="D676" s="53" t="s">
        <v>42</v>
      </c>
      <c r="E676" s="53" t="s">
        <v>25</v>
      </c>
      <c r="F676" s="53" t="s">
        <v>25</v>
      </c>
      <c r="G676" s="53" t="s">
        <v>25</v>
      </c>
      <c r="H676" s="53" t="s">
        <v>25</v>
      </c>
      <c r="I676" s="73">
        <v>44013</v>
      </c>
      <c r="J676" s="74">
        <f ca="1">EFEITO!$J$676*EFEITO!$Y$676</f>
        <v>77807.311070949814</v>
      </c>
      <c r="K676" s="74">
        <f>EFEITO!$L$676*EFEITO!$Z$676</f>
        <v>0</v>
      </c>
      <c r="L676" s="74">
        <f>EFEITO!$N$676*EFEITO!$AA$676</f>
        <v>0</v>
      </c>
      <c r="M676" s="74">
        <f ca="1">$J$676-EFEITO!$K$676*EFEITO!$Y$676</f>
        <v>0</v>
      </c>
      <c r="N676" s="74">
        <f>$K$676-EFEITO!$M$676*EFEITO!$Z$676</f>
        <v>0</v>
      </c>
      <c r="O676" s="74">
        <f>$L$676-EFEITO!$O$676*EFEITO!$AA$676</f>
        <v>0</v>
      </c>
      <c r="P676" s="57"/>
      <c r="Q676" s="57"/>
      <c r="R676" s="57"/>
      <c r="S676" s="57"/>
      <c r="T676" s="57"/>
      <c r="U676" s="57"/>
      <c r="V676" s="57"/>
      <c r="W676" s="57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</row>
    <row r="677" spans="1:36" ht="11.25" customHeight="1" x14ac:dyDescent="0.2">
      <c r="A677" s="53" t="s">
        <v>21</v>
      </c>
      <c r="B677" s="53" t="s">
        <v>33</v>
      </c>
      <c r="C677" s="53" t="s">
        <v>34</v>
      </c>
      <c r="D677" s="53" t="s">
        <v>42</v>
      </c>
      <c r="E677" s="53" t="s">
        <v>25</v>
      </c>
      <c r="F677" s="53" t="s">
        <v>25</v>
      </c>
      <c r="G677" s="53" t="s">
        <v>25</v>
      </c>
      <c r="H677" s="53" t="s">
        <v>25</v>
      </c>
      <c r="I677" s="73">
        <v>44044</v>
      </c>
      <c r="J677" s="74">
        <f ca="1">EFEITO!$J$677*EFEITO!$Y$677</f>
        <v>1327007.4695927431</v>
      </c>
      <c r="K677" s="74">
        <f>EFEITO!$L$677*EFEITO!$Z$677</f>
        <v>0</v>
      </c>
      <c r="L677" s="74">
        <f>EFEITO!$N$677*EFEITO!$AA$677</f>
        <v>0</v>
      </c>
      <c r="M677" s="74">
        <f ca="1">$J$677-EFEITO!$K$677*EFEITO!$Y$677</f>
        <v>0</v>
      </c>
      <c r="N677" s="74">
        <f>$K$677-EFEITO!$M$677*EFEITO!$Z$677</f>
        <v>0</v>
      </c>
      <c r="O677" s="74">
        <f>$L$677-EFEITO!$O$677*EFEITO!$AA$677</f>
        <v>0</v>
      </c>
      <c r="P677" s="57"/>
      <c r="Q677" s="57"/>
      <c r="R677" s="57"/>
      <c r="S677" s="57"/>
      <c r="T677" s="57"/>
      <c r="U677" s="57"/>
      <c r="V677" s="57"/>
      <c r="W677" s="57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</row>
    <row r="678" spans="1:36" ht="11.25" customHeight="1" x14ac:dyDescent="0.2">
      <c r="A678" s="53" t="s">
        <v>27</v>
      </c>
      <c r="B678" s="53" t="s">
        <v>33</v>
      </c>
      <c r="C678" s="53" t="s">
        <v>34</v>
      </c>
      <c r="D678" s="53" t="s">
        <v>42</v>
      </c>
      <c r="E678" s="53" t="s">
        <v>25</v>
      </c>
      <c r="F678" s="53" t="s">
        <v>25</v>
      </c>
      <c r="G678" s="53" t="s">
        <v>25</v>
      </c>
      <c r="H678" s="53" t="s">
        <v>25</v>
      </c>
      <c r="I678" s="73">
        <v>44044</v>
      </c>
      <c r="J678" s="74">
        <f ca="1">EFEITO!$J$678*EFEITO!$Y$678</f>
        <v>3836.5394772988202</v>
      </c>
      <c r="K678" s="74">
        <f>EFEITO!$L$678*EFEITO!$Z$678</f>
        <v>0</v>
      </c>
      <c r="L678" s="74">
        <f>EFEITO!$N$678*EFEITO!$AA$678</f>
        <v>0</v>
      </c>
      <c r="M678" s="74">
        <f ca="1">$J$678-EFEITO!$K$678*EFEITO!$Y$678</f>
        <v>0</v>
      </c>
      <c r="N678" s="74">
        <f>$K$678-EFEITO!$M$678*EFEITO!$Z$678</f>
        <v>0</v>
      </c>
      <c r="O678" s="74">
        <f>$L$678-EFEITO!$O$678*EFEITO!$AA$678</f>
        <v>0</v>
      </c>
      <c r="P678" s="57"/>
      <c r="Q678" s="57"/>
      <c r="R678" s="57"/>
      <c r="S678" s="57"/>
      <c r="T678" s="57"/>
      <c r="U678" s="57"/>
      <c r="V678" s="57"/>
      <c r="W678" s="57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</row>
    <row r="679" spans="1:36" ht="11.25" customHeight="1" x14ac:dyDescent="0.2">
      <c r="A679" s="53" t="s">
        <v>28</v>
      </c>
      <c r="B679" s="53" t="s">
        <v>33</v>
      </c>
      <c r="C679" s="53" t="s">
        <v>34</v>
      </c>
      <c r="D679" s="53" t="s">
        <v>42</v>
      </c>
      <c r="E679" s="53" t="s">
        <v>25</v>
      </c>
      <c r="F679" s="53" t="s">
        <v>25</v>
      </c>
      <c r="G679" s="53" t="s">
        <v>25</v>
      </c>
      <c r="H679" s="53" t="s">
        <v>25</v>
      </c>
      <c r="I679" s="73">
        <v>44044</v>
      </c>
      <c r="J679" s="74">
        <f ca="1">EFEITO!$J$679*EFEITO!$Y$679</f>
        <v>224947.18929284607</v>
      </c>
      <c r="K679" s="74">
        <f>EFEITO!$L$679*EFEITO!$Z$679</f>
        <v>0</v>
      </c>
      <c r="L679" s="74">
        <f>EFEITO!$N$679*EFEITO!$AA$679</f>
        <v>0</v>
      </c>
      <c r="M679" s="74">
        <f ca="1">$J$679-EFEITO!$K$679*EFEITO!$Y$679</f>
        <v>0</v>
      </c>
      <c r="N679" s="74">
        <f>$K$679-EFEITO!$M$679*EFEITO!$Z$679</f>
        <v>0</v>
      </c>
      <c r="O679" s="74">
        <f>$L$679-EFEITO!$O$679*EFEITO!$AA$679</f>
        <v>0</v>
      </c>
      <c r="P679" s="57"/>
      <c r="Q679" s="57"/>
      <c r="R679" s="57"/>
      <c r="S679" s="57"/>
      <c r="T679" s="57"/>
      <c r="U679" s="57"/>
      <c r="V679" s="57"/>
      <c r="W679" s="57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</row>
    <row r="680" spans="1:36" ht="11.25" customHeight="1" x14ac:dyDescent="0.2">
      <c r="A680" s="53" t="s">
        <v>59</v>
      </c>
      <c r="B680" s="53" t="s">
        <v>33</v>
      </c>
      <c r="C680" s="53" t="s">
        <v>34</v>
      </c>
      <c r="D680" s="53" t="s">
        <v>42</v>
      </c>
      <c r="E680" s="53" t="s">
        <v>25</v>
      </c>
      <c r="F680" s="53" t="s">
        <v>25</v>
      </c>
      <c r="G680" s="53" t="s">
        <v>25</v>
      </c>
      <c r="H680" s="53" t="s">
        <v>25</v>
      </c>
      <c r="I680" s="73">
        <v>44075</v>
      </c>
      <c r="J680" s="74">
        <f ca="1">EFEITO!$J$680*EFEITO!$Y$680</f>
        <v>1327007.4695927431</v>
      </c>
      <c r="K680" s="74">
        <f>EFEITO!$L$680*EFEITO!$Z$680</f>
        <v>0</v>
      </c>
      <c r="L680" s="74">
        <f>EFEITO!$N$680*EFEITO!$AA$680</f>
        <v>0</v>
      </c>
      <c r="M680" s="74">
        <f ca="1">$J$680-EFEITO!$K$680*EFEITO!$Y$680</f>
        <v>0</v>
      </c>
      <c r="N680" s="74">
        <f>$K$680-EFEITO!$M$680*EFEITO!$Z$680</f>
        <v>0</v>
      </c>
      <c r="O680" s="74">
        <f>$L$680-EFEITO!$O$680*EFEITO!$AA$680</f>
        <v>0</v>
      </c>
      <c r="P680" s="57"/>
      <c r="Q680" s="57"/>
      <c r="R680" s="57"/>
      <c r="S680" s="57"/>
      <c r="T680" s="57"/>
      <c r="U680" s="57"/>
      <c r="V680" s="57"/>
      <c r="W680" s="57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</row>
    <row r="681" spans="1:36" ht="11.25" customHeight="1" x14ac:dyDescent="0.2">
      <c r="A681" s="53" t="s">
        <v>59</v>
      </c>
      <c r="B681" s="53" t="s">
        <v>33</v>
      </c>
      <c r="C681" s="53" t="s">
        <v>34</v>
      </c>
      <c r="D681" s="53" t="s">
        <v>42</v>
      </c>
      <c r="E681" s="53" t="s">
        <v>25</v>
      </c>
      <c r="F681" s="53" t="s">
        <v>25</v>
      </c>
      <c r="G681" s="53" t="s">
        <v>25</v>
      </c>
      <c r="H681" s="53" t="s">
        <v>25</v>
      </c>
      <c r="I681" s="73">
        <v>44075</v>
      </c>
      <c r="J681" s="74">
        <f ca="1">EFEITO!$J$681*EFEITO!$Y$681</f>
        <v>3836.5394772988202</v>
      </c>
      <c r="K681" s="74">
        <f>EFEITO!$L$681*EFEITO!$Z$681</f>
        <v>0</v>
      </c>
      <c r="L681" s="74">
        <f>EFEITO!$N$681*EFEITO!$AA$681</f>
        <v>0</v>
      </c>
      <c r="M681" s="74">
        <f ca="1">$J$681-EFEITO!$K$681*EFEITO!$Y$681</f>
        <v>0</v>
      </c>
      <c r="N681" s="74">
        <f>$K$681-EFEITO!$M$681*EFEITO!$Z$681</f>
        <v>0</v>
      </c>
      <c r="O681" s="74">
        <f>$L$681-EFEITO!$O$681*EFEITO!$AA$681</f>
        <v>0</v>
      </c>
      <c r="P681" s="57"/>
      <c r="Q681" s="57"/>
      <c r="R681" s="57"/>
      <c r="S681" s="57"/>
      <c r="T681" s="57"/>
      <c r="U681" s="57"/>
      <c r="V681" s="57"/>
      <c r="W681" s="57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</row>
    <row r="682" spans="1:36" ht="11.25" customHeight="1" x14ac:dyDescent="0.2">
      <c r="A682" s="53" t="s">
        <v>59</v>
      </c>
      <c r="B682" s="53" t="s">
        <v>33</v>
      </c>
      <c r="C682" s="53" t="s">
        <v>34</v>
      </c>
      <c r="D682" s="53" t="s">
        <v>42</v>
      </c>
      <c r="E682" s="53" t="s">
        <v>25</v>
      </c>
      <c r="F682" s="53" t="s">
        <v>25</v>
      </c>
      <c r="G682" s="53" t="s">
        <v>25</v>
      </c>
      <c r="H682" s="53" t="s">
        <v>25</v>
      </c>
      <c r="I682" s="73">
        <v>44075</v>
      </c>
      <c r="J682" s="74">
        <f ca="1">EFEITO!$J$682*EFEITO!$Y$682</f>
        <v>224947.18929284607</v>
      </c>
      <c r="K682" s="74">
        <f>EFEITO!$L$682*EFEITO!$Z$682</f>
        <v>0</v>
      </c>
      <c r="L682" s="74">
        <f>EFEITO!$N$682*EFEITO!$AA$682</f>
        <v>0</v>
      </c>
      <c r="M682" s="74">
        <f ca="1">$J$682-EFEITO!$K$682*EFEITO!$Y$682</f>
        <v>0</v>
      </c>
      <c r="N682" s="74">
        <f>$K$682-EFEITO!$M$682*EFEITO!$Z$682</f>
        <v>0</v>
      </c>
      <c r="O682" s="74">
        <f>$L$682-EFEITO!$O$682*EFEITO!$AA$682</f>
        <v>0</v>
      </c>
      <c r="P682" s="57"/>
      <c r="Q682" s="57"/>
      <c r="R682" s="57"/>
      <c r="S682" s="57"/>
      <c r="T682" s="57"/>
      <c r="U682" s="57"/>
      <c r="V682" s="57"/>
      <c r="W682" s="57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</row>
    <row r="683" spans="1:36" ht="11.25" customHeight="1" x14ac:dyDescent="0.2">
      <c r="A683" s="53" t="s">
        <v>21</v>
      </c>
      <c r="B683" s="53" t="s">
        <v>33</v>
      </c>
      <c r="C683" s="53" t="s">
        <v>34</v>
      </c>
      <c r="D683" s="53" t="s">
        <v>42</v>
      </c>
      <c r="E683" s="53" t="s">
        <v>25</v>
      </c>
      <c r="F683" s="53" t="s">
        <v>25</v>
      </c>
      <c r="G683" s="53" t="s">
        <v>25</v>
      </c>
      <c r="H683" s="53" t="s">
        <v>35</v>
      </c>
      <c r="I683" s="73">
        <v>43739</v>
      </c>
      <c r="J683" s="74">
        <f>EFEITO!$J$683*EFEITO!$Y$683</f>
        <v>0</v>
      </c>
      <c r="K683" s="74">
        <f ca="1">EFEITO!$L$683*EFEITO!$Z$683</f>
        <v>1749910.5581415226</v>
      </c>
      <c r="L683" s="74">
        <f>EFEITO!$N$683*EFEITO!$AA$683</f>
        <v>879226.26614316646</v>
      </c>
      <c r="M683" s="74">
        <f>$J$683-EFEITO!$K$683*EFEITO!$Y$683</f>
        <v>0</v>
      </c>
      <c r="N683" s="74">
        <f ca="1">$K$683-EFEITO!$M$683*EFEITO!$Z$683</f>
        <v>0</v>
      </c>
      <c r="O683" s="74">
        <f>$L$683-EFEITO!$O$683*EFEITO!$AA$683</f>
        <v>0</v>
      </c>
      <c r="P683" s="57"/>
      <c r="Q683" s="57"/>
      <c r="R683" s="57"/>
      <c r="S683" s="57"/>
      <c r="T683" s="57"/>
      <c r="U683" s="57"/>
      <c r="V683" s="57"/>
      <c r="W683" s="57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</row>
    <row r="684" spans="1:36" ht="11.25" customHeight="1" x14ac:dyDescent="0.2">
      <c r="A684" s="53" t="s">
        <v>27</v>
      </c>
      <c r="B684" s="53" t="s">
        <v>33</v>
      </c>
      <c r="C684" s="53" t="s">
        <v>34</v>
      </c>
      <c r="D684" s="53" t="s">
        <v>42</v>
      </c>
      <c r="E684" s="53" t="s">
        <v>25</v>
      </c>
      <c r="F684" s="53" t="s">
        <v>25</v>
      </c>
      <c r="G684" s="53" t="s">
        <v>25</v>
      </c>
      <c r="H684" s="53" t="s">
        <v>35</v>
      </c>
      <c r="I684" s="73">
        <v>43739</v>
      </c>
      <c r="J684" s="74">
        <f>EFEITO!$J$684*EFEITO!$Y$684</f>
        <v>0</v>
      </c>
      <c r="K684" s="74">
        <f ca="1">EFEITO!$L$684*EFEITO!$Z$684</f>
        <v>7620.1534761222592</v>
      </c>
      <c r="L684" s="74">
        <f>EFEITO!$N$684*EFEITO!$AA$684</f>
        <v>3828.6751611832956</v>
      </c>
      <c r="M684" s="74">
        <f>$J$684-EFEITO!$K$684*EFEITO!$Y$684</f>
        <v>0</v>
      </c>
      <c r="N684" s="74">
        <f ca="1">$K$684-EFEITO!$M$684*EFEITO!$Z$684</f>
        <v>0</v>
      </c>
      <c r="O684" s="74">
        <f>$L$684-EFEITO!$O$684*EFEITO!$AA$684</f>
        <v>0</v>
      </c>
      <c r="P684" s="57"/>
      <c r="Q684" s="57"/>
      <c r="R684" s="57"/>
      <c r="S684" s="57"/>
      <c r="T684" s="57"/>
      <c r="U684" s="57"/>
      <c r="V684" s="57"/>
      <c r="W684" s="57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</row>
    <row r="685" spans="1:36" ht="11.25" customHeight="1" x14ac:dyDescent="0.2">
      <c r="A685" s="53" t="s">
        <v>21</v>
      </c>
      <c r="B685" s="53" t="s">
        <v>33</v>
      </c>
      <c r="C685" s="53" t="s">
        <v>34</v>
      </c>
      <c r="D685" s="53" t="s">
        <v>42</v>
      </c>
      <c r="E685" s="53" t="s">
        <v>25</v>
      </c>
      <c r="F685" s="53" t="s">
        <v>25</v>
      </c>
      <c r="G685" s="53" t="s">
        <v>25</v>
      </c>
      <c r="H685" s="53" t="s">
        <v>35</v>
      </c>
      <c r="I685" s="73">
        <v>43770</v>
      </c>
      <c r="J685" s="74">
        <f>EFEITO!$J$685*EFEITO!$Y$685</f>
        <v>0</v>
      </c>
      <c r="K685" s="74">
        <f ca="1">EFEITO!$L$685*EFEITO!$Z$685</f>
        <v>1841928.9024877138</v>
      </c>
      <c r="L685" s="74">
        <f>EFEITO!$N$685*EFEITO!$AA$685</f>
        <v>925460.02645723778</v>
      </c>
      <c r="M685" s="74">
        <f>$J$685-EFEITO!$K$685*EFEITO!$Y$685</f>
        <v>0</v>
      </c>
      <c r="N685" s="74">
        <f ca="1">$K$685-EFEITO!$M$685*EFEITO!$Z$685</f>
        <v>0</v>
      </c>
      <c r="O685" s="74">
        <f>$L$685-EFEITO!$O$685*EFEITO!$AA$685</f>
        <v>0</v>
      </c>
      <c r="P685" s="57"/>
      <c r="Q685" s="57"/>
      <c r="R685" s="57"/>
      <c r="S685" s="57"/>
      <c r="T685" s="57"/>
      <c r="U685" s="57"/>
      <c r="V685" s="57"/>
      <c r="W685" s="57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</row>
    <row r="686" spans="1:36" ht="11.25" customHeight="1" x14ac:dyDescent="0.2">
      <c r="A686" s="53" t="s">
        <v>27</v>
      </c>
      <c r="B686" s="53" t="s">
        <v>33</v>
      </c>
      <c r="C686" s="53" t="s">
        <v>34</v>
      </c>
      <c r="D686" s="53" t="s">
        <v>42</v>
      </c>
      <c r="E686" s="53" t="s">
        <v>25</v>
      </c>
      <c r="F686" s="53" t="s">
        <v>25</v>
      </c>
      <c r="G686" s="53" t="s">
        <v>25</v>
      </c>
      <c r="H686" s="53" t="s">
        <v>35</v>
      </c>
      <c r="I686" s="73">
        <v>43770</v>
      </c>
      <c r="J686" s="74">
        <f>EFEITO!$J$686*EFEITO!$Y$686</f>
        <v>0</v>
      </c>
      <c r="K686" s="74">
        <f ca="1">EFEITO!$L$686*EFEITO!$Z$686</f>
        <v>615.38478175337241</v>
      </c>
      <c r="L686" s="74">
        <f>EFEITO!$N$686*EFEITO!$AA$686</f>
        <v>309.19435361140728</v>
      </c>
      <c r="M686" s="74">
        <f>$J$686-EFEITO!$K$686*EFEITO!$Y$686</f>
        <v>0</v>
      </c>
      <c r="N686" s="74">
        <f ca="1">$K$686-EFEITO!$M$686*EFEITO!$Z$686</f>
        <v>0</v>
      </c>
      <c r="O686" s="74">
        <f>$L$686-EFEITO!$O$686*EFEITO!$AA$686</f>
        <v>0</v>
      </c>
      <c r="P686" s="57"/>
      <c r="Q686" s="57"/>
      <c r="R686" s="57"/>
      <c r="S686" s="57"/>
      <c r="T686" s="57"/>
      <c r="U686" s="57"/>
      <c r="V686" s="57"/>
      <c r="W686" s="57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</row>
    <row r="687" spans="1:36" ht="11.25" customHeight="1" x14ac:dyDescent="0.2">
      <c r="A687" s="53" t="s">
        <v>28</v>
      </c>
      <c r="B687" s="53" t="s">
        <v>33</v>
      </c>
      <c r="C687" s="53" t="s">
        <v>34</v>
      </c>
      <c r="D687" s="53" t="s">
        <v>42</v>
      </c>
      <c r="E687" s="53" t="s">
        <v>25</v>
      </c>
      <c r="F687" s="53" t="s">
        <v>25</v>
      </c>
      <c r="G687" s="53" t="s">
        <v>25</v>
      </c>
      <c r="H687" s="53" t="s">
        <v>35</v>
      </c>
      <c r="I687" s="73">
        <v>43770</v>
      </c>
      <c r="J687" s="74">
        <f>EFEITO!$J$687*EFEITO!$Y$687</f>
        <v>0</v>
      </c>
      <c r="K687" s="74">
        <f ca="1">EFEITO!$L$687*EFEITO!$Z$687</f>
        <v>106531.85420504039</v>
      </c>
      <c r="L687" s="74">
        <f>EFEITO!$N$687*EFEITO!$AA$687</f>
        <v>53525.938204226048</v>
      </c>
      <c r="M687" s="74">
        <f>$J$687-EFEITO!$K$687*EFEITO!$Y$687</f>
        <v>0</v>
      </c>
      <c r="N687" s="74">
        <f ca="1">$K$687-EFEITO!$M$687*EFEITO!$Z$687</f>
        <v>0</v>
      </c>
      <c r="O687" s="74">
        <f>$L$687-EFEITO!$O$687*EFEITO!$AA$687</f>
        <v>0</v>
      </c>
      <c r="P687" s="57"/>
      <c r="Q687" s="57"/>
      <c r="R687" s="57"/>
      <c r="S687" s="57"/>
      <c r="T687" s="57"/>
      <c r="U687" s="57"/>
      <c r="V687" s="57"/>
      <c r="W687" s="57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</row>
    <row r="688" spans="1:36" ht="11.25" customHeight="1" x14ac:dyDescent="0.2">
      <c r="A688" s="53" t="s">
        <v>21</v>
      </c>
      <c r="B688" s="53" t="s">
        <v>33</v>
      </c>
      <c r="C688" s="53" t="s">
        <v>34</v>
      </c>
      <c r="D688" s="53" t="s">
        <v>42</v>
      </c>
      <c r="E688" s="53" t="s">
        <v>25</v>
      </c>
      <c r="F688" s="53" t="s">
        <v>25</v>
      </c>
      <c r="G688" s="53" t="s">
        <v>25</v>
      </c>
      <c r="H688" s="53" t="s">
        <v>35</v>
      </c>
      <c r="I688" s="73">
        <v>43800</v>
      </c>
      <c r="J688" s="74">
        <f>EFEITO!$J$688*EFEITO!$Y$688</f>
        <v>0</v>
      </c>
      <c r="K688" s="74">
        <f ca="1">EFEITO!$L$688*EFEITO!$Z$688</f>
        <v>1597244.286379494</v>
      </c>
      <c r="L688" s="74">
        <f>EFEITO!$N$688*EFEITO!$AA$688</f>
        <v>802520.51940495474</v>
      </c>
      <c r="M688" s="74">
        <f>$J$688-EFEITO!$K$688*EFEITO!$Y$688</f>
        <v>0</v>
      </c>
      <c r="N688" s="74">
        <f ca="1">$K$688-EFEITO!$M$688*EFEITO!$Z$688</f>
        <v>0</v>
      </c>
      <c r="O688" s="74">
        <f>$L$688-EFEITO!$O$688*EFEITO!$AA$688</f>
        <v>0</v>
      </c>
      <c r="P688" s="57"/>
      <c r="Q688" s="57"/>
      <c r="R688" s="57"/>
      <c r="S688" s="57"/>
      <c r="T688" s="57"/>
      <c r="U688" s="57"/>
      <c r="V688" s="57"/>
      <c r="W688" s="57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</row>
    <row r="689" spans="1:36" ht="11.25" customHeight="1" x14ac:dyDescent="0.2">
      <c r="A689" s="53" t="s">
        <v>27</v>
      </c>
      <c r="B689" s="53" t="s">
        <v>33</v>
      </c>
      <c r="C689" s="53" t="s">
        <v>34</v>
      </c>
      <c r="D689" s="53" t="s">
        <v>42</v>
      </c>
      <c r="E689" s="53" t="s">
        <v>25</v>
      </c>
      <c r="F689" s="53" t="s">
        <v>25</v>
      </c>
      <c r="G689" s="53" t="s">
        <v>25</v>
      </c>
      <c r="H689" s="53" t="s">
        <v>35</v>
      </c>
      <c r="I689" s="73">
        <v>43800</v>
      </c>
      <c r="J689" s="74">
        <f>EFEITO!$J$689*EFEITO!$Y$689</f>
        <v>0</v>
      </c>
      <c r="K689" s="74">
        <f ca="1">EFEITO!$L$689*EFEITO!$Z$689</f>
        <v>710.34695342126827</v>
      </c>
      <c r="L689" s="74">
        <f>EFEITO!$N$689*EFEITO!$AA$689</f>
        <v>356.90721255265726</v>
      </c>
      <c r="M689" s="74">
        <f>$J$689-EFEITO!$K$689*EFEITO!$Y$689</f>
        <v>0</v>
      </c>
      <c r="N689" s="74">
        <f ca="1">$K$689-EFEITO!$M$689*EFEITO!$Z$689</f>
        <v>0</v>
      </c>
      <c r="O689" s="74">
        <f>$L$689-EFEITO!$O$689*EFEITO!$AA$689</f>
        <v>0</v>
      </c>
      <c r="P689" s="57"/>
      <c r="Q689" s="57"/>
      <c r="R689" s="57"/>
      <c r="S689" s="57"/>
      <c r="T689" s="57"/>
      <c r="U689" s="57"/>
      <c r="V689" s="57"/>
      <c r="W689" s="57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</row>
    <row r="690" spans="1:36" ht="11.25" customHeight="1" x14ac:dyDescent="0.2">
      <c r="A690" s="53" t="s">
        <v>28</v>
      </c>
      <c r="B690" s="53" t="s">
        <v>33</v>
      </c>
      <c r="C690" s="53" t="s">
        <v>34</v>
      </c>
      <c r="D690" s="53" t="s">
        <v>42</v>
      </c>
      <c r="E690" s="53" t="s">
        <v>25</v>
      </c>
      <c r="F690" s="53" t="s">
        <v>25</v>
      </c>
      <c r="G690" s="53" t="s">
        <v>25</v>
      </c>
      <c r="H690" s="53" t="s">
        <v>35</v>
      </c>
      <c r="I690" s="73">
        <v>43800</v>
      </c>
      <c r="J690" s="74">
        <f>EFEITO!$J$690*EFEITO!$Y$690</f>
        <v>0</v>
      </c>
      <c r="K690" s="74">
        <f ca="1">EFEITO!$L$690*EFEITO!$Z$690</f>
        <v>97730.281585333272</v>
      </c>
      <c r="L690" s="74">
        <f>EFEITO!$N$690*EFEITO!$AA$690</f>
        <v>49103.669994797274</v>
      </c>
      <c r="M690" s="74">
        <f>$J$690-EFEITO!$K$690*EFEITO!$Y$690</f>
        <v>0</v>
      </c>
      <c r="N690" s="74">
        <f ca="1">$K$690-EFEITO!$M$690*EFEITO!$Z$690</f>
        <v>0</v>
      </c>
      <c r="O690" s="74">
        <f>$L$690-EFEITO!$O$690*EFEITO!$AA$690</f>
        <v>0</v>
      </c>
      <c r="P690" s="57"/>
      <c r="Q690" s="57"/>
      <c r="R690" s="57"/>
      <c r="S690" s="57"/>
      <c r="T690" s="57"/>
      <c r="U690" s="57"/>
      <c r="V690" s="57"/>
      <c r="W690" s="57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</row>
    <row r="691" spans="1:36" ht="11.25" customHeight="1" x14ac:dyDescent="0.2">
      <c r="A691" s="53" t="s">
        <v>21</v>
      </c>
      <c r="B691" s="53" t="s">
        <v>33</v>
      </c>
      <c r="C691" s="53" t="s">
        <v>34</v>
      </c>
      <c r="D691" s="53" t="s">
        <v>42</v>
      </c>
      <c r="E691" s="53" t="s">
        <v>25</v>
      </c>
      <c r="F691" s="53" t="s">
        <v>25</v>
      </c>
      <c r="G691" s="53" t="s">
        <v>25</v>
      </c>
      <c r="H691" s="53" t="s">
        <v>35</v>
      </c>
      <c r="I691" s="73">
        <v>43831</v>
      </c>
      <c r="J691" s="74">
        <f>EFEITO!$J$691*EFEITO!$Y$691</f>
        <v>0</v>
      </c>
      <c r="K691" s="74">
        <f ca="1">EFEITO!$L$691*EFEITO!$Z$691</f>
        <v>1459428.0046121457</v>
      </c>
      <c r="L691" s="74">
        <f>EFEITO!$N$691*EFEITO!$AA$691</f>
        <v>733276.0118681069</v>
      </c>
      <c r="M691" s="74">
        <f>$J$691-EFEITO!$K$691*EFEITO!$Y$691</f>
        <v>0</v>
      </c>
      <c r="N691" s="74">
        <f ca="1">$K$691-EFEITO!$M$691*EFEITO!$Z$691</f>
        <v>0</v>
      </c>
      <c r="O691" s="74">
        <f>$L$691-EFEITO!$O$691*EFEITO!$AA$691</f>
        <v>0</v>
      </c>
      <c r="P691" s="57"/>
      <c r="Q691" s="57"/>
      <c r="R691" s="57"/>
      <c r="S691" s="57"/>
      <c r="T691" s="57"/>
      <c r="U691" s="57"/>
      <c r="V691" s="57"/>
      <c r="W691" s="57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</row>
    <row r="692" spans="1:36" ht="11.25" customHeight="1" x14ac:dyDescent="0.2">
      <c r="A692" s="53" t="s">
        <v>27</v>
      </c>
      <c r="B692" s="53" t="s">
        <v>33</v>
      </c>
      <c r="C692" s="53" t="s">
        <v>34</v>
      </c>
      <c r="D692" s="53" t="s">
        <v>42</v>
      </c>
      <c r="E692" s="53" t="s">
        <v>25</v>
      </c>
      <c r="F692" s="53" t="s">
        <v>25</v>
      </c>
      <c r="G692" s="53" t="s">
        <v>25</v>
      </c>
      <c r="H692" s="53" t="s">
        <v>35</v>
      </c>
      <c r="I692" s="73">
        <v>43831</v>
      </c>
      <c r="J692" s="74">
        <f>EFEITO!$J$692*EFEITO!$Y$692</f>
        <v>0</v>
      </c>
      <c r="K692" s="74">
        <f ca="1">EFEITO!$L$692*EFEITO!$Z$692</f>
        <v>3903.1695756410745</v>
      </c>
      <c r="L692" s="74">
        <f>EFEITO!$N$692*EFEITO!$AA$692</f>
        <v>1961.1112100261801</v>
      </c>
      <c r="M692" s="74">
        <f>$J$692-EFEITO!$K$692*EFEITO!$Y$692</f>
        <v>0</v>
      </c>
      <c r="N692" s="74">
        <f ca="1">$K$692-EFEITO!$M$692*EFEITO!$Z$692</f>
        <v>0</v>
      </c>
      <c r="O692" s="74">
        <f>$L$692-EFEITO!$O$692*EFEITO!$AA$692</f>
        <v>0</v>
      </c>
      <c r="P692" s="57"/>
      <c r="Q692" s="57"/>
      <c r="R692" s="57"/>
      <c r="S692" s="57"/>
      <c r="T692" s="57"/>
      <c r="U692" s="57"/>
      <c r="V692" s="57"/>
      <c r="W692" s="57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</row>
    <row r="693" spans="1:36" ht="11.25" customHeight="1" x14ac:dyDescent="0.2">
      <c r="A693" s="53" t="s">
        <v>28</v>
      </c>
      <c r="B693" s="53" t="s">
        <v>33</v>
      </c>
      <c r="C693" s="53" t="s">
        <v>34</v>
      </c>
      <c r="D693" s="53" t="s">
        <v>42</v>
      </c>
      <c r="E693" s="53" t="s">
        <v>25</v>
      </c>
      <c r="F693" s="53" t="s">
        <v>25</v>
      </c>
      <c r="G693" s="53" t="s">
        <v>25</v>
      </c>
      <c r="H693" s="53" t="s">
        <v>35</v>
      </c>
      <c r="I693" s="73">
        <v>43831</v>
      </c>
      <c r="J693" s="74">
        <f>EFEITO!$J$693*EFEITO!$Y$693</f>
        <v>0</v>
      </c>
      <c r="K693" s="74">
        <f ca="1">EFEITO!$L$693*EFEITO!$Z$693</f>
        <v>62734.851991625706</v>
      </c>
      <c r="L693" s="74">
        <f>EFEITO!$N$693*EFEITO!$AA$693</f>
        <v>31520.542245439945</v>
      </c>
      <c r="M693" s="74">
        <f>$J$693-EFEITO!$K$693*EFEITO!$Y$693</f>
        <v>0</v>
      </c>
      <c r="N693" s="74">
        <f ca="1">$K$693-EFEITO!$M$693*EFEITO!$Z$693</f>
        <v>0</v>
      </c>
      <c r="O693" s="74">
        <f>$L$693-EFEITO!$O$693*EFEITO!$AA$693</f>
        <v>0</v>
      </c>
      <c r="P693" s="57"/>
      <c r="Q693" s="57"/>
      <c r="R693" s="57"/>
      <c r="S693" s="57"/>
      <c r="T693" s="57"/>
      <c r="U693" s="57"/>
      <c r="V693" s="57"/>
      <c r="W693" s="57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</row>
    <row r="694" spans="1:36" ht="11.25" customHeight="1" x14ac:dyDescent="0.2">
      <c r="A694" s="53" t="s">
        <v>21</v>
      </c>
      <c r="B694" s="53" t="s">
        <v>33</v>
      </c>
      <c r="C694" s="53" t="s">
        <v>34</v>
      </c>
      <c r="D694" s="53" t="s">
        <v>42</v>
      </c>
      <c r="E694" s="53" t="s">
        <v>25</v>
      </c>
      <c r="F694" s="53" t="s">
        <v>25</v>
      </c>
      <c r="G694" s="53" t="s">
        <v>25</v>
      </c>
      <c r="H694" s="53" t="s">
        <v>35</v>
      </c>
      <c r="I694" s="73">
        <v>43862</v>
      </c>
      <c r="J694" s="74">
        <f>EFEITO!$J$694*EFEITO!$Y$694</f>
        <v>0</v>
      </c>
      <c r="K694" s="74">
        <f ca="1">EFEITO!$L$694*EFEITO!$Z$694</f>
        <v>1590636.5642454058</v>
      </c>
      <c r="L694" s="74">
        <f>EFEITO!$N$694*EFEITO!$AA$694</f>
        <v>799200.53094460967</v>
      </c>
      <c r="M694" s="74">
        <f>$J$694-EFEITO!$K$694*EFEITO!$Y$694</f>
        <v>0</v>
      </c>
      <c r="N694" s="74">
        <f ca="1">$K$694-EFEITO!$M$694*EFEITO!$Z$694</f>
        <v>0</v>
      </c>
      <c r="O694" s="74">
        <f>$L$694-EFEITO!$O$694*EFEITO!$AA$694</f>
        <v>0</v>
      </c>
      <c r="P694" s="57"/>
      <c r="Q694" s="57"/>
      <c r="R694" s="57"/>
      <c r="S694" s="57"/>
      <c r="T694" s="57"/>
      <c r="U694" s="57"/>
      <c r="V694" s="57"/>
      <c r="W694" s="57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</row>
    <row r="695" spans="1:36" ht="11.25" customHeight="1" x14ac:dyDescent="0.2">
      <c r="A695" s="53" t="s">
        <v>27</v>
      </c>
      <c r="B695" s="53" t="s">
        <v>33</v>
      </c>
      <c r="C695" s="53" t="s">
        <v>34</v>
      </c>
      <c r="D695" s="53" t="s">
        <v>42</v>
      </c>
      <c r="E695" s="53" t="s">
        <v>25</v>
      </c>
      <c r="F695" s="53" t="s">
        <v>25</v>
      </c>
      <c r="G695" s="53" t="s">
        <v>25</v>
      </c>
      <c r="H695" s="53" t="s">
        <v>35</v>
      </c>
      <c r="I695" s="73">
        <v>43862</v>
      </c>
      <c r="J695" s="74">
        <f>EFEITO!$J$695*EFEITO!$Y$695</f>
        <v>0</v>
      </c>
      <c r="K695" s="74">
        <f ca="1">EFEITO!$L$695*EFEITO!$Z$695</f>
        <v>4929.8078567436023</v>
      </c>
      <c r="L695" s="74">
        <f>EFEITO!$N$695*EFEITO!$AA$695</f>
        <v>2476.9360551154418</v>
      </c>
      <c r="M695" s="74">
        <f>$J$695-EFEITO!$K$695*EFEITO!$Y$695</f>
        <v>0</v>
      </c>
      <c r="N695" s="74">
        <f ca="1">$K$695-EFEITO!$M$695*EFEITO!$Z$695</f>
        <v>0</v>
      </c>
      <c r="O695" s="74">
        <f>$L$695-EFEITO!$O$695*EFEITO!$AA$695</f>
        <v>0</v>
      </c>
      <c r="P695" s="57"/>
      <c r="Q695" s="57"/>
      <c r="R695" s="57"/>
      <c r="S695" s="57"/>
      <c r="T695" s="57"/>
      <c r="U695" s="57"/>
      <c r="V695" s="57"/>
      <c r="W695" s="57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</row>
    <row r="696" spans="1:36" ht="11.25" customHeight="1" x14ac:dyDescent="0.2">
      <c r="A696" s="53" t="s">
        <v>28</v>
      </c>
      <c r="B696" s="53" t="s">
        <v>33</v>
      </c>
      <c r="C696" s="53" t="s">
        <v>34</v>
      </c>
      <c r="D696" s="53" t="s">
        <v>42</v>
      </c>
      <c r="E696" s="53" t="s">
        <v>25</v>
      </c>
      <c r="F696" s="53" t="s">
        <v>25</v>
      </c>
      <c r="G696" s="53" t="s">
        <v>25</v>
      </c>
      <c r="H696" s="53" t="s">
        <v>35</v>
      </c>
      <c r="I696" s="73">
        <v>43862</v>
      </c>
      <c r="J696" s="74">
        <f>EFEITO!$J$696*EFEITO!$Y$696</f>
        <v>0</v>
      </c>
      <c r="K696" s="74">
        <f ca="1">EFEITO!$L$696*EFEITO!$Z$696</f>
        <v>67954.780498819251</v>
      </c>
      <c r="L696" s="74">
        <f>EFEITO!$N$696*EFEITO!$AA$696</f>
        <v>34143.246719997944</v>
      </c>
      <c r="M696" s="74">
        <f>$J$696-EFEITO!$K$696*EFEITO!$Y$696</f>
        <v>0</v>
      </c>
      <c r="N696" s="74">
        <f ca="1">$K$696-EFEITO!$M$696*EFEITO!$Z$696</f>
        <v>0</v>
      </c>
      <c r="O696" s="74">
        <f>$L$696-EFEITO!$O$696*EFEITO!$AA$696</f>
        <v>0</v>
      </c>
      <c r="P696" s="57"/>
      <c r="Q696" s="57"/>
      <c r="R696" s="57"/>
      <c r="S696" s="57"/>
      <c r="T696" s="57"/>
      <c r="U696" s="57"/>
      <c r="V696" s="57"/>
      <c r="W696" s="57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</row>
    <row r="697" spans="1:36" ht="11.25" customHeight="1" x14ac:dyDescent="0.2">
      <c r="A697" s="53" t="s">
        <v>21</v>
      </c>
      <c r="B697" s="53" t="s">
        <v>33</v>
      </c>
      <c r="C697" s="53" t="s">
        <v>34</v>
      </c>
      <c r="D697" s="53" t="s">
        <v>42</v>
      </c>
      <c r="E697" s="53" t="s">
        <v>25</v>
      </c>
      <c r="F697" s="53" t="s">
        <v>25</v>
      </c>
      <c r="G697" s="53" t="s">
        <v>25</v>
      </c>
      <c r="H697" s="53" t="s">
        <v>35</v>
      </c>
      <c r="I697" s="73">
        <v>43891</v>
      </c>
      <c r="J697" s="74">
        <f>EFEITO!$J$697*EFEITO!$Y$697</f>
        <v>0</v>
      </c>
      <c r="K697" s="74">
        <f ca="1">EFEITO!$L$697*EFEITO!$Z$697</f>
        <v>1443446.6936274376</v>
      </c>
      <c r="L697" s="74">
        <f>EFEITO!$N$697*EFEITO!$AA$697</f>
        <v>725246.35096927756</v>
      </c>
      <c r="M697" s="74">
        <f>$J$697-EFEITO!$K$697*EFEITO!$Y$697</f>
        <v>0</v>
      </c>
      <c r="N697" s="74">
        <f ca="1">$K$697-EFEITO!$M$697*EFEITO!$Z$697</f>
        <v>0</v>
      </c>
      <c r="O697" s="74">
        <f>$L$697-EFEITO!$O$697*EFEITO!$AA$697</f>
        <v>0</v>
      </c>
      <c r="P697" s="57"/>
      <c r="Q697" s="57"/>
      <c r="R697" s="57"/>
      <c r="S697" s="57"/>
      <c r="T697" s="57"/>
      <c r="U697" s="57"/>
      <c r="V697" s="57"/>
      <c r="W697" s="57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</row>
    <row r="698" spans="1:36" ht="11.25" customHeight="1" x14ac:dyDescent="0.2">
      <c r="A698" s="53" t="s">
        <v>27</v>
      </c>
      <c r="B698" s="53" t="s">
        <v>33</v>
      </c>
      <c r="C698" s="53" t="s">
        <v>34</v>
      </c>
      <c r="D698" s="53" t="s">
        <v>42</v>
      </c>
      <c r="E698" s="53" t="s">
        <v>25</v>
      </c>
      <c r="F698" s="53" t="s">
        <v>25</v>
      </c>
      <c r="G698" s="53" t="s">
        <v>25</v>
      </c>
      <c r="H698" s="53" t="s">
        <v>35</v>
      </c>
      <c r="I698" s="73">
        <v>43891</v>
      </c>
      <c r="J698" s="74">
        <f>EFEITO!$J$698*EFEITO!$Y$698</f>
        <v>0</v>
      </c>
      <c r="K698" s="74">
        <f ca="1">EFEITO!$L$698*EFEITO!$Z$698</f>
        <v>8658.0077617524912</v>
      </c>
      <c r="L698" s="74">
        <f>EFEITO!$N$698*EFEITO!$AA$698</f>
        <v>4350.1353833128624</v>
      </c>
      <c r="M698" s="74">
        <f>$J$698-EFEITO!$K$698*EFEITO!$Y$698</f>
        <v>0</v>
      </c>
      <c r="N698" s="74">
        <f ca="1">$K$698-EFEITO!$M$698*EFEITO!$Z$698</f>
        <v>0</v>
      </c>
      <c r="O698" s="74">
        <f>$L$698-EFEITO!$O$698*EFEITO!$AA$698</f>
        <v>0</v>
      </c>
      <c r="P698" s="57"/>
      <c r="Q698" s="57"/>
      <c r="R698" s="57"/>
      <c r="S698" s="57"/>
      <c r="T698" s="57"/>
      <c r="U698" s="57"/>
      <c r="V698" s="57"/>
      <c r="W698" s="57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</row>
    <row r="699" spans="1:36" ht="11.25" customHeight="1" x14ac:dyDescent="0.2">
      <c r="A699" s="53" t="s">
        <v>28</v>
      </c>
      <c r="B699" s="53" t="s">
        <v>33</v>
      </c>
      <c r="C699" s="53" t="s">
        <v>34</v>
      </c>
      <c r="D699" s="53" t="s">
        <v>42</v>
      </c>
      <c r="E699" s="53" t="s">
        <v>25</v>
      </c>
      <c r="F699" s="53" t="s">
        <v>25</v>
      </c>
      <c r="G699" s="53" t="s">
        <v>25</v>
      </c>
      <c r="H699" s="53" t="s">
        <v>35</v>
      </c>
      <c r="I699" s="73">
        <v>43891</v>
      </c>
      <c r="J699" s="74">
        <f>EFEITO!$J$699*EFEITO!$Y$699</f>
        <v>0</v>
      </c>
      <c r="K699" s="74">
        <f ca="1">EFEITO!$L$699*EFEITO!$Z$699</f>
        <v>79265.747198191384</v>
      </c>
      <c r="L699" s="74">
        <f>EFEITO!$N$699*EFEITO!$AA$699</f>
        <v>39826.336619244306</v>
      </c>
      <c r="M699" s="74">
        <f>$J$699-EFEITO!$K$699*EFEITO!$Y$699</f>
        <v>0</v>
      </c>
      <c r="N699" s="74">
        <f ca="1">$K$699-EFEITO!$M$699*EFEITO!$Z$699</f>
        <v>0</v>
      </c>
      <c r="O699" s="74">
        <f>$L$699-EFEITO!$O$699*EFEITO!$AA$699</f>
        <v>0</v>
      </c>
      <c r="P699" s="57"/>
      <c r="Q699" s="57"/>
      <c r="R699" s="57"/>
      <c r="S699" s="57"/>
      <c r="T699" s="57"/>
      <c r="U699" s="57"/>
      <c r="V699" s="57"/>
      <c r="W699" s="57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</row>
    <row r="700" spans="1:36" ht="11.25" customHeight="1" x14ac:dyDescent="0.2">
      <c r="A700" s="53" t="s">
        <v>21</v>
      </c>
      <c r="B700" s="53" t="s">
        <v>33</v>
      </c>
      <c r="C700" s="53" t="s">
        <v>34</v>
      </c>
      <c r="D700" s="53" t="s">
        <v>42</v>
      </c>
      <c r="E700" s="53" t="s">
        <v>25</v>
      </c>
      <c r="F700" s="53" t="s">
        <v>25</v>
      </c>
      <c r="G700" s="53" t="s">
        <v>25</v>
      </c>
      <c r="H700" s="53" t="s">
        <v>35</v>
      </c>
      <c r="I700" s="73">
        <v>43922</v>
      </c>
      <c r="J700" s="74">
        <f>EFEITO!$J$700*EFEITO!$Y$700</f>
        <v>0</v>
      </c>
      <c r="K700" s="74">
        <f ca="1">EFEITO!$L$700*EFEITO!$Z$700</f>
        <v>1367174.1241708728</v>
      </c>
      <c r="L700" s="74">
        <f>EFEITO!$N$700*EFEITO!$AA$700</f>
        <v>686923.9086361893</v>
      </c>
      <c r="M700" s="74">
        <f>$J$700-EFEITO!$K$700*EFEITO!$Y$700</f>
        <v>0</v>
      </c>
      <c r="N700" s="74">
        <f ca="1">$K$700-EFEITO!$M$700*EFEITO!$Z$700</f>
        <v>0</v>
      </c>
      <c r="O700" s="74">
        <f>$L$700-EFEITO!$O$700*EFEITO!$AA$700</f>
        <v>0</v>
      </c>
      <c r="P700" s="57"/>
      <c r="Q700" s="57"/>
      <c r="R700" s="57"/>
      <c r="S700" s="57"/>
      <c r="T700" s="57"/>
      <c r="U700" s="57"/>
      <c r="V700" s="57"/>
      <c r="W700" s="57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</row>
    <row r="701" spans="1:36" ht="11.25" customHeight="1" x14ac:dyDescent="0.2">
      <c r="A701" s="53" t="s">
        <v>27</v>
      </c>
      <c r="B701" s="53" t="s">
        <v>33</v>
      </c>
      <c r="C701" s="53" t="s">
        <v>34</v>
      </c>
      <c r="D701" s="53" t="s">
        <v>42</v>
      </c>
      <c r="E701" s="53" t="s">
        <v>25</v>
      </c>
      <c r="F701" s="53" t="s">
        <v>25</v>
      </c>
      <c r="G701" s="53" t="s">
        <v>25</v>
      </c>
      <c r="H701" s="53" t="s">
        <v>35</v>
      </c>
      <c r="I701" s="73">
        <v>43922</v>
      </c>
      <c r="J701" s="74">
        <f>EFEITO!$J$701*EFEITO!$Y$701</f>
        <v>0</v>
      </c>
      <c r="K701" s="74">
        <f ca="1">EFEITO!$L$701*EFEITO!$Z$701</f>
        <v>1941.8642505631935</v>
      </c>
      <c r="L701" s="74">
        <f>EFEITO!$N$701*EFEITO!$AA$701</f>
        <v>975.67161157815895</v>
      </c>
      <c r="M701" s="74">
        <f>$J$701-EFEITO!$K$701*EFEITO!$Y$701</f>
        <v>0</v>
      </c>
      <c r="N701" s="74">
        <f ca="1">$K$701-EFEITO!$M$701*EFEITO!$Z$701</f>
        <v>0</v>
      </c>
      <c r="O701" s="74">
        <f>$L$701-EFEITO!$O$701*EFEITO!$AA$701</f>
        <v>0</v>
      </c>
      <c r="P701" s="57"/>
      <c r="Q701" s="57"/>
      <c r="R701" s="57"/>
      <c r="S701" s="57"/>
      <c r="T701" s="57"/>
      <c r="U701" s="57"/>
      <c r="V701" s="57"/>
      <c r="W701" s="57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</row>
    <row r="702" spans="1:36" ht="11.25" customHeight="1" x14ac:dyDescent="0.2">
      <c r="A702" s="53" t="s">
        <v>28</v>
      </c>
      <c r="B702" s="53" t="s">
        <v>33</v>
      </c>
      <c r="C702" s="53" t="s">
        <v>34</v>
      </c>
      <c r="D702" s="53" t="s">
        <v>42</v>
      </c>
      <c r="E702" s="53" t="s">
        <v>25</v>
      </c>
      <c r="F702" s="53" t="s">
        <v>25</v>
      </c>
      <c r="G702" s="53" t="s">
        <v>25</v>
      </c>
      <c r="H702" s="53" t="s">
        <v>35</v>
      </c>
      <c r="I702" s="73">
        <v>43922</v>
      </c>
      <c r="J702" s="74">
        <f>EFEITO!$J$702*EFEITO!$Y$702</f>
        <v>0</v>
      </c>
      <c r="K702" s="74">
        <f ca="1">EFEITO!$L$702*EFEITO!$Z$702</f>
        <v>81659.99029803864</v>
      </c>
      <c r="L702" s="74">
        <f>EFEITO!$N$702*EFEITO!$AA$702</f>
        <v>41029.301771448103</v>
      </c>
      <c r="M702" s="74">
        <f>$J$702-EFEITO!$K$702*EFEITO!$Y$702</f>
        <v>0</v>
      </c>
      <c r="N702" s="74">
        <f ca="1">$K$702-EFEITO!$M$702*EFEITO!$Z$702</f>
        <v>0</v>
      </c>
      <c r="O702" s="74">
        <f>$L$702-EFEITO!$O$702*EFEITO!$AA$702</f>
        <v>0</v>
      </c>
      <c r="P702" s="57"/>
      <c r="Q702" s="57"/>
      <c r="R702" s="57"/>
      <c r="S702" s="57"/>
      <c r="T702" s="57"/>
      <c r="U702" s="57"/>
      <c r="V702" s="57"/>
      <c r="W702" s="57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</row>
    <row r="703" spans="1:36" ht="11.25" customHeight="1" x14ac:dyDescent="0.2">
      <c r="A703" s="53" t="s">
        <v>21</v>
      </c>
      <c r="B703" s="53" t="s">
        <v>33</v>
      </c>
      <c r="C703" s="53" t="s">
        <v>34</v>
      </c>
      <c r="D703" s="53" t="s">
        <v>42</v>
      </c>
      <c r="E703" s="53" t="s">
        <v>25</v>
      </c>
      <c r="F703" s="53" t="s">
        <v>25</v>
      </c>
      <c r="G703" s="53" t="s">
        <v>25</v>
      </c>
      <c r="H703" s="53" t="s">
        <v>35</v>
      </c>
      <c r="I703" s="73">
        <v>43952</v>
      </c>
      <c r="J703" s="74">
        <f>EFEITO!$J$703*EFEITO!$Y$703</f>
        <v>0</v>
      </c>
      <c r="K703" s="74">
        <f ca="1">EFEITO!$L$703*EFEITO!$Z$703</f>
        <v>999306.37353578291</v>
      </c>
      <c r="L703" s="74">
        <f>EFEITO!$N$703*EFEITO!$AA$703</f>
        <v>502092.18262564333</v>
      </c>
      <c r="M703" s="74">
        <f>$J$703-EFEITO!$K$703*EFEITO!$Y$703</f>
        <v>0</v>
      </c>
      <c r="N703" s="74">
        <f ca="1">$K$703-EFEITO!$M$703*EFEITO!$Z$703</f>
        <v>0</v>
      </c>
      <c r="O703" s="74">
        <f>$L$703-EFEITO!$O$703*EFEITO!$AA$703</f>
        <v>0</v>
      </c>
      <c r="P703" s="57"/>
      <c r="Q703" s="57"/>
      <c r="R703" s="57"/>
      <c r="S703" s="57"/>
      <c r="T703" s="57"/>
      <c r="U703" s="57"/>
      <c r="V703" s="57"/>
      <c r="W703" s="57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</row>
    <row r="704" spans="1:36" ht="11.25" customHeight="1" x14ac:dyDescent="0.2">
      <c r="A704" s="53" t="s">
        <v>27</v>
      </c>
      <c r="B704" s="53" t="s">
        <v>33</v>
      </c>
      <c r="C704" s="53" t="s">
        <v>34</v>
      </c>
      <c r="D704" s="53" t="s">
        <v>42</v>
      </c>
      <c r="E704" s="53" t="s">
        <v>25</v>
      </c>
      <c r="F704" s="53" t="s">
        <v>25</v>
      </c>
      <c r="G704" s="53" t="s">
        <v>25</v>
      </c>
      <c r="H704" s="53" t="s">
        <v>35</v>
      </c>
      <c r="I704" s="73">
        <v>43952</v>
      </c>
      <c r="J704" s="74">
        <f>EFEITO!$J$704*EFEITO!$Y$704</f>
        <v>0</v>
      </c>
      <c r="K704" s="74">
        <f ca="1">EFEITO!$L$704*EFEITO!$Z$704</f>
        <v>801.57045691326289</v>
      </c>
      <c r="L704" s="74">
        <f>EFEITO!$N$704*EFEITO!$AA$704</f>
        <v>402.74161248047227</v>
      </c>
      <c r="M704" s="74">
        <f>$J$704-EFEITO!$K$704*EFEITO!$Y$704</f>
        <v>0</v>
      </c>
      <c r="N704" s="74">
        <f ca="1">$K$704-EFEITO!$M$704*EFEITO!$Z$704</f>
        <v>0</v>
      </c>
      <c r="O704" s="74">
        <f>$L$704-EFEITO!$O$704*EFEITO!$AA$704</f>
        <v>0</v>
      </c>
      <c r="P704" s="57"/>
      <c r="Q704" s="57"/>
      <c r="R704" s="57"/>
      <c r="S704" s="57"/>
      <c r="T704" s="57"/>
      <c r="U704" s="57"/>
      <c r="V704" s="57"/>
      <c r="W704" s="57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</row>
    <row r="705" spans="1:36" ht="11.25" customHeight="1" x14ac:dyDescent="0.2">
      <c r="A705" s="53" t="s">
        <v>28</v>
      </c>
      <c r="B705" s="53" t="s">
        <v>33</v>
      </c>
      <c r="C705" s="53" t="s">
        <v>34</v>
      </c>
      <c r="D705" s="53" t="s">
        <v>42</v>
      </c>
      <c r="E705" s="53" t="s">
        <v>25</v>
      </c>
      <c r="F705" s="53" t="s">
        <v>25</v>
      </c>
      <c r="G705" s="53" t="s">
        <v>25</v>
      </c>
      <c r="H705" s="53" t="s">
        <v>35</v>
      </c>
      <c r="I705" s="73">
        <v>43952</v>
      </c>
      <c r="J705" s="74">
        <f>EFEITO!$J$705*EFEITO!$Y$705</f>
        <v>0</v>
      </c>
      <c r="K705" s="74">
        <f ca="1">EFEITO!$L$705*EFEITO!$Z$705</f>
        <v>47238.072402514343</v>
      </c>
      <c r="L705" s="74">
        <f>EFEITO!$N$705*EFEITO!$AA$705</f>
        <v>23734.32963475171</v>
      </c>
      <c r="M705" s="74">
        <f>$J$705-EFEITO!$K$705*EFEITO!$Y$705</f>
        <v>0</v>
      </c>
      <c r="N705" s="74">
        <f ca="1">$K$705-EFEITO!$M$705*EFEITO!$Z$705</f>
        <v>0</v>
      </c>
      <c r="O705" s="74">
        <f>$L$705-EFEITO!$O$705*EFEITO!$AA$705</f>
        <v>0</v>
      </c>
      <c r="P705" s="57"/>
      <c r="Q705" s="57"/>
      <c r="R705" s="57"/>
      <c r="S705" s="57"/>
      <c r="T705" s="57"/>
      <c r="U705" s="57"/>
      <c r="V705" s="57"/>
      <c r="W705" s="57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</row>
    <row r="706" spans="1:36" ht="11.25" customHeight="1" x14ac:dyDescent="0.2">
      <c r="A706" s="53" t="s">
        <v>21</v>
      </c>
      <c r="B706" s="53" t="s">
        <v>33</v>
      </c>
      <c r="C706" s="53" t="s">
        <v>34</v>
      </c>
      <c r="D706" s="53" t="s">
        <v>42</v>
      </c>
      <c r="E706" s="53" t="s">
        <v>25</v>
      </c>
      <c r="F706" s="53" t="s">
        <v>25</v>
      </c>
      <c r="G706" s="53" t="s">
        <v>25</v>
      </c>
      <c r="H706" s="53" t="s">
        <v>35</v>
      </c>
      <c r="I706" s="73">
        <v>43983</v>
      </c>
      <c r="J706" s="74">
        <f>EFEITO!$J$706*EFEITO!$Y$706</f>
        <v>0</v>
      </c>
      <c r="K706" s="74">
        <f ca="1">EFEITO!$L$706*EFEITO!$Z$706</f>
        <v>1054332.8394823351</v>
      </c>
      <c r="L706" s="74">
        <f>EFEITO!$N$706*EFEITO!$AA$706</f>
        <v>529739.71807718289</v>
      </c>
      <c r="M706" s="74">
        <f>$J$706-EFEITO!$K$706*EFEITO!$Y$706</f>
        <v>0</v>
      </c>
      <c r="N706" s="74">
        <f ca="1">$K$706-EFEITO!$M$706*EFEITO!$Z$706</f>
        <v>0</v>
      </c>
      <c r="O706" s="74">
        <f>$L$706-EFEITO!$O$706*EFEITO!$AA$706</f>
        <v>0</v>
      </c>
      <c r="P706" s="57"/>
      <c r="Q706" s="57"/>
      <c r="R706" s="57"/>
      <c r="S706" s="57"/>
      <c r="T706" s="57"/>
      <c r="U706" s="57"/>
      <c r="V706" s="57"/>
      <c r="W706" s="57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</row>
    <row r="707" spans="1:36" ht="11.25" customHeight="1" x14ac:dyDescent="0.2">
      <c r="A707" s="53" t="s">
        <v>27</v>
      </c>
      <c r="B707" s="53" t="s">
        <v>33</v>
      </c>
      <c r="C707" s="53" t="s">
        <v>34</v>
      </c>
      <c r="D707" s="53" t="s">
        <v>42</v>
      </c>
      <c r="E707" s="53" t="s">
        <v>25</v>
      </c>
      <c r="F707" s="53" t="s">
        <v>25</v>
      </c>
      <c r="G707" s="53" t="s">
        <v>25</v>
      </c>
      <c r="H707" s="53" t="s">
        <v>35</v>
      </c>
      <c r="I707" s="73">
        <v>43983</v>
      </c>
      <c r="J707" s="74">
        <f>EFEITO!$J$707*EFEITO!$Y$707</f>
        <v>0</v>
      </c>
      <c r="K707" s="74">
        <f ca="1">EFEITO!$L$707*EFEITO!$Z$707</f>
        <v>1898.4956997227373</v>
      </c>
      <c r="L707" s="74">
        <f>EFEITO!$N$707*EFEITO!$AA$707</f>
        <v>953.88148702231251</v>
      </c>
      <c r="M707" s="74">
        <f>$J$707-EFEITO!$K$707*EFEITO!$Y$707</f>
        <v>0</v>
      </c>
      <c r="N707" s="74">
        <f ca="1">$K$707-EFEITO!$M$707*EFEITO!$Z$707</f>
        <v>0</v>
      </c>
      <c r="O707" s="74">
        <f>$L$707-EFEITO!$O$707*EFEITO!$AA$707</f>
        <v>0</v>
      </c>
      <c r="P707" s="57"/>
      <c r="Q707" s="57"/>
      <c r="R707" s="57"/>
      <c r="S707" s="57"/>
      <c r="T707" s="57"/>
      <c r="U707" s="57"/>
      <c r="V707" s="57"/>
      <c r="W707" s="57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</row>
    <row r="708" spans="1:36" ht="11.25" customHeight="1" x14ac:dyDescent="0.2">
      <c r="A708" s="53" t="s">
        <v>28</v>
      </c>
      <c r="B708" s="53" t="s">
        <v>33</v>
      </c>
      <c r="C708" s="53" t="s">
        <v>34</v>
      </c>
      <c r="D708" s="53" t="s">
        <v>42</v>
      </c>
      <c r="E708" s="53" t="s">
        <v>25</v>
      </c>
      <c r="F708" s="53" t="s">
        <v>25</v>
      </c>
      <c r="G708" s="53" t="s">
        <v>25</v>
      </c>
      <c r="H708" s="53" t="s">
        <v>35</v>
      </c>
      <c r="I708" s="73">
        <v>43983</v>
      </c>
      <c r="J708" s="74">
        <f>EFEITO!$J$708*EFEITO!$Y$708</f>
        <v>0</v>
      </c>
      <c r="K708" s="74">
        <f ca="1">EFEITO!$L$708*EFEITO!$Z$708</f>
        <v>25064.03145124307</v>
      </c>
      <c r="L708" s="74">
        <f>EFEITO!$N$708*EFEITO!$AA$708</f>
        <v>12593.189226068498</v>
      </c>
      <c r="M708" s="74">
        <f>$J$708-EFEITO!$K$708*EFEITO!$Y$708</f>
        <v>0</v>
      </c>
      <c r="N708" s="74">
        <f ca="1">$K$708-EFEITO!$M$708*EFEITO!$Z$708</f>
        <v>0</v>
      </c>
      <c r="O708" s="74">
        <f>$L$708-EFEITO!$O$708*EFEITO!$AA$708</f>
        <v>0</v>
      </c>
      <c r="P708" s="57"/>
      <c r="Q708" s="57"/>
      <c r="R708" s="57"/>
      <c r="S708" s="57"/>
      <c r="T708" s="57"/>
      <c r="U708" s="57"/>
      <c r="V708" s="57"/>
      <c r="W708" s="57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</row>
    <row r="709" spans="1:36" ht="11.25" customHeight="1" x14ac:dyDescent="0.2">
      <c r="A709" s="53" t="s">
        <v>21</v>
      </c>
      <c r="B709" s="53" t="s">
        <v>33</v>
      </c>
      <c r="C709" s="53" t="s">
        <v>34</v>
      </c>
      <c r="D709" s="53" t="s">
        <v>42</v>
      </c>
      <c r="E709" s="53" t="s">
        <v>25</v>
      </c>
      <c r="F709" s="53" t="s">
        <v>25</v>
      </c>
      <c r="G709" s="53" t="s">
        <v>25</v>
      </c>
      <c r="H709" s="53" t="s">
        <v>35</v>
      </c>
      <c r="I709" s="73">
        <v>44013</v>
      </c>
      <c r="J709" s="74">
        <f>EFEITO!$J$709*EFEITO!$Y$709</f>
        <v>0</v>
      </c>
      <c r="K709" s="74">
        <f ca="1">EFEITO!$L$709*EFEITO!$Z$709</f>
        <v>1049053.0922843271</v>
      </c>
      <c r="L709" s="74">
        <f>EFEITO!$N$709*EFEITO!$AA$709</f>
        <v>527086.95825840998</v>
      </c>
      <c r="M709" s="74">
        <f>$J$709-EFEITO!$K$709*EFEITO!$Y$709</f>
        <v>0</v>
      </c>
      <c r="N709" s="74">
        <f ca="1">$K$709-EFEITO!$M$709*EFEITO!$Z$709</f>
        <v>0</v>
      </c>
      <c r="O709" s="74">
        <f>$L$709-EFEITO!$O$709*EFEITO!$AA$709</f>
        <v>0</v>
      </c>
      <c r="P709" s="57"/>
      <c r="Q709" s="57"/>
      <c r="R709" s="57"/>
      <c r="S709" s="57"/>
      <c r="T709" s="57"/>
      <c r="U709" s="57"/>
      <c r="V709" s="57"/>
      <c r="W709" s="57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</row>
    <row r="710" spans="1:36" ht="11.25" customHeight="1" x14ac:dyDescent="0.2">
      <c r="A710" s="53" t="s">
        <v>27</v>
      </c>
      <c r="B710" s="53" t="s">
        <v>33</v>
      </c>
      <c r="C710" s="53" t="s">
        <v>34</v>
      </c>
      <c r="D710" s="53" t="s">
        <v>42</v>
      </c>
      <c r="E710" s="53" t="s">
        <v>25</v>
      </c>
      <c r="F710" s="53" t="s">
        <v>25</v>
      </c>
      <c r="G710" s="53" t="s">
        <v>25</v>
      </c>
      <c r="H710" s="53" t="s">
        <v>35</v>
      </c>
      <c r="I710" s="73">
        <v>44013</v>
      </c>
      <c r="J710" s="74">
        <f>EFEITO!$J$710*EFEITO!$Y$710</f>
        <v>0</v>
      </c>
      <c r="K710" s="74">
        <f ca="1">EFEITO!$L$710*EFEITO!$Z$710</f>
        <v>3061.9692360632566</v>
      </c>
      <c r="L710" s="74">
        <f>EFEITO!$N$710*EFEITO!$AA$710</f>
        <v>1538.4579320032963</v>
      </c>
      <c r="M710" s="74">
        <f>$J$710-EFEITO!$K$710*EFEITO!$Y$710</f>
        <v>0</v>
      </c>
      <c r="N710" s="74">
        <f ca="1">$K$710-EFEITO!$M$710*EFEITO!$Z$710</f>
        <v>0</v>
      </c>
      <c r="O710" s="74">
        <f>$L$710-EFEITO!$O$710*EFEITO!$AA$710</f>
        <v>0</v>
      </c>
      <c r="P710" s="57"/>
      <c r="Q710" s="57"/>
      <c r="R710" s="57"/>
      <c r="S710" s="57"/>
      <c r="T710" s="57"/>
      <c r="U710" s="57"/>
      <c r="V710" s="57"/>
      <c r="W710" s="57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</row>
    <row r="711" spans="1:36" ht="11.25" customHeight="1" x14ac:dyDescent="0.2">
      <c r="A711" s="53" t="s">
        <v>28</v>
      </c>
      <c r="B711" s="53" t="s">
        <v>33</v>
      </c>
      <c r="C711" s="53" t="s">
        <v>34</v>
      </c>
      <c r="D711" s="53" t="s">
        <v>42</v>
      </c>
      <c r="E711" s="53" t="s">
        <v>25</v>
      </c>
      <c r="F711" s="53" t="s">
        <v>25</v>
      </c>
      <c r="G711" s="53" t="s">
        <v>25</v>
      </c>
      <c r="H711" s="53" t="s">
        <v>35</v>
      </c>
      <c r="I711" s="73">
        <v>44013</v>
      </c>
      <c r="J711" s="74">
        <f>EFEITO!$J$711*EFEITO!$Y$711</f>
        <v>0</v>
      </c>
      <c r="K711" s="74">
        <f ca="1">EFEITO!$L$711*EFEITO!$Z$711</f>
        <v>24440.421599502712</v>
      </c>
      <c r="L711" s="74">
        <f>EFEITO!$N$711*EFEITO!$AA$711</f>
        <v>12279.862262627534</v>
      </c>
      <c r="M711" s="74">
        <f>$J$711-EFEITO!$K$711*EFEITO!$Y$711</f>
        <v>0</v>
      </c>
      <c r="N711" s="74">
        <f ca="1">$K$711-EFEITO!$M$711*EFEITO!$Z$711</f>
        <v>0</v>
      </c>
      <c r="O711" s="74">
        <f>$L$711-EFEITO!$O$711*EFEITO!$AA$711</f>
        <v>0</v>
      </c>
      <c r="P711" s="57"/>
      <c r="Q711" s="57"/>
      <c r="R711" s="57"/>
      <c r="S711" s="57"/>
      <c r="T711" s="57"/>
      <c r="U711" s="57"/>
      <c r="V711" s="57"/>
      <c r="W711" s="57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</row>
    <row r="712" spans="1:36" ht="11.25" customHeight="1" x14ac:dyDescent="0.2">
      <c r="A712" s="53" t="s">
        <v>21</v>
      </c>
      <c r="B712" s="53" t="s">
        <v>33</v>
      </c>
      <c r="C712" s="53" t="s">
        <v>34</v>
      </c>
      <c r="D712" s="53" t="s">
        <v>42</v>
      </c>
      <c r="E712" s="53" t="s">
        <v>25</v>
      </c>
      <c r="F712" s="53" t="s">
        <v>25</v>
      </c>
      <c r="G712" s="53" t="s">
        <v>25</v>
      </c>
      <c r="H712" s="53" t="s">
        <v>35</v>
      </c>
      <c r="I712" s="73">
        <v>44044</v>
      </c>
      <c r="J712" s="74">
        <f>EFEITO!$J$712*EFEITO!$Y$712</f>
        <v>0</v>
      </c>
      <c r="K712" s="74">
        <f ca="1">EFEITO!$L$712*EFEITO!$Z$712</f>
        <v>1172437.3671590609</v>
      </c>
      <c r="L712" s="74">
        <f>EFEITO!$N$712*EFEITO!$AA$712</f>
        <v>589080.23831159587</v>
      </c>
      <c r="M712" s="74">
        <f>$J$712-EFEITO!$K$712*EFEITO!$Y$712</f>
        <v>0</v>
      </c>
      <c r="N712" s="74">
        <f ca="1">$K$712-EFEITO!$M$712*EFEITO!$Z$712</f>
        <v>0</v>
      </c>
      <c r="O712" s="74">
        <f>$L$712-EFEITO!$O$712*EFEITO!$AA$712</f>
        <v>0</v>
      </c>
      <c r="P712" s="57"/>
      <c r="Q712" s="57"/>
      <c r="R712" s="57"/>
      <c r="S712" s="57"/>
      <c r="T712" s="57"/>
      <c r="U712" s="57"/>
      <c r="V712" s="57"/>
      <c r="W712" s="57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</row>
    <row r="713" spans="1:36" ht="11.25" customHeight="1" x14ac:dyDescent="0.2">
      <c r="A713" s="53" t="s">
        <v>27</v>
      </c>
      <c r="B713" s="53" t="s">
        <v>33</v>
      </c>
      <c r="C713" s="53" t="s">
        <v>34</v>
      </c>
      <c r="D713" s="53" t="s">
        <v>42</v>
      </c>
      <c r="E713" s="53" t="s">
        <v>25</v>
      </c>
      <c r="F713" s="53" t="s">
        <v>25</v>
      </c>
      <c r="G713" s="53" t="s">
        <v>25</v>
      </c>
      <c r="H713" s="53" t="s">
        <v>35</v>
      </c>
      <c r="I713" s="73">
        <v>44044</v>
      </c>
      <c r="J713" s="74">
        <f>EFEITO!$J$713*EFEITO!$Y$713</f>
        <v>0</v>
      </c>
      <c r="K713" s="74">
        <f ca="1">EFEITO!$L$713*EFEITO!$Z$713</f>
        <v>77.764298058749375</v>
      </c>
      <c r="L713" s="74">
        <f>EFEITO!$N$713*EFEITO!$AA$713</f>
        <v>39.071947479448795</v>
      </c>
      <c r="M713" s="74">
        <f>$J$713-EFEITO!$K$713*EFEITO!$Y$713</f>
        <v>0</v>
      </c>
      <c r="N713" s="74">
        <f ca="1">$K$713-EFEITO!$M$713*EFEITO!$Z$713</f>
        <v>0</v>
      </c>
      <c r="O713" s="74">
        <f>$L$713-EFEITO!$O$713*EFEITO!$AA$713</f>
        <v>0</v>
      </c>
      <c r="P713" s="57"/>
      <c r="Q713" s="57"/>
      <c r="R713" s="57"/>
      <c r="S713" s="57"/>
      <c r="T713" s="57"/>
      <c r="U713" s="57"/>
      <c r="V713" s="57"/>
      <c r="W713" s="57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</row>
    <row r="714" spans="1:36" ht="11.25" customHeight="1" x14ac:dyDescent="0.2">
      <c r="A714" s="53" t="s">
        <v>28</v>
      </c>
      <c r="B714" s="53" t="s">
        <v>33</v>
      </c>
      <c r="C714" s="53" t="s">
        <v>34</v>
      </c>
      <c r="D714" s="53" t="s">
        <v>42</v>
      </c>
      <c r="E714" s="53" t="s">
        <v>25</v>
      </c>
      <c r="F714" s="53" t="s">
        <v>25</v>
      </c>
      <c r="G714" s="53" t="s">
        <v>25</v>
      </c>
      <c r="H714" s="53" t="s">
        <v>35</v>
      </c>
      <c r="I714" s="73">
        <v>44044</v>
      </c>
      <c r="J714" s="74">
        <f>EFEITO!$J$714*EFEITO!$Y$714</f>
        <v>0</v>
      </c>
      <c r="K714" s="74">
        <f ca="1">EFEITO!$L$714*EFEITO!$Z$714</f>
        <v>40189.18742366982</v>
      </c>
      <c r="L714" s="74">
        <f>EFEITO!$N$714*EFEITO!$AA$714</f>
        <v>20192.683010821289</v>
      </c>
      <c r="M714" s="74">
        <f>$J$714-EFEITO!$K$714*EFEITO!$Y$714</f>
        <v>0</v>
      </c>
      <c r="N714" s="74">
        <f ca="1">$K$714-EFEITO!$M$714*EFEITO!$Z$714</f>
        <v>0</v>
      </c>
      <c r="O714" s="74">
        <f>$L$714-EFEITO!$O$714*EFEITO!$AA$714</f>
        <v>0</v>
      </c>
      <c r="P714" s="57"/>
      <c r="Q714" s="57"/>
      <c r="R714" s="57"/>
      <c r="S714" s="57"/>
      <c r="T714" s="57"/>
      <c r="U714" s="57"/>
      <c r="V714" s="57"/>
      <c r="W714" s="57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</row>
    <row r="715" spans="1:36" ht="11.25" customHeight="1" x14ac:dyDescent="0.2">
      <c r="A715" s="53" t="s">
        <v>59</v>
      </c>
      <c r="B715" s="53" t="s">
        <v>33</v>
      </c>
      <c r="C715" s="53" t="s">
        <v>34</v>
      </c>
      <c r="D715" s="53" t="s">
        <v>42</v>
      </c>
      <c r="E715" s="53" t="s">
        <v>25</v>
      </c>
      <c r="F715" s="53" t="s">
        <v>25</v>
      </c>
      <c r="G715" s="53" t="s">
        <v>25</v>
      </c>
      <c r="H715" s="53" t="s">
        <v>35</v>
      </c>
      <c r="I715" s="73">
        <v>44075</v>
      </c>
      <c r="J715" s="74">
        <f>EFEITO!$J$715*EFEITO!$Y$715</f>
        <v>0</v>
      </c>
      <c r="K715" s="74">
        <f ca="1">EFEITO!$L$715*EFEITO!$Z$715</f>
        <v>1172437.3671590609</v>
      </c>
      <c r="L715" s="74">
        <f>EFEITO!$N$715*EFEITO!$AA$715</f>
        <v>589080.23831159587</v>
      </c>
      <c r="M715" s="74">
        <f>$J$715-EFEITO!$K$715*EFEITO!$Y$715</f>
        <v>0</v>
      </c>
      <c r="N715" s="74">
        <f ca="1">$K$715-EFEITO!$M$715*EFEITO!$Z$715</f>
        <v>0</v>
      </c>
      <c r="O715" s="74">
        <f>$L$715-EFEITO!$O$715*EFEITO!$AA$715</f>
        <v>0</v>
      </c>
      <c r="P715" s="57"/>
      <c r="Q715" s="57"/>
      <c r="R715" s="57"/>
      <c r="S715" s="57"/>
      <c r="T715" s="57"/>
      <c r="U715" s="57"/>
      <c r="V715" s="57"/>
      <c r="W715" s="57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</row>
    <row r="716" spans="1:36" ht="11.25" customHeight="1" x14ac:dyDescent="0.2">
      <c r="A716" s="53" t="s">
        <v>59</v>
      </c>
      <c r="B716" s="53" t="s">
        <v>33</v>
      </c>
      <c r="C716" s="53" t="s">
        <v>34</v>
      </c>
      <c r="D716" s="53" t="s">
        <v>42</v>
      </c>
      <c r="E716" s="53" t="s">
        <v>25</v>
      </c>
      <c r="F716" s="53" t="s">
        <v>25</v>
      </c>
      <c r="G716" s="53" t="s">
        <v>25</v>
      </c>
      <c r="H716" s="53" t="s">
        <v>35</v>
      </c>
      <c r="I716" s="73">
        <v>44075</v>
      </c>
      <c r="J716" s="74">
        <f>EFEITO!$J$716*EFEITO!$Y$716</f>
        <v>0</v>
      </c>
      <c r="K716" s="74">
        <f ca="1">EFEITO!$L$716*EFEITO!$Z$716</f>
        <v>77.764298058749375</v>
      </c>
      <c r="L716" s="74">
        <f>EFEITO!$N$716*EFEITO!$AA$716</f>
        <v>39.071947479448795</v>
      </c>
      <c r="M716" s="74">
        <f>$J$716-EFEITO!$K$716*EFEITO!$Y$716</f>
        <v>0</v>
      </c>
      <c r="N716" s="74">
        <f ca="1">$K$716-EFEITO!$M$716*EFEITO!$Z$716</f>
        <v>0</v>
      </c>
      <c r="O716" s="74">
        <f>$L$716-EFEITO!$O$716*EFEITO!$AA$716</f>
        <v>0</v>
      </c>
      <c r="P716" s="57"/>
      <c r="Q716" s="57"/>
      <c r="R716" s="57"/>
      <c r="S716" s="57"/>
      <c r="T716" s="57"/>
      <c r="U716" s="57"/>
      <c r="V716" s="57"/>
      <c r="W716" s="57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</row>
    <row r="717" spans="1:36" ht="11.25" customHeight="1" x14ac:dyDescent="0.2">
      <c r="A717" s="53" t="s">
        <v>59</v>
      </c>
      <c r="B717" s="53" t="s">
        <v>33</v>
      </c>
      <c r="C717" s="53" t="s">
        <v>34</v>
      </c>
      <c r="D717" s="53" t="s">
        <v>42</v>
      </c>
      <c r="E717" s="53" t="s">
        <v>25</v>
      </c>
      <c r="F717" s="53" t="s">
        <v>25</v>
      </c>
      <c r="G717" s="53" t="s">
        <v>25</v>
      </c>
      <c r="H717" s="53" t="s">
        <v>35</v>
      </c>
      <c r="I717" s="73">
        <v>44075</v>
      </c>
      <c r="J717" s="74">
        <f>EFEITO!$J$717*EFEITO!$Y$717</f>
        <v>0</v>
      </c>
      <c r="K717" s="74">
        <f ca="1">EFEITO!$L$717*EFEITO!$Z$717</f>
        <v>40189.18742366982</v>
      </c>
      <c r="L717" s="74">
        <f>EFEITO!$N$717*EFEITO!$AA$717</f>
        <v>20192.683010821289</v>
      </c>
      <c r="M717" s="74">
        <f>$J$717-EFEITO!$K$717*EFEITO!$Y$717</f>
        <v>0</v>
      </c>
      <c r="N717" s="74">
        <f ca="1">$K$717-EFEITO!$M$717*EFEITO!$Z$717</f>
        <v>0</v>
      </c>
      <c r="O717" s="74">
        <f>$L$717-EFEITO!$O$717*EFEITO!$AA$717</f>
        <v>0</v>
      </c>
      <c r="P717" s="57"/>
      <c r="Q717" s="57"/>
      <c r="R717" s="57"/>
      <c r="S717" s="57"/>
      <c r="T717" s="57"/>
      <c r="U717" s="57"/>
      <c r="V717" s="57"/>
      <c r="W717" s="57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</row>
    <row r="718" spans="1:36" ht="11.25" customHeight="1" x14ac:dyDescent="0.2">
      <c r="A718" s="53" t="s">
        <v>21</v>
      </c>
      <c r="B718" s="53" t="s">
        <v>33</v>
      </c>
      <c r="C718" s="53" t="s">
        <v>34</v>
      </c>
      <c r="D718" s="53" t="s">
        <v>40</v>
      </c>
      <c r="E718" s="53" t="s">
        <v>25</v>
      </c>
      <c r="F718" s="53" t="s">
        <v>63</v>
      </c>
      <c r="G718" s="53" t="s">
        <v>25</v>
      </c>
      <c r="H718" s="53" t="s">
        <v>36</v>
      </c>
      <c r="I718" s="73">
        <v>43739</v>
      </c>
      <c r="J718" s="74">
        <f>EFEITO!$J$718*EFEITO!$Y$718</f>
        <v>0</v>
      </c>
      <c r="K718" s="74">
        <f ca="1">EFEITO!$L$718*EFEITO!$Z$718</f>
        <v>833409.68826628523</v>
      </c>
      <c r="L718" s="74">
        <f>EFEITO!$N$718*EFEITO!$AA$718</f>
        <v>0</v>
      </c>
      <c r="M718" s="74">
        <f>$J$718-EFEITO!$K$718*EFEITO!$Y$718</f>
        <v>0</v>
      </c>
      <c r="N718" s="74">
        <f ca="1">$K$718-EFEITO!$M$718*EFEITO!$Z$718</f>
        <v>0</v>
      </c>
      <c r="O718" s="74">
        <f>$L$718-EFEITO!$O$718*EFEITO!$AA$718</f>
        <v>0</v>
      </c>
      <c r="P718" s="57"/>
      <c r="Q718" s="57"/>
      <c r="R718" s="57"/>
      <c r="S718" s="57"/>
      <c r="T718" s="57"/>
      <c r="U718" s="57"/>
      <c r="V718" s="57"/>
      <c r="W718" s="57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</row>
    <row r="719" spans="1:36" ht="11.25" customHeight="1" x14ac:dyDescent="0.2">
      <c r="A719" s="53" t="s">
        <v>21</v>
      </c>
      <c r="B719" s="53" t="s">
        <v>33</v>
      </c>
      <c r="C719" s="53" t="s">
        <v>34</v>
      </c>
      <c r="D719" s="53" t="s">
        <v>40</v>
      </c>
      <c r="E719" s="53" t="s">
        <v>25</v>
      </c>
      <c r="F719" s="53" t="s">
        <v>63</v>
      </c>
      <c r="G719" s="53" t="s">
        <v>25</v>
      </c>
      <c r="H719" s="53" t="s">
        <v>36</v>
      </c>
      <c r="I719" s="73">
        <v>43770</v>
      </c>
      <c r="J719" s="74">
        <f>EFEITO!$J$719*EFEITO!$Y$719</f>
        <v>0</v>
      </c>
      <c r="K719" s="74">
        <f ca="1">EFEITO!$L$719*EFEITO!$Z$719</f>
        <v>797619.60790357587</v>
      </c>
      <c r="L719" s="74">
        <f>EFEITO!$N$719*EFEITO!$AA$719</f>
        <v>0</v>
      </c>
      <c r="M719" s="74">
        <f>$J$719-EFEITO!$K$719*EFEITO!$Y$719</f>
        <v>0</v>
      </c>
      <c r="N719" s="74">
        <f ca="1">$K$719-EFEITO!$M$719*EFEITO!$Z$719</f>
        <v>0</v>
      </c>
      <c r="O719" s="74">
        <f>$L$719-EFEITO!$O$719*EFEITO!$AA$719</f>
        <v>0</v>
      </c>
      <c r="P719" s="57"/>
      <c r="Q719" s="57"/>
      <c r="R719" s="57"/>
      <c r="S719" s="57"/>
      <c r="T719" s="57"/>
      <c r="U719" s="57"/>
      <c r="V719" s="57"/>
      <c r="W719" s="57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</row>
    <row r="720" spans="1:36" ht="11.25" customHeight="1" x14ac:dyDescent="0.2">
      <c r="A720" s="53" t="s">
        <v>21</v>
      </c>
      <c r="B720" s="53" t="s">
        <v>33</v>
      </c>
      <c r="C720" s="53" t="s">
        <v>34</v>
      </c>
      <c r="D720" s="53" t="s">
        <v>40</v>
      </c>
      <c r="E720" s="53" t="s">
        <v>25</v>
      </c>
      <c r="F720" s="53" t="s">
        <v>63</v>
      </c>
      <c r="G720" s="53" t="s">
        <v>25</v>
      </c>
      <c r="H720" s="53" t="s">
        <v>36</v>
      </c>
      <c r="I720" s="73">
        <v>43800</v>
      </c>
      <c r="J720" s="74">
        <f>EFEITO!$J$720*EFEITO!$Y$720</f>
        <v>0</v>
      </c>
      <c r="K720" s="74">
        <f ca="1">EFEITO!$L$720*EFEITO!$Z$720</f>
        <v>811928.32342999941</v>
      </c>
      <c r="L720" s="74">
        <f>EFEITO!$N$720*EFEITO!$AA$720</f>
        <v>0</v>
      </c>
      <c r="M720" s="74">
        <f>$J$720-EFEITO!$K$720*EFEITO!$Y$720</f>
        <v>0</v>
      </c>
      <c r="N720" s="74">
        <f ca="1">$K$720-EFEITO!$M$720*EFEITO!$Z$720</f>
        <v>0</v>
      </c>
      <c r="O720" s="74">
        <f>$L$720-EFEITO!$O$720*EFEITO!$AA$720</f>
        <v>0</v>
      </c>
      <c r="P720" s="57"/>
      <c r="Q720" s="57"/>
      <c r="R720" s="57"/>
      <c r="S720" s="57"/>
      <c r="T720" s="57"/>
      <c r="U720" s="57"/>
      <c r="V720" s="57"/>
      <c r="W720" s="57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</row>
    <row r="721" spans="1:36" ht="11.25" customHeight="1" x14ac:dyDescent="0.2">
      <c r="A721" s="53" t="s">
        <v>21</v>
      </c>
      <c r="B721" s="53" t="s">
        <v>33</v>
      </c>
      <c r="C721" s="53" t="s">
        <v>34</v>
      </c>
      <c r="D721" s="53" t="s">
        <v>40</v>
      </c>
      <c r="E721" s="53" t="s">
        <v>25</v>
      </c>
      <c r="F721" s="53" t="s">
        <v>63</v>
      </c>
      <c r="G721" s="53" t="s">
        <v>25</v>
      </c>
      <c r="H721" s="53" t="s">
        <v>36</v>
      </c>
      <c r="I721" s="73">
        <v>43831</v>
      </c>
      <c r="J721" s="74">
        <f>EFEITO!$J$721*EFEITO!$Y$721</f>
        <v>0</v>
      </c>
      <c r="K721" s="74">
        <f ca="1">EFEITO!$L$721*EFEITO!$Z$721</f>
        <v>796945.35873899562</v>
      </c>
      <c r="L721" s="74">
        <f>EFEITO!$N$721*EFEITO!$AA$721</f>
        <v>0</v>
      </c>
      <c r="M721" s="74">
        <f>$J$721-EFEITO!$K$721*EFEITO!$Y$721</f>
        <v>0</v>
      </c>
      <c r="N721" s="74">
        <f ca="1">$K$721-EFEITO!$M$721*EFEITO!$Z$721</f>
        <v>0</v>
      </c>
      <c r="O721" s="74">
        <f>$L$721-EFEITO!$O$721*EFEITO!$AA$721</f>
        <v>0</v>
      </c>
      <c r="P721" s="57"/>
      <c r="Q721" s="57"/>
      <c r="R721" s="57"/>
      <c r="S721" s="57"/>
      <c r="T721" s="57"/>
      <c r="U721" s="57"/>
      <c r="V721" s="57"/>
      <c r="W721" s="57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</row>
    <row r="722" spans="1:36" ht="11.25" customHeight="1" x14ac:dyDescent="0.2">
      <c r="A722" s="53" t="s">
        <v>21</v>
      </c>
      <c r="B722" s="53" t="s">
        <v>33</v>
      </c>
      <c r="C722" s="53" t="s">
        <v>34</v>
      </c>
      <c r="D722" s="53" t="s">
        <v>40</v>
      </c>
      <c r="E722" s="53" t="s">
        <v>25</v>
      </c>
      <c r="F722" s="53" t="s">
        <v>63</v>
      </c>
      <c r="G722" s="53" t="s">
        <v>25</v>
      </c>
      <c r="H722" s="53" t="s">
        <v>36</v>
      </c>
      <c r="I722" s="73">
        <v>43862</v>
      </c>
      <c r="J722" s="74">
        <f>EFEITO!$J$722*EFEITO!$Y$722</f>
        <v>0</v>
      </c>
      <c r="K722" s="74">
        <f ca="1">EFEITO!$L$722*EFEITO!$Z$722</f>
        <v>768233.93189139804</v>
      </c>
      <c r="L722" s="74">
        <f>EFEITO!$N$722*EFEITO!$AA$722</f>
        <v>0</v>
      </c>
      <c r="M722" s="74">
        <f>$J$722-EFEITO!$K$722*EFEITO!$Y$722</f>
        <v>0</v>
      </c>
      <c r="N722" s="74">
        <f ca="1">$K$722-EFEITO!$M$722*EFEITO!$Z$722</f>
        <v>0</v>
      </c>
      <c r="O722" s="74">
        <f>$L$722-EFEITO!$O$722*EFEITO!$AA$722</f>
        <v>0</v>
      </c>
      <c r="P722" s="57"/>
      <c r="Q722" s="57"/>
      <c r="R722" s="57"/>
      <c r="S722" s="57"/>
      <c r="T722" s="57"/>
      <c r="U722" s="57"/>
      <c r="V722" s="57"/>
      <c r="W722" s="57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</row>
    <row r="723" spans="1:36" ht="11.25" customHeight="1" x14ac:dyDescent="0.2">
      <c r="A723" s="53" t="s">
        <v>21</v>
      </c>
      <c r="B723" s="53" t="s">
        <v>33</v>
      </c>
      <c r="C723" s="53" t="s">
        <v>34</v>
      </c>
      <c r="D723" s="53" t="s">
        <v>40</v>
      </c>
      <c r="E723" s="53" t="s">
        <v>25</v>
      </c>
      <c r="F723" s="53" t="s">
        <v>63</v>
      </c>
      <c r="G723" s="53" t="s">
        <v>25</v>
      </c>
      <c r="H723" s="53" t="s">
        <v>36</v>
      </c>
      <c r="I723" s="73">
        <v>43891</v>
      </c>
      <c r="J723" s="74">
        <f>EFEITO!$J$723*EFEITO!$Y$723</f>
        <v>0</v>
      </c>
      <c r="K723" s="74">
        <f ca="1">EFEITO!$L$723*EFEITO!$Z$723</f>
        <v>798990.33615067578</v>
      </c>
      <c r="L723" s="74">
        <f>EFEITO!$N$723*EFEITO!$AA$723</f>
        <v>0</v>
      </c>
      <c r="M723" s="74">
        <f>$J$723-EFEITO!$K$723*EFEITO!$Y$723</f>
        <v>0</v>
      </c>
      <c r="N723" s="74">
        <f ca="1">$K$723-EFEITO!$M$723*EFEITO!$Z$723</f>
        <v>0</v>
      </c>
      <c r="O723" s="74">
        <f>$L$723-EFEITO!$O$723*EFEITO!$AA$723</f>
        <v>0</v>
      </c>
      <c r="P723" s="57"/>
      <c r="Q723" s="57"/>
      <c r="R723" s="57"/>
      <c r="S723" s="57"/>
      <c r="T723" s="57"/>
      <c r="U723" s="57"/>
      <c r="V723" s="57"/>
      <c r="W723" s="57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</row>
    <row r="724" spans="1:36" ht="11.25" customHeight="1" x14ac:dyDescent="0.2">
      <c r="A724" s="53" t="s">
        <v>21</v>
      </c>
      <c r="B724" s="53" t="s">
        <v>33</v>
      </c>
      <c r="C724" s="53" t="s">
        <v>34</v>
      </c>
      <c r="D724" s="53" t="s">
        <v>40</v>
      </c>
      <c r="E724" s="53" t="s">
        <v>25</v>
      </c>
      <c r="F724" s="53" t="s">
        <v>63</v>
      </c>
      <c r="G724" s="53" t="s">
        <v>25</v>
      </c>
      <c r="H724" s="53" t="s">
        <v>36</v>
      </c>
      <c r="I724" s="73">
        <v>43922</v>
      </c>
      <c r="J724" s="74">
        <f>EFEITO!$J$724*EFEITO!$Y$724</f>
        <v>0</v>
      </c>
      <c r="K724" s="74">
        <f ca="1">EFEITO!$L$724*EFEITO!$Z$724</f>
        <v>700715.10715797707</v>
      </c>
      <c r="L724" s="74">
        <f>EFEITO!$N$724*EFEITO!$AA$724</f>
        <v>0</v>
      </c>
      <c r="M724" s="74">
        <f>$J$724-EFEITO!$K$724*EFEITO!$Y$724</f>
        <v>0</v>
      </c>
      <c r="N724" s="74">
        <f ca="1">$K$724-EFEITO!$M$724*EFEITO!$Z$724</f>
        <v>0</v>
      </c>
      <c r="O724" s="74">
        <f>$L$724-EFEITO!$O$724*EFEITO!$AA$724</f>
        <v>0</v>
      </c>
      <c r="P724" s="57"/>
      <c r="Q724" s="57"/>
      <c r="R724" s="57"/>
      <c r="S724" s="57"/>
      <c r="T724" s="57"/>
      <c r="U724" s="57"/>
      <c r="V724" s="57"/>
      <c r="W724" s="57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</row>
    <row r="725" spans="1:36" ht="11.25" customHeight="1" x14ac:dyDescent="0.2">
      <c r="A725" s="53" t="s">
        <v>21</v>
      </c>
      <c r="B725" s="53" t="s">
        <v>33</v>
      </c>
      <c r="C725" s="53" t="s">
        <v>34</v>
      </c>
      <c r="D725" s="53" t="s">
        <v>40</v>
      </c>
      <c r="E725" s="53" t="s">
        <v>25</v>
      </c>
      <c r="F725" s="53" t="s">
        <v>63</v>
      </c>
      <c r="G725" s="53" t="s">
        <v>25</v>
      </c>
      <c r="H725" s="53" t="s">
        <v>36</v>
      </c>
      <c r="I725" s="73">
        <v>43952</v>
      </c>
      <c r="J725" s="74">
        <f>EFEITO!$J$725*EFEITO!$Y$725</f>
        <v>0</v>
      </c>
      <c r="K725" s="74">
        <f ca="1">EFEITO!$L$725*EFEITO!$Z$725</f>
        <v>713574.15197280806</v>
      </c>
      <c r="L725" s="74">
        <f>EFEITO!$N$725*EFEITO!$AA$725</f>
        <v>0</v>
      </c>
      <c r="M725" s="74">
        <f>$J$725-EFEITO!$K$725*EFEITO!$Y$725</f>
        <v>0</v>
      </c>
      <c r="N725" s="74">
        <f ca="1">$K$725-EFEITO!$M$725*EFEITO!$Z$725</f>
        <v>0</v>
      </c>
      <c r="O725" s="74">
        <f>$L$725-EFEITO!$O$725*EFEITO!$AA$725</f>
        <v>0</v>
      </c>
      <c r="P725" s="57"/>
      <c r="Q725" s="57"/>
      <c r="R725" s="57"/>
      <c r="S725" s="57"/>
      <c r="T725" s="57"/>
      <c r="U725" s="57"/>
      <c r="V725" s="57"/>
      <c r="W725" s="57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</row>
    <row r="726" spans="1:36" ht="11.25" customHeight="1" x14ac:dyDescent="0.2">
      <c r="A726" s="53" t="s">
        <v>21</v>
      </c>
      <c r="B726" s="53" t="s">
        <v>33</v>
      </c>
      <c r="C726" s="53" t="s">
        <v>34</v>
      </c>
      <c r="D726" s="53" t="s">
        <v>40</v>
      </c>
      <c r="E726" s="53" t="s">
        <v>25</v>
      </c>
      <c r="F726" s="53" t="s">
        <v>63</v>
      </c>
      <c r="G726" s="53" t="s">
        <v>25</v>
      </c>
      <c r="H726" s="53" t="s">
        <v>36</v>
      </c>
      <c r="I726" s="73">
        <v>43983</v>
      </c>
      <c r="J726" s="74">
        <f>EFEITO!$J$726*EFEITO!$Y$726</f>
        <v>0</v>
      </c>
      <c r="K726" s="74">
        <f ca="1">EFEITO!$L$726*EFEITO!$Z$726</f>
        <v>713574.15197280806</v>
      </c>
      <c r="L726" s="74">
        <f>EFEITO!$N$726*EFEITO!$AA$726</f>
        <v>0</v>
      </c>
      <c r="M726" s="74">
        <f>$J$726-EFEITO!$K$726*EFEITO!$Y$726</f>
        <v>0</v>
      </c>
      <c r="N726" s="74">
        <f ca="1">$K$726-EFEITO!$M$726*EFEITO!$Z$726</f>
        <v>0</v>
      </c>
      <c r="O726" s="74">
        <f>$L$726-EFEITO!$O$726*EFEITO!$AA$726</f>
        <v>0</v>
      </c>
      <c r="P726" s="57"/>
      <c r="Q726" s="57"/>
      <c r="R726" s="57"/>
      <c r="S726" s="57"/>
      <c r="T726" s="57"/>
      <c r="U726" s="57"/>
      <c r="V726" s="57"/>
      <c r="W726" s="57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</row>
    <row r="727" spans="1:36" ht="11.25" customHeight="1" x14ac:dyDescent="0.2">
      <c r="A727" s="53" t="s">
        <v>21</v>
      </c>
      <c r="B727" s="53" t="s">
        <v>33</v>
      </c>
      <c r="C727" s="53" t="s">
        <v>34</v>
      </c>
      <c r="D727" s="53" t="s">
        <v>40</v>
      </c>
      <c r="E727" s="53" t="s">
        <v>25</v>
      </c>
      <c r="F727" s="53" t="s">
        <v>63</v>
      </c>
      <c r="G727" s="53" t="s">
        <v>25</v>
      </c>
      <c r="H727" s="53" t="s">
        <v>36</v>
      </c>
      <c r="I727" s="73">
        <v>44013</v>
      </c>
      <c r="J727" s="74">
        <f>EFEITO!$J$727*EFEITO!$Y$727</f>
        <v>0</v>
      </c>
      <c r="K727" s="74">
        <f ca="1">EFEITO!$L$727*EFEITO!$Z$727</f>
        <v>639299.18257311732</v>
      </c>
      <c r="L727" s="74">
        <f>EFEITO!$N$727*EFEITO!$AA$727</f>
        <v>0</v>
      </c>
      <c r="M727" s="74">
        <f>$J$727-EFEITO!$K$727*EFEITO!$Y$727</f>
        <v>0</v>
      </c>
      <c r="N727" s="74">
        <f ca="1">$K$727-EFEITO!$M$727*EFEITO!$Z$727</f>
        <v>0</v>
      </c>
      <c r="O727" s="74">
        <f>$L$727-EFEITO!$O$727*EFEITO!$AA$727</f>
        <v>0</v>
      </c>
      <c r="P727" s="57"/>
      <c r="Q727" s="57"/>
      <c r="R727" s="57"/>
      <c r="S727" s="57"/>
      <c r="T727" s="57"/>
      <c r="U727" s="57"/>
      <c r="V727" s="57"/>
      <c r="W727" s="57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</row>
    <row r="728" spans="1:36" ht="11.25" customHeight="1" x14ac:dyDescent="0.2">
      <c r="A728" s="53" t="s">
        <v>21</v>
      </c>
      <c r="B728" s="53" t="s">
        <v>33</v>
      </c>
      <c r="C728" s="53" t="s">
        <v>34</v>
      </c>
      <c r="D728" s="53" t="s">
        <v>40</v>
      </c>
      <c r="E728" s="53" t="s">
        <v>25</v>
      </c>
      <c r="F728" s="53" t="s">
        <v>63</v>
      </c>
      <c r="G728" s="53" t="s">
        <v>25</v>
      </c>
      <c r="H728" s="53" t="s">
        <v>36</v>
      </c>
      <c r="I728" s="73">
        <v>44044</v>
      </c>
      <c r="J728" s="74">
        <f>EFEITO!$J$728*EFEITO!$Y$728</f>
        <v>0</v>
      </c>
      <c r="K728" s="74">
        <f ca="1">EFEITO!$L$728*EFEITO!$Z$728</f>
        <v>757240.62483494228</v>
      </c>
      <c r="L728" s="74">
        <f>EFEITO!$N$728*EFEITO!$AA$728</f>
        <v>0</v>
      </c>
      <c r="M728" s="74">
        <f>$J$728-EFEITO!$K$728*EFEITO!$Y$728</f>
        <v>0</v>
      </c>
      <c r="N728" s="74">
        <f ca="1">$K$728-EFEITO!$M$728*EFEITO!$Z$728</f>
        <v>0</v>
      </c>
      <c r="O728" s="74">
        <f>$L$728-EFEITO!$O$728*EFEITO!$AA$728</f>
        <v>0</v>
      </c>
      <c r="P728" s="57"/>
      <c r="Q728" s="57"/>
      <c r="R728" s="57"/>
      <c r="S728" s="57"/>
      <c r="T728" s="57"/>
      <c r="U728" s="57"/>
      <c r="V728" s="57"/>
      <c r="W728" s="57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</row>
    <row r="729" spans="1:36" ht="11.25" customHeight="1" x14ac:dyDescent="0.2">
      <c r="A729" s="53" t="s">
        <v>59</v>
      </c>
      <c r="B729" s="53" t="s">
        <v>33</v>
      </c>
      <c r="C729" s="53" t="s">
        <v>34</v>
      </c>
      <c r="D729" s="53" t="s">
        <v>40</v>
      </c>
      <c r="E729" s="53" t="s">
        <v>25</v>
      </c>
      <c r="F729" s="53" t="s">
        <v>63</v>
      </c>
      <c r="G729" s="53" t="s">
        <v>25</v>
      </c>
      <c r="H729" s="53" t="s">
        <v>36</v>
      </c>
      <c r="I729" s="73">
        <v>44075</v>
      </c>
      <c r="J729" s="74">
        <f>EFEITO!$J$729*EFEITO!$Y$729</f>
        <v>0</v>
      </c>
      <c r="K729" s="74">
        <f ca="1">EFEITO!$L$729*EFEITO!$Z$729</f>
        <v>757240.62483494228</v>
      </c>
      <c r="L729" s="74">
        <f>EFEITO!$N$729*EFEITO!$AA$729</f>
        <v>0</v>
      </c>
      <c r="M729" s="74">
        <f>$J$729-EFEITO!$K$729*EFEITO!$Y$729</f>
        <v>0</v>
      </c>
      <c r="N729" s="74">
        <f ca="1">$K$729-EFEITO!$M$729*EFEITO!$Z$729</f>
        <v>0</v>
      </c>
      <c r="O729" s="74">
        <f>$L$729-EFEITO!$O$729*EFEITO!$AA$729</f>
        <v>0</v>
      </c>
      <c r="P729" s="57"/>
      <c r="Q729" s="57"/>
      <c r="R729" s="57"/>
      <c r="S729" s="57"/>
      <c r="T729" s="57"/>
      <c r="U729" s="57"/>
      <c r="V729" s="57"/>
      <c r="W729" s="57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</row>
    <row r="730" spans="1:36" ht="11.25" customHeight="1" x14ac:dyDescent="0.2">
      <c r="A730" s="53" t="s">
        <v>21</v>
      </c>
      <c r="B730" s="53" t="s">
        <v>33</v>
      </c>
      <c r="C730" s="53" t="s">
        <v>34</v>
      </c>
      <c r="D730" s="53" t="s">
        <v>40</v>
      </c>
      <c r="E730" s="53" t="s">
        <v>25</v>
      </c>
      <c r="F730" s="53" t="s">
        <v>63</v>
      </c>
      <c r="G730" s="53" t="s">
        <v>25</v>
      </c>
      <c r="H730" s="53" t="s">
        <v>25</v>
      </c>
      <c r="I730" s="73">
        <v>43739</v>
      </c>
      <c r="J730" s="74">
        <f ca="1">EFEITO!$J$730*EFEITO!$Y$730</f>
        <v>328201.63683710329</v>
      </c>
      <c r="K730" s="74">
        <f>EFEITO!$L$730*EFEITO!$Z$730</f>
        <v>0</v>
      </c>
      <c r="L730" s="74">
        <f>EFEITO!$N$730*EFEITO!$AA$730</f>
        <v>0</v>
      </c>
      <c r="M730" s="74">
        <f ca="1">$J$730-EFEITO!$K$730*EFEITO!$Y$730</f>
        <v>120847.59074611412</v>
      </c>
      <c r="N730" s="74">
        <f>$K$730-EFEITO!$M$730*EFEITO!$Z$730</f>
        <v>0</v>
      </c>
      <c r="O730" s="74">
        <f>$L$730-EFEITO!$O$730*EFEITO!$AA$730</f>
        <v>0</v>
      </c>
      <c r="P730" s="57"/>
      <c r="Q730" s="57"/>
      <c r="R730" s="57"/>
      <c r="S730" s="57"/>
      <c r="T730" s="57"/>
      <c r="U730" s="57"/>
      <c r="V730" s="57"/>
      <c r="W730" s="57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</row>
    <row r="731" spans="1:36" ht="11.25" customHeight="1" x14ac:dyDescent="0.2">
      <c r="A731" s="53" t="s">
        <v>21</v>
      </c>
      <c r="B731" s="53" t="s">
        <v>33</v>
      </c>
      <c r="C731" s="53" t="s">
        <v>34</v>
      </c>
      <c r="D731" s="53" t="s">
        <v>40</v>
      </c>
      <c r="E731" s="53" t="s">
        <v>25</v>
      </c>
      <c r="F731" s="53" t="s">
        <v>63</v>
      </c>
      <c r="G731" s="53" t="s">
        <v>25</v>
      </c>
      <c r="H731" s="53" t="s">
        <v>25</v>
      </c>
      <c r="I731" s="73">
        <v>43770</v>
      </c>
      <c r="J731" s="74">
        <f ca="1">EFEITO!$J$731*EFEITO!$Y$731</f>
        <v>330034.0139008878</v>
      </c>
      <c r="K731" s="74">
        <f>EFEITO!$L$731*EFEITO!$Z$731</f>
        <v>0</v>
      </c>
      <c r="L731" s="74">
        <f>EFEITO!$N$731*EFEITO!$AA$731</f>
        <v>0</v>
      </c>
      <c r="M731" s="74">
        <f ca="1">$J$731-EFEITO!$K$731*EFEITO!$Y$731</f>
        <v>106275.50034479744</v>
      </c>
      <c r="N731" s="74">
        <f>$K$731-EFEITO!$M$731*EFEITO!$Z$731</f>
        <v>0</v>
      </c>
      <c r="O731" s="74">
        <f>$L$731-EFEITO!$O$731*EFEITO!$AA$731</f>
        <v>0</v>
      </c>
      <c r="P731" s="57"/>
      <c r="Q731" s="57"/>
      <c r="R731" s="57"/>
      <c r="S731" s="57"/>
      <c r="T731" s="57"/>
      <c r="U731" s="57"/>
      <c r="V731" s="57"/>
      <c r="W731" s="57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</row>
    <row r="732" spans="1:36" ht="11.25" customHeight="1" x14ac:dyDescent="0.2">
      <c r="A732" s="53" t="s">
        <v>21</v>
      </c>
      <c r="B732" s="53" t="s">
        <v>33</v>
      </c>
      <c r="C732" s="53" t="s">
        <v>34</v>
      </c>
      <c r="D732" s="53" t="s">
        <v>40</v>
      </c>
      <c r="E732" s="53" t="s">
        <v>25</v>
      </c>
      <c r="F732" s="53" t="s">
        <v>63</v>
      </c>
      <c r="G732" s="53" t="s">
        <v>25</v>
      </c>
      <c r="H732" s="53" t="s">
        <v>25</v>
      </c>
      <c r="I732" s="73">
        <v>43800</v>
      </c>
      <c r="J732" s="74">
        <f ca="1">EFEITO!$J$732*EFEITO!$Y$732</f>
        <v>329117.82536899555</v>
      </c>
      <c r="K732" s="74">
        <f>EFEITO!$L$732*EFEITO!$Z$732</f>
        <v>0</v>
      </c>
      <c r="L732" s="74">
        <f>EFEITO!$N$732*EFEITO!$AA$732</f>
        <v>0</v>
      </c>
      <c r="M732" s="74">
        <f ca="1">$J$732-EFEITO!$K$732*EFEITO!$Y$732</f>
        <v>119487.82272166689</v>
      </c>
      <c r="N732" s="74">
        <f>$K$732-EFEITO!$M$732*EFEITO!$Z$732</f>
        <v>0</v>
      </c>
      <c r="O732" s="74">
        <f>$L$732-EFEITO!$O$732*EFEITO!$AA$732</f>
        <v>0</v>
      </c>
      <c r="P732" s="57"/>
      <c r="Q732" s="57"/>
      <c r="R732" s="57"/>
      <c r="S732" s="57"/>
      <c r="T732" s="57"/>
      <c r="U732" s="57"/>
      <c r="V732" s="57"/>
      <c r="W732" s="57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</row>
    <row r="733" spans="1:36" ht="11.25" customHeight="1" x14ac:dyDescent="0.2">
      <c r="A733" s="53" t="s">
        <v>21</v>
      </c>
      <c r="B733" s="53" t="s">
        <v>33</v>
      </c>
      <c r="C733" s="53" t="s">
        <v>34</v>
      </c>
      <c r="D733" s="53" t="s">
        <v>40</v>
      </c>
      <c r="E733" s="53" t="s">
        <v>25</v>
      </c>
      <c r="F733" s="53" t="s">
        <v>63</v>
      </c>
      <c r="G733" s="53" t="s">
        <v>25</v>
      </c>
      <c r="H733" s="53" t="s">
        <v>25</v>
      </c>
      <c r="I733" s="73">
        <v>43831</v>
      </c>
      <c r="J733" s="74">
        <f ca="1">EFEITO!$J$733*EFEITO!$Y$733</f>
        <v>347991.309125976</v>
      </c>
      <c r="K733" s="74">
        <f>EFEITO!$L$733*EFEITO!$Z$733</f>
        <v>0</v>
      </c>
      <c r="L733" s="74">
        <f>EFEITO!$N$733*EFEITO!$AA$733</f>
        <v>0</v>
      </c>
      <c r="M733" s="74">
        <f ca="1">$J$733-EFEITO!$K$733*EFEITO!$Y$733</f>
        <v>124900.25421113669</v>
      </c>
      <c r="N733" s="74">
        <f>$K$733-EFEITO!$M$733*EFEITO!$Z$733</f>
        <v>0</v>
      </c>
      <c r="O733" s="74">
        <f>$L$733-EFEITO!$O$733*EFEITO!$AA$733</f>
        <v>0</v>
      </c>
      <c r="P733" s="57"/>
      <c r="Q733" s="57"/>
      <c r="R733" s="57"/>
      <c r="S733" s="57"/>
      <c r="T733" s="57"/>
      <c r="U733" s="57"/>
      <c r="V733" s="57"/>
      <c r="W733" s="57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</row>
    <row r="734" spans="1:36" ht="11.25" customHeight="1" x14ac:dyDescent="0.2">
      <c r="A734" s="53" t="s">
        <v>21</v>
      </c>
      <c r="B734" s="53" t="s">
        <v>33</v>
      </c>
      <c r="C734" s="53" t="s">
        <v>34</v>
      </c>
      <c r="D734" s="53" t="s">
        <v>40</v>
      </c>
      <c r="E734" s="53" t="s">
        <v>25</v>
      </c>
      <c r="F734" s="53" t="s">
        <v>63</v>
      </c>
      <c r="G734" s="53" t="s">
        <v>25</v>
      </c>
      <c r="H734" s="53" t="s">
        <v>25</v>
      </c>
      <c r="I734" s="73">
        <v>43862</v>
      </c>
      <c r="J734" s="74">
        <f ca="1">EFEITO!$J$734*EFEITO!$Y$734</f>
        <v>351919.46745646402</v>
      </c>
      <c r="K734" s="74">
        <f>EFEITO!$L$734*EFEITO!$Z$734</f>
        <v>0</v>
      </c>
      <c r="L734" s="74">
        <f>EFEITO!$N$734*EFEITO!$AA$734</f>
        <v>0</v>
      </c>
      <c r="M734" s="74">
        <f ca="1">$J$734-EFEITO!$K$734*EFEITO!$Y$734</f>
        <v>127702.47410252233</v>
      </c>
      <c r="N734" s="74">
        <f>$K$734-EFEITO!$M$734*EFEITO!$Z$734</f>
        <v>0</v>
      </c>
      <c r="O734" s="74">
        <f>$L$734-EFEITO!$O$734*EFEITO!$AA$734</f>
        <v>0</v>
      </c>
      <c r="P734" s="57"/>
      <c r="Q734" s="57"/>
      <c r="R734" s="57"/>
      <c r="S734" s="57"/>
      <c r="T734" s="57"/>
      <c r="U734" s="57"/>
      <c r="V734" s="57"/>
      <c r="W734" s="57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</row>
    <row r="735" spans="1:36" ht="11.25" customHeight="1" x14ac:dyDescent="0.2">
      <c r="A735" s="53" t="s">
        <v>21</v>
      </c>
      <c r="B735" s="53" t="s">
        <v>33</v>
      </c>
      <c r="C735" s="53" t="s">
        <v>34</v>
      </c>
      <c r="D735" s="53" t="s">
        <v>40</v>
      </c>
      <c r="E735" s="53" t="s">
        <v>25</v>
      </c>
      <c r="F735" s="53" t="s">
        <v>63</v>
      </c>
      <c r="G735" s="53" t="s">
        <v>25</v>
      </c>
      <c r="H735" s="53" t="s">
        <v>25</v>
      </c>
      <c r="I735" s="73">
        <v>43891</v>
      </c>
      <c r="J735" s="74">
        <f ca="1">EFEITO!$J$735*EFEITO!$Y$735</f>
        <v>351289.58784078812</v>
      </c>
      <c r="K735" s="74">
        <f>EFEITO!$L$735*EFEITO!$Z$735</f>
        <v>0</v>
      </c>
      <c r="L735" s="74">
        <f>EFEITO!$N$735*EFEITO!$AA$735</f>
        <v>0</v>
      </c>
      <c r="M735" s="74">
        <f ca="1">$J$735-EFEITO!$K$735*EFEITO!$Y$735</f>
        <v>118353.77949259611</v>
      </c>
      <c r="N735" s="74">
        <f>$K$735-EFEITO!$M$735*EFEITO!$Z$735</f>
        <v>0</v>
      </c>
      <c r="O735" s="74">
        <f>$L$735-EFEITO!$O$735*EFEITO!$AA$735</f>
        <v>0</v>
      </c>
      <c r="P735" s="57"/>
      <c r="Q735" s="57"/>
      <c r="R735" s="57"/>
      <c r="S735" s="57"/>
      <c r="T735" s="57"/>
      <c r="U735" s="57"/>
      <c r="V735" s="57"/>
      <c r="W735" s="57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</row>
    <row r="736" spans="1:36" ht="11.25" customHeight="1" x14ac:dyDescent="0.2">
      <c r="A736" s="53" t="s">
        <v>21</v>
      </c>
      <c r="B736" s="53" t="s">
        <v>33</v>
      </c>
      <c r="C736" s="53" t="s">
        <v>34</v>
      </c>
      <c r="D736" s="53" t="s">
        <v>40</v>
      </c>
      <c r="E736" s="53" t="s">
        <v>25</v>
      </c>
      <c r="F736" s="53" t="s">
        <v>63</v>
      </c>
      <c r="G736" s="53" t="s">
        <v>25</v>
      </c>
      <c r="H736" s="53" t="s">
        <v>25</v>
      </c>
      <c r="I736" s="73">
        <v>43922</v>
      </c>
      <c r="J736" s="74">
        <f ca="1">EFEITO!$J$736*EFEITO!$Y$736</f>
        <v>357691.45520738524</v>
      </c>
      <c r="K736" s="74">
        <f>EFEITO!$L$736*EFEITO!$Z$736</f>
        <v>0</v>
      </c>
      <c r="L736" s="74">
        <f>EFEITO!$N$736*EFEITO!$AA$736</f>
        <v>0</v>
      </c>
      <c r="M736" s="74">
        <f ca="1">$J$736-EFEITO!$K$736*EFEITO!$Y$736</f>
        <v>117200.89963700224</v>
      </c>
      <c r="N736" s="74">
        <f>$K$736-EFEITO!$M$736*EFEITO!$Z$736</f>
        <v>0</v>
      </c>
      <c r="O736" s="74">
        <f>$L$736-EFEITO!$O$736*EFEITO!$AA$736</f>
        <v>0</v>
      </c>
      <c r="P736" s="57"/>
      <c r="Q736" s="57"/>
      <c r="R736" s="57"/>
      <c r="S736" s="57"/>
      <c r="T736" s="57"/>
      <c r="U736" s="57"/>
      <c r="V736" s="57"/>
      <c r="W736" s="57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</row>
    <row r="737" spans="1:36" ht="11.25" customHeight="1" x14ac:dyDescent="0.2">
      <c r="A737" s="53" t="s">
        <v>21</v>
      </c>
      <c r="B737" s="53" t="s">
        <v>33</v>
      </c>
      <c r="C737" s="53" t="s">
        <v>34</v>
      </c>
      <c r="D737" s="53" t="s">
        <v>40</v>
      </c>
      <c r="E737" s="53" t="s">
        <v>25</v>
      </c>
      <c r="F737" s="53" t="s">
        <v>63</v>
      </c>
      <c r="G737" s="53" t="s">
        <v>25</v>
      </c>
      <c r="H737" s="53" t="s">
        <v>25</v>
      </c>
      <c r="I737" s="73">
        <v>43952</v>
      </c>
      <c r="J737" s="74">
        <f ca="1">EFEITO!$J$737*EFEITO!$Y$737</f>
        <v>364058.9655040364</v>
      </c>
      <c r="K737" s="74">
        <f>EFEITO!$L$737*EFEITO!$Z$737</f>
        <v>0</v>
      </c>
      <c r="L737" s="74">
        <f>EFEITO!$N$737*EFEITO!$AA$737</f>
        <v>0</v>
      </c>
      <c r="M737" s="74">
        <f ca="1">$J$737-EFEITO!$K$737*EFEITO!$Y$737</f>
        <v>120578.51008814023</v>
      </c>
      <c r="N737" s="74">
        <f>$K$737-EFEITO!$M$737*EFEITO!$Z$737</f>
        <v>0</v>
      </c>
      <c r="O737" s="74">
        <f>$L$737-EFEITO!$O$737*EFEITO!$AA$737</f>
        <v>0</v>
      </c>
      <c r="P737" s="57"/>
      <c r="Q737" s="57"/>
      <c r="R737" s="57"/>
      <c r="S737" s="57"/>
      <c r="T737" s="57"/>
      <c r="U737" s="57"/>
      <c r="V737" s="57"/>
      <c r="W737" s="57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</row>
    <row r="738" spans="1:36" ht="11.25" customHeight="1" x14ac:dyDescent="0.2">
      <c r="A738" s="53" t="s">
        <v>21</v>
      </c>
      <c r="B738" s="53" t="s">
        <v>33</v>
      </c>
      <c r="C738" s="53" t="s">
        <v>34</v>
      </c>
      <c r="D738" s="53" t="s">
        <v>40</v>
      </c>
      <c r="E738" s="53" t="s">
        <v>25</v>
      </c>
      <c r="F738" s="53" t="s">
        <v>63</v>
      </c>
      <c r="G738" s="53" t="s">
        <v>25</v>
      </c>
      <c r="H738" s="53" t="s">
        <v>25</v>
      </c>
      <c r="I738" s="73">
        <v>43983</v>
      </c>
      <c r="J738" s="74">
        <f ca="1">EFEITO!$J$738*EFEITO!$Y$738</f>
        <v>364058.9655040364</v>
      </c>
      <c r="K738" s="74">
        <f>EFEITO!$L$738*EFEITO!$Z$738</f>
        <v>0</v>
      </c>
      <c r="L738" s="74">
        <f>EFEITO!$N$738*EFEITO!$AA$738</f>
        <v>0</v>
      </c>
      <c r="M738" s="74">
        <f ca="1">$J$738-EFEITO!$K$738*EFEITO!$Y$738</f>
        <v>124283.73113132652</v>
      </c>
      <c r="N738" s="74">
        <f>$K$738-EFEITO!$M$738*EFEITO!$Z$738</f>
        <v>0</v>
      </c>
      <c r="O738" s="74">
        <f>$L$738-EFEITO!$O$738*EFEITO!$AA$738</f>
        <v>0</v>
      </c>
      <c r="P738" s="57"/>
      <c r="Q738" s="57"/>
      <c r="R738" s="57"/>
      <c r="S738" s="57"/>
      <c r="T738" s="57"/>
      <c r="U738" s="57"/>
      <c r="V738" s="57"/>
      <c r="W738" s="57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</row>
    <row r="739" spans="1:36" ht="11.25" customHeight="1" x14ac:dyDescent="0.2">
      <c r="A739" s="53" t="s">
        <v>21</v>
      </c>
      <c r="B739" s="53" t="s">
        <v>33</v>
      </c>
      <c r="C739" s="53" t="s">
        <v>34</v>
      </c>
      <c r="D739" s="53" t="s">
        <v>40</v>
      </c>
      <c r="E739" s="53" t="s">
        <v>25</v>
      </c>
      <c r="F739" s="53" t="s">
        <v>63</v>
      </c>
      <c r="G739" s="53" t="s">
        <v>25</v>
      </c>
      <c r="H739" s="53" t="s">
        <v>25</v>
      </c>
      <c r="I739" s="73">
        <v>44013</v>
      </c>
      <c r="J739" s="74">
        <f ca="1">EFEITO!$J$739*EFEITO!$Y$739</f>
        <v>299227.17451601068</v>
      </c>
      <c r="K739" s="74">
        <f>EFEITO!$L$739*EFEITO!$Z$739</f>
        <v>0</v>
      </c>
      <c r="L739" s="74">
        <f>EFEITO!$N$739*EFEITO!$AA$739</f>
        <v>0</v>
      </c>
      <c r="M739" s="74">
        <f ca="1">$J$739-EFEITO!$K$739*EFEITO!$Y$739</f>
        <v>99598.991869069665</v>
      </c>
      <c r="N739" s="74">
        <f>$K$739-EFEITO!$M$739*EFEITO!$Z$739</f>
        <v>0</v>
      </c>
      <c r="O739" s="74">
        <f>$L$739-EFEITO!$O$739*EFEITO!$AA$739</f>
        <v>0</v>
      </c>
      <c r="P739" s="57"/>
      <c r="Q739" s="57"/>
      <c r="R739" s="57"/>
      <c r="S739" s="57"/>
      <c r="T739" s="57"/>
      <c r="U739" s="57"/>
      <c r="V739" s="57"/>
      <c r="W739" s="57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</row>
    <row r="740" spans="1:36" ht="11.25" customHeight="1" x14ac:dyDescent="0.2">
      <c r="A740" s="53" t="s">
        <v>21</v>
      </c>
      <c r="B740" s="53" t="s">
        <v>33</v>
      </c>
      <c r="C740" s="53" t="s">
        <v>34</v>
      </c>
      <c r="D740" s="53" t="s">
        <v>40</v>
      </c>
      <c r="E740" s="53" t="s">
        <v>25</v>
      </c>
      <c r="F740" s="53" t="s">
        <v>63</v>
      </c>
      <c r="G740" s="53" t="s">
        <v>25</v>
      </c>
      <c r="H740" s="53" t="s">
        <v>25</v>
      </c>
      <c r="I740" s="73">
        <v>44044</v>
      </c>
      <c r="J740" s="74">
        <f ca="1">EFEITO!$J$740*EFEITO!$Y$740</f>
        <v>373484.25502587802</v>
      </c>
      <c r="K740" s="74">
        <f>EFEITO!$L$740*EFEITO!$Z$740</f>
        <v>0</v>
      </c>
      <c r="L740" s="74">
        <f>EFEITO!$N$740*EFEITO!$AA$740</f>
        <v>0</v>
      </c>
      <c r="M740" s="74">
        <f ca="1">$J$740-EFEITO!$K$740*EFEITO!$Y$740</f>
        <v>123249.80415853974</v>
      </c>
      <c r="N740" s="74">
        <f>$K$740-EFEITO!$M$740*EFEITO!$Z$740</f>
        <v>0</v>
      </c>
      <c r="O740" s="74">
        <f>$L$740-EFEITO!$O$740*EFEITO!$AA$740</f>
        <v>0</v>
      </c>
      <c r="P740" s="57"/>
      <c r="Q740" s="57"/>
      <c r="R740" s="57"/>
      <c r="S740" s="57"/>
      <c r="T740" s="57"/>
      <c r="U740" s="57"/>
      <c r="V740" s="57"/>
      <c r="W740" s="57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</row>
    <row r="741" spans="1:36" ht="11.25" customHeight="1" x14ac:dyDescent="0.2">
      <c r="A741" s="53" t="s">
        <v>59</v>
      </c>
      <c r="B741" s="53" t="s">
        <v>33</v>
      </c>
      <c r="C741" s="53" t="s">
        <v>34</v>
      </c>
      <c r="D741" s="53" t="s">
        <v>40</v>
      </c>
      <c r="E741" s="53" t="s">
        <v>25</v>
      </c>
      <c r="F741" s="53" t="s">
        <v>63</v>
      </c>
      <c r="G741" s="53" t="s">
        <v>25</v>
      </c>
      <c r="H741" s="53" t="s">
        <v>25</v>
      </c>
      <c r="I741" s="73">
        <v>44075</v>
      </c>
      <c r="J741" s="74">
        <f ca="1">EFEITO!$J$741*EFEITO!$Y$741</f>
        <v>373484.25502587802</v>
      </c>
      <c r="K741" s="74">
        <f>EFEITO!$L$741*EFEITO!$Z$741</f>
        <v>0</v>
      </c>
      <c r="L741" s="74">
        <f>EFEITO!$N$741*EFEITO!$AA$741</f>
        <v>0</v>
      </c>
      <c r="M741" s="74">
        <f ca="1">$J$741-EFEITO!$K$741*EFEITO!$Y$741</f>
        <v>123249.80415853974</v>
      </c>
      <c r="N741" s="74">
        <f>$K$741-EFEITO!$M$741*EFEITO!$Z$741</f>
        <v>0</v>
      </c>
      <c r="O741" s="74">
        <f>$L$741-EFEITO!$O$741*EFEITO!$AA$741</f>
        <v>0</v>
      </c>
      <c r="P741" s="57"/>
      <c r="Q741" s="57"/>
      <c r="R741" s="57"/>
      <c r="S741" s="57"/>
      <c r="T741" s="57"/>
      <c r="U741" s="57"/>
      <c r="V741" s="57"/>
      <c r="W741" s="57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</row>
    <row r="742" spans="1:36" ht="11.25" customHeight="1" x14ac:dyDescent="0.2">
      <c r="A742" s="53" t="s">
        <v>21</v>
      </c>
      <c r="B742" s="53" t="s">
        <v>33</v>
      </c>
      <c r="C742" s="53" t="s">
        <v>34</v>
      </c>
      <c r="D742" s="53" t="s">
        <v>40</v>
      </c>
      <c r="E742" s="53" t="s">
        <v>25</v>
      </c>
      <c r="F742" s="53" t="s">
        <v>63</v>
      </c>
      <c r="G742" s="53" t="s">
        <v>25</v>
      </c>
      <c r="H742" s="53" t="s">
        <v>35</v>
      </c>
      <c r="I742" s="73">
        <v>43739</v>
      </c>
      <c r="J742" s="74">
        <f>EFEITO!$J$742*EFEITO!$Y$742</f>
        <v>0</v>
      </c>
      <c r="K742" s="74">
        <f ca="1">EFEITO!$L$742*EFEITO!$Z$742</f>
        <v>782923.47551913687</v>
      </c>
      <c r="L742" s="74">
        <f>EFEITO!$N$742*EFEITO!$AA$742</f>
        <v>0</v>
      </c>
      <c r="M742" s="74">
        <f>$J$742-EFEITO!$K$742*EFEITO!$Y$742</f>
        <v>0</v>
      </c>
      <c r="N742" s="74">
        <f ca="1">$K$742-EFEITO!$M$742*EFEITO!$Z$742</f>
        <v>251467.79395306774</v>
      </c>
      <c r="O742" s="74">
        <f>$L$742-EFEITO!$O$742*EFEITO!$AA$742</f>
        <v>0</v>
      </c>
      <c r="P742" s="57"/>
      <c r="Q742" s="57"/>
      <c r="R742" s="57"/>
      <c r="S742" s="57"/>
      <c r="T742" s="57"/>
      <c r="U742" s="57"/>
      <c r="V742" s="57"/>
      <c r="W742" s="57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</row>
    <row r="743" spans="1:36" ht="11.25" customHeight="1" x14ac:dyDescent="0.2">
      <c r="A743" s="53" t="s">
        <v>21</v>
      </c>
      <c r="B743" s="53" t="s">
        <v>33</v>
      </c>
      <c r="C743" s="53" t="s">
        <v>34</v>
      </c>
      <c r="D743" s="53" t="s">
        <v>40</v>
      </c>
      <c r="E743" s="53" t="s">
        <v>25</v>
      </c>
      <c r="F743" s="53" t="s">
        <v>63</v>
      </c>
      <c r="G743" s="53" t="s">
        <v>25</v>
      </c>
      <c r="H743" s="53" t="s">
        <v>35</v>
      </c>
      <c r="I743" s="73">
        <v>43770</v>
      </c>
      <c r="J743" s="74">
        <f>EFEITO!$J$743*EFEITO!$Y$743</f>
        <v>0</v>
      </c>
      <c r="K743" s="74">
        <f ca="1">EFEITO!$L$743*EFEITO!$Z$743</f>
        <v>667717.91114600527</v>
      </c>
      <c r="L743" s="74">
        <f>EFEITO!$N$743*EFEITO!$AA$743</f>
        <v>0</v>
      </c>
      <c r="M743" s="74">
        <f>$J$743-EFEITO!$K$743*EFEITO!$Y$743</f>
        <v>0</v>
      </c>
      <c r="N743" s="74">
        <f ca="1">$K$743-EFEITO!$M$743*EFEITO!$Z$743</f>
        <v>246699.53316200781</v>
      </c>
      <c r="O743" s="74">
        <f>$L$743-EFEITO!$O$743*EFEITO!$AA$743</f>
        <v>0</v>
      </c>
      <c r="P743" s="57"/>
      <c r="Q743" s="57"/>
      <c r="R743" s="57"/>
      <c r="S743" s="57"/>
      <c r="T743" s="57"/>
      <c r="U743" s="57"/>
      <c r="V743" s="57"/>
      <c r="W743" s="57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</row>
    <row r="744" spans="1:36" ht="11.25" customHeight="1" x14ac:dyDescent="0.2">
      <c r="A744" s="53" t="s">
        <v>21</v>
      </c>
      <c r="B744" s="53" t="s">
        <v>33</v>
      </c>
      <c r="C744" s="53" t="s">
        <v>34</v>
      </c>
      <c r="D744" s="53" t="s">
        <v>40</v>
      </c>
      <c r="E744" s="53" t="s">
        <v>25</v>
      </c>
      <c r="F744" s="53" t="s">
        <v>63</v>
      </c>
      <c r="G744" s="53" t="s">
        <v>25</v>
      </c>
      <c r="H744" s="53" t="s">
        <v>35</v>
      </c>
      <c r="I744" s="73">
        <v>43800</v>
      </c>
      <c r="J744" s="74">
        <f>EFEITO!$J$744*EFEITO!$Y$744</f>
        <v>0</v>
      </c>
      <c r="K744" s="74">
        <f ca="1">EFEITO!$L$744*EFEITO!$Z$744</f>
        <v>654567.51970408962</v>
      </c>
      <c r="L744" s="74">
        <f>EFEITO!$N$744*EFEITO!$AA$744</f>
        <v>0</v>
      </c>
      <c r="M744" s="74">
        <f>$J$744-EFEITO!$K$744*EFEITO!$Y$744</f>
        <v>0</v>
      </c>
      <c r="N744" s="74">
        <f ca="1">$K$744-EFEITO!$M$744*EFEITO!$Z$744</f>
        <v>207528.16440263233</v>
      </c>
      <c r="O744" s="74">
        <f>$L$744-EFEITO!$O$744*EFEITO!$AA$744</f>
        <v>0</v>
      </c>
      <c r="P744" s="57"/>
      <c r="Q744" s="57"/>
      <c r="R744" s="57"/>
      <c r="S744" s="57"/>
      <c r="T744" s="57"/>
      <c r="U744" s="57"/>
      <c r="V744" s="57"/>
      <c r="W744" s="57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</row>
    <row r="745" spans="1:36" ht="11.25" customHeight="1" x14ac:dyDescent="0.2">
      <c r="A745" s="53" t="s">
        <v>21</v>
      </c>
      <c r="B745" s="53" t="s">
        <v>33</v>
      </c>
      <c r="C745" s="53" t="s">
        <v>34</v>
      </c>
      <c r="D745" s="53" t="s">
        <v>40</v>
      </c>
      <c r="E745" s="53" t="s">
        <v>25</v>
      </c>
      <c r="F745" s="53" t="s">
        <v>63</v>
      </c>
      <c r="G745" s="53" t="s">
        <v>25</v>
      </c>
      <c r="H745" s="53" t="s">
        <v>35</v>
      </c>
      <c r="I745" s="73">
        <v>43831</v>
      </c>
      <c r="J745" s="74">
        <f>EFEITO!$J$745*EFEITO!$Y$745</f>
        <v>0</v>
      </c>
      <c r="K745" s="74">
        <f ca="1">EFEITO!$L$745*EFEITO!$Z$745</f>
        <v>732701.1981786181</v>
      </c>
      <c r="L745" s="74">
        <f>EFEITO!$N$745*EFEITO!$AA$745</f>
        <v>0</v>
      </c>
      <c r="M745" s="74">
        <f>$J$745-EFEITO!$K$745*EFEITO!$Y$745</f>
        <v>0</v>
      </c>
      <c r="N745" s="74">
        <f ca="1">$K$745-EFEITO!$M$745*EFEITO!$Z$745</f>
        <v>228033.86065939104</v>
      </c>
      <c r="O745" s="74">
        <f>$L$745-EFEITO!$O$745*EFEITO!$AA$745</f>
        <v>0</v>
      </c>
      <c r="P745" s="57"/>
      <c r="Q745" s="57"/>
      <c r="R745" s="57"/>
      <c r="S745" s="57"/>
      <c r="T745" s="57"/>
      <c r="U745" s="57"/>
      <c r="V745" s="57"/>
      <c r="W745" s="57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</row>
    <row r="746" spans="1:36" ht="11.25" customHeight="1" x14ac:dyDescent="0.2">
      <c r="A746" s="53" t="s">
        <v>21</v>
      </c>
      <c r="B746" s="53" t="s">
        <v>33</v>
      </c>
      <c r="C746" s="53" t="s">
        <v>34</v>
      </c>
      <c r="D746" s="53" t="s">
        <v>40</v>
      </c>
      <c r="E746" s="53" t="s">
        <v>25</v>
      </c>
      <c r="F746" s="53" t="s">
        <v>63</v>
      </c>
      <c r="G746" s="53" t="s">
        <v>25</v>
      </c>
      <c r="H746" s="53" t="s">
        <v>35</v>
      </c>
      <c r="I746" s="73">
        <v>43862</v>
      </c>
      <c r="J746" s="74">
        <f>EFEITO!$J$746*EFEITO!$Y$746</f>
        <v>0</v>
      </c>
      <c r="K746" s="74">
        <f ca="1">EFEITO!$L$746*EFEITO!$Z$746</f>
        <v>653644.81639827718</v>
      </c>
      <c r="L746" s="74">
        <f>EFEITO!$N$746*EFEITO!$AA$746</f>
        <v>0</v>
      </c>
      <c r="M746" s="74">
        <f>$J$746-EFEITO!$K$746*EFEITO!$Y$746</f>
        <v>0</v>
      </c>
      <c r="N746" s="74">
        <f ca="1">$K$746-EFEITO!$M$746*EFEITO!$Z$746</f>
        <v>205645.89524015371</v>
      </c>
      <c r="O746" s="74">
        <f>$L$746-EFEITO!$O$746*EFEITO!$AA$746</f>
        <v>0</v>
      </c>
      <c r="P746" s="57"/>
      <c r="Q746" s="57"/>
      <c r="R746" s="57"/>
      <c r="S746" s="57"/>
      <c r="T746" s="57"/>
      <c r="U746" s="57"/>
      <c r="V746" s="57"/>
      <c r="W746" s="57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</row>
    <row r="747" spans="1:36" ht="11.25" customHeight="1" x14ac:dyDescent="0.2">
      <c r="A747" s="53" t="s">
        <v>21</v>
      </c>
      <c r="B747" s="53" t="s">
        <v>33</v>
      </c>
      <c r="C747" s="53" t="s">
        <v>34</v>
      </c>
      <c r="D747" s="53" t="s">
        <v>40</v>
      </c>
      <c r="E747" s="53" t="s">
        <v>25</v>
      </c>
      <c r="F747" s="53" t="s">
        <v>63</v>
      </c>
      <c r="G747" s="53" t="s">
        <v>25</v>
      </c>
      <c r="H747" s="53" t="s">
        <v>35</v>
      </c>
      <c r="I747" s="73">
        <v>43891</v>
      </c>
      <c r="J747" s="74">
        <f>EFEITO!$J$747*EFEITO!$Y$747</f>
        <v>0</v>
      </c>
      <c r="K747" s="74">
        <f ca="1">EFEITO!$L$747*EFEITO!$Z$747</f>
        <v>703844.66172974056</v>
      </c>
      <c r="L747" s="74">
        <f>EFEITO!$N$747*EFEITO!$AA$747</f>
        <v>0</v>
      </c>
      <c r="M747" s="74">
        <f>$J$747-EFEITO!$K$747*EFEITO!$Y$747</f>
        <v>0</v>
      </c>
      <c r="N747" s="74">
        <f ca="1">$K$747-EFEITO!$M$747*EFEITO!$Z$747</f>
        <v>200289.45058842434</v>
      </c>
      <c r="O747" s="74">
        <f>$L$747-EFEITO!$O$747*EFEITO!$AA$747</f>
        <v>0</v>
      </c>
      <c r="P747" s="57"/>
      <c r="Q747" s="57"/>
      <c r="R747" s="57"/>
      <c r="S747" s="57"/>
      <c r="T747" s="57"/>
      <c r="U747" s="57"/>
      <c r="V747" s="57"/>
      <c r="W747" s="57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</row>
    <row r="748" spans="1:36" ht="11.25" customHeight="1" x14ac:dyDescent="0.2">
      <c r="A748" s="53" t="s">
        <v>21</v>
      </c>
      <c r="B748" s="53" t="s">
        <v>33</v>
      </c>
      <c r="C748" s="53" t="s">
        <v>34</v>
      </c>
      <c r="D748" s="53" t="s">
        <v>40</v>
      </c>
      <c r="E748" s="53" t="s">
        <v>25</v>
      </c>
      <c r="F748" s="53" t="s">
        <v>63</v>
      </c>
      <c r="G748" s="53" t="s">
        <v>25</v>
      </c>
      <c r="H748" s="53" t="s">
        <v>35</v>
      </c>
      <c r="I748" s="73">
        <v>43922</v>
      </c>
      <c r="J748" s="74">
        <f>EFEITO!$J$748*EFEITO!$Y$748</f>
        <v>0</v>
      </c>
      <c r="K748" s="74">
        <f ca="1">EFEITO!$L$748*EFEITO!$Z$748</f>
        <v>559855.09107034397</v>
      </c>
      <c r="L748" s="74">
        <f>EFEITO!$N$748*EFEITO!$AA$748</f>
        <v>0</v>
      </c>
      <c r="M748" s="74">
        <f>$J$748-EFEITO!$K$748*EFEITO!$Y$748</f>
        <v>0</v>
      </c>
      <c r="N748" s="74">
        <f ca="1">$K$748-EFEITO!$M$748*EFEITO!$Z$748</f>
        <v>160356.74079606333</v>
      </c>
      <c r="O748" s="74">
        <f>$L$748-EFEITO!$O$748*EFEITO!$AA$748</f>
        <v>0</v>
      </c>
      <c r="P748" s="57"/>
      <c r="Q748" s="57"/>
      <c r="R748" s="57"/>
      <c r="S748" s="57"/>
      <c r="T748" s="57"/>
      <c r="U748" s="57"/>
      <c r="V748" s="57"/>
      <c r="W748" s="57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</row>
    <row r="749" spans="1:36" ht="11.25" customHeight="1" x14ac:dyDescent="0.2">
      <c r="A749" s="53" t="s">
        <v>21</v>
      </c>
      <c r="B749" s="53" t="s">
        <v>33</v>
      </c>
      <c r="C749" s="53" t="s">
        <v>34</v>
      </c>
      <c r="D749" s="53" t="s">
        <v>40</v>
      </c>
      <c r="E749" s="53" t="s">
        <v>25</v>
      </c>
      <c r="F749" s="53" t="s">
        <v>63</v>
      </c>
      <c r="G749" s="53" t="s">
        <v>25</v>
      </c>
      <c r="H749" s="53" t="s">
        <v>35</v>
      </c>
      <c r="I749" s="73">
        <v>43952</v>
      </c>
      <c r="J749" s="74">
        <f>EFEITO!$J$749*EFEITO!$Y$749</f>
        <v>0</v>
      </c>
      <c r="K749" s="74">
        <f ca="1">EFEITO!$L$749*EFEITO!$Z$749</f>
        <v>567988.18982019997</v>
      </c>
      <c r="L749" s="74">
        <f>EFEITO!$N$749*EFEITO!$AA$749</f>
        <v>0</v>
      </c>
      <c r="M749" s="74">
        <f>$J$749-EFEITO!$K$749*EFEITO!$Y$749</f>
        <v>0</v>
      </c>
      <c r="N749" s="74">
        <f ca="1">$K$749-EFEITO!$M$749*EFEITO!$Z$749</f>
        <v>157358.53228365892</v>
      </c>
      <c r="O749" s="74">
        <f>$L$749-EFEITO!$O$749*EFEITO!$AA$749</f>
        <v>0</v>
      </c>
      <c r="P749" s="57"/>
      <c r="Q749" s="57"/>
      <c r="R749" s="57"/>
      <c r="S749" s="57"/>
      <c r="T749" s="57"/>
      <c r="U749" s="57"/>
      <c r="V749" s="57"/>
      <c r="W749" s="57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</row>
    <row r="750" spans="1:36" ht="11.25" customHeight="1" x14ac:dyDescent="0.2">
      <c r="A750" s="53" t="s">
        <v>21</v>
      </c>
      <c r="B750" s="53" t="s">
        <v>33</v>
      </c>
      <c r="C750" s="53" t="s">
        <v>34</v>
      </c>
      <c r="D750" s="53" t="s">
        <v>40</v>
      </c>
      <c r="E750" s="53" t="s">
        <v>25</v>
      </c>
      <c r="F750" s="53" t="s">
        <v>63</v>
      </c>
      <c r="G750" s="53" t="s">
        <v>25</v>
      </c>
      <c r="H750" s="53" t="s">
        <v>35</v>
      </c>
      <c r="I750" s="73">
        <v>43983</v>
      </c>
      <c r="J750" s="74">
        <f>EFEITO!$J$750*EFEITO!$Y$750</f>
        <v>0</v>
      </c>
      <c r="K750" s="74">
        <f ca="1">EFEITO!$L$750*EFEITO!$Z$750</f>
        <v>567988.18982019997</v>
      </c>
      <c r="L750" s="74">
        <f>EFEITO!$N$750*EFEITO!$AA$750</f>
        <v>0</v>
      </c>
      <c r="M750" s="74">
        <f>$J$750-EFEITO!$K$750*EFEITO!$Y$750</f>
        <v>0</v>
      </c>
      <c r="N750" s="74">
        <f ca="1">$K$750-EFEITO!$M$750*EFEITO!$Z$750</f>
        <v>161587.726906005</v>
      </c>
      <c r="O750" s="74">
        <f>$L$750-EFEITO!$O$750*EFEITO!$AA$750</f>
        <v>0</v>
      </c>
      <c r="P750" s="57"/>
      <c r="Q750" s="57"/>
      <c r="R750" s="57"/>
      <c r="S750" s="57"/>
      <c r="T750" s="57"/>
      <c r="U750" s="57"/>
      <c r="V750" s="57"/>
      <c r="W750" s="57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</row>
    <row r="751" spans="1:36" ht="11.25" customHeight="1" x14ac:dyDescent="0.2">
      <c r="A751" s="53" t="s">
        <v>21</v>
      </c>
      <c r="B751" s="53" t="s">
        <v>33</v>
      </c>
      <c r="C751" s="53" t="s">
        <v>34</v>
      </c>
      <c r="D751" s="53" t="s">
        <v>40</v>
      </c>
      <c r="E751" s="53" t="s">
        <v>25</v>
      </c>
      <c r="F751" s="53" t="s">
        <v>63</v>
      </c>
      <c r="G751" s="53" t="s">
        <v>25</v>
      </c>
      <c r="H751" s="53" t="s">
        <v>35</v>
      </c>
      <c r="I751" s="73">
        <v>44013</v>
      </c>
      <c r="J751" s="74">
        <f>EFEITO!$J$751*EFEITO!$Y$751</f>
        <v>0</v>
      </c>
      <c r="K751" s="74">
        <f ca="1">EFEITO!$L$751*EFEITO!$Z$751</f>
        <v>585171.85649027803</v>
      </c>
      <c r="L751" s="74">
        <f>EFEITO!$N$751*EFEITO!$AA$751</f>
        <v>0</v>
      </c>
      <c r="M751" s="74">
        <f>$J$751-EFEITO!$K$751*EFEITO!$Y$751</f>
        <v>0</v>
      </c>
      <c r="N751" s="74">
        <f ca="1">$K$751-EFEITO!$M$751*EFEITO!$Z$751</f>
        <v>164659.21482412191</v>
      </c>
      <c r="O751" s="74">
        <f>$L$751-EFEITO!$O$751*EFEITO!$AA$751</f>
        <v>0</v>
      </c>
      <c r="P751" s="57"/>
      <c r="Q751" s="57"/>
      <c r="R751" s="57"/>
      <c r="S751" s="57"/>
      <c r="T751" s="57"/>
      <c r="U751" s="57"/>
      <c r="V751" s="57"/>
      <c r="W751" s="57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</row>
    <row r="752" spans="1:36" ht="11.25" customHeight="1" x14ac:dyDescent="0.2">
      <c r="A752" s="53" t="s">
        <v>21</v>
      </c>
      <c r="B752" s="53" t="s">
        <v>33</v>
      </c>
      <c r="C752" s="53" t="s">
        <v>34</v>
      </c>
      <c r="D752" s="53" t="s">
        <v>40</v>
      </c>
      <c r="E752" s="53" t="s">
        <v>25</v>
      </c>
      <c r="F752" s="53" t="s">
        <v>63</v>
      </c>
      <c r="G752" s="53" t="s">
        <v>25</v>
      </c>
      <c r="H752" s="53" t="s">
        <v>35</v>
      </c>
      <c r="I752" s="73">
        <v>44044</v>
      </c>
      <c r="J752" s="74">
        <f>EFEITO!$J$752*EFEITO!$Y$752</f>
        <v>0</v>
      </c>
      <c r="K752" s="74">
        <f ca="1">EFEITO!$L$752*EFEITO!$Z$752</f>
        <v>609604.0530197937</v>
      </c>
      <c r="L752" s="74">
        <f>EFEITO!$N$752*EFEITO!$AA$752</f>
        <v>0</v>
      </c>
      <c r="M752" s="74">
        <f>$J$752-EFEITO!$K$752*EFEITO!$Y$752</f>
        <v>0</v>
      </c>
      <c r="N752" s="74">
        <f ca="1">$K$752-EFEITO!$M$752*EFEITO!$Z$752</f>
        <v>170689.1348455422</v>
      </c>
      <c r="O752" s="74">
        <f>$L$752-EFEITO!$O$752*EFEITO!$AA$752</f>
        <v>0</v>
      </c>
      <c r="P752" s="57"/>
      <c r="Q752" s="57"/>
      <c r="R752" s="57"/>
      <c r="S752" s="57"/>
      <c r="T752" s="57"/>
      <c r="U752" s="57"/>
      <c r="V752" s="57"/>
      <c r="W752" s="57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</row>
    <row r="753" spans="1:36" ht="11.25" customHeight="1" x14ac:dyDescent="0.2">
      <c r="A753" s="53" t="s">
        <v>59</v>
      </c>
      <c r="B753" s="53" t="s">
        <v>33</v>
      </c>
      <c r="C753" s="53" t="s">
        <v>34</v>
      </c>
      <c r="D753" s="53" t="s">
        <v>40</v>
      </c>
      <c r="E753" s="53" t="s">
        <v>25</v>
      </c>
      <c r="F753" s="53" t="s">
        <v>63</v>
      </c>
      <c r="G753" s="53" t="s">
        <v>25</v>
      </c>
      <c r="H753" s="53" t="s">
        <v>35</v>
      </c>
      <c r="I753" s="73">
        <v>44075</v>
      </c>
      <c r="J753" s="74">
        <f>EFEITO!$J$753*EFEITO!$Y$753</f>
        <v>0</v>
      </c>
      <c r="K753" s="74">
        <f ca="1">EFEITO!$L$753*EFEITO!$Z$753</f>
        <v>609604.0530197937</v>
      </c>
      <c r="L753" s="74">
        <f>EFEITO!$N$753*EFEITO!$AA$753</f>
        <v>0</v>
      </c>
      <c r="M753" s="74">
        <f>$J$753-EFEITO!$K$753*EFEITO!$Y$753</f>
        <v>0</v>
      </c>
      <c r="N753" s="74">
        <f ca="1">$K$753-EFEITO!$M$753*EFEITO!$Z$753</f>
        <v>170689.1348455422</v>
      </c>
      <c r="O753" s="74">
        <f>$L$753-EFEITO!$O$753*EFEITO!$AA$753</f>
        <v>0</v>
      </c>
      <c r="P753" s="57"/>
      <c r="Q753" s="57"/>
      <c r="R753" s="57"/>
      <c r="S753" s="57"/>
      <c r="T753" s="57"/>
      <c r="U753" s="57"/>
      <c r="V753" s="57"/>
      <c r="W753" s="57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</row>
    <row r="754" spans="1:36" ht="11.25" customHeight="1" x14ac:dyDescent="0.2">
      <c r="A754" s="53" t="s">
        <v>21</v>
      </c>
      <c r="B754" s="53" t="s">
        <v>33</v>
      </c>
      <c r="C754" s="53" t="s">
        <v>34</v>
      </c>
      <c r="D754" s="53" t="s">
        <v>40</v>
      </c>
      <c r="E754" s="53" t="s">
        <v>25</v>
      </c>
      <c r="F754" s="53" t="s">
        <v>25</v>
      </c>
      <c r="G754" s="53" t="s">
        <v>25</v>
      </c>
      <c r="H754" s="53" t="s">
        <v>36</v>
      </c>
      <c r="I754" s="73">
        <v>43739</v>
      </c>
      <c r="J754" s="74">
        <f>EFEITO!$J$754*EFEITO!$Y$754</f>
        <v>0</v>
      </c>
      <c r="K754" s="74">
        <f ca="1">EFEITO!$L$754*EFEITO!$Z$754</f>
        <v>257780.92904225262</v>
      </c>
      <c r="L754" s="74">
        <f>EFEITO!$N$754*EFEITO!$AA$754</f>
        <v>679902.77374161524</v>
      </c>
      <c r="M754" s="74">
        <f>$J$754-EFEITO!$K$754*EFEITO!$Y$754</f>
        <v>0</v>
      </c>
      <c r="N754" s="74">
        <f ca="1">$K$754-EFEITO!$M$754*EFEITO!$Z$754</f>
        <v>0</v>
      </c>
      <c r="O754" s="74">
        <f>$L$754-EFEITO!$O$754*EFEITO!$AA$754</f>
        <v>0</v>
      </c>
      <c r="P754" s="57"/>
      <c r="Q754" s="57"/>
      <c r="R754" s="57"/>
      <c r="S754" s="57"/>
      <c r="T754" s="57"/>
      <c r="U754" s="57"/>
      <c r="V754" s="57"/>
      <c r="W754" s="57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</row>
    <row r="755" spans="1:36" ht="11.25" customHeight="1" x14ac:dyDescent="0.2">
      <c r="A755" s="53" t="s">
        <v>27</v>
      </c>
      <c r="B755" s="53" t="s">
        <v>33</v>
      </c>
      <c r="C755" s="53" t="s">
        <v>34</v>
      </c>
      <c r="D755" s="53" t="s">
        <v>40</v>
      </c>
      <c r="E755" s="53" t="s">
        <v>25</v>
      </c>
      <c r="F755" s="53" t="s">
        <v>25</v>
      </c>
      <c r="G755" s="53" t="s">
        <v>25</v>
      </c>
      <c r="H755" s="53" t="s">
        <v>36</v>
      </c>
      <c r="I755" s="73">
        <v>43739</v>
      </c>
      <c r="J755" s="74">
        <f>EFEITO!$J$755*EFEITO!$Y$755</f>
        <v>0</v>
      </c>
      <c r="K755" s="74">
        <f ca="1">EFEITO!$L$755*EFEITO!$Z$755</f>
        <v>320.75846160265843</v>
      </c>
      <c r="L755" s="74">
        <f>EFEITO!$N$755*EFEITO!$AA$755</f>
        <v>846.00737748522442</v>
      </c>
      <c r="M755" s="74">
        <f>$J$755-EFEITO!$K$755*EFEITO!$Y$755</f>
        <v>0</v>
      </c>
      <c r="N755" s="74">
        <f ca="1">$K$755-EFEITO!$M$755*EFEITO!$Z$755</f>
        <v>0</v>
      </c>
      <c r="O755" s="74">
        <f>$L$755-EFEITO!$O$755*EFEITO!$AA$755</f>
        <v>0</v>
      </c>
      <c r="P755" s="57"/>
      <c r="Q755" s="57"/>
      <c r="R755" s="57"/>
      <c r="S755" s="57"/>
      <c r="T755" s="57"/>
      <c r="U755" s="57"/>
      <c r="V755" s="57"/>
      <c r="W755" s="57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</row>
    <row r="756" spans="1:36" ht="11.25" customHeight="1" x14ac:dyDescent="0.2">
      <c r="A756" s="53" t="s">
        <v>28</v>
      </c>
      <c r="B756" s="53" t="s">
        <v>33</v>
      </c>
      <c r="C756" s="53" t="s">
        <v>34</v>
      </c>
      <c r="D756" s="53" t="s">
        <v>40</v>
      </c>
      <c r="E756" s="53" t="s">
        <v>25</v>
      </c>
      <c r="F756" s="53" t="s">
        <v>25</v>
      </c>
      <c r="G756" s="53" t="s">
        <v>25</v>
      </c>
      <c r="H756" s="53" t="s">
        <v>36</v>
      </c>
      <c r="I756" s="73">
        <v>43739</v>
      </c>
      <c r="J756" s="74">
        <f>EFEITO!$J$756*EFEITO!$Y$756</f>
        <v>0</v>
      </c>
      <c r="K756" s="74">
        <f ca="1">EFEITO!$L$756*EFEITO!$Z$756</f>
        <v>937.24484728591244</v>
      </c>
      <c r="L756" s="74">
        <f>EFEITO!$N$756*EFEITO!$AA$756</f>
        <v>2472.0035485646022</v>
      </c>
      <c r="M756" s="74">
        <f>$J$756-EFEITO!$K$756*EFEITO!$Y$756</f>
        <v>0</v>
      </c>
      <c r="N756" s="74">
        <f ca="1">$K$756-EFEITO!$M$756*EFEITO!$Z$756</f>
        <v>0</v>
      </c>
      <c r="O756" s="74">
        <f>$L$756-EFEITO!$O$756*EFEITO!$AA$756</f>
        <v>0</v>
      </c>
      <c r="P756" s="57"/>
      <c r="Q756" s="57"/>
      <c r="R756" s="57"/>
      <c r="S756" s="57"/>
      <c r="T756" s="57"/>
      <c r="U756" s="57"/>
      <c r="V756" s="57"/>
      <c r="W756" s="57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</row>
    <row r="757" spans="1:36" ht="11.25" customHeight="1" x14ac:dyDescent="0.2">
      <c r="A757" s="53" t="s">
        <v>21</v>
      </c>
      <c r="B757" s="53" t="s">
        <v>33</v>
      </c>
      <c r="C757" s="53" t="s">
        <v>34</v>
      </c>
      <c r="D757" s="53" t="s">
        <v>40</v>
      </c>
      <c r="E757" s="53" t="s">
        <v>25</v>
      </c>
      <c r="F757" s="53" t="s">
        <v>25</v>
      </c>
      <c r="G757" s="53" t="s">
        <v>25</v>
      </c>
      <c r="H757" s="53" t="s">
        <v>36</v>
      </c>
      <c r="I757" s="73">
        <v>43770</v>
      </c>
      <c r="J757" s="74">
        <f>EFEITO!$J$757*EFEITO!$Y$757</f>
        <v>0</v>
      </c>
      <c r="K757" s="74">
        <f ca="1">EFEITO!$L$757*EFEITO!$Z$757</f>
        <v>244812.2224668792</v>
      </c>
      <c r="L757" s="74">
        <f>EFEITO!$N$757*EFEITO!$AA$757</f>
        <v>645697.52975713008</v>
      </c>
      <c r="M757" s="74">
        <f>$J$757-EFEITO!$K$757*EFEITO!$Y$757</f>
        <v>0</v>
      </c>
      <c r="N757" s="74">
        <f ca="1">$K$757-EFEITO!$M$757*EFEITO!$Z$757</f>
        <v>0</v>
      </c>
      <c r="O757" s="74">
        <f>$L$757-EFEITO!$O$757*EFEITO!$AA$757</f>
        <v>0</v>
      </c>
      <c r="P757" s="57"/>
      <c r="Q757" s="57"/>
      <c r="R757" s="57"/>
      <c r="S757" s="57"/>
      <c r="T757" s="57"/>
      <c r="U757" s="57"/>
      <c r="V757" s="57"/>
      <c r="W757" s="57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</row>
    <row r="758" spans="1:36" ht="11.25" customHeight="1" x14ac:dyDescent="0.2">
      <c r="A758" s="53" t="s">
        <v>27</v>
      </c>
      <c r="B758" s="53" t="s">
        <v>33</v>
      </c>
      <c r="C758" s="53" t="s">
        <v>34</v>
      </c>
      <c r="D758" s="53" t="s">
        <v>40</v>
      </c>
      <c r="E758" s="53" t="s">
        <v>25</v>
      </c>
      <c r="F758" s="53" t="s">
        <v>25</v>
      </c>
      <c r="G758" s="53" t="s">
        <v>25</v>
      </c>
      <c r="H758" s="53" t="s">
        <v>36</v>
      </c>
      <c r="I758" s="73">
        <v>43770</v>
      </c>
      <c r="J758" s="74">
        <f>EFEITO!$J$758*EFEITO!$Y$758</f>
        <v>0</v>
      </c>
      <c r="K758" s="74">
        <f ca="1">EFEITO!$L$758*EFEITO!$Z$758</f>
        <v>5350.4961937458456</v>
      </c>
      <c r="L758" s="74">
        <f>EFEITO!$N$758*EFEITO!$AA$758</f>
        <v>14112.049392239889</v>
      </c>
      <c r="M758" s="74">
        <f>$J$758-EFEITO!$K$758*EFEITO!$Y$758</f>
        <v>0</v>
      </c>
      <c r="N758" s="74">
        <f ca="1">$K$758-EFEITO!$M$758*EFEITO!$Z$758</f>
        <v>0</v>
      </c>
      <c r="O758" s="74">
        <f>$L$758-EFEITO!$O$758*EFEITO!$AA$758</f>
        <v>0</v>
      </c>
      <c r="P758" s="57"/>
      <c r="Q758" s="57"/>
      <c r="R758" s="57"/>
      <c r="S758" s="57"/>
      <c r="T758" s="57"/>
      <c r="U758" s="57"/>
      <c r="V758" s="57"/>
      <c r="W758" s="57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</row>
    <row r="759" spans="1:36" ht="11.25" customHeight="1" x14ac:dyDescent="0.2">
      <c r="A759" s="53" t="s">
        <v>28</v>
      </c>
      <c r="B759" s="53" t="s">
        <v>33</v>
      </c>
      <c r="C759" s="53" t="s">
        <v>34</v>
      </c>
      <c r="D759" s="53" t="s">
        <v>40</v>
      </c>
      <c r="E759" s="53" t="s">
        <v>25</v>
      </c>
      <c r="F759" s="53" t="s">
        <v>25</v>
      </c>
      <c r="G759" s="53" t="s">
        <v>25</v>
      </c>
      <c r="H759" s="53" t="s">
        <v>36</v>
      </c>
      <c r="I759" s="73">
        <v>43770</v>
      </c>
      <c r="J759" s="74">
        <f>EFEITO!$J$759*EFEITO!$Y$759</f>
        <v>0</v>
      </c>
      <c r="K759" s="74">
        <f ca="1">EFEITO!$L$759*EFEITO!$Z$759</f>
        <v>358.04170979985696</v>
      </c>
      <c r="L759" s="74">
        <f>EFEITO!$N$759*EFEITO!$AA$759</f>
        <v>944.34275069360251</v>
      </c>
      <c r="M759" s="74">
        <f>$J$759-EFEITO!$K$759*EFEITO!$Y$759</f>
        <v>0</v>
      </c>
      <c r="N759" s="74">
        <f ca="1">$K$759-EFEITO!$M$759*EFEITO!$Z$759</f>
        <v>0</v>
      </c>
      <c r="O759" s="74">
        <f>$L$759-EFEITO!$O$759*EFEITO!$AA$759</f>
        <v>0</v>
      </c>
      <c r="P759" s="57"/>
      <c r="Q759" s="57"/>
      <c r="R759" s="57"/>
      <c r="S759" s="57"/>
      <c r="T759" s="57"/>
      <c r="U759" s="57"/>
      <c r="V759" s="57"/>
      <c r="W759" s="57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</row>
    <row r="760" spans="1:36" ht="11.25" customHeight="1" x14ac:dyDescent="0.2">
      <c r="A760" s="53" t="s">
        <v>21</v>
      </c>
      <c r="B760" s="53" t="s">
        <v>33</v>
      </c>
      <c r="C760" s="53" t="s">
        <v>34</v>
      </c>
      <c r="D760" s="53" t="s">
        <v>40</v>
      </c>
      <c r="E760" s="53" t="s">
        <v>25</v>
      </c>
      <c r="F760" s="53" t="s">
        <v>25</v>
      </c>
      <c r="G760" s="53" t="s">
        <v>25</v>
      </c>
      <c r="H760" s="53" t="s">
        <v>36</v>
      </c>
      <c r="I760" s="73">
        <v>43800</v>
      </c>
      <c r="J760" s="74">
        <f>EFEITO!$J$760*EFEITO!$Y$760</f>
        <v>0</v>
      </c>
      <c r="K760" s="74">
        <f ca="1">EFEITO!$L$760*EFEITO!$Z$760</f>
        <v>234936.53766271987</v>
      </c>
      <c r="L760" s="74">
        <f>EFEITO!$N$760*EFEITO!$AA$760</f>
        <v>619650.19756738038</v>
      </c>
      <c r="M760" s="74">
        <f>$J$760-EFEITO!$K$760*EFEITO!$Y$760</f>
        <v>0</v>
      </c>
      <c r="N760" s="74">
        <f ca="1">$K$760-EFEITO!$M$760*EFEITO!$Z$760</f>
        <v>0</v>
      </c>
      <c r="O760" s="74">
        <f>$L$760-EFEITO!$O$760*EFEITO!$AA$760</f>
        <v>0</v>
      </c>
      <c r="P760" s="57"/>
      <c r="Q760" s="57"/>
      <c r="R760" s="57"/>
      <c r="S760" s="57"/>
      <c r="T760" s="57"/>
      <c r="U760" s="57"/>
      <c r="V760" s="57"/>
      <c r="W760" s="57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</row>
    <row r="761" spans="1:36" ht="11.25" customHeight="1" x14ac:dyDescent="0.2">
      <c r="A761" s="53" t="s">
        <v>27</v>
      </c>
      <c r="B761" s="53" t="s">
        <v>33</v>
      </c>
      <c r="C761" s="53" t="s">
        <v>34</v>
      </c>
      <c r="D761" s="53" t="s">
        <v>40</v>
      </c>
      <c r="E761" s="53" t="s">
        <v>25</v>
      </c>
      <c r="F761" s="53" t="s">
        <v>25</v>
      </c>
      <c r="G761" s="53" t="s">
        <v>25</v>
      </c>
      <c r="H761" s="53" t="s">
        <v>36</v>
      </c>
      <c r="I761" s="73">
        <v>43800</v>
      </c>
      <c r="J761" s="74">
        <f>EFEITO!$J$761*EFEITO!$Y$761</f>
        <v>0</v>
      </c>
      <c r="K761" s="74">
        <f ca="1">EFEITO!$L$761*EFEITO!$Z$761</f>
        <v>418.86766636570889</v>
      </c>
      <c r="L761" s="74">
        <f>EFEITO!$N$761*EFEITO!$AA$761</f>
        <v>1104.7725262330923</v>
      </c>
      <c r="M761" s="74">
        <f>$J$761-EFEITO!$K$761*EFEITO!$Y$761</f>
        <v>0</v>
      </c>
      <c r="N761" s="74">
        <f ca="1">$K$761-EFEITO!$M$761*EFEITO!$Z$761</f>
        <v>0</v>
      </c>
      <c r="O761" s="74">
        <f>$L$761-EFEITO!$O$761*EFEITO!$AA$761</f>
        <v>0</v>
      </c>
      <c r="P761" s="57"/>
      <c r="Q761" s="57"/>
      <c r="R761" s="57"/>
      <c r="S761" s="57"/>
      <c r="T761" s="57"/>
      <c r="U761" s="57"/>
      <c r="V761" s="57"/>
      <c r="W761" s="57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</row>
    <row r="762" spans="1:36" ht="11.25" customHeight="1" x14ac:dyDescent="0.2">
      <c r="A762" s="53" t="s">
        <v>28</v>
      </c>
      <c r="B762" s="53" t="s">
        <v>33</v>
      </c>
      <c r="C762" s="53" t="s">
        <v>34</v>
      </c>
      <c r="D762" s="53" t="s">
        <v>40</v>
      </c>
      <c r="E762" s="53" t="s">
        <v>25</v>
      </c>
      <c r="F762" s="53" t="s">
        <v>25</v>
      </c>
      <c r="G762" s="53" t="s">
        <v>25</v>
      </c>
      <c r="H762" s="53" t="s">
        <v>36</v>
      </c>
      <c r="I762" s="73">
        <v>43800</v>
      </c>
      <c r="J762" s="74">
        <f>EFEITO!$J$762*EFEITO!$Y$762</f>
        <v>0</v>
      </c>
      <c r="K762" s="74">
        <f ca="1">EFEITO!$L$762*EFEITO!$Z$762</f>
        <v>5821.5253998428461</v>
      </c>
      <c r="L762" s="74">
        <f>EFEITO!$N$762*EFEITO!$AA$762</f>
        <v>15354.399107280946</v>
      </c>
      <c r="M762" s="74">
        <f>$J$762-EFEITO!$K$762*EFEITO!$Y$762</f>
        <v>0</v>
      </c>
      <c r="N762" s="74">
        <f ca="1">$K$762-EFEITO!$M$762*EFEITO!$Z$762</f>
        <v>0</v>
      </c>
      <c r="O762" s="74">
        <f>$L$762-EFEITO!$O$762*EFEITO!$AA$762</f>
        <v>0</v>
      </c>
      <c r="P762" s="57"/>
      <c r="Q762" s="57"/>
      <c r="R762" s="57"/>
      <c r="S762" s="57"/>
      <c r="T762" s="57"/>
      <c r="U762" s="57"/>
      <c r="V762" s="57"/>
      <c r="W762" s="57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</row>
    <row r="763" spans="1:36" ht="11.25" customHeight="1" x14ac:dyDescent="0.2">
      <c r="A763" s="53" t="s">
        <v>21</v>
      </c>
      <c r="B763" s="53" t="s">
        <v>33</v>
      </c>
      <c r="C763" s="53" t="s">
        <v>34</v>
      </c>
      <c r="D763" s="53" t="s">
        <v>40</v>
      </c>
      <c r="E763" s="53" t="s">
        <v>25</v>
      </c>
      <c r="F763" s="53" t="s">
        <v>25</v>
      </c>
      <c r="G763" s="53" t="s">
        <v>25</v>
      </c>
      <c r="H763" s="53" t="s">
        <v>36</v>
      </c>
      <c r="I763" s="73">
        <v>43831</v>
      </c>
      <c r="J763" s="74">
        <f>EFEITO!$J$763*EFEITO!$Y$763</f>
        <v>0</v>
      </c>
      <c r="K763" s="74">
        <f ca="1">EFEITO!$L$763*EFEITO!$Z$763</f>
        <v>185717.04880325205</v>
      </c>
      <c r="L763" s="74">
        <f>EFEITO!$N$763*EFEITO!$AA$763</f>
        <v>489832.73154291912</v>
      </c>
      <c r="M763" s="74">
        <f>$J$763-EFEITO!$K$763*EFEITO!$Y$763</f>
        <v>0</v>
      </c>
      <c r="N763" s="74">
        <f ca="1">$K$763-EFEITO!$M$763*EFEITO!$Z$763</f>
        <v>0</v>
      </c>
      <c r="O763" s="74">
        <f>$L$763-EFEITO!$O$763*EFEITO!$AA$763</f>
        <v>0</v>
      </c>
      <c r="P763" s="57"/>
      <c r="Q763" s="57"/>
      <c r="R763" s="57"/>
      <c r="S763" s="57"/>
      <c r="T763" s="57"/>
      <c r="U763" s="57"/>
      <c r="V763" s="57"/>
      <c r="W763" s="57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</row>
    <row r="764" spans="1:36" ht="11.25" customHeight="1" x14ac:dyDescent="0.2">
      <c r="A764" s="53" t="s">
        <v>27</v>
      </c>
      <c r="B764" s="53" t="s">
        <v>33</v>
      </c>
      <c r="C764" s="53" t="s">
        <v>34</v>
      </c>
      <c r="D764" s="53" t="s">
        <v>40</v>
      </c>
      <c r="E764" s="53" t="s">
        <v>25</v>
      </c>
      <c r="F764" s="53" t="s">
        <v>25</v>
      </c>
      <c r="G764" s="53" t="s">
        <v>25</v>
      </c>
      <c r="H764" s="53" t="s">
        <v>36</v>
      </c>
      <c r="I764" s="73">
        <v>43831</v>
      </c>
      <c r="J764" s="74">
        <f>EFEITO!$J$764*EFEITO!$Y$764</f>
        <v>0</v>
      </c>
      <c r="K764" s="74">
        <f ca="1">EFEITO!$L$764*EFEITO!$Z$764</f>
        <v>13234.94047447171</v>
      </c>
      <c r="L764" s="74">
        <f>EFEITO!$N$764*EFEITO!$AA$764</f>
        <v>34907.44164950835</v>
      </c>
      <c r="M764" s="74">
        <f>$J$764-EFEITO!$K$764*EFEITO!$Y$764</f>
        <v>0</v>
      </c>
      <c r="N764" s="74">
        <f ca="1">$K$764-EFEITO!$M$764*EFEITO!$Z$764</f>
        <v>0</v>
      </c>
      <c r="O764" s="74">
        <f>$L$764-EFEITO!$O$764*EFEITO!$AA$764</f>
        <v>0</v>
      </c>
      <c r="P764" s="57"/>
      <c r="Q764" s="57"/>
      <c r="R764" s="57"/>
      <c r="S764" s="57"/>
      <c r="T764" s="57"/>
      <c r="U764" s="57"/>
      <c r="V764" s="57"/>
      <c r="W764" s="57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</row>
    <row r="765" spans="1:36" ht="11.25" customHeight="1" x14ac:dyDescent="0.2">
      <c r="A765" s="53" t="s">
        <v>28</v>
      </c>
      <c r="B765" s="53" t="s">
        <v>33</v>
      </c>
      <c r="C765" s="53" t="s">
        <v>34</v>
      </c>
      <c r="D765" s="53" t="s">
        <v>40</v>
      </c>
      <c r="E765" s="53" t="s">
        <v>25</v>
      </c>
      <c r="F765" s="53" t="s">
        <v>25</v>
      </c>
      <c r="G765" s="53" t="s">
        <v>25</v>
      </c>
      <c r="H765" s="53" t="s">
        <v>36</v>
      </c>
      <c r="I765" s="73">
        <v>43831</v>
      </c>
      <c r="J765" s="74">
        <f>EFEITO!$J$765*EFEITO!$Y$765</f>
        <v>0</v>
      </c>
      <c r="K765" s="74">
        <f ca="1">EFEITO!$L$765*EFEITO!$Z$765</f>
        <v>3067.5536368821768</v>
      </c>
      <c r="L765" s="74">
        <f>EFEITO!$N$765*EFEITO!$AA$765</f>
        <v>8090.7390397973022</v>
      </c>
      <c r="M765" s="74">
        <f>$J$765-EFEITO!$K$765*EFEITO!$Y$765</f>
        <v>0</v>
      </c>
      <c r="N765" s="74">
        <f ca="1">$K$765-EFEITO!$M$765*EFEITO!$Z$765</f>
        <v>0</v>
      </c>
      <c r="O765" s="74">
        <f>$L$765-EFEITO!$O$765*EFEITO!$AA$765</f>
        <v>0</v>
      </c>
      <c r="P765" s="57"/>
      <c r="Q765" s="57"/>
      <c r="R765" s="57"/>
      <c r="S765" s="57"/>
      <c r="T765" s="57"/>
      <c r="U765" s="57"/>
      <c r="V765" s="57"/>
      <c r="W765" s="57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</row>
    <row r="766" spans="1:36" ht="11.25" customHeight="1" x14ac:dyDescent="0.2">
      <c r="A766" s="53" t="s">
        <v>21</v>
      </c>
      <c r="B766" s="53" t="s">
        <v>33</v>
      </c>
      <c r="C766" s="53" t="s">
        <v>34</v>
      </c>
      <c r="D766" s="53" t="s">
        <v>40</v>
      </c>
      <c r="E766" s="53" t="s">
        <v>25</v>
      </c>
      <c r="F766" s="53" t="s">
        <v>25</v>
      </c>
      <c r="G766" s="53" t="s">
        <v>25</v>
      </c>
      <c r="H766" s="53" t="s">
        <v>36</v>
      </c>
      <c r="I766" s="73">
        <v>43862</v>
      </c>
      <c r="J766" s="74">
        <f>EFEITO!$J$766*EFEITO!$Y$766</f>
        <v>0</v>
      </c>
      <c r="K766" s="74">
        <f ca="1">EFEITO!$L$766*EFEITO!$Z$766</f>
        <v>222364.03123896316</v>
      </c>
      <c r="L766" s="74">
        <f>EFEITO!$N$766*EFEITO!$AA$766</f>
        <v>586489.94004889124</v>
      </c>
      <c r="M766" s="74">
        <f>$J$766-EFEITO!$K$766*EFEITO!$Y$766</f>
        <v>0</v>
      </c>
      <c r="N766" s="74">
        <f ca="1">$K$766-EFEITO!$M$766*EFEITO!$Z$766</f>
        <v>0</v>
      </c>
      <c r="O766" s="74">
        <f>$L$766-EFEITO!$O$766*EFEITO!$AA$766</f>
        <v>0</v>
      </c>
      <c r="P766" s="57"/>
      <c r="Q766" s="57"/>
      <c r="R766" s="57"/>
      <c r="S766" s="57"/>
      <c r="T766" s="57"/>
      <c r="U766" s="57"/>
      <c r="V766" s="57"/>
      <c r="W766" s="57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</row>
    <row r="767" spans="1:36" ht="11.25" customHeight="1" x14ac:dyDescent="0.2">
      <c r="A767" s="53" t="s">
        <v>28</v>
      </c>
      <c r="B767" s="53" t="s">
        <v>33</v>
      </c>
      <c r="C767" s="53" t="s">
        <v>34</v>
      </c>
      <c r="D767" s="53" t="s">
        <v>40</v>
      </c>
      <c r="E767" s="53" t="s">
        <v>25</v>
      </c>
      <c r="F767" s="53" t="s">
        <v>25</v>
      </c>
      <c r="G767" s="53" t="s">
        <v>25</v>
      </c>
      <c r="H767" s="53" t="s">
        <v>36</v>
      </c>
      <c r="I767" s="73">
        <v>43862</v>
      </c>
      <c r="J767" s="74">
        <f>EFEITO!$J$767*EFEITO!$Y$767</f>
        <v>0</v>
      </c>
      <c r="K767" s="74">
        <f ca="1">EFEITO!$L$767*EFEITO!$Z$767</f>
        <v>4335.7967111206826</v>
      </c>
      <c r="L767" s="74">
        <f>EFEITO!$N$767*EFEITO!$AA$767</f>
        <v>11435.757568348021</v>
      </c>
      <c r="M767" s="74">
        <f>$J$767-EFEITO!$K$767*EFEITO!$Y$767</f>
        <v>0</v>
      </c>
      <c r="N767" s="74">
        <f ca="1">$K$767-EFEITO!$M$767*EFEITO!$Z$767</f>
        <v>0</v>
      </c>
      <c r="O767" s="74">
        <f>$L$767-EFEITO!$O$767*EFEITO!$AA$767</f>
        <v>0</v>
      </c>
      <c r="P767" s="57"/>
      <c r="Q767" s="57"/>
      <c r="R767" s="57"/>
      <c r="S767" s="57"/>
      <c r="T767" s="57"/>
      <c r="U767" s="57"/>
      <c r="V767" s="57"/>
      <c r="W767" s="57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</row>
    <row r="768" spans="1:36" ht="11.25" customHeight="1" x14ac:dyDescent="0.2">
      <c r="A768" s="53" t="s">
        <v>21</v>
      </c>
      <c r="B768" s="53" t="s">
        <v>33</v>
      </c>
      <c r="C768" s="53" t="s">
        <v>34</v>
      </c>
      <c r="D768" s="53" t="s">
        <v>40</v>
      </c>
      <c r="E768" s="53" t="s">
        <v>25</v>
      </c>
      <c r="F768" s="53" t="s">
        <v>25</v>
      </c>
      <c r="G768" s="53" t="s">
        <v>25</v>
      </c>
      <c r="H768" s="53" t="s">
        <v>36</v>
      </c>
      <c r="I768" s="73">
        <v>43891</v>
      </c>
      <c r="J768" s="74">
        <f>EFEITO!$J$768*EFEITO!$Y$768</f>
        <v>0</v>
      </c>
      <c r="K768" s="74">
        <f ca="1">EFEITO!$L$768*EFEITO!$Z$768</f>
        <v>194349.78362878086</v>
      </c>
      <c r="L768" s="74">
        <f>EFEITO!$N$768*EFEITO!$AA$768</f>
        <v>512601.75629063736</v>
      </c>
      <c r="M768" s="74">
        <f>$J$768-EFEITO!$K$768*EFEITO!$Y$768</f>
        <v>0</v>
      </c>
      <c r="N768" s="74">
        <f ca="1">$K$768-EFEITO!$M$768*EFEITO!$Z$768</f>
        <v>0</v>
      </c>
      <c r="O768" s="74">
        <f>$L$768-EFEITO!$O$768*EFEITO!$AA$768</f>
        <v>0</v>
      </c>
      <c r="P768" s="57"/>
      <c r="Q768" s="57"/>
      <c r="R768" s="57"/>
      <c r="S768" s="57"/>
      <c r="T768" s="57"/>
      <c r="U768" s="57"/>
      <c r="V768" s="57"/>
      <c r="W768" s="57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</row>
    <row r="769" spans="1:36" ht="11.25" customHeight="1" x14ac:dyDescent="0.2">
      <c r="A769" s="53" t="s">
        <v>27</v>
      </c>
      <c r="B769" s="53" t="s">
        <v>33</v>
      </c>
      <c r="C769" s="53" t="s">
        <v>34</v>
      </c>
      <c r="D769" s="53" t="s">
        <v>40</v>
      </c>
      <c r="E769" s="53" t="s">
        <v>25</v>
      </c>
      <c r="F769" s="53" t="s">
        <v>25</v>
      </c>
      <c r="G769" s="53" t="s">
        <v>25</v>
      </c>
      <c r="H769" s="53" t="s">
        <v>36</v>
      </c>
      <c r="I769" s="73">
        <v>43891</v>
      </c>
      <c r="J769" s="74">
        <f>EFEITO!$J$769*EFEITO!$Y$769</f>
        <v>0</v>
      </c>
      <c r="K769" s="74">
        <f ca="1">EFEITO!$L$769*EFEITO!$Z$769</f>
        <v>2225.8799328623227</v>
      </c>
      <c r="L769" s="74">
        <f>EFEITO!$N$769*EFEITO!$AA$769</f>
        <v>5870.8064479076975</v>
      </c>
      <c r="M769" s="74">
        <f>$J$769-EFEITO!$K$769*EFEITO!$Y$769</f>
        <v>0</v>
      </c>
      <c r="N769" s="74">
        <f ca="1">$K$769-EFEITO!$M$769*EFEITO!$Z$769</f>
        <v>0</v>
      </c>
      <c r="O769" s="74">
        <f>$L$769-EFEITO!$O$769*EFEITO!$AA$769</f>
        <v>0</v>
      </c>
      <c r="P769" s="57"/>
      <c r="Q769" s="57"/>
      <c r="R769" s="57"/>
      <c r="S769" s="57"/>
      <c r="T769" s="57"/>
      <c r="U769" s="57"/>
      <c r="V769" s="57"/>
      <c r="W769" s="57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</row>
    <row r="770" spans="1:36" ht="11.25" customHeight="1" x14ac:dyDescent="0.2">
      <c r="A770" s="53" t="s">
        <v>28</v>
      </c>
      <c r="B770" s="53" t="s">
        <v>33</v>
      </c>
      <c r="C770" s="53" t="s">
        <v>34</v>
      </c>
      <c r="D770" s="53" t="s">
        <v>40</v>
      </c>
      <c r="E770" s="53" t="s">
        <v>25</v>
      </c>
      <c r="F770" s="53" t="s">
        <v>25</v>
      </c>
      <c r="G770" s="53" t="s">
        <v>25</v>
      </c>
      <c r="H770" s="53" t="s">
        <v>36</v>
      </c>
      <c r="I770" s="73">
        <v>43891</v>
      </c>
      <c r="J770" s="74">
        <f>EFEITO!$J$770*EFEITO!$Y$770</f>
        <v>0</v>
      </c>
      <c r="K770" s="74">
        <f ca="1">EFEITO!$L$770*EFEITO!$Z$770</f>
        <v>6125.3926245862103</v>
      </c>
      <c r="L770" s="74">
        <f>EFEITO!$N$770*EFEITO!$AA$770</f>
        <v>16155.855482350171</v>
      </c>
      <c r="M770" s="74">
        <f>$J$770-EFEITO!$K$770*EFEITO!$Y$770</f>
        <v>0</v>
      </c>
      <c r="N770" s="74">
        <f ca="1">$K$770-EFEITO!$M$770*EFEITO!$Z$770</f>
        <v>0</v>
      </c>
      <c r="O770" s="74">
        <f>$L$770-EFEITO!$O$770*EFEITO!$AA$770</f>
        <v>0</v>
      </c>
      <c r="P770" s="57"/>
      <c r="Q770" s="57"/>
      <c r="R770" s="57"/>
      <c r="S770" s="57"/>
      <c r="T770" s="57"/>
      <c r="U770" s="57"/>
      <c r="V770" s="57"/>
      <c r="W770" s="57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</row>
    <row r="771" spans="1:36" ht="11.25" customHeight="1" x14ac:dyDescent="0.2">
      <c r="A771" s="53" t="s">
        <v>21</v>
      </c>
      <c r="B771" s="53" t="s">
        <v>33</v>
      </c>
      <c r="C771" s="53" t="s">
        <v>34</v>
      </c>
      <c r="D771" s="53" t="s">
        <v>40</v>
      </c>
      <c r="E771" s="53" t="s">
        <v>25</v>
      </c>
      <c r="F771" s="53" t="s">
        <v>25</v>
      </c>
      <c r="G771" s="53" t="s">
        <v>25</v>
      </c>
      <c r="H771" s="53" t="s">
        <v>36</v>
      </c>
      <c r="I771" s="73">
        <v>43922</v>
      </c>
      <c r="J771" s="74">
        <f>EFEITO!$J$771*EFEITO!$Y$771</f>
        <v>0</v>
      </c>
      <c r="K771" s="74">
        <f ca="1">EFEITO!$L$771*EFEITO!$Z$771</f>
        <v>206172.5991979432</v>
      </c>
      <c r="L771" s="74">
        <f>EFEITO!$N$771*EFEITO!$AA$771</f>
        <v>543784.68797132606</v>
      </c>
      <c r="M771" s="74">
        <f>$J$771-EFEITO!$K$771*EFEITO!$Y$771</f>
        <v>0</v>
      </c>
      <c r="N771" s="74">
        <f ca="1">$K$771-EFEITO!$M$771*EFEITO!$Z$771</f>
        <v>0</v>
      </c>
      <c r="O771" s="74">
        <f>$L$771-EFEITO!$O$771*EFEITO!$AA$771</f>
        <v>0</v>
      </c>
      <c r="P771" s="57"/>
      <c r="Q771" s="57"/>
      <c r="R771" s="57"/>
      <c r="S771" s="57"/>
      <c r="T771" s="57"/>
      <c r="U771" s="57"/>
      <c r="V771" s="57"/>
      <c r="W771" s="57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</row>
    <row r="772" spans="1:36" ht="11.25" customHeight="1" x14ac:dyDescent="0.2">
      <c r="A772" s="53" t="s">
        <v>27</v>
      </c>
      <c r="B772" s="53" t="s">
        <v>33</v>
      </c>
      <c r="C772" s="53" t="s">
        <v>34</v>
      </c>
      <c r="D772" s="53" t="s">
        <v>40</v>
      </c>
      <c r="E772" s="53" t="s">
        <v>25</v>
      </c>
      <c r="F772" s="53" t="s">
        <v>25</v>
      </c>
      <c r="G772" s="53" t="s">
        <v>25</v>
      </c>
      <c r="H772" s="53" t="s">
        <v>36</v>
      </c>
      <c r="I772" s="73">
        <v>43922</v>
      </c>
      <c r="J772" s="74">
        <f>EFEITO!$J$772*EFEITO!$Y$772</f>
        <v>0</v>
      </c>
      <c r="K772" s="74">
        <f ca="1">EFEITO!$L$772*EFEITO!$Z$772</f>
        <v>257.21940481588354</v>
      </c>
      <c r="L772" s="74">
        <f>EFEITO!$N$772*EFEITO!$AA$772</f>
        <v>678.42174145404488</v>
      </c>
      <c r="M772" s="74">
        <f>$J$772-EFEITO!$K$772*EFEITO!$Y$772</f>
        <v>0</v>
      </c>
      <c r="N772" s="74">
        <f ca="1">$K$772-EFEITO!$M$772*EFEITO!$Z$772</f>
        <v>0</v>
      </c>
      <c r="O772" s="74">
        <f>$L$772-EFEITO!$O$772*EFEITO!$AA$772</f>
        <v>0</v>
      </c>
      <c r="P772" s="57"/>
      <c r="Q772" s="57"/>
      <c r="R772" s="57"/>
      <c r="S772" s="57"/>
      <c r="T772" s="57"/>
      <c r="U772" s="57"/>
      <c r="V772" s="57"/>
      <c r="W772" s="57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</row>
    <row r="773" spans="1:36" ht="11.25" customHeight="1" x14ac:dyDescent="0.2">
      <c r="A773" s="53" t="s">
        <v>28</v>
      </c>
      <c r="B773" s="53" t="s">
        <v>33</v>
      </c>
      <c r="C773" s="53" t="s">
        <v>34</v>
      </c>
      <c r="D773" s="53" t="s">
        <v>40</v>
      </c>
      <c r="E773" s="53" t="s">
        <v>25</v>
      </c>
      <c r="F773" s="53" t="s">
        <v>25</v>
      </c>
      <c r="G773" s="53" t="s">
        <v>25</v>
      </c>
      <c r="H773" s="53" t="s">
        <v>36</v>
      </c>
      <c r="I773" s="73">
        <v>43922</v>
      </c>
      <c r="J773" s="74">
        <f>EFEITO!$J$773*EFEITO!$Y$773</f>
        <v>0</v>
      </c>
      <c r="K773" s="74">
        <f ca="1">EFEITO!$L$773*EFEITO!$Z$773</f>
        <v>5461.9958608895795</v>
      </c>
      <c r="L773" s="74">
        <f>EFEITO!$N$773*EFEITO!$AA$773</f>
        <v>14406.132175027386</v>
      </c>
      <c r="M773" s="74">
        <f>$J$773-EFEITO!$K$773*EFEITO!$Y$773</f>
        <v>0</v>
      </c>
      <c r="N773" s="74">
        <f ca="1">$K$773-EFEITO!$M$773*EFEITO!$Z$773</f>
        <v>0</v>
      </c>
      <c r="O773" s="74">
        <f>$L$773-EFEITO!$O$773*EFEITO!$AA$773</f>
        <v>0</v>
      </c>
      <c r="P773" s="57"/>
      <c r="Q773" s="57"/>
      <c r="R773" s="57"/>
      <c r="S773" s="57"/>
      <c r="T773" s="57"/>
      <c r="U773" s="57"/>
      <c r="V773" s="57"/>
      <c r="W773" s="57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</row>
    <row r="774" spans="1:36" ht="11.25" customHeight="1" x14ac:dyDescent="0.2">
      <c r="A774" s="53" t="s">
        <v>21</v>
      </c>
      <c r="B774" s="53" t="s">
        <v>33</v>
      </c>
      <c r="C774" s="53" t="s">
        <v>34</v>
      </c>
      <c r="D774" s="53" t="s">
        <v>40</v>
      </c>
      <c r="E774" s="53" t="s">
        <v>25</v>
      </c>
      <c r="F774" s="53" t="s">
        <v>25</v>
      </c>
      <c r="G774" s="53" t="s">
        <v>25</v>
      </c>
      <c r="H774" s="53" t="s">
        <v>36</v>
      </c>
      <c r="I774" s="73">
        <v>43952</v>
      </c>
      <c r="J774" s="74">
        <f>EFEITO!$J$774*EFEITO!$Y$774</f>
        <v>0</v>
      </c>
      <c r="K774" s="74">
        <f ca="1">EFEITO!$L$774*EFEITO!$Z$774</f>
        <v>153511.84902600158</v>
      </c>
      <c r="L774" s="74">
        <f>EFEITO!$N$774*EFEITO!$AA$774</f>
        <v>404890.82083288964</v>
      </c>
      <c r="M774" s="74">
        <f>$J$774-EFEITO!$K$774*EFEITO!$Y$774</f>
        <v>0</v>
      </c>
      <c r="N774" s="74">
        <f ca="1">$K$774-EFEITO!$M$774*EFEITO!$Z$774</f>
        <v>0</v>
      </c>
      <c r="O774" s="74">
        <f>$L$774-EFEITO!$O$774*EFEITO!$AA$774</f>
        <v>0</v>
      </c>
      <c r="P774" s="57"/>
      <c r="Q774" s="57"/>
      <c r="R774" s="57"/>
      <c r="S774" s="57"/>
      <c r="T774" s="57"/>
      <c r="U774" s="57"/>
      <c r="V774" s="57"/>
      <c r="W774" s="57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</row>
    <row r="775" spans="1:36" ht="11.25" customHeight="1" x14ac:dyDescent="0.2">
      <c r="A775" s="53" t="s">
        <v>28</v>
      </c>
      <c r="B775" s="53" t="s">
        <v>33</v>
      </c>
      <c r="C775" s="53" t="s">
        <v>34</v>
      </c>
      <c r="D775" s="53" t="s">
        <v>40</v>
      </c>
      <c r="E775" s="53" t="s">
        <v>25</v>
      </c>
      <c r="F775" s="53" t="s">
        <v>25</v>
      </c>
      <c r="G775" s="53" t="s">
        <v>25</v>
      </c>
      <c r="H775" s="53" t="s">
        <v>36</v>
      </c>
      <c r="I775" s="73">
        <v>43952</v>
      </c>
      <c r="J775" s="74">
        <f>EFEITO!$J$775*EFEITO!$Y$775</f>
        <v>0</v>
      </c>
      <c r="K775" s="74">
        <f ca="1">EFEITO!$L$775*EFEITO!$Z$775</f>
        <v>4946.6818576381602</v>
      </c>
      <c r="L775" s="74">
        <f>EFEITO!$N$775*EFEITO!$AA$775</f>
        <v>13046.980350025204</v>
      </c>
      <c r="M775" s="74">
        <f>$J$775-EFEITO!$K$775*EFEITO!$Y$775</f>
        <v>0</v>
      </c>
      <c r="N775" s="74">
        <f ca="1">$K$775-EFEITO!$M$775*EFEITO!$Z$775</f>
        <v>0</v>
      </c>
      <c r="O775" s="74">
        <f>$L$775-EFEITO!$O$775*EFEITO!$AA$775</f>
        <v>0</v>
      </c>
      <c r="P775" s="57"/>
      <c r="Q775" s="57"/>
      <c r="R775" s="57"/>
      <c r="S775" s="57"/>
      <c r="T775" s="57"/>
      <c r="U775" s="57"/>
      <c r="V775" s="57"/>
      <c r="W775" s="57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</row>
    <row r="776" spans="1:36" ht="11.25" customHeight="1" x14ac:dyDescent="0.2">
      <c r="A776" s="53" t="s">
        <v>21</v>
      </c>
      <c r="B776" s="53" t="s">
        <v>33</v>
      </c>
      <c r="C776" s="53" t="s">
        <v>34</v>
      </c>
      <c r="D776" s="53" t="s">
        <v>40</v>
      </c>
      <c r="E776" s="53" t="s">
        <v>25</v>
      </c>
      <c r="F776" s="53" t="s">
        <v>25</v>
      </c>
      <c r="G776" s="53" t="s">
        <v>25</v>
      </c>
      <c r="H776" s="53" t="s">
        <v>36</v>
      </c>
      <c r="I776" s="73">
        <v>43983</v>
      </c>
      <c r="J776" s="74">
        <f>EFEITO!$J$776*EFEITO!$Y$776</f>
        <v>0</v>
      </c>
      <c r="K776" s="74">
        <f ca="1">EFEITO!$L$776*EFEITO!$Z$776</f>
        <v>169035.6833739506</v>
      </c>
      <c r="L776" s="74">
        <f>EFEITO!$N$776*EFEITO!$AA$776</f>
        <v>445835.26956108044</v>
      </c>
      <c r="M776" s="74">
        <f>$J$776-EFEITO!$K$776*EFEITO!$Y$776</f>
        <v>0</v>
      </c>
      <c r="N776" s="74">
        <f ca="1">$K$776-EFEITO!$M$776*EFEITO!$Z$776</f>
        <v>0</v>
      </c>
      <c r="O776" s="74">
        <f>$L$776-EFEITO!$O$776*EFEITO!$AA$776</f>
        <v>0</v>
      </c>
      <c r="P776" s="57"/>
      <c r="Q776" s="57"/>
      <c r="R776" s="57"/>
      <c r="S776" s="57"/>
      <c r="T776" s="57"/>
      <c r="U776" s="57"/>
      <c r="V776" s="57"/>
      <c r="W776" s="57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</row>
    <row r="777" spans="1:36" ht="11.25" customHeight="1" x14ac:dyDescent="0.2">
      <c r="A777" s="53" t="s">
        <v>27</v>
      </c>
      <c r="B777" s="53" t="s">
        <v>33</v>
      </c>
      <c r="C777" s="53" t="s">
        <v>34</v>
      </c>
      <c r="D777" s="53" t="s">
        <v>40</v>
      </c>
      <c r="E777" s="53" t="s">
        <v>25</v>
      </c>
      <c r="F777" s="53" t="s">
        <v>25</v>
      </c>
      <c r="G777" s="53" t="s">
        <v>25</v>
      </c>
      <c r="H777" s="53" t="s">
        <v>36</v>
      </c>
      <c r="I777" s="73">
        <v>43983</v>
      </c>
      <c r="J777" s="74">
        <f>EFEITO!$J$777*EFEITO!$Y$777</f>
        <v>0</v>
      </c>
      <c r="K777" s="74">
        <f ca="1">EFEITO!$L$777*EFEITO!$Z$777</f>
        <v>2274.540698115004</v>
      </c>
      <c r="L777" s="74">
        <f>EFEITO!$N$777*EFEITO!$AA$777</f>
        <v>5999.1502683392901</v>
      </c>
      <c r="M777" s="74">
        <f>$J$777-EFEITO!$K$777*EFEITO!$Y$777</f>
        <v>0</v>
      </c>
      <c r="N777" s="74">
        <f ca="1">$K$777-EFEITO!$M$777*EFEITO!$Z$777</f>
        <v>0</v>
      </c>
      <c r="O777" s="74">
        <f>$L$777-EFEITO!$O$777*EFEITO!$AA$777</f>
        <v>0</v>
      </c>
      <c r="P777" s="57"/>
      <c r="Q777" s="57"/>
      <c r="R777" s="57"/>
      <c r="S777" s="57"/>
      <c r="T777" s="57"/>
      <c r="U777" s="57"/>
      <c r="V777" s="57"/>
      <c r="W777" s="57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</row>
    <row r="778" spans="1:36" ht="11.25" customHeight="1" x14ac:dyDescent="0.2">
      <c r="A778" s="53" t="s">
        <v>28</v>
      </c>
      <c r="B778" s="53" t="s">
        <v>33</v>
      </c>
      <c r="C778" s="53" t="s">
        <v>34</v>
      </c>
      <c r="D778" s="53" t="s">
        <v>40</v>
      </c>
      <c r="E778" s="53" t="s">
        <v>25</v>
      </c>
      <c r="F778" s="53" t="s">
        <v>25</v>
      </c>
      <c r="G778" s="53" t="s">
        <v>25</v>
      </c>
      <c r="H778" s="53" t="s">
        <v>36</v>
      </c>
      <c r="I778" s="73">
        <v>43983</v>
      </c>
      <c r="J778" s="74">
        <f>EFEITO!$J$778*EFEITO!$Y$778</f>
        <v>0</v>
      </c>
      <c r="K778" s="74">
        <f ca="1">EFEITO!$L$778*EFEITO!$Z$778</f>
        <v>10606.558995931182</v>
      </c>
      <c r="L778" s="74">
        <f>EFEITO!$N$778*EFEITO!$AA$778</f>
        <v>27975.028672527103</v>
      </c>
      <c r="M778" s="74">
        <f>$J$778-EFEITO!$K$778*EFEITO!$Y$778</f>
        <v>0</v>
      </c>
      <c r="N778" s="74">
        <f ca="1">$K$778-EFEITO!$M$778*EFEITO!$Z$778</f>
        <v>0</v>
      </c>
      <c r="O778" s="74">
        <f>$L$778-EFEITO!$O$778*EFEITO!$AA$778</f>
        <v>0</v>
      </c>
      <c r="P778" s="57"/>
      <c r="Q778" s="57"/>
      <c r="R778" s="57"/>
      <c r="S778" s="57"/>
      <c r="T778" s="57"/>
      <c r="U778" s="57"/>
      <c r="V778" s="57"/>
      <c r="W778" s="57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</row>
    <row r="779" spans="1:36" ht="11.25" customHeight="1" x14ac:dyDescent="0.2">
      <c r="A779" s="53" t="s">
        <v>21</v>
      </c>
      <c r="B779" s="53" t="s">
        <v>33</v>
      </c>
      <c r="C779" s="53" t="s">
        <v>34</v>
      </c>
      <c r="D779" s="53" t="s">
        <v>40</v>
      </c>
      <c r="E779" s="53" t="s">
        <v>25</v>
      </c>
      <c r="F779" s="53" t="s">
        <v>25</v>
      </c>
      <c r="G779" s="53" t="s">
        <v>25</v>
      </c>
      <c r="H779" s="53" t="s">
        <v>36</v>
      </c>
      <c r="I779" s="73">
        <v>44013</v>
      </c>
      <c r="J779" s="74">
        <f>EFEITO!$J$779*EFEITO!$Y$779</f>
        <v>0</v>
      </c>
      <c r="K779" s="74">
        <f ca="1">EFEITO!$L$779*EFEITO!$Z$779</f>
        <v>181711.55016418826</v>
      </c>
      <c r="L779" s="74">
        <f>EFEITO!$N$779*EFEITO!$AA$779</f>
        <v>479268.14228088193</v>
      </c>
      <c r="M779" s="74">
        <f>$J$779-EFEITO!$K$779*EFEITO!$Y$779</f>
        <v>0</v>
      </c>
      <c r="N779" s="74">
        <f ca="1">$K$779-EFEITO!$M$779*EFEITO!$Z$779</f>
        <v>0</v>
      </c>
      <c r="O779" s="74">
        <f>$L$779-EFEITO!$O$779*EFEITO!$AA$779</f>
        <v>0</v>
      </c>
      <c r="P779" s="57"/>
      <c r="Q779" s="57"/>
      <c r="R779" s="57"/>
      <c r="S779" s="57"/>
      <c r="T779" s="57"/>
      <c r="U779" s="57"/>
      <c r="V779" s="57"/>
      <c r="W779" s="57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</row>
    <row r="780" spans="1:36" ht="11.25" customHeight="1" x14ac:dyDescent="0.2">
      <c r="A780" s="53" t="s">
        <v>27</v>
      </c>
      <c r="B780" s="53" t="s">
        <v>33</v>
      </c>
      <c r="C780" s="53" t="s">
        <v>34</v>
      </c>
      <c r="D780" s="53" t="s">
        <v>40</v>
      </c>
      <c r="E780" s="53" t="s">
        <v>25</v>
      </c>
      <c r="F780" s="53" t="s">
        <v>25</v>
      </c>
      <c r="G780" s="53" t="s">
        <v>25</v>
      </c>
      <c r="H780" s="53" t="s">
        <v>36</v>
      </c>
      <c r="I780" s="73">
        <v>44013</v>
      </c>
      <c r="J780" s="74">
        <f>EFEITO!$J$780*EFEITO!$Y$780</f>
        <v>0</v>
      </c>
      <c r="K780" s="74">
        <f ca="1">EFEITO!$L$780*EFEITO!$Z$780</f>
        <v>1855.4104736633994</v>
      </c>
      <c r="L780" s="74">
        <f>EFEITO!$N$780*EFEITO!$AA$780</f>
        <v>4893.6852394779689</v>
      </c>
      <c r="M780" s="74">
        <f>$J$780-EFEITO!$K$780*EFEITO!$Y$780</f>
        <v>0</v>
      </c>
      <c r="N780" s="74">
        <f ca="1">$K$780-EFEITO!$M$780*EFEITO!$Z$780</f>
        <v>0</v>
      </c>
      <c r="O780" s="74">
        <f>$L$780-EFEITO!$O$780*EFEITO!$AA$780</f>
        <v>0</v>
      </c>
      <c r="P780" s="57"/>
      <c r="Q780" s="57"/>
      <c r="R780" s="57"/>
      <c r="S780" s="57"/>
      <c r="T780" s="57"/>
      <c r="U780" s="57"/>
      <c r="V780" s="57"/>
      <c r="W780" s="57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</row>
    <row r="781" spans="1:36" ht="11.25" customHeight="1" x14ac:dyDescent="0.2">
      <c r="A781" s="53" t="s">
        <v>28</v>
      </c>
      <c r="B781" s="53" t="s">
        <v>33</v>
      </c>
      <c r="C781" s="53" t="s">
        <v>34</v>
      </c>
      <c r="D781" s="53" t="s">
        <v>40</v>
      </c>
      <c r="E781" s="53" t="s">
        <v>25</v>
      </c>
      <c r="F781" s="53" t="s">
        <v>25</v>
      </c>
      <c r="G781" s="53" t="s">
        <v>25</v>
      </c>
      <c r="H781" s="53" t="s">
        <v>36</v>
      </c>
      <c r="I781" s="73">
        <v>44013</v>
      </c>
      <c r="J781" s="74">
        <f>EFEITO!$J$781*EFEITO!$Y$781</f>
        <v>0</v>
      </c>
      <c r="K781" s="74">
        <f ca="1">EFEITO!$L$781*EFEITO!$Z$781</f>
        <v>14404.636747137338</v>
      </c>
      <c r="L781" s="74">
        <f>EFEITO!$N$781*EFEITO!$AA$781</f>
        <v>37992.540858264147</v>
      </c>
      <c r="M781" s="74">
        <f>$J$781-EFEITO!$K$781*EFEITO!$Y$781</f>
        <v>0</v>
      </c>
      <c r="N781" s="74">
        <f ca="1">$K$781-EFEITO!$M$781*EFEITO!$Z$781</f>
        <v>0</v>
      </c>
      <c r="O781" s="74">
        <f>$L$781-EFEITO!$O$781*EFEITO!$AA$781</f>
        <v>0</v>
      </c>
      <c r="P781" s="57"/>
      <c r="Q781" s="57"/>
      <c r="R781" s="57"/>
      <c r="S781" s="57"/>
      <c r="T781" s="57"/>
      <c r="U781" s="57"/>
      <c r="V781" s="57"/>
      <c r="W781" s="57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</row>
    <row r="782" spans="1:36" ht="11.25" customHeight="1" x14ac:dyDescent="0.2">
      <c r="A782" s="53" t="s">
        <v>21</v>
      </c>
      <c r="B782" s="53" t="s">
        <v>33</v>
      </c>
      <c r="C782" s="53" t="s">
        <v>34</v>
      </c>
      <c r="D782" s="53" t="s">
        <v>40</v>
      </c>
      <c r="E782" s="53" t="s">
        <v>25</v>
      </c>
      <c r="F782" s="53" t="s">
        <v>25</v>
      </c>
      <c r="G782" s="53" t="s">
        <v>25</v>
      </c>
      <c r="H782" s="53" t="s">
        <v>36</v>
      </c>
      <c r="I782" s="73">
        <v>44044</v>
      </c>
      <c r="J782" s="74">
        <f>EFEITO!$J$782*EFEITO!$Y$782</f>
        <v>0</v>
      </c>
      <c r="K782" s="74">
        <f ca="1">EFEITO!$L$782*EFEITO!$Z$782</f>
        <v>172637.01759945886</v>
      </c>
      <c r="L782" s="74">
        <f>EFEITO!$N$782*EFEITO!$AA$782</f>
        <v>455333.86644406529</v>
      </c>
      <c r="M782" s="74">
        <f>$J$782-EFEITO!$K$782*EFEITO!$Y$782</f>
        <v>0</v>
      </c>
      <c r="N782" s="74">
        <f ca="1">$K$782-EFEITO!$M$782*EFEITO!$Z$782</f>
        <v>0</v>
      </c>
      <c r="O782" s="74">
        <f>$L$782-EFEITO!$O$782*EFEITO!$AA$782</f>
        <v>0</v>
      </c>
      <c r="P782" s="57"/>
      <c r="Q782" s="57"/>
      <c r="R782" s="57"/>
      <c r="S782" s="57"/>
      <c r="T782" s="57"/>
      <c r="U782" s="57"/>
      <c r="V782" s="57"/>
      <c r="W782" s="57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</row>
    <row r="783" spans="1:36" ht="11.25" customHeight="1" x14ac:dyDescent="0.2">
      <c r="A783" s="53" t="s">
        <v>27</v>
      </c>
      <c r="B783" s="53" t="s">
        <v>33</v>
      </c>
      <c r="C783" s="53" t="s">
        <v>34</v>
      </c>
      <c r="D783" s="53" t="s">
        <v>40</v>
      </c>
      <c r="E783" s="53" t="s">
        <v>25</v>
      </c>
      <c r="F783" s="53" t="s">
        <v>25</v>
      </c>
      <c r="G783" s="53" t="s">
        <v>25</v>
      </c>
      <c r="H783" s="53" t="s">
        <v>36</v>
      </c>
      <c r="I783" s="73">
        <v>44044</v>
      </c>
      <c r="J783" s="74">
        <f>EFEITO!$J$783*EFEITO!$Y$783</f>
        <v>0</v>
      </c>
      <c r="K783" s="74">
        <f ca="1">EFEITO!$L$783*EFEITO!$Z$783</f>
        <v>2671.4410046274343</v>
      </c>
      <c r="L783" s="74">
        <f>EFEITO!$N$783*EFEITO!$AA$783</f>
        <v>7045.9834080106384</v>
      </c>
      <c r="M783" s="74">
        <f>$J$783-EFEITO!$K$783*EFEITO!$Y$783</f>
        <v>0</v>
      </c>
      <c r="N783" s="74">
        <f ca="1">$K$783-EFEITO!$M$783*EFEITO!$Z$783</f>
        <v>0</v>
      </c>
      <c r="O783" s="74">
        <f>$L$783-EFEITO!$O$783*EFEITO!$AA$783</f>
        <v>0</v>
      </c>
      <c r="P783" s="57"/>
      <c r="Q783" s="57"/>
      <c r="R783" s="57"/>
      <c r="S783" s="57"/>
      <c r="T783" s="57"/>
      <c r="U783" s="57"/>
      <c r="V783" s="57"/>
      <c r="W783" s="57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</row>
    <row r="784" spans="1:36" ht="11.25" customHeight="1" x14ac:dyDescent="0.2">
      <c r="A784" s="53" t="s">
        <v>28</v>
      </c>
      <c r="B784" s="53" t="s">
        <v>33</v>
      </c>
      <c r="C784" s="53" t="s">
        <v>34</v>
      </c>
      <c r="D784" s="53" t="s">
        <v>40</v>
      </c>
      <c r="E784" s="53" t="s">
        <v>25</v>
      </c>
      <c r="F784" s="53" t="s">
        <v>25</v>
      </c>
      <c r="G784" s="53" t="s">
        <v>25</v>
      </c>
      <c r="H784" s="53" t="s">
        <v>36</v>
      </c>
      <c r="I784" s="73">
        <v>44044</v>
      </c>
      <c r="J784" s="74">
        <f>EFEITO!$J$784*EFEITO!$Y$784</f>
        <v>0</v>
      </c>
      <c r="K784" s="74">
        <f ca="1">EFEITO!$L$784*EFEITO!$Z$784</f>
        <v>13153.109871034198</v>
      </c>
      <c r="L784" s="74">
        <f>EFEITO!$N$784*EFEITO!$AA$784</f>
        <v>34691.611663710617</v>
      </c>
      <c r="M784" s="74">
        <f>$J$784-EFEITO!$K$784*EFEITO!$Y$784</f>
        <v>0</v>
      </c>
      <c r="N784" s="74">
        <f ca="1">$K$784-EFEITO!$M$784*EFEITO!$Z$784</f>
        <v>0</v>
      </c>
      <c r="O784" s="74">
        <f>$L$784-EFEITO!$O$784*EFEITO!$AA$784</f>
        <v>0</v>
      </c>
      <c r="P784" s="57"/>
      <c r="Q784" s="57"/>
      <c r="R784" s="57"/>
      <c r="S784" s="57"/>
      <c r="T784" s="57"/>
      <c r="U784" s="57"/>
      <c r="V784" s="57"/>
      <c r="W784" s="57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</row>
    <row r="785" spans="1:36" ht="11.25" customHeight="1" x14ac:dyDescent="0.2">
      <c r="A785" s="53" t="s">
        <v>59</v>
      </c>
      <c r="B785" s="53" t="s">
        <v>33</v>
      </c>
      <c r="C785" s="53" t="s">
        <v>34</v>
      </c>
      <c r="D785" s="53" t="s">
        <v>40</v>
      </c>
      <c r="E785" s="53" t="s">
        <v>25</v>
      </c>
      <c r="F785" s="53" t="s">
        <v>25</v>
      </c>
      <c r="G785" s="53" t="s">
        <v>25</v>
      </c>
      <c r="H785" s="53" t="s">
        <v>36</v>
      </c>
      <c r="I785" s="73">
        <v>44075</v>
      </c>
      <c r="J785" s="74">
        <f>EFEITO!$J$785*EFEITO!$Y$785</f>
        <v>0</v>
      </c>
      <c r="K785" s="74">
        <f ca="1">EFEITO!$L$785*EFEITO!$Z$785</f>
        <v>172637.01759945886</v>
      </c>
      <c r="L785" s="74">
        <f>EFEITO!$N$785*EFEITO!$AA$785</f>
        <v>455333.86644406529</v>
      </c>
      <c r="M785" s="74">
        <f>$J$785-EFEITO!$K$785*EFEITO!$Y$785</f>
        <v>0</v>
      </c>
      <c r="N785" s="74">
        <f ca="1">$K$785-EFEITO!$M$785*EFEITO!$Z$785</f>
        <v>0</v>
      </c>
      <c r="O785" s="74">
        <f>$L$785-EFEITO!$O$785*EFEITO!$AA$785</f>
        <v>0</v>
      </c>
      <c r="P785" s="57"/>
      <c r="Q785" s="57"/>
      <c r="R785" s="57"/>
      <c r="S785" s="57"/>
      <c r="T785" s="57"/>
      <c r="U785" s="57"/>
      <c r="V785" s="57"/>
      <c r="W785" s="57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</row>
    <row r="786" spans="1:36" ht="11.25" customHeight="1" x14ac:dyDescent="0.2">
      <c r="A786" s="53" t="s">
        <v>59</v>
      </c>
      <c r="B786" s="53" t="s">
        <v>33</v>
      </c>
      <c r="C786" s="53" t="s">
        <v>34</v>
      </c>
      <c r="D786" s="53" t="s">
        <v>40</v>
      </c>
      <c r="E786" s="53" t="s">
        <v>25</v>
      </c>
      <c r="F786" s="53" t="s">
        <v>25</v>
      </c>
      <c r="G786" s="53" t="s">
        <v>25</v>
      </c>
      <c r="H786" s="53" t="s">
        <v>36</v>
      </c>
      <c r="I786" s="73">
        <v>44075</v>
      </c>
      <c r="J786" s="74">
        <f>EFEITO!$J$786*EFEITO!$Y$786</f>
        <v>0</v>
      </c>
      <c r="K786" s="74">
        <f ca="1">EFEITO!$L$786*EFEITO!$Z$786</f>
        <v>2671.4410046274343</v>
      </c>
      <c r="L786" s="74">
        <f>EFEITO!$N$786*EFEITO!$AA$786</f>
        <v>7045.9834080106384</v>
      </c>
      <c r="M786" s="74">
        <f>$J$786-EFEITO!$K$786*EFEITO!$Y$786</f>
        <v>0</v>
      </c>
      <c r="N786" s="74">
        <f ca="1">$K$786-EFEITO!$M$786*EFEITO!$Z$786</f>
        <v>0</v>
      </c>
      <c r="O786" s="74">
        <f>$L$786-EFEITO!$O$786*EFEITO!$AA$786</f>
        <v>0</v>
      </c>
      <c r="P786" s="57"/>
      <c r="Q786" s="57"/>
      <c r="R786" s="57"/>
      <c r="S786" s="57"/>
      <c r="T786" s="57"/>
      <c r="U786" s="57"/>
      <c r="V786" s="57"/>
      <c r="W786" s="57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</row>
    <row r="787" spans="1:36" ht="11.25" customHeight="1" x14ac:dyDescent="0.2">
      <c r="A787" s="53" t="s">
        <v>59</v>
      </c>
      <c r="B787" s="53" t="s">
        <v>33</v>
      </c>
      <c r="C787" s="53" t="s">
        <v>34</v>
      </c>
      <c r="D787" s="53" t="s">
        <v>40</v>
      </c>
      <c r="E787" s="53" t="s">
        <v>25</v>
      </c>
      <c r="F787" s="53" t="s">
        <v>25</v>
      </c>
      <c r="G787" s="53" t="s">
        <v>25</v>
      </c>
      <c r="H787" s="53" t="s">
        <v>36</v>
      </c>
      <c r="I787" s="73">
        <v>44075</v>
      </c>
      <c r="J787" s="74">
        <f>EFEITO!$J$787*EFEITO!$Y$787</f>
        <v>0</v>
      </c>
      <c r="K787" s="74">
        <f ca="1">EFEITO!$L$787*EFEITO!$Z$787</f>
        <v>13153.109871034198</v>
      </c>
      <c r="L787" s="74">
        <f>EFEITO!$N$787*EFEITO!$AA$787</f>
        <v>34691.611663710617</v>
      </c>
      <c r="M787" s="74">
        <f>$J$787-EFEITO!$K$787*EFEITO!$Y$787</f>
        <v>0</v>
      </c>
      <c r="N787" s="74">
        <f ca="1">$K$787-EFEITO!$M$787*EFEITO!$Z$787</f>
        <v>0</v>
      </c>
      <c r="O787" s="74">
        <f>$L$787-EFEITO!$O$787*EFEITO!$AA$787</f>
        <v>0</v>
      </c>
      <c r="P787" s="57"/>
      <c r="Q787" s="57"/>
      <c r="R787" s="57"/>
      <c r="S787" s="57"/>
      <c r="T787" s="57"/>
      <c r="U787" s="57"/>
      <c r="V787" s="57"/>
      <c r="W787" s="57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</row>
    <row r="788" spans="1:36" ht="11.25" customHeight="1" x14ac:dyDescent="0.2">
      <c r="A788" s="53" t="s">
        <v>21</v>
      </c>
      <c r="B788" s="53" t="s">
        <v>33</v>
      </c>
      <c r="C788" s="53" t="s">
        <v>34</v>
      </c>
      <c r="D788" s="53" t="s">
        <v>40</v>
      </c>
      <c r="E788" s="53" t="s">
        <v>25</v>
      </c>
      <c r="F788" s="53" t="s">
        <v>25</v>
      </c>
      <c r="G788" s="53" t="s">
        <v>25</v>
      </c>
      <c r="H788" s="53" t="s">
        <v>25</v>
      </c>
      <c r="I788" s="73">
        <v>43739</v>
      </c>
      <c r="J788" s="74">
        <f ca="1">EFEITO!$J$788*EFEITO!$Y$788</f>
        <v>220835.79325597957</v>
      </c>
      <c r="K788" s="74">
        <f>EFEITO!$L$788*EFEITO!$Z$788</f>
        <v>0</v>
      </c>
      <c r="L788" s="74">
        <f>EFEITO!$N$788*EFEITO!$AA$788</f>
        <v>0</v>
      </c>
      <c r="M788" s="74">
        <f ca="1">$J$788-EFEITO!$K$788*EFEITO!$Y$788</f>
        <v>0</v>
      </c>
      <c r="N788" s="74">
        <f>$K$788-EFEITO!$M$788*EFEITO!$Z$788</f>
        <v>0</v>
      </c>
      <c r="O788" s="74">
        <f>$L$788-EFEITO!$O$788*EFEITO!$AA$788</f>
        <v>0</v>
      </c>
      <c r="P788" s="57"/>
      <c r="Q788" s="57"/>
      <c r="R788" s="57"/>
      <c r="S788" s="57"/>
      <c r="T788" s="57"/>
      <c r="U788" s="57"/>
      <c r="V788" s="57"/>
      <c r="W788" s="57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</row>
    <row r="789" spans="1:36" ht="11.25" customHeight="1" x14ac:dyDescent="0.2">
      <c r="A789" s="53" t="s">
        <v>27</v>
      </c>
      <c r="B789" s="53" t="s">
        <v>33</v>
      </c>
      <c r="C789" s="53" t="s">
        <v>34</v>
      </c>
      <c r="D789" s="53" t="s">
        <v>40</v>
      </c>
      <c r="E789" s="53" t="s">
        <v>25</v>
      </c>
      <c r="F789" s="53" t="s">
        <v>25</v>
      </c>
      <c r="G789" s="53" t="s">
        <v>25</v>
      </c>
      <c r="H789" s="53" t="s">
        <v>25</v>
      </c>
      <c r="I789" s="73">
        <v>43739</v>
      </c>
      <c r="J789" s="74">
        <f ca="1">EFEITO!$J$789*EFEITO!$Y$789</f>
        <v>652.78432897323216</v>
      </c>
      <c r="K789" s="74">
        <f>EFEITO!$L$789*EFEITO!$Z$789</f>
        <v>0</v>
      </c>
      <c r="L789" s="74">
        <f>EFEITO!$N$789*EFEITO!$AA$789</f>
        <v>0</v>
      </c>
      <c r="M789" s="74">
        <f ca="1">$J$789-EFEITO!$K$789*EFEITO!$Y$789</f>
        <v>0</v>
      </c>
      <c r="N789" s="74">
        <f>$K$789-EFEITO!$M$789*EFEITO!$Z$789</f>
        <v>0</v>
      </c>
      <c r="O789" s="74">
        <f>$L$789-EFEITO!$O$789*EFEITO!$AA$789</f>
        <v>0</v>
      </c>
      <c r="P789" s="57"/>
      <c r="Q789" s="57"/>
      <c r="R789" s="57"/>
      <c r="S789" s="57"/>
      <c r="T789" s="57"/>
      <c r="U789" s="57"/>
      <c r="V789" s="57"/>
      <c r="W789" s="57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</row>
    <row r="790" spans="1:36" ht="11.25" customHeight="1" x14ac:dyDescent="0.2">
      <c r="A790" s="53" t="s">
        <v>28</v>
      </c>
      <c r="B790" s="53" t="s">
        <v>33</v>
      </c>
      <c r="C790" s="53" t="s">
        <v>34</v>
      </c>
      <c r="D790" s="53" t="s">
        <v>40</v>
      </c>
      <c r="E790" s="53" t="s">
        <v>25</v>
      </c>
      <c r="F790" s="53" t="s">
        <v>25</v>
      </c>
      <c r="G790" s="53" t="s">
        <v>25</v>
      </c>
      <c r="H790" s="53" t="s">
        <v>25</v>
      </c>
      <c r="I790" s="73">
        <v>43739</v>
      </c>
      <c r="J790" s="74">
        <f ca="1">EFEITO!$J$790*EFEITO!$Y$790</f>
        <v>12597.592313518515</v>
      </c>
      <c r="K790" s="74">
        <f>EFEITO!$L$790*EFEITO!$Z$790</f>
        <v>0</v>
      </c>
      <c r="L790" s="74">
        <f>EFEITO!$N$790*EFEITO!$AA$790</f>
        <v>0</v>
      </c>
      <c r="M790" s="74">
        <f ca="1">$J$790-EFEITO!$K$790*EFEITO!$Y$790</f>
        <v>0</v>
      </c>
      <c r="N790" s="74">
        <f>$K$790-EFEITO!$M$790*EFEITO!$Z$790</f>
        <v>0</v>
      </c>
      <c r="O790" s="74">
        <f>$L$790-EFEITO!$O$790*EFEITO!$AA$790</f>
        <v>0</v>
      </c>
      <c r="P790" s="57"/>
      <c r="Q790" s="57"/>
      <c r="R790" s="57"/>
      <c r="S790" s="57"/>
      <c r="T790" s="57"/>
      <c r="U790" s="57"/>
      <c r="V790" s="57"/>
      <c r="W790" s="57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</row>
    <row r="791" spans="1:36" ht="11.25" customHeight="1" x14ac:dyDescent="0.2">
      <c r="A791" s="53" t="s">
        <v>21</v>
      </c>
      <c r="B791" s="53" t="s">
        <v>33</v>
      </c>
      <c r="C791" s="53" t="s">
        <v>34</v>
      </c>
      <c r="D791" s="53" t="s">
        <v>40</v>
      </c>
      <c r="E791" s="53" t="s">
        <v>25</v>
      </c>
      <c r="F791" s="53" t="s">
        <v>25</v>
      </c>
      <c r="G791" s="53" t="s">
        <v>25</v>
      </c>
      <c r="H791" s="53" t="s">
        <v>25</v>
      </c>
      <c r="I791" s="73">
        <v>43770</v>
      </c>
      <c r="J791" s="74">
        <f ca="1">EFEITO!$J$791*EFEITO!$Y$791</f>
        <v>220366.24663338478</v>
      </c>
      <c r="K791" s="74">
        <f>EFEITO!$L$791*EFEITO!$Z$791</f>
        <v>0</v>
      </c>
      <c r="L791" s="74">
        <f>EFEITO!$N$791*EFEITO!$AA$791</f>
        <v>0</v>
      </c>
      <c r="M791" s="74">
        <f ca="1">$J$791-EFEITO!$K$791*EFEITO!$Y$791</f>
        <v>0</v>
      </c>
      <c r="N791" s="74">
        <f>$K$791-EFEITO!$M$791*EFEITO!$Z$791</f>
        <v>0</v>
      </c>
      <c r="O791" s="74">
        <f>$L$791-EFEITO!$O$791*EFEITO!$AA$791</f>
        <v>0</v>
      </c>
      <c r="P791" s="57"/>
      <c r="Q791" s="57"/>
      <c r="R791" s="57"/>
      <c r="S791" s="57"/>
      <c r="T791" s="57"/>
      <c r="U791" s="57"/>
      <c r="V791" s="57"/>
      <c r="W791" s="57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</row>
    <row r="792" spans="1:36" ht="11.25" customHeight="1" x14ac:dyDescent="0.2">
      <c r="A792" s="53" t="s">
        <v>27</v>
      </c>
      <c r="B792" s="53" t="s">
        <v>33</v>
      </c>
      <c r="C792" s="53" t="s">
        <v>34</v>
      </c>
      <c r="D792" s="53" t="s">
        <v>40</v>
      </c>
      <c r="E792" s="53" t="s">
        <v>25</v>
      </c>
      <c r="F792" s="53" t="s">
        <v>25</v>
      </c>
      <c r="G792" s="53" t="s">
        <v>25</v>
      </c>
      <c r="H792" s="53" t="s">
        <v>25</v>
      </c>
      <c r="I792" s="73">
        <v>43770</v>
      </c>
      <c r="J792" s="74">
        <f ca="1">EFEITO!$J$792*EFEITO!$Y$792</f>
        <v>3893.8012605420863</v>
      </c>
      <c r="K792" s="74">
        <f>EFEITO!$L$792*EFEITO!$Z$792</f>
        <v>0</v>
      </c>
      <c r="L792" s="74">
        <f>EFEITO!$N$792*EFEITO!$AA$792</f>
        <v>0</v>
      </c>
      <c r="M792" s="74">
        <f ca="1">$J$792-EFEITO!$K$792*EFEITO!$Y$792</f>
        <v>0</v>
      </c>
      <c r="N792" s="74">
        <f>$K$792-EFEITO!$M$792*EFEITO!$Z$792</f>
        <v>0</v>
      </c>
      <c r="O792" s="74">
        <f>$L$792-EFEITO!$O$792*EFEITO!$AA$792</f>
        <v>0</v>
      </c>
      <c r="P792" s="57"/>
      <c r="Q792" s="57"/>
      <c r="R792" s="57"/>
      <c r="S792" s="57"/>
      <c r="T792" s="57"/>
      <c r="U792" s="57"/>
      <c r="V792" s="57"/>
      <c r="W792" s="57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</row>
    <row r="793" spans="1:36" ht="11.25" customHeight="1" x14ac:dyDescent="0.2">
      <c r="A793" s="53" t="s">
        <v>28</v>
      </c>
      <c r="B793" s="53" t="s">
        <v>33</v>
      </c>
      <c r="C793" s="53" t="s">
        <v>34</v>
      </c>
      <c r="D793" s="53" t="s">
        <v>40</v>
      </c>
      <c r="E793" s="53" t="s">
        <v>25</v>
      </c>
      <c r="F793" s="53" t="s">
        <v>25</v>
      </c>
      <c r="G793" s="53" t="s">
        <v>25</v>
      </c>
      <c r="H793" s="53" t="s">
        <v>25</v>
      </c>
      <c r="I793" s="73">
        <v>43770</v>
      </c>
      <c r="J793" s="74">
        <f ca="1">EFEITO!$J$793*EFEITO!$Y$793</f>
        <v>12597.592313518515</v>
      </c>
      <c r="K793" s="74">
        <f>EFEITO!$L$793*EFEITO!$Z$793</f>
        <v>0</v>
      </c>
      <c r="L793" s="74">
        <f>EFEITO!$N$793*EFEITO!$AA$793</f>
        <v>0</v>
      </c>
      <c r="M793" s="74">
        <f ca="1">$J$793-EFEITO!$K$793*EFEITO!$Y$793</f>
        <v>0</v>
      </c>
      <c r="N793" s="74">
        <f>$K$793-EFEITO!$M$793*EFEITO!$Z$793</f>
        <v>0</v>
      </c>
      <c r="O793" s="74">
        <f>$L$793-EFEITO!$O$793*EFEITO!$AA$793</f>
        <v>0</v>
      </c>
      <c r="P793" s="57"/>
      <c r="Q793" s="57"/>
      <c r="R793" s="57"/>
      <c r="S793" s="57"/>
      <c r="T793" s="57"/>
      <c r="U793" s="57"/>
      <c r="V793" s="57"/>
      <c r="W793" s="57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</row>
    <row r="794" spans="1:36" ht="11.25" customHeight="1" x14ac:dyDescent="0.2">
      <c r="A794" s="53" t="s">
        <v>21</v>
      </c>
      <c r="B794" s="53" t="s">
        <v>33</v>
      </c>
      <c r="C794" s="53" t="s">
        <v>34</v>
      </c>
      <c r="D794" s="53" t="s">
        <v>40</v>
      </c>
      <c r="E794" s="53" t="s">
        <v>25</v>
      </c>
      <c r="F794" s="53" t="s">
        <v>25</v>
      </c>
      <c r="G794" s="53" t="s">
        <v>25</v>
      </c>
      <c r="H794" s="53" t="s">
        <v>25</v>
      </c>
      <c r="I794" s="73">
        <v>43800</v>
      </c>
      <c r="J794" s="74">
        <f ca="1">EFEITO!$J$794*EFEITO!$Y$794</f>
        <v>218602.5837094922</v>
      </c>
      <c r="K794" s="74">
        <f>EFEITO!$L$794*EFEITO!$Z$794</f>
        <v>0</v>
      </c>
      <c r="L794" s="74">
        <f>EFEITO!$N$794*EFEITO!$AA$794</f>
        <v>0</v>
      </c>
      <c r="M794" s="74">
        <f ca="1">$J$794-EFEITO!$K$794*EFEITO!$Y$794</f>
        <v>0</v>
      </c>
      <c r="N794" s="74">
        <f>$K$794-EFEITO!$M$794*EFEITO!$Z$794</f>
        <v>0</v>
      </c>
      <c r="O794" s="74">
        <f>$L$794-EFEITO!$O$794*EFEITO!$AA$794</f>
        <v>0</v>
      </c>
      <c r="P794" s="57"/>
      <c r="Q794" s="57"/>
      <c r="R794" s="57"/>
      <c r="S794" s="57"/>
      <c r="T794" s="57"/>
      <c r="U794" s="57"/>
      <c r="V794" s="57"/>
      <c r="W794" s="57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</row>
    <row r="795" spans="1:36" ht="11.25" customHeight="1" x14ac:dyDescent="0.2">
      <c r="A795" s="53" t="s">
        <v>27</v>
      </c>
      <c r="B795" s="53" t="s">
        <v>33</v>
      </c>
      <c r="C795" s="53" t="s">
        <v>34</v>
      </c>
      <c r="D795" s="53" t="s">
        <v>40</v>
      </c>
      <c r="E795" s="53" t="s">
        <v>25</v>
      </c>
      <c r="F795" s="53" t="s">
        <v>25</v>
      </c>
      <c r="G795" s="53" t="s">
        <v>25</v>
      </c>
      <c r="H795" s="53" t="s">
        <v>25</v>
      </c>
      <c r="I795" s="73">
        <v>43800</v>
      </c>
      <c r="J795" s="74">
        <f ca="1">EFEITO!$J$795*EFEITO!$Y$795</f>
        <v>1019.2597417301344</v>
      </c>
      <c r="K795" s="74">
        <f>EFEITO!$L$795*EFEITO!$Z$795</f>
        <v>0</v>
      </c>
      <c r="L795" s="74">
        <f>EFEITO!$N$795*EFEITO!$AA$795</f>
        <v>0</v>
      </c>
      <c r="M795" s="74">
        <f ca="1">$J$795-EFEITO!$K$795*EFEITO!$Y$795</f>
        <v>0</v>
      </c>
      <c r="N795" s="74">
        <f>$K$795-EFEITO!$M$795*EFEITO!$Z$795</f>
        <v>0</v>
      </c>
      <c r="O795" s="74">
        <f>$L$795-EFEITO!$O$795*EFEITO!$AA$795</f>
        <v>0</v>
      </c>
      <c r="P795" s="57"/>
      <c r="Q795" s="57"/>
      <c r="R795" s="57"/>
      <c r="S795" s="57"/>
      <c r="T795" s="57"/>
      <c r="U795" s="57"/>
      <c r="V795" s="57"/>
      <c r="W795" s="57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</row>
    <row r="796" spans="1:36" ht="11.25" customHeight="1" x14ac:dyDescent="0.2">
      <c r="A796" s="53" t="s">
        <v>28</v>
      </c>
      <c r="B796" s="53" t="s">
        <v>33</v>
      </c>
      <c r="C796" s="53" t="s">
        <v>34</v>
      </c>
      <c r="D796" s="53" t="s">
        <v>40</v>
      </c>
      <c r="E796" s="53" t="s">
        <v>25</v>
      </c>
      <c r="F796" s="53" t="s">
        <v>25</v>
      </c>
      <c r="G796" s="53" t="s">
        <v>25</v>
      </c>
      <c r="H796" s="53" t="s">
        <v>25</v>
      </c>
      <c r="I796" s="73">
        <v>43800</v>
      </c>
      <c r="J796" s="74">
        <f ca="1">EFEITO!$J$796*EFEITO!$Y$796</f>
        <v>8360.2203535168319</v>
      </c>
      <c r="K796" s="74">
        <f>EFEITO!$L$796*EFEITO!$Z$796</f>
        <v>0</v>
      </c>
      <c r="L796" s="74">
        <f>EFEITO!$N$796*EFEITO!$AA$796</f>
        <v>0</v>
      </c>
      <c r="M796" s="74">
        <f ca="1">$J$796-EFEITO!$K$796*EFEITO!$Y$796</f>
        <v>0</v>
      </c>
      <c r="N796" s="74">
        <f>$K$796-EFEITO!$M$796*EFEITO!$Z$796</f>
        <v>0</v>
      </c>
      <c r="O796" s="74">
        <f>$L$796-EFEITO!$O$796*EFEITO!$AA$796</f>
        <v>0</v>
      </c>
      <c r="P796" s="57"/>
      <c r="Q796" s="57"/>
      <c r="R796" s="57"/>
      <c r="S796" s="57"/>
      <c r="T796" s="57"/>
      <c r="U796" s="57"/>
      <c r="V796" s="57"/>
      <c r="W796" s="57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</row>
    <row r="797" spans="1:36" ht="11.25" customHeight="1" x14ac:dyDescent="0.2">
      <c r="A797" s="53" t="s">
        <v>21</v>
      </c>
      <c r="B797" s="53" t="s">
        <v>33</v>
      </c>
      <c r="C797" s="53" t="s">
        <v>34</v>
      </c>
      <c r="D797" s="53" t="s">
        <v>40</v>
      </c>
      <c r="E797" s="53" t="s">
        <v>25</v>
      </c>
      <c r="F797" s="53" t="s">
        <v>25</v>
      </c>
      <c r="G797" s="53" t="s">
        <v>25</v>
      </c>
      <c r="H797" s="53" t="s">
        <v>25</v>
      </c>
      <c r="I797" s="73">
        <v>43831</v>
      </c>
      <c r="J797" s="74">
        <f ca="1">EFEITO!$J$797*EFEITO!$Y$797</f>
        <v>195881.10811856424</v>
      </c>
      <c r="K797" s="74">
        <f>EFEITO!$L$797*EFEITO!$Z$797</f>
        <v>0</v>
      </c>
      <c r="L797" s="74">
        <f>EFEITO!$N$797*EFEITO!$AA$797</f>
        <v>0</v>
      </c>
      <c r="M797" s="74">
        <f ca="1">$J$797-EFEITO!$K$797*EFEITO!$Y$797</f>
        <v>0</v>
      </c>
      <c r="N797" s="74">
        <f>$K$797-EFEITO!$M$797*EFEITO!$Z$797</f>
        <v>0</v>
      </c>
      <c r="O797" s="74">
        <f>$L$797-EFEITO!$O$797*EFEITO!$AA$797</f>
        <v>0</v>
      </c>
      <c r="P797" s="57"/>
      <c r="Q797" s="57"/>
      <c r="R797" s="57"/>
      <c r="S797" s="57"/>
      <c r="T797" s="57"/>
      <c r="U797" s="57"/>
      <c r="V797" s="57"/>
      <c r="W797" s="57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</row>
    <row r="798" spans="1:36" ht="11.25" customHeight="1" x14ac:dyDescent="0.2">
      <c r="A798" s="53" t="s">
        <v>27</v>
      </c>
      <c r="B798" s="53" t="s">
        <v>33</v>
      </c>
      <c r="C798" s="53" t="s">
        <v>34</v>
      </c>
      <c r="D798" s="53" t="s">
        <v>40</v>
      </c>
      <c r="E798" s="53" t="s">
        <v>25</v>
      </c>
      <c r="F798" s="53" t="s">
        <v>25</v>
      </c>
      <c r="G798" s="53" t="s">
        <v>25</v>
      </c>
      <c r="H798" s="53" t="s">
        <v>25</v>
      </c>
      <c r="I798" s="73">
        <v>43831</v>
      </c>
      <c r="J798" s="74">
        <f ca="1">EFEITO!$J$798*EFEITO!$Y$798</f>
        <v>8864.1240460575737</v>
      </c>
      <c r="K798" s="74">
        <f>EFEITO!$L$798*EFEITO!$Z$798</f>
        <v>0</v>
      </c>
      <c r="L798" s="74">
        <f>EFEITO!$N$798*EFEITO!$AA$798</f>
        <v>0</v>
      </c>
      <c r="M798" s="74">
        <f ca="1">$J$798-EFEITO!$K$798*EFEITO!$Y$798</f>
        <v>0</v>
      </c>
      <c r="N798" s="74">
        <f>$K$798-EFEITO!$M$798*EFEITO!$Z$798</f>
        <v>0</v>
      </c>
      <c r="O798" s="74">
        <f>$L$798-EFEITO!$O$798*EFEITO!$AA$798</f>
        <v>0</v>
      </c>
      <c r="P798" s="57"/>
      <c r="Q798" s="57"/>
      <c r="R798" s="57"/>
      <c r="S798" s="57"/>
      <c r="T798" s="57"/>
      <c r="U798" s="57"/>
      <c r="V798" s="57"/>
      <c r="W798" s="57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</row>
    <row r="799" spans="1:36" ht="11.25" customHeight="1" x14ac:dyDescent="0.2">
      <c r="A799" s="53" t="s">
        <v>28</v>
      </c>
      <c r="B799" s="53" t="s">
        <v>33</v>
      </c>
      <c r="C799" s="53" t="s">
        <v>34</v>
      </c>
      <c r="D799" s="53" t="s">
        <v>40</v>
      </c>
      <c r="E799" s="53" t="s">
        <v>25</v>
      </c>
      <c r="F799" s="53" t="s">
        <v>25</v>
      </c>
      <c r="G799" s="53" t="s">
        <v>25</v>
      </c>
      <c r="H799" s="53" t="s">
        <v>25</v>
      </c>
      <c r="I799" s="73">
        <v>43831</v>
      </c>
      <c r="J799" s="74">
        <f ca="1">EFEITO!$J$799*EFEITO!$Y$799</f>
        <v>8360.2203535168319</v>
      </c>
      <c r="K799" s="74">
        <f>EFEITO!$L$799*EFEITO!$Z$799</f>
        <v>0</v>
      </c>
      <c r="L799" s="74">
        <f>EFEITO!$N$799*EFEITO!$AA$799</f>
        <v>0</v>
      </c>
      <c r="M799" s="74">
        <f ca="1">$J$799-EFEITO!$K$799*EFEITO!$Y$799</f>
        <v>0</v>
      </c>
      <c r="N799" s="74">
        <f>$K$799-EFEITO!$M$799*EFEITO!$Z$799</f>
        <v>0</v>
      </c>
      <c r="O799" s="74">
        <f>$L$799-EFEITO!$O$799*EFEITO!$AA$799</f>
        <v>0</v>
      </c>
      <c r="P799" s="57"/>
      <c r="Q799" s="57"/>
      <c r="R799" s="57"/>
      <c r="S799" s="57"/>
      <c r="T799" s="57"/>
      <c r="U799" s="57"/>
      <c r="V799" s="57"/>
      <c r="W799" s="57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</row>
    <row r="800" spans="1:36" ht="11.25" customHeight="1" x14ac:dyDescent="0.2">
      <c r="A800" s="53" t="s">
        <v>21</v>
      </c>
      <c r="B800" s="53" t="s">
        <v>33</v>
      </c>
      <c r="C800" s="53" t="s">
        <v>34</v>
      </c>
      <c r="D800" s="53" t="s">
        <v>40</v>
      </c>
      <c r="E800" s="53" t="s">
        <v>25</v>
      </c>
      <c r="F800" s="53" t="s">
        <v>25</v>
      </c>
      <c r="G800" s="53" t="s">
        <v>25</v>
      </c>
      <c r="H800" s="53" t="s">
        <v>25</v>
      </c>
      <c r="I800" s="73">
        <v>43862</v>
      </c>
      <c r="J800" s="74">
        <f ca="1">EFEITO!$J$800*EFEITO!$Y$800</f>
        <v>200439.14606472821</v>
      </c>
      <c r="K800" s="74">
        <f>EFEITO!$L$800*EFEITO!$Z$800</f>
        <v>0</v>
      </c>
      <c r="L800" s="74">
        <f>EFEITO!$N$800*EFEITO!$AA$800</f>
        <v>0</v>
      </c>
      <c r="M800" s="74">
        <f ca="1">$J$800-EFEITO!$K$800*EFEITO!$Y$800</f>
        <v>0</v>
      </c>
      <c r="N800" s="74">
        <f>$K$800-EFEITO!$M$800*EFEITO!$Z$800</f>
        <v>0</v>
      </c>
      <c r="O800" s="74">
        <f>$L$800-EFEITO!$O$800*EFEITO!$AA$800</f>
        <v>0</v>
      </c>
      <c r="P800" s="57"/>
      <c r="Q800" s="57"/>
      <c r="R800" s="57"/>
      <c r="S800" s="57"/>
      <c r="T800" s="57"/>
      <c r="U800" s="57"/>
      <c r="V800" s="57"/>
      <c r="W800" s="57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</row>
    <row r="801" spans="1:36" ht="11.25" customHeight="1" x14ac:dyDescent="0.2">
      <c r="A801" s="53" t="s">
        <v>27</v>
      </c>
      <c r="B801" s="53" t="s">
        <v>33</v>
      </c>
      <c r="C801" s="53" t="s">
        <v>34</v>
      </c>
      <c r="D801" s="53" t="s">
        <v>40</v>
      </c>
      <c r="E801" s="53" t="s">
        <v>25</v>
      </c>
      <c r="F801" s="53" t="s">
        <v>25</v>
      </c>
      <c r="G801" s="53" t="s">
        <v>25</v>
      </c>
      <c r="H801" s="53" t="s">
        <v>25</v>
      </c>
      <c r="I801" s="73">
        <v>43862</v>
      </c>
      <c r="J801" s="74">
        <f ca="1">EFEITO!$J$801*EFEITO!$Y$801</f>
        <v>572.61783243265972</v>
      </c>
      <c r="K801" s="74">
        <f>EFEITO!$L$801*EFEITO!$Z$801</f>
        <v>0</v>
      </c>
      <c r="L801" s="74">
        <f>EFEITO!$N$801*EFEITO!$AA$801</f>
        <v>0</v>
      </c>
      <c r="M801" s="74">
        <f ca="1">$J$801-EFEITO!$K$801*EFEITO!$Y$801</f>
        <v>0</v>
      </c>
      <c r="N801" s="74">
        <f>$K$801-EFEITO!$M$801*EFEITO!$Z$801</f>
        <v>0</v>
      </c>
      <c r="O801" s="74">
        <f>$L$801-EFEITO!$O$801*EFEITO!$AA$801</f>
        <v>0</v>
      </c>
      <c r="P801" s="57"/>
      <c r="Q801" s="57"/>
      <c r="R801" s="57"/>
      <c r="S801" s="57"/>
      <c r="T801" s="57"/>
      <c r="U801" s="57"/>
      <c r="V801" s="57"/>
      <c r="W801" s="57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</row>
    <row r="802" spans="1:36" ht="11.25" customHeight="1" x14ac:dyDescent="0.2">
      <c r="A802" s="53" t="s">
        <v>28</v>
      </c>
      <c r="B802" s="53" t="s">
        <v>33</v>
      </c>
      <c r="C802" s="53" t="s">
        <v>34</v>
      </c>
      <c r="D802" s="53" t="s">
        <v>40</v>
      </c>
      <c r="E802" s="53" t="s">
        <v>25</v>
      </c>
      <c r="F802" s="53" t="s">
        <v>25</v>
      </c>
      <c r="G802" s="53" t="s">
        <v>25</v>
      </c>
      <c r="H802" s="53" t="s">
        <v>25</v>
      </c>
      <c r="I802" s="73">
        <v>43862</v>
      </c>
      <c r="J802" s="74">
        <f ca="1">EFEITO!$J$802*EFEITO!$Y$802</f>
        <v>8360.2203535168319</v>
      </c>
      <c r="K802" s="74">
        <f>EFEITO!$L$802*EFEITO!$Z$802</f>
        <v>0</v>
      </c>
      <c r="L802" s="74">
        <f>EFEITO!$N$802*EFEITO!$AA$802</f>
        <v>0</v>
      </c>
      <c r="M802" s="74">
        <f ca="1">$J$802-EFEITO!$K$802*EFEITO!$Y$802</f>
        <v>0</v>
      </c>
      <c r="N802" s="74">
        <f>$K$802-EFEITO!$M$802*EFEITO!$Z$802</f>
        <v>0</v>
      </c>
      <c r="O802" s="74">
        <f>$L$802-EFEITO!$O$802*EFEITO!$AA$802</f>
        <v>0</v>
      </c>
      <c r="P802" s="57"/>
      <c r="Q802" s="57"/>
      <c r="R802" s="57"/>
      <c r="S802" s="57"/>
      <c r="T802" s="57"/>
      <c r="U802" s="57"/>
      <c r="V802" s="57"/>
      <c r="W802" s="57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</row>
    <row r="803" spans="1:36" ht="11.25" customHeight="1" x14ac:dyDescent="0.2">
      <c r="A803" s="53" t="s">
        <v>21</v>
      </c>
      <c r="B803" s="53" t="s">
        <v>33</v>
      </c>
      <c r="C803" s="53" t="s">
        <v>34</v>
      </c>
      <c r="D803" s="53" t="s">
        <v>40</v>
      </c>
      <c r="E803" s="53" t="s">
        <v>25</v>
      </c>
      <c r="F803" s="53" t="s">
        <v>25</v>
      </c>
      <c r="G803" s="53" t="s">
        <v>25</v>
      </c>
      <c r="H803" s="53" t="s">
        <v>25</v>
      </c>
      <c r="I803" s="73">
        <v>43891</v>
      </c>
      <c r="J803" s="74">
        <f ca="1">EFEITO!$J$803*EFEITO!$Y$803</f>
        <v>207860.2731730555</v>
      </c>
      <c r="K803" s="74">
        <f>EFEITO!$L$803*EFEITO!$Z$803</f>
        <v>0</v>
      </c>
      <c r="L803" s="74">
        <f>EFEITO!$N$803*EFEITO!$AA$803</f>
        <v>0</v>
      </c>
      <c r="M803" s="74">
        <f ca="1">$J$803-EFEITO!$K$803*EFEITO!$Y$803</f>
        <v>0</v>
      </c>
      <c r="N803" s="74">
        <f>$K$803-EFEITO!$M$803*EFEITO!$Z$803</f>
        <v>0</v>
      </c>
      <c r="O803" s="74">
        <f>$L$803-EFEITO!$O$803*EFEITO!$AA$803</f>
        <v>0</v>
      </c>
      <c r="P803" s="57"/>
      <c r="Q803" s="57"/>
      <c r="R803" s="57"/>
      <c r="S803" s="57"/>
      <c r="T803" s="57"/>
      <c r="U803" s="57"/>
      <c r="V803" s="57"/>
      <c r="W803" s="57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</row>
    <row r="804" spans="1:36" ht="11.25" customHeight="1" x14ac:dyDescent="0.2">
      <c r="A804" s="53" t="s">
        <v>27</v>
      </c>
      <c r="B804" s="53" t="s">
        <v>33</v>
      </c>
      <c r="C804" s="53" t="s">
        <v>34</v>
      </c>
      <c r="D804" s="53" t="s">
        <v>40</v>
      </c>
      <c r="E804" s="53" t="s">
        <v>25</v>
      </c>
      <c r="F804" s="53" t="s">
        <v>25</v>
      </c>
      <c r="G804" s="53" t="s">
        <v>25</v>
      </c>
      <c r="H804" s="53" t="s">
        <v>25</v>
      </c>
      <c r="I804" s="73">
        <v>43891</v>
      </c>
      <c r="J804" s="74">
        <f ca="1">EFEITO!$J$804*EFEITO!$Y$804</f>
        <v>1145.2356648653194</v>
      </c>
      <c r="K804" s="74">
        <f>EFEITO!$L$804*EFEITO!$Z$804</f>
        <v>0</v>
      </c>
      <c r="L804" s="74">
        <f>EFEITO!$N$804*EFEITO!$AA$804</f>
        <v>0</v>
      </c>
      <c r="M804" s="74">
        <f ca="1">$J$804-EFEITO!$K$804*EFEITO!$Y$804</f>
        <v>0</v>
      </c>
      <c r="N804" s="74">
        <f>$K$804-EFEITO!$M$804*EFEITO!$Z$804</f>
        <v>0</v>
      </c>
      <c r="O804" s="74">
        <f>$L$804-EFEITO!$O$804*EFEITO!$AA$804</f>
        <v>0</v>
      </c>
      <c r="P804" s="57"/>
      <c r="Q804" s="57"/>
      <c r="R804" s="57"/>
      <c r="S804" s="57"/>
      <c r="T804" s="57"/>
      <c r="U804" s="57"/>
      <c r="V804" s="57"/>
      <c r="W804" s="57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</row>
    <row r="805" spans="1:36" ht="11.25" customHeight="1" x14ac:dyDescent="0.2">
      <c r="A805" s="53" t="s">
        <v>28</v>
      </c>
      <c r="B805" s="53" t="s">
        <v>33</v>
      </c>
      <c r="C805" s="53" t="s">
        <v>34</v>
      </c>
      <c r="D805" s="53" t="s">
        <v>40</v>
      </c>
      <c r="E805" s="53" t="s">
        <v>25</v>
      </c>
      <c r="F805" s="53" t="s">
        <v>25</v>
      </c>
      <c r="G805" s="53" t="s">
        <v>25</v>
      </c>
      <c r="H805" s="53" t="s">
        <v>25</v>
      </c>
      <c r="I805" s="73">
        <v>43891</v>
      </c>
      <c r="J805" s="74">
        <f ca="1">EFEITO!$J$805*EFEITO!$Y$805</f>
        <v>12517.425816977942</v>
      </c>
      <c r="K805" s="74">
        <f>EFEITO!$L$805*EFEITO!$Z$805</f>
        <v>0</v>
      </c>
      <c r="L805" s="74">
        <f>EFEITO!$N$805*EFEITO!$AA$805</f>
        <v>0</v>
      </c>
      <c r="M805" s="74">
        <f ca="1">$J$805-EFEITO!$K$805*EFEITO!$Y$805</f>
        <v>0</v>
      </c>
      <c r="N805" s="74">
        <f>$K$805-EFEITO!$M$805*EFEITO!$Z$805</f>
        <v>0</v>
      </c>
      <c r="O805" s="74">
        <f>$L$805-EFEITO!$O$805*EFEITO!$AA$805</f>
        <v>0</v>
      </c>
      <c r="P805" s="57"/>
      <c r="Q805" s="57"/>
      <c r="R805" s="57"/>
      <c r="S805" s="57"/>
      <c r="T805" s="57"/>
      <c r="U805" s="57"/>
      <c r="V805" s="57"/>
      <c r="W805" s="57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</row>
    <row r="806" spans="1:36" ht="11.25" customHeight="1" x14ac:dyDescent="0.2">
      <c r="A806" s="53" t="s">
        <v>21</v>
      </c>
      <c r="B806" s="53" t="s">
        <v>33</v>
      </c>
      <c r="C806" s="53" t="s">
        <v>34</v>
      </c>
      <c r="D806" s="53" t="s">
        <v>40</v>
      </c>
      <c r="E806" s="53" t="s">
        <v>25</v>
      </c>
      <c r="F806" s="53" t="s">
        <v>25</v>
      </c>
      <c r="G806" s="53" t="s">
        <v>25</v>
      </c>
      <c r="H806" s="53" t="s">
        <v>25</v>
      </c>
      <c r="I806" s="73">
        <v>43922</v>
      </c>
      <c r="J806" s="74">
        <f ca="1">EFEITO!$J$806*EFEITO!$Y$806</f>
        <v>204000.82898245935</v>
      </c>
      <c r="K806" s="74">
        <f>EFEITO!$L$806*EFEITO!$Z$806</f>
        <v>0</v>
      </c>
      <c r="L806" s="74">
        <f>EFEITO!$N$806*EFEITO!$AA$806</f>
        <v>0</v>
      </c>
      <c r="M806" s="74">
        <f ca="1">$J$806-EFEITO!$K$806*EFEITO!$Y$806</f>
        <v>0</v>
      </c>
      <c r="N806" s="74">
        <f>$K$806-EFEITO!$M$806*EFEITO!$Z$806</f>
        <v>0</v>
      </c>
      <c r="O806" s="74">
        <f>$L$806-EFEITO!$O$806*EFEITO!$AA$806</f>
        <v>0</v>
      </c>
      <c r="P806" s="57"/>
      <c r="Q806" s="57"/>
      <c r="R806" s="57"/>
      <c r="S806" s="57"/>
      <c r="T806" s="57"/>
      <c r="U806" s="57"/>
      <c r="V806" s="57"/>
      <c r="W806" s="57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</row>
    <row r="807" spans="1:36" ht="11.25" customHeight="1" x14ac:dyDescent="0.2">
      <c r="A807" s="53" t="s">
        <v>27</v>
      </c>
      <c r="B807" s="53" t="s">
        <v>33</v>
      </c>
      <c r="C807" s="53" t="s">
        <v>34</v>
      </c>
      <c r="D807" s="53" t="s">
        <v>40</v>
      </c>
      <c r="E807" s="53" t="s">
        <v>25</v>
      </c>
      <c r="F807" s="53" t="s">
        <v>25</v>
      </c>
      <c r="G807" s="53" t="s">
        <v>25</v>
      </c>
      <c r="H807" s="53" t="s">
        <v>25</v>
      </c>
      <c r="I807" s="73">
        <v>43922</v>
      </c>
      <c r="J807" s="74">
        <f ca="1">EFEITO!$J$807*EFEITO!$Y$807</f>
        <v>1397.1875111356899</v>
      </c>
      <c r="K807" s="74">
        <f>EFEITO!$L$807*EFEITO!$Z$807</f>
        <v>0</v>
      </c>
      <c r="L807" s="74">
        <f>EFEITO!$N$807*EFEITO!$AA$807</f>
        <v>0</v>
      </c>
      <c r="M807" s="74">
        <f ca="1">$J$807-EFEITO!$K$807*EFEITO!$Y$807</f>
        <v>0</v>
      </c>
      <c r="N807" s="74">
        <f>$K$807-EFEITO!$M$807*EFEITO!$Z$807</f>
        <v>0</v>
      </c>
      <c r="O807" s="74">
        <f>$L$807-EFEITO!$O$807*EFEITO!$AA$807</f>
        <v>0</v>
      </c>
      <c r="P807" s="57"/>
      <c r="Q807" s="57"/>
      <c r="R807" s="57"/>
      <c r="S807" s="57"/>
      <c r="T807" s="57"/>
      <c r="U807" s="57"/>
      <c r="V807" s="57"/>
      <c r="W807" s="57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</row>
    <row r="808" spans="1:36" ht="11.25" customHeight="1" x14ac:dyDescent="0.2">
      <c r="A808" s="53" t="s">
        <v>28</v>
      </c>
      <c r="B808" s="53" t="s">
        <v>33</v>
      </c>
      <c r="C808" s="53" t="s">
        <v>34</v>
      </c>
      <c r="D808" s="53" t="s">
        <v>40</v>
      </c>
      <c r="E808" s="53" t="s">
        <v>25</v>
      </c>
      <c r="F808" s="53" t="s">
        <v>25</v>
      </c>
      <c r="G808" s="53" t="s">
        <v>25</v>
      </c>
      <c r="H808" s="53" t="s">
        <v>25</v>
      </c>
      <c r="I808" s="73">
        <v>43922</v>
      </c>
      <c r="J808" s="74">
        <f ca="1">EFEITO!$J$808*EFEITO!$Y$808</f>
        <v>12517.425816977942</v>
      </c>
      <c r="K808" s="74">
        <f>EFEITO!$L$808*EFEITO!$Z$808</f>
        <v>0</v>
      </c>
      <c r="L808" s="74">
        <f>EFEITO!$N$808*EFEITO!$AA$808</f>
        <v>0</v>
      </c>
      <c r="M808" s="74">
        <f ca="1">$J$808-EFEITO!$K$808*EFEITO!$Y$808</f>
        <v>0</v>
      </c>
      <c r="N808" s="74">
        <f>$K$808-EFEITO!$M$808*EFEITO!$Z$808</f>
        <v>0</v>
      </c>
      <c r="O808" s="74">
        <f>$L$808-EFEITO!$O$808*EFEITO!$AA$808</f>
        <v>0</v>
      </c>
      <c r="P808" s="57"/>
      <c r="Q808" s="57"/>
      <c r="R808" s="57"/>
      <c r="S808" s="57"/>
      <c r="T808" s="57"/>
      <c r="U808" s="57"/>
      <c r="V808" s="57"/>
      <c r="W808" s="57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</row>
    <row r="809" spans="1:36" ht="11.25" customHeight="1" x14ac:dyDescent="0.2">
      <c r="A809" s="53" t="s">
        <v>21</v>
      </c>
      <c r="B809" s="53" t="s">
        <v>33</v>
      </c>
      <c r="C809" s="53" t="s">
        <v>34</v>
      </c>
      <c r="D809" s="53" t="s">
        <v>40</v>
      </c>
      <c r="E809" s="53" t="s">
        <v>25</v>
      </c>
      <c r="F809" s="53" t="s">
        <v>25</v>
      </c>
      <c r="G809" s="53" t="s">
        <v>25</v>
      </c>
      <c r="H809" s="53" t="s">
        <v>25</v>
      </c>
      <c r="I809" s="73">
        <v>43952</v>
      </c>
      <c r="J809" s="74">
        <f ca="1">EFEITO!$J$809*EFEITO!$Y$809</f>
        <v>191013.85654288664</v>
      </c>
      <c r="K809" s="74">
        <f>EFEITO!$L$809*EFEITO!$Z$809</f>
        <v>0</v>
      </c>
      <c r="L809" s="74">
        <f>EFEITO!$N$809*EFEITO!$AA$809</f>
        <v>0</v>
      </c>
      <c r="M809" s="74">
        <f ca="1">$J$809-EFEITO!$K$809*EFEITO!$Y$809</f>
        <v>0</v>
      </c>
      <c r="N809" s="74">
        <f>$K$809-EFEITO!$M$809*EFEITO!$Z$809</f>
        <v>0</v>
      </c>
      <c r="O809" s="74">
        <f>$L$809-EFEITO!$O$809*EFEITO!$AA$809</f>
        <v>0</v>
      </c>
      <c r="P809" s="57"/>
      <c r="Q809" s="57"/>
      <c r="R809" s="57"/>
      <c r="S809" s="57"/>
      <c r="T809" s="57"/>
      <c r="U809" s="57"/>
      <c r="V809" s="57"/>
      <c r="W809" s="57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</row>
    <row r="810" spans="1:36" ht="11.25" customHeight="1" x14ac:dyDescent="0.2">
      <c r="A810" s="53" t="s">
        <v>27</v>
      </c>
      <c r="B810" s="53" t="s">
        <v>33</v>
      </c>
      <c r="C810" s="53" t="s">
        <v>34</v>
      </c>
      <c r="D810" s="53" t="s">
        <v>40</v>
      </c>
      <c r="E810" s="53" t="s">
        <v>25</v>
      </c>
      <c r="F810" s="53" t="s">
        <v>25</v>
      </c>
      <c r="G810" s="53" t="s">
        <v>25</v>
      </c>
      <c r="H810" s="53" t="s">
        <v>25</v>
      </c>
      <c r="I810" s="73">
        <v>43952</v>
      </c>
      <c r="J810" s="74">
        <f ca="1">EFEITO!$J$810*EFEITO!$Y$810</f>
        <v>687.14139891919172</v>
      </c>
      <c r="K810" s="74">
        <f>EFEITO!$L$810*EFEITO!$Z$810</f>
        <v>0</v>
      </c>
      <c r="L810" s="74">
        <f>EFEITO!$N$810*EFEITO!$AA$810</f>
        <v>0</v>
      </c>
      <c r="M810" s="74">
        <f ca="1">$J$810-EFEITO!$K$810*EFEITO!$Y$810</f>
        <v>0</v>
      </c>
      <c r="N810" s="74">
        <f>$K$810-EFEITO!$M$810*EFEITO!$Z$810</f>
        <v>0</v>
      </c>
      <c r="O810" s="74">
        <f>$L$810-EFEITO!$O$810*EFEITO!$AA$810</f>
        <v>0</v>
      </c>
      <c r="P810" s="57"/>
      <c r="Q810" s="57"/>
      <c r="R810" s="57"/>
      <c r="S810" s="57"/>
      <c r="T810" s="57"/>
      <c r="U810" s="57"/>
      <c r="V810" s="57"/>
      <c r="W810" s="57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</row>
    <row r="811" spans="1:36" ht="11.25" customHeight="1" x14ac:dyDescent="0.2">
      <c r="A811" s="53" t="s">
        <v>28</v>
      </c>
      <c r="B811" s="53" t="s">
        <v>33</v>
      </c>
      <c r="C811" s="53" t="s">
        <v>34</v>
      </c>
      <c r="D811" s="53" t="s">
        <v>40</v>
      </c>
      <c r="E811" s="53" t="s">
        <v>25</v>
      </c>
      <c r="F811" s="53" t="s">
        <v>25</v>
      </c>
      <c r="G811" s="53" t="s">
        <v>25</v>
      </c>
      <c r="H811" s="53" t="s">
        <v>25</v>
      </c>
      <c r="I811" s="73">
        <v>43952</v>
      </c>
      <c r="J811" s="74">
        <f ca="1">EFEITO!$J$811*EFEITO!$Y$811</f>
        <v>12517.425816977942</v>
      </c>
      <c r="K811" s="74">
        <f>EFEITO!$L$811*EFEITO!$Z$811</f>
        <v>0</v>
      </c>
      <c r="L811" s="74">
        <f>EFEITO!$N$811*EFEITO!$AA$811</f>
        <v>0</v>
      </c>
      <c r="M811" s="74">
        <f ca="1">$J$811-EFEITO!$K$811*EFEITO!$Y$811</f>
        <v>0</v>
      </c>
      <c r="N811" s="74">
        <f>$K$811-EFEITO!$M$811*EFEITO!$Z$811</f>
        <v>0</v>
      </c>
      <c r="O811" s="74">
        <f>$L$811-EFEITO!$O$811*EFEITO!$AA$811</f>
        <v>0</v>
      </c>
      <c r="P811" s="57"/>
      <c r="Q811" s="57"/>
      <c r="R811" s="57"/>
      <c r="S811" s="57"/>
      <c r="T811" s="57"/>
      <c r="U811" s="57"/>
      <c r="V811" s="57"/>
      <c r="W811" s="57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</row>
    <row r="812" spans="1:36" ht="11.25" customHeight="1" x14ac:dyDescent="0.2">
      <c r="A812" s="53" t="s">
        <v>21</v>
      </c>
      <c r="B812" s="53" t="s">
        <v>33</v>
      </c>
      <c r="C812" s="53" t="s">
        <v>34</v>
      </c>
      <c r="D812" s="53" t="s">
        <v>40</v>
      </c>
      <c r="E812" s="53" t="s">
        <v>25</v>
      </c>
      <c r="F812" s="53" t="s">
        <v>25</v>
      </c>
      <c r="G812" s="53" t="s">
        <v>25</v>
      </c>
      <c r="H812" s="53" t="s">
        <v>25</v>
      </c>
      <c r="I812" s="73">
        <v>43983</v>
      </c>
      <c r="J812" s="74">
        <f ca="1">EFEITO!$J$812*EFEITO!$Y$812</f>
        <v>185757.22484115482</v>
      </c>
      <c r="K812" s="74">
        <f>EFEITO!$L$812*EFEITO!$Z$812</f>
        <v>0</v>
      </c>
      <c r="L812" s="74">
        <f>EFEITO!$N$812*EFEITO!$AA$812</f>
        <v>0</v>
      </c>
      <c r="M812" s="74">
        <f ca="1">$J$812-EFEITO!$K$812*EFEITO!$Y$812</f>
        <v>0</v>
      </c>
      <c r="N812" s="74">
        <f>$K$812-EFEITO!$M$812*EFEITO!$Z$812</f>
        <v>0</v>
      </c>
      <c r="O812" s="74">
        <f>$L$812-EFEITO!$O$812*EFEITO!$AA$812</f>
        <v>0</v>
      </c>
      <c r="P812" s="57"/>
      <c r="Q812" s="57"/>
      <c r="R812" s="57"/>
      <c r="S812" s="57"/>
      <c r="T812" s="57"/>
      <c r="U812" s="57"/>
      <c r="V812" s="57"/>
      <c r="W812" s="57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</row>
    <row r="813" spans="1:36" ht="11.25" customHeight="1" x14ac:dyDescent="0.2">
      <c r="A813" s="53" t="s">
        <v>27</v>
      </c>
      <c r="B813" s="53" t="s">
        <v>33</v>
      </c>
      <c r="C813" s="53" t="s">
        <v>34</v>
      </c>
      <c r="D813" s="53" t="s">
        <v>40</v>
      </c>
      <c r="E813" s="53" t="s">
        <v>25</v>
      </c>
      <c r="F813" s="53" t="s">
        <v>25</v>
      </c>
      <c r="G813" s="53" t="s">
        <v>25</v>
      </c>
      <c r="H813" s="53" t="s">
        <v>25</v>
      </c>
      <c r="I813" s="73">
        <v>43983</v>
      </c>
      <c r="J813" s="74">
        <f ca="1">EFEITO!$J$813*EFEITO!$Y$813</f>
        <v>3298.2787148121201</v>
      </c>
      <c r="K813" s="74">
        <f>EFEITO!$L$813*EFEITO!$Z$813</f>
        <v>0</v>
      </c>
      <c r="L813" s="74">
        <f>EFEITO!$N$813*EFEITO!$AA$813</f>
        <v>0</v>
      </c>
      <c r="M813" s="74">
        <f ca="1">$J$813-EFEITO!$K$813*EFEITO!$Y$813</f>
        <v>0</v>
      </c>
      <c r="N813" s="74">
        <f>$K$813-EFEITO!$M$813*EFEITO!$Z$813</f>
        <v>0</v>
      </c>
      <c r="O813" s="74">
        <f>$L$813-EFEITO!$O$813*EFEITO!$AA$813</f>
        <v>0</v>
      </c>
      <c r="P813" s="57"/>
      <c r="Q813" s="57"/>
      <c r="R813" s="57"/>
      <c r="S813" s="57"/>
      <c r="T813" s="57"/>
      <c r="U813" s="57"/>
      <c r="V813" s="57"/>
      <c r="W813" s="57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</row>
    <row r="814" spans="1:36" ht="11.25" customHeight="1" x14ac:dyDescent="0.2">
      <c r="A814" s="53" t="s">
        <v>28</v>
      </c>
      <c r="B814" s="53" t="s">
        <v>33</v>
      </c>
      <c r="C814" s="53" t="s">
        <v>34</v>
      </c>
      <c r="D814" s="53" t="s">
        <v>40</v>
      </c>
      <c r="E814" s="53" t="s">
        <v>25</v>
      </c>
      <c r="F814" s="53" t="s">
        <v>25</v>
      </c>
      <c r="G814" s="53" t="s">
        <v>25</v>
      </c>
      <c r="H814" s="53" t="s">
        <v>25</v>
      </c>
      <c r="I814" s="73">
        <v>43983</v>
      </c>
      <c r="J814" s="74">
        <f ca="1">EFEITO!$J$814*EFEITO!$Y$814</f>
        <v>18587.174840764135</v>
      </c>
      <c r="K814" s="74">
        <f>EFEITO!$L$814*EFEITO!$Z$814</f>
        <v>0</v>
      </c>
      <c r="L814" s="74">
        <f>EFEITO!$N$814*EFEITO!$AA$814</f>
        <v>0</v>
      </c>
      <c r="M814" s="74">
        <f ca="1">$J$814-EFEITO!$K$814*EFEITO!$Y$814</f>
        <v>0</v>
      </c>
      <c r="N814" s="74">
        <f>$K$814-EFEITO!$M$814*EFEITO!$Z$814</f>
        <v>0</v>
      </c>
      <c r="O814" s="74">
        <f>$L$814-EFEITO!$O$814*EFEITO!$AA$814</f>
        <v>0</v>
      </c>
      <c r="P814" s="57"/>
      <c r="Q814" s="57"/>
      <c r="R814" s="57"/>
      <c r="S814" s="57"/>
      <c r="T814" s="57"/>
      <c r="U814" s="57"/>
      <c r="V814" s="57"/>
      <c r="W814" s="57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</row>
    <row r="815" spans="1:36" ht="11.25" customHeight="1" x14ac:dyDescent="0.2">
      <c r="A815" s="53" t="s">
        <v>21</v>
      </c>
      <c r="B815" s="53" t="s">
        <v>33</v>
      </c>
      <c r="C815" s="53" t="s">
        <v>34</v>
      </c>
      <c r="D815" s="53" t="s">
        <v>40</v>
      </c>
      <c r="E815" s="53" t="s">
        <v>25</v>
      </c>
      <c r="F815" s="53" t="s">
        <v>25</v>
      </c>
      <c r="G815" s="53" t="s">
        <v>25</v>
      </c>
      <c r="H815" s="53" t="s">
        <v>25</v>
      </c>
      <c r="I815" s="73">
        <v>44013</v>
      </c>
      <c r="J815" s="74">
        <f ca="1">EFEITO!$J$815*EFEITO!$Y$815</f>
        <v>177763.47990039489</v>
      </c>
      <c r="K815" s="74">
        <f>EFEITO!$L$815*EFEITO!$Z$815</f>
        <v>0</v>
      </c>
      <c r="L815" s="74">
        <f>EFEITO!$N$815*EFEITO!$AA$815</f>
        <v>0</v>
      </c>
      <c r="M815" s="74">
        <f ca="1">$J$815-EFEITO!$K$815*EFEITO!$Y$815</f>
        <v>0</v>
      </c>
      <c r="N815" s="74">
        <f>$K$815-EFEITO!$M$815*EFEITO!$Z$815</f>
        <v>0</v>
      </c>
      <c r="O815" s="74">
        <f>$L$815-EFEITO!$O$815*EFEITO!$AA$815</f>
        <v>0</v>
      </c>
      <c r="P815" s="57"/>
      <c r="Q815" s="57"/>
      <c r="R815" s="57"/>
      <c r="S815" s="57"/>
      <c r="T815" s="57"/>
      <c r="U815" s="57"/>
      <c r="V815" s="57"/>
      <c r="W815" s="57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</row>
    <row r="816" spans="1:36" ht="11.25" customHeight="1" x14ac:dyDescent="0.2">
      <c r="A816" s="53" t="s">
        <v>27</v>
      </c>
      <c r="B816" s="53" t="s">
        <v>33</v>
      </c>
      <c r="C816" s="53" t="s">
        <v>34</v>
      </c>
      <c r="D816" s="53" t="s">
        <v>40</v>
      </c>
      <c r="E816" s="53" t="s">
        <v>25</v>
      </c>
      <c r="F816" s="53" t="s">
        <v>25</v>
      </c>
      <c r="G816" s="53" t="s">
        <v>25</v>
      </c>
      <c r="H816" s="53" t="s">
        <v>25</v>
      </c>
      <c r="I816" s="73">
        <v>44013</v>
      </c>
      <c r="J816" s="74">
        <f ca="1">EFEITO!$J$816*EFEITO!$Y$816</f>
        <v>1889.6388470277773</v>
      </c>
      <c r="K816" s="74">
        <f>EFEITO!$L$816*EFEITO!$Z$816</f>
        <v>0</v>
      </c>
      <c r="L816" s="74">
        <f>EFEITO!$N$816*EFEITO!$AA$816</f>
        <v>0</v>
      </c>
      <c r="M816" s="74">
        <f ca="1">$J$816-EFEITO!$K$816*EFEITO!$Y$816</f>
        <v>0</v>
      </c>
      <c r="N816" s="74">
        <f>$K$816-EFEITO!$M$816*EFEITO!$Z$816</f>
        <v>0</v>
      </c>
      <c r="O816" s="74">
        <f>$L$816-EFEITO!$O$816*EFEITO!$AA$816</f>
        <v>0</v>
      </c>
      <c r="P816" s="57"/>
      <c r="Q816" s="57"/>
      <c r="R816" s="57"/>
      <c r="S816" s="57"/>
      <c r="T816" s="57"/>
      <c r="U816" s="57"/>
      <c r="V816" s="57"/>
      <c r="W816" s="57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</row>
    <row r="817" spans="1:36" ht="11.25" customHeight="1" x14ac:dyDescent="0.2">
      <c r="A817" s="53" t="s">
        <v>28</v>
      </c>
      <c r="B817" s="53" t="s">
        <v>33</v>
      </c>
      <c r="C817" s="53" t="s">
        <v>34</v>
      </c>
      <c r="D817" s="53" t="s">
        <v>40</v>
      </c>
      <c r="E817" s="53" t="s">
        <v>25</v>
      </c>
      <c r="F817" s="53" t="s">
        <v>25</v>
      </c>
      <c r="G817" s="53" t="s">
        <v>25</v>
      </c>
      <c r="H817" s="53" t="s">
        <v>25</v>
      </c>
      <c r="I817" s="73">
        <v>44013</v>
      </c>
      <c r="J817" s="74">
        <f ca="1">EFEITO!$J$817*EFEITO!$Y$817</f>
        <v>18587.174840764135</v>
      </c>
      <c r="K817" s="74">
        <f>EFEITO!$L$817*EFEITO!$Z$817</f>
        <v>0</v>
      </c>
      <c r="L817" s="74">
        <f>EFEITO!$N$817*EFEITO!$AA$817</f>
        <v>0</v>
      </c>
      <c r="M817" s="74">
        <f ca="1">$J$817-EFEITO!$K$817*EFEITO!$Y$817</f>
        <v>0</v>
      </c>
      <c r="N817" s="74">
        <f>$K$817-EFEITO!$M$817*EFEITO!$Z$817</f>
        <v>0</v>
      </c>
      <c r="O817" s="74">
        <f>$L$817-EFEITO!$O$817*EFEITO!$AA$817</f>
        <v>0</v>
      </c>
      <c r="P817" s="57"/>
      <c r="Q817" s="57"/>
      <c r="R817" s="57"/>
      <c r="S817" s="57"/>
      <c r="T817" s="57"/>
      <c r="U817" s="57"/>
      <c r="V817" s="57"/>
      <c r="W817" s="57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</row>
    <row r="818" spans="1:36" ht="11.25" customHeight="1" x14ac:dyDescent="0.2">
      <c r="A818" s="53" t="s">
        <v>21</v>
      </c>
      <c r="B818" s="53" t="s">
        <v>33</v>
      </c>
      <c r="C818" s="53" t="s">
        <v>34</v>
      </c>
      <c r="D818" s="53" t="s">
        <v>40</v>
      </c>
      <c r="E818" s="53" t="s">
        <v>25</v>
      </c>
      <c r="F818" s="53" t="s">
        <v>25</v>
      </c>
      <c r="G818" s="53" t="s">
        <v>25</v>
      </c>
      <c r="H818" s="53" t="s">
        <v>25</v>
      </c>
      <c r="I818" s="73">
        <v>44044</v>
      </c>
      <c r="J818" s="74">
        <f ca="1">EFEITO!$J$818*EFEITO!$Y$818</f>
        <v>172999.29953455518</v>
      </c>
      <c r="K818" s="74">
        <f>EFEITO!$L$818*EFEITO!$Z$818</f>
        <v>0</v>
      </c>
      <c r="L818" s="74">
        <f>EFEITO!$N$818*EFEITO!$AA$818</f>
        <v>0</v>
      </c>
      <c r="M818" s="74">
        <f ca="1">$J$818-EFEITO!$K$818*EFEITO!$Y$818</f>
        <v>0</v>
      </c>
      <c r="N818" s="74">
        <f>$K$818-EFEITO!$M$818*EFEITO!$Z$818</f>
        <v>0</v>
      </c>
      <c r="O818" s="74">
        <f>$L$818-EFEITO!$O$818*EFEITO!$AA$818</f>
        <v>0</v>
      </c>
      <c r="P818" s="57"/>
      <c r="Q818" s="57"/>
      <c r="R818" s="57"/>
      <c r="S818" s="57"/>
      <c r="T818" s="57"/>
      <c r="U818" s="57"/>
      <c r="V818" s="57"/>
      <c r="W818" s="57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</row>
    <row r="819" spans="1:36" ht="11.25" customHeight="1" x14ac:dyDescent="0.2">
      <c r="A819" s="53" t="s">
        <v>27</v>
      </c>
      <c r="B819" s="53" t="s">
        <v>33</v>
      </c>
      <c r="C819" s="53" t="s">
        <v>34</v>
      </c>
      <c r="D819" s="53" t="s">
        <v>40</v>
      </c>
      <c r="E819" s="53" t="s">
        <v>25</v>
      </c>
      <c r="F819" s="53" t="s">
        <v>25</v>
      </c>
      <c r="G819" s="53" t="s">
        <v>25</v>
      </c>
      <c r="H819" s="53" t="s">
        <v>25</v>
      </c>
      <c r="I819" s="73">
        <v>44044</v>
      </c>
      <c r="J819" s="74">
        <f ca="1">EFEITO!$J$819*EFEITO!$Y$819</f>
        <v>2966.1603720011776</v>
      </c>
      <c r="K819" s="74">
        <f>EFEITO!$L$819*EFEITO!$Z$819</f>
        <v>0</v>
      </c>
      <c r="L819" s="74">
        <f>EFEITO!$N$819*EFEITO!$AA$819</f>
        <v>0</v>
      </c>
      <c r="M819" s="74">
        <f ca="1">$J$819-EFEITO!$K$819*EFEITO!$Y$819</f>
        <v>0</v>
      </c>
      <c r="N819" s="74">
        <f>$K$819-EFEITO!$M$819*EFEITO!$Z$819</f>
        <v>0</v>
      </c>
      <c r="O819" s="74">
        <f>$L$819-EFEITO!$O$819*EFEITO!$AA$819</f>
        <v>0</v>
      </c>
      <c r="P819" s="57"/>
      <c r="Q819" s="57"/>
      <c r="R819" s="57"/>
      <c r="S819" s="57"/>
      <c r="T819" s="57"/>
      <c r="U819" s="57"/>
      <c r="V819" s="57"/>
      <c r="W819" s="57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</row>
    <row r="820" spans="1:36" ht="11.25" customHeight="1" x14ac:dyDescent="0.2">
      <c r="A820" s="53" t="s">
        <v>28</v>
      </c>
      <c r="B820" s="53" t="s">
        <v>33</v>
      </c>
      <c r="C820" s="53" t="s">
        <v>34</v>
      </c>
      <c r="D820" s="53" t="s">
        <v>40</v>
      </c>
      <c r="E820" s="53" t="s">
        <v>25</v>
      </c>
      <c r="F820" s="53" t="s">
        <v>25</v>
      </c>
      <c r="G820" s="53" t="s">
        <v>25</v>
      </c>
      <c r="H820" s="53" t="s">
        <v>25</v>
      </c>
      <c r="I820" s="73">
        <v>44044</v>
      </c>
      <c r="J820" s="74">
        <f ca="1">EFEITO!$J$820*EFEITO!$Y$820</f>
        <v>20133.242988332317</v>
      </c>
      <c r="K820" s="74">
        <f>EFEITO!$L$820*EFEITO!$Z$820</f>
        <v>0</v>
      </c>
      <c r="L820" s="74">
        <f>EFEITO!$N$820*EFEITO!$AA$820</f>
        <v>0</v>
      </c>
      <c r="M820" s="74">
        <f ca="1">$J$820-EFEITO!$K$820*EFEITO!$Y$820</f>
        <v>0</v>
      </c>
      <c r="N820" s="74">
        <f>$K$820-EFEITO!$M$820*EFEITO!$Z$820</f>
        <v>0</v>
      </c>
      <c r="O820" s="74">
        <f>$L$820-EFEITO!$O$820*EFEITO!$AA$820</f>
        <v>0</v>
      </c>
      <c r="P820" s="57"/>
      <c r="Q820" s="57"/>
      <c r="R820" s="57"/>
      <c r="S820" s="57"/>
      <c r="T820" s="57"/>
      <c r="U820" s="57"/>
      <c r="V820" s="57"/>
      <c r="W820" s="57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</row>
    <row r="821" spans="1:36" ht="11.25" customHeight="1" x14ac:dyDescent="0.2">
      <c r="A821" s="53" t="s">
        <v>59</v>
      </c>
      <c r="B821" s="53" t="s">
        <v>33</v>
      </c>
      <c r="C821" s="53" t="s">
        <v>34</v>
      </c>
      <c r="D821" s="53" t="s">
        <v>40</v>
      </c>
      <c r="E821" s="53" t="s">
        <v>25</v>
      </c>
      <c r="F821" s="53" t="s">
        <v>25</v>
      </c>
      <c r="G821" s="53" t="s">
        <v>25</v>
      </c>
      <c r="H821" s="53" t="s">
        <v>25</v>
      </c>
      <c r="I821" s="73">
        <v>44075</v>
      </c>
      <c r="J821" s="74">
        <f ca="1">EFEITO!$J$821*EFEITO!$Y$821</f>
        <v>172999.29953455518</v>
      </c>
      <c r="K821" s="74">
        <f>EFEITO!$L$821*EFEITO!$Z$821</f>
        <v>0</v>
      </c>
      <c r="L821" s="74">
        <f>EFEITO!$N$821*EFEITO!$AA$821</f>
        <v>0</v>
      </c>
      <c r="M821" s="74">
        <f ca="1">$J$821-EFEITO!$K$821*EFEITO!$Y$821</f>
        <v>0</v>
      </c>
      <c r="N821" s="74">
        <f>$K$821-EFEITO!$M$821*EFEITO!$Z$821</f>
        <v>0</v>
      </c>
      <c r="O821" s="74">
        <f>$L$821-EFEITO!$O$821*EFEITO!$AA$821</f>
        <v>0</v>
      </c>
      <c r="P821" s="57"/>
      <c r="Q821" s="57"/>
      <c r="R821" s="57"/>
      <c r="S821" s="57"/>
      <c r="T821" s="57"/>
      <c r="U821" s="57"/>
      <c r="V821" s="57"/>
      <c r="W821" s="57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</row>
    <row r="822" spans="1:36" ht="11.25" customHeight="1" x14ac:dyDescent="0.2">
      <c r="A822" s="53" t="s">
        <v>59</v>
      </c>
      <c r="B822" s="53" t="s">
        <v>33</v>
      </c>
      <c r="C822" s="53" t="s">
        <v>34</v>
      </c>
      <c r="D822" s="53" t="s">
        <v>40</v>
      </c>
      <c r="E822" s="53" t="s">
        <v>25</v>
      </c>
      <c r="F822" s="53" t="s">
        <v>25</v>
      </c>
      <c r="G822" s="53" t="s">
        <v>25</v>
      </c>
      <c r="H822" s="53" t="s">
        <v>25</v>
      </c>
      <c r="I822" s="73">
        <v>44075</v>
      </c>
      <c r="J822" s="74">
        <f ca="1">EFEITO!$J$822*EFEITO!$Y$822</f>
        <v>2966.1603720011776</v>
      </c>
      <c r="K822" s="74">
        <f>EFEITO!$L$822*EFEITO!$Z$822</f>
        <v>0</v>
      </c>
      <c r="L822" s="74">
        <f>EFEITO!$N$822*EFEITO!$AA$822</f>
        <v>0</v>
      </c>
      <c r="M822" s="74">
        <f ca="1">$J$822-EFEITO!$K$822*EFEITO!$Y$822</f>
        <v>0</v>
      </c>
      <c r="N822" s="74">
        <f>$K$822-EFEITO!$M$822*EFEITO!$Z$822</f>
        <v>0</v>
      </c>
      <c r="O822" s="74">
        <f>$L$822-EFEITO!$O$822*EFEITO!$AA$822</f>
        <v>0</v>
      </c>
      <c r="P822" s="57"/>
      <c r="Q822" s="57"/>
      <c r="R822" s="57"/>
      <c r="S822" s="57"/>
      <c r="T822" s="57"/>
      <c r="U822" s="57"/>
      <c r="V822" s="57"/>
      <c r="W822" s="57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</row>
    <row r="823" spans="1:36" ht="11.25" customHeight="1" x14ac:dyDescent="0.2">
      <c r="A823" s="53" t="s">
        <v>59</v>
      </c>
      <c r="B823" s="53" t="s">
        <v>33</v>
      </c>
      <c r="C823" s="53" t="s">
        <v>34</v>
      </c>
      <c r="D823" s="53" t="s">
        <v>40</v>
      </c>
      <c r="E823" s="53" t="s">
        <v>25</v>
      </c>
      <c r="F823" s="53" t="s">
        <v>25</v>
      </c>
      <c r="G823" s="53" t="s">
        <v>25</v>
      </c>
      <c r="H823" s="53" t="s">
        <v>25</v>
      </c>
      <c r="I823" s="73">
        <v>44075</v>
      </c>
      <c r="J823" s="74">
        <f ca="1">EFEITO!$J$823*EFEITO!$Y$823</f>
        <v>20133.242988332317</v>
      </c>
      <c r="K823" s="74">
        <f>EFEITO!$L$823*EFEITO!$Z$823</f>
        <v>0</v>
      </c>
      <c r="L823" s="74">
        <f>EFEITO!$N$823*EFEITO!$AA$823</f>
        <v>0</v>
      </c>
      <c r="M823" s="74">
        <f ca="1">$J$823-EFEITO!$K$823*EFEITO!$Y$823</f>
        <v>0</v>
      </c>
      <c r="N823" s="74">
        <f>$K$823-EFEITO!$M$823*EFEITO!$Z$823</f>
        <v>0</v>
      </c>
      <c r="O823" s="74">
        <f>$L$823-EFEITO!$O$823*EFEITO!$AA$823</f>
        <v>0</v>
      </c>
      <c r="P823" s="57"/>
      <c r="Q823" s="57"/>
      <c r="R823" s="57"/>
      <c r="S823" s="57"/>
      <c r="T823" s="57"/>
      <c r="U823" s="57"/>
      <c r="V823" s="57"/>
      <c r="W823" s="57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</row>
    <row r="824" spans="1:36" ht="11.25" customHeight="1" x14ac:dyDescent="0.2">
      <c r="A824" s="53" t="s">
        <v>21</v>
      </c>
      <c r="B824" s="53" t="s">
        <v>33</v>
      </c>
      <c r="C824" s="53" t="s">
        <v>34</v>
      </c>
      <c r="D824" s="53" t="s">
        <v>40</v>
      </c>
      <c r="E824" s="53" t="s">
        <v>25</v>
      </c>
      <c r="F824" s="53" t="s">
        <v>25</v>
      </c>
      <c r="G824" s="53" t="s">
        <v>25</v>
      </c>
      <c r="H824" s="53" t="s">
        <v>35</v>
      </c>
      <c r="I824" s="73">
        <v>43739</v>
      </c>
      <c r="J824" s="74">
        <f>EFEITO!$J$824*EFEITO!$Y$824</f>
        <v>0</v>
      </c>
      <c r="K824" s="74">
        <f ca="1">EFEITO!$L$824*EFEITO!$Z$824</f>
        <v>133465.96747786933</v>
      </c>
      <c r="L824" s="74">
        <f>EFEITO!$N$824*EFEITO!$AA$824</f>
        <v>67058.732628814745</v>
      </c>
      <c r="M824" s="74">
        <f>$J$824-EFEITO!$K$824*EFEITO!$Y$824</f>
        <v>0</v>
      </c>
      <c r="N824" s="74">
        <f ca="1">$K$824-EFEITO!$M$824*EFEITO!$Z$824</f>
        <v>0</v>
      </c>
      <c r="O824" s="74">
        <f>$L$824-EFEITO!$O$824*EFEITO!$AA$824</f>
        <v>0</v>
      </c>
      <c r="P824" s="57"/>
      <c r="Q824" s="57"/>
      <c r="R824" s="57"/>
      <c r="S824" s="57"/>
      <c r="T824" s="57"/>
      <c r="U824" s="57"/>
      <c r="V824" s="57"/>
      <c r="W824" s="57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</row>
    <row r="825" spans="1:36" ht="11.25" customHeight="1" x14ac:dyDescent="0.2">
      <c r="A825" s="53" t="s">
        <v>27</v>
      </c>
      <c r="B825" s="53" t="s">
        <v>33</v>
      </c>
      <c r="C825" s="53" t="s">
        <v>34</v>
      </c>
      <c r="D825" s="53" t="s">
        <v>40</v>
      </c>
      <c r="E825" s="53" t="s">
        <v>25</v>
      </c>
      <c r="F825" s="53" t="s">
        <v>25</v>
      </c>
      <c r="G825" s="53" t="s">
        <v>25</v>
      </c>
      <c r="H825" s="53" t="s">
        <v>35</v>
      </c>
      <c r="I825" s="73">
        <v>43739</v>
      </c>
      <c r="J825" s="74">
        <f>EFEITO!$J$825*EFEITO!$Y$825</f>
        <v>0</v>
      </c>
      <c r="K825" s="74">
        <f ca="1">EFEITO!$L$825*EFEITO!$Z$825</f>
        <v>153.2853952119579</v>
      </c>
      <c r="L825" s="74">
        <f>EFEITO!$N$825*EFEITO!$AA$825</f>
        <v>77.016819550836573</v>
      </c>
      <c r="M825" s="74">
        <f>$J$825-EFEITO!$K$825*EFEITO!$Y$825</f>
        <v>0</v>
      </c>
      <c r="N825" s="74">
        <f ca="1">$K$825-EFEITO!$M$825*EFEITO!$Z$825</f>
        <v>0</v>
      </c>
      <c r="O825" s="74">
        <f>$L$825-EFEITO!$O$825*EFEITO!$AA$825</f>
        <v>0</v>
      </c>
      <c r="P825" s="57"/>
      <c r="Q825" s="57"/>
      <c r="R825" s="57"/>
      <c r="S825" s="57"/>
      <c r="T825" s="57"/>
      <c r="U825" s="57"/>
      <c r="V825" s="57"/>
      <c r="W825" s="57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</row>
    <row r="826" spans="1:36" ht="11.25" customHeight="1" x14ac:dyDescent="0.2">
      <c r="A826" s="53" t="s">
        <v>21</v>
      </c>
      <c r="B826" s="53" t="s">
        <v>33</v>
      </c>
      <c r="C826" s="53" t="s">
        <v>34</v>
      </c>
      <c r="D826" s="53" t="s">
        <v>40</v>
      </c>
      <c r="E826" s="53" t="s">
        <v>25</v>
      </c>
      <c r="F826" s="53" t="s">
        <v>25</v>
      </c>
      <c r="G826" s="53" t="s">
        <v>25</v>
      </c>
      <c r="H826" s="53" t="s">
        <v>35</v>
      </c>
      <c r="I826" s="73">
        <v>43770</v>
      </c>
      <c r="J826" s="74">
        <f>EFEITO!$J$826*EFEITO!$Y$826</f>
        <v>0</v>
      </c>
      <c r="K826" s="74">
        <f ca="1">EFEITO!$L$826*EFEITO!$Z$826</f>
        <v>138701.5983914017</v>
      </c>
      <c r="L826" s="74">
        <f>EFEITO!$N$826*EFEITO!$AA$826</f>
        <v>69689.326631229182</v>
      </c>
      <c r="M826" s="74">
        <f>$J$826-EFEITO!$K$826*EFEITO!$Y$826</f>
        <v>0</v>
      </c>
      <c r="N826" s="74">
        <f ca="1">$K$826-EFEITO!$M$826*EFEITO!$Z$826</f>
        <v>0</v>
      </c>
      <c r="O826" s="74">
        <f>$L$826-EFEITO!$O$826*EFEITO!$AA$826</f>
        <v>0</v>
      </c>
      <c r="P826" s="57"/>
      <c r="Q826" s="57"/>
      <c r="R826" s="57"/>
      <c r="S826" s="57"/>
      <c r="T826" s="57"/>
      <c r="U826" s="57"/>
      <c r="V826" s="57"/>
      <c r="W826" s="57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</row>
    <row r="827" spans="1:36" ht="11.25" customHeight="1" x14ac:dyDescent="0.2">
      <c r="A827" s="53" t="s">
        <v>27</v>
      </c>
      <c r="B827" s="53" t="s">
        <v>33</v>
      </c>
      <c r="C827" s="53" t="s">
        <v>34</v>
      </c>
      <c r="D827" s="53" t="s">
        <v>40</v>
      </c>
      <c r="E827" s="53" t="s">
        <v>25</v>
      </c>
      <c r="F827" s="53" t="s">
        <v>25</v>
      </c>
      <c r="G827" s="53" t="s">
        <v>25</v>
      </c>
      <c r="H827" s="53" t="s">
        <v>35</v>
      </c>
      <c r="I827" s="73">
        <v>43770</v>
      </c>
      <c r="J827" s="74">
        <f>EFEITO!$J$827*EFEITO!$Y$827</f>
        <v>0</v>
      </c>
      <c r="K827" s="74">
        <f ca="1">EFEITO!$L$827*EFEITO!$Z$827</f>
        <v>2383.7748289547408</v>
      </c>
      <c r="L827" s="74">
        <f>EFEITO!$N$827*EFEITO!$AA$827</f>
        <v>1197.7054669661804</v>
      </c>
      <c r="M827" s="74">
        <f>$J$827-EFEITO!$K$827*EFEITO!$Y$827</f>
        <v>0</v>
      </c>
      <c r="N827" s="74">
        <f ca="1">$K$827-EFEITO!$M$827*EFEITO!$Z$827</f>
        <v>0</v>
      </c>
      <c r="O827" s="74">
        <f>$L$827-EFEITO!$O$827*EFEITO!$AA$827</f>
        <v>0</v>
      </c>
      <c r="P827" s="57"/>
      <c r="Q827" s="57"/>
      <c r="R827" s="57"/>
      <c r="S827" s="57"/>
      <c r="T827" s="57"/>
      <c r="U827" s="57"/>
      <c r="V827" s="57"/>
      <c r="W827" s="57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</row>
    <row r="828" spans="1:36" ht="11.25" customHeight="1" x14ac:dyDescent="0.2">
      <c r="A828" s="53" t="s">
        <v>28</v>
      </c>
      <c r="B828" s="53" t="s">
        <v>33</v>
      </c>
      <c r="C828" s="53" t="s">
        <v>34</v>
      </c>
      <c r="D828" s="53" t="s">
        <v>40</v>
      </c>
      <c r="E828" s="53" t="s">
        <v>25</v>
      </c>
      <c r="F828" s="53" t="s">
        <v>25</v>
      </c>
      <c r="G828" s="53" t="s">
        <v>25</v>
      </c>
      <c r="H828" s="53" t="s">
        <v>35</v>
      </c>
      <c r="I828" s="73">
        <v>43770</v>
      </c>
      <c r="J828" s="74">
        <f>EFEITO!$J$828*EFEITO!$Y$828</f>
        <v>0</v>
      </c>
      <c r="K828" s="74">
        <f ca="1">EFEITO!$L$828*EFEITO!$Z$828</f>
        <v>863.63234863322623</v>
      </c>
      <c r="L828" s="74">
        <f>EFEITO!$N$828*EFEITO!$AA$828</f>
        <v>433.92403210349386</v>
      </c>
      <c r="M828" s="74">
        <f>$J$828-EFEITO!$K$828*EFEITO!$Y$828</f>
        <v>0</v>
      </c>
      <c r="N828" s="74">
        <f ca="1">$K$828-EFEITO!$M$828*EFEITO!$Z$828</f>
        <v>0</v>
      </c>
      <c r="O828" s="74">
        <f>$L$828-EFEITO!$O$828*EFEITO!$AA$828</f>
        <v>0</v>
      </c>
      <c r="P828" s="57"/>
      <c r="Q828" s="57"/>
      <c r="R828" s="57"/>
      <c r="S828" s="57"/>
      <c r="T828" s="57"/>
      <c r="U828" s="57"/>
      <c r="V828" s="57"/>
      <c r="W828" s="57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</row>
    <row r="829" spans="1:36" ht="11.25" customHeight="1" x14ac:dyDescent="0.2">
      <c r="A829" s="53" t="s">
        <v>21</v>
      </c>
      <c r="B829" s="53" t="s">
        <v>33</v>
      </c>
      <c r="C829" s="53" t="s">
        <v>34</v>
      </c>
      <c r="D829" s="53" t="s">
        <v>40</v>
      </c>
      <c r="E829" s="53" t="s">
        <v>25</v>
      </c>
      <c r="F829" s="53" t="s">
        <v>25</v>
      </c>
      <c r="G829" s="53" t="s">
        <v>25</v>
      </c>
      <c r="H829" s="53" t="s">
        <v>35</v>
      </c>
      <c r="I829" s="73">
        <v>43800</v>
      </c>
      <c r="J829" s="74">
        <f>EFEITO!$J$829*EFEITO!$Y$829</f>
        <v>0</v>
      </c>
      <c r="K829" s="74">
        <f ca="1">EFEITO!$L$829*EFEITO!$Z$829</f>
        <v>120371.65605859223</v>
      </c>
      <c r="L829" s="74">
        <f>EFEITO!$N$829*EFEITO!$AA$829</f>
        <v>60479.617780159868</v>
      </c>
      <c r="M829" s="74">
        <f>$J$829-EFEITO!$K$829*EFEITO!$Y$829</f>
        <v>0</v>
      </c>
      <c r="N829" s="74">
        <f ca="1">$K$829-EFEITO!$M$829*EFEITO!$Z$829</f>
        <v>0</v>
      </c>
      <c r="O829" s="74">
        <f>$L$829-EFEITO!$O$829*EFEITO!$AA$829</f>
        <v>0</v>
      </c>
      <c r="P829" s="57"/>
      <c r="Q829" s="57"/>
      <c r="R829" s="57"/>
      <c r="S829" s="57"/>
      <c r="T829" s="57"/>
      <c r="U829" s="57"/>
      <c r="V829" s="57"/>
      <c r="W829" s="57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</row>
    <row r="830" spans="1:36" ht="11.25" customHeight="1" x14ac:dyDescent="0.2">
      <c r="A830" s="53" t="s">
        <v>27</v>
      </c>
      <c r="B830" s="53" t="s">
        <v>33</v>
      </c>
      <c r="C830" s="53" t="s">
        <v>34</v>
      </c>
      <c r="D830" s="53" t="s">
        <v>40</v>
      </c>
      <c r="E830" s="53" t="s">
        <v>25</v>
      </c>
      <c r="F830" s="53" t="s">
        <v>25</v>
      </c>
      <c r="G830" s="53" t="s">
        <v>25</v>
      </c>
      <c r="H830" s="53" t="s">
        <v>35</v>
      </c>
      <c r="I830" s="73">
        <v>43800</v>
      </c>
      <c r="J830" s="74">
        <f>EFEITO!$J$830*EFEITO!$Y$830</f>
        <v>0</v>
      </c>
      <c r="K830" s="74">
        <f ca="1">EFEITO!$L$830*EFEITO!$Z$830</f>
        <v>96.457638938256437</v>
      </c>
      <c r="L830" s="74">
        <f>EFEITO!$N$830*EFEITO!$AA$830</f>
        <v>48.464242546623993</v>
      </c>
      <c r="M830" s="74">
        <f>$J$830-EFEITO!$K$830*EFEITO!$Y$830</f>
        <v>0</v>
      </c>
      <c r="N830" s="74">
        <f ca="1">$K$830-EFEITO!$M$830*EFEITO!$Z$830</f>
        <v>0</v>
      </c>
      <c r="O830" s="74">
        <f>$L$830-EFEITO!$O$830*EFEITO!$AA$830</f>
        <v>0</v>
      </c>
      <c r="P830" s="57"/>
      <c r="Q830" s="57"/>
      <c r="R830" s="57"/>
      <c r="S830" s="57"/>
      <c r="T830" s="57"/>
      <c r="U830" s="57"/>
      <c r="V830" s="57"/>
      <c r="W830" s="57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</row>
    <row r="831" spans="1:36" ht="11.25" customHeight="1" x14ac:dyDescent="0.2">
      <c r="A831" s="53" t="s">
        <v>28</v>
      </c>
      <c r="B831" s="53" t="s">
        <v>33</v>
      </c>
      <c r="C831" s="53" t="s">
        <v>34</v>
      </c>
      <c r="D831" s="53" t="s">
        <v>40</v>
      </c>
      <c r="E831" s="53" t="s">
        <v>25</v>
      </c>
      <c r="F831" s="53" t="s">
        <v>25</v>
      </c>
      <c r="G831" s="53" t="s">
        <v>25</v>
      </c>
      <c r="H831" s="53" t="s">
        <v>35</v>
      </c>
      <c r="I831" s="73">
        <v>43800</v>
      </c>
      <c r="J831" s="74">
        <f>EFEITO!$J$831*EFEITO!$Y$831</f>
        <v>0</v>
      </c>
      <c r="K831" s="74">
        <f ca="1">EFEITO!$L$831*EFEITO!$Z$831</f>
        <v>1473.0352613051564</v>
      </c>
      <c r="L831" s="74">
        <f>EFEITO!$N$831*EFEITO!$AA$831</f>
        <v>740.11285129340513</v>
      </c>
      <c r="M831" s="74">
        <f>$J$831-EFEITO!$K$831*EFEITO!$Y$831</f>
        <v>0</v>
      </c>
      <c r="N831" s="74">
        <f ca="1">$K$831-EFEITO!$M$831*EFEITO!$Z$831</f>
        <v>0</v>
      </c>
      <c r="O831" s="74">
        <f>$L$831-EFEITO!$O$831*EFEITO!$AA$831</f>
        <v>0</v>
      </c>
      <c r="P831" s="57"/>
      <c r="Q831" s="57"/>
      <c r="R831" s="57"/>
      <c r="S831" s="57"/>
      <c r="T831" s="57"/>
      <c r="U831" s="57"/>
      <c r="V831" s="57"/>
      <c r="W831" s="57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</row>
    <row r="832" spans="1:36" ht="11.25" customHeight="1" x14ac:dyDescent="0.2">
      <c r="A832" s="53" t="s">
        <v>21</v>
      </c>
      <c r="B832" s="53" t="s">
        <v>33</v>
      </c>
      <c r="C832" s="53" t="s">
        <v>34</v>
      </c>
      <c r="D832" s="53" t="s">
        <v>40</v>
      </c>
      <c r="E832" s="53" t="s">
        <v>25</v>
      </c>
      <c r="F832" s="53" t="s">
        <v>25</v>
      </c>
      <c r="G832" s="53" t="s">
        <v>25</v>
      </c>
      <c r="H832" s="53" t="s">
        <v>35</v>
      </c>
      <c r="I832" s="73">
        <v>43831</v>
      </c>
      <c r="J832" s="74">
        <f>EFEITO!$J$832*EFEITO!$Y$832</f>
        <v>0</v>
      </c>
      <c r="K832" s="74">
        <f ca="1">EFEITO!$L$832*EFEITO!$Z$832</f>
        <v>110450.72618702025</v>
      </c>
      <c r="L832" s="74">
        <f>EFEITO!$N$832*EFEITO!$AA$832</f>
        <v>55494.938942108653</v>
      </c>
      <c r="M832" s="74">
        <f>$J$832-EFEITO!$K$832*EFEITO!$Y$832</f>
        <v>0</v>
      </c>
      <c r="N832" s="74">
        <f ca="1">$K$832-EFEITO!$M$832*EFEITO!$Z$832</f>
        <v>0</v>
      </c>
      <c r="O832" s="74">
        <f>$L$832-EFEITO!$O$832*EFEITO!$AA$832</f>
        <v>0</v>
      </c>
      <c r="P832" s="57"/>
      <c r="Q832" s="57"/>
      <c r="R832" s="57"/>
      <c r="S832" s="57"/>
      <c r="T832" s="57"/>
      <c r="U832" s="57"/>
      <c r="V832" s="57"/>
      <c r="W832" s="57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</row>
    <row r="833" spans="1:36" ht="11.25" customHeight="1" x14ac:dyDescent="0.2">
      <c r="A833" s="53" t="s">
        <v>27</v>
      </c>
      <c r="B833" s="53" t="s">
        <v>33</v>
      </c>
      <c r="C833" s="53" t="s">
        <v>34</v>
      </c>
      <c r="D833" s="53" t="s">
        <v>40</v>
      </c>
      <c r="E833" s="53" t="s">
        <v>25</v>
      </c>
      <c r="F833" s="53" t="s">
        <v>25</v>
      </c>
      <c r="G833" s="53" t="s">
        <v>25</v>
      </c>
      <c r="H833" s="53" t="s">
        <v>35</v>
      </c>
      <c r="I833" s="73">
        <v>43831</v>
      </c>
      <c r="J833" s="74">
        <f>EFEITO!$J$833*EFEITO!$Y$833</f>
        <v>0</v>
      </c>
      <c r="K833" s="74">
        <f ca="1">EFEITO!$L$833*EFEITO!$Z$833</f>
        <v>2172.9139438339012</v>
      </c>
      <c r="L833" s="74">
        <f>EFEITO!$N$833*EFEITO!$AA$833</f>
        <v>1091.7603786084444</v>
      </c>
      <c r="M833" s="74">
        <f>$J$833-EFEITO!$K$833*EFEITO!$Y$833</f>
        <v>0</v>
      </c>
      <c r="N833" s="74">
        <f ca="1">$K$833-EFEITO!$M$833*EFEITO!$Z$833</f>
        <v>0</v>
      </c>
      <c r="O833" s="74">
        <f>$L$833-EFEITO!$O$833*EFEITO!$AA$833</f>
        <v>0</v>
      </c>
      <c r="P833" s="57"/>
      <c r="Q833" s="57"/>
      <c r="R833" s="57"/>
      <c r="S833" s="57"/>
      <c r="T833" s="57"/>
      <c r="U833" s="57"/>
      <c r="V833" s="57"/>
      <c r="W833" s="57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</row>
    <row r="834" spans="1:36" ht="11.25" customHeight="1" x14ac:dyDescent="0.2">
      <c r="A834" s="53" t="s">
        <v>28</v>
      </c>
      <c r="B834" s="53" t="s">
        <v>33</v>
      </c>
      <c r="C834" s="53" t="s">
        <v>34</v>
      </c>
      <c r="D834" s="53" t="s">
        <v>40</v>
      </c>
      <c r="E834" s="53" t="s">
        <v>25</v>
      </c>
      <c r="F834" s="53" t="s">
        <v>25</v>
      </c>
      <c r="G834" s="53" t="s">
        <v>25</v>
      </c>
      <c r="H834" s="53" t="s">
        <v>35</v>
      </c>
      <c r="I834" s="73">
        <v>43831</v>
      </c>
      <c r="J834" s="74">
        <f>EFEITO!$J$834*EFEITO!$Y$834</f>
        <v>0</v>
      </c>
      <c r="K834" s="74">
        <f ca="1">EFEITO!$L$834*EFEITO!$Z$834</f>
        <v>960.08998757148277</v>
      </c>
      <c r="L834" s="74">
        <f>EFEITO!$N$834*EFEITO!$AA$834</f>
        <v>482.38827465011786</v>
      </c>
      <c r="M834" s="74">
        <f>$J$834-EFEITO!$K$834*EFEITO!$Y$834</f>
        <v>0</v>
      </c>
      <c r="N834" s="74">
        <f ca="1">$K$834-EFEITO!$M$834*EFEITO!$Z$834</f>
        <v>0</v>
      </c>
      <c r="O834" s="74">
        <f>$L$834-EFEITO!$O$834*EFEITO!$AA$834</f>
        <v>0</v>
      </c>
      <c r="P834" s="57"/>
      <c r="Q834" s="57"/>
      <c r="R834" s="57"/>
      <c r="S834" s="57"/>
      <c r="T834" s="57"/>
      <c r="U834" s="57"/>
      <c r="V834" s="57"/>
      <c r="W834" s="57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</row>
    <row r="835" spans="1:36" ht="11.25" customHeight="1" x14ac:dyDescent="0.2">
      <c r="A835" s="53" t="s">
        <v>21</v>
      </c>
      <c r="B835" s="53" t="s">
        <v>33</v>
      </c>
      <c r="C835" s="53" t="s">
        <v>34</v>
      </c>
      <c r="D835" s="53" t="s">
        <v>40</v>
      </c>
      <c r="E835" s="53" t="s">
        <v>25</v>
      </c>
      <c r="F835" s="53" t="s">
        <v>25</v>
      </c>
      <c r="G835" s="53" t="s">
        <v>25</v>
      </c>
      <c r="H835" s="53" t="s">
        <v>35</v>
      </c>
      <c r="I835" s="73">
        <v>43862</v>
      </c>
      <c r="J835" s="74">
        <f>EFEITO!$J$835*EFEITO!$Y$835</f>
        <v>0</v>
      </c>
      <c r="K835" s="74">
        <f ca="1">EFEITO!$L$835*EFEITO!$Z$835</f>
        <v>115402.21831918409</v>
      </c>
      <c r="L835" s="74">
        <f>EFEITO!$N$835*EFEITO!$AA$835</f>
        <v>57982.770059502021</v>
      </c>
      <c r="M835" s="74">
        <f>$J$835-EFEITO!$K$835*EFEITO!$Y$835</f>
        <v>0</v>
      </c>
      <c r="N835" s="74">
        <f ca="1">$K$835-EFEITO!$M$835*EFEITO!$Z$835</f>
        <v>0</v>
      </c>
      <c r="O835" s="74">
        <f>$L$835-EFEITO!$O$835*EFEITO!$AA$835</f>
        <v>0</v>
      </c>
      <c r="P835" s="57"/>
      <c r="Q835" s="57"/>
      <c r="R835" s="57"/>
      <c r="S835" s="57"/>
      <c r="T835" s="57"/>
      <c r="U835" s="57"/>
      <c r="V835" s="57"/>
      <c r="W835" s="57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</row>
    <row r="836" spans="1:36" ht="11.25" customHeight="1" x14ac:dyDescent="0.2">
      <c r="A836" s="53" t="s">
        <v>28</v>
      </c>
      <c r="B836" s="53" t="s">
        <v>33</v>
      </c>
      <c r="C836" s="53" t="s">
        <v>34</v>
      </c>
      <c r="D836" s="53" t="s">
        <v>40</v>
      </c>
      <c r="E836" s="53" t="s">
        <v>25</v>
      </c>
      <c r="F836" s="53" t="s">
        <v>25</v>
      </c>
      <c r="G836" s="53" t="s">
        <v>25</v>
      </c>
      <c r="H836" s="53" t="s">
        <v>35</v>
      </c>
      <c r="I836" s="73">
        <v>43862</v>
      </c>
      <c r="J836" s="74">
        <f>EFEITO!$J$836*EFEITO!$Y$836</f>
        <v>0</v>
      </c>
      <c r="K836" s="74">
        <f ca="1">EFEITO!$L$836*EFEITO!$Z$836</f>
        <v>1363.118416933655</v>
      </c>
      <c r="L836" s="74">
        <f>EFEITO!$N$836*EFEITO!$AA$836</f>
        <v>684.88615629841502</v>
      </c>
      <c r="M836" s="74">
        <f>$J$836-EFEITO!$K$836*EFEITO!$Y$836</f>
        <v>0</v>
      </c>
      <c r="N836" s="74">
        <f ca="1">$K$836-EFEITO!$M$836*EFEITO!$Z$836</f>
        <v>0</v>
      </c>
      <c r="O836" s="74">
        <f>$L$836-EFEITO!$O$836*EFEITO!$AA$836</f>
        <v>0</v>
      </c>
      <c r="P836" s="57"/>
      <c r="Q836" s="57"/>
      <c r="R836" s="57"/>
      <c r="S836" s="57"/>
      <c r="T836" s="57"/>
      <c r="U836" s="57"/>
      <c r="V836" s="57"/>
      <c r="W836" s="57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</row>
    <row r="837" spans="1:36" ht="11.25" customHeight="1" x14ac:dyDescent="0.2">
      <c r="A837" s="53" t="s">
        <v>21</v>
      </c>
      <c r="B837" s="53" t="s">
        <v>33</v>
      </c>
      <c r="C837" s="53" t="s">
        <v>34</v>
      </c>
      <c r="D837" s="53" t="s">
        <v>40</v>
      </c>
      <c r="E837" s="53" t="s">
        <v>25</v>
      </c>
      <c r="F837" s="53" t="s">
        <v>25</v>
      </c>
      <c r="G837" s="53" t="s">
        <v>25</v>
      </c>
      <c r="H837" s="53" t="s">
        <v>35</v>
      </c>
      <c r="I837" s="73">
        <v>43891</v>
      </c>
      <c r="J837" s="74">
        <f>EFEITO!$J$837*EFEITO!$Y$837</f>
        <v>0</v>
      </c>
      <c r="K837" s="74">
        <f ca="1">EFEITO!$L$837*EFEITO!$Z$837</f>
        <v>96954.881805651326</v>
      </c>
      <c r="L837" s="74">
        <f>EFEITO!$N$837*EFEITO!$AA$837</f>
        <v>48714.077595410847</v>
      </c>
      <c r="M837" s="74">
        <f>$J$837-EFEITO!$K$837*EFEITO!$Y$837</f>
        <v>0</v>
      </c>
      <c r="N837" s="74">
        <f ca="1">$K$837-EFEITO!$M$837*EFEITO!$Z$837</f>
        <v>0</v>
      </c>
      <c r="O837" s="74">
        <f>$L$837-EFEITO!$O$837*EFEITO!$AA$837</f>
        <v>0</v>
      </c>
      <c r="P837" s="57"/>
      <c r="Q837" s="57"/>
      <c r="R837" s="57"/>
      <c r="S837" s="57"/>
      <c r="T837" s="57"/>
      <c r="U837" s="57"/>
      <c r="V837" s="57"/>
      <c r="W837" s="57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</row>
    <row r="838" spans="1:36" ht="11.25" customHeight="1" x14ac:dyDescent="0.2">
      <c r="A838" s="53" t="s">
        <v>27</v>
      </c>
      <c r="B838" s="53" t="s">
        <v>33</v>
      </c>
      <c r="C838" s="53" t="s">
        <v>34</v>
      </c>
      <c r="D838" s="53" t="s">
        <v>40</v>
      </c>
      <c r="E838" s="53" t="s">
        <v>25</v>
      </c>
      <c r="F838" s="53" t="s">
        <v>25</v>
      </c>
      <c r="G838" s="53" t="s">
        <v>25</v>
      </c>
      <c r="H838" s="53" t="s">
        <v>35</v>
      </c>
      <c r="I838" s="73">
        <v>43891</v>
      </c>
      <c r="J838" s="74">
        <f>EFEITO!$J$838*EFEITO!$Y$838</f>
        <v>0</v>
      </c>
      <c r="K838" s="74">
        <f ca="1">EFEITO!$L$838*EFEITO!$Z$838</f>
        <v>2060.7538985568585</v>
      </c>
      <c r="L838" s="74">
        <f>EFEITO!$N$838*EFEITO!$AA$838</f>
        <v>1035.406608205393</v>
      </c>
      <c r="M838" s="74">
        <f>$J$838-EFEITO!$K$838*EFEITO!$Y$838</f>
        <v>0</v>
      </c>
      <c r="N838" s="74">
        <f ca="1">$K$838-EFEITO!$M$838*EFEITO!$Z$838</f>
        <v>0</v>
      </c>
      <c r="O838" s="74">
        <f>$L$838-EFEITO!$O$838*EFEITO!$AA$838</f>
        <v>0</v>
      </c>
      <c r="P838" s="57"/>
      <c r="Q838" s="57"/>
      <c r="R838" s="57"/>
      <c r="S838" s="57"/>
      <c r="T838" s="57"/>
      <c r="U838" s="57"/>
      <c r="V838" s="57"/>
      <c r="W838" s="57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</row>
    <row r="839" spans="1:36" ht="11.25" customHeight="1" x14ac:dyDescent="0.2">
      <c r="A839" s="53" t="s">
        <v>28</v>
      </c>
      <c r="B839" s="53" t="s">
        <v>33</v>
      </c>
      <c r="C839" s="53" t="s">
        <v>34</v>
      </c>
      <c r="D839" s="53" t="s">
        <v>40</v>
      </c>
      <c r="E839" s="53" t="s">
        <v>25</v>
      </c>
      <c r="F839" s="53" t="s">
        <v>25</v>
      </c>
      <c r="G839" s="53" t="s">
        <v>25</v>
      </c>
      <c r="H839" s="53" t="s">
        <v>35</v>
      </c>
      <c r="I839" s="73">
        <v>43891</v>
      </c>
      <c r="J839" s="74">
        <f>EFEITO!$J$839*EFEITO!$Y$839</f>
        <v>0</v>
      </c>
      <c r="K839" s="74">
        <f ca="1">EFEITO!$L$839*EFEITO!$Z$839</f>
        <v>5665.5777537610002</v>
      </c>
      <c r="L839" s="74">
        <f>EFEITO!$N$839*EFEITO!$AA$839</f>
        <v>2846.6167889594572</v>
      </c>
      <c r="M839" s="74">
        <f>$J$839-EFEITO!$K$839*EFEITO!$Y$839</f>
        <v>0</v>
      </c>
      <c r="N839" s="74">
        <f ca="1">$K$839-EFEITO!$M$839*EFEITO!$Z$839</f>
        <v>0</v>
      </c>
      <c r="O839" s="74">
        <f>$L$839-EFEITO!$O$839*EFEITO!$AA$839</f>
        <v>0</v>
      </c>
      <c r="P839" s="57"/>
      <c r="Q839" s="57"/>
      <c r="R839" s="57"/>
      <c r="S839" s="57"/>
      <c r="T839" s="57"/>
      <c r="U839" s="57"/>
      <c r="V839" s="57"/>
      <c r="W839" s="57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</row>
    <row r="840" spans="1:36" ht="11.25" customHeight="1" x14ac:dyDescent="0.2">
      <c r="A840" s="53" t="s">
        <v>21</v>
      </c>
      <c r="B840" s="53" t="s">
        <v>33</v>
      </c>
      <c r="C840" s="53" t="s">
        <v>34</v>
      </c>
      <c r="D840" s="53" t="s">
        <v>40</v>
      </c>
      <c r="E840" s="53" t="s">
        <v>25</v>
      </c>
      <c r="F840" s="53" t="s">
        <v>25</v>
      </c>
      <c r="G840" s="53" t="s">
        <v>25</v>
      </c>
      <c r="H840" s="53" t="s">
        <v>35</v>
      </c>
      <c r="I840" s="73">
        <v>43922</v>
      </c>
      <c r="J840" s="74">
        <f>EFEITO!$J$840*EFEITO!$Y$840</f>
        <v>0</v>
      </c>
      <c r="K840" s="74">
        <f ca="1">EFEITO!$L$840*EFEITO!$Z$840</f>
        <v>103489.32604349182</v>
      </c>
      <c r="L840" s="74">
        <f>EFEITO!$N$840*EFEITO!$AA$840</f>
        <v>51997.248259092608</v>
      </c>
      <c r="M840" s="74">
        <f>$J$840-EFEITO!$K$840*EFEITO!$Y$840</f>
        <v>0</v>
      </c>
      <c r="N840" s="74">
        <f ca="1">$K$840-EFEITO!$M$840*EFEITO!$Z$840</f>
        <v>0</v>
      </c>
      <c r="O840" s="74">
        <f>$L$840-EFEITO!$O$840*EFEITO!$AA$840</f>
        <v>0</v>
      </c>
      <c r="P840" s="57"/>
      <c r="Q840" s="57"/>
      <c r="R840" s="57"/>
      <c r="S840" s="57"/>
      <c r="T840" s="57"/>
      <c r="U840" s="57"/>
      <c r="V840" s="57"/>
      <c r="W840" s="57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</row>
    <row r="841" spans="1:36" ht="11.25" customHeight="1" x14ac:dyDescent="0.2">
      <c r="A841" s="53" t="s">
        <v>27</v>
      </c>
      <c r="B841" s="53" t="s">
        <v>33</v>
      </c>
      <c r="C841" s="53" t="s">
        <v>34</v>
      </c>
      <c r="D841" s="53" t="s">
        <v>40</v>
      </c>
      <c r="E841" s="53" t="s">
        <v>25</v>
      </c>
      <c r="F841" s="53" t="s">
        <v>25</v>
      </c>
      <c r="G841" s="53" t="s">
        <v>25</v>
      </c>
      <c r="H841" s="53" t="s">
        <v>35</v>
      </c>
      <c r="I841" s="73">
        <v>43922</v>
      </c>
      <c r="J841" s="74">
        <f>EFEITO!$J$841*EFEITO!$Y$841</f>
        <v>0</v>
      </c>
      <c r="K841" s="74">
        <f ca="1">EFEITO!$L$841*EFEITO!$Z$841</f>
        <v>102.43950801969871</v>
      </c>
      <c r="L841" s="74">
        <f>EFEITO!$N$841*EFEITO!$AA$841</f>
        <v>51.469776968120058</v>
      </c>
      <c r="M841" s="74">
        <f>$J$841-EFEITO!$K$841*EFEITO!$Y$841</f>
        <v>0</v>
      </c>
      <c r="N841" s="74">
        <f ca="1">$K$841-EFEITO!$M$841*EFEITO!$Z$841</f>
        <v>0</v>
      </c>
      <c r="O841" s="74">
        <f>$L$841-EFEITO!$O$841*EFEITO!$AA$841</f>
        <v>0</v>
      </c>
      <c r="P841" s="57"/>
      <c r="Q841" s="57"/>
      <c r="R841" s="57"/>
      <c r="S841" s="57"/>
      <c r="T841" s="57"/>
      <c r="U841" s="57"/>
      <c r="V841" s="57"/>
      <c r="W841" s="57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</row>
    <row r="842" spans="1:36" ht="11.25" customHeight="1" x14ac:dyDescent="0.2">
      <c r="A842" s="53" t="s">
        <v>28</v>
      </c>
      <c r="B842" s="53" t="s">
        <v>33</v>
      </c>
      <c r="C842" s="53" t="s">
        <v>34</v>
      </c>
      <c r="D842" s="53" t="s">
        <v>40</v>
      </c>
      <c r="E842" s="53" t="s">
        <v>25</v>
      </c>
      <c r="F842" s="53" t="s">
        <v>25</v>
      </c>
      <c r="G842" s="53" t="s">
        <v>25</v>
      </c>
      <c r="H842" s="53" t="s">
        <v>35</v>
      </c>
      <c r="I842" s="73">
        <v>43922</v>
      </c>
      <c r="J842" s="74">
        <f>EFEITO!$J$842*EFEITO!$Y$842</f>
        <v>0</v>
      </c>
      <c r="K842" s="74">
        <f ca="1">EFEITO!$L$842*EFEITO!$Z$842</f>
        <v>6043.9309731622234</v>
      </c>
      <c r="L842" s="74">
        <f>EFEITO!$N$842*EFEITO!$AA$842</f>
        <v>3036.7168411190833</v>
      </c>
      <c r="M842" s="74">
        <f>$J$842-EFEITO!$K$842*EFEITO!$Y$842</f>
        <v>0</v>
      </c>
      <c r="N842" s="74">
        <f ca="1">$K$842-EFEITO!$M$842*EFEITO!$Z$842</f>
        <v>0</v>
      </c>
      <c r="O842" s="74">
        <f>$L$842-EFEITO!$O$842*EFEITO!$AA$842</f>
        <v>0</v>
      </c>
      <c r="P842" s="57"/>
      <c r="Q842" s="57"/>
      <c r="R842" s="57"/>
      <c r="S842" s="57"/>
      <c r="T842" s="57"/>
      <c r="U842" s="57"/>
      <c r="V842" s="57"/>
      <c r="W842" s="57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</row>
    <row r="843" spans="1:36" ht="11.25" customHeight="1" x14ac:dyDescent="0.2">
      <c r="A843" s="53" t="s">
        <v>21</v>
      </c>
      <c r="B843" s="53" t="s">
        <v>33</v>
      </c>
      <c r="C843" s="53" t="s">
        <v>34</v>
      </c>
      <c r="D843" s="53" t="s">
        <v>40</v>
      </c>
      <c r="E843" s="53" t="s">
        <v>25</v>
      </c>
      <c r="F843" s="53" t="s">
        <v>25</v>
      </c>
      <c r="G843" s="53" t="s">
        <v>25</v>
      </c>
      <c r="H843" s="53" t="s">
        <v>35</v>
      </c>
      <c r="I843" s="73">
        <v>43952</v>
      </c>
      <c r="J843" s="74">
        <f>EFEITO!$J$843*EFEITO!$Y$843</f>
        <v>0</v>
      </c>
      <c r="K843" s="74">
        <f ca="1">EFEITO!$L$843*EFEITO!$Z$843</f>
        <v>79164.055423806873</v>
      </c>
      <c r="L843" s="74">
        <f>EFEITO!$N$843*EFEITO!$AA$843</f>
        <v>39775.242534078876</v>
      </c>
      <c r="M843" s="74">
        <f>$J$843-EFEITO!$K$843*EFEITO!$Y$843</f>
        <v>0</v>
      </c>
      <c r="N843" s="74">
        <f ca="1">$K$843-EFEITO!$M$843*EFEITO!$Z$843</f>
        <v>0</v>
      </c>
      <c r="O843" s="74">
        <f>$L$843-EFEITO!$O$843*EFEITO!$AA$843</f>
        <v>0</v>
      </c>
      <c r="P843" s="57"/>
      <c r="Q843" s="57"/>
      <c r="R843" s="57"/>
      <c r="S843" s="57"/>
      <c r="T843" s="57"/>
      <c r="U843" s="57"/>
      <c r="V843" s="57"/>
      <c r="W843" s="57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</row>
    <row r="844" spans="1:36" ht="11.25" customHeight="1" x14ac:dyDescent="0.2">
      <c r="A844" s="53" t="s">
        <v>28</v>
      </c>
      <c r="B844" s="53" t="s">
        <v>33</v>
      </c>
      <c r="C844" s="53" t="s">
        <v>34</v>
      </c>
      <c r="D844" s="53" t="s">
        <v>40</v>
      </c>
      <c r="E844" s="53" t="s">
        <v>25</v>
      </c>
      <c r="F844" s="53" t="s">
        <v>25</v>
      </c>
      <c r="G844" s="53" t="s">
        <v>25</v>
      </c>
      <c r="H844" s="53" t="s">
        <v>35</v>
      </c>
      <c r="I844" s="73">
        <v>43952</v>
      </c>
      <c r="J844" s="74">
        <f>EFEITO!$J$844*EFEITO!$Y$844</f>
        <v>0</v>
      </c>
      <c r="K844" s="74">
        <f ca="1">EFEITO!$L$844*EFEITO!$Z$844</f>
        <v>4945.5102630823885</v>
      </c>
      <c r="L844" s="74">
        <f>EFEITO!$N$844*EFEITO!$AA$844</f>
        <v>2484.8255829718687</v>
      </c>
      <c r="M844" s="74">
        <f>$J$844-EFEITO!$K$844*EFEITO!$Y$844</f>
        <v>0</v>
      </c>
      <c r="N844" s="74">
        <f ca="1">$K$844-EFEITO!$M$844*EFEITO!$Z$844</f>
        <v>0</v>
      </c>
      <c r="O844" s="74">
        <f>$L$844-EFEITO!$O$844*EFEITO!$AA$844</f>
        <v>0</v>
      </c>
      <c r="P844" s="57"/>
      <c r="Q844" s="57"/>
      <c r="R844" s="57"/>
      <c r="S844" s="57"/>
      <c r="T844" s="57"/>
      <c r="U844" s="57"/>
      <c r="V844" s="57"/>
      <c r="W844" s="57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</row>
    <row r="845" spans="1:36" ht="11.25" customHeight="1" x14ac:dyDescent="0.2">
      <c r="A845" s="53" t="s">
        <v>21</v>
      </c>
      <c r="B845" s="53" t="s">
        <v>33</v>
      </c>
      <c r="C845" s="53" t="s">
        <v>34</v>
      </c>
      <c r="D845" s="53" t="s">
        <v>40</v>
      </c>
      <c r="E845" s="53" t="s">
        <v>25</v>
      </c>
      <c r="F845" s="53" t="s">
        <v>25</v>
      </c>
      <c r="G845" s="53" t="s">
        <v>25</v>
      </c>
      <c r="H845" s="53" t="s">
        <v>35</v>
      </c>
      <c r="I845" s="73">
        <v>43983</v>
      </c>
      <c r="J845" s="74">
        <f>EFEITO!$J$845*EFEITO!$Y$845</f>
        <v>0</v>
      </c>
      <c r="K845" s="74">
        <f ca="1">EFEITO!$L$845*EFEITO!$Z$845</f>
        <v>212028.09732535607</v>
      </c>
      <c r="L845" s="74">
        <f>EFEITO!$N$845*EFEITO!$AA$845</f>
        <v>106531.54326173058</v>
      </c>
      <c r="M845" s="74">
        <f>$J$845-EFEITO!$K$845*EFEITO!$Y$845</f>
        <v>0</v>
      </c>
      <c r="N845" s="74">
        <f ca="1">$K$845-EFEITO!$M$845*EFEITO!$Z$845</f>
        <v>0</v>
      </c>
      <c r="O845" s="74">
        <f>$L$845-EFEITO!$O$845*EFEITO!$AA$845</f>
        <v>0</v>
      </c>
      <c r="P845" s="57"/>
      <c r="Q845" s="57"/>
      <c r="R845" s="57"/>
      <c r="S845" s="57"/>
      <c r="T845" s="57"/>
      <c r="U845" s="57"/>
      <c r="V845" s="57"/>
      <c r="W845" s="57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</row>
    <row r="846" spans="1:36" ht="11.25" customHeight="1" x14ac:dyDescent="0.2">
      <c r="A846" s="53" t="s">
        <v>27</v>
      </c>
      <c r="B846" s="53" t="s">
        <v>33</v>
      </c>
      <c r="C846" s="53" t="s">
        <v>34</v>
      </c>
      <c r="D846" s="53" t="s">
        <v>40</v>
      </c>
      <c r="E846" s="53" t="s">
        <v>25</v>
      </c>
      <c r="F846" s="53" t="s">
        <v>25</v>
      </c>
      <c r="G846" s="53" t="s">
        <v>25</v>
      </c>
      <c r="H846" s="53" t="s">
        <v>35</v>
      </c>
      <c r="I846" s="73">
        <v>43983</v>
      </c>
      <c r="J846" s="74">
        <f>EFEITO!$J$846*EFEITO!$Y$846</f>
        <v>0</v>
      </c>
      <c r="K846" s="74">
        <f ca="1">EFEITO!$L$846*EFEITO!$Z$846</f>
        <v>4776.5224615316447</v>
      </c>
      <c r="L846" s="74">
        <f>EFEITO!$N$846*EFEITO!$AA$846</f>
        <v>2399.9192355646051</v>
      </c>
      <c r="M846" s="74">
        <f>$J$846-EFEITO!$K$846*EFEITO!$Y$846</f>
        <v>0</v>
      </c>
      <c r="N846" s="74">
        <f ca="1">$K$846-EFEITO!$M$846*EFEITO!$Z$846</f>
        <v>0</v>
      </c>
      <c r="O846" s="74">
        <f>$L$846-EFEITO!$O$846*EFEITO!$AA$846</f>
        <v>0</v>
      </c>
      <c r="P846" s="57"/>
      <c r="Q846" s="57"/>
      <c r="R846" s="57"/>
      <c r="S846" s="57"/>
      <c r="T846" s="57"/>
      <c r="U846" s="57"/>
      <c r="V846" s="57"/>
      <c r="W846" s="57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</row>
    <row r="847" spans="1:36" ht="11.25" customHeight="1" x14ac:dyDescent="0.2">
      <c r="A847" s="53" t="s">
        <v>28</v>
      </c>
      <c r="B847" s="53" t="s">
        <v>33</v>
      </c>
      <c r="C847" s="53" t="s">
        <v>34</v>
      </c>
      <c r="D847" s="53" t="s">
        <v>40</v>
      </c>
      <c r="E847" s="53" t="s">
        <v>25</v>
      </c>
      <c r="F847" s="53" t="s">
        <v>25</v>
      </c>
      <c r="G847" s="53" t="s">
        <v>25</v>
      </c>
      <c r="H847" s="53" t="s">
        <v>35</v>
      </c>
      <c r="I847" s="73">
        <v>43983</v>
      </c>
      <c r="J847" s="74">
        <f>EFEITO!$J$847*EFEITO!$Y$847</f>
        <v>0</v>
      </c>
      <c r="K847" s="74">
        <f ca="1">EFEITO!$L$847*EFEITO!$Z$847</f>
        <v>7050.3804461148839</v>
      </c>
      <c r="L847" s="74">
        <f>EFEITO!$N$847*EFEITO!$AA$847</f>
        <v>3542.3980075357954</v>
      </c>
      <c r="M847" s="74">
        <f>$J$847-EFEITO!$K$847*EFEITO!$Y$847</f>
        <v>0</v>
      </c>
      <c r="N847" s="74">
        <f ca="1">$K$847-EFEITO!$M$847*EFEITO!$Z$847</f>
        <v>0</v>
      </c>
      <c r="O847" s="74">
        <f>$L$847-EFEITO!$O$847*EFEITO!$AA$847</f>
        <v>0</v>
      </c>
      <c r="P847" s="57"/>
      <c r="Q847" s="57"/>
      <c r="R847" s="57"/>
      <c r="S847" s="57"/>
      <c r="T847" s="57"/>
      <c r="U847" s="57"/>
      <c r="V847" s="57"/>
      <c r="W847" s="57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</row>
    <row r="848" spans="1:36" ht="11.25" customHeight="1" x14ac:dyDescent="0.2">
      <c r="A848" s="53" t="s">
        <v>27</v>
      </c>
      <c r="B848" s="53" t="s">
        <v>33</v>
      </c>
      <c r="C848" s="53" t="s">
        <v>34</v>
      </c>
      <c r="D848" s="53" t="s">
        <v>40</v>
      </c>
      <c r="E848" s="53" t="s">
        <v>25</v>
      </c>
      <c r="F848" s="53" t="s">
        <v>25</v>
      </c>
      <c r="G848" s="53" t="s">
        <v>25</v>
      </c>
      <c r="H848" s="53" t="s">
        <v>35</v>
      </c>
      <c r="I848" s="73">
        <v>44013</v>
      </c>
      <c r="J848" s="74">
        <f>EFEITO!$J$848*EFEITO!$Y$848</f>
        <v>0</v>
      </c>
      <c r="K848" s="74">
        <f ca="1">EFEITO!$L$848*EFEITO!$Z$848</f>
        <v>-19579.405237195697</v>
      </c>
      <c r="L848" s="74">
        <f>EFEITO!$N$848*EFEITO!$AA$848</f>
        <v>-9837.489853359295</v>
      </c>
      <c r="M848" s="74">
        <f>$J$848-EFEITO!$K$848*EFEITO!$Y$848</f>
        <v>0</v>
      </c>
      <c r="N848" s="74">
        <f ca="1">$K$848-EFEITO!$M$848*EFEITO!$Z$848</f>
        <v>0</v>
      </c>
      <c r="O848" s="74">
        <f>$L$848-EFEITO!$O$848*EFEITO!$AA$848</f>
        <v>0</v>
      </c>
      <c r="P848" s="57"/>
      <c r="Q848" s="57"/>
      <c r="R848" s="57"/>
      <c r="S848" s="57"/>
      <c r="T848" s="57"/>
      <c r="U848" s="57"/>
      <c r="V848" s="57"/>
      <c r="W848" s="57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</row>
    <row r="849" spans="1:36" ht="11.25" customHeight="1" x14ac:dyDescent="0.2">
      <c r="A849" s="53" t="s">
        <v>28</v>
      </c>
      <c r="B849" s="53" t="s">
        <v>33</v>
      </c>
      <c r="C849" s="53" t="s">
        <v>34</v>
      </c>
      <c r="D849" s="53" t="s">
        <v>40</v>
      </c>
      <c r="E849" s="53" t="s">
        <v>25</v>
      </c>
      <c r="F849" s="53" t="s">
        <v>25</v>
      </c>
      <c r="G849" s="53" t="s">
        <v>25</v>
      </c>
      <c r="H849" s="53" t="s">
        <v>35</v>
      </c>
      <c r="I849" s="73">
        <v>44013</v>
      </c>
      <c r="J849" s="74">
        <f>EFEITO!$J$849*EFEITO!$Y$849</f>
        <v>0</v>
      </c>
      <c r="K849" s="74">
        <f ca="1">EFEITO!$L$849*EFEITO!$Z$849</f>
        <v>10448.082084374088</v>
      </c>
      <c r="L849" s="74">
        <f>EFEITO!$N$849*EFEITO!$AA$849</f>
        <v>5249.5415589455588</v>
      </c>
      <c r="M849" s="74">
        <f>$J$849-EFEITO!$K$849*EFEITO!$Y$849</f>
        <v>0</v>
      </c>
      <c r="N849" s="74">
        <f ca="1">$K$849-EFEITO!$M$849*EFEITO!$Z$849</f>
        <v>0</v>
      </c>
      <c r="O849" s="74">
        <f>$L$849-EFEITO!$O$849*EFEITO!$AA$849</f>
        <v>0</v>
      </c>
      <c r="P849" s="57"/>
      <c r="Q849" s="57"/>
      <c r="R849" s="57"/>
      <c r="S849" s="57"/>
      <c r="T849" s="57"/>
      <c r="U849" s="57"/>
      <c r="V849" s="57"/>
      <c r="W849" s="57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</row>
    <row r="850" spans="1:36" ht="11.25" customHeight="1" x14ac:dyDescent="0.2">
      <c r="A850" s="53" t="s">
        <v>21</v>
      </c>
      <c r="B850" s="53" t="s">
        <v>33</v>
      </c>
      <c r="C850" s="53" t="s">
        <v>34</v>
      </c>
      <c r="D850" s="53" t="s">
        <v>40</v>
      </c>
      <c r="E850" s="53" t="s">
        <v>25</v>
      </c>
      <c r="F850" s="53" t="s">
        <v>25</v>
      </c>
      <c r="G850" s="53" t="s">
        <v>25</v>
      </c>
      <c r="H850" s="53" t="s">
        <v>35</v>
      </c>
      <c r="I850" s="73">
        <v>44044</v>
      </c>
      <c r="J850" s="74">
        <f>EFEITO!$J$850*EFEITO!$Y$850</f>
        <v>0</v>
      </c>
      <c r="K850" s="74">
        <f ca="1">EFEITO!$L$850*EFEITO!$Z$850</f>
        <v>89659.992460832495</v>
      </c>
      <c r="L850" s="74">
        <f>EFEITO!$N$850*EFEITO!$AA$850</f>
        <v>45048.828368396404</v>
      </c>
      <c r="M850" s="74">
        <f>$J$850-EFEITO!$K$850*EFEITO!$Y$850</f>
        <v>0</v>
      </c>
      <c r="N850" s="74">
        <f ca="1">$K$850-EFEITO!$M$850*EFEITO!$Z$850</f>
        <v>0</v>
      </c>
      <c r="O850" s="74">
        <f>$L$850-EFEITO!$O$850*EFEITO!$AA$850</f>
        <v>0</v>
      </c>
      <c r="P850" s="57"/>
      <c r="Q850" s="57"/>
      <c r="R850" s="57"/>
      <c r="S850" s="57"/>
      <c r="T850" s="57"/>
      <c r="U850" s="57"/>
      <c r="V850" s="57"/>
      <c r="W850" s="57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</row>
    <row r="851" spans="1:36" ht="11.25" customHeight="1" x14ac:dyDescent="0.2">
      <c r="A851" s="53" t="s">
        <v>27</v>
      </c>
      <c r="B851" s="53" t="s">
        <v>33</v>
      </c>
      <c r="C851" s="53" t="s">
        <v>34</v>
      </c>
      <c r="D851" s="53" t="s">
        <v>40</v>
      </c>
      <c r="E851" s="53" t="s">
        <v>25</v>
      </c>
      <c r="F851" s="53" t="s">
        <v>25</v>
      </c>
      <c r="G851" s="53" t="s">
        <v>25</v>
      </c>
      <c r="H851" s="53" t="s">
        <v>35</v>
      </c>
      <c r="I851" s="73">
        <v>44044</v>
      </c>
      <c r="J851" s="74">
        <f>EFEITO!$J$851*EFEITO!$Y$851</f>
        <v>0</v>
      </c>
      <c r="K851" s="74">
        <f ca="1">EFEITO!$L$851*EFEITO!$Z$851</f>
        <v>1471.5397940347959</v>
      </c>
      <c r="L851" s="74">
        <f>EFEITO!$N$851*EFEITO!$AA$851</f>
        <v>739.3614676880311</v>
      </c>
      <c r="M851" s="74">
        <f>$J$851-EFEITO!$K$851*EFEITO!$Y$851</f>
        <v>0</v>
      </c>
      <c r="N851" s="74">
        <f ca="1">$K$851-EFEITO!$M$851*EFEITO!$Z$851</f>
        <v>0</v>
      </c>
      <c r="O851" s="74">
        <f>$L$851-EFEITO!$O$851*EFEITO!$AA$851</f>
        <v>0</v>
      </c>
      <c r="P851" s="57"/>
      <c r="Q851" s="57"/>
      <c r="R851" s="57"/>
      <c r="S851" s="57"/>
      <c r="T851" s="57"/>
      <c r="U851" s="57"/>
      <c r="V851" s="57"/>
      <c r="W851" s="57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</row>
    <row r="852" spans="1:36" ht="11.25" customHeight="1" x14ac:dyDescent="0.2">
      <c r="A852" s="53" t="s">
        <v>28</v>
      </c>
      <c r="B852" s="53" t="s">
        <v>33</v>
      </c>
      <c r="C852" s="53" t="s">
        <v>34</v>
      </c>
      <c r="D852" s="53" t="s">
        <v>40</v>
      </c>
      <c r="E852" s="53" t="s">
        <v>25</v>
      </c>
      <c r="F852" s="53" t="s">
        <v>25</v>
      </c>
      <c r="G852" s="53" t="s">
        <v>25</v>
      </c>
      <c r="H852" s="53" t="s">
        <v>35</v>
      </c>
      <c r="I852" s="73">
        <v>44044</v>
      </c>
      <c r="J852" s="74">
        <f>EFEITO!$J$852*EFEITO!$Y$852</f>
        <v>0</v>
      </c>
      <c r="K852" s="74">
        <f ca="1">EFEITO!$L$852*EFEITO!$Z$852</f>
        <v>9004.9561684761411</v>
      </c>
      <c r="L852" s="74">
        <f>EFEITO!$N$852*EFEITO!$AA$852</f>
        <v>4524.4563797596329</v>
      </c>
      <c r="M852" s="74">
        <f>$J$852-EFEITO!$K$852*EFEITO!$Y$852</f>
        <v>0</v>
      </c>
      <c r="N852" s="74">
        <f ca="1">$K$852-EFEITO!$M$852*EFEITO!$Z$852</f>
        <v>0</v>
      </c>
      <c r="O852" s="74">
        <f>$L$852-EFEITO!$O$852*EFEITO!$AA$852</f>
        <v>0</v>
      </c>
      <c r="P852" s="57"/>
      <c r="Q852" s="57"/>
      <c r="R852" s="57"/>
      <c r="S852" s="57"/>
      <c r="T852" s="57"/>
      <c r="U852" s="57"/>
      <c r="V852" s="57"/>
      <c r="W852" s="57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</row>
    <row r="853" spans="1:36" ht="11.25" customHeight="1" x14ac:dyDescent="0.2">
      <c r="A853" s="53" t="s">
        <v>59</v>
      </c>
      <c r="B853" s="53" t="s">
        <v>33</v>
      </c>
      <c r="C853" s="53" t="s">
        <v>34</v>
      </c>
      <c r="D853" s="53" t="s">
        <v>40</v>
      </c>
      <c r="E853" s="53" t="s">
        <v>25</v>
      </c>
      <c r="F853" s="53" t="s">
        <v>25</v>
      </c>
      <c r="G853" s="53" t="s">
        <v>25</v>
      </c>
      <c r="H853" s="53" t="s">
        <v>35</v>
      </c>
      <c r="I853" s="73">
        <v>44075</v>
      </c>
      <c r="J853" s="74">
        <f>EFEITO!$J$853*EFEITO!$Y$853</f>
        <v>0</v>
      </c>
      <c r="K853" s="74">
        <f ca="1">EFEITO!$L$853*EFEITO!$Z$853</f>
        <v>89659.992460832495</v>
      </c>
      <c r="L853" s="74">
        <f>EFEITO!$N$853*EFEITO!$AA$853</f>
        <v>45048.828368396404</v>
      </c>
      <c r="M853" s="74">
        <f>$J$853-EFEITO!$K$853*EFEITO!$Y$853</f>
        <v>0</v>
      </c>
      <c r="N853" s="74">
        <f ca="1">$K$853-EFEITO!$M$853*EFEITO!$Z$853</f>
        <v>0</v>
      </c>
      <c r="O853" s="74">
        <f>$L$853-EFEITO!$O$853*EFEITO!$AA$853</f>
        <v>0</v>
      </c>
      <c r="P853" s="57"/>
      <c r="Q853" s="57"/>
      <c r="R853" s="57"/>
      <c r="S853" s="57"/>
      <c r="T853" s="57"/>
      <c r="U853" s="57"/>
      <c r="V853" s="57"/>
      <c r="W853" s="57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</row>
    <row r="854" spans="1:36" ht="11.25" customHeight="1" x14ac:dyDescent="0.2">
      <c r="A854" s="53" t="s">
        <v>59</v>
      </c>
      <c r="B854" s="53" t="s">
        <v>33</v>
      </c>
      <c r="C854" s="53" t="s">
        <v>34</v>
      </c>
      <c r="D854" s="53" t="s">
        <v>40</v>
      </c>
      <c r="E854" s="53" t="s">
        <v>25</v>
      </c>
      <c r="F854" s="53" t="s">
        <v>25</v>
      </c>
      <c r="G854" s="53" t="s">
        <v>25</v>
      </c>
      <c r="H854" s="53" t="s">
        <v>35</v>
      </c>
      <c r="I854" s="73">
        <v>44075</v>
      </c>
      <c r="J854" s="74">
        <f>EFEITO!$J$854*EFEITO!$Y$854</f>
        <v>0</v>
      </c>
      <c r="K854" s="74">
        <f ca="1">EFEITO!$L$854*EFEITO!$Z$854</f>
        <v>1471.5397940347959</v>
      </c>
      <c r="L854" s="74">
        <f>EFEITO!$N$854*EFEITO!$AA$854</f>
        <v>739.3614676880311</v>
      </c>
      <c r="M854" s="74">
        <f>$J$854-EFEITO!$K$854*EFEITO!$Y$854</f>
        <v>0</v>
      </c>
      <c r="N854" s="74">
        <f ca="1">$K$854-EFEITO!$M$854*EFEITO!$Z$854</f>
        <v>0</v>
      </c>
      <c r="O854" s="74">
        <f>$L$854-EFEITO!$O$854*EFEITO!$AA$854</f>
        <v>0</v>
      </c>
      <c r="P854" s="57"/>
      <c r="Q854" s="57"/>
      <c r="R854" s="57"/>
      <c r="S854" s="57"/>
      <c r="T854" s="57"/>
      <c r="U854" s="57"/>
      <c r="V854" s="57"/>
      <c r="W854" s="57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</row>
    <row r="855" spans="1:36" ht="11.25" customHeight="1" x14ac:dyDescent="0.2">
      <c r="A855" s="53" t="s">
        <v>59</v>
      </c>
      <c r="B855" s="53" t="s">
        <v>33</v>
      </c>
      <c r="C855" s="53" t="s">
        <v>34</v>
      </c>
      <c r="D855" s="53" t="s">
        <v>40</v>
      </c>
      <c r="E855" s="53" t="s">
        <v>25</v>
      </c>
      <c r="F855" s="53" t="s">
        <v>25</v>
      </c>
      <c r="G855" s="53" t="s">
        <v>25</v>
      </c>
      <c r="H855" s="53" t="s">
        <v>35</v>
      </c>
      <c r="I855" s="73">
        <v>44075</v>
      </c>
      <c r="J855" s="74">
        <f>EFEITO!$J$855*EFEITO!$Y$855</f>
        <v>0</v>
      </c>
      <c r="K855" s="74">
        <f ca="1">EFEITO!$L$855*EFEITO!$Z$855</f>
        <v>9004.9561684761411</v>
      </c>
      <c r="L855" s="74">
        <f>EFEITO!$N$855*EFEITO!$AA$855</f>
        <v>4524.4563797596329</v>
      </c>
      <c r="M855" s="74">
        <f>$J$855-EFEITO!$K$855*EFEITO!$Y$855</f>
        <v>0</v>
      </c>
      <c r="N855" s="74">
        <f ca="1">$K$855-EFEITO!$M$855*EFEITO!$Z$855</f>
        <v>0</v>
      </c>
      <c r="O855" s="74">
        <f>$L$855-EFEITO!$O$855*EFEITO!$AA$855</f>
        <v>0</v>
      </c>
      <c r="P855" s="57"/>
      <c r="Q855" s="57"/>
      <c r="R855" s="57"/>
      <c r="S855" s="57"/>
      <c r="T855" s="57"/>
      <c r="U855" s="57"/>
      <c r="V855" s="57"/>
      <c r="W855" s="57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</row>
    <row r="856" spans="1:36" ht="11.25" customHeight="1" x14ac:dyDescent="0.2">
      <c r="A856" s="53" t="s">
        <v>21</v>
      </c>
      <c r="B856" s="53" t="s">
        <v>33</v>
      </c>
      <c r="C856" s="53" t="s">
        <v>34</v>
      </c>
      <c r="D856" s="53" t="s">
        <v>48</v>
      </c>
      <c r="E856" s="53" t="s">
        <v>25</v>
      </c>
      <c r="F856" s="53" t="s">
        <v>25</v>
      </c>
      <c r="G856" s="53" t="s">
        <v>25</v>
      </c>
      <c r="H856" s="53" t="s">
        <v>36</v>
      </c>
      <c r="I856" s="73">
        <v>43739</v>
      </c>
      <c r="J856" s="74">
        <f>EFEITO!$J$856*EFEITO!$Y$856</f>
        <v>0</v>
      </c>
      <c r="K856" s="74">
        <f ca="1">EFEITO!$L$856*EFEITO!$Z$856</f>
        <v>852892.81103018043</v>
      </c>
      <c r="L856" s="74">
        <f>EFEITO!$N$856*EFEITO!$AA$856</f>
        <v>2249523.2291937885</v>
      </c>
      <c r="M856" s="74">
        <f>$J$856-EFEITO!$K$856*EFEITO!$Y$856</f>
        <v>0</v>
      </c>
      <c r="N856" s="74">
        <f ca="1">$K$856-EFEITO!$M$856*EFEITO!$Z$856</f>
        <v>0</v>
      </c>
      <c r="O856" s="74">
        <f>$L$856-EFEITO!$O$856*EFEITO!$AA$856</f>
        <v>0</v>
      </c>
      <c r="P856" s="57"/>
      <c r="Q856" s="57"/>
      <c r="R856" s="57"/>
      <c r="S856" s="57"/>
      <c r="T856" s="57"/>
      <c r="U856" s="57"/>
      <c r="V856" s="57"/>
      <c r="W856" s="57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</row>
    <row r="857" spans="1:36" ht="11.25" customHeight="1" x14ac:dyDescent="0.2">
      <c r="A857" s="53" t="s">
        <v>28</v>
      </c>
      <c r="B857" s="53" t="s">
        <v>33</v>
      </c>
      <c r="C857" s="53" t="s">
        <v>34</v>
      </c>
      <c r="D857" s="53" t="s">
        <v>48</v>
      </c>
      <c r="E857" s="53" t="s">
        <v>25</v>
      </c>
      <c r="F857" s="53" t="s">
        <v>25</v>
      </c>
      <c r="G857" s="53" t="s">
        <v>25</v>
      </c>
      <c r="H857" s="53" t="s">
        <v>36</v>
      </c>
      <c r="I857" s="73">
        <v>43739</v>
      </c>
      <c r="J857" s="74">
        <f>EFEITO!$J$857*EFEITO!$Y$857</f>
        <v>0</v>
      </c>
      <c r="K857" s="74">
        <f ca="1">EFEITO!$L$857*EFEITO!$Z$857</f>
        <v>118068.52037539863</v>
      </c>
      <c r="L857" s="74">
        <f>EFEITO!$N$857*EFEITO!$AA$857</f>
        <v>311408.27520892414</v>
      </c>
      <c r="M857" s="74">
        <f>$J$857-EFEITO!$K$857*EFEITO!$Y$857</f>
        <v>0</v>
      </c>
      <c r="N857" s="74">
        <f ca="1">$K$857-EFEITO!$M$857*EFEITO!$Z$857</f>
        <v>0</v>
      </c>
      <c r="O857" s="74">
        <f>$L$857-EFEITO!$O$857*EFEITO!$AA$857</f>
        <v>0</v>
      </c>
      <c r="P857" s="57"/>
      <c r="Q857" s="57"/>
      <c r="R857" s="57"/>
      <c r="S857" s="57"/>
      <c r="T857" s="57"/>
      <c r="U857" s="57"/>
      <c r="V857" s="57"/>
      <c r="W857" s="57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</row>
    <row r="858" spans="1:36" ht="11.25" customHeight="1" x14ac:dyDescent="0.2">
      <c r="A858" s="53" t="s">
        <v>21</v>
      </c>
      <c r="B858" s="53" t="s">
        <v>33</v>
      </c>
      <c r="C858" s="53" t="s">
        <v>34</v>
      </c>
      <c r="D858" s="53" t="s">
        <v>48</v>
      </c>
      <c r="E858" s="53" t="s">
        <v>25</v>
      </c>
      <c r="F858" s="53" t="s">
        <v>25</v>
      </c>
      <c r="G858" s="53" t="s">
        <v>25</v>
      </c>
      <c r="H858" s="53" t="s">
        <v>36</v>
      </c>
      <c r="I858" s="73">
        <v>43770</v>
      </c>
      <c r="J858" s="74">
        <f>EFEITO!$J$858*EFEITO!$Y$858</f>
        <v>0</v>
      </c>
      <c r="K858" s="74">
        <f ca="1">EFEITO!$L$858*EFEITO!$Z$858</f>
        <v>867157.67935625918</v>
      </c>
      <c r="L858" s="74">
        <f>EFEITO!$N$858*EFEITO!$AA$858</f>
        <v>2287147.1278196257</v>
      </c>
      <c r="M858" s="74">
        <f>$J$858-EFEITO!$K$858*EFEITO!$Y$858</f>
        <v>0</v>
      </c>
      <c r="N858" s="74">
        <f ca="1">$K$858-EFEITO!$M$858*EFEITO!$Z$858</f>
        <v>0</v>
      </c>
      <c r="O858" s="74">
        <f>$L$858-EFEITO!$O$858*EFEITO!$AA$858</f>
        <v>0</v>
      </c>
      <c r="P858" s="57"/>
      <c r="Q858" s="57"/>
      <c r="R858" s="57"/>
      <c r="S858" s="57"/>
      <c r="T858" s="57"/>
      <c r="U858" s="57"/>
      <c r="V858" s="57"/>
      <c r="W858" s="57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</row>
    <row r="859" spans="1:36" ht="11.25" customHeight="1" x14ac:dyDescent="0.2">
      <c r="A859" s="53" t="s">
        <v>28</v>
      </c>
      <c r="B859" s="53" t="s">
        <v>33</v>
      </c>
      <c r="C859" s="53" t="s">
        <v>34</v>
      </c>
      <c r="D859" s="53" t="s">
        <v>48</v>
      </c>
      <c r="E859" s="53" t="s">
        <v>25</v>
      </c>
      <c r="F859" s="53" t="s">
        <v>25</v>
      </c>
      <c r="G859" s="53" t="s">
        <v>25</v>
      </c>
      <c r="H859" s="53" t="s">
        <v>36</v>
      </c>
      <c r="I859" s="73">
        <v>43770</v>
      </c>
      <c r="J859" s="74">
        <f>EFEITO!$J$859*EFEITO!$Y$859</f>
        <v>0</v>
      </c>
      <c r="K859" s="74">
        <f ca="1">EFEITO!$L$859*EFEITO!$Z$859</f>
        <v>123520.62654838615</v>
      </c>
      <c r="L859" s="74">
        <f>EFEITO!$N$859*EFEITO!$AA$859</f>
        <v>325788.32311828824</v>
      </c>
      <c r="M859" s="74">
        <f>$J$859-EFEITO!$K$859*EFEITO!$Y$859</f>
        <v>0</v>
      </c>
      <c r="N859" s="74">
        <f ca="1">$K$859-EFEITO!$M$859*EFEITO!$Z$859</f>
        <v>0</v>
      </c>
      <c r="O859" s="74">
        <f>$L$859-EFEITO!$O$859*EFEITO!$AA$859</f>
        <v>0</v>
      </c>
      <c r="P859" s="57"/>
      <c r="Q859" s="57"/>
      <c r="R859" s="57"/>
      <c r="S859" s="57"/>
      <c r="T859" s="57"/>
      <c r="U859" s="57"/>
      <c r="V859" s="57"/>
      <c r="W859" s="57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</row>
    <row r="860" spans="1:36" ht="11.25" customHeight="1" x14ac:dyDescent="0.2">
      <c r="A860" s="53" t="s">
        <v>21</v>
      </c>
      <c r="B860" s="53" t="s">
        <v>33</v>
      </c>
      <c r="C860" s="53" t="s">
        <v>34</v>
      </c>
      <c r="D860" s="53" t="s">
        <v>48</v>
      </c>
      <c r="E860" s="53" t="s">
        <v>25</v>
      </c>
      <c r="F860" s="53" t="s">
        <v>25</v>
      </c>
      <c r="G860" s="53" t="s">
        <v>25</v>
      </c>
      <c r="H860" s="53" t="s">
        <v>36</v>
      </c>
      <c r="I860" s="73">
        <v>43800</v>
      </c>
      <c r="J860" s="74">
        <f>EFEITO!$J$860*EFEITO!$Y$860</f>
        <v>0</v>
      </c>
      <c r="K860" s="74">
        <f ca="1">EFEITO!$L$860*EFEITO!$Z$860</f>
        <v>782080.89526409283</v>
      </c>
      <c r="L860" s="74">
        <f>EFEITO!$N$860*EFEITO!$AA$860</f>
        <v>2062755.2703606929</v>
      </c>
      <c r="M860" s="74">
        <f>$J$860-EFEITO!$K$860*EFEITO!$Y$860</f>
        <v>0</v>
      </c>
      <c r="N860" s="74">
        <f ca="1">$K$860-EFEITO!$M$860*EFEITO!$Z$860</f>
        <v>0</v>
      </c>
      <c r="O860" s="74">
        <f>$L$860-EFEITO!$O$860*EFEITO!$AA$860</f>
        <v>0</v>
      </c>
      <c r="P860" s="57"/>
      <c r="Q860" s="57"/>
      <c r="R860" s="57"/>
      <c r="S860" s="57"/>
      <c r="T860" s="57"/>
      <c r="U860" s="57"/>
      <c r="V860" s="57"/>
      <c r="W860" s="57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</row>
    <row r="861" spans="1:36" ht="11.25" customHeight="1" x14ac:dyDescent="0.2">
      <c r="A861" s="53" t="s">
        <v>28</v>
      </c>
      <c r="B861" s="53" t="s">
        <v>33</v>
      </c>
      <c r="C861" s="53" t="s">
        <v>34</v>
      </c>
      <c r="D861" s="53" t="s">
        <v>48</v>
      </c>
      <c r="E861" s="53" t="s">
        <v>25</v>
      </c>
      <c r="F861" s="53" t="s">
        <v>25</v>
      </c>
      <c r="G861" s="53" t="s">
        <v>25</v>
      </c>
      <c r="H861" s="53" t="s">
        <v>36</v>
      </c>
      <c r="I861" s="73">
        <v>43800</v>
      </c>
      <c r="J861" s="74">
        <f>EFEITO!$J$861*EFEITO!$Y$861</f>
        <v>0</v>
      </c>
      <c r="K861" s="74">
        <f ca="1">EFEITO!$L$861*EFEITO!$Z$861</f>
        <v>118033.3375918886</v>
      </c>
      <c r="L861" s="74">
        <f>EFEITO!$N$861*EFEITO!$AA$861</f>
        <v>311315.47985674156</v>
      </c>
      <c r="M861" s="74">
        <f>$J$861-EFEITO!$K$861*EFEITO!$Y$861</f>
        <v>0</v>
      </c>
      <c r="N861" s="74">
        <f ca="1">$K$861-EFEITO!$M$861*EFEITO!$Z$861</f>
        <v>0</v>
      </c>
      <c r="O861" s="74">
        <f>$L$861-EFEITO!$O$861*EFEITO!$AA$861</f>
        <v>0</v>
      </c>
      <c r="P861" s="57"/>
      <c r="Q861" s="57"/>
      <c r="R861" s="57"/>
      <c r="S861" s="57"/>
      <c r="T861" s="57"/>
      <c r="U861" s="57"/>
      <c r="V861" s="57"/>
      <c r="W861" s="57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</row>
    <row r="862" spans="1:36" ht="11.25" customHeight="1" x14ac:dyDescent="0.2">
      <c r="A862" s="53" t="s">
        <v>21</v>
      </c>
      <c r="B862" s="53" t="s">
        <v>33</v>
      </c>
      <c r="C862" s="53" t="s">
        <v>34</v>
      </c>
      <c r="D862" s="53" t="s">
        <v>48</v>
      </c>
      <c r="E862" s="53" t="s">
        <v>25</v>
      </c>
      <c r="F862" s="53" t="s">
        <v>25</v>
      </c>
      <c r="G862" s="53" t="s">
        <v>25</v>
      </c>
      <c r="H862" s="53" t="s">
        <v>36</v>
      </c>
      <c r="I862" s="73">
        <v>43831</v>
      </c>
      <c r="J862" s="74">
        <f>EFEITO!$J$862*EFEITO!$Y$862</f>
        <v>0</v>
      </c>
      <c r="K862" s="74">
        <f ca="1">EFEITO!$L$862*EFEITO!$Z$862</f>
        <v>733419.25481779152</v>
      </c>
      <c r="L862" s="74">
        <f>EFEITO!$N$862*EFEITO!$AA$862</f>
        <v>1934409.1415870066</v>
      </c>
      <c r="M862" s="74">
        <f>$J$862-EFEITO!$K$862*EFEITO!$Y$862</f>
        <v>0</v>
      </c>
      <c r="N862" s="74">
        <f ca="1">$K$862-EFEITO!$M$862*EFEITO!$Z$862</f>
        <v>0</v>
      </c>
      <c r="O862" s="74">
        <f>$L$862-EFEITO!$O$862*EFEITO!$AA$862</f>
        <v>0</v>
      </c>
      <c r="P862" s="57"/>
      <c r="Q862" s="57"/>
      <c r="R862" s="57"/>
      <c r="S862" s="57"/>
      <c r="T862" s="57"/>
      <c r="U862" s="57"/>
      <c r="V862" s="57"/>
      <c r="W862" s="57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</row>
    <row r="863" spans="1:36" ht="11.25" customHeight="1" x14ac:dyDescent="0.2">
      <c r="A863" s="53" t="s">
        <v>28</v>
      </c>
      <c r="B863" s="53" t="s">
        <v>33</v>
      </c>
      <c r="C863" s="53" t="s">
        <v>34</v>
      </c>
      <c r="D863" s="53" t="s">
        <v>48</v>
      </c>
      <c r="E863" s="53" t="s">
        <v>25</v>
      </c>
      <c r="F863" s="53" t="s">
        <v>25</v>
      </c>
      <c r="G863" s="53" t="s">
        <v>25</v>
      </c>
      <c r="H863" s="53" t="s">
        <v>36</v>
      </c>
      <c r="I863" s="73">
        <v>43831</v>
      </c>
      <c r="J863" s="74">
        <f>EFEITO!$J$863*EFEITO!$Y$863</f>
        <v>0</v>
      </c>
      <c r="K863" s="74">
        <f ca="1">EFEITO!$L$863*EFEITO!$Z$863</f>
        <v>111184.15984384973</v>
      </c>
      <c r="L863" s="74">
        <f>EFEITO!$N$863*EFEITO!$AA$863</f>
        <v>293250.62546257616</v>
      </c>
      <c r="M863" s="74">
        <f>$J$863-EFEITO!$K$863*EFEITO!$Y$863</f>
        <v>0</v>
      </c>
      <c r="N863" s="74">
        <f ca="1">$K$863-EFEITO!$M$863*EFEITO!$Z$863</f>
        <v>0</v>
      </c>
      <c r="O863" s="74">
        <f>$L$863-EFEITO!$O$863*EFEITO!$AA$863</f>
        <v>0</v>
      </c>
      <c r="P863" s="57"/>
      <c r="Q863" s="57"/>
      <c r="R863" s="57"/>
      <c r="S863" s="57"/>
      <c r="T863" s="57"/>
      <c r="U863" s="57"/>
      <c r="V863" s="57"/>
      <c r="W863" s="57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</row>
    <row r="864" spans="1:36" ht="11.25" customHeight="1" x14ac:dyDescent="0.2">
      <c r="A864" s="53" t="s">
        <v>21</v>
      </c>
      <c r="B864" s="53" t="s">
        <v>33</v>
      </c>
      <c r="C864" s="53" t="s">
        <v>34</v>
      </c>
      <c r="D864" s="53" t="s">
        <v>48</v>
      </c>
      <c r="E864" s="53" t="s">
        <v>25</v>
      </c>
      <c r="F864" s="53" t="s">
        <v>25</v>
      </c>
      <c r="G864" s="53" t="s">
        <v>25</v>
      </c>
      <c r="H864" s="53" t="s">
        <v>36</v>
      </c>
      <c r="I864" s="73">
        <v>43862</v>
      </c>
      <c r="J864" s="74">
        <f>EFEITO!$J$864*EFEITO!$Y$864</f>
        <v>0</v>
      </c>
      <c r="K864" s="74">
        <f ca="1">EFEITO!$L$864*EFEITO!$Z$864</f>
        <v>780171.9229409066</v>
      </c>
      <c r="L864" s="74">
        <f>EFEITO!$N$864*EFEITO!$AA$864</f>
        <v>2057720.3145850564</v>
      </c>
      <c r="M864" s="74">
        <f>$J$864-EFEITO!$K$864*EFEITO!$Y$864</f>
        <v>0</v>
      </c>
      <c r="N864" s="74">
        <f ca="1">$K$864-EFEITO!$M$864*EFEITO!$Z$864</f>
        <v>0</v>
      </c>
      <c r="O864" s="74">
        <f>$L$864-EFEITO!$O$864*EFEITO!$AA$864</f>
        <v>0</v>
      </c>
      <c r="P864" s="57"/>
      <c r="Q864" s="57"/>
      <c r="R864" s="57"/>
      <c r="S864" s="57"/>
      <c r="T864" s="57"/>
      <c r="U864" s="57"/>
      <c r="V864" s="57"/>
      <c r="W864" s="57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</row>
    <row r="865" spans="1:36" ht="11.25" customHeight="1" x14ac:dyDescent="0.2">
      <c r="A865" s="53" t="s">
        <v>28</v>
      </c>
      <c r="B865" s="53" t="s">
        <v>33</v>
      </c>
      <c r="C865" s="53" t="s">
        <v>34</v>
      </c>
      <c r="D865" s="53" t="s">
        <v>48</v>
      </c>
      <c r="E865" s="53" t="s">
        <v>25</v>
      </c>
      <c r="F865" s="53" t="s">
        <v>25</v>
      </c>
      <c r="G865" s="53" t="s">
        <v>25</v>
      </c>
      <c r="H865" s="53" t="s">
        <v>36</v>
      </c>
      <c r="I865" s="73">
        <v>43862</v>
      </c>
      <c r="J865" s="74">
        <f>EFEITO!$J$865*EFEITO!$Y$865</f>
        <v>0</v>
      </c>
      <c r="K865" s="74">
        <f ca="1">EFEITO!$L$865*EFEITO!$Z$865</f>
        <v>116713.19553600468</v>
      </c>
      <c r="L865" s="74">
        <f>EFEITO!$N$865*EFEITO!$AA$865</f>
        <v>307833.57664201112</v>
      </c>
      <c r="M865" s="74">
        <f>$J$865-EFEITO!$K$865*EFEITO!$Y$865</f>
        <v>0</v>
      </c>
      <c r="N865" s="74">
        <f ca="1">$K$865-EFEITO!$M$865*EFEITO!$Z$865</f>
        <v>0</v>
      </c>
      <c r="O865" s="74">
        <f>$L$865-EFEITO!$O$865*EFEITO!$AA$865</f>
        <v>0</v>
      </c>
      <c r="P865" s="57"/>
      <c r="Q865" s="57"/>
      <c r="R865" s="57"/>
      <c r="S865" s="57"/>
      <c r="T865" s="57"/>
      <c r="U865" s="57"/>
      <c r="V865" s="57"/>
      <c r="W865" s="57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</row>
    <row r="866" spans="1:36" ht="11.25" customHeight="1" x14ac:dyDescent="0.2">
      <c r="A866" s="53" t="s">
        <v>21</v>
      </c>
      <c r="B866" s="53" t="s">
        <v>33</v>
      </c>
      <c r="C866" s="53" t="s">
        <v>34</v>
      </c>
      <c r="D866" s="53" t="s">
        <v>48</v>
      </c>
      <c r="E866" s="53" t="s">
        <v>25</v>
      </c>
      <c r="F866" s="53" t="s">
        <v>25</v>
      </c>
      <c r="G866" s="53" t="s">
        <v>25</v>
      </c>
      <c r="H866" s="53" t="s">
        <v>36</v>
      </c>
      <c r="I866" s="73">
        <v>43891</v>
      </c>
      <c r="J866" s="74">
        <f>EFEITO!$J$866*EFEITO!$Y$866</f>
        <v>0</v>
      </c>
      <c r="K866" s="74">
        <f ca="1">EFEITO!$L$866*EFEITO!$Z$866</f>
        <v>720318.39400585054</v>
      </c>
      <c r="L866" s="74">
        <f>EFEITO!$N$866*EFEITO!$AA$866</f>
        <v>1899855.3379463132</v>
      </c>
      <c r="M866" s="74">
        <f>$J$866-EFEITO!$K$866*EFEITO!$Y$866</f>
        <v>0</v>
      </c>
      <c r="N866" s="74">
        <f ca="1">$K$866-EFEITO!$M$866*EFEITO!$Z$866</f>
        <v>0</v>
      </c>
      <c r="O866" s="74">
        <f>$L$866-EFEITO!$O$866*EFEITO!$AA$866</f>
        <v>0</v>
      </c>
      <c r="P866" s="57"/>
      <c r="Q866" s="57"/>
      <c r="R866" s="57"/>
      <c r="S866" s="57"/>
      <c r="T866" s="57"/>
      <c r="U866" s="57"/>
      <c r="V866" s="57"/>
      <c r="W866" s="57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</row>
    <row r="867" spans="1:36" ht="11.25" customHeight="1" x14ac:dyDescent="0.2">
      <c r="A867" s="53" t="s">
        <v>28</v>
      </c>
      <c r="B867" s="53" t="s">
        <v>33</v>
      </c>
      <c r="C867" s="53" t="s">
        <v>34</v>
      </c>
      <c r="D867" s="53" t="s">
        <v>48</v>
      </c>
      <c r="E867" s="53" t="s">
        <v>25</v>
      </c>
      <c r="F867" s="53" t="s">
        <v>25</v>
      </c>
      <c r="G867" s="53" t="s">
        <v>25</v>
      </c>
      <c r="H867" s="53" t="s">
        <v>36</v>
      </c>
      <c r="I867" s="73">
        <v>43891</v>
      </c>
      <c r="J867" s="74">
        <f>EFEITO!$J$867*EFEITO!$Y$867</f>
        <v>0</v>
      </c>
      <c r="K867" s="74">
        <f ca="1">EFEITO!$L$867*EFEITO!$Z$867</f>
        <v>104884.5161695907</v>
      </c>
      <c r="L867" s="74">
        <f>EFEITO!$N$867*EFEITO!$AA$867</f>
        <v>276635.17906929197</v>
      </c>
      <c r="M867" s="74">
        <f>$J$867-EFEITO!$K$867*EFEITO!$Y$867</f>
        <v>0</v>
      </c>
      <c r="N867" s="74">
        <f ca="1">$K$867-EFEITO!$M$867*EFEITO!$Z$867</f>
        <v>0</v>
      </c>
      <c r="O867" s="74">
        <f>$L$867-EFEITO!$O$867*EFEITO!$AA$867</f>
        <v>0</v>
      </c>
      <c r="P867" s="57"/>
      <c r="Q867" s="57"/>
      <c r="R867" s="57"/>
      <c r="S867" s="57"/>
      <c r="T867" s="57"/>
      <c r="U867" s="57"/>
      <c r="V867" s="57"/>
      <c r="W867" s="57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</row>
    <row r="868" spans="1:36" ht="11.25" customHeight="1" x14ac:dyDescent="0.2">
      <c r="A868" s="53" t="s">
        <v>21</v>
      </c>
      <c r="B868" s="53" t="s">
        <v>33</v>
      </c>
      <c r="C868" s="53" t="s">
        <v>34</v>
      </c>
      <c r="D868" s="53" t="s">
        <v>48</v>
      </c>
      <c r="E868" s="53" t="s">
        <v>25</v>
      </c>
      <c r="F868" s="53" t="s">
        <v>25</v>
      </c>
      <c r="G868" s="53" t="s">
        <v>25</v>
      </c>
      <c r="H868" s="53" t="s">
        <v>36</v>
      </c>
      <c r="I868" s="73">
        <v>43922</v>
      </c>
      <c r="J868" s="74">
        <f>EFEITO!$J$868*EFEITO!$Y$868</f>
        <v>0</v>
      </c>
      <c r="K868" s="74">
        <f ca="1">EFEITO!$L$868*EFEITO!$Z$868</f>
        <v>683680.60110314586</v>
      </c>
      <c r="L868" s="74">
        <f>EFEITO!$N$868*EFEITO!$AA$868</f>
        <v>1803222.3670323293</v>
      </c>
      <c r="M868" s="74">
        <f>$J$868-EFEITO!$K$868*EFEITO!$Y$868</f>
        <v>0</v>
      </c>
      <c r="N868" s="74">
        <f ca="1">$K$868-EFEITO!$M$868*EFEITO!$Z$868</f>
        <v>0</v>
      </c>
      <c r="O868" s="74">
        <f>$L$868-EFEITO!$O$868*EFEITO!$AA$868</f>
        <v>0</v>
      </c>
      <c r="P868" s="57"/>
      <c r="Q868" s="57"/>
      <c r="R868" s="57"/>
      <c r="S868" s="57"/>
      <c r="T868" s="57"/>
      <c r="U868" s="57"/>
      <c r="V868" s="57"/>
      <c r="W868" s="57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</row>
    <row r="869" spans="1:36" ht="11.25" customHeight="1" x14ac:dyDescent="0.2">
      <c r="A869" s="53" t="s">
        <v>27</v>
      </c>
      <c r="B869" s="53" t="s">
        <v>33</v>
      </c>
      <c r="C869" s="53" t="s">
        <v>34</v>
      </c>
      <c r="D869" s="53" t="s">
        <v>48</v>
      </c>
      <c r="E869" s="53" t="s">
        <v>25</v>
      </c>
      <c r="F869" s="53" t="s">
        <v>25</v>
      </c>
      <c r="G869" s="53" t="s">
        <v>25</v>
      </c>
      <c r="H869" s="53" t="s">
        <v>36</v>
      </c>
      <c r="I869" s="73">
        <v>43922</v>
      </c>
      <c r="J869" s="74">
        <f>EFEITO!$J$869*EFEITO!$Y$869</f>
        <v>0</v>
      </c>
      <c r="K869" s="74">
        <f ca="1">EFEITO!$L$869*EFEITO!$Z$869</f>
        <v>3604.9225193488405</v>
      </c>
      <c r="L869" s="74">
        <f>EFEITO!$N$869*EFEITO!$AA$869</f>
        <v>9508.0610855706382</v>
      </c>
      <c r="M869" s="74">
        <f>$J$869-EFEITO!$K$869*EFEITO!$Y$869</f>
        <v>0</v>
      </c>
      <c r="N869" s="74">
        <f ca="1">$K$869-EFEITO!$M$869*EFEITO!$Z$869</f>
        <v>0</v>
      </c>
      <c r="O869" s="74">
        <f>$L$869-EFEITO!$O$869*EFEITO!$AA$869</f>
        <v>0</v>
      </c>
      <c r="P869" s="57"/>
      <c r="Q869" s="57"/>
      <c r="R869" s="57"/>
      <c r="S869" s="57"/>
      <c r="T869" s="57"/>
      <c r="U869" s="57"/>
      <c r="V869" s="57"/>
      <c r="W869" s="57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</row>
    <row r="870" spans="1:36" ht="11.25" customHeight="1" x14ac:dyDescent="0.2">
      <c r="A870" s="53" t="s">
        <v>28</v>
      </c>
      <c r="B870" s="53" t="s">
        <v>33</v>
      </c>
      <c r="C870" s="53" t="s">
        <v>34</v>
      </c>
      <c r="D870" s="53" t="s">
        <v>48</v>
      </c>
      <c r="E870" s="53" t="s">
        <v>25</v>
      </c>
      <c r="F870" s="53" t="s">
        <v>25</v>
      </c>
      <c r="G870" s="53" t="s">
        <v>25</v>
      </c>
      <c r="H870" s="53" t="s">
        <v>36</v>
      </c>
      <c r="I870" s="73">
        <v>43922</v>
      </c>
      <c r="J870" s="74">
        <f>EFEITO!$J$870*EFEITO!$Y$870</f>
        <v>0</v>
      </c>
      <c r="K870" s="74">
        <f ca="1">EFEITO!$L$870*EFEITO!$Z$870</f>
        <v>102107.964411243</v>
      </c>
      <c r="L870" s="74">
        <f>EFEITO!$N$870*EFEITO!$AA$870</f>
        <v>269311.96377578075</v>
      </c>
      <c r="M870" s="74">
        <f>$J$870-EFEITO!$K$870*EFEITO!$Y$870</f>
        <v>0</v>
      </c>
      <c r="N870" s="74">
        <f ca="1">$K$870-EFEITO!$M$870*EFEITO!$Z$870</f>
        <v>0</v>
      </c>
      <c r="O870" s="74">
        <f>$L$870-EFEITO!$O$870*EFEITO!$AA$870</f>
        <v>0</v>
      </c>
      <c r="P870" s="57"/>
      <c r="Q870" s="57"/>
      <c r="R870" s="57"/>
      <c r="S870" s="57"/>
      <c r="T870" s="57"/>
      <c r="U870" s="57"/>
      <c r="V870" s="57"/>
      <c r="W870" s="57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</row>
    <row r="871" spans="1:36" ht="11.25" customHeight="1" x14ac:dyDescent="0.2">
      <c r="A871" s="53" t="s">
        <v>21</v>
      </c>
      <c r="B871" s="53" t="s">
        <v>33</v>
      </c>
      <c r="C871" s="53" t="s">
        <v>34</v>
      </c>
      <c r="D871" s="53" t="s">
        <v>48</v>
      </c>
      <c r="E871" s="53" t="s">
        <v>25</v>
      </c>
      <c r="F871" s="53" t="s">
        <v>25</v>
      </c>
      <c r="G871" s="53" t="s">
        <v>25</v>
      </c>
      <c r="H871" s="53" t="s">
        <v>36</v>
      </c>
      <c r="I871" s="73">
        <v>43952</v>
      </c>
      <c r="J871" s="74">
        <f>EFEITO!$J$871*EFEITO!$Y$871</f>
        <v>0</v>
      </c>
      <c r="K871" s="74">
        <f ca="1">EFEITO!$L$871*EFEITO!$Z$871</f>
        <v>571559.80904754403</v>
      </c>
      <c r="L871" s="74">
        <f>EFEITO!$N$871*EFEITO!$AA$871</f>
        <v>1507501.3538606544</v>
      </c>
      <c r="M871" s="74">
        <f>$J$871-EFEITO!$K$871*EFEITO!$Y$871</f>
        <v>0</v>
      </c>
      <c r="N871" s="74">
        <f ca="1">$K$871-EFEITO!$M$871*EFEITO!$Z$871</f>
        <v>0</v>
      </c>
      <c r="O871" s="74">
        <f>$L$871-EFEITO!$O$871*EFEITO!$AA$871</f>
        <v>0</v>
      </c>
      <c r="P871" s="57"/>
      <c r="Q871" s="57"/>
      <c r="R871" s="57"/>
      <c r="S871" s="57"/>
      <c r="T871" s="57"/>
      <c r="U871" s="57"/>
      <c r="V871" s="57"/>
      <c r="W871" s="57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</row>
    <row r="872" spans="1:36" ht="11.25" customHeight="1" x14ac:dyDescent="0.2">
      <c r="A872" s="53" t="s">
        <v>28</v>
      </c>
      <c r="B872" s="53" t="s">
        <v>33</v>
      </c>
      <c r="C872" s="53" t="s">
        <v>34</v>
      </c>
      <c r="D872" s="53" t="s">
        <v>48</v>
      </c>
      <c r="E872" s="53" t="s">
        <v>25</v>
      </c>
      <c r="F872" s="53" t="s">
        <v>25</v>
      </c>
      <c r="G872" s="53" t="s">
        <v>25</v>
      </c>
      <c r="H872" s="53" t="s">
        <v>36</v>
      </c>
      <c r="I872" s="73">
        <v>43952</v>
      </c>
      <c r="J872" s="74">
        <f>EFEITO!$J$872*EFEITO!$Y$872</f>
        <v>0</v>
      </c>
      <c r="K872" s="74">
        <f ca="1">EFEITO!$L$872*EFEITO!$Z$872</f>
        <v>79345.666193233657</v>
      </c>
      <c r="L872" s="74">
        <f>EFEITO!$N$872*EFEITO!$AA$872</f>
        <v>209275.91008997185</v>
      </c>
      <c r="M872" s="74">
        <f>$J$872-EFEITO!$K$872*EFEITO!$Y$872</f>
        <v>0</v>
      </c>
      <c r="N872" s="74">
        <f ca="1">$K$872-EFEITO!$M$872*EFEITO!$Z$872</f>
        <v>0</v>
      </c>
      <c r="O872" s="74">
        <f>$L$872-EFEITO!$O$872*EFEITO!$AA$872</f>
        <v>0</v>
      </c>
      <c r="P872" s="57"/>
      <c r="Q872" s="57"/>
      <c r="R872" s="57"/>
      <c r="S872" s="57"/>
      <c r="T872" s="57"/>
      <c r="U872" s="57"/>
      <c r="V872" s="57"/>
      <c r="W872" s="57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</row>
    <row r="873" spans="1:36" ht="11.25" customHeight="1" x14ac:dyDescent="0.2">
      <c r="A873" s="53" t="s">
        <v>21</v>
      </c>
      <c r="B873" s="53" t="s">
        <v>33</v>
      </c>
      <c r="C873" s="53" t="s">
        <v>34</v>
      </c>
      <c r="D873" s="53" t="s">
        <v>48</v>
      </c>
      <c r="E873" s="53" t="s">
        <v>25</v>
      </c>
      <c r="F873" s="53" t="s">
        <v>25</v>
      </c>
      <c r="G873" s="53" t="s">
        <v>25</v>
      </c>
      <c r="H873" s="53" t="s">
        <v>36</v>
      </c>
      <c r="I873" s="73">
        <v>43983</v>
      </c>
      <c r="J873" s="74">
        <f>EFEITO!$J$873*EFEITO!$Y$873</f>
        <v>0</v>
      </c>
      <c r="K873" s="74">
        <f ca="1">EFEITO!$L$873*EFEITO!$Z$873</f>
        <v>505775.88062636025</v>
      </c>
      <c r="L873" s="74">
        <f>EFEITO!$N$873*EFEITO!$AA$873</f>
        <v>1333994.8203581253</v>
      </c>
      <c r="M873" s="74">
        <f>$J$873-EFEITO!$K$873*EFEITO!$Y$873</f>
        <v>0</v>
      </c>
      <c r="N873" s="74">
        <f ca="1">$K$873-EFEITO!$M$873*EFEITO!$Z$873</f>
        <v>0</v>
      </c>
      <c r="O873" s="74">
        <f>$L$873-EFEITO!$O$873*EFEITO!$AA$873</f>
        <v>0</v>
      </c>
      <c r="P873" s="57"/>
      <c r="Q873" s="57"/>
      <c r="R873" s="57"/>
      <c r="S873" s="57"/>
      <c r="T873" s="57"/>
      <c r="U873" s="57"/>
      <c r="V873" s="57"/>
      <c r="W873" s="57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</row>
    <row r="874" spans="1:36" ht="11.25" customHeight="1" x14ac:dyDescent="0.2">
      <c r="A874" s="53" t="s">
        <v>27</v>
      </c>
      <c r="B874" s="53" t="s">
        <v>33</v>
      </c>
      <c r="C874" s="53" t="s">
        <v>34</v>
      </c>
      <c r="D874" s="53" t="s">
        <v>48</v>
      </c>
      <c r="E874" s="53" t="s">
        <v>25</v>
      </c>
      <c r="F874" s="53" t="s">
        <v>25</v>
      </c>
      <c r="G874" s="53" t="s">
        <v>25</v>
      </c>
      <c r="H874" s="53" t="s">
        <v>36</v>
      </c>
      <c r="I874" s="73">
        <v>43983</v>
      </c>
      <c r="J874" s="74">
        <f>EFEITO!$J$874*EFEITO!$Y$874</f>
        <v>0</v>
      </c>
      <c r="K874" s="74">
        <f ca="1">EFEITO!$L$874*EFEITO!$Z$874</f>
        <v>52059.229597154415</v>
      </c>
      <c r="L874" s="74">
        <f>EFEITO!$N$874*EFEITO!$AA$874</f>
        <v>137307.34361716604</v>
      </c>
      <c r="M874" s="74">
        <f>$J$874-EFEITO!$K$874*EFEITO!$Y$874</f>
        <v>0</v>
      </c>
      <c r="N874" s="74">
        <f ca="1">$K$874-EFEITO!$M$874*EFEITO!$Z$874</f>
        <v>0</v>
      </c>
      <c r="O874" s="74">
        <f>$L$874-EFEITO!$O$874*EFEITO!$AA$874</f>
        <v>0</v>
      </c>
      <c r="P874" s="57"/>
      <c r="Q874" s="57"/>
      <c r="R874" s="57"/>
      <c r="S874" s="57"/>
      <c r="T874" s="57"/>
      <c r="U874" s="57"/>
      <c r="V874" s="57"/>
      <c r="W874" s="57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</row>
    <row r="875" spans="1:36" ht="11.25" customHeight="1" x14ac:dyDescent="0.2">
      <c r="A875" s="53" t="s">
        <v>28</v>
      </c>
      <c r="B875" s="53" t="s">
        <v>33</v>
      </c>
      <c r="C875" s="53" t="s">
        <v>34</v>
      </c>
      <c r="D875" s="53" t="s">
        <v>48</v>
      </c>
      <c r="E875" s="53" t="s">
        <v>25</v>
      </c>
      <c r="F875" s="53" t="s">
        <v>25</v>
      </c>
      <c r="G875" s="53" t="s">
        <v>25</v>
      </c>
      <c r="H875" s="53" t="s">
        <v>36</v>
      </c>
      <c r="I875" s="73">
        <v>43983</v>
      </c>
      <c r="J875" s="74">
        <f>EFEITO!$J$875*EFEITO!$Y$875</f>
        <v>0</v>
      </c>
      <c r="K875" s="74">
        <f ca="1">EFEITO!$L$875*EFEITO!$Z$875</f>
        <v>114811.83739730954</v>
      </c>
      <c r="L875" s="74">
        <f>EFEITO!$N$875*EFEITO!$AA$875</f>
        <v>302818.70344259322</v>
      </c>
      <c r="M875" s="74">
        <f>$J$875-EFEITO!$K$875*EFEITO!$Y$875</f>
        <v>0</v>
      </c>
      <c r="N875" s="74">
        <f ca="1">$K$875-EFEITO!$M$875*EFEITO!$Z$875</f>
        <v>0</v>
      </c>
      <c r="O875" s="74">
        <f>$L$875-EFEITO!$O$875*EFEITO!$AA$875</f>
        <v>0</v>
      </c>
      <c r="P875" s="57"/>
      <c r="Q875" s="57"/>
      <c r="R875" s="57"/>
      <c r="S875" s="57"/>
      <c r="T875" s="57"/>
      <c r="U875" s="57"/>
      <c r="V875" s="57"/>
      <c r="W875" s="57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</row>
    <row r="876" spans="1:36" ht="11.25" customHeight="1" x14ac:dyDescent="0.2">
      <c r="A876" s="53" t="s">
        <v>21</v>
      </c>
      <c r="B876" s="53" t="s">
        <v>33</v>
      </c>
      <c r="C876" s="53" t="s">
        <v>34</v>
      </c>
      <c r="D876" s="53" t="s">
        <v>48</v>
      </c>
      <c r="E876" s="53" t="s">
        <v>25</v>
      </c>
      <c r="F876" s="53" t="s">
        <v>25</v>
      </c>
      <c r="G876" s="53" t="s">
        <v>25</v>
      </c>
      <c r="H876" s="53" t="s">
        <v>36</v>
      </c>
      <c r="I876" s="73">
        <v>44013</v>
      </c>
      <c r="J876" s="74">
        <f>EFEITO!$J$876*EFEITO!$Y$876</f>
        <v>0</v>
      </c>
      <c r="K876" s="74">
        <f ca="1">EFEITO!$L$876*EFEITO!$Z$876</f>
        <v>515047.85687168327</v>
      </c>
      <c r="L876" s="74">
        <f>EFEITO!$N$876*EFEITO!$AA$876</f>
        <v>1358449.8581713694</v>
      </c>
      <c r="M876" s="74">
        <f>$J$876-EFEITO!$K$876*EFEITO!$Y$876</f>
        <v>0</v>
      </c>
      <c r="N876" s="74">
        <f ca="1">$K$876-EFEITO!$M$876*EFEITO!$Z$876</f>
        <v>0</v>
      </c>
      <c r="O876" s="74">
        <f>$L$876-EFEITO!$O$876*EFEITO!$AA$876</f>
        <v>0</v>
      </c>
      <c r="P876" s="57"/>
      <c r="Q876" s="57"/>
      <c r="R876" s="57"/>
      <c r="S876" s="57"/>
      <c r="T876" s="57"/>
      <c r="U876" s="57"/>
      <c r="V876" s="57"/>
      <c r="W876" s="57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</row>
    <row r="877" spans="1:36" ht="11.25" customHeight="1" x14ac:dyDescent="0.2">
      <c r="A877" s="53" t="s">
        <v>28</v>
      </c>
      <c r="B877" s="53" t="s">
        <v>33</v>
      </c>
      <c r="C877" s="53" t="s">
        <v>34</v>
      </c>
      <c r="D877" s="53" t="s">
        <v>48</v>
      </c>
      <c r="E877" s="53" t="s">
        <v>25</v>
      </c>
      <c r="F877" s="53" t="s">
        <v>25</v>
      </c>
      <c r="G877" s="53" t="s">
        <v>25</v>
      </c>
      <c r="H877" s="53" t="s">
        <v>36</v>
      </c>
      <c r="I877" s="73">
        <v>44013</v>
      </c>
      <c r="J877" s="74">
        <f>EFEITO!$J$877*EFEITO!$Y$877</f>
        <v>0</v>
      </c>
      <c r="K877" s="74">
        <f ca="1">EFEITO!$L$877*EFEITO!$Z$877</f>
        <v>90654.393030212072</v>
      </c>
      <c r="L877" s="74">
        <f>EFEITO!$N$877*EFEITO!$AA$877</f>
        <v>239102.92162459006</v>
      </c>
      <c r="M877" s="74">
        <f>$J$877-EFEITO!$K$877*EFEITO!$Y$877</f>
        <v>0</v>
      </c>
      <c r="N877" s="74">
        <f ca="1">$K$877-EFEITO!$M$877*EFEITO!$Z$877</f>
        <v>0</v>
      </c>
      <c r="O877" s="74">
        <f>$L$877-EFEITO!$O$877*EFEITO!$AA$877</f>
        <v>0</v>
      </c>
      <c r="P877" s="57"/>
      <c r="Q877" s="57"/>
      <c r="R877" s="57"/>
      <c r="S877" s="57"/>
      <c r="T877" s="57"/>
      <c r="U877" s="57"/>
      <c r="V877" s="57"/>
      <c r="W877" s="57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</row>
    <row r="878" spans="1:36" ht="11.25" customHeight="1" x14ac:dyDescent="0.2">
      <c r="A878" s="53" t="s">
        <v>21</v>
      </c>
      <c r="B878" s="53" t="s">
        <v>33</v>
      </c>
      <c r="C878" s="53" t="s">
        <v>34</v>
      </c>
      <c r="D878" s="53" t="s">
        <v>48</v>
      </c>
      <c r="E878" s="53" t="s">
        <v>25</v>
      </c>
      <c r="F878" s="53" t="s">
        <v>25</v>
      </c>
      <c r="G878" s="53" t="s">
        <v>25</v>
      </c>
      <c r="H878" s="53" t="s">
        <v>36</v>
      </c>
      <c r="I878" s="73">
        <v>44044</v>
      </c>
      <c r="J878" s="74">
        <f>EFEITO!$J$878*EFEITO!$Y$878</f>
        <v>0</v>
      </c>
      <c r="K878" s="74">
        <f ca="1">EFEITO!$L$878*EFEITO!$Z$878</f>
        <v>535603.96701327246</v>
      </c>
      <c r="L878" s="74">
        <f>EFEITO!$N$878*EFEITO!$AA$878</f>
        <v>1412667.0431063876</v>
      </c>
      <c r="M878" s="74">
        <f>$J$878-EFEITO!$K$878*EFEITO!$Y$878</f>
        <v>0</v>
      </c>
      <c r="N878" s="74">
        <f ca="1">$K$878-EFEITO!$M$878*EFEITO!$Z$878</f>
        <v>0</v>
      </c>
      <c r="O878" s="74">
        <f>$L$878-EFEITO!$O$878*EFEITO!$AA$878</f>
        <v>0</v>
      </c>
      <c r="P878" s="57"/>
      <c r="Q878" s="57"/>
      <c r="R878" s="57"/>
      <c r="S878" s="57"/>
      <c r="T878" s="57"/>
      <c r="U878" s="57"/>
      <c r="V878" s="57"/>
      <c r="W878" s="57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</row>
    <row r="879" spans="1:36" ht="11.25" customHeight="1" x14ac:dyDescent="0.2">
      <c r="A879" s="53" t="s">
        <v>28</v>
      </c>
      <c r="B879" s="53" t="s">
        <v>33</v>
      </c>
      <c r="C879" s="53" t="s">
        <v>34</v>
      </c>
      <c r="D879" s="53" t="s">
        <v>48</v>
      </c>
      <c r="E879" s="53" t="s">
        <v>25</v>
      </c>
      <c r="F879" s="53" t="s">
        <v>25</v>
      </c>
      <c r="G879" s="53" t="s">
        <v>25</v>
      </c>
      <c r="H879" s="53" t="s">
        <v>36</v>
      </c>
      <c r="I879" s="73">
        <v>44044</v>
      </c>
      <c r="J879" s="74">
        <f>EFEITO!$J$879*EFEITO!$Y$879</f>
        <v>0</v>
      </c>
      <c r="K879" s="74">
        <f ca="1">EFEITO!$L$879*EFEITO!$Z$879</f>
        <v>103414.71600474622</v>
      </c>
      <c r="L879" s="74">
        <f>EFEITO!$N$879*EFEITO!$AA$879</f>
        <v>272758.54935647163</v>
      </c>
      <c r="M879" s="74">
        <f>$J$879-EFEITO!$K$879*EFEITO!$Y$879</f>
        <v>0</v>
      </c>
      <c r="N879" s="74">
        <f ca="1">$K$879-EFEITO!$M$879*EFEITO!$Z$879</f>
        <v>0</v>
      </c>
      <c r="O879" s="74">
        <f>$L$879-EFEITO!$O$879*EFEITO!$AA$879</f>
        <v>0</v>
      </c>
      <c r="P879" s="57"/>
      <c r="Q879" s="57"/>
      <c r="R879" s="57"/>
      <c r="S879" s="57"/>
      <c r="T879" s="57"/>
      <c r="U879" s="57"/>
      <c r="V879" s="57"/>
      <c r="W879" s="57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</row>
    <row r="880" spans="1:36" ht="11.25" customHeight="1" x14ac:dyDescent="0.2">
      <c r="A880" s="53" t="s">
        <v>59</v>
      </c>
      <c r="B880" s="53" t="s">
        <v>33</v>
      </c>
      <c r="C880" s="53" t="s">
        <v>34</v>
      </c>
      <c r="D880" s="53" t="s">
        <v>48</v>
      </c>
      <c r="E880" s="53" t="s">
        <v>25</v>
      </c>
      <c r="F880" s="53" t="s">
        <v>25</v>
      </c>
      <c r="G880" s="53" t="s">
        <v>25</v>
      </c>
      <c r="H880" s="53" t="s">
        <v>36</v>
      </c>
      <c r="I880" s="73">
        <v>44075</v>
      </c>
      <c r="J880" s="74">
        <f>EFEITO!$J$880*EFEITO!$Y$880</f>
        <v>0</v>
      </c>
      <c r="K880" s="74">
        <f ca="1">EFEITO!$L$880*EFEITO!$Z$880</f>
        <v>535603.96701327246</v>
      </c>
      <c r="L880" s="74">
        <f>EFEITO!$N$880*EFEITO!$AA$880</f>
        <v>1412667.0431063876</v>
      </c>
      <c r="M880" s="74">
        <f>$J$880-EFEITO!$K$880*EFEITO!$Y$880</f>
        <v>0</v>
      </c>
      <c r="N880" s="74">
        <f ca="1">$K$880-EFEITO!$M$880*EFEITO!$Z$880</f>
        <v>0</v>
      </c>
      <c r="O880" s="74">
        <f>$L$880-EFEITO!$O$880*EFEITO!$AA$880</f>
        <v>0</v>
      </c>
      <c r="P880" s="57"/>
      <c r="Q880" s="57"/>
      <c r="R880" s="57"/>
      <c r="S880" s="57"/>
      <c r="T880" s="57"/>
      <c r="U880" s="57"/>
      <c r="V880" s="57"/>
      <c r="W880" s="57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</row>
    <row r="881" spans="1:36" ht="11.25" customHeight="1" x14ac:dyDescent="0.2">
      <c r="A881" s="53" t="s">
        <v>59</v>
      </c>
      <c r="B881" s="53" t="s">
        <v>33</v>
      </c>
      <c r="C881" s="53" t="s">
        <v>34</v>
      </c>
      <c r="D881" s="53" t="s">
        <v>48</v>
      </c>
      <c r="E881" s="53" t="s">
        <v>25</v>
      </c>
      <c r="F881" s="53" t="s">
        <v>25</v>
      </c>
      <c r="G881" s="53" t="s">
        <v>25</v>
      </c>
      <c r="H881" s="53" t="s">
        <v>36</v>
      </c>
      <c r="I881" s="73">
        <v>44075</v>
      </c>
      <c r="J881" s="74">
        <f>EFEITO!$J$881*EFEITO!$Y$881</f>
        <v>0</v>
      </c>
      <c r="K881" s="74">
        <f ca="1">EFEITO!$L$881*EFEITO!$Z$881</f>
        <v>103414.71600474622</v>
      </c>
      <c r="L881" s="74">
        <f>EFEITO!$N$881*EFEITO!$AA$881</f>
        <v>272758.54935647163</v>
      </c>
      <c r="M881" s="74">
        <f>$J$881-EFEITO!$K$881*EFEITO!$Y$881</f>
        <v>0</v>
      </c>
      <c r="N881" s="74">
        <f ca="1">$K$881-EFEITO!$M$881*EFEITO!$Z$881</f>
        <v>0</v>
      </c>
      <c r="O881" s="74">
        <f>$L$881-EFEITO!$O$881*EFEITO!$AA$881</f>
        <v>0</v>
      </c>
      <c r="P881" s="57"/>
      <c r="Q881" s="57"/>
      <c r="R881" s="57"/>
      <c r="S881" s="57"/>
      <c r="T881" s="57"/>
      <c r="U881" s="57"/>
      <c r="V881" s="57"/>
      <c r="W881" s="57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</row>
    <row r="882" spans="1:36" ht="11.25" customHeight="1" x14ac:dyDescent="0.2">
      <c r="A882" s="53" t="s">
        <v>21</v>
      </c>
      <c r="B882" s="53" t="s">
        <v>33</v>
      </c>
      <c r="C882" s="53" t="s">
        <v>34</v>
      </c>
      <c r="D882" s="53" t="s">
        <v>48</v>
      </c>
      <c r="E882" s="53" t="s">
        <v>25</v>
      </c>
      <c r="F882" s="53" t="s">
        <v>25</v>
      </c>
      <c r="G882" s="53" t="s">
        <v>25</v>
      </c>
      <c r="H882" s="53" t="s">
        <v>25</v>
      </c>
      <c r="I882" s="73">
        <v>43739</v>
      </c>
      <c r="J882" s="74">
        <f ca="1">EFEITO!$J$882*EFEITO!$Y$882</f>
        <v>593174.81261699228</v>
      </c>
      <c r="K882" s="74">
        <f>EFEITO!$L$882*EFEITO!$Z$882</f>
        <v>0</v>
      </c>
      <c r="L882" s="74">
        <f>EFEITO!$N$882*EFEITO!$AA$882</f>
        <v>0</v>
      </c>
      <c r="M882" s="74">
        <f ca="1">$J$882-EFEITO!$K$882*EFEITO!$Y$882</f>
        <v>0</v>
      </c>
      <c r="N882" s="74">
        <f>$K$882-EFEITO!$M$882*EFEITO!$Z$882</f>
        <v>0</v>
      </c>
      <c r="O882" s="74">
        <f>$L$882-EFEITO!$O$882*EFEITO!$AA$882</f>
        <v>0</v>
      </c>
      <c r="P882" s="57"/>
      <c r="Q882" s="57"/>
      <c r="R882" s="57"/>
      <c r="S882" s="57"/>
      <c r="T882" s="57"/>
      <c r="U882" s="57"/>
      <c r="V882" s="57"/>
      <c r="W882" s="57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</row>
    <row r="883" spans="1:36" ht="11.25" customHeight="1" x14ac:dyDescent="0.2">
      <c r="A883" s="53" t="s">
        <v>28</v>
      </c>
      <c r="B883" s="53" t="s">
        <v>33</v>
      </c>
      <c r="C883" s="53" t="s">
        <v>34</v>
      </c>
      <c r="D883" s="53" t="s">
        <v>48</v>
      </c>
      <c r="E883" s="53" t="s">
        <v>25</v>
      </c>
      <c r="F883" s="53" t="s">
        <v>25</v>
      </c>
      <c r="G883" s="53" t="s">
        <v>25</v>
      </c>
      <c r="H883" s="53" t="s">
        <v>25</v>
      </c>
      <c r="I883" s="73">
        <v>43739</v>
      </c>
      <c r="J883" s="74">
        <f ca="1">EFEITO!$J$883*EFEITO!$Y$883</f>
        <v>81918.707107816299</v>
      </c>
      <c r="K883" s="74">
        <f>EFEITO!$L$883*EFEITO!$Z$883</f>
        <v>0</v>
      </c>
      <c r="L883" s="74">
        <f>EFEITO!$N$883*EFEITO!$AA$883</f>
        <v>0</v>
      </c>
      <c r="M883" s="74">
        <f ca="1">$J$883-EFEITO!$K$883*EFEITO!$Y$883</f>
        <v>0</v>
      </c>
      <c r="N883" s="74">
        <f>$K$883-EFEITO!$M$883*EFEITO!$Z$883</f>
        <v>0</v>
      </c>
      <c r="O883" s="74">
        <f>$L$883-EFEITO!$O$883*EFEITO!$AA$883</f>
        <v>0</v>
      </c>
      <c r="P883" s="57"/>
      <c r="Q883" s="57"/>
      <c r="R883" s="57"/>
      <c r="S883" s="57"/>
      <c r="T883" s="57"/>
      <c r="U883" s="57"/>
      <c r="V883" s="57"/>
      <c r="W883" s="57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</row>
    <row r="884" spans="1:36" ht="11.25" customHeight="1" x14ac:dyDescent="0.2">
      <c r="A884" s="53" t="s">
        <v>21</v>
      </c>
      <c r="B884" s="53" t="s">
        <v>33</v>
      </c>
      <c r="C884" s="53" t="s">
        <v>34</v>
      </c>
      <c r="D884" s="53" t="s">
        <v>48</v>
      </c>
      <c r="E884" s="53" t="s">
        <v>25</v>
      </c>
      <c r="F884" s="53" t="s">
        <v>25</v>
      </c>
      <c r="G884" s="53" t="s">
        <v>25</v>
      </c>
      <c r="H884" s="53" t="s">
        <v>25</v>
      </c>
      <c r="I884" s="73">
        <v>43770</v>
      </c>
      <c r="J884" s="74">
        <f ca="1">EFEITO!$J$884*EFEITO!$Y$884</f>
        <v>587437.181936017</v>
      </c>
      <c r="K884" s="74">
        <f>EFEITO!$L$884*EFEITO!$Z$884</f>
        <v>0</v>
      </c>
      <c r="L884" s="74">
        <f>EFEITO!$N$884*EFEITO!$AA$884</f>
        <v>0</v>
      </c>
      <c r="M884" s="74">
        <f ca="1">$J$884-EFEITO!$K$884*EFEITO!$Y$884</f>
        <v>0</v>
      </c>
      <c r="N884" s="74">
        <f>$K$884-EFEITO!$M$884*EFEITO!$Z$884</f>
        <v>0</v>
      </c>
      <c r="O884" s="74">
        <f>$L$884-EFEITO!$O$884*EFEITO!$AA$884</f>
        <v>0</v>
      </c>
      <c r="P884" s="57"/>
      <c r="Q884" s="57"/>
      <c r="R884" s="57"/>
      <c r="S884" s="57"/>
      <c r="T884" s="57"/>
      <c r="U884" s="57"/>
      <c r="V884" s="57"/>
      <c r="W884" s="57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</row>
    <row r="885" spans="1:36" ht="11.25" customHeight="1" x14ac:dyDescent="0.2">
      <c r="A885" s="53" t="s">
        <v>28</v>
      </c>
      <c r="B885" s="53" t="s">
        <v>33</v>
      </c>
      <c r="C885" s="53" t="s">
        <v>34</v>
      </c>
      <c r="D885" s="53" t="s">
        <v>48</v>
      </c>
      <c r="E885" s="53" t="s">
        <v>25</v>
      </c>
      <c r="F885" s="53" t="s">
        <v>25</v>
      </c>
      <c r="G885" s="53" t="s">
        <v>25</v>
      </c>
      <c r="H885" s="53" t="s">
        <v>25</v>
      </c>
      <c r="I885" s="73">
        <v>43770</v>
      </c>
      <c r="J885" s="74">
        <f ca="1">EFEITO!$J$885*EFEITO!$Y$885</f>
        <v>81918.707107816299</v>
      </c>
      <c r="K885" s="74">
        <f>EFEITO!$L$885*EFEITO!$Z$885</f>
        <v>0</v>
      </c>
      <c r="L885" s="74">
        <f>EFEITO!$N$885*EFEITO!$AA$885</f>
        <v>0</v>
      </c>
      <c r="M885" s="74">
        <f ca="1">$J$885-EFEITO!$K$885*EFEITO!$Y$885</f>
        <v>0</v>
      </c>
      <c r="N885" s="74">
        <f>$K$885-EFEITO!$M$885*EFEITO!$Z$885</f>
        <v>0</v>
      </c>
      <c r="O885" s="74">
        <f>$L$885-EFEITO!$O$885*EFEITO!$AA$885</f>
        <v>0</v>
      </c>
      <c r="P885" s="57"/>
      <c r="Q885" s="57"/>
      <c r="R885" s="57"/>
      <c r="S885" s="57"/>
      <c r="T885" s="57"/>
      <c r="U885" s="57"/>
      <c r="V885" s="57"/>
      <c r="W885" s="57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</row>
    <row r="886" spans="1:36" ht="11.25" customHeight="1" x14ac:dyDescent="0.2">
      <c r="A886" s="53" t="s">
        <v>21</v>
      </c>
      <c r="B886" s="53" t="s">
        <v>33</v>
      </c>
      <c r="C886" s="53" t="s">
        <v>34</v>
      </c>
      <c r="D886" s="53" t="s">
        <v>48</v>
      </c>
      <c r="E886" s="53" t="s">
        <v>25</v>
      </c>
      <c r="F886" s="53" t="s">
        <v>25</v>
      </c>
      <c r="G886" s="53" t="s">
        <v>25</v>
      </c>
      <c r="H886" s="53" t="s">
        <v>25</v>
      </c>
      <c r="I886" s="73">
        <v>43800</v>
      </c>
      <c r="J886" s="74">
        <f ca="1">EFEITO!$J$886*EFEITO!$Y$886</f>
        <v>595075.9038206687</v>
      </c>
      <c r="K886" s="74">
        <f>EFEITO!$L$886*EFEITO!$Z$886</f>
        <v>0</v>
      </c>
      <c r="L886" s="74">
        <f>EFEITO!$N$886*EFEITO!$AA$886</f>
        <v>0</v>
      </c>
      <c r="M886" s="74">
        <f ca="1">$J$886-EFEITO!$K$886*EFEITO!$Y$886</f>
        <v>0</v>
      </c>
      <c r="N886" s="74">
        <f>$K$886-EFEITO!$M$886*EFEITO!$Z$886</f>
        <v>0</v>
      </c>
      <c r="O886" s="74">
        <f>$L$886-EFEITO!$O$886*EFEITO!$AA$886</f>
        <v>0</v>
      </c>
      <c r="P886" s="57"/>
      <c r="Q886" s="57"/>
      <c r="R886" s="57"/>
      <c r="S886" s="57"/>
      <c r="T886" s="57"/>
      <c r="U886" s="57"/>
      <c r="V886" s="57"/>
      <c r="W886" s="57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</row>
    <row r="887" spans="1:36" ht="11.25" customHeight="1" x14ac:dyDescent="0.2">
      <c r="A887" s="53" t="s">
        <v>28</v>
      </c>
      <c r="B887" s="53" t="s">
        <v>33</v>
      </c>
      <c r="C887" s="53" t="s">
        <v>34</v>
      </c>
      <c r="D887" s="53" t="s">
        <v>48</v>
      </c>
      <c r="E887" s="53" t="s">
        <v>25</v>
      </c>
      <c r="F887" s="53" t="s">
        <v>25</v>
      </c>
      <c r="G887" s="53" t="s">
        <v>25</v>
      </c>
      <c r="H887" s="53" t="s">
        <v>25</v>
      </c>
      <c r="I887" s="73">
        <v>43800</v>
      </c>
      <c r="J887" s="74">
        <f ca="1">EFEITO!$J$887*EFEITO!$Y$887</f>
        <v>81918.707107816299</v>
      </c>
      <c r="K887" s="74">
        <f>EFEITO!$L$887*EFEITO!$Z$887</f>
        <v>0</v>
      </c>
      <c r="L887" s="74">
        <f>EFEITO!$N$887*EFEITO!$AA$887</f>
        <v>0</v>
      </c>
      <c r="M887" s="74">
        <f ca="1">$J$887-EFEITO!$K$887*EFEITO!$Y$887</f>
        <v>0</v>
      </c>
      <c r="N887" s="74">
        <f>$K$887-EFEITO!$M$887*EFEITO!$Z$887</f>
        <v>0</v>
      </c>
      <c r="O887" s="74">
        <f>$L$887-EFEITO!$O$887*EFEITO!$AA$887</f>
        <v>0</v>
      </c>
      <c r="P887" s="57"/>
      <c r="Q887" s="57"/>
      <c r="R887" s="57"/>
      <c r="S887" s="57"/>
      <c r="T887" s="57"/>
      <c r="U887" s="57"/>
      <c r="V887" s="57"/>
      <c r="W887" s="57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</row>
    <row r="888" spans="1:36" ht="11.25" customHeight="1" x14ac:dyDescent="0.2">
      <c r="A888" s="53" t="s">
        <v>21</v>
      </c>
      <c r="B888" s="53" t="s">
        <v>33</v>
      </c>
      <c r="C888" s="53" t="s">
        <v>34</v>
      </c>
      <c r="D888" s="53" t="s">
        <v>48</v>
      </c>
      <c r="E888" s="53" t="s">
        <v>25</v>
      </c>
      <c r="F888" s="53" t="s">
        <v>25</v>
      </c>
      <c r="G888" s="53" t="s">
        <v>25</v>
      </c>
      <c r="H888" s="53" t="s">
        <v>25</v>
      </c>
      <c r="I888" s="73">
        <v>43831</v>
      </c>
      <c r="J888" s="74">
        <f ca="1">EFEITO!$J$888*EFEITO!$Y$888</f>
        <v>576488.72897990455</v>
      </c>
      <c r="K888" s="74">
        <f>EFEITO!$L$888*EFEITO!$Z$888</f>
        <v>0</v>
      </c>
      <c r="L888" s="74">
        <f>EFEITO!$N$888*EFEITO!$AA$888</f>
        <v>0</v>
      </c>
      <c r="M888" s="74">
        <f ca="1">$J$888-EFEITO!$K$888*EFEITO!$Y$888</f>
        <v>0</v>
      </c>
      <c r="N888" s="74">
        <f>$K$888-EFEITO!$M$888*EFEITO!$Z$888</f>
        <v>0</v>
      </c>
      <c r="O888" s="74">
        <f>$L$888-EFEITO!$O$888*EFEITO!$AA$888</f>
        <v>0</v>
      </c>
      <c r="P888" s="57"/>
      <c r="Q888" s="57"/>
      <c r="R888" s="57"/>
      <c r="S888" s="57"/>
      <c r="T888" s="57"/>
      <c r="U888" s="57"/>
      <c r="V888" s="57"/>
      <c r="W888" s="57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</row>
    <row r="889" spans="1:36" ht="11.25" customHeight="1" x14ac:dyDescent="0.2">
      <c r="A889" s="53" t="s">
        <v>28</v>
      </c>
      <c r="B889" s="53" t="s">
        <v>33</v>
      </c>
      <c r="C889" s="53" t="s">
        <v>34</v>
      </c>
      <c r="D889" s="53" t="s">
        <v>48</v>
      </c>
      <c r="E889" s="53" t="s">
        <v>25</v>
      </c>
      <c r="F889" s="53" t="s">
        <v>25</v>
      </c>
      <c r="G889" s="53" t="s">
        <v>25</v>
      </c>
      <c r="H889" s="53" t="s">
        <v>25</v>
      </c>
      <c r="I889" s="73">
        <v>43831</v>
      </c>
      <c r="J889" s="74">
        <f ca="1">EFEITO!$J$889*EFEITO!$Y$889</f>
        <v>81918.707107816299</v>
      </c>
      <c r="K889" s="74">
        <f>EFEITO!$L$889*EFEITO!$Z$889</f>
        <v>0</v>
      </c>
      <c r="L889" s="74">
        <f>EFEITO!$N$889*EFEITO!$AA$889</f>
        <v>0</v>
      </c>
      <c r="M889" s="74">
        <f ca="1">$J$889-EFEITO!$K$889*EFEITO!$Y$889</f>
        <v>0</v>
      </c>
      <c r="N889" s="74">
        <f>$K$889-EFEITO!$M$889*EFEITO!$Z$889</f>
        <v>0</v>
      </c>
      <c r="O889" s="74">
        <f>$L$889-EFEITO!$O$889*EFEITO!$AA$889</f>
        <v>0</v>
      </c>
      <c r="P889" s="57"/>
      <c r="Q889" s="57"/>
      <c r="R889" s="57"/>
      <c r="S889" s="57"/>
      <c r="T889" s="57"/>
      <c r="U889" s="57"/>
      <c r="V889" s="57"/>
      <c r="W889" s="57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</row>
    <row r="890" spans="1:36" ht="11.25" customHeight="1" x14ac:dyDescent="0.2">
      <c r="A890" s="53" t="s">
        <v>21</v>
      </c>
      <c r="B890" s="53" t="s">
        <v>33</v>
      </c>
      <c r="C890" s="53" t="s">
        <v>34</v>
      </c>
      <c r="D890" s="53" t="s">
        <v>48</v>
      </c>
      <c r="E890" s="53" t="s">
        <v>25</v>
      </c>
      <c r="F890" s="53" t="s">
        <v>25</v>
      </c>
      <c r="G890" s="53" t="s">
        <v>25</v>
      </c>
      <c r="H890" s="53" t="s">
        <v>25</v>
      </c>
      <c r="I890" s="73">
        <v>43862</v>
      </c>
      <c r="J890" s="74">
        <f ca="1">EFEITO!$J$890*EFEITO!$Y$890</f>
        <v>588135.7756915848</v>
      </c>
      <c r="K890" s="74">
        <f>EFEITO!$L$890*EFEITO!$Z$890</f>
        <v>0</v>
      </c>
      <c r="L890" s="74">
        <f>EFEITO!$N$890*EFEITO!$AA$890</f>
        <v>0</v>
      </c>
      <c r="M890" s="74">
        <f ca="1">$J$890-EFEITO!$K$890*EFEITO!$Y$890</f>
        <v>0</v>
      </c>
      <c r="N890" s="74">
        <f>$K$890-EFEITO!$M$890*EFEITO!$Z$890</f>
        <v>0</v>
      </c>
      <c r="O890" s="74">
        <f>$L$890-EFEITO!$O$890*EFEITO!$AA$890</f>
        <v>0</v>
      </c>
      <c r="P890" s="57"/>
      <c r="Q890" s="57"/>
      <c r="R890" s="57"/>
      <c r="S890" s="57"/>
      <c r="T890" s="57"/>
      <c r="U890" s="57"/>
      <c r="V890" s="57"/>
      <c r="W890" s="57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</row>
    <row r="891" spans="1:36" ht="11.25" customHeight="1" x14ac:dyDescent="0.2">
      <c r="A891" s="53" t="s">
        <v>28</v>
      </c>
      <c r="B891" s="53" t="s">
        <v>33</v>
      </c>
      <c r="C891" s="53" t="s">
        <v>34</v>
      </c>
      <c r="D891" s="53" t="s">
        <v>48</v>
      </c>
      <c r="E891" s="53" t="s">
        <v>25</v>
      </c>
      <c r="F891" s="53" t="s">
        <v>25</v>
      </c>
      <c r="G891" s="53" t="s">
        <v>25</v>
      </c>
      <c r="H891" s="53" t="s">
        <v>25</v>
      </c>
      <c r="I891" s="73">
        <v>43862</v>
      </c>
      <c r="J891" s="74">
        <f ca="1">EFEITO!$J$891*EFEITO!$Y$891</f>
        <v>80773.471442950991</v>
      </c>
      <c r="K891" s="74">
        <f>EFEITO!$L$891*EFEITO!$Z$891</f>
        <v>0</v>
      </c>
      <c r="L891" s="74">
        <f>EFEITO!$N$891*EFEITO!$AA$891</f>
        <v>0</v>
      </c>
      <c r="M891" s="74">
        <f ca="1">$J$891-EFEITO!$K$891*EFEITO!$Y$891</f>
        <v>0</v>
      </c>
      <c r="N891" s="74">
        <f>$K$891-EFEITO!$M$891*EFEITO!$Z$891</f>
        <v>0</v>
      </c>
      <c r="O891" s="74">
        <f>$L$891-EFEITO!$O$891*EFEITO!$AA$891</f>
        <v>0</v>
      </c>
      <c r="P891" s="57"/>
      <c r="Q891" s="57"/>
      <c r="R891" s="57"/>
      <c r="S891" s="57"/>
      <c r="T891" s="57"/>
      <c r="U891" s="57"/>
      <c r="V891" s="57"/>
      <c r="W891" s="57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</row>
    <row r="892" spans="1:36" ht="11.25" customHeight="1" x14ac:dyDescent="0.2">
      <c r="A892" s="53" t="s">
        <v>21</v>
      </c>
      <c r="B892" s="53" t="s">
        <v>33</v>
      </c>
      <c r="C892" s="53" t="s">
        <v>34</v>
      </c>
      <c r="D892" s="53" t="s">
        <v>48</v>
      </c>
      <c r="E892" s="53" t="s">
        <v>25</v>
      </c>
      <c r="F892" s="53" t="s">
        <v>25</v>
      </c>
      <c r="G892" s="53" t="s">
        <v>25</v>
      </c>
      <c r="H892" s="53" t="s">
        <v>25</v>
      </c>
      <c r="I892" s="73">
        <v>43891</v>
      </c>
      <c r="J892" s="74">
        <f ca="1">EFEITO!$J$892*EFEITO!$Y$892</f>
        <v>584848.94933342142</v>
      </c>
      <c r="K892" s="74">
        <f>EFEITO!$L$892*EFEITO!$Z$892</f>
        <v>0</v>
      </c>
      <c r="L892" s="74">
        <f>EFEITO!$N$892*EFEITO!$AA$892</f>
        <v>0</v>
      </c>
      <c r="M892" s="74">
        <f ca="1">$J$892-EFEITO!$K$892*EFEITO!$Y$892</f>
        <v>0</v>
      </c>
      <c r="N892" s="74">
        <f>$K$892-EFEITO!$M$892*EFEITO!$Z$892</f>
        <v>0</v>
      </c>
      <c r="O892" s="74">
        <f>$L$892-EFEITO!$O$892*EFEITO!$AA$892</f>
        <v>0</v>
      </c>
      <c r="P892" s="57"/>
      <c r="Q892" s="57"/>
      <c r="R892" s="57"/>
      <c r="S892" s="57"/>
      <c r="T892" s="57"/>
      <c r="U892" s="57"/>
      <c r="V892" s="57"/>
      <c r="W892" s="57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</row>
    <row r="893" spans="1:36" ht="11.25" customHeight="1" x14ac:dyDescent="0.2">
      <c r="A893" s="53" t="s">
        <v>28</v>
      </c>
      <c r="B893" s="53" t="s">
        <v>33</v>
      </c>
      <c r="C893" s="53" t="s">
        <v>34</v>
      </c>
      <c r="D893" s="53" t="s">
        <v>48</v>
      </c>
      <c r="E893" s="53" t="s">
        <v>25</v>
      </c>
      <c r="F893" s="53" t="s">
        <v>25</v>
      </c>
      <c r="G893" s="53" t="s">
        <v>25</v>
      </c>
      <c r="H893" s="53" t="s">
        <v>25</v>
      </c>
      <c r="I893" s="73">
        <v>43891</v>
      </c>
      <c r="J893" s="74">
        <f ca="1">EFEITO!$J$893*EFEITO!$Y$893</f>
        <v>80773.471442950991</v>
      </c>
      <c r="K893" s="74">
        <f>EFEITO!$L$893*EFEITO!$Z$893</f>
        <v>0</v>
      </c>
      <c r="L893" s="74">
        <f>EFEITO!$N$893*EFEITO!$AA$893</f>
        <v>0</v>
      </c>
      <c r="M893" s="74">
        <f ca="1">$J$893-EFEITO!$K$893*EFEITO!$Y$893</f>
        <v>0</v>
      </c>
      <c r="N893" s="74">
        <f>$K$893-EFEITO!$M$893*EFEITO!$Z$893</f>
        <v>0</v>
      </c>
      <c r="O893" s="74">
        <f>$L$893-EFEITO!$O$893*EFEITO!$AA$893</f>
        <v>0</v>
      </c>
      <c r="P893" s="57"/>
      <c r="Q893" s="57"/>
      <c r="R893" s="57"/>
      <c r="S893" s="57"/>
      <c r="T893" s="57"/>
      <c r="U893" s="57"/>
      <c r="V893" s="57"/>
      <c r="W893" s="57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</row>
    <row r="894" spans="1:36" ht="11.25" customHeight="1" x14ac:dyDescent="0.2">
      <c r="A894" s="53" t="s">
        <v>21</v>
      </c>
      <c r="B894" s="53" t="s">
        <v>33</v>
      </c>
      <c r="C894" s="53" t="s">
        <v>34</v>
      </c>
      <c r="D894" s="53" t="s">
        <v>48</v>
      </c>
      <c r="E894" s="53" t="s">
        <v>25</v>
      </c>
      <c r="F894" s="53" t="s">
        <v>25</v>
      </c>
      <c r="G894" s="53" t="s">
        <v>25</v>
      </c>
      <c r="H894" s="53" t="s">
        <v>25</v>
      </c>
      <c r="I894" s="73">
        <v>43922</v>
      </c>
      <c r="J894" s="74">
        <f ca="1">EFEITO!$J$894*EFEITO!$Y$894</f>
        <v>573534.02096455207</v>
      </c>
      <c r="K894" s="74">
        <f>EFEITO!$L$894*EFEITO!$Z$894</f>
        <v>0</v>
      </c>
      <c r="L894" s="74">
        <f>EFEITO!$N$894*EFEITO!$AA$894</f>
        <v>0</v>
      </c>
      <c r="M894" s="74">
        <f ca="1">$J$894-EFEITO!$K$894*EFEITO!$Y$894</f>
        <v>0</v>
      </c>
      <c r="N894" s="74">
        <f>$K$894-EFEITO!$M$894*EFEITO!$Z$894</f>
        <v>0</v>
      </c>
      <c r="O894" s="74">
        <f>$L$894-EFEITO!$O$894*EFEITO!$AA$894</f>
        <v>0</v>
      </c>
      <c r="P894" s="57"/>
      <c r="Q894" s="57"/>
      <c r="R894" s="57"/>
      <c r="S894" s="57"/>
      <c r="T894" s="57"/>
      <c r="U894" s="57"/>
      <c r="V894" s="57"/>
      <c r="W894" s="57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</row>
    <row r="895" spans="1:36" ht="11.25" customHeight="1" x14ac:dyDescent="0.2">
      <c r="A895" s="53" t="s">
        <v>27</v>
      </c>
      <c r="B895" s="53" t="s">
        <v>33</v>
      </c>
      <c r="C895" s="53" t="s">
        <v>34</v>
      </c>
      <c r="D895" s="53" t="s">
        <v>48</v>
      </c>
      <c r="E895" s="53" t="s">
        <v>25</v>
      </c>
      <c r="F895" s="53" t="s">
        <v>25</v>
      </c>
      <c r="G895" s="53" t="s">
        <v>25</v>
      </c>
      <c r="H895" s="53" t="s">
        <v>25</v>
      </c>
      <c r="I895" s="73">
        <v>43922</v>
      </c>
      <c r="J895" s="74">
        <f ca="1">EFEITO!$J$895*EFEITO!$Y$895</f>
        <v>2061.4241967575749</v>
      </c>
      <c r="K895" s="74">
        <f>EFEITO!$L$895*EFEITO!$Z$895</f>
        <v>0</v>
      </c>
      <c r="L895" s="74">
        <f>EFEITO!$N$895*EFEITO!$AA$895</f>
        <v>0</v>
      </c>
      <c r="M895" s="74">
        <f ca="1">$J$895-EFEITO!$K$895*EFEITO!$Y$895</f>
        <v>0</v>
      </c>
      <c r="N895" s="74">
        <f>$K$895-EFEITO!$M$895*EFEITO!$Z$895</f>
        <v>0</v>
      </c>
      <c r="O895" s="74">
        <f>$L$895-EFEITO!$O$895*EFEITO!$AA$895</f>
        <v>0</v>
      </c>
      <c r="P895" s="57"/>
      <c r="Q895" s="57"/>
      <c r="R895" s="57"/>
      <c r="S895" s="57"/>
      <c r="T895" s="57"/>
      <c r="U895" s="57"/>
      <c r="V895" s="57"/>
      <c r="W895" s="57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</row>
    <row r="896" spans="1:36" ht="11.25" customHeight="1" x14ac:dyDescent="0.2">
      <c r="A896" s="53" t="s">
        <v>28</v>
      </c>
      <c r="B896" s="53" t="s">
        <v>33</v>
      </c>
      <c r="C896" s="53" t="s">
        <v>34</v>
      </c>
      <c r="D896" s="53" t="s">
        <v>48</v>
      </c>
      <c r="E896" s="53" t="s">
        <v>25</v>
      </c>
      <c r="F896" s="53" t="s">
        <v>25</v>
      </c>
      <c r="G896" s="53" t="s">
        <v>25</v>
      </c>
      <c r="H896" s="53" t="s">
        <v>25</v>
      </c>
      <c r="I896" s="73">
        <v>43922</v>
      </c>
      <c r="J896" s="74">
        <f ca="1">EFEITO!$J$896*EFEITO!$Y$896</f>
        <v>80773.471442950991</v>
      </c>
      <c r="K896" s="74">
        <f>EFEITO!$L$896*EFEITO!$Z$896</f>
        <v>0</v>
      </c>
      <c r="L896" s="74">
        <f>EFEITO!$N$896*EFEITO!$AA$896</f>
        <v>0</v>
      </c>
      <c r="M896" s="74">
        <f ca="1">$J$896-EFEITO!$K$896*EFEITO!$Y$896</f>
        <v>0</v>
      </c>
      <c r="N896" s="74">
        <f>$K$896-EFEITO!$M$896*EFEITO!$Z$896</f>
        <v>0</v>
      </c>
      <c r="O896" s="74">
        <f>$L$896-EFEITO!$O$896*EFEITO!$AA$896</f>
        <v>0</v>
      </c>
      <c r="P896" s="57"/>
      <c r="Q896" s="57"/>
      <c r="R896" s="57"/>
      <c r="S896" s="57"/>
      <c r="T896" s="57"/>
      <c r="U896" s="57"/>
      <c r="V896" s="57"/>
      <c r="W896" s="57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</row>
    <row r="897" spans="1:36" ht="11.25" customHeight="1" x14ac:dyDescent="0.2">
      <c r="A897" s="53" t="s">
        <v>21</v>
      </c>
      <c r="B897" s="53" t="s">
        <v>33</v>
      </c>
      <c r="C897" s="53" t="s">
        <v>34</v>
      </c>
      <c r="D897" s="53" t="s">
        <v>48</v>
      </c>
      <c r="E897" s="53" t="s">
        <v>25</v>
      </c>
      <c r="F897" s="53" t="s">
        <v>25</v>
      </c>
      <c r="G897" s="53" t="s">
        <v>25</v>
      </c>
      <c r="H897" s="53" t="s">
        <v>25</v>
      </c>
      <c r="I897" s="73">
        <v>43952</v>
      </c>
      <c r="J897" s="74">
        <f ca="1">EFEITO!$J$897*EFEITO!$Y$897</f>
        <v>548098.33684789331</v>
      </c>
      <c r="K897" s="74">
        <f>EFEITO!$L$897*EFEITO!$Z$897</f>
        <v>0</v>
      </c>
      <c r="L897" s="74">
        <f>EFEITO!$N$897*EFEITO!$AA$897</f>
        <v>0</v>
      </c>
      <c r="M897" s="74">
        <f ca="1">$J$897-EFEITO!$K$897*EFEITO!$Y$897</f>
        <v>0</v>
      </c>
      <c r="N897" s="74">
        <f>$K$897-EFEITO!$M$897*EFEITO!$Z$897</f>
        <v>0</v>
      </c>
      <c r="O897" s="74">
        <f>$L$897-EFEITO!$O$897*EFEITO!$AA$897</f>
        <v>0</v>
      </c>
      <c r="P897" s="57"/>
      <c r="Q897" s="57"/>
      <c r="R897" s="57"/>
      <c r="S897" s="57"/>
      <c r="T897" s="57"/>
      <c r="U897" s="57"/>
      <c r="V897" s="57"/>
      <c r="W897" s="57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</row>
    <row r="898" spans="1:36" ht="11.25" customHeight="1" x14ac:dyDescent="0.2">
      <c r="A898" s="53" t="s">
        <v>28</v>
      </c>
      <c r="B898" s="53" t="s">
        <v>33</v>
      </c>
      <c r="C898" s="53" t="s">
        <v>34</v>
      </c>
      <c r="D898" s="53" t="s">
        <v>48</v>
      </c>
      <c r="E898" s="53" t="s">
        <v>25</v>
      </c>
      <c r="F898" s="53" t="s">
        <v>25</v>
      </c>
      <c r="G898" s="53" t="s">
        <v>25</v>
      </c>
      <c r="H898" s="53" t="s">
        <v>25</v>
      </c>
      <c r="I898" s="73">
        <v>43952</v>
      </c>
      <c r="J898" s="74">
        <f ca="1">EFEITO!$J$898*EFEITO!$Y$898</f>
        <v>80773.471442950991</v>
      </c>
      <c r="K898" s="74">
        <f>EFEITO!$L$898*EFEITO!$Z$898</f>
        <v>0</v>
      </c>
      <c r="L898" s="74">
        <f>EFEITO!$N$898*EFEITO!$AA$898</f>
        <v>0</v>
      </c>
      <c r="M898" s="74">
        <f ca="1">$J$898-EFEITO!$K$898*EFEITO!$Y$898</f>
        <v>0</v>
      </c>
      <c r="N898" s="74">
        <f>$K$898-EFEITO!$M$898*EFEITO!$Z$898</f>
        <v>0</v>
      </c>
      <c r="O898" s="74">
        <f>$L$898-EFEITO!$O$898*EFEITO!$AA$898</f>
        <v>0</v>
      </c>
      <c r="P898" s="57"/>
      <c r="Q898" s="57"/>
      <c r="R898" s="57"/>
      <c r="S898" s="57"/>
      <c r="T898" s="57"/>
      <c r="U898" s="57"/>
      <c r="V898" s="57"/>
      <c r="W898" s="57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</row>
    <row r="899" spans="1:36" ht="11.25" customHeight="1" x14ac:dyDescent="0.2">
      <c r="A899" s="53" t="s">
        <v>21</v>
      </c>
      <c r="B899" s="53" t="s">
        <v>33</v>
      </c>
      <c r="C899" s="53" t="s">
        <v>34</v>
      </c>
      <c r="D899" s="53" t="s">
        <v>48</v>
      </c>
      <c r="E899" s="53" t="s">
        <v>25</v>
      </c>
      <c r="F899" s="53" t="s">
        <v>25</v>
      </c>
      <c r="G899" s="53" t="s">
        <v>25</v>
      </c>
      <c r="H899" s="53" t="s">
        <v>25</v>
      </c>
      <c r="I899" s="73">
        <v>43983</v>
      </c>
      <c r="J899" s="74">
        <f ca="1">EFEITO!$J$899*EFEITO!$Y$899</f>
        <v>489714.22265305929</v>
      </c>
      <c r="K899" s="74">
        <f>EFEITO!$L$899*EFEITO!$Z$899</f>
        <v>0</v>
      </c>
      <c r="L899" s="74">
        <f>EFEITO!$N$899*EFEITO!$AA$899</f>
        <v>0</v>
      </c>
      <c r="M899" s="74">
        <f ca="1">$J$899-EFEITO!$K$899*EFEITO!$Y$899</f>
        <v>0</v>
      </c>
      <c r="N899" s="74">
        <f>$K$899-EFEITO!$M$899*EFEITO!$Z$899</f>
        <v>0</v>
      </c>
      <c r="O899" s="74">
        <f>$L$899-EFEITO!$O$899*EFEITO!$AA$899</f>
        <v>0</v>
      </c>
      <c r="P899" s="57"/>
      <c r="Q899" s="57"/>
      <c r="R899" s="57"/>
      <c r="S899" s="57"/>
      <c r="T899" s="57"/>
      <c r="U899" s="57"/>
      <c r="V899" s="57"/>
      <c r="W899" s="57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</row>
    <row r="900" spans="1:36" ht="11.25" customHeight="1" x14ac:dyDescent="0.2">
      <c r="A900" s="53" t="s">
        <v>27</v>
      </c>
      <c r="B900" s="53" t="s">
        <v>33</v>
      </c>
      <c r="C900" s="53" t="s">
        <v>34</v>
      </c>
      <c r="D900" s="53" t="s">
        <v>48</v>
      </c>
      <c r="E900" s="53" t="s">
        <v>25</v>
      </c>
      <c r="F900" s="53" t="s">
        <v>25</v>
      </c>
      <c r="G900" s="53" t="s">
        <v>25</v>
      </c>
      <c r="H900" s="53" t="s">
        <v>25</v>
      </c>
      <c r="I900" s="73">
        <v>43983</v>
      </c>
      <c r="J900" s="74">
        <f ca="1">EFEITO!$J$900*EFEITO!$Y$900</f>
        <v>44068.668384017496</v>
      </c>
      <c r="K900" s="74">
        <f>EFEITO!$L$900*EFEITO!$Z$900</f>
        <v>0</v>
      </c>
      <c r="L900" s="74">
        <f>EFEITO!$N$900*EFEITO!$AA$900</f>
        <v>0</v>
      </c>
      <c r="M900" s="74">
        <f ca="1">$J$900-EFEITO!$K$900*EFEITO!$Y$900</f>
        <v>0</v>
      </c>
      <c r="N900" s="74">
        <f>$K$900-EFEITO!$M$900*EFEITO!$Z$900</f>
        <v>0</v>
      </c>
      <c r="O900" s="74">
        <f>$L$900-EFEITO!$O$900*EFEITO!$AA$900</f>
        <v>0</v>
      </c>
      <c r="P900" s="57"/>
      <c r="Q900" s="57"/>
      <c r="R900" s="57"/>
      <c r="S900" s="57"/>
      <c r="T900" s="57"/>
      <c r="U900" s="57"/>
      <c r="V900" s="57"/>
      <c r="W900" s="57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</row>
    <row r="901" spans="1:36" ht="11.25" customHeight="1" x14ac:dyDescent="0.2">
      <c r="A901" s="53" t="s">
        <v>28</v>
      </c>
      <c r="B901" s="53" t="s">
        <v>33</v>
      </c>
      <c r="C901" s="53" t="s">
        <v>34</v>
      </c>
      <c r="D901" s="53" t="s">
        <v>48</v>
      </c>
      <c r="E901" s="53" t="s">
        <v>25</v>
      </c>
      <c r="F901" s="53" t="s">
        <v>25</v>
      </c>
      <c r="G901" s="53" t="s">
        <v>25</v>
      </c>
      <c r="H901" s="53" t="s">
        <v>25</v>
      </c>
      <c r="I901" s="73">
        <v>43983</v>
      </c>
      <c r="J901" s="74">
        <f ca="1">EFEITO!$J$901*EFEITO!$Y$901</f>
        <v>112267.45222674728</v>
      </c>
      <c r="K901" s="74">
        <f>EFEITO!$L$901*EFEITO!$Z$901</f>
        <v>0</v>
      </c>
      <c r="L901" s="74">
        <f>EFEITO!$N$901*EFEITO!$AA$901</f>
        <v>0</v>
      </c>
      <c r="M901" s="74">
        <f ca="1">$J$901-EFEITO!$K$901*EFEITO!$Y$901</f>
        <v>0</v>
      </c>
      <c r="N901" s="74">
        <f>$K$901-EFEITO!$M$901*EFEITO!$Z$901</f>
        <v>0</v>
      </c>
      <c r="O901" s="74">
        <f>$L$901-EFEITO!$O$901*EFEITO!$AA$901</f>
        <v>0</v>
      </c>
      <c r="P901" s="57"/>
      <c r="Q901" s="57"/>
      <c r="R901" s="57"/>
      <c r="S901" s="57"/>
      <c r="T901" s="57"/>
      <c r="U901" s="57"/>
      <c r="V901" s="57"/>
      <c r="W901" s="57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</row>
    <row r="902" spans="1:36" ht="11.25" customHeight="1" x14ac:dyDescent="0.2">
      <c r="A902" s="53" t="s">
        <v>21</v>
      </c>
      <c r="B902" s="53" t="s">
        <v>33</v>
      </c>
      <c r="C902" s="53" t="s">
        <v>34</v>
      </c>
      <c r="D902" s="53" t="s">
        <v>48</v>
      </c>
      <c r="E902" s="53" t="s">
        <v>25</v>
      </c>
      <c r="F902" s="53" t="s">
        <v>25</v>
      </c>
      <c r="G902" s="53" t="s">
        <v>25</v>
      </c>
      <c r="H902" s="53" t="s">
        <v>25</v>
      </c>
      <c r="I902" s="73">
        <v>44013</v>
      </c>
      <c r="J902" s="74">
        <f ca="1">EFEITO!$J$902*EFEITO!$Y$902</f>
        <v>544319.05915383773</v>
      </c>
      <c r="K902" s="74">
        <f>EFEITO!$L$902*EFEITO!$Z$902</f>
        <v>0</v>
      </c>
      <c r="L902" s="74">
        <f>EFEITO!$N$902*EFEITO!$AA$902</f>
        <v>0</v>
      </c>
      <c r="M902" s="74">
        <f ca="1">$J$902-EFEITO!$K$902*EFEITO!$Y$902</f>
        <v>0</v>
      </c>
      <c r="N902" s="74">
        <f>$K$902-EFEITO!$M$902*EFEITO!$Z$902</f>
        <v>0</v>
      </c>
      <c r="O902" s="74">
        <f>$L$902-EFEITO!$O$902*EFEITO!$AA$902</f>
        <v>0</v>
      </c>
      <c r="P902" s="57"/>
      <c r="Q902" s="57"/>
      <c r="R902" s="57"/>
      <c r="S902" s="57"/>
      <c r="T902" s="57"/>
      <c r="U902" s="57"/>
      <c r="V902" s="57"/>
      <c r="W902" s="57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</row>
    <row r="903" spans="1:36" ht="11.25" customHeight="1" x14ac:dyDescent="0.2">
      <c r="A903" s="53" t="s">
        <v>28</v>
      </c>
      <c r="B903" s="53" t="s">
        <v>33</v>
      </c>
      <c r="C903" s="53" t="s">
        <v>34</v>
      </c>
      <c r="D903" s="53" t="s">
        <v>48</v>
      </c>
      <c r="E903" s="53" t="s">
        <v>25</v>
      </c>
      <c r="F903" s="53" t="s">
        <v>25</v>
      </c>
      <c r="G903" s="53" t="s">
        <v>25</v>
      </c>
      <c r="H903" s="53" t="s">
        <v>25</v>
      </c>
      <c r="I903" s="73">
        <v>44013</v>
      </c>
      <c r="J903" s="74">
        <f ca="1">EFEITO!$J$903*EFEITO!$Y$903</f>
        <v>113985.30572404525</v>
      </c>
      <c r="K903" s="74">
        <f>EFEITO!$L$903*EFEITO!$Z$903</f>
        <v>0</v>
      </c>
      <c r="L903" s="74">
        <f>EFEITO!$N$903*EFEITO!$AA$903</f>
        <v>0</v>
      </c>
      <c r="M903" s="74">
        <f ca="1">$J$903-EFEITO!$K$903*EFEITO!$Y$903</f>
        <v>0</v>
      </c>
      <c r="N903" s="74">
        <f>$K$903-EFEITO!$M$903*EFEITO!$Z$903</f>
        <v>0</v>
      </c>
      <c r="O903" s="74">
        <f>$L$903-EFEITO!$O$903*EFEITO!$AA$903</f>
        <v>0</v>
      </c>
      <c r="P903" s="57"/>
      <c r="Q903" s="57"/>
      <c r="R903" s="57"/>
      <c r="S903" s="57"/>
      <c r="T903" s="57"/>
      <c r="U903" s="57"/>
      <c r="V903" s="57"/>
      <c r="W903" s="57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</row>
    <row r="904" spans="1:36" ht="11.25" customHeight="1" x14ac:dyDescent="0.2">
      <c r="A904" s="53" t="s">
        <v>21</v>
      </c>
      <c r="B904" s="53" t="s">
        <v>33</v>
      </c>
      <c r="C904" s="53" t="s">
        <v>34</v>
      </c>
      <c r="D904" s="53" t="s">
        <v>48</v>
      </c>
      <c r="E904" s="53" t="s">
        <v>25</v>
      </c>
      <c r="F904" s="53" t="s">
        <v>25</v>
      </c>
      <c r="G904" s="53" t="s">
        <v>25</v>
      </c>
      <c r="H904" s="53" t="s">
        <v>25</v>
      </c>
      <c r="I904" s="73">
        <v>44044</v>
      </c>
      <c r="J904" s="74">
        <f ca="1">EFEITO!$J$904*EFEITO!$Y$904</f>
        <v>543712.08425145911</v>
      </c>
      <c r="K904" s="74">
        <f>EFEITO!$L$904*EFEITO!$Z$904</f>
        <v>0</v>
      </c>
      <c r="L904" s="74">
        <f>EFEITO!$N$904*EFEITO!$AA$904</f>
        <v>0</v>
      </c>
      <c r="M904" s="74">
        <f ca="1">$J$904-EFEITO!$K$904*EFEITO!$Y$904</f>
        <v>0</v>
      </c>
      <c r="N904" s="74">
        <f>$K$904-EFEITO!$M$904*EFEITO!$Z$904</f>
        <v>0</v>
      </c>
      <c r="O904" s="74">
        <f>$L$904-EFEITO!$O$904*EFEITO!$AA$904</f>
        <v>0</v>
      </c>
      <c r="P904" s="57"/>
      <c r="Q904" s="57"/>
      <c r="R904" s="57"/>
      <c r="S904" s="57"/>
      <c r="T904" s="57"/>
      <c r="U904" s="57"/>
      <c r="V904" s="57"/>
      <c r="W904" s="57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</row>
    <row r="905" spans="1:36" ht="11.25" customHeight="1" x14ac:dyDescent="0.2">
      <c r="A905" s="53" t="s">
        <v>28</v>
      </c>
      <c r="B905" s="53" t="s">
        <v>33</v>
      </c>
      <c r="C905" s="53" t="s">
        <v>34</v>
      </c>
      <c r="D905" s="53" t="s">
        <v>48</v>
      </c>
      <c r="E905" s="53" t="s">
        <v>25</v>
      </c>
      <c r="F905" s="53" t="s">
        <v>25</v>
      </c>
      <c r="G905" s="53" t="s">
        <v>25</v>
      </c>
      <c r="H905" s="53" t="s">
        <v>25</v>
      </c>
      <c r="I905" s="73">
        <v>44044</v>
      </c>
      <c r="J905" s="74">
        <f ca="1">EFEITO!$J$905*EFEITO!$Y$905</f>
        <v>113985.30572404525</v>
      </c>
      <c r="K905" s="74">
        <f>EFEITO!$L$905*EFEITO!$Z$905</f>
        <v>0</v>
      </c>
      <c r="L905" s="74">
        <f>EFEITO!$N$905*EFEITO!$AA$905</f>
        <v>0</v>
      </c>
      <c r="M905" s="74">
        <f ca="1">$J$905-EFEITO!$K$905*EFEITO!$Y$905</f>
        <v>0</v>
      </c>
      <c r="N905" s="74">
        <f>$K$905-EFEITO!$M$905*EFEITO!$Z$905</f>
        <v>0</v>
      </c>
      <c r="O905" s="74">
        <f>$L$905-EFEITO!$O$905*EFEITO!$AA$905</f>
        <v>0</v>
      </c>
      <c r="P905" s="57"/>
      <c r="Q905" s="57"/>
      <c r="R905" s="57"/>
      <c r="S905" s="57"/>
      <c r="T905" s="57"/>
      <c r="U905" s="57"/>
      <c r="V905" s="57"/>
      <c r="W905" s="57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</row>
    <row r="906" spans="1:36" ht="11.25" customHeight="1" x14ac:dyDescent="0.2">
      <c r="A906" s="53" t="s">
        <v>59</v>
      </c>
      <c r="B906" s="53" t="s">
        <v>33</v>
      </c>
      <c r="C906" s="53" t="s">
        <v>34</v>
      </c>
      <c r="D906" s="53" t="s">
        <v>48</v>
      </c>
      <c r="E906" s="53" t="s">
        <v>25</v>
      </c>
      <c r="F906" s="53" t="s">
        <v>25</v>
      </c>
      <c r="G906" s="53" t="s">
        <v>25</v>
      </c>
      <c r="H906" s="53" t="s">
        <v>25</v>
      </c>
      <c r="I906" s="73">
        <v>44075</v>
      </c>
      <c r="J906" s="74">
        <f ca="1">EFEITO!$J$906*EFEITO!$Y$906</f>
        <v>543712.08425145911</v>
      </c>
      <c r="K906" s="74">
        <f>EFEITO!$L$906*EFEITO!$Z$906</f>
        <v>0</v>
      </c>
      <c r="L906" s="74">
        <f>EFEITO!$N$906*EFEITO!$AA$906</f>
        <v>0</v>
      </c>
      <c r="M906" s="74">
        <f ca="1">$J$906-EFEITO!$K$906*EFEITO!$Y$906</f>
        <v>0</v>
      </c>
      <c r="N906" s="74">
        <f>$K$906-EFEITO!$M$906*EFEITO!$Z$906</f>
        <v>0</v>
      </c>
      <c r="O906" s="74">
        <f>$L$906-EFEITO!$O$906*EFEITO!$AA$906</f>
        <v>0</v>
      </c>
      <c r="P906" s="57"/>
      <c r="Q906" s="57"/>
      <c r="R906" s="57"/>
      <c r="S906" s="57"/>
      <c r="T906" s="57"/>
      <c r="U906" s="57"/>
      <c r="V906" s="57"/>
      <c r="W906" s="57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</row>
    <row r="907" spans="1:36" ht="11.25" customHeight="1" x14ac:dyDescent="0.2">
      <c r="A907" s="53" t="s">
        <v>59</v>
      </c>
      <c r="B907" s="53" t="s">
        <v>33</v>
      </c>
      <c r="C907" s="53" t="s">
        <v>34</v>
      </c>
      <c r="D907" s="53" t="s">
        <v>48</v>
      </c>
      <c r="E907" s="53" t="s">
        <v>25</v>
      </c>
      <c r="F907" s="53" t="s">
        <v>25</v>
      </c>
      <c r="G907" s="53" t="s">
        <v>25</v>
      </c>
      <c r="H907" s="53" t="s">
        <v>25</v>
      </c>
      <c r="I907" s="73">
        <v>44075</v>
      </c>
      <c r="J907" s="74">
        <f ca="1">EFEITO!$J$907*EFEITO!$Y$907</f>
        <v>113985.30572404525</v>
      </c>
      <c r="K907" s="74">
        <f>EFEITO!$L$907*EFEITO!$Z$907</f>
        <v>0</v>
      </c>
      <c r="L907" s="74">
        <f>EFEITO!$N$907*EFEITO!$AA$907</f>
        <v>0</v>
      </c>
      <c r="M907" s="74">
        <f ca="1">$J$907-EFEITO!$K$907*EFEITO!$Y$907</f>
        <v>0</v>
      </c>
      <c r="N907" s="74">
        <f>$K$907-EFEITO!$M$907*EFEITO!$Z$907</f>
        <v>0</v>
      </c>
      <c r="O907" s="74">
        <f>$L$907-EFEITO!$O$907*EFEITO!$AA$907</f>
        <v>0</v>
      </c>
      <c r="P907" s="57"/>
      <c r="Q907" s="57"/>
      <c r="R907" s="57"/>
      <c r="S907" s="57"/>
      <c r="T907" s="57"/>
      <c r="U907" s="57"/>
      <c r="V907" s="57"/>
      <c r="W907" s="57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</row>
    <row r="908" spans="1:36" ht="11.25" customHeight="1" x14ac:dyDescent="0.2">
      <c r="A908" s="53" t="s">
        <v>21</v>
      </c>
      <c r="B908" s="53" t="s">
        <v>33</v>
      </c>
      <c r="C908" s="53" t="s">
        <v>34</v>
      </c>
      <c r="D908" s="53" t="s">
        <v>48</v>
      </c>
      <c r="E908" s="53" t="s">
        <v>25</v>
      </c>
      <c r="F908" s="53" t="s">
        <v>25</v>
      </c>
      <c r="G908" s="53" t="s">
        <v>25</v>
      </c>
      <c r="H908" s="53" t="s">
        <v>35</v>
      </c>
      <c r="I908" s="73">
        <v>43739</v>
      </c>
      <c r="J908" s="74">
        <f>EFEITO!$J$908*EFEITO!$Y$908</f>
        <v>0</v>
      </c>
      <c r="K908" s="74">
        <f ca="1">EFEITO!$L$908*EFEITO!$Z$908</f>
        <v>763793.4581966846</v>
      </c>
      <c r="L908" s="74">
        <f>EFEITO!$N$908*EFEITO!$AA$908</f>
        <v>383760.9112251192</v>
      </c>
      <c r="M908" s="74">
        <f>$J$908-EFEITO!$K$908*EFEITO!$Y$908</f>
        <v>0</v>
      </c>
      <c r="N908" s="74">
        <f ca="1">$K$908-EFEITO!$M$908*EFEITO!$Z$908</f>
        <v>0</v>
      </c>
      <c r="O908" s="74">
        <f>$L$908-EFEITO!$O$908*EFEITO!$AA$908</f>
        <v>0</v>
      </c>
      <c r="P908" s="57"/>
      <c r="Q908" s="57"/>
      <c r="R908" s="57"/>
      <c r="S908" s="57"/>
      <c r="T908" s="57"/>
      <c r="U908" s="57"/>
      <c r="V908" s="57"/>
      <c r="W908" s="57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</row>
    <row r="909" spans="1:36" ht="11.25" customHeight="1" x14ac:dyDescent="0.2">
      <c r="A909" s="53" t="s">
        <v>28</v>
      </c>
      <c r="B909" s="53" t="s">
        <v>33</v>
      </c>
      <c r="C909" s="53" t="s">
        <v>34</v>
      </c>
      <c r="D909" s="53" t="s">
        <v>48</v>
      </c>
      <c r="E909" s="53" t="s">
        <v>25</v>
      </c>
      <c r="F909" s="53" t="s">
        <v>25</v>
      </c>
      <c r="G909" s="53" t="s">
        <v>25</v>
      </c>
      <c r="H909" s="53" t="s">
        <v>35</v>
      </c>
      <c r="I909" s="73">
        <v>43739</v>
      </c>
      <c r="J909" s="74">
        <f>EFEITO!$J$909*EFEITO!$Y$909</f>
        <v>0</v>
      </c>
      <c r="K909" s="74">
        <f ca="1">EFEITO!$L$909*EFEITO!$Z$909</f>
        <v>408.26256480843426</v>
      </c>
      <c r="L909" s="74">
        <f>EFEITO!$N$909*EFEITO!$AA$909</f>
        <v>205.1277242671062</v>
      </c>
      <c r="M909" s="74">
        <f>$J$909-EFEITO!$K$909*EFEITO!$Y$909</f>
        <v>0</v>
      </c>
      <c r="N909" s="74">
        <f ca="1">$K$909-EFEITO!$M$909*EFEITO!$Z$909</f>
        <v>0</v>
      </c>
      <c r="O909" s="74">
        <f>$L$909-EFEITO!$O$909*EFEITO!$AA$909</f>
        <v>0</v>
      </c>
      <c r="P909" s="57"/>
      <c r="Q909" s="57"/>
      <c r="R909" s="57"/>
      <c r="S909" s="57"/>
      <c r="T909" s="57"/>
      <c r="U909" s="57"/>
      <c r="V909" s="57"/>
      <c r="W909" s="57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</row>
    <row r="910" spans="1:36" ht="11.25" customHeight="1" x14ac:dyDescent="0.2">
      <c r="A910" s="53" t="s">
        <v>21</v>
      </c>
      <c r="B910" s="53" t="s">
        <v>33</v>
      </c>
      <c r="C910" s="53" t="s">
        <v>34</v>
      </c>
      <c r="D910" s="53" t="s">
        <v>48</v>
      </c>
      <c r="E910" s="53" t="s">
        <v>25</v>
      </c>
      <c r="F910" s="53" t="s">
        <v>25</v>
      </c>
      <c r="G910" s="53" t="s">
        <v>25</v>
      </c>
      <c r="H910" s="53" t="s">
        <v>35</v>
      </c>
      <c r="I910" s="73">
        <v>43770</v>
      </c>
      <c r="J910" s="74">
        <f>EFEITO!$J$910*EFEITO!$Y$910</f>
        <v>0</v>
      </c>
      <c r="K910" s="74">
        <f ca="1">EFEITO!$L$910*EFEITO!$Z$910</f>
        <v>753577.1735392164</v>
      </c>
      <c r="L910" s="74">
        <f>EFEITO!$N$910*EFEITO!$AA$910</f>
        <v>378627.83412500669</v>
      </c>
      <c r="M910" s="74">
        <f>$J$910-EFEITO!$K$910*EFEITO!$Y$910</f>
        <v>0</v>
      </c>
      <c r="N910" s="74">
        <f ca="1">$K$910-EFEITO!$M$910*EFEITO!$Z$910</f>
        <v>0</v>
      </c>
      <c r="O910" s="74">
        <f>$L$910-EFEITO!$O$910*EFEITO!$AA$910</f>
        <v>0</v>
      </c>
      <c r="P910" s="57"/>
      <c r="Q910" s="57"/>
      <c r="R910" s="57"/>
      <c r="S910" s="57"/>
      <c r="T910" s="57"/>
      <c r="U910" s="57"/>
      <c r="V910" s="57"/>
      <c r="W910" s="57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</row>
    <row r="911" spans="1:36" ht="11.25" customHeight="1" x14ac:dyDescent="0.2">
      <c r="A911" s="53" t="s">
        <v>28</v>
      </c>
      <c r="B911" s="53" t="s">
        <v>33</v>
      </c>
      <c r="C911" s="53" t="s">
        <v>34</v>
      </c>
      <c r="D911" s="53" t="s">
        <v>48</v>
      </c>
      <c r="E911" s="53" t="s">
        <v>25</v>
      </c>
      <c r="F911" s="53" t="s">
        <v>25</v>
      </c>
      <c r="G911" s="53" t="s">
        <v>25</v>
      </c>
      <c r="H911" s="53" t="s">
        <v>35</v>
      </c>
      <c r="I911" s="73">
        <v>43770</v>
      </c>
      <c r="J911" s="74">
        <f>EFEITO!$J$911*EFEITO!$Y$911</f>
        <v>0</v>
      </c>
      <c r="K911" s="74">
        <f ca="1">EFEITO!$L$911*EFEITO!$Z$911</f>
        <v>126070.88182593636</v>
      </c>
      <c r="L911" s="74">
        <f>EFEITO!$N$911*EFEITO!$AA$911</f>
        <v>63343.140700240248</v>
      </c>
      <c r="M911" s="74">
        <f>$J$911-EFEITO!$K$911*EFEITO!$Y$911</f>
        <v>0</v>
      </c>
      <c r="N911" s="74">
        <f ca="1">$K$911-EFEITO!$M$911*EFEITO!$Z$911</f>
        <v>0</v>
      </c>
      <c r="O911" s="74">
        <f>$L$911-EFEITO!$O$911*EFEITO!$AA$911</f>
        <v>0</v>
      </c>
      <c r="P911" s="57"/>
      <c r="Q911" s="57"/>
      <c r="R911" s="57"/>
      <c r="S911" s="57"/>
      <c r="T911" s="57"/>
      <c r="U911" s="57"/>
      <c r="V911" s="57"/>
      <c r="W911" s="57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</row>
    <row r="912" spans="1:36" ht="11.25" customHeight="1" x14ac:dyDescent="0.2">
      <c r="A912" s="53" t="s">
        <v>21</v>
      </c>
      <c r="B912" s="53" t="s">
        <v>33</v>
      </c>
      <c r="C912" s="53" t="s">
        <v>34</v>
      </c>
      <c r="D912" s="53" t="s">
        <v>48</v>
      </c>
      <c r="E912" s="53" t="s">
        <v>25</v>
      </c>
      <c r="F912" s="53" t="s">
        <v>25</v>
      </c>
      <c r="G912" s="53" t="s">
        <v>25</v>
      </c>
      <c r="H912" s="53" t="s">
        <v>35</v>
      </c>
      <c r="I912" s="73">
        <v>43800</v>
      </c>
      <c r="J912" s="74">
        <f>EFEITO!$J$912*EFEITO!$Y$912</f>
        <v>0</v>
      </c>
      <c r="K912" s="74">
        <f ca="1">EFEITO!$L$912*EFEITO!$Z$912</f>
        <v>661436.94861049089</v>
      </c>
      <c r="L912" s="74">
        <f>EFEITO!$N$912*EFEITO!$AA$912</f>
        <v>332332.83604709746</v>
      </c>
      <c r="M912" s="74">
        <f>$J$912-EFEITO!$K$912*EFEITO!$Y$912</f>
        <v>0</v>
      </c>
      <c r="N912" s="74">
        <f ca="1">$K$912-EFEITO!$M$912*EFEITO!$Z$912</f>
        <v>0</v>
      </c>
      <c r="O912" s="74">
        <f>$L$912-EFEITO!$O$912*EFEITO!$AA$912</f>
        <v>0</v>
      </c>
      <c r="P912" s="57"/>
      <c r="Q912" s="57"/>
      <c r="R912" s="57"/>
      <c r="S912" s="57"/>
      <c r="T912" s="57"/>
      <c r="U912" s="57"/>
      <c r="V912" s="57"/>
      <c r="W912" s="57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</row>
    <row r="913" spans="1:36" ht="11.25" customHeight="1" x14ac:dyDescent="0.2">
      <c r="A913" s="53" t="s">
        <v>28</v>
      </c>
      <c r="B913" s="53" t="s">
        <v>33</v>
      </c>
      <c r="C913" s="53" t="s">
        <v>34</v>
      </c>
      <c r="D913" s="53" t="s">
        <v>48</v>
      </c>
      <c r="E913" s="53" t="s">
        <v>25</v>
      </c>
      <c r="F913" s="53" t="s">
        <v>25</v>
      </c>
      <c r="G913" s="53" t="s">
        <v>25</v>
      </c>
      <c r="H913" s="53" t="s">
        <v>35</v>
      </c>
      <c r="I913" s="73">
        <v>43800</v>
      </c>
      <c r="J913" s="74">
        <f>EFEITO!$J$913*EFEITO!$Y$913</f>
        <v>0</v>
      </c>
      <c r="K913" s="74">
        <f ca="1">EFEITO!$L$913*EFEITO!$Z$913</f>
        <v>114795.80634105287</v>
      </c>
      <c r="L913" s="74">
        <f>EFEITO!$N$913*EFEITO!$AA$913</f>
        <v>57678.084007522855</v>
      </c>
      <c r="M913" s="74">
        <f>$J$913-EFEITO!$K$913*EFEITO!$Y$913</f>
        <v>0</v>
      </c>
      <c r="N913" s="74">
        <f ca="1">$K$913-EFEITO!$M$913*EFEITO!$Z$913</f>
        <v>0</v>
      </c>
      <c r="O913" s="74">
        <f>$L$913-EFEITO!$O$913*EFEITO!$AA$913</f>
        <v>0</v>
      </c>
      <c r="P913" s="57"/>
      <c r="Q913" s="57"/>
      <c r="R913" s="57"/>
      <c r="S913" s="57"/>
      <c r="T913" s="57"/>
      <c r="U913" s="57"/>
      <c r="V913" s="57"/>
      <c r="W913" s="57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</row>
    <row r="914" spans="1:36" ht="11.25" customHeight="1" x14ac:dyDescent="0.2">
      <c r="A914" s="53" t="s">
        <v>21</v>
      </c>
      <c r="B914" s="53" t="s">
        <v>33</v>
      </c>
      <c r="C914" s="53" t="s">
        <v>34</v>
      </c>
      <c r="D914" s="53" t="s">
        <v>48</v>
      </c>
      <c r="E914" s="53" t="s">
        <v>25</v>
      </c>
      <c r="F914" s="53" t="s">
        <v>25</v>
      </c>
      <c r="G914" s="53" t="s">
        <v>25</v>
      </c>
      <c r="H914" s="53" t="s">
        <v>35</v>
      </c>
      <c r="I914" s="73">
        <v>43831</v>
      </c>
      <c r="J914" s="74">
        <f>EFEITO!$J$914*EFEITO!$Y$914</f>
        <v>0</v>
      </c>
      <c r="K914" s="74">
        <f ca="1">EFEITO!$L$914*EFEITO!$Z$914</f>
        <v>600235.69830461999</v>
      </c>
      <c r="L914" s="74">
        <f>EFEITO!$N$914*EFEITO!$AA$914</f>
        <v>301582.83768896858</v>
      </c>
      <c r="M914" s="74">
        <f>$J$914-EFEITO!$K$914*EFEITO!$Y$914</f>
        <v>0</v>
      </c>
      <c r="N914" s="74">
        <f ca="1">$K$914-EFEITO!$M$914*EFEITO!$Z$914</f>
        <v>0</v>
      </c>
      <c r="O914" s="74">
        <f>$L$914-EFEITO!$O$914*EFEITO!$AA$914</f>
        <v>0</v>
      </c>
      <c r="P914" s="57"/>
      <c r="Q914" s="57"/>
      <c r="R914" s="57"/>
      <c r="S914" s="57"/>
      <c r="T914" s="57"/>
      <c r="U914" s="57"/>
      <c r="V914" s="57"/>
      <c r="W914" s="57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</row>
    <row r="915" spans="1:36" ht="11.25" customHeight="1" x14ac:dyDescent="0.2">
      <c r="A915" s="53" t="s">
        <v>28</v>
      </c>
      <c r="B915" s="53" t="s">
        <v>33</v>
      </c>
      <c r="C915" s="53" t="s">
        <v>34</v>
      </c>
      <c r="D915" s="53" t="s">
        <v>48</v>
      </c>
      <c r="E915" s="53" t="s">
        <v>25</v>
      </c>
      <c r="F915" s="53" t="s">
        <v>25</v>
      </c>
      <c r="G915" s="53" t="s">
        <v>25</v>
      </c>
      <c r="H915" s="53" t="s">
        <v>35</v>
      </c>
      <c r="I915" s="73">
        <v>43831</v>
      </c>
      <c r="J915" s="74">
        <f>EFEITO!$J$915*EFEITO!$Y$915</f>
        <v>0</v>
      </c>
      <c r="K915" s="74">
        <f ca="1">EFEITO!$L$915*EFEITO!$Z$915</f>
        <v>107321.46092379076</v>
      </c>
      <c r="L915" s="74">
        <f>EFEITO!$N$915*EFEITO!$AA$915</f>
        <v>53922.668747863521</v>
      </c>
      <c r="M915" s="74">
        <f>$J$915-EFEITO!$K$915*EFEITO!$Y$915</f>
        <v>0</v>
      </c>
      <c r="N915" s="74">
        <f ca="1">$K$915-EFEITO!$M$915*EFEITO!$Z$915</f>
        <v>0</v>
      </c>
      <c r="O915" s="74">
        <f>$L$915-EFEITO!$O$915*EFEITO!$AA$915</f>
        <v>0</v>
      </c>
      <c r="P915" s="57"/>
      <c r="Q915" s="57"/>
      <c r="R915" s="57"/>
      <c r="S915" s="57"/>
      <c r="T915" s="57"/>
      <c r="U915" s="57"/>
      <c r="V915" s="57"/>
      <c r="W915" s="57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</row>
    <row r="916" spans="1:36" ht="11.25" customHeight="1" x14ac:dyDescent="0.2">
      <c r="A916" s="53" t="s">
        <v>21</v>
      </c>
      <c r="B916" s="53" t="s">
        <v>33</v>
      </c>
      <c r="C916" s="53" t="s">
        <v>34</v>
      </c>
      <c r="D916" s="53" t="s">
        <v>48</v>
      </c>
      <c r="E916" s="53" t="s">
        <v>25</v>
      </c>
      <c r="F916" s="53" t="s">
        <v>25</v>
      </c>
      <c r="G916" s="53" t="s">
        <v>25</v>
      </c>
      <c r="H916" s="53" t="s">
        <v>35</v>
      </c>
      <c r="I916" s="73">
        <v>43862</v>
      </c>
      <c r="J916" s="74">
        <f>EFEITO!$J$916*EFEITO!$Y$916</f>
        <v>0</v>
      </c>
      <c r="K916" s="74">
        <f ca="1">EFEITO!$L$916*EFEITO!$Z$916</f>
        <v>661106.45034374122</v>
      </c>
      <c r="L916" s="74">
        <f>EFEITO!$N$916*EFEITO!$AA$916</f>
        <v>332166.78027030977</v>
      </c>
      <c r="M916" s="74">
        <f>$J$916-EFEITO!$K$916*EFEITO!$Y$916</f>
        <v>0</v>
      </c>
      <c r="N916" s="74">
        <f ca="1">$K$916-EFEITO!$M$916*EFEITO!$Z$916</f>
        <v>0</v>
      </c>
      <c r="O916" s="74">
        <f>$L$916-EFEITO!$O$916*EFEITO!$AA$916</f>
        <v>0</v>
      </c>
      <c r="P916" s="57"/>
      <c r="Q916" s="57"/>
      <c r="R916" s="57"/>
      <c r="S916" s="57"/>
      <c r="T916" s="57"/>
      <c r="U916" s="57"/>
      <c r="V916" s="57"/>
      <c r="W916" s="57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</row>
    <row r="917" spans="1:36" ht="11.25" customHeight="1" x14ac:dyDescent="0.2">
      <c r="A917" s="53" t="s">
        <v>28</v>
      </c>
      <c r="B917" s="53" t="s">
        <v>33</v>
      </c>
      <c r="C917" s="53" t="s">
        <v>34</v>
      </c>
      <c r="D917" s="53" t="s">
        <v>48</v>
      </c>
      <c r="E917" s="53" t="s">
        <v>25</v>
      </c>
      <c r="F917" s="53" t="s">
        <v>25</v>
      </c>
      <c r="G917" s="53" t="s">
        <v>25</v>
      </c>
      <c r="H917" s="53" t="s">
        <v>35</v>
      </c>
      <c r="I917" s="73">
        <v>43862</v>
      </c>
      <c r="J917" s="74">
        <f>EFEITO!$J$917*EFEITO!$Y$917</f>
        <v>0</v>
      </c>
      <c r="K917" s="74">
        <f ca="1">EFEITO!$L$917*EFEITO!$Z$917</f>
        <v>115058.26084700115</v>
      </c>
      <c r="L917" s="74">
        <f>EFEITO!$N$917*EFEITO!$AA$917</f>
        <v>57809.951830265993</v>
      </c>
      <c r="M917" s="74">
        <f>$J$917-EFEITO!$K$917*EFEITO!$Y$917</f>
        <v>0</v>
      </c>
      <c r="N917" s="74">
        <f ca="1">$K$917-EFEITO!$M$917*EFEITO!$Z$917</f>
        <v>0</v>
      </c>
      <c r="O917" s="74">
        <f>$L$917-EFEITO!$O$917*EFEITO!$AA$917</f>
        <v>0</v>
      </c>
      <c r="P917" s="57"/>
      <c r="Q917" s="57"/>
      <c r="R917" s="57"/>
      <c r="S917" s="57"/>
      <c r="T917" s="57"/>
      <c r="U917" s="57"/>
      <c r="V917" s="57"/>
      <c r="W917" s="57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</row>
    <row r="918" spans="1:36" ht="11.25" customHeight="1" x14ac:dyDescent="0.2">
      <c r="A918" s="53" t="s">
        <v>21</v>
      </c>
      <c r="B918" s="53" t="s">
        <v>33</v>
      </c>
      <c r="C918" s="53" t="s">
        <v>34</v>
      </c>
      <c r="D918" s="53" t="s">
        <v>48</v>
      </c>
      <c r="E918" s="53" t="s">
        <v>25</v>
      </c>
      <c r="F918" s="53" t="s">
        <v>25</v>
      </c>
      <c r="G918" s="53" t="s">
        <v>25</v>
      </c>
      <c r="H918" s="53" t="s">
        <v>35</v>
      </c>
      <c r="I918" s="73">
        <v>43891</v>
      </c>
      <c r="J918" s="74">
        <f>EFEITO!$J$918*EFEITO!$Y$918</f>
        <v>0</v>
      </c>
      <c r="K918" s="74">
        <f ca="1">EFEITO!$L$918*EFEITO!$Z$918</f>
        <v>604008.01449410443</v>
      </c>
      <c r="L918" s="74">
        <f>EFEITO!$N$918*EFEITO!$AA$918</f>
        <v>303478.2028335245</v>
      </c>
      <c r="M918" s="74">
        <f>$J$918-EFEITO!$K$918*EFEITO!$Y$918</f>
        <v>0</v>
      </c>
      <c r="N918" s="74">
        <f ca="1">$K$918-EFEITO!$M$918*EFEITO!$Z$918</f>
        <v>0</v>
      </c>
      <c r="O918" s="74">
        <f>$L$918-EFEITO!$O$918*EFEITO!$AA$918</f>
        <v>0</v>
      </c>
      <c r="P918" s="57"/>
      <c r="Q918" s="57"/>
      <c r="R918" s="57"/>
      <c r="S918" s="57"/>
      <c r="T918" s="57"/>
      <c r="U918" s="57"/>
      <c r="V918" s="57"/>
      <c r="W918" s="57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</row>
    <row r="919" spans="1:36" ht="11.25" customHeight="1" x14ac:dyDescent="0.2">
      <c r="A919" s="53" t="s">
        <v>28</v>
      </c>
      <c r="B919" s="53" t="s">
        <v>33</v>
      </c>
      <c r="C919" s="53" t="s">
        <v>34</v>
      </c>
      <c r="D919" s="53" t="s">
        <v>48</v>
      </c>
      <c r="E919" s="53" t="s">
        <v>25</v>
      </c>
      <c r="F919" s="53" t="s">
        <v>25</v>
      </c>
      <c r="G919" s="53" t="s">
        <v>25</v>
      </c>
      <c r="H919" s="53" t="s">
        <v>35</v>
      </c>
      <c r="I919" s="73">
        <v>43891</v>
      </c>
      <c r="J919" s="74">
        <f>EFEITO!$J$919*EFEITO!$Y$919</f>
        <v>0</v>
      </c>
      <c r="K919" s="74">
        <f ca="1">EFEITO!$L$919*EFEITO!$Z$919</f>
        <v>98038.347843027557</v>
      </c>
      <c r="L919" s="74">
        <f>EFEITO!$N$919*EFEITO!$AA$919</f>
        <v>49258.455017504326</v>
      </c>
      <c r="M919" s="74">
        <f>$J$919-EFEITO!$K$919*EFEITO!$Y$919</f>
        <v>0</v>
      </c>
      <c r="N919" s="74">
        <f ca="1">$K$919-EFEITO!$M$919*EFEITO!$Z$919</f>
        <v>0</v>
      </c>
      <c r="O919" s="74">
        <f>$L$919-EFEITO!$O$919*EFEITO!$AA$919</f>
        <v>0</v>
      </c>
      <c r="P919" s="57"/>
      <c r="Q919" s="57"/>
      <c r="R919" s="57"/>
      <c r="S919" s="57"/>
      <c r="T919" s="57"/>
      <c r="U919" s="57"/>
      <c r="V919" s="57"/>
      <c r="W919" s="57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</row>
    <row r="920" spans="1:36" ht="11.25" customHeight="1" x14ac:dyDescent="0.2">
      <c r="A920" s="53" t="s">
        <v>21</v>
      </c>
      <c r="B920" s="53" t="s">
        <v>33</v>
      </c>
      <c r="C920" s="53" t="s">
        <v>34</v>
      </c>
      <c r="D920" s="53" t="s">
        <v>48</v>
      </c>
      <c r="E920" s="53" t="s">
        <v>25</v>
      </c>
      <c r="F920" s="53" t="s">
        <v>25</v>
      </c>
      <c r="G920" s="53" t="s">
        <v>25</v>
      </c>
      <c r="H920" s="53" t="s">
        <v>35</v>
      </c>
      <c r="I920" s="73">
        <v>43922</v>
      </c>
      <c r="J920" s="74">
        <f>EFEITO!$J$920*EFEITO!$Y$920</f>
        <v>0</v>
      </c>
      <c r="K920" s="74">
        <f ca="1">EFEITO!$L$920*EFEITO!$Z$920</f>
        <v>602358.51409489673</v>
      </c>
      <c r="L920" s="74">
        <f>EFEITO!$N$920*EFEITO!$AA$920</f>
        <v>302649.42671679694</v>
      </c>
      <c r="M920" s="74">
        <f>$J$920-EFEITO!$K$920*EFEITO!$Y$920</f>
        <v>0</v>
      </c>
      <c r="N920" s="74">
        <f ca="1">$K$920-EFEITO!$M$920*EFEITO!$Z$920</f>
        <v>0</v>
      </c>
      <c r="O920" s="74">
        <f>$L$920-EFEITO!$O$920*EFEITO!$AA$920</f>
        <v>0</v>
      </c>
      <c r="P920" s="57"/>
      <c r="Q920" s="57"/>
      <c r="R920" s="57"/>
      <c r="S920" s="57"/>
      <c r="T920" s="57"/>
      <c r="U920" s="57"/>
      <c r="V920" s="57"/>
      <c r="W920" s="57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</row>
    <row r="921" spans="1:36" ht="11.25" customHeight="1" x14ac:dyDescent="0.2">
      <c r="A921" s="53" t="s">
        <v>27</v>
      </c>
      <c r="B921" s="53" t="s">
        <v>33</v>
      </c>
      <c r="C921" s="53" t="s">
        <v>34</v>
      </c>
      <c r="D921" s="53" t="s">
        <v>48</v>
      </c>
      <c r="E921" s="53" t="s">
        <v>25</v>
      </c>
      <c r="F921" s="53" t="s">
        <v>25</v>
      </c>
      <c r="G921" s="53" t="s">
        <v>25</v>
      </c>
      <c r="H921" s="53" t="s">
        <v>35</v>
      </c>
      <c r="I921" s="73">
        <v>43922</v>
      </c>
      <c r="J921" s="74">
        <f>EFEITO!$J$921*EFEITO!$Y$921</f>
        <v>0</v>
      </c>
      <c r="K921" s="74">
        <f ca="1">EFEITO!$L$921*EFEITO!$Z$921</f>
        <v>5176.5599563530959</v>
      </c>
      <c r="L921" s="74">
        <f>EFEITO!$N$921*EFEITO!$AA$921</f>
        <v>2600.9143500021542</v>
      </c>
      <c r="M921" s="74">
        <f>$J$921-EFEITO!$K$921*EFEITO!$Y$921</f>
        <v>0</v>
      </c>
      <c r="N921" s="74">
        <f ca="1">$K$921-EFEITO!$M$921*EFEITO!$Z$921</f>
        <v>0</v>
      </c>
      <c r="O921" s="74">
        <f>$L$921-EFEITO!$O$921*EFEITO!$AA$921</f>
        <v>0</v>
      </c>
      <c r="P921" s="57"/>
      <c r="Q921" s="57"/>
      <c r="R921" s="57"/>
      <c r="S921" s="57"/>
      <c r="T921" s="57"/>
      <c r="U921" s="57"/>
      <c r="V921" s="57"/>
      <c r="W921" s="57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</row>
    <row r="922" spans="1:36" ht="11.25" customHeight="1" x14ac:dyDescent="0.2">
      <c r="A922" s="53" t="s">
        <v>28</v>
      </c>
      <c r="B922" s="53" t="s">
        <v>33</v>
      </c>
      <c r="C922" s="53" t="s">
        <v>34</v>
      </c>
      <c r="D922" s="53" t="s">
        <v>48</v>
      </c>
      <c r="E922" s="53" t="s">
        <v>25</v>
      </c>
      <c r="F922" s="53" t="s">
        <v>25</v>
      </c>
      <c r="G922" s="53" t="s">
        <v>25</v>
      </c>
      <c r="H922" s="53" t="s">
        <v>35</v>
      </c>
      <c r="I922" s="73">
        <v>43922</v>
      </c>
      <c r="J922" s="74">
        <f>EFEITO!$J$922*EFEITO!$Y$922</f>
        <v>0</v>
      </c>
      <c r="K922" s="74">
        <f ca="1">EFEITO!$L$922*EFEITO!$Z$922</f>
        <v>103279.96062564134</v>
      </c>
      <c r="L922" s="74">
        <f>EFEITO!$N$922*EFEITO!$AA$922</f>
        <v>51892.054554340248</v>
      </c>
      <c r="M922" s="74">
        <f>$J$922-EFEITO!$K$922*EFEITO!$Y$922</f>
        <v>0</v>
      </c>
      <c r="N922" s="74">
        <f ca="1">$K$922-EFEITO!$M$922*EFEITO!$Z$922</f>
        <v>0</v>
      </c>
      <c r="O922" s="74">
        <f>$L$922-EFEITO!$O$922*EFEITO!$AA$922</f>
        <v>0</v>
      </c>
      <c r="P922" s="57"/>
      <c r="Q922" s="57"/>
      <c r="R922" s="57"/>
      <c r="S922" s="57"/>
      <c r="T922" s="57"/>
      <c r="U922" s="57"/>
      <c r="V922" s="57"/>
      <c r="W922" s="57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</row>
    <row r="923" spans="1:36" ht="11.25" customHeight="1" x14ac:dyDescent="0.2">
      <c r="A923" s="53" t="s">
        <v>21</v>
      </c>
      <c r="B923" s="53" t="s">
        <v>33</v>
      </c>
      <c r="C923" s="53" t="s">
        <v>34</v>
      </c>
      <c r="D923" s="53" t="s">
        <v>48</v>
      </c>
      <c r="E923" s="53" t="s">
        <v>25</v>
      </c>
      <c r="F923" s="53" t="s">
        <v>25</v>
      </c>
      <c r="G923" s="53" t="s">
        <v>25</v>
      </c>
      <c r="H923" s="53" t="s">
        <v>35</v>
      </c>
      <c r="I923" s="73">
        <v>43952</v>
      </c>
      <c r="J923" s="74">
        <f>EFEITO!$J$923*EFEITO!$Y$923</f>
        <v>0</v>
      </c>
      <c r="K923" s="74">
        <f ca="1">EFEITO!$L$923*EFEITO!$Z$923</f>
        <v>477100.41873040143</v>
      </c>
      <c r="L923" s="74">
        <f>EFEITO!$N$923*EFEITO!$AA$923</f>
        <v>239714.66300607749</v>
      </c>
      <c r="M923" s="74">
        <f>$J$923-EFEITO!$K$923*EFEITO!$Y$923</f>
        <v>0</v>
      </c>
      <c r="N923" s="74">
        <f ca="1">$K$923-EFEITO!$M$923*EFEITO!$Z$923</f>
        <v>0</v>
      </c>
      <c r="O923" s="74">
        <f>$L$923-EFEITO!$O$923*EFEITO!$AA$923</f>
        <v>0</v>
      </c>
      <c r="P923" s="57"/>
      <c r="Q923" s="57"/>
      <c r="R923" s="57"/>
      <c r="S923" s="57"/>
      <c r="T923" s="57"/>
      <c r="U923" s="57"/>
      <c r="V923" s="57"/>
      <c r="W923" s="57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</row>
    <row r="924" spans="1:36" ht="11.25" customHeight="1" x14ac:dyDescent="0.2">
      <c r="A924" s="53" t="s">
        <v>28</v>
      </c>
      <c r="B924" s="53" t="s">
        <v>33</v>
      </c>
      <c r="C924" s="53" t="s">
        <v>34</v>
      </c>
      <c r="D924" s="53" t="s">
        <v>48</v>
      </c>
      <c r="E924" s="53" t="s">
        <v>25</v>
      </c>
      <c r="F924" s="53" t="s">
        <v>25</v>
      </c>
      <c r="G924" s="53" t="s">
        <v>25</v>
      </c>
      <c r="H924" s="53" t="s">
        <v>35</v>
      </c>
      <c r="I924" s="73">
        <v>43952</v>
      </c>
      <c r="J924" s="74">
        <f>EFEITO!$J$924*EFEITO!$Y$924</f>
        <v>0</v>
      </c>
      <c r="K924" s="74">
        <f ca="1">EFEITO!$L$924*EFEITO!$Z$924</f>
        <v>82653.728299193244</v>
      </c>
      <c r="L924" s="74">
        <f>EFEITO!$N$924*EFEITO!$AA$924</f>
        <v>41528.596177219144</v>
      </c>
      <c r="M924" s="74">
        <f>$J$924-EFEITO!$K$924*EFEITO!$Y$924</f>
        <v>0</v>
      </c>
      <c r="N924" s="74">
        <f ca="1">$K$924-EFEITO!$M$924*EFEITO!$Z$924</f>
        <v>0</v>
      </c>
      <c r="O924" s="74">
        <f>$L$924-EFEITO!$O$924*EFEITO!$AA$924</f>
        <v>0</v>
      </c>
      <c r="P924" s="57"/>
      <c r="Q924" s="57"/>
      <c r="R924" s="57"/>
      <c r="S924" s="57"/>
      <c r="T924" s="57"/>
      <c r="U924" s="57"/>
      <c r="V924" s="57"/>
      <c r="W924" s="57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</row>
    <row r="925" spans="1:36" ht="11.25" customHeight="1" x14ac:dyDescent="0.2">
      <c r="A925" s="53" t="s">
        <v>21</v>
      </c>
      <c r="B925" s="53" t="s">
        <v>33</v>
      </c>
      <c r="C925" s="53" t="s">
        <v>34</v>
      </c>
      <c r="D925" s="53" t="s">
        <v>48</v>
      </c>
      <c r="E925" s="53" t="s">
        <v>25</v>
      </c>
      <c r="F925" s="53" t="s">
        <v>25</v>
      </c>
      <c r="G925" s="53" t="s">
        <v>25</v>
      </c>
      <c r="H925" s="53" t="s">
        <v>35</v>
      </c>
      <c r="I925" s="73">
        <v>43983</v>
      </c>
      <c r="J925" s="74">
        <f>EFEITO!$J$925*EFEITO!$Y$925</f>
        <v>0</v>
      </c>
      <c r="K925" s="74">
        <f ca="1">EFEITO!$L$925*EFEITO!$Z$925</f>
        <v>477639.53468136641</v>
      </c>
      <c r="L925" s="74">
        <f>EFEITO!$N$925*EFEITO!$AA$925</f>
        <v>239985.53679581484</v>
      </c>
      <c r="M925" s="74">
        <f>$J$925-EFEITO!$K$925*EFEITO!$Y$925</f>
        <v>0</v>
      </c>
      <c r="N925" s="74">
        <f ca="1">$K$925-EFEITO!$M$925*EFEITO!$Z$925</f>
        <v>0</v>
      </c>
      <c r="O925" s="74">
        <f>$L$925-EFEITO!$O$925*EFEITO!$AA$925</f>
        <v>0</v>
      </c>
      <c r="P925" s="57"/>
      <c r="Q925" s="57"/>
      <c r="R925" s="57"/>
      <c r="S925" s="57"/>
      <c r="T925" s="57"/>
      <c r="U925" s="57"/>
      <c r="V925" s="57"/>
      <c r="W925" s="57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</row>
    <row r="926" spans="1:36" ht="11.25" customHeight="1" x14ac:dyDescent="0.2">
      <c r="A926" s="53" t="s">
        <v>27</v>
      </c>
      <c r="B926" s="53" t="s">
        <v>33</v>
      </c>
      <c r="C926" s="53" t="s">
        <v>34</v>
      </c>
      <c r="D926" s="53" t="s">
        <v>48</v>
      </c>
      <c r="E926" s="53" t="s">
        <v>25</v>
      </c>
      <c r="F926" s="53" t="s">
        <v>25</v>
      </c>
      <c r="G926" s="53" t="s">
        <v>25</v>
      </c>
      <c r="H926" s="53" t="s">
        <v>35</v>
      </c>
      <c r="I926" s="73">
        <v>43983</v>
      </c>
      <c r="J926" s="74">
        <f>EFEITO!$J$926*EFEITO!$Y$926</f>
        <v>0</v>
      </c>
      <c r="K926" s="74">
        <f ca="1">EFEITO!$L$926*EFEITO!$Z$926</f>
        <v>32981.035180531901</v>
      </c>
      <c r="L926" s="74">
        <f>EFEITO!$N$926*EFEITO!$AA$926</f>
        <v>16571.014032918534</v>
      </c>
      <c r="M926" s="74">
        <f>$J$926-EFEITO!$K$926*EFEITO!$Y$926</f>
        <v>0</v>
      </c>
      <c r="N926" s="74">
        <f ca="1">$K$926-EFEITO!$M$926*EFEITO!$Z$926</f>
        <v>0</v>
      </c>
      <c r="O926" s="74">
        <f>$L$926-EFEITO!$O$926*EFEITO!$AA$926</f>
        <v>0</v>
      </c>
      <c r="P926" s="57"/>
      <c r="Q926" s="57"/>
      <c r="R926" s="57"/>
      <c r="S926" s="57"/>
      <c r="T926" s="57"/>
      <c r="U926" s="57"/>
      <c r="V926" s="57"/>
      <c r="W926" s="57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</row>
    <row r="927" spans="1:36" ht="11.25" customHeight="1" x14ac:dyDescent="0.2">
      <c r="A927" s="53" t="s">
        <v>28</v>
      </c>
      <c r="B927" s="53" t="s">
        <v>33</v>
      </c>
      <c r="C927" s="53" t="s">
        <v>34</v>
      </c>
      <c r="D927" s="53" t="s">
        <v>48</v>
      </c>
      <c r="E927" s="53" t="s">
        <v>25</v>
      </c>
      <c r="F927" s="53" t="s">
        <v>25</v>
      </c>
      <c r="G927" s="53" t="s">
        <v>25</v>
      </c>
      <c r="H927" s="53" t="s">
        <v>35</v>
      </c>
      <c r="I927" s="73">
        <v>43983</v>
      </c>
      <c r="J927" s="74">
        <f>EFEITO!$J$927*EFEITO!$Y$927</f>
        <v>0</v>
      </c>
      <c r="K927" s="74">
        <f ca="1">EFEITO!$L$927*EFEITO!$Z$927</f>
        <v>118187.52611023064</v>
      </c>
      <c r="L927" s="74">
        <f>EFEITO!$N$927*EFEITO!$AA$927</f>
        <v>59382.222024511124</v>
      </c>
      <c r="M927" s="74">
        <f>$J$927-EFEITO!$K$927*EFEITO!$Y$927</f>
        <v>0</v>
      </c>
      <c r="N927" s="74">
        <f ca="1">$K$927-EFEITO!$M$927*EFEITO!$Z$927</f>
        <v>0</v>
      </c>
      <c r="O927" s="74">
        <f>$L$927-EFEITO!$O$927*EFEITO!$AA$927</f>
        <v>0</v>
      </c>
      <c r="P927" s="57"/>
      <c r="Q927" s="57"/>
      <c r="R927" s="57"/>
      <c r="S927" s="57"/>
      <c r="T927" s="57"/>
      <c r="U927" s="57"/>
      <c r="V927" s="57"/>
      <c r="W927" s="57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</row>
    <row r="928" spans="1:36" ht="11.25" customHeight="1" x14ac:dyDescent="0.2">
      <c r="A928" s="53" t="s">
        <v>21</v>
      </c>
      <c r="B928" s="53" t="s">
        <v>33</v>
      </c>
      <c r="C928" s="53" t="s">
        <v>34</v>
      </c>
      <c r="D928" s="53" t="s">
        <v>48</v>
      </c>
      <c r="E928" s="53" t="s">
        <v>25</v>
      </c>
      <c r="F928" s="53" t="s">
        <v>25</v>
      </c>
      <c r="G928" s="53" t="s">
        <v>25</v>
      </c>
      <c r="H928" s="53" t="s">
        <v>35</v>
      </c>
      <c r="I928" s="73">
        <v>44013</v>
      </c>
      <c r="J928" s="74">
        <f>EFEITO!$J$928*EFEITO!$Y$928</f>
        <v>0</v>
      </c>
      <c r="K928" s="74">
        <f ca="1">EFEITO!$L$928*EFEITO!$Z$928</f>
        <v>471291.27611868578</v>
      </c>
      <c r="L928" s="74">
        <f>EFEITO!$N$928*EFEITO!$AA$928</f>
        <v>236795.91339100213</v>
      </c>
      <c r="M928" s="74">
        <f>$J$928-EFEITO!$K$928*EFEITO!$Y$928</f>
        <v>0</v>
      </c>
      <c r="N928" s="74">
        <f ca="1">$K$928-EFEITO!$M$928*EFEITO!$Z$928</f>
        <v>0</v>
      </c>
      <c r="O928" s="74">
        <f>$L$928-EFEITO!$O$928*EFEITO!$AA$928</f>
        <v>0</v>
      </c>
      <c r="P928" s="57"/>
      <c r="Q928" s="57"/>
      <c r="R928" s="57"/>
      <c r="S928" s="57"/>
      <c r="T928" s="57"/>
      <c r="U928" s="57"/>
      <c r="V928" s="57"/>
      <c r="W928" s="57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</row>
    <row r="929" spans="1:36" ht="11.25" customHeight="1" x14ac:dyDescent="0.2">
      <c r="A929" s="53" t="s">
        <v>28</v>
      </c>
      <c r="B929" s="53" t="s">
        <v>33</v>
      </c>
      <c r="C929" s="53" t="s">
        <v>34</v>
      </c>
      <c r="D929" s="53" t="s">
        <v>48</v>
      </c>
      <c r="E929" s="53" t="s">
        <v>25</v>
      </c>
      <c r="F929" s="53" t="s">
        <v>25</v>
      </c>
      <c r="G929" s="53" t="s">
        <v>25</v>
      </c>
      <c r="H929" s="53" t="s">
        <v>35</v>
      </c>
      <c r="I929" s="73">
        <v>44013</v>
      </c>
      <c r="J929" s="74">
        <f>EFEITO!$J$929*EFEITO!$Y$929</f>
        <v>0</v>
      </c>
      <c r="K929" s="74">
        <f ca="1">EFEITO!$L$929*EFEITO!$Z$929</f>
        <v>96260.984992204016</v>
      </c>
      <c r="L929" s="74">
        <f>EFEITO!$N$929*EFEITO!$AA$929</f>
        <v>48365.435602517304</v>
      </c>
      <c r="M929" s="74">
        <f>$J$929-EFEITO!$K$929*EFEITO!$Y$929</f>
        <v>0</v>
      </c>
      <c r="N929" s="74">
        <f ca="1">$K$929-EFEITO!$M$929*EFEITO!$Z$929</f>
        <v>0</v>
      </c>
      <c r="O929" s="74">
        <f>$L$929-EFEITO!$O$929*EFEITO!$AA$929</f>
        <v>0</v>
      </c>
      <c r="P929" s="57"/>
      <c r="Q929" s="57"/>
      <c r="R929" s="57"/>
      <c r="S929" s="57"/>
      <c r="T929" s="57"/>
      <c r="U929" s="57"/>
      <c r="V929" s="57"/>
      <c r="W929" s="57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</row>
    <row r="930" spans="1:36" ht="11.25" customHeight="1" x14ac:dyDescent="0.2">
      <c r="A930" s="53" t="s">
        <v>21</v>
      </c>
      <c r="B930" s="53" t="s">
        <v>33</v>
      </c>
      <c r="C930" s="53" t="s">
        <v>34</v>
      </c>
      <c r="D930" s="53" t="s">
        <v>48</v>
      </c>
      <c r="E930" s="53" t="s">
        <v>25</v>
      </c>
      <c r="F930" s="53" t="s">
        <v>25</v>
      </c>
      <c r="G930" s="53" t="s">
        <v>25</v>
      </c>
      <c r="H930" s="53" t="s">
        <v>35</v>
      </c>
      <c r="I930" s="73">
        <v>44044</v>
      </c>
      <c r="J930" s="74">
        <f>EFEITO!$J$930*EFEITO!$Y$930</f>
        <v>0</v>
      </c>
      <c r="K930" s="74">
        <f ca="1">EFEITO!$L$930*EFEITO!$Z$930</f>
        <v>490689.72981616785</v>
      </c>
      <c r="L930" s="74">
        <f>EFEITO!$N$930*EFEITO!$AA$930</f>
        <v>246542.48582811118</v>
      </c>
      <c r="M930" s="74">
        <f>$J$930-EFEITO!$K$930*EFEITO!$Y$930</f>
        <v>0</v>
      </c>
      <c r="N930" s="74">
        <f ca="1">$K$930-EFEITO!$M$930*EFEITO!$Z$930</f>
        <v>0</v>
      </c>
      <c r="O930" s="74">
        <f>$L$930-EFEITO!$O$930*EFEITO!$AA$930</f>
        <v>0</v>
      </c>
      <c r="P930" s="57"/>
      <c r="Q930" s="57"/>
      <c r="R930" s="57"/>
      <c r="S930" s="57"/>
      <c r="T930" s="57"/>
      <c r="U930" s="57"/>
      <c r="V930" s="57"/>
      <c r="W930" s="57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</row>
    <row r="931" spans="1:36" ht="11.25" customHeight="1" x14ac:dyDescent="0.2">
      <c r="A931" s="53" t="s">
        <v>28</v>
      </c>
      <c r="B931" s="53" t="s">
        <v>33</v>
      </c>
      <c r="C931" s="53" t="s">
        <v>34</v>
      </c>
      <c r="D931" s="53" t="s">
        <v>48</v>
      </c>
      <c r="E931" s="53" t="s">
        <v>25</v>
      </c>
      <c r="F931" s="53" t="s">
        <v>25</v>
      </c>
      <c r="G931" s="53" t="s">
        <v>25</v>
      </c>
      <c r="H931" s="53" t="s">
        <v>35</v>
      </c>
      <c r="I931" s="73">
        <v>44044</v>
      </c>
      <c r="J931" s="74">
        <f>EFEITO!$J$931*EFEITO!$Y$931</f>
        <v>0</v>
      </c>
      <c r="K931" s="74">
        <f ca="1">EFEITO!$L$931*EFEITO!$Z$931</f>
        <v>116131.25861348485</v>
      </c>
      <c r="L931" s="74">
        <f>EFEITO!$N$931*EFEITO!$AA$931</f>
        <v>58349.069567121849</v>
      </c>
      <c r="M931" s="74">
        <f>$J$931-EFEITO!$K$931*EFEITO!$Y$931</f>
        <v>0</v>
      </c>
      <c r="N931" s="74">
        <f ca="1">$K$931-EFEITO!$M$931*EFEITO!$Z$931</f>
        <v>0</v>
      </c>
      <c r="O931" s="74">
        <f>$L$931-EFEITO!$O$931*EFEITO!$AA$931</f>
        <v>0</v>
      </c>
      <c r="P931" s="57"/>
      <c r="Q931" s="57"/>
      <c r="R931" s="57"/>
      <c r="S931" s="57"/>
      <c r="T931" s="57"/>
      <c r="U931" s="57"/>
      <c r="V931" s="57"/>
      <c r="W931" s="57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</row>
    <row r="932" spans="1:36" ht="11.25" customHeight="1" x14ac:dyDescent="0.2">
      <c r="A932" s="53" t="s">
        <v>59</v>
      </c>
      <c r="B932" s="53" t="s">
        <v>33</v>
      </c>
      <c r="C932" s="53" t="s">
        <v>34</v>
      </c>
      <c r="D932" s="53" t="s">
        <v>48</v>
      </c>
      <c r="E932" s="53" t="s">
        <v>25</v>
      </c>
      <c r="F932" s="53" t="s">
        <v>25</v>
      </c>
      <c r="G932" s="53" t="s">
        <v>25</v>
      </c>
      <c r="H932" s="53" t="s">
        <v>35</v>
      </c>
      <c r="I932" s="73">
        <v>44075</v>
      </c>
      <c r="J932" s="74">
        <f>EFEITO!$J$932*EFEITO!$Y$932</f>
        <v>0</v>
      </c>
      <c r="K932" s="74">
        <f ca="1">EFEITO!$L$932*EFEITO!$Z$932</f>
        <v>490689.72981616785</v>
      </c>
      <c r="L932" s="74">
        <f>EFEITO!$N$932*EFEITO!$AA$932</f>
        <v>246542.48582811118</v>
      </c>
      <c r="M932" s="74">
        <f>$J$932-EFEITO!$K$932*EFEITO!$Y$932</f>
        <v>0</v>
      </c>
      <c r="N932" s="74">
        <f ca="1">$K$932-EFEITO!$M$932*EFEITO!$Z$932</f>
        <v>0</v>
      </c>
      <c r="O932" s="74">
        <f>$L$932-EFEITO!$O$932*EFEITO!$AA$932</f>
        <v>0</v>
      </c>
      <c r="P932" s="57"/>
      <c r="Q932" s="57"/>
      <c r="R932" s="57"/>
      <c r="S932" s="57"/>
      <c r="T932" s="57"/>
      <c r="U932" s="57"/>
      <c r="V932" s="57"/>
      <c r="W932" s="57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</row>
    <row r="933" spans="1:36" ht="11.25" customHeight="1" x14ac:dyDescent="0.2">
      <c r="A933" s="53" t="s">
        <v>59</v>
      </c>
      <c r="B933" s="53" t="s">
        <v>33</v>
      </c>
      <c r="C933" s="53" t="s">
        <v>34</v>
      </c>
      <c r="D933" s="53" t="s">
        <v>48</v>
      </c>
      <c r="E933" s="53" t="s">
        <v>25</v>
      </c>
      <c r="F933" s="53" t="s">
        <v>25</v>
      </c>
      <c r="G933" s="53" t="s">
        <v>25</v>
      </c>
      <c r="H933" s="53" t="s">
        <v>35</v>
      </c>
      <c r="I933" s="73">
        <v>44075</v>
      </c>
      <c r="J933" s="74">
        <f>EFEITO!$J$933*EFEITO!$Y$933</f>
        <v>0</v>
      </c>
      <c r="K933" s="74">
        <f ca="1">EFEITO!$L$933*EFEITO!$Z$933</f>
        <v>116131.25861348485</v>
      </c>
      <c r="L933" s="74">
        <f>EFEITO!$N$933*EFEITO!$AA$933</f>
        <v>58349.069567121849</v>
      </c>
      <c r="M933" s="74">
        <f>$J$933-EFEITO!$K$933*EFEITO!$Y$933</f>
        <v>0</v>
      </c>
      <c r="N933" s="74">
        <f ca="1">$K$933-EFEITO!$M$933*EFEITO!$Z$933</f>
        <v>0</v>
      </c>
      <c r="O933" s="74">
        <f>$L$933-EFEITO!$O$933*EFEITO!$AA$933</f>
        <v>0</v>
      </c>
      <c r="P933" s="57"/>
      <c r="Q933" s="57"/>
      <c r="R933" s="57"/>
      <c r="S933" s="57"/>
      <c r="T933" s="57"/>
      <c r="U933" s="57"/>
      <c r="V933" s="57"/>
      <c r="W933" s="57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</row>
    <row r="934" spans="1:36" ht="11.25" customHeight="1" x14ac:dyDescent="0.2">
      <c r="A934" s="53" t="s">
        <v>21</v>
      </c>
      <c r="B934" s="53" t="s">
        <v>33</v>
      </c>
      <c r="C934" s="53" t="s">
        <v>34</v>
      </c>
      <c r="D934" s="53" t="s">
        <v>24</v>
      </c>
      <c r="E934" s="53" t="s">
        <v>24</v>
      </c>
      <c r="F934" s="53" t="s">
        <v>25</v>
      </c>
      <c r="G934" s="53" t="s">
        <v>25</v>
      </c>
      <c r="H934" s="53" t="s">
        <v>36</v>
      </c>
      <c r="I934" s="73">
        <v>43739</v>
      </c>
      <c r="J934" s="74">
        <f>EFEITO!$J$934*EFEITO!$Y$934</f>
        <v>0</v>
      </c>
      <c r="K934" s="74">
        <f ca="1">EFEITO!$L$934*EFEITO!$Z$934</f>
        <v>10846.187008992049</v>
      </c>
      <c r="L934" s="74">
        <f>EFEITO!$N$934*EFEITO!$AA$934</f>
        <v>28607.05273788987</v>
      </c>
      <c r="M934" s="74">
        <f>$J$934-EFEITO!$K$934*EFEITO!$Y$934</f>
        <v>0</v>
      </c>
      <c r="N934" s="74">
        <f ca="1">$K$934-EFEITO!$M$934*EFEITO!$Z$934</f>
        <v>0</v>
      </c>
      <c r="O934" s="74">
        <f>$L$934-EFEITO!$O$934*EFEITO!$AA$934</f>
        <v>0</v>
      </c>
      <c r="P934" s="57"/>
      <c r="Q934" s="57"/>
      <c r="R934" s="57"/>
      <c r="S934" s="57"/>
      <c r="T934" s="57"/>
      <c r="U934" s="57"/>
      <c r="V934" s="57"/>
      <c r="W934" s="57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</row>
    <row r="935" spans="1:36" ht="11.25" customHeight="1" x14ac:dyDescent="0.2">
      <c r="A935" s="53" t="s">
        <v>27</v>
      </c>
      <c r="B935" s="53" t="s">
        <v>33</v>
      </c>
      <c r="C935" s="53" t="s">
        <v>34</v>
      </c>
      <c r="D935" s="53" t="s">
        <v>24</v>
      </c>
      <c r="E935" s="53" t="s">
        <v>24</v>
      </c>
      <c r="F935" s="53" t="s">
        <v>25</v>
      </c>
      <c r="G935" s="53" t="s">
        <v>25</v>
      </c>
      <c r="H935" s="53" t="s">
        <v>36</v>
      </c>
      <c r="I935" s="73">
        <v>43739</v>
      </c>
      <c r="J935" s="74">
        <f>EFEITO!$J$935*EFEITO!$Y$935</f>
        <v>0</v>
      </c>
      <c r="K935" s="74">
        <f ca="1">EFEITO!$L$935*EFEITO!$Z$935</f>
        <v>79.029983854624987</v>
      </c>
      <c r="L935" s="74">
        <f>EFEITO!$N$935*EFEITO!$AA$935</f>
        <v>208.44329109663238</v>
      </c>
      <c r="M935" s="74">
        <f>$J$935-EFEITO!$K$935*EFEITO!$Y$935</f>
        <v>0</v>
      </c>
      <c r="N935" s="74">
        <f ca="1">$K$935-EFEITO!$M$935*EFEITO!$Z$935</f>
        <v>0</v>
      </c>
      <c r="O935" s="74">
        <f>$L$935-EFEITO!$O$935*EFEITO!$AA$935</f>
        <v>0</v>
      </c>
      <c r="P935" s="57"/>
      <c r="Q935" s="57"/>
      <c r="R935" s="57"/>
      <c r="S935" s="57"/>
      <c r="T935" s="57"/>
      <c r="U935" s="57"/>
      <c r="V935" s="57"/>
      <c r="W935" s="57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</row>
    <row r="936" spans="1:36" ht="11.25" customHeight="1" x14ac:dyDescent="0.2">
      <c r="A936" s="53" t="s">
        <v>28</v>
      </c>
      <c r="B936" s="53" t="s">
        <v>33</v>
      </c>
      <c r="C936" s="53" t="s">
        <v>34</v>
      </c>
      <c r="D936" s="53" t="s">
        <v>24</v>
      </c>
      <c r="E936" s="53" t="s">
        <v>24</v>
      </c>
      <c r="F936" s="53" t="s">
        <v>25</v>
      </c>
      <c r="G936" s="53" t="s">
        <v>25</v>
      </c>
      <c r="H936" s="53" t="s">
        <v>36</v>
      </c>
      <c r="I936" s="73">
        <v>43739</v>
      </c>
      <c r="J936" s="74">
        <f>EFEITO!$J$936*EFEITO!$Y$936</f>
        <v>0</v>
      </c>
      <c r="K936" s="74">
        <f ca="1">EFEITO!$L$936*EFEITO!$Z$936</f>
        <v>381.84697625440623</v>
      </c>
      <c r="L936" s="74">
        <f>EFEITO!$N$936*EFEITO!$AA$936</f>
        <v>1007.1296556529426</v>
      </c>
      <c r="M936" s="74">
        <f>$J$936-EFEITO!$K$936*EFEITO!$Y$936</f>
        <v>0</v>
      </c>
      <c r="N936" s="74">
        <f ca="1">$K$936-EFEITO!$M$936*EFEITO!$Z$936</f>
        <v>0</v>
      </c>
      <c r="O936" s="74">
        <f>$L$936-EFEITO!$O$936*EFEITO!$AA$936</f>
        <v>0</v>
      </c>
      <c r="P936" s="57"/>
      <c r="Q936" s="57"/>
      <c r="R936" s="57"/>
      <c r="S936" s="57"/>
      <c r="T936" s="57"/>
      <c r="U936" s="57"/>
      <c r="V936" s="57"/>
      <c r="W936" s="57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</row>
    <row r="937" spans="1:36" ht="11.25" customHeight="1" x14ac:dyDescent="0.2">
      <c r="A937" s="53" t="s">
        <v>21</v>
      </c>
      <c r="B937" s="53" t="s">
        <v>33</v>
      </c>
      <c r="C937" s="53" t="s">
        <v>34</v>
      </c>
      <c r="D937" s="53" t="s">
        <v>24</v>
      </c>
      <c r="E937" s="53" t="s">
        <v>24</v>
      </c>
      <c r="F937" s="53" t="s">
        <v>25</v>
      </c>
      <c r="G937" s="53" t="s">
        <v>25</v>
      </c>
      <c r="H937" s="53" t="s">
        <v>36</v>
      </c>
      <c r="I937" s="73">
        <v>43770</v>
      </c>
      <c r="J937" s="74">
        <f>EFEITO!$J$937*EFEITO!$Y$937</f>
        <v>0</v>
      </c>
      <c r="K937" s="74">
        <f ca="1">EFEITO!$L$937*EFEITO!$Z$937</f>
        <v>11254.377313197996</v>
      </c>
      <c r="L937" s="74">
        <f>EFEITO!$N$937*EFEITO!$AA$937</f>
        <v>29683.663490575022</v>
      </c>
      <c r="M937" s="74">
        <f>$J$937-EFEITO!$K$937*EFEITO!$Y$937</f>
        <v>0</v>
      </c>
      <c r="N937" s="74">
        <f ca="1">$K$937-EFEITO!$M$937*EFEITO!$Z$937</f>
        <v>0</v>
      </c>
      <c r="O937" s="74">
        <f>$L$937-EFEITO!$O$937*EFEITO!$AA$937</f>
        <v>0</v>
      </c>
      <c r="P937" s="57"/>
      <c r="Q937" s="57"/>
      <c r="R937" s="57"/>
      <c r="S937" s="57"/>
      <c r="T937" s="57"/>
      <c r="U937" s="57"/>
      <c r="V937" s="57"/>
      <c r="W937" s="57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</row>
    <row r="938" spans="1:36" ht="11.25" customHeight="1" x14ac:dyDescent="0.2">
      <c r="A938" s="53" t="s">
        <v>28</v>
      </c>
      <c r="B938" s="53" t="s">
        <v>33</v>
      </c>
      <c r="C938" s="53" t="s">
        <v>34</v>
      </c>
      <c r="D938" s="53" t="s">
        <v>24</v>
      </c>
      <c r="E938" s="53" t="s">
        <v>24</v>
      </c>
      <c r="F938" s="53" t="s">
        <v>25</v>
      </c>
      <c r="G938" s="53" t="s">
        <v>25</v>
      </c>
      <c r="H938" s="53" t="s">
        <v>36</v>
      </c>
      <c r="I938" s="73">
        <v>43770</v>
      </c>
      <c r="J938" s="74">
        <f>EFEITO!$J$938*EFEITO!$Y$938</f>
        <v>0</v>
      </c>
      <c r="K938" s="74">
        <f ca="1">EFEITO!$L$938*EFEITO!$Z$938</f>
        <v>335.81179186068226</v>
      </c>
      <c r="L938" s="74">
        <f>EFEITO!$N$938*EFEITO!$AA$938</f>
        <v>885.71086150363055</v>
      </c>
      <c r="M938" s="74">
        <f>$J$938-EFEITO!$K$938*EFEITO!$Y$938</f>
        <v>0</v>
      </c>
      <c r="N938" s="74">
        <f ca="1">$K$938-EFEITO!$M$938*EFEITO!$Z$938</f>
        <v>0</v>
      </c>
      <c r="O938" s="74">
        <f>$L$938-EFEITO!$O$938*EFEITO!$AA$938</f>
        <v>0</v>
      </c>
      <c r="P938" s="57"/>
      <c r="Q938" s="57"/>
      <c r="R938" s="57"/>
      <c r="S938" s="57"/>
      <c r="T938" s="57"/>
      <c r="U938" s="57"/>
      <c r="V938" s="57"/>
      <c r="W938" s="57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</row>
    <row r="939" spans="1:36" ht="11.25" customHeight="1" x14ac:dyDescent="0.2">
      <c r="A939" s="53" t="s">
        <v>21</v>
      </c>
      <c r="B939" s="53" t="s">
        <v>33</v>
      </c>
      <c r="C939" s="53" t="s">
        <v>34</v>
      </c>
      <c r="D939" s="53" t="s">
        <v>24</v>
      </c>
      <c r="E939" s="53" t="s">
        <v>24</v>
      </c>
      <c r="F939" s="53" t="s">
        <v>25</v>
      </c>
      <c r="G939" s="53" t="s">
        <v>25</v>
      </c>
      <c r="H939" s="53" t="s">
        <v>36</v>
      </c>
      <c r="I939" s="73">
        <v>43800</v>
      </c>
      <c r="J939" s="74">
        <f>EFEITO!$J$939*EFEITO!$Y$939</f>
        <v>0</v>
      </c>
      <c r="K939" s="74">
        <f ca="1">EFEITO!$L$939*EFEITO!$Z$939</f>
        <v>10150.495600730239</v>
      </c>
      <c r="L939" s="74">
        <f>EFEITO!$N$939*EFEITO!$AA$939</f>
        <v>26772.151607295044</v>
      </c>
      <c r="M939" s="74">
        <f>$J$939-EFEITO!$K$939*EFEITO!$Y$939</f>
        <v>0</v>
      </c>
      <c r="N939" s="74">
        <f ca="1">$K$939-EFEITO!$M$939*EFEITO!$Z$939</f>
        <v>0</v>
      </c>
      <c r="O939" s="74">
        <f>$L$939-EFEITO!$O$939*EFEITO!$AA$939</f>
        <v>0</v>
      </c>
      <c r="P939" s="57"/>
      <c r="Q939" s="57"/>
      <c r="R939" s="57"/>
      <c r="S939" s="57"/>
      <c r="T939" s="57"/>
      <c r="U939" s="57"/>
      <c r="V939" s="57"/>
      <c r="W939" s="57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</row>
    <row r="940" spans="1:36" ht="11.25" customHeight="1" x14ac:dyDescent="0.2">
      <c r="A940" s="53" t="s">
        <v>27</v>
      </c>
      <c r="B940" s="53" t="s">
        <v>33</v>
      </c>
      <c r="C940" s="53" t="s">
        <v>34</v>
      </c>
      <c r="D940" s="53" t="s">
        <v>24</v>
      </c>
      <c r="E940" s="53" t="s">
        <v>24</v>
      </c>
      <c r="F940" s="53" t="s">
        <v>25</v>
      </c>
      <c r="G940" s="53" t="s">
        <v>25</v>
      </c>
      <c r="H940" s="53" t="s">
        <v>36</v>
      </c>
      <c r="I940" s="73">
        <v>43800</v>
      </c>
      <c r="J940" s="74">
        <f>EFEITO!$J$940*EFEITO!$Y$940</f>
        <v>0</v>
      </c>
      <c r="K940" s="74">
        <f ca="1">EFEITO!$L$940*EFEITO!$Z$940</f>
        <v>111.58718650569972</v>
      </c>
      <c r="L940" s="74">
        <f>EFEITO!$N$940*EFEITO!$AA$940</f>
        <v>294.31361699690615</v>
      </c>
      <c r="M940" s="74">
        <f>$J$940-EFEITO!$K$940*EFEITO!$Y$940</f>
        <v>0</v>
      </c>
      <c r="N940" s="74">
        <f ca="1">$K$940-EFEITO!$M$940*EFEITO!$Z$940</f>
        <v>0</v>
      </c>
      <c r="O940" s="74">
        <f>$L$940-EFEITO!$O$940*EFEITO!$AA$940</f>
        <v>0</v>
      </c>
      <c r="P940" s="57"/>
      <c r="Q940" s="57"/>
      <c r="R940" s="57"/>
      <c r="S940" s="57"/>
      <c r="T940" s="57"/>
      <c r="U940" s="57"/>
      <c r="V940" s="57"/>
      <c r="W940" s="57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</row>
    <row r="941" spans="1:36" ht="11.25" customHeight="1" x14ac:dyDescent="0.2">
      <c r="A941" s="53" t="s">
        <v>28</v>
      </c>
      <c r="B941" s="53" t="s">
        <v>33</v>
      </c>
      <c r="C941" s="53" t="s">
        <v>34</v>
      </c>
      <c r="D941" s="53" t="s">
        <v>24</v>
      </c>
      <c r="E941" s="53" t="s">
        <v>24</v>
      </c>
      <c r="F941" s="53" t="s">
        <v>25</v>
      </c>
      <c r="G941" s="53" t="s">
        <v>25</v>
      </c>
      <c r="H941" s="53" t="s">
        <v>36</v>
      </c>
      <c r="I941" s="73">
        <v>43800</v>
      </c>
      <c r="J941" s="74">
        <f>EFEITO!$J$941*EFEITO!$Y$941</f>
        <v>0</v>
      </c>
      <c r="K941" s="74">
        <f ca="1">EFEITO!$L$941*EFEITO!$Z$941</f>
        <v>217.83569193151891</v>
      </c>
      <c r="L941" s="74">
        <f>EFEITO!$N$941*EFEITO!$AA$941</f>
        <v>574.54634721984269</v>
      </c>
      <c r="M941" s="74">
        <f>$J$941-EFEITO!$K$941*EFEITO!$Y$941</f>
        <v>0</v>
      </c>
      <c r="N941" s="74">
        <f ca="1">$K$941-EFEITO!$M$941*EFEITO!$Z$941</f>
        <v>0</v>
      </c>
      <c r="O941" s="74">
        <f>$L$941-EFEITO!$O$941*EFEITO!$AA$941</f>
        <v>0</v>
      </c>
      <c r="P941" s="57"/>
      <c r="Q941" s="57"/>
      <c r="R941" s="57"/>
      <c r="S941" s="57"/>
      <c r="T941" s="57"/>
      <c r="U941" s="57"/>
      <c r="V941" s="57"/>
      <c r="W941" s="57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</row>
    <row r="942" spans="1:36" ht="11.25" customHeight="1" x14ac:dyDescent="0.2">
      <c r="A942" s="53" t="s">
        <v>21</v>
      </c>
      <c r="B942" s="53" t="s">
        <v>33</v>
      </c>
      <c r="C942" s="53" t="s">
        <v>34</v>
      </c>
      <c r="D942" s="53" t="s">
        <v>24</v>
      </c>
      <c r="E942" s="53" t="s">
        <v>24</v>
      </c>
      <c r="F942" s="53" t="s">
        <v>25</v>
      </c>
      <c r="G942" s="53" t="s">
        <v>25</v>
      </c>
      <c r="H942" s="53" t="s">
        <v>36</v>
      </c>
      <c r="I942" s="73">
        <v>43831</v>
      </c>
      <c r="J942" s="74">
        <f>EFEITO!$J$942*EFEITO!$Y$942</f>
        <v>0</v>
      </c>
      <c r="K942" s="74">
        <f ca="1">EFEITO!$L$942*EFEITO!$Z$942</f>
        <v>9387.8518805650092</v>
      </c>
      <c r="L942" s="74">
        <f>EFEITO!$N$942*EFEITO!$AA$942</f>
        <v>24760.662306502069</v>
      </c>
      <c r="M942" s="74">
        <f>$J$942-EFEITO!$K$942*EFEITO!$Y$942</f>
        <v>0</v>
      </c>
      <c r="N942" s="74">
        <f ca="1">$K$942-EFEITO!$M$942*EFEITO!$Z$942</f>
        <v>0</v>
      </c>
      <c r="O942" s="74">
        <f>$L$942-EFEITO!$O$942*EFEITO!$AA$942</f>
        <v>0</v>
      </c>
      <c r="P942" s="57"/>
      <c r="Q942" s="57"/>
      <c r="R942" s="57"/>
      <c r="S942" s="57"/>
      <c r="T942" s="57"/>
      <c r="U942" s="57"/>
      <c r="V942" s="57"/>
      <c r="W942" s="57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</row>
    <row r="943" spans="1:36" ht="11.25" customHeight="1" x14ac:dyDescent="0.2">
      <c r="A943" s="53" t="s">
        <v>27</v>
      </c>
      <c r="B943" s="53" t="s">
        <v>33</v>
      </c>
      <c r="C943" s="53" t="s">
        <v>34</v>
      </c>
      <c r="D943" s="53" t="s">
        <v>24</v>
      </c>
      <c r="E943" s="53" t="s">
        <v>24</v>
      </c>
      <c r="F943" s="53" t="s">
        <v>25</v>
      </c>
      <c r="G943" s="53" t="s">
        <v>25</v>
      </c>
      <c r="H943" s="53" t="s">
        <v>36</v>
      </c>
      <c r="I943" s="73">
        <v>43831</v>
      </c>
      <c r="J943" s="74">
        <f>EFEITO!$J$943*EFEITO!$Y$943</f>
        <v>0</v>
      </c>
      <c r="K943" s="74">
        <f ca="1">EFEITO!$L$943*EFEITO!$Z$943</f>
        <v>201.29453252008577</v>
      </c>
      <c r="L943" s="74">
        <f>EFEITO!$N$943*EFEITO!$AA$943</f>
        <v>530.91868164147775</v>
      </c>
      <c r="M943" s="74">
        <f>$J$943-EFEITO!$K$943*EFEITO!$Y$943</f>
        <v>0</v>
      </c>
      <c r="N943" s="74">
        <f ca="1">$K$943-EFEITO!$M$943*EFEITO!$Z$943</f>
        <v>0</v>
      </c>
      <c r="O943" s="74">
        <f>$L$943-EFEITO!$O$943*EFEITO!$AA$943</f>
        <v>0</v>
      </c>
      <c r="P943" s="57"/>
      <c r="Q943" s="57"/>
      <c r="R943" s="57"/>
      <c r="S943" s="57"/>
      <c r="T943" s="57"/>
      <c r="U943" s="57"/>
      <c r="V943" s="57"/>
      <c r="W943" s="57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</row>
    <row r="944" spans="1:36" ht="11.25" customHeight="1" x14ac:dyDescent="0.2">
      <c r="A944" s="53" t="s">
        <v>28</v>
      </c>
      <c r="B944" s="53" t="s">
        <v>33</v>
      </c>
      <c r="C944" s="53" t="s">
        <v>34</v>
      </c>
      <c r="D944" s="53" t="s">
        <v>24</v>
      </c>
      <c r="E944" s="53" t="s">
        <v>24</v>
      </c>
      <c r="F944" s="53" t="s">
        <v>25</v>
      </c>
      <c r="G944" s="53" t="s">
        <v>25</v>
      </c>
      <c r="H944" s="53" t="s">
        <v>36</v>
      </c>
      <c r="I944" s="73">
        <v>43831</v>
      </c>
      <c r="J944" s="74">
        <f>EFEITO!$J$944*EFEITO!$Y$944</f>
        <v>0</v>
      </c>
      <c r="K944" s="74">
        <f ca="1">EFEITO!$L$944*EFEITO!$Z$944</f>
        <v>133.37950763504816</v>
      </c>
      <c r="L944" s="74">
        <f>EFEITO!$N$944*EFEITO!$AA$944</f>
        <v>351.7913351398314</v>
      </c>
      <c r="M944" s="74">
        <f>$J$944-EFEITO!$K$944*EFEITO!$Y$944</f>
        <v>0</v>
      </c>
      <c r="N944" s="74">
        <f ca="1">$K$944-EFEITO!$M$944*EFEITO!$Z$944</f>
        <v>0</v>
      </c>
      <c r="O944" s="74">
        <f>$L$944-EFEITO!$O$944*EFEITO!$AA$944</f>
        <v>0</v>
      </c>
      <c r="P944" s="57"/>
      <c r="Q944" s="57"/>
      <c r="R944" s="57"/>
      <c r="S944" s="57"/>
      <c r="T944" s="57"/>
      <c r="U944" s="57"/>
      <c r="V944" s="57"/>
      <c r="W944" s="57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</row>
    <row r="945" spans="1:36" ht="11.25" customHeight="1" x14ac:dyDescent="0.2">
      <c r="A945" s="53" t="s">
        <v>21</v>
      </c>
      <c r="B945" s="53" t="s">
        <v>33</v>
      </c>
      <c r="C945" s="53" t="s">
        <v>34</v>
      </c>
      <c r="D945" s="53" t="s">
        <v>24</v>
      </c>
      <c r="E945" s="53" t="s">
        <v>24</v>
      </c>
      <c r="F945" s="53" t="s">
        <v>25</v>
      </c>
      <c r="G945" s="53" t="s">
        <v>25</v>
      </c>
      <c r="H945" s="53" t="s">
        <v>36</v>
      </c>
      <c r="I945" s="73">
        <v>43862</v>
      </c>
      <c r="J945" s="74">
        <f>EFEITO!$J$945*EFEITO!$Y$945</f>
        <v>0</v>
      </c>
      <c r="K945" s="74">
        <f ca="1">EFEITO!$L$945*EFEITO!$Z$945</f>
        <v>10132.816689613257</v>
      </c>
      <c r="L945" s="74">
        <f>EFEITO!$N$945*EFEITO!$AA$945</f>
        <v>26725.523096994355</v>
      </c>
      <c r="M945" s="74">
        <f>$J$945-EFEITO!$K$945*EFEITO!$Y$945</f>
        <v>0</v>
      </c>
      <c r="N945" s="74">
        <f ca="1">$K$945-EFEITO!$M$945*EFEITO!$Z$945</f>
        <v>0</v>
      </c>
      <c r="O945" s="74">
        <f>$L$945-EFEITO!$O$945*EFEITO!$AA$945</f>
        <v>0</v>
      </c>
      <c r="P945" s="57"/>
      <c r="Q945" s="57"/>
      <c r="R945" s="57"/>
      <c r="S945" s="57"/>
      <c r="T945" s="57"/>
      <c r="U945" s="57"/>
      <c r="V945" s="57"/>
      <c r="W945" s="57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</row>
    <row r="946" spans="1:36" ht="11.25" customHeight="1" x14ac:dyDescent="0.2">
      <c r="A946" s="53" t="s">
        <v>27</v>
      </c>
      <c r="B946" s="53" t="s">
        <v>33</v>
      </c>
      <c r="C946" s="53" t="s">
        <v>34</v>
      </c>
      <c r="D946" s="53" t="s">
        <v>24</v>
      </c>
      <c r="E946" s="53" t="s">
        <v>24</v>
      </c>
      <c r="F946" s="53" t="s">
        <v>25</v>
      </c>
      <c r="G946" s="53" t="s">
        <v>25</v>
      </c>
      <c r="H946" s="53" t="s">
        <v>36</v>
      </c>
      <c r="I946" s="73">
        <v>43862</v>
      </c>
      <c r="J946" s="74">
        <f>EFEITO!$J$946*EFEITO!$Y$946</f>
        <v>0</v>
      </c>
      <c r="K946" s="74">
        <f ca="1">EFEITO!$L$946*EFEITO!$Z$946</f>
        <v>210.83414297429852</v>
      </c>
      <c r="L946" s="74">
        <f>EFEITO!$N$946*EFEITO!$AA$946</f>
        <v>556.07961046709556</v>
      </c>
      <c r="M946" s="74">
        <f>$J$946-EFEITO!$K$946*EFEITO!$Y$946</f>
        <v>0</v>
      </c>
      <c r="N946" s="74">
        <f ca="1">$K$946-EFEITO!$M$946*EFEITO!$Z$946</f>
        <v>0</v>
      </c>
      <c r="O946" s="74">
        <f>$L$946-EFEITO!$O$946*EFEITO!$AA$946</f>
        <v>0</v>
      </c>
      <c r="P946" s="57"/>
      <c r="Q946" s="57"/>
      <c r="R946" s="57"/>
      <c r="S946" s="57"/>
      <c r="T946" s="57"/>
      <c r="U946" s="57"/>
      <c r="V946" s="57"/>
      <c r="W946" s="57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</row>
    <row r="947" spans="1:36" ht="11.25" customHeight="1" x14ac:dyDescent="0.2">
      <c r="A947" s="53" t="s">
        <v>28</v>
      </c>
      <c r="B947" s="53" t="s">
        <v>33</v>
      </c>
      <c r="C947" s="53" t="s">
        <v>34</v>
      </c>
      <c r="D947" s="53" t="s">
        <v>24</v>
      </c>
      <c r="E947" s="53" t="s">
        <v>24</v>
      </c>
      <c r="F947" s="53" t="s">
        <v>25</v>
      </c>
      <c r="G947" s="53" t="s">
        <v>25</v>
      </c>
      <c r="H947" s="53" t="s">
        <v>36</v>
      </c>
      <c r="I947" s="73">
        <v>43862</v>
      </c>
      <c r="J947" s="74">
        <f>EFEITO!$J$947*EFEITO!$Y$947</f>
        <v>0</v>
      </c>
      <c r="K947" s="74">
        <f ca="1">EFEITO!$L$947*EFEITO!$Z$947</f>
        <v>297.65335004383115</v>
      </c>
      <c r="L947" s="74">
        <f>EFEITO!$N$947*EFEITO!$AA$947</f>
        <v>785.06714620115906</v>
      </c>
      <c r="M947" s="74">
        <f>$J$947-EFEITO!$K$947*EFEITO!$Y$947</f>
        <v>0</v>
      </c>
      <c r="N947" s="74">
        <f ca="1">$K$947-EFEITO!$M$947*EFEITO!$Z$947</f>
        <v>0</v>
      </c>
      <c r="O947" s="74">
        <f>$L$947-EFEITO!$O$947*EFEITO!$AA$947</f>
        <v>0</v>
      </c>
      <c r="P947" s="57"/>
      <c r="Q947" s="57"/>
      <c r="R947" s="57"/>
      <c r="S947" s="57"/>
      <c r="T947" s="57"/>
      <c r="U947" s="57"/>
      <c r="V947" s="57"/>
      <c r="W947" s="57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</row>
    <row r="948" spans="1:36" ht="11.25" customHeight="1" x14ac:dyDescent="0.2">
      <c r="A948" s="53" t="s">
        <v>21</v>
      </c>
      <c r="B948" s="53" t="s">
        <v>33</v>
      </c>
      <c r="C948" s="53" t="s">
        <v>34</v>
      </c>
      <c r="D948" s="53" t="s">
        <v>24</v>
      </c>
      <c r="E948" s="53" t="s">
        <v>24</v>
      </c>
      <c r="F948" s="53" t="s">
        <v>25</v>
      </c>
      <c r="G948" s="53" t="s">
        <v>25</v>
      </c>
      <c r="H948" s="53" t="s">
        <v>36</v>
      </c>
      <c r="I948" s="73">
        <v>43891</v>
      </c>
      <c r="J948" s="74">
        <f>EFEITO!$J$948*EFEITO!$Y$948</f>
        <v>0</v>
      </c>
      <c r="K948" s="74">
        <f ca="1">EFEITO!$L$948*EFEITO!$Z$948</f>
        <v>9226.1160996532199</v>
      </c>
      <c r="L948" s="74">
        <f>EFEITO!$N$948*EFEITO!$AA$948</f>
        <v>24334.080687513611</v>
      </c>
      <c r="M948" s="74">
        <f>$J$948-EFEITO!$K$948*EFEITO!$Y$948</f>
        <v>0</v>
      </c>
      <c r="N948" s="74">
        <f ca="1">$K$948-EFEITO!$M$948*EFEITO!$Z$948</f>
        <v>0</v>
      </c>
      <c r="O948" s="74">
        <f>$L$948-EFEITO!$O$948*EFEITO!$AA$948</f>
        <v>0</v>
      </c>
      <c r="P948" s="57"/>
      <c r="Q948" s="57"/>
      <c r="R948" s="57"/>
      <c r="S948" s="57"/>
      <c r="T948" s="57"/>
      <c r="U948" s="57"/>
      <c r="V948" s="57"/>
      <c r="W948" s="57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</row>
    <row r="949" spans="1:36" ht="11.25" customHeight="1" x14ac:dyDescent="0.2">
      <c r="A949" s="53" t="s">
        <v>27</v>
      </c>
      <c r="B949" s="53" t="s">
        <v>33</v>
      </c>
      <c r="C949" s="53" t="s">
        <v>34</v>
      </c>
      <c r="D949" s="53" t="s">
        <v>24</v>
      </c>
      <c r="E949" s="53" t="s">
        <v>24</v>
      </c>
      <c r="F949" s="53" t="s">
        <v>25</v>
      </c>
      <c r="G949" s="53" t="s">
        <v>25</v>
      </c>
      <c r="H949" s="53" t="s">
        <v>36</v>
      </c>
      <c r="I949" s="73">
        <v>43891</v>
      </c>
      <c r="J949" s="74">
        <f>EFEITO!$J$949*EFEITO!$Y$949</f>
        <v>0</v>
      </c>
      <c r="K949" s="74">
        <f ca="1">EFEITO!$L$949*EFEITO!$Z$949</f>
        <v>188.69174439708911</v>
      </c>
      <c r="L949" s="74">
        <f>EFEITO!$N$949*EFEITO!$AA$949</f>
        <v>497.67855548653313</v>
      </c>
      <c r="M949" s="74">
        <f>$J$949-EFEITO!$K$949*EFEITO!$Y$949</f>
        <v>0</v>
      </c>
      <c r="N949" s="74">
        <f ca="1">$K$949-EFEITO!$M$949*EFEITO!$Z$949</f>
        <v>0</v>
      </c>
      <c r="O949" s="74">
        <f>$L$949-EFEITO!$O$949*EFEITO!$AA$949</f>
        <v>0</v>
      </c>
      <c r="P949" s="57"/>
      <c r="Q949" s="57"/>
      <c r="R949" s="57"/>
      <c r="S949" s="57"/>
      <c r="T949" s="57"/>
      <c r="U949" s="57"/>
      <c r="V949" s="57"/>
      <c r="W949" s="57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</row>
    <row r="950" spans="1:36" ht="11.25" customHeight="1" x14ac:dyDescent="0.2">
      <c r="A950" s="53" t="s">
        <v>28</v>
      </c>
      <c r="B950" s="53" t="s">
        <v>33</v>
      </c>
      <c r="C950" s="53" t="s">
        <v>34</v>
      </c>
      <c r="D950" s="53" t="s">
        <v>24</v>
      </c>
      <c r="E950" s="53" t="s">
        <v>24</v>
      </c>
      <c r="F950" s="53" t="s">
        <v>25</v>
      </c>
      <c r="G950" s="53" t="s">
        <v>25</v>
      </c>
      <c r="H950" s="53" t="s">
        <v>36</v>
      </c>
      <c r="I950" s="73">
        <v>43891</v>
      </c>
      <c r="J950" s="74">
        <f>EFEITO!$J$950*EFEITO!$Y$950</f>
        <v>0</v>
      </c>
      <c r="K950" s="74">
        <f ca="1">EFEITO!$L$950*EFEITO!$Z$950</f>
        <v>245.05421350271311</v>
      </c>
      <c r="L950" s="74">
        <f>EFEITO!$N$950*EFEITO!$AA$950</f>
        <v>646.33578634614685</v>
      </c>
      <c r="M950" s="74">
        <f>$J$950-EFEITO!$K$950*EFEITO!$Y$950</f>
        <v>0</v>
      </c>
      <c r="N950" s="74">
        <f ca="1">$K$950-EFEITO!$M$950*EFEITO!$Z$950</f>
        <v>0</v>
      </c>
      <c r="O950" s="74">
        <f>$L$950-EFEITO!$O$950*EFEITO!$AA$950</f>
        <v>0</v>
      </c>
      <c r="P950" s="57"/>
      <c r="Q950" s="57"/>
      <c r="R950" s="57"/>
      <c r="S950" s="57"/>
      <c r="T950" s="57"/>
      <c r="U950" s="57"/>
      <c r="V950" s="57"/>
      <c r="W950" s="57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</row>
    <row r="951" spans="1:36" ht="11.25" customHeight="1" x14ac:dyDescent="0.2">
      <c r="A951" s="53" t="s">
        <v>21</v>
      </c>
      <c r="B951" s="53" t="s">
        <v>33</v>
      </c>
      <c r="C951" s="53" t="s">
        <v>34</v>
      </c>
      <c r="D951" s="53" t="s">
        <v>24</v>
      </c>
      <c r="E951" s="53" t="s">
        <v>24</v>
      </c>
      <c r="F951" s="53" t="s">
        <v>25</v>
      </c>
      <c r="G951" s="53" t="s">
        <v>25</v>
      </c>
      <c r="H951" s="53" t="s">
        <v>36</v>
      </c>
      <c r="I951" s="73">
        <v>43922</v>
      </c>
      <c r="J951" s="74">
        <f>EFEITO!$J$951*EFEITO!$Y$951</f>
        <v>0</v>
      </c>
      <c r="K951" s="74">
        <f ca="1">EFEITO!$L$951*EFEITO!$Z$951</f>
        <v>9470.732716346105</v>
      </c>
      <c r="L951" s="74">
        <f>EFEITO!$N$951*EFEITO!$AA$951</f>
        <v>24979.262302812709</v>
      </c>
      <c r="M951" s="74">
        <f>$J$951-EFEITO!$K$951*EFEITO!$Y$951</f>
        <v>0</v>
      </c>
      <c r="N951" s="74">
        <f ca="1">$K$951-EFEITO!$M$951*EFEITO!$Z$951</f>
        <v>0</v>
      </c>
      <c r="O951" s="74">
        <f>$L$951-EFEITO!$O$951*EFEITO!$AA$951</f>
        <v>0</v>
      </c>
      <c r="P951" s="57"/>
      <c r="Q951" s="57"/>
      <c r="R951" s="57"/>
      <c r="S951" s="57"/>
      <c r="T951" s="57"/>
      <c r="U951" s="57"/>
      <c r="V951" s="57"/>
      <c r="W951" s="57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</row>
    <row r="952" spans="1:36" ht="11.25" customHeight="1" x14ac:dyDescent="0.2">
      <c r="A952" s="53" t="s">
        <v>27</v>
      </c>
      <c r="B952" s="53" t="s">
        <v>33</v>
      </c>
      <c r="C952" s="53" t="s">
        <v>34</v>
      </c>
      <c r="D952" s="53" t="s">
        <v>24</v>
      </c>
      <c r="E952" s="53" t="s">
        <v>24</v>
      </c>
      <c r="F952" s="53" t="s">
        <v>25</v>
      </c>
      <c r="G952" s="53" t="s">
        <v>25</v>
      </c>
      <c r="H952" s="53" t="s">
        <v>36</v>
      </c>
      <c r="I952" s="73">
        <v>43922</v>
      </c>
      <c r="J952" s="74">
        <f>EFEITO!$J$952*EFEITO!$Y$952</f>
        <v>0</v>
      </c>
      <c r="K952" s="74">
        <f ca="1">EFEITO!$L$952*EFEITO!$Z$952</f>
        <v>99.071917744668298</v>
      </c>
      <c r="L952" s="74">
        <f>EFEITO!$N$952*EFEITO!$AA$952</f>
        <v>261.30432505137077</v>
      </c>
      <c r="M952" s="74">
        <f>$J$952-EFEITO!$K$952*EFEITO!$Y$952</f>
        <v>0</v>
      </c>
      <c r="N952" s="74">
        <f ca="1">$K$952-EFEITO!$M$952*EFEITO!$Z$952</f>
        <v>0</v>
      </c>
      <c r="O952" s="74">
        <f>$L$952-EFEITO!$O$952*EFEITO!$AA$952</f>
        <v>0</v>
      </c>
      <c r="P952" s="57"/>
      <c r="Q952" s="57"/>
      <c r="R952" s="57"/>
      <c r="S952" s="57"/>
      <c r="T952" s="57"/>
      <c r="U952" s="57"/>
      <c r="V952" s="57"/>
      <c r="W952" s="57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</row>
    <row r="953" spans="1:36" ht="11.25" customHeight="1" x14ac:dyDescent="0.2">
      <c r="A953" s="53" t="s">
        <v>28</v>
      </c>
      <c r="B953" s="53" t="s">
        <v>33</v>
      </c>
      <c r="C953" s="53" t="s">
        <v>34</v>
      </c>
      <c r="D953" s="53" t="s">
        <v>24</v>
      </c>
      <c r="E953" s="53" t="s">
        <v>24</v>
      </c>
      <c r="F953" s="53" t="s">
        <v>25</v>
      </c>
      <c r="G953" s="53" t="s">
        <v>25</v>
      </c>
      <c r="H953" s="53" t="s">
        <v>36</v>
      </c>
      <c r="I953" s="73">
        <v>43922</v>
      </c>
      <c r="J953" s="74">
        <f>EFEITO!$J$953*EFEITO!$Y$953</f>
        <v>0</v>
      </c>
      <c r="K953" s="74">
        <f ca="1">EFEITO!$L$953*EFEITO!$Z$953</f>
        <v>297.21575323400492</v>
      </c>
      <c r="L953" s="74">
        <f>EFEITO!$N$953*EFEITO!$AA$953</f>
        <v>783.91297515411236</v>
      </c>
      <c r="M953" s="74">
        <f>$J$953-EFEITO!$K$953*EFEITO!$Y$953</f>
        <v>0</v>
      </c>
      <c r="N953" s="74">
        <f ca="1">$K$953-EFEITO!$M$953*EFEITO!$Z$953</f>
        <v>0</v>
      </c>
      <c r="O953" s="74">
        <f>$L$953-EFEITO!$O$953*EFEITO!$AA$953</f>
        <v>0</v>
      </c>
      <c r="P953" s="57"/>
      <c r="Q953" s="57"/>
      <c r="R953" s="57"/>
      <c r="S953" s="57"/>
      <c r="T953" s="57"/>
      <c r="U953" s="57"/>
      <c r="V953" s="57"/>
      <c r="W953" s="57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</row>
    <row r="954" spans="1:36" ht="11.25" customHeight="1" x14ac:dyDescent="0.2">
      <c r="A954" s="53" t="s">
        <v>21</v>
      </c>
      <c r="B954" s="53" t="s">
        <v>33</v>
      </c>
      <c r="C954" s="53" t="s">
        <v>34</v>
      </c>
      <c r="D954" s="53" t="s">
        <v>24</v>
      </c>
      <c r="E954" s="53" t="s">
        <v>24</v>
      </c>
      <c r="F954" s="53" t="s">
        <v>25</v>
      </c>
      <c r="G954" s="53" t="s">
        <v>25</v>
      </c>
      <c r="H954" s="53" t="s">
        <v>36</v>
      </c>
      <c r="I954" s="73">
        <v>43952</v>
      </c>
      <c r="J954" s="74">
        <f>EFEITO!$J$954*EFEITO!$Y$954</f>
        <v>0</v>
      </c>
      <c r="K954" s="74">
        <f ca="1">EFEITO!$L$954*EFEITO!$Z$954</f>
        <v>9077.5957423981818</v>
      </c>
      <c r="L954" s="74">
        <f>EFEITO!$N$954*EFEITO!$AA$954</f>
        <v>23942.355034145967</v>
      </c>
      <c r="M954" s="74">
        <f>$J$954-EFEITO!$K$954*EFEITO!$Y$954</f>
        <v>0</v>
      </c>
      <c r="N954" s="74">
        <f ca="1">$K$954-EFEITO!$M$954*EFEITO!$Z$954</f>
        <v>0</v>
      </c>
      <c r="O954" s="74">
        <f>$L$954-EFEITO!$O$954*EFEITO!$AA$954</f>
        <v>0</v>
      </c>
      <c r="P954" s="57"/>
      <c r="Q954" s="57"/>
      <c r="R954" s="57"/>
      <c r="S954" s="57"/>
      <c r="T954" s="57"/>
      <c r="U954" s="57"/>
      <c r="V954" s="57"/>
      <c r="W954" s="57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</row>
    <row r="955" spans="1:36" ht="11.25" customHeight="1" x14ac:dyDescent="0.2">
      <c r="A955" s="53" t="s">
        <v>27</v>
      </c>
      <c r="B955" s="53" t="s">
        <v>33</v>
      </c>
      <c r="C955" s="53" t="s">
        <v>34</v>
      </c>
      <c r="D955" s="53" t="s">
        <v>24</v>
      </c>
      <c r="E955" s="53" t="s">
        <v>24</v>
      </c>
      <c r="F955" s="53" t="s">
        <v>25</v>
      </c>
      <c r="G955" s="53" t="s">
        <v>25</v>
      </c>
      <c r="H955" s="53" t="s">
        <v>36</v>
      </c>
      <c r="I955" s="73">
        <v>43952</v>
      </c>
      <c r="J955" s="74">
        <f>EFEITO!$J$955*EFEITO!$Y$955</f>
        <v>0</v>
      </c>
      <c r="K955" s="74">
        <f ca="1">EFEITO!$L$955*EFEITO!$Z$955</f>
        <v>223.96204726908675</v>
      </c>
      <c r="L955" s="74">
        <f>EFEITO!$N$955*EFEITO!$AA$955</f>
        <v>590.70474187849641</v>
      </c>
      <c r="M955" s="74">
        <f>$J$955-EFEITO!$K$955*EFEITO!$Y$955</f>
        <v>0</v>
      </c>
      <c r="N955" s="74">
        <f ca="1">$K$955-EFEITO!$M$955*EFEITO!$Z$955</f>
        <v>0</v>
      </c>
      <c r="O955" s="74">
        <f>$L$955-EFEITO!$O$955*EFEITO!$AA$955</f>
        <v>0</v>
      </c>
      <c r="P955" s="57"/>
      <c r="Q955" s="57"/>
      <c r="R955" s="57"/>
      <c r="S955" s="57"/>
      <c r="T955" s="57"/>
      <c r="U955" s="57"/>
      <c r="V955" s="57"/>
      <c r="W955" s="57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</row>
    <row r="956" spans="1:36" ht="11.25" customHeight="1" x14ac:dyDescent="0.2">
      <c r="A956" s="53" t="s">
        <v>28</v>
      </c>
      <c r="B956" s="53" t="s">
        <v>33</v>
      </c>
      <c r="C956" s="53" t="s">
        <v>34</v>
      </c>
      <c r="D956" s="53" t="s">
        <v>24</v>
      </c>
      <c r="E956" s="53" t="s">
        <v>24</v>
      </c>
      <c r="F956" s="53" t="s">
        <v>25</v>
      </c>
      <c r="G956" s="53" t="s">
        <v>25</v>
      </c>
      <c r="H956" s="53" t="s">
        <v>36</v>
      </c>
      <c r="I956" s="73">
        <v>43952</v>
      </c>
      <c r="J956" s="74">
        <f>EFEITO!$J$956*EFEITO!$Y$956</f>
        <v>0</v>
      </c>
      <c r="K956" s="74">
        <f ca="1">EFEITO!$L$956*EFEITO!$Z$956</f>
        <v>487.04524933664237</v>
      </c>
      <c r="L956" s="74">
        <f>EFEITO!$N$956*EFEITO!$AA$956</f>
        <v>1284.592375362967</v>
      </c>
      <c r="M956" s="74">
        <f>$J$956-EFEITO!$K$956*EFEITO!$Y$956</f>
        <v>0</v>
      </c>
      <c r="N956" s="74">
        <f ca="1">$K$956-EFEITO!$M$956*EFEITO!$Z$956</f>
        <v>0</v>
      </c>
      <c r="O956" s="74">
        <f>$L$956-EFEITO!$O$956*EFEITO!$AA$956</f>
        <v>0</v>
      </c>
      <c r="P956" s="57"/>
      <c r="Q956" s="57"/>
      <c r="R956" s="57"/>
      <c r="S956" s="57"/>
      <c r="T956" s="57"/>
      <c r="U956" s="57"/>
      <c r="V956" s="57"/>
      <c r="W956" s="57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</row>
    <row r="957" spans="1:36" ht="11.25" customHeight="1" x14ac:dyDescent="0.2">
      <c r="A957" s="53" t="s">
        <v>21</v>
      </c>
      <c r="B957" s="53" t="s">
        <v>33</v>
      </c>
      <c r="C957" s="53" t="s">
        <v>34</v>
      </c>
      <c r="D957" s="53" t="s">
        <v>24</v>
      </c>
      <c r="E957" s="53" t="s">
        <v>24</v>
      </c>
      <c r="F957" s="53" t="s">
        <v>25</v>
      </c>
      <c r="G957" s="53" t="s">
        <v>25</v>
      </c>
      <c r="H957" s="53" t="s">
        <v>36</v>
      </c>
      <c r="I957" s="73">
        <v>43983</v>
      </c>
      <c r="J957" s="74">
        <f>EFEITO!$J$957*EFEITO!$Y$957</f>
        <v>0</v>
      </c>
      <c r="K957" s="74">
        <f ca="1">EFEITO!$L$957*EFEITO!$Z$957</f>
        <v>8958.8319682113306</v>
      </c>
      <c r="L957" s="74">
        <f>EFEITO!$N$957*EFEITO!$AA$957</f>
        <v>23629.113011977493</v>
      </c>
      <c r="M957" s="74">
        <f>$J$957-EFEITO!$K$957*EFEITO!$Y$957</f>
        <v>0</v>
      </c>
      <c r="N957" s="74">
        <f ca="1">$K$957-EFEITO!$M$957*EFEITO!$Z$957</f>
        <v>0</v>
      </c>
      <c r="O957" s="74">
        <f>$L$957-EFEITO!$O$957*EFEITO!$AA$957</f>
        <v>0</v>
      </c>
      <c r="P957" s="57"/>
      <c r="Q957" s="57"/>
      <c r="R957" s="57"/>
      <c r="S957" s="57"/>
      <c r="T957" s="57"/>
      <c r="U957" s="57"/>
      <c r="V957" s="57"/>
      <c r="W957" s="57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</row>
    <row r="958" spans="1:36" ht="11.25" customHeight="1" x14ac:dyDescent="0.2">
      <c r="A958" s="53" t="s">
        <v>27</v>
      </c>
      <c r="B958" s="53" t="s">
        <v>33</v>
      </c>
      <c r="C958" s="53" t="s">
        <v>34</v>
      </c>
      <c r="D958" s="53" t="s">
        <v>24</v>
      </c>
      <c r="E958" s="53" t="s">
        <v>24</v>
      </c>
      <c r="F958" s="53" t="s">
        <v>25</v>
      </c>
      <c r="G958" s="53" t="s">
        <v>25</v>
      </c>
      <c r="H958" s="53" t="s">
        <v>36</v>
      </c>
      <c r="I958" s="73">
        <v>43983</v>
      </c>
      <c r="J958" s="74">
        <f>EFEITO!$J$958*EFEITO!$Y$958</f>
        <v>0</v>
      </c>
      <c r="K958" s="74">
        <f ca="1">EFEITO!$L$958*EFEITO!$Z$958</f>
        <v>238.14018390745801</v>
      </c>
      <c r="L958" s="74">
        <f>EFEITO!$N$958*EFEITO!$AA$958</f>
        <v>628.09988380280913</v>
      </c>
      <c r="M958" s="74">
        <f>$J$958-EFEITO!$K$958*EFEITO!$Y$958</f>
        <v>0</v>
      </c>
      <c r="N958" s="74">
        <f ca="1">$K$958-EFEITO!$M$958*EFEITO!$Z$958</f>
        <v>0</v>
      </c>
      <c r="O958" s="74">
        <f>$L$958-EFEITO!$O$958*EFEITO!$AA$958</f>
        <v>0</v>
      </c>
      <c r="P958" s="57"/>
      <c r="Q958" s="57"/>
      <c r="R958" s="57"/>
      <c r="S958" s="57"/>
      <c r="T958" s="57"/>
      <c r="U958" s="57"/>
      <c r="V958" s="57"/>
      <c r="W958" s="57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</row>
    <row r="959" spans="1:36" ht="11.25" customHeight="1" x14ac:dyDescent="0.2">
      <c r="A959" s="53" t="s">
        <v>28</v>
      </c>
      <c r="B959" s="53" t="s">
        <v>33</v>
      </c>
      <c r="C959" s="53" t="s">
        <v>34</v>
      </c>
      <c r="D959" s="53" t="s">
        <v>24</v>
      </c>
      <c r="E959" s="53" t="s">
        <v>24</v>
      </c>
      <c r="F959" s="53" t="s">
        <v>25</v>
      </c>
      <c r="G959" s="53" t="s">
        <v>25</v>
      </c>
      <c r="H959" s="53" t="s">
        <v>36</v>
      </c>
      <c r="I959" s="73">
        <v>43983</v>
      </c>
      <c r="J959" s="74">
        <f>EFEITO!$J$959*EFEITO!$Y$959</f>
        <v>0</v>
      </c>
      <c r="K959" s="74">
        <f ca="1">EFEITO!$L$959*EFEITO!$Z$959</f>
        <v>478.99346803583887</v>
      </c>
      <c r="L959" s="74">
        <f>EFEITO!$N$959*EFEITO!$AA$959</f>
        <v>1263.3556280973078</v>
      </c>
      <c r="M959" s="74">
        <f>$J$959-EFEITO!$K$959*EFEITO!$Y$959</f>
        <v>0</v>
      </c>
      <c r="N959" s="74">
        <f ca="1">$K$959-EFEITO!$M$959*EFEITO!$Z$959</f>
        <v>0</v>
      </c>
      <c r="O959" s="74">
        <f>$L$959-EFEITO!$O$959*EFEITO!$AA$959</f>
        <v>0</v>
      </c>
      <c r="P959" s="57"/>
      <c r="Q959" s="57"/>
      <c r="R959" s="57"/>
      <c r="S959" s="57"/>
      <c r="T959" s="57"/>
      <c r="U959" s="57"/>
      <c r="V959" s="57"/>
      <c r="W959" s="57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</row>
    <row r="960" spans="1:36" ht="11.25" customHeight="1" x14ac:dyDescent="0.2">
      <c r="A960" s="53" t="s">
        <v>21</v>
      </c>
      <c r="B960" s="53" t="s">
        <v>33</v>
      </c>
      <c r="C960" s="53" t="s">
        <v>34</v>
      </c>
      <c r="D960" s="53" t="s">
        <v>24</v>
      </c>
      <c r="E960" s="53" t="s">
        <v>24</v>
      </c>
      <c r="F960" s="53" t="s">
        <v>25</v>
      </c>
      <c r="G960" s="53" t="s">
        <v>25</v>
      </c>
      <c r="H960" s="53" t="s">
        <v>36</v>
      </c>
      <c r="I960" s="73">
        <v>44013</v>
      </c>
      <c r="J960" s="74">
        <f>EFEITO!$J$960*EFEITO!$Y$960</f>
        <v>0</v>
      </c>
      <c r="K960" s="74">
        <f ca="1">EFEITO!$L$960*EFEITO!$Z$960</f>
        <v>8949.7299545669448</v>
      </c>
      <c r="L960" s="74">
        <f>EFEITO!$N$960*EFEITO!$AA$960</f>
        <v>23605.106254198923</v>
      </c>
      <c r="M960" s="74">
        <f>$J$960-EFEITO!$K$960*EFEITO!$Y$960</f>
        <v>0</v>
      </c>
      <c r="N960" s="74">
        <f ca="1">$K$960-EFEITO!$M$960*EFEITO!$Z$960</f>
        <v>0</v>
      </c>
      <c r="O960" s="74">
        <f>$L$960-EFEITO!$O$960*EFEITO!$AA$960</f>
        <v>0</v>
      </c>
      <c r="P960" s="57"/>
      <c r="Q960" s="57"/>
      <c r="R960" s="57"/>
      <c r="S960" s="57"/>
      <c r="T960" s="57"/>
      <c r="U960" s="57"/>
      <c r="V960" s="57"/>
      <c r="W960" s="57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</row>
    <row r="961" spans="1:36" ht="11.25" customHeight="1" x14ac:dyDescent="0.2">
      <c r="A961" s="53" t="s">
        <v>27</v>
      </c>
      <c r="B961" s="53" t="s">
        <v>33</v>
      </c>
      <c r="C961" s="53" t="s">
        <v>34</v>
      </c>
      <c r="D961" s="53" t="s">
        <v>24</v>
      </c>
      <c r="E961" s="53" t="s">
        <v>24</v>
      </c>
      <c r="F961" s="53" t="s">
        <v>25</v>
      </c>
      <c r="G961" s="53" t="s">
        <v>25</v>
      </c>
      <c r="H961" s="53" t="s">
        <v>36</v>
      </c>
      <c r="I961" s="73">
        <v>44013</v>
      </c>
      <c r="J961" s="74">
        <f>EFEITO!$J$961*EFEITO!$Y$961</f>
        <v>0</v>
      </c>
      <c r="K961" s="74">
        <f ca="1">EFEITO!$L$961*EFEITO!$Z$961</f>
        <v>206.19561679014004</v>
      </c>
      <c r="L961" s="74">
        <f>EFEITO!$N$961*EFEITO!$AA$961</f>
        <v>543.84539736840065</v>
      </c>
      <c r="M961" s="74">
        <f>$J$961-EFEITO!$K$961*EFEITO!$Y$961</f>
        <v>0</v>
      </c>
      <c r="N961" s="74">
        <f ca="1">$K$961-EFEITO!$M$961*EFEITO!$Z$961</f>
        <v>0</v>
      </c>
      <c r="O961" s="74">
        <f>$L$961-EFEITO!$O$961*EFEITO!$AA$961</f>
        <v>0</v>
      </c>
      <c r="P961" s="57"/>
      <c r="Q961" s="57"/>
      <c r="R961" s="57"/>
      <c r="S961" s="57"/>
      <c r="T961" s="57"/>
      <c r="U961" s="57"/>
      <c r="V961" s="57"/>
      <c r="W961" s="57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</row>
    <row r="962" spans="1:36" ht="11.25" customHeight="1" x14ac:dyDescent="0.2">
      <c r="A962" s="53" t="s">
        <v>28</v>
      </c>
      <c r="B962" s="53" t="s">
        <v>33</v>
      </c>
      <c r="C962" s="53" t="s">
        <v>34</v>
      </c>
      <c r="D962" s="53" t="s">
        <v>24</v>
      </c>
      <c r="E962" s="53" t="s">
        <v>24</v>
      </c>
      <c r="F962" s="53" t="s">
        <v>25</v>
      </c>
      <c r="G962" s="53" t="s">
        <v>25</v>
      </c>
      <c r="H962" s="53" t="s">
        <v>36</v>
      </c>
      <c r="I962" s="73">
        <v>44013</v>
      </c>
      <c r="J962" s="74">
        <f>EFEITO!$J$962*EFEITO!$Y$962</f>
        <v>0</v>
      </c>
      <c r="K962" s="74">
        <f ca="1">EFEITO!$L$962*EFEITO!$Z$962</f>
        <v>511.11307387708734</v>
      </c>
      <c r="L962" s="74">
        <f>EFEITO!$N$962*EFEITO!$AA$962</f>
        <v>1348.071782950535</v>
      </c>
      <c r="M962" s="74">
        <f>$J$962-EFEITO!$K$962*EFEITO!$Y$962</f>
        <v>0</v>
      </c>
      <c r="N962" s="74">
        <f ca="1">$K$962-EFEITO!$M$962*EFEITO!$Z$962</f>
        <v>0</v>
      </c>
      <c r="O962" s="74">
        <f>$L$962-EFEITO!$O$962*EFEITO!$AA$962</f>
        <v>0</v>
      </c>
      <c r="P962" s="57"/>
      <c r="Q962" s="57"/>
      <c r="R962" s="57"/>
      <c r="S962" s="57"/>
      <c r="T962" s="57"/>
      <c r="U962" s="57"/>
      <c r="V962" s="57"/>
      <c r="W962" s="57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</row>
    <row r="963" spans="1:36" ht="11.25" customHeight="1" x14ac:dyDescent="0.2">
      <c r="A963" s="53" t="s">
        <v>21</v>
      </c>
      <c r="B963" s="53" t="s">
        <v>33</v>
      </c>
      <c r="C963" s="53" t="s">
        <v>34</v>
      </c>
      <c r="D963" s="53" t="s">
        <v>24</v>
      </c>
      <c r="E963" s="53" t="s">
        <v>24</v>
      </c>
      <c r="F963" s="53" t="s">
        <v>25</v>
      </c>
      <c r="G963" s="53" t="s">
        <v>25</v>
      </c>
      <c r="H963" s="53" t="s">
        <v>36</v>
      </c>
      <c r="I963" s="73">
        <v>44044</v>
      </c>
      <c r="J963" s="74">
        <f>EFEITO!$J$963*EFEITO!$Y$963</f>
        <v>0</v>
      </c>
      <c r="K963" s="74">
        <f ca="1">EFEITO!$L$963*EFEITO!$Z$963</f>
        <v>10291.051696046437</v>
      </c>
      <c r="L963" s="74">
        <f>EFEITO!$N$963*EFEITO!$AA$963</f>
        <v>27142.871347606437</v>
      </c>
      <c r="M963" s="74">
        <f>$J$963-EFEITO!$K$963*EFEITO!$Y$963</f>
        <v>0</v>
      </c>
      <c r="N963" s="74">
        <f ca="1">$K$963-EFEITO!$M$963*EFEITO!$Z$963</f>
        <v>0</v>
      </c>
      <c r="O963" s="74">
        <f>$L$963-EFEITO!$O$963*EFEITO!$AA$963</f>
        <v>0</v>
      </c>
      <c r="P963" s="57"/>
      <c r="Q963" s="57"/>
      <c r="R963" s="57"/>
      <c r="S963" s="57"/>
      <c r="T963" s="57"/>
      <c r="U963" s="57"/>
      <c r="V963" s="57"/>
      <c r="W963" s="57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</row>
    <row r="964" spans="1:36" ht="11.25" customHeight="1" x14ac:dyDescent="0.2">
      <c r="A964" s="53" t="s">
        <v>28</v>
      </c>
      <c r="B964" s="53" t="s">
        <v>33</v>
      </c>
      <c r="C964" s="53" t="s">
        <v>34</v>
      </c>
      <c r="D964" s="53" t="s">
        <v>24</v>
      </c>
      <c r="E964" s="53" t="s">
        <v>24</v>
      </c>
      <c r="F964" s="53" t="s">
        <v>25</v>
      </c>
      <c r="G964" s="53" t="s">
        <v>25</v>
      </c>
      <c r="H964" s="53" t="s">
        <v>36</v>
      </c>
      <c r="I964" s="73">
        <v>44044</v>
      </c>
      <c r="J964" s="74">
        <f>EFEITO!$J$964*EFEITO!$Y$964</f>
        <v>0</v>
      </c>
      <c r="K964" s="74">
        <f ca="1">EFEITO!$L$964*EFEITO!$Z$964</f>
        <v>367.31876216817392</v>
      </c>
      <c r="L964" s="74">
        <f>EFEITO!$N$964*EFEITO!$AA$964</f>
        <v>968.81117689099233</v>
      </c>
      <c r="M964" s="74">
        <f>$J$964-EFEITO!$K$964*EFEITO!$Y$964</f>
        <v>0</v>
      </c>
      <c r="N964" s="74">
        <f ca="1">$K$964-EFEITO!$M$964*EFEITO!$Z$964</f>
        <v>0</v>
      </c>
      <c r="O964" s="74">
        <f>$L$964-EFEITO!$O$964*EFEITO!$AA$964</f>
        <v>0</v>
      </c>
      <c r="P964" s="57"/>
      <c r="Q964" s="57"/>
      <c r="R964" s="57"/>
      <c r="S964" s="57"/>
      <c r="T964" s="57"/>
      <c r="U964" s="57"/>
      <c r="V964" s="57"/>
      <c r="W964" s="57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</row>
    <row r="965" spans="1:36" ht="11.25" customHeight="1" x14ac:dyDescent="0.2">
      <c r="A965" s="53" t="s">
        <v>59</v>
      </c>
      <c r="B965" s="53" t="s">
        <v>33</v>
      </c>
      <c r="C965" s="53" t="s">
        <v>34</v>
      </c>
      <c r="D965" s="53" t="s">
        <v>24</v>
      </c>
      <c r="E965" s="53" t="s">
        <v>24</v>
      </c>
      <c r="F965" s="53" t="s">
        <v>25</v>
      </c>
      <c r="G965" s="53" t="s">
        <v>25</v>
      </c>
      <c r="H965" s="53" t="s">
        <v>36</v>
      </c>
      <c r="I965" s="73">
        <v>44075</v>
      </c>
      <c r="J965" s="74">
        <f>EFEITO!$J$965*EFEITO!$Y$965</f>
        <v>0</v>
      </c>
      <c r="K965" s="74">
        <f ca="1">EFEITO!$L$965*EFEITO!$Z$965</f>
        <v>10291.051696046437</v>
      </c>
      <c r="L965" s="74">
        <f>EFEITO!$N$965*EFEITO!$AA$965</f>
        <v>27142.871347606437</v>
      </c>
      <c r="M965" s="74">
        <f>$J$965-EFEITO!$K$965*EFEITO!$Y$965</f>
        <v>0</v>
      </c>
      <c r="N965" s="74">
        <f ca="1">$K$965-EFEITO!$M$965*EFEITO!$Z$965</f>
        <v>0</v>
      </c>
      <c r="O965" s="74">
        <f>$L$965-EFEITO!$O$965*EFEITO!$AA$965</f>
        <v>0</v>
      </c>
      <c r="P965" s="57"/>
      <c r="Q965" s="57"/>
      <c r="R965" s="57"/>
      <c r="S965" s="57"/>
      <c r="T965" s="57"/>
      <c r="U965" s="57"/>
      <c r="V965" s="57"/>
      <c r="W965" s="57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</row>
    <row r="966" spans="1:36" ht="11.25" customHeight="1" x14ac:dyDescent="0.2">
      <c r="A966" s="53" t="s">
        <v>59</v>
      </c>
      <c r="B966" s="53" t="s">
        <v>33</v>
      </c>
      <c r="C966" s="53" t="s">
        <v>34</v>
      </c>
      <c r="D966" s="53" t="s">
        <v>24</v>
      </c>
      <c r="E966" s="53" t="s">
        <v>24</v>
      </c>
      <c r="F966" s="53" t="s">
        <v>25</v>
      </c>
      <c r="G966" s="53" t="s">
        <v>25</v>
      </c>
      <c r="H966" s="53" t="s">
        <v>36</v>
      </c>
      <c r="I966" s="73">
        <v>44075</v>
      </c>
      <c r="J966" s="74">
        <f>EFEITO!$J$966*EFEITO!$Y$966</f>
        <v>0</v>
      </c>
      <c r="K966" s="74">
        <f ca="1">EFEITO!$L$966*EFEITO!$Z$966</f>
        <v>367.31876216817392</v>
      </c>
      <c r="L966" s="74">
        <f>EFEITO!$N$966*EFEITO!$AA$966</f>
        <v>968.81117689099233</v>
      </c>
      <c r="M966" s="74">
        <f>$J$966-EFEITO!$K$966*EFEITO!$Y$966</f>
        <v>0</v>
      </c>
      <c r="N966" s="74">
        <f ca="1">$K$966-EFEITO!$M$966*EFEITO!$Z$966</f>
        <v>0</v>
      </c>
      <c r="O966" s="74">
        <f>$L$966-EFEITO!$O$966*EFEITO!$AA$966</f>
        <v>0</v>
      </c>
      <c r="P966" s="57"/>
      <c r="Q966" s="57"/>
      <c r="R966" s="57"/>
      <c r="S966" s="57"/>
      <c r="T966" s="57"/>
      <c r="U966" s="57"/>
      <c r="V966" s="57"/>
      <c r="W966" s="57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</row>
    <row r="967" spans="1:36" ht="11.25" customHeight="1" x14ac:dyDescent="0.2">
      <c r="A967" s="53" t="s">
        <v>21</v>
      </c>
      <c r="B967" s="53" t="s">
        <v>33</v>
      </c>
      <c r="C967" s="53" t="s">
        <v>34</v>
      </c>
      <c r="D967" s="53" t="s">
        <v>24</v>
      </c>
      <c r="E967" s="53" t="s">
        <v>24</v>
      </c>
      <c r="F967" s="53" t="s">
        <v>25</v>
      </c>
      <c r="G967" s="53" t="s">
        <v>25</v>
      </c>
      <c r="H967" s="53" t="s">
        <v>25</v>
      </c>
      <c r="I967" s="73">
        <v>43739</v>
      </c>
      <c r="J967" s="74">
        <f ca="1">EFEITO!$J$967*EFEITO!$Y$967</f>
        <v>13147.305432653868</v>
      </c>
      <c r="K967" s="74">
        <f>EFEITO!$L$967*EFEITO!$Z$967</f>
        <v>0</v>
      </c>
      <c r="L967" s="74">
        <f>EFEITO!$N$967*EFEITO!$AA$967</f>
        <v>0</v>
      </c>
      <c r="M967" s="74">
        <f ca="1">$J$967-EFEITO!$K$967*EFEITO!$Y$967</f>
        <v>0</v>
      </c>
      <c r="N967" s="74">
        <f>$K$967-EFEITO!$M$967*EFEITO!$Z$967</f>
        <v>0</v>
      </c>
      <c r="O967" s="74">
        <f>$L$967-EFEITO!$O$967*EFEITO!$AA$967</f>
        <v>0</v>
      </c>
      <c r="P967" s="57"/>
      <c r="Q967" s="57"/>
      <c r="R967" s="57"/>
      <c r="S967" s="57"/>
      <c r="T967" s="57"/>
      <c r="U967" s="57"/>
      <c r="V967" s="57"/>
      <c r="W967" s="57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</row>
    <row r="968" spans="1:36" ht="11.25" customHeight="1" x14ac:dyDescent="0.2">
      <c r="A968" s="53" t="s">
        <v>27</v>
      </c>
      <c r="B968" s="53" t="s">
        <v>33</v>
      </c>
      <c r="C968" s="53" t="s">
        <v>34</v>
      </c>
      <c r="D968" s="53" t="s">
        <v>24</v>
      </c>
      <c r="E968" s="53" t="s">
        <v>24</v>
      </c>
      <c r="F968" s="53" t="s">
        <v>25</v>
      </c>
      <c r="G968" s="53" t="s">
        <v>25</v>
      </c>
      <c r="H968" s="53" t="s">
        <v>25</v>
      </c>
      <c r="I968" s="73">
        <v>43739</v>
      </c>
      <c r="J968" s="74">
        <f ca="1">EFEITO!$J$968*EFEITO!$Y$968</f>
        <v>572.61783243265972</v>
      </c>
      <c r="K968" s="74">
        <f>EFEITO!$L$968*EFEITO!$Z$968</f>
        <v>0</v>
      </c>
      <c r="L968" s="74">
        <f>EFEITO!$N$968*EFEITO!$AA$968</f>
        <v>0</v>
      </c>
      <c r="M968" s="74">
        <f ca="1">$J$968-EFEITO!$K$968*EFEITO!$Y$968</f>
        <v>0</v>
      </c>
      <c r="N968" s="74">
        <f>$K$968-EFEITO!$M$968*EFEITO!$Z$968</f>
        <v>0</v>
      </c>
      <c r="O968" s="74">
        <f>$L$968-EFEITO!$O$968*EFEITO!$AA$968</f>
        <v>0</v>
      </c>
      <c r="P968" s="57"/>
      <c r="Q968" s="57"/>
      <c r="R968" s="57"/>
      <c r="S968" s="57"/>
      <c r="T968" s="57"/>
      <c r="U968" s="57"/>
      <c r="V968" s="57"/>
      <c r="W968" s="57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</row>
    <row r="969" spans="1:36" ht="11.25" customHeight="1" x14ac:dyDescent="0.2">
      <c r="A969" s="53" t="s">
        <v>28</v>
      </c>
      <c r="B969" s="53" t="s">
        <v>33</v>
      </c>
      <c r="C969" s="53" t="s">
        <v>34</v>
      </c>
      <c r="D969" s="53" t="s">
        <v>24</v>
      </c>
      <c r="E969" s="53" t="s">
        <v>24</v>
      </c>
      <c r="F969" s="53" t="s">
        <v>25</v>
      </c>
      <c r="G969" s="53" t="s">
        <v>25</v>
      </c>
      <c r="H969" s="53" t="s">
        <v>25</v>
      </c>
      <c r="I969" s="73">
        <v>43739</v>
      </c>
      <c r="J969" s="74">
        <f ca="1">EFEITO!$J$969*EFEITO!$Y$969</f>
        <v>1259.7592313518514</v>
      </c>
      <c r="K969" s="74">
        <f>EFEITO!$L$969*EFEITO!$Z$969</f>
        <v>0</v>
      </c>
      <c r="L969" s="74">
        <f>EFEITO!$N$969*EFEITO!$AA$969</f>
        <v>0</v>
      </c>
      <c r="M969" s="74">
        <f ca="1">$J$969-EFEITO!$K$969*EFEITO!$Y$969</f>
        <v>0</v>
      </c>
      <c r="N969" s="74">
        <f>$K$969-EFEITO!$M$969*EFEITO!$Z$969</f>
        <v>0</v>
      </c>
      <c r="O969" s="74">
        <f>$L$969-EFEITO!$O$969*EFEITO!$AA$969</f>
        <v>0</v>
      </c>
      <c r="P969" s="57"/>
      <c r="Q969" s="57"/>
      <c r="R969" s="57"/>
      <c r="S969" s="57"/>
      <c r="T969" s="57"/>
      <c r="U969" s="57"/>
      <c r="V969" s="57"/>
      <c r="W969" s="57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</row>
    <row r="970" spans="1:36" ht="11.25" customHeight="1" x14ac:dyDescent="0.2">
      <c r="A970" s="53" t="s">
        <v>21</v>
      </c>
      <c r="B970" s="53" t="s">
        <v>33</v>
      </c>
      <c r="C970" s="53" t="s">
        <v>34</v>
      </c>
      <c r="D970" s="53" t="s">
        <v>24</v>
      </c>
      <c r="E970" s="53" t="s">
        <v>24</v>
      </c>
      <c r="F970" s="53" t="s">
        <v>25</v>
      </c>
      <c r="G970" s="53" t="s">
        <v>25</v>
      </c>
      <c r="H970" s="53" t="s">
        <v>25</v>
      </c>
      <c r="I970" s="73">
        <v>43770</v>
      </c>
      <c r="J970" s="74">
        <f ca="1">EFEITO!$J$970*EFEITO!$Y$970</f>
        <v>12883.901229734845</v>
      </c>
      <c r="K970" s="74">
        <f>EFEITO!$L$970*EFEITO!$Z$970</f>
        <v>0</v>
      </c>
      <c r="L970" s="74">
        <f>EFEITO!$N$970*EFEITO!$AA$970</f>
        <v>0</v>
      </c>
      <c r="M970" s="74">
        <f ca="1">$J$970-EFEITO!$K$970*EFEITO!$Y$970</f>
        <v>0</v>
      </c>
      <c r="N970" s="74">
        <f>$K$970-EFEITO!$M$970*EFEITO!$Z$970</f>
        <v>0</v>
      </c>
      <c r="O970" s="74">
        <f>$L$970-EFEITO!$O$970*EFEITO!$AA$970</f>
        <v>0</v>
      </c>
      <c r="P970" s="57"/>
      <c r="Q970" s="57"/>
      <c r="R970" s="57"/>
      <c r="S970" s="57"/>
      <c r="T970" s="57"/>
      <c r="U970" s="57"/>
      <c r="V970" s="57"/>
      <c r="W970" s="57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</row>
    <row r="971" spans="1:36" ht="11.25" customHeight="1" x14ac:dyDescent="0.2">
      <c r="A971" s="53" t="s">
        <v>27</v>
      </c>
      <c r="B971" s="53" t="s">
        <v>33</v>
      </c>
      <c r="C971" s="53" t="s">
        <v>34</v>
      </c>
      <c r="D971" s="53" t="s">
        <v>24</v>
      </c>
      <c r="E971" s="53" t="s">
        <v>24</v>
      </c>
      <c r="F971" s="53" t="s">
        <v>25</v>
      </c>
      <c r="G971" s="53" t="s">
        <v>25</v>
      </c>
      <c r="H971" s="53" t="s">
        <v>25</v>
      </c>
      <c r="I971" s="73">
        <v>43770</v>
      </c>
      <c r="J971" s="74">
        <f ca="1">EFEITO!$J$971*EFEITO!$Y$971</f>
        <v>572.61783243265972</v>
      </c>
      <c r="K971" s="74">
        <f>EFEITO!$L$971*EFEITO!$Z$971</f>
        <v>0</v>
      </c>
      <c r="L971" s="74">
        <f>EFEITO!$N$971*EFEITO!$AA$971</f>
        <v>0</v>
      </c>
      <c r="M971" s="74">
        <f ca="1">$J$971-EFEITO!$K$971*EFEITO!$Y$971</f>
        <v>0</v>
      </c>
      <c r="N971" s="74">
        <f>$K$971-EFEITO!$M$971*EFEITO!$Z$971</f>
        <v>0</v>
      </c>
      <c r="O971" s="74">
        <f>$L$971-EFEITO!$O$971*EFEITO!$AA$971</f>
        <v>0</v>
      </c>
      <c r="P971" s="57"/>
      <c r="Q971" s="57"/>
      <c r="R971" s="57"/>
      <c r="S971" s="57"/>
      <c r="T971" s="57"/>
      <c r="U971" s="57"/>
      <c r="V971" s="57"/>
      <c r="W971" s="57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</row>
    <row r="972" spans="1:36" ht="11.25" customHeight="1" x14ac:dyDescent="0.2">
      <c r="A972" s="53" t="s">
        <v>28</v>
      </c>
      <c r="B972" s="53" t="s">
        <v>33</v>
      </c>
      <c r="C972" s="53" t="s">
        <v>34</v>
      </c>
      <c r="D972" s="53" t="s">
        <v>24</v>
      </c>
      <c r="E972" s="53" t="s">
        <v>24</v>
      </c>
      <c r="F972" s="53" t="s">
        <v>25</v>
      </c>
      <c r="G972" s="53" t="s">
        <v>25</v>
      </c>
      <c r="H972" s="53" t="s">
        <v>25</v>
      </c>
      <c r="I972" s="73">
        <v>43770</v>
      </c>
      <c r="J972" s="74">
        <f ca="1">EFEITO!$J$972*EFEITO!$Y$972</f>
        <v>1259.7592313518514</v>
      </c>
      <c r="K972" s="74">
        <f>EFEITO!$L$972*EFEITO!$Z$972</f>
        <v>0</v>
      </c>
      <c r="L972" s="74">
        <f>EFEITO!$N$972*EFEITO!$AA$972</f>
        <v>0</v>
      </c>
      <c r="M972" s="74">
        <f ca="1">$J$972-EFEITO!$K$972*EFEITO!$Y$972</f>
        <v>0</v>
      </c>
      <c r="N972" s="74">
        <f>$K$972-EFEITO!$M$972*EFEITO!$Z$972</f>
        <v>0</v>
      </c>
      <c r="O972" s="74">
        <f>$L$972-EFEITO!$O$972*EFEITO!$AA$972</f>
        <v>0</v>
      </c>
      <c r="P972" s="57"/>
      <c r="Q972" s="57"/>
      <c r="R972" s="57"/>
      <c r="S972" s="57"/>
      <c r="T972" s="57"/>
      <c r="U972" s="57"/>
      <c r="V972" s="57"/>
      <c r="W972" s="57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</row>
    <row r="973" spans="1:36" ht="11.25" customHeight="1" x14ac:dyDescent="0.2">
      <c r="A973" s="53" t="s">
        <v>21</v>
      </c>
      <c r="B973" s="53" t="s">
        <v>33</v>
      </c>
      <c r="C973" s="53" t="s">
        <v>34</v>
      </c>
      <c r="D973" s="53" t="s">
        <v>24</v>
      </c>
      <c r="E973" s="53" t="s">
        <v>24</v>
      </c>
      <c r="F973" s="53" t="s">
        <v>25</v>
      </c>
      <c r="G973" s="53" t="s">
        <v>25</v>
      </c>
      <c r="H973" s="53" t="s">
        <v>25</v>
      </c>
      <c r="I973" s="73">
        <v>43800</v>
      </c>
      <c r="J973" s="74">
        <f ca="1">EFEITO!$J$973*EFEITO!$Y$973</f>
        <v>12906.80594303215</v>
      </c>
      <c r="K973" s="74">
        <f>EFEITO!$L$973*EFEITO!$Z$973</f>
        <v>0</v>
      </c>
      <c r="L973" s="74">
        <f>EFEITO!$N$973*EFEITO!$AA$973</f>
        <v>0</v>
      </c>
      <c r="M973" s="74">
        <f ca="1">$J$973-EFEITO!$K$973*EFEITO!$Y$973</f>
        <v>0</v>
      </c>
      <c r="N973" s="74">
        <f>$K$973-EFEITO!$M$973*EFEITO!$Z$973</f>
        <v>0</v>
      </c>
      <c r="O973" s="74">
        <f>$L$973-EFEITO!$O$973*EFEITO!$AA$973</f>
        <v>0</v>
      </c>
      <c r="P973" s="57"/>
      <c r="Q973" s="57"/>
      <c r="R973" s="57"/>
      <c r="S973" s="57"/>
      <c r="T973" s="57"/>
      <c r="U973" s="57"/>
      <c r="V973" s="57"/>
      <c r="W973" s="57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</row>
    <row r="974" spans="1:36" ht="11.25" customHeight="1" x14ac:dyDescent="0.2">
      <c r="A974" s="53" t="s">
        <v>27</v>
      </c>
      <c r="B974" s="53" t="s">
        <v>33</v>
      </c>
      <c r="C974" s="53" t="s">
        <v>34</v>
      </c>
      <c r="D974" s="53" t="s">
        <v>24</v>
      </c>
      <c r="E974" s="53" t="s">
        <v>24</v>
      </c>
      <c r="F974" s="53" t="s">
        <v>25</v>
      </c>
      <c r="G974" s="53" t="s">
        <v>25</v>
      </c>
      <c r="H974" s="53" t="s">
        <v>25</v>
      </c>
      <c r="I974" s="73">
        <v>43800</v>
      </c>
      <c r="J974" s="74">
        <f ca="1">EFEITO!$J$974*EFEITO!$Y$974</f>
        <v>572.61783243265972</v>
      </c>
      <c r="K974" s="74">
        <f>EFEITO!$L$974*EFEITO!$Z$974</f>
        <v>0</v>
      </c>
      <c r="L974" s="74">
        <f>EFEITO!$N$974*EFEITO!$AA$974</f>
        <v>0</v>
      </c>
      <c r="M974" s="74">
        <f ca="1">$J$974-EFEITO!$K$974*EFEITO!$Y$974</f>
        <v>0</v>
      </c>
      <c r="N974" s="74">
        <f>$K$974-EFEITO!$M$974*EFEITO!$Z$974</f>
        <v>0</v>
      </c>
      <c r="O974" s="74">
        <f>$L$974-EFEITO!$O$974*EFEITO!$AA$974</f>
        <v>0</v>
      </c>
      <c r="P974" s="57"/>
      <c r="Q974" s="57"/>
      <c r="R974" s="57"/>
      <c r="S974" s="57"/>
      <c r="T974" s="57"/>
      <c r="U974" s="57"/>
      <c r="V974" s="57"/>
      <c r="W974" s="57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</row>
    <row r="975" spans="1:36" ht="11.25" customHeight="1" x14ac:dyDescent="0.2">
      <c r="A975" s="53" t="s">
        <v>28</v>
      </c>
      <c r="B975" s="53" t="s">
        <v>33</v>
      </c>
      <c r="C975" s="53" t="s">
        <v>34</v>
      </c>
      <c r="D975" s="53" t="s">
        <v>24</v>
      </c>
      <c r="E975" s="53" t="s">
        <v>24</v>
      </c>
      <c r="F975" s="53" t="s">
        <v>25</v>
      </c>
      <c r="G975" s="53" t="s">
        <v>25</v>
      </c>
      <c r="H975" s="53" t="s">
        <v>25</v>
      </c>
      <c r="I975" s="73">
        <v>43800</v>
      </c>
      <c r="J975" s="74">
        <f ca="1">EFEITO!$J$975*EFEITO!$Y$975</f>
        <v>1259.7592313518514</v>
      </c>
      <c r="K975" s="74">
        <f>EFEITO!$L$975*EFEITO!$Z$975</f>
        <v>0</v>
      </c>
      <c r="L975" s="74">
        <f>EFEITO!$N$975*EFEITO!$AA$975</f>
        <v>0</v>
      </c>
      <c r="M975" s="74">
        <f ca="1">$J$975-EFEITO!$K$975*EFEITO!$Y$975</f>
        <v>0</v>
      </c>
      <c r="N975" s="74">
        <f>$K$975-EFEITO!$M$975*EFEITO!$Z$975</f>
        <v>0</v>
      </c>
      <c r="O975" s="74">
        <f>$L$975-EFEITO!$O$975*EFEITO!$AA$975</f>
        <v>0</v>
      </c>
      <c r="P975" s="57"/>
      <c r="Q975" s="57"/>
      <c r="R975" s="57"/>
      <c r="S975" s="57"/>
      <c r="T975" s="57"/>
      <c r="U975" s="57"/>
      <c r="V975" s="57"/>
      <c r="W975" s="57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</row>
    <row r="976" spans="1:36" ht="11.25" customHeight="1" x14ac:dyDescent="0.2">
      <c r="A976" s="53" t="s">
        <v>21</v>
      </c>
      <c r="B976" s="53" t="s">
        <v>33</v>
      </c>
      <c r="C976" s="53" t="s">
        <v>34</v>
      </c>
      <c r="D976" s="53" t="s">
        <v>24</v>
      </c>
      <c r="E976" s="53" t="s">
        <v>24</v>
      </c>
      <c r="F976" s="53" t="s">
        <v>25</v>
      </c>
      <c r="G976" s="53" t="s">
        <v>25</v>
      </c>
      <c r="H976" s="53" t="s">
        <v>25</v>
      </c>
      <c r="I976" s="73">
        <v>43831</v>
      </c>
      <c r="J976" s="74">
        <f ca="1">EFEITO!$J$976*EFEITO!$Y$976</f>
        <v>12689.211166707741</v>
      </c>
      <c r="K976" s="74">
        <f>EFEITO!$L$976*EFEITO!$Z$976</f>
        <v>0</v>
      </c>
      <c r="L976" s="74">
        <f>EFEITO!$N$976*EFEITO!$AA$976</f>
        <v>0</v>
      </c>
      <c r="M976" s="74">
        <f ca="1">$J$976-EFEITO!$K$976*EFEITO!$Y$976</f>
        <v>0</v>
      </c>
      <c r="N976" s="74">
        <f>$K$976-EFEITO!$M$976*EFEITO!$Z$976</f>
        <v>0</v>
      </c>
      <c r="O976" s="74">
        <f>$L$976-EFEITO!$O$976*EFEITO!$AA$976</f>
        <v>0</v>
      </c>
      <c r="P976" s="57"/>
      <c r="Q976" s="57"/>
      <c r="R976" s="57"/>
      <c r="S976" s="57"/>
      <c r="T976" s="57"/>
      <c r="U976" s="57"/>
      <c r="V976" s="57"/>
      <c r="W976" s="57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</row>
    <row r="977" spans="1:36" ht="11.25" customHeight="1" x14ac:dyDescent="0.2">
      <c r="A977" s="53" t="s">
        <v>27</v>
      </c>
      <c r="B977" s="53" t="s">
        <v>33</v>
      </c>
      <c r="C977" s="53" t="s">
        <v>34</v>
      </c>
      <c r="D977" s="53" t="s">
        <v>24</v>
      </c>
      <c r="E977" s="53" t="s">
        <v>24</v>
      </c>
      <c r="F977" s="53" t="s">
        <v>25</v>
      </c>
      <c r="G977" s="53" t="s">
        <v>25</v>
      </c>
      <c r="H977" s="53" t="s">
        <v>25</v>
      </c>
      <c r="I977" s="73">
        <v>43831</v>
      </c>
      <c r="J977" s="74">
        <f ca="1">EFEITO!$J$977*EFEITO!$Y$977</f>
        <v>572.61783243265972</v>
      </c>
      <c r="K977" s="74">
        <f>EFEITO!$L$977*EFEITO!$Z$977</f>
        <v>0</v>
      </c>
      <c r="L977" s="74">
        <f>EFEITO!$N$977*EFEITO!$AA$977</f>
        <v>0</v>
      </c>
      <c r="M977" s="74">
        <f ca="1">$J$977-EFEITO!$K$977*EFEITO!$Y$977</f>
        <v>0</v>
      </c>
      <c r="N977" s="74">
        <f>$K$977-EFEITO!$M$977*EFEITO!$Z$977</f>
        <v>0</v>
      </c>
      <c r="O977" s="74">
        <f>$L$977-EFEITO!$O$977*EFEITO!$AA$977</f>
        <v>0</v>
      </c>
      <c r="P977" s="57"/>
      <c r="Q977" s="57"/>
      <c r="R977" s="57"/>
      <c r="S977" s="57"/>
      <c r="T977" s="57"/>
      <c r="U977" s="57"/>
      <c r="V977" s="57"/>
      <c r="W977" s="57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</row>
    <row r="978" spans="1:36" ht="11.25" customHeight="1" x14ac:dyDescent="0.2">
      <c r="A978" s="53" t="s">
        <v>28</v>
      </c>
      <c r="B978" s="53" t="s">
        <v>33</v>
      </c>
      <c r="C978" s="53" t="s">
        <v>34</v>
      </c>
      <c r="D978" s="53" t="s">
        <v>24</v>
      </c>
      <c r="E978" s="53" t="s">
        <v>24</v>
      </c>
      <c r="F978" s="53" t="s">
        <v>25</v>
      </c>
      <c r="G978" s="53" t="s">
        <v>25</v>
      </c>
      <c r="H978" s="53" t="s">
        <v>25</v>
      </c>
      <c r="I978" s="73">
        <v>43831</v>
      </c>
      <c r="J978" s="74">
        <f ca="1">EFEITO!$J$978*EFEITO!$Y$978</f>
        <v>1259.7592313518514</v>
      </c>
      <c r="K978" s="74">
        <f>EFEITO!$L$978*EFEITO!$Z$978</f>
        <v>0</v>
      </c>
      <c r="L978" s="74">
        <f>EFEITO!$N$978*EFEITO!$AA$978</f>
        <v>0</v>
      </c>
      <c r="M978" s="74">
        <f ca="1">$J$978-EFEITO!$K$978*EFEITO!$Y$978</f>
        <v>0</v>
      </c>
      <c r="N978" s="74">
        <f>$K$978-EFEITO!$M$978*EFEITO!$Z$978</f>
        <v>0</v>
      </c>
      <c r="O978" s="74">
        <f>$L$978-EFEITO!$O$978*EFEITO!$AA$978</f>
        <v>0</v>
      </c>
      <c r="P978" s="57"/>
      <c r="Q978" s="57"/>
      <c r="R978" s="57"/>
      <c r="S978" s="57"/>
      <c r="T978" s="57"/>
      <c r="U978" s="57"/>
      <c r="V978" s="57"/>
      <c r="W978" s="57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</row>
    <row r="979" spans="1:36" ht="11.25" customHeight="1" x14ac:dyDescent="0.2">
      <c r="A979" s="53" t="s">
        <v>21</v>
      </c>
      <c r="B979" s="53" t="s">
        <v>33</v>
      </c>
      <c r="C979" s="53" t="s">
        <v>34</v>
      </c>
      <c r="D979" s="53" t="s">
        <v>24</v>
      </c>
      <c r="E979" s="53" t="s">
        <v>24</v>
      </c>
      <c r="F979" s="53" t="s">
        <v>25</v>
      </c>
      <c r="G979" s="53" t="s">
        <v>25</v>
      </c>
      <c r="H979" s="53" t="s">
        <v>25</v>
      </c>
      <c r="I979" s="73">
        <v>43862</v>
      </c>
      <c r="J979" s="74">
        <f ca="1">EFEITO!$J$979*EFEITO!$Y$979</f>
        <v>13090.043649410602</v>
      </c>
      <c r="K979" s="74">
        <f>EFEITO!$L$979*EFEITO!$Z$979</f>
        <v>0</v>
      </c>
      <c r="L979" s="74">
        <f>EFEITO!$N$979*EFEITO!$AA$979</f>
        <v>0</v>
      </c>
      <c r="M979" s="74">
        <f ca="1">$J$979-EFEITO!$K$979*EFEITO!$Y$979</f>
        <v>0</v>
      </c>
      <c r="N979" s="74">
        <f>$K$979-EFEITO!$M$979*EFEITO!$Z$979</f>
        <v>0</v>
      </c>
      <c r="O979" s="74">
        <f>$L$979-EFEITO!$O$979*EFEITO!$AA$979</f>
        <v>0</v>
      </c>
      <c r="P979" s="57"/>
      <c r="Q979" s="57"/>
      <c r="R979" s="57"/>
      <c r="S979" s="57"/>
      <c r="T979" s="57"/>
      <c r="U979" s="57"/>
      <c r="V979" s="57"/>
      <c r="W979" s="57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</row>
    <row r="980" spans="1:36" ht="11.25" customHeight="1" x14ac:dyDescent="0.2">
      <c r="A980" s="53" t="s">
        <v>27</v>
      </c>
      <c r="B980" s="53" t="s">
        <v>33</v>
      </c>
      <c r="C980" s="53" t="s">
        <v>34</v>
      </c>
      <c r="D980" s="53" t="s">
        <v>24</v>
      </c>
      <c r="E980" s="53" t="s">
        <v>24</v>
      </c>
      <c r="F980" s="53" t="s">
        <v>25</v>
      </c>
      <c r="G980" s="53" t="s">
        <v>25</v>
      </c>
      <c r="H980" s="53" t="s">
        <v>25</v>
      </c>
      <c r="I980" s="73">
        <v>43862</v>
      </c>
      <c r="J980" s="74">
        <f ca="1">EFEITO!$J$980*EFEITO!$Y$980</f>
        <v>572.61783243265972</v>
      </c>
      <c r="K980" s="74">
        <f>EFEITO!$L$980*EFEITO!$Z$980</f>
        <v>0</v>
      </c>
      <c r="L980" s="74">
        <f>EFEITO!$N$980*EFEITO!$AA$980</f>
        <v>0</v>
      </c>
      <c r="M980" s="74">
        <f ca="1">$J$980-EFEITO!$K$980*EFEITO!$Y$980</f>
        <v>0</v>
      </c>
      <c r="N980" s="74">
        <f>$K$980-EFEITO!$M$980*EFEITO!$Z$980</f>
        <v>0</v>
      </c>
      <c r="O980" s="74">
        <f>$L$980-EFEITO!$O$980*EFEITO!$AA$980</f>
        <v>0</v>
      </c>
      <c r="P980" s="57"/>
      <c r="Q980" s="57"/>
      <c r="R980" s="57"/>
      <c r="S980" s="57"/>
      <c r="T980" s="57"/>
      <c r="U980" s="57"/>
      <c r="V980" s="57"/>
      <c r="W980" s="57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</row>
    <row r="981" spans="1:36" ht="11.25" customHeight="1" x14ac:dyDescent="0.2">
      <c r="A981" s="53" t="s">
        <v>28</v>
      </c>
      <c r="B981" s="53" t="s">
        <v>33</v>
      </c>
      <c r="C981" s="53" t="s">
        <v>34</v>
      </c>
      <c r="D981" s="53" t="s">
        <v>24</v>
      </c>
      <c r="E981" s="53" t="s">
        <v>24</v>
      </c>
      <c r="F981" s="53" t="s">
        <v>25</v>
      </c>
      <c r="G981" s="53" t="s">
        <v>25</v>
      </c>
      <c r="H981" s="53" t="s">
        <v>25</v>
      </c>
      <c r="I981" s="73">
        <v>43862</v>
      </c>
      <c r="J981" s="74">
        <f ca="1">EFEITO!$J$981*EFEITO!$Y$981</f>
        <v>1259.7592313518514</v>
      </c>
      <c r="K981" s="74">
        <f>EFEITO!$L$981*EFEITO!$Z$981</f>
        <v>0</v>
      </c>
      <c r="L981" s="74">
        <f>EFEITO!$N$981*EFEITO!$AA$981</f>
        <v>0</v>
      </c>
      <c r="M981" s="74">
        <f ca="1">$J$981-EFEITO!$K$981*EFEITO!$Y$981</f>
        <v>0</v>
      </c>
      <c r="N981" s="74">
        <f>$K$981-EFEITO!$M$981*EFEITO!$Z$981</f>
        <v>0</v>
      </c>
      <c r="O981" s="74">
        <f>$L$981-EFEITO!$O$981*EFEITO!$AA$981</f>
        <v>0</v>
      </c>
      <c r="P981" s="57"/>
      <c r="Q981" s="57"/>
      <c r="R981" s="57"/>
      <c r="S981" s="57"/>
      <c r="T981" s="57"/>
      <c r="U981" s="57"/>
      <c r="V981" s="57"/>
      <c r="W981" s="57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</row>
    <row r="982" spans="1:36" ht="11.25" customHeight="1" x14ac:dyDescent="0.2">
      <c r="A982" s="53" t="s">
        <v>21</v>
      </c>
      <c r="B982" s="53" t="s">
        <v>33</v>
      </c>
      <c r="C982" s="53" t="s">
        <v>34</v>
      </c>
      <c r="D982" s="53" t="s">
        <v>24</v>
      </c>
      <c r="E982" s="53" t="s">
        <v>24</v>
      </c>
      <c r="F982" s="53" t="s">
        <v>25</v>
      </c>
      <c r="G982" s="53" t="s">
        <v>25</v>
      </c>
      <c r="H982" s="53" t="s">
        <v>25</v>
      </c>
      <c r="I982" s="73">
        <v>43891</v>
      </c>
      <c r="J982" s="74">
        <f ca="1">EFEITO!$J$982*EFEITO!$Y$982</f>
        <v>13101.496006059255</v>
      </c>
      <c r="K982" s="74">
        <f>EFEITO!$L$982*EFEITO!$Z$982</f>
        <v>0</v>
      </c>
      <c r="L982" s="74">
        <f>EFEITO!$N$982*EFEITO!$AA$982</f>
        <v>0</v>
      </c>
      <c r="M982" s="74">
        <f ca="1">$J$982-EFEITO!$K$982*EFEITO!$Y$982</f>
        <v>0</v>
      </c>
      <c r="N982" s="74">
        <f>$K$982-EFEITO!$M$982*EFEITO!$Z$982</f>
        <v>0</v>
      </c>
      <c r="O982" s="74">
        <f>$L$982-EFEITO!$O$982*EFEITO!$AA$982</f>
        <v>0</v>
      </c>
      <c r="P982" s="57"/>
      <c r="Q982" s="57"/>
      <c r="R982" s="57"/>
      <c r="S982" s="57"/>
      <c r="T982" s="57"/>
      <c r="U982" s="57"/>
      <c r="V982" s="57"/>
      <c r="W982" s="57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</row>
    <row r="983" spans="1:36" ht="11.25" customHeight="1" x14ac:dyDescent="0.2">
      <c r="A983" s="53" t="s">
        <v>27</v>
      </c>
      <c r="B983" s="53" t="s">
        <v>33</v>
      </c>
      <c r="C983" s="53" t="s">
        <v>34</v>
      </c>
      <c r="D983" s="53" t="s">
        <v>24</v>
      </c>
      <c r="E983" s="53" t="s">
        <v>24</v>
      </c>
      <c r="F983" s="53" t="s">
        <v>25</v>
      </c>
      <c r="G983" s="53" t="s">
        <v>25</v>
      </c>
      <c r="H983" s="53" t="s">
        <v>25</v>
      </c>
      <c r="I983" s="73">
        <v>43891</v>
      </c>
      <c r="J983" s="74">
        <f ca="1">EFEITO!$J$983*EFEITO!$Y$983</f>
        <v>572.61783243265972</v>
      </c>
      <c r="K983" s="74">
        <f>EFEITO!$L$983*EFEITO!$Z$983</f>
        <v>0</v>
      </c>
      <c r="L983" s="74">
        <f>EFEITO!$N$983*EFEITO!$AA$983</f>
        <v>0</v>
      </c>
      <c r="M983" s="74">
        <f ca="1">$J$983-EFEITO!$K$983*EFEITO!$Y$983</f>
        <v>0</v>
      </c>
      <c r="N983" s="74">
        <f>$K$983-EFEITO!$M$983*EFEITO!$Z$983</f>
        <v>0</v>
      </c>
      <c r="O983" s="74">
        <f>$L$983-EFEITO!$O$983*EFEITO!$AA$983</f>
        <v>0</v>
      </c>
      <c r="P983" s="57"/>
      <c r="Q983" s="57"/>
      <c r="R983" s="57"/>
      <c r="S983" s="57"/>
      <c r="T983" s="57"/>
      <c r="U983" s="57"/>
      <c r="V983" s="57"/>
      <c r="W983" s="57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</row>
    <row r="984" spans="1:36" ht="11.25" customHeight="1" x14ac:dyDescent="0.2">
      <c r="A984" s="53" t="s">
        <v>28</v>
      </c>
      <c r="B984" s="53" t="s">
        <v>33</v>
      </c>
      <c r="C984" s="53" t="s">
        <v>34</v>
      </c>
      <c r="D984" s="53" t="s">
        <v>24</v>
      </c>
      <c r="E984" s="53" t="s">
        <v>24</v>
      </c>
      <c r="F984" s="53" t="s">
        <v>25</v>
      </c>
      <c r="G984" s="53" t="s">
        <v>25</v>
      </c>
      <c r="H984" s="53" t="s">
        <v>25</v>
      </c>
      <c r="I984" s="73">
        <v>43891</v>
      </c>
      <c r="J984" s="74">
        <f ca="1">EFEITO!$J$984*EFEITO!$Y$984</f>
        <v>1259.7592313518514</v>
      </c>
      <c r="K984" s="74">
        <f>EFEITO!$L$984*EFEITO!$Z$984</f>
        <v>0</v>
      </c>
      <c r="L984" s="74">
        <f>EFEITO!$N$984*EFEITO!$AA$984</f>
        <v>0</v>
      </c>
      <c r="M984" s="74">
        <f ca="1">$J$984-EFEITO!$K$984*EFEITO!$Y$984</f>
        <v>0</v>
      </c>
      <c r="N984" s="74">
        <f>$K$984-EFEITO!$M$984*EFEITO!$Z$984</f>
        <v>0</v>
      </c>
      <c r="O984" s="74">
        <f>$L$984-EFEITO!$O$984*EFEITO!$AA$984</f>
        <v>0</v>
      </c>
      <c r="P984" s="57"/>
      <c r="Q984" s="57"/>
      <c r="R984" s="57"/>
      <c r="S984" s="57"/>
      <c r="T984" s="57"/>
      <c r="U984" s="57"/>
      <c r="V984" s="57"/>
      <c r="W984" s="57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</row>
    <row r="985" spans="1:36" ht="11.25" customHeight="1" x14ac:dyDescent="0.2">
      <c r="A985" s="53" t="s">
        <v>21</v>
      </c>
      <c r="B985" s="53" t="s">
        <v>33</v>
      </c>
      <c r="C985" s="53" t="s">
        <v>34</v>
      </c>
      <c r="D985" s="53" t="s">
        <v>24</v>
      </c>
      <c r="E985" s="53" t="s">
        <v>24</v>
      </c>
      <c r="F985" s="53" t="s">
        <v>25</v>
      </c>
      <c r="G985" s="53" t="s">
        <v>25</v>
      </c>
      <c r="H985" s="53" t="s">
        <v>25</v>
      </c>
      <c r="I985" s="73">
        <v>43922</v>
      </c>
      <c r="J985" s="74">
        <f ca="1">EFEITO!$J$985*EFEITO!$Y$985</f>
        <v>12929.710656329456</v>
      </c>
      <c r="K985" s="74">
        <f>EFEITO!$L$985*EFEITO!$Z$985</f>
        <v>0</v>
      </c>
      <c r="L985" s="74">
        <f>EFEITO!$N$985*EFEITO!$AA$985</f>
        <v>0</v>
      </c>
      <c r="M985" s="74">
        <f ca="1">$J$985-EFEITO!$K$985*EFEITO!$Y$985</f>
        <v>0</v>
      </c>
      <c r="N985" s="74">
        <f>$K$985-EFEITO!$M$985*EFEITO!$Z$985</f>
        <v>0</v>
      </c>
      <c r="O985" s="74">
        <f>$L$985-EFEITO!$O$985*EFEITO!$AA$985</f>
        <v>0</v>
      </c>
      <c r="P985" s="57"/>
      <c r="Q985" s="57"/>
      <c r="R985" s="57"/>
      <c r="S985" s="57"/>
      <c r="T985" s="57"/>
      <c r="U985" s="57"/>
      <c r="V985" s="57"/>
      <c r="W985" s="57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</row>
    <row r="986" spans="1:36" ht="11.25" customHeight="1" x14ac:dyDescent="0.2">
      <c r="A986" s="53" t="s">
        <v>27</v>
      </c>
      <c r="B986" s="53" t="s">
        <v>33</v>
      </c>
      <c r="C986" s="53" t="s">
        <v>34</v>
      </c>
      <c r="D986" s="53" t="s">
        <v>24</v>
      </c>
      <c r="E986" s="53" t="s">
        <v>24</v>
      </c>
      <c r="F986" s="53" t="s">
        <v>25</v>
      </c>
      <c r="G986" s="53" t="s">
        <v>25</v>
      </c>
      <c r="H986" s="53" t="s">
        <v>25</v>
      </c>
      <c r="I986" s="73">
        <v>43922</v>
      </c>
      <c r="J986" s="74">
        <f ca="1">EFEITO!$J$986*EFEITO!$Y$986</f>
        <v>572.61783243265972</v>
      </c>
      <c r="K986" s="74">
        <f>EFEITO!$L$986*EFEITO!$Z$986</f>
        <v>0</v>
      </c>
      <c r="L986" s="74">
        <f>EFEITO!$N$986*EFEITO!$AA$986</f>
        <v>0</v>
      </c>
      <c r="M986" s="74">
        <f ca="1">$J$986-EFEITO!$K$986*EFEITO!$Y$986</f>
        <v>0</v>
      </c>
      <c r="N986" s="74">
        <f>$K$986-EFEITO!$M$986*EFEITO!$Z$986</f>
        <v>0</v>
      </c>
      <c r="O986" s="74">
        <f>$L$986-EFEITO!$O$986*EFEITO!$AA$986</f>
        <v>0</v>
      </c>
      <c r="P986" s="57"/>
      <c r="Q986" s="57"/>
      <c r="R986" s="57"/>
      <c r="S986" s="57"/>
      <c r="T986" s="57"/>
      <c r="U986" s="57"/>
      <c r="V986" s="57"/>
      <c r="W986" s="57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</row>
    <row r="987" spans="1:36" ht="11.25" customHeight="1" x14ac:dyDescent="0.2">
      <c r="A987" s="53" t="s">
        <v>28</v>
      </c>
      <c r="B987" s="53" t="s">
        <v>33</v>
      </c>
      <c r="C987" s="53" t="s">
        <v>34</v>
      </c>
      <c r="D987" s="53" t="s">
        <v>24</v>
      </c>
      <c r="E987" s="53" t="s">
        <v>24</v>
      </c>
      <c r="F987" s="53" t="s">
        <v>25</v>
      </c>
      <c r="G987" s="53" t="s">
        <v>25</v>
      </c>
      <c r="H987" s="53" t="s">
        <v>25</v>
      </c>
      <c r="I987" s="73">
        <v>43922</v>
      </c>
      <c r="J987" s="74">
        <f ca="1">EFEITO!$J$987*EFEITO!$Y$987</f>
        <v>1259.7592313518514</v>
      </c>
      <c r="K987" s="74">
        <f>EFEITO!$L$987*EFEITO!$Z$987</f>
        <v>0</v>
      </c>
      <c r="L987" s="74">
        <f>EFEITO!$N$987*EFEITO!$AA$987</f>
        <v>0</v>
      </c>
      <c r="M987" s="74">
        <f ca="1">$J$987-EFEITO!$K$987*EFEITO!$Y$987</f>
        <v>0</v>
      </c>
      <c r="N987" s="74">
        <f>$K$987-EFEITO!$M$987*EFEITO!$Z$987</f>
        <v>0</v>
      </c>
      <c r="O987" s="74">
        <f>$L$987-EFEITO!$O$987*EFEITO!$AA$987</f>
        <v>0</v>
      </c>
      <c r="P987" s="57"/>
      <c r="Q987" s="57"/>
      <c r="R987" s="57"/>
      <c r="S987" s="57"/>
      <c r="T987" s="57"/>
      <c r="U987" s="57"/>
      <c r="V987" s="57"/>
      <c r="W987" s="57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</row>
    <row r="988" spans="1:36" ht="11.25" customHeight="1" x14ac:dyDescent="0.2">
      <c r="A988" s="53" t="s">
        <v>21</v>
      </c>
      <c r="B988" s="53" t="s">
        <v>33</v>
      </c>
      <c r="C988" s="53" t="s">
        <v>34</v>
      </c>
      <c r="D988" s="53" t="s">
        <v>24</v>
      </c>
      <c r="E988" s="53" t="s">
        <v>24</v>
      </c>
      <c r="F988" s="53" t="s">
        <v>25</v>
      </c>
      <c r="G988" s="53" t="s">
        <v>25</v>
      </c>
      <c r="H988" s="53" t="s">
        <v>25</v>
      </c>
      <c r="I988" s="73">
        <v>43952</v>
      </c>
      <c r="J988" s="74">
        <f ca="1">EFEITO!$J$988*EFEITO!$Y$988</f>
        <v>13032.781866167335</v>
      </c>
      <c r="K988" s="74">
        <f>EFEITO!$L$988*EFEITO!$Z$988</f>
        <v>0</v>
      </c>
      <c r="L988" s="74">
        <f>EFEITO!$N$988*EFEITO!$AA$988</f>
        <v>0</v>
      </c>
      <c r="M988" s="74">
        <f ca="1">$J$988-EFEITO!$K$988*EFEITO!$Y$988</f>
        <v>0</v>
      </c>
      <c r="N988" s="74">
        <f>$K$988-EFEITO!$M$988*EFEITO!$Z$988</f>
        <v>0</v>
      </c>
      <c r="O988" s="74">
        <f>$L$988-EFEITO!$O$988*EFEITO!$AA$988</f>
        <v>0</v>
      </c>
      <c r="P988" s="57"/>
      <c r="Q988" s="57"/>
      <c r="R988" s="57"/>
      <c r="S988" s="57"/>
      <c r="T988" s="57"/>
      <c r="U988" s="57"/>
      <c r="V988" s="57"/>
      <c r="W988" s="57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</row>
    <row r="989" spans="1:36" ht="11.25" customHeight="1" x14ac:dyDescent="0.2">
      <c r="A989" s="53" t="s">
        <v>27</v>
      </c>
      <c r="B989" s="53" t="s">
        <v>33</v>
      </c>
      <c r="C989" s="53" t="s">
        <v>34</v>
      </c>
      <c r="D989" s="53" t="s">
        <v>24</v>
      </c>
      <c r="E989" s="53" t="s">
        <v>24</v>
      </c>
      <c r="F989" s="53" t="s">
        <v>25</v>
      </c>
      <c r="G989" s="53" t="s">
        <v>25</v>
      </c>
      <c r="H989" s="53" t="s">
        <v>25</v>
      </c>
      <c r="I989" s="73">
        <v>43952</v>
      </c>
      <c r="J989" s="74">
        <f ca="1">EFEITO!$J$989*EFEITO!$Y$989</f>
        <v>572.61783243265972</v>
      </c>
      <c r="K989" s="74">
        <f>EFEITO!$L$989*EFEITO!$Z$989</f>
        <v>0</v>
      </c>
      <c r="L989" s="74">
        <f>EFEITO!$N$989*EFEITO!$AA$989</f>
        <v>0</v>
      </c>
      <c r="M989" s="74">
        <f ca="1">$J$989-EFEITO!$K$989*EFEITO!$Y$989</f>
        <v>0</v>
      </c>
      <c r="N989" s="74">
        <f>$K$989-EFEITO!$M$989*EFEITO!$Z$989</f>
        <v>0</v>
      </c>
      <c r="O989" s="74">
        <f>$L$989-EFEITO!$O$989*EFEITO!$AA$989</f>
        <v>0</v>
      </c>
      <c r="P989" s="57"/>
      <c r="Q989" s="57"/>
      <c r="R989" s="57"/>
      <c r="S989" s="57"/>
      <c r="T989" s="57"/>
      <c r="U989" s="57"/>
      <c r="V989" s="57"/>
      <c r="W989" s="57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</row>
    <row r="990" spans="1:36" ht="11.25" customHeight="1" x14ac:dyDescent="0.2">
      <c r="A990" s="53" t="s">
        <v>28</v>
      </c>
      <c r="B990" s="53" t="s">
        <v>33</v>
      </c>
      <c r="C990" s="53" t="s">
        <v>34</v>
      </c>
      <c r="D990" s="53" t="s">
        <v>24</v>
      </c>
      <c r="E990" s="53" t="s">
        <v>24</v>
      </c>
      <c r="F990" s="53" t="s">
        <v>25</v>
      </c>
      <c r="G990" s="53" t="s">
        <v>25</v>
      </c>
      <c r="H990" s="53" t="s">
        <v>25</v>
      </c>
      <c r="I990" s="73">
        <v>43952</v>
      </c>
      <c r="J990" s="74">
        <f ca="1">EFEITO!$J$990*EFEITO!$Y$990</f>
        <v>1259.7592313518514</v>
      </c>
      <c r="K990" s="74">
        <f>EFEITO!$L$990*EFEITO!$Z$990</f>
        <v>0</v>
      </c>
      <c r="L990" s="74">
        <f>EFEITO!$N$990*EFEITO!$AA$990</f>
        <v>0</v>
      </c>
      <c r="M990" s="74">
        <f ca="1">$J$990-EFEITO!$K$990*EFEITO!$Y$990</f>
        <v>0</v>
      </c>
      <c r="N990" s="74">
        <f>$K$990-EFEITO!$M$990*EFEITO!$Z$990</f>
        <v>0</v>
      </c>
      <c r="O990" s="74">
        <f>$L$990-EFEITO!$O$990*EFEITO!$AA$990</f>
        <v>0</v>
      </c>
      <c r="P990" s="57"/>
      <c r="Q990" s="57"/>
      <c r="R990" s="57"/>
      <c r="S990" s="57"/>
      <c r="T990" s="57"/>
      <c r="U990" s="57"/>
      <c r="V990" s="57"/>
      <c r="W990" s="57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</row>
    <row r="991" spans="1:36" ht="11.25" customHeight="1" x14ac:dyDescent="0.2">
      <c r="A991" s="53" t="s">
        <v>21</v>
      </c>
      <c r="B991" s="53" t="s">
        <v>33</v>
      </c>
      <c r="C991" s="53" t="s">
        <v>34</v>
      </c>
      <c r="D991" s="53" t="s">
        <v>24</v>
      </c>
      <c r="E991" s="53" t="s">
        <v>24</v>
      </c>
      <c r="F991" s="53" t="s">
        <v>25</v>
      </c>
      <c r="G991" s="53" t="s">
        <v>25</v>
      </c>
      <c r="H991" s="53" t="s">
        <v>25</v>
      </c>
      <c r="I991" s="73">
        <v>43983</v>
      </c>
      <c r="J991" s="74">
        <f ca="1">EFEITO!$J$991*EFEITO!$Y$991</f>
        <v>13078.591292761948</v>
      </c>
      <c r="K991" s="74">
        <f>EFEITO!$L$991*EFEITO!$Z$991</f>
        <v>0</v>
      </c>
      <c r="L991" s="74">
        <f>EFEITO!$N$991*EFEITO!$AA$991</f>
        <v>0</v>
      </c>
      <c r="M991" s="74">
        <f ca="1">$J$991-EFEITO!$K$991*EFEITO!$Y$991</f>
        <v>0</v>
      </c>
      <c r="N991" s="74">
        <f>$K$991-EFEITO!$M$991*EFEITO!$Z$991</f>
        <v>0</v>
      </c>
      <c r="O991" s="74">
        <f>$L$991-EFEITO!$O$991*EFEITO!$AA$991</f>
        <v>0</v>
      </c>
      <c r="P991" s="57"/>
      <c r="Q991" s="57"/>
      <c r="R991" s="57"/>
      <c r="S991" s="57"/>
      <c r="T991" s="57"/>
      <c r="U991" s="57"/>
      <c r="V991" s="57"/>
      <c r="W991" s="57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</row>
    <row r="992" spans="1:36" ht="11.25" customHeight="1" x14ac:dyDescent="0.2">
      <c r="A992" s="53" t="s">
        <v>27</v>
      </c>
      <c r="B992" s="53" t="s">
        <v>33</v>
      </c>
      <c r="C992" s="53" t="s">
        <v>34</v>
      </c>
      <c r="D992" s="53" t="s">
        <v>24</v>
      </c>
      <c r="E992" s="53" t="s">
        <v>24</v>
      </c>
      <c r="F992" s="53" t="s">
        <v>25</v>
      </c>
      <c r="G992" s="53" t="s">
        <v>25</v>
      </c>
      <c r="H992" s="53" t="s">
        <v>25</v>
      </c>
      <c r="I992" s="73">
        <v>43983</v>
      </c>
      <c r="J992" s="74">
        <f ca="1">EFEITO!$J$992*EFEITO!$Y$992</f>
        <v>572.61783243265972</v>
      </c>
      <c r="K992" s="74">
        <f>EFEITO!$L$992*EFEITO!$Z$992</f>
        <v>0</v>
      </c>
      <c r="L992" s="74">
        <f>EFEITO!$N$992*EFEITO!$AA$992</f>
        <v>0</v>
      </c>
      <c r="M992" s="74">
        <f ca="1">$J$992-EFEITO!$K$992*EFEITO!$Y$992</f>
        <v>0</v>
      </c>
      <c r="N992" s="74">
        <f>$K$992-EFEITO!$M$992*EFEITO!$Z$992</f>
        <v>0</v>
      </c>
      <c r="O992" s="74">
        <f>$L$992-EFEITO!$O$992*EFEITO!$AA$992</f>
        <v>0</v>
      </c>
      <c r="P992" s="57"/>
      <c r="Q992" s="57"/>
      <c r="R992" s="57"/>
      <c r="S992" s="57"/>
      <c r="T992" s="57"/>
      <c r="U992" s="57"/>
      <c r="V992" s="57"/>
      <c r="W992" s="57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</row>
    <row r="993" spans="1:36" ht="11.25" customHeight="1" x14ac:dyDescent="0.2">
      <c r="A993" s="53" t="s">
        <v>28</v>
      </c>
      <c r="B993" s="53" t="s">
        <v>33</v>
      </c>
      <c r="C993" s="53" t="s">
        <v>34</v>
      </c>
      <c r="D993" s="53" t="s">
        <v>24</v>
      </c>
      <c r="E993" s="53" t="s">
        <v>24</v>
      </c>
      <c r="F993" s="53" t="s">
        <v>25</v>
      </c>
      <c r="G993" s="53" t="s">
        <v>25</v>
      </c>
      <c r="H993" s="53" t="s">
        <v>25</v>
      </c>
      <c r="I993" s="73">
        <v>43983</v>
      </c>
      <c r="J993" s="74">
        <f ca="1">EFEITO!$J$993*EFEITO!$Y$993</f>
        <v>1259.7592313518514</v>
      </c>
      <c r="K993" s="74">
        <f>EFEITO!$L$993*EFEITO!$Z$993</f>
        <v>0</v>
      </c>
      <c r="L993" s="74">
        <f>EFEITO!$N$993*EFEITO!$AA$993</f>
        <v>0</v>
      </c>
      <c r="M993" s="74">
        <f ca="1">$J$993-EFEITO!$K$993*EFEITO!$Y$993</f>
        <v>0</v>
      </c>
      <c r="N993" s="74">
        <f>$K$993-EFEITO!$M$993*EFEITO!$Z$993</f>
        <v>0</v>
      </c>
      <c r="O993" s="74">
        <f>$L$993-EFEITO!$O$993*EFEITO!$AA$993</f>
        <v>0</v>
      </c>
      <c r="P993" s="57"/>
      <c r="Q993" s="57"/>
      <c r="R993" s="57"/>
      <c r="S993" s="57"/>
      <c r="T993" s="57"/>
      <c r="U993" s="57"/>
      <c r="V993" s="57"/>
      <c r="W993" s="57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</row>
    <row r="994" spans="1:36" ht="11.25" customHeight="1" x14ac:dyDescent="0.2">
      <c r="A994" s="53" t="s">
        <v>21</v>
      </c>
      <c r="B994" s="53" t="s">
        <v>33</v>
      </c>
      <c r="C994" s="53" t="s">
        <v>34</v>
      </c>
      <c r="D994" s="53" t="s">
        <v>24</v>
      </c>
      <c r="E994" s="53" t="s">
        <v>24</v>
      </c>
      <c r="F994" s="53" t="s">
        <v>25</v>
      </c>
      <c r="G994" s="53" t="s">
        <v>25</v>
      </c>
      <c r="H994" s="53" t="s">
        <v>25</v>
      </c>
      <c r="I994" s="73">
        <v>44013</v>
      </c>
      <c r="J994" s="74">
        <f ca="1">EFEITO!$J$994*EFEITO!$Y$994</f>
        <v>13078.591292761948</v>
      </c>
      <c r="K994" s="74">
        <f>EFEITO!$L$994*EFEITO!$Z$994</f>
        <v>0</v>
      </c>
      <c r="L994" s="74">
        <f>EFEITO!$N$994*EFEITO!$AA$994</f>
        <v>0</v>
      </c>
      <c r="M994" s="74">
        <f ca="1">$J$994-EFEITO!$K$994*EFEITO!$Y$994</f>
        <v>0</v>
      </c>
      <c r="N994" s="74">
        <f>$K$994-EFEITO!$M$994*EFEITO!$Z$994</f>
        <v>0</v>
      </c>
      <c r="O994" s="74">
        <f>$L$994-EFEITO!$O$994*EFEITO!$AA$994</f>
        <v>0</v>
      </c>
      <c r="P994" s="57"/>
      <c r="Q994" s="57"/>
      <c r="R994" s="57"/>
      <c r="S994" s="57"/>
      <c r="T994" s="57"/>
      <c r="U994" s="57"/>
      <c r="V994" s="57"/>
      <c r="W994" s="57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</row>
    <row r="995" spans="1:36" ht="11.25" customHeight="1" x14ac:dyDescent="0.2">
      <c r="A995" s="53" t="s">
        <v>27</v>
      </c>
      <c r="B995" s="53" t="s">
        <v>33</v>
      </c>
      <c r="C995" s="53" t="s">
        <v>34</v>
      </c>
      <c r="D995" s="53" t="s">
        <v>24</v>
      </c>
      <c r="E995" s="53" t="s">
        <v>24</v>
      </c>
      <c r="F995" s="53" t="s">
        <v>25</v>
      </c>
      <c r="G995" s="53" t="s">
        <v>25</v>
      </c>
      <c r="H995" s="53" t="s">
        <v>25</v>
      </c>
      <c r="I995" s="73">
        <v>44013</v>
      </c>
      <c r="J995" s="74">
        <f ca="1">EFEITO!$J$995*EFEITO!$Y$995</f>
        <v>572.61783243265972</v>
      </c>
      <c r="K995" s="74">
        <f>EFEITO!$L$995*EFEITO!$Z$995</f>
        <v>0</v>
      </c>
      <c r="L995" s="74">
        <f>EFEITO!$N$995*EFEITO!$AA$995</f>
        <v>0</v>
      </c>
      <c r="M995" s="74">
        <f ca="1">$J$995-EFEITO!$K$995*EFEITO!$Y$995</f>
        <v>0</v>
      </c>
      <c r="N995" s="74">
        <f>$K$995-EFEITO!$M$995*EFEITO!$Z$995</f>
        <v>0</v>
      </c>
      <c r="O995" s="74">
        <f>$L$995-EFEITO!$O$995*EFEITO!$AA$995</f>
        <v>0</v>
      </c>
      <c r="P995" s="57"/>
      <c r="Q995" s="57"/>
      <c r="R995" s="57"/>
      <c r="S995" s="57"/>
      <c r="T995" s="57"/>
      <c r="U995" s="57"/>
      <c r="V995" s="57"/>
      <c r="W995" s="57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</row>
    <row r="996" spans="1:36" ht="11.25" customHeight="1" x14ac:dyDescent="0.2">
      <c r="A996" s="53" t="s">
        <v>28</v>
      </c>
      <c r="B996" s="53" t="s">
        <v>33</v>
      </c>
      <c r="C996" s="53" t="s">
        <v>34</v>
      </c>
      <c r="D996" s="53" t="s">
        <v>24</v>
      </c>
      <c r="E996" s="53" t="s">
        <v>24</v>
      </c>
      <c r="F996" s="53" t="s">
        <v>25</v>
      </c>
      <c r="G996" s="53" t="s">
        <v>25</v>
      </c>
      <c r="H996" s="53" t="s">
        <v>25</v>
      </c>
      <c r="I996" s="73">
        <v>44013</v>
      </c>
      <c r="J996" s="74">
        <f ca="1">EFEITO!$J$996*EFEITO!$Y$996</f>
        <v>1259.7592313518514</v>
      </c>
      <c r="K996" s="74">
        <f>EFEITO!$L$996*EFEITO!$Z$996</f>
        <v>0</v>
      </c>
      <c r="L996" s="74">
        <f>EFEITO!$N$996*EFEITO!$AA$996</f>
        <v>0</v>
      </c>
      <c r="M996" s="74">
        <f ca="1">$J$996-EFEITO!$K$996*EFEITO!$Y$996</f>
        <v>0</v>
      </c>
      <c r="N996" s="74">
        <f>$K$996-EFEITO!$M$996*EFEITO!$Z$996</f>
        <v>0</v>
      </c>
      <c r="O996" s="74">
        <f>$L$996-EFEITO!$O$996*EFEITO!$AA$996</f>
        <v>0</v>
      </c>
      <c r="P996" s="57"/>
      <c r="Q996" s="57"/>
      <c r="R996" s="57"/>
      <c r="S996" s="57"/>
      <c r="T996" s="57"/>
      <c r="U996" s="57"/>
      <c r="V996" s="57"/>
      <c r="W996" s="57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</row>
    <row r="997" spans="1:36" ht="11.25" customHeight="1" x14ac:dyDescent="0.2">
      <c r="A997" s="53" t="s">
        <v>21</v>
      </c>
      <c r="B997" s="53" t="s">
        <v>33</v>
      </c>
      <c r="C997" s="53" t="s">
        <v>34</v>
      </c>
      <c r="D997" s="53" t="s">
        <v>24</v>
      </c>
      <c r="E997" s="53" t="s">
        <v>24</v>
      </c>
      <c r="F997" s="53" t="s">
        <v>25</v>
      </c>
      <c r="G997" s="53" t="s">
        <v>25</v>
      </c>
      <c r="H997" s="53" t="s">
        <v>25</v>
      </c>
      <c r="I997" s="73">
        <v>44044</v>
      </c>
      <c r="J997" s="74">
        <f ca="1">EFEITO!$J$997*EFEITO!$Y$997</f>
        <v>13616.85205524865</v>
      </c>
      <c r="K997" s="74">
        <f>EFEITO!$L$997*EFEITO!$Z$997</f>
        <v>0</v>
      </c>
      <c r="L997" s="74">
        <f>EFEITO!$N$997*EFEITO!$AA$997</f>
        <v>0</v>
      </c>
      <c r="M997" s="74">
        <f ca="1">$J$997-EFEITO!$K$997*EFEITO!$Y$997</f>
        <v>0</v>
      </c>
      <c r="N997" s="74">
        <f>$K$997-EFEITO!$M$997*EFEITO!$Z$997</f>
        <v>0</v>
      </c>
      <c r="O997" s="74">
        <f>$L$997-EFEITO!$O$997*EFEITO!$AA$997</f>
        <v>0</v>
      </c>
      <c r="P997" s="57"/>
      <c r="Q997" s="57"/>
      <c r="R997" s="57"/>
      <c r="S997" s="57"/>
      <c r="T997" s="57"/>
      <c r="U997" s="57"/>
      <c r="V997" s="57"/>
      <c r="W997" s="57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</row>
    <row r="998" spans="1:36" ht="11.25" customHeight="1" x14ac:dyDescent="0.2">
      <c r="A998" s="53" t="s">
        <v>28</v>
      </c>
      <c r="B998" s="53" t="s">
        <v>33</v>
      </c>
      <c r="C998" s="53" t="s">
        <v>34</v>
      </c>
      <c r="D998" s="53" t="s">
        <v>24</v>
      </c>
      <c r="E998" s="53" t="s">
        <v>24</v>
      </c>
      <c r="F998" s="53" t="s">
        <v>25</v>
      </c>
      <c r="G998" s="53" t="s">
        <v>25</v>
      </c>
      <c r="H998" s="53" t="s">
        <v>25</v>
      </c>
      <c r="I998" s="73">
        <v>44044</v>
      </c>
      <c r="J998" s="74">
        <f ca="1">EFEITO!$J$998*EFEITO!$Y$998</f>
        <v>1259.7592313518514</v>
      </c>
      <c r="K998" s="74">
        <f>EFEITO!$L$998*EFEITO!$Z$998</f>
        <v>0</v>
      </c>
      <c r="L998" s="74">
        <f>EFEITO!$N$998*EFEITO!$AA$998</f>
        <v>0</v>
      </c>
      <c r="M998" s="74">
        <f ca="1">$J$998-EFEITO!$K$998*EFEITO!$Y$998</f>
        <v>0</v>
      </c>
      <c r="N998" s="74">
        <f>$K$998-EFEITO!$M$998*EFEITO!$Z$998</f>
        <v>0</v>
      </c>
      <c r="O998" s="74">
        <f>$L$998-EFEITO!$O$998*EFEITO!$AA$998</f>
        <v>0</v>
      </c>
      <c r="P998" s="57"/>
      <c r="Q998" s="57"/>
      <c r="R998" s="57"/>
      <c r="S998" s="57"/>
      <c r="T998" s="57"/>
      <c r="U998" s="57"/>
      <c r="V998" s="57"/>
      <c r="W998" s="57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</row>
    <row r="999" spans="1:36" ht="11.25" customHeight="1" x14ac:dyDescent="0.2">
      <c r="A999" s="53" t="s">
        <v>59</v>
      </c>
      <c r="B999" s="53" t="s">
        <v>33</v>
      </c>
      <c r="C999" s="53" t="s">
        <v>34</v>
      </c>
      <c r="D999" s="53" t="s">
        <v>24</v>
      </c>
      <c r="E999" s="53" t="s">
        <v>24</v>
      </c>
      <c r="F999" s="53" t="s">
        <v>25</v>
      </c>
      <c r="G999" s="53" t="s">
        <v>25</v>
      </c>
      <c r="H999" s="53" t="s">
        <v>25</v>
      </c>
      <c r="I999" s="73">
        <v>44075</v>
      </c>
      <c r="J999" s="74">
        <f ca="1">EFEITO!$J$999*EFEITO!$Y$999</f>
        <v>13616.85205524865</v>
      </c>
      <c r="K999" s="74">
        <f>EFEITO!$L$999*EFEITO!$Z$999</f>
        <v>0</v>
      </c>
      <c r="L999" s="74">
        <f>EFEITO!$N$999*EFEITO!$AA$999</f>
        <v>0</v>
      </c>
      <c r="M999" s="74">
        <f ca="1">$J$999-EFEITO!$K$999*EFEITO!$Y$999</f>
        <v>0</v>
      </c>
      <c r="N999" s="74">
        <f>$K$999-EFEITO!$M$999*EFEITO!$Z$999</f>
        <v>0</v>
      </c>
      <c r="O999" s="74">
        <f>$L$999-EFEITO!$O$999*EFEITO!$AA$999</f>
        <v>0</v>
      </c>
      <c r="P999" s="57"/>
      <c r="Q999" s="57"/>
      <c r="R999" s="57"/>
      <c r="S999" s="57"/>
      <c r="T999" s="57"/>
      <c r="U999" s="57"/>
      <c r="V999" s="57"/>
      <c r="W999" s="57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</row>
    <row r="1000" spans="1:36" ht="11.25" customHeight="1" x14ac:dyDescent="0.2">
      <c r="A1000" s="53" t="s">
        <v>59</v>
      </c>
      <c r="B1000" s="53" t="s">
        <v>33</v>
      </c>
      <c r="C1000" s="53" t="s">
        <v>34</v>
      </c>
      <c r="D1000" s="53" t="s">
        <v>24</v>
      </c>
      <c r="E1000" s="53" t="s">
        <v>24</v>
      </c>
      <c r="F1000" s="53" t="s">
        <v>25</v>
      </c>
      <c r="G1000" s="53" t="s">
        <v>25</v>
      </c>
      <c r="H1000" s="53" t="s">
        <v>25</v>
      </c>
      <c r="I1000" s="73">
        <v>44075</v>
      </c>
      <c r="J1000" s="74">
        <f ca="1">EFEITO!$J$1000*EFEITO!$Y$1000</f>
        <v>1259.7592313518514</v>
      </c>
      <c r="K1000" s="74">
        <f>EFEITO!$L$1000*EFEITO!$Z$1000</f>
        <v>0</v>
      </c>
      <c r="L1000" s="74">
        <f>EFEITO!$N$1000*EFEITO!$AA$1000</f>
        <v>0</v>
      </c>
      <c r="M1000" s="74">
        <f ca="1">$J$1000-EFEITO!$K$1000*EFEITO!$Y$1000</f>
        <v>0</v>
      </c>
      <c r="N1000" s="74">
        <f>$K$1000-EFEITO!$M$1000*EFEITO!$Z$1000</f>
        <v>0</v>
      </c>
      <c r="O1000" s="74">
        <f>$L$1000-EFEITO!$O$1000*EFEITO!$AA$1000</f>
        <v>0</v>
      </c>
      <c r="P1000" s="57"/>
      <c r="Q1000" s="57"/>
      <c r="R1000" s="57"/>
      <c r="S1000" s="57"/>
      <c r="T1000" s="57"/>
      <c r="U1000" s="57"/>
      <c r="V1000" s="57"/>
      <c r="W1000" s="57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</row>
    <row r="1001" spans="1:36" ht="11.25" customHeight="1" x14ac:dyDescent="0.2">
      <c r="A1001" s="53" t="s">
        <v>21</v>
      </c>
      <c r="B1001" s="53" t="s">
        <v>33</v>
      </c>
      <c r="C1001" s="53" t="s">
        <v>34</v>
      </c>
      <c r="D1001" s="53" t="s">
        <v>24</v>
      </c>
      <c r="E1001" s="53" t="s">
        <v>24</v>
      </c>
      <c r="F1001" s="53" t="s">
        <v>25</v>
      </c>
      <c r="G1001" s="53" t="s">
        <v>25</v>
      </c>
      <c r="H1001" s="53" t="s">
        <v>35</v>
      </c>
      <c r="I1001" s="73">
        <v>43739</v>
      </c>
      <c r="J1001" s="74">
        <f>EFEITO!$J$1001*EFEITO!$Y$1001</f>
        <v>0</v>
      </c>
      <c r="K1001" s="74">
        <f ca="1">EFEITO!$L$1001*EFEITO!$Z$1001</f>
        <v>10363.588183598715</v>
      </c>
      <c r="L1001" s="74">
        <f>EFEITO!$N$1001*EFEITO!$AA$1001</f>
        <v>5207.0883852419265</v>
      </c>
      <c r="M1001" s="74">
        <f>$J$1001-EFEITO!$K$1001*EFEITO!$Y$1001</f>
        <v>0</v>
      </c>
      <c r="N1001" s="74">
        <f ca="1">$K$1001-EFEITO!$M$1001*EFEITO!$Z$1001</f>
        <v>0</v>
      </c>
      <c r="O1001" s="74">
        <f>$L$1001-EFEITO!$O$1001*EFEITO!$AA$1001</f>
        <v>0</v>
      </c>
      <c r="P1001" s="57"/>
      <c r="Q1001" s="57"/>
      <c r="R1001" s="57"/>
      <c r="S1001" s="57"/>
      <c r="T1001" s="57"/>
      <c r="U1001" s="57"/>
      <c r="V1001" s="57"/>
      <c r="W1001" s="57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</row>
    <row r="1002" spans="1:36" ht="11.25" customHeight="1" x14ac:dyDescent="0.2">
      <c r="A1002" s="53" t="s">
        <v>27</v>
      </c>
      <c r="B1002" s="53" t="s">
        <v>33</v>
      </c>
      <c r="C1002" s="53" t="s">
        <v>34</v>
      </c>
      <c r="D1002" s="53" t="s">
        <v>24</v>
      </c>
      <c r="E1002" s="53" t="s">
        <v>24</v>
      </c>
      <c r="F1002" s="53" t="s">
        <v>25</v>
      </c>
      <c r="G1002" s="53" t="s">
        <v>25</v>
      </c>
      <c r="H1002" s="53" t="s">
        <v>35</v>
      </c>
      <c r="I1002" s="73">
        <v>43739</v>
      </c>
      <c r="J1002" s="74">
        <f>EFEITO!$J$1002*EFEITO!$Y$1002</f>
        <v>0</v>
      </c>
      <c r="K1002" s="74">
        <f ca="1">EFEITO!$L$1002*EFEITO!$Z$1002</f>
        <v>601.17784268494711</v>
      </c>
      <c r="L1002" s="74">
        <f>EFEITO!$N$1002*EFEITO!$AA$1002</f>
        <v>302.05620936035422</v>
      </c>
      <c r="M1002" s="74">
        <f>$J$1002-EFEITO!$K$1002*EFEITO!$Y$1002</f>
        <v>0</v>
      </c>
      <c r="N1002" s="74">
        <f ca="1">$K$1002-EFEITO!$M$1002*EFEITO!$Z$1002</f>
        <v>0</v>
      </c>
      <c r="O1002" s="74">
        <f>$L$1002-EFEITO!$O$1002*EFEITO!$AA$1002</f>
        <v>0</v>
      </c>
      <c r="P1002" s="57"/>
      <c r="Q1002" s="57"/>
      <c r="R1002" s="57"/>
      <c r="S1002" s="57"/>
      <c r="T1002" s="57"/>
      <c r="U1002" s="57"/>
      <c r="V1002" s="57"/>
      <c r="W1002" s="57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</row>
    <row r="1003" spans="1:36" ht="11.25" customHeight="1" x14ac:dyDescent="0.2">
      <c r="A1003" s="53" t="s">
        <v>21</v>
      </c>
      <c r="B1003" s="53" t="s">
        <v>33</v>
      </c>
      <c r="C1003" s="53" t="s">
        <v>34</v>
      </c>
      <c r="D1003" s="53" t="s">
        <v>24</v>
      </c>
      <c r="E1003" s="53" t="s">
        <v>24</v>
      </c>
      <c r="F1003" s="53" t="s">
        <v>25</v>
      </c>
      <c r="G1003" s="53" t="s">
        <v>25</v>
      </c>
      <c r="H1003" s="53" t="s">
        <v>35</v>
      </c>
      <c r="I1003" s="73">
        <v>43770</v>
      </c>
      <c r="J1003" s="74">
        <f>EFEITO!$J$1003*EFEITO!$Y$1003</f>
        <v>0</v>
      </c>
      <c r="K1003" s="74">
        <f ca="1">EFEITO!$L$1003*EFEITO!$Z$1003</f>
        <v>10490.702901579363</v>
      </c>
      <c r="L1003" s="74">
        <f>EFEITO!$N$1003*EFEITO!$AA$1003</f>
        <v>5270.9559916987173</v>
      </c>
      <c r="M1003" s="74">
        <f>$J$1003-EFEITO!$K$1003*EFEITO!$Y$1003</f>
        <v>0</v>
      </c>
      <c r="N1003" s="74">
        <f ca="1">$K$1003-EFEITO!$M$1003*EFEITO!$Z$1003</f>
        <v>0</v>
      </c>
      <c r="O1003" s="74">
        <f>$L$1003-EFEITO!$O$1003*EFEITO!$AA$1003</f>
        <v>0</v>
      </c>
      <c r="P1003" s="57"/>
      <c r="Q1003" s="57"/>
      <c r="R1003" s="57"/>
      <c r="S1003" s="57"/>
      <c r="T1003" s="57"/>
      <c r="U1003" s="57"/>
      <c r="V1003" s="57"/>
      <c r="W1003" s="57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</row>
    <row r="1004" spans="1:36" ht="11.25" customHeight="1" x14ac:dyDescent="0.2">
      <c r="A1004" s="53" t="s">
        <v>27</v>
      </c>
      <c r="B1004" s="53" t="s">
        <v>33</v>
      </c>
      <c r="C1004" s="53" t="s">
        <v>34</v>
      </c>
      <c r="D1004" s="53" t="s">
        <v>24</v>
      </c>
      <c r="E1004" s="53" t="s">
        <v>24</v>
      </c>
      <c r="F1004" s="53" t="s">
        <v>25</v>
      </c>
      <c r="G1004" s="53" t="s">
        <v>25</v>
      </c>
      <c r="H1004" s="53" t="s">
        <v>35</v>
      </c>
      <c r="I1004" s="73">
        <v>43770</v>
      </c>
      <c r="J1004" s="74">
        <f>EFEITO!$J$1004*EFEITO!$Y$1004</f>
        <v>0</v>
      </c>
      <c r="K1004" s="74">
        <f ca="1">EFEITO!$L$1004*EFEITO!$Z$1004</f>
        <v>472.56765743393851</v>
      </c>
      <c r="L1004" s="74">
        <f>EFEITO!$N$1004*EFEITO!$AA$1004</f>
        <v>237.43721929818886</v>
      </c>
      <c r="M1004" s="74">
        <f>$J$1004-EFEITO!$K$1004*EFEITO!$Y$1004</f>
        <v>0</v>
      </c>
      <c r="N1004" s="74">
        <f ca="1">$K$1004-EFEITO!$M$1004*EFEITO!$Z$1004</f>
        <v>0</v>
      </c>
      <c r="O1004" s="74">
        <f>$L$1004-EFEITO!$O$1004*EFEITO!$AA$1004</f>
        <v>0</v>
      </c>
      <c r="P1004" s="57"/>
      <c r="Q1004" s="57"/>
      <c r="R1004" s="57"/>
      <c r="S1004" s="57"/>
      <c r="T1004" s="57"/>
      <c r="U1004" s="57"/>
      <c r="V1004" s="57"/>
      <c r="W1004" s="57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</row>
    <row r="1005" spans="1:36" ht="11.25" customHeight="1" x14ac:dyDescent="0.2">
      <c r="A1005" s="53" t="s">
        <v>28</v>
      </c>
      <c r="B1005" s="53" t="s">
        <v>33</v>
      </c>
      <c r="C1005" s="53" t="s">
        <v>34</v>
      </c>
      <c r="D1005" s="53" t="s">
        <v>24</v>
      </c>
      <c r="E1005" s="53" t="s">
        <v>24</v>
      </c>
      <c r="F1005" s="53" t="s">
        <v>25</v>
      </c>
      <c r="G1005" s="53" t="s">
        <v>25</v>
      </c>
      <c r="H1005" s="53" t="s">
        <v>35</v>
      </c>
      <c r="I1005" s="73">
        <v>43770</v>
      </c>
      <c r="J1005" s="74">
        <f>EFEITO!$J$1005*EFEITO!$Y$1005</f>
        <v>0</v>
      </c>
      <c r="K1005" s="74">
        <f ca="1">EFEITO!$L$1005*EFEITO!$Z$1005</f>
        <v>523.41354462619768</v>
      </c>
      <c r="L1005" s="74">
        <f>EFEITO!$N$1005*EFEITO!$AA$1005</f>
        <v>262.98426188090536</v>
      </c>
      <c r="M1005" s="74">
        <f>$J$1005-EFEITO!$K$1005*EFEITO!$Y$1005</f>
        <v>0</v>
      </c>
      <c r="N1005" s="74">
        <f ca="1">$K$1005-EFEITO!$M$1005*EFEITO!$Z$1005</f>
        <v>0</v>
      </c>
      <c r="O1005" s="74">
        <f>$L$1005-EFEITO!$O$1005*EFEITO!$AA$1005</f>
        <v>0</v>
      </c>
      <c r="P1005" s="57"/>
      <c r="Q1005" s="57"/>
      <c r="R1005" s="57"/>
      <c r="S1005" s="57"/>
      <c r="T1005" s="57"/>
      <c r="U1005" s="57"/>
      <c r="V1005" s="57"/>
      <c r="W1005" s="57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</row>
    <row r="1006" spans="1:36" ht="11.25" customHeight="1" x14ac:dyDescent="0.2">
      <c r="A1006" s="53" t="s">
        <v>21</v>
      </c>
      <c r="B1006" s="53" t="s">
        <v>33</v>
      </c>
      <c r="C1006" s="53" t="s">
        <v>34</v>
      </c>
      <c r="D1006" s="53" t="s">
        <v>24</v>
      </c>
      <c r="E1006" s="53" t="s">
        <v>24</v>
      </c>
      <c r="F1006" s="53" t="s">
        <v>25</v>
      </c>
      <c r="G1006" s="53" t="s">
        <v>25</v>
      </c>
      <c r="H1006" s="53" t="s">
        <v>35</v>
      </c>
      <c r="I1006" s="73">
        <v>43800</v>
      </c>
      <c r="J1006" s="74">
        <f>EFEITO!$J$1006*EFEITO!$Y$1006</f>
        <v>0</v>
      </c>
      <c r="K1006" s="74">
        <f ca="1">EFEITO!$L$1006*EFEITO!$Z$1006</f>
        <v>9529.1174467375204</v>
      </c>
      <c r="L1006" s="74">
        <f>EFEITO!$N$1006*EFEITO!$AA$1006</f>
        <v>4787.8163334432256</v>
      </c>
      <c r="M1006" s="74">
        <f>$J$1006-EFEITO!$K$1006*EFEITO!$Y$1006</f>
        <v>0</v>
      </c>
      <c r="N1006" s="74">
        <f ca="1">$K$1006-EFEITO!$M$1006*EFEITO!$Z$1006</f>
        <v>0</v>
      </c>
      <c r="O1006" s="74">
        <f>$L$1006-EFEITO!$O$1006*EFEITO!$AA$1006</f>
        <v>0</v>
      </c>
      <c r="P1006" s="57"/>
      <c r="Q1006" s="57"/>
      <c r="R1006" s="57"/>
      <c r="S1006" s="57"/>
      <c r="T1006" s="57"/>
      <c r="U1006" s="57"/>
      <c r="V1006" s="57"/>
      <c r="W1006" s="57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</row>
    <row r="1007" spans="1:36" ht="11.25" customHeight="1" x14ac:dyDescent="0.2">
      <c r="A1007" s="53" t="s">
        <v>27</v>
      </c>
      <c r="B1007" s="53" t="s">
        <v>33</v>
      </c>
      <c r="C1007" s="53" t="s">
        <v>34</v>
      </c>
      <c r="D1007" s="53" t="s">
        <v>24</v>
      </c>
      <c r="E1007" s="53" t="s">
        <v>24</v>
      </c>
      <c r="F1007" s="53" t="s">
        <v>25</v>
      </c>
      <c r="G1007" s="53" t="s">
        <v>25</v>
      </c>
      <c r="H1007" s="53" t="s">
        <v>35</v>
      </c>
      <c r="I1007" s="73">
        <v>43800</v>
      </c>
      <c r="J1007" s="74">
        <f>EFEITO!$J$1007*EFEITO!$Y$1007</f>
        <v>0</v>
      </c>
      <c r="K1007" s="74">
        <f ca="1">EFEITO!$L$1007*EFEITO!$Z$1007</f>
        <v>536.87275005944275</v>
      </c>
      <c r="L1007" s="74">
        <f>EFEITO!$N$1007*EFEITO!$AA$1007</f>
        <v>269.74671432927153</v>
      </c>
      <c r="M1007" s="74">
        <f>$J$1007-EFEITO!$K$1007*EFEITO!$Y$1007</f>
        <v>0</v>
      </c>
      <c r="N1007" s="74">
        <f ca="1">$K$1007-EFEITO!$M$1007*EFEITO!$Z$1007</f>
        <v>0</v>
      </c>
      <c r="O1007" s="74">
        <f>$L$1007-EFEITO!$O$1007*EFEITO!$AA$1007</f>
        <v>0</v>
      </c>
      <c r="P1007" s="57"/>
      <c r="Q1007" s="57"/>
      <c r="R1007" s="57"/>
      <c r="S1007" s="57"/>
      <c r="T1007" s="57"/>
      <c r="U1007" s="57"/>
      <c r="V1007" s="57"/>
      <c r="W1007" s="57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</row>
    <row r="1008" spans="1:36" ht="11.25" customHeight="1" x14ac:dyDescent="0.2">
      <c r="A1008" s="53" t="s">
        <v>28</v>
      </c>
      <c r="B1008" s="53" t="s">
        <v>33</v>
      </c>
      <c r="C1008" s="53" t="s">
        <v>34</v>
      </c>
      <c r="D1008" s="53" t="s">
        <v>24</v>
      </c>
      <c r="E1008" s="53" t="s">
        <v>24</v>
      </c>
      <c r="F1008" s="53" t="s">
        <v>25</v>
      </c>
      <c r="G1008" s="53" t="s">
        <v>25</v>
      </c>
      <c r="H1008" s="53" t="s">
        <v>35</v>
      </c>
      <c r="I1008" s="73">
        <v>43800</v>
      </c>
      <c r="J1008" s="74">
        <f>EFEITO!$J$1008*EFEITO!$Y$1008</f>
        <v>0</v>
      </c>
      <c r="K1008" s="74">
        <f ca="1">EFEITO!$L$1008*EFEITO!$Z$1008</f>
        <v>460.603919271054</v>
      </c>
      <c r="L1008" s="74">
        <f>EFEITO!$N$1008*EFEITO!$AA$1008</f>
        <v>231.42615045519673</v>
      </c>
      <c r="M1008" s="74">
        <f>$J$1008-EFEITO!$K$1008*EFEITO!$Y$1008</f>
        <v>0</v>
      </c>
      <c r="N1008" s="74">
        <f ca="1">$K$1008-EFEITO!$M$1008*EFEITO!$Z$1008</f>
        <v>0</v>
      </c>
      <c r="O1008" s="74">
        <f>$L$1008-EFEITO!$O$1008*EFEITO!$AA$1008</f>
        <v>0</v>
      </c>
      <c r="P1008" s="57"/>
      <c r="Q1008" s="57"/>
      <c r="R1008" s="57"/>
      <c r="S1008" s="57"/>
      <c r="T1008" s="57"/>
      <c r="U1008" s="57"/>
      <c r="V1008" s="57"/>
      <c r="W1008" s="57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</row>
    <row r="1009" spans="1:36" ht="11.25" customHeight="1" x14ac:dyDescent="0.2">
      <c r="A1009" s="53" t="s">
        <v>21</v>
      </c>
      <c r="B1009" s="53" t="s">
        <v>33</v>
      </c>
      <c r="C1009" s="53" t="s">
        <v>34</v>
      </c>
      <c r="D1009" s="53" t="s">
        <v>24</v>
      </c>
      <c r="E1009" s="53" t="s">
        <v>24</v>
      </c>
      <c r="F1009" s="53" t="s">
        <v>25</v>
      </c>
      <c r="G1009" s="53" t="s">
        <v>25</v>
      </c>
      <c r="H1009" s="53" t="s">
        <v>35</v>
      </c>
      <c r="I1009" s="73">
        <v>43831</v>
      </c>
      <c r="J1009" s="74">
        <f>EFEITO!$J$1009*EFEITO!$Y$1009</f>
        <v>0</v>
      </c>
      <c r="K1009" s="74">
        <f ca="1">EFEITO!$L$1009*EFEITO!$Z$1009</f>
        <v>8722.3128543779949</v>
      </c>
      <c r="L1009" s="74">
        <f>EFEITO!$N$1009*EFEITO!$AA$1009</f>
        <v>4382.4448783439439</v>
      </c>
      <c r="M1009" s="74">
        <f>$J$1009-EFEITO!$K$1009*EFEITO!$Y$1009</f>
        <v>0</v>
      </c>
      <c r="N1009" s="74">
        <f ca="1">$K$1009-EFEITO!$M$1009*EFEITO!$Z$1009</f>
        <v>0</v>
      </c>
      <c r="O1009" s="74">
        <f>$L$1009-EFEITO!$O$1009*EFEITO!$AA$1009</f>
        <v>0</v>
      </c>
      <c r="P1009" s="57"/>
      <c r="Q1009" s="57"/>
      <c r="R1009" s="57"/>
      <c r="S1009" s="57"/>
      <c r="T1009" s="57"/>
      <c r="U1009" s="57"/>
      <c r="V1009" s="57"/>
      <c r="W1009" s="57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</row>
    <row r="1010" spans="1:36" ht="11.25" customHeight="1" x14ac:dyDescent="0.2">
      <c r="A1010" s="53" t="s">
        <v>27</v>
      </c>
      <c r="B1010" s="53" t="s">
        <v>33</v>
      </c>
      <c r="C1010" s="53" t="s">
        <v>34</v>
      </c>
      <c r="D1010" s="53" t="s">
        <v>24</v>
      </c>
      <c r="E1010" s="53" t="s">
        <v>24</v>
      </c>
      <c r="F1010" s="53" t="s">
        <v>25</v>
      </c>
      <c r="G1010" s="53" t="s">
        <v>25</v>
      </c>
      <c r="H1010" s="53" t="s">
        <v>35</v>
      </c>
      <c r="I1010" s="73">
        <v>43831</v>
      </c>
      <c r="J1010" s="74">
        <f>EFEITO!$J$1010*EFEITO!$Y$1010</f>
        <v>0</v>
      </c>
      <c r="K1010" s="74">
        <f ca="1">EFEITO!$L$1010*EFEITO!$Z$1010</f>
        <v>492.75646558380618</v>
      </c>
      <c r="L1010" s="74">
        <f>EFEITO!$N$1010*EFEITO!$AA$1010</f>
        <v>247.58089797073808</v>
      </c>
      <c r="M1010" s="74">
        <f>$J$1010-EFEITO!$K$1010*EFEITO!$Y$1010</f>
        <v>0</v>
      </c>
      <c r="N1010" s="74">
        <f ca="1">$K$1010-EFEITO!$M$1010*EFEITO!$Z$1010</f>
        <v>0</v>
      </c>
      <c r="O1010" s="74">
        <f>$L$1010-EFEITO!$O$1010*EFEITO!$AA$1010</f>
        <v>0</v>
      </c>
      <c r="P1010" s="57"/>
      <c r="Q1010" s="57"/>
      <c r="R1010" s="57"/>
      <c r="S1010" s="57"/>
      <c r="T1010" s="57"/>
      <c r="U1010" s="57"/>
      <c r="V1010" s="57"/>
      <c r="W1010" s="57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</row>
    <row r="1011" spans="1:36" ht="11.25" customHeight="1" x14ac:dyDescent="0.2">
      <c r="A1011" s="53" t="s">
        <v>28</v>
      </c>
      <c r="B1011" s="53" t="s">
        <v>33</v>
      </c>
      <c r="C1011" s="53" t="s">
        <v>34</v>
      </c>
      <c r="D1011" s="53" t="s">
        <v>24</v>
      </c>
      <c r="E1011" s="53" t="s">
        <v>24</v>
      </c>
      <c r="F1011" s="53" t="s">
        <v>25</v>
      </c>
      <c r="G1011" s="53" t="s">
        <v>25</v>
      </c>
      <c r="H1011" s="53" t="s">
        <v>35</v>
      </c>
      <c r="I1011" s="73">
        <v>43831</v>
      </c>
      <c r="J1011" s="74">
        <f>EFEITO!$J$1011*EFEITO!$Y$1011</f>
        <v>0</v>
      </c>
      <c r="K1011" s="74">
        <f ca="1">EFEITO!$L$1011*EFEITO!$Z$1011</f>
        <v>189.92434333579175</v>
      </c>
      <c r="L1011" s="74">
        <f>EFEITO!$N$1011*EFEITO!$AA$1011</f>
        <v>95.425717882499953</v>
      </c>
      <c r="M1011" s="74">
        <f>$J$1011-EFEITO!$K$1011*EFEITO!$Y$1011</f>
        <v>0</v>
      </c>
      <c r="N1011" s="74">
        <f ca="1">$K$1011-EFEITO!$M$1011*EFEITO!$Z$1011</f>
        <v>0</v>
      </c>
      <c r="O1011" s="74">
        <f>$L$1011-EFEITO!$O$1011*EFEITO!$AA$1011</f>
        <v>0</v>
      </c>
      <c r="P1011" s="57"/>
      <c r="Q1011" s="57"/>
      <c r="R1011" s="57"/>
      <c r="S1011" s="57"/>
      <c r="T1011" s="57"/>
      <c r="U1011" s="57"/>
      <c r="V1011" s="57"/>
      <c r="W1011" s="57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</row>
    <row r="1012" spans="1:36" ht="11.25" customHeight="1" x14ac:dyDescent="0.2">
      <c r="A1012" s="53" t="s">
        <v>21</v>
      </c>
      <c r="B1012" s="53" t="s">
        <v>33</v>
      </c>
      <c r="C1012" s="53" t="s">
        <v>34</v>
      </c>
      <c r="D1012" s="53" t="s">
        <v>24</v>
      </c>
      <c r="E1012" s="53" t="s">
        <v>24</v>
      </c>
      <c r="F1012" s="53" t="s">
        <v>25</v>
      </c>
      <c r="G1012" s="53" t="s">
        <v>25</v>
      </c>
      <c r="H1012" s="53" t="s">
        <v>35</v>
      </c>
      <c r="I1012" s="73">
        <v>43862</v>
      </c>
      <c r="J1012" s="74">
        <f>EFEITO!$J$1012*EFEITO!$Y$1012</f>
        <v>0</v>
      </c>
      <c r="K1012" s="74">
        <f ca="1">EFEITO!$L$1012*EFEITO!$Z$1012</f>
        <v>8774.654208840615</v>
      </c>
      <c r="L1012" s="74">
        <f>EFEITO!$N$1012*EFEITO!$AA$1012</f>
        <v>4408.7433045320349</v>
      </c>
      <c r="M1012" s="74">
        <f>$J$1012-EFEITO!$K$1012*EFEITO!$Y$1012</f>
        <v>0</v>
      </c>
      <c r="N1012" s="74">
        <f ca="1">$K$1012-EFEITO!$M$1012*EFEITO!$Z$1012</f>
        <v>0</v>
      </c>
      <c r="O1012" s="74">
        <f>$L$1012-EFEITO!$O$1012*EFEITO!$AA$1012</f>
        <v>0</v>
      </c>
      <c r="P1012" s="57"/>
      <c r="Q1012" s="57"/>
      <c r="R1012" s="57"/>
      <c r="S1012" s="57"/>
      <c r="T1012" s="57"/>
      <c r="U1012" s="57"/>
      <c r="V1012" s="57"/>
      <c r="W1012" s="57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</row>
    <row r="1013" spans="1:36" ht="11.25" customHeight="1" x14ac:dyDescent="0.2">
      <c r="A1013" s="53" t="s">
        <v>27</v>
      </c>
      <c r="B1013" s="53" t="s">
        <v>33</v>
      </c>
      <c r="C1013" s="53" t="s">
        <v>34</v>
      </c>
      <c r="D1013" s="53" t="s">
        <v>24</v>
      </c>
      <c r="E1013" s="53" t="s">
        <v>24</v>
      </c>
      <c r="F1013" s="53" t="s">
        <v>25</v>
      </c>
      <c r="G1013" s="53" t="s">
        <v>25</v>
      </c>
      <c r="H1013" s="53" t="s">
        <v>35</v>
      </c>
      <c r="I1013" s="73">
        <v>43862</v>
      </c>
      <c r="J1013" s="74">
        <f>EFEITO!$J$1013*EFEITO!$Y$1013</f>
        <v>0</v>
      </c>
      <c r="K1013" s="74">
        <f ca="1">EFEITO!$L$1013*EFEITO!$Z$1013</f>
        <v>478.54952651538082</v>
      </c>
      <c r="L1013" s="74">
        <f>EFEITO!$N$1013*EFEITO!$AA$1013</f>
        <v>240.44275371968493</v>
      </c>
      <c r="M1013" s="74">
        <f>$J$1013-EFEITO!$K$1013*EFEITO!$Y$1013</f>
        <v>0</v>
      </c>
      <c r="N1013" s="74">
        <f ca="1">$K$1013-EFEITO!$M$1013*EFEITO!$Z$1013</f>
        <v>0</v>
      </c>
      <c r="O1013" s="74">
        <f>$L$1013-EFEITO!$O$1013*EFEITO!$AA$1013</f>
        <v>0</v>
      </c>
      <c r="P1013" s="57"/>
      <c r="Q1013" s="57"/>
      <c r="R1013" s="57"/>
      <c r="S1013" s="57"/>
      <c r="T1013" s="57"/>
      <c r="U1013" s="57"/>
      <c r="V1013" s="57"/>
      <c r="W1013" s="57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</row>
    <row r="1014" spans="1:36" ht="11.25" customHeight="1" x14ac:dyDescent="0.2">
      <c r="A1014" s="53" t="s">
        <v>28</v>
      </c>
      <c r="B1014" s="53" t="s">
        <v>33</v>
      </c>
      <c r="C1014" s="53" t="s">
        <v>34</v>
      </c>
      <c r="D1014" s="53" t="s">
        <v>24</v>
      </c>
      <c r="E1014" s="53" t="s">
        <v>24</v>
      </c>
      <c r="F1014" s="53" t="s">
        <v>25</v>
      </c>
      <c r="G1014" s="53" t="s">
        <v>25</v>
      </c>
      <c r="H1014" s="53" t="s">
        <v>35</v>
      </c>
      <c r="I1014" s="73">
        <v>43862</v>
      </c>
      <c r="J1014" s="74">
        <f>EFEITO!$J$1014*EFEITO!$Y$1014</f>
        <v>0</v>
      </c>
      <c r="K1014" s="74">
        <f ca="1">EFEITO!$L$1014*EFEITO!$Z$1014</f>
        <v>325.26413130342286</v>
      </c>
      <c r="L1014" s="74">
        <f>EFEITO!$N$1014*EFEITO!$AA$1014</f>
        <v>163.42593416884833</v>
      </c>
      <c r="M1014" s="74">
        <f>$J$1014-EFEITO!$K$1014*EFEITO!$Y$1014</f>
        <v>0</v>
      </c>
      <c r="N1014" s="74">
        <f ca="1">$K$1014-EFEITO!$M$1014*EFEITO!$Z$1014</f>
        <v>0</v>
      </c>
      <c r="O1014" s="74">
        <f>$L$1014-EFEITO!$O$1014*EFEITO!$AA$1014</f>
        <v>0</v>
      </c>
      <c r="P1014" s="57"/>
      <c r="Q1014" s="57"/>
      <c r="R1014" s="57"/>
      <c r="S1014" s="57"/>
      <c r="T1014" s="57"/>
      <c r="U1014" s="57"/>
      <c r="V1014" s="57"/>
      <c r="W1014" s="57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</row>
    <row r="1015" spans="1:36" ht="11.25" customHeight="1" x14ac:dyDescent="0.2">
      <c r="A1015" s="53" t="s">
        <v>21</v>
      </c>
      <c r="B1015" s="53" t="s">
        <v>33</v>
      </c>
      <c r="C1015" s="53" t="s">
        <v>34</v>
      </c>
      <c r="D1015" s="53" t="s">
        <v>24</v>
      </c>
      <c r="E1015" s="53" t="s">
        <v>24</v>
      </c>
      <c r="F1015" s="53" t="s">
        <v>25</v>
      </c>
      <c r="G1015" s="53" t="s">
        <v>25</v>
      </c>
      <c r="H1015" s="53" t="s">
        <v>35</v>
      </c>
      <c r="I1015" s="73">
        <v>43891</v>
      </c>
      <c r="J1015" s="74">
        <f>EFEITO!$J$1015*EFEITO!$Y$1015</f>
        <v>0</v>
      </c>
      <c r="K1015" s="74">
        <f ca="1">EFEITO!$L$1015*EFEITO!$Z$1015</f>
        <v>8184.6923706833713</v>
      </c>
      <c r="L1015" s="74">
        <f>EFEITO!$N$1015*EFEITO!$AA$1015</f>
        <v>4112.3224722119858</v>
      </c>
      <c r="M1015" s="74">
        <f>$J$1015-EFEITO!$K$1015*EFEITO!$Y$1015</f>
        <v>0</v>
      </c>
      <c r="N1015" s="74">
        <f ca="1">$K$1015-EFEITO!$M$1015*EFEITO!$Z$1015</f>
        <v>0</v>
      </c>
      <c r="O1015" s="74">
        <f>$L$1015-EFEITO!$O$1015*EFEITO!$AA$1015</f>
        <v>0</v>
      </c>
      <c r="P1015" s="57"/>
      <c r="Q1015" s="57"/>
      <c r="R1015" s="57"/>
      <c r="S1015" s="57"/>
      <c r="T1015" s="57"/>
      <c r="U1015" s="57"/>
      <c r="V1015" s="57"/>
      <c r="W1015" s="57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</row>
    <row r="1016" spans="1:36" ht="11.25" customHeight="1" x14ac:dyDescent="0.2">
      <c r="A1016" s="53" t="s">
        <v>27</v>
      </c>
      <c r="B1016" s="53" t="s">
        <v>33</v>
      </c>
      <c r="C1016" s="53" t="s">
        <v>34</v>
      </c>
      <c r="D1016" s="53" t="s">
        <v>24</v>
      </c>
      <c r="E1016" s="53" t="s">
        <v>24</v>
      </c>
      <c r="F1016" s="53" t="s">
        <v>25</v>
      </c>
      <c r="G1016" s="53" t="s">
        <v>25</v>
      </c>
      <c r="H1016" s="53" t="s">
        <v>35</v>
      </c>
      <c r="I1016" s="73">
        <v>43891</v>
      </c>
      <c r="J1016" s="74">
        <f>EFEITO!$J$1016*EFEITO!$Y$1016</f>
        <v>0</v>
      </c>
      <c r="K1016" s="74">
        <f ca="1">EFEITO!$L$1016*EFEITO!$Z$1016</f>
        <v>428.45137295830182</v>
      </c>
      <c r="L1016" s="74">
        <f>EFEITO!$N$1016*EFEITO!$AA$1016</f>
        <v>215.27140293965539</v>
      </c>
      <c r="M1016" s="74">
        <f>$J$1016-EFEITO!$K$1016*EFEITO!$Y$1016</f>
        <v>0</v>
      </c>
      <c r="N1016" s="74">
        <f ca="1">$K$1016-EFEITO!$M$1016*EFEITO!$Z$1016</f>
        <v>0</v>
      </c>
      <c r="O1016" s="74">
        <f>$L$1016-EFEITO!$O$1016*EFEITO!$AA$1016</f>
        <v>0</v>
      </c>
      <c r="P1016" s="57"/>
      <c r="Q1016" s="57"/>
      <c r="R1016" s="57"/>
      <c r="S1016" s="57"/>
      <c r="T1016" s="57"/>
      <c r="U1016" s="57"/>
      <c r="V1016" s="57"/>
      <c r="W1016" s="57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</row>
    <row r="1017" spans="1:36" ht="11.25" customHeight="1" x14ac:dyDescent="0.2">
      <c r="A1017" s="53" t="s">
        <v>28</v>
      </c>
      <c r="B1017" s="53" t="s">
        <v>33</v>
      </c>
      <c r="C1017" s="53" t="s">
        <v>34</v>
      </c>
      <c r="D1017" s="53" t="s">
        <v>24</v>
      </c>
      <c r="E1017" s="53" t="s">
        <v>24</v>
      </c>
      <c r="F1017" s="53" t="s">
        <v>25</v>
      </c>
      <c r="G1017" s="53" t="s">
        <v>25</v>
      </c>
      <c r="H1017" s="53" t="s">
        <v>35</v>
      </c>
      <c r="I1017" s="73">
        <v>43891</v>
      </c>
      <c r="J1017" s="74">
        <f>EFEITO!$J$1017*EFEITO!$Y$1017</f>
        <v>0</v>
      </c>
      <c r="K1017" s="74">
        <f ca="1">EFEITO!$L$1017*EFEITO!$Z$1017</f>
        <v>278.1569122870651</v>
      </c>
      <c r="L1017" s="74">
        <f>EFEITO!$N$1017*EFEITO!$AA$1017</f>
        <v>139.75735059956685</v>
      </c>
      <c r="M1017" s="74">
        <f>$J$1017-EFEITO!$K$1017*EFEITO!$Y$1017</f>
        <v>0</v>
      </c>
      <c r="N1017" s="74">
        <f ca="1">$K$1017-EFEITO!$M$1017*EFEITO!$Z$1017</f>
        <v>0</v>
      </c>
      <c r="O1017" s="74">
        <f>$L$1017-EFEITO!$O$1017*EFEITO!$AA$1017</f>
        <v>0</v>
      </c>
      <c r="P1017" s="57"/>
      <c r="Q1017" s="57"/>
      <c r="R1017" s="57"/>
      <c r="S1017" s="57"/>
      <c r="T1017" s="57"/>
      <c r="U1017" s="57"/>
      <c r="V1017" s="57"/>
      <c r="W1017" s="57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</row>
    <row r="1018" spans="1:36" ht="11.25" customHeight="1" x14ac:dyDescent="0.2">
      <c r="A1018" s="53" t="s">
        <v>21</v>
      </c>
      <c r="B1018" s="53" t="s">
        <v>33</v>
      </c>
      <c r="C1018" s="53" t="s">
        <v>34</v>
      </c>
      <c r="D1018" s="53" t="s">
        <v>24</v>
      </c>
      <c r="E1018" s="53" t="s">
        <v>24</v>
      </c>
      <c r="F1018" s="53" t="s">
        <v>25</v>
      </c>
      <c r="G1018" s="53" t="s">
        <v>25</v>
      </c>
      <c r="H1018" s="53" t="s">
        <v>35</v>
      </c>
      <c r="I1018" s="73">
        <v>43922</v>
      </c>
      <c r="J1018" s="74">
        <f>EFEITO!$J$1018*EFEITO!$Y$1018</f>
        <v>0</v>
      </c>
      <c r="K1018" s="74">
        <f ca="1">EFEITO!$L$1018*EFEITO!$Z$1018</f>
        <v>9471.5419568286379</v>
      </c>
      <c r="L1018" s="74">
        <f>EFEITO!$N$1018*EFEITO!$AA$1018</f>
        <v>4758.8880646363259</v>
      </c>
      <c r="M1018" s="74">
        <f>$J$1018-EFEITO!$K$1018*EFEITO!$Y$1018</f>
        <v>0</v>
      </c>
      <c r="N1018" s="74">
        <f ca="1">$K$1018-EFEITO!$M$1018*EFEITO!$Z$1018</f>
        <v>0</v>
      </c>
      <c r="O1018" s="74">
        <f>$L$1018-EFEITO!$O$1018*EFEITO!$AA$1018</f>
        <v>0</v>
      </c>
      <c r="P1018" s="57"/>
      <c r="Q1018" s="57"/>
      <c r="R1018" s="57"/>
      <c r="S1018" s="57"/>
      <c r="T1018" s="57"/>
      <c r="U1018" s="57"/>
      <c r="V1018" s="57"/>
      <c r="W1018" s="57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</row>
    <row r="1019" spans="1:36" ht="11.25" customHeight="1" x14ac:dyDescent="0.2">
      <c r="A1019" s="53" t="s">
        <v>27</v>
      </c>
      <c r="B1019" s="53" t="s">
        <v>33</v>
      </c>
      <c r="C1019" s="53" t="s">
        <v>34</v>
      </c>
      <c r="D1019" s="53" t="s">
        <v>24</v>
      </c>
      <c r="E1019" s="53" t="s">
        <v>24</v>
      </c>
      <c r="F1019" s="53" t="s">
        <v>25</v>
      </c>
      <c r="G1019" s="53" t="s">
        <v>25</v>
      </c>
      <c r="H1019" s="53" t="s">
        <v>35</v>
      </c>
      <c r="I1019" s="73">
        <v>43922</v>
      </c>
      <c r="J1019" s="74">
        <f>EFEITO!$J$1019*EFEITO!$Y$1019</f>
        <v>0</v>
      </c>
      <c r="K1019" s="74">
        <f ca="1">EFEITO!$L$1019*EFEITO!$Z$1019</f>
        <v>439.66737748600605</v>
      </c>
      <c r="L1019" s="74">
        <f>EFEITO!$N$1019*EFEITO!$AA$1019</f>
        <v>220.9067799799605</v>
      </c>
      <c r="M1019" s="74">
        <f>$J$1019-EFEITO!$K$1019*EFEITO!$Y$1019</f>
        <v>0</v>
      </c>
      <c r="N1019" s="74">
        <f ca="1">$K$1019-EFEITO!$M$1019*EFEITO!$Z$1019</f>
        <v>0</v>
      </c>
      <c r="O1019" s="74">
        <f>$L$1019-EFEITO!$O$1019*EFEITO!$AA$1019</f>
        <v>0</v>
      </c>
      <c r="P1019" s="57"/>
      <c r="Q1019" s="57"/>
      <c r="R1019" s="57"/>
      <c r="S1019" s="57"/>
      <c r="T1019" s="57"/>
      <c r="U1019" s="57"/>
      <c r="V1019" s="57"/>
      <c r="W1019" s="57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</row>
    <row r="1020" spans="1:36" ht="11.25" customHeight="1" x14ac:dyDescent="0.2">
      <c r="A1020" s="53" t="s">
        <v>28</v>
      </c>
      <c r="B1020" s="53" t="s">
        <v>33</v>
      </c>
      <c r="C1020" s="53" t="s">
        <v>34</v>
      </c>
      <c r="D1020" s="53" t="s">
        <v>24</v>
      </c>
      <c r="E1020" s="53" t="s">
        <v>24</v>
      </c>
      <c r="F1020" s="53" t="s">
        <v>25</v>
      </c>
      <c r="G1020" s="53" t="s">
        <v>25</v>
      </c>
      <c r="H1020" s="53" t="s">
        <v>35</v>
      </c>
      <c r="I1020" s="73">
        <v>43922</v>
      </c>
      <c r="J1020" s="74">
        <f>EFEITO!$J$1020*EFEITO!$Y$1020</f>
        <v>0</v>
      </c>
      <c r="K1020" s="74">
        <f ca="1">EFEITO!$L$1020*EFEITO!$Z$1020</f>
        <v>963.828655747384</v>
      </c>
      <c r="L1020" s="74">
        <f>EFEITO!$N$1020*EFEITO!$AA$1020</f>
        <v>484.26673366355288</v>
      </c>
      <c r="M1020" s="74">
        <f>$J$1020-EFEITO!$K$1020*EFEITO!$Y$1020</f>
        <v>0</v>
      </c>
      <c r="N1020" s="74">
        <f ca="1">$K$1020-EFEITO!$M$1020*EFEITO!$Z$1020</f>
        <v>0</v>
      </c>
      <c r="O1020" s="74">
        <f>$L$1020-EFEITO!$O$1020*EFEITO!$AA$1020</f>
        <v>0</v>
      </c>
      <c r="P1020" s="57"/>
      <c r="Q1020" s="57"/>
      <c r="R1020" s="57"/>
      <c r="S1020" s="57"/>
      <c r="T1020" s="57"/>
      <c r="U1020" s="57"/>
      <c r="V1020" s="57"/>
      <c r="W1020" s="57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</row>
    <row r="1021" spans="1:36" ht="11.25" customHeight="1" x14ac:dyDescent="0.2">
      <c r="A1021" s="53" t="s">
        <v>21</v>
      </c>
      <c r="B1021" s="53" t="s">
        <v>33</v>
      </c>
      <c r="C1021" s="53" t="s">
        <v>34</v>
      </c>
      <c r="D1021" s="53" t="s">
        <v>24</v>
      </c>
      <c r="E1021" s="53" t="s">
        <v>24</v>
      </c>
      <c r="F1021" s="53" t="s">
        <v>25</v>
      </c>
      <c r="G1021" s="53" t="s">
        <v>25</v>
      </c>
      <c r="H1021" s="53" t="s">
        <v>35</v>
      </c>
      <c r="I1021" s="73">
        <v>43952</v>
      </c>
      <c r="J1021" s="74">
        <f>EFEITO!$J$1021*EFEITO!$Y$1021</f>
        <v>0</v>
      </c>
      <c r="K1021" s="74">
        <f ca="1">EFEITO!$L$1021*EFEITO!$Z$1021</f>
        <v>7544.6323789690505</v>
      </c>
      <c r="L1021" s="74">
        <f>EFEITO!$N$1021*EFEITO!$AA$1021</f>
        <v>3790.7302891119075</v>
      </c>
      <c r="M1021" s="74">
        <f>$J$1021-EFEITO!$K$1021*EFEITO!$Y$1021</f>
        <v>0</v>
      </c>
      <c r="N1021" s="74">
        <f ca="1">$K$1021-EFEITO!$M$1021*EFEITO!$Z$1021</f>
        <v>0</v>
      </c>
      <c r="O1021" s="74">
        <f>$L$1021-EFEITO!$O$1021*EFEITO!$AA$1021</f>
        <v>0</v>
      </c>
      <c r="P1021" s="57"/>
      <c r="Q1021" s="57"/>
      <c r="R1021" s="57"/>
      <c r="S1021" s="57"/>
      <c r="T1021" s="57"/>
      <c r="U1021" s="57"/>
      <c r="V1021" s="57"/>
      <c r="W1021" s="57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</row>
    <row r="1022" spans="1:36" ht="11.25" customHeight="1" x14ac:dyDescent="0.2">
      <c r="A1022" s="53" t="s">
        <v>27</v>
      </c>
      <c r="B1022" s="53" t="s">
        <v>33</v>
      </c>
      <c r="C1022" s="53" t="s">
        <v>34</v>
      </c>
      <c r="D1022" s="53" t="s">
        <v>24</v>
      </c>
      <c r="E1022" s="53" t="s">
        <v>24</v>
      </c>
      <c r="F1022" s="53" t="s">
        <v>25</v>
      </c>
      <c r="G1022" s="53" t="s">
        <v>25</v>
      </c>
      <c r="H1022" s="53" t="s">
        <v>35</v>
      </c>
      <c r="I1022" s="73">
        <v>43952</v>
      </c>
      <c r="J1022" s="74">
        <f>EFEITO!$J$1022*EFEITO!$Y$1022</f>
        <v>0</v>
      </c>
      <c r="K1022" s="74">
        <f ca="1">EFEITO!$L$1022*EFEITO!$Z$1022</f>
        <v>534.62954915390196</v>
      </c>
      <c r="L1022" s="74">
        <f>EFEITO!$N$1022*EFEITO!$AA$1022</f>
        <v>268.61963892121048</v>
      </c>
      <c r="M1022" s="74">
        <f>$J$1022-EFEITO!$K$1022*EFEITO!$Y$1022</f>
        <v>0</v>
      </c>
      <c r="N1022" s="74">
        <f ca="1">$K$1022-EFEITO!$M$1022*EFEITO!$Z$1022</f>
        <v>0</v>
      </c>
      <c r="O1022" s="74">
        <f>$L$1022-EFEITO!$O$1022*EFEITO!$AA$1022</f>
        <v>0</v>
      </c>
      <c r="P1022" s="57"/>
      <c r="Q1022" s="57"/>
      <c r="R1022" s="57"/>
      <c r="S1022" s="57"/>
      <c r="T1022" s="57"/>
      <c r="U1022" s="57"/>
      <c r="V1022" s="57"/>
      <c r="W1022" s="57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</row>
    <row r="1023" spans="1:36" ht="11.25" customHeight="1" x14ac:dyDescent="0.2">
      <c r="A1023" s="53" t="s">
        <v>28</v>
      </c>
      <c r="B1023" s="53" t="s">
        <v>33</v>
      </c>
      <c r="C1023" s="53" t="s">
        <v>34</v>
      </c>
      <c r="D1023" s="53" t="s">
        <v>24</v>
      </c>
      <c r="E1023" s="53" t="s">
        <v>24</v>
      </c>
      <c r="F1023" s="53" t="s">
        <v>25</v>
      </c>
      <c r="G1023" s="53" t="s">
        <v>25</v>
      </c>
      <c r="H1023" s="53" t="s">
        <v>35</v>
      </c>
      <c r="I1023" s="73">
        <v>43952</v>
      </c>
      <c r="J1023" s="74">
        <f>EFEITO!$J$1023*EFEITO!$Y$1023</f>
        <v>0</v>
      </c>
      <c r="K1023" s="74">
        <f ca="1">EFEITO!$L$1023*EFEITO!$Z$1023</f>
        <v>551.07968912786816</v>
      </c>
      <c r="L1023" s="74">
        <f>EFEITO!$N$1023*EFEITO!$AA$1023</f>
        <v>276.88485858032465</v>
      </c>
      <c r="M1023" s="74">
        <f>$J$1023-EFEITO!$K$1023*EFEITO!$Y$1023</f>
        <v>0</v>
      </c>
      <c r="N1023" s="74">
        <f ca="1">$K$1023-EFEITO!$M$1023*EFEITO!$Z$1023</f>
        <v>0</v>
      </c>
      <c r="O1023" s="74">
        <f>$L$1023-EFEITO!$O$1023*EFEITO!$AA$1023</f>
        <v>0</v>
      </c>
      <c r="P1023" s="57"/>
      <c r="Q1023" s="57"/>
      <c r="R1023" s="57"/>
      <c r="S1023" s="57"/>
      <c r="T1023" s="57"/>
      <c r="U1023" s="57"/>
      <c r="V1023" s="57"/>
      <c r="W1023" s="57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</row>
    <row r="1024" spans="1:36" ht="11.25" customHeight="1" x14ac:dyDescent="0.2">
      <c r="A1024" s="53" t="s">
        <v>21</v>
      </c>
      <c r="B1024" s="53" t="s">
        <v>33</v>
      </c>
      <c r="C1024" s="53" t="s">
        <v>34</v>
      </c>
      <c r="D1024" s="53" t="s">
        <v>24</v>
      </c>
      <c r="E1024" s="53" t="s">
        <v>24</v>
      </c>
      <c r="F1024" s="53" t="s">
        <v>25</v>
      </c>
      <c r="G1024" s="53" t="s">
        <v>25</v>
      </c>
      <c r="H1024" s="53" t="s">
        <v>35</v>
      </c>
      <c r="I1024" s="73">
        <v>43983</v>
      </c>
      <c r="J1024" s="74">
        <f>EFEITO!$J$1024*EFEITO!$Y$1024</f>
        <v>0</v>
      </c>
      <c r="K1024" s="74">
        <f ca="1">EFEITO!$L$1024*EFEITO!$Z$1024</f>
        <v>9465.560087747197</v>
      </c>
      <c r="L1024" s="74">
        <f>EFEITO!$N$1024*EFEITO!$AA$1024</f>
        <v>4755.8825302148307</v>
      </c>
      <c r="M1024" s="74">
        <f>$J$1024-EFEITO!$K$1024*EFEITO!$Y$1024</f>
        <v>0</v>
      </c>
      <c r="N1024" s="74">
        <f ca="1">$K$1024-EFEITO!$M$1024*EFEITO!$Z$1024</f>
        <v>0</v>
      </c>
      <c r="O1024" s="74">
        <f>$L$1024-EFEITO!$O$1024*EFEITO!$AA$1024</f>
        <v>0</v>
      </c>
      <c r="P1024" s="57"/>
      <c r="Q1024" s="57"/>
      <c r="R1024" s="57"/>
      <c r="S1024" s="57"/>
      <c r="T1024" s="57"/>
      <c r="U1024" s="57"/>
      <c r="V1024" s="57"/>
      <c r="W1024" s="57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</row>
    <row r="1025" spans="1:36" ht="11.25" customHeight="1" x14ac:dyDescent="0.2">
      <c r="A1025" s="53" t="s">
        <v>27</v>
      </c>
      <c r="B1025" s="53" t="s">
        <v>33</v>
      </c>
      <c r="C1025" s="53" t="s">
        <v>34</v>
      </c>
      <c r="D1025" s="53" t="s">
        <v>24</v>
      </c>
      <c r="E1025" s="53" t="s">
        <v>24</v>
      </c>
      <c r="F1025" s="53" t="s">
        <v>25</v>
      </c>
      <c r="G1025" s="53" t="s">
        <v>25</v>
      </c>
      <c r="H1025" s="53" t="s">
        <v>35</v>
      </c>
      <c r="I1025" s="73">
        <v>43983</v>
      </c>
      <c r="J1025" s="74">
        <f>EFEITO!$J$1025*EFEITO!$Y$1025</f>
        <v>0</v>
      </c>
      <c r="K1025" s="74">
        <f ca="1">EFEITO!$L$1025*EFEITO!$Z$1025</f>
        <v>385.08282211784547</v>
      </c>
      <c r="L1025" s="74">
        <f>EFEITO!$N$1025*EFEITO!$AA$1025</f>
        <v>193.48127838380896</v>
      </c>
      <c r="M1025" s="74">
        <f>$J$1025-EFEITO!$K$1025*EFEITO!$Y$1025</f>
        <v>0</v>
      </c>
      <c r="N1025" s="74">
        <f ca="1">$K$1025-EFEITO!$M$1025*EFEITO!$Z$1025</f>
        <v>0</v>
      </c>
      <c r="O1025" s="74">
        <f>$L$1025-EFEITO!$O$1025*EFEITO!$AA$1025</f>
        <v>0</v>
      </c>
      <c r="P1025" s="57"/>
      <c r="Q1025" s="57"/>
      <c r="R1025" s="57"/>
      <c r="S1025" s="57"/>
      <c r="T1025" s="57"/>
      <c r="U1025" s="57"/>
      <c r="V1025" s="57"/>
      <c r="W1025" s="57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</row>
    <row r="1026" spans="1:36" ht="11.25" customHeight="1" x14ac:dyDescent="0.2">
      <c r="A1026" s="53" t="s">
        <v>28</v>
      </c>
      <c r="B1026" s="53" t="s">
        <v>33</v>
      </c>
      <c r="C1026" s="53" t="s">
        <v>34</v>
      </c>
      <c r="D1026" s="53" t="s">
        <v>24</v>
      </c>
      <c r="E1026" s="53" t="s">
        <v>24</v>
      </c>
      <c r="F1026" s="53" t="s">
        <v>25</v>
      </c>
      <c r="G1026" s="53" t="s">
        <v>25</v>
      </c>
      <c r="H1026" s="53" t="s">
        <v>35</v>
      </c>
      <c r="I1026" s="73">
        <v>43983</v>
      </c>
      <c r="J1026" s="74">
        <f>EFEITO!$J$1026*EFEITO!$Y$1026</f>
        <v>0</v>
      </c>
      <c r="K1026" s="74">
        <f ca="1">EFEITO!$L$1026*EFEITO!$Z$1026</f>
        <v>763.43604151906834</v>
      </c>
      <c r="L1026" s="74">
        <f>EFEITO!$N$1026*EFEITO!$AA$1026</f>
        <v>383.58133054343483</v>
      </c>
      <c r="M1026" s="74">
        <f>$J$1026-EFEITO!$K$1026*EFEITO!$Y$1026</f>
        <v>0</v>
      </c>
      <c r="N1026" s="74">
        <f ca="1">$K$1026-EFEITO!$M$1026*EFEITO!$Z$1026</f>
        <v>0</v>
      </c>
      <c r="O1026" s="74">
        <f>$L$1026-EFEITO!$O$1026*EFEITO!$AA$1026</f>
        <v>0</v>
      </c>
      <c r="P1026" s="57"/>
      <c r="Q1026" s="57"/>
      <c r="R1026" s="57"/>
      <c r="S1026" s="57"/>
      <c r="T1026" s="57"/>
      <c r="U1026" s="57"/>
      <c r="V1026" s="57"/>
      <c r="W1026" s="57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</row>
    <row r="1027" spans="1:36" ht="11.25" customHeight="1" x14ac:dyDescent="0.2">
      <c r="A1027" s="53" t="s">
        <v>21</v>
      </c>
      <c r="B1027" s="53" t="s">
        <v>33</v>
      </c>
      <c r="C1027" s="53" t="s">
        <v>34</v>
      </c>
      <c r="D1027" s="53" t="s">
        <v>24</v>
      </c>
      <c r="E1027" s="53" t="s">
        <v>24</v>
      </c>
      <c r="F1027" s="53" t="s">
        <v>25</v>
      </c>
      <c r="G1027" s="53" t="s">
        <v>25</v>
      </c>
      <c r="H1027" s="53" t="s">
        <v>35</v>
      </c>
      <c r="I1027" s="73">
        <v>44013</v>
      </c>
      <c r="J1027" s="74">
        <f>EFEITO!$J$1027*EFEITO!$Y$1027</f>
        <v>0</v>
      </c>
      <c r="K1027" s="74">
        <f ca="1">EFEITO!$L$1027*EFEITO!$Z$1027</f>
        <v>8730.5379243649786</v>
      </c>
      <c r="L1027" s="74">
        <f>EFEITO!$N$1027*EFEITO!$AA$1027</f>
        <v>4386.5774881735015</v>
      </c>
      <c r="M1027" s="74">
        <f>$J$1027-EFEITO!$K$1027*EFEITO!$Y$1027</f>
        <v>0</v>
      </c>
      <c r="N1027" s="74">
        <f ca="1">$K$1027-EFEITO!$M$1027*EFEITO!$Z$1027</f>
        <v>0</v>
      </c>
      <c r="O1027" s="74">
        <f>$L$1027-EFEITO!$O$1027*EFEITO!$AA$1027</f>
        <v>0</v>
      </c>
      <c r="P1027" s="57"/>
      <c r="Q1027" s="57"/>
      <c r="R1027" s="57"/>
      <c r="S1027" s="57"/>
      <c r="T1027" s="57"/>
      <c r="U1027" s="57"/>
      <c r="V1027" s="57"/>
      <c r="W1027" s="57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</row>
    <row r="1028" spans="1:36" ht="11.25" customHeight="1" x14ac:dyDescent="0.2">
      <c r="A1028" s="53" t="s">
        <v>27</v>
      </c>
      <c r="B1028" s="53" t="s">
        <v>33</v>
      </c>
      <c r="C1028" s="53" t="s">
        <v>34</v>
      </c>
      <c r="D1028" s="53" t="s">
        <v>24</v>
      </c>
      <c r="E1028" s="53" t="s">
        <v>24</v>
      </c>
      <c r="F1028" s="53" t="s">
        <v>25</v>
      </c>
      <c r="G1028" s="53" t="s">
        <v>25</v>
      </c>
      <c r="H1028" s="53" t="s">
        <v>35</v>
      </c>
      <c r="I1028" s="73">
        <v>44013</v>
      </c>
      <c r="J1028" s="74">
        <f>EFEITO!$J$1028*EFEITO!$Y$1028</f>
        <v>0</v>
      </c>
      <c r="K1028" s="74">
        <f ca="1">EFEITO!$L$1028*EFEITO!$Z$1028</f>
        <v>459.85618563587371</v>
      </c>
      <c r="L1028" s="74">
        <f>EFEITO!$N$1028*EFEITO!$AA$1028</f>
        <v>231.05045865250972</v>
      </c>
      <c r="M1028" s="74">
        <f>$J$1028-EFEITO!$K$1028*EFEITO!$Y$1028</f>
        <v>0</v>
      </c>
      <c r="N1028" s="74">
        <f ca="1">$K$1028-EFEITO!$M$1028*EFEITO!$Z$1028</f>
        <v>0</v>
      </c>
      <c r="O1028" s="74">
        <f>$L$1028-EFEITO!$O$1028*EFEITO!$AA$1028</f>
        <v>0</v>
      </c>
      <c r="P1028" s="57"/>
      <c r="Q1028" s="57"/>
      <c r="R1028" s="57"/>
      <c r="S1028" s="57"/>
      <c r="T1028" s="57"/>
      <c r="U1028" s="57"/>
      <c r="V1028" s="57"/>
      <c r="W1028" s="57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</row>
    <row r="1029" spans="1:36" ht="11.25" customHeight="1" x14ac:dyDescent="0.2">
      <c r="A1029" s="53" t="s">
        <v>28</v>
      </c>
      <c r="B1029" s="53" t="s">
        <v>33</v>
      </c>
      <c r="C1029" s="53" t="s">
        <v>34</v>
      </c>
      <c r="D1029" s="53" t="s">
        <v>24</v>
      </c>
      <c r="E1029" s="53" t="s">
        <v>24</v>
      </c>
      <c r="F1029" s="53" t="s">
        <v>25</v>
      </c>
      <c r="G1029" s="53" t="s">
        <v>25</v>
      </c>
      <c r="H1029" s="53" t="s">
        <v>35</v>
      </c>
      <c r="I1029" s="73">
        <v>44013</v>
      </c>
      <c r="J1029" s="74">
        <f>EFEITO!$J$1029*EFEITO!$Y$1029</f>
        <v>0</v>
      </c>
      <c r="K1029" s="74">
        <f ca="1">EFEITO!$L$1029*EFEITO!$Z$1029</f>
        <v>849.42540956480082</v>
      </c>
      <c r="L1029" s="74">
        <f>EFEITO!$N$1029*EFEITO!$AA$1029</f>
        <v>426.78588785244068</v>
      </c>
      <c r="M1029" s="74">
        <f>$J$1029-EFEITO!$K$1029*EFEITO!$Y$1029</f>
        <v>0</v>
      </c>
      <c r="N1029" s="74">
        <f ca="1">$K$1029-EFEITO!$M$1029*EFEITO!$Z$1029</f>
        <v>0</v>
      </c>
      <c r="O1029" s="74">
        <f>$L$1029-EFEITO!$O$1029*EFEITO!$AA$1029</f>
        <v>0</v>
      </c>
      <c r="P1029" s="57"/>
      <c r="Q1029" s="57"/>
      <c r="R1029" s="57"/>
      <c r="S1029" s="57"/>
      <c r="T1029" s="57"/>
      <c r="U1029" s="57"/>
      <c r="V1029" s="57"/>
      <c r="W1029" s="57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</row>
    <row r="1030" spans="1:36" ht="11.25" customHeight="1" x14ac:dyDescent="0.2">
      <c r="A1030" s="53" t="s">
        <v>21</v>
      </c>
      <c r="B1030" s="53" t="s">
        <v>33</v>
      </c>
      <c r="C1030" s="53" t="s">
        <v>34</v>
      </c>
      <c r="D1030" s="53" t="s">
        <v>24</v>
      </c>
      <c r="E1030" s="53" t="s">
        <v>24</v>
      </c>
      <c r="F1030" s="53" t="s">
        <v>25</v>
      </c>
      <c r="G1030" s="53" t="s">
        <v>25</v>
      </c>
      <c r="H1030" s="53" t="s">
        <v>35</v>
      </c>
      <c r="I1030" s="73">
        <v>44044</v>
      </c>
      <c r="J1030" s="74">
        <f>EFEITO!$J$1030*EFEITO!$Y$1030</f>
        <v>0</v>
      </c>
      <c r="K1030" s="74">
        <f ca="1">EFEITO!$L$1030*EFEITO!$Z$1030</f>
        <v>9305.5450898186155</v>
      </c>
      <c r="L1030" s="74">
        <f>EFEITO!$N$1030*EFEITO!$AA$1030</f>
        <v>4675.4844844398103</v>
      </c>
      <c r="M1030" s="74">
        <f>$J$1030-EFEITO!$K$1030*EFEITO!$Y$1030</f>
        <v>0</v>
      </c>
      <c r="N1030" s="74">
        <f ca="1">$K$1030-EFEITO!$M$1030*EFEITO!$Z$1030</f>
        <v>0</v>
      </c>
      <c r="O1030" s="74">
        <f>$L$1030-EFEITO!$O$1030*EFEITO!$AA$1030</f>
        <v>0</v>
      </c>
      <c r="P1030" s="57"/>
      <c r="Q1030" s="57"/>
      <c r="R1030" s="57"/>
      <c r="S1030" s="57"/>
      <c r="T1030" s="57"/>
      <c r="U1030" s="57"/>
      <c r="V1030" s="57"/>
      <c r="W1030" s="57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</row>
    <row r="1031" spans="1:36" ht="11.25" customHeight="1" x14ac:dyDescent="0.2">
      <c r="A1031" s="53" t="s">
        <v>28</v>
      </c>
      <c r="B1031" s="53" t="s">
        <v>33</v>
      </c>
      <c r="C1031" s="53" t="s">
        <v>34</v>
      </c>
      <c r="D1031" s="53" t="s">
        <v>24</v>
      </c>
      <c r="E1031" s="53" t="s">
        <v>24</v>
      </c>
      <c r="F1031" s="53" t="s">
        <v>25</v>
      </c>
      <c r="G1031" s="53" t="s">
        <v>25</v>
      </c>
      <c r="H1031" s="53" t="s">
        <v>35</v>
      </c>
      <c r="I1031" s="73">
        <v>44044</v>
      </c>
      <c r="J1031" s="74">
        <f>EFEITO!$J$1031*EFEITO!$Y$1031</f>
        <v>0</v>
      </c>
      <c r="K1031" s="74">
        <f ca="1">EFEITO!$L$1031*EFEITO!$Z$1031</f>
        <v>706.60828524536691</v>
      </c>
      <c r="L1031" s="74">
        <f>EFEITO!$N$1031*EFEITO!$AA$1031</f>
        <v>355.02875353922224</v>
      </c>
      <c r="M1031" s="74">
        <f>$J$1031-EFEITO!$K$1031*EFEITO!$Y$1031</f>
        <v>0</v>
      </c>
      <c r="N1031" s="74">
        <f ca="1">$K$1031-EFEITO!$M$1031*EFEITO!$Z$1031</f>
        <v>0</v>
      </c>
      <c r="O1031" s="74">
        <f>$L$1031-EFEITO!$O$1031*EFEITO!$AA$1031</f>
        <v>0</v>
      </c>
      <c r="P1031" s="57"/>
      <c r="Q1031" s="57"/>
      <c r="R1031" s="57"/>
      <c r="S1031" s="57"/>
      <c r="T1031" s="57"/>
      <c r="U1031" s="57"/>
      <c r="V1031" s="57"/>
      <c r="W1031" s="57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</row>
    <row r="1032" spans="1:36" ht="11.25" customHeight="1" x14ac:dyDescent="0.2">
      <c r="A1032" s="53" t="s">
        <v>59</v>
      </c>
      <c r="B1032" s="53" t="s">
        <v>33</v>
      </c>
      <c r="C1032" s="53" t="s">
        <v>34</v>
      </c>
      <c r="D1032" s="53" t="s">
        <v>24</v>
      </c>
      <c r="E1032" s="53" t="s">
        <v>24</v>
      </c>
      <c r="F1032" s="53" t="s">
        <v>25</v>
      </c>
      <c r="G1032" s="53" t="s">
        <v>25</v>
      </c>
      <c r="H1032" s="53" t="s">
        <v>35</v>
      </c>
      <c r="I1032" s="73">
        <v>44075</v>
      </c>
      <c r="J1032" s="74">
        <f>EFEITO!$J$1032*EFEITO!$Y$1032</f>
        <v>0</v>
      </c>
      <c r="K1032" s="74">
        <f ca="1">EFEITO!$L$1032*EFEITO!$Z$1032</f>
        <v>9305.5450898186155</v>
      </c>
      <c r="L1032" s="74">
        <f>EFEITO!$N$1032*EFEITO!$AA$1032</f>
        <v>4675.4844844398103</v>
      </c>
      <c r="M1032" s="74">
        <f>$J$1032-EFEITO!$K$1032*EFEITO!$Y$1032</f>
        <v>0</v>
      </c>
      <c r="N1032" s="74">
        <f ca="1">$K$1032-EFEITO!$M$1032*EFEITO!$Z$1032</f>
        <v>0</v>
      </c>
      <c r="O1032" s="74">
        <f>$L$1032-EFEITO!$O$1032*EFEITO!$AA$1032</f>
        <v>0</v>
      </c>
      <c r="P1032" s="57"/>
      <c r="Q1032" s="57"/>
      <c r="R1032" s="57"/>
      <c r="S1032" s="57"/>
      <c r="T1032" s="57"/>
      <c r="U1032" s="57"/>
      <c r="V1032" s="57"/>
      <c r="W1032" s="57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</row>
    <row r="1033" spans="1:36" ht="11.25" customHeight="1" x14ac:dyDescent="0.2">
      <c r="A1033" s="53" t="s">
        <v>59</v>
      </c>
      <c r="B1033" s="53" t="s">
        <v>33</v>
      </c>
      <c r="C1033" s="53" t="s">
        <v>34</v>
      </c>
      <c r="D1033" s="53" t="s">
        <v>24</v>
      </c>
      <c r="E1033" s="53" t="s">
        <v>24</v>
      </c>
      <c r="F1033" s="53" t="s">
        <v>25</v>
      </c>
      <c r="G1033" s="53" t="s">
        <v>25</v>
      </c>
      <c r="H1033" s="53" t="s">
        <v>35</v>
      </c>
      <c r="I1033" s="73">
        <v>44075</v>
      </c>
      <c r="J1033" s="74">
        <f>EFEITO!$J$1033*EFEITO!$Y$1033</f>
        <v>0</v>
      </c>
      <c r="K1033" s="74">
        <f ca="1">EFEITO!$L$1033*EFEITO!$Z$1033</f>
        <v>706.60828524536691</v>
      </c>
      <c r="L1033" s="74">
        <f>EFEITO!$N$1033*EFEITO!$AA$1033</f>
        <v>355.02875353922224</v>
      </c>
      <c r="M1033" s="74">
        <f>$J$1033-EFEITO!$K$1033*EFEITO!$Y$1033</f>
        <v>0</v>
      </c>
      <c r="N1033" s="74">
        <f ca="1">$K$1033-EFEITO!$M$1033*EFEITO!$Z$1033</f>
        <v>0</v>
      </c>
      <c r="O1033" s="74">
        <f>$L$1033-EFEITO!$O$1033*EFEITO!$AA$1033</f>
        <v>0</v>
      </c>
      <c r="P1033" s="57"/>
      <c r="Q1033" s="57"/>
      <c r="R1033" s="57"/>
      <c r="S1033" s="57"/>
      <c r="T1033" s="57"/>
      <c r="U1033" s="57"/>
      <c r="V1033" s="57"/>
      <c r="W1033" s="57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</row>
    <row r="1034" spans="1:36" ht="11.25" customHeight="1" x14ac:dyDescent="0.2">
      <c r="A1034" s="53" t="s">
        <v>21</v>
      </c>
      <c r="B1034" s="53" t="s">
        <v>33</v>
      </c>
      <c r="C1034" s="53" t="s">
        <v>34</v>
      </c>
      <c r="D1034" s="53" t="s">
        <v>47</v>
      </c>
      <c r="E1034" s="53" t="s">
        <v>55</v>
      </c>
      <c r="F1034" s="53" t="s">
        <v>57</v>
      </c>
      <c r="G1034" s="53" t="s">
        <v>25</v>
      </c>
      <c r="H1034" s="53" t="s">
        <v>36</v>
      </c>
      <c r="I1034" s="73">
        <v>43739</v>
      </c>
      <c r="J1034" s="74">
        <f>EFEITO!$J$1034*EFEITO!$Y$966</f>
        <v>0</v>
      </c>
      <c r="K1034" s="74">
        <f ca="1">EFEITO!$L$1034*EFEITO!$Z$966</f>
        <v>59561.126746730151</v>
      </c>
      <c r="L1034" s="74">
        <f>EFEITO!$N$1034*EFEITO!$AA$966</f>
        <v>157093.75954510627</v>
      </c>
      <c r="M1034" s="74">
        <f>$J$1034-EFEITO!$K$1034*EFEITO!$Y$1034</f>
        <v>0</v>
      </c>
      <c r="N1034" s="74">
        <f ca="1">$K$1034-EFEITO!$M$1034*EFEITO!$Z$1034</f>
        <v>47648.901397384121</v>
      </c>
      <c r="O1034" s="74">
        <f>$L$1034-EFEITO!$O$1034*EFEITO!$AA$1034</f>
        <v>125675.00763608501</v>
      </c>
      <c r="P1034" s="57"/>
      <c r="Q1034" s="57"/>
      <c r="R1034" s="57"/>
      <c r="S1034" s="57"/>
      <c r="T1034" s="57"/>
      <c r="U1034" s="57"/>
      <c r="V1034" s="57"/>
      <c r="W1034" s="57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</row>
    <row r="1035" spans="1:36" ht="11.25" customHeight="1" x14ac:dyDescent="0.2">
      <c r="A1035" s="53" t="s">
        <v>27</v>
      </c>
      <c r="B1035" s="53" t="s">
        <v>33</v>
      </c>
      <c r="C1035" s="53" t="s">
        <v>34</v>
      </c>
      <c r="D1035" s="53" t="s">
        <v>47</v>
      </c>
      <c r="E1035" s="53" t="s">
        <v>55</v>
      </c>
      <c r="F1035" s="53" t="s">
        <v>57</v>
      </c>
      <c r="G1035" s="53" t="s">
        <v>25</v>
      </c>
      <c r="H1035" s="53" t="s">
        <v>36</v>
      </c>
      <c r="I1035" s="73">
        <v>43739</v>
      </c>
      <c r="J1035" s="74">
        <f>EFEITO!$J$1035*EFEITO!$Y$966</f>
        <v>0</v>
      </c>
      <c r="K1035" s="74">
        <f ca="1">EFEITO!$L$1035*EFEITO!$Z$966</f>
        <v>46.122703755689223</v>
      </c>
      <c r="L1035" s="74">
        <f>EFEITO!$N$1035*EFEITO!$AA$966</f>
        <v>121.64962835872122</v>
      </c>
      <c r="M1035" s="74">
        <f>$J$1035-EFEITO!$K$1035*EFEITO!$Y$1035</f>
        <v>0</v>
      </c>
      <c r="N1035" s="74">
        <f ca="1">$K$1035-EFEITO!$M$1035*EFEITO!$Z$1035</f>
        <v>36.898163004551378</v>
      </c>
      <c r="O1035" s="74">
        <f>$L$1035-EFEITO!$O$1035*EFEITO!$AA$1035</f>
        <v>97.319702686976967</v>
      </c>
      <c r="P1035" s="57"/>
      <c r="Q1035" s="57"/>
      <c r="R1035" s="57"/>
      <c r="S1035" s="57"/>
      <c r="T1035" s="57"/>
      <c r="U1035" s="57"/>
      <c r="V1035" s="57"/>
      <c r="W1035" s="57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</row>
    <row r="1036" spans="1:36" ht="11.25" customHeight="1" x14ac:dyDescent="0.2">
      <c r="A1036" s="53" t="s">
        <v>21</v>
      </c>
      <c r="B1036" s="53" t="s">
        <v>33</v>
      </c>
      <c r="C1036" s="53" t="s">
        <v>34</v>
      </c>
      <c r="D1036" s="53" t="s">
        <v>47</v>
      </c>
      <c r="E1036" s="53" t="s">
        <v>55</v>
      </c>
      <c r="F1036" s="53" t="s">
        <v>57</v>
      </c>
      <c r="G1036" s="53" t="s">
        <v>25</v>
      </c>
      <c r="H1036" s="53" t="s">
        <v>36</v>
      </c>
      <c r="I1036" s="73">
        <v>43770</v>
      </c>
      <c r="J1036" s="74">
        <f>EFEITO!$J$1036*EFEITO!$Y$966</f>
        <v>0</v>
      </c>
      <c r="K1036" s="74">
        <f ca="1">EFEITO!$L$1036*EFEITO!$Z$966</f>
        <v>73931.105826529252</v>
      </c>
      <c r="L1036" s="74">
        <f>EFEITO!$N$1036*EFEITO!$AA$966</f>
        <v>194994.89005644433</v>
      </c>
      <c r="M1036" s="74">
        <f>$J$1036-EFEITO!$K$1036*EFEITO!$Y$1036</f>
        <v>0</v>
      </c>
      <c r="N1036" s="74">
        <f ca="1">$K$1036-EFEITO!$M$1036*EFEITO!$Z$1036</f>
        <v>59144.884661223405</v>
      </c>
      <c r="O1036" s="74">
        <f>$L$1036-EFEITO!$O$1036*EFEITO!$AA$1036</f>
        <v>155995.91204515548</v>
      </c>
      <c r="P1036" s="57"/>
      <c r="Q1036" s="57"/>
      <c r="R1036" s="57"/>
      <c r="S1036" s="57"/>
      <c r="T1036" s="57"/>
      <c r="U1036" s="57"/>
      <c r="V1036" s="57"/>
      <c r="W1036" s="57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</row>
    <row r="1037" spans="1:36" ht="11.25" customHeight="1" x14ac:dyDescent="0.2">
      <c r="A1037" s="53" t="s">
        <v>27</v>
      </c>
      <c r="B1037" s="53" t="s">
        <v>33</v>
      </c>
      <c r="C1037" s="53" t="s">
        <v>34</v>
      </c>
      <c r="D1037" s="53" t="s">
        <v>47</v>
      </c>
      <c r="E1037" s="53" t="s">
        <v>55</v>
      </c>
      <c r="F1037" s="53" t="s">
        <v>57</v>
      </c>
      <c r="G1037" s="53" t="s">
        <v>25</v>
      </c>
      <c r="H1037" s="53" t="s">
        <v>36</v>
      </c>
      <c r="I1037" s="73">
        <v>43770</v>
      </c>
      <c r="J1037" s="74">
        <f>EFEITO!$J$1037*EFEITO!$Y$966</f>
        <v>0</v>
      </c>
      <c r="K1037" s="74">
        <f ca="1">EFEITO!$L$1037*EFEITO!$Z$966</f>
        <v>956.49910691826847</v>
      </c>
      <c r="L1037" s="74">
        <f>EFEITO!$N$1037*EFEITO!$AA$966</f>
        <v>2522.7870746346571</v>
      </c>
      <c r="M1037" s="74">
        <f>$J$1037-EFEITO!$K$1037*EFEITO!$Y$1037</f>
        <v>0</v>
      </c>
      <c r="N1037" s="74">
        <f ca="1">$K$1037-EFEITO!$M$1037*EFEITO!$Z$1037</f>
        <v>765.19928553461477</v>
      </c>
      <c r="O1037" s="74">
        <f>$L$1037-EFEITO!$O$1037*EFEITO!$AA$1037</f>
        <v>2018.2296597077257</v>
      </c>
      <c r="P1037" s="57"/>
      <c r="Q1037" s="57"/>
      <c r="R1037" s="57"/>
      <c r="S1037" s="57"/>
      <c r="T1037" s="57"/>
      <c r="U1037" s="57"/>
      <c r="V1037" s="57"/>
      <c r="W1037" s="57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</row>
    <row r="1038" spans="1:36" ht="11.25" customHeight="1" x14ac:dyDescent="0.2">
      <c r="A1038" s="53" t="s">
        <v>21</v>
      </c>
      <c r="B1038" s="53" t="s">
        <v>33</v>
      </c>
      <c r="C1038" s="53" t="s">
        <v>34</v>
      </c>
      <c r="D1038" s="53" t="s">
        <v>47</v>
      </c>
      <c r="E1038" s="53" t="s">
        <v>55</v>
      </c>
      <c r="F1038" s="53" t="s">
        <v>57</v>
      </c>
      <c r="G1038" s="53" t="s">
        <v>25</v>
      </c>
      <c r="H1038" s="53" t="s">
        <v>36</v>
      </c>
      <c r="I1038" s="73">
        <v>43800</v>
      </c>
      <c r="J1038" s="74">
        <f>EFEITO!$J$1038*EFEITO!$Y$966</f>
        <v>0</v>
      </c>
      <c r="K1038" s="74">
        <f ca="1">EFEITO!$L$1038*EFEITO!$Z$966</f>
        <v>16586.319402207206</v>
      </c>
      <c r="L1038" s="74">
        <f>EFEITO!$N$1038*EFEITO!$AA$966</f>
        <v>43746.776030420129</v>
      </c>
      <c r="M1038" s="74">
        <f>$J$1038-EFEITO!$K$1038*EFEITO!$Y$1038</f>
        <v>0</v>
      </c>
      <c r="N1038" s="74">
        <f ca="1">$K$1038-EFEITO!$M$1038*EFEITO!$Z$1038</f>
        <v>13269.055521765764</v>
      </c>
      <c r="O1038" s="74">
        <f>$L$1038-EFEITO!$O$1038*EFEITO!$AA$1038</f>
        <v>34997.420824336106</v>
      </c>
      <c r="P1038" s="57"/>
      <c r="Q1038" s="57"/>
      <c r="R1038" s="57"/>
      <c r="S1038" s="57"/>
      <c r="T1038" s="57"/>
      <c r="U1038" s="57"/>
      <c r="V1038" s="57"/>
      <c r="W1038" s="57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</row>
    <row r="1039" spans="1:36" ht="11.25" customHeight="1" x14ac:dyDescent="0.2">
      <c r="A1039" s="53" t="s">
        <v>27</v>
      </c>
      <c r="B1039" s="53" t="s">
        <v>33</v>
      </c>
      <c r="C1039" s="53" t="s">
        <v>34</v>
      </c>
      <c r="D1039" s="53" t="s">
        <v>47</v>
      </c>
      <c r="E1039" s="53" t="s">
        <v>55</v>
      </c>
      <c r="F1039" s="53" t="s">
        <v>57</v>
      </c>
      <c r="G1039" s="53" t="s">
        <v>25</v>
      </c>
      <c r="H1039" s="53" t="s">
        <v>36</v>
      </c>
      <c r="I1039" s="73">
        <v>43800</v>
      </c>
      <c r="J1039" s="74">
        <f>EFEITO!$J$1039*EFEITO!$Y$966</f>
        <v>0</v>
      </c>
      <c r="K1039" s="74">
        <f ca="1">EFEITO!$L$1039*EFEITO!$Z$966</f>
        <v>77.542154701215651</v>
      </c>
      <c r="L1039" s="74">
        <f>EFEITO!$N$1039*EFEITO!$AA$966</f>
        <v>204.51910953667362</v>
      </c>
      <c r="M1039" s="74">
        <f>$J$1039-EFEITO!$K$1039*EFEITO!$Y$1039</f>
        <v>0</v>
      </c>
      <c r="N1039" s="74">
        <f ca="1">$K$1039-EFEITO!$M$1039*EFEITO!$Z$1039</f>
        <v>62.033723760972521</v>
      </c>
      <c r="O1039" s="74">
        <f>$L$1039-EFEITO!$O$1039*EFEITO!$AA$1039</f>
        <v>163.61528762933889</v>
      </c>
      <c r="P1039" s="57"/>
      <c r="Q1039" s="57"/>
      <c r="R1039" s="57"/>
      <c r="S1039" s="57"/>
      <c r="T1039" s="57"/>
      <c r="U1039" s="57"/>
      <c r="V1039" s="57"/>
      <c r="W1039" s="57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</row>
    <row r="1040" spans="1:36" ht="11.25" customHeight="1" x14ac:dyDescent="0.2">
      <c r="A1040" s="53" t="s">
        <v>21</v>
      </c>
      <c r="B1040" s="53" t="s">
        <v>33</v>
      </c>
      <c r="C1040" s="53" t="s">
        <v>34</v>
      </c>
      <c r="D1040" s="53" t="s">
        <v>47</v>
      </c>
      <c r="E1040" s="53" t="s">
        <v>55</v>
      </c>
      <c r="F1040" s="53" t="s">
        <v>57</v>
      </c>
      <c r="G1040" s="53" t="s">
        <v>25</v>
      </c>
      <c r="H1040" s="53" t="s">
        <v>36</v>
      </c>
      <c r="I1040" s="73">
        <v>43831</v>
      </c>
      <c r="J1040" s="74">
        <f>EFEITO!$J$1040*EFEITO!$Y$966</f>
        <v>0</v>
      </c>
      <c r="K1040" s="74">
        <f ca="1">EFEITO!$L$1040*EFEITO!$Z$966</f>
        <v>20940.232621254698</v>
      </c>
      <c r="L1040" s="74">
        <f>EFEITO!$N$1040*EFEITO!$AA$966</f>
        <v>55230.316280115891</v>
      </c>
      <c r="M1040" s="74">
        <f>$J$1040-EFEITO!$K$1040*EFEITO!$Y$1040</f>
        <v>0</v>
      </c>
      <c r="N1040" s="74">
        <f ca="1">$K$1040-EFEITO!$M$1040*EFEITO!$Z$1040</f>
        <v>16752.18609700376</v>
      </c>
      <c r="O1040" s="74">
        <f>$L$1040-EFEITO!$O$1040*EFEITO!$AA$1040</f>
        <v>44184.253024092715</v>
      </c>
      <c r="P1040" s="57"/>
      <c r="Q1040" s="57"/>
      <c r="R1040" s="57"/>
      <c r="S1040" s="57"/>
      <c r="T1040" s="57"/>
      <c r="U1040" s="57"/>
      <c r="V1040" s="57"/>
      <c r="W1040" s="57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</row>
    <row r="1041" spans="1:36" ht="11.25" customHeight="1" x14ac:dyDescent="0.2">
      <c r="A1041" s="53" t="s">
        <v>27</v>
      </c>
      <c r="B1041" s="53" t="s">
        <v>33</v>
      </c>
      <c r="C1041" s="53" t="s">
        <v>34</v>
      </c>
      <c r="D1041" s="53" t="s">
        <v>47</v>
      </c>
      <c r="E1041" s="53" t="s">
        <v>55</v>
      </c>
      <c r="F1041" s="53" t="s">
        <v>57</v>
      </c>
      <c r="G1041" s="53" t="s">
        <v>25</v>
      </c>
      <c r="H1041" s="53" t="s">
        <v>36</v>
      </c>
      <c r="I1041" s="73">
        <v>43831</v>
      </c>
      <c r="J1041" s="74">
        <f>EFEITO!$J$1041*EFEITO!$Y$966</f>
        <v>0</v>
      </c>
      <c r="K1041" s="74">
        <f ca="1">EFEITO!$L$1041*EFEITO!$Z$966</f>
        <v>362.68023598401544</v>
      </c>
      <c r="L1041" s="74">
        <f>EFEITO!$N$1041*EFEITO!$AA$966</f>
        <v>956.57696379229742</v>
      </c>
      <c r="M1041" s="74">
        <f>$J$1041-EFEITO!$K$1041*EFEITO!$Y$1041</f>
        <v>0</v>
      </c>
      <c r="N1041" s="74">
        <f ca="1">$K$1041-EFEITO!$M$1041*EFEITO!$Z$1041</f>
        <v>290.14418878721233</v>
      </c>
      <c r="O1041" s="74">
        <f>$L$1041-EFEITO!$O$1041*EFEITO!$AA$1041</f>
        <v>765.26157103383798</v>
      </c>
      <c r="P1041" s="57"/>
      <c r="Q1041" s="57"/>
      <c r="R1041" s="57"/>
      <c r="S1041" s="57"/>
      <c r="T1041" s="57"/>
      <c r="U1041" s="57"/>
      <c r="V1041" s="57"/>
      <c r="W1041" s="57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</row>
    <row r="1042" spans="1:36" ht="11.25" customHeight="1" x14ac:dyDescent="0.2">
      <c r="A1042" s="53" t="s">
        <v>21</v>
      </c>
      <c r="B1042" s="53" t="s">
        <v>33</v>
      </c>
      <c r="C1042" s="53" t="s">
        <v>34</v>
      </c>
      <c r="D1042" s="53" t="s">
        <v>47</v>
      </c>
      <c r="E1042" s="53" t="s">
        <v>55</v>
      </c>
      <c r="F1042" s="53" t="s">
        <v>57</v>
      </c>
      <c r="G1042" s="53" t="s">
        <v>25</v>
      </c>
      <c r="H1042" s="53" t="s">
        <v>36</v>
      </c>
      <c r="I1042" s="73">
        <v>43862</v>
      </c>
      <c r="J1042" s="74">
        <f>EFEITO!$J$1042*EFEITO!$Y$966</f>
        <v>0</v>
      </c>
      <c r="K1042" s="74">
        <f ca="1">EFEITO!$L$1042*EFEITO!$Z$966</f>
        <v>12931.248288452274</v>
      </c>
      <c r="L1042" s="74">
        <f>EFEITO!$N$1042*EFEITO!$AA$966</f>
        <v>34106.44694285794</v>
      </c>
      <c r="M1042" s="74">
        <f>$J$1042-EFEITO!$K$1042*EFEITO!$Y$1042</f>
        <v>0</v>
      </c>
      <c r="N1042" s="74">
        <f ca="1">$K$1042-EFEITO!$M$1042*EFEITO!$Z$1042</f>
        <v>10344.99863076182</v>
      </c>
      <c r="O1042" s="74">
        <f>$L$1042-EFEITO!$O$1042*EFEITO!$AA$1042</f>
        <v>27285.15755428635</v>
      </c>
      <c r="P1042" s="57"/>
      <c r="Q1042" s="57"/>
      <c r="R1042" s="57"/>
      <c r="S1042" s="57"/>
      <c r="T1042" s="57"/>
      <c r="U1042" s="57"/>
      <c r="V1042" s="57"/>
      <c r="W1042" s="57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</row>
    <row r="1043" spans="1:36" ht="11.25" customHeight="1" x14ac:dyDescent="0.2">
      <c r="A1043" s="53" t="s">
        <v>27</v>
      </c>
      <c r="B1043" s="53" t="s">
        <v>33</v>
      </c>
      <c r="C1043" s="53" t="s">
        <v>34</v>
      </c>
      <c r="D1043" s="53" t="s">
        <v>47</v>
      </c>
      <c r="E1043" s="53" t="s">
        <v>55</v>
      </c>
      <c r="F1043" s="53" t="s">
        <v>57</v>
      </c>
      <c r="G1043" s="53" t="s">
        <v>25</v>
      </c>
      <c r="H1043" s="53" t="s">
        <v>36</v>
      </c>
      <c r="I1043" s="73">
        <v>43862</v>
      </c>
      <c r="J1043" s="74">
        <f>EFEITO!$J$1043*EFEITO!$Y$966</f>
        <v>0</v>
      </c>
      <c r="K1043" s="74">
        <f ca="1">EFEITO!$L$1043*EFEITO!$Z$966</f>
        <v>1397.596691223152</v>
      </c>
      <c r="L1043" s="74">
        <f>EFEITO!$N$1043*EFEITO!$AA$966</f>
        <v>3686.1914900577212</v>
      </c>
      <c r="M1043" s="74">
        <f>$J$1043-EFEITO!$K$1043*EFEITO!$Y$1043</f>
        <v>0</v>
      </c>
      <c r="N1043" s="74">
        <f ca="1">$K$1043-EFEITO!$M$1043*EFEITO!$Z$1043</f>
        <v>1118.0773529785215</v>
      </c>
      <c r="O1043" s="74">
        <f>$L$1043-EFEITO!$O$1043*EFEITO!$AA$1043</f>
        <v>2948.9531920461768</v>
      </c>
      <c r="P1043" s="57"/>
      <c r="Q1043" s="57"/>
      <c r="R1043" s="57"/>
      <c r="S1043" s="57"/>
      <c r="T1043" s="57"/>
      <c r="U1043" s="57"/>
      <c r="V1043" s="57"/>
      <c r="W1043" s="57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</row>
    <row r="1044" spans="1:36" ht="11.25" customHeight="1" x14ac:dyDescent="0.2">
      <c r="A1044" s="53" t="s">
        <v>21</v>
      </c>
      <c r="B1044" s="53" t="s">
        <v>33</v>
      </c>
      <c r="C1044" s="53" t="s">
        <v>34</v>
      </c>
      <c r="D1044" s="53" t="s">
        <v>47</v>
      </c>
      <c r="E1044" s="53" t="s">
        <v>55</v>
      </c>
      <c r="F1044" s="53" t="s">
        <v>57</v>
      </c>
      <c r="G1044" s="53" t="s">
        <v>25</v>
      </c>
      <c r="H1044" s="53" t="s">
        <v>36</v>
      </c>
      <c r="I1044" s="73">
        <v>43891</v>
      </c>
      <c r="J1044" s="74">
        <f>EFEITO!$J$1044*EFEITO!$Y$966</f>
        <v>0</v>
      </c>
      <c r="K1044" s="74">
        <f ca="1">EFEITO!$L$1044*EFEITO!$Z$966</f>
        <v>5931.0996410233456</v>
      </c>
      <c r="L1044" s="74">
        <f>EFEITO!$N$1044*EFEITO!$AA$966</f>
        <v>15643.40353746144</v>
      </c>
      <c r="M1044" s="74">
        <f>$J$1044-EFEITO!$K$1044*EFEITO!$Y$1044</f>
        <v>0</v>
      </c>
      <c r="N1044" s="74">
        <f ca="1">$K$1044-EFEITO!$M$1044*EFEITO!$Z$1044</f>
        <v>4744.8797128186761</v>
      </c>
      <c r="O1044" s="74">
        <f>$L$1044-EFEITO!$O$1044*EFEITO!$AA$1044</f>
        <v>12514.722829969152</v>
      </c>
      <c r="P1044" s="57"/>
      <c r="Q1044" s="57"/>
      <c r="R1044" s="57"/>
      <c r="S1044" s="57"/>
      <c r="T1044" s="57"/>
      <c r="U1044" s="57"/>
      <c r="V1044" s="57"/>
      <c r="W1044" s="57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</row>
    <row r="1045" spans="1:36" ht="11.25" customHeight="1" x14ac:dyDescent="0.2">
      <c r="A1045" s="53" t="s">
        <v>27</v>
      </c>
      <c r="B1045" s="53" t="s">
        <v>33</v>
      </c>
      <c r="C1045" s="53" t="s">
        <v>34</v>
      </c>
      <c r="D1045" s="53" t="s">
        <v>47</v>
      </c>
      <c r="E1045" s="53" t="s">
        <v>55</v>
      </c>
      <c r="F1045" s="53" t="s">
        <v>57</v>
      </c>
      <c r="G1045" s="53" t="s">
        <v>25</v>
      </c>
      <c r="H1045" s="53" t="s">
        <v>36</v>
      </c>
      <c r="I1045" s="73">
        <v>43891</v>
      </c>
      <c r="J1045" s="74">
        <f>EFEITO!$J$1045*EFEITO!$Y$966</f>
        <v>0</v>
      </c>
      <c r="K1045" s="74">
        <f ca="1">EFEITO!$L$1045*EFEITO!$Z$966</f>
        <v>1240.4994364955198</v>
      </c>
      <c r="L1045" s="74">
        <f>EFEITO!$N$1045*EFEITO!$AA$966</f>
        <v>3271.844084167959</v>
      </c>
      <c r="M1045" s="74">
        <f>$J$1045-EFEITO!$K$1045*EFEITO!$Y$1045</f>
        <v>0</v>
      </c>
      <c r="N1045" s="74">
        <f ca="1">$K$1045-EFEITO!$M$1045*EFEITO!$Z$1045</f>
        <v>992.39954919641582</v>
      </c>
      <c r="O1045" s="74">
        <f>$L$1045-EFEITO!$O$1045*EFEITO!$AA$1045</f>
        <v>2617.4752673343673</v>
      </c>
      <c r="P1045" s="57"/>
      <c r="Q1045" s="57"/>
      <c r="R1045" s="57"/>
      <c r="S1045" s="57"/>
      <c r="T1045" s="57"/>
      <c r="U1045" s="57"/>
      <c r="V1045" s="57"/>
      <c r="W1045" s="57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</row>
    <row r="1046" spans="1:36" ht="11.25" customHeight="1" x14ac:dyDescent="0.2">
      <c r="A1046" s="53" t="s">
        <v>21</v>
      </c>
      <c r="B1046" s="53" t="s">
        <v>33</v>
      </c>
      <c r="C1046" s="53" t="s">
        <v>34</v>
      </c>
      <c r="D1046" s="53" t="s">
        <v>47</v>
      </c>
      <c r="E1046" s="53" t="s">
        <v>55</v>
      </c>
      <c r="F1046" s="53" t="s">
        <v>57</v>
      </c>
      <c r="G1046" s="53" t="s">
        <v>25</v>
      </c>
      <c r="H1046" s="53" t="s">
        <v>36</v>
      </c>
      <c r="I1046" s="73">
        <v>43922</v>
      </c>
      <c r="J1046" s="74">
        <f>EFEITO!$J$1046*EFEITO!$Y$966</f>
        <v>0</v>
      </c>
      <c r="K1046" s="74">
        <f ca="1">EFEITO!$L$1046*EFEITO!$Z$966</f>
        <v>18515.333659283384</v>
      </c>
      <c r="L1046" s="74">
        <f>EFEITO!$N$1046*EFEITO!$AA$966</f>
        <v>48834.592840011355</v>
      </c>
      <c r="M1046" s="74">
        <f>$J$1046-EFEITO!$K$1046*EFEITO!$Y$1046</f>
        <v>0</v>
      </c>
      <c r="N1046" s="74">
        <f ca="1">$K$1046-EFEITO!$M$1046*EFEITO!$Z$1046</f>
        <v>14812.266927426706</v>
      </c>
      <c r="O1046" s="74">
        <f>$L$1046-EFEITO!$O$1046*EFEITO!$AA$1046</f>
        <v>39067.674272009084</v>
      </c>
      <c r="P1046" s="57"/>
      <c r="Q1046" s="57"/>
      <c r="R1046" s="57"/>
      <c r="S1046" s="57"/>
      <c r="T1046" s="57"/>
      <c r="U1046" s="57"/>
      <c r="V1046" s="57"/>
      <c r="W1046" s="57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</row>
    <row r="1047" spans="1:36" ht="11.25" customHeight="1" x14ac:dyDescent="0.2">
      <c r="A1047" s="53" t="s">
        <v>27</v>
      </c>
      <c r="B1047" s="53" t="s">
        <v>33</v>
      </c>
      <c r="C1047" s="53" t="s">
        <v>34</v>
      </c>
      <c r="D1047" s="53" t="s">
        <v>47</v>
      </c>
      <c r="E1047" s="53" t="s">
        <v>55</v>
      </c>
      <c r="F1047" s="53" t="s">
        <v>57</v>
      </c>
      <c r="G1047" s="53" t="s">
        <v>25</v>
      </c>
      <c r="H1047" s="53" t="s">
        <v>36</v>
      </c>
      <c r="I1047" s="73">
        <v>43922</v>
      </c>
      <c r="J1047" s="74">
        <f>EFEITO!$J$1047*EFEITO!$Y$966</f>
        <v>0</v>
      </c>
      <c r="K1047" s="74">
        <f ca="1">EFEITO!$L$1047*EFEITO!$Z$966</f>
        <v>555.2228323075758</v>
      </c>
      <c r="L1047" s="74">
        <f>EFEITO!$N$1047*EFEITO!$AA$966</f>
        <v>1464.4122244928415</v>
      </c>
      <c r="M1047" s="74">
        <f>$J$1047-EFEITO!$K$1047*EFEITO!$Y$1047</f>
        <v>0</v>
      </c>
      <c r="N1047" s="74">
        <f ca="1">$K$1047-EFEITO!$M$1047*EFEITO!$Z$1047</f>
        <v>444.17826584606064</v>
      </c>
      <c r="O1047" s="74">
        <f>$L$1047-EFEITO!$O$1047*EFEITO!$AA$1047</f>
        <v>1171.5297795942731</v>
      </c>
      <c r="P1047" s="57"/>
      <c r="Q1047" s="57"/>
      <c r="R1047" s="57"/>
      <c r="S1047" s="57"/>
      <c r="T1047" s="57"/>
      <c r="U1047" s="57"/>
      <c r="V1047" s="57"/>
      <c r="W1047" s="57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</row>
    <row r="1048" spans="1:36" ht="11.25" customHeight="1" x14ac:dyDescent="0.2">
      <c r="A1048" s="53" t="s">
        <v>21</v>
      </c>
      <c r="B1048" s="53" t="s">
        <v>33</v>
      </c>
      <c r="C1048" s="53" t="s">
        <v>34</v>
      </c>
      <c r="D1048" s="53" t="s">
        <v>47</v>
      </c>
      <c r="E1048" s="53" t="s">
        <v>55</v>
      </c>
      <c r="F1048" s="53" t="s">
        <v>57</v>
      </c>
      <c r="G1048" s="53" t="s">
        <v>25</v>
      </c>
      <c r="H1048" s="53" t="s">
        <v>36</v>
      </c>
      <c r="I1048" s="73">
        <v>43952</v>
      </c>
      <c r="J1048" s="74">
        <f>EFEITO!$J$1048*EFEITO!$Y$966</f>
        <v>0</v>
      </c>
      <c r="K1048" s="74">
        <f ca="1">EFEITO!$L$1048*EFEITO!$Z$966</f>
        <v>35552.027698163794</v>
      </c>
      <c r="L1048" s="74">
        <f>EFEITO!$N$1048*EFEITO!$AA$966</f>
        <v>93769.241712051939</v>
      </c>
      <c r="M1048" s="74">
        <f>$J$1048-EFEITO!$K$1048*EFEITO!$Y$1048</f>
        <v>0</v>
      </c>
      <c r="N1048" s="74">
        <f ca="1">$K$1048-EFEITO!$M$1048*EFEITO!$Z$1048</f>
        <v>28441.622158531034</v>
      </c>
      <c r="O1048" s="74">
        <f>$L$1048-EFEITO!$O$1048*EFEITO!$AA$1048</f>
        <v>75015.393369641548</v>
      </c>
      <c r="P1048" s="57"/>
      <c r="Q1048" s="57"/>
      <c r="R1048" s="57"/>
      <c r="S1048" s="57"/>
      <c r="T1048" s="57"/>
      <c r="U1048" s="57"/>
      <c r="V1048" s="57"/>
      <c r="W1048" s="57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</row>
    <row r="1049" spans="1:36" ht="11.25" customHeight="1" x14ac:dyDescent="0.2">
      <c r="A1049" s="53" t="s">
        <v>27</v>
      </c>
      <c r="B1049" s="53" t="s">
        <v>33</v>
      </c>
      <c r="C1049" s="53" t="s">
        <v>34</v>
      </c>
      <c r="D1049" s="53" t="s">
        <v>47</v>
      </c>
      <c r="E1049" s="53" t="s">
        <v>55</v>
      </c>
      <c r="F1049" s="53" t="s">
        <v>57</v>
      </c>
      <c r="G1049" s="53" t="s">
        <v>25</v>
      </c>
      <c r="H1049" s="53" t="s">
        <v>36</v>
      </c>
      <c r="I1049" s="73">
        <v>43952</v>
      </c>
      <c r="J1049" s="74">
        <f>EFEITO!$J$1049*EFEITO!$Y$966</f>
        <v>0</v>
      </c>
      <c r="K1049" s="74">
        <f ca="1">EFEITO!$L$1049*EFEITO!$Z$966</f>
        <v>456.41347264880318</v>
      </c>
      <c r="L1049" s="74">
        <f>EFEITO!$N$1049*EFEITO!$AA$966</f>
        <v>1203.8004020696985</v>
      </c>
      <c r="M1049" s="74">
        <f>$J$1049-EFEITO!$K$1049*EFEITO!$Y$1049</f>
        <v>0</v>
      </c>
      <c r="N1049" s="74">
        <f ca="1">$K$1049-EFEITO!$M$1049*EFEITO!$Z$1049</f>
        <v>365.13077811904253</v>
      </c>
      <c r="O1049" s="74">
        <f>$L$1049-EFEITO!$O$1049*EFEITO!$AA$1049</f>
        <v>963.04032165575882</v>
      </c>
      <c r="P1049" s="57"/>
      <c r="Q1049" s="57"/>
      <c r="R1049" s="57"/>
      <c r="S1049" s="57"/>
      <c r="T1049" s="57"/>
      <c r="U1049" s="57"/>
      <c r="V1049" s="57"/>
      <c r="W1049" s="57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</row>
    <row r="1050" spans="1:36" ht="11.25" customHeight="1" x14ac:dyDescent="0.2">
      <c r="A1050" s="53" t="s">
        <v>21</v>
      </c>
      <c r="B1050" s="53" t="s">
        <v>33</v>
      </c>
      <c r="C1050" s="53" t="s">
        <v>34</v>
      </c>
      <c r="D1050" s="53" t="s">
        <v>47</v>
      </c>
      <c r="E1050" s="53" t="s">
        <v>55</v>
      </c>
      <c r="F1050" s="53" t="s">
        <v>57</v>
      </c>
      <c r="G1050" s="53" t="s">
        <v>25</v>
      </c>
      <c r="H1050" s="53" t="s">
        <v>36</v>
      </c>
      <c r="I1050" s="73">
        <v>43983</v>
      </c>
      <c r="J1050" s="74">
        <f>EFEITO!$J$1050*EFEITO!$Y$966</f>
        <v>0</v>
      </c>
      <c r="K1050" s="74">
        <f ca="1">EFEITO!$L$1050*EFEITO!$Z$966</f>
        <v>72851.642016049795</v>
      </c>
      <c r="L1050" s="74">
        <f>EFEITO!$N$1050*EFEITO!$AA$966</f>
        <v>192147.78091758955</v>
      </c>
      <c r="M1050" s="74">
        <f>$J$1050-EFEITO!$K$1050*EFEITO!$Y$1050</f>
        <v>0</v>
      </c>
      <c r="N1050" s="74">
        <f ca="1">$K$1050-EFEITO!$M$1050*EFEITO!$Z$1050</f>
        <v>58281.313612839833</v>
      </c>
      <c r="O1050" s="74">
        <f>$L$1050-EFEITO!$O$1050*EFEITO!$AA$1050</f>
        <v>153718.22473407164</v>
      </c>
      <c r="P1050" s="57"/>
      <c r="Q1050" s="57"/>
      <c r="R1050" s="57"/>
      <c r="S1050" s="57"/>
      <c r="T1050" s="57"/>
      <c r="U1050" s="57"/>
      <c r="V1050" s="57"/>
      <c r="W1050" s="57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</row>
    <row r="1051" spans="1:36" ht="11.25" customHeight="1" x14ac:dyDescent="0.2">
      <c r="A1051" s="53" t="s">
        <v>27</v>
      </c>
      <c r="B1051" s="53" t="s">
        <v>33</v>
      </c>
      <c r="C1051" s="53" t="s">
        <v>34</v>
      </c>
      <c r="D1051" s="53" t="s">
        <v>47</v>
      </c>
      <c r="E1051" s="53" t="s">
        <v>55</v>
      </c>
      <c r="F1051" s="53" t="s">
        <v>57</v>
      </c>
      <c r="G1051" s="53" t="s">
        <v>25</v>
      </c>
      <c r="H1051" s="53" t="s">
        <v>36</v>
      </c>
      <c r="I1051" s="73">
        <v>43983</v>
      </c>
      <c r="J1051" s="74">
        <f>EFEITO!$J$1051*EFEITO!$Y$966</f>
        <v>0</v>
      </c>
      <c r="K1051" s="74">
        <f ca="1">EFEITO!$L$1051*EFEITO!$Z$966</f>
        <v>2480.7363149051439</v>
      </c>
      <c r="L1051" s="74">
        <f>EFEITO!$N$1051*EFEITO!$AA$966</f>
        <v>6542.99566570769</v>
      </c>
      <c r="M1051" s="74">
        <f>$J$1051-EFEITO!$K$1051*EFEITO!$Y$1051</f>
        <v>0</v>
      </c>
      <c r="N1051" s="74">
        <f ca="1">$K$1051-EFEITO!$M$1051*EFEITO!$Z$1051</f>
        <v>1984.5890519241152</v>
      </c>
      <c r="O1051" s="74">
        <f>$L$1051-EFEITO!$O$1051*EFEITO!$AA$1051</f>
        <v>5234.396532566152</v>
      </c>
      <c r="P1051" s="57"/>
      <c r="Q1051" s="57"/>
      <c r="R1051" s="57"/>
      <c r="S1051" s="57"/>
      <c r="T1051" s="57"/>
      <c r="U1051" s="57"/>
      <c r="V1051" s="57"/>
      <c r="W1051" s="57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</row>
    <row r="1052" spans="1:36" ht="11.25" customHeight="1" x14ac:dyDescent="0.2">
      <c r="A1052" s="53" t="s">
        <v>21</v>
      </c>
      <c r="B1052" s="53" t="s">
        <v>33</v>
      </c>
      <c r="C1052" s="53" t="s">
        <v>34</v>
      </c>
      <c r="D1052" s="53" t="s">
        <v>47</v>
      </c>
      <c r="E1052" s="53" t="s">
        <v>55</v>
      </c>
      <c r="F1052" s="53" t="s">
        <v>57</v>
      </c>
      <c r="G1052" s="53" t="s">
        <v>25</v>
      </c>
      <c r="H1052" s="53" t="s">
        <v>36</v>
      </c>
      <c r="I1052" s="73">
        <v>44013</v>
      </c>
      <c r="J1052" s="74">
        <f>EFEITO!$J$1052*EFEITO!$Y$966</f>
        <v>0</v>
      </c>
      <c r="K1052" s="74">
        <f ca="1">EFEITO!$L$1052*EFEITO!$Z$966</f>
        <v>103229.43751546576</v>
      </c>
      <c r="L1052" s="74">
        <f>EFEITO!$N$1052*EFEITO!$AA$966</f>
        <v>272269.87333515199</v>
      </c>
      <c r="M1052" s="74">
        <f>$J$1052-EFEITO!$K$1052*EFEITO!$Y$1052</f>
        <v>0</v>
      </c>
      <c r="N1052" s="74">
        <f ca="1">$K$1052-EFEITO!$M$1052*EFEITO!$Z$1052</f>
        <v>82583.550012372609</v>
      </c>
      <c r="O1052" s="74">
        <f>$L$1052-EFEITO!$O$1052*EFEITO!$AA$1052</f>
        <v>217815.8986681216</v>
      </c>
      <c r="P1052" s="57"/>
      <c r="Q1052" s="57"/>
      <c r="R1052" s="57"/>
      <c r="S1052" s="57"/>
      <c r="T1052" s="57"/>
      <c r="U1052" s="57"/>
      <c r="V1052" s="57"/>
      <c r="W1052" s="57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</row>
    <row r="1053" spans="1:36" ht="11.25" customHeight="1" x14ac:dyDescent="0.2">
      <c r="A1053" s="53" t="s">
        <v>27</v>
      </c>
      <c r="B1053" s="53" t="s">
        <v>33</v>
      </c>
      <c r="C1053" s="53" t="s">
        <v>34</v>
      </c>
      <c r="D1053" s="53" t="s">
        <v>47</v>
      </c>
      <c r="E1053" s="53" t="s">
        <v>55</v>
      </c>
      <c r="F1053" s="53" t="s">
        <v>57</v>
      </c>
      <c r="G1053" s="53" t="s">
        <v>25</v>
      </c>
      <c r="H1053" s="53" t="s">
        <v>36</v>
      </c>
      <c r="I1053" s="73">
        <v>44013</v>
      </c>
      <c r="J1053" s="74">
        <f>EFEITO!$J$1053*EFEITO!$Y$966</f>
        <v>0</v>
      </c>
      <c r="K1053" s="74">
        <f ca="1">EFEITO!$L$1053*EFEITO!$Z$966</f>
        <v>2611.4027223192693</v>
      </c>
      <c r="L1053" s="74">
        <f>EFEITO!$N$1053*EFEITO!$AA$966</f>
        <v>6887.6311403558329</v>
      </c>
      <c r="M1053" s="74">
        <f>$J$1053-EFEITO!$K$1053*EFEITO!$Y$1053</f>
        <v>0</v>
      </c>
      <c r="N1053" s="74">
        <f ca="1">$K$1053-EFEITO!$M$1053*EFEITO!$Z$1053</f>
        <v>2089.1221778554154</v>
      </c>
      <c r="O1053" s="74">
        <f>$L$1053-EFEITO!$O$1053*EFEITO!$AA$1053</f>
        <v>5510.1049122846662</v>
      </c>
      <c r="P1053" s="57"/>
      <c r="Q1053" s="57"/>
      <c r="R1053" s="57"/>
      <c r="S1053" s="57"/>
      <c r="T1053" s="57"/>
      <c r="U1053" s="57"/>
      <c r="V1053" s="57"/>
      <c r="W1053" s="57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</row>
    <row r="1054" spans="1:36" ht="11.25" customHeight="1" x14ac:dyDescent="0.2">
      <c r="A1054" s="53" t="s">
        <v>21</v>
      </c>
      <c r="B1054" s="53" t="s">
        <v>33</v>
      </c>
      <c r="C1054" s="53" t="s">
        <v>34</v>
      </c>
      <c r="D1054" s="53" t="s">
        <v>47</v>
      </c>
      <c r="E1054" s="53" t="s">
        <v>55</v>
      </c>
      <c r="F1054" s="53" t="s">
        <v>57</v>
      </c>
      <c r="G1054" s="53" t="s">
        <v>25</v>
      </c>
      <c r="H1054" s="53" t="s">
        <v>36</v>
      </c>
      <c r="I1054" s="73">
        <v>44044</v>
      </c>
      <c r="J1054" s="74">
        <f>EFEITO!$J$1054*EFEITO!$Y$966</f>
        <v>0</v>
      </c>
      <c r="K1054" s="74">
        <f ca="1">EFEITO!$L$1054*EFEITO!$Z$966</f>
        <v>102484.99782258931</v>
      </c>
      <c r="L1054" s="74">
        <f>EFEITO!$N$1054*EFEITO!$AA$966</f>
        <v>270306.39754991618</v>
      </c>
      <c r="M1054" s="74">
        <f>$J$1054-EFEITO!$K$1054*EFEITO!$Y$1054</f>
        <v>0</v>
      </c>
      <c r="N1054" s="74">
        <f ca="1">$K$1054-EFEITO!$M$1054*EFEITO!$Z$1054</f>
        <v>81987.998258071457</v>
      </c>
      <c r="O1054" s="74">
        <f>$L$1054-EFEITO!$O$1054*EFEITO!$AA$1054</f>
        <v>216245.11803993295</v>
      </c>
      <c r="P1054" s="57"/>
      <c r="Q1054" s="57"/>
      <c r="R1054" s="57"/>
      <c r="S1054" s="57"/>
      <c r="T1054" s="57"/>
      <c r="U1054" s="57"/>
      <c r="V1054" s="57"/>
      <c r="W1054" s="57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</row>
    <row r="1055" spans="1:36" ht="11.25" customHeight="1" x14ac:dyDescent="0.2">
      <c r="A1055" s="53" t="s">
        <v>27</v>
      </c>
      <c r="B1055" s="53" t="s">
        <v>33</v>
      </c>
      <c r="C1055" s="53" t="s">
        <v>34</v>
      </c>
      <c r="D1055" s="53" t="s">
        <v>47</v>
      </c>
      <c r="E1055" s="53" t="s">
        <v>55</v>
      </c>
      <c r="F1055" s="53" t="s">
        <v>57</v>
      </c>
      <c r="G1055" s="53" t="s">
        <v>25</v>
      </c>
      <c r="H1055" s="53" t="s">
        <v>36</v>
      </c>
      <c r="I1055" s="73">
        <v>44044</v>
      </c>
      <c r="J1055" s="74">
        <f>EFEITO!$J$1055*EFEITO!$Y$966</f>
        <v>0</v>
      </c>
      <c r="K1055" s="74">
        <f ca="1">EFEITO!$L$1055*EFEITO!$Z$966</f>
        <v>2500.953287519118</v>
      </c>
      <c r="L1055" s="74">
        <f>EFEITO!$N$1055*EFEITO!$AA$966</f>
        <v>6596.3183680812481</v>
      </c>
      <c r="M1055" s="74">
        <f>$J$1055-EFEITO!$K$1055*EFEITO!$Y$1055</f>
        <v>0</v>
      </c>
      <c r="N1055" s="74">
        <f ca="1">$K$1055-EFEITO!$M$1055*EFEITO!$Z$1055</f>
        <v>2000.7626300152945</v>
      </c>
      <c r="O1055" s="74">
        <f>$L$1055-EFEITO!$O$1055*EFEITO!$AA$1055</f>
        <v>5277.0546944649986</v>
      </c>
      <c r="P1055" s="57"/>
      <c r="Q1055" s="57"/>
      <c r="R1055" s="57"/>
      <c r="S1055" s="57"/>
      <c r="T1055" s="57"/>
      <c r="U1055" s="57"/>
      <c r="V1055" s="57"/>
      <c r="W1055" s="57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</row>
    <row r="1056" spans="1:36" ht="11.25" customHeight="1" x14ac:dyDescent="0.2">
      <c r="A1056" s="53" t="s">
        <v>59</v>
      </c>
      <c r="B1056" s="53" t="s">
        <v>33</v>
      </c>
      <c r="C1056" s="53" t="s">
        <v>34</v>
      </c>
      <c r="D1056" s="53" t="s">
        <v>47</v>
      </c>
      <c r="E1056" s="53" t="s">
        <v>55</v>
      </c>
      <c r="F1056" s="53" t="s">
        <v>57</v>
      </c>
      <c r="G1056" s="53" t="s">
        <v>25</v>
      </c>
      <c r="H1056" s="53" t="s">
        <v>36</v>
      </c>
      <c r="I1056" s="73">
        <v>44075</v>
      </c>
      <c r="J1056" s="74">
        <f>EFEITO!$J$1056*EFEITO!$Y$966</f>
        <v>0</v>
      </c>
      <c r="K1056" s="74">
        <f ca="1">EFEITO!$L$1056*EFEITO!$Z$966</f>
        <v>102484.99782258931</v>
      </c>
      <c r="L1056" s="74">
        <f>EFEITO!$N$1056*EFEITO!$AA$966</f>
        <v>270306.39754991618</v>
      </c>
      <c r="M1056" s="74">
        <f>$J$1056-EFEITO!$K$1056*EFEITO!$Y$1056</f>
        <v>0</v>
      </c>
      <c r="N1056" s="74">
        <f ca="1">$K$1056-EFEITO!$M$1056*EFEITO!$Z$1056</f>
        <v>81987.998258071457</v>
      </c>
      <c r="O1056" s="74">
        <f>$L$1056-EFEITO!$O$1056*EFEITO!$AA$1056</f>
        <v>216245.11803993295</v>
      </c>
      <c r="P1056" s="57"/>
      <c r="Q1056" s="57"/>
      <c r="R1056" s="57"/>
      <c r="S1056" s="57"/>
      <c r="T1056" s="57"/>
      <c r="U1056" s="57"/>
      <c r="V1056" s="57"/>
      <c r="W1056" s="57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</row>
    <row r="1057" spans="1:36" ht="11.25" customHeight="1" x14ac:dyDescent="0.2">
      <c r="A1057" s="53" t="s">
        <v>59</v>
      </c>
      <c r="B1057" s="53" t="s">
        <v>33</v>
      </c>
      <c r="C1057" s="53" t="s">
        <v>34</v>
      </c>
      <c r="D1057" s="53" t="s">
        <v>47</v>
      </c>
      <c r="E1057" s="53" t="s">
        <v>55</v>
      </c>
      <c r="F1057" s="53" t="s">
        <v>57</v>
      </c>
      <c r="G1057" s="53" t="s">
        <v>25</v>
      </c>
      <c r="H1057" s="53" t="s">
        <v>36</v>
      </c>
      <c r="I1057" s="73">
        <v>44075</v>
      </c>
      <c r="J1057" s="74">
        <f>EFEITO!$J$1057*EFEITO!$Y$966</f>
        <v>0</v>
      </c>
      <c r="K1057" s="74">
        <f ca="1">EFEITO!$L$1057*EFEITO!$Z$966</f>
        <v>2500.953287519118</v>
      </c>
      <c r="L1057" s="74">
        <f>EFEITO!$N$1057*EFEITO!$AA$966</f>
        <v>6596.3183680812481</v>
      </c>
      <c r="M1057" s="74">
        <f>$J$1057-EFEITO!$K$1057*EFEITO!$Y$1057</f>
        <v>0</v>
      </c>
      <c r="N1057" s="74">
        <f ca="1">$K$1057-EFEITO!$M$1057*EFEITO!$Z$1057</f>
        <v>2000.7626300152945</v>
      </c>
      <c r="O1057" s="74">
        <f>$L$1057-EFEITO!$O$1057*EFEITO!$AA$1057</f>
        <v>5277.0546944649986</v>
      </c>
      <c r="P1057" s="57"/>
      <c r="Q1057" s="57"/>
      <c r="R1057" s="57"/>
      <c r="S1057" s="57"/>
      <c r="T1057" s="57"/>
      <c r="U1057" s="57"/>
      <c r="V1057" s="57"/>
      <c r="W1057" s="57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</row>
    <row r="1058" spans="1:36" ht="11.25" customHeight="1" x14ac:dyDescent="0.2">
      <c r="A1058" s="53" t="s">
        <v>21</v>
      </c>
      <c r="B1058" s="53" t="s">
        <v>33</v>
      </c>
      <c r="C1058" s="53" t="s">
        <v>34</v>
      </c>
      <c r="D1058" s="53" t="s">
        <v>47</v>
      </c>
      <c r="E1058" s="53" t="s">
        <v>55</v>
      </c>
      <c r="F1058" s="53" t="s">
        <v>25</v>
      </c>
      <c r="G1058" s="53" t="s">
        <v>25</v>
      </c>
      <c r="H1058" s="53" t="s">
        <v>36</v>
      </c>
      <c r="I1058" s="73">
        <v>43739</v>
      </c>
      <c r="J1058" s="74">
        <f>EFEITO!$J$1058*EFEITO!$Y$966</f>
        <v>0</v>
      </c>
      <c r="K1058" s="74">
        <f ca="1">EFEITO!$L$1058*EFEITO!$Z$966</f>
        <v>83679.800036476998</v>
      </c>
      <c r="L1058" s="74">
        <f>EFEITO!$N$1058*EFEITO!$AA$966</f>
        <v>220707.2818083411</v>
      </c>
      <c r="M1058" s="74">
        <f>$J$1058-EFEITO!$K$1058*EFEITO!$Y$1058</f>
        <v>0</v>
      </c>
      <c r="N1058" s="74">
        <f ca="1">$K$1058-EFEITO!$M$1058*EFEITO!$Z$1058</f>
        <v>5020.7880021886085</v>
      </c>
      <c r="O1058" s="74">
        <f>$L$1058-EFEITO!$O$1058*EFEITO!$AA$1058</f>
        <v>13242.436908500473</v>
      </c>
      <c r="P1058" s="57"/>
      <c r="Q1058" s="57"/>
      <c r="R1058" s="57"/>
      <c r="S1058" s="57"/>
      <c r="T1058" s="57"/>
      <c r="U1058" s="57"/>
      <c r="V1058" s="57"/>
      <c r="W1058" s="57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</row>
    <row r="1059" spans="1:36" ht="11.25" customHeight="1" x14ac:dyDescent="0.2">
      <c r="A1059" s="53" t="s">
        <v>27</v>
      </c>
      <c r="B1059" s="53" t="s">
        <v>33</v>
      </c>
      <c r="C1059" s="53" t="s">
        <v>34</v>
      </c>
      <c r="D1059" s="53" t="s">
        <v>47</v>
      </c>
      <c r="E1059" s="53" t="s">
        <v>55</v>
      </c>
      <c r="F1059" s="53" t="s">
        <v>25</v>
      </c>
      <c r="G1059" s="53" t="s">
        <v>25</v>
      </c>
      <c r="H1059" s="53" t="s">
        <v>36</v>
      </c>
      <c r="I1059" s="73">
        <v>43739</v>
      </c>
      <c r="J1059" s="74">
        <f>EFEITO!$J$1059*EFEITO!$Y$966</f>
        <v>0</v>
      </c>
      <c r="K1059" s="74">
        <f ca="1">EFEITO!$L$1059*EFEITO!$Z$966</f>
        <v>169.17492667883732</v>
      </c>
      <c r="L1059" s="74">
        <f>EFEITO!$N$1059*EFEITO!$AA$966</f>
        <v>446.20252678825068</v>
      </c>
      <c r="M1059" s="74">
        <f>$J$1059-EFEITO!$K$1059*EFEITO!$Y$1059</f>
        <v>0</v>
      </c>
      <c r="N1059" s="74">
        <f ca="1">$K$1059-EFEITO!$M$1059*EFEITO!$Z$1059</f>
        <v>10.150495600730238</v>
      </c>
      <c r="O1059" s="74">
        <f>$L$1059-EFEITO!$O$1059*EFEITO!$AA$1059</f>
        <v>26.772151607295086</v>
      </c>
      <c r="P1059" s="57"/>
      <c r="Q1059" s="57"/>
      <c r="R1059" s="57"/>
      <c r="S1059" s="57"/>
      <c r="T1059" s="57"/>
      <c r="U1059" s="57"/>
      <c r="V1059" s="57"/>
      <c r="W1059" s="57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</row>
    <row r="1060" spans="1:36" ht="11.25" customHeight="1" x14ac:dyDescent="0.2">
      <c r="A1060" s="53" t="s">
        <v>21</v>
      </c>
      <c r="B1060" s="53" t="s">
        <v>33</v>
      </c>
      <c r="C1060" s="53" t="s">
        <v>34</v>
      </c>
      <c r="D1060" s="53" t="s">
        <v>47</v>
      </c>
      <c r="E1060" s="53" t="s">
        <v>55</v>
      </c>
      <c r="F1060" s="53" t="s">
        <v>25</v>
      </c>
      <c r="G1060" s="53" t="s">
        <v>25</v>
      </c>
      <c r="H1060" s="53" t="s">
        <v>36</v>
      </c>
      <c r="I1060" s="73">
        <v>43770</v>
      </c>
      <c r="J1060" s="74">
        <f>EFEITO!$J$1060*EFEITO!$Y$966</f>
        <v>0</v>
      </c>
      <c r="K1060" s="74">
        <f ca="1">EFEITO!$L$1060*EFEITO!$Z$966</f>
        <v>106169.65048068849</v>
      </c>
      <c r="L1060" s="74">
        <f>EFEITO!$N$1060*EFEITO!$AA$966</f>
        <v>280024.74860025872</v>
      </c>
      <c r="M1060" s="74">
        <f>$J$1060-EFEITO!$K$1060*EFEITO!$Y$1060</f>
        <v>0</v>
      </c>
      <c r="N1060" s="74">
        <f ca="1">$K$1060-EFEITO!$M$1060*EFEITO!$Z$1060</f>
        <v>6370.1790288413031</v>
      </c>
      <c r="O1060" s="74">
        <f>$L$1060-EFEITO!$O$1060*EFEITO!$AA$1060</f>
        <v>16801.484916015586</v>
      </c>
      <c r="P1060" s="57"/>
      <c r="Q1060" s="57"/>
      <c r="R1060" s="57"/>
      <c r="S1060" s="57"/>
      <c r="T1060" s="57"/>
      <c r="U1060" s="57"/>
      <c r="V1060" s="57"/>
      <c r="W1060" s="57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</row>
    <row r="1061" spans="1:36" ht="11.25" customHeight="1" x14ac:dyDescent="0.2">
      <c r="A1061" s="53" t="s">
        <v>27</v>
      </c>
      <c r="B1061" s="53" t="s">
        <v>33</v>
      </c>
      <c r="C1061" s="53" t="s">
        <v>34</v>
      </c>
      <c r="D1061" s="53" t="s">
        <v>47</v>
      </c>
      <c r="E1061" s="53" t="s">
        <v>55</v>
      </c>
      <c r="F1061" s="53" t="s">
        <v>25</v>
      </c>
      <c r="G1061" s="53" t="s">
        <v>25</v>
      </c>
      <c r="H1061" s="53" t="s">
        <v>36</v>
      </c>
      <c r="I1061" s="73">
        <v>43770</v>
      </c>
      <c r="J1061" s="74">
        <f>EFEITO!$J$1061*EFEITO!$Y$966</f>
        <v>0</v>
      </c>
      <c r="K1061" s="74">
        <f ca="1">EFEITO!$L$1061*EFEITO!$Z$966</f>
        <v>1986.4269585253855</v>
      </c>
      <c r="L1061" s="74">
        <f>EFEITO!$N$1061*EFEITO!$AA$966</f>
        <v>5239.2440509637481</v>
      </c>
      <c r="M1061" s="74">
        <f>$J$1061-EFEITO!$K$1061*EFEITO!$Y$1061</f>
        <v>0</v>
      </c>
      <c r="N1061" s="74">
        <f ca="1">$K$1061-EFEITO!$M$1061*EFEITO!$Z$1061</f>
        <v>119.18561751152311</v>
      </c>
      <c r="O1061" s="74">
        <f>$L$1061-EFEITO!$O$1061*EFEITO!$AA$1061</f>
        <v>314.35464305782534</v>
      </c>
      <c r="P1061" s="57"/>
      <c r="Q1061" s="57"/>
      <c r="R1061" s="57"/>
      <c r="S1061" s="57"/>
      <c r="T1061" s="57"/>
      <c r="U1061" s="57"/>
      <c r="V1061" s="57"/>
      <c r="W1061" s="57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</row>
    <row r="1062" spans="1:36" ht="11.25" customHeight="1" x14ac:dyDescent="0.2">
      <c r="A1062" s="53" t="s">
        <v>21</v>
      </c>
      <c r="B1062" s="53" t="s">
        <v>33</v>
      </c>
      <c r="C1062" s="53" t="s">
        <v>34</v>
      </c>
      <c r="D1062" s="53" t="s">
        <v>47</v>
      </c>
      <c r="E1062" s="53" t="s">
        <v>55</v>
      </c>
      <c r="F1062" s="53" t="s">
        <v>25</v>
      </c>
      <c r="G1062" s="53" t="s">
        <v>25</v>
      </c>
      <c r="H1062" s="53" t="s">
        <v>36</v>
      </c>
      <c r="I1062" s="73">
        <v>43800</v>
      </c>
      <c r="J1062" s="74">
        <f>EFEITO!$J$1062*EFEITO!$Y$966</f>
        <v>0</v>
      </c>
      <c r="K1062" s="74">
        <f ca="1">EFEITO!$L$1062*EFEITO!$Z$966</f>
        <v>30011.877047039241</v>
      </c>
      <c r="L1062" s="74">
        <f>EFEITO!$N$1062*EFEITO!$AA$966</f>
        <v>79156.974588022014</v>
      </c>
      <c r="M1062" s="74">
        <f>$J$1062-EFEITO!$K$1062*EFEITO!$Y$1062</f>
        <v>0</v>
      </c>
      <c r="N1062" s="74">
        <f ca="1">$K$1062-EFEITO!$M$1062*EFEITO!$Z$1062</f>
        <v>1800.7126228223569</v>
      </c>
      <c r="O1062" s="74">
        <f>$L$1062-EFEITO!$O$1062*EFEITO!$AA$1062</f>
        <v>4749.4184752813308</v>
      </c>
      <c r="P1062" s="57"/>
      <c r="Q1062" s="57"/>
      <c r="R1062" s="57"/>
      <c r="S1062" s="57"/>
      <c r="T1062" s="57"/>
      <c r="U1062" s="57"/>
      <c r="V1062" s="57"/>
      <c r="W1062" s="57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</row>
    <row r="1063" spans="1:36" ht="11.25" customHeight="1" x14ac:dyDescent="0.2">
      <c r="A1063" s="53" t="s">
        <v>21</v>
      </c>
      <c r="B1063" s="53" t="s">
        <v>33</v>
      </c>
      <c r="C1063" s="53" t="s">
        <v>34</v>
      </c>
      <c r="D1063" s="53" t="s">
        <v>47</v>
      </c>
      <c r="E1063" s="53" t="s">
        <v>55</v>
      </c>
      <c r="F1063" s="53" t="s">
        <v>25</v>
      </c>
      <c r="G1063" s="53" t="s">
        <v>25</v>
      </c>
      <c r="H1063" s="53" t="s">
        <v>36</v>
      </c>
      <c r="I1063" s="73">
        <v>43831</v>
      </c>
      <c r="J1063" s="74">
        <f>EFEITO!$J$1063*EFEITO!$Y$966</f>
        <v>0</v>
      </c>
      <c r="K1063" s="74">
        <f ca="1">EFEITO!$L$1063*EFEITO!$Z$966</f>
        <v>29779.425621659528</v>
      </c>
      <c r="L1063" s="74">
        <f>EFEITO!$N$1063*EFEITO!$AA$966</f>
        <v>78543.878927830825</v>
      </c>
      <c r="M1063" s="74">
        <f>$J$1063-EFEITO!$K$1063*EFEITO!$Y$1063</f>
        <v>0</v>
      </c>
      <c r="N1063" s="74">
        <f ca="1">$K$1063-EFEITO!$M$1063*EFEITO!$Z$1063</f>
        <v>1786.7655372995723</v>
      </c>
      <c r="O1063" s="74">
        <f>$L$1063-EFEITO!$O$1063*EFEITO!$AA$1063</f>
        <v>4712.6327356698603</v>
      </c>
      <c r="P1063" s="57"/>
      <c r="Q1063" s="57"/>
      <c r="R1063" s="57"/>
      <c r="S1063" s="57"/>
      <c r="T1063" s="57"/>
      <c r="U1063" s="57"/>
      <c r="V1063" s="57"/>
      <c r="W1063" s="57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</row>
    <row r="1064" spans="1:36" ht="11.25" customHeight="1" x14ac:dyDescent="0.2">
      <c r="A1064" s="53" t="s">
        <v>21</v>
      </c>
      <c r="B1064" s="53" t="s">
        <v>33</v>
      </c>
      <c r="C1064" s="53" t="s">
        <v>34</v>
      </c>
      <c r="D1064" s="53" t="s">
        <v>47</v>
      </c>
      <c r="E1064" s="53" t="s">
        <v>55</v>
      </c>
      <c r="F1064" s="53" t="s">
        <v>25</v>
      </c>
      <c r="G1064" s="53" t="s">
        <v>25</v>
      </c>
      <c r="H1064" s="53" t="s">
        <v>36</v>
      </c>
      <c r="I1064" s="73">
        <v>43862</v>
      </c>
      <c r="J1064" s="74">
        <f>EFEITO!$J$1064*EFEITO!$Y$966</f>
        <v>0</v>
      </c>
      <c r="K1064" s="74">
        <f ca="1">EFEITO!$L$1064*EFEITO!$Z$966</f>
        <v>26161.112639930001</v>
      </c>
      <c r="L1064" s="74">
        <f>EFEITO!$N$1064*EFEITO!$AA$966</f>
        <v>69000.500208220546</v>
      </c>
      <c r="M1064" s="74">
        <f>$J$1064-EFEITO!$K$1064*EFEITO!$Y$1064</f>
        <v>0</v>
      </c>
      <c r="N1064" s="74">
        <f ca="1">$K$1064-EFEITO!$M$1064*EFEITO!$Z$1064</f>
        <v>1569.6667583958006</v>
      </c>
      <c r="O1064" s="74">
        <f>$L$1064-EFEITO!$O$1064*EFEITO!$AA$1064</f>
        <v>4140.0300124932401</v>
      </c>
      <c r="P1064" s="57"/>
      <c r="Q1064" s="57"/>
      <c r="R1064" s="57"/>
      <c r="S1064" s="57"/>
      <c r="T1064" s="57"/>
      <c r="U1064" s="57"/>
      <c r="V1064" s="57"/>
      <c r="W1064" s="57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</row>
    <row r="1065" spans="1:36" ht="11.25" customHeight="1" x14ac:dyDescent="0.2">
      <c r="A1065" s="53" t="s">
        <v>27</v>
      </c>
      <c r="B1065" s="53" t="s">
        <v>33</v>
      </c>
      <c r="C1065" s="53" t="s">
        <v>34</v>
      </c>
      <c r="D1065" s="53" t="s">
        <v>47</v>
      </c>
      <c r="E1065" s="53" t="s">
        <v>55</v>
      </c>
      <c r="F1065" s="53" t="s">
        <v>25</v>
      </c>
      <c r="G1065" s="53" t="s">
        <v>25</v>
      </c>
      <c r="H1065" s="53" t="s">
        <v>36</v>
      </c>
      <c r="I1065" s="73">
        <v>43862</v>
      </c>
      <c r="J1065" s="74">
        <f>EFEITO!$J$1065*EFEITO!$Y$966</f>
        <v>0</v>
      </c>
      <c r="K1065" s="74">
        <f ca="1">EFEITO!$L$1065*EFEITO!$Z$966</f>
        <v>1407.0487823153999</v>
      </c>
      <c r="L1065" s="74">
        <f>EFEITO!$N$1065*EFEITO!$AA$966</f>
        <v>3711.1215846739301</v>
      </c>
      <c r="M1065" s="74">
        <f>$J$1065-EFEITO!$K$1065*EFEITO!$Y$1065</f>
        <v>0</v>
      </c>
      <c r="N1065" s="74">
        <f ca="1">$K$1065-EFEITO!$M$1065*EFEITO!$Z$1065</f>
        <v>84.422926938924093</v>
      </c>
      <c r="O1065" s="74">
        <f>$L$1065-EFEITO!$O$1065*EFEITO!$AA$1065</f>
        <v>222.66729508043591</v>
      </c>
      <c r="P1065" s="57"/>
      <c r="Q1065" s="57"/>
      <c r="R1065" s="57"/>
      <c r="S1065" s="57"/>
      <c r="T1065" s="57"/>
      <c r="U1065" s="57"/>
      <c r="V1065" s="57"/>
      <c r="W1065" s="57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</row>
    <row r="1066" spans="1:36" ht="11.25" customHeight="1" x14ac:dyDescent="0.2">
      <c r="A1066" s="53" t="s">
        <v>21</v>
      </c>
      <c r="B1066" s="53" t="s">
        <v>33</v>
      </c>
      <c r="C1066" s="53" t="s">
        <v>34</v>
      </c>
      <c r="D1066" s="53" t="s">
        <v>47</v>
      </c>
      <c r="E1066" s="53" t="s">
        <v>55</v>
      </c>
      <c r="F1066" s="53" t="s">
        <v>25</v>
      </c>
      <c r="G1066" s="53" t="s">
        <v>25</v>
      </c>
      <c r="H1066" s="53" t="s">
        <v>36</v>
      </c>
      <c r="I1066" s="73">
        <v>43891</v>
      </c>
      <c r="J1066" s="74">
        <f>EFEITO!$J$1066*EFEITO!$Y$966</f>
        <v>0</v>
      </c>
      <c r="K1066" s="74">
        <f ca="1">EFEITO!$L$1066*EFEITO!$Z$966</f>
        <v>11627.03475644605</v>
      </c>
      <c r="L1066" s="74">
        <f>EFEITO!$N$1066*EFEITO!$AA$966</f>
        <v>30666.555554239985</v>
      </c>
      <c r="M1066" s="74">
        <f>$J$1066-EFEITO!$K$1066*EFEITO!$Y$1066</f>
        <v>0</v>
      </c>
      <c r="N1066" s="74">
        <f ca="1">$K$1066-EFEITO!$M$1066*EFEITO!$Z$1066</f>
        <v>697.62208538676168</v>
      </c>
      <c r="O1066" s="74">
        <f>$L$1066-EFEITO!$O$1066*EFEITO!$AA$1066</f>
        <v>1839.9933332544024</v>
      </c>
      <c r="P1066" s="57"/>
      <c r="Q1066" s="57"/>
      <c r="R1066" s="57"/>
      <c r="S1066" s="57"/>
      <c r="T1066" s="57"/>
      <c r="U1066" s="57"/>
      <c r="V1066" s="57"/>
      <c r="W1066" s="57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</row>
    <row r="1067" spans="1:36" ht="11.25" customHeight="1" x14ac:dyDescent="0.2">
      <c r="A1067" s="53" t="s">
        <v>27</v>
      </c>
      <c r="B1067" s="53" t="s">
        <v>33</v>
      </c>
      <c r="C1067" s="53" t="s">
        <v>34</v>
      </c>
      <c r="D1067" s="53" t="s">
        <v>47</v>
      </c>
      <c r="E1067" s="53" t="s">
        <v>55</v>
      </c>
      <c r="F1067" s="53" t="s">
        <v>25</v>
      </c>
      <c r="G1067" s="53" t="s">
        <v>25</v>
      </c>
      <c r="H1067" s="53" t="s">
        <v>36</v>
      </c>
      <c r="I1067" s="73">
        <v>43891</v>
      </c>
      <c r="J1067" s="74">
        <f>EFEITO!$J$1067*EFEITO!$Y$966</f>
        <v>0</v>
      </c>
      <c r="K1067" s="74">
        <f ca="1">EFEITO!$L$1067*EFEITO!$Z$966</f>
        <v>1208.1172725683757</v>
      </c>
      <c r="L1067" s="74">
        <f>EFEITO!$N$1067*EFEITO!$AA$966</f>
        <v>3186.4354266865043</v>
      </c>
      <c r="M1067" s="74">
        <f>$J$1067-EFEITO!$K$1067*EFEITO!$Y$1067</f>
        <v>0</v>
      </c>
      <c r="N1067" s="74">
        <f ca="1">$K$1067-EFEITO!$M$1067*EFEITO!$Z$1067</f>
        <v>72.487036354102429</v>
      </c>
      <c r="O1067" s="74">
        <f>$L$1067-EFEITO!$O$1067*EFEITO!$AA$1067</f>
        <v>191.18612560119072</v>
      </c>
      <c r="P1067" s="57"/>
      <c r="Q1067" s="57"/>
      <c r="R1067" s="57"/>
      <c r="S1067" s="57"/>
      <c r="T1067" s="57"/>
      <c r="U1067" s="57"/>
      <c r="V1067" s="57"/>
      <c r="W1067" s="57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</row>
    <row r="1068" spans="1:36" ht="11.25" customHeight="1" x14ac:dyDescent="0.2">
      <c r="A1068" s="53" t="s">
        <v>21</v>
      </c>
      <c r="B1068" s="53" t="s">
        <v>33</v>
      </c>
      <c r="C1068" s="53" t="s">
        <v>34</v>
      </c>
      <c r="D1068" s="53" t="s">
        <v>47</v>
      </c>
      <c r="E1068" s="53" t="s">
        <v>55</v>
      </c>
      <c r="F1068" s="53" t="s">
        <v>25</v>
      </c>
      <c r="G1068" s="53" t="s">
        <v>25</v>
      </c>
      <c r="H1068" s="53" t="s">
        <v>36</v>
      </c>
      <c r="I1068" s="73">
        <v>43922</v>
      </c>
      <c r="J1068" s="74">
        <f>EFEITO!$J$1068*EFEITO!$Y$966</f>
        <v>0</v>
      </c>
      <c r="K1068" s="74">
        <f ca="1">EFEITO!$L$1068*EFEITO!$Z$966</f>
        <v>30340.512251218777</v>
      </c>
      <c r="L1068" s="74">
        <f>EFEITO!$N$1068*EFEITO!$AA$966</f>
        <v>80023.75704435409</v>
      </c>
      <c r="M1068" s="74">
        <f>$J$1068-EFEITO!$K$1068*EFEITO!$Y$1068</f>
        <v>0</v>
      </c>
      <c r="N1068" s="74">
        <f ca="1">$K$1068-EFEITO!$M$1068*EFEITO!$Z$1068</f>
        <v>1820.4307350731287</v>
      </c>
      <c r="O1068" s="74">
        <f>$L$1068-EFEITO!$O$1068*EFEITO!$AA$1068</f>
        <v>4801.4254226612538</v>
      </c>
      <c r="P1068" s="57"/>
      <c r="Q1068" s="57"/>
      <c r="R1068" s="57"/>
      <c r="S1068" s="57"/>
      <c r="T1068" s="57"/>
      <c r="U1068" s="57"/>
      <c r="V1068" s="57"/>
      <c r="W1068" s="57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</row>
    <row r="1069" spans="1:36" ht="11.25" customHeight="1" x14ac:dyDescent="0.2">
      <c r="A1069" s="53" t="s">
        <v>27</v>
      </c>
      <c r="B1069" s="53" t="s">
        <v>33</v>
      </c>
      <c r="C1069" s="53" t="s">
        <v>34</v>
      </c>
      <c r="D1069" s="53" t="s">
        <v>47</v>
      </c>
      <c r="E1069" s="53" t="s">
        <v>55</v>
      </c>
      <c r="F1069" s="53" t="s">
        <v>25</v>
      </c>
      <c r="G1069" s="53" t="s">
        <v>25</v>
      </c>
      <c r="H1069" s="53" t="s">
        <v>36</v>
      </c>
      <c r="I1069" s="73">
        <v>43922</v>
      </c>
      <c r="J1069" s="74">
        <f>EFEITO!$J$1069*EFEITO!$Y$966</f>
        <v>0</v>
      </c>
      <c r="K1069" s="74">
        <f ca="1">EFEITO!$L$1069*EFEITO!$Z$966</f>
        <v>457.55122435435152</v>
      </c>
      <c r="L1069" s="74">
        <f>EFEITO!$N$1069*EFEITO!$AA$966</f>
        <v>1206.8012467920198</v>
      </c>
      <c r="M1069" s="74">
        <f>$J$1069-EFEITO!$K$1069*EFEITO!$Y$1069</f>
        <v>0</v>
      </c>
      <c r="N1069" s="74">
        <f ca="1">$K$1069-EFEITO!$M$1069*EFEITO!$Z$1069</f>
        <v>27.453073461261113</v>
      </c>
      <c r="O1069" s="74">
        <f>$L$1069-EFEITO!$O$1069*EFEITO!$AA$1069</f>
        <v>72.408074807521189</v>
      </c>
      <c r="P1069" s="57"/>
      <c r="Q1069" s="57"/>
      <c r="R1069" s="57"/>
      <c r="S1069" s="57"/>
      <c r="T1069" s="57"/>
      <c r="U1069" s="57"/>
      <c r="V1069" s="57"/>
      <c r="W1069" s="57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</row>
    <row r="1070" spans="1:36" ht="11.25" customHeight="1" x14ac:dyDescent="0.2">
      <c r="A1070" s="53" t="s">
        <v>21</v>
      </c>
      <c r="B1070" s="53" t="s">
        <v>33</v>
      </c>
      <c r="C1070" s="53" t="s">
        <v>34</v>
      </c>
      <c r="D1070" s="53" t="s">
        <v>47</v>
      </c>
      <c r="E1070" s="53" t="s">
        <v>55</v>
      </c>
      <c r="F1070" s="53" t="s">
        <v>25</v>
      </c>
      <c r="G1070" s="53" t="s">
        <v>25</v>
      </c>
      <c r="H1070" s="53" t="s">
        <v>36</v>
      </c>
      <c r="I1070" s="73">
        <v>43952</v>
      </c>
      <c r="J1070" s="74">
        <f>EFEITO!$J$1070*EFEITO!$Y$966</f>
        <v>0</v>
      </c>
      <c r="K1070" s="74">
        <f ca="1">EFEITO!$L$1070*EFEITO!$Z$966</f>
        <v>63271.772655333021</v>
      </c>
      <c r="L1070" s="74">
        <f>EFEITO!$N$1070*EFEITO!$AA$966</f>
        <v>166880.6683556434</v>
      </c>
      <c r="M1070" s="74">
        <f>$J$1070-EFEITO!$K$1070*EFEITO!$Y$1070</f>
        <v>0</v>
      </c>
      <c r="N1070" s="74">
        <f ca="1">$K$1070-EFEITO!$M$1070*EFEITO!$Z$1070</f>
        <v>3796.306359319984</v>
      </c>
      <c r="O1070" s="74">
        <f>$L$1070-EFEITO!$O$1070*EFEITO!$AA$1070</f>
        <v>10012.840101338632</v>
      </c>
      <c r="P1070" s="57"/>
      <c r="Q1070" s="57"/>
      <c r="R1070" s="57"/>
      <c r="S1070" s="57"/>
      <c r="T1070" s="57"/>
      <c r="U1070" s="57"/>
      <c r="V1070" s="57"/>
      <c r="W1070" s="57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</row>
    <row r="1071" spans="1:36" ht="11.25" customHeight="1" x14ac:dyDescent="0.2">
      <c r="A1071" s="53" t="s">
        <v>21</v>
      </c>
      <c r="B1071" s="53" t="s">
        <v>33</v>
      </c>
      <c r="C1071" s="53" t="s">
        <v>34</v>
      </c>
      <c r="D1071" s="53" t="s">
        <v>47</v>
      </c>
      <c r="E1071" s="53" t="s">
        <v>55</v>
      </c>
      <c r="F1071" s="53" t="s">
        <v>25</v>
      </c>
      <c r="G1071" s="53" t="s">
        <v>25</v>
      </c>
      <c r="H1071" s="53" t="s">
        <v>36</v>
      </c>
      <c r="I1071" s="73">
        <v>43983</v>
      </c>
      <c r="J1071" s="74">
        <f>EFEITO!$J$1071*EFEITO!$Y$966</f>
        <v>0</v>
      </c>
      <c r="K1071" s="74">
        <f ca="1">EFEITO!$L$1071*EFEITO!$Z$966</f>
        <v>171334.55445469194</v>
      </c>
      <c r="L1071" s="74">
        <f>EFEITO!$N$1071*EFEITO!$AA$966</f>
        <v>451898.59173963551</v>
      </c>
      <c r="M1071" s="74">
        <f>$J$1071-EFEITO!$K$1071*EFEITO!$Y$1071</f>
        <v>0</v>
      </c>
      <c r="N1071" s="74">
        <f ca="1">$K$1071-EFEITO!$M$1071*EFEITO!$Z$1071</f>
        <v>10280.073267281521</v>
      </c>
      <c r="O1071" s="74">
        <f>$L$1071-EFEITO!$O$1071*EFEITO!$AA$1071</f>
        <v>27113.915504378208</v>
      </c>
      <c r="P1071" s="57"/>
      <c r="Q1071" s="57"/>
      <c r="R1071" s="57"/>
      <c r="S1071" s="57"/>
      <c r="T1071" s="57"/>
      <c r="U1071" s="57"/>
      <c r="V1071" s="57"/>
      <c r="W1071" s="57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</row>
    <row r="1072" spans="1:36" ht="11.25" customHeight="1" x14ac:dyDescent="0.2">
      <c r="A1072" s="53" t="s">
        <v>27</v>
      </c>
      <c r="B1072" s="53" t="s">
        <v>33</v>
      </c>
      <c r="C1072" s="53" t="s">
        <v>34</v>
      </c>
      <c r="D1072" s="53" t="s">
        <v>47</v>
      </c>
      <c r="E1072" s="53" t="s">
        <v>55</v>
      </c>
      <c r="F1072" s="53" t="s">
        <v>25</v>
      </c>
      <c r="G1072" s="53" t="s">
        <v>25</v>
      </c>
      <c r="H1072" s="53" t="s">
        <v>36</v>
      </c>
      <c r="I1072" s="73">
        <v>43983</v>
      </c>
      <c r="J1072" s="74">
        <f>EFEITO!$J$1072*EFEITO!$Y$966</f>
        <v>0</v>
      </c>
      <c r="K1072" s="74">
        <f ca="1">EFEITO!$L$1072*EFEITO!$Z$966</f>
        <v>900.13663781264449</v>
      </c>
      <c r="L1072" s="74">
        <f>EFEITO!$N$1072*EFEITO!$AA$966</f>
        <v>2374.1298437750434</v>
      </c>
      <c r="M1072" s="74">
        <f>$J$1072-EFEITO!$K$1072*EFEITO!$Y$1072</f>
        <v>0</v>
      </c>
      <c r="N1072" s="74">
        <f ca="1">$K$1072-EFEITO!$M$1072*EFEITO!$Z$1072</f>
        <v>54.008198268758633</v>
      </c>
      <c r="O1072" s="74">
        <f>$L$1072-EFEITO!$O$1072*EFEITO!$AA$1072</f>
        <v>142.44779062650287</v>
      </c>
      <c r="P1072" s="57"/>
      <c r="Q1072" s="57"/>
      <c r="R1072" s="57"/>
      <c r="S1072" s="57"/>
      <c r="T1072" s="57"/>
      <c r="U1072" s="57"/>
      <c r="V1072" s="57"/>
      <c r="W1072" s="57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</row>
    <row r="1073" spans="1:36" ht="11.25" customHeight="1" x14ac:dyDescent="0.2">
      <c r="A1073" s="53" t="s">
        <v>21</v>
      </c>
      <c r="B1073" s="53" t="s">
        <v>33</v>
      </c>
      <c r="C1073" s="53" t="s">
        <v>34</v>
      </c>
      <c r="D1073" s="53" t="s">
        <v>47</v>
      </c>
      <c r="E1073" s="53" t="s">
        <v>55</v>
      </c>
      <c r="F1073" s="53" t="s">
        <v>25</v>
      </c>
      <c r="G1073" s="53" t="s">
        <v>25</v>
      </c>
      <c r="H1073" s="53" t="s">
        <v>36</v>
      </c>
      <c r="I1073" s="73">
        <v>44013</v>
      </c>
      <c r="J1073" s="74">
        <f>EFEITO!$J$1073*EFEITO!$Y$966</f>
        <v>0</v>
      </c>
      <c r="K1073" s="74">
        <f ca="1">EFEITO!$L$1073*EFEITO!$Z$966</f>
        <v>171445.87908311174</v>
      </c>
      <c r="L1073" s="74">
        <f>EFEITO!$N$1073*EFEITO!$AA$966</f>
        <v>452192.21285400423</v>
      </c>
      <c r="M1073" s="74">
        <f>$J$1073-EFEITO!$K$1073*EFEITO!$Y$1073</f>
        <v>0</v>
      </c>
      <c r="N1073" s="74">
        <f ca="1">$K$1073-EFEITO!$M$1073*EFEITO!$Z$1073</f>
        <v>10286.752744986705</v>
      </c>
      <c r="O1073" s="74">
        <f>$L$1073-EFEITO!$O$1073*EFEITO!$AA$1073</f>
        <v>27131.532771240338</v>
      </c>
      <c r="P1073" s="57"/>
      <c r="Q1073" s="57"/>
      <c r="R1073" s="57"/>
      <c r="S1073" s="57"/>
      <c r="T1073" s="57"/>
      <c r="U1073" s="57"/>
      <c r="V1073" s="57"/>
      <c r="W1073" s="57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</row>
    <row r="1074" spans="1:36" ht="11.25" customHeight="1" x14ac:dyDescent="0.2">
      <c r="A1074" s="53" t="s">
        <v>27</v>
      </c>
      <c r="B1074" s="53" t="s">
        <v>33</v>
      </c>
      <c r="C1074" s="53" t="s">
        <v>34</v>
      </c>
      <c r="D1074" s="53" t="s">
        <v>47</v>
      </c>
      <c r="E1074" s="53" t="s">
        <v>55</v>
      </c>
      <c r="F1074" s="53" t="s">
        <v>25</v>
      </c>
      <c r="G1074" s="53" t="s">
        <v>25</v>
      </c>
      <c r="H1074" s="53" t="s">
        <v>36</v>
      </c>
      <c r="I1074" s="73">
        <v>44013</v>
      </c>
      <c r="J1074" s="74">
        <f>EFEITO!$J$1074*EFEITO!$Y$966</f>
        <v>0</v>
      </c>
      <c r="K1074" s="74">
        <f ca="1">EFEITO!$L$1074*EFEITO!$Z$966</f>
        <v>5861.5217482609678</v>
      </c>
      <c r="L1074" s="74">
        <f>EFEITO!$N$1074*EFEITO!$AA$966</f>
        <v>15459.890340981015</v>
      </c>
      <c r="M1074" s="74">
        <f>$J$1074-EFEITO!$K$1074*EFEITO!$Y$1074</f>
        <v>0</v>
      </c>
      <c r="N1074" s="74">
        <f ca="1">$K$1074-EFEITO!$M$1074*EFEITO!$Z$1074</f>
        <v>351.69130489565759</v>
      </c>
      <c r="O1074" s="74">
        <f>$L$1074-EFEITO!$O$1074*EFEITO!$AA$1074</f>
        <v>927.59342045886297</v>
      </c>
      <c r="P1074" s="57"/>
      <c r="Q1074" s="57"/>
      <c r="R1074" s="57"/>
      <c r="S1074" s="57"/>
      <c r="T1074" s="57"/>
      <c r="U1074" s="57"/>
      <c r="V1074" s="57"/>
      <c r="W1074" s="57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</row>
    <row r="1075" spans="1:36" ht="11.25" customHeight="1" x14ac:dyDescent="0.2">
      <c r="A1075" s="53" t="s">
        <v>21</v>
      </c>
      <c r="B1075" s="53" t="s">
        <v>33</v>
      </c>
      <c r="C1075" s="53" t="s">
        <v>34</v>
      </c>
      <c r="D1075" s="53" t="s">
        <v>47</v>
      </c>
      <c r="E1075" s="53" t="s">
        <v>55</v>
      </c>
      <c r="F1075" s="53" t="s">
        <v>25</v>
      </c>
      <c r="G1075" s="53" t="s">
        <v>25</v>
      </c>
      <c r="H1075" s="53" t="s">
        <v>36</v>
      </c>
      <c r="I1075" s="73">
        <v>44044</v>
      </c>
      <c r="J1075" s="74">
        <f>EFEITO!$J$1075*EFEITO!$Y$966</f>
        <v>0</v>
      </c>
      <c r="K1075" s="74">
        <f ca="1">EFEITO!$L$1075*EFEITO!$Z$966</f>
        <v>182822.34590625128</v>
      </c>
      <c r="L1075" s="74">
        <f>EFEITO!$N$1075*EFEITO!$AA$966</f>
        <v>482197.89006670529</v>
      </c>
      <c r="M1075" s="74">
        <f>$J$1075-EFEITO!$K$1075*EFEITO!$Y$1075</f>
        <v>0</v>
      </c>
      <c r="N1075" s="74">
        <f ca="1">$K$1075-EFEITO!$M$1075*EFEITO!$Z$1075</f>
        <v>10969.340754375065</v>
      </c>
      <c r="O1075" s="74">
        <f>$L$1075-EFEITO!$O$1075*EFEITO!$AA$1075</f>
        <v>28931.873404002399</v>
      </c>
      <c r="P1075" s="57"/>
      <c r="Q1075" s="57"/>
      <c r="R1075" s="57"/>
      <c r="S1075" s="57"/>
      <c r="T1075" s="57"/>
      <c r="U1075" s="57"/>
      <c r="V1075" s="57"/>
      <c r="W1075" s="57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</row>
    <row r="1076" spans="1:36" ht="11.25" customHeight="1" x14ac:dyDescent="0.2">
      <c r="A1076" s="53" t="s">
        <v>27</v>
      </c>
      <c r="B1076" s="53" t="s">
        <v>33</v>
      </c>
      <c r="C1076" s="53" t="s">
        <v>34</v>
      </c>
      <c r="D1076" s="53" t="s">
        <v>47</v>
      </c>
      <c r="E1076" s="53" t="s">
        <v>55</v>
      </c>
      <c r="F1076" s="53" t="s">
        <v>25</v>
      </c>
      <c r="G1076" s="53" t="s">
        <v>25</v>
      </c>
      <c r="H1076" s="53" t="s">
        <v>36</v>
      </c>
      <c r="I1076" s="73">
        <v>44044</v>
      </c>
      <c r="J1076" s="74">
        <f>EFEITO!$J$1076*EFEITO!$Y$966</f>
        <v>0</v>
      </c>
      <c r="K1076" s="74">
        <f ca="1">EFEITO!$L$1076*EFEITO!$Z$966</f>
        <v>2304.0347230972948</v>
      </c>
      <c r="L1076" s="74">
        <f>EFEITO!$N$1076*EFEITO!$AA$966</f>
        <v>6076.941396910237</v>
      </c>
      <c r="M1076" s="74">
        <f>$J$1076-EFEITO!$K$1076*EFEITO!$Y$1076</f>
        <v>0</v>
      </c>
      <c r="N1076" s="74">
        <f ca="1">$K$1076-EFEITO!$M$1076*EFEITO!$Z$1076</f>
        <v>138.2420833858373</v>
      </c>
      <c r="O1076" s="74">
        <f>$L$1076-EFEITO!$O$1076*EFEITO!$AA$1076</f>
        <v>364.61648381461509</v>
      </c>
      <c r="P1076" s="57"/>
      <c r="Q1076" s="57"/>
      <c r="R1076" s="57"/>
      <c r="S1076" s="57"/>
      <c r="T1076" s="57"/>
      <c r="U1076" s="57"/>
      <c r="V1076" s="57"/>
      <c r="W1076" s="57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</row>
    <row r="1077" spans="1:36" ht="11.25" customHeight="1" x14ac:dyDescent="0.2">
      <c r="A1077" s="53" t="s">
        <v>59</v>
      </c>
      <c r="B1077" s="53" t="s">
        <v>33</v>
      </c>
      <c r="C1077" s="53" t="s">
        <v>34</v>
      </c>
      <c r="D1077" s="53" t="s">
        <v>47</v>
      </c>
      <c r="E1077" s="53" t="s">
        <v>55</v>
      </c>
      <c r="F1077" s="53" t="s">
        <v>25</v>
      </c>
      <c r="G1077" s="53" t="s">
        <v>25</v>
      </c>
      <c r="H1077" s="53" t="s">
        <v>36</v>
      </c>
      <c r="I1077" s="73">
        <v>44075</v>
      </c>
      <c r="J1077" s="74">
        <f>EFEITO!$J$1077*EFEITO!$Y$966</f>
        <v>0</v>
      </c>
      <c r="K1077" s="74">
        <f ca="1">EFEITO!$L$1077*EFEITO!$Z$966</f>
        <v>182822.34590625128</v>
      </c>
      <c r="L1077" s="74">
        <f>EFEITO!$N$1077*EFEITO!$AA$966</f>
        <v>482197.89006670529</v>
      </c>
      <c r="M1077" s="74">
        <f>$J$1077-EFEITO!$K$1077*EFEITO!$Y$1077</f>
        <v>0</v>
      </c>
      <c r="N1077" s="74">
        <f ca="1">$K$1077-EFEITO!$M$1077*EFEITO!$Z$1077</f>
        <v>10969.340754375065</v>
      </c>
      <c r="O1077" s="74">
        <f>$L$1077-EFEITO!$O$1077*EFEITO!$AA$1077</f>
        <v>28931.873404002399</v>
      </c>
      <c r="P1077" s="57"/>
      <c r="Q1077" s="57"/>
      <c r="R1077" s="57"/>
      <c r="S1077" s="57"/>
      <c r="T1077" s="57"/>
      <c r="U1077" s="57"/>
      <c r="V1077" s="57"/>
      <c r="W1077" s="57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</row>
    <row r="1078" spans="1:36" ht="11.25" customHeight="1" x14ac:dyDescent="0.2">
      <c r="A1078" s="53" t="s">
        <v>59</v>
      </c>
      <c r="B1078" s="53" t="s">
        <v>33</v>
      </c>
      <c r="C1078" s="53" t="s">
        <v>34</v>
      </c>
      <c r="D1078" s="53" t="s">
        <v>47</v>
      </c>
      <c r="E1078" s="53" t="s">
        <v>55</v>
      </c>
      <c r="F1078" s="53" t="s">
        <v>25</v>
      </c>
      <c r="G1078" s="53" t="s">
        <v>25</v>
      </c>
      <c r="H1078" s="53" t="s">
        <v>36</v>
      </c>
      <c r="I1078" s="73">
        <v>44075</v>
      </c>
      <c r="J1078" s="74">
        <f>EFEITO!$J$1078*EFEITO!$Y$966</f>
        <v>0</v>
      </c>
      <c r="K1078" s="74">
        <f ca="1">EFEITO!$L$1078*EFEITO!$Z$966</f>
        <v>2304.0347230972948</v>
      </c>
      <c r="L1078" s="74">
        <f>EFEITO!$N$1078*EFEITO!$AA$966</f>
        <v>6076.941396910237</v>
      </c>
      <c r="M1078" s="74">
        <f>$J$1078-EFEITO!$K$1078*EFEITO!$Y$1078</f>
        <v>0</v>
      </c>
      <c r="N1078" s="74">
        <f ca="1">$K$1078-EFEITO!$M$1078*EFEITO!$Z$1078</f>
        <v>138.2420833858373</v>
      </c>
      <c r="O1078" s="74">
        <f>$L$1078-EFEITO!$O$1078*EFEITO!$AA$1078</f>
        <v>364.61648381461509</v>
      </c>
      <c r="P1078" s="57"/>
      <c r="Q1078" s="57"/>
      <c r="R1078" s="57"/>
      <c r="S1078" s="57"/>
      <c r="T1078" s="57"/>
      <c r="U1078" s="57"/>
      <c r="V1078" s="57"/>
      <c r="W1078" s="57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</row>
    <row r="1079" spans="1:36" ht="11.25" customHeight="1" x14ac:dyDescent="0.2">
      <c r="A1079" s="53" t="s">
        <v>21</v>
      </c>
      <c r="B1079" s="53" t="s">
        <v>33</v>
      </c>
      <c r="C1079" s="53" t="s">
        <v>34</v>
      </c>
      <c r="D1079" s="53" t="s">
        <v>47</v>
      </c>
      <c r="E1079" s="53" t="s">
        <v>55</v>
      </c>
      <c r="F1079" s="53" t="s">
        <v>25</v>
      </c>
      <c r="G1079" s="53" t="s">
        <v>25</v>
      </c>
      <c r="H1079" s="53" t="s">
        <v>25</v>
      </c>
      <c r="I1079" s="73">
        <v>43739</v>
      </c>
      <c r="J1079" s="74">
        <f ca="1">EFEITO!$J$1079*EFEITO!$Y$1000</f>
        <v>96703.699541227586</v>
      </c>
      <c r="K1079" s="74">
        <f>EFEITO!$L$1079*EFEITO!$Z$1000</f>
        <v>0</v>
      </c>
      <c r="L1079" s="74">
        <f>EFEITO!$N$1079*EFEITO!$AA$1000</f>
        <v>0</v>
      </c>
      <c r="M1079" s="74">
        <f ca="1">$J$1079-EFEITO!$K$1079*EFEITO!$Y$1079</f>
        <v>5802.2219724736642</v>
      </c>
      <c r="N1079" s="74">
        <f>$K$1079-EFEITO!$M$1079*EFEITO!$Z$1079</f>
        <v>0</v>
      </c>
      <c r="O1079" s="74">
        <f>$L$1079-EFEITO!$O$1079*EFEITO!$AA$1079</f>
        <v>0</v>
      </c>
      <c r="P1079" s="57"/>
      <c r="Q1079" s="57"/>
      <c r="R1079" s="57"/>
      <c r="S1079" s="57"/>
      <c r="T1079" s="57"/>
      <c r="U1079" s="57"/>
      <c r="V1079" s="57"/>
      <c r="W1079" s="57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</row>
    <row r="1080" spans="1:36" ht="11.25" customHeight="1" x14ac:dyDescent="0.2">
      <c r="A1080" s="53" t="s">
        <v>27</v>
      </c>
      <c r="B1080" s="53" t="s">
        <v>33</v>
      </c>
      <c r="C1080" s="53" t="s">
        <v>34</v>
      </c>
      <c r="D1080" s="53" t="s">
        <v>47</v>
      </c>
      <c r="E1080" s="53" t="s">
        <v>55</v>
      </c>
      <c r="F1080" s="53" t="s">
        <v>25</v>
      </c>
      <c r="G1080" s="53" t="s">
        <v>25</v>
      </c>
      <c r="H1080" s="53" t="s">
        <v>25</v>
      </c>
      <c r="I1080" s="73">
        <v>43739</v>
      </c>
      <c r="J1080" s="74">
        <f ca="1">EFEITO!$J$1080*EFEITO!$Y$1000</f>
        <v>790.21260875707048</v>
      </c>
      <c r="K1080" s="74">
        <f>EFEITO!$L$1080*EFEITO!$Z$1000</f>
        <v>0</v>
      </c>
      <c r="L1080" s="74">
        <f>EFEITO!$N$1080*EFEITO!$AA$1000</f>
        <v>0</v>
      </c>
      <c r="M1080" s="74">
        <f ca="1">$J$1080-EFEITO!$K$1080*EFEITO!$Y$1080</f>
        <v>47.412756525424243</v>
      </c>
      <c r="N1080" s="74">
        <f>$K$1080-EFEITO!$M$1080*EFEITO!$Z$1080</f>
        <v>0</v>
      </c>
      <c r="O1080" s="74">
        <f>$L$1080-EFEITO!$O$1080*EFEITO!$AA$1080</f>
        <v>0</v>
      </c>
      <c r="P1080" s="57"/>
      <c r="Q1080" s="57"/>
      <c r="R1080" s="57"/>
      <c r="S1080" s="57"/>
      <c r="T1080" s="57"/>
      <c r="U1080" s="57"/>
      <c r="V1080" s="57"/>
      <c r="W1080" s="57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</row>
    <row r="1081" spans="1:36" ht="11.25" customHeight="1" x14ac:dyDescent="0.2">
      <c r="A1081" s="53" t="s">
        <v>21</v>
      </c>
      <c r="B1081" s="53" t="s">
        <v>33</v>
      </c>
      <c r="C1081" s="53" t="s">
        <v>34</v>
      </c>
      <c r="D1081" s="53" t="s">
        <v>47</v>
      </c>
      <c r="E1081" s="53" t="s">
        <v>55</v>
      </c>
      <c r="F1081" s="53" t="s">
        <v>25</v>
      </c>
      <c r="G1081" s="53" t="s">
        <v>25</v>
      </c>
      <c r="H1081" s="53" t="s">
        <v>25</v>
      </c>
      <c r="I1081" s="73">
        <v>43770</v>
      </c>
      <c r="J1081" s="74">
        <f ca="1">EFEITO!$J$1081*EFEITO!$Y$1000</f>
        <v>123914.49893842757</v>
      </c>
      <c r="K1081" s="74">
        <f>EFEITO!$L$1081*EFEITO!$Z$1000</f>
        <v>0</v>
      </c>
      <c r="L1081" s="74">
        <f>EFEITO!$N$1081*EFEITO!$AA$1000</f>
        <v>0</v>
      </c>
      <c r="M1081" s="74">
        <f ca="1">$J$1081-EFEITO!$K$1081*EFEITO!$Y$1081</f>
        <v>7434.8699363056512</v>
      </c>
      <c r="N1081" s="74">
        <f>$K$1081-EFEITO!$M$1081*EFEITO!$Z$1081</f>
        <v>0</v>
      </c>
      <c r="O1081" s="74">
        <f>$L$1081-EFEITO!$O$1081*EFEITO!$AA$1081</f>
        <v>0</v>
      </c>
      <c r="P1081" s="57"/>
      <c r="Q1081" s="57"/>
      <c r="R1081" s="57"/>
      <c r="S1081" s="57"/>
      <c r="T1081" s="57"/>
      <c r="U1081" s="57"/>
      <c r="V1081" s="57"/>
      <c r="W1081" s="57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</row>
    <row r="1082" spans="1:36" ht="11.25" customHeight="1" x14ac:dyDescent="0.2">
      <c r="A1082" s="53" t="s">
        <v>27</v>
      </c>
      <c r="B1082" s="53" t="s">
        <v>33</v>
      </c>
      <c r="C1082" s="53" t="s">
        <v>34</v>
      </c>
      <c r="D1082" s="53" t="s">
        <v>47</v>
      </c>
      <c r="E1082" s="53" t="s">
        <v>55</v>
      </c>
      <c r="F1082" s="53" t="s">
        <v>25</v>
      </c>
      <c r="G1082" s="53" t="s">
        <v>25</v>
      </c>
      <c r="H1082" s="53" t="s">
        <v>25</v>
      </c>
      <c r="I1082" s="73">
        <v>43770</v>
      </c>
      <c r="J1082" s="74">
        <f ca="1">EFEITO!$J$1082*EFEITO!$Y$1000</f>
        <v>7077.5564088676747</v>
      </c>
      <c r="K1082" s="74">
        <f>EFEITO!$L$1082*EFEITO!$Z$1000</f>
        <v>0</v>
      </c>
      <c r="L1082" s="74">
        <f>EFEITO!$N$1082*EFEITO!$AA$1000</f>
        <v>0</v>
      </c>
      <c r="M1082" s="74">
        <f ca="1">$J$1082-EFEITO!$K$1082*EFEITO!$Y$1082</f>
        <v>424.65338453206004</v>
      </c>
      <c r="N1082" s="74">
        <f>$K$1082-EFEITO!$M$1082*EFEITO!$Z$1082</f>
        <v>0</v>
      </c>
      <c r="O1082" s="74">
        <f>$L$1082-EFEITO!$O$1082*EFEITO!$AA$1082</f>
        <v>0</v>
      </c>
      <c r="P1082" s="57"/>
      <c r="Q1082" s="57"/>
      <c r="R1082" s="57"/>
      <c r="S1082" s="57"/>
      <c r="T1082" s="57"/>
      <c r="U1082" s="57"/>
      <c r="V1082" s="57"/>
      <c r="W1082" s="57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</row>
    <row r="1083" spans="1:36" ht="11.25" customHeight="1" x14ac:dyDescent="0.2">
      <c r="A1083" s="53" t="s">
        <v>21</v>
      </c>
      <c r="B1083" s="53" t="s">
        <v>33</v>
      </c>
      <c r="C1083" s="53" t="s">
        <v>34</v>
      </c>
      <c r="D1083" s="53" t="s">
        <v>47</v>
      </c>
      <c r="E1083" s="53" t="s">
        <v>55</v>
      </c>
      <c r="F1083" s="53" t="s">
        <v>25</v>
      </c>
      <c r="G1083" s="53" t="s">
        <v>25</v>
      </c>
      <c r="H1083" s="53" t="s">
        <v>25</v>
      </c>
      <c r="I1083" s="73">
        <v>43800</v>
      </c>
      <c r="J1083" s="74">
        <f ca="1">EFEITO!$J$1083*EFEITO!$Y$1000</f>
        <v>83235.728122411427</v>
      </c>
      <c r="K1083" s="74">
        <f>EFEITO!$L$1083*EFEITO!$Z$1000</f>
        <v>0</v>
      </c>
      <c r="L1083" s="74">
        <f>EFEITO!$N$1083*EFEITO!$AA$1000</f>
        <v>0</v>
      </c>
      <c r="M1083" s="74">
        <f ca="1">$J$1083-EFEITO!$K$1083*EFEITO!$Y$1083</f>
        <v>4994.1436873446946</v>
      </c>
      <c r="N1083" s="74">
        <f>$K$1083-EFEITO!$M$1083*EFEITO!$Z$1083</f>
        <v>0</v>
      </c>
      <c r="O1083" s="74">
        <f>$L$1083-EFEITO!$O$1083*EFEITO!$AA$1083</f>
        <v>0</v>
      </c>
      <c r="P1083" s="57"/>
      <c r="Q1083" s="57"/>
      <c r="R1083" s="57"/>
      <c r="S1083" s="57"/>
      <c r="T1083" s="57"/>
      <c r="U1083" s="57"/>
      <c r="V1083" s="57"/>
      <c r="W1083" s="57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</row>
    <row r="1084" spans="1:36" ht="11.25" customHeight="1" x14ac:dyDescent="0.2">
      <c r="A1084" s="53" t="s">
        <v>27</v>
      </c>
      <c r="B1084" s="53" t="s">
        <v>33</v>
      </c>
      <c r="C1084" s="53" t="s">
        <v>34</v>
      </c>
      <c r="D1084" s="53" t="s">
        <v>47</v>
      </c>
      <c r="E1084" s="53" t="s">
        <v>55</v>
      </c>
      <c r="F1084" s="53" t="s">
        <v>25</v>
      </c>
      <c r="G1084" s="53" t="s">
        <v>25</v>
      </c>
      <c r="H1084" s="53" t="s">
        <v>25</v>
      </c>
      <c r="I1084" s="73">
        <v>43800</v>
      </c>
      <c r="J1084" s="74">
        <f ca="1">EFEITO!$J$1084*EFEITO!$Y$1000</f>
        <v>5920.868387353702</v>
      </c>
      <c r="K1084" s="74">
        <f>EFEITO!$L$1084*EFEITO!$Z$1000</f>
        <v>0</v>
      </c>
      <c r="L1084" s="74">
        <f>EFEITO!$N$1084*EFEITO!$AA$1000</f>
        <v>0</v>
      </c>
      <c r="M1084" s="74">
        <f ca="1">$J$1084-EFEITO!$K$1084*EFEITO!$Y$1084</f>
        <v>355.25210324122236</v>
      </c>
      <c r="N1084" s="74">
        <f>$K$1084-EFEITO!$M$1084*EFEITO!$Z$1084</f>
        <v>0</v>
      </c>
      <c r="O1084" s="74">
        <f>$L$1084-EFEITO!$O$1084*EFEITO!$AA$1084</f>
        <v>0</v>
      </c>
      <c r="P1084" s="57"/>
      <c r="Q1084" s="57"/>
      <c r="R1084" s="57"/>
      <c r="S1084" s="57"/>
      <c r="T1084" s="57"/>
      <c r="U1084" s="57"/>
      <c r="V1084" s="57"/>
      <c r="W1084" s="57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</row>
    <row r="1085" spans="1:36" ht="11.25" customHeight="1" x14ac:dyDescent="0.2">
      <c r="A1085" s="53" t="s">
        <v>21</v>
      </c>
      <c r="B1085" s="53" t="s">
        <v>33</v>
      </c>
      <c r="C1085" s="53" t="s">
        <v>34</v>
      </c>
      <c r="D1085" s="53" t="s">
        <v>47</v>
      </c>
      <c r="E1085" s="53" t="s">
        <v>55</v>
      </c>
      <c r="F1085" s="53" t="s">
        <v>25</v>
      </c>
      <c r="G1085" s="53" t="s">
        <v>25</v>
      </c>
      <c r="H1085" s="53" t="s">
        <v>25</v>
      </c>
      <c r="I1085" s="73">
        <v>43831</v>
      </c>
      <c r="J1085" s="74">
        <f ca="1">EFEITO!$J$1085*EFEITO!$Y$1000</f>
        <v>114993.11310912673</v>
      </c>
      <c r="K1085" s="74">
        <f>EFEITO!$L$1085*EFEITO!$Z$1000</f>
        <v>0</v>
      </c>
      <c r="L1085" s="74">
        <f>EFEITO!$N$1085*EFEITO!$AA$1000</f>
        <v>0</v>
      </c>
      <c r="M1085" s="74">
        <f ca="1">$J$1085-EFEITO!$K$1085*EFEITO!$Y$1085</f>
        <v>6899.586786547603</v>
      </c>
      <c r="N1085" s="74">
        <f>$K$1085-EFEITO!$M$1085*EFEITO!$Z$1085</f>
        <v>0</v>
      </c>
      <c r="O1085" s="74">
        <f>$L$1085-EFEITO!$O$1085*EFEITO!$AA$1085</f>
        <v>0</v>
      </c>
      <c r="P1085" s="57"/>
      <c r="Q1085" s="57"/>
      <c r="R1085" s="57"/>
      <c r="S1085" s="57"/>
      <c r="T1085" s="57"/>
      <c r="U1085" s="57"/>
      <c r="V1085" s="57"/>
      <c r="W1085" s="57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</row>
    <row r="1086" spans="1:36" ht="11.25" customHeight="1" x14ac:dyDescent="0.2">
      <c r="A1086" s="53" t="s">
        <v>27</v>
      </c>
      <c r="B1086" s="53" t="s">
        <v>33</v>
      </c>
      <c r="C1086" s="53" t="s">
        <v>34</v>
      </c>
      <c r="D1086" s="53" t="s">
        <v>47</v>
      </c>
      <c r="E1086" s="53" t="s">
        <v>55</v>
      </c>
      <c r="F1086" s="53" t="s">
        <v>25</v>
      </c>
      <c r="G1086" s="53" t="s">
        <v>25</v>
      </c>
      <c r="H1086" s="53" t="s">
        <v>25</v>
      </c>
      <c r="I1086" s="73">
        <v>43831</v>
      </c>
      <c r="J1086" s="74">
        <f ca="1">EFEITO!$J$1086*EFEITO!$Y$1000</f>
        <v>6161.3678769754188</v>
      </c>
      <c r="K1086" s="74">
        <f>EFEITO!$L$1086*EFEITO!$Z$1000</f>
        <v>0</v>
      </c>
      <c r="L1086" s="74">
        <f>EFEITO!$N$1086*EFEITO!$AA$1000</f>
        <v>0</v>
      </c>
      <c r="M1086" s="74">
        <f ca="1">$J$1086-EFEITO!$K$1086*EFEITO!$Y$1086</f>
        <v>369.68207261852513</v>
      </c>
      <c r="N1086" s="74">
        <f>$K$1086-EFEITO!$M$1086*EFEITO!$Z$1086</f>
        <v>0</v>
      </c>
      <c r="O1086" s="74">
        <f>$L$1086-EFEITO!$O$1086*EFEITO!$AA$1086</f>
        <v>0</v>
      </c>
      <c r="P1086" s="57"/>
      <c r="Q1086" s="57"/>
      <c r="R1086" s="57"/>
      <c r="S1086" s="57"/>
      <c r="T1086" s="57"/>
      <c r="U1086" s="57"/>
      <c r="V1086" s="57"/>
      <c r="W1086" s="57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</row>
    <row r="1087" spans="1:36" ht="11.25" customHeight="1" x14ac:dyDescent="0.2">
      <c r="A1087" s="53" t="s">
        <v>21</v>
      </c>
      <c r="B1087" s="53" t="s">
        <v>33</v>
      </c>
      <c r="C1087" s="53" t="s">
        <v>34</v>
      </c>
      <c r="D1087" s="53" t="s">
        <v>47</v>
      </c>
      <c r="E1087" s="53" t="s">
        <v>55</v>
      </c>
      <c r="F1087" s="53" t="s">
        <v>25</v>
      </c>
      <c r="G1087" s="53" t="s">
        <v>25</v>
      </c>
      <c r="H1087" s="53" t="s">
        <v>25</v>
      </c>
      <c r="I1087" s="73">
        <v>43862</v>
      </c>
      <c r="J1087" s="74">
        <f ca="1">EFEITO!$J$1087*EFEITO!$Y$1000</f>
        <v>103746.8988801493</v>
      </c>
      <c r="K1087" s="74">
        <f>EFEITO!$L$1087*EFEITO!$Z$1000</f>
        <v>0</v>
      </c>
      <c r="L1087" s="74">
        <f>EFEITO!$N$1087*EFEITO!$AA$1000</f>
        <v>0</v>
      </c>
      <c r="M1087" s="74">
        <f ca="1">$J$1087-EFEITO!$K$1087*EFEITO!$Y$1087</f>
        <v>6224.8139328089601</v>
      </c>
      <c r="N1087" s="74">
        <f>$K$1087-EFEITO!$M$1087*EFEITO!$Z$1087</f>
        <v>0</v>
      </c>
      <c r="O1087" s="74">
        <f>$L$1087-EFEITO!$O$1087*EFEITO!$AA$1087</f>
        <v>0</v>
      </c>
      <c r="P1087" s="57"/>
      <c r="Q1087" s="57"/>
      <c r="R1087" s="57"/>
      <c r="S1087" s="57"/>
      <c r="T1087" s="57"/>
      <c r="U1087" s="57"/>
      <c r="V1087" s="57"/>
      <c r="W1087" s="57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</row>
    <row r="1088" spans="1:36" ht="11.25" customHeight="1" x14ac:dyDescent="0.2">
      <c r="A1088" s="53" t="s">
        <v>27</v>
      </c>
      <c r="B1088" s="53" t="s">
        <v>33</v>
      </c>
      <c r="C1088" s="53" t="s">
        <v>34</v>
      </c>
      <c r="D1088" s="53" t="s">
        <v>47</v>
      </c>
      <c r="E1088" s="53" t="s">
        <v>55</v>
      </c>
      <c r="F1088" s="53" t="s">
        <v>25</v>
      </c>
      <c r="G1088" s="53" t="s">
        <v>25</v>
      </c>
      <c r="H1088" s="53" t="s">
        <v>25</v>
      </c>
      <c r="I1088" s="73">
        <v>43862</v>
      </c>
      <c r="J1088" s="74">
        <f ca="1">EFEITO!$J$1088*EFEITO!$Y$1000</f>
        <v>9539.8130883281119</v>
      </c>
      <c r="K1088" s="74">
        <f>EFEITO!$L$1088*EFEITO!$Z$1000</f>
        <v>0</v>
      </c>
      <c r="L1088" s="74">
        <f>EFEITO!$N$1088*EFEITO!$AA$1000</f>
        <v>0</v>
      </c>
      <c r="M1088" s="74">
        <f ca="1">$J$1088-EFEITO!$K$1088*EFEITO!$Y$1088</f>
        <v>572.38878529968679</v>
      </c>
      <c r="N1088" s="74">
        <f>$K$1088-EFEITO!$M$1088*EFEITO!$Z$1088</f>
        <v>0</v>
      </c>
      <c r="O1088" s="74">
        <f>$L$1088-EFEITO!$O$1088*EFEITO!$AA$1088</f>
        <v>0</v>
      </c>
      <c r="P1088" s="57"/>
      <c r="Q1088" s="57"/>
      <c r="R1088" s="57"/>
      <c r="S1088" s="57"/>
      <c r="T1088" s="57"/>
      <c r="U1088" s="57"/>
      <c r="V1088" s="57"/>
      <c r="W1088" s="57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</row>
    <row r="1089" spans="1:36" ht="11.25" customHeight="1" x14ac:dyDescent="0.2">
      <c r="A1089" s="53" t="s">
        <v>21</v>
      </c>
      <c r="B1089" s="53" t="s">
        <v>33</v>
      </c>
      <c r="C1089" s="53" t="s">
        <v>34</v>
      </c>
      <c r="D1089" s="53" t="s">
        <v>47</v>
      </c>
      <c r="E1089" s="53" t="s">
        <v>55</v>
      </c>
      <c r="F1089" s="53" t="s">
        <v>25</v>
      </c>
      <c r="G1089" s="53" t="s">
        <v>25</v>
      </c>
      <c r="H1089" s="53" t="s">
        <v>25</v>
      </c>
      <c r="I1089" s="73">
        <v>43891</v>
      </c>
      <c r="J1089" s="74">
        <f ca="1">EFEITO!$J$1089*EFEITO!$Y$1000</f>
        <v>65518.932386944929</v>
      </c>
      <c r="K1089" s="74">
        <f>EFEITO!$L$1089*EFEITO!$Z$1000</f>
        <v>0</v>
      </c>
      <c r="L1089" s="74">
        <f>EFEITO!$N$1089*EFEITO!$AA$1000</f>
        <v>0</v>
      </c>
      <c r="M1089" s="74">
        <f ca="1">$J$1089-EFEITO!$K$1089*EFEITO!$Y$1089</f>
        <v>3931.1359432166937</v>
      </c>
      <c r="N1089" s="74">
        <f>$K$1089-EFEITO!$M$1089*EFEITO!$Z$1089</f>
        <v>0</v>
      </c>
      <c r="O1089" s="74">
        <f>$L$1089-EFEITO!$O$1089*EFEITO!$AA$1089</f>
        <v>0</v>
      </c>
      <c r="P1089" s="57"/>
      <c r="Q1089" s="57"/>
      <c r="R1089" s="57"/>
      <c r="S1089" s="57"/>
      <c r="T1089" s="57"/>
      <c r="U1089" s="57"/>
      <c r="V1089" s="57"/>
      <c r="W1089" s="57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</row>
    <row r="1090" spans="1:36" ht="11.25" customHeight="1" x14ac:dyDescent="0.2">
      <c r="A1090" s="53" t="s">
        <v>27</v>
      </c>
      <c r="B1090" s="53" t="s">
        <v>33</v>
      </c>
      <c r="C1090" s="53" t="s">
        <v>34</v>
      </c>
      <c r="D1090" s="53" t="s">
        <v>47</v>
      </c>
      <c r="E1090" s="53" t="s">
        <v>55</v>
      </c>
      <c r="F1090" s="53" t="s">
        <v>25</v>
      </c>
      <c r="G1090" s="53" t="s">
        <v>25</v>
      </c>
      <c r="H1090" s="53" t="s">
        <v>25</v>
      </c>
      <c r="I1090" s="73">
        <v>43891</v>
      </c>
      <c r="J1090" s="74">
        <f ca="1">EFEITO!$J$1090*EFEITO!$Y$1000</f>
        <v>4306.0860998936014</v>
      </c>
      <c r="K1090" s="74">
        <f>EFEITO!$L$1090*EFEITO!$Z$1000</f>
        <v>0</v>
      </c>
      <c r="L1090" s="74">
        <f>EFEITO!$N$1090*EFEITO!$AA$1000</f>
        <v>0</v>
      </c>
      <c r="M1090" s="74">
        <f ca="1">$J$1090-EFEITO!$K$1090*EFEITO!$Y$1090</f>
        <v>258.36516599361585</v>
      </c>
      <c r="N1090" s="74">
        <f>$K$1090-EFEITO!$M$1090*EFEITO!$Z$1090</f>
        <v>0</v>
      </c>
      <c r="O1090" s="74">
        <f>$L$1090-EFEITO!$O$1090*EFEITO!$AA$1090</f>
        <v>0</v>
      </c>
      <c r="P1090" s="57"/>
      <c r="Q1090" s="57"/>
      <c r="R1090" s="57"/>
      <c r="S1090" s="57"/>
      <c r="T1090" s="57"/>
      <c r="U1090" s="57"/>
      <c r="V1090" s="57"/>
      <c r="W1090" s="57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</row>
    <row r="1091" spans="1:36" ht="11.25" customHeight="1" x14ac:dyDescent="0.2">
      <c r="A1091" s="53" t="s">
        <v>21</v>
      </c>
      <c r="B1091" s="53" t="s">
        <v>33</v>
      </c>
      <c r="C1091" s="53" t="s">
        <v>34</v>
      </c>
      <c r="D1091" s="53" t="s">
        <v>47</v>
      </c>
      <c r="E1091" s="53" t="s">
        <v>55</v>
      </c>
      <c r="F1091" s="53" t="s">
        <v>25</v>
      </c>
      <c r="G1091" s="53" t="s">
        <v>25</v>
      </c>
      <c r="H1091" s="53" t="s">
        <v>25</v>
      </c>
      <c r="I1091" s="73">
        <v>43922</v>
      </c>
      <c r="J1091" s="74">
        <f ca="1">EFEITO!$J$1091*EFEITO!$Y$1000</f>
        <v>96028.010498957039</v>
      </c>
      <c r="K1091" s="74">
        <f>EFEITO!$L$1091*EFEITO!$Z$1000</f>
        <v>0</v>
      </c>
      <c r="L1091" s="74">
        <f>EFEITO!$N$1091*EFEITO!$AA$1000</f>
        <v>0</v>
      </c>
      <c r="M1091" s="74">
        <f ca="1">$J$1091-EFEITO!$K$1091*EFEITO!$Y$1091</f>
        <v>5761.6806299374148</v>
      </c>
      <c r="N1091" s="74">
        <f>$K$1091-EFEITO!$M$1091*EFEITO!$Z$1091</f>
        <v>0</v>
      </c>
      <c r="O1091" s="74">
        <f>$L$1091-EFEITO!$O$1091*EFEITO!$AA$1091</f>
        <v>0</v>
      </c>
      <c r="P1091" s="57"/>
      <c r="Q1091" s="57"/>
      <c r="R1091" s="57"/>
      <c r="S1091" s="57"/>
      <c r="T1091" s="57"/>
      <c r="U1091" s="57"/>
      <c r="V1091" s="57"/>
      <c r="W1091" s="57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</row>
    <row r="1092" spans="1:36" ht="11.25" customHeight="1" x14ac:dyDescent="0.2">
      <c r="A1092" s="53" t="s">
        <v>27</v>
      </c>
      <c r="B1092" s="53" t="s">
        <v>33</v>
      </c>
      <c r="C1092" s="53" t="s">
        <v>34</v>
      </c>
      <c r="D1092" s="53" t="s">
        <v>47</v>
      </c>
      <c r="E1092" s="53" t="s">
        <v>55</v>
      </c>
      <c r="F1092" s="53" t="s">
        <v>25</v>
      </c>
      <c r="G1092" s="53" t="s">
        <v>25</v>
      </c>
      <c r="H1092" s="53" t="s">
        <v>25</v>
      </c>
      <c r="I1092" s="73">
        <v>43922</v>
      </c>
      <c r="J1092" s="74">
        <f ca="1">EFEITO!$J$1092*EFEITO!$Y$1000</f>
        <v>4317.5384565422546</v>
      </c>
      <c r="K1092" s="74">
        <f>EFEITO!$L$1092*EFEITO!$Z$1000</f>
        <v>0</v>
      </c>
      <c r="L1092" s="74">
        <f>EFEITO!$N$1092*EFEITO!$AA$1000</f>
        <v>0</v>
      </c>
      <c r="M1092" s="74">
        <f ca="1">$J$1092-EFEITO!$K$1092*EFEITO!$Y$1092</f>
        <v>259.05230739253511</v>
      </c>
      <c r="N1092" s="74">
        <f>$K$1092-EFEITO!$M$1092*EFEITO!$Z$1092</f>
        <v>0</v>
      </c>
      <c r="O1092" s="74">
        <f>$L$1092-EFEITO!$O$1092*EFEITO!$AA$1092</f>
        <v>0</v>
      </c>
      <c r="P1092" s="57"/>
      <c r="Q1092" s="57"/>
      <c r="R1092" s="57"/>
      <c r="S1092" s="57"/>
      <c r="T1092" s="57"/>
      <c r="U1092" s="57"/>
      <c r="V1092" s="57"/>
      <c r="W1092" s="57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</row>
    <row r="1093" spans="1:36" ht="11.25" customHeight="1" x14ac:dyDescent="0.2">
      <c r="A1093" s="53" t="s">
        <v>21</v>
      </c>
      <c r="B1093" s="53" t="s">
        <v>33</v>
      </c>
      <c r="C1093" s="53" t="s">
        <v>34</v>
      </c>
      <c r="D1093" s="53" t="s">
        <v>47</v>
      </c>
      <c r="E1093" s="53" t="s">
        <v>55</v>
      </c>
      <c r="F1093" s="53" t="s">
        <v>25</v>
      </c>
      <c r="G1093" s="53" t="s">
        <v>25</v>
      </c>
      <c r="H1093" s="53" t="s">
        <v>25</v>
      </c>
      <c r="I1093" s="73">
        <v>43952</v>
      </c>
      <c r="J1093" s="74">
        <f ca="1">EFEITO!$J$1093*EFEITO!$Y$1000</f>
        <v>139489.70398059592</v>
      </c>
      <c r="K1093" s="74">
        <f>EFEITO!$L$1093*EFEITO!$Z$1000</f>
        <v>0</v>
      </c>
      <c r="L1093" s="74">
        <f>EFEITO!$N$1093*EFEITO!$AA$1000</f>
        <v>0</v>
      </c>
      <c r="M1093" s="74">
        <f ca="1">$J$1093-EFEITO!$K$1093*EFEITO!$Y$1093</f>
        <v>8369.3822388357657</v>
      </c>
      <c r="N1093" s="74">
        <f>$K$1093-EFEITO!$M$1093*EFEITO!$Z$1093</f>
        <v>0</v>
      </c>
      <c r="O1093" s="74">
        <f>$L$1093-EFEITO!$O$1093*EFEITO!$AA$1093</f>
        <v>0</v>
      </c>
      <c r="P1093" s="57"/>
      <c r="Q1093" s="57"/>
      <c r="R1093" s="57"/>
      <c r="S1093" s="57"/>
      <c r="T1093" s="57"/>
      <c r="U1093" s="57"/>
      <c r="V1093" s="57"/>
      <c r="W1093" s="57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</row>
    <row r="1094" spans="1:36" ht="11.25" customHeight="1" x14ac:dyDescent="0.2">
      <c r="A1094" s="53" t="s">
        <v>27</v>
      </c>
      <c r="B1094" s="53" t="s">
        <v>33</v>
      </c>
      <c r="C1094" s="53" t="s">
        <v>34</v>
      </c>
      <c r="D1094" s="53" t="s">
        <v>47</v>
      </c>
      <c r="E1094" s="53" t="s">
        <v>55</v>
      </c>
      <c r="F1094" s="53" t="s">
        <v>25</v>
      </c>
      <c r="G1094" s="53" t="s">
        <v>25</v>
      </c>
      <c r="H1094" s="53" t="s">
        <v>25</v>
      </c>
      <c r="I1094" s="73">
        <v>43952</v>
      </c>
      <c r="J1094" s="74">
        <f ca="1">EFEITO!$J$1094*EFEITO!$Y$1000</f>
        <v>5978.1301705969681</v>
      </c>
      <c r="K1094" s="74">
        <f>EFEITO!$L$1094*EFEITO!$Z$1000</f>
        <v>0</v>
      </c>
      <c r="L1094" s="74">
        <f>EFEITO!$N$1094*EFEITO!$AA$1000</f>
        <v>0</v>
      </c>
      <c r="M1094" s="74">
        <f ca="1">$J$1094-EFEITO!$K$1094*EFEITO!$Y$1094</f>
        <v>358.68781023581778</v>
      </c>
      <c r="N1094" s="74">
        <f>$K$1094-EFEITO!$M$1094*EFEITO!$Z$1094</f>
        <v>0</v>
      </c>
      <c r="O1094" s="74">
        <f>$L$1094-EFEITO!$O$1094*EFEITO!$AA$1094</f>
        <v>0</v>
      </c>
      <c r="P1094" s="57"/>
      <c r="Q1094" s="57"/>
      <c r="R1094" s="57"/>
      <c r="S1094" s="57"/>
      <c r="T1094" s="57"/>
      <c r="U1094" s="57"/>
      <c r="V1094" s="57"/>
      <c r="W1094" s="57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</row>
    <row r="1095" spans="1:36" ht="11.25" customHeight="1" x14ac:dyDescent="0.2">
      <c r="A1095" s="53" t="s">
        <v>21</v>
      </c>
      <c r="B1095" s="53" t="s">
        <v>33</v>
      </c>
      <c r="C1095" s="53" t="s">
        <v>34</v>
      </c>
      <c r="D1095" s="53" t="s">
        <v>47</v>
      </c>
      <c r="E1095" s="53" t="s">
        <v>55</v>
      </c>
      <c r="F1095" s="53" t="s">
        <v>25</v>
      </c>
      <c r="G1095" s="53" t="s">
        <v>25</v>
      </c>
      <c r="H1095" s="53" t="s">
        <v>25</v>
      </c>
      <c r="I1095" s="73">
        <v>43983</v>
      </c>
      <c r="J1095" s="74">
        <f ca="1">EFEITO!$J$1095*EFEITO!$Y$1000</f>
        <v>169529.23547001326</v>
      </c>
      <c r="K1095" s="74">
        <f>EFEITO!$L$1095*EFEITO!$Z$1000</f>
        <v>0</v>
      </c>
      <c r="L1095" s="74">
        <f>EFEITO!$N$1095*EFEITO!$AA$1000</f>
        <v>0</v>
      </c>
      <c r="M1095" s="74">
        <f ca="1">$J$1095-EFEITO!$K$1095*EFEITO!$Y$1095</f>
        <v>10171.754128200788</v>
      </c>
      <c r="N1095" s="74">
        <f>$K$1095-EFEITO!$M$1095*EFEITO!$Z$1095</f>
        <v>0</v>
      </c>
      <c r="O1095" s="74">
        <f>$L$1095-EFEITO!$O$1095*EFEITO!$AA$1095</f>
        <v>0</v>
      </c>
      <c r="P1095" s="57"/>
      <c r="Q1095" s="57"/>
      <c r="R1095" s="57"/>
      <c r="S1095" s="57"/>
      <c r="T1095" s="57"/>
      <c r="U1095" s="57"/>
      <c r="V1095" s="57"/>
      <c r="W1095" s="57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</row>
    <row r="1096" spans="1:36" ht="11.25" customHeight="1" x14ac:dyDescent="0.2">
      <c r="A1096" s="53" t="s">
        <v>27</v>
      </c>
      <c r="B1096" s="53" t="s">
        <v>33</v>
      </c>
      <c r="C1096" s="53" t="s">
        <v>34</v>
      </c>
      <c r="D1096" s="53" t="s">
        <v>47</v>
      </c>
      <c r="E1096" s="53" t="s">
        <v>55</v>
      </c>
      <c r="F1096" s="53" t="s">
        <v>25</v>
      </c>
      <c r="G1096" s="53" t="s">
        <v>25</v>
      </c>
      <c r="H1096" s="53" t="s">
        <v>25</v>
      </c>
      <c r="I1096" s="73">
        <v>43983</v>
      </c>
      <c r="J1096" s="74">
        <f ca="1">EFEITO!$J$1096*EFEITO!$Y$1000</f>
        <v>4294.6337432449482</v>
      </c>
      <c r="K1096" s="74">
        <f>EFEITO!$L$1096*EFEITO!$Z$1000</f>
        <v>0</v>
      </c>
      <c r="L1096" s="74">
        <f>EFEITO!$N$1096*EFEITO!$AA$1000</f>
        <v>0</v>
      </c>
      <c r="M1096" s="74">
        <f ca="1">$J$1096-EFEITO!$K$1096*EFEITO!$Y$1096</f>
        <v>257.67802459469658</v>
      </c>
      <c r="N1096" s="74">
        <f>$K$1096-EFEITO!$M$1096*EFEITO!$Z$1096</f>
        <v>0</v>
      </c>
      <c r="O1096" s="74">
        <f>$L$1096-EFEITO!$O$1096*EFEITO!$AA$1096</f>
        <v>0</v>
      </c>
      <c r="P1096" s="57"/>
      <c r="Q1096" s="57"/>
      <c r="R1096" s="57"/>
      <c r="S1096" s="57"/>
      <c r="T1096" s="57"/>
      <c r="U1096" s="57"/>
      <c r="V1096" s="57"/>
      <c r="W1096" s="57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</row>
    <row r="1097" spans="1:36" ht="11.25" customHeight="1" x14ac:dyDescent="0.2">
      <c r="A1097" s="53" t="s">
        <v>21</v>
      </c>
      <c r="B1097" s="53" t="s">
        <v>33</v>
      </c>
      <c r="C1097" s="53" t="s">
        <v>34</v>
      </c>
      <c r="D1097" s="53" t="s">
        <v>47</v>
      </c>
      <c r="E1097" s="53" t="s">
        <v>55</v>
      </c>
      <c r="F1097" s="53" t="s">
        <v>25</v>
      </c>
      <c r="G1097" s="53" t="s">
        <v>25</v>
      </c>
      <c r="H1097" s="53" t="s">
        <v>25</v>
      </c>
      <c r="I1097" s="73">
        <v>44013</v>
      </c>
      <c r="J1097" s="74">
        <f ca="1">EFEITO!$J$1097*EFEITO!$Y$1000</f>
        <v>170445.42400190551</v>
      </c>
      <c r="K1097" s="74">
        <f>EFEITO!$L$1097*EFEITO!$Z$1000</f>
        <v>0</v>
      </c>
      <c r="L1097" s="74">
        <f>EFEITO!$N$1097*EFEITO!$AA$1000</f>
        <v>0</v>
      </c>
      <c r="M1097" s="74">
        <f ca="1">$J$1097-EFEITO!$K$1097*EFEITO!$Y$1097</f>
        <v>10226.725440114329</v>
      </c>
      <c r="N1097" s="74">
        <f>$K$1097-EFEITO!$M$1097*EFEITO!$Z$1097</f>
        <v>0</v>
      </c>
      <c r="O1097" s="74">
        <f>$L$1097-EFEITO!$O$1097*EFEITO!$AA$1097</f>
        <v>0</v>
      </c>
      <c r="P1097" s="57"/>
      <c r="Q1097" s="57"/>
      <c r="R1097" s="57"/>
      <c r="S1097" s="57"/>
      <c r="T1097" s="57"/>
      <c r="U1097" s="57"/>
      <c r="V1097" s="57"/>
      <c r="W1097" s="57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</row>
    <row r="1098" spans="1:36" ht="11.25" customHeight="1" x14ac:dyDescent="0.2">
      <c r="A1098" s="53" t="s">
        <v>27</v>
      </c>
      <c r="B1098" s="53" t="s">
        <v>33</v>
      </c>
      <c r="C1098" s="53" t="s">
        <v>34</v>
      </c>
      <c r="D1098" s="53" t="s">
        <v>47</v>
      </c>
      <c r="E1098" s="53" t="s">
        <v>55</v>
      </c>
      <c r="F1098" s="53" t="s">
        <v>25</v>
      </c>
      <c r="G1098" s="53" t="s">
        <v>25</v>
      </c>
      <c r="H1098" s="53" t="s">
        <v>25</v>
      </c>
      <c r="I1098" s="73">
        <v>44013</v>
      </c>
      <c r="J1098" s="74">
        <f ca="1">EFEITO!$J$1098*EFEITO!$Y$1000</f>
        <v>4077.0389669205374</v>
      </c>
      <c r="K1098" s="74">
        <f>EFEITO!$L$1098*EFEITO!$Z$1000</f>
        <v>0</v>
      </c>
      <c r="L1098" s="74">
        <f>EFEITO!$N$1098*EFEITO!$AA$1000</f>
        <v>0</v>
      </c>
      <c r="M1098" s="74">
        <f ca="1">$J$1098-EFEITO!$K$1098*EFEITO!$Y$1098</f>
        <v>244.62233801523189</v>
      </c>
      <c r="N1098" s="74">
        <f>$K$1098-EFEITO!$M$1098*EFEITO!$Z$1098</f>
        <v>0</v>
      </c>
      <c r="O1098" s="74">
        <f>$L$1098-EFEITO!$O$1098*EFEITO!$AA$1098</f>
        <v>0</v>
      </c>
      <c r="P1098" s="57"/>
      <c r="Q1098" s="57"/>
      <c r="R1098" s="57"/>
      <c r="S1098" s="57"/>
      <c r="T1098" s="57"/>
      <c r="U1098" s="57"/>
      <c r="V1098" s="57"/>
      <c r="W1098" s="57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</row>
    <row r="1099" spans="1:36" ht="11.25" customHeight="1" x14ac:dyDescent="0.2">
      <c r="A1099" s="53" t="s">
        <v>21</v>
      </c>
      <c r="B1099" s="53" t="s">
        <v>33</v>
      </c>
      <c r="C1099" s="53" t="s">
        <v>34</v>
      </c>
      <c r="D1099" s="53" t="s">
        <v>47</v>
      </c>
      <c r="E1099" s="53" t="s">
        <v>55</v>
      </c>
      <c r="F1099" s="53" t="s">
        <v>25</v>
      </c>
      <c r="G1099" s="53" t="s">
        <v>25</v>
      </c>
      <c r="H1099" s="53" t="s">
        <v>25</v>
      </c>
      <c r="I1099" s="73">
        <v>44044</v>
      </c>
      <c r="J1099" s="74">
        <f ca="1">EFEITO!$J$1099*EFEITO!$Y$1000</f>
        <v>149762.46789443784</v>
      </c>
      <c r="K1099" s="74">
        <f>EFEITO!$L$1099*EFEITO!$Z$1000</f>
        <v>0</v>
      </c>
      <c r="L1099" s="74">
        <f>EFEITO!$N$1099*EFEITO!$AA$1000</f>
        <v>0</v>
      </c>
      <c r="M1099" s="74">
        <f ca="1">$J$1099-EFEITO!$K$1099*EFEITO!$Y$1099</f>
        <v>8985.7480736662692</v>
      </c>
      <c r="N1099" s="74">
        <f>$K$1099-EFEITO!$M$1099*EFEITO!$Z$1099</f>
        <v>0</v>
      </c>
      <c r="O1099" s="74">
        <f>$L$1099-EFEITO!$O$1099*EFEITO!$AA$1099</f>
        <v>0</v>
      </c>
      <c r="P1099" s="57"/>
      <c r="Q1099" s="57"/>
      <c r="R1099" s="57"/>
      <c r="S1099" s="57"/>
      <c r="T1099" s="57"/>
      <c r="U1099" s="57"/>
      <c r="V1099" s="57"/>
      <c r="W1099" s="57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</row>
    <row r="1100" spans="1:36" ht="11.25" customHeight="1" x14ac:dyDescent="0.2">
      <c r="A1100" s="53" t="s">
        <v>27</v>
      </c>
      <c r="B1100" s="53" t="s">
        <v>33</v>
      </c>
      <c r="C1100" s="53" t="s">
        <v>34</v>
      </c>
      <c r="D1100" s="53" t="s">
        <v>47</v>
      </c>
      <c r="E1100" s="53" t="s">
        <v>55</v>
      </c>
      <c r="F1100" s="53" t="s">
        <v>25</v>
      </c>
      <c r="G1100" s="53" t="s">
        <v>25</v>
      </c>
      <c r="H1100" s="53" t="s">
        <v>25</v>
      </c>
      <c r="I1100" s="73">
        <v>44044</v>
      </c>
      <c r="J1100" s="74">
        <f ca="1">EFEITO!$J$1100*EFEITO!$Y$1000</f>
        <v>4306.0860998936014</v>
      </c>
      <c r="K1100" s="74">
        <f>EFEITO!$L$1100*EFEITO!$Z$1000</f>
        <v>0</v>
      </c>
      <c r="L1100" s="74">
        <f>EFEITO!$N$1100*EFEITO!$AA$1000</f>
        <v>0</v>
      </c>
      <c r="M1100" s="74">
        <f ca="1">$J$1100-EFEITO!$K$1100*EFEITO!$Y$1100</f>
        <v>258.36516599361585</v>
      </c>
      <c r="N1100" s="74">
        <f>$K$1100-EFEITO!$M$1100*EFEITO!$Z$1100</f>
        <v>0</v>
      </c>
      <c r="O1100" s="74">
        <f>$L$1100-EFEITO!$O$1100*EFEITO!$AA$1100</f>
        <v>0</v>
      </c>
      <c r="P1100" s="57"/>
      <c r="Q1100" s="57"/>
      <c r="R1100" s="57"/>
      <c r="S1100" s="57"/>
      <c r="T1100" s="57"/>
      <c r="U1100" s="57"/>
      <c r="V1100" s="57"/>
      <c r="W1100" s="57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</row>
    <row r="1101" spans="1:36" ht="11.25" customHeight="1" x14ac:dyDescent="0.2">
      <c r="A1101" s="53" t="s">
        <v>59</v>
      </c>
      <c r="B1101" s="53" t="s">
        <v>33</v>
      </c>
      <c r="C1101" s="53" t="s">
        <v>34</v>
      </c>
      <c r="D1101" s="53" t="s">
        <v>47</v>
      </c>
      <c r="E1101" s="53" t="s">
        <v>55</v>
      </c>
      <c r="F1101" s="53" t="s">
        <v>25</v>
      </c>
      <c r="G1101" s="53" t="s">
        <v>25</v>
      </c>
      <c r="H1101" s="53" t="s">
        <v>25</v>
      </c>
      <c r="I1101" s="73">
        <v>44075</v>
      </c>
      <c r="J1101" s="74">
        <f ca="1">EFEITO!$J$1101*EFEITO!$Y$1000</f>
        <v>149762.46789443784</v>
      </c>
      <c r="K1101" s="74">
        <f>EFEITO!$L$1101*EFEITO!$Z$1000</f>
        <v>0</v>
      </c>
      <c r="L1101" s="74">
        <f>EFEITO!$N$1101*EFEITO!$AA$1000</f>
        <v>0</v>
      </c>
      <c r="M1101" s="74">
        <f ca="1">$J$1101-EFEITO!$K$1101*EFEITO!$Y$1101</f>
        <v>8985.7480736662692</v>
      </c>
      <c r="N1101" s="74">
        <f>$K$1101-EFEITO!$M$1101*EFEITO!$Z$1101</f>
        <v>0</v>
      </c>
      <c r="O1101" s="74">
        <f>$L$1101-EFEITO!$O$1101*EFEITO!$AA$1101</f>
        <v>0</v>
      </c>
      <c r="P1101" s="57"/>
      <c r="Q1101" s="57"/>
      <c r="R1101" s="57"/>
      <c r="S1101" s="57"/>
      <c r="T1101" s="57"/>
      <c r="U1101" s="57"/>
      <c r="V1101" s="57"/>
      <c r="W1101" s="57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</row>
    <row r="1102" spans="1:36" ht="11.25" customHeight="1" x14ac:dyDescent="0.2">
      <c r="A1102" s="53" t="s">
        <v>59</v>
      </c>
      <c r="B1102" s="53" t="s">
        <v>33</v>
      </c>
      <c r="C1102" s="53" t="s">
        <v>34</v>
      </c>
      <c r="D1102" s="53" t="s">
        <v>47</v>
      </c>
      <c r="E1102" s="53" t="s">
        <v>55</v>
      </c>
      <c r="F1102" s="53" t="s">
        <v>25</v>
      </c>
      <c r="G1102" s="53" t="s">
        <v>25</v>
      </c>
      <c r="H1102" s="53" t="s">
        <v>25</v>
      </c>
      <c r="I1102" s="73">
        <v>44075</v>
      </c>
      <c r="J1102" s="74">
        <f ca="1">EFEITO!$J$1102*EFEITO!$Y$1000</f>
        <v>4306.0860998936014</v>
      </c>
      <c r="K1102" s="74">
        <f>EFEITO!$L$1102*EFEITO!$Z$1000</f>
        <v>0</v>
      </c>
      <c r="L1102" s="74">
        <f>EFEITO!$N$1102*EFEITO!$AA$1000</f>
        <v>0</v>
      </c>
      <c r="M1102" s="74">
        <f ca="1">$J$1102-EFEITO!$K$1102*EFEITO!$Y$1102</f>
        <v>258.36516599361585</v>
      </c>
      <c r="N1102" s="74">
        <f>$K$1102-EFEITO!$M$1102*EFEITO!$Z$1102</f>
        <v>0</v>
      </c>
      <c r="O1102" s="74">
        <f>$L$1102-EFEITO!$O$1102*EFEITO!$AA$1102</f>
        <v>0</v>
      </c>
      <c r="P1102" s="57"/>
      <c r="Q1102" s="57"/>
      <c r="R1102" s="57"/>
      <c r="S1102" s="57"/>
      <c r="T1102" s="57"/>
      <c r="U1102" s="57"/>
      <c r="V1102" s="57"/>
      <c r="W1102" s="57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</row>
    <row r="1103" spans="1:36" ht="11.25" customHeight="1" x14ac:dyDescent="0.2">
      <c r="A1103" s="53" t="s">
        <v>27</v>
      </c>
      <c r="B1103" s="53" t="s">
        <v>33</v>
      </c>
      <c r="C1103" s="53" t="s">
        <v>34</v>
      </c>
      <c r="D1103" s="53" t="s">
        <v>47</v>
      </c>
      <c r="E1103" s="53" t="s">
        <v>55</v>
      </c>
      <c r="F1103" s="53" t="s">
        <v>25</v>
      </c>
      <c r="G1103" s="53" t="s">
        <v>25</v>
      </c>
      <c r="H1103" s="53" t="s">
        <v>35</v>
      </c>
      <c r="I1103" s="73">
        <v>43739</v>
      </c>
      <c r="J1103" s="74">
        <f>EFEITO!$J$1103*EFEITO!$Y$1033</f>
        <v>0</v>
      </c>
      <c r="K1103" s="74">
        <f ca="1">EFEITO!$L$1103*EFEITO!$Z$1033</f>
        <v>-132.34885342690998</v>
      </c>
      <c r="L1103" s="74">
        <f>EFEITO!$N$1103*EFEITO!$AA$1033</f>
        <v>-66.497449075600358</v>
      </c>
      <c r="M1103" s="74">
        <f>$J$1103-EFEITO!$K$1103*EFEITO!$Y$1103</f>
        <v>0</v>
      </c>
      <c r="N1103" s="74">
        <f ca="1">$K$1103-EFEITO!$M$1103*EFEITO!$Z$1103</f>
        <v>-7.9409312056146035</v>
      </c>
      <c r="O1103" s="74">
        <f>$L$1103-EFEITO!$O$1103*EFEITO!$AA$1103</f>
        <v>-3.9898469445360263</v>
      </c>
      <c r="P1103" s="57"/>
      <c r="Q1103" s="57"/>
      <c r="R1103" s="57"/>
      <c r="S1103" s="57"/>
      <c r="T1103" s="57"/>
      <c r="U1103" s="57"/>
      <c r="V1103" s="57"/>
      <c r="W1103" s="57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</row>
    <row r="1104" spans="1:36" ht="11.25" customHeight="1" x14ac:dyDescent="0.2">
      <c r="A1104" s="53" t="s">
        <v>21</v>
      </c>
      <c r="B1104" s="53" t="s">
        <v>33</v>
      </c>
      <c r="C1104" s="53" t="s">
        <v>34</v>
      </c>
      <c r="D1104" s="53" t="s">
        <v>47</v>
      </c>
      <c r="E1104" s="53" t="s">
        <v>55</v>
      </c>
      <c r="F1104" s="53" t="s">
        <v>25</v>
      </c>
      <c r="G1104" s="53" t="s">
        <v>25</v>
      </c>
      <c r="H1104" s="53" t="s">
        <v>35</v>
      </c>
      <c r="I1104" s="73">
        <v>43770</v>
      </c>
      <c r="J1104" s="74">
        <f>EFEITO!$J$1104*EFEITO!$Y$1033</f>
        <v>0</v>
      </c>
      <c r="K1104" s="74">
        <f ca="1">EFEITO!$L$1104*EFEITO!$Z$1033</f>
        <v>10795.030491097737</v>
      </c>
      <c r="L1104" s="74">
        <f>EFEITO!$N$1104*EFEITO!$AA$1033</f>
        <v>5423.8625553923293</v>
      </c>
      <c r="M1104" s="74">
        <f>$J$1104-EFEITO!$K$1104*EFEITO!$Y$1104</f>
        <v>0</v>
      </c>
      <c r="N1104" s="74">
        <f ca="1">$K$1104-EFEITO!$M$1104*EFEITO!$Z$1104</f>
        <v>647.70182946586465</v>
      </c>
      <c r="O1104" s="74">
        <f>$L$1104-EFEITO!$O$1104*EFEITO!$AA$1104</f>
        <v>325.43175332353985</v>
      </c>
      <c r="P1104" s="57"/>
      <c r="Q1104" s="57"/>
      <c r="R1104" s="57"/>
      <c r="S1104" s="57"/>
      <c r="T1104" s="57"/>
      <c r="U1104" s="57"/>
      <c r="V1104" s="57"/>
      <c r="W1104" s="57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</row>
    <row r="1105" spans="1:36" ht="11.25" customHeight="1" x14ac:dyDescent="0.2">
      <c r="A1105" s="53" t="s">
        <v>27</v>
      </c>
      <c r="B1105" s="53" t="s">
        <v>33</v>
      </c>
      <c r="C1105" s="53" t="s">
        <v>34</v>
      </c>
      <c r="D1105" s="53" t="s">
        <v>47</v>
      </c>
      <c r="E1105" s="53" t="s">
        <v>55</v>
      </c>
      <c r="F1105" s="53" t="s">
        <v>25</v>
      </c>
      <c r="G1105" s="53" t="s">
        <v>25</v>
      </c>
      <c r="H1105" s="53" t="s">
        <v>35</v>
      </c>
      <c r="I1105" s="73">
        <v>43770</v>
      </c>
      <c r="J1105" s="74">
        <f>EFEITO!$J$1105*EFEITO!$Y$1033</f>
        <v>0</v>
      </c>
      <c r="K1105" s="74">
        <f ca="1">EFEITO!$L$1105*EFEITO!$Z$1033</f>
        <v>1508.9264757938099</v>
      </c>
      <c r="L1105" s="74">
        <f>EFEITO!$N$1105*EFEITO!$AA$1033</f>
        <v>758.14605782238141</v>
      </c>
      <c r="M1105" s="74">
        <f>$J$1105-EFEITO!$K$1105*EFEITO!$Y$1105</f>
        <v>0</v>
      </c>
      <c r="N1105" s="74">
        <f ca="1">$K$1105-EFEITO!$M$1105*EFEITO!$Z$1105</f>
        <v>90.535588547628777</v>
      </c>
      <c r="O1105" s="74">
        <f>$L$1105-EFEITO!$O$1105*EFEITO!$AA$1105</f>
        <v>45.488763469342871</v>
      </c>
      <c r="P1105" s="57"/>
      <c r="Q1105" s="57"/>
      <c r="R1105" s="57"/>
      <c r="S1105" s="57"/>
      <c r="T1105" s="57"/>
      <c r="U1105" s="57"/>
      <c r="V1105" s="57"/>
      <c r="W1105" s="57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</row>
    <row r="1106" spans="1:36" ht="11.25" customHeight="1" x14ac:dyDescent="0.2">
      <c r="A1106" s="53" t="s">
        <v>21</v>
      </c>
      <c r="B1106" s="53" t="s">
        <v>33</v>
      </c>
      <c r="C1106" s="53" t="s">
        <v>34</v>
      </c>
      <c r="D1106" s="53" t="s">
        <v>47</v>
      </c>
      <c r="E1106" s="53" t="s">
        <v>55</v>
      </c>
      <c r="F1106" s="53" t="s">
        <v>25</v>
      </c>
      <c r="G1106" s="53" t="s">
        <v>25</v>
      </c>
      <c r="H1106" s="53" t="s">
        <v>35</v>
      </c>
      <c r="I1106" s="73">
        <v>43800</v>
      </c>
      <c r="J1106" s="74">
        <f>EFEITO!$J$1106*EFEITO!$Y$1033</f>
        <v>0</v>
      </c>
      <c r="K1106" s="74">
        <f ca="1">EFEITO!$L$1106*EFEITO!$Z$1033</f>
        <v>16607.164037354076</v>
      </c>
      <c r="L1106" s="74">
        <f>EFEITO!$N$1106*EFEITO!$AA$1033</f>
        <v>8344.1149376784415</v>
      </c>
      <c r="M1106" s="74">
        <f>$J$1106-EFEITO!$K$1106*EFEITO!$Y$1106</f>
        <v>0</v>
      </c>
      <c r="N1106" s="74">
        <f ca="1">$K$1106-EFEITO!$M$1106*EFEITO!$Z$1106</f>
        <v>996.42984224124848</v>
      </c>
      <c r="O1106" s="74">
        <f>$L$1106-EFEITO!$O$1106*EFEITO!$AA$1106</f>
        <v>500.64689626070685</v>
      </c>
      <c r="P1106" s="57"/>
      <c r="Q1106" s="57"/>
      <c r="R1106" s="57"/>
      <c r="S1106" s="57"/>
      <c r="T1106" s="57"/>
      <c r="U1106" s="57"/>
      <c r="V1106" s="57"/>
      <c r="W1106" s="57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</row>
    <row r="1107" spans="1:36" ht="11.25" customHeight="1" x14ac:dyDescent="0.2">
      <c r="A1107" s="53" t="s">
        <v>21</v>
      </c>
      <c r="B1107" s="53" t="s">
        <v>33</v>
      </c>
      <c r="C1107" s="53" t="s">
        <v>34</v>
      </c>
      <c r="D1107" s="53" t="s">
        <v>47</v>
      </c>
      <c r="E1107" s="53" t="s">
        <v>55</v>
      </c>
      <c r="F1107" s="53" t="s">
        <v>25</v>
      </c>
      <c r="G1107" s="53" t="s">
        <v>25</v>
      </c>
      <c r="H1107" s="53" t="s">
        <v>35</v>
      </c>
      <c r="I1107" s="73">
        <v>43831</v>
      </c>
      <c r="J1107" s="74">
        <f>EFEITO!$J$1107*EFEITO!$Y$1033</f>
        <v>0</v>
      </c>
      <c r="K1107" s="74">
        <f ca="1">EFEITO!$L$1107*EFEITO!$Z$1033</f>
        <v>2673.8954794046904</v>
      </c>
      <c r="L1107" s="74">
        <f>EFEITO!$N$1107*EFEITO!$AA$1033</f>
        <v>1343.4738864087394</v>
      </c>
      <c r="M1107" s="74">
        <f>$J$1107-EFEITO!$K$1107*EFEITO!$Y$1107</f>
        <v>0</v>
      </c>
      <c r="N1107" s="74">
        <f ca="1">$K$1107-EFEITO!$M$1107*EFEITO!$Z$1107</f>
        <v>160.43372876428202</v>
      </c>
      <c r="O1107" s="74">
        <f>$L$1107-EFEITO!$O$1107*EFEITO!$AA$1107</f>
        <v>80.608433184524301</v>
      </c>
      <c r="P1107" s="57"/>
      <c r="Q1107" s="57"/>
      <c r="R1107" s="57"/>
      <c r="S1107" s="57"/>
      <c r="T1107" s="57"/>
      <c r="U1107" s="57"/>
      <c r="V1107" s="57"/>
      <c r="W1107" s="57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</row>
    <row r="1108" spans="1:36" ht="11.25" customHeight="1" x14ac:dyDescent="0.2">
      <c r="A1108" s="53" t="s">
        <v>21</v>
      </c>
      <c r="B1108" s="53" t="s">
        <v>33</v>
      </c>
      <c r="C1108" s="53" t="s">
        <v>34</v>
      </c>
      <c r="D1108" s="53" t="s">
        <v>47</v>
      </c>
      <c r="E1108" s="53" t="s">
        <v>55</v>
      </c>
      <c r="F1108" s="53" t="s">
        <v>25</v>
      </c>
      <c r="G1108" s="53" t="s">
        <v>25</v>
      </c>
      <c r="H1108" s="53" t="s">
        <v>35</v>
      </c>
      <c r="I1108" s="73">
        <v>43862</v>
      </c>
      <c r="J1108" s="74">
        <f>EFEITO!$J$1108*EFEITO!$Y$1033</f>
        <v>0</v>
      </c>
      <c r="K1108" s="74">
        <f ca="1">EFEITO!$L$1108*EFEITO!$Z$1033</f>
        <v>6808.8624819516517</v>
      </c>
      <c r="L1108" s="74">
        <f>EFEITO!$N$1108*EFEITO!$AA$1033</f>
        <v>3421.0495552678917</v>
      </c>
      <c r="M1108" s="74">
        <f>$J$1108-EFEITO!$K$1108*EFEITO!$Y$1108</f>
        <v>0</v>
      </c>
      <c r="N1108" s="74">
        <f ca="1">$K$1108-EFEITO!$M$1108*EFEITO!$Z$1108</f>
        <v>408.53174891709932</v>
      </c>
      <c r="O1108" s="74">
        <f>$L$1108-EFEITO!$O$1108*EFEITO!$AA$1108</f>
        <v>205.26297331607338</v>
      </c>
      <c r="P1108" s="57"/>
      <c r="Q1108" s="57"/>
      <c r="R1108" s="57"/>
      <c r="S1108" s="57"/>
      <c r="T1108" s="57"/>
      <c r="U1108" s="57"/>
      <c r="V1108" s="57"/>
      <c r="W1108" s="57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</row>
    <row r="1109" spans="1:36" ht="11.25" customHeight="1" x14ac:dyDescent="0.2">
      <c r="A1109" s="53" t="s">
        <v>27</v>
      </c>
      <c r="B1109" s="53" t="s">
        <v>33</v>
      </c>
      <c r="C1109" s="53" t="s">
        <v>34</v>
      </c>
      <c r="D1109" s="53" t="s">
        <v>47</v>
      </c>
      <c r="E1109" s="53" t="s">
        <v>55</v>
      </c>
      <c r="F1109" s="53" t="s">
        <v>25</v>
      </c>
      <c r="G1109" s="53" t="s">
        <v>25</v>
      </c>
      <c r="H1109" s="53" t="s">
        <v>35</v>
      </c>
      <c r="I1109" s="73">
        <v>43862</v>
      </c>
      <c r="J1109" s="74">
        <f>EFEITO!$J$1109*EFEITO!$Y$1033</f>
        <v>0</v>
      </c>
      <c r="K1109" s="74">
        <f ca="1">EFEITO!$L$1109*EFEITO!$Z$1033</f>
        <v>208.61768421529882</v>
      </c>
      <c r="L1109" s="74">
        <f>EFEITO!$N$1109*EFEITO!$AA$1033</f>
        <v>104.81801294967515</v>
      </c>
      <c r="M1109" s="74">
        <f>$J$1109-EFEITO!$K$1109*EFEITO!$Y$1109</f>
        <v>0</v>
      </c>
      <c r="N1109" s="74">
        <f ca="1">$K$1109-EFEITO!$M$1109*EFEITO!$Z$1109</f>
        <v>12.517061052917938</v>
      </c>
      <c r="O1109" s="74">
        <f>$L$1109-EFEITO!$O$1109*EFEITO!$AA$1109</f>
        <v>6.2890807769805122</v>
      </c>
      <c r="P1109" s="57"/>
      <c r="Q1109" s="57"/>
      <c r="R1109" s="57"/>
      <c r="S1109" s="57"/>
      <c r="T1109" s="57"/>
      <c r="U1109" s="57"/>
      <c r="V1109" s="57"/>
      <c r="W1109" s="57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</row>
    <row r="1110" spans="1:36" ht="11.25" customHeight="1" x14ac:dyDescent="0.2">
      <c r="A1110" s="53" t="s">
        <v>21</v>
      </c>
      <c r="B1110" s="53" t="s">
        <v>33</v>
      </c>
      <c r="C1110" s="53" t="s">
        <v>34</v>
      </c>
      <c r="D1110" s="53" t="s">
        <v>47</v>
      </c>
      <c r="E1110" s="53" t="s">
        <v>55</v>
      </c>
      <c r="F1110" s="53" t="s">
        <v>25</v>
      </c>
      <c r="G1110" s="53" t="s">
        <v>25</v>
      </c>
      <c r="H1110" s="53" t="s">
        <v>35</v>
      </c>
      <c r="I1110" s="73">
        <v>43891</v>
      </c>
      <c r="J1110" s="74">
        <f>EFEITO!$J$1110*EFEITO!$Y$1033</f>
        <v>0</v>
      </c>
      <c r="K1110" s="74">
        <f ca="1">EFEITO!$L$1110*EFEITO!$Z$1033</f>
        <v>4111.7872598563727</v>
      </c>
      <c r="L1110" s="74">
        <f>EFEITO!$N$1110*EFEITO!$AA$1033</f>
        <v>2065.9292229758553</v>
      </c>
      <c r="M1110" s="74">
        <f>$J$1110-EFEITO!$K$1110*EFEITO!$Y$1110</f>
        <v>0</v>
      </c>
      <c r="N1110" s="74">
        <f ca="1">$K$1110-EFEITO!$M$1110*EFEITO!$Z$1110</f>
        <v>246.70723559138241</v>
      </c>
      <c r="O1110" s="74">
        <f>$L$1110-EFEITO!$O$1110*EFEITO!$AA$1110</f>
        <v>123.95575337855144</v>
      </c>
      <c r="P1110" s="57"/>
      <c r="Q1110" s="57"/>
      <c r="R1110" s="57"/>
      <c r="S1110" s="57"/>
      <c r="T1110" s="57"/>
      <c r="U1110" s="57"/>
      <c r="V1110" s="57"/>
      <c r="W1110" s="57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</row>
    <row r="1111" spans="1:36" ht="11.25" customHeight="1" x14ac:dyDescent="0.2">
      <c r="A1111" s="53" t="s">
        <v>27</v>
      </c>
      <c r="B1111" s="53" t="s">
        <v>33</v>
      </c>
      <c r="C1111" s="53" t="s">
        <v>34</v>
      </c>
      <c r="D1111" s="53" t="s">
        <v>47</v>
      </c>
      <c r="E1111" s="53" t="s">
        <v>55</v>
      </c>
      <c r="F1111" s="53" t="s">
        <v>25</v>
      </c>
      <c r="G1111" s="53" t="s">
        <v>25</v>
      </c>
      <c r="H1111" s="53" t="s">
        <v>35</v>
      </c>
      <c r="I1111" s="73">
        <v>43891</v>
      </c>
      <c r="J1111" s="74">
        <f>EFEITO!$J$1111*EFEITO!$Y$1033</f>
        <v>0</v>
      </c>
      <c r="K1111" s="74">
        <f ca="1">EFEITO!$L$1111*EFEITO!$Z$1033</f>
        <v>174.96967063218611</v>
      </c>
      <c r="L1111" s="74">
        <f>EFEITO!$N$1111*EFEITO!$AA$1033</f>
        <v>87.911881828759803</v>
      </c>
      <c r="M1111" s="74">
        <f>$J$1111-EFEITO!$K$1111*EFEITO!$Y$1111</f>
        <v>0</v>
      </c>
      <c r="N1111" s="74">
        <f ca="1">$K$1111-EFEITO!$M$1111*EFEITO!$Z$1111</f>
        <v>10.498180237931194</v>
      </c>
      <c r="O1111" s="74">
        <f>$L$1111-EFEITO!$O$1111*EFEITO!$AA$1111</f>
        <v>5.2747129097255936</v>
      </c>
      <c r="P1111" s="57"/>
      <c r="Q1111" s="57"/>
      <c r="R1111" s="57"/>
      <c r="S1111" s="57"/>
      <c r="T1111" s="57"/>
      <c r="U1111" s="57"/>
      <c r="V1111" s="57"/>
      <c r="W1111" s="57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</row>
    <row r="1112" spans="1:36" ht="11.25" customHeight="1" x14ac:dyDescent="0.2">
      <c r="A1112" s="53" t="s">
        <v>21</v>
      </c>
      <c r="B1112" s="53" t="s">
        <v>33</v>
      </c>
      <c r="C1112" s="53" t="s">
        <v>34</v>
      </c>
      <c r="D1112" s="53" t="s">
        <v>47</v>
      </c>
      <c r="E1112" s="53" t="s">
        <v>55</v>
      </c>
      <c r="F1112" s="53" t="s">
        <v>25</v>
      </c>
      <c r="G1112" s="53" t="s">
        <v>25</v>
      </c>
      <c r="H1112" s="53" t="s">
        <v>35</v>
      </c>
      <c r="I1112" s="73">
        <v>43922</v>
      </c>
      <c r="J1112" s="74">
        <f>EFEITO!$J$1112*EFEITO!$Y$1033</f>
        <v>0</v>
      </c>
      <c r="K1112" s="74">
        <f ca="1">EFEITO!$L$1112*EFEITO!$Z$1033</f>
        <v>4969.4377394081575</v>
      </c>
      <c r="L1112" s="74">
        <f>EFEITO!$N$1112*EFEITO!$AA$1033</f>
        <v>2496.8477206578532</v>
      </c>
      <c r="M1112" s="74">
        <f>$J$1112-EFEITO!$K$1112*EFEITO!$Y$1112</f>
        <v>0</v>
      </c>
      <c r="N1112" s="74">
        <f ca="1">$K$1112-EFEITO!$M$1112*EFEITO!$Z$1112</f>
        <v>298.16626436449042</v>
      </c>
      <c r="O1112" s="74">
        <f>$L$1112-EFEITO!$O$1112*EFEITO!$AA$1112</f>
        <v>149.81086323947147</v>
      </c>
      <c r="P1112" s="57"/>
      <c r="Q1112" s="57"/>
      <c r="R1112" s="57"/>
      <c r="S1112" s="57"/>
      <c r="T1112" s="57"/>
      <c r="U1112" s="57"/>
      <c r="V1112" s="57"/>
      <c r="W1112" s="57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</row>
    <row r="1113" spans="1:36" ht="11.25" customHeight="1" x14ac:dyDescent="0.2">
      <c r="A1113" s="53" t="s">
        <v>27</v>
      </c>
      <c r="B1113" s="53" t="s">
        <v>33</v>
      </c>
      <c r="C1113" s="53" t="s">
        <v>34</v>
      </c>
      <c r="D1113" s="53" t="s">
        <v>47</v>
      </c>
      <c r="E1113" s="53" t="s">
        <v>55</v>
      </c>
      <c r="F1113" s="53" t="s">
        <v>25</v>
      </c>
      <c r="G1113" s="53" t="s">
        <v>25</v>
      </c>
      <c r="H1113" s="53" t="s">
        <v>35</v>
      </c>
      <c r="I1113" s="73">
        <v>43922</v>
      </c>
      <c r="J1113" s="74">
        <f>EFEITO!$J$1113*EFEITO!$Y$1033</f>
        <v>0</v>
      </c>
      <c r="K1113" s="74">
        <f ca="1">EFEITO!$L$1113*EFEITO!$Z$1033</f>
        <v>818.76833052240931</v>
      </c>
      <c r="L1113" s="74">
        <f>EFEITO!$N$1113*EFEITO!$AA$1033</f>
        <v>411.38252394227339</v>
      </c>
      <c r="M1113" s="74">
        <f>$J$1113-EFEITO!$K$1113*EFEITO!$Y$1113</f>
        <v>0</v>
      </c>
      <c r="N1113" s="74">
        <f ca="1">$K$1113-EFEITO!$M$1113*EFEITO!$Z$1113</f>
        <v>49.126099831344618</v>
      </c>
      <c r="O1113" s="74">
        <f>$L$1113-EFEITO!$O$1113*EFEITO!$AA$1113</f>
        <v>24.682951436536428</v>
      </c>
      <c r="P1113" s="57"/>
      <c r="Q1113" s="57"/>
      <c r="R1113" s="57"/>
      <c r="S1113" s="57"/>
      <c r="T1113" s="57"/>
      <c r="U1113" s="57"/>
      <c r="V1113" s="57"/>
      <c r="W1113" s="57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</row>
    <row r="1114" spans="1:36" ht="11.25" customHeight="1" x14ac:dyDescent="0.2">
      <c r="A1114" s="53" t="s">
        <v>21</v>
      </c>
      <c r="B1114" s="53" t="s">
        <v>33</v>
      </c>
      <c r="C1114" s="53" t="s">
        <v>34</v>
      </c>
      <c r="D1114" s="53" t="s">
        <v>47</v>
      </c>
      <c r="E1114" s="53" t="s">
        <v>55</v>
      </c>
      <c r="F1114" s="53" t="s">
        <v>25</v>
      </c>
      <c r="G1114" s="53" t="s">
        <v>25</v>
      </c>
      <c r="H1114" s="53" t="s">
        <v>35</v>
      </c>
      <c r="I1114" s="73">
        <v>43952</v>
      </c>
      <c r="J1114" s="74">
        <f>EFEITO!$J$1114*EFEITO!$Y$1033</f>
        <v>0</v>
      </c>
      <c r="K1114" s="74">
        <f ca="1">EFEITO!$L$1114*EFEITO!$Z$1033</f>
        <v>10531.82825151428</v>
      </c>
      <c r="L1114" s="74">
        <f>EFEITO!$N$1114*EFEITO!$AA$1033</f>
        <v>5291.6190408465036</v>
      </c>
      <c r="M1114" s="74">
        <f>$J$1114-EFEITO!$K$1114*EFEITO!$Y$1114</f>
        <v>0</v>
      </c>
      <c r="N1114" s="74">
        <f ca="1">$K$1114-EFEITO!$M$1114*EFEITO!$Z$1114</f>
        <v>631.9096950908588</v>
      </c>
      <c r="O1114" s="74">
        <f>$L$1114-EFEITO!$O$1114*EFEITO!$AA$1114</f>
        <v>317.49714245079031</v>
      </c>
      <c r="P1114" s="57"/>
      <c r="Q1114" s="57"/>
      <c r="R1114" s="57"/>
      <c r="S1114" s="57"/>
      <c r="T1114" s="57"/>
      <c r="U1114" s="57"/>
      <c r="V1114" s="57"/>
      <c r="W1114" s="57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</row>
    <row r="1115" spans="1:36" ht="11.25" customHeight="1" x14ac:dyDescent="0.2">
      <c r="A1115" s="53" t="s">
        <v>27</v>
      </c>
      <c r="B1115" s="53" t="s">
        <v>33</v>
      </c>
      <c r="C1115" s="53" t="s">
        <v>34</v>
      </c>
      <c r="D1115" s="53" t="s">
        <v>47</v>
      </c>
      <c r="E1115" s="53" t="s">
        <v>55</v>
      </c>
      <c r="F1115" s="53" t="s">
        <v>25</v>
      </c>
      <c r="G1115" s="53" t="s">
        <v>25</v>
      </c>
      <c r="H1115" s="53" t="s">
        <v>35</v>
      </c>
      <c r="I1115" s="73">
        <v>43952</v>
      </c>
      <c r="J1115" s="74">
        <f>EFEITO!$J$1115*EFEITO!$Y$1033</f>
        <v>0</v>
      </c>
      <c r="K1115" s="74">
        <f ca="1">EFEITO!$L$1115*EFEITO!$Z$1033</f>
        <v>931.67610943463194</v>
      </c>
      <c r="L1115" s="74">
        <f>EFEITO!$N$1115*EFEITO!$AA$1033</f>
        <v>468.11198614801157</v>
      </c>
      <c r="M1115" s="74">
        <f>$J$1115-EFEITO!$K$1115*EFEITO!$Y$1115</f>
        <v>0</v>
      </c>
      <c r="N1115" s="74">
        <f ca="1">$K$1115-EFEITO!$M$1115*EFEITO!$Z$1115</f>
        <v>55.900566566077941</v>
      </c>
      <c r="O1115" s="74">
        <f>$L$1115-EFEITO!$O$1115*EFEITO!$AA$1115</f>
        <v>28.086719168880677</v>
      </c>
      <c r="P1115" s="57"/>
      <c r="Q1115" s="57"/>
      <c r="R1115" s="57"/>
      <c r="S1115" s="57"/>
      <c r="T1115" s="57"/>
      <c r="U1115" s="57"/>
      <c r="V1115" s="57"/>
      <c r="W1115" s="57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</row>
    <row r="1116" spans="1:36" ht="11.25" customHeight="1" x14ac:dyDescent="0.2">
      <c r="A1116" s="53" t="s">
        <v>21</v>
      </c>
      <c r="B1116" s="53" t="s">
        <v>33</v>
      </c>
      <c r="C1116" s="53" t="s">
        <v>34</v>
      </c>
      <c r="D1116" s="53" t="s">
        <v>47</v>
      </c>
      <c r="E1116" s="53" t="s">
        <v>55</v>
      </c>
      <c r="F1116" s="53" t="s">
        <v>25</v>
      </c>
      <c r="G1116" s="53" t="s">
        <v>25</v>
      </c>
      <c r="H1116" s="53" t="s">
        <v>35</v>
      </c>
      <c r="I1116" s="73">
        <v>43983</v>
      </c>
      <c r="J1116" s="74">
        <f>EFEITO!$J$1116*EFEITO!$Y$1033</f>
        <v>0</v>
      </c>
      <c r="K1116" s="74">
        <f ca="1">EFEITO!$L$1116*EFEITO!$Z$1033</f>
        <v>25413.97079250744</v>
      </c>
      <c r="L1116" s="74">
        <f>EFEITO!$N$1116*EFEITO!$AA$1033</f>
        <v>12769.012989726018</v>
      </c>
      <c r="M1116" s="74">
        <f>$J$1116-EFEITO!$K$1116*EFEITO!$Y$1116</f>
        <v>0</v>
      </c>
      <c r="N1116" s="74">
        <f ca="1">$K$1116-EFEITO!$M$1116*EFEITO!$Z$1116</f>
        <v>1524.8382475504477</v>
      </c>
      <c r="O1116" s="74">
        <f>$L$1116-EFEITO!$O$1116*EFEITO!$AA$1116</f>
        <v>766.1407793835624</v>
      </c>
      <c r="P1116" s="57"/>
      <c r="Q1116" s="57"/>
      <c r="R1116" s="57"/>
      <c r="S1116" s="57"/>
      <c r="T1116" s="57"/>
      <c r="U1116" s="57"/>
      <c r="V1116" s="57"/>
      <c r="W1116" s="57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</row>
    <row r="1117" spans="1:36" ht="11.25" customHeight="1" x14ac:dyDescent="0.2">
      <c r="A1117" s="53" t="s">
        <v>27</v>
      </c>
      <c r="B1117" s="53" t="s">
        <v>33</v>
      </c>
      <c r="C1117" s="53" t="s">
        <v>34</v>
      </c>
      <c r="D1117" s="53" t="s">
        <v>47</v>
      </c>
      <c r="E1117" s="53" t="s">
        <v>55</v>
      </c>
      <c r="F1117" s="53" t="s">
        <v>25</v>
      </c>
      <c r="G1117" s="53" t="s">
        <v>25</v>
      </c>
      <c r="H1117" s="53" t="s">
        <v>35</v>
      </c>
      <c r="I1117" s="73">
        <v>43983</v>
      </c>
      <c r="J1117" s="74">
        <f>EFEITO!$J$1117*EFEITO!$Y$1033</f>
        <v>0</v>
      </c>
      <c r="K1117" s="74">
        <f ca="1">EFEITO!$L$1117*EFEITO!$Z$1033</f>
        <v>855.40727864624307</v>
      </c>
      <c r="L1117" s="74">
        <f>EFEITO!$N$1117*EFEITO!$AA$1033</f>
        <v>429.79142227393675</v>
      </c>
      <c r="M1117" s="74">
        <f>$J$1117-EFEITO!$K$1117*EFEITO!$Y$1117</f>
        <v>0</v>
      </c>
      <c r="N1117" s="74">
        <f ca="1">$K$1117-EFEITO!$M$1117*EFEITO!$Z$1117</f>
        <v>51.324436718774678</v>
      </c>
      <c r="O1117" s="74">
        <f>$L$1117-EFEITO!$O$1117*EFEITO!$AA$1117</f>
        <v>25.787485336436191</v>
      </c>
      <c r="P1117" s="57"/>
      <c r="Q1117" s="57"/>
      <c r="R1117" s="57"/>
      <c r="S1117" s="57"/>
      <c r="T1117" s="57"/>
      <c r="U1117" s="57"/>
      <c r="V1117" s="57"/>
      <c r="W1117" s="57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</row>
    <row r="1118" spans="1:36" ht="11.25" customHeight="1" x14ac:dyDescent="0.2">
      <c r="A1118" s="53" t="s">
        <v>21</v>
      </c>
      <c r="B1118" s="53" t="s">
        <v>33</v>
      </c>
      <c r="C1118" s="53" t="s">
        <v>34</v>
      </c>
      <c r="D1118" s="53" t="s">
        <v>47</v>
      </c>
      <c r="E1118" s="53" t="s">
        <v>55</v>
      </c>
      <c r="F1118" s="53" t="s">
        <v>25</v>
      </c>
      <c r="G1118" s="53" t="s">
        <v>25</v>
      </c>
      <c r="H1118" s="53" t="s">
        <v>35</v>
      </c>
      <c r="I1118" s="73">
        <v>44013</v>
      </c>
      <c r="J1118" s="74">
        <f>EFEITO!$J$1118*EFEITO!$Y$1033</f>
        <v>0</v>
      </c>
      <c r="K1118" s="74">
        <f ca="1">EFEITO!$L$1118*EFEITO!$Z$1033</f>
        <v>22391.63143910874</v>
      </c>
      <c r="L1118" s="74">
        <f>EFEITO!$N$1118*EFEITO!$AA$1033</f>
        <v>11250.466723265132</v>
      </c>
      <c r="M1118" s="74">
        <f>$J$1118-EFEITO!$K$1118*EFEITO!$Y$1118</f>
        <v>0</v>
      </c>
      <c r="N1118" s="74">
        <f ca="1">$K$1118-EFEITO!$M$1118*EFEITO!$Z$1118</f>
        <v>1343.4978863465258</v>
      </c>
      <c r="O1118" s="74">
        <f>$L$1118-EFEITO!$O$1118*EFEITO!$AA$1118</f>
        <v>675.02800339590794</v>
      </c>
      <c r="P1118" s="57"/>
      <c r="Q1118" s="57"/>
      <c r="R1118" s="57"/>
      <c r="S1118" s="57"/>
      <c r="T1118" s="57"/>
      <c r="U1118" s="57"/>
      <c r="V1118" s="57"/>
      <c r="W1118" s="57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</row>
    <row r="1119" spans="1:36" ht="11.25" customHeight="1" x14ac:dyDescent="0.2">
      <c r="A1119" s="53" t="s">
        <v>27</v>
      </c>
      <c r="B1119" s="53" t="s">
        <v>33</v>
      </c>
      <c r="C1119" s="53" t="s">
        <v>34</v>
      </c>
      <c r="D1119" s="53" t="s">
        <v>47</v>
      </c>
      <c r="E1119" s="53" t="s">
        <v>55</v>
      </c>
      <c r="F1119" s="53" t="s">
        <v>25</v>
      </c>
      <c r="G1119" s="53" t="s">
        <v>25</v>
      </c>
      <c r="H1119" s="53" t="s">
        <v>35</v>
      </c>
      <c r="I1119" s="73">
        <v>44013</v>
      </c>
      <c r="J1119" s="74">
        <f>EFEITO!$J$1119*EFEITO!$Y$1033</f>
        <v>0</v>
      </c>
      <c r="K1119" s="74">
        <f ca="1">EFEITO!$L$1119*EFEITO!$Z$1033</f>
        <v>1326.4794688098211</v>
      </c>
      <c r="L1119" s="74">
        <f>EFEITO!$N$1119*EFEITO!$AA$1033</f>
        <v>666.47725796675161</v>
      </c>
      <c r="M1119" s="74">
        <f>$J$1119-EFEITO!$K$1119*EFEITO!$Y$1119</f>
        <v>0</v>
      </c>
      <c r="N1119" s="74">
        <f ca="1">$K$1119-EFEITO!$M$1119*EFEITO!$Z$1119</f>
        <v>79.588768128589436</v>
      </c>
      <c r="O1119" s="74">
        <f>$L$1119-EFEITO!$O$1119*EFEITO!$AA$1119</f>
        <v>39.988635478005108</v>
      </c>
      <c r="P1119" s="57"/>
      <c r="Q1119" s="57"/>
      <c r="R1119" s="57"/>
      <c r="S1119" s="57"/>
      <c r="T1119" s="57"/>
      <c r="U1119" s="57"/>
      <c r="V1119" s="57"/>
      <c r="W1119" s="57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</row>
    <row r="1120" spans="1:36" ht="11.25" customHeight="1" x14ac:dyDescent="0.2">
      <c r="A1120" s="53" t="s">
        <v>21</v>
      </c>
      <c r="B1120" s="53" t="s">
        <v>33</v>
      </c>
      <c r="C1120" s="53" t="s">
        <v>34</v>
      </c>
      <c r="D1120" s="53" t="s">
        <v>47</v>
      </c>
      <c r="E1120" s="53" t="s">
        <v>55</v>
      </c>
      <c r="F1120" s="53" t="s">
        <v>25</v>
      </c>
      <c r="G1120" s="53" t="s">
        <v>25</v>
      </c>
      <c r="H1120" s="53" t="s">
        <v>35</v>
      </c>
      <c r="I1120" s="73">
        <v>44044</v>
      </c>
      <c r="J1120" s="74">
        <f>EFEITO!$J$1120*EFEITO!$Y$1033</f>
        <v>0</v>
      </c>
      <c r="K1120" s="74">
        <f ca="1">EFEITO!$L$1120*EFEITO!$Z$1033</f>
        <v>22890.369773773986</v>
      </c>
      <c r="L1120" s="74">
        <f>EFEITO!$N$1120*EFEITO!$AA$1033</f>
        <v>11501.053155657366</v>
      </c>
      <c r="M1120" s="74">
        <f>$J$1120-EFEITO!$K$1120*EFEITO!$Y$1120</f>
        <v>0</v>
      </c>
      <c r="N1120" s="74">
        <f ca="1">$K$1120-EFEITO!$M$1120*EFEITO!$Z$1120</f>
        <v>1373.42218642644</v>
      </c>
      <c r="O1120" s="74">
        <f>$L$1120-EFEITO!$O$1120*EFEITO!$AA$1120</f>
        <v>690.06318933944203</v>
      </c>
      <c r="P1120" s="57"/>
      <c r="Q1120" s="57"/>
      <c r="R1120" s="57"/>
      <c r="S1120" s="57"/>
      <c r="T1120" s="57"/>
      <c r="U1120" s="57"/>
      <c r="V1120" s="57"/>
      <c r="W1120" s="57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</row>
    <row r="1121" spans="1:36" ht="11.25" customHeight="1" x14ac:dyDescent="0.2">
      <c r="A1121" s="53" t="s">
        <v>27</v>
      </c>
      <c r="B1121" s="53" t="s">
        <v>33</v>
      </c>
      <c r="C1121" s="53" t="s">
        <v>34</v>
      </c>
      <c r="D1121" s="53" t="s">
        <v>47</v>
      </c>
      <c r="E1121" s="53" t="s">
        <v>55</v>
      </c>
      <c r="F1121" s="53" t="s">
        <v>25</v>
      </c>
      <c r="G1121" s="53" t="s">
        <v>25</v>
      </c>
      <c r="H1121" s="53" t="s">
        <v>35</v>
      </c>
      <c r="I1121" s="73">
        <v>44044</v>
      </c>
      <c r="J1121" s="74">
        <f>EFEITO!$J$1121*EFEITO!$Y$1033</f>
        <v>0</v>
      </c>
      <c r="K1121" s="74">
        <f ca="1">EFEITO!$L$1121*EFEITO!$Z$1033</f>
        <v>672.21253802707395</v>
      </c>
      <c r="L1121" s="74">
        <f>EFEITO!$N$1121*EFEITO!$AA$1033</f>
        <v>337.74693061561993</v>
      </c>
      <c r="M1121" s="74">
        <f>$J$1121-EFEITO!$K$1121*EFEITO!$Y$1121</f>
        <v>0</v>
      </c>
      <c r="N1121" s="74">
        <f ca="1">$K$1121-EFEITO!$M$1121*EFEITO!$Z$1121</f>
        <v>40.332752281624494</v>
      </c>
      <c r="O1121" s="74">
        <f>$L$1121-EFEITO!$O$1121*EFEITO!$AA$1121</f>
        <v>20.264815836937203</v>
      </c>
      <c r="P1121" s="57"/>
      <c r="Q1121" s="57"/>
      <c r="R1121" s="57"/>
      <c r="S1121" s="57"/>
      <c r="T1121" s="57"/>
      <c r="U1121" s="57"/>
      <c r="V1121" s="57"/>
      <c r="W1121" s="57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</row>
    <row r="1122" spans="1:36" ht="11.25" customHeight="1" x14ac:dyDescent="0.2">
      <c r="A1122" s="53" t="s">
        <v>59</v>
      </c>
      <c r="B1122" s="53" t="s">
        <v>33</v>
      </c>
      <c r="C1122" s="53" t="s">
        <v>34</v>
      </c>
      <c r="D1122" s="53" t="s">
        <v>47</v>
      </c>
      <c r="E1122" s="53" t="s">
        <v>55</v>
      </c>
      <c r="F1122" s="53" t="s">
        <v>25</v>
      </c>
      <c r="G1122" s="53" t="s">
        <v>25</v>
      </c>
      <c r="H1122" s="53" t="s">
        <v>35</v>
      </c>
      <c r="I1122" s="73">
        <v>44075</v>
      </c>
      <c r="J1122" s="74">
        <f>EFEITO!$J$1122*EFEITO!$Y$1033</f>
        <v>0</v>
      </c>
      <c r="K1122" s="74">
        <f ca="1">EFEITO!$L$1122*EFEITO!$Z$1033</f>
        <v>22890.369773773986</v>
      </c>
      <c r="L1122" s="74">
        <f>EFEITO!$N$1122*EFEITO!$AA$1033</f>
        <v>11501.053155657366</v>
      </c>
      <c r="M1122" s="74">
        <f>$J$1122-EFEITO!$K$1122*EFEITO!$Y$1122</f>
        <v>0</v>
      </c>
      <c r="N1122" s="74">
        <f ca="1">$K$1122-EFEITO!$M$1122*EFEITO!$Z$1122</f>
        <v>1373.42218642644</v>
      </c>
      <c r="O1122" s="74">
        <f>$L$1122-EFEITO!$O$1122*EFEITO!$AA$1122</f>
        <v>690.06318933944203</v>
      </c>
      <c r="P1122" s="57"/>
      <c r="Q1122" s="57"/>
      <c r="R1122" s="57"/>
      <c r="S1122" s="57"/>
      <c r="T1122" s="57"/>
      <c r="U1122" s="57"/>
      <c r="V1122" s="57"/>
      <c r="W1122" s="57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</row>
    <row r="1123" spans="1:36" ht="11.25" customHeight="1" x14ac:dyDescent="0.2">
      <c r="A1123" s="53" t="s">
        <v>59</v>
      </c>
      <c r="B1123" s="53" t="s">
        <v>33</v>
      </c>
      <c r="C1123" s="53" t="s">
        <v>34</v>
      </c>
      <c r="D1123" s="53" t="s">
        <v>47</v>
      </c>
      <c r="E1123" s="53" t="s">
        <v>55</v>
      </c>
      <c r="F1123" s="53" t="s">
        <v>25</v>
      </c>
      <c r="G1123" s="53" t="s">
        <v>25</v>
      </c>
      <c r="H1123" s="53" t="s">
        <v>35</v>
      </c>
      <c r="I1123" s="73">
        <v>44075</v>
      </c>
      <c r="J1123" s="74">
        <f>EFEITO!$J$1123*EFEITO!$Y$1033</f>
        <v>0</v>
      </c>
      <c r="K1123" s="74">
        <f ca="1">EFEITO!$L$1123*EFEITO!$Z$1033</f>
        <v>672.21253802707395</v>
      </c>
      <c r="L1123" s="74">
        <f>EFEITO!$N$1123*EFEITO!$AA$1033</f>
        <v>337.74693061561993</v>
      </c>
      <c r="M1123" s="74">
        <f>$J$1123-EFEITO!$K$1123*EFEITO!$Y$1123</f>
        <v>0</v>
      </c>
      <c r="N1123" s="74">
        <f ca="1">$K$1123-EFEITO!$M$1123*EFEITO!$Z$1123</f>
        <v>40.332752281624494</v>
      </c>
      <c r="O1123" s="74">
        <f>$L$1123-EFEITO!$O$1123*EFEITO!$AA$1123</f>
        <v>20.264815836937203</v>
      </c>
      <c r="P1123" s="57"/>
      <c r="Q1123" s="57"/>
      <c r="R1123" s="57"/>
      <c r="S1123" s="57"/>
      <c r="T1123" s="57"/>
      <c r="U1123" s="57"/>
      <c r="V1123" s="57"/>
      <c r="W1123" s="57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</row>
    <row r="1124" spans="1:36" ht="11.25" customHeight="1" x14ac:dyDescent="0.2">
      <c r="A1124" s="53" t="s">
        <v>21</v>
      </c>
      <c r="B1124" s="53" t="s">
        <v>33</v>
      </c>
      <c r="C1124" s="53" t="s">
        <v>34</v>
      </c>
      <c r="D1124" s="53" t="s">
        <v>47</v>
      </c>
      <c r="E1124" s="53" t="s">
        <v>25</v>
      </c>
      <c r="F1124" s="53" t="s">
        <v>25</v>
      </c>
      <c r="G1124" s="53" t="s">
        <v>25</v>
      </c>
      <c r="H1124" s="53" t="s">
        <v>36</v>
      </c>
      <c r="I1124" s="73">
        <v>43739</v>
      </c>
      <c r="J1124" s="74">
        <f>EFEITO!$J$1124*EFEITO!$Y$966</f>
        <v>0</v>
      </c>
      <c r="K1124" s="74">
        <f ca="1">EFEITO!$L$1124*EFEITO!$Z$966</f>
        <v>162681.86521463507</v>
      </c>
      <c r="L1124" s="74">
        <f>EFEITO!$N$1124*EFEITO!$AA$966</f>
        <v>429076.93679217185</v>
      </c>
      <c r="M1124" s="74">
        <f>$J$1124-EFEITO!$K$1124*EFEITO!$Y$1124</f>
        <v>0</v>
      </c>
      <c r="N1124" s="74">
        <f ca="1">$K$1124-EFEITO!$M$1124*EFEITO!$Z$1124</f>
        <v>9760.9119128781022</v>
      </c>
      <c r="O1124" s="74">
        <f>$L$1124-EFEITO!$O$1124*EFEITO!$AA$1124</f>
        <v>25744.616207530315</v>
      </c>
      <c r="P1124" s="57"/>
      <c r="Q1124" s="57"/>
      <c r="R1124" s="57"/>
      <c r="S1124" s="57"/>
      <c r="T1124" s="57"/>
      <c r="U1124" s="57"/>
      <c r="V1124" s="57"/>
      <c r="W1124" s="57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</row>
    <row r="1125" spans="1:36" ht="11.25" customHeight="1" x14ac:dyDescent="0.2">
      <c r="A1125" s="53" t="s">
        <v>28</v>
      </c>
      <c r="B1125" s="53" t="s">
        <v>33</v>
      </c>
      <c r="C1125" s="53" t="s">
        <v>34</v>
      </c>
      <c r="D1125" s="53" t="s">
        <v>47</v>
      </c>
      <c r="E1125" s="53" t="s">
        <v>25</v>
      </c>
      <c r="F1125" s="53" t="s">
        <v>25</v>
      </c>
      <c r="G1125" s="53" t="s">
        <v>25</v>
      </c>
      <c r="H1125" s="53" t="s">
        <v>36</v>
      </c>
      <c r="I1125" s="73">
        <v>43739</v>
      </c>
      <c r="J1125" s="74">
        <f>EFEITO!$J$1125*EFEITO!$Y$966</f>
        <v>0</v>
      </c>
      <c r="K1125" s="74">
        <f ca="1">EFEITO!$L$1125*EFEITO!$Z$966</f>
        <v>2215.027531978631</v>
      </c>
      <c r="L1125" s="74">
        <f>EFEITO!$N$1125*EFEITO!$AA$966</f>
        <v>5842.1830059409403</v>
      </c>
      <c r="M1125" s="74">
        <f>$J$1125-EFEITO!$K$1125*EFEITO!$Y$1125</f>
        <v>0</v>
      </c>
      <c r="N1125" s="74">
        <f ca="1">$K$1125-EFEITO!$M$1125*EFEITO!$Z$1125</f>
        <v>132.90165191871802</v>
      </c>
      <c r="O1125" s="74">
        <f>$L$1125-EFEITO!$O$1125*EFEITO!$AA$1125</f>
        <v>350.53098035645689</v>
      </c>
      <c r="P1125" s="57"/>
      <c r="Q1125" s="57"/>
      <c r="R1125" s="57"/>
      <c r="S1125" s="57"/>
      <c r="T1125" s="57"/>
      <c r="U1125" s="57"/>
      <c r="V1125" s="57"/>
      <c r="W1125" s="57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</row>
    <row r="1126" spans="1:36" ht="11.25" customHeight="1" x14ac:dyDescent="0.2">
      <c r="A1126" s="53" t="s">
        <v>21</v>
      </c>
      <c r="B1126" s="53" t="s">
        <v>33</v>
      </c>
      <c r="C1126" s="53" t="s">
        <v>34</v>
      </c>
      <c r="D1126" s="53" t="s">
        <v>47</v>
      </c>
      <c r="E1126" s="53" t="s">
        <v>25</v>
      </c>
      <c r="F1126" s="53" t="s">
        <v>25</v>
      </c>
      <c r="G1126" s="53" t="s">
        <v>25</v>
      </c>
      <c r="H1126" s="53" t="s">
        <v>36</v>
      </c>
      <c r="I1126" s="73">
        <v>43770</v>
      </c>
      <c r="J1126" s="74">
        <f>EFEITO!$J$1126*EFEITO!$Y$966</f>
        <v>0</v>
      </c>
      <c r="K1126" s="74">
        <f ca="1">EFEITO!$L$1126*EFEITO!$Z$966</f>
        <v>176337.77382015967</v>
      </c>
      <c r="L1126" s="74">
        <f>EFEITO!$N$1126*EFEITO!$AA$966</f>
        <v>465094.69098893914</v>
      </c>
      <c r="M1126" s="74">
        <f>$J$1126-EFEITO!$K$1126*EFEITO!$Y$1126</f>
        <v>0</v>
      </c>
      <c r="N1126" s="74">
        <f ca="1">$K$1126-EFEITO!$M$1126*EFEITO!$Z$1126</f>
        <v>10580.266429209587</v>
      </c>
      <c r="O1126" s="74">
        <f>$L$1126-EFEITO!$O$1126*EFEITO!$AA$1126</f>
        <v>27905.681459336367</v>
      </c>
      <c r="P1126" s="57"/>
      <c r="Q1126" s="57"/>
      <c r="R1126" s="57"/>
      <c r="S1126" s="57"/>
      <c r="T1126" s="57"/>
      <c r="U1126" s="57"/>
      <c r="V1126" s="57"/>
      <c r="W1126" s="57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</row>
    <row r="1127" spans="1:36" ht="11.25" customHeight="1" x14ac:dyDescent="0.2">
      <c r="A1127" s="53" t="s">
        <v>28</v>
      </c>
      <c r="B1127" s="53" t="s">
        <v>33</v>
      </c>
      <c r="C1127" s="53" t="s">
        <v>34</v>
      </c>
      <c r="D1127" s="53" t="s">
        <v>47</v>
      </c>
      <c r="E1127" s="53" t="s">
        <v>25</v>
      </c>
      <c r="F1127" s="53" t="s">
        <v>25</v>
      </c>
      <c r="G1127" s="53" t="s">
        <v>25</v>
      </c>
      <c r="H1127" s="53" t="s">
        <v>36</v>
      </c>
      <c r="I1127" s="73">
        <v>43770</v>
      </c>
      <c r="J1127" s="74">
        <f>EFEITO!$J$1127*EFEITO!$Y$966</f>
        <v>0</v>
      </c>
      <c r="K1127" s="74">
        <f ca="1">EFEITO!$L$1127*EFEITO!$Z$966</f>
        <v>2101.602438871661</v>
      </c>
      <c r="L1127" s="74">
        <f>EFEITO!$N$1127*EFEITO!$AA$966</f>
        <v>5543.0218705464376</v>
      </c>
      <c r="M1127" s="74">
        <f>$J$1127-EFEITO!$K$1127*EFEITO!$Y$1127</f>
        <v>0</v>
      </c>
      <c r="N1127" s="74">
        <f ca="1">$K$1127-EFEITO!$M$1127*EFEITO!$Z$1127</f>
        <v>126.09614633229967</v>
      </c>
      <c r="O1127" s="74">
        <f>$L$1127-EFEITO!$O$1127*EFEITO!$AA$1127</f>
        <v>332.58131223278633</v>
      </c>
      <c r="P1127" s="57"/>
      <c r="Q1127" s="57"/>
      <c r="R1127" s="57"/>
      <c r="S1127" s="57"/>
      <c r="T1127" s="57"/>
      <c r="U1127" s="57"/>
      <c r="V1127" s="57"/>
      <c r="W1127" s="57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</row>
    <row r="1128" spans="1:36" ht="11.25" customHeight="1" x14ac:dyDescent="0.2">
      <c r="A1128" s="53" t="s">
        <v>21</v>
      </c>
      <c r="B1128" s="53" t="s">
        <v>33</v>
      </c>
      <c r="C1128" s="53" t="s">
        <v>34</v>
      </c>
      <c r="D1128" s="53" t="s">
        <v>47</v>
      </c>
      <c r="E1128" s="53" t="s">
        <v>25</v>
      </c>
      <c r="F1128" s="53" t="s">
        <v>25</v>
      </c>
      <c r="G1128" s="53" t="s">
        <v>25</v>
      </c>
      <c r="H1128" s="53" t="s">
        <v>36</v>
      </c>
      <c r="I1128" s="73">
        <v>43800</v>
      </c>
      <c r="J1128" s="74">
        <f>EFEITO!$J$1128*EFEITO!$Y$966</f>
        <v>0</v>
      </c>
      <c r="K1128" s="74">
        <f ca="1">EFEITO!$L$1128*EFEITO!$Z$966</f>
        <v>151788.68030826768</v>
      </c>
      <c r="L1128" s="74">
        <f>EFEITO!$N$1128*EFEITO!$AA$966</f>
        <v>400345.9260838292</v>
      </c>
      <c r="M1128" s="74">
        <f>$J$1128-EFEITO!$K$1128*EFEITO!$Y$1128</f>
        <v>0</v>
      </c>
      <c r="N1128" s="74">
        <f ca="1">$K$1128-EFEITO!$M$1128*EFEITO!$Z$1128</f>
        <v>9107.3208184960531</v>
      </c>
      <c r="O1128" s="74">
        <f>$L$1128-EFEITO!$O$1128*EFEITO!$AA$1128</f>
        <v>24020.755565029802</v>
      </c>
      <c r="P1128" s="57"/>
      <c r="Q1128" s="57"/>
      <c r="R1128" s="57"/>
      <c r="S1128" s="57"/>
      <c r="T1128" s="57"/>
      <c r="U1128" s="57"/>
      <c r="V1128" s="57"/>
      <c r="W1128" s="57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</row>
    <row r="1129" spans="1:36" ht="11.25" customHeight="1" x14ac:dyDescent="0.2">
      <c r="A1129" s="53" t="s">
        <v>27</v>
      </c>
      <c r="B1129" s="53" t="s">
        <v>33</v>
      </c>
      <c r="C1129" s="53" t="s">
        <v>34</v>
      </c>
      <c r="D1129" s="53" t="s">
        <v>47</v>
      </c>
      <c r="E1129" s="53" t="s">
        <v>25</v>
      </c>
      <c r="F1129" s="53" t="s">
        <v>25</v>
      </c>
      <c r="G1129" s="53" t="s">
        <v>25</v>
      </c>
      <c r="H1129" s="53" t="s">
        <v>36</v>
      </c>
      <c r="I1129" s="73">
        <v>43800</v>
      </c>
      <c r="J1129" s="74">
        <f>EFEITO!$J$1129*EFEITO!$Y$966</f>
        <v>0</v>
      </c>
      <c r="K1129" s="74">
        <f ca="1">EFEITO!$L$1129*EFEITO!$Z$966</f>
        <v>1074.7377649333275</v>
      </c>
      <c r="L1129" s="74">
        <f>EFEITO!$N$1129*EFEITO!$AA$966</f>
        <v>2834.6440915466728</v>
      </c>
      <c r="M1129" s="74">
        <f>$J$1129-EFEITO!$K$1129*EFEITO!$Y$1129</f>
        <v>0</v>
      </c>
      <c r="N1129" s="74">
        <f ca="1">$K$1129-EFEITO!$M$1129*EFEITO!$Z$1129</f>
        <v>64.48426589599967</v>
      </c>
      <c r="O1129" s="74">
        <f>$L$1129-EFEITO!$O$1129*EFEITO!$AA$1129</f>
        <v>170.07864549280066</v>
      </c>
      <c r="P1129" s="57"/>
      <c r="Q1129" s="57"/>
      <c r="R1129" s="57"/>
      <c r="S1129" s="57"/>
      <c r="T1129" s="57"/>
      <c r="U1129" s="57"/>
      <c r="V1129" s="57"/>
      <c r="W1129" s="57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</row>
    <row r="1130" spans="1:36" ht="11.25" customHeight="1" x14ac:dyDescent="0.2">
      <c r="A1130" s="53" t="s">
        <v>28</v>
      </c>
      <c r="B1130" s="53" t="s">
        <v>33</v>
      </c>
      <c r="C1130" s="53" t="s">
        <v>34</v>
      </c>
      <c r="D1130" s="53" t="s">
        <v>47</v>
      </c>
      <c r="E1130" s="53" t="s">
        <v>25</v>
      </c>
      <c r="F1130" s="53" t="s">
        <v>25</v>
      </c>
      <c r="G1130" s="53" t="s">
        <v>25</v>
      </c>
      <c r="H1130" s="53" t="s">
        <v>36</v>
      </c>
      <c r="I1130" s="73">
        <v>43800</v>
      </c>
      <c r="J1130" s="74">
        <f>EFEITO!$J$1130*EFEITO!$Y$966</f>
        <v>0</v>
      </c>
      <c r="K1130" s="74">
        <f ca="1">EFEITO!$L$1130*EFEITO!$Z$966</f>
        <v>3295.2790167157696</v>
      </c>
      <c r="L1130" s="74">
        <f>EFEITO!$N$1130*EFEITO!$AA$966</f>
        <v>8691.3696526804015</v>
      </c>
      <c r="M1130" s="74">
        <f>$J$1130-EFEITO!$K$1130*EFEITO!$Y$1130</f>
        <v>0</v>
      </c>
      <c r="N1130" s="74">
        <f ca="1">$K$1130-EFEITO!$M$1130*EFEITO!$Z$1130</f>
        <v>197.71674100294604</v>
      </c>
      <c r="O1130" s="74">
        <f>$L$1130-EFEITO!$O$1130*EFEITO!$AA$1130</f>
        <v>521.48217916082558</v>
      </c>
      <c r="P1130" s="57"/>
      <c r="Q1130" s="57"/>
      <c r="R1130" s="57"/>
      <c r="S1130" s="57"/>
      <c r="T1130" s="57"/>
      <c r="U1130" s="57"/>
      <c r="V1130" s="57"/>
      <c r="W1130" s="57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</row>
    <row r="1131" spans="1:36" ht="11.25" customHeight="1" x14ac:dyDescent="0.2">
      <c r="A1131" s="53" t="s">
        <v>21</v>
      </c>
      <c r="B1131" s="53" t="s">
        <v>33</v>
      </c>
      <c r="C1131" s="53" t="s">
        <v>34</v>
      </c>
      <c r="D1131" s="53" t="s">
        <v>47</v>
      </c>
      <c r="E1131" s="53" t="s">
        <v>25</v>
      </c>
      <c r="F1131" s="53" t="s">
        <v>25</v>
      </c>
      <c r="G1131" s="53" t="s">
        <v>25</v>
      </c>
      <c r="H1131" s="53" t="s">
        <v>36</v>
      </c>
      <c r="I1131" s="73">
        <v>43831</v>
      </c>
      <c r="J1131" s="74">
        <f>EFEITO!$J$1131*EFEITO!$Y$966</f>
        <v>0</v>
      </c>
      <c r="K1131" s="74">
        <f ca="1">EFEITO!$L$1131*EFEITO!$Z$966</f>
        <v>139874.84460266147</v>
      </c>
      <c r="L1131" s="74">
        <f>EFEITO!$N$1131*EFEITO!$AA$966</f>
        <v>368922.92682535481</v>
      </c>
      <c r="M1131" s="74">
        <f>$J$1131-EFEITO!$K$1131*EFEITO!$Y$1131</f>
        <v>0</v>
      </c>
      <c r="N1131" s="74">
        <f ca="1">$K$1131-EFEITO!$M$1131*EFEITO!$Z$1131</f>
        <v>8392.4906761596794</v>
      </c>
      <c r="O1131" s="74">
        <f>$L$1131-EFEITO!$O$1131*EFEITO!$AA$1131</f>
        <v>22135.375609521347</v>
      </c>
      <c r="P1131" s="57"/>
      <c r="Q1131" s="57"/>
      <c r="R1131" s="57"/>
      <c r="S1131" s="57"/>
      <c r="T1131" s="57"/>
      <c r="U1131" s="57"/>
      <c r="V1131" s="57"/>
      <c r="W1131" s="57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</row>
    <row r="1132" spans="1:36" ht="11.25" customHeight="1" x14ac:dyDescent="0.2">
      <c r="A1132" s="53" t="s">
        <v>27</v>
      </c>
      <c r="B1132" s="53" t="s">
        <v>33</v>
      </c>
      <c r="C1132" s="53" t="s">
        <v>34</v>
      </c>
      <c r="D1132" s="53" t="s">
        <v>47</v>
      </c>
      <c r="E1132" s="53" t="s">
        <v>25</v>
      </c>
      <c r="F1132" s="53" t="s">
        <v>25</v>
      </c>
      <c r="G1132" s="53" t="s">
        <v>25</v>
      </c>
      <c r="H1132" s="53" t="s">
        <v>36</v>
      </c>
      <c r="I1132" s="73">
        <v>43831</v>
      </c>
      <c r="J1132" s="74">
        <f>EFEITO!$J$1132*EFEITO!$Y$966</f>
        <v>0</v>
      </c>
      <c r="K1132" s="74">
        <f ca="1">EFEITO!$L$1132*EFEITO!$Z$966</f>
        <v>806.4034011478567</v>
      </c>
      <c r="L1132" s="74">
        <f>EFEITO!$N$1132*EFEITO!$AA$966</f>
        <v>2126.906405497642</v>
      </c>
      <c r="M1132" s="74">
        <f>$J$1132-EFEITO!$K$1132*EFEITO!$Y$1132</f>
        <v>0</v>
      </c>
      <c r="N1132" s="74">
        <f ca="1">$K$1132-EFEITO!$M$1132*EFEITO!$Z$1132</f>
        <v>48.384204068871327</v>
      </c>
      <c r="O1132" s="74">
        <f>$L$1132-EFEITO!$O$1132*EFEITO!$AA$1132</f>
        <v>127.61438432985869</v>
      </c>
      <c r="P1132" s="57"/>
      <c r="Q1132" s="57"/>
      <c r="R1132" s="57"/>
      <c r="S1132" s="57"/>
      <c r="T1132" s="57"/>
      <c r="U1132" s="57"/>
      <c r="V1132" s="57"/>
      <c r="W1132" s="57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</row>
    <row r="1133" spans="1:36" ht="11.25" customHeight="1" x14ac:dyDescent="0.2">
      <c r="A1133" s="53" t="s">
        <v>28</v>
      </c>
      <c r="B1133" s="53" t="s">
        <v>33</v>
      </c>
      <c r="C1133" s="53" t="s">
        <v>34</v>
      </c>
      <c r="D1133" s="53" t="s">
        <v>47</v>
      </c>
      <c r="E1133" s="53" t="s">
        <v>25</v>
      </c>
      <c r="F1133" s="53" t="s">
        <v>25</v>
      </c>
      <c r="G1133" s="53" t="s">
        <v>25</v>
      </c>
      <c r="H1133" s="53" t="s">
        <v>36</v>
      </c>
      <c r="I1133" s="73">
        <v>43831</v>
      </c>
      <c r="J1133" s="74">
        <f>EFEITO!$J$1133*EFEITO!$Y$966</f>
        <v>0</v>
      </c>
      <c r="K1133" s="74">
        <f ca="1">EFEITO!$L$1133*EFEITO!$Z$966</f>
        <v>3443.3617771609806</v>
      </c>
      <c r="L1133" s="74">
        <f>EFEITO!$N$1133*EFEITO!$AA$966</f>
        <v>9081.9411350010014</v>
      </c>
      <c r="M1133" s="74">
        <f>$J$1133-EFEITO!$K$1133*EFEITO!$Y$1133</f>
        <v>0</v>
      </c>
      <c r="N1133" s="74">
        <f ca="1">$K$1133-EFEITO!$M$1133*EFEITO!$Z$1133</f>
        <v>206.60170662965902</v>
      </c>
      <c r="O1133" s="74">
        <f>$L$1133-EFEITO!$O$1133*EFEITO!$AA$1133</f>
        <v>544.91646810006023</v>
      </c>
      <c r="P1133" s="57"/>
      <c r="Q1133" s="57"/>
      <c r="R1133" s="57"/>
      <c r="S1133" s="57"/>
      <c r="T1133" s="57"/>
      <c r="U1133" s="57"/>
      <c r="V1133" s="57"/>
      <c r="W1133" s="57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</row>
    <row r="1134" spans="1:36" ht="11.25" customHeight="1" x14ac:dyDescent="0.2">
      <c r="A1134" s="53" t="s">
        <v>21</v>
      </c>
      <c r="B1134" s="53" t="s">
        <v>33</v>
      </c>
      <c r="C1134" s="53" t="s">
        <v>34</v>
      </c>
      <c r="D1134" s="53" t="s">
        <v>47</v>
      </c>
      <c r="E1134" s="53" t="s">
        <v>25</v>
      </c>
      <c r="F1134" s="53" t="s">
        <v>25</v>
      </c>
      <c r="G1134" s="53" t="s">
        <v>25</v>
      </c>
      <c r="H1134" s="53" t="s">
        <v>36</v>
      </c>
      <c r="I1134" s="73">
        <v>43862</v>
      </c>
      <c r="J1134" s="74">
        <f>EFEITO!$J$1134*EFEITO!$Y$966</f>
        <v>0</v>
      </c>
      <c r="K1134" s="74">
        <f ca="1">EFEITO!$L$1134*EFEITO!$Z$966</f>
        <v>149674.65011999695</v>
      </c>
      <c r="L1134" s="74">
        <f>EFEITO!$N$1134*EFEITO!$AA$966</f>
        <v>394770.12575554667</v>
      </c>
      <c r="M1134" s="74">
        <f>$J$1134-EFEITO!$K$1134*EFEITO!$Y$1134</f>
        <v>0</v>
      </c>
      <c r="N1134" s="74">
        <f ca="1">$K$1134-EFEITO!$M$1134*EFEITO!$Z$1134</f>
        <v>8980.4790071998141</v>
      </c>
      <c r="O1134" s="74">
        <f>$L$1134-EFEITO!$O$1134*EFEITO!$AA$1134</f>
        <v>23686.207545332843</v>
      </c>
      <c r="P1134" s="57"/>
      <c r="Q1134" s="57"/>
      <c r="R1134" s="57"/>
      <c r="S1134" s="57"/>
      <c r="T1134" s="57"/>
      <c r="U1134" s="57"/>
      <c r="V1134" s="57"/>
      <c r="W1134" s="57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</row>
    <row r="1135" spans="1:36" ht="11.25" customHeight="1" x14ac:dyDescent="0.2">
      <c r="A1135" s="53" t="s">
        <v>27</v>
      </c>
      <c r="B1135" s="53" t="s">
        <v>33</v>
      </c>
      <c r="C1135" s="53" t="s">
        <v>34</v>
      </c>
      <c r="D1135" s="53" t="s">
        <v>47</v>
      </c>
      <c r="E1135" s="53" t="s">
        <v>25</v>
      </c>
      <c r="F1135" s="53" t="s">
        <v>25</v>
      </c>
      <c r="G1135" s="53" t="s">
        <v>25</v>
      </c>
      <c r="H1135" s="53" t="s">
        <v>36</v>
      </c>
      <c r="I1135" s="73">
        <v>43862</v>
      </c>
      <c r="J1135" s="74">
        <f>EFEITO!$J$1135*EFEITO!$Y$966</f>
        <v>0</v>
      </c>
      <c r="K1135" s="74">
        <f ca="1">EFEITO!$L$1135*EFEITO!$Z$966</f>
        <v>1665.5809775607618</v>
      </c>
      <c r="L1135" s="74">
        <f>EFEITO!$N$1135*EFEITO!$AA$966</f>
        <v>4393.0058392691144</v>
      </c>
      <c r="M1135" s="74">
        <f>$J$1135-EFEITO!$K$1135*EFEITO!$Y$1135</f>
        <v>0</v>
      </c>
      <c r="N1135" s="74">
        <f ca="1">$K$1135-EFEITO!$M$1135*EFEITO!$Z$1135</f>
        <v>99.934858653645506</v>
      </c>
      <c r="O1135" s="74">
        <f>$L$1135-EFEITO!$O$1135*EFEITO!$AA$1135</f>
        <v>263.58035035614739</v>
      </c>
      <c r="P1135" s="57"/>
      <c r="Q1135" s="57"/>
      <c r="R1135" s="57"/>
      <c r="S1135" s="57"/>
      <c r="T1135" s="57"/>
      <c r="U1135" s="57"/>
      <c r="V1135" s="57"/>
      <c r="W1135" s="57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</row>
    <row r="1136" spans="1:36" ht="11.25" customHeight="1" x14ac:dyDescent="0.2">
      <c r="A1136" s="53" t="s">
        <v>28</v>
      </c>
      <c r="B1136" s="53" t="s">
        <v>33</v>
      </c>
      <c r="C1136" s="53" t="s">
        <v>34</v>
      </c>
      <c r="D1136" s="53" t="s">
        <v>47</v>
      </c>
      <c r="E1136" s="53" t="s">
        <v>25</v>
      </c>
      <c r="F1136" s="53" t="s">
        <v>25</v>
      </c>
      <c r="G1136" s="53" t="s">
        <v>25</v>
      </c>
      <c r="H1136" s="53" t="s">
        <v>36</v>
      </c>
      <c r="I1136" s="73">
        <v>43862</v>
      </c>
      <c r="J1136" s="74">
        <f>EFEITO!$J$1136*EFEITO!$Y$966</f>
        <v>0</v>
      </c>
      <c r="K1136" s="74">
        <f ca="1">EFEITO!$L$1136*EFEITO!$Z$966</f>
        <v>3495.2607588063761</v>
      </c>
      <c r="L1136" s="74">
        <f>EFEITO!$N$1136*EFEITO!$AA$966</f>
        <v>9218.8258211807388</v>
      </c>
      <c r="M1136" s="74">
        <f>$J$1136-EFEITO!$K$1136*EFEITO!$Y$1136</f>
        <v>0</v>
      </c>
      <c r="N1136" s="74">
        <f ca="1">$K$1136-EFEITO!$M$1136*EFEITO!$Z$1136</f>
        <v>209.71564552838254</v>
      </c>
      <c r="O1136" s="74">
        <f>$L$1136-EFEITO!$O$1136*EFEITO!$AA$1136</f>
        <v>553.12954927084684</v>
      </c>
      <c r="P1136" s="57"/>
      <c r="Q1136" s="57"/>
      <c r="R1136" s="57"/>
      <c r="S1136" s="57"/>
      <c r="T1136" s="57"/>
      <c r="U1136" s="57"/>
      <c r="V1136" s="57"/>
      <c r="W1136" s="57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</row>
    <row r="1137" spans="1:36" ht="11.25" customHeight="1" x14ac:dyDescent="0.2">
      <c r="A1137" s="53" t="s">
        <v>21</v>
      </c>
      <c r="B1137" s="53" t="s">
        <v>33</v>
      </c>
      <c r="C1137" s="53" t="s">
        <v>34</v>
      </c>
      <c r="D1137" s="53" t="s">
        <v>47</v>
      </c>
      <c r="E1137" s="53" t="s">
        <v>25</v>
      </c>
      <c r="F1137" s="53" t="s">
        <v>25</v>
      </c>
      <c r="G1137" s="53" t="s">
        <v>25</v>
      </c>
      <c r="H1137" s="53" t="s">
        <v>36</v>
      </c>
      <c r="I1137" s="73">
        <v>43891</v>
      </c>
      <c r="J1137" s="74">
        <f>EFEITO!$J$1137*EFEITO!$Y$966</f>
        <v>0</v>
      </c>
      <c r="K1137" s="74">
        <f ca="1">EFEITO!$L$1137*EFEITO!$Z$966</f>
        <v>184909.07005358883</v>
      </c>
      <c r="L1137" s="74">
        <f>EFEITO!$N$1137*EFEITO!$AA$966</f>
        <v>487701.67012165207</v>
      </c>
      <c r="M1137" s="74">
        <f>$J$1137-EFEITO!$K$1137*EFEITO!$Y$1137</f>
        <v>0</v>
      </c>
      <c r="N1137" s="74">
        <f ca="1">$K$1137-EFEITO!$M$1137*EFEITO!$Z$1137</f>
        <v>11094.544203215337</v>
      </c>
      <c r="O1137" s="74">
        <f>$L$1137-EFEITO!$O$1137*EFEITO!$AA$1137</f>
        <v>29262.100207299169</v>
      </c>
      <c r="P1137" s="57"/>
      <c r="Q1137" s="57"/>
      <c r="R1137" s="57"/>
      <c r="S1137" s="57"/>
      <c r="T1137" s="57"/>
      <c r="U1137" s="57"/>
      <c r="V1137" s="57"/>
      <c r="W1137" s="57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</row>
    <row r="1138" spans="1:36" ht="11.25" customHeight="1" x14ac:dyDescent="0.2">
      <c r="A1138" s="53" t="s">
        <v>27</v>
      </c>
      <c r="B1138" s="53" t="s">
        <v>33</v>
      </c>
      <c r="C1138" s="53" t="s">
        <v>34</v>
      </c>
      <c r="D1138" s="53" t="s">
        <v>47</v>
      </c>
      <c r="E1138" s="53" t="s">
        <v>25</v>
      </c>
      <c r="F1138" s="53" t="s">
        <v>25</v>
      </c>
      <c r="G1138" s="53" t="s">
        <v>25</v>
      </c>
      <c r="H1138" s="53" t="s">
        <v>36</v>
      </c>
      <c r="I1138" s="73">
        <v>43891</v>
      </c>
      <c r="J1138" s="74">
        <f>EFEITO!$J$1138*EFEITO!$Y$966</f>
        <v>0</v>
      </c>
      <c r="K1138" s="74">
        <f ca="1">EFEITO!$L$1138*EFEITO!$Z$966</f>
        <v>1440.5686979480922</v>
      </c>
      <c r="L1138" s="74">
        <f>EFEITO!$N$1138*EFEITO!$AA$966</f>
        <v>3799.5310868777065</v>
      </c>
      <c r="M1138" s="74">
        <f>$J$1138-EFEITO!$K$1138*EFEITO!$Y$1138</f>
        <v>0</v>
      </c>
      <c r="N1138" s="74">
        <f ca="1">$K$1138-EFEITO!$M$1138*EFEITO!$Z$1138</f>
        <v>86.434121876885456</v>
      </c>
      <c r="O1138" s="74">
        <f>$L$1138-EFEITO!$O$1138*EFEITO!$AA$1138</f>
        <v>227.97186521266258</v>
      </c>
      <c r="P1138" s="57"/>
      <c r="Q1138" s="57"/>
      <c r="R1138" s="57"/>
      <c r="S1138" s="57"/>
      <c r="T1138" s="57"/>
      <c r="U1138" s="57"/>
      <c r="V1138" s="57"/>
      <c r="W1138" s="57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</row>
    <row r="1139" spans="1:36" ht="11.25" customHeight="1" x14ac:dyDescent="0.2">
      <c r="A1139" s="53" t="s">
        <v>28</v>
      </c>
      <c r="B1139" s="53" t="s">
        <v>33</v>
      </c>
      <c r="C1139" s="53" t="s">
        <v>34</v>
      </c>
      <c r="D1139" s="53" t="s">
        <v>47</v>
      </c>
      <c r="E1139" s="53" t="s">
        <v>25</v>
      </c>
      <c r="F1139" s="53" t="s">
        <v>25</v>
      </c>
      <c r="G1139" s="53" t="s">
        <v>25</v>
      </c>
      <c r="H1139" s="53" t="s">
        <v>36</v>
      </c>
      <c r="I1139" s="73">
        <v>43891</v>
      </c>
      <c r="J1139" s="74">
        <f>EFEITO!$J$1139*EFEITO!$Y$966</f>
        <v>0</v>
      </c>
      <c r="K1139" s="74">
        <f ca="1">EFEITO!$L$1139*EFEITO!$Z$966</f>
        <v>4812.6897144693557</v>
      </c>
      <c r="L1139" s="74">
        <f>EFEITO!$N$1139*EFEITO!$AA$966</f>
        <v>12693.573175419506</v>
      </c>
      <c r="M1139" s="74">
        <f>$J$1139-EFEITO!$K$1139*EFEITO!$Y$1139</f>
        <v>0</v>
      </c>
      <c r="N1139" s="74">
        <f ca="1">$K$1139-EFEITO!$M$1139*EFEITO!$Z$1139</f>
        <v>288.76138286816149</v>
      </c>
      <c r="O1139" s="74">
        <f>$L$1139-EFEITO!$O$1139*EFEITO!$AA$1139</f>
        <v>761.61439052517017</v>
      </c>
      <c r="P1139" s="57"/>
      <c r="Q1139" s="57"/>
      <c r="R1139" s="57"/>
      <c r="S1139" s="57"/>
      <c r="T1139" s="57"/>
      <c r="U1139" s="57"/>
      <c r="V1139" s="57"/>
      <c r="W1139" s="57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</row>
    <row r="1140" spans="1:36" ht="11.25" customHeight="1" x14ac:dyDescent="0.2">
      <c r="A1140" s="53" t="s">
        <v>21</v>
      </c>
      <c r="B1140" s="53" t="s">
        <v>33</v>
      </c>
      <c r="C1140" s="53" t="s">
        <v>34</v>
      </c>
      <c r="D1140" s="53" t="s">
        <v>47</v>
      </c>
      <c r="E1140" s="53" t="s">
        <v>25</v>
      </c>
      <c r="F1140" s="53" t="s">
        <v>25</v>
      </c>
      <c r="G1140" s="53" t="s">
        <v>25</v>
      </c>
      <c r="H1140" s="53" t="s">
        <v>36</v>
      </c>
      <c r="I1140" s="73">
        <v>43922</v>
      </c>
      <c r="J1140" s="74">
        <f>EFEITO!$J$1140*EFEITO!$Y$966</f>
        <v>0</v>
      </c>
      <c r="K1140" s="74">
        <f ca="1">EFEITO!$L$1140*EFEITO!$Z$966</f>
        <v>204827.60164326115</v>
      </c>
      <c r="L1140" s="74">
        <f>EFEITO!$N$1140*EFEITO!$AA$966</f>
        <v>540237.22784112336</v>
      </c>
      <c r="M1140" s="74">
        <f>$J$1140-EFEITO!$K$1140*EFEITO!$Y$1140</f>
        <v>0</v>
      </c>
      <c r="N1140" s="74">
        <f ca="1">$K$1140-EFEITO!$M$1140*EFEITO!$Z$1140</f>
        <v>12289.656098595646</v>
      </c>
      <c r="O1140" s="74">
        <f>$L$1140-EFEITO!$O$1140*EFEITO!$AA$1140</f>
        <v>32414.233670467394</v>
      </c>
      <c r="P1140" s="57"/>
      <c r="Q1140" s="57"/>
      <c r="R1140" s="57"/>
      <c r="S1140" s="57"/>
      <c r="T1140" s="57"/>
      <c r="U1140" s="57"/>
      <c r="V1140" s="57"/>
      <c r="W1140" s="57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</row>
    <row r="1141" spans="1:36" ht="11.25" customHeight="1" x14ac:dyDescent="0.2">
      <c r="A1141" s="53" t="s">
        <v>27</v>
      </c>
      <c r="B1141" s="53" t="s">
        <v>33</v>
      </c>
      <c r="C1141" s="53" t="s">
        <v>34</v>
      </c>
      <c r="D1141" s="53" t="s">
        <v>47</v>
      </c>
      <c r="E1141" s="53" t="s">
        <v>25</v>
      </c>
      <c r="F1141" s="53" t="s">
        <v>25</v>
      </c>
      <c r="G1141" s="53" t="s">
        <v>25</v>
      </c>
      <c r="H1141" s="53" t="s">
        <v>36</v>
      </c>
      <c r="I1141" s="73">
        <v>43922</v>
      </c>
      <c r="J1141" s="74">
        <f>EFEITO!$J$1141*EFEITO!$Y$966</f>
        <v>0</v>
      </c>
      <c r="K1141" s="74">
        <f ca="1">EFEITO!$L$1141*EFEITO!$Z$966</f>
        <v>3072.8923179620569</v>
      </c>
      <c r="L1141" s="74">
        <f>EFEITO!$N$1141*EFEITO!$AA$966</f>
        <v>8104.8199265712719</v>
      </c>
      <c r="M1141" s="74">
        <f>$J$1141-EFEITO!$K$1141*EFEITO!$Y$1141</f>
        <v>0</v>
      </c>
      <c r="N1141" s="74">
        <f ca="1">$K$1141-EFEITO!$M$1141*EFEITO!$Z$1141</f>
        <v>184.37353907772331</v>
      </c>
      <c r="O1141" s="74">
        <f>$L$1141-EFEITO!$O$1141*EFEITO!$AA$1141</f>
        <v>486.28919559427686</v>
      </c>
      <c r="P1141" s="57"/>
      <c r="Q1141" s="57"/>
      <c r="R1141" s="57"/>
      <c r="S1141" s="57"/>
      <c r="T1141" s="57"/>
      <c r="U1141" s="57"/>
      <c r="V1141" s="57"/>
      <c r="W1141" s="57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</row>
    <row r="1142" spans="1:36" ht="11.25" customHeight="1" x14ac:dyDescent="0.2">
      <c r="A1142" s="53" t="s">
        <v>28</v>
      </c>
      <c r="B1142" s="53" t="s">
        <v>33</v>
      </c>
      <c r="C1142" s="53" t="s">
        <v>34</v>
      </c>
      <c r="D1142" s="53" t="s">
        <v>47</v>
      </c>
      <c r="E1142" s="53" t="s">
        <v>25</v>
      </c>
      <c r="F1142" s="53" t="s">
        <v>25</v>
      </c>
      <c r="G1142" s="53" t="s">
        <v>25</v>
      </c>
      <c r="H1142" s="53" t="s">
        <v>36</v>
      </c>
      <c r="I1142" s="73">
        <v>43922</v>
      </c>
      <c r="J1142" s="74">
        <f>EFEITO!$J$1142*EFEITO!$Y$966</f>
        <v>0</v>
      </c>
      <c r="K1142" s="74">
        <f ca="1">EFEITO!$L$1142*EFEITO!$Z$966</f>
        <v>5195.5869230673452</v>
      </c>
      <c r="L1142" s="74">
        <f>EFEITO!$N$1142*EFEITO!$AA$966</f>
        <v>13703.472841585361</v>
      </c>
      <c r="M1142" s="74">
        <f>$J$1142-EFEITO!$K$1142*EFEITO!$Y$1142</f>
        <v>0</v>
      </c>
      <c r="N1142" s="74">
        <f ca="1">$K$1142-EFEITO!$M$1142*EFEITO!$Z$1142</f>
        <v>311.73521538404111</v>
      </c>
      <c r="O1142" s="74">
        <f>$L$1142-EFEITO!$O$1142*EFEITO!$AA$1142</f>
        <v>822.20837049512193</v>
      </c>
      <c r="P1142" s="57"/>
      <c r="Q1142" s="57"/>
      <c r="R1142" s="57"/>
      <c r="S1142" s="57"/>
      <c r="T1142" s="57"/>
      <c r="U1142" s="57"/>
      <c r="V1142" s="57"/>
      <c r="W1142" s="57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</row>
    <row r="1143" spans="1:36" ht="11.25" customHeight="1" x14ac:dyDescent="0.2">
      <c r="A1143" s="53" t="s">
        <v>21</v>
      </c>
      <c r="B1143" s="53" t="s">
        <v>33</v>
      </c>
      <c r="C1143" s="53" t="s">
        <v>34</v>
      </c>
      <c r="D1143" s="53" t="s">
        <v>47</v>
      </c>
      <c r="E1143" s="53" t="s">
        <v>25</v>
      </c>
      <c r="F1143" s="53" t="s">
        <v>25</v>
      </c>
      <c r="G1143" s="53" t="s">
        <v>25</v>
      </c>
      <c r="H1143" s="53" t="s">
        <v>36</v>
      </c>
      <c r="I1143" s="73">
        <v>43952</v>
      </c>
      <c r="J1143" s="74">
        <f>EFEITO!$J$1143*EFEITO!$Y$966</f>
        <v>0</v>
      </c>
      <c r="K1143" s="74">
        <f ca="1">EFEITO!$L$1143*EFEITO!$Z$966</f>
        <v>164955.53071913042</v>
      </c>
      <c r="L1143" s="74">
        <f>EFEITO!$N$1143*EFEITO!$AA$966</f>
        <v>435073.7787184171</v>
      </c>
      <c r="M1143" s="74">
        <f>$J$1143-EFEITO!$K$1143*EFEITO!$Y$1143</f>
        <v>0</v>
      </c>
      <c r="N1143" s="74">
        <f ca="1">$K$1143-EFEITO!$M$1143*EFEITO!$Z$1143</f>
        <v>9897.331843147811</v>
      </c>
      <c r="O1143" s="74">
        <f>$L$1143-EFEITO!$O$1143*EFEITO!$AA$1143</f>
        <v>26104.426723105076</v>
      </c>
      <c r="P1143" s="57"/>
      <c r="Q1143" s="57"/>
      <c r="R1143" s="57"/>
      <c r="S1143" s="57"/>
      <c r="T1143" s="57"/>
      <c r="U1143" s="57"/>
      <c r="V1143" s="57"/>
      <c r="W1143" s="57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</row>
    <row r="1144" spans="1:36" ht="11.25" customHeight="1" x14ac:dyDescent="0.2">
      <c r="A1144" s="53" t="s">
        <v>27</v>
      </c>
      <c r="B1144" s="53" t="s">
        <v>33</v>
      </c>
      <c r="C1144" s="53" t="s">
        <v>34</v>
      </c>
      <c r="D1144" s="53" t="s">
        <v>47</v>
      </c>
      <c r="E1144" s="53" t="s">
        <v>25</v>
      </c>
      <c r="F1144" s="53" t="s">
        <v>25</v>
      </c>
      <c r="G1144" s="53" t="s">
        <v>25</v>
      </c>
      <c r="H1144" s="53" t="s">
        <v>36</v>
      </c>
      <c r="I1144" s="73">
        <v>43952</v>
      </c>
      <c r="J1144" s="74">
        <f>EFEITO!$J$1144*EFEITO!$Y$966</f>
        <v>0</v>
      </c>
      <c r="K1144" s="74">
        <f ca="1">EFEITO!$L$1144*EFEITO!$Z$966</f>
        <v>2383.6773424856769</v>
      </c>
      <c r="L1144" s="74">
        <f>EFEITO!$N$1144*EFEITO!$AA$966</f>
        <v>6287.0005274727346</v>
      </c>
      <c r="M1144" s="74">
        <f>$J$1144-EFEITO!$K$1144*EFEITO!$Y$1144</f>
        <v>0</v>
      </c>
      <c r="N1144" s="74">
        <f ca="1">$K$1144-EFEITO!$M$1144*EFEITO!$Z$1144</f>
        <v>143.02064054914081</v>
      </c>
      <c r="O1144" s="74">
        <f>$L$1144-EFEITO!$O$1144*EFEITO!$AA$1144</f>
        <v>377.22003164836497</v>
      </c>
      <c r="P1144" s="57"/>
      <c r="Q1144" s="57"/>
      <c r="R1144" s="57"/>
      <c r="S1144" s="57"/>
      <c r="T1144" s="57"/>
      <c r="U1144" s="57"/>
      <c r="V1144" s="57"/>
      <c r="W1144" s="57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</row>
    <row r="1145" spans="1:36" ht="11.25" customHeight="1" x14ac:dyDescent="0.2">
      <c r="A1145" s="53" t="s">
        <v>28</v>
      </c>
      <c r="B1145" s="53" t="s">
        <v>33</v>
      </c>
      <c r="C1145" s="53" t="s">
        <v>34</v>
      </c>
      <c r="D1145" s="53" t="s">
        <v>47</v>
      </c>
      <c r="E1145" s="53" t="s">
        <v>25</v>
      </c>
      <c r="F1145" s="53" t="s">
        <v>25</v>
      </c>
      <c r="G1145" s="53" t="s">
        <v>25</v>
      </c>
      <c r="H1145" s="53" t="s">
        <v>36</v>
      </c>
      <c r="I1145" s="73">
        <v>43952</v>
      </c>
      <c r="J1145" s="74">
        <f>EFEITO!$J$1145*EFEITO!$Y$966</f>
        <v>0</v>
      </c>
      <c r="K1145" s="74">
        <f ca="1">EFEITO!$L$1145*EFEITO!$Z$966</f>
        <v>7166.4354351629154</v>
      </c>
      <c r="L1145" s="74">
        <f>EFEITO!$N$1145*EFEITO!$AA$966</f>
        <v>18901.628403274248</v>
      </c>
      <c r="M1145" s="74">
        <f>$J$1145-EFEITO!$K$1145*EFEITO!$Y$1145</f>
        <v>0</v>
      </c>
      <c r="N1145" s="74">
        <f ca="1">$K$1145-EFEITO!$M$1145*EFEITO!$Z$1145</f>
        <v>429.98612610977489</v>
      </c>
      <c r="O1145" s="74">
        <f>$L$1145-EFEITO!$O$1145*EFEITO!$AA$1145</f>
        <v>1134.0977041964579</v>
      </c>
      <c r="P1145" s="57"/>
      <c r="Q1145" s="57"/>
      <c r="R1145" s="57"/>
      <c r="S1145" s="57"/>
      <c r="T1145" s="57"/>
      <c r="U1145" s="57"/>
      <c r="V1145" s="57"/>
      <c r="W1145" s="57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</row>
    <row r="1146" spans="1:36" ht="11.25" customHeight="1" x14ac:dyDescent="0.2">
      <c r="A1146" s="53" t="s">
        <v>21</v>
      </c>
      <c r="B1146" s="53" t="s">
        <v>33</v>
      </c>
      <c r="C1146" s="53" t="s">
        <v>34</v>
      </c>
      <c r="D1146" s="53" t="s">
        <v>47</v>
      </c>
      <c r="E1146" s="53" t="s">
        <v>25</v>
      </c>
      <c r="F1146" s="53" t="s">
        <v>25</v>
      </c>
      <c r="G1146" s="53" t="s">
        <v>25</v>
      </c>
      <c r="H1146" s="53" t="s">
        <v>36</v>
      </c>
      <c r="I1146" s="73">
        <v>43983</v>
      </c>
      <c r="J1146" s="74">
        <f>EFEITO!$J$1146*EFEITO!$Y$966</f>
        <v>0</v>
      </c>
      <c r="K1146" s="74">
        <f ca="1">EFEITO!$L$1146*EFEITO!$Z$966</f>
        <v>157244.2872557338</v>
      </c>
      <c r="L1146" s="74">
        <f>EFEITO!$N$1146*EFEITO!$AA$966</f>
        <v>414735.20736156974</v>
      </c>
      <c r="M1146" s="74">
        <f>$J$1146-EFEITO!$K$1146*EFEITO!$Y$1146</f>
        <v>0</v>
      </c>
      <c r="N1146" s="74">
        <f ca="1">$K$1146-EFEITO!$M$1146*EFEITO!$Z$1146</f>
        <v>9434.6572353440279</v>
      </c>
      <c r="O1146" s="74">
        <f>$L$1146-EFEITO!$O$1146*EFEITO!$AA$1146</f>
        <v>24884.112441694248</v>
      </c>
      <c r="P1146" s="57"/>
      <c r="Q1146" s="57"/>
      <c r="R1146" s="57"/>
      <c r="S1146" s="57"/>
      <c r="T1146" s="57"/>
      <c r="U1146" s="57"/>
      <c r="V1146" s="57"/>
      <c r="W1146" s="57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</row>
    <row r="1147" spans="1:36" ht="11.25" customHeight="1" x14ac:dyDescent="0.2">
      <c r="A1147" s="53" t="s">
        <v>27</v>
      </c>
      <c r="B1147" s="53" t="s">
        <v>33</v>
      </c>
      <c r="C1147" s="53" t="s">
        <v>34</v>
      </c>
      <c r="D1147" s="53" t="s">
        <v>47</v>
      </c>
      <c r="E1147" s="53" t="s">
        <v>25</v>
      </c>
      <c r="F1147" s="53" t="s">
        <v>25</v>
      </c>
      <c r="G1147" s="53" t="s">
        <v>25</v>
      </c>
      <c r="H1147" s="53" t="s">
        <v>36</v>
      </c>
      <c r="I1147" s="73">
        <v>43983</v>
      </c>
      <c r="J1147" s="74">
        <f>EFEITO!$J$1147*EFEITO!$Y$966</f>
        <v>0</v>
      </c>
      <c r="K1147" s="74">
        <f ca="1">EFEITO!$L$1147*EFEITO!$Z$966</f>
        <v>2249.9477574027674</v>
      </c>
      <c r="L1147" s="74">
        <f>EFEITO!$N$1147*EFEITO!$AA$966</f>
        <v>5934.2858554952654</v>
      </c>
      <c r="M1147" s="74">
        <f>$J$1147-EFEITO!$K$1147*EFEITO!$Y$1147</f>
        <v>0</v>
      </c>
      <c r="N1147" s="74">
        <f ca="1">$K$1147-EFEITO!$M$1147*EFEITO!$Z$1147</f>
        <v>134.99686544416591</v>
      </c>
      <c r="O1147" s="74">
        <f>$L$1147-EFEITO!$O$1147*EFEITO!$AA$1147</f>
        <v>356.05715132971636</v>
      </c>
      <c r="P1147" s="57"/>
      <c r="Q1147" s="57"/>
      <c r="R1147" s="57"/>
      <c r="S1147" s="57"/>
      <c r="T1147" s="57"/>
      <c r="U1147" s="57"/>
      <c r="V1147" s="57"/>
      <c r="W1147" s="57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</row>
    <row r="1148" spans="1:36" ht="11.25" customHeight="1" x14ac:dyDescent="0.2">
      <c r="A1148" s="53" t="s">
        <v>28</v>
      </c>
      <c r="B1148" s="53" t="s">
        <v>33</v>
      </c>
      <c r="C1148" s="53" t="s">
        <v>34</v>
      </c>
      <c r="D1148" s="53" t="s">
        <v>47</v>
      </c>
      <c r="E1148" s="53" t="s">
        <v>25</v>
      </c>
      <c r="F1148" s="53" t="s">
        <v>25</v>
      </c>
      <c r="G1148" s="53" t="s">
        <v>25</v>
      </c>
      <c r="H1148" s="53" t="s">
        <v>36</v>
      </c>
      <c r="I1148" s="73">
        <v>43983</v>
      </c>
      <c r="J1148" s="74">
        <f>EFEITO!$J$1148*EFEITO!$Y$966</f>
        <v>0</v>
      </c>
      <c r="K1148" s="74">
        <f ca="1">EFEITO!$L$1148*EFEITO!$Z$966</f>
        <v>5469.7850841044874</v>
      </c>
      <c r="L1148" s="74">
        <f>EFEITO!$N$1148*EFEITO!$AA$966</f>
        <v>14426.676419664816</v>
      </c>
      <c r="M1148" s="74">
        <f>$J$1148-EFEITO!$K$1148*EFEITO!$Y$1148</f>
        <v>0</v>
      </c>
      <c r="N1148" s="74">
        <f ca="1">$K$1148-EFEITO!$M$1148*EFEITO!$Z$1148</f>
        <v>328.18710504626961</v>
      </c>
      <c r="O1148" s="74">
        <f>$L$1148-EFEITO!$O$1148*EFEITO!$AA$1148</f>
        <v>865.60058517989091</v>
      </c>
      <c r="P1148" s="57"/>
      <c r="Q1148" s="57"/>
      <c r="R1148" s="57"/>
      <c r="S1148" s="57"/>
      <c r="T1148" s="57"/>
      <c r="U1148" s="57"/>
      <c r="V1148" s="57"/>
      <c r="W1148" s="57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</row>
    <row r="1149" spans="1:36" ht="11.25" customHeight="1" x14ac:dyDescent="0.2">
      <c r="A1149" s="53" t="s">
        <v>21</v>
      </c>
      <c r="B1149" s="53" t="s">
        <v>33</v>
      </c>
      <c r="C1149" s="53" t="s">
        <v>34</v>
      </c>
      <c r="D1149" s="53" t="s">
        <v>47</v>
      </c>
      <c r="E1149" s="53" t="s">
        <v>25</v>
      </c>
      <c r="F1149" s="53" t="s">
        <v>25</v>
      </c>
      <c r="G1149" s="53" t="s">
        <v>25</v>
      </c>
      <c r="H1149" s="53" t="s">
        <v>36</v>
      </c>
      <c r="I1149" s="73">
        <v>44013</v>
      </c>
      <c r="J1149" s="74">
        <f>EFEITO!$J$1149*EFEITO!$Y$966</f>
        <v>0</v>
      </c>
      <c r="K1149" s="74">
        <f ca="1">EFEITO!$L$1149*EFEITO!$Z$966</f>
        <v>149967.66494385662</v>
      </c>
      <c r="L1149" s="74">
        <f>EFEITO!$N$1149*EFEITO!$AA$966</f>
        <v>395542.95868864912</v>
      </c>
      <c r="M1149" s="74">
        <f>$J$1149-EFEITO!$K$1149*EFEITO!$Y$1149</f>
        <v>0</v>
      </c>
      <c r="N1149" s="74">
        <f ca="1">$K$1149-EFEITO!$M$1149*EFEITO!$Z$1149</f>
        <v>8998.0598966313992</v>
      </c>
      <c r="O1149" s="74">
        <f>$L$1149-EFEITO!$O$1149*EFEITO!$AA$1149</f>
        <v>23732.577521318977</v>
      </c>
      <c r="P1149" s="57"/>
      <c r="Q1149" s="57"/>
      <c r="R1149" s="57"/>
      <c r="S1149" s="57"/>
      <c r="T1149" s="57"/>
      <c r="U1149" s="57"/>
      <c r="V1149" s="57"/>
      <c r="W1149" s="57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</row>
    <row r="1150" spans="1:36" ht="11.25" customHeight="1" x14ac:dyDescent="0.2">
      <c r="A1150" s="53" t="s">
        <v>27</v>
      </c>
      <c r="B1150" s="53" t="s">
        <v>33</v>
      </c>
      <c r="C1150" s="53" t="s">
        <v>34</v>
      </c>
      <c r="D1150" s="53" t="s">
        <v>47</v>
      </c>
      <c r="E1150" s="53" t="s">
        <v>25</v>
      </c>
      <c r="F1150" s="53" t="s">
        <v>25</v>
      </c>
      <c r="G1150" s="53" t="s">
        <v>25</v>
      </c>
      <c r="H1150" s="53" t="s">
        <v>36</v>
      </c>
      <c r="I1150" s="73">
        <v>44013</v>
      </c>
      <c r="J1150" s="74">
        <f>EFEITO!$J$1150*EFEITO!$Y$966</f>
        <v>0</v>
      </c>
      <c r="K1150" s="74">
        <f ca="1">EFEITO!$L$1150*EFEITO!$Z$966</f>
        <v>4175.3737206383703</v>
      </c>
      <c r="L1150" s="74">
        <f>EFEITO!$N$1150*EFEITO!$AA$966</f>
        <v>11012.638462500705</v>
      </c>
      <c r="M1150" s="74">
        <f>$J$1150-EFEITO!$K$1150*EFEITO!$Y$1150</f>
        <v>0</v>
      </c>
      <c r="N1150" s="74">
        <f ca="1">$K$1150-EFEITO!$M$1150*EFEITO!$Z$1150</f>
        <v>250.52242323830205</v>
      </c>
      <c r="O1150" s="74">
        <f>$L$1150-EFEITO!$O$1150*EFEITO!$AA$1150</f>
        <v>660.75830775004397</v>
      </c>
      <c r="P1150" s="57"/>
      <c r="Q1150" s="57"/>
      <c r="R1150" s="57"/>
      <c r="S1150" s="57"/>
      <c r="T1150" s="57"/>
      <c r="U1150" s="57"/>
      <c r="V1150" s="57"/>
      <c r="W1150" s="57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</row>
    <row r="1151" spans="1:36" ht="11.25" customHeight="1" x14ac:dyDescent="0.2">
      <c r="A1151" s="53" t="s">
        <v>28</v>
      </c>
      <c r="B1151" s="53" t="s">
        <v>33</v>
      </c>
      <c r="C1151" s="53" t="s">
        <v>34</v>
      </c>
      <c r="D1151" s="53" t="s">
        <v>47</v>
      </c>
      <c r="E1151" s="53" t="s">
        <v>25</v>
      </c>
      <c r="F1151" s="53" t="s">
        <v>25</v>
      </c>
      <c r="G1151" s="53" t="s">
        <v>25</v>
      </c>
      <c r="H1151" s="53" t="s">
        <v>36</v>
      </c>
      <c r="I1151" s="73">
        <v>44013</v>
      </c>
      <c r="J1151" s="74">
        <f>EFEITO!$J$1151*EFEITO!$Y$966</f>
        <v>0</v>
      </c>
      <c r="K1151" s="74">
        <f ca="1">EFEITO!$L$1151*EFEITO!$Z$966</f>
        <v>19801.955799534597</v>
      </c>
      <c r="L1151" s="74">
        <f>EFEITO!$N$1151*EFEITO!$AA$966</f>
        <v>52228.086552538036</v>
      </c>
      <c r="M1151" s="74">
        <f>$J$1151-EFEITO!$K$1151*EFEITO!$Y$1151</f>
        <v>0</v>
      </c>
      <c r="N1151" s="74">
        <f ca="1">$K$1151-EFEITO!$M$1151*EFEITO!$Z$1151</f>
        <v>1188.1173479720746</v>
      </c>
      <c r="O1151" s="74">
        <f>$L$1151-EFEITO!$O$1151*EFEITO!$AA$1151</f>
        <v>3133.6851931522833</v>
      </c>
      <c r="P1151" s="57"/>
      <c r="Q1151" s="57"/>
      <c r="R1151" s="57"/>
      <c r="S1151" s="57"/>
      <c r="T1151" s="57"/>
      <c r="U1151" s="57"/>
      <c r="V1151" s="57"/>
      <c r="W1151" s="57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</row>
    <row r="1152" spans="1:36" ht="11.25" customHeight="1" x14ac:dyDescent="0.2">
      <c r="A1152" s="53" t="s">
        <v>21</v>
      </c>
      <c r="B1152" s="53" t="s">
        <v>33</v>
      </c>
      <c r="C1152" s="53" t="s">
        <v>34</v>
      </c>
      <c r="D1152" s="53" t="s">
        <v>47</v>
      </c>
      <c r="E1152" s="53" t="s">
        <v>25</v>
      </c>
      <c r="F1152" s="53" t="s">
        <v>25</v>
      </c>
      <c r="G1152" s="53" t="s">
        <v>25</v>
      </c>
      <c r="H1152" s="53" t="s">
        <v>36</v>
      </c>
      <c r="I1152" s="73">
        <v>44044</v>
      </c>
      <c r="J1152" s="74">
        <f>EFEITO!$J$1152*EFEITO!$Y$966</f>
        <v>0</v>
      </c>
      <c r="K1152" s="74">
        <f ca="1">EFEITO!$L$1152*EFEITO!$Z$966</f>
        <v>158805.02003766017</v>
      </c>
      <c r="L1152" s="74">
        <f>EFEITO!$N$1152*EFEITO!$AA$966</f>
        <v>418851.67381796642</v>
      </c>
      <c r="M1152" s="74">
        <f>$J$1152-EFEITO!$K$1152*EFEITO!$Y$1152</f>
        <v>0</v>
      </c>
      <c r="N1152" s="74">
        <f ca="1">$K$1152-EFEITO!$M$1152*EFEITO!$Z$1152</f>
        <v>9528.3012022596085</v>
      </c>
      <c r="O1152" s="74">
        <f>$L$1152-EFEITO!$O$1152*EFEITO!$AA$1152</f>
        <v>25131.10042907804</v>
      </c>
      <c r="P1152" s="57"/>
      <c r="Q1152" s="57"/>
      <c r="R1152" s="57"/>
      <c r="S1152" s="57"/>
      <c r="T1152" s="57"/>
      <c r="U1152" s="57"/>
      <c r="V1152" s="57"/>
      <c r="W1152" s="57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</row>
    <row r="1153" spans="1:36" ht="11.25" customHeight="1" x14ac:dyDescent="0.2">
      <c r="A1153" s="53" t="s">
        <v>27</v>
      </c>
      <c r="B1153" s="53" t="s">
        <v>33</v>
      </c>
      <c r="C1153" s="53" t="s">
        <v>34</v>
      </c>
      <c r="D1153" s="53" t="s">
        <v>47</v>
      </c>
      <c r="E1153" s="53" t="s">
        <v>25</v>
      </c>
      <c r="F1153" s="53" t="s">
        <v>25</v>
      </c>
      <c r="G1153" s="53" t="s">
        <v>25</v>
      </c>
      <c r="H1153" s="53" t="s">
        <v>36</v>
      </c>
      <c r="I1153" s="73">
        <v>44044</v>
      </c>
      <c r="J1153" s="74">
        <f>EFEITO!$J$1153*EFEITO!$Y$966</f>
        <v>0</v>
      </c>
      <c r="K1153" s="74">
        <f ca="1">EFEITO!$L$1153*EFEITO!$Z$966</f>
        <v>4214.6699141607696</v>
      </c>
      <c r="L1153" s="74">
        <f>EFEITO!$N$1153*EFEITO!$AA$966</f>
        <v>11116.283022525498</v>
      </c>
      <c r="M1153" s="74">
        <f>$J$1153-EFEITO!$K$1153*EFEITO!$Y$1153</f>
        <v>0</v>
      </c>
      <c r="N1153" s="74">
        <f ca="1">$K$1153-EFEITO!$M$1153*EFEITO!$Z$1153</f>
        <v>252.88019484964616</v>
      </c>
      <c r="O1153" s="74">
        <f>$L$1153-EFEITO!$O$1153*EFEITO!$AA$1153</f>
        <v>666.97698135153223</v>
      </c>
      <c r="P1153" s="57"/>
      <c r="Q1153" s="57"/>
      <c r="R1153" s="57"/>
      <c r="S1153" s="57"/>
      <c r="T1153" s="57"/>
      <c r="U1153" s="57"/>
      <c r="V1153" s="57"/>
      <c r="W1153" s="57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</row>
    <row r="1154" spans="1:36" ht="11.25" customHeight="1" x14ac:dyDescent="0.2">
      <c r="A1154" s="53" t="s">
        <v>28</v>
      </c>
      <c r="B1154" s="53" t="s">
        <v>33</v>
      </c>
      <c r="C1154" s="53" t="s">
        <v>34</v>
      </c>
      <c r="D1154" s="53" t="s">
        <v>47</v>
      </c>
      <c r="E1154" s="53" t="s">
        <v>25</v>
      </c>
      <c r="F1154" s="53" t="s">
        <v>25</v>
      </c>
      <c r="G1154" s="53" t="s">
        <v>25</v>
      </c>
      <c r="H1154" s="53" t="s">
        <v>36</v>
      </c>
      <c r="I1154" s="73">
        <v>44044</v>
      </c>
      <c r="J1154" s="74">
        <f>EFEITO!$J$1154*EFEITO!$Y$966</f>
        <v>0</v>
      </c>
      <c r="K1154" s="74">
        <f ca="1">EFEITO!$L$1154*EFEITO!$Z$966</f>
        <v>21995.015971659948</v>
      </c>
      <c r="L1154" s="74">
        <f>EFEITO!$N$1154*EFEITO!$AA$966</f>
        <v>58012.33017191723</v>
      </c>
      <c r="M1154" s="74">
        <f>$J$1154-EFEITO!$K$1154*EFEITO!$Y$1154</f>
        <v>0</v>
      </c>
      <c r="N1154" s="74">
        <f ca="1">$K$1154-EFEITO!$M$1154*EFEITO!$Z$1154</f>
        <v>1319.7009582995961</v>
      </c>
      <c r="O1154" s="74">
        <f>$L$1154-EFEITO!$O$1154*EFEITO!$AA$1154</f>
        <v>3480.7398103150408</v>
      </c>
      <c r="P1154" s="57"/>
      <c r="Q1154" s="57"/>
      <c r="R1154" s="57"/>
      <c r="S1154" s="57"/>
      <c r="T1154" s="57"/>
      <c r="U1154" s="57"/>
      <c r="V1154" s="57"/>
      <c r="W1154" s="57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</row>
    <row r="1155" spans="1:36" ht="11.25" customHeight="1" x14ac:dyDescent="0.2">
      <c r="A1155" s="53" t="s">
        <v>59</v>
      </c>
      <c r="B1155" s="53" t="s">
        <v>33</v>
      </c>
      <c r="C1155" s="53" t="s">
        <v>34</v>
      </c>
      <c r="D1155" s="53" t="s">
        <v>47</v>
      </c>
      <c r="E1155" s="53" t="s">
        <v>25</v>
      </c>
      <c r="F1155" s="53" t="s">
        <v>25</v>
      </c>
      <c r="G1155" s="53" t="s">
        <v>25</v>
      </c>
      <c r="H1155" s="53" t="s">
        <v>36</v>
      </c>
      <c r="I1155" s="73">
        <v>44075</v>
      </c>
      <c r="J1155" s="74">
        <f>EFEITO!$J$1155*EFEITO!$Y$966</f>
        <v>0</v>
      </c>
      <c r="K1155" s="74">
        <f ca="1">EFEITO!$L$1155*EFEITO!$Z$966</f>
        <v>158805.02003766017</v>
      </c>
      <c r="L1155" s="74">
        <f>EFEITO!$N$1155*EFEITO!$AA$966</f>
        <v>418851.67381796642</v>
      </c>
      <c r="M1155" s="74">
        <f>$J$1155-EFEITO!$K$1155*EFEITO!$Y$1155</f>
        <v>0</v>
      </c>
      <c r="N1155" s="74">
        <f ca="1">$K$1155-EFEITO!$M$1155*EFEITO!$Z$1155</f>
        <v>9528.3012022596085</v>
      </c>
      <c r="O1155" s="74">
        <f>$L$1155-EFEITO!$O$1155*EFEITO!$AA$1155</f>
        <v>25131.10042907804</v>
      </c>
      <c r="P1155" s="57"/>
      <c r="Q1155" s="57"/>
      <c r="R1155" s="57"/>
      <c r="S1155" s="57"/>
      <c r="T1155" s="57"/>
      <c r="U1155" s="57"/>
      <c r="V1155" s="57"/>
      <c r="W1155" s="57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</row>
    <row r="1156" spans="1:36" ht="11.25" customHeight="1" x14ac:dyDescent="0.2">
      <c r="A1156" s="53" t="s">
        <v>59</v>
      </c>
      <c r="B1156" s="53" t="s">
        <v>33</v>
      </c>
      <c r="C1156" s="53" t="s">
        <v>34</v>
      </c>
      <c r="D1156" s="53" t="s">
        <v>47</v>
      </c>
      <c r="E1156" s="53" t="s">
        <v>25</v>
      </c>
      <c r="F1156" s="53" t="s">
        <v>25</v>
      </c>
      <c r="G1156" s="53" t="s">
        <v>25</v>
      </c>
      <c r="H1156" s="53" t="s">
        <v>36</v>
      </c>
      <c r="I1156" s="73">
        <v>44075</v>
      </c>
      <c r="J1156" s="74">
        <f>EFEITO!$J$1156*EFEITO!$Y$966</f>
        <v>0</v>
      </c>
      <c r="K1156" s="74">
        <f ca="1">EFEITO!$L$1156*EFEITO!$Z$966</f>
        <v>4214.6699141607696</v>
      </c>
      <c r="L1156" s="74">
        <f>EFEITO!$N$1156*EFEITO!$AA$966</f>
        <v>11116.283022525498</v>
      </c>
      <c r="M1156" s="74">
        <f>$J$1156-EFEITO!$K$1156*EFEITO!$Y$1156</f>
        <v>0</v>
      </c>
      <c r="N1156" s="74">
        <f ca="1">$K$1156-EFEITO!$M$1156*EFEITO!$Z$1156</f>
        <v>252.88019484964616</v>
      </c>
      <c r="O1156" s="74">
        <f>$L$1156-EFEITO!$O$1156*EFEITO!$AA$1156</f>
        <v>666.97698135153223</v>
      </c>
      <c r="P1156" s="57"/>
      <c r="Q1156" s="57"/>
      <c r="R1156" s="57"/>
      <c r="S1156" s="57"/>
      <c r="T1156" s="57"/>
      <c r="U1156" s="57"/>
      <c r="V1156" s="57"/>
      <c r="W1156" s="57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</row>
    <row r="1157" spans="1:36" ht="11.25" customHeight="1" x14ac:dyDescent="0.2">
      <c r="A1157" s="53" t="s">
        <v>59</v>
      </c>
      <c r="B1157" s="53" t="s">
        <v>33</v>
      </c>
      <c r="C1157" s="53" t="s">
        <v>34</v>
      </c>
      <c r="D1157" s="53" t="s">
        <v>47</v>
      </c>
      <c r="E1157" s="53" t="s">
        <v>25</v>
      </c>
      <c r="F1157" s="53" t="s">
        <v>25</v>
      </c>
      <c r="G1157" s="53" t="s">
        <v>25</v>
      </c>
      <c r="H1157" s="53" t="s">
        <v>36</v>
      </c>
      <c r="I1157" s="73">
        <v>44075</v>
      </c>
      <c r="J1157" s="74">
        <f>EFEITO!$J$1157*EFEITO!$Y$966</f>
        <v>0</v>
      </c>
      <c r="K1157" s="74">
        <f ca="1">EFEITO!$L$1157*EFEITO!$Z$966</f>
        <v>21995.015971659948</v>
      </c>
      <c r="L1157" s="74">
        <f>EFEITO!$N$1157*EFEITO!$AA$966</f>
        <v>58012.33017191723</v>
      </c>
      <c r="M1157" s="74">
        <f>$J$1157-EFEITO!$K$1157*EFEITO!$Y$1157</f>
        <v>0</v>
      </c>
      <c r="N1157" s="74">
        <f ca="1">$K$1157-EFEITO!$M$1157*EFEITO!$Z$1157</f>
        <v>1319.7009582995961</v>
      </c>
      <c r="O1157" s="74">
        <f>$L$1157-EFEITO!$O$1157*EFEITO!$AA$1157</f>
        <v>3480.7398103150408</v>
      </c>
      <c r="P1157" s="57"/>
      <c r="Q1157" s="57"/>
      <c r="R1157" s="57"/>
      <c r="S1157" s="57"/>
      <c r="T1157" s="57"/>
      <c r="U1157" s="57"/>
      <c r="V1157" s="57"/>
      <c r="W1157" s="57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</row>
    <row r="1158" spans="1:36" ht="11.25" customHeight="1" x14ac:dyDescent="0.2">
      <c r="A1158" s="53" t="s">
        <v>21</v>
      </c>
      <c r="B1158" s="53" t="s">
        <v>33</v>
      </c>
      <c r="C1158" s="53" t="s">
        <v>34</v>
      </c>
      <c r="D1158" s="53" t="s">
        <v>47</v>
      </c>
      <c r="E1158" s="53" t="s">
        <v>25</v>
      </c>
      <c r="F1158" s="53" t="s">
        <v>25</v>
      </c>
      <c r="G1158" s="53" t="s">
        <v>25</v>
      </c>
      <c r="H1158" s="53" t="s">
        <v>25</v>
      </c>
      <c r="I1158" s="73">
        <v>43739</v>
      </c>
      <c r="J1158" s="74">
        <f ca="1">EFEITO!$J$1158*EFEITO!$Y$1000</f>
        <v>81174.303925653847</v>
      </c>
      <c r="K1158" s="74">
        <f>EFEITO!$L$1158*EFEITO!$Z$1000</f>
        <v>0</v>
      </c>
      <c r="L1158" s="74">
        <f>EFEITO!$N$1158*EFEITO!$AA$1000</f>
        <v>0</v>
      </c>
      <c r="M1158" s="74">
        <f ca="1">$J$1158-EFEITO!$K$1158*EFEITO!$Y$1158</f>
        <v>4870.458235539234</v>
      </c>
      <c r="N1158" s="74">
        <f>$K$1158-EFEITO!$M$1158*EFEITO!$Z$1158</f>
        <v>0</v>
      </c>
      <c r="O1158" s="74">
        <f>$L$1158-EFEITO!$O$1158*EFEITO!$AA$1158</f>
        <v>0</v>
      </c>
      <c r="P1158" s="57"/>
      <c r="Q1158" s="57"/>
      <c r="R1158" s="57"/>
      <c r="S1158" s="57"/>
      <c r="T1158" s="57"/>
      <c r="U1158" s="57"/>
      <c r="V1158" s="57"/>
      <c r="W1158" s="57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</row>
    <row r="1159" spans="1:36" ht="11.25" customHeight="1" x14ac:dyDescent="0.2">
      <c r="A1159" s="53" t="s">
        <v>28</v>
      </c>
      <c r="B1159" s="53" t="s">
        <v>33</v>
      </c>
      <c r="C1159" s="53" t="s">
        <v>34</v>
      </c>
      <c r="D1159" s="53" t="s">
        <v>47</v>
      </c>
      <c r="E1159" s="53" t="s">
        <v>25</v>
      </c>
      <c r="F1159" s="53" t="s">
        <v>25</v>
      </c>
      <c r="G1159" s="53" t="s">
        <v>25</v>
      </c>
      <c r="H1159" s="53" t="s">
        <v>25</v>
      </c>
      <c r="I1159" s="73">
        <v>43739</v>
      </c>
      <c r="J1159" s="74">
        <f ca="1">EFEITO!$J$1159*EFEITO!$Y$1000</f>
        <v>9986.4549976255857</v>
      </c>
      <c r="K1159" s="74">
        <f>EFEITO!$L$1159*EFEITO!$Z$1000</f>
        <v>0</v>
      </c>
      <c r="L1159" s="74">
        <f>EFEITO!$N$1159*EFEITO!$AA$1000</f>
        <v>0</v>
      </c>
      <c r="M1159" s="74">
        <f ca="1">$J$1159-EFEITO!$K$1159*EFEITO!$Y$1159</f>
        <v>599.18729985753453</v>
      </c>
      <c r="N1159" s="74">
        <f>$K$1159-EFEITO!$M$1159*EFEITO!$Z$1159</f>
        <v>0</v>
      </c>
      <c r="O1159" s="74">
        <f>$L$1159-EFEITO!$O$1159*EFEITO!$AA$1159</f>
        <v>0</v>
      </c>
      <c r="P1159" s="57"/>
      <c r="Q1159" s="57"/>
      <c r="R1159" s="57"/>
      <c r="S1159" s="57"/>
      <c r="T1159" s="57"/>
      <c r="U1159" s="57"/>
      <c r="V1159" s="57"/>
      <c r="W1159" s="57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</row>
    <row r="1160" spans="1:36" ht="11.25" customHeight="1" x14ac:dyDescent="0.2">
      <c r="A1160" s="53" t="s">
        <v>21</v>
      </c>
      <c r="B1160" s="53" t="s">
        <v>33</v>
      </c>
      <c r="C1160" s="53" t="s">
        <v>34</v>
      </c>
      <c r="D1160" s="53" t="s">
        <v>47</v>
      </c>
      <c r="E1160" s="53" t="s">
        <v>25</v>
      </c>
      <c r="F1160" s="53" t="s">
        <v>25</v>
      </c>
      <c r="G1160" s="53" t="s">
        <v>25</v>
      </c>
      <c r="H1160" s="53" t="s">
        <v>25</v>
      </c>
      <c r="I1160" s="73">
        <v>43770</v>
      </c>
      <c r="J1160" s="74">
        <f ca="1">EFEITO!$J$1160*EFEITO!$Y$1000</f>
        <v>85262.79524922304</v>
      </c>
      <c r="K1160" s="74">
        <f>EFEITO!$L$1160*EFEITO!$Z$1000</f>
        <v>0</v>
      </c>
      <c r="L1160" s="74">
        <f>EFEITO!$N$1160*EFEITO!$AA$1000</f>
        <v>0</v>
      </c>
      <c r="M1160" s="74">
        <f ca="1">$J$1160-EFEITO!$K$1160*EFEITO!$Y$1160</f>
        <v>5115.7677149533847</v>
      </c>
      <c r="N1160" s="74">
        <f>$K$1160-EFEITO!$M$1160*EFEITO!$Z$1160</f>
        <v>0</v>
      </c>
      <c r="O1160" s="74">
        <f>$L$1160-EFEITO!$O$1160*EFEITO!$AA$1160</f>
        <v>0</v>
      </c>
      <c r="P1160" s="57"/>
      <c r="Q1160" s="57"/>
      <c r="R1160" s="57"/>
      <c r="S1160" s="57"/>
      <c r="T1160" s="57"/>
      <c r="U1160" s="57"/>
      <c r="V1160" s="57"/>
      <c r="W1160" s="57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</row>
    <row r="1161" spans="1:36" ht="11.25" customHeight="1" x14ac:dyDescent="0.2">
      <c r="A1161" s="53" t="s">
        <v>28</v>
      </c>
      <c r="B1161" s="53" t="s">
        <v>33</v>
      </c>
      <c r="C1161" s="53" t="s">
        <v>34</v>
      </c>
      <c r="D1161" s="53" t="s">
        <v>47</v>
      </c>
      <c r="E1161" s="53" t="s">
        <v>25</v>
      </c>
      <c r="F1161" s="53" t="s">
        <v>25</v>
      </c>
      <c r="G1161" s="53" t="s">
        <v>25</v>
      </c>
      <c r="H1161" s="53" t="s">
        <v>25</v>
      </c>
      <c r="I1161" s="73">
        <v>43770</v>
      </c>
      <c r="J1161" s="74">
        <f ca="1">EFEITO!$J$1161*EFEITO!$Y$1000</f>
        <v>9986.4549976255857</v>
      </c>
      <c r="K1161" s="74">
        <f>EFEITO!$L$1161*EFEITO!$Z$1000</f>
        <v>0</v>
      </c>
      <c r="L1161" s="74">
        <f>EFEITO!$N$1161*EFEITO!$AA$1000</f>
        <v>0</v>
      </c>
      <c r="M1161" s="74">
        <f ca="1">$J$1161-EFEITO!$K$1161*EFEITO!$Y$1161</f>
        <v>599.18729985753453</v>
      </c>
      <c r="N1161" s="74">
        <f>$K$1161-EFEITO!$M$1161*EFEITO!$Z$1161</f>
        <v>0</v>
      </c>
      <c r="O1161" s="74">
        <f>$L$1161-EFEITO!$O$1161*EFEITO!$AA$1161</f>
        <v>0</v>
      </c>
      <c r="P1161" s="57"/>
      <c r="Q1161" s="57"/>
      <c r="R1161" s="57"/>
      <c r="S1161" s="57"/>
      <c r="T1161" s="57"/>
      <c r="U1161" s="57"/>
      <c r="V1161" s="57"/>
      <c r="W1161" s="57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</row>
    <row r="1162" spans="1:36" ht="11.25" customHeight="1" x14ac:dyDescent="0.2">
      <c r="A1162" s="53" t="s">
        <v>21</v>
      </c>
      <c r="B1162" s="53" t="s">
        <v>33</v>
      </c>
      <c r="C1162" s="53" t="s">
        <v>34</v>
      </c>
      <c r="D1162" s="53" t="s">
        <v>47</v>
      </c>
      <c r="E1162" s="53" t="s">
        <v>25</v>
      </c>
      <c r="F1162" s="53" t="s">
        <v>25</v>
      </c>
      <c r="G1162" s="53" t="s">
        <v>25</v>
      </c>
      <c r="H1162" s="53" t="s">
        <v>25</v>
      </c>
      <c r="I1162" s="73">
        <v>43800</v>
      </c>
      <c r="J1162" s="74">
        <f ca="1">EFEITO!$J$1162*EFEITO!$Y$1000</f>
        <v>70580.874025649638</v>
      </c>
      <c r="K1162" s="74">
        <f>EFEITO!$L$1162*EFEITO!$Z$1000</f>
        <v>0</v>
      </c>
      <c r="L1162" s="74">
        <f>EFEITO!$N$1162*EFEITO!$AA$1000</f>
        <v>0</v>
      </c>
      <c r="M1162" s="74">
        <f ca="1">$J$1162-EFEITO!$K$1162*EFEITO!$Y$1162</f>
        <v>4234.8524415389693</v>
      </c>
      <c r="N1162" s="74">
        <f>$K$1162-EFEITO!$M$1162*EFEITO!$Z$1162</f>
        <v>0</v>
      </c>
      <c r="O1162" s="74">
        <f>$L$1162-EFEITO!$O$1162*EFEITO!$AA$1162</f>
        <v>0</v>
      </c>
      <c r="P1162" s="57"/>
      <c r="Q1162" s="57"/>
      <c r="R1162" s="57"/>
      <c r="S1162" s="57"/>
      <c r="T1162" s="57"/>
      <c r="U1162" s="57"/>
      <c r="V1162" s="57"/>
      <c r="W1162" s="57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</row>
    <row r="1163" spans="1:36" ht="11.25" customHeight="1" x14ac:dyDescent="0.2">
      <c r="A1163" s="53" t="s">
        <v>27</v>
      </c>
      <c r="B1163" s="53" t="s">
        <v>33</v>
      </c>
      <c r="C1163" s="53" t="s">
        <v>34</v>
      </c>
      <c r="D1163" s="53" t="s">
        <v>47</v>
      </c>
      <c r="E1163" s="53" t="s">
        <v>25</v>
      </c>
      <c r="F1163" s="53" t="s">
        <v>25</v>
      </c>
      <c r="G1163" s="53" t="s">
        <v>25</v>
      </c>
      <c r="H1163" s="53" t="s">
        <v>25</v>
      </c>
      <c r="I1163" s="73">
        <v>43800</v>
      </c>
      <c r="J1163" s="74">
        <f ca="1">EFEITO!$J$1163*EFEITO!$Y$1000</f>
        <v>435.1895526488214</v>
      </c>
      <c r="K1163" s="74">
        <f>EFEITO!$L$1163*EFEITO!$Z$1000</f>
        <v>0</v>
      </c>
      <c r="L1163" s="74">
        <f>EFEITO!$N$1163*EFEITO!$AA$1000</f>
        <v>0</v>
      </c>
      <c r="M1163" s="74">
        <f ca="1">$J$1163-EFEITO!$K$1163*EFEITO!$Y$1163</f>
        <v>26.111373158929268</v>
      </c>
      <c r="N1163" s="74">
        <f>$K$1163-EFEITO!$M$1163*EFEITO!$Z$1163</f>
        <v>0</v>
      </c>
      <c r="O1163" s="74">
        <f>$L$1163-EFEITO!$O$1163*EFEITO!$AA$1163</f>
        <v>0</v>
      </c>
      <c r="P1163" s="57"/>
      <c r="Q1163" s="57"/>
      <c r="R1163" s="57"/>
      <c r="S1163" s="57"/>
      <c r="T1163" s="57"/>
      <c r="U1163" s="57"/>
      <c r="V1163" s="57"/>
      <c r="W1163" s="57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</row>
    <row r="1164" spans="1:36" ht="11.25" customHeight="1" x14ac:dyDescent="0.2">
      <c r="A1164" s="53" t="s">
        <v>28</v>
      </c>
      <c r="B1164" s="53" t="s">
        <v>33</v>
      </c>
      <c r="C1164" s="53" t="s">
        <v>34</v>
      </c>
      <c r="D1164" s="53" t="s">
        <v>47</v>
      </c>
      <c r="E1164" s="53" t="s">
        <v>25</v>
      </c>
      <c r="F1164" s="53" t="s">
        <v>25</v>
      </c>
      <c r="G1164" s="53" t="s">
        <v>25</v>
      </c>
      <c r="H1164" s="53" t="s">
        <v>25</v>
      </c>
      <c r="I1164" s="73">
        <v>43800</v>
      </c>
      <c r="J1164" s="74">
        <f ca="1">EFEITO!$J$1164*EFEITO!$Y$1000</f>
        <v>9986.4549976255857</v>
      </c>
      <c r="K1164" s="74">
        <f>EFEITO!$L$1164*EFEITO!$Z$1000</f>
        <v>0</v>
      </c>
      <c r="L1164" s="74">
        <f>EFEITO!$N$1164*EFEITO!$AA$1000</f>
        <v>0</v>
      </c>
      <c r="M1164" s="74">
        <f ca="1">$J$1164-EFEITO!$K$1164*EFEITO!$Y$1164</f>
        <v>599.18729985753453</v>
      </c>
      <c r="N1164" s="74">
        <f>$K$1164-EFEITO!$M$1164*EFEITO!$Z$1164</f>
        <v>0</v>
      </c>
      <c r="O1164" s="74">
        <f>$L$1164-EFEITO!$O$1164*EFEITO!$AA$1164</f>
        <v>0</v>
      </c>
      <c r="P1164" s="57"/>
      <c r="Q1164" s="57"/>
      <c r="R1164" s="57"/>
      <c r="S1164" s="57"/>
      <c r="T1164" s="57"/>
      <c r="U1164" s="57"/>
      <c r="V1164" s="57"/>
      <c r="W1164" s="57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</row>
    <row r="1165" spans="1:36" ht="11.25" customHeight="1" x14ac:dyDescent="0.2">
      <c r="A1165" s="53" t="s">
        <v>21</v>
      </c>
      <c r="B1165" s="53" t="s">
        <v>33</v>
      </c>
      <c r="C1165" s="53" t="s">
        <v>34</v>
      </c>
      <c r="D1165" s="53" t="s">
        <v>47</v>
      </c>
      <c r="E1165" s="53" t="s">
        <v>25</v>
      </c>
      <c r="F1165" s="53" t="s">
        <v>25</v>
      </c>
      <c r="G1165" s="53" t="s">
        <v>25</v>
      </c>
      <c r="H1165" s="53" t="s">
        <v>25</v>
      </c>
      <c r="I1165" s="73">
        <v>43831</v>
      </c>
      <c r="J1165" s="74">
        <f ca="1">EFEITO!$J$1165*EFEITO!$Y$1000</f>
        <v>66618.358625215638</v>
      </c>
      <c r="K1165" s="74">
        <f>EFEITO!$L$1165*EFEITO!$Z$1000</f>
        <v>0</v>
      </c>
      <c r="L1165" s="74">
        <f>EFEITO!$N$1165*EFEITO!$AA$1000</f>
        <v>0</v>
      </c>
      <c r="M1165" s="74">
        <f ca="1">$J$1165-EFEITO!$K$1165*EFEITO!$Y$1165</f>
        <v>3997.101517512936</v>
      </c>
      <c r="N1165" s="74">
        <f>$K$1165-EFEITO!$M$1165*EFEITO!$Z$1165</f>
        <v>0</v>
      </c>
      <c r="O1165" s="74">
        <f>$L$1165-EFEITO!$O$1165*EFEITO!$AA$1165</f>
        <v>0</v>
      </c>
      <c r="P1165" s="57"/>
      <c r="Q1165" s="57"/>
      <c r="R1165" s="57"/>
      <c r="S1165" s="57"/>
      <c r="T1165" s="57"/>
      <c r="U1165" s="57"/>
      <c r="V1165" s="57"/>
      <c r="W1165" s="57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</row>
    <row r="1166" spans="1:36" ht="11.25" customHeight="1" x14ac:dyDescent="0.2">
      <c r="A1166" s="53" t="s">
        <v>27</v>
      </c>
      <c r="B1166" s="53" t="s">
        <v>33</v>
      </c>
      <c r="C1166" s="53" t="s">
        <v>34</v>
      </c>
      <c r="D1166" s="53" t="s">
        <v>47</v>
      </c>
      <c r="E1166" s="53" t="s">
        <v>25</v>
      </c>
      <c r="F1166" s="53" t="s">
        <v>25</v>
      </c>
      <c r="G1166" s="53" t="s">
        <v>25</v>
      </c>
      <c r="H1166" s="53" t="s">
        <v>25</v>
      </c>
      <c r="I1166" s="73">
        <v>43831</v>
      </c>
      <c r="J1166" s="74">
        <f ca="1">EFEITO!$J$1166*EFEITO!$Y$1000</f>
        <v>2656.9467424875411</v>
      </c>
      <c r="K1166" s="74">
        <f>EFEITO!$L$1166*EFEITO!$Z$1000</f>
        <v>0</v>
      </c>
      <c r="L1166" s="74">
        <f>EFEITO!$N$1166*EFEITO!$AA$1000</f>
        <v>0</v>
      </c>
      <c r="M1166" s="74">
        <f ca="1">$J$1166-EFEITO!$K$1166*EFEITO!$Y$1166</f>
        <v>159.41680454925245</v>
      </c>
      <c r="N1166" s="74">
        <f>$K$1166-EFEITO!$M$1166*EFEITO!$Z$1166</f>
        <v>0</v>
      </c>
      <c r="O1166" s="74">
        <f>$L$1166-EFEITO!$O$1166*EFEITO!$AA$1166</f>
        <v>0</v>
      </c>
      <c r="P1166" s="57"/>
      <c r="Q1166" s="57"/>
      <c r="R1166" s="57"/>
      <c r="S1166" s="57"/>
      <c r="T1166" s="57"/>
      <c r="U1166" s="57"/>
      <c r="V1166" s="57"/>
      <c r="W1166" s="57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</row>
    <row r="1167" spans="1:36" ht="11.25" customHeight="1" x14ac:dyDescent="0.2">
      <c r="A1167" s="53" t="s">
        <v>28</v>
      </c>
      <c r="B1167" s="53" t="s">
        <v>33</v>
      </c>
      <c r="C1167" s="53" t="s">
        <v>34</v>
      </c>
      <c r="D1167" s="53" t="s">
        <v>47</v>
      </c>
      <c r="E1167" s="53" t="s">
        <v>25</v>
      </c>
      <c r="F1167" s="53" t="s">
        <v>25</v>
      </c>
      <c r="G1167" s="53" t="s">
        <v>25</v>
      </c>
      <c r="H1167" s="53" t="s">
        <v>25</v>
      </c>
      <c r="I1167" s="73">
        <v>43831</v>
      </c>
      <c r="J1167" s="74">
        <f ca="1">EFEITO!$J$1167*EFEITO!$Y$1000</f>
        <v>9986.4549976255857</v>
      </c>
      <c r="K1167" s="74">
        <f>EFEITO!$L$1167*EFEITO!$Z$1000</f>
        <v>0</v>
      </c>
      <c r="L1167" s="74">
        <f>EFEITO!$N$1167*EFEITO!$AA$1000</f>
        <v>0</v>
      </c>
      <c r="M1167" s="74">
        <f ca="1">$J$1167-EFEITO!$K$1167*EFEITO!$Y$1167</f>
        <v>599.18729985753453</v>
      </c>
      <c r="N1167" s="74">
        <f>$K$1167-EFEITO!$M$1167*EFEITO!$Z$1167</f>
        <v>0</v>
      </c>
      <c r="O1167" s="74">
        <f>$L$1167-EFEITO!$O$1167*EFEITO!$AA$1167</f>
        <v>0</v>
      </c>
      <c r="P1167" s="57"/>
      <c r="Q1167" s="57"/>
      <c r="R1167" s="57"/>
      <c r="S1167" s="57"/>
      <c r="T1167" s="57"/>
      <c r="U1167" s="57"/>
      <c r="V1167" s="57"/>
      <c r="W1167" s="57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</row>
    <row r="1168" spans="1:36" ht="11.25" customHeight="1" x14ac:dyDescent="0.2">
      <c r="A1168" s="53" t="s">
        <v>21</v>
      </c>
      <c r="B1168" s="53" t="s">
        <v>33</v>
      </c>
      <c r="C1168" s="53" t="s">
        <v>34</v>
      </c>
      <c r="D1168" s="53" t="s">
        <v>47</v>
      </c>
      <c r="E1168" s="53" t="s">
        <v>25</v>
      </c>
      <c r="F1168" s="53" t="s">
        <v>25</v>
      </c>
      <c r="G1168" s="53" t="s">
        <v>25</v>
      </c>
      <c r="H1168" s="53" t="s">
        <v>25</v>
      </c>
      <c r="I1168" s="73">
        <v>43862</v>
      </c>
      <c r="J1168" s="74">
        <f ca="1">EFEITO!$J$1168*EFEITO!$Y$1000</f>
        <v>73650.105607488702</v>
      </c>
      <c r="K1168" s="74">
        <f>EFEITO!$L$1168*EFEITO!$Z$1000</f>
        <v>0</v>
      </c>
      <c r="L1168" s="74">
        <f>EFEITO!$N$1168*EFEITO!$AA$1000</f>
        <v>0</v>
      </c>
      <c r="M1168" s="74">
        <f ca="1">$J$1168-EFEITO!$K$1168*EFEITO!$Y$1168</f>
        <v>4419.0063364493253</v>
      </c>
      <c r="N1168" s="74">
        <f>$K$1168-EFEITO!$M$1168*EFEITO!$Z$1168</f>
        <v>0</v>
      </c>
      <c r="O1168" s="74">
        <f>$L$1168-EFEITO!$O$1168*EFEITO!$AA$1168</f>
        <v>0</v>
      </c>
      <c r="P1168" s="57"/>
      <c r="Q1168" s="57"/>
      <c r="R1168" s="57"/>
      <c r="S1168" s="57"/>
      <c r="T1168" s="57"/>
      <c r="U1168" s="57"/>
      <c r="V1168" s="57"/>
      <c r="W1168" s="57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</row>
    <row r="1169" spans="1:36" ht="11.25" customHeight="1" x14ac:dyDescent="0.2">
      <c r="A1169" s="53" t="s">
        <v>27</v>
      </c>
      <c r="B1169" s="53" t="s">
        <v>33</v>
      </c>
      <c r="C1169" s="53" t="s">
        <v>34</v>
      </c>
      <c r="D1169" s="53" t="s">
        <v>47</v>
      </c>
      <c r="E1169" s="53" t="s">
        <v>25</v>
      </c>
      <c r="F1169" s="53" t="s">
        <v>25</v>
      </c>
      <c r="G1169" s="53" t="s">
        <v>25</v>
      </c>
      <c r="H1169" s="53" t="s">
        <v>25</v>
      </c>
      <c r="I1169" s="73">
        <v>43862</v>
      </c>
      <c r="J1169" s="74">
        <f ca="1">EFEITO!$J$1169*EFEITO!$Y$1000</f>
        <v>2599.6849592442754</v>
      </c>
      <c r="K1169" s="74">
        <f>EFEITO!$L$1169*EFEITO!$Z$1000</f>
        <v>0</v>
      </c>
      <c r="L1169" s="74">
        <f>EFEITO!$N$1169*EFEITO!$AA$1000</f>
        <v>0</v>
      </c>
      <c r="M1169" s="74">
        <f ca="1">$J$1169-EFEITO!$K$1169*EFEITO!$Y$1169</f>
        <v>155.98109755465657</v>
      </c>
      <c r="N1169" s="74">
        <f>$K$1169-EFEITO!$M$1169*EFEITO!$Z$1169</f>
        <v>0</v>
      </c>
      <c r="O1169" s="74">
        <f>$L$1169-EFEITO!$O$1169*EFEITO!$AA$1169</f>
        <v>0</v>
      </c>
      <c r="P1169" s="57"/>
      <c r="Q1169" s="57"/>
      <c r="R1169" s="57"/>
      <c r="S1169" s="57"/>
      <c r="T1169" s="57"/>
      <c r="U1169" s="57"/>
      <c r="V1169" s="57"/>
      <c r="W1169" s="57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</row>
    <row r="1170" spans="1:36" ht="11.25" customHeight="1" x14ac:dyDescent="0.2">
      <c r="A1170" s="53" t="s">
        <v>28</v>
      </c>
      <c r="B1170" s="53" t="s">
        <v>33</v>
      </c>
      <c r="C1170" s="53" t="s">
        <v>34</v>
      </c>
      <c r="D1170" s="53" t="s">
        <v>47</v>
      </c>
      <c r="E1170" s="53" t="s">
        <v>25</v>
      </c>
      <c r="F1170" s="53" t="s">
        <v>25</v>
      </c>
      <c r="G1170" s="53" t="s">
        <v>25</v>
      </c>
      <c r="H1170" s="53" t="s">
        <v>25</v>
      </c>
      <c r="I1170" s="73">
        <v>43862</v>
      </c>
      <c r="J1170" s="74">
        <f ca="1">EFEITO!$J$1170*EFEITO!$Y$1000</f>
        <v>9986.4549976255857</v>
      </c>
      <c r="K1170" s="74">
        <f>EFEITO!$L$1170*EFEITO!$Z$1000</f>
        <v>0</v>
      </c>
      <c r="L1170" s="74">
        <f>EFEITO!$N$1170*EFEITO!$AA$1000</f>
        <v>0</v>
      </c>
      <c r="M1170" s="74">
        <f ca="1">$J$1170-EFEITO!$K$1170*EFEITO!$Y$1170</f>
        <v>599.18729985753453</v>
      </c>
      <c r="N1170" s="74">
        <f>$K$1170-EFEITO!$M$1170*EFEITO!$Z$1170</f>
        <v>0</v>
      </c>
      <c r="O1170" s="74">
        <f>$L$1170-EFEITO!$O$1170*EFEITO!$AA$1170</f>
        <v>0</v>
      </c>
      <c r="P1170" s="57"/>
      <c r="Q1170" s="57"/>
      <c r="R1170" s="57"/>
      <c r="S1170" s="57"/>
      <c r="T1170" s="57"/>
      <c r="U1170" s="57"/>
      <c r="V1170" s="57"/>
      <c r="W1170" s="57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</row>
    <row r="1171" spans="1:36" ht="11.25" customHeight="1" x14ac:dyDescent="0.2">
      <c r="A1171" s="53" t="s">
        <v>21</v>
      </c>
      <c r="B1171" s="53" t="s">
        <v>33</v>
      </c>
      <c r="C1171" s="53" t="s">
        <v>34</v>
      </c>
      <c r="D1171" s="53" t="s">
        <v>47</v>
      </c>
      <c r="E1171" s="53" t="s">
        <v>25</v>
      </c>
      <c r="F1171" s="53" t="s">
        <v>25</v>
      </c>
      <c r="G1171" s="53" t="s">
        <v>25</v>
      </c>
      <c r="H1171" s="53" t="s">
        <v>25</v>
      </c>
      <c r="I1171" s="73">
        <v>43891</v>
      </c>
      <c r="J1171" s="74">
        <f ca="1">EFEITO!$J$1171*EFEITO!$Y$1000</f>
        <v>79994.711190842572</v>
      </c>
      <c r="K1171" s="74">
        <f>EFEITO!$L$1171*EFEITO!$Z$1000</f>
        <v>0</v>
      </c>
      <c r="L1171" s="74">
        <f>EFEITO!$N$1171*EFEITO!$AA$1000</f>
        <v>0</v>
      </c>
      <c r="M1171" s="74">
        <f ca="1">$J$1171-EFEITO!$K$1171*EFEITO!$Y$1171</f>
        <v>4799.6826714505587</v>
      </c>
      <c r="N1171" s="74">
        <f>$K$1171-EFEITO!$M$1171*EFEITO!$Z$1171</f>
        <v>0</v>
      </c>
      <c r="O1171" s="74">
        <f>$L$1171-EFEITO!$O$1171*EFEITO!$AA$1171</f>
        <v>0</v>
      </c>
      <c r="P1171" s="57"/>
      <c r="Q1171" s="57"/>
      <c r="R1171" s="57"/>
      <c r="S1171" s="57"/>
      <c r="T1171" s="57"/>
      <c r="U1171" s="57"/>
      <c r="V1171" s="57"/>
      <c r="W1171" s="57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</row>
    <row r="1172" spans="1:36" ht="11.25" customHeight="1" x14ac:dyDescent="0.2">
      <c r="A1172" s="53" t="s">
        <v>27</v>
      </c>
      <c r="B1172" s="53" t="s">
        <v>33</v>
      </c>
      <c r="C1172" s="53" t="s">
        <v>34</v>
      </c>
      <c r="D1172" s="53" t="s">
        <v>47</v>
      </c>
      <c r="E1172" s="53" t="s">
        <v>25</v>
      </c>
      <c r="F1172" s="53" t="s">
        <v>25</v>
      </c>
      <c r="G1172" s="53" t="s">
        <v>25</v>
      </c>
      <c r="H1172" s="53" t="s">
        <v>25</v>
      </c>
      <c r="I1172" s="73">
        <v>43891</v>
      </c>
      <c r="J1172" s="74">
        <f ca="1">EFEITO!$J$1172*EFEITO!$Y$1000</f>
        <v>2599.6849592442754</v>
      </c>
      <c r="K1172" s="74">
        <f>EFEITO!$L$1172*EFEITO!$Z$1000</f>
        <v>0</v>
      </c>
      <c r="L1172" s="74">
        <f>EFEITO!$N$1172*EFEITO!$AA$1000</f>
        <v>0</v>
      </c>
      <c r="M1172" s="74">
        <f ca="1">$J$1172-EFEITO!$K$1172*EFEITO!$Y$1172</f>
        <v>155.98109755465657</v>
      </c>
      <c r="N1172" s="74">
        <f>$K$1172-EFEITO!$M$1172*EFEITO!$Z$1172</f>
        <v>0</v>
      </c>
      <c r="O1172" s="74">
        <f>$L$1172-EFEITO!$O$1172*EFEITO!$AA$1172</f>
        <v>0</v>
      </c>
      <c r="P1172" s="57"/>
      <c r="Q1172" s="57"/>
      <c r="R1172" s="57"/>
      <c r="S1172" s="57"/>
      <c r="T1172" s="57"/>
      <c r="U1172" s="57"/>
      <c r="V1172" s="57"/>
      <c r="W1172" s="57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</row>
    <row r="1173" spans="1:36" ht="11.25" customHeight="1" x14ac:dyDescent="0.2">
      <c r="A1173" s="53" t="s">
        <v>28</v>
      </c>
      <c r="B1173" s="53" t="s">
        <v>33</v>
      </c>
      <c r="C1173" s="53" t="s">
        <v>34</v>
      </c>
      <c r="D1173" s="53" t="s">
        <v>47</v>
      </c>
      <c r="E1173" s="53" t="s">
        <v>25</v>
      </c>
      <c r="F1173" s="53" t="s">
        <v>25</v>
      </c>
      <c r="G1173" s="53" t="s">
        <v>25</v>
      </c>
      <c r="H1173" s="53" t="s">
        <v>25</v>
      </c>
      <c r="I1173" s="73">
        <v>43891</v>
      </c>
      <c r="J1173" s="74">
        <f ca="1">EFEITO!$J$1173*EFEITO!$Y$1000</f>
        <v>9986.4549976255857</v>
      </c>
      <c r="K1173" s="74">
        <f>EFEITO!$L$1173*EFEITO!$Z$1000</f>
        <v>0</v>
      </c>
      <c r="L1173" s="74">
        <f>EFEITO!$N$1173*EFEITO!$AA$1000</f>
        <v>0</v>
      </c>
      <c r="M1173" s="74">
        <f ca="1">$J$1173-EFEITO!$K$1173*EFEITO!$Y$1173</f>
        <v>599.18729985753453</v>
      </c>
      <c r="N1173" s="74">
        <f>$K$1173-EFEITO!$M$1173*EFEITO!$Z$1173</f>
        <v>0</v>
      </c>
      <c r="O1173" s="74">
        <f>$L$1173-EFEITO!$O$1173*EFEITO!$AA$1173</f>
        <v>0</v>
      </c>
      <c r="P1173" s="57"/>
      <c r="Q1173" s="57"/>
      <c r="R1173" s="57"/>
      <c r="S1173" s="57"/>
      <c r="T1173" s="57"/>
      <c r="U1173" s="57"/>
      <c r="V1173" s="57"/>
      <c r="W1173" s="57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</row>
    <row r="1174" spans="1:36" ht="11.25" customHeight="1" x14ac:dyDescent="0.2">
      <c r="A1174" s="53" t="s">
        <v>21</v>
      </c>
      <c r="B1174" s="53" t="s">
        <v>33</v>
      </c>
      <c r="C1174" s="53" t="s">
        <v>34</v>
      </c>
      <c r="D1174" s="53" t="s">
        <v>47</v>
      </c>
      <c r="E1174" s="53" t="s">
        <v>25</v>
      </c>
      <c r="F1174" s="53" t="s">
        <v>25</v>
      </c>
      <c r="G1174" s="53" t="s">
        <v>25</v>
      </c>
      <c r="H1174" s="53" t="s">
        <v>25</v>
      </c>
      <c r="I1174" s="73">
        <v>43922</v>
      </c>
      <c r="J1174" s="74">
        <f ca="1">EFEITO!$J$1174*EFEITO!$Y$1000</f>
        <v>86751.601613547959</v>
      </c>
      <c r="K1174" s="74">
        <f>EFEITO!$L$1174*EFEITO!$Z$1000</f>
        <v>0</v>
      </c>
      <c r="L1174" s="74">
        <f>EFEITO!$N$1174*EFEITO!$AA$1000</f>
        <v>0</v>
      </c>
      <c r="M1174" s="74">
        <f ca="1">$J$1174-EFEITO!$K$1174*EFEITO!$Y$1174</f>
        <v>5205.0960968128784</v>
      </c>
      <c r="N1174" s="74">
        <f>$K$1174-EFEITO!$M$1174*EFEITO!$Z$1174</f>
        <v>0</v>
      </c>
      <c r="O1174" s="74">
        <f>$L$1174-EFEITO!$O$1174*EFEITO!$AA$1174</f>
        <v>0</v>
      </c>
      <c r="P1174" s="57"/>
      <c r="Q1174" s="57"/>
      <c r="R1174" s="57"/>
      <c r="S1174" s="57"/>
      <c r="T1174" s="57"/>
      <c r="U1174" s="57"/>
      <c r="V1174" s="57"/>
      <c r="W1174" s="57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</row>
    <row r="1175" spans="1:36" ht="11.25" customHeight="1" x14ac:dyDescent="0.2">
      <c r="A1175" s="53" t="s">
        <v>27</v>
      </c>
      <c r="B1175" s="53" t="s">
        <v>33</v>
      </c>
      <c r="C1175" s="53" t="s">
        <v>34</v>
      </c>
      <c r="D1175" s="53" t="s">
        <v>47</v>
      </c>
      <c r="E1175" s="53" t="s">
        <v>25</v>
      </c>
      <c r="F1175" s="53" t="s">
        <v>25</v>
      </c>
      <c r="G1175" s="53" t="s">
        <v>25</v>
      </c>
      <c r="H1175" s="53" t="s">
        <v>25</v>
      </c>
      <c r="I1175" s="73">
        <v>43922</v>
      </c>
      <c r="J1175" s="74">
        <f ca="1">EFEITO!$J$1175*EFEITO!$Y$1000</f>
        <v>3126.4933650823223</v>
      </c>
      <c r="K1175" s="74">
        <f>EFEITO!$L$1175*EFEITO!$Z$1000</f>
        <v>0</v>
      </c>
      <c r="L1175" s="74">
        <f>EFEITO!$N$1175*EFEITO!$AA$1000</f>
        <v>0</v>
      </c>
      <c r="M1175" s="74">
        <f ca="1">$J$1175-EFEITO!$K$1175*EFEITO!$Y$1175</f>
        <v>187.58960190493917</v>
      </c>
      <c r="N1175" s="74">
        <f>$K$1175-EFEITO!$M$1175*EFEITO!$Z$1175</f>
        <v>0</v>
      </c>
      <c r="O1175" s="74">
        <f>$L$1175-EFEITO!$O$1175*EFEITO!$AA$1175</f>
        <v>0</v>
      </c>
      <c r="P1175" s="57"/>
      <c r="Q1175" s="57"/>
      <c r="R1175" s="57"/>
      <c r="S1175" s="57"/>
      <c r="T1175" s="57"/>
      <c r="U1175" s="57"/>
      <c r="V1175" s="57"/>
      <c r="W1175" s="57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</row>
    <row r="1176" spans="1:36" ht="11.25" customHeight="1" x14ac:dyDescent="0.2">
      <c r="A1176" s="53" t="s">
        <v>28</v>
      </c>
      <c r="B1176" s="53" t="s">
        <v>33</v>
      </c>
      <c r="C1176" s="53" t="s">
        <v>34</v>
      </c>
      <c r="D1176" s="53" t="s">
        <v>47</v>
      </c>
      <c r="E1176" s="53" t="s">
        <v>25</v>
      </c>
      <c r="F1176" s="53" t="s">
        <v>25</v>
      </c>
      <c r="G1176" s="53" t="s">
        <v>25</v>
      </c>
      <c r="H1176" s="53" t="s">
        <v>25</v>
      </c>
      <c r="I1176" s="73">
        <v>43922</v>
      </c>
      <c r="J1176" s="74">
        <f ca="1">EFEITO!$J$1176*EFEITO!$Y$1000</f>
        <v>9986.4549976255857</v>
      </c>
      <c r="K1176" s="74">
        <f>EFEITO!$L$1176*EFEITO!$Z$1000</f>
        <v>0</v>
      </c>
      <c r="L1176" s="74">
        <f>EFEITO!$N$1176*EFEITO!$AA$1000</f>
        <v>0</v>
      </c>
      <c r="M1176" s="74">
        <f ca="1">$J$1176-EFEITO!$K$1176*EFEITO!$Y$1176</f>
        <v>599.18729985753453</v>
      </c>
      <c r="N1176" s="74">
        <f>$K$1176-EFEITO!$M$1176*EFEITO!$Z$1176</f>
        <v>0</v>
      </c>
      <c r="O1176" s="74">
        <f>$L$1176-EFEITO!$O$1176*EFEITO!$AA$1176</f>
        <v>0</v>
      </c>
      <c r="P1176" s="57"/>
      <c r="Q1176" s="57"/>
      <c r="R1176" s="57"/>
      <c r="S1176" s="57"/>
      <c r="T1176" s="57"/>
      <c r="U1176" s="57"/>
      <c r="V1176" s="57"/>
      <c r="W1176" s="57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</row>
    <row r="1177" spans="1:36" ht="11.25" customHeight="1" x14ac:dyDescent="0.2">
      <c r="A1177" s="53" t="s">
        <v>21</v>
      </c>
      <c r="B1177" s="53" t="s">
        <v>33</v>
      </c>
      <c r="C1177" s="53" t="s">
        <v>34</v>
      </c>
      <c r="D1177" s="53" t="s">
        <v>47</v>
      </c>
      <c r="E1177" s="53" t="s">
        <v>25</v>
      </c>
      <c r="F1177" s="53" t="s">
        <v>25</v>
      </c>
      <c r="G1177" s="53" t="s">
        <v>25</v>
      </c>
      <c r="H1177" s="53" t="s">
        <v>25</v>
      </c>
      <c r="I1177" s="73">
        <v>43952</v>
      </c>
      <c r="J1177" s="74">
        <f ca="1">EFEITO!$J$1177*EFEITO!$Y$1000</f>
        <v>70283.112752784655</v>
      </c>
      <c r="K1177" s="74">
        <f>EFEITO!$L$1177*EFEITO!$Z$1000</f>
        <v>0</v>
      </c>
      <c r="L1177" s="74">
        <f>EFEITO!$N$1177*EFEITO!$AA$1000</f>
        <v>0</v>
      </c>
      <c r="M1177" s="74">
        <f ca="1">$J$1177-EFEITO!$K$1177*EFEITO!$Y$1177</f>
        <v>4216.9867651670793</v>
      </c>
      <c r="N1177" s="74">
        <f>$K$1177-EFEITO!$M$1177*EFEITO!$Z$1177</f>
        <v>0</v>
      </c>
      <c r="O1177" s="74">
        <f>$L$1177-EFEITO!$O$1177*EFEITO!$AA$1177</f>
        <v>0</v>
      </c>
      <c r="P1177" s="57"/>
      <c r="Q1177" s="57"/>
      <c r="R1177" s="57"/>
      <c r="S1177" s="57"/>
      <c r="T1177" s="57"/>
      <c r="U1177" s="57"/>
      <c r="V1177" s="57"/>
      <c r="W1177" s="57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</row>
    <row r="1178" spans="1:36" ht="11.25" customHeight="1" x14ac:dyDescent="0.2">
      <c r="A1178" s="53" t="s">
        <v>27</v>
      </c>
      <c r="B1178" s="53" t="s">
        <v>33</v>
      </c>
      <c r="C1178" s="53" t="s">
        <v>34</v>
      </c>
      <c r="D1178" s="53" t="s">
        <v>47</v>
      </c>
      <c r="E1178" s="53" t="s">
        <v>25</v>
      </c>
      <c r="F1178" s="53" t="s">
        <v>25</v>
      </c>
      <c r="G1178" s="53" t="s">
        <v>25</v>
      </c>
      <c r="H1178" s="53" t="s">
        <v>25</v>
      </c>
      <c r="I1178" s="73">
        <v>43952</v>
      </c>
      <c r="J1178" s="74">
        <f ca="1">EFEITO!$J$1178*EFEITO!$Y$1000</f>
        <v>5394.0599815156547</v>
      </c>
      <c r="K1178" s="74">
        <f>EFEITO!$L$1178*EFEITO!$Z$1000</f>
        <v>0</v>
      </c>
      <c r="L1178" s="74">
        <f>EFEITO!$N$1178*EFEITO!$AA$1000</f>
        <v>0</v>
      </c>
      <c r="M1178" s="74">
        <f ca="1">$J$1178-EFEITO!$K$1178*EFEITO!$Y$1178</f>
        <v>323.64359889093885</v>
      </c>
      <c r="N1178" s="74">
        <f>$K$1178-EFEITO!$M$1178*EFEITO!$Z$1178</f>
        <v>0</v>
      </c>
      <c r="O1178" s="74">
        <f>$L$1178-EFEITO!$O$1178*EFEITO!$AA$1178</f>
        <v>0</v>
      </c>
      <c r="P1178" s="57"/>
      <c r="Q1178" s="57"/>
      <c r="R1178" s="57"/>
      <c r="S1178" s="57"/>
      <c r="T1178" s="57"/>
      <c r="U1178" s="57"/>
      <c r="V1178" s="57"/>
      <c r="W1178" s="57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</row>
    <row r="1179" spans="1:36" ht="11.25" customHeight="1" x14ac:dyDescent="0.2">
      <c r="A1179" s="53" t="s">
        <v>28</v>
      </c>
      <c r="B1179" s="53" t="s">
        <v>33</v>
      </c>
      <c r="C1179" s="53" t="s">
        <v>34</v>
      </c>
      <c r="D1179" s="53" t="s">
        <v>47</v>
      </c>
      <c r="E1179" s="53" t="s">
        <v>25</v>
      </c>
      <c r="F1179" s="53" t="s">
        <v>25</v>
      </c>
      <c r="G1179" s="53" t="s">
        <v>25</v>
      </c>
      <c r="H1179" s="53" t="s">
        <v>25</v>
      </c>
      <c r="I1179" s="73">
        <v>43952</v>
      </c>
      <c r="J1179" s="74">
        <f ca="1">EFEITO!$J$1179*EFEITO!$Y$1000</f>
        <v>12826.639446491579</v>
      </c>
      <c r="K1179" s="74">
        <f>EFEITO!$L$1179*EFEITO!$Z$1000</f>
        <v>0</v>
      </c>
      <c r="L1179" s="74">
        <f>EFEITO!$N$1179*EFEITO!$AA$1000</f>
        <v>0</v>
      </c>
      <c r="M1179" s="74">
        <f ca="1">$J$1179-EFEITO!$K$1179*EFEITO!$Y$1179</f>
        <v>769.59836678949432</v>
      </c>
      <c r="N1179" s="74">
        <f>$K$1179-EFEITO!$M$1179*EFEITO!$Z$1179</f>
        <v>0</v>
      </c>
      <c r="O1179" s="74">
        <f>$L$1179-EFEITO!$O$1179*EFEITO!$AA$1179</f>
        <v>0</v>
      </c>
      <c r="P1179" s="57"/>
      <c r="Q1179" s="57"/>
      <c r="R1179" s="57"/>
      <c r="S1179" s="57"/>
      <c r="T1179" s="57"/>
      <c r="U1179" s="57"/>
      <c r="V1179" s="57"/>
      <c r="W1179" s="57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</row>
    <row r="1180" spans="1:36" ht="11.25" customHeight="1" x14ac:dyDescent="0.2">
      <c r="A1180" s="53" t="s">
        <v>21</v>
      </c>
      <c r="B1180" s="53" t="s">
        <v>33</v>
      </c>
      <c r="C1180" s="53" t="s">
        <v>34</v>
      </c>
      <c r="D1180" s="53" t="s">
        <v>47</v>
      </c>
      <c r="E1180" s="53" t="s">
        <v>25</v>
      </c>
      <c r="F1180" s="53" t="s">
        <v>25</v>
      </c>
      <c r="G1180" s="53" t="s">
        <v>25</v>
      </c>
      <c r="H1180" s="53" t="s">
        <v>25</v>
      </c>
      <c r="I1180" s="73">
        <v>43983</v>
      </c>
      <c r="J1180" s="74">
        <f ca="1">EFEITO!$J$1180*EFEITO!$Y$1000</f>
        <v>68473.64040229746</v>
      </c>
      <c r="K1180" s="74">
        <f>EFEITO!$L$1180*EFEITO!$Z$1000</f>
        <v>0</v>
      </c>
      <c r="L1180" s="74">
        <f>EFEITO!$N$1180*EFEITO!$AA$1000</f>
        <v>0</v>
      </c>
      <c r="M1180" s="74">
        <f ca="1">$J$1180-EFEITO!$K$1180*EFEITO!$Y$1180</f>
        <v>4108.4184241378534</v>
      </c>
      <c r="N1180" s="74">
        <f>$K$1180-EFEITO!$M$1180*EFEITO!$Z$1180</f>
        <v>0</v>
      </c>
      <c r="O1180" s="74">
        <f>$L$1180-EFEITO!$O$1180*EFEITO!$AA$1180</f>
        <v>0</v>
      </c>
      <c r="P1180" s="57"/>
      <c r="Q1180" s="57"/>
      <c r="R1180" s="57"/>
      <c r="S1180" s="57"/>
      <c r="T1180" s="57"/>
      <c r="U1180" s="57"/>
      <c r="V1180" s="57"/>
      <c r="W1180" s="57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</row>
    <row r="1181" spans="1:36" ht="11.25" customHeight="1" x14ac:dyDescent="0.2">
      <c r="A1181" s="53" t="s">
        <v>27</v>
      </c>
      <c r="B1181" s="53" t="s">
        <v>33</v>
      </c>
      <c r="C1181" s="53" t="s">
        <v>34</v>
      </c>
      <c r="D1181" s="53" t="s">
        <v>47</v>
      </c>
      <c r="E1181" s="53" t="s">
        <v>25</v>
      </c>
      <c r="F1181" s="53" t="s">
        <v>25</v>
      </c>
      <c r="G1181" s="53" t="s">
        <v>25</v>
      </c>
      <c r="H1181" s="53" t="s">
        <v>25</v>
      </c>
      <c r="I1181" s="73">
        <v>43983</v>
      </c>
      <c r="J1181" s="74">
        <f ca="1">EFEITO!$J$1181*EFEITO!$Y$1000</f>
        <v>4546.5855895153181</v>
      </c>
      <c r="K1181" s="74">
        <f>EFEITO!$L$1181*EFEITO!$Z$1000</f>
        <v>0</v>
      </c>
      <c r="L1181" s="74">
        <f>EFEITO!$N$1181*EFEITO!$AA$1000</f>
        <v>0</v>
      </c>
      <c r="M1181" s="74">
        <f ca="1">$J$1181-EFEITO!$K$1181*EFEITO!$Y$1181</f>
        <v>272.79513537091862</v>
      </c>
      <c r="N1181" s="74">
        <f>$K$1181-EFEITO!$M$1181*EFEITO!$Z$1181</f>
        <v>0</v>
      </c>
      <c r="O1181" s="74">
        <f>$L$1181-EFEITO!$O$1181*EFEITO!$AA$1181</f>
        <v>0</v>
      </c>
      <c r="P1181" s="57"/>
      <c r="Q1181" s="57"/>
      <c r="R1181" s="57"/>
      <c r="S1181" s="57"/>
      <c r="T1181" s="57"/>
      <c r="U1181" s="57"/>
      <c r="V1181" s="57"/>
      <c r="W1181" s="57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</row>
    <row r="1182" spans="1:36" ht="11.25" customHeight="1" x14ac:dyDescent="0.2">
      <c r="A1182" s="53" t="s">
        <v>28</v>
      </c>
      <c r="B1182" s="53" t="s">
        <v>33</v>
      </c>
      <c r="C1182" s="53" t="s">
        <v>34</v>
      </c>
      <c r="D1182" s="53" t="s">
        <v>47</v>
      </c>
      <c r="E1182" s="53" t="s">
        <v>25</v>
      </c>
      <c r="F1182" s="53" t="s">
        <v>25</v>
      </c>
      <c r="G1182" s="53" t="s">
        <v>25</v>
      </c>
      <c r="H1182" s="53" t="s">
        <v>25</v>
      </c>
      <c r="I1182" s="73">
        <v>43983</v>
      </c>
      <c r="J1182" s="74">
        <f ca="1">EFEITO!$J$1182*EFEITO!$Y$1000</f>
        <v>15987.489881519861</v>
      </c>
      <c r="K1182" s="74">
        <f>EFEITO!$L$1182*EFEITO!$Z$1000</f>
        <v>0</v>
      </c>
      <c r="L1182" s="74">
        <f>EFEITO!$N$1182*EFEITO!$AA$1000</f>
        <v>0</v>
      </c>
      <c r="M1182" s="74">
        <f ca="1">$J$1182-EFEITO!$K$1182*EFEITO!$Y$1182</f>
        <v>959.24939289119175</v>
      </c>
      <c r="N1182" s="74">
        <f>$K$1182-EFEITO!$M$1182*EFEITO!$Z$1182</f>
        <v>0</v>
      </c>
      <c r="O1182" s="74">
        <f>$L$1182-EFEITO!$O$1182*EFEITO!$AA$1182</f>
        <v>0</v>
      </c>
      <c r="P1182" s="57"/>
      <c r="Q1182" s="57"/>
      <c r="R1182" s="57"/>
      <c r="S1182" s="57"/>
      <c r="T1182" s="57"/>
      <c r="U1182" s="57"/>
      <c r="V1182" s="57"/>
      <c r="W1182" s="57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</row>
    <row r="1183" spans="1:36" ht="11.25" customHeight="1" x14ac:dyDescent="0.2">
      <c r="A1183" s="53" t="s">
        <v>21</v>
      </c>
      <c r="B1183" s="53" t="s">
        <v>33</v>
      </c>
      <c r="C1183" s="53" t="s">
        <v>34</v>
      </c>
      <c r="D1183" s="53" t="s">
        <v>47</v>
      </c>
      <c r="E1183" s="53" t="s">
        <v>25</v>
      </c>
      <c r="F1183" s="53" t="s">
        <v>25</v>
      </c>
      <c r="G1183" s="53" t="s">
        <v>25</v>
      </c>
      <c r="H1183" s="53" t="s">
        <v>25</v>
      </c>
      <c r="I1183" s="73">
        <v>44013</v>
      </c>
      <c r="J1183" s="74">
        <f ca="1">EFEITO!$J$1183*EFEITO!$Y$1000</f>
        <v>66400.76384889122</v>
      </c>
      <c r="K1183" s="74">
        <f>EFEITO!$L$1183*EFEITO!$Z$1000</f>
        <v>0</v>
      </c>
      <c r="L1183" s="74">
        <f>EFEITO!$N$1183*EFEITO!$AA$1000</f>
        <v>0</v>
      </c>
      <c r="M1183" s="74">
        <f ca="1">$J$1183-EFEITO!$K$1183*EFEITO!$Y$1183</f>
        <v>3984.0458309334645</v>
      </c>
      <c r="N1183" s="74">
        <f>$K$1183-EFEITO!$M$1183*EFEITO!$Z$1183</f>
        <v>0</v>
      </c>
      <c r="O1183" s="74">
        <f>$L$1183-EFEITO!$O$1183*EFEITO!$AA$1183</f>
        <v>0</v>
      </c>
      <c r="P1183" s="57"/>
      <c r="Q1183" s="57"/>
      <c r="R1183" s="57"/>
      <c r="S1183" s="57"/>
      <c r="T1183" s="57"/>
      <c r="U1183" s="57"/>
      <c r="V1183" s="57"/>
      <c r="W1183" s="57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</row>
    <row r="1184" spans="1:36" ht="11.25" customHeight="1" x14ac:dyDescent="0.2">
      <c r="A1184" s="53" t="s">
        <v>27</v>
      </c>
      <c r="B1184" s="53" t="s">
        <v>33</v>
      </c>
      <c r="C1184" s="53" t="s">
        <v>34</v>
      </c>
      <c r="D1184" s="53" t="s">
        <v>47</v>
      </c>
      <c r="E1184" s="53" t="s">
        <v>25</v>
      </c>
      <c r="F1184" s="53" t="s">
        <v>25</v>
      </c>
      <c r="G1184" s="53" t="s">
        <v>25</v>
      </c>
      <c r="H1184" s="53" t="s">
        <v>25</v>
      </c>
      <c r="I1184" s="73">
        <v>44013</v>
      </c>
      <c r="J1184" s="74">
        <f ca="1">EFEITO!$J$1184*EFEITO!$Y$1000</f>
        <v>5210.8222751372041</v>
      </c>
      <c r="K1184" s="74">
        <f>EFEITO!$L$1184*EFEITO!$Z$1000</f>
        <v>0</v>
      </c>
      <c r="L1184" s="74">
        <f>EFEITO!$N$1184*EFEITO!$AA$1000</f>
        <v>0</v>
      </c>
      <c r="M1184" s="74">
        <f ca="1">$J$1184-EFEITO!$K$1184*EFEITO!$Y$1184</f>
        <v>312.64933650823241</v>
      </c>
      <c r="N1184" s="74">
        <f>$K$1184-EFEITO!$M$1184*EFEITO!$Z$1184</f>
        <v>0</v>
      </c>
      <c r="O1184" s="74">
        <f>$L$1184-EFEITO!$O$1184*EFEITO!$AA$1184</f>
        <v>0</v>
      </c>
      <c r="P1184" s="57"/>
      <c r="Q1184" s="57"/>
      <c r="R1184" s="57"/>
      <c r="S1184" s="57"/>
      <c r="T1184" s="57"/>
      <c r="U1184" s="57"/>
      <c r="V1184" s="57"/>
      <c r="W1184" s="57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</row>
    <row r="1185" spans="1:36" ht="11.25" customHeight="1" x14ac:dyDescent="0.2">
      <c r="A1185" s="53" t="s">
        <v>28</v>
      </c>
      <c r="B1185" s="53" t="s">
        <v>33</v>
      </c>
      <c r="C1185" s="53" t="s">
        <v>34</v>
      </c>
      <c r="D1185" s="53" t="s">
        <v>47</v>
      </c>
      <c r="E1185" s="53" t="s">
        <v>25</v>
      </c>
      <c r="F1185" s="53" t="s">
        <v>25</v>
      </c>
      <c r="G1185" s="53" t="s">
        <v>25</v>
      </c>
      <c r="H1185" s="53" t="s">
        <v>25</v>
      </c>
      <c r="I1185" s="73">
        <v>44013</v>
      </c>
      <c r="J1185" s="74">
        <f ca="1">EFEITO!$J$1185*EFEITO!$Y$1000</f>
        <v>21679.311135900498</v>
      </c>
      <c r="K1185" s="74">
        <f>EFEITO!$L$1185*EFEITO!$Z$1000</f>
        <v>0</v>
      </c>
      <c r="L1185" s="74">
        <f>EFEITO!$N$1185*EFEITO!$AA$1000</f>
        <v>0</v>
      </c>
      <c r="M1185" s="74">
        <f ca="1">$J$1185-EFEITO!$K$1185*EFEITO!$Y$1185</f>
        <v>1300.7586681540306</v>
      </c>
      <c r="N1185" s="74">
        <f>$K$1185-EFEITO!$M$1185*EFEITO!$Z$1185</f>
        <v>0</v>
      </c>
      <c r="O1185" s="74">
        <f>$L$1185-EFEITO!$O$1185*EFEITO!$AA$1185</f>
        <v>0</v>
      </c>
      <c r="P1185" s="57"/>
      <c r="Q1185" s="57"/>
      <c r="R1185" s="57"/>
      <c r="S1185" s="57"/>
      <c r="T1185" s="57"/>
      <c r="U1185" s="57"/>
      <c r="V1185" s="57"/>
      <c r="W1185" s="57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</row>
    <row r="1186" spans="1:36" ht="11.25" customHeight="1" x14ac:dyDescent="0.2">
      <c r="A1186" s="53" t="s">
        <v>21</v>
      </c>
      <c r="B1186" s="53" t="s">
        <v>33</v>
      </c>
      <c r="C1186" s="53" t="s">
        <v>34</v>
      </c>
      <c r="D1186" s="53" t="s">
        <v>47</v>
      </c>
      <c r="E1186" s="53" t="s">
        <v>25</v>
      </c>
      <c r="F1186" s="53" t="s">
        <v>25</v>
      </c>
      <c r="G1186" s="53" t="s">
        <v>25</v>
      </c>
      <c r="H1186" s="53" t="s">
        <v>25</v>
      </c>
      <c r="I1186" s="73">
        <v>44044</v>
      </c>
      <c r="J1186" s="74">
        <f ca="1">EFEITO!$J$1186*EFEITO!$Y$1000</f>
        <v>69218.043584459912</v>
      </c>
      <c r="K1186" s="74">
        <f>EFEITO!$L$1186*EFEITO!$Z$1000</f>
        <v>0</v>
      </c>
      <c r="L1186" s="74">
        <f>EFEITO!$N$1186*EFEITO!$AA$1000</f>
        <v>0</v>
      </c>
      <c r="M1186" s="74">
        <f ca="1">$J$1186-EFEITO!$K$1186*EFEITO!$Y$1186</f>
        <v>4153.082615067593</v>
      </c>
      <c r="N1186" s="74">
        <f>$K$1186-EFEITO!$M$1186*EFEITO!$Z$1186</f>
        <v>0</v>
      </c>
      <c r="O1186" s="74">
        <f>$L$1186-EFEITO!$O$1186*EFEITO!$AA$1186</f>
        <v>0</v>
      </c>
      <c r="P1186" s="57"/>
      <c r="Q1186" s="57"/>
      <c r="R1186" s="57"/>
      <c r="S1186" s="57"/>
      <c r="T1186" s="57"/>
      <c r="U1186" s="57"/>
      <c r="V1186" s="57"/>
      <c r="W1186" s="57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</row>
    <row r="1187" spans="1:36" ht="11.25" customHeight="1" x14ac:dyDescent="0.2">
      <c r="A1187" s="53" t="s">
        <v>27</v>
      </c>
      <c r="B1187" s="53" t="s">
        <v>33</v>
      </c>
      <c r="C1187" s="53" t="s">
        <v>34</v>
      </c>
      <c r="D1187" s="53" t="s">
        <v>47</v>
      </c>
      <c r="E1187" s="53" t="s">
        <v>25</v>
      </c>
      <c r="F1187" s="53" t="s">
        <v>25</v>
      </c>
      <c r="G1187" s="53" t="s">
        <v>25</v>
      </c>
      <c r="H1187" s="53" t="s">
        <v>25</v>
      </c>
      <c r="I1187" s="73">
        <v>44044</v>
      </c>
      <c r="J1187" s="74">
        <f ca="1">EFEITO!$J$1187*EFEITO!$Y$1000</f>
        <v>5875.0589607590891</v>
      </c>
      <c r="K1187" s="74">
        <f>EFEITO!$L$1187*EFEITO!$Z$1000</f>
        <v>0</v>
      </c>
      <c r="L1187" s="74">
        <f>EFEITO!$N$1187*EFEITO!$AA$1000</f>
        <v>0</v>
      </c>
      <c r="M1187" s="74">
        <f ca="1">$J$1187-EFEITO!$K$1187*EFEITO!$Y$1187</f>
        <v>352.50353764554529</v>
      </c>
      <c r="N1187" s="74">
        <f>$K$1187-EFEITO!$M$1187*EFEITO!$Z$1187</f>
        <v>0</v>
      </c>
      <c r="O1187" s="74">
        <f>$L$1187-EFEITO!$O$1187*EFEITO!$AA$1187</f>
        <v>0</v>
      </c>
      <c r="P1187" s="57"/>
      <c r="Q1187" s="57"/>
      <c r="R1187" s="57"/>
      <c r="S1187" s="57"/>
      <c r="T1187" s="57"/>
      <c r="U1187" s="57"/>
      <c r="V1187" s="57"/>
      <c r="W1187" s="57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</row>
    <row r="1188" spans="1:36" ht="11.25" customHeight="1" x14ac:dyDescent="0.2">
      <c r="A1188" s="53" t="s">
        <v>28</v>
      </c>
      <c r="B1188" s="53" t="s">
        <v>33</v>
      </c>
      <c r="C1188" s="53" t="s">
        <v>34</v>
      </c>
      <c r="D1188" s="53" t="s">
        <v>47</v>
      </c>
      <c r="E1188" s="53" t="s">
        <v>25</v>
      </c>
      <c r="F1188" s="53" t="s">
        <v>25</v>
      </c>
      <c r="G1188" s="53" t="s">
        <v>25</v>
      </c>
      <c r="H1188" s="53" t="s">
        <v>25</v>
      </c>
      <c r="I1188" s="73">
        <v>44044</v>
      </c>
      <c r="J1188" s="74">
        <f ca="1">EFEITO!$J$1188*EFEITO!$Y$1000</f>
        <v>22858.903870711776</v>
      </c>
      <c r="K1188" s="74">
        <f>EFEITO!$L$1188*EFEITO!$Z$1000</f>
        <v>0</v>
      </c>
      <c r="L1188" s="74">
        <f>EFEITO!$N$1188*EFEITO!$AA$1000</f>
        <v>0</v>
      </c>
      <c r="M1188" s="74">
        <f ca="1">$J$1188-EFEITO!$K$1188*EFEITO!$Y$1188</f>
        <v>1371.5342322427059</v>
      </c>
      <c r="N1188" s="74">
        <f>$K$1188-EFEITO!$M$1188*EFEITO!$Z$1188</f>
        <v>0</v>
      </c>
      <c r="O1188" s="74">
        <f>$L$1188-EFEITO!$O$1188*EFEITO!$AA$1188</f>
        <v>0</v>
      </c>
      <c r="P1188" s="57"/>
      <c r="Q1188" s="57"/>
      <c r="R1188" s="57"/>
      <c r="S1188" s="57"/>
      <c r="T1188" s="57"/>
      <c r="U1188" s="57"/>
      <c r="V1188" s="57"/>
      <c r="W1188" s="57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</row>
    <row r="1189" spans="1:36" ht="11.25" customHeight="1" x14ac:dyDescent="0.2">
      <c r="A1189" s="53" t="s">
        <v>59</v>
      </c>
      <c r="B1189" s="53" t="s">
        <v>33</v>
      </c>
      <c r="C1189" s="53" t="s">
        <v>34</v>
      </c>
      <c r="D1189" s="53" t="s">
        <v>47</v>
      </c>
      <c r="E1189" s="53" t="s">
        <v>25</v>
      </c>
      <c r="F1189" s="53" t="s">
        <v>25</v>
      </c>
      <c r="G1189" s="53" t="s">
        <v>25</v>
      </c>
      <c r="H1189" s="53" t="s">
        <v>25</v>
      </c>
      <c r="I1189" s="73">
        <v>44075</v>
      </c>
      <c r="J1189" s="74">
        <f ca="1">EFEITO!$J$1189*EFEITO!$Y$1000</f>
        <v>69218.043584459912</v>
      </c>
      <c r="K1189" s="74">
        <f>EFEITO!$L$1189*EFEITO!$Z$1000</f>
        <v>0</v>
      </c>
      <c r="L1189" s="74">
        <f>EFEITO!$N$1189*EFEITO!$AA$1000</f>
        <v>0</v>
      </c>
      <c r="M1189" s="74">
        <f ca="1">$J$1189-EFEITO!$K$1189*EFEITO!$Y$1189</f>
        <v>4153.082615067593</v>
      </c>
      <c r="N1189" s="74">
        <f>$K$1189-EFEITO!$M$1189*EFEITO!$Z$1189</f>
        <v>0</v>
      </c>
      <c r="O1189" s="74">
        <f>$L$1189-EFEITO!$O$1189*EFEITO!$AA$1189</f>
        <v>0</v>
      </c>
      <c r="P1189" s="57"/>
      <c r="Q1189" s="57"/>
      <c r="R1189" s="57"/>
      <c r="S1189" s="57"/>
      <c r="T1189" s="57"/>
      <c r="U1189" s="57"/>
      <c r="V1189" s="57"/>
      <c r="W1189" s="57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</row>
    <row r="1190" spans="1:36" ht="11.25" customHeight="1" x14ac:dyDescent="0.2">
      <c r="A1190" s="53" t="s">
        <v>59</v>
      </c>
      <c r="B1190" s="53" t="s">
        <v>33</v>
      </c>
      <c r="C1190" s="53" t="s">
        <v>34</v>
      </c>
      <c r="D1190" s="53" t="s">
        <v>47</v>
      </c>
      <c r="E1190" s="53" t="s">
        <v>25</v>
      </c>
      <c r="F1190" s="53" t="s">
        <v>25</v>
      </c>
      <c r="G1190" s="53" t="s">
        <v>25</v>
      </c>
      <c r="H1190" s="53" t="s">
        <v>25</v>
      </c>
      <c r="I1190" s="73">
        <v>44075</v>
      </c>
      <c r="J1190" s="74">
        <f ca="1">EFEITO!$J$1190*EFEITO!$Y$1000</f>
        <v>5875.0589607590891</v>
      </c>
      <c r="K1190" s="74">
        <f>EFEITO!$L$1190*EFEITO!$Z$1000</f>
        <v>0</v>
      </c>
      <c r="L1190" s="74">
        <f>EFEITO!$N$1190*EFEITO!$AA$1000</f>
        <v>0</v>
      </c>
      <c r="M1190" s="74">
        <f ca="1">$J$1190-EFEITO!$K$1190*EFEITO!$Y$1190</f>
        <v>352.50353764554529</v>
      </c>
      <c r="N1190" s="74">
        <f>$K$1190-EFEITO!$M$1190*EFEITO!$Z$1190</f>
        <v>0</v>
      </c>
      <c r="O1190" s="74">
        <f>$L$1190-EFEITO!$O$1190*EFEITO!$AA$1190</f>
        <v>0</v>
      </c>
      <c r="P1190" s="57"/>
      <c r="Q1190" s="57"/>
      <c r="R1190" s="57"/>
      <c r="S1190" s="57"/>
      <c r="T1190" s="57"/>
      <c r="U1190" s="57"/>
      <c r="V1190" s="57"/>
      <c r="W1190" s="57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</row>
    <row r="1191" spans="1:36" ht="11.25" customHeight="1" x14ac:dyDescent="0.2">
      <c r="A1191" s="53" t="s">
        <v>59</v>
      </c>
      <c r="B1191" s="53" t="s">
        <v>33</v>
      </c>
      <c r="C1191" s="53" t="s">
        <v>34</v>
      </c>
      <c r="D1191" s="53" t="s">
        <v>47</v>
      </c>
      <c r="E1191" s="53" t="s">
        <v>25</v>
      </c>
      <c r="F1191" s="53" t="s">
        <v>25</v>
      </c>
      <c r="G1191" s="53" t="s">
        <v>25</v>
      </c>
      <c r="H1191" s="53" t="s">
        <v>25</v>
      </c>
      <c r="I1191" s="73">
        <v>44075</v>
      </c>
      <c r="J1191" s="74">
        <f ca="1">EFEITO!$J$1191*EFEITO!$Y$1000</f>
        <v>22858.903870711776</v>
      </c>
      <c r="K1191" s="74">
        <f>EFEITO!$L$1191*EFEITO!$Z$1000</f>
        <v>0</v>
      </c>
      <c r="L1191" s="74">
        <f>EFEITO!$N$1191*EFEITO!$AA$1000</f>
        <v>0</v>
      </c>
      <c r="M1191" s="74">
        <f ca="1">$J$1191-EFEITO!$K$1191*EFEITO!$Y$1191</f>
        <v>1371.5342322427059</v>
      </c>
      <c r="N1191" s="74">
        <f>$K$1191-EFEITO!$M$1191*EFEITO!$Z$1191</f>
        <v>0</v>
      </c>
      <c r="O1191" s="74">
        <f>$L$1191-EFEITO!$O$1191*EFEITO!$AA$1191</f>
        <v>0</v>
      </c>
      <c r="P1191" s="57"/>
      <c r="Q1191" s="57"/>
      <c r="R1191" s="57"/>
      <c r="S1191" s="57"/>
      <c r="T1191" s="57"/>
      <c r="U1191" s="57"/>
      <c r="V1191" s="57"/>
      <c r="W1191" s="57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</row>
    <row r="1192" spans="1:36" ht="11.25" customHeight="1" x14ac:dyDescent="0.2">
      <c r="A1192" s="53" t="s">
        <v>21</v>
      </c>
      <c r="B1192" s="53" t="s">
        <v>33</v>
      </c>
      <c r="C1192" s="53" t="s">
        <v>34</v>
      </c>
      <c r="D1192" s="53" t="s">
        <v>47</v>
      </c>
      <c r="E1192" s="53" t="s">
        <v>25</v>
      </c>
      <c r="F1192" s="53" t="s">
        <v>25</v>
      </c>
      <c r="G1192" s="53" t="s">
        <v>25</v>
      </c>
      <c r="H1192" s="53" t="s">
        <v>35</v>
      </c>
      <c r="I1192" s="73">
        <v>43739</v>
      </c>
      <c r="J1192" s="74">
        <f>EFEITO!$J$1192*EFEITO!$Y$1033</f>
        <v>0</v>
      </c>
      <c r="K1192" s="74">
        <f ca="1">EFEITO!$L$1192*EFEITO!$Z$1033</f>
        <v>125319.40952258016</v>
      </c>
      <c r="L1192" s="74">
        <f>EFEITO!$N$1192*EFEITO!$AA$1033</f>
        <v>62965.570438539798</v>
      </c>
      <c r="M1192" s="74">
        <f>$J$1192-EFEITO!$K$1192*EFEITO!$Y$1192</f>
        <v>0</v>
      </c>
      <c r="N1192" s="74">
        <f ca="1">$K$1192-EFEITO!$M$1192*EFEITO!$Z$1192</f>
        <v>7519.1645713548205</v>
      </c>
      <c r="O1192" s="74">
        <f>$L$1192-EFEITO!$O$1192*EFEITO!$AA$1192</f>
        <v>3777.9342263123908</v>
      </c>
      <c r="P1192" s="57"/>
      <c r="Q1192" s="57"/>
      <c r="R1192" s="57"/>
      <c r="S1192" s="57"/>
      <c r="T1192" s="57"/>
      <c r="U1192" s="57"/>
      <c r="V1192" s="57"/>
      <c r="W1192" s="57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</row>
    <row r="1193" spans="1:36" ht="11.25" customHeight="1" x14ac:dyDescent="0.2">
      <c r="A1193" s="53" t="s">
        <v>28</v>
      </c>
      <c r="B1193" s="53" t="s">
        <v>33</v>
      </c>
      <c r="C1193" s="53" t="s">
        <v>34</v>
      </c>
      <c r="D1193" s="53" t="s">
        <v>47</v>
      </c>
      <c r="E1193" s="53" t="s">
        <v>25</v>
      </c>
      <c r="F1193" s="53" t="s">
        <v>25</v>
      </c>
      <c r="G1193" s="53" t="s">
        <v>25</v>
      </c>
      <c r="H1193" s="53" t="s">
        <v>35</v>
      </c>
      <c r="I1193" s="73">
        <v>43739</v>
      </c>
      <c r="J1193" s="74">
        <f>EFEITO!$J$1193*EFEITO!$Y$1033</f>
        <v>0</v>
      </c>
      <c r="K1193" s="74">
        <f ca="1">EFEITO!$L$1193*EFEITO!$Z$1033</f>
        <v>13022.528990299799</v>
      </c>
      <c r="L1193" s="74">
        <f>EFEITO!$N$1193*EFEITO!$AA$1033</f>
        <v>6543.0484355969256</v>
      </c>
      <c r="M1193" s="74">
        <f>$J$1193-EFEITO!$K$1193*EFEITO!$Y$1193</f>
        <v>0</v>
      </c>
      <c r="N1193" s="74">
        <f ca="1">$K$1193-EFEITO!$M$1193*EFEITO!$Z$1193</f>
        <v>781.35173941798894</v>
      </c>
      <c r="O1193" s="74">
        <f>$L$1193-EFEITO!$O$1193*EFEITO!$AA$1193</f>
        <v>392.58290613581539</v>
      </c>
      <c r="P1193" s="57"/>
      <c r="Q1193" s="57"/>
      <c r="R1193" s="57"/>
      <c r="S1193" s="57"/>
      <c r="T1193" s="57"/>
      <c r="U1193" s="57"/>
      <c r="V1193" s="57"/>
      <c r="W1193" s="57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</row>
    <row r="1194" spans="1:36" ht="11.25" customHeight="1" x14ac:dyDescent="0.2">
      <c r="A1194" s="53" t="s">
        <v>21</v>
      </c>
      <c r="B1194" s="53" t="s">
        <v>33</v>
      </c>
      <c r="C1194" s="53" t="s">
        <v>34</v>
      </c>
      <c r="D1194" s="53" t="s">
        <v>47</v>
      </c>
      <c r="E1194" s="53" t="s">
        <v>25</v>
      </c>
      <c r="F1194" s="53" t="s">
        <v>25</v>
      </c>
      <c r="G1194" s="53" t="s">
        <v>25</v>
      </c>
      <c r="H1194" s="53" t="s">
        <v>35</v>
      </c>
      <c r="I1194" s="73">
        <v>43770</v>
      </c>
      <c r="J1194" s="74">
        <f>EFEITO!$J$1194*EFEITO!$Y$1033</f>
        <v>0</v>
      </c>
      <c r="K1194" s="74">
        <f ca="1">EFEITO!$L$1194*EFEITO!$Z$1033</f>
        <v>135447.4616110971</v>
      </c>
      <c r="L1194" s="74">
        <f>EFEITO!$N$1194*EFEITO!$AA$1033</f>
        <v>68054.31590593532</v>
      </c>
      <c r="M1194" s="74">
        <f>$J$1194-EFEITO!$K$1194*EFEITO!$Y$1194</f>
        <v>0</v>
      </c>
      <c r="N1194" s="74">
        <f ca="1">$K$1194-EFEITO!$M$1194*EFEITO!$Z$1194</f>
        <v>8126.8476966658491</v>
      </c>
      <c r="O1194" s="74">
        <f>$L$1194-EFEITO!$O$1194*EFEITO!$AA$1194</f>
        <v>4083.2589543561189</v>
      </c>
      <c r="P1194" s="57"/>
      <c r="Q1194" s="57"/>
      <c r="R1194" s="57"/>
      <c r="S1194" s="57"/>
      <c r="T1194" s="57"/>
      <c r="U1194" s="57"/>
      <c r="V1194" s="57"/>
      <c r="W1194" s="57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</row>
    <row r="1195" spans="1:36" ht="11.25" customHeight="1" x14ac:dyDescent="0.2">
      <c r="A1195" s="53" t="s">
        <v>28</v>
      </c>
      <c r="B1195" s="53" t="s">
        <v>33</v>
      </c>
      <c r="C1195" s="53" t="s">
        <v>34</v>
      </c>
      <c r="D1195" s="53" t="s">
        <v>47</v>
      </c>
      <c r="E1195" s="53" t="s">
        <v>25</v>
      </c>
      <c r="F1195" s="53" t="s">
        <v>25</v>
      </c>
      <c r="G1195" s="53" t="s">
        <v>25</v>
      </c>
      <c r="H1195" s="53" t="s">
        <v>35</v>
      </c>
      <c r="I1195" s="73">
        <v>43770</v>
      </c>
      <c r="J1195" s="74">
        <f>EFEITO!$J$1195*EFEITO!$Y$1033</f>
        <v>0</v>
      </c>
      <c r="K1195" s="74">
        <f ca="1">EFEITO!$L$1195*EFEITO!$Z$1033</f>
        <v>1168.7076717867815</v>
      </c>
      <c r="L1195" s="74">
        <f>EFEITO!$N$1195*EFEITO!$AA$1033</f>
        <v>587.20628759979297</v>
      </c>
      <c r="M1195" s="74">
        <f>$J$1195-EFEITO!$K$1195*EFEITO!$Y$1195</f>
        <v>0</v>
      </c>
      <c r="N1195" s="74">
        <f ca="1">$K$1195-EFEITO!$M$1195*EFEITO!$Z$1195</f>
        <v>70.12246030720712</v>
      </c>
      <c r="O1195" s="74">
        <f>$L$1195-EFEITO!$O$1195*EFEITO!$AA$1195</f>
        <v>35.232377255987558</v>
      </c>
      <c r="P1195" s="57"/>
      <c r="Q1195" s="57"/>
      <c r="R1195" s="57"/>
      <c r="S1195" s="57"/>
      <c r="T1195" s="57"/>
      <c r="U1195" s="57"/>
      <c r="V1195" s="57"/>
      <c r="W1195" s="57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</row>
    <row r="1196" spans="1:36" ht="11.25" customHeight="1" x14ac:dyDescent="0.2">
      <c r="A1196" s="53" t="s">
        <v>21</v>
      </c>
      <c r="B1196" s="53" t="s">
        <v>33</v>
      </c>
      <c r="C1196" s="53" t="s">
        <v>34</v>
      </c>
      <c r="D1196" s="53" t="s">
        <v>47</v>
      </c>
      <c r="E1196" s="53" t="s">
        <v>25</v>
      </c>
      <c r="F1196" s="53" t="s">
        <v>25</v>
      </c>
      <c r="G1196" s="53" t="s">
        <v>25</v>
      </c>
      <c r="H1196" s="53" t="s">
        <v>35</v>
      </c>
      <c r="I1196" s="73">
        <v>43800</v>
      </c>
      <c r="J1196" s="74">
        <f>EFEITO!$J$1196*EFEITO!$Y$1033</f>
        <v>0</v>
      </c>
      <c r="K1196" s="74">
        <f ca="1">EFEITO!$L$1196*EFEITO!$Z$1033</f>
        <v>112896.56290769496</v>
      </c>
      <c r="L1196" s="74">
        <f>EFEITO!$N$1196*EFEITO!$AA$1033</f>
        <v>56723.826828697856</v>
      </c>
      <c r="M1196" s="74">
        <f>$J$1196-EFEITO!$K$1196*EFEITO!$Y$1196</f>
        <v>0</v>
      </c>
      <c r="N1196" s="74">
        <f ca="1">$K$1196-EFEITO!$M$1196*EFEITO!$Z$1196</f>
        <v>6773.7937744617084</v>
      </c>
      <c r="O1196" s="74">
        <f>$L$1196-EFEITO!$O$1196*EFEITO!$AA$1196</f>
        <v>3403.4296097218685</v>
      </c>
      <c r="P1196" s="57"/>
      <c r="Q1196" s="57"/>
      <c r="R1196" s="57"/>
      <c r="S1196" s="57"/>
      <c r="T1196" s="57"/>
      <c r="U1196" s="57"/>
      <c r="V1196" s="57"/>
      <c r="W1196" s="57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</row>
    <row r="1197" spans="1:36" ht="11.25" customHeight="1" x14ac:dyDescent="0.2">
      <c r="A1197" s="53" t="s">
        <v>27</v>
      </c>
      <c r="B1197" s="53" t="s">
        <v>33</v>
      </c>
      <c r="C1197" s="53" t="s">
        <v>34</v>
      </c>
      <c r="D1197" s="53" t="s">
        <v>47</v>
      </c>
      <c r="E1197" s="53" t="s">
        <v>25</v>
      </c>
      <c r="F1197" s="53" t="s">
        <v>25</v>
      </c>
      <c r="G1197" s="53" t="s">
        <v>25</v>
      </c>
      <c r="H1197" s="53" t="s">
        <v>35</v>
      </c>
      <c r="I1197" s="73">
        <v>43800</v>
      </c>
      <c r="J1197" s="74">
        <f>EFEITO!$J$1197*EFEITO!$Y$1033</f>
        <v>0</v>
      </c>
      <c r="K1197" s="74">
        <f ca="1">EFEITO!$L$1197*EFEITO!$Z$1033</f>
        <v>232.54516054106784</v>
      </c>
      <c r="L1197" s="74">
        <f>EFEITO!$N$1197*EFEITO!$AA$1033</f>
        <v>116.84015063565938</v>
      </c>
      <c r="M1197" s="74">
        <f>$J$1197-EFEITO!$K$1197*EFEITO!$Y$1197</f>
        <v>0</v>
      </c>
      <c r="N1197" s="74">
        <f ca="1">$K$1197-EFEITO!$M$1197*EFEITO!$Z$1197</f>
        <v>13.952709632464092</v>
      </c>
      <c r="O1197" s="74">
        <f>$L$1197-EFEITO!$O$1197*EFEITO!$AA$1197</f>
        <v>7.0104090381395565</v>
      </c>
      <c r="P1197" s="57"/>
      <c r="Q1197" s="57"/>
      <c r="R1197" s="57"/>
      <c r="S1197" s="57"/>
      <c r="T1197" s="57"/>
      <c r="U1197" s="57"/>
      <c r="V1197" s="57"/>
      <c r="W1197" s="57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</row>
    <row r="1198" spans="1:36" ht="11.25" customHeight="1" x14ac:dyDescent="0.2">
      <c r="A1198" s="53" t="s">
        <v>28</v>
      </c>
      <c r="B1198" s="53" t="s">
        <v>33</v>
      </c>
      <c r="C1198" s="53" t="s">
        <v>34</v>
      </c>
      <c r="D1198" s="53" t="s">
        <v>47</v>
      </c>
      <c r="E1198" s="53" t="s">
        <v>25</v>
      </c>
      <c r="F1198" s="53" t="s">
        <v>25</v>
      </c>
      <c r="G1198" s="53" t="s">
        <v>25</v>
      </c>
      <c r="H1198" s="53" t="s">
        <v>35</v>
      </c>
      <c r="I1198" s="73">
        <v>43800</v>
      </c>
      <c r="J1198" s="74">
        <f>EFEITO!$J$1198*EFEITO!$Y$1033</f>
        <v>0</v>
      </c>
      <c r="K1198" s="74">
        <f ca="1">EFEITO!$L$1198*EFEITO!$Z$1033</f>
        <v>654.26693078274718</v>
      </c>
      <c r="L1198" s="74">
        <f>EFEITO!$N$1198*EFEITO!$AA$1033</f>
        <v>328.73032735113173</v>
      </c>
      <c r="M1198" s="74">
        <f>$J$1198-EFEITO!$K$1198*EFEITO!$Y$1198</f>
        <v>0</v>
      </c>
      <c r="N1198" s="74">
        <f ca="1">$K$1198-EFEITO!$M$1198*EFEITO!$Z$1198</f>
        <v>39.256015846964942</v>
      </c>
      <c r="O1198" s="74">
        <f>$L$1198-EFEITO!$O$1198*EFEITO!$AA$1198</f>
        <v>19.723819641067905</v>
      </c>
      <c r="P1198" s="57"/>
      <c r="Q1198" s="57"/>
      <c r="R1198" s="57"/>
      <c r="S1198" s="57"/>
      <c r="T1198" s="57"/>
      <c r="U1198" s="57"/>
      <c r="V1198" s="57"/>
      <c r="W1198" s="57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</row>
    <row r="1199" spans="1:36" ht="11.25" customHeight="1" x14ac:dyDescent="0.2">
      <c r="A1199" s="53" t="s">
        <v>21</v>
      </c>
      <c r="B1199" s="53" t="s">
        <v>33</v>
      </c>
      <c r="C1199" s="53" t="s">
        <v>34</v>
      </c>
      <c r="D1199" s="53" t="s">
        <v>47</v>
      </c>
      <c r="E1199" s="53" t="s">
        <v>25</v>
      </c>
      <c r="F1199" s="53" t="s">
        <v>25</v>
      </c>
      <c r="G1199" s="53" t="s">
        <v>25</v>
      </c>
      <c r="H1199" s="53" t="s">
        <v>35</v>
      </c>
      <c r="I1199" s="73">
        <v>43831</v>
      </c>
      <c r="J1199" s="74">
        <f>EFEITO!$J$1199*EFEITO!$Y$1033</f>
        <v>0</v>
      </c>
      <c r="K1199" s="74">
        <f ca="1">EFEITO!$L$1199*EFEITO!$Z$1033</f>
        <v>94638.403003862812</v>
      </c>
      <c r="L1199" s="74">
        <f>EFEITO!$N$1199*EFEITO!$AA$1033</f>
        <v>47550.184390686496</v>
      </c>
      <c r="M1199" s="74">
        <f>$J$1199-EFEITO!$K$1199*EFEITO!$Y$1199</f>
        <v>0</v>
      </c>
      <c r="N1199" s="74">
        <f ca="1">$K$1199-EFEITO!$M$1199*EFEITO!$Z$1199</f>
        <v>5678.3041802317894</v>
      </c>
      <c r="O1199" s="74">
        <f>$L$1199-EFEITO!$O$1199*EFEITO!$AA$1199</f>
        <v>2853.0110634411903</v>
      </c>
      <c r="P1199" s="57"/>
      <c r="Q1199" s="57"/>
      <c r="R1199" s="57"/>
      <c r="S1199" s="57"/>
      <c r="T1199" s="57"/>
      <c r="U1199" s="57"/>
      <c r="V1199" s="57"/>
      <c r="W1199" s="57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</row>
    <row r="1200" spans="1:36" ht="11.25" customHeight="1" x14ac:dyDescent="0.2">
      <c r="A1200" s="53" t="s">
        <v>28</v>
      </c>
      <c r="B1200" s="53" t="s">
        <v>33</v>
      </c>
      <c r="C1200" s="53" t="s">
        <v>34</v>
      </c>
      <c r="D1200" s="53" t="s">
        <v>47</v>
      </c>
      <c r="E1200" s="53" t="s">
        <v>25</v>
      </c>
      <c r="F1200" s="53" t="s">
        <v>25</v>
      </c>
      <c r="G1200" s="53" t="s">
        <v>25</v>
      </c>
      <c r="H1200" s="53" t="s">
        <v>35</v>
      </c>
      <c r="I1200" s="73">
        <v>43831</v>
      </c>
      <c r="J1200" s="74">
        <f>EFEITO!$J$1200*EFEITO!$Y$1033</f>
        <v>0</v>
      </c>
      <c r="K1200" s="74">
        <f ca="1">EFEITO!$L$1200*EFEITO!$Z$1033</f>
        <v>1223.2922271549421</v>
      </c>
      <c r="L1200" s="74">
        <f>EFEITO!$N$1200*EFEITO!$AA$1033</f>
        <v>614.63178919594452</v>
      </c>
      <c r="M1200" s="74">
        <f>$J$1200-EFEITO!$K$1200*EFEITO!$Y$1200</f>
        <v>0</v>
      </c>
      <c r="N1200" s="74">
        <f ca="1">$K$1200-EFEITO!$M$1200*EFEITO!$Z$1200</f>
        <v>73.397533629296731</v>
      </c>
      <c r="O1200" s="74">
        <f>$L$1200-EFEITO!$O$1200*EFEITO!$AA$1200</f>
        <v>36.877907351756676</v>
      </c>
      <c r="P1200" s="57"/>
      <c r="Q1200" s="57"/>
      <c r="R1200" s="57"/>
      <c r="S1200" s="57"/>
      <c r="T1200" s="57"/>
      <c r="U1200" s="57"/>
      <c r="V1200" s="57"/>
      <c r="W1200" s="57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</row>
    <row r="1201" spans="1:36" ht="11.25" customHeight="1" x14ac:dyDescent="0.2">
      <c r="A1201" s="53" t="s">
        <v>21</v>
      </c>
      <c r="B1201" s="53" t="s">
        <v>33</v>
      </c>
      <c r="C1201" s="53" t="s">
        <v>34</v>
      </c>
      <c r="D1201" s="53" t="s">
        <v>47</v>
      </c>
      <c r="E1201" s="53" t="s">
        <v>25</v>
      </c>
      <c r="F1201" s="53" t="s">
        <v>25</v>
      </c>
      <c r="G1201" s="53" t="s">
        <v>25</v>
      </c>
      <c r="H1201" s="53" t="s">
        <v>35</v>
      </c>
      <c r="I1201" s="73">
        <v>43862</v>
      </c>
      <c r="J1201" s="74">
        <f>EFEITO!$J$1201*EFEITO!$Y$1033</f>
        <v>0</v>
      </c>
      <c r="K1201" s="74">
        <f ca="1">EFEITO!$L$1201*EFEITO!$Z$1033</f>
        <v>106259.67916183476</v>
      </c>
      <c r="L1201" s="74">
        <f>EFEITO!$N$1201*EFEITO!$AA$1033</f>
        <v>53389.18638804798</v>
      </c>
      <c r="M1201" s="74">
        <f>$J$1201-EFEITO!$K$1201*EFEITO!$Y$1201</f>
        <v>0</v>
      </c>
      <c r="N1201" s="74">
        <f ca="1">$K$1201-EFEITO!$M$1201*EFEITO!$Z$1201</f>
        <v>6375.5807497100905</v>
      </c>
      <c r="O1201" s="74">
        <f>$L$1201-EFEITO!$O$1201*EFEITO!$AA$1201</f>
        <v>3203.3511832828808</v>
      </c>
      <c r="P1201" s="57"/>
      <c r="Q1201" s="57"/>
      <c r="R1201" s="57"/>
      <c r="S1201" s="57"/>
      <c r="T1201" s="57"/>
      <c r="U1201" s="57"/>
      <c r="V1201" s="57"/>
      <c r="W1201" s="57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</row>
    <row r="1202" spans="1:36" ht="11.25" customHeight="1" x14ac:dyDescent="0.2">
      <c r="A1202" s="53" t="s">
        <v>28</v>
      </c>
      <c r="B1202" s="53" t="s">
        <v>33</v>
      </c>
      <c r="C1202" s="53" t="s">
        <v>34</v>
      </c>
      <c r="D1202" s="53" t="s">
        <v>47</v>
      </c>
      <c r="E1202" s="53" t="s">
        <v>25</v>
      </c>
      <c r="F1202" s="53" t="s">
        <v>25</v>
      </c>
      <c r="G1202" s="53" t="s">
        <v>25</v>
      </c>
      <c r="H1202" s="53" t="s">
        <v>35</v>
      </c>
      <c r="I1202" s="73">
        <v>43862</v>
      </c>
      <c r="J1202" s="74">
        <f>EFEITO!$J$1202*EFEITO!$Y$1033</f>
        <v>0</v>
      </c>
      <c r="K1202" s="74">
        <f ca="1">EFEITO!$L$1202*EFEITO!$Z$1033</f>
        <v>488.27006377272448</v>
      </c>
      <c r="L1202" s="74">
        <f>EFEITO!$N$1202*EFEITO!$AA$1033</f>
        <v>245.32674715461602</v>
      </c>
      <c r="M1202" s="74">
        <f>$J$1202-EFEITO!$K$1202*EFEITO!$Y$1202</f>
        <v>0</v>
      </c>
      <c r="N1202" s="74">
        <f ca="1">$K$1202-EFEITO!$M$1202*EFEITO!$Z$1202</f>
        <v>29.296203826363524</v>
      </c>
      <c r="O1202" s="74">
        <f>$L$1202-EFEITO!$O$1202*EFEITO!$AA$1202</f>
        <v>14.71960482927696</v>
      </c>
      <c r="P1202" s="57"/>
      <c r="Q1202" s="57"/>
      <c r="R1202" s="57"/>
      <c r="S1202" s="57"/>
      <c r="T1202" s="57"/>
      <c r="U1202" s="57"/>
      <c r="V1202" s="57"/>
      <c r="W1202" s="57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</row>
    <row r="1203" spans="1:36" ht="11.25" customHeight="1" x14ac:dyDescent="0.2">
      <c r="A1203" s="53" t="s">
        <v>21</v>
      </c>
      <c r="B1203" s="53" t="s">
        <v>33</v>
      </c>
      <c r="C1203" s="53" t="s">
        <v>34</v>
      </c>
      <c r="D1203" s="53" t="s">
        <v>47</v>
      </c>
      <c r="E1203" s="53" t="s">
        <v>25</v>
      </c>
      <c r="F1203" s="53" t="s">
        <v>25</v>
      </c>
      <c r="G1203" s="53" t="s">
        <v>25</v>
      </c>
      <c r="H1203" s="53" t="s">
        <v>35</v>
      </c>
      <c r="I1203" s="73">
        <v>43891</v>
      </c>
      <c r="J1203" s="74">
        <f>EFEITO!$J$1203*EFEITO!$Y$1033</f>
        <v>0</v>
      </c>
      <c r="K1203" s="74">
        <f ca="1">EFEITO!$L$1203*EFEITO!$Z$1033</f>
        <v>135434.75013929902</v>
      </c>
      <c r="L1203" s="74">
        <f>EFEITO!$N$1203*EFEITO!$AA$1033</f>
        <v>68047.929145289643</v>
      </c>
      <c r="M1203" s="74">
        <f>$J$1203-EFEITO!$K$1203*EFEITO!$Y$1203</f>
        <v>0</v>
      </c>
      <c r="N1203" s="74">
        <f ca="1">$K$1203-EFEITO!$M$1203*EFEITO!$Z$1203</f>
        <v>8126.0850083579426</v>
      </c>
      <c r="O1203" s="74">
        <f>$L$1203-EFEITO!$O$1203*EFEITO!$AA$1203</f>
        <v>4082.8757487173789</v>
      </c>
      <c r="P1203" s="57"/>
      <c r="Q1203" s="57"/>
      <c r="R1203" s="57"/>
      <c r="S1203" s="57"/>
      <c r="T1203" s="57"/>
      <c r="U1203" s="57"/>
      <c r="V1203" s="57"/>
      <c r="W1203" s="57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</row>
    <row r="1204" spans="1:36" ht="11.25" customHeight="1" x14ac:dyDescent="0.2">
      <c r="A1204" s="53" t="s">
        <v>28</v>
      </c>
      <c r="B1204" s="53" t="s">
        <v>33</v>
      </c>
      <c r="C1204" s="53" t="s">
        <v>34</v>
      </c>
      <c r="D1204" s="53" t="s">
        <v>47</v>
      </c>
      <c r="E1204" s="53" t="s">
        <v>25</v>
      </c>
      <c r="F1204" s="53" t="s">
        <v>25</v>
      </c>
      <c r="G1204" s="53" t="s">
        <v>25</v>
      </c>
      <c r="H1204" s="53" t="s">
        <v>35</v>
      </c>
      <c r="I1204" s="73">
        <v>43891</v>
      </c>
      <c r="J1204" s="74">
        <f>EFEITO!$J$1204*EFEITO!$Y$1033</f>
        <v>0</v>
      </c>
      <c r="K1204" s="74">
        <f ca="1">EFEITO!$L$1204*EFEITO!$Z$1033</f>
        <v>1251.7061052917927</v>
      </c>
      <c r="L1204" s="74">
        <f>EFEITO!$N$1204*EFEITO!$AA$1033</f>
        <v>628.90807769805087</v>
      </c>
      <c r="M1204" s="74">
        <f>$J$1204-EFEITO!$K$1204*EFEITO!$Y$1204</f>
        <v>0</v>
      </c>
      <c r="N1204" s="74">
        <f ca="1">$K$1204-EFEITO!$M$1204*EFEITO!$Z$1204</f>
        <v>75.102366317507631</v>
      </c>
      <c r="O1204" s="74">
        <f>$L$1204-EFEITO!$O$1204*EFEITO!$AA$1204</f>
        <v>37.73448466188313</v>
      </c>
      <c r="P1204" s="57"/>
      <c r="Q1204" s="57"/>
      <c r="R1204" s="57"/>
      <c r="S1204" s="57"/>
      <c r="T1204" s="57"/>
      <c r="U1204" s="57"/>
      <c r="V1204" s="57"/>
      <c r="W1204" s="57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</row>
    <row r="1205" spans="1:36" ht="11.25" customHeight="1" x14ac:dyDescent="0.2">
      <c r="A1205" s="53" t="s">
        <v>21</v>
      </c>
      <c r="B1205" s="53" t="s">
        <v>33</v>
      </c>
      <c r="C1205" s="53" t="s">
        <v>34</v>
      </c>
      <c r="D1205" s="53" t="s">
        <v>47</v>
      </c>
      <c r="E1205" s="53" t="s">
        <v>25</v>
      </c>
      <c r="F1205" s="53" t="s">
        <v>25</v>
      </c>
      <c r="G1205" s="53" t="s">
        <v>25</v>
      </c>
      <c r="H1205" s="53" t="s">
        <v>35</v>
      </c>
      <c r="I1205" s="73">
        <v>43922</v>
      </c>
      <c r="J1205" s="74">
        <f>EFEITO!$J$1205*EFEITO!$Y$1033</f>
        <v>0</v>
      </c>
      <c r="K1205" s="74">
        <f ca="1">EFEITO!$L$1205*EFEITO!$Z$1033</f>
        <v>154394.28419293027</v>
      </c>
      <c r="L1205" s="74">
        <f>EFEITO!$N$1205*EFEITO!$AA$1033</f>
        <v>77573.970494221401</v>
      </c>
      <c r="M1205" s="74">
        <f>$J$1205-EFEITO!$K$1205*EFEITO!$Y$1205</f>
        <v>0</v>
      </c>
      <c r="N1205" s="74">
        <f ca="1">$K$1205-EFEITO!$M$1205*EFEITO!$Z$1205</f>
        <v>9263.6570515758358</v>
      </c>
      <c r="O1205" s="74">
        <f>$L$1205-EFEITO!$O$1205*EFEITO!$AA$1205</f>
        <v>4654.4382296532713</v>
      </c>
      <c r="P1205" s="57"/>
      <c r="Q1205" s="57"/>
      <c r="R1205" s="57"/>
      <c r="S1205" s="57"/>
      <c r="T1205" s="57"/>
      <c r="U1205" s="57"/>
      <c r="V1205" s="57"/>
      <c r="W1205" s="57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</row>
    <row r="1206" spans="1:36" ht="11.25" customHeight="1" x14ac:dyDescent="0.2">
      <c r="A1206" s="53" t="s">
        <v>27</v>
      </c>
      <c r="B1206" s="53" t="s">
        <v>33</v>
      </c>
      <c r="C1206" s="53" t="s">
        <v>34</v>
      </c>
      <c r="D1206" s="53" t="s">
        <v>47</v>
      </c>
      <c r="E1206" s="53" t="s">
        <v>25</v>
      </c>
      <c r="F1206" s="53" t="s">
        <v>25</v>
      </c>
      <c r="G1206" s="53" t="s">
        <v>25</v>
      </c>
      <c r="H1206" s="53" t="s">
        <v>35</v>
      </c>
      <c r="I1206" s="73">
        <v>43922</v>
      </c>
      <c r="J1206" s="74">
        <f>EFEITO!$J$1206*EFEITO!$Y$1033</f>
        <v>0</v>
      </c>
      <c r="K1206" s="74">
        <f ca="1">EFEITO!$L$1206*EFEITO!$Z$1033</f>
        <v>311.80492587017778</v>
      </c>
      <c r="L1206" s="74">
        <f>EFEITO!$N$1206*EFEITO!$AA$1033</f>
        <v>156.6634817204822</v>
      </c>
      <c r="M1206" s="74">
        <f>$J$1206-EFEITO!$K$1206*EFEITO!$Y$1206</f>
        <v>0</v>
      </c>
      <c r="N1206" s="74">
        <f ca="1">$K$1206-EFEITO!$M$1206*EFEITO!$Z$1206</f>
        <v>18.7082955522107</v>
      </c>
      <c r="O1206" s="74">
        <f>$L$1206-EFEITO!$O$1206*EFEITO!$AA$1206</f>
        <v>9.3998089032289442</v>
      </c>
      <c r="P1206" s="57"/>
      <c r="Q1206" s="57"/>
      <c r="R1206" s="57"/>
      <c r="S1206" s="57"/>
      <c r="T1206" s="57"/>
      <c r="U1206" s="57"/>
      <c r="V1206" s="57"/>
      <c r="W1206" s="57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</row>
    <row r="1207" spans="1:36" ht="11.25" customHeight="1" x14ac:dyDescent="0.2">
      <c r="A1207" s="53" t="s">
        <v>28</v>
      </c>
      <c r="B1207" s="53" t="s">
        <v>33</v>
      </c>
      <c r="C1207" s="53" t="s">
        <v>34</v>
      </c>
      <c r="D1207" s="53" t="s">
        <v>47</v>
      </c>
      <c r="E1207" s="53" t="s">
        <v>25</v>
      </c>
      <c r="F1207" s="53" t="s">
        <v>25</v>
      </c>
      <c r="G1207" s="53" t="s">
        <v>25</v>
      </c>
      <c r="H1207" s="53" t="s">
        <v>35</v>
      </c>
      <c r="I1207" s="73">
        <v>43922</v>
      </c>
      <c r="J1207" s="74">
        <f>EFEITO!$J$1207*EFEITO!$Y$1033</f>
        <v>0</v>
      </c>
      <c r="K1207" s="74">
        <f ca="1">EFEITO!$L$1207*EFEITO!$Z$1033</f>
        <v>2415.9273752674926</v>
      </c>
      <c r="L1207" s="74">
        <f>EFEITO!$N$1207*EFEITO!$AA$1033</f>
        <v>1213.8602144817219</v>
      </c>
      <c r="M1207" s="74">
        <f>$J$1207-EFEITO!$K$1207*EFEITO!$Y$1207</f>
        <v>0</v>
      </c>
      <c r="N1207" s="74">
        <f ca="1">$K$1207-EFEITO!$M$1207*EFEITO!$Z$1207</f>
        <v>144.95564251604992</v>
      </c>
      <c r="O1207" s="74">
        <f>$L$1207-EFEITO!$O$1207*EFEITO!$AA$1207</f>
        <v>72.831612868903449</v>
      </c>
      <c r="P1207" s="57"/>
      <c r="Q1207" s="57"/>
      <c r="R1207" s="57"/>
      <c r="S1207" s="57"/>
      <c r="T1207" s="57"/>
      <c r="U1207" s="57"/>
      <c r="V1207" s="57"/>
      <c r="W1207" s="57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</row>
    <row r="1208" spans="1:36" ht="11.25" customHeight="1" x14ac:dyDescent="0.2">
      <c r="A1208" s="53" t="s">
        <v>21</v>
      </c>
      <c r="B1208" s="53" t="s">
        <v>33</v>
      </c>
      <c r="C1208" s="53" t="s">
        <v>34</v>
      </c>
      <c r="D1208" s="53" t="s">
        <v>47</v>
      </c>
      <c r="E1208" s="53" t="s">
        <v>25</v>
      </c>
      <c r="F1208" s="53" t="s">
        <v>25</v>
      </c>
      <c r="G1208" s="53" t="s">
        <v>25</v>
      </c>
      <c r="H1208" s="53" t="s">
        <v>35</v>
      </c>
      <c r="I1208" s="73">
        <v>43952</v>
      </c>
      <c r="J1208" s="74">
        <f>EFEITO!$J$1208*EFEITO!$Y$1033</f>
        <v>0</v>
      </c>
      <c r="K1208" s="74">
        <f ca="1">EFEITO!$L$1208*EFEITO!$Z$1033</f>
        <v>113186.6835581449</v>
      </c>
      <c r="L1208" s="74">
        <f>EFEITO!$N$1208*EFEITO!$AA$1033</f>
        <v>56869.595248140409</v>
      </c>
      <c r="M1208" s="74">
        <f>$J$1208-EFEITO!$K$1208*EFEITO!$Y$1208</f>
        <v>0</v>
      </c>
      <c r="N1208" s="74">
        <f ca="1">$K$1208-EFEITO!$M$1208*EFEITO!$Z$1208</f>
        <v>6791.2010134887096</v>
      </c>
      <c r="O1208" s="74">
        <f>$L$1208-EFEITO!$O$1208*EFEITO!$AA$1208</f>
        <v>3412.1757148884208</v>
      </c>
      <c r="P1208" s="57"/>
      <c r="Q1208" s="57"/>
      <c r="R1208" s="57"/>
      <c r="S1208" s="57"/>
      <c r="T1208" s="57"/>
      <c r="U1208" s="57"/>
      <c r="V1208" s="57"/>
      <c r="W1208" s="57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</row>
    <row r="1209" spans="1:36" ht="11.25" customHeight="1" x14ac:dyDescent="0.2">
      <c r="A1209" s="53" t="s">
        <v>27</v>
      </c>
      <c r="B1209" s="53" t="s">
        <v>33</v>
      </c>
      <c r="C1209" s="53" t="s">
        <v>34</v>
      </c>
      <c r="D1209" s="53" t="s">
        <v>47</v>
      </c>
      <c r="E1209" s="53" t="s">
        <v>25</v>
      </c>
      <c r="F1209" s="53" t="s">
        <v>25</v>
      </c>
      <c r="G1209" s="53" t="s">
        <v>25</v>
      </c>
      <c r="H1209" s="53" t="s">
        <v>35</v>
      </c>
      <c r="I1209" s="73">
        <v>43952</v>
      </c>
      <c r="J1209" s="74">
        <f>EFEITO!$J$1209*EFEITO!$Y$1033</f>
        <v>0</v>
      </c>
      <c r="K1209" s="74">
        <f ca="1">EFEITO!$L$1209*EFEITO!$Z$1033</f>
        <v>1993.457871390633</v>
      </c>
      <c r="L1209" s="74">
        <f>EFEITO!$N$1209*EFEITO!$AA$1033</f>
        <v>1001.5943459635624</v>
      </c>
      <c r="M1209" s="74">
        <f>$J$1209-EFEITO!$K$1209*EFEITO!$Y$1209</f>
        <v>0</v>
      </c>
      <c r="N1209" s="74">
        <f ca="1">$K$1209-EFEITO!$M$1209*EFEITO!$Z$1209</f>
        <v>119.60747228343826</v>
      </c>
      <c r="O1209" s="74">
        <f>$L$1209-EFEITO!$O$1209*EFEITO!$AA$1209</f>
        <v>60.095660757813789</v>
      </c>
      <c r="P1209" s="57"/>
      <c r="Q1209" s="57"/>
      <c r="R1209" s="57"/>
      <c r="S1209" s="57"/>
      <c r="T1209" s="57"/>
      <c r="U1209" s="57"/>
      <c r="V1209" s="57"/>
      <c r="W1209" s="57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</row>
    <row r="1210" spans="1:36" ht="11.25" customHeight="1" x14ac:dyDescent="0.2">
      <c r="A1210" s="53" t="s">
        <v>28</v>
      </c>
      <c r="B1210" s="53" t="s">
        <v>33</v>
      </c>
      <c r="C1210" s="53" t="s">
        <v>34</v>
      </c>
      <c r="D1210" s="53" t="s">
        <v>47</v>
      </c>
      <c r="E1210" s="53" t="s">
        <v>25</v>
      </c>
      <c r="F1210" s="53" t="s">
        <v>25</v>
      </c>
      <c r="G1210" s="53" t="s">
        <v>25</v>
      </c>
      <c r="H1210" s="53" t="s">
        <v>35</v>
      </c>
      <c r="I1210" s="73">
        <v>43952</v>
      </c>
      <c r="J1210" s="74">
        <f>EFEITO!$J$1210*EFEITO!$Y$1033</f>
        <v>0</v>
      </c>
      <c r="K1210" s="74">
        <f ca="1">EFEITO!$L$1210*EFEITO!$Z$1033</f>
        <v>3171.1383467995779</v>
      </c>
      <c r="L1210" s="74">
        <f>EFEITO!$N$1210*EFEITO!$AA$1033</f>
        <v>1593.3089351955994</v>
      </c>
      <c r="M1210" s="74">
        <f>$J$1210-EFEITO!$K$1210*EFEITO!$Y$1210</f>
        <v>0</v>
      </c>
      <c r="N1210" s="74">
        <f ca="1">$K$1210-EFEITO!$M$1210*EFEITO!$Z$1210</f>
        <v>190.26830080797527</v>
      </c>
      <c r="O1210" s="74">
        <f>$L$1210-EFEITO!$O$1210*EFEITO!$AA$1210</f>
        <v>95.598536111735939</v>
      </c>
      <c r="P1210" s="57"/>
      <c r="Q1210" s="57"/>
      <c r="R1210" s="57"/>
      <c r="S1210" s="57"/>
      <c r="T1210" s="57"/>
      <c r="U1210" s="57"/>
      <c r="V1210" s="57"/>
      <c r="W1210" s="57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</row>
    <row r="1211" spans="1:36" ht="11.25" customHeight="1" x14ac:dyDescent="0.2">
      <c r="A1211" s="53" t="s">
        <v>21</v>
      </c>
      <c r="B1211" s="53" t="s">
        <v>33</v>
      </c>
      <c r="C1211" s="53" t="s">
        <v>34</v>
      </c>
      <c r="D1211" s="53" t="s">
        <v>47</v>
      </c>
      <c r="E1211" s="53" t="s">
        <v>25</v>
      </c>
      <c r="F1211" s="53" t="s">
        <v>25</v>
      </c>
      <c r="G1211" s="53" t="s">
        <v>25</v>
      </c>
      <c r="H1211" s="53" t="s">
        <v>35</v>
      </c>
      <c r="I1211" s="73">
        <v>43983</v>
      </c>
      <c r="J1211" s="74">
        <f>EFEITO!$J$1211*EFEITO!$Y$1033</f>
        <v>0</v>
      </c>
      <c r="K1211" s="74">
        <f ca="1">EFEITO!$L$1211*EFEITO!$Z$1033</f>
        <v>120711.87486259927</v>
      </c>
      <c r="L1211" s="74">
        <f>EFEITO!$N$1211*EFEITO!$AA$1033</f>
        <v>60650.557550382466</v>
      </c>
      <c r="M1211" s="74">
        <f>$J$1211-EFEITO!$K$1211*EFEITO!$Y$1211</f>
        <v>0</v>
      </c>
      <c r="N1211" s="74">
        <f ca="1">$K$1211-EFEITO!$M$1211*EFEITO!$Z$1211</f>
        <v>7242.7124917559704</v>
      </c>
      <c r="O1211" s="74">
        <f>$L$1211-EFEITO!$O$1211*EFEITO!$AA$1211</f>
        <v>3639.033453022952</v>
      </c>
      <c r="P1211" s="57"/>
      <c r="Q1211" s="57"/>
      <c r="R1211" s="57"/>
      <c r="S1211" s="57"/>
      <c r="T1211" s="57"/>
      <c r="U1211" s="57"/>
      <c r="V1211" s="57"/>
      <c r="W1211" s="57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</row>
    <row r="1212" spans="1:36" ht="11.25" customHeight="1" x14ac:dyDescent="0.2">
      <c r="A1212" s="53" t="s">
        <v>27</v>
      </c>
      <c r="B1212" s="53" t="s">
        <v>33</v>
      </c>
      <c r="C1212" s="53" t="s">
        <v>34</v>
      </c>
      <c r="D1212" s="53" t="s">
        <v>47</v>
      </c>
      <c r="E1212" s="53" t="s">
        <v>25</v>
      </c>
      <c r="F1212" s="53" t="s">
        <v>25</v>
      </c>
      <c r="G1212" s="53" t="s">
        <v>25</v>
      </c>
      <c r="H1212" s="53" t="s">
        <v>35</v>
      </c>
      <c r="I1212" s="73">
        <v>43983</v>
      </c>
      <c r="J1212" s="74">
        <f>EFEITO!$J$1212*EFEITO!$Y$1033</f>
        <v>0</v>
      </c>
      <c r="K1212" s="74">
        <f ca="1">EFEITO!$L$1212*EFEITO!$Z$1033</f>
        <v>969.81052482882637</v>
      </c>
      <c r="L1212" s="74">
        <f>EFEITO!$N$1212*EFEITO!$AA$1033</f>
        <v>487.27226808504895</v>
      </c>
      <c r="M1212" s="74">
        <f>$J$1212-EFEITO!$K$1212*EFEITO!$Y$1212</f>
        <v>0</v>
      </c>
      <c r="N1212" s="74">
        <f ca="1">$K$1212-EFEITO!$M$1212*EFEITO!$Z$1212</f>
        <v>58.188631489729687</v>
      </c>
      <c r="O1212" s="74">
        <f>$L$1212-EFEITO!$O$1212*EFEITO!$AA$1212</f>
        <v>29.236336085102948</v>
      </c>
      <c r="P1212" s="57"/>
      <c r="Q1212" s="57"/>
      <c r="R1212" s="57"/>
      <c r="S1212" s="57"/>
      <c r="T1212" s="57"/>
      <c r="U1212" s="57"/>
      <c r="V1212" s="57"/>
      <c r="W1212" s="57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</row>
    <row r="1213" spans="1:36" ht="11.25" customHeight="1" x14ac:dyDescent="0.2">
      <c r="A1213" s="53" t="s">
        <v>28</v>
      </c>
      <c r="B1213" s="53" t="s">
        <v>33</v>
      </c>
      <c r="C1213" s="53" t="s">
        <v>34</v>
      </c>
      <c r="D1213" s="53" t="s">
        <v>47</v>
      </c>
      <c r="E1213" s="53" t="s">
        <v>25</v>
      </c>
      <c r="F1213" s="53" t="s">
        <v>25</v>
      </c>
      <c r="G1213" s="53" t="s">
        <v>25</v>
      </c>
      <c r="H1213" s="53" t="s">
        <v>35</v>
      </c>
      <c r="I1213" s="73">
        <v>43983</v>
      </c>
      <c r="J1213" s="74">
        <f>EFEITO!$J$1213*EFEITO!$Y$1033</f>
        <v>0</v>
      </c>
      <c r="K1213" s="74">
        <f ca="1">EFEITO!$L$1213*EFEITO!$Z$1033</f>
        <v>1694.3644173185201</v>
      </c>
      <c r="L1213" s="74">
        <f>EFEITO!$N$1213*EFEITO!$AA$1033</f>
        <v>851.31762488875938</v>
      </c>
      <c r="M1213" s="74">
        <f>$J$1213-EFEITO!$K$1213*EFEITO!$Y$1213</f>
        <v>0</v>
      </c>
      <c r="N1213" s="74">
        <f ca="1">$K$1213-EFEITO!$M$1213*EFEITO!$Z$1213</f>
        <v>101.66186503911126</v>
      </c>
      <c r="O1213" s="74">
        <f>$L$1213-EFEITO!$O$1213*EFEITO!$AA$1213</f>
        <v>51.079057493325536</v>
      </c>
      <c r="P1213" s="57"/>
      <c r="Q1213" s="57"/>
      <c r="R1213" s="57"/>
      <c r="S1213" s="57"/>
      <c r="T1213" s="57"/>
      <c r="U1213" s="57"/>
      <c r="V1213" s="57"/>
      <c r="W1213" s="57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</row>
    <row r="1214" spans="1:36" ht="11.25" customHeight="1" x14ac:dyDescent="0.2">
      <c r="A1214" s="53" t="s">
        <v>21</v>
      </c>
      <c r="B1214" s="53" t="s">
        <v>33</v>
      </c>
      <c r="C1214" s="53" t="s">
        <v>34</v>
      </c>
      <c r="D1214" s="53" t="s">
        <v>47</v>
      </c>
      <c r="E1214" s="53" t="s">
        <v>25</v>
      </c>
      <c r="F1214" s="53" t="s">
        <v>25</v>
      </c>
      <c r="G1214" s="53" t="s">
        <v>25</v>
      </c>
      <c r="H1214" s="53" t="s">
        <v>35</v>
      </c>
      <c r="I1214" s="73">
        <v>44013</v>
      </c>
      <c r="J1214" s="74">
        <f>EFEITO!$J$1214*EFEITO!$Y$1033</f>
        <v>0</v>
      </c>
      <c r="K1214" s="74">
        <f ca="1">EFEITO!$L$1214*EFEITO!$Z$1033</f>
        <v>111012.27414704065</v>
      </c>
      <c r="L1214" s="74">
        <f>EFEITO!$N$1214*EFEITO!$AA$1033</f>
        <v>55777.083485926596</v>
      </c>
      <c r="M1214" s="74">
        <f>$J$1214-EFEITO!$K$1214*EFEITO!$Y$1214</f>
        <v>0</v>
      </c>
      <c r="N1214" s="74">
        <f ca="1">$K$1214-EFEITO!$M$1214*EFEITO!$Z$1214</f>
        <v>6660.7364488224557</v>
      </c>
      <c r="O1214" s="74">
        <f>$L$1214-EFEITO!$O$1214*EFEITO!$AA$1214</f>
        <v>3346.6250091555921</v>
      </c>
      <c r="P1214" s="57"/>
      <c r="Q1214" s="57"/>
      <c r="R1214" s="57"/>
      <c r="S1214" s="57"/>
      <c r="T1214" s="57"/>
      <c r="U1214" s="57"/>
      <c r="V1214" s="57"/>
      <c r="W1214" s="57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</row>
    <row r="1215" spans="1:36" ht="11.25" customHeight="1" x14ac:dyDescent="0.2">
      <c r="A1215" s="53" t="s">
        <v>27</v>
      </c>
      <c r="B1215" s="53" t="s">
        <v>33</v>
      </c>
      <c r="C1215" s="53" t="s">
        <v>34</v>
      </c>
      <c r="D1215" s="53" t="s">
        <v>47</v>
      </c>
      <c r="E1215" s="53" t="s">
        <v>25</v>
      </c>
      <c r="F1215" s="53" t="s">
        <v>25</v>
      </c>
      <c r="G1215" s="53" t="s">
        <v>25</v>
      </c>
      <c r="H1215" s="53" t="s">
        <v>35</v>
      </c>
      <c r="I1215" s="73">
        <v>44013</v>
      </c>
      <c r="J1215" s="74">
        <f>EFEITO!$J$1215*EFEITO!$Y$1033</f>
        <v>0</v>
      </c>
      <c r="K1215" s="74">
        <f ca="1">EFEITO!$L$1215*EFEITO!$Z$1033</f>
        <v>1968.7826614296837</v>
      </c>
      <c r="L1215" s="74">
        <f>EFEITO!$N$1215*EFEITO!$AA$1033</f>
        <v>989.19651647489127</v>
      </c>
      <c r="M1215" s="74">
        <f>$J$1215-EFEITO!$K$1215*EFEITO!$Y$1215</f>
        <v>0</v>
      </c>
      <c r="N1215" s="74">
        <f ca="1">$K$1215-EFEITO!$M$1215*EFEITO!$Z$1215</f>
        <v>118.12695968578123</v>
      </c>
      <c r="O1215" s="74">
        <f>$L$1215-EFEITO!$O$1215*EFEITO!$AA$1215</f>
        <v>59.351790988493576</v>
      </c>
      <c r="P1215" s="57"/>
      <c r="Q1215" s="57"/>
      <c r="R1215" s="57"/>
      <c r="S1215" s="57"/>
      <c r="T1215" s="57"/>
      <c r="U1215" s="57"/>
      <c r="V1215" s="57"/>
      <c r="W1215" s="57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</row>
    <row r="1216" spans="1:36" ht="11.25" customHeight="1" x14ac:dyDescent="0.2">
      <c r="A1216" s="53" t="s">
        <v>28</v>
      </c>
      <c r="B1216" s="53" t="s">
        <v>33</v>
      </c>
      <c r="C1216" s="53" t="s">
        <v>34</v>
      </c>
      <c r="D1216" s="53" t="s">
        <v>47</v>
      </c>
      <c r="E1216" s="53" t="s">
        <v>25</v>
      </c>
      <c r="F1216" s="53" t="s">
        <v>25</v>
      </c>
      <c r="G1216" s="53" t="s">
        <v>25</v>
      </c>
      <c r="H1216" s="53" t="s">
        <v>35</v>
      </c>
      <c r="I1216" s="73">
        <v>44013</v>
      </c>
      <c r="J1216" s="74">
        <f>EFEITO!$J$1216*EFEITO!$Y$1033</f>
        <v>0</v>
      </c>
      <c r="K1216" s="74">
        <f ca="1">EFEITO!$L$1216*EFEITO!$Z$1033</f>
        <v>18142.261190379195</v>
      </c>
      <c r="L1216" s="74">
        <f>EFEITO!$N$1216*EFEITO!$AA$1033</f>
        <v>9115.4102085948671</v>
      </c>
      <c r="M1216" s="74">
        <f>$J$1216-EFEITO!$K$1216*EFEITO!$Y$1216</f>
        <v>0</v>
      </c>
      <c r="N1216" s="74">
        <f ca="1">$K$1216-EFEITO!$M$1216*EFEITO!$Z$1216</f>
        <v>1088.5356714227528</v>
      </c>
      <c r="O1216" s="74">
        <f>$L$1216-EFEITO!$O$1216*EFEITO!$AA$1216</f>
        <v>546.92461251569148</v>
      </c>
      <c r="P1216" s="57"/>
      <c r="Q1216" s="57"/>
      <c r="R1216" s="57"/>
      <c r="S1216" s="57"/>
      <c r="T1216" s="57"/>
      <c r="U1216" s="57"/>
      <c r="V1216" s="57"/>
      <c r="W1216" s="57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</row>
    <row r="1217" spans="1:36" ht="11.25" customHeight="1" x14ac:dyDescent="0.2">
      <c r="A1217" s="53" t="s">
        <v>21</v>
      </c>
      <c r="B1217" s="53" t="s">
        <v>33</v>
      </c>
      <c r="C1217" s="53" t="s">
        <v>34</v>
      </c>
      <c r="D1217" s="53" t="s">
        <v>47</v>
      </c>
      <c r="E1217" s="53" t="s">
        <v>25</v>
      </c>
      <c r="F1217" s="53" t="s">
        <v>25</v>
      </c>
      <c r="G1217" s="53" t="s">
        <v>25</v>
      </c>
      <c r="H1217" s="53" t="s">
        <v>35</v>
      </c>
      <c r="I1217" s="73">
        <v>44044</v>
      </c>
      <c r="J1217" s="74">
        <f>EFEITO!$J$1217*EFEITO!$Y$1033</f>
        <v>0</v>
      </c>
      <c r="K1217" s="74">
        <f ca="1">EFEITO!$L$1217*EFEITO!$Z$1033</f>
        <v>118918.80960543694</v>
      </c>
      <c r="L1217" s="74">
        <f>EFEITO!$N$1217*EFEITO!$AA$1033</f>
        <v>59749.648607539013</v>
      </c>
      <c r="M1217" s="74">
        <f>$J$1217-EFEITO!$K$1217*EFEITO!$Y$1217</f>
        <v>0</v>
      </c>
      <c r="N1217" s="74">
        <f ca="1">$K$1217-EFEITO!$M$1217*EFEITO!$Z$1217</f>
        <v>7135.1285763262276</v>
      </c>
      <c r="O1217" s="74">
        <f>$L$1217-EFEITO!$O$1217*EFEITO!$AA$1217</f>
        <v>3584.9789164523463</v>
      </c>
      <c r="P1217" s="57"/>
      <c r="Q1217" s="57"/>
      <c r="R1217" s="57"/>
      <c r="S1217" s="57"/>
      <c r="T1217" s="57"/>
      <c r="U1217" s="57"/>
      <c r="V1217" s="57"/>
      <c r="W1217" s="57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</row>
    <row r="1218" spans="1:36" ht="11.25" customHeight="1" x14ac:dyDescent="0.2">
      <c r="A1218" s="53" t="s">
        <v>27</v>
      </c>
      <c r="B1218" s="53" t="s">
        <v>33</v>
      </c>
      <c r="C1218" s="53" t="s">
        <v>34</v>
      </c>
      <c r="D1218" s="53" t="s">
        <v>47</v>
      </c>
      <c r="E1218" s="53" t="s">
        <v>25</v>
      </c>
      <c r="F1218" s="53" t="s">
        <v>25</v>
      </c>
      <c r="G1218" s="53" t="s">
        <v>25</v>
      </c>
      <c r="H1218" s="53" t="s">
        <v>35</v>
      </c>
      <c r="I1218" s="73">
        <v>44044</v>
      </c>
      <c r="J1218" s="74">
        <f>EFEITO!$J$1218*EFEITO!$Y$1033</f>
        <v>0</v>
      </c>
      <c r="K1218" s="74">
        <f ca="1">EFEITO!$L$1218*EFEITO!$Z$1033</f>
        <v>5783.7196681194855</v>
      </c>
      <c r="L1218" s="74">
        <f>EFEITO!$N$1218*EFEITO!$AA$1033</f>
        <v>2905.9760937840047</v>
      </c>
      <c r="M1218" s="74">
        <f>$J$1218-EFEITO!$K$1218*EFEITO!$Y$1218</f>
        <v>0</v>
      </c>
      <c r="N1218" s="74">
        <f ca="1">$K$1218-EFEITO!$M$1218*EFEITO!$Z$1218</f>
        <v>347.02318008716975</v>
      </c>
      <c r="O1218" s="74">
        <f>$L$1218-EFEITO!$O$1218*EFEITO!$AA$1218</f>
        <v>174.35856562704021</v>
      </c>
      <c r="P1218" s="57"/>
      <c r="Q1218" s="57"/>
      <c r="R1218" s="57"/>
      <c r="S1218" s="57"/>
      <c r="T1218" s="57"/>
      <c r="U1218" s="57"/>
      <c r="V1218" s="57"/>
      <c r="W1218" s="57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</row>
    <row r="1219" spans="1:36" ht="11.25" customHeight="1" x14ac:dyDescent="0.2">
      <c r="A1219" s="53" t="s">
        <v>28</v>
      </c>
      <c r="B1219" s="53" t="s">
        <v>33</v>
      </c>
      <c r="C1219" s="53" t="s">
        <v>34</v>
      </c>
      <c r="D1219" s="53" t="s">
        <v>47</v>
      </c>
      <c r="E1219" s="53" t="s">
        <v>25</v>
      </c>
      <c r="F1219" s="53" t="s">
        <v>25</v>
      </c>
      <c r="G1219" s="53" t="s">
        <v>25</v>
      </c>
      <c r="H1219" s="53" t="s">
        <v>35</v>
      </c>
      <c r="I1219" s="73">
        <v>44044</v>
      </c>
      <c r="J1219" s="74">
        <f>EFEITO!$J$1219*EFEITO!$Y$1033</f>
        <v>0</v>
      </c>
      <c r="K1219" s="74">
        <f ca="1">EFEITO!$L$1219*EFEITO!$Z$1033</f>
        <v>23689.69702978171</v>
      </c>
      <c r="L1219" s="74">
        <f>EFEITO!$N$1219*EFEITO!$AA$1033</f>
        <v>11902.667692729778</v>
      </c>
      <c r="M1219" s="74">
        <f>$J$1219-EFEITO!$K$1219*EFEITO!$Y$1219</f>
        <v>0</v>
      </c>
      <c r="N1219" s="74">
        <f ca="1">$K$1219-EFEITO!$M$1219*EFEITO!$Z$1219</f>
        <v>1421.3818217869048</v>
      </c>
      <c r="O1219" s="74">
        <f>$L$1219-EFEITO!$O$1219*EFEITO!$AA$1219</f>
        <v>714.16006156378717</v>
      </c>
      <c r="P1219" s="57"/>
      <c r="Q1219" s="57"/>
      <c r="R1219" s="57"/>
      <c r="S1219" s="57"/>
      <c r="T1219" s="57"/>
      <c r="U1219" s="57"/>
      <c r="V1219" s="57"/>
      <c r="W1219" s="57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</row>
    <row r="1220" spans="1:36" ht="11.25" customHeight="1" x14ac:dyDescent="0.2">
      <c r="A1220" s="53" t="s">
        <v>59</v>
      </c>
      <c r="B1220" s="53" t="s">
        <v>33</v>
      </c>
      <c r="C1220" s="53" t="s">
        <v>34</v>
      </c>
      <c r="D1220" s="53" t="s">
        <v>47</v>
      </c>
      <c r="E1220" s="53" t="s">
        <v>25</v>
      </c>
      <c r="F1220" s="53" t="s">
        <v>25</v>
      </c>
      <c r="G1220" s="53" t="s">
        <v>25</v>
      </c>
      <c r="H1220" s="53" t="s">
        <v>35</v>
      </c>
      <c r="I1220" s="73">
        <v>44075</v>
      </c>
      <c r="J1220" s="74">
        <f>EFEITO!$J$1220*EFEITO!$Y$1033</f>
        <v>0</v>
      </c>
      <c r="K1220" s="74">
        <f ca="1">EFEITO!$L$1220*EFEITO!$Z$1033</f>
        <v>118918.80960543694</v>
      </c>
      <c r="L1220" s="74">
        <f>EFEITO!$N$1220*EFEITO!$AA$1033</f>
        <v>59749.648607539013</v>
      </c>
      <c r="M1220" s="74">
        <f>$J$1220-EFEITO!$K$1220*EFEITO!$Y$1220</f>
        <v>0</v>
      </c>
      <c r="N1220" s="74">
        <f ca="1">$K$1220-EFEITO!$M$1220*EFEITO!$Z$1220</f>
        <v>7135.1285763262276</v>
      </c>
      <c r="O1220" s="74">
        <f>$L$1220-EFEITO!$O$1220*EFEITO!$AA$1220</f>
        <v>3584.9789164523463</v>
      </c>
      <c r="P1220" s="57"/>
      <c r="Q1220" s="57"/>
      <c r="R1220" s="57"/>
      <c r="S1220" s="57"/>
      <c r="T1220" s="57"/>
      <c r="U1220" s="57"/>
      <c r="V1220" s="57"/>
      <c r="W1220" s="57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</row>
    <row r="1221" spans="1:36" ht="11.25" customHeight="1" x14ac:dyDescent="0.2">
      <c r="A1221" s="53" t="s">
        <v>59</v>
      </c>
      <c r="B1221" s="53" t="s">
        <v>33</v>
      </c>
      <c r="C1221" s="53" t="s">
        <v>34</v>
      </c>
      <c r="D1221" s="53" t="s">
        <v>47</v>
      </c>
      <c r="E1221" s="53" t="s">
        <v>25</v>
      </c>
      <c r="F1221" s="53" t="s">
        <v>25</v>
      </c>
      <c r="G1221" s="53" t="s">
        <v>25</v>
      </c>
      <c r="H1221" s="53" t="s">
        <v>35</v>
      </c>
      <c r="I1221" s="73">
        <v>44075</v>
      </c>
      <c r="J1221" s="74">
        <f>EFEITO!$J$1221*EFEITO!$Y$1033</f>
        <v>0</v>
      </c>
      <c r="K1221" s="74">
        <f ca="1">EFEITO!$L$1221*EFEITO!$Z$1033</f>
        <v>5783.7196681194855</v>
      </c>
      <c r="L1221" s="74">
        <f>EFEITO!$N$1221*EFEITO!$AA$1033</f>
        <v>2905.9760937840047</v>
      </c>
      <c r="M1221" s="74">
        <f>$J$1221-EFEITO!$K$1221*EFEITO!$Y$1221</f>
        <v>0</v>
      </c>
      <c r="N1221" s="74">
        <f ca="1">$K$1221-EFEITO!$M$1221*EFEITO!$Z$1221</f>
        <v>347.02318008716975</v>
      </c>
      <c r="O1221" s="74">
        <f>$L$1221-EFEITO!$O$1221*EFEITO!$AA$1221</f>
        <v>174.35856562704021</v>
      </c>
      <c r="P1221" s="57"/>
      <c r="Q1221" s="57"/>
      <c r="R1221" s="57"/>
      <c r="S1221" s="57"/>
      <c r="T1221" s="57"/>
      <c r="U1221" s="57"/>
      <c r="V1221" s="57"/>
      <c r="W1221" s="57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</row>
    <row r="1222" spans="1:36" ht="11.25" customHeight="1" x14ac:dyDescent="0.2">
      <c r="A1222" s="53" t="s">
        <v>59</v>
      </c>
      <c r="B1222" s="53" t="s">
        <v>33</v>
      </c>
      <c r="C1222" s="53" t="s">
        <v>34</v>
      </c>
      <c r="D1222" s="53" t="s">
        <v>47</v>
      </c>
      <c r="E1222" s="53" t="s">
        <v>25</v>
      </c>
      <c r="F1222" s="53" t="s">
        <v>25</v>
      </c>
      <c r="G1222" s="53" t="s">
        <v>25</v>
      </c>
      <c r="H1222" s="53" t="s">
        <v>35</v>
      </c>
      <c r="I1222" s="73">
        <v>44075</v>
      </c>
      <c r="J1222" s="74">
        <f>EFEITO!$J$1222*EFEITO!$Y$1033</f>
        <v>0</v>
      </c>
      <c r="K1222" s="74">
        <f ca="1">EFEITO!$L$1222*EFEITO!$Z$1033</f>
        <v>23689.69702978171</v>
      </c>
      <c r="L1222" s="74">
        <f>EFEITO!$N$1222*EFEITO!$AA$1033</f>
        <v>11902.667692729778</v>
      </c>
      <c r="M1222" s="74">
        <f>$J$1222-EFEITO!$K$1222*EFEITO!$Y$1222</f>
        <v>0</v>
      </c>
      <c r="N1222" s="74">
        <f ca="1">$K$1222-EFEITO!$M$1222*EFEITO!$Z$1222</f>
        <v>1421.3818217869048</v>
      </c>
      <c r="O1222" s="74">
        <f>$L$1222-EFEITO!$O$1222*EFEITO!$AA$1222</f>
        <v>714.16006156378717</v>
      </c>
      <c r="P1222" s="57"/>
      <c r="Q1222" s="57"/>
      <c r="R1222" s="57"/>
      <c r="S1222" s="57"/>
      <c r="T1222" s="57"/>
      <c r="U1222" s="57"/>
      <c r="V1222" s="57"/>
      <c r="W1222" s="57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</row>
    <row r="1223" spans="1:36" ht="11.25" customHeight="1" x14ac:dyDescent="0.2">
      <c r="A1223" s="53" t="s">
        <v>21</v>
      </c>
      <c r="B1223" s="53" t="s">
        <v>33</v>
      </c>
      <c r="C1223" s="53" t="s">
        <v>34</v>
      </c>
      <c r="D1223" s="53" t="s">
        <v>52</v>
      </c>
      <c r="E1223" s="53" t="s">
        <v>53</v>
      </c>
      <c r="F1223" s="53" t="s">
        <v>25</v>
      </c>
      <c r="G1223" s="53" t="s">
        <v>25</v>
      </c>
      <c r="H1223" s="53" t="s">
        <v>36</v>
      </c>
      <c r="I1223" s="73">
        <v>43739</v>
      </c>
      <c r="J1223" s="74">
        <f>EFEITO!$J$1223*EFEITO!$Y$966</f>
        <v>0</v>
      </c>
      <c r="K1223" s="74">
        <f ca="1">EFEITO!$L$1223*EFEITO!$Z$966</f>
        <v>468643.86588663771</v>
      </c>
      <c r="L1223" s="74">
        <f>EFEITO!$N$1223*EFEITO!$AA$966</f>
        <v>1236058.3286636064</v>
      </c>
      <c r="M1223" s="74">
        <f>$J$1223-EFEITO!$K$1223*EFEITO!$Y$1223</f>
        <v>0</v>
      </c>
      <c r="N1223" s="74">
        <f ca="1">$K$1223-EFEITO!$M$1223*EFEITO!$Z$1223</f>
        <v>42177.947929797345</v>
      </c>
      <c r="O1223" s="74">
        <f>$L$1223-EFEITO!$O$1223*EFEITO!$AA$1223</f>
        <v>111245.24957972439</v>
      </c>
      <c r="P1223" s="57"/>
      <c r="Q1223" s="57"/>
      <c r="R1223" s="57"/>
      <c r="S1223" s="57"/>
      <c r="T1223" s="57"/>
      <c r="U1223" s="57"/>
      <c r="V1223" s="57"/>
      <c r="W1223" s="57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</row>
    <row r="1224" spans="1:36" ht="11.25" customHeight="1" x14ac:dyDescent="0.2">
      <c r="A1224" s="53" t="s">
        <v>21</v>
      </c>
      <c r="B1224" s="53" t="s">
        <v>33</v>
      </c>
      <c r="C1224" s="53" t="s">
        <v>34</v>
      </c>
      <c r="D1224" s="53" t="s">
        <v>52</v>
      </c>
      <c r="E1224" s="53" t="s">
        <v>53</v>
      </c>
      <c r="F1224" s="53" t="s">
        <v>25</v>
      </c>
      <c r="G1224" s="53" t="s">
        <v>25</v>
      </c>
      <c r="H1224" s="53" t="s">
        <v>36</v>
      </c>
      <c r="I1224" s="73">
        <v>43770</v>
      </c>
      <c r="J1224" s="74">
        <f>EFEITO!$J$1224*EFEITO!$Y$966</f>
        <v>0</v>
      </c>
      <c r="K1224" s="74">
        <f ca="1">EFEITO!$L$1224*EFEITO!$Z$966</f>
        <v>465264.74332115927</v>
      </c>
      <c r="L1224" s="74">
        <f>EFEITO!$N$1224*EFEITO!$AA$966</f>
        <v>1227145.819838312</v>
      </c>
      <c r="M1224" s="74">
        <f>$J$1224-EFEITO!$K$1224*EFEITO!$Y$1224</f>
        <v>0</v>
      </c>
      <c r="N1224" s="74">
        <f ca="1">$K$1224-EFEITO!$M$1224*EFEITO!$Z$1224</f>
        <v>41873.826898904284</v>
      </c>
      <c r="O1224" s="74">
        <f>$L$1224-EFEITO!$O$1224*EFEITO!$AA$1224</f>
        <v>110443.12378544803</v>
      </c>
      <c r="P1224" s="57"/>
      <c r="Q1224" s="57"/>
      <c r="R1224" s="57"/>
      <c r="S1224" s="57"/>
      <c r="T1224" s="57"/>
      <c r="U1224" s="57"/>
      <c r="V1224" s="57"/>
      <c r="W1224" s="57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</row>
    <row r="1225" spans="1:36" ht="11.25" customHeight="1" x14ac:dyDescent="0.2">
      <c r="A1225" s="53" t="s">
        <v>21</v>
      </c>
      <c r="B1225" s="53" t="s">
        <v>33</v>
      </c>
      <c r="C1225" s="53" t="s">
        <v>34</v>
      </c>
      <c r="D1225" s="53" t="s">
        <v>52</v>
      </c>
      <c r="E1225" s="53" t="s">
        <v>53</v>
      </c>
      <c r="F1225" s="53" t="s">
        <v>25</v>
      </c>
      <c r="G1225" s="53" t="s">
        <v>25</v>
      </c>
      <c r="H1225" s="53" t="s">
        <v>36</v>
      </c>
      <c r="I1225" s="73">
        <v>43800</v>
      </c>
      <c r="J1225" s="74">
        <f>EFEITO!$J$1225*EFEITO!$Y$966</f>
        <v>0</v>
      </c>
      <c r="K1225" s="74">
        <f ca="1">EFEITO!$L$1225*EFEITO!$Z$966</f>
        <v>414814.81975182192</v>
      </c>
      <c r="L1225" s="74">
        <f>EFEITO!$N$1225*EFEITO!$AA$966</f>
        <v>1094083.0556637649</v>
      </c>
      <c r="M1225" s="74">
        <f>$J$1225-EFEITO!$K$1225*EFEITO!$Y$1225</f>
        <v>0</v>
      </c>
      <c r="N1225" s="74">
        <f ca="1">$K$1225-EFEITO!$M$1225*EFEITO!$Z$1225</f>
        <v>37333.333777663938</v>
      </c>
      <c r="O1225" s="74">
        <f>$L$1225-EFEITO!$O$1225*EFEITO!$AA$1225</f>
        <v>98467.475009738817</v>
      </c>
      <c r="P1225" s="57"/>
      <c r="Q1225" s="57"/>
      <c r="R1225" s="57"/>
      <c r="S1225" s="57"/>
      <c r="T1225" s="57"/>
      <c r="U1225" s="57"/>
      <c r="V1225" s="57"/>
      <c r="W1225" s="57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</row>
    <row r="1226" spans="1:36" ht="11.25" customHeight="1" x14ac:dyDescent="0.2">
      <c r="A1226" s="53" t="s">
        <v>21</v>
      </c>
      <c r="B1226" s="53" t="s">
        <v>33</v>
      </c>
      <c r="C1226" s="53" t="s">
        <v>34</v>
      </c>
      <c r="D1226" s="53" t="s">
        <v>52</v>
      </c>
      <c r="E1226" s="53" t="s">
        <v>53</v>
      </c>
      <c r="F1226" s="53" t="s">
        <v>25</v>
      </c>
      <c r="G1226" s="53" t="s">
        <v>25</v>
      </c>
      <c r="H1226" s="53" t="s">
        <v>36</v>
      </c>
      <c r="I1226" s="73">
        <v>43831</v>
      </c>
      <c r="J1226" s="74">
        <f>EFEITO!$J$1226*EFEITO!$Y$966</f>
        <v>0</v>
      </c>
      <c r="K1226" s="74">
        <f ca="1">EFEITO!$L$1226*EFEITO!$Z$966</f>
        <v>474803.91617856215</v>
      </c>
      <c r="L1226" s="74">
        <f>EFEITO!$N$1226*EFEITO!$AA$966</f>
        <v>1252305.5944928827</v>
      </c>
      <c r="M1226" s="74">
        <f>$J$1226-EFEITO!$K$1226*EFEITO!$Y$1226</f>
        <v>0</v>
      </c>
      <c r="N1226" s="74">
        <f ca="1">$K$1226-EFEITO!$M$1226*EFEITO!$Z$1226</f>
        <v>42732.352456070541</v>
      </c>
      <c r="O1226" s="74">
        <f>$L$1226-EFEITO!$O$1226*EFEITO!$AA$1226</f>
        <v>112707.50350435916</v>
      </c>
      <c r="P1226" s="57"/>
      <c r="Q1226" s="57"/>
      <c r="R1226" s="57"/>
      <c r="S1226" s="57"/>
      <c r="T1226" s="57"/>
      <c r="U1226" s="57"/>
      <c r="V1226" s="57"/>
      <c r="W1226" s="57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</row>
    <row r="1227" spans="1:36" ht="11.25" customHeight="1" x14ac:dyDescent="0.2">
      <c r="A1227" s="53" t="s">
        <v>21</v>
      </c>
      <c r="B1227" s="53" t="s">
        <v>33</v>
      </c>
      <c r="C1227" s="53" t="s">
        <v>34</v>
      </c>
      <c r="D1227" s="53" t="s">
        <v>52</v>
      </c>
      <c r="E1227" s="53" t="s">
        <v>53</v>
      </c>
      <c r="F1227" s="53" t="s">
        <v>25</v>
      </c>
      <c r="G1227" s="53" t="s">
        <v>25</v>
      </c>
      <c r="H1227" s="53" t="s">
        <v>36</v>
      </c>
      <c r="I1227" s="73">
        <v>43862</v>
      </c>
      <c r="J1227" s="74">
        <f>EFEITO!$J$1227*EFEITO!$Y$966</f>
        <v>0</v>
      </c>
      <c r="K1227" s="74">
        <f ca="1">EFEITO!$L$1227*EFEITO!$Z$966</f>
        <v>483934.28609622538</v>
      </c>
      <c r="L1227" s="74">
        <f>EFEITO!$N$1227*EFEITO!$AA$966</f>
        <v>1276387.1425553025</v>
      </c>
      <c r="M1227" s="74">
        <f>$J$1227-EFEITO!$K$1227*EFEITO!$Y$1227</f>
        <v>0</v>
      </c>
      <c r="N1227" s="74">
        <f ca="1">$K$1227-EFEITO!$M$1227*EFEITO!$Z$1227</f>
        <v>43554.085748660262</v>
      </c>
      <c r="O1227" s="74">
        <f>$L$1227-EFEITO!$O$1227*EFEITO!$AA$1227</f>
        <v>114874.84282997716</v>
      </c>
      <c r="P1227" s="57"/>
      <c r="Q1227" s="57"/>
      <c r="R1227" s="57"/>
      <c r="S1227" s="57"/>
      <c r="T1227" s="57"/>
      <c r="U1227" s="57"/>
      <c r="V1227" s="57"/>
      <c r="W1227" s="57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</row>
    <row r="1228" spans="1:36" ht="11.25" customHeight="1" x14ac:dyDescent="0.2">
      <c r="A1228" s="53" t="s">
        <v>21</v>
      </c>
      <c r="B1228" s="53" t="s">
        <v>33</v>
      </c>
      <c r="C1228" s="53" t="s">
        <v>34</v>
      </c>
      <c r="D1228" s="53" t="s">
        <v>52</v>
      </c>
      <c r="E1228" s="53" t="s">
        <v>53</v>
      </c>
      <c r="F1228" s="53" t="s">
        <v>25</v>
      </c>
      <c r="G1228" s="53" t="s">
        <v>25</v>
      </c>
      <c r="H1228" s="53" t="s">
        <v>36</v>
      </c>
      <c r="I1228" s="73">
        <v>43891</v>
      </c>
      <c r="J1228" s="74">
        <f>EFEITO!$J$1228*EFEITO!$Y$966</f>
        <v>0</v>
      </c>
      <c r="K1228" s="74">
        <f ca="1">EFEITO!$L$1228*EFEITO!$Z$966</f>
        <v>451442.19785045285</v>
      </c>
      <c r="L1228" s="74">
        <f>EFEITO!$N$1228*EFEITO!$AA$966</f>
        <v>1190688.5573068294</v>
      </c>
      <c r="M1228" s="74">
        <f>$J$1228-EFEITO!$K$1228*EFEITO!$Y$1228</f>
        <v>0</v>
      </c>
      <c r="N1228" s="74">
        <f ca="1">$K$1228-EFEITO!$M$1228*EFEITO!$Z$1228</f>
        <v>40629.797806540737</v>
      </c>
      <c r="O1228" s="74">
        <f>$L$1228-EFEITO!$O$1228*EFEITO!$AA$1228</f>
        <v>107161.97015761444</v>
      </c>
      <c r="P1228" s="57"/>
      <c r="Q1228" s="57"/>
      <c r="R1228" s="57"/>
      <c r="S1228" s="57"/>
      <c r="T1228" s="57"/>
      <c r="U1228" s="57"/>
      <c r="V1228" s="57"/>
      <c r="W1228" s="57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</row>
    <row r="1229" spans="1:36" ht="11.25" customHeight="1" x14ac:dyDescent="0.2">
      <c r="A1229" s="53" t="s">
        <v>21</v>
      </c>
      <c r="B1229" s="53" t="s">
        <v>33</v>
      </c>
      <c r="C1229" s="53" t="s">
        <v>34</v>
      </c>
      <c r="D1229" s="53" t="s">
        <v>52</v>
      </c>
      <c r="E1229" s="53" t="s">
        <v>53</v>
      </c>
      <c r="F1229" s="53" t="s">
        <v>25</v>
      </c>
      <c r="G1229" s="53" t="s">
        <v>25</v>
      </c>
      <c r="H1229" s="53" t="s">
        <v>36</v>
      </c>
      <c r="I1229" s="73">
        <v>43922</v>
      </c>
      <c r="J1229" s="74">
        <f>EFEITO!$J$1229*EFEITO!$Y$966</f>
        <v>0</v>
      </c>
      <c r="K1229" s="74">
        <f ca="1">EFEITO!$L$1229*EFEITO!$Z$966</f>
        <v>458285.51180124003</v>
      </c>
      <c r="L1229" s="74">
        <f>EFEITO!$N$1229*EFEITO!$AA$966</f>
        <v>1208737.9458089643</v>
      </c>
      <c r="M1229" s="74">
        <f>$J$1229-EFEITO!$K$1229*EFEITO!$Y$1229</f>
        <v>0</v>
      </c>
      <c r="N1229" s="74">
        <f ca="1">$K$1229-EFEITO!$M$1229*EFEITO!$Z$1229</f>
        <v>41245.696062111587</v>
      </c>
      <c r="O1229" s="74">
        <f>$L$1229-EFEITO!$O$1229*EFEITO!$AA$1229</f>
        <v>108786.41512280656</v>
      </c>
      <c r="P1229" s="57"/>
      <c r="Q1229" s="57"/>
      <c r="R1229" s="57"/>
      <c r="S1229" s="57"/>
      <c r="T1229" s="57"/>
      <c r="U1229" s="57"/>
      <c r="V1229" s="57"/>
      <c r="W1229" s="57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</row>
    <row r="1230" spans="1:36" ht="11.25" customHeight="1" x14ac:dyDescent="0.2">
      <c r="A1230" s="53" t="s">
        <v>21</v>
      </c>
      <c r="B1230" s="53" t="s">
        <v>33</v>
      </c>
      <c r="C1230" s="53" t="s">
        <v>34</v>
      </c>
      <c r="D1230" s="53" t="s">
        <v>52</v>
      </c>
      <c r="E1230" s="53" t="s">
        <v>53</v>
      </c>
      <c r="F1230" s="53" t="s">
        <v>25</v>
      </c>
      <c r="G1230" s="53" t="s">
        <v>25</v>
      </c>
      <c r="H1230" s="53" t="s">
        <v>36</v>
      </c>
      <c r="I1230" s="73">
        <v>43952</v>
      </c>
      <c r="J1230" s="74">
        <f>EFEITO!$J$1230*EFEITO!$Y$966</f>
        <v>0</v>
      </c>
      <c r="K1230" s="74">
        <f ca="1">EFEITO!$L$1230*EFEITO!$Z$966</f>
        <v>424168.6266005825</v>
      </c>
      <c r="L1230" s="74">
        <f>EFEITO!$N$1230*EFEITO!$AA$966</f>
        <v>1118753.9234628067</v>
      </c>
      <c r="M1230" s="74">
        <f>$J$1230-EFEITO!$K$1230*EFEITO!$Y$1230</f>
        <v>0</v>
      </c>
      <c r="N1230" s="74">
        <f ca="1">$K$1230-EFEITO!$M$1230*EFEITO!$Z$1230</f>
        <v>38175.176394052396</v>
      </c>
      <c r="O1230" s="74">
        <f>$L$1230-EFEITO!$O$1230*EFEITO!$AA$1230</f>
        <v>100687.85311165242</v>
      </c>
      <c r="P1230" s="57"/>
      <c r="Q1230" s="57"/>
      <c r="R1230" s="57"/>
      <c r="S1230" s="57"/>
      <c r="T1230" s="57"/>
      <c r="U1230" s="57"/>
      <c r="V1230" s="57"/>
      <c r="W1230" s="57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</row>
    <row r="1231" spans="1:36" ht="11.25" customHeight="1" x14ac:dyDescent="0.2">
      <c r="A1231" s="53" t="s">
        <v>21</v>
      </c>
      <c r="B1231" s="53" t="s">
        <v>33</v>
      </c>
      <c r="C1231" s="53" t="s">
        <v>34</v>
      </c>
      <c r="D1231" s="53" t="s">
        <v>52</v>
      </c>
      <c r="E1231" s="53" t="s">
        <v>53</v>
      </c>
      <c r="F1231" s="53" t="s">
        <v>25</v>
      </c>
      <c r="G1231" s="53" t="s">
        <v>25</v>
      </c>
      <c r="H1231" s="53" t="s">
        <v>36</v>
      </c>
      <c r="I1231" s="73">
        <v>43983</v>
      </c>
      <c r="J1231" s="74">
        <f>EFEITO!$J$1231*EFEITO!$Y$966</f>
        <v>0</v>
      </c>
      <c r="K1231" s="74">
        <f ca="1">EFEITO!$L$1231*EFEITO!$Z$966</f>
        <v>420775.06334037968</v>
      </c>
      <c r="L1231" s="74">
        <f>EFEITO!$N$1231*EFEITO!$AA$966</f>
        <v>1109803.3269929595</v>
      </c>
      <c r="M1231" s="74">
        <f>$J$1231-EFEITO!$K$1231*EFEITO!$Y$1231</f>
        <v>0</v>
      </c>
      <c r="N1231" s="74">
        <f ca="1">$K$1231-EFEITO!$M$1231*EFEITO!$Z$1231</f>
        <v>37869.755700634152</v>
      </c>
      <c r="O1231" s="74">
        <f>$L$1231-EFEITO!$O$1231*EFEITO!$AA$1231</f>
        <v>99882.299429366132</v>
      </c>
      <c r="P1231" s="57"/>
      <c r="Q1231" s="57"/>
      <c r="R1231" s="57"/>
      <c r="S1231" s="57"/>
      <c r="T1231" s="57"/>
      <c r="U1231" s="57"/>
      <c r="V1231" s="57"/>
      <c r="W1231" s="57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</row>
    <row r="1232" spans="1:36" ht="11.25" customHeight="1" x14ac:dyDescent="0.2">
      <c r="A1232" s="53" t="s">
        <v>21</v>
      </c>
      <c r="B1232" s="53" t="s">
        <v>33</v>
      </c>
      <c r="C1232" s="53" t="s">
        <v>34</v>
      </c>
      <c r="D1232" s="53" t="s">
        <v>52</v>
      </c>
      <c r="E1232" s="53" t="s">
        <v>53</v>
      </c>
      <c r="F1232" s="53" t="s">
        <v>25</v>
      </c>
      <c r="G1232" s="53" t="s">
        <v>25</v>
      </c>
      <c r="H1232" s="53" t="s">
        <v>36</v>
      </c>
      <c r="I1232" s="73">
        <v>44013</v>
      </c>
      <c r="J1232" s="74">
        <f>EFEITO!$J$1232*EFEITO!$Y$966</f>
        <v>0</v>
      </c>
      <c r="K1232" s="74">
        <f ca="1">EFEITO!$L$1232*EFEITO!$Z$966</f>
        <v>407158.10085092968</v>
      </c>
      <c r="L1232" s="74">
        <f>EFEITO!$N$1232*EFEITO!$AA$966</f>
        <v>1073888.2940193794</v>
      </c>
      <c r="M1232" s="74">
        <f>$J$1232-EFEITO!$K$1232*EFEITO!$Y$1232</f>
        <v>0</v>
      </c>
      <c r="N1232" s="74">
        <f ca="1">$K$1232-EFEITO!$M$1232*EFEITO!$Z$1232</f>
        <v>36644.229076583637</v>
      </c>
      <c r="O1232" s="74">
        <f>$L$1232-EFEITO!$O$1232*EFEITO!$AA$1232</f>
        <v>96649.946461743908</v>
      </c>
      <c r="P1232" s="57"/>
      <c r="Q1232" s="57"/>
      <c r="R1232" s="57"/>
      <c r="S1232" s="57"/>
      <c r="T1232" s="57"/>
      <c r="U1232" s="57"/>
      <c r="V1232" s="57"/>
      <c r="W1232" s="57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</row>
    <row r="1233" spans="1:36" ht="11.25" customHeight="1" x14ac:dyDescent="0.2">
      <c r="A1233" s="53" t="s">
        <v>21</v>
      </c>
      <c r="B1233" s="53" t="s">
        <v>33</v>
      </c>
      <c r="C1233" s="53" t="s">
        <v>34</v>
      </c>
      <c r="D1233" s="53" t="s">
        <v>52</v>
      </c>
      <c r="E1233" s="53" t="s">
        <v>53</v>
      </c>
      <c r="F1233" s="53" t="s">
        <v>25</v>
      </c>
      <c r="G1233" s="53" t="s">
        <v>25</v>
      </c>
      <c r="H1233" s="53" t="s">
        <v>36</v>
      </c>
      <c r="I1233" s="73">
        <v>44044</v>
      </c>
      <c r="J1233" s="74">
        <f>EFEITO!$J$1233*EFEITO!$Y$966</f>
        <v>0</v>
      </c>
      <c r="K1233" s="74">
        <f ca="1">EFEITO!$L$1233*EFEITO!$Z$966</f>
        <v>427555.45086991385</v>
      </c>
      <c r="L1233" s="74">
        <f>EFEITO!$N$1233*EFEITO!$AA$966</f>
        <v>1127686.7456985293</v>
      </c>
      <c r="M1233" s="74">
        <f>$J$1233-EFEITO!$K$1233*EFEITO!$Y$1233</f>
        <v>0</v>
      </c>
      <c r="N1233" s="74">
        <f ca="1">$K$1233-EFEITO!$M$1233*EFEITO!$Z$1233</f>
        <v>38479.990578292229</v>
      </c>
      <c r="O1233" s="74">
        <f>$L$1233-EFEITO!$O$1233*EFEITO!$AA$1233</f>
        <v>101491.80711286759</v>
      </c>
      <c r="P1233" s="57"/>
      <c r="Q1233" s="57"/>
      <c r="R1233" s="57"/>
      <c r="S1233" s="57"/>
      <c r="T1233" s="57"/>
      <c r="U1233" s="57"/>
      <c r="V1233" s="57"/>
      <c r="W1233" s="57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</row>
    <row r="1234" spans="1:36" ht="11.25" customHeight="1" x14ac:dyDescent="0.2">
      <c r="A1234" s="53" t="s">
        <v>59</v>
      </c>
      <c r="B1234" s="53" t="s">
        <v>33</v>
      </c>
      <c r="C1234" s="53" t="s">
        <v>34</v>
      </c>
      <c r="D1234" s="53" t="s">
        <v>52</v>
      </c>
      <c r="E1234" s="53" t="s">
        <v>53</v>
      </c>
      <c r="F1234" s="53" t="s">
        <v>25</v>
      </c>
      <c r="G1234" s="53" t="s">
        <v>25</v>
      </c>
      <c r="H1234" s="53" t="s">
        <v>36</v>
      </c>
      <c r="I1234" s="73">
        <v>44075</v>
      </c>
      <c r="J1234" s="74">
        <f>EFEITO!$J$1234*EFEITO!$Y$966</f>
        <v>0</v>
      </c>
      <c r="K1234" s="74">
        <f ca="1">EFEITO!$L$1234*EFEITO!$Z$966</f>
        <v>427555.45086991385</v>
      </c>
      <c r="L1234" s="74">
        <f>EFEITO!$N$1234*EFEITO!$AA$966</f>
        <v>1127686.7456985293</v>
      </c>
      <c r="M1234" s="74">
        <f>$J$1234-EFEITO!$K$1234*EFEITO!$Y$1234</f>
        <v>0</v>
      </c>
      <c r="N1234" s="74">
        <f ca="1">$K$1234-EFEITO!$M$1234*EFEITO!$Z$1234</f>
        <v>38479.990578292229</v>
      </c>
      <c r="O1234" s="74">
        <f>$L$1234-EFEITO!$O$1234*EFEITO!$AA$1234</f>
        <v>101491.80711286759</v>
      </c>
      <c r="P1234" s="57"/>
      <c r="Q1234" s="57"/>
      <c r="R1234" s="57"/>
      <c r="S1234" s="57"/>
      <c r="T1234" s="57"/>
      <c r="U1234" s="57"/>
      <c r="V1234" s="57"/>
      <c r="W1234" s="57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</row>
    <row r="1235" spans="1:36" ht="11.25" customHeight="1" x14ac:dyDescent="0.2">
      <c r="A1235" s="53" t="s">
        <v>21</v>
      </c>
      <c r="B1235" s="53" t="s">
        <v>33</v>
      </c>
      <c r="C1235" s="53" t="s">
        <v>34</v>
      </c>
      <c r="D1235" s="53" t="s">
        <v>52</v>
      </c>
      <c r="E1235" s="53" t="s">
        <v>53</v>
      </c>
      <c r="F1235" s="53" t="s">
        <v>25</v>
      </c>
      <c r="G1235" s="53" t="s">
        <v>25</v>
      </c>
      <c r="H1235" s="53" t="s">
        <v>25</v>
      </c>
      <c r="I1235" s="73">
        <v>43739</v>
      </c>
      <c r="J1235" s="74">
        <f ca="1">EFEITO!$J$1235*EFEITO!$Y$1000</f>
        <v>196980.53435683495</v>
      </c>
      <c r="K1235" s="74">
        <f>EFEITO!$L$1235*EFEITO!$Z$1000</f>
        <v>0</v>
      </c>
      <c r="L1235" s="74">
        <f>EFEITO!$N$1235*EFEITO!$AA$1000</f>
        <v>0</v>
      </c>
      <c r="M1235" s="74">
        <f ca="1">$J$1235-EFEITO!$K$1235*EFEITO!$Y$1235</f>
        <v>17728.248092115129</v>
      </c>
      <c r="N1235" s="74">
        <f>$K$1235-EFEITO!$M$1235*EFEITO!$Z$1235</f>
        <v>0</v>
      </c>
      <c r="O1235" s="74">
        <f>$L$1235-EFEITO!$O$1235*EFEITO!$AA$1235</f>
        <v>0</v>
      </c>
      <c r="P1235" s="57"/>
      <c r="Q1235" s="57"/>
      <c r="R1235" s="57"/>
      <c r="S1235" s="57"/>
      <c r="T1235" s="57"/>
      <c r="U1235" s="57"/>
      <c r="V1235" s="57"/>
      <c r="W1235" s="57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</row>
    <row r="1236" spans="1:36" ht="11.25" customHeight="1" x14ac:dyDescent="0.2">
      <c r="A1236" s="53" t="s">
        <v>21</v>
      </c>
      <c r="B1236" s="53" t="s">
        <v>33</v>
      </c>
      <c r="C1236" s="53" t="s">
        <v>34</v>
      </c>
      <c r="D1236" s="53" t="s">
        <v>52</v>
      </c>
      <c r="E1236" s="53" t="s">
        <v>53</v>
      </c>
      <c r="F1236" s="53" t="s">
        <v>25</v>
      </c>
      <c r="G1236" s="53" t="s">
        <v>25</v>
      </c>
      <c r="H1236" s="53" t="s">
        <v>25</v>
      </c>
      <c r="I1236" s="73">
        <v>43770</v>
      </c>
      <c r="J1236" s="74">
        <f ca="1">EFEITO!$J$1236*EFEITO!$Y$1000</f>
        <v>199019.05384029524</v>
      </c>
      <c r="K1236" s="74">
        <f>EFEITO!$L$1236*EFEITO!$Z$1000</f>
        <v>0</v>
      </c>
      <c r="L1236" s="74">
        <f>EFEITO!$N$1236*EFEITO!$AA$1000</f>
        <v>0</v>
      </c>
      <c r="M1236" s="74">
        <f ca="1">$J$1236-EFEITO!$K$1236*EFEITO!$Y$1236</f>
        <v>17911.714845626586</v>
      </c>
      <c r="N1236" s="74">
        <f>$K$1236-EFEITO!$M$1236*EFEITO!$Z$1236</f>
        <v>0</v>
      </c>
      <c r="O1236" s="74">
        <f>$L$1236-EFEITO!$O$1236*EFEITO!$AA$1236</f>
        <v>0</v>
      </c>
      <c r="P1236" s="57"/>
      <c r="Q1236" s="57"/>
      <c r="R1236" s="57"/>
      <c r="S1236" s="57"/>
      <c r="T1236" s="57"/>
      <c r="U1236" s="57"/>
      <c r="V1236" s="57"/>
      <c r="W1236" s="57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</row>
    <row r="1237" spans="1:36" ht="11.25" customHeight="1" x14ac:dyDescent="0.2">
      <c r="A1237" s="53" t="s">
        <v>21</v>
      </c>
      <c r="B1237" s="53" t="s">
        <v>33</v>
      </c>
      <c r="C1237" s="53" t="s">
        <v>34</v>
      </c>
      <c r="D1237" s="53" t="s">
        <v>52</v>
      </c>
      <c r="E1237" s="53" t="s">
        <v>53</v>
      </c>
      <c r="F1237" s="53" t="s">
        <v>25</v>
      </c>
      <c r="G1237" s="53" t="s">
        <v>25</v>
      </c>
      <c r="H1237" s="53" t="s">
        <v>25</v>
      </c>
      <c r="I1237" s="73">
        <v>43800</v>
      </c>
      <c r="J1237" s="74">
        <f ca="1">EFEITO!$J$1237*EFEITO!$Y$1000</f>
        <v>199500.05281953866</v>
      </c>
      <c r="K1237" s="74">
        <f>EFEITO!$L$1237*EFEITO!$Z$1000</f>
        <v>0</v>
      </c>
      <c r="L1237" s="74">
        <f>EFEITO!$N$1237*EFEITO!$AA$1000</f>
        <v>0</v>
      </c>
      <c r="M1237" s="74">
        <f ca="1">$J$1237-EFEITO!$K$1237*EFEITO!$Y$1237</f>
        <v>17955.004753758461</v>
      </c>
      <c r="N1237" s="74">
        <f>$K$1237-EFEITO!$M$1237*EFEITO!$Z$1237</f>
        <v>0</v>
      </c>
      <c r="O1237" s="74">
        <f>$L$1237-EFEITO!$O$1237*EFEITO!$AA$1237</f>
        <v>0</v>
      </c>
      <c r="P1237" s="57"/>
      <c r="Q1237" s="57"/>
      <c r="R1237" s="57"/>
      <c r="S1237" s="57"/>
      <c r="T1237" s="57"/>
      <c r="U1237" s="57"/>
      <c r="V1237" s="57"/>
      <c r="W1237" s="57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</row>
    <row r="1238" spans="1:36" ht="11.25" customHeight="1" x14ac:dyDescent="0.2">
      <c r="A1238" s="53" t="s">
        <v>21</v>
      </c>
      <c r="B1238" s="53" t="s">
        <v>33</v>
      </c>
      <c r="C1238" s="53" t="s">
        <v>34</v>
      </c>
      <c r="D1238" s="53" t="s">
        <v>52</v>
      </c>
      <c r="E1238" s="53" t="s">
        <v>53</v>
      </c>
      <c r="F1238" s="53" t="s">
        <v>25</v>
      </c>
      <c r="G1238" s="53" t="s">
        <v>25</v>
      </c>
      <c r="H1238" s="53" t="s">
        <v>25</v>
      </c>
      <c r="I1238" s="73">
        <v>43831</v>
      </c>
      <c r="J1238" s="74">
        <f ca="1">EFEITO!$J$1238*EFEITO!$Y$1000</f>
        <v>197770.74696559203</v>
      </c>
      <c r="K1238" s="74">
        <f>EFEITO!$L$1238*EFEITO!$Z$1000</f>
        <v>0</v>
      </c>
      <c r="L1238" s="74">
        <f>EFEITO!$N$1238*EFEITO!$AA$1000</f>
        <v>0</v>
      </c>
      <c r="M1238" s="74">
        <f ca="1">$J$1238-EFEITO!$K$1238*EFEITO!$Y$1238</f>
        <v>17799.367226903269</v>
      </c>
      <c r="N1238" s="74">
        <f>$K$1238-EFEITO!$M$1238*EFEITO!$Z$1238</f>
        <v>0</v>
      </c>
      <c r="O1238" s="74">
        <f>$L$1238-EFEITO!$O$1238*EFEITO!$AA$1238</f>
        <v>0</v>
      </c>
      <c r="P1238" s="57"/>
      <c r="Q1238" s="57"/>
      <c r="R1238" s="57"/>
      <c r="S1238" s="57"/>
      <c r="T1238" s="57"/>
      <c r="U1238" s="57"/>
      <c r="V1238" s="57"/>
      <c r="W1238" s="57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</row>
    <row r="1239" spans="1:36" ht="11.25" customHeight="1" x14ac:dyDescent="0.2">
      <c r="A1239" s="53" t="s">
        <v>21</v>
      </c>
      <c r="B1239" s="53" t="s">
        <v>33</v>
      </c>
      <c r="C1239" s="53" t="s">
        <v>34</v>
      </c>
      <c r="D1239" s="53" t="s">
        <v>52</v>
      </c>
      <c r="E1239" s="53" t="s">
        <v>53</v>
      </c>
      <c r="F1239" s="53" t="s">
        <v>25</v>
      </c>
      <c r="G1239" s="53" t="s">
        <v>25</v>
      </c>
      <c r="H1239" s="53" t="s">
        <v>25</v>
      </c>
      <c r="I1239" s="73">
        <v>43862</v>
      </c>
      <c r="J1239" s="74">
        <f ca="1">EFEITO!$J$1239*EFEITO!$Y$1000</f>
        <v>200324.62249824169</v>
      </c>
      <c r="K1239" s="74">
        <f>EFEITO!$L$1239*EFEITO!$Z$1000</f>
        <v>0</v>
      </c>
      <c r="L1239" s="74">
        <f>EFEITO!$N$1239*EFEITO!$AA$1000</f>
        <v>0</v>
      </c>
      <c r="M1239" s="74">
        <f ca="1">$J$1239-EFEITO!$K$1239*EFEITO!$Y$1239</f>
        <v>18029.216024841735</v>
      </c>
      <c r="N1239" s="74">
        <f>$K$1239-EFEITO!$M$1239*EFEITO!$Z$1239</f>
        <v>0</v>
      </c>
      <c r="O1239" s="74">
        <f>$L$1239-EFEITO!$O$1239*EFEITO!$AA$1239</f>
        <v>0</v>
      </c>
      <c r="P1239" s="57"/>
      <c r="Q1239" s="57"/>
      <c r="R1239" s="57"/>
      <c r="S1239" s="57"/>
      <c r="T1239" s="57"/>
      <c r="U1239" s="57"/>
      <c r="V1239" s="57"/>
      <c r="W1239" s="57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</row>
    <row r="1240" spans="1:36" ht="11.25" customHeight="1" x14ac:dyDescent="0.2">
      <c r="A1240" s="53" t="s">
        <v>21</v>
      </c>
      <c r="B1240" s="53" t="s">
        <v>33</v>
      </c>
      <c r="C1240" s="53" t="s">
        <v>34</v>
      </c>
      <c r="D1240" s="53" t="s">
        <v>52</v>
      </c>
      <c r="E1240" s="53" t="s">
        <v>53</v>
      </c>
      <c r="F1240" s="53" t="s">
        <v>25</v>
      </c>
      <c r="G1240" s="53" t="s">
        <v>25</v>
      </c>
      <c r="H1240" s="53" t="s">
        <v>25</v>
      </c>
      <c r="I1240" s="73">
        <v>43891</v>
      </c>
      <c r="J1240" s="74">
        <f ca="1">EFEITO!$J$1240*EFEITO!$Y$1000</f>
        <v>200301.71778494437</v>
      </c>
      <c r="K1240" s="74">
        <f>EFEITO!$L$1240*EFEITO!$Z$1000</f>
        <v>0</v>
      </c>
      <c r="L1240" s="74">
        <f>EFEITO!$N$1240*EFEITO!$AA$1000</f>
        <v>0</v>
      </c>
      <c r="M1240" s="74">
        <f ca="1">$J$1240-EFEITO!$K$1240*EFEITO!$Y$1240</f>
        <v>18027.154600644979</v>
      </c>
      <c r="N1240" s="74">
        <f>$K$1240-EFEITO!$M$1240*EFEITO!$Z$1240</f>
        <v>0</v>
      </c>
      <c r="O1240" s="74">
        <f>$L$1240-EFEITO!$O$1240*EFEITO!$AA$1240</f>
        <v>0</v>
      </c>
      <c r="P1240" s="57"/>
      <c r="Q1240" s="57"/>
      <c r="R1240" s="57"/>
      <c r="S1240" s="57"/>
      <c r="T1240" s="57"/>
      <c r="U1240" s="57"/>
      <c r="V1240" s="57"/>
      <c r="W1240" s="57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</row>
    <row r="1241" spans="1:36" ht="11.25" customHeight="1" x14ac:dyDescent="0.2">
      <c r="A1241" s="53" t="s">
        <v>21</v>
      </c>
      <c r="B1241" s="53" t="s">
        <v>33</v>
      </c>
      <c r="C1241" s="53" t="s">
        <v>34</v>
      </c>
      <c r="D1241" s="53" t="s">
        <v>52</v>
      </c>
      <c r="E1241" s="53" t="s">
        <v>53</v>
      </c>
      <c r="F1241" s="53" t="s">
        <v>25</v>
      </c>
      <c r="G1241" s="53" t="s">
        <v>25</v>
      </c>
      <c r="H1241" s="53" t="s">
        <v>25</v>
      </c>
      <c r="I1241" s="73">
        <v>43922</v>
      </c>
      <c r="J1241" s="74">
        <f ca="1">EFEITO!$J$1241*EFEITO!$Y$1000</f>
        <v>200874.33561737704</v>
      </c>
      <c r="K1241" s="74">
        <f>EFEITO!$L$1241*EFEITO!$Z$1000</f>
        <v>0</v>
      </c>
      <c r="L1241" s="74">
        <f>EFEITO!$N$1241*EFEITO!$AA$1000</f>
        <v>0</v>
      </c>
      <c r="M1241" s="74">
        <f ca="1">$J$1241-EFEITO!$K$1241*EFEITO!$Y$1241</f>
        <v>18078.690205563937</v>
      </c>
      <c r="N1241" s="74">
        <f>$K$1241-EFEITO!$M$1241*EFEITO!$Z$1241</f>
        <v>0</v>
      </c>
      <c r="O1241" s="74">
        <f>$L$1241-EFEITO!$O$1241*EFEITO!$AA$1241</f>
        <v>0</v>
      </c>
      <c r="P1241" s="57"/>
      <c r="Q1241" s="57"/>
      <c r="R1241" s="57"/>
      <c r="S1241" s="57"/>
      <c r="T1241" s="57"/>
      <c r="U1241" s="57"/>
      <c r="V1241" s="57"/>
      <c r="W1241" s="57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</row>
    <row r="1242" spans="1:36" ht="11.25" customHeight="1" x14ac:dyDescent="0.2">
      <c r="A1242" s="53" t="s">
        <v>21</v>
      </c>
      <c r="B1242" s="53" t="s">
        <v>33</v>
      </c>
      <c r="C1242" s="53" t="s">
        <v>34</v>
      </c>
      <c r="D1242" s="53" t="s">
        <v>52</v>
      </c>
      <c r="E1242" s="53" t="s">
        <v>53</v>
      </c>
      <c r="F1242" s="53" t="s">
        <v>25</v>
      </c>
      <c r="G1242" s="53" t="s">
        <v>25</v>
      </c>
      <c r="H1242" s="53" t="s">
        <v>25</v>
      </c>
      <c r="I1242" s="73">
        <v>43952</v>
      </c>
      <c r="J1242" s="74">
        <f ca="1">EFEITO!$J$1242*EFEITO!$Y$1000</f>
        <v>199190.83919002503</v>
      </c>
      <c r="K1242" s="74">
        <f>EFEITO!$L$1242*EFEITO!$Z$1000</f>
        <v>0</v>
      </c>
      <c r="L1242" s="74">
        <f>EFEITO!$N$1242*EFEITO!$AA$1000</f>
        <v>0</v>
      </c>
      <c r="M1242" s="74">
        <f ca="1">$J$1242-EFEITO!$K$1242*EFEITO!$Y$1242</f>
        <v>17927.175527102256</v>
      </c>
      <c r="N1242" s="74">
        <f>$K$1242-EFEITO!$M$1242*EFEITO!$Z$1242</f>
        <v>0</v>
      </c>
      <c r="O1242" s="74">
        <f>$L$1242-EFEITO!$O$1242*EFEITO!$AA$1242</f>
        <v>0</v>
      </c>
      <c r="P1242" s="57"/>
      <c r="Q1242" s="57"/>
      <c r="R1242" s="57"/>
      <c r="S1242" s="57"/>
      <c r="T1242" s="57"/>
      <c r="U1242" s="57"/>
      <c r="V1242" s="57"/>
      <c r="W1242" s="57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</row>
    <row r="1243" spans="1:36" ht="11.25" customHeight="1" x14ac:dyDescent="0.2">
      <c r="A1243" s="53" t="s">
        <v>21</v>
      </c>
      <c r="B1243" s="53" t="s">
        <v>33</v>
      </c>
      <c r="C1243" s="53" t="s">
        <v>34</v>
      </c>
      <c r="D1243" s="53" t="s">
        <v>52</v>
      </c>
      <c r="E1243" s="53" t="s">
        <v>53</v>
      </c>
      <c r="F1243" s="53" t="s">
        <v>25</v>
      </c>
      <c r="G1243" s="53" t="s">
        <v>25</v>
      </c>
      <c r="H1243" s="53" t="s">
        <v>25</v>
      </c>
      <c r="I1243" s="73">
        <v>43983</v>
      </c>
      <c r="J1243" s="74">
        <f ca="1">EFEITO!$J$1243*EFEITO!$Y$1000</f>
        <v>199202.29154667369</v>
      </c>
      <c r="K1243" s="74">
        <f>EFEITO!$L$1243*EFEITO!$Z$1000</f>
        <v>0</v>
      </c>
      <c r="L1243" s="74">
        <f>EFEITO!$N$1243*EFEITO!$AA$1000</f>
        <v>0</v>
      </c>
      <c r="M1243" s="74">
        <f ca="1">$J$1243-EFEITO!$K$1243*EFEITO!$Y$1243</f>
        <v>17928.206239200634</v>
      </c>
      <c r="N1243" s="74">
        <f>$K$1243-EFEITO!$M$1243*EFEITO!$Z$1243</f>
        <v>0</v>
      </c>
      <c r="O1243" s="74">
        <f>$L$1243-EFEITO!$O$1243*EFEITO!$AA$1243</f>
        <v>0</v>
      </c>
      <c r="P1243" s="57"/>
      <c r="Q1243" s="57"/>
      <c r="R1243" s="57"/>
      <c r="S1243" s="57"/>
      <c r="T1243" s="57"/>
      <c r="U1243" s="57"/>
      <c r="V1243" s="57"/>
      <c r="W1243" s="57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</row>
    <row r="1244" spans="1:36" ht="11.25" customHeight="1" x14ac:dyDescent="0.2">
      <c r="A1244" s="53" t="s">
        <v>21</v>
      </c>
      <c r="B1244" s="53" t="s">
        <v>33</v>
      </c>
      <c r="C1244" s="53" t="s">
        <v>34</v>
      </c>
      <c r="D1244" s="53" t="s">
        <v>52</v>
      </c>
      <c r="E1244" s="53" t="s">
        <v>53</v>
      </c>
      <c r="F1244" s="53" t="s">
        <v>25</v>
      </c>
      <c r="G1244" s="53" t="s">
        <v>25</v>
      </c>
      <c r="H1244" s="53" t="s">
        <v>25</v>
      </c>
      <c r="I1244" s="73">
        <v>44013</v>
      </c>
      <c r="J1244" s="74">
        <f ca="1">EFEITO!$J$1244*EFEITO!$Y$1000</f>
        <v>199007.60148364658</v>
      </c>
      <c r="K1244" s="74">
        <f>EFEITO!$L$1244*EFEITO!$Z$1000</f>
        <v>0</v>
      </c>
      <c r="L1244" s="74">
        <f>EFEITO!$N$1244*EFEITO!$AA$1000</f>
        <v>0</v>
      </c>
      <c r="M1244" s="74">
        <f ca="1">$J$1244-EFEITO!$K$1244*EFEITO!$Y$1244</f>
        <v>17910.684133528179</v>
      </c>
      <c r="N1244" s="74">
        <f>$K$1244-EFEITO!$M$1244*EFEITO!$Z$1244</f>
        <v>0</v>
      </c>
      <c r="O1244" s="74">
        <f>$L$1244-EFEITO!$O$1244*EFEITO!$AA$1244</f>
        <v>0</v>
      </c>
      <c r="P1244" s="57"/>
      <c r="Q1244" s="57"/>
      <c r="R1244" s="57"/>
      <c r="S1244" s="57"/>
      <c r="T1244" s="57"/>
      <c r="U1244" s="57"/>
      <c r="V1244" s="57"/>
      <c r="W1244" s="57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</row>
    <row r="1245" spans="1:36" ht="11.25" customHeight="1" x14ac:dyDescent="0.2">
      <c r="A1245" s="53" t="s">
        <v>21</v>
      </c>
      <c r="B1245" s="53" t="s">
        <v>33</v>
      </c>
      <c r="C1245" s="53" t="s">
        <v>34</v>
      </c>
      <c r="D1245" s="53" t="s">
        <v>52</v>
      </c>
      <c r="E1245" s="53" t="s">
        <v>53</v>
      </c>
      <c r="F1245" s="53" t="s">
        <v>25</v>
      </c>
      <c r="G1245" s="53" t="s">
        <v>25</v>
      </c>
      <c r="H1245" s="53" t="s">
        <v>25</v>
      </c>
      <c r="I1245" s="73">
        <v>44044</v>
      </c>
      <c r="J1245" s="74">
        <f ca="1">EFEITO!$J$1245*EFEITO!$Y$1000</f>
        <v>200061.21829532267</v>
      </c>
      <c r="K1245" s="74">
        <f>EFEITO!$L$1245*EFEITO!$Z$1000</f>
        <v>0</v>
      </c>
      <c r="L1245" s="74">
        <f>EFEITO!$N$1245*EFEITO!$AA$1000</f>
        <v>0</v>
      </c>
      <c r="M1245" s="74">
        <f ca="1">$J$1245-EFEITO!$K$1245*EFEITO!$Y$1245</f>
        <v>18005.509646579041</v>
      </c>
      <c r="N1245" s="74">
        <f>$K$1245-EFEITO!$M$1245*EFEITO!$Z$1245</f>
        <v>0</v>
      </c>
      <c r="O1245" s="74">
        <f>$L$1245-EFEITO!$O$1245*EFEITO!$AA$1245</f>
        <v>0</v>
      </c>
      <c r="P1245" s="57"/>
      <c r="Q1245" s="57"/>
      <c r="R1245" s="57"/>
      <c r="S1245" s="57"/>
      <c r="T1245" s="57"/>
      <c r="U1245" s="57"/>
      <c r="V1245" s="57"/>
      <c r="W1245" s="57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</row>
    <row r="1246" spans="1:36" ht="11.25" customHeight="1" x14ac:dyDescent="0.2">
      <c r="A1246" s="53" t="s">
        <v>59</v>
      </c>
      <c r="B1246" s="53" t="s">
        <v>33</v>
      </c>
      <c r="C1246" s="53" t="s">
        <v>34</v>
      </c>
      <c r="D1246" s="53" t="s">
        <v>52</v>
      </c>
      <c r="E1246" s="53" t="s">
        <v>53</v>
      </c>
      <c r="F1246" s="53" t="s">
        <v>25</v>
      </c>
      <c r="G1246" s="53" t="s">
        <v>25</v>
      </c>
      <c r="H1246" s="53" t="s">
        <v>25</v>
      </c>
      <c r="I1246" s="73">
        <v>44075</v>
      </c>
      <c r="J1246" s="74">
        <f ca="1">EFEITO!$J$1246*EFEITO!$Y$1000</f>
        <v>200061.21829532267</v>
      </c>
      <c r="K1246" s="74">
        <f>EFEITO!$L$1246*EFEITO!$Z$1000</f>
        <v>0</v>
      </c>
      <c r="L1246" s="74">
        <f>EFEITO!$N$1246*EFEITO!$AA$1000</f>
        <v>0</v>
      </c>
      <c r="M1246" s="74">
        <f ca="1">$J$1246-EFEITO!$K$1246*EFEITO!$Y$1246</f>
        <v>18005.509646579041</v>
      </c>
      <c r="N1246" s="74">
        <f>$K$1246-EFEITO!$M$1246*EFEITO!$Z$1246</f>
        <v>0</v>
      </c>
      <c r="O1246" s="74">
        <f>$L$1246-EFEITO!$O$1246*EFEITO!$AA$1246</f>
        <v>0</v>
      </c>
      <c r="P1246" s="57"/>
      <c r="Q1246" s="57"/>
      <c r="R1246" s="57"/>
      <c r="S1246" s="57"/>
      <c r="T1246" s="57"/>
      <c r="U1246" s="57"/>
      <c r="V1246" s="57"/>
      <c r="W1246" s="57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</row>
    <row r="1247" spans="1:36" ht="11.25" customHeight="1" x14ac:dyDescent="0.2">
      <c r="A1247" s="53" t="s">
        <v>21</v>
      </c>
      <c r="B1247" s="53" t="s">
        <v>33</v>
      </c>
      <c r="C1247" s="53" t="s">
        <v>34</v>
      </c>
      <c r="D1247" s="53" t="s">
        <v>52</v>
      </c>
      <c r="E1247" s="53" t="s">
        <v>53</v>
      </c>
      <c r="F1247" s="53" t="s">
        <v>25</v>
      </c>
      <c r="G1247" s="53" t="s">
        <v>25</v>
      </c>
      <c r="H1247" s="53" t="s">
        <v>35</v>
      </c>
      <c r="I1247" s="73">
        <v>43739</v>
      </c>
      <c r="J1247" s="74">
        <f>EFEITO!$J$1247*EFEITO!$Y$1033</f>
        <v>0</v>
      </c>
      <c r="K1247" s="74">
        <f ca="1">EFEITO!$L$1247*EFEITO!$Z$1033</f>
        <v>373879.52906193928</v>
      </c>
      <c r="L1247" s="74">
        <f>EFEITO!$N$1247*EFEITO!$AA$1033</f>
        <v>187852.28810414951</v>
      </c>
      <c r="M1247" s="74">
        <f>$J$1247-EFEITO!$K$1247*EFEITO!$Y$1247</f>
        <v>0</v>
      </c>
      <c r="N1247" s="74">
        <f ca="1">$K$1247-EFEITO!$M$1247*EFEITO!$Z$1247</f>
        <v>33649.157615574484</v>
      </c>
      <c r="O1247" s="74">
        <f>$L$1247-EFEITO!$O$1247*EFEITO!$AA$1247</f>
        <v>16906.705929373449</v>
      </c>
      <c r="P1247" s="57"/>
      <c r="Q1247" s="57"/>
      <c r="R1247" s="57"/>
      <c r="S1247" s="57"/>
      <c r="T1247" s="57"/>
      <c r="U1247" s="57"/>
      <c r="V1247" s="57"/>
      <c r="W1247" s="57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</row>
    <row r="1248" spans="1:36" ht="11.25" customHeight="1" x14ac:dyDescent="0.2">
      <c r="A1248" s="53" t="s">
        <v>21</v>
      </c>
      <c r="B1248" s="53" t="s">
        <v>33</v>
      </c>
      <c r="C1248" s="53" t="s">
        <v>34</v>
      </c>
      <c r="D1248" s="53" t="s">
        <v>52</v>
      </c>
      <c r="E1248" s="53" t="s">
        <v>53</v>
      </c>
      <c r="F1248" s="53" t="s">
        <v>25</v>
      </c>
      <c r="G1248" s="53" t="s">
        <v>25</v>
      </c>
      <c r="H1248" s="53" t="s">
        <v>35</v>
      </c>
      <c r="I1248" s="73">
        <v>43770</v>
      </c>
      <c r="J1248" s="74">
        <f>EFEITO!$J$1248*EFEITO!$Y$1033</f>
        <v>0</v>
      </c>
      <c r="K1248" s="74">
        <f ca="1">EFEITO!$L$1248*EFEITO!$Z$1033</f>
        <v>355385.08532939019</v>
      </c>
      <c r="L1248" s="74">
        <f>EFEITO!$N$1248*EFEITO!$AA$1033</f>
        <v>178559.92705648908</v>
      </c>
      <c r="M1248" s="74">
        <f>$J$1248-EFEITO!$K$1248*EFEITO!$Y$1248</f>
        <v>0</v>
      </c>
      <c r="N1248" s="74">
        <f ca="1">$K$1248-EFEITO!$M$1248*EFEITO!$Z$1248</f>
        <v>31984.657679645054</v>
      </c>
      <c r="O1248" s="74">
        <f>$L$1248-EFEITO!$O$1248*EFEITO!$AA$1248</f>
        <v>16070.393435084028</v>
      </c>
      <c r="P1248" s="57"/>
      <c r="Q1248" s="57"/>
      <c r="R1248" s="57"/>
      <c r="S1248" s="57"/>
      <c r="T1248" s="57"/>
      <c r="U1248" s="57"/>
      <c r="V1248" s="57"/>
      <c r="W1248" s="57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</row>
    <row r="1249" spans="1:36" ht="11.25" customHeight="1" x14ac:dyDescent="0.2">
      <c r="A1249" s="53" t="s">
        <v>21</v>
      </c>
      <c r="B1249" s="53" t="s">
        <v>33</v>
      </c>
      <c r="C1249" s="53" t="s">
        <v>34</v>
      </c>
      <c r="D1249" s="53" t="s">
        <v>52</v>
      </c>
      <c r="E1249" s="53" t="s">
        <v>53</v>
      </c>
      <c r="F1249" s="53" t="s">
        <v>25</v>
      </c>
      <c r="G1249" s="53" t="s">
        <v>25</v>
      </c>
      <c r="H1249" s="53" t="s">
        <v>35</v>
      </c>
      <c r="I1249" s="73">
        <v>43800</v>
      </c>
      <c r="J1249" s="74">
        <f>EFEITO!$J$1249*EFEITO!$Y$1033</f>
        <v>0</v>
      </c>
      <c r="K1249" s="74">
        <f ca="1">EFEITO!$L$1249*EFEITO!$Z$1033</f>
        <v>341144.49824738171</v>
      </c>
      <c r="L1249" s="74">
        <f>EFEITO!$N$1249*EFEITO!$AA$1033</f>
        <v>171404.87667431502</v>
      </c>
      <c r="M1249" s="74">
        <f>$J$1249-EFEITO!$K$1249*EFEITO!$Y$1249</f>
        <v>0</v>
      </c>
      <c r="N1249" s="74">
        <f ca="1">$K$1249-EFEITO!$M$1249*EFEITO!$Z$1249</f>
        <v>30703.004842264345</v>
      </c>
      <c r="O1249" s="74">
        <f>$L$1249-EFEITO!$O$1249*EFEITO!$AA$1249</f>
        <v>15426.438900688372</v>
      </c>
      <c r="P1249" s="57"/>
      <c r="Q1249" s="57"/>
      <c r="R1249" s="57"/>
      <c r="S1249" s="57"/>
      <c r="T1249" s="57"/>
      <c r="U1249" s="57"/>
      <c r="V1249" s="57"/>
      <c r="W1249" s="57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</row>
    <row r="1250" spans="1:36" ht="11.25" customHeight="1" x14ac:dyDescent="0.2">
      <c r="A1250" s="53" t="s">
        <v>21</v>
      </c>
      <c r="B1250" s="53" t="s">
        <v>33</v>
      </c>
      <c r="C1250" s="53" t="s">
        <v>34</v>
      </c>
      <c r="D1250" s="53" t="s">
        <v>52</v>
      </c>
      <c r="E1250" s="53" t="s">
        <v>53</v>
      </c>
      <c r="F1250" s="53" t="s">
        <v>25</v>
      </c>
      <c r="G1250" s="53" t="s">
        <v>25</v>
      </c>
      <c r="H1250" s="53" t="s">
        <v>35</v>
      </c>
      <c r="I1250" s="73">
        <v>43831</v>
      </c>
      <c r="J1250" s="74">
        <f>EFEITO!$J$1250*EFEITO!$Y$1033</f>
        <v>0</v>
      </c>
      <c r="K1250" s="74">
        <f ca="1">EFEITO!$L$1250*EFEITO!$Z$1033</f>
        <v>380342.1908708025</v>
      </c>
      <c r="L1250" s="74">
        <f>EFEITO!$N$1250*EFEITO!$AA$1033</f>
        <v>191099.39235477333</v>
      </c>
      <c r="M1250" s="74">
        <f>$J$1250-EFEITO!$K$1250*EFEITO!$Y$1250</f>
        <v>0</v>
      </c>
      <c r="N1250" s="74">
        <f ca="1">$K$1250-EFEITO!$M$1250*EFEITO!$Z$1250</f>
        <v>34230.797178372217</v>
      </c>
      <c r="O1250" s="74">
        <f>$L$1250-EFEITO!$O$1250*EFEITO!$AA$1250</f>
        <v>17198.945311929594</v>
      </c>
      <c r="P1250" s="57"/>
      <c r="Q1250" s="57"/>
      <c r="R1250" s="57"/>
      <c r="S1250" s="57"/>
      <c r="T1250" s="57"/>
      <c r="U1250" s="57"/>
      <c r="V1250" s="57"/>
      <c r="W1250" s="57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</row>
    <row r="1251" spans="1:36" ht="11.25" customHeight="1" x14ac:dyDescent="0.2">
      <c r="A1251" s="53" t="s">
        <v>21</v>
      </c>
      <c r="B1251" s="53" t="s">
        <v>33</v>
      </c>
      <c r="C1251" s="53" t="s">
        <v>34</v>
      </c>
      <c r="D1251" s="53" t="s">
        <v>52</v>
      </c>
      <c r="E1251" s="53" t="s">
        <v>53</v>
      </c>
      <c r="F1251" s="53" t="s">
        <v>25</v>
      </c>
      <c r="G1251" s="53" t="s">
        <v>25</v>
      </c>
      <c r="H1251" s="53" t="s">
        <v>35</v>
      </c>
      <c r="I1251" s="73">
        <v>43862</v>
      </c>
      <c r="J1251" s="74">
        <f>EFEITO!$J$1251*EFEITO!$Y$1033</f>
        <v>0</v>
      </c>
      <c r="K1251" s="74">
        <f ca="1">EFEITO!$L$1251*EFEITO!$Z$1033</f>
        <v>400990.10747267079</v>
      </c>
      <c r="L1251" s="74">
        <f>EFEITO!$N$1251*EFEITO!$AA$1033</f>
        <v>201473.74579417237</v>
      </c>
      <c r="M1251" s="74">
        <f>$J$1251-EFEITO!$K$1251*EFEITO!$Y$1251</f>
        <v>0</v>
      </c>
      <c r="N1251" s="74">
        <f ca="1">$K$1251-EFEITO!$M$1251*EFEITO!$Z$1251</f>
        <v>36089.109672540333</v>
      </c>
      <c r="O1251" s="74">
        <f>$L$1251-EFEITO!$O$1251*EFEITO!$AA$1251</f>
        <v>18132.637121475535</v>
      </c>
      <c r="P1251" s="57"/>
      <c r="Q1251" s="57"/>
      <c r="R1251" s="57"/>
      <c r="S1251" s="57"/>
      <c r="T1251" s="57"/>
      <c r="U1251" s="57"/>
      <c r="V1251" s="57"/>
      <c r="W1251" s="57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</row>
    <row r="1252" spans="1:36" ht="11.25" customHeight="1" x14ac:dyDescent="0.2">
      <c r="A1252" s="53" t="s">
        <v>21</v>
      </c>
      <c r="B1252" s="53" t="s">
        <v>33</v>
      </c>
      <c r="C1252" s="53" t="s">
        <v>34</v>
      </c>
      <c r="D1252" s="53" t="s">
        <v>52</v>
      </c>
      <c r="E1252" s="53" t="s">
        <v>53</v>
      </c>
      <c r="F1252" s="53" t="s">
        <v>25</v>
      </c>
      <c r="G1252" s="53" t="s">
        <v>25</v>
      </c>
      <c r="H1252" s="53" t="s">
        <v>35</v>
      </c>
      <c r="I1252" s="73">
        <v>43891</v>
      </c>
      <c r="J1252" s="74">
        <f>EFEITO!$J$1252*EFEITO!$Y$1033</f>
        <v>0</v>
      </c>
      <c r="K1252" s="74">
        <f ca="1">EFEITO!$L$1252*EFEITO!$Z$1033</f>
        <v>360318.6318543097</v>
      </c>
      <c r="L1252" s="74">
        <f>EFEITO!$N$1252*EFEITO!$AA$1033</f>
        <v>181038.74157061795</v>
      </c>
      <c r="M1252" s="74">
        <f>$J$1252-EFEITO!$K$1252*EFEITO!$Y$1252</f>
        <v>0</v>
      </c>
      <c r="N1252" s="74">
        <f ca="1">$K$1252-EFEITO!$M$1252*EFEITO!$Z$1252</f>
        <v>32428.676866887894</v>
      </c>
      <c r="O1252" s="74">
        <f>$L$1252-EFEITO!$O$1252*EFEITO!$AA$1252</f>
        <v>16293.48674135562</v>
      </c>
      <c r="P1252" s="57"/>
      <c r="Q1252" s="57"/>
      <c r="R1252" s="57"/>
      <c r="S1252" s="57"/>
      <c r="T1252" s="57"/>
      <c r="U1252" s="57"/>
      <c r="V1252" s="57"/>
      <c r="W1252" s="57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</row>
    <row r="1253" spans="1:36" ht="11.25" customHeight="1" x14ac:dyDescent="0.2">
      <c r="A1253" s="53" t="s">
        <v>21</v>
      </c>
      <c r="B1253" s="53" t="s">
        <v>33</v>
      </c>
      <c r="C1253" s="53" t="s">
        <v>34</v>
      </c>
      <c r="D1253" s="53" t="s">
        <v>52</v>
      </c>
      <c r="E1253" s="53" t="s">
        <v>53</v>
      </c>
      <c r="F1253" s="53" t="s">
        <v>25</v>
      </c>
      <c r="G1253" s="53" t="s">
        <v>25</v>
      </c>
      <c r="H1253" s="53" t="s">
        <v>35</v>
      </c>
      <c r="I1253" s="73">
        <v>43922</v>
      </c>
      <c r="J1253" s="74">
        <f>EFEITO!$J$1253*EFEITO!$Y$1033</f>
        <v>0</v>
      </c>
      <c r="K1253" s="74">
        <f ca="1">EFEITO!$L$1253*EFEITO!$Z$1033</f>
        <v>376388.17540796916</v>
      </c>
      <c r="L1253" s="74">
        <f>EFEITO!$N$1253*EFEITO!$AA$1033</f>
        <v>189112.73410216442</v>
      </c>
      <c r="M1253" s="74">
        <f>$J$1253-EFEITO!$K$1253*EFEITO!$Y$1253</f>
        <v>0</v>
      </c>
      <c r="N1253" s="74">
        <f ca="1">$K$1253-EFEITO!$M$1253*EFEITO!$Z$1253</f>
        <v>33874.935786717222</v>
      </c>
      <c r="O1253" s="74">
        <f>$L$1253-EFEITO!$O$1253*EFEITO!$AA$1253</f>
        <v>17020.146069194801</v>
      </c>
      <c r="P1253" s="57"/>
      <c r="Q1253" s="57"/>
      <c r="R1253" s="57"/>
      <c r="S1253" s="57"/>
      <c r="T1253" s="57"/>
      <c r="U1253" s="57"/>
      <c r="V1253" s="57"/>
      <c r="W1253" s="57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</row>
    <row r="1254" spans="1:36" ht="11.25" customHeight="1" x14ac:dyDescent="0.2">
      <c r="A1254" s="53" t="s">
        <v>21</v>
      </c>
      <c r="B1254" s="53" t="s">
        <v>33</v>
      </c>
      <c r="C1254" s="53" t="s">
        <v>34</v>
      </c>
      <c r="D1254" s="53" t="s">
        <v>52</v>
      </c>
      <c r="E1254" s="53" t="s">
        <v>53</v>
      </c>
      <c r="F1254" s="53" t="s">
        <v>25</v>
      </c>
      <c r="G1254" s="53" t="s">
        <v>25</v>
      </c>
      <c r="H1254" s="53" t="s">
        <v>35</v>
      </c>
      <c r="I1254" s="73">
        <v>43952</v>
      </c>
      <c r="J1254" s="74">
        <f>EFEITO!$J$1254*EFEITO!$Y$1033</f>
        <v>0</v>
      </c>
      <c r="K1254" s="74">
        <f ca="1">EFEITO!$L$1254*EFEITO!$Z$1033</f>
        <v>327759.31844401947</v>
      </c>
      <c r="L1254" s="74">
        <f>EFEITO!$N$1254*EFEITO!$AA$1033</f>
        <v>164679.61771441487</v>
      </c>
      <c r="M1254" s="74">
        <f>$J$1254-EFEITO!$K$1254*EFEITO!$Y$1254</f>
        <v>0</v>
      </c>
      <c r="N1254" s="74">
        <f ca="1">$K$1254-EFEITO!$M$1254*EFEITO!$Z$1254</f>
        <v>29498.338659961708</v>
      </c>
      <c r="O1254" s="74">
        <f>$L$1254-EFEITO!$O$1254*EFEITO!$AA$1254</f>
        <v>14821.165594297316</v>
      </c>
      <c r="P1254" s="57"/>
      <c r="Q1254" s="57"/>
      <c r="R1254" s="57"/>
      <c r="S1254" s="57"/>
      <c r="T1254" s="57"/>
      <c r="U1254" s="57"/>
      <c r="V1254" s="57"/>
      <c r="W1254" s="57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</row>
    <row r="1255" spans="1:36" ht="11.25" customHeight="1" x14ac:dyDescent="0.2">
      <c r="A1255" s="53" t="s">
        <v>21</v>
      </c>
      <c r="B1255" s="53" t="s">
        <v>33</v>
      </c>
      <c r="C1255" s="53" t="s">
        <v>34</v>
      </c>
      <c r="D1255" s="53" t="s">
        <v>52</v>
      </c>
      <c r="E1255" s="53" t="s">
        <v>53</v>
      </c>
      <c r="F1255" s="53" t="s">
        <v>25</v>
      </c>
      <c r="G1255" s="53" t="s">
        <v>25</v>
      </c>
      <c r="H1255" s="53" t="s">
        <v>35</v>
      </c>
      <c r="I1255" s="73">
        <v>43983</v>
      </c>
      <c r="J1255" s="74">
        <f>EFEITO!$J$1255*EFEITO!$Y$1033</f>
        <v>0</v>
      </c>
      <c r="K1255" s="74">
        <f ca="1">EFEITO!$L$1255*EFEITO!$Z$1033</f>
        <v>352068.88665736566</v>
      </c>
      <c r="L1255" s="74">
        <f>EFEITO!$N$1255*EFEITO!$AA$1033</f>
        <v>176893.7339115722</v>
      </c>
      <c r="M1255" s="74">
        <f>$J$1255-EFEITO!$K$1255*EFEITO!$Y$1255</f>
        <v>0</v>
      </c>
      <c r="N1255" s="74">
        <f ca="1">$K$1255-EFEITO!$M$1255*EFEITO!$Z$1255</f>
        <v>31686.19979916286</v>
      </c>
      <c r="O1255" s="74">
        <f>$L$1255-EFEITO!$O$1255*EFEITO!$AA$1255</f>
        <v>15920.436052041507</v>
      </c>
      <c r="P1255" s="57"/>
      <c r="Q1255" s="57"/>
      <c r="R1255" s="57"/>
      <c r="S1255" s="57"/>
      <c r="T1255" s="57"/>
      <c r="U1255" s="57"/>
      <c r="V1255" s="57"/>
      <c r="W1255" s="57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</row>
    <row r="1256" spans="1:36" ht="11.25" customHeight="1" x14ac:dyDescent="0.2">
      <c r="A1256" s="53" t="s">
        <v>21</v>
      </c>
      <c r="B1256" s="53" t="s">
        <v>33</v>
      </c>
      <c r="C1256" s="53" t="s">
        <v>34</v>
      </c>
      <c r="D1256" s="53" t="s">
        <v>52</v>
      </c>
      <c r="E1256" s="53" t="s">
        <v>53</v>
      </c>
      <c r="F1256" s="53" t="s">
        <v>25</v>
      </c>
      <c r="G1256" s="53" t="s">
        <v>25</v>
      </c>
      <c r="H1256" s="53" t="s">
        <v>35</v>
      </c>
      <c r="I1256" s="73">
        <v>44013</v>
      </c>
      <c r="J1256" s="74">
        <f>EFEITO!$J$1256*EFEITO!$Y$1033</f>
        <v>0</v>
      </c>
      <c r="K1256" s="74">
        <f ca="1">EFEITO!$L$1256*EFEITO!$Z$1033</f>
        <v>340941.86243224784</v>
      </c>
      <c r="L1256" s="74">
        <f>EFEITO!$N$1256*EFEITO!$AA$1033</f>
        <v>171303.06419578684</v>
      </c>
      <c r="M1256" s="74">
        <f>$J$1256-EFEITO!$K$1256*EFEITO!$Y$1256</f>
        <v>0</v>
      </c>
      <c r="N1256" s="74">
        <f ca="1">$K$1256-EFEITO!$M$1256*EFEITO!$Z$1256</f>
        <v>30684.76761890226</v>
      </c>
      <c r="O1256" s="74">
        <f>$L$1256-EFEITO!$O$1256*EFEITO!$AA$1256</f>
        <v>15417.275777620816</v>
      </c>
      <c r="P1256" s="57"/>
      <c r="Q1256" s="57"/>
      <c r="R1256" s="57"/>
      <c r="S1256" s="57"/>
      <c r="T1256" s="57"/>
      <c r="U1256" s="57"/>
      <c r="V1256" s="57"/>
      <c r="W1256" s="57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</row>
    <row r="1257" spans="1:36" ht="11.25" customHeight="1" x14ac:dyDescent="0.2">
      <c r="A1257" s="53" t="s">
        <v>21</v>
      </c>
      <c r="B1257" s="53" t="s">
        <v>33</v>
      </c>
      <c r="C1257" s="53" t="s">
        <v>34</v>
      </c>
      <c r="D1257" s="53" t="s">
        <v>52</v>
      </c>
      <c r="E1257" s="53" t="s">
        <v>53</v>
      </c>
      <c r="F1257" s="53" t="s">
        <v>25</v>
      </c>
      <c r="G1257" s="53" t="s">
        <v>25</v>
      </c>
      <c r="H1257" s="53" t="s">
        <v>35</v>
      </c>
      <c r="I1257" s="73">
        <v>44044</v>
      </c>
      <c r="J1257" s="74">
        <f>EFEITO!$J$1257*EFEITO!$Y$1033</f>
        <v>0</v>
      </c>
      <c r="K1257" s="74">
        <f ca="1">EFEITO!$L$1257*EFEITO!$Z$1033</f>
        <v>364808.02459993213</v>
      </c>
      <c r="L1257" s="74">
        <f>EFEITO!$N$1257*EFEITO!$AA$1033</f>
        <v>183294.39515395073</v>
      </c>
      <c r="M1257" s="74">
        <f>$J$1257-EFEITO!$K$1257*EFEITO!$Y$1257</f>
        <v>0</v>
      </c>
      <c r="N1257" s="74">
        <f ca="1">$K$1257-EFEITO!$M$1257*EFEITO!$Z$1257</f>
        <v>32832.722213993897</v>
      </c>
      <c r="O1257" s="74">
        <f>$L$1257-EFEITO!$O$1257*EFEITO!$AA$1257</f>
        <v>16496.49556385554</v>
      </c>
      <c r="P1257" s="57"/>
      <c r="Q1257" s="57"/>
      <c r="R1257" s="57"/>
      <c r="S1257" s="57"/>
      <c r="T1257" s="57"/>
      <c r="U1257" s="57"/>
      <c r="V1257" s="57"/>
      <c r="W1257" s="57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</row>
    <row r="1258" spans="1:36" ht="11.25" customHeight="1" x14ac:dyDescent="0.2">
      <c r="A1258" s="53" t="s">
        <v>59</v>
      </c>
      <c r="B1258" s="53" t="s">
        <v>33</v>
      </c>
      <c r="C1258" s="53" t="s">
        <v>34</v>
      </c>
      <c r="D1258" s="53" t="s">
        <v>52</v>
      </c>
      <c r="E1258" s="53" t="s">
        <v>53</v>
      </c>
      <c r="F1258" s="53" t="s">
        <v>25</v>
      </c>
      <c r="G1258" s="53" t="s">
        <v>25</v>
      </c>
      <c r="H1258" s="53" t="s">
        <v>35</v>
      </c>
      <c r="I1258" s="73">
        <v>44075</v>
      </c>
      <c r="J1258" s="74">
        <f>EFEITO!$J$1258*EFEITO!$Y$1033</f>
        <v>0</v>
      </c>
      <c r="K1258" s="74">
        <f ca="1">EFEITO!$L$1258*EFEITO!$Z$1033</f>
        <v>364808.02459993213</v>
      </c>
      <c r="L1258" s="74">
        <f>EFEITO!$N$1258*EFEITO!$AA$1033</f>
        <v>183294.39515395073</v>
      </c>
      <c r="M1258" s="74">
        <f>$J$1258-EFEITO!$K$1258*EFEITO!$Y$1258</f>
        <v>0</v>
      </c>
      <c r="N1258" s="74">
        <f ca="1">$K$1258-EFEITO!$M$1258*EFEITO!$Z$1258</f>
        <v>32832.722213993897</v>
      </c>
      <c r="O1258" s="74">
        <f>$L$1258-EFEITO!$O$1258*EFEITO!$AA$1258</f>
        <v>16496.49556385554</v>
      </c>
      <c r="P1258" s="57"/>
      <c r="Q1258" s="57"/>
      <c r="R1258" s="57"/>
      <c r="S1258" s="57"/>
      <c r="T1258" s="57"/>
      <c r="U1258" s="57"/>
      <c r="V1258" s="57"/>
      <c r="W1258" s="57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</row>
    <row r="1259" spans="1:36" ht="11.25" customHeight="1" x14ac:dyDescent="0.2">
      <c r="A1259" s="53" t="s">
        <v>21</v>
      </c>
      <c r="B1259" s="53" t="s">
        <v>33</v>
      </c>
      <c r="C1259" s="53" t="s">
        <v>34</v>
      </c>
      <c r="D1259" s="53" t="s">
        <v>52</v>
      </c>
      <c r="E1259" s="53" t="s">
        <v>58</v>
      </c>
      <c r="F1259" s="53" t="s">
        <v>25</v>
      </c>
      <c r="G1259" s="53" t="s">
        <v>25</v>
      </c>
      <c r="H1259" s="53" t="s">
        <v>36</v>
      </c>
      <c r="I1259" s="73">
        <v>43770</v>
      </c>
      <c r="J1259" s="74">
        <f>EFEITO!$J$1259*EFEITO!$Y$1259</f>
        <v>0</v>
      </c>
      <c r="K1259" s="74">
        <f ca="1">EFEITO!$L$1259*EFEITO!$Z$1259</f>
        <v>45289.169352332137</v>
      </c>
      <c r="L1259" s="74">
        <f>EFEITO!$N$1259*EFEITO!$AA$1259</f>
        <v>119451.16334830668</v>
      </c>
      <c r="M1259" s="74">
        <f>$J$1259-EFEITO!$K$1259*EFEITO!$Y$1259</f>
        <v>0</v>
      </c>
      <c r="N1259" s="74">
        <f ca="1">$K$1259-EFEITO!$M$1259*EFEITO!$Z$1259</f>
        <v>0</v>
      </c>
      <c r="O1259" s="74">
        <f>$L$1259-EFEITO!$O$1259*EFEITO!$AA$1259</f>
        <v>0</v>
      </c>
      <c r="P1259" s="57"/>
      <c r="Q1259" s="57"/>
      <c r="R1259" s="57"/>
      <c r="S1259" s="57"/>
      <c r="T1259" s="57"/>
      <c r="U1259" s="57"/>
      <c r="V1259" s="57"/>
      <c r="W1259" s="57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</row>
    <row r="1260" spans="1:36" ht="11.25" customHeight="1" x14ac:dyDescent="0.2">
      <c r="A1260" s="53" t="s">
        <v>21</v>
      </c>
      <c r="B1260" s="53" t="s">
        <v>33</v>
      </c>
      <c r="C1260" s="53" t="s">
        <v>34</v>
      </c>
      <c r="D1260" s="53" t="s">
        <v>52</v>
      </c>
      <c r="E1260" s="53" t="s">
        <v>58</v>
      </c>
      <c r="F1260" s="53" t="s">
        <v>25</v>
      </c>
      <c r="G1260" s="53" t="s">
        <v>25</v>
      </c>
      <c r="H1260" s="53" t="s">
        <v>36</v>
      </c>
      <c r="I1260" s="73">
        <v>43800</v>
      </c>
      <c r="J1260" s="74">
        <f>EFEITO!$J$1260*EFEITO!$Y$1260</f>
        <v>0</v>
      </c>
      <c r="K1260" s="74">
        <f ca="1">EFEITO!$L$1260*EFEITO!$Z$1260</f>
        <v>24962.272419729943</v>
      </c>
      <c r="L1260" s="74">
        <f>EFEITO!$N$1260*EFEITO!$AA$1260</f>
        <v>65838.533207731438</v>
      </c>
      <c r="M1260" s="74">
        <f>$J$1260-EFEITO!$K$1260*EFEITO!$Y$1260</f>
        <v>0</v>
      </c>
      <c r="N1260" s="74">
        <f ca="1">$K$1260-EFEITO!$M$1260*EFEITO!$Z$1260</f>
        <v>0</v>
      </c>
      <c r="O1260" s="74">
        <f>$L$1260-EFEITO!$O$1260*EFEITO!$AA$1260</f>
        <v>0</v>
      </c>
      <c r="P1260" s="57"/>
      <c r="Q1260" s="57"/>
      <c r="R1260" s="57"/>
      <c r="S1260" s="57"/>
      <c r="T1260" s="57"/>
      <c r="U1260" s="57"/>
      <c r="V1260" s="57"/>
      <c r="W1260" s="57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</row>
    <row r="1261" spans="1:36" ht="11.25" customHeight="1" x14ac:dyDescent="0.2">
      <c r="A1261" s="53" t="s">
        <v>21</v>
      </c>
      <c r="B1261" s="53" t="s">
        <v>33</v>
      </c>
      <c r="C1261" s="53" t="s">
        <v>34</v>
      </c>
      <c r="D1261" s="53" t="s">
        <v>52</v>
      </c>
      <c r="E1261" s="53" t="s">
        <v>58</v>
      </c>
      <c r="F1261" s="53" t="s">
        <v>25</v>
      </c>
      <c r="G1261" s="53" t="s">
        <v>25</v>
      </c>
      <c r="H1261" s="53" t="s">
        <v>36</v>
      </c>
      <c r="I1261" s="73">
        <v>43831</v>
      </c>
      <c r="J1261" s="74">
        <f>EFEITO!$J$1261*EFEITO!$Y$1261</f>
        <v>0</v>
      </c>
      <c r="K1261" s="74">
        <f ca="1">EFEITO!$L$1261*EFEITO!$Z$1261</f>
        <v>19589.196230597063</v>
      </c>
      <c r="L1261" s="74">
        <f>EFEITO!$N$1261*EFEITO!$AA$1261</f>
        <v>51666.928589463932</v>
      </c>
      <c r="M1261" s="74">
        <f>$J$1261-EFEITO!$K$1261*EFEITO!$Y$1261</f>
        <v>0</v>
      </c>
      <c r="N1261" s="74">
        <f ca="1">$K$1261-EFEITO!$M$1261*EFEITO!$Z$1261</f>
        <v>0</v>
      </c>
      <c r="O1261" s="74">
        <f>$L$1261-EFEITO!$O$1261*EFEITO!$AA$1261</f>
        <v>0</v>
      </c>
      <c r="P1261" s="57"/>
      <c r="Q1261" s="57"/>
      <c r="R1261" s="57"/>
      <c r="S1261" s="57"/>
      <c r="T1261" s="57"/>
      <c r="U1261" s="57"/>
      <c r="V1261" s="57"/>
      <c r="W1261" s="57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</row>
    <row r="1262" spans="1:36" ht="11.25" customHeight="1" x14ac:dyDescent="0.2">
      <c r="A1262" s="53" t="s">
        <v>21</v>
      </c>
      <c r="B1262" s="53" t="s">
        <v>33</v>
      </c>
      <c r="C1262" s="53" t="s">
        <v>34</v>
      </c>
      <c r="D1262" s="53" t="s">
        <v>52</v>
      </c>
      <c r="E1262" s="53" t="s">
        <v>58</v>
      </c>
      <c r="F1262" s="53" t="s">
        <v>25</v>
      </c>
      <c r="G1262" s="53" t="s">
        <v>25</v>
      </c>
      <c r="H1262" s="53" t="s">
        <v>36</v>
      </c>
      <c r="I1262" s="73">
        <v>43862</v>
      </c>
      <c r="J1262" s="74">
        <f>EFEITO!$J$1262*EFEITO!$Y$1262</f>
        <v>0</v>
      </c>
      <c r="K1262" s="74">
        <f ca="1">EFEITO!$L$1262*EFEITO!$Z$1262</f>
        <v>21841.15693332503</v>
      </c>
      <c r="L1262" s="74">
        <f>EFEITO!$N$1262*EFEITO!$AA$1262</f>
        <v>57606.523631775613</v>
      </c>
      <c r="M1262" s="74">
        <f>$J$1262-EFEITO!$K$1262*EFEITO!$Y$1262</f>
        <v>0</v>
      </c>
      <c r="N1262" s="74">
        <f ca="1">$K$1262-EFEITO!$M$1262*EFEITO!$Z$1262</f>
        <v>0</v>
      </c>
      <c r="O1262" s="74">
        <f>$L$1262-EFEITO!$O$1262*EFEITO!$AA$1262</f>
        <v>0</v>
      </c>
      <c r="P1262" s="57"/>
      <c r="Q1262" s="57"/>
      <c r="R1262" s="57"/>
      <c r="S1262" s="57"/>
      <c r="T1262" s="57"/>
      <c r="U1262" s="57"/>
      <c r="V1262" s="57"/>
      <c r="W1262" s="57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</row>
    <row r="1263" spans="1:36" ht="11.25" customHeight="1" x14ac:dyDescent="0.2">
      <c r="A1263" s="53" t="s">
        <v>21</v>
      </c>
      <c r="B1263" s="53" t="s">
        <v>33</v>
      </c>
      <c r="C1263" s="53" t="s">
        <v>34</v>
      </c>
      <c r="D1263" s="53" t="s">
        <v>52</v>
      </c>
      <c r="E1263" s="53" t="s">
        <v>58</v>
      </c>
      <c r="F1263" s="53" t="s">
        <v>25</v>
      </c>
      <c r="G1263" s="53" t="s">
        <v>25</v>
      </c>
      <c r="H1263" s="53" t="s">
        <v>36</v>
      </c>
      <c r="I1263" s="73">
        <v>43891</v>
      </c>
      <c r="J1263" s="74">
        <f>EFEITO!$J$1263*EFEITO!$Y$1263</f>
        <v>0</v>
      </c>
      <c r="K1263" s="74">
        <f ca="1">EFEITO!$L$1263*EFEITO!$Z$1263</f>
        <v>19563.640576903206</v>
      </c>
      <c r="L1263" s="74">
        <f>EFEITO!$N$1263*EFEITO!$AA$1263</f>
        <v>51599.525000316411</v>
      </c>
      <c r="M1263" s="74">
        <f>$J$1263-EFEITO!$K$1263*EFEITO!$Y$1263</f>
        <v>0</v>
      </c>
      <c r="N1263" s="74">
        <f ca="1">$K$1263-EFEITO!$M$1263*EFEITO!$Z$1263</f>
        <v>0</v>
      </c>
      <c r="O1263" s="74">
        <f>$L$1263-EFEITO!$O$1263*EFEITO!$AA$1263</f>
        <v>0</v>
      </c>
      <c r="P1263" s="57"/>
      <c r="Q1263" s="57"/>
      <c r="R1263" s="57"/>
      <c r="S1263" s="57"/>
      <c r="T1263" s="57"/>
      <c r="U1263" s="57"/>
      <c r="V1263" s="57"/>
      <c r="W1263" s="57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</row>
    <row r="1264" spans="1:36" ht="11.25" customHeight="1" x14ac:dyDescent="0.2">
      <c r="A1264" s="53" t="s">
        <v>21</v>
      </c>
      <c r="B1264" s="53" t="s">
        <v>33</v>
      </c>
      <c r="C1264" s="53" t="s">
        <v>34</v>
      </c>
      <c r="D1264" s="53" t="s">
        <v>52</v>
      </c>
      <c r="E1264" s="53" t="s">
        <v>58</v>
      </c>
      <c r="F1264" s="53" t="s">
        <v>25</v>
      </c>
      <c r="G1264" s="53" t="s">
        <v>25</v>
      </c>
      <c r="H1264" s="53" t="s">
        <v>36</v>
      </c>
      <c r="I1264" s="73">
        <v>43922</v>
      </c>
      <c r="J1264" s="74">
        <f>EFEITO!$J$1264*EFEITO!$Y$1264</f>
        <v>0</v>
      </c>
      <c r="K1264" s="74">
        <f ca="1">EFEITO!$L$1264*EFEITO!$Z$1264</f>
        <v>19242.969634662513</v>
      </c>
      <c r="L1264" s="74">
        <f>EFEITO!$N$1264*EFEITO!$AA$1264</f>
        <v>50753.748457040594</v>
      </c>
      <c r="M1264" s="74">
        <f>$J$1264-EFEITO!$K$1264*EFEITO!$Y$1264</f>
        <v>0</v>
      </c>
      <c r="N1264" s="74">
        <f ca="1">$K$1264-EFEITO!$M$1264*EFEITO!$Z$1264</f>
        <v>0</v>
      </c>
      <c r="O1264" s="74">
        <f>$L$1264-EFEITO!$O$1264*EFEITO!$AA$1264</f>
        <v>0</v>
      </c>
      <c r="P1264" s="57"/>
      <c r="Q1264" s="57"/>
      <c r="R1264" s="57"/>
      <c r="S1264" s="57"/>
      <c r="T1264" s="57"/>
      <c r="U1264" s="57"/>
      <c r="V1264" s="57"/>
      <c r="W1264" s="57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</row>
    <row r="1265" spans="1:36" ht="11.25" customHeight="1" x14ac:dyDescent="0.2">
      <c r="A1265" s="53" t="s">
        <v>21</v>
      </c>
      <c r="B1265" s="53" t="s">
        <v>33</v>
      </c>
      <c r="C1265" s="53" t="s">
        <v>34</v>
      </c>
      <c r="D1265" s="53" t="s">
        <v>52</v>
      </c>
      <c r="E1265" s="53" t="s">
        <v>58</v>
      </c>
      <c r="F1265" s="53" t="s">
        <v>25</v>
      </c>
      <c r="G1265" s="53" t="s">
        <v>25</v>
      </c>
      <c r="H1265" s="53" t="s">
        <v>36</v>
      </c>
      <c r="I1265" s="73">
        <v>43952</v>
      </c>
      <c r="J1265" s="74">
        <f>EFEITO!$J$1265*EFEITO!$Y$1265</f>
        <v>0</v>
      </c>
      <c r="K1265" s="74">
        <f ca="1">EFEITO!$L$1265*EFEITO!$Z$1265</f>
        <v>21348.160367374752</v>
      </c>
      <c r="L1265" s="74">
        <f>EFEITO!$N$1265*EFEITO!$AA$1265</f>
        <v>56306.234530172813</v>
      </c>
      <c r="M1265" s="74">
        <f>$J$1265-EFEITO!$K$1265*EFEITO!$Y$1265</f>
        <v>0</v>
      </c>
      <c r="N1265" s="74">
        <f ca="1">$K$1265-EFEITO!$M$1265*EFEITO!$Z$1265</f>
        <v>0</v>
      </c>
      <c r="O1265" s="74">
        <f>$L$1265-EFEITO!$O$1265*EFEITO!$AA$1265</f>
        <v>0</v>
      </c>
      <c r="P1265" s="57"/>
      <c r="Q1265" s="57"/>
      <c r="R1265" s="57"/>
      <c r="S1265" s="57"/>
      <c r="T1265" s="57"/>
      <c r="U1265" s="57"/>
      <c r="V1265" s="57"/>
      <c r="W1265" s="57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</row>
    <row r="1266" spans="1:36" ht="11.25" customHeight="1" x14ac:dyDescent="0.2">
      <c r="A1266" s="53" t="s">
        <v>21</v>
      </c>
      <c r="B1266" s="53" t="s">
        <v>33</v>
      </c>
      <c r="C1266" s="53" t="s">
        <v>34</v>
      </c>
      <c r="D1266" s="53" t="s">
        <v>52</v>
      </c>
      <c r="E1266" s="53" t="s">
        <v>58</v>
      </c>
      <c r="F1266" s="53" t="s">
        <v>25</v>
      </c>
      <c r="G1266" s="53" t="s">
        <v>25</v>
      </c>
      <c r="H1266" s="53" t="s">
        <v>36</v>
      </c>
      <c r="I1266" s="73">
        <v>43983</v>
      </c>
      <c r="J1266" s="74">
        <f>EFEITO!$J$1266*EFEITO!$Y$1266</f>
        <v>0</v>
      </c>
      <c r="K1266" s="74">
        <f ca="1">EFEITO!$L$1266*EFEITO!$Z$1266</f>
        <v>22975.757941842592</v>
      </c>
      <c r="L1266" s="74">
        <f>EFEITO!$N$1266*EFEITO!$AA$1266</f>
        <v>60599.058322558274</v>
      </c>
      <c r="M1266" s="74">
        <f>$J$1266-EFEITO!$K$1266*EFEITO!$Y$1266</f>
        <v>0</v>
      </c>
      <c r="N1266" s="74">
        <f ca="1">$K$1266-EFEITO!$M$1266*EFEITO!$Z$1266</f>
        <v>0</v>
      </c>
      <c r="O1266" s="74">
        <f>$L$1266-EFEITO!$O$1266*EFEITO!$AA$1266</f>
        <v>0</v>
      </c>
      <c r="P1266" s="57"/>
      <c r="Q1266" s="57"/>
      <c r="R1266" s="57"/>
      <c r="S1266" s="57"/>
      <c r="T1266" s="57"/>
      <c r="U1266" s="57"/>
      <c r="V1266" s="57"/>
      <c r="W1266" s="57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</row>
    <row r="1267" spans="1:36" ht="11.25" customHeight="1" x14ac:dyDescent="0.2">
      <c r="A1267" s="53" t="s">
        <v>21</v>
      </c>
      <c r="B1267" s="53" t="s">
        <v>33</v>
      </c>
      <c r="C1267" s="53" t="s">
        <v>34</v>
      </c>
      <c r="D1267" s="53" t="s">
        <v>52</v>
      </c>
      <c r="E1267" s="53" t="s">
        <v>58</v>
      </c>
      <c r="F1267" s="53" t="s">
        <v>25</v>
      </c>
      <c r="G1267" s="53" t="s">
        <v>25</v>
      </c>
      <c r="H1267" s="53" t="s">
        <v>36</v>
      </c>
      <c r="I1267" s="73">
        <v>44013</v>
      </c>
      <c r="J1267" s="74">
        <f>EFEITO!$J$1267*EFEITO!$Y$1267</f>
        <v>0</v>
      </c>
      <c r="K1267" s="74">
        <f ca="1">EFEITO!$L$1267*EFEITO!$Z$1267</f>
        <v>18948.904578459256</v>
      </c>
      <c r="L1267" s="74">
        <f>EFEITO!$N$1267*EFEITO!$AA$1267</f>
        <v>49978.145513425217</v>
      </c>
      <c r="M1267" s="74">
        <f>$J$1267-EFEITO!$K$1267*EFEITO!$Y$1267</f>
        <v>0</v>
      </c>
      <c r="N1267" s="74">
        <f ca="1">$K$1267-EFEITO!$M$1267*EFEITO!$Z$1267</f>
        <v>0</v>
      </c>
      <c r="O1267" s="74">
        <f>$L$1267-EFEITO!$O$1267*EFEITO!$AA$1267</f>
        <v>0</v>
      </c>
      <c r="P1267" s="57"/>
      <c r="Q1267" s="57"/>
      <c r="R1267" s="57"/>
      <c r="S1267" s="57"/>
      <c r="T1267" s="57"/>
      <c r="U1267" s="57"/>
      <c r="V1267" s="57"/>
      <c r="W1267" s="57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</row>
    <row r="1268" spans="1:36" ht="11.25" customHeight="1" x14ac:dyDescent="0.2">
      <c r="A1268" s="53" t="s">
        <v>21</v>
      </c>
      <c r="B1268" s="53" t="s">
        <v>33</v>
      </c>
      <c r="C1268" s="53" t="s">
        <v>34</v>
      </c>
      <c r="D1268" s="53" t="s">
        <v>52</v>
      </c>
      <c r="E1268" s="53" t="s">
        <v>58</v>
      </c>
      <c r="F1268" s="53" t="s">
        <v>25</v>
      </c>
      <c r="G1268" s="53" t="s">
        <v>25</v>
      </c>
      <c r="H1268" s="53" t="s">
        <v>36</v>
      </c>
      <c r="I1268" s="73">
        <v>44044</v>
      </c>
      <c r="J1268" s="74">
        <f>EFEITO!$J$1268*EFEITO!$Y$1268</f>
        <v>0</v>
      </c>
      <c r="K1268" s="74">
        <f ca="1">EFEITO!$L$1268*EFEITO!$Z$1268</f>
        <v>23619.812926544899</v>
      </c>
      <c r="L1268" s="74">
        <f>EFEITO!$N$1268*EFEITO!$AA$1268</f>
        <v>62297.767269601587</v>
      </c>
      <c r="M1268" s="74">
        <f>$J$1268-EFEITO!$K$1268*EFEITO!$Y$1268</f>
        <v>0</v>
      </c>
      <c r="N1268" s="74">
        <f ca="1">$K$1268-EFEITO!$M$1268*EFEITO!$Z$1268</f>
        <v>0</v>
      </c>
      <c r="O1268" s="74">
        <f>$L$1268-EFEITO!$O$1268*EFEITO!$AA$1268</f>
        <v>0</v>
      </c>
      <c r="P1268" s="57"/>
      <c r="Q1268" s="57"/>
      <c r="R1268" s="57"/>
      <c r="S1268" s="57"/>
      <c r="T1268" s="57"/>
      <c r="U1268" s="57"/>
      <c r="V1268" s="57"/>
      <c r="W1268" s="57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</row>
    <row r="1269" spans="1:36" ht="11.25" customHeight="1" x14ac:dyDescent="0.2">
      <c r="A1269" s="53" t="s">
        <v>59</v>
      </c>
      <c r="B1269" s="53" t="s">
        <v>33</v>
      </c>
      <c r="C1269" s="53" t="s">
        <v>34</v>
      </c>
      <c r="D1269" s="53" t="s">
        <v>52</v>
      </c>
      <c r="E1269" s="53" t="s">
        <v>58</v>
      </c>
      <c r="F1269" s="53" t="s">
        <v>25</v>
      </c>
      <c r="G1269" s="53" t="s">
        <v>25</v>
      </c>
      <c r="H1269" s="53" t="s">
        <v>36</v>
      </c>
      <c r="I1269" s="73">
        <v>44075</v>
      </c>
      <c r="J1269" s="74">
        <f>EFEITO!$J$1269*EFEITO!$Y$1269</f>
        <v>0</v>
      </c>
      <c r="K1269" s="74">
        <f ca="1">EFEITO!$L$1269*EFEITO!$Z$1269</f>
        <v>23619.812926544899</v>
      </c>
      <c r="L1269" s="74">
        <f>EFEITO!$N$1269*EFEITO!$AA$1269</f>
        <v>62297.767269601587</v>
      </c>
      <c r="M1269" s="74">
        <f>$J$1269-EFEITO!$K$1269*EFEITO!$Y$1269</f>
        <v>0</v>
      </c>
      <c r="N1269" s="74">
        <f ca="1">$K$1269-EFEITO!$M$1269*EFEITO!$Z$1269</f>
        <v>0</v>
      </c>
      <c r="O1269" s="74">
        <f>$L$1269-EFEITO!$O$1269*EFEITO!$AA$1269</f>
        <v>0</v>
      </c>
      <c r="P1269" s="57"/>
      <c r="Q1269" s="57"/>
      <c r="R1269" s="57"/>
      <c r="S1269" s="57"/>
      <c r="T1269" s="57"/>
      <c r="U1269" s="57"/>
      <c r="V1269" s="57"/>
      <c r="W1269" s="57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</row>
    <row r="1270" spans="1:36" ht="11.25" customHeight="1" x14ac:dyDescent="0.2">
      <c r="A1270" s="53" t="s">
        <v>21</v>
      </c>
      <c r="B1270" s="53" t="s">
        <v>33</v>
      </c>
      <c r="C1270" s="53" t="s">
        <v>34</v>
      </c>
      <c r="D1270" s="53" t="s">
        <v>52</v>
      </c>
      <c r="E1270" s="53" t="s">
        <v>58</v>
      </c>
      <c r="F1270" s="53" t="s">
        <v>25</v>
      </c>
      <c r="G1270" s="53" t="s">
        <v>25</v>
      </c>
      <c r="H1270" s="53" t="s">
        <v>25</v>
      </c>
      <c r="I1270" s="73">
        <v>43770</v>
      </c>
      <c r="J1270" s="74">
        <f ca="1">EFEITO!$J$1270*EFEITO!$Y$1270</f>
        <v>83567.846465222363</v>
      </c>
      <c r="K1270" s="74">
        <f>EFEITO!$L$1270*EFEITO!$Z$1270</f>
        <v>0</v>
      </c>
      <c r="L1270" s="74">
        <f>EFEITO!$N$1270*EFEITO!$AA$1270</f>
        <v>0</v>
      </c>
      <c r="M1270" s="74">
        <f ca="1">$J$1270-EFEITO!$K$1270*EFEITO!$Y$1270</f>
        <v>0</v>
      </c>
      <c r="N1270" s="74">
        <f>$K$1270-EFEITO!$M$1270*EFEITO!$Z$1270</f>
        <v>0</v>
      </c>
      <c r="O1270" s="74">
        <f>$L$1270-EFEITO!$O$1270*EFEITO!$AA$1270</f>
        <v>0</v>
      </c>
      <c r="P1270" s="57"/>
      <c r="Q1270" s="57"/>
      <c r="R1270" s="57"/>
      <c r="S1270" s="57"/>
      <c r="T1270" s="57"/>
      <c r="U1270" s="57"/>
      <c r="V1270" s="57"/>
      <c r="W1270" s="57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</row>
    <row r="1271" spans="1:36" ht="11.25" customHeight="1" x14ac:dyDescent="0.2">
      <c r="A1271" s="53" t="s">
        <v>21</v>
      </c>
      <c r="B1271" s="53" t="s">
        <v>33</v>
      </c>
      <c r="C1271" s="53" t="s">
        <v>34</v>
      </c>
      <c r="D1271" s="53" t="s">
        <v>52</v>
      </c>
      <c r="E1271" s="53" t="s">
        <v>58</v>
      </c>
      <c r="F1271" s="53" t="s">
        <v>25</v>
      </c>
      <c r="G1271" s="53" t="s">
        <v>25</v>
      </c>
      <c r="H1271" s="53" t="s">
        <v>25</v>
      </c>
      <c r="I1271" s="73">
        <v>43800</v>
      </c>
      <c r="J1271" s="74">
        <f ca="1">EFEITO!$J$1271*EFEITO!$Y$1271</f>
        <v>36773.517198825408</v>
      </c>
      <c r="K1271" s="74">
        <f>EFEITO!$L$1271*EFEITO!$Z$1271</f>
        <v>0</v>
      </c>
      <c r="L1271" s="74">
        <f>EFEITO!$N$1271*EFEITO!$AA$1271</f>
        <v>0</v>
      </c>
      <c r="M1271" s="74">
        <f ca="1">$J$1271-EFEITO!$K$1271*EFEITO!$Y$1271</f>
        <v>0</v>
      </c>
      <c r="N1271" s="74">
        <f>$K$1271-EFEITO!$M$1271*EFEITO!$Z$1271</f>
        <v>0</v>
      </c>
      <c r="O1271" s="74">
        <f>$L$1271-EFEITO!$O$1271*EFEITO!$AA$1271</f>
        <v>0</v>
      </c>
      <c r="P1271" s="57"/>
      <c r="Q1271" s="57"/>
      <c r="R1271" s="57"/>
      <c r="S1271" s="57"/>
      <c r="T1271" s="57"/>
      <c r="U1271" s="57"/>
      <c r="V1271" s="57"/>
      <c r="W1271" s="57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</row>
    <row r="1272" spans="1:36" ht="11.25" customHeight="1" x14ac:dyDescent="0.2">
      <c r="A1272" s="53" t="s">
        <v>21</v>
      </c>
      <c r="B1272" s="53" t="s">
        <v>33</v>
      </c>
      <c r="C1272" s="53" t="s">
        <v>34</v>
      </c>
      <c r="D1272" s="53" t="s">
        <v>52</v>
      </c>
      <c r="E1272" s="53" t="s">
        <v>58</v>
      </c>
      <c r="F1272" s="53" t="s">
        <v>25</v>
      </c>
      <c r="G1272" s="53" t="s">
        <v>25</v>
      </c>
      <c r="H1272" s="53" t="s">
        <v>25</v>
      </c>
      <c r="I1272" s="73">
        <v>43831</v>
      </c>
      <c r="J1272" s="74">
        <f ca="1">EFEITO!$J$1272*EFEITO!$Y$1272</f>
        <v>32066.598616228945</v>
      </c>
      <c r="K1272" s="74">
        <f>EFEITO!$L$1272*EFEITO!$Z$1272</f>
        <v>0</v>
      </c>
      <c r="L1272" s="74">
        <f>EFEITO!$N$1272*EFEITO!$AA$1272</f>
        <v>0</v>
      </c>
      <c r="M1272" s="74">
        <f ca="1">$J$1272-EFEITO!$K$1272*EFEITO!$Y$1272</f>
        <v>0</v>
      </c>
      <c r="N1272" s="74">
        <f>$K$1272-EFEITO!$M$1272*EFEITO!$Z$1272</f>
        <v>0</v>
      </c>
      <c r="O1272" s="74">
        <f>$L$1272-EFEITO!$O$1272*EFEITO!$AA$1272</f>
        <v>0</v>
      </c>
      <c r="P1272" s="57"/>
      <c r="Q1272" s="57"/>
      <c r="R1272" s="57"/>
      <c r="S1272" s="57"/>
      <c r="T1272" s="57"/>
      <c r="U1272" s="57"/>
      <c r="V1272" s="57"/>
      <c r="W1272" s="57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</row>
    <row r="1273" spans="1:36" ht="11.25" customHeight="1" x14ac:dyDescent="0.2">
      <c r="A1273" s="53" t="s">
        <v>21</v>
      </c>
      <c r="B1273" s="53" t="s">
        <v>33</v>
      </c>
      <c r="C1273" s="53" t="s">
        <v>34</v>
      </c>
      <c r="D1273" s="53" t="s">
        <v>52</v>
      </c>
      <c r="E1273" s="53" t="s">
        <v>58</v>
      </c>
      <c r="F1273" s="53" t="s">
        <v>25</v>
      </c>
      <c r="G1273" s="53" t="s">
        <v>25</v>
      </c>
      <c r="H1273" s="53" t="s">
        <v>25</v>
      </c>
      <c r="I1273" s="73">
        <v>43862</v>
      </c>
      <c r="J1273" s="74">
        <f ca="1">EFEITO!$J$1273*EFEITO!$Y$1273</f>
        <v>33727.190330283658</v>
      </c>
      <c r="K1273" s="74">
        <f>EFEITO!$L$1273*EFEITO!$Z$1273</f>
        <v>0</v>
      </c>
      <c r="L1273" s="74">
        <f>EFEITO!$N$1273*EFEITO!$AA$1273</f>
        <v>0</v>
      </c>
      <c r="M1273" s="74">
        <f ca="1">$J$1273-EFEITO!$K$1273*EFEITO!$Y$1273</f>
        <v>0</v>
      </c>
      <c r="N1273" s="74">
        <f>$K$1273-EFEITO!$M$1273*EFEITO!$Z$1273</f>
        <v>0</v>
      </c>
      <c r="O1273" s="74">
        <f>$L$1273-EFEITO!$O$1273*EFEITO!$AA$1273</f>
        <v>0</v>
      </c>
      <c r="P1273" s="57"/>
      <c r="Q1273" s="57"/>
      <c r="R1273" s="57"/>
      <c r="S1273" s="57"/>
      <c r="T1273" s="57"/>
      <c r="U1273" s="57"/>
      <c r="V1273" s="57"/>
      <c r="W1273" s="57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</row>
    <row r="1274" spans="1:36" ht="11.25" customHeight="1" x14ac:dyDescent="0.2">
      <c r="A1274" s="53" t="s">
        <v>21</v>
      </c>
      <c r="B1274" s="53" t="s">
        <v>33</v>
      </c>
      <c r="C1274" s="53" t="s">
        <v>34</v>
      </c>
      <c r="D1274" s="53" t="s">
        <v>52</v>
      </c>
      <c r="E1274" s="53" t="s">
        <v>58</v>
      </c>
      <c r="F1274" s="53" t="s">
        <v>25</v>
      </c>
      <c r="G1274" s="53" t="s">
        <v>25</v>
      </c>
      <c r="H1274" s="53" t="s">
        <v>25</v>
      </c>
      <c r="I1274" s="73">
        <v>43891</v>
      </c>
      <c r="J1274" s="74">
        <f ca="1">EFEITO!$J$1274*EFEITO!$Y$1274</f>
        <v>32066.598616228945</v>
      </c>
      <c r="K1274" s="74">
        <f>EFEITO!$L$1274*EFEITO!$Z$1274</f>
        <v>0</v>
      </c>
      <c r="L1274" s="74">
        <f>EFEITO!$N$1274*EFEITO!$AA$1274</f>
        <v>0</v>
      </c>
      <c r="M1274" s="74">
        <f ca="1">$J$1274-EFEITO!$K$1274*EFEITO!$Y$1274</f>
        <v>0</v>
      </c>
      <c r="N1274" s="74">
        <f>$K$1274-EFEITO!$M$1274*EFEITO!$Z$1274</f>
        <v>0</v>
      </c>
      <c r="O1274" s="74">
        <f>$L$1274-EFEITO!$O$1274*EFEITO!$AA$1274</f>
        <v>0</v>
      </c>
      <c r="P1274" s="57"/>
      <c r="Q1274" s="57"/>
      <c r="R1274" s="57"/>
      <c r="S1274" s="57"/>
      <c r="T1274" s="57"/>
      <c r="U1274" s="57"/>
      <c r="V1274" s="57"/>
      <c r="W1274" s="57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</row>
    <row r="1275" spans="1:36" ht="11.25" customHeight="1" x14ac:dyDescent="0.2">
      <c r="A1275" s="53" t="s">
        <v>21</v>
      </c>
      <c r="B1275" s="53" t="s">
        <v>33</v>
      </c>
      <c r="C1275" s="53" t="s">
        <v>34</v>
      </c>
      <c r="D1275" s="53" t="s">
        <v>52</v>
      </c>
      <c r="E1275" s="53" t="s">
        <v>58</v>
      </c>
      <c r="F1275" s="53" t="s">
        <v>25</v>
      </c>
      <c r="G1275" s="53" t="s">
        <v>25</v>
      </c>
      <c r="H1275" s="53" t="s">
        <v>25</v>
      </c>
      <c r="I1275" s="73">
        <v>43922</v>
      </c>
      <c r="J1275" s="74">
        <f ca="1">EFEITO!$J$1275*EFEITO!$Y$1275</f>
        <v>32066.598616228945</v>
      </c>
      <c r="K1275" s="74">
        <f>EFEITO!$L$1275*EFEITO!$Z$1275</f>
        <v>0</v>
      </c>
      <c r="L1275" s="74">
        <f>EFEITO!$N$1275*EFEITO!$AA$1275</f>
        <v>0</v>
      </c>
      <c r="M1275" s="74">
        <f ca="1">$J$1275-EFEITO!$K$1275*EFEITO!$Y$1275</f>
        <v>0</v>
      </c>
      <c r="N1275" s="74">
        <f>$K$1275-EFEITO!$M$1275*EFEITO!$Z$1275</f>
        <v>0</v>
      </c>
      <c r="O1275" s="74">
        <f>$L$1275-EFEITO!$O$1275*EFEITO!$AA$1275</f>
        <v>0</v>
      </c>
      <c r="P1275" s="57"/>
      <c r="Q1275" s="57"/>
      <c r="R1275" s="57"/>
      <c r="S1275" s="57"/>
      <c r="T1275" s="57"/>
      <c r="U1275" s="57"/>
      <c r="V1275" s="57"/>
      <c r="W1275" s="57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</row>
    <row r="1276" spans="1:36" ht="11.25" customHeight="1" x14ac:dyDescent="0.2">
      <c r="A1276" s="53" t="s">
        <v>21</v>
      </c>
      <c r="B1276" s="53" t="s">
        <v>33</v>
      </c>
      <c r="C1276" s="53" t="s">
        <v>34</v>
      </c>
      <c r="D1276" s="53" t="s">
        <v>52</v>
      </c>
      <c r="E1276" s="53" t="s">
        <v>58</v>
      </c>
      <c r="F1276" s="53" t="s">
        <v>25</v>
      </c>
      <c r="G1276" s="53" t="s">
        <v>25</v>
      </c>
      <c r="H1276" s="53" t="s">
        <v>25</v>
      </c>
      <c r="I1276" s="73">
        <v>43952</v>
      </c>
      <c r="J1276" s="74">
        <f ca="1">EFEITO!$J$1276*EFEITO!$Y$1276</f>
        <v>39235.773878285843</v>
      </c>
      <c r="K1276" s="74">
        <f>EFEITO!$L$1276*EFEITO!$Z$1276</f>
        <v>0</v>
      </c>
      <c r="L1276" s="74">
        <f>EFEITO!$N$1276*EFEITO!$AA$1276</f>
        <v>0</v>
      </c>
      <c r="M1276" s="74">
        <f ca="1">$J$1276-EFEITO!$K$1276*EFEITO!$Y$1276</f>
        <v>0</v>
      </c>
      <c r="N1276" s="74">
        <f>$K$1276-EFEITO!$M$1276*EFEITO!$Z$1276</f>
        <v>0</v>
      </c>
      <c r="O1276" s="74">
        <f>$L$1276-EFEITO!$O$1276*EFEITO!$AA$1276</f>
        <v>0</v>
      </c>
      <c r="P1276" s="57"/>
      <c r="Q1276" s="57"/>
      <c r="R1276" s="57"/>
      <c r="S1276" s="57"/>
      <c r="T1276" s="57"/>
      <c r="U1276" s="57"/>
      <c r="V1276" s="57"/>
      <c r="W1276" s="57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</row>
    <row r="1277" spans="1:36" ht="11.25" customHeight="1" x14ac:dyDescent="0.2">
      <c r="A1277" s="53" t="s">
        <v>21</v>
      </c>
      <c r="B1277" s="53" t="s">
        <v>33</v>
      </c>
      <c r="C1277" s="53" t="s">
        <v>34</v>
      </c>
      <c r="D1277" s="53" t="s">
        <v>52</v>
      </c>
      <c r="E1277" s="53" t="s">
        <v>58</v>
      </c>
      <c r="F1277" s="53" t="s">
        <v>25</v>
      </c>
      <c r="G1277" s="53" t="s">
        <v>25</v>
      </c>
      <c r="H1277" s="53" t="s">
        <v>25</v>
      </c>
      <c r="I1277" s="73">
        <v>43983</v>
      </c>
      <c r="J1277" s="74">
        <f ca="1">EFEITO!$J$1277*EFEITO!$Y$1277</f>
        <v>42385.171956665472</v>
      </c>
      <c r="K1277" s="74">
        <f>EFEITO!$L$1277*EFEITO!$Z$1277</f>
        <v>0</v>
      </c>
      <c r="L1277" s="74">
        <f>EFEITO!$N$1277*EFEITO!$AA$1277</f>
        <v>0</v>
      </c>
      <c r="M1277" s="74">
        <f ca="1">$J$1277-EFEITO!$K$1277*EFEITO!$Y$1277</f>
        <v>0</v>
      </c>
      <c r="N1277" s="74">
        <f>$K$1277-EFEITO!$M$1277*EFEITO!$Z$1277</f>
        <v>0</v>
      </c>
      <c r="O1277" s="74">
        <f>$L$1277-EFEITO!$O$1277*EFEITO!$AA$1277</f>
        <v>0</v>
      </c>
      <c r="P1277" s="57"/>
      <c r="Q1277" s="57"/>
      <c r="R1277" s="57"/>
      <c r="S1277" s="57"/>
      <c r="T1277" s="57"/>
      <c r="U1277" s="57"/>
      <c r="V1277" s="57"/>
      <c r="W1277" s="57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</row>
    <row r="1278" spans="1:36" ht="11.25" customHeight="1" x14ac:dyDescent="0.2">
      <c r="A1278" s="53" t="s">
        <v>21</v>
      </c>
      <c r="B1278" s="53" t="s">
        <v>33</v>
      </c>
      <c r="C1278" s="53" t="s">
        <v>34</v>
      </c>
      <c r="D1278" s="53" t="s">
        <v>52</v>
      </c>
      <c r="E1278" s="53" t="s">
        <v>58</v>
      </c>
      <c r="F1278" s="53" t="s">
        <v>25</v>
      </c>
      <c r="G1278" s="53" t="s">
        <v>25</v>
      </c>
      <c r="H1278" s="53" t="s">
        <v>25</v>
      </c>
      <c r="I1278" s="73">
        <v>44013</v>
      </c>
      <c r="J1278" s="74">
        <f ca="1">EFEITO!$J$1278*EFEITO!$Y$1278</f>
        <v>33257.643707688876</v>
      </c>
      <c r="K1278" s="74">
        <f>EFEITO!$L$1278*EFEITO!$Z$1278</f>
        <v>0</v>
      </c>
      <c r="L1278" s="74">
        <f>EFEITO!$N$1278*EFEITO!$AA$1278</f>
        <v>0</v>
      </c>
      <c r="M1278" s="74">
        <f ca="1">$J$1278-EFEITO!$K$1278*EFEITO!$Y$1278</f>
        <v>0</v>
      </c>
      <c r="N1278" s="74">
        <f>$K$1278-EFEITO!$M$1278*EFEITO!$Z$1278</f>
        <v>0</v>
      </c>
      <c r="O1278" s="74">
        <f>$L$1278-EFEITO!$O$1278*EFEITO!$AA$1278</f>
        <v>0</v>
      </c>
      <c r="P1278" s="57"/>
      <c r="Q1278" s="57"/>
      <c r="R1278" s="57"/>
      <c r="S1278" s="57"/>
      <c r="T1278" s="57"/>
      <c r="U1278" s="57"/>
      <c r="V1278" s="57"/>
      <c r="W1278" s="57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</row>
    <row r="1279" spans="1:36" ht="11.25" customHeight="1" x14ac:dyDescent="0.2">
      <c r="A1279" s="53" t="s">
        <v>21</v>
      </c>
      <c r="B1279" s="53" t="s">
        <v>33</v>
      </c>
      <c r="C1279" s="53" t="s">
        <v>34</v>
      </c>
      <c r="D1279" s="53" t="s">
        <v>52</v>
      </c>
      <c r="E1279" s="53" t="s">
        <v>58</v>
      </c>
      <c r="F1279" s="53" t="s">
        <v>25</v>
      </c>
      <c r="G1279" s="53" t="s">
        <v>25</v>
      </c>
      <c r="H1279" s="53" t="s">
        <v>25</v>
      </c>
      <c r="I1279" s="73">
        <v>44044</v>
      </c>
      <c r="J1279" s="74">
        <f ca="1">EFEITO!$J$1279*EFEITO!$Y$1279</f>
        <v>39224.32152163719</v>
      </c>
      <c r="K1279" s="74">
        <f>EFEITO!$L$1279*EFEITO!$Z$1279</f>
        <v>0</v>
      </c>
      <c r="L1279" s="74">
        <f>EFEITO!$N$1279*EFEITO!$AA$1279</f>
        <v>0</v>
      </c>
      <c r="M1279" s="74">
        <f ca="1">$J$1279-EFEITO!$K$1279*EFEITO!$Y$1279</f>
        <v>0</v>
      </c>
      <c r="N1279" s="74">
        <f>$K$1279-EFEITO!$M$1279*EFEITO!$Z$1279</f>
        <v>0</v>
      </c>
      <c r="O1279" s="74">
        <f>$L$1279-EFEITO!$O$1279*EFEITO!$AA$1279</f>
        <v>0</v>
      </c>
      <c r="P1279" s="57"/>
      <c r="Q1279" s="57"/>
      <c r="R1279" s="57"/>
      <c r="S1279" s="57"/>
      <c r="T1279" s="57"/>
      <c r="U1279" s="57"/>
      <c r="V1279" s="57"/>
      <c r="W1279" s="57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</row>
    <row r="1280" spans="1:36" ht="11.25" customHeight="1" x14ac:dyDescent="0.2">
      <c r="A1280" s="53" t="s">
        <v>59</v>
      </c>
      <c r="B1280" s="53" t="s">
        <v>33</v>
      </c>
      <c r="C1280" s="53" t="s">
        <v>34</v>
      </c>
      <c r="D1280" s="53" t="s">
        <v>52</v>
      </c>
      <c r="E1280" s="53" t="s">
        <v>58</v>
      </c>
      <c r="F1280" s="53" t="s">
        <v>25</v>
      </c>
      <c r="G1280" s="53" t="s">
        <v>25</v>
      </c>
      <c r="H1280" s="53" t="s">
        <v>25</v>
      </c>
      <c r="I1280" s="73">
        <v>44075</v>
      </c>
      <c r="J1280" s="74">
        <f ca="1">EFEITO!$J$1280*EFEITO!$Y$1280</f>
        <v>39224.32152163719</v>
      </c>
      <c r="K1280" s="74">
        <f>EFEITO!$L$1280*EFEITO!$Z$1280</f>
        <v>0</v>
      </c>
      <c r="L1280" s="74">
        <f>EFEITO!$N$1280*EFEITO!$AA$1280</f>
        <v>0</v>
      </c>
      <c r="M1280" s="74">
        <f ca="1">$J$1280-EFEITO!$K$1280*EFEITO!$Y$1280</f>
        <v>0</v>
      </c>
      <c r="N1280" s="74">
        <f>$K$1280-EFEITO!$M$1280*EFEITO!$Z$1280</f>
        <v>0</v>
      </c>
      <c r="O1280" s="74">
        <f>$L$1280-EFEITO!$O$1280*EFEITO!$AA$1280</f>
        <v>0</v>
      </c>
      <c r="P1280" s="57"/>
      <c r="Q1280" s="57"/>
      <c r="R1280" s="57"/>
      <c r="S1280" s="57"/>
      <c r="T1280" s="57"/>
      <c r="U1280" s="57"/>
      <c r="V1280" s="57"/>
      <c r="W1280" s="57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</row>
    <row r="1281" spans="1:36" ht="11.25" customHeight="1" x14ac:dyDescent="0.2">
      <c r="A1281" s="53" t="s">
        <v>21</v>
      </c>
      <c r="B1281" s="53" t="s">
        <v>33</v>
      </c>
      <c r="C1281" s="53" t="s">
        <v>34</v>
      </c>
      <c r="D1281" s="53" t="s">
        <v>52</v>
      </c>
      <c r="E1281" s="53" t="s">
        <v>58</v>
      </c>
      <c r="F1281" s="53" t="s">
        <v>25</v>
      </c>
      <c r="G1281" s="53" t="s">
        <v>25</v>
      </c>
      <c r="H1281" s="53" t="s">
        <v>35</v>
      </c>
      <c r="I1281" s="73">
        <v>43770</v>
      </c>
      <c r="J1281" s="74">
        <f>EFEITO!$J$1281*EFEITO!$Y$1281</f>
        <v>0</v>
      </c>
      <c r="K1281" s="74">
        <f ca="1">EFEITO!$L$1281*EFEITO!$Z$1281</f>
        <v>21857.001889954838</v>
      </c>
      <c r="L1281" s="74">
        <f>EFEITO!$N$1281*EFEITO!$AA$1281</f>
        <v>10981.847084343923</v>
      </c>
      <c r="M1281" s="74">
        <f>$J$1281-EFEITO!$K$1281*EFEITO!$Y$1281</f>
        <v>0</v>
      </c>
      <c r="N1281" s="74">
        <f ca="1">$K$1281-EFEITO!$M$1281*EFEITO!$Z$1281</f>
        <v>0</v>
      </c>
      <c r="O1281" s="74">
        <f>$L$1281-EFEITO!$O$1281*EFEITO!$AA$1281</f>
        <v>0</v>
      </c>
      <c r="P1281" s="57"/>
      <c r="Q1281" s="57"/>
      <c r="R1281" s="57"/>
      <c r="S1281" s="57"/>
      <c r="T1281" s="57"/>
      <c r="U1281" s="57"/>
      <c r="V1281" s="57"/>
      <c r="W1281" s="57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</row>
    <row r="1282" spans="1:36" ht="11.25" customHeight="1" x14ac:dyDescent="0.2">
      <c r="A1282" s="53" t="s">
        <v>21</v>
      </c>
      <c r="B1282" s="53" t="s">
        <v>33</v>
      </c>
      <c r="C1282" s="53" t="s">
        <v>34</v>
      </c>
      <c r="D1282" s="53" t="s">
        <v>52</v>
      </c>
      <c r="E1282" s="53" t="s">
        <v>58</v>
      </c>
      <c r="F1282" s="53" t="s">
        <v>25</v>
      </c>
      <c r="G1282" s="53" t="s">
        <v>25</v>
      </c>
      <c r="H1282" s="53" t="s">
        <v>35</v>
      </c>
      <c r="I1282" s="73">
        <v>43800</v>
      </c>
      <c r="J1282" s="74">
        <f>EFEITO!$J$1282*EFEITO!$Y$1282</f>
        <v>0</v>
      </c>
      <c r="K1282" s="74">
        <f ca="1">EFEITO!$L$1282*EFEITO!$Z$1282</f>
        <v>14925.511091833618</v>
      </c>
      <c r="L1282" s="74">
        <f>EFEITO!$N$1282*EFEITO!$AA$1282</f>
        <v>7499.18407343536</v>
      </c>
      <c r="M1282" s="74">
        <f>$J$1282-EFEITO!$K$1282*EFEITO!$Y$1282</f>
        <v>0</v>
      </c>
      <c r="N1282" s="74">
        <f ca="1">$K$1282-EFEITO!$M$1282*EFEITO!$Z$1282</f>
        <v>0</v>
      </c>
      <c r="O1282" s="74">
        <f>$L$1282-EFEITO!$O$1282*EFEITO!$AA$1282</f>
        <v>0</v>
      </c>
      <c r="P1282" s="57"/>
      <c r="Q1282" s="57"/>
      <c r="R1282" s="57"/>
      <c r="S1282" s="57"/>
      <c r="T1282" s="57"/>
      <c r="U1282" s="57"/>
      <c r="V1282" s="57"/>
      <c r="W1282" s="57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</row>
    <row r="1283" spans="1:36" ht="11.25" customHeight="1" x14ac:dyDescent="0.2">
      <c r="A1283" s="53" t="s">
        <v>21</v>
      </c>
      <c r="B1283" s="53" t="s">
        <v>33</v>
      </c>
      <c r="C1283" s="53" t="s">
        <v>34</v>
      </c>
      <c r="D1283" s="53" t="s">
        <v>52</v>
      </c>
      <c r="E1283" s="53" t="s">
        <v>58</v>
      </c>
      <c r="F1283" s="53" t="s">
        <v>25</v>
      </c>
      <c r="G1283" s="53" t="s">
        <v>25</v>
      </c>
      <c r="H1283" s="53" t="s">
        <v>35</v>
      </c>
      <c r="I1283" s="73">
        <v>43831</v>
      </c>
      <c r="J1283" s="74">
        <f>EFEITO!$J$1283*EFEITO!$Y$1283</f>
        <v>0</v>
      </c>
      <c r="K1283" s="74">
        <f ca="1">EFEITO!$L$1283*EFEITO!$Z$1283</f>
        <v>10255.914540132753</v>
      </c>
      <c r="L1283" s="74">
        <f>EFEITO!$N$1283*EFEITO!$AA$1283</f>
        <v>5152.9887656549972</v>
      </c>
      <c r="M1283" s="74">
        <f>$J$1283-EFEITO!$K$1283*EFEITO!$Y$1283</f>
        <v>0</v>
      </c>
      <c r="N1283" s="74">
        <f ca="1">$K$1283-EFEITO!$M$1283*EFEITO!$Z$1283</f>
        <v>0</v>
      </c>
      <c r="O1283" s="74">
        <f>$L$1283-EFEITO!$O$1283*EFEITO!$AA$1283</f>
        <v>0</v>
      </c>
      <c r="P1283" s="57"/>
      <c r="Q1283" s="57"/>
      <c r="R1283" s="57"/>
      <c r="S1283" s="57"/>
      <c r="T1283" s="57"/>
      <c r="U1283" s="57"/>
      <c r="V1283" s="57"/>
      <c r="W1283" s="57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</row>
    <row r="1284" spans="1:36" ht="11.25" customHeight="1" x14ac:dyDescent="0.2">
      <c r="A1284" s="53" t="s">
        <v>21</v>
      </c>
      <c r="B1284" s="53" t="s">
        <v>33</v>
      </c>
      <c r="C1284" s="53" t="s">
        <v>34</v>
      </c>
      <c r="D1284" s="53" t="s">
        <v>52</v>
      </c>
      <c r="E1284" s="53" t="s">
        <v>58</v>
      </c>
      <c r="F1284" s="53" t="s">
        <v>25</v>
      </c>
      <c r="G1284" s="53" t="s">
        <v>25</v>
      </c>
      <c r="H1284" s="53" t="s">
        <v>35</v>
      </c>
      <c r="I1284" s="73">
        <v>43862</v>
      </c>
      <c r="J1284" s="74">
        <f>EFEITO!$J$1284*EFEITO!$Y$1284</f>
        <v>0</v>
      </c>
      <c r="K1284" s="74">
        <f ca="1">EFEITO!$L$1284*EFEITO!$Z$1284</f>
        <v>12285.263626012042</v>
      </c>
      <c r="L1284" s="74">
        <f>EFEITO!$N$1284*EFEITO!$AA$1284</f>
        <v>6172.6163181475358</v>
      </c>
      <c r="M1284" s="74">
        <f>$J$1284-EFEITO!$K$1284*EFEITO!$Y$1284</f>
        <v>0</v>
      </c>
      <c r="N1284" s="74">
        <f ca="1">$K$1284-EFEITO!$M$1284*EFEITO!$Z$1284</f>
        <v>0</v>
      </c>
      <c r="O1284" s="74">
        <f>$L$1284-EFEITO!$O$1284*EFEITO!$AA$1284</f>
        <v>0</v>
      </c>
      <c r="P1284" s="57"/>
      <c r="Q1284" s="57"/>
      <c r="R1284" s="57"/>
      <c r="S1284" s="57"/>
      <c r="T1284" s="57"/>
      <c r="U1284" s="57"/>
      <c r="V1284" s="57"/>
      <c r="W1284" s="57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</row>
    <row r="1285" spans="1:36" ht="11.25" customHeight="1" x14ac:dyDescent="0.2">
      <c r="A1285" s="53" t="s">
        <v>21</v>
      </c>
      <c r="B1285" s="53" t="s">
        <v>33</v>
      </c>
      <c r="C1285" s="53" t="s">
        <v>34</v>
      </c>
      <c r="D1285" s="53" t="s">
        <v>52</v>
      </c>
      <c r="E1285" s="53" t="s">
        <v>58</v>
      </c>
      <c r="F1285" s="53" t="s">
        <v>25</v>
      </c>
      <c r="G1285" s="53" t="s">
        <v>25</v>
      </c>
      <c r="H1285" s="53" t="s">
        <v>35</v>
      </c>
      <c r="I1285" s="73">
        <v>43891</v>
      </c>
      <c r="J1285" s="74">
        <f>EFEITO!$J$1285*EFEITO!$Y$1285</f>
        <v>0</v>
      </c>
      <c r="K1285" s="74">
        <f ca="1">EFEITO!$L$1285*EFEITO!$Z$1285</f>
        <v>10964.018292648481</v>
      </c>
      <c r="L1285" s="74">
        <f>EFEITO!$N$1285*EFEITO!$AA$1285</f>
        <v>5508.7689027995939</v>
      </c>
      <c r="M1285" s="74">
        <f>$J$1285-EFEITO!$K$1285*EFEITO!$Y$1285</f>
        <v>0</v>
      </c>
      <c r="N1285" s="74">
        <f ca="1">$K$1285-EFEITO!$M$1285*EFEITO!$Z$1285</f>
        <v>0</v>
      </c>
      <c r="O1285" s="74">
        <f>$L$1285-EFEITO!$O$1285*EFEITO!$AA$1285</f>
        <v>0</v>
      </c>
      <c r="P1285" s="57"/>
      <c r="Q1285" s="57"/>
      <c r="R1285" s="57"/>
      <c r="S1285" s="57"/>
      <c r="T1285" s="57"/>
      <c r="U1285" s="57"/>
      <c r="V1285" s="57"/>
      <c r="W1285" s="57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</row>
    <row r="1286" spans="1:36" ht="11.25" customHeight="1" x14ac:dyDescent="0.2">
      <c r="A1286" s="53" t="s">
        <v>21</v>
      </c>
      <c r="B1286" s="53" t="s">
        <v>33</v>
      </c>
      <c r="C1286" s="53" t="s">
        <v>34</v>
      </c>
      <c r="D1286" s="53" t="s">
        <v>52</v>
      </c>
      <c r="E1286" s="53" t="s">
        <v>58</v>
      </c>
      <c r="F1286" s="53" t="s">
        <v>25</v>
      </c>
      <c r="G1286" s="53" t="s">
        <v>25</v>
      </c>
      <c r="H1286" s="53" t="s">
        <v>35</v>
      </c>
      <c r="I1286" s="73">
        <v>43922</v>
      </c>
      <c r="J1286" s="74">
        <f>EFEITO!$J$1286*EFEITO!$Y$1286</f>
        <v>0</v>
      </c>
      <c r="K1286" s="74">
        <f ca="1">EFEITO!$L$1286*EFEITO!$Z$1286</f>
        <v>8849.4275723586434</v>
      </c>
      <c r="L1286" s="74">
        <f>EFEITO!$N$1286*EFEITO!$AA$1286</f>
        <v>4446.3124848007365</v>
      </c>
      <c r="M1286" s="74">
        <f>$J$1286-EFEITO!$K$1286*EFEITO!$Y$1286</f>
        <v>0</v>
      </c>
      <c r="N1286" s="74">
        <f ca="1">$K$1286-EFEITO!$M$1286*EFEITO!$Z$1286</f>
        <v>0</v>
      </c>
      <c r="O1286" s="74">
        <f>$L$1286-EFEITO!$O$1286*EFEITO!$AA$1286</f>
        <v>0</v>
      </c>
      <c r="P1286" s="57"/>
      <c r="Q1286" s="57"/>
      <c r="R1286" s="57"/>
      <c r="S1286" s="57"/>
      <c r="T1286" s="57"/>
      <c r="U1286" s="57"/>
      <c r="V1286" s="57"/>
      <c r="W1286" s="57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</row>
    <row r="1287" spans="1:36" ht="11.25" customHeight="1" x14ac:dyDescent="0.2">
      <c r="A1287" s="53" t="s">
        <v>21</v>
      </c>
      <c r="B1287" s="53" t="s">
        <v>33</v>
      </c>
      <c r="C1287" s="53" t="s">
        <v>34</v>
      </c>
      <c r="D1287" s="53" t="s">
        <v>52</v>
      </c>
      <c r="E1287" s="53" t="s">
        <v>58</v>
      </c>
      <c r="F1287" s="53" t="s">
        <v>25</v>
      </c>
      <c r="G1287" s="53" t="s">
        <v>25</v>
      </c>
      <c r="H1287" s="53" t="s">
        <v>35</v>
      </c>
      <c r="I1287" s="73">
        <v>43952</v>
      </c>
      <c r="J1287" s="74">
        <f>EFEITO!$J$1287*EFEITO!$Y$1287</f>
        <v>0</v>
      </c>
      <c r="K1287" s="74">
        <f ca="1">EFEITO!$L$1287*EFEITO!$Z$1287</f>
        <v>14952.429502700108</v>
      </c>
      <c r="L1287" s="74">
        <f>EFEITO!$N$1287*EFEITO!$AA$1287</f>
        <v>7512.7089783320926</v>
      </c>
      <c r="M1287" s="74">
        <f>$J$1287-EFEITO!$K$1287*EFEITO!$Y$1287</f>
        <v>0</v>
      </c>
      <c r="N1287" s="74">
        <f ca="1">$K$1287-EFEITO!$M$1287*EFEITO!$Z$1287</f>
        <v>0</v>
      </c>
      <c r="O1287" s="74">
        <f>$L$1287-EFEITO!$O$1287*EFEITO!$AA$1287</f>
        <v>0</v>
      </c>
      <c r="P1287" s="57"/>
      <c r="Q1287" s="57"/>
      <c r="R1287" s="57"/>
      <c r="S1287" s="57"/>
      <c r="T1287" s="57"/>
      <c r="U1287" s="57"/>
      <c r="V1287" s="57"/>
      <c r="W1287" s="57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</row>
    <row r="1288" spans="1:36" ht="11.25" customHeight="1" x14ac:dyDescent="0.2">
      <c r="A1288" s="53" t="s">
        <v>21</v>
      </c>
      <c r="B1288" s="53" t="s">
        <v>33</v>
      </c>
      <c r="C1288" s="53" t="s">
        <v>34</v>
      </c>
      <c r="D1288" s="53" t="s">
        <v>52</v>
      </c>
      <c r="E1288" s="53" t="s">
        <v>58</v>
      </c>
      <c r="F1288" s="53" t="s">
        <v>25</v>
      </c>
      <c r="G1288" s="53" t="s">
        <v>25</v>
      </c>
      <c r="H1288" s="53" t="s">
        <v>35</v>
      </c>
      <c r="I1288" s="73">
        <v>43983</v>
      </c>
      <c r="J1288" s="74">
        <f>EFEITO!$J$1288*EFEITO!$Y$1288</f>
        <v>0</v>
      </c>
      <c r="K1288" s="74">
        <f ca="1">EFEITO!$L$1288*EFEITO!$Z$1288</f>
        <v>17534.353744977623</v>
      </c>
      <c r="L1288" s="74">
        <f>EFEITO!$N$1288*EFEITO!$AA$1288</f>
        <v>8809.9727730103295</v>
      </c>
      <c r="M1288" s="74">
        <f>$J$1288-EFEITO!$K$1288*EFEITO!$Y$1288</f>
        <v>0</v>
      </c>
      <c r="N1288" s="74">
        <f ca="1">$K$1288-EFEITO!$M$1288*EFEITO!$Z$1288</f>
        <v>0</v>
      </c>
      <c r="O1288" s="74">
        <f>$L$1288-EFEITO!$O$1288*EFEITO!$AA$1288</f>
        <v>0</v>
      </c>
      <c r="P1288" s="57"/>
      <c r="Q1288" s="57"/>
      <c r="R1288" s="57"/>
      <c r="S1288" s="57"/>
      <c r="T1288" s="57"/>
      <c r="U1288" s="57"/>
      <c r="V1288" s="57"/>
      <c r="W1288" s="57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</row>
    <row r="1289" spans="1:36" ht="11.25" customHeight="1" x14ac:dyDescent="0.2">
      <c r="A1289" s="53" t="s">
        <v>21</v>
      </c>
      <c r="B1289" s="53" t="s">
        <v>33</v>
      </c>
      <c r="C1289" s="53" t="s">
        <v>34</v>
      </c>
      <c r="D1289" s="53" t="s">
        <v>52</v>
      </c>
      <c r="E1289" s="53" t="s">
        <v>58</v>
      </c>
      <c r="F1289" s="53" t="s">
        <v>25</v>
      </c>
      <c r="G1289" s="53" t="s">
        <v>25</v>
      </c>
      <c r="H1289" s="53" t="s">
        <v>35</v>
      </c>
      <c r="I1289" s="73">
        <v>44013</v>
      </c>
      <c r="J1289" s="74">
        <f>EFEITO!$J$1289*EFEITO!$Y$1289</f>
        <v>0</v>
      </c>
      <c r="K1289" s="74">
        <f ca="1">EFEITO!$L$1289*EFEITO!$Z$1289</f>
        <v>9487.244363167425</v>
      </c>
      <c r="L1289" s="74">
        <f>EFEITO!$N$1289*EFEITO!$AA$1289</f>
        <v>4766.7775924927537</v>
      </c>
      <c r="M1289" s="74">
        <f>$J$1289-EFEITO!$K$1289*EFEITO!$Y$1289</f>
        <v>0</v>
      </c>
      <c r="N1289" s="74">
        <f ca="1">$K$1289-EFEITO!$M$1289*EFEITO!$Z$1289</f>
        <v>0</v>
      </c>
      <c r="O1289" s="74">
        <f>$L$1289-EFEITO!$O$1289*EFEITO!$AA$1289</f>
        <v>0</v>
      </c>
      <c r="P1289" s="57"/>
      <c r="Q1289" s="57"/>
      <c r="R1289" s="57"/>
      <c r="S1289" s="57"/>
      <c r="T1289" s="57"/>
      <c r="U1289" s="57"/>
      <c r="V1289" s="57"/>
      <c r="W1289" s="57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</row>
    <row r="1290" spans="1:36" ht="11.25" customHeight="1" x14ac:dyDescent="0.2">
      <c r="A1290" s="53" t="s">
        <v>21</v>
      </c>
      <c r="B1290" s="53" t="s">
        <v>33</v>
      </c>
      <c r="C1290" s="53" t="s">
        <v>34</v>
      </c>
      <c r="D1290" s="53" t="s">
        <v>52</v>
      </c>
      <c r="E1290" s="53" t="s">
        <v>58</v>
      </c>
      <c r="F1290" s="53" t="s">
        <v>25</v>
      </c>
      <c r="G1290" s="53" t="s">
        <v>25</v>
      </c>
      <c r="H1290" s="53" t="s">
        <v>35</v>
      </c>
      <c r="I1290" s="73">
        <v>44044</v>
      </c>
      <c r="J1290" s="74">
        <f>EFEITO!$J$1290*EFEITO!$Y$1290</f>
        <v>0</v>
      </c>
      <c r="K1290" s="74">
        <f ca="1">EFEITO!$L$1290*EFEITO!$Z$1290</f>
        <v>14831.296653800904</v>
      </c>
      <c r="L1290" s="74">
        <f>EFEITO!$N$1290*EFEITO!$AA$1290</f>
        <v>7451.8469062967979</v>
      </c>
      <c r="M1290" s="74">
        <f>$J$1290-EFEITO!$K$1290*EFEITO!$Y$1290</f>
        <v>0</v>
      </c>
      <c r="N1290" s="74">
        <f ca="1">$K$1290-EFEITO!$M$1290*EFEITO!$Z$1290</f>
        <v>0</v>
      </c>
      <c r="O1290" s="74">
        <f>$L$1290-EFEITO!$O$1290*EFEITO!$AA$1290</f>
        <v>0</v>
      </c>
      <c r="P1290" s="57"/>
      <c r="Q1290" s="57"/>
      <c r="R1290" s="57"/>
      <c r="S1290" s="57"/>
      <c r="T1290" s="57"/>
      <c r="U1290" s="57"/>
      <c r="V1290" s="57"/>
      <c r="W1290" s="57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</row>
    <row r="1291" spans="1:36" ht="11.25" customHeight="1" x14ac:dyDescent="0.2">
      <c r="A1291" s="53" t="s">
        <v>59</v>
      </c>
      <c r="B1291" s="53" t="s">
        <v>33</v>
      </c>
      <c r="C1291" s="53" t="s">
        <v>34</v>
      </c>
      <c r="D1291" s="53" t="s">
        <v>52</v>
      </c>
      <c r="E1291" s="53" t="s">
        <v>58</v>
      </c>
      <c r="F1291" s="53" t="s">
        <v>25</v>
      </c>
      <c r="G1291" s="53" t="s">
        <v>25</v>
      </c>
      <c r="H1291" s="53" t="s">
        <v>35</v>
      </c>
      <c r="I1291" s="73">
        <v>44075</v>
      </c>
      <c r="J1291" s="74">
        <f>EFEITO!$J$1291*EFEITO!$Y$1291</f>
        <v>0</v>
      </c>
      <c r="K1291" s="74">
        <f ca="1">EFEITO!$L$1291*EFEITO!$Z$1291</f>
        <v>14831.296653800904</v>
      </c>
      <c r="L1291" s="74">
        <f>EFEITO!$N$1291*EFEITO!$AA$1291</f>
        <v>7451.8469062967979</v>
      </c>
      <c r="M1291" s="74">
        <f>$J$1291-EFEITO!$K$1291*EFEITO!$Y$1291</f>
        <v>0</v>
      </c>
      <c r="N1291" s="74">
        <f ca="1">$K$1291-EFEITO!$M$1291*EFEITO!$Z$1291</f>
        <v>0</v>
      </c>
      <c r="O1291" s="74">
        <f>$L$1291-EFEITO!$O$1291*EFEITO!$AA$1291</f>
        <v>0</v>
      </c>
      <c r="P1291" s="57"/>
      <c r="Q1291" s="57"/>
      <c r="R1291" s="57"/>
      <c r="S1291" s="57"/>
      <c r="T1291" s="57"/>
      <c r="U1291" s="57"/>
      <c r="V1291" s="57"/>
      <c r="W1291" s="57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</row>
    <row r="1292" spans="1:36" ht="11.25" customHeight="1" x14ac:dyDescent="0.2">
      <c r="A1292" s="53" t="s">
        <v>21</v>
      </c>
      <c r="B1292" s="53" t="s">
        <v>44</v>
      </c>
      <c r="C1292" s="53" t="s">
        <v>41</v>
      </c>
      <c r="D1292" s="53" t="s">
        <v>42</v>
      </c>
      <c r="E1292" s="53" t="s">
        <v>25</v>
      </c>
      <c r="F1292" s="53" t="s">
        <v>25</v>
      </c>
      <c r="G1292" s="53" t="s">
        <v>25</v>
      </c>
      <c r="H1292" s="53" t="s">
        <v>36</v>
      </c>
      <c r="I1292" s="73">
        <v>43739</v>
      </c>
      <c r="J1292" s="74">
        <f ca="1">EFEITO!$J$1292*EFEITO!$Y$1292</f>
        <v>331867.1060121184</v>
      </c>
      <c r="K1292" s="74">
        <f ca="1">EFEITO!$L$1292*EFEITO!$Z$1292</f>
        <v>838166.74774162262</v>
      </c>
      <c r="L1292" s="74">
        <f>EFEITO!$N$1292*EFEITO!$AA$1292</f>
        <v>1712509.6010870663</v>
      </c>
      <c r="M1292" s="74">
        <f ca="1">$J$1292-EFEITO!$K$1292*EFEITO!$Y$1292</f>
        <v>0</v>
      </c>
      <c r="N1292" s="74">
        <f ca="1">$K$1292-EFEITO!$M$1292*EFEITO!$Z$1292</f>
        <v>0</v>
      </c>
      <c r="O1292" s="74">
        <f>$L$1292-EFEITO!$O$1292*EFEITO!$AA$1292</f>
        <v>0</v>
      </c>
      <c r="P1292" s="57"/>
      <c r="Q1292" s="57"/>
      <c r="R1292" s="57"/>
      <c r="S1292" s="57"/>
      <c r="T1292" s="57"/>
      <c r="U1292" s="57"/>
      <c r="V1292" s="57"/>
      <c r="W1292" s="57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</row>
    <row r="1293" spans="1:36" ht="11.25" customHeight="1" x14ac:dyDescent="0.2">
      <c r="A1293" s="53" t="s">
        <v>28</v>
      </c>
      <c r="B1293" s="53" t="s">
        <v>44</v>
      </c>
      <c r="C1293" s="53" t="s">
        <v>41</v>
      </c>
      <c r="D1293" s="53" t="s">
        <v>42</v>
      </c>
      <c r="E1293" s="53" t="s">
        <v>25</v>
      </c>
      <c r="F1293" s="53" t="s">
        <v>25</v>
      </c>
      <c r="G1293" s="53" t="s">
        <v>25</v>
      </c>
      <c r="H1293" s="53" t="s">
        <v>36</v>
      </c>
      <c r="I1293" s="73">
        <v>43739</v>
      </c>
      <c r="J1293" s="74">
        <f ca="1">EFEITO!$J$1293*EFEITO!$Y$1293</f>
        <v>37761.263689725631</v>
      </c>
      <c r="K1293" s="74">
        <f ca="1">EFEITO!$L$1293*EFEITO!$Z$1293</f>
        <v>75553.438624322764</v>
      </c>
      <c r="L1293" s="74">
        <f>EFEITO!$N$1293*EFEITO!$AA$1293</f>
        <v>154367.8383661914</v>
      </c>
      <c r="M1293" s="74">
        <f ca="1">$J$1293-EFEITO!$K$1293*EFEITO!$Y$1293</f>
        <v>0</v>
      </c>
      <c r="N1293" s="74">
        <f ca="1">$K$1293-EFEITO!$M$1293*EFEITO!$Z$1293</f>
        <v>0</v>
      </c>
      <c r="O1293" s="74">
        <f>$L$1293-EFEITO!$O$1293*EFEITO!$AA$1293</f>
        <v>0</v>
      </c>
      <c r="P1293" s="57"/>
      <c r="Q1293" s="57"/>
      <c r="R1293" s="57"/>
      <c r="S1293" s="57"/>
      <c r="T1293" s="57"/>
      <c r="U1293" s="57"/>
      <c r="V1293" s="57"/>
      <c r="W1293" s="57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</row>
    <row r="1294" spans="1:36" ht="11.25" customHeight="1" x14ac:dyDescent="0.2">
      <c r="A1294" s="53" t="s">
        <v>21</v>
      </c>
      <c r="B1294" s="53" t="s">
        <v>44</v>
      </c>
      <c r="C1294" s="53" t="s">
        <v>41</v>
      </c>
      <c r="D1294" s="53" t="s">
        <v>42</v>
      </c>
      <c r="E1294" s="53" t="s">
        <v>25</v>
      </c>
      <c r="F1294" s="53" t="s">
        <v>25</v>
      </c>
      <c r="G1294" s="53" t="s">
        <v>25</v>
      </c>
      <c r="H1294" s="53" t="s">
        <v>36</v>
      </c>
      <c r="I1294" s="73">
        <v>43770</v>
      </c>
      <c r="J1294" s="74">
        <f ca="1">EFEITO!$J$1294*EFEITO!$Y$1294</f>
        <v>319210.68246187561</v>
      </c>
      <c r="K1294" s="74">
        <f ca="1">EFEITO!$L$1294*EFEITO!$Z$1294</f>
        <v>845171.33045815234</v>
      </c>
      <c r="L1294" s="74">
        <f>EFEITO!$N$1294*EFEITO!$AA$1294</f>
        <v>1726821.0912362358</v>
      </c>
      <c r="M1294" s="74">
        <f ca="1">$J$1294-EFEITO!$K$1294*EFEITO!$Y$1294</f>
        <v>0</v>
      </c>
      <c r="N1294" s="74">
        <f ca="1">$K$1294-EFEITO!$M$1294*EFEITO!$Z$1294</f>
        <v>0</v>
      </c>
      <c r="O1294" s="74">
        <f>$L$1294-EFEITO!$O$1294*EFEITO!$AA$1294</f>
        <v>0</v>
      </c>
      <c r="P1294" s="57"/>
      <c r="Q1294" s="57"/>
      <c r="R1294" s="57"/>
      <c r="S1294" s="57"/>
      <c r="T1294" s="57"/>
      <c r="U1294" s="57"/>
      <c r="V1294" s="57"/>
      <c r="W1294" s="57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</row>
    <row r="1295" spans="1:36" ht="11.25" customHeight="1" x14ac:dyDescent="0.2">
      <c r="A1295" s="53" t="s">
        <v>27</v>
      </c>
      <c r="B1295" s="53" t="s">
        <v>44</v>
      </c>
      <c r="C1295" s="53" t="s">
        <v>41</v>
      </c>
      <c r="D1295" s="53" t="s">
        <v>42</v>
      </c>
      <c r="E1295" s="53" t="s">
        <v>25</v>
      </c>
      <c r="F1295" s="53" t="s">
        <v>25</v>
      </c>
      <c r="G1295" s="53" t="s">
        <v>25</v>
      </c>
      <c r="H1295" s="53" t="s">
        <v>36</v>
      </c>
      <c r="I1295" s="73">
        <v>43770</v>
      </c>
      <c r="J1295" s="74">
        <f ca="1">EFEITO!$J$1295*EFEITO!$Y$1295</f>
        <v>14832.496373040534</v>
      </c>
      <c r="K1295" s="74">
        <f ca="1">EFEITO!$L$1295*EFEITO!$Z$1295</f>
        <v>39315.662254357383</v>
      </c>
      <c r="L1295" s="74">
        <f>EFEITO!$N$1295*EFEITO!$AA$1295</f>
        <v>80328.227366564999</v>
      </c>
      <c r="M1295" s="74">
        <f ca="1">$J$1295-EFEITO!$K$1295*EFEITO!$Y$1295</f>
        <v>0</v>
      </c>
      <c r="N1295" s="74">
        <f ca="1">$K$1295-EFEITO!$M$1295*EFEITO!$Z$1295</f>
        <v>0</v>
      </c>
      <c r="O1295" s="74">
        <f>$L$1295-EFEITO!$O$1295*EFEITO!$AA$1295</f>
        <v>0</v>
      </c>
      <c r="P1295" s="57"/>
      <c r="Q1295" s="57"/>
      <c r="R1295" s="57"/>
      <c r="S1295" s="57"/>
      <c r="T1295" s="57"/>
      <c r="U1295" s="57"/>
      <c r="V1295" s="57"/>
      <c r="W1295" s="57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</row>
    <row r="1296" spans="1:36" ht="11.25" customHeight="1" x14ac:dyDescent="0.2">
      <c r="A1296" s="53" t="s">
        <v>28</v>
      </c>
      <c r="B1296" s="53" t="s">
        <v>44</v>
      </c>
      <c r="C1296" s="53" t="s">
        <v>41</v>
      </c>
      <c r="D1296" s="53" t="s">
        <v>42</v>
      </c>
      <c r="E1296" s="53" t="s">
        <v>25</v>
      </c>
      <c r="F1296" s="53" t="s">
        <v>25</v>
      </c>
      <c r="G1296" s="53" t="s">
        <v>25</v>
      </c>
      <c r="H1296" s="53" t="s">
        <v>36</v>
      </c>
      <c r="I1296" s="73">
        <v>43770</v>
      </c>
      <c r="J1296" s="74">
        <f ca="1">EFEITO!$J$1296*EFEITO!$Y$1296</f>
        <v>37761.263689725631</v>
      </c>
      <c r="K1296" s="74">
        <f ca="1">EFEITO!$L$1296*EFEITO!$Z$1296</f>
        <v>82166.775192570407</v>
      </c>
      <c r="L1296" s="74">
        <f>EFEITO!$N$1296*EFEITO!$AA$1296</f>
        <v>167879.94964817641</v>
      </c>
      <c r="M1296" s="74">
        <f ca="1">$J$1296-EFEITO!$K$1296*EFEITO!$Y$1296</f>
        <v>0</v>
      </c>
      <c r="N1296" s="74">
        <f ca="1">$K$1296-EFEITO!$M$1296*EFEITO!$Z$1296</f>
        <v>0</v>
      </c>
      <c r="O1296" s="74">
        <f>$L$1296-EFEITO!$O$1296*EFEITO!$AA$1296</f>
        <v>0</v>
      </c>
      <c r="P1296" s="57"/>
      <c r="Q1296" s="57"/>
      <c r="R1296" s="57"/>
      <c r="S1296" s="57"/>
      <c r="T1296" s="57"/>
      <c r="U1296" s="57"/>
      <c r="V1296" s="57"/>
      <c r="W1296" s="57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</row>
    <row r="1297" spans="1:36" ht="11.25" customHeight="1" x14ac:dyDescent="0.2">
      <c r="A1297" s="53" t="s">
        <v>21</v>
      </c>
      <c r="B1297" s="53" t="s">
        <v>44</v>
      </c>
      <c r="C1297" s="53" t="s">
        <v>41</v>
      </c>
      <c r="D1297" s="53" t="s">
        <v>42</v>
      </c>
      <c r="E1297" s="53" t="s">
        <v>25</v>
      </c>
      <c r="F1297" s="53" t="s">
        <v>25</v>
      </c>
      <c r="G1297" s="53" t="s">
        <v>25</v>
      </c>
      <c r="H1297" s="53" t="s">
        <v>36</v>
      </c>
      <c r="I1297" s="73">
        <v>43800</v>
      </c>
      <c r="J1297" s="74">
        <f ca="1">EFEITO!$J$1297*EFEITO!$Y$1297</f>
        <v>308154.31245780759</v>
      </c>
      <c r="K1297" s="74">
        <f ca="1">EFEITO!$L$1297*EFEITO!$Z$1297</f>
        <v>801313.23602423084</v>
      </c>
      <c r="L1297" s="74">
        <f>EFEITO!$N$1297*EFEITO!$AA$1297</f>
        <v>1637211.943646159</v>
      </c>
      <c r="M1297" s="74">
        <f ca="1">$J$1297-EFEITO!$K$1297*EFEITO!$Y$1297</f>
        <v>0</v>
      </c>
      <c r="N1297" s="74">
        <f ca="1">$K$1297-EFEITO!$M$1297*EFEITO!$Z$1297</f>
        <v>0</v>
      </c>
      <c r="O1297" s="74">
        <f>$L$1297-EFEITO!$O$1297*EFEITO!$AA$1297</f>
        <v>0</v>
      </c>
      <c r="P1297" s="57"/>
      <c r="Q1297" s="57"/>
      <c r="R1297" s="57"/>
      <c r="S1297" s="57"/>
      <c r="T1297" s="57"/>
      <c r="U1297" s="57"/>
      <c r="V1297" s="57"/>
      <c r="W1297" s="57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</row>
    <row r="1298" spans="1:36" ht="11.25" customHeight="1" x14ac:dyDescent="0.2">
      <c r="A1298" s="53" t="s">
        <v>27</v>
      </c>
      <c r="B1298" s="53" t="s">
        <v>44</v>
      </c>
      <c r="C1298" s="53" t="s">
        <v>41</v>
      </c>
      <c r="D1298" s="53" t="s">
        <v>42</v>
      </c>
      <c r="E1298" s="53" t="s">
        <v>25</v>
      </c>
      <c r="F1298" s="53" t="s">
        <v>25</v>
      </c>
      <c r="G1298" s="53" t="s">
        <v>25</v>
      </c>
      <c r="H1298" s="53" t="s">
        <v>36</v>
      </c>
      <c r="I1298" s="73">
        <v>43800</v>
      </c>
      <c r="J1298" s="74">
        <f ca="1">EFEITO!$J$1298*EFEITO!$Y$1298</f>
        <v>15248.510295045988</v>
      </c>
      <c r="K1298" s="74">
        <f ca="1">EFEITO!$L$1298*EFEITO!$Z$1298</f>
        <v>39639.572940792503</v>
      </c>
      <c r="L1298" s="74">
        <f>EFEITO!$N$1298*EFEITO!$AA$1298</f>
        <v>80990.029044941577</v>
      </c>
      <c r="M1298" s="74">
        <f ca="1">$J$1298-EFEITO!$K$1298*EFEITO!$Y$1298</f>
        <v>0</v>
      </c>
      <c r="N1298" s="74">
        <f ca="1">$K$1298-EFEITO!$M$1298*EFEITO!$Z$1298</f>
        <v>0</v>
      </c>
      <c r="O1298" s="74">
        <f>$L$1298-EFEITO!$O$1298*EFEITO!$AA$1298</f>
        <v>0</v>
      </c>
      <c r="P1298" s="57"/>
      <c r="Q1298" s="57"/>
      <c r="R1298" s="57"/>
      <c r="S1298" s="57"/>
      <c r="T1298" s="57"/>
      <c r="U1298" s="57"/>
      <c r="V1298" s="57"/>
      <c r="W1298" s="57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</row>
    <row r="1299" spans="1:36" ht="11.25" customHeight="1" x14ac:dyDescent="0.2">
      <c r="A1299" s="53" t="s">
        <v>28</v>
      </c>
      <c r="B1299" s="53" t="s">
        <v>44</v>
      </c>
      <c r="C1299" s="53" t="s">
        <v>41</v>
      </c>
      <c r="D1299" s="53" t="s">
        <v>42</v>
      </c>
      <c r="E1299" s="53" t="s">
        <v>25</v>
      </c>
      <c r="F1299" s="53" t="s">
        <v>25</v>
      </c>
      <c r="G1299" s="53" t="s">
        <v>25</v>
      </c>
      <c r="H1299" s="53" t="s">
        <v>36</v>
      </c>
      <c r="I1299" s="73">
        <v>43800</v>
      </c>
      <c r="J1299" s="74">
        <f ca="1">EFEITO!$J$1299*EFEITO!$Y$1299</f>
        <v>12160.406950928595</v>
      </c>
      <c r="K1299" s="74">
        <f ca="1">EFEITO!$L$1299*EFEITO!$Z$1299</f>
        <v>30786.880350281015</v>
      </c>
      <c r="L1299" s="74">
        <f>EFEITO!$N$1299*EFEITO!$AA$1299</f>
        <v>62902.552898254056</v>
      </c>
      <c r="M1299" s="74">
        <f ca="1">$J$1299-EFEITO!$K$1299*EFEITO!$Y$1299</f>
        <v>0</v>
      </c>
      <c r="N1299" s="74">
        <f ca="1">$K$1299-EFEITO!$M$1299*EFEITO!$Z$1299</f>
        <v>0</v>
      </c>
      <c r="O1299" s="74">
        <f>$L$1299-EFEITO!$O$1299*EFEITO!$AA$1299</f>
        <v>0</v>
      </c>
      <c r="P1299" s="57"/>
      <c r="Q1299" s="57"/>
      <c r="R1299" s="57"/>
      <c r="S1299" s="57"/>
      <c r="T1299" s="57"/>
      <c r="U1299" s="57"/>
      <c r="V1299" s="57"/>
      <c r="W1299" s="57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</row>
    <row r="1300" spans="1:36" ht="11.25" customHeight="1" x14ac:dyDescent="0.2">
      <c r="A1300" s="53" t="s">
        <v>21</v>
      </c>
      <c r="B1300" s="53" t="s">
        <v>44</v>
      </c>
      <c r="C1300" s="53" t="s">
        <v>41</v>
      </c>
      <c r="D1300" s="53" t="s">
        <v>42</v>
      </c>
      <c r="E1300" s="53" t="s">
        <v>25</v>
      </c>
      <c r="F1300" s="53" t="s">
        <v>25</v>
      </c>
      <c r="G1300" s="53" t="s">
        <v>25</v>
      </c>
      <c r="H1300" s="53" t="s">
        <v>36</v>
      </c>
      <c r="I1300" s="73">
        <v>43831</v>
      </c>
      <c r="J1300" s="74">
        <f ca="1">EFEITO!$J$1300*EFEITO!$Y$1300</f>
        <v>312282.45060693863</v>
      </c>
      <c r="K1300" s="74">
        <f ca="1">EFEITO!$L$1300*EFEITO!$Z$1300</f>
        <v>836558.71816365584</v>
      </c>
      <c r="L1300" s="74">
        <f>EFEITO!$N$1300*EFEITO!$AA$1300</f>
        <v>1709224.1377845432</v>
      </c>
      <c r="M1300" s="74">
        <f ca="1">$J$1300-EFEITO!$K$1300*EFEITO!$Y$1300</f>
        <v>0</v>
      </c>
      <c r="N1300" s="74">
        <f ca="1">$K$1300-EFEITO!$M$1300*EFEITO!$Z$1300</f>
        <v>0</v>
      </c>
      <c r="O1300" s="74">
        <f>$L$1300-EFEITO!$O$1300*EFEITO!$AA$1300</f>
        <v>0</v>
      </c>
      <c r="P1300" s="57"/>
      <c r="Q1300" s="57"/>
      <c r="R1300" s="57"/>
      <c r="S1300" s="57"/>
      <c r="T1300" s="57"/>
      <c r="U1300" s="57"/>
      <c r="V1300" s="57"/>
      <c r="W1300" s="57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</row>
    <row r="1301" spans="1:36" ht="11.25" customHeight="1" x14ac:dyDescent="0.2">
      <c r="A1301" s="53" t="s">
        <v>27</v>
      </c>
      <c r="B1301" s="53" t="s">
        <v>44</v>
      </c>
      <c r="C1301" s="53" t="s">
        <v>41</v>
      </c>
      <c r="D1301" s="53" t="s">
        <v>42</v>
      </c>
      <c r="E1301" s="53" t="s">
        <v>25</v>
      </c>
      <c r="F1301" s="53" t="s">
        <v>25</v>
      </c>
      <c r="G1301" s="53" t="s">
        <v>25</v>
      </c>
      <c r="H1301" s="53" t="s">
        <v>36</v>
      </c>
      <c r="I1301" s="73">
        <v>43831</v>
      </c>
      <c r="J1301" s="74">
        <f ca="1">EFEITO!$J$1301*EFEITO!$Y$1301</f>
        <v>1200.0401596311112</v>
      </c>
      <c r="K1301" s="74">
        <f ca="1">EFEITO!$L$1301*EFEITO!$Z$1301</f>
        <v>3433.6566383453296</v>
      </c>
      <c r="L1301" s="74">
        <f>EFEITO!$N$1301*EFEITO!$AA$1301</f>
        <v>7015.513292368606</v>
      </c>
      <c r="M1301" s="74">
        <f ca="1">$J$1301-EFEITO!$K$1301*EFEITO!$Y$1301</f>
        <v>0</v>
      </c>
      <c r="N1301" s="74">
        <f ca="1">$K$1301-EFEITO!$M$1301*EFEITO!$Z$1301</f>
        <v>0</v>
      </c>
      <c r="O1301" s="74">
        <f>$L$1301-EFEITO!$O$1301*EFEITO!$AA$1301</f>
        <v>0</v>
      </c>
      <c r="P1301" s="57"/>
      <c r="Q1301" s="57"/>
      <c r="R1301" s="57"/>
      <c r="S1301" s="57"/>
      <c r="T1301" s="57"/>
      <c r="U1301" s="57"/>
      <c r="V1301" s="57"/>
      <c r="W1301" s="57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</row>
    <row r="1302" spans="1:36" ht="11.25" customHeight="1" x14ac:dyDescent="0.2">
      <c r="A1302" s="53" t="s">
        <v>28</v>
      </c>
      <c r="B1302" s="53" t="s">
        <v>44</v>
      </c>
      <c r="C1302" s="53" t="s">
        <v>41</v>
      </c>
      <c r="D1302" s="53" t="s">
        <v>42</v>
      </c>
      <c r="E1302" s="53" t="s">
        <v>25</v>
      </c>
      <c r="F1302" s="53" t="s">
        <v>25</v>
      </c>
      <c r="G1302" s="53" t="s">
        <v>25</v>
      </c>
      <c r="H1302" s="53" t="s">
        <v>36</v>
      </c>
      <c r="I1302" s="73">
        <v>43831</v>
      </c>
      <c r="J1302" s="74">
        <f ca="1">EFEITO!$J$1302*EFEITO!$Y$1302</f>
        <v>12160.406950928595</v>
      </c>
      <c r="K1302" s="74">
        <f ca="1">EFEITO!$L$1302*EFEITO!$Z$1302</f>
        <v>30489.067804259754</v>
      </c>
      <c r="L1302" s="74">
        <f>EFEITO!$N$1302*EFEITO!$AA$1302</f>
        <v>62294.073922251046</v>
      </c>
      <c r="M1302" s="74">
        <f ca="1">$J$1302-EFEITO!$K$1302*EFEITO!$Y$1302</f>
        <v>0</v>
      </c>
      <c r="N1302" s="74">
        <f ca="1">$K$1302-EFEITO!$M$1302*EFEITO!$Z$1302</f>
        <v>0</v>
      </c>
      <c r="O1302" s="74">
        <f>$L$1302-EFEITO!$O$1302*EFEITO!$AA$1302</f>
        <v>0</v>
      </c>
      <c r="P1302" s="57"/>
      <c r="Q1302" s="57"/>
      <c r="R1302" s="57"/>
      <c r="S1302" s="57"/>
      <c r="T1302" s="57"/>
      <c r="U1302" s="57"/>
      <c r="V1302" s="57"/>
      <c r="W1302" s="57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</row>
    <row r="1303" spans="1:36" ht="11.25" customHeight="1" x14ac:dyDescent="0.2">
      <c r="A1303" s="53" t="s">
        <v>21</v>
      </c>
      <c r="B1303" s="53" t="s">
        <v>44</v>
      </c>
      <c r="C1303" s="53" t="s">
        <v>41</v>
      </c>
      <c r="D1303" s="53" t="s">
        <v>42</v>
      </c>
      <c r="E1303" s="53" t="s">
        <v>25</v>
      </c>
      <c r="F1303" s="53" t="s">
        <v>25</v>
      </c>
      <c r="G1303" s="53" t="s">
        <v>25</v>
      </c>
      <c r="H1303" s="53" t="s">
        <v>36</v>
      </c>
      <c r="I1303" s="73">
        <v>43862</v>
      </c>
      <c r="J1303" s="74">
        <f ca="1">EFEITO!$J$1303*EFEITO!$Y$1303</f>
        <v>315418.55555744126</v>
      </c>
      <c r="K1303" s="74">
        <f ca="1">EFEITO!$L$1303*EFEITO!$Z$1303</f>
        <v>833998.95380280458</v>
      </c>
      <c r="L1303" s="74">
        <f>EFEITO!$N$1303*EFEITO!$AA$1303</f>
        <v>1703994.1271019557</v>
      </c>
      <c r="M1303" s="74">
        <f ca="1">$J$1303-EFEITO!$K$1303*EFEITO!$Y$1303</f>
        <v>0</v>
      </c>
      <c r="N1303" s="74">
        <f ca="1">$K$1303-EFEITO!$M$1303*EFEITO!$Z$1303</f>
        <v>0</v>
      </c>
      <c r="O1303" s="74">
        <f>$L$1303-EFEITO!$O$1303*EFEITO!$AA$1303</f>
        <v>0</v>
      </c>
      <c r="P1303" s="57"/>
      <c r="Q1303" s="57"/>
      <c r="R1303" s="57"/>
      <c r="S1303" s="57"/>
      <c r="T1303" s="57"/>
      <c r="U1303" s="57"/>
      <c r="V1303" s="57"/>
      <c r="W1303" s="57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</row>
    <row r="1304" spans="1:36" ht="11.25" customHeight="1" x14ac:dyDescent="0.2">
      <c r="A1304" s="53" t="s">
        <v>27</v>
      </c>
      <c r="B1304" s="53" t="s">
        <v>44</v>
      </c>
      <c r="C1304" s="53" t="s">
        <v>41</v>
      </c>
      <c r="D1304" s="53" t="s">
        <v>42</v>
      </c>
      <c r="E1304" s="53" t="s">
        <v>25</v>
      </c>
      <c r="F1304" s="53" t="s">
        <v>25</v>
      </c>
      <c r="G1304" s="53" t="s">
        <v>25</v>
      </c>
      <c r="H1304" s="53" t="s">
        <v>36</v>
      </c>
      <c r="I1304" s="73">
        <v>43862</v>
      </c>
      <c r="J1304" s="74">
        <f ca="1">EFEITO!$J$1304*EFEITO!$Y$1304</f>
        <v>7312.2447060189043</v>
      </c>
      <c r="K1304" s="74">
        <f ca="1">EFEITO!$L$1304*EFEITO!$Z$1304</f>
        <v>7535.696820796049</v>
      </c>
      <c r="L1304" s="74">
        <f>EFEITO!$N$1304*EFEITO!$AA$1304</f>
        <v>15396.641767602856</v>
      </c>
      <c r="M1304" s="74">
        <f ca="1">$J$1304-EFEITO!$K$1304*EFEITO!$Y$1304</f>
        <v>0</v>
      </c>
      <c r="N1304" s="74">
        <f ca="1">$K$1304-EFEITO!$M$1304*EFEITO!$Z$1304</f>
        <v>0</v>
      </c>
      <c r="O1304" s="74">
        <f>$L$1304-EFEITO!$O$1304*EFEITO!$AA$1304</f>
        <v>0</v>
      </c>
      <c r="P1304" s="57"/>
      <c r="Q1304" s="57"/>
      <c r="R1304" s="57"/>
      <c r="S1304" s="57"/>
      <c r="T1304" s="57"/>
      <c r="U1304" s="57"/>
      <c r="V1304" s="57"/>
      <c r="W1304" s="57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</row>
    <row r="1305" spans="1:36" ht="11.25" customHeight="1" x14ac:dyDescent="0.2">
      <c r="A1305" s="53" t="s">
        <v>28</v>
      </c>
      <c r="B1305" s="53" t="s">
        <v>44</v>
      </c>
      <c r="C1305" s="53" t="s">
        <v>41</v>
      </c>
      <c r="D1305" s="53" t="s">
        <v>42</v>
      </c>
      <c r="E1305" s="53" t="s">
        <v>25</v>
      </c>
      <c r="F1305" s="53" t="s">
        <v>25</v>
      </c>
      <c r="G1305" s="53" t="s">
        <v>25</v>
      </c>
      <c r="H1305" s="53" t="s">
        <v>36</v>
      </c>
      <c r="I1305" s="73">
        <v>43862</v>
      </c>
      <c r="J1305" s="74">
        <f ca="1">EFEITO!$J$1305*EFEITO!$Y$1305</f>
        <v>48961.638512949343</v>
      </c>
      <c r="K1305" s="74">
        <f ca="1">EFEITO!$L$1305*EFEITO!$Z$1305</f>
        <v>133181.07011114023</v>
      </c>
      <c r="L1305" s="74">
        <f>EFEITO!$N$1305*EFEITO!$AA$1305</f>
        <v>272110.36689645017</v>
      </c>
      <c r="M1305" s="74">
        <f ca="1">$J$1305-EFEITO!$K$1305*EFEITO!$Y$1305</f>
        <v>0</v>
      </c>
      <c r="N1305" s="74">
        <f ca="1">$K$1305-EFEITO!$M$1305*EFEITO!$Z$1305</f>
        <v>0</v>
      </c>
      <c r="O1305" s="74">
        <f>$L$1305-EFEITO!$O$1305*EFEITO!$AA$1305</f>
        <v>0</v>
      </c>
      <c r="P1305" s="57"/>
      <c r="Q1305" s="57"/>
      <c r="R1305" s="57"/>
      <c r="S1305" s="57"/>
      <c r="T1305" s="57"/>
      <c r="U1305" s="57"/>
      <c r="V1305" s="57"/>
      <c r="W1305" s="57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</row>
    <row r="1306" spans="1:36" ht="11.25" customHeight="1" x14ac:dyDescent="0.2">
      <c r="A1306" s="53" t="s">
        <v>21</v>
      </c>
      <c r="B1306" s="53" t="s">
        <v>44</v>
      </c>
      <c r="C1306" s="53" t="s">
        <v>41</v>
      </c>
      <c r="D1306" s="53" t="s">
        <v>42</v>
      </c>
      <c r="E1306" s="53" t="s">
        <v>25</v>
      </c>
      <c r="F1306" s="53" t="s">
        <v>25</v>
      </c>
      <c r="G1306" s="53" t="s">
        <v>25</v>
      </c>
      <c r="H1306" s="53" t="s">
        <v>36</v>
      </c>
      <c r="I1306" s="73">
        <v>43891</v>
      </c>
      <c r="J1306" s="74">
        <f ca="1">EFEITO!$J$1306*EFEITO!$Y$1306</f>
        <v>303018.14057458646</v>
      </c>
      <c r="K1306" s="74">
        <f ca="1">EFEITO!$L$1306*EFEITO!$Z$1306</f>
        <v>794774.2396135258</v>
      </c>
      <c r="L1306" s="74">
        <f>EFEITO!$N$1306*EFEITO!$AA$1306</f>
        <v>1623851.7212739654</v>
      </c>
      <c r="M1306" s="74">
        <f ca="1">$J$1306-EFEITO!$K$1306*EFEITO!$Y$1306</f>
        <v>0</v>
      </c>
      <c r="N1306" s="74">
        <f ca="1">$K$1306-EFEITO!$M$1306*EFEITO!$Z$1306</f>
        <v>0</v>
      </c>
      <c r="O1306" s="74">
        <f>$L$1306-EFEITO!$O$1306*EFEITO!$AA$1306</f>
        <v>0</v>
      </c>
      <c r="P1306" s="57"/>
      <c r="Q1306" s="57"/>
      <c r="R1306" s="57"/>
      <c r="S1306" s="57"/>
      <c r="T1306" s="57"/>
      <c r="U1306" s="57"/>
      <c r="V1306" s="57"/>
      <c r="W1306" s="57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</row>
    <row r="1307" spans="1:36" ht="11.25" customHeight="1" x14ac:dyDescent="0.2">
      <c r="A1307" s="53" t="s">
        <v>27</v>
      </c>
      <c r="B1307" s="53" t="s">
        <v>44</v>
      </c>
      <c r="C1307" s="53" t="s">
        <v>41</v>
      </c>
      <c r="D1307" s="53" t="s">
        <v>42</v>
      </c>
      <c r="E1307" s="53" t="s">
        <v>25</v>
      </c>
      <c r="F1307" s="53" t="s">
        <v>25</v>
      </c>
      <c r="G1307" s="53" t="s">
        <v>25</v>
      </c>
      <c r="H1307" s="53" t="s">
        <v>36</v>
      </c>
      <c r="I1307" s="73">
        <v>43891</v>
      </c>
      <c r="J1307" s="74">
        <f ca="1">EFEITO!$J$1307*EFEITO!$Y$1307</f>
        <v>2720.0910284971856</v>
      </c>
      <c r="K1307" s="74">
        <f ca="1">EFEITO!$L$1307*EFEITO!$Z$1307</f>
        <v>7100.9537718241863</v>
      </c>
      <c r="L1307" s="74">
        <f>EFEITO!$N$1307*EFEITO!$AA$1307</f>
        <v>14508.391729795721</v>
      </c>
      <c r="M1307" s="74">
        <f ca="1">$J$1307-EFEITO!$K$1307*EFEITO!$Y$1307</f>
        <v>0</v>
      </c>
      <c r="N1307" s="74">
        <f ca="1">$K$1307-EFEITO!$M$1307*EFEITO!$Z$1307</f>
        <v>0</v>
      </c>
      <c r="O1307" s="74">
        <f>$L$1307-EFEITO!$O$1307*EFEITO!$AA$1307</f>
        <v>0</v>
      </c>
      <c r="P1307" s="57"/>
      <c r="Q1307" s="57"/>
      <c r="R1307" s="57"/>
      <c r="S1307" s="57"/>
      <c r="T1307" s="57"/>
      <c r="U1307" s="57"/>
      <c r="V1307" s="57"/>
      <c r="W1307" s="57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</row>
    <row r="1308" spans="1:36" ht="11.25" customHeight="1" x14ac:dyDescent="0.2">
      <c r="A1308" s="53" t="s">
        <v>28</v>
      </c>
      <c r="B1308" s="53" t="s">
        <v>44</v>
      </c>
      <c r="C1308" s="53" t="s">
        <v>41</v>
      </c>
      <c r="D1308" s="53" t="s">
        <v>42</v>
      </c>
      <c r="E1308" s="53" t="s">
        <v>25</v>
      </c>
      <c r="F1308" s="53" t="s">
        <v>25</v>
      </c>
      <c r="G1308" s="53" t="s">
        <v>25</v>
      </c>
      <c r="H1308" s="53" t="s">
        <v>36</v>
      </c>
      <c r="I1308" s="73">
        <v>43891</v>
      </c>
      <c r="J1308" s="74">
        <f ca="1">EFEITO!$J$1308*EFEITO!$Y$1308</f>
        <v>12160.406950928595</v>
      </c>
      <c r="K1308" s="74">
        <f ca="1">EFEITO!$L$1308*EFEITO!$Z$1308</f>
        <v>27961.276489889577</v>
      </c>
      <c r="L1308" s="74">
        <f>EFEITO!$N$1308*EFEITO!$AA$1308</f>
        <v>57129.389320926515</v>
      </c>
      <c r="M1308" s="74">
        <f ca="1">$J$1308-EFEITO!$K$1308*EFEITO!$Y$1308</f>
        <v>0</v>
      </c>
      <c r="N1308" s="74">
        <f ca="1">$K$1308-EFEITO!$M$1308*EFEITO!$Z$1308</f>
        <v>0</v>
      </c>
      <c r="O1308" s="74">
        <f>$L$1308-EFEITO!$O$1308*EFEITO!$AA$1308</f>
        <v>0</v>
      </c>
      <c r="P1308" s="57"/>
      <c r="Q1308" s="57"/>
      <c r="R1308" s="57"/>
      <c r="S1308" s="57"/>
      <c r="T1308" s="57"/>
      <c r="U1308" s="57"/>
      <c r="V1308" s="57"/>
      <c r="W1308" s="57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</row>
    <row r="1309" spans="1:36" ht="11.25" customHeight="1" x14ac:dyDescent="0.2">
      <c r="A1309" s="53" t="s">
        <v>21</v>
      </c>
      <c r="B1309" s="53" t="s">
        <v>44</v>
      </c>
      <c r="C1309" s="53" t="s">
        <v>41</v>
      </c>
      <c r="D1309" s="53" t="s">
        <v>42</v>
      </c>
      <c r="E1309" s="53" t="s">
        <v>25</v>
      </c>
      <c r="F1309" s="53" t="s">
        <v>25</v>
      </c>
      <c r="G1309" s="53" t="s">
        <v>25</v>
      </c>
      <c r="H1309" s="53" t="s">
        <v>36</v>
      </c>
      <c r="I1309" s="73">
        <v>43922</v>
      </c>
      <c r="J1309" s="74">
        <f ca="1">EFEITO!$J$1309*EFEITO!$Y$1309</f>
        <v>297081.94191827788</v>
      </c>
      <c r="K1309" s="74">
        <f ca="1">EFEITO!$L$1309*EFEITO!$Z$1309</f>
        <v>811720.51914329047</v>
      </c>
      <c r="L1309" s="74">
        <f>EFEITO!$N$1309*EFEITO!$AA$1309</f>
        <v>1658475.698514319</v>
      </c>
      <c r="M1309" s="74">
        <f ca="1">$J$1309-EFEITO!$K$1309*EFEITO!$Y$1309</f>
        <v>0</v>
      </c>
      <c r="N1309" s="74">
        <f ca="1">$K$1309-EFEITO!$M$1309*EFEITO!$Z$1309</f>
        <v>0</v>
      </c>
      <c r="O1309" s="74">
        <f>$L$1309-EFEITO!$O$1309*EFEITO!$AA$1309</f>
        <v>0</v>
      </c>
      <c r="P1309" s="57"/>
      <c r="Q1309" s="57"/>
      <c r="R1309" s="57"/>
      <c r="S1309" s="57"/>
      <c r="T1309" s="57"/>
      <c r="U1309" s="57"/>
      <c r="V1309" s="57"/>
      <c r="W1309" s="57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</row>
    <row r="1310" spans="1:36" ht="11.25" customHeight="1" x14ac:dyDescent="0.2">
      <c r="A1310" s="53" t="s">
        <v>27</v>
      </c>
      <c r="B1310" s="53" t="s">
        <v>44</v>
      </c>
      <c r="C1310" s="53" t="s">
        <v>41</v>
      </c>
      <c r="D1310" s="53" t="s">
        <v>42</v>
      </c>
      <c r="E1310" s="53" t="s">
        <v>25</v>
      </c>
      <c r="F1310" s="53" t="s">
        <v>25</v>
      </c>
      <c r="G1310" s="53" t="s">
        <v>25</v>
      </c>
      <c r="H1310" s="53" t="s">
        <v>36</v>
      </c>
      <c r="I1310" s="73">
        <v>43922</v>
      </c>
      <c r="J1310" s="74">
        <f ca="1">EFEITO!$J$1310*EFEITO!$Y$1310</f>
        <v>6080.2034754642973</v>
      </c>
      <c r="K1310" s="74">
        <f ca="1">EFEITO!$L$1310*EFEITO!$Z$1310</f>
        <v>2112.4806470051653</v>
      </c>
      <c r="L1310" s="74">
        <f>EFEITO!$N$1310*EFEITO!$AA$1310</f>
        <v>4316.1380475358055</v>
      </c>
      <c r="M1310" s="74">
        <f ca="1">$J$1310-EFEITO!$K$1310*EFEITO!$Y$1310</f>
        <v>0</v>
      </c>
      <c r="N1310" s="74">
        <f ca="1">$K$1310-EFEITO!$M$1310*EFEITO!$Z$1310</f>
        <v>0</v>
      </c>
      <c r="O1310" s="74">
        <f>$L$1310-EFEITO!$O$1310*EFEITO!$AA$1310</f>
        <v>0</v>
      </c>
      <c r="P1310" s="57"/>
      <c r="Q1310" s="57"/>
      <c r="R1310" s="57"/>
      <c r="S1310" s="57"/>
      <c r="T1310" s="57"/>
      <c r="U1310" s="57"/>
      <c r="V1310" s="57"/>
      <c r="W1310" s="57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</row>
    <row r="1311" spans="1:36" ht="11.25" customHeight="1" x14ac:dyDescent="0.2">
      <c r="A1311" s="53" t="s">
        <v>28</v>
      </c>
      <c r="B1311" s="53" t="s">
        <v>44</v>
      </c>
      <c r="C1311" s="53" t="s">
        <v>41</v>
      </c>
      <c r="D1311" s="53" t="s">
        <v>42</v>
      </c>
      <c r="E1311" s="53" t="s">
        <v>25</v>
      </c>
      <c r="F1311" s="53" t="s">
        <v>25</v>
      </c>
      <c r="G1311" s="53" t="s">
        <v>25</v>
      </c>
      <c r="H1311" s="53" t="s">
        <v>36</v>
      </c>
      <c r="I1311" s="73">
        <v>43922</v>
      </c>
      <c r="J1311" s="74">
        <f ca="1">EFEITO!$J$1311*EFEITO!$Y$1311</f>
        <v>12160.406950928595</v>
      </c>
      <c r="K1311" s="74">
        <f ca="1">EFEITO!$L$1311*EFEITO!$Z$1311</f>
        <v>28615.76362156681</v>
      </c>
      <c r="L1311" s="74">
        <f>EFEITO!$N$1311*EFEITO!$AA$1311</f>
        <v>58466.61189603481</v>
      </c>
      <c r="M1311" s="74">
        <f ca="1">$J$1311-EFEITO!$K$1311*EFEITO!$Y$1311</f>
        <v>0</v>
      </c>
      <c r="N1311" s="74">
        <f ca="1">$K$1311-EFEITO!$M$1311*EFEITO!$Z$1311</f>
        <v>0</v>
      </c>
      <c r="O1311" s="74">
        <f>$L$1311-EFEITO!$O$1311*EFEITO!$AA$1311</f>
        <v>0</v>
      </c>
      <c r="P1311" s="57"/>
      <c r="Q1311" s="57"/>
      <c r="R1311" s="57"/>
      <c r="S1311" s="57"/>
      <c r="T1311" s="57"/>
      <c r="U1311" s="57"/>
      <c r="V1311" s="57"/>
      <c r="W1311" s="57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</row>
    <row r="1312" spans="1:36" ht="11.25" customHeight="1" x14ac:dyDescent="0.2">
      <c r="A1312" s="53" t="s">
        <v>21</v>
      </c>
      <c r="B1312" s="53" t="s">
        <v>44</v>
      </c>
      <c r="C1312" s="53" t="s">
        <v>41</v>
      </c>
      <c r="D1312" s="53" t="s">
        <v>42</v>
      </c>
      <c r="E1312" s="53" t="s">
        <v>25</v>
      </c>
      <c r="F1312" s="53" t="s">
        <v>25</v>
      </c>
      <c r="G1312" s="53" t="s">
        <v>25</v>
      </c>
      <c r="H1312" s="53" t="s">
        <v>36</v>
      </c>
      <c r="I1312" s="73">
        <v>43952</v>
      </c>
      <c r="J1312" s="74">
        <f ca="1">EFEITO!$J$1312*EFEITO!$Y$1312</f>
        <v>290697.72826904041</v>
      </c>
      <c r="K1312" s="74">
        <f ca="1">EFEITO!$L$1312*EFEITO!$Z$1312</f>
        <v>733007.05892859783</v>
      </c>
      <c r="L1312" s="74">
        <f>EFEITO!$N$1312*EFEITO!$AA$1312</f>
        <v>1497651.4273109485</v>
      </c>
      <c r="M1312" s="74">
        <f ca="1">$J$1312-EFEITO!$K$1312*EFEITO!$Y$1312</f>
        <v>0</v>
      </c>
      <c r="N1312" s="74">
        <f ca="1">$K$1312-EFEITO!$M$1312*EFEITO!$Z$1312</f>
        <v>0</v>
      </c>
      <c r="O1312" s="74">
        <f>$L$1312-EFEITO!$O$1312*EFEITO!$AA$1312</f>
        <v>0</v>
      </c>
      <c r="P1312" s="57"/>
      <c r="Q1312" s="57"/>
      <c r="R1312" s="57"/>
      <c r="S1312" s="57"/>
      <c r="T1312" s="57"/>
      <c r="U1312" s="57"/>
      <c r="V1312" s="57"/>
      <c r="W1312" s="57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</row>
    <row r="1313" spans="1:36" ht="11.25" customHeight="1" x14ac:dyDescent="0.2">
      <c r="A1313" s="53" t="s">
        <v>27</v>
      </c>
      <c r="B1313" s="53" t="s">
        <v>44</v>
      </c>
      <c r="C1313" s="53" t="s">
        <v>41</v>
      </c>
      <c r="D1313" s="53" t="s">
        <v>42</v>
      </c>
      <c r="E1313" s="53" t="s">
        <v>25</v>
      </c>
      <c r="F1313" s="53" t="s">
        <v>25</v>
      </c>
      <c r="G1313" s="53" t="s">
        <v>25</v>
      </c>
      <c r="H1313" s="53" t="s">
        <v>36</v>
      </c>
      <c r="I1313" s="73">
        <v>43952</v>
      </c>
      <c r="J1313" s="74">
        <f ca="1">EFEITO!$J$1313*EFEITO!$Y$1313</f>
        <v>6080.2034754642973</v>
      </c>
      <c r="K1313" s="74">
        <f ca="1">EFEITO!$L$1313*EFEITO!$Z$1313</f>
        <v>1874.7729092097397</v>
      </c>
      <c r="L1313" s="74">
        <f>EFEITO!$N$1313*EFEITO!$AA$1313</f>
        <v>3830.4628709385579</v>
      </c>
      <c r="M1313" s="74">
        <f ca="1">$J$1313-EFEITO!$K$1313*EFEITO!$Y$1313</f>
        <v>0</v>
      </c>
      <c r="N1313" s="74">
        <f ca="1">$K$1313-EFEITO!$M$1313*EFEITO!$Z$1313</f>
        <v>0</v>
      </c>
      <c r="O1313" s="74">
        <f>$L$1313-EFEITO!$O$1313*EFEITO!$AA$1313</f>
        <v>0</v>
      </c>
      <c r="P1313" s="57"/>
      <c r="Q1313" s="57"/>
      <c r="R1313" s="57"/>
      <c r="S1313" s="57"/>
      <c r="T1313" s="57"/>
      <c r="U1313" s="57"/>
      <c r="V1313" s="57"/>
      <c r="W1313" s="57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</row>
    <row r="1314" spans="1:36" ht="11.25" customHeight="1" x14ac:dyDescent="0.2">
      <c r="A1314" s="53" t="s">
        <v>28</v>
      </c>
      <c r="B1314" s="53" t="s">
        <v>44</v>
      </c>
      <c r="C1314" s="53" t="s">
        <v>41</v>
      </c>
      <c r="D1314" s="53" t="s">
        <v>42</v>
      </c>
      <c r="E1314" s="53" t="s">
        <v>25</v>
      </c>
      <c r="F1314" s="53" t="s">
        <v>25</v>
      </c>
      <c r="G1314" s="53" t="s">
        <v>25</v>
      </c>
      <c r="H1314" s="53" t="s">
        <v>36</v>
      </c>
      <c r="I1314" s="73">
        <v>43952</v>
      </c>
      <c r="J1314" s="74">
        <f ca="1">EFEITO!$J$1314*EFEITO!$Y$1314</f>
        <v>48961.638512949343</v>
      </c>
      <c r="K1314" s="74">
        <f ca="1">EFEITO!$L$1314*EFEITO!$Z$1314</f>
        <v>111797.42883724383</v>
      </c>
      <c r="L1314" s="74">
        <f>EFEITO!$N$1314*EFEITO!$AA$1314</f>
        <v>228420.14524733531</v>
      </c>
      <c r="M1314" s="74">
        <f ca="1">$J$1314-EFEITO!$K$1314*EFEITO!$Y$1314</f>
        <v>0</v>
      </c>
      <c r="N1314" s="74">
        <f ca="1">$K$1314-EFEITO!$M$1314*EFEITO!$Z$1314</f>
        <v>0</v>
      </c>
      <c r="O1314" s="74">
        <f>$L$1314-EFEITO!$O$1314*EFEITO!$AA$1314</f>
        <v>0</v>
      </c>
      <c r="P1314" s="57"/>
      <c r="Q1314" s="57"/>
      <c r="R1314" s="57"/>
      <c r="S1314" s="57"/>
      <c r="T1314" s="57"/>
      <c r="U1314" s="57"/>
      <c r="V1314" s="57"/>
      <c r="W1314" s="57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</row>
    <row r="1315" spans="1:36" ht="11.25" customHeight="1" x14ac:dyDescent="0.2">
      <c r="A1315" s="53" t="s">
        <v>21</v>
      </c>
      <c r="B1315" s="53" t="s">
        <v>44</v>
      </c>
      <c r="C1315" s="53" t="s">
        <v>41</v>
      </c>
      <c r="D1315" s="53" t="s">
        <v>42</v>
      </c>
      <c r="E1315" s="53" t="s">
        <v>25</v>
      </c>
      <c r="F1315" s="53" t="s">
        <v>25</v>
      </c>
      <c r="G1315" s="53" t="s">
        <v>25</v>
      </c>
      <c r="H1315" s="53" t="s">
        <v>36</v>
      </c>
      <c r="I1315" s="73">
        <v>43983</v>
      </c>
      <c r="J1315" s="74">
        <f ca="1">EFEITO!$J$1315*EFEITO!$Y$1315</f>
        <v>314922.53895812709</v>
      </c>
      <c r="K1315" s="74">
        <f ca="1">EFEITO!$L$1315*EFEITO!$Z$1315</f>
        <v>774303.01644344872</v>
      </c>
      <c r="L1315" s="74">
        <f>EFEITO!$N$1315*EFEITO!$AA$1315</f>
        <v>1582025.7167000403</v>
      </c>
      <c r="M1315" s="74">
        <f ca="1">$J$1315-EFEITO!$K$1315*EFEITO!$Y$1315</f>
        <v>0</v>
      </c>
      <c r="N1315" s="74">
        <f ca="1">$K$1315-EFEITO!$M$1315*EFEITO!$Z$1315</f>
        <v>0</v>
      </c>
      <c r="O1315" s="74">
        <f>$L$1315-EFEITO!$O$1315*EFEITO!$AA$1315</f>
        <v>0</v>
      </c>
      <c r="P1315" s="57"/>
      <c r="Q1315" s="57"/>
      <c r="R1315" s="57"/>
      <c r="S1315" s="57"/>
      <c r="T1315" s="57"/>
      <c r="U1315" s="57"/>
      <c r="V1315" s="57"/>
      <c r="W1315" s="57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</row>
    <row r="1316" spans="1:36" ht="11.25" customHeight="1" x14ac:dyDescent="0.2">
      <c r="A1316" s="53" t="s">
        <v>27</v>
      </c>
      <c r="B1316" s="53" t="s">
        <v>44</v>
      </c>
      <c r="C1316" s="53" t="s">
        <v>41</v>
      </c>
      <c r="D1316" s="53" t="s">
        <v>42</v>
      </c>
      <c r="E1316" s="53" t="s">
        <v>25</v>
      </c>
      <c r="F1316" s="53" t="s">
        <v>25</v>
      </c>
      <c r="G1316" s="53" t="s">
        <v>25</v>
      </c>
      <c r="H1316" s="53" t="s">
        <v>36</v>
      </c>
      <c r="I1316" s="73">
        <v>43983</v>
      </c>
      <c r="J1316" s="74">
        <f ca="1">EFEITO!$J$1316*EFEITO!$Y$1316</f>
        <v>6080.2034754642973</v>
      </c>
      <c r="K1316" s="74">
        <f ca="1">EFEITO!$L$1316*EFEITO!$Z$1316</f>
        <v>1877.5973832805025</v>
      </c>
      <c r="L1316" s="74">
        <f>EFEITO!$N$1316*EFEITO!$AA$1316</f>
        <v>3836.2337261737912</v>
      </c>
      <c r="M1316" s="74">
        <f ca="1">$J$1316-EFEITO!$K$1316*EFEITO!$Y$1316</f>
        <v>0</v>
      </c>
      <c r="N1316" s="74">
        <f ca="1">$K$1316-EFEITO!$M$1316*EFEITO!$Z$1316</f>
        <v>0</v>
      </c>
      <c r="O1316" s="74">
        <f>$L$1316-EFEITO!$O$1316*EFEITO!$AA$1316</f>
        <v>0</v>
      </c>
      <c r="P1316" s="57"/>
      <c r="Q1316" s="57"/>
      <c r="R1316" s="57"/>
      <c r="S1316" s="57"/>
      <c r="T1316" s="57"/>
      <c r="U1316" s="57"/>
      <c r="V1316" s="57"/>
      <c r="W1316" s="57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</row>
    <row r="1317" spans="1:36" ht="11.25" customHeight="1" x14ac:dyDescent="0.2">
      <c r="A1317" s="53" t="s">
        <v>28</v>
      </c>
      <c r="B1317" s="53" t="s">
        <v>44</v>
      </c>
      <c r="C1317" s="53" t="s">
        <v>41</v>
      </c>
      <c r="D1317" s="53" t="s">
        <v>42</v>
      </c>
      <c r="E1317" s="53" t="s">
        <v>25</v>
      </c>
      <c r="F1317" s="53" t="s">
        <v>25</v>
      </c>
      <c r="G1317" s="53" t="s">
        <v>25</v>
      </c>
      <c r="H1317" s="53" t="s">
        <v>36</v>
      </c>
      <c r="I1317" s="73">
        <v>43983</v>
      </c>
      <c r="J1317" s="74">
        <f ca="1">EFEITO!$J$1317*EFEITO!$Y$1317</f>
        <v>12160.406950928595</v>
      </c>
      <c r="K1317" s="74">
        <f ca="1">EFEITO!$L$1317*EFEITO!$Z$1317</f>
        <v>19725.674994358425</v>
      </c>
      <c r="L1317" s="74">
        <f>EFEITO!$N$1317*EFEITO!$AA$1317</f>
        <v>40302.729626032808</v>
      </c>
      <c r="M1317" s="74">
        <f ca="1">$J$1317-EFEITO!$K$1317*EFEITO!$Y$1317</f>
        <v>0</v>
      </c>
      <c r="N1317" s="74">
        <f ca="1">$K$1317-EFEITO!$M$1317*EFEITO!$Z$1317</f>
        <v>0</v>
      </c>
      <c r="O1317" s="74">
        <f>$L$1317-EFEITO!$O$1317*EFEITO!$AA$1317</f>
        <v>0</v>
      </c>
      <c r="P1317" s="57"/>
      <c r="Q1317" s="57"/>
      <c r="R1317" s="57"/>
      <c r="S1317" s="57"/>
      <c r="T1317" s="57"/>
      <c r="U1317" s="57"/>
      <c r="V1317" s="57"/>
      <c r="W1317" s="57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</row>
    <row r="1318" spans="1:36" ht="11.25" customHeight="1" x14ac:dyDescent="0.2">
      <c r="A1318" s="53" t="s">
        <v>21</v>
      </c>
      <c r="B1318" s="53" t="s">
        <v>44</v>
      </c>
      <c r="C1318" s="53" t="s">
        <v>41</v>
      </c>
      <c r="D1318" s="53" t="s">
        <v>42</v>
      </c>
      <c r="E1318" s="53" t="s">
        <v>25</v>
      </c>
      <c r="F1318" s="53" t="s">
        <v>25</v>
      </c>
      <c r="G1318" s="53" t="s">
        <v>25</v>
      </c>
      <c r="H1318" s="53" t="s">
        <v>36</v>
      </c>
      <c r="I1318" s="73">
        <v>44013</v>
      </c>
      <c r="J1318" s="74">
        <f ca="1">EFEITO!$J$1318*EFEITO!$Y$1318</f>
        <v>321434.75689105858</v>
      </c>
      <c r="K1318" s="74">
        <f ca="1">EFEITO!$L$1318*EFEITO!$Z$1318</f>
        <v>775888.90214470075</v>
      </c>
      <c r="L1318" s="74">
        <f>EFEITO!$N$1318*EFEITO!$AA$1318</f>
        <v>1585265.936497519</v>
      </c>
      <c r="M1318" s="74">
        <f ca="1">$J$1318-EFEITO!$K$1318*EFEITO!$Y$1318</f>
        <v>0</v>
      </c>
      <c r="N1318" s="74">
        <f ca="1">$K$1318-EFEITO!$M$1318*EFEITO!$Z$1318</f>
        <v>0</v>
      </c>
      <c r="O1318" s="74">
        <f>$L$1318-EFEITO!$O$1318*EFEITO!$AA$1318</f>
        <v>0</v>
      </c>
      <c r="P1318" s="57"/>
      <c r="Q1318" s="57"/>
      <c r="R1318" s="57"/>
      <c r="S1318" s="57"/>
      <c r="T1318" s="57"/>
      <c r="U1318" s="57"/>
      <c r="V1318" s="57"/>
      <c r="W1318" s="57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</row>
    <row r="1319" spans="1:36" ht="11.25" customHeight="1" x14ac:dyDescent="0.2">
      <c r="A1319" s="53" t="s">
        <v>27</v>
      </c>
      <c r="B1319" s="53" t="s">
        <v>44</v>
      </c>
      <c r="C1319" s="53" t="s">
        <v>41</v>
      </c>
      <c r="D1319" s="53" t="s">
        <v>42</v>
      </c>
      <c r="E1319" s="53" t="s">
        <v>25</v>
      </c>
      <c r="F1319" s="53" t="s">
        <v>25</v>
      </c>
      <c r="G1319" s="53" t="s">
        <v>25</v>
      </c>
      <c r="H1319" s="53" t="s">
        <v>36</v>
      </c>
      <c r="I1319" s="73">
        <v>44013</v>
      </c>
      <c r="J1319" s="74">
        <f ca="1">EFEITO!$J$1319*EFEITO!$Y$1319</f>
        <v>6080.2034754642973</v>
      </c>
      <c r="K1319" s="74">
        <f ca="1">EFEITO!$L$1319*EFEITO!$Z$1319</f>
        <v>1612.5487364800899</v>
      </c>
      <c r="L1319" s="74">
        <f>EFEITO!$N$1319*EFEITO!$AA$1319</f>
        <v>3294.6966708994837</v>
      </c>
      <c r="M1319" s="74">
        <f ca="1">$J$1319-EFEITO!$K$1319*EFEITO!$Y$1319</f>
        <v>0</v>
      </c>
      <c r="N1319" s="74">
        <f ca="1">$K$1319-EFEITO!$M$1319*EFEITO!$Z$1319</f>
        <v>0</v>
      </c>
      <c r="O1319" s="74">
        <f>$L$1319-EFEITO!$O$1319*EFEITO!$AA$1319</f>
        <v>0</v>
      </c>
      <c r="P1319" s="57"/>
      <c r="Q1319" s="57"/>
      <c r="R1319" s="57"/>
      <c r="S1319" s="57"/>
      <c r="T1319" s="57"/>
      <c r="U1319" s="57"/>
      <c r="V1319" s="57"/>
      <c r="W1319" s="57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</row>
    <row r="1320" spans="1:36" ht="11.25" customHeight="1" x14ac:dyDescent="0.2">
      <c r="A1320" s="53" t="s">
        <v>28</v>
      </c>
      <c r="B1320" s="53" t="s">
        <v>44</v>
      </c>
      <c r="C1320" s="53" t="s">
        <v>41</v>
      </c>
      <c r="D1320" s="53" t="s">
        <v>42</v>
      </c>
      <c r="E1320" s="53" t="s">
        <v>25</v>
      </c>
      <c r="F1320" s="53" t="s">
        <v>25</v>
      </c>
      <c r="G1320" s="53" t="s">
        <v>25</v>
      </c>
      <c r="H1320" s="53" t="s">
        <v>36</v>
      </c>
      <c r="I1320" s="73">
        <v>44013</v>
      </c>
      <c r="J1320" s="74">
        <f ca="1">EFEITO!$J$1320*EFEITO!$Y$1320</f>
        <v>12160.406950928595</v>
      </c>
      <c r="K1320" s="74">
        <f ca="1">EFEITO!$L$1320*EFEITO!$Z$1320</f>
        <v>16908.883493067762</v>
      </c>
      <c r="L1320" s="74">
        <f>EFEITO!$N$1320*EFEITO!$AA$1320</f>
        <v>34547.571117039188</v>
      </c>
      <c r="M1320" s="74">
        <f ca="1">$J$1320-EFEITO!$K$1320*EFEITO!$Y$1320</f>
        <v>0</v>
      </c>
      <c r="N1320" s="74">
        <f ca="1">$K$1320-EFEITO!$M$1320*EFEITO!$Z$1320</f>
        <v>0</v>
      </c>
      <c r="O1320" s="74">
        <f>$L$1320-EFEITO!$O$1320*EFEITO!$AA$1320</f>
        <v>0</v>
      </c>
      <c r="P1320" s="57"/>
      <c r="Q1320" s="57"/>
      <c r="R1320" s="57"/>
      <c r="S1320" s="57"/>
      <c r="T1320" s="57"/>
      <c r="U1320" s="57"/>
      <c r="V1320" s="57"/>
      <c r="W1320" s="57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</row>
    <row r="1321" spans="1:36" ht="11.25" customHeight="1" x14ac:dyDescent="0.2">
      <c r="A1321" s="53" t="s">
        <v>21</v>
      </c>
      <c r="B1321" s="53" t="s">
        <v>44</v>
      </c>
      <c r="C1321" s="53" t="s">
        <v>41</v>
      </c>
      <c r="D1321" s="53" t="s">
        <v>42</v>
      </c>
      <c r="E1321" s="53" t="s">
        <v>25</v>
      </c>
      <c r="F1321" s="53" t="s">
        <v>25</v>
      </c>
      <c r="G1321" s="53" t="s">
        <v>25</v>
      </c>
      <c r="H1321" s="53" t="s">
        <v>36</v>
      </c>
      <c r="I1321" s="73">
        <v>44044</v>
      </c>
      <c r="J1321" s="74">
        <f ca="1">EFEITO!$J$1321*EFEITO!$Y$1321</f>
        <v>309082.34351458901</v>
      </c>
      <c r="K1321" s="74">
        <f ca="1">EFEITO!$L$1321*EFEITO!$Z$1321</f>
        <v>743681.31133682583</v>
      </c>
      <c r="L1321" s="74">
        <f>EFEITO!$N$1321*EFEITO!$AA$1321</f>
        <v>1519460.6434159426</v>
      </c>
      <c r="M1321" s="74">
        <f ca="1">$J$1321-EFEITO!$K$1321*EFEITO!$Y$1321</f>
        <v>0</v>
      </c>
      <c r="N1321" s="74">
        <f ca="1">$K$1321-EFEITO!$M$1321*EFEITO!$Z$1321</f>
        <v>0</v>
      </c>
      <c r="O1321" s="74">
        <f>$L$1321-EFEITO!$O$1321*EFEITO!$AA$1321</f>
        <v>0</v>
      </c>
      <c r="P1321" s="57"/>
      <c r="Q1321" s="57"/>
      <c r="R1321" s="57"/>
      <c r="S1321" s="57"/>
      <c r="T1321" s="57"/>
      <c r="U1321" s="57"/>
      <c r="V1321" s="57"/>
      <c r="W1321" s="57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</row>
    <row r="1322" spans="1:36" ht="11.25" customHeight="1" x14ac:dyDescent="0.2">
      <c r="A1322" s="53" t="s">
        <v>27</v>
      </c>
      <c r="B1322" s="53" t="s">
        <v>44</v>
      </c>
      <c r="C1322" s="53" t="s">
        <v>41</v>
      </c>
      <c r="D1322" s="53" t="s">
        <v>42</v>
      </c>
      <c r="E1322" s="53" t="s">
        <v>25</v>
      </c>
      <c r="F1322" s="53" t="s">
        <v>25</v>
      </c>
      <c r="G1322" s="53" t="s">
        <v>25</v>
      </c>
      <c r="H1322" s="53" t="s">
        <v>36</v>
      </c>
      <c r="I1322" s="73">
        <v>44044</v>
      </c>
      <c r="J1322" s="74">
        <f ca="1">EFEITO!$J$1322*EFEITO!$Y$1322</f>
        <v>7680.2570216391123</v>
      </c>
      <c r="K1322" s="74">
        <f ca="1">EFEITO!$L$1322*EFEITO!$Z$1322</f>
        <v>389.32550591399075</v>
      </c>
      <c r="L1322" s="74">
        <f>EFEITO!$N$1322*EFEITO!$AA$1322</f>
        <v>795.45468562457938</v>
      </c>
      <c r="M1322" s="74">
        <f ca="1">$J$1322-EFEITO!$K$1322*EFEITO!$Y$1322</f>
        <v>0</v>
      </c>
      <c r="N1322" s="74">
        <f ca="1">$K$1322-EFEITO!$M$1322*EFEITO!$Z$1322</f>
        <v>0</v>
      </c>
      <c r="O1322" s="74">
        <f>$L$1322-EFEITO!$O$1322*EFEITO!$AA$1322</f>
        <v>0</v>
      </c>
      <c r="P1322" s="57"/>
      <c r="Q1322" s="57"/>
      <c r="R1322" s="57"/>
      <c r="S1322" s="57"/>
      <c r="T1322" s="57"/>
      <c r="U1322" s="57"/>
      <c r="V1322" s="57"/>
      <c r="W1322" s="57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</row>
    <row r="1323" spans="1:36" ht="11.25" customHeight="1" x14ac:dyDescent="0.2">
      <c r="A1323" s="53" t="s">
        <v>28</v>
      </c>
      <c r="B1323" s="53" t="s">
        <v>44</v>
      </c>
      <c r="C1323" s="53" t="s">
        <v>41</v>
      </c>
      <c r="D1323" s="53" t="s">
        <v>42</v>
      </c>
      <c r="E1323" s="53" t="s">
        <v>25</v>
      </c>
      <c r="F1323" s="53" t="s">
        <v>25</v>
      </c>
      <c r="G1323" s="53" t="s">
        <v>25</v>
      </c>
      <c r="H1323" s="53" t="s">
        <v>36</v>
      </c>
      <c r="I1323" s="73">
        <v>44044</v>
      </c>
      <c r="J1323" s="74">
        <f ca="1">EFEITO!$J$1323*EFEITO!$Y$1323</f>
        <v>12160.406950928595</v>
      </c>
      <c r="K1323" s="74">
        <f ca="1">EFEITO!$L$1323*EFEITO!$Z$1323</f>
        <v>15235.43909562202</v>
      </c>
      <c r="L1323" s="74">
        <f>EFEITO!$N$1323*EFEITO!$AA$1323</f>
        <v>31128.454807268074</v>
      </c>
      <c r="M1323" s="74">
        <f ca="1">$J$1323-EFEITO!$K$1323*EFEITO!$Y$1323</f>
        <v>0</v>
      </c>
      <c r="N1323" s="74">
        <f ca="1">$K$1323-EFEITO!$M$1323*EFEITO!$Z$1323</f>
        <v>0</v>
      </c>
      <c r="O1323" s="74">
        <f>$L$1323-EFEITO!$O$1323*EFEITO!$AA$1323</f>
        <v>0</v>
      </c>
      <c r="P1323" s="57"/>
      <c r="Q1323" s="57"/>
      <c r="R1323" s="57"/>
      <c r="S1323" s="57"/>
      <c r="T1323" s="57"/>
      <c r="U1323" s="57"/>
      <c r="V1323" s="57"/>
      <c r="W1323" s="57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</row>
    <row r="1324" spans="1:36" ht="11.25" customHeight="1" x14ac:dyDescent="0.2">
      <c r="A1324" s="53" t="s">
        <v>59</v>
      </c>
      <c r="B1324" s="53" t="s">
        <v>44</v>
      </c>
      <c r="C1324" s="53" t="s">
        <v>41</v>
      </c>
      <c r="D1324" s="53" t="s">
        <v>42</v>
      </c>
      <c r="E1324" s="53" t="s">
        <v>25</v>
      </c>
      <c r="F1324" s="53" t="s">
        <v>25</v>
      </c>
      <c r="G1324" s="53" t="s">
        <v>25</v>
      </c>
      <c r="H1324" s="53" t="s">
        <v>36</v>
      </c>
      <c r="I1324" s="73">
        <v>44075</v>
      </c>
      <c r="J1324" s="74">
        <f ca="1">EFEITO!$J$1324*EFEITO!$Y$1324</f>
        <v>309082.34351458901</v>
      </c>
      <c r="K1324" s="74">
        <f ca="1">EFEITO!$L$1324*EFEITO!$Z$1324</f>
        <v>743681.31133682583</v>
      </c>
      <c r="L1324" s="74">
        <f>EFEITO!$N$1324*EFEITO!$AA$1324</f>
        <v>1519460.6434159426</v>
      </c>
      <c r="M1324" s="74">
        <f ca="1">$J$1324-EFEITO!$K$1324*EFEITO!$Y$1324</f>
        <v>0</v>
      </c>
      <c r="N1324" s="74">
        <f ca="1">$K$1324-EFEITO!$M$1324*EFEITO!$Z$1324</f>
        <v>0</v>
      </c>
      <c r="O1324" s="74">
        <f>$L$1324-EFEITO!$O$1324*EFEITO!$AA$1324</f>
        <v>0</v>
      </c>
      <c r="P1324" s="57"/>
      <c r="Q1324" s="57"/>
      <c r="R1324" s="57"/>
      <c r="S1324" s="57"/>
      <c r="T1324" s="57"/>
      <c r="U1324" s="57"/>
      <c r="V1324" s="57"/>
      <c r="W1324" s="57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</row>
    <row r="1325" spans="1:36" ht="11.25" customHeight="1" x14ac:dyDescent="0.2">
      <c r="A1325" s="53" t="s">
        <v>59</v>
      </c>
      <c r="B1325" s="53" t="s">
        <v>44</v>
      </c>
      <c r="C1325" s="53" t="s">
        <v>41</v>
      </c>
      <c r="D1325" s="53" t="s">
        <v>42</v>
      </c>
      <c r="E1325" s="53" t="s">
        <v>25</v>
      </c>
      <c r="F1325" s="53" t="s">
        <v>25</v>
      </c>
      <c r="G1325" s="53" t="s">
        <v>25</v>
      </c>
      <c r="H1325" s="53" t="s">
        <v>36</v>
      </c>
      <c r="I1325" s="73">
        <v>44075</v>
      </c>
      <c r="J1325" s="74">
        <f ca="1">EFEITO!$J$1325*EFEITO!$Y$1325</f>
        <v>7680.2570216391123</v>
      </c>
      <c r="K1325" s="74">
        <f ca="1">EFEITO!$L$1325*EFEITO!$Z$1325</f>
        <v>389.32550591399075</v>
      </c>
      <c r="L1325" s="74">
        <f>EFEITO!$N$1325*EFEITO!$AA$1325</f>
        <v>795.45468562457938</v>
      </c>
      <c r="M1325" s="74">
        <f ca="1">$J$1325-EFEITO!$K$1325*EFEITO!$Y$1325</f>
        <v>0</v>
      </c>
      <c r="N1325" s="74">
        <f ca="1">$K$1325-EFEITO!$M$1325*EFEITO!$Z$1325</f>
        <v>0</v>
      </c>
      <c r="O1325" s="74">
        <f>$L$1325-EFEITO!$O$1325*EFEITO!$AA$1325</f>
        <v>0</v>
      </c>
      <c r="P1325" s="57"/>
      <c r="Q1325" s="57"/>
      <c r="R1325" s="57"/>
      <c r="S1325" s="57"/>
      <c r="T1325" s="57"/>
      <c r="U1325" s="57"/>
      <c r="V1325" s="57"/>
      <c r="W1325" s="57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</row>
    <row r="1326" spans="1:36" ht="11.25" customHeight="1" x14ac:dyDescent="0.2">
      <c r="A1326" s="53" t="s">
        <v>59</v>
      </c>
      <c r="B1326" s="53" t="s">
        <v>44</v>
      </c>
      <c r="C1326" s="53" t="s">
        <v>41</v>
      </c>
      <c r="D1326" s="53" t="s">
        <v>42</v>
      </c>
      <c r="E1326" s="53" t="s">
        <v>25</v>
      </c>
      <c r="F1326" s="53" t="s">
        <v>25</v>
      </c>
      <c r="G1326" s="53" t="s">
        <v>25</v>
      </c>
      <c r="H1326" s="53" t="s">
        <v>36</v>
      </c>
      <c r="I1326" s="73">
        <v>44075</v>
      </c>
      <c r="J1326" s="74">
        <f ca="1">EFEITO!$J$1326*EFEITO!$Y$1326</f>
        <v>12160.406950928595</v>
      </c>
      <c r="K1326" s="74">
        <f ca="1">EFEITO!$L$1326*EFEITO!$Z$1326</f>
        <v>15235.43909562202</v>
      </c>
      <c r="L1326" s="74">
        <f>EFEITO!$N$1326*EFEITO!$AA$1326</f>
        <v>31128.454807268074</v>
      </c>
      <c r="M1326" s="74">
        <f ca="1">$J$1326-EFEITO!$K$1326*EFEITO!$Y$1326</f>
        <v>0</v>
      </c>
      <c r="N1326" s="74">
        <f ca="1">$K$1326-EFEITO!$M$1326*EFEITO!$Z$1326</f>
        <v>0</v>
      </c>
      <c r="O1326" s="74">
        <f>$L$1326-EFEITO!$O$1326*EFEITO!$AA$1326</f>
        <v>0</v>
      </c>
      <c r="P1326" s="57"/>
      <c r="Q1326" s="57"/>
      <c r="R1326" s="57"/>
      <c r="S1326" s="57"/>
      <c r="T1326" s="57"/>
      <c r="U1326" s="57"/>
      <c r="V1326" s="57"/>
      <c r="W1326" s="57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</row>
    <row r="1327" spans="1:36" ht="11.25" customHeight="1" x14ac:dyDescent="0.2">
      <c r="A1327" s="53" t="s">
        <v>21</v>
      </c>
      <c r="B1327" s="53" t="s">
        <v>44</v>
      </c>
      <c r="C1327" s="53" t="s">
        <v>41</v>
      </c>
      <c r="D1327" s="53" t="s">
        <v>42</v>
      </c>
      <c r="E1327" s="53" t="s">
        <v>25</v>
      </c>
      <c r="F1327" s="53" t="s">
        <v>25</v>
      </c>
      <c r="G1327" s="53" t="s">
        <v>25</v>
      </c>
      <c r="H1327" s="53" t="s">
        <v>35</v>
      </c>
      <c r="I1327" s="73">
        <v>43739</v>
      </c>
      <c r="J1327" s="74">
        <f ca="1">EFEITO!$J$1327*EFEITO!$Y$1327</f>
        <v>914616.83443224232</v>
      </c>
      <c r="K1327" s="74">
        <f ca="1">EFEITO!$L$1327*EFEITO!$Z$1327</f>
        <v>85011.246539754546</v>
      </c>
      <c r="L1327" s="74">
        <f>EFEITO!$N$1327*EFEITO!$AA$1327</f>
        <v>282690.04831544432</v>
      </c>
      <c r="M1327" s="74">
        <f ca="1">$J$1327-EFEITO!$K$1327*EFEITO!$Y$1327</f>
        <v>0</v>
      </c>
      <c r="N1327" s="74">
        <f ca="1">$K$1327-EFEITO!$M$1327*EFEITO!$Z$1327</f>
        <v>0</v>
      </c>
      <c r="O1327" s="74">
        <f>$L$1327-EFEITO!$O$1327*EFEITO!$AA$1327</f>
        <v>0</v>
      </c>
      <c r="P1327" s="57"/>
      <c r="Q1327" s="57"/>
      <c r="R1327" s="57"/>
      <c r="S1327" s="57"/>
      <c r="T1327" s="57"/>
      <c r="U1327" s="57"/>
      <c r="V1327" s="57"/>
      <c r="W1327" s="57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</row>
    <row r="1328" spans="1:36" ht="11.25" customHeight="1" x14ac:dyDescent="0.2">
      <c r="A1328" s="53" t="s">
        <v>28</v>
      </c>
      <c r="B1328" s="53" t="s">
        <v>44</v>
      </c>
      <c r="C1328" s="53" t="s">
        <v>41</v>
      </c>
      <c r="D1328" s="53" t="s">
        <v>42</v>
      </c>
      <c r="E1328" s="53" t="s">
        <v>25</v>
      </c>
      <c r="F1328" s="53" t="s">
        <v>25</v>
      </c>
      <c r="G1328" s="53" t="s">
        <v>25</v>
      </c>
      <c r="H1328" s="53" t="s">
        <v>35</v>
      </c>
      <c r="I1328" s="73">
        <v>43739</v>
      </c>
      <c r="J1328" s="74">
        <f ca="1">EFEITO!$J$1328*EFEITO!$Y$1328</f>
        <v>64305.928140094322</v>
      </c>
      <c r="K1328" s="74">
        <f ca="1">EFEITO!$L$1328*EFEITO!$Z$1328</f>
        <v>0</v>
      </c>
      <c r="L1328" s="74">
        <f>EFEITO!$N$1328*EFEITO!$AA$1328</f>
        <v>0</v>
      </c>
      <c r="M1328" s="74">
        <f ca="1">$J$1328-EFEITO!$K$1328*EFEITO!$Y$1328</f>
        <v>0</v>
      </c>
      <c r="N1328" s="74">
        <f ca="1">$K$1328-EFEITO!$M$1328*EFEITO!$Z$1328</f>
        <v>0</v>
      </c>
      <c r="O1328" s="74">
        <f>$L$1328-EFEITO!$O$1328*EFEITO!$AA$1328</f>
        <v>0</v>
      </c>
      <c r="P1328" s="57"/>
      <c r="Q1328" s="57"/>
      <c r="R1328" s="57"/>
      <c r="S1328" s="57"/>
      <c r="T1328" s="57"/>
      <c r="U1328" s="57"/>
      <c r="V1328" s="57"/>
      <c r="W1328" s="57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</row>
    <row r="1329" spans="1:36" ht="11.25" customHeight="1" x14ac:dyDescent="0.2">
      <c r="A1329" s="53" t="s">
        <v>21</v>
      </c>
      <c r="B1329" s="53" t="s">
        <v>44</v>
      </c>
      <c r="C1329" s="53" t="s">
        <v>41</v>
      </c>
      <c r="D1329" s="53" t="s">
        <v>42</v>
      </c>
      <c r="E1329" s="53" t="s">
        <v>25</v>
      </c>
      <c r="F1329" s="53" t="s">
        <v>25</v>
      </c>
      <c r="G1329" s="53" t="s">
        <v>25</v>
      </c>
      <c r="H1329" s="53" t="s">
        <v>35</v>
      </c>
      <c r="I1329" s="73">
        <v>43770</v>
      </c>
      <c r="J1329" s="74">
        <f ca="1">EFEITO!$J$1329*EFEITO!$Y$1329</f>
        <v>890268.94102958066</v>
      </c>
      <c r="K1329" s="74">
        <f ca="1">EFEITO!$L$1329*EFEITO!$Z$1329</f>
        <v>87169.709624631738</v>
      </c>
      <c r="L1329" s="74">
        <f>EFEITO!$N$1329*EFEITO!$AA$1329</f>
        <v>289867.64020577958</v>
      </c>
      <c r="M1329" s="74">
        <f ca="1">$J$1329-EFEITO!$K$1329*EFEITO!$Y$1329</f>
        <v>0</v>
      </c>
      <c r="N1329" s="74">
        <f ca="1">$K$1329-EFEITO!$M$1329*EFEITO!$Z$1329</f>
        <v>0</v>
      </c>
      <c r="O1329" s="74">
        <f>$L$1329-EFEITO!$O$1329*EFEITO!$AA$1329</f>
        <v>0</v>
      </c>
      <c r="P1329" s="57"/>
      <c r="Q1329" s="57"/>
      <c r="R1329" s="57"/>
      <c r="S1329" s="57"/>
      <c r="T1329" s="57"/>
      <c r="U1329" s="57"/>
      <c r="V1329" s="57"/>
      <c r="W1329" s="57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</row>
    <row r="1330" spans="1:36" ht="11.25" customHeight="1" x14ac:dyDescent="0.2">
      <c r="A1330" s="53" t="s">
        <v>27</v>
      </c>
      <c r="B1330" s="53" t="s">
        <v>44</v>
      </c>
      <c r="C1330" s="53" t="s">
        <v>41</v>
      </c>
      <c r="D1330" s="53" t="s">
        <v>42</v>
      </c>
      <c r="E1330" s="53" t="s">
        <v>25</v>
      </c>
      <c r="F1330" s="53" t="s">
        <v>25</v>
      </c>
      <c r="G1330" s="53" t="s">
        <v>25</v>
      </c>
      <c r="H1330" s="53" t="s">
        <v>35</v>
      </c>
      <c r="I1330" s="73">
        <v>43770</v>
      </c>
      <c r="J1330" s="74">
        <f ca="1">EFEITO!$J$1330*EFEITO!$Y$1330</f>
        <v>29796.716321402484</v>
      </c>
      <c r="K1330" s="74">
        <f ca="1">EFEITO!$L$1330*EFEITO!$Z$1330</f>
        <v>3192.6725106278191</v>
      </c>
      <c r="L1330" s="74">
        <f>EFEITO!$N$1330*EFEITO!$AA$1330</f>
        <v>10616.674652132149</v>
      </c>
      <c r="M1330" s="74">
        <f ca="1">$J$1330-EFEITO!$K$1330*EFEITO!$Y$1330</f>
        <v>0</v>
      </c>
      <c r="N1330" s="74">
        <f ca="1">$K$1330-EFEITO!$M$1330*EFEITO!$Z$1330</f>
        <v>0</v>
      </c>
      <c r="O1330" s="74">
        <f>$L$1330-EFEITO!$O$1330*EFEITO!$AA$1330</f>
        <v>0</v>
      </c>
      <c r="P1330" s="57"/>
      <c r="Q1330" s="57"/>
      <c r="R1330" s="57"/>
      <c r="S1330" s="57"/>
      <c r="T1330" s="57"/>
      <c r="U1330" s="57"/>
      <c r="V1330" s="57"/>
      <c r="W1330" s="57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</row>
    <row r="1331" spans="1:36" ht="11.25" customHeight="1" x14ac:dyDescent="0.2">
      <c r="A1331" s="53" t="s">
        <v>28</v>
      </c>
      <c r="B1331" s="53" t="s">
        <v>44</v>
      </c>
      <c r="C1331" s="53" t="s">
        <v>41</v>
      </c>
      <c r="D1331" s="53" t="s">
        <v>42</v>
      </c>
      <c r="E1331" s="53" t="s">
        <v>25</v>
      </c>
      <c r="F1331" s="53" t="s">
        <v>25</v>
      </c>
      <c r="G1331" s="53" t="s">
        <v>25</v>
      </c>
      <c r="H1331" s="53" t="s">
        <v>35</v>
      </c>
      <c r="I1331" s="73">
        <v>43770</v>
      </c>
      <c r="J1331" s="74">
        <f ca="1">EFEITO!$J$1331*EFEITO!$Y$1331</f>
        <v>64305.928140094322</v>
      </c>
      <c r="K1331" s="74">
        <f ca="1">EFEITO!$L$1331*EFEITO!$Z$1331</f>
        <v>8404.3920659999585</v>
      </c>
      <c r="L1331" s="74">
        <f>EFEITO!$N$1331*EFEITO!$AA$1331</f>
        <v>27947.337510083813</v>
      </c>
      <c r="M1331" s="74">
        <f ca="1">$J$1331-EFEITO!$K$1331*EFEITO!$Y$1331</f>
        <v>0</v>
      </c>
      <c r="N1331" s="74">
        <f ca="1">$K$1331-EFEITO!$M$1331*EFEITO!$Z$1331</f>
        <v>0</v>
      </c>
      <c r="O1331" s="74">
        <f>$L$1331-EFEITO!$O$1331*EFEITO!$AA$1331</f>
        <v>0</v>
      </c>
      <c r="P1331" s="57"/>
      <c r="Q1331" s="57"/>
      <c r="R1331" s="57"/>
      <c r="S1331" s="57"/>
      <c r="T1331" s="57"/>
      <c r="U1331" s="57"/>
      <c r="V1331" s="57"/>
      <c r="W1331" s="57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</row>
    <row r="1332" spans="1:36" ht="11.25" customHeight="1" x14ac:dyDescent="0.2">
      <c r="A1332" s="53" t="s">
        <v>21</v>
      </c>
      <c r="B1332" s="53" t="s">
        <v>44</v>
      </c>
      <c r="C1332" s="53" t="s">
        <v>41</v>
      </c>
      <c r="D1332" s="53" t="s">
        <v>42</v>
      </c>
      <c r="E1332" s="53" t="s">
        <v>25</v>
      </c>
      <c r="F1332" s="53" t="s">
        <v>25</v>
      </c>
      <c r="G1332" s="53" t="s">
        <v>25</v>
      </c>
      <c r="H1332" s="53" t="s">
        <v>35</v>
      </c>
      <c r="I1332" s="73">
        <v>43800</v>
      </c>
      <c r="J1332" s="74">
        <f ca="1">EFEITO!$J$1332*EFEITO!$Y$1332</f>
        <v>859490.45481290959</v>
      </c>
      <c r="K1332" s="74">
        <f ca="1">EFEITO!$L$1332*EFEITO!$Z$1332</f>
        <v>80601.790599441971</v>
      </c>
      <c r="L1332" s="74">
        <f>EFEITO!$N$1332*EFEITO!$AA$1332</f>
        <v>268027.17294837307</v>
      </c>
      <c r="M1332" s="74">
        <f ca="1">$J$1332-EFEITO!$K$1332*EFEITO!$Y$1332</f>
        <v>0</v>
      </c>
      <c r="N1332" s="74">
        <f ca="1">$K$1332-EFEITO!$M$1332*EFEITO!$Z$1332</f>
        <v>0</v>
      </c>
      <c r="O1332" s="74">
        <f>$L$1332-EFEITO!$O$1332*EFEITO!$AA$1332</f>
        <v>0</v>
      </c>
      <c r="P1332" s="57"/>
      <c r="Q1332" s="57"/>
      <c r="R1332" s="57"/>
      <c r="S1332" s="57"/>
      <c r="T1332" s="57"/>
      <c r="U1332" s="57"/>
      <c r="V1332" s="57"/>
      <c r="W1332" s="57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</row>
    <row r="1333" spans="1:36" ht="11.25" customHeight="1" x14ac:dyDescent="0.2">
      <c r="A1333" s="53" t="s">
        <v>27</v>
      </c>
      <c r="B1333" s="53" t="s">
        <v>44</v>
      </c>
      <c r="C1333" s="53" t="s">
        <v>41</v>
      </c>
      <c r="D1333" s="53" t="s">
        <v>42</v>
      </c>
      <c r="E1333" s="53" t="s">
        <v>25</v>
      </c>
      <c r="F1333" s="53" t="s">
        <v>25</v>
      </c>
      <c r="G1333" s="53" t="s">
        <v>25</v>
      </c>
      <c r="H1333" s="53" t="s">
        <v>35</v>
      </c>
      <c r="I1333" s="73">
        <v>43800</v>
      </c>
      <c r="J1333" s="74">
        <f ca="1">EFEITO!$J$1333*EFEITO!$Y$1333</f>
        <v>32594.760522918037</v>
      </c>
      <c r="K1333" s="74">
        <f ca="1">EFEITO!$L$1333*EFEITO!$Z$1333</f>
        <v>3315.2546852989394</v>
      </c>
      <c r="L1333" s="74">
        <f>EFEITO!$N$1333*EFEITO!$AA$1333</f>
        <v>11024.300258047553</v>
      </c>
      <c r="M1333" s="74">
        <f ca="1">$J$1333-EFEITO!$K$1333*EFEITO!$Y$1333</f>
        <v>0</v>
      </c>
      <c r="N1333" s="74">
        <f ca="1">$K$1333-EFEITO!$M$1333*EFEITO!$Z$1333</f>
        <v>0</v>
      </c>
      <c r="O1333" s="74">
        <f>$L$1333-EFEITO!$O$1333*EFEITO!$AA$1333</f>
        <v>0</v>
      </c>
      <c r="P1333" s="57"/>
      <c r="Q1333" s="57"/>
      <c r="R1333" s="57"/>
      <c r="S1333" s="57"/>
      <c r="T1333" s="57"/>
      <c r="U1333" s="57"/>
      <c r="V1333" s="57"/>
      <c r="W1333" s="57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</row>
    <row r="1334" spans="1:36" ht="11.25" customHeight="1" x14ac:dyDescent="0.2">
      <c r="A1334" s="53" t="s">
        <v>28</v>
      </c>
      <c r="B1334" s="53" t="s">
        <v>44</v>
      </c>
      <c r="C1334" s="53" t="s">
        <v>41</v>
      </c>
      <c r="D1334" s="53" t="s">
        <v>42</v>
      </c>
      <c r="E1334" s="53" t="s">
        <v>25</v>
      </c>
      <c r="F1334" s="53" t="s">
        <v>25</v>
      </c>
      <c r="G1334" s="53" t="s">
        <v>25</v>
      </c>
      <c r="H1334" s="53" t="s">
        <v>35</v>
      </c>
      <c r="I1334" s="73">
        <v>43800</v>
      </c>
      <c r="J1334" s="74">
        <f ca="1">EFEITO!$J$1334*EFEITO!$Y$1334</f>
        <v>34852.831282035855</v>
      </c>
      <c r="K1334" s="74">
        <f ca="1">EFEITO!$L$1334*EFEITO!$Z$1334</f>
        <v>3546.0707063617028</v>
      </c>
      <c r="L1334" s="74">
        <f>EFEITO!$N$1334*EFEITO!$AA$1334</f>
        <v>11791.838610937109</v>
      </c>
      <c r="M1334" s="74">
        <f ca="1">$J$1334-EFEITO!$K$1334*EFEITO!$Y$1334</f>
        <v>0</v>
      </c>
      <c r="N1334" s="74">
        <f ca="1">$K$1334-EFEITO!$M$1334*EFEITO!$Z$1334</f>
        <v>0</v>
      </c>
      <c r="O1334" s="74">
        <f>$L$1334-EFEITO!$O$1334*EFEITO!$AA$1334</f>
        <v>0</v>
      </c>
      <c r="P1334" s="57"/>
      <c r="Q1334" s="57"/>
      <c r="R1334" s="57"/>
      <c r="S1334" s="57"/>
      <c r="T1334" s="57"/>
      <c r="U1334" s="57"/>
      <c r="V1334" s="57"/>
      <c r="W1334" s="57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</row>
    <row r="1335" spans="1:36" ht="11.25" customHeight="1" x14ac:dyDescent="0.2">
      <c r="A1335" s="53" t="s">
        <v>21</v>
      </c>
      <c r="B1335" s="53" t="s">
        <v>44</v>
      </c>
      <c r="C1335" s="53" t="s">
        <v>41</v>
      </c>
      <c r="D1335" s="53" t="s">
        <v>42</v>
      </c>
      <c r="E1335" s="53" t="s">
        <v>25</v>
      </c>
      <c r="F1335" s="53" t="s">
        <v>25</v>
      </c>
      <c r="G1335" s="53" t="s">
        <v>25</v>
      </c>
      <c r="H1335" s="53" t="s">
        <v>35</v>
      </c>
      <c r="I1335" s="73">
        <v>43831</v>
      </c>
      <c r="J1335" s="74">
        <f ca="1">EFEITO!$J$1335*EFEITO!$Y$1335</f>
        <v>860324.95922388788</v>
      </c>
      <c r="K1335" s="74">
        <f ca="1">EFEITO!$L$1335*EFEITO!$Z$1335</f>
        <v>79052.849019035464</v>
      </c>
      <c r="L1335" s="74">
        <f>EFEITO!$N$1335*EFEITO!$AA$1335</f>
        <v>262876.43833353417</v>
      </c>
      <c r="M1335" s="74">
        <f ca="1">$J$1335-EFEITO!$K$1335*EFEITO!$Y$1335</f>
        <v>0</v>
      </c>
      <c r="N1335" s="74">
        <f ca="1">$K$1335-EFEITO!$M$1335*EFEITO!$Z$1335</f>
        <v>0</v>
      </c>
      <c r="O1335" s="74">
        <f>$L$1335-EFEITO!$O$1335*EFEITO!$AA$1335</f>
        <v>0</v>
      </c>
      <c r="P1335" s="57"/>
      <c r="Q1335" s="57"/>
      <c r="R1335" s="57"/>
      <c r="S1335" s="57"/>
      <c r="T1335" s="57"/>
      <c r="U1335" s="57"/>
      <c r="V1335" s="57"/>
      <c r="W1335" s="57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</row>
    <row r="1336" spans="1:36" ht="11.25" customHeight="1" x14ac:dyDescent="0.2">
      <c r="A1336" s="53" t="s">
        <v>27</v>
      </c>
      <c r="B1336" s="53" t="s">
        <v>44</v>
      </c>
      <c r="C1336" s="53" t="s">
        <v>41</v>
      </c>
      <c r="D1336" s="53" t="s">
        <v>42</v>
      </c>
      <c r="E1336" s="53" t="s">
        <v>25</v>
      </c>
      <c r="F1336" s="53" t="s">
        <v>25</v>
      </c>
      <c r="G1336" s="53" t="s">
        <v>25</v>
      </c>
      <c r="H1336" s="53" t="s">
        <v>35</v>
      </c>
      <c r="I1336" s="73">
        <v>43831</v>
      </c>
      <c r="J1336" s="74">
        <f ca="1">EFEITO!$J$1336*EFEITO!$Y$1336</f>
        <v>3632.548612493878</v>
      </c>
      <c r="K1336" s="74">
        <f ca="1">EFEITO!$L$1336*EFEITO!$Z$1336</f>
        <v>394.6355171670254</v>
      </c>
      <c r="L1336" s="74">
        <f>EFEITO!$N$1336*EFEITO!$AA$1336</f>
        <v>1312.2914667857178</v>
      </c>
      <c r="M1336" s="74">
        <f ca="1">$J$1336-EFEITO!$K$1336*EFEITO!$Y$1336</f>
        <v>0</v>
      </c>
      <c r="N1336" s="74">
        <f ca="1">$K$1336-EFEITO!$M$1336*EFEITO!$Z$1336</f>
        <v>0</v>
      </c>
      <c r="O1336" s="74">
        <f>$L$1336-EFEITO!$O$1336*EFEITO!$AA$1336</f>
        <v>0</v>
      </c>
      <c r="P1336" s="57"/>
      <c r="Q1336" s="57"/>
      <c r="R1336" s="57"/>
      <c r="S1336" s="57"/>
      <c r="T1336" s="57"/>
      <c r="U1336" s="57"/>
      <c r="V1336" s="57"/>
      <c r="W1336" s="57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</row>
    <row r="1337" spans="1:36" ht="11.25" customHeight="1" x14ac:dyDescent="0.2">
      <c r="A1337" s="53" t="s">
        <v>28</v>
      </c>
      <c r="B1337" s="53" t="s">
        <v>44</v>
      </c>
      <c r="C1337" s="53" t="s">
        <v>41</v>
      </c>
      <c r="D1337" s="53" t="s">
        <v>42</v>
      </c>
      <c r="E1337" s="53" t="s">
        <v>25</v>
      </c>
      <c r="F1337" s="53" t="s">
        <v>25</v>
      </c>
      <c r="G1337" s="53" t="s">
        <v>25</v>
      </c>
      <c r="H1337" s="53" t="s">
        <v>35</v>
      </c>
      <c r="I1337" s="73">
        <v>43831</v>
      </c>
      <c r="J1337" s="74">
        <f ca="1">EFEITO!$J$1337*EFEITO!$Y$1337</f>
        <v>34852.831282035855</v>
      </c>
      <c r="K1337" s="74">
        <f ca="1">EFEITO!$L$1337*EFEITO!$Z$1337</f>
        <v>3658.823711266567</v>
      </c>
      <c r="L1337" s="74">
        <f>EFEITO!$N$1337*EFEITO!$AA$1337</f>
        <v>12166.779030018743</v>
      </c>
      <c r="M1337" s="74">
        <f ca="1">$J$1337-EFEITO!$K$1337*EFEITO!$Y$1337</f>
        <v>0</v>
      </c>
      <c r="N1337" s="74">
        <f ca="1">$K$1337-EFEITO!$M$1337*EFEITO!$Z$1337</f>
        <v>0</v>
      </c>
      <c r="O1337" s="74">
        <f>$L$1337-EFEITO!$O$1337*EFEITO!$AA$1337</f>
        <v>0</v>
      </c>
      <c r="P1337" s="57"/>
      <c r="Q1337" s="57"/>
      <c r="R1337" s="57"/>
      <c r="S1337" s="57"/>
      <c r="T1337" s="57"/>
      <c r="U1337" s="57"/>
      <c r="V1337" s="57"/>
      <c r="W1337" s="57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</row>
    <row r="1338" spans="1:36" ht="11.25" customHeight="1" x14ac:dyDescent="0.2">
      <c r="A1338" s="53" t="s">
        <v>21</v>
      </c>
      <c r="B1338" s="53" t="s">
        <v>44</v>
      </c>
      <c r="C1338" s="53" t="s">
        <v>41</v>
      </c>
      <c r="D1338" s="53" t="s">
        <v>42</v>
      </c>
      <c r="E1338" s="53" t="s">
        <v>25</v>
      </c>
      <c r="F1338" s="53" t="s">
        <v>25</v>
      </c>
      <c r="G1338" s="53" t="s">
        <v>25</v>
      </c>
      <c r="H1338" s="53" t="s">
        <v>35</v>
      </c>
      <c r="I1338" s="73">
        <v>43862</v>
      </c>
      <c r="J1338" s="74">
        <f ca="1">EFEITO!$J$1338*EFEITO!$Y$1338</f>
        <v>871369.8705456598</v>
      </c>
      <c r="K1338" s="74">
        <f ca="1">EFEITO!$L$1338*EFEITO!$Z$1338</f>
        <v>85286.237335284037</v>
      </c>
      <c r="L1338" s="74">
        <f>EFEITO!$N$1338*EFEITO!$AA$1338</f>
        <v>283604.48216318444</v>
      </c>
      <c r="M1338" s="74">
        <f ca="1">$J$1338-EFEITO!$K$1338*EFEITO!$Y$1338</f>
        <v>0</v>
      </c>
      <c r="N1338" s="74">
        <f ca="1">$K$1338-EFEITO!$M$1338*EFEITO!$Z$1338</f>
        <v>0</v>
      </c>
      <c r="O1338" s="74">
        <f>$L$1338-EFEITO!$O$1338*EFEITO!$AA$1338</f>
        <v>0</v>
      </c>
      <c r="P1338" s="57"/>
      <c r="Q1338" s="57"/>
      <c r="R1338" s="57"/>
      <c r="S1338" s="57"/>
      <c r="T1338" s="57"/>
      <c r="U1338" s="57"/>
      <c r="V1338" s="57"/>
      <c r="W1338" s="57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</row>
    <row r="1339" spans="1:36" ht="11.25" customHeight="1" x14ac:dyDescent="0.2">
      <c r="A1339" s="53" t="s">
        <v>27</v>
      </c>
      <c r="B1339" s="53" t="s">
        <v>44</v>
      </c>
      <c r="C1339" s="53" t="s">
        <v>41</v>
      </c>
      <c r="D1339" s="53" t="s">
        <v>42</v>
      </c>
      <c r="E1339" s="53" t="s">
        <v>25</v>
      </c>
      <c r="F1339" s="53" t="s">
        <v>25</v>
      </c>
      <c r="G1339" s="53" t="s">
        <v>25</v>
      </c>
      <c r="H1339" s="53" t="s">
        <v>35</v>
      </c>
      <c r="I1339" s="73">
        <v>43862</v>
      </c>
      <c r="J1339" s="74">
        <f ca="1">EFEITO!$J$1339*EFEITO!$Y$1339</f>
        <v>24249.716413134807</v>
      </c>
      <c r="K1339" s="74">
        <f ca="1">EFEITO!$L$1339*EFEITO!$Z$1339</f>
        <v>1040.197310780648</v>
      </c>
      <c r="L1339" s="74">
        <f>EFEITO!$N$1339*EFEITO!$AA$1339</f>
        <v>3458.9944273392798</v>
      </c>
      <c r="M1339" s="74">
        <f ca="1">$J$1339-EFEITO!$K$1339*EFEITO!$Y$1339</f>
        <v>0</v>
      </c>
      <c r="N1339" s="74">
        <f ca="1">$K$1339-EFEITO!$M$1339*EFEITO!$Z$1339</f>
        <v>0</v>
      </c>
      <c r="O1339" s="74">
        <f>$L$1339-EFEITO!$O$1339*EFEITO!$AA$1339</f>
        <v>0</v>
      </c>
      <c r="P1339" s="57"/>
      <c r="Q1339" s="57"/>
      <c r="R1339" s="57"/>
      <c r="S1339" s="57"/>
      <c r="T1339" s="57"/>
      <c r="U1339" s="57"/>
      <c r="V1339" s="57"/>
      <c r="W1339" s="57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</row>
    <row r="1340" spans="1:36" ht="11.25" customHeight="1" x14ac:dyDescent="0.2">
      <c r="A1340" s="53" t="s">
        <v>28</v>
      </c>
      <c r="B1340" s="53" t="s">
        <v>44</v>
      </c>
      <c r="C1340" s="53" t="s">
        <v>41</v>
      </c>
      <c r="D1340" s="53" t="s">
        <v>42</v>
      </c>
      <c r="E1340" s="53" t="s">
        <v>25</v>
      </c>
      <c r="F1340" s="53" t="s">
        <v>25</v>
      </c>
      <c r="G1340" s="53" t="s">
        <v>25</v>
      </c>
      <c r="H1340" s="53" t="s">
        <v>35</v>
      </c>
      <c r="I1340" s="73">
        <v>43862</v>
      </c>
      <c r="J1340" s="74">
        <f ca="1">EFEITO!$J$1340*EFEITO!$Y$1340</f>
        <v>125666.5465943828</v>
      </c>
      <c r="K1340" s="74">
        <f ca="1">EFEITO!$L$1340*EFEITO!$Z$1340</f>
        <v>13023.198024437501</v>
      </c>
      <c r="L1340" s="74">
        <f>EFEITO!$N$1340*EFEITO!$AA$1340</f>
        <v>43306.369787534066</v>
      </c>
      <c r="M1340" s="74">
        <f ca="1">$J$1340-EFEITO!$K$1340*EFEITO!$Y$1340</f>
        <v>0</v>
      </c>
      <c r="N1340" s="74">
        <f ca="1">$K$1340-EFEITO!$M$1340*EFEITO!$Z$1340</f>
        <v>0</v>
      </c>
      <c r="O1340" s="74">
        <f>$L$1340-EFEITO!$O$1340*EFEITO!$AA$1340</f>
        <v>0</v>
      </c>
      <c r="P1340" s="57"/>
      <c r="Q1340" s="57"/>
      <c r="R1340" s="57"/>
      <c r="S1340" s="57"/>
      <c r="T1340" s="57"/>
      <c r="U1340" s="57"/>
      <c r="V1340" s="57"/>
      <c r="W1340" s="57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</row>
    <row r="1341" spans="1:36" ht="11.25" customHeight="1" x14ac:dyDescent="0.2">
      <c r="A1341" s="53" t="s">
        <v>21</v>
      </c>
      <c r="B1341" s="53" t="s">
        <v>44</v>
      </c>
      <c r="C1341" s="53" t="s">
        <v>41</v>
      </c>
      <c r="D1341" s="53" t="s">
        <v>42</v>
      </c>
      <c r="E1341" s="53" t="s">
        <v>25</v>
      </c>
      <c r="F1341" s="53" t="s">
        <v>25</v>
      </c>
      <c r="G1341" s="53" t="s">
        <v>25</v>
      </c>
      <c r="H1341" s="53" t="s">
        <v>35</v>
      </c>
      <c r="I1341" s="73">
        <v>43891</v>
      </c>
      <c r="J1341" s="74">
        <f ca="1">EFEITO!$J$1341*EFEITO!$Y$1341</f>
        <v>835191.64990501129</v>
      </c>
      <c r="K1341" s="74">
        <f ca="1">EFEITO!$L$1341*EFEITO!$Z$1341</f>
        <v>77674.618651465877</v>
      </c>
      <c r="L1341" s="74">
        <f>EFEITO!$N$1341*EFEITO!$AA$1341</f>
        <v>258293.37403255541</v>
      </c>
      <c r="M1341" s="74">
        <f ca="1">$J$1341-EFEITO!$K$1341*EFEITO!$Y$1341</f>
        <v>0</v>
      </c>
      <c r="N1341" s="74">
        <f ca="1">$K$1341-EFEITO!$M$1341*EFEITO!$Z$1341</f>
        <v>0</v>
      </c>
      <c r="O1341" s="74">
        <f>$L$1341-EFEITO!$O$1341*EFEITO!$AA$1341</f>
        <v>0</v>
      </c>
      <c r="P1341" s="57"/>
      <c r="Q1341" s="57"/>
      <c r="R1341" s="57"/>
      <c r="S1341" s="57"/>
      <c r="T1341" s="57"/>
      <c r="U1341" s="57"/>
      <c r="V1341" s="57"/>
      <c r="W1341" s="57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</row>
    <row r="1342" spans="1:36" ht="11.25" customHeight="1" x14ac:dyDescent="0.2">
      <c r="A1342" s="53" t="s">
        <v>27</v>
      </c>
      <c r="B1342" s="53" t="s">
        <v>44</v>
      </c>
      <c r="C1342" s="53" t="s">
        <v>41</v>
      </c>
      <c r="D1342" s="53" t="s">
        <v>42</v>
      </c>
      <c r="E1342" s="53" t="s">
        <v>25</v>
      </c>
      <c r="F1342" s="53" t="s">
        <v>25</v>
      </c>
      <c r="G1342" s="53" t="s">
        <v>25</v>
      </c>
      <c r="H1342" s="53" t="s">
        <v>35</v>
      </c>
      <c r="I1342" s="73">
        <v>43891</v>
      </c>
      <c r="J1342" s="74">
        <f ca="1">EFEITO!$J$1342*EFEITO!$Y$1342</f>
        <v>7608.7166883317714</v>
      </c>
      <c r="K1342" s="74">
        <f ca="1">EFEITO!$L$1342*EFEITO!$Z$1342</f>
        <v>762.72097806887746</v>
      </c>
      <c r="L1342" s="74">
        <f>EFEITO!$N$1342*EFEITO!$AA$1342</f>
        <v>2536.2953599399889</v>
      </c>
      <c r="M1342" s="74">
        <f ca="1">$J$1342-EFEITO!$K$1342*EFEITO!$Y$1342</f>
        <v>0</v>
      </c>
      <c r="N1342" s="74">
        <f ca="1">$K$1342-EFEITO!$M$1342*EFEITO!$Z$1342</f>
        <v>0</v>
      </c>
      <c r="O1342" s="74">
        <f>$L$1342-EFEITO!$O$1342*EFEITO!$AA$1342</f>
        <v>0</v>
      </c>
      <c r="P1342" s="57"/>
      <c r="Q1342" s="57"/>
      <c r="R1342" s="57"/>
      <c r="S1342" s="57"/>
      <c r="T1342" s="57"/>
      <c r="U1342" s="57"/>
      <c r="V1342" s="57"/>
      <c r="W1342" s="57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</row>
    <row r="1343" spans="1:36" ht="11.25" customHeight="1" x14ac:dyDescent="0.2">
      <c r="A1343" s="53" t="s">
        <v>28</v>
      </c>
      <c r="B1343" s="53" t="s">
        <v>44</v>
      </c>
      <c r="C1343" s="53" t="s">
        <v>41</v>
      </c>
      <c r="D1343" s="53" t="s">
        <v>42</v>
      </c>
      <c r="E1343" s="53" t="s">
        <v>25</v>
      </c>
      <c r="F1343" s="53" t="s">
        <v>25</v>
      </c>
      <c r="G1343" s="53" t="s">
        <v>25</v>
      </c>
      <c r="H1343" s="53" t="s">
        <v>35</v>
      </c>
      <c r="I1343" s="73">
        <v>43891</v>
      </c>
      <c r="J1343" s="74">
        <f ca="1">EFEITO!$J$1343*EFEITO!$Y$1343</f>
        <v>34852.831282035855</v>
      </c>
      <c r="K1343" s="74">
        <f ca="1">EFEITO!$L$1343*EFEITO!$Z$1343</f>
        <v>3153.6947684512879</v>
      </c>
      <c r="L1343" s="74">
        <f>EFEITO!$N$1343*EFEITO!$AA$1343</f>
        <v>10487.060980205133</v>
      </c>
      <c r="M1343" s="74">
        <f ca="1">$J$1343-EFEITO!$K$1343*EFEITO!$Y$1343</f>
        <v>0</v>
      </c>
      <c r="N1343" s="74">
        <f ca="1">$K$1343-EFEITO!$M$1343*EFEITO!$Z$1343</f>
        <v>0</v>
      </c>
      <c r="O1343" s="74">
        <f>$L$1343-EFEITO!$O$1343*EFEITO!$AA$1343</f>
        <v>0</v>
      </c>
      <c r="P1343" s="57"/>
      <c r="Q1343" s="57"/>
      <c r="R1343" s="57"/>
      <c r="S1343" s="57"/>
      <c r="T1343" s="57"/>
      <c r="U1343" s="57"/>
      <c r="V1343" s="57"/>
      <c r="W1343" s="57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</row>
    <row r="1344" spans="1:36" ht="11.25" customHeight="1" x14ac:dyDescent="0.2">
      <c r="A1344" s="53" t="s">
        <v>21</v>
      </c>
      <c r="B1344" s="53" t="s">
        <v>44</v>
      </c>
      <c r="C1344" s="53" t="s">
        <v>41</v>
      </c>
      <c r="D1344" s="53" t="s">
        <v>42</v>
      </c>
      <c r="E1344" s="53" t="s">
        <v>25</v>
      </c>
      <c r="F1344" s="53" t="s">
        <v>25</v>
      </c>
      <c r="G1344" s="53" t="s">
        <v>25</v>
      </c>
      <c r="H1344" s="53" t="s">
        <v>35</v>
      </c>
      <c r="I1344" s="73">
        <v>43922</v>
      </c>
      <c r="J1344" s="74">
        <f ca="1">EFEITO!$J$1344*EFEITO!$Y$1344</f>
        <v>816390.75641061726</v>
      </c>
      <c r="K1344" s="74">
        <f ca="1">EFEITO!$L$1344*EFEITO!$Z$1344</f>
        <v>80473.446497666489</v>
      </c>
      <c r="L1344" s="74">
        <f>EFEITO!$N$1344*EFEITO!$AA$1344</f>
        <v>267600.38706052065</v>
      </c>
      <c r="M1344" s="74">
        <f ca="1">$J$1344-EFEITO!$K$1344*EFEITO!$Y$1344</f>
        <v>0</v>
      </c>
      <c r="N1344" s="74">
        <f ca="1">$K$1344-EFEITO!$M$1344*EFEITO!$Z$1344</f>
        <v>0</v>
      </c>
      <c r="O1344" s="74">
        <f>$L$1344-EFEITO!$O$1344*EFEITO!$AA$1344</f>
        <v>0</v>
      </c>
      <c r="P1344" s="57"/>
      <c r="Q1344" s="57"/>
      <c r="R1344" s="57"/>
      <c r="S1344" s="57"/>
      <c r="T1344" s="57"/>
      <c r="U1344" s="57"/>
      <c r="V1344" s="57"/>
      <c r="W1344" s="57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</row>
    <row r="1345" spans="1:36" ht="11.25" customHeight="1" x14ac:dyDescent="0.2">
      <c r="A1345" s="53" t="s">
        <v>27</v>
      </c>
      <c r="B1345" s="53" t="s">
        <v>44</v>
      </c>
      <c r="C1345" s="53" t="s">
        <v>41</v>
      </c>
      <c r="D1345" s="53" t="s">
        <v>42</v>
      </c>
      <c r="E1345" s="53" t="s">
        <v>25</v>
      </c>
      <c r="F1345" s="53" t="s">
        <v>25</v>
      </c>
      <c r="G1345" s="53" t="s">
        <v>25</v>
      </c>
      <c r="H1345" s="53" t="s">
        <v>35</v>
      </c>
      <c r="I1345" s="73">
        <v>43922</v>
      </c>
      <c r="J1345" s="74">
        <f ca="1">EFEITO!$J$1345*EFEITO!$Y$1345</f>
        <v>18653.628010103697</v>
      </c>
      <c r="K1345" s="74">
        <f ca="1">EFEITO!$L$1345*EFEITO!$Z$1345</f>
        <v>495.86466786317629</v>
      </c>
      <c r="L1345" s="74">
        <f>EFEITO!$N$1345*EFEITO!$AA$1345</f>
        <v>1648.9113219932767</v>
      </c>
      <c r="M1345" s="74">
        <f ca="1">$J$1345-EFEITO!$K$1345*EFEITO!$Y$1345</f>
        <v>0</v>
      </c>
      <c r="N1345" s="74">
        <f ca="1">$K$1345-EFEITO!$M$1345*EFEITO!$Z$1345</f>
        <v>0</v>
      </c>
      <c r="O1345" s="74">
        <f>$L$1345-EFEITO!$O$1345*EFEITO!$AA$1345</f>
        <v>0</v>
      </c>
      <c r="P1345" s="57"/>
      <c r="Q1345" s="57"/>
      <c r="R1345" s="57"/>
      <c r="S1345" s="57"/>
      <c r="T1345" s="57"/>
      <c r="U1345" s="57"/>
      <c r="V1345" s="57"/>
      <c r="W1345" s="57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</row>
    <row r="1346" spans="1:36" ht="11.25" customHeight="1" x14ac:dyDescent="0.2">
      <c r="A1346" s="53" t="s">
        <v>28</v>
      </c>
      <c r="B1346" s="53" t="s">
        <v>44</v>
      </c>
      <c r="C1346" s="53" t="s">
        <v>41</v>
      </c>
      <c r="D1346" s="53" t="s">
        <v>42</v>
      </c>
      <c r="E1346" s="53" t="s">
        <v>25</v>
      </c>
      <c r="F1346" s="53" t="s">
        <v>25</v>
      </c>
      <c r="G1346" s="53" t="s">
        <v>25</v>
      </c>
      <c r="H1346" s="53" t="s">
        <v>35</v>
      </c>
      <c r="I1346" s="73">
        <v>43922</v>
      </c>
      <c r="J1346" s="74">
        <f ca="1">EFEITO!$J$1346*EFEITO!$Y$1346</f>
        <v>34852.831282035855</v>
      </c>
      <c r="K1346" s="74">
        <f ca="1">EFEITO!$L$1346*EFEITO!$Z$1346</f>
        <v>3484.7231295447273</v>
      </c>
      <c r="L1346" s="74">
        <f>EFEITO!$N$1346*EFEITO!$AA$1346</f>
        <v>11587.837962078065</v>
      </c>
      <c r="M1346" s="74">
        <f ca="1">$J$1346-EFEITO!$K$1346*EFEITO!$Y$1346</f>
        <v>0</v>
      </c>
      <c r="N1346" s="74">
        <f ca="1">$K$1346-EFEITO!$M$1346*EFEITO!$Z$1346</f>
        <v>0</v>
      </c>
      <c r="O1346" s="74">
        <f>$L$1346-EFEITO!$O$1346*EFEITO!$AA$1346</f>
        <v>0</v>
      </c>
      <c r="P1346" s="57"/>
      <c r="Q1346" s="57"/>
      <c r="R1346" s="57"/>
      <c r="S1346" s="57"/>
      <c r="T1346" s="57"/>
      <c r="U1346" s="57"/>
      <c r="V1346" s="57"/>
      <c r="W1346" s="57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</row>
    <row r="1347" spans="1:36" ht="11.25" customHeight="1" x14ac:dyDescent="0.2">
      <c r="A1347" s="53" t="s">
        <v>21</v>
      </c>
      <c r="B1347" s="53" t="s">
        <v>44</v>
      </c>
      <c r="C1347" s="53" t="s">
        <v>41</v>
      </c>
      <c r="D1347" s="53" t="s">
        <v>42</v>
      </c>
      <c r="E1347" s="53" t="s">
        <v>25</v>
      </c>
      <c r="F1347" s="53" t="s">
        <v>25</v>
      </c>
      <c r="G1347" s="53" t="s">
        <v>25</v>
      </c>
      <c r="H1347" s="53" t="s">
        <v>35</v>
      </c>
      <c r="I1347" s="73">
        <v>43952</v>
      </c>
      <c r="J1347" s="74">
        <f ca="1">EFEITO!$J$1347*EFEITO!$Y$1347</f>
        <v>799013.42926436279</v>
      </c>
      <c r="K1347" s="74">
        <f ca="1">EFEITO!$L$1347*EFEITO!$Z$1347</f>
        <v>66883.884932559566</v>
      </c>
      <c r="L1347" s="74">
        <f>EFEITO!$N$1347*EFEITO!$AA$1347</f>
        <v>222410.67426611664</v>
      </c>
      <c r="M1347" s="74">
        <f ca="1">$J$1347-EFEITO!$K$1347*EFEITO!$Y$1347</f>
        <v>0</v>
      </c>
      <c r="N1347" s="74">
        <f ca="1">$K$1347-EFEITO!$M$1347*EFEITO!$Z$1347</f>
        <v>0</v>
      </c>
      <c r="O1347" s="74">
        <f>$L$1347-EFEITO!$O$1347*EFEITO!$AA$1347</f>
        <v>0</v>
      </c>
      <c r="P1347" s="57"/>
      <c r="Q1347" s="57"/>
      <c r="R1347" s="57"/>
      <c r="S1347" s="57"/>
      <c r="T1347" s="57"/>
      <c r="U1347" s="57"/>
      <c r="V1347" s="57"/>
      <c r="W1347" s="57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</row>
    <row r="1348" spans="1:36" ht="11.25" customHeight="1" x14ac:dyDescent="0.2">
      <c r="A1348" s="53" t="s">
        <v>27</v>
      </c>
      <c r="B1348" s="53" t="s">
        <v>44</v>
      </c>
      <c r="C1348" s="53" t="s">
        <v>41</v>
      </c>
      <c r="D1348" s="53" t="s">
        <v>42</v>
      </c>
      <c r="E1348" s="53" t="s">
        <v>25</v>
      </c>
      <c r="F1348" s="53" t="s">
        <v>25</v>
      </c>
      <c r="G1348" s="53" t="s">
        <v>25</v>
      </c>
      <c r="H1348" s="53" t="s">
        <v>35</v>
      </c>
      <c r="I1348" s="73">
        <v>43952</v>
      </c>
      <c r="J1348" s="74">
        <f ca="1">EFEITO!$J$1348*EFEITO!$Y$1348</f>
        <v>18653.628010103697</v>
      </c>
      <c r="K1348" s="74">
        <f ca="1">EFEITO!$L$1348*EFEITO!$Z$1348</f>
        <v>376.33292518848032</v>
      </c>
      <c r="L1348" s="74">
        <f>EFEITO!$N$1348*EFEITO!$AA$1348</f>
        <v>1251.4293947504225</v>
      </c>
      <c r="M1348" s="74">
        <f ca="1">$J$1348-EFEITO!$K$1348*EFEITO!$Y$1348</f>
        <v>0</v>
      </c>
      <c r="N1348" s="74">
        <f ca="1">$K$1348-EFEITO!$M$1348*EFEITO!$Z$1348</f>
        <v>0</v>
      </c>
      <c r="O1348" s="74">
        <f>$L$1348-EFEITO!$O$1348*EFEITO!$AA$1348</f>
        <v>0</v>
      </c>
      <c r="P1348" s="57"/>
      <c r="Q1348" s="57"/>
      <c r="R1348" s="57"/>
      <c r="S1348" s="57"/>
      <c r="T1348" s="57"/>
      <c r="U1348" s="57"/>
      <c r="V1348" s="57"/>
      <c r="W1348" s="57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</row>
    <row r="1349" spans="1:36" ht="11.25" customHeight="1" x14ac:dyDescent="0.2">
      <c r="A1349" s="53" t="s">
        <v>28</v>
      </c>
      <c r="B1349" s="53" t="s">
        <v>44</v>
      </c>
      <c r="C1349" s="53" t="s">
        <v>41</v>
      </c>
      <c r="D1349" s="53" t="s">
        <v>42</v>
      </c>
      <c r="E1349" s="53" t="s">
        <v>25</v>
      </c>
      <c r="F1349" s="53" t="s">
        <v>25</v>
      </c>
      <c r="G1349" s="53" t="s">
        <v>25</v>
      </c>
      <c r="H1349" s="53" t="s">
        <v>35</v>
      </c>
      <c r="I1349" s="73">
        <v>43952</v>
      </c>
      <c r="J1349" s="74">
        <f ca="1">EFEITO!$J$1349*EFEITO!$Y$1349</f>
        <v>125666.5465943828</v>
      </c>
      <c r="K1349" s="74">
        <f ca="1">EFEITO!$L$1349*EFEITO!$Z$1349</f>
        <v>9432.3876487949092</v>
      </c>
      <c r="L1349" s="74">
        <f>EFEITO!$N$1349*EFEITO!$AA$1349</f>
        <v>31365.757222732896</v>
      </c>
      <c r="M1349" s="74">
        <f ca="1">$J$1349-EFEITO!$K$1349*EFEITO!$Y$1349</f>
        <v>0</v>
      </c>
      <c r="N1349" s="74">
        <f ca="1">$K$1349-EFEITO!$M$1349*EFEITO!$Z$1349</f>
        <v>0</v>
      </c>
      <c r="O1349" s="74">
        <f>$L$1349-EFEITO!$O$1349*EFEITO!$AA$1349</f>
        <v>0</v>
      </c>
      <c r="P1349" s="57"/>
      <c r="Q1349" s="57"/>
      <c r="R1349" s="57"/>
      <c r="S1349" s="57"/>
      <c r="T1349" s="57"/>
      <c r="U1349" s="57"/>
      <c r="V1349" s="57"/>
      <c r="W1349" s="57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</row>
    <row r="1350" spans="1:36" ht="11.25" customHeight="1" x14ac:dyDescent="0.2">
      <c r="A1350" s="53" t="s">
        <v>21</v>
      </c>
      <c r="B1350" s="53" t="s">
        <v>44</v>
      </c>
      <c r="C1350" s="53" t="s">
        <v>41</v>
      </c>
      <c r="D1350" s="53" t="s">
        <v>42</v>
      </c>
      <c r="E1350" s="53" t="s">
        <v>25</v>
      </c>
      <c r="F1350" s="53" t="s">
        <v>25</v>
      </c>
      <c r="G1350" s="53" t="s">
        <v>25</v>
      </c>
      <c r="H1350" s="53" t="s">
        <v>35</v>
      </c>
      <c r="I1350" s="73">
        <v>43983</v>
      </c>
      <c r="J1350" s="74">
        <f ca="1">EFEITO!$J$1350*EFEITO!$Y$1350</f>
        <v>863172.09192016686</v>
      </c>
      <c r="K1350" s="74">
        <f ca="1">EFEITO!$L$1350*EFEITO!$Z$1350</f>
        <v>78023.836625575044</v>
      </c>
      <c r="L1350" s="74">
        <f>EFEITO!$N$1350*EFEITO!$AA$1350</f>
        <v>259454.63739466094</v>
      </c>
      <c r="M1350" s="74">
        <f ca="1">$J$1350-EFEITO!$K$1350*EFEITO!$Y$1350</f>
        <v>0</v>
      </c>
      <c r="N1350" s="74">
        <f ca="1">$K$1350-EFEITO!$M$1350*EFEITO!$Z$1350</f>
        <v>0</v>
      </c>
      <c r="O1350" s="74">
        <f>$L$1350-EFEITO!$O$1350*EFEITO!$AA$1350</f>
        <v>0</v>
      </c>
      <c r="P1350" s="57"/>
      <c r="Q1350" s="57"/>
      <c r="R1350" s="57"/>
      <c r="S1350" s="57"/>
      <c r="T1350" s="57"/>
      <c r="U1350" s="57"/>
      <c r="V1350" s="57"/>
      <c r="W1350" s="57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</row>
    <row r="1351" spans="1:36" ht="11.25" customHeight="1" x14ac:dyDescent="0.2">
      <c r="A1351" s="53" t="s">
        <v>27</v>
      </c>
      <c r="B1351" s="53" t="s">
        <v>44</v>
      </c>
      <c r="C1351" s="53" t="s">
        <v>41</v>
      </c>
      <c r="D1351" s="53" t="s">
        <v>42</v>
      </c>
      <c r="E1351" s="53" t="s">
        <v>25</v>
      </c>
      <c r="F1351" s="53" t="s">
        <v>25</v>
      </c>
      <c r="G1351" s="53" t="s">
        <v>25</v>
      </c>
      <c r="H1351" s="53" t="s">
        <v>35</v>
      </c>
      <c r="I1351" s="73">
        <v>43983</v>
      </c>
      <c r="J1351" s="74">
        <f ca="1">EFEITO!$J$1351*EFEITO!$Y$1351</f>
        <v>18653.628010103697</v>
      </c>
      <c r="K1351" s="74">
        <f ca="1">EFEITO!$L$1351*EFEITO!$Z$1351</f>
        <v>436.32475445148935</v>
      </c>
      <c r="L1351" s="74">
        <f>EFEITO!$N$1351*EFEITO!$AA$1351</f>
        <v>1450.9217419772237</v>
      </c>
      <c r="M1351" s="74">
        <f ca="1">$J$1351-EFEITO!$K$1351*EFEITO!$Y$1351</f>
        <v>0</v>
      </c>
      <c r="N1351" s="74">
        <f ca="1">$K$1351-EFEITO!$M$1351*EFEITO!$Z$1351</f>
        <v>0</v>
      </c>
      <c r="O1351" s="74">
        <f>$L$1351-EFEITO!$O$1351*EFEITO!$AA$1351</f>
        <v>0</v>
      </c>
      <c r="P1351" s="57"/>
      <c r="Q1351" s="57"/>
      <c r="R1351" s="57"/>
      <c r="S1351" s="57"/>
      <c r="T1351" s="57"/>
      <c r="U1351" s="57"/>
      <c r="V1351" s="57"/>
      <c r="W1351" s="57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</row>
    <row r="1352" spans="1:36" ht="11.25" customHeight="1" x14ac:dyDescent="0.2">
      <c r="A1352" s="53" t="s">
        <v>28</v>
      </c>
      <c r="B1352" s="53" t="s">
        <v>44</v>
      </c>
      <c r="C1352" s="53" t="s">
        <v>41</v>
      </c>
      <c r="D1352" s="53" t="s">
        <v>42</v>
      </c>
      <c r="E1352" s="53" t="s">
        <v>25</v>
      </c>
      <c r="F1352" s="53" t="s">
        <v>25</v>
      </c>
      <c r="G1352" s="53" t="s">
        <v>25</v>
      </c>
      <c r="H1352" s="53" t="s">
        <v>35</v>
      </c>
      <c r="I1352" s="73">
        <v>43983</v>
      </c>
      <c r="J1352" s="74">
        <f ca="1">EFEITO!$J$1352*EFEITO!$Y$1352</f>
        <v>34852.831282035855</v>
      </c>
      <c r="K1352" s="74">
        <f ca="1">EFEITO!$L$1352*EFEITO!$Z$1352</f>
        <v>2310.7587267727372</v>
      </c>
      <c r="L1352" s="74">
        <f>EFEITO!$N$1352*EFEITO!$AA$1352</f>
        <v>7684.0244403573679</v>
      </c>
      <c r="M1352" s="74">
        <f ca="1">$J$1352-EFEITO!$K$1352*EFEITO!$Y$1352</f>
        <v>0</v>
      </c>
      <c r="N1352" s="74">
        <f ca="1">$K$1352-EFEITO!$M$1352*EFEITO!$Z$1352</f>
        <v>0</v>
      </c>
      <c r="O1352" s="74">
        <f>$L$1352-EFEITO!$O$1352*EFEITO!$AA$1352</f>
        <v>0</v>
      </c>
      <c r="P1352" s="57"/>
      <c r="Q1352" s="57"/>
      <c r="R1352" s="57"/>
      <c r="S1352" s="57"/>
      <c r="T1352" s="57"/>
      <c r="U1352" s="57"/>
      <c r="V1352" s="57"/>
      <c r="W1352" s="57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</row>
    <row r="1353" spans="1:36" ht="11.25" customHeight="1" x14ac:dyDescent="0.2">
      <c r="A1353" s="53" t="s">
        <v>21</v>
      </c>
      <c r="B1353" s="53" t="s">
        <v>44</v>
      </c>
      <c r="C1353" s="53" t="s">
        <v>41</v>
      </c>
      <c r="D1353" s="53" t="s">
        <v>42</v>
      </c>
      <c r="E1353" s="53" t="s">
        <v>25</v>
      </c>
      <c r="F1353" s="53" t="s">
        <v>25</v>
      </c>
      <c r="G1353" s="53" t="s">
        <v>25</v>
      </c>
      <c r="H1353" s="53" t="s">
        <v>35</v>
      </c>
      <c r="I1353" s="73">
        <v>44013</v>
      </c>
      <c r="J1353" s="74">
        <f ca="1">EFEITO!$J$1353*EFEITO!$Y$1353</f>
        <v>880942.1270245288</v>
      </c>
      <c r="K1353" s="74">
        <f ca="1">EFEITO!$L$1353*EFEITO!$Z$1353</f>
        <v>76132.794745717692</v>
      </c>
      <c r="L1353" s="74">
        <f>EFEITO!$N$1353*EFEITO!$AA$1353</f>
        <v>253166.3080012858</v>
      </c>
      <c r="M1353" s="74">
        <f ca="1">$J$1353-EFEITO!$K$1353*EFEITO!$Y$1353</f>
        <v>0</v>
      </c>
      <c r="N1353" s="74">
        <f ca="1">$K$1353-EFEITO!$M$1353*EFEITO!$Z$1353</f>
        <v>0</v>
      </c>
      <c r="O1353" s="74">
        <f>$L$1353-EFEITO!$O$1353*EFEITO!$AA$1353</f>
        <v>0</v>
      </c>
      <c r="P1353" s="57"/>
      <c r="Q1353" s="57"/>
      <c r="R1353" s="57"/>
      <c r="S1353" s="57"/>
      <c r="T1353" s="57"/>
      <c r="U1353" s="57"/>
      <c r="V1353" s="57"/>
      <c r="W1353" s="57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</row>
    <row r="1354" spans="1:36" ht="11.25" customHeight="1" x14ac:dyDescent="0.2">
      <c r="A1354" s="53" t="s">
        <v>27</v>
      </c>
      <c r="B1354" s="53" t="s">
        <v>44</v>
      </c>
      <c r="C1354" s="53" t="s">
        <v>41</v>
      </c>
      <c r="D1354" s="53" t="s">
        <v>42</v>
      </c>
      <c r="E1354" s="53" t="s">
        <v>25</v>
      </c>
      <c r="F1354" s="53" t="s">
        <v>25</v>
      </c>
      <c r="G1354" s="53" t="s">
        <v>25</v>
      </c>
      <c r="H1354" s="53" t="s">
        <v>35</v>
      </c>
      <c r="I1354" s="73">
        <v>44013</v>
      </c>
      <c r="J1354" s="74">
        <f ca="1">EFEITO!$J$1354*EFEITO!$Y$1354</f>
        <v>18653.628010103697</v>
      </c>
      <c r="K1354" s="74">
        <f ca="1">EFEITO!$L$1354*EFEITO!$Z$1354</f>
        <v>412.03427744292634</v>
      </c>
      <c r="L1354" s="74">
        <f>EFEITO!$N$1354*EFEITO!$AA$1354</f>
        <v>1370.1480043995168</v>
      </c>
      <c r="M1354" s="74">
        <f ca="1">$J$1354-EFEITO!$K$1354*EFEITO!$Y$1354</f>
        <v>0</v>
      </c>
      <c r="N1354" s="74">
        <f ca="1">$K$1354-EFEITO!$M$1354*EFEITO!$Z$1354</f>
        <v>0</v>
      </c>
      <c r="O1354" s="74">
        <f>$L$1354-EFEITO!$O$1354*EFEITO!$AA$1354</f>
        <v>0</v>
      </c>
      <c r="P1354" s="57"/>
      <c r="Q1354" s="57"/>
      <c r="R1354" s="57"/>
      <c r="S1354" s="57"/>
      <c r="T1354" s="57"/>
      <c r="U1354" s="57"/>
      <c r="V1354" s="57"/>
      <c r="W1354" s="57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</row>
    <row r="1355" spans="1:36" ht="11.25" customHeight="1" x14ac:dyDescent="0.2">
      <c r="A1355" s="53" t="s">
        <v>28</v>
      </c>
      <c r="B1355" s="53" t="s">
        <v>44</v>
      </c>
      <c r="C1355" s="53" t="s">
        <v>41</v>
      </c>
      <c r="D1355" s="53" t="s">
        <v>42</v>
      </c>
      <c r="E1355" s="53" t="s">
        <v>25</v>
      </c>
      <c r="F1355" s="53" t="s">
        <v>25</v>
      </c>
      <c r="G1355" s="53" t="s">
        <v>25</v>
      </c>
      <c r="H1355" s="53" t="s">
        <v>35</v>
      </c>
      <c r="I1355" s="73">
        <v>44013</v>
      </c>
      <c r="J1355" s="74">
        <f ca="1">EFEITO!$J$1355*EFEITO!$Y$1355</f>
        <v>34852.831282035855</v>
      </c>
      <c r="K1355" s="74">
        <f ca="1">EFEITO!$L$1355*EFEITO!$Z$1355</f>
        <v>1981.5380290845862</v>
      </c>
      <c r="L1355" s="74">
        <f>EFEITO!$N$1355*EFEITO!$AA$1355</f>
        <v>6589.2585273274281</v>
      </c>
      <c r="M1355" s="74">
        <f ca="1">$J$1355-EFEITO!$K$1355*EFEITO!$Y$1355</f>
        <v>0</v>
      </c>
      <c r="N1355" s="74">
        <f ca="1">$K$1355-EFEITO!$M$1355*EFEITO!$Z$1355</f>
        <v>0</v>
      </c>
      <c r="O1355" s="74">
        <f>$L$1355-EFEITO!$O$1355*EFEITO!$AA$1355</f>
        <v>0</v>
      </c>
      <c r="P1355" s="57"/>
      <c r="Q1355" s="57"/>
      <c r="R1355" s="57"/>
      <c r="S1355" s="57"/>
      <c r="T1355" s="57"/>
      <c r="U1355" s="57"/>
      <c r="V1355" s="57"/>
      <c r="W1355" s="57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</row>
    <row r="1356" spans="1:36" ht="11.25" customHeight="1" x14ac:dyDescent="0.2">
      <c r="A1356" s="53" t="s">
        <v>21</v>
      </c>
      <c r="B1356" s="53" t="s">
        <v>44</v>
      </c>
      <c r="C1356" s="53" t="s">
        <v>41</v>
      </c>
      <c r="D1356" s="53" t="s">
        <v>42</v>
      </c>
      <c r="E1356" s="53" t="s">
        <v>25</v>
      </c>
      <c r="F1356" s="53" t="s">
        <v>25</v>
      </c>
      <c r="G1356" s="53" t="s">
        <v>25</v>
      </c>
      <c r="H1356" s="53" t="s">
        <v>35</v>
      </c>
      <c r="I1356" s="73">
        <v>44044</v>
      </c>
      <c r="J1356" s="74">
        <f ca="1">EFEITO!$J$1356*EFEITO!$Y$1356</f>
        <v>846236.5612267832</v>
      </c>
      <c r="K1356" s="74">
        <f ca="1">EFEITO!$L$1356*EFEITO!$Z$1356</f>
        <v>77558.137340787609</v>
      </c>
      <c r="L1356" s="74">
        <f>EFEITO!$N$1356*EFEITO!$AA$1356</f>
        <v>257906.03578398508</v>
      </c>
      <c r="M1356" s="74">
        <f ca="1">$J$1356-EFEITO!$K$1356*EFEITO!$Y$1356</f>
        <v>0</v>
      </c>
      <c r="N1356" s="74">
        <f ca="1">$K$1356-EFEITO!$M$1356*EFEITO!$Z$1356</f>
        <v>0</v>
      </c>
      <c r="O1356" s="74">
        <f>$L$1356-EFEITO!$O$1356*EFEITO!$AA$1356</f>
        <v>0</v>
      </c>
      <c r="P1356" s="57"/>
      <c r="Q1356" s="57"/>
      <c r="R1356" s="57"/>
      <c r="S1356" s="57"/>
      <c r="T1356" s="57"/>
      <c r="U1356" s="57"/>
      <c r="V1356" s="57"/>
      <c r="W1356" s="57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</row>
    <row r="1357" spans="1:36" ht="11.25" customHeight="1" x14ac:dyDescent="0.2">
      <c r="A1357" s="53" t="s">
        <v>27</v>
      </c>
      <c r="B1357" s="53" t="s">
        <v>44</v>
      </c>
      <c r="C1357" s="53" t="s">
        <v>41</v>
      </c>
      <c r="D1357" s="53" t="s">
        <v>42</v>
      </c>
      <c r="E1357" s="53" t="s">
        <v>25</v>
      </c>
      <c r="F1357" s="53" t="s">
        <v>25</v>
      </c>
      <c r="G1357" s="53" t="s">
        <v>25</v>
      </c>
      <c r="H1357" s="53" t="s">
        <v>35</v>
      </c>
      <c r="I1357" s="73">
        <v>44044</v>
      </c>
      <c r="J1357" s="74">
        <f ca="1">EFEITO!$J$1357*EFEITO!$Y$1357</f>
        <v>23562.477486446776</v>
      </c>
      <c r="K1357" s="74">
        <f ca="1">EFEITO!$L$1357*EFEITO!$Z$1357</f>
        <v>475.18951766519012</v>
      </c>
      <c r="L1357" s="74">
        <f>EFEITO!$N$1357*EFEITO!$AA$1357</f>
        <v>1580.1597221015545</v>
      </c>
      <c r="M1357" s="74">
        <f ca="1">$J$1357-EFEITO!$K$1357*EFEITO!$Y$1357</f>
        <v>0</v>
      </c>
      <c r="N1357" s="74">
        <f ca="1">$K$1357-EFEITO!$M$1357*EFEITO!$Z$1357</f>
        <v>0</v>
      </c>
      <c r="O1357" s="74">
        <f>$L$1357-EFEITO!$O$1357*EFEITO!$AA$1357</f>
        <v>0</v>
      </c>
      <c r="P1357" s="57"/>
      <c r="Q1357" s="57"/>
      <c r="R1357" s="57"/>
      <c r="S1357" s="57"/>
      <c r="T1357" s="57"/>
      <c r="U1357" s="57"/>
      <c r="V1357" s="57"/>
      <c r="W1357" s="57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</row>
    <row r="1358" spans="1:36" ht="11.25" customHeight="1" x14ac:dyDescent="0.2">
      <c r="A1358" s="53" t="s">
        <v>28</v>
      </c>
      <c r="B1358" s="53" t="s">
        <v>44</v>
      </c>
      <c r="C1358" s="53" t="s">
        <v>41</v>
      </c>
      <c r="D1358" s="53" t="s">
        <v>42</v>
      </c>
      <c r="E1358" s="53" t="s">
        <v>25</v>
      </c>
      <c r="F1358" s="53" t="s">
        <v>25</v>
      </c>
      <c r="G1358" s="53" t="s">
        <v>25</v>
      </c>
      <c r="H1358" s="53" t="s">
        <v>35</v>
      </c>
      <c r="I1358" s="73">
        <v>44044</v>
      </c>
      <c r="J1358" s="74">
        <f ca="1">EFEITO!$J$1358*EFEITO!$Y$1358</f>
        <v>34852.831282035855</v>
      </c>
      <c r="K1358" s="74">
        <f ca="1">EFEITO!$L$1358*EFEITO!$Z$1358</f>
        <v>1809.5840476565263</v>
      </c>
      <c r="L1358" s="74">
        <f>EFEITO!$N$1358*EFEITO!$AA$1358</f>
        <v>6017.4556036378017</v>
      </c>
      <c r="M1358" s="74">
        <f ca="1">$J$1358-EFEITO!$K$1358*EFEITO!$Y$1358</f>
        <v>0</v>
      </c>
      <c r="N1358" s="74">
        <f ca="1">$K$1358-EFEITO!$M$1358*EFEITO!$Z$1358</f>
        <v>0</v>
      </c>
      <c r="O1358" s="74">
        <f>$L$1358-EFEITO!$O$1358*EFEITO!$AA$1358</f>
        <v>0</v>
      </c>
      <c r="P1358" s="57"/>
      <c r="Q1358" s="57"/>
      <c r="R1358" s="57"/>
      <c r="S1358" s="57"/>
      <c r="T1358" s="57"/>
      <c r="U1358" s="57"/>
      <c r="V1358" s="57"/>
      <c r="W1358" s="57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</row>
    <row r="1359" spans="1:36" ht="11.25" customHeight="1" x14ac:dyDescent="0.2">
      <c r="A1359" s="53" t="s">
        <v>59</v>
      </c>
      <c r="B1359" s="53" t="s">
        <v>44</v>
      </c>
      <c r="C1359" s="53" t="s">
        <v>41</v>
      </c>
      <c r="D1359" s="53" t="s">
        <v>42</v>
      </c>
      <c r="E1359" s="53" t="s">
        <v>25</v>
      </c>
      <c r="F1359" s="53" t="s">
        <v>25</v>
      </c>
      <c r="G1359" s="53" t="s">
        <v>25</v>
      </c>
      <c r="H1359" s="53" t="s">
        <v>35</v>
      </c>
      <c r="I1359" s="73">
        <v>44075</v>
      </c>
      <c r="J1359" s="74">
        <f ca="1">EFEITO!$J$1359*EFEITO!$Y$1359</f>
        <v>846236.5612267832</v>
      </c>
      <c r="K1359" s="74">
        <f ca="1">EFEITO!$L$1359*EFEITO!$Z$1359</f>
        <v>77558.137340787609</v>
      </c>
      <c r="L1359" s="74">
        <f>EFEITO!$N$1359*EFEITO!$AA$1359</f>
        <v>257906.03578398508</v>
      </c>
      <c r="M1359" s="74">
        <f ca="1">$J$1359-EFEITO!$K$1359*EFEITO!$Y$1359</f>
        <v>0</v>
      </c>
      <c r="N1359" s="74">
        <f ca="1">$K$1359-EFEITO!$M$1359*EFEITO!$Z$1359</f>
        <v>0</v>
      </c>
      <c r="O1359" s="74">
        <f>$L$1359-EFEITO!$O$1359*EFEITO!$AA$1359</f>
        <v>0</v>
      </c>
      <c r="P1359" s="57"/>
      <c r="Q1359" s="57"/>
      <c r="R1359" s="57"/>
      <c r="S1359" s="57"/>
      <c r="T1359" s="57"/>
      <c r="U1359" s="57"/>
      <c r="V1359" s="57"/>
      <c r="W1359" s="57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</row>
    <row r="1360" spans="1:36" ht="11.25" customHeight="1" x14ac:dyDescent="0.2">
      <c r="A1360" s="53" t="s">
        <v>59</v>
      </c>
      <c r="B1360" s="53" t="s">
        <v>44</v>
      </c>
      <c r="C1360" s="53" t="s">
        <v>41</v>
      </c>
      <c r="D1360" s="53" t="s">
        <v>42</v>
      </c>
      <c r="E1360" s="53" t="s">
        <v>25</v>
      </c>
      <c r="F1360" s="53" t="s">
        <v>25</v>
      </c>
      <c r="G1360" s="53" t="s">
        <v>25</v>
      </c>
      <c r="H1360" s="53" t="s">
        <v>35</v>
      </c>
      <c r="I1360" s="73">
        <v>44075</v>
      </c>
      <c r="J1360" s="74">
        <f ca="1">EFEITO!$J$1360*EFEITO!$Y$1360</f>
        <v>23562.477486446776</v>
      </c>
      <c r="K1360" s="74">
        <f ca="1">EFEITO!$L$1360*EFEITO!$Z$1360</f>
        <v>475.18951766519012</v>
      </c>
      <c r="L1360" s="74">
        <f>EFEITO!$N$1360*EFEITO!$AA$1360</f>
        <v>1580.1597221015545</v>
      </c>
      <c r="M1360" s="74">
        <f ca="1">$J$1360-EFEITO!$K$1360*EFEITO!$Y$1360</f>
        <v>0</v>
      </c>
      <c r="N1360" s="74">
        <f ca="1">$K$1360-EFEITO!$M$1360*EFEITO!$Z$1360</f>
        <v>0</v>
      </c>
      <c r="O1360" s="74">
        <f>$L$1360-EFEITO!$O$1360*EFEITO!$AA$1360</f>
        <v>0</v>
      </c>
      <c r="P1360" s="57"/>
      <c r="Q1360" s="57"/>
      <c r="R1360" s="57"/>
      <c r="S1360" s="57"/>
      <c r="T1360" s="57"/>
      <c r="U1360" s="57"/>
      <c r="V1360" s="57"/>
      <c r="W1360" s="57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</row>
    <row r="1361" spans="1:36" ht="11.25" customHeight="1" x14ac:dyDescent="0.2">
      <c r="A1361" s="53" t="s">
        <v>59</v>
      </c>
      <c r="B1361" s="53" t="s">
        <v>44</v>
      </c>
      <c r="C1361" s="53" t="s">
        <v>41</v>
      </c>
      <c r="D1361" s="53" t="s">
        <v>42</v>
      </c>
      <c r="E1361" s="53" t="s">
        <v>25</v>
      </c>
      <c r="F1361" s="53" t="s">
        <v>25</v>
      </c>
      <c r="G1361" s="53" t="s">
        <v>25</v>
      </c>
      <c r="H1361" s="53" t="s">
        <v>35</v>
      </c>
      <c r="I1361" s="73">
        <v>44075</v>
      </c>
      <c r="J1361" s="74">
        <f ca="1">EFEITO!$J$1361*EFEITO!$Y$1361</f>
        <v>34852.831282035855</v>
      </c>
      <c r="K1361" s="74">
        <f ca="1">EFEITO!$L$1361*EFEITO!$Z$1361</f>
        <v>1809.5840476565263</v>
      </c>
      <c r="L1361" s="74">
        <f>EFEITO!$N$1361*EFEITO!$AA$1361</f>
        <v>6017.4556036378017</v>
      </c>
      <c r="M1361" s="74">
        <f ca="1">$J$1361-EFEITO!$K$1361*EFEITO!$Y$1361</f>
        <v>0</v>
      </c>
      <c r="N1361" s="74">
        <f ca="1">$K$1361-EFEITO!$M$1361*EFEITO!$Z$1361</f>
        <v>0</v>
      </c>
      <c r="O1361" s="74">
        <f>$L$1361-EFEITO!$O$1361*EFEITO!$AA$1361</f>
        <v>0</v>
      </c>
      <c r="P1361" s="57"/>
      <c r="Q1361" s="57"/>
      <c r="R1361" s="57"/>
      <c r="S1361" s="57"/>
      <c r="T1361" s="57"/>
      <c r="U1361" s="57"/>
      <c r="V1361" s="57"/>
      <c r="W1361" s="57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</row>
    <row r="1362" spans="1:36" ht="11.25" customHeight="1" x14ac:dyDescent="0.2">
      <c r="A1362" s="53" t="s">
        <v>21</v>
      </c>
      <c r="B1362" s="53" t="s">
        <v>44</v>
      </c>
      <c r="C1362" s="53" t="s">
        <v>41</v>
      </c>
      <c r="D1362" s="53" t="s">
        <v>40</v>
      </c>
      <c r="E1362" s="53" t="s">
        <v>25</v>
      </c>
      <c r="F1362" s="53" t="s">
        <v>63</v>
      </c>
      <c r="G1362" s="53" t="s">
        <v>25</v>
      </c>
      <c r="H1362" s="53" t="s">
        <v>36</v>
      </c>
      <c r="I1362" s="73">
        <v>43739</v>
      </c>
      <c r="J1362" s="74">
        <f ca="1">EFEITO!$J$1362*EFEITO!$Y$1362</f>
        <v>180918.05446598632</v>
      </c>
      <c r="K1362" s="74">
        <f ca="1">EFEITO!$L$1362*EFEITO!$Z$1362</f>
        <v>0</v>
      </c>
      <c r="L1362" s="74">
        <f>EFEITO!$N$1362*EFEITO!$AA$1362</f>
        <v>0</v>
      </c>
      <c r="M1362" s="74">
        <f ca="1">$J$1362-EFEITO!$K$1362*EFEITO!$Y$1362</f>
        <v>66085.291021838231</v>
      </c>
      <c r="N1362" s="74">
        <f ca="1">$K$1362-EFEITO!$M$1362*EFEITO!$Z$1362</f>
        <v>0</v>
      </c>
      <c r="O1362" s="74">
        <f>$L$1362-EFEITO!$O$1362*EFEITO!$AA$1362</f>
        <v>0</v>
      </c>
      <c r="P1362" s="57"/>
      <c r="Q1362" s="57"/>
      <c r="R1362" s="57"/>
      <c r="S1362" s="57"/>
      <c r="T1362" s="57"/>
      <c r="U1362" s="57"/>
      <c r="V1362" s="57"/>
      <c r="W1362" s="57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</row>
    <row r="1363" spans="1:36" ht="11.25" customHeight="1" x14ac:dyDescent="0.2">
      <c r="A1363" s="53" t="s">
        <v>21</v>
      </c>
      <c r="B1363" s="53" t="s">
        <v>44</v>
      </c>
      <c r="C1363" s="53" t="s">
        <v>41</v>
      </c>
      <c r="D1363" s="53" t="s">
        <v>40</v>
      </c>
      <c r="E1363" s="53" t="s">
        <v>25</v>
      </c>
      <c r="F1363" s="53" t="s">
        <v>63</v>
      </c>
      <c r="G1363" s="53" t="s">
        <v>25</v>
      </c>
      <c r="H1363" s="53" t="s">
        <v>36</v>
      </c>
      <c r="I1363" s="73">
        <v>43770</v>
      </c>
      <c r="J1363" s="74">
        <f ca="1">EFEITO!$J$1363*EFEITO!$Y$1363</f>
        <v>180918.05446598632</v>
      </c>
      <c r="K1363" s="74">
        <f ca="1">EFEITO!$L$1363*EFEITO!$Z$1363</f>
        <v>0</v>
      </c>
      <c r="L1363" s="74">
        <f>EFEITO!$N$1363*EFEITO!$AA$1363</f>
        <v>0</v>
      </c>
      <c r="M1363" s="74">
        <f ca="1">$J$1363-EFEITO!$K$1363*EFEITO!$Y$1363</f>
        <v>65753.698984071336</v>
      </c>
      <c r="N1363" s="74">
        <f ca="1">$K$1363-EFEITO!$M$1363*EFEITO!$Z$1363</f>
        <v>0</v>
      </c>
      <c r="O1363" s="74">
        <f>$L$1363-EFEITO!$O$1363*EFEITO!$AA$1363</f>
        <v>0</v>
      </c>
      <c r="P1363" s="57"/>
      <c r="Q1363" s="57"/>
      <c r="R1363" s="57"/>
      <c r="S1363" s="57"/>
      <c r="T1363" s="57"/>
      <c r="U1363" s="57"/>
      <c r="V1363" s="57"/>
      <c r="W1363" s="57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</row>
    <row r="1364" spans="1:36" ht="11.25" customHeight="1" x14ac:dyDescent="0.2">
      <c r="A1364" s="53" t="s">
        <v>21</v>
      </c>
      <c r="B1364" s="53" t="s">
        <v>44</v>
      </c>
      <c r="C1364" s="53" t="s">
        <v>41</v>
      </c>
      <c r="D1364" s="53" t="s">
        <v>40</v>
      </c>
      <c r="E1364" s="53" t="s">
        <v>25</v>
      </c>
      <c r="F1364" s="53" t="s">
        <v>63</v>
      </c>
      <c r="G1364" s="53" t="s">
        <v>25</v>
      </c>
      <c r="H1364" s="53" t="s">
        <v>36</v>
      </c>
      <c r="I1364" s="73">
        <v>43800</v>
      </c>
      <c r="J1364" s="74">
        <f ca="1">EFEITO!$J$1364*EFEITO!$Y$1364</f>
        <v>180918.05446598632</v>
      </c>
      <c r="K1364" s="74">
        <f ca="1">EFEITO!$L$1364*EFEITO!$Z$1364</f>
        <v>0</v>
      </c>
      <c r="L1364" s="74">
        <f>EFEITO!$N$1364*EFEITO!$AA$1364</f>
        <v>0</v>
      </c>
      <c r="M1364" s="74">
        <f ca="1">$J$1364-EFEITO!$K$1364*EFEITO!$Y$1364</f>
        <v>65158.154741560735</v>
      </c>
      <c r="N1364" s="74">
        <f ca="1">$K$1364-EFEITO!$M$1364*EFEITO!$Z$1364</f>
        <v>0</v>
      </c>
      <c r="O1364" s="74">
        <f>$L$1364-EFEITO!$O$1364*EFEITO!$AA$1364</f>
        <v>0</v>
      </c>
      <c r="P1364" s="57"/>
      <c r="Q1364" s="57"/>
      <c r="R1364" s="57"/>
      <c r="S1364" s="57"/>
      <c r="T1364" s="57"/>
      <c r="U1364" s="57"/>
      <c r="V1364" s="57"/>
      <c r="W1364" s="57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</row>
    <row r="1365" spans="1:36" ht="11.25" customHeight="1" x14ac:dyDescent="0.2">
      <c r="A1365" s="53" t="s">
        <v>21</v>
      </c>
      <c r="B1365" s="53" t="s">
        <v>44</v>
      </c>
      <c r="C1365" s="53" t="s">
        <v>41</v>
      </c>
      <c r="D1365" s="53" t="s">
        <v>40</v>
      </c>
      <c r="E1365" s="53" t="s">
        <v>25</v>
      </c>
      <c r="F1365" s="53" t="s">
        <v>63</v>
      </c>
      <c r="G1365" s="53" t="s">
        <v>25</v>
      </c>
      <c r="H1365" s="53" t="s">
        <v>36</v>
      </c>
      <c r="I1365" s="73">
        <v>43831</v>
      </c>
      <c r="J1365" s="74">
        <f ca="1">EFEITO!$J$1365*EFEITO!$Y$1365</f>
        <v>207174.93315871505</v>
      </c>
      <c r="K1365" s="74">
        <f ca="1">EFEITO!$L$1365*EFEITO!$Z$1365</f>
        <v>0</v>
      </c>
      <c r="L1365" s="74">
        <f>EFEITO!$N$1365*EFEITO!$AA$1365</f>
        <v>0</v>
      </c>
      <c r="M1365" s="74">
        <f ca="1">$J$1365-EFEITO!$K$1365*EFEITO!$Y$1365</f>
        <v>67046.082389031246</v>
      </c>
      <c r="N1365" s="74">
        <f ca="1">$K$1365-EFEITO!$M$1365*EFEITO!$Z$1365</f>
        <v>0</v>
      </c>
      <c r="O1365" s="74">
        <f>$L$1365-EFEITO!$O$1365*EFEITO!$AA$1365</f>
        <v>0</v>
      </c>
      <c r="P1365" s="57"/>
      <c r="Q1365" s="57"/>
      <c r="R1365" s="57"/>
      <c r="S1365" s="57"/>
      <c r="T1365" s="57"/>
      <c r="U1365" s="57"/>
      <c r="V1365" s="57"/>
      <c r="W1365" s="57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</row>
    <row r="1366" spans="1:36" ht="11.25" customHeight="1" x14ac:dyDescent="0.2">
      <c r="A1366" s="53" t="s">
        <v>21</v>
      </c>
      <c r="B1366" s="53" t="s">
        <v>44</v>
      </c>
      <c r="C1366" s="53" t="s">
        <v>41</v>
      </c>
      <c r="D1366" s="53" t="s">
        <v>40</v>
      </c>
      <c r="E1366" s="53" t="s">
        <v>25</v>
      </c>
      <c r="F1366" s="53" t="s">
        <v>63</v>
      </c>
      <c r="G1366" s="53" t="s">
        <v>25</v>
      </c>
      <c r="H1366" s="53" t="s">
        <v>36</v>
      </c>
      <c r="I1366" s="73">
        <v>43862</v>
      </c>
      <c r="J1366" s="74">
        <f ca="1">EFEITO!$J$1366*EFEITO!$Y$1366</f>
        <v>206198.90049554841</v>
      </c>
      <c r="K1366" s="74">
        <f ca="1">EFEITO!$L$1366*EFEITO!$Z$1366</f>
        <v>0</v>
      </c>
      <c r="L1366" s="74">
        <f>EFEITO!$N$1366*EFEITO!$AA$1366</f>
        <v>0</v>
      </c>
      <c r="M1366" s="74">
        <f ca="1">$J$1366-EFEITO!$K$1366*EFEITO!$Y$1366</f>
        <v>74682.979757549183</v>
      </c>
      <c r="N1366" s="74">
        <f ca="1">$K$1366-EFEITO!$M$1366*EFEITO!$Z$1366</f>
        <v>0</v>
      </c>
      <c r="O1366" s="74">
        <f>$L$1366-EFEITO!$O$1366*EFEITO!$AA$1366</f>
        <v>0</v>
      </c>
      <c r="P1366" s="57"/>
      <c r="Q1366" s="57"/>
      <c r="R1366" s="57"/>
      <c r="S1366" s="57"/>
      <c r="T1366" s="57"/>
      <c r="U1366" s="57"/>
      <c r="V1366" s="57"/>
      <c r="W1366" s="57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</row>
    <row r="1367" spans="1:36" ht="11.25" customHeight="1" x14ac:dyDescent="0.2">
      <c r="A1367" s="53" t="s">
        <v>21</v>
      </c>
      <c r="B1367" s="53" t="s">
        <v>44</v>
      </c>
      <c r="C1367" s="53" t="s">
        <v>41</v>
      </c>
      <c r="D1367" s="53" t="s">
        <v>40</v>
      </c>
      <c r="E1367" s="53" t="s">
        <v>25</v>
      </c>
      <c r="F1367" s="53" t="s">
        <v>63</v>
      </c>
      <c r="G1367" s="53" t="s">
        <v>25</v>
      </c>
      <c r="H1367" s="53" t="s">
        <v>36</v>
      </c>
      <c r="I1367" s="73">
        <v>43891</v>
      </c>
      <c r="J1367" s="74">
        <f ca="1">EFEITO!$J$1367*EFEITO!$Y$1367</f>
        <v>204342.83838198564</v>
      </c>
      <c r="K1367" s="74">
        <f ca="1">EFEITO!$L$1367*EFEITO!$Z$1367</f>
        <v>0</v>
      </c>
      <c r="L1367" s="74">
        <f>EFEITO!$N$1367*EFEITO!$AA$1367</f>
        <v>0</v>
      </c>
      <c r="M1367" s="74">
        <f ca="1">$J$1367-EFEITO!$K$1367*EFEITO!$Y$1367</f>
        <v>73735.552050854298</v>
      </c>
      <c r="N1367" s="74">
        <f ca="1">$K$1367-EFEITO!$M$1367*EFEITO!$Z$1367</f>
        <v>0</v>
      </c>
      <c r="O1367" s="74">
        <f>$L$1367-EFEITO!$O$1367*EFEITO!$AA$1367</f>
        <v>0</v>
      </c>
      <c r="P1367" s="57"/>
      <c r="Q1367" s="57"/>
      <c r="R1367" s="57"/>
      <c r="S1367" s="57"/>
      <c r="T1367" s="57"/>
      <c r="U1367" s="57"/>
      <c r="V1367" s="57"/>
      <c r="W1367" s="57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</row>
    <row r="1368" spans="1:36" ht="11.25" customHeight="1" x14ac:dyDescent="0.2">
      <c r="A1368" s="53" t="s">
        <v>21</v>
      </c>
      <c r="B1368" s="53" t="s">
        <v>44</v>
      </c>
      <c r="C1368" s="53" t="s">
        <v>41</v>
      </c>
      <c r="D1368" s="53" t="s">
        <v>40</v>
      </c>
      <c r="E1368" s="53" t="s">
        <v>25</v>
      </c>
      <c r="F1368" s="53" t="s">
        <v>63</v>
      </c>
      <c r="G1368" s="53" t="s">
        <v>25</v>
      </c>
      <c r="H1368" s="53" t="s">
        <v>36</v>
      </c>
      <c r="I1368" s="73">
        <v>43922</v>
      </c>
      <c r="J1368" s="74">
        <f ca="1">EFEITO!$J$1368*EFEITO!$Y$1368</f>
        <v>204662.84909122059</v>
      </c>
      <c r="K1368" s="74">
        <f ca="1">EFEITO!$L$1368*EFEITO!$Z$1368</f>
        <v>0</v>
      </c>
      <c r="L1368" s="74">
        <f>EFEITO!$N$1368*EFEITO!$AA$1368</f>
        <v>0</v>
      </c>
      <c r="M1368" s="74">
        <f ca="1">$J$1368-EFEITO!$K$1368*EFEITO!$Y$1368</f>
        <v>74824.154338630338</v>
      </c>
      <c r="N1368" s="74">
        <f ca="1">$K$1368-EFEITO!$M$1368*EFEITO!$Z$1368</f>
        <v>0</v>
      </c>
      <c r="O1368" s="74">
        <f>$L$1368-EFEITO!$O$1368*EFEITO!$AA$1368</f>
        <v>0</v>
      </c>
      <c r="P1368" s="57"/>
      <c r="Q1368" s="57"/>
      <c r="R1368" s="57"/>
      <c r="S1368" s="57"/>
      <c r="T1368" s="57"/>
      <c r="U1368" s="57"/>
      <c r="V1368" s="57"/>
      <c r="W1368" s="57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</row>
    <row r="1369" spans="1:36" ht="11.25" customHeight="1" x14ac:dyDescent="0.2">
      <c r="A1369" s="53" t="s">
        <v>21</v>
      </c>
      <c r="B1369" s="53" t="s">
        <v>44</v>
      </c>
      <c r="C1369" s="53" t="s">
        <v>41</v>
      </c>
      <c r="D1369" s="53" t="s">
        <v>40</v>
      </c>
      <c r="E1369" s="53" t="s">
        <v>25</v>
      </c>
      <c r="F1369" s="53" t="s">
        <v>63</v>
      </c>
      <c r="G1369" s="53" t="s">
        <v>25</v>
      </c>
      <c r="H1369" s="53" t="s">
        <v>36</v>
      </c>
      <c r="I1369" s="73">
        <v>43952</v>
      </c>
      <c r="J1369" s="74">
        <f ca="1">EFEITO!$J$1369*EFEITO!$Y$1369</f>
        <v>205574.87961254024</v>
      </c>
      <c r="K1369" s="74">
        <f ca="1">EFEITO!$L$1369*EFEITO!$Z$1369</f>
        <v>0</v>
      </c>
      <c r="L1369" s="74">
        <f>EFEITO!$N$1369*EFEITO!$AA$1369</f>
        <v>0</v>
      </c>
      <c r="M1369" s="74">
        <f ca="1">$J$1369-EFEITO!$K$1369*EFEITO!$Y$1369</f>
        <v>71409.814084436686</v>
      </c>
      <c r="N1369" s="74">
        <f ca="1">$K$1369-EFEITO!$M$1369*EFEITO!$Z$1369</f>
        <v>0</v>
      </c>
      <c r="O1369" s="74">
        <f>$L$1369-EFEITO!$O$1369*EFEITO!$AA$1369</f>
        <v>0</v>
      </c>
      <c r="P1369" s="57"/>
      <c r="Q1369" s="57"/>
      <c r="R1369" s="57"/>
      <c r="S1369" s="57"/>
      <c r="T1369" s="57"/>
      <c r="U1369" s="57"/>
      <c r="V1369" s="57"/>
      <c r="W1369" s="57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</row>
    <row r="1370" spans="1:36" ht="11.25" customHeight="1" x14ac:dyDescent="0.2">
      <c r="A1370" s="53" t="s">
        <v>21</v>
      </c>
      <c r="B1370" s="53" t="s">
        <v>44</v>
      </c>
      <c r="C1370" s="53" t="s">
        <v>41</v>
      </c>
      <c r="D1370" s="53" t="s">
        <v>40</v>
      </c>
      <c r="E1370" s="53" t="s">
        <v>25</v>
      </c>
      <c r="F1370" s="53" t="s">
        <v>63</v>
      </c>
      <c r="G1370" s="53" t="s">
        <v>25</v>
      </c>
      <c r="H1370" s="53" t="s">
        <v>36</v>
      </c>
      <c r="I1370" s="73">
        <v>43983</v>
      </c>
      <c r="J1370" s="74">
        <f ca="1">EFEITO!$J$1370*EFEITO!$Y$1370</f>
        <v>205574.87961254024</v>
      </c>
      <c r="K1370" s="74">
        <f ca="1">EFEITO!$L$1370*EFEITO!$Z$1370</f>
        <v>0</v>
      </c>
      <c r="L1370" s="74">
        <f>EFEITO!$N$1370*EFEITO!$AA$1370</f>
        <v>0</v>
      </c>
      <c r="M1370" s="74">
        <f ca="1">$J$1370-EFEITO!$K$1370*EFEITO!$Y$1370</f>
        <v>76161.223106196616</v>
      </c>
      <c r="N1370" s="74">
        <f ca="1">$K$1370-EFEITO!$M$1370*EFEITO!$Z$1370</f>
        <v>0</v>
      </c>
      <c r="O1370" s="74">
        <f>$L$1370-EFEITO!$O$1370*EFEITO!$AA$1370</f>
        <v>0</v>
      </c>
      <c r="P1370" s="57"/>
      <c r="Q1370" s="57"/>
      <c r="R1370" s="57"/>
      <c r="S1370" s="57"/>
      <c r="T1370" s="57"/>
      <c r="U1370" s="57"/>
      <c r="V1370" s="57"/>
      <c r="W1370" s="57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</row>
    <row r="1371" spans="1:36" ht="11.25" customHeight="1" x14ac:dyDescent="0.2">
      <c r="A1371" s="53" t="s">
        <v>21</v>
      </c>
      <c r="B1371" s="53" t="s">
        <v>44</v>
      </c>
      <c r="C1371" s="53" t="s">
        <v>41</v>
      </c>
      <c r="D1371" s="53" t="s">
        <v>40</v>
      </c>
      <c r="E1371" s="53" t="s">
        <v>25</v>
      </c>
      <c r="F1371" s="53" t="s">
        <v>63</v>
      </c>
      <c r="G1371" s="53" t="s">
        <v>25</v>
      </c>
      <c r="H1371" s="53" t="s">
        <v>36</v>
      </c>
      <c r="I1371" s="73">
        <v>44013</v>
      </c>
      <c r="J1371" s="74">
        <f ca="1">EFEITO!$J$1371*EFEITO!$Y$1371</f>
        <v>180918.05446598632</v>
      </c>
      <c r="K1371" s="74">
        <f ca="1">EFEITO!$L$1371*EFEITO!$Z$1371</f>
        <v>0</v>
      </c>
      <c r="L1371" s="74">
        <f>EFEITO!$N$1371*EFEITO!$AA$1371</f>
        <v>0</v>
      </c>
      <c r="M1371" s="74">
        <f ca="1">$J$1371-EFEITO!$K$1371*EFEITO!$Y$1371</f>
        <v>66723.669422924184</v>
      </c>
      <c r="N1371" s="74">
        <f ca="1">$K$1371-EFEITO!$M$1371*EFEITO!$Z$1371</f>
        <v>0</v>
      </c>
      <c r="O1371" s="74">
        <f>$L$1371-EFEITO!$O$1371*EFEITO!$AA$1371</f>
        <v>0</v>
      </c>
      <c r="P1371" s="57"/>
      <c r="Q1371" s="57"/>
      <c r="R1371" s="57"/>
      <c r="S1371" s="57"/>
      <c r="T1371" s="57"/>
      <c r="U1371" s="57"/>
      <c r="V1371" s="57"/>
      <c r="W1371" s="57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</row>
    <row r="1372" spans="1:36" ht="11.25" customHeight="1" x14ac:dyDescent="0.2">
      <c r="A1372" s="53" t="s">
        <v>21</v>
      </c>
      <c r="B1372" s="53" t="s">
        <v>44</v>
      </c>
      <c r="C1372" s="53" t="s">
        <v>41</v>
      </c>
      <c r="D1372" s="53" t="s">
        <v>40</v>
      </c>
      <c r="E1372" s="53" t="s">
        <v>25</v>
      </c>
      <c r="F1372" s="53" t="s">
        <v>63</v>
      </c>
      <c r="G1372" s="53" t="s">
        <v>25</v>
      </c>
      <c r="H1372" s="53" t="s">
        <v>36</v>
      </c>
      <c r="I1372" s="73">
        <v>44044</v>
      </c>
      <c r="J1372" s="74">
        <f ca="1">EFEITO!$J$1372*EFEITO!$Y$1372</f>
        <v>219799.35563803435</v>
      </c>
      <c r="K1372" s="74">
        <f ca="1">EFEITO!$L$1372*EFEITO!$Z$1372</f>
        <v>0</v>
      </c>
      <c r="L1372" s="74">
        <f>EFEITO!$N$1372*EFEITO!$AA$1372</f>
        <v>0</v>
      </c>
      <c r="M1372" s="74">
        <f ca="1">$J$1372-EFEITO!$K$1372*EFEITO!$Y$1372</f>
        <v>76929.774473312049</v>
      </c>
      <c r="N1372" s="74">
        <f ca="1">$K$1372-EFEITO!$M$1372*EFEITO!$Z$1372</f>
        <v>0</v>
      </c>
      <c r="O1372" s="74">
        <f>$L$1372-EFEITO!$O$1372*EFEITO!$AA$1372</f>
        <v>0</v>
      </c>
      <c r="P1372" s="57"/>
      <c r="Q1372" s="57"/>
      <c r="R1372" s="57"/>
      <c r="S1372" s="57"/>
      <c r="T1372" s="57"/>
      <c r="U1372" s="57"/>
      <c r="V1372" s="57"/>
      <c r="W1372" s="57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</row>
    <row r="1373" spans="1:36" ht="11.25" customHeight="1" x14ac:dyDescent="0.2">
      <c r="A1373" s="53" t="s">
        <v>59</v>
      </c>
      <c r="B1373" s="53" t="s">
        <v>44</v>
      </c>
      <c r="C1373" s="53" t="s">
        <v>41</v>
      </c>
      <c r="D1373" s="53" t="s">
        <v>40</v>
      </c>
      <c r="E1373" s="53" t="s">
        <v>25</v>
      </c>
      <c r="F1373" s="53" t="s">
        <v>63</v>
      </c>
      <c r="G1373" s="53" t="s">
        <v>25</v>
      </c>
      <c r="H1373" s="53" t="s">
        <v>36</v>
      </c>
      <c r="I1373" s="73">
        <v>44075</v>
      </c>
      <c r="J1373" s="74">
        <f ca="1">EFEITO!$J$1373*EFEITO!$Y$1373</f>
        <v>219799.35563803435</v>
      </c>
      <c r="K1373" s="74">
        <f ca="1">EFEITO!$L$1373*EFEITO!$Z$1373</f>
        <v>0</v>
      </c>
      <c r="L1373" s="74">
        <f>EFEITO!$N$1373*EFEITO!$AA$1373</f>
        <v>0</v>
      </c>
      <c r="M1373" s="74">
        <f ca="1">$J$1373-EFEITO!$K$1373*EFEITO!$Y$1373</f>
        <v>76929.774473312049</v>
      </c>
      <c r="N1373" s="74">
        <f ca="1">$K$1373-EFEITO!$M$1373*EFEITO!$Z$1373</f>
        <v>0</v>
      </c>
      <c r="O1373" s="74">
        <f>$L$1373-EFEITO!$O$1373*EFEITO!$AA$1373</f>
        <v>0</v>
      </c>
      <c r="P1373" s="57"/>
      <c r="Q1373" s="57"/>
      <c r="R1373" s="57"/>
      <c r="S1373" s="57"/>
      <c r="T1373" s="57"/>
      <c r="U1373" s="57"/>
      <c r="V1373" s="57"/>
      <c r="W1373" s="57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</row>
    <row r="1374" spans="1:36" ht="11.25" customHeight="1" x14ac:dyDescent="0.2">
      <c r="A1374" s="53" t="s">
        <v>21</v>
      </c>
      <c r="B1374" s="53" t="s">
        <v>44</v>
      </c>
      <c r="C1374" s="53" t="s">
        <v>41</v>
      </c>
      <c r="D1374" s="53" t="s">
        <v>40</v>
      </c>
      <c r="E1374" s="53" t="s">
        <v>25</v>
      </c>
      <c r="F1374" s="53" t="s">
        <v>63</v>
      </c>
      <c r="G1374" s="53" t="s">
        <v>25</v>
      </c>
      <c r="H1374" s="53" t="s">
        <v>25</v>
      </c>
      <c r="I1374" s="73">
        <v>43739</v>
      </c>
      <c r="J1374" s="74">
        <f>EFEITO!$J$1374*EFEITO!$Y$1374</f>
        <v>0</v>
      </c>
      <c r="K1374" s="74">
        <f ca="1">EFEITO!$L$1374*EFEITO!$Z$1374</f>
        <v>634655.25645781483</v>
      </c>
      <c r="L1374" s="74">
        <f>EFEITO!$N$1374*EFEITO!$AA$1374</f>
        <v>0</v>
      </c>
      <c r="M1374" s="74">
        <f>$J$1374-EFEITO!$K$1374*EFEITO!$Y$1374</f>
        <v>0</v>
      </c>
      <c r="N1374" s="74">
        <f ca="1">$K$1374-EFEITO!$M$1374*EFEITO!$Z$1374</f>
        <v>0</v>
      </c>
      <c r="O1374" s="74">
        <f>$L$1374-EFEITO!$O$1374*EFEITO!$AA$1374</f>
        <v>0</v>
      </c>
      <c r="P1374" s="57"/>
      <c r="Q1374" s="57"/>
      <c r="R1374" s="57"/>
      <c r="S1374" s="57"/>
      <c r="T1374" s="57"/>
      <c r="U1374" s="57"/>
      <c r="V1374" s="57"/>
      <c r="W1374" s="57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</row>
    <row r="1375" spans="1:36" ht="11.25" customHeight="1" x14ac:dyDescent="0.2">
      <c r="A1375" s="53" t="s">
        <v>21</v>
      </c>
      <c r="B1375" s="53" t="s">
        <v>44</v>
      </c>
      <c r="C1375" s="53" t="s">
        <v>41</v>
      </c>
      <c r="D1375" s="53" t="s">
        <v>40</v>
      </c>
      <c r="E1375" s="53" t="s">
        <v>25</v>
      </c>
      <c r="F1375" s="53" t="s">
        <v>63</v>
      </c>
      <c r="G1375" s="53" t="s">
        <v>25</v>
      </c>
      <c r="H1375" s="53" t="s">
        <v>25</v>
      </c>
      <c r="I1375" s="73">
        <v>43770</v>
      </c>
      <c r="J1375" s="74">
        <f>EFEITO!$J$1375*EFEITO!$Y$1375</f>
        <v>0</v>
      </c>
      <c r="K1375" s="74">
        <f ca="1">EFEITO!$L$1375*EFEITO!$Z$1375</f>
        <v>611069.09030353744</v>
      </c>
      <c r="L1375" s="74">
        <f>EFEITO!$N$1375*EFEITO!$AA$1375</f>
        <v>0</v>
      </c>
      <c r="M1375" s="74">
        <f>$J$1375-EFEITO!$K$1375*EFEITO!$Y$1375</f>
        <v>0</v>
      </c>
      <c r="N1375" s="74">
        <f ca="1">$K$1375-EFEITO!$M$1375*EFEITO!$Z$1375</f>
        <v>0</v>
      </c>
      <c r="O1375" s="74">
        <f>$L$1375-EFEITO!$O$1375*EFEITO!$AA$1375</f>
        <v>0</v>
      </c>
      <c r="P1375" s="57"/>
      <c r="Q1375" s="57"/>
      <c r="R1375" s="57"/>
      <c r="S1375" s="57"/>
      <c r="T1375" s="57"/>
      <c r="U1375" s="57"/>
      <c r="V1375" s="57"/>
      <c r="W1375" s="57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</row>
    <row r="1376" spans="1:36" ht="11.25" customHeight="1" x14ac:dyDescent="0.2">
      <c r="A1376" s="53" t="s">
        <v>21</v>
      </c>
      <c r="B1376" s="53" t="s">
        <v>44</v>
      </c>
      <c r="C1376" s="53" t="s">
        <v>41</v>
      </c>
      <c r="D1376" s="53" t="s">
        <v>40</v>
      </c>
      <c r="E1376" s="53" t="s">
        <v>25</v>
      </c>
      <c r="F1376" s="53" t="s">
        <v>63</v>
      </c>
      <c r="G1376" s="53" t="s">
        <v>25</v>
      </c>
      <c r="H1376" s="53" t="s">
        <v>25</v>
      </c>
      <c r="I1376" s="73">
        <v>43800</v>
      </c>
      <c r="J1376" s="74">
        <f>EFEITO!$J$1376*EFEITO!$Y$1376</f>
        <v>0</v>
      </c>
      <c r="K1376" s="74">
        <f ca="1">EFEITO!$L$1376*EFEITO!$Z$1376</f>
        <v>622076.96958900406</v>
      </c>
      <c r="L1376" s="74">
        <f>EFEITO!$N$1376*EFEITO!$AA$1376</f>
        <v>0</v>
      </c>
      <c r="M1376" s="74">
        <f>$J$1376-EFEITO!$K$1376*EFEITO!$Y$1376</f>
        <v>0</v>
      </c>
      <c r="N1376" s="74">
        <f ca="1">$K$1376-EFEITO!$M$1376*EFEITO!$Z$1376</f>
        <v>0</v>
      </c>
      <c r="O1376" s="74">
        <f>$L$1376-EFEITO!$O$1376*EFEITO!$AA$1376</f>
        <v>0</v>
      </c>
      <c r="P1376" s="57"/>
      <c r="Q1376" s="57"/>
      <c r="R1376" s="57"/>
      <c r="S1376" s="57"/>
      <c r="T1376" s="57"/>
      <c r="U1376" s="57"/>
      <c r="V1376" s="57"/>
      <c r="W1376" s="57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</row>
    <row r="1377" spans="1:36" ht="11.25" customHeight="1" x14ac:dyDescent="0.2">
      <c r="A1377" s="53" t="s">
        <v>21</v>
      </c>
      <c r="B1377" s="53" t="s">
        <v>44</v>
      </c>
      <c r="C1377" s="53" t="s">
        <v>41</v>
      </c>
      <c r="D1377" s="53" t="s">
        <v>40</v>
      </c>
      <c r="E1377" s="53" t="s">
        <v>25</v>
      </c>
      <c r="F1377" s="53" t="s">
        <v>63</v>
      </c>
      <c r="G1377" s="53" t="s">
        <v>25</v>
      </c>
      <c r="H1377" s="53" t="s">
        <v>25</v>
      </c>
      <c r="I1377" s="73">
        <v>43831</v>
      </c>
      <c r="J1377" s="74">
        <f>EFEITO!$J$1377*EFEITO!$Y$1377</f>
        <v>0</v>
      </c>
      <c r="K1377" s="74">
        <f ca="1">EFEITO!$L$1377*EFEITO!$Z$1377</f>
        <v>631067.83545105718</v>
      </c>
      <c r="L1377" s="74">
        <f>EFEITO!$N$1377*EFEITO!$AA$1377</f>
        <v>0</v>
      </c>
      <c r="M1377" s="74">
        <f>$J$1377-EFEITO!$K$1377*EFEITO!$Y$1377</f>
        <v>0</v>
      </c>
      <c r="N1377" s="74">
        <f ca="1">$K$1377-EFEITO!$M$1377*EFEITO!$Z$1377</f>
        <v>0</v>
      </c>
      <c r="O1377" s="74">
        <f>$L$1377-EFEITO!$O$1377*EFEITO!$AA$1377</f>
        <v>0</v>
      </c>
      <c r="P1377" s="57"/>
      <c r="Q1377" s="57"/>
      <c r="R1377" s="57"/>
      <c r="S1377" s="57"/>
      <c r="T1377" s="57"/>
      <c r="U1377" s="57"/>
      <c r="V1377" s="57"/>
      <c r="W1377" s="57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</row>
    <row r="1378" spans="1:36" ht="11.25" customHeight="1" x14ac:dyDescent="0.2">
      <c r="A1378" s="53" t="s">
        <v>21</v>
      </c>
      <c r="B1378" s="53" t="s">
        <v>44</v>
      </c>
      <c r="C1378" s="53" t="s">
        <v>41</v>
      </c>
      <c r="D1378" s="53" t="s">
        <v>40</v>
      </c>
      <c r="E1378" s="53" t="s">
        <v>25</v>
      </c>
      <c r="F1378" s="53" t="s">
        <v>63</v>
      </c>
      <c r="G1378" s="53" t="s">
        <v>25</v>
      </c>
      <c r="H1378" s="53" t="s">
        <v>25</v>
      </c>
      <c r="I1378" s="73">
        <v>43862</v>
      </c>
      <c r="J1378" s="74">
        <f>EFEITO!$J$1378*EFEITO!$Y$1378</f>
        <v>0</v>
      </c>
      <c r="K1378" s="74">
        <f ca="1">EFEITO!$L$1378*EFEITO!$Z$1378</f>
        <v>586037.69725673192</v>
      </c>
      <c r="L1378" s="74">
        <f>EFEITO!$N$1378*EFEITO!$AA$1378</f>
        <v>0</v>
      </c>
      <c r="M1378" s="74">
        <f>$J$1378-EFEITO!$K$1378*EFEITO!$Y$1378</f>
        <v>0</v>
      </c>
      <c r="N1378" s="74">
        <f ca="1">$K$1378-EFEITO!$M$1378*EFEITO!$Z$1378</f>
        <v>0</v>
      </c>
      <c r="O1378" s="74">
        <f>$L$1378-EFEITO!$O$1378*EFEITO!$AA$1378</f>
        <v>0</v>
      </c>
      <c r="P1378" s="57"/>
      <c r="Q1378" s="57"/>
      <c r="R1378" s="57"/>
      <c r="S1378" s="57"/>
      <c r="T1378" s="57"/>
      <c r="U1378" s="57"/>
      <c r="V1378" s="57"/>
      <c r="W1378" s="57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</row>
    <row r="1379" spans="1:36" ht="11.25" customHeight="1" x14ac:dyDescent="0.2">
      <c r="A1379" s="53" t="s">
        <v>21</v>
      </c>
      <c r="B1379" s="53" t="s">
        <v>44</v>
      </c>
      <c r="C1379" s="53" t="s">
        <v>41</v>
      </c>
      <c r="D1379" s="53" t="s">
        <v>40</v>
      </c>
      <c r="E1379" s="53" t="s">
        <v>25</v>
      </c>
      <c r="F1379" s="53" t="s">
        <v>63</v>
      </c>
      <c r="G1379" s="53" t="s">
        <v>25</v>
      </c>
      <c r="H1379" s="53" t="s">
        <v>25</v>
      </c>
      <c r="I1379" s="73">
        <v>43891</v>
      </c>
      <c r="J1379" s="74">
        <f>EFEITO!$J$1379*EFEITO!$Y$1379</f>
        <v>0</v>
      </c>
      <c r="K1379" s="74">
        <f ca="1">EFEITO!$L$1379*EFEITO!$Z$1379</f>
        <v>559978.87352194556</v>
      </c>
      <c r="L1379" s="74">
        <f>EFEITO!$N$1379*EFEITO!$AA$1379</f>
        <v>0</v>
      </c>
      <c r="M1379" s="74">
        <f>$J$1379-EFEITO!$K$1379*EFEITO!$Y$1379</f>
        <v>0</v>
      </c>
      <c r="N1379" s="74">
        <f ca="1">$K$1379-EFEITO!$M$1379*EFEITO!$Z$1379</f>
        <v>0</v>
      </c>
      <c r="O1379" s="74">
        <f>$L$1379-EFEITO!$O$1379*EFEITO!$AA$1379</f>
        <v>0</v>
      </c>
      <c r="P1379" s="57"/>
      <c r="Q1379" s="57"/>
      <c r="R1379" s="57"/>
      <c r="S1379" s="57"/>
      <c r="T1379" s="57"/>
      <c r="U1379" s="57"/>
      <c r="V1379" s="57"/>
      <c r="W1379" s="57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</row>
    <row r="1380" spans="1:36" ht="11.25" customHeight="1" x14ac:dyDescent="0.2">
      <c r="A1380" s="53" t="s">
        <v>21</v>
      </c>
      <c r="B1380" s="53" t="s">
        <v>44</v>
      </c>
      <c r="C1380" s="53" t="s">
        <v>41</v>
      </c>
      <c r="D1380" s="53" t="s">
        <v>40</v>
      </c>
      <c r="E1380" s="53" t="s">
        <v>25</v>
      </c>
      <c r="F1380" s="53" t="s">
        <v>63</v>
      </c>
      <c r="G1380" s="53" t="s">
        <v>25</v>
      </c>
      <c r="H1380" s="53" t="s">
        <v>25</v>
      </c>
      <c r="I1380" s="73">
        <v>43922</v>
      </c>
      <c r="J1380" s="74">
        <f>EFEITO!$J$1380*EFEITO!$Y$1380</f>
        <v>0</v>
      </c>
      <c r="K1380" s="74">
        <f ca="1">EFEITO!$L$1380*EFEITO!$Z$1380</f>
        <v>447153.56208086951</v>
      </c>
      <c r="L1380" s="74">
        <f>EFEITO!$N$1380*EFEITO!$AA$1380</f>
        <v>0</v>
      </c>
      <c r="M1380" s="74">
        <f>$J$1380-EFEITO!$K$1380*EFEITO!$Y$1380</f>
        <v>0</v>
      </c>
      <c r="N1380" s="74">
        <f ca="1">$K$1380-EFEITO!$M$1380*EFEITO!$Z$1380</f>
        <v>0</v>
      </c>
      <c r="O1380" s="74">
        <f>$L$1380-EFEITO!$O$1380*EFEITO!$AA$1380</f>
        <v>0</v>
      </c>
      <c r="P1380" s="57"/>
      <c r="Q1380" s="57"/>
      <c r="R1380" s="57"/>
      <c r="S1380" s="57"/>
      <c r="T1380" s="57"/>
      <c r="U1380" s="57"/>
      <c r="V1380" s="57"/>
      <c r="W1380" s="57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</row>
    <row r="1381" spans="1:36" ht="11.25" customHeight="1" x14ac:dyDescent="0.2">
      <c r="A1381" s="53" t="s">
        <v>21</v>
      </c>
      <c r="B1381" s="53" t="s">
        <v>44</v>
      </c>
      <c r="C1381" s="53" t="s">
        <v>41</v>
      </c>
      <c r="D1381" s="53" t="s">
        <v>40</v>
      </c>
      <c r="E1381" s="53" t="s">
        <v>25</v>
      </c>
      <c r="F1381" s="53" t="s">
        <v>63</v>
      </c>
      <c r="G1381" s="53" t="s">
        <v>25</v>
      </c>
      <c r="H1381" s="53" t="s">
        <v>25</v>
      </c>
      <c r="I1381" s="73">
        <v>43952</v>
      </c>
      <c r="J1381" s="74">
        <f>EFEITO!$J$1381*EFEITO!$Y$1381</f>
        <v>0</v>
      </c>
      <c r="K1381" s="74">
        <f ca="1">EFEITO!$L$1381*EFEITO!$Z$1381</f>
        <v>459928.5453239684</v>
      </c>
      <c r="L1381" s="74">
        <f>EFEITO!$N$1381*EFEITO!$AA$1381</f>
        <v>0</v>
      </c>
      <c r="M1381" s="74">
        <f>$J$1381-EFEITO!$K$1381*EFEITO!$Y$1381</f>
        <v>0</v>
      </c>
      <c r="N1381" s="74">
        <f ca="1">$K$1381-EFEITO!$M$1381*EFEITO!$Z$1381</f>
        <v>0</v>
      </c>
      <c r="O1381" s="74">
        <f>$L$1381-EFEITO!$O$1381*EFEITO!$AA$1381</f>
        <v>0</v>
      </c>
      <c r="P1381" s="57"/>
      <c r="Q1381" s="57"/>
      <c r="R1381" s="57"/>
      <c r="S1381" s="57"/>
      <c r="T1381" s="57"/>
      <c r="U1381" s="57"/>
      <c r="V1381" s="57"/>
      <c r="W1381" s="57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</row>
    <row r="1382" spans="1:36" ht="11.25" customHeight="1" x14ac:dyDescent="0.2">
      <c r="A1382" s="53" t="s">
        <v>21</v>
      </c>
      <c r="B1382" s="53" t="s">
        <v>44</v>
      </c>
      <c r="C1382" s="53" t="s">
        <v>41</v>
      </c>
      <c r="D1382" s="53" t="s">
        <v>40</v>
      </c>
      <c r="E1382" s="53" t="s">
        <v>25</v>
      </c>
      <c r="F1382" s="53" t="s">
        <v>63</v>
      </c>
      <c r="G1382" s="53" t="s">
        <v>25</v>
      </c>
      <c r="H1382" s="53" t="s">
        <v>25</v>
      </c>
      <c r="I1382" s="73">
        <v>43983</v>
      </c>
      <c r="J1382" s="74">
        <f>EFEITO!$J$1382*EFEITO!$Y$1382</f>
        <v>0</v>
      </c>
      <c r="K1382" s="74">
        <f ca="1">EFEITO!$L$1382*EFEITO!$Z$1382</f>
        <v>459928.5453239684</v>
      </c>
      <c r="L1382" s="74">
        <f>EFEITO!$N$1382*EFEITO!$AA$1382</f>
        <v>0</v>
      </c>
      <c r="M1382" s="74">
        <f>$J$1382-EFEITO!$K$1382*EFEITO!$Y$1382</f>
        <v>0</v>
      </c>
      <c r="N1382" s="74">
        <f ca="1">$K$1382-EFEITO!$M$1382*EFEITO!$Z$1382</f>
        <v>0</v>
      </c>
      <c r="O1382" s="74">
        <f>$L$1382-EFEITO!$O$1382*EFEITO!$AA$1382</f>
        <v>0</v>
      </c>
      <c r="P1382" s="57"/>
      <c r="Q1382" s="57"/>
      <c r="R1382" s="57"/>
      <c r="S1382" s="57"/>
      <c r="T1382" s="57"/>
      <c r="U1382" s="57"/>
      <c r="V1382" s="57"/>
      <c r="W1382" s="57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</row>
    <row r="1383" spans="1:36" ht="11.25" customHeight="1" x14ac:dyDescent="0.2">
      <c r="A1383" s="53" t="s">
        <v>21</v>
      </c>
      <c r="B1383" s="53" t="s">
        <v>44</v>
      </c>
      <c r="C1383" s="53" t="s">
        <v>41</v>
      </c>
      <c r="D1383" s="53" t="s">
        <v>40</v>
      </c>
      <c r="E1383" s="53" t="s">
        <v>25</v>
      </c>
      <c r="F1383" s="53" t="s">
        <v>63</v>
      </c>
      <c r="G1383" s="53" t="s">
        <v>25</v>
      </c>
      <c r="H1383" s="53" t="s">
        <v>25</v>
      </c>
      <c r="I1383" s="73">
        <v>44013</v>
      </c>
      <c r="J1383" s="74">
        <f>EFEITO!$J$1383*EFEITO!$Y$1383</f>
        <v>0</v>
      </c>
      <c r="K1383" s="74">
        <f ca="1">EFEITO!$L$1383*EFEITO!$Z$1383</f>
        <v>534666.84073146887</v>
      </c>
      <c r="L1383" s="74">
        <f>EFEITO!$N$1383*EFEITO!$AA$1383</f>
        <v>0</v>
      </c>
      <c r="M1383" s="74">
        <f>$J$1383-EFEITO!$K$1383*EFEITO!$Y$1383</f>
        <v>0</v>
      </c>
      <c r="N1383" s="74">
        <f ca="1">$K$1383-EFEITO!$M$1383*EFEITO!$Z$1383</f>
        <v>0</v>
      </c>
      <c r="O1383" s="74">
        <f>$L$1383-EFEITO!$O$1383*EFEITO!$AA$1383</f>
        <v>0</v>
      </c>
      <c r="P1383" s="57"/>
      <c r="Q1383" s="57"/>
      <c r="R1383" s="57"/>
      <c r="S1383" s="57"/>
      <c r="T1383" s="57"/>
      <c r="U1383" s="57"/>
      <c r="V1383" s="57"/>
      <c r="W1383" s="57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</row>
    <row r="1384" spans="1:36" ht="11.25" customHeight="1" x14ac:dyDescent="0.2">
      <c r="A1384" s="53" t="s">
        <v>21</v>
      </c>
      <c r="B1384" s="53" t="s">
        <v>44</v>
      </c>
      <c r="C1384" s="53" t="s">
        <v>41</v>
      </c>
      <c r="D1384" s="53" t="s">
        <v>40</v>
      </c>
      <c r="E1384" s="53" t="s">
        <v>25</v>
      </c>
      <c r="F1384" s="53" t="s">
        <v>63</v>
      </c>
      <c r="G1384" s="53" t="s">
        <v>25</v>
      </c>
      <c r="H1384" s="53" t="s">
        <v>25</v>
      </c>
      <c r="I1384" s="73">
        <v>44044</v>
      </c>
      <c r="J1384" s="74">
        <f>EFEITO!$J$1384*EFEITO!$Y$1384</f>
        <v>0</v>
      </c>
      <c r="K1384" s="74">
        <f ca="1">EFEITO!$L$1384*EFEITO!$Z$1384</f>
        <v>560068.35286050721</v>
      </c>
      <c r="L1384" s="74">
        <f>EFEITO!$N$1384*EFEITO!$AA$1384</f>
        <v>0</v>
      </c>
      <c r="M1384" s="74">
        <f>$J$1384-EFEITO!$K$1384*EFEITO!$Y$1384</f>
        <v>0</v>
      </c>
      <c r="N1384" s="74">
        <f ca="1">$K$1384-EFEITO!$M$1384*EFEITO!$Z$1384</f>
        <v>0</v>
      </c>
      <c r="O1384" s="74">
        <f>$L$1384-EFEITO!$O$1384*EFEITO!$AA$1384</f>
        <v>0</v>
      </c>
      <c r="P1384" s="57"/>
      <c r="Q1384" s="57"/>
      <c r="R1384" s="57"/>
      <c r="S1384" s="57"/>
      <c r="T1384" s="57"/>
      <c r="U1384" s="57"/>
      <c r="V1384" s="57"/>
      <c r="W1384" s="57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</row>
    <row r="1385" spans="1:36" ht="11.25" customHeight="1" x14ac:dyDescent="0.2">
      <c r="A1385" s="53" t="s">
        <v>59</v>
      </c>
      <c r="B1385" s="53" t="s">
        <v>44</v>
      </c>
      <c r="C1385" s="53" t="s">
        <v>41</v>
      </c>
      <c r="D1385" s="53" t="s">
        <v>40</v>
      </c>
      <c r="E1385" s="53" t="s">
        <v>25</v>
      </c>
      <c r="F1385" s="53" t="s">
        <v>63</v>
      </c>
      <c r="G1385" s="53" t="s">
        <v>25</v>
      </c>
      <c r="H1385" s="53" t="s">
        <v>25</v>
      </c>
      <c r="I1385" s="73">
        <v>44075</v>
      </c>
      <c r="J1385" s="74">
        <f>EFEITO!$J$1385*EFEITO!$Y$1385</f>
        <v>0</v>
      </c>
      <c r="K1385" s="74">
        <f ca="1">EFEITO!$L$1385*EFEITO!$Z$1385</f>
        <v>560068.35286050721</v>
      </c>
      <c r="L1385" s="74">
        <f>EFEITO!$N$1385*EFEITO!$AA$1385</f>
        <v>0</v>
      </c>
      <c r="M1385" s="74">
        <f>$J$1385-EFEITO!$K$1385*EFEITO!$Y$1385</f>
        <v>0</v>
      </c>
      <c r="N1385" s="74">
        <f ca="1">$K$1385-EFEITO!$M$1385*EFEITO!$Z$1385</f>
        <v>0</v>
      </c>
      <c r="O1385" s="74">
        <f>$L$1385-EFEITO!$O$1385*EFEITO!$AA$1385</f>
        <v>0</v>
      </c>
      <c r="P1385" s="57"/>
      <c r="Q1385" s="57"/>
      <c r="R1385" s="57"/>
      <c r="S1385" s="57"/>
      <c r="T1385" s="57"/>
      <c r="U1385" s="57"/>
      <c r="V1385" s="57"/>
      <c r="W1385" s="57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</row>
    <row r="1386" spans="1:36" ht="11.25" customHeight="1" x14ac:dyDescent="0.2">
      <c r="A1386" s="53" t="s">
        <v>21</v>
      </c>
      <c r="B1386" s="53" t="s">
        <v>44</v>
      </c>
      <c r="C1386" s="53" t="s">
        <v>41</v>
      </c>
      <c r="D1386" s="53" t="s">
        <v>40</v>
      </c>
      <c r="E1386" s="53" t="s">
        <v>25</v>
      </c>
      <c r="F1386" s="53" t="s">
        <v>63</v>
      </c>
      <c r="G1386" s="53" t="s">
        <v>25</v>
      </c>
      <c r="H1386" s="53" t="s">
        <v>35</v>
      </c>
      <c r="I1386" s="73">
        <v>43739</v>
      </c>
      <c r="J1386" s="74">
        <f ca="1">EFEITO!$J$1386*EFEITO!$Y$1386</f>
        <v>512876.59328832477</v>
      </c>
      <c r="K1386" s="74">
        <f ca="1">EFEITO!$L$1386*EFEITO!$Z$1386</f>
        <v>0</v>
      </c>
      <c r="L1386" s="74">
        <f>EFEITO!$N$1386*EFEITO!$AA$1386</f>
        <v>0</v>
      </c>
      <c r="M1386" s="74">
        <f ca="1">$J$1386-EFEITO!$K$1386*EFEITO!$Y$1386</f>
        <v>187214.75303995493</v>
      </c>
      <c r="N1386" s="74">
        <f ca="1">$K$1386-EFEITO!$M$1386*EFEITO!$Z$1386</f>
        <v>0</v>
      </c>
      <c r="O1386" s="74">
        <f>$L$1386-EFEITO!$O$1386*EFEITO!$AA$1386</f>
        <v>0</v>
      </c>
      <c r="P1386" s="57"/>
      <c r="Q1386" s="57"/>
      <c r="R1386" s="57"/>
      <c r="S1386" s="57"/>
      <c r="T1386" s="57"/>
      <c r="U1386" s="57"/>
      <c r="V1386" s="57"/>
      <c r="W1386" s="57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</row>
    <row r="1387" spans="1:36" ht="11.25" customHeight="1" x14ac:dyDescent="0.2">
      <c r="A1387" s="53" t="s">
        <v>21</v>
      </c>
      <c r="B1387" s="53" t="s">
        <v>44</v>
      </c>
      <c r="C1387" s="53" t="s">
        <v>41</v>
      </c>
      <c r="D1387" s="53" t="s">
        <v>40</v>
      </c>
      <c r="E1387" s="53" t="s">
        <v>25</v>
      </c>
      <c r="F1387" s="53" t="s">
        <v>63</v>
      </c>
      <c r="G1387" s="53" t="s">
        <v>25</v>
      </c>
      <c r="H1387" s="53" t="s">
        <v>35</v>
      </c>
      <c r="I1387" s="73">
        <v>43770</v>
      </c>
      <c r="J1387" s="74">
        <f ca="1">EFEITO!$J$1387*EFEITO!$Y$1387</f>
        <v>512876.59328832477</v>
      </c>
      <c r="K1387" s="74">
        <f ca="1">EFEITO!$L$1387*EFEITO!$Z$1387</f>
        <v>0</v>
      </c>
      <c r="L1387" s="74">
        <f>EFEITO!$N$1387*EFEITO!$AA$1387</f>
        <v>0</v>
      </c>
      <c r="M1387" s="74">
        <f ca="1">$J$1387-EFEITO!$K$1387*EFEITO!$Y$1387</f>
        <v>186319.88083121949</v>
      </c>
      <c r="N1387" s="74">
        <f ca="1">$K$1387-EFEITO!$M$1387*EFEITO!$Z$1387</f>
        <v>0</v>
      </c>
      <c r="O1387" s="74">
        <f>$L$1387-EFEITO!$O$1387*EFEITO!$AA$1387</f>
        <v>0</v>
      </c>
      <c r="P1387" s="57"/>
      <c r="Q1387" s="57"/>
      <c r="R1387" s="57"/>
      <c r="S1387" s="57"/>
      <c r="T1387" s="57"/>
      <c r="U1387" s="57"/>
      <c r="V1387" s="57"/>
      <c r="W1387" s="57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</row>
    <row r="1388" spans="1:36" ht="11.25" customHeight="1" x14ac:dyDescent="0.2">
      <c r="A1388" s="53" t="s">
        <v>21</v>
      </c>
      <c r="B1388" s="53" t="s">
        <v>44</v>
      </c>
      <c r="C1388" s="53" t="s">
        <v>41</v>
      </c>
      <c r="D1388" s="53" t="s">
        <v>40</v>
      </c>
      <c r="E1388" s="53" t="s">
        <v>25</v>
      </c>
      <c r="F1388" s="53" t="s">
        <v>63</v>
      </c>
      <c r="G1388" s="53" t="s">
        <v>25</v>
      </c>
      <c r="H1388" s="53" t="s">
        <v>35</v>
      </c>
      <c r="I1388" s="73">
        <v>43800</v>
      </c>
      <c r="J1388" s="74">
        <f ca="1">EFEITO!$J$1388*EFEITO!$Y$1388</f>
        <v>512876.59328832477</v>
      </c>
      <c r="K1388" s="74">
        <f ca="1">EFEITO!$L$1388*EFEITO!$Z$1388</f>
        <v>0</v>
      </c>
      <c r="L1388" s="74">
        <f>EFEITO!$N$1388*EFEITO!$AA$1388</f>
        <v>0</v>
      </c>
      <c r="M1388" s="74">
        <f ca="1">$J$1388-EFEITO!$K$1388*EFEITO!$Y$1388</f>
        <v>184645.23105004855</v>
      </c>
      <c r="N1388" s="74">
        <f ca="1">$K$1388-EFEITO!$M$1388*EFEITO!$Z$1388</f>
        <v>0</v>
      </c>
      <c r="O1388" s="74">
        <f>$L$1388-EFEITO!$O$1388*EFEITO!$AA$1388</f>
        <v>0</v>
      </c>
      <c r="P1388" s="57"/>
      <c r="Q1388" s="57"/>
      <c r="R1388" s="57"/>
      <c r="S1388" s="57"/>
      <c r="T1388" s="57"/>
      <c r="U1388" s="57"/>
      <c r="V1388" s="57"/>
      <c r="W1388" s="57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</row>
    <row r="1389" spans="1:36" ht="11.25" customHeight="1" x14ac:dyDescent="0.2">
      <c r="A1389" s="53" t="s">
        <v>21</v>
      </c>
      <c r="B1389" s="53" t="s">
        <v>44</v>
      </c>
      <c r="C1389" s="53" t="s">
        <v>41</v>
      </c>
      <c r="D1389" s="53" t="s">
        <v>40</v>
      </c>
      <c r="E1389" s="53" t="s">
        <v>25</v>
      </c>
      <c r="F1389" s="53" t="s">
        <v>63</v>
      </c>
      <c r="G1389" s="53" t="s">
        <v>25</v>
      </c>
      <c r="H1389" s="53" t="s">
        <v>35</v>
      </c>
      <c r="I1389" s="73">
        <v>43831</v>
      </c>
      <c r="J1389" s="74">
        <f ca="1">EFEITO!$J$1389*EFEITO!$Y$1389</f>
        <v>588031.07877113728</v>
      </c>
      <c r="K1389" s="74">
        <f ca="1">EFEITO!$L$1389*EFEITO!$Z$1389</f>
        <v>0</v>
      </c>
      <c r="L1389" s="74">
        <f>EFEITO!$N$1389*EFEITO!$AA$1389</f>
        <v>0</v>
      </c>
      <c r="M1389" s="74">
        <f ca="1">$J$1389-EFEITO!$K$1389*EFEITO!$Y$1389</f>
        <v>190185.92155566893</v>
      </c>
      <c r="N1389" s="74">
        <f ca="1">$K$1389-EFEITO!$M$1389*EFEITO!$Z$1389</f>
        <v>0</v>
      </c>
      <c r="O1389" s="74">
        <f>$L$1389-EFEITO!$O$1389*EFEITO!$AA$1389</f>
        <v>0</v>
      </c>
      <c r="P1389" s="57"/>
      <c r="Q1389" s="57"/>
      <c r="R1389" s="57"/>
      <c r="S1389" s="57"/>
      <c r="T1389" s="57"/>
      <c r="U1389" s="57"/>
      <c r="V1389" s="57"/>
      <c r="W1389" s="57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</row>
    <row r="1390" spans="1:36" ht="11.25" customHeight="1" x14ac:dyDescent="0.2">
      <c r="A1390" s="53" t="s">
        <v>21</v>
      </c>
      <c r="B1390" s="53" t="s">
        <v>44</v>
      </c>
      <c r="C1390" s="53" t="s">
        <v>41</v>
      </c>
      <c r="D1390" s="53" t="s">
        <v>40</v>
      </c>
      <c r="E1390" s="53" t="s">
        <v>25</v>
      </c>
      <c r="F1390" s="53" t="s">
        <v>63</v>
      </c>
      <c r="G1390" s="53" t="s">
        <v>25</v>
      </c>
      <c r="H1390" s="53" t="s">
        <v>35</v>
      </c>
      <c r="I1390" s="73">
        <v>43862</v>
      </c>
      <c r="J1390" s="74">
        <f ca="1">EFEITO!$J$1390*EFEITO!$Y$1390</f>
        <v>583367.67176861141</v>
      </c>
      <c r="K1390" s="74">
        <f ca="1">EFEITO!$L$1390*EFEITO!$Z$1390</f>
        <v>0</v>
      </c>
      <c r="L1390" s="74">
        <f>EFEITO!$N$1390*EFEITO!$AA$1390</f>
        <v>0</v>
      </c>
      <c r="M1390" s="74">
        <f ca="1">$J$1390-EFEITO!$K$1390*EFEITO!$Y$1390</f>
        <v>211813.64369785017</v>
      </c>
      <c r="N1390" s="74">
        <f ca="1">$K$1390-EFEITO!$M$1390*EFEITO!$Z$1390</f>
        <v>0</v>
      </c>
      <c r="O1390" s="74">
        <f>$L$1390-EFEITO!$O$1390*EFEITO!$AA$1390</f>
        <v>0</v>
      </c>
      <c r="P1390" s="57"/>
      <c r="Q1390" s="57"/>
      <c r="R1390" s="57"/>
      <c r="S1390" s="57"/>
      <c r="T1390" s="57"/>
      <c r="U1390" s="57"/>
      <c r="V1390" s="57"/>
      <c r="W1390" s="57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</row>
    <row r="1391" spans="1:36" ht="11.25" customHeight="1" x14ac:dyDescent="0.2">
      <c r="A1391" s="53" t="s">
        <v>21</v>
      </c>
      <c r="B1391" s="53" t="s">
        <v>44</v>
      </c>
      <c r="C1391" s="53" t="s">
        <v>41</v>
      </c>
      <c r="D1391" s="53" t="s">
        <v>40</v>
      </c>
      <c r="E1391" s="53" t="s">
        <v>25</v>
      </c>
      <c r="F1391" s="53" t="s">
        <v>63</v>
      </c>
      <c r="G1391" s="53" t="s">
        <v>25</v>
      </c>
      <c r="H1391" s="53" t="s">
        <v>35</v>
      </c>
      <c r="I1391" s="73">
        <v>43891</v>
      </c>
      <c r="J1391" s="74">
        <f ca="1">EFEITO!$J$1391*EFEITO!$Y$1391</f>
        <v>579342.41519801004</v>
      </c>
      <c r="K1391" s="74">
        <f ca="1">EFEITO!$L$1391*EFEITO!$Z$1391</f>
        <v>0</v>
      </c>
      <c r="L1391" s="74">
        <f>EFEITO!$N$1391*EFEITO!$AA$1391</f>
        <v>0</v>
      </c>
      <c r="M1391" s="74">
        <f ca="1">$J$1391-EFEITO!$K$1391*EFEITO!$Y$1391</f>
        <v>209230.74145468156</v>
      </c>
      <c r="N1391" s="74">
        <f ca="1">$K$1391-EFEITO!$M$1391*EFEITO!$Z$1391</f>
        <v>0</v>
      </c>
      <c r="O1391" s="74">
        <f>$L$1391-EFEITO!$O$1391*EFEITO!$AA$1391</f>
        <v>0</v>
      </c>
      <c r="P1391" s="57"/>
      <c r="Q1391" s="57"/>
      <c r="R1391" s="57"/>
      <c r="S1391" s="57"/>
      <c r="T1391" s="57"/>
      <c r="U1391" s="57"/>
      <c r="V1391" s="57"/>
      <c r="W1391" s="57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</row>
    <row r="1392" spans="1:36" ht="11.25" customHeight="1" x14ac:dyDescent="0.2">
      <c r="A1392" s="53" t="s">
        <v>21</v>
      </c>
      <c r="B1392" s="53" t="s">
        <v>44</v>
      </c>
      <c r="C1392" s="53" t="s">
        <v>41</v>
      </c>
      <c r="D1392" s="53" t="s">
        <v>40</v>
      </c>
      <c r="E1392" s="53" t="s">
        <v>25</v>
      </c>
      <c r="F1392" s="53" t="s">
        <v>63</v>
      </c>
      <c r="G1392" s="53" t="s">
        <v>25</v>
      </c>
      <c r="H1392" s="53" t="s">
        <v>35</v>
      </c>
      <c r="I1392" s="73">
        <v>43922</v>
      </c>
      <c r="J1392" s="74">
        <f ca="1">EFEITO!$J$1392*EFEITO!$Y$1392</f>
        <v>580373.27358804212</v>
      </c>
      <c r="K1392" s="74">
        <f ca="1">EFEITO!$L$1392*EFEITO!$Z$1392</f>
        <v>0</v>
      </c>
      <c r="L1392" s="74">
        <f>EFEITO!$N$1392*EFEITO!$AA$1392</f>
        <v>0</v>
      </c>
      <c r="M1392" s="74">
        <f ca="1">$J$1392-EFEITO!$K$1392*EFEITO!$Y$1392</f>
        <v>212055.01076138165</v>
      </c>
      <c r="N1392" s="74">
        <f ca="1">$K$1392-EFEITO!$M$1392*EFEITO!$Z$1392</f>
        <v>0</v>
      </c>
      <c r="O1392" s="74">
        <f>$L$1392-EFEITO!$O$1392*EFEITO!$AA$1392</f>
        <v>0</v>
      </c>
      <c r="P1392" s="57"/>
      <c r="Q1392" s="57"/>
      <c r="R1392" s="57"/>
      <c r="S1392" s="57"/>
      <c r="T1392" s="57"/>
      <c r="U1392" s="57"/>
      <c r="V1392" s="57"/>
      <c r="W1392" s="57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</row>
    <row r="1393" spans="1:36" ht="11.25" customHeight="1" x14ac:dyDescent="0.2">
      <c r="A1393" s="53" t="s">
        <v>21</v>
      </c>
      <c r="B1393" s="53" t="s">
        <v>44</v>
      </c>
      <c r="C1393" s="53" t="s">
        <v>41</v>
      </c>
      <c r="D1393" s="53" t="s">
        <v>40</v>
      </c>
      <c r="E1393" s="53" t="s">
        <v>25</v>
      </c>
      <c r="F1393" s="53" t="s">
        <v>63</v>
      </c>
      <c r="G1393" s="53" t="s">
        <v>25</v>
      </c>
      <c r="H1393" s="53" t="s">
        <v>35</v>
      </c>
      <c r="I1393" s="73">
        <v>43952</v>
      </c>
      <c r="J1393" s="74">
        <f ca="1">EFEITO!$J$1393*EFEITO!$Y$1393</f>
        <v>583269.49477908458</v>
      </c>
      <c r="K1393" s="74">
        <f ca="1">EFEITO!$L$1393*EFEITO!$Z$1393</f>
        <v>0</v>
      </c>
      <c r="L1393" s="74">
        <f>EFEITO!$N$1393*EFEITO!$AA$1393</f>
        <v>0</v>
      </c>
      <c r="M1393" s="74">
        <f ca="1">$J$1393-EFEITO!$K$1393*EFEITO!$Y$1393</f>
        <v>201558.4095329665</v>
      </c>
      <c r="N1393" s="74">
        <f ca="1">$K$1393-EFEITO!$M$1393*EFEITO!$Z$1393</f>
        <v>0</v>
      </c>
      <c r="O1393" s="74">
        <f>$L$1393-EFEITO!$O$1393*EFEITO!$AA$1393</f>
        <v>0</v>
      </c>
      <c r="P1393" s="57"/>
      <c r="Q1393" s="57"/>
      <c r="R1393" s="57"/>
      <c r="S1393" s="57"/>
      <c r="T1393" s="57"/>
      <c r="U1393" s="57"/>
      <c r="V1393" s="57"/>
      <c r="W1393" s="57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</row>
    <row r="1394" spans="1:36" ht="11.25" customHeight="1" x14ac:dyDescent="0.2">
      <c r="A1394" s="53" t="s">
        <v>21</v>
      </c>
      <c r="B1394" s="53" t="s">
        <v>44</v>
      </c>
      <c r="C1394" s="53" t="s">
        <v>41</v>
      </c>
      <c r="D1394" s="53" t="s">
        <v>40</v>
      </c>
      <c r="E1394" s="53" t="s">
        <v>25</v>
      </c>
      <c r="F1394" s="53" t="s">
        <v>63</v>
      </c>
      <c r="G1394" s="53" t="s">
        <v>25</v>
      </c>
      <c r="H1394" s="53" t="s">
        <v>35</v>
      </c>
      <c r="I1394" s="73">
        <v>43983</v>
      </c>
      <c r="J1394" s="74">
        <f ca="1">EFEITO!$J$1394*EFEITO!$Y$1394</f>
        <v>583269.49477908458</v>
      </c>
      <c r="K1394" s="74">
        <f ca="1">EFEITO!$L$1394*EFEITO!$Z$1394</f>
        <v>0</v>
      </c>
      <c r="L1394" s="74">
        <f>EFEITO!$N$1394*EFEITO!$AA$1394</f>
        <v>0</v>
      </c>
      <c r="M1394" s="74">
        <f ca="1">$J$1394-EFEITO!$K$1394*EFEITO!$Y$1394</f>
        <v>216039.71372813755</v>
      </c>
      <c r="N1394" s="74">
        <f ca="1">$K$1394-EFEITO!$M$1394*EFEITO!$Z$1394</f>
        <v>0</v>
      </c>
      <c r="O1394" s="74">
        <f>$L$1394-EFEITO!$O$1394*EFEITO!$AA$1394</f>
        <v>0</v>
      </c>
      <c r="P1394" s="57"/>
      <c r="Q1394" s="57"/>
      <c r="R1394" s="57"/>
      <c r="S1394" s="57"/>
      <c r="T1394" s="57"/>
      <c r="U1394" s="57"/>
      <c r="V1394" s="57"/>
      <c r="W1394" s="57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</row>
    <row r="1395" spans="1:36" ht="11.25" customHeight="1" x14ac:dyDescent="0.2">
      <c r="A1395" s="53" t="s">
        <v>21</v>
      </c>
      <c r="B1395" s="53" t="s">
        <v>44</v>
      </c>
      <c r="C1395" s="53" t="s">
        <v>41</v>
      </c>
      <c r="D1395" s="53" t="s">
        <v>40</v>
      </c>
      <c r="E1395" s="53" t="s">
        <v>25</v>
      </c>
      <c r="F1395" s="53" t="s">
        <v>63</v>
      </c>
      <c r="G1395" s="53" t="s">
        <v>25</v>
      </c>
      <c r="H1395" s="53" t="s">
        <v>35</v>
      </c>
      <c r="I1395" s="73">
        <v>44013</v>
      </c>
      <c r="J1395" s="74">
        <f ca="1">EFEITO!$J$1395*EFEITO!$Y$1395</f>
        <v>512876.59328832477</v>
      </c>
      <c r="K1395" s="74">
        <f ca="1">EFEITO!$L$1395*EFEITO!$Z$1395</f>
        <v>0</v>
      </c>
      <c r="L1395" s="74">
        <f>EFEITO!$N$1395*EFEITO!$AA$1395</f>
        <v>0</v>
      </c>
      <c r="M1395" s="74">
        <f ca="1">$J$1395-EFEITO!$K$1395*EFEITO!$Y$1395</f>
        <v>189050.18450435583</v>
      </c>
      <c r="N1395" s="74">
        <f ca="1">$K$1395-EFEITO!$M$1395*EFEITO!$Z$1395</f>
        <v>0</v>
      </c>
      <c r="O1395" s="74">
        <f>$L$1395-EFEITO!$O$1395*EFEITO!$AA$1395</f>
        <v>0</v>
      </c>
      <c r="P1395" s="57"/>
      <c r="Q1395" s="57"/>
      <c r="R1395" s="57"/>
      <c r="S1395" s="57"/>
      <c r="T1395" s="57"/>
      <c r="U1395" s="57"/>
      <c r="V1395" s="57"/>
      <c r="W1395" s="57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</row>
    <row r="1396" spans="1:36" ht="11.25" customHeight="1" x14ac:dyDescent="0.2">
      <c r="A1396" s="53" t="s">
        <v>21</v>
      </c>
      <c r="B1396" s="53" t="s">
        <v>44</v>
      </c>
      <c r="C1396" s="53" t="s">
        <v>41</v>
      </c>
      <c r="D1396" s="53" t="s">
        <v>40</v>
      </c>
      <c r="E1396" s="53" t="s">
        <v>25</v>
      </c>
      <c r="F1396" s="53" t="s">
        <v>63</v>
      </c>
      <c r="G1396" s="53" t="s">
        <v>25</v>
      </c>
      <c r="H1396" s="53" t="s">
        <v>35</v>
      </c>
      <c r="I1396" s="73">
        <v>44044</v>
      </c>
      <c r="J1396" s="74">
        <f ca="1">EFEITO!$J$1396*EFEITO!$Y$1396</f>
        <v>623865.6799484418</v>
      </c>
      <c r="K1396" s="74">
        <f ca="1">EFEITO!$L$1396*EFEITO!$Z$1396</f>
        <v>0</v>
      </c>
      <c r="L1396" s="74">
        <f>EFEITO!$N$1396*EFEITO!$AA$1396</f>
        <v>0</v>
      </c>
      <c r="M1396" s="74">
        <f ca="1">$J$1396-EFEITO!$K$1396*EFEITO!$Y$1396</f>
        <v>218352.98798195459</v>
      </c>
      <c r="N1396" s="74">
        <f ca="1">$K$1396-EFEITO!$M$1396*EFEITO!$Z$1396</f>
        <v>0</v>
      </c>
      <c r="O1396" s="74">
        <f>$L$1396-EFEITO!$O$1396*EFEITO!$AA$1396</f>
        <v>0</v>
      </c>
      <c r="P1396" s="57"/>
      <c r="Q1396" s="57"/>
      <c r="R1396" s="57"/>
      <c r="S1396" s="57"/>
      <c r="T1396" s="57"/>
      <c r="U1396" s="57"/>
      <c r="V1396" s="57"/>
      <c r="W1396" s="57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</row>
    <row r="1397" spans="1:36" ht="11.25" customHeight="1" x14ac:dyDescent="0.2">
      <c r="A1397" s="53" t="s">
        <v>59</v>
      </c>
      <c r="B1397" s="53" t="s">
        <v>44</v>
      </c>
      <c r="C1397" s="53" t="s">
        <v>41</v>
      </c>
      <c r="D1397" s="53" t="s">
        <v>40</v>
      </c>
      <c r="E1397" s="53" t="s">
        <v>25</v>
      </c>
      <c r="F1397" s="53" t="s">
        <v>63</v>
      </c>
      <c r="G1397" s="53" t="s">
        <v>25</v>
      </c>
      <c r="H1397" s="53" t="s">
        <v>35</v>
      </c>
      <c r="I1397" s="73">
        <v>44075</v>
      </c>
      <c r="J1397" s="74">
        <f ca="1">EFEITO!$J$1397*EFEITO!$Y$1397</f>
        <v>623865.6799484418</v>
      </c>
      <c r="K1397" s="74">
        <f ca="1">EFEITO!$L$1397*EFEITO!$Z$1397</f>
        <v>0</v>
      </c>
      <c r="L1397" s="74">
        <f>EFEITO!$N$1397*EFEITO!$AA$1397</f>
        <v>0</v>
      </c>
      <c r="M1397" s="74">
        <f ca="1">$J$1397-EFEITO!$K$1397*EFEITO!$Y$1397</f>
        <v>218352.98798195459</v>
      </c>
      <c r="N1397" s="74">
        <f ca="1">$K$1397-EFEITO!$M$1397*EFEITO!$Z$1397</f>
        <v>0</v>
      </c>
      <c r="O1397" s="74">
        <f>$L$1397-EFEITO!$O$1397*EFEITO!$AA$1397</f>
        <v>0</v>
      </c>
      <c r="P1397" s="57"/>
      <c r="Q1397" s="57"/>
      <c r="R1397" s="57"/>
      <c r="S1397" s="57"/>
      <c r="T1397" s="57"/>
      <c r="U1397" s="57"/>
      <c r="V1397" s="57"/>
      <c r="W1397" s="57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</row>
    <row r="1398" spans="1:36" ht="11.25" customHeight="1" x14ac:dyDescent="0.2">
      <c r="A1398" s="53" t="s">
        <v>21</v>
      </c>
      <c r="B1398" s="53" t="s">
        <v>44</v>
      </c>
      <c r="C1398" s="53" t="s">
        <v>41</v>
      </c>
      <c r="D1398" s="53" t="s">
        <v>48</v>
      </c>
      <c r="E1398" s="53" t="s">
        <v>25</v>
      </c>
      <c r="F1398" s="53" t="s">
        <v>25</v>
      </c>
      <c r="G1398" s="53" t="s">
        <v>25</v>
      </c>
      <c r="H1398" s="53" t="s">
        <v>36</v>
      </c>
      <c r="I1398" s="73">
        <v>43739</v>
      </c>
      <c r="J1398" s="74">
        <f ca="1">EFEITO!$J$1398*EFEITO!$Y$1398</f>
        <v>237239.93929133983</v>
      </c>
      <c r="K1398" s="74">
        <f ca="1">EFEITO!$L$1398*EFEITO!$Z$1398</f>
        <v>444444.55251011916</v>
      </c>
      <c r="L1398" s="74">
        <f>EFEITO!$N$1398*EFEITO!$AA$1398</f>
        <v>908071.77136911312</v>
      </c>
      <c r="M1398" s="74">
        <f ca="1">$J$1398-EFEITO!$K$1398*EFEITO!$Y$1398</f>
        <v>0</v>
      </c>
      <c r="N1398" s="74">
        <f ca="1">$K$1398-EFEITO!$M$1398*EFEITO!$Z$1398</f>
        <v>0</v>
      </c>
      <c r="O1398" s="74">
        <f>$L$1398-EFEITO!$O$1398*EFEITO!$AA$1398</f>
        <v>0</v>
      </c>
      <c r="P1398" s="57"/>
      <c r="Q1398" s="57"/>
      <c r="R1398" s="57"/>
      <c r="S1398" s="57"/>
      <c r="T1398" s="57"/>
      <c r="U1398" s="57"/>
      <c r="V1398" s="57"/>
      <c r="W1398" s="57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</row>
    <row r="1399" spans="1:36" ht="11.25" customHeight="1" x14ac:dyDescent="0.2">
      <c r="A1399" s="53" t="s">
        <v>27</v>
      </c>
      <c r="B1399" s="53" t="s">
        <v>44</v>
      </c>
      <c r="C1399" s="53" t="s">
        <v>41</v>
      </c>
      <c r="D1399" s="53" t="s">
        <v>48</v>
      </c>
      <c r="E1399" s="53" t="s">
        <v>25</v>
      </c>
      <c r="F1399" s="53" t="s">
        <v>25</v>
      </c>
      <c r="G1399" s="53" t="s">
        <v>25</v>
      </c>
      <c r="H1399" s="53" t="s">
        <v>36</v>
      </c>
      <c r="I1399" s="73">
        <v>43739</v>
      </c>
      <c r="J1399" s="74">
        <f ca="1">EFEITO!$J$1399*EFEITO!$Y$1399</f>
        <v>6976.2334613221938</v>
      </c>
      <c r="K1399" s="74">
        <f ca="1">EFEITO!$L$1399*EFEITO!$Z$1399</f>
        <v>16908.431577216441</v>
      </c>
      <c r="L1399" s="74">
        <f>EFEITO!$N$1399*EFEITO!$AA$1399</f>
        <v>34546.647780201551</v>
      </c>
      <c r="M1399" s="74">
        <f ca="1">$J$1399-EFEITO!$K$1399*EFEITO!$Y$1399</f>
        <v>0</v>
      </c>
      <c r="N1399" s="74">
        <f ca="1">$K$1399-EFEITO!$M$1399*EFEITO!$Z$1399</f>
        <v>0</v>
      </c>
      <c r="O1399" s="74">
        <f>$L$1399-EFEITO!$O$1399*EFEITO!$AA$1399</f>
        <v>0</v>
      </c>
      <c r="P1399" s="57"/>
      <c r="Q1399" s="57"/>
      <c r="R1399" s="57"/>
      <c r="S1399" s="57"/>
      <c r="T1399" s="57"/>
      <c r="U1399" s="57"/>
      <c r="V1399" s="57"/>
      <c r="W1399" s="57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</row>
    <row r="1400" spans="1:36" ht="11.25" customHeight="1" x14ac:dyDescent="0.2">
      <c r="A1400" s="53" t="s">
        <v>21</v>
      </c>
      <c r="B1400" s="53" t="s">
        <v>44</v>
      </c>
      <c r="C1400" s="53" t="s">
        <v>41</v>
      </c>
      <c r="D1400" s="53" t="s">
        <v>48</v>
      </c>
      <c r="E1400" s="53" t="s">
        <v>25</v>
      </c>
      <c r="F1400" s="53" t="s">
        <v>25</v>
      </c>
      <c r="G1400" s="53" t="s">
        <v>25</v>
      </c>
      <c r="H1400" s="53" t="s">
        <v>36</v>
      </c>
      <c r="I1400" s="73">
        <v>43770</v>
      </c>
      <c r="J1400" s="74">
        <f ca="1">EFEITO!$J$1400*EFEITO!$Y$1400</f>
        <v>248872.32857203073</v>
      </c>
      <c r="K1400" s="74">
        <f ca="1">EFEITO!$L$1400*EFEITO!$Z$1400</f>
        <v>462098.30630512862</v>
      </c>
      <c r="L1400" s="74">
        <f>EFEITO!$N$1400*EFEITO!$AA$1400</f>
        <v>944141.23242878809</v>
      </c>
      <c r="M1400" s="74">
        <f ca="1">$J$1400-EFEITO!$K$1400*EFEITO!$Y$1400</f>
        <v>0</v>
      </c>
      <c r="N1400" s="74">
        <f ca="1">$K$1400-EFEITO!$M$1400*EFEITO!$Z$1400</f>
        <v>0</v>
      </c>
      <c r="O1400" s="74">
        <f>$L$1400-EFEITO!$O$1400*EFEITO!$AA$1400</f>
        <v>0</v>
      </c>
      <c r="P1400" s="57"/>
      <c r="Q1400" s="57"/>
      <c r="R1400" s="57"/>
      <c r="S1400" s="57"/>
      <c r="T1400" s="57"/>
      <c r="U1400" s="57"/>
      <c r="V1400" s="57"/>
      <c r="W1400" s="57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</row>
    <row r="1401" spans="1:36" ht="11.25" customHeight="1" x14ac:dyDescent="0.2">
      <c r="A1401" s="53" t="s">
        <v>27</v>
      </c>
      <c r="B1401" s="53" t="s">
        <v>44</v>
      </c>
      <c r="C1401" s="53" t="s">
        <v>41</v>
      </c>
      <c r="D1401" s="53" t="s">
        <v>48</v>
      </c>
      <c r="E1401" s="53" t="s">
        <v>25</v>
      </c>
      <c r="F1401" s="53" t="s">
        <v>25</v>
      </c>
      <c r="G1401" s="53" t="s">
        <v>25</v>
      </c>
      <c r="H1401" s="53" t="s">
        <v>36</v>
      </c>
      <c r="I1401" s="73">
        <v>43770</v>
      </c>
      <c r="J1401" s="74">
        <f ca="1">EFEITO!$J$1401*EFEITO!$Y$1401</f>
        <v>6976.2334613221938</v>
      </c>
      <c r="K1401" s="74">
        <f ca="1">EFEITO!$L$1401*EFEITO!$Z$1401</f>
        <v>17488.352593425527</v>
      </c>
      <c r="L1401" s="74">
        <f>EFEITO!$N$1401*EFEITO!$AA$1401</f>
        <v>35731.519777099682</v>
      </c>
      <c r="M1401" s="74">
        <f ca="1">$J$1401-EFEITO!$K$1401*EFEITO!$Y$1401</f>
        <v>0</v>
      </c>
      <c r="N1401" s="74">
        <f ca="1">$K$1401-EFEITO!$M$1401*EFEITO!$Z$1401</f>
        <v>0</v>
      </c>
      <c r="O1401" s="74">
        <f>$L$1401-EFEITO!$O$1401*EFEITO!$AA$1401</f>
        <v>0</v>
      </c>
      <c r="P1401" s="57"/>
      <c r="Q1401" s="57"/>
      <c r="R1401" s="57"/>
      <c r="S1401" s="57"/>
      <c r="T1401" s="57"/>
      <c r="U1401" s="57"/>
      <c r="V1401" s="57"/>
      <c r="W1401" s="57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</row>
    <row r="1402" spans="1:36" ht="11.25" customHeight="1" x14ac:dyDescent="0.2">
      <c r="A1402" s="53" t="s">
        <v>21</v>
      </c>
      <c r="B1402" s="53" t="s">
        <v>44</v>
      </c>
      <c r="C1402" s="53" t="s">
        <v>41</v>
      </c>
      <c r="D1402" s="53" t="s">
        <v>48</v>
      </c>
      <c r="E1402" s="53" t="s">
        <v>25</v>
      </c>
      <c r="F1402" s="53" t="s">
        <v>25</v>
      </c>
      <c r="G1402" s="53" t="s">
        <v>25</v>
      </c>
      <c r="H1402" s="53" t="s">
        <v>36</v>
      </c>
      <c r="I1402" s="73">
        <v>43800</v>
      </c>
      <c r="J1402" s="74">
        <f ca="1">EFEITO!$J$1402*EFEITO!$Y$1402</f>
        <v>252408.44690907706</v>
      </c>
      <c r="K1402" s="74">
        <f ca="1">EFEITO!$L$1402*EFEITO!$Z$1402</f>
        <v>441045.69339232566</v>
      </c>
      <c r="L1402" s="74">
        <f>EFEITO!$N$1402*EFEITO!$AA$1402</f>
        <v>901127.35501324269</v>
      </c>
      <c r="M1402" s="74">
        <f ca="1">$J$1402-EFEITO!$K$1402*EFEITO!$Y$1402</f>
        <v>0</v>
      </c>
      <c r="N1402" s="74">
        <f ca="1">$K$1402-EFEITO!$M$1402*EFEITO!$Z$1402</f>
        <v>0</v>
      </c>
      <c r="O1402" s="74">
        <f>$L$1402-EFEITO!$O$1402*EFEITO!$AA$1402</f>
        <v>0</v>
      </c>
      <c r="P1402" s="57"/>
      <c r="Q1402" s="57"/>
      <c r="R1402" s="57"/>
      <c r="S1402" s="57"/>
      <c r="T1402" s="57"/>
      <c r="U1402" s="57"/>
      <c r="V1402" s="57"/>
      <c r="W1402" s="57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</row>
    <row r="1403" spans="1:36" ht="11.25" customHeight="1" x14ac:dyDescent="0.2">
      <c r="A1403" s="53" t="s">
        <v>27</v>
      </c>
      <c r="B1403" s="53" t="s">
        <v>44</v>
      </c>
      <c r="C1403" s="53" t="s">
        <v>41</v>
      </c>
      <c r="D1403" s="53" t="s">
        <v>48</v>
      </c>
      <c r="E1403" s="53" t="s">
        <v>25</v>
      </c>
      <c r="F1403" s="53" t="s">
        <v>25</v>
      </c>
      <c r="G1403" s="53" t="s">
        <v>25</v>
      </c>
      <c r="H1403" s="53" t="s">
        <v>36</v>
      </c>
      <c r="I1403" s="73">
        <v>43800</v>
      </c>
      <c r="J1403" s="74">
        <f ca="1">EFEITO!$J$1403*EFEITO!$Y$1403</f>
        <v>6976.2334613221938</v>
      </c>
      <c r="K1403" s="74">
        <f ca="1">EFEITO!$L$1403*EFEITO!$Z$1403</f>
        <v>16591.412607513987</v>
      </c>
      <c r="L1403" s="74">
        <f>EFEITO!$N$1403*EFEITO!$AA$1403</f>
        <v>33898.926988598949</v>
      </c>
      <c r="M1403" s="74">
        <f ca="1">$J$1403-EFEITO!$K$1403*EFEITO!$Y$1403</f>
        <v>0</v>
      </c>
      <c r="N1403" s="74">
        <f ca="1">$K$1403-EFEITO!$M$1403*EFEITO!$Z$1403</f>
        <v>0</v>
      </c>
      <c r="O1403" s="74">
        <f>$L$1403-EFEITO!$O$1403*EFEITO!$AA$1403</f>
        <v>0</v>
      </c>
      <c r="P1403" s="57"/>
      <c r="Q1403" s="57"/>
      <c r="R1403" s="57"/>
      <c r="S1403" s="57"/>
      <c r="T1403" s="57"/>
      <c r="U1403" s="57"/>
      <c r="V1403" s="57"/>
      <c r="W1403" s="57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</row>
    <row r="1404" spans="1:36" ht="11.25" customHeight="1" x14ac:dyDescent="0.2">
      <c r="A1404" s="53" t="s">
        <v>21</v>
      </c>
      <c r="B1404" s="53" t="s">
        <v>44</v>
      </c>
      <c r="C1404" s="53" t="s">
        <v>41</v>
      </c>
      <c r="D1404" s="53" t="s">
        <v>48</v>
      </c>
      <c r="E1404" s="53" t="s">
        <v>25</v>
      </c>
      <c r="F1404" s="53" t="s">
        <v>25</v>
      </c>
      <c r="G1404" s="53" t="s">
        <v>25</v>
      </c>
      <c r="H1404" s="53" t="s">
        <v>36</v>
      </c>
      <c r="I1404" s="73">
        <v>43831</v>
      </c>
      <c r="J1404" s="74">
        <f ca="1">EFEITO!$J$1404*EFEITO!$Y$1404</f>
        <v>254152.50527440762</v>
      </c>
      <c r="K1404" s="74">
        <f ca="1">EFEITO!$L$1404*EFEITO!$Z$1404</f>
        <v>428924.18047023861</v>
      </c>
      <c r="L1404" s="74">
        <f>EFEITO!$N$1404*EFEITO!$AA$1404</f>
        <v>876361.15268571477</v>
      </c>
      <c r="M1404" s="74">
        <f ca="1">$J$1404-EFEITO!$K$1404*EFEITO!$Y$1404</f>
        <v>0</v>
      </c>
      <c r="N1404" s="74">
        <f ca="1">$K$1404-EFEITO!$M$1404*EFEITO!$Z$1404</f>
        <v>0</v>
      </c>
      <c r="O1404" s="74">
        <f>$L$1404-EFEITO!$O$1404*EFEITO!$AA$1404</f>
        <v>0</v>
      </c>
      <c r="P1404" s="57"/>
      <c r="Q1404" s="57"/>
      <c r="R1404" s="57"/>
      <c r="S1404" s="57"/>
      <c r="T1404" s="57"/>
      <c r="U1404" s="57"/>
      <c r="V1404" s="57"/>
      <c r="W1404" s="57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</row>
    <row r="1405" spans="1:36" ht="11.25" customHeight="1" x14ac:dyDescent="0.2">
      <c r="A1405" s="53" t="s">
        <v>27</v>
      </c>
      <c r="B1405" s="53" t="s">
        <v>44</v>
      </c>
      <c r="C1405" s="53" t="s">
        <v>41</v>
      </c>
      <c r="D1405" s="53" t="s">
        <v>48</v>
      </c>
      <c r="E1405" s="53" t="s">
        <v>25</v>
      </c>
      <c r="F1405" s="53" t="s">
        <v>25</v>
      </c>
      <c r="G1405" s="53" t="s">
        <v>25</v>
      </c>
      <c r="H1405" s="53" t="s">
        <v>36</v>
      </c>
      <c r="I1405" s="73">
        <v>43831</v>
      </c>
      <c r="J1405" s="74">
        <f ca="1">EFEITO!$J$1405*EFEITO!$Y$1405</f>
        <v>6976.2334613221938</v>
      </c>
      <c r="K1405" s="74">
        <f ca="1">EFEITO!$L$1405*EFEITO!$Z$1405</f>
        <v>16423.299910822167</v>
      </c>
      <c r="L1405" s="74">
        <f>EFEITO!$N$1405*EFEITO!$AA$1405</f>
        <v>33555.445684997852</v>
      </c>
      <c r="M1405" s="74">
        <f ca="1">$J$1405-EFEITO!$K$1405*EFEITO!$Y$1405</f>
        <v>0</v>
      </c>
      <c r="N1405" s="74">
        <f ca="1">$K$1405-EFEITO!$M$1405*EFEITO!$Z$1405</f>
        <v>0</v>
      </c>
      <c r="O1405" s="74">
        <f>$L$1405-EFEITO!$O$1405*EFEITO!$AA$1405</f>
        <v>0</v>
      </c>
      <c r="P1405" s="57"/>
      <c r="Q1405" s="57"/>
      <c r="R1405" s="57"/>
      <c r="S1405" s="57"/>
      <c r="T1405" s="57"/>
      <c r="U1405" s="57"/>
      <c r="V1405" s="57"/>
      <c r="W1405" s="57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</row>
    <row r="1406" spans="1:36" ht="11.25" customHeight="1" x14ac:dyDescent="0.2">
      <c r="A1406" s="53" t="s">
        <v>21</v>
      </c>
      <c r="B1406" s="53" t="s">
        <v>44</v>
      </c>
      <c r="C1406" s="53" t="s">
        <v>41</v>
      </c>
      <c r="D1406" s="53" t="s">
        <v>48</v>
      </c>
      <c r="E1406" s="53" t="s">
        <v>25</v>
      </c>
      <c r="F1406" s="53" t="s">
        <v>25</v>
      </c>
      <c r="G1406" s="53" t="s">
        <v>25</v>
      </c>
      <c r="H1406" s="53" t="s">
        <v>36</v>
      </c>
      <c r="I1406" s="73">
        <v>43862</v>
      </c>
      <c r="J1406" s="74">
        <f ca="1">EFEITO!$J$1406*EFEITO!$Y$1406</f>
        <v>255992.56685250867</v>
      </c>
      <c r="K1406" s="74">
        <f ca="1">EFEITO!$L$1406*EFEITO!$Z$1406</f>
        <v>448723.2917904369</v>
      </c>
      <c r="L1406" s="74">
        <f>EFEITO!$N$1406*EFEITO!$AA$1406</f>
        <v>916813.92454786366</v>
      </c>
      <c r="M1406" s="74">
        <f ca="1">$J$1406-EFEITO!$K$1406*EFEITO!$Y$1406</f>
        <v>0</v>
      </c>
      <c r="N1406" s="74">
        <f ca="1">$K$1406-EFEITO!$M$1406*EFEITO!$Z$1406</f>
        <v>0</v>
      </c>
      <c r="O1406" s="74">
        <f>$L$1406-EFEITO!$O$1406*EFEITO!$AA$1406</f>
        <v>0</v>
      </c>
      <c r="P1406" s="57"/>
      <c r="Q1406" s="57"/>
      <c r="R1406" s="57"/>
      <c r="S1406" s="57"/>
      <c r="T1406" s="57"/>
      <c r="U1406" s="57"/>
      <c r="V1406" s="57"/>
      <c r="W1406" s="57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</row>
    <row r="1407" spans="1:36" ht="11.25" customHeight="1" x14ac:dyDescent="0.2">
      <c r="A1407" s="53" t="s">
        <v>27</v>
      </c>
      <c r="B1407" s="53" t="s">
        <v>44</v>
      </c>
      <c r="C1407" s="53" t="s">
        <v>41</v>
      </c>
      <c r="D1407" s="53" t="s">
        <v>48</v>
      </c>
      <c r="E1407" s="53" t="s">
        <v>25</v>
      </c>
      <c r="F1407" s="53" t="s">
        <v>25</v>
      </c>
      <c r="G1407" s="53" t="s">
        <v>25</v>
      </c>
      <c r="H1407" s="53" t="s">
        <v>36</v>
      </c>
      <c r="I1407" s="73">
        <v>43862</v>
      </c>
      <c r="J1407" s="74">
        <f ca="1">EFEITO!$J$1407*EFEITO!$Y$1407</f>
        <v>6976.2334613221938</v>
      </c>
      <c r="K1407" s="74">
        <f ca="1">EFEITO!$L$1407*EFEITO!$Z$1407</f>
        <v>17045.813996018362</v>
      </c>
      <c r="L1407" s="74">
        <f>EFEITO!$N$1407*EFEITO!$AA$1407</f>
        <v>34827.342178843304</v>
      </c>
      <c r="M1407" s="74">
        <f ca="1">$J$1407-EFEITO!$K$1407*EFEITO!$Y$1407</f>
        <v>0</v>
      </c>
      <c r="N1407" s="74">
        <f ca="1">$K$1407-EFEITO!$M$1407*EFEITO!$Z$1407</f>
        <v>0</v>
      </c>
      <c r="O1407" s="74">
        <f>$L$1407-EFEITO!$O$1407*EFEITO!$AA$1407</f>
        <v>0</v>
      </c>
      <c r="P1407" s="57"/>
      <c r="Q1407" s="57"/>
      <c r="R1407" s="57"/>
      <c r="S1407" s="57"/>
      <c r="T1407" s="57"/>
      <c r="U1407" s="57"/>
      <c r="V1407" s="57"/>
      <c r="W1407" s="57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</row>
    <row r="1408" spans="1:36" ht="11.25" customHeight="1" x14ac:dyDescent="0.2">
      <c r="A1408" s="53" t="s">
        <v>21</v>
      </c>
      <c r="B1408" s="53" t="s">
        <v>44</v>
      </c>
      <c r="C1408" s="53" t="s">
        <v>41</v>
      </c>
      <c r="D1408" s="53" t="s">
        <v>48</v>
      </c>
      <c r="E1408" s="53" t="s">
        <v>25</v>
      </c>
      <c r="F1408" s="53" t="s">
        <v>25</v>
      </c>
      <c r="G1408" s="53" t="s">
        <v>25</v>
      </c>
      <c r="H1408" s="53" t="s">
        <v>36</v>
      </c>
      <c r="I1408" s="73">
        <v>43891</v>
      </c>
      <c r="J1408" s="74">
        <f ca="1">EFEITO!$J$1408*EFEITO!$Y$1408</f>
        <v>254984.53311841853</v>
      </c>
      <c r="K1408" s="74">
        <f ca="1">EFEITO!$L$1408*EFEITO!$Z$1408</f>
        <v>400008.34472339391</v>
      </c>
      <c r="L1408" s="74">
        <f>EFEITO!$N$1408*EFEITO!$AA$1408</f>
        <v>817281.44512948871</v>
      </c>
      <c r="M1408" s="74">
        <f ca="1">$J$1408-EFEITO!$K$1408*EFEITO!$Y$1408</f>
        <v>0</v>
      </c>
      <c r="N1408" s="74">
        <f ca="1">$K$1408-EFEITO!$M$1408*EFEITO!$Z$1408</f>
        <v>0</v>
      </c>
      <c r="O1408" s="74">
        <f>$L$1408-EFEITO!$O$1408*EFEITO!$AA$1408</f>
        <v>0</v>
      </c>
      <c r="P1408" s="57"/>
      <c r="Q1408" s="57"/>
      <c r="R1408" s="57"/>
      <c r="S1408" s="57"/>
      <c r="T1408" s="57"/>
      <c r="U1408" s="57"/>
      <c r="V1408" s="57"/>
      <c r="W1408" s="57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</row>
    <row r="1409" spans="1:36" ht="11.25" customHeight="1" x14ac:dyDescent="0.2">
      <c r="A1409" s="53" t="s">
        <v>27</v>
      </c>
      <c r="B1409" s="53" t="s">
        <v>44</v>
      </c>
      <c r="C1409" s="53" t="s">
        <v>41</v>
      </c>
      <c r="D1409" s="53" t="s">
        <v>48</v>
      </c>
      <c r="E1409" s="53" t="s">
        <v>25</v>
      </c>
      <c r="F1409" s="53" t="s">
        <v>25</v>
      </c>
      <c r="G1409" s="53" t="s">
        <v>25</v>
      </c>
      <c r="H1409" s="53" t="s">
        <v>36</v>
      </c>
      <c r="I1409" s="73">
        <v>43891</v>
      </c>
      <c r="J1409" s="74">
        <f ca="1">EFEITO!$J$1409*EFEITO!$Y$1409</f>
        <v>6976.2334613221938</v>
      </c>
      <c r="K1409" s="74">
        <f ca="1">EFEITO!$L$1409*EFEITO!$Z$1409</f>
        <v>15517.54756580984</v>
      </c>
      <c r="L1409" s="74">
        <f>EFEITO!$N$1409*EFEITO!$AA$1409</f>
        <v>31704.847828163187</v>
      </c>
      <c r="M1409" s="74">
        <f ca="1">$J$1409-EFEITO!$K$1409*EFEITO!$Y$1409</f>
        <v>0</v>
      </c>
      <c r="N1409" s="74">
        <f ca="1">$K$1409-EFEITO!$M$1409*EFEITO!$Z$1409</f>
        <v>0</v>
      </c>
      <c r="O1409" s="74">
        <f>$L$1409-EFEITO!$O$1409*EFEITO!$AA$1409</f>
        <v>0</v>
      </c>
      <c r="P1409" s="57"/>
      <c r="Q1409" s="57"/>
      <c r="R1409" s="57"/>
      <c r="S1409" s="57"/>
      <c r="T1409" s="57"/>
      <c r="U1409" s="57"/>
      <c r="V1409" s="57"/>
      <c r="W1409" s="57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</row>
    <row r="1410" spans="1:36" ht="11.25" customHeight="1" x14ac:dyDescent="0.2">
      <c r="A1410" s="53" t="s">
        <v>21</v>
      </c>
      <c r="B1410" s="53" t="s">
        <v>44</v>
      </c>
      <c r="C1410" s="53" t="s">
        <v>41</v>
      </c>
      <c r="D1410" s="53" t="s">
        <v>48</v>
      </c>
      <c r="E1410" s="53" t="s">
        <v>25</v>
      </c>
      <c r="F1410" s="53" t="s">
        <v>25</v>
      </c>
      <c r="G1410" s="53" t="s">
        <v>25</v>
      </c>
      <c r="H1410" s="53" t="s">
        <v>36</v>
      </c>
      <c r="I1410" s="73">
        <v>43922</v>
      </c>
      <c r="J1410" s="74">
        <f ca="1">EFEITO!$J$1410*EFEITO!$Y$1410</f>
        <v>254328.51116448684</v>
      </c>
      <c r="K1410" s="74">
        <f ca="1">EFEITO!$L$1410*EFEITO!$Z$1410</f>
        <v>379324.38216630695</v>
      </c>
      <c r="L1410" s="74">
        <f>EFEITO!$N$1410*EFEITO!$AA$1410</f>
        <v>775020.77973924589</v>
      </c>
      <c r="M1410" s="74">
        <f ca="1">$J$1410-EFEITO!$K$1410*EFEITO!$Y$1410</f>
        <v>0</v>
      </c>
      <c r="N1410" s="74">
        <f ca="1">$K$1410-EFEITO!$M$1410*EFEITO!$Z$1410</f>
        <v>0</v>
      </c>
      <c r="O1410" s="74">
        <f>$L$1410-EFEITO!$O$1410*EFEITO!$AA$1410</f>
        <v>0</v>
      </c>
      <c r="P1410" s="57"/>
      <c r="Q1410" s="57"/>
      <c r="R1410" s="57"/>
      <c r="S1410" s="57"/>
      <c r="T1410" s="57"/>
      <c r="U1410" s="57"/>
      <c r="V1410" s="57"/>
      <c r="W1410" s="57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</row>
    <row r="1411" spans="1:36" ht="11.25" customHeight="1" x14ac:dyDescent="0.2">
      <c r="A1411" s="53" t="s">
        <v>27</v>
      </c>
      <c r="B1411" s="53" t="s">
        <v>44</v>
      </c>
      <c r="C1411" s="53" t="s">
        <v>41</v>
      </c>
      <c r="D1411" s="53" t="s">
        <v>48</v>
      </c>
      <c r="E1411" s="53" t="s">
        <v>25</v>
      </c>
      <c r="F1411" s="53" t="s">
        <v>25</v>
      </c>
      <c r="G1411" s="53" t="s">
        <v>25</v>
      </c>
      <c r="H1411" s="53" t="s">
        <v>36</v>
      </c>
      <c r="I1411" s="73">
        <v>43922</v>
      </c>
      <c r="J1411" s="74">
        <f ca="1">EFEITO!$J$1411*EFEITO!$Y$1411</f>
        <v>6976.2334613221938</v>
      </c>
      <c r="K1411" s="74">
        <f ca="1">EFEITO!$L$1411*EFEITO!$Z$1411</f>
        <v>16141.191440634342</v>
      </c>
      <c r="L1411" s="74">
        <f>EFEITO!$N$1411*EFEITO!$AA$1411</f>
        <v>32979.052664102732</v>
      </c>
      <c r="M1411" s="74">
        <f ca="1">$J$1411-EFEITO!$K$1411*EFEITO!$Y$1411</f>
        <v>0</v>
      </c>
      <c r="N1411" s="74">
        <f ca="1">$K$1411-EFEITO!$M$1411*EFEITO!$Z$1411</f>
        <v>0</v>
      </c>
      <c r="O1411" s="74">
        <f>$L$1411-EFEITO!$O$1411*EFEITO!$AA$1411</f>
        <v>0</v>
      </c>
      <c r="P1411" s="57"/>
      <c r="Q1411" s="57"/>
      <c r="R1411" s="57"/>
      <c r="S1411" s="57"/>
      <c r="T1411" s="57"/>
      <c r="U1411" s="57"/>
      <c r="V1411" s="57"/>
      <c r="W1411" s="57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</row>
    <row r="1412" spans="1:36" ht="11.25" customHeight="1" x14ac:dyDescent="0.2">
      <c r="A1412" s="53" t="s">
        <v>21</v>
      </c>
      <c r="B1412" s="53" t="s">
        <v>44</v>
      </c>
      <c r="C1412" s="53" t="s">
        <v>41</v>
      </c>
      <c r="D1412" s="53" t="s">
        <v>48</v>
      </c>
      <c r="E1412" s="53" t="s">
        <v>25</v>
      </c>
      <c r="F1412" s="53" t="s">
        <v>25</v>
      </c>
      <c r="G1412" s="53" t="s">
        <v>25</v>
      </c>
      <c r="H1412" s="53" t="s">
        <v>36</v>
      </c>
      <c r="I1412" s="73">
        <v>43952</v>
      </c>
      <c r="J1412" s="74">
        <f ca="1">EFEITO!$J$1412*EFEITO!$Y$1412</f>
        <v>248040.30072801982</v>
      </c>
      <c r="K1412" s="74">
        <f ca="1">EFEITO!$L$1412*EFEITO!$Z$1412</f>
        <v>311596.20544451487</v>
      </c>
      <c r="L1412" s="74">
        <f>EFEITO!$N$1412*EFEITO!$AA$1412</f>
        <v>636641.21121937351</v>
      </c>
      <c r="M1412" s="74">
        <f ca="1">$J$1412-EFEITO!$K$1412*EFEITO!$Y$1412</f>
        <v>0</v>
      </c>
      <c r="N1412" s="74">
        <f ca="1">$K$1412-EFEITO!$M$1412*EFEITO!$Z$1412</f>
        <v>0</v>
      </c>
      <c r="O1412" s="74">
        <f>$L$1412-EFEITO!$O$1412*EFEITO!$AA$1412</f>
        <v>0</v>
      </c>
      <c r="P1412" s="57"/>
      <c r="Q1412" s="57"/>
      <c r="R1412" s="57"/>
      <c r="S1412" s="57"/>
      <c r="T1412" s="57"/>
      <c r="U1412" s="57"/>
      <c r="V1412" s="57"/>
      <c r="W1412" s="57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</row>
    <row r="1413" spans="1:36" ht="11.25" customHeight="1" x14ac:dyDescent="0.2">
      <c r="A1413" s="53" t="s">
        <v>27</v>
      </c>
      <c r="B1413" s="53" t="s">
        <v>44</v>
      </c>
      <c r="C1413" s="53" t="s">
        <v>41</v>
      </c>
      <c r="D1413" s="53" t="s">
        <v>48</v>
      </c>
      <c r="E1413" s="53" t="s">
        <v>25</v>
      </c>
      <c r="F1413" s="53" t="s">
        <v>25</v>
      </c>
      <c r="G1413" s="53" t="s">
        <v>25</v>
      </c>
      <c r="H1413" s="53" t="s">
        <v>36</v>
      </c>
      <c r="I1413" s="73">
        <v>43952</v>
      </c>
      <c r="J1413" s="74">
        <f ca="1">EFEITO!$J$1413*EFEITO!$Y$1413</f>
        <v>6976.2334613221938</v>
      </c>
      <c r="K1413" s="74">
        <f ca="1">EFEITO!$L$1413*EFEITO!$Z$1413</f>
        <v>16167.628517936686</v>
      </c>
      <c r="L1413" s="74">
        <f>EFEITO!$N$1413*EFEITO!$AA$1413</f>
        <v>33033.067869104525</v>
      </c>
      <c r="M1413" s="74">
        <f ca="1">$J$1413-EFEITO!$K$1413*EFEITO!$Y$1413</f>
        <v>0</v>
      </c>
      <c r="N1413" s="74">
        <f ca="1">$K$1413-EFEITO!$M$1413*EFEITO!$Z$1413</f>
        <v>0</v>
      </c>
      <c r="O1413" s="74">
        <f>$L$1413-EFEITO!$O$1413*EFEITO!$AA$1413</f>
        <v>0</v>
      </c>
      <c r="P1413" s="57"/>
      <c r="Q1413" s="57"/>
      <c r="R1413" s="57"/>
      <c r="S1413" s="57"/>
      <c r="T1413" s="57"/>
      <c r="U1413" s="57"/>
      <c r="V1413" s="57"/>
      <c r="W1413" s="57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</row>
    <row r="1414" spans="1:36" ht="11.25" customHeight="1" x14ac:dyDescent="0.2">
      <c r="A1414" s="53" t="s">
        <v>21</v>
      </c>
      <c r="B1414" s="53" t="s">
        <v>44</v>
      </c>
      <c r="C1414" s="53" t="s">
        <v>41</v>
      </c>
      <c r="D1414" s="53" t="s">
        <v>48</v>
      </c>
      <c r="E1414" s="53" t="s">
        <v>25</v>
      </c>
      <c r="F1414" s="53" t="s">
        <v>25</v>
      </c>
      <c r="G1414" s="53" t="s">
        <v>25</v>
      </c>
      <c r="H1414" s="53" t="s">
        <v>36</v>
      </c>
      <c r="I1414" s="73">
        <v>43983</v>
      </c>
      <c r="J1414" s="74">
        <f ca="1">EFEITO!$J$1414*EFEITO!$Y$1414</f>
        <v>215079.19767681864</v>
      </c>
      <c r="K1414" s="74">
        <f ca="1">EFEITO!$L$1414*EFEITO!$Z$1414</f>
        <v>288674.80750753218</v>
      </c>
      <c r="L1414" s="74">
        <f>EFEITO!$N$1414*EFEITO!$AA$1414</f>
        <v>589809.10514598817</v>
      </c>
      <c r="M1414" s="74">
        <f ca="1">$J$1414-EFEITO!$K$1414*EFEITO!$Y$1414</f>
        <v>0</v>
      </c>
      <c r="N1414" s="74">
        <f ca="1">$K$1414-EFEITO!$M$1414*EFEITO!$Z$1414</f>
        <v>0</v>
      </c>
      <c r="O1414" s="74">
        <f>$L$1414-EFEITO!$O$1414*EFEITO!$AA$1414</f>
        <v>0</v>
      </c>
      <c r="P1414" s="57"/>
      <c r="Q1414" s="57"/>
      <c r="R1414" s="57"/>
      <c r="S1414" s="57"/>
      <c r="T1414" s="57"/>
      <c r="U1414" s="57"/>
      <c r="V1414" s="57"/>
      <c r="W1414" s="57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</row>
    <row r="1415" spans="1:36" ht="11.25" customHeight="1" x14ac:dyDescent="0.2">
      <c r="A1415" s="53" t="s">
        <v>27</v>
      </c>
      <c r="B1415" s="53" t="s">
        <v>44</v>
      </c>
      <c r="C1415" s="53" t="s">
        <v>41</v>
      </c>
      <c r="D1415" s="53" t="s">
        <v>48</v>
      </c>
      <c r="E1415" s="53" t="s">
        <v>25</v>
      </c>
      <c r="F1415" s="53" t="s">
        <v>25</v>
      </c>
      <c r="G1415" s="53" t="s">
        <v>25</v>
      </c>
      <c r="H1415" s="53" t="s">
        <v>36</v>
      </c>
      <c r="I1415" s="73">
        <v>43983</v>
      </c>
      <c r="J1415" s="74">
        <f ca="1">EFEITO!$J$1415*EFEITO!$Y$1415</f>
        <v>29376.983107769604</v>
      </c>
      <c r="K1415" s="74">
        <f ca="1">EFEITO!$L$1415*EFEITO!$Z$1415</f>
        <v>29559.47689809019</v>
      </c>
      <c r="L1415" s="74">
        <f>EFEITO!$N$1415*EFEITO!$AA$1415</f>
        <v>60394.77004723101</v>
      </c>
      <c r="M1415" s="74">
        <f ca="1">$J$1415-EFEITO!$K$1415*EFEITO!$Y$1415</f>
        <v>0</v>
      </c>
      <c r="N1415" s="74">
        <f ca="1">$K$1415-EFEITO!$M$1415*EFEITO!$Z$1415</f>
        <v>0</v>
      </c>
      <c r="O1415" s="74">
        <f>$L$1415-EFEITO!$O$1415*EFEITO!$AA$1415</f>
        <v>0</v>
      </c>
      <c r="P1415" s="57"/>
      <c r="Q1415" s="57"/>
      <c r="R1415" s="57"/>
      <c r="S1415" s="57"/>
      <c r="T1415" s="57"/>
      <c r="U1415" s="57"/>
      <c r="V1415" s="57"/>
      <c r="W1415" s="57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</row>
    <row r="1416" spans="1:36" ht="11.25" customHeight="1" x14ac:dyDescent="0.2">
      <c r="A1416" s="53" t="s">
        <v>21</v>
      </c>
      <c r="B1416" s="53" t="s">
        <v>44</v>
      </c>
      <c r="C1416" s="53" t="s">
        <v>41</v>
      </c>
      <c r="D1416" s="53" t="s">
        <v>48</v>
      </c>
      <c r="E1416" s="53" t="s">
        <v>25</v>
      </c>
      <c r="F1416" s="53" t="s">
        <v>25</v>
      </c>
      <c r="G1416" s="53" t="s">
        <v>25</v>
      </c>
      <c r="H1416" s="53" t="s">
        <v>36</v>
      </c>
      <c r="I1416" s="73">
        <v>44013</v>
      </c>
      <c r="J1416" s="74">
        <f ca="1">EFEITO!$J$1416*EFEITO!$Y$1416</f>
        <v>226279.57250004233</v>
      </c>
      <c r="K1416" s="74">
        <f ca="1">EFEITO!$L$1416*EFEITO!$Z$1416</f>
        <v>266160.58575259079</v>
      </c>
      <c r="L1416" s="74">
        <f>EFEITO!$N$1416*EFEITO!$AA$1416</f>
        <v>543808.92556331411</v>
      </c>
      <c r="M1416" s="74">
        <f ca="1">$J$1416-EFEITO!$K$1416*EFEITO!$Y$1416</f>
        <v>0</v>
      </c>
      <c r="N1416" s="74">
        <f ca="1">$K$1416-EFEITO!$M$1416*EFEITO!$Z$1416</f>
        <v>0</v>
      </c>
      <c r="O1416" s="74">
        <f>$L$1416-EFEITO!$O$1416*EFEITO!$AA$1416</f>
        <v>0</v>
      </c>
      <c r="P1416" s="57"/>
      <c r="Q1416" s="57"/>
      <c r="R1416" s="57"/>
      <c r="S1416" s="57"/>
      <c r="T1416" s="57"/>
      <c r="U1416" s="57"/>
      <c r="V1416" s="57"/>
      <c r="W1416" s="57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</row>
    <row r="1417" spans="1:36" ht="11.25" customHeight="1" x14ac:dyDescent="0.2">
      <c r="A1417" s="53" t="s">
        <v>27</v>
      </c>
      <c r="B1417" s="53" t="s">
        <v>44</v>
      </c>
      <c r="C1417" s="53" t="s">
        <v>41</v>
      </c>
      <c r="D1417" s="53" t="s">
        <v>48</v>
      </c>
      <c r="E1417" s="53" t="s">
        <v>25</v>
      </c>
      <c r="F1417" s="53" t="s">
        <v>25</v>
      </c>
      <c r="G1417" s="53" t="s">
        <v>25</v>
      </c>
      <c r="H1417" s="53" t="s">
        <v>36</v>
      </c>
      <c r="I1417" s="73">
        <v>44013</v>
      </c>
      <c r="J1417" s="74">
        <f ca="1">EFEITO!$J$1417*EFEITO!$Y$1417</f>
        <v>6976.2334613221938</v>
      </c>
      <c r="K1417" s="74">
        <f ca="1">EFEITO!$L$1417*EFEITO!$Z$1417</f>
        <v>6585.3177854656678</v>
      </c>
      <c r="L1417" s="74">
        <f>EFEITO!$N$1417*EFEITO!$AA$1417</f>
        <v>13454.864398051503</v>
      </c>
      <c r="M1417" s="74">
        <f ca="1">$J$1417-EFEITO!$K$1417*EFEITO!$Y$1417</f>
        <v>0</v>
      </c>
      <c r="N1417" s="74">
        <f ca="1">$K$1417-EFEITO!$M$1417*EFEITO!$Z$1417</f>
        <v>0</v>
      </c>
      <c r="O1417" s="74">
        <f>$L$1417-EFEITO!$O$1417*EFEITO!$AA$1417</f>
        <v>0</v>
      </c>
      <c r="P1417" s="57"/>
      <c r="Q1417" s="57"/>
      <c r="R1417" s="57"/>
      <c r="S1417" s="57"/>
      <c r="T1417" s="57"/>
      <c r="U1417" s="57"/>
      <c r="V1417" s="57"/>
      <c r="W1417" s="57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</row>
    <row r="1418" spans="1:36" ht="11.25" customHeight="1" x14ac:dyDescent="0.2">
      <c r="A1418" s="53" t="s">
        <v>21</v>
      </c>
      <c r="B1418" s="53" t="s">
        <v>44</v>
      </c>
      <c r="C1418" s="53" t="s">
        <v>41</v>
      </c>
      <c r="D1418" s="53" t="s">
        <v>48</v>
      </c>
      <c r="E1418" s="53" t="s">
        <v>25</v>
      </c>
      <c r="F1418" s="53" t="s">
        <v>25</v>
      </c>
      <c r="G1418" s="53" t="s">
        <v>25</v>
      </c>
      <c r="H1418" s="53" t="s">
        <v>36</v>
      </c>
      <c r="I1418" s="73">
        <v>44044</v>
      </c>
      <c r="J1418" s="74">
        <f ca="1">EFEITO!$J$1418*EFEITO!$Y$1418</f>
        <v>226279.57250004233</v>
      </c>
      <c r="K1418" s="74">
        <f ca="1">EFEITO!$L$1418*EFEITO!$Z$1418</f>
        <v>272854.70227926219</v>
      </c>
      <c r="L1418" s="74">
        <f>EFEITO!$N$1418*EFEITO!$AA$1418</f>
        <v>557486.08330502675</v>
      </c>
      <c r="M1418" s="74">
        <f ca="1">$J$1418-EFEITO!$K$1418*EFEITO!$Y$1418</f>
        <v>0</v>
      </c>
      <c r="N1418" s="74">
        <f ca="1">$K$1418-EFEITO!$M$1418*EFEITO!$Z$1418</f>
        <v>0</v>
      </c>
      <c r="O1418" s="74">
        <f>$L$1418-EFEITO!$O$1418*EFEITO!$AA$1418</f>
        <v>0</v>
      </c>
      <c r="P1418" s="57"/>
      <c r="Q1418" s="57"/>
      <c r="R1418" s="57"/>
      <c r="S1418" s="57"/>
      <c r="T1418" s="57"/>
      <c r="U1418" s="57"/>
      <c r="V1418" s="57"/>
      <c r="W1418" s="57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</row>
    <row r="1419" spans="1:36" ht="11.25" customHeight="1" x14ac:dyDescent="0.2">
      <c r="A1419" s="53" t="s">
        <v>27</v>
      </c>
      <c r="B1419" s="53" t="s">
        <v>44</v>
      </c>
      <c r="C1419" s="53" t="s">
        <v>41</v>
      </c>
      <c r="D1419" s="53" t="s">
        <v>48</v>
      </c>
      <c r="E1419" s="53" t="s">
        <v>25</v>
      </c>
      <c r="F1419" s="53" t="s">
        <v>25</v>
      </c>
      <c r="G1419" s="53" t="s">
        <v>25</v>
      </c>
      <c r="H1419" s="53" t="s">
        <v>36</v>
      </c>
      <c r="I1419" s="73">
        <v>44044</v>
      </c>
      <c r="J1419" s="74">
        <f ca="1">EFEITO!$J$1419*EFEITO!$Y$1419</f>
        <v>6976.2334613221938</v>
      </c>
      <c r="K1419" s="74">
        <f ca="1">EFEITO!$L$1419*EFEITO!$Z$1419</f>
        <v>15498.680079017142</v>
      </c>
      <c r="L1419" s="74">
        <f>EFEITO!$N$1419*EFEITO!$AA$1419</f>
        <v>31666.298515191826</v>
      </c>
      <c r="M1419" s="74">
        <f ca="1">$J$1419-EFEITO!$K$1419*EFEITO!$Y$1419</f>
        <v>0</v>
      </c>
      <c r="N1419" s="74">
        <f ca="1">$K$1419-EFEITO!$M$1419*EFEITO!$Z$1419</f>
        <v>0</v>
      </c>
      <c r="O1419" s="74">
        <f>$L$1419-EFEITO!$O$1419*EFEITO!$AA$1419</f>
        <v>0</v>
      </c>
      <c r="P1419" s="57"/>
      <c r="Q1419" s="57"/>
      <c r="R1419" s="57"/>
      <c r="S1419" s="57"/>
      <c r="T1419" s="57"/>
      <c r="U1419" s="57"/>
      <c r="V1419" s="57"/>
      <c r="W1419" s="57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</row>
    <row r="1420" spans="1:36" ht="11.25" customHeight="1" x14ac:dyDescent="0.2">
      <c r="A1420" s="53" t="s">
        <v>59</v>
      </c>
      <c r="B1420" s="53" t="s">
        <v>44</v>
      </c>
      <c r="C1420" s="53" t="s">
        <v>41</v>
      </c>
      <c r="D1420" s="53" t="s">
        <v>48</v>
      </c>
      <c r="E1420" s="53" t="s">
        <v>25</v>
      </c>
      <c r="F1420" s="53" t="s">
        <v>25</v>
      </c>
      <c r="G1420" s="53" t="s">
        <v>25</v>
      </c>
      <c r="H1420" s="53" t="s">
        <v>36</v>
      </c>
      <c r="I1420" s="73">
        <v>44075</v>
      </c>
      <c r="J1420" s="74">
        <f ca="1">EFEITO!$J$1420*EFEITO!$Y$1420</f>
        <v>226279.57250004233</v>
      </c>
      <c r="K1420" s="74">
        <f ca="1">EFEITO!$L$1420*EFEITO!$Z$1420</f>
        <v>272854.70227926219</v>
      </c>
      <c r="L1420" s="74">
        <f>EFEITO!$N$1420*EFEITO!$AA$1420</f>
        <v>557486.08330502675</v>
      </c>
      <c r="M1420" s="74">
        <f ca="1">$J$1420-EFEITO!$K$1420*EFEITO!$Y$1420</f>
        <v>0</v>
      </c>
      <c r="N1420" s="74">
        <f ca="1">$K$1420-EFEITO!$M$1420*EFEITO!$Z$1420</f>
        <v>0</v>
      </c>
      <c r="O1420" s="74">
        <f>$L$1420-EFEITO!$O$1420*EFEITO!$AA$1420</f>
        <v>0</v>
      </c>
      <c r="P1420" s="57"/>
      <c r="Q1420" s="57"/>
      <c r="R1420" s="57"/>
      <c r="S1420" s="57"/>
      <c r="T1420" s="57"/>
      <c r="U1420" s="57"/>
      <c r="V1420" s="57"/>
      <c r="W1420" s="57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</row>
    <row r="1421" spans="1:36" ht="11.25" customHeight="1" x14ac:dyDescent="0.2">
      <c r="A1421" s="53" t="s">
        <v>59</v>
      </c>
      <c r="B1421" s="53" t="s">
        <v>44</v>
      </c>
      <c r="C1421" s="53" t="s">
        <v>41</v>
      </c>
      <c r="D1421" s="53" t="s">
        <v>48</v>
      </c>
      <c r="E1421" s="53" t="s">
        <v>25</v>
      </c>
      <c r="F1421" s="53" t="s">
        <v>25</v>
      </c>
      <c r="G1421" s="53" t="s">
        <v>25</v>
      </c>
      <c r="H1421" s="53" t="s">
        <v>36</v>
      </c>
      <c r="I1421" s="73">
        <v>44075</v>
      </c>
      <c r="J1421" s="74">
        <f ca="1">EFEITO!$J$1421*EFEITO!$Y$1421</f>
        <v>6976.2334613221938</v>
      </c>
      <c r="K1421" s="74">
        <f ca="1">EFEITO!$L$1421*EFEITO!$Z$1421</f>
        <v>15498.680079017142</v>
      </c>
      <c r="L1421" s="74">
        <f>EFEITO!$N$1421*EFEITO!$AA$1421</f>
        <v>31666.298515191826</v>
      </c>
      <c r="M1421" s="74">
        <f ca="1">$J$1421-EFEITO!$K$1421*EFEITO!$Y$1421</f>
        <v>0</v>
      </c>
      <c r="N1421" s="74">
        <f ca="1">$K$1421-EFEITO!$M$1421*EFEITO!$Z$1421</f>
        <v>0</v>
      </c>
      <c r="O1421" s="74">
        <f>$L$1421-EFEITO!$O$1421*EFEITO!$AA$1421</f>
        <v>0</v>
      </c>
      <c r="P1421" s="57"/>
      <c r="Q1421" s="57"/>
      <c r="R1421" s="57"/>
      <c r="S1421" s="57"/>
      <c r="T1421" s="57"/>
      <c r="U1421" s="57"/>
      <c r="V1421" s="57"/>
      <c r="W1421" s="57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</row>
    <row r="1422" spans="1:36" ht="11.25" customHeight="1" x14ac:dyDescent="0.2">
      <c r="A1422" s="53" t="s">
        <v>21</v>
      </c>
      <c r="B1422" s="53" t="s">
        <v>44</v>
      </c>
      <c r="C1422" s="53" t="s">
        <v>41</v>
      </c>
      <c r="D1422" s="53" t="s">
        <v>48</v>
      </c>
      <c r="E1422" s="53" t="s">
        <v>25</v>
      </c>
      <c r="F1422" s="53" t="s">
        <v>25</v>
      </c>
      <c r="G1422" s="53" t="s">
        <v>25</v>
      </c>
      <c r="H1422" s="53" t="s">
        <v>35</v>
      </c>
      <c r="I1422" s="73">
        <v>43739</v>
      </c>
      <c r="J1422" s="74">
        <f ca="1">EFEITO!$J$1422*EFEITO!$Y$1422</f>
        <v>648459.01582492061</v>
      </c>
      <c r="K1422" s="74">
        <f ca="1">EFEITO!$L$1422*EFEITO!$Z$1422</f>
        <v>52044.6630595842</v>
      </c>
      <c r="L1422" s="74">
        <f>EFEITO!$N$1422*EFEITO!$AA$1422</f>
        <v>173065.43444219159</v>
      </c>
      <c r="M1422" s="74">
        <f ca="1">$J$1422-EFEITO!$K$1422*EFEITO!$Y$1422</f>
        <v>0</v>
      </c>
      <c r="N1422" s="74">
        <f ca="1">$K$1422-EFEITO!$M$1422*EFEITO!$Z$1422</f>
        <v>0</v>
      </c>
      <c r="O1422" s="74">
        <f>$L$1422-EFEITO!$O$1422*EFEITO!$AA$1422</f>
        <v>0</v>
      </c>
      <c r="P1422" s="57"/>
      <c r="Q1422" s="57"/>
      <c r="R1422" s="57"/>
      <c r="S1422" s="57"/>
      <c r="T1422" s="57"/>
      <c r="U1422" s="57"/>
      <c r="V1422" s="57"/>
      <c r="W1422" s="57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</row>
    <row r="1423" spans="1:36" ht="11.25" customHeight="1" x14ac:dyDescent="0.2">
      <c r="A1423" s="53" t="s">
        <v>27</v>
      </c>
      <c r="B1423" s="53" t="s">
        <v>44</v>
      </c>
      <c r="C1423" s="53" t="s">
        <v>41</v>
      </c>
      <c r="D1423" s="53" t="s">
        <v>48</v>
      </c>
      <c r="E1423" s="53" t="s">
        <v>25</v>
      </c>
      <c r="F1423" s="53" t="s">
        <v>25</v>
      </c>
      <c r="G1423" s="53" t="s">
        <v>25</v>
      </c>
      <c r="H1423" s="53" t="s">
        <v>35</v>
      </c>
      <c r="I1423" s="73">
        <v>43739</v>
      </c>
      <c r="J1423" s="74">
        <f ca="1">EFEITO!$J$1423*EFEITO!$Y$1423</f>
        <v>17671.858114835082</v>
      </c>
      <c r="K1423" s="74">
        <f ca="1">EFEITO!$L$1423*EFEITO!$Z$1423</f>
        <v>1831.7279243713094</v>
      </c>
      <c r="L1423" s="74">
        <f>EFEITO!$N$1423*EFEITO!$AA$1423</f>
        <v>6091.0911969644558</v>
      </c>
      <c r="M1423" s="74">
        <f ca="1">$J$1423-EFEITO!$K$1423*EFEITO!$Y$1423</f>
        <v>0</v>
      </c>
      <c r="N1423" s="74">
        <f ca="1">$K$1423-EFEITO!$M$1423*EFEITO!$Z$1423</f>
        <v>0</v>
      </c>
      <c r="O1423" s="74">
        <f>$L$1423-EFEITO!$O$1423*EFEITO!$AA$1423</f>
        <v>0</v>
      </c>
      <c r="P1423" s="57"/>
      <c r="Q1423" s="57"/>
      <c r="R1423" s="57"/>
      <c r="S1423" s="57"/>
      <c r="T1423" s="57"/>
      <c r="U1423" s="57"/>
      <c r="V1423" s="57"/>
      <c r="W1423" s="57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</row>
    <row r="1424" spans="1:36" ht="11.25" customHeight="1" x14ac:dyDescent="0.2">
      <c r="A1424" s="53" t="s">
        <v>21</v>
      </c>
      <c r="B1424" s="53" t="s">
        <v>44</v>
      </c>
      <c r="C1424" s="53" t="s">
        <v>41</v>
      </c>
      <c r="D1424" s="53" t="s">
        <v>48</v>
      </c>
      <c r="E1424" s="53" t="s">
        <v>25</v>
      </c>
      <c r="F1424" s="53" t="s">
        <v>25</v>
      </c>
      <c r="G1424" s="53" t="s">
        <v>25</v>
      </c>
      <c r="H1424" s="53" t="s">
        <v>35</v>
      </c>
      <c r="I1424" s="73">
        <v>43770</v>
      </c>
      <c r="J1424" s="74">
        <f ca="1">EFEITO!$J$1424*EFEITO!$Y$1424</f>
        <v>669861.59954177646</v>
      </c>
      <c r="K1424" s="74">
        <f ca="1">EFEITO!$L$1424*EFEITO!$Z$1424</f>
        <v>52251.86647741538</v>
      </c>
      <c r="L1424" s="74">
        <f>EFEITO!$N$1424*EFEITO!$AA$1424</f>
        <v>173754.45320831955</v>
      </c>
      <c r="M1424" s="74">
        <f ca="1">$J$1424-EFEITO!$K$1424*EFEITO!$Y$1424</f>
        <v>0</v>
      </c>
      <c r="N1424" s="74">
        <f ca="1">$K$1424-EFEITO!$M$1424*EFEITO!$Z$1424</f>
        <v>0</v>
      </c>
      <c r="O1424" s="74">
        <f>$L$1424-EFEITO!$O$1424*EFEITO!$AA$1424</f>
        <v>0</v>
      </c>
      <c r="P1424" s="57"/>
      <c r="Q1424" s="57"/>
      <c r="R1424" s="57"/>
      <c r="S1424" s="57"/>
      <c r="T1424" s="57"/>
      <c r="U1424" s="57"/>
      <c r="V1424" s="57"/>
      <c r="W1424" s="57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</row>
    <row r="1425" spans="1:36" ht="11.25" customHeight="1" x14ac:dyDescent="0.2">
      <c r="A1425" s="53" t="s">
        <v>27</v>
      </c>
      <c r="B1425" s="53" t="s">
        <v>44</v>
      </c>
      <c r="C1425" s="53" t="s">
        <v>41</v>
      </c>
      <c r="D1425" s="53" t="s">
        <v>48</v>
      </c>
      <c r="E1425" s="53" t="s">
        <v>25</v>
      </c>
      <c r="F1425" s="53" t="s">
        <v>25</v>
      </c>
      <c r="G1425" s="53" t="s">
        <v>25</v>
      </c>
      <c r="H1425" s="53" t="s">
        <v>35</v>
      </c>
      <c r="I1425" s="73">
        <v>43770</v>
      </c>
      <c r="J1425" s="74">
        <f ca="1">EFEITO!$J$1425*EFEITO!$Y$1425</f>
        <v>17671.858114835082</v>
      </c>
      <c r="K1425" s="74">
        <f ca="1">EFEITO!$L$1425*EFEITO!$Z$1425</f>
        <v>1864.3788446293311</v>
      </c>
      <c r="L1425" s="74">
        <f>EFEITO!$N$1425*EFEITO!$AA$1425</f>
        <v>6199.666127941</v>
      </c>
      <c r="M1425" s="74">
        <f ca="1">$J$1425-EFEITO!$K$1425*EFEITO!$Y$1425</f>
        <v>0</v>
      </c>
      <c r="N1425" s="74">
        <f ca="1">$K$1425-EFEITO!$M$1425*EFEITO!$Z$1425</f>
        <v>0</v>
      </c>
      <c r="O1425" s="74">
        <f>$L$1425-EFEITO!$O$1425*EFEITO!$AA$1425</f>
        <v>0</v>
      </c>
      <c r="P1425" s="57"/>
      <c r="Q1425" s="57"/>
      <c r="R1425" s="57"/>
      <c r="S1425" s="57"/>
      <c r="T1425" s="57"/>
      <c r="U1425" s="57"/>
      <c r="V1425" s="57"/>
      <c r="W1425" s="57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</row>
    <row r="1426" spans="1:36" ht="11.25" customHeight="1" x14ac:dyDescent="0.2">
      <c r="A1426" s="53" t="s">
        <v>21</v>
      </c>
      <c r="B1426" s="53" t="s">
        <v>44</v>
      </c>
      <c r="C1426" s="53" t="s">
        <v>41</v>
      </c>
      <c r="D1426" s="53" t="s">
        <v>48</v>
      </c>
      <c r="E1426" s="53" t="s">
        <v>25</v>
      </c>
      <c r="F1426" s="53" t="s">
        <v>25</v>
      </c>
      <c r="G1426" s="53" t="s">
        <v>25</v>
      </c>
      <c r="H1426" s="53" t="s">
        <v>35</v>
      </c>
      <c r="I1426" s="73">
        <v>43800</v>
      </c>
      <c r="J1426" s="74">
        <f ca="1">EFEITO!$J$1426*EFEITO!$Y$1426</f>
        <v>676881.25429294701</v>
      </c>
      <c r="K1426" s="74">
        <f ca="1">EFEITO!$L$1426*EFEITO!$Z$1426</f>
        <v>48287.660629617902</v>
      </c>
      <c r="L1426" s="74">
        <f>EFEITO!$N$1426*EFEITO!$AA$1426</f>
        <v>160572.17923563783</v>
      </c>
      <c r="M1426" s="74">
        <f ca="1">$J$1426-EFEITO!$K$1426*EFEITO!$Y$1426</f>
        <v>0</v>
      </c>
      <c r="N1426" s="74">
        <f ca="1">$K$1426-EFEITO!$M$1426*EFEITO!$Z$1426</f>
        <v>0</v>
      </c>
      <c r="O1426" s="74">
        <f>$L$1426-EFEITO!$O$1426*EFEITO!$AA$1426</f>
        <v>0</v>
      </c>
      <c r="P1426" s="57"/>
      <c r="Q1426" s="57"/>
      <c r="R1426" s="57"/>
      <c r="S1426" s="57"/>
      <c r="T1426" s="57"/>
      <c r="U1426" s="57"/>
      <c r="V1426" s="57"/>
      <c r="W1426" s="57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</row>
    <row r="1427" spans="1:36" ht="11.25" customHeight="1" x14ac:dyDescent="0.2">
      <c r="A1427" s="53" t="s">
        <v>27</v>
      </c>
      <c r="B1427" s="53" t="s">
        <v>44</v>
      </c>
      <c r="C1427" s="53" t="s">
        <v>41</v>
      </c>
      <c r="D1427" s="53" t="s">
        <v>48</v>
      </c>
      <c r="E1427" s="53" t="s">
        <v>25</v>
      </c>
      <c r="F1427" s="53" t="s">
        <v>25</v>
      </c>
      <c r="G1427" s="53" t="s">
        <v>25</v>
      </c>
      <c r="H1427" s="53" t="s">
        <v>35</v>
      </c>
      <c r="I1427" s="73">
        <v>43800</v>
      </c>
      <c r="J1427" s="74">
        <f ca="1">EFEITO!$J$1427*EFEITO!$Y$1427</f>
        <v>17671.858114835082</v>
      </c>
      <c r="K1427" s="74">
        <f ca="1">EFEITO!$L$1427*EFEITO!$Z$1427</f>
        <v>1710.1625603656639</v>
      </c>
      <c r="L1427" s="74">
        <f>EFEITO!$N$1427*EFEITO!$AA$1427</f>
        <v>5686.8468172732355</v>
      </c>
      <c r="M1427" s="74">
        <f ca="1">$J$1427-EFEITO!$K$1427*EFEITO!$Y$1427</f>
        <v>0</v>
      </c>
      <c r="N1427" s="74">
        <f ca="1">$K$1427-EFEITO!$M$1427*EFEITO!$Z$1427</f>
        <v>0</v>
      </c>
      <c r="O1427" s="74">
        <f>$L$1427-EFEITO!$O$1427*EFEITO!$AA$1427</f>
        <v>0</v>
      </c>
      <c r="P1427" s="57"/>
      <c r="Q1427" s="57"/>
      <c r="R1427" s="57"/>
      <c r="S1427" s="57"/>
      <c r="T1427" s="57"/>
      <c r="U1427" s="57"/>
      <c r="V1427" s="57"/>
      <c r="W1427" s="57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</row>
    <row r="1428" spans="1:36" ht="11.25" customHeight="1" x14ac:dyDescent="0.2">
      <c r="A1428" s="53" t="s">
        <v>21</v>
      </c>
      <c r="B1428" s="53" t="s">
        <v>44</v>
      </c>
      <c r="C1428" s="53" t="s">
        <v>41</v>
      </c>
      <c r="D1428" s="53" t="s">
        <v>48</v>
      </c>
      <c r="E1428" s="53" t="s">
        <v>25</v>
      </c>
      <c r="F1428" s="53" t="s">
        <v>25</v>
      </c>
      <c r="G1428" s="53" t="s">
        <v>25</v>
      </c>
      <c r="H1428" s="53" t="s">
        <v>35</v>
      </c>
      <c r="I1428" s="73">
        <v>43831</v>
      </c>
      <c r="J1428" s="74">
        <f ca="1">EFEITO!$J$1428*EFEITO!$Y$1428</f>
        <v>683410.02409648336</v>
      </c>
      <c r="K1428" s="74">
        <f ca="1">EFEITO!$L$1428*EFEITO!$Z$1428</f>
        <v>45767.212947831715</v>
      </c>
      <c r="L1428" s="74">
        <f>EFEITO!$N$1428*EFEITO!$AA$1428</f>
        <v>152190.87080949338</v>
      </c>
      <c r="M1428" s="74">
        <f ca="1">$J$1428-EFEITO!$K$1428*EFEITO!$Y$1428</f>
        <v>0</v>
      </c>
      <c r="N1428" s="74">
        <f ca="1">$K$1428-EFEITO!$M$1428*EFEITO!$Z$1428</f>
        <v>0</v>
      </c>
      <c r="O1428" s="74">
        <f>$L$1428-EFEITO!$O$1428*EFEITO!$AA$1428</f>
        <v>0</v>
      </c>
      <c r="P1428" s="57"/>
      <c r="Q1428" s="57"/>
      <c r="R1428" s="57"/>
      <c r="S1428" s="57"/>
      <c r="T1428" s="57"/>
      <c r="U1428" s="57"/>
      <c r="V1428" s="57"/>
      <c r="W1428" s="57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</row>
    <row r="1429" spans="1:36" ht="11.25" customHeight="1" x14ac:dyDescent="0.2">
      <c r="A1429" s="53" t="s">
        <v>27</v>
      </c>
      <c r="B1429" s="53" t="s">
        <v>44</v>
      </c>
      <c r="C1429" s="53" t="s">
        <v>41</v>
      </c>
      <c r="D1429" s="53" t="s">
        <v>48</v>
      </c>
      <c r="E1429" s="53" t="s">
        <v>25</v>
      </c>
      <c r="F1429" s="53" t="s">
        <v>25</v>
      </c>
      <c r="G1429" s="53" t="s">
        <v>25</v>
      </c>
      <c r="H1429" s="53" t="s">
        <v>35</v>
      </c>
      <c r="I1429" s="73">
        <v>43831</v>
      </c>
      <c r="J1429" s="74">
        <f ca="1">EFEITO!$J$1429*EFEITO!$Y$1429</f>
        <v>17671.858114835082</v>
      </c>
      <c r="K1429" s="74">
        <f ca="1">EFEITO!$L$1429*EFEITO!$Z$1429</f>
        <v>1476.5220652321373</v>
      </c>
      <c r="L1429" s="74">
        <f>EFEITO!$N$1429*EFEITO!$AA$1429</f>
        <v>4909.9161693165033</v>
      </c>
      <c r="M1429" s="74">
        <f ca="1">$J$1429-EFEITO!$K$1429*EFEITO!$Y$1429</f>
        <v>0</v>
      </c>
      <c r="N1429" s="74">
        <f ca="1">$K$1429-EFEITO!$M$1429*EFEITO!$Z$1429</f>
        <v>0</v>
      </c>
      <c r="O1429" s="74">
        <f>$L$1429-EFEITO!$O$1429*EFEITO!$AA$1429</f>
        <v>0</v>
      </c>
      <c r="P1429" s="57"/>
      <c r="Q1429" s="57"/>
      <c r="R1429" s="57"/>
      <c r="S1429" s="57"/>
      <c r="T1429" s="57"/>
      <c r="U1429" s="57"/>
      <c r="V1429" s="57"/>
      <c r="W1429" s="57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</row>
    <row r="1430" spans="1:36" ht="11.25" customHeight="1" x14ac:dyDescent="0.2">
      <c r="A1430" s="53" t="s">
        <v>21</v>
      </c>
      <c r="B1430" s="53" t="s">
        <v>44</v>
      </c>
      <c r="C1430" s="53" t="s">
        <v>41</v>
      </c>
      <c r="D1430" s="53" t="s">
        <v>48</v>
      </c>
      <c r="E1430" s="53" t="s">
        <v>25</v>
      </c>
      <c r="F1430" s="53" t="s">
        <v>25</v>
      </c>
      <c r="G1430" s="53" t="s">
        <v>25</v>
      </c>
      <c r="H1430" s="53" t="s">
        <v>35</v>
      </c>
      <c r="I1430" s="73">
        <v>43862</v>
      </c>
      <c r="J1430" s="74">
        <f ca="1">EFEITO!$J$1430*EFEITO!$Y$1430</f>
        <v>686355.33378228918</v>
      </c>
      <c r="K1430" s="74">
        <f ca="1">EFEITO!$L$1430*EFEITO!$Z$1430</f>
        <v>50263.775668486625</v>
      </c>
      <c r="L1430" s="74">
        <f>EFEITO!$N$1430*EFEITO!$AA$1430</f>
        <v>167143.40455643626</v>
      </c>
      <c r="M1430" s="74">
        <f ca="1">$J$1430-EFEITO!$K$1430*EFEITO!$Y$1430</f>
        <v>0</v>
      </c>
      <c r="N1430" s="74">
        <f ca="1">$K$1430-EFEITO!$M$1430*EFEITO!$Z$1430</f>
        <v>0</v>
      </c>
      <c r="O1430" s="74">
        <f>$L$1430-EFEITO!$O$1430*EFEITO!$AA$1430</f>
        <v>0</v>
      </c>
      <c r="P1430" s="57"/>
      <c r="Q1430" s="57"/>
      <c r="R1430" s="57"/>
      <c r="S1430" s="57"/>
      <c r="T1430" s="57"/>
      <c r="U1430" s="57"/>
      <c r="V1430" s="57"/>
      <c r="W1430" s="57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</row>
    <row r="1431" spans="1:36" ht="11.25" customHeight="1" x14ac:dyDescent="0.2">
      <c r="A1431" s="53" t="s">
        <v>27</v>
      </c>
      <c r="B1431" s="53" t="s">
        <v>44</v>
      </c>
      <c r="C1431" s="53" t="s">
        <v>41</v>
      </c>
      <c r="D1431" s="53" t="s">
        <v>48</v>
      </c>
      <c r="E1431" s="53" t="s">
        <v>25</v>
      </c>
      <c r="F1431" s="53" t="s">
        <v>25</v>
      </c>
      <c r="G1431" s="53" t="s">
        <v>25</v>
      </c>
      <c r="H1431" s="53" t="s">
        <v>35</v>
      </c>
      <c r="I1431" s="73">
        <v>43862</v>
      </c>
      <c r="J1431" s="74">
        <f ca="1">EFEITO!$J$1431*EFEITO!$Y$1431</f>
        <v>17671.858114835082</v>
      </c>
      <c r="K1431" s="74">
        <f ca="1">EFEITO!$L$1431*EFEITO!$Z$1431</f>
        <v>1907.1978715421003</v>
      </c>
      <c r="L1431" s="74">
        <f>EFEITO!$N$1431*EFEITO!$AA$1431</f>
        <v>6342.0533211593765</v>
      </c>
      <c r="M1431" s="74">
        <f ca="1">$J$1431-EFEITO!$K$1431*EFEITO!$Y$1431</f>
        <v>0</v>
      </c>
      <c r="N1431" s="74">
        <f ca="1">$K$1431-EFEITO!$M$1431*EFEITO!$Z$1431</f>
        <v>0</v>
      </c>
      <c r="O1431" s="74">
        <f>$L$1431-EFEITO!$O$1431*EFEITO!$AA$1431</f>
        <v>0</v>
      </c>
      <c r="P1431" s="57"/>
      <c r="Q1431" s="57"/>
      <c r="R1431" s="57"/>
      <c r="S1431" s="57"/>
      <c r="T1431" s="57"/>
      <c r="U1431" s="57"/>
      <c r="V1431" s="57"/>
      <c r="W1431" s="57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</row>
    <row r="1432" spans="1:36" ht="11.25" customHeight="1" x14ac:dyDescent="0.2">
      <c r="A1432" s="53" t="s">
        <v>21</v>
      </c>
      <c r="B1432" s="53" t="s">
        <v>44</v>
      </c>
      <c r="C1432" s="53" t="s">
        <v>41</v>
      </c>
      <c r="D1432" s="53" t="s">
        <v>48</v>
      </c>
      <c r="E1432" s="53" t="s">
        <v>25</v>
      </c>
      <c r="F1432" s="53" t="s">
        <v>25</v>
      </c>
      <c r="G1432" s="53" t="s">
        <v>25</v>
      </c>
      <c r="H1432" s="53" t="s">
        <v>35</v>
      </c>
      <c r="I1432" s="73">
        <v>43891</v>
      </c>
      <c r="J1432" s="74">
        <f ca="1">EFEITO!$J$1432*EFEITO!$Y$1432</f>
        <v>683410.02409648336</v>
      </c>
      <c r="K1432" s="74">
        <f ca="1">EFEITO!$L$1432*EFEITO!$Z$1432</f>
        <v>44961.446984924405</v>
      </c>
      <c r="L1432" s="74">
        <f>EFEITO!$N$1432*EFEITO!$AA$1432</f>
        <v>149511.43687272965</v>
      </c>
      <c r="M1432" s="74">
        <f ca="1">$J$1432-EFEITO!$K$1432*EFEITO!$Y$1432</f>
        <v>0</v>
      </c>
      <c r="N1432" s="74">
        <f ca="1">$K$1432-EFEITO!$M$1432*EFEITO!$Z$1432</f>
        <v>0</v>
      </c>
      <c r="O1432" s="74">
        <f>$L$1432-EFEITO!$O$1432*EFEITO!$AA$1432</f>
        <v>0</v>
      </c>
      <c r="P1432" s="57"/>
      <c r="Q1432" s="57"/>
      <c r="R1432" s="57"/>
      <c r="S1432" s="57"/>
      <c r="T1432" s="57"/>
      <c r="U1432" s="57"/>
      <c r="V1432" s="57"/>
      <c r="W1432" s="57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</row>
    <row r="1433" spans="1:36" ht="11.25" customHeight="1" x14ac:dyDescent="0.2">
      <c r="A1433" s="53" t="s">
        <v>27</v>
      </c>
      <c r="B1433" s="53" t="s">
        <v>44</v>
      </c>
      <c r="C1433" s="53" t="s">
        <v>41</v>
      </c>
      <c r="D1433" s="53" t="s">
        <v>48</v>
      </c>
      <c r="E1433" s="53" t="s">
        <v>25</v>
      </c>
      <c r="F1433" s="53" t="s">
        <v>25</v>
      </c>
      <c r="G1433" s="53" t="s">
        <v>25</v>
      </c>
      <c r="H1433" s="53" t="s">
        <v>35</v>
      </c>
      <c r="I1433" s="73">
        <v>43891</v>
      </c>
      <c r="J1433" s="74">
        <f ca="1">EFEITO!$J$1433*EFEITO!$Y$1433</f>
        <v>17671.858114835082</v>
      </c>
      <c r="K1433" s="74">
        <f ca="1">EFEITO!$L$1433*EFEITO!$Z$1433</f>
        <v>1618.3106635844467</v>
      </c>
      <c r="L1433" s="74">
        <f>EFEITO!$N$1433*EFEITO!$AA$1433</f>
        <v>5381.409381688698</v>
      </c>
      <c r="M1433" s="74">
        <f ca="1">$J$1433-EFEITO!$K$1433*EFEITO!$Y$1433</f>
        <v>0</v>
      </c>
      <c r="N1433" s="74">
        <f ca="1">$K$1433-EFEITO!$M$1433*EFEITO!$Z$1433</f>
        <v>0</v>
      </c>
      <c r="O1433" s="74">
        <f>$L$1433-EFEITO!$O$1433*EFEITO!$AA$1433</f>
        <v>0</v>
      </c>
      <c r="P1433" s="57"/>
      <c r="Q1433" s="57"/>
      <c r="R1433" s="57"/>
      <c r="S1433" s="57"/>
      <c r="T1433" s="57"/>
      <c r="U1433" s="57"/>
      <c r="V1433" s="57"/>
      <c r="W1433" s="57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</row>
    <row r="1434" spans="1:36" ht="11.25" customHeight="1" x14ac:dyDescent="0.2">
      <c r="A1434" s="53" t="s">
        <v>21</v>
      </c>
      <c r="B1434" s="53" t="s">
        <v>44</v>
      </c>
      <c r="C1434" s="53" t="s">
        <v>41</v>
      </c>
      <c r="D1434" s="53" t="s">
        <v>48</v>
      </c>
      <c r="E1434" s="53" t="s">
        <v>25</v>
      </c>
      <c r="F1434" s="53" t="s">
        <v>25</v>
      </c>
      <c r="G1434" s="53" t="s">
        <v>25</v>
      </c>
      <c r="H1434" s="53" t="s">
        <v>35</v>
      </c>
      <c r="I1434" s="73">
        <v>43922</v>
      </c>
      <c r="J1434" s="74">
        <f ca="1">EFEITO!$J$1434*EFEITO!$Y$1434</f>
        <v>682820.96215932211</v>
      </c>
      <c r="K1434" s="74">
        <f ca="1">EFEITO!$L$1434*EFEITO!$Z$1434</f>
        <v>42925.340116792671</v>
      </c>
      <c r="L1434" s="74">
        <f>EFEITO!$N$1434*EFEITO!$AA$1434</f>
        <v>142740.71920470436</v>
      </c>
      <c r="M1434" s="74">
        <f ca="1">$J$1434-EFEITO!$K$1434*EFEITO!$Y$1434</f>
        <v>0</v>
      </c>
      <c r="N1434" s="74">
        <f ca="1">$K$1434-EFEITO!$M$1434*EFEITO!$Z$1434</f>
        <v>0</v>
      </c>
      <c r="O1434" s="74">
        <f>$L$1434-EFEITO!$O$1434*EFEITO!$AA$1434</f>
        <v>0</v>
      </c>
      <c r="P1434" s="57"/>
      <c r="Q1434" s="57"/>
      <c r="R1434" s="57"/>
      <c r="S1434" s="57"/>
      <c r="T1434" s="57"/>
      <c r="U1434" s="57"/>
      <c r="V1434" s="57"/>
      <c r="W1434" s="57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</row>
    <row r="1435" spans="1:36" ht="11.25" customHeight="1" x14ac:dyDescent="0.2">
      <c r="A1435" s="53" t="s">
        <v>27</v>
      </c>
      <c r="B1435" s="53" t="s">
        <v>44</v>
      </c>
      <c r="C1435" s="53" t="s">
        <v>41</v>
      </c>
      <c r="D1435" s="53" t="s">
        <v>48</v>
      </c>
      <c r="E1435" s="53" t="s">
        <v>25</v>
      </c>
      <c r="F1435" s="53" t="s">
        <v>25</v>
      </c>
      <c r="G1435" s="53" t="s">
        <v>25</v>
      </c>
      <c r="H1435" s="53" t="s">
        <v>35</v>
      </c>
      <c r="I1435" s="73">
        <v>43922</v>
      </c>
      <c r="J1435" s="74">
        <f ca="1">EFEITO!$J$1435*EFEITO!$Y$1435</f>
        <v>17671.858114835082</v>
      </c>
      <c r="K1435" s="74">
        <f ca="1">EFEITO!$L$1435*EFEITO!$Z$1435</f>
        <v>1563.8548035001336</v>
      </c>
      <c r="L1435" s="74">
        <f>EFEITO!$N$1435*EFEITO!$AA$1435</f>
        <v>5200.3259327935602</v>
      </c>
      <c r="M1435" s="74">
        <f ca="1">$J$1435-EFEITO!$K$1435*EFEITO!$Y$1435</f>
        <v>0</v>
      </c>
      <c r="N1435" s="74">
        <f ca="1">$K$1435-EFEITO!$M$1435*EFEITO!$Z$1435</f>
        <v>0</v>
      </c>
      <c r="O1435" s="74">
        <f>$L$1435-EFEITO!$O$1435*EFEITO!$AA$1435</f>
        <v>0</v>
      </c>
      <c r="P1435" s="57"/>
      <c r="Q1435" s="57"/>
      <c r="R1435" s="57"/>
      <c r="S1435" s="57"/>
      <c r="T1435" s="57"/>
      <c r="U1435" s="57"/>
      <c r="V1435" s="57"/>
      <c r="W1435" s="57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</row>
    <row r="1436" spans="1:36" ht="11.25" customHeight="1" x14ac:dyDescent="0.2">
      <c r="A1436" s="53" t="s">
        <v>21</v>
      </c>
      <c r="B1436" s="53" t="s">
        <v>44</v>
      </c>
      <c r="C1436" s="53" t="s">
        <v>41</v>
      </c>
      <c r="D1436" s="53" t="s">
        <v>48</v>
      </c>
      <c r="E1436" s="53" t="s">
        <v>25</v>
      </c>
      <c r="F1436" s="53" t="s">
        <v>25</v>
      </c>
      <c r="G1436" s="53" t="s">
        <v>25</v>
      </c>
      <c r="H1436" s="53" t="s">
        <v>35</v>
      </c>
      <c r="I1436" s="73">
        <v>43952</v>
      </c>
      <c r="J1436" s="74">
        <f ca="1">EFEITO!$J$1436*EFEITO!$Y$1436</f>
        <v>668585.29867792723</v>
      </c>
      <c r="K1436" s="74">
        <f ca="1">EFEITO!$L$1436*EFEITO!$Z$1436</f>
        <v>31600.102924735143</v>
      </c>
      <c r="L1436" s="74">
        <f>EFEITO!$N$1436*EFEITO!$AA$1436</f>
        <v>105080.62151975336</v>
      </c>
      <c r="M1436" s="74">
        <f ca="1">$J$1436-EFEITO!$K$1436*EFEITO!$Y$1436</f>
        <v>0</v>
      </c>
      <c r="N1436" s="74">
        <f ca="1">$K$1436-EFEITO!$M$1436*EFEITO!$Z$1436</f>
        <v>0</v>
      </c>
      <c r="O1436" s="74">
        <f>$L$1436-EFEITO!$O$1436*EFEITO!$AA$1436</f>
        <v>0</v>
      </c>
      <c r="P1436" s="57"/>
      <c r="Q1436" s="57"/>
      <c r="R1436" s="57"/>
      <c r="S1436" s="57"/>
      <c r="T1436" s="57"/>
      <c r="U1436" s="57"/>
      <c r="V1436" s="57"/>
      <c r="W1436" s="57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</row>
    <row r="1437" spans="1:36" ht="11.25" customHeight="1" x14ac:dyDescent="0.2">
      <c r="A1437" s="53" t="s">
        <v>27</v>
      </c>
      <c r="B1437" s="53" t="s">
        <v>44</v>
      </c>
      <c r="C1437" s="53" t="s">
        <v>41</v>
      </c>
      <c r="D1437" s="53" t="s">
        <v>48</v>
      </c>
      <c r="E1437" s="53" t="s">
        <v>25</v>
      </c>
      <c r="F1437" s="53" t="s">
        <v>25</v>
      </c>
      <c r="G1437" s="53" t="s">
        <v>25</v>
      </c>
      <c r="H1437" s="53" t="s">
        <v>35</v>
      </c>
      <c r="I1437" s="73">
        <v>43952</v>
      </c>
      <c r="J1437" s="74">
        <f ca="1">EFEITO!$J$1437*EFEITO!$Y$1437</f>
        <v>17671.858114835082</v>
      </c>
      <c r="K1437" s="74">
        <f ca="1">EFEITO!$L$1437*EFEITO!$Z$1437</f>
        <v>1532.4466518332474</v>
      </c>
      <c r="L1437" s="74">
        <f>EFEITO!$N$1437*EFEITO!$AA$1437</f>
        <v>5095.8836116465718</v>
      </c>
      <c r="M1437" s="74">
        <f ca="1">$J$1437-EFEITO!$K$1437*EFEITO!$Y$1437</f>
        <v>0</v>
      </c>
      <c r="N1437" s="74">
        <f ca="1">$K$1437-EFEITO!$M$1437*EFEITO!$Z$1437</f>
        <v>0</v>
      </c>
      <c r="O1437" s="74">
        <f>$L$1437-EFEITO!$O$1437*EFEITO!$AA$1437</f>
        <v>0</v>
      </c>
      <c r="P1437" s="57"/>
      <c r="Q1437" s="57"/>
      <c r="R1437" s="57"/>
      <c r="S1437" s="57"/>
      <c r="T1437" s="57"/>
      <c r="U1437" s="57"/>
      <c r="V1437" s="57"/>
      <c r="W1437" s="57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</row>
    <row r="1438" spans="1:36" ht="11.25" customHeight="1" x14ac:dyDescent="0.2">
      <c r="A1438" s="53" t="s">
        <v>21</v>
      </c>
      <c r="B1438" s="53" t="s">
        <v>44</v>
      </c>
      <c r="C1438" s="53" t="s">
        <v>41</v>
      </c>
      <c r="D1438" s="53" t="s">
        <v>48</v>
      </c>
      <c r="E1438" s="53" t="s">
        <v>25</v>
      </c>
      <c r="F1438" s="53" t="s">
        <v>25</v>
      </c>
      <c r="G1438" s="53" t="s">
        <v>25</v>
      </c>
      <c r="H1438" s="53" t="s">
        <v>35</v>
      </c>
      <c r="I1438" s="73">
        <v>43983</v>
      </c>
      <c r="J1438" s="74">
        <f ca="1">EFEITO!$J$1438*EFEITO!$Y$1438</f>
        <v>581207.77799902041</v>
      </c>
      <c r="K1438" s="74">
        <f ca="1">EFEITO!$L$1438*EFEITO!$Z$1438</f>
        <v>31683.70735722973</v>
      </c>
      <c r="L1438" s="74">
        <f>EFEITO!$N$1438*EFEITO!$AA$1438</f>
        <v>105358.63345374176</v>
      </c>
      <c r="M1438" s="74">
        <f ca="1">$J$1438-EFEITO!$K$1438*EFEITO!$Y$1438</f>
        <v>0</v>
      </c>
      <c r="N1438" s="74">
        <f ca="1">$K$1438-EFEITO!$M$1438*EFEITO!$Z$1438</f>
        <v>0</v>
      </c>
      <c r="O1438" s="74">
        <f>$L$1438-EFEITO!$O$1438*EFEITO!$AA$1438</f>
        <v>0</v>
      </c>
      <c r="P1438" s="57"/>
      <c r="Q1438" s="57"/>
      <c r="R1438" s="57"/>
      <c r="S1438" s="57"/>
      <c r="T1438" s="57"/>
      <c r="U1438" s="57"/>
      <c r="V1438" s="57"/>
      <c r="W1438" s="57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</row>
    <row r="1439" spans="1:36" ht="11.25" customHeight="1" x14ac:dyDescent="0.2">
      <c r="A1439" s="53" t="s">
        <v>27</v>
      </c>
      <c r="B1439" s="53" t="s">
        <v>44</v>
      </c>
      <c r="C1439" s="53" t="s">
        <v>41</v>
      </c>
      <c r="D1439" s="53" t="s">
        <v>48</v>
      </c>
      <c r="E1439" s="53" t="s">
        <v>25</v>
      </c>
      <c r="F1439" s="53" t="s">
        <v>25</v>
      </c>
      <c r="G1439" s="53" t="s">
        <v>25</v>
      </c>
      <c r="H1439" s="53" t="s">
        <v>35</v>
      </c>
      <c r="I1439" s="73">
        <v>43983</v>
      </c>
      <c r="J1439" s="74">
        <f ca="1">EFEITO!$J$1439*EFEITO!$Y$1439</f>
        <v>79032.476569123552</v>
      </c>
      <c r="K1439" s="74">
        <f ca="1">EFEITO!$L$1439*EFEITO!$Z$1439</f>
        <v>3426.9908795383285</v>
      </c>
      <c r="L1439" s="74">
        <f>EFEITO!$N$1439*EFEITO!$AA$1439</f>
        <v>11395.859450905004</v>
      </c>
      <c r="M1439" s="74">
        <f ca="1">$J$1439-EFEITO!$K$1439*EFEITO!$Y$1439</f>
        <v>0</v>
      </c>
      <c r="N1439" s="74">
        <f ca="1">$K$1439-EFEITO!$M$1439*EFEITO!$Z$1439</f>
        <v>0</v>
      </c>
      <c r="O1439" s="74">
        <f>$L$1439-EFEITO!$O$1439*EFEITO!$AA$1439</f>
        <v>0</v>
      </c>
      <c r="P1439" s="57"/>
      <c r="Q1439" s="57"/>
      <c r="R1439" s="57"/>
      <c r="S1439" s="57"/>
      <c r="T1439" s="57"/>
      <c r="U1439" s="57"/>
      <c r="V1439" s="57"/>
      <c r="W1439" s="57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</row>
    <row r="1440" spans="1:36" ht="11.25" customHeight="1" x14ac:dyDescent="0.2">
      <c r="A1440" s="53" t="s">
        <v>21</v>
      </c>
      <c r="B1440" s="53" t="s">
        <v>44</v>
      </c>
      <c r="C1440" s="53" t="s">
        <v>41</v>
      </c>
      <c r="D1440" s="53" t="s">
        <v>48</v>
      </c>
      <c r="E1440" s="53" t="s">
        <v>25</v>
      </c>
      <c r="F1440" s="53" t="s">
        <v>25</v>
      </c>
      <c r="G1440" s="53" t="s">
        <v>25</v>
      </c>
      <c r="H1440" s="53" t="s">
        <v>35</v>
      </c>
      <c r="I1440" s="73">
        <v>44013</v>
      </c>
      <c r="J1440" s="74">
        <f ca="1">EFEITO!$J$1440*EFEITO!$Y$1440</f>
        <v>609679.10496181028</v>
      </c>
      <c r="K1440" s="74">
        <f ca="1">EFEITO!$L$1440*EFEITO!$Z$1440</f>
        <v>29547.501128030155</v>
      </c>
      <c r="L1440" s="74">
        <f>EFEITO!$N$1440*EFEITO!$AA$1440</f>
        <v>98255.052848535808</v>
      </c>
      <c r="M1440" s="74">
        <f ca="1">$J$1440-EFEITO!$K$1440*EFEITO!$Y$1440</f>
        <v>0</v>
      </c>
      <c r="N1440" s="74">
        <f ca="1">$K$1440-EFEITO!$M$1440*EFEITO!$Z$1440</f>
        <v>0</v>
      </c>
      <c r="O1440" s="74">
        <f>$L$1440-EFEITO!$O$1440*EFEITO!$AA$1440</f>
        <v>0</v>
      </c>
      <c r="P1440" s="57"/>
      <c r="Q1440" s="57"/>
      <c r="R1440" s="57"/>
      <c r="S1440" s="57"/>
      <c r="T1440" s="57"/>
      <c r="U1440" s="57"/>
      <c r="V1440" s="57"/>
      <c r="W1440" s="57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</row>
    <row r="1441" spans="1:36" ht="11.25" customHeight="1" x14ac:dyDescent="0.2">
      <c r="A1441" s="53" t="s">
        <v>27</v>
      </c>
      <c r="B1441" s="53" t="s">
        <v>44</v>
      </c>
      <c r="C1441" s="53" t="s">
        <v>41</v>
      </c>
      <c r="D1441" s="53" t="s">
        <v>48</v>
      </c>
      <c r="E1441" s="53" t="s">
        <v>25</v>
      </c>
      <c r="F1441" s="53" t="s">
        <v>25</v>
      </c>
      <c r="G1441" s="53" t="s">
        <v>25</v>
      </c>
      <c r="H1441" s="53" t="s">
        <v>35</v>
      </c>
      <c r="I1441" s="73">
        <v>44013</v>
      </c>
      <c r="J1441" s="74">
        <f ca="1">EFEITO!$J$1441*EFEITO!$Y$1441</f>
        <v>17671.858114835082</v>
      </c>
      <c r="K1441" s="74">
        <f ca="1">EFEITO!$L$1441*EFEITO!$Z$1441</f>
        <v>589.18529116119021</v>
      </c>
      <c r="L1441" s="74">
        <f>EFEITO!$N$1441*EFEITO!$AA$1441</f>
        <v>1959.232751012745</v>
      </c>
      <c r="M1441" s="74">
        <f ca="1">$J$1441-EFEITO!$K$1441*EFEITO!$Y$1441</f>
        <v>0</v>
      </c>
      <c r="N1441" s="74">
        <f ca="1">$K$1441-EFEITO!$M$1441*EFEITO!$Z$1441</f>
        <v>0</v>
      </c>
      <c r="O1441" s="74">
        <f>$L$1441-EFEITO!$O$1441*EFEITO!$AA$1441</f>
        <v>0</v>
      </c>
      <c r="P1441" s="57"/>
      <c r="Q1441" s="57"/>
      <c r="R1441" s="57"/>
      <c r="S1441" s="57"/>
      <c r="T1441" s="57"/>
      <c r="U1441" s="57"/>
      <c r="V1441" s="57"/>
      <c r="W1441" s="57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</row>
    <row r="1442" spans="1:36" ht="11.25" customHeight="1" x14ac:dyDescent="0.2">
      <c r="A1442" s="53" t="s">
        <v>21</v>
      </c>
      <c r="B1442" s="53" t="s">
        <v>44</v>
      </c>
      <c r="C1442" s="53" t="s">
        <v>41</v>
      </c>
      <c r="D1442" s="53" t="s">
        <v>48</v>
      </c>
      <c r="E1442" s="53" t="s">
        <v>25</v>
      </c>
      <c r="F1442" s="53" t="s">
        <v>25</v>
      </c>
      <c r="G1442" s="53" t="s">
        <v>25</v>
      </c>
      <c r="H1442" s="53" t="s">
        <v>35</v>
      </c>
      <c r="I1442" s="73">
        <v>44044</v>
      </c>
      <c r="J1442" s="74">
        <f ca="1">EFEITO!$J$1442*EFEITO!$Y$1442</f>
        <v>609679.10496181028</v>
      </c>
      <c r="K1442" s="74">
        <f ca="1">EFEITO!$L$1442*EFEITO!$Z$1442</f>
        <v>30662.264554278951</v>
      </c>
      <c r="L1442" s="74">
        <f>EFEITO!$N$1442*EFEITO!$AA$1442</f>
        <v>101962.00386564853</v>
      </c>
      <c r="M1442" s="74">
        <f ca="1">$J$1442-EFEITO!$K$1442*EFEITO!$Y$1442</f>
        <v>0</v>
      </c>
      <c r="N1442" s="74">
        <f ca="1">$K$1442-EFEITO!$M$1442*EFEITO!$Z$1442</f>
        <v>0</v>
      </c>
      <c r="O1442" s="74">
        <f>$L$1442-EFEITO!$O$1442*EFEITO!$AA$1442</f>
        <v>0</v>
      </c>
      <c r="P1442" s="57"/>
      <c r="Q1442" s="57"/>
      <c r="R1442" s="57"/>
      <c r="S1442" s="57"/>
      <c r="T1442" s="57"/>
      <c r="U1442" s="57"/>
      <c r="V1442" s="57"/>
      <c r="W1442" s="57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</row>
    <row r="1443" spans="1:36" ht="11.25" customHeight="1" x14ac:dyDescent="0.2">
      <c r="A1443" s="53" t="s">
        <v>27</v>
      </c>
      <c r="B1443" s="53" t="s">
        <v>44</v>
      </c>
      <c r="C1443" s="53" t="s">
        <v>41</v>
      </c>
      <c r="D1443" s="53" t="s">
        <v>48</v>
      </c>
      <c r="E1443" s="53" t="s">
        <v>25</v>
      </c>
      <c r="F1443" s="53" t="s">
        <v>25</v>
      </c>
      <c r="G1443" s="53" t="s">
        <v>25</v>
      </c>
      <c r="H1443" s="53" t="s">
        <v>35</v>
      </c>
      <c r="I1443" s="73">
        <v>44044</v>
      </c>
      <c r="J1443" s="74">
        <f ca="1">EFEITO!$J$1443*EFEITO!$Y$1443</f>
        <v>17671.858114835082</v>
      </c>
      <c r="K1443" s="74">
        <f ca="1">EFEITO!$L$1443*EFEITO!$Z$1443</f>
        <v>1622.3779062463454</v>
      </c>
      <c r="L1443" s="74">
        <f>EFEITO!$N$1443*EFEITO!$AA$1443</f>
        <v>5394.9342865854305</v>
      </c>
      <c r="M1443" s="74">
        <f ca="1">$J$1443-EFEITO!$K$1443*EFEITO!$Y$1443</f>
        <v>0</v>
      </c>
      <c r="N1443" s="74">
        <f ca="1">$K$1443-EFEITO!$M$1443*EFEITO!$Z$1443</f>
        <v>0</v>
      </c>
      <c r="O1443" s="74">
        <f>$L$1443-EFEITO!$O$1443*EFEITO!$AA$1443</f>
        <v>0</v>
      </c>
      <c r="P1443" s="57"/>
      <c r="Q1443" s="57"/>
      <c r="R1443" s="57"/>
      <c r="S1443" s="57"/>
      <c r="T1443" s="57"/>
      <c r="U1443" s="57"/>
      <c r="V1443" s="57"/>
      <c r="W1443" s="57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</row>
    <row r="1444" spans="1:36" ht="11.25" customHeight="1" x14ac:dyDescent="0.2">
      <c r="A1444" s="53" t="s">
        <v>59</v>
      </c>
      <c r="B1444" s="53" t="s">
        <v>44</v>
      </c>
      <c r="C1444" s="53" t="s">
        <v>41</v>
      </c>
      <c r="D1444" s="53" t="s">
        <v>48</v>
      </c>
      <c r="E1444" s="53" t="s">
        <v>25</v>
      </c>
      <c r="F1444" s="53" t="s">
        <v>25</v>
      </c>
      <c r="G1444" s="53" t="s">
        <v>25</v>
      </c>
      <c r="H1444" s="53" t="s">
        <v>35</v>
      </c>
      <c r="I1444" s="73">
        <v>44075</v>
      </c>
      <c r="J1444" s="74">
        <f ca="1">EFEITO!$J$1444*EFEITO!$Y$1444</f>
        <v>609679.10496181028</v>
      </c>
      <c r="K1444" s="74">
        <f ca="1">EFEITO!$L$1444*EFEITO!$Z$1444</f>
        <v>30662.264554278951</v>
      </c>
      <c r="L1444" s="74">
        <f>EFEITO!$N$1444*EFEITO!$AA$1444</f>
        <v>101962.00386564853</v>
      </c>
      <c r="M1444" s="74">
        <f ca="1">$J$1444-EFEITO!$K$1444*EFEITO!$Y$1444</f>
        <v>0</v>
      </c>
      <c r="N1444" s="74">
        <f ca="1">$K$1444-EFEITO!$M$1444*EFEITO!$Z$1444</f>
        <v>0</v>
      </c>
      <c r="O1444" s="74">
        <f>$L$1444-EFEITO!$O$1444*EFEITO!$AA$1444</f>
        <v>0</v>
      </c>
      <c r="P1444" s="57"/>
      <c r="Q1444" s="57"/>
      <c r="R1444" s="57"/>
      <c r="S1444" s="57"/>
      <c r="T1444" s="57"/>
      <c r="U1444" s="57"/>
      <c r="V1444" s="57"/>
      <c r="W1444" s="57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</row>
    <row r="1445" spans="1:36" ht="11.25" customHeight="1" x14ac:dyDescent="0.2">
      <c r="A1445" s="53" t="s">
        <v>59</v>
      </c>
      <c r="B1445" s="53" t="s">
        <v>44</v>
      </c>
      <c r="C1445" s="53" t="s">
        <v>41</v>
      </c>
      <c r="D1445" s="53" t="s">
        <v>48</v>
      </c>
      <c r="E1445" s="53" t="s">
        <v>25</v>
      </c>
      <c r="F1445" s="53" t="s">
        <v>25</v>
      </c>
      <c r="G1445" s="53" t="s">
        <v>25</v>
      </c>
      <c r="H1445" s="53" t="s">
        <v>35</v>
      </c>
      <c r="I1445" s="73">
        <v>44075</v>
      </c>
      <c r="J1445" s="74">
        <f ca="1">EFEITO!$J$1445*EFEITO!$Y$1445</f>
        <v>17671.858114835082</v>
      </c>
      <c r="K1445" s="74">
        <f ca="1">EFEITO!$L$1445*EFEITO!$Z$1445</f>
        <v>1622.3779062463454</v>
      </c>
      <c r="L1445" s="74">
        <f>EFEITO!$N$1445*EFEITO!$AA$1445</f>
        <v>5394.9342865854305</v>
      </c>
      <c r="M1445" s="74">
        <f ca="1">$J$1445-EFEITO!$K$1445*EFEITO!$Y$1445</f>
        <v>0</v>
      </c>
      <c r="N1445" s="74">
        <f ca="1">$K$1445-EFEITO!$M$1445*EFEITO!$Z$1445</f>
        <v>0</v>
      </c>
      <c r="O1445" s="74">
        <f>$L$1445-EFEITO!$O$1445*EFEITO!$AA$1445</f>
        <v>0</v>
      </c>
      <c r="P1445" s="57"/>
      <c r="Q1445" s="57"/>
      <c r="R1445" s="57"/>
      <c r="S1445" s="57"/>
      <c r="T1445" s="57"/>
      <c r="U1445" s="57"/>
      <c r="V1445" s="57"/>
      <c r="W1445" s="57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</row>
    <row r="1446" spans="1:36" ht="11.25" customHeight="1" x14ac:dyDescent="0.2">
      <c r="A1446" s="53" t="s">
        <v>21</v>
      </c>
      <c r="B1446" s="53" t="s">
        <v>44</v>
      </c>
      <c r="C1446" s="53" t="s">
        <v>34</v>
      </c>
      <c r="D1446" s="53" t="s">
        <v>42</v>
      </c>
      <c r="E1446" s="53" t="s">
        <v>25</v>
      </c>
      <c r="F1446" s="53" t="s">
        <v>25</v>
      </c>
      <c r="G1446" s="53" t="s">
        <v>25</v>
      </c>
      <c r="H1446" s="53" t="s">
        <v>36</v>
      </c>
      <c r="I1446" s="73">
        <v>43739</v>
      </c>
      <c r="J1446" s="74">
        <f>EFEITO!$J$1446*EFEITO!$Y$1446</f>
        <v>0</v>
      </c>
      <c r="K1446" s="74">
        <f ca="1">EFEITO!$L$1446*EFEITO!$Z$1446</f>
        <v>737032.49937424948</v>
      </c>
      <c r="L1446" s="74">
        <f>EFEITO!$N$1446*EFEITO!$AA$1446</f>
        <v>1505876.0501922031</v>
      </c>
      <c r="M1446" s="74">
        <f>$J$1446-EFEITO!$K$1446*EFEITO!$Y$1446</f>
        <v>0</v>
      </c>
      <c r="N1446" s="74">
        <f ca="1">$K$1446-EFEITO!$M$1446*EFEITO!$Z$1446</f>
        <v>0</v>
      </c>
      <c r="O1446" s="74">
        <f>$L$1446-EFEITO!$O$1446*EFEITO!$AA$1446</f>
        <v>0</v>
      </c>
      <c r="P1446" s="57"/>
      <c r="Q1446" s="57"/>
      <c r="R1446" s="57"/>
      <c r="S1446" s="57"/>
      <c r="T1446" s="57"/>
      <c r="U1446" s="57"/>
      <c r="V1446" s="57"/>
      <c r="W1446" s="57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</row>
    <row r="1447" spans="1:36" ht="11.25" customHeight="1" x14ac:dyDescent="0.2">
      <c r="A1447" s="53" t="s">
        <v>28</v>
      </c>
      <c r="B1447" s="53" t="s">
        <v>44</v>
      </c>
      <c r="C1447" s="53" t="s">
        <v>34</v>
      </c>
      <c r="D1447" s="53" t="s">
        <v>42</v>
      </c>
      <c r="E1447" s="53" t="s">
        <v>25</v>
      </c>
      <c r="F1447" s="53" t="s">
        <v>25</v>
      </c>
      <c r="G1447" s="53" t="s">
        <v>25</v>
      </c>
      <c r="H1447" s="53" t="s">
        <v>36</v>
      </c>
      <c r="I1447" s="73">
        <v>43739</v>
      </c>
      <c r="J1447" s="74">
        <f>EFEITO!$J$1447*EFEITO!$Y$1447</f>
        <v>0</v>
      </c>
      <c r="K1447" s="74">
        <f ca="1">EFEITO!$L$1447*EFEITO!$Z$1447</f>
        <v>43287.098755776016</v>
      </c>
      <c r="L1447" s="74">
        <f>EFEITO!$N$1447*EFEITO!$AA$1447</f>
        <v>88442.51149572205</v>
      </c>
      <c r="M1447" s="74">
        <f>$J$1447-EFEITO!$K$1447*EFEITO!$Y$1447</f>
        <v>0</v>
      </c>
      <c r="N1447" s="74">
        <f ca="1">$K$1447-EFEITO!$M$1447*EFEITO!$Z$1447</f>
        <v>0</v>
      </c>
      <c r="O1447" s="74">
        <f>$L$1447-EFEITO!$O$1447*EFEITO!$AA$1447</f>
        <v>0</v>
      </c>
      <c r="P1447" s="57"/>
      <c r="Q1447" s="57"/>
      <c r="R1447" s="57"/>
      <c r="S1447" s="57"/>
      <c r="T1447" s="57"/>
      <c r="U1447" s="57"/>
      <c r="V1447" s="57"/>
      <c r="W1447" s="57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</row>
    <row r="1448" spans="1:36" ht="11.25" customHeight="1" x14ac:dyDescent="0.2">
      <c r="A1448" s="53" t="s">
        <v>21</v>
      </c>
      <c r="B1448" s="53" t="s">
        <v>44</v>
      </c>
      <c r="C1448" s="53" t="s">
        <v>34</v>
      </c>
      <c r="D1448" s="53" t="s">
        <v>42</v>
      </c>
      <c r="E1448" s="53" t="s">
        <v>25</v>
      </c>
      <c r="F1448" s="53" t="s">
        <v>25</v>
      </c>
      <c r="G1448" s="53" t="s">
        <v>25</v>
      </c>
      <c r="H1448" s="53" t="s">
        <v>36</v>
      </c>
      <c r="I1448" s="73">
        <v>43770</v>
      </c>
      <c r="J1448" s="74">
        <f>EFEITO!$J$1448*EFEITO!$Y$1448</f>
        <v>0</v>
      </c>
      <c r="K1448" s="74">
        <f ca="1">EFEITO!$L$1448*EFEITO!$Z$1448</f>
        <v>716319.61420267797</v>
      </c>
      <c r="L1448" s="74">
        <f>EFEITO!$N$1448*EFEITO!$AA$1448</f>
        <v>1463556.2912443515</v>
      </c>
      <c r="M1448" s="74">
        <f>$J$1448-EFEITO!$K$1448*EFEITO!$Y$1448</f>
        <v>0</v>
      </c>
      <c r="N1448" s="74">
        <f ca="1">$K$1448-EFEITO!$M$1448*EFEITO!$Z$1448</f>
        <v>0</v>
      </c>
      <c r="O1448" s="74">
        <f>$L$1448-EFEITO!$O$1448*EFEITO!$AA$1448</f>
        <v>0</v>
      </c>
      <c r="P1448" s="57"/>
      <c r="Q1448" s="57"/>
      <c r="R1448" s="57"/>
      <c r="S1448" s="57"/>
      <c r="T1448" s="57"/>
      <c r="U1448" s="57"/>
      <c r="V1448" s="57"/>
      <c r="W1448" s="57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</row>
    <row r="1449" spans="1:36" ht="11.25" customHeight="1" x14ac:dyDescent="0.2">
      <c r="A1449" s="53" t="s">
        <v>27</v>
      </c>
      <c r="B1449" s="53" t="s">
        <v>44</v>
      </c>
      <c r="C1449" s="53" t="s">
        <v>34</v>
      </c>
      <c r="D1449" s="53" t="s">
        <v>42</v>
      </c>
      <c r="E1449" s="53" t="s">
        <v>25</v>
      </c>
      <c r="F1449" s="53" t="s">
        <v>25</v>
      </c>
      <c r="G1449" s="53" t="s">
        <v>25</v>
      </c>
      <c r="H1449" s="53" t="s">
        <v>36</v>
      </c>
      <c r="I1449" s="73">
        <v>43770</v>
      </c>
      <c r="J1449" s="74">
        <f>EFEITO!$J$1449*EFEITO!$Y$1449</f>
        <v>0</v>
      </c>
      <c r="K1449" s="74">
        <f ca="1">EFEITO!$L$1449*EFEITO!$Z$1449</f>
        <v>30262.770941710212</v>
      </c>
      <c r="L1449" s="74">
        <f>EFEITO!$N$1449*EFEITO!$AA$1449</f>
        <v>61831.713000804149</v>
      </c>
      <c r="M1449" s="74">
        <f>$J$1449-EFEITO!$K$1449*EFEITO!$Y$1449</f>
        <v>0</v>
      </c>
      <c r="N1449" s="74">
        <f ca="1">$K$1449-EFEITO!$M$1449*EFEITO!$Z$1449</f>
        <v>0</v>
      </c>
      <c r="O1449" s="74">
        <f>$L$1449-EFEITO!$O$1449*EFEITO!$AA$1449</f>
        <v>0</v>
      </c>
      <c r="P1449" s="57"/>
      <c r="Q1449" s="57"/>
      <c r="R1449" s="57"/>
      <c r="S1449" s="57"/>
      <c r="T1449" s="57"/>
      <c r="U1449" s="57"/>
      <c r="V1449" s="57"/>
      <c r="W1449" s="57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</row>
    <row r="1450" spans="1:36" ht="11.25" customHeight="1" x14ac:dyDescent="0.2">
      <c r="A1450" s="53" t="s">
        <v>28</v>
      </c>
      <c r="B1450" s="53" t="s">
        <v>44</v>
      </c>
      <c r="C1450" s="53" t="s">
        <v>34</v>
      </c>
      <c r="D1450" s="53" t="s">
        <v>42</v>
      </c>
      <c r="E1450" s="53" t="s">
        <v>25</v>
      </c>
      <c r="F1450" s="53" t="s">
        <v>25</v>
      </c>
      <c r="G1450" s="53" t="s">
        <v>25</v>
      </c>
      <c r="H1450" s="53" t="s">
        <v>36</v>
      </c>
      <c r="I1450" s="73">
        <v>43770</v>
      </c>
      <c r="J1450" s="74">
        <f>EFEITO!$J$1450*EFEITO!$Y$1450</f>
        <v>0</v>
      </c>
      <c r="K1450" s="74">
        <f ca="1">EFEITO!$L$1450*EFEITO!$Z$1450</f>
        <v>43685.57555767928</v>
      </c>
      <c r="L1450" s="74">
        <f>EFEITO!$N$1450*EFEITO!$AA$1450</f>
        <v>89256.663752308799</v>
      </c>
      <c r="M1450" s="74">
        <f>$J$1450-EFEITO!$K$1450*EFEITO!$Y$1450</f>
        <v>0</v>
      </c>
      <c r="N1450" s="74">
        <f ca="1">$K$1450-EFEITO!$M$1450*EFEITO!$Z$1450</f>
        <v>0</v>
      </c>
      <c r="O1450" s="74">
        <f>$L$1450-EFEITO!$O$1450*EFEITO!$AA$1450</f>
        <v>0</v>
      </c>
      <c r="P1450" s="57"/>
      <c r="Q1450" s="57"/>
      <c r="R1450" s="57"/>
      <c r="S1450" s="57"/>
      <c r="T1450" s="57"/>
      <c r="U1450" s="57"/>
      <c r="V1450" s="57"/>
      <c r="W1450" s="57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</row>
    <row r="1451" spans="1:36" ht="11.25" customHeight="1" x14ac:dyDescent="0.2">
      <c r="A1451" s="53" t="s">
        <v>21</v>
      </c>
      <c r="B1451" s="53" t="s">
        <v>44</v>
      </c>
      <c r="C1451" s="53" t="s">
        <v>34</v>
      </c>
      <c r="D1451" s="53" t="s">
        <v>42</v>
      </c>
      <c r="E1451" s="53" t="s">
        <v>25</v>
      </c>
      <c r="F1451" s="53" t="s">
        <v>25</v>
      </c>
      <c r="G1451" s="53" t="s">
        <v>25</v>
      </c>
      <c r="H1451" s="53" t="s">
        <v>36</v>
      </c>
      <c r="I1451" s="73">
        <v>43800</v>
      </c>
      <c r="J1451" s="74">
        <f>EFEITO!$J$1451*EFEITO!$Y$1451</f>
        <v>0</v>
      </c>
      <c r="K1451" s="74">
        <f ca="1">EFEITO!$L$1451*EFEITO!$Z$1451</f>
        <v>714816.76803910627</v>
      </c>
      <c r="L1451" s="74">
        <f>EFEITO!$N$1451*EFEITO!$AA$1451</f>
        <v>1460485.7345907884</v>
      </c>
      <c r="M1451" s="74">
        <f>$J$1451-EFEITO!$K$1451*EFEITO!$Y$1451</f>
        <v>0</v>
      </c>
      <c r="N1451" s="74">
        <f ca="1">$K$1451-EFEITO!$M$1451*EFEITO!$Z$1451</f>
        <v>0</v>
      </c>
      <c r="O1451" s="74">
        <f>$L$1451-EFEITO!$O$1451*EFEITO!$AA$1451</f>
        <v>0</v>
      </c>
      <c r="P1451" s="57"/>
      <c r="Q1451" s="57"/>
      <c r="R1451" s="57"/>
      <c r="S1451" s="57"/>
      <c r="T1451" s="57"/>
      <c r="U1451" s="57"/>
      <c r="V1451" s="57"/>
      <c r="W1451" s="57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</row>
    <row r="1452" spans="1:36" ht="11.25" customHeight="1" x14ac:dyDescent="0.2">
      <c r="A1452" s="53" t="s">
        <v>28</v>
      </c>
      <c r="B1452" s="53" t="s">
        <v>44</v>
      </c>
      <c r="C1452" s="53" t="s">
        <v>34</v>
      </c>
      <c r="D1452" s="53" t="s">
        <v>42</v>
      </c>
      <c r="E1452" s="53" t="s">
        <v>25</v>
      </c>
      <c r="F1452" s="53" t="s">
        <v>25</v>
      </c>
      <c r="G1452" s="53" t="s">
        <v>25</v>
      </c>
      <c r="H1452" s="53" t="s">
        <v>36</v>
      </c>
      <c r="I1452" s="73">
        <v>43800</v>
      </c>
      <c r="J1452" s="74">
        <f>EFEITO!$J$1452*EFEITO!$Y$1452</f>
        <v>0</v>
      </c>
      <c r="K1452" s="74">
        <f ca="1">EFEITO!$L$1452*EFEITO!$Z$1452</f>
        <v>93641.935468304044</v>
      </c>
      <c r="L1452" s="74">
        <f>EFEITO!$N$1452*EFEITO!$AA$1452</f>
        <v>191325.54946367349</v>
      </c>
      <c r="M1452" s="74">
        <f>$J$1452-EFEITO!$K$1452*EFEITO!$Y$1452</f>
        <v>0</v>
      </c>
      <c r="N1452" s="74">
        <f ca="1">$K$1452-EFEITO!$M$1452*EFEITO!$Z$1452</f>
        <v>0</v>
      </c>
      <c r="O1452" s="74">
        <f>$L$1452-EFEITO!$O$1452*EFEITO!$AA$1452</f>
        <v>0</v>
      </c>
      <c r="P1452" s="57"/>
      <c r="Q1452" s="57"/>
      <c r="R1452" s="57"/>
      <c r="S1452" s="57"/>
      <c r="T1452" s="57"/>
      <c r="U1452" s="57"/>
      <c r="V1452" s="57"/>
      <c r="W1452" s="57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</row>
    <row r="1453" spans="1:36" ht="11.25" customHeight="1" x14ac:dyDescent="0.2">
      <c r="A1453" s="53" t="s">
        <v>21</v>
      </c>
      <c r="B1453" s="53" t="s">
        <v>44</v>
      </c>
      <c r="C1453" s="53" t="s">
        <v>34</v>
      </c>
      <c r="D1453" s="53" t="s">
        <v>42</v>
      </c>
      <c r="E1453" s="53" t="s">
        <v>25</v>
      </c>
      <c r="F1453" s="53" t="s">
        <v>25</v>
      </c>
      <c r="G1453" s="53" t="s">
        <v>25</v>
      </c>
      <c r="H1453" s="53" t="s">
        <v>36</v>
      </c>
      <c r="I1453" s="73">
        <v>43831</v>
      </c>
      <c r="J1453" s="74">
        <f>EFEITO!$J$1453*EFEITO!$Y$1453</f>
        <v>0</v>
      </c>
      <c r="K1453" s="74">
        <f ca="1">EFEITO!$L$1453*EFEITO!$Z$1453</f>
        <v>664152.03003153414</v>
      </c>
      <c r="L1453" s="74">
        <f>EFEITO!$N$1453*EFEITO!$AA$1453</f>
        <v>1356969.5183864273</v>
      </c>
      <c r="M1453" s="74">
        <f>$J$1453-EFEITO!$K$1453*EFEITO!$Y$1453</f>
        <v>0</v>
      </c>
      <c r="N1453" s="74">
        <f ca="1">$K$1453-EFEITO!$M$1453*EFEITO!$Z$1453</f>
        <v>0</v>
      </c>
      <c r="O1453" s="74">
        <f>$L$1453-EFEITO!$O$1453*EFEITO!$AA$1453</f>
        <v>0</v>
      </c>
      <c r="P1453" s="57"/>
      <c r="Q1453" s="57"/>
      <c r="R1453" s="57"/>
      <c r="S1453" s="57"/>
      <c r="T1453" s="57"/>
      <c r="U1453" s="57"/>
      <c r="V1453" s="57"/>
      <c r="W1453" s="57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</row>
    <row r="1454" spans="1:36" ht="11.25" customHeight="1" x14ac:dyDescent="0.2">
      <c r="A1454" s="53" t="s">
        <v>27</v>
      </c>
      <c r="B1454" s="53" t="s">
        <v>44</v>
      </c>
      <c r="C1454" s="53" t="s">
        <v>34</v>
      </c>
      <c r="D1454" s="53" t="s">
        <v>42</v>
      </c>
      <c r="E1454" s="53" t="s">
        <v>25</v>
      </c>
      <c r="F1454" s="53" t="s">
        <v>25</v>
      </c>
      <c r="G1454" s="53" t="s">
        <v>25</v>
      </c>
      <c r="H1454" s="53" t="s">
        <v>36</v>
      </c>
      <c r="I1454" s="73">
        <v>43831</v>
      </c>
      <c r="J1454" s="74">
        <f>EFEITO!$J$1454*EFEITO!$Y$1454</f>
        <v>0</v>
      </c>
      <c r="K1454" s="74">
        <f ca="1">EFEITO!$L$1454*EFEITO!$Z$1454</f>
        <v>2133.3817551288121</v>
      </c>
      <c r="L1454" s="74">
        <f>EFEITO!$N$1454*EFEITO!$AA$1454</f>
        <v>4358.8423762765324</v>
      </c>
      <c r="M1454" s="74">
        <f>$J$1454-EFEITO!$K$1454*EFEITO!$Y$1454</f>
        <v>0</v>
      </c>
      <c r="N1454" s="74">
        <f ca="1">$K$1454-EFEITO!$M$1454*EFEITO!$Z$1454</f>
        <v>0</v>
      </c>
      <c r="O1454" s="74">
        <f>$L$1454-EFEITO!$O$1454*EFEITO!$AA$1454</f>
        <v>0</v>
      </c>
      <c r="P1454" s="57"/>
      <c r="Q1454" s="57"/>
      <c r="R1454" s="57"/>
      <c r="S1454" s="57"/>
      <c r="T1454" s="57"/>
      <c r="U1454" s="57"/>
      <c r="V1454" s="57"/>
      <c r="W1454" s="57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</row>
    <row r="1455" spans="1:36" ht="11.25" customHeight="1" x14ac:dyDescent="0.2">
      <c r="A1455" s="53" t="s">
        <v>28</v>
      </c>
      <c r="B1455" s="53" t="s">
        <v>44</v>
      </c>
      <c r="C1455" s="53" t="s">
        <v>34</v>
      </c>
      <c r="D1455" s="53" t="s">
        <v>42</v>
      </c>
      <c r="E1455" s="53" t="s">
        <v>25</v>
      </c>
      <c r="F1455" s="53" t="s">
        <v>25</v>
      </c>
      <c r="G1455" s="53" t="s">
        <v>25</v>
      </c>
      <c r="H1455" s="53" t="s">
        <v>36</v>
      </c>
      <c r="I1455" s="73">
        <v>43831</v>
      </c>
      <c r="J1455" s="74">
        <f>EFEITO!$J$1455*EFEITO!$Y$1455</f>
        <v>0</v>
      </c>
      <c r="K1455" s="74">
        <f ca="1">EFEITO!$L$1455*EFEITO!$Z$1455</f>
        <v>69174.194467059977</v>
      </c>
      <c r="L1455" s="74">
        <f>EFEITO!$N$1455*EFEITO!$AA$1455</f>
        <v>141334.01556610252</v>
      </c>
      <c r="M1455" s="74">
        <f>$J$1455-EFEITO!$K$1455*EFEITO!$Y$1455</f>
        <v>0</v>
      </c>
      <c r="N1455" s="74">
        <f ca="1">$K$1455-EFEITO!$M$1455*EFEITO!$Z$1455</f>
        <v>0</v>
      </c>
      <c r="O1455" s="74">
        <f>$L$1455-EFEITO!$O$1455*EFEITO!$AA$1455</f>
        <v>0</v>
      </c>
      <c r="P1455" s="57"/>
      <c r="Q1455" s="57"/>
      <c r="R1455" s="57"/>
      <c r="S1455" s="57"/>
      <c r="T1455" s="57"/>
      <c r="U1455" s="57"/>
      <c r="V1455" s="57"/>
      <c r="W1455" s="57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</row>
    <row r="1456" spans="1:36" ht="11.25" customHeight="1" x14ac:dyDescent="0.2">
      <c r="A1456" s="53" t="s">
        <v>21</v>
      </c>
      <c r="B1456" s="53" t="s">
        <v>44</v>
      </c>
      <c r="C1456" s="53" t="s">
        <v>34</v>
      </c>
      <c r="D1456" s="53" t="s">
        <v>42</v>
      </c>
      <c r="E1456" s="53" t="s">
        <v>25</v>
      </c>
      <c r="F1456" s="53" t="s">
        <v>25</v>
      </c>
      <c r="G1456" s="53" t="s">
        <v>25</v>
      </c>
      <c r="H1456" s="53" t="s">
        <v>36</v>
      </c>
      <c r="I1456" s="73">
        <v>43862</v>
      </c>
      <c r="J1456" s="74">
        <f>EFEITO!$J$1456*EFEITO!$Y$1456</f>
        <v>0</v>
      </c>
      <c r="K1456" s="74">
        <f ca="1">EFEITO!$L$1456*EFEITO!$Z$1456</f>
        <v>716168.78728729917</v>
      </c>
      <c r="L1456" s="74">
        <f>EFEITO!$N$1456*EFEITO!$AA$1456</f>
        <v>1463248.12757479</v>
      </c>
      <c r="M1456" s="74">
        <f>$J$1456-EFEITO!$K$1456*EFEITO!$Y$1456</f>
        <v>0</v>
      </c>
      <c r="N1456" s="74">
        <f ca="1">$K$1456-EFEITO!$M$1456*EFEITO!$Z$1456</f>
        <v>0</v>
      </c>
      <c r="O1456" s="74">
        <f>$L$1456-EFEITO!$O$1456*EFEITO!$AA$1456</f>
        <v>0</v>
      </c>
      <c r="P1456" s="57"/>
      <c r="Q1456" s="57"/>
      <c r="R1456" s="57"/>
      <c r="S1456" s="57"/>
      <c r="T1456" s="57"/>
      <c r="U1456" s="57"/>
      <c r="V1456" s="57"/>
      <c r="W1456" s="57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</row>
    <row r="1457" spans="1:36" ht="11.25" customHeight="1" x14ac:dyDescent="0.2">
      <c r="A1457" s="53" t="s">
        <v>28</v>
      </c>
      <c r="B1457" s="53" t="s">
        <v>44</v>
      </c>
      <c r="C1457" s="53" t="s">
        <v>34</v>
      </c>
      <c r="D1457" s="53" t="s">
        <v>42</v>
      </c>
      <c r="E1457" s="53" t="s">
        <v>25</v>
      </c>
      <c r="F1457" s="53" t="s">
        <v>25</v>
      </c>
      <c r="G1457" s="53" t="s">
        <v>25</v>
      </c>
      <c r="H1457" s="53" t="s">
        <v>36</v>
      </c>
      <c r="I1457" s="73">
        <v>43862</v>
      </c>
      <c r="J1457" s="74">
        <f>EFEITO!$J$1457*EFEITO!$Y$1457</f>
        <v>0</v>
      </c>
      <c r="K1457" s="74">
        <f ca="1">EFEITO!$L$1457*EFEITO!$Z$1457</f>
        <v>78942.016656498716</v>
      </c>
      <c r="L1457" s="74">
        <f>EFEITO!$N$1457*EFEITO!$AA$1457</f>
        <v>161291.24880900569</v>
      </c>
      <c r="M1457" s="74">
        <f>$J$1457-EFEITO!$K$1457*EFEITO!$Y$1457</f>
        <v>0</v>
      </c>
      <c r="N1457" s="74">
        <f ca="1">$K$1457-EFEITO!$M$1457*EFEITO!$Z$1457</f>
        <v>0</v>
      </c>
      <c r="O1457" s="74">
        <f>$L$1457-EFEITO!$O$1457*EFEITO!$AA$1457</f>
        <v>0</v>
      </c>
      <c r="P1457" s="57"/>
      <c r="Q1457" s="57"/>
      <c r="R1457" s="57"/>
      <c r="S1457" s="57"/>
      <c r="T1457" s="57"/>
      <c r="U1457" s="57"/>
      <c r="V1457" s="57"/>
      <c r="W1457" s="57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</row>
    <row r="1458" spans="1:36" ht="11.25" customHeight="1" x14ac:dyDescent="0.2">
      <c r="A1458" s="53" t="s">
        <v>21</v>
      </c>
      <c r="B1458" s="53" t="s">
        <v>44</v>
      </c>
      <c r="C1458" s="53" t="s">
        <v>34</v>
      </c>
      <c r="D1458" s="53" t="s">
        <v>42</v>
      </c>
      <c r="E1458" s="53" t="s">
        <v>25</v>
      </c>
      <c r="F1458" s="53" t="s">
        <v>25</v>
      </c>
      <c r="G1458" s="53" t="s">
        <v>25</v>
      </c>
      <c r="H1458" s="53" t="s">
        <v>36</v>
      </c>
      <c r="I1458" s="73">
        <v>43891</v>
      </c>
      <c r="J1458" s="74">
        <f>EFEITO!$J$1458*EFEITO!$Y$1458</f>
        <v>0</v>
      </c>
      <c r="K1458" s="74">
        <f ca="1">EFEITO!$L$1458*EFEITO!$Z$1458</f>
        <v>647131.07140733849</v>
      </c>
      <c r="L1458" s="74">
        <f>EFEITO!$N$1458*EFEITO!$AA$1458</f>
        <v>1322192.959733654</v>
      </c>
      <c r="M1458" s="74">
        <f>$J$1458-EFEITO!$K$1458*EFEITO!$Y$1458</f>
        <v>0</v>
      </c>
      <c r="N1458" s="74">
        <f ca="1">$K$1458-EFEITO!$M$1458*EFEITO!$Z$1458</f>
        <v>0</v>
      </c>
      <c r="O1458" s="74">
        <f>$L$1458-EFEITO!$O$1458*EFEITO!$AA$1458</f>
        <v>0</v>
      </c>
      <c r="P1458" s="57"/>
      <c r="Q1458" s="57"/>
      <c r="R1458" s="57"/>
      <c r="S1458" s="57"/>
      <c r="T1458" s="57"/>
      <c r="U1458" s="57"/>
      <c r="V1458" s="57"/>
      <c r="W1458" s="57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</row>
    <row r="1459" spans="1:36" ht="11.25" customHeight="1" x14ac:dyDescent="0.2">
      <c r="A1459" s="53" t="s">
        <v>28</v>
      </c>
      <c r="B1459" s="53" t="s">
        <v>44</v>
      </c>
      <c r="C1459" s="53" t="s">
        <v>34</v>
      </c>
      <c r="D1459" s="53" t="s">
        <v>42</v>
      </c>
      <c r="E1459" s="53" t="s">
        <v>25</v>
      </c>
      <c r="F1459" s="53" t="s">
        <v>25</v>
      </c>
      <c r="G1459" s="53" t="s">
        <v>25</v>
      </c>
      <c r="H1459" s="53" t="s">
        <v>36</v>
      </c>
      <c r="I1459" s="73">
        <v>43891</v>
      </c>
      <c r="J1459" s="74">
        <f>EFEITO!$J$1459*EFEITO!$Y$1459</f>
        <v>0</v>
      </c>
      <c r="K1459" s="74">
        <f ca="1">EFEITO!$L$1459*EFEITO!$Z$1459</f>
        <v>65146.042526300422</v>
      </c>
      <c r="L1459" s="74">
        <f>EFEITO!$N$1459*EFEITO!$AA$1459</f>
        <v>133103.85266382198</v>
      </c>
      <c r="M1459" s="74">
        <f>$J$1459-EFEITO!$K$1459*EFEITO!$Y$1459</f>
        <v>0</v>
      </c>
      <c r="N1459" s="74">
        <f ca="1">$K$1459-EFEITO!$M$1459*EFEITO!$Z$1459</f>
        <v>0</v>
      </c>
      <c r="O1459" s="74">
        <f>$L$1459-EFEITO!$O$1459*EFEITO!$AA$1459</f>
        <v>0</v>
      </c>
      <c r="P1459" s="57"/>
      <c r="Q1459" s="57"/>
      <c r="R1459" s="57"/>
      <c r="S1459" s="57"/>
      <c r="T1459" s="57"/>
      <c r="U1459" s="57"/>
      <c r="V1459" s="57"/>
      <c r="W1459" s="57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</row>
    <row r="1460" spans="1:36" ht="11.25" customHeight="1" x14ac:dyDescent="0.2">
      <c r="A1460" s="53" t="s">
        <v>21</v>
      </c>
      <c r="B1460" s="53" t="s">
        <v>44</v>
      </c>
      <c r="C1460" s="53" t="s">
        <v>34</v>
      </c>
      <c r="D1460" s="53" t="s">
        <v>42</v>
      </c>
      <c r="E1460" s="53" t="s">
        <v>25</v>
      </c>
      <c r="F1460" s="53" t="s">
        <v>25</v>
      </c>
      <c r="G1460" s="53" t="s">
        <v>25</v>
      </c>
      <c r="H1460" s="53" t="s">
        <v>36</v>
      </c>
      <c r="I1460" s="73">
        <v>43922</v>
      </c>
      <c r="J1460" s="74">
        <f>EFEITO!$J$1460*EFEITO!$Y$1460</f>
        <v>0</v>
      </c>
      <c r="K1460" s="74">
        <f ca="1">EFEITO!$L$1460*EFEITO!$Z$1460</f>
        <v>598215.36072334566</v>
      </c>
      <c r="L1460" s="74">
        <f>EFEITO!$N$1460*EFEITO!$AA$1460</f>
        <v>1222250.2879251586</v>
      </c>
      <c r="M1460" s="74">
        <f>$J$1460-EFEITO!$K$1460*EFEITO!$Y$1460</f>
        <v>0</v>
      </c>
      <c r="N1460" s="74">
        <f ca="1">$K$1460-EFEITO!$M$1460*EFEITO!$Z$1460</f>
        <v>0</v>
      </c>
      <c r="O1460" s="74">
        <f>$L$1460-EFEITO!$O$1460*EFEITO!$AA$1460</f>
        <v>0</v>
      </c>
      <c r="P1460" s="57"/>
      <c r="Q1460" s="57"/>
      <c r="R1460" s="57"/>
      <c r="S1460" s="57"/>
      <c r="T1460" s="57"/>
      <c r="U1460" s="57"/>
      <c r="V1460" s="57"/>
      <c r="W1460" s="57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</row>
    <row r="1461" spans="1:36" ht="11.25" customHeight="1" x14ac:dyDescent="0.2">
      <c r="A1461" s="53" t="s">
        <v>27</v>
      </c>
      <c r="B1461" s="53" t="s">
        <v>44</v>
      </c>
      <c r="C1461" s="53" t="s">
        <v>34</v>
      </c>
      <c r="D1461" s="53" t="s">
        <v>42</v>
      </c>
      <c r="E1461" s="53" t="s">
        <v>25</v>
      </c>
      <c r="F1461" s="53" t="s">
        <v>25</v>
      </c>
      <c r="G1461" s="53" t="s">
        <v>25</v>
      </c>
      <c r="H1461" s="53" t="s">
        <v>36</v>
      </c>
      <c r="I1461" s="73">
        <v>43922</v>
      </c>
      <c r="J1461" s="74">
        <f>EFEITO!$J$1461*EFEITO!$Y$1461</f>
        <v>0</v>
      </c>
      <c r="K1461" s="74">
        <f ca="1">EFEITO!$L$1461*EFEITO!$Z$1461</f>
        <v>23698.919159182344</v>
      </c>
      <c r="L1461" s="74">
        <f>EFEITO!$N$1461*EFEITO!$AA$1461</f>
        <v>48420.707102540415</v>
      </c>
      <c r="M1461" s="74">
        <f>$J$1461-EFEITO!$K$1461*EFEITO!$Y$1461</f>
        <v>0</v>
      </c>
      <c r="N1461" s="74">
        <f ca="1">$K$1461-EFEITO!$M$1461*EFEITO!$Z$1461</f>
        <v>0</v>
      </c>
      <c r="O1461" s="74">
        <f>$L$1461-EFEITO!$O$1461*EFEITO!$AA$1461</f>
        <v>0</v>
      </c>
      <c r="P1461" s="57"/>
      <c r="Q1461" s="57"/>
      <c r="R1461" s="57"/>
      <c r="S1461" s="57"/>
      <c r="T1461" s="57"/>
      <c r="U1461" s="57"/>
      <c r="V1461" s="57"/>
      <c r="W1461" s="57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</row>
    <row r="1462" spans="1:36" ht="11.25" customHeight="1" x14ac:dyDescent="0.2">
      <c r="A1462" s="53" t="s">
        <v>28</v>
      </c>
      <c r="B1462" s="53" t="s">
        <v>44</v>
      </c>
      <c r="C1462" s="53" t="s">
        <v>34</v>
      </c>
      <c r="D1462" s="53" t="s">
        <v>42</v>
      </c>
      <c r="E1462" s="53" t="s">
        <v>25</v>
      </c>
      <c r="F1462" s="53" t="s">
        <v>25</v>
      </c>
      <c r="G1462" s="53" t="s">
        <v>25</v>
      </c>
      <c r="H1462" s="53" t="s">
        <v>36</v>
      </c>
      <c r="I1462" s="73">
        <v>43922</v>
      </c>
      <c r="J1462" s="74">
        <f>EFEITO!$J$1462*EFEITO!$Y$1462</f>
        <v>0</v>
      </c>
      <c r="K1462" s="74">
        <f ca="1">EFEITO!$L$1462*EFEITO!$Z$1462</f>
        <v>55723.258089346105</v>
      </c>
      <c r="L1462" s="74">
        <f>EFEITO!$N$1462*EFEITO!$AA$1462</f>
        <v>113851.58709645495</v>
      </c>
      <c r="M1462" s="74">
        <f>$J$1462-EFEITO!$K$1462*EFEITO!$Y$1462</f>
        <v>0</v>
      </c>
      <c r="N1462" s="74">
        <f ca="1">$K$1462-EFEITO!$M$1462*EFEITO!$Z$1462</f>
        <v>0</v>
      </c>
      <c r="O1462" s="74">
        <f>$L$1462-EFEITO!$O$1462*EFEITO!$AA$1462</f>
        <v>0</v>
      </c>
      <c r="P1462" s="57"/>
      <c r="Q1462" s="57"/>
      <c r="R1462" s="57"/>
      <c r="S1462" s="57"/>
      <c r="T1462" s="57"/>
      <c r="U1462" s="57"/>
      <c r="V1462" s="57"/>
      <c r="W1462" s="57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</row>
    <row r="1463" spans="1:36" ht="11.25" customHeight="1" x14ac:dyDescent="0.2">
      <c r="A1463" s="53" t="s">
        <v>21</v>
      </c>
      <c r="B1463" s="53" t="s">
        <v>44</v>
      </c>
      <c r="C1463" s="53" t="s">
        <v>34</v>
      </c>
      <c r="D1463" s="53" t="s">
        <v>42</v>
      </c>
      <c r="E1463" s="53" t="s">
        <v>25</v>
      </c>
      <c r="F1463" s="53" t="s">
        <v>25</v>
      </c>
      <c r="G1463" s="53" t="s">
        <v>25</v>
      </c>
      <c r="H1463" s="53" t="s">
        <v>36</v>
      </c>
      <c r="I1463" s="73">
        <v>43952</v>
      </c>
      <c r="J1463" s="74">
        <f>EFEITO!$J$1463*EFEITO!$Y$1463</f>
        <v>0</v>
      </c>
      <c r="K1463" s="74">
        <f ca="1">EFEITO!$L$1463*EFEITO!$Z$1463</f>
        <v>477202.91576179286</v>
      </c>
      <c r="L1463" s="74">
        <f>EFEITO!$N$1463*EFEITO!$AA$1463</f>
        <v>975002.38122156018</v>
      </c>
      <c r="M1463" s="74">
        <f>$J$1463-EFEITO!$K$1463*EFEITO!$Y$1463</f>
        <v>0</v>
      </c>
      <c r="N1463" s="74">
        <f ca="1">$K$1463-EFEITO!$M$1463*EFEITO!$Z$1463</f>
        <v>0</v>
      </c>
      <c r="O1463" s="74">
        <f>$L$1463-EFEITO!$O$1463*EFEITO!$AA$1463</f>
        <v>0</v>
      </c>
      <c r="P1463" s="57"/>
      <c r="Q1463" s="57"/>
      <c r="R1463" s="57"/>
      <c r="S1463" s="57"/>
      <c r="T1463" s="57"/>
      <c r="U1463" s="57"/>
      <c r="V1463" s="57"/>
      <c r="W1463" s="57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</row>
    <row r="1464" spans="1:36" ht="11.25" customHeight="1" x14ac:dyDescent="0.2">
      <c r="A1464" s="53" t="s">
        <v>28</v>
      </c>
      <c r="B1464" s="53" t="s">
        <v>44</v>
      </c>
      <c r="C1464" s="53" t="s">
        <v>34</v>
      </c>
      <c r="D1464" s="53" t="s">
        <v>42</v>
      </c>
      <c r="E1464" s="53" t="s">
        <v>25</v>
      </c>
      <c r="F1464" s="53" t="s">
        <v>25</v>
      </c>
      <c r="G1464" s="53" t="s">
        <v>25</v>
      </c>
      <c r="H1464" s="53" t="s">
        <v>36</v>
      </c>
      <c r="I1464" s="73">
        <v>43952</v>
      </c>
      <c r="J1464" s="74">
        <f>EFEITO!$J$1464*EFEITO!$Y$1464</f>
        <v>0</v>
      </c>
      <c r="K1464" s="74">
        <f ca="1">EFEITO!$L$1464*EFEITO!$Z$1464</f>
        <v>38139.890188180107</v>
      </c>
      <c r="L1464" s="74">
        <f>EFEITO!$N$1464*EFEITO!$AA$1464</f>
        <v>77925.935749242024</v>
      </c>
      <c r="M1464" s="74">
        <f>$J$1464-EFEITO!$K$1464*EFEITO!$Y$1464</f>
        <v>0</v>
      </c>
      <c r="N1464" s="74">
        <f ca="1">$K$1464-EFEITO!$M$1464*EFEITO!$Z$1464</f>
        <v>0</v>
      </c>
      <c r="O1464" s="74">
        <f>$L$1464-EFEITO!$O$1464*EFEITO!$AA$1464</f>
        <v>0</v>
      </c>
      <c r="P1464" s="57"/>
      <c r="Q1464" s="57"/>
      <c r="R1464" s="57"/>
      <c r="S1464" s="57"/>
      <c r="T1464" s="57"/>
      <c r="U1464" s="57"/>
      <c r="V1464" s="57"/>
      <c r="W1464" s="57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</row>
    <row r="1465" spans="1:36" ht="11.25" customHeight="1" x14ac:dyDescent="0.2">
      <c r="A1465" s="53" t="s">
        <v>21</v>
      </c>
      <c r="B1465" s="53" t="s">
        <v>44</v>
      </c>
      <c r="C1465" s="53" t="s">
        <v>34</v>
      </c>
      <c r="D1465" s="53" t="s">
        <v>42</v>
      </c>
      <c r="E1465" s="53" t="s">
        <v>25</v>
      </c>
      <c r="F1465" s="53" t="s">
        <v>25</v>
      </c>
      <c r="G1465" s="53" t="s">
        <v>25</v>
      </c>
      <c r="H1465" s="53" t="s">
        <v>36</v>
      </c>
      <c r="I1465" s="73">
        <v>43983</v>
      </c>
      <c r="J1465" s="74">
        <f>EFEITO!$J$1465*EFEITO!$Y$1465</f>
        <v>0</v>
      </c>
      <c r="K1465" s="74">
        <f ca="1">EFEITO!$L$1465*EFEITO!$Z$1465</f>
        <v>468891.50538220245</v>
      </c>
      <c r="L1465" s="74">
        <f>EFEITO!$N$1465*EFEITO!$AA$1465</f>
        <v>958020.8317721528</v>
      </c>
      <c r="M1465" s="74">
        <f>$J$1465-EFEITO!$K$1465*EFEITO!$Y$1465</f>
        <v>0</v>
      </c>
      <c r="N1465" s="74">
        <f ca="1">$K$1465-EFEITO!$M$1465*EFEITO!$Z$1465</f>
        <v>0</v>
      </c>
      <c r="O1465" s="74">
        <f>$L$1465-EFEITO!$O$1465*EFEITO!$AA$1465</f>
        <v>0</v>
      </c>
      <c r="P1465" s="57"/>
      <c r="Q1465" s="57"/>
      <c r="R1465" s="57"/>
      <c r="S1465" s="57"/>
      <c r="T1465" s="57"/>
      <c r="U1465" s="57"/>
      <c r="V1465" s="57"/>
      <c r="W1465" s="57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</row>
    <row r="1466" spans="1:36" ht="11.25" customHeight="1" x14ac:dyDescent="0.2">
      <c r="A1466" s="53" t="s">
        <v>27</v>
      </c>
      <c r="B1466" s="53" t="s">
        <v>44</v>
      </c>
      <c r="C1466" s="53" t="s">
        <v>34</v>
      </c>
      <c r="D1466" s="53" t="s">
        <v>42</v>
      </c>
      <c r="E1466" s="53" t="s">
        <v>25</v>
      </c>
      <c r="F1466" s="53" t="s">
        <v>25</v>
      </c>
      <c r="G1466" s="53" t="s">
        <v>25</v>
      </c>
      <c r="H1466" s="53" t="s">
        <v>36</v>
      </c>
      <c r="I1466" s="73">
        <v>43983</v>
      </c>
      <c r="J1466" s="74">
        <f>EFEITO!$J$1466*EFEITO!$Y$1466</f>
        <v>0</v>
      </c>
      <c r="K1466" s="74">
        <f ca="1">EFEITO!$L$1466*EFEITO!$Z$1466</f>
        <v>2929.7704641211863</v>
      </c>
      <c r="L1466" s="74">
        <f>EFEITO!$N$1466*EFEITO!$AA$1466</f>
        <v>5985.9927184029575</v>
      </c>
      <c r="M1466" s="74">
        <f>$J$1466-EFEITO!$K$1466*EFEITO!$Y$1466</f>
        <v>0</v>
      </c>
      <c r="N1466" s="74">
        <f ca="1">$K$1466-EFEITO!$M$1466*EFEITO!$Z$1466</f>
        <v>0</v>
      </c>
      <c r="O1466" s="74">
        <f>$L$1466-EFEITO!$O$1466*EFEITO!$AA$1466</f>
        <v>0</v>
      </c>
      <c r="P1466" s="57"/>
      <c r="Q1466" s="57"/>
      <c r="R1466" s="57"/>
      <c r="S1466" s="57"/>
      <c r="T1466" s="57"/>
      <c r="U1466" s="57"/>
      <c r="V1466" s="57"/>
      <c r="W1466" s="57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</row>
    <row r="1467" spans="1:36" ht="11.25" customHeight="1" x14ac:dyDescent="0.2">
      <c r="A1467" s="53" t="s">
        <v>28</v>
      </c>
      <c r="B1467" s="53" t="s">
        <v>44</v>
      </c>
      <c r="C1467" s="53" t="s">
        <v>34</v>
      </c>
      <c r="D1467" s="53" t="s">
        <v>42</v>
      </c>
      <c r="E1467" s="53" t="s">
        <v>25</v>
      </c>
      <c r="F1467" s="53" t="s">
        <v>25</v>
      </c>
      <c r="G1467" s="53" t="s">
        <v>25</v>
      </c>
      <c r="H1467" s="53" t="s">
        <v>36</v>
      </c>
      <c r="I1467" s="73">
        <v>43983</v>
      </c>
      <c r="J1467" s="74">
        <f>EFEITO!$J$1467*EFEITO!$Y$1467</f>
        <v>0</v>
      </c>
      <c r="K1467" s="74">
        <f ca="1">EFEITO!$L$1467*EFEITO!$Z$1467</f>
        <v>38319.52673908064</v>
      </c>
      <c r="L1467" s="74">
        <f>EFEITO!$N$1467*EFEITO!$AA$1467</f>
        <v>78292.962142202858</v>
      </c>
      <c r="M1467" s="74">
        <f>$J$1467-EFEITO!$K$1467*EFEITO!$Y$1467</f>
        <v>0</v>
      </c>
      <c r="N1467" s="74">
        <f ca="1">$K$1467-EFEITO!$M$1467*EFEITO!$Z$1467</f>
        <v>0</v>
      </c>
      <c r="O1467" s="74">
        <f>$L$1467-EFEITO!$O$1467*EFEITO!$AA$1467</f>
        <v>0</v>
      </c>
      <c r="P1467" s="57"/>
      <c r="Q1467" s="57"/>
      <c r="R1467" s="57"/>
      <c r="S1467" s="57"/>
      <c r="T1467" s="57"/>
      <c r="U1467" s="57"/>
      <c r="V1467" s="57"/>
      <c r="W1467" s="57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</row>
    <row r="1468" spans="1:36" ht="11.25" customHeight="1" x14ac:dyDescent="0.2">
      <c r="A1468" s="53" t="s">
        <v>21</v>
      </c>
      <c r="B1468" s="53" t="s">
        <v>44</v>
      </c>
      <c r="C1468" s="53" t="s">
        <v>34</v>
      </c>
      <c r="D1468" s="53" t="s">
        <v>42</v>
      </c>
      <c r="E1468" s="53" t="s">
        <v>25</v>
      </c>
      <c r="F1468" s="53" t="s">
        <v>25</v>
      </c>
      <c r="G1468" s="53" t="s">
        <v>25</v>
      </c>
      <c r="H1468" s="53" t="s">
        <v>36</v>
      </c>
      <c r="I1468" s="73">
        <v>44013</v>
      </c>
      <c r="J1468" s="74">
        <f>EFEITO!$J$1468*EFEITO!$Y$1468</f>
        <v>0</v>
      </c>
      <c r="K1468" s="74">
        <f ca="1">EFEITO!$L$1468*EFEITO!$Z$1468</f>
        <v>416875.76493710285</v>
      </c>
      <c r="L1468" s="74">
        <f>EFEITO!$N$1468*EFEITO!$AA$1468</f>
        <v>851744.30009167467</v>
      </c>
      <c r="M1468" s="74">
        <f>$J$1468-EFEITO!$K$1468*EFEITO!$Y$1468</f>
        <v>0</v>
      </c>
      <c r="N1468" s="74">
        <f ca="1">$K$1468-EFEITO!$M$1468*EFEITO!$Z$1468</f>
        <v>0</v>
      </c>
      <c r="O1468" s="74">
        <f>$L$1468-EFEITO!$O$1468*EFEITO!$AA$1468</f>
        <v>0</v>
      </c>
      <c r="P1468" s="57"/>
      <c r="Q1468" s="57"/>
      <c r="R1468" s="57"/>
      <c r="S1468" s="57"/>
      <c r="T1468" s="57"/>
      <c r="U1468" s="57"/>
      <c r="V1468" s="57"/>
      <c r="W1468" s="57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</row>
    <row r="1469" spans="1:36" ht="11.25" customHeight="1" x14ac:dyDescent="0.2">
      <c r="A1469" s="53" t="s">
        <v>27</v>
      </c>
      <c r="B1469" s="53" t="s">
        <v>44</v>
      </c>
      <c r="C1469" s="53" t="s">
        <v>34</v>
      </c>
      <c r="D1469" s="53" t="s">
        <v>42</v>
      </c>
      <c r="E1469" s="53" t="s">
        <v>25</v>
      </c>
      <c r="F1469" s="53" t="s">
        <v>25</v>
      </c>
      <c r="G1469" s="53" t="s">
        <v>25</v>
      </c>
      <c r="H1469" s="53" t="s">
        <v>36</v>
      </c>
      <c r="I1469" s="73">
        <v>44013</v>
      </c>
      <c r="J1469" s="74">
        <f>EFEITO!$J$1469*EFEITO!$Y$1469</f>
        <v>0</v>
      </c>
      <c r="K1469" s="74">
        <f ca="1">EFEITO!$L$1469*EFEITO!$Z$1469</f>
        <v>241.09710668034131</v>
      </c>
      <c r="L1469" s="74">
        <f>EFEITO!$N$1469*EFEITO!$AA$1469</f>
        <v>492.60020287952761</v>
      </c>
      <c r="M1469" s="74">
        <f>$J$1469-EFEITO!$K$1469*EFEITO!$Y$1469</f>
        <v>0</v>
      </c>
      <c r="N1469" s="74">
        <f ca="1">$K$1469-EFEITO!$M$1469*EFEITO!$Z$1469</f>
        <v>0</v>
      </c>
      <c r="O1469" s="74">
        <f>$L$1469-EFEITO!$O$1469*EFEITO!$AA$1469</f>
        <v>0</v>
      </c>
      <c r="P1469" s="57"/>
      <c r="Q1469" s="57"/>
      <c r="R1469" s="57"/>
      <c r="S1469" s="57"/>
      <c r="T1469" s="57"/>
      <c r="U1469" s="57"/>
      <c r="V1469" s="57"/>
      <c r="W1469" s="57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</row>
    <row r="1470" spans="1:36" ht="11.25" customHeight="1" x14ac:dyDescent="0.2">
      <c r="A1470" s="53" t="s">
        <v>28</v>
      </c>
      <c r="B1470" s="53" t="s">
        <v>44</v>
      </c>
      <c r="C1470" s="53" t="s">
        <v>34</v>
      </c>
      <c r="D1470" s="53" t="s">
        <v>42</v>
      </c>
      <c r="E1470" s="53" t="s">
        <v>25</v>
      </c>
      <c r="F1470" s="53" t="s">
        <v>25</v>
      </c>
      <c r="G1470" s="53" t="s">
        <v>25</v>
      </c>
      <c r="H1470" s="53" t="s">
        <v>36</v>
      </c>
      <c r="I1470" s="73">
        <v>44013</v>
      </c>
      <c r="J1470" s="74">
        <f>EFEITO!$J$1470*EFEITO!$Y$1470</f>
        <v>0</v>
      </c>
      <c r="K1470" s="74">
        <f ca="1">EFEITO!$L$1470*EFEITO!$Z$1470</f>
        <v>34852.767264625967</v>
      </c>
      <c r="L1470" s="74">
        <f>EFEITO!$N$1470*EFEITO!$AA$1470</f>
        <v>71209.814426477315</v>
      </c>
      <c r="M1470" s="74">
        <f>$J$1470-EFEITO!$K$1470*EFEITO!$Y$1470</f>
        <v>0</v>
      </c>
      <c r="N1470" s="74">
        <f ca="1">$K$1470-EFEITO!$M$1470*EFEITO!$Z$1470</f>
        <v>0</v>
      </c>
      <c r="O1470" s="74">
        <f>$L$1470-EFEITO!$O$1470*EFEITO!$AA$1470</f>
        <v>0</v>
      </c>
      <c r="P1470" s="57"/>
      <c r="Q1470" s="57"/>
      <c r="R1470" s="57"/>
      <c r="S1470" s="57"/>
      <c r="T1470" s="57"/>
      <c r="U1470" s="57"/>
      <c r="V1470" s="57"/>
      <c r="W1470" s="57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</row>
    <row r="1471" spans="1:36" ht="11.25" customHeight="1" x14ac:dyDescent="0.2">
      <c r="A1471" s="53" t="s">
        <v>21</v>
      </c>
      <c r="B1471" s="53" t="s">
        <v>44</v>
      </c>
      <c r="C1471" s="53" t="s">
        <v>34</v>
      </c>
      <c r="D1471" s="53" t="s">
        <v>42</v>
      </c>
      <c r="E1471" s="53" t="s">
        <v>25</v>
      </c>
      <c r="F1471" s="53" t="s">
        <v>25</v>
      </c>
      <c r="G1471" s="53" t="s">
        <v>25</v>
      </c>
      <c r="H1471" s="53" t="s">
        <v>36</v>
      </c>
      <c r="I1471" s="73">
        <v>44044</v>
      </c>
      <c r="J1471" s="74">
        <f>EFEITO!$J$1471*EFEITO!$Y$1471</f>
        <v>0</v>
      </c>
      <c r="K1471" s="74">
        <f ca="1">EFEITO!$L$1471*EFEITO!$Z$1471</f>
        <v>424336.89564243075</v>
      </c>
      <c r="L1471" s="74">
        <f>EFEITO!$N$1471*EFEITO!$AA$1471</f>
        <v>866988.59128106735</v>
      </c>
      <c r="M1471" s="74">
        <f>$J$1471-EFEITO!$K$1471*EFEITO!$Y$1471</f>
        <v>0</v>
      </c>
      <c r="N1471" s="74">
        <f ca="1">$K$1471-EFEITO!$M$1471*EFEITO!$Z$1471</f>
        <v>0</v>
      </c>
      <c r="O1471" s="74">
        <f>$L$1471-EFEITO!$O$1471*EFEITO!$AA$1471</f>
        <v>0</v>
      </c>
      <c r="P1471" s="57"/>
      <c r="Q1471" s="57"/>
      <c r="R1471" s="57"/>
      <c r="S1471" s="57"/>
      <c r="T1471" s="57"/>
      <c r="U1471" s="57"/>
      <c r="V1471" s="57"/>
      <c r="W1471" s="57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</row>
    <row r="1472" spans="1:36" ht="11.25" customHeight="1" x14ac:dyDescent="0.2">
      <c r="A1472" s="53" t="s">
        <v>27</v>
      </c>
      <c r="B1472" s="53" t="s">
        <v>44</v>
      </c>
      <c r="C1472" s="53" t="s">
        <v>34</v>
      </c>
      <c r="D1472" s="53" t="s">
        <v>42</v>
      </c>
      <c r="E1472" s="53" t="s">
        <v>25</v>
      </c>
      <c r="F1472" s="53" t="s">
        <v>25</v>
      </c>
      <c r="G1472" s="53" t="s">
        <v>25</v>
      </c>
      <c r="H1472" s="53" t="s">
        <v>36</v>
      </c>
      <c r="I1472" s="73">
        <v>44044</v>
      </c>
      <c r="J1472" s="74">
        <f>EFEITO!$J$1472*EFEITO!$Y$1472</f>
        <v>0</v>
      </c>
      <c r="K1472" s="74">
        <f ca="1">EFEITO!$L$1472*EFEITO!$Z$1472</f>
        <v>1058.7258606848541</v>
      </c>
      <c r="L1472" s="74">
        <f>EFEITO!$N$1472*EFEITO!$AA$1472</f>
        <v>2163.1473763749082</v>
      </c>
      <c r="M1472" s="74">
        <f>$J$1472-EFEITO!$K$1472*EFEITO!$Y$1472</f>
        <v>0</v>
      </c>
      <c r="N1472" s="74">
        <f ca="1">$K$1472-EFEITO!$M$1472*EFEITO!$Z$1472</f>
        <v>0</v>
      </c>
      <c r="O1472" s="74">
        <f>$L$1472-EFEITO!$O$1472*EFEITO!$AA$1472</f>
        <v>0</v>
      </c>
      <c r="P1472" s="57"/>
      <c r="Q1472" s="57"/>
      <c r="R1472" s="57"/>
      <c r="S1472" s="57"/>
      <c r="T1472" s="57"/>
      <c r="U1472" s="57"/>
      <c r="V1472" s="57"/>
      <c r="W1472" s="57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</row>
    <row r="1473" spans="1:36" ht="11.25" customHeight="1" x14ac:dyDescent="0.2">
      <c r="A1473" s="53" t="s">
        <v>28</v>
      </c>
      <c r="B1473" s="53" t="s">
        <v>44</v>
      </c>
      <c r="C1473" s="53" t="s">
        <v>34</v>
      </c>
      <c r="D1473" s="53" t="s">
        <v>42</v>
      </c>
      <c r="E1473" s="53" t="s">
        <v>25</v>
      </c>
      <c r="F1473" s="53" t="s">
        <v>25</v>
      </c>
      <c r="G1473" s="53" t="s">
        <v>25</v>
      </c>
      <c r="H1473" s="53" t="s">
        <v>36</v>
      </c>
      <c r="I1473" s="73">
        <v>44044</v>
      </c>
      <c r="J1473" s="74">
        <f>EFEITO!$J$1473*EFEITO!$Y$1473</f>
        <v>0</v>
      </c>
      <c r="K1473" s="74">
        <f ca="1">EFEITO!$L$1473*EFEITO!$Z$1473</f>
        <v>49344.917763785961</v>
      </c>
      <c r="L1473" s="74">
        <f>EFEITO!$N$1473*EFEITO!$AA$1473</f>
        <v>100819.61097004137</v>
      </c>
      <c r="M1473" s="74">
        <f>$J$1473-EFEITO!$K$1473*EFEITO!$Y$1473</f>
        <v>0</v>
      </c>
      <c r="N1473" s="74">
        <f ca="1">$K$1473-EFEITO!$M$1473*EFEITO!$Z$1473</f>
        <v>0</v>
      </c>
      <c r="O1473" s="74">
        <f>$L$1473-EFEITO!$O$1473*EFEITO!$AA$1473</f>
        <v>0</v>
      </c>
      <c r="P1473" s="57"/>
      <c r="Q1473" s="57"/>
      <c r="R1473" s="57"/>
      <c r="S1473" s="57"/>
      <c r="T1473" s="57"/>
      <c r="U1473" s="57"/>
      <c r="V1473" s="57"/>
      <c r="W1473" s="57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</row>
    <row r="1474" spans="1:36" ht="11.25" customHeight="1" x14ac:dyDescent="0.2">
      <c r="A1474" s="53" t="s">
        <v>59</v>
      </c>
      <c r="B1474" s="53" t="s">
        <v>44</v>
      </c>
      <c r="C1474" s="53" t="s">
        <v>34</v>
      </c>
      <c r="D1474" s="53" t="s">
        <v>42</v>
      </c>
      <c r="E1474" s="53" t="s">
        <v>25</v>
      </c>
      <c r="F1474" s="53" t="s">
        <v>25</v>
      </c>
      <c r="G1474" s="53" t="s">
        <v>25</v>
      </c>
      <c r="H1474" s="53" t="s">
        <v>36</v>
      </c>
      <c r="I1474" s="73">
        <v>44075</v>
      </c>
      <c r="J1474" s="74">
        <f>EFEITO!$J$1474*EFEITO!$Y$1474</f>
        <v>0</v>
      </c>
      <c r="K1474" s="74">
        <f ca="1">EFEITO!$L$1474*EFEITO!$Z$1474</f>
        <v>424336.89564243075</v>
      </c>
      <c r="L1474" s="74">
        <f>EFEITO!$N$1474*EFEITO!$AA$1474</f>
        <v>866988.59128106735</v>
      </c>
      <c r="M1474" s="74">
        <f>$J$1474-EFEITO!$K$1474*EFEITO!$Y$1474</f>
        <v>0</v>
      </c>
      <c r="N1474" s="74">
        <f ca="1">$K$1474-EFEITO!$M$1474*EFEITO!$Z$1474</f>
        <v>0</v>
      </c>
      <c r="O1474" s="74">
        <f>$L$1474-EFEITO!$O$1474*EFEITO!$AA$1474</f>
        <v>0</v>
      </c>
      <c r="P1474" s="57"/>
      <c r="Q1474" s="57"/>
      <c r="R1474" s="57"/>
      <c r="S1474" s="57"/>
      <c r="T1474" s="57"/>
      <c r="U1474" s="57"/>
      <c r="V1474" s="57"/>
      <c r="W1474" s="57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</row>
    <row r="1475" spans="1:36" ht="11.25" customHeight="1" x14ac:dyDescent="0.2">
      <c r="A1475" s="53" t="s">
        <v>59</v>
      </c>
      <c r="B1475" s="53" t="s">
        <v>44</v>
      </c>
      <c r="C1475" s="53" t="s">
        <v>34</v>
      </c>
      <c r="D1475" s="53" t="s">
        <v>42</v>
      </c>
      <c r="E1475" s="53" t="s">
        <v>25</v>
      </c>
      <c r="F1475" s="53" t="s">
        <v>25</v>
      </c>
      <c r="G1475" s="53" t="s">
        <v>25</v>
      </c>
      <c r="H1475" s="53" t="s">
        <v>36</v>
      </c>
      <c r="I1475" s="73">
        <v>44075</v>
      </c>
      <c r="J1475" s="74">
        <f>EFEITO!$J$1475*EFEITO!$Y$1475</f>
        <v>0</v>
      </c>
      <c r="K1475" s="74">
        <f ca="1">EFEITO!$L$1475*EFEITO!$Z$1475</f>
        <v>1058.7258606848541</v>
      </c>
      <c r="L1475" s="74">
        <f>EFEITO!$N$1475*EFEITO!$AA$1475</f>
        <v>2163.1473763749082</v>
      </c>
      <c r="M1475" s="74">
        <f>$J$1475-EFEITO!$K$1475*EFEITO!$Y$1475</f>
        <v>0</v>
      </c>
      <c r="N1475" s="74">
        <f ca="1">$K$1475-EFEITO!$M$1475*EFEITO!$Z$1475</f>
        <v>0</v>
      </c>
      <c r="O1475" s="74">
        <f>$L$1475-EFEITO!$O$1475*EFEITO!$AA$1475</f>
        <v>0</v>
      </c>
      <c r="P1475" s="57"/>
      <c r="Q1475" s="57"/>
      <c r="R1475" s="57"/>
      <c r="S1475" s="57"/>
      <c r="T1475" s="57"/>
      <c r="U1475" s="57"/>
      <c r="V1475" s="57"/>
      <c r="W1475" s="57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</row>
    <row r="1476" spans="1:36" ht="11.25" customHeight="1" x14ac:dyDescent="0.2">
      <c r="A1476" s="53" t="s">
        <v>59</v>
      </c>
      <c r="B1476" s="53" t="s">
        <v>44</v>
      </c>
      <c r="C1476" s="53" t="s">
        <v>34</v>
      </c>
      <c r="D1476" s="53" t="s">
        <v>42</v>
      </c>
      <c r="E1476" s="53" t="s">
        <v>25</v>
      </c>
      <c r="F1476" s="53" t="s">
        <v>25</v>
      </c>
      <c r="G1476" s="53" t="s">
        <v>25</v>
      </c>
      <c r="H1476" s="53" t="s">
        <v>36</v>
      </c>
      <c r="I1476" s="73">
        <v>44075</v>
      </c>
      <c r="J1476" s="74">
        <f>EFEITO!$J$1476*EFEITO!$Y$1476</f>
        <v>0</v>
      </c>
      <c r="K1476" s="74">
        <f ca="1">EFEITO!$L$1476*EFEITO!$Z$1476</f>
        <v>49344.917763785961</v>
      </c>
      <c r="L1476" s="74">
        <f>EFEITO!$N$1476*EFEITO!$AA$1476</f>
        <v>100819.61097004137</v>
      </c>
      <c r="M1476" s="74">
        <f>$J$1476-EFEITO!$K$1476*EFEITO!$Y$1476</f>
        <v>0</v>
      </c>
      <c r="N1476" s="74">
        <f ca="1">$K$1476-EFEITO!$M$1476*EFEITO!$Z$1476</f>
        <v>0</v>
      </c>
      <c r="O1476" s="74">
        <f>$L$1476-EFEITO!$O$1476*EFEITO!$AA$1476</f>
        <v>0</v>
      </c>
      <c r="P1476" s="57"/>
      <c r="Q1476" s="57"/>
      <c r="R1476" s="57"/>
      <c r="S1476" s="57"/>
      <c r="T1476" s="57"/>
      <c r="U1476" s="57"/>
      <c r="V1476" s="57"/>
      <c r="W1476" s="57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</row>
    <row r="1477" spans="1:36" ht="11.25" customHeight="1" x14ac:dyDescent="0.2">
      <c r="A1477" s="53" t="s">
        <v>21</v>
      </c>
      <c r="B1477" s="53" t="s">
        <v>44</v>
      </c>
      <c r="C1477" s="53" t="s">
        <v>34</v>
      </c>
      <c r="D1477" s="53" t="s">
        <v>42</v>
      </c>
      <c r="E1477" s="53" t="s">
        <v>25</v>
      </c>
      <c r="F1477" s="53" t="s">
        <v>25</v>
      </c>
      <c r="G1477" s="53" t="s">
        <v>25</v>
      </c>
      <c r="H1477" s="53" t="s">
        <v>25</v>
      </c>
      <c r="I1477" s="73">
        <v>43739</v>
      </c>
      <c r="J1477" s="74">
        <f ca="1">EFEITO!$J$1477*EFEITO!$Y$1477</f>
        <v>440734.74929385277</v>
      </c>
      <c r="K1477" s="74">
        <f>EFEITO!$L$1477*EFEITO!$Z$1477</f>
        <v>0</v>
      </c>
      <c r="L1477" s="74">
        <f>EFEITO!$N$1477*EFEITO!$AA$1477</f>
        <v>0</v>
      </c>
      <c r="M1477" s="74">
        <f ca="1">$J$1477-EFEITO!$K$1477*EFEITO!$Y$1477</f>
        <v>0</v>
      </c>
      <c r="N1477" s="74">
        <f>$K$1477-EFEITO!$M$1477*EFEITO!$Z$1477</f>
        <v>0</v>
      </c>
      <c r="O1477" s="74">
        <f>$L$1477-EFEITO!$O$1477*EFEITO!$AA$1477</f>
        <v>0</v>
      </c>
      <c r="P1477" s="57"/>
      <c r="Q1477" s="57"/>
      <c r="R1477" s="57"/>
      <c r="S1477" s="57"/>
      <c r="T1477" s="57"/>
      <c r="U1477" s="57"/>
      <c r="V1477" s="57"/>
      <c r="W1477" s="57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</row>
    <row r="1478" spans="1:36" ht="11.25" customHeight="1" x14ac:dyDescent="0.2">
      <c r="A1478" s="53" t="s">
        <v>27</v>
      </c>
      <c r="B1478" s="53" t="s">
        <v>44</v>
      </c>
      <c r="C1478" s="53" t="s">
        <v>34</v>
      </c>
      <c r="D1478" s="53" t="s">
        <v>42</v>
      </c>
      <c r="E1478" s="53" t="s">
        <v>25</v>
      </c>
      <c r="F1478" s="53" t="s">
        <v>25</v>
      </c>
      <c r="G1478" s="53" t="s">
        <v>25</v>
      </c>
      <c r="H1478" s="53" t="s">
        <v>25</v>
      </c>
      <c r="I1478" s="73">
        <v>43739</v>
      </c>
      <c r="J1478" s="74">
        <f ca="1">EFEITO!$J$1478*EFEITO!$Y$1478</f>
        <v>2080.0696100272594</v>
      </c>
      <c r="K1478" s="74">
        <f>EFEITO!$L$1478*EFEITO!$Z$1478</f>
        <v>0</v>
      </c>
      <c r="L1478" s="74">
        <f>EFEITO!$N$1478*EFEITO!$AA$1478</f>
        <v>0</v>
      </c>
      <c r="M1478" s="74">
        <f ca="1">$J$1478-EFEITO!$K$1478*EFEITO!$Y$1478</f>
        <v>0</v>
      </c>
      <c r="N1478" s="74">
        <f>$K$1478-EFEITO!$M$1478*EFEITO!$Z$1478</f>
        <v>0</v>
      </c>
      <c r="O1478" s="74">
        <f>$L$1478-EFEITO!$O$1478*EFEITO!$AA$1478</f>
        <v>0</v>
      </c>
      <c r="P1478" s="57"/>
      <c r="Q1478" s="57"/>
      <c r="R1478" s="57"/>
      <c r="S1478" s="57"/>
      <c r="T1478" s="57"/>
      <c r="U1478" s="57"/>
      <c r="V1478" s="57"/>
      <c r="W1478" s="57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</row>
    <row r="1479" spans="1:36" ht="11.25" customHeight="1" x14ac:dyDescent="0.2">
      <c r="A1479" s="53" t="s">
        <v>28</v>
      </c>
      <c r="B1479" s="53" t="s">
        <v>44</v>
      </c>
      <c r="C1479" s="53" t="s">
        <v>34</v>
      </c>
      <c r="D1479" s="53" t="s">
        <v>42</v>
      </c>
      <c r="E1479" s="53" t="s">
        <v>25</v>
      </c>
      <c r="F1479" s="53" t="s">
        <v>25</v>
      </c>
      <c r="G1479" s="53" t="s">
        <v>25</v>
      </c>
      <c r="H1479" s="53" t="s">
        <v>25</v>
      </c>
      <c r="I1479" s="73">
        <v>43739</v>
      </c>
      <c r="J1479" s="74">
        <f ca="1">EFEITO!$J$1479*EFEITO!$Y$1479</f>
        <v>37921.269044343113</v>
      </c>
      <c r="K1479" s="74">
        <f>EFEITO!$L$1479*EFEITO!$Z$1479</f>
        <v>0</v>
      </c>
      <c r="L1479" s="74">
        <f>EFEITO!$N$1479*EFEITO!$AA$1479</f>
        <v>0</v>
      </c>
      <c r="M1479" s="74">
        <f ca="1">$J$1479-EFEITO!$K$1479*EFEITO!$Y$1479</f>
        <v>0</v>
      </c>
      <c r="N1479" s="74">
        <f>$K$1479-EFEITO!$M$1479*EFEITO!$Z$1479</f>
        <v>0</v>
      </c>
      <c r="O1479" s="74">
        <f>$L$1479-EFEITO!$O$1479*EFEITO!$AA$1479</f>
        <v>0</v>
      </c>
      <c r="P1479" s="57"/>
      <c r="Q1479" s="57"/>
      <c r="R1479" s="57"/>
      <c r="S1479" s="57"/>
      <c r="T1479" s="57"/>
      <c r="U1479" s="57"/>
      <c r="V1479" s="57"/>
      <c r="W1479" s="57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</row>
    <row r="1480" spans="1:36" ht="11.25" customHeight="1" x14ac:dyDescent="0.2">
      <c r="A1480" s="53" t="s">
        <v>21</v>
      </c>
      <c r="B1480" s="53" t="s">
        <v>44</v>
      </c>
      <c r="C1480" s="53" t="s">
        <v>34</v>
      </c>
      <c r="D1480" s="53" t="s">
        <v>42</v>
      </c>
      <c r="E1480" s="53" t="s">
        <v>25</v>
      </c>
      <c r="F1480" s="53" t="s">
        <v>25</v>
      </c>
      <c r="G1480" s="53" t="s">
        <v>25</v>
      </c>
      <c r="H1480" s="53" t="s">
        <v>25</v>
      </c>
      <c r="I1480" s="73">
        <v>43770</v>
      </c>
      <c r="J1480" s="74">
        <f ca="1">EFEITO!$J$1480*EFEITO!$Y$1480</f>
        <v>429310.36697416462</v>
      </c>
      <c r="K1480" s="74">
        <f>EFEITO!$L$1480*EFEITO!$Z$1480</f>
        <v>0</v>
      </c>
      <c r="L1480" s="74">
        <f>EFEITO!$N$1480*EFEITO!$AA$1480</f>
        <v>0</v>
      </c>
      <c r="M1480" s="74">
        <f ca="1">$J$1480-EFEITO!$K$1480*EFEITO!$Y$1480</f>
        <v>0</v>
      </c>
      <c r="N1480" s="74">
        <f>$K$1480-EFEITO!$M$1480*EFEITO!$Z$1480</f>
        <v>0</v>
      </c>
      <c r="O1480" s="74">
        <f>$L$1480-EFEITO!$O$1480*EFEITO!$AA$1480</f>
        <v>0</v>
      </c>
      <c r="P1480" s="57"/>
      <c r="Q1480" s="57"/>
      <c r="R1480" s="57"/>
      <c r="S1480" s="57"/>
      <c r="T1480" s="57"/>
      <c r="U1480" s="57"/>
      <c r="V1480" s="57"/>
      <c r="W1480" s="57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</row>
    <row r="1481" spans="1:36" ht="11.25" customHeight="1" x14ac:dyDescent="0.2">
      <c r="A1481" s="53" t="s">
        <v>27</v>
      </c>
      <c r="B1481" s="53" t="s">
        <v>44</v>
      </c>
      <c r="C1481" s="53" t="s">
        <v>34</v>
      </c>
      <c r="D1481" s="53" t="s">
        <v>42</v>
      </c>
      <c r="E1481" s="53" t="s">
        <v>25</v>
      </c>
      <c r="F1481" s="53" t="s">
        <v>25</v>
      </c>
      <c r="G1481" s="53" t="s">
        <v>25</v>
      </c>
      <c r="H1481" s="53" t="s">
        <v>25</v>
      </c>
      <c r="I1481" s="73">
        <v>43770</v>
      </c>
      <c r="J1481" s="74">
        <f ca="1">EFEITO!$J$1481*EFEITO!$Y$1481</f>
        <v>18672.624883860091</v>
      </c>
      <c r="K1481" s="74">
        <f>EFEITO!$L$1481*EFEITO!$Z$1481</f>
        <v>0</v>
      </c>
      <c r="L1481" s="74">
        <f>EFEITO!$N$1481*EFEITO!$AA$1481</f>
        <v>0</v>
      </c>
      <c r="M1481" s="74">
        <f ca="1">$J$1481-EFEITO!$K$1481*EFEITO!$Y$1481</f>
        <v>0</v>
      </c>
      <c r="N1481" s="74">
        <f>$K$1481-EFEITO!$M$1481*EFEITO!$Z$1481</f>
        <v>0</v>
      </c>
      <c r="O1481" s="74">
        <f>$L$1481-EFEITO!$O$1481*EFEITO!$AA$1481</f>
        <v>0</v>
      </c>
      <c r="P1481" s="57"/>
      <c r="Q1481" s="57"/>
      <c r="R1481" s="57"/>
      <c r="S1481" s="57"/>
      <c r="T1481" s="57"/>
      <c r="U1481" s="57"/>
      <c r="V1481" s="57"/>
      <c r="W1481" s="57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</row>
    <row r="1482" spans="1:36" ht="11.25" customHeight="1" x14ac:dyDescent="0.2">
      <c r="A1482" s="53" t="s">
        <v>28</v>
      </c>
      <c r="B1482" s="53" t="s">
        <v>44</v>
      </c>
      <c r="C1482" s="53" t="s">
        <v>34</v>
      </c>
      <c r="D1482" s="53" t="s">
        <v>42</v>
      </c>
      <c r="E1482" s="53" t="s">
        <v>25</v>
      </c>
      <c r="F1482" s="53" t="s">
        <v>25</v>
      </c>
      <c r="G1482" s="53" t="s">
        <v>25</v>
      </c>
      <c r="H1482" s="53" t="s">
        <v>25</v>
      </c>
      <c r="I1482" s="73">
        <v>43770</v>
      </c>
      <c r="J1482" s="74">
        <f ca="1">EFEITO!$J$1482*EFEITO!$Y$1482</f>
        <v>37921.269044343113</v>
      </c>
      <c r="K1482" s="74">
        <f>EFEITO!$L$1482*EFEITO!$Z$1482</f>
        <v>0</v>
      </c>
      <c r="L1482" s="74">
        <f>EFEITO!$N$1482*EFEITO!$AA$1482</f>
        <v>0</v>
      </c>
      <c r="M1482" s="74">
        <f ca="1">$J$1482-EFEITO!$K$1482*EFEITO!$Y$1482</f>
        <v>0</v>
      </c>
      <c r="N1482" s="74">
        <f>$K$1482-EFEITO!$M$1482*EFEITO!$Z$1482</f>
        <v>0</v>
      </c>
      <c r="O1482" s="74">
        <f>$L$1482-EFEITO!$O$1482*EFEITO!$AA$1482</f>
        <v>0</v>
      </c>
      <c r="P1482" s="57"/>
      <c r="Q1482" s="57"/>
      <c r="R1482" s="57"/>
      <c r="S1482" s="57"/>
      <c r="T1482" s="57"/>
      <c r="U1482" s="57"/>
      <c r="V1482" s="57"/>
      <c r="W1482" s="57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</row>
    <row r="1483" spans="1:36" ht="11.25" customHeight="1" x14ac:dyDescent="0.2">
      <c r="A1483" s="53" t="s">
        <v>21</v>
      </c>
      <c r="B1483" s="53" t="s">
        <v>44</v>
      </c>
      <c r="C1483" s="53" t="s">
        <v>34</v>
      </c>
      <c r="D1483" s="53" t="s">
        <v>42</v>
      </c>
      <c r="E1483" s="53" t="s">
        <v>25</v>
      </c>
      <c r="F1483" s="53" t="s">
        <v>25</v>
      </c>
      <c r="G1483" s="53" t="s">
        <v>25</v>
      </c>
      <c r="H1483" s="53" t="s">
        <v>25</v>
      </c>
      <c r="I1483" s="73">
        <v>43800</v>
      </c>
      <c r="J1483" s="74">
        <f ca="1">EFEITO!$J$1483*EFEITO!$Y$1483</f>
        <v>441598.7782087872</v>
      </c>
      <c r="K1483" s="74">
        <f>EFEITO!$L$1483*EFEITO!$Z$1483</f>
        <v>0</v>
      </c>
      <c r="L1483" s="74">
        <f>EFEITO!$N$1483*EFEITO!$AA$1483</f>
        <v>0</v>
      </c>
      <c r="M1483" s="74">
        <f ca="1">$J$1483-EFEITO!$K$1483*EFEITO!$Y$1483</f>
        <v>0</v>
      </c>
      <c r="N1483" s="74">
        <f>$K$1483-EFEITO!$M$1483*EFEITO!$Z$1483</f>
        <v>0</v>
      </c>
      <c r="O1483" s="74">
        <f>$L$1483-EFEITO!$O$1483*EFEITO!$AA$1483</f>
        <v>0</v>
      </c>
      <c r="P1483" s="57"/>
      <c r="Q1483" s="57"/>
      <c r="R1483" s="57"/>
      <c r="S1483" s="57"/>
      <c r="T1483" s="57"/>
      <c r="U1483" s="57"/>
      <c r="V1483" s="57"/>
      <c r="W1483" s="57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</row>
    <row r="1484" spans="1:36" ht="11.25" customHeight="1" x14ac:dyDescent="0.2">
      <c r="A1484" s="53" t="s">
        <v>27</v>
      </c>
      <c r="B1484" s="53" t="s">
        <v>44</v>
      </c>
      <c r="C1484" s="53" t="s">
        <v>34</v>
      </c>
      <c r="D1484" s="53" t="s">
        <v>42</v>
      </c>
      <c r="E1484" s="53" t="s">
        <v>25</v>
      </c>
      <c r="F1484" s="53" t="s">
        <v>25</v>
      </c>
      <c r="G1484" s="53" t="s">
        <v>25</v>
      </c>
      <c r="H1484" s="53" t="s">
        <v>25</v>
      </c>
      <c r="I1484" s="73">
        <v>43800</v>
      </c>
      <c r="J1484" s="74">
        <f ca="1">EFEITO!$J$1484*EFEITO!$Y$1484</f>
        <v>2080.0696100272594</v>
      </c>
      <c r="K1484" s="74">
        <f>EFEITO!$L$1484*EFEITO!$Z$1484</f>
        <v>0</v>
      </c>
      <c r="L1484" s="74">
        <f>EFEITO!$N$1484*EFEITO!$AA$1484</f>
        <v>0</v>
      </c>
      <c r="M1484" s="74">
        <f ca="1">$J$1484-EFEITO!$K$1484*EFEITO!$Y$1484</f>
        <v>0</v>
      </c>
      <c r="N1484" s="74">
        <f>$K$1484-EFEITO!$M$1484*EFEITO!$Z$1484</f>
        <v>0</v>
      </c>
      <c r="O1484" s="74">
        <f>$L$1484-EFEITO!$O$1484*EFEITO!$AA$1484</f>
        <v>0</v>
      </c>
      <c r="P1484" s="57"/>
      <c r="Q1484" s="57"/>
      <c r="R1484" s="57"/>
      <c r="S1484" s="57"/>
      <c r="T1484" s="57"/>
      <c r="U1484" s="57"/>
      <c r="V1484" s="57"/>
      <c r="W1484" s="57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</row>
    <row r="1485" spans="1:36" ht="11.25" customHeight="1" x14ac:dyDescent="0.2">
      <c r="A1485" s="53" t="s">
        <v>28</v>
      </c>
      <c r="B1485" s="53" t="s">
        <v>44</v>
      </c>
      <c r="C1485" s="53" t="s">
        <v>34</v>
      </c>
      <c r="D1485" s="53" t="s">
        <v>42</v>
      </c>
      <c r="E1485" s="53" t="s">
        <v>25</v>
      </c>
      <c r="F1485" s="53" t="s">
        <v>25</v>
      </c>
      <c r="G1485" s="53" t="s">
        <v>25</v>
      </c>
      <c r="H1485" s="53" t="s">
        <v>25</v>
      </c>
      <c r="I1485" s="73">
        <v>43800</v>
      </c>
      <c r="J1485" s="74">
        <f ca="1">EFEITO!$J$1485*EFEITO!$Y$1485</f>
        <v>63522.125783140153</v>
      </c>
      <c r="K1485" s="74">
        <f>EFEITO!$L$1485*EFEITO!$Z$1485</f>
        <v>0</v>
      </c>
      <c r="L1485" s="74">
        <f>EFEITO!$N$1485*EFEITO!$AA$1485</f>
        <v>0</v>
      </c>
      <c r="M1485" s="74">
        <f ca="1">$J$1485-EFEITO!$K$1485*EFEITO!$Y$1485</f>
        <v>0</v>
      </c>
      <c r="N1485" s="74">
        <f>$K$1485-EFEITO!$M$1485*EFEITO!$Z$1485</f>
        <v>0</v>
      </c>
      <c r="O1485" s="74">
        <f>$L$1485-EFEITO!$O$1485*EFEITO!$AA$1485</f>
        <v>0</v>
      </c>
      <c r="P1485" s="57"/>
      <c r="Q1485" s="57"/>
      <c r="R1485" s="57"/>
      <c r="S1485" s="57"/>
      <c r="T1485" s="57"/>
      <c r="U1485" s="57"/>
      <c r="V1485" s="57"/>
      <c r="W1485" s="57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</row>
    <row r="1486" spans="1:36" ht="11.25" customHeight="1" x14ac:dyDescent="0.2">
      <c r="A1486" s="53" t="s">
        <v>21</v>
      </c>
      <c r="B1486" s="53" t="s">
        <v>44</v>
      </c>
      <c r="C1486" s="53" t="s">
        <v>34</v>
      </c>
      <c r="D1486" s="53" t="s">
        <v>42</v>
      </c>
      <c r="E1486" s="53" t="s">
        <v>25</v>
      </c>
      <c r="F1486" s="53" t="s">
        <v>25</v>
      </c>
      <c r="G1486" s="53" t="s">
        <v>25</v>
      </c>
      <c r="H1486" s="53" t="s">
        <v>25</v>
      </c>
      <c r="I1486" s="73">
        <v>43831</v>
      </c>
      <c r="J1486" s="74">
        <f ca="1">EFEITO!$J$1486*EFEITO!$Y$1486</f>
        <v>427774.31556983682</v>
      </c>
      <c r="K1486" s="74">
        <f>EFEITO!$L$1486*EFEITO!$Z$1486</f>
        <v>0</v>
      </c>
      <c r="L1486" s="74">
        <f>EFEITO!$N$1486*EFEITO!$AA$1486</f>
        <v>0</v>
      </c>
      <c r="M1486" s="74">
        <f ca="1">$J$1486-EFEITO!$K$1486*EFEITO!$Y$1486</f>
        <v>0</v>
      </c>
      <c r="N1486" s="74">
        <f>$K$1486-EFEITO!$M$1486*EFEITO!$Z$1486</f>
        <v>0</v>
      </c>
      <c r="O1486" s="74">
        <f>$L$1486-EFEITO!$O$1486*EFEITO!$AA$1486</f>
        <v>0</v>
      </c>
      <c r="P1486" s="57"/>
      <c r="Q1486" s="57"/>
      <c r="R1486" s="57"/>
      <c r="S1486" s="57"/>
      <c r="T1486" s="57"/>
      <c r="U1486" s="57"/>
      <c r="V1486" s="57"/>
      <c r="W1486" s="57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</row>
    <row r="1487" spans="1:36" ht="11.25" customHeight="1" x14ac:dyDescent="0.2">
      <c r="A1487" s="53" t="s">
        <v>27</v>
      </c>
      <c r="B1487" s="53" t="s">
        <v>44</v>
      </c>
      <c r="C1487" s="53" t="s">
        <v>34</v>
      </c>
      <c r="D1487" s="53" t="s">
        <v>42</v>
      </c>
      <c r="E1487" s="53" t="s">
        <v>25</v>
      </c>
      <c r="F1487" s="53" t="s">
        <v>25</v>
      </c>
      <c r="G1487" s="53" t="s">
        <v>25</v>
      </c>
      <c r="H1487" s="53" t="s">
        <v>25</v>
      </c>
      <c r="I1487" s="73">
        <v>43831</v>
      </c>
      <c r="J1487" s="74">
        <f ca="1">EFEITO!$J$1487*EFEITO!$Y$1487</f>
        <v>4240.1418973632599</v>
      </c>
      <c r="K1487" s="74">
        <f>EFEITO!$L$1487*EFEITO!$Z$1487</f>
        <v>0</v>
      </c>
      <c r="L1487" s="74">
        <f>EFEITO!$N$1487*EFEITO!$AA$1487</f>
        <v>0</v>
      </c>
      <c r="M1487" s="74">
        <f ca="1">$J$1487-EFEITO!$K$1487*EFEITO!$Y$1487</f>
        <v>0</v>
      </c>
      <c r="N1487" s="74">
        <f>$K$1487-EFEITO!$M$1487*EFEITO!$Z$1487</f>
        <v>0</v>
      </c>
      <c r="O1487" s="74">
        <f>$L$1487-EFEITO!$O$1487*EFEITO!$AA$1487</f>
        <v>0</v>
      </c>
      <c r="P1487" s="57"/>
      <c r="Q1487" s="57"/>
      <c r="R1487" s="57"/>
      <c r="S1487" s="57"/>
      <c r="T1487" s="57"/>
      <c r="U1487" s="57"/>
      <c r="V1487" s="57"/>
      <c r="W1487" s="57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</row>
    <row r="1488" spans="1:36" ht="11.25" customHeight="1" x14ac:dyDescent="0.2">
      <c r="A1488" s="53" t="s">
        <v>28</v>
      </c>
      <c r="B1488" s="53" t="s">
        <v>44</v>
      </c>
      <c r="C1488" s="53" t="s">
        <v>34</v>
      </c>
      <c r="D1488" s="53" t="s">
        <v>42</v>
      </c>
      <c r="E1488" s="53" t="s">
        <v>25</v>
      </c>
      <c r="F1488" s="53" t="s">
        <v>25</v>
      </c>
      <c r="G1488" s="53" t="s">
        <v>25</v>
      </c>
      <c r="H1488" s="53" t="s">
        <v>25</v>
      </c>
      <c r="I1488" s="73">
        <v>43831</v>
      </c>
      <c r="J1488" s="74">
        <f ca="1">EFEITO!$J$1488*EFEITO!$Y$1488</f>
        <v>55521.858052266078</v>
      </c>
      <c r="K1488" s="74">
        <f>EFEITO!$L$1488*EFEITO!$Z$1488</f>
        <v>0</v>
      </c>
      <c r="L1488" s="74">
        <f>EFEITO!$N$1488*EFEITO!$AA$1488</f>
        <v>0</v>
      </c>
      <c r="M1488" s="74">
        <f ca="1">$J$1488-EFEITO!$K$1488*EFEITO!$Y$1488</f>
        <v>0</v>
      </c>
      <c r="N1488" s="74">
        <f>$K$1488-EFEITO!$M$1488*EFEITO!$Z$1488</f>
        <v>0</v>
      </c>
      <c r="O1488" s="74">
        <f>$L$1488-EFEITO!$O$1488*EFEITO!$AA$1488</f>
        <v>0</v>
      </c>
      <c r="P1488" s="57"/>
      <c r="Q1488" s="57"/>
      <c r="R1488" s="57"/>
      <c r="S1488" s="57"/>
      <c r="T1488" s="57"/>
      <c r="U1488" s="57"/>
      <c r="V1488" s="57"/>
      <c r="W1488" s="57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</row>
    <row r="1489" spans="1:36" ht="11.25" customHeight="1" x14ac:dyDescent="0.2">
      <c r="A1489" s="53" t="s">
        <v>21</v>
      </c>
      <c r="B1489" s="53" t="s">
        <v>44</v>
      </c>
      <c r="C1489" s="53" t="s">
        <v>34</v>
      </c>
      <c r="D1489" s="53" t="s">
        <v>42</v>
      </c>
      <c r="E1489" s="53" t="s">
        <v>25</v>
      </c>
      <c r="F1489" s="53" t="s">
        <v>25</v>
      </c>
      <c r="G1489" s="53" t="s">
        <v>25</v>
      </c>
      <c r="H1489" s="53" t="s">
        <v>25</v>
      </c>
      <c r="I1489" s="73">
        <v>43862</v>
      </c>
      <c r="J1489" s="74">
        <f ca="1">EFEITO!$J$1489*EFEITO!$Y$1489</f>
        <v>441902.78838256042</v>
      </c>
      <c r="K1489" s="74">
        <f>EFEITO!$L$1489*EFEITO!$Z$1489</f>
        <v>0</v>
      </c>
      <c r="L1489" s="74">
        <f>EFEITO!$N$1489*EFEITO!$AA$1489</f>
        <v>0</v>
      </c>
      <c r="M1489" s="74">
        <f ca="1">$J$1489-EFEITO!$K$1489*EFEITO!$Y$1489</f>
        <v>0</v>
      </c>
      <c r="N1489" s="74">
        <f>$K$1489-EFEITO!$M$1489*EFEITO!$Z$1489</f>
        <v>0</v>
      </c>
      <c r="O1489" s="74">
        <f>$L$1489-EFEITO!$O$1489*EFEITO!$AA$1489</f>
        <v>0</v>
      </c>
      <c r="P1489" s="57"/>
      <c r="Q1489" s="57"/>
      <c r="R1489" s="57"/>
      <c r="S1489" s="57"/>
      <c r="T1489" s="57"/>
      <c r="U1489" s="57"/>
      <c r="V1489" s="57"/>
      <c r="W1489" s="57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</row>
    <row r="1490" spans="1:36" ht="11.25" customHeight="1" x14ac:dyDescent="0.2">
      <c r="A1490" s="53" t="s">
        <v>27</v>
      </c>
      <c r="B1490" s="53" t="s">
        <v>44</v>
      </c>
      <c r="C1490" s="53" t="s">
        <v>34</v>
      </c>
      <c r="D1490" s="53" t="s">
        <v>42</v>
      </c>
      <c r="E1490" s="53" t="s">
        <v>25</v>
      </c>
      <c r="F1490" s="53" t="s">
        <v>25</v>
      </c>
      <c r="G1490" s="53" t="s">
        <v>25</v>
      </c>
      <c r="H1490" s="53" t="s">
        <v>25</v>
      </c>
      <c r="I1490" s="73">
        <v>43862</v>
      </c>
      <c r="J1490" s="74">
        <f ca="1">EFEITO!$J$1490*EFEITO!$Y$1490</f>
        <v>2080.0696100272594</v>
      </c>
      <c r="K1490" s="74">
        <f>EFEITO!$L$1490*EFEITO!$Z$1490</f>
        <v>0</v>
      </c>
      <c r="L1490" s="74">
        <f>EFEITO!$N$1490*EFEITO!$AA$1490</f>
        <v>0</v>
      </c>
      <c r="M1490" s="74">
        <f ca="1">$J$1490-EFEITO!$K$1490*EFEITO!$Y$1490</f>
        <v>0</v>
      </c>
      <c r="N1490" s="74">
        <f>$K$1490-EFEITO!$M$1490*EFEITO!$Z$1490</f>
        <v>0</v>
      </c>
      <c r="O1490" s="74">
        <f>$L$1490-EFEITO!$O$1490*EFEITO!$AA$1490</f>
        <v>0</v>
      </c>
      <c r="P1490" s="57"/>
      <c r="Q1490" s="57"/>
      <c r="R1490" s="57"/>
      <c r="S1490" s="57"/>
      <c r="T1490" s="57"/>
      <c r="U1490" s="57"/>
      <c r="V1490" s="57"/>
      <c r="W1490" s="57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</row>
    <row r="1491" spans="1:36" ht="11.25" customHeight="1" x14ac:dyDescent="0.2">
      <c r="A1491" s="53" t="s">
        <v>28</v>
      </c>
      <c r="B1491" s="53" t="s">
        <v>44</v>
      </c>
      <c r="C1491" s="53" t="s">
        <v>34</v>
      </c>
      <c r="D1491" s="53" t="s">
        <v>42</v>
      </c>
      <c r="E1491" s="53" t="s">
        <v>25</v>
      </c>
      <c r="F1491" s="53" t="s">
        <v>25</v>
      </c>
      <c r="G1491" s="53" t="s">
        <v>25</v>
      </c>
      <c r="H1491" s="53" t="s">
        <v>25</v>
      </c>
      <c r="I1491" s="73">
        <v>43862</v>
      </c>
      <c r="J1491" s="74">
        <f ca="1">EFEITO!$J$1491*EFEITO!$Y$1491</f>
        <v>55521.858052266078</v>
      </c>
      <c r="K1491" s="74">
        <f>EFEITO!$L$1491*EFEITO!$Z$1491</f>
        <v>0</v>
      </c>
      <c r="L1491" s="74">
        <f>EFEITO!$N$1491*EFEITO!$AA$1491</f>
        <v>0</v>
      </c>
      <c r="M1491" s="74">
        <f ca="1">$J$1491-EFEITO!$K$1491*EFEITO!$Y$1491</f>
        <v>0</v>
      </c>
      <c r="N1491" s="74">
        <f>$K$1491-EFEITO!$M$1491*EFEITO!$Z$1491</f>
        <v>0</v>
      </c>
      <c r="O1491" s="74">
        <f>$L$1491-EFEITO!$O$1491*EFEITO!$AA$1491</f>
        <v>0</v>
      </c>
      <c r="P1491" s="57"/>
      <c r="Q1491" s="57"/>
      <c r="R1491" s="57"/>
      <c r="S1491" s="57"/>
      <c r="T1491" s="57"/>
      <c r="U1491" s="57"/>
      <c r="V1491" s="57"/>
      <c r="W1491" s="57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</row>
    <row r="1492" spans="1:36" ht="11.25" customHeight="1" x14ac:dyDescent="0.2">
      <c r="A1492" s="53" t="s">
        <v>21</v>
      </c>
      <c r="B1492" s="53" t="s">
        <v>44</v>
      </c>
      <c r="C1492" s="53" t="s">
        <v>34</v>
      </c>
      <c r="D1492" s="53" t="s">
        <v>42</v>
      </c>
      <c r="E1492" s="53" t="s">
        <v>25</v>
      </c>
      <c r="F1492" s="53" t="s">
        <v>25</v>
      </c>
      <c r="G1492" s="53" t="s">
        <v>25</v>
      </c>
      <c r="H1492" s="53" t="s">
        <v>25</v>
      </c>
      <c r="I1492" s="73">
        <v>43891</v>
      </c>
      <c r="J1492" s="74">
        <f ca="1">EFEITO!$J$1492*EFEITO!$Y$1492</f>
        <v>438174.66361997311</v>
      </c>
      <c r="K1492" s="74">
        <f>EFEITO!$L$1492*EFEITO!$Z$1492</f>
        <v>0</v>
      </c>
      <c r="L1492" s="74">
        <f>EFEITO!$N$1492*EFEITO!$AA$1492</f>
        <v>0</v>
      </c>
      <c r="M1492" s="74">
        <f ca="1">$J$1492-EFEITO!$K$1492*EFEITO!$Y$1492</f>
        <v>0</v>
      </c>
      <c r="N1492" s="74">
        <f>$K$1492-EFEITO!$M$1492*EFEITO!$Z$1492</f>
        <v>0</v>
      </c>
      <c r="O1492" s="74">
        <f>$L$1492-EFEITO!$O$1492*EFEITO!$AA$1492</f>
        <v>0</v>
      </c>
      <c r="P1492" s="57"/>
      <c r="Q1492" s="57"/>
      <c r="R1492" s="57"/>
      <c r="S1492" s="57"/>
      <c r="T1492" s="57"/>
      <c r="U1492" s="57"/>
      <c r="V1492" s="57"/>
      <c r="W1492" s="57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</row>
    <row r="1493" spans="1:36" ht="11.25" customHeight="1" x14ac:dyDescent="0.2">
      <c r="A1493" s="53" t="s">
        <v>27</v>
      </c>
      <c r="B1493" s="53" t="s">
        <v>44</v>
      </c>
      <c r="C1493" s="53" t="s">
        <v>34</v>
      </c>
      <c r="D1493" s="53" t="s">
        <v>42</v>
      </c>
      <c r="E1493" s="53" t="s">
        <v>25</v>
      </c>
      <c r="F1493" s="53" t="s">
        <v>25</v>
      </c>
      <c r="G1493" s="53" t="s">
        <v>25</v>
      </c>
      <c r="H1493" s="53" t="s">
        <v>25</v>
      </c>
      <c r="I1493" s="73">
        <v>43891</v>
      </c>
      <c r="J1493" s="74">
        <f ca="1">EFEITO!$J$1493*EFEITO!$Y$1493</f>
        <v>2080.0696100272594</v>
      </c>
      <c r="K1493" s="74">
        <f>EFEITO!$L$1493*EFEITO!$Z$1493</f>
        <v>0</v>
      </c>
      <c r="L1493" s="74">
        <f>EFEITO!$N$1493*EFEITO!$AA$1493</f>
        <v>0</v>
      </c>
      <c r="M1493" s="74">
        <f ca="1">$J$1493-EFEITO!$K$1493*EFEITO!$Y$1493</f>
        <v>0</v>
      </c>
      <c r="N1493" s="74">
        <f>$K$1493-EFEITO!$M$1493*EFEITO!$Z$1493</f>
        <v>0</v>
      </c>
      <c r="O1493" s="74">
        <f>$L$1493-EFEITO!$O$1493*EFEITO!$AA$1493</f>
        <v>0</v>
      </c>
      <c r="P1493" s="57"/>
      <c r="Q1493" s="57"/>
      <c r="R1493" s="57"/>
      <c r="S1493" s="57"/>
      <c r="T1493" s="57"/>
      <c r="U1493" s="57"/>
      <c r="V1493" s="57"/>
      <c r="W1493" s="57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</row>
    <row r="1494" spans="1:36" ht="11.25" customHeight="1" x14ac:dyDescent="0.2">
      <c r="A1494" s="53" t="s">
        <v>28</v>
      </c>
      <c r="B1494" s="53" t="s">
        <v>44</v>
      </c>
      <c r="C1494" s="53" t="s">
        <v>34</v>
      </c>
      <c r="D1494" s="53" t="s">
        <v>42</v>
      </c>
      <c r="E1494" s="53" t="s">
        <v>25</v>
      </c>
      <c r="F1494" s="53" t="s">
        <v>25</v>
      </c>
      <c r="G1494" s="53" t="s">
        <v>25</v>
      </c>
      <c r="H1494" s="53" t="s">
        <v>25</v>
      </c>
      <c r="I1494" s="73">
        <v>43891</v>
      </c>
      <c r="J1494" s="74">
        <f ca="1">EFEITO!$J$1494*EFEITO!$Y$1494</f>
        <v>55521.858052266078</v>
      </c>
      <c r="K1494" s="74">
        <f>EFEITO!$L$1494*EFEITO!$Z$1494</f>
        <v>0</v>
      </c>
      <c r="L1494" s="74">
        <f>EFEITO!$N$1494*EFEITO!$AA$1494</f>
        <v>0</v>
      </c>
      <c r="M1494" s="74">
        <f ca="1">$J$1494-EFEITO!$K$1494*EFEITO!$Y$1494</f>
        <v>0</v>
      </c>
      <c r="N1494" s="74">
        <f>$K$1494-EFEITO!$M$1494*EFEITO!$Z$1494</f>
        <v>0</v>
      </c>
      <c r="O1494" s="74">
        <f>$L$1494-EFEITO!$O$1494*EFEITO!$AA$1494</f>
        <v>0</v>
      </c>
      <c r="P1494" s="57"/>
      <c r="Q1494" s="57"/>
      <c r="R1494" s="57"/>
      <c r="S1494" s="57"/>
      <c r="T1494" s="57"/>
      <c r="U1494" s="57"/>
      <c r="V1494" s="57"/>
      <c r="W1494" s="57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</row>
    <row r="1495" spans="1:36" ht="11.25" customHeight="1" x14ac:dyDescent="0.2">
      <c r="A1495" s="53" t="s">
        <v>21</v>
      </c>
      <c r="B1495" s="53" t="s">
        <v>44</v>
      </c>
      <c r="C1495" s="53" t="s">
        <v>34</v>
      </c>
      <c r="D1495" s="53" t="s">
        <v>42</v>
      </c>
      <c r="E1495" s="53" t="s">
        <v>25</v>
      </c>
      <c r="F1495" s="53" t="s">
        <v>25</v>
      </c>
      <c r="G1495" s="53" t="s">
        <v>25</v>
      </c>
      <c r="H1495" s="53" t="s">
        <v>25</v>
      </c>
      <c r="I1495" s="73">
        <v>43922</v>
      </c>
      <c r="J1495" s="74">
        <f ca="1">EFEITO!$J$1495*EFEITO!$Y$1495</f>
        <v>436606.6111447218</v>
      </c>
      <c r="K1495" s="74">
        <f>EFEITO!$L$1495*EFEITO!$Z$1495</f>
        <v>0</v>
      </c>
      <c r="L1495" s="74">
        <f>EFEITO!$N$1495*EFEITO!$AA$1495</f>
        <v>0</v>
      </c>
      <c r="M1495" s="74">
        <f ca="1">$J$1495-EFEITO!$K$1495*EFEITO!$Y$1495</f>
        <v>0</v>
      </c>
      <c r="N1495" s="74">
        <f>$K$1495-EFEITO!$M$1495*EFEITO!$Z$1495</f>
        <v>0</v>
      </c>
      <c r="O1495" s="74">
        <f>$L$1495-EFEITO!$O$1495*EFEITO!$AA$1495</f>
        <v>0</v>
      </c>
      <c r="P1495" s="57"/>
      <c r="Q1495" s="57"/>
      <c r="R1495" s="57"/>
      <c r="S1495" s="57"/>
      <c r="T1495" s="57"/>
      <c r="U1495" s="57"/>
      <c r="V1495" s="57"/>
      <c r="W1495" s="57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</row>
    <row r="1496" spans="1:36" ht="11.25" customHeight="1" x14ac:dyDescent="0.2">
      <c r="A1496" s="53" t="s">
        <v>27</v>
      </c>
      <c r="B1496" s="53" t="s">
        <v>44</v>
      </c>
      <c r="C1496" s="53" t="s">
        <v>34</v>
      </c>
      <c r="D1496" s="53" t="s">
        <v>42</v>
      </c>
      <c r="E1496" s="53" t="s">
        <v>25</v>
      </c>
      <c r="F1496" s="53" t="s">
        <v>25</v>
      </c>
      <c r="G1496" s="53" t="s">
        <v>25</v>
      </c>
      <c r="H1496" s="53" t="s">
        <v>25</v>
      </c>
      <c r="I1496" s="73">
        <v>43922</v>
      </c>
      <c r="J1496" s="74">
        <f ca="1">EFEITO!$J$1496*EFEITO!$Y$1496</f>
        <v>26080.872802649486</v>
      </c>
      <c r="K1496" s="74">
        <f>EFEITO!$L$1496*EFEITO!$Z$1496</f>
        <v>0</v>
      </c>
      <c r="L1496" s="74">
        <f>EFEITO!$N$1496*EFEITO!$AA$1496</f>
        <v>0</v>
      </c>
      <c r="M1496" s="74">
        <f ca="1">$J$1496-EFEITO!$K$1496*EFEITO!$Y$1496</f>
        <v>0</v>
      </c>
      <c r="N1496" s="74">
        <f>$K$1496-EFEITO!$M$1496*EFEITO!$Z$1496</f>
        <v>0</v>
      </c>
      <c r="O1496" s="74">
        <f>$L$1496-EFEITO!$O$1496*EFEITO!$AA$1496</f>
        <v>0</v>
      </c>
      <c r="P1496" s="57"/>
      <c r="Q1496" s="57"/>
      <c r="R1496" s="57"/>
      <c r="S1496" s="57"/>
      <c r="T1496" s="57"/>
      <c r="U1496" s="57"/>
      <c r="V1496" s="57"/>
      <c r="W1496" s="57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</row>
    <row r="1497" spans="1:36" ht="11.25" customHeight="1" x14ac:dyDescent="0.2">
      <c r="A1497" s="53" t="s">
        <v>28</v>
      </c>
      <c r="B1497" s="53" t="s">
        <v>44</v>
      </c>
      <c r="C1497" s="53" t="s">
        <v>34</v>
      </c>
      <c r="D1497" s="53" t="s">
        <v>42</v>
      </c>
      <c r="E1497" s="53" t="s">
        <v>25</v>
      </c>
      <c r="F1497" s="53" t="s">
        <v>25</v>
      </c>
      <c r="G1497" s="53" t="s">
        <v>25</v>
      </c>
      <c r="H1497" s="53" t="s">
        <v>25</v>
      </c>
      <c r="I1497" s="73">
        <v>43922</v>
      </c>
      <c r="J1497" s="74">
        <f ca="1">EFEITO!$J$1497*EFEITO!$Y$1497</f>
        <v>55521.858052266078</v>
      </c>
      <c r="K1497" s="74">
        <f>EFEITO!$L$1497*EFEITO!$Z$1497</f>
        <v>0</v>
      </c>
      <c r="L1497" s="74">
        <f>EFEITO!$N$1497*EFEITO!$AA$1497</f>
        <v>0</v>
      </c>
      <c r="M1497" s="74">
        <f ca="1">$J$1497-EFEITO!$K$1497*EFEITO!$Y$1497</f>
        <v>0</v>
      </c>
      <c r="N1497" s="74">
        <f>$K$1497-EFEITO!$M$1497*EFEITO!$Z$1497</f>
        <v>0</v>
      </c>
      <c r="O1497" s="74">
        <f>$L$1497-EFEITO!$O$1497*EFEITO!$AA$1497</f>
        <v>0</v>
      </c>
      <c r="P1497" s="57"/>
      <c r="Q1497" s="57"/>
      <c r="R1497" s="57"/>
      <c r="S1497" s="57"/>
      <c r="T1497" s="57"/>
      <c r="U1497" s="57"/>
      <c r="V1497" s="57"/>
      <c r="W1497" s="57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</row>
    <row r="1498" spans="1:36" ht="11.25" customHeight="1" x14ac:dyDescent="0.2">
      <c r="A1498" s="53" t="s">
        <v>21</v>
      </c>
      <c r="B1498" s="53" t="s">
        <v>44</v>
      </c>
      <c r="C1498" s="53" t="s">
        <v>34</v>
      </c>
      <c r="D1498" s="53" t="s">
        <v>42</v>
      </c>
      <c r="E1498" s="53" t="s">
        <v>25</v>
      </c>
      <c r="F1498" s="53" t="s">
        <v>25</v>
      </c>
      <c r="G1498" s="53" t="s">
        <v>25</v>
      </c>
      <c r="H1498" s="53" t="s">
        <v>25</v>
      </c>
      <c r="I1498" s="73">
        <v>43952</v>
      </c>
      <c r="J1498" s="74">
        <f ca="1">EFEITO!$J$1498*EFEITO!$Y$1498</f>
        <v>426126.26041727676</v>
      </c>
      <c r="K1498" s="74">
        <f>EFEITO!$L$1498*EFEITO!$Z$1498</f>
        <v>0</v>
      </c>
      <c r="L1498" s="74">
        <f>EFEITO!$N$1498*EFEITO!$AA$1498</f>
        <v>0</v>
      </c>
      <c r="M1498" s="74">
        <f ca="1">$J$1498-EFEITO!$K$1498*EFEITO!$Y$1498</f>
        <v>0</v>
      </c>
      <c r="N1498" s="74">
        <f>$K$1498-EFEITO!$M$1498*EFEITO!$Z$1498</f>
        <v>0</v>
      </c>
      <c r="O1498" s="74">
        <f>$L$1498-EFEITO!$O$1498*EFEITO!$AA$1498</f>
        <v>0</v>
      </c>
      <c r="P1498" s="57"/>
      <c r="Q1498" s="57"/>
      <c r="R1498" s="57"/>
      <c r="S1498" s="57"/>
      <c r="T1498" s="57"/>
      <c r="U1498" s="57"/>
      <c r="V1498" s="57"/>
      <c r="W1498" s="57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</row>
    <row r="1499" spans="1:36" ht="11.25" customHeight="1" x14ac:dyDescent="0.2">
      <c r="A1499" s="53" t="s">
        <v>27</v>
      </c>
      <c r="B1499" s="53" t="s">
        <v>44</v>
      </c>
      <c r="C1499" s="53" t="s">
        <v>34</v>
      </c>
      <c r="D1499" s="53" t="s">
        <v>42</v>
      </c>
      <c r="E1499" s="53" t="s">
        <v>25</v>
      </c>
      <c r="F1499" s="53" t="s">
        <v>25</v>
      </c>
      <c r="G1499" s="53" t="s">
        <v>25</v>
      </c>
      <c r="H1499" s="53" t="s">
        <v>25</v>
      </c>
      <c r="I1499" s="73">
        <v>43952</v>
      </c>
      <c r="J1499" s="74">
        <f ca="1">EFEITO!$J$1499*EFEITO!$Y$1499</f>
        <v>2080.0696100272594</v>
      </c>
      <c r="K1499" s="74">
        <f>EFEITO!$L$1499*EFEITO!$Z$1499</f>
        <v>0</v>
      </c>
      <c r="L1499" s="74">
        <f>EFEITO!$N$1499*EFEITO!$AA$1499</f>
        <v>0</v>
      </c>
      <c r="M1499" s="74">
        <f ca="1">$J$1499-EFEITO!$K$1499*EFEITO!$Y$1499</f>
        <v>0</v>
      </c>
      <c r="N1499" s="74">
        <f>$K$1499-EFEITO!$M$1499*EFEITO!$Z$1499</f>
        <v>0</v>
      </c>
      <c r="O1499" s="74">
        <f>$L$1499-EFEITO!$O$1499*EFEITO!$AA$1499</f>
        <v>0</v>
      </c>
      <c r="P1499" s="57"/>
      <c r="Q1499" s="57"/>
      <c r="R1499" s="57"/>
      <c r="S1499" s="57"/>
      <c r="T1499" s="57"/>
      <c r="U1499" s="57"/>
      <c r="V1499" s="57"/>
      <c r="W1499" s="57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</row>
    <row r="1500" spans="1:36" ht="11.25" customHeight="1" x14ac:dyDescent="0.2">
      <c r="A1500" s="53" t="s">
        <v>28</v>
      </c>
      <c r="B1500" s="53" t="s">
        <v>44</v>
      </c>
      <c r="C1500" s="53" t="s">
        <v>34</v>
      </c>
      <c r="D1500" s="53" t="s">
        <v>42</v>
      </c>
      <c r="E1500" s="53" t="s">
        <v>25</v>
      </c>
      <c r="F1500" s="53" t="s">
        <v>25</v>
      </c>
      <c r="G1500" s="53" t="s">
        <v>25</v>
      </c>
      <c r="H1500" s="53" t="s">
        <v>25</v>
      </c>
      <c r="I1500" s="73">
        <v>43952</v>
      </c>
      <c r="J1500" s="74">
        <f ca="1">EFEITO!$J$1500*EFEITO!$Y$1500</f>
        <v>55521.858052266078</v>
      </c>
      <c r="K1500" s="74">
        <f>EFEITO!$L$1500*EFEITO!$Z$1500</f>
        <v>0</v>
      </c>
      <c r="L1500" s="74">
        <f>EFEITO!$N$1500*EFEITO!$AA$1500</f>
        <v>0</v>
      </c>
      <c r="M1500" s="74">
        <f ca="1">$J$1500-EFEITO!$K$1500*EFEITO!$Y$1500</f>
        <v>0</v>
      </c>
      <c r="N1500" s="74">
        <f>$K$1500-EFEITO!$M$1500*EFEITO!$Z$1500</f>
        <v>0</v>
      </c>
      <c r="O1500" s="74">
        <f>$L$1500-EFEITO!$O$1500*EFEITO!$AA$1500</f>
        <v>0</v>
      </c>
      <c r="P1500" s="57"/>
      <c r="Q1500" s="57"/>
      <c r="R1500" s="57"/>
      <c r="S1500" s="57"/>
      <c r="T1500" s="57"/>
      <c r="U1500" s="57"/>
      <c r="V1500" s="57"/>
      <c r="W1500" s="57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</row>
    <row r="1501" spans="1:36" ht="11.25" customHeight="1" x14ac:dyDescent="0.2">
      <c r="A1501" s="53" t="s">
        <v>21</v>
      </c>
      <c r="B1501" s="53" t="s">
        <v>44</v>
      </c>
      <c r="C1501" s="53" t="s">
        <v>34</v>
      </c>
      <c r="D1501" s="53" t="s">
        <v>42</v>
      </c>
      <c r="E1501" s="53" t="s">
        <v>25</v>
      </c>
      <c r="F1501" s="53" t="s">
        <v>25</v>
      </c>
      <c r="G1501" s="53" t="s">
        <v>25</v>
      </c>
      <c r="H1501" s="53" t="s">
        <v>25</v>
      </c>
      <c r="I1501" s="73">
        <v>43983</v>
      </c>
      <c r="J1501" s="74">
        <f ca="1">EFEITO!$J$1501*EFEITO!$Y$1501</f>
        <v>436350.6025773338</v>
      </c>
      <c r="K1501" s="74">
        <f>EFEITO!$L$1501*EFEITO!$Z$1501</f>
        <v>0</v>
      </c>
      <c r="L1501" s="74">
        <f>EFEITO!$N$1501*EFEITO!$AA$1501</f>
        <v>0</v>
      </c>
      <c r="M1501" s="74">
        <f ca="1">$J$1501-EFEITO!$K$1501*EFEITO!$Y$1501</f>
        <v>0</v>
      </c>
      <c r="N1501" s="74">
        <f>$K$1501-EFEITO!$M$1501*EFEITO!$Z$1501</f>
        <v>0</v>
      </c>
      <c r="O1501" s="74">
        <f>$L$1501-EFEITO!$O$1501*EFEITO!$AA$1501</f>
        <v>0</v>
      </c>
      <c r="P1501" s="57"/>
      <c r="Q1501" s="57"/>
      <c r="R1501" s="57"/>
      <c r="S1501" s="57"/>
      <c r="T1501" s="57"/>
      <c r="U1501" s="57"/>
      <c r="V1501" s="57"/>
      <c r="W1501" s="57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</row>
    <row r="1502" spans="1:36" ht="11.25" customHeight="1" x14ac:dyDescent="0.2">
      <c r="A1502" s="53" t="s">
        <v>27</v>
      </c>
      <c r="B1502" s="53" t="s">
        <v>44</v>
      </c>
      <c r="C1502" s="53" t="s">
        <v>34</v>
      </c>
      <c r="D1502" s="53" t="s">
        <v>42</v>
      </c>
      <c r="E1502" s="53" t="s">
        <v>25</v>
      </c>
      <c r="F1502" s="53" t="s">
        <v>25</v>
      </c>
      <c r="G1502" s="53" t="s">
        <v>25</v>
      </c>
      <c r="H1502" s="53" t="s">
        <v>25</v>
      </c>
      <c r="I1502" s="73">
        <v>43983</v>
      </c>
      <c r="J1502" s="74">
        <f ca="1">EFEITO!$J$1502*EFEITO!$Y$1502</f>
        <v>11680.39088707615</v>
      </c>
      <c r="K1502" s="74">
        <f>EFEITO!$L$1502*EFEITO!$Z$1502</f>
        <v>0</v>
      </c>
      <c r="L1502" s="74">
        <f>EFEITO!$N$1502*EFEITO!$AA$1502</f>
        <v>0</v>
      </c>
      <c r="M1502" s="74">
        <f ca="1">$J$1502-EFEITO!$K$1502*EFEITO!$Y$1502</f>
        <v>0</v>
      </c>
      <c r="N1502" s="74">
        <f>$K$1502-EFEITO!$M$1502*EFEITO!$Z$1502</f>
        <v>0</v>
      </c>
      <c r="O1502" s="74">
        <f>$L$1502-EFEITO!$O$1502*EFEITO!$AA$1502</f>
        <v>0</v>
      </c>
      <c r="P1502" s="57"/>
      <c r="Q1502" s="57"/>
      <c r="R1502" s="57"/>
      <c r="S1502" s="57"/>
      <c r="T1502" s="57"/>
      <c r="U1502" s="57"/>
      <c r="V1502" s="57"/>
      <c r="W1502" s="57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</row>
    <row r="1503" spans="1:36" ht="11.25" customHeight="1" x14ac:dyDescent="0.2">
      <c r="A1503" s="53" t="s">
        <v>28</v>
      </c>
      <c r="B1503" s="53" t="s">
        <v>44</v>
      </c>
      <c r="C1503" s="53" t="s">
        <v>34</v>
      </c>
      <c r="D1503" s="53" t="s">
        <v>42</v>
      </c>
      <c r="E1503" s="53" t="s">
        <v>25</v>
      </c>
      <c r="F1503" s="53" t="s">
        <v>25</v>
      </c>
      <c r="G1503" s="53" t="s">
        <v>25</v>
      </c>
      <c r="H1503" s="53" t="s">
        <v>25</v>
      </c>
      <c r="I1503" s="73">
        <v>43983</v>
      </c>
      <c r="J1503" s="74">
        <f ca="1">EFEITO!$J$1503*EFEITO!$Y$1503</f>
        <v>55521.858052266078</v>
      </c>
      <c r="K1503" s="74">
        <f>EFEITO!$L$1503*EFEITO!$Z$1503</f>
        <v>0</v>
      </c>
      <c r="L1503" s="74">
        <f>EFEITO!$N$1503*EFEITO!$AA$1503</f>
        <v>0</v>
      </c>
      <c r="M1503" s="74">
        <f ca="1">$J$1503-EFEITO!$K$1503*EFEITO!$Y$1503</f>
        <v>0</v>
      </c>
      <c r="N1503" s="74">
        <f>$K$1503-EFEITO!$M$1503*EFEITO!$Z$1503</f>
        <v>0</v>
      </c>
      <c r="O1503" s="74">
        <f>$L$1503-EFEITO!$O$1503*EFEITO!$AA$1503</f>
        <v>0</v>
      </c>
      <c r="P1503" s="57"/>
      <c r="Q1503" s="57"/>
      <c r="R1503" s="57"/>
      <c r="S1503" s="57"/>
      <c r="T1503" s="57"/>
      <c r="U1503" s="57"/>
      <c r="V1503" s="57"/>
      <c r="W1503" s="57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</row>
    <row r="1504" spans="1:36" ht="11.25" customHeight="1" x14ac:dyDescent="0.2">
      <c r="A1504" s="53" t="s">
        <v>21</v>
      </c>
      <c r="B1504" s="53" t="s">
        <v>44</v>
      </c>
      <c r="C1504" s="53" t="s">
        <v>34</v>
      </c>
      <c r="D1504" s="53" t="s">
        <v>42</v>
      </c>
      <c r="E1504" s="53" t="s">
        <v>25</v>
      </c>
      <c r="F1504" s="53" t="s">
        <v>25</v>
      </c>
      <c r="G1504" s="53" t="s">
        <v>25</v>
      </c>
      <c r="H1504" s="53" t="s">
        <v>25</v>
      </c>
      <c r="I1504" s="73">
        <v>44013</v>
      </c>
      <c r="J1504" s="74">
        <f ca="1">EFEITO!$J$1504*EFEITO!$Y$1504</f>
        <v>410189.72709737555</v>
      </c>
      <c r="K1504" s="74">
        <f>EFEITO!$L$1504*EFEITO!$Z$1504</f>
        <v>0</v>
      </c>
      <c r="L1504" s="74">
        <f>EFEITO!$N$1504*EFEITO!$AA$1504</f>
        <v>0</v>
      </c>
      <c r="M1504" s="74">
        <f ca="1">$J$1504-EFEITO!$K$1504*EFEITO!$Y$1504</f>
        <v>0</v>
      </c>
      <c r="N1504" s="74">
        <f>$K$1504-EFEITO!$M$1504*EFEITO!$Z$1504</f>
        <v>0</v>
      </c>
      <c r="O1504" s="74">
        <f>$L$1504-EFEITO!$O$1504*EFEITO!$AA$1504</f>
        <v>0</v>
      </c>
      <c r="P1504" s="57"/>
      <c r="Q1504" s="57"/>
      <c r="R1504" s="57"/>
      <c r="S1504" s="57"/>
      <c r="T1504" s="57"/>
      <c r="U1504" s="57"/>
      <c r="V1504" s="57"/>
      <c r="W1504" s="57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</row>
    <row r="1505" spans="1:36" ht="11.25" customHeight="1" x14ac:dyDescent="0.2">
      <c r="A1505" s="53" t="s">
        <v>27</v>
      </c>
      <c r="B1505" s="53" t="s">
        <v>44</v>
      </c>
      <c r="C1505" s="53" t="s">
        <v>34</v>
      </c>
      <c r="D1505" s="53" t="s">
        <v>42</v>
      </c>
      <c r="E1505" s="53" t="s">
        <v>25</v>
      </c>
      <c r="F1505" s="53" t="s">
        <v>25</v>
      </c>
      <c r="G1505" s="53" t="s">
        <v>25</v>
      </c>
      <c r="H1505" s="53" t="s">
        <v>25</v>
      </c>
      <c r="I1505" s="73">
        <v>44013</v>
      </c>
      <c r="J1505" s="74">
        <f ca="1">EFEITO!$J$1505*EFEITO!$Y$1505</f>
        <v>11680.39088707615</v>
      </c>
      <c r="K1505" s="74">
        <f>EFEITO!$L$1505*EFEITO!$Z$1505</f>
        <v>0</v>
      </c>
      <c r="L1505" s="74">
        <f>EFEITO!$N$1505*EFEITO!$AA$1505</f>
        <v>0</v>
      </c>
      <c r="M1505" s="74">
        <f ca="1">$J$1505-EFEITO!$K$1505*EFEITO!$Y$1505</f>
        <v>0</v>
      </c>
      <c r="N1505" s="74">
        <f>$K$1505-EFEITO!$M$1505*EFEITO!$Z$1505</f>
        <v>0</v>
      </c>
      <c r="O1505" s="74">
        <f>$L$1505-EFEITO!$O$1505*EFEITO!$AA$1505</f>
        <v>0</v>
      </c>
      <c r="P1505" s="57"/>
      <c r="Q1505" s="57"/>
      <c r="R1505" s="57"/>
      <c r="S1505" s="57"/>
      <c r="T1505" s="57"/>
      <c r="U1505" s="57"/>
      <c r="V1505" s="57"/>
      <c r="W1505" s="57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</row>
    <row r="1506" spans="1:36" ht="11.25" customHeight="1" x14ac:dyDescent="0.2">
      <c r="A1506" s="53" t="s">
        <v>28</v>
      </c>
      <c r="B1506" s="53" t="s">
        <v>44</v>
      </c>
      <c r="C1506" s="53" t="s">
        <v>34</v>
      </c>
      <c r="D1506" s="53" t="s">
        <v>42</v>
      </c>
      <c r="E1506" s="53" t="s">
        <v>25</v>
      </c>
      <c r="F1506" s="53" t="s">
        <v>25</v>
      </c>
      <c r="G1506" s="53" t="s">
        <v>25</v>
      </c>
      <c r="H1506" s="53" t="s">
        <v>25</v>
      </c>
      <c r="I1506" s="73">
        <v>44013</v>
      </c>
      <c r="J1506" s="74">
        <f ca="1">EFEITO!$J$1506*EFEITO!$Y$1506</f>
        <v>55521.858052266078</v>
      </c>
      <c r="K1506" s="74">
        <f>EFEITO!$L$1506*EFEITO!$Z$1506</f>
        <v>0</v>
      </c>
      <c r="L1506" s="74">
        <f>EFEITO!$N$1506*EFEITO!$AA$1506</f>
        <v>0</v>
      </c>
      <c r="M1506" s="74">
        <f ca="1">$J$1506-EFEITO!$K$1506*EFEITO!$Y$1506</f>
        <v>0</v>
      </c>
      <c r="N1506" s="74">
        <f>$K$1506-EFEITO!$M$1506*EFEITO!$Z$1506</f>
        <v>0</v>
      </c>
      <c r="O1506" s="74">
        <f>$L$1506-EFEITO!$O$1506*EFEITO!$AA$1506</f>
        <v>0</v>
      </c>
      <c r="P1506" s="57"/>
      <c r="Q1506" s="57"/>
      <c r="R1506" s="57"/>
      <c r="S1506" s="57"/>
      <c r="T1506" s="57"/>
      <c r="U1506" s="57"/>
      <c r="V1506" s="57"/>
      <c r="W1506" s="57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</row>
    <row r="1507" spans="1:36" ht="11.25" customHeight="1" x14ac:dyDescent="0.2">
      <c r="A1507" s="53" t="s">
        <v>21</v>
      </c>
      <c r="B1507" s="53" t="s">
        <v>44</v>
      </c>
      <c r="C1507" s="53" t="s">
        <v>34</v>
      </c>
      <c r="D1507" s="53" t="s">
        <v>42</v>
      </c>
      <c r="E1507" s="53" t="s">
        <v>25</v>
      </c>
      <c r="F1507" s="53" t="s">
        <v>25</v>
      </c>
      <c r="G1507" s="53" t="s">
        <v>25</v>
      </c>
      <c r="H1507" s="53" t="s">
        <v>25</v>
      </c>
      <c r="I1507" s="73">
        <v>44044</v>
      </c>
      <c r="J1507" s="74">
        <f ca="1">EFEITO!$J$1507*EFEITO!$Y$1507</f>
        <v>404925.55093046045</v>
      </c>
      <c r="K1507" s="74">
        <f>EFEITO!$L$1507*EFEITO!$Z$1507</f>
        <v>0</v>
      </c>
      <c r="L1507" s="74">
        <f>EFEITO!$N$1507*EFEITO!$AA$1507</f>
        <v>0</v>
      </c>
      <c r="M1507" s="74">
        <f ca="1">$J$1507-EFEITO!$K$1507*EFEITO!$Y$1507</f>
        <v>0</v>
      </c>
      <c r="N1507" s="74">
        <f>$K$1507-EFEITO!$M$1507*EFEITO!$Z$1507</f>
        <v>0</v>
      </c>
      <c r="O1507" s="74">
        <f>$L$1507-EFEITO!$O$1507*EFEITO!$AA$1507</f>
        <v>0</v>
      </c>
      <c r="P1507" s="57"/>
      <c r="Q1507" s="57"/>
      <c r="R1507" s="57"/>
      <c r="S1507" s="57"/>
      <c r="T1507" s="57"/>
      <c r="U1507" s="57"/>
      <c r="V1507" s="57"/>
      <c r="W1507" s="57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</row>
    <row r="1508" spans="1:36" ht="11.25" customHeight="1" x14ac:dyDescent="0.2">
      <c r="A1508" s="53" t="s">
        <v>27</v>
      </c>
      <c r="B1508" s="53" t="s">
        <v>44</v>
      </c>
      <c r="C1508" s="53" t="s">
        <v>34</v>
      </c>
      <c r="D1508" s="53" t="s">
        <v>42</v>
      </c>
      <c r="E1508" s="53" t="s">
        <v>25</v>
      </c>
      <c r="F1508" s="53" t="s">
        <v>25</v>
      </c>
      <c r="G1508" s="53" t="s">
        <v>25</v>
      </c>
      <c r="H1508" s="53" t="s">
        <v>25</v>
      </c>
      <c r="I1508" s="73">
        <v>44044</v>
      </c>
      <c r="J1508" s="74">
        <f ca="1">EFEITO!$J$1508*EFEITO!$Y$1508</f>
        <v>11680.39088707615</v>
      </c>
      <c r="K1508" s="74">
        <f>EFEITO!$L$1508*EFEITO!$Z$1508</f>
        <v>0</v>
      </c>
      <c r="L1508" s="74">
        <f>EFEITO!$N$1508*EFEITO!$AA$1508</f>
        <v>0</v>
      </c>
      <c r="M1508" s="74">
        <f ca="1">$J$1508-EFEITO!$K$1508*EFEITO!$Y$1508</f>
        <v>0</v>
      </c>
      <c r="N1508" s="74">
        <f>$K$1508-EFEITO!$M$1508*EFEITO!$Z$1508</f>
        <v>0</v>
      </c>
      <c r="O1508" s="74">
        <f>$L$1508-EFEITO!$O$1508*EFEITO!$AA$1508</f>
        <v>0</v>
      </c>
      <c r="P1508" s="57"/>
      <c r="Q1508" s="57"/>
      <c r="R1508" s="57"/>
      <c r="S1508" s="57"/>
      <c r="T1508" s="57"/>
      <c r="U1508" s="57"/>
      <c r="V1508" s="57"/>
      <c r="W1508" s="57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</row>
    <row r="1509" spans="1:36" ht="11.25" customHeight="1" x14ac:dyDescent="0.2">
      <c r="A1509" s="53" t="s">
        <v>28</v>
      </c>
      <c r="B1509" s="53" t="s">
        <v>44</v>
      </c>
      <c r="C1509" s="53" t="s">
        <v>34</v>
      </c>
      <c r="D1509" s="53" t="s">
        <v>42</v>
      </c>
      <c r="E1509" s="53" t="s">
        <v>25</v>
      </c>
      <c r="F1509" s="53" t="s">
        <v>25</v>
      </c>
      <c r="G1509" s="53" t="s">
        <v>25</v>
      </c>
      <c r="H1509" s="53" t="s">
        <v>25</v>
      </c>
      <c r="I1509" s="73">
        <v>44044</v>
      </c>
      <c r="J1509" s="74">
        <f ca="1">EFEITO!$J$1509*EFEITO!$Y$1509</f>
        <v>55521.858052266078</v>
      </c>
      <c r="K1509" s="74">
        <f>EFEITO!$L$1509*EFEITO!$Z$1509</f>
        <v>0</v>
      </c>
      <c r="L1509" s="74">
        <f>EFEITO!$N$1509*EFEITO!$AA$1509</f>
        <v>0</v>
      </c>
      <c r="M1509" s="74">
        <f ca="1">$J$1509-EFEITO!$K$1509*EFEITO!$Y$1509</f>
        <v>0</v>
      </c>
      <c r="N1509" s="74">
        <f>$K$1509-EFEITO!$M$1509*EFEITO!$Z$1509</f>
        <v>0</v>
      </c>
      <c r="O1509" s="74">
        <f>$L$1509-EFEITO!$O$1509*EFEITO!$AA$1509</f>
        <v>0</v>
      </c>
      <c r="P1509" s="57"/>
      <c r="Q1509" s="57"/>
      <c r="R1509" s="57"/>
      <c r="S1509" s="57"/>
      <c r="T1509" s="57"/>
      <c r="U1509" s="57"/>
      <c r="V1509" s="57"/>
      <c r="W1509" s="57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</row>
    <row r="1510" spans="1:36" ht="11.25" customHeight="1" x14ac:dyDescent="0.2">
      <c r="A1510" s="53" t="s">
        <v>59</v>
      </c>
      <c r="B1510" s="53" t="s">
        <v>44</v>
      </c>
      <c r="C1510" s="53" t="s">
        <v>34</v>
      </c>
      <c r="D1510" s="53" t="s">
        <v>42</v>
      </c>
      <c r="E1510" s="53" t="s">
        <v>25</v>
      </c>
      <c r="F1510" s="53" t="s">
        <v>25</v>
      </c>
      <c r="G1510" s="53" t="s">
        <v>25</v>
      </c>
      <c r="H1510" s="53" t="s">
        <v>25</v>
      </c>
      <c r="I1510" s="73">
        <v>44075</v>
      </c>
      <c r="J1510" s="74">
        <f ca="1">EFEITO!$J$1510*EFEITO!$Y$1510</f>
        <v>404925.55093046045</v>
      </c>
      <c r="K1510" s="74">
        <f>EFEITO!$L$1510*EFEITO!$Z$1510</f>
        <v>0</v>
      </c>
      <c r="L1510" s="74">
        <f>EFEITO!$N$1510*EFEITO!$AA$1510</f>
        <v>0</v>
      </c>
      <c r="M1510" s="74">
        <f ca="1">$J$1510-EFEITO!$K$1510*EFEITO!$Y$1510</f>
        <v>0</v>
      </c>
      <c r="N1510" s="74">
        <f>$K$1510-EFEITO!$M$1510*EFEITO!$Z$1510</f>
        <v>0</v>
      </c>
      <c r="O1510" s="74">
        <f>$L$1510-EFEITO!$O$1510*EFEITO!$AA$1510</f>
        <v>0</v>
      </c>
      <c r="P1510" s="57"/>
      <c r="Q1510" s="57"/>
      <c r="R1510" s="57"/>
      <c r="S1510" s="57"/>
      <c r="T1510" s="57"/>
      <c r="U1510" s="57"/>
      <c r="V1510" s="57"/>
      <c r="W1510" s="57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</row>
    <row r="1511" spans="1:36" ht="11.25" customHeight="1" x14ac:dyDescent="0.2">
      <c r="A1511" s="53" t="s">
        <v>59</v>
      </c>
      <c r="B1511" s="53" t="s">
        <v>44</v>
      </c>
      <c r="C1511" s="53" t="s">
        <v>34</v>
      </c>
      <c r="D1511" s="53" t="s">
        <v>42</v>
      </c>
      <c r="E1511" s="53" t="s">
        <v>25</v>
      </c>
      <c r="F1511" s="53" t="s">
        <v>25</v>
      </c>
      <c r="G1511" s="53" t="s">
        <v>25</v>
      </c>
      <c r="H1511" s="53" t="s">
        <v>25</v>
      </c>
      <c r="I1511" s="73">
        <v>44075</v>
      </c>
      <c r="J1511" s="74">
        <f ca="1">EFEITO!$J$1511*EFEITO!$Y$1511</f>
        <v>11680.39088707615</v>
      </c>
      <c r="K1511" s="74">
        <f>EFEITO!$L$1511*EFEITO!$Z$1511</f>
        <v>0</v>
      </c>
      <c r="L1511" s="74">
        <f>EFEITO!$N$1511*EFEITO!$AA$1511</f>
        <v>0</v>
      </c>
      <c r="M1511" s="74">
        <f ca="1">$J$1511-EFEITO!$K$1511*EFEITO!$Y$1511</f>
        <v>0</v>
      </c>
      <c r="N1511" s="74">
        <f>$K$1511-EFEITO!$M$1511*EFEITO!$Z$1511</f>
        <v>0</v>
      </c>
      <c r="O1511" s="74">
        <f>$L$1511-EFEITO!$O$1511*EFEITO!$AA$1511</f>
        <v>0</v>
      </c>
      <c r="P1511" s="57"/>
      <c r="Q1511" s="57"/>
      <c r="R1511" s="57"/>
      <c r="S1511" s="57"/>
      <c r="T1511" s="57"/>
      <c r="U1511" s="57"/>
      <c r="V1511" s="57"/>
      <c r="W1511" s="57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</row>
    <row r="1512" spans="1:36" ht="11.25" customHeight="1" x14ac:dyDescent="0.2">
      <c r="A1512" s="53" t="s">
        <v>59</v>
      </c>
      <c r="B1512" s="53" t="s">
        <v>44</v>
      </c>
      <c r="C1512" s="53" t="s">
        <v>34</v>
      </c>
      <c r="D1512" s="53" t="s">
        <v>42</v>
      </c>
      <c r="E1512" s="53" t="s">
        <v>25</v>
      </c>
      <c r="F1512" s="53" t="s">
        <v>25</v>
      </c>
      <c r="G1512" s="53" t="s">
        <v>25</v>
      </c>
      <c r="H1512" s="53" t="s">
        <v>25</v>
      </c>
      <c r="I1512" s="73">
        <v>44075</v>
      </c>
      <c r="J1512" s="74">
        <f ca="1">EFEITO!$J$1512*EFEITO!$Y$1512</f>
        <v>55521.858052266078</v>
      </c>
      <c r="K1512" s="74">
        <f>EFEITO!$L$1512*EFEITO!$Z$1512</f>
        <v>0</v>
      </c>
      <c r="L1512" s="74">
        <f>EFEITO!$N$1512*EFEITO!$AA$1512</f>
        <v>0</v>
      </c>
      <c r="M1512" s="74">
        <f ca="1">$J$1512-EFEITO!$K$1512*EFEITO!$Y$1512</f>
        <v>0</v>
      </c>
      <c r="N1512" s="74">
        <f>$K$1512-EFEITO!$M$1512*EFEITO!$Z$1512</f>
        <v>0</v>
      </c>
      <c r="O1512" s="74">
        <f>$L$1512-EFEITO!$O$1512*EFEITO!$AA$1512</f>
        <v>0</v>
      </c>
      <c r="P1512" s="57"/>
      <c r="Q1512" s="57"/>
      <c r="R1512" s="57"/>
      <c r="S1512" s="57"/>
      <c r="T1512" s="57"/>
      <c r="U1512" s="57"/>
      <c r="V1512" s="57"/>
      <c r="W1512" s="57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</row>
    <row r="1513" spans="1:36" ht="11.25" customHeight="1" x14ac:dyDescent="0.2">
      <c r="A1513" s="53" t="s">
        <v>21</v>
      </c>
      <c r="B1513" s="53" t="s">
        <v>44</v>
      </c>
      <c r="C1513" s="53" t="s">
        <v>34</v>
      </c>
      <c r="D1513" s="53" t="s">
        <v>42</v>
      </c>
      <c r="E1513" s="53" t="s">
        <v>25</v>
      </c>
      <c r="F1513" s="53" t="s">
        <v>25</v>
      </c>
      <c r="G1513" s="53" t="s">
        <v>25</v>
      </c>
      <c r="H1513" s="53" t="s">
        <v>35</v>
      </c>
      <c r="I1513" s="73">
        <v>43739</v>
      </c>
      <c r="J1513" s="74">
        <f>EFEITO!$J$1513*EFEITO!$Y$1513</f>
        <v>0</v>
      </c>
      <c r="K1513" s="74">
        <f ca="1">EFEITO!$L$1513*EFEITO!$Z$1513</f>
        <v>825224.92629470839</v>
      </c>
      <c r="L1513" s="74">
        <f>EFEITO!$N$1513*EFEITO!$AA$1513</f>
        <v>237471.03156043071</v>
      </c>
      <c r="M1513" s="74">
        <f>$J$1513-EFEITO!$K$1513*EFEITO!$Y$1513</f>
        <v>0</v>
      </c>
      <c r="N1513" s="74">
        <f ca="1">$K$1513-EFEITO!$M$1513*EFEITO!$Z$1513</f>
        <v>0</v>
      </c>
      <c r="O1513" s="74">
        <f>$L$1513-EFEITO!$O$1513*EFEITO!$AA$1513</f>
        <v>0</v>
      </c>
      <c r="P1513" s="57"/>
      <c r="Q1513" s="57"/>
      <c r="R1513" s="57"/>
      <c r="S1513" s="57"/>
      <c r="T1513" s="57"/>
      <c r="U1513" s="57"/>
      <c r="V1513" s="57"/>
      <c r="W1513" s="57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</row>
    <row r="1514" spans="1:36" ht="11.25" customHeight="1" x14ac:dyDescent="0.2">
      <c r="A1514" s="53" t="s">
        <v>21</v>
      </c>
      <c r="B1514" s="53" t="s">
        <v>44</v>
      </c>
      <c r="C1514" s="53" t="s">
        <v>34</v>
      </c>
      <c r="D1514" s="53" t="s">
        <v>42</v>
      </c>
      <c r="E1514" s="53" t="s">
        <v>25</v>
      </c>
      <c r="F1514" s="53" t="s">
        <v>25</v>
      </c>
      <c r="G1514" s="53" t="s">
        <v>25</v>
      </c>
      <c r="H1514" s="53" t="s">
        <v>35</v>
      </c>
      <c r="I1514" s="73">
        <v>43770</v>
      </c>
      <c r="J1514" s="74">
        <f>EFEITO!$J$1514*EFEITO!$Y$1514</f>
        <v>0</v>
      </c>
      <c r="K1514" s="74">
        <f ca="1">EFEITO!$L$1514*EFEITO!$Z$1514</f>
        <v>801440.42138680443</v>
      </c>
      <c r="L1514" s="74">
        <f>EFEITO!$N$1514*EFEITO!$AA$1514</f>
        <v>230626.67829907878</v>
      </c>
      <c r="M1514" s="74">
        <f>$J$1514-EFEITO!$K$1514*EFEITO!$Y$1514</f>
        <v>0</v>
      </c>
      <c r="N1514" s="74">
        <f ca="1">$K$1514-EFEITO!$M$1514*EFEITO!$Z$1514</f>
        <v>0</v>
      </c>
      <c r="O1514" s="74">
        <f>$L$1514-EFEITO!$O$1514*EFEITO!$AA$1514</f>
        <v>0</v>
      </c>
      <c r="P1514" s="57"/>
      <c r="Q1514" s="57"/>
      <c r="R1514" s="57"/>
      <c r="S1514" s="57"/>
      <c r="T1514" s="57"/>
      <c r="U1514" s="57"/>
      <c r="V1514" s="57"/>
      <c r="W1514" s="57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</row>
    <row r="1515" spans="1:36" ht="11.25" customHeight="1" x14ac:dyDescent="0.2">
      <c r="A1515" s="53" t="s">
        <v>27</v>
      </c>
      <c r="B1515" s="53" t="s">
        <v>44</v>
      </c>
      <c r="C1515" s="53" t="s">
        <v>34</v>
      </c>
      <c r="D1515" s="53" t="s">
        <v>42</v>
      </c>
      <c r="E1515" s="53" t="s">
        <v>25</v>
      </c>
      <c r="F1515" s="53" t="s">
        <v>25</v>
      </c>
      <c r="G1515" s="53" t="s">
        <v>25</v>
      </c>
      <c r="H1515" s="53" t="s">
        <v>35</v>
      </c>
      <c r="I1515" s="73">
        <v>43770</v>
      </c>
      <c r="J1515" s="74">
        <f>EFEITO!$J$1515*EFEITO!$Y$1515</f>
        <v>0</v>
      </c>
      <c r="K1515" s="74">
        <f ca="1">EFEITO!$L$1515*EFEITO!$Z$1515</f>
        <v>14505.963005363959</v>
      </c>
      <c r="L1515" s="74">
        <f>EFEITO!$N$1515*EFEITO!$AA$1515</f>
        <v>4174.3116196553428</v>
      </c>
      <c r="M1515" s="74">
        <f>$J$1515-EFEITO!$K$1515*EFEITO!$Y$1515</f>
        <v>0</v>
      </c>
      <c r="N1515" s="74">
        <f ca="1">$K$1515-EFEITO!$M$1515*EFEITO!$Z$1515</f>
        <v>0</v>
      </c>
      <c r="O1515" s="74">
        <f>$L$1515-EFEITO!$O$1515*EFEITO!$AA$1515</f>
        <v>0</v>
      </c>
      <c r="P1515" s="57"/>
      <c r="Q1515" s="57"/>
      <c r="R1515" s="57"/>
      <c r="S1515" s="57"/>
      <c r="T1515" s="57"/>
      <c r="U1515" s="57"/>
      <c r="V1515" s="57"/>
      <c r="W1515" s="57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</row>
    <row r="1516" spans="1:36" ht="11.25" customHeight="1" x14ac:dyDescent="0.2">
      <c r="A1516" s="53" t="s">
        <v>28</v>
      </c>
      <c r="B1516" s="53" t="s">
        <v>44</v>
      </c>
      <c r="C1516" s="53" t="s">
        <v>34</v>
      </c>
      <c r="D1516" s="53" t="s">
        <v>42</v>
      </c>
      <c r="E1516" s="53" t="s">
        <v>25</v>
      </c>
      <c r="F1516" s="53" t="s">
        <v>25</v>
      </c>
      <c r="G1516" s="53" t="s">
        <v>25</v>
      </c>
      <c r="H1516" s="53" t="s">
        <v>35</v>
      </c>
      <c r="I1516" s="73">
        <v>43770</v>
      </c>
      <c r="J1516" s="74">
        <f>EFEITO!$J$1516*EFEITO!$Y$1516</f>
        <v>0</v>
      </c>
      <c r="K1516" s="74">
        <f ca="1">EFEITO!$L$1516*EFEITO!$Z$1516</f>
        <v>25086.137984706009</v>
      </c>
      <c r="L1516" s="74">
        <f>EFEITO!$N$1516*EFEITO!$AA$1516</f>
        <v>7218.917988630853</v>
      </c>
      <c r="M1516" s="74">
        <f>$J$1516-EFEITO!$K$1516*EFEITO!$Y$1516</f>
        <v>0</v>
      </c>
      <c r="N1516" s="74">
        <f ca="1">$K$1516-EFEITO!$M$1516*EFEITO!$Z$1516</f>
        <v>0</v>
      </c>
      <c r="O1516" s="74">
        <f>$L$1516-EFEITO!$O$1516*EFEITO!$AA$1516</f>
        <v>0</v>
      </c>
      <c r="P1516" s="57"/>
      <c r="Q1516" s="57"/>
      <c r="R1516" s="57"/>
      <c r="S1516" s="57"/>
      <c r="T1516" s="57"/>
      <c r="U1516" s="57"/>
      <c r="V1516" s="57"/>
      <c r="W1516" s="57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</row>
    <row r="1517" spans="1:36" ht="11.25" customHeight="1" x14ac:dyDescent="0.2">
      <c r="A1517" s="53" t="s">
        <v>21</v>
      </c>
      <c r="B1517" s="53" t="s">
        <v>44</v>
      </c>
      <c r="C1517" s="53" t="s">
        <v>34</v>
      </c>
      <c r="D1517" s="53" t="s">
        <v>42</v>
      </c>
      <c r="E1517" s="53" t="s">
        <v>25</v>
      </c>
      <c r="F1517" s="53" t="s">
        <v>25</v>
      </c>
      <c r="G1517" s="53" t="s">
        <v>25</v>
      </c>
      <c r="H1517" s="53" t="s">
        <v>35</v>
      </c>
      <c r="I1517" s="73">
        <v>43800</v>
      </c>
      <c r="J1517" s="74">
        <f>EFEITO!$J$1517*EFEITO!$Y$1517</f>
        <v>0</v>
      </c>
      <c r="K1517" s="74">
        <f ca="1">EFEITO!$L$1517*EFEITO!$Z$1517</f>
        <v>774132.23776848044</v>
      </c>
      <c r="L1517" s="74">
        <f>EFEITO!$N$1517*EFEITO!$AA$1517</f>
        <v>222768.33286227466</v>
      </c>
      <c r="M1517" s="74">
        <f>$J$1517-EFEITO!$K$1517*EFEITO!$Y$1517</f>
        <v>0</v>
      </c>
      <c r="N1517" s="74">
        <f ca="1">$K$1517-EFEITO!$M$1517*EFEITO!$Z$1517</f>
        <v>0</v>
      </c>
      <c r="O1517" s="74">
        <f>$L$1517-EFEITO!$O$1517*EFEITO!$AA$1517</f>
        <v>0</v>
      </c>
      <c r="P1517" s="57"/>
      <c r="Q1517" s="57"/>
      <c r="R1517" s="57"/>
      <c r="S1517" s="57"/>
      <c r="T1517" s="57"/>
      <c r="U1517" s="57"/>
      <c r="V1517" s="57"/>
      <c r="W1517" s="57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</row>
    <row r="1518" spans="1:36" ht="11.25" customHeight="1" x14ac:dyDescent="0.2">
      <c r="A1518" s="53" t="s">
        <v>28</v>
      </c>
      <c r="B1518" s="53" t="s">
        <v>44</v>
      </c>
      <c r="C1518" s="53" t="s">
        <v>34</v>
      </c>
      <c r="D1518" s="53" t="s">
        <v>42</v>
      </c>
      <c r="E1518" s="53" t="s">
        <v>25</v>
      </c>
      <c r="F1518" s="53" t="s">
        <v>25</v>
      </c>
      <c r="G1518" s="53" t="s">
        <v>25</v>
      </c>
      <c r="H1518" s="53" t="s">
        <v>35</v>
      </c>
      <c r="I1518" s="73">
        <v>43800</v>
      </c>
      <c r="J1518" s="74">
        <f>EFEITO!$J$1518*EFEITO!$Y$1518</f>
        <v>0</v>
      </c>
      <c r="K1518" s="74">
        <f ca="1">EFEITO!$L$1518*EFEITO!$Z$1518</f>
        <v>117368.92036560345</v>
      </c>
      <c r="L1518" s="74">
        <f>EFEITO!$N$1518*EFEITO!$AA$1518</f>
        <v>33774.693061561993</v>
      </c>
      <c r="M1518" s="74">
        <f>$J$1518-EFEITO!$K$1518*EFEITO!$Y$1518</f>
        <v>0</v>
      </c>
      <c r="N1518" s="74">
        <f ca="1">$K$1518-EFEITO!$M$1518*EFEITO!$Z$1518</f>
        <v>0</v>
      </c>
      <c r="O1518" s="74">
        <f>$L$1518-EFEITO!$O$1518*EFEITO!$AA$1518</f>
        <v>0</v>
      </c>
      <c r="P1518" s="57"/>
      <c r="Q1518" s="57"/>
      <c r="R1518" s="57"/>
      <c r="S1518" s="57"/>
      <c r="T1518" s="57"/>
      <c r="U1518" s="57"/>
      <c r="V1518" s="57"/>
      <c r="W1518" s="57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</row>
    <row r="1519" spans="1:36" ht="11.25" customHeight="1" x14ac:dyDescent="0.2">
      <c r="A1519" s="53" t="s">
        <v>21</v>
      </c>
      <c r="B1519" s="53" t="s">
        <v>44</v>
      </c>
      <c r="C1519" s="53" t="s">
        <v>34</v>
      </c>
      <c r="D1519" s="53" t="s">
        <v>42</v>
      </c>
      <c r="E1519" s="53" t="s">
        <v>25</v>
      </c>
      <c r="F1519" s="53" t="s">
        <v>25</v>
      </c>
      <c r="G1519" s="53" t="s">
        <v>25</v>
      </c>
      <c r="H1519" s="53" t="s">
        <v>35</v>
      </c>
      <c r="I1519" s="73">
        <v>43831</v>
      </c>
      <c r="J1519" s="74">
        <f>EFEITO!$J$1519*EFEITO!$Y$1519</f>
        <v>0</v>
      </c>
      <c r="K1519" s="74">
        <f ca="1">EFEITO!$L$1519*EFEITO!$Z$1519</f>
        <v>683562.33662806882</v>
      </c>
      <c r="L1519" s="74">
        <f>EFEITO!$N$1519*EFEITO!$AA$1519</f>
        <v>196705.46543446885</v>
      </c>
      <c r="M1519" s="74">
        <f>$J$1519-EFEITO!$K$1519*EFEITO!$Y$1519</f>
        <v>0</v>
      </c>
      <c r="N1519" s="74">
        <f ca="1">$K$1519-EFEITO!$M$1519*EFEITO!$Z$1519</f>
        <v>0</v>
      </c>
      <c r="O1519" s="74">
        <f>$L$1519-EFEITO!$O$1519*EFEITO!$AA$1519</f>
        <v>0</v>
      </c>
      <c r="P1519" s="57"/>
      <c r="Q1519" s="57"/>
      <c r="R1519" s="57"/>
      <c r="S1519" s="57"/>
      <c r="T1519" s="57"/>
      <c r="U1519" s="57"/>
      <c r="V1519" s="57"/>
      <c r="W1519" s="57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</row>
    <row r="1520" spans="1:36" ht="11.25" customHeight="1" x14ac:dyDescent="0.2">
      <c r="A1520" s="53" t="s">
        <v>27</v>
      </c>
      <c r="B1520" s="53" t="s">
        <v>44</v>
      </c>
      <c r="C1520" s="53" t="s">
        <v>34</v>
      </c>
      <c r="D1520" s="53" t="s">
        <v>42</v>
      </c>
      <c r="E1520" s="53" t="s">
        <v>25</v>
      </c>
      <c r="F1520" s="53" t="s">
        <v>25</v>
      </c>
      <c r="G1520" s="53" t="s">
        <v>25</v>
      </c>
      <c r="H1520" s="53" t="s">
        <v>35</v>
      </c>
      <c r="I1520" s="73">
        <v>43831</v>
      </c>
      <c r="J1520" s="74">
        <f>EFEITO!$J$1520*EFEITO!$Y$1520</f>
        <v>0</v>
      </c>
      <c r="K1520" s="74">
        <f ca="1">EFEITO!$L$1520*EFEITO!$Z$1520</f>
        <v>3314.7907542632611</v>
      </c>
      <c r="L1520" s="74">
        <f>EFEITO!$N$1520*EFEITO!$AA$1520</f>
        <v>953.88148702231251</v>
      </c>
      <c r="M1520" s="74">
        <f>$J$1520-EFEITO!$K$1520*EFEITO!$Y$1520</f>
        <v>0</v>
      </c>
      <c r="N1520" s="74">
        <f ca="1">$K$1520-EFEITO!$M$1520*EFEITO!$Z$1520</f>
        <v>0</v>
      </c>
      <c r="O1520" s="74">
        <f>$L$1520-EFEITO!$O$1520*EFEITO!$AA$1520</f>
        <v>0</v>
      </c>
      <c r="P1520" s="57"/>
      <c r="Q1520" s="57"/>
      <c r="R1520" s="57"/>
      <c r="S1520" s="57"/>
      <c r="T1520" s="57"/>
      <c r="U1520" s="57"/>
      <c r="V1520" s="57"/>
      <c r="W1520" s="57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</row>
    <row r="1521" spans="1:36" ht="11.25" customHeight="1" x14ac:dyDescent="0.2">
      <c r="A1521" s="53" t="s">
        <v>28</v>
      </c>
      <c r="B1521" s="53" t="s">
        <v>44</v>
      </c>
      <c r="C1521" s="53" t="s">
        <v>34</v>
      </c>
      <c r="D1521" s="53" t="s">
        <v>42</v>
      </c>
      <c r="E1521" s="53" t="s">
        <v>25</v>
      </c>
      <c r="F1521" s="53" t="s">
        <v>25</v>
      </c>
      <c r="G1521" s="53" t="s">
        <v>25</v>
      </c>
      <c r="H1521" s="53" t="s">
        <v>35</v>
      </c>
      <c r="I1521" s="73">
        <v>43831</v>
      </c>
      <c r="J1521" s="74">
        <f>EFEITO!$J$1521*EFEITO!$Y$1521</f>
        <v>0</v>
      </c>
      <c r="K1521" s="74">
        <f ca="1">EFEITO!$L$1521*EFEITO!$Z$1521</f>
        <v>81899.745410178366</v>
      </c>
      <c r="L1521" s="74">
        <f>EFEITO!$N$1521*EFEITO!$AA$1521</f>
        <v>23567.898166161365</v>
      </c>
      <c r="M1521" s="74">
        <f>$J$1521-EFEITO!$K$1521*EFEITO!$Y$1521</f>
        <v>0</v>
      </c>
      <c r="N1521" s="74">
        <f ca="1">$K$1521-EFEITO!$M$1521*EFEITO!$Z$1521</f>
        <v>0</v>
      </c>
      <c r="O1521" s="74">
        <f>$L$1521-EFEITO!$O$1521*EFEITO!$AA$1521</f>
        <v>0</v>
      </c>
      <c r="P1521" s="57"/>
      <c r="Q1521" s="57"/>
      <c r="R1521" s="57"/>
      <c r="S1521" s="57"/>
      <c r="T1521" s="57"/>
      <c r="U1521" s="57"/>
      <c r="V1521" s="57"/>
      <c r="W1521" s="57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</row>
    <row r="1522" spans="1:36" ht="11.25" customHeight="1" x14ac:dyDescent="0.2">
      <c r="A1522" s="53" t="s">
        <v>21</v>
      </c>
      <c r="B1522" s="53" t="s">
        <v>44</v>
      </c>
      <c r="C1522" s="53" t="s">
        <v>34</v>
      </c>
      <c r="D1522" s="53" t="s">
        <v>42</v>
      </c>
      <c r="E1522" s="53" t="s">
        <v>25</v>
      </c>
      <c r="F1522" s="53" t="s">
        <v>25</v>
      </c>
      <c r="G1522" s="53" t="s">
        <v>25</v>
      </c>
      <c r="H1522" s="53" t="s">
        <v>35</v>
      </c>
      <c r="I1522" s="73">
        <v>43862</v>
      </c>
      <c r="J1522" s="74">
        <f>EFEITO!$J$1522*EFEITO!$Y$1522</f>
        <v>0</v>
      </c>
      <c r="K1522" s="74">
        <f ca="1">EFEITO!$L$1522*EFEITO!$Z$1522</f>
        <v>794150.23171693203</v>
      </c>
      <c r="L1522" s="74">
        <f>EFEITO!$N$1522*EFEITO!$AA$1522</f>
        <v>228528.81527287452</v>
      </c>
      <c r="M1522" s="74">
        <f>$J$1522-EFEITO!$K$1522*EFEITO!$Y$1522</f>
        <v>0</v>
      </c>
      <c r="N1522" s="74">
        <f ca="1">$K$1522-EFEITO!$M$1522*EFEITO!$Z$1522</f>
        <v>0</v>
      </c>
      <c r="O1522" s="74">
        <f>$L$1522-EFEITO!$O$1522*EFEITO!$AA$1522</f>
        <v>0</v>
      </c>
      <c r="P1522" s="57"/>
      <c r="Q1522" s="57"/>
      <c r="R1522" s="57"/>
      <c r="S1522" s="57"/>
      <c r="T1522" s="57"/>
      <c r="U1522" s="57"/>
      <c r="V1522" s="57"/>
      <c r="W1522" s="57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</row>
    <row r="1523" spans="1:36" ht="11.25" customHeight="1" x14ac:dyDescent="0.2">
      <c r="A1523" s="53" t="s">
        <v>28</v>
      </c>
      <c r="B1523" s="53" t="s">
        <v>44</v>
      </c>
      <c r="C1523" s="53" t="s">
        <v>34</v>
      </c>
      <c r="D1523" s="53" t="s">
        <v>42</v>
      </c>
      <c r="E1523" s="53" t="s">
        <v>25</v>
      </c>
      <c r="F1523" s="53" t="s">
        <v>25</v>
      </c>
      <c r="G1523" s="53" t="s">
        <v>25</v>
      </c>
      <c r="H1523" s="53" t="s">
        <v>35</v>
      </c>
      <c r="I1523" s="73">
        <v>43862</v>
      </c>
      <c r="J1523" s="74">
        <f>EFEITO!$J$1523*EFEITO!$Y$1523</f>
        <v>0</v>
      </c>
      <c r="K1523" s="74">
        <f ca="1">EFEITO!$L$1523*EFEITO!$Z$1523</f>
        <v>103438.70478939668</v>
      </c>
      <c r="L1523" s="74">
        <f>EFEITO!$N$1523*EFEITO!$AA$1523</f>
        <v>29766.061526891619</v>
      </c>
      <c r="M1523" s="74">
        <f>$J$1523-EFEITO!$K$1523*EFEITO!$Y$1523</f>
        <v>0</v>
      </c>
      <c r="N1523" s="74">
        <f ca="1">$K$1523-EFEITO!$M$1523*EFEITO!$Z$1523</f>
        <v>0</v>
      </c>
      <c r="O1523" s="74">
        <f>$L$1523-EFEITO!$O$1523*EFEITO!$AA$1523</f>
        <v>0</v>
      </c>
      <c r="P1523" s="57"/>
      <c r="Q1523" s="57"/>
      <c r="R1523" s="57"/>
      <c r="S1523" s="57"/>
      <c r="T1523" s="57"/>
      <c r="U1523" s="57"/>
      <c r="V1523" s="57"/>
      <c r="W1523" s="57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</row>
    <row r="1524" spans="1:36" ht="11.25" customHeight="1" x14ac:dyDescent="0.2">
      <c r="A1524" s="53" t="s">
        <v>21</v>
      </c>
      <c r="B1524" s="53" t="s">
        <v>44</v>
      </c>
      <c r="C1524" s="53" t="s">
        <v>34</v>
      </c>
      <c r="D1524" s="53" t="s">
        <v>42</v>
      </c>
      <c r="E1524" s="53" t="s">
        <v>25</v>
      </c>
      <c r="F1524" s="53" t="s">
        <v>25</v>
      </c>
      <c r="G1524" s="53" t="s">
        <v>25</v>
      </c>
      <c r="H1524" s="53" t="s">
        <v>35</v>
      </c>
      <c r="I1524" s="73">
        <v>43891</v>
      </c>
      <c r="J1524" s="74">
        <f>EFEITO!$J$1524*EFEITO!$Y$1524</f>
        <v>0</v>
      </c>
      <c r="K1524" s="74">
        <f ca="1">EFEITO!$L$1524*EFEITO!$Z$1524</f>
        <v>704867.60260633659</v>
      </c>
      <c r="L1524" s="74">
        <f>EFEITO!$N$1524*EFEITO!$AA$1524</f>
        <v>202836.37996251811</v>
      </c>
      <c r="M1524" s="74">
        <f>$J$1524-EFEITO!$K$1524*EFEITO!$Y$1524</f>
        <v>0</v>
      </c>
      <c r="N1524" s="74">
        <f ca="1">$K$1524-EFEITO!$M$1524*EFEITO!$Z$1524</f>
        <v>0</v>
      </c>
      <c r="O1524" s="74">
        <f>$L$1524-EFEITO!$O$1524*EFEITO!$AA$1524</f>
        <v>0</v>
      </c>
      <c r="P1524" s="57"/>
      <c r="Q1524" s="57"/>
      <c r="R1524" s="57"/>
      <c r="S1524" s="57"/>
      <c r="T1524" s="57"/>
      <c r="U1524" s="57"/>
      <c r="V1524" s="57"/>
      <c r="W1524" s="57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</row>
    <row r="1525" spans="1:36" ht="11.25" customHeight="1" x14ac:dyDescent="0.2">
      <c r="A1525" s="53" t="s">
        <v>28</v>
      </c>
      <c r="B1525" s="53" t="s">
        <v>44</v>
      </c>
      <c r="C1525" s="53" t="s">
        <v>34</v>
      </c>
      <c r="D1525" s="53" t="s">
        <v>42</v>
      </c>
      <c r="E1525" s="53" t="s">
        <v>25</v>
      </c>
      <c r="F1525" s="53" t="s">
        <v>25</v>
      </c>
      <c r="G1525" s="53" t="s">
        <v>25</v>
      </c>
      <c r="H1525" s="53" t="s">
        <v>35</v>
      </c>
      <c r="I1525" s="73">
        <v>43891</v>
      </c>
      <c r="J1525" s="74">
        <f>EFEITO!$J$1525*EFEITO!$Y$1525</f>
        <v>0</v>
      </c>
      <c r="K1525" s="74">
        <f ca="1">EFEITO!$L$1525*EFEITO!$Z$1525</f>
        <v>82871.074406307496</v>
      </c>
      <c r="L1525" s="74">
        <f>EFEITO!$N$1525*EFEITO!$AA$1525</f>
        <v>23847.412867360501</v>
      </c>
      <c r="M1525" s="74">
        <f>$J$1525-EFEITO!$K$1525*EFEITO!$Y$1525</f>
        <v>0</v>
      </c>
      <c r="N1525" s="74">
        <f ca="1">$K$1525-EFEITO!$M$1525*EFEITO!$Z$1525</f>
        <v>0</v>
      </c>
      <c r="O1525" s="74">
        <f>$L$1525-EFEITO!$O$1525*EFEITO!$AA$1525</f>
        <v>0</v>
      </c>
      <c r="P1525" s="57"/>
      <c r="Q1525" s="57"/>
      <c r="R1525" s="57"/>
      <c r="S1525" s="57"/>
      <c r="T1525" s="57"/>
      <c r="U1525" s="57"/>
      <c r="V1525" s="57"/>
      <c r="W1525" s="57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</row>
    <row r="1526" spans="1:36" ht="11.25" customHeight="1" x14ac:dyDescent="0.2">
      <c r="A1526" s="53" t="s">
        <v>21</v>
      </c>
      <c r="B1526" s="53" t="s">
        <v>44</v>
      </c>
      <c r="C1526" s="53" t="s">
        <v>34</v>
      </c>
      <c r="D1526" s="53" t="s">
        <v>42</v>
      </c>
      <c r="E1526" s="53" t="s">
        <v>25</v>
      </c>
      <c r="F1526" s="53" t="s">
        <v>25</v>
      </c>
      <c r="G1526" s="53" t="s">
        <v>25</v>
      </c>
      <c r="H1526" s="53" t="s">
        <v>35</v>
      </c>
      <c r="I1526" s="73">
        <v>43922</v>
      </c>
      <c r="J1526" s="74">
        <f>EFEITO!$J$1526*EFEITO!$Y$1526</f>
        <v>0</v>
      </c>
      <c r="K1526" s="74">
        <f ca="1">EFEITO!$L$1526*EFEITO!$Z$1526</f>
        <v>722863.30002924509</v>
      </c>
      <c r="L1526" s="74">
        <f>EFEITO!$N$1526*EFEITO!$AA$1526</f>
        <v>208014.91577075582</v>
      </c>
      <c r="M1526" s="74">
        <f>$J$1526-EFEITO!$K$1526*EFEITO!$Y$1526</f>
        <v>0</v>
      </c>
      <c r="N1526" s="74">
        <f ca="1">$K$1526-EFEITO!$M$1526*EFEITO!$Z$1526</f>
        <v>0</v>
      </c>
      <c r="O1526" s="74">
        <f>$L$1526-EFEITO!$O$1526*EFEITO!$AA$1526</f>
        <v>0</v>
      </c>
      <c r="P1526" s="57"/>
      <c r="Q1526" s="57"/>
      <c r="R1526" s="57"/>
      <c r="S1526" s="57"/>
      <c r="T1526" s="57"/>
      <c r="U1526" s="57"/>
      <c r="V1526" s="57"/>
      <c r="W1526" s="57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</row>
    <row r="1527" spans="1:36" ht="11.25" customHeight="1" x14ac:dyDescent="0.2">
      <c r="A1527" s="53" t="s">
        <v>27</v>
      </c>
      <c r="B1527" s="53" t="s">
        <v>44</v>
      </c>
      <c r="C1527" s="53" t="s">
        <v>34</v>
      </c>
      <c r="D1527" s="53" t="s">
        <v>42</v>
      </c>
      <c r="E1527" s="53" t="s">
        <v>25</v>
      </c>
      <c r="F1527" s="53" t="s">
        <v>25</v>
      </c>
      <c r="G1527" s="53" t="s">
        <v>25</v>
      </c>
      <c r="H1527" s="53" t="s">
        <v>35</v>
      </c>
      <c r="I1527" s="73">
        <v>43922</v>
      </c>
      <c r="J1527" s="74">
        <f>EFEITO!$J$1527*EFEITO!$Y$1527</f>
        <v>0</v>
      </c>
      <c r="K1527" s="74">
        <f ca="1">EFEITO!$L$1527*EFEITO!$Z$1527</f>
        <v>88111.551006391281</v>
      </c>
      <c r="L1527" s="74">
        <f>EFEITO!$N$1527*EFEITO!$AA$1527</f>
        <v>25355.439763346145</v>
      </c>
      <c r="M1527" s="74">
        <f>$J$1527-EFEITO!$K$1527*EFEITO!$Y$1527</f>
        <v>0</v>
      </c>
      <c r="N1527" s="74">
        <f ca="1">$K$1527-EFEITO!$M$1527*EFEITO!$Z$1527</f>
        <v>0</v>
      </c>
      <c r="O1527" s="74">
        <f>$L$1527-EFEITO!$O$1527*EFEITO!$AA$1527</f>
        <v>0</v>
      </c>
      <c r="P1527" s="57"/>
      <c r="Q1527" s="57"/>
      <c r="R1527" s="57"/>
      <c r="S1527" s="57"/>
      <c r="T1527" s="57"/>
      <c r="U1527" s="57"/>
      <c r="V1527" s="57"/>
      <c r="W1527" s="57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</row>
    <row r="1528" spans="1:36" ht="11.25" customHeight="1" x14ac:dyDescent="0.2">
      <c r="A1528" s="53" t="s">
        <v>28</v>
      </c>
      <c r="B1528" s="53" t="s">
        <v>44</v>
      </c>
      <c r="C1528" s="53" t="s">
        <v>34</v>
      </c>
      <c r="D1528" s="53" t="s">
        <v>42</v>
      </c>
      <c r="E1528" s="53" t="s">
        <v>25</v>
      </c>
      <c r="F1528" s="53" t="s">
        <v>25</v>
      </c>
      <c r="G1528" s="53" t="s">
        <v>25</v>
      </c>
      <c r="H1528" s="53" t="s">
        <v>35</v>
      </c>
      <c r="I1528" s="73">
        <v>43922</v>
      </c>
      <c r="J1528" s="74">
        <f>EFEITO!$J$1528*EFEITO!$Y$1528</f>
        <v>0</v>
      </c>
      <c r="K1528" s="74">
        <f ca="1">EFEITO!$L$1528*EFEITO!$Z$1528</f>
        <v>70480.101957031162</v>
      </c>
      <c r="L1528" s="74">
        <f>EFEITO!$N$1528*EFEITO!$AA$1528</f>
        <v>20281.721968058111</v>
      </c>
      <c r="M1528" s="74">
        <f>$J$1528-EFEITO!$K$1528*EFEITO!$Y$1528</f>
        <v>0</v>
      </c>
      <c r="N1528" s="74">
        <f ca="1">$K$1528-EFEITO!$M$1528*EFEITO!$Z$1528</f>
        <v>0</v>
      </c>
      <c r="O1528" s="74">
        <f>$L$1528-EFEITO!$O$1528*EFEITO!$AA$1528</f>
        <v>0</v>
      </c>
      <c r="P1528" s="57"/>
      <c r="Q1528" s="57"/>
      <c r="R1528" s="57"/>
      <c r="S1528" s="57"/>
      <c r="T1528" s="57"/>
      <c r="U1528" s="57"/>
      <c r="V1528" s="57"/>
      <c r="W1528" s="57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</row>
    <row r="1529" spans="1:36" ht="11.25" customHeight="1" x14ac:dyDescent="0.2">
      <c r="A1529" s="53" t="s">
        <v>21</v>
      </c>
      <c r="B1529" s="53" t="s">
        <v>44</v>
      </c>
      <c r="C1529" s="53" t="s">
        <v>34</v>
      </c>
      <c r="D1529" s="53" t="s">
        <v>42</v>
      </c>
      <c r="E1529" s="53" t="s">
        <v>25</v>
      </c>
      <c r="F1529" s="53" t="s">
        <v>25</v>
      </c>
      <c r="G1529" s="53" t="s">
        <v>25</v>
      </c>
      <c r="H1529" s="53" t="s">
        <v>35</v>
      </c>
      <c r="I1529" s="73">
        <v>43952</v>
      </c>
      <c r="J1529" s="74">
        <f>EFEITO!$J$1529*EFEITO!$Y$1529</f>
        <v>0</v>
      </c>
      <c r="K1529" s="74">
        <f ca="1">EFEITO!$L$1529*EFEITO!$Z$1529</f>
        <v>481010.21329144726</v>
      </c>
      <c r="L1529" s="74">
        <f>EFEITO!$N$1529*EFEITO!$AA$1529</f>
        <v>138418.00932298767</v>
      </c>
      <c r="M1529" s="74">
        <f>$J$1529-EFEITO!$K$1529*EFEITO!$Y$1529</f>
        <v>0</v>
      </c>
      <c r="N1529" s="74">
        <f ca="1">$K$1529-EFEITO!$M$1529*EFEITO!$Z$1529</f>
        <v>0</v>
      </c>
      <c r="O1529" s="74">
        <f>$L$1529-EFEITO!$O$1529*EFEITO!$AA$1529</f>
        <v>0</v>
      </c>
      <c r="P1529" s="57"/>
      <c r="Q1529" s="57"/>
      <c r="R1529" s="57"/>
      <c r="S1529" s="57"/>
      <c r="T1529" s="57"/>
      <c r="U1529" s="57"/>
      <c r="V1529" s="57"/>
      <c r="W1529" s="57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</row>
    <row r="1530" spans="1:36" ht="11.25" customHeight="1" x14ac:dyDescent="0.2">
      <c r="A1530" s="53" t="s">
        <v>28</v>
      </c>
      <c r="B1530" s="53" t="s">
        <v>44</v>
      </c>
      <c r="C1530" s="53" t="s">
        <v>34</v>
      </c>
      <c r="D1530" s="53" t="s">
        <v>42</v>
      </c>
      <c r="E1530" s="53" t="s">
        <v>25</v>
      </c>
      <c r="F1530" s="53" t="s">
        <v>25</v>
      </c>
      <c r="G1530" s="53" t="s">
        <v>25</v>
      </c>
      <c r="H1530" s="53" t="s">
        <v>35</v>
      </c>
      <c r="I1530" s="73">
        <v>43952</v>
      </c>
      <c r="J1530" s="74">
        <f>EFEITO!$J$1530*EFEITO!$Y$1530</f>
        <v>0</v>
      </c>
      <c r="K1530" s="74">
        <f ca="1">EFEITO!$L$1530*EFEITO!$Z$1530</f>
        <v>43019.169020767513</v>
      </c>
      <c r="L1530" s="74">
        <f>EFEITO!$N$1530*EFEITO!$AA$1530</f>
        <v>12379.42059033959</v>
      </c>
      <c r="M1530" s="74">
        <f>$J$1530-EFEITO!$K$1530*EFEITO!$Y$1530</f>
        <v>0</v>
      </c>
      <c r="N1530" s="74">
        <f ca="1">$K$1530-EFEITO!$M$1530*EFEITO!$Z$1530</f>
        <v>0</v>
      </c>
      <c r="O1530" s="74">
        <f>$L$1530-EFEITO!$O$1530*EFEITO!$AA$1530</f>
        <v>0</v>
      </c>
      <c r="P1530" s="57"/>
      <c r="Q1530" s="57"/>
      <c r="R1530" s="57"/>
      <c r="S1530" s="57"/>
      <c r="T1530" s="57"/>
      <c r="U1530" s="57"/>
      <c r="V1530" s="57"/>
      <c r="W1530" s="57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</row>
    <row r="1531" spans="1:36" ht="11.25" customHeight="1" x14ac:dyDescent="0.2">
      <c r="A1531" s="53" t="s">
        <v>21</v>
      </c>
      <c r="B1531" s="53" t="s">
        <v>44</v>
      </c>
      <c r="C1531" s="53" t="s">
        <v>34</v>
      </c>
      <c r="D1531" s="53" t="s">
        <v>42</v>
      </c>
      <c r="E1531" s="53" t="s">
        <v>25</v>
      </c>
      <c r="F1531" s="53" t="s">
        <v>25</v>
      </c>
      <c r="G1531" s="53" t="s">
        <v>25</v>
      </c>
      <c r="H1531" s="53" t="s">
        <v>35</v>
      </c>
      <c r="I1531" s="73">
        <v>43983</v>
      </c>
      <c r="J1531" s="74">
        <f>EFEITO!$J$1531*EFEITO!$Y$1531</f>
        <v>0</v>
      </c>
      <c r="K1531" s="74">
        <f ca="1">EFEITO!$L$1531*EFEITO!$Z$1531</f>
        <v>541705.22005225823</v>
      </c>
      <c r="L1531" s="74">
        <f>EFEITO!$N$1531*EFEITO!$AA$1531</f>
        <v>155883.92122990667</v>
      </c>
      <c r="M1531" s="74">
        <f>$J$1531-EFEITO!$K$1531*EFEITO!$Y$1531</f>
        <v>0</v>
      </c>
      <c r="N1531" s="74">
        <f ca="1">$K$1531-EFEITO!$M$1531*EFEITO!$Z$1531</f>
        <v>0</v>
      </c>
      <c r="O1531" s="74">
        <f>$L$1531-EFEITO!$O$1531*EFEITO!$AA$1531</f>
        <v>0</v>
      </c>
      <c r="P1531" s="57"/>
      <c r="Q1531" s="57"/>
      <c r="R1531" s="57"/>
      <c r="S1531" s="57"/>
      <c r="T1531" s="57"/>
      <c r="U1531" s="57"/>
      <c r="V1531" s="57"/>
      <c r="W1531" s="57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</row>
    <row r="1532" spans="1:36" ht="11.25" customHeight="1" x14ac:dyDescent="0.2">
      <c r="A1532" s="53" t="s">
        <v>27</v>
      </c>
      <c r="B1532" s="53" t="s">
        <v>44</v>
      </c>
      <c r="C1532" s="53" t="s">
        <v>34</v>
      </c>
      <c r="D1532" s="53" t="s">
        <v>42</v>
      </c>
      <c r="E1532" s="53" t="s">
        <v>25</v>
      </c>
      <c r="F1532" s="53" t="s">
        <v>25</v>
      </c>
      <c r="G1532" s="53" t="s">
        <v>25</v>
      </c>
      <c r="H1532" s="53" t="s">
        <v>35</v>
      </c>
      <c r="I1532" s="73">
        <v>43983</v>
      </c>
      <c r="J1532" s="74">
        <f>EFEITO!$J$1532*EFEITO!$Y$1532</f>
        <v>0</v>
      </c>
      <c r="K1532" s="74">
        <f ca="1">EFEITO!$L$1532*EFEITO!$Z$1532</f>
        <v>18397.806738510386</v>
      </c>
      <c r="L1532" s="74">
        <f>EFEITO!$N$1532*EFEITO!$AA$1532</f>
        <v>5294.2488834653122</v>
      </c>
      <c r="M1532" s="74">
        <f>$J$1532-EFEITO!$K$1532*EFEITO!$Y$1532</f>
        <v>0</v>
      </c>
      <c r="N1532" s="74">
        <f ca="1">$K$1532-EFEITO!$M$1532*EFEITO!$Z$1532</f>
        <v>0</v>
      </c>
      <c r="O1532" s="74">
        <f>$L$1532-EFEITO!$O$1532*EFEITO!$AA$1532</f>
        <v>0</v>
      </c>
      <c r="P1532" s="57"/>
      <c r="Q1532" s="57"/>
      <c r="R1532" s="57"/>
      <c r="S1532" s="57"/>
      <c r="T1532" s="57"/>
      <c r="U1532" s="57"/>
      <c r="V1532" s="57"/>
      <c r="W1532" s="57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</row>
    <row r="1533" spans="1:36" ht="11.25" customHeight="1" x14ac:dyDescent="0.2">
      <c r="A1533" s="53" t="s">
        <v>28</v>
      </c>
      <c r="B1533" s="53" t="s">
        <v>44</v>
      </c>
      <c r="C1533" s="53" t="s">
        <v>34</v>
      </c>
      <c r="D1533" s="53" t="s">
        <v>42</v>
      </c>
      <c r="E1533" s="53" t="s">
        <v>25</v>
      </c>
      <c r="F1533" s="53" t="s">
        <v>25</v>
      </c>
      <c r="G1533" s="53" t="s">
        <v>25</v>
      </c>
      <c r="H1533" s="53" t="s">
        <v>35</v>
      </c>
      <c r="I1533" s="73">
        <v>43983</v>
      </c>
      <c r="J1533" s="74">
        <f>EFEITO!$J$1533*EFEITO!$Y$1533</f>
        <v>0</v>
      </c>
      <c r="K1533" s="74">
        <f ca="1">EFEITO!$L$1533*EFEITO!$Z$1533</f>
        <v>43660.193936223695</v>
      </c>
      <c r="L1533" s="74">
        <f>EFEITO!$N$1533*EFEITO!$AA$1533</f>
        <v>12563.88526545891</v>
      </c>
      <c r="M1533" s="74">
        <f>$J$1533-EFEITO!$K$1533*EFEITO!$Y$1533</f>
        <v>0</v>
      </c>
      <c r="N1533" s="74">
        <f ca="1">$K$1533-EFEITO!$M$1533*EFEITO!$Z$1533</f>
        <v>0</v>
      </c>
      <c r="O1533" s="74">
        <f>$L$1533-EFEITO!$O$1533*EFEITO!$AA$1533</f>
        <v>0</v>
      </c>
      <c r="P1533" s="57"/>
      <c r="Q1533" s="57"/>
      <c r="R1533" s="57"/>
      <c r="S1533" s="57"/>
      <c r="T1533" s="57"/>
      <c r="U1533" s="57"/>
      <c r="V1533" s="57"/>
      <c r="W1533" s="57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</row>
    <row r="1534" spans="1:36" ht="11.25" customHeight="1" x14ac:dyDescent="0.2">
      <c r="A1534" s="53" t="s">
        <v>21</v>
      </c>
      <c r="B1534" s="53" t="s">
        <v>44</v>
      </c>
      <c r="C1534" s="53" t="s">
        <v>34</v>
      </c>
      <c r="D1534" s="53" t="s">
        <v>42</v>
      </c>
      <c r="E1534" s="53" t="s">
        <v>25</v>
      </c>
      <c r="F1534" s="53" t="s">
        <v>25</v>
      </c>
      <c r="G1534" s="53" t="s">
        <v>25</v>
      </c>
      <c r="H1534" s="53" t="s">
        <v>35</v>
      </c>
      <c r="I1534" s="73">
        <v>44013</v>
      </c>
      <c r="J1534" s="74">
        <f>EFEITO!$J$1534*EFEITO!$Y$1534</f>
        <v>0</v>
      </c>
      <c r="K1534" s="74">
        <f ca="1">EFEITO!$L$1534*EFEITO!$Z$1534</f>
        <v>450349.37797680654</v>
      </c>
      <c r="L1534" s="74">
        <f>EFEITO!$N$1534*EFEITO!$AA$1534</f>
        <v>129594.8873368833</v>
      </c>
      <c r="M1534" s="74">
        <f>$J$1534-EFEITO!$K$1534*EFEITO!$Y$1534</f>
        <v>0</v>
      </c>
      <c r="N1534" s="74">
        <f ca="1">$K$1534-EFEITO!$M$1534*EFEITO!$Z$1534</f>
        <v>0</v>
      </c>
      <c r="O1534" s="74">
        <f>$L$1534-EFEITO!$O$1534*EFEITO!$AA$1534</f>
        <v>0</v>
      </c>
      <c r="P1534" s="57"/>
      <c r="Q1534" s="57"/>
      <c r="R1534" s="57"/>
      <c r="S1534" s="57"/>
      <c r="T1534" s="57"/>
      <c r="U1534" s="57"/>
      <c r="V1534" s="57"/>
      <c r="W1534" s="57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</row>
    <row r="1535" spans="1:36" ht="11.25" customHeight="1" x14ac:dyDescent="0.2">
      <c r="A1535" s="53" t="s">
        <v>27</v>
      </c>
      <c r="B1535" s="53" t="s">
        <v>44</v>
      </c>
      <c r="C1535" s="53" t="s">
        <v>34</v>
      </c>
      <c r="D1535" s="53" t="s">
        <v>42</v>
      </c>
      <c r="E1535" s="53" t="s">
        <v>25</v>
      </c>
      <c r="F1535" s="53" t="s">
        <v>25</v>
      </c>
      <c r="G1535" s="53" t="s">
        <v>25</v>
      </c>
      <c r="H1535" s="53" t="s">
        <v>35</v>
      </c>
      <c r="I1535" s="73">
        <v>44013</v>
      </c>
      <c r="J1535" s="74">
        <f>EFEITO!$J$1535*EFEITO!$Y$1535</f>
        <v>0</v>
      </c>
      <c r="K1535" s="74">
        <f ca="1">EFEITO!$L$1535*EFEITO!$Z$1535</f>
        <v>16840.285915416225</v>
      </c>
      <c r="L1535" s="74">
        <f>EFEITO!$N$1535*EFEITO!$AA$1535</f>
        <v>4846.0485628597116</v>
      </c>
      <c r="M1535" s="74">
        <f>$J$1535-EFEITO!$K$1535*EFEITO!$Y$1535</f>
        <v>0</v>
      </c>
      <c r="N1535" s="74">
        <f ca="1">$K$1535-EFEITO!$M$1535*EFEITO!$Z$1535</f>
        <v>0</v>
      </c>
      <c r="O1535" s="74">
        <f>$L$1535-EFEITO!$O$1535*EFEITO!$AA$1535</f>
        <v>0</v>
      </c>
      <c r="P1535" s="57"/>
      <c r="Q1535" s="57"/>
      <c r="R1535" s="57"/>
      <c r="S1535" s="57"/>
      <c r="T1535" s="57"/>
      <c r="U1535" s="57"/>
      <c r="V1535" s="57"/>
      <c r="W1535" s="57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</row>
    <row r="1536" spans="1:36" ht="11.25" customHeight="1" x14ac:dyDescent="0.2">
      <c r="A1536" s="53" t="s">
        <v>28</v>
      </c>
      <c r="B1536" s="53" t="s">
        <v>44</v>
      </c>
      <c r="C1536" s="53" t="s">
        <v>34</v>
      </c>
      <c r="D1536" s="53" t="s">
        <v>42</v>
      </c>
      <c r="E1536" s="53" t="s">
        <v>25</v>
      </c>
      <c r="F1536" s="53" t="s">
        <v>25</v>
      </c>
      <c r="G1536" s="53" t="s">
        <v>25</v>
      </c>
      <c r="H1536" s="53" t="s">
        <v>35</v>
      </c>
      <c r="I1536" s="73">
        <v>44013</v>
      </c>
      <c r="J1536" s="74">
        <f>EFEITO!$J$1536*EFEITO!$Y$1536</f>
        <v>0</v>
      </c>
      <c r="K1536" s="74">
        <f ca="1">EFEITO!$L$1536*EFEITO!$Z$1536</f>
        <v>35037.037996125691</v>
      </c>
      <c r="L1536" s="74">
        <f>EFEITO!$N$1536*EFEITO!$AA$1536</f>
        <v>10082.440908711225</v>
      </c>
      <c r="M1536" s="74">
        <f>$J$1536-EFEITO!$K$1536*EFEITO!$Y$1536</f>
        <v>0</v>
      </c>
      <c r="N1536" s="74">
        <f ca="1">$K$1536-EFEITO!$M$1536*EFEITO!$Z$1536</f>
        <v>0</v>
      </c>
      <c r="O1536" s="74">
        <f>$L$1536-EFEITO!$O$1536*EFEITO!$AA$1536</f>
        <v>0</v>
      </c>
      <c r="P1536" s="57"/>
      <c r="Q1536" s="57"/>
      <c r="R1536" s="57"/>
      <c r="S1536" s="57"/>
      <c r="T1536" s="57"/>
      <c r="U1536" s="57"/>
      <c r="V1536" s="57"/>
      <c r="W1536" s="57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</row>
    <row r="1537" spans="1:36" ht="11.25" customHeight="1" x14ac:dyDescent="0.2">
      <c r="A1537" s="53" t="s">
        <v>21</v>
      </c>
      <c r="B1537" s="53" t="s">
        <v>44</v>
      </c>
      <c r="C1537" s="53" t="s">
        <v>34</v>
      </c>
      <c r="D1537" s="53" t="s">
        <v>42</v>
      </c>
      <c r="E1537" s="53" t="s">
        <v>25</v>
      </c>
      <c r="F1537" s="53" t="s">
        <v>25</v>
      </c>
      <c r="G1537" s="53" t="s">
        <v>25</v>
      </c>
      <c r="H1537" s="53" t="s">
        <v>35</v>
      </c>
      <c r="I1537" s="73">
        <v>44044</v>
      </c>
      <c r="J1537" s="74">
        <f>EFEITO!$J$1537*EFEITO!$Y$1537</f>
        <v>0</v>
      </c>
      <c r="K1537" s="74">
        <f ca="1">EFEITO!$L$1537*EFEITO!$Z$1537</f>
        <v>498807.46715600684</v>
      </c>
      <c r="L1537" s="74">
        <f>EFEITO!$N$1537*EFEITO!$AA$1537</f>
        <v>143539.43997721697</v>
      </c>
      <c r="M1537" s="74">
        <f>$J$1537-EFEITO!$K$1537*EFEITO!$Y$1537</f>
        <v>0</v>
      </c>
      <c r="N1537" s="74">
        <f ca="1">$K$1537-EFEITO!$M$1537*EFEITO!$Z$1537</f>
        <v>0</v>
      </c>
      <c r="O1537" s="74">
        <f>$L$1537-EFEITO!$O$1537*EFEITO!$AA$1537</f>
        <v>0</v>
      </c>
      <c r="P1537" s="57"/>
      <c r="Q1537" s="57"/>
      <c r="R1537" s="57"/>
      <c r="S1537" s="57"/>
      <c r="T1537" s="57"/>
      <c r="U1537" s="57"/>
      <c r="V1537" s="57"/>
      <c r="W1537" s="57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</row>
    <row r="1538" spans="1:36" ht="11.25" customHeight="1" x14ac:dyDescent="0.2">
      <c r="A1538" s="53" t="s">
        <v>27</v>
      </c>
      <c r="B1538" s="53" t="s">
        <v>44</v>
      </c>
      <c r="C1538" s="53" t="s">
        <v>34</v>
      </c>
      <c r="D1538" s="53" t="s">
        <v>42</v>
      </c>
      <c r="E1538" s="53" t="s">
        <v>25</v>
      </c>
      <c r="F1538" s="53" t="s">
        <v>25</v>
      </c>
      <c r="G1538" s="53" t="s">
        <v>25</v>
      </c>
      <c r="H1538" s="53" t="s">
        <v>35</v>
      </c>
      <c r="I1538" s="73">
        <v>44044</v>
      </c>
      <c r="J1538" s="74">
        <f>EFEITO!$J$1538*EFEITO!$Y$1538</f>
        <v>0</v>
      </c>
      <c r="K1538" s="74">
        <f ca="1">EFEITO!$L$1538*EFEITO!$Z$1538</f>
        <v>18559.694904531909</v>
      </c>
      <c r="L1538" s="74">
        <f>EFEITO!$N$1538*EFEITO!$AA$1538</f>
        <v>5340.8346669985012</v>
      </c>
      <c r="M1538" s="74">
        <f>$J$1538-EFEITO!$K$1538*EFEITO!$Y$1538</f>
        <v>0</v>
      </c>
      <c r="N1538" s="74">
        <f ca="1">$K$1538-EFEITO!$M$1538*EFEITO!$Z$1538</f>
        <v>0</v>
      </c>
      <c r="O1538" s="74">
        <f>$L$1538-EFEITO!$O$1538*EFEITO!$AA$1538</f>
        <v>0</v>
      </c>
      <c r="P1538" s="57"/>
      <c r="Q1538" s="57"/>
      <c r="R1538" s="57"/>
      <c r="S1538" s="57"/>
      <c r="T1538" s="57"/>
      <c r="U1538" s="57"/>
      <c r="V1538" s="57"/>
      <c r="W1538" s="57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</row>
    <row r="1539" spans="1:36" ht="11.25" customHeight="1" x14ac:dyDescent="0.2">
      <c r="A1539" s="53" t="s">
        <v>28</v>
      </c>
      <c r="B1539" s="53" t="s">
        <v>44</v>
      </c>
      <c r="C1539" s="53" t="s">
        <v>34</v>
      </c>
      <c r="D1539" s="53" t="s">
        <v>42</v>
      </c>
      <c r="E1539" s="53" t="s">
        <v>25</v>
      </c>
      <c r="F1539" s="53" t="s">
        <v>25</v>
      </c>
      <c r="G1539" s="53" t="s">
        <v>25</v>
      </c>
      <c r="H1539" s="53" t="s">
        <v>35</v>
      </c>
      <c r="I1539" s="73">
        <v>44044</v>
      </c>
      <c r="J1539" s="74">
        <f>EFEITO!$J$1539*EFEITO!$Y$1539</f>
        <v>0</v>
      </c>
      <c r="K1539" s="74">
        <f ca="1">EFEITO!$L$1539*EFEITO!$Z$1539</f>
        <v>41982.562538339371</v>
      </c>
      <c r="L1539" s="74">
        <f>EFEITO!$N$1539*EFEITO!$AA$1539</f>
        <v>12081.121299006105</v>
      </c>
      <c r="M1539" s="74">
        <f>$J$1539-EFEITO!$K$1539*EFEITO!$Y$1539</f>
        <v>0</v>
      </c>
      <c r="N1539" s="74">
        <f ca="1">$K$1539-EFEITO!$M$1539*EFEITO!$Z$1539</f>
        <v>0</v>
      </c>
      <c r="O1539" s="74">
        <f>$L$1539-EFEITO!$O$1539*EFEITO!$AA$1539</f>
        <v>0</v>
      </c>
      <c r="P1539" s="57"/>
      <c r="Q1539" s="57"/>
      <c r="R1539" s="57"/>
      <c r="S1539" s="57"/>
      <c r="T1539" s="57"/>
      <c r="U1539" s="57"/>
      <c r="V1539" s="57"/>
      <c r="W1539" s="57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</row>
    <row r="1540" spans="1:36" ht="11.25" customHeight="1" x14ac:dyDescent="0.2">
      <c r="A1540" s="53" t="s">
        <v>59</v>
      </c>
      <c r="B1540" s="53" t="s">
        <v>44</v>
      </c>
      <c r="C1540" s="53" t="s">
        <v>34</v>
      </c>
      <c r="D1540" s="53" t="s">
        <v>42</v>
      </c>
      <c r="E1540" s="53" t="s">
        <v>25</v>
      </c>
      <c r="F1540" s="53" t="s">
        <v>25</v>
      </c>
      <c r="G1540" s="53" t="s">
        <v>25</v>
      </c>
      <c r="H1540" s="53" t="s">
        <v>35</v>
      </c>
      <c r="I1540" s="73">
        <v>44075</v>
      </c>
      <c r="J1540" s="74">
        <f>EFEITO!$J$1540*EFEITO!$Y$1540</f>
        <v>0</v>
      </c>
      <c r="K1540" s="74">
        <f ca="1">EFEITO!$L$1540*EFEITO!$Z$1540</f>
        <v>498807.46715600684</v>
      </c>
      <c r="L1540" s="74">
        <f>EFEITO!$N$1540*EFEITO!$AA$1540</f>
        <v>143539.43997721697</v>
      </c>
      <c r="M1540" s="74">
        <f>$J$1540-EFEITO!$K$1540*EFEITO!$Y$1540</f>
        <v>0</v>
      </c>
      <c r="N1540" s="74">
        <f ca="1">$K$1540-EFEITO!$M$1540*EFEITO!$Z$1540</f>
        <v>0</v>
      </c>
      <c r="O1540" s="74">
        <f>$L$1540-EFEITO!$O$1540*EFEITO!$AA$1540</f>
        <v>0</v>
      </c>
      <c r="P1540" s="57"/>
      <c r="Q1540" s="57"/>
      <c r="R1540" s="57"/>
      <c r="S1540" s="57"/>
      <c r="T1540" s="57"/>
      <c r="U1540" s="57"/>
      <c r="V1540" s="57"/>
      <c r="W1540" s="57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</row>
    <row r="1541" spans="1:36" ht="11.25" customHeight="1" x14ac:dyDescent="0.2">
      <c r="A1541" s="53" t="s">
        <v>59</v>
      </c>
      <c r="B1541" s="53" t="s">
        <v>44</v>
      </c>
      <c r="C1541" s="53" t="s">
        <v>34</v>
      </c>
      <c r="D1541" s="53" t="s">
        <v>42</v>
      </c>
      <c r="E1541" s="53" t="s">
        <v>25</v>
      </c>
      <c r="F1541" s="53" t="s">
        <v>25</v>
      </c>
      <c r="G1541" s="53" t="s">
        <v>25</v>
      </c>
      <c r="H1541" s="53" t="s">
        <v>35</v>
      </c>
      <c r="I1541" s="73">
        <v>44075</v>
      </c>
      <c r="J1541" s="74">
        <f>EFEITO!$J$1541*EFEITO!$Y$1541</f>
        <v>0</v>
      </c>
      <c r="K1541" s="74">
        <f ca="1">EFEITO!$L$1541*EFEITO!$Z$1541</f>
        <v>18559.694904531909</v>
      </c>
      <c r="L1541" s="74">
        <f>EFEITO!$N$1541*EFEITO!$AA$1541</f>
        <v>5340.8346669985012</v>
      </c>
      <c r="M1541" s="74">
        <f>$J$1541-EFEITO!$K$1541*EFEITO!$Y$1541</f>
        <v>0</v>
      </c>
      <c r="N1541" s="74">
        <f ca="1">$K$1541-EFEITO!$M$1541*EFEITO!$Z$1541</f>
        <v>0</v>
      </c>
      <c r="O1541" s="74">
        <f>$L$1541-EFEITO!$O$1541*EFEITO!$AA$1541</f>
        <v>0</v>
      </c>
      <c r="P1541" s="57"/>
      <c r="Q1541" s="57"/>
      <c r="R1541" s="57"/>
      <c r="S1541" s="57"/>
      <c r="T1541" s="57"/>
      <c r="U1541" s="57"/>
      <c r="V1541" s="57"/>
      <c r="W1541" s="57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</row>
    <row r="1542" spans="1:36" ht="11.25" customHeight="1" x14ac:dyDescent="0.2">
      <c r="A1542" s="53" t="s">
        <v>59</v>
      </c>
      <c r="B1542" s="53" t="s">
        <v>44</v>
      </c>
      <c r="C1542" s="53" t="s">
        <v>34</v>
      </c>
      <c r="D1542" s="53" t="s">
        <v>42</v>
      </c>
      <c r="E1542" s="53" t="s">
        <v>25</v>
      </c>
      <c r="F1542" s="53" t="s">
        <v>25</v>
      </c>
      <c r="G1542" s="53" t="s">
        <v>25</v>
      </c>
      <c r="H1542" s="53" t="s">
        <v>35</v>
      </c>
      <c r="I1542" s="73">
        <v>44075</v>
      </c>
      <c r="J1542" s="74">
        <f>EFEITO!$J$1542*EFEITO!$Y$1542</f>
        <v>0</v>
      </c>
      <c r="K1542" s="74">
        <f ca="1">EFEITO!$L$1542*EFEITO!$Z$1542</f>
        <v>41982.562538339371</v>
      </c>
      <c r="L1542" s="74">
        <f>EFEITO!$N$1542*EFEITO!$AA$1542</f>
        <v>12081.121299006105</v>
      </c>
      <c r="M1542" s="74">
        <f>$J$1542-EFEITO!$K$1542*EFEITO!$Y$1542</f>
        <v>0</v>
      </c>
      <c r="N1542" s="74">
        <f ca="1">$K$1542-EFEITO!$M$1542*EFEITO!$Z$1542</f>
        <v>0</v>
      </c>
      <c r="O1542" s="74">
        <f>$L$1542-EFEITO!$O$1542*EFEITO!$AA$1542</f>
        <v>0</v>
      </c>
      <c r="P1542" s="57"/>
      <c r="Q1542" s="57"/>
      <c r="R1542" s="57"/>
      <c r="S1542" s="57"/>
      <c r="T1542" s="57"/>
      <c r="U1542" s="57"/>
      <c r="V1542" s="57"/>
      <c r="W1542" s="57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</row>
    <row r="1543" spans="1:36" ht="11.25" customHeight="1" x14ac:dyDescent="0.2">
      <c r="A1543" s="53" t="s">
        <v>21</v>
      </c>
      <c r="B1543" s="53" t="s">
        <v>44</v>
      </c>
      <c r="C1543" s="53" t="s">
        <v>34</v>
      </c>
      <c r="D1543" s="53" t="s">
        <v>40</v>
      </c>
      <c r="E1543" s="53" t="s">
        <v>25</v>
      </c>
      <c r="F1543" s="53" t="s">
        <v>63</v>
      </c>
      <c r="G1543" s="53" t="s">
        <v>25</v>
      </c>
      <c r="H1543" s="53" t="s">
        <v>36</v>
      </c>
      <c r="I1543" s="73">
        <v>43739</v>
      </c>
      <c r="J1543" s="74">
        <f>EFEITO!$J$1543*EFEITO!$Y$1543</f>
        <v>0</v>
      </c>
      <c r="K1543" s="74">
        <f ca="1">EFEITO!$L$1543*EFEITO!$Z$1543</f>
        <v>250377.98953998051</v>
      </c>
      <c r="L1543" s="74">
        <f>EFEITO!$N$1543*EFEITO!$AA$1543</f>
        <v>0</v>
      </c>
      <c r="M1543" s="74">
        <f>$J$1543-EFEITO!$K$1543*EFEITO!$Y$1543</f>
        <v>0</v>
      </c>
      <c r="N1543" s="74">
        <f ca="1">$K$1543-EFEITO!$M$1543*EFEITO!$Z$1543</f>
        <v>0</v>
      </c>
      <c r="O1543" s="74">
        <f>$L$1543-EFEITO!$O$1543*EFEITO!$AA$1543</f>
        <v>0</v>
      </c>
      <c r="P1543" s="57"/>
      <c r="Q1543" s="57"/>
      <c r="R1543" s="57"/>
      <c r="S1543" s="57"/>
      <c r="T1543" s="57"/>
      <c r="U1543" s="57"/>
      <c r="V1543" s="57"/>
      <c r="W1543" s="57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</row>
    <row r="1544" spans="1:36" ht="11.25" customHeight="1" x14ac:dyDescent="0.2">
      <c r="A1544" s="53" t="s">
        <v>21</v>
      </c>
      <c r="B1544" s="53" t="s">
        <v>44</v>
      </c>
      <c r="C1544" s="53" t="s">
        <v>34</v>
      </c>
      <c r="D1544" s="53" t="s">
        <v>40</v>
      </c>
      <c r="E1544" s="53" t="s">
        <v>25</v>
      </c>
      <c r="F1544" s="53" t="s">
        <v>63</v>
      </c>
      <c r="G1544" s="53" t="s">
        <v>25</v>
      </c>
      <c r="H1544" s="53" t="s">
        <v>36</v>
      </c>
      <c r="I1544" s="73">
        <v>43770</v>
      </c>
      <c r="J1544" s="74">
        <f>EFEITO!$J$1544*EFEITO!$Y$1544</f>
        <v>0</v>
      </c>
      <c r="K1544" s="74">
        <f ca="1">EFEITO!$L$1544*EFEITO!$Z$1544</f>
        <v>234503.65440955185</v>
      </c>
      <c r="L1544" s="74">
        <f>EFEITO!$N$1544*EFEITO!$AA$1544</f>
        <v>0</v>
      </c>
      <c r="M1544" s="74">
        <f>$J$1544-EFEITO!$K$1544*EFEITO!$Y$1544</f>
        <v>0</v>
      </c>
      <c r="N1544" s="74">
        <f ca="1">$K$1544-EFEITO!$M$1544*EFEITO!$Z$1544</f>
        <v>0</v>
      </c>
      <c r="O1544" s="74">
        <f>$L$1544-EFEITO!$O$1544*EFEITO!$AA$1544</f>
        <v>0</v>
      </c>
      <c r="P1544" s="57"/>
      <c r="Q1544" s="57"/>
      <c r="R1544" s="57"/>
      <c r="S1544" s="57"/>
      <c r="T1544" s="57"/>
      <c r="U1544" s="57"/>
      <c r="V1544" s="57"/>
      <c r="W1544" s="57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</row>
    <row r="1545" spans="1:36" ht="11.25" customHeight="1" x14ac:dyDescent="0.2">
      <c r="A1545" s="53" t="s">
        <v>21</v>
      </c>
      <c r="B1545" s="53" t="s">
        <v>44</v>
      </c>
      <c r="C1545" s="53" t="s">
        <v>34</v>
      </c>
      <c r="D1545" s="53" t="s">
        <v>40</v>
      </c>
      <c r="E1545" s="53" t="s">
        <v>25</v>
      </c>
      <c r="F1545" s="53" t="s">
        <v>63</v>
      </c>
      <c r="G1545" s="53" t="s">
        <v>25</v>
      </c>
      <c r="H1545" s="53" t="s">
        <v>36</v>
      </c>
      <c r="I1545" s="73">
        <v>43800</v>
      </c>
      <c r="J1545" s="74">
        <f>EFEITO!$J$1545*EFEITO!$Y$1545</f>
        <v>0</v>
      </c>
      <c r="K1545" s="74">
        <f ca="1">EFEITO!$L$1545*EFEITO!$Z$1545</f>
        <v>246670.35891677113</v>
      </c>
      <c r="L1545" s="74">
        <f>EFEITO!$N$1545*EFEITO!$AA$1545</f>
        <v>0</v>
      </c>
      <c r="M1545" s="74">
        <f>$J$1545-EFEITO!$K$1545*EFEITO!$Y$1545</f>
        <v>0</v>
      </c>
      <c r="N1545" s="74">
        <f ca="1">$K$1545-EFEITO!$M$1545*EFEITO!$Z$1545</f>
        <v>0</v>
      </c>
      <c r="O1545" s="74">
        <f>$L$1545-EFEITO!$O$1545*EFEITO!$AA$1545</f>
        <v>0</v>
      </c>
      <c r="P1545" s="57"/>
      <c r="Q1545" s="57"/>
      <c r="R1545" s="57"/>
      <c r="S1545" s="57"/>
      <c r="T1545" s="57"/>
      <c r="U1545" s="57"/>
      <c r="V1545" s="57"/>
      <c r="W1545" s="57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</row>
    <row r="1546" spans="1:36" ht="11.25" customHeight="1" x14ac:dyDescent="0.2">
      <c r="A1546" s="53" t="s">
        <v>21</v>
      </c>
      <c r="B1546" s="53" t="s">
        <v>44</v>
      </c>
      <c r="C1546" s="53" t="s">
        <v>34</v>
      </c>
      <c r="D1546" s="53" t="s">
        <v>40</v>
      </c>
      <c r="E1546" s="53" t="s">
        <v>25</v>
      </c>
      <c r="F1546" s="53" t="s">
        <v>63</v>
      </c>
      <c r="G1546" s="53" t="s">
        <v>25</v>
      </c>
      <c r="H1546" s="53" t="s">
        <v>36</v>
      </c>
      <c r="I1546" s="73">
        <v>43831</v>
      </c>
      <c r="J1546" s="74">
        <f>EFEITO!$J$1546*EFEITO!$Y$1546</f>
        <v>0</v>
      </c>
      <c r="K1546" s="74">
        <f ca="1">EFEITO!$L$1546*EFEITO!$Z$1546</f>
        <v>247745.91864291774</v>
      </c>
      <c r="L1546" s="74">
        <f>EFEITO!$N$1546*EFEITO!$AA$1546</f>
        <v>0</v>
      </c>
      <c r="M1546" s="74">
        <f>$J$1546-EFEITO!$K$1546*EFEITO!$Y$1546</f>
        <v>0</v>
      </c>
      <c r="N1546" s="74">
        <f ca="1">$K$1546-EFEITO!$M$1546*EFEITO!$Z$1546</f>
        <v>0</v>
      </c>
      <c r="O1546" s="74">
        <f>$L$1546-EFEITO!$O$1546*EFEITO!$AA$1546</f>
        <v>0</v>
      </c>
      <c r="P1546" s="57"/>
      <c r="Q1546" s="57"/>
      <c r="R1546" s="57"/>
      <c r="S1546" s="57"/>
      <c r="T1546" s="57"/>
      <c r="U1546" s="57"/>
      <c r="V1546" s="57"/>
      <c r="W1546" s="57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</row>
    <row r="1547" spans="1:36" ht="11.25" customHeight="1" x14ac:dyDescent="0.2">
      <c r="A1547" s="53" t="s">
        <v>21</v>
      </c>
      <c r="B1547" s="53" t="s">
        <v>44</v>
      </c>
      <c r="C1547" s="53" t="s">
        <v>34</v>
      </c>
      <c r="D1547" s="53" t="s">
        <v>40</v>
      </c>
      <c r="E1547" s="53" t="s">
        <v>25</v>
      </c>
      <c r="F1547" s="53" t="s">
        <v>63</v>
      </c>
      <c r="G1547" s="53" t="s">
        <v>25</v>
      </c>
      <c r="H1547" s="53" t="s">
        <v>36</v>
      </c>
      <c r="I1547" s="73">
        <v>43862</v>
      </c>
      <c r="J1547" s="74">
        <f>EFEITO!$J$1547*EFEITO!$Y$1547</f>
        <v>0</v>
      </c>
      <c r="K1547" s="74">
        <f ca="1">EFEITO!$L$1547*EFEITO!$Z$1547</f>
        <v>221531.29691838811</v>
      </c>
      <c r="L1547" s="74">
        <f>EFEITO!$N$1547*EFEITO!$AA$1547</f>
        <v>0</v>
      </c>
      <c r="M1547" s="74">
        <f>$J$1547-EFEITO!$K$1547*EFEITO!$Y$1547</f>
        <v>0</v>
      </c>
      <c r="N1547" s="74">
        <f ca="1">$K$1547-EFEITO!$M$1547*EFEITO!$Z$1547</f>
        <v>0</v>
      </c>
      <c r="O1547" s="74">
        <f>$L$1547-EFEITO!$O$1547*EFEITO!$AA$1547</f>
        <v>0</v>
      </c>
      <c r="P1547" s="57"/>
      <c r="Q1547" s="57"/>
      <c r="R1547" s="57"/>
      <c r="S1547" s="57"/>
      <c r="T1547" s="57"/>
      <c r="U1547" s="57"/>
      <c r="V1547" s="57"/>
      <c r="W1547" s="57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</row>
    <row r="1548" spans="1:36" ht="11.25" customHeight="1" x14ac:dyDescent="0.2">
      <c r="A1548" s="53" t="s">
        <v>21</v>
      </c>
      <c r="B1548" s="53" t="s">
        <v>44</v>
      </c>
      <c r="C1548" s="53" t="s">
        <v>34</v>
      </c>
      <c r="D1548" s="53" t="s">
        <v>40</v>
      </c>
      <c r="E1548" s="53" t="s">
        <v>25</v>
      </c>
      <c r="F1548" s="53" t="s">
        <v>63</v>
      </c>
      <c r="G1548" s="53" t="s">
        <v>25</v>
      </c>
      <c r="H1548" s="53" t="s">
        <v>36</v>
      </c>
      <c r="I1548" s="73">
        <v>43891</v>
      </c>
      <c r="J1548" s="74">
        <f>EFEITO!$J$1548*EFEITO!$Y$1548</f>
        <v>0</v>
      </c>
      <c r="K1548" s="74">
        <f ca="1">EFEITO!$L$1548*EFEITO!$Z$1548</f>
        <v>236597.38054872717</v>
      </c>
      <c r="L1548" s="74">
        <f>EFEITO!$N$1548*EFEITO!$AA$1548</f>
        <v>0</v>
      </c>
      <c r="M1548" s="74">
        <f>$J$1548-EFEITO!$K$1548*EFEITO!$Y$1548</f>
        <v>0</v>
      </c>
      <c r="N1548" s="74">
        <f ca="1">$K$1548-EFEITO!$M$1548*EFEITO!$Z$1548</f>
        <v>0</v>
      </c>
      <c r="O1548" s="74">
        <f>$L$1548-EFEITO!$O$1548*EFEITO!$AA$1548</f>
        <v>0</v>
      </c>
      <c r="P1548" s="57"/>
      <c r="Q1548" s="57"/>
      <c r="R1548" s="57"/>
      <c r="S1548" s="57"/>
      <c r="T1548" s="57"/>
      <c r="U1548" s="57"/>
      <c r="V1548" s="57"/>
      <c r="W1548" s="57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</row>
    <row r="1549" spans="1:36" ht="11.25" customHeight="1" x14ac:dyDescent="0.2">
      <c r="A1549" s="53" t="s">
        <v>21</v>
      </c>
      <c r="B1549" s="53" t="s">
        <v>44</v>
      </c>
      <c r="C1549" s="53" t="s">
        <v>34</v>
      </c>
      <c r="D1549" s="53" t="s">
        <v>40</v>
      </c>
      <c r="E1549" s="53" t="s">
        <v>25</v>
      </c>
      <c r="F1549" s="53" t="s">
        <v>63</v>
      </c>
      <c r="G1549" s="53" t="s">
        <v>25</v>
      </c>
      <c r="H1549" s="53" t="s">
        <v>36</v>
      </c>
      <c r="I1549" s="73">
        <v>43922</v>
      </c>
      <c r="J1549" s="74">
        <f>EFEITO!$J$1549*EFEITO!$Y$1549</f>
        <v>0</v>
      </c>
      <c r="K1549" s="74">
        <f ca="1">EFEITO!$L$1549*EFEITO!$Z$1549</f>
        <v>218555.65699535771</v>
      </c>
      <c r="L1549" s="74">
        <f>EFEITO!$N$1549*EFEITO!$AA$1549</f>
        <v>0</v>
      </c>
      <c r="M1549" s="74">
        <f>$J$1549-EFEITO!$K$1549*EFEITO!$Y$1549</f>
        <v>0</v>
      </c>
      <c r="N1549" s="74">
        <f ca="1">$K$1549-EFEITO!$M$1549*EFEITO!$Z$1549</f>
        <v>0</v>
      </c>
      <c r="O1549" s="74">
        <f>$L$1549-EFEITO!$O$1549*EFEITO!$AA$1549</f>
        <v>0</v>
      </c>
      <c r="P1549" s="57"/>
      <c r="Q1549" s="57"/>
      <c r="R1549" s="57"/>
      <c r="S1549" s="57"/>
      <c r="T1549" s="57"/>
      <c r="U1549" s="57"/>
      <c r="V1549" s="57"/>
      <c r="W1549" s="57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</row>
    <row r="1550" spans="1:36" ht="11.25" customHeight="1" x14ac:dyDescent="0.2">
      <c r="A1550" s="53" t="s">
        <v>21</v>
      </c>
      <c r="B1550" s="53" t="s">
        <v>44</v>
      </c>
      <c r="C1550" s="53" t="s">
        <v>34</v>
      </c>
      <c r="D1550" s="53" t="s">
        <v>40</v>
      </c>
      <c r="E1550" s="53" t="s">
        <v>25</v>
      </c>
      <c r="F1550" s="53" t="s">
        <v>63</v>
      </c>
      <c r="G1550" s="53" t="s">
        <v>25</v>
      </c>
      <c r="H1550" s="53" t="s">
        <v>36</v>
      </c>
      <c r="I1550" s="73">
        <v>43952</v>
      </c>
      <c r="J1550" s="74">
        <f>EFEITO!$J$1550*EFEITO!$Y$1550</f>
        <v>0</v>
      </c>
      <c r="K1550" s="74">
        <f ca="1">EFEITO!$L$1550*EFEITO!$Z$1550</f>
        <v>219547.95122589823</v>
      </c>
      <c r="L1550" s="74">
        <f>EFEITO!$N$1550*EFEITO!$AA$1550</f>
        <v>0</v>
      </c>
      <c r="M1550" s="74">
        <f>$J$1550-EFEITO!$K$1550*EFEITO!$Y$1550</f>
        <v>0</v>
      </c>
      <c r="N1550" s="74">
        <f ca="1">$K$1550-EFEITO!$M$1550*EFEITO!$Z$1550</f>
        <v>0</v>
      </c>
      <c r="O1550" s="74">
        <f>$L$1550-EFEITO!$O$1550*EFEITO!$AA$1550</f>
        <v>0</v>
      </c>
      <c r="P1550" s="57"/>
      <c r="Q1550" s="57"/>
      <c r="R1550" s="57"/>
      <c r="S1550" s="57"/>
      <c r="T1550" s="57"/>
      <c r="U1550" s="57"/>
      <c r="V1550" s="57"/>
      <c r="W1550" s="57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</row>
    <row r="1551" spans="1:36" ht="11.25" customHeight="1" x14ac:dyDescent="0.2">
      <c r="A1551" s="53" t="s">
        <v>21</v>
      </c>
      <c r="B1551" s="53" t="s">
        <v>44</v>
      </c>
      <c r="C1551" s="53" t="s">
        <v>34</v>
      </c>
      <c r="D1551" s="53" t="s">
        <v>40</v>
      </c>
      <c r="E1551" s="53" t="s">
        <v>25</v>
      </c>
      <c r="F1551" s="53" t="s">
        <v>63</v>
      </c>
      <c r="G1551" s="53" t="s">
        <v>25</v>
      </c>
      <c r="H1551" s="53" t="s">
        <v>36</v>
      </c>
      <c r="I1551" s="73">
        <v>43983</v>
      </c>
      <c r="J1551" s="74">
        <f>EFEITO!$J$1551*EFEITO!$Y$1551</f>
        <v>0</v>
      </c>
      <c r="K1551" s="74">
        <f ca="1">EFEITO!$L$1551*EFEITO!$Z$1551</f>
        <v>219547.95122589823</v>
      </c>
      <c r="L1551" s="74">
        <f>EFEITO!$N$1551*EFEITO!$AA$1551</f>
        <v>0</v>
      </c>
      <c r="M1551" s="74">
        <f>$J$1551-EFEITO!$K$1551*EFEITO!$Y$1551</f>
        <v>0</v>
      </c>
      <c r="N1551" s="74">
        <f ca="1">$K$1551-EFEITO!$M$1551*EFEITO!$Z$1551</f>
        <v>0</v>
      </c>
      <c r="O1551" s="74">
        <f>$L$1551-EFEITO!$O$1551*EFEITO!$AA$1551</f>
        <v>0</v>
      </c>
      <c r="P1551" s="57"/>
      <c r="Q1551" s="57"/>
      <c r="R1551" s="57"/>
      <c r="S1551" s="57"/>
      <c r="T1551" s="57"/>
      <c r="U1551" s="57"/>
      <c r="V1551" s="57"/>
      <c r="W1551" s="57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</row>
    <row r="1552" spans="1:36" ht="11.25" customHeight="1" x14ac:dyDescent="0.2">
      <c r="A1552" s="53" t="s">
        <v>21</v>
      </c>
      <c r="B1552" s="53" t="s">
        <v>44</v>
      </c>
      <c r="C1552" s="53" t="s">
        <v>34</v>
      </c>
      <c r="D1552" s="53" t="s">
        <v>40</v>
      </c>
      <c r="E1552" s="53" t="s">
        <v>25</v>
      </c>
      <c r="F1552" s="53" t="s">
        <v>63</v>
      </c>
      <c r="G1552" s="53" t="s">
        <v>25</v>
      </c>
      <c r="H1552" s="53" t="s">
        <v>36</v>
      </c>
      <c r="I1552" s="73">
        <v>44013</v>
      </c>
      <c r="J1552" s="74">
        <f>EFEITO!$J$1552*EFEITO!$Y$1552</f>
        <v>0</v>
      </c>
      <c r="K1552" s="74">
        <f ca="1">EFEITO!$L$1552*EFEITO!$Z$1552</f>
        <v>190065.97789630978</v>
      </c>
      <c r="L1552" s="74">
        <f>EFEITO!$N$1552*EFEITO!$AA$1552</f>
        <v>0</v>
      </c>
      <c r="M1552" s="74">
        <f>$J$1552-EFEITO!$K$1552*EFEITO!$Y$1552</f>
        <v>0</v>
      </c>
      <c r="N1552" s="74">
        <f ca="1">$K$1552-EFEITO!$M$1552*EFEITO!$Z$1552</f>
        <v>0</v>
      </c>
      <c r="O1552" s="74">
        <f>$L$1552-EFEITO!$O$1552*EFEITO!$AA$1552</f>
        <v>0</v>
      </c>
      <c r="P1552" s="57"/>
      <c r="Q1552" s="57"/>
      <c r="R1552" s="57"/>
      <c r="S1552" s="57"/>
      <c r="T1552" s="57"/>
      <c r="U1552" s="57"/>
      <c r="V1552" s="57"/>
      <c r="W1552" s="57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</row>
    <row r="1553" spans="1:36" ht="11.25" customHeight="1" x14ac:dyDescent="0.2">
      <c r="A1553" s="53" t="s">
        <v>21</v>
      </c>
      <c r="B1553" s="53" t="s">
        <v>44</v>
      </c>
      <c r="C1553" s="53" t="s">
        <v>34</v>
      </c>
      <c r="D1553" s="53" t="s">
        <v>40</v>
      </c>
      <c r="E1553" s="53" t="s">
        <v>25</v>
      </c>
      <c r="F1553" s="53" t="s">
        <v>63</v>
      </c>
      <c r="G1553" s="53" t="s">
        <v>25</v>
      </c>
      <c r="H1553" s="53" t="s">
        <v>36</v>
      </c>
      <c r="I1553" s="73">
        <v>44044</v>
      </c>
      <c r="J1553" s="74">
        <f>EFEITO!$J$1553*EFEITO!$Y$1553</f>
        <v>0</v>
      </c>
      <c r="K1553" s="74">
        <f ca="1">EFEITO!$L$1553*EFEITO!$Z$1553</f>
        <v>234400.5046164876</v>
      </c>
      <c r="L1553" s="74">
        <f>EFEITO!$N$1553*EFEITO!$AA$1553</f>
        <v>0</v>
      </c>
      <c r="M1553" s="74">
        <f>$J$1553-EFEITO!$K$1553*EFEITO!$Y$1553</f>
        <v>0</v>
      </c>
      <c r="N1553" s="74">
        <f ca="1">$K$1553-EFEITO!$M$1553*EFEITO!$Z$1553</f>
        <v>0</v>
      </c>
      <c r="O1553" s="74">
        <f>$L$1553-EFEITO!$O$1553*EFEITO!$AA$1553</f>
        <v>0</v>
      </c>
      <c r="P1553" s="57"/>
      <c r="Q1553" s="57"/>
      <c r="R1553" s="57"/>
      <c r="S1553" s="57"/>
      <c r="T1553" s="57"/>
      <c r="U1553" s="57"/>
      <c r="V1553" s="57"/>
      <c r="W1553" s="57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</row>
    <row r="1554" spans="1:36" ht="11.25" customHeight="1" x14ac:dyDescent="0.2">
      <c r="A1554" s="53" t="s">
        <v>59</v>
      </c>
      <c r="B1554" s="53" t="s">
        <v>44</v>
      </c>
      <c r="C1554" s="53" t="s">
        <v>34</v>
      </c>
      <c r="D1554" s="53" t="s">
        <v>40</v>
      </c>
      <c r="E1554" s="53" t="s">
        <v>25</v>
      </c>
      <c r="F1554" s="53" t="s">
        <v>63</v>
      </c>
      <c r="G1554" s="53" t="s">
        <v>25</v>
      </c>
      <c r="H1554" s="53" t="s">
        <v>36</v>
      </c>
      <c r="I1554" s="73">
        <v>44075</v>
      </c>
      <c r="J1554" s="74">
        <f>EFEITO!$J$1554*EFEITO!$Y$1554</f>
        <v>0</v>
      </c>
      <c r="K1554" s="74">
        <f ca="1">EFEITO!$L$1554*EFEITO!$Z$1554</f>
        <v>234400.5046164876</v>
      </c>
      <c r="L1554" s="74">
        <f>EFEITO!$N$1554*EFEITO!$AA$1554</f>
        <v>0</v>
      </c>
      <c r="M1554" s="74">
        <f>$J$1554-EFEITO!$K$1554*EFEITO!$Y$1554</f>
        <v>0</v>
      </c>
      <c r="N1554" s="74">
        <f ca="1">$K$1554-EFEITO!$M$1554*EFEITO!$Z$1554</f>
        <v>0</v>
      </c>
      <c r="O1554" s="74">
        <f>$L$1554-EFEITO!$O$1554*EFEITO!$AA$1554</f>
        <v>0</v>
      </c>
      <c r="P1554" s="57"/>
      <c r="Q1554" s="57"/>
      <c r="R1554" s="57"/>
      <c r="S1554" s="57"/>
      <c r="T1554" s="57"/>
      <c r="U1554" s="57"/>
      <c r="V1554" s="57"/>
      <c r="W1554" s="57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</row>
    <row r="1555" spans="1:36" ht="11.25" customHeight="1" x14ac:dyDescent="0.2">
      <c r="A1555" s="53" t="s">
        <v>21</v>
      </c>
      <c r="B1555" s="53" t="s">
        <v>44</v>
      </c>
      <c r="C1555" s="53" t="s">
        <v>34</v>
      </c>
      <c r="D1555" s="53" t="s">
        <v>40</v>
      </c>
      <c r="E1555" s="53" t="s">
        <v>25</v>
      </c>
      <c r="F1555" s="53" t="s">
        <v>63</v>
      </c>
      <c r="G1555" s="53" t="s">
        <v>25</v>
      </c>
      <c r="H1555" s="53" t="s">
        <v>25</v>
      </c>
      <c r="I1555" s="73">
        <v>43739</v>
      </c>
      <c r="J1555" s="74">
        <f ca="1">EFEITO!$J$1555*EFEITO!$Y$1555</f>
        <v>145172.85824444095</v>
      </c>
      <c r="K1555" s="74">
        <f>EFEITO!$L$1555*EFEITO!$Z$1555</f>
        <v>0</v>
      </c>
      <c r="L1555" s="74">
        <f>EFEITO!$N$1555*EFEITO!$AA$1555</f>
        <v>0</v>
      </c>
      <c r="M1555" s="74">
        <f ca="1">$J$1555-EFEITO!$K$1555*EFEITO!$Y$1555</f>
        <v>55083.294728919514</v>
      </c>
      <c r="N1555" s="74">
        <f>$K$1555-EFEITO!$M$1555*EFEITO!$Z$1555</f>
        <v>0</v>
      </c>
      <c r="O1555" s="74">
        <f>$L$1555-EFEITO!$O$1555*EFEITO!$AA$1555</f>
        <v>0</v>
      </c>
      <c r="P1555" s="57"/>
      <c r="Q1555" s="57"/>
      <c r="R1555" s="57"/>
      <c r="S1555" s="57"/>
      <c r="T1555" s="57"/>
      <c r="U1555" s="57"/>
      <c r="V1555" s="57"/>
      <c r="W1555" s="57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</row>
    <row r="1556" spans="1:36" ht="11.25" customHeight="1" x14ac:dyDescent="0.2">
      <c r="A1556" s="53" t="s">
        <v>21</v>
      </c>
      <c r="B1556" s="53" t="s">
        <v>44</v>
      </c>
      <c r="C1556" s="53" t="s">
        <v>34</v>
      </c>
      <c r="D1556" s="53" t="s">
        <v>40</v>
      </c>
      <c r="E1556" s="53" t="s">
        <v>25</v>
      </c>
      <c r="F1556" s="53" t="s">
        <v>63</v>
      </c>
      <c r="G1556" s="53" t="s">
        <v>25</v>
      </c>
      <c r="H1556" s="53" t="s">
        <v>25</v>
      </c>
      <c r="I1556" s="73">
        <v>43770</v>
      </c>
      <c r="J1556" s="74">
        <f ca="1">EFEITO!$J$1556*EFEITO!$Y$1556</f>
        <v>145172.85824444095</v>
      </c>
      <c r="K1556" s="74">
        <f>EFEITO!$L$1556*EFEITO!$Z$1556</f>
        <v>0</v>
      </c>
      <c r="L1556" s="74">
        <f>EFEITO!$N$1556*EFEITO!$AA$1556</f>
        <v>0</v>
      </c>
      <c r="M1556" s="74">
        <f ca="1">$J$1556-EFEITO!$K$1556*EFEITO!$Y$1556</f>
        <v>49978.320203325391</v>
      </c>
      <c r="N1556" s="74">
        <f>$K$1556-EFEITO!$M$1556*EFEITO!$Z$1556</f>
        <v>0</v>
      </c>
      <c r="O1556" s="74">
        <f>$L$1556-EFEITO!$O$1556*EFEITO!$AA$1556</f>
        <v>0</v>
      </c>
      <c r="P1556" s="57"/>
      <c r="Q1556" s="57"/>
      <c r="R1556" s="57"/>
      <c r="S1556" s="57"/>
      <c r="T1556" s="57"/>
      <c r="U1556" s="57"/>
      <c r="V1556" s="57"/>
      <c r="W1556" s="57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</row>
    <row r="1557" spans="1:36" ht="11.25" customHeight="1" x14ac:dyDescent="0.2">
      <c r="A1557" s="53" t="s">
        <v>21</v>
      </c>
      <c r="B1557" s="53" t="s">
        <v>44</v>
      </c>
      <c r="C1557" s="53" t="s">
        <v>34</v>
      </c>
      <c r="D1557" s="53" t="s">
        <v>40</v>
      </c>
      <c r="E1557" s="53" t="s">
        <v>25</v>
      </c>
      <c r="F1557" s="53" t="s">
        <v>63</v>
      </c>
      <c r="G1557" s="53" t="s">
        <v>25</v>
      </c>
      <c r="H1557" s="53" t="s">
        <v>25</v>
      </c>
      <c r="I1557" s="73">
        <v>43800</v>
      </c>
      <c r="J1557" s="74">
        <f ca="1">EFEITO!$J$1557*EFEITO!$Y$1557</f>
        <v>152213.09384761014</v>
      </c>
      <c r="K1557" s="74">
        <f>EFEITO!$L$1557*EFEITO!$Z$1557</f>
        <v>0</v>
      </c>
      <c r="L1557" s="74">
        <f>EFEITO!$N$1557*EFEITO!$AA$1557</f>
        <v>0</v>
      </c>
      <c r="M1557" s="74">
        <f ca="1">$J$1557-EFEITO!$K$1557*EFEITO!$Y$1557</f>
        <v>56656.684729672401</v>
      </c>
      <c r="N1557" s="74">
        <f>$K$1557-EFEITO!$M$1557*EFEITO!$Z$1557</f>
        <v>0</v>
      </c>
      <c r="O1557" s="74">
        <f>$L$1557-EFEITO!$O$1557*EFEITO!$AA$1557</f>
        <v>0</v>
      </c>
      <c r="P1557" s="57"/>
      <c r="Q1557" s="57"/>
      <c r="R1557" s="57"/>
      <c r="S1557" s="57"/>
      <c r="T1557" s="57"/>
      <c r="U1557" s="57"/>
      <c r="V1557" s="57"/>
      <c r="W1557" s="57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</row>
    <row r="1558" spans="1:36" ht="11.25" customHeight="1" x14ac:dyDescent="0.2">
      <c r="A1558" s="53" t="s">
        <v>21</v>
      </c>
      <c r="B1558" s="53" t="s">
        <v>44</v>
      </c>
      <c r="C1558" s="53" t="s">
        <v>34</v>
      </c>
      <c r="D1558" s="53" t="s">
        <v>40</v>
      </c>
      <c r="E1558" s="53" t="s">
        <v>25</v>
      </c>
      <c r="F1558" s="53" t="s">
        <v>63</v>
      </c>
      <c r="G1558" s="53" t="s">
        <v>25</v>
      </c>
      <c r="H1558" s="53" t="s">
        <v>25</v>
      </c>
      <c r="I1558" s="73">
        <v>43831</v>
      </c>
      <c r="J1558" s="74">
        <f ca="1">EFEITO!$J$1558*EFEITO!$Y$1558</f>
        <v>152213.09384761014</v>
      </c>
      <c r="K1558" s="74">
        <f>EFEITO!$L$1558*EFEITO!$Z$1558</f>
        <v>0</v>
      </c>
      <c r="L1558" s="74">
        <f>EFEITO!$N$1558*EFEITO!$AA$1558</f>
        <v>0</v>
      </c>
      <c r="M1558" s="74">
        <f ca="1">$J$1558-EFEITO!$K$1558*EFEITO!$Y$1558</f>
        <v>54289.291649096442</v>
      </c>
      <c r="N1558" s="74">
        <f>$K$1558-EFEITO!$M$1558*EFEITO!$Z$1558</f>
        <v>0</v>
      </c>
      <c r="O1558" s="74">
        <f>$L$1558-EFEITO!$O$1558*EFEITO!$AA$1558</f>
        <v>0</v>
      </c>
      <c r="P1558" s="57"/>
      <c r="Q1558" s="57"/>
      <c r="R1558" s="57"/>
      <c r="S1558" s="57"/>
      <c r="T1558" s="57"/>
      <c r="U1558" s="57"/>
      <c r="V1558" s="57"/>
      <c r="W1558" s="57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</row>
    <row r="1559" spans="1:36" ht="11.25" customHeight="1" x14ac:dyDescent="0.2">
      <c r="A1559" s="53" t="s">
        <v>21</v>
      </c>
      <c r="B1559" s="53" t="s">
        <v>44</v>
      </c>
      <c r="C1559" s="53" t="s">
        <v>34</v>
      </c>
      <c r="D1559" s="53" t="s">
        <v>40</v>
      </c>
      <c r="E1559" s="53" t="s">
        <v>25</v>
      </c>
      <c r="F1559" s="53" t="s">
        <v>63</v>
      </c>
      <c r="G1559" s="53" t="s">
        <v>25</v>
      </c>
      <c r="H1559" s="53" t="s">
        <v>25</v>
      </c>
      <c r="I1559" s="73">
        <v>43862</v>
      </c>
      <c r="J1559" s="74">
        <f ca="1">EFEITO!$J$1559*EFEITO!$Y$1559</f>
        <v>152213.09384761014</v>
      </c>
      <c r="K1559" s="74">
        <f>EFEITO!$L$1559*EFEITO!$Z$1559</f>
        <v>0</v>
      </c>
      <c r="L1559" s="74">
        <f>EFEITO!$N$1559*EFEITO!$AA$1559</f>
        <v>0</v>
      </c>
      <c r="M1559" s="74">
        <f ca="1">$J$1559-EFEITO!$K$1559*EFEITO!$Y$1559</f>
        <v>57990.795966104168</v>
      </c>
      <c r="N1559" s="74">
        <f>$K$1559-EFEITO!$M$1559*EFEITO!$Z$1559</f>
        <v>0</v>
      </c>
      <c r="O1559" s="74">
        <f>$L$1559-EFEITO!$O$1559*EFEITO!$AA$1559</f>
        <v>0</v>
      </c>
      <c r="P1559" s="57"/>
      <c r="Q1559" s="57"/>
      <c r="R1559" s="57"/>
      <c r="S1559" s="57"/>
      <c r="T1559" s="57"/>
      <c r="U1559" s="57"/>
      <c r="V1559" s="57"/>
      <c r="W1559" s="57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</row>
    <row r="1560" spans="1:36" ht="11.25" customHeight="1" x14ac:dyDescent="0.2">
      <c r="A1560" s="53" t="s">
        <v>21</v>
      </c>
      <c r="B1560" s="53" t="s">
        <v>44</v>
      </c>
      <c r="C1560" s="53" t="s">
        <v>34</v>
      </c>
      <c r="D1560" s="53" t="s">
        <v>40</v>
      </c>
      <c r="E1560" s="53" t="s">
        <v>25</v>
      </c>
      <c r="F1560" s="53" t="s">
        <v>63</v>
      </c>
      <c r="G1560" s="53" t="s">
        <v>25</v>
      </c>
      <c r="H1560" s="53" t="s">
        <v>25</v>
      </c>
      <c r="I1560" s="73">
        <v>43891</v>
      </c>
      <c r="J1560" s="74">
        <f ca="1">EFEITO!$J$1560*EFEITO!$Y$1560</f>
        <v>165813.54899009608</v>
      </c>
      <c r="K1560" s="74">
        <f>EFEITO!$L$1560*EFEITO!$Z$1560</f>
        <v>0</v>
      </c>
      <c r="L1560" s="74">
        <f>EFEITO!$N$1560*EFEITO!$AA$1560</f>
        <v>0</v>
      </c>
      <c r="M1560" s="74">
        <f ca="1">$J$1560-EFEITO!$K$1560*EFEITO!$Y$1560</f>
        <v>61666.554651928222</v>
      </c>
      <c r="N1560" s="74">
        <f>$K$1560-EFEITO!$M$1560*EFEITO!$Z$1560</f>
        <v>0</v>
      </c>
      <c r="O1560" s="74">
        <f>$L$1560-EFEITO!$O$1560*EFEITO!$AA$1560</f>
        <v>0</v>
      </c>
      <c r="P1560" s="57"/>
      <c r="Q1560" s="57"/>
      <c r="R1560" s="57"/>
      <c r="S1560" s="57"/>
      <c r="T1560" s="57"/>
      <c r="U1560" s="57"/>
      <c r="V1560" s="57"/>
      <c r="W1560" s="57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</row>
    <row r="1561" spans="1:36" ht="11.25" customHeight="1" x14ac:dyDescent="0.2">
      <c r="A1561" s="53" t="s">
        <v>21</v>
      </c>
      <c r="B1561" s="53" t="s">
        <v>44</v>
      </c>
      <c r="C1561" s="53" t="s">
        <v>34</v>
      </c>
      <c r="D1561" s="53" t="s">
        <v>40</v>
      </c>
      <c r="E1561" s="53" t="s">
        <v>25</v>
      </c>
      <c r="F1561" s="53" t="s">
        <v>63</v>
      </c>
      <c r="G1561" s="53" t="s">
        <v>25</v>
      </c>
      <c r="H1561" s="53" t="s">
        <v>25</v>
      </c>
      <c r="I1561" s="73">
        <v>43922</v>
      </c>
      <c r="J1561" s="74">
        <f ca="1">EFEITO!$J$1561*EFEITO!$Y$1561</f>
        <v>191974.42447005431</v>
      </c>
      <c r="K1561" s="74">
        <f>EFEITO!$L$1561*EFEITO!$Z$1561</f>
        <v>0</v>
      </c>
      <c r="L1561" s="74">
        <f>EFEITO!$N$1561*EFEITO!$AA$1561</f>
        <v>0</v>
      </c>
      <c r="M1561" s="74">
        <f ca="1">$J$1561-EFEITO!$K$1561*EFEITO!$Y$1561</f>
        <v>72862.800473133888</v>
      </c>
      <c r="N1561" s="74">
        <f>$K$1561-EFEITO!$M$1561*EFEITO!$Z$1561</f>
        <v>0</v>
      </c>
      <c r="O1561" s="74">
        <f>$L$1561-EFEITO!$O$1561*EFEITO!$AA$1561</f>
        <v>0</v>
      </c>
      <c r="P1561" s="57"/>
      <c r="Q1561" s="57"/>
      <c r="R1561" s="57"/>
      <c r="S1561" s="57"/>
      <c r="T1561" s="57"/>
      <c r="U1561" s="57"/>
      <c r="V1561" s="57"/>
      <c r="W1561" s="57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</row>
    <row r="1562" spans="1:36" ht="11.25" customHeight="1" x14ac:dyDescent="0.2">
      <c r="A1562" s="53" t="s">
        <v>21</v>
      </c>
      <c r="B1562" s="53" t="s">
        <v>44</v>
      </c>
      <c r="C1562" s="53" t="s">
        <v>34</v>
      </c>
      <c r="D1562" s="53" t="s">
        <v>40</v>
      </c>
      <c r="E1562" s="53" t="s">
        <v>25</v>
      </c>
      <c r="F1562" s="53" t="s">
        <v>63</v>
      </c>
      <c r="G1562" s="53" t="s">
        <v>25</v>
      </c>
      <c r="H1562" s="53" t="s">
        <v>25</v>
      </c>
      <c r="I1562" s="73">
        <v>43952</v>
      </c>
      <c r="J1562" s="74">
        <f ca="1">EFEITO!$J$1562*EFEITO!$Y$1562</f>
        <v>198054.62794551862</v>
      </c>
      <c r="K1562" s="74">
        <f>EFEITO!$L$1562*EFEITO!$Z$1562</f>
        <v>0</v>
      </c>
      <c r="L1562" s="74">
        <f>EFEITO!$N$1562*EFEITO!$AA$1562</f>
        <v>0</v>
      </c>
      <c r="M1562" s="74">
        <f ca="1">$J$1562-EFEITO!$K$1562*EFEITO!$Y$1562</f>
        <v>76623.491311792735</v>
      </c>
      <c r="N1562" s="74">
        <f>$K$1562-EFEITO!$M$1562*EFEITO!$Z$1562</f>
        <v>0</v>
      </c>
      <c r="O1562" s="74">
        <f>$L$1562-EFEITO!$O$1562*EFEITO!$AA$1562</f>
        <v>0</v>
      </c>
      <c r="P1562" s="57"/>
      <c r="Q1562" s="57"/>
      <c r="R1562" s="57"/>
      <c r="S1562" s="57"/>
      <c r="T1562" s="57"/>
      <c r="U1562" s="57"/>
      <c r="V1562" s="57"/>
      <c r="W1562" s="57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</row>
    <row r="1563" spans="1:36" ht="11.25" customHeight="1" x14ac:dyDescent="0.2">
      <c r="A1563" s="53" t="s">
        <v>21</v>
      </c>
      <c r="B1563" s="53" t="s">
        <v>44</v>
      </c>
      <c r="C1563" s="53" t="s">
        <v>34</v>
      </c>
      <c r="D1563" s="53" t="s">
        <v>40</v>
      </c>
      <c r="E1563" s="53" t="s">
        <v>25</v>
      </c>
      <c r="F1563" s="53" t="s">
        <v>63</v>
      </c>
      <c r="G1563" s="53" t="s">
        <v>25</v>
      </c>
      <c r="H1563" s="53" t="s">
        <v>25</v>
      </c>
      <c r="I1563" s="73">
        <v>43983</v>
      </c>
      <c r="J1563" s="74">
        <f ca="1">EFEITO!$J$1563*EFEITO!$Y$1563</f>
        <v>198054.62794551862</v>
      </c>
      <c r="K1563" s="74">
        <f>EFEITO!$L$1563*EFEITO!$Z$1563</f>
        <v>0</v>
      </c>
      <c r="L1563" s="74">
        <f>EFEITO!$N$1563*EFEITO!$AA$1563</f>
        <v>0</v>
      </c>
      <c r="M1563" s="74">
        <f ca="1">$J$1563-EFEITO!$K$1563*EFEITO!$Y$1563</f>
        <v>75601.014489561203</v>
      </c>
      <c r="N1563" s="74">
        <f>$K$1563-EFEITO!$M$1563*EFEITO!$Z$1563</f>
        <v>0</v>
      </c>
      <c r="O1563" s="74">
        <f>$L$1563-EFEITO!$O$1563*EFEITO!$AA$1563</f>
        <v>0</v>
      </c>
      <c r="P1563" s="57"/>
      <c r="Q1563" s="57"/>
      <c r="R1563" s="57"/>
      <c r="S1563" s="57"/>
      <c r="T1563" s="57"/>
      <c r="U1563" s="57"/>
      <c r="V1563" s="57"/>
      <c r="W1563" s="57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</row>
    <row r="1564" spans="1:36" ht="11.25" customHeight="1" x14ac:dyDescent="0.2">
      <c r="A1564" s="53" t="s">
        <v>21</v>
      </c>
      <c r="B1564" s="53" t="s">
        <v>44</v>
      </c>
      <c r="C1564" s="53" t="s">
        <v>34</v>
      </c>
      <c r="D1564" s="53" t="s">
        <v>40</v>
      </c>
      <c r="E1564" s="53" t="s">
        <v>25</v>
      </c>
      <c r="F1564" s="53" t="s">
        <v>63</v>
      </c>
      <c r="G1564" s="53" t="s">
        <v>25</v>
      </c>
      <c r="H1564" s="53" t="s">
        <v>25</v>
      </c>
      <c r="I1564" s="73">
        <v>44013</v>
      </c>
      <c r="J1564" s="74">
        <f ca="1">EFEITO!$J$1564*EFEITO!$Y$1564</f>
        <v>141412.73241093016</v>
      </c>
      <c r="K1564" s="74">
        <f>EFEITO!$L$1564*EFEITO!$Z$1564</f>
        <v>0</v>
      </c>
      <c r="L1564" s="74">
        <f>EFEITO!$N$1564*EFEITO!$AA$1564</f>
        <v>0</v>
      </c>
      <c r="M1564" s="74">
        <f ca="1">$J$1564-EFEITO!$K$1564*EFEITO!$Y$1564</f>
        <v>55288.604066845641</v>
      </c>
      <c r="N1564" s="74">
        <f>$K$1564-EFEITO!$M$1564*EFEITO!$Z$1564</f>
        <v>0</v>
      </c>
      <c r="O1564" s="74">
        <f>$L$1564-EFEITO!$O$1564*EFEITO!$AA$1564</f>
        <v>0</v>
      </c>
      <c r="P1564" s="57"/>
      <c r="Q1564" s="57"/>
      <c r="R1564" s="57"/>
      <c r="S1564" s="57"/>
      <c r="T1564" s="57"/>
      <c r="U1564" s="57"/>
      <c r="V1564" s="57"/>
      <c r="W1564" s="57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</row>
    <row r="1565" spans="1:36" ht="11.25" customHeight="1" x14ac:dyDescent="0.2">
      <c r="A1565" s="53" t="s">
        <v>21</v>
      </c>
      <c r="B1565" s="53" t="s">
        <v>44</v>
      </c>
      <c r="C1565" s="53" t="s">
        <v>34</v>
      </c>
      <c r="D1565" s="53" t="s">
        <v>40</v>
      </c>
      <c r="E1565" s="53" t="s">
        <v>25</v>
      </c>
      <c r="F1565" s="53" t="s">
        <v>63</v>
      </c>
      <c r="G1565" s="53" t="s">
        <v>25</v>
      </c>
      <c r="H1565" s="53" t="s">
        <v>25</v>
      </c>
      <c r="I1565" s="73">
        <v>44044</v>
      </c>
      <c r="J1565" s="74">
        <f ca="1">EFEITO!$J$1565*EFEITO!$Y$1565</f>
        <v>198054.62794551862</v>
      </c>
      <c r="K1565" s="74">
        <f>EFEITO!$L$1565*EFEITO!$Z$1565</f>
        <v>0</v>
      </c>
      <c r="L1565" s="74">
        <f>EFEITO!$N$1565*EFEITO!$AA$1565</f>
        <v>0</v>
      </c>
      <c r="M1565" s="74">
        <f ca="1">$J$1565-EFEITO!$K$1565*EFEITO!$Y$1565</f>
        <v>77241.304898752263</v>
      </c>
      <c r="N1565" s="74">
        <f>$K$1565-EFEITO!$M$1565*EFEITO!$Z$1565</f>
        <v>0</v>
      </c>
      <c r="O1565" s="74">
        <f>$L$1565-EFEITO!$O$1565*EFEITO!$AA$1565</f>
        <v>0</v>
      </c>
      <c r="P1565" s="57"/>
      <c r="Q1565" s="57"/>
      <c r="R1565" s="57"/>
      <c r="S1565" s="57"/>
      <c r="T1565" s="57"/>
      <c r="U1565" s="57"/>
      <c r="V1565" s="57"/>
      <c r="W1565" s="57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</row>
    <row r="1566" spans="1:36" ht="11.25" customHeight="1" x14ac:dyDescent="0.2">
      <c r="A1566" s="53" t="s">
        <v>59</v>
      </c>
      <c r="B1566" s="53" t="s">
        <v>44</v>
      </c>
      <c r="C1566" s="53" t="s">
        <v>34</v>
      </c>
      <c r="D1566" s="53" t="s">
        <v>40</v>
      </c>
      <c r="E1566" s="53" t="s">
        <v>25</v>
      </c>
      <c r="F1566" s="53" t="s">
        <v>63</v>
      </c>
      <c r="G1566" s="53" t="s">
        <v>25</v>
      </c>
      <c r="H1566" s="53" t="s">
        <v>25</v>
      </c>
      <c r="I1566" s="73">
        <v>44075</v>
      </c>
      <c r="J1566" s="74">
        <f ca="1">EFEITO!$J$1566*EFEITO!$Y$1566</f>
        <v>198054.62794551862</v>
      </c>
      <c r="K1566" s="74">
        <f>EFEITO!$L$1566*EFEITO!$Z$1566</f>
        <v>0</v>
      </c>
      <c r="L1566" s="74">
        <f>EFEITO!$N$1566*EFEITO!$AA$1566</f>
        <v>0</v>
      </c>
      <c r="M1566" s="74">
        <f ca="1">$J$1566-EFEITO!$K$1566*EFEITO!$Y$1566</f>
        <v>77241.304898752263</v>
      </c>
      <c r="N1566" s="74">
        <f>$K$1566-EFEITO!$M$1566*EFEITO!$Z$1566</f>
        <v>0</v>
      </c>
      <c r="O1566" s="74">
        <f>$L$1566-EFEITO!$O$1566*EFEITO!$AA$1566</f>
        <v>0</v>
      </c>
      <c r="P1566" s="57"/>
      <c r="Q1566" s="57"/>
      <c r="R1566" s="57"/>
      <c r="S1566" s="57"/>
      <c r="T1566" s="57"/>
      <c r="U1566" s="57"/>
      <c r="V1566" s="57"/>
      <c r="W1566" s="57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</row>
    <row r="1567" spans="1:36" ht="11.25" customHeight="1" x14ac:dyDescent="0.2">
      <c r="A1567" s="53" t="s">
        <v>21</v>
      </c>
      <c r="B1567" s="53" t="s">
        <v>44</v>
      </c>
      <c r="C1567" s="53" t="s">
        <v>34</v>
      </c>
      <c r="D1567" s="53" t="s">
        <v>40</v>
      </c>
      <c r="E1567" s="53" t="s">
        <v>25</v>
      </c>
      <c r="F1567" s="53" t="s">
        <v>63</v>
      </c>
      <c r="G1567" s="53" t="s">
        <v>25</v>
      </c>
      <c r="H1567" s="53" t="s">
        <v>35</v>
      </c>
      <c r="I1567" s="73">
        <v>43739</v>
      </c>
      <c r="J1567" s="74">
        <f>EFEITO!$J$1567*EFEITO!$Y$1567</f>
        <v>0</v>
      </c>
      <c r="K1567" s="74">
        <f ca="1">EFEITO!$L$1567*EFEITO!$Z$1567</f>
        <v>388991.15195519774</v>
      </c>
      <c r="L1567" s="74">
        <f>EFEITO!$N$1567*EFEITO!$AA$1567</f>
        <v>0</v>
      </c>
      <c r="M1567" s="74">
        <f>$J$1567-EFEITO!$K$1567*EFEITO!$Y$1567</f>
        <v>0</v>
      </c>
      <c r="N1567" s="74">
        <f ca="1">$K$1567-EFEITO!$M$1567*EFEITO!$Z$1567</f>
        <v>133833.47555585363</v>
      </c>
      <c r="O1567" s="74">
        <f>$L$1567-EFEITO!$O$1567*EFEITO!$AA$1567</f>
        <v>0</v>
      </c>
      <c r="P1567" s="57"/>
      <c r="Q1567" s="57"/>
      <c r="R1567" s="57"/>
      <c r="S1567" s="57"/>
      <c r="T1567" s="57"/>
      <c r="U1567" s="57"/>
      <c r="V1567" s="57"/>
      <c r="W1567" s="57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</row>
    <row r="1568" spans="1:36" ht="11.25" customHeight="1" x14ac:dyDescent="0.2">
      <c r="A1568" s="53" t="s">
        <v>21</v>
      </c>
      <c r="B1568" s="53" t="s">
        <v>44</v>
      </c>
      <c r="C1568" s="53" t="s">
        <v>34</v>
      </c>
      <c r="D1568" s="53" t="s">
        <v>40</v>
      </c>
      <c r="E1568" s="53" t="s">
        <v>25</v>
      </c>
      <c r="F1568" s="53" t="s">
        <v>63</v>
      </c>
      <c r="G1568" s="53" t="s">
        <v>25</v>
      </c>
      <c r="H1568" s="53" t="s">
        <v>35</v>
      </c>
      <c r="I1568" s="73">
        <v>43770</v>
      </c>
      <c r="J1568" s="74">
        <f>EFEITO!$J$1568*EFEITO!$Y$1568</f>
        <v>0</v>
      </c>
      <c r="K1568" s="74">
        <f ca="1">EFEITO!$L$1568*EFEITO!$Z$1568</f>
        <v>339185.73545878613</v>
      </c>
      <c r="L1568" s="74">
        <f>EFEITO!$N$1568*EFEITO!$AA$1568</f>
        <v>0</v>
      </c>
      <c r="M1568" s="74">
        <f>$J$1568-EFEITO!$K$1568*EFEITO!$Y$1568</f>
        <v>0</v>
      </c>
      <c r="N1568" s="74">
        <f ca="1">$K$1568-EFEITO!$M$1568*EFEITO!$Z$1568</f>
        <v>128344.64646568842</v>
      </c>
      <c r="O1568" s="74">
        <f>$L$1568-EFEITO!$O$1568*EFEITO!$AA$1568</f>
        <v>0</v>
      </c>
      <c r="P1568" s="57"/>
      <c r="Q1568" s="57"/>
      <c r="R1568" s="57"/>
      <c r="S1568" s="57"/>
      <c r="T1568" s="57"/>
      <c r="U1568" s="57"/>
      <c r="V1568" s="57"/>
      <c r="W1568" s="57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</row>
    <row r="1569" spans="1:36" ht="11.25" customHeight="1" x14ac:dyDescent="0.2">
      <c r="A1569" s="53" t="s">
        <v>21</v>
      </c>
      <c r="B1569" s="53" t="s">
        <v>44</v>
      </c>
      <c r="C1569" s="53" t="s">
        <v>34</v>
      </c>
      <c r="D1569" s="53" t="s">
        <v>40</v>
      </c>
      <c r="E1569" s="53" t="s">
        <v>25</v>
      </c>
      <c r="F1569" s="53" t="s">
        <v>63</v>
      </c>
      <c r="G1569" s="53" t="s">
        <v>25</v>
      </c>
      <c r="H1569" s="53" t="s">
        <v>35</v>
      </c>
      <c r="I1569" s="73">
        <v>43800</v>
      </c>
      <c r="J1569" s="74">
        <f>EFEITO!$J$1569*EFEITO!$Y$1569</f>
        <v>0</v>
      </c>
      <c r="K1569" s="74">
        <f ca="1">EFEITO!$L$1569*EFEITO!$Z$1569</f>
        <v>345703.03969087836</v>
      </c>
      <c r="L1569" s="74">
        <f>EFEITO!$N$1569*EFEITO!$AA$1569</f>
        <v>0</v>
      </c>
      <c r="M1569" s="74">
        <f>$J$1569-EFEITO!$K$1569*EFEITO!$Y$1569</f>
        <v>0</v>
      </c>
      <c r="N1569" s="74">
        <f ca="1">$K$1569-EFEITO!$M$1569*EFEITO!$Z$1569</f>
        <v>116675.3808759909</v>
      </c>
      <c r="O1569" s="74">
        <f>$L$1569-EFEITO!$O$1569*EFEITO!$AA$1569</f>
        <v>0</v>
      </c>
      <c r="P1569" s="57"/>
      <c r="Q1569" s="57"/>
      <c r="R1569" s="57"/>
      <c r="S1569" s="57"/>
      <c r="T1569" s="57"/>
      <c r="U1569" s="57"/>
      <c r="V1569" s="57"/>
      <c r="W1569" s="57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</row>
    <row r="1570" spans="1:36" ht="11.25" customHeight="1" x14ac:dyDescent="0.2">
      <c r="A1570" s="53" t="s">
        <v>21</v>
      </c>
      <c r="B1570" s="53" t="s">
        <v>44</v>
      </c>
      <c r="C1570" s="53" t="s">
        <v>34</v>
      </c>
      <c r="D1570" s="53" t="s">
        <v>40</v>
      </c>
      <c r="E1570" s="53" t="s">
        <v>25</v>
      </c>
      <c r="F1570" s="53" t="s">
        <v>63</v>
      </c>
      <c r="G1570" s="53" t="s">
        <v>25</v>
      </c>
      <c r="H1570" s="53" t="s">
        <v>35</v>
      </c>
      <c r="I1570" s="73">
        <v>43831</v>
      </c>
      <c r="J1570" s="74">
        <f>EFEITO!$J$1570*EFEITO!$Y$1570</f>
        <v>0</v>
      </c>
      <c r="K1570" s="74">
        <f ca="1">EFEITO!$L$1570*EFEITO!$Z$1570</f>
        <v>377674.64693040296</v>
      </c>
      <c r="L1570" s="74">
        <f>EFEITO!$N$1570*EFEITO!$AA$1570</f>
        <v>0</v>
      </c>
      <c r="M1570" s="74">
        <f>$J$1570-EFEITO!$K$1570*EFEITO!$Y$1570</f>
        <v>0</v>
      </c>
      <c r="N1570" s="74">
        <f ca="1">$K$1570-EFEITO!$M$1570*EFEITO!$Z$1570</f>
        <v>118509.53039922324</v>
      </c>
      <c r="O1570" s="74">
        <f>$L$1570-EFEITO!$O$1570*EFEITO!$AA$1570</f>
        <v>0</v>
      </c>
      <c r="P1570" s="57"/>
      <c r="Q1570" s="57"/>
      <c r="R1570" s="57"/>
      <c r="S1570" s="57"/>
      <c r="T1570" s="57"/>
      <c r="U1570" s="57"/>
      <c r="V1570" s="57"/>
      <c r="W1570" s="57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</row>
    <row r="1571" spans="1:36" ht="11.25" customHeight="1" x14ac:dyDescent="0.2">
      <c r="A1571" s="53" t="s">
        <v>21</v>
      </c>
      <c r="B1571" s="53" t="s">
        <v>44</v>
      </c>
      <c r="C1571" s="53" t="s">
        <v>34</v>
      </c>
      <c r="D1571" s="53" t="s">
        <v>40</v>
      </c>
      <c r="E1571" s="53" t="s">
        <v>25</v>
      </c>
      <c r="F1571" s="53" t="s">
        <v>63</v>
      </c>
      <c r="G1571" s="53" t="s">
        <v>25</v>
      </c>
      <c r="H1571" s="53" t="s">
        <v>35</v>
      </c>
      <c r="I1571" s="73">
        <v>43862</v>
      </c>
      <c r="J1571" s="74">
        <f>EFEITO!$J$1571*EFEITO!$Y$1571</f>
        <v>0</v>
      </c>
      <c r="K1571" s="74">
        <f ca="1">EFEITO!$L$1571*EFEITO!$Z$1571</f>
        <v>313653.09946779493</v>
      </c>
      <c r="L1571" s="74">
        <f>EFEITO!$N$1571*EFEITO!$AA$1571</f>
        <v>0</v>
      </c>
      <c r="M1571" s="74">
        <f>$J$1571-EFEITO!$K$1571*EFEITO!$Y$1571</f>
        <v>0</v>
      </c>
      <c r="N1571" s="74">
        <f ca="1">$K$1571-EFEITO!$M$1571*EFEITO!$Z$1571</f>
        <v>108561.00543731119</v>
      </c>
      <c r="O1571" s="74">
        <f>$L$1571-EFEITO!$O$1571*EFEITO!$AA$1571</f>
        <v>0</v>
      </c>
      <c r="P1571" s="57"/>
      <c r="Q1571" s="57"/>
      <c r="R1571" s="57"/>
      <c r="S1571" s="57"/>
      <c r="T1571" s="57"/>
      <c r="U1571" s="57"/>
      <c r="V1571" s="57"/>
      <c r="W1571" s="57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</row>
    <row r="1572" spans="1:36" ht="11.25" customHeight="1" x14ac:dyDescent="0.2">
      <c r="A1572" s="53" t="s">
        <v>21</v>
      </c>
      <c r="B1572" s="53" t="s">
        <v>44</v>
      </c>
      <c r="C1572" s="53" t="s">
        <v>34</v>
      </c>
      <c r="D1572" s="53" t="s">
        <v>40</v>
      </c>
      <c r="E1572" s="53" t="s">
        <v>25</v>
      </c>
      <c r="F1572" s="53" t="s">
        <v>63</v>
      </c>
      <c r="G1572" s="53" t="s">
        <v>25</v>
      </c>
      <c r="H1572" s="53" t="s">
        <v>35</v>
      </c>
      <c r="I1572" s="73">
        <v>43891</v>
      </c>
      <c r="J1572" s="74">
        <f>EFEITO!$J$1572*EFEITO!$Y$1572</f>
        <v>0</v>
      </c>
      <c r="K1572" s="74">
        <f ca="1">EFEITO!$L$1572*EFEITO!$Z$1572</f>
        <v>345812.7058678607</v>
      </c>
      <c r="L1572" s="74">
        <f>EFEITO!$N$1572*EFEITO!$AA$1572</f>
        <v>0</v>
      </c>
      <c r="M1572" s="74">
        <f>$J$1572-EFEITO!$K$1572*EFEITO!$Y$1572</f>
        <v>0</v>
      </c>
      <c r="N1572" s="74">
        <f ca="1">$K$1572-EFEITO!$M$1572*EFEITO!$Z$1572</f>
        <v>115296.81254929522</v>
      </c>
      <c r="O1572" s="74">
        <f>$L$1572-EFEITO!$O$1572*EFEITO!$AA$1572</f>
        <v>0</v>
      </c>
      <c r="P1572" s="57"/>
      <c r="Q1572" s="57"/>
      <c r="R1572" s="57"/>
      <c r="S1572" s="57"/>
      <c r="T1572" s="57"/>
      <c r="U1572" s="57"/>
      <c r="V1572" s="57"/>
      <c r="W1572" s="57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</row>
    <row r="1573" spans="1:36" ht="11.25" customHeight="1" x14ac:dyDescent="0.2">
      <c r="A1573" s="53" t="s">
        <v>21</v>
      </c>
      <c r="B1573" s="53" t="s">
        <v>44</v>
      </c>
      <c r="C1573" s="53" t="s">
        <v>34</v>
      </c>
      <c r="D1573" s="53" t="s">
        <v>40</v>
      </c>
      <c r="E1573" s="53" t="s">
        <v>25</v>
      </c>
      <c r="F1573" s="53" t="s">
        <v>63</v>
      </c>
      <c r="G1573" s="53" t="s">
        <v>25</v>
      </c>
      <c r="H1573" s="53" t="s">
        <v>35</v>
      </c>
      <c r="I1573" s="73">
        <v>43922</v>
      </c>
      <c r="J1573" s="74">
        <f>EFEITO!$J$1573*EFEITO!$Y$1573</f>
        <v>0</v>
      </c>
      <c r="K1573" s="74">
        <f ca="1">EFEITO!$L$1573*EFEITO!$Z$1573</f>
        <v>325551.87967037683</v>
      </c>
      <c r="L1573" s="74">
        <f>EFEITO!$N$1573*EFEITO!$AA$1573</f>
        <v>0</v>
      </c>
      <c r="M1573" s="74">
        <f>$J$1573-EFEITO!$K$1573*EFEITO!$Y$1573</f>
        <v>0</v>
      </c>
      <c r="N1573" s="74">
        <f ca="1">$K$1573-EFEITO!$M$1573*EFEITO!$Z$1573</f>
        <v>110187.90067504012</v>
      </c>
      <c r="O1573" s="74">
        <f>$L$1573-EFEITO!$O$1573*EFEITO!$AA$1573</f>
        <v>0</v>
      </c>
      <c r="P1573" s="57"/>
      <c r="Q1573" s="57"/>
      <c r="R1573" s="57"/>
      <c r="S1573" s="57"/>
      <c r="T1573" s="57"/>
      <c r="U1573" s="57"/>
      <c r="V1573" s="57"/>
      <c r="W1573" s="57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</row>
    <row r="1574" spans="1:36" ht="11.25" customHeight="1" x14ac:dyDescent="0.2">
      <c r="A1574" s="53" t="s">
        <v>21</v>
      </c>
      <c r="B1574" s="53" t="s">
        <v>44</v>
      </c>
      <c r="C1574" s="53" t="s">
        <v>34</v>
      </c>
      <c r="D1574" s="53" t="s">
        <v>40</v>
      </c>
      <c r="E1574" s="53" t="s">
        <v>25</v>
      </c>
      <c r="F1574" s="53" t="s">
        <v>63</v>
      </c>
      <c r="G1574" s="53" t="s">
        <v>25</v>
      </c>
      <c r="H1574" s="53" t="s">
        <v>35</v>
      </c>
      <c r="I1574" s="73">
        <v>43952</v>
      </c>
      <c r="J1574" s="74">
        <f>EFEITO!$J$1574*EFEITO!$Y$1574</f>
        <v>0</v>
      </c>
      <c r="K1574" s="74">
        <f ca="1">EFEITO!$L$1574*EFEITO!$Z$1574</f>
        <v>288299.32378926303</v>
      </c>
      <c r="L1574" s="74">
        <f>EFEITO!$N$1574*EFEITO!$AA$1574</f>
        <v>0</v>
      </c>
      <c r="M1574" s="74">
        <f>$J$1574-EFEITO!$K$1574*EFEITO!$Y$1574</f>
        <v>0</v>
      </c>
      <c r="N1574" s="74">
        <f ca="1">$K$1574-EFEITO!$M$1574*EFEITO!$Z$1574</f>
        <v>98013.285439250292</v>
      </c>
      <c r="O1574" s="74">
        <f>$L$1574-EFEITO!$O$1574*EFEITO!$AA$1574</f>
        <v>0</v>
      </c>
      <c r="P1574" s="57"/>
      <c r="Q1574" s="57"/>
      <c r="R1574" s="57"/>
      <c r="S1574" s="57"/>
      <c r="T1574" s="57"/>
      <c r="U1574" s="57"/>
      <c r="V1574" s="57"/>
      <c r="W1574" s="57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</row>
    <row r="1575" spans="1:36" ht="11.25" customHeight="1" x14ac:dyDescent="0.2">
      <c r="A1575" s="53" t="s">
        <v>21</v>
      </c>
      <c r="B1575" s="53" t="s">
        <v>44</v>
      </c>
      <c r="C1575" s="53" t="s">
        <v>34</v>
      </c>
      <c r="D1575" s="53" t="s">
        <v>40</v>
      </c>
      <c r="E1575" s="53" t="s">
        <v>25</v>
      </c>
      <c r="F1575" s="53" t="s">
        <v>63</v>
      </c>
      <c r="G1575" s="53" t="s">
        <v>25</v>
      </c>
      <c r="H1575" s="53" t="s">
        <v>35</v>
      </c>
      <c r="I1575" s="73">
        <v>43983</v>
      </c>
      <c r="J1575" s="74">
        <f>EFEITO!$J$1575*EFEITO!$Y$1575</f>
        <v>0</v>
      </c>
      <c r="K1575" s="74">
        <f ca="1">EFEITO!$L$1575*EFEITO!$Z$1575</f>
        <v>288299.32378926303</v>
      </c>
      <c r="L1575" s="74">
        <f>EFEITO!$N$1575*EFEITO!$AA$1575</f>
        <v>0</v>
      </c>
      <c r="M1575" s="74">
        <f>$J$1575-EFEITO!$K$1575*EFEITO!$Y$1575</f>
        <v>0</v>
      </c>
      <c r="N1575" s="74">
        <f ca="1">$K$1575-EFEITO!$M$1575*EFEITO!$Z$1575</f>
        <v>95357.281790949928</v>
      </c>
      <c r="O1575" s="74">
        <f>$L$1575-EFEITO!$O$1575*EFEITO!$AA$1575</f>
        <v>0</v>
      </c>
      <c r="P1575" s="57"/>
      <c r="Q1575" s="57"/>
      <c r="R1575" s="57"/>
      <c r="S1575" s="57"/>
      <c r="T1575" s="57"/>
      <c r="U1575" s="57"/>
      <c r="V1575" s="57"/>
      <c r="W1575" s="57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</row>
    <row r="1576" spans="1:36" ht="11.25" customHeight="1" x14ac:dyDescent="0.2">
      <c r="A1576" s="53" t="s">
        <v>21</v>
      </c>
      <c r="B1576" s="53" t="s">
        <v>44</v>
      </c>
      <c r="C1576" s="53" t="s">
        <v>34</v>
      </c>
      <c r="D1576" s="53" t="s">
        <v>40</v>
      </c>
      <c r="E1576" s="53" t="s">
        <v>25</v>
      </c>
      <c r="F1576" s="53" t="s">
        <v>63</v>
      </c>
      <c r="G1576" s="53" t="s">
        <v>25</v>
      </c>
      <c r="H1576" s="53" t="s">
        <v>35</v>
      </c>
      <c r="I1576" s="73">
        <v>44013</v>
      </c>
      <c r="J1576" s="74">
        <f>EFEITO!$J$1576*EFEITO!$Y$1576</f>
        <v>0</v>
      </c>
      <c r="K1576" s="74">
        <f ca="1">EFEITO!$L$1576*EFEITO!$Z$1576</f>
        <v>298413.4175164302</v>
      </c>
      <c r="L1576" s="74">
        <f>EFEITO!$N$1576*EFEITO!$AA$1576</f>
        <v>0</v>
      </c>
      <c r="M1576" s="74">
        <f>$J$1576-EFEITO!$K$1576*EFEITO!$Y$1576</f>
        <v>0</v>
      </c>
      <c r="N1576" s="74">
        <f ca="1">$K$1576-EFEITO!$M$1576*EFEITO!$Z$1576</f>
        <v>107273.03164476369</v>
      </c>
      <c r="O1576" s="74">
        <f>$L$1576-EFEITO!$O$1576*EFEITO!$AA$1576</f>
        <v>0</v>
      </c>
      <c r="P1576" s="57"/>
      <c r="Q1576" s="57"/>
      <c r="R1576" s="57"/>
      <c r="S1576" s="57"/>
      <c r="T1576" s="57"/>
      <c r="U1576" s="57"/>
      <c r="V1576" s="57"/>
      <c r="W1576" s="57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</row>
    <row r="1577" spans="1:36" ht="11.25" customHeight="1" x14ac:dyDescent="0.2">
      <c r="A1577" s="53" t="s">
        <v>21</v>
      </c>
      <c r="B1577" s="53" t="s">
        <v>44</v>
      </c>
      <c r="C1577" s="53" t="s">
        <v>34</v>
      </c>
      <c r="D1577" s="53" t="s">
        <v>40</v>
      </c>
      <c r="E1577" s="53" t="s">
        <v>25</v>
      </c>
      <c r="F1577" s="53" t="s">
        <v>63</v>
      </c>
      <c r="G1577" s="53" t="s">
        <v>25</v>
      </c>
      <c r="H1577" s="53" t="s">
        <v>35</v>
      </c>
      <c r="I1577" s="73">
        <v>44044</v>
      </c>
      <c r="J1577" s="74">
        <f>EFEITO!$J$1577*EFEITO!$Y$1577</f>
        <v>0</v>
      </c>
      <c r="K1577" s="74">
        <f ca="1">EFEITO!$L$1577*EFEITO!$Z$1577</f>
        <v>346755.31277001824</v>
      </c>
      <c r="L1577" s="74">
        <f>EFEITO!$N$1577*EFEITO!$AA$1577</f>
        <v>0</v>
      </c>
      <c r="M1577" s="74">
        <f>$J$1577-EFEITO!$K$1577*EFEITO!$Y$1577</f>
        <v>0</v>
      </c>
      <c r="N1577" s="74">
        <f ca="1">$K$1577-EFEITO!$M$1577*EFEITO!$Z$1577</f>
        <v>117896.80634180619</v>
      </c>
      <c r="O1577" s="74">
        <f>$L$1577-EFEITO!$O$1577*EFEITO!$AA$1577</f>
        <v>0</v>
      </c>
      <c r="P1577" s="57"/>
      <c r="Q1577" s="57"/>
      <c r="R1577" s="57"/>
      <c r="S1577" s="57"/>
      <c r="T1577" s="57"/>
      <c r="U1577" s="57"/>
      <c r="V1577" s="57"/>
      <c r="W1577" s="57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</row>
    <row r="1578" spans="1:36" ht="11.25" customHeight="1" x14ac:dyDescent="0.2">
      <c r="A1578" s="53" t="s">
        <v>59</v>
      </c>
      <c r="B1578" s="53" t="s">
        <v>44</v>
      </c>
      <c r="C1578" s="53" t="s">
        <v>34</v>
      </c>
      <c r="D1578" s="53" t="s">
        <v>40</v>
      </c>
      <c r="E1578" s="53" t="s">
        <v>25</v>
      </c>
      <c r="F1578" s="53" t="s">
        <v>63</v>
      </c>
      <c r="G1578" s="53" t="s">
        <v>25</v>
      </c>
      <c r="H1578" s="53" t="s">
        <v>35</v>
      </c>
      <c r="I1578" s="73">
        <v>44075</v>
      </c>
      <c r="J1578" s="74">
        <f>EFEITO!$J$1578*EFEITO!$Y$1578</f>
        <v>0</v>
      </c>
      <c r="K1578" s="74">
        <f ca="1">EFEITO!$L$1578*EFEITO!$Z$1578</f>
        <v>346755.31277001824</v>
      </c>
      <c r="L1578" s="74">
        <f>EFEITO!$N$1578*EFEITO!$AA$1578</f>
        <v>0</v>
      </c>
      <c r="M1578" s="74">
        <f>$J$1578-EFEITO!$K$1578*EFEITO!$Y$1578</f>
        <v>0</v>
      </c>
      <c r="N1578" s="74">
        <f ca="1">$K$1578-EFEITO!$M$1578*EFEITO!$Z$1578</f>
        <v>117896.80634180619</v>
      </c>
      <c r="O1578" s="74">
        <f>$L$1578-EFEITO!$O$1578*EFEITO!$AA$1578</f>
        <v>0</v>
      </c>
      <c r="P1578" s="57"/>
      <c r="Q1578" s="57"/>
      <c r="R1578" s="57"/>
      <c r="S1578" s="57"/>
      <c r="T1578" s="57"/>
      <c r="U1578" s="57"/>
      <c r="V1578" s="57"/>
      <c r="W1578" s="57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</row>
    <row r="1579" spans="1:36" ht="11.25" customHeight="1" x14ac:dyDescent="0.2">
      <c r="A1579" s="53" t="s">
        <v>21</v>
      </c>
      <c r="B1579" s="53" t="s">
        <v>44</v>
      </c>
      <c r="C1579" s="53" t="s">
        <v>34</v>
      </c>
      <c r="D1579" s="53" t="s">
        <v>48</v>
      </c>
      <c r="E1579" s="53" t="s">
        <v>25</v>
      </c>
      <c r="F1579" s="53" t="s">
        <v>25</v>
      </c>
      <c r="G1579" s="53" t="s">
        <v>25</v>
      </c>
      <c r="H1579" s="53" t="s">
        <v>36</v>
      </c>
      <c r="I1579" s="73">
        <v>43739</v>
      </c>
      <c r="J1579" s="74">
        <f>EFEITO!$J$1579*EFEITO!$Y$1579</f>
        <v>0</v>
      </c>
      <c r="K1579" s="74">
        <f ca="1">EFEITO!$L$1579*EFEITO!$Z$1579</f>
        <v>1615534.544509775</v>
      </c>
      <c r="L1579" s="74">
        <f>EFEITO!$N$1579*EFEITO!$AA$1579</f>
        <v>3300797.1573857535</v>
      </c>
      <c r="M1579" s="74">
        <f>$J$1579-EFEITO!$K$1579*EFEITO!$Y$1579</f>
        <v>0</v>
      </c>
      <c r="N1579" s="74">
        <f ca="1">$K$1579-EFEITO!$M$1579*EFEITO!$Z$1579</f>
        <v>0</v>
      </c>
      <c r="O1579" s="74">
        <f>$L$1579-EFEITO!$O$1579*EFEITO!$AA$1579</f>
        <v>0</v>
      </c>
      <c r="P1579" s="57"/>
      <c r="Q1579" s="57"/>
      <c r="R1579" s="57"/>
      <c r="S1579" s="57"/>
      <c r="T1579" s="57"/>
      <c r="U1579" s="57"/>
      <c r="V1579" s="57"/>
      <c r="W1579" s="57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</row>
    <row r="1580" spans="1:36" ht="11.25" customHeight="1" x14ac:dyDescent="0.2">
      <c r="A1580" s="53" t="s">
        <v>28</v>
      </c>
      <c r="B1580" s="53" t="s">
        <v>44</v>
      </c>
      <c r="C1580" s="53" t="s">
        <v>34</v>
      </c>
      <c r="D1580" s="53" t="s">
        <v>48</v>
      </c>
      <c r="E1580" s="53" t="s">
        <v>25</v>
      </c>
      <c r="F1580" s="53" t="s">
        <v>25</v>
      </c>
      <c r="G1580" s="53" t="s">
        <v>25</v>
      </c>
      <c r="H1580" s="53" t="s">
        <v>36</v>
      </c>
      <c r="I1580" s="73">
        <v>43739</v>
      </c>
      <c r="J1580" s="74">
        <f>EFEITO!$J$1580*EFEITO!$Y$1580</f>
        <v>0</v>
      </c>
      <c r="K1580" s="74">
        <f ca="1">EFEITO!$L$1580*EFEITO!$Z$1580</f>
        <v>94103.79346835523</v>
      </c>
      <c r="L1580" s="74">
        <f>EFEITO!$N$1580*EFEITO!$AA$1580</f>
        <v>192269.19971173885</v>
      </c>
      <c r="M1580" s="74">
        <f>$J$1580-EFEITO!$K$1580*EFEITO!$Y$1580</f>
        <v>0</v>
      </c>
      <c r="N1580" s="74">
        <f ca="1">$K$1580-EFEITO!$M$1580*EFEITO!$Z$1580</f>
        <v>0</v>
      </c>
      <c r="O1580" s="74">
        <f>$L$1580-EFEITO!$O$1580*EFEITO!$AA$1580</f>
        <v>0</v>
      </c>
      <c r="P1580" s="57"/>
      <c r="Q1580" s="57"/>
      <c r="R1580" s="57"/>
      <c r="S1580" s="57"/>
      <c r="T1580" s="57"/>
      <c r="U1580" s="57"/>
      <c r="V1580" s="57"/>
      <c r="W1580" s="57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</row>
    <row r="1581" spans="1:36" ht="11.25" customHeight="1" x14ac:dyDescent="0.2">
      <c r="A1581" s="53" t="s">
        <v>21</v>
      </c>
      <c r="B1581" s="53" t="s">
        <v>44</v>
      </c>
      <c r="C1581" s="53" t="s">
        <v>34</v>
      </c>
      <c r="D1581" s="53" t="s">
        <v>48</v>
      </c>
      <c r="E1581" s="53" t="s">
        <v>25</v>
      </c>
      <c r="F1581" s="53" t="s">
        <v>25</v>
      </c>
      <c r="G1581" s="53" t="s">
        <v>25</v>
      </c>
      <c r="H1581" s="53" t="s">
        <v>36</v>
      </c>
      <c r="I1581" s="73">
        <v>43770</v>
      </c>
      <c r="J1581" s="74">
        <f>EFEITO!$J$1581*EFEITO!$Y$1581</f>
        <v>0</v>
      </c>
      <c r="K1581" s="74">
        <f ca="1">EFEITO!$L$1581*EFEITO!$Z$1581</f>
        <v>1573022.4814390165</v>
      </c>
      <c r="L1581" s="74">
        <f>EFEITO!$N$1581*EFEITO!$AA$1581</f>
        <v>3213938.1685665799</v>
      </c>
      <c r="M1581" s="74">
        <f>$J$1581-EFEITO!$K$1581*EFEITO!$Y$1581</f>
        <v>0</v>
      </c>
      <c r="N1581" s="74">
        <f ca="1">$K$1581-EFEITO!$M$1581*EFEITO!$Z$1581</f>
        <v>0</v>
      </c>
      <c r="O1581" s="74">
        <f>$L$1581-EFEITO!$O$1581*EFEITO!$AA$1581</f>
        <v>0</v>
      </c>
      <c r="P1581" s="57"/>
      <c r="Q1581" s="57"/>
      <c r="R1581" s="57"/>
      <c r="S1581" s="57"/>
      <c r="T1581" s="57"/>
      <c r="U1581" s="57"/>
      <c r="V1581" s="57"/>
      <c r="W1581" s="57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</row>
    <row r="1582" spans="1:36" ht="11.25" customHeight="1" x14ac:dyDescent="0.2">
      <c r="A1582" s="53" t="s">
        <v>28</v>
      </c>
      <c r="B1582" s="53" t="s">
        <v>44</v>
      </c>
      <c r="C1582" s="53" t="s">
        <v>34</v>
      </c>
      <c r="D1582" s="53" t="s">
        <v>48</v>
      </c>
      <c r="E1582" s="53" t="s">
        <v>25</v>
      </c>
      <c r="F1582" s="53" t="s">
        <v>25</v>
      </c>
      <c r="G1582" s="53" t="s">
        <v>25</v>
      </c>
      <c r="H1582" s="53" t="s">
        <v>36</v>
      </c>
      <c r="I1582" s="73">
        <v>43770</v>
      </c>
      <c r="J1582" s="74">
        <f>EFEITO!$J$1582*EFEITO!$Y$1582</f>
        <v>0</v>
      </c>
      <c r="K1582" s="74">
        <f ca="1">EFEITO!$L$1582*EFEITO!$Z$1582</f>
        <v>100855.52926607027</v>
      </c>
      <c r="L1582" s="74">
        <f>EFEITO!$N$1582*EFEITO!$AA$1582</f>
        <v>206064.08290025033</v>
      </c>
      <c r="M1582" s="74">
        <f>$J$1582-EFEITO!$K$1582*EFEITO!$Y$1582</f>
        <v>0</v>
      </c>
      <c r="N1582" s="74">
        <f ca="1">$K$1582-EFEITO!$M$1582*EFEITO!$Z$1582</f>
        <v>0</v>
      </c>
      <c r="O1582" s="74">
        <f>$L$1582-EFEITO!$O$1582*EFEITO!$AA$1582</f>
        <v>0</v>
      </c>
      <c r="P1582" s="57"/>
      <c r="Q1582" s="57"/>
      <c r="R1582" s="57"/>
      <c r="S1582" s="57"/>
      <c r="T1582" s="57"/>
      <c r="U1582" s="57"/>
      <c r="V1582" s="57"/>
      <c r="W1582" s="57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</row>
    <row r="1583" spans="1:36" ht="11.25" customHeight="1" x14ac:dyDescent="0.2">
      <c r="A1583" s="53" t="s">
        <v>21</v>
      </c>
      <c r="B1583" s="53" t="s">
        <v>44</v>
      </c>
      <c r="C1583" s="53" t="s">
        <v>34</v>
      </c>
      <c r="D1583" s="53" t="s">
        <v>48</v>
      </c>
      <c r="E1583" s="53" t="s">
        <v>25</v>
      </c>
      <c r="F1583" s="53" t="s">
        <v>25</v>
      </c>
      <c r="G1583" s="53" t="s">
        <v>25</v>
      </c>
      <c r="H1583" s="53" t="s">
        <v>36</v>
      </c>
      <c r="I1583" s="73">
        <v>43800</v>
      </c>
      <c r="J1583" s="74">
        <f>EFEITO!$J$1583*EFEITO!$Y$1583</f>
        <v>0</v>
      </c>
      <c r="K1583" s="74">
        <f ca="1">EFEITO!$L$1583*EFEITO!$Z$1583</f>
        <v>1437699.8950874237</v>
      </c>
      <c r="L1583" s="74">
        <f>EFEITO!$N$1583*EFEITO!$AA$1583</f>
        <v>2937452.3392307758</v>
      </c>
      <c r="M1583" s="74">
        <f>$J$1583-EFEITO!$K$1583*EFEITO!$Y$1583</f>
        <v>0</v>
      </c>
      <c r="N1583" s="74">
        <f ca="1">$K$1583-EFEITO!$M$1583*EFEITO!$Z$1583</f>
        <v>0</v>
      </c>
      <c r="O1583" s="74">
        <f>$L$1583-EFEITO!$O$1583*EFEITO!$AA$1583</f>
        <v>0</v>
      </c>
      <c r="P1583" s="57"/>
      <c r="Q1583" s="57"/>
      <c r="R1583" s="57"/>
      <c r="S1583" s="57"/>
      <c r="T1583" s="57"/>
      <c r="U1583" s="57"/>
      <c r="V1583" s="57"/>
      <c r="W1583" s="57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</row>
    <row r="1584" spans="1:36" ht="11.25" customHeight="1" x14ac:dyDescent="0.2">
      <c r="A1584" s="53" t="s">
        <v>27</v>
      </c>
      <c r="B1584" s="53" t="s">
        <v>44</v>
      </c>
      <c r="C1584" s="53" t="s">
        <v>34</v>
      </c>
      <c r="D1584" s="53" t="s">
        <v>48</v>
      </c>
      <c r="E1584" s="53" t="s">
        <v>25</v>
      </c>
      <c r="F1584" s="53" t="s">
        <v>25</v>
      </c>
      <c r="G1584" s="53" t="s">
        <v>25</v>
      </c>
      <c r="H1584" s="53" t="s">
        <v>36</v>
      </c>
      <c r="I1584" s="73">
        <v>43800</v>
      </c>
      <c r="J1584" s="74">
        <f>EFEITO!$J$1584*EFEITO!$Y$1584</f>
        <v>0</v>
      </c>
      <c r="K1584" s="74">
        <f ca="1">EFEITO!$L$1584*EFEITO!$Z$1584</f>
        <v>38249.931697977037</v>
      </c>
      <c r="L1584" s="74">
        <f>EFEITO!$N$1584*EFEITO!$AA$1584</f>
        <v>78150.768269206717</v>
      </c>
      <c r="M1584" s="74">
        <f>$J$1584-EFEITO!$K$1584*EFEITO!$Y$1584</f>
        <v>0</v>
      </c>
      <c r="N1584" s="74">
        <f ca="1">$K$1584-EFEITO!$M$1584*EFEITO!$Z$1584</f>
        <v>0</v>
      </c>
      <c r="O1584" s="74">
        <f>$L$1584-EFEITO!$O$1584*EFEITO!$AA$1584</f>
        <v>0</v>
      </c>
      <c r="P1584" s="57"/>
      <c r="Q1584" s="57"/>
      <c r="R1584" s="57"/>
      <c r="S1584" s="57"/>
      <c r="T1584" s="57"/>
      <c r="U1584" s="57"/>
      <c r="V1584" s="57"/>
      <c r="W1584" s="57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</row>
    <row r="1585" spans="1:36" ht="11.25" customHeight="1" x14ac:dyDescent="0.2">
      <c r="A1585" s="53" t="s">
        <v>28</v>
      </c>
      <c r="B1585" s="53" t="s">
        <v>44</v>
      </c>
      <c r="C1585" s="53" t="s">
        <v>34</v>
      </c>
      <c r="D1585" s="53" t="s">
        <v>48</v>
      </c>
      <c r="E1585" s="53" t="s">
        <v>25</v>
      </c>
      <c r="F1585" s="53" t="s">
        <v>25</v>
      </c>
      <c r="G1585" s="53" t="s">
        <v>25</v>
      </c>
      <c r="H1585" s="53" t="s">
        <v>36</v>
      </c>
      <c r="I1585" s="73">
        <v>43800</v>
      </c>
      <c r="J1585" s="74">
        <f>EFEITO!$J$1585*EFEITO!$Y$1585</f>
        <v>0</v>
      </c>
      <c r="K1585" s="74">
        <f ca="1">EFEITO!$L$1585*EFEITO!$Z$1585</f>
        <v>106543.5681287359</v>
      </c>
      <c r="L1585" s="74">
        <f>EFEITO!$N$1585*EFEITO!$AA$1585</f>
        <v>217685.66200717285</v>
      </c>
      <c r="M1585" s="74">
        <f>$J$1585-EFEITO!$K$1585*EFEITO!$Y$1585</f>
        <v>0</v>
      </c>
      <c r="N1585" s="74">
        <f ca="1">$K$1585-EFEITO!$M$1585*EFEITO!$Z$1585</f>
        <v>0</v>
      </c>
      <c r="O1585" s="74">
        <f>$L$1585-EFEITO!$O$1585*EFEITO!$AA$1585</f>
        <v>0</v>
      </c>
      <c r="P1585" s="57"/>
      <c r="Q1585" s="57"/>
      <c r="R1585" s="57"/>
      <c r="S1585" s="57"/>
      <c r="T1585" s="57"/>
      <c r="U1585" s="57"/>
      <c r="V1585" s="57"/>
      <c r="W1585" s="57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</row>
    <row r="1586" spans="1:36" ht="11.25" customHeight="1" x14ac:dyDescent="0.2">
      <c r="A1586" s="53" t="s">
        <v>21</v>
      </c>
      <c r="B1586" s="53" t="s">
        <v>44</v>
      </c>
      <c r="C1586" s="53" t="s">
        <v>34</v>
      </c>
      <c r="D1586" s="53" t="s">
        <v>48</v>
      </c>
      <c r="E1586" s="53" t="s">
        <v>25</v>
      </c>
      <c r="F1586" s="53" t="s">
        <v>25</v>
      </c>
      <c r="G1586" s="53" t="s">
        <v>25</v>
      </c>
      <c r="H1586" s="53" t="s">
        <v>36</v>
      </c>
      <c r="I1586" s="73">
        <v>43831</v>
      </c>
      <c r="J1586" s="74">
        <f>EFEITO!$J$1586*EFEITO!$Y$1586</f>
        <v>0</v>
      </c>
      <c r="K1586" s="74">
        <f ca="1">EFEITO!$L$1586*EFEITO!$Z$1586</f>
        <v>1385057.6862934288</v>
      </c>
      <c r="L1586" s="74">
        <f>EFEITO!$N$1586*EFEITO!$AA$1586</f>
        <v>2829895.831859123</v>
      </c>
      <c r="M1586" s="74">
        <f>$J$1586-EFEITO!$K$1586*EFEITO!$Y$1586</f>
        <v>0</v>
      </c>
      <c r="N1586" s="74">
        <f ca="1">$K$1586-EFEITO!$M$1586*EFEITO!$Z$1586</f>
        <v>0</v>
      </c>
      <c r="O1586" s="74">
        <f>$L$1586-EFEITO!$O$1586*EFEITO!$AA$1586</f>
        <v>0</v>
      </c>
      <c r="P1586" s="57"/>
      <c r="Q1586" s="57"/>
      <c r="R1586" s="57"/>
      <c r="S1586" s="57"/>
      <c r="T1586" s="57"/>
      <c r="U1586" s="57"/>
      <c r="V1586" s="57"/>
      <c r="W1586" s="57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</row>
    <row r="1587" spans="1:36" ht="11.25" customHeight="1" x14ac:dyDescent="0.2">
      <c r="A1587" s="53" t="s">
        <v>28</v>
      </c>
      <c r="B1587" s="53" t="s">
        <v>44</v>
      </c>
      <c r="C1587" s="53" t="s">
        <v>34</v>
      </c>
      <c r="D1587" s="53" t="s">
        <v>48</v>
      </c>
      <c r="E1587" s="53" t="s">
        <v>25</v>
      </c>
      <c r="F1587" s="53" t="s">
        <v>25</v>
      </c>
      <c r="G1587" s="53" t="s">
        <v>25</v>
      </c>
      <c r="H1587" s="53" t="s">
        <v>36</v>
      </c>
      <c r="I1587" s="73">
        <v>43831</v>
      </c>
      <c r="J1587" s="74">
        <f>EFEITO!$J$1587*EFEITO!$Y$1587</f>
        <v>0</v>
      </c>
      <c r="K1587" s="74">
        <f ca="1">EFEITO!$L$1587*EFEITO!$Z$1587</f>
        <v>96830.653715232795</v>
      </c>
      <c r="L1587" s="74">
        <f>EFEITO!$N$1587*EFEITO!$AA$1587</f>
        <v>197840.61419004263</v>
      </c>
      <c r="M1587" s="74">
        <f>$J$1587-EFEITO!$K$1587*EFEITO!$Y$1587</f>
        <v>0</v>
      </c>
      <c r="N1587" s="74">
        <f ca="1">$K$1587-EFEITO!$M$1587*EFEITO!$Z$1587</f>
        <v>0</v>
      </c>
      <c r="O1587" s="74">
        <f>$L$1587-EFEITO!$O$1587*EFEITO!$AA$1587</f>
        <v>0</v>
      </c>
      <c r="P1587" s="57"/>
      <c r="Q1587" s="57"/>
      <c r="R1587" s="57"/>
      <c r="S1587" s="57"/>
      <c r="T1587" s="57"/>
      <c r="U1587" s="57"/>
      <c r="V1587" s="57"/>
      <c r="W1587" s="57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</row>
    <row r="1588" spans="1:36" ht="11.25" customHeight="1" x14ac:dyDescent="0.2">
      <c r="A1588" s="53" t="s">
        <v>21</v>
      </c>
      <c r="B1588" s="53" t="s">
        <v>44</v>
      </c>
      <c r="C1588" s="53" t="s">
        <v>34</v>
      </c>
      <c r="D1588" s="53" t="s">
        <v>48</v>
      </c>
      <c r="E1588" s="53" t="s">
        <v>25</v>
      </c>
      <c r="F1588" s="53" t="s">
        <v>25</v>
      </c>
      <c r="G1588" s="53" t="s">
        <v>25</v>
      </c>
      <c r="H1588" s="53" t="s">
        <v>36</v>
      </c>
      <c r="I1588" s="73">
        <v>43862</v>
      </c>
      <c r="J1588" s="74">
        <f>EFEITO!$J$1588*EFEITO!$Y$1588</f>
        <v>0</v>
      </c>
      <c r="K1588" s="74">
        <f ca="1">EFEITO!$L$1588*EFEITO!$Z$1588</f>
        <v>1494944.7538481713</v>
      </c>
      <c r="L1588" s="74">
        <f>EFEITO!$N$1588*EFEITO!$AA$1588</f>
        <v>3054412.8014595555</v>
      </c>
      <c r="M1588" s="74">
        <f>$J$1588-EFEITO!$K$1588*EFEITO!$Y$1588</f>
        <v>0</v>
      </c>
      <c r="N1588" s="74">
        <f ca="1">$K$1588-EFEITO!$M$1588*EFEITO!$Z$1588</f>
        <v>0</v>
      </c>
      <c r="O1588" s="74">
        <f>$L$1588-EFEITO!$O$1588*EFEITO!$AA$1588</f>
        <v>0</v>
      </c>
      <c r="P1588" s="57"/>
      <c r="Q1588" s="57"/>
      <c r="R1588" s="57"/>
      <c r="S1588" s="57"/>
      <c r="T1588" s="57"/>
      <c r="U1588" s="57"/>
      <c r="V1588" s="57"/>
      <c r="W1588" s="57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</row>
    <row r="1589" spans="1:36" ht="11.25" customHeight="1" x14ac:dyDescent="0.2">
      <c r="A1589" s="53" t="s">
        <v>28</v>
      </c>
      <c r="B1589" s="53" t="s">
        <v>44</v>
      </c>
      <c r="C1589" s="53" t="s">
        <v>34</v>
      </c>
      <c r="D1589" s="53" t="s">
        <v>48</v>
      </c>
      <c r="E1589" s="53" t="s">
        <v>25</v>
      </c>
      <c r="F1589" s="53" t="s">
        <v>25</v>
      </c>
      <c r="G1589" s="53" t="s">
        <v>25</v>
      </c>
      <c r="H1589" s="53" t="s">
        <v>36</v>
      </c>
      <c r="I1589" s="73">
        <v>43862</v>
      </c>
      <c r="J1589" s="74">
        <f>EFEITO!$J$1589*EFEITO!$Y$1589</f>
        <v>0</v>
      </c>
      <c r="K1589" s="74">
        <f ca="1">EFEITO!$L$1589*EFEITO!$Z$1589</f>
        <v>106609.43486406609</v>
      </c>
      <c r="L1589" s="74">
        <f>EFEITO!$N$1589*EFEITO!$AA$1589</f>
        <v>217820.23835125851</v>
      </c>
      <c r="M1589" s="74">
        <f>$J$1589-EFEITO!$K$1589*EFEITO!$Y$1589</f>
        <v>0</v>
      </c>
      <c r="N1589" s="74">
        <f ca="1">$K$1589-EFEITO!$M$1589*EFEITO!$Z$1589</f>
        <v>0</v>
      </c>
      <c r="O1589" s="74">
        <f>$L$1589-EFEITO!$O$1589*EFEITO!$AA$1589</f>
        <v>0</v>
      </c>
      <c r="P1589" s="57"/>
      <c r="Q1589" s="57"/>
      <c r="R1589" s="57"/>
      <c r="S1589" s="57"/>
      <c r="T1589" s="57"/>
      <c r="U1589" s="57"/>
      <c r="V1589" s="57"/>
      <c r="W1589" s="57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</row>
    <row r="1590" spans="1:36" ht="11.25" customHeight="1" x14ac:dyDescent="0.2">
      <c r="A1590" s="53" t="s">
        <v>21</v>
      </c>
      <c r="B1590" s="53" t="s">
        <v>44</v>
      </c>
      <c r="C1590" s="53" t="s">
        <v>34</v>
      </c>
      <c r="D1590" s="53" t="s">
        <v>48</v>
      </c>
      <c r="E1590" s="53" t="s">
        <v>25</v>
      </c>
      <c r="F1590" s="53" t="s">
        <v>25</v>
      </c>
      <c r="G1590" s="53" t="s">
        <v>25</v>
      </c>
      <c r="H1590" s="53" t="s">
        <v>36</v>
      </c>
      <c r="I1590" s="73">
        <v>43891</v>
      </c>
      <c r="J1590" s="74">
        <f>EFEITO!$J$1590*EFEITO!$Y$1590</f>
        <v>0</v>
      </c>
      <c r="K1590" s="74">
        <f ca="1">EFEITO!$L$1590*EFEITO!$Z$1590</f>
        <v>1323306.5486212228</v>
      </c>
      <c r="L1590" s="74">
        <f>EFEITO!$N$1590*EFEITO!$AA$1590</f>
        <v>2703728.3163538422</v>
      </c>
      <c r="M1590" s="74">
        <f>$J$1590-EFEITO!$K$1590*EFEITO!$Y$1590</f>
        <v>0</v>
      </c>
      <c r="N1590" s="74">
        <f ca="1">$K$1590-EFEITO!$M$1590*EFEITO!$Z$1590</f>
        <v>0</v>
      </c>
      <c r="O1590" s="74">
        <f>$L$1590-EFEITO!$O$1590*EFEITO!$AA$1590</f>
        <v>0</v>
      </c>
      <c r="P1590" s="57"/>
      <c r="Q1590" s="57"/>
      <c r="R1590" s="57"/>
      <c r="S1590" s="57"/>
      <c r="T1590" s="57"/>
      <c r="U1590" s="57"/>
      <c r="V1590" s="57"/>
      <c r="W1590" s="57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</row>
    <row r="1591" spans="1:36" ht="11.25" customHeight="1" x14ac:dyDescent="0.2">
      <c r="A1591" s="53" t="s">
        <v>28</v>
      </c>
      <c r="B1591" s="53" t="s">
        <v>44</v>
      </c>
      <c r="C1591" s="53" t="s">
        <v>34</v>
      </c>
      <c r="D1591" s="53" t="s">
        <v>48</v>
      </c>
      <c r="E1591" s="53" t="s">
        <v>25</v>
      </c>
      <c r="F1591" s="53" t="s">
        <v>25</v>
      </c>
      <c r="G1591" s="53" t="s">
        <v>25</v>
      </c>
      <c r="H1591" s="53" t="s">
        <v>36</v>
      </c>
      <c r="I1591" s="73">
        <v>43891</v>
      </c>
      <c r="J1591" s="74">
        <f>EFEITO!$J$1591*EFEITO!$Y$1591</f>
        <v>0</v>
      </c>
      <c r="K1591" s="74">
        <f ca="1">EFEITO!$L$1591*EFEITO!$Z$1591</f>
        <v>94363.871040791113</v>
      </c>
      <c r="L1591" s="74">
        <f>EFEITO!$N$1591*EFEITO!$AA$1591</f>
        <v>192800.58006179918</v>
      </c>
      <c r="M1591" s="74">
        <f>$J$1591-EFEITO!$K$1591*EFEITO!$Y$1591</f>
        <v>0</v>
      </c>
      <c r="N1591" s="74">
        <f ca="1">$K$1591-EFEITO!$M$1591*EFEITO!$Z$1591</f>
        <v>0</v>
      </c>
      <c r="O1591" s="74">
        <f>$L$1591-EFEITO!$O$1591*EFEITO!$AA$1591</f>
        <v>0</v>
      </c>
      <c r="P1591" s="57"/>
      <c r="Q1591" s="57"/>
      <c r="R1591" s="57"/>
      <c r="S1591" s="57"/>
      <c r="T1591" s="57"/>
      <c r="U1591" s="57"/>
      <c r="V1591" s="57"/>
      <c r="W1591" s="57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</row>
    <row r="1592" spans="1:36" ht="11.25" customHeight="1" x14ac:dyDescent="0.2">
      <c r="A1592" s="53" t="s">
        <v>21</v>
      </c>
      <c r="B1592" s="53" t="s">
        <v>44</v>
      </c>
      <c r="C1592" s="53" t="s">
        <v>34</v>
      </c>
      <c r="D1592" s="53" t="s">
        <v>48</v>
      </c>
      <c r="E1592" s="53" t="s">
        <v>25</v>
      </c>
      <c r="F1592" s="53" t="s">
        <v>25</v>
      </c>
      <c r="G1592" s="53" t="s">
        <v>25</v>
      </c>
      <c r="H1592" s="53" t="s">
        <v>36</v>
      </c>
      <c r="I1592" s="73">
        <v>43922</v>
      </c>
      <c r="J1592" s="74">
        <f>EFEITO!$J$1592*EFEITO!$Y$1592</f>
        <v>0</v>
      </c>
      <c r="K1592" s="74">
        <f ca="1">EFEITO!$L$1592*EFEITO!$Z$1592</f>
        <v>1231183.7282871378</v>
      </c>
      <c r="L1592" s="74">
        <f>EFEITO!$N$1592*EFEITO!$AA$1592</f>
        <v>2515506.563669886</v>
      </c>
      <c r="M1592" s="74">
        <f>$J$1592-EFEITO!$K$1592*EFEITO!$Y$1592</f>
        <v>0</v>
      </c>
      <c r="N1592" s="74">
        <f ca="1">$K$1592-EFEITO!$M$1592*EFEITO!$Z$1592</f>
        <v>0</v>
      </c>
      <c r="O1592" s="74">
        <f>$L$1592-EFEITO!$O$1592*EFEITO!$AA$1592</f>
        <v>0</v>
      </c>
      <c r="P1592" s="57"/>
      <c r="Q1592" s="57"/>
      <c r="R1592" s="57"/>
      <c r="S1592" s="57"/>
      <c r="T1592" s="57"/>
      <c r="U1592" s="57"/>
      <c r="V1592" s="57"/>
      <c r="W1592" s="57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</row>
    <row r="1593" spans="1:36" ht="11.25" customHeight="1" x14ac:dyDescent="0.2">
      <c r="A1593" s="53" t="s">
        <v>27</v>
      </c>
      <c r="B1593" s="53" t="s">
        <v>44</v>
      </c>
      <c r="C1593" s="53" t="s">
        <v>34</v>
      </c>
      <c r="D1593" s="53" t="s">
        <v>48</v>
      </c>
      <c r="E1593" s="53" t="s">
        <v>25</v>
      </c>
      <c r="F1593" s="53" t="s">
        <v>25</v>
      </c>
      <c r="G1593" s="53" t="s">
        <v>25</v>
      </c>
      <c r="H1593" s="53" t="s">
        <v>36</v>
      </c>
      <c r="I1593" s="73">
        <v>43922</v>
      </c>
      <c r="J1593" s="74">
        <f>EFEITO!$J$1593*EFEITO!$Y$1593</f>
        <v>0</v>
      </c>
      <c r="K1593" s="74">
        <f ca="1">EFEITO!$L$1593*EFEITO!$Z$1593</f>
        <v>17240.024833124033</v>
      </c>
      <c r="L1593" s="74">
        <f>EFEITO!$N$1593*EFEITO!$AA$1593</f>
        <v>35224.146184817961</v>
      </c>
      <c r="M1593" s="74">
        <f>$J$1593-EFEITO!$K$1593*EFEITO!$Y$1593</f>
        <v>0</v>
      </c>
      <c r="N1593" s="74">
        <f ca="1">$K$1593-EFEITO!$M$1593*EFEITO!$Z$1593</f>
        <v>0</v>
      </c>
      <c r="O1593" s="74">
        <f>$L$1593-EFEITO!$O$1593*EFEITO!$AA$1593</f>
        <v>0</v>
      </c>
      <c r="P1593" s="57"/>
      <c r="Q1593" s="57"/>
      <c r="R1593" s="57"/>
      <c r="S1593" s="57"/>
      <c r="T1593" s="57"/>
      <c r="U1593" s="57"/>
      <c r="V1593" s="57"/>
      <c r="W1593" s="57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</row>
    <row r="1594" spans="1:36" ht="11.25" customHeight="1" x14ac:dyDescent="0.2">
      <c r="A1594" s="53" t="s">
        <v>28</v>
      </c>
      <c r="B1594" s="53" t="s">
        <v>44</v>
      </c>
      <c r="C1594" s="53" t="s">
        <v>34</v>
      </c>
      <c r="D1594" s="53" t="s">
        <v>48</v>
      </c>
      <c r="E1594" s="53" t="s">
        <v>25</v>
      </c>
      <c r="F1594" s="53" t="s">
        <v>25</v>
      </c>
      <c r="G1594" s="53" t="s">
        <v>25</v>
      </c>
      <c r="H1594" s="53" t="s">
        <v>36</v>
      </c>
      <c r="I1594" s="73">
        <v>43922</v>
      </c>
      <c r="J1594" s="74">
        <f>EFEITO!$J$1594*EFEITO!$Y$1594</f>
        <v>0</v>
      </c>
      <c r="K1594" s="74">
        <f ca="1">EFEITO!$L$1594*EFEITO!$Z$1594</f>
        <v>82500.515048771776</v>
      </c>
      <c r="L1594" s="74">
        <f>EFEITO!$N$1594*EFEITO!$AA$1594</f>
        <v>168561.83390277161</v>
      </c>
      <c r="M1594" s="74">
        <f>$J$1594-EFEITO!$K$1594*EFEITO!$Y$1594</f>
        <v>0</v>
      </c>
      <c r="N1594" s="74">
        <f ca="1">$K$1594-EFEITO!$M$1594*EFEITO!$Z$1594</f>
        <v>0</v>
      </c>
      <c r="O1594" s="74">
        <f>$L$1594-EFEITO!$O$1594*EFEITO!$AA$1594</f>
        <v>0</v>
      </c>
      <c r="P1594" s="57"/>
      <c r="Q1594" s="57"/>
      <c r="R1594" s="57"/>
      <c r="S1594" s="57"/>
      <c r="T1594" s="57"/>
      <c r="U1594" s="57"/>
      <c r="V1594" s="57"/>
      <c r="W1594" s="57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</row>
    <row r="1595" spans="1:36" ht="11.25" customHeight="1" x14ac:dyDescent="0.2">
      <c r="A1595" s="53" t="s">
        <v>21</v>
      </c>
      <c r="B1595" s="53" t="s">
        <v>44</v>
      </c>
      <c r="C1595" s="53" t="s">
        <v>34</v>
      </c>
      <c r="D1595" s="53" t="s">
        <v>48</v>
      </c>
      <c r="E1595" s="53" t="s">
        <v>25</v>
      </c>
      <c r="F1595" s="53" t="s">
        <v>25</v>
      </c>
      <c r="G1595" s="53" t="s">
        <v>25</v>
      </c>
      <c r="H1595" s="53" t="s">
        <v>36</v>
      </c>
      <c r="I1595" s="73">
        <v>43952</v>
      </c>
      <c r="J1595" s="74">
        <f>EFEITO!$J$1595*EFEITO!$Y$1595</f>
        <v>0</v>
      </c>
      <c r="K1595" s="74">
        <f ca="1">EFEITO!$L$1595*EFEITO!$Z$1595</f>
        <v>941735.24084214238</v>
      </c>
      <c r="L1595" s="74">
        <f>EFEITO!$N$1595*EFEITO!$AA$1595</f>
        <v>1924116.7058578632</v>
      </c>
      <c r="M1595" s="74">
        <f>$J$1595-EFEITO!$K$1595*EFEITO!$Y$1595</f>
        <v>0</v>
      </c>
      <c r="N1595" s="74">
        <f ca="1">$K$1595-EFEITO!$M$1595*EFEITO!$Z$1595</f>
        <v>0</v>
      </c>
      <c r="O1595" s="74">
        <f>$L$1595-EFEITO!$O$1595*EFEITO!$AA$1595</f>
        <v>0</v>
      </c>
      <c r="P1595" s="57"/>
      <c r="Q1595" s="57"/>
      <c r="R1595" s="57"/>
      <c r="S1595" s="57"/>
      <c r="T1595" s="57"/>
      <c r="U1595" s="57"/>
      <c r="V1595" s="57"/>
      <c r="W1595" s="57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</row>
    <row r="1596" spans="1:36" ht="11.25" customHeight="1" x14ac:dyDescent="0.2">
      <c r="A1596" s="53" t="s">
        <v>28</v>
      </c>
      <c r="B1596" s="53" t="s">
        <v>44</v>
      </c>
      <c r="C1596" s="53" t="s">
        <v>34</v>
      </c>
      <c r="D1596" s="53" t="s">
        <v>48</v>
      </c>
      <c r="E1596" s="53" t="s">
        <v>25</v>
      </c>
      <c r="F1596" s="53" t="s">
        <v>25</v>
      </c>
      <c r="G1596" s="53" t="s">
        <v>25</v>
      </c>
      <c r="H1596" s="53" t="s">
        <v>36</v>
      </c>
      <c r="I1596" s="73">
        <v>43952</v>
      </c>
      <c r="J1596" s="74">
        <f>EFEITO!$J$1596*EFEITO!$Y$1596</f>
        <v>0</v>
      </c>
      <c r="K1596" s="74">
        <f ca="1">EFEITO!$L$1596*EFEITO!$Z$1596</f>
        <v>60602.028641256686</v>
      </c>
      <c r="L1596" s="74">
        <f>EFEITO!$N$1596*EFEITO!$AA$1596</f>
        <v>123819.70076137839</v>
      </c>
      <c r="M1596" s="74">
        <f>$J$1596-EFEITO!$K$1596*EFEITO!$Y$1596</f>
        <v>0</v>
      </c>
      <c r="N1596" s="74">
        <f ca="1">$K$1596-EFEITO!$M$1596*EFEITO!$Z$1596</f>
        <v>0</v>
      </c>
      <c r="O1596" s="74">
        <f>$L$1596-EFEITO!$O$1596*EFEITO!$AA$1596</f>
        <v>0</v>
      </c>
      <c r="P1596" s="57"/>
      <c r="Q1596" s="57"/>
      <c r="R1596" s="57"/>
      <c r="S1596" s="57"/>
      <c r="T1596" s="57"/>
      <c r="U1596" s="57"/>
      <c r="V1596" s="57"/>
      <c r="W1596" s="57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</row>
    <row r="1597" spans="1:36" ht="11.25" customHeight="1" x14ac:dyDescent="0.2">
      <c r="A1597" s="53" t="s">
        <v>21</v>
      </c>
      <c r="B1597" s="53" t="s">
        <v>44</v>
      </c>
      <c r="C1597" s="53" t="s">
        <v>34</v>
      </c>
      <c r="D1597" s="53" t="s">
        <v>48</v>
      </c>
      <c r="E1597" s="53" t="s">
        <v>25</v>
      </c>
      <c r="F1597" s="53" t="s">
        <v>25</v>
      </c>
      <c r="G1597" s="53" t="s">
        <v>25</v>
      </c>
      <c r="H1597" s="53" t="s">
        <v>36</v>
      </c>
      <c r="I1597" s="73">
        <v>43983</v>
      </c>
      <c r="J1597" s="74">
        <f>EFEITO!$J$1597*EFEITO!$Y$1597</f>
        <v>0</v>
      </c>
      <c r="K1597" s="74">
        <f ca="1">EFEITO!$L$1597*EFEITO!$Z$1597</f>
        <v>941513.80207499443</v>
      </c>
      <c r="L1597" s="74">
        <f>EFEITO!$N$1597*EFEITO!$AA$1597</f>
        <v>1923664.2708074206</v>
      </c>
      <c r="M1597" s="74">
        <f>$J$1597-EFEITO!$K$1597*EFEITO!$Y$1597</f>
        <v>0</v>
      </c>
      <c r="N1597" s="74">
        <f ca="1">$K$1597-EFEITO!$M$1597*EFEITO!$Z$1597</f>
        <v>0</v>
      </c>
      <c r="O1597" s="74">
        <f>$L$1597-EFEITO!$O$1597*EFEITO!$AA$1597</f>
        <v>0</v>
      </c>
      <c r="P1597" s="57"/>
      <c r="Q1597" s="57"/>
      <c r="R1597" s="57"/>
      <c r="S1597" s="57"/>
      <c r="T1597" s="57"/>
      <c r="U1597" s="57"/>
      <c r="V1597" s="57"/>
      <c r="W1597" s="57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</row>
    <row r="1598" spans="1:36" ht="11.25" customHeight="1" x14ac:dyDescent="0.2">
      <c r="A1598" s="53" t="s">
        <v>28</v>
      </c>
      <c r="B1598" s="53" t="s">
        <v>44</v>
      </c>
      <c r="C1598" s="53" t="s">
        <v>34</v>
      </c>
      <c r="D1598" s="53" t="s">
        <v>48</v>
      </c>
      <c r="E1598" s="53" t="s">
        <v>25</v>
      </c>
      <c r="F1598" s="53" t="s">
        <v>25</v>
      </c>
      <c r="G1598" s="53" t="s">
        <v>25</v>
      </c>
      <c r="H1598" s="53" t="s">
        <v>36</v>
      </c>
      <c r="I1598" s="73">
        <v>43983</v>
      </c>
      <c r="J1598" s="74">
        <f>EFEITO!$J$1598*EFEITO!$Y$1598</f>
        <v>0</v>
      </c>
      <c r="K1598" s="74">
        <f ca="1">EFEITO!$L$1598*EFEITO!$Z$1598</f>
        <v>86915.845895151535</v>
      </c>
      <c r="L1598" s="74">
        <f>EFEITO!$N$1598*EFEITO!$AA$1598</f>
        <v>177583.06564069793</v>
      </c>
      <c r="M1598" s="74">
        <f>$J$1598-EFEITO!$K$1598*EFEITO!$Y$1598</f>
        <v>0</v>
      </c>
      <c r="N1598" s="74">
        <f ca="1">$K$1598-EFEITO!$M$1598*EFEITO!$Z$1598</f>
        <v>0</v>
      </c>
      <c r="O1598" s="74">
        <f>$L$1598-EFEITO!$O$1598*EFEITO!$AA$1598</f>
        <v>0</v>
      </c>
      <c r="P1598" s="57"/>
      <c r="Q1598" s="57"/>
      <c r="R1598" s="57"/>
      <c r="S1598" s="57"/>
      <c r="T1598" s="57"/>
      <c r="U1598" s="57"/>
      <c r="V1598" s="57"/>
      <c r="W1598" s="57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</row>
    <row r="1599" spans="1:36" ht="11.25" customHeight="1" x14ac:dyDescent="0.2">
      <c r="A1599" s="53" t="s">
        <v>21</v>
      </c>
      <c r="B1599" s="53" t="s">
        <v>44</v>
      </c>
      <c r="C1599" s="53" t="s">
        <v>34</v>
      </c>
      <c r="D1599" s="53" t="s">
        <v>48</v>
      </c>
      <c r="E1599" s="53" t="s">
        <v>25</v>
      </c>
      <c r="F1599" s="53" t="s">
        <v>25</v>
      </c>
      <c r="G1599" s="53" t="s">
        <v>25</v>
      </c>
      <c r="H1599" s="53" t="s">
        <v>36</v>
      </c>
      <c r="I1599" s="73">
        <v>44013</v>
      </c>
      <c r="J1599" s="74">
        <f>EFEITO!$J$1599*EFEITO!$Y$1599</f>
        <v>0</v>
      </c>
      <c r="K1599" s="74">
        <f ca="1">EFEITO!$L$1599*EFEITO!$Z$1599</f>
        <v>872964.49425135006</v>
      </c>
      <c r="L1599" s="74">
        <f>EFEITO!$N$1599*EFEITO!$AA$1599</f>
        <v>1783606.9992535613</v>
      </c>
      <c r="M1599" s="74">
        <f>$J$1599-EFEITO!$K$1599*EFEITO!$Y$1599</f>
        <v>0</v>
      </c>
      <c r="N1599" s="74">
        <f ca="1">$K$1599-EFEITO!$M$1599*EFEITO!$Z$1599</f>
        <v>0</v>
      </c>
      <c r="O1599" s="74">
        <f>$L$1599-EFEITO!$O$1599*EFEITO!$AA$1599</f>
        <v>0</v>
      </c>
      <c r="P1599" s="57"/>
      <c r="Q1599" s="57"/>
      <c r="R1599" s="57"/>
      <c r="S1599" s="57"/>
      <c r="T1599" s="57"/>
      <c r="U1599" s="57"/>
      <c r="V1599" s="57"/>
      <c r="W1599" s="57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</row>
    <row r="1600" spans="1:36" ht="11.25" customHeight="1" x14ac:dyDescent="0.2">
      <c r="A1600" s="53" t="s">
        <v>28</v>
      </c>
      <c r="B1600" s="53" t="s">
        <v>44</v>
      </c>
      <c r="C1600" s="53" t="s">
        <v>34</v>
      </c>
      <c r="D1600" s="53" t="s">
        <v>48</v>
      </c>
      <c r="E1600" s="53" t="s">
        <v>25</v>
      </c>
      <c r="F1600" s="53" t="s">
        <v>25</v>
      </c>
      <c r="G1600" s="53" t="s">
        <v>25</v>
      </c>
      <c r="H1600" s="53" t="s">
        <v>36</v>
      </c>
      <c r="I1600" s="73">
        <v>44013</v>
      </c>
      <c r="J1600" s="74">
        <f>EFEITO!$J$1600*EFEITO!$Y$1600</f>
        <v>0</v>
      </c>
      <c r="K1600" s="74">
        <f ca="1">EFEITO!$L$1600*EFEITO!$Z$1600</f>
        <v>81754.176020313331</v>
      </c>
      <c r="L1600" s="74">
        <f>EFEITO!$N$1600*EFEITO!$AA$1600</f>
        <v>167036.94311541354</v>
      </c>
      <c r="M1600" s="74">
        <f>$J$1600-EFEITO!$K$1600*EFEITO!$Y$1600</f>
        <v>0</v>
      </c>
      <c r="N1600" s="74">
        <f ca="1">$K$1600-EFEITO!$M$1600*EFEITO!$Z$1600</f>
        <v>0</v>
      </c>
      <c r="O1600" s="74">
        <f>$L$1600-EFEITO!$O$1600*EFEITO!$AA$1600</f>
        <v>0</v>
      </c>
      <c r="P1600" s="57"/>
      <c r="Q1600" s="57"/>
      <c r="R1600" s="57"/>
      <c r="S1600" s="57"/>
      <c r="T1600" s="57"/>
      <c r="U1600" s="57"/>
      <c r="V1600" s="57"/>
      <c r="W1600" s="57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</row>
    <row r="1601" spans="1:36" ht="11.25" customHeight="1" x14ac:dyDescent="0.2">
      <c r="A1601" s="53" t="s">
        <v>21</v>
      </c>
      <c r="B1601" s="53" t="s">
        <v>44</v>
      </c>
      <c r="C1601" s="53" t="s">
        <v>34</v>
      </c>
      <c r="D1601" s="53" t="s">
        <v>48</v>
      </c>
      <c r="E1601" s="53" t="s">
        <v>25</v>
      </c>
      <c r="F1601" s="53" t="s">
        <v>25</v>
      </c>
      <c r="G1601" s="53" t="s">
        <v>25</v>
      </c>
      <c r="H1601" s="53" t="s">
        <v>36</v>
      </c>
      <c r="I1601" s="73">
        <v>44044</v>
      </c>
      <c r="J1601" s="74">
        <f>EFEITO!$J$1601*EFEITO!$Y$1601</f>
        <v>0</v>
      </c>
      <c r="K1601" s="74">
        <f ca="1">EFEITO!$L$1601*EFEITO!$Z$1601</f>
        <v>828841.12521270267</v>
      </c>
      <c r="L1601" s="74">
        <f>EFEITO!$N$1601*EFEITO!$AA$1601</f>
        <v>1693455.8529397913</v>
      </c>
      <c r="M1601" s="74">
        <f>$J$1601-EFEITO!$K$1601*EFEITO!$Y$1601</f>
        <v>0</v>
      </c>
      <c r="N1601" s="74">
        <f ca="1">$K$1601-EFEITO!$M$1601*EFEITO!$Z$1601</f>
        <v>0</v>
      </c>
      <c r="O1601" s="74">
        <f>$L$1601-EFEITO!$O$1601*EFEITO!$AA$1601</f>
        <v>0</v>
      </c>
      <c r="P1601" s="57"/>
      <c r="Q1601" s="57"/>
      <c r="R1601" s="57"/>
      <c r="S1601" s="57"/>
      <c r="T1601" s="57"/>
      <c r="U1601" s="57"/>
      <c r="V1601" s="57"/>
      <c r="W1601" s="57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</row>
    <row r="1602" spans="1:36" ht="11.25" customHeight="1" x14ac:dyDescent="0.2">
      <c r="A1602" s="53" t="s">
        <v>27</v>
      </c>
      <c r="B1602" s="53" t="s">
        <v>44</v>
      </c>
      <c r="C1602" s="53" t="s">
        <v>34</v>
      </c>
      <c r="D1602" s="53" t="s">
        <v>48</v>
      </c>
      <c r="E1602" s="53" t="s">
        <v>25</v>
      </c>
      <c r="F1602" s="53" t="s">
        <v>25</v>
      </c>
      <c r="G1602" s="53" t="s">
        <v>25</v>
      </c>
      <c r="H1602" s="53" t="s">
        <v>36</v>
      </c>
      <c r="I1602" s="73">
        <v>44044</v>
      </c>
      <c r="J1602" s="74">
        <f>EFEITO!$J$1602*EFEITO!$Y$1602</f>
        <v>0</v>
      </c>
      <c r="K1602" s="74">
        <f ca="1">EFEITO!$L$1602*EFEITO!$Z$1602</f>
        <v>27794.632519714552</v>
      </c>
      <c r="L1602" s="74">
        <f>EFEITO!$N$1602*EFEITO!$AA$1602</f>
        <v>56788.908862047734</v>
      </c>
      <c r="M1602" s="74">
        <f>$J$1602-EFEITO!$K$1602*EFEITO!$Y$1602</f>
        <v>0</v>
      </c>
      <c r="N1602" s="74">
        <f ca="1">$K$1602-EFEITO!$M$1602*EFEITO!$Z$1602</f>
        <v>0</v>
      </c>
      <c r="O1602" s="74">
        <f>$L$1602-EFEITO!$O$1602*EFEITO!$AA$1602</f>
        <v>0</v>
      </c>
      <c r="P1602" s="57"/>
      <c r="Q1602" s="57"/>
      <c r="R1602" s="57"/>
      <c r="S1602" s="57"/>
      <c r="T1602" s="57"/>
      <c r="U1602" s="57"/>
      <c r="V1602" s="57"/>
      <c r="W1602" s="57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</row>
    <row r="1603" spans="1:36" ht="11.25" customHeight="1" x14ac:dyDescent="0.2">
      <c r="A1603" s="53" t="s">
        <v>28</v>
      </c>
      <c r="B1603" s="53" t="s">
        <v>44</v>
      </c>
      <c r="C1603" s="53" t="s">
        <v>34</v>
      </c>
      <c r="D1603" s="53" t="s">
        <v>48</v>
      </c>
      <c r="E1603" s="53" t="s">
        <v>25</v>
      </c>
      <c r="F1603" s="53" t="s">
        <v>25</v>
      </c>
      <c r="G1603" s="53" t="s">
        <v>25</v>
      </c>
      <c r="H1603" s="53" t="s">
        <v>36</v>
      </c>
      <c r="I1603" s="73">
        <v>44044</v>
      </c>
      <c r="J1603" s="74">
        <f>EFEITO!$J$1603*EFEITO!$Y$1603</f>
        <v>0</v>
      </c>
      <c r="K1603" s="74">
        <f ca="1">EFEITO!$L$1603*EFEITO!$Z$1603</f>
        <v>85599.97991506441</v>
      </c>
      <c r="L1603" s="74">
        <f>EFEITO!$N$1603*EFEITO!$AA$1603</f>
        <v>174894.53960370738</v>
      </c>
      <c r="M1603" s="74">
        <f>$J$1603-EFEITO!$K$1603*EFEITO!$Y$1603</f>
        <v>0</v>
      </c>
      <c r="N1603" s="74">
        <f ca="1">$K$1603-EFEITO!$M$1603*EFEITO!$Z$1603</f>
        <v>0</v>
      </c>
      <c r="O1603" s="74">
        <f>$L$1603-EFEITO!$O$1603*EFEITO!$AA$1603</f>
        <v>0</v>
      </c>
      <c r="P1603" s="57"/>
      <c r="Q1603" s="57"/>
      <c r="R1603" s="57"/>
      <c r="S1603" s="57"/>
      <c r="T1603" s="57"/>
      <c r="U1603" s="57"/>
      <c r="V1603" s="57"/>
      <c r="W1603" s="57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</row>
    <row r="1604" spans="1:36" ht="11.25" customHeight="1" x14ac:dyDescent="0.2">
      <c r="A1604" s="53" t="s">
        <v>59</v>
      </c>
      <c r="B1604" s="53" t="s">
        <v>44</v>
      </c>
      <c r="C1604" s="53" t="s">
        <v>34</v>
      </c>
      <c r="D1604" s="53" t="s">
        <v>48</v>
      </c>
      <c r="E1604" s="53" t="s">
        <v>25</v>
      </c>
      <c r="F1604" s="53" t="s">
        <v>25</v>
      </c>
      <c r="G1604" s="53" t="s">
        <v>25</v>
      </c>
      <c r="H1604" s="53" t="s">
        <v>36</v>
      </c>
      <c r="I1604" s="73">
        <v>44075</v>
      </c>
      <c r="J1604" s="74">
        <f>EFEITO!$J$1604*EFEITO!$Y$1604</f>
        <v>0</v>
      </c>
      <c r="K1604" s="74">
        <f ca="1">EFEITO!$L$1604*EFEITO!$Z$1604</f>
        <v>828841.12521270267</v>
      </c>
      <c r="L1604" s="74">
        <f>EFEITO!$N$1604*EFEITO!$AA$1604</f>
        <v>1693455.8529397913</v>
      </c>
      <c r="M1604" s="74">
        <f>$J$1604-EFEITO!$K$1604*EFEITO!$Y$1604</f>
        <v>0</v>
      </c>
      <c r="N1604" s="74">
        <f ca="1">$K$1604-EFEITO!$M$1604*EFEITO!$Z$1604</f>
        <v>0</v>
      </c>
      <c r="O1604" s="74">
        <f>$L$1604-EFEITO!$O$1604*EFEITO!$AA$1604</f>
        <v>0</v>
      </c>
      <c r="P1604" s="57"/>
      <c r="Q1604" s="57"/>
      <c r="R1604" s="57"/>
      <c r="S1604" s="57"/>
      <c r="T1604" s="57"/>
      <c r="U1604" s="57"/>
      <c r="V1604" s="57"/>
      <c r="W1604" s="57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</row>
    <row r="1605" spans="1:36" ht="11.25" customHeight="1" x14ac:dyDescent="0.2">
      <c r="A1605" s="53" t="s">
        <v>59</v>
      </c>
      <c r="B1605" s="53" t="s">
        <v>44</v>
      </c>
      <c r="C1605" s="53" t="s">
        <v>34</v>
      </c>
      <c r="D1605" s="53" t="s">
        <v>48</v>
      </c>
      <c r="E1605" s="53" t="s">
        <v>25</v>
      </c>
      <c r="F1605" s="53" t="s">
        <v>25</v>
      </c>
      <c r="G1605" s="53" t="s">
        <v>25</v>
      </c>
      <c r="H1605" s="53" t="s">
        <v>36</v>
      </c>
      <c r="I1605" s="73">
        <v>44075</v>
      </c>
      <c r="J1605" s="74">
        <f>EFEITO!$J$1605*EFEITO!$Y$1605</f>
        <v>0</v>
      </c>
      <c r="K1605" s="74">
        <f ca="1">EFEITO!$L$1605*EFEITO!$Z$1605</f>
        <v>27794.632519714552</v>
      </c>
      <c r="L1605" s="74">
        <f>EFEITO!$N$1605*EFEITO!$AA$1605</f>
        <v>56788.908862047734</v>
      </c>
      <c r="M1605" s="74">
        <f>$J$1605-EFEITO!$K$1605*EFEITO!$Y$1605</f>
        <v>0</v>
      </c>
      <c r="N1605" s="74">
        <f ca="1">$K$1605-EFEITO!$M$1605*EFEITO!$Z$1605</f>
        <v>0</v>
      </c>
      <c r="O1605" s="74">
        <f>$L$1605-EFEITO!$O$1605*EFEITO!$AA$1605</f>
        <v>0</v>
      </c>
      <c r="P1605" s="57"/>
      <c r="Q1605" s="57"/>
      <c r="R1605" s="57"/>
      <c r="S1605" s="57"/>
      <c r="T1605" s="57"/>
      <c r="U1605" s="57"/>
      <c r="V1605" s="57"/>
      <c r="W1605" s="57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</row>
    <row r="1606" spans="1:36" ht="11.25" customHeight="1" x14ac:dyDescent="0.2">
      <c r="A1606" s="53" t="s">
        <v>59</v>
      </c>
      <c r="B1606" s="53" t="s">
        <v>44</v>
      </c>
      <c r="C1606" s="53" t="s">
        <v>34</v>
      </c>
      <c r="D1606" s="53" t="s">
        <v>48</v>
      </c>
      <c r="E1606" s="53" t="s">
        <v>25</v>
      </c>
      <c r="F1606" s="53" t="s">
        <v>25</v>
      </c>
      <c r="G1606" s="53" t="s">
        <v>25</v>
      </c>
      <c r="H1606" s="53" t="s">
        <v>36</v>
      </c>
      <c r="I1606" s="73">
        <v>44075</v>
      </c>
      <c r="J1606" s="74">
        <f>EFEITO!$J$1606*EFEITO!$Y$1606</f>
        <v>0</v>
      </c>
      <c r="K1606" s="74">
        <f ca="1">EFEITO!$L$1606*EFEITO!$Z$1606</f>
        <v>85599.97991506441</v>
      </c>
      <c r="L1606" s="74">
        <f>EFEITO!$N$1606*EFEITO!$AA$1606</f>
        <v>174894.53960370738</v>
      </c>
      <c r="M1606" s="74">
        <f>$J$1606-EFEITO!$K$1606*EFEITO!$Y$1606</f>
        <v>0</v>
      </c>
      <c r="N1606" s="74">
        <f ca="1">$K$1606-EFEITO!$M$1606*EFEITO!$Z$1606</f>
        <v>0</v>
      </c>
      <c r="O1606" s="74">
        <f>$L$1606-EFEITO!$O$1606*EFEITO!$AA$1606</f>
        <v>0</v>
      </c>
      <c r="P1606" s="57"/>
      <c r="Q1606" s="57"/>
      <c r="R1606" s="57"/>
      <c r="S1606" s="57"/>
      <c r="T1606" s="57"/>
      <c r="U1606" s="57"/>
      <c r="V1606" s="57"/>
      <c r="W1606" s="57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</row>
    <row r="1607" spans="1:36" ht="11.25" customHeight="1" x14ac:dyDescent="0.2">
      <c r="A1607" s="53" t="s">
        <v>21</v>
      </c>
      <c r="B1607" s="53" t="s">
        <v>44</v>
      </c>
      <c r="C1607" s="53" t="s">
        <v>34</v>
      </c>
      <c r="D1607" s="53" t="s">
        <v>48</v>
      </c>
      <c r="E1607" s="53" t="s">
        <v>25</v>
      </c>
      <c r="F1607" s="53" t="s">
        <v>25</v>
      </c>
      <c r="G1607" s="53" t="s">
        <v>25</v>
      </c>
      <c r="H1607" s="53" t="s">
        <v>25</v>
      </c>
      <c r="I1607" s="73">
        <v>43739</v>
      </c>
      <c r="J1607" s="74">
        <f ca="1">EFEITO!$J$1607*EFEITO!$Y$1607</f>
        <v>1028082.4050237039</v>
      </c>
      <c r="K1607" s="74">
        <f>EFEITO!$L$1607*EFEITO!$Z$1607</f>
        <v>0</v>
      </c>
      <c r="L1607" s="74">
        <f>EFEITO!$N$1607*EFEITO!$AA$1607</f>
        <v>0</v>
      </c>
      <c r="M1607" s="74">
        <f ca="1">$J$1607-EFEITO!$K$1607*EFEITO!$Y$1607</f>
        <v>0</v>
      </c>
      <c r="N1607" s="74">
        <f>$K$1607-EFEITO!$M$1607*EFEITO!$Z$1607</f>
        <v>0</v>
      </c>
      <c r="O1607" s="74">
        <f>$L$1607-EFEITO!$O$1607*EFEITO!$AA$1607</f>
        <v>0</v>
      </c>
      <c r="P1607" s="57"/>
      <c r="Q1607" s="57"/>
      <c r="R1607" s="57"/>
      <c r="S1607" s="57"/>
      <c r="T1607" s="57"/>
      <c r="U1607" s="57"/>
      <c r="V1607" s="57"/>
      <c r="W1607" s="57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</row>
    <row r="1608" spans="1:36" ht="11.25" customHeight="1" x14ac:dyDescent="0.2">
      <c r="A1608" s="53" t="s">
        <v>28</v>
      </c>
      <c r="B1608" s="53" t="s">
        <v>44</v>
      </c>
      <c r="C1608" s="53" t="s">
        <v>34</v>
      </c>
      <c r="D1608" s="53" t="s">
        <v>48</v>
      </c>
      <c r="E1608" s="53" t="s">
        <v>25</v>
      </c>
      <c r="F1608" s="53" t="s">
        <v>25</v>
      </c>
      <c r="G1608" s="53" t="s">
        <v>25</v>
      </c>
      <c r="H1608" s="53" t="s">
        <v>25</v>
      </c>
      <c r="I1608" s="73">
        <v>43739</v>
      </c>
      <c r="J1608" s="74">
        <f ca="1">EFEITO!$J$1608*EFEITO!$Y$1608</f>
        <v>75202.516670216311</v>
      </c>
      <c r="K1608" s="74">
        <f>EFEITO!$L$1608*EFEITO!$Z$1608</f>
        <v>0</v>
      </c>
      <c r="L1608" s="74">
        <f>EFEITO!$N$1608*EFEITO!$AA$1608</f>
        <v>0</v>
      </c>
      <c r="M1608" s="74">
        <f ca="1">$J$1608-EFEITO!$K$1608*EFEITO!$Y$1608</f>
        <v>0</v>
      </c>
      <c r="N1608" s="74">
        <f>$K$1608-EFEITO!$M$1608*EFEITO!$Z$1608</f>
        <v>0</v>
      </c>
      <c r="O1608" s="74">
        <f>$L$1608-EFEITO!$O$1608*EFEITO!$AA$1608</f>
        <v>0</v>
      </c>
      <c r="P1608" s="57"/>
      <c r="Q1608" s="57"/>
      <c r="R1608" s="57"/>
      <c r="S1608" s="57"/>
      <c r="T1608" s="57"/>
      <c r="U1608" s="57"/>
      <c r="V1608" s="57"/>
      <c r="W1608" s="57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</row>
    <row r="1609" spans="1:36" ht="11.25" customHeight="1" x14ac:dyDescent="0.2">
      <c r="A1609" s="53" t="s">
        <v>21</v>
      </c>
      <c r="B1609" s="53" t="s">
        <v>44</v>
      </c>
      <c r="C1609" s="53" t="s">
        <v>34</v>
      </c>
      <c r="D1609" s="53" t="s">
        <v>48</v>
      </c>
      <c r="E1609" s="53" t="s">
        <v>25</v>
      </c>
      <c r="F1609" s="53" t="s">
        <v>25</v>
      </c>
      <c r="G1609" s="53" t="s">
        <v>25</v>
      </c>
      <c r="H1609" s="53" t="s">
        <v>25</v>
      </c>
      <c r="I1609" s="73">
        <v>43770</v>
      </c>
      <c r="J1609" s="74">
        <f ca="1">EFEITO!$J$1609*EFEITO!$Y$1609</f>
        <v>1011569.8524271798</v>
      </c>
      <c r="K1609" s="74">
        <f>EFEITO!$L$1609*EFEITO!$Z$1609</f>
        <v>0</v>
      </c>
      <c r="L1609" s="74">
        <f>EFEITO!$N$1609*EFEITO!$AA$1609</f>
        <v>0</v>
      </c>
      <c r="M1609" s="74">
        <f ca="1">$J$1609-EFEITO!$K$1609*EFEITO!$Y$1609</f>
        <v>0</v>
      </c>
      <c r="N1609" s="74">
        <f>$K$1609-EFEITO!$M$1609*EFEITO!$Z$1609</f>
        <v>0</v>
      </c>
      <c r="O1609" s="74">
        <f>$L$1609-EFEITO!$O$1609*EFEITO!$AA$1609</f>
        <v>0</v>
      </c>
      <c r="P1609" s="57"/>
      <c r="Q1609" s="57"/>
      <c r="R1609" s="57"/>
      <c r="S1609" s="57"/>
      <c r="T1609" s="57"/>
      <c r="U1609" s="57"/>
      <c r="V1609" s="57"/>
      <c r="W1609" s="57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</row>
    <row r="1610" spans="1:36" ht="11.25" customHeight="1" x14ac:dyDescent="0.2">
      <c r="A1610" s="53" t="s">
        <v>28</v>
      </c>
      <c r="B1610" s="53" t="s">
        <v>44</v>
      </c>
      <c r="C1610" s="53" t="s">
        <v>34</v>
      </c>
      <c r="D1610" s="53" t="s">
        <v>48</v>
      </c>
      <c r="E1610" s="53" t="s">
        <v>25</v>
      </c>
      <c r="F1610" s="53" t="s">
        <v>25</v>
      </c>
      <c r="G1610" s="53" t="s">
        <v>25</v>
      </c>
      <c r="H1610" s="53" t="s">
        <v>25</v>
      </c>
      <c r="I1610" s="73">
        <v>43770</v>
      </c>
      <c r="J1610" s="74">
        <f ca="1">EFEITO!$J$1610*EFEITO!$Y$1610</f>
        <v>75202.516670216311</v>
      </c>
      <c r="K1610" s="74">
        <f>EFEITO!$L$1610*EFEITO!$Z$1610</f>
        <v>0</v>
      </c>
      <c r="L1610" s="74">
        <f>EFEITO!$N$1610*EFEITO!$AA$1610</f>
        <v>0</v>
      </c>
      <c r="M1610" s="74">
        <f ca="1">$J$1610-EFEITO!$K$1610*EFEITO!$Y$1610</f>
        <v>0</v>
      </c>
      <c r="N1610" s="74">
        <f>$K$1610-EFEITO!$M$1610*EFEITO!$Z$1610</f>
        <v>0</v>
      </c>
      <c r="O1610" s="74">
        <f>$L$1610-EFEITO!$O$1610*EFEITO!$AA$1610</f>
        <v>0</v>
      </c>
      <c r="P1610" s="57"/>
      <c r="Q1610" s="57"/>
      <c r="R1610" s="57"/>
      <c r="S1610" s="57"/>
      <c r="T1610" s="57"/>
      <c r="U1610" s="57"/>
      <c r="V1610" s="57"/>
      <c r="W1610" s="57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</row>
    <row r="1611" spans="1:36" ht="11.25" customHeight="1" x14ac:dyDescent="0.2">
      <c r="A1611" s="53" t="s">
        <v>21</v>
      </c>
      <c r="B1611" s="53" t="s">
        <v>44</v>
      </c>
      <c r="C1611" s="53" t="s">
        <v>34</v>
      </c>
      <c r="D1611" s="53" t="s">
        <v>48</v>
      </c>
      <c r="E1611" s="53" t="s">
        <v>25</v>
      </c>
      <c r="F1611" s="53" t="s">
        <v>25</v>
      </c>
      <c r="G1611" s="53" t="s">
        <v>25</v>
      </c>
      <c r="H1611" s="53" t="s">
        <v>25</v>
      </c>
      <c r="I1611" s="73">
        <v>43800</v>
      </c>
      <c r="J1611" s="74">
        <f ca="1">EFEITO!$J$1611*EFEITO!$Y$1611</f>
        <v>1010081.8026292372</v>
      </c>
      <c r="K1611" s="74">
        <f>EFEITO!$L$1611*EFEITO!$Z$1611</f>
        <v>0</v>
      </c>
      <c r="L1611" s="74">
        <f>EFEITO!$N$1611*EFEITO!$AA$1611</f>
        <v>0</v>
      </c>
      <c r="M1611" s="74">
        <f ca="1">$J$1611-EFEITO!$K$1611*EFEITO!$Y$1611</f>
        <v>0</v>
      </c>
      <c r="N1611" s="74">
        <f>$K$1611-EFEITO!$M$1611*EFEITO!$Z$1611</f>
        <v>0</v>
      </c>
      <c r="O1611" s="74">
        <f>$L$1611-EFEITO!$O$1611*EFEITO!$AA$1611</f>
        <v>0</v>
      </c>
      <c r="P1611" s="57"/>
      <c r="Q1611" s="57"/>
      <c r="R1611" s="57"/>
      <c r="S1611" s="57"/>
      <c r="T1611" s="57"/>
      <c r="U1611" s="57"/>
      <c r="V1611" s="57"/>
      <c r="W1611" s="57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</row>
    <row r="1612" spans="1:36" ht="11.25" customHeight="1" x14ac:dyDescent="0.2">
      <c r="A1612" s="53" t="s">
        <v>27</v>
      </c>
      <c r="B1612" s="53" t="s">
        <v>44</v>
      </c>
      <c r="C1612" s="53" t="s">
        <v>34</v>
      </c>
      <c r="D1612" s="53" t="s">
        <v>48</v>
      </c>
      <c r="E1612" s="53" t="s">
        <v>25</v>
      </c>
      <c r="F1612" s="53" t="s">
        <v>25</v>
      </c>
      <c r="G1612" s="53" t="s">
        <v>25</v>
      </c>
      <c r="H1612" s="53" t="s">
        <v>25</v>
      </c>
      <c r="I1612" s="73">
        <v>43800</v>
      </c>
      <c r="J1612" s="74">
        <f ca="1">EFEITO!$J$1612*EFEITO!$Y$1612</f>
        <v>20000.669327185187</v>
      </c>
      <c r="K1612" s="74">
        <f>EFEITO!$L$1612*EFEITO!$Z$1612</f>
        <v>0</v>
      </c>
      <c r="L1612" s="74">
        <f>EFEITO!$N$1612*EFEITO!$AA$1612</f>
        <v>0</v>
      </c>
      <c r="M1612" s="74">
        <f ca="1">$J$1612-EFEITO!$K$1612*EFEITO!$Y$1612</f>
        <v>0</v>
      </c>
      <c r="N1612" s="74">
        <f>$K$1612-EFEITO!$M$1612*EFEITO!$Z$1612</f>
        <v>0</v>
      </c>
      <c r="O1612" s="74">
        <f>$L$1612-EFEITO!$O$1612*EFEITO!$AA$1612</f>
        <v>0</v>
      </c>
      <c r="P1612" s="57"/>
      <c r="Q1612" s="57"/>
      <c r="R1612" s="57"/>
      <c r="S1612" s="57"/>
      <c r="T1612" s="57"/>
      <c r="U1612" s="57"/>
      <c r="V1612" s="57"/>
      <c r="W1612" s="57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</row>
    <row r="1613" spans="1:36" ht="11.25" customHeight="1" x14ac:dyDescent="0.2">
      <c r="A1613" s="53" t="s">
        <v>28</v>
      </c>
      <c r="B1613" s="53" t="s">
        <v>44</v>
      </c>
      <c r="C1613" s="53" t="s">
        <v>34</v>
      </c>
      <c r="D1613" s="53" t="s">
        <v>48</v>
      </c>
      <c r="E1613" s="53" t="s">
        <v>25</v>
      </c>
      <c r="F1613" s="53" t="s">
        <v>25</v>
      </c>
      <c r="G1613" s="53" t="s">
        <v>25</v>
      </c>
      <c r="H1613" s="53" t="s">
        <v>25</v>
      </c>
      <c r="I1613" s="73">
        <v>43800</v>
      </c>
      <c r="J1613" s="74">
        <f ca="1">EFEITO!$J$1613*EFEITO!$Y$1613</f>
        <v>75202.516670216311</v>
      </c>
      <c r="K1613" s="74">
        <f>EFEITO!$L$1613*EFEITO!$Z$1613</f>
        <v>0</v>
      </c>
      <c r="L1613" s="74">
        <f>EFEITO!$N$1613*EFEITO!$AA$1613</f>
        <v>0</v>
      </c>
      <c r="M1613" s="74">
        <f ca="1">$J$1613-EFEITO!$K$1613*EFEITO!$Y$1613</f>
        <v>0</v>
      </c>
      <c r="N1613" s="74">
        <f>$K$1613-EFEITO!$M$1613*EFEITO!$Z$1613</f>
        <v>0</v>
      </c>
      <c r="O1613" s="74">
        <f>$L$1613-EFEITO!$O$1613*EFEITO!$AA$1613</f>
        <v>0</v>
      </c>
      <c r="P1613" s="57"/>
      <c r="Q1613" s="57"/>
      <c r="R1613" s="57"/>
      <c r="S1613" s="57"/>
      <c r="T1613" s="57"/>
      <c r="U1613" s="57"/>
      <c r="V1613" s="57"/>
      <c r="W1613" s="57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</row>
    <row r="1614" spans="1:36" ht="11.25" customHeight="1" x14ac:dyDescent="0.2">
      <c r="A1614" s="53" t="s">
        <v>21</v>
      </c>
      <c r="B1614" s="53" t="s">
        <v>44</v>
      </c>
      <c r="C1614" s="53" t="s">
        <v>34</v>
      </c>
      <c r="D1614" s="53" t="s">
        <v>48</v>
      </c>
      <c r="E1614" s="53" t="s">
        <v>25</v>
      </c>
      <c r="F1614" s="53" t="s">
        <v>25</v>
      </c>
      <c r="G1614" s="53" t="s">
        <v>25</v>
      </c>
      <c r="H1614" s="53" t="s">
        <v>25</v>
      </c>
      <c r="I1614" s="73">
        <v>43831</v>
      </c>
      <c r="J1614" s="74">
        <f ca="1">EFEITO!$J$1614*EFEITO!$Y$1614</f>
        <v>1000209.4722493386</v>
      </c>
      <c r="K1614" s="74">
        <f>EFEITO!$L$1614*EFEITO!$Z$1614</f>
        <v>0</v>
      </c>
      <c r="L1614" s="74">
        <f>EFEITO!$N$1614*EFEITO!$AA$1614</f>
        <v>0</v>
      </c>
      <c r="M1614" s="74">
        <f ca="1">$J$1614-EFEITO!$K$1614*EFEITO!$Y$1614</f>
        <v>0</v>
      </c>
      <c r="N1614" s="74">
        <f>$K$1614-EFEITO!$M$1614*EFEITO!$Z$1614</f>
        <v>0</v>
      </c>
      <c r="O1614" s="74">
        <f>$L$1614-EFEITO!$O$1614*EFEITO!$AA$1614</f>
        <v>0</v>
      </c>
      <c r="P1614" s="57"/>
      <c r="Q1614" s="57"/>
      <c r="R1614" s="57"/>
      <c r="S1614" s="57"/>
      <c r="T1614" s="57"/>
      <c r="U1614" s="57"/>
      <c r="V1614" s="57"/>
      <c r="W1614" s="57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</row>
    <row r="1615" spans="1:36" ht="11.25" customHeight="1" x14ac:dyDescent="0.2">
      <c r="A1615" s="53" t="s">
        <v>28</v>
      </c>
      <c r="B1615" s="53" t="s">
        <v>44</v>
      </c>
      <c r="C1615" s="53" t="s">
        <v>34</v>
      </c>
      <c r="D1615" s="53" t="s">
        <v>48</v>
      </c>
      <c r="E1615" s="53" t="s">
        <v>25</v>
      </c>
      <c r="F1615" s="53" t="s">
        <v>25</v>
      </c>
      <c r="G1615" s="53" t="s">
        <v>25</v>
      </c>
      <c r="H1615" s="53" t="s">
        <v>25</v>
      </c>
      <c r="I1615" s="73">
        <v>43831</v>
      </c>
      <c r="J1615" s="74">
        <f ca="1">EFEITO!$J$1615*EFEITO!$Y$1615</f>
        <v>83202.784401090379</v>
      </c>
      <c r="K1615" s="74">
        <f>EFEITO!$L$1615*EFEITO!$Z$1615</f>
        <v>0</v>
      </c>
      <c r="L1615" s="74">
        <f>EFEITO!$N$1615*EFEITO!$AA$1615</f>
        <v>0</v>
      </c>
      <c r="M1615" s="74">
        <f ca="1">$J$1615-EFEITO!$K$1615*EFEITO!$Y$1615</f>
        <v>0</v>
      </c>
      <c r="N1615" s="74">
        <f>$K$1615-EFEITO!$M$1615*EFEITO!$Z$1615</f>
        <v>0</v>
      </c>
      <c r="O1615" s="74">
        <f>$L$1615-EFEITO!$O$1615*EFEITO!$AA$1615</f>
        <v>0</v>
      </c>
      <c r="P1615" s="57"/>
      <c r="Q1615" s="57"/>
      <c r="R1615" s="57"/>
      <c r="S1615" s="57"/>
      <c r="T1615" s="57"/>
      <c r="U1615" s="57"/>
      <c r="V1615" s="57"/>
      <c r="W1615" s="57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</row>
    <row r="1616" spans="1:36" ht="11.25" customHeight="1" x14ac:dyDescent="0.2">
      <c r="A1616" s="53" t="s">
        <v>21</v>
      </c>
      <c r="B1616" s="53" t="s">
        <v>44</v>
      </c>
      <c r="C1616" s="53" t="s">
        <v>34</v>
      </c>
      <c r="D1616" s="53" t="s">
        <v>48</v>
      </c>
      <c r="E1616" s="53" t="s">
        <v>25</v>
      </c>
      <c r="F1616" s="53" t="s">
        <v>25</v>
      </c>
      <c r="G1616" s="53" t="s">
        <v>25</v>
      </c>
      <c r="H1616" s="53" t="s">
        <v>25</v>
      </c>
      <c r="I1616" s="73">
        <v>43862</v>
      </c>
      <c r="J1616" s="74">
        <f ca="1">EFEITO!$J$1616*EFEITO!$Y$1616</f>
        <v>1006257.6746538794</v>
      </c>
      <c r="K1616" s="74">
        <f>EFEITO!$L$1616*EFEITO!$Z$1616</f>
        <v>0</v>
      </c>
      <c r="L1616" s="74">
        <f>EFEITO!$N$1616*EFEITO!$AA$1616</f>
        <v>0</v>
      </c>
      <c r="M1616" s="74">
        <f ca="1">$J$1616-EFEITO!$K$1616*EFEITO!$Y$1616</f>
        <v>0</v>
      </c>
      <c r="N1616" s="74">
        <f>$K$1616-EFEITO!$M$1616*EFEITO!$Z$1616</f>
        <v>0</v>
      </c>
      <c r="O1616" s="74">
        <f>$L$1616-EFEITO!$O$1616*EFEITO!$AA$1616</f>
        <v>0</v>
      </c>
      <c r="P1616" s="57"/>
      <c r="Q1616" s="57"/>
      <c r="R1616" s="57"/>
      <c r="S1616" s="57"/>
      <c r="T1616" s="57"/>
      <c r="U1616" s="57"/>
      <c r="V1616" s="57"/>
      <c r="W1616" s="57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</row>
    <row r="1617" spans="1:36" ht="11.25" customHeight="1" x14ac:dyDescent="0.2">
      <c r="A1617" s="53" t="s">
        <v>28</v>
      </c>
      <c r="B1617" s="53" t="s">
        <v>44</v>
      </c>
      <c r="C1617" s="53" t="s">
        <v>34</v>
      </c>
      <c r="D1617" s="53" t="s">
        <v>48</v>
      </c>
      <c r="E1617" s="53" t="s">
        <v>25</v>
      </c>
      <c r="F1617" s="53" t="s">
        <v>25</v>
      </c>
      <c r="G1617" s="53" t="s">
        <v>25</v>
      </c>
      <c r="H1617" s="53" t="s">
        <v>25</v>
      </c>
      <c r="I1617" s="73">
        <v>43862</v>
      </c>
      <c r="J1617" s="74">
        <f ca="1">EFEITO!$J$1617*EFEITO!$Y$1617</f>
        <v>83202.784401090379</v>
      </c>
      <c r="K1617" s="74">
        <f>EFEITO!$L$1617*EFEITO!$Z$1617</f>
        <v>0</v>
      </c>
      <c r="L1617" s="74">
        <f>EFEITO!$N$1617*EFEITO!$AA$1617</f>
        <v>0</v>
      </c>
      <c r="M1617" s="74">
        <f ca="1">$J$1617-EFEITO!$K$1617*EFEITO!$Y$1617</f>
        <v>0</v>
      </c>
      <c r="N1617" s="74">
        <f>$K$1617-EFEITO!$M$1617*EFEITO!$Z$1617</f>
        <v>0</v>
      </c>
      <c r="O1617" s="74">
        <f>$L$1617-EFEITO!$O$1617*EFEITO!$AA$1617</f>
        <v>0</v>
      </c>
      <c r="P1617" s="57"/>
      <c r="Q1617" s="57"/>
      <c r="R1617" s="57"/>
      <c r="S1617" s="57"/>
      <c r="T1617" s="57"/>
      <c r="U1617" s="57"/>
      <c r="V1617" s="57"/>
      <c r="W1617" s="57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</row>
    <row r="1618" spans="1:36" ht="11.25" customHeight="1" x14ac:dyDescent="0.2">
      <c r="A1618" s="53" t="s">
        <v>21</v>
      </c>
      <c r="B1618" s="53" t="s">
        <v>44</v>
      </c>
      <c r="C1618" s="53" t="s">
        <v>34</v>
      </c>
      <c r="D1618" s="53" t="s">
        <v>48</v>
      </c>
      <c r="E1618" s="53" t="s">
        <v>25</v>
      </c>
      <c r="F1618" s="53" t="s">
        <v>25</v>
      </c>
      <c r="G1618" s="53" t="s">
        <v>25</v>
      </c>
      <c r="H1618" s="53" t="s">
        <v>25</v>
      </c>
      <c r="I1618" s="73">
        <v>43891</v>
      </c>
      <c r="J1618" s="74">
        <f ca="1">EFEITO!$J$1618*EFEITO!$Y$1618</f>
        <v>994001.2644901803</v>
      </c>
      <c r="K1618" s="74">
        <f>EFEITO!$L$1618*EFEITO!$Z$1618</f>
        <v>0</v>
      </c>
      <c r="L1618" s="74">
        <f>EFEITO!$N$1618*EFEITO!$AA$1618</f>
        <v>0</v>
      </c>
      <c r="M1618" s="74">
        <f ca="1">$J$1618-EFEITO!$K$1618*EFEITO!$Y$1618</f>
        <v>0</v>
      </c>
      <c r="N1618" s="74">
        <f>$K$1618-EFEITO!$M$1618*EFEITO!$Z$1618</f>
        <v>0</v>
      </c>
      <c r="O1618" s="74">
        <f>$L$1618-EFEITO!$O$1618*EFEITO!$AA$1618</f>
        <v>0</v>
      </c>
      <c r="P1618" s="57"/>
      <c r="Q1618" s="57"/>
      <c r="R1618" s="57"/>
      <c r="S1618" s="57"/>
      <c r="T1618" s="57"/>
      <c r="U1618" s="57"/>
      <c r="V1618" s="57"/>
      <c r="W1618" s="57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</row>
    <row r="1619" spans="1:36" ht="11.25" customHeight="1" x14ac:dyDescent="0.2">
      <c r="A1619" s="53" t="s">
        <v>28</v>
      </c>
      <c r="B1619" s="53" t="s">
        <v>44</v>
      </c>
      <c r="C1619" s="53" t="s">
        <v>34</v>
      </c>
      <c r="D1619" s="53" t="s">
        <v>48</v>
      </c>
      <c r="E1619" s="53" t="s">
        <v>25</v>
      </c>
      <c r="F1619" s="53" t="s">
        <v>25</v>
      </c>
      <c r="G1619" s="53" t="s">
        <v>25</v>
      </c>
      <c r="H1619" s="53" t="s">
        <v>25</v>
      </c>
      <c r="I1619" s="73">
        <v>43891</v>
      </c>
      <c r="J1619" s="74">
        <f ca="1">EFEITO!$J$1619*EFEITO!$Y$1619</f>
        <v>85602.864720352605</v>
      </c>
      <c r="K1619" s="74">
        <f>EFEITO!$L$1619*EFEITO!$Z$1619</f>
        <v>0</v>
      </c>
      <c r="L1619" s="74">
        <f>EFEITO!$N$1619*EFEITO!$AA$1619</f>
        <v>0</v>
      </c>
      <c r="M1619" s="74">
        <f ca="1">$J$1619-EFEITO!$K$1619*EFEITO!$Y$1619</f>
        <v>0</v>
      </c>
      <c r="N1619" s="74">
        <f>$K$1619-EFEITO!$M$1619*EFEITO!$Z$1619</f>
        <v>0</v>
      </c>
      <c r="O1619" s="74">
        <f>$L$1619-EFEITO!$O$1619*EFEITO!$AA$1619</f>
        <v>0</v>
      </c>
      <c r="P1619" s="57"/>
      <c r="Q1619" s="57"/>
      <c r="R1619" s="57"/>
      <c r="S1619" s="57"/>
      <c r="T1619" s="57"/>
      <c r="U1619" s="57"/>
      <c r="V1619" s="57"/>
      <c r="W1619" s="57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</row>
    <row r="1620" spans="1:36" ht="11.25" customHeight="1" x14ac:dyDescent="0.2">
      <c r="A1620" s="53" t="s">
        <v>21</v>
      </c>
      <c r="B1620" s="53" t="s">
        <v>44</v>
      </c>
      <c r="C1620" s="53" t="s">
        <v>34</v>
      </c>
      <c r="D1620" s="53" t="s">
        <v>48</v>
      </c>
      <c r="E1620" s="53" t="s">
        <v>25</v>
      </c>
      <c r="F1620" s="53" t="s">
        <v>25</v>
      </c>
      <c r="G1620" s="53" t="s">
        <v>25</v>
      </c>
      <c r="H1620" s="53" t="s">
        <v>25</v>
      </c>
      <c r="I1620" s="73">
        <v>43922</v>
      </c>
      <c r="J1620" s="74">
        <f ca="1">EFEITO!$J$1620*EFEITO!$Y$1620</f>
        <v>962992.22676531237</v>
      </c>
      <c r="K1620" s="74">
        <f>EFEITO!$L$1620*EFEITO!$Z$1620</f>
        <v>0</v>
      </c>
      <c r="L1620" s="74">
        <f>EFEITO!$N$1620*EFEITO!$AA$1620</f>
        <v>0</v>
      </c>
      <c r="M1620" s="74">
        <f ca="1">$J$1620-EFEITO!$K$1620*EFEITO!$Y$1620</f>
        <v>0</v>
      </c>
      <c r="N1620" s="74">
        <f>$K$1620-EFEITO!$M$1620*EFEITO!$Z$1620</f>
        <v>0</v>
      </c>
      <c r="O1620" s="74">
        <f>$L$1620-EFEITO!$O$1620*EFEITO!$AA$1620</f>
        <v>0</v>
      </c>
      <c r="P1620" s="57"/>
      <c r="Q1620" s="57"/>
      <c r="R1620" s="57"/>
      <c r="S1620" s="57"/>
      <c r="T1620" s="57"/>
      <c r="U1620" s="57"/>
      <c r="V1620" s="57"/>
      <c r="W1620" s="57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</row>
    <row r="1621" spans="1:36" ht="11.25" customHeight="1" x14ac:dyDescent="0.2">
      <c r="A1621" s="53" t="s">
        <v>27</v>
      </c>
      <c r="B1621" s="53" t="s">
        <v>44</v>
      </c>
      <c r="C1621" s="53" t="s">
        <v>34</v>
      </c>
      <c r="D1621" s="53" t="s">
        <v>48</v>
      </c>
      <c r="E1621" s="53" t="s">
        <v>25</v>
      </c>
      <c r="F1621" s="53" t="s">
        <v>25</v>
      </c>
      <c r="G1621" s="53" t="s">
        <v>25</v>
      </c>
      <c r="H1621" s="53" t="s">
        <v>25</v>
      </c>
      <c r="I1621" s="73">
        <v>43922</v>
      </c>
      <c r="J1621" s="74">
        <f ca="1">EFEITO!$J$1621*EFEITO!$Y$1621</f>
        <v>12000.401596311112</v>
      </c>
      <c r="K1621" s="74">
        <f>EFEITO!$L$1621*EFEITO!$Z$1621</f>
        <v>0</v>
      </c>
      <c r="L1621" s="74">
        <f>EFEITO!$N$1621*EFEITO!$AA$1621</f>
        <v>0</v>
      </c>
      <c r="M1621" s="74">
        <f ca="1">$J$1621-EFEITO!$K$1621*EFEITO!$Y$1621</f>
        <v>0</v>
      </c>
      <c r="N1621" s="74">
        <f>$K$1621-EFEITO!$M$1621*EFEITO!$Z$1621</f>
        <v>0</v>
      </c>
      <c r="O1621" s="74">
        <f>$L$1621-EFEITO!$O$1621*EFEITO!$AA$1621</f>
        <v>0</v>
      </c>
      <c r="P1621" s="57"/>
      <c r="Q1621" s="57"/>
      <c r="R1621" s="57"/>
      <c r="S1621" s="57"/>
      <c r="T1621" s="57"/>
      <c r="U1621" s="57"/>
      <c r="V1621" s="57"/>
      <c r="W1621" s="57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</row>
    <row r="1622" spans="1:36" ht="11.25" customHeight="1" x14ac:dyDescent="0.2">
      <c r="A1622" s="53" t="s">
        <v>28</v>
      </c>
      <c r="B1622" s="53" t="s">
        <v>44</v>
      </c>
      <c r="C1622" s="53" t="s">
        <v>34</v>
      </c>
      <c r="D1622" s="53" t="s">
        <v>48</v>
      </c>
      <c r="E1622" s="53" t="s">
        <v>25</v>
      </c>
      <c r="F1622" s="53" t="s">
        <v>25</v>
      </c>
      <c r="G1622" s="53" t="s">
        <v>25</v>
      </c>
      <c r="H1622" s="53" t="s">
        <v>25</v>
      </c>
      <c r="I1622" s="73">
        <v>43922</v>
      </c>
      <c r="J1622" s="74">
        <f ca="1">EFEITO!$J$1622*EFEITO!$Y$1622</f>
        <v>85602.864720352605</v>
      </c>
      <c r="K1622" s="74">
        <f>EFEITO!$L$1622*EFEITO!$Z$1622</f>
        <v>0</v>
      </c>
      <c r="L1622" s="74">
        <f>EFEITO!$N$1622*EFEITO!$AA$1622</f>
        <v>0</v>
      </c>
      <c r="M1622" s="74">
        <f ca="1">$J$1622-EFEITO!$K$1622*EFEITO!$Y$1622</f>
        <v>0</v>
      </c>
      <c r="N1622" s="74">
        <f>$K$1622-EFEITO!$M$1622*EFEITO!$Z$1622</f>
        <v>0</v>
      </c>
      <c r="O1622" s="74">
        <f>$L$1622-EFEITO!$O$1622*EFEITO!$AA$1622</f>
        <v>0</v>
      </c>
      <c r="P1622" s="57"/>
      <c r="Q1622" s="57"/>
      <c r="R1622" s="57"/>
      <c r="S1622" s="57"/>
      <c r="T1622" s="57"/>
      <c r="U1622" s="57"/>
      <c r="V1622" s="57"/>
      <c r="W1622" s="57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</row>
    <row r="1623" spans="1:36" ht="11.25" customHeight="1" x14ac:dyDescent="0.2">
      <c r="A1623" s="53" t="s">
        <v>21</v>
      </c>
      <c r="B1623" s="53" t="s">
        <v>44</v>
      </c>
      <c r="C1623" s="53" t="s">
        <v>34</v>
      </c>
      <c r="D1623" s="53" t="s">
        <v>48</v>
      </c>
      <c r="E1623" s="53" t="s">
        <v>25</v>
      </c>
      <c r="F1623" s="53" t="s">
        <v>25</v>
      </c>
      <c r="G1623" s="53" t="s">
        <v>25</v>
      </c>
      <c r="H1623" s="53" t="s">
        <v>25</v>
      </c>
      <c r="I1623" s="73">
        <v>43952</v>
      </c>
      <c r="J1623" s="74">
        <f ca="1">EFEITO!$J$1623*EFEITO!$Y$1623</f>
        <v>971760.52019835042</v>
      </c>
      <c r="K1623" s="74">
        <f>EFEITO!$L$1623*EFEITO!$Z$1623</f>
        <v>0</v>
      </c>
      <c r="L1623" s="74">
        <f>EFEITO!$N$1623*EFEITO!$AA$1623</f>
        <v>0</v>
      </c>
      <c r="M1623" s="74">
        <f ca="1">$J$1623-EFEITO!$K$1623*EFEITO!$Y$1623</f>
        <v>0</v>
      </c>
      <c r="N1623" s="74">
        <f>$K$1623-EFEITO!$M$1623*EFEITO!$Z$1623</f>
        <v>0</v>
      </c>
      <c r="O1623" s="74">
        <f>$L$1623-EFEITO!$O$1623*EFEITO!$AA$1623</f>
        <v>0</v>
      </c>
      <c r="P1623" s="57"/>
      <c r="Q1623" s="57"/>
      <c r="R1623" s="57"/>
      <c r="S1623" s="57"/>
      <c r="T1623" s="57"/>
      <c r="U1623" s="57"/>
      <c r="V1623" s="57"/>
      <c r="W1623" s="57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</row>
    <row r="1624" spans="1:36" ht="11.25" customHeight="1" x14ac:dyDescent="0.2">
      <c r="A1624" s="53" t="s">
        <v>28</v>
      </c>
      <c r="B1624" s="53" t="s">
        <v>44</v>
      </c>
      <c r="C1624" s="53" t="s">
        <v>34</v>
      </c>
      <c r="D1624" s="53" t="s">
        <v>48</v>
      </c>
      <c r="E1624" s="53" t="s">
        <v>25</v>
      </c>
      <c r="F1624" s="53" t="s">
        <v>25</v>
      </c>
      <c r="G1624" s="53" t="s">
        <v>25</v>
      </c>
      <c r="H1624" s="53" t="s">
        <v>25</v>
      </c>
      <c r="I1624" s="73">
        <v>43952</v>
      </c>
      <c r="J1624" s="74">
        <f ca="1">EFEITO!$J$1624*EFEITO!$Y$1624</f>
        <v>85602.864720352605</v>
      </c>
      <c r="K1624" s="74">
        <f>EFEITO!$L$1624*EFEITO!$Z$1624</f>
        <v>0</v>
      </c>
      <c r="L1624" s="74">
        <f>EFEITO!$N$1624*EFEITO!$AA$1624</f>
        <v>0</v>
      </c>
      <c r="M1624" s="74">
        <f ca="1">$J$1624-EFEITO!$K$1624*EFEITO!$Y$1624</f>
        <v>0</v>
      </c>
      <c r="N1624" s="74">
        <f>$K$1624-EFEITO!$M$1624*EFEITO!$Z$1624</f>
        <v>0</v>
      </c>
      <c r="O1624" s="74">
        <f>$L$1624-EFEITO!$O$1624*EFEITO!$AA$1624</f>
        <v>0</v>
      </c>
      <c r="P1624" s="57"/>
      <c r="Q1624" s="57"/>
      <c r="R1624" s="57"/>
      <c r="S1624" s="57"/>
      <c r="T1624" s="57"/>
      <c r="U1624" s="57"/>
      <c r="V1624" s="57"/>
      <c r="W1624" s="57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</row>
    <row r="1625" spans="1:36" ht="11.25" customHeight="1" x14ac:dyDescent="0.2">
      <c r="A1625" s="53" t="s">
        <v>21</v>
      </c>
      <c r="B1625" s="53" t="s">
        <v>44</v>
      </c>
      <c r="C1625" s="53" t="s">
        <v>34</v>
      </c>
      <c r="D1625" s="53" t="s">
        <v>48</v>
      </c>
      <c r="E1625" s="53" t="s">
        <v>25</v>
      </c>
      <c r="F1625" s="53" t="s">
        <v>25</v>
      </c>
      <c r="G1625" s="53" t="s">
        <v>25</v>
      </c>
      <c r="H1625" s="53" t="s">
        <v>25</v>
      </c>
      <c r="I1625" s="73">
        <v>43983</v>
      </c>
      <c r="J1625" s="74">
        <f ca="1">EFEITO!$J$1625*EFEITO!$Y$1625</f>
        <v>953855.92101665423</v>
      </c>
      <c r="K1625" s="74">
        <f>EFEITO!$L$1625*EFEITO!$Z$1625</f>
        <v>0</v>
      </c>
      <c r="L1625" s="74">
        <f>EFEITO!$N$1625*EFEITO!$AA$1625</f>
        <v>0</v>
      </c>
      <c r="M1625" s="74">
        <f ca="1">$J$1625-EFEITO!$K$1625*EFEITO!$Y$1625</f>
        <v>0</v>
      </c>
      <c r="N1625" s="74">
        <f>$K$1625-EFEITO!$M$1625*EFEITO!$Z$1625</f>
        <v>0</v>
      </c>
      <c r="O1625" s="74">
        <f>$L$1625-EFEITO!$O$1625*EFEITO!$AA$1625</f>
        <v>0</v>
      </c>
      <c r="P1625" s="57"/>
      <c r="Q1625" s="57"/>
      <c r="R1625" s="57"/>
      <c r="S1625" s="57"/>
      <c r="T1625" s="57"/>
      <c r="U1625" s="57"/>
      <c r="V1625" s="57"/>
      <c r="W1625" s="57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</row>
    <row r="1626" spans="1:36" ht="11.25" customHeight="1" x14ac:dyDescent="0.2">
      <c r="A1626" s="53" t="s">
        <v>28</v>
      </c>
      <c r="B1626" s="53" t="s">
        <v>44</v>
      </c>
      <c r="C1626" s="53" t="s">
        <v>34</v>
      </c>
      <c r="D1626" s="53" t="s">
        <v>48</v>
      </c>
      <c r="E1626" s="53" t="s">
        <v>25</v>
      </c>
      <c r="F1626" s="53" t="s">
        <v>25</v>
      </c>
      <c r="G1626" s="53" t="s">
        <v>25</v>
      </c>
      <c r="H1626" s="53" t="s">
        <v>25</v>
      </c>
      <c r="I1626" s="73">
        <v>43983</v>
      </c>
      <c r="J1626" s="74">
        <f ca="1">EFEITO!$J$1626*EFEITO!$Y$1626</f>
        <v>105603.53404753779</v>
      </c>
      <c r="K1626" s="74">
        <f>EFEITO!$L$1626*EFEITO!$Z$1626</f>
        <v>0</v>
      </c>
      <c r="L1626" s="74">
        <f>EFEITO!$N$1626*EFEITO!$AA$1626</f>
        <v>0</v>
      </c>
      <c r="M1626" s="74">
        <f ca="1">$J$1626-EFEITO!$K$1626*EFEITO!$Y$1626</f>
        <v>0</v>
      </c>
      <c r="N1626" s="74">
        <f>$K$1626-EFEITO!$M$1626*EFEITO!$Z$1626</f>
        <v>0</v>
      </c>
      <c r="O1626" s="74">
        <f>$L$1626-EFEITO!$O$1626*EFEITO!$AA$1626</f>
        <v>0</v>
      </c>
      <c r="P1626" s="57"/>
      <c r="Q1626" s="57"/>
      <c r="R1626" s="57"/>
      <c r="S1626" s="57"/>
      <c r="T1626" s="57"/>
      <c r="U1626" s="57"/>
      <c r="V1626" s="57"/>
      <c r="W1626" s="57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</row>
    <row r="1627" spans="1:36" ht="11.25" customHeight="1" x14ac:dyDescent="0.2">
      <c r="A1627" s="53" t="s">
        <v>21</v>
      </c>
      <c r="B1627" s="53" t="s">
        <v>44</v>
      </c>
      <c r="C1627" s="53" t="s">
        <v>34</v>
      </c>
      <c r="D1627" s="53" t="s">
        <v>48</v>
      </c>
      <c r="E1627" s="53" t="s">
        <v>25</v>
      </c>
      <c r="F1627" s="53" t="s">
        <v>25</v>
      </c>
      <c r="G1627" s="53" t="s">
        <v>25</v>
      </c>
      <c r="H1627" s="53" t="s">
        <v>25</v>
      </c>
      <c r="I1627" s="73">
        <v>44013</v>
      </c>
      <c r="J1627" s="74">
        <f ca="1">EFEITO!$J$1627*EFEITO!$Y$1627</f>
        <v>943503.57457290322</v>
      </c>
      <c r="K1627" s="74">
        <f>EFEITO!$L$1627*EFEITO!$Z$1627</f>
        <v>0</v>
      </c>
      <c r="L1627" s="74">
        <f>EFEITO!$N$1627*EFEITO!$AA$1627</f>
        <v>0</v>
      </c>
      <c r="M1627" s="74">
        <f ca="1">$J$1627-EFEITO!$K$1627*EFEITO!$Y$1627</f>
        <v>0</v>
      </c>
      <c r="N1627" s="74">
        <f>$K$1627-EFEITO!$M$1627*EFEITO!$Z$1627</f>
        <v>0</v>
      </c>
      <c r="O1627" s="74">
        <f>$L$1627-EFEITO!$O$1627*EFEITO!$AA$1627</f>
        <v>0</v>
      </c>
      <c r="P1627" s="57"/>
      <c r="Q1627" s="57"/>
      <c r="R1627" s="57"/>
      <c r="S1627" s="57"/>
      <c r="T1627" s="57"/>
      <c r="U1627" s="57"/>
      <c r="V1627" s="57"/>
      <c r="W1627" s="57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</row>
    <row r="1628" spans="1:36" ht="11.25" customHeight="1" x14ac:dyDescent="0.2">
      <c r="A1628" s="53" t="s">
        <v>28</v>
      </c>
      <c r="B1628" s="53" t="s">
        <v>44</v>
      </c>
      <c r="C1628" s="53" t="s">
        <v>34</v>
      </c>
      <c r="D1628" s="53" t="s">
        <v>48</v>
      </c>
      <c r="E1628" s="53" t="s">
        <v>25</v>
      </c>
      <c r="F1628" s="53" t="s">
        <v>25</v>
      </c>
      <c r="G1628" s="53" t="s">
        <v>25</v>
      </c>
      <c r="H1628" s="53" t="s">
        <v>25</v>
      </c>
      <c r="I1628" s="73">
        <v>44013</v>
      </c>
      <c r="J1628" s="74">
        <f ca="1">EFEITO!$J$1628*EFEITO!$Y$1628</f>
        <v>105603.53404753779</v>
      </c>
      <c r="K1628" s="74">
        <f>EFEITO!$L$1628*EFEITO!$Z$1628</f>
        <v>0</v>
      </c>
      <c r="L1628" s="74">
        <f>EFEITO!$N$1628*EFEITO!$AA$1628</f>
        <v>0</v>
      </c>
      <c r="M1628" s="74">
        <f ca="1">$J$1628-EFEITO!$K$1628*EFEITO!$Y$1628</f>
        <v>0</v>
      </c>
      <c r="N1628" s="74">
        <f>$K$1628-EFEITO!$M$1628*EFEITO!$Z$1628</f>
        <v>0</v>
      </c>
      <c r="O1628" s="74">
        <f>$L$1628-EFEITO!$O$1628*EFEITO!$AA$1628</f>
        <v>0</v>
      </c>
      <c r="P1628" s="57"/>
      <c r="Q1628" s="57"/>
      <c r="R1628" s="57"/>
      <c r="S1628" s="57"/>
      <c r="T1628" s="57"/>
      <c r="U1628" s="57"/>
      <c r="V1628" s="57"/>
      <c r="W1628" s="57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</row>
    <row r="1629" spans="1:36" ht="11.25" customHeight="1" x14ac:dyDescent="0.2">
      <c r="A1629" s="53" t="s">
        <v>21</v>
      </c>
      <c r="B1629" s="53" t="s">
        <v>44</v>
      </c>
      <c r="C1629" s="53" t="s">
        <v>34</v>
      </c>
      <c r="D1629" s="53" t="s">
        <v>48</v>
      </c>
      <c r="E1629" s="53" t="s">
        <v>25</v>
      </c>
      <c r="F1629" s="53" t="s">
        <v>25</v>
      </c>
      <c r="G1629" s="53" t="s">
        <v>25</v>
      </c>
      <c r="H1629" s="53" t="s">
        <v>25</v>
      </c>
      <c r="I1629" s="73">
        <v>44044</v>
      </c>
      <c r="J1629" s="74">
        <f ca="1">EFEITO!$J$1629*EFEITO!$Y$1629</f>
        <v>913486.57004666363</v>
      </c>
      <c r="K1629" s="74">
        <f>EFEITO!$L$1629*EFEITO!$Z$1629</f>
        <v>0</v>
      </c>
      <c r="L1629" s="74">
        <f>EFEITO!$N$1629*EFEITO!$AA$1629</f>
        <v>0</v>
      </c>
      <c r="M1629" s="74">
        <f ca="1">$J$1629-EFEITO!$K$1629*EFEITO!$Y$1629</f>
        <v>0</v>
      </c>
      <c r="N1629" s="74">
        <f>$K$1629-EFEITO!$M$1629*EFEITO!$Z$1629</f>
        <v>0</v>
      </c>
      <c r="O1629" s="74">
        <f>$L$1629-EFEITO!$O$1629*EFEITO!$AA$1629</f>
        <v>0</v>
      </c>
      <c r="P1629" s="57"/>
      <c r="Q1629" s="57"/>
      <c r="R1629" s="57"/>
      <c r="S1629" s="57"/>
      <c r="T1629" s="57"/>
      <c r="U1629" s="57"/>
      <c r="V1629" s="57"/>
      <c r="W1629" s="57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</row>
    <row r="1630" spans="1:36" ht="11.25" customHeight="1" x14ac:dyDescent="0.2">
      <c r="A1630" s="53" t="s">
        <v>27</v>
      </c>
      <c r="B1630" s="53" t="s">
        <v>44</v>
      </c>
      <c r="C1630" s="53" t="s">
        <v>34</v>
      </c>
      <c r="D1630" s="53" t="s">
        <v>48</v>
      </c>
      <c r="E1630" s="53" t="s">
        <v>25</v>
      </c>
      <c r="F1630" s="53" t="s">
        <v>25</v>
      </c>
      <c r="G1630" s="53" t="s">
        <v>25</v>
      </c>
      <c r="H1630" s="53" t="s">
        <v>25</v>
      </c>
      <c r="I1630" s="73">
        <v>44044</v>
      </c>
      <c r="J1630" s="74">
        <f ca="1">EFEITO!$J$1630*EFEITO!$Y$1630</f>
        <v>30881.033441173931</v>
      </c>
      <c r="K1630" s="74">
        <f>EFEITO!$L$1630*EFEITO!$Z$1630</f>
        <v>0</v>
      </c>
      <c r="L1630" s="74">
        <f>EFEITO!$N$1630*EFEITO!$AA$1630</f>
        <v>0</v>
      </c>
      <c r="M1630" s="74">
        <f ca="1">$J$1630-EFEITO!$K$1630*EFEITO!$Y$1630</f>
        <v>0</v>
      </c>
      <c r="N1630" s="74">
        <f>$K$1630-EFEITO!$M$1630*EFEITO!$Z$1630</f>
        <v>0</v>
      </c>
      <c r="O1630" s="74">
        <f>$L$1630-EFEITO!$O$1630*EFEITO!$AA$1630</f>
        <v>0</v>
      </c>
      <c r="P1630" s="57"/>
      <c r="Q1630" s="57"/>
      <c r="R1630" s="57"/>
      <c r="S1630" s="57"/>
      <c r="T1630" s="57"/>
      <c r="U1630" s="57"/>
      <c r="V1630" s="57"/>
      <c r="W1630" s="57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</row>
    <row r="1631" spans="1:36" ht="11.25" customHeight="1" x14ac:dyDescent="0.2">
      <c r="A1631" s="53" t="s">
        <v>28</v>
      </c>
      <c r="B1631" s="53" t="s">
        <v>44</v>
      </c>
      <c r="C1631" s="53" t="s">
        <v>34</v>
      </c>
      <c r="D1631" s="53" t="s">
        <v>48</v>
      </c>
      <c r="E1631" s="53" t="s">
        <v>25</v>
      </c>
      <c r="F1631" s="53" t="s">
        <v>25</v>
      </c>
      <c r="G1631" s="53" t="s">
        <v>25</v>
      </c>
      <c r="H1631" s="53" t="s">
        <v>25</v>
      </c>
      <c r="I1631" s="73">
        <v>44044</v>
      </c>
      <c r="J1631" s="74">
        <f ca="1">EFEITO!$J$1631*EFEITO!$Y$1631</f>
        <v>105603.53404753779</v>
      </c>
      <c r="K1631" s="74">
        <f>EFEITO!$L$1631*EFEITO!$Z$1631</f>
        <v>0</v>
      </c>
      <c r="L1631" s="74">
        <f>EFEITO!$N$1631*EFEITO!$AA$1631</f>
        <v>0</v>
      </c>
      <c r="M1631" s="74">
        <f ca="1">$J$1631-EFEITO!$K$1631*EFEITO!$Y$1631</f>
        <v>0</v>
      </c>
      <c r="N1631" s="74">
        <f>$K$1631-EFEITO!$M$1631*EFEITO!$Z$1631</f>
        <v>0</v>
      </c>
      <c r="O1631" s="74">
        <f>$L$1631-EFEITO!$O$1631*EFEITO!$AA$1631</f>
        <v>0</v>
      </c>
      <c r="P1631" s="57"/>
      <c r="Q1631" s="57"/>
      <c r="R1631" s="57"/>
      <c r="S1631" s="57"/>
      <c r="T1631" s="57"/>
      <c r="U1631" s="57"/>
      <c r="V1631" s="57"/>
      <c r="W1631" s="57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</row>
    <row r="1632" spans="1:36" ht="11.25" customHeight="1" x14ac:dyDescent="0.2">
      <c r="A1632" s="53" t="s">
        <v>59</v>
      </c>
      <c r="B1632" s="53" t="s">
        <v>44</v>
      </c>
      <c r="C1632" s="53" t="s">
        <v>34</v>
      </c>
      <c r="D1632" s="53" t="s">
        <v>48</v>
      </c>
      <c r="E1632" s="53" t="s">
        <v>25</v>
      </c>
      <c r="F1632" s="53" t="s">
        <v>25</v>
      </c>
      <c r="G1632" s="53" t="s">
        <v>25</v>
      </c>
      <c r="H1632" s="53" t="s">
        <v>25</v>
      </c>
      <c r="I1632" s="73">
        <v>44075</v>
      </c>
      <c r="J1632" s="74">
        <f ca="1">EFEITO!$J$1632*EFEITO!$Y$1632</f>
        <v>913486.57004666363</v>
      </c>
      <c r="K1632" s="74">
        <f>EFEITO!$L$1632*EFEITO!$Z$1632</f>
        <v>0</v>
      </c>
      <c r="L1632" s="74">
        <f>EFEITO!$N$1632*EFEITO!$AA$1632</f>
        <v>0</v>
      </c>
      <c r="M1632" s="74">
        <f ca="1">$J$1632-EFEITO!$K$1632*EFEITO!$Y$1632</f>
        <v>0</v>
      </c>
      <c r="N1632" s="74">
        <f>$K$1632-EFEITO!$M$1632*EFEITO!$Z$1632</f>
        <v>0</v>
      </c>
      <c r="O1632" s="74">
        <f>$L$1632-EFEITO!$O$1632*EFEITO!$AA$1632</f>
        <v>0</v>
      </c>
      <c r="P1632" s="57"/>
      <c r="Q1632" s="57"/>
      <c r="R1632" s="57"/>
      <c r="S1632" s="57"/>
      <c r="T1632" s="57"/>
      <c r="U1632" s="57"/>
      <c r="V1632" s="57"/>
      <c r="W1632" s="57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</row>
    <row r="1633" spans="1:36" ht="11.25" customHeight="1" x14ac:dyDescent="0.2">
      <c r="A1633" s="53" t="s">
        <v>59</v>
      </c>
      <c r="B1633" s="53" t="s">
        <v>44</v>
      </c>
      <c r="C1633" s="53" t="s">
        <v>34</v>
      </c>
      <c r="D1633" s="53" t="s">
        <v>48</v>
      </c>
      <c r="E1633" s="53" t="s">
        <v>25</v>
      </c>
      <c r="F1633" s="53" t="s">
        <v>25</v>
      </c>
      <c r="G1633" s="53" t="s">
        <v>25</v>
      </c>
      <c r="H1633" s="53" t="s">
        <v>25</v>
      </c>
      <c r="I1633" s="73">
        <v>44075</v>
      </c>
      <c r="J1633" s="74">
        <f ca="1">EFEITO!$J$1633*EFEITO!$Y$1633</f>
        <v>30881.033441173931</v>
      </c>
      <c r="K1633" s="74">
        <f>EFEITO!$L$1633*EFEITO!$Z$1633</f>
        <v>0</v>
      </c>
      <c r="L1633" s="74">
        <f>EFEITO!$N$1633*EFEITO!$AA$1633</f>
        <v>0</v>
      </c>
      <c r="M1633" s="74">
        <f ca="1">$J$1633-EFEITO!$K$1633*EFEITO!$Y$1633</f>
        <v>0</v>
      </c>
      <c r="N1633" s="74">
        <f>$K$1633-EFEITO!$M$1633*EFEITO!$Z$1633</f>
        <v>0</v>
      </c>
      <c r="O1633" s="74">
        <f>$L$1633-EFEITO!$O$1633*EFEITO!$AA$1633</f>
        <v>0</v>
      </c>
      <c r="P1633" s="57"/>
      <c r="Q1633" s="57"/>
      <c r="R1633" s="57"/>
      <c r="S1633" s="57"/>
      <c r="T1633" s="57"/>
      <c r="U1633" s="57"/>
      <c r="V1633" s="57"/>
      <c r="W1633" s="57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</row>
    <row r="1634" spans="1:36" ht="11.25" customHeight="1" x14ac:dyDescent="0.2">
      <c r="A1634" s="53" t="s">
        <v>59</v>
      </c>
      <c r="B1634" s="53" t="s">
        <v>44</v>
      </c>
      <c r="C1634" s="53" t="s">
        <v>34</v>
      </c>
      <c r="D1634" s="53" t="s">
        <v>48</v>
      </c>
      <c r="E1634" s="53" t="s">
        <v>25</v>
      </c>
      <c r="F1634" s="53" t="s">
        <v>25</v>
      </c>
      <c r="G1634" s="53" t="s">
        <v>25</v>
      </c>
      <c r="H1634" s="53" t="s">
        <v>25</v>
      </c>
      <c r="I1634" s="73">
        <v>44075</v>
      </c>
      <c r="J1634" s="74">
        <f ca="1">EFEITO!$J$1634*EFEITO!$Y$1634</f>
        <v>105603.53404753779</v>
      </c>
      <c r="K1634" s="74">
        <f>EFEITO!$L$1634*EFEITO!$Z$1634</f>
        <v>0</v>
      </c>
      <c r="L1634" s="74">
        <f>EFEITO!$N$1634*EFEITO!$AA$1634</f>
        <v>0</v>
      </c>
      <c r="M1634" s="74">
        <f ca="1">$J$1634-EFEITO!$K$1634*EFEITO!$Y$1634</f>
        <v>0</v>
      </c>
      <c r="N1634" s="74">
        <f>$K$1634-EFEITO!$M$1634*EFEITO!$Z$1634</f>
        <v>0</v>
      </c>
      <c r="O1634" s="74">
        <f>$L$1634-EFEITO!$O$1634*EFEITO!$AA$1634</f>
        <v>0</v>
      </c>
      <c r="P1634" s="57"/>
      <c r="Q1634" s="57"/>
      <c r="R1634" s="57"/>
      <c r="S1634" s="57"/>
      <c r="T1634" s="57"/>
      <c r="U1634" s="57"/>
      <c r="V1634" s="57"/>
      <c r="W1634" s="57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</row>
    <row r="1635" spans="1:36" ht="11.25" customHeight="1" x14ac:dyDescent="0.2">
      <c r="A1635" s="53" t="s">
        <v>21</v>
      </c>
      <c r="B1635" s="53" t="s">
        <v>44</v>
      </c>
      <c r="C1635" s="53" t="s">
        <v>34</v>
      </c>
      <c r="D1635" s="53" t="s">
        <v>48</v>
      </c>
      <c r="E1635" s="53" t="s">
        <v>25</v>
      </c>
      <c r="F1635" s="53" t="s">
        <v>25</v>
      </c>
      <c r="G1635" s="53" t="s">
        <v>25</v>
      </c>
      <c r="H1635" s="53" t="s">
        <v>35</v>
      </c>
      <c r="I1635" s="73">
        <v>43739</v>
      </c>
      <c r="J1635" s="74">
        <f>EFEITO!$J$1635*EFEITO!$Y$1635</f>
        <v>0</v>
      </c>
      <c r="K1635" s="74">
        <f ca="1">EFEITO!$L$1635*EFEITO!$Z$1635</f>
        <v>1849456.1028702767</v>
      </c>
      <c r="L1635" s="74">
        <f>EFEITO!$N$1635*EFEITO!$AA$1635</f>
        <v>532209.14029624464</v>
      </c>
      <c r="M1635" s="74">
        <f>$J$1635-EFEITO!$K$1635*EFEITO!$Y$1635</f>
        <v>0</v>
      </c>
      <c r="N1635" s="74">
        <f ca="1">$K$1635-EFEITO!$M$1635*EFEITO!$Z$1635</f>
        <v>0</v>
      </c>
      <c r="O1635" s="74">
        <f>$L$1635-EFEITO!$O$1635*EFEITO!$AA$1635</f>
        <v>0</v>
      </c>
      <c r="P1635" s="57"/>
      <c r="Q1635" s="57"/>
      <c r="R1635" s="57"/>
      <c r="S1635" s="57"/>
      <c r="T1635" s="57"/>
      <c r="U1635" s="57"/>
      <c r="V1635" s="57"/>
      <c r="W1635" s="57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</row>
    <row r="1636" spans="1:36" ht="11.25" customHeight="1" x14ac:dyDescent="0.2">
      <c r="A1636" s="53" t="s">
        <v>21</v>
      </c>
      <c r="B1636" s="53" t="s">
        <v>44</v>
      </c>
      <c r="C1636" s="53" t="s">
        <v>34</v>
      </c>
      <c r="D1636" s="53" t="s">
        <v>48</v>
      </c>
      <c r="E1636" s="53" t="s">
        <v>25</v>
      </c>
      <c r="F1636" s="53" t="s">
        <v>25</v>
      </c>
      <c r="G1636" s="53" t="s">
        <v>25</v>
      </c>
      <c r="H1636" s="53" t="s">
        <v>35</v>
      </c>
      <c r="I1636" s="73">
        <v>43770</v>
      </c>
      <c r="J1636" s="74">
        <f>EFEITO!$J$1636*EFEITO!$Y$1636</f>
        <v>0</v>
      </c>
      <c r="K1636" s="74">
        <f ca="1">EFEITO!$L$1636*EFEITO!$Z$1636</f>
        <v>1767414.0525399663</v>
      </c>
      <c r="L1636" s="74">
        <f>EFEITO!$N$1636*EFEITO!$AA$1636</f>
        <v>508600.2917235904</v>
      </c>
      <c r="M1636" s="74">
        <f>$J$1636-EFEITO!$K$1636*EFEITO!$Y$1636</f>
        <v>0</v>
      </c>
      <c r="N1636" s="74">
        <f ca="1">$K$1636-EFEITO!$M$1636*EFEITO!$Z$1636</f>
        <v>0</v>
      </c>
      <c r="O1636" s="74">
        <f>$L$1636-EFEITO!$O$1636*EFEITO!$AA$1636</f>
        <v>0</v>
      </c>
      <c r="P1636" s="57"/>
      <c r="Q1636" s="57"/>
      <c r="R1636" s="57"/>
      <c r="S1636" s="57"/>
      <c r="T1636" s="57"/>
      <c r="U1636" s="57"/>
      <c r="V1636" s="57"/>
      <c r="W1636" s="57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</row>
    <row r="1637" spans="1:36" ht="11.25" customHeight="1" x14ac:dyDescent="0.2">
      <c r="A1637" s="53" t="s">
        <v>28</v>
      </c>
      <c r="B1637" s="53" t="s">
        <v>44</v>
      </c>
      <c r="C1637" s="53" t="s">
        <v>34</v>
      </c>
      <c r="D1637" s="53" t="s">
        <v>48</v>
      </c>
      <c r="E1637" s="53" t="s">
        <v>25</v>
      </c>
      <c r="F1637" s="53" t="s">
        <v>25</v>
      </c>
      <c r="G1637" s="53" t="s">
        <v>25</v>
      </c>
      <c r="H1637" s="53" t="s">
        <v>35</v>
      </c>
      <c r="I1637" s="73">
        <v>43770</v>
      </c>
      <c r="J1637" s="74">
        <f>EFEITO!$J$1637*EFEITO!$Y$1637</f>
        <v>0</v>
      </c>
      <c r="K1637" s="74">
        <f ca="1">EFEITO!$L$1637*EFEITO!$Z$1637</f>
        <v>183873.62340702547</v>
      </c>
      <c r="L1637" s="74">
        <f>EFEITO!$N$1637*EFEITO!$AA$1637</f>
        <v>52912.433490438161</v>
      </c>
      <c r="M1637" s="74">
        <f>$J$1637-EFEITO!$K$1637*EFEITO!$Y$1637</f>
        <v>0</v>
      </c>
      <c r="N1637" s="74">
        <f ca="1">$K$1637-EFEITO!$M$1637*EFEITO!$Z$1637</f>
        <v>0</v>
      </c>
      <c r="O1637" s="74">
        <f>$L$1637-EFEITO!$O$1637*EFEITO!$AA$1637</f>
        <v>0</v>
      </c>
      <c r="P1637" s="57"/>
      <c r="Q1637" s="57"/>
      <c r="R1637" s="57"/>
      <c r="S1637" s="57"/>
      <c r="T1637" s="57"/>
      <c r="U1637" s="57"/>
      <c r="V1637" s="57"/>
      <c r="W1637" s="57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</row>
    <row r="1638" spans="1:36" ht="11.25" customHeight="1" x14ac:dyDescent="0.2">
      <c r="A1638" s="53" t="s">
        <v>21</v>
      </c>
      <c r="B1638" s="53" t="s">
        <v>44</v>
      </c>
      <c r="C1638" s="53" t="s">
        <v>34</v>
      </c>
      <c r="D1638" s="53" t="s">
        <v>48</v>
      </c>
      <c r="E1638" s="53" t="s">
        <v>25</v>
      </c>
      <c r="F1638" s="53" t="s">
        <v>25</v>
      </c>
      <c r="G1638" s="53" t="s">
        <v>25</v>
      </c>
      <c r="H1638" s="53" t="s">
        <v>35</v>
      </c>
      <c r="I1638" s="73">
        <v>43800</v>
      </c>
      <c r="J1638" s="74">
        <f>EFEITO!$J$1638*EFEITO!$Y$1638</f>
        <v>0</v>
      </c>
      <c r="K1638" s="74">
        <f ca="1">EFEITO!$L$1638*EFEITO!$Z$1638</f>
        <v>1622759.1429013805</v>
      </c>
      <c r="L1638" s="74">
        <f>EFEITO!$N$1638*EFEITO!$AA$1638</f>
        <v>466973.63998586993</v>
      </c>
      <c r="M1638" s="74">
        <f>$J$1638-EFEITO!$K$1638*EFEITO!$Y$1638</f>
        <v>0</v>
      </c>
      <c r="N1638" s="74">
        <f ca="1">$K$1638-EFEITO!$M$1638*EFEITO!$Z$1638</f>
        <v>0</v>
      </c>
      <c r="O1638" s="74">
        <f>$L$1638-EFEITO!$O$1638*EFEITO!$AA$1638</f>
        <v>0</v>
      </c>
      <c r="P1638" s="57"/>
      <c r="Q1638" s="57"/>
      <c r="R1638" s="57"/>
      <c r="S1638" s="57"/>
      <c r="T1638" s="57"/>
      <c r="U1638" s="57"/>
      <c r="V1638" s="57"/>
      <c r="W1638" s="57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</row>
    <row r="1639" spans="1:36" ht="11.25" customHeight="1" x14ac:dyDescent="0.2">
      <c r="A1639" s="53" t="s">
        <v>27</v>
      </c>
      <c r="B1639" s="53" t="s">
        <v>44</v>
      </c>
      <c r="C1639" s="53" t="s">
        <v>34</v>
      </c>
      <c r="D1639" s="53" t="s">
        <v>48</v>
      </c>
      <c r="E1639" s="53" t="s">
        <v>25</v>
      </c>
      <c r="F1639" s="53" t="s">
        <v>25</v>
      </c>
      <c r="G1639" s="53" t="s">
        <v>25</v>
      </c>
      <c r="H1639" s="53" t="s">
        <v>35</v>
      </c>
      <c r="I1639" s="73">
        <v>43800</v>
      </c>
      <c r="J1639" s="74">
        <f>EFEITO!$J$1639*EFEITO!$Y$1639</f>
        <v>0</v>
      </c>
      <c r="K1639" s="74">
        <f ca="1">EFEITO!$L$1639*EFEITO!$Z$1639</f>
        <v>60099.676085764062</v>
      </c>
      <c r="L1639" s="74">
        <f>EFEITO!$N$1639*EFEITO!$AA$1639</f>
        <v>17294.596444893712</v>
      </c>
      <c r="M1639" s="74">
        <f>$J$1639-EFEITO!$K$1639*EFEITO!$Y$1639</f>
        <v>0</v>
      </c>
      <c r="N1639" s="74">
        <f ca="1">$K$1639-EFEITO!$M$1639*EFEITO!$Z$1639</f>
        <v>0</v>
      </c>
      <c r="O1639" s="74">
        <f>$L$1639-EFEITO!$O$1639*EFEITO!$AA$1639</f>
        <v>0</v>
      </c>
      <c r="P1639" s="57"/>
      <c r="Q1639" s="57"/>
      <c r="R1639" s="57"/>
      <c r="S1639" s="57"/>
      <c r="T1639" s="57"/>
      <c r="U1639" s="57"/>
      <c r="V1639" s="57"/>
      <c r="W1639" s="57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</row>
    <row r="1640" spans="1:36" ht="11.25" customHeight="1" x14ac:dyDescent="0.2">
      <c r="A1640" s="53" t="s">
        <v>28</v>
      </c>
      <c r="B1640" s="53" t="s">
        <v>44</v>
      </c>
      <c r="C1640" s="53" t="s">
        <v>34</v>
      </c>
      <c r="D1640" s="53" t="s">
        <v>48</v>
      </c>
      <c r="E1640" s="53" t="s">
        <v>25</v>
      </c>
      <c r="F1640" s="53" t="s">
        <v>25</v>
      </c>
      <c r="G1640" s="53" t="s">
        <v>25</v>
      </c>
      <c r="H1640" s="53" t="s">
        <v>35</v>
      </c>
      <c r="I1640" s="73">
        <v>43800</v>
      </c>
      <c r="J1640" s="74">
        <f>EFEITO!$J$1640*EFEITO!$Y$1640</f>
        <v>0</v>
      </c>
      <c r="K1640" s="74">
        <f ca="1">EFEITO!$L$1640*EFEITO!$Z$1640</f>
        <v>160905.08707785903</v>
      </c>
      <c r="L1640" s="74">
        <f>EFEITO!$N$1640*EFEITO!$AA$1640</f>
        <v>46302.887605765638</v>
      </c>
      <c r="M1640" s="74">
        <f>$J$1640-EFEITO!$K$1640*EFEITO!$Y$1640</f>
        <v>0</v>
      </c>
      <c r="N1640" s="74">
        <f ca="1">$K$1640-EFEITO!$M$1640*EFEITO!$Z$1640</f>
        <v>0</v>
      </c>
      <c r="O1640" s="74">
        <f>$L$1640-EFEITO!$O$1640*EFEITO!$AA$1640</f>
        <v>0</v>
      </c>
      <c r="P1640" s="57"/>
      <c r="Q1640" s="57"/>
      <c r="R1640" s="57"/>
      <c r="S1640" s="57"/>
      <c r="T1640" s="57"/>
      <c r="U1640" s="57"/>
      <c r="V1640" s="57"/>
      <c r="W1640" s="57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</row>
    <row r="1641" spans="1:36" ht="11.25" customHeight="1" x14ac:dyDescent="0.2">
      <c r="A1641" s="53" t="s">
        <v>21</v>
      </c>
      <c r="B1641" s="53" t="s">
        <v>44</v>
      </c>
      <c r="C1641" s="53" t="s">
        <v>34</v>
      </c>
      <c r="D1641" s="53" t="s">
        <v>48</v>
      </c>
      <c r="E1641" s="53" t="s">
        <v>25</v>
      </c>
      <c r="F1641" s="53" t="s">
        <v>25</v>
      </c>
      <c r="G1641" s="53" t="s">
        <v>25</v>
      </c>
      <c r="H1641" s="53" t="s">
        <v>35</v>
      </c>
      <c r="I1641" s="73">
        <v>43831</v>
      </c>
      <c r="J1641" s="74">
        <f>EFEITO!$J$1641*EFEITO!$Y$1641</f>
        <v>0</v>
      </c>
      <c r="K1641" s="74">
        <f ca="1">EFEITO!$L$1641*EFEITO!$Z$1641</f>
        <v>1510297.7839557361</v>
      </c>
      <c r="L1641" s="74">
        <f>EFEITO!$N$1641*EFEITO!$AA$1641</f>
        <v>434611.17241060839</v>
      </c>
      <c r="M1641" s="74">
        <f>$J$1641-EFEITO!$K$1641*EFEITO!$Y$1641</f>
        <v>0</v>
      </c>
      <c r="N1641" s="74">
        <f ca="1">$K$1641-EFEITO!$M$1641*EFEITO!$Z$1641</f>
        <v>0</v>
      </c>
      <c r="O1641" s="74">
        <f>$L$1641-EFEITO!$O$1641*EFEITO!$AA$1641</f>
        <v>0</v>
      </c>
      <c r="P1641" s="57"/>
      <c r="Q1641" s="57"/>
      <c r="R1641" s="57"/>
      <c r="S1641" s="57"/>
      <c r="T1641" s="57"/>
      <c r="U1641" s="57"/>
      <c r="V1641" s="57"/>
      <c r="W1641" s="57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</row>
    <row r="1642" spans="1:36" ht="11.25" customHeight="1" x14ac:dyDescent="0.2">
      <c r="A1642" s="53" t="s">
        <v>28</v>
      </c>
      <c r="B1642" s="53" t="s">
        <v>44</v>
      </c>
      <c r="C1642" s="53" t="s">
        <v>34</v>
      </c>
      <c r="D1642" s="53" t="s">
        <v>48</v>
      </c>
      <c r="E1642" s="53" t="s">
        <v>25</v>
      </c>
      <c r="F1642" s="53" t="s">
        <v>25</v>
      </c>
      <c r="G1642" s="53" t="s">
        <v>25</v>
      </c>
      <c r="H1642" s="53" t="s">
        <v>35</v>
      </c>
      <c r="I1642" s="73">
        <v>43831</v>
      </c>
      <c r="J1642" s="74">
        <f>EFEITO!$J$1642*EFEITO!$Y$1642</f>
        <v>0</v>
      </c>
      <c r="K1642" s="74">
        <f ca="1">EFEITO!$L$1642*EFEITO!$Z$1642</f>
        <v>157552.43538154237</v>
      </c>
      <c r="L1642" s="74">
        <f>EFEITO!$N$1642*EFEITO!$AA$1642</f>
        <v>45338.111056465401</v>
      </c>
      <c r="M1642" s="74">
        <f>$J$1642-EFEITO!$K$1642*EFEITO!$Y$1642</f>
        <v>0</v>
      </c>
      <c r="N1642" s="74">
        <f ca="1">$K$1642-EFEITO!$M$1642*EFEITO!$Z$1642</f>
        <v>0</v>
      </c>
      <c r="O1642" s="74">
        <f>$L$1642-EFEITO!$O$1642*EFEITO!$AA$1642</f>
        <v>0</v>
      </c>
      <c r="P1642" s="57"/>
      <c r="Q1642" s="57"/>
      <c r="R1642" s="57"/>
      <c r="S1642" s="57"/>
      <c r="T1642" s="57"/>
      <c r="U1642" s="57"/>
      <c r="V1642" s="57"/>
      <c r="W1642" s="57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</row>
    <row r="1643" spans="1:36" ht="11.25" customHeight="1" x14ac:dyDescent="0.2">
      <c r="A1643" s="53" t="s">
        <v>21</v>
      </c>
      <c r="B1643" s="53" t="s">
        <v>44</v>
      </c>
      <c r="C1643" s="53" t="s">
        <v>34</v>
      </c>
      <c r="D1643" s="53" t="s">
        <v>48</v>
      </c>
      <c r="E1643" s="53" t="s">
        <v>25</v>
      </c>
      <c r="F1643" s="53" t="s">
        <v>25</v>
      </c>
      <c r="G1643" s="53" t="s">
        <v>25</v>
      </c>
      <c r="H1643" s="53" t="s">
        <v>35</v>
      </c>
      <c r="I1643" s="73">
        <v>43862</v>
      </c>
      <c r="J1643" s="74">
        <f>EFEITO!$J$1643*EFEITO!$Y$1643</f>
        <v>0</v>
      </c>
      <c r="K1643" s="74">
        <f ca="1">EFEITO!$L$1643*EFEITO!$Z$1643</f>
        <v>1618014.7751971693</v>
      </c>
      <c r="L1643" s="74">
        <f>EFEITO!$N$1643*EFEITO!$AA$1643</f>
        <v>465608.37597490533</v>
      </c>
      <c r="M1643" s="74">
        <f>$J$1643-EFEITO!$K$1643*EFEITO!$Y$1643</f>
        <v>0</v>
      </c>
      <c r="N1643" s="74">
        <f ca="1">$K$1643-EFEITO!$M$1643*EFEITO!$Z$1643</f>
        <v>0</v>
      </c>
      <c r="O1643" s="74">
        <f>$L$1643-EFEITO!$O$1643*EFEITO!$AA$1643</f>
        <v>0</v>
      </c>
      <c r="P1643" s="57"/>
      <c r="Q1643" s="57"/>
      <c r="R1643" s="57"/>
      <c r="S1643" s="57"/>
      <c r="T1643" s="57"/>
      <c r="U1643" s="57"/>
      <c r="V1643" s="57"/>
      <c r="W1643" s="57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</row>
    <row r="1644" spans="1:36" ht="11.25" customHeight="1" x14ac:dyDescent="0.2">
      <c r="A1644" s="53" t="s">
        <v>28</v>
      </c>
      <c r="B1644" s="53" t="s">
        <v>44</v>
      </c>
      <c r="C1644" s="53" t="s">
        <v>34</v>
      </c>
      <c r="D1644" s="53" t="s">
        <v>48</v>
      </c>
      <c r="E1644" s="53" t="s">
        <v>25</v>
      </c>
      <c r="F1644" s="53" t="s">
        <v>25</v>
      </c>
      <c r="G1644" s="53" t="s">
        <v>25</v>
      </c>
      <c r="H1644" s="53" t="s">
        <v>35</v>
      </c>
      <c r="I1644" s="73">
        <v>43862</v>
      </c>
      <c r="J1644" s="74">
        <f>EFEITO!$J$1644*EFEITO!$Y$1644</f>
        <v>0</v>
      </c>
      <c r="K1644" s="74">
        <f ca="1">EFEITO!$L$1644*EFEITO!$Z$1644</f>
        <v>181220.74636383407</v>
      </c>
      <c r="L1644" s="74">
        <f>EFEITO!$N$1644*EFEITO!$AA$1644</f>
        <v>52149.027747378161</v>
      </c>
      <c r="M1644" s="74">
        <f>$J$1644-EFEITO!$K$1644*EFEITO!$Y$1644</f>
        <v>0</v>
      </c>
      <c r="N1644" s="74">
        <f ca="1">$K$1644-EFEITO!$M$1644*EFEITO!$Z$1644</f>
        <v>0</v>
      </c>
      <c r="O1644" s="74">
        <f>$L$1644-EFEITO!$O$1644*EFEITO!$AA$1644</f>
        <v>0</v>
      </c>
      <c r="P1644" s="57"/>
      <c r="Q1644" s="57"/>
      <c r="R1644" s="57"/>
      <c r="S1644" s="57"/>
      <c r="T1644" s="57"/>
      <c r="U1644" s="57"/>
      <c r="V1644" s="57"/>
      <c r="W1644" s="57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</row>
    <row r="1645" spans="1:36" ht="11.25" customHeight="1" x14ac:dyDescent="0.2">
      <c r="A1645" s="53" t="s">
        <v>21</v>
      </c>
      <c r="B1645" s="53" t="s">
        <v>44</v>
      </c>
      <c r="C1645" s="53" t="s">
        <v>34</v>
      </c>
      <c r="D1645" s="53" t="s">
        <v>48</v>
      </c>
      <c r="E1645" s="53" t="s">
        <v>25</v>
      </c>
      <c r="F1645" s="53" t="s">
        <v>25</v>
      </c>
      <c r="G1645" s="53" t="s">
        <v>25</v>
      </c>
      <c r="H1645" s="53" t="s">
        <v>35</v>
      </c>
      <c r="I1645" s="73">
        <v>43891</v>
      </c>
      <c r="J1645" s="74">
        <f>EFEITO!$J$1645*EFEITO!$Y$1645</f>
        <v>0</v>
      </c>
      <c r="K1645" s="74">
        <f ca="1">EFEITO!$L$1645*EFEITO!$Z$1645</f>
        <v>1513496.380784387</v>
      </c>
      <c r="L1645" s="74">
        <f>EFEITO!$N$1645*EFEITO!$AA$1645</f>
        <v>435531.61732719158</v>
      </c>
      <c r="M1645" s="74">
        <f>$J$1645-EFEITO!$K$1645*EFEITO!$Y$1645</f>
        <v>0</v>
      </c>
      <c r="N1645" s="74">
        <f ca="1">$K$1645-EFEITO!$M$1645*EFEITO!$Z$1645</f>
        <v>0</v>
      </c>
      <c r="O1645" s="74">
        <f>$L$1645-EFEITO!$O$1645*EFEITO!$AA$1645</f>
        <v>0</v>
      </c>
      <c r="P1645" s="57"/>
      <c r="Q1645" s="57"/>
      <c r="R1645" s="57"/>
      <c r="S1645" s="57"/>
      <c r="T1645" s="57"/>
      <c r="U1645" s="57"/>
      <c r="V1645" s="57"/>
      <c r="W1645" s="57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</row>
    <row r="1646" spans="1:36" ht="11.25" customHeight="1" x14ac:dyDescent="0.2">
      <c r="A1646" s="53" t="s">
        <v>28</v>
      </c>
      <c r="B1646" s="53" t="s">
        <v>44</v>
      </c>
      <c r="C1646" s="53" t="s">
        <v>34</v>
      </c>
      <c r="D1646" s="53" t="s">
        <v>48</v>
      </c>
      <c r="E1646" s="53" t="s">
        <v>25</v>
      </c>
      <c r="F1646" s="53" t="s">
        <v>25</v>
      </c>
      <c r="G1646" s="53" t="s">
        <v>25</v>
      </c>
      <c r="H1646" s="53" t="s">
        <v>35</v>
      </c>
      <c r="I1646" s="73">
        <v>43891</v>
      </c>
      <c r="J1646" s="74">
        <f>EFEITO!$J$1646*EFEITO!$Y$1646</f>
        <v>0</v>
      </c>
      <c r="K1646" s="74">
        <f ca="1">EFEITO!$L$1646*EFEITO!$Z$1646</f>
        <v>157912.76710591285</v>
      </c>
      <c r="L1646" s="74">
        <f>EFEITO!$N$1646*EFEITO!$AA$1646</f>
        <v>45441.801994007015</v>
      </c>
      <c r="M1646" s="74">
        <f>$J$1646-EFEITO!$K$1646*EFEITO!$Y$1646</f>
        <v>0</v>
      </c>
      <c r="N1646" s="74">
        <f ca="1">$K$1646-EFEITO!$M$1646*EFEITO!$Z$1646</f>
        <v>0</v>
      </c>
      <c r="O1646" s="74">
        <f>$L$1646-EFEITO!$O$1646*EFEITO!$AA$1646</f>
        <v>0</v>
      </c>
      <c r="P1646" s="57"/>
      <c r="Q1646" s="57"/>
      <c r="R1646" s="57"/>
      <c r="S1646" s="57"/>
      <c r="T1646" s="57"/>
      <c r="U1646" s="57"/>
      <c r="V1646" s="57"/>
      <c r="W1646" s="57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</row>
    <row r="1647" spans="1:36" ht="11.25" customHeight="1" x14ac:dyDescent="0.2">
      <c r="A1647" s="53" t="s">
        <v>21</v>
      </c>
      <c r="B1647" s="53" t="s">
        <v>44</v>
      </c>
      <c r="C1647" s="53" t="s">
        <v>34</v>
      </c>
      <c r="D1647" s="53" t="s">
        <v>48</v>
      </c>
      <c r="E1647" s="53" t="s">
        <v>25</v>
      </c>
      <c r="F1647" s="53" t="s">
        <v>25</v>
      </c>
      <c r="G1647" s="53" t="s">
        <v>25</v>
      </c>
      <c r="H1647" s="53" t="s">
        <v>35</v>
      </c>
      <c r="I1647" s="73">
        <v>43922</v>
      </c>
      <c r="J1647" s="74">
        <f>EFEITO!$J$1647*EFEITO!$Y$1647</f>
        <v>0</v>
      </c>
      <c r="K1647" s="74">
        <f ca="1">EFEITO!$L$1647*EFEITO!$Z$1647</f>
        <v>1432447.8537955477</v>
      </c>
      <c r="L1647" s="74">
        <f>EFEITO!$N$1647*EFEITO!$AA$1647</f>
        <v>412208.67021638219</v>
      </c>
      <c r="M1647" s="74">
        <f>$J$1647-EFEITO!$K$1647*EFEITO!$Y$1647</f>
        <v>0</v>
      </c>
      <c r="N1647" s="74">
        <f ca="1">$K$1647-EFEITO!$M$1647*EFEITO!$Z$1647</f>
        <v>0</v>
      </c>
      <c r="O1647" s="74">
        <f>$L$1647-EFEITO!$O$1647*EFEITO!$AA$1647</f>
        <v>0</v>
      </c>
      <c r="P1647" s="57"/>
      <c r="Q1647" s="57"/>
      <c r="R1647" s="57"/>
      <c r="S1647" s="57"/>
      <c r="T1647" s="57"/>
      <c r="U1647" s="57"/>
      <c r="V1647" s="57"/>
      <c r="W1647" s="57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</row>
    <row r="1648" spans="1:36" ht="11.25" customHeight="1" x14ac:dyDescent="0.2">
      <c r="A1648" s="53" t="s">
        <v>27</v>
      </c>
      <c r="B1648" s="53" t="s">
        <v>44</v>
      </c>
      <c r="C1648" s="53" t="s">
        <v>34</v>
      </c>
      <c r="D1648" s="53" t="s">
        <v>48</v>
      </c>
      <c r="E1648" s="53" t="s">
        <v>25</v>
      </c>
      <c r="F1648" s="53" t="s">
        <v>25</v>
      </c>
      <c r="G1648" s="53" t="s">
        <v>25</v>
      </c>
      <c r="H1648" s="53" t="s">
        <v>35</v>
      </c>
      <c r="I1648" s="73">
        <v>43922</v>
      </c>
      <c r="J1648" s="74">
        <f>EFEITO!$J$1648*EFEITO!$Y$1648</f>
        <v>0</v>
      </c>
      <c r="K1648" s="74">
        <f ca="1">EFEITO!$L$1648*EFEITO!$Z$1648</f>
        <v>25360.303427161813</v>
      </c>
      <c r="L1648" s="74">
        <f>EFEITO!$N$1648*EFEITO!$AA$1648</f>
        <v>7297.8132671951244</v>
      </c>
      <c r="M1648" s="74">
        <f>$J$1648-EFEITO!$K$1648*EFEITO!$Y$1648</f>
        <v>0</v>
      </c>
      <c r="N1648" s="74">
        <f ca="1">$K$1648-EFEITO!$M$1648*EFEITO!$Z$1648</f>
        <v>0</v>
      </c>
      <c r="O1648" s="74">
        <f>$L$1648-EFEITO!$O$1648*EFEITO!$AA$1648</f>
        <v>0</v>
      </c>
      <c r="P1648" s="57"/>
      <c r="Q1648" s="57"/>
      <c r="R1648" s="57"/>
      <c r="S1648" s="57"/>
      <c r="T1648" s="57"/>
      <c r="U1648" s="57"/>
      <c r="V1648" s="57"/>
      <c r="W1648" s="57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</row>
    <row r="1649" spans="1:36" ht="11.25" customHeight="1" x14ac:dyDescent="0.2">
      <c r="A1649" s="53" t="s">
        <v>28</v>
      </c>
      <c r="B1649" s="53" t="s">
        <v>44</v>
      </c>
      <c r="C1649" s="53" t="s">
        <v>34</v>
      </c>
      <c r="D1649" s="53" t="s">
        <v>48</v>
      </c>
      <c r="E1649" s="53" t="s">
        <v>25</v>
      </c>
      <c r="F1649" s="53" t="s">
        <v>25</v>
      </c>
      <c r="G1649" s="53" t="s">
        <v>25</v>
      </c>
      <c r="H1649" s="53" t="s">
        <v>35</v>
      </c>
      <c r="I1649" s="73">
        <v>43922</v>
      </c>
      <c r="J1649" s="74">
        <f>EFEITO!$J$1649*EFEITO!$Y$1649</f>
        <v>0</v>
      </c>
      <c r="K1649" s="74">
        <f ca="1">EFEITO!$L$1649*EFEITO!$Z$1649</f>
        <v>139854.40329615728</v>
      </c>
      <c r="L1649" s="74">
        <f>EFEITO!$N$1649*EFEITO!$AA$1649</f>
        <v>40245.232979240325</v>
      </c>
      <c r="M1649" s="74">
        <f>$J$1649-EFEITO!$K$1649*EFEITO!$Y$1649</f>
        <v>0</v>
      </c>
      <c r="N1649" s="74">
        <f ca="1">$K$1649-EFEITO!$M$1649*EFEITO!$Z$1649</f>
        <v>0</v>
      </c>
      <c r="O1649" s="74">
        <f>$L$1649-EFEITO!$O$1649*EFEITO!$AA$1649</f>
        <v>0</v>
      </c>
      <c r="P1649" s="57"/>
      <c r="Q1649" s="57"/>
      <c r="R1649" s="57"/>
      <c r="S1649" s="57"/>
      <c r="T1649" s="57"/>
      <c r="U1649" s="57"/>
      <c r="V1649" s="57"/>
      <c r="W1649" s="57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</row>
    <row r="1650" spans="1:36" ht="11.25" customHeight="1" x14ac:dyDescent="0.2">
      <c r="A1650" s="53" t="s">
        <v>21</v>
      </c>
      <c r="B1650" s="53" t="s">
        <v>44</v>
      </c>
      <c r="C1650" s="53" t="s">
        <v>34</v>
      </c>
      <c r="D1650" s="53" t="s">
        <v>48</v>
      </c>
      <c r="E1650" s="53" t="s">
        <v>25</v>
      </c>
      <c r="F1650" s="53" t="s">
        <v>25</v>
      </c>
      <c r="G1650" s="53" t="s">
        <v>25</v>
      </c>
      <c r="H1650" s="53" t="s">
        <v>35</v>
      </c>
      <c r="I1650" s="73">
        <v>43952</v>
      </c>
      <c r="J1650" s="74">
        <f>EFEITO!$J$1650*EFEITO!$Y$1650</f>
        <v>0</v>
      </c>
      <c r="K1650" s="74">
        <f ca="1">EFEITO!$L$1650*EFEITO!$Z$1650</f>
        <v>1025470.1432655232</v>
      </c>
      <c r="L1650" s="74">
        <f>EFEITO!$N$1650*EFEITO!$AA$1650</f>
        <v>295094.64025656396</v>
      </c>
      <c r="M1650" s="74">
        <f>$J$1650-EFEITO!$K$1650*EFEITO!$Y$1650</f>
        <v>0</v>
      </c>
      <c r="N1650" s="74">
        <f ca="1">$K$1650-EFEITO!$M$1650*EFEITO!$Z$1650</f>
        <v>0</v>
      </c>
      <c r="O1650" s="74">
        <f>$L$1650-EFEITO!$O$1650*EFEITO!$AA$1650</f>
        <v>0</v>
      </c>
      <c r="P1650" s="57"/>
      <c r="Q1650" s="57"/>
      <c r="R1650" s="57"/>
      <c r="S1650" s="57"/>
      <c r="T1650" s="57"/>
      <c r="U1650" s="57"/>
      <c r="V1650" s="57"/>
      <c r="W1650" s="57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</row>
    <row r="1651" spans="1:36" ht="11.25" customHeight="1" x14ac:dyDescent="0.2">
      <c r="A1651" s="53" t="s">
        <v>28</v>
      </c>
      <c r="B1651" s="53" t="s">
        <v>44</v>
      </c>
      <c r="C1651" s="53" t="s">
        <v>34</v>
      </c>
      <c r="D1651" s="53" t="s">
        <v>48</v>
      </c>
      <c r="E1651" s="53" t="s">
        <v>25</v>
      </c>
      <c r="F1651" s="53" t="s">
        <v>25</v>
      </c>
      <c r="G1651" s="53" t="s">
        <v>25</v>
      </c>
      <c r="H1651" s="53" t="s">
        <v>35</v>
      </c>
      <c r="I1651" s="73">
        <v>43952</v>
      </c>
      <c r="J1651" s="74">
        <f>EFEITO!$J$1651*EFEITO!$Y$1651</f>
        <v>0</v>
      </c>
      <c r="K1651" s="74">
        <f ca="1">EFEITO!$L$1651*EFEITO!$Z$1651</f>
        <v>88274.744722138785</v>
      </c>
      <c r="L1651" s="74">
        <f>EFEITO!$N$1651*EFEITO!$AA$1651</f>
        <v>25402.401238682021</v>
      </c>
      <c r="M1651" s="74">
        <f>$J$1651-EFEITO!$K$1651*EFEITO!$Y$1651</f>
        <v>0</v>
      </c>
      <c r="N1651" s="74">
        <f ca="1">$K$1651-EFEITO!$M$1651*EFEITO!$Z$1651</f>
        <v>0</v>
      </c>
      <c r="O1651" s="74">
        <f>$L$1651-EFEITO!$O$1651*EFEITO!$AA$1651</f>
        <v>0</v>
      </c>
      <c r="P1651" s="57"/>
      <c r="Q1651" s="57"/>
      <c r="R1651" s="57"/>
      <c r="S1651" s="57"/>
      <c r="T1651" s="57"/>
      <c r="U1651" s="57"/>
      <c r="V1651" s="57"/>
      <c r="W1651" s="57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</row>
    <row r="1652" spans="1:36" ht="11.25" customHeight="1" x14ac:dyDescent="0.2">
      <c r="A1652" s="53" t="s">
        <v>21</v>
      </c>
      <c r="B1652" s="53" t="s">
        <v>44</v>
      </c>
      <c r="C1652" s="53" t="s">
        <v>34</v>
      </c>
      <c r="D1652" s="53" t="s">
        <v>48</v>
      </c>
      <c r="E1652" s="53" t="s">
        <v>25</v>
      </c>
      <c r="F1652" s="53" t="s">
        <v>25</v>
      </c>
      <c r="G1652" s="53" t="s">
        <v>25</v>
      </c>
      <c r="H1652" s="53" t="s">
        <v>35</v>
      </c>
      <c r="I1652" s="73">
        <v>43983</v>
      </c>
      <c r="J1652" s="74">
        <f>EFEITO!$J$1652*EFEITO!$Y$1652</f>
        <v>0</v>
      </c>
      <c r="K1652" s="74">
        <f ca="1">EFEITO!$L$1652*EFEITO!$Z$1652</f>
        <v>1087923.7255072293</v>
      </c>
      <c r="L1652" s="74">
        <f>EFEITO!$N$1652*EFEITO!$AA$1652</f>
        <v>313066.60902170232</v>
      </c>
      <c r="M1652" s="74">
        <f>$J$1652-EFEITO!$K$1652*EFEITO!$Y$1652</f>
        <v>0</v>
      </c>
      <c r="N1652" s="74">
        <f ca="1">$K$1652-EFEITO!$M$1652*EFEITO!$Z$1652</f>
        <v>0</v>
      </c>
      <c r="O1652" s="74">
        <f>$L$1652-EFEITO!$O$1652*EFEITO!$AA$1652</f>
        <v>0</v>
      </c>
      <c r="P1652" s="57"/>
      <c r="Q1652" s="57"/>
      <c r="R1652" s="57"/>
      <c r="S1652" s="57"/>
      <c r="T1652" s="57"/>
      <c r="U1652" s="57"/>
      <c r="V1652" s="57"/>
      <c r="W1652" s="57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</row>
    <row r="1653" spans="1:36" ht="11.25" customHeight="1" x14ac:dyDescent="0.2">
      <c r="A1653" s="53" t="s">
        <v>28</v>
      </c>
      <c r="B1653" s="53" t="s">
        <v>44</v>
      </c>
      <c r="C1653" s="53" t="s">
        <v>34</v>
      </c>
      <c r="D1653" s="53" t="s">
        <v>48</v>
      </c>
      <c r="E1653" s="53" t="s">
        <v>25</v>
      </c>
      <c r="F1653" s="53" t="s">
        <v>25</v>
      </c>
      <c r="G1653" s="53" t="s">
        <v>25</v>
      </c>
      <c r="H1653" s="53" t="s">
        <v>35</v>
      </c>
      <c r="I1653" s="73">
        <v>43983</v>
      </c>
      <c r="J1653" s="74">
        <f>EFEITO!$J$1653*EFEITO!$Y$1653</f>
        <v>0</v>
      </c>
      <c r="K1653" s="74">
        <f ca="1">EFEITO!$L$1653*EFEITO!$Z$1653</f>
        <v>124575.55485301313</v>
      </c>
      <c r="L1653" s="74">
        <f>EFEITO!$N$1653*EFEITO!$AA$1653</f>
        <v>35848.511812394274</v>
      </c>
      <c r="M1653" s="74">
        <f>$J$1653-EFEITO!$K$1653*EFEITO!$Y$1653</f>
        <v>0</v>
      </c>
      <c r="N1653" s="74">
        <f ca="1">$K$1653-EFEITO!$M$1653*EFEITO!$Z$1653</f>
        <v>0</v>
      </c>
      <c r="O1653" s="74">
        <f>$L$1653-EFEITO!$O$1653*EFEITO!$AA$1653</f>
        <v>0</v>
      </c>
      <c r="P1653" s="57"/>
      <c r="Q1653" s="57"/>
      <c r="R1653" s="57"/>
      <c r="S1653" s="57"/>
      <c r="T1653" s="57"/>
      <c r="U1653" s="57"/>
      <c r="V1653" s="57"/>
      <c r="W1653" s="57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</row>
    <row r="1654" spans="1:36" ht="11.25" customHeight="1" x14ac:dyDescent="0.2">
      <c r="A1654" s="53" t="s">
        <v>21</v>
      </c>
      <c r="B1654" s="53" t="s">
        <v>44</v>
      </c>
      <c r="C1654" s="53" t="s">
        <v>34</v>
      </c>
      <c r="D1654" s="53" t="s">
        <v>48</v>
      </c>
      <c r="E1654" s="53" t="s">
        <v>25</v>
      </c>
      <c r="F1654" s="53" t="s">
        <v>25</v>
      </c>
      <c r="G1654" s="53" t="s">
        <v>25</v>
      </c>
      <c r="H1654" s="53" t="s">
        <v>35</v>
      </c>
      <c r="I1654" s="73">
        <v>44013</v>
      </c>
      <c r="J1654" s="74">
        <f>EFEITO!$J$1654*EFEITO!$Y$1654</f>
        <v>0</v>
      </c>
      <c r="K1654" s="74">
        <f ca="1">EFEITO!$L$1654*EFEITO!$Z$1654</f>
        <v>1029624.4024935917</v>
      </c>
      <c r="L1654" s="74">
        <f>EFEITO!$N$1654*EFEITO!$AA$1654</f>
        <v>296290.09157271398</v>
      </c>
      <c r="M1654" s="74">
        <f>$J$1654-EFEITO!$K$1654*EFEITO!$Y$1654</f>
        <v>0</v>
      </c>
      <c r="N1654" s="74">
        <f ca="1">$K$1654-EFEITO!$M$1654*EFEITO!$Z$1654</f>
        <v>0</v>
      </c>
      <c r="O1654" s="74">
        <f>$L$1654-EFEITO!$O$1654*EFEITO!$AA$1654</f>
        <v>0</v>
      </c>
      <c r="P1654" s="57"/>
      <c r="Q1654" s="57"/>
      <c r="R1654" s="57"/>
      <c r="S1654" s="57"/>
      <c r="T1654" s="57"/>
      <c r="U1654" s="57"/>
      <c r="V1654" s="57"/>
      <c r="W1654" s="57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</row>
    <row r="1655" spans="1:36" ht="11.25" customHeight="1" x14ac:dyDescent="0.2">
      <c r="A1655" s="53" t="s">
        <v>28</v>
      </c>
      <c r="B1655" s="53" t="s">
        <v>44</v>
      </c>
      <c r="C1655" s="53" t="s">
        <v>34</v>
      </c>
      <c r="D1655" s="53" t="s">
        <v>48</v>
      </c>
      <c r="E1655" s="53" t="s">
        <v>25</v>
      </c>
      <c r="F1655" s="53" t="s">
        <v>25</v>
      </c>
      <c r="G1655" s="53" t="s">
        <v>25</v>
      </c>
      <c r="H1655" s="53" t="s">
        <v>35</v>
      </c>
      <c r="I1655" s="73">
        <v>44013</v>
      </c>
      <c r="J1655" s="74">
        <f>EFEITO!$J$1655*EFEITO!$Y$1655</f>
        <v>0</v>
      </c>
      <c r="K1655" s="74">
        <f ca="1">EFEITO!$L$1655*EFEITO!$Z$1655</f>
        <v>122687.72994924604</v>
      </c>
      <c r="L1655" s="74">
        <f>EFEITO!$N$1655*EFEITO!$AA$1655</f>
        <v>35305.261465708863</v>
      </c>
      <c r="M1655" s="74">
        <f>$J$1655-EFEITO!$K$1655*EFEITO!$Y$1655</f>
        <v>0</v>
      </c>
      <c r="N1655" s="74">
        <f ca="1">$K$1655-EFEITO!$M$1655*EFEITO!$Z$1655</f>
        <v>0</v>
      </c>
      <c r="O1655" s="74">
        <f>$L$1655-EFEITO!$O$1655*EFEITO!$AA$1655</f>
        <v>0</v>
      </c>
      <c r="P1655" s="57"/>
      <c r="Q1655" s="57"/>
      <c r="R1655" s="57"/>
      <c r="S1655" s="57"/>
      <c r="T1655" s="57"/>
      <c r="U1655" s="57"/>
      <c r="V1655" s="57"/>
      <c r="W1655" s="57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</row>
    <row r="1656" spans="1:36" ht="11.25" customHeight="1" x14ac:dyDescent="0.2">
      <c r="A1656" s="53" t="s">
        <v>21</v>
      </c>
      <c r="B1656" s="53" t="s">
        <v>44</v>
      </c>
      <c r="C1656" s="53" t="s">
        <v>34</v>
      </c>
      <c r="D1656" s="53" t="s">
        <v>48</v>
      </c>
      <c r="E1656" s="53" t="s">
        <v>25</v>
      </c>
      <c r="F1656" s="53" t="s">
        <v>25</v>
      </c>
      <c r="G1656" s="53" t="s">
        <v>25</v>
      </c>
      <c r="H1656" s="53" t="s">
        <v>35</v>
      </c>
      <c r="I1656" s="73">
        <v>44044</v>
      </c>
      <c r="J1656" s="74">
        <f>EFEITO!$J$1656*EFEITO!$Y$1656</f>
        <v>0</v>
      </c>
      <c r="K1656" s="74">
        <f ca="1">EFEITO!$L$1656*EFEITO!$Z$1656</f>
        <v>988698.02968357003</v>
      </c>
      <c r="L1656" s="74">
        <f>EFEITO!$N$1656*EFEITO!$AA$1656</f>
        <v>284512.90494208166</v>
      </c>
      <c r="M1656" s="74">
        <f>$J$1656-EFEITO!$K$1656*EFEITO!$Y$1656</f>
        <v>0</v>
      </c>
      <c r="N1656" s="74">
        <f ca="1">$K$1656-EFEITO!$M$1656*EFEITO!$Z$1656</f>
        <v>0</v>
      </c>
      <c r="O1656" s="74">
        <f>$L$1656-EFEITO!$O$1656*EFEITO!$AA$1656</f>
        <v>0</v>
      </c>
      <c r="P1656" s="57"/>
      <c r="Q1656" s="57"/>
      <c r="R1656" s="57"/>
      <c r="S1656" s="57"/>
      <c r="T1656" s="57"/>
      <c r="U1656" s="57"/>
      <c r="V1656" s="57"/>
      <c r="W1656" s="57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</row>
    <row r="1657" spans="1:36" ht="11.25" customHeight="1" x14ac:dyDescent="0.2">
      <c r="A1657" s="53" t="s">
        <v>27</v>
      </c>
      <c r="B1657" s="53" t="s">
        <v>44</v>
      </c>
      <c r="C1657" s="53" t="s">
        <v>34</v>
      </c>
      <c r="D1657" s="53" t="s">
        <v>48</v>
      </c>
      <c r="E1657" s="53" t="s">
        <v>25</v>
      </c>
      <c r="F1657" s="53" t="s">
        <v>25</v>
      </c>
      <c r="G1657" s="53" t="s">
        <v>25</v>
      </c>
      <c r="H1657" s="53" t="s">
        <v>35</v>
      </c>
      <c r="I1657" s="73">
        <v>44044</v>
      </c>
      <c r="J1657" s="74">
        <f>EFEITO!$J$1657*EFEITO!$Y$1657</f>
        <v>0</v>
      </c>
      <c r="K1657" s="74">
        <f ca="1">EFEITO!$L$1657*EFEITO!$Z$1657</f>
        <v>25240.192852371649</v>
      </c>
      <c r="L1657" s="74">
        <f>EFEITO!$N$1657*EFEITO!$AA$1657</f>
        <v>7263.2496213479189</v>
      </c>
      <c r="M1657" s="74">
        <f>$J$1657-EFEITO!$K$1657*EFEITO!$Y$1657</f>
        <v>0</v>
      </c>
      <c r="N1657" s="74">
        <f ca="1">$K$1657-EFEITO!$M$1657*EFEITO!$Z$1657</f>
        <v>0</v>
      </c>
      <c r="O1657" s="74">
        <f>$L$1657-EFEITO!$O$1657*EFEITO!$AA$1657</f>
        <v>0</v>
      </c>
      <c r="P1657" s="57"/>
      <c r="Q1657" s="57"/>
      <c r="R1657" s="57"/>
      <c r="S1657" s="57"/>
      <c r="T1657" s="57"/>
      <c r="U1657" s="57"/>
      <c r="V1657" s="57"/>
      <c r="W1657" s="57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</row>
    <row r="1658" spans="1:36" ht="11.25" customHeight="1" x14ac:dyDescent="0.2">
      <c r="A1658" s="53" t="s">
        <v>28</v>
      </c>
      <c r="B1658" s="53" t="s">
        <v>44</v>
      </c>
      <c r="C1658" s="53" t="s">
        <v>34</v>
      </c>
      <c r="D1658" s="53" t="s">
        <v>48</v>
      </c>
      <c r="E1658" s="53" t="s">
        <v>25</v>
      </c>
      <c r="F1658" s="53" t="s">
        <v>25</v>
      </c>
      <c r="G1658" s="53" t="s">
        <v>25</v>
      </c>
      <c r="H1658" s="53" t="s">
        <v>35</v>
      </c>
      <c r="I1658" s="73">
        <v>44044</v>
      </c>
      <c r="J1658" s="74">
        <f>EFEITO!$J$1658*EFEITO!$Y$1658</f>
        <v>0</v>
      </c>
      <c r="K1658" s="74">
        <f ca="1">EFEITO!$L$1658*EFEITO!$Z$1658</f>
        <v>122413.56450679022</v>
      </c>
      <c r="L1658" s="74">
        <f>EFEITO!$N$1658*EFEITO!$AA$1658</f>
        <v>35226.366187144587</v>
      </c>
      <c r="M1658" s="74">
        <f>$J$1658-EFEITO!$K$1658*EFEITO!$Y$1658</f>
        <v>0</v>
      </c>
      <c r="N1658" s="74">
        <f ca="1">$K$1658-EFEITO!$M$1658*EFEITO!$Z$1658</f>
        <v>0</v>
      </c>
      <c r="O1658" s="74">
        <f>$L$1658-EFEITO!$O$1658*EFEITO!$AA$1658</f>
        <v>0</v>
      </c>
      <c r="P1658" s="57"/>
      <c r="Q1658" s="57"/>
      <c r="R1658" s="57"/>
      <c r="S1658" s="57"/>
      <c r="T1658" s="57"/>
      <c r="U1658" s="57"/>
      <c r="V1658" s="57"/>
      <c r="W1658" s="57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</row>
    <row r="1659" spans="1:36" ht="11.25" customHeight="1" x14ac:dyDescent="0.2">
      <c r="A1659" s="53" t="s">
        <v>59</v>
      </c>
      <c r="B1659" s="53" t="s">
        <v>44</v>
      </c>
      <c r="C1659" s="53" t="s">
        <v>34</v>
      </c>
      <c r="D1659" s="53" t="s">
        <v>48</v>
      </c>
      <c r="E1659" s="53" t="s">
        <v>25</v>
      </c>
      <c r="F1659" s="53" t="s">
        <v>25</v>
      </c>
      <c r="G1659" s="53" t="s">
        <v>25</v>
      </c>
      <c r="H1659" s="53" t="s">
        <v>35</v>
      </c>
      <c r="I1659" s="73">
        <v>44075</v>
      </c>
      <c r="J1659" s="74">
        <f>EFEITO!$J$1659*EFEITO!$Y$1659</f>
        <v>0</v>
      </c>
      <c r="K1659" s="74">
        <f ca="1">EFEITO!$L$1659*EFEITO!$Z$1659</f>
        <v>988698.02968357003</v>
      </c>
      <c r="L1659" s="74">
        <f>EFEITO!$N$1659*EFEITO!$AA$1659</f>
        <v>284512.90494208166</v>
      </c>
      <c r="M1659" s="74">
        <f>$J$1659-EFEITO!$K$1659*EFEITO!$Y$1659</f>
        <v>0</v>
      </c>
      <c r="N1659" s="74">
        <f ca="1">$K$1659-EFEITO!$M$1659*EFEITO!$Z$1659</f>
        <v>0</v>
      </c>
      <c r="O1659" s="74">
        <f>$L$1659-EFEITO!$O$1659*EFEITO!$AA$1659</f>
        <v>0</v>
      </c>
      <c r="P1659" s="57"/>
      <c r="Q1659" s="57"/>
      <c r="R1659" s="57"/>
      <c r="S1659" s="57"/>
      <c r="T1659" s="57"/>
      <c r="U1659" s="57"/>
      <c r="V1659" s="57"/>
      <c r="W1659" s="57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</row>
    <row r="1660" spans="1:36" ht="11.25" customHeight="1" x14ac:dyDescent="0.2">
      <c r="A1660" s="53" t="s">
        <v>59</v>
      </c>
      <c r="B1660" s="53" t="s">
        <v>44</v>
      </c>
      <c r="C1660" s="53" t="s">
        <v>34</v>
      </c>
      <c r="D1660" s="53" t="s">
        <v>48</v>
      </c>
      <c r="E1660" s="53" t="s">
        <v>25</v>
      </c>
      <c r="F1660" s="53" t="s">
        <v>25</v>
      </c>
      <c r="G1660" s="53" t="s">
        <v>25</v>
      </c>
      <c r="H1660" s="53" t="s">
        <v>35</v>
      </c>
      <c r="I1660" s="73">
        <v>44075</v>
      </c>
      <c r="J1660" s="74">
        <f>EFEITO!$J$1660*EFEITO!$Y$1660</f>
        <v>0</v>
      </c>
      <c r="K1660" s="74">
        <f ca="1">EFEITO!$L$1660*EFEITO!$Z$1660</f>
        <v>25240.192852371649</v>
      </c>
      <c r="L1660" s="74">
        <f>EFEITO!$N$1660*EFEITO!$AA$1660</f>
        <v>7263.2496213479189</v>
      </c>
      <c r="M1660" s="74">
        <f>$J$1660-EFEITO!$K$1660*EFEITO!$Y$1660</f>
        <v>0</v>
      </c>
      <c r="N1660" s="74">
        <f ca="1">$K$1660-EFEITO!$M$1660*EFEITO!$Z$1660</f>
        <v>0</v>
      </c>
      <c r="O1660" s="74">
        <f>$L$1660-EFEITO!$O$1660*EFEITO!$AA$1660</f>
        <v>0</v>
      </c>
      <c r="P1660" s="57"/>
      <c r="Q1660" s="57"/>
      <c r="R1660" s="57"/>
      <c r="S1660" s="57"/>
      <c r="T1660" s="57"/>
      <c r="U1660" s="57"/>
      <c r="V1660" s="57"/>
      <c r="W1660" s="57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</row>
    <row r="1661" spans="1:36" ht="11.25" customHeight="1" x14ac:dyDescent="0.2">
      <c r="A1661" s="53" t="s">
        <v>59</v>
      </c>
      <c r="B1661" s="53" t="s">
        <v>44</v>
      </c>
      <c r="C1661" s="53" t="s">
        <v>34</v>
      </c>
      <c r="D1661" s="53" t="s">
        <v>48</v>
      </c>
      <c r="E1661" s="53" t="s">
        <v>25</v>
      </c>
      <c r="F1661" s="53" t="s">
        <v>25</v>
      </c>
      <c r="G1661" s="53" t="s">
        <v>25</v>
      </c>
      <c r="H1661" s="53" t="s">
        <v>35</v>
      </c>
      <c r="I1661" s="73">
        <v>44075</v>
      </c>
      <c r="J1661" s="74">
        <f>EFEITO!$J$1661*EFEITO!$Y$1661</f>
        <v>0</v>
      </c>
      <c r="K1661" s="74">
        <f ca="1">EFEITO!$L$1661*EFEITO!$Z$1661</f>
        <v>122413.56450679022</v>
      </c>
      <c r="L1661" s="74">
        <f>EFEITO!$N$1661*EFEITO!$AA$1661</f>
        <v>35226.366187144587</v>
      </c>
      <c r="M1661" s="74">
        <f>$J$1661-EFEITO!$K$1661*EFEITO!$Y$1661</f>
        <v>0</v>
      </c>
      <c r="N1661" s="74">
        <f ca="1">$K$1661-EFEITO!$M$1661*EFEITO!$Z$1661</f>
        <v>0</v>
      </c>
      <c r="O1661" s="74">
        <f>$L$1661-EFEITO!$O$1661*EFEITO!$AA$1661</f>
        <v>0</v>
      </c>
      <c r="P1661" s="57"/>
      <c r="Q1661" s="57"/>
      <c r="R1661" s="57"/>
      <c r="S1661" s="57"/>
      <c r="T1661" s="57"/>
      <c r="U1661" s="57"/>
      <c r="V1661" s="57"/>
      <c r="W1661" s="57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</row>
    <row r="1662" spans="1:36" ht="11.25" customHeight="1" x14ac:dyDescent="0.2">
      <c r="A1662" s="53" t="s">
        <v>21</v>
      </c>
      <c r="B1662" s="53" t="s">
        <v>22</v>
      </c>
      <c r="C1662" s="53" t="s">
        <v>37</v>
      </c>
      <c r="D1662" s="53" t="s">
        <v>24</v>
      </c>
      <c r="E1662" s="53" t="s">
        <v>24</v>
      </c>
      <c r="F1662" s="53" t="s">
        <v>25</v>
      </c>
      <c r="G1662" s="53" t="s">
        <v>25</v>
      </c>
      <c r="H1662" s="53" t="s">
        <v>36</v>
      </c>
      <c r="I1662" s="73">
        <v>43739</v>
      </c>
      <c r="J1662" s="74">
        <f>EFEITO!$J$1662*EFEITO!$Y$1662</f>
        <v>0</v>
      </c>
      <c r="K1662" s="74">
        <f ca="1">EFEITO!$L$1662*EFEITO!$Z$1662</f>
        <v>38121.374083002629</v>
      </c>
      <c r="L1662" s="74">
        <f>EFEITO!$N$1662*EFEITO!$AA$1662</f>
        <v>43414.605603080097</v>
      </c>
      <c r="M1662" s="74">
        <f>$J$1662-EFEITO!$K$1662*EFEITO!$Y$1662</f>
        <v>0</v>
      </c>
      <c r="N1662" s="74">
        <f ca="1">$K$1662-EFEITO!$M$1662*EFEITO!$Z$1662</f>
        <v>0</v>
      </c>
      <c r="O1662" s="74">
        <f>$L$1662-EFEITO!$O$1662*EFEITO!$AA$1662</f>
        <v>0</v>
      </c>
      <c r="P1662" s="57"/>
      <c r="Q1662" s="57"/>
      <c r="R1662" s="57"/>
      <c r="S1662" s="57"/>
      <c r="T1662" s="57"/>
      <c r="U1662" s="57"/>
      <c r="V1662" s="57"/>
      <c r="W1662" s="57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</row>
    <row r="1663" spans="1:36" ht="11.25" customHeight="1" x14ac:dyDescent="0.2">
      <c r="A1663" s="53" t="s">
        <v>27</v>
      </c>
      <c r="B1663" s="53" t="s">
        <v>22</v>
      </c>
      <c r="C1663" s="53" t="s">
        <v>37</v>
      </c>
      <c r="D1663" s="53" t="s">
        <v>24</v>
      </c>
      <c r="E1663" s="53" t="s">
        <v>24</v>
      </c>
      <c r="F1663" s="53" t="s">
        <v>25</v>
      </c>
      <c r="G1663" s="53" t="s">
        <v>25</v>
      </c>
      <c r="H1663" s="53" t="s">
        <v>36</v>
      </c>
      <c r="I1663" s="73">
        <v>43739</v>
      </c>
      <c r="J1663" s="74">
        <f>EFEITO!$J$1663*EFEITO!$Y$1663</f>
        <v>0</v>
      </c>
      <c r="K1663" s="74">
        <f ca="1">EFEITO!$L$1663*EFEITO!$Z$1663</f>
        <v>886.97253245861805</v>
      </c>
      <c r="L1663" s="74">
        <f>EFEITO!$N$1663*EFEITO!$AA$1663</f>
        <v>1010.1305003752639</v>
      </c>
      <c r="M1663" s="74">
        <f>$J$1663-EFEITO!$K$1663*EFEITO!$Y$1663</f>
        <v>0</v>
      </c>
      <c r="N1663" s="74">
        <f ca="1">$K$1663-EFEITO!$M$1663*EFEITO!$Z$1663</f>
        <v>0</v>
      </c>
      <c r="O1663" s="74">
        <f>$L$1663-EFEITO!$O$1663*EFEITO!$AA$1663</f>
        <v>0</v>
      </c>
      <c r="P1663" s="57"/>
      <c r="Q1663" s="57"/>
      <c r="R1663" s="57"/>
      <c r="S1663" s="57"/>
      <c r="T1663" s="57"/>
      <c r="U1663" s="57"/>
      <c r="V1663" s="57"/>
      <c r="W1663" s="57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</row>
    <row r="1664" spans="1:36" ht="11.25" customHeight="1" x14ac:dyDescent="0.2">
      <c r="A1664" s="53" t="s">
        <v>28</v>
      </c>
      <c r="B1664" s="53" t="s">
        <v>22</v>
      </c>
      <c r="C1664" s="53" t="s">
        <v>37</v>
      </c>
      <c r="D1664" s="53" t="s">
        <v>24</v>
      </c>
      <c r="E1664" s="53" t="s">
        <v>24</v>
      </c>
      <c r="F1664" s="53" t="s">
        <v>25</v>
      </c>
      <c r="G1664" s="53" t="s">
        <v>25</v>
      </c>
      <c r="H1664" s="53" t="s">
        <v>36</v>
      </c>
      <c r="I1664" s="73">
        <v>43739</v>
      </c>
      <c r="J1664" s="74">
        <f>EFEITO!$J$1664*EFEITO!$Y$1664</f>
        <v>0</v>
      </c>
      <c r="K1664" s="74">
        <f ca="1">EFEITO!$L$1664*EFEITO!$Z$1664</f>
        <v>8.1076099859105852</v>
      </c>
      <c r="L1664" s="74">
        <f>EFEITO!$N$1664*EFEITO!$AA$1664</f>
        <v>9.2333683763735266</v>
      </c>
      <c r="M1664" s="74">
        <f>$J$1664-EFEITO!$K$1664*EFEITO!$Y$1664</f>
        <v>0</v>
      </c>
      <c r="N1664" s="74">
        <f ca="1">$K$1664-EFEITO!$M$1664*EFEITO!$Z$1664</f>
        <v>0</v>
      </c>
      <c r="O1664" s="74">
        <f>$L$1664-EFEITO!$O$1664*EFEITO!$AA$1664</f>
        <v>0</v>
      </c>
      <c r="P1664" s="57"/>
      <c r="Q1664" s="57"/>
      <c r="R1664" s="57"/>
      <c r="S1664" s="57"/>
      <c r="T1664" s="57"/>
      <c r="U1664" s="57"/>
      <c r="V1664" s="57"/>
      <c r="W1664" s="57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</row>
    <row r="1665" spans="1:36" ht="11.25" customHeight="1" x14ac:dyDescent="0.2">
      <c r="A1665" s="53" t="s">
        <v>21</v>
      </c>
      <c r="B1665" s="53" t="s">
        <v>22</v>
      </c>
      <c r="C1665" s="53" t="s">
        <v>37</v>
      </c>
      <c r="D1665" s="53" t="s">
        <v>24</v>
      </c>
      <c r="E1665" s="53" t="s">
        <v>24</v>
      </c>
      <c r="F1665" s="53" t="s">
        <v>25</v>
      </c>
      <c r="G1665" s="53" t="s">
        <v>25</v>
      </c>
      <c r="H1665" s="53" t="s">
        <v>36</v>
      </c>
      <c r="I1665" s="73">
        <v>43770</v>
      </c>
      <c r="J1665" s="74">
        <f>EFEITO!$J$1665*EFEITO!$Y$1665</f>
        <v>0</v>
      </c>
      <c r="K1665" s="74">
        <f ca="1">EFEITO!$L$1665*EFEITO!$Z$1665</f>
        <v>40701.012890269732</v>
      </c>
      <c r="L1665" s="74">
        <f>EFEITO!$N$1665*EFEITO!$AA$1665</f>
        <v>46352.432586232746</v>
      </c>
      <c r="M1665" s="74">
        <f>$J$1665-EFEITO!$K$1665*EFEITO!$Y$1665</f>
        <v>0</v>
      </c>
      <c r="N1665" s="74">
        <f ca="1">$K$1665-EFEITO!$M$1665*EFEITO!$Z$1665</f>
        <v>0</v>
      </c>
      <c r="O1665" s="74">
        <f>$L$1665-EFEITO!$O$1665*EFEITO!$AA$1665</f>
        <v>0</v>
      </c>
      <c r="P1665" s="57"/>
      <c r="Q1665" s="57"/>
      <c r="R1665" s="57"/>
      <c r="S1665" s="57"/>
      <c r="T1665" s="57"/>
      <c r="U1665" s="57"/>
      <c r="V1665" s="57"/>
      <c r="W1665" s="57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</row>
    <row r="1666" spans="1:36" ht="11.25" customHeight="1" x14ac:dyDescent="0.2">
      <c r="A1666" s="53" t="s">
        <v>27</v>
      </c>
      <c r="B1666" s="53" t="s">
        <v>22</v>
      </c>
      <c r="C1666" s="53" t="s">
        <v>37</v>
      </c>
      <c r="D1666" s="53" t="s">
        <v>24</v>
      </c>
      <c r="E1666" s="53" t="s">
        <v>24</v>
      </c>
      <c r="F1666" s="53" t="s">
        <v>25</v>
      </c>
      <c r="G1666" s="53" t="s">
        <v>25</v>
      </c>
      <c r="H1666" s="53" t="s">
        <v>36</v>
      </c>
      <c r="I1666" s="73">
        <v>43770</v>
      </c>
      <c r="J1666" s="74">
        <f>EFEITO!$J$1666*EFEITO!$Y$1666</f>
        <v>0</v>
      </c>
      <c r="K1666" s="74">
        <f ca="1">EFEITO!$L$1666*EFEITO!$Z$1666</f>
        <v>454.63422995993602</v>
      </c>
      <c r="L1666" s="74">
        <f>EFEITO!$N$1666*EFEITO!$AA$1666</f>
        <v>517.76113170514554</v>
      </c>
      <c r="M1666" s="74">
        <f>$J$1666-EFEITO!$K$1666*EFEITO!$Y$1666</f>
        <v>0</v>
      </c>
      <c r="N1666" s="74">
        <f ca="1">$K$1666-EFEITO!$M$1666*EFEITO!$Z$1666</f>
        <v>0</v>
      </c>
      <c r="O1666" s="74">
        <f>$L$1666-EFEITO!$O$1666*EFEITO!$AA$1666</f>
        <v>0</v>
      </c>
      <c r="P1666" s="57"/>
      <c r="Q1666" s="57"/>
      <c r="R1666" s="57"/>
      <c r="S1666" s="57"/>
      <c r="T1666" s="57"/>
      <c r="U1666" s="57"/>
      <c r="V1666" s="57"/>
      <c r="W1666" s="57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</row>
    <row r="1667" spans="1:36" ht="11.25" customHeight="1" x14ac:dyDescent="0.2">
      <c r="A1667" s="53" t="s">
        <v>28</v>
      </c>
      <c r="B1667" s="53" t="s">
        <v>22</v>
      </c>
      <c r="C1667" s="53" t="s">
        <v>37</v>
      </c>
      <c r="D1667" s="53" t="s">
        <v>24</v>
      </c>
      <c r="E1667" s="53" t="s">
        <v>24</v>
      </c>
      <c r="F1667" s="53" t="s">
        <v>25</v>
      </c>
      <c r="G1667" s="53" t="s">
        <v>25</v>
      </c>
      <c r="H1667" s="53" t="s">
        <v>36</v>
      </c>
      <c r="I1667" s="73">
        <v>43770</v>
      </c>
      <c r="J1667" s="74">
        <f>EFEITO!$J$1667*EFEITO!$Y$1667</f>
        <v>0</v>
      </c>
      <c r="K1667" s="74">
        <f ca="1">EFEITO!$L$1667*EFEITO!$Z$1667</f>
        <v>22.903998210197404</v>
      </c>
      <c r="L1667" s="74">
        <f>EFEITO!$N$1667*EFEITO!$AA$1667</f>
        <v>26.084265663255213</v>
      </c>
      <c r="M1667" s="74">
        <f>$J$1667-EFEITO!$K$1667*EFEITO!$Y$1667</f>
        <v>0</v>
      </c>
      <c r="N1667" s="74">
        <f ca="1">$K$1667-EFEITO!$M$1667*EFEITO!$Z$1667</f>
        <v>0</v>
      </c>
      <c r="O1667" s="74">
        <f>$L$1667-EFEITO!$O$1667*EFEITO!$AA$1667</f>
        <v>0</v>
      </c>
      <c r="P1667" s="57"/>
      <c r="Q1667" s="57"/>
      <c r="R1667" s="57"/>
      <c r="S1667" s="57"/>
      <c r="T1667" s="57"/>
      <c r="U1667" s="57"/>
      <c r="V1667" s="57"/>
      <c r="W1667" s="57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</row>
    <row r="1668" spans="1:36" ht="11.25" customHeight="1" x14ac:dyDescent="0.2">
      <c r="A1668" s="53" t="s">
        <v>28</v>
      </c>
      <c r="B1668" s="53" t="s">
        <v>22</v>
      </c>
      <c r="C1668" s="53" t="s">
        <v>37</v>
      </c>
      <c r="D1668" s="53" t="s">
        <v>24</v>
      </c>
      <c r="E1668" s="53" t="s">
        <v>24</v>
      </c>
      <c r="F1668" s="53" t="s">
        <v>25</v>
      </c>
      <c r="G1668" s="53" t="s">
        <v>25</v>
      </c>
      <c r="H1668" s="53" t="s">
        <v>36</v>
      </c>
      <c r="I1668" s="73">
        <v>43770</v>
      </c>
      <c r="J1668" s="74">
        <f>EFEITO!$J$1668*EFEITO!$Y$1668</f>
        <v>0</v>
      </c>
      <c r="K1668" s="74">
        <f ca="1">EFEITO!$L$1668*EFEITO!$Z$1668</f>
        <v>22.903998210197404</v>
      </c>
      <c r="L1668" s="74">
        <f>EFEITO!$N$1668*EFEITO!$AA$1668</f>
        <v>26.084265663255213</v>
      </c>
      <c r="M1668" s="74">
        <f>$J$1668-EFEITO!$K$1668*EFEITO!$Y$1668</f>
        <v>0</v>
      </c>
      <c r="N1668" s="74">
        <f ca="1">$K$1668-EFEITO!$M$1668*EFEITO!$Z$1668</f>
        <v>0</v>
      </c>
      <c r="O1668" s="74">
        <f>$L$1668-EFEITO!$O$1668*EFEITO!$AA$1668</f>
        <v>0</v>
      </c>
      <c r="P1668" s="57"/>
      <c r="Q1668" s="57"/>
      <c r="R1668" s="57"/>
      <c r="S1668" s="57"/>
      <c r="T1668" s="57"/>
      <c r="U1668" s="57"/>
      <c r="V1668" s="57"/>
      <c r="W1668" s="57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</row>
    <row r="1669" spans="1:36" ht="11.25" customHeight="1" x14ac:dyDescent="0.2">
      <c r="A1669" s="53" t="s">
        <v>21</v>
      </c>
      <c r="B1669" s="53" t="s">
        <v>22</v>
      </c>
      <c r="C1669" s="53" t="s">
        <v>37</v>
      </c>
      <c r="D1669" s="53" t="s">
        <v>24</v>
      </c>
      <c r="E1669" s="53" t="s">
        <v>24</v>
      </c>
      <c r="F1669" s="53" t="s">
        <v>25</v>
      </c>
      <c r="G1669" s="53" t="s">
        <v>25</v>
      </c>
      <c r="H1669" s="53" t="s">
        <v>36</v>
      </c>
      <c r="I1669" s="73">
        <v>43800</v>
      </c>
      <c r="J1669" s="74">
        <f>EFEITO!$J$1669*EFEITO!$Y$1669</f>
        <v>0</v>
      </c>
      <c r="K1669" s="74">
        <f ca="1">EFEITO!$L$1669*EFEITO!$Z$1669</f>
        <v>34080.338575775146</v>
      </c>
      <c r="L1669" s="74">
        <f>EFEITO!$N$1669*EFEITO!$AA$1669</f>
        <v>38812.463970086115</v>
      </c>
      <c r="M1669" s="74">
        <f>$J$1669-EFEITO!$K$1669*EFEITO!$Y$1669</f>
        <v>0</v>
      </c>
      <c r="N1669" s="74">
        <f ca="1">$K$1669-EFEITO!$M$1669*EFEITO!$Z$1669</f>
        <v>0</v>
      </c>
      <c r="O1669" s="74">
        <f>$L$1669-EFEITO!$O$1669*EFEITO!$AA$1669</f>
        <v>0</v>
      </c>
      <c r="P1669" s="57"/>
      <c r="Q1669" s="57"/>
      <c r="R1669" s="57"/>
      <c r="S1669" s="57"/>
      <c r="T1669" s="57"/>
      <c r="U1669" s="57"/>
      <c r="V1669" s="57"/>
      <c r="W1669" s="57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</row>
    <row r="1670" spans="1:36" ht="11.25" customHeight="1" x14ac:dyDescent="0.2">
      <c r="A1670" s="53" t="s">
        <v>27</v>
      </c>
      <c r="B1670" s="53" t="s">
        <v>22</v>
      </c>
      <c r="C1670" s="53" t="s">
        <v>37</v>
      </c>
      <c r="D1670" s="53" t="s">
        <v>24</v>
      </c>
      <c r="E1670" s="53" t="s">
        <v>24</v>
      </c>
      <c r="F1670" s="53" t="s">
        <v>25</v>
      </c>
      <c r="G1670" s="53" t="s">
        <v>25</v>
      </c>
      <c r="H1670" s="53" t="s">
        <v>36</v>
      </c>
      <c r="I1670" s="73">
        <v>43800</v>
      </c>
      <c r="J1670" s="74">
        <f>EFEITO!$J$1670*EFEITO!$Y$1670</f>
        <v>0</v>
      </c>
      <c r="K1670" s="74">
        <f ca="1">EFEITO!$L$1670*EFEITO!$Z$1670</f>
        <v>1024.3965217198024</v>
      </c>
      <c r="L1670" s="74">
        <f>EFEITO!$N$1670*EFEITO!$AA$1670</f>
        <v>1166.6360943547952</v>
      </c>
      <c r="M1670" s="74">
        <f>$J$1670-EFEITO!$K$1670*EFEITO!$Y$1670</f>
        <v>0</v>
      </c>
      <c r="N1670" s="74">
        <f ca="1">$K$1670-EFEITO!$M$1670*EFEITO!$Z$1670</f>
        <v>0</v>
      </c>
      <c r="O1670" s="74">
        <f>$L$1670-EFEITO!$O$1670*EFEITO!$AA$1670</f>
        <v>0</v>
      </c>
      <c r="P1670" s="57"/>
      <c r="Q1670" s="57"/>
      <c r="R1670" s="57"/>
      <c r="S1670" s="57"/>
      <c r="T1670" s="57"/>
      <c r="U1670" s="57"/>
      <c r="V1670" s="57"/>
      <c r="W1670" s="57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</row>
    <row r="1671" spans="1:36" ht="11.25" customHeight="1" x14ac:dyDescent="0.2">
      <c r="A1671" s="53" t="s">
        <v>28</v>
      </c>
      <c r="B1671" s="53" t="s">
        <v>22</v>
      </c>
      <c r="C1671" s="53" t="s">
        <v>37</v>
      </c>
      <c r="D1671" s="53" t="s">
        <v>24</v>
      </c>
      <c r="E1671" s="53" t="s">
        <v>24</v>
      </c>
      <c r="F1671" s="53" t="s">
        <v>25</v>
      </c>
      <c r="G1671" s="53" t="s">
        <v>25</v>
      </c>
      <c r="H1671" s="53" t="s">
        <v>36</v>
      </c>
      <c r="I1671" s="73">
        <v>43800</v>
      </c>
      <c r="J1671" s="74">
        <f>EFEITO!$J$1671*EFEITO!$Y$1671</f>
        <v>0</v>
      </c>
      <c r="K1671" s="74">
        <f ca="1">EFEITO!$L$1671*EFEITO!$Z$1671</f>
        <v>5.8780172397851747</v>
      </c>
      <c r="L1671" s="74">
        <f>EFEITO!$N$1671*EFEITO!$AA$1671</f>
        <v>6.6941920728708073</v>
      </c>
      <c r="M1671" s="74">
        <f>$J$1671-EFEITO!$K$1671*EFEITO!$Y$1671</f>
        <v>0</v>
      </c>
      <c r="N1671" s="74">
        <f ca="1">$K$1671-EFEITO!$M$1671*EFEITO!$Z$1671</f>
        <v>0</v>
      </c>
      <c r="O1671" s="74">
        <f>$L$1671-EFEITO!$O$1671*EFEITO!$AA$1671</f>
        <v>0</v>
      </c>
      <c r="P1671" s="57"/>
      <c r="Q1671" s="57"/>
      <c r="R1671" s="57"/>
      <c r="S1671" s="57"/>
      <c r="T1671" s="57"/>
      <c r="U1671" s="57"/>
      <c r="V1671" s="57"/>
      <c r="W1671" s="57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</row>
    <row r="1672" spans="1:36" ht="11.25" customHeight="1" x14ac:dyDescent="0.2">
      <c r="A1672" s="53" t="s">
        <v>21</v>
      </c>
      <c r="B1672" s="53" t="s">
        <v>22</v>
      </c>
      <c r="C1672" s="53" t="s">
        <v>37</v>
      </c>
      <c r="D1672" s="53" t="s">
        <v>24</v>
      </c>
      <c r="E1672" s="53" t="s">
        <v>24</v>
      </c>
      <c r="F1672" s="53" t="s">
        <v>25</v>
      </c>
      <c r="G1672" s="53" t="s">
        <v>25</v>
      </c>
      <c r="H1672" s="53" t="s">
        <v>36</v>
      </c>
      <c r="I1672" s="73">
        <v>43831</v>
      </c>
      <c r="J1672" s="74">
        <f>EFEITO!$J$1672*EFEITO!$Y$1672</f>
        <v>0</v>
      </c>
      <c r="K1672" s="74">
        <f ca="1">EFEITO!$L$1672*EFEITO!$Z$1672</f>
        <v>37708.494044470128</v>
      </c>
      <c r="L1672" s="74">
        <f>EFEITO!$N$1672*EFEITO!$AA$1672</f>
        <v>42944.396318513274</v>
      </c>
      <c r="M1672" s="74">
        <f>$J$1672-EFEITO!$K$1672*EFEITO!$Y$1672</f>
        <v>0</v>
      </c>
      <c r="N1672" s="74">
        <f ca="1">$K$1672-EFEITO!$M$1672*EFEITO!$Z$1672</f>
        <v>0</v>
      </c>
      <c r="O1672" s="74">
        <f>$L$1672-EFEITO!$O$1672*EFEITO!$AA$1672</f>
        <v>0</v>
      </c>
      <c r="P1672" s="57"/>
      <c r="Q1672" s="57"/>
      <c r="R1672" s="57"/>
      <c r="S1672" s="57"/>
      <c r="T1672" s="57"/>
      <c r="U1672" s="57"/>
      <c r="V1672" s="57"/>
      <c r="W1672" s="57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</row>
    <row r="1673" spans="1:36" ht="11.25" customHeight="1" x14ac:dyDescent="0.2">
      <c r="A1673" s="53" t="s">
        <v>27</v>
      </c>
      <c r="B1673" s="53" t="s">
        <v>22</v>
      </c>
      <c r="C1673" s="53" t="s">
        <v>37</v>
      </c>
      <c r="D1673" s="53" t="s">
        <v>24</v>
      </c>
      <c r="E1673" s="53" t="s">
        <v>24</v>
      </c>
      <c r="F1673" s="53" t="s">
        <v>25</v>
      </c>
      <c r="G1673" s="53" t="s">
        <v>25</v>
      </c>
      <c r="H1673" s="53" t="s">
        <v>36</v>
      </c>
      <c r="I1673" s="73">
        <v>43831</v>
      </c>
      <c r="J1673" s="74">
        <f>EFEITO!$J$1673*EFEITO!$Y$1673</f>
        <v>0</v>
      </c>
      <c r="K1673" s="74">
        <f ca="1">EFEITO!$L$1673*EFEITO!$Z$1673</f>
        <v>714.48313000837027</v>
      </c>
      <c r="L1673" s="74">
        <f>EFEITO!$N$1673*EFEITO!$AA$1673</f>
        <v>813.69058816791699</v>
      </c>
      <c r="M1673" s="74">
        <f>$J$1673-EFEITO!$K$1673*EFEITO!$Y$1673</f>
        <v>0</v>
      </c>
      <c r="N1673" s="74">
        <f ca="1">$K$1673-EFEITO!$M$1673*EFEITO!$Z$1673</f>
        <v>0</v>
      </c>
      <c r="O1673" s="74">
        <f>$L$1673-EFEITO!$O$1673*EFEITO!$AA$1673</f>
        <v>0</v>
      </c>
      <c r="P1673" s="57"/>
      <c r="Q1673" s="57"/>
      <c r="R1673" s="57"/>
      <c r="S1673" s="57"/>
      <c r="T1673" s="57"/>
      <c r="U1673" s="57"/>
      <c r="V1673" s="57"/>
      <c r="W1673" s="57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</row>
    <row r="1674" spans="1:36" ht="11.25" customHeight="1" x14ac:dyDescent="0.2">
      <c r="A1674" s="53" t="s">
        <v>28</v>
      </c>
      <c r="B1674" s="53" t="s">
        <v>22</v>
      </c>
      <c r="C1674" s="53" t="s">
        <v>37</v>
      </c>
      <c r="D1674" s="53" t="s">
        <v>24</v>
      </c>
      <c r="E1674" s="53" t="s">
        <v>24</v>
      </c>
      <c r="F1674" s="53" t="s">
        <v>25</v>
      </c>
      <c r="G1674" s="53" t="s">
        <v>25</v>
      </c>
      <c r="H1674" s="53" t="s">
        <v>36</v>
      </c>
      <c r="I1674" s="73">
        <v>43831</v>
      </c>
      <c r="J1674" s="74">
        <f>EFEITO!$J$1674*EFEITO!$Y$1674</f>
        <v>0</v>
      </c>
      <c r="K1674" s="74">
        <f ca="1">EFEITO!$L$1674*EFEITO!$Z$1674</f>
        <v>4.4591854922508221</v>
      </c>
      <c r="L1674" s="74">
        <f>EFEITO!$N$1674*EFEITO!$AA$1674</f>
        <v>5.0783526070054394</v>
      </c>
      <c r="M1674" s="74">
        <f>$J$1674-EFEITO!$K$1674*EFEITO!$Y$1674</f>
        <v>0</v>
      </c>
      <c r="N1674" s="74">
        <f ca="1">$K$1674-EFEITO!$M$1674*EFEITO!$Z$1674</f>
        <v>0</v>
      </c>
      <c r="O1674" s="74">
        <f>$L$1674-EFEITO!$O$1674*EFEITO!$AA$1674</f>
        <v>0</v>
      </c>
      <c r="P1674" s="57"/>
      <c r="Q1674" s="57"/>
      <c r="R1674" s="57"/>
      <c r="S1674" s="57"/>
      <c r="T1674" s="57"/>
      <c r="U1674" s="57"/>
      <c r="V1674" s="57"/>
      <c r="W1674" s="57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</row>
    <row r="1675" spans="1:36" ht="11.25" customHeight="1" x14ac:dyDescent="0.2">
      <c r="A1675" s="53" t="s">
        <v>21</v>
      </c>
      <c r="B1675" s="53" t="s">
        <v>22</v>
      </c>
      <c r="C1675" s="53" t="s">
        <v>37</v>
      </c>
      <c r="D1675" s="53" t="s">
        <v>24</v>
      </c>
      <c r="E1675" s="53" t="s">
        <v>24</v>
      </c>
      <c r="F1675" s="53" t="s">
        <v>25</v>
      </c>
      <c r="G1675" s="53" t="s">
        <v>25</v>
      </c>
      <c r="H1675" s="53" t="s">
        <v>36</v>
      </c>
      <c r="I1675" s="73">
        <v>43862</v>
      </c>
      <c r="J1675" s="74">
        <f>EFEITO!$J$1675*EFEITO!$Y$1675</f>
        <v>0</v>
      </c>
      <c r="K1675" s="74">
        <f ca="1">EFEITO!$L$1675*EFEITO!$Z$1675</f>
        <v>34828.062906725747</v>
      </c>
      <c r="L1675" s="74">
        <f>EFEITO!$N$1675*EFEITO!$AA$1675</f>
        <v>39664.011368597174</v>
      </c>
      <c r="M1675" s="74">
        <f>$J$1675-EFEITO!$K$1675*EFEITO!$Y$1675</f>
        <v>0</v>
      </c>
      <c r="N1675" s="74">
        <f ca="1">$K$1675-EFEITO!$M$1675*EFEITO!$Z$1675</f>
        <v>0</v>
      </c>
      <c r="O1675" s="74">
        <f>$L$1675-EFEITO!$O$1675*EFEITO!$AA$1675</f>
        <v>0</v>
      </c>
      <c r="P1675" s="57"/>
      <c r="Q1675" s="57"/>
      <c r="R1675" s="57"/>
      <c r="S1675" s="57"/>
      <c r="T1675" s="57"/>
      <c r="U1675" s="57"/>
      <c r="V1675" s="57"/>
      <c r="W1675" s="57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</row>
    <row r="1676" spans="1:36" ht="11.25" customHeight="1" x14ac:dyDescent="0.2">
      <c r="A1676" s="53" t="s">
        <v>27</v>
      </c>
      <c r="B1676" s="53" t="s">
        <v>22</v>
      </c>
      <c r="C1676" s="53" t="s">
        <v>37</v>
      </c>
      <c r="D1676" s="53" t="s">
        <v>24</v>
      </c>
      <c r="E1676" s="53" t="s">
        <v>24</v>
      </c>
      <c r="F1676" s="53" t="s">
        <v>25</v>
      </c>
      <c r="G1676" s="53" t="s">
        <v>25</v>
      </c>
      <c r="H1676" s="53" t="s">
        <v>36</v>
      </c>
      <c r="I1676" s="73">
        <v>43862</v>
      </c>
      <c r="J1676" s="74">
        <f>EFEITO!$J$1676*EFEITO!$Y$1676</f>
        <v>0</v>
      </c>
      <c r="K1676" s="74">
        <f ca="1">EFEITO!$L$1676*EFEITO!$Z$1676</f>
        <v>181.6104636843971</v>
      </c>
      <c r="L1676" s="74">
        <f>EFEITO!$N$1676*EFEITO!$AA$1676</f>
        <v>206.827451630767</v>
      </c>
      <c r="M1676" s="74">
        <f>$J$1676-EFEITO!$K$1676*EFEITO!$Y$1676</f>
        <v>0</v>
      </c>
      <c r="N1676" s="74">
        <f ca="1">$K$1676-EFEITO!$M$1676*EFEITO!$Z$1676</f>
        <v>0</v>
      </c>
      <c r="O1676" s="74">
        <f>$L$1676-EFEITO!$O$1676*EFEITO!$AA$1676</f>
        <v>0</v>
      </c>
      <c r="P1676" s="57"/>
      <c r="Q1676" s="57"/>
      <c r="R1676" s="57"/>
      <c r="S1676" s="57"/>
      <c r="T1676" s="57"/>
      <c r="U1676" s="57"/>
      <c r="V1676" s="57"/>
      <c r="W1676" s="57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</row>
    <row r="1677" spans="1:36" ht="11.25" customHeight="1" x14ac:dyDescent="0.2">
      <c r="A1677" s="53" t="s">
        <v>21</v>
      </c>
      <c r="B1677" s="53" t="s">
        <v>22</v>
      </c>
      <c r="C1677" s="53" t="s">
        <v>37</v>
      </c>
      <c r="D1677" s="53" t="s">
        <v>24</v>
      </c>
      <c r="E1677" s="53" t="s">
        <v>24</v>
      </c>
      <c r="F1677" s="53" t="s">
        <v>25</v>
      </c>
      <c r="G1677" s="53" t="s">
        <v>25</v>
      </c>
      <c r="H1677" s="53" t="s">
        <v>36</v>
      </c>
      <c r="I1677" s="73">
        <v>43891</v>
      </c>
      <c r="J1677" s="74">
        <f>EFEITO!$J$1677*EFEITO!$Y$1677</f>
        <v>0</v>
      </c>
      <c r="K1677" s="74">
        <f ca="1">EFEITO!$L$1677*EFEITO!$Z$1677</f>
        <v>34518.35220526396</v>
      </c>
      <c r="L1677" s="74">
        <f>EFEITO!$N$1677*EFEITO!$AA$1677</f>
        <v>39311.296696619698</v>
      </c>
      <c r="M1677" s="74">
        <f>$J$1677-EFEITO!$K$1677*EFEITO!$Y$1677</f>
        <v>0</v>
      </c>
      <c r="N1677" s="74">
        <f ca="1">$K$1677-EFEITO!$M$1677*EFEITO!$Z$1677</f>
        <v>0</v>
      </c>
      <c r="O1677" s="74">
        <f>$L$1677-EFEITO!$O$1677*EFEITO!$AA$1677</f>
        <v>0</v>
      </c>
      <c r="P1677" s="57"/>
      <c r="Q1677" s="57"/>
      <c r="R1677" s="57"/>
      <c r="S1677" s="57"/>
      <c r="T1677" s="57"/>
      <c r="U1677" s="57"/>
      <c r="V1677" s="57"/>
      <c r="W1677" s="57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</row>
    <row r="1678" spans="1:36" ht="11.25" customHeight="1" x14ac:dyDescent="0.2">
      <c r="A1678" s="53" t="s">
        <v>27</v>
      </c>
      <c r="B1678" s="53" t="s">
        <v>22</v>
      </c>
      <c r="C1678" s="53" t="s">
        <v>37</v>
      </c>
      <c r="D1678" s="53" t="s">
        <v>24</v>
      </c>
      <c r="E1678" s="53" t="s">
        <v>24</v>
      </c>
      <c r="F1678" s="53" t="s">
        <v>25</v>
      </c>
      <c r="G1678" s="53" t="s">
        <v>25</v>
      </c>
      <c r="H1678" s="53" t="s">
        <v>36</v>
      </c>
      <c r="I1678" s="73">
        <v>43891</v>
      </c>
      <c r="J1678" s="74">
        <f>EFEITO!$J$1678*EFEITO!$Y$1678</f>
        <v>0</v>
      </c>
      <c r="K1678" s="74">
        <f ca="1">EFEITO!$L$1678*EFEITO!$Z$1678</f>
        <v>61.617835892920446</v>
      </c>
      <c r="L1678" s="74">
        <f>EFEITO!$N$1678*EFEITO!$AA$1678</f>
        <v>70.173599660438796</v>
      </c>
      <c r="M1678" s="74">
        <f>$J$1678-EFEITO!$K$1678*EFEITO!$Y$1678</f>
        <v>0</v>
      </c>
      <c r="N1678" s="74">
        <f ca="1">$K$1678-EFEITO!$M$1678*EFEITO!$Z$1678</f>
        <v>0</v>
      </c>
      <c r="O1678" s="74">
        <f>$L$1678-EFEITO!$O$1678*EFEITO!$AA$1678</f>
        <v>0</v>
      </c>
      <c r="P1678" s="57"/>
      <c r="Q1678" s="57"/>
      <c r="R1678" s="57"/>
      <c r="S1678" s="57"/>
      <c r="T1678" s="57"/>
      <c r="U1678" s="57"/>
      <c r="V1678" s="57"/>
      <c r="W1678" s="57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</row>
    <row r="1679" spans="1:36" ht="11.25" customHeight="1" x14ac:dyDescent="0.2">
      <c r="A1679" s="53" t="s">
        <v>21</v>
      </c>
      <c r="B1679" s="53" t="s">
        <v>22</v>
      </c>
      <c r="C1679" s="53" t="s">
        <v>37</v>
      </c>
      <c r="D1679" s="53" t="s">
        <v>24</v>
      </c>
      <c r="E1679" s="53" t="s">
        <v>24</v>
      </c>
      <c r="F1679" s="53" t="s">
        <v>25</v>
      </c>
      <c r="G1679" s="53" t="s">
        <v>25</v>
      </c>
      <c r="H1679" s="53" t="s">
        <v>36</v>
      </c>
      <c r="I1679" s="73">
        <v>43922</v>
      </c>
      <c r="J1679" s="74">
        <f>EFEITO!$J$1679*EFEITO!$Y$1679</f>
        <v>0</v>
      </c>
      <c r="K1679" s="74">
        <f ca="1">EFEITO!$L$1679*EFEITO!$Z$1679</f>
        <v>36337.699886102295</v>
      </c>
      <c r="L1679" s="74">
        <f>EFEITO!$N$1679*EFEITO!$AA$1679</f>
        <v>41383.264560277916</v>
      </c>
      <c r="M1679" s="74">
        <f>$J$1679-EFEITO!$K$1679*EFEITO!$Y$1679</f>
        <v>0</v>
      </c>
      <c r="N1679" s="74">
        <f ca="1">$K$1679-EFEITO!$M$1679*EFEITO!$Z$1679</f>
        <v>0</v>
      </c>
      <c r="O1679" s="74">
        <f>$L$1679-EFEITO!$O$1679*EFEITO!$AA$1679</f>
        <v>0</v>
      </c>
      <c r="P1679" s="57"/>
      <c r="Q1679" s="57"/>
      <c r="R1679" s="57"/>
      <c r="S1679" s="57"/>
      <c r="T1679" s="57"/>
      <c r="U1679" s="57"/>
      <c r="V1679" s="57"/>
      <c r="W1679" s="57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</row>
    <row r="1680" spans="1:36" ht="11.25" customHeight="1" x14ac:dyDescent="0.2">
      <c r="A1680" s="53" t="s">
        <v>27</v>
      </c>
      <c r="B1680" s="53" t="s">
        <v>22</v>
      </c>
      <c r="C1680" s="53" t="s">
        <v>37</v>
      </c>
      <c r="D1680" s="53" t="s">
        <v>24</v>
      </c>
      <c r="E1680" s="53" t="s">
        <v>24</v>
      </c>
      <c r="F1680" s="53" t="s">
        <v>25</v>
      </c>
      <c r="G1680" s="53" t="s">
        <v>25</v>
      </c>
      <c r="H1680" s="53" t="s">
        <v>36</v>
      </c>
      <c r="I1680" s="73">
        <v>43922</v>
      </c>
      <c r="J1680" s="74">
        <f>EFEITO!$J$1680*EFEITO!$Y$1680</f>
        <v>0</v>
      </c>
      <c r="K1680" s="74">
        <f ca="1">EFEITO!$L$1680*EFEITO!$Z$1680</f>
        <v>132.96480376893359</v>
      </c>
      <c r="L1680" s="74">
        <f>EFEITO!$N$1680*EFEITO!$AA$1680</f>
        <v>151.42724137252586</v>
      </c>
      <c r="M1680" s="74">
        <f>$J$1680-EFEITO!$K$1680*EFEITO!$Y$1680</f>
        <v>0</v>
      </c>
      <c r="N1680" s="74">
        <f ca="1">$K$1680-EFEITO!$M$1680*EFEITO!$Z$1680</f>
        <v>0</v>
      </c>
      <c r="O1680" s="74">
        <f>$L$1680-EFEITO!$O$1680*EFEITO!$AA$1680</f>
        <v>0</v>
      </c>
      <c r="P1680" s="57"/>
      <c r="Q1680" s="57"/>
      <c r="R1680" s="57"/>
      <c r="S1680" s="57"/>
      <c r="T1680" s="57"/>
      <c r="U1680" s="57"/>
      <c r="V1680" s="57"/>
      <c r="W1680" s="57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</row>
    <row r="1681" spans="1:36" ht="11.25" customHeight="1" x14ac:dyDescent="0.2">
      <c r="A1681" s="53" t="s">
        <v>21</v>
      </c>
      <c r="B1681" s="53" t="s">
        <v>22</v>
      </c>
      <c r="C1681" s="53" t="s">
        <v>37</v>
      </c>
      <c r="D1681" s="53" t="s">
        <v>24</v>
      </c>
      <c r="E1681" s="53" t="s">
        <v>24</v>
      </c>
      <c r="F1681" s="53" t="s">
        <v>25</v>
      </c>
      <c r="G1681" s="53" t="s">
        <v>25</v>
      </c>
      <c r="H1681" s="53" t="s">
        <v>36</v>
      </c>
      <c r="I1681" s="73">
        <v>43952</v>
      </c>
      <c r="J1681" s="74">
        <f>EFEITO!$J$1681*EFEITO!$Y$1681</f>
        <v>0</v>
      </c>
      <c r="K1681" s="74">
        <f ca="1">EFEITO!$L$1681*EFEITO!$Z$1681</f>
        <v>31901.01301156238</v>
      </c>
      <c r="L1681" s="74">
        <f>EFEITO!$N$1681*EFEITO!$AA$1681</f>
        <v>36330.534550516917</v>
      </c>
      <c r="M1681" s="74">
        <f>$J$1681-EFEITO!$K$1681*EFEITO!$Y$1681</f>
        <v>0</v>
      </c>
      <c r="N1681" s="74">
        <f ca="1">$K$1681-EFEITO!$M$1681*EFEITO!$Z$1681</f>
        <v>0</v>
      </c>
      <c r="O1681" s="74">
        <f>$L$1681-EFEITO!$O$1681*EFEITO!$AA$1681</f>
        <v>0</v>
      </c>
      <c r="P1681" s="57"/>
      <c r="Q1681" s="57"/>
      <c r="R1681" s="57"/>
      <c r="S1681" s="57"/>
      <c r="T1681" s="57"/>
      <c r="U1681" s="57"/>
      <c r="V1681" s="57"/>
      <c r="W1681" s="57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</row>
    <row r="1682" spans="1:36" ht="11.25" customHeight="1" x14ac:dyDescent="0.2">
      <c r="A1682" s="53" t="s">
        <v>27</v>
      </c>
      <c r="B1682" s="53" t="s">
        <v>22</v>
      </c>
      <c r="C1682" s="53" t="s">
        <v>37</v>
      </c>
      <c r="D1682" s="53" t="s">
        <v>24</v>
      </c>
      <c r="E1682" s="53" t="s">
        <v>24</v>
      </c>
      <c r="F1682" s="53" t="s">
        <v>25</v>
      </c>
      <c r="G1682" s="53" t="s">
        <v>25</v>
      </c>
      <c r="H1682" s="53" t="s">
        <v>36</v>
      </c>
      <c r="I1682" s="73">
        <v>43952</v>
      </c>
      <c r="J1682" s="74">
        <f>EFEITO!$J$1682*EFEITO!$Y$1682</f>
        <v>0</v>
      </c>
      <c r="K1682" s="74">
        <f ca="1">EFEITO!$L$1682*EFEITO!$Z$1682</f>
        <v>182.21853443334041</v>
      </c>
      <c r="L1682" s="74">
        <f>EFEITO!$N$1682*EFEITO!$AA$1682</f>
        <v>207.51995425899503</v>
      </c>
      <c r="M1682" s="74">
        <f>$J$1682-EFEITO!$K$1682*EFEITO!$Y$1682</f>
        <v>0</v>
      </c>
      <c r="N1682" s="74">
        <f ca="1">$K$1682-EFEITO!$M$1682*EFEITO!$Z$1682</f>
        <v>0</v>
      </c>
      <c r="O1682" s="74">
        <f>$L$1682-EFEITO!$O$1682*EFEITO!$AA$1682</f>
        <v>0</v>
      </c>
      <c r="P1682" s="57"/>
      <c r="Q1682" s="57"/>
      <c r="R1682" s="57"/>
      <c r="S1682" s="57"/>
      <c r="T1682" s="57"/>
      <c r="U1682" s="57"/>
      <c r="V1682" s="57"/>
      <c r="W1682" s="57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</row>
    <row r="1683" spans="1:36" ht="11.25" customHeight="1" x14ac:dyDescent="0.2">
      <c r="A1683" s="53" t="s">
        <v>21</v>
      </c>
      <c r="B1683" s="53" t="s">
        <v>22</v>
      </c>
      <c r="C1683" s="53" t="s">
        <v>37</v>
      </c>
      <c r="D1683" s="53" t="s">
        <v>24</v>
      </c>
      <c r="E1683" s="53" t="s">
        <v>24</v>
      </c>
      <c r="F1683" s="53" t="s">
        <v>25</v>
      </c>
      <c r="G1683" s="53" t="s">
        <v>25</v>
      </c>
      <c r="H1683" s="53" t="s">
        <v>36</v>
      </c>
      <c r="I1683" s="73">
        <v>43983</v>
      </c>
      <c r="J1683" s="74">
        <f>EFEITO!$J$1683*EFEITO!$Y$1683</f>
        <v>0</v>
      </c>
      <c r="K1683" s="74">
        <f ca="1">EFEITO!$L$1683*EFEITO!$Z$1683</f>
        <v>30245.033671940142</v>
      </c>
      <c r="L1683" s="74">
        <f>EFEITO!$N$1683*EFEITO!$AA$1683</f>
        <v>34444.619059642624</v>
      </c>
      <c r="M1683" s="74">
        <f>$J$1683-EFEITO!$K$1683*EFEITO!$Y$1683</f>
        <v>0</v>
      </c>
      <c r="N1683" s="74">
        <f ca="1">$K$1683-EFEITO!$M$1683*EFEITO!$Z$1683</f>
        <v>0</v>
      </c>
      <c r="O1683" s="74">
        <f>$L$1683-EFEITO!$O$1683*EFEITO!$AA$1683</f>
        <v>0</v>
      </c>
      <c r="P1683" s="57"/>
      <c r="Q1683" s="57"/>
      <c r="R1683" s="57"/>
      <c r="S1683" s="57"/>
      <c r="T1683" s="57"/>
      <c r="U1683" s="57"/>
      <c r="V1683" s="57"/>
      <c r="W1683" s="57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</row>
    <row r="1684" spans="1:36" ht="11.25" customHeight="1" x14ac:dyDescent="0.2">
      <c r="A1684" s="53" t="s">
        <v>27</v>
      </c>
      <c r="B1684" s="53" t="s">
        <v>22</v>
      </c>
      <c r="C1684" s="53" t="s">
        <v>37</v>
      </c>
      <c r="D1684" s="53" t="s">
        <v>24</v>
      </c>
      <c r="E1684" s="53" t="s">
        <v>24</v>
      </c>
      <c r="F1684" s="53" t="s">
        <v>25</v>
      </c>
      <c r="G1684" s="53" t="s">
        <v>25</v>
      </c>
      <c r="H1684" s="53" t="s">
        <v>36</v>
      </c>
      <c r="I1684" s="73">
        <v>43983</v>
      </c>
      <c r="J1684" s="74">
        <f>EFEITO!$J$1684*EFEITO!$Y$1684</f>
        <v>0</v>
      </c>
      <c r="K1684" s="74">
        <f ca="1">EFEITO!$L$1684*EFEITO!$Z$1684</f>
        <v>319.43983344487708</v>
      </c>
      <c r="L1684" s="74">
        <f>EFEITO!$N$1684*EFEITO!$AA$1684</f>
        <v>363.79471402911696</v>
      </c>
      <c r="M1684" s="74">
        <f>$J$1684-EFEITO!$K$1684*EFEITO!$Y$1684</f>
        <v>0</v>
      </c>
      <c r="N1684" s="74">
        <f ca="1">$K$1684-EFEITO!$M$1684*EFEITO!$Z$1684</f>
        <v>0</v>
      </c>
      <c r="O1684" s="74">
        <f>$L$1684-EFEITO!$O$1684*EFEITO!$AA$1684</f>
        <v>0</v>
      </c>
      <c r="P1684" s="57"/>
      <c r="Q1684" s="57"/>
      <c r="R1684" s="57"/>
      <c r="S1684" s="57"/>
      <c r="T1684" s="57"/>
      <c r="U1684" s="57"/>
      <c r="V1684" s="57"/>
      <c r="W1684" s="57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</row>
    <row r="1685" spans="1:36" ht="11.25" customHeight="1" x14ac:dyDescent="0.2">
      <c r="A1685" s="53" t="s">
        <v>21</v>
      </c>
      <c r="B1685" s="53" t="s">
        <v>22</v>
      </c>
      <c r="C1685" s="53" t="s">
        <v>37</v>
      </c>
      <c r="D1685" s="53" t="s">
        <v>24</v>
      </c>
      <c r="E1685" s="53" t="s">
        <v>24</v>
      </c>
      <c r="F1685" s="53" t="s">
        <v>25</v>
      </c>
      <c r="G1685" s="53" t="s">
        <v>25</v>
      </c>
      <c r="H1685" s="53" t="s">
        <v>36</v>
      </c>
      <c r="I1685" s="73">
        <v>44013</v>
      </c>
      <c r="J1685" s="74">
        <f>EFEITO!$J$1685*EFEITO!$Y$1685</f>
        <v>0</v>
      </c>
      <c r="K1685" s="74">
        <f ca="1">EFEITO!$L$1685*EFEITO!$Z$1685</f>
        <v>31256.052637183191</v>
      </c>
      <c r="L1685" s="74">
        <f>EFEITO!$N$1685*EFEITO!$AA$1685</f>
        <v>35596.020096176399</v>
      </c>
      <c r="M1685" s="74">
        <f>$J$1685-EFEITO!$K$1685*EFEITO!$Y$1685</f>
        <v>0</v>
      </c>
      <c r="N1685" s="74">
        <f ca="1">$K$1685-EFEITO!$M$1685*EFEITO!$Z$1685</f>
        <v>0</v>
      </c>
      <c r="O1685" s="74">
        <f>$L$1685-EFEITO!$O$1685*EFEITO!$AA$1685</f>
        <v>0</v>
      </c>
      <c r="P1685" s="57"/>
      <c r="Q1685" s="57"/>
      <c r="R1685" s="57"/>
      <c r="S1685" s="57"/>
      <c r="T1685" s="57"/>
      <c r="U1685" s="57"/>
      <c r="V1685" s="57"/>
      <c r="W1685" s="57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</row>
    <row r="1686" spans="1:36" ht="11.25" customHeight="1" x14ac:dyDescent="0.2">
      <c r="A1686" s="53" t="s">
        <v>27</v>
      </c>
      <c r="B1686" s="53" t="s">
        <v>22</v>
      </c>
      <c r="C1686" s="53" t="s">
        <v>37</v>
      </c>
      <c r="D1686" s="53" t="s">
        <v>24</v>
      </c>
      <c r="E1686" s="53" t="s">
        <v>24</v>
      </c>
      <c r="F1686" s="53" t="s">
        <v>25</v>
      </c>
      <c r="G1686" s="53" t="s">
        <v>25</v>
      </c>
      <c r="H1686" s="53" t="s">
        <v>36</v>
      </c>
      <c r="I1686" s="73">
        <v>44013</v>
      </c>
      <c r="J1686" s="74">
        <f>EFEITO!$J$1686*EFEITO!$Y$1686</f>
        <v>0</v>
      </c>
      <c r="K1686" s="74">
        <f ca="1">EFEITO!$L$1686*EFEITO!$Z$1686</f>
        <v>335.85774366634598</v>
      </c>
      <c r="L1686" s="74">
        <f>EFEITO!$N$1686*EFEITO!$AA$1686</f>
        <v>382.49228499127338</v>
      </c>
      <c r="M1686" s="74">
        <f>$J$1686-EFEITO!$K$1686*EFEITO!$Y$1686</f>
        <v>0</v>
      </c>
      <c r="N1686" s="74">
        <f ca="1">$K$1686-EFEITO!$M$1686*EFEITO!$Z$1686</f>
        <v>0</v>
      </c>
      <c r="O1686" s="74">
        <f>$L$1686-EFEITO!$O$1686*EFEITO!$AA$1686</f>
        <v>0</v>
      </c>
      <c r="P1686" s="57"/>
      <c r="Q1686" s="57"/>
      <c r="R1686" s="57"/>
      <c r="S1686" s="57"/>
      <c r="T1686" s="57"/>
      <c r="U1686" s="57"/>
      <c r="V1686" s="57"/>
      <c r="W1686" s="57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</row>
    <row r="1687" spans="1:36" ht="11.25" customHeight="1" x14ac:dyDescent="0.2">
      <c r="A1687" s="53" t="s">
        <v>21</v>
      </c>
      <c r="B1687" s="53" t="s">
        <v>22</v>
      </c>
      <c r="C1687" s="53" t="s">
        <v>37</v>
      </c>
      <c r="D1687" s="53" t="s">
        <v>24</v>
      </c>
      <c r="E1687" s="53" t="s">
        <v>24</v>
      </c>
      <c r="F1687" s="53" t="s">
        <v>25</v>
      </c>
      <c r="G1687" s="53" t="s">
        <v>25</v>
      </c>
      <c r="H1687" s="53" t="s">
        <v>36</v>
      </c>
      <c r="I1687" s="73">
        <v>44044</v>
      </c>
      <c r="J1687" s="74">
        <f>EFEITO!$J$1687*EFEITO!$Y$1687</f>
        <v>0</v>
      </c>
      <c r="K1687" s="74">
        <f ca="1">EFEITO!$L$1687*EFEITO!$Z$1687</f>
        <v>37248.58986801935</v>
      </c>
      <c r="L1687" s="74">
        <f>EFEITO!$N$1687*EFEITO!$AA$1687</f>
        <v>42420.63349736348</v>
      </c>
      <c r="M1687" s="74">
        <f>$J$1687-EFEITO!$K$1687*EFEITO!$Y$1687</f>
        <v>0</v>
      </c>
      <c r="N1687" s="74">
        <f ca="1">$K$1687-EFEITO!$M$1687*EFEITO!$Z$1687</f>
        <v>0</v>
      </c>
      <c r="O1687" s="74">
        <f>$L$1687-EFEITO!$O$1687*EFEITO!$AA$1687</f>
        <v>0</v>
      </c>
      <c r="P1687" s="57"/>
      <c r="Q1687" s="57"/>
      <c r="R1687" s="57"/>
      <c r="S1687" s="57"/>
      <c r="T1687" s="57"/>
      <c r="U1687" s="57"/>
      <c r="V1687" s="57"/>
      <c r="W1687" s="57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</row>
    <row r="1688" spans="1:36" ht="11.25" customHeight="1" x14ac:dyDescent="0.2">
      <c r="A1688" s="53" t="s">
        <v>27</v>
      </c>
      <c r="B1688" s="53" t="s">
        <v>22</v>
      </c>
      <c r="C1688" s="53" t="s">
        <v>37</v>
      </c>
      <c r="D1688" s="53" t="s">
        <v>24</v>
      </c>
      <c r="E1688" s="53" t="s">
        <v>24</v>
      </c>
      <c r="F1688" s="53" t="s">
        <v>25</v>
      </c>
      <c r="G1688" s="53" t="s">
        <v>25</v>
      </c>
      <c r="H1688" s="53" t="s">
        <v>36</v>
      </c>
      <c r="I1688" s="73">
        <v>44044</v>
      </c>
      <c r="J1688" s="74">
        <f>EFEITO!$J$1688*EFEITO!$Y$1688</f>
        <v>0</v>
      </c>
      <c r="K1688" s="74">
        <f ca="1">EFEITO!$L$1688*EFEITO!$Z$1688</f>
        <v>227.62115035443969</v>
      </c>
      <c r="L1688" s="74">
        <f>EFEITO!$N$1688*EFEITO!$AA$1688</f>
        <v>259.22681716668677</v>
      </c>
      <c r="M1688" s="74">
        <f>$J$1688-EFEITO!$K$1688*EFEITO!$Y$1688</f>
        <v>0</v>
      </c>
      <c r="N1688" s="74">
        <f ca="1">$K$1688-EFEITO!$M$1688*EFEITO!$Z$1688</f>
        <v>0</v>
      </c>
      <c r="O1688" s="74">
        <f>$L$1688-EFEITO!$O$1688*EFEITO!$AA$1688</f>
        <v>0</v>
      </c>
      <c r="P1688" s="57"/>
      <c r="Q1688" s="57"/>
      <c r="R1688" s="57"/>
      <c r="S1688" s="57"/>
      <c r="T1688" s="57"/>
      <c r="U1688" s="57"/>
      <c r="V1688" s="57"/>
      <c r="W1688" s="57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</row>
    <row r="1689" spans="1:36" ht="11.25" customHeight="1" x14ac:dyDescent="0.2">
      <c r="A1689" s="53" t="s">
        <v>59</v>
      </c>
      <c r="B1689" s="53" t="s">
        <v>22</v>
      </c>
      <c r="C1689" s="53" t="s">
        <v>37</v>
      </c>
      <c r="D1689" s="53" t="s">
        <v>24</v>
      </c>
      <c r="E1689" s="53" t="s">
        <v>24</v>
      </c>
      <c r="F1689" s="53" t="s">
        <v>25</v>
      </c>
      <c r="G1689" s="53" t="s">
        <v>25</v>
      </c>
      <c r="H1689" s="53" t="s">
        <v>36</v>
      </c>
      <c r="I1689" s="73">
        <v>44075</v>
      </c>
      <c r="J1689" s="74">
        <f>EFEITO!$J$1689*EFEITO!$Y$1689</f>
        <v>0</v>
      </c>
      <c r="K1689" s="74">
        <f ca="1">EFEITO!$L$1689*EFEITO!$Z$1689</f>
        <v>37248.58986801935</v>
      </c>
      <c r="L1689" s="74">
        <f>EFEITO!$N$1689*EFEITO!$AA$1689</f>
        <v>42420.63349736348</v>
      </c>
      <c r="M1689" s="74">
        <f>$J$1689-EFEITO!$K$1689*EFEITO!$Y$1689</f>
        <v>0</v>
      </c>
      <c r="N1689" s="74">
        <f ca="1">$K$1689-EFEITO!$M$1689*EFEITO!$Z$1689</f>
        <v>0</v>
      </c>
      <c r="O1689" s="74">
        <f>$L$1689-EFEITO!$O$1689*EFEITO!$AA$1689</f>
        <v>0</v>
      </c>
      <c r="P1689" s="57"/>
      <c r="Q1689" s="57"/>
      <c r="R1689" s="57"/>
      <c r="S1689" s="57"/>
      <c r="T1689" s="57"/>
      <c r="U1689" s="57"/>
      <c r="V1689" s="57"/>
      <c r="W1689" s="57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</row>
    <row r="1690" spans="1:36" ht="11.25" customHeight="1" x14ac:dyDescent="0.2">
      <c r="A1690" s="53" t="s">
        <v>59</v>
      </c>
      <c r="B1690" s="53" t="s">
        <v>22</v>
      </c>
      <c r="C1690" s="53" t="s">
        <v>37</v>
      </c>
      <c r="D1690" s="53" t="s">
        <v>24</v>
      </c>
      <c r="E1690" s="53" t="s">
        <v>24</v>
      </c>
      <c r="F1690" s="53" t="s">
        <v>25</v>
      </c>
      <c r="G1690" s="53" t="s">
        <v>25</v>
      </c>
      <c r="H1690" s="53" t="s">
        <v>36</v>
      </c>
      <c r="I1690" s="73">
        <v>44075</v>
      </c>
      <c r="J1690" s="74">
        <f>EFEITO!$J$1690*EFEITO!$Y$1690</f>
        <v>0</v>
      </c>
      <c r="K1690" s="74">
        <f ca="1">EFEITO!$L$1690*EFEITO!$Z$1690</f>
        <v>227.62115035443969</v>
      </c>
      <c r="L1690" s="74">
        <f>EFEITO!$N$1690*EFEITO!$AA$1690</f>
        <v>259.22681716668677</v>
      </c>
      <c r="M1690" s="74">
        <f>$J$1690-EFEITO!$K$1690*EFEITO!$Y$1690</f>
        <v>0</v>
      </c>
      <c r="N1690" s="74">
        <f ca="1">$K$1690-EFEITO!$M$1690*EFEITO!$Z$1690</f>
        <v>0</v>
      </c>
      <c r="O1690" s="74">
        <f>$L$1690-EFEITO!$O$1690*EFEITO!$AA$1690</f>
        <v>0</v>
      </c>
      <c r="P1690" s="57"/>
      <c r="Q1690" s="57"/>
      <c r="R1690" s="57"/>
      <c r="S1690" s="57"/>
      <c r="T1690" s="57"/>
      <c r="U1690" s="57"/>
      <c r="V1690" s="57"/>
      <c r="W1690" s="57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</row>
    <row r="1691" spans="1:36" ht="11.25" customHeight="1" x14ac:dyDescent="0.2">
      <c r="A1691" s="53" t="s">
        <v>21</v>
      </c>
      <c r="B1691" s="53" t="s">
        <v>22</v>
      </c>
      <c r="C1691" s="53" t="s">
        <v>37</v>
      </c>
      <c r="D1691" s="53" t="s">
        <v>24</v>
      </c>
      <c r="E1691" s="53" t="s">
        <v>24</v>
      </c>
      <c r="F1691" s="53" t="s">
        <v>25</v>
      </c>
      <c r="G1691" s="53" t="s">
        <v>25</v>
      </c>
      <c r="H1691" s="53" t="s">
        <v>38</v>
      </c>
      <c r="I1691" s="73">
        <v>43739</v>
      </c>
      <c r="J1691" s="74">
        <f>EFEITO!$J$1691*EFEITO!$Y$1691</f>
        <v>0</v>
      </c>
      <c r="K1691" s="74">
        <f ca="1">EFEITO!$L$1691*EFEITO!$Z$1691</f>
        <v>5631.0260823095432</v>
      </c>
      <c r="L1691" s="74">
        <f>EFEITO!$N$1691*EFEITO!$AA$1691</f>
        <v>3366.4861100257876</v>
      </c>
      <c r="M1691" s="74">
        <f>$J$1691-EFEITO!$K$1691*EFEITO!$Y$1691</f>
        <v>0</v>
      </c>
      <c r="N1691" s="74">
        <f ca="1">$K$1691-EFEITO!$M$1691*EFEITO!$Z$1691</f>
        <v>0</v>
      </c>
      <c r="O1691" s="74">
        <f>$L$1691-EFEITO!$O$1691*EFEITO!$AA$1691</f>
        <v>0</v>
      </c>
      <c r="P1691" s="57"/>
      <c r="Q1691" s="57"/>
      <c r="R1691" s="57"/>
      <c r="S1691" s="57"/>
      <c r="T1691" s="57"/>
      <c r="U1691" s="57"/>
      <c r="V1691" s="57"/>
      <c r="W1691" s="57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</row>
    <row r="1692" spans="1:36" ht="11.25" customHeight="1" x14ac:dyDescent="0.2">
      <c r="A1692" s="53" t="s">
        <v>27</v>
      </c>
      <c r="B1692" s="53" t="s">
        <v>22</v>
      </c>
      <c r="C1692" s="53" t="s">
        <v>37</v>
      </c>
      <c r="D1692" s="53" t="s">
        <v>24</v>
      </c>
      <c r="E1692" s="53" t="s">
        <v>24</v>
      </c>
      <c r="F1692" s="53" t="s">
        <v>25</v>
      </c>
      <c r="G1692" s="53" t="s">
        <v>25</v>
      </c>
      <c r="H1692" s="53" t="s">
        <v>38</v>
      </c>
      <c r="I1692" s="73">
        <v>43739</v>
      </c>
      <c r="J1692" s="74">
        <f>EFEITO!$J$1692*EFEITO!$Y$1692</f>
        <v>0</v>
      </c>
      <c r="K1692" s="74">
        <f ca="1">EFEITO!$L$1692*EFEITO!$Z$1692</f>
        <v>141.70231570266063</v>
      </c>
      <c r="L1692" s="74">
        <f>EFEITO!$N$1692*EFEITO!$AA$1692</f>
        <v>84.71615485322711</v>
      </c>
      <c r="M1692" s="74">
        <f>$J$1692-EFEITO!$K$1692*EFEITO!$Y$1692</f>
        <v>0</v>
      </c>
      <c r="N1692" s="74">
        <f ca="1">$K$1692-EFEITO!$M$1692*EFEITO!$Z$1692</f>
        <v>0</v>
      </c>
      <c r="O1692" s="74">
        <f>$L$1692-EFEITO!$O$1692*EFEITO!$AA$1692</f>
        <v>0</v>
      </c>
      <c r="P1692" s="57"/>
      <c r="Q1692" s="57"/>
      <c r="R1692" s="57"/>
      <c r="S1692" s="57"/>
      <c r="T1692" s="57"/>
      <c r="U1692" s="57"/>
      <c r="V1692" s="57"/>
      <c r="W1692" s="57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</row>
    <row r="1693" spans="1:36" ht="11.25" customHeight="1" x14ac:dyDescent="0.2">
      <c r="A1693" s="53" t="s">
        <v>28</v>
      </c>
      <c r="B1693" s="53" t="s">
        <v>22</v>
      </c>
      <c r="C1693" s="53" t="s">
        <v>37</v>
      </c>
      <c r="D1693" s="53" t="s">
        <v>24</v>
      </c>
      <c r="E1693" s="53" t="s">
        <v>24</v>
      </c>
      <c r="F1693" s="53" t="s">
        <v>25</v>
      </c>
      <c r="G1693" s="53" t="s">
        <v>25</v>
      </c>
      <c r="H1693" s="53" t="s">
        <v>38</v>
      </c>
      <c r="I1693" s="73">
        <v>43739</v>
      </c>
      <c r="J1693" s="74">
        <f>EFEITO!$J$1693*EFEITO!$Y$1693</f>
        <v>0</v>
      </c>
      <c r="K1693" s="74">
        <f ca="1">EFEITO!$L$1693*EFEITO!$Z$1693</f>
        <v>1.1583295561525391</v>
      </c>
      <c r="L1693" s="74">
        <f>EFEITO!$N$1693*EFEITO!$AA$1693</f>
        <v>0.69250262822801456</v>
      </c>
      <c r="M1693" s="74">
        <f>$J$1693-EFEITO!$K$1693*EFEITO!$Y$1693</f>
        <v>0</v>
      </c>
      <c r="N1693" s="74">
        <f ca="1">$K$1693-EFEITO!$M$1693*EFEITO!$Z$1693</f>
        <v>0</v>
      </c>
      <c r="O1693" s="74">
        <f>$L$1693-EFEITO!$O$1693*EFEITO!$AA$1693</f>
        <v>0</v>
      </c>
      <c r="P1693" s="57"/>
      <c r="Q1693" s="57"/>
      <c r="R1693" s="57"/>
      <c r="S1693" s="57"/>
      <c r="T1693" s="57"/>
      <c r="U1693" s="57"/>
      <c r="V1693" s="57"/>
      <c r="W1693" s="57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</row>
    <row r="1694" spans="1:36" ht="11.25" customHeight="1" x14ac:dyDescent="0.2">
      <c r="A1694" s="53" t="s">
        <v>21</v>
      </c>
      <c r="B1694" s="53" t="s">
        <v>22</v>
      </c>
      <c r="C1694" s="53" t="s">
        <v>37</v>
      </c>
      <c r="D1694" s="53" t="s">
        <v>24</v>
      </c>
      <c r="E1694" s="53" t="s">
        <v>24</v>
      </c>
      <c r="F1694" s="53" t="s">
        <v>25</v>
      </c>
      <c r="G1694" s="53" t="s">
        <v>25</v>
      </c>
      <c r="H1694" s="53" t="s">
        <v>38</v>
      </c>
      <c r="I1694" s="73">
        <v>43770</v>
      </c>
      <c r="J1694" s="74">
        <f>EFEITO!$J$1694*EFEITO!$Y$1694</f>
        <v>0</v>
      </c>
      <c r="K1694" s="74">
        <f ca="1">EFEITO!$L$1694*EFEITO!$Z$1694</f>
        <v>5705.9313936074077</v>
      </c>
      <c r="L1694" s="74">
        <f>EFEITO!$N$1694*EFEITO!$AA$1694</f>
        <v>3411.2679466511995</v>
      </c>
      <c r="M1694" s="74">
        <f>$J$1694-EFEITO!$K$1694*EFEITO!$Y$1694</f>
        <v>0</v>
      </c>
      <c r="N1694" s="74">
        <f ca="1">$K$1694-EFEITO!$M$1694*EFEITO!$Z$1694</f>
        <v>0</v>
      </c>
      <c r="O1694" s="74">
        <f>$L$1694-EFEITO!$O$1694*EFEITO!$AA$1694</f>
        <v>0</v>
      </c>
      <c r="P1694" s="57"/>
      <c r="Q1694" s="57"/>
      <c r="R1694" s="57"/>
      <c r="S1694" s="57"/>
      <c r="T1694" s="57"/>
      <c r="U1694" s="57"/>
      <c r="V1694" s="57"/>
      <c r="W1694" s="57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</row>
    <row r="1695" spans="1:36" ht="11.25" customHeight="1" x14ac:dyDescent="0.2">
      <c r="A1695" s="53" t="s">
        <v>27</v>
      </c>
      <c r="B1695" s="53" t="s">
        <v>22</v>
      </c>
      <c r="C1695" s="53" t="s">
        <v>37</v>
      </c>
      <c r="D1695" s="53" t="s">
        <v>24</v>
      </c>
      <c r="E1695" s="53" t="s">
        <v>24</v>
      </c>
      <c r="F1695" s="53" t="s">
        <v>25</v>
      </c>
      <c r="G1695" s="53" t="s">
        <v>25</v>
      </c>
      <c r="H1695" s="53" t="s">
        <v>38</v>
      </c>
      <c r="I1695" s="73">
        <v>43770</v>
      </c>
      <c r="J1695" s="74">
        <f>EFEITO!$J$1695*EFEITO!$Y$1695</f>
        <v>0</v>
      </c>
      <c r="K1695" s="74">
        <f ca="1">EFEITO!$L$1695*EFEITO!$Z$1695</f>
        <v>47.491511802254102</v>
      </c>
      <c r="L1695" s="74">
        <f>EFEITO!$N$1695*EFEITO!$AA$1695</f>
        <v>28.392607757348596</v>
      </c>
      <c r="M1695" s="74">
        <f>$J$1695-EFEITO!$K$1695*EFEITO!$Y$1695</f>
        <v>0</v>
      </c>
      <c r="N1695" s="74">
        <f ca="1">$K$1695-EFEITO!$M$1695*EFEITO!$Z$1695</f>
        <v>0</v>
      </c>
      <c r="O1695" s="74">
        <f>$L$1695-EFEITO!$O$1695*EFEITO!$AA$1695</f>
        <v>0</v>
      </c>
      <c r="P1695" s="57"/>
      <c r="Q1695" s="57"/>
      <c r="R1695" s="57"/>
      <c r="S1695" s="57"/>
      <c r="T1695" s="57"/>
      <c r="U1695" s="57"/>
      <c r="V1695" s="57"/>
      <c r="W1695" s="57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</row>
    <row r="1696" spans="1:36" ht="11.25" customHeight="1" x14ac:dyDescent="0.2">
      <c r="A1696" s="53" t="s">
        <v>28</v>
      </c>
      <c r="B1696" s="53" t="s">
        <v>22</v>
      </c>
      <c r="C1696" s="53" t="s">
        <v>37</v>
      </c>
      <c r="D1696" s="53" t="s">
        <v>24</v>
      </c>
      <c r="E1696" s="53" t="s">
        <v>24</v>
      </c>
      <c r="F1696" s="53" t="s">
        <v>25</v>
      </c>
      <c r="G1696" s="53" t="s">
        <v>25</v>
      </c>
      <c r="H1696" s="53" t="s">
        <v>38</v>
      </c>
      <c r="I1696" s="73">
        <v>43770</v>
      </c>
      <c r="J1696" s="74">
        <f>EFEITO!$J$1696*EFEITO!$Y$1696</f>
        <v>0</v>
      </c>
      <c r="K1696" s="74">
        <f ca="1">EFEITO!$L$1696*EFEITO!$Z$1696</f>
        <v>14.286064525881315</v>
      </c>
      <c r="L1696" s="74">
        <f>EFEITO!$N$1696*EFEITO!$AA$1696</f>
        <v>8.5408657481455119</v>
      </c>
      <c r="M1696" s="74">
        <f>$J$1696-EFEITO!$K$1696*EFEITO!$Y$1696</f>
        <v>0</v>
      </c>
      <c r="N1696" s="74">
        <f ca="1">$K$1696-EFEITO!$M$1696*EFEITO!$Z$1696</f>
        <v>0</v>
      </c>
      <c r="O1696" s="74">
        <f>$L$1696-EFEITO!$O$1696*EFEITO!$AA$1696</f>
        <v>0</v>
      </c>
      <c r="P1696" s="57"/>
      <c r="Q1696" s="57"/>
      <c r="R1696" s="57"/>
      <c r="S1696" s="57"/>
      <c r="T1696" s="57"/>
      <c r="U1696" s="57"/>
      <c r="V1696" s="57"/>
      <c r="W1696" s="57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</row>
    <row r="1697" spans="1:36" ht="11.25" customHeight="1" x14ac:dyDescent="0.2">
      <c r="A1697" s="53" t="s">
        <v>28</v>
      </c>
      <c r="B1697" s="53" t="s">
        <v>22</v>
      </c>
      <c r="C1697" s="53" t="s">
        <v>37</v>
      </c>
      <c r="D1697" s="53" t="s">
        <v>24</v>
      </c>
      <c r="E1697" s="53" t="s">
        <v>24</v>
      </c>
      <c r="F1697" s="53" t="s">
        <v>25</v>
      </c>
      <c r="G1697" s="53" t="s">
        <v>25</v>
      </c>
      <c r="H1697" s="53" t="s">
        <v>38</v>
      </c>
      <c r="I1697" s="73">
        <v>43770</v>
      </c>
      <c r="J1697" s="74">
        <f>EFEITO!$J$1697*EFEITO!$Y$1697</f>
        <v>0</v>
      </c>
      <c r="K1697" s="74">
        <f ca="1">EFEITO!$L$1697*EFEITO!$Z$1697</f>
        <v>14.286064525881315</v>
      </c>
      <c r="L1697" s="74">
        <f>EFEITO!$N$1697*EFEITO!$AA$1697</f>
        <v>8.5408657481455119</v>
      </c>
      <c r="M1697" s="74">
        <f>$J$1697-EFEITO!$K$1697*EFEITO!$Y$1697</f>
        <v>0</v>
      </c>
      <c r="N1697" s="74">
        <f ca="1">$K$1697-EFEITO!$M$1697*EFEITO!$Z$1697</f>
        <v>0</v>
      </c>
      <c r="O1697" s="74">
        <f>$L$1697-EFEITO!$O$1697*EFEITO!$AA$1697</f>
        <v>0</v>
      </c>
      <c r="P1697" s="57"/>
      <c r="Q1697" s="57"/>
      <c r="R1697" s="57"/>
      <c r="S1697" s="57"/>
      <c r="T1697" s="57"/>
      <c r="U1697" s="57"/>
      <c r="V1697" s="57"/>
      <c r="W1697" s="57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</row>
    <row r="1698" spans="1:36" ht="11.25" customHeight="1" x14ac:dyDescent="0.2">
      <c r="A1698" s="53" t="s">
        <v>21</v>
      </c>
      <c r="B1698" s="53" t="s">
        <v>22</v>
      </c>
      <c r="C1698" s="53" t="s">
        <v>37</v>
      </c>
      <c r="D1698" s="53" t="s">
        <v>24</v>
      </c>
      <c r="E1698" s="53" t="s">
        <v>24</v>
      </c>
      <c r="F1698" s="53" t="s">
        <v>25</v>
      </c>
      <c r="G1698" s="53" t="s">
        <v>25</v>
      </c>
      <c r="H1698" s="53" t="s">
        <v>38</v>
      </c>
      <c r="I1698" s="73">
        <v>43800</v>
      </c>
      <c r="J1698" s="74">
        <f>EFEITO!$J$1698*EFEITO!$Y$1698</f>
        <v>0</v>
      </c>
      <c r="K1698" s="74">
        <f ca="1">EFEITO!$L$1698*EFEITO!$Z$1698</f>
        <v>4689.3041531575291</v>
      </c>
      <c r="L1698" s="74">
        <f>EFEITO!$N$1698*EFEITO!$AA$1698</f>
        <v>2803.4814732764121</v>
      </c>
      <c r="M1698" s="74">
        <f>$J$1698-EFEITO!$K$1698*EFEITO!$Y$1698</f>
        <v>0</v>
      </c>
      <c r="N1698" s="74">
        <f ca="1">$K$1698-EFEITO!$M$1698*EFEITO!$Z$1698</f>
        <v>0</v>
      </c>
      <c r="O1698" s="74">
        <f>$L$1698-EFEITO!$O$1698*EFEITO!$AA$1698</f>
        <v>0</v>
      </c>
      <c r="P1698" s="57"/>
      <c r="Q1698" s="57"/>
      <c r="R1698" s="57"/>
      <c r="S1698" s="57"/>
      <c r="T1698" s="57"/>
      <c r="U1698" s="57"/>
      <c r="V1698" s="57"/>
      <c r="W1698" s="57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</row>
    <row r="1699" spans="1:36" ht="11.25" customHeight="1" x14ac:dyDescent="0.2">
      <c r="A1699" s="53" t="s">
        <v>27</v>
      </c>
      <c r="B1699" s="53" t="s">
        <v>22</v>
      </c>
      <c r="C1699" s="53" t="s">
        <v>37</v>
      </c>
      <c r="D1699" s="53" t="s">
        <v>24</v>
      </c>
      <c r="E1699" s="53" t="s">
        <v>24</v>
      </c>
      <c r="F1699" s="53" t="s">
        <v>25</v>
      </c>
      <c r="G1699" s="53" t="s">
        <v>25</v>
      </c>
      <c r="H1699" s="53" t="s">
        <v>38</v>
      </c>
      <c r="I1699" s="73">
        <v>43800</v>
      </c>
      <c r="J1699" s="74">
        <f>EFEITO!$J$1699*EFEITO!$Y$1699</f>
        <v>0</v>
      </c>
      <c r="K1699" s="74">
        <f ca="1">EFEITO!$L$1699*EFEITO!$Z$1699</f>
        <v>128.188470880881</v>
      </c>
      <c r="L1699" s="74">
        <f>EFEITO!$N$1699*EFEITO!$AA$1699</f>
        <v>76.636957523900278</v>
      </c>
      <c r="M1699" s="74">
        <f>$J$1699-EFEITO!$K$1699*EFEITO!$Y$1699</f>
        <v>0</v>
      </c>
      <c r="N1699" s="74">
        <f ca="1">$K$1699-EFEITO!$M$1699*EFEITO!$Z$1699</f>
        <v>0</v>
      </c>
      <c r="O1699" s="74">
        <f>$L$1699-EFEITO!$O$1699*EFEITO!$AA$1699</f>
        <v>0</v>
      </c>
      <c r="P1699" s="57"/>
      <c r="Q1699" s="57"/>
      <c r="R1699" s="57"/>
      <c r="S1699" s="57"/>
      <c r="T1699" s="57"/>
      <c r="U1699" s="57"/>
      <c r="V1699" s="57"/>
      <c r="W1699" s="57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</row>
    <row r="1700" spans="1:36" ht="11.25" customHeight="1" x14ac:dyDescent="0.2">
      <c r="A1700" s="53" t="s">
        <v>28</v>
      </c>
      <c r="B1700" s="53" t="s">
        <v>22</v>
      </c>
      <c r="C1700" s="53" t="s">
        <v>37</v>
      </c>
      <c r="D1700" s="53" t="s">
        <v>24</v>
      </c>
      <c r="E1700" s="53" t="s">
        <v>24</v>
      </c>
      <c r="F1700" s="53" t="s">
        <v>25</v>
      </c>
      <c r="G1700" s="53" t="s">
        <v>25</v>
      </c>
      <c r="H1700" s="53" t="s">
        <v>38</v>
      </c>
      <c r="I1700" s="73">
        <v>43800</v>
      </c>
      <c r="J1700" s="74">
        <f>EFEITO!$J$1700*EFEITO!$Y$1700</f>
        <v>0</v>
      </c>
      <c r="K1700" s="74">
        <f ca="1">EFEITO!$L$1700*EFEITO!$Z$1700</f>
        <v>7.336087188966081</v>
      </c>
      <c r="L1700" s="74">
        <f>EFEITO!$N$1700*EFEITO!$AA$1700</f>
        <v>4.3858499787774248</v>
      </c>
      <c r="M1700" s="74">
        <f>$J$1700-EFEITO!$K$1700*EFEITO!$Y$1700</f>
        <v>0</v>
      </c>
      <c r="N1700" s="74">
        <f ca="1">$K$1700-EFEITO!$M$1700*EFEITO!$Z$1700</f>
        <v>0</v>
      </c>
      <c r="O1700" s="74">
        <f>$L$1700-EFEITO!$O$1700*EFEITO!$AA$1700</f>
        <v>0</v>
      </c>
      <c r="P1700" s="57"/>
      <c r="Q1700" s="57"/>
      <c r="R1700" s="57"/>
      <c r="S1700" s="57"/>
      <c r="T1700" s="57"/>
      <c r="U1700" s="57"/>
      <c r="V1700" s="57"/>
      <c r="W1700" s="57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</row>
    <row r="1701" spans="1:36" ht="11.25" customHeight="1" x14ac:dyDescent="0.2">
      <c r="A1701" s="53" t="s">
        <v>21</v>
      </c>
      <c r="B1701" s="53" t="s">
        <v>22</v>
      </c>
      <c r="C1701" s="53" t="s">
        <v>37</v>
      </c>
      <c r="D1701" s="53" t="s">
        <v>24</v>
      </c>
      <c r="E1701" s="53" t="s">
        <v>24</v>
      </c>
      <c r="F1701" s="53" t="s">
        <v>25</v>
      </c>
      <c r="G1701" s="53" t="s">
        <v>25</v>
      </c>
      <c r="H1701" s="53" t="s">
        <v>38</v>
      </c>
      <c r="I1701" s="73">
        <v>43831</v>
      </c>
      <c r="J1701" s="74">
        <f>EFEITO!$J$1701*EFEITO!$Y$1701</f>
        <v>0</v>
      </c>
      <c r="K1701" s="74">
        <f ca="1">EFEITO!$L$1701*EFEITO!$Z$1701</f>
        <v>5373.8769208436797</v>
      </c>
      <c r="L1701" s="74">
        <f>EFEITO!$N$1701*EFEITO!$AA$1701</f>
        <v>3212.7505265591685</v>
      </c>
      <c r="M1701" s="74">
        <f>$J$1701-EFEITO!$K$1701*EFEITO!$Y$1701</f>
        <v>0</v>
      </c>
      <c r="N1701" s="74">
        <f ca="1">$K$1701-EFEITO!$M$1701*EFEITO!$Z$1701</f>
        <v>0</v>
      </c>
      <c r="O1701" s="74">
        <f>$L$1701-EFEITO!$O$1701*EFEITO!$AA$1701</f>
        <v>0</v>
      </c>
      <c r="P1701" s="57"/>
      <c r="Q1701" s="57"/>
      <c r="R1701" s="57"/>
      <c r="S1701" s="57"/>
      <c r="T1701" s="57"/>
      <c r="U1701" s="57"/>
      <c r="V1701" s="57"/>
      <c r="W1701" s="57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</row>
    <row r="1702" spans="1:36" ht="11.25" customHeight="1" x14ac:dyDescent="0.2">
      <c r="A1702" s="53" t="s">
        <v>27</v>
      </c>
      <c r="B1702" s="53" t="s">
        <v>22</v>
      </c>
      <c r="C1702" s="53" t="s">
        <v>37</v>
      </c>
      <c r="D1702" s="53" t="s">
        <v>24</v>
      </c>
      <c r="E1702" s="53" t="s">
        <v>24</v>
      </c>
      <c r="F1702" s="53" t="s">
        <v>25</v>
      </c>
      <c r="G1702" s="53" t="s">
        <v>25</v>
      </c>
      <c r="H1702" s="53" t="s">
        <v>38</v>
      </c>
      <c r="I1702" s="73">
        <v>43831</v>
      </c>
      <c r="J1702" s="74">
        <f>EFEITO!$J$1702*EFEITO!$Y$1702</f>
        <v>0</v>
      </c>
      <c r="K1702" s="74">
        <f ca="1">EFEITO!$L$1702*EFEITO!$Z$1702</f>
        <v>42.858193577643945</v>
      </c>
      <c r="L1702" s="74">
        <f>EFEITO!$N$1702*EFEITO!$AA$1702</f>
        <v>25.622597244436538</v>
      </c>
      <c r="M1702" s="74">
        <f>$J$1702-EFEITO!$K$1702*EFEITO!$Y$1702</f>
        <v>0</v>
      </c>
      <c r="N1702" s="74">
        <f ca="1">$K$1702-EFEITO!$M$1702*EFEITO!$Z$1702</f>
        <v>0</v>
      </c>
      <c r="O1702" s="74">
        <f>$L$1702-EFEITO!$O$1702*EFEITO!$AA$1702</f>
        <v>0</v>
      </c>
      <c r="P1702" s="57"/>
      <c r="Q1702" s="57"/>
      <c r="R1702" s="57"/>
      <c r="S1702" s="57"/>
      <c r="T1702" s="57"/>
      <c r="U1702" s="57"/>
      <c r="V1702" s="57"/>
      <c r="W1702" s="57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</row>
    <row r="1703" spans="1:36" ht="11.25" customHeight="1" x14ac:dyDescent="0.2">
      <c r="A1703" s="53" t="s">
        <v>28</v>
      </c>
      <c r="B1703" s="53" t="s">
        <v>22</v>
      </c>
      <c r="C1703" s="53" t="s">
        <v>37</v>
      </c>
      <c r="D1703" s="53" t="s">
        <v>24</v>
      </c>
      <c r="E1703" s="53" t="s">
        <v>24</v>
      </c>
      <c r="F1703" s="53" t="s">
        <v>25</v>
      </c>
      <c r="G1703" s="53" t="s">
        <v>25</v>
      </c>
      <c r="H1703" s="53" t="s">
        <v>38</v>
      </c>
      <c r="I1703" s="73">
        <v>43831</v>
      </c>
      <c r="J1703" s="74">
        <f>EFEITO!$J$1703*EFEITO!$Y$1703</f>
        <v>0</v>
      </c>
      <c r="K1703" s="74">
        <f ca="1">EFEITO!$L$1703*EFEITO!$Z$1703</f>
        <v>6.1777576328135417</v>
      </c>
      <c r="L1703" s="74">
        <f>EFEITO!$N$1703*EFEITO!$AA$1703</f>
        <v>3.693347350549411</v>
      </c>
      <c r="M1703" s="74">
        <f>$J$1703-EFEITO!$K$1703*EFEITO!$Y$1703</f>
        <v>0</v>
      </c>
      <c r="N1703" s="74">
        <f ca="1">$K$1703-EFEITO!$M$1703*EFEITO!$Z$1703</f>
        <v>0</v>
      </c>
      <c r="O1703" s="74">
        <f>$L$1703-EFEITO!$O$1703*EFEITO!$AA$1703</f>
        <v>0</v>
      </c>
      <c r="P1703" s="57"/>
      <c r="Q1703" s="57"/>
      <c r="R1703" s="57"/>
      <c r="S1703" s="57"/>
      <c r="T1703" s="57"/>
      <c r="U1703" s="57"/>
      <c r="V1703" s="57"/>
      <c r="W1703" s="57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</row>
    <row r="1704" spans="1:36" ht="11.25" customHeight="1" x14ac:dyDescent="0.2">
      <c r="A1704" s="53" t="s">
        <v>21</v>
      </c>
      <c r="B1704" s="53" t="s">
        <v>22</v>
      </c>
      <c r="C1704" s="53" t="s">
        <v>37</v>
      </c>
      <c r="D1704" s="53" t="s">
        <v>24</v>
      </c>
      <c r="E1704" s="53" t="s">
        <v>24</v>
      </c>
      <c r="F1704" s="53" t="s">
        <v>25</v>
      </c>
      <c r="G1704" s="53" t="s">
        <v>25</v>
      </c>
      <c r="H1704" s="53" t="s">
        <v>38</v>
      </c>
      <c r="I1704" s="73">
        <v>43862</v>
      </c>
      <c r="J1704" s="74">
        <f>EFEITO!$J$1704*EFEITO!$Y$1704</f>
        <v>0</v>
      </c>
      <c r="K1704" s="74">
        <f ca="1">EFEITO!$L$1704*EFEITO!$Z$1704</f>
        <v>5190.8608509715787</v>
      </c>
      <c r="L1704" s="74">
        <f>EFEITO!$N$1704*EFEITO!$AA$1704</f>
        <v>3103.3351112991427</v>
      </c>
      <c r="M1704" s="74">
        <f>$J$1704-EFEITO!$K$1704*EFEITO!$Y$1704</f>
        <v>0</v>
      </c>
      <c r="N1704" s="74">
        <f ca="1">$K$1704-EFEITO!$M$1704*EFEITO!$Z$1704</f>
        <v>0</v>
      </c>
      <c r="O1704" s="74">
        <f>$L$1704-EFEITO!$O$1704*EFEITO!$AA$1704</f>
        <v>0</v>
      </c>
      <c r="P1704" s="57"/>
      <c r="Q1704" s="57"/>
      <c r="R1704" s="57"/>
      <c r="S1704" s="57"/>
      <c r="T1704" s="57"/>
      <c r="U1704" s="57"/>
      <c r="V1704" s="57"/>
      <c r="W1704" s="57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</row>
    <row r="1705" spans="1:36" ht="11.25" customHeight="1" x14ac:dyDescent="0.2">
      <c r="A1705" s="53" t="s">
        <v>27</v>
      </c>
      <c r="B1705" s="53" t="s">
        <v>22</v>
      </c>
      <c r="C1705" s="53" t="s">
        <v>37</v>
      </c>
      <c r="D1705" s="53" t="s">
        <v>24</v>
      </c>
      <c r="E1705" s="53" t="s">
        <v>24</v>
      </c>
      <c r="F1705" s="53" t="s">
        <v>25</v>
      </c>
      <c r="G1705" s="53" t="s">
        <v>25</v>
      </c>
      <c r="H1705" s="53" t="s">
        <v>38</v>
      </c>
      <c r="I1705" s="73">
        <v>43862</v>
      </c>
      <c r="J1705" s="74">
        <f>EFEITO!$J$1705*EFEITO!$Y$1705</f>
        <v>0</v>
      </c>
      <c r="K1705" s="74">
        <f ca="1">EFEITO!$L$1705*EFEITO!$Z$1705</f>
        <v>74.905311297864202</v>
      </c>
      <c r="L1705" s="74">
        <f>EFEITO!$N$1705*EFEITO!$AA$1705</f>
        <v>44.781836625411607</v>
      </c>
      <c r="M1705" s="74">
        <f>$J$1705-EFEITO!$K$1705*EFEITO!$Y$1705</f>
        <v>0</v>
      </c>
      <c r="N1705" s="74">
        <f ca="1">$K$1705-EFEITO!$M$1705*EFEITO!$Z$1705</f>
        <v>0</v>
      </c>
      <c r="O1705" s="74">
        <f>$L$1705-EFEITO!$O$1705*EFEITO!$AA$1705</f>
        <v>0</v>
      </c>
      <c r="P1705" s="57"/>
      <c r="Q1705" s="57"/>
      <c r="R1705" s="57"/>
      <c r="S1705" s="57"/>
      <c r="T1705" s="57"/>
      <c r="U1705" s="57"/>
      <c r="V1705" s="57"/>
      <c r="W1705" s="57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</row>
    <row r="1706" spans="1:36" ht="11.25" customHeight="1" x14ac:dyDescent="0.2">
      <c r="A1706" s="53" t="s">
        <v>21</v>
      </c>
      <c r="B1706" s="53" t="s">
        <v>22</v>
      </c>
      <c r="C1706" s="53" t="s">
        <v>37</v>
      </c>
      <c r="D1706" s="53" t="s">
        <v>24</v>
      </c>
      <c r="E1706" s="53" t="s">
        <v>24</v>
      </c>
      <c r="F1706" s="53" t="s">
        <v>25</v>
      </c>
      <c r="G1706" s="53" t="s">
        <v>25</v>
      </c>
      <c r="H1706" s="53" t="s">
        <v>38</v>
      </c>
      <c r="I1706" s="73">
        <v>43891</v>
      </c>
      <c r="J1706" s="74">
        <f>EFEITO!$J$1706*EFEITO!$Y$1706</f>
        <v>0</v>
      </c>
      <c r="K1706" s="74">
        <f ca="1">EFEITO!$L$1706*EFEITO!$Z$1706</f>
        <v>4947.2255343274946</v>
      </c>
      <c r="L1706" s="74">
        <f>EFEITO!$N$1706*EFEITO!$AA$1706</f>
        <v>2957.6787251618503</v>
      </c>
      <c r="M1706" s="74">
        <f>$J$1706-EFEITO!$K$1706*EFEITO!$Y$1706</f>
        <v>0</v>
      </c>
      <c r="N1706" s="74">
        <f ca="1">$K$1706-EFEITO!$M$1706*EFEITO!$Z$1706</f>
        <v>0</v>
      </c>
      <c r="O1706" s="74">
        <f>$L$1706-EFEITO!$O$1706*EFEITO!$AA$1706</f>
        <v>0</v>
      </c>
      <c r="P1706" s="57"/>
      <c r="Q1706" s="57"/>
      <c r="R1706" s="57"/>
      <c r="S1706" s="57"/>
      <c r="T1706" s="57"/>
      <c r="U1706" s="57"/>
      <c r="V1706" s="57"/>
      <c r="W1706" s="57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</row>
    <row r="1707" spans="1:36" ht="11.25" customHeight="1" x14ac:dyDescent="0.2">
      <c r="A1707" s="53" t="s">
        <v>27</v>
      </c>
      <c r="B1707" s="53" t="s">
        <v>22</v>
      </c>
      <c r="C1707" s="53" t="s">
        <v>37</v>
      </c>
      <c r="D1707" s="53" t="s">
        <v>24</v>
      </c>
      <c r="E1707" s="53" t="s">
        <v>24</v>
      </c>
      <c r="F1707" s="53" t="s">
        <v>25</v>
      </c>
      <c r="G1707" s="53" t="s">
        <v>25</v>
      </c>
      <c r="H1707" s="53" t="s">
        <v>38</v>
      </c>
      <c r="I1707" s="73">
        <v>43891</v>
      </c>
      <c r="J1707" s="74">
        <f>EFEITO!$J$1707*EFEITO!$Y$1707</f>
        <v>0</v>
      </c>
      <c r="K1707" s="74">
        <f ca="1">EFEITO!$L$1707*EFEITO!$Z$1707</f>
        <v>6.1777576328135417</v>
      </c>
      <c r="L1707" s="74">
        <f>EFEITO!$N$1707*EFEITO!$AA$1707</f>
        <v>3.693347350549411</v>
      </c>
      <c r="M1707" s="74">
        <f>$J$1707-EFEITO!$K$1707*EFEITO!$Y$1707</f>
        <v>0</v>
      </c>
      <c r="N1707" s="74">
        <f ca="1">$K$1707-EFEITO!$M$1707*EFEITO!$Z$1707</f>
        <v>0</v>
      </c>
      <c r="O1707" s="74">
        <f>$L$1707-EFEITO!$O$1707*EFEITO!$AA$1707</f>
        <v>0</v>
      </c>
      <c r="P1707" s="57"/>
      <c r="Q1707" s="57"/>
      <c r="R1707" s="57"/>
      <c r="S1707" s="57"/>
      <c r="T1707" s="57"/>
      <c r="U1707" s="57"/>
      <c r="V1707" s="57"/>
      <c r="W1707" s="57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</row>
    <row r="1708" spans="1:36" ht="11.25" customHeight="1" x14ac:dyDescent="0.2">
      <c r="A1708" s="53" t="s">
        <v>21</v>
      </c>
      <c r="B1708" s="53" t="s">
        <v>22</v>
      </c>
      <c r="C1708" s="53" t="s">
        <v>37</v>
      </c>
      <c r="D1708" s="53" t="s">
        <v>24</v>
      </c>
      <c r="E1708" s="53" t="s">
        <v>24</v>
      </c>
      <c r="F1708" s="53" t="s">
        <v>25</v>
      </c>
      <c r="G1708" s="53" t="s">
        <v>25</v>
      </c>
      <c r="H1708" s="53" t="s">
        <v>38</v>
      </c>
      <c r="I1708" s="73">
        <v>43922</v>
      </c>
      <c r="J1708" s="74">
        <f>EFEITO!$J$1708*EFEITO!$Y$1708</f>
        <v>0</v>
      </c>
      <c r="K1708" s="74">
        <f ca="1">EFEITO!$L$1708*EFEITO!$Z$1708</f>
        <v>5335.2659356385948</v>
      </c>
      <c r="L1708" s="74">
        <f>EFEITO!$N$1708*EFEITO!$AA$1708</f>
        <v>3189.6671056182349</v>
      </c>
      <c r="M1708" s="74">
        <f>$J$1708-EFEITO!$K$1708*EFEITO!$Y$1708</f>
        <v>0</v>
      </c>
      <c r="N1708" s="74">
        <f ca="1">$K$1708-EFEITO!$M$1708*EFEITO!$Z$1708</f>
        <v>0</v>
      </c>
      <c r="O1708" s="74">
        <f>$L$1708-EFEITO!$O$1708*EFEITO!$AA$1708</f>
        <v>0</v>
      </c>
      <c r="P1708" s="57"/>
      <c r="Q1708" s="57"/>
      <c r="R1708" s="57"/>
      <c r="S1708" s="57"/>
      <c r="T1708" s="57"/>
      <c r="U1708" s="57"/>
      <c r="V1708" s="57"/>
      <c r="W1708" s="57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</row>
    <row r="1709" spans="1:36" ht="11.25" customHeight="1" x14ac:dyDescent="0.2">
      <c r="A1709" s="53" t="s">
        <v>27</v>
      </c>
      <c r="B1709" s="53" t="s">
        <v>22</v>
      </c>
      <c r="C1709" s="53" t="s">
        <v>37</v>
      </c>
      <c r="D1709" s="53" t="s">
        <v>24</v>
      </c>
      <c r="E1709" s="53" t="s">
        <v>24</v>
      </c>
      <c r="F1709" s="53" t="s">
        <v>25</v>
      </c>
      <c r="G1709" s="53" t="s">
        <v>25</v>
      </c>
      <c r="H1709" s="53" t="s">
        <v>38</v>
      </c>
      <c r="I1709" s="73">
        <v>43922</v>
      </c>
      <c r="J1709" s="74">
        <f>EFEITO!$J$1709*EFEITO!$Y$1709</f>
        <v>0</v>
      </c>
      <c r="K1709" s="74">
        <f ca="1">EFEITO!$L$1709*EFEITO!$Z$1709</f>
        <v>17.761053194338931</v>
      </c>
      <c r="L1709" s="74">
        <f>EFEITO!$N$1709*EFEITO!$AA$1709</f>
        <v>10.618373632829556</v>
      </c>
      <c r="M1709" s="74">
        <f>$J$1709-EFEITO!$K$1709*EFEITO!$Y$1709</f>
        <v>0</v>
      </c>
      <c r="N1709" s="74">
        <f ca="1">$K$1709-EFEITO!$M$1709*EFEITO!$Z$1709</f>
        <v>0</v>
      </c>
      <c r="O1709" s="74">
        <f>$L$1709-EFEITO!$O$1709*EFEITO!$AA$1709</f>
        <v>0</v>
      </c>
      <c r="P1709" s="57"/>
      <c r="Q1709" s="57"/>
      <c r="R1709" s="57"/>
      <c r="S1709" s="57"/>
      <c r="T1709" s="57"/>
      <c r="U1709" s="57"/>
      <c r="V1709" s="57"/>
      <c r="W1709" s="57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</row>
    <row r="1710" spans="1:36" ht="11.25" customHeight="1" x14ac:dyDescent="0.2">
      <c r="A1710" s="53" t="s">
        <v>21</v>
      </c>
      <c r="B1710" s="53" t="s">
        <v>22</v>
      </c>
      <c r="C1710" s="53" t="s">
        <v>37</v>
      </c>
      <c r="D1710" s="53" t="s">
        <v>24</v>
      </c>
      <c r="E1710" s="53" t="s">
        <v>24</v>
      </c>
      <c r="F1710" s="53" t="s">
        <v>25</v>
      </c>
      <c r="G1710" s="53" t="s">
        <v>25</v>
      </c>
      <c r="H1710" s="53" t="s">
        <v>38</v>
      </c>
      <c r="I1710" s="73">
        <v>43952</v>
      </c>
      <c r="J1710" s="74">
        <f>EFEITO!$J$1710*EFEITO!$Y$1710</f>
        <v>0</v>
      </c>
      <c r="K1710" s="74">
        <f ca="1">EFEITO!$L$1710*EFEITO!$Z$1710</f>
        <v>4915.564526459325</v>
      </c>
      <c r="L1710" s="74">
        <f>EFEITO!$N$1710*EFEITO!$AA$1710</f>
        <v>2938.7503199902844</v>
      </c>
      <c r="M1710" s="74">
        <f>$J$1710-EFEITO!$K$1710*EFEITO!$Y$1710</f>
        <v>0</v>
      </c>
      <c r="N1710" s="74">
        <f ca="1">$K$1710-EFEITO!$M$1710*EFEITO!$Z$1710</f>
        <v>0</v>
      </c>
      <c r="O1710" s="74">
        <f>$L$1710-EFEITO!$O$1710*EFEITO!$AA$1710</f>
        <v>0</v>
      </c>
      <c r="P1710" s="57"/>
      <c r="Q1710" s="57"/>
      <c r="R1710" s="57"/>
      <c r="S1710" s="57"/>
      <c r="T1710" s="57"/>
      <c r="U1710" s="57"/>
      <c r="V1710" s="57"/>
      <c r="W1710" s="57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</row>
    <row r="1711" spans="1:36" ht="11.25" customHeight="1" x14ac:dyDescent="0.2">
      <c r="A1711" s="53" t="s">
        <v>27</v>
      </c>
      <c r="B1711" s="53" t="s">
        <v>22</v>
      </c>
      <c r="C1711" s="53" t="s">
        <v>37</v>
      </c>
      <c r="D1711" s="53" t="s">
        <v>24</v>
      </c>
      <c r="E1711" s="53" t="s">
        <v>24</v>
      </c>
      <c r="F1711" s="53" t="s">
        <v>25</v>
      </c>
      <c r="G1711" s="53" t="s">
        <v>25</v>
      </c>
      <c r="H1711" s="53" t="s">
        <v>38</v>
      </c>
      <c r="I1711" s="73">
        <v>43952</v>
      </c>
      <c r="J1711" s="74">
        <f>EFEITO!$J$1711*EFEITO!$Y$1711</f>
        <v>0</v>
      </c>
      <c r="K1711" s="74">
        <f ca="1">EFEITO!$L$1711*EFEITO!$Z$1711</f>
        <v>71.816432481457426</v>
      </c>
      <c r="L1711" s="74">
        <f>EFEITO!$N$1711*EFEITO!$AA$1711</f>
        <v>42.935162950136899</v>
      </c>
      <c r="M1711" s="74">
        <f>$J$1711-EFEITO!$K$1711*EFEITO!$Y$1711</f>
        <v>0</v>
      </c>
      <c r="N1711" s="74">
        <f ca="1">$K$1711-EFEITO!$M$1711*EFEITO!$Z$1711</f>
        <v>0</v>
      </c>
      <c r="O1711" s="74">
        <f>$L$1711-EFEITO!$O$1711*EFEITO!$AA$1711</f>
        <v>0</v>
      </c>
      <c r="P1711" s="57"/>
      <c r="Q1711" s="57"/>
      <c r="R1711" s="57"/>
      <c r="S1711" s="57"/>
      <c r="T1711" s="57"/>
      <c r="U1711" s="57"/>
      <c r="V1711" s="57"/>
      <c r="W1711" s="57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</row>
    <row r="1712" spans="1:36" ht="11.25" customHeight="1" x14ac:dyDescent="0.2">
      <c r="A1712" s="53" t="s">
        <v>21</v>
      </c>
      <c r="B1712" s="53" t="s">
        <v>22</v>
      </c>
      <c r="C1712" s="53" t="s">
        <v>37</v>
      </c>
      <c r="D1712" s="53" t="s">
        <v>24</v>
      </c>
      <c r="E1712" s="53" t="s">
        <v>24</v>
      </c>
      <c r="F1712" s="53" t="s">
        <v>25</v>
      </c>
      <c r="G1712" s="53" t="s">
        <v>25</v>
      </c>
      <c r="H1712" s="53" t="s">
        <v>38</v>
      </c>
      <c r="I1712" s="73">
        <v>43983</v>
      </c>
      <c r="J1712" s="74">
        <f>EFEITO!$J$1712*EFEITO!$Y$1712</f>
        <v>0</v>
      </c>
      <c r="K1712" s="74">
        <f ca="1">EFEITO!$L$1712*EFEITO!$Z$1712</f>
        <v>4477.7159542336649</v>
      </c>
      <c r="L1712" s="74">
        <f>EFEITO!$N$1712*EFEITO!$AA$1712</f>
        <v>2676.9843265200948</v>
      </c>
      <c r="M1712" s="74">
        <f>$J$1712-EFEITO!$K$1712*EFEITO!$Y$1712</f>
        <v>0</v>
      </c>
      <c r="N1712" s="74">
        <f ca="1">$K$1712-EFEITO!$M$1712*EFEITO!$Z$1712</f>
        <v>0</v>
      </c>
      <c r="O1712" s="74">
        <f>$L$1712-EFEITO!$O$1712*EFEITO!$AA$1712</f>
        <v>0</v>
      </c>
      <c r="P1712" s="57"/>
      <c r="Q1712" s="57"/>
      <c r="R1712" s="57"/>
      <c r="S1712" s="57"/>
      <c r="T1712" s="57"/>
      <c r="U1712" s="57"/>
      <c r="V1712" s="57"/>
      <c r="W1712" s="57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</row>
    <row r="1713" spans="1:36" ht="11.25" customHeight="1" x14ac:dyDescent="0.2">
      <c r="A1713" s="53" t="s">
        <v>27</v>
      </c>
      <c r="B1713" s="53" t="s">
        <v>22</v>
      </c>
      <c r="C1713" s="53" t="s">
        <v>37</v>
      </c>
      <c r="D1713" s="53" t="s">
        <v>24</v>
      </c>
      <c r="E1713" s="53" t="s">
        <v>24</v>
      </c>
      <c r="F1713" s="53" t="s">
        <v>25</v>
      </c>
      <c r="G1713" s="53" t="s">
        <v>25</v>
      </c>
      <c r="H1713" s="53" t="s">
        <v>38</v>
      </c>
      <c r="I1713" s="73">
        <v>43983</v>
      </c>
      <c r="J1713" s="74">
        <f>EFEITO!$J$1713*EFEITO!$Y$1713</f>
        <v>0</v>
      </c>
      <c r="K1713" s="74">
        <f ca="1">EFEITO!$L$1713*EFEITO!$Z$1713</f>
        <v>55.213708843271029</v>
      </c>
      <c r="L1713" s="74">
        <f>EFEITO!$N$1713*EFEITO!$AA$1713</f>
        <v>33.009291945535352</v>
      </c>
      <c r="M1713" s="74">
        <f>$J$1713-EFEITO!$K$1713*EFEITO!$Y$1713</f>
        <v>0</v>
      </c>
      <c r="N1713" s="74">
        <f ca="1">$K$1713-EFEITO!$M$1713*EFEITO!$Z$1713</f>
        <v>0</v>
      </c>
      <c r="O1713" s="74">
        <f>$L$1713-EFEITO!$O$1713*EFEITO!$AA$1713</f>
        <v>0</v>
      </c>
      <c r="P1713" s="57"/>
      <c r="Q1713" s="57"/>
      <c r="R1713" s="57"/>
      <c r="S1713" s="57"/>
      <c r="T1713" s="57"/>
      <c r="U1713" s="57"/>
      <c r="V1713" s="57"/>
      <c r="W1713" s="57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</row>
    <row r="1714" spans="1:36" ht="11.25" customHeight="1" x14ac:dyDescent="0.2">
      <c r="A1714" s="53" t="s">
        <v>21</v>
      </c>
      <c r="B1714" s="53" t="s">
        <v>22</v>
      </c>
      <c r="C1714" s="53" t="s">
        <v>37</v>
      </c>
      <c r="D1714" s="53" t="s">
        <v>24</v>
      </c>
      <c r="E1714" s="53" t="s">
        <v>24</v>
      </c>
      <c r="F1714" s="53" t="s">
        <v>25</v>
      </c>
      <c r="G1714" s="53" t="s">
        <v>25</v>
      </c>
      <c r="H1714" s="53" t="s">
        <v>38</v>
      </c>
      <c r="I1714" s="73">
        <v>44013</v>
      </c>
      <c r="J1714" s="74">
        <f>EFEITO!$J$1714*EFEITO!$Y$1714</f>
        <v>0</v>
      </c>
      <c r="K1714" s="74">
        <f ca="1">EFEITO!$L$1714*EFEITO!$Z$1714</f>
        <v>5190.0886312674766</v>
      </c>
      <c r="L1714" s="74">
        <f>EFEITO!$N$1714*EFEITO!$AA$1714</f>
        <v>3102.8734428803236</v>
      </c>
      <c r="M1714" s="74">
        <f>$J$1714-EFEITO!$K$1714*EFEITO!$Y$1714</f>
        <v>0</v>
      </c>
      <c r="N1714" s="74">
        <f ca="1">$K$1714-EFEITO!$M$1714*EFEITO!$Z$1714</f>
        <v>0</v>
      </c>
      <c r="O1714" s="74">
        <f>$L$1714-EFEITO!$O$1714*EFEITO!$AA$1714</f>
        <v>0</v>
      </c>
      <c r="P1714" s="57"/>
      <c r="Q1714" s="57"/>
      <c r="R1714" s="57"/>
      <c r="S1714" s="57"/>
      <c r="T1714" s="57"/>
      <c r="U1714" s="57"/>
      <c r="V1714" s="57"/>
      <c r="W1714" s="57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</row>
    <row r="1715" spans="1:36" ht="11.25" customHeight="1" x14ac:dyDescent="0.2">
      <c r="A1715" s="53" t="s">
        <v>27</v>
      </c>
      <c r="B1715" s="53" t="s">
        <v>22</v>
      </c>
      <c r="C1715" s="53" t="s">
        <v>37</v>
      </c>
      <c r="D1715" s="53" t="s">
        <v>24</v>
      </c>
      <c r="E1715" s="53" t="s">
        <v>24</v>
      </c>
      <c r="F1715" s="53" t="s">
        <v>25</v>
      </c>
      <c r="G1715" s="53" t="s">
        <v>25</v>
      </c>
      <c r="H1715" s="53" t="s">
        <v>38</v>
      </c>
      <c r="I1715" s="73">
        <v>44013</v>
      </c>
      <c r="J1715" s="74">
        <f>EFEITO!$J$1715*EFEITO!$Y$1715</f>
        <v>0</v>
      </c>
      <c r="K1715" s="74">
        <f ca="1">EFEITO!$L$1715*EFEITO!$Z$1715</f>
        <v>61.00535662403373</v>
      </c>
      <c r="L1715" s="74">
        <f>EFEITO!$N$1715*EFEITO!$AA$1715</f>
        <v>36.471805086675431</v>
      </c>
      <c r="M1715" s="74">
        <f>$J$1715-EFEITO!$K$1715*EFEITO!$Y$1715</f>
        <v>0</v>
      </c>
      <c r="N1715" s="74">
        <f ca="1">$K$1715-EFEITO!$M$1715*EFEITO!$Z$1715</f>
        <v>0</v>
      </c>
      <c r="O1715" s="74">
        <f>$L$1715-EFEITO!$O$1715*EFEITO!$AA$1715</f>
        <v>0</v>
      </c>
      <c r="P1715" s="57"/>
      <c r="Q1715" s="57"/>
      <c r="R1715" s="57"/>
      <c r="S1715" s="57"/>
      <c r="T1715" s="57"/>
      <c r="U1715" s="57"/>
      <c r="V1715" s="57"/>
      <c r="W1715" s="57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</row>
    <row r="1716" spans="1:36" ht="11.25" customHeight="1" x14ac:dyDescent="0.2">
      <c r="A1716" s="53" t="s">
        <v>21</v>
      </c>
      <c r="B1716" s="53" t="s">
        <v>22</v>
      </c>
      <c r="C1716" s="53" t="s">
        <v>37</v>
      </c>
      <c r="D1716" s="53" t="s">
        <v>24</v>
      </c>
      <c r="E1716" s="53" t="s">
        <v>24</v>
      </c>
      <c r="F1716" s="53" t="s">
        <v>25</v>
      </c>
      <c r="G1716" s="53" t="s">
        <v>25</v>
      </c>
      <c r="H1716" s="53" t="s">
        <v>38</v>
      </c>
      <c r="I1716" s="73">
        <v>44044</v>
      </c>
      <c r="J1716" s="74">
        <f>EFEITO!$J$1716*EFEITO!$Y$1716</f>
        <v>0</v>
      </c>
      <c r="K1716" s="74">
        <f ca="1">EFEITO!$L$1716*EFEITO!$Z$1716</f>
        <v>5864.6225428003054</v>
      </c>
      <c r="L1716" s="74">
        <f>EFEITO!$N$1716*EFEITO!$AA$1716</f>
        <v>3506.1408067184375</v>
      </c>
      <c r="M1716" s="74">
        <f>$J$1716-EFEITO!$K$1716*EFEITO!$Y$1716</f>
        <v>0</v>
      </c>
      <c r="N1716" s="74">
        <f ca="1">$K$1716-EFEITO!$M$1716*EFEITO!$Z$1716</f>
        <v>0</v>
      </c>
      <c r="O1716" s="74">
        <f>$L$1716-EFEITO!$O$1716*EFEITO!$AA$1716</f>
        <v>0</v>
      </c>
      <c r="P1716" s="57"/>
      <c r="Q1716" s="57"/>
      <c r="R1716" s="57"/>
      <c r="S1716" s="57"/>
      <c r="T1716" s="57"/>
      <c r="U1716" s="57"/>
      <c r="V1716" s="57"/>
      <c r="W1716" s="57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</row>
    <row r="1717" spans="1:36" ht="11.25" customHeight="1" x14ac:dyDescent="0.2">
      <c r="A1717" s="53" t="s">
        <v>27</v>
      </c>
      <c r="B1717" s="53" t="s">
        <v>22</v>
      </c>
      <c r="C1717" s="53" t="s">
        <v>37</v>
      </c>
      <c r="D1717" s="53" t="s">
        <v>24</v>
      </c>
      <c r="E1717" s="53" t="s">
        <v>24</v>
      </c>
      <c r="F1717" s="53" t="s">
        <v>25</v>
      </c>
      <c r="G1717" s="53" t="s">
        <v>25</v>
      </c>
      <c r="H1717" s="53" t="s">
        <v>38</v>
      </c>
      <c r="I1717" s="73">
        <v>44044</v>
      </c>
      <c r="J1717" s="74">
        <f>EFEITO!$J$1717*EFEITO!$Y$1717</f>
        <v>0</v>
      </c>
      <c r="K1717" s="74">
        <f ca="1">EFEITO!$L$1717*EFEITO!$Z$1717</f>
        <v>49.808170914559184</v>
      </c>
      <c r="L1717" s="74">
        <f>EFEITO!$N$1717*EFEITO!$AA$1717</f>
        <v>29.777613013804626</v>
      </c>
      <c r="M1717" s="74">
        <f>$J$1717-EFEITO!$K$1717*EFEITO!$Y$1717</f>
        <v>0</v>
      </c>
      <c r="N1717" s="74">
        <f ca="1">$K$1717-EFEITO!$M$1717*EFEITO!$Z$1717</f>
        <v>0</v>
      </c>
      <c r="O1717" s="74">
        <f>$L$1717-EFEITO!$O$1717*EFEITO!$AA$1717</f>
        <v>0</v>
      </c>
      <c r="P1717" s="57"/>
      <c r="Q1717" s="57"/>
      <c r="R1717" s="57"/>
      <c r="S1717" s="57"/>
      <c r="T1717" s="57"/>
      <c r="U1717" s="57"/>
      <c r="V1717" s="57"/>
      <c r="W1717" s="57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</row>
    <row r="1718" spans="1:36" ht="11.25" customHeight="1" x14ac:dyDescent="0.2">
      <c r="A1718" s="53" t="s">
        <v>59</v>
      </c>
      <c r="B1718" s="53" t="s">
        <v>22</v>
      </c>
      <c r="C1718" s="53" t="s">
        <v>37</v>
      </c>
      <c r="D1718" s="53" t="s">
        <v>24</v>
      </c>
      <c r="E1718" s="53" t="s">
        <v>24</v>
      </c>
      <c r="F1718" s="53" t="s">
        <v>25</v>
      </c>
      <c r="G1718" s="53" t="s">
        <v>25</v>
      </c>
      <c r="H1718" s="53" t="s">
        <v>38</v>
      </c>
      <c r="I1718" s="73">
        <v>44075</v>
      </c>
      <c r="J1718" s="74">
        <f>EFEITO!$J$1718*EFEITO!$Y$1718</f>
        <v>0</v>
      </c>
      <c r="K1718" s="74">
        <f ca="1">EFEITO!$L$1718*EFEITO!$Z$1718</f>
        <v>5864.6225428003054</v>
      </c>
      <c r="L1718" s="74">
        <f>EFEITO!$N$1718*EFEITO!$AA$1718</f>
        <v>3506.1408067184375</v>
      </c>
      <c r="M1718" s="74">
        <f>$J$1718-EFEITO!$K$1718*EFEITO!$Y$1718</f>
        <v>0</v>
      </c>
      <c r="N1718" s="74">
        <f ca="1">$K$1718-EFEITO!$M$1718*EFEITO!$Z$1718</f>
        <v>0</v>
      </c>
      <c r="O1718" s="74">
        <f>$L$1718-EFEITO!$O$1718*EFEITO!$AA$1718</f>
        <v>0</v>
      </c>
      <c r="P1718" s="57"/>
      <c r="Q1718" s="57"/>
      <c r="R1718" s="57"/>
      <c r="S1718" s="57"/>
      <c r="T1718" s="57"/>
      <c r="U1718" s="57"/>
      <c r="V1718" s="57"/>
      <c r="W1718" s="57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</row>
    <row r="1719" spans="1:36" ht="11.25" customHeight="1" x14ac:dyDescent="0.2">
      <c r="A1719" s="53" t="s">
        <v>59</v>
      </c>
      <c r="B1719" s="53" t="s">
        <v>22</v>
      </c>
      <c r="C1719" s="53" t="s">
        <v>37</v>
      </c>
      <c r="D1719" s="53" t="s">
        <v>24</v>
      </c>
      <c r="E1719" s="53" t="s">
        <v>24</v>
      </c>
      <c r="F1719" s="53" t="s">
        <v>25</v>
      </c>
      <c r="G1719" s="53" t="s">
        <v>25</v>
      </c>
      <c r="H1719" s="53" t="s">
        <v>38</v>
      </c>
      <c r="I1719" s="73">
        <v>44075</v>
      </c>
      <c r="J1719" s="74">
        <f>EFEITO!$J$1719*EFEITO!$Y$1719</f>
        <v>0</v>
      </c>
      <c r="K1719" s="74">
        <f ca="1">EFEITO!$L$1719*EFEITO!$Z$1719</f>
        <v>49.808170914559184</v>
      </c>
      <c r="L1719" s="74">
        <f>EFEITO!$N$1719*EFEITO!$AA$1719</f>
        <v>29.777613013804626</v>
      </c>
      <c r="M1719" s="74">
        <f>$J$1719-EFEITO!$K$1719*EFEITO!$Y$1719</f>
        <v>0</v>
      </c>
      <c r="N1719" s="74">
        <f ca="1">$K$1719-EFEITO!$M$1719*EFEITO!$Z$1719</f>
        <v>0</v>
      </c>
      <c r="O1719" s="74">
        <f>$L$1719-EFEITO!$O$1719*EFEITO!$AA$1719</f>
        <v>0</v>
      </c>
      <c r="P1719" s="57"/>
      <c r="Q1719" s="57"/>
      <c r="R1719" s="57"/>
      <c r="S1719" s="57"/>
      <c r="T1719" s="57"/>
      <c r="U1719" s="57"/>
      <c r="V1719" s="57"/>
      <c r="W1719" s="57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</row>
    <row r="1720" spans="1:36" ht="11.25" customHeight="1" x14ac:dyDescent="0.2">
      <c r="A1720" s="53" t="s">
        <v>21</v>
      </c>
      <c r="B1720" s="53" t="s">
        <v>22</v>
      </c>
      <c r="C1720" s="53" t="s">
        <v>37</v>
      </c>
      <c r="D1720" s="53" t="s">
        <v>24</v>
      </c>
      <c r="E1720" s="53" t="s">
        <v>24</v>
      </c>
      <c r="F1720" s="53" t="s">
        <v>25</v>
      </c>
      <c r="G1720" s="53" t="s">
        <v>25</v>
      </c>
      <c r="H1720" s="53" t="s">
        <v>35</v>
      </c>
      <c r="I1720" s="73">
        <v>43739</v>
      </c>
      <c r="J1720" s="74">
        <f>EFEITO!$J$1720*EFEITO!$Y$1720</f>
        <v>0</v>
      </c>
      <c r="K1720" s="74">
        <f ca="1">EFEITO!$L$1720*EFEITO!$Z$1720</f>
        <v>12531.940527850044</v>
      </c>
      <c r="L1720" s="74">
        <f>EFEITO!$N$1720*EFEITO!$AA$1720</f>
        <v>8266.7224263249173</v>
      </c>
      <c r="M1720" s="74">
        <f>$J$1720-EFEITO!$K$1720*EFEITO!$Y$1720</f>
        <v>0</v>
      </c>
      <c r="N1720" s="74">
        <f ca="1">$K$1720-EFEITO!$M$1720*EFEITO!$Z$1720</f>
        <v>0</v>
      </c>
      <c r="O1720" s="74">
        <f>$L$1720-EFEITO!$O$1720*EFEITO!$AA$1720</f>
        <v>0</v>
      </c>
      <c r="P1720" s="57"/>
      <c r="Q1720" s="57"/>
      <c r="R1720" s="57"/>
      <c r="S1720" s="57"/>
      <c r="T1720" s="57"/>
      <c r="U1720" s="57"/>
      <c r="V1720" s="57"/>
      <c r="W1720" s="57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</row>
    <row r="1721" spans="1:36" ht="11.25" customHeight="1" x14ac:dyDescent="0.2">
      <c r="A1721" s="53" t="s">
        <v>27</v>
      </c>
      <c r="B1721" s="53" t="s">
        <v>22</v>
      </c>
      <c r="C1721" s="53" t="s">
        <v>37</v>
      </c>
      <c r="D1721" s="53" t="s">
        <v>24</v>
      </c>
      <c r="E1721" s="53" t="s">
        <v>24</v>
      </c>
      <c r="F1721" s="53" t="s">
        <v>25</v>
      </c>
      <c r="G1721" s="53" t="s">
        <v>25</v>
      </c>
      <c r="H1721" s="53" t="s">
        <v>35</v>
      </c>
      <c r="I1721" s="73">
        <v>43739</v>
      </c>
      <c r="J1721" s="74">
        <f>EFEITO!$J$1721*EFEITO!$Y$1721</f>
        <v>0</v>
      </c>
      <c r="K1721" s="74">
        <f ca="1">EFEITO!$L$1721*EFEITO!$Z$1721</f>
        <v>284.76505471391664</v>
      </c>
      <c r="L1721" s="74">
        <f>EFEITO!$N$1721*EFEITO!$AA$1721</f>
        <v>187.84590134350384</v>
      </c>
      <c r="M1721" s="74">
        <f>$J$1721-EFEITO!$K$1721*EFEITO!$Y$1721</f>
        <v>0</v>
      </c>
      <c r="N1721" s="74">
        <f ca="1">$K$1721-EFEITO!$M$1721*EFEITO!$Z$1721</f>
        <v>0</v>
      </c>
      <c r="O1721" s="74">
        <f>$L$1721-EFEITO!$O$1721*EFEITO!$AA$1721</f>
        <v>0</v>
      </c>
      <c r="P1721" s="57"/>
      <c r="Q1721" s="57"/>
      <c r="R1721" s="57"/>
      <c r="S1721" s="57"/>
      <c r="T1721" s="57"/>
      <c r="U1721" s="57"/>
      <c r="V1721" s="57"/>
      <c r="W1721" s="57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</row>
    <row r="1722" spans="1:36" ht="11.25" customHeight="1" x14ac:dyDescent="0.2">
      <c r="A1722" s="53" t="s">
        <v>28</v>
      </c>
      <c r="B1722" s="53" t="s">
        <v>22</v>
      </c>
      <c r="C1722" s="53" t="s">
        <v>37</v>
      </c>
      <c r="D1722" s="53" t="s">
        <v>24</v>
      </c>
      <c r="E1722" s="53" t="s">
        <v>24</v>
      </c>
      <c r="F1722" s="53" t="s">
        <v>25</v>
      </c>
      <c r="G1722" s="53" t="s">
        <v>25</v>
      </c>
      <c r="H1722" s="53" t="s">
        <v>35</v>
      </c>
      <c r="I1722" s="73">
        <v>43739</v>
      </c>
      <c r="J1722" s="74">
        <f>EFEITO!$J$1722*EFEITO!$Y$1722</f>
        <v>0</v>
      </c>
      <c r="K1722" s="74">
        <f ca="1">EFEITO!$L$1722*EFEITO!$Z$1722</f>
        <v>20.503083939401996</v>
      </c>
      <c r="L1722" s="74">
        <f>EFEITO!$N$1722*EFEITO!$AA$1722</f>
        <v>13.524904896732275</v>
      </c>
      <c r="M1722" s="74">
        <f>$J$1722-EFEITO!$K$1722*EFEITO!$Y$1722</f>
        <v>0</v>
      </c>
      <c r="N1722" s="74">
        <f ca="1">$K$1722-EFEITO!$M$1722*EFEITO!$Z$1722</f>
        <v>0</v>
      </c>
      <c r="O1722" s="74">
        <f>$L$1722-EFEITO!$O$1722*EFEITO!$AA$1722</f>
        <v>0</v>
      </c>
      <c r="P1722" s="57"/>
      <c r="Q1722" s="57"/>
      <c r="R1722" s="57"/>
      <c r="S1722" s="57"/>
      <c r="T1722" s="57"/>
      <c r="U1722" s="57"/>
      <c r="V1722" s="57"/>
      <c r="W1722" s="57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</row>
    <row r="1723" spans="1:36" ht="11.25" customHeight="1" x14ac:dyDescent="0.2">
      <c r="A1723" s="53" t="s">
        <v>21</v>
      </c>
      <c r="B1723" s="53" t="s">
        <v>22</v>
      </c>
      <c r="C1723" s="53" t="s">
        <v>37</v>
      </c>
      <c r="D1723" s="53" t="s">
        <v>24</v>
      </c>
      <c r="E1723" s="53" t="s">
        <v>24</v>
      </c>
      <c r="F1723" s="53" t="s">
        <v>25</v>
      </c>
      <c r="G1723" s="53" t="s">
        <v>25</v>
      </c>
      <c r="H1723" s="53" t="s">
        <v>35</v>
      </c>
      <c r="I1723" s="73">
        <v>43770</v>
      </c>
      <c r="J1723" s="74">
        <f>EFEITO!$J$1723*EFEITO!$Y$1723</f>
        <v>0</v>
      </c>
      <c r="K1723" s="74">
        <f ca="1">EFEITO!$L$1723*EFEITO!$Z$1723</f>
        <v>12458.471143733854</v>
      </c>
      <c r="L1723" s="74">
        <f>EFEITO!$N$1723*EFEITO!$AA$1723</f>
        <v>8218.2581837782927</v>
      </c>
      <c r="M1723" s="74">
        <f>$J$1723-EFEITO!$K$1723*EFEITO!$Y$1723</f>
        <v>0</v>
      </c>
      <c r="N1723" s="74">
        <f ca="1">$K$1723-EFEITO!$M$1723*EFEITO!$Z$1723</f>
        <v>0</v>
      </c>
      <c r="O1723" s="74">
        <f>$L$1723-EFEITO!$O$1723*EFEITO!$AA$1723</f>
        <v>0</v>
      </c>
      <c r="P1723" s="57"/>
      <c r="Q1723" s="57"/>
      <c r="R1723" s="57"/>
      <c r="S1723" s="57"/>
      <c r="T1723" s="57"/>
      <c r="U1723" s="57"/>
      <c r="V1723" s="57"/>
      <c r="W1723" s="57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</row>
    <row r="1724" spans="1:36" ht="11.25" customHeight="1" x14ac:dyDescent="0.2">
      <c r="A1724" s="53" t="s">
        <v>27</v>
      </c>
      <c r="B1724" s="53" t="s">
        <v>22</v>
      </c>
      <c r="C1724" s="53" t="s">
        <v>37</v>
      </c>
      <c r="D1724" s="53" t="s">
        <v>24</v>
      </c>
      <c r="E1724" s="53" t="s">
        <v>24</v>
      </c>
      <c r="F1724" s="53" t="s">
        <v>25</v>
      </c>
      <c r="G1724" s="53" t="s">
        <v>25</v>
      </c>
      <c r="H1724" s="53" t="s">
        <v>35</v>
      </c>
      <c r="I1724" s="73">
        <v>43770</v>
      </c>
      <c r="J1724" s="74">
        <f>EFEITO!$J$1724*EFEITO!$Y$1724</f>
        <v>0</v>
      </c>
      <c r="K1724" s="74">
        <f ca="1">EFEITO!$L$1724*EFEITO!$Z$1724</f>
        <v>67.774083021912162</v>
      </c>
      <c r="L1724" s="74">
        <f>EFEITO!$N$1724*EFEITO!$AA$1724</f>
        <v>44.707324519753911</v>
      </c>
      <c r="M1724" s="74">
        <f>$J$1724-EFEITO!$K$1724*EFEITO!$Y$1724</f>
        <v>0</v>
      </c>
      <c r="N1724" s="74">
        <f ca="1">$K$1724-EFEITO!$M$1724*EFEITO!$Z$1724</f>
        <v>0</v>
      </c>
      <c r="O1724" s="74">
        <f>$L$1724-EFEITO!$O$1724*EFEITO!$AA$1724</f>
        <v>0</v>
      </c>
      <c r="P1724" s="57"/>
      <c r="Q1724" s="57"/>
      <c r="R1724" s="57"/>
      <c r="S1724" s="57"/>
      <c r="T1724" s="57"/>
      <c r="U1724" s="57"/>
      <c r="V1724" s="57"/>
      <c r="W1724" s="57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</row>
    <row r="1725" spans="1:36" ht="11.25" customHeight="1" x14ac:dyDescent="0.2">
      <c r="A1725" s="53" t="s">
        <v>28</v>
      </c>
      <c r="B1725" s="53" t="s">
        <v>22</v>
      </c>
      <c r="C1725" s="53" t="s">
        <v>37</v>
      </c>
      <c r="D1725" s="53" t="s">
        <v>24</v>
      </c>
      <c r="E1725" s="53" t="s">
        <v>24</v>
      </c>
      <c r="F1725" s="53" t="s">
        <v>25</v>
      </c>
      <c r="G1725" s="53" t="s">
        <v>25</v>
      </c>
      <c r="H1725" s="53" t="s">
        <v>35</v>
      </c>
      <c r="I1725" s="73">
        <v>43770</v>
      </c>
      <c r="J1725" s="74">
        <f>EFEITO!$J$1725*EFEITO!$Y$1725</f>
        <v>0</v>
      </c>
      <c r="K1725" s="74">
        <f ca="1">EFEITO!$L$1725*EFEITO!$Z$1725</f>
        <v>21.642144158257665</v>
      </c>
      <c r="L1725" s="74">
        <f>EFEITO!$N$1725*EFEITO!$AA$1725</f>
        <v>14.276288502106292</v>
      </c>
      <c r="M1725" s="74">
        <f>$J$1725-EFEITO!$K$1725*EFEITO!$Y$1725</f>
        <v>0</v>
      </c>
      <c r="N1725" s="74">
        <f ca="1">$K$1725-EFEITO!$M$1725*EFEITO!$Z$1725</f>
        <v>0</v>
      </c>
      <c r="O1725" s="74">
        <f>$L$1725-EFEITO!$O$1725*EFEITO!$AA$1725</f>
        <v>0</v>
      </c>
      <c r="P1725" s="57"/>
      <c r="Q1725" s="57"/>
      <c r="R1725" s="57"/>
      <c r="S1725" s="57"/>
      <c r="T1725" s="57"/>
      <c r="U1725" s="57"/>
      <c r="V1725" s="57"/>
      <c r="W1725" s="57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</row>
    <row r="1726" spans="1:36" ht="11.25" customHeight="1" x14ac:dyDescent="0.2">
      <c r="A1726" s="53" t="s">
        <v>28</v>
      </c>
      <c r="B1726" s="53" t="s">
        <v>22</v>
      </c>
      <c r="C1726" s="53" t="s">
        <v>37</v>
      </c>
      <c r="D1726" s="53" t="s">
        <v>24</v>
      </c>
      <c r="E1726" s="53" t="s">
        <v>24</v>
      </c>
      <c r="F1726" s="53" t="s">
        <v>25</v>
      </c>
      <c r="G1726" s="53" t="s">
        <v>25</v>
      </c>
      <c r="H1726" s="53" t="s">
        <v>35</v>
      </c>
      <c r="I1726" s="73">
        <v>43770</v>
      </c>
      <c r="J1726" s="74">
        <f>EFEITO!$J$1726*EFEITO!$Y$1726</f>
        <v>0</v>
      </c>
      <c r="K1726" s="74">
        <f ca="1">EFEITO!$L$1726*EFEITO!$Z$1726</f>
        <v>21.642144158257665</v>
      </c>
      <c r="L1726" s="74">
        <f>EFEITO!$N$1726*EFEITO!$AA$1726</f>
        <v>14.276288502106292</v>
      </c>
      <c r="M1726" s="74">
        <f>$J$1726-EFEITO!$K$1726*EFEITO!$Y$1726</f>
        <v>0</v>
      </c>
      <c r="N1726" s="74">
        <f ca="1">$K$1726-EFEITO!$M$1726*EFEITO!$Z$1726</f>
        <v>0</v>
      </c>
      <c r="O1726" s="74">
        <f>$L$1726-EFEITO!$O$1726*EFEITO!$AA$1726</f>
        <v>0</v>
      </c>
      <c r="P1726" s="57"/>
      <c r="Q1726" s="57"/>
      <c r="R1726" s="57"/>
      <c r="S1726" s="57"/>
      <c r="T1726" s="57"/>
      <c r="U1726" s="57"/>
      <c r="V1726" s="57"/>
      <c r="W1726" s="57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</row>
    <row r="1727" spans="1:36" ht="11.25" customHeight="1" x14ac:dyDescent="0.2">
      <c r="A1727" s="53" t="s">
        <v>21</v>
      </c>
      <c r="B1727" s="53" t="s">
        <v>22</v>
      </c>
      <c r="C1727" s="53" t="s">
        <v>37</v>
      </c>
      <c r="D1727" s="53" t="s">
        <v>24</v>
      </c>
      <c r="E1727" s="53" t="s">
        <v>24</v>
      </c>
      <c r="F1727" s="53" t="s">
        <v>25</v>
      </c>
      <c r="G1727" s="53" t="s">
        <v>25</v>
      </c>
      <c r="H1727" s="53" t="s">
        <v>35</v>
      </c>
      <c r="I1727" s="73">
        <v>43800</v>
      </c>
      <c r="J1727" s="74">
        <f>EFEITO!$J$1727*EFEITO!$Y$1727</f>
        <v>0</v>
      </c>
      <c r="K1727" s="74">
        <f ca="1">EFEITO!$L$1727*EFEITO!$Z$1727</f>
        <v>10488.466495222978</v>
      </c>
      <c r="L1727" s="74">
        <f>EFEITO!$N$1727*EFEITO!$AA$1727</f>
        <v>6918.7402382839336</v>
      </c>
      <c r="M1727" s="74">
        <f>$J$1727-EFEITO!$K$1727*EFEITO!$Y$1727</f>
        <v>0</v>
      </c>
      <c r="N1727" s="74">
        <f ca="1">$K$1727-EFEITO!$M$1727*EFEITO!$Z$1727</f>
        <v>0</v>
      </c>
      <c r="O1727" s="74">
        <f>$L$1727-EFEITO!$O$1727*EFEITO!$AA$1727</f>
        <v>0</v>
      </c>
      <c r="P1727" s="57"/>
      <c r="Q1727" s="57"/>
      <c r="R1727" s="57"/>
      <c r="S1727" s="57"/>
      <c r="T1727" s="57"/>
      <c r="U1727" s="57"/>
      <c r="V1727" s="57"/>
      <c r="W1727" s="57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</row>
    <row r="1728" spans="1:36" ht="11.25" customHeight="1" x14ac:dyDescent="0.2">
      <c r="A1728" s="53" t="s">
        <v>27</v>
      </c>
      <c r="B1728" s="53" t="s">
        <v>22</v>
      </c>
      <c r="C1728" s="53" t="s">
        <v>37</v>
      </c>
      <c r="D1728" s="53" t="s">
        <v>24</v>
      </c>
      <c r="E1728" s="53" t="s">
        <v>24</v>
      </c>
      <c r="F1728" s="53" t="s">
        <v>25</v>
      </c>
      <c r="G1728" s="53" t="s">
        <v>25</v>
      </c>
      <c r="H1728" s="53" t="s">
        <v>35</v>
      </c>
      <c r="I1728" s="73">
        <v>43800</v>
      </c>
      <c r="J1728" s="74">
        <f>EFEITO!$J$1728*EFEITO!$Y$1728</f>
        <v>0</v>
      </c>
      <c r="K1728" s="74">
        <f ca="1">EFEITO!$L$1728*EFEITO!$Z$1728</f>
        <v>257.99713957080849</v>
      </c>
      <c r="L1728" s="74">
        <f>EFEITO!$N$1728*EFEITO!$AA$1728</f>
        <v>170.18838661721449</v>
      </c>
      <c r="M1728" s="74">
        <f>$J$1728-EFEITO!$K$1728*EFEITO!$Y$1728</f>
        <v>0</v>
      </c>
      <c r="N1728" s="74">
        <f ca="1">$K$1728-EFEITO!$M$1728*EFEITO!$Z$1728</f>
        <v>0</v>
      </c>
      <c r="O1728" s="74">
        <f>$L$1728-EFEITO!$O$1728*EFEITO!$AA$1728</f>
        <v>0</v>
      </c>
      <c r="P1728" s="57"/>
      <c r="Q1728" s="57"/>
      <c r="R1728" s="57"/>
      <c r="S1728" s="57"/>
      <c r="T1728" s="57"/>
      <c r="U1728" s="57"/>
      <c r="V1728" s="57"/>
      <c r="W1728" s="57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</row>
    <row r="1729" spans="1:36" ht="11.25" customHeight="1" x14ac:dyDescent="0.2">
      <c r="A1729" s="53" t="s">
        <v>28</v>
      </c>
      <c r="B1729" s="53" t="s">
        <v>22</v>
      </c>
      <c r="C1729" s="53" t="s">
        <v>37</v>
      </c>
      <c r="D1729" s="53" t="s">
        <v>24</v>
      </c>
      <c r="E1729" s="53" t="s">
        <v>24</v>
      </c>
      <c r="F1729" s="53" t="s">
        <v>25</v>
      </c>
      <c r="G1729" s="53" t="s">
        <v>25</v>
      </c>
      <c r="H1729" s="53" t="s">
        <v>35</v>
      </c>
      <c r="I1729" s="73">
        <v>43800</v>
      </c>
      <c r="J1729" s="74">
        <f>EFEITO!$J$1729*EFEITO!$Y$1729</f>
        <v>0</v>
      </c>
      <c r="K1729" s="74">
        <f ca="1">EFEITO!$L$1729*EFEITO!$Z$1729</f>
        <v>17.085903282834998</v>
      </c>
      <c r="L1729" s="74">
        <f>EFEITO!$N$1729*EFEITO!$AA$1729</f>
        <v>11.27075408061023</v>
      </c>
      <c r="M1729" s="74">
        <f>$J$1729-EFEITO!$K$1729*EFEITO!$Y$1729</f>
        <v>0</v>
      </c>
      <c r="N1729" s="74">
        <f ca="1">$K$1729-EFEITO!$M$1729*EFEITO!$Z$1729</f>
        <v>0</v>
      </c>
      <c r="O1729" s="74">
        <f>$L$1729-EFEITO!$O$1729*EFEITO!$AA$1729</f>
        <v>0</v>
      </c>
      <c r="P1729" s="57"/>
      <c r="Q1729" s="57"/>
      <c r="R1729" s="57"/>
      <c r="S1729" s="57"/>
      <c r="T1729" s="57"/>
      <c r="U1729" s="57"/>
      <c r="V1729" s="57"/>
      <c r="W1729" s="57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</row>
    <row r="1730" spans="1:36" ht="11.25" customHeight="1" x14ac:dyDescent="0.2">
      <c r="A1730" s="53" t="s">
        <v>21</v>
      </c>
      <c r="B1730" s="53" t="s">
        <v>22</v>
      </c>
      <c r="C1730" s="53" t="s">
        <v>37</v>
      </c>
      <c r="D1730" s="53" t="s">
        <v>24</v>
      </c>
      <c r="E1730" s="53" t="s">
        <v>24</v>
      </c>
      <c r="F1730" s="53" t="s">
        <v>25</v>
      </c>
      <c r="G1730" s="53" t="s">
        <v>25</v>
      </c>
      <c r="H1730" s="53" t="s">
        <v>35</v>
      </c>
      <c r="I1730" s="73">
        <v>43831</v>
      </c>
      <c r="J1730" s="74">
        <f>EFEITO!$J$1730*EFEITO!$Y$1730</f>
        <v>0</v>
      </c>
      <c r="K1730" s="74">
        <f ca="1">EFEITO!$L$1730*EFEITO!$Z$1730</f>
        <v>11480.587945846264</v>
      </c>
      <c r="L1730" s="74">
        <f>EFEITO!$N$1730*EFEITO!$AA$1730</f>
        <v>7573.1953585647016</v>
      </c>
      <c r="M1730" s="74">
        <f>$J$1730-EFEITO!$K$1730*EFEITO!$Y$1730</f>
        <v>0</v>
      </c>
      <c r="N1730" s="74">
        <f ca="1">$K$1730-EFEITO!$M$1730*EFEITO!$Z$1730</f>
        <v>0</v>
      </c>
      <c r="O1730" s="74">
        <f>$L$1730-EFEITO!$O$1730*EFEITO!$AA$1730</f>
        <v>0</v>
      </c>
      <c r="P1730" s="57"/>
      <c r="Q1730" s="57"/>
      <c r="R1730" s="57"/>
      <c r="S1730" s="57"/>
      <c r="T1730" s="57"/>
      <c r="U1730" s="57"/>
      <c r="V1730" s="57"/>
      <c r="W1730" s="57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</row>
    <row r="1731" spans="1:36" ht="11.25" customHeight="1" x14ac:dyDescent="0.2">
      <c r="A1731" s="53" t="s">
        <v>27</v>
      </c>
      <c r="B1731" s="53" t="s">
        <v>22</v>
      </c>
      <c r="C1731" s="53" t="s">
        <v>37</v>
      </c>
      <c r="D1731" s="53" t="s">
        <v>24</v>
      </c>
      <c r="E1731" s="53" t="s">
        <v>24</v>
      </c>
      <c r="F1731" s="53" t="s">
        <v>25</v>
      </c>
      <c r="G1731" s="53" t="s">
        <v>25</v>
      </c>
      <c r="H1731" s="53" t="s">
        <v>35</v>
      </c>
      <c r="I1731" s="73">
        <v>43831</v>
      </c>
      <c r="J1731" s="74">
        <f>EFEITO!$J$1731*EFEITO!$Y$1731</f>
        <v>0</v>
      </c>
      <c r="K1731" s="74">
        <f ca="1">EFEITO!$L$1731*EFEITO!$Z$1731</f>
        <v>97.959178821587315</v>
      </c>
      <c r="L1731" s="74">
        <f>EFEITO!$N$1731*EFEITO!$AA$1731</f>
        <v>64.618990062165309</v>
      </c>
      <c r="M1731" s="74">
        <f>$J$1731-EFEITO!$K$1731*EFEITO!$Y$1731</f>
        <v>0</v>
      </c>
      <c r="N1731" s="74">
        <f ca="1">$K$1731-EFEITO!$M$1731*EFEITO!$Z$1731</f>
        <v>0</v>
      </c>
      <c r="O1731" s="74">
        <f>$L$1731-EFEITO!$O$1731*EFEITO!$AA$1731</f>
        <v>0</v>
      </c>
      <c r="P1731" s="57"/>
      <c r="Q1731" s="57"/>
      <c r="R1731" s="57"/>
      <c r="S1731" s="57"/>
      <c r="T1731" s="57"/>
      <c r="U1731" s="57"/>
      <c r="V1731" s="57"/>
      <c r="W1731" s="57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</row>
    <row r="1732" spans="1:36" ht="11.25" customHeight="1" x14ac:dyDescent="0.2">
      <c r="A1732" s="53" t="s">
        <v>28</v>
      </c>
      <c r="B1732" s="53" t="s">
        <v>22</v>
      </c>
      <c r="C1732" s="53" t="s">
        <v>37</v>
      </c>
      <c r="D1732" s="53" t="s">
        <v>24</v>
      </c>
      <c r="E1732" s="53" t="s">
        <v>24</v>
      </c>
      <c r="F1732" s="53" t="s">
        <v>25</v>
      </c>
      <c r="G1732" s="53" t="s">
        <v>25</v>
      </c>
      <c r="H1732" s="53" t="s">
        <v>35</v>
      </c>
      <c r="I1732" s="73">
        <v>43831</v>
      </c>
      <c r="J1732" s="74">
        <f>EFEITO!$J$1732*EFEITO!$Y$1732</f>
        <v>0</v>
      </c>
      <c r="K1732" s="74">
        <f ca="1">EFEITO!$L$1732*EFEITO!$Z$1732</f>
        <v>19.933553829974166</v>
      </c>
      <c r="L1732" s="74">
        <f>EFEITO!$N$1732*EFEITO!$AA$1732</f>
        <v>13.149213094045271</v>
      </c>
      <c r="M1732" s="74">
        <f>$J$1732-EFEITO!$K$1732*EFEITO!$Y$1732</f>
        <v>0</v>
      </c>
      <c r="N1732" s="74">
        <f ca="1">$K$1732-EFEITO!$M$1732*EFEITO!$Z$1732</f>
        <v>0</v>
      </c>
      <c r="O1732" s="74">
        <f>$L$1732-EFEITO!$O$1732*EFEITO!$AA$1732</f>
        <v>0</v>
      </c>
      <c r="P1732" s="57"/>
      <c r="Q1732" s="57"/>
      <c r="R1732" s="57"/>
      <c r="S1732" s="57"/>
      <c r="T1732" s="57"/>
      <c r="U1732" s="57"/>
      <c r="V1732" s="57"/>
      <c r="W1732" s="57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</row>
    <row r="1733" spans="1:36" ht="11.25" customHeight="1" x14ac:dyDescent="0.2">
      <c r="A1733" s="53" t="s">
        <v>21</v>
      </c>
      <c r="B1733" s="53" t="s">
        <v>22</v>
      </c>
      <c r="C1733" s="53" t="s">
        <v>37</v>
      </c>
      <c r="D1733" s="53" t="s">
        <v>24</v>
      </c>
      <c r="E1733" s="53" t="s">
        <v>24</v>
      </c>
      <c r="F1733" s="53" t="s">
        <v>25</v>
      </c>
      <c r="G1733" s="53" t="s">
        <v>25</v>
      </c>
      <c r="H1733" s="53" t="s">
        <v>35</v>
      </c>
      <c r="I1733" s="73">
        <v>43862</v>
      </c>
      <c r="J1733" s="74">
        <f>EFEITO!$J$1733*EFEITO!$Y$1733</f>
        <v>0</v>
      </c>
      <c r="K1733" s="74">
        <f ca="1">EFEITO!$L$1733*EFEITO!$Z$1733</f>
        <v>11292.073479625651</v>
      </c>
      <c r="L1733" s="74">
        <f>EFEITO!$N$1733*EFEITO!$AA$1733</f>
        <v>7448.8413718753018</v>
      </c>
      <c r="M1733" s="74">
        <f>$J$1733-EFEITO!$K$1733*EFEITO!$Y$1733</f>
        <v>0</v>
      </c>
      <c r="N1733" s="74">
        <f ca="1">$K$1733-EFEITO!$M$1733*EFEITO!$Z$1733</f>
        <v>0</v>
      </c>
      <c r="O1733" s="74">
        <f>$L$1733-EFEITO!$O$1733*EFEITO!$AA$1733</f>
        <v>0</v>
      </c>
      <c r="P1733" s="57"/>
      <c r="Q1733" s="57"/>
      <c r="R1733" s="57"/>
      <c r="S1733" s="57"/>
      <c r="T1733" s="57"/>
      <c r="U1733" s="57"/>
      <c r="V1733" s="57"/>
      <c r="W1733" s="57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</row>
    <row r="1734" spans="1:36" ht="11.25" customHeight="1" x14ac:dyDescent="0.2">
      <c r="A1734" s="53" t="s">
        <v>27</v>
      </c>
      <c r="B1734" s="53" t="s">
        <v>22</v>
      </c>
      <c r="C1734" s="53" t="s">
        <v>37</v>
      </c>
      <c r="D1734" s="53" t="s">
        <v>24</v>
      </c>
      <c r="E1734" s="53" t="s">
        <v>24</v>
      </c>
      <c r="F1734" s="53" t="s">
        <v>25</v>
      </c>
      <c r="G1734" s="53" t="s">
        <v>25</v>
      </c>
      <c r="H1734" s="53" t="s">
        <v>35</v>
      </c>
      <c r="I1734" s="73">
        <v>43862</v>
      </c>
      <c r="J1734" s="74">
        <f>EFEITO!$J$1734*EFEITO!$Y$1734</f>
        <v>0</v>
      </c>
      <c r="K1734" s="74">
        <f ca="1">EFEITO!$L$1734*EFEITO!$Z$1734</f>
        <v>66.635022803056501</v>
      </c>
      <c r="L1734" s="74">
        <f>EFEITO!$N$1734*EFEITO!$AA$1734</f>
        <v>43.955940914379902</v>
      </c>
      <c r="M1734" s="74">
        <f>$J$1734-EFEITO!$K$1734*EFEITO!$Y$1734</f>
        <v>0</v>
      </c>
      <c r="N1734" s="74">
        <f ca="1">$K$1734-EFEITO!$M$1734*EFEITO!$Z$1734</f>
        <v>0</v>
      </c>
      <c r="O1734" s="74">
        <f>$L$1734-EFEITO!$O$1734*EFEITO!$AA$1734</f>
        <v>0</v>
      </c>
      <c r="P1734" s="57"/>
      <c r="Q1734" s="57"/>
      <c r="R1734" s="57"/>
      <c r="S1734" s="57"/>
      <c r="T1734" s="57"/>
      <c r="U1734" s="57"/>
      <c r="V1734" s="57"/>
      <c r="W1734" s="57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</row>
    <row r="1735" spans="1:36" ht="11.25" customHeight="1" x14ac:dyDescent="0.2">
      <c r="A1735" s="53" t="s">
        <v>21</v>
      </c>
      <c r="B1735" s="53" t="s">
        <v>22</v>
      </c>
      <c r="C1735" s="53" t="s">
        <v>37</v>
      </c>
      <c r="D1735" s="53" t="s">
        <v>24</v>
      </c>
      <c r="E1735" s="53" t="s">
        <v>24</v>
      </c>
      <c r="F1735" s="53" t="s">
        <v>25</v>
      </c>
      <c r="G1735" s="53" t="s">
        <v>25</v>
      </c>
      <c r="H1735" s="53" t="s">
        <v>35</v>
      </c>
      <c r="I1735" s="73">
        <v>43891</v>
      </c>
      <c r="J1735" s="74">
        <f>EFEITO!$J$1735*EFEITO!$Y$1735</f>
        <v>0</v>
      </c>
      <c r="K1735" s="74">
        <f ca="1">EFEITO!$L$1735*EFEITO!$Z$1735</f>
        <v>11027.241978741707</v>
      </c>
      <c r="L1735" s="74">
        <f>EFEITO!$N$1735*EFEITO!$AA$1735</f>
        <v>7274.1446836258419</v>
      </c>
      <c r="M1735" s="74">
        <f>$J$1735-EFEITO!$K$1735*EFEITO!$Y$1735</f>
        <v>0</v>
      </c>
      <c r="N1735" s="74">
        <f ca="1">$K$1735-EFEITO!$M$1735*EFEITO!$Z$1735</f>
        <v>0</v>
      </c>
      <c r="O1735" s="74">
        <f>$L$1735-EFEITO!$O$1735*EFEITO!$AA$1735</f>
        <v>0</v>
      </c>
      <c r="P1735" s="57"/>
      <c r="Q1735" s="57"/>
      <c r="R1735" s="57"/>
      <c r="S1735" s="57"/>
      <c r="T1735" s="57"/>
      <c r="U1735" s="57"/>
      <c r="V1735" s="57"/>
      <c r="W1735" s="57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</row>
    <row r="1736" spans="1:36" ht="11.25" customHeight="1" x14ac:dyDescent="0.2">
      <c r="A1736" s="53" t="s">
        <v>27</v>
      </c>
      <c r="B1736" s="53" t="s">
        <v>22</v>
      </c>
      <c r="C1736" s="53" t="s">
        <v>37</v>
      </c>
      <c r="D1736" s="53" t="s">
        <v>24</v>
      </c>
      <c r="E1736" s="53" t="s">
        <v>24</v>
      </c>
      <c r="F1736" s="53" t="s">
        <v>25</v>
      </c>
      <c r="G1736" s="53" t="s">
        <v>25</v>
      </c>
      <c r="H1736" s="53" t="s">
        <v>35</v>
      </c>
      <c r="I1736" s="73">
        <v>43891</v>
      </c>
      <c r="J1736" s="74">
        <f>EFEITO!$J$1736*EFEITO!$Y$1736</f>
        <v>0</v>
      </c>
      <c r="K1736" s="74">
        <f ca="1">EFEITO!$L$1736*EFEITO!$Z$1736</f>
        <v>14.238252735695832</v>
      </c>
      <c r="L1736" s="74">
        <f>EFEITO!$N$1736*EFEITO!$AA$1736</f>
        <v>9.3922950671751924</v>
      </c>
      <c r="M1736" s="74">
        <f>$J$1736-EFEITO!$K$1736*EFEITO!$Y$1736</f>
        <v>0</v>
      </c>
      <c r="N1736" s="74">
        <f ca="1">$K$1736-EFEITO!$M$1736*EFEITO!$Z$1736</f>
        <v>0</v>
      </c>
      <c r="O1736" s="74">
        <f>$L$1736-EFEITO!$O$1736*EFEITO!$AA$1736</f>
        <v>0</v>
      </c>
      <c r="P1736" s="57"/>
      <c r="Q1736" s="57"/>
      <c r="R1736" s="57"/>
      <c r="S1736" s="57"/>
      <c r="T1736" s="57"/>
      <c r="U1736" s="57"/>
      <c r="V1736" s="57"/>
      <c r="W1736" s="57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</row>
    <row r="1737" spans="1:36" ht="11.25" customHeight="1" x14ac:dyDescent="0.2">
      <c r="A1737" s="53" t="s">
        <v>21</v>
      </c>
      <c r="B1737" s="53" t="s">
        <v>22</v>
      </c>
      <c r="C1737" s="53" t="s">
        <v>37</v>
      </c>
      <c r="D1737" s="53" t="s">
        <v>24</v>
      </c>
      <c r="E1737" s="53" t="s">
        <v>24</v>
      </c>
      <c r="F1737" s="53" t="s">
        <v>25</v>
      </c>
      <c r="G1737" s="53" t="s">
        <v>25</v>
      </c>
      <c r="H1737" s="53" t="s">
        <v>35</v>
      </c>
      <c r="I1737" s="73">
        <v>43922</v>
      </c>
      <c r="J1737" s="74">
        <f>EFEITO!$J$1737*EFEITO!$Y$1737</f>
        <v>0</v>
      </c>
      <c r="K1737" s="74">
        <f ca="1">EFEITO!$L$1737*EFEITO!$Z$1737</f>
        <v>12369.624446663112</v>
      </c>
      <c r="L1737" s="74">
        <f>EFEITO!$N$1737*EFEITO!$AA$1737</f>
        <v>8159.6502625591202</v>
      </c>
      <c r="M1737" s="74">
        <f>$J$1737-EFEITO!$K$1737*EFEITO!$Y$1737</f>
        <v>0</v>
      </c>
      <c r="N1737" s="74">
        <f ca="1">$K$1737-EFEITO!$M$1737*EFEITO!$Z$1737</f>
        <v>0</v>
      </c>
      <c r="O1737" s="74">
        <f>$L$1737-EFEITO!$O$1737*EFEITO!$AA$1737</f>
        <v>0</v>
      </c>
      <c r="P1737" s="57"/>
      <c r="Q1737" s="57"/>
      <c r="R1737" s="57"/>
      <c r="S1737" s="57"/>
      <c r="T1737" s="57"/>
      <c r="U1737" s="57"/>
      <c r="V1737" s="57"/>
      <c r="W1737" s="57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</row>
    <row r="1738" spans="1:36" ht="11.25" customHeight="1" x14ac:dyDescent="0.2">
      <c r="A1738" s="53" t="s">
        <v>27</v>
      </c>
      <c r="B1738" s="53" t="s">
        <v>22</v>
      </c>
      <c r="C1738" s="53" t="s">
        <v>37</v>
      </c>
      <c r="D1738" s="53" t="s">
        <v>24</v>
      </c>
      <c r="E1738" s="53" t="s">
        <v>24</v>
      </c>
      <c r="F1738" s="53" t="s">
        <v>25</v>
      </c>
      <c r="G1738" s="53" t="s">
        <v>25</v>
      </c>
      <c r="H1738" s="53" t="s">
        <v>35</v>
      </c>
      <c r="I1738" s="73">
        <v>43922</v>
      </c>
      <c r="J1738" s="74">
        <f>EFEITO!$J$1738*EFEITO!$Y$1738</f>
        <v>0</v>
      </c>
      <c r="K1738" s="74">
        <f ca="1">EFEITO!$L$1738*EFEITO!$Z$1738</f>
        <v>33.032746346814335</v>
      </c>
      <c r="L1738" s="74">
        <f>EFEITO!$N$1738*EFEITO!$AA$1738</f>
        <v>21.790124555846447</v>
      </c>
      <c r="M1738" s="74">
        <f>$J$1738-EFEITO!$K$1738*EFEITO!$Y$1738</f>
        <v>0</v>
      </c>
      <c r="N1738" s="74">
        <f ca="1">$K$1738-EFEITO!$M$1738*EFEITO!$Z$1738</f>
        <v>0</v>
      </c>
      <c r="O1738" s="74">
        <f>$L$1738-EFEITO!$O$1738*EFEITO!$AA$1738</f>
        <v>0</v>
      </c>
      <c r="P1738" s="57"/>
      <c r="Q1738" s="57"/>
      <c r="R1738" s="57"/>
      <c r="S1738" s="57"/>
      <c r="T1738" s="57"/>
      <c r="U1738" s="57"/>
      <c r="V1738" s="57"/>
      <c r="W1738" s="57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</row>
    <row r="1739" spans="1:36" ht="11.25" customHeight="1" x14ac:dyDescent="0.2">
      <c r="A1739" s="53" t="s">
        <v>21</v>
      </c>
      <c r="B1739" s="53" t="s">
        <v>22</v>
      </c>
      <c r="C1739" s="53" t="s">
        <v>37</v>
      </c>
      <c r="D1739" s="53" t="s">
        <v>24</v>
      </c>
      <c r="E1739" s="53" t="s">
        <v>24</v>
      </c>
      <c r="F1739" s="53" t="s">
        <v>25</v>
      </c>
      <c r="G1739" s="53" t="s">
        <v>25</v>
      </c>
      <c r="H1739" s="53" t="s">
        <v>35</v>
      </c>
      <c r="I1739" s="73">
        <v>43952</v>
      </c>
      <c r="J1739" s="74">
        <f>EFEITO!$J$1739*EFEITO!$Y$1739</f>
        <v>0</v>
      </c>
      <c r="K1739" s="74">
        <f ca="1">EFEITO!$L$1739*EFEITO!$Z$1739</f>
        <v>11454.95909092201</v>
      </c>
      <c r="L1739" s="74">
        <f>EFEITO!$N$1739*EFEITO!$AA$1739</f>
        <v>7556.2892274437854</v>
      </c>
      <c r="M1739" s="74">
        <f>$J$1739-EFEITO!$K$1739*EFEITO!$Y$1739</f>
        <v>0</v>
      </c>
      <c r="N1739" s="74">
        <f ca="1">$K$1739-EFEITO!$M$1739*EFEITO!$Z$1739</f>
        <v>0</v>
      </c>
      <c r="O1739" s="74">
        <f>$L$1739-EFEITO!$O$1739*EFEITO!$AA$1739</f>
        <v>0</v>
      </c>
      <c r="P1739" s="57"/>
      <c r="Q1739" s="57"/>
      <c r="R1739" s="57"/>
      <c r="S1739" s="57"/>
      <c r="T1739" s="57"/>
      <c r="U1739" s="57"/>
      <c r="V1739" s="57"/>
      <c r="W1739" s="57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</row>
    <row r="1740" spans="1:36" ht="11.25" customHeight="1" x14ac:dyDescent="0.2">
      <c r="A1740" s="53" t="s">
        <v>27</v>
      </c>
      <c r="B1740" s="53" t="s">
        <v>22</v>
      </c>
      <c r="C1740" s="53" t="s">
        <v>37</v>
      </c>
      <c r="D1740" s="53" t="s">
        <v>24</v>
      </c>
      <c r="E1740" s="53" t="s">
        <v>24</v>
      </c>
      <c r="F1740" s="53" t="s">
        <v>25</v>
      </c>
      <c r="G1740" s="53" t="s">
        <v>25</v>
      </c>
      <c r="H1740" s="53" t="s">
        <v>35</v>
      </c>
      <c r="I1740" s="73">
        <v>43952</v>
      </c>
      <c r="J1740" s="74">
        <f>EFEITO!$J$1740*EFEITO!$Y$1740</f>
        <v>0</v>
      </c>
      <c r="K1740" s="74">
        <f ca="1">EFEITO!$L$1740*EFEITO!$Z$1740</f>
        <v>63.217842146489495</v>
      </c>
      <c r="L1740" s="74">
        <f>EFEITO!$N$1740*EFEITO!$AA$1740</f>
        <v>41.701790098257852</v>
      </c>
      <c r="M1740" s="74">
        <f>$J$1740-EFEITO!$K$1740*EFEITO!$Y$1740</f>
        <v>0</v>
      </c>
      <c r="N1740" s="74">
        <f ca="1">$K$1740-EFEITO!$M$1740*EFEITO!$Z$1740</f>
        <v>0</v>
      </c>
      <c r="O1740" s="74">
        <f>$L$1740-EFEITO!$O$1740*EFEITO!$AA$1740</f>
        <v>0</v>
      </c>
      <c r="P1740" s="57"/>
      <c r="Q1740" s="57"/>
      <c r="R1740" s="57"/>
      <c r="S1740" s="57"/>
      <c r="T1740" s="57"/>
      <c r="U1740" s="57"/>
      <c r="V1740" s="57"/>
      <c r="W1740" s="57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</row>
    <row r="1741" spans="1:36" ht="11.25" customHeight="1" x14ac:dyDescent="0.2">
      <c r="A1741" s="53" t="s">
        <v>21</v>
      </c>
      <c r="B1741" s="53" t="s">
        <v>22</v>
      </c>
      <c r="C1741" s="53" t="s">
        <v>37</v>
      </c>
      <c r="D1741" s="53" t="s">
        <v>24</v>
      </c>
      <c r="E1741" s="53" t="s">
        <v>24</v>
      </c>
      <c r="F1741" s="53" t="s">
        <v>25</v>
      </c>
      <c r="G1741" s="53" t="s">
        <v>25</v>
      </c>
      <c r="H1741" s="53" t="s">
        <v>35</v>
      </c>
      <c r="I1741" s="73">
        <v>43983</v>
      </c>
      <c r="J1741" s="74">
        <f>EFEITO!$J$1741*EFEITO!$Y$1741</f>
        <v>0</v>
      </c>
      <c r="K1741" s="74">
        <f ca="1">EFEITO!$L$1741*EFEITO!$Z$1741</f>
        <v>11405.979501511218</v>
      </c>
      <c r="L1741" s="74">
        <f>EFEITO!$N$1741*EFEITO!$AA$1741</f>
        <v>7523.979732412703</v>
      </c>
      <c r="M1741" s="74">
        <f>$J$1741-EFEITO!$K$1741*EFEITO!$Y$1741</f>
        <v>0</v>
      </c>
      <c r="N1741" s="74">
        <f ca="1">$K$1741-EFEITO!$M$1741*EFEITO!$Z$1741</f>
        <v>0</v>
      </c>
      <c r="O1741" s="74">
        <f>$L$1741-EFEITO!$O$1741*EFEITO!$AA$1741</f>
        <v>0</v>
      </c>
      <c r="P1741" s="57"/>
      <c r="Q1741" s="57"/>
      <c r="R1741" s="57"/>
      <c r="S1741" s="57"/>
      <c r="T1741" s="57"/>
      <c r="U1741" s="57"/>
      <c r="V1741" s="57"/>
      <c r="W1741" s="57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</row>
    <row r="1742" spans="1:36" ht="11.25" customHeight="1" x14ac:dyDescent="0.2">
      <c r="A1742" s="53" t="s">
        <v>27</v>
      </c>
      <c r="B1742" s="53" t="s">
        <v>22</v>
      </c>
      <c r="C1742" s="53" t="s">
        <v>37</v>
      </c>
      <c r="D1742" s="53" t="s">
        <v>24</v>
      </c>
      <c r="E1742" s="53" t="s">
        <v>24</v>
      </c>
      <c r="F1742" s="53" t="s">
        <v>25</v>
      </c>
      <c r="G1742" s="53" t="s">
        <v>25</v>
      </c>
      <c r="H1742" s="53" t="s">
        <v>35</v>
      </c>
      <c r="I1742" s="73">
        <v>43983</v>
      </c>
      <c r="J1742" s="74">
        <f>EFEITO!$J$1742*EFEITO!$Y$1742</f>
        <v>0</v>
      </c>
      <c r="K1742" s="74">
        <f ca="1">EFEITO!$L$1742*EFEITO!$Z$1742</f>
        <v>100.80682936872648</v>
      </c>
      <c r="L1742" s="74">
        <f>EFEITO!$N$1742*EFEITO!$AA$1742</f>
        <v>66.497449075600358</v>
      </c>
      <c r="M1742" s="74">
        <f>$J$1742-EFEITO!$K$1742*EFEITO!$Y$1742</f>
        <v>0</v>
      </c>
      <c r="N1742" s="74">
        <f ca="1">$K$1742-EFEITO!$M$1742*EFEITO!$Z$1742</f>
        <v>0</v>
      </c>
      <c r="O1742" s="74">
        <f>$L$1742-EFEITO!$O$1742*EFEITO!$AA$1742</f>
        <v>0</v>
      </c>
      <c r="P1742" s="57"/>
      <c r="Q1742" s="57"/>
      <c r="R1742" s="57"/>
      <c r="S1742" s="57"/>
      <c r="T1742" s="57"/>
      <c r="U1742" s="57"/>
      <c r="V1742" s="57"/>
      <c r="W1742" s="57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</row>
    <row r="1743" spans="1:36" ht="11.25" customHeight="1" x14ac:dyDescent="0.2">
      <c r="A1743" s="53" t="s">
        <v>21</v>
      </c>
      <c r="B1743" s="53" t="s">
        <v>22</v>
      </c>
      <c r="C1743" s="53" t="s">
        <v>37</v>
      </c>
      <c r="D1743" s="53" t="s">
        <v>24</v>
      </c>
      <c r="E1743" s="53" t="s">
        <v>24</v>
      </c>
      <c r="F1743" s="53" t="s">
        <v>25</v>
      </c>
      <c r="G1743" s="53" t="s">
        <v>25</v>
      </c>
      <c r="H1743" s="53" t="s">
        <v>35</v>
      </c>
      <c r="I1743" s="73">
        <v>44013</v>
      </c>
      <c r="J1743" s="74">
        <f>EFEITO!$J$1743*EFEITO!$Y$1743</f>
        <v>0</v>
      </c>
      <c r="K1743" s="74">
        <f ca="1">EFEITO!$L$1743*EFEITO!$Z$1743</f>
        <v>11936.212033388529</v>
      </c>
      <c r="L1743" s="74">
        <f>EFEITO!$N$1743*EFEITO!$AA$1743</f>
        <v>7873.7488007143065</v>
      </c>
      <c r="M1743" s="74">
        <f>$J$1743-EFEITO!$K$1743*EFEITO!$Y$1743</f>
        <v>0</v>
      </c>
      <c r="N1743" s="74">
        <f ca="1">$K$1743-EFEITO!$M$1743*EFEITO!$Z$1743</f>
        <v>0</v>
      </c>
      <c r="O1743" s="74">
        <f>$L$1743-EFEITO!$O$1743*EFEITO!$AA$1743</f>
        <v>0</v>
      </c>
      <c r="P1743" s="57"/>
      <c r="Q1743" s="57"/>
      <c r="R1743" s="57"/>
      <c r="S1743" s="57"/>
      <c r="T1743" s="57"/>
      <c r="U1743" s="57"/>
      <c r="V1743" s="57"/>
      <c r="W1743" s="57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</row>
    <row r="1744" spans="1:36" ht="11.25" customHeight="1" x14ac:dyDescent="0.2">
      <c r="A1744" s="53" t="s">
        <v>27</v>
      </c>
      <c r="B1744" s="53" t="s">
        <v>22</v>
      </c>
      <c r="C1744" s="53" t="s">
        <v>37</v>
      </c>
      <c r="D1744" s="53" t="s">
        <v>24</v>
      </c>
      <c r="E1744" s="53" t="s">
        <v>24</v>
      </c>
      <c r="F1744" s="53" t="s">
        <v>25</v>
      </c>
      <c r="G1744" s="53" t="s">
        <v>25</v>
      </c>
      <c r="H1744" s="53" t="s">
        <v>35</v>
      </c>
      <c r="I1744" s="73">
        <v>44013</v>
      </c>
      <c r="J1744" s="74">
        <f>EFEITO!$J$1744*EFEITO!$Y$1744</f>
        <v>0</v>
      </c>
      <c r="K1744" s="74">
        <f ca="1">EFEITO!$L$1744*EFEITO!$Z$1744</f>
        <v>117.89273265156149</v>
      </c>
      <c r="L1744" s="74">
        <f>EFEITO!$N$1744*EFEITO!$AA$1744</f>
        <v>77.768203156210589</v>
      </c>
      <c r="M1744" s="74">
        <f>$J$1744-EFEITO!$K$1744*EFEITO!$Y$1744</f>
        <v>0</v>
      </c>
      <c r="N1744" s="74">
        <f ca="1">$K$1744-EFEITO!$M$1744*EFEITO!$Z$1744</f>
        <v>0</v>
      </c>
      <c r="O1744" s="74">
        <f>$L$1744-EFEITO!$O$1744*EFEITO!$AA$1744</f>
        <v>0</v>
      </c>
      <c r="P1744" s="57"/>
      <c r="Q1744" s="57"/>
      <c r="R1744" s="57"/>
      <c r="S1744" s="57"/>
      <c r="T1744" s="57"/>
      <c r="U1744" s="57"/>
      <c r="V1744" s="57"/>
      <c r="W1744" s="57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</row>
    <row r="1745" spans="1:36" ht="11.25" customHeight="1" x14ac:dyDescent="0.2">
      <c r="A1745" s="53" t="s">
        <v>21</v>
      </c>
      <c r="B1745" s="53" t="s">
        <v>22</v>
      </c>
      <c r="C1745" s="53" t="s">
        <v>37</v>
      </c>
      <c r="D1745" s="53" t="s">
        <v>24</v>
      </c>
      <c r="E1745" s="53" t="s">
        <v>24</v>
      </c>
      <c r="F1745" s="53" t="s">
        <v>25</v>
      </c>
      <c r="G1745" s="53" t="s">
        <v>25</v>
      </c>
      <c r="H1745" s="53" t="s">
        <v>35</v>
      </c>
      <c r="I1745" s="73">
        <v>44044</v>
      </c>
      <c r="J1745" s="74">
        <f>EFEITO!$J$1745*EFEITO!$Y$1745</f>
        <v>0</v>
      </c>
      <c r="K1745" s="74">
        <f ca="1">EFEITO!$L$1745*EFEITO!$Z$1745</f>
        <v>13333.269391815005</v>
      </c>
      <c r="L1745" s="74">
        <f>EFEITO!$N$1745*EFEITO!$AA$1745</f>
        <v>8795.3207927055373</v>
      </c>
      <c r="M1745" s="74">
        <f>$J$1745-EFEITO!$K$1745*EFEITO!$Y$1745</f>
        <v>0</v>
      </c>
      <c r="N1745" s="74">
        <f ca="1">$K$1745-EFEITO!$M$1745*EFEITO!$Z$1745</f>
        <v>0</v>
      </c>
      <c r="O1745" s="74">
        <f>$L$1745-EFEITO!$O$1745*EFEITO!$AA$1745</f>
        <v>0</v>
      </c>
      <c r="P1745" s="57"/>
      <c r="Q1745" s="57"/>
      <c r="R1745" s="57"/>
      <c r="S1745" s="57"/>
      <c r="T1745" s="57"/>
      <c r="U1745" s="57"/>
      <c r="V1745" s="57"/>
      <c r="W1745" s="57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</row>
    <row r="1746" spans="1:36" ht="11.25" customHeight="1" x14ac:dyDescent="0.2">
      <c r="A1746" s="53" t="s">
        <v>27</v>
      </c>
      <c r="B1746" s="53" t="s">
        <v>22</v>
      </c>
      <c r="C1746" s="53" t="s">
        <v>37</v>
      </c>
      <c r="D1746" s="53" t="s">
        <v>24</v>
      </c>
      <c r="E1746" s="53" t="s">
        <v>24</v>
      </c>
      <c r="F1746" s="53" t="s">
        <v>25</v>
      </c>
      <c r="G1746" s="53" t="s">
        <v>25</v>
      </c>
      <c r="H1746" s="53" t="s">
        <v>35</v>
      </c>
      <c r="I1746" s="73">
        <v>44044</v>
      </c>
      <c r="J1746" s="74">
        <f>EFEITO!$J$1746*EFEITO!$Y$1746</f>
        <v>0</v>
      </c>
      <c r="K1746" s="74">
        <f ca="1">EFEITO!$L$1746*EFEITO!$Z$1746</f>
        <v>64.926432474772994</v>
      </c>
      <c r="L1746" s="74">
        <f>EFEITO!$N$1746*EFEITO!$AA$1746</f>
        <v>42.828865506318877</v>
      </c>
      <c r="M1746" s="74">
        <f>$J$1746-EFEITO!$K$1746*EFEITO!$Y$1746</f>
        <v>0</v>
      </c>
      <c r="N1746" s="74">
        <f ca="1">$K$1746-EFEITO!$M$1746*EFEITO!$Z$1746</f>
        <v>0</v>
      </c>
      <c r="O1746" s="74">
        <f>$L$1746-EFEITO!$O$1746*EFEITO!$AA$1746</f>
        <v>0</v>
      </c>
      <c r="P1746" s="57"/>
      <c r="Q1746" s="57"/>
      <c r="R1746" s="57"/>
      <c r="S1746" s="57"/>
      <c r="T1746" s="57"/>
      <c r="U1746" s="57"/>
      <c r="V1746" s="57"/>
      <c r="W1746" s="57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</row>
    <row r="1747" spans="1:36" ht="11.25" customHeight="1" x14ac:dyDescent="0.2">
      <c r="A1747" s="53" t="s">
        <v>59</v>
      </c>
      <c r="B1747" s="53" t="s">
        <v>22</v>
      </c>
      <c r="C1747" s="53" t="s">
        <v>37</v>
      </c>
      <c r="D1747" s="53" t="s">
        <v>24</v>
      </c>
      <c r="E1747" s="53" t="s">
        <v>24</v>
      </c>
      <c r="F1747" s="53" t="s">
        <v>25</v>
      </c>
      <c r="G1747" s="53" t="s">
        <v>25</v>
      </c>
      <c r="H1747" s="53" t="s">
        <v>35</v>
      </c>
      <c r="I1747" s="73">
        <v>44075</v>
      </c>
      <c r="J1747" s="74">
        <f>EFEITO!$J$1747*EFEITO!$Y$1747</f>
        <v>0</v>
      </c>
      <c r="K1747" s="74">
        <f ca="1">EFEITO!$L$1747*EFEITO!$Z$1747</f>
        <v>13333.269391815005</v>
      </c>
      <c r="L1747" s="74">
        <f>EFEITO!$N$1747*EFEITO!$AA$1747</f>
        <v>8795.3207927055373</v>
      </c>
      <c r="M1747" s="74">
        <f>$J$1747-EFEITO!$K$1747*EFEITO!$Y$1747</f>
        <v>0</v>
      </c>
      <c r="N1747" s="74">
        <f ca="1">$K$1747-EFEITO!$M$1747*EFEITO!$Z$1747</f>
        <v>0</v>
      </c>
      <c r="O1747" s="74">
        <f>$L$1747-EFEITO!$O$1747*EFEITO!$AA$1747</f>
        <v>0</v>
      </c>
      <c r="P1747" s="57"/>
      <c r="Q1747" s="57"/>
      <c r="R1747" s="57"/>
      <c r="S1747" s="57"/>
      <c r="T1747" s="57"/>
      <c r="U1747" s="57"/>
      <c r="V1747" s="57"/>
      <c r="W1747" s="57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</row>
    <row r="1748" spans="1:36" ht="11.25" customHeight="1" x14ac:dyDescent="0.2">
      <c r="A1748" s="53" t="s">
        <v>59</v>
      </c>
      <c r="B1748" s="53" t="s">
        <v>22</v>
      </c>
      <c r="C1748" s="53" t="s">
        <v>37</v>
      </c>
      <c r="D1748" s="53" t="s">
        <v>24</v>
      </c>
      <c r="E1748" s="53" t="s">
        <v>24</v>
      </c>
      <c r="F1748" s="53" t="s">
        <v>25</v>
      </c>
      <c r="G1748" s="53" t="s">
        <v>25</v>
      </c>
      <c r="H1748" s="53" t="s">
        <v>35</v>
      </c>
      <c r="I1748" s="73">
        <v>44075</v>
      </c>
      <c r="J1748" s="74">
        <f>EFEITO!$J$1748*EFEITO!$Y$1748</f>
        <v>0</v>
      </c>
      <c r="K1748" s="74">
        <f ca="1">EFEITO!$L$1748*EFEITO!$Z$1748</f>
        <v>64.926432474772994</v>
      </c>
      <c r="L1748" s="74">
        <f>EFEITO!$N$1748*EFEITO!$AA$1748</f>
        <v>42.828865506318877</v>
      </c>
      <c r="M1748" s="74">
        <f>$J$1748-EFEITO!$K$1748*EFEITO!$Y$1748</f>
        <v>0</v>
      </c>
      <c r="N1748" s="74">
        <f ca="1">$K$1748-EFEITO!$M$1748*EFEITO!$Z$1748</f>
        <v>0</v>
      </c>
      <c r="O1748" s="74">
        <f>$L$1748-EFEITO!$O$1748*EFEITO!$AA$1748</f>
        <v>0</v>
      </c>
      <c r="P1748" s="57"/>
      <c r="Q1748" s="57"/>
      <c r="R1748" s="57"/>
      <c r="S1748" s="57"/>
      <c r="T1748" s="57"/>
      <c r="U1748" s="57"/>
      <c r="V1748" s="57"/>
      <c r="W1748" s="57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</row>
    <row r="1749" spans="1:36" ht="11.25" customHeight="1" x14ac:dyDescent="0.2">
      <c r="A1749" s="53" t="s">
        <v>21</v>
      </c>
      <c r="B1749" s="53" t="s">
        <v>22</v>
      </c>
      <c r="C1749" s="53" t="s">
        <v>23</v>
      </c>
      <c r="D1749" s="53" t="s">
        <v>24</v>
      </c>
      <c r="E1749" s="53" t="s">
        <v>24</v>
      </c>
      <c r="F1749" s="53" t="s">
        <v>25</v>
      </c>
      <c r="G1749" s="53" t="s">
        <v>25</v>
      </c>
      <c r="H1749" s="53" t="s">
        <v>25</v>
      </c>
      <c r="I1749" s="73">
        <v>43739</v>
      </c>
      <c r="J1749" s="74">
        <f>EFEITO!$J$1749*EFEITO!$Y$1749</f>
        <v>0</v>
      </c>
      <c r="K1749" s="74">
        <f ca="1">EFEITO!$L$1749*EFEITO!$Z$1749</f>
        <v>53124859.46414084</v>
      </c>
      <c r="L1749" s="74">
        <f>EFEITO!$N$1749*EFEITO!$AA$1749</f>
        <v>47464224.929742344</v>
      </c>
      <c r="M1749" s="74">
        <f>$J$1749-EFEITO!$K$1749*EFEITO!$Y$1749</f>
        <v>0</v>
      </c>
      <c r="N1749" s="74">
        <f ca="1">$K$1749-EFEITO!$M$1749*EFEITO!$Z$1749</f>
        <v>0</v>
      </c>
      <c r="O1749" s="74">
        <f>$L$1749-EFEITO!$O$1749*EFEITO!$AA$1749</f>
        <v>0</v>
      </c>
      <c r="P1749" s="57"/>
      <c r="Q1749" s="57"/>
      <c r="R1749" s="57"/>
      <c r="S1749" s="57"/>
      <c r="T1749" s="57"/>
      <c r="U1749" s="57"/>
      <c r="V1749" s="57"/>
      <c r="W1749" s="57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</row>
    <row r="1750" spans="1:36" ht="11.25" customHeight="1" x14ac:dyDescent="0.2">
      <c r="A1750" s="53" t="s">
        <v>27</v>
      </c>
      <c r="B1750" s="53" t="s">
        <v>22</v>
      </c>
      <c r="C1750" s="53" t="s">
        <v>23</v>
      </c>
      <c r="D1750" s="53" t="s">
        <v>24</v>
      </c>
      <c r="E1750" s="53" t="s">
        <v>24</v>
      </c>
      <c r="F1750" s="53" t="s">
        <v>25</v>
      </c>
      <c r="G1750" s="53" t="s">
        <v>25</v>
      </c>
      <c r="H1750" s="53" t="s">
        <v>25</v>
      </c>
      <c r="I1750" s="73">
        <v>43739</v>
      </c>
      <c r="J1750" s="74">
        <f>EFEITO!$J$1750*EFEITO!$Y$1750</f>
        <v>0</v>
      </c>
      <c r="K1750" s="74">
        <f ca="1">EFEITO!$L$1750*EFEITO!$Z$1750</f>
        <v>36531.282227538046</v>
      </c>
      <c r="L1750" s="74">
        <f>EFEITO!$N$1750*EFEITO!$AA$1750</f>
        <v>32638.749807708446</v>
      </c>
      <c r="M1750" s="74">
        <f>$J$1750-EFEITO!$K$1750*EFEITO!$Y$1750</f>
        <v>0</v>
      </c>
      <c r="N1750" s="74">
        <f ca="1">$K$1750-EFEITO!$M$1750*EFEITO!$Z$1750</f>
        <v>0</v>
      </c>
      <c r="O1750" s="74">
        <f>$L$1750-EFEITO!$O$1750*EFEITO!$AA$1750</f>
        <v>0</v>
      </c>
      <c r="P1750" s="57"/>
      <c r="Q1750" s="57"/>
      <c r="R1750" s="57"/>
      <c r="S1750" s="57"/>
      <c r="T1750" s="57"/>
      <c r="U1750" s="57"/>
      <c r="V1750" s="57"/>
      <c r="W1750" s="57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</row>
    <row r="1751" spans="1:36" ht="11.25" customHeight="1" x14ac:dyDescent="0.2">
      <c r="A1751" s="53" t="s">
        <v>28</v>
      </c>
      <c r="B1751" s="53" t="s">
        <v>22</v>
      </c>
      <c r="C1751" s="53" t="s">
        <v>23</v>
      </c>
      <c r="D1751" s="53" t="s">
        <v>24</v>
      </c>
      <c r="E1751" s="53" t="s">
        <v>24</v>
      </c>
      <c r="F1751" s="53" t="s">
        <v>25</v>
      </c>
      <c r="G1751" s="53" t="s">
        <v>25</v>
      </c>
      <c r="H1751" s="53" t="s">
        <v>25</v>
      </c>
      <c r="I1751" s="73">
        <v>43739</v>
      </c>
      <c r="J1751" s="74">
        <f>EFEITO!$J$1751*EFEITO!$Y$1751</f>
        <v>0</v>
      </c>
      <c r="K1751" s="74">
        <f ca="1">EFEITO!$L$1751*EFEITO!$Z$1751</f>
        <v>112690.77330095993</v>
      </c>
      <c r="L1751" s="74">
        <f>EFEITO!$N$1751*EFEITO!$AA$1751</f>
        <v>100683.18797292594</v>
      </c>
      <c r="M1751" s="74">
        <f>$J$1751-EFEITO!$K$1751*EFEITO!$Y$1751</f>
        <v>0</v>
      </c>
      <c r="N1751" s="74">
        <f ca="1">$K$1751-EFEITO!$M$1751*EFEITO!$Z$1751</f>
        <v>0</v>
      </c>
      <c r="O1751" s="74">
        <f>$L$1751-EFEITO!$O$1751*EFEITO!$AA$1751</f>
        <v>0</v>
      </c>
      <c r="P1751" s="57"/>
      <c r="Q1751" s="57"/>
      <c r="R1751" s="57"/>
      <c r="S1751" s="57"/>
      <c r="T1751" s="57"/>
      <c r="U1751" s="57"/>
      <c r="V1751" s="57"/>
      <c r="W1751" s="57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</row>
    <row r="1752" spans="1:36" ht="11.25" customHeight="1" x14ac:dyDescent="0.2">
      <c r="A1752" s="53" t="s">
        <v>28</v>
      </c>
      <c r="B1752" s="53" t="s">
        <v>22</v>
      </c>
      <c r="C1752" s="53" t="s">
        <v>23</v>
      </c>
      <c r="D1752" s="53" t="s">
        <v>24</v>
      </c>
      <c r="E1752" s="53" t="s">
        <v>24</v>
      </c>
      <c r="F1752" s="53" t="s">
        <v>25</v>
      </c>
      <c r="G1752" s="53" t="s">
        <v>25</v>
      </c>
      <c r="H1752" s="53" t="s">
        <v>25</v>
      </c>
      <c r="I1752" s="73">
        <v>43739</v>
      </c>
      <c r="J1752" s="74">
        <f>EFEITO!$J$1752*EFEITO!$Y$1752</f>
        <v>0</v>
      </c>
      <c r="K1752" s="74">
        <f ca="1">EFEITO!$L$1752*EFEITO!$Z$1752</f>
        <v>445.87478308200161</v>
      </c>
      <c r="L1752" s="74">
        <f>EFEITO!$N$1752*EFEITO!$AA$1752</f>
        <v>398.36530784592946</v>
      </c>
      <c r="M1752" s="74">
        <f>$J$1752-EFEITO!$K$1752*EFEITO!$Y$1752</f>
        <v>0</v>
      </c>
      <c r="N1752" s="74">
        <f ca="1">$K$1752-EFEITO!$M$1752*EFEITO!$Z$1752</f>
        <v>0</v>
      </c>
      <c r="O1752" s="74">
        <f>$L$1752-EFEITO!$O$1752*EFEITO!$AA$1752</f>
        <v>0</v>
      </c>
      <c r="P1752" s="57"/>
      <c r="Q1752" s="57"/>
      <c r="R1752" s="57"/>
      <c r="S1752" s="57"/>
      <c r="T1752" s="57"/>
      <c r="U1752" s="57"/>
      <c r="V1752" s="57"/>
      <c r="W1752" s="57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</row>
    <row r="1753" spans="1:36" ht="11.25" customHeight="1" x14ac:dyDescent="0.2">
      <c r="A1753" s="53" t="s">
        <v>21</v>
      </c>
      <c r="B1753" s="53" t="s">
        <v>22</v>
      </c>
      <c r="C1753" s="53" t="s">
        <v>23</v>
      </c>
      <c r="D1753" s="53" t="s">
        <v>24</v>
      </c>
      <c r="E1753" s="53" t="s">
        <v>24</v>
      </c>
      <c r="F1753" s="53" t="s">
        <v>25</v>
      </c>
      <c r="G1753" s="53" t="s">
        <v>25</v>
      </c>
      <c r="H1753" s="53" t="s">
        <v>25</v>
      </c>
      <c r="I1753" s="73">
        <v>43770</v>
      </c>
      <c r="J1753" s="74">
        <f>EFEITO!$J$1753*EFEITO!$Y$1753</f>
        <v>0</v>
      </c>
      <c r="K1753" s="74">
        <f ca="1">EFEITO!$L$1753*EFEITO!$Z$1753</f>
        <v>56368260.842476673</v>
      </c>
      <c r="L1753" s="74">
        <f>EFEITO!$N$1753*EFEITO!$AA$1753</f>
        <v>50362030.855472498</v>
      </c>
      <c r="M1753" s="74">
        <f>$J$1753-EFEITO!$K$1753*EFEITO!$Y$1753</f>
        <v>0</v>
      </c>
      <c r="N1753" s="74">
        <f ca="1">$K$1753-EFEITO!$M$1753*EFEITO!$Z$1753</f>
        <v>0</v>
      </c>
      <c r="O1753" s="74">
        <f>$L$1753-EFEITO!$O$1753*EFEITO!$AA$1753</f>
        <v>0</v>
      </c>
      <c r="P1753" s="57"/>
      <c r="Q1753" s="57"/>
      <c r="R1753" s="57"/>
      <c r="S1753" s="57"/>
      <c r="T1753" s="57"/>
      <c r="U1753" s="57"/>
      <c r="V1753" s="57"/>
      <c r="W1753" s="57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</row>
    <row r="1754" spans="1:36" ht="11.25" customHeight="1" x14ac:dyDescent="0.2">
      <c r="A1754" s="53" t="s">
        <v>27</v>
      </c>
      <c r="B1754" s="53" t="s">
        <v>22</v>
      </c>
      <c r="C1754" s="53" t="s">
        <v>23</v>
      </c>
      <c r="D1754" s="53" t="s">
        <v>24</v>
      </c>
      <c r="E1754" s="53" t="s">
        <v>24</v>
      </c>
      <c r="F1754" s="53" t="s">
        <v>25</v>
      </c>
      <c r="G1754" s="53" t="s">
        <v>25</v>
      </c>
      <c r="H1754" s="53" t="s">
        <v>25</v>
      </c>
      <c r="I1754" s="73">
        <v>43770</v>
      </c>
      <c r="J1754" s="74">
        <f>EFEITO!$J$1754*EFEITO!$Y$1754</f>
        <v>0</v>
      </c>
      <c r="K1754" s="74">
        <f ca="1">EFEITO!$L$1754*EFEITO!$Z$1754</f>
        <v>27836.723957439019</v>
      </c>
      <c r="L1754" s="74">
        <f>EFEITO!$N$1754*EFEITO!$AA$1754</f>
        <v>24870.626304712823</v>
      </c>
      <c r="M1754" s="74">
        <f>$J$1754-EFEITO!$K$1754*EFEITO!$Y$1754</f>
        <v>0</v>
      </c>
      <c r="N1754" s="74">
        <f ca="1">$K$1754-EFEITO!$M$1754*EFEITO!$Z$1754</f>
        <v>0</v>
      </c>
      <c r="O1754" s="74">
        <f>$L$1754-EFEITO!$O$1754*EFEITO!$AA$1754</f>
        <v>0</v>
      </c>
      <c r="P1754" s="57"/>
      <c r="Q1754" s="57"/>
      <c r="R1754" s="57"/>
      <c r="S1754" s="57"/>
      <c r="T1754" s="57"/>
      <c r="U1754" s="57"/>
      <c r="V1754" s="57"/>
      <c r="W1754" s="57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</row>
    <row r="1755" spans="1:36" ht="11.25" customHeight="1" x14ac:dyDescent="0.2">
      <c r="A1755" s="53" t="s">
        <v>28</v>
      </c>
      <c r="B1755" s="53" t="s">
        <v>22</v>
      </c>
      <c r="C1755" s="53" t="s">
        <v>23</v>
      </c>
      <c r="D1755" s="53" t="s">
        <v>24</v>
      </c>
      <c r="E1755" s="53" t="s">
        <v>24</v>
      </c>
      <c r="F1755" s="53" t="s">
        <v>25</v>
      </c>
      <c r="G1755" s="53" t="s">
        <v>25</v>
      </c>
      <c r="H1755" s="53" t="s">
        <v>25</v>
      </c>
      <c r="I1755" s="73">
        <v>43770</v>
      </c>
      <c r="J1755" s="74">
        <f>EFEITO!$J$1755*EFEITO!$Y$1755</f>
        <v>0</v>
      </c>
      <c r="K1755" s="74">
        <f ca="1">EFEITO!$L$1755*EFEITO!$Z$1755</f>
        <v>106742.69494469893</v>
      </c>
      <c r="L1755" s="74">
        <f>EFEITO!$N$1755*EFEITO!$AA$1755</f>
        <v>95368.897603991034</v>
      </c>
      <c r="M1755" s="74">
        <f>$J$1755-EFEITO!$K$1755*EFEITO!$Y$1755</f>
        <v>0</v>
      </c>
      <c r="N1755" s="74">
        <f ca="1">$K$1755-EFEITO!$M$1755*EFEITO!$Z$1755</f>
        <v>0</v>
      </c>
      <c r="O1755" s="74">
        <f>$L$1755-EFEITO!$O$1755*EFEITO!$AA$1755</f>
        <v>0</v>
      </c>
      <c r="P1755" s="57"/>
      <c r="Q1755" s="57"/>
      <c r="R1755" s="57"/>
      <c r="S1755" s="57"/>
      <c r="T1755" s="57"/>
      <c r="U1755" s="57"/>
      <c r="V1755" s="57"/>
      <c r="W1755" s="57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</row>
    <row r="1756" spans="1:36" ht="11.25" customHeight="1" x14ac:dyDescent="0.2">
      <c r="A1756" s="53" t="s">
        <v>28</v>
      </c>
      <c r="B1756" s="53" t="s">
        <v>22</v>
      </c>
      <c r="C1756" s="53" t="s">
        <v>23</v>
      </c>
      <c r="D1756" s="53" t="s">
        <v>24</v>
      </c>
      <c r="E1756" s="53" t="s">
        <v>24</v>
      </c>
      <c r="F1756" s="53" t="s">
        <v>25</v>
      </c>
      <c r="G1756" s="53" t="s">
        <v>25</v>
      </c>
      <c r="H1756" s="53" t="s">
        <v>25</v>
      </c>
      <c r="I1756" s="73">
        <v>43770</v>
      </c>
      <c r="J1756" s="74">
        <f>EFEITO!$J$1756*EFEITO!$Y$1756</f>
        <v>0</v>
      </c>
      <c r="K1756" s="74">
        <f ca="1">EFEITO!$L$1756*EFEITO!$Z$1756</f>
        <v>27.187486773292786</v>
      </c>
      <c r="L1756" s="74">
        <f>EFEITO!$N$1756*EFEITO!$AA$1756</f>
        <v>24.290567551581066</v>
      </c>
      <c r="M1756" s="74">
        <f>$J$1756-EFEITO!$K$1756*EFEITO!$Y$1756</f>
        <v>0</v>
      </c>
      <c r="N1756" s="74">
        <f ca="1">$K$1756-EFEITO!$M$1756*EFEITO!$Z$1756</f>
        <v>0</v>
      </c>
      <c r="O1756" s="74">
        <f>$L$1756-EFEITO!$O$1756*EFEITO!$AA$1756</f>
        <v>0</v>
      </c>
      <c r="P1756" s="57"/>
      <c r="Q1756" s="57"/>
      <c r="R1756" s="57"/>
      <c r="S1756" s="57"/>
      <c r="T1756" s="57"/>
      <c r="U1756" s="57"/>
      <c r="V1756" s="57"/>
      <c r="W1756" s="57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</row>
    <row r="1757" spans="1:36" ht="11.25" customHeight="1" x14ac:dyDescent="0.2">
      <c r="A1757" s="53" t="s">
        <v>21</v>
      </c>
      <c r="B1757" s="53" t="s">
        <v>22</v>
      </c>
      <c r="C1757" s="53" t="s">
        <v>23</v>
      </c>
      <c r="D1757" s="53" t="s">
        <v>24</v>
      </c>
      <c r="E1757" s="53" t="s">
        <v>24</v>
      </c>
      <c r="F1757" s="53" t="s">
        <v>25</v>
      </c>
      <c r="G1757" s="53" t="s">
        <v>25</v>
      </c>
      <c r="H1757" s="53" t="s">
        <v>25</v>
      </c>
      <c r="I1757" s="73">
        <v>43800</v>
      </c>
      <c r="J1757" s="74">
        <f>EFEITO!$J$1757*EFEITO!$Y$1757</f>
        <v>0</v>
      </c>
      <c r="K1757" s="74">
        <f ca="1">EFEITO!$L$1757*EFEITO!$Z$1757</f>
        <v>48667643.104450762</v>
      </c>
      <c r="L1757" s="74">
        <f>EFEITO!$N$1757*EFEITO!$AA$1757</f>
        <v>43481940.138953231</v>
      </c>
      <c r="M1757" s="74">
        <f>$J$1757-EFEITO!$K$1757*EFEITO!$Y$1757</f>
        <v>0</v>
      </c>
      <c r="N1757" s="74">
        <f ca="1">$K$1757-EFEITO!$M$1757*EFEITO!$Z$1757</f>
        <v>0</v>
      </c>
      <c r="O1757" s="74">
        <f>$L$1757-EFEITO!$O$1757*EFEITO!$AA$1757</f>
        <v>0</v>
      </c>
      <c r="P1757" s="57"/>
      <c r="Q1757" s="57"/>
      <c r="R1757" s="57"/>
      <c r="S1757" s="57"/>
      <c r="T1757" s="57"/>
      <c r="U1757" s="57"/>
      <c r="V1757" s="57"/>
      <c r="W1757" s="57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</row>
    <row r="1758" spans="1:36" ht="11.25" customHeight="1" x14ac:dyDescent="0.2">
      <c r="A1758" s="53" t="s">
        <v>27</v>
      </c>
      <c r="B1758" s="53" t="s">
        <v>22</v>
      </c>
      <c r="C1758" s="53" t="s">
        <v>23</v>
      </c>
      <c r="D1758" s="53" t="s">
        <v>24</v>
      </c>
      <c r="E1758" s="53" t="s">
        <v>24</v>
      </c>
      <c r="F1758" s="53" t="s">
        <v>25</v>
      </c>
      <c r="G1758" s="53" t="s">
        <v>25</v>
      </c>
      <c r="H1758" s="53" t="s">
        <v>25</v>
      </c>
      <c r="I1758" s="73">
        <v>43800</v>
      </c>
      <c r="J1758" s="74">
        <f>EFEITO!$J$1758*EFEITO!$Y$1758</f>
        <v>0</v>
      </c>
      <c r="K1758" s="74">
        <f ca="1">EFEITO!$L$1758*EFEITO!$Z$1758</f>
        <v>35164.023517709153</v>
      </c>
      <c r="L1758" s="74">
        <f>EFEITO!$N$1758*EFEITO!$AA$1758</f>
        <v>31417.177165539433</v>
      </c>
      <c r="M1758" s="74">
        <f>$J$1758-EFEITO!$K$1758*EFEITO!$Y$1758</f>
        <v>0</v>
      </c>
      <c r="N1758" s="74">
        <f ca="1">$K$1758-EFEITO!$M$1758*EFEITO!$Z$1758</f>
        <v>0</v>
      </c>
      <c r="O1758" s="74">
        <f>$L$1758-EFEITO!$O$1758*EFEITO!$AA$1758</f>
        <v>0</v>
      </c>
      <c r="P1758" s="57"/>
      <c r="Q1758" s="57"/>
      <c r="R1758" s="57"/>
      <c r="S1758" s="57"/>
      <c r="T1758" s="57"/>
      <c r="U1758" s="57"/>
      <c r="V1758" s="57"/>
      <c r="W1758" s="57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</row>
    <row r="1759" spans="1:36" ht="11.25" customHeight="1" x14ac:dyDescent="0.2">
      <c r="A1759" s="53" t="s">
        <v>28</v>
      </c>
      <c r="B1759" s="53" t="s">
        <v>22</v>
      </c>
      <c r="C1759" s="53" t="s">
        <v>23</v>
      </c>
      <c r="D1759" s="53" t="s">
        <v>24</v>
      </c>
      <c r="E1759" s="53" t="s">
        <v>24</v>
      </c>
      <c r="F1759" s="53" t="s">
        <v>25</v>
      </c>
      <c r="G1759" s="53" t="s">
        <v>25</v>
      </c>
      <c r="H1759" s="53" t="s">
        <v>25</v>
      </c>
      <c r="I1759" s="73">
        <v>43800</v>
      </c>
      <c r="J1759" s="74">
        <f>EFEITO!$J$1759*EFEITO!$Y$1759</f>
        <v>0</v>
      </c>
      <c r="K1759" s="74">
        <f ca="1">EFEITO!$L$1759*EFEITO!$Z$1759</f>
        <v>100254.40122625261</v>
      </c>
      <c r="L1759" s="74">
        <f>EFEITO!$N$1759*EFEITO!$AA$1759</f>
        <v>89571.953657806211</v>
      </c>
      <c r="M1759" s="74">
        <f>$J$1759-EFEITO!$K$1759*EFEITO!$Y$1759</f>
        <v>0</v>
      </c>
      <c r="N1759" s="74">
        <f ca="1">$K$1759-EFEITO!$M$1759*EFEITO!$Z$1759</f>
        <v>0</v>
      </c>
      <c r="O1759" s="74">
        <f>$L$1759-EFEITO!$O$1759*EFEITO!$AA$1759</f>
        <v>0</v>
      </c>
      <c r="P1759" s="57"/>
      <c r="Q1759" s="57"/>
      <c r="R1759" s="57"/>
      <c r="S1759" s="57"/>
      <c r="T1759" s="57"/>
      <c r="U1759" s="57"/>
      <c r="V1759" s="57"/>
      <c r="W1759" s="57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</row>
    <row r="1760" spans="1:36" ht="11.25" customHeight="1" x14ac:dyDescent="0.2">
      <c r="A1760" s="53" t="s">
        <v>21</v>
      </c>
      <c r="B1760" s="53" t="s">
        <v>22</v>
      </c>
      <c r="C1760" s="53" t="s">
        <v>23</v>
      </c>
      <c r="D1760" s="53" t="s">
        <v>24</v>
      </c>
      <c r="E1760" s="53" t="s">
        <v>24</v>
      </c>
      <c r="F1760" s="53" t="s">
        <v>25</v>
      </c>
      <c r="G1760" s="53" t="s">
        <v>25</v>
      </c>
      <c r="H1760" s="53" t="s">
        <v>25</v>
      </c>
      <c r="I1760" s="73">
        <v>43831</v>
      </c>
      <c r="J1760" s="74">
        <f>EFEITO!$J$1760*EFEITO!$Y$1760</f>
        <v>0</v>
      </c>
      <c r="K1760" s="74">
        <f ca="1">EFEITO!$L$1760*EFEITO!$Z$1760</f>
        <v>52960090.244301029</v>
      </c>
      <c r="L1760" s="74">
        <f>EFEITO!$N$1760*EFEITO!$AA$1760</f>
        <v>47317012.430907339</v>
      </c>
      <c r="M1760" s="74">
        <f>$J$1760-EFEITO!$K$1760*EFEITO!$Y$1760</f>
        <v>0</v>
      </c>
      <c r="N1760" s="74">
        <f ca="1">$K$1760-EFEITO!$M$1760*EFEITO!$Z$1760</f>
        <v>0</v>
      </c>
      <c r="O1760" s="74">
        <f>$L$1760-EFEITO!$O$1760*EFEITO!$AA$1760</f>
        <v>0</v>
      </c>
      <c r="P1760" s="57"/>
      <c r="Q1760" s="57"/>
      <c r="R1760" s="57"/>
      <c r="S1760" s="57"/>
      <c r="T1760" s="57"/>
      <c r="U1760" s="57"/>
      <c r="V1760" s="57"/>
      <c r="W1760" s="57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</row>
    <row r="1761" spans="1:36" ht="11.25" customHeight="1" x14ac:dyDescent="0.2">
      <c r="A1761" s="53" t="s">
        <v>27</v>
      </c>
      <c r="B1761" s="53" t="s">
        <v>22</v>
      </c>
      <c r="C1761" s="53" t="s">
        <v>23</v>
      </c>
      <c r="D1761" s="53" t="s">
        <v>24</v>
      </c>
      <c r="E1761" s="53" t="s">
        <v>24</v>
      </c>
      <c r="F1761" s="53" t="s">
        <v>25</v>
      </c>
      <c r="G1761" s="53" t="s">
        <v>25</v>
      </c>
      <c r="H1761" s="53" t="s">
        <v>25</v>
      </c>
      <c r="I1761" s="73">
        <v>43831</v>
      </c>
      <c r="J1761" s="74">
        <f>EFEITO!$J$1761*EFEITO!$Y$1761</f>
        <v>0</v>
      </c>
      <c r="K1761" s="74">
        <f ca="1">EFEITO!$L$1761*EFEITO!$Z$1761</f>
        <v>43558.160058963302</v>
      </c>
      <c r="L1761" s="74">
        <f>EFEITO!$N$1761*EFEITO!$AA$1761</f>
        <v>38916.889897090092</v>
      </c>
      <c r="M1761" s="74">
        <f>$J$1761-EFEITO!$K$1761*EFEITO!$Y$1761</f>
        <v>0</v>
      </c>
      <c r="N1761" s="74">
        <f ca="1">$K$1761-EFEITO!$M$1761*EFEITO!$Z$1761</f>
        <v>0</v>
      </c>
      <c r="O1761" s="74">
        <f>$L$1761-EFEITO!$O$1761*EFEITO!$AA$1761</f>
        <v>0</v>
      </c>
      <c r="P1761" s="57"/>
      <c r="Q1761" s="57"/>
      <c r="R1761" s="57"/>
      <c r="S1761" s="57"/>
      <c r="T1761" s="57"/>
      <c r="U1761" s="57"/>
      <c r="V1761" s="57"/>
      <c r="W1761" s="57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</row>
    <row r="1762" spans="1:36" ht="11.25" customHeight="1" x14ac:dyDescent="0.2">
      <c r="A1762" s="53" t="s">
        <v>28</v>
      </c>
      <c r="B1762" s="53" t="s">
        <v>22</v>
      </c>
      <c r="C1762" s="53" t="s">
        <v>23</v>
      </c>
      <c r="D1762" s="53" t="s">
        <v>24</v>
      </c>
      <c r="E1762" s="53" t="s">
        <v>24</v>
      </c>
      <c r="F1762" s="53" t="s">
        <v>25</v>
      </c>
      <c r="G1762" s="53" t="s">
        <v>25</v>
      </c>
      <c r="H1762" s="53" t="s">
        <v>25</v>
      </c>
      <c r="I1762" s="73">
        <v>43831</v>
      </c>
      <c r="J1762" s="74">
        <f>EFEITO!$J$1762*EFEITO!$Y$1762</f>
        <v>0</v>
      </c>
      <c r="K1762" s="74">
        <f ca="1">EFEITO!$L$1762*EFEITO!$Z$1762</f>
        <v>97752.336818506461</v>
      </c>
      <c r="L1762" s="74">
        <f>EFEITO!$N$1762*EFEITO!$AA$1762</f>
        <v>87336.492726034194</v>
      </c>
      <c r="M1762" s="74">
        <f>$J$1762-EFEITO!$K$1762*EFEITO!$Y$1762</f>
        <v>0</v>
      </c>
      <c r="N1762" s="74">
        <f ca="1">$K$1762-EFEITO!$M$1762*EFEITO!$Z$1762</f>
        <v>0</v>
      </c>
      <c r="O1762" s="74">
        <f>$L$1762-EFEITO!$O$1762*EFEITO!$AA$1762</f>
        <v>0</v>
      </c>
      <c r="P1762" s="57"/>
      <c r="Q1762" s="57"/>
      <c r="R1762" s="57"/>
      <c r="S1762" s="57"/>
      <c r="T1762" s="57"/>
      <c r="U1762" s="57"/>
      <c r="V1762" s="57"/>
      <c r="W1762" s="57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</row>
    <row r="1763" spans="1:36" ht="11.25" customHeight="1" x14ac:dyDescent="0.2">
      <c r="A1763" s="53" t="s">
        <v>28</v>
      </c>
      <c r="B1763" s="53" t="s">
        <v>22</v>
      </c>
      <c r="C1763" s="53" t="s">
        <v>23</v>
      </c>
      <c r="D1763" s="53" t="s">
        <v>24</v>
      </c>
      <c r="E1763" s="53" t="s">
        <v>24</v>
      </c>
      <c r="F1763" s="53" t="s">
        <v>25</v>
      </c>
      <c r="G1763" s="53" t="s">
        <v>25</v>
      </c>
      <c r="H1763" s="53" t="s">
        <v>25</v>
      </c>
      <c r="I1763" s="73">
        <v>43831</v>
      </c>
      <c r="J1763" s="74">
        <f>EFEITO!$J$1763*EFEITO!$Y$1763</f>
        <v>0</v>
      </c>
      <c r="K1763" s="74">
        <f ca="1">EFEITO!$L$1763*EFEITO!$Z$1763</f>
        <v>995.60576563798168</v>
      </c>
      <c r="L1763" s="74">
        <f>EFEITO!$N$1763*EFEITO!$AA$1763</f>
        <v>889.52058373889861</v>
      </c>
      <c r="M1763" s="74">
        <f>$J$1763-EFEITO!$K$1763*EFEITO!$Y$1763</f>
        <v>0</v>
      </c>
      <c r="N1763" s="74">
        <f ca="1">$K$1763-EFEITO!$M$1763*EFEITO!$Z$1763</f>
        <v>0</v>
      </c>
      <c r="O1763" s="74">
        <f>$L$1763-EFEITO!$O$1763*EFEITO!$AA$1763</f>
        <v>0</v>
      </c>
      <c r="P1763" s="57"/>
      <c r="Q1763" s="57"/>
      <c r="R1763" s="57"/>
      <c r="S1763" s="57"/>
      <c r="T1763" s="57"/>
      <c r="U1763" s="57"/>
      <c r="V1763" s="57"/>
      <c r="W1763" s="57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</row>
    <row r="1764" spans="1:36" ht="11.25" customHeight="1" x14ac:dyDescent="0.2">
      <c r="A1764" s="53" t="s">
        <v>21</v>
      </c>
      <c r="B1764" s="53" t="s">
        <v>22</v>
      </c>
      <c r="C1764" s="53" t="s">
        <v>23</v>
      </c>
      <c r="D1764" s="53" t="s">
        <v>24</v>
      </c>
      <c r="E1764" s="53" t="s">
        <v>24</v>
      </c>
      <c r="F1764" s="53" t="s">
        <v>25</v>
      </c>
      <c r="G1764" s="53" t="s">
        <v>25</v>
      </c>
      <c r="H1764" s="53" t="s">
        <v>25</v>
      </c>
      <c r="I1764" s="73">
        <v>43862</v>
      </c>
      <c r="J1764" s="74">
        <f>EFEITO!$J$1764*EFEITO!$Y$1764</f>
        <v>0</v>
      </c>
      <c r="K1764" s="74">
        <f ca="1">EFEITO!$L$1764*EFEITO!$Z$1764</f>
        <v>49613224.166300751</v>
      </c>
      <c r="L1764" s="74">
        <f>EFEITO!$N$1764*EFEITO!$AA$1764</f>
        <v>44326766.321302898</v>
      </c>
      <c r="M1764" s="74">
        <f>$J$1764-EFEITO!$K$1764*EFEITO!$Y$1764</f>
        <v>0</v>
      </c>
      <c r="N1764" s="74">
        <f ca="1">$K$1764-EFEITO!$M$1764*EFEITO!$Z$1764</f>
        <v>0</v>
      </c>
      <c r="O1764" s="74">
        <f>$L$1764-EFEITO!$O$1764*EFEITO!$AA$1764</f>
        <v>0</v>
      </c>
      <c r="P1764" s="57"/>
      <c r="Q1764" s="57"/>
      <c r="R1764" s="57"/>
      <c r="S1764" s="57"/>
      <c r="T1764" s="57"/>
      <c r="U1764" s="57"/>
      <c r="V1764" s="57"/>
      <c r="W1764" s="57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</row>
    <row r="1765" spans="1:36" ht="11.25" customHeight="1" x14ac:dyDescent="0.2">
      <c r="A1765" s="53" t="s">
        <v>27</v>
      </c>
      <c r="B1765" s="53" t="s">
        <v>22</v>
      </c>
      <c r="C1765" s="53" t="s">
        <v>23</v>
      </c>
      <c r="D1765" s="53" t="s">
        <v>24</v>
      </c>
      <c r="E1765" s="53" t="s">
        <v>24</v>
      </c>
      <c r="F1765" s="53" t="s">
        <v>25</v>
      </c>
      <c r="G1765" s="53" t="s">
        <v>25</v>
      </c>
      <c r="H1765" s="53" t="s">
        <v>25</v>
      </c>
      <c r="I1765" s="73">
        <v>43862</v>
      </c>
      <c r="J1765" s="74">
        <f>EFEITO!$J$1765*EFEITO!$Y$1765</f>
        <v>0</v>
      </c>
      <c r="K1765" s="74">
        <f ca="1">EFEITO!$L$1765*EFEITO!$Z$1765</f>
        <v>31457.281571038417</v>
      </c>
      <c r="L1765" s="74">
        <f>EFEITO!$N$1765*EFEITO!$AA$1765</f>
        <v>28105.401185556871</v>
      </c>
      <c r="M1765" s="74">
        <f>$J$1765-EFEITO!$K$1765*EFEITO!$Y$1765</f>
        <v>0</v>
      </c>
      <c r="N1765" s="74">
        <f ca="1">$K$1765-EFEITO!$M$1765*EFEITO!$Z$1765</f>
        <v>0</v>
      </c>
      <c r="O1765" s="74">
        <f>$L$1765-EFEITO!$O$1765*EFEITO!$AA$1765</f>
        <v>0</v>
      </c>
      <c r="P1765" s="57"/>
      <c r="Q1765" s="57"/>
      <c r="R1765" s="57"/>
      <c r="S1765" s="57"/>
      <c r="T1765" s="57"/>
      <c r="U1765" s="57"/>
      <c r="V1765" s="57"/>
      <c r="W1765" s="57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</row>
    <row r="1766" spans="1:36" ht="11.25" customHeight="1" x14ac:dyDescent="0.2">
      <c r="A1766" s="53" t="s">
        <v>28</v>
      </c>
      <c r="B1766" s="53" t="s">
        <v>22</v>
      </c>
      <c r="C1766" s="53" t="s">
        <v>23</v>
      </c>
      <c r="D1766" s="53" t="s">
        <v>24</v>
      </c>
      <c r="E1766" s="53" t="s">
        <v>24</v>
      </c>
      <c r="F1766" s="53" t="s">
        <v>25</v>
      </c>
      <c r="G1766" s="53" t="s">
        <v>25</v>
      </c>
      <c r="H1766" s="53" t="s">
        <v>25</v>
      </c>
      <c r="I1766" s="73">
        <v>43862</v>
      </c>
      <c r="J1766" s="74">
        <f>EFEITO!$J$1766*EFEITO!$Y$1766</f>
        <v>0</v>
      </c>
      <c r="K1766" s="74">
        <f ca="1">EFEITO!$L$1766*EFEITO!$Z$1766</f>
        <v>103629.99958402464</v>
      </c>
      <c r="L1766" s="74">
        <f>EFEITO!$N$1766*EFEITO!$AA$1766</f>
        <v>92587.870525010512</v>
      </c>
      <c r="M1766" s="74">
        <f>$J$1766-EFEITO!$K$1766*EFEITO!$Y$1766</f>
        <v>0</v>
      </c>
      <c r="N1766" s="74">
        <f ca="1">$K$1766-EFEITO!$M$1766*EFEITO!$Z$1766</f>
        <v>0</v>
      </c>
      <c r="O1766" s="74">
        <f>$L$1766-EFEITO!$O$1766*EFEITO!$AA$1766</f>
        <v>0</v>
      </c>
      <c r="P1766" s="57"/>
      <c r="Q1766" s="57"/>
      <c r="R1766" s="57"/>
      <c r="S1766" s="57"/>
      <c r="T1766" s="57"/>
      <c r="U1766" s="57"/>
      <c r="V1766" s="57"/>
      <c r="W1766" s="57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</row>
    <row r="1767" spans="1:36" ht="11.25" customHeight="1" x14ac:dyDescent="0.2">
      <c r="A1767" s="53" t="s">
        <v>28</v>
      </c>
      <c r="B1767" s="53" t="s">
        <v>22</v>
      </c>
      <c r="C1767" s="53" t="s">
        <v>23</v>
      </c>
      <c r="D1767" s="53" t="s">
        <v>24</v>
      </c>
      <c r="E1767" s="53" t="s">
        <v>24</v>
      </c>
      <c r="F1767" s="53" t="s">
        <v>25</v>
      </c>
      <c r="G1767" s="53" t="s">
        <v>25</v>
      </c>
      <c r="H1767" s="53" t="s">
        <v>25</v>
      </c>
      <c r="I1767" s="73">
        <v>43862</v>
      </c>
      <c r="J1767" s="74">
        <f>EFEITO!$J$1767*EFEITO!$Y$1767</f>
        <v>0</v>
      </c>
      <c r="K1767" s="74">
        <f ca="1">EFEITO!$L$1767*EFEITO!$Z$1767</f>
        <v>1722.8710368235636</v>
      </c>
      <c r="L1767" s="74">
        <f>EFEITO!$N$1767*EFEITO!$AA$1767</f>
        <v>1539.293265743692</v>
      </c>
      <c r="M1767" s="74">
        <f>$J$1767-EFEITO!$K$1767*EFEITO!$Y$1767</f>
        <v>0</v>
      </c>
      <c r="N1767" s="74">
        <f ca="1">$K$1767-EFEITO!$M$1767*EFEITO!$Z$1767</f>
        <v>0</v>
      </c>
      <c r="O1767" s="74">
        <f>$L$1767-EFEITO!$O$1767*EFEITO!$AA$1767</f>
        <v>0</v>
      </c>
      <c r="P1767" s="57"/>
      <c r="Q1767" s="57"/>
      <c r="R1767" s="57"/>
      <c r="S1767" s="57"/>
      <c r="T1767" s="57"/>
      <c r="U1767" s="57"/>
      <c r="V1767" s="57"/>
      <c r="W1767" s="57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</row>
    <row r="1768" spans="1:36" ht="11.25" customHeight="1" x14ac:dyDescent="0.2">
      <c r="A1768" s="53" t="s">
        <v>21</v>
      </c>
      <c r="B1768" s="53" t="s">
        <v>22</v>
      </c>
      <c r="C1768" s="53" t="s">
        <v>23</v>
      </c>
      <c r="D1768" s="53" t="s">
        <v>24</v>
      </c>
      <c r="E1768" s="53" t="s">
        <v>24</v>
      </c>
      <c r="F1768" s="53" t="s">
        <v>25</v>
      </c>
      <c r="G1768" s="53" t="s">
        <v>25</v>
      </c>
      <c r="H1768" s="53" t="s">
        <v>25</v>
      </c>
      <c r="I1768" s="73">
        <v>43891</v>
      </c>
      <c r="J1768" s="74">
        <f>EFEITO!$J$1768*EFEITO!$Y$1768</f>
        <v>0</v>
      </c>
      <c r="K1768" s="74">
        <f ca="1">EFEITO!$L$1768*EFEITO!$Z$1768</f>
        <v>50848342.718540803</v>
      </c>
      <c r="L1768" s="74">
        <f>EFEITO!$N$1768*EFEITO!$AA$1768</f>
        <v>45430278.789283931</v>
      </c>
      <c r="M1768" s="74">
        <f>$J$1768-EFEITO!$K$1768*EFEITO!$Y$1768</f>
        <v>0</v>
      </c>
      <c r="N1768" s="74">
        <f ca="1">$K$1768-EFEITO!$M$1768*EFEITO!$Z$1768</f>
        <v>0</v>
      </c>
      <c r="O1768" s="74">
        <f>$L$1768-EFEITO!$O$1768*EFEITO!$AA$1768</f>
        <v>0</v>
      </c>
      <c r="P1768" s="57"/>
      <c r="Q1768" s="57"/>
      <c r="R1768" s="57"/>
      <c r="S1768" s="57"/>
      <c r="T1768" s="57"/>
      <c r="U1768" s="57"/>
      <c r="V1768" s="57"/>
      <c r="W1768" s="57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</row>
    <row r="1769" spans="1:36" ht="11.25" customHeight="1" x14ac:dyDescent="0.2">
      <c r="A1769" s="53" t="s">
        <v>27</v>
      </c>
      <c r="B1769" s="53" t="s">
        <v>22</v>
      </c>
      <c r="C1769" s="53" t="s">
        <v>23</v>
      </c>
      <c r="D1769" s="53" t="s">
        <v>24</v>
      </c>
      <c r="E1769" s="53" t="s">
        <v>24</v>
      </c>
      <c r="F1769" s="53" t="s">
        <v>25</v>
      </c>
      <c r="G1769" s="53" t="s">
        <v>25</v>
      </c>
      <c r="H1769" s="53" t="s">
        <v>25</v>
      </c>
      <c r="I1769" s="73">
        <v>43891</v>
      </c>
      <c r="J1769" s="74">
        <f>EFEITO!$J$1769*EFEITO!$Y$1769</f>
        <v>0</v>
      </c>
      <c r="K1769" s="74">
        <f ca="1">EFEITO!$L$1769*EFEITO!$Z$1769</f>
        <v>35415.507770362114</v>
      </c>
      <c r="L1769" s="74">
        <f>EFEITO!$N$1769*EFEITO!$AA$1769</f>
        <v>31641.864915391561</v>
      </c>
      <c r="M1769" s="74">
        <f>$J$1769-EFEITO!$K$1769*EFEITO!$Y$1769</f>
        <v>0</v>
      </c>
      <c r="N1769" s="74">
        <f ca="1">$K$1769-EFEITO!$M$1769*EFEITO!$Z$1769</f>
        <v>0</v>
      </c>
      <c r="O1769" s="74">
        <f>$L$1769-EFEITO!$O$1769*EFEITO!$AA$1769</f>
        <v>0</v>
      </c>
      <c r="P1769" s="57"/>
      <c r="Q1769" s="57"/>
      <c r="R1769" s="57"/>
      <c r="S1769" s="57"/>
      <c r="T1769" s="57"/>
      <c r="U1769" s="57"/>
      <c r="V1769" s="57"/>
      <c r="W1769" s="57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</row>
    <row r="1770" spans="1:36" ht="11.25" customHeight="1" x14ac:dyDescent="0.2">
      <c r="A1770" s="53" t="s">
        <v>28</v>
      </c>
      <c r="B1770" s="53" t="s">
        <v>22</v>
      </c>
      <c r="C1770" s="53" t="s">
        <v>23</v>
      </c>
      <c r="D1770" s="53" t="s">
        <v>24</v>
      </c>
      <c r="E1770" s="53" t="s">
        <v>24</v>
      </c>
      <c r="F1770" s="53" t="s">
        <v>25</v>
      </c>
      <c r="G1770" s="53" t="s">
        <v>25</v>
      </c>
      <c r="H1770" s="53" t="s">
        <v>25</v>
      </c>
      <c r="I1770" s="73">
        <v>43891</v>
      </c>
      <c r="J1770" s="74">
        <f>EFEITO!$J$1770*EFEITO!$Y$1770</f>
        <v>0</v>
      </c>
      <c r="K1770" s="74">
        <f ca="1">EFEITO!$L$1770*EFEITO!$Z$1770</f>
        <v>110147.65578818612</v>
      </c>
      <c r="L1770" s="74">
        <f>EFEITO!$N$1770*EFEITO!$AA$1770</f>
        <v>98411.048284151053</v>
      </c>
      <c r="M1770" s="74">
        <f>$J$1770-EFEITO!$K$1770*EFEITO!$Y$1770</f>
        <v>0</v>
      </c>
      <c r="N1770" s="74">
        <f ca="1">$K$1770-EFEITO!$M$1770*EFEITO!$Z$1770</f>
        <v>0</v>
      </c>
      <c r="O1770" s="74">
        <f>$L$1770-EFEITO!$O$1770*EFEITO!$AA$1770</f>
        <v>0</v>
      </c>
      <c r="P1770" s="57"/>
      <c r="Q1770" s="57"/>
      <c r="R1770" s="57"/>
      <c r="S1770" s="57"/>
      <c r="T1770" s="57"/>
      <c r="U1770" s="57"/>
      <c r="V1770" s="57"/>
      <c r="W1770" s="57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</row>
    <row r="1771" spans="1:36" ht="11.25" customHeight="1" x14ac:dyDescent="0.2">
      <c r="A1771" s="53" t="s">
        <v>28</v>
      </c>
      <c r="B1771" s="53" t="s">
        <v>22</v>
      </c>
      <c r="C1771" s="53" t="s">
        <v>23</v>
      </c>
      <c r="D1771" s="53" t="s">
        <v>24</v>
      </c>
      <c r="E1771" s="53" t="s">
        <v>24</v>
      </c>
      <c r="F1771" s="53" t="s">
        <v>25</v>
      </c>
      <c r="G1771" s="53" t="s">
        <v>25</v>
      </c>
      <c r="H1771" s="53" t="s">
        <v>25</v>
      </c>
      <c r="I1771" s="73">
        <v>43891</v>
      </c>
      <c r="J1771" s="74">
        <f>EFEITO!$J$1771*EFEITO!$Y$1771</f>
        <v>0</v>
      </c>
      <c r="K1771" s="74">
        <f ca="1">EFEITO!$L$1771*EFEITO!$Z$1771</f>
        <v>218.04364392180813</v>
      </c>
      <c r="L1771" s="74">
        <f>EFEITO!$N$1771*EFEITO!$AA$1771</f>
        <v>194.81035176368016</v>
      </c>
      <c r="M1771" s="74">
        <f>$J$1771-EFEITO!$K$1771*EFEITO!$Y$1771</f>
        <v>0</v>
      </c>
      <c r="N1771" s="74">
        <f ca="1">$K$1771-EFEITO!$M$1771*EFEITO!$Z$1771</f>
        <v>0</v>
      </c>
      <c r="O1771" s="74">
        <f>$L$1771-EFEITO!$O$1771*EFEITO!$AA$1771</f>
        <v>0</v>
      </c>
      <c r="P1771" s="57"/>
      <c r="Q1771" s="57"/>
      <c r="R1771" s="57"/>
      <c r="S1771" s="57"/>
      <c r="T1771" s="57"/>
      <c r="U1771" s="57"/>
      <c r="V1771" s="57"/>
      <c r="W1771" s="57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</row>
    <row r="1772" spans="1:36" ht="11.25" customHeight="1" x14ac:dyDescent="0.2">
      <c r="A1772" s="53" t="s">
        <v>21</v>
      </c>
      <c r="B1772" s="53" t="s">
        <v>22</v>
      </c>
      <c r="C1772" s="53" t="s">
        <v>23</v>
      </c>
      <c r="D1772" s="53" t="s">
        <v>24</v>
      </c>
      <c r="E1772" s="53" t="s">
        <v>24</v>
      </c>
      <c r="F1772" s="53" t="s">
        <v>25</v>
      </c>
      <c r="G1772" s="53" t="s">
        <v>25</v>
      </c>
      <c r="H1772" s="53" t="s">
        <v>25</v>
      </c>
      <c r="I1772" s="73">
        <v>43922</v>
      </c>
      <c r="J1772" s="74">
        <f>EFEITO!$J$1772*EFEITO!$Y$1772</f>
        <v>0</v>
      </c>
      <c r="K1772" s="74">
        <f ca="1">EFEITO!$L$1772*EFEITO!$Z$1772</f>
        <v>55244046.301906832</v>
      </c>
      <c r="L1772" s="74">
        <f>EFEITO!$N$1772*EFEITO!$AA$1772</f>
        <v>49357605.199364886</v>
      </c>
      <c r="M1772" s="74">
        <f>$J$1772-EFEITO!$K$1772*EFEITO!$Y$1772</f>
        <v>0</v>
      </c>
      <c r="N1772" s="74">
        <f ca="1">$K$1772-EFEITO!$M$1772*EFEITO!$Z$1772</f>
        <v>0</v>
      </c>
      <c r="O1772" s="74">
        <f>$L$1772-EFEITO!$O$1772*EFEITO!$AA$1772</f>
        <v>0</v>
      </c>
      <c r="P1772" s="57"/>
      <c r="Q1772" s="57"/>
      <c r="R1772" s="57"/>
      <c r="S1772" s="57"/>
      <c r="T1772" s="57"/>
      <c r="U1772" s="57"/>
      <c r="V1772" s="57"/>
      <c r="W1772" s="57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</row>
    <row r="1773" spans="1:36" ht="11.25" customHeight="1" x14ac:dyDescent="0.2">
      <c r="A1773" s="53" t="s">
        <v>27</v>
      </c>
      <c r="B1773" s="53" t="s">
        <v>22</v>
      </c>
      <c r="C1773" s="53" t="s">
        <v>23</v>
      </c>
      <c r="D1773" s="53" t="s">
        <v>24</v>
      </c>
      <c r="E1773" s="53" t="s">
        <v>24</v>
      </c>
      <c r="F1773" s="53" t="s">
        <v>25</v>
      </c>
      <c r="G1773" s="53" t="s">
        <v>25</v>
      </c>
      <c r="H1773" s="53" t="s">
        <v>25</v>
      </c>
      <c r="I1773" s="73">
        <v>43922</v>
      </c>
      <c r="J1773" s="74">
        <f>EFEITO!$J$1773*EFEITO!$Y$1773</f>
        <v>0</v>
      </c>
      <c r="K1773" s="74">
        <f ca="1">EFEITO!$L$1773*EFEITO!$Z$1773</f>
        <v>45913.955787869119</v>
      </c>
      <c r="L1773" s="74">
        <f>EFEITO!$N$1773*EFEITO!$AA$1773</f>
        <v>41021.667575434585</v>
      </c>
      <c r="M1773" s="74">
        <f>$J$1773-EFEITO!$K$1773*EFEITO!$Y$1773</f>
        <v>0</v>
      </c>
      <c r="N1773" s="74">
        <f ca="1">$K$1773-EFEITO!$M$1773*EFEITO!$Z$1773</f>
        <v>0</v>
      </c>
      <c r="O1773" s="74">
        <f>$L$1773-EFEITO!$O$1773*EFEITO!$AA$1773</f>
        <v>0</v>
      </c>
      <c r="P1773" s="57"/>
      <c r="Q1773" s="57"/>
      <c r="R1773" s="57"/>
      <c r="S1773" s="57"/>
      <c r="T1773" s="57"/>
      <c r="U1773" s="57"/>
      <c r="V1773" s="57"/>
      <c r="W1773" s="57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</row>
    <row r="1774" spans="1:36" ht="11.25" customHeight="1" x14ac:dyDescent="0.2">
      <c r="A1774" s="53" t="s">
        <v>28</v>
      </c>
      <c r="B1774" s="53" t="s">
        <v>22</v>
      </c>
      <c r="C1774" s="53" t="s">
        <v>23</v>
      </c>
      <c r="D1774" s="53" t="s">
        <v>24</v>
      </c>
      <c r="E1774" s="53" t="s">
        <v>24</v>
      </c>
      <c r="F1774" s="53" t="s">
        <v>25</v>
      </c>
      <c r="G1774" s="53" t="s">
        <v>25</v>
      </c>
      <c r="H1774" s="53" t="s">
        <v>25</v>
      </c>
      <c r="I1774" s="73">
        <v>43922</v>
      </c>
      <c r="J1774" s="74">
        <f>EFEITO!$J$1774*EFEITO!$Y$1774</f>
        <v>0</v>
      </c>
      <c r="K1774" s="74">
        <f ca="1">EFEITO!$L$1774*EFEITO!$Z$1774</f>
        <v>123824.32100949106</v>
      </c>
      <c r="L1774" s="74">
        <f>EFEITO!$N$1774*EFEITO!$AA$1774</f>
        <v>110630.4182909739</v>
      </c>
      <c r="M1774" s="74">
        <f>$J$1774-EFEITO!$K$1774*EFEITO!$Y$1774</f>
        <v>0</v>
      </c>
      <c r="N1774" s="74">
        <f ca="1">$K$1774-EFEITO!$M$1774*EFEITO!$Z$1774</f>
        <v>0</v>
      </c>
      <c r="O1774" s="74">
        <f>$L$1774-EFEITO!$O$1774*EFEITO!$AA$1774</f>
        <v>0</v>
      </c>
      <c r="P1774" s="57"/>
      <c r="Q1774" s="57"/>
      <c r="R1774" s="57"/>
      <c r="S1774" s="57"/>
      <c r="T1774" s="57"/>
      <c r="U1774" s="57"/>
      <c r="V1774" s="57"/>
      <c r="W1774" s="57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</row>
    <row r="1775" spans="1:36" ht="11.25" customHeight="1" x14ac:dyDescent="0.2">
      <c r="A1775" s="53" t="s">
        <v>28</v>
      </c>
      <c r="B1775" s="53" t="s">
        <v>22</v>
      </c>
      <c r="C1775" s="53" t="s">
        <v>23</v>
      </c>
      <c r="D1775" s="53" t="s">
        <v>24</v>
      </c>
      <c r="E1775" s="53" t="s">
        <v>24</v>
      </c>
      <c r="F1775" s="53" t="s">
        <v>25</v>
      </c>
      <c r="G1775" s="53" t="s">
        <v>25</v>
      </c>
      <c r="H1775" s="53" t="s">
        <v>25</v>
      </c>
      <c r="I1775" s="73">
        <v>43922</v>
      </c>
      <c r="J1775" s="74">
        <f>EFEITO!$J$1775*EFEITO!$Y$1775</f>
        <v>0</v>
      </c>
      <c r="K1775" s="74">
        <f ca="1">EFEITO!$L$1775*EFEITO!$Z$1775</f>
        <v>285.74048598730712</v>
      </c>
      <c r="L1775" s="74">
        <f>EFEITO!$N$1775*EFEITO!$AA$1775</f>
        <v>255.29386496711697</v>
      </c>
      <c r="M1775" s="74">
        <f>$J$1775-EFEITO!$K$1775*EFEITO!$Y$1775</f>
        <v>0</v>
      </c>
      <c r="N1775" s="74">
        <f ca="1">$K$1775-EFEITO!$M$1775*EFEITO!$Z$1775</f>
        <v>0</v>
      </c>
      <c r="O1775" s="74">
        <f>$L$1775-EFEITO!$O$1775*EFEITO!$AA$1775</f>
        <v>0</v>
      </c>
      <c r="P1775" s="57"/>
      <c r="Q1775" s="57"/>
      <c r="R1775" s="57"/>
      <c r="S1775" s="57"/>
      <c r="T1775" s="57"/>
      <c r="U1775" s="57"/>
      <c r="V1775" s="57"/>
      <c r="W1775" s="57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</row>
    <row r="1776" spans="1:36" ht="11.25" customHeight="1" x14ac:dyDescent="0.2">
      <c r="A1776" s="53" t="s">
        <v>21</v>
      </c>
      <c r="B1776" s="53" t="s">
        <v>22</v>
      </c>
      <c r="C1776" s="53" t="s">
        <v>23</v>
      </c>
      <c r="D1776" s="53" t="s">
        <v>24</v>
      </c>
      <c r="E1776" s="53" t="s">
        <v>24</v>
      </c>
      <c r="F1776" s="53" t="s">
        <v>25</v>
      </c>
      <c r="G1776" s="53" t="s">
        <v>25</v>
      </c>
      <c r="H1776" s="53" t="s">
        <v>25</v>
      </c>
      <c r="I1776" s="73">
        <v>43952</v>
      </c>
      <c r="J1776" s="74">
        <f>EFEITO!$J$1776*EFEITO!$Y$1776</f>
        <v>0</v>
      </c>
      <c r="K1776" s="74">
        <f ca="1">EFEITO!$L$1776*EFEITO!$Z$1776</f>
        <v>54148769.034759022</v>
      </c>
      <c r="L1776" s="74">
        <f>EFEITO!$N$1776*EFEITO!$AA$1776</f>
        <v>48379033.451736495</v>
      </c>
      <c r="M1776" s="74">
        <f>$J$1776-EFEITO!$K$1776*EFEITO!$Y$1776</f>
        <v>0</v>
      </c>
      <c r="N1776" s="74">
        <f ca="1">$K$1776-EFEITO!$M$1776*EFEITO!$Z$1776</f>
        <v>0</v>
      </c>
      <c r="O1776" s="74">
        <f>$L$1776-EFEITO!$O$1776*EFEITO!$AA$1776</f>
        <v>0</v>
      </c>
      <c r="P1776" s="57"/>
      <c r="Q1776" s="57"/>
      <c r="R1776" s="57"/>
      <c r="S1776" s="57"/>
      <c r="T1776" s="57"/>
      <c r="U1776" s="57"/>
      <c r="V1776" s="57"/>
      <c r="W1776" s="57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</row>
    <row r="1777" spans="1:36" ht="11.25" customHeight="1" x14ac:dyDescent="0.2">
      <c r="A1777" s="53" t="s">
        <v>27</v>
      </c>
      <c r="B1777" s="53" t="s">
        <v>22</v>
      </c>
      <c r="C1777" s="53" t="s">
        <v>23</v>
      </c>
      <c r="D1777" s="53" t="s">
        <v>24</v>
      </c>
      <c r="E1777" s="53" t="s">
        <v>24</v>
      </c>
      <c r="F1777" s="53" t="s">
        <v>25</v>
      </c>
      <c r="G1777" s="53" t="s">
        <v>25</v>
      </c>
      <c r="H1777" s="53" t="s">
        <v>25</v>
      </c>
      <c r="I1777" s="73">
        <v>43952</v>
      </c>
      <c r="J1777" s="74">
        <f>EFEITO!$J$1777*EFEITO!$Y$1777</f>
        <v>0</v>
      </c>
      <c r="K1777" s="74">
        <f ca="1">EFEITO!$L$1777*EFEITO!$Z$1777</f>
        <v>32788.380923458833</v>
      </c>
      <c r="L1777" s="74">
        <f>EFEITO!$N$1777*EFEITO!$AA$1777</f>
        <v>29294.667372882283</v>
      </c>
      <c r="M1777" s="74">
        <f>$J$1777-EFEITO!$K$1777*EFEITO!$Y$1777</f>
        <v>0</v>
      </c>
      <c r="N1777" s="74">
        <f ca="1">$K$1777-EFEITO!$M$1777*EFEITO!$Z$1777</f>
        <v>0</v>
      </c>
      <c r="O1777" s="74">
        <f>$L$1777-EFEITO!$O$1777*EFEITO!$AA$1777</f>
        <v>0</v>
      </c>
      <c r="P1777" s="57"/>
      <c r="Q1777" s="57"/>
      <c r="R1777" s="57"/>
      <c r="S1777" s="57"/>
      <c r="T1777" s="57"/>
      <c r="U1777" s="57"/>
      <c r="V1777" s="57"/>
      <c r="W1777" s="57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</row>
    <row r="1778" spans="1:36" ht="11.25" customHeight="1" x14ac:dyDescent="0.2">
      <c r="A1778" s="53" t="s">
        <v>28</v>
      </c>
      <c r="B1778" s="53" t="s">
        <v>22</v>
      </c>
      <c r="C1778" s="53" t="s">
        <v>23</v>
      </c>
      <c r="D1778" s="53" t="s">
        <v>24</v>
      </c>
      <c r="E1778" s="53" t="s">
        <v>24</v>
      </c>
      <c r="F1778" s="53" t="s">
        <v>25</v>
      </c>
      <c r="G1778" s="53" t="s">
        <v>25</v>
      </c>
      <c r="H1778" s="53" t="s">
        <v>25</v>
      </c>
      <c r="I1778" s="73">
        <v>43952</v>
      </c>
      <c r="J1778" s="74">
        <f>EFEITO!$J$1778*EFEITO!$Y$1778</f>
        <v>0</v>
      </c>
      <c r="K1778" s="74">
        <f ca="1">EFEITO!$L$1778*EFEITO!$Z$1778</f>
        <v>124983.05169576879</v>
      </c>
      <c r="L1778" s="74">
        <f>EFEITO!$N$1778*EFEITO!$AA$1778</f>
        <v>111665.68228002229</v>
      </c>
      <c r="M1778" s="74">
        <f>$J$1778-EFEITO!$K$1778*EFEITO!$Y$1778</f>
        <v>0</v>
      </c>
      <c r="N1778" s="74">
        <f ca="1">$K$1778-EFEITO!$M$1778*EFEITO!$Z$1778</f>
        <v>0</v>
      </c>
      <c r="O1778" s="74">
        <f>$L$1778-EFEITO!$O$1778*EFEITO!$AA$1778</f>
        <v>0</v>
      </c>
      <c r="P1778" s="57"/>
      <c r="Q1778" s="57"/>
      <c r="R1778" s="57"/>
      <c r="S1778" s="57"/>
      <c r="T1778" s="57"/>
      <c r="U1778" s="57"/>
      <c r="V1778" s="57"/>
      <c r="W1778" s="57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</row>
    <row r="1779" spans="1:36" ht="11.25" customHeight="1" x14ac:dyDescent="0.2">
      <c r="A1779" s="53" t="s">
        <v>21</v>
      </c>
      <c r="B1779" s="53" t="s">
        <v>22</v>
      </c>
      <c r="C1779" s="53" t="s">
        <v>23</v>
      </c>
      <c r="D1779" s="53" t="s">
        <v>24</v>
      </c>
      <c r="E1779" s="53" t="s">
        <v>24</v>
      </c>
      <c r="F1779" s="53" t="s">
        <v>25</v>
      </c>
      <c r="G1779" s="53" t="s">
        <v>25</v>
      </c>
      <c r="H1779" s="53" t="s">
        <v>25</v>
      </c>
      <c r="I1779" s="73">
        <v>43983</v>
      </c>
      <c r="J1779" s="74">
        <f>EFEITO!$J$1779*EFEITO!$Y$1779</f>
        <v>0</v>
      </c>
      <c r="K1779" s="74">
        <f ca="1">EFEITO!$L$1779*EFEITO!$Z$1779</f>
        <v>49212844.107960574</v>
      </c>
      <c r="L1779" s="74">
        <f>EFEITO!$N$1779*EFEITO!$AA$1779</f>
        <v>43969048.120480753</v>
      </c>
      <c r="M1779" s="74">
        <f>$J$1779-EFEITO!$K$1779*EFEITO!$Y$1779</f>
        <v>0</v>
      </c>
      <c r="N1779" s="74">
        <f ca="1">$K$1779-EFEITO!$M$1779*EFEITO!$Z$1779</f>
        <v>0</v>
      </c>
      <c r="O1779" s="74">
        <f>$L$1779-EFEITO!$O$1779*EFEITO!$AA$1779</f>
        <v>0</v>
      </c>
      <c r="P1779" s="57"/>
      <c r="Q1779" s="57"/>
      <c r="R1779" s="57"/>
      <c r="S1779" s="57"/>
      <c r="T1779" s="57"/>
      <c r="U1779" s="57"/>
      <c r="V1779" s="57"/>
      <c r="W1779" s="57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</row>
    <row r="1780" spans="1:36" ht="11.25" customHeight="1" x14ac:dyDescent="0.2">
      <c r="A1780" s="53" t="s">
        <v>27</v>
      </c>
      <c r="B1780" s="53" t="s">
        <v>22</v>
      </c>
      <c r="C1780" s="53" t="s">
        <v>23</v>
      </c>
      <c r="D1780" s="53" t="s">
        <v>24</v>
      </c>
      <c r="E1780" s="53" t="s">
        <v>24</v>
      </c>
      <c r="F1780" s="53" t="s">
        <v>25</v>
      </c>
      <c r="G1780" s="53" t="s">
        <v>25</v>
      </c>
      <c r="H1780" s="53" t="s">
        <v>25</v>
      </c>
      <c r="I1780" s="73">
        <v>43983</v>
      </c>
      <c r="J1780" s="74">
        <f>EFEITO!$J$1780*EFEITO!$Y$1780</f>
        <v>0</v>
      </c>
      <c r="K1780" s="74">
        <f ca="1">EFEITO!$L$1780*EFEITO!$Z$1780</f>
        <v>29333.395104308784</v>
      </c>
      <c r="L1780" s="74">
        <f>EFEITO!$N$1780*EFEITO!$AA$1780</f>
        <v>26207.822048427359</v>
      </c>
      <c r="M1780" s="74">
        <f>$J$1780-EFEITO!$K$1780*EFEITO!$Y$1780</f>
        <v>0</v>
      </c>
      <c r="N1780" s="74">
        <f ca="1">$K$1780-EFEITO!$M$1780*EFEITO!$Z$1780</f>
        <v>0</v>
      </c>
      <c r="O1780" s="74">
        <f>$L$1780-EFEITO!$O$1780*EFEITO!$AA$1780</f>
        <v>0</v>
      </c>
      <c r="P1780" s="57"/>
      <c r="Q1780" s="57"/>
      <c r="R1780" s="57"/>
      <c r="S1780" s="57"/>
      <c r="T1780" s="57"/>
      <c r="U1780" s="57"/>
      <c r="V1780" s="57"/>
      <c r="W1780" s="57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</row>
    <row r="1781" spans="1:36" ht="11.25" customHeight="1" x14ac:dyDescent="0.2">
      <c r="A1781" s="53" t="s">
        <v>28</v>
      </c>
      <c r="B1781" s="53" t="s">
        <v>22</v>
      </c>
      <c r="C1781" s="53" t="s">
        <v>23</v>
      </c>
      <c r="D1781" s="53" t="s">
        <v>24</v>
      </c>
      <c r="E1781" s="53" t="s">
        <v>24</v>
      </c>
      <c r="F1781" s="53" t="s">
        <v>25</v>
      </c>
      <c r="G1781" s="53" t="s">
        <v>25</v>
      </c>
      <c r="H1781" s="53" t="s">
        <v>25</v>
      </c>
      <c r="I1781" s="73">
        <v>43983</v>
      </c>
      <c r="J1781" s="74">
        <f>EFEITO!$J$1781*EFEITO!$Y$1781</f>
        <v>0</v>
      </c>
      <c r="K1781" s="74">
        <f ca="1">EFEITO!$L$1781*EFEITO!$Z$1781</f>
        <v>120143.95092499041</v>
      </c>
      <c r="L1781" s="74">
        <f>EFEITO!$N$1781*EFEITO!$AA$1781</f>
        <v>107342.20416151638</v>
      </c>
      <c r="M1781" s="74">
        <f>$J$1781-EFEITO!$K$1781*EFEITO!$Y$1781</f>
        <v>0</v>
      </c>
      <c r="N1781" s="74">
        <f ca="1">$K$1781-EFEITO!$M$1781*EFEITO!$Z$1781</f>
        <v>0</v>
      </c>
      <c r="O1781" s="74">
        <f>$L$1781-EFEITO!$O$1781*EFEITO!$AA$1781</f>
        <v>0</v>
      </c>
      <c r="P1781" s="57"/>
      <c r="Q1781" s="57"/>
      <c r="R1781" s="57"/>
      <c r="S1781" s="57"/>
      <c r="T1781" s="57"/>
      <c r="U1781" s="57"/>
      <c r="V1781" s="57"/>
      <c r="W1781" s="57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</row>
    <row r="1782" spans="1:36" ht="11.25" customHeight="1" x14ac:dyDescent="0.2">
      <c r="A1782" s="53" t="s">
        <v>28</v>
      </c>
      <c r="B1782" s="53" t="s">
        <v>22</v>
      </c>
      <c r="C1782" s="53" t="s">
        <v>23</v>
      </c>
      <c r="D1782" s="53" t="s">
        <v>24</v>
      </c>
      <c r="E1782" s="53" t="s">
        <v>24</v>
      </c>
      <c r="F1782" s="53" t="s">
        <v>25</v>
      </c>
      <c r="G1782" s="53" t="s">
        <v>25</v>
      </c>
      <c r="H1782" s="53" t="s">
        <v>25</v>
      </c>
      <c r="I1782" s="73">
        <v>43983</v>
      </c>
      <c r="J1782" s="74">
        <f>EFEITO!$J$1782*EFEITO!$Y$1782</f>
        <v>0</v>
      </c>
      <c r="K1782" s="74">
        <f ca="1">EFEITO!$L$1782*EFEITO!$Z$1782</f>
        <v>816.44022780198236</v>
      </c>
      <c r="L1782" s="74">
        <f>EFEITO!$N$1782*EFEITO!$AA$1782</f>
        <v>729.44574357397948</v>
      </c>
      <c r="M1782" s="74">
        <f>$J$1782-EFEITO!$K$1782*EFEITO!$Y$1782</f>
        <v>0</v>
      </c>
      <c r="N1782" s="74">
        <f ca="1">$K$1782-EFEITO!$M$1782*EFEITO!$Z$1782</f>
        <v>0</v>
      </c>
      <c r="O1782" s="74">
        <f>$L$1782-EFEITO!$O$1782*EFEITO!$AA$1782</f>
        <v>0</v>
      </c>
      <c r="P1782" s="57"/>
      <c r="Q1782" s="57"/>
      <c r="R1782" s="57"/>
      <c r="S1782" s="57"/>
      <c r="T1782" s="57"/>
      <c r="U1782" s="57"/>
      <c r="V1782" s="57"/>
      <c r="W1782" s="57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</row>
    <row r="1783" spans="1:36" ht="11.25" customHeight="1" x14ac:dyDescent="0.2">
      <c r="A1783" s="53" t="s">
        <v>21</v>
      </c>
      <c r="B1783" s="53" t="s">
        <v>22</v>
      </c>
      <c r="C1783" s="53" t="s">
        <v>23</v>
      </c>
      <c r="D1783" s="53" t="s">
        <v>24</v>
      </c>
      <c r="E1783" s="53" t="s">
        <v>24</v>
      </c>
      <c r="F1783" s="53" t="s">
        <v>25</v>
      </c>
      <c r="G1783" s="53" t="s">
        <v>25</v>
      </c>
      <c r="H1783" s="53" t="s">
        <v>25</v>
      </c>
      <c r="I1783" s="73">
        <v>44013</v>
      </c>
      <c r="J1783" s="74">
        <f>EFEITO!$J$1783*EFEITO!$Y$1783</f>
        <v>0</v>
      </c>
      <c r="K1783" s="74">
        <f ca="1">EFEITO!$L$1783*EFEITO!$Z$1783</f>
        <v>50218522.021823451</v>
      </c>
      <c r="L1783" s="74">
        <f>EFEITO!$N$1783*EFEITO!$AA$1783</f>
        <v>44867567.630780488</v>
      </c>
      <c r="M1783" s="74">
        <f>$J$1783-EFEITO!$K$1783*EFEITO!$Y$1783</f>
        <v>0</v>
      </c>
      <c r="N1783" s="74">
        <f ca="1">$K$1783-EFEITO!$M$1783*EFEITO!$Z$1783</f>
        <v>0</v>
      </c>
      <c r="O1783" s="74">
        <f>$L$1783-EFEITO!$O$1783*EFEITO!$AA$1783</f>
        <v>0</v>
      </c>
      <c r="P1783" s="57"/>
      <c r="Q1783" s="57"/>
      <c r="R1783" s="57"/>
      <c r="S1783" s="57"/>
      <c r="T1783" s="57"/>
      <c r="U1783" s="57"/>
      <c r="V1783" s="57"/>
      <c r="W1783" s="57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</row>
    <row r="1784" spans="1:36" ht="11.25" customHeight="1" x14ac:dyDescent="0.2">
      <c r="A1784" s="53" t="s">
        <v>27</v>
      </c>
      <c r="B1784" s="53" t="s">
        <v>22</v>
      </c>
      <c r="C1784" s="53" t="s">
        <v>23</v>
      </c>
      <c r="D1784" s="53" t="s">
        <v>24</v>
      </c>
      <c r="E1784" s="53" t="s">
        <v>24</v>
      </c>
      <c r="F1784" s="53" t="s">
        <v>25</v>
      </c>
      <c r="G1784" s="53" t="s">
        <v>25</v>
      </c>
      <c r="H1784" s="53" t="s">
        <v>25</v>
      </c>
      <c r="I1784" s="73">
        <v>44013</v>
      </c>
      <c r="J1784" s="74">
        <f>EFEITO!$J$1784*EFEITO!$Y$1784</f>
        <v>0</v>
      </c>
      <c r="K1784" s="74">
        <f ca="1">EFEITO!$L$1784*EFEITO!$Z$1784</f>
        <v>41831.754648859212</v>
      </c>
      <c r="L1784" s="74">
        <f>EFEITO!$N$1784*EFEITO!$AA$1784</f>
        <v>37374.438857564695</v>
      </c>
      <c r="M1784" s="74">
        <f>$J$1784-EFEITO!$K$1784*EFEITO!$Y$1784</f>
        <v>0</v>
      </c>
      <c r="N1784" s="74">
        <f ca="1">$K$1784-EFEITO!$M$1784*EFEITO!$Z$1784</f>
        <v>0</v>
      </c>
      <c r="O1784" s="74">
        <f>$L$1784-EFEITO!$O$1784*EFEITO!$AA$1784</f>
        <v>0</v>
      </c>
      <c r="P1784" s="57"/>
      <c r="Q1784" s="57"/>
      <c r="R1784" s="57"/>
      <c r="S1784" s="57"/>
      <c r="T1784" s="57"/>
      <c r="U1784" s="57"/>
      <c r="V1784" s="57"/>
      <c r="W1784" s="57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</row>
    <row r="1785" spans="1:36" ht="11.25" customHeight="1" x14ac:dyDescent="0.2">
      <c r="A1785" s="53" t="s">
        <v>28</v>
      </c>
      <c r="B1785" s="53" t="s">
        <v>22</v>
      </c>
      <c r="C1785" s="53" t="s">
        <v>23</v>
      </c>
      <c r="D1785" s="53" t="s">
        <v>24</v>
      </c>
      <c r="E1785" s="53" t="s">
        <v>24</v>
      </c>
      <c r="F1785" s="53" t="s">
        <v>25</v>
      </c>
      <c r="G1785" s="53" t="s">
        <v>25</v>
      </c>
      <c r="H1785" s="53" t="s">
        <v>25</v>
      </c>
      <c r="I1785" s="73">
        <v>44013</v>
      </c>
      <c r="J1785" s="74">
        <f>EFEITO!$J$1785*EFEITO!$Y$1785</f>
        <v>0</v>
      </c>
      <c r="K1785" s="74">
        <f ca="1">EFEITO!$L$1785*EFEITO!$Z$1785</f>
        <v>116196.32784550831</v>
      </c>
      <c r="L1785" s="74">
        <f>EFEITO!$N$1785*EFEITO!$AA$1785</f>
        <v>103815.21375302681</v>
      </c>
      <c r="M1785" s="74">
        <f>$J$1785-EFEITO!$K$1785*EFEITO!$Y$1785</f>
        <v>0</v>
      </c>
      <c r="N1785" s="74">
        <f ca="1">$K$1785-EFEITO!$M$1785*EFEITO!$Z$1785</f>
        <v>0</v>
      </c>
      <c r="O1785" s="74">
        <f>$L$1785-EFEITO!$O$1785*EFEITO!$AA$1785</f>
        <v>0</v>
      </c>
      <c r="P1785" s="57"/>
      <c r="Q1785" s="57"/>
      <c r="R1785" s="57"/>
      <c r="S1785" s="57"/>
      <c r="T1785" s="57"/>
      <c r="U1785" s="57"/>
      <c r="V1785" s="57"/>
      <c r="W1785" s="57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</row>
    <row r="1786" spans="1:36" ht="11.25" customHeight="1" x14ac:dyDescent="0.2">
      <c r="A1786" s="53" t="s">
        <v>28</v>
      </c>
      <c r="B1786" s="53" t="s">
        <v>22</v>
      </c>
      <c r="C1786" s="53" t="s">
        <v>23</v>
      </c>
      <c r="D1786" s="53" t="s">
        <v>24</v>
      </c>
      <c r="E1786" s="53" t="s">
        <v>24</v>
      </c>
      <c r="F1786" s="53" t="s">
        <v>25</v>
      </c>
      <c r="G1786" s="53" t="s">
        <v>25</v>
      </c>
      <c r="H1786" s="53" t="s">
        <v>25</v>
      </c>
      <c r="I1786" s="73">
        <v>44013</v>
      </c>
      <c r="J1786" s="74">
        <f>EFEITO!$J$1786*EFEITO!$Y$1786</f>
        <v>0</v>
      </c>
      <c r="K1786" s="74">
        <f ca="1">EFEITO!$L$1786*EFEITO!$Z$1786</f>
        <v>713.67152779893559</v>
      </c>
      <c r="L1786" s="74">
        <f>EFEITO!$N$1786*EFEITO!$AA$1786</f>
        <v>637.62739822900301</v>
      </c>
      <c r="M1786" s="74">
        <f>$J$1786-EFEITO!$K$1786*EFEITO!$Y$1786</f>
        <v>0</v>
      </c>
      <c r="N1786" s="74">
        <f ca="1">$K$1786-EFEITO!$M$1786*EFEITO!$Z$1786</f>
        <v>0</v>
      </c>
      <c r="O1786" s="74">
        <f>$L$1786-EFEITO!$O$1786*EFEITO!$AA$1786</f>
        <v>0</v>
      </c>
      <c r="P1786" s="57"/>
      <c r="Q1786" s="57"/>
      <c r="R1786" s="57"/>
      <c r="S1786" s="57"/>
      <c r="T1786" s="57"/>
      <c r="U1786" s="57"/>
      <c r="V1786" s="57"/>
      <c r="W1786" s="57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</row>
    <row r="1787" spans="1:36" ht="11.25" customHeight="1" x14ac:dyDescent="0.2">
      <c r="A1787" s="53" t="s">
        <v>21</v>
      </c>
      <c r="B1787" s="53" t="s">
        <v>22</v>
      </c>
      <c r="C1787" s="53" t="s">
        <v>23</v>
      </c>
      <c r="D1787" s="53" t="s">
        <v>24</v>
      </c>
      <c r="E1787" s="53" t="s">
        <v>24</v>
      </c>
      <c r="F1787" s="53" t="s">
        <v>25</v>
      </c>
      <c r="G1787" s="53" t="s">
        <v>25</v>
      </c>
      <c r="H1787" s="53" t="s">
        <v>25</v>
      </c>
      <c r="I1787" s="73">
        <v>44044</v>
      </c>
      <c r="J1787" s="74">
        <f>EFEITO!$J$1787*EFEITO!$Y$1787</f>
        <v>0</v>
      </c>
      <c r="K1787" s="74">
        <f ca="1">EFEITO!$L$1787*EFEITO!$Z$1787</f>
        <v>54619606.008821927</v>
      </c>
      <c r="L1787" s="74">
        <f>EFEITO!$N$1787*EFEITO!$AA$1787</f>
        <v>48799701.14417991</v>
      </c>
      <c r="M1787" s="74">
        <f>$J$1787-EFEITO!$K$1787*EFEITO!$Y$1787</f>
        <v>0</v>
      </c>
      <c r="N1787" s="74">
        <f ca="1">$K$1787-EFEITO!$M$1787*EFEITO!$Z$1787</f>
        <v>0</v>
      </c>
      <c r="O1787" s="74">
        <f>$L$1787-EFEITO!$O$1787*EFEITO!$AA$1787</f>
        <v>0</v>
      </c>
      <c r="P1787" s="57"/>
      <c r="Q1787" s="57"/>
      <c r="R1787" s="57"/>
      <c r="S1787" s="57"/>
      <c r="T1787" s="57"/>
      <c r="U1787" s="57"/>
      <c r="V1787" s="57"/>
      <c r="W1787" s="57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</row>
    <row r="1788" spans="1:36" ht="11.25" customHeight="1" x14ac:dyDescent="0.2">
      <c r="A1788" s="53" t="s">
        <v>27</v>
      </c>
      <c r="B1788" s="53" t="s">
        <v>22</v>
      </c>
      <c r="C1788" s="53" t="s">
        <v>23</v>
      </c>
      <c r="D1788" s="53" t="s">
        <v>24</v>
      </c>
      <c r="E1788" s="53" t="s">
        <v>24</v>
      </c>
      <c r="F1788" s="53" t="s">
        <v>25</v>
      </c>
      <c r="G1788" s="53" t="s">
        <v>25</v>
      </c>
      <c r="H1788" s="53" t="s">
        <v>25</v>
      </c>
      <c r="I1788" s="73">
        <v>44044</v>
      </c>
      <c r="J1788" s="74">
        <f>EFEITO!$J$1788*EFEITO!$Y$1788</f>
        <v>0</v>
      </c>
      <c r="K1788" s="74">
        <f ca="1">EFEITO!$L$1788*EFEITO!$Z$1788</f>
        <v>32570.065404669291</v>
      </c>
      <c r="L1788" s="74">
        <f>EFEITO!$N$1788*EFEITO!$AA$1788</f>
        <v>29099.614115443084</v>
      </c>
      <c r="M1788" s="74">
        <f>$J$1788-EFEITO!$K$1788*EFEITO!$Y$1788</f>
        <v>0</v>
      </c>
      <c r="N1788" s="74">
        <f ca="1">$K$1788-EFEITO!$M$1788*EFEITO!$Z$1788</f>
        <v>0</v>
      </c>
      <c r="O1788" s="74">
        <f>$L$1788-EFEITO!$O$1788*EFEITO!$AA$1788</f>
        <v>0</v>
      </c>
      <c r="P1788" s="57"/>
      <c r="Q1788" s="57"/>
      <c r="R1788" s="57"/>
      <c r="S1788" s="57"/>
      <c r="T1788" s="57"/>
      <c r="U1788" s="57"/>
      <c r="V1788" s="57"/>
      <c r="W1788" s="57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</row>
    <row r="1789" spans="1:36" ht="11.25" customHeight="1" x14ac:dyDescent="0.2">
      <c r="A1789" s="53" t="s">
        <v>28</v>
      </c>
      <c r="B1789" s="53" t="s">
        <v>22</v>
      </c>
      <c r="C1789" s="53" t="s">
        <v>23</v>
      </c>
      <c r="D1789" s="53" t="s">
        <v>24</v>
      </c>
      <c r="E1789" s="53" t="s">
        <v>24</v>
      </c>
      <c r="F1789" s="53" t="s">
        <v>25</v>
      </c>
      <c r="G1789" s="53" t="s">
        <v>25</v>
      </c>
      <c r="H1789" s="53" t="s">
        <v>25</v>
      </c>
      <c r="I1789" s="73">
        <v>44044</v>
      </c>
      <c r="J1789" s="74">
        <f>EFEITO!$J$1789*EFEITO!$Y$1789</f>
        <v>0</v>
      </c>
      <c r="K1789" s="74">
        <f ca="1">EFEITO!$L$1789*EFEITO!$Z$1789</f>
        <v>115245.03768331077</v>
      </c>
      <c r="L1789" s="74">
        <f>EFEITO!$N$1789*EFEITO!$AA$1789</f>
        <v>102965.28679439698</v>
      </c>
      <c r="M1789" s="74">
        <f>$J$1789-EFEITO!$K$1789*EFEITO!$Y$1789</f>
        <v>0</v>
      </c>
      <c r="N1789" s="74">
        <f ca="1">$K$1789-EFEITO!$M$1789*EFEITO!$Z$1789</f>
        <v>0</v>
      </c>
      <c r="O1789" s="74">
        <f>$L$1789-EFEITO!$O$1789*EFEITO!$AA$1789</f>
        <v>0</v>
      </c>
      <c r="P1789" s="57"/>
      <c r="Q1789" s="57"/>
      <c r="R1789" s="57"/>
      <c r="S1789" s="57"/>
      <c r="T1789" s="57"/>
      <c r="U1789" s="57"/>
      <c r="V1789" s="57"/>
      <c r="W1789" s="57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</row>
    <row r="1790" spans="1:36" ht="11.25" customHeight="1" x14ac:dyDescent="0.2">
      <c r="A1790" s="53" t="s">
        <v>28</v>
      </c>
      <c r="B1790" s="53" t="s">
        <v>22</v>
      </c>
      <c r="C1790" s="53" t="s">
        <v>23</v>
      </c>
      <c r="D1790" s="53" t="s">
        <v>24</v>
      </c>
      <c r="E1790" s="53" t="s">
        <v>24</v>
      </c>
      <c r="F1790" s="53" t="s">
        <v>25</v>
      </c>
      <c r="G1790" s="53" t="s">
        <v>25</v>
      </c>
      <c r="H1790" s="53" t="s">
        <v>25</v>
      </c>
      <c r="I1790" s="73">
        <v>44044</v>
      </c>
      <c r="J1790" s="74">
        <f>EFEITO!$J$1790*EFEITO!$Y$1790</f>
        <v>0</v>
      </c>
      <c r="K1790" s="74">
        <f ca="1">EFEITO!$L$1790*EFEITO!$Z$1790</f>
        <v>102.4968251353138</v>
      </c>
      <c r="L1790" s="74">
        <f>EFEITO!$N$1790*EFEITO!$AA$1790</f>
        <v>91.575439669460621</v>
      </c>
      <c r="M1790" s="74">
        <f>$J$1790-EFEITO!$K$1790*EFEITO!$Y$1790</f>
        <v>0</v>
      </c>
      <c r="N1790" s="74">
        <f ca="1">$K$1790-EFEITO!$M$1790*EFEITO!$Z$1790</f>
        <v>0</v>
      </c>
      <c r="O1790" s="74">
        <f>$L$1790-EFEITO!$O$1790*EFEITO!$AA$1790</f>
        <v>0</v>
      </c>
      <c r="P1790" s="57"/>
      <c r="Q1790" s="57"/>
      <c r="R1790" s="57"/>
      <c r="S1790" s="57"/>
      <c r="T1790" s="57"/>
      <c r="U1790" s="57"/>
      <c r="V1790" s="57"/>
      <c r="W1790" s="57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</row>
    <row r="1791" spans="1:36" ht="11.25" customHeight="1" x14ac:dyDescent="0.2">
      <c r="A1791" s="53" t="s">
        <v>59</v>
      </c>
      <c r="B1791" s="53" t="s">
        <v>22</v>
      </c>
      <c r="C1791" s="53" t="s">
        <v>23</v>
      </c>
      <c r="D1791" s="53" t="s">
        <v>24</v>
      </c>
      <c r="E1791" s="53" t="s">
        <v>24</v>
      </c>
      <c r="F1791" s="53" t="s">
        <v>25</v>
      </c>
      <c r="G1791" s="53" t="s">
        <v>25</v>
      </c>
      <c r="H1791" s="53" t="s">
        <v>25</v>
      </c>
      <c r="I1791" s="73">
        <v>44075</v>
      </c>
      <c r="J1791" s="74">
        <f>EFEITO!$J$1791*EFEITO!$Y$1791</f>
        <v>0</v>
      </c>
      <c r="K1791" s="74">
        <f ca="1">EFEITO!$L$1791*EFEITO!$Z$1791</f>
        <v>54619606.008821927</v>
      </c>
      <c r="L1791" s="74">
        <f>EFEITO!$N$1791*EFEITO!$AA$1791</f>
        <v>48799701.14417991</v>
      </c>
      <c r="M1791" s="74">
        <f>$J$1791-EFEITO!$K$1791*EFEITO!$Y$1791</f>
        <v>0</v>
      </c>
      <c r="N1791" s="74">
        <f ca="1">$K$1791-EFEITO!$M$1791*EFEITO!$Z$1791</f>
        <v>0</v>
      </c>
      <c r="O1791" s="74">
        <f>$L$1791-EFEITO!$O$1791*EFEITO!$AA$1791</f>
        <v>0</v>
      </c>
      <c r="P1791" s="57"/>
      <c r="Q1791" s="57"/>
      <c r="R1791" s="57"/>
      <c r="S1791" s="57"/>
      <c r="T1791" s="57"/>
      <c r="U1791" s="57"/>
      <c r="V1791" s="57"/>
      <c r="W1791" s="57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</row>
    <row r="1792" spans="1:36" ht="11.25" customHeight="1" x14ac:dyDescent="0.2">
      <c r="A1792" s="53" t="s">
        <v>59</v>
      </c>
      <c r="B1792" s="53" t="s">
        <v>22</v>
      </c>
      <c r="C1792" s="53" t="s">
        <v>23</v>
      </c>
      <c r="D1792" s="53" t="s">
        <v>24</v>
      </c>
      <c r="E1792" s="53" t="s">
        <v>24</v>
      </c>
      <c r="F1792" s="53" t="s">
        <v>25</v>
      </c>
      <c r="G1792" s="53" t="s">
        <v>25</v>
      </c>
      <c r="H1792" s="53" t="s">
        <v>25</v>
      </c>
      <c r="I1792" s="73">
        <v>44075</v>
      </c>
      <c r="J1792" s="74">
        <f>EFEITO!$J$1792*EFEITO!$Y$1792</f>
        <v>0</v>
      </c>
      <c r="K1792" s="74">
        <f ca="1">EFEITO!$L$1792*EFEITO!$Z$1792</f>
        <v>32570.065404669291</v>
      </c>
      <c r="L1792" s="74">
        <f>EFEITO!$N$1792*EFEITO!$AA$1792</f>
        <v>29099.614115443084</v>
      </c>
      <c r="M1792" s="74">
        <f>$J$1792-EFEITO!$K$1792*EFEITO!$Y$1792</f>
        <v>0</v>
      </c>
      <c r="N1792" s="74">
        <f ca="1">$K$1792-EFEITO!$M$1792*EFEITO!$Z$1792</f>
        <v>0</v>
      </c>
      <c r="O1792" s="74">
        <f>$L$1792-EFEITO!$O$1792*EFEITO!$AA$1792</f>
        <v>0</v>
      </c>
      <c r="P1792" s="57"/>
      <c r="Q1792" s="57"/>
      <c r="R1792" s="57"/>
      <c r="S1792" s="57"/>
      <c r="T1792" s="57"/>
      <c r="U1792" s="57"/>
      <c r="V1792" s="57"/>
      <c r="W1792" s="57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</row>
    <row r="1793" spans="1:36" ht="11.25" customHeight="1" x14ac:dyDescent="0.2">
      <c r="A1793" s="53" t="s">
        <v>59</v>
      </c>
      <c r="B1793" s="53" t="s">
        <v>22</v>
      </c>
      <c r="C1793" s="53" t="s">
        <v>23</v>
      </c>
      <c r="D1793" s="53" t="s">
        <v>24</v>
      </c>
      <c r="E1793" s="53" t="s">
        <v>24</v>
      </c>
      <c r="F1793" s="53" t="s">
        <v>25</v>
      </c>
      <c r="G1793" s="53" t="s">
        <v>25</v>
      </c>
      <c r="H1793" s="53" t="s">
        <v>25</v>
      </c>
      <c r="I1793" s="73">
        <v>44075</v>
      </c>
      <c r="J1793" s="74">
        <f>EFEITO!$J$1793*EFEITO!$Y$1793</f>
        <v>0</v>
      </c>
      <c r="K1793" s="74">
        <f ca="1">EFEITO!$L$1793*EFEITO!$Z$1793</f>
        <v>115245.03768331077</v>
      </c>
      <c r="L1793" s="74">
        <f>EFEITO!$N$1793*EFEITO!$AA$1793</f>
        <v>102965.28679439698</v>
      </c>
      <c r="M1793" s="74">
        <f>$J$1793-EFEITO!$K$1793*EFEITO!$Y$1793</f>
        <v>0</v>
      </c>
      <c r="N1793" s="74">
        <f ca="1">$K$1793-EFEITO!$M$1793*EFEITO!$Z$1793</f>
        <v>0</v>
      </c>
      <c r="O1793" s="74">
        <f>$L$1793-EFEITO!$O$1793*EFEITO!$AA$1793</f>
        <v>0</v>
      </c>
      <c r="P1793" s="57"/>
      <c r="Q1793" s="57"/>
      <c r="R1793" s="57"/>
      <c r="S1793" s="57"/>
      <c r="T1793" s="57"/>
      <c r="U1793" s="57"/>
      <c r="V1793" s="57"/>
      <c r="W1793" s="57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</row>
    <row r="1794" spans="1:36" ht="11.25" customHeight="1" x14ac:dyDescent="0.2">
      <c r="A1794" s="53" t="s">
        <v>59</v>
      </c>
      <c r="B1794" s="53" t="s">
        <v>22</v>
      </c>
      <c r="C1794" s="53" t="s">
        <v>23</v>
      </c>
      <c r="D1794" s="53" t="s">
        <v>24</v>
      </c>
      <c r="E1794" s="53" t="s">
        <v>24</v>
      </c>
      <c r="F1794" s="53" t="s">
        <v>25</v>
      </c>
      <c r="G1794" s="53" t="s">
        <v>25</v>
      </c>
      <c r="H1794" s="53" t="s">
        <v>25</v>
      </c>
      <c r="I1794" s="73">
        <v>44075</v>
      </c>
      <c r="J1794" s="74">
        <f>EFEITO!$J$1794*EFEITO!$Y$1794</f>
        <v>0</v>
      </c>
      <c r="K1794" s="74">
        <f ca="1">EFEITO!$L$1794*EFEITO!$Z$1794</f>
        <v>102.4968251353138</v>
      </c>
      <c r="L1794" s="74">
        <f>EFEITO!$N$1794*EFEITO!$AA$1794</f>
        <v>91.575439669460621</v>
      </c>
      <c r="M1794" s="74">
        <f>$J$1794-EFEITO!$K$1794*EFEITO!$Y$1794</f>
        <v>0</v>
      </c>
      <c r="N1794" s="74">
        <f ca="1">$K$1794-EFEITO!$M$1794*EFEITO!$Z$1794</f>
        <v>0</v>
      </c>
      <c r="O1794" s="74">
        <f>$L$1794-EFEITO!$O$1794*EFEITO!$AA$1794</f>
        <v>0</v>
      </c>
      <c r="P1794" s="57"/>
      <c r="Q1794" s="57"/>
      <c r="R1794" s="57"/>
      <c r="S1794" s="57"/>
      <c r="T1794" s="57"/>
      <c r="U1794" s="57"/>
      <c r="V1794" s="57"/>
      <c r="W1794" s="57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</row>
    <row r="1795" spans="1:36" ht="11.25" customHeight="1" x14ac:dyDescent="0.2">
      <c r="A1795" s="53" t="s">
        <v>21</v>
      </c>
      <c r="B1795" s="53" t="s">
        <v>22</v>
      </c>
      <c r="C1795" s="53" t="s">
        <v>23</v>
      </c>
      <c r="D1795" s="53" t="s">
        <v>24</v>
      </c>
      <c r="E1795" s="53" t="s">
        <v>29</v>
      </c>
      <c r="F1795" s="53" t="s">
        <v>25</v>
      </c>
      <c r="G1795" s="53" t="s">
        <v>25</v>
      </c>
      <c r="H1795" s="53" t="s">
        <v>25</v>
      </c>
      <c r="I1795" s="73">
        <v>43739</v>
      </c>
      <c r="J1795" s="74">
        <f>EFEITO!$J$1795*EFEITO!$Y$1749</f>
        <v>0</v>
      </c>
      <c r="K1795" s="74">
        <f ca="1">EFEITO!$L$1795*EFEITO!$Z$1864</f>
        <v>51609.564499915439</v>
      </c>
      <c r="L1795" s="74">
        <f>EFEITO!$N$1795*EFEITO!$AA$1864</f>
        <v>63150.617520600455</v>
      </c>
      <c r="M1795" s="74">
        <f>$J$1795-EFEITO!$K$1795*EFEITO!$Y$1795</f>
        <v>0</v>
      </c>
      <c r="N1795" s="74">
        <f ca="1">$K$1795-EFEITO!$M$1795*EFEITO!$Z$1795</f>
        <v>33546.216924945038</v>
      </c>
      <c r="O1795" s="74">
        <f>$L$1795-EFEITO!$O$1795*EFEITO!$AA$1795</f>
        <v>41047.901388390295</v>
      </c>
      <c r="P1795" s="57"/>
      <c r="Q1795" s="57"/>
      <c r="R1795" s="57"/>
      <c r="S1795" s="57"/>
      <c r="T1795" s="57"/>
      <c r="U1795" s="57"/>
      <c r="V1795" s="57"/>
      <c r="W1795" s="57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</row>
    <row r="1796" spans="1:36" ht="11.25" customHeight="1" x14ac:dyDescent="0.2">
      <c r="A1796" s="53" t="s">
        <v>27</v>
      </c>
      <c r="B1796" s="53" t="s">
        <v>22</v>
      </c>
      <c r="C1796" s="53" t="s">
        <v>23</v>
      </c>
      <c r="D1796" s="53" t="s">
        <v>24</v>
      </c>
      <c r="E1796" s="53" t="s">
        <v>29</v>
      </c>
      <c r="F1796" s="53" t="s">
        <v>25</v>
      </c>
      <c r="G1796" s="53" t="s">
        <v>25</v>
      </c>
      <c r="H1796" s="53" t="s">
        <v>25</v>
      </c>
      <c r="I1796" s="73">
        <v>43739</v>
      </c>
      <c r="J1796" s="74">
        <f>EFEITO!$J$1796*EFEITO!$Y$1749</f>
        <v>0</v>
      </c>
      <c r="K1796" s="74">
        <f ca="1">EFEITO!$L$1796*EFEITO!$Z$1864</f>
        <v>17.866223574861102</v>
      </c>
      <c r="L1796" s="74">
        <f>EFEITO!$N$1796*EFEITO!$AA$1864</f>
        <v>21.861510796422959</v>
      </c>
      <c r="M1796" s="74">
        <f>$J$1796-EFEITO!$K$1796*EFEITO!$Y$1796</f>
        <v>0</v>
      </c>
      <c r="N1796" s="74">
        <f ca="1">$K$1796-EFEITO!$M$1796*EFEITO!$Z$1796</f>
        <v>11.613045323659717</v>
      </c>
      <c r="O1796" s="74">
        <f>$L$1796-EFEITO!$O$1796*EFEITO!$AA$1796</f>
        <v>14.209982017674925</v>
      </c>
      <c r="P1796" s="57"/>
      <c r="Q1796" s="57"/>
      <c r="R1796" s="57"/>
      <c r="S1796" s="57"/>
      <c r="T1796" s="57"/>
      <c r="U1796" s="57"/>
      <c r="V1796" s="57"/>
      <c r="W1796" s="57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</row>
    <row r="1797" spans="1:36" ht="11.25" customHeight="1" x14ac:dyDescent="0.2">
      <c r="A1797" s="53" t="s">
        <v>21</v>
      </c>
      <c r="B1797" s="53" t="s">
        <v>22</v>
      </c>
      <c r="C1797" s="53" t="s">
        <v>23</v>
      </c>
      <c r="D1797" s="53" t="s">
        <v>24</v>
      </c>
      <c r="E1797" s="53" t="s">
        <v>29</v>
      </c>
      <c r="F1797" s="53" t="s">
        <v>25</v>
      </c>
      <c r="G1797" s="53" t="s">
        <v>25</v>
      </c>
      <c r="H1797" s="53" t="s">
        <v>25</v>
      </c>
      <c r="I1797" s="73">
        <v>43770</v>
      </c>
      <c r="J1797" s="74">
        <f>EFEITO!$J$1797*EFEITO!$Y$1749</f>
        <v>0</v>
      </c>
      <c r="K1797" s="74">
        <f ca="1">EFEITO!$L$1797*EFEITO!$Z$1864</f>
        <v>52824.467703005997</v>
      </c>
      <c r="L1797" s="74">
        <f>EFEITO!$N$1797*EFEITO!$AA$1864</f>
        <v>64637.200254757219</v>
      </c>
      <c r="M1797" s="74">
        <f>$J$1797-EFEITO!$K$1797*EFEITO!$Y$1797</f>
        <v>0</v>
      </c>
      <c r="N1797" s="74">
        <f ca="1">$K$1797-EFEITO!$M$1797*EFEITO!$Z$1797</f>
        <v>34335.904006953904</v>
      </c>
      <c r="O1797" s="74">
        <f>$L$1797-EFEITO!$O$1797*EFEITO!$AA$1797</f>
        <v>42014.180165592195</v>
      </c>
      <c r="P1797" s="57"/>
      <c r="Q1797" s="57"/>
      <c r="R1797" s="57"/>
      <c r="S1797" s="57"/>
      <c r="T1797" s="57"/>
      <c r="U1797" s="57"/>
      <c r="V1797" s="57"/>
      <c r="W1797" s="57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</row>
    <row r="1798" spans="1:36" ht="11.25" customHeight="1" x14ac:dyDescent="0.2">
      <c r="A1798" s="53" t="s">
        <v>27</v>
      </c>
      <c r="B1798" s="53" t="s">
        <v>22</v>
      </c>
      <c r="C1798" s="53" t="s">
        <v>23</v>
      </c>
      <c r="D1798" s="53" t="s">
        <v>24</v>
      </c>
      <c r="E1798" s="53" t="s">
        <v>29</v>
      </c>
      <c r="F1798" s="53" t="s">
        <v>25</v>
      </c>
      <c r="G1798" s="53" t="s">
        <v>25</v>
      </c>
      <c r="H1798" s="53" t="s">
        <v>25</v>
      </c>
      <c r="I1798" s="73">
        <v>43770</v>
      </c>
      <c r="J1798" s="74">
        <f>EFEITO!$J$1798*EFEITO!$Y$1749</f>
        <v>0</v>
      </c>
      <c r="K1798" s="74">
        <f ca="1">EFEITO!$L$1798*EFEITO!$Z$1864</f>
        <v>29.77703929143517</v>
      </c>
      <c r="L1798" s="74">
        <f>EFEITO!$N$1798*EFEITO!$AA$1864</f>
        <v>36.435851327371594</v>
      </c>
      <c r="M1798" s="74">
        <f>$J$1798-EFEITO!$K$1798*EFEITO!$Y$1798</f>
        <v>0</v>
      </c>
      <c r="N1798" s="74">
        <f ca="1">$K$1798-EFEITO!$M$1798*EFEITO!$Z$1798</f>
        <v>19.35507553943286</v>
      </c>
      <c r="O1798" s="74">
        <f>$L$1798-EFEITO!$O$1798*EFEITO!$AA$1798</f>
        <v>23.683303362791534</v>
      </c>
      <c r="P1798" s="57"/>
      <c r="Q1798" s="57"/>
      <c r="R1798" s="57"/>
      <c r="S1798" s="57"/>
      <c r="T1798" s="57"/>
      <c r="U1798" s="57"/>
      <c r="V1798" s="57"/>
      <c r="W1798" s="57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</row>
    <row r="1799" spans="1:36" ht="11.25" customHeight="1" x14ac:dyDescent="0.2">
      <c r="A1799" s="53" t="s">
        <v>21</v>
      </c>
      <c r="B1799" s="53" t="s">
        <v>22</v>
      </c>
      <c r="C1799" s="53" t="s">
        <v>23</v>
      </c>
      <c r="D1799" s="53" t="s">
        <v>24</v>
      </c>
      <c r="E1799" s="53" t="s">
        <v>29</v>
      </c>
      <c r="F1799" s="53" t="s">
        <v>25</v>
      </c>
      <c r="G1799" s="53" t="s">
        <v>25</v>
      </c>
      <c r="H1799" s="53" t="s">
        <v>25</v>
      </c>
      <c r="I1799" s="73">
        <v>43800</v>
      </c>
      <c r="J1799" s="74">
        <f>EFEITO!$J$1799*EFEITO!$Y$1749</f>
        <v>0</v>
      </c>
      <c r="K1799" s="74">
        <f ca="1">EFEITO!$L$1799*EFEITO!$Z$1864</f>
        <v>54104.880392537707</v>
      </c>
      <c r="L1799" s="74">
        <f>EFEITO!$N$1799*EFEITO!$AA$1864</f>
        <v>66203.941861834202</v>
      </c>
      <c r="M1799" s="74">
        <f>$J$1799-EFEITO!$K$1799*EFEITO!$Y$1799</f>
        <v>0</v>
      </c>
      <c r="N1799" s="74">
        <f ca="1">$K$1799-EFEITO!$M$1799*EFEITO!$Z$1799</f>
        <v>35168.172255149511</v>
      </c>
      <c r="O1799" s="74">
        <f>$L$1799-EFEITO!$O$1799*EFEITO!$AA$1799</f>
        <v>43032.562210192234</v>
      </c>
      <c r="P1799" s="57"/>
      <c r="Q1799" s="57"/>
      <c r="R1799" s="57"/>
      <c r="S1799" s="57"/>
      <c r="T1799" s="57"/>
      <c r="U1799" s="57"/>
      <c r="V1799" s="57"/>
      <c r="W1799" s="57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</row>
    <row r="1800" spans="1:36" ht="11.25" customHeight="1" x14ac:dyDescent="0.2">
      <c r="A1800" s="53" t="s">
        <v>27</v>
      </c>
      <c r="B1800" s="53" t="s">
        <v>22</v>
      </c>
      <c r="C1800" s="53" t="s">
        <v>23</v>
      </c>
      <c r="D1800" s="53" t="s">
        <v>24</v>
      </c>
      <c r="E1800" s="53" t="s">
        <v>29</v>
      </c>
      <c r="F1800" s="53" t="s">
        <v>25</v>
      </c>
      <c r="G1800" s="53" t="s">
        <v>25</v>
      </c>
      <c r="H1800" s="53" t="s">
        <v>25</v>
      </c>
      <c r="I1800" s="73">
        <v>43800</v>
      </c>
      <c r="J1800" s="74">
        <f>EFEITO!$J$1800*EFEITO!$Y$1749</f>
        <v>0</v>
      </c>
      <c r="K1800" s="74">
        <f ca="1">EFEITO!$L$1800*EFEITO!$Z$1864</f>
        <v>23.821631433148134</v>
      </c>
      <c r="L1800" s="74">
        <f>EFEITO!$N$1800*EFEITO!$AA$1864</f>
        <v>29.148681061897278</v>
      </c>
      <c r="M1800" s="74">
        <f>$J$1800-EFEITO!$K$1800*EFEITO!$Y$1800</f>
        <v>0</v>
      </c>
      <c r="N1800" s="74">
        <f ca="1">$K$1800-EFEITO!$M$1800*EFEITO!$Z$1800</f>
        <v>15.484060431546288</v>
      </c>
      <c r="O1800" s="74">
        <f>$L$1800-EFEITO!$O$1800*EFEITO!$AA$1800</f>
        <v>18.946642690233233</v>
      </c>
      <c r="P1800" s="57"/>
      <c r="Q1800" s="57"/>
      <c r="R1800" s="57"/>
      <c r="S1800" s="57"/>
      <c r="T1800" s="57"/>
      <c r="U1800" s="57"/>
      <c r="V1800" s="57"/>
      <c r="W1800" s="57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</row>
    <row r="1801" spans="1:36" ht="11.25" customHeight="1" x14ac:dyDescent="0.2">
      <c r="A1801" s="53" t="s">
        <v>21</v>
      </c>
      <c r="B1801" s="53" t="s">
        <v>22</v>
      </c>
      <c r="C1801" s="53" t="s">
        <v>23</v>
      </c>
      <c r="D1801" s="53" t="s">
        <v>24</v>
      </c>
      <c r="E1801" s="53" t="s">
        <v>29</v>
      </c>
      <c r="F1801" s="53" t="s">
        <v>25</v>
      </c>
      <c r="G1801" s="53" t="s">
        <v>25</v>
      </c>
      <c r="H1801" s="53" t="s">
        <v>25</v>
      </c>
      <c r="I1801" s="73">
        <v>43831</v>
      </c>
      <c r="J1801" s="74">
        <f>EFEITO!$J$1801*EFEITO!$Y$1749</f>
        <v>0</v>
      </c>
      <c r="K1801" s="74">
        <f ca="1">EFEITO!$L$1801*EFEITO!$Z$1864</f>
        <v>54712.331994082982</v>
      </c>
      <c r="L1801" s="74">
        <f>EFEITO!$N$1801*EFEITO!$AA$1864</f>
        <v>66947.233228912577</v>
      </c>
      <c r="M1801" s="74">
        <f>$J$1801-EFEITO!$K$1801*EFEITO!$Y$1801</f>
        <v>0</v>
      </c>
      <c r="N1801" s="74">
        <f ca="1">$K$1801-EFEITO!$M$1801*EFEITO!$Z$1801</f>
        <v>35563.015796153937</v>
      </c>
      <c r="O1801" s="74">
        <f>$L$1801-EFEITO!$O$1801*EFEITO!$AA$1801</f>
        <v>43515.701598793181</v>
      </c>
      <c r="P1801" s="57"/>
      <c r="Q1801" s="57"/>
      <c r="R1801" s="57"/>
      <c r="S1801" s="57"/>
      <c r="T1801" s="57"/>
      <c r="U1801" s="57"/>
      <c r="V1801" s="57"/>
      <c r="W1801" s="57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</row>
    <row r="1802" spans="1:36" ht="11.25" customHeight="1" x14ac:dyDescent="0.2">
      <c r="A1802" s="53" t="s">
        <v>27</v>
      </c>
      <c r="B1802" s="53" t="s">
        <v>22</v>
      </c>
      <c r="C1802" s="53" t="s">
        <v>23</v>
      </c>
      <c r="D1802" s="53" t="s">
        <v>24</v>
      </c>
      <c r="E1802" s="53" t="s">
        <v>29</v>
      </c>
      <c r="F1802" s="53" t="s">
        <v>25</v>
      </c>
      <c r="G1802" s="53" t="s">
        <v>25</v>
      </c>
      <c r="H1802" s="53" t="s">
        <v>25</v>
      </c>
      <c r="I1802" s="73">
        <v>43831</v>
      </c>
      <c r="J1802" s="74">
        <f>EFEITO!$J$1802*EFEITO!$Y$1749</f>
        <v>0</v>
      </c>
      <c r="K1802" s="74">
        <f ca="1">EFEITO!$L$1802*EFEITO!$Z$1864</f>
        <v>41.687855008009237</v>
      </c>
      <c r="L1802" s="74">
        <f>EFEITO!$N$1802*EFEITO!$AA$1864</f>
        <v>51.010191858320233</v>
      </c>
      <c r="M1802" s="74">
        <f>$J$1802-EFEITO!$K$1802*EFEITO!$Y$1802</f>
        <v>0</v>
      </c>
      <c r="N1802" s="74">
        <f ca="1">$K$1802-EFEITO!$M$1802*EFEITO!$Z$1802</f>
        <v>27.097105755206005</v>
      </c>
      <c r="O1802" s="74">
        <f>$L$1802-EFEITO!$O$1802*EFEITO!$AA$1802</f>
        <v>33.156624707908151</v>
      </c>
      <c r="P1802" s="57"/>
      <c r="Q1802" s="57"/>
      <c r="R1802" s="57"/>
      <c r="S1802" s="57"/>
      <c r="T1802" s="57"/>
      <c r="U1802" s="57"/>
      <c r="V1802" s="57"/>
      <c r="W1802" s="57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</row>
    <row r="1803" spans="1:36" ht="11.25" customHeight="1" x14ac:dyDescent="0.2">
      <c r="A1803" s="53" t="s">
        <v>21</v>
      </c>
      <c r="B1803" s="53" t="s">
        <v>22</v>
      </c>
      <c r="C1803" s="53" t="s">
        <v>23</v>
      </c>
      <c r="D1803" s="53" t="s">
        <v>24</v>
      </c>
      <c r="E1803" s="53" t="s">
        <v>29</v>
      </c>
      <c r="F1803" s="53" t="s">
        <v>25</v>
      </c>
      <c r="G1803" s="53" t="s">
        <v>25</v>
      </c>
      <c r="H1803" s="53" t="s">
        <v>25</v>
      </c>
      <c r="I1803" s="73">
        <v>43862</v>
      </c>
      <c r="J1803" s="74">
        <f>EFEITO!$J$1803*EFEITO!$Y$1749</f>
        <v>0</v>
      </c>
      <c r="K1803" s="74">
        <f ca="1">EFEITO!$L$1803*EFEITO!$Z$1864</f>
        <v>54879.083414115019</v>
      </c>
      <c r="L1803" s="74">
        <f>EFEITO!$N$1803*EFEITO!$AA$1864</f>
        <v>67151.273996345859</v>
      </c>
      <c r="M1803" s="74">
        <f>$J$1803-EFEITO!$K$1803*EFEITO!$Y$1803</f>
        <v>0</v>
      </c>
      <c r="N1803" s="74">
        <f ca="1">$K$1803-EFEITO!$M$1803*EFEITO!$Z$1803</f>
        <v>35671.404219174765</v>
      </c>
      <c r="O1803" s="74">
        <f>$L$1803-EFEITO!$O$1803*EFEITO!$AA$1803</f>
        <v>43648.328097624813</v>
      </c>
      <c r="P1803" s="57"/>
      <c r="Q1803" s="57"/>
      <c r="R1803" s="57"/>
      <c r="S1803" s="57"/>
      <c r="T1803" s="57"/>
      <c r="U1803" s="57"/>
      <c r="V1803" s="57"/>
      <c r="W1803" s="57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</row>
    <row r="1804" spans="1:36" ht="11.25" customHeight="1" x14ac:dyDescent="0.2">
      <c r="A1804" s="53" t="s">
        <v>21</v>
      </c>
      <c r="B1804" s="53" t="s">
        <v>22</v>
      </c>
      <c r="C1804" s="53" t="s">
        <v>23</v>
      </c>
      <c r="D1804" s="53" t="s">
        <v>24</v>
      </c>
      <c r="E1804" s="53" t="s">
        <v>29</v>
      </c>
      <c r="F1804" s="53" t="s">
        <v>25</v>
      </c>
      <c r="G1804" s="53" t="s">
        <v>25</v>
      </c>
      <c r="H1804" s="53" t="s">
        <v>25</v>
      </c>
      <c r="I1804" s="73">
        <v>43891</v>
      </c>
      <c r="J1804" s="74">
        <f>EFEITO!$J$1804*EFEITO!$Y$1749</f>
        <v>0</v>
      </c>
      <c r="K1804" s="74">
        <f ca="1">EFEITO!$L$1804*EFEITO!$Z$1864</f>
        <v>50888.96014906271</v>
      </c>
      <c r="L1804" s="74">
        <f>EFEITO!$N$1804*EFEITO!$AA$1864</f>
        <v>62268.869918478071</v>
      </c>
      <c r="M1804" s="74">
        <f>$J$1804-EFEITO!$K$1804*EFEITO!$Y$1804</f>
        <v>0</v>
      </c>
      <c r="N1804" s="74">
        <f ca="1">$K$1804-EFEITO!$M$1804*EFEITO!$Z$1804</f>
        <v>33077.824096890763</v>
      </c>
      <c r="O1804" s="74">
        <f>$L$1804-EFEITO!$O$1804*EFEITO!$AA$1804</f>
        <v>40474.765447010752</v>
      </c>
      <c r="P1804" s="57"/>
      <c r="Q1804" s="57"/>
      <c r="R1804" s="57"/>
      <c r="S1804" s="57"/>
      <c r="T1804" s="57"/>
      <c r="U1804" s="57"/>
      <c r="V1804" s="57"/>
      <c r="W1804" s="57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</row>
    <row r="1805" spans="1:36" ht="11.25" customHeight="1" x14ac:dyDescent="0.2">
      <c r="A1805" s="53" t="s">
        <v>27</v>
      </c>
      <c r="B1805" s="53" t="s">
        <v>22</v>
      </c>
      <c r="C1805" s="53" t="s">
        <v>23</v>
      </c>
      <c r="D1805" s="53" t="s">
        <v>24</v>
      </c>
      <c r="E1805" s="53" t="s">
        <v>29</v>
      </c>
      <c r="F1805" s="53" t="s">
        <v>25</v>
      </c>
      <c r="G1805" s="53" t="s">
        <v>25</v>
      </c>
      <c r="H1805" s="53" t="s">
        <v>25</v>
      </c>
      <c r="I1805" s="73">
        <v>43891</v>
      </c>
      <c r="J1805" s="74">
        <f>EFEITO!$J$1805*EFEITO!$Y$1749</f>
        <v>0</v>
      </c>
      <c r="K1805" s="74">
        <f ca="1">EFEITO!$L$1805*EFEITO!$Z$1864</f>
        <v>47.643262866296268</v>
      </c>
      <c r="L1805" s="74">
        <f>EFEITO!$N$1805*EFEITO!$AA$1864</f>
        <v>58.297362123794557</v>
      </c>
      <c r="M1805" s="74">
        <f>$J$1805-EFEITO!$K$1805*EFEITO!$Y$1805</f>
        <v>0</v>
      </c>
      <c r="N1805" s="74">
        <f ca="1">$K$1805-EFEITO!$M$1805*EFEITO!$Z$1805</f>
        <v>30.968120863092576</v>
      </c>
      <c r="O1805" s="74">
        <f>$L$1805-EFEITO!$O$1805*EFEITO!$AA$1805</f>
        <v>37.893285380466466</v>
      </c>
      <c r="P1805" s="57"/>
      <c r="Q1805" s="57"/>
      <c r="R1805" s="57"/>
      <c r="S1805" s="57"/>
      <c r="T1805" s="57"/>
      <c r="U1805" s="57"/>
      <c r="V1805" s="57"/>
      <c r="W1805" s="57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</row>
    <row r="1806" spans="1:36" ht="11.25" customHeight="1" x14ac:dyDescent="0.2">
      <c r="A1806" s="53" t="s">
        <v>21</v>
      </c>
      <c r="B1806" s="53" t="s">
        <v>22</v>
      </c>
      <c r="C1806" s="53" t="s">
        <v>23</v>
      </c>
      <c r="D1806" s="53" t="s">
        <v>24</v>
      </c>
      <c r="E1806" s="53" t="s">
        <v>29</v>
      </c>
      <c r="F1806" s="53" t="s">
        <v>25</v>
      </c>
      <c r="G1806" s="53" t="s">
        <v>25</v>
      </c>
      <c r="H1806" s="53" t="s">
        <v>25</v>
      </c>
      <c r="I1806" s="73">
        <v>43922</v>
      </c>
      <c r="J1806" s="74">
        <f>EFEITO!$J$1806*EFEITO!$Y$1749</f>
        <v>0</v>
      </c>
      <c r="K1806" s="74">
        <f ca="1">EFEITO!$L$1806*EFEITO!$Z$1864</f>
        <v>50013.515193894513</v>
      </c>
      <c r="L1806" s="74">
        <f>EFEITO!$N$1806*EFEITO!$AA$1864</f>
        <v>61197.655889453337</v>
      </c>
      <c r="M1806" s="74">
        <f>$J$1806-EFEITO!$K$1806*EFEITO!$Y$1806</f>
        <v>0</v>
      </c>
      <c r="N1806" s="74">
        <f ca="1">$K$1806-EFEITO!$M$1806*EFEITO!$Z$1806</f>
        <v>32508.784876031434</v>
      </c>
      <c r="O1806" s="74">
        <f>$L$1806-EFEITO!$O$1806*EFEITO!$AA$1806</f>
        <v>39778.476328144672</v>
      </c>
      <c r="P1806" s="57"/>
      <c r="Q1806" s="57"/>
      <c r="R1806" s="57"/>
      <c r="S1806" s="57"/>
      <c r="T1806" s="57"/>
      <c r="U1806" s="57"/>
      <c r="V1806" s="57"/>
      <c r="W1806" s="57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</row>
    <row r="1807" spans="1:36" ht="11.25" customHeight="1" x14ac:dyDescent="0.2">
      <c r="A1807" s="53" t="s">
        <v>27</v>
      </c>
      <c r="B1807" s="53" t="s">
        <v>22</v>
      </c>
      <c r="C1807" s="53" t="s">
        <v>23</v>
      </c>
      <c r="D1807" s="53" t="s">
        <v>24</v>
      </c>
      <c r="E1807" s="53" t="s">
        <v>29</v>
      </c>
      <c r="F1807" s="53" t="s">
        <v>25</v>
      </c>
      <c r="G1807" s="53" t="s">
        <v>25</v>
      </c>
      <c r="H1807" s="53" t="s">
        <v>25</v>
      </c>
      <c r="I1807" s="73">
        <v>43922</v>
      </c>
      <c r="J1807" s="74">
        <f>EFEITO!$J$1807*EFEITO!$Y$1749</f>
        <v>0</v>
      </c>
      <c r="K1807" s="74">
        <f ca="1">EFEITO!$L$1807*EFEITO!$Z$1864</f>
        <v>190.57305146518507</v>
      </c>
      <c r="L1807" s="74">
        <f>EFEITO!$N$1807*EFEITO!$AA$1864</f>
        <v>233.18944849517823</v>
      </c>
      <c r="M1807" s="74">
        <f>$J$1807-EFEITO!$K$1807*EFEITO!$Y$1807</f>
        <v>0</v>
      </c>
      <c r="N1807" s="74">
        <f ca="1">$K$1807-EFEITO!$M$1807*EFEITO!$Z$1807</f>
        <v>123.8724834523703</v>
      </c>
      <c r="O1807" s="74">
        <f>$L$1807-EFEITO!$O$1807*EFEITO!$AA$1807</f>
        <v>151.57314152186586</v>
      </c>
      <c r="P1807" s="57"/>
      <c r="Q1807" s="57"/>
      <c r="R1807" s="57"/>
      <c r="S1807" s="57"/>
      <c r="T1807" s="57"/>
      <c r="U1807" s="57"/>
      <c r="V1807" s="57"/>
      <c r="W1807" s="57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</row>
    <row r="1808" spans="1:36" ht="11.25" customHeight="1" x14ac:dyDescent="0.2">
      <c r="A1808" s="53" t="s">
        <v>21</v>
      </c>
      <c r="B1808" s="53" t="s">
        <v>22</v>
      </c>
      <c r="C1808" s="53" t="s">
        <v>23</v>
      </c>
      <c r="D1808" s="53" t="s">
        <v>24</v>
      </c>
      <c r="E1808" s="53" t="s">
        <v>29</v>
      </c>
      <c r="F1808" s="53" t="s">
        <v>25</v>
      </c>
      <c r="G1808" s="53" t="s">
        <v>25</v>
      </c>
      <c r="H1808" s="53" t="s">
        <v>25</v>
      </c>
      <c r="I1808" s="73">
        <v>43952</v>
      </c>
      <c r="J1808" s="74">
        <f>EFEITO!$J$1808*EFEITO!$Y$1749</f>
        <v>0</v>
      </c>
      <c r="K1808" s="74">
        <f ca="1">EFEITO!$L$1808*EFEITO!$Z$1864</f>
        <v>59202.709519231408</v>
      </c>
      <c r="L1808" s="74">
        <f>EFEITO!$N$1808*EFEITO!$AA$1864</f>
        <v>72441.759609080211</v>
      </c>
      <c r="M1808" s="74">
        <f>$J$1808-EFEITO!$K$1808*EFEITO!$Y$1808</f>
        <v>0</v>
      </c>
      <c r="N1808" s="74">
        <f ca="1">$K$1808-EFEITO!$M$1808*EFEITO!$Z$1808</f>
        <v>38481.761187500415</v>
      </c>
      <c r="O1808" s="74">
        <f>$L$1808-EFEITO!$O$1808*EFEITO!$AA$1808</f>
        <v>47087.14374590214</v>
      </c>
      <c r="P1808" s="57"/>
      <c r="Q1808" s="57"/>
      <c r="R1808" s="57"/>
      <c r="S1808" s="57"/>
      <c r="T1808" s="57"/>
      <c r="U1808" s="57"/>
      <c r="V1808" s="57"/>
      <c r="W1808" s="57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</row>
    <row r="1809" spans="1:36" ht="11.25" customHeight="1" x14ac:dyDescent="0.2">
      <c r="A1809" s="53" t="s">
        <v>27</v>
      </c>
      <c r="B1809" s="53" t="s">
        <v>22</v>
      </c>
      <c r="C1809" s="53" t="s">
        <v>23</v>
      </c>
      <c r="D1809" s="53" t="s">
        <v>24</v>
      </c>
      <c r="E1809" s="53" t="s">
        <v>29</v>
      </c>
      <c r="F1809" s="53" t="s">
        <v>25</v>
      </c>
      <c r="G1809" s="53" t="s">
        <v>25</v>
      </c>
      <c r="H1809" s="53" t="s">
        <v>25</v>
      </c>
      <c r="I1809" s="73">
        <v>43952</v>
      </c>
      <c r="J1809" s="74">
        <f>EFEITO!$J$1809*EFEITO!$Y$1749</f>
        <v>0</v>
      </c>
      <c r="K1809" s="74">
        <f ca="1">EFEITO!$L$1809*EFEITO!$Z$1864</f>
        <v>488.34344437953678</v>
      </c>
      <c r="L1809" s="74">
        <f>EFEITO!$N$1809*EFEITO!$AA$1864</f>
        <v>597.5479617688942</v>
      </c>
      <c r="M1809" s="74">
        <f>$J$1809-EFEITO!$K$1809*EFEITO!$Y$1809</f>
        <v>0</v>
      </c>
      <c r="N1809" s="74">
        <f ca="1">$K$1809-EFEITO!$M$1809*EFEITO!$Z$1809</f>
        <v>317.42323884669895</v>
      </c>
      <c r="O1809" s="74">
        <f>$L$1809-EFEITO!$O$1809*EFEITO!$AA$1809</f>
        <v>388.40617514978123</v>
      </c>
      <c r="P1809" s="57"/>
      <c r="Q1809" s="57"/>
      <c r="R1809" s="57"/>
      <c r="S1809" s="57"/>
      <c r="T1809" s="57"/>
      <c r="U1809" s="57"/>
      <c r="V1809" s="57"/>
      <c r="W1809" s="57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</row>
    <row r="1810" spans="1:36" ht="11.25" customHeight="1" x14ac:dyDescent="0.2">
      <c r="A1810" s="53" t="s">
        <v>21</v>
      </c>
      <c r="B1810" s="53" t="s">
        <v>22</v>
      </c>
      <c r="C1810" s="53" t="s">
        <v>23</v>
      </c>
      <c r="D1810" s="53" t="s">
        <v>24</v>
      </c>
      <c r="E1810" s="53" t="s">
        <v>29</v>
      </c>
      <c r="F1810" s="53" t="s">
        <v>25</v>
      </c>
      <c r="G1810" s="53" t="s">
        <v>25</v>
      </c>
      <c r="H1810" s="53" t="s">
        <v>25</v>
      </c>
      <c r="I1810" s="73">
        <v>43983</v>
      </c>
      <c r="J1810" s="74">
        <f>EFEITO!$J$1810*EFEITO!$Y$1749</f>
        <v>0</v>
      </c>
      <c r="K1810" s="74">
        <f ca="1">EFEITO!$L$1810*EFEITO!$Z$1864</f>
        <v>64342.226500933117</v>
      </c>
      <c r="L1810" s="74">
        <f>EFEITO!$N$1810*EFEITO!$AA$1864</f>
        <v>78730.587548184558</v>
      </c>
      <c r="M1810" s="74">
        <f>$J$1810-EFEITO!$K$1810*EFEITO!$Y$1810</f>
        <v>0</v>
      </c>
      <c r="N1810" s="74">
        <f ca="1">$K$1810-EFEITO!$M$1810*EFEITO!$Z$1810</f>
        <v>41822.447225606527</v>
      </c>
      <c r="O1810" s="74">
        <f>$L$1810-EFEITO!$O$1810*EFEITO!$AA$1810</f>
        <v>51174.88190631997</v>
      </c>
      <c r="P1810" s="57"/>
      <c r="Q1810" s="57"/>
      <c r="R1810" s="57"/>
      <c r="S1810" s="57"/>
      <c r="T1810" s="57"/>
      <c r="U1810" s="57"/>
      <c r="V1810" s="57"/>
      <c r="W1810" s="57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</row>
    <row r="1811" spans="1:36" ht="11.25" customHeight="1" x14ac:dyDescent="0.2">
      <c r="A1811" s="53" t="s">
        <v>27</v>
      </c>
      <c r="B1811" s="53" t="s">
        <v>22</v>
      </c>
      <c r="C1811" s="53" t="s">
        <v>23</v>
      </c>
      <c r="D1811" s="53" t="s">
        <v>24</v>
      </c>
      <c r="E1811" s="53" t="s">
        <v>29</v>
      </c>
      <c r="F1811" s="53" t="s">
        <v>25</v>
      </c>
      <c r="G1811" s="53" t="s">
        <v>25</v>
      </c>
      <c r="H1811" s="53" t="s">
        <v>25</v>
      </c>
      <c r="I1811" s="73">
        <v>43983</v>
      </c>
      <c r="J1811" s="74">
        <f>EFEITO!$J$1811*EFEITO!$Y$1749</f>
        <v>0</v>
      </c>
      <c r="K1811" s="74">
        <f ca="1">EFEITO!$L$1811*EFEITO!$Z$1864</f>
        <v>41.687855008009237</v>
      </c>
      <c r="L1811" s="74">
        <f>EFEITO!$N$1811*EFEITO!$AA$1864</f>
        <v>51.010191858320233</v>
      </c>
      <c r="M1811" s="74">
        <f>$J$1811-EFEITO!$K$1811*EFEITO!$Y$1811</f>
        <v>0</v>
      </c>
      <c r="N1811" s="74">
        <f ca="1">$K$1811-EFEITO!$M$1811*EFEITO!$Z$1811</f>
        <v>27.097105755206005</v>
      </c>
      <c r="O1811" s="74">
        <f>$L$1811-EFEITO!$O$1811*EFEITO!$AA$1811</f>
        <v>33.156624707908151</v>
      </c>
      <c r="P1811" s="57"/>
      <c r="Q1811" s="57"/>
      <c r="R1811" s="57"/>
      <c r="S1811" s="57"/>
      <c r="T1811" s="57"/>
      <c r="U1811" s="57"/>
      <c r="V1811" s="57"/>
      <c r="W1811" s="57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</row>
    <row r="1812" spans="1:36" ht="11.25" customHeight="1" x14ac:dyDescent="0.2">
      <c r="A1812" s="53" t="s">
        <v>21</v>
      </c>
      <c r="B1812" s="53" t="s">
        <v>22</v>
      </c>
      <c r="C1812" s="53" t="s">
        <v>23</v>
      </c>
      <c r="D1812" s="53" t="s">
        <v>24</v>
      </c>
      <c r="E1812" s="53" t="s">
        <v>29</v>
      </c>
      <c r="F1812" s="53" t="s">
        <v>25</v>
      </c>
      <c r="G1812" s="53" t="s">
        <v>25</v>
      </c>
      <c r="H1812" s="53" t="s">
        <v>25</v>
      </c>
      <c r="I1812" s="73">
        <v>44013</v>
      </c>
      <c r="J1812" s="74">
        <f>EFEITO!$J$1812*EFEITO!$Y$1749</f>
        <v>0</v>
      </c>
      <c r="K1812" s="74">
        <f ca="1">EFEITO!$L$1812*EFEITO!$Z$1864</f>
        <v>66795.854538547384</v>
      </c>
      <c r="L1812" s="74">
        <f>EFEITO!$N$1812*EFEITO!$AA$1864</f>
        <v>81732.901697559981</v>
      </c>
      <c r="M1812" s="74">
        <f>$J$1812-EFEITO!$K$1812*EFEITO!$Y$1812</f>
        <v>0</v>
      </c>
      <c r="N1812" s="74">
        <f ca="1">$K$1812-EFEITO!$M$1812*EFEITO!$Z$1812</f>
        <v>43417.305450055806</v>
      </c>
      <c r="O1812" s="74">
        <f>$L$1812-EFEITO!$O$1812*EFEITO!$AA$1812</f>
        <v>53126.386103413992</v>
      </c>
      <c r="P1812" s="57"/>
      <c r="Q1812" s="57"/>
      <c r="R1812" s="57"/>
      <c r="S1812" s="57"/>
      <c r="T1812" s="57"/>
      <c r="U1812" s="57"/>
      <c r="V1812" s="57"/>
      <c r="W1812" s="57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</row>
    <row r="1813" spans="1:36" ht="11.25" customHeight="1" x14ac:dyDescent="0.2">
      <c r="A1813" s="53" t="s">
        <v>27</v>
      </c>
      <c r="B1813" s="53" t="s">
        <v>22</v>
      </c>
      <c r="C1813" s="53" t="s">
        <v>23</v>
      </c>
      <c r="D1813" s="53" t="s">
        <v>24</v>
      </c>
      <c r="E1813" s="53" t="s">
        <v>29</v>
      </c>
      <c r="F1813" s="53" t="s">
        <v>25</v>
      </c>
      <c r="G1813" s="53" t="s">
        <v>25</v>
      </c>
      <c r="H1813" s="53" t="s">
        <v>25</v>
      </c>
      <c r="I1813" s="73">
        <v>44013</v>
      </c>
      <c r="J1813" s="74">
        <f>EFEITO!$J$1813*EFEITO!$Y$1749</f>
        <v>0</v>
      </c>
      <c r="K1813" s="74">
        <f ca="1">EFEITO!$L$1813*EFEITO!$Z$1864</f>
        <v>23.821631433148134</v>
      </c>
      <c r="L1813" s="74">
        <f>EFEITO!$N$1813*EFEITO!$AA$1864</f>
        <v>29.148681061897278</v>
      </c>
      <c r="M1813" s="74">
        <f>$J$1813-EFEITO!$K$1813*EFEITO!$Y$1813</f>
        <v>0</v>
      </c>
      <c r="N1813" s="74">
        <f ca="1">$K$1813-EFEITO!$M$1813*EFEITO!$Z$1813</f>
        <v>15.484060431546288</v>
      </c>
      <c r="O1813" s="74">
        <f>$L$1813-EFEITO!$O$1813*EFEITO!$AA$1813</f>
        <v>18.946642690233233</v>
      </c>
      <c r="P1813" s="57"/>
      <c r="Q1813" s="57"/>
      <c r="R1813" s="57"/>
      <c r="S1813" s="57"/>
      <c r="T1813" s="57"/>
      <c r="U1813" s="57"/>
      <c r="V1813" s="57"/>
      <c r="W1813" s="57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</row>
    <row r="1814" spans="1:36" ht="11.25" customHeight="1" x14ac:dyDescent="0.2">
      <c r="A1814" s="53" t="s">
        <v>21</v>
      </c>
      <c r="B1814" s="53" t="s">
        <v>22</v>
      </c>
      <c r="C1814" s="53" t="s">
        <v>23</v>
      </c>
      <c r="D1814" s="53" t="s">
        <v>24</v>
      </c>
      <c r="E1814" s="53" t="s">
        <v>29</v>
      </c>
      <c r="F1814" s="53" t="s">
        <v>25</v>
      </c>
      <c r="G1814" s="53" t="s">
        <v>25</v>
      </c>
      <c r="H1814" s="53" t="s">
        <v>25</v>
      </c>
      <c r="I1814" s="73">
        <v>44044</v>
      </c>
      <c r="J1814" s="74">
        <f>EFEITO!$J$1814*EFEITO!$Y$1749</f>
        <v>0</v>
      </c>
      <c r="K1814" s="74">
        <f ca="1">EFEITO!$L$1814*EFEITO!$Z$1864</f>
        <v>67927.382031621906</v>
      </c>
      <c r="L1814" s="74">
        <f>EFEITO!$N$1814*EFEITO!$AA$1864</f>
        <v>83117.464048000096</v>
      </c>
      <c r="M1814" s="74">
        <f>$J$1814-EFEITO!$K$1814*EFEITO!$Y$1814</f>
        <v>0</v>
      </c>
      <c r="N1814" s="74">
        <f ca="1">$K$1814-EFEITO!$M$1814*EFEITO!$Z$1814</f>
        <v>44152.79832055424</v>
      </c>
      <c r="O1814" s="74">
        <f>$L$1814-EFEITO!$O$1814*EFEITO!$AA$1814</f>
        <v>54026.351631200072</v>
      </c>
      <c r="P1814" s="57"/>
      <c r="Q1814" s="57"/>
      <c r="R1814" s="57"/>
      <c r="S1814" s="57"/>
      <c r="T1814" s="57"/>
      <c r="U1814" s="57"/>
      <c r="V1814" s="57"/>
      <c r="W1814" s="57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</row>
    <row r="1815" spans="1:36" ht="11.25" customHeight="1" x14ac:dyDescent="0.2">
      <c r="A1815" s="53" t="s">
        <v>27</v>
      </c>
      <c r="B1815" s="53" t="s">
        <v>22</v>
      </c>
      <c r="C1815" s="53" t="s">
        <v>23</v>
      </c>
      <c r="D1815" s="53" t="s">
        <v>24</v>
      </c>
      <c r="E1815" s="53" t="s">
        <v>29</v>
      </c>
      <c r="F1815" s="53" t="s">
        <v>25</v>
      </c>
      <c r="G1815" s="53" t="s">
        <v>25</v>
      </c>
      <c r="H1815" s="53" t="s">
        <v>25</v>
      </c>
      <c r="I1815" s="73">
        <v>44044</v>
      </c>
      <c r="J1815" s="74">
        <f>EFEITO!$J$1815*EFEITO!$Y$1749</f>
        <v>0</v>
      </c>
      <c r="K1815" s="74">
        <f ca="1">EFEITO!$L$1815*EFEITO!$Z$1864</f>
        <v>23.821631433148134</v>
      </c>
      <c r="L1815" s="74">
        <f>EFEITO!$N$1815*EFEITO!$AA$1864</f>
        <v>29.148681061897278</v>
      </c>
      <c r="M1815" s="74">
        <f>$J$1815-EFEITO!$K$1815*EFEITO!$Y$1815</f>
        <v>0</v>
      </c>
      <c r="N1815" s="74">
        <f ca="1">$K$1815-EFEITO!$M$1815*EFEITO!$Z$1815</f>
        <v>15.484060431546288</v>
      </c>
      <c r="O1815" s="74">
        <f>$L$1815-EFEITO!$O$1815*EFEITO!$AA$1815</f>
        <v>18.946642690233233</v>
      </c>
      <c r="P1815" s="57"/>
      <c r="Q1815" s="57"/>
      <c r="R1815" s="57"/>
      <c r="S1815" s="57"/>
      <c r="T1815" s="57"/>
      <c r="U1815" s="57"/>
      <c r="V1815" s="57"/>
      <c r="W1815" s="57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</row>
    <row r="1816" spans="1:36" ht="11.25" customHeight="1" x14ac:dyDescent="0.2">
      <c r="A1816" s="53" t="s">
        <v>59</v>
      </c>
      <c r="B1816" s="53" t="s">
        <v>22</v>
      </c>
      <c r="C1816" s="53" t="s">
        <v>23</v>
      </c>
      <c r="D1816" s="53" t="s">
        <v>24</v>
      </c>
      <c r="E1816" s="53" t="s">
        <v>29</v>
      </c>
      <c r="F1816" s="53" t="s">
        <v>25</v>
      </c>
      <c r="G1816" s="53" t="s">
        <v>25</v>
      </c>
      <c r="H1816" s="53" t="s">
        <v>25</v>
      </c>
      <c r="I1816" s="73">
        <v>44075</v>
      </c>
      <c r="J1816" s="74">
        <f>EFEITO!$J$1816*EFEITO!$Y$1749</f>
        <v>0</v>
      </c>
      <c r="K1816" s="74">
        <f ca="1">EFEITO!$L$1816*EFEITO!$Z$1864</f>
        <v>67927.382031621906</v>
      </c>
      <c r="L1816" s="74">
        <f>EFEITO!$N$1816*EFEITO!$AA$1864</f>
        <v>83117.464048000096</v>
      </c>
      <c r="M1816" s="74">
        <f>$J$1816-EFEITO!$K$1816*EFEITO!$Y$1816</f>
        <v>0</v>
      </c>
      <c r="N1816" s="74">
        <f ca="1">$K$1816-EFEITO!$M$1816*EFEITO!$Z$1816</f>
        <v>44152.79832055424</v>
      </c>
      <c r="O1816" s="74">
        <f>$L$1816-EFEITO!$O$1816*EFEITO!$AA$1816</f>
        <v>54026.351631200072</v>
      </c>
      <c r="P1816" s="57"/>
      <c r="Q1816" s="57"/>
      <c r="R1816" s="57"/>
      <c r="S1816" s="57"/>
      <c r="T1816" s="57"/>
      <c r="U1816" s="57"/>
      <c r="V1816" s="57"/>
      <c r="W1816" s="57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</row>
    <row r="1817" spans="1:36" ht="11.25" customHeight="1" x14ac:dyDescent="0.2">
      <c r="A1817" s="53" t="s">
        <v>59</v>
      </c>
      <c r="B1817" s="53" t="s">
        <v>22</v>
      </c>
      <c r="C1817" s="53" t="s">
        <v>23</v>
      </c>
      <c r="D1817" s="53" t="s">
        <v>24</v>
      </c>
      <c r="E1817" s="53" t="s">
        <v>29</v>
      </c>
      <c r="F1817" s="53" t="s">
        <v>25</v>
      </c>
      <c r="G1817" s="53" t="s">
        <v>25</v>
      </c>
      <c r="H1817" s="53" t="s">
        <v>25</v>
      </c>
      <c r="I1817" s="73">
        <v>44075</v>
      </c>
      <c r="J1817" s="74">
        <f>EFEITO!$J$1817*EFEITO!$Y$1749</f>
        <v>0</v>
      </c>
      <c r="K1817" s="74">
        <f ca="1">EFEITO!$L$1817*EFEITO!$Z$1864</f>
        <v>23.821631433148134</v>
      </c>
      <c r="L1817" s="74">
        <f>EFEITO!$N$1817*EFEITO!$AA$1864</f>
        <v>29.148681061897278</v>
      </c>
      <c r="M1817" s="74">
        <f>$J$1817-EFEITO!$K$1817*EFEITO!$Y$1817</f>
        <v>0</v>
      </c>
      <c r="N1817" s="74">
        <f ca="1">$K$1817-EFEITO!$M$1817*EFEITO!$Z$1817</f>
        <v>15.484060431546288</v>
      </c>
      <c r="O1817" s="74">
        <f>$L$1817-EFEITO!$O$1817*EFEITO!$AA$1817</f>
        <v>18.946642690233233</v>
      </c>
      <c r="P1817" s="57"/>
      <c r="Q1817" s="57"/>
      <c r="R1817" s="57"/>
      <c r="S1817" s="57"/>
      <c r="T1817" s="57"/>
      <c r="U1817" s="57"/>
      <c r="V1817" s="57"/>
      <c r="W1817" s="57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</row>
    <row r="1818" spans="1:36" ht="11.25" customHeight="1" x14ac:dyDescent="0.2">
      <c r="A1818" s="53" t="s">
        <v>21</v>
      </c>
      <c r="B1818" s="53" t="s">
        <v>22</v>
      </c>
      <c r="C1818" s="53" t="s">
        <v>23</v>
      </c>
      <c r="D1818" s="53" t="s">
        <v>24</v>
      </c>
      <c r="E1818" s="53" t="s">
        <v>30</v>
      </c>
      <c r="F1818" s="53" t="s">
        <v>25</v>
      </c>
      <c r="G1818" s="53" t="s">
        <v>25</v>
      </c>
      <c r="H1818" s="53" t="s">
        <v>25</v>
      </c>
      <c r="I1818" s="73">
        <v>43739</v>
      </c>
      <c r="J1818" s="74">
        <f>EFEITO!$J$1818*EFEITO!$Y$1749</f>
        <v>0</v>
      </c>
      <c r="K1818" s="74">
        <f ca="1">EFEITO!$L$1818*EFEITO!$Z$1864</f>
        <v>107983.25677286522</v>
      </c>
      <c r="L1818" s="74">
        <f>EFEITO!$N$1818*EFEITO!$AA$1864</f>
        <v>132130.72834790483</v>
      </c>
      <c r="M1818" s="74">
        <f>$J$1818-EFEITO!$K$1818*EFEITO!$Y$1818</f>
        <v>0</v>
      </c>
      <c r="N1818" s="74">
        <f ca="1">$K$1818-EFEITO!$M$1818*EFEITO!$Z$1818</f>
        <v>43193.302709146097</v>
      </c>
      <c r="O1818" s="74">
        <f>$L$1818-EFEITO!$O$1818*EFEITO!$AA$1818</f>
        <v>52852.291339161937</v>
      </c>
      <c r="P1818" s="57"/>
      <c r="Q1818" s="57"/>
      <c r="R1818" s="57"/>
      <c r="S1818" s="57"/>
      <c r="T1818" s="57"/>
      <c r="U1818" s="57"/>
      <c r="V1818" s="57"/>
      <c r="W1818" s="57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</row>
    <row r="1819" spans="1:36" ht="11.25" customHeight="1" x14ac:dyDescent="0.2">
      <c r="A1819" s="53" t="s">
        <v>27</v>
      </c>
      <c r="B1819" s="53" t="s">
        <v>22</v>
      </c>
      <c r="C1819" s="53" t="s">
        <v>23</v>
      </c>
      <c r="D1819" s="53" t="s">
        <v>24</v>
      </c>
      <c r="E1819" s="53" t="s">
        <v>30</v>
      </c>
      <c r="F1819" s="53" t="s">
        <v>25</v>
      </c>
      <c r="G1819" s="53" t="s">
        <v>25</v>
      </c>
      <c r="H1819" s="53" t="s">
        <v>25</v>
      </c>
      <c r="I1819" s="73">
        <v>43739</v>
      </c>
      <c r="J1819" s="74">
        <f>EFEITO!$J$1819*EFEITO!$Y$1749</f>
        <v>0</v>
      </c>
      <c r="K1819" s="74">
        <f ca="1">EFEITO!$L$1819*EFEITO!$Z$1864</f>
        <v>33.747311196959863</v>
      </c>
      <c r="L1819" s="74">
        <f>EFEITO!$N$1819*EFEITO!$AA$1864</f>
        <v>41.293964837687817</v>
      </c>
      <c r="M1819" s="74">
        <f>$J$1819-EFEITO!$K$1819*EFEITO!$Y$1819</f>
        <v>0</v>
      </c>
      <c r="N1819" s="74">
        <f ca="1">$K$1819-EFEITO!$M$1819*EFEITO!$Z$1819</f>
        <v>13.498924478783948</v>
      </c>
      <c r="O1819" s="74">
        <f>$L$1819-EFEITO!$O$1819*EFEITO!$AA$1819</f>
        <v>16.517585935075132</v>
      </c>
      <c r="P1819" s="57"/>
      <c r="Q1819" s="57"/>
      <c r="R1819" s="57"/>
      <c r="S1819" s="57"/>
      <c r="T1819" s="57"/>
      <c r="U1819" s="57"/>
      <c r="V1819" s="57"/>
      <c r="W1819" s="57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</row>
    <row r="1820" spans="1:36" ht="11.25" customHeight="1" x14ac:dyDescent="0.2">
      <c r="A1820" s="53" t="s">
        <v>21</v>
      </c>
      <c r="B1820" s="53" t="s">
        <v>22</v>
      </c>
      <c r="C1820" s="53" t="s">
        <v>23</v>
      </c>
      <c r="D1820" s="53" t="s">
        <v>24</v>
      </c>
      <c r="E1820" s="53" t="s">
        <v>30</v>
      </c>
      <c r="F1820" s="53" t="s">
        <v>25</v>
      </c>
      <c r="G1820" s="53" t="s">
        <v>25</v>
      </c>
      <c r="H1820" s="53" t="s">
        <v>25</v>
      </c>
      <c r="I1820" s="73">
        <v>43770</v>
      </c>
      <c r="J1820" s="74">
        <f>EFEITO!$J$1820*EFEITO!$Y$1749</f>
        <v>0</v>
      </c>
      <c r="K1820" s="74">
        <f ca="1">EFEITO!$L$1820*EFEITO!$Z$1864</f>
        <v>112481.97186901525</v>
      </c>
      <c r="L1820" s="74">
        <f>EFEITO!$N$1820*EFEITO!$AA$1864</f>
        <v>137635.45676644414</v>
      </c>
      <c r="M1820" s="74">
        <f>$J$1820-EFEITO!$K$1820*EFEITO!$Y$1820</f>
        <v>0</v>
      </c>
      <c r="N1820" s="74">
        <f ca="1">$K$1820-EFEITO!$M$1820*EFEITO!$Z$1820</f>
        <v>44992.788747606101</v>
      </c>
      <c r="O1820" s="74">
        <f>$L$1820-EFEITO!$O$1820*EFEITO!$AA$1820</f>
        <v>55054.18270657766</v>
      </c>
      <c r="P1820" s="57"/>
      <c r="Q1820" s="57"/>
      <c r="R1820" s="57"/>
      <c r="S1820" s="57"/>
      <c r="T1820" s="57"/>
      <c r="U1820" s="57"/>
      <c r="V1820" s="57"/>
      <c r="W1820" s="57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</row>
    <row r="1821" spans="1:36" ht="11.25" customHeight="1" x14ac:dyDescent="0.2">
      <c r="A1821" s="53" t="s">
        <v>27</v>
      </c>
      <c r="B1821" s="53" t="s">
        <v>22</v>
      </c>
      <c r="C1821" s="53" t="s">
        <v>23</v>
      </c>
      <c r="D1821" s="53" t="s">
        <v>24</v>
      </c>
      <c r="E1821" s="53" t="s">
        <v>30</v>
      </c>
      <c r="F1821" s="53" t="s">
        <v>25</v>
      </c>
      <c r="G1821" s="53" t="s">
        <v>25</v>
      </c>
      <c r="H1821" s="53" t="s">
        <v>25</v>
      </c>
      <c r="I1821" s="73">
        <v>43770</v>
      </c>
      <c r="J1821" s="74">
        <f>EFEITO!$J$1821*EFEITO!$Y$1749</f>
        <v>0</v>
      </c>
      <c r="K1821" s="74">
        <f ca="1">EFEITO!$L$1821*EFEITO!$Z$1864</f>
        <v>65.112459250604914</v>
      </c>
      <c r="L1821" s="74">
        <f>EFEITO!$N$1821*EFEITO!$AA$1864</f>
        <v>79.673061569185904</v>
      </c>
      <c r="M1821" s="74">
        <f>$J$1821-EFEITO!$K$1821*EFEITO!$Y$1821</f>
        <v>0</v>
      </c>
      <c r="N1821" s="74">
        <f ca="1">$K$1821-EFEITO!$M$1821*EFEITO!$Z$1821</f>
        <v>26.044983700241971</v>
      </c>
      <c r="O1821" s="74">
        <f>$L$1821-EFEITO!$O$1821*EFEITO!$AA$1821</f>
        <v>31.86922462767437</v>
      </c>
      <c r="P1821" s="57"/>
      <c r="Q1821" s="57"/>
      <c r="R1821" s="57"/>
      <c r="S1821" s="57"/>
      <c r="T1821" s="57"/>
      <c r="U1821" s="57"/>
      <c r="V1821" s="57"/>
      <c r="W1821" s="57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</row>
    <row r="1822" spans="1:36" ht="11.25" customHeight="1" x14ac:dyDescent="0.2">
      <c r="A1822" s="53" t="s">
        <v>21</v>
      </c>
      <c r="B1822" s="53" t="s">
        <v>22</v>
      </c>
      <c r="C1822" s="53" t="s">
        <v>23</v>
      </c>
      <c r="D1822" s="53" t="s">
        <v>24</v>
      </c>
      <c r="E1822" s="53" t="s">
        <v>30</v>
      </c>
      <c r="F1822" s="53" t="s">
        <v>25</v>
      </c>
      <c r="G1822" s="53" t="s">
        <v>25</v>
      </c>
      <c r="H1822" s="53" t="s">
        <v>25</v>
      </c>
      <c r="I1822" s="73">
        <v>43800</v>
      </c>
      <c r="J1822" s="74">
        <f>EFEITO!$J$1822*EFEITO!$Y$1749</f>
        <v>0</v>
      </c>
      <c r="K1822" s="74">
        <f ca="1">EFEITO!$L$1822*EFEITO!$Z$1864</f>
        <v>111524.93782618851</v>
      </c>
      <c r="L1822" s="74">
        <f>EFEITO!$N$1822*EFEITO!$AA$1864</f>
        <v>136464.40850478242</v>
      </c>
      <c r="M1822" s="74">
        <f>$J$1822-EFEITO!$K$1822*EFEITO!$Y$1822</f>
        <v>0</v>
      </c>
      <c r="N1822" s="74">
        <f ca="1">$K$1822-EFEITO!$M$1822*EFEITO!$Z$1822</f>
        <v>44609.975130475403</v>
      </c>
      <c r="O1822" s="74">
        <f>$L$1822-EFEITO!$O$1822*EFEITO!$AA$1822</f>
        <v>54585.763401912976</v>
      </c>
      <c r="P1822" s="57"/>
      <c r="Q1822" s="57"/>
      <c r="R1822" s="57"/>
      <c r="S1822" s="57"/>
      <c r="T1822" s="57"/>
      <c r="U1822" s="57"/>
      <c r="V1822" s="57"/>
      <c r="W1822" s="57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</row>
    <row r="1823" spans="1:36" ht="11.25" customHeight="1" x14ac:dyDescent="0.2">
      <c r="A1823" s="53" t="s">
        <v>27</v>
      </c>
      <c r="B1823" s="53" t="s">
        <v>22</v>
      </c>
      <c r="C1823" s="53" t="s">
        <v>23</v>
      </c>
      <c r="D1823" s="53" t="s">
        <v>24</v>
      </c>
      <c r="E1823" s="53" t="s">
        <v>30</v>
      </c>
      <c r="F1823" s="53" t="s">
        <v>25</v>
      </c>
      <c r="G1823" s="53" t="s">
        <v>25</v>
      </c>
      <c r="H1823" s="53" t="s">
        <v>25</v>
      </c>
      <c r="I1823" s="73">
        <v>43800</v>
      </c>
      <c r="J1823" s="74">
        <f>EFEITO!$J$1823*EFEITO!$Y$1749</f>
        <v>0</v>
      </c>
      <c r="K1823" s="74">
        <f ca="1">EFEITO!$L$1823*EFEITO!$Z$1864</f>
        <v>27.791903338672828</v>
      </c>
      <c r="L1823" s="74">
        <f>EFEITO!$N$1823*EFEITO!$AA$1864</f>
        <v>34.006794572213494</v>
      </c>
      <c r="M1823" s="74">
        <f>$J$1823-EFEITO!$K$1823*EFEITO!$Y$1823</f>
        <v>0</v>
      </c>
      <c r="N1823" s="74">
        <f ca="1">$K$1823-EFEITO!$M$1823*EFEITO!$Z$1823</f>
        <v>11.116761335469132</v>
      </c>
      <c r="O1823" s="74">
        <f>$L$1823-EFEITO!$O$1823*EFEITO!$AA$1823</f>
        <v>13.6027178288854</v>
      </c>
      <c r="P1823" s="57"/>
      <c r="Q1823" s="57"/>
      <c r="R1823" s="57"/>
      <c r="S1823" s="57"/>
      <c r="T1823" s="57"/>
      <c r="U1823" s="57"/>
      <c r="V1823" s="57"/>
      <c r="W1823" s="57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</row>
    <row r="1824" spans="1:36" ht="11.25" customHeight="1" x14ac:dyDescent="0.2">
      <c r="A1824" s="53" t="s">
        <v>21</v>
      </c>
      <c r="B1824" s="53" t="s">
        <v>22</v>
      </c>
      <c r="C1824" s="53" t="s">
        <v>23</v>
      </c>
      <c r="D1824" s="53" t="s">
        <v>24</v>
      </c>
      <c r="E1824" s="53" t="s">
        <v>30</v>
      </c>
      <c r="F1824" s="53" t="s">
        <v>25</v>
      </c>
      <c r="G1824" s="53" t="s">
        <v>25</v>
      </c>
      <c r="H1824" s="53" t="s">
        <v>25</v>
      </c>
      <c r="I1824" s="73">
        <v>43831</v>
      </c>
      <c r="J1824" s="74">
        <f>EFEITO!$J$1824*EFEITO!$Y$1749</f>
        <v>0</v>
      </c>
      <c r="K1824" s="74">
        <f ca="1">EFEITO!$L$1824*EFEITO!$Z$1864</f>
        <v>113546.20325329114</v>
      </c>
      <c r="L1824" s="74">
        <f>EFEITO!$N$1824*EFEITO!$AA$1864</f>
        <v>138937.67409288441</v>
      </c>
      <c r="M1824" s="74">
        <f>$J$1824-EFEITO!$K$1824*EFEITO!$Y$1824</f>
        <v>0</v>
      </c>
      <c r="N1824" s="74">
        <f ca="1">$K$1824-EFEITO!$M$1824*EFEITO!$Z$1824</f>
        <v>45418.481301316453</v>
      </c>
      <c r="O1824" s="74">
        <f>$L$1824-EFEITO!$O$1824*EFEITO!$AA$1824</f>
        <v>55575.069637153778</v>
      </c>
      <c r="P1824" s="57"/>
      <c r="Q1824" s="57"/>
      <c r="R1824" s="57"/>
      <c r="S1824" s="57"/>
      <c r="T1824" s="57"/>
      <c r="U1824" s="57"/>
      <c r="V1824" s="57"/>
      <c r="W1824" s="57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</row>
    <row r="1825" spans="1:36" ht="11.25" customHeight="1" x14ac:dyDescent="0.2">
      <c r="A1825" s="53" t="s">
        <v>27</v>
      </c>
      <c r="B1825" s="53" t="s">
        <v>22</v>
      </c>
      <c r="C1825" s="53" t="s">
        <v>23</v>
      </c>
      <c r="D1825" s="53" t="s">
        <v>24</v>
      </c>
      <c r="E1825" s="53" t="s">
        <v>30</v>
      </c>
      <c r="F1825" s="53" t="s">
        <v>25</v>
      </c>
      <c r="G1825" s="53" t="s">
        <v>25</v>
      </c>
      <c r="H1825" s="53" t="s">
        <v>25</v>
      </c>
      <c r="I1825" s="73">
        <v>43831</v>
      </c>
      <c r="J1825" s="74">
        <f>EFEITO!$J$1825*EFEITO!$Y$1749</f>
        <v>0</v>
      </c>
      <c r="K1825" s="74">
        <f ca="1">EFEITO!$L$1825*EFEITO!$Z$1864</f>
        <v>70.472326323063228</v>
      </c>
      <c r="L1825" s="74">
        <f>EFEITO!$N$1825*EFEITO!$AA$1864</f>
        <v>86.231514808112777</v>
      </c>
      <c r="M1825" s="74">
        <f>$J$1825-EFEITO!$K$1825*EFEITO!$Y$1825</f>
        <v>0</v>
      </c>
      <c r="N1825" s="74">
        <f ca="1">$K$1825-EFEITO!$M$1825*EFEITO!$Z$1825</f>
        <v>28.188930529225289</v>
      </c>
      <c r="O1825" s="74">
        <f>$L$1825-EFEITO!$O$1825*EFEITO!$AA$1825</f>
        <v>34.492605923245115</v>
      </c>
      <c r="P1825" s="57"/>
      <c r="Q1825" s="57"/>
      <c r="R1825" s="57"/>
      <c r="S1825" s="57"/>
      <c r="T1825" s="57"/>
      <c r="U1825" s="57"/>
      <c r="V1825" s="57"/>
      <c r="W1825" s="57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</row>
    <row r="1826" spans="1:36" ht="11.25" customHeight="1" x14ac:dyDescent="0.2">
      <c r="A1826" s="53" t="s">
        <v>21</v>
      </c>
      <c r="B1826" s="53" t="s">
        <v>22</v>
      </c>
      <c r="C1826" s="53" t="s">
        <v>23</v>
      </c>
      <c r="D1826" s="53" t="s">
        <v>24</v>
      </c>
      <c r="E1826" s="53" t="s">
        <v>30</v>
      </c>
      <c r="F1826" s="53" t="s">
        <v>25</v>
      </c>
      <c r="G1826" s="53" t="s">
        <v>25</v>
      </c>
      <c r="H1826" s="53" t="s">
        <v>25</v>
      </c>
      <c r="I1826" s="73">
        <v>43862</v>
      </c>
      <c r="J1826" s="74">
        <f>EFEITO!$J$1826*EFEITO!$Y$1749</f>
        <v>0</v>
      </c>
      <c r="K1826" s="74">
        <f ca="1">EFEITO!$L$1826*EFEITO!$Z$1864</f>
        <v>112095.66441260769</v>
      </c>
      <c r="L1826" s="74">
        <f>EFEITO!$N$1826*EFEITO!$AA$1864</f>
        <v>137162.76232189036</v>
      </c>
      <c r="M1826" s="74">
        <f>$J$1826-EFEITO!$K$1826*EFEITO!$Y$1826</f>
        <v>0</v>
      </c>
      <c r="N1826" s="74">
        <f ca="1">$K$1826-EFEITO!$M$1826*EFEITO!$Z$1826</f>
        <v>44838.265765043077</v>
      </c>
      <c r="O1826" s="74">
        <f>$L$1826-EFEITO!$O$1826*EFEITO!$AA$1826</f>
        <v>54865.104928756147</v>
      </c>
      <c r="P1826" s="57"/>
      <c r="Q1826" s="57"/>
      <c r="R1826" s="57"/>
      <c r="S1826" s="57"/>
      <c r="T1826" s="57"/>
      <c r="U1826" s="57"/>
      <c r="V1826" s="57"/>
      <c r="W1826" s="57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</row>
    <row r="1827" spans="1:36" ht="11.25" customHeight="1" x14ac:dyDescent="0.2">
      <c r="A1827" s="53" t="s">
        <v>21</v>
      </c>
      <c r="B1827" s="53" t="s">
        <v>22</v>
      </c>
      <c r="C1827" s="53" t="s">
        <v>23</v>
      </c>
      <c r="D1827" s="53" t="s">
        <v>24</v>
      </c>
      <c r="E1827" s="53" t="s">
        <v>30</v>
      </c>
      <c r="F1827" s="53" t="s">
        <v>25</v>
      </c>
      <c r="G1827" s="53" t="s">
        <v>25</v>
      </c>
      <c r="H1827" s="53" t="s">
        <v>25</v>
      </c>
      <c r="I1827" s="73">
        <v>43891</v>
      </c>
      <c r="J1827" s="74">
        <f>EFEITO!$J$1827*EFEITO!$Y$1749</f>
        <v>0</v>
      </c>
      <c r="K1827" s="74">
        <f ca="1">EFEITO!$L$1827*EFEITO!$Z$1864</f>
        <v>105727.94381693192</v>
      </c>
      <c r="L1827" s="74">
        <f>EFEITO!$N$1827*EFEITO!$AA$1864</f>
        <v>129371.07696836971</v>
      </c>
      <c r="M1827" s="74">
        <f>$J$1827-EFEITO!$K$1827*EFEITO!$Y$1827</f>
        <v>0</v>
      </c>
      <c r="N1827" s="74">
        <f ca="1">$K$1827-EFEITO!$M$1827*EFEITO!$Z$1827</f>
        <v>42291.177526772772</v>
      </c>
      <c r="O1827" s="74">
        <f>$L$1827-EFEITO!$O$1827*EFEITO!$AA$1827</f>
        <v>51748.430787347897</v>
      </c>
      <c r="P1827" s="57"/>
      <c r="Q1827" s="57"/>
      <c r="R1827" s="57"/>
      <c r="S1827" s="57"/>
      <c r="T1827" s="57"/>
      <c r="U1827" s="57"/>
      <c r="V1827" s="57"/>
      <c r="W1827" s="57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</row>
    <row r="1828" spans="1:36" ht="11.25" customHeight="1" x14ac:dyDescent="0.2">
      <c r="A1828" s="53" t="s">
        <v>27</v>
      </c>
      <c r="B1828" s="53" t="s">
        <v>22</v>
      </c>
      <c r="C1828" s="53" t="s">
        <v>23</v>
      </c>
      <c r="D1828" s="53" t="s">
        <v>24</v>
      </c>
      <c r="E1828" s="53" t="s">
        <v>30</v>
      </c>
      <c r="F1828" s="53" t="s">
        <v>25</v>
      </c>
      <c r="G1828" s="53" t="s">
        <v>25</v>
      </c>
      <c r="H1828" s="53" t="s">
        <v>25</v>
      </c>
      <c r="I1828" s="73">
        <v>43891</v>
      </c>
      <c r="J1828" s="74">
        <f>EFEITO!$J$1828*EFEITO!$Y$1749</f>
        <v>0</v>
      </c>
      <c r="K1828" s="74">
        <f ca="1">EFEITO!$L$1828*EFEITO!$Z$1864</f>
        <v>96.080580113697479</v>
      </c>
      <c r="L1828" s="74">
        <f>EFEITO!$N$1828*EFEITO!$AA$1864</f>
        <v>117.56634694965236</v>
      </c>
      <c r="M1828" s="74">
        <f>$J$1828-EFEITO!$K$1828*EFEITO!$Y$1828</f>
        <v>0</v>
      </c>
      <c r="N1828" s="74">
        <f ca="1">$K$1828-EFEITO!$M$1828*EFEITO!$Z$1828</f>
        <v>38.43223204547899</v>
      </c>
      <c r="O1828" s="74">
        <f>$L$1828-EFEITO!$O$1828*EFEITO!$AA$1828</f>
        <v>47.026538779860957</v>
      </c>
      <c r="P1828" s="57"/>
      <c r="Q1828" s="57"/>
      <c r="R1828" s="57"/>
      <c r="S1828" s="57"/>
      <c r="T1828" s="57"/>
      <c r="U1828" s="57"/>
      <c r="V1828" s="57"/>
      <c r="W1828" s="57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</row>
    <row r="1829" spans="1:36" ht="11.25" customHeight="1" x14ac:dyDescent="0.2">
      <c r="A1829" s="53" t="s">
        <v>21</v>
      </c>
      <c r="B1829" s="53" t="s">
        <v>22</v>
      </c>
      <c r="C1829" s="53" t="s">
        <v>23</v>
      </c>
      <c r="D1829" s="53" t="s">
        <v>24</v>
      </c>
      <c r="E1829" s="53" t="s">
        <v>30</v>
      </c>
      <c r="F1829" s="53" t="s">
        <v>25</v>
      </c>
      <c r="G1829" s="53" t="s">
        <v>25</v>
      </c>
      <c r="H1829" s="53" t="s">
        <v>25</v>
      </c>
      <c r="I1829" s="73">
        <v>43922</v>
      </c>
      <c r="J1829" s="74">
        <f>EFEITO!$J$1829*EFEITO!$Y$1749</f>
        <v>0</v>
      </c>
      <c r="K1829" s="74">
        <f ca="1">EFEITO!$L$1829*EFEITO!$Z$1864</f>
        <v>106442.59275992637</v>
      </c>
      <c r="L1829" s="74">
        <f>EFEITO!$N$1829*EFEITO!$AA$1864</f>
        <v>130245.53740022663</v>
      </c>
      <c r="M1829" s="74">
        <f>$J$1829-EFEITO!$K$1829*EFEITO!$Y$1829</f>
        <v>0</v>
      </c>
      <c r="N1829" s="74">
        <f ca="1">$K$1829-EFEITO!$M$1829*EFEITO!$Z$1829</f>
        <v>42577.03710397055</v>
      </c>
      <c r="O1829" s="74">
        <f>$L$1829-EFEITO!$O$1829*EFEITO!$AA$1829</f>
        <v>52098.214960090656</v>
      </c>
      <c r="P1829" s="57"/>
      <c r="Q1829" s="57"/>
      <c r="R1829" s="57"/>
      <c r="S1829" s="57"/>
      <c r="T1829" s="57"/>
      <c r="U1829" s="57"/>
      <c r="V1829" s="57"/>
      <c r="W1829" s="57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</row>
    <row r="1830" spans="1:36" ht="11.25" customHeight="1" x14ac:dyDescent="0.2">
      <c r="A1830" s="53" t="s">
        <v>27</v>
      </c>
      <c r="B1830" s="53" t="s">
        <v>22</v>
      </c>
      <c r="C1830" s="53" t="s">
        <v>23</v>
      </c>
      <c r="D1830" s="53" t="s">
        <v>24</v>
      </c>
      <c r="E1830" s="53" t="s">
        <v>30</v>
      </c>
      <c r="F1830" s="53" t="s">
        <v>25</v>
      </c>
      <c r="G1830" s="53" t="s">
        <v>25</v>
      </c>
      <c r="H1830" s="53" t="s">
        <v>25</v>
      </c>
      <c r="I1830" s="73">
        <v>43922</v>
      </c>
      <c r="J1830" s="74">
        <f>EFEITO!$J$1830*EFEITO!$Y$1749</f>
        <v>0</v>
      </c>
      <c r="K1830" s="74">
        <f ca="1">EFEITO!$L$1830*EFEITO!$Z$1864</f>
        <v>444.67045341876525</v>
      </c>
      <c r="L1830" s="74">
        <f>EFEITO!$N$1830*EFEITO!$AA$1864</f>
        <v>544.1087131554159</v>
      </c>
      <c r="M1830" s="74">
        <f>$J$1830-EFEITO!$K$1830*EFEITO!$Y$1830</f>
        <v>0</v>
      </c>
      <c r="N1830" s="74">
        <f ca="1">$K$1830-EFEITO!$M$1830*EFEITO!$Z$1830</f>
        <v>177.86818136750611</v>
      </c>
      <c r="O1830" s="74">
        <f>$L$1830-EFEITO!$O$1830*EFEITO!$AA$1830</f>
        <v>217.64348526216639</v>
      </c>
      <c r="P1830" s="57"/>
      <c r="Q1830" s="57"/>
      <c r="R1830" s="57"/>
      <c r="S1830" s="57"/>
      <c r="T1830" s="57"/>
      <c r="U1830" s="57"/>
      <c r="V1830" s="57"/>
      <c r="W1830" s="57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</row>
    <row r="1831" spans="1:36" ht="11.25" customHeight="1" x14ac:dyDescent="0.2">
      <c r="A1831" s="53" t="s">
        <v>21</v>
      </c>
      <c r="B1831" s="53" t="s">
        <v>22</v>
      </c>
      <c r="C1831" s="53" t="s">
        <v>23</v>
      </c>
      <c r="D1831" s="53" t="s">
        <v>24</v>
      </c>
      <c r="E1831" s="53" t="s">
        <v>30</v>
      </c>
      <c r="F1831" s="53" t="s">
        <v>25</v>
      </c>
      <c r="G1831" s="53" t="s">
        <v>25</v>
      </c>
      <c r="H1831" s="53" t="s">
        <v>25</v>
      </c>
      <c r="I1831" s="73">
        <v>43952</v>
      </c>
      <c r="J1831" s="74">
        <f>EFEITO!$J$1831*EFEITO!$Y$1749</f>
        <v>0</v>
      </c>
      <c r="K1831" s="74">
        <f ca="1">EFEITO!$L$1831*EFEITO!$Z$1864</f>
        <v>126228.64131470394</v>
      </c>
      <c r="L1831" s="74">
        <f>EFEITO!$N$1831*EFEITO!$AA$1864</f>
        <v>154456.18898456302</v>
      </c>
      <c r="M1831" s="74">
        <f>$J$1831-EFEITO!$K$1831*EFEITO!$Y$1831</f>
        <v>0</v>
      </c>
      <c r="N1831" s="74">
        <f ca="1">$K$1831-EFEITO!$M$1831*EFEITO!$Z$1831</f>
        <v>50491.456525881586</v>
      </c>
      <c r="O1831" s="74">
        <f>$L$1831-EFEITO!$O$1831*EFEITO!$AA$1831</f>
        <v>61782.47559382522</v>
      </c>
      <c r="P1831" s="57"/>
      <c r="Q1831" s="57"/>
      <c r="R1831" s="57"/>
      <c r="S1831" s="57"/>
      <c r="T1831" s="57"/>
      <c r="U1831" s="57"/>
      <c r="V1831" s="57"/>
      <c r="W1831" s="57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</row>
    <row r="1832" spans="1:36" ht="11.25" customHeight="1" x14ac:dyDescent="0.2">
      <c r="A1832" s="53" t="s">
        <v>27</v>
      </c>
      <c r="B1832" s="53" t="s">
        <v>22</v>
      </c>
      <c r="C1832" s="53" t="s">
        <v>23</v>
      </c>
      <c r="D1832" s="53" t="s">
        <v>24</v>
      </c>
      <c r="E1832" s="53" t="s">
        <v>30</v>
      </c>
      <c r="F1832" s="53" t="s">
        <v>25</v>
      </c>
      <c r="G1832" s="53" t="s">
        <v>25</v>
      </c>
      <c r="H1832" s="53" t="s">
        <v>25</v>
      </c>
      <c r="I1832" s="73">
        <v>43952</v>
      </c>
      <c r="J1832" s="74">
        <f>EFEITO!$J$1832*EFEITO!$Y$1749</f>
        <v>0</v>
      </c>
      <c r="K1832" s="74">
        <f ca="1">EFEITO!$L$1832*EFEITO!$Z$1864</f>
        <v>1139.4680368855859</v>
      </c>
      <c r="L1832" s="74">
        <f>EFEITO!$N$1832*EFEITO!$AA$1864</f>
        <v>1394.2785774607532</v>
      </c>
      <c r="M1832" s="74">
        <f>$J$1832-EFEITO!$K$1832*EFEITO!$Y$1832</f>
        <v>0</v>
      </c>
      <c r="N1832" s="74">
        <f ca="1">$K$1832-EFEITO!$M$1832*EFEITO!$Z$1832</f>
        <v>455.78721475423436</v>
      </c>
      <c r="O1832" s="74">
        <f>$L$1832-EFEITO!$O$1832*EFEITO!$AA$1832</f>
        <v>557.71143098430139</v>
      </c>
      <c r="P1832" s="57"/>
      <c r="Q1832" s="57"/>
      <c r="R1832" s="57"/>
      <c r="S1832" s="57"/>
      <c r="T1832" s="57"/>
      <c r="U1832" s="57"/>
      <c r="V1832" s="57"/>
      <c r="W1832" s="57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</row>
    <row r="1833" spans="1:36" ht="11.25" customHeight="1" x14ac:dyDescent="0.2">
      <c r="A1833" s="53" t="s">
        <v>21</v>
      </c>
      <c r="B1833" s="53" t="s">
        <v>22</v>
      </c>
      <c r="C1833" s="53" t="s">
        <v>23</v>
      </c>
      <c r="D1833" s="53" t="s">
        <v>24</v>
      </c>
      <c r="E1833" s="53" t="s">
        <v>30</v>
      </c>
      <c r="F1833" s="53" t="s">
        <v>25</v>
      </c>
      <c r="G1833" s="53" t="s">
        <v>25</v>
      </c>
      <c r="H1833" s="53" t="s">
        <v>25</v>
      </c>
      <c r="I1833" s="73">
        <v>43983</v>
      </c>
      <c r="J1833" s="74">
        <f>EFEITO!$J$1833*EFEITO!$Y$1749</f>
        <v>0</v>
      </c>
      <c r="K1833" s="74">
        <f ca="1">EFEITO!$L$1833*EFEITO!$Z$1864</f>
        <v>135657.24303594397</v>
      </c>
      <c r="L1833" s="74">
        <f>EFEITO!$N$1833*EFEITO!$AA$1864</f>
        <v>165993.23694886194</v>
      </c>
      <c r="M1833" s="74">
        <f>$J$1833-EFEITO!$K$1833*EFEITO!$Y$1833</f>
        <v>0</v>
      </c>
      <c r="N1833" s="74">
        <f ca="1">$K$1833-EFEITO!$M$1833*EFEITO!$Z$1833</f>
        <v>54262.89721437759</v>
      </c>
      <c r="O1833" s="74">
        <f>$L$1833-EFEITO!$O$1833*EFEITO!$AA$1833</f>
        <v>66397.294779544784</v>
      </c>
      <c r="P1833" s="57"/>
      <c r="Q1833" s="57"/>
      <c r="R1833" s="57"/>
      <c r="S1833" s="57"/>
      <c r="T1833" s="57"/>
      <c r="U1833" s="57"/>
      <c r="V1833" s="57"/>
      <c r="W1833" s="57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</row>
    <row r="1834" spans="1:36" ht="11.25" customHeight="1" x14ac:dyDescent="0.2">
      <c r="A1834" s="53" t="s">
        <v>27</v>
      </c>
      <c r="B1834" s="53" t="s">
        <v>22</v>
      </c>
      <c r="C1834" s="53" t="s">
        <v>23</v>
      </c>
      <c r="D1834" s="53" t="s">
        <v>24</v>
      </c>
      <c r="E1834" s="53" t="s">
        <v>30</v>
      </c>
      <c r="F1834" s="53" t="s">
        <v>25</v>
      </c>
      <c r="G1834" s="53" t="s">
        <v>25</v>
      </c>
      <c r="H1834" s="53" t="s">
        <v>25</v>
      </c>
      <c r="I1834" s="73">
        <v>43983</v>
      </c>
      <c r="J1834" s="74">
        <f>EFEITO!$J$1834*EFEITO!$Y$1749</f>
        <v>0</v>
      </c>
      <c r="K1834" s="74">
        <f ca="1">EFEITO!$L$1834*EFEITO!$Z$1864</f>
        <v>97.271661685354886</v>
      </c>
      <c r="L1834" s="74">
        <f>EFEITO!$N$1834*EFEITO!$AA$1864</f>
        <v>119.02378100274721</v>
      </c>
      <c r="M1834" s="74">
        <f>$J$1834-EFEITO!$K$1834*EFEITO!$Y$1834</f>
        <v>0</v>
      </c>
      <c r="N1834" s="74">
        <f ca="1">$K$1834-EFEITO!$M$1834*EFEITO!$Z$1834</f>
        <v>38.908664674141953</v>
      </c>
      <c r="O1834" s="74">
        <f>$L$1834-EFEITO!$O$1834*EFEITO!$AA$1834</f>
        <v>47.609512401098897</v>
      </c>
      <c r="P1834" s="57"/>
      <c r="Q1834" s="57"/>
      <c r="R1834" s="57"/>
      <c r="S1834" s="57"/>
      <c r="T1834" s="57"/>
      <c r="U1834" s="57"/>
      <c r="V1834" s="57"/>
      <c r="W1834" s="57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</row>
    <row r="1835" spans="1:36" ht="11.25" customHeight="1" x14ac:dyDescent="0.2">
      <c r="A1835" s="53" t="s">
        <v>21</v>
      </c>
      <c r="B1835" s="53" t="s">
        <v>22</v>
      </c>
      <c r="C1835" s="53" t="s">
        <v>23</v>
      </c>
      <c r="D1835" s="53" t="s">
        <v>24</v>
      </c>
      <c r="E1835" s="53" t="s">
        <v>30</v>
      </c>
      <c r="F1835" s="53" t="s">
        <v>25</v>
      </c>
      <c r="G1835" s="53" t="s">
        <v>25</v>
      </c>
      <c r="H1835" s="53" t="s">
        <v>25</v>
      </c>
      <c r="I1835" s="73">
        <v>44013</v>
      </c>
      <c r="J1835" s="74">
        <f>EFEITO!$J$1835*EFEITO!$Y$1749</f>
        <v>0</v>
      </c>
      <c r="K1835" s="74">
        <f ca="1">EFEITO!$L$1835*EFEITO!$Z$1864</f>
        <v>141820.89165567578</v>
      </c>
      <c r="L1835" s="74">
        <f>EFEITO!$N$1835*EFEITO!$AA$1864</f>
        <v>173535.21526795236</v>
      </c>
      <c r="M1835" s="74">
        <f>$J$1835-EFEITO!$K$1835*EFEITO!$Y$1835</f>
        <v>0</v>
      </c>
      <c r="N1835" s="74">
        <f ca="1">$K$1835-EFEITO!$M$1835*EFEITO!$Z$1835</f>
        <v>56728.356662270322</v>
      </c>
      <c r="O1835" s="74">
        <f>$L$1835-EFEITO!$O$1835*EFEITO!$AA$1835</f>
        <v>69414.086107180963</v>
      </c>
      <c r="P1835" s="57"/>
      <c r="Q1835" s="57"/>
      <c r="R1835" s="57"/>
      <c r="S1835" s="57"/>
      <c r="T1835" s="57"/>
      <c r="U1835" s="57"/>
      <c r="V1835" s="57"/>
      <c r="W1835" s="57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</row>
    <row r="1836" spans="1:36" ht="11.25" customHeight="1" x14ac:dyDescent="0.2">
      <c r="A1836" s="53" t="s">
        <v>27</v>
      </c>
      <c r="B1836" s="53" t="s">
        <v>22</v>
      </c>
      <c r="C1836" s="53" t="s">
        <v>23</v>
      </c>
      <c r="D1836" s="53" t="s">
        <v>24</v>
      </c>
      <c r="E1836" s="53" t="s">
        <v>30</v>
      </c>
      <c r="F1836" s="53" t="s">
        <v>25</v>
      </c>
      <c r="G1836" s="53" t="s">
        <v>25</v>
      </c>
      <c r="H1836" s="53" t="s">
        <v>25</v>
      </c>
      <c r="I1836" s="73">
        <v>44013</v>
      </c>
      <c r="J1836" s="74">
        <f>EFEITO!$J$1836*EFEITO!$Y$1749</f>
        <v>0</v>
      </c>
      <c r="K1836" s="74">
        <f ca="1">EFEITO!$L$1836*EFEITO!$Z$1864</f>
        <v>55.583806677345656</v>
      </c>
      <c r="L1836" s="74">
        <f>EFEITO!$N$1836*EFEITO!$AA$1864</f>
        <v>68.013589144426987</v>
      </c>
      <c r="M1836" s="74">
        <f>$J$1836-EFEITO!$K$1836*EFEITO!$Y$1836</f>
        <v>0</v>
      </c>
      <c r="N1836" s="74">
        <f ca="1">$K$1836-EFEITO!$M$1836*EFEITO!$Z$1836</f>
        <v>22.233522670938264</v>
      </c>
      <c r="O1836" s="74">
        <f>$L$1836-EFEITO!$O$1836*EFEITO!$AA$1836</f>
        <v>27.205435657770799</v>
      </c>
      <c r="P1836" s="57"/>
      <c r="Q1836" s="57"/>
      <c r="R1836" s="57"/>
      <c r="S1836" s="57"/>
      <c r="T1836" s="57"/>
      <c r="U1836" s="57"/>
      <c r="V1836" s="57"/>
      <c r="W1836" s="57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</row>
    <row r="1837" spans="1:36" ht="11.25" customHeight="1" x14ac:dyDescent="0.2">
      <c r="A1837" s="53" t="s">
        <v>21</v>
      </c>
      <c r="B1837" s="53" t="s">
        <v>22</v>
      </c>
      <c r="C1837" s="53" t="s">
        <v>23</v>
      </c>
      <c r="D1837" s="53" t="s">
        <v>24</v>
      </c>
      <c r="E1837" s="53" t="s">
        <v>30</v>
      </c>
      <c r="F1837" s="53" t="s">
        <v>25</v>
      </c>
      <c r="G1837" s="53" t="s">
        <v>25</v>
      </c>
      <c r="H1837" s="53" t="s">
        <v>25</v>
      </c>
      <c r="I1837" s="73">
        <v>44044</v>
      </c>
      <c r="J1837" s="74">
        <f>EFEITO!$J$1837*EFEITO!$Y$1749</f>
        <v>0</v>
      </c>
      <c r="K1837" s="74">
        <f ca="1">EFEITO!$L$1837*EFEITO!$Z$1864</f>
        <v>146257.67051009962</v>
      </c>
      <c r="L1837" s="74">
        <f>EFEITO!$N$1837*EFEITO!$AA$1864</f>
        <v>178964.15711573072</v>
      </c>
      <c r="M1837" s="74">
        <f>$J$1837-EFEITO!$K$1837*EFEITO!$Y$1837</f>
        <v>0</v>
      </c>
      <c r="N1837" s="74">
        <f ca="1">$K$1837-EFEITO!$M$1837*EFEITO!$Z$1837</f>
        <v>58503.068204039853</v>
      </c>
      <c r="O1837" s="74">
        <f>$L$1837-EFEITO!$O$1837*EFEITO!$AA$1837</f>
        <v>71585.662846292296</v>
      </c>
      <c r="P1837" s="57"/>
      <c r="Q1837" s="57"/>
      <c r="R1837" s="57"/>
      <c r="S1837" s="57"/>
      <c r="T1837" s="57"/>
      <c r="U1837" s="57"/>
      <c r="V1837" s="57"/>
      <c r="W1837" s="57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</row>
    <row r="1838" spans="1:36" ht="11.25" customHeight="1" x14ac:dyDescent="0.2">
      <c r="A1838" s="53" t="s">
        <v>27</v>
      </c>
      <c r="B1838" s="53" t="s">
        <v>22</v>
      </c>
      <c r="C1838" s="53" t="s">
        <v>23</v>
      </c>
      <c r="D1838" s="53" t="s">
        <v>24</v>
      </c>
      <c r="E1838" s="53" t="s">
        <v>30</v>
      </c>
      <c r="F1838" s="53" t="s">
        <v>25</v>
      </c>
      <c r="G1838" s="53" t="s">
        <v>25</v>
      </c>
      <c r="H1838" s="53" t="s">
        <v>25</v>
      </c>
      <c r="I1838" s="73">
        <v>44044</v>
      </c>
      <c r="J1838" s="74">
        <f>EFEITO!$J$1838*EFEITO!$Y$1749</f>
        <v>0</v>
      </c>
      <c r="K1838" s="74">
        <f ca="1">EFEITO!$L$1838*EFEITO!$Z$1864</f>
        <v>41.687855008009237</v>
      </c>
      <c r="L1838" s="74">
        <f>EFEITO!$N$1838*EFEITO!$AA$1864</f>
        <v>51.010191858320233</v>
      </c>
      <c r="M1838" s="74">
        <f>$J$1838-EFEITO!$K$1838*EFEITO!$Y$1838</f>
        <v>0</v>
      </c>
      <c r="N1838" s="74">
        <f ca="1">$K$1838-EFEITO!$M$1838*EFEITO!$Z$1838</f>
        <v>16.675142003203696</v>
      </c>
      <c r="O1838" s="74">
        <f>$L$1838-EFEITO!$O$1838*EFEITO!$AA$1838</f>
        <v>20.404076743328094</v>
      </c>
      <c r="P1838" s="57"/>
      <c r="Q1838" s="57"/>
      <c r="R1838" s="57"/>
      <c r="S1838" s="57"/>
      <c r="T1838" s="57"/>
      <c r="U1838" s="57"/>
      <c r="V1838" s="57"/>
      <c r="W1838" s="57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</row>
    <row r="1839" spans="1:36" ht="11.25" customHeight="1" x14ac:dyDescent="0.2">
      <c r="A1839" s="53" t="s">
        <v>59</v>
      </c>
      <c r="B1839" s="53" t="s">
        <v>22</v>
      </c>
      <c r="C1839" s="53" t="s">
        <v>23</v>
      </c>
      <c r="D1839" s="53" t="s">
        <v>24</v>
      </c>
      <c r="E1839" s="53" t="s">
        <v>30</v>
      </c>
      <c r="F1839" s="53" t="s">
        <v>25</v>
      </c>
      <c r="G1839" s="53" t="s">
        <v>25</v>
      </c>
      <c r="H1839" s="53" t="s">
        <v>25</v>
      </c>
      <c r="I1839" s="73">
        <v>44075</v>
      </c>
      <c r="J1839" s="74">
        <f>EFEITO!$J$1839*EFEITO!$Y$1749</f>
        <v>0</v>
      </c>
      <c r="K1839" s="74">
        <f ca="1">EFEITO!$L$1839*EFEITO!$Z$1864</f>
        <v>146257.67051009962</v>
      </c>
      <c r="L1839" s="74">
        <f>EFEITO!$N$1839*EFEITO!$AA$1864</f>
        <v>178964.15711573072</v>
      </c>
      <c r="M1839" s="74">
        <f>$J$1839-EFEITO!$K$1839*EFEITO!$Y$1839</f>
        <v>0</v>
      </c>
      <c r="N1839" s="74">
        <f ca="1">$K$1839-EFEITO!$M$1839*EFEITO!$Z$1839</f>
        <v>58503.068204039853</v>
      </c>
      <c r="O1839" s="74">
        <f>$L$1839-EFEITO!$O$1839*EFEITO!$AA$1839</f>
        <v>71585.662846292296</v>
      </c>
      <c r="P1839" s="57"/>
      <c r="Q1839" s="57"/>
      <c r="R1839" s="57"/>
      <c r="S1839" s="57"/>
      <c r="T1839" s="57"/>
      <c r="U1839" s="57"/>
      <c r="V1839" s="57"/>
      <c r="W1839" s="57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</row>
    <row r="1840" spans="1:36" ht="11.25" customHeight="1" x14ac:dyDescent="0.2">
      <c r="A1840" s="53" t="s">
        <v>59</v>
      </c>
      <c r="B1840" s="53" t="s">
        <v>22</v>
      </c>
      <c r="C1840" s="53" t="s">
        <v>23</v>
      </c>
      <c r="D1840" s="53" t="s">
        <v>24</v>
      </c>
      <c r="E1840" s="53" t="s">
        <v>30</v>
      </c>
      <c r="F1840" s="53" t="s">
        <v>25</v>
      </c>
      <c r="G1840" s="53" t="s">
        <v>25</v>
      </c>
      <c r="H1840" s="53" t="s">
        <v>25</v>
      </c>
      <c r="I1840" s="73">
        <v>44075</v>
      </c>
      <c r="J1840" s="74">
        <f>EFEITO!$J$1840*EFEITO!$Y$1749</f>
        <v>0</v>
      </c>
      <c r="K1840" s="74">
        <f ca="1">EFEITO!$L$1840*EFEITO!$Z$1864</f>
        <v>41.687855008009237</v>
      </c>
      <c r="L1840" s="74">
        <f>EFEITO!$N$1840*EFEITO!$AA$1864</f>
        <v>51.010191858320233</v>
      </c>
      <c r="M1840" s="74">
        <f>$J$1840-EFEITO!$K$1840*EFEITO!$Y$1840</f>
        <v>0</v>
      </c>
      <c r="N1840" s="74">
        <f ca="1">$K$1840-EFEITO!$M$1840*EFEITO!$Z$1840</f>
        <v>16.675142003203696</v>
      </c>
      <c r="O1840" s="74">
        <f>$L$1840-EFEITO!$O$1840*EFEITO!$AA$1840</f>
        <v>20.404076743328094</v>
      </c>
      <c r="P1840" s="57"/>
      <c r="Q1840" s="57"/>
      <c r="R1840" s="57"/>
      <c r="S1840" s="57"/>
      <c r="T1840" s="57"/>
      <c r="U1840" s="57"/>
      <c r="V1840" s="57"/>
      <c r="W1840" s="57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</row>
    <row r="1841" spans="1:36" ht="11.25" customHeight="1" x14ac:dyDescent="0.2">
      <c r="A1841" s="53" t="s">
        <v>21</v>
      </c>
      <c r="B1841" s="53" t="s">
        <v>22</v>
      </c>
      <c r="C1841" s="53" t="s">
        <v>23</v>
      </c>
      <c r="D1841" s="53" t="s">
        <v>24</v>
      </c>
      <c r="E1841" s="53" t="s">
        <v>31</v>
      </c>
      <c r="F1841" s="53" t="s">
        <v>25</v>
      </c>
      <c r="G1841" s="53" t="s">
        <v>25</v>
      </c>
      <c r="H1841" s="53" t="s">
        <v>25</v>
      </c>
      <c r="I1841" s="73">
        <v>43739</v>
      </c>
      <c r="J1841" s="74">
        <f>EFEITO!$J$1841*EFEITO!$Y$1749</f>
        <v>0</v>
      </c>
      <c r="K1841" s="74">
        <f ca="1">EFEITO!$L$1841*EFEITO!$Z$1864</f>
        <v>103686.23148951585</v>
      </c>
      <c r="L1841" s="74">
        <f>EFEITO!$N$1841*EFEITO!$AA$1864</f>
        <v>126872.79209568961</v>
      </c>
      <c r="M1841" s="74">
        <f>$J$1841-EFEITO!$K$1841*EFEITO!$Y$1841</f>
        <v>0</v>
      </c>
      <c r="N1841" s="74">
        <f ca="1">$K$1841-EFEITO!$M$1841*EFEITO!$Z$1841</f>
        <v>10368.623148951578</v>
      </c>
      <c r="O1841" s="74">
        <f>$L$1841-EFEITO!$O$1841*EFEITO!$AA$1841</f>
        <v>12687.279209568966</v>
      </c>
      <c r="P1841" s="57"/>
      <c r="Q1841" s="57"/>
      <c r="R1841" s="57"/>
      <c r="S1841" s="57"/>
      <c r="T1841" s="57"/>
      <c r="U1841" s="57"/>
      <c r="V1841" s="57"/>
      <c r="W1841" s="57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</row>
    <row r="1842" spans="1:36" ht="11.25" customHeight="1" x14ac:dyDescent="0.2">
      <c r="A1842" s="53" t="s">
        <v>27</v>
      </c>
      <c r="B1842" s="53" t="s">
        <v>22</v>
      </c>
      <c r="C1842" s="53" t="s">
        <v>23</v>
      </c>
      <c r="D1842" s="53" t="s">
        <v>24</v>
      </c>
      <c r="E1842" s="53" t="s">
        <v>31</v>
      </c>
      <c r="F1842" s="53" t="s">
        <v>25</v>
      </c>
      <c r="G1842" s="53" t="s">
        <v>25</v>
      </c>
      <c r="H1842" s="53" t="s">
        <v>25</v>
      </c>
      <c r="I1842" s="73">
        <v>43739</v>
      </c>
      <c r="J1842" s="74">
        <f>EFEITO!$J$1842*EFEITO!$Y$1749</f>
        <v>0</v>
      </c>
      <c r="K1842" s="74">
        <f ca="1">EFEITO!$L$1842*EFEITO!$Z$1864</f>
        <v>32.159202434749986</v>
      </c>
      <c r="L1842" s="74">
        <f>EFEITO!$N$1842*EFEITO!$AA$1864</f>
        <v>39.350719433561331</v>
      </c>
      <c r="M1842" s="74">
        <f>$J$1842-EFEITO!$K$1842*EFEITO!$Y$1842</f>
        <v>0</v>
      </c>
      <c r="N1842" s="74">
        <f ca="1">$K$1842-EFEITO!$M$1842*EFEITO!$Z$1842</f>
        <v>3.2159202434749972</v>
      </c>
      <c r="O1842" s="74">
        <f>$L$1842-EFEITO!$O$1842*EFEITO!$AA$1842</f>
        <v>3.9350719433561352</v>
      </c>
      <c r="P1842" s="57"/>
      <c r="Q1842" s="57"/>
      <c r="R1842" s="57"/>
      <c r="S1842" s="57"/>
      <c r="T1842" s="57"/>
      <c r="U1842" s="57"/>
      <c r="V1842" s="57"/>
      <c r="W1842" s="57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</row>
    <row r="1843" spans="1:36" ht="11.25" customHeight="1" x14ac:dyDescent="0.2">
      <c r="A1843" s="53" t="s">
        <v>21</v>
      </c>
      <c r="B1843" s="53" t="s">
        <v>22</v>
      </c>
      <c r="C1843" s="53" t="s">
        <v>23</v>
      </c>
      <c r="D1843" s="53" t="s">
        <v>24</v>
      </c>
      <c r="E1843" s="53" t="s">
        <v>31</v>
      </c>
      <c r="F1843" s="53" t="s">
        <v>25</v>
      </c>
      <c r="G1843" s="53" t="s">
        <v>25</v>
      </c>
      <c r="H1843" s="53" t="s">
        <v>25</v>
      </c>
      <c r="I1843" s="73">
        <v>43770</v>
      </c>
      <c r="J1843" s="74">
        <f>EFEITO!$J$1843*EFEITO!$Y$1749</f>
        <v>0</v>
      </c>
      <c r="K1843" s="74">
        <f ca="1">EFEITO!$L$1843*EFEITO!$Z$1864</f>
        <v>117504.36582950399</v>
      </c>
      <c r="L1843" s="74">
        <f>EFEITO!$N$1843*EFEITO!$AA$1864</f>
        <v>143780.97035699416</v>
      </c>
      <c r="M1843" s="74">
        <f>$J$1843-EFEITO!$K$1843*EFEITO!$Y$1843</f>
        <v>0</v>
      </c>
      <c r="N1843" s="74">
        <f ca="1">$K$1843-EFEITO!$M$1843*EFEITO!$Z$1843</f>
        <v>11750.436582950395</v>
      </c>
      <c r="O1843" s="74">
        <f>$L$1843-EFEITO!$O$1843*EFEITO!$AA$1843</f>
        <v>14378.097035699408</v>
      </c>
      <c r="P1843" s="57"/>
      <c r="Q1843" s="57"/>
      <c r="R1843" s="57"/>
      <c r="S1843" s="57"/>
      <c r="T1843" s="57"/>
      <c r="U1843" s="57"/>
      <c r="V1843" s="57"/>
      <c r="W1843" s="57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</row>
    <row r="1844" spans="1:36" ht="11.25" customHeight="1" x14ac:dyDescent="0.2">
      <c r="A1844" s="53" t="s">
        <v>27</v>
      </c>
      <c r="B1844" s="53" t="s">
        <v>22</v>
      </c>
      <c r="C1844" s="53" t="s">
        <v>23</v>
      </c>
      <c r="D1844" s="53" t="s">
        <v>24</v>
      </c>
      <c r="E1844" s="53" t="s">
        <v>31</v>
      </c>
      <c r="F1844" s="53" t="s">
        <v>25</v>
      </c>
      <c r="G1844" s="53" t="s">
        <v>25</v>
      </c>
      <c r="H1844" s="53" t="s">
        <v>25</v>
      </c>
      <c r="I1844" s="73">
        <v>43770</v>
      </c>
      <c r="J1844" s="74">
        <f>EFEITO!$J$1844*EFEITO!$Y$1749</f>
        <v>0</v>
      </c>
      <c r="K1844" s="74">
        <f ca="1">EFEITO!$L$1844*EFEITO!$Z$1864</f>
        <v>73.251516656930519</v>
      </c>
      <c r="L1844" s="74">
        <f>EFEITO!$N$1844*EFEITO!$AA$1864</f>
        <v>89.632194265334135</v>
      </c>
      <c r="M1844" s="74">
        <f>$J$1844-EFEITO!$K$1844*EFEITO!$Y$1844</f>
        <v>0</v>
      </c>
      <c r="N1844" s="74">
        <f ca="1">$K$1844-EFEITO!$M$1844*EFEITO!$Z$1844</f>
        <v>7.325151665693042</v>
      </c>
      <c r="O1844" s="74">
        <f>$L$1844-EFEITO!$O$1844*EFEITO!$AA$1844</f>
        <v>8.9632194265334135</v>
      </c>
      <c r="P1844" s="57"/>
      <c r="Q1844" s="57"/>
      <c r="R1844" s="57"/>
      <c r="S1844" s="57"/>
      <c r="T1844" s="57"/>
      <c r="U1844" s="57"/>
      <c r="V1844" s="57"/>
      <c r="W1844" s="57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</row>
    <row r="1845" spans="1:36" ht="11.25" customHeight="1" x14ac:dyDescent="0.2">
      <c r="A1845" s="53" t="s">
        <v>21</v>
      </c>
      <c r="B1845" s="53" t="s">
        <v>22</v>
      </c>
      <c r="C1845" s="53" t="s">
        <v>23</v>
      </c>
      <c r="D1845" s="53" t="s">
        <v>24</v>
      </c>
      <c r="E1845" s="53" t="s">
        <v>31</v>
      </c>
      <c r="F1845" s="53" t="s">
        <v>25</v>
      </c>
      <c r="G1845" s="53" t="s">
        <v>25</v>
      </c>
      <c r="H1845" s="53" t="s">
        <v>25</v>
      </c>
      <c r="I1845" s="73">
        <v>43800</v>
      </c>
      <c r="J1845" s="74">
        <f>EFEITO!$J$1845*EFEITO!$Y$1749</f>
        <v>0</v>
      </c>
      <c r="K1845" s="74">
        <f ca="1">EFEITO!$L$1845*EFEITO!$Z$1864</f>
        <v>98746.81621185258</v>
      </c>
      <c r="L1845" s="74">
        <f>EFEITO!$N$1845*EFEITO!$AA$1864</f>
        <v>120828.81307750521</v>
      </c>
      <c r="M1845" s="74">
        <f>$J$1845-EFEITO!$K$1845*EFEITO!$Y$1845</f>
        <v>0</v>
      </c>
      <c r="N1845" s="74">
        <f ca="1">$K$1845-EFEITO!$M$1845*EFEITO!$Z$1845</f>
        <v>9874.681621185242</v>
      </c>
      <c r="O1845" s="74">
        <f>$L$1845-EFEITO!$O$1845*EFEITO!$AA$1845</f>
        <v>12082.881307750518</v>
      </c>
      <c r="P1845" s="57"/>
      <c r="Q1845" s="57"/>
      <c r="R1845" s="57"/>
      <c r="S1845" s="57"/>
      <c r="T1845" s="57"/>
      <c r="U1845" s="57"/>
      <c r="V1845" s="57"/>
      <c r="W1845" s="57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</row>
    <row r="1846" spans="1:36" ht="11.25" customHeight="1" x14ac:dyDescent="0.2">
      <c r="A1846" s="53" t="s">
        <v>27</v>
      </c>
      <c r="B1846" s="53" t="s">
        <v>22</v>
      </c>
      <c r="C1846" s="53" t="s">
        <v>23</v>
      </c>
      <c r="D1846" s="53" t="s">
        <v>24</v>
      </c>
      <c r="E1846" s="53" t="s">
        <v>31</v>
      </c>
      <c r="F1846" s="53" t="s">
        <v>25</v>
      </c>
      <c r="G1846" s="53" t="s">
        <v>25</v>
      </c>
      <c r="H1846" s="53" t="s">
        <v>25</v>
      </c>
      <c r="I1846" s="73">
        <v>43800</v>
      </c>
      <c r="J1846" s="74">
        <f>EFEITO!$J$1846*EFEITO!$Y$1749</f>
        <v>0</v>
      </c>
      <c r="K1846" s="74">
        <f ca="1">EFEITO!$L$1846*EFEITO!$Z$1864</f>
        <v>25.806767385910483</v>
      </c>
      <c r="L1846" s="74">
        <f>EFEITO!$N$1846*EFEITO!$AA$1864</f>
        <v>31.577737817055386</v>
      </c>
      <c r="M1846" s="74">
        <f>$J$1846-EFEITO!$K$1846*EFEITO!$Y$1846</f>
        <v>0</v>
      </c>
      <c r="N1846" s="74">
        <f ca="1">$K$1846-EFEITO!$M$1846*EFEITO!$Z$1846</f>
        <v>2.5806767385910483</v>
      </c>
      <c r="O1846" s="74">
        <f>$L$1846-EFEITO!$O$1846*EFEITO!$AA$1846</f>
        <v>3.1577737817055365</v>
      </c>
      <c r="P1846" s="57"/>
      <c r="Q1846" s="57"/>
      <c r="R1846" s="57"/>
      <c r="S1846" s="57"/>
      <c r="T1846" s="57"/>
      <c r="U1846" s="57"/>
      <c r="V1846" s="57"/>
      <c r="W1846" s="57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</row>
    <row r="1847" spans="1:36" ht="11.25" customHeight="1" x14ac:dyDescent="0.2">
      <c r="A1847" s="53" t="s">
        <v>21</v>
      </c>
      <c r="B1847" s="53" t="s">
        <v>22</v>
      </c>
      <c r="C1847" s="53" t="s">
        <v>23</v>
      </c>
      <c r="D1847" s="53" t="s">
        <v>24</v>
      </c>
      <c r="E1847" s="53" t="s">
        <v>31</v>
      </c>
      <c r="F1847" s="53" t="s">
        <v>25</v>
      </c>
      <c r="G1847" s="53" t="s">
        <v>25</v>
      </c>
      <c r="H1847" s="53" t="s">
        <v>25</v>
      </c>
      <c r="I1847" s="73">
        <v>43831</v>
      </c>
      <c r="J1847" s="74">
        <f>EFEITO!$J$1847*EFEITO!$Y$1749</f>
        <v>0</v>
      </c>
      <c r="K1847" s="74">
        <f ca="1">EFEITO!$L$1847*EFEITO!$Z$1864</f>
        <v>113577.56840134479</v>
      </c>
      <c r="L1847" s="74">
        <f>EFEITO!$N$1847*EFEITO!$AA$1864</f>
        <v>138976.05318961589</v>
      </c>
      <c r="M1847" s="74">
        <f>$J$1847-EFEITO!$K$1847*EFEITO!$Y$1847</f>
        <v>0</v>
      </c>
      <c r="N1847" s="74">
        <f ca="1">$K$1847-EFEITO!$M$1847*EFEITO!$Z$1847</f>
        <v>11357.756840134476</v>
      </c>
      <c r="O1847" s="74">
        <f>$L$1847-EFEITO!$O$1847*EFEITO!$AA$1847</f>
        <v>13897.605318961578</v>
      </c>
      <c r="P1847" s="57"/>
      <c r="Q1847" s="57"/>
      <c r="R1847" s="57"/>
      <c r="S1847" s="57"/>
      <c r="T1847" s="57"/>
      <c r="U1847" s="57"/>
      <c r="V1847" s="57"/>
      <c r="W1847" s="57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</row>
    <row r="1848" spans="1:36" ht="11.25" customHeight="1" x14ac:dyDescent="0.2">
      <c r="A1848" s="53" t="s">
        <v>27</v>
      </c>
      <c r="B1848" s="53" t="s">
        <v>22</v>
      </c>
      <c r="C1848" s="53" t="s">
        <v>23</v>
      </c>
      <c r="D1848" s="53" t="s">
        <v>24</v>
      </c>
      <c r="E1848" s="53" t="s">
        <v>31</v>
      </c>
      <c r="F1848" s="53" t="s">
        <v>25</v>
      </c>
      <c r="G1848" s="53" t="s">
        <v>25</v>
      </c>
      <c r="H1848" s="53" t="s">
        <v>25</v>
      </c>
      <c r="I1848" s="73">
        <v>43831</v>
      </c>
      <c r="J1848" s="74">
        <f>EFEITO!$J$1848*EFEITO!$Y$1749</f>
        <v>0</v>
      </c>
      <c r="K1848" s="74">
        <f ca="1">EFEITO!$L$1848*EFEITO!$Z$1864</f>
        <v>93.698416970382667</v>
      </c>
      <c r="L1848" s="74">
        <f>EFEITO!$N$1848*EFEITO!$AA$1864</f>
        <v>114.65147884346263</v>
      </c>
      <c r="M1848" s="74">
        <f>$J$1848-EFEITO!$K$1848*EFEITO!$Y$1848</f>
        <v>0</v>
      </c>
      <c r="N1848" s="74">
        <f ca="1">$K$1848-EFEITO!$M$1848*EFEITO!$Z$1848</f>
        <v>9.3698416970382539</v>
      </c>
      <c r="O1848" s="74">
        <f>$L$1848-EFEITO!$O$1848*EFEITO!$AA$1848</f>
        <v>11.465147884346266</v>
      </c>
      <c r="P1848" s="57"/>
      <c r="Q1848" s="57"/>
      <c r="R1848" s="57"/>
      <c r="S1848" s="57"/>
      <c r="T1848" s="57"/>
      <c r="U1848" s="57"/>
      <c r="V1848" s="57"/>
      <c r="W1848" s="57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</row>
    <row r="1849" spans="1:36" ht="11.25" customHeight="1" x14ac:dyDescent="0.2">
      <c r="A1849" s="53" t="s">
        <v>21</v>
      </c>
      <c r="B1849" s="53" t="s">
        <v>22</v>
      </c>
      <c r="C1849" s="53" t="s">
        <v>23</v>
      </c>
      <c r="D1849" s="53" t="s">
        <v>24</v>
      </c>
      <c r="E1849" s="53" t="s">
        <v>31</v>
      </c>
      <c r="F1849" s="53" t="s">
        <v>25</v>
      </c>
      <c r="G1849" s="53" t="s">
        <v>25</v>
      </c>
      <c r="H1849" s="53" t="s">
        <v>25</v>
      </c>
      <c r="I1849" s="73">
        <v>43862</v>
      </c>
      <c r="J1849" s="74">
        <f>EFEITO!$J$1849*EFEITO!$Y$1749</f>
        <v>0</v>
      </c>
      <c r="K1849" s="74">
        <f ca="1">EFEITO!$L$1849*EFEITO!$Z$1864</f>
        <v>100060.97621258126</v>
      </c>
      <c r="L1849" s="74">
        <f>EFEITO!$N$1849*EFEITO!$AA$1864</f>
        <v>122436.84864941987</v>
      </c>
      <c r="M1849" s="74">
        <f>$J$1849-EFEITO!$K$1849*EFEITO!$Y$1849</f>
        <v>0</v>
      </c>
      <c r="N1849" s="74">
        <f ca="1">$K$1849-EFEITO!$M$1849*EFEITO!$Z$1849</f>
        <v>10006.097621258115</v>
      </c>
      <c r="O1849" s="74">
        <f>$L$1849-EFEITO!$O$1849*EFEITO!$AA$1849</f>
        <v>12243.684864941984</v>
      </c>
      <c r="P1849" s="57"/>
      <c r="Q1849" s="57"/>
      <c r="R1849" s="57"/>
      <c r="S1849" s="57"/>
      <c r="T1849" s="57"/>
      <c r="U1849" s="57"/>
      <c r="V1849" s="57"/>
      <c r="W1849" s="57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</row>
    <row r="1850" spans="1:36" ht="11.25" customHeight="1" x14ac:dyDescent="0.2">
      <c r="A1850" s="53" t="s">
        <v>21</v>
      </c>
      <c r="B1850" s="53" t="s">
        <v>22</v>
      </c>
      <c r="C1850" s="53" t="s">
        <v>23</v>
      </c>
      <c r="D1850" s="53" t="s">
        <v>24</v>
      </c>
      <c r="E1850" s="53" t="s">
        <v>31</v>
      </c>
      <c r="F1850" s="53" t="s">
        <v>25</v>
      </c>
      <c r="G1850" s="53" t="s">
        <v>25</v>
      </c>
      <c r="H1850" s="53" t="s">
        <v>25</v>
      </c>
      <c r="I1850" s="73">
        <v>43891</v>
      </c>
      <c r="J1850" s="74">
        <f>EFEITO!$J$1850*EFEITO!$Y$1749</f>
        <v>0</v>
      </c>
      <c r="K1850" s="74">
        <f ca="1">EFEITO!$L$1850*EFEITO!$Z$1864</f>
        <v>98134.401770425407</v>
      </c>
      <c r="L1850" s="74">
        <f>EFEITO!$N$1850*EFEITO!$AA$1864</f>
        <v>120079.44906853893</v>
      </c>
      <c r="M1850" s="74">
        <f>$J$1850-EFEITO!$K$1850*EFEITO!$Y$1850</f>
        <v>0</v>
      </c>
      <c r="N1850" s="74">
        <f ca="1">$K$1850-EFEITO!$M$1850*EFEITO!$Z$1850</f>
        <v>9813.440177042532</v>
      </c>
      <c r="O1850" s="74">
        <f>$L$1850-EFEITO!$O$1850*EFEITO!$AA$1850</f>
        <v>12007.944906853882</v>
      </c>
      <c r="P1850" s="57"/>
      <c r="Q1850" s="57"/>
      <c r="R1850" s="57"/>
      <c r="S1850" s="57"/>
      <c r="T1850" s="57"/>
      <c r="U1850" s="57"/>
      <c r="V1850" s="57"/>
      <c r="W1850" s="57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</row>
    <row r="1851" spans="1:36" ht="11.25" customHeight="1" x14ac:dyDescent="0.2">
      <c r="A1851" s="53" t="s">
        <v>27</v>
      </c>
      <c r="B1851" s="53" t="s">
        <v>22</v>
      </c>
      <c r="C1851" s="53" t="s">
        <v>23</v>
      </c>
      <c r="D1851" s="53" t="s">
        <v>24</v>
      </c>
      <c r="E1851" s="53" t="s">
        <v>31</v>
      </c>
      <c r="F1851" s="53" t="s">
        <v>25</v>
      </c>
      <c r="G1851" s="53" t="s">
        <v>25</v>
      </c>
      <c r="H1851" s="53" t="s">
        <v>25</v>
      </c>
      <c r="I1851" s="73">
        <v>43891</v>
      </c>
      <c r="J1851" s="74">
        <f>EFEITO!$J$1851*EFEITO!$Y$1749</f>
        <v>0</v>
      </c>
      <c r="K1851" s="74">
        <f ca="1">EFEITO!$L$1851*EFEITO!$Z$1864</f>
        <v>99.852338423945938</v>
      </c>
      <c r="L1851" s="74">
        <f>EFEITO!$N$1851*EFEITO!$AA$1864</f>
        <v>122.18155478445276</v>
      </c>
      <c r="M1851" s="74">
        <f>$J$1851-EFEITO!$K$1851*EFEITO!$Y$1851</f>
        <v>0</v>
      </c>
      <c r="N1851" s="74">
        <f ca="1">$K$1851-EFEITO!$M$1851*EFEITO!$Z$1851</f>
        <v>9.9852338423945781</v>
      </c>
      <c r="O1851" s="74">
        <f>$L$1851-EFEITO!$O$1851*EFEITO!$AA$1851</f>
        <v>12.218155478445269</v>
      </c>
      <c r="P1851" s="57"/>
      <c r="Q1851" s="57"/>
      <c r="R1851" s="57"/>
      <c r="S1851" s="57"/>
      <c r="T1851" s="57"/>
      <c r="U1851" s="57"/>
      <c r="V1851" s="57"/>
      <c r="W1851" s="57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</row>
    <row r="1852" spans="1:36" ht="11.25" customHeight="1" x14ac:dyDescent="0.2">
      <c r="A1852" s="53" t="s">
        <v>21</v>
      </c>
      <c r="B1852" s="53" t="s">
        <v>22</v>
      </c>
      <c r="C1852" s="53" t="s">
        <v>23</v>
      </c>
      <c r="D1852" s="53" t="s">
        <v>24</v>
      </c>
      <c r="E1852" s="53" t="s">
        <v>31</v>
      </c>
      <c r="F1852" s="53" t="s">
        <v>25</v>
      </c>
      <c r="G1852" s="53" t="s">
        <v>25</v>
      </c>
      <c r="H1852" s="53" t="s">
        <v>25</v>
      </c>
      <c r="I1852" s="73">
        <v>43922</v>
      </c>
      <c r="J1852" s="74">
        <f>EFEITO!$J$1852*EFEITO!$Y$1749</f>
        <v>0</v>
      </c>
      <c r="K1852" s="74">
        <f ca="1">EFEITO!$L$1852*EFEITO!$Z$1864</f>
        <v>111014.7578863286</v>
      </c>
      <c r="L1852" s="74">
        <f>EFEITO!$N$1852*EFEITO!$AA$1864</f>
        <v>135840.14091870681</v>
      </c>
      <c r="M1852" s="74">
        <f>$J$1852-EFEITO!$K$1852*EFEITO!$Y$1852</f>
        <v>0</v>
      </c>
      <c r="N1852" s="74">
        <f ca="1">$K$1852-EFEITO!$M$1852*EFEITO!$Z$1852</f>
        <v>11101.475788632844</v>
      </c>
      <c r="O1852" s="74">
        <f>$L$1852-EFEITO!$O$1852*EFEITO!$AA$1852</f>
        <v>13584.014091870689</v>
      </c>
      <c r="P1852" s="57"/>
      <c r="Q1852" s="57"/>
      <c r="R1852" s="57"/>
      <c r="S1852" s="57"/>
      <c r="T1852" s="57"/>
      <c r="U1852" s="57"/>
      <c r="V1852" s="57"/>
      <c r="W1852" s="57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</row>
    <row r="1853" spans="1:36" ht="11.25" customHeight="1" x14ac:dyDescent="0.2">
      <c r="A1853" s="53" t="s">
        <v>27</v>
      </c>
      <c r="B1853" s="53" t="s">
        <v>22</v>
      </c>
      <c r="C1853" s="53" t="s">
        <v>23</v>
      </c>
      <c r="D1853" s="53" t="s">
        <v>24</v>
      </c>
      <c r="E1853" s="53" t="s">
        <v>31</v>
      </c>
      <c r="F1853" s="53" t="s">
        <v>25</v>
      </c>
      <c r="G1853" s="53" t="s">
        <v>25</v>
      </c>
      <c r="H1853" s="53" t="s">
        <v>25</v>
      </c>
      <c r="I1853" s="73">
        <v>43922</v>
      </c>
      <c r="J1853" s="74">
        <f>EFEITO!$J$1853*EFEITO!$Y$1749</f>
        <v>0</v>
      </c>
      <c r="K1853" s="74">
        <f ca="1">EFEITO!$L$1853*EFEITO!$Z$1864</f>
        <v>715.442997375549</v>
      </c>
      <c r="L1853" s="74">
        <f>EFEITO!$N$1853*EFEITO!$AA$1864</f>
        <v>875.43205455898158</v>
      </c>
      <c r="M1853" s="74">
        <f>$J$1853-EFEITO!$K$1853*EFEITO!$Y$1853</f>
        <v>0</v>
      </c>
      <c r="N1853" s="74">
        <f ca="1">$K$1853-EFEITO!$M$1853*EFEITO!$Z$1853</f>
        <v>71.544299737554752</v>
      </c>
      <c r="O1853" s="74">
        <f>$L$1853-EFEITO!$O$1853*EFEITO!$AA$1853</f>
        <v>87.543205455898146</v>
      </c>
      <c r="P1853" s="57"/>
      <c r="Q1853" s="57"/>
      <c r="R1853" s="57"/>
      <c r="S1853" s="57"/>
      <c r="T1853" s="57"/>
      <c r="U1853" s="57"/>
      <c r="V1853" s="57"/>
      <c r="W1853" s="57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</row>
    <row r="1854" spans="1:36" ht="11.25" customHeight="1" x14ac:dyDescent="0.2">
      <c r="A1854" s="53" t="s">
        <v>21</v>
      </c>
      <c r="B1854" s="53" t="s">
        <v>22</v>
      </c>
      <c r="C1854" s="53" t="s">
        <v>23</v>
      </c>
      <c r="D1854" s="53" t="s">
        <v>24</v>
      </c>
      <c r="E1854" s="53" t="s">
        <v>31</v>
      </c>
      <c r="F1854" s="53" t="s">
        <v>25</v>
      </c>
      <c r="G1854" s="53" t="s">
        <v>25</v>
      </c>
      <c r="H1854" s="53" t="s">
        <v>25</v>
      </c>
      <c r="I1854" s="73">
        <v>43952</v>
      </c>
      <c r="J1854" s="74">
        <f>EFEITO!$J$1854*EFEITO!$Y$1749</f>
        <v>0</v>
      </c>
      <c r="K1854" s="74">
        <f ca="1">EFEITO!$L$1854*EFEITO!$Z$1864</f>
        <v>129158.50346738589</v>
      </c>
      <c r="L1854" s="74">
        <f>EFEITO!$N$1854*EFEITO!$AA$1864</f>
        <v>158041.23384950086</v>
      </c>
      <c r="M1854" s="74">
        <f>$J$1854-EFEITO!$K$1854*EFEITO!$Y$1854</f>
        <v>0</v>
      </c>
      <c r="N1854" s="74">
        <f ca="1">$K$1854-EFEITO!$M$1854*EFEITO!$Z$1854</f>
        <v>12915.850346738574</v>
      </c>
      <c r="O1854" s="74">
        <f>$L$1854-EFEITO!$O$1854*EFEITO!$AA$1854</f>
        <v>15804.123384950071</v>
      </c>
      <c r="P1854" s="57"/>
      <c r="Q1854" s="57"/>
      <c r="R1854" s="57"/>
      <c r="S1854" s="57"/>
      <c r="T1854" s="57"/>
      <c r="U1854" s="57"/>
      <c r="V1854" s="57"/>
      <c r="W1854" s="57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</row>
    <row r="1855" spans="1:36" ht="11.25" customHeight="1" x14ac:dyDescent="0.2">
      <c r="A1855" s="53" t="s">
        <v>27</v>
      </c>
      <c r="B1855" s="53" t="s">
        <v>22</v>
      </c>
      <c r="C1855" s="53" t="s">
        <v>23</v>
      </c>
      <c r="D1855" s="53" t="s">
        <v>24</v>
      </c>
      <c r="E1855" s="53" t="s">
        <v>31</v>
      </c>
      <c r="F1855" s="53" t="s">
        <v>25</v>
      </c>
      <c r="G1855" s="53" t="s">
        <v>25</v>
      </c>
      <c r="H1855" s="53" t="s">
        <v>25</v>
      </c>
      <c r="I1855" s="73">
        <v>43952</v>
      </c>
      <c r="J1855" s="74">
        <f>EFEITO!$J$1855*EFEITO!$Y$1749</f>
        <v>0</v>
      </c>
      <c r="K1855" s="74">
        <f ca="1">EFEITO!$L$1855*EFEITO!$Z$1864</f>
        <v>1945.6317473023742</v>
      </c>
      <c r="L1855" s="74">
        <f>EFEITO!$N$1855*EFEITO!$AA$1864</f>
        <v>2380.7185257304604</v>
      </c>
      <c r="M1855" s="74">
        <f>$J$1855-EFEITO!$K$1855*EFEITO!$Y$1855</f>
        <v>0</v>
      </c>
      <c r="N1855" s="74">
        <f ca="1">$K$1855-EFEITO!$M$1855*EFEITO!$Z$1855</f>
        <v>194.56317473023728</v>
      </c>
      <c r="O1855" s="74">
        <f>$L$1855-EFEITO!$O$1855*EFEITO!$AA$1855</f>
        <v>238.07185257304627</v>
      </c>
      <c r="P1855" s="57"/>
      <c r="Q1855" s="57"/>
      <c r="R1855" s="57"/>
      <c r="S1855" s="57"/>
      <c r="T1855" s="57"/>
      <c r="U1855" s="57"/>
      <c r="V1855" s="57"/>
      <c r="W1855" s="57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</row>
    <row r="1856" spans="1:36" ht="11.25" customHeight="1" x14ac:dyDescent="0.2">
      <c r="A1856" s="53" t="s">
        <v>21</v>
      </c>
      <c r="B1856" s="53" t="s">
        <v>22</v>
      </c>
      <c r="C1856" s="53" t="s">
        <v>23</v>
      </c>
      <c r="D1856" s="53" t="s">
        <v>24</v>
      </c>
      <c r="E1856" s="53" t="s">
        <v>31</v>
      </c>
      <c r="F1856" s="53" t="s">
        <v>25</v>
      </c>
      <c r="G1856" s="53" t="s">
        <v>25</v>
      </c>
      <c r="H1856" s="53" t="s">
        <v>25</v>
      </c>
      <c r="I1856" s="73">
        <v>43983</v>
      </c>
      <c r="J1856" s="74">
        <f>EFEITO!$J$1856*EFEITO!$Y$1749</f>
        <v>0</v>
      </c>
      <c r="K1856" s="74">
        <f ca="1">EFEITO!$L$1856*EFEITO!$Z$1864</f>
        <v>125410.36827497529</v>
      </c>
      <c r="L1856" s="74">
        <f>EFEITO!$N$1856*EFEITO!$AA$1864</f>
        <v>153454.93179008682</v>
      </c>
      <c r="M1856" s="74">
        <f>$J$1856-EFEITO!$K$1856*EFEITO!$Y$1856</f>
        <v>0</v>
      </c>
      <c r="N1856" s="74">
        <f ca="1">$K$1856-EFEITO!$M$1856*EFEITO!$Z$1856</f>
        <v>12541.036827497519</v>
      </c>
      <c r="O1856" s="74">
        <f>$L$1856-EFEITO!$O$1856*EFEITO!$AA$1856</f>
        <v>15345.493179008685</v>
      </c>
      <c r="P1856" s="57"/>
      <c r="Q1856" s="57"/>
      <c r="R1856" s="57"/>
      <c r="S1856" s="57"/>
      <c r="T1856" s="57"/>
      <c r="U1856" s="57"/>
      <c r="V1856" s="57"/>
      <c r="W1856" s="57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</row>
    <row r="1857" spans="1:36" ht="11.25" customHeight="1" x14ac:dyDescent="0.2">
      <c r="A1857" s="53" t="s">
        <v>27</v>
      </c>
      <c r="B1857" s="53" t="s">
        <v>22</v>
      </c>
      <c r="C1857" s="53" t="s">
        <v>23</v>
      </c>
      <c r="D1857" s="53" t="s">
        <v>24</v>
      </c>
      <c r="E1857" s="53" t="s">
        <v>31</v>
      </c>
      <c r="F1857" s="53" t="s">
        <v>25</v>
      </c>
      <c r="G1857" s="53" t="s">
        <v>25</v>
      </c>
      <c r="H1857" s="53" t="s">
        <v>25</v>
      </c>
      <c r="I1857" s="73">
        <v>43983</v>
      </c>
      <c r="J1857" s="74">
        <f>EFEITO!$J$1857*EFEITO!$Y$1749</f>
        <v>0</v>
      </c>
      <c r="K1857" s="74">
        <f ca="1">EFEITO!$L$1857*EFEITO!$Z$1864</f>
        <v>166.75142003203695</v>
      </c>
      <c r="L1857" s="74">
        <f>EFEITO!$N$1857*EFEITO!$AA$1864</f>
        <v>204.04076743328093</v>
      </c>
      <c r="M1857" s="74">
        <f>$J$1857-EFEITO!$K$1857*EFEITO!$Y$1857</f>
        <v>0</v>
      </c>
      <c r="N1857" s="74">
        <f ca="1">$K$1857-EFEITO!$M$1857*EFEITO!$Z$1857</f>
        <v>16.675142003203689</v>
      </c>
      <c r="O1857" s="74">
        <f>$L$1857-EFEITO!$O$1857*EFEITO!$AA$1857</f>
        <v>20.404076743328091</v>
      </c>
      <c r="P1857" s="57"/>
      <c r="Q1857" s="57"/>
      <c r="R1857" s="57"/>
      <c r="S1857" s="57"/>
      <c r="T1857" s="57"/>
      <c r="U1857" s="57"/>
      <c r="V1857" s="57"/>
      <c r="W1857" s="57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</row>
    <row r="1858" spans="1:36" ht="11.25" customHeight="1" x14ac:dyDescent="0.2">
      <c r="A1858" s="53" t="s">
        <v>21</v>
      </c>
      <c r="B1858" s="53" t="s">
        <v>22</v>
      </c>
      <c r="C1858" s="53" t="s">
        <v>23</v>
      </c>
      <c r="D1858" s="53" t="s">
        <v>24</v>
      </c>
      <c r="E1858" s="53" t="s">
        <v>31</v>
      </c>
      <c r="F1858" s="53" t="s">
        <v>25</v>
      </c>
      <c r="G1858" s="53" t="s">
        <v>25</v>
      </c>
      <c r="H1858" s="53" t="s">
        <v>25</v>
      </c>
      <c r="I1858" s="73">
        <v>44013</v>
      </c>
      <c r="J1858" s="74">
        <f>EFEITO!$J$1858*EFEITO!$Y$1749</f>
        <v>0</v>
      </c>
      <c r="K1858" s="74">
        <f ca="1">EFEITO!$L$1858*EFEITO!$Z$1864</f>
        <v>137339.05021512421</v>
      </c>
      <c r="L1858" s="74">
        <f>EFEITO!$N$1858*EFEITO!$AA$1864</f>
        <v>168051.13383183189</v>
      </c>
      <c r="M1858" s="74">
        <f>$J$1858-EFEITO!$K$1858*EFEITO!$Y$1858</f>
        <v>0</v>
      </c>
      <c r="N1858" s="74">
        <f ca="1">$K$1858-EFEITO!$M$1858*EFEITO!$Z$1858</f>
        <v>13733.905021512401</v>
      </c>
      <c r="O1858" s="74">
        <f>$L$1858-EFEITO!$O$1858*EFEITO!$AA$1858</f>
        <v>16805.113383183168</v>
      </c>
      <c r="P1858" s="57"/>
      <c r="Q1858" s="57"/>
      <c r="R1858" s="57"/>
      <c r="S1858" s="57"/>
      <c r="T1858" s="57"/>
      <c r="U1858" s="57"/>
      <c r="V1858" s="57"/>
      <c r="W1858" s="57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</row>
    <row r="1859" spans="1:36" ht="11.25" customHeight="1" x14ac:dyDescent="0.2">
      <c r="A1859" s="53" t="s">
        <v>27</v>
      </c>
      <c r="B1859" s="53" t="s">
        <v>22</v>
      </c>
      <c r="C1859" s="53" t="s">
        <v>23</v>
      </c>
      <c r="D1859" s="53" t="s">
        <v>24</v>
      </c>
      <c r="E1859" s="53" t="s">
        <v>31</v>
      </c>
      <c r="F1859" s="53" t="s">
        <v>25</v>
      </c>
      <c r="G1859" s="53" t="s">
        <v>25</v>
      </c>
      <c r="H1859" s="53" t="s">
        <v>25</v>
      </c>
      <c r="I1859" s="73">
        <v>44013</v>
      </c>
      <c r="J1859" s="74">
        <f>EFEITO!$J$1859*EFEITO!$Y$1749</f>
        <v>0</v>
      </c>
      <c r="K1859" s="74">
        <f ca="1">EFEITO!$L$1859*EFEITO!$Z$1864</f>
        <v>95.286525732592537</v>
      </c>
      <c r="L1859" s="74">
        <f>EFEITO!$N$1859*EFEITO!$AA$1864</f>
        <v>116.59472424758911</v>
      </c>
      <c r="M1859" s="74">
        <f>$J$1859-EFEITO!$K$1859*EFEITO!$Y$1859</f>
        <v>0</v>
      </c>
      <c r="N1859" s="74">
        <f ca="1">$K$1859-EFEITO!$M$1859*EFEITO!$Z$1859</f>
        <v>9.5286525732592366</v>
      </c>
      <c r="O1859" s="74">
        <f>$L$1859-EFEITO!$O$1859*EFEITO!$AA$1859</f>
        <v>11.659472424758917</v>
      </c>
      <c r="P1859" s="57"/>
      <c r="Q1859" s="57"/>
      <c r="R1859" s="57"/>
      <c r="S1859" s="57"/>
      <c r="T1859" s="57"/>
      <c r="U1859" s="57"/>
      <c r="V1859" s="57"/>
      <c r="W1859" s="57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</row>
    <row r="1860" spans="1:36" ht="11.25" customHeight="1" x14ac:dyDescent="0.2">
      <c r="A1860" s="53" t="s">
        <v>21</v>
      </c>
      <c r="B1860" s="53" t="s">
        <v>22</v>
      </c>
      <c r="C1860" s="53" t="s">
        <v>23</v>
      </c>
      <c r="D1860" s="53" t="s">
        <v>24</v>
      </c>
      <c r="E1860" s="53" t="s">
        <v>31</v>
      </c>
      <c r="F1860" s="53" t="s">
        <v>25</v>
      </c>
      <c r="G1860" s="53" t="s">
        <v>25</v>
      </c>
      <c r="H1860" s="53" t="s">
        <v>25</v>
      </c>
      <c r="I1860" s="73">
        <v>44044</v>
      </c>
      <c r="J1860" s="74">
        <f>EFEITO!$J$1860*EFEITO!$Y$1749</f>
        <v>0</v>
      </c>
      <c r="K1860" s="74">
        <f ca="1">EFEITO!$L$1860*EFEITO!$Z$1864</f>
        <v>155117.7292944685</v>
      </c>
      <c r="L1860" s="74">
        <f>EFEITO!$N$1860*EFEITO!$AA$1864</f>
        <v>189805.52322535237</v>
      </c>
      <c r="M1860" s="74">
        <f>$J$1860-EFEITO!$K$1860*EFEITO!$Y$1860</f>
        <v>0</v>
      </c>
      <c r="N1860" s="74">
        <f ca="1">$K$1860-EFEITO!$M$1860*EFEITO!$Z$1860</f>
        <v>15511.77292944683</v>
      </c>
      <c r="O1860" s="74">
        <f>$L$1860-EFEITO!$O$1860*EFEITO!$AA$1860</f>
        <v>18980.552322535223</v>
      </c>
      <c r="P1860" s="57"/>
      <c r="Q1860" s="57"/>
      <c r="R1860" s="57"/>
      <c r="S1860" s="57"/>
      <c r="T1860" s="57"/>
      <c r="U1860" s="57"/>
      <c r="V1860" s="57"/>
      <c r="W1860" s="57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</row>
    <row r="1861" spans="1:36" ht="11.25" customHeight="1" x14ac:dyDescent="0.2">
      <c r="A1861" s="53" t="s">
        <v>27</v>
      </c>
      <c r="B1861" s="53" t="s">
        <v>22</v>
      </c>
      <c r="C1861" s="53" t="s">
        <v>23</v>
      </c>
      <c r="D1861" s="53" t="s">
        <v>24</v>
      </c>
      <c r="E1861" s="53" t="s">
        <v>31</v>
      </c>
      <c r="F1861" s="53" t="s">
        <v>25</v>
      </c>
      <c r="G1861" s="53" t="s">
        <v>25</v>
      </c>
      <c r="H1861" s="53" t="s">
        <v>25</v>
      </c>
      <c r="I1861" s="73">
        <v>44044</v>
      </c>
      <c r="J1861" s="74">
        <f>EFEITO!$J$1861*EFEITO!$Y$1749</f>
        <v>0</v>
      </c>
      <c r="K1861" s="74">
        <f ca="1">EFEITO!$L$1861*EFEITO!$Z$1864</f>
        <v>55.980833867898113</v>
      </c>
      <c r="L1861" s="74">
        <f>EFEITO!$N$1861*EFEITO!$AA$1864</f>
        <v>68.499400495458602</v>
      </c>
      <c r="M1861" s="74">
        <f>$J$1861-EFEITO!$K$1861*EFEITO!$Y$1861</f>
        <v>0</v>
      </c>
      <c r="N1861" s="74">
        <f ca="1">$K$1861-EFEITO!$M$1861*EFEITO!$Z$1861</f>
        <v>5.5980833867898028</v>
      </c>
      <c r="O1861" s="74">
        <f>$L$1861-EFEITO!$O$1861*EFEITO!$AA$1861</f>
        <v>6.8499400495458644</v>
      </c>
      <c r="P1861" s="57"/>
      <c r="Q1861" s="57"/>
      <c r="R1861" s="57"/>
      <c r="S1861" s="57"/>
      <c r="T1861" s="57"/>
      <c r="U1861" s="57"/>
      <c r="V1861" s="57"/>
      <c r="W1861" s="57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</row>
    <row r="1862" spans="1:36" ht="11.25" customHeight="1" x14ac:dyDescent="0.2">
      <c r="A1862" s="53" t="s">
        <v>59</v>
      </c>
      <c r="B1862" s="53" t="s">
        <v>22</v>
      </c>
      <c r="C1862" s="53" t="s">
        <v>23</v>
      </c>
      <c r="D1862" s="53" t="s">
        <v>24</v>
      </c>
      <c r="E1862" s="53" t="s">
        <v>31</v>
      </c>
      <c r="F1862" s="53" t="s">
        <v>25</v>
      </c>
      <c r="G1862" s="53" t="s">
        <v>25</v>
      </c>
      <c r="H1862" s="53" t="s">
        <v>25</v>
      </c>
      <c r="I1862" s="73">
        <v>44075</v>
      </c>
      <c r="J1862" s="74">
        <f>EFEITO!$J$1862*EFEITO!$Y$1749</f>
        <v>0</v>
      </c>
      <c r="K1862" s="74">
        <f ca="1">EFEITO!$L$1862*EFEITO!$Z$1864</f>
        <v>155117.7292944685</v>
      </c>
      <c r="L1862" s="74">
        <f>EFEITO!$N$1862*EFEITO!$AA$1864</f>
        <v>189805.52322535237</v>
      </c>
      <c r="M1862" s="74">
        <f>$J$1862-EFEITO!$K$1862*EFEITO!$Y$1862</f>
        <v>0</v>
      </c>
      <c r="N1862" s="74">
        <f ca="1">$K$1862-EFEITO!$M$1862*EFEITO!$Z$1862</f>
        <v>15511.77292944683</v>
      </c>
      <c r="O1862" s="74">
        <f>$L$1862-EFEITO!$O$1862*EFEITO!$AA$1862</f>
        <v>18980.552322535223</v>
      </c>
      <c r="P1862" s="57"/>
      <c r="Q1862" s="57"/>
      <c r="R1862" s="57"/>
      <c r="S1862" s="57"/>
      <c r="T1862" s="57"/>
      <c r="U1862" s="57"/>
      <c r="V1862" s="57"/>
      <c r="W1862" s="57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</row>
    <row r="1863" spans="1:36" ht="11.25" customHeight="1" x14ac:dyDescent="0.2">
      <c r="A1863" s="53" t="s">
        <v>59</v>
      </c>
      <c r="B1863" s="53" t="s">
        <v>22</v>
      </c>
      <c r="C1863" s="53" t="s">
        <v>23</v>
      </c>
      <c r="D1863" s="53" t="s">
        <v>24</v>
      </c>
      <c r="E1863" s="53" t="s">
        <v>31</v>
      </c>
      <c r="F1863" s="53" t="s">
        <v>25</v>
      </c>
      <c r="G1863" s="53" t="s">
        <v>25</v>
      </c>
      <c r="H1863" s="53" t="s">
        <v>25</v>
      </c>
      <c r="I1863" s="73">
        <v>44075</v>
      </c>
      <c r="J1863" s="74">
        <f>EFEITO!$J$1863*EFEITO!$Y$1749</f>
        <v>0</v>
      </c>
      <c r="K1863" s="74">
        <f ca="1">EFEITO!$L$1863*EFEITO!$Z$1864</f>
        <v>55.980833867898113</v>
      </c>
      <c r="L1863" s="74">
        <f>EFEITO!$N$1863*EFEITO!$AA$1864</f>
        <v>68.499400495458602</v>
      </c>
      <c r="M1863" s="74">
        <f>$J$1863-EFEITO!$K$1863*EFEITO!$Y$1863</f>
        <v>0</v>
      </c>
      <c r="N1863" s="74">
        <f ca="1">$K$1863-EFEITO!$M$1863*EFEITO!$Z$1863</f>
        <v>5.5980833867898028</v>
      </c>
      <c r="O1863" s="74">
        <f>$L$1863-EFEITO!$O$1863*EFEITO!$AA$1863</f>
        <v>6.8499400495458644</v>
      </c>
      <c r="P1863" s="57"/>
      <c r="Q1863" s="57"/>
      <c r="R1863" s="57"/>
      <c r="S1863" s="57"/>
      <c r="T1863" s="57"/>
      <c r="U1863" s="57"/>
      <c r="V1863" s="57"/>
      <c r="W1863" s="57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</row>
    <row r="1864" spans="1:36" ht="11.25" customHeight="1" x14ac:dyDescent="0.2">
      <c r="A1864" s="53" t="s">
        <v>21</v>
      </c>
      <c r="B1864" s="53" t="s">
        <v>22</v>
      </c>
      <c r="C1864" s="53" t="s">
        <v>23</v>
      </c>
      <c r="D1864" s="53" t="s">
        <v>24</v>
      </c>
      <c r="E1864" s="53" t="s">
        <v>32</v>
      </c>
      <c r="F1864" s="53" t="s">
        <v>25</v>
      </c>
      <c r="G1864" s="53" t="s">
        <v>25</v>
      </c>
      <c r="H1864" s="53" t="s">
        <v>25</v>
      </c>
      <c r="I1864" s="73">
        <v>43739</v>
      </c>
      <c r="J1864" s="74">
        <f>EFEITO!$J$1864*EFEITO!$Y$1749</f>
        <v>0</v>
      </c>
      <c r="K1864" s="74">
        <f ca="1">EFEITO!$L$1864*EFEITO!$Z$1864</f>
        <v>37268.743863564981</v>
      </c>
      <c r="L1864" s="74">
        <f>EFEITO!$N$1864*EFEITO!$AA$1864</f>
        <v>45602.868615662781</v>
      </c>
      <c r="M1864" s="74">
        <f>$J$1864-EFEITO!$K$1864*EFEITO!$Y$1864</f>
        <v>0</v>
      </c>
      <c r="N1864" s="74">
        <f ca="1">$K$1864-EFEITO!$M$1864*EFEITO!$Z$1864</f>
        <v>0</v>
      </c>
      <c r="O1864" s="74">
        <f>$L$1864-EFEITO!$O$1864*EFEITO!$AA$1864</f>
        <v>0</v>
      </c>
      <c r="P1864" s="57"/>
      <c r="Q1864" s="57"/>
      <c r="R1864" s="57"/>
      <c r="S1864" s="57"/>
      <c r="T1864" s="57"/>
      <c r="U1864" s="57"/>
      <c r="V1864" s="57"/>
      <c r="W1864" s="57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</row>
    <row r="1865" spans="1:36" ht="11.25" customHeight="1" x14ac:dyDescent="0.2">
      <c r="A1865" s="53" t="s">
        <v>27</v>
      </c>
      <c r="B1865" s="53" t="s">
        <v>22</v>
      </c>
      <c r="C1865" s="53" t="s">
        <v>23</v>
      </c>
      <c r="D1865" s="53" t="s">
        <v>24</v>
      </c>
      <c r="E1865" s="53" t="s">
        <v>32</v>
      </c>
      <c r="F1865" s="53" t="s">
        <v>25</v>
      </c>
      <c r="G1865" s="53" t="s">
        <v>25</v>
      </c>
      <c r="H1865" s="53" t="s">
        <v>25</v>
      </c>
      <c r="I1865" s="73">
        <v>43739</v>
      </c>
      <c r="J1865" s="74">
        <f>EFEITO!$J$1865*EFEITO!$Y$1749</f>
        <v>0</v>
      </c>
      <c r="K1865" s="74">
        <f ca="1">EFEITO!$L$1865*EFEITO!$Z$1864</f>
        <v>29.181498505606466</v>
      </c>
      <c r="L1865" s="74">
        <f>EFEITO!$N$1865*EFEITO!$AA$1864</f>
        <v>35.707134300824166</v>
      </c>
      <c r="M1865" s="74">
        <f>$J$1865-EFEITO!$K$1865*EFEITO!$Y$1865</f>
        <v>0</v>
      </c>
      <c r="N1865" s="74">
        <f ca="1">$K$1865-EFEITO!$M$1865*EFEITO!$Z$1865</f>
        <v>0</v>
      </c>
      <c r="O1865" s="74">
        <f>$L$1865-EFEITO!$O$1865*EFEITO!$AA$1865</f>
        <v>0</v>
      </c>
      <c r="P1865" s="57"/>
      <c r="Q1865" s="57"/>
      <c r="R1865" s="57"/>
      <c r="S1865" s="57"/>
      <c r="T1865" s="57"/>
      <c r="U1865" s="57"/>
      <c r="V1865" s="57"/>
      <c r="W1865" s="57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</row>
    <row r="1866" spans="1:36" ht="11.25" customHeight="1" x14ac:dyDescent="0.2">
      <c r="A1866" s="53" t="s">
        <v>21</v>
      </c>
      <c r="B1866" s="53" t="s">
        <v>22</v>
      </c>
      <c r="C1866" s="53" t="s">
        <v>23</v>
      </c>
      <c r="D1866" s="53" t="s">
        <v>24</v>
      </c>
      <c r="E1866" s="53" t="s">
        <v>32</v>
      </c>
      <c r="F1866" s="53" t="s">
        <v>25</v>
      </c>
      <c r="G1866" s="53" t="s">
        <v>25</v>
      </c>
      <c r="H1866" s="53" t="s">
        <v>25</v>
      </c>
      <c r="I1866" s="73">
        <v>43770</v>
      </c>
      <c r="J1866" s="74">
        <f>EFEITO!$J$1866*EFEITO!$Y$1749</f>
        <v>0</v>
      </c>
      <c r="K1866" s="74">
        <f ca="1">EFEITO!$L$1866*EFEITO!$Z$1864</f>
        <v>47004.247603102078</v>
      </c>
      <c r="L1866" s="74">
        <f>EFEITO!$N$1866*EFEITO!$AA$1864</f>
        <v>57515.448754309167</v>
      </c>
      <c r="M1866" s="74">
        <f>$J$1866-EFEITO!$K$1866*EFEITO!$Y$1866</f>
        <v>0</v>
      </c>
      <c r="N1866" s="74">
        <f ca="1">$K$1866-EFEITO!$M$1866*EFEITO!$Z$1866</f>
        <v>0</v>
      </c>
      <c r="O1866" s="74">
        <f>$L$1866-EFEITO!$O$1866*EFEITO!$AA$1866</f>
        <v>0</v>
      </c>
      <c r="P1866" s="57"/>
      <c r="Q1866" s="57"/>
      <c r="R1866" s="57"/>
      <c r="S1866" s="57"/>
      <c r="T1866" s="57"/>
      <c r="U1866" s="57"/>
      <c r="V1866" s="57"/>
      <c r="W1866" s="57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</row>
    <row r="1867" spans="1:36" ht="11.25" customHeight="1" x14ac:dyDescent="0.2">
      <c r="A1867" s="53" t="s">
        <v>27</v>
      </c>
      <c r="B1867" s="53" t="s">
        <v>22</v>
      </c>
      <c r="C1867" s="53" t="s">
        <v>23</v>
      </c>
      <c r="D1867" s="53" t="s">
        <v>24</v>
      </c>
      <c r="E1867" s="53" t="s">
        <v>32</v>
      </c>
      <c r="F1867" s="53" t="s">
        <v>25</v>
      </c>
      <c r="G1867" s="53" t="s">
        <v>25</v>
      </c>
      <c r="H1867" s="53" t="s">
        <v>25</v>
      </c>
      <c r="I1867" s="73">
        <v>43770</v>
      </c>
      <c r="J1867" s="74">
        <f>EFEITO!$J$1867*EFEITO!$Y$1749</f>
        <v>0</v>
      </c>
      <c r="K1867" s="74">
        <f ca="1">EFEITO!$L$1867*EFEITO!$Z$1864</f>
        <v>26.402308171739186</v>
      </c>
      <c r="L1867" s="74">
        <f>EFEITO!$N$1867*EFEITO!$AA$1864</f>
        <v>32.306454843602822</v>
      </c>
      <c r="M1867" s="74">
        <f>$J$1867-EFEITO!$K$1867*EFEITO!$Y$1867</f>
        <v>0</v>
      </c>
      <c r="N1867" s="74">
        <f ca="1">$K$1867-EFEITO!$M$1867*EFEITO!$Z$1867</f>
        <v>0</v>
      </c>
      <c r="O1867" s="74">
        <f>$L$1867-EFEITO!$O$1867*EFEITO!$AA$1867</f>
        <v>0</v>
      </c>
      <c r="P1867" s="57"/>
      <c r="Q1867" s="57"/>
      <c r="R1867" s="57"/>
      <c r="S1867" s="57"/>
      <c r="T1867" s="57"/>
      <c r="U1867" s="57"/>
      <c r="V1867" s="57"/>
      <c r="W1867" s="57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</row>
    <row r="1868" spans="1:36" ht="11.25" customHeight="1" x14ac:dyDescent="0.2">
      <c r="A1868" s="53" t="s">
        <v>21</v>
      </c>
      <c r="B1868" s="53" t="s">
        <v>22</v>
      </c>
      <c r="C1868" s="53" t="s">
        <v>23</v>
      </c>
      <c r="D1868" s="53" t="s">
        <v>24</v>
      </c>
      <c r="E1868" s="53" t="s">
        <v>32</v>
      </c>
      <c r="F1868" s="53" t="s">
        <v>25</v>
      </c>
      <c r="G1868" s="53" t="s">
        <v>25</v>
      </c>
      <c r="H1868" s="53" t="s">
        <v>25</v>
      </c>
      <c r="I1868" s="73">
        <v>43800</v>
      </c>
      <c r="J1868" s="74">
        <f>EFEITO!$J$1868*EFEITO!$Y$1749</f>
        <v>0</v>
      </c>
      <c r="K1868" s="74">
        <f ca="1">EFEITO!$L$1868*EFEITO!$Z$1864</f>
        <v>29643.439641814264</v>
      </c>
      <c r="L1868" s="74">
        <f>EFEITO!$N$1868*EFEITO!$AA$1864</f>
        <v>36272.375807749457</v>
      </c>
      <c r="M1868" s="74">
        <f>$J$1868-EFEITO!$K$1868*EFEITO!$Y$1868</f>
        <v>0</v>
      </c>
      <c r="N1868" s="74">
        <f ca="1">$K$1868-EFEITO!$M$1868*EFEITO!$Z$1868</f>
        <v>0</v>
      </c>
      <c r="O1868" s="74">
        <f>$L$1868-EFEITO!$O$1868*EFEITO!$AA$1868</f>
        <v>0</v>
      </c>
      <c r="P1868" s="57"/>
      <c r="Q1868" s="57"/>
      <c r="R1868" s="57"/>
      <c r="S1868" s="57"/>
      <c r="T1868" s="57"/>
      <c r="U1868" s="57"/>
      <c r="V1868" s="57"/>
      <c r="W1868" s="57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</row>
    <row r="1869" spans="1:36" ht="11.25" customHeight="1" x14ac:dyDescent="0.2">
      <c r="A1869" s="53" t="s">
        <v>21</v>
      </c>
      <c r="B1869" s="53" t="s">
        <v>22</v>
      </c>
      <c r="C1869" s="53" t="s">
        <v>23</v>
      </c>
      <c r="D1869" s="53" t="s">
        <v>24</v>
      </c>
      <c r="E1869" s="53" t="s">
        <v>32</v>
      </c>
      <c r="F1869" s="53" t="s">
        <v>25</v>
      </c>
      <c r="G1869" s="53" t="s">
        <v>25</v>
      </c>
      <c r="H1869" s="53" t="s">
        <v>25</v>
      </c>
      <c r="I1869" s="73">
        <v>43831</v>
      </c>
      <c r="J1869" s="74">
        <f>EFEITO!$J$1869*EFEITO!$Y$1749</f>
        <v>0</v>
      </c>
      <c r="K1869" s="74">
        <f ca="1">EFEITO!$L$1869*EFEITO!$Z$1864</f>
        <v>43616.613099713133</v>
      </c>
      <c r="L1869" s="74">
        <f>EFEITO!$N$1869*EFEITO!$AA$1864</f>
        <v>53370.263401631855</v>
      </c>
      <c r="M1869" s="74">
        <f>$J$1869-EFEITO!$K$1869*EFEITO!$Y$1869</f>
        <v>0</v>
      </c>
      <c r="N1869" s="74">
        <f ca="1">$K$1869-EFEITO!$M$1869*EFEITO!$Z$1869</f>
        <v>0</v>
      </c>
      <c r="O1869" s="74">
        <f>$L$1869-EFEITO!$O$1869*EFEITO!$AA$1869</f>
        <v>0</v>
      </c>
      <c r="P1869" s="57"/>
      <c r="Q1869" s="57"/>
      <c r="R1869" s="57"/>
      <c r="S1869" s="57"/>
      <c r="T1869" s="57"/>
      <c r="U1869" s="57"/>
      <c r="V1869" s="57"/>
      <c r="W1869" s="57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</row>
    <row r="1870" spans="1:36" ht="11.25" customHeight="1" x14ac:dyDescent="0.2">
      <c r="A1870" s="53" t="s">
        <v>27</v>
      </c>
      <c r="B1870" s="53" t="s">
        <v>22</v>
      </c>
      <c r="C1870" s="53" t="s">
        <v>23</v>
      </c>
      <c r="D1870" s="53" t="s">
        <v>24</v>
      </c>
      <c r="E1870" s="53" t="s">
        <v>32</v>
      </c>
      <c r="F1870" s="53" t="s">
        <v>25</v>
      </c>
      <c r="G1870" s="53" t="s">
        <v>25</v>
      </c>
      <c r="H1870" s="53" t="s">
        <v>25</v>
      </c>
      <c r="I1870" s="73">
        <v>43831</v>
      </c>
      <c r="J1870" s="74">
        <f>EFEITO!$J$1870*EFEITO!$Y$1749</f>
        <v>0</v>
      </c>
      <c r="K1870" s="74">
        <f ca="1">EFEITO!$L$1870*EFEITO!$Z$1864</f>
        <v>31.96068883947375</v>
      </c>
      <c r="L1870" s="74">
        <f>EFEITO!$N$1870*EFEITO!$AA$1864</f>
        <v>39.107813758045516</v>
      </c>
      <c r="M1870" s="74">
        <f>$J$1870-EFEITO!$K$1870*EFEITO!$Y$1870</f>
        <v>0</v>
      </c>
      <c r="N1870" s="74">
        <f ca="1">$K$1870-EFEITO!$M$1870*EFEITO!$Z$1870</f>
        <v>0</v>
      </c>
      <c r="O1870" s="74">
        <f>$L$1870-EFEITO!$O$1870*EFEITO!$AA$1870</f>
        <v>0</v>
      </c>
      <c r="P1870" s="57"/>
      <c r="Q1870" s="57"/>
      <c r="R1870" s="57"/>
      <c r="S1870" s="57"/>
      <c r="T1870" s="57"/>
      <c r="U1870" s="57"/>
      <c r="V1870" s="57"/>
      <c r="W1870" s="57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</row>
    <row r="1871" spans="1:36" ht="11.25" customHeight="1" x14ac:dyDescent="0.2">
      <c r="A1871" s="53" t="s">
        <v>21</v>
      </c>
      <c r="B1871" s="53" t="s">
        <v>22</v>
      </c>
      <c r="C1871" s="53" t="s">
        <v>23</v>
      </c>
      <c r="D1871" s="53" t="s">
        <v>24</v>
      </c>
      <c r="E1871" s="53" t="s">
        <v>32</v>
      </c>
      <c r="F1871" s="53" t="s">
        <v>25</v>
      </c>
      <c r="G1871" s="53" t="s">
        <v>25</v>
      </c>
      <c r="H1871" s="53" t="s">
        <v>25</v>
      </c>
      <c r="I1871" s="73">
        <v>43862</v>
      </c>
      <c r="J1871" s="74">
        <f>EFEITO!$J$1871*EFEITO!$Y$1749</f>
        <v>0</v>
      </c>
      <c r="K1871" s="74">
        <f ca="1">EFEITO!$L$1871*EFEITO!$Z$1864</f>
        <v>30618.141394620576</v>
      </c>
      <c r="L1871" s="74">
        <f>EFEITO!$N$1871*EFEITO!$AA$1864</f>
        <v>37465.042674532087</v>
      </c>
      <c r="M1871" s="74">
        <f>$J$1871-EFEITO!$K$1871*EFEITO!$Y$1871</f>
        <v>0</v>
      </c>
      <c r="N1871" s="74">
        <f ca="1">$K$1871-EFEITO!$M$1871*EFEITO!$Z$1871</f>
        <v>0</v>
      </c>
      <c r="O1871" s="74">
        <f>$L$1871-EFEITO!$O$1871*EFEITO!$AA$1871</f>
        <v>0</v>
      </c>
      <c r="P1871" s="57"/>
      <c r="Q1871" s="57"/>
      <c r="R1871" s="57"/>
      <c r="S1871" s="57"/>
      <c r="T1871" s="57"/>
      <c r="U1871" s="57"/>
      <c r="V1871" s="57"/>
      <c r="W1871" s="57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</row>
    <row r="1872" spans="1:36" ht="11.25" customHeight="1" x14ac:dyDescent="0.2">
      <c r="A1872" s="53" t="s">
        <v>21</v>
      </c>
      <c r="B1872" s="53" t="s">
        <v>22</v>
      </c>
      <c r="C1872" s="53" t="s">
        <v>23</v>
      </c>
      <c r="D1872" s="53" t="s">
        <v>24</v>
      </c>
      <c r="E1872" s="53" t="s">
        <v>32</v>
      </c>
      <c r="F1872" s="53" t="s">
        <v>25</v>
      </c>
      <c r="G1872" s="53" t="s">
        <v>25</v>
      </c>
      <c r="H1872" s="53" t="s">
        <v>25</v>
      </c>
      <c r="I1872" s="73">
        <v>43891</v>
      </c>
      <c r="J1872" s="74">
        <f>EFEITO!$J$1872*EFEITO!$Y$1749</f>
        <v>0</v>
      </c>
      <c r="K1872" s="74">
        <f ca="1">EFEITO!$L$1872*EFEITO!$Z$1864</f>
        <v>32371.016440909727</v>
      </c>
      <c r="L1872" s="74">
        <f>EFEITO!$N$1872*EFEITO!$AA$1864</f>
        <v>39609.899789336698</v>
      </c>
      <c r="M1872" s="74">
        <f>$J$1872-EFEITO!$K$1872*EFEITO!$Y$1872</f>
        <v>0</v>
      </c>
      <c r="N1872" s="74">
        <f ca="1">$K$1872-EFEITO!$M$1872*EFEITO!$Z$1872</f>
        <v>0</v>
      </c>
      <c r="O1872" s="74">
        <f>$L$1872-EFEITO!$O$1872*EFEITO!$AA$1872</f>
        <v>0</v>
      </c>
      <c r="P1872" s="57"/>
      <c r="Q1872" s="57"/>
      <c r="R1872" s="57"/>
      <c r="S1872" s="57"/>
      <c r="T1872" s="57"/>
      <c r="U1872" s="57"/>
      <c r="V1872" s="57"/>
      <c r="W1872" s="57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</row>
    <row r="1873" spans="1:36" ht="11.25" customHeight="1" x14ac:dyDescent="0.2">
      <c r="A1873" s="53" t="s">
        <v>27</v>
      </c>
      <c r="B1873" s="53" t="s">
        <v>22</v>
      </c>
      <c r="C1873" s="53" t="s">
        <v>23</v>
      </c>
      <c r="D1873" s="53" t="s">
        <v>24</v>
      </c>
      <c r="E1873" s="53" t="s">
        <v>32</v>
      </c>
      <c r="F1873" s="53" t="s">
        <v>25</v>
      </c>
      <c r="G1873" s="53" t="s">
        <v>25</v>
      </c>
      <c r="H1873" s="53" t="s">
        <v>25</v>
      </c>
      <c r="I1873" s="73">
        <v>43891</v>
      </c>
      <c r="J1873" s="74">
        <f>EFEITO!$J$1873*EFEITO!$Y$1749</f>
        <v>0</v>
      </c>
      <c r="K1873" s="74">
        <f ca="1">EFEITO!$L$1873*EFEITO!$Z$1864</f>
        <v>43.275963770219114</v>
      </c>
      <c r="L1873" s="74">
        <f>EFEITO!$N$1873*EFEITO!$AA$1864</f>
        <v>52.95343726244672</v>
      </c>
      <c r="M1873" s="74">
        <f>$J$1873-EFEITO!$K$1873*EFEITO!$Y$1873</f>
        <v>0</v>
      </c>
      <c r="N1873" s="74">
        <f ca="1">$K$1873-EFEITO!$M$1873*EFEITO!$Z$1873</f>
        <v>0</v>
      </c>
      <c r="O1873" s="74">
        <f>$L$1873-EFEITO!$O$1873*EFEITO!$AA$1873</f>
        <v>0</v>
      </c>
      <c r="P1873" s="57"/>
      <c r="Q1873" s="57"/>
      <c r="R1873" s="57"/>
      <c r="S1873" s="57"/>
      <c r="T1873" s="57"/>
      <c r="U1873" s="57"/>
      <c r="V1873" s="57"/>
      <c r="W1873" s="57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</row>
    <row r="1874" spans="1:36" ht="11.25" customHeight="1" x14ac:dyDescent="0.2">
      <c r="A1874" s="53" t="s">
        <v>21</v>
      </c>
      <c r="B1874" s="53" t="s">
        <v>22</v>
      </c>
      <c r="C1874" s="53" t="s">
        <v>23</v>
      </c>
      <c r="D1874" s="53" t="s">
        <v>24</v>
      </c>
      <c r="E1874" s="53" t="s">
        <v>32</v>
      </c>
      <c r="F1874" s="53" t="s">
        <v>25</v>
      </c>
      <c r="G1874" s="53" t="s">
        <v>25</v>
      </c>
      <c r="H1874" s="53" t="s">
        <v>25</v>
      </c>
      <c r="I1874" s="73">
        <v>43922</v>
      </c>
      <c r="J1874" s="74">
        <f>EFEITO!$J$1874*EFEITO!$Y$1749</f>
        <v>0</v>
      </c>
      <c r="K1874" s="74">
        <f ca="1">EFEITO!$L$1874*EFEITO!$Z$1864</f>
        <v>44993.503396549095</v>
      </c>
      <c r="L1874" s="74">
        <f>EFEITO!$N$1874*EFEITO!$AA$1864</f>
        <v>55055.057167009516</v>
      </c>
      <c r="M1874" s="74">
        <f>$J$1874-EFEITO!$K$1874*EFEITO!$Y$1874</f>
        <v>0</v>
      </c>
      <c r="N1874" s="74">
        <f ca="1">$K$1874-EFEITO!$M$1874*EFEITO!$Z$1874</f>
        <v>0</v>
      </c>
      <c r="O1874" s="74">
        <f>$L$1874-EFEITO!$O$1874*EFEITO!$AA$1874</f>
        <v>0</v>
      </c>
      <c r="P1874" s="57"/>
      <c r="Q1874" s="57"/>
      <c r="R1874" s="57"/>
      <c r="S1874" s="57"/>
      <c r="T1874" s="57"/>
      <c r="U1874" s="57"/>
      <c r="V1874" s="57"/>
      <c r="W1874" s="57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</row>
    <row r="1875" spans="1:36" ht="11.25" customHeight="1" x14ac:dyDescent="0.2">
      <c r="A1875" s="53" t="s">
        <v>27</v>
      </c>
      <c r="B1875" s="53" t="s">
        <v>22</v>
      </c>
      <c r="C1875" s="53" t="s">
        <v>23</v>
      </c>
      <c r="D1875" s="53" t="s">
        <v>24</v>
      </c>
      <c r="E1875" s="53" t="s">
        <v>32</v>
      </c>
      <c r="F1875" s="53" t="s">
        <v>25</v>
      </c>
      <c r="G1875" s="53" t="s">
        <v>25</v>
      </c>
      <c r="H1875" s="53" t="s">
        <v>25</v>
      </c>
      <c r="I1875" s="73">
        <v>43922</v>
      </c>
      <c r="J1875" s="74">
        <f>EFEITO!$J$1875*EFEITO!$Y$1749</f>
        <v>0</v>
      </c>
      <c r="K1875" s="74">
        <f ca="1">EFEITO!$L$1875*EFEITO!$Z$1864</f>
        <v>356.13338992556464</v>
      </c>
      <c r="L1875" s="74">
        <f>EFEITO!$N$1875*EFEITO!$AA$1864</f>
        <v>435.77278187536433</v>
      </c>
      <c r="M1875" s="74">
        <f>$J$1875-EFEITO!$K$1875*EFEITO!$Y$1875</f>
        <v>0</v>
      </c>
      <c r="N1875" s="74">
        <f ca="1">$K$1875-EFEITO!$M$1875*EFEITO!$Z$1875</f>
        <v>0</v>
      </c>
      <c r="O1875" s="74">
        <f>$L$1875-EFEITO!$O$1875*EFEITO!$AA$1875</f>
        <v>0</v>
      </c>
      <c r="P1875" s="57"/>
      <c r="Q1875" s="57"/>
      <c r="R1875" s="57"/>
      <c r="S1875" s="57"/>
      <c r="T1875" s="57"/>
      <c r="U1875" s="57"/>
      <c r="V1875" s="57"/>
      <c r="W1875" s="57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</row>
    <row r="1876" spans="1:36" ht="11.25" customHeight="1" x14ac:dyDescent="0.2">
      <c r="A1876" s="53" t="s">
        <v>21</v>
      </c>
      <c r="B1876" s="53" t="s">
        <v>22</v>
      </c>
      <c r="C1876" s="53" t="s">
        <v>23</v>
      </c>
      <c r="D1876" s="53" t="s">
        <v>24</v>
      </c>
      <c r="E1876" s="53" t="s">
        <v>32</v>
      </c>
      <c r="F1876" s="53" t="s">
        <v>25</v>
      </c>
      <c r="G1876" s="53" t="s">
        <v>25</v>
      </c>
      <c r="H1876" s="53" t="s">
        <v>25</v>
      </c>
      <c r="I1876" s="73">
        <v>43952</v>
      </c>
      <c r="J1876" s="74">
        <f>EFEITO!$J$1876*EFEITO!$Y$1749</f>
        <v>0</v>
      </c>
      <c r="K1876" s="74">
        <f ca="1">EFEITO!$L$1876*EFEITO!$Z$1864</f>
        <v>46402.354382224526</v>
      </c>
      <c r="L1876" s="74">
        <f>EFEITO!$N$1876*EFEITO!$AA$1864</f>
        <v>56778.958746145225</v>
      </c>
      <c r="M1876" s="74">
        <f>$J$1876-EFEITO!$K$1876*EFEITO!$Y$1876</f>
        <v>0</v>
      </c>
      <c r="N1876" s="74">
        <f ca="1">$K$1876-EFEITO!$M$1876*EFEITO!$Z$1876</f>
        <v>0</v>
      </c>
      <c r="O1876" s="74">
        <f>$L$1876-EFEITO!$O$1876*EFEITO!$AA$1876</f>
        <v>0</v>
      </c>
      <c r="P1876" s="57"/>
      <c r="Q1876" s="57"/>
      <c r="R1876" s="57"/>
      <c r="S1876" s="57"/>
      <c r="T1876" s="57"/>
      <c r="U1876" s="57"/>
      <c r="V1876" s="57"/>
      <c r="W1876" s="57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</row>
    <row r="1877" spans="1:36" ht="11.25" customHeight="1" x14ac:dyDescent="0.2">
      <c r="A1877" s="53" t="s">
        <v>27</v>
      </c>
      <c r="B1877" s="53" t="s">
        <v>22</v>
      </c>
      <c r="C1877" s="53" t="s">
        <v>23</v>
      </c>
      <c r="D1877" s="53" t="s">
        <v>24</v>
      </c>
      <c r="E1877" s="53" t="s">
        <v>32</v>
      </c>
      <c r="F1877" s="53" t="s">
        <v>25</v>
      </c>
      <c r="G1877" s="53" t="s">
        <v>25</v>
      </c>
      <c r="H1877" s="53" t="s">
        <v>25</v>
      </c>
      <c r="I1877" s="73">
        <v>43952</v>
      </c>
      <c r="J1877" s="74">
        <f>EFEITO!$J$1877*EFEITO!$Y$1749</f>
        <v>0</v>
      </c>
      <c r="K1877" s="74">
        <f ca="1">EFEITO!$L$1877*EFEITO!$Z$1864</f>
        <v>1361.0092092138634</v>
      </c>
      <c r="L1877" s="74">
        <f>EFEITO!$N$1877*EFEITO!$AA$1864</f>
        <v>1665.3613113363979</v>
      </c>
      <c r="M1877" s="74">
        <f>$J$1877-EFEITO!$K$1877*EFEITO!$Y$1877</f>
        <v>0</v>
      </c>
      <c r="N1877" s="74">
        <f ca="1">$K$1877-EFEITO!$M$1877*EFEITO!$Z$1877</f>
        <v>0</v>
      </c>
      <c r="O1877" s="74">
        <f>$L$1877-EFEITO!$O$1877*EFEITO!$AA$1877</f>
        <v>0</v>
      </c>
      <c r="P1877" s="57"/>
      <c r="Q1877" s="57"/>
      <c r="R1877" s="57"/>
      <c r="S1877" s="57"/>
      <c r="T1877" s="57"/>
      <c r="U1877" s="57"/>
      <c r="V1877" s="57"/>
      <c r="W1877" s="57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</row>
    <row r="1878" spans="1:36" ht="11.25" customHeight="1" x14ac:dyDescent="0.2">
      <c r="A1878" s="53" t="s">
        <v>21</v>
      </c>
      <c r="B1878" s="53" t="s">
        <v>22</v>
      </c>
      <c r="C1878" s="53" t="s">
        <v>23</v>
      </c>
      <c r="D1878" s="53" t="s">
        <v>24</v>
      </c>
      <c r="E1878" s="53" t="s">
        <v>32</v>
      </c>
      <c r="F1878" s="53" t="s">
        <v>25</v>
      </c>
      <c r="G1878" s="53" t="s">
        <v>25</v>
      </c>
      <c r="H1878" s="53" t="s">
        <v>25</v>
      </c>
      <c r="I1878" s="73">
        <v>43983</v>
      </c>
      <c r="J1878" s="74">
        <f>EFEITO!$J$1878*EFEITO!$Y$1749</f>
        <v>0</v>
      </c>
      <c r="K1878" s="74">
        <f ca="1">EFEITO!$L$1878*EFEITO!$Z$1864</f>
        <v>36017.314158943598</v>
      </c>
      <c r="L1878" s="74">
        <f>EFEITO!$N$1878*EFEITO!$AA$1864</f>
        <v>44071.591237211105</v>
      </c>
      <c r="M1878" s="74">
        <f>$J$1878-EFEITO!$K$1878*EFEITO!$Y$1878</f>
        <v>0</v>
      </c>
      <c r="N1878" s="74">
        <f ca="1">$K$1878-EFEITO!$M$1878*EFEITO!$Z$1878</f>
        <v>0</v>
      </c>
      <c r="O1878" s="74">
        <f>$L$1878-EFEITO!$O$1878*EFEITO!$AA$1878</f>
        <v>0</v>
      </c>
      <c r="P1878" s="57"/>
      <c r="Q1878" s="57"/>
      <c r="R1878" s="57"/>
      <c r="S1878" s="57"/>
      <c r="T1878" s="57"/>
      <c r="U1878" s="57"/>
      <c r="V1878" s="57"/>
      <c r="W1878" s="57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</row>
    <row r="1879" spans="1:36" ht="11.25" customHeight="1" x14ac:dyDescent="0.2">
      <c r="A1879" s="53" t="s">
        <v>27</v>
      </c>
      <c r="B1879" s="53" t="s">
        <v>22</v>
      </c>
      <c r="C1879" s="53" t="s">
        <v>23</v>
      </c>
      <c r="D1879" s="53" t="s">
        <v>24</v>
      </c>
      <c r="E1879" s="53" t="s">
        <v>32</v>
      </c>
      <c r="F1879" s="53" t="s">
        <v>25</v>
      </c>
      <c r="G1879" s="53" t="s">
        <v>25</v>
      </c>
      <c r="H1879" s="53" t="s">
        <v>25</v>
      </c>
      <c r="I1879" s="73">
        <v>43983</v>
      </c>
      <c r="J1879" s="74">
        <f>EFEITO!$J$1879*EFEITO!$Y$1749</f>
        <v>0</v>
      </c>
      <c r="K1879" s="74">
        <f ca="1">EFEITO!$L$1879*EFEITO!$Z$1864</f>
        <v>67.494622393919727</v>
      </c>
      <c r="L1879" s="74">
        <f>EFEITO!$N$1879*EFEITO!$AA$1864</f>
        <v>82.587929675375634</v>
      </c>
      <c r="M1879" s="74">
        <f>$J$1879-EFEITO!$K$1879*EFEITO!$Y$1879</f>
        <v>0</v>
      </c>
      <c r="N1879" s="74">
        <f ca="1">$K$1879-EFEITO!$M$1879*EFEITO!$Z$1879</f>
        <v>0</v>
      </c>
      <c r="O1879" s="74">
        <f>$L$1879-EFEITO!$O$1879*EFEITO!$AA$1879</f>
        <v>0</v>
      </c>
      <c r="P1879" s="57"/>
      <c r="Q1879" s="57"/>
      <c r="R1879" s="57"/>
      <c r="S1879" s="57"/>
      <c r="T1879" s="57"/>
      <c r="U1879" s="57"/>
      <c r="V1879" s="57"/>
      <c r="W1879" s="57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</row>
    <row r="1880" spans="1:36" ht="11.25" customHeight="1" x14ac:dyDescent="0.2">
      <c r="A1880" s="53" t="s">
        <v>21</v>
      </c>
      <c r="B1880" s="53" t="s">
        <v>22</v>
      </c>
      <c r="C1880" s="53" t="s">
        <v>23</v>
      </c>
      <c r="D1880" s="53" t="s">
        <v>24</v>
      </c>
      <c r="E1880" s="53" t="s">
        <v>32</v>
      </c>
      <c r="F1880" s="53" t="s">
        <v>25</v>
      </c>
      <c r="G1880" s="53" t="s">
        <v>25</v>
      </c>
      <c r="H1880" s="53" t="s">
        <v>25</v>
      </c>
      <c r="I1880" s="73">
        <v>44013</v>
      </c>
      <c r="J1880" s="74">
        <f>EFEITO!$J$1880*EFEITO!$Y$1749</f>
        <v>0</v>
      </c>
      <c r="K1880" s="74">
        <f ca="1">EFEITO!$L$1880*EFEITO!$Z$1864</f>
        <v>44466.251287495419</v>
      </c>
      <c r="L1880" s="74">
        <f>EFEITO!$N$1880*EFEITO!$AA$1864</f>
        <v>54409.899692839528</v>
      </c>
      <c r="M1880" s="74">
        <f>$J$1880-EFEITO!$K$1880*EFEITO!$Y$1880</f>
        <v>0</v>
      </c>
      <c r="N1880" s="74">
        <f ca="1">$K$1880-EFEITO!$M$1880*EFEITO!$Z$1880</f>
        <v>0</v>
      </c>
      <c r="O1880" s="74">
        <f>$L$1880-EFEITO!$O$1880*EFEITO!$AA$1880</f>
        <v>0</v>
      </c>
      <c r="P1880" s="57"/>
      <c r="Q1880" s="57"/>
      <c r="R1880" s="57"/>
      <c r="S1880" s="57"/>
      <c r="T1880" s="57"/>
      <c r="U1880" s="57"/>
      <c r="V1880" s="57"/>
      <c r="W1880" s="57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</row>
    <row r="1881" spans="1:36" ht="11.25" customHeight="1" x14ac:dyDescent="0.2">
      <c r="A1881" s="53" t="s">
        <v>27</v>
      </c>
      <c r="B1881" s="53" t="s">
        <v>22</v>
      </c>
      <c r="C1881" s="53" t="s">
        <v>23</v>
      </c>
      <c r="D1881" s="53" t="s">
        <v>24</v>
      </c>
      <c r="E1881" s="53" t="s">
        <v>32</v>
      </c>
      <c r="F1881" s="53" t="s">
        <v>25</v>
      </c>
      <c r="G1881" s="53" t="s">
        <v>25</v>
      </c>
      <c r="H1881" s="53" t="s">
        <v>25</v>
      </c>
      <c r="I1881" s="73">
        <v>44013</v>
      </c>
      <c r="J1881" s="74">
        <f>EFEITO!$J$1881*EFEITO!$Y$1749</f>
        <v>0</v>
      </c>
      <c r="K1881" s="74">
        <f ca="1">EFEITO!$L$1881*EFEITO!$Z$1864</f>
        <v>112.75572211690117</v>
      </c>
      <c r="L1881" s="74">
        <f>EFEITO!$N$1881*EFEITO!$AA$1864</f>
        <v>137.97042369298043</v>
      </c>
      <c r="M1881" s="74">
        <f>$J$1881-EFEITO!$K$1881*EFEITO!$Y$1881</f>
        <v>0</v>
      </c>
      <c r="N1881" s="74">
        <f ca="1">$K$1881-EFEITO!$M$1881*EFEITO!$Z$1881</f>
        <v>0</v>
      </c>
      <c r="O1881" s="74">
        <f>$L$1881-EFEITO!$O$1881*EFEITO!$AA$1881</f>
        <v>0</v>
      </c>
      <c r="P1881" s="57"/>
      <c r="Q1881" s="57"/>
      <c r="R1881" s="57"/>
      <c r="S1881" s="57"/>
      <c r="T1881" s="57"/>
      <c r="U1881" s="57"/>
      <c r="V1881" s="57"/>
      <c r="W1881" s="57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</row>
    <row r="1882" spans="1:36" ht="11.25" customHeight="1" x14ac:dyDescent="0.2">
      <c r="A1882" s="53" t="s">
        <v>21</v>
      </c>
      <c r="B1882" s="53" t="s">
        <v>22</v>
      </c>
      <c r="C1882" s="53" t="s">
        <v>23</v>
      </c>
      <c r="D1882" s="53" t="s">
        <v>24</v>
      </c>
      <c r="E1882" s="53" t="s">
        <v>32</v>
      </c>
      <c r="F1882" s="53" t="s">
        <v>25</v>
      </c>
      <c r="G1882" s="53" t="s">
        <v>25</v>
      </c>
      <c r="H1882" s="53" t="s">
        <v>25</v>
      </c>
      <c r="I1882" s="73">
        <v>44044</v>
      </c>
      <c r="J1882" s="74">
        <f>EFEITO!$J$1882*EFEITO!$Y$1749</f>
        <v>0</v>
      </c>
      <c r="K1882" s="74">
        <f ca="1">EFEITO!$L$1882*EFEITO!$Z$1864</f>
        <v>61079.854076163472</v>
      </c>
      <c r="L1882" s="74">
        <f>EFEITO!$N$1882*EFEITO!$AA$1864</f>
        <v>74738.675676757717</v>
      </c>
      <c r="M1882" s="74">
        <f>$J$1882-EFEITO!$K$1882*EFEITO!$Y$1882</f>
        <v>0</v>
      </c>
      <c r="N1882" s="74">
        <f ca="1">$K$1882-EFEITO!$M$1882*EFEITO!$Z$1882</f>
        <v>0</v>
      </c>
      <c r="O1882" s="74">
        <f>$L$1882-EFEITO!$O$1882*EFEITO!$AA$1882</f>
        <v>0</v>
      </c>
      <c r="P1882" s="57"/>
      <c r="Q1882" s="57"/>
      <c r="R1882" s="57"/>
      <c r="S1882" s="57"/>
      <c r="T1882" s="57"/>
      <c r="U1882" s="57"/>
      <c r="V1882" s="57"/>
      <c r="W1882" s="57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</row>
    <row r="1883" spans="1:36" ht="11.25" customHeight="1" x14ac:dyDescent="0.2">
      <c r="A1883" s="53" t="s">
        <v>27</v>
      </c>
      <c r="B1883" s="53" t="s">
        <v>22</v>
      </c>
      <c r="C1883" s="53" t="s">
        <v>23</v>
      </c>
      <c r="D1883" s="53" t="s">
        <v>24</v>
      </c>
      <c r="E1883" s="53" t="s">
        <v>32</v>
      </c>
      <c r="F1883" s="53" t="s">
        <v>25</v>
      </c>
      <c r="G1883" s="53" t="s">
        <v>25</v>
      </c>
      <c r="H1883" s="53" t="s">
        <v>25</v>
      </c>
      <c r="I1883" s="73">
        <v>44044</v>
      </c>
      <c r="J1883" s="74">
        <f>EFEITO!$J$1883*EFEITO!$Y$1749</f>
        <v>0</v>
      </c>
      <c r="K1883" s="74">
        <f ca="1">EFEITO!$L$1883*EFEITO!$Z$1864</f>
        <v>11.712302121297833</v>
      </c>
      <c r="L1883" s="74">
        <f>EFEITO!$N$1883*EFEITO!$AA$1864</f>
        <v>14.331434855432828</v>
      </c>
      <c r="M1883" s="74">
        <f>$J$1883-EFEITO!$K$1883*EFEITO!$Y$1883</f>
        <v>0</v>
      </c>
      <c r="N1883" s="74">
        <f ca="1">$K$1883-EFEITO!$M$1883*EFEITO!$Z$1883</f>
        <v>0</v>
      </c>
      <c r="O1883" s="74">
        <f>$L$1883-EFEITO!$O$1883*EFEITO!$AA$1883</f>
        <v>0</v>
      </c>
      <c r="P1883" s="57"/>
      <c r="Q1883" s="57"/>
      <c r="R1883" s="57"/>
      <c r="S1883" s="57"/>
      <c r="T1883" s="57"/>
      <c r="U1883" s="57"/>
      <c r="V1883" s="57"/>
      <c r="W1883" s="57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</row>
    <row r="1884" spans="1:36" ht="11.25" customHeight="1" x14ac:dyDescent="0.2">
      <c r="A1884" s="53" t="s">
        <v>59</v>
      </c>
      <c r="B1884" s="53" t="s">
        <v>22</v>
      </c>
      <c r="C1884" s="53" t="s">
        <v>23</v>
      </c>
      <c r="D1884" s="53" t="s">
        <v>24</v>
      </c>
      <c r="E1884" s="53" t="s">
        <v>32</v>
      </c>
      <c r="F1884" s="53" t="s">
        <v>25</v>
      </c>
      <c r="G1884" s="53" t="s">
        <v>25</v>
      </c>
      <c r="H1884" s="53" t="s">
        <v>25</v>
      </c>
      <c r="I1884" s="73">
        <v>44075</v>
      </c>
      <c r="J1884" s="74">
        <f>EFEITO!$J$1884*EFEITO!$Y$1749</f>
        <v>0</v>
      </c>
      <c r="K1884" s="74">
        <f ca="1">EFEITO!$L$1884*EFEITO!$Z$1864</f>
        <v>61079.854076163472</v>
      </c>
      <c r="L1884" s="74">
        <f>EFEITO!$N$1884*EFEITO!$AA$1864</f>
        <v>74738.675676757717</v>
      </c>
      <c r="M1884" s="74">
        <f>$J$1884-EFEITO!$K$1884*EFEITO!$Y$1884</f>
        <v>0</v>
      </c>
      <c r="N1884" s="74">
        <f ca="1">$K$1884-EFEITO!$M$1884*EFEITO!$Z$1884</f>
        <v>0</v>
      </c>
      <c r="O1884" s="74">
        <f>$L$1884-EFEITO!$O$1884*EFEITO!$AA$1884</f>
        <v>0</v>
      </c>
      <c r="P1884" s="57"/>
      <c r="Q1884" s="57"/>
      <c r="R1884" s="57"/>
      <c r="S1884" s="57"/>
      <c r="T1884" s="57"/>
      <c r="U1884" s="57"/>
      <c r="V1884" s="57"/>
      <c r="W1884" s="57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</row>
    <row r="1885" spans="1:36" ht="11.25" customHeight="1" x14ac:dyDescent="0.2">
      <c r="A1885" s="53" t="s">
        <v>59</v>
      </c>
      <c r="B1885" s="53" t="s">
        <v>22</v>
      </c>
      <c r="C1885" s="53" t="s">
        <v>23</v>
      </c>
      <c r="D1885" s="53" t="s">
        <v>24</v>
      </c>
      <c r="E1885" s="53" t="s">
        <v>32</v>
      </c>
      <c r="F1885" s="53" t="s">
        <v>25</v>
      </c>
      <c r="G1885" s="53" t="s">
        <v>25</v>
      </c>
      <c r="H1885" s="53" t="s">
        <v>25</v>
      </c>
      <c r="I1885" s="73">
        <v>44075</v>
      </c>
      <c r="J1885" s="74">
        <f>EFEITO!$J$1885*EFEITO!$Y$1749</f>
        <v>0</v>
      </c>
      <c r="K1885" s="74">
        <f ca="1">EFEITO!$L$1885*EFEITO!$Z$1864</f>
        <v>11.712302121297833</v>
      </c>
      <c r="L1885" s="74">
        <f>EFEITO!$N$1885*EFEITO!$AA$1864</f>
        <v>14.331434855432828</v>
      </c>
      <c r="M1885" s="74">
        <f>$J$1885-EFEITO!$K$1885*EFEITO!$Y$1885</f>
        <v>0</v>
      </c>
      <c r="N1885" s="74">
        <f ca="1">$K$1885-EFEITO!$M$1885*EFEITO!$Z$1885</f>
        <v>0</v>
      </c>
      <c r="O1885" s="74">
        <f>$L$1885-EFEITO!$O$1885*EFEITO!$AA$1885</f>
        <v>0</v>
      </c>
      <c r="P1885" s="57"/>
      <c r="Q1885" s="57"/>
      <c r="R1885" s="57"/>
      <c r="S1885" s="57"/>
      <c r="T1885" s="57"/>
      <c r="U1885" s="57"/>
      <c r="V1885" s="57"/>
      <c r="W1885" s="57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</row>
    <row r="1886" spans="1:36" ht="11.25" customHeight="1" x14ac:dyDescent="0.2">
      <c r="A1886" s="53" t="s">
        <v>21</v>
      </c>
      <c r="B1886" s="53" t="s">
        <v>46</v>
      </c>
      <c r="C1886" s="53" t="s">
        <v>37</v>
      </c>
      <c r="D1886" s="53" t="s">
        <v>47</v>
      </c>
      <c r="E1886" s="53" t="s">
        <v>25</v>
      </c>
      <c r="F1886" s="53" t="s">
        <v>25</v>
      </c>
      <c r="G1886" s="53" t="s">
        <v>25</v>
      </c>
      <c r="H1886" s="53" t="s">
        <v>36</v>
      </c>
      <c r="I1886" s="73">
        <v>43739</v>
      </c>
      <c r="J1886" s="74">
        <f>EFEITO!$J$1886*EFEITO!$Y$1886/(1-CUSTOS!$M$38)</f>
        <v>0</v>
      </c>
      <c r="K1886" s="74">
        <f ca="1">EFEITO!$L$1886*EFEITO!$Z$1886/(1-CUSTOS!$M$38)</f>
        <v>94.78127913966857</v>
      </c>
      <c r="L1886" s="74">
        <f>EFEITO!$N$1886*EFEITO!$AA$1886/(1-CUSTOS!$M$38)</f>
        <v>102.25955476833681</v>
      </c>
      <c r="M1886" s="74">
        <f>$J$1886-EFEITO!$K$1886*EFEITO!$Y$1886</f>
        <v>0</v>
      </c>
      <c r="N1886" s="74">
        <f ca="1">$K$1886-EFEITO!$M$1886*EFEITO!$Z$1886</f>
        <v>17.060630245140331</v>
      </c>
      <c r="O1886" s="74">
        <f>$L$1886-EFEITO!$O$1886*EFEITO!$AA$1886</f>
        <v>18.406719858300619</v>
      </c>
      <c r="P1886" s="57"/>
      <c r="Q1886" s="57"/>
      <c r="R1886" s="57"/>
      <c r="S1886" s="57"/>
      <c r="T1886" s="57"/>
      <c r="U1886" s="57"/>
      <c r="V1886" s="57"/>
      <c r="W1886" s="57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</row>
    <row r="1887" spans="1:36" ht="11.25" customHeight="1" x14ac:dyDescent="0.2">
      <c r="A1887" s="53" t="s">
        <v>21</v>
      </c>
      <c r="B1887" s="53" t="s">
        <v>46</v>
      </c>
      <c r="C1887" s="53" t="s">
        <v>37</v>
      </c>
      <c r="D1887" s="53" t="s">
        <v>47</v>
      </c>
      <c r="E1887" s="53" t="s">
        <v>25</v>
      </c>
      <c r="F1887" s="53" t="s">
        <v>25</v>
      </c>
      <c r="G1887" s="53" t="s">
        <v>25</v>
      </c>
      <c r="H1887" s="53" t="s">
        <v>36</v>
      </c>
      <c r="I1887" s="73">
        <v>43770</v>
      </c>
      <c r="J1887" s="74">
        <f>EFEITO!$J$1887*EFEITO!$Y$1887/(1-CUSTOS!$M$38)</f>
        <v>0</v>
      </c>
      <c r="K1887" s="74">
        <f ca="1">EFEITO!$L$1887*EFEITO!$Z$1887/(1-CUSTOS!$M$38)</f>
        <v>94.995232365717484</v>
      </c>
      <c r="L1887" s="74">
        <f>EFEITO!$N$1887*EFEITO!$AA$1887/(1-CUSTOS!$M$38)</f>
        <v>102.49038897774615</v>
      </c>
      <c r="M1887" s="74">
        <f>$J$1887-EFEITO!$K$1887*EFEITO!$Y$1887</f>
        <v>0</v>
      </c>
      <c r="N1887" s="74">
        <f ca="1">$K$1887-EFEITO!$M$1887*EFEITO!$Z$1887</f>
        <v>17.099141825829136</v>
      </c>
      <c r="O1887" s="74">
        <f>$L$1887-EFEITO!$O$1887*EFEITO!$AA$1887</f>
        <v>18.448270015994297</v>
      </c>
      <c r="P1887" s="57"/>
      <c r="Q1887" s="57"/>
      <c r="R1887" s="57"/>
      <c r="S1887" s="57"/>
      <c r="T1887" s="57"/>
      <c r="U1887" s="57"/>
      <c r="V1887" s="57"/>
      <c r="W1887" s="57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</row>
    <row r="1888" spans="1:36" ht="11.25" customHeight="1" x14ac:dyDescent="0.2">
      <c r="A1888" s="53" t="s">
        <v>21</v>
      </c>
      <c r="B1888" s="53" t="s">
        <v>46</v>
      </c>
      <c r="C1888" s="53" t="s">
        <v>37</v>
      </c>
      <c r="D1888" s="53" t="s">
        <v>47</v>
      </c>
      <c r="E1888" s="53" t="s">
        <v>25</v>
      </c>
      <c r="F1888" s="53" t="s">
        <v>25</v>
      </c>
      <c r="G1888" s="53" t="s">
        <v>25</v>
      </c>
      <c r="H1888" s="53" t="s">
        <v>36</v>
      </c>
      <c r="I1888" s="73">
        <v>43800</v>
      </c>
      <c r="J1888" s="74">
        <f>EFEITO!$J$1888*EFEITO!$Y$1888/(1-CUSTOS!$M$38)</f>
        <v>0</v>
      </c>
      <c r="K1888" s="74">
        <f ca="1">EFEITO!$L$1888*EFEITO!$Z$1888/(1-CUSTOS!$M$38)</f>
        <v>78.734787186000077</v>
      </c>
      <c r="L1888" s="74">
        <f>EFEITO!$N$1888*EFEITO!$AA$1888/(1-CUSTOS!$M$38)</f>
        <v>84.946989062636447</v>
      </c>
      <c r="M1888" s="74">
        <f>$J$1888-EFEITO!$K$1888*EFEITO!$Y$1888</f>
        <v>0</v>
      </c>
      <c r="N1888" s="74">
        <f ca="1">$K$1888-EFEITO!$M$1888*EFEITO!$Z$1888</f>
        <v>14.17226169348001</v>
      </c>
      <c r="O1888" s="74">
        <f>$L$1888-EFEITO!$O$1888*EFEITO!$AA$1888</f>
        <v>15.290458031274554</v>
      </c>
      <c r="P1888" s="57"/>
      <c r="Q1888" s="57"/>
      <c r="R1888" s="57"/>
      <c r="S1888" s="57"/>
      <c r="T1888" s="57"/>
      <c r="U1888" s="57"/>
      <c r="V1888" s="57"/>
      <c r="W1888" s="57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</row>
    <row r="1889" spans="1:36" ht="11.25" customHeight="1" x14ac:dyDescent="0.2">
      <c r="A1889" s="53" t="s">
        <v>21</v>
      </c>
      <c r="B1889" s="53" t="s">
        <v>46</v>
      </c>
      <c r="C1889" s="53" t="s">
        <v>37</v>
      </c>
      <c r="D1889" s="53" t="s">
        <v>47</v>
      </c>
      <c r="E1889" s="53" t="s">
        <v>25</v>
      </c>
      <c r="F1889" s="53" t="s">
        <v>25</v>
      </c>
      <c r="G1889" s="53" t="s">
        <v>25</v>
      </c>
      <c r="H1889" s="53" t="s">
        <v>36</v>
      </c>
      <c r="I1889" s="73">
        <v>43831</v>
      </c>
      <c r="J1889" s="74">
        <f>EFEITO!$J$1889*EFEITO!$Y$1889/(1-CUSTOS!$M$38)</f>
        <v>0</v>
      </c>
      <c r="K1889" s="74">
        <f ca="1">EFEITO!$L$1889*EFEITO!$Z$1889/(1-CUSTOS!$M$38)</f>
        <v>93.497559783375095</v>
      </c>
      <c r="L1889" s="74">
        <f>EFEITO!$N$1889*EFEITO!$AA$1889/(1-CUSTOS!$M$38)</f>
        <v>100.87454951188079</v>
      </c>
      <c r="M1889" s="74">
        <f>$J$1889-EFEITO!$K$1889*EFEITO!$Y$1889</f>
        <v>0</v>
      </c>
      <c r="N1889" s="74">
        <f ca="1">$K$1889-EFEITO!$M$1889*EFEITO!$Z$1889</f>
        <v>16.829560761007514</v>
      </c>
      <c r="O1889" s="74">
        <f>$L$1889-EFEITO!$O$1889*EFEITO!$AA$1889</f>
        <v>18.157418912138539</v>
      </c>
      <c r="P1889" s="57"/>
      <c r="Q1889" s="57"/>
      <c r="R1889" s="57"/>
      <c r="S1889" s="57"/>
      <c r="T1889" s="57"/>
      <c r="U1889" s="57"/>
      <c r="V1889" s="57"/>
      <c r="W1889" s="57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</row>
    <row r="1890" spans="1:36" ht="11.25" customHeight="1" x14ac:dyDescent="0.2">
      <c r="A1890" s="53" t="s">
        <v>21</v>
      </c>
      <c r="B1890" s="53" t="s">
        <v>46</v>
      </c>
      <c r="C1890" s="53" t="s">
        <v>37</v>
      </c>
      <c r="D1890" s="53" t="s">
        <v>47</v>
      </c>
      <c r="E1890" s="53" t="s">
        <v>25</v>
      </c>
      <c r="F1890" s="53" t="s">
        <v>25</v>
      </c>
      <c r="G1890" s="53" t="s">
        <v>25</v>
      </c>
      <c r="H1890" s="53" t="s">
        <v>36</v>
      </c>
      <c r="I1890" s="73">
        <v>43862</v>
      </c>
      <c r="J1890" s="74">
        <f>EFEITO!$J$1890*EFEITO!$Y$1890/(1-CUSTOS!$M$38)</f>
        <v>0</v>
      </c>
      <c r="K1890" s="74">
        <f ca="1">EFEITO!$L$1890*EFEITO!$Z$1890/(1-CUSTOS!$M$38)</f>
        <v>76.809208151559858</v>
      </c>
      <c r="L1890" s="74">
        <f>EFEITO!$N$1890*EFEITO!$AA$1890/(1-CUSTOS!$M$38)</f>
        <v>82.869481177952395</v>
      </c>
      <c r="M1890" s="74">
        <f>$J$1890-EFEITO!$K$1890*EFEITO!$Y$1890</f>
        <v>0</v>
      </c>
      <c r="N1890" s="74">
        <f ca="1">$K$1890-EFEITO!$M$1890*EFEITO!$Z$1890</f>
        <v>13.82565746728077</v>
      </c>
      <c r="O1890" s="74">
        <f>$L$1890-EFEITO!$O$1890*EFEITO!$AA$1890</f>
        <v>14.916506612031426</v>
      </c>
      <c r="P1890" s="57"/>
      <c r="Q1890" s="57"/>
      <c r="R1890" s="57"/>
      <c r="S1890" s="57"/>
      <c r="T1890" s="57"/>
      <c r="U1890" s="57"/>
      <c r="V1890" s="57"/>
      <c r="W1890" s="57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</row>
    <row r="1891" spans="1:36" ht="11.25" customHeight="1" x14ac:dyDescent="0.2">
      <c r="A1891" s="53" t="s">
        <v>21</v>
      </c>
      <c r="B1891" s="53" t="s">
        <v>46</v>
      </c>
      <c r="C1891" s="53" t="s">
        <v>37</v>
      </c>
      <c r="D1891" s="53" t="s">
        <v>47</v>
      </c>
      <c r="E1891" s="53" t="s">
        <v>25</v>
      </c>
      <c r="F1891" s="53" t="s">
        <v>25</v>
      </c>
      <c r="G1891" s="53" t="s">
        <v>25</v>
      </c>
      <c r="H1891" s="53" t="s">
        <v>36</v>
      </c>
      <c r="I1891" s="73">
        <v>43891</v>
      </c>
      <c r="J1891" s="74">
        <f>EFEITO!$J$1891*EFEITO!$Y$1891/(1-CUSTOS!$M$38)</f>
        <v>0</v>
      </c>
      <c r="K1891" s="74">
        <f ca="1">EFEITO!$L$1891*EFEITO!$Z$1891/(1-CUSTOS!$M$38)</f>
        <v>93.069653331277266</v>
      </c>
      <c r="L1891" s="74">
        <f>EFEITO!$N$1891*EFEITO!$AA$1891/(1-CUSTOS!$M$38)</f>
        <v>100.4128810930621</v>
      </c>
      <c r="M1891" s="74">
        <f>$J$1891-EFEITO!$K$1891*EFEITO!$Y$1891</f>
        <v>0</v>
      </c>
      <c r="N1891" s="74">
        <f ca="1">$K$1891-EFEITO!$M$1891*EFEITO!$Z$1891</f>
        <v>16.752537599629903</v>
      </c>
      <c r="O1891" s="74">
        <f>$L$1891-EFEITO!$O$1891*EFEITO!$AA$1891</f>
        <v>18.074318596751169</v>
      </c>
      <c r="P1891" s="57"/>
      <c r="Q1891" s="57"/>
      <c r="R1891" s="57"/>
      <c r="S1891" s="57"/>
      <c r="T1891" s="57"/>
      <c r="U1891" s="57"/>
      <c r="V1891" s="57"/>
      <c r="W1891" s="57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</row>
    <row r="1892" spans="1:36" ht="11.25" customHeight="1" x14ac:dyDescent="0.2">
      <c r="A1892" s="53" t="s">
        <v>21</v>
      </c>
      <c r="B1892" s="53" t="s">
        <v>46</v>
      </c>
      <c r="C1892" s="53" t="s">
        <v>37</v>
      </c>
      <c r="D1892" s="53" t="s">
        <v>47</v>
      </c>
      <c r="E1892" s="53" t="s">
        <v>25</v>
      </c>
      <c r="F1892" s="53" t="s">
        <v>25</v>
      </c>
      <c r="G1892" s="53" t="s">
        <v>25</v>
      </c>
      <c r="H1892" s="53" t="s">
        <v>36</v>
      </c>
      <c r="I1892" s="73">
        <v>43922</v>
      </c>
      <c r="J1892" s="74">
        <f>EFEITO!$J$1892*EFEITO!$Y$1892/(1-CUSTOS!$M$38)</f>
        <v>0</v>
      </c>
      <c r="K1892" s="74">
        <f ca="1">EFEITO!$L$1892*EFEITO!$Z$1892/(1-CUSTOS!$M$38)</f>
        <v>92.855700105228351</v>
      </c>
      <c r="L1892" s="74">
        <f>EFEITO!$N$1892*EFEITO!$AA$1892/(1-CUSTOS!$M$38)</f>
        <v>100.18204688365276</v>
      </c>
      <c r="M1892" s="74">
        <f>$J$1892-EFEITO!$K$1892*EFEITO!$Y$1892</f>
        <v>0</v>
      </c>
      <c r="N1892" s="74">
        <f ca="1">$K$1892-EFEITO!$M$1892*EFEITO!$Z$1892</f>
        <v>16.714026018941098</v>
      </c>
      <c r="O1892" s="74">
        <f>$L$1892-EFEITO!$O$1892*EFEITO!$AA$1892</f>
        <v>18.032768439057492</v>
      </c>
      <c r="P1892" s="57"/>
      <c r="Q1892" s="57"/>
      <c r="R1892" s="57"/>
      <c r="S1892" s="57"/>
      <c r="T1892" s="57"/>
      <c r="U1892" s="57"/>
      <c r="V1892" s="57"/>
      <c r="W1892" s="57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</row>
    <row r="1893" spans="1:36" ht="11.25" customHeight="1" x14ac:dyDescent="0.2">
      <c r="A1893" s="53" t="s">
        <v>21</v>
      </c>
      <c r="B1893" s="53" t="s">
        <v>46</v>
      </c>
      <c r="C1893" s="53" t="s">
        <v>37</v>
      </c>
      <c r="D1893" s="53" t="s">
        <v>47</v>
      </c>
      <c r="E1893" s="53" t="s">
        <v>25</v>
      </c>
      <c r="F1893" s="53" t="s">
        <v>25</v>
      </c>
      <c r="G1893" s="53" t="s">
        <v>25</v>
      </c>
      <c r="H1893" s="53" t="s">
        <v>36</v>
      </c>
      <c r="I1893" s="73">
        <v>43952</v>
      </c>
      <c r="J1893" s="74">
        <f>EFEITO!$J$1893*EFEITO!$Y$1893/(1-CUSTOS!$M$38)</f>
        <v>0</v>
      </c>
      <c r="K1893" s="74">
        <f ca="1">EFEITO!$L$1893*EFEITO!$Z$1893/(1-CUSTOS!$M$38)</f>
        <v>87.078963001907695</v>
      </c>
      <c r="L1893" s="74">
        <f>EFEITO!$N$1893*EFEITO!$AA$1893/(1-CUSTOS!$M$38)</f>
        <v>93.949523229600629</v>
      </c>
      <c r="M1893" s="74">
        <f>$J$1893-EFEITO!$K$1893*EFEITO!$Y$1893</f>
        <v>0</v>
      </c>
      <c r="N1893" s="74">
        <f ca="1">$K$1893-EFEITO!$M$1893*EFEITO!$Z$1893</f>
        <v>15.674213340343385</v>
      </c>
      <c r="O1893" s="74">
        <f>$L$1893-EFEITO!$O$1893*EFEITO!$AA$1893</f>
        <v>16.91091418132811</v>
      </c>
      <c r="P1893" s="57"/>
      <c r="Q1893" s="57"/>
      <c r="R1893" s="57"/>
      <c r="S1893" s="57"/>
      <c r="T1893" s="57"/>
      <c r="U1893" s="57"/>
      <c r="V1893" s="57"/>
      <c r="W1893" s="57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</row>
    <row r="1894" spans="1:36" ht="11.25" customHeight="1" x14ac:dyDescent="0.2">
      <c r="A1894" s="53" t="s">
        <v>21</v>
      </c>
      <c r="B1894" s="53" t="s">
        <v>46</v>
      </c>
      <c r="C1894" s="53" t="s">
        <v>37</v>
      </c>
      <c r="D1894" s="53" t="s">
        <v>47</v>
      </c>
      <c r="E1894" s="53" t="s">
        <v>25</v>
      </c>
      <c r="F1894" s="53" t="s">
        <v>25</v>
      </c>
      <c r="G1894" s="53" t="s">
        <v>25</v>
      </c>
      <c r="H1894" s="53" t="s">
        <v>36</v>
      </c>
      <c r="I1894" s="73">
        <v>43983</v>
      </c>
      <c r="J1894" s="74">
        <f>EFEITO!$J$1894*EFEITO!$Y$1894/(1-CUSTOS!$M$38)</f>
        <v>0</v>
      </c>
      <c r="K1894" s="74">
        <f ca="1">EFEITO!$L$1894*EFEITO!$Z$1894/(1-CUSTOS!$M$38)</f>
        <v>82.799898480929429</v>
      </c>
      <c r="L1894" s="74">
        <f>EFEITO!$N$1894*EFEITO!$AA$1894/(1-CUSTOS!$M$38)</f>
        <v>89.332839041413862</v>
      </c>
      <c r="M1894" s="74">
        <f>$J$1894-EFEITO!$K$1894*EFEITO!$Y$1894</f>
        <v>0</v>
      </c>
      <c r="N1894" s="74">
        <f ca="1">$K$1894-EFEITO!$M$1894*EFEITO!$Z$1894</f>
        <v>14.903981726567295</v>
      </c>
      <c r="O1894" s="74">
        <f>$L$1894-EFEITO!$O$1894*EFEITO!$AA$1894</f>
        <v>16.079911027454486</v>
      </c>
      <c r="P1894" s="57"/>
      <c r="Q1894" s="57"/>
      <c r="R1894" s="57"/>
      <c r="S1894" s="57"/>
      <c r="T1894" s="57"/>
      <c r="U1894" s="57"/>
      <c r="V1894" s="57"/>
      <c r="W1894" s="57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</row>
    <row r="1895" spans="1:36" ht="11.25" customHeight="1" x14ac:dyDescent="0.2">
      <c r="A1895" s="53" t="s">
        <v>21</v>
      </c>
      <c r="B1895" s="53" t="s">
        <v>46</v>
      </c>
      <c r="C1895" s="53" t="s">
        <v>37</v>
      </c>
      <c r="D1895" s="53" t="s">
        <v>47</v>
      </c>
      <c r="E1895" s="53" t="s">
        <v>25</v>
      </c>
      <c r="F1895" s="53" t="s">
        <v>25</v>
      </c>
      <c r="G1895" s="53" t="s">
        <v>25</v>
      </c>
      <c r="H1895" s="53" t="s">
        <v>36</v>
      </c>
      <c r="I1895" s="73">
        <v>44013</v>
      </c>
      <c r="J1895" s="74">
        <f>EFEITO!$J$1895*EFEITO!$Y$1895/(1-CUSTOS!$M$38)</f>
        <v>0</v>
      </c>
      <c r="K1895" s="74">
        <f ca="1">EFEITO!$L$1895*EFEITO!$Z$1895/(1-CUSTOS!$M$38)</f>
        <v>82.158038802782684</v>
      </c>
      <c r="L1895" s="74">
        <f>EFEITO!$N$1895*EFEITO!$AA$1895/(1-CUSTOS!$M$38)</f>
        <v>88.640336413185864</v>
      </c>
      <c r="M1895" s="74">
        <f>$J$1895-EFEITO!$K$1895*EFEITO!$Y$1895</f>
        <v>0</v>
      </c>
      <c r="N1895" s="74">
        <f ca="1">$K$1895-EFEITO!$M$1895*EFEITO!$Z$1895</f>
        <v>14.788446984500879</v>
      </c>
      <c r="O1895" s="74">
        <f>$L$1895-EFEITO!$O$1895*EFEITO!$AA$1895</f>
        <v>15.955260554373453</v>
      </c>
      <c r="P1895" s="57"/>
      <c r="Q1895" s="57"/>
      <c r="R1895" s="57"/>
      <c r="S1895" s="57"/>
      <c r="T1895" s="57"/>
      <c r="U1895" s="57"/>
      <c r="V1895" s="57"/>
      <c r="W1895" s="57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</row>
    <row r="1896" spans="1:36" ht="11.25" customHeight="1" x14ac:dyDescent="0.2">
      <c r="A1896" s="53" t="s">
        <v>21</v>
      </c>
      <c r="B1896" s="53" t="s">
        <v>46</v>
      </c>
      <c r="C1896" s="53" t="s">
        <v>37</v>
      </c>
      <c r="D1896" s="53" t="s">
        <v>47</v>
      </c>
      <c r="E1896" s="53" t="s">
        <v>25</v>
      </c>
      <c r="F1896" s="53" t="s">
        <v>25</v>
      </c>
      <c r="G1896" s="53" t="s">
        <v>25</v>
      </c>
      <c r="H1896" s="53" t="s">
        <v>36</v>
      </c>
      <c r="I1896" s="73">
        <v>44044</v>
      </c>
      <c r="J1896" s="74">
        <f>EFEITO!$J$1896*EFEITO!$Y$1896/(1-CUSTOS!$M$38)</f>
        <v>0</v>
      </c>
      <c r="K1896" s="74">
        <f ca="1">EFEITO!$L$1896*EFEITO!$Z$1896/(1-CUSTOS!$M$38)</f>
        <v>97.776624304353362</v>
      </c>
      <c r="L1896" s="74">
        <f>EFEITO!$N$1896*EFEITO!$AA$1896/(1-CUSTOS!$M$38)</f>
        <v>105.49123370006754</v>
      </c>
      <c r="M1896" s="74">
        <f>$J$1896-EFEITO!$K$1896*EFEITO!$Y$1896</f>
        <v>0</v>
      </c>
      <c r="N1896" s="74">
        <f ca="1">$K$1896-EFEITO!$M$1896*EFEITO!$Z$1896</f>
        <v>17.599792374783604</v>
      </c>
      <c r="O1896" s="74">
        <f>$L$1896-EFEITO!$O$1896*EFEITO!$AA$1896</f>
        <v>18.988422066012149</v>
      </c>
      <c r="P1896" s="57"/>
      <c r="Q1896" s="57"/>
      <c r="R1896" s="57"/>
      <c r="S1896" s="57"/>
      <c r="T1896" s="57"/>
      <c r="U1896" s="57"/>
      <c r="V1896" s="57"/>
      <c r="W1896" s="57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</row>
    <row r="1897" spans="1:36" ht="11.25" customHeight="1" x14ac:dyDescent="0.2">
      <c r="A1897" s="53" t="s">
        <v>59</v>
      </c>
      <c r="B1897" s="53" t="s">
        <v>46</v>
      </c>
      <c r="C1897" s="53" t="s">
        <v>37</v>
      </c>
      <c r="D1897" s="53" t="s">
        <v>47</v>
      </c>
      <c r="E1897" s="53" t="s">
        <v>25</v>
      </c>
      <c r="F1897" s="53" t="s">
        <v>25</v>
      </c>
      <c r="G1897" s="53" t="s">
        <v>25</v>
      </c>
      <c r="H1897" s="53" t="s">
        <v>36</v>
      </c>
      <c r="I1897" s="73">
        <v>44075</v>
      </c>
      <c r="J1897" s="74">
        <f>EFEITO!$J$1897*EFEITO!$Y$1897/(1-CUSTOS!$M$38)</f>
        <v>0</v>
      </c>
      <c r="K1897" s="74">
        <f ca="1">EFEITO!$L$1897*EFEITO!$Z$1897/(1-CUSTOS!$M$38)</f>
        <v>97.776624304353362</v>
      </c>
      <c r="L1897" s="74">
        <f>EFEITO!$N$1897*EFEITO!$AA$1897/(1-CUSTOS!$M$38)</f>
        <v>105.49123370006754</v>
      </c>
      <c r="M1897" s="74">
        <f>$J$1897-EFEITO!$K$1897*EFEITO!$Y$1897</f>
        <v>0</v>
      </c>
      <c r="N1897" s="74">
        <f ca="1">$K$1897-EFEITO!$M$1897*EFEITO!$Z$1897</f>
        <v>17.599792374783604</v>
      </c>
      <c r="O1897" s="74">
        <f>$L$1897-EFEITO!$O$1897*EFEITO!$AA$1897</f>
        <v>18.988422066012149</v>
      </c>
      <c r="P1897" s="57"/>
      <c r="Q1897" s="57"/>
      <c r="R1897" s="57"/>
      <c r="S1897" s="57"/>
      <c r="T1897" s="57"/>
      <c r="U1897" s="57"/>
      <c r="V1897" s="57"/>
      <c r="W1897" s="57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</row>
    <row r="1898" spans="1:36" ht="11.25" customHeight="1" x14ac:dyDescent="0.2">
      <c r="A1898" s="53" t="s">
        <v>21</v>
      </c>
      <c r="B1898" s="53" t="s">
        <v>46</v>
      </c>
      <c r="C1898" s="53" t="s">
        <v>37</v>
      </c>
      <c r="D1898" s="53" t="s">
        <v>47</v>
      </c>
      <c r="E1898" s="53" t="s">
        <v>25</v>
      </c>
      <c r="F1898" s="53" t="s">
        <v>25</v>
      </c>
      <c r="G1898" s="53" t="s">
        <v>25</v>
      </c>
      <c r="H1898" s="53" t="s">
        <v>38</v>
      </c>
      <c r="I1898" s="73">
        <v>43739</v>
      </c>
      <c r="J1898" s="74">
        <f>EFEITO!$J$1898*EFEITO!$Y$1898/(1-CUSTOS!$M$38)</f>
        <v>0</v>
      </c>
      <c r="K1898" s="74">
        <f ca="1">EFEITO!$L$1898*EFEITO!$Z$1898/(1-CUSTOS!$M$38)</f>
        <v>19.315286182944163</v>
      </c>
      <c r="L1898" s="74">
        <f>EFEITO!$N$1898*EFEITO!$AA$1898/(1-CUSTOS!$M$38)</f>
        <v>10.618373632829556</v>
      </c>
      <c r="M1898" s="74">
        <f>$J$1898-EFEITO!$K$1898*EFEITO!$Y$1898</f>
        <v>0</v>
      </c>
      <c r="N1898" s="74">
        <f ca="1">$K$1898-EFEITO!$M$1898*EFEITO!$Z$1898</f>
        <v>3.4767515129299476</v>
      </c>
      <c r="O1898" s="74">
        <f>$L$1898-EFEITO!$O$1898*EFEITO!$AA$1898</f>
        <v>1.9113072539093192</v>
      </c>
      <c r="P1898" s="57"/>
      <c r="Q1898" s="57"/>
      <c r="R1898" s="57"/>
      <c r="S1898" s="57"/>
      <c r="T1898" s="57"/>
      <c r="U1898" s="57"/>
      <c r="V1898" s="57"/>
      <c r="W1898" s="57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</row>
    <row r="1899" spans="1:36" ht="11.25" customHeight="1" x14ac:dyDescent="0.2">
      <c r="A1899" s="53" t="s">
        <v>21</v>
      </c>
      <c r="B1899" s="53" t="s">
        <v>46</v>
      </c>
      <c r="C1899" s="53" t="s">
        <v>37</v>
      </c>
      <c r="D1899" s="53" t="s">
        <v>47</v>
      </c>
      <c r="E1899" s="53" t="s">
        <v>25</v>
      </c>
      <c r="F1899" s="53" t="s">
        <v>25</v>
      </c>
      <c r="G1899" s="53" t="s">
        <v>25</v>
      </c>
      <c r="H1899" s="53" t="s">
        <v>38</v>
      </c>
      <c r="I1899" s="73">
        <v>43770</v>
      </c>
      <c r="J1899" s="74">
        <f>EFEITO!$J$1899*EFEITO!$Y$1899/(1-CUSTOS!$M$38)</f>
        <v>0</v>
      </c>
      <c r="K1899" s="74">
        <f ca="1">EFEITO!$L$1899*EFEITO!$Z$1899/(1-CUSTOS!$M$38)</f>
        <v>18.055593605795629</v>
      </c>
      <c r="L1899" s="74">
        <f>EFEITO!$N$1899*EFEITO!$AA$1899/(1-CUSTOS!$M$38)</f>
        <v>9.9258710046015413</v>
      </c>
      <c r="M1899" s="74">
        <f>$J$1899-EFEITO!$K$1899*EFEITO!$Y$1899</f>
        <v>0</v>
      </c>
      <c r="N1899" s="74">
        <f ca="1">$K$1899-EFEITO!$M$1899*EFEITO!$Z$1899</f>
        <v>3.2500068490432117</v>
      </c>
      <c r="O1899" s="74">
        <f>$L$1899-EFEITO!$O$1899*EFEITO!$AA$1899</f>
        <v>1.7866567808282774</v>
      </c>
      <c r="P1899" s="57"/>
      <c r="Q1899" s="57"/>
      <c r="R1899" s="57"/>
      <c r="S1899" s="57"/>
      <c r="T1899" s="57"/>
      <c r="U1899" s="57"/>
      <c r="V1899" s="57"/>
      <c r="W1899" s="57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</row>
    <row r="1900" spans="1:36" ht="11.25" customHeight="1" x14ac:dyDescent="0.2">
      <c r="A1900" s="53" t="s">
        <v>21</v>
      </c>
      <c r="B1900" s="53" t="s">
        <v>46</v>
      </c>
      <c r="C1900" s="53" t="s">
        <v>37</v>
      </c>
      <c r="D1900" s="53" t="s">
        <v>47</v>
      </c>
      <c r="E1900" s="53" t="s">
        <v>25</v>
      </c>
      <c r="F1900" s="53" t="s">
        <v>25</v>
      </c>
      <c r="G1900" s="53" t="s">
        <v>25</v>
      </c>
      <c r="H1900" s="53" t="s">
        <v>38</v>
      </c>
      <c r="I1900" s="73">
        <v>43800</v>
      </c>
      <c r="J1900" s="74">
        <f>EFEITO!$J$1900*EFEITO!$Y$1900/(1-CUSTOS!$M$38)</f>
        <v>0</v>
      </c>
      <c r="K1900" s="74">
        <f ca="1">EFEITO!$L$1900*EFEITO!$Z$1900/(1-CUSTOS!$M$38)</f>
        <v>14.276515874350036</v>
      </c>
      <c r="L1900" s="74">
        <f>EFEITO!$N$1900*EFEITO!$AA$1900/(1-CUSTOS!$M$38)</f>
        <v>7.8483631199174981</v>
      </c>
      <c r="M1900" s="74">
        <f>$J$1900-EFEITO!$K$1900*EFEITO!$Y$1900</f>
        <v>0</v>
      </c>
      <c r="N1900" s="74">
        <f ca="1">$K$1900-EFEITO!$M$1900*EFEITO!$Z$1900</f>
        <v>2.5697728573830059</v>
      </c>
      <c r="O1900" s="74">
        <f>$L$1900-EFEITO!$O$1900*EFEITO!$AA$1900</f>
        <v>1.4127053615851493</v>
      </c>
      <c r="P1900" s="57"/>
      <c r="Q1900" s="57"/>
      <c r="R1900" s="57"/>
      <c r="S1900" s="57"/>
      <c r="T1900" s="57"/>
      <c r="U1900" s="57"/>
      <c r="V1900" s="57"/>
      <c r="W1900" s="57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</row>
    <row r="1901" spans="1:36" ht="11.25" customHeight="1" x14ac:dyDescent="0.2">
      <c r="A1901" s="53" t="s">
        <v>21</v>
      </c>
      <c r="B1901" s="53" t="s">
        <v>46</v>
      </c>
      <c r="C1901" s="53" t="s">
        <v>37</v>
      </c>
      <c r="D1901" s="53" t="s">
        <v>47</v>
      </c>
      <c r="E1901" s="53" t="s">
        <v>25</v>
      </c>
      <c r="F1901" s="53" t="s">
        <v>25</v>
      </c>
      <c r="G1901" s="53" t="s">
        <v>25</v>
      </c>
      <c r="H1901" s="53" t="s">
        <v>38</v>
      </c>
      <c r="I1901" s="73">
        <v>43831</v>
      </c>
      <c r="J1901" s="74">
        <f>EFEITO!$J$1901*EFEITO!$Y$1901/(1-CUSTOS!$M$38)</f>
        <v>0</v>
      </c>
      <c r="K1901" s="74">
        <f ca="1">EFEITO!$L$1901*EFEITO!$Z$1901/(1-CUSTOS!$M$38)</f>
        <v>18.895388657227986</v>
      </c>
      <c r="L1901" s="74">
        <f>EFEITO!$N$1901*EFEITO!$AA$1901/(1-CUSTOS!$M$38)</f>
        <v>10.387539423420217</v>
      </c>
      <c r="M1901" s="74">
        <f>$J$1901-EFEITO!$K$1901*EFEITO!$Y$1901</f>
        <v>0</v>
      </c>
      <c r="N1901" s="74">
        <f ca="1">$K$1901-EFEITO!$M$1901*EFEITO!$Z$1901</f>
        <v>3.4011699583010362</v>
      </c>
      <c r="O1901" s="74">
        <f>$L$1901-EFEITO!$O$1901*EFEITO!$AA$1901</f>
        <v>1.869757096215638</v>
      </c>
      <c r="P1901" s="57"/>
      <c r="Q1901" s="57"/>
      <c r="R1901" s="57"/>
      <c r="S1901" s="57"/>
      <c r="T1901" s="57"/>
      <c r="U1901" s="57"/>
      <c r="V1901" s="57"/>
      <c r="W1901" s="57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</row>
    <row r="1902" spans="1:36" ht="11.25" customHeight="1" x14ac:dyDescent="0.2">
      <c r="A1902" s="53" t="s">
        <v>21</v>
      </c>
      <c r="B1902" s="53" t="s">
        <v>46</v>
      </c>
      <c r="C1902" s="53" t="s">
        <v>37</v>
      </c>
      <c r="D1902" s="53" t="s">
        <v>47</v>
      </c>
      <c r="E1902" s="53" t="s">
        <v>25</v>
      </c>
      <c r="F1902" s="53" t="s">
        <v>25</v>
      </c>
      <c r="G1902" s="53" t="s">
        <v>25</v>
      </c>
      <c r="H1902" s="53" t="s">
        <v>38</v>
      </c>
      <c r="I1902" s="73">
        <v>43862</v>
      </c>
      <c r="J1902" s="74">
        <f>EFEITO!$J$1902*EFEITO!$Y$1902/(1-CUSTOS!$M$38)</f>
        <v>0</v>
      </c>
      <c r="K1902" s="74">
        <f ca="1">EFEITO!$L$1902*EFEITO!$Z$1902/(1-CUSTOS!$M$38)</f>
        <v>16.376003502930921</v>
      </c>
      <c r="L1902" s="74">
        <f>EFEITO!$N$1902*EFEITO!$AA$1902/(1-CUSTOS!$M$38)</f>
        <v>9.002534166964189</v>
      </c>
      <c r="M1902" s="74">
        <f>$J$1902-EFEITO!$K$1902*EFEITO!$Y$1902</f>
        <v>0</v>
      </c>
      <c r="N1902" s="74">
        <f ca="1">$K$1902-EFEITO!$M$1902*EFEITO!$Z$1902</f>
        <v>2.9476806305275645</v>
      </c>
      <c r="O1902" s="74">
        <f>$L$1902-EFEITO!$O$1902*EFEITO!$AA$1902</f>
        <v>1.6204561500535535</v>
      </c>
      <c r="P1902" s="57"/>
      <c r="Q1902" s="57"/>
      <c r="R1902" s="57"/>
      <c r="S1902" s="57"/>
      <c r="T1902" s="57"/>
      <c r="U1902" s="57"/>
      <c r="V1902" s="57"/>
      <c r="W1902" s="57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</row>
    <row r="1903" spans="1:36" ht="11.25" customHeight="1" x14ac:dyDescent="0.2">
      <c r="A1903" s="53" t="s">
        <v>21</v>
      </c>
      <c r="B1903" s="53" t="s">
        <v>46</v>
      </c>
      <c r="C1903" s="53" t="s">
        <v>37</v>
      </c>
      <c r="D1903" s="53" t="s">
        <v>47</v>
      </c>
      <c r="E1903" s="53" t="s">
        <v>25</v>
      </c>
      <c r="F1903" s="53" t="s">
        <v>25</v>
      </c>
      <c r="G1903" s="53" t="s">
        <v>25</v>
      </c>
      <c r="H1903" s="53" t="s">
        <v>38</v>
      </c>
      <c r="I1903" s="73">
        <v>43891</v>
      </c>
      <c r="J1903" s="74">
        <f>EFEITO!$J$1903*EFEITO!$Y$1903/(1-CUSTOS!$M$38)</f>
        <v>0</v>
      </c>
      <c r="K1903" s="74">
        <f ca="1">EFEITO!$L$1903*EFEITO!$Z$1903/(1-CUSTOS!$M$38)</f>
        <v>21.834671337241229</v>
      </c>
      <c r="L1903" s="74">
        <f>EFEITO!$N$1903*EFEITO!$AA$1903/(1-CUSTOS!$M$38)</f>
        <v>12.003378889285585</v>
      </c>
      <c r="M1903" s="74">
        <f>$J$1903-EFEITO!$K$1903*EFEITO!$Y$1903</f>
        <v>0</v>
      </c>
      <c r="N1903" s="74">
        <f ca="1">$K$1903-EFEITO!$M$1903*EFEITO!$Z$1903</f>
        <v>3.9302408407034193</v>
      </c>
      <c r="O1903" s="74">
        <f>$L$1903-EFEITO!$O$1903*EFEITO!$AA$1903</f>
        <v>2.1606082000714046</v>
      </c>
      <c r="P1903" s="57"/>
      <c r="Q1903" s="57"/>
      <c r="R1903" s="57"/>
      <c r="S1903" s="57"/>
      <c r="T1903" s="57"/>
      <c r="U1903" s="57"/>
      <c r="V1903" s="57"/>
      <c r="W1903" s="57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</row>
    <row r="1904" spans="1:36" ht="11.25" customHeight="1" x14ac:dyDescent="0.2">
      <c r="A1904" s="53" t="s">
        <v>21</v>
      </c>
      <c r="B1904" s="53" t="s">
        <v>46</v>
      </c>
      <c r="C1904" s="53" t="s">
        <v>37</v>
      </c>
      <c r="D1904" s="53" t="s">
        <v>47</v>
      </c>
      <c r="E1904" s="53" t="s">
        <v>25</v>
      </c>
      <c r="F1904" s="53" t="s">
        <v>25</v>
      </c>
      <c r="G1904" s="53" t="s">
        <v>25</v>
      </c>
      <c r="H1904" s="53" t="s">
        <v>38</v>
      </c>
      <c r="I1904" s="73">
        <v>43922</v>
      </c>
      <c r="J1904" s="74">
        <f>EFEITO!$J$1904*EFEITO!$Y$1904/(1-CUSTOS!$M$38)</f>
        <v>0</v>
      </c>
      <c r="K1904" s="74">
        <f ca="1">EFEITO!$L$1904*EFEITO!$Z$1904/(1-CUSTOS!$M$38)</f>
        <v>21.834671337241229</v>
      </c>
      <c r="L1904" s="74">
        <f>EFEITO!$N$1904*EFEITO!$AA$1904/(1-CUSTOS!$M$38)</f>
        <v>12.003378889285585</v>
      </c>
      <c r="M1904" s="74">
        <f>$J$1904-EFEITO!$K$1904*EFEITO!$Y$1904</f>
        <v>0</v>
      </c>
      <c r="N1904" s="74">
        <f ca="1">$K$1904-EFEITO!$M$1904*EFEITO!$Z$1904</f>
        <v>3.9302408407034193</v>
      </c>
      <c r="O1904" s="74">
        <f>$L$1904-EFEITO!$O$1904*EFEITO!$AA$1904</f>
        <v>2.1606082000714046</v>
      </c>
      <c r="P1904" s="57"/>
      <c r="Q1904" s="57"/>
      <c r="R1904" s="57"/>
      <c r="S1904" s="57"/>
      <c r="T1904" s="57"/>
      <c r="U1904" s="57"/>
      <c r="V1904" s="57"/>
      <c r="W1904" s="57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</row>
    <row r="1905" spans="1:36" ht="11.25" customHeight="1" x14ac:dyDescent="0.2">
      <c r="A1905" s="53" t="s">
        <v>21</v>
      </c>
      <c r="B1905" s="53" t="s">
        <v>46</v>
      </c>
      <c r="C1905" s="53" t="s">
        <v>37</v>
      </c>
      <c r="D1905" s="53" t="s">
        <v>47</v>
      </c>
      <c r="E1905" s="53" t="s">
        <v>25</v>
      </c>
      <c r="F1905" s="53" t="s">
        <v>25</v>
      </c>
      <c r="G1905" s="53" t="s">
        <v>25</v>
      </c>
      <c r="H1905" s="53" t="s">
        <v>38</v>
      </c>
      <c r="I1905" s="73">
        <v>43952</v>
      </c>
      <c r="J1905" s="74">
        <f>EFEITO!$J$1905*EFEITO!$Y$1905/(1-CUSTOS!$M$38)</f>
        <v>0</v>
      </c>
      <c r="K1905" s="74">
        <f ca="1">EFEITO!$L$1905*EFEITO!$Z$1905/(1-CUSTOS!$M$38)</f>
        <v>22.254568862957406</v>
      </c>
      <c r="L1905" s="74">
        <f>EFEITO!$N$1905*EFEITO!$AA$1905/(1-CUSTOS!$M$38)</f>
        <v>12.234213098694923</v>
      </c>
      <c r="M1905" s="74">
        <f>$J$1905-EFEITO!$K$1905*EFEITO!$Y$1905</f>
        <v>0</v>
      </c>
      <c r="N1905" s="74">
        <f ca="1">$K$1905-EFEITO!$M$1905*EFEITO!$Z$1905</f>
        <v>4.0058223953323306</v>
      </c>
      <c r="O1905" s="74">
        <f>$L$1905-EFEITO!$O$1905*EFEITO!$AA$1905</f>
        <v>2.2021583577650858</v>
      </c>
      <c r="P1905" s="57"/>
      <c r="Q1905" s="57"/>
      <c r="R1905" s="57"/>
      <c r="S1905" s="57"/>
      <c r="T1905" s="57"/>
      <c r="U1905" s="57"/>
      <c r="V1905" s="57"/>
      <c r="W1905" s="57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</row>
    <row r="1906" spans="1:36" ht="11.25" customHeight="1" x14ac:dyDescent="0.2">
      <c r="A1906" s="53" t="s">
        <v>21</v>
      </c>
      <c r="B1906" s="53" t="s">
        <v>46</v>
      </c>
      <c r="C1906" s="53" t="s">
        <v>37</v>
      </c>
      <c r="D1906" s="53" t="s">
        <v>47</v>
      </c>
      <c r="E1906" s="53" t="s">
        <v>25</v>
      </c>
      <c r="F1906" s="53" t="s">
        <v>25</v>
      </c>
      <c r="G1906" s="53" t="s">
        <v>25</v>
      </c>
      <c r="H1906" s="53" t="s">
        <v>38</v>
      </c>
      <c r="I1906" s="73">
        <v>43983</v>
      </c>
      <c r="J1906" s="74">
        <f>EFEITO!$J$1906*EFEITO!$Y$1906/(1-CUSTOS!$M$38)</f>
        <v>0</v>
      </c>
      <c r="K1906" s="74">
        <f ca="1">EFEITO!$L$1906*EFEITO!$Z$1906/(1-CUSTOS!$M$38)</f>
        <v>20.574978760092698</v>
      </c>
      <c r="L1906" s="74">
        <f>EFEITO!$N$1906*EFEITO!$AA$1906/(1-CUSTOS!$M$38)</f>
        <v>11.310876261057572</v>
      </c>
      <c r="M1906" s="74">
        <f>$J$1906-EFEITO!$K$1906*EFEITO!$Y$1906</f>
        <v>0</v>
      </c>
      <c r="N1906" s="74">
        <f ca="1">$K$1906-EFEITO!$M$1906*EFEITO!$Z$1906</f>
        <v>3.7034961768166852</v>
      </c>
      <c r="O1906" s="74">
        <f>$L$1906-EFEITO!$O$1906*EFEITO!$AA$1906</f>
        <v>2.0359577269903628</v>
      </c>
      <c r="P1906" s="57"/>
      <c r="Q1906" s="57"/>
      <c r="R1906" s="57"/>
      <c r="S1906" s="57"/>
      <c r="T1906" s="57"/>
      <c r="U1906" s="57"/>
      <c r="V1906" s="57"/>
      <c r="W1906" s="57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</row>
    <row r="1907" spans="1:36" ht="11.25" customHeight="1" x14ac:dyDescent="0.2">
      <c r="A1907" s="53" t="s">
        <v>21</v>
      </c>
      <c r="B1907" s="53" t="s">
        <v>46</v>
      </c>
      <c r="C1907" s="53" t="s">
        <v>37</v>
      </c>
      <c r="D1907" s="53" t="s">
        <v>47</v>
      </c>
      <c r="E1907" s="53" t="s">
        <v>25</v>
      </c>
      <c r="F1907" s="53" t="s">
        <v>25</v>
      </c>
      <c r="G1907" s="53" t="s">
        <v>25</v>
      </c>
      <c r="H1907" s="53" t="s">
        <v>38</v>
      </c>
      <c r="I1907" s="73">
        <v>44013</v>
      </c>
      <c r="J1907" s="74">
        <f>EFEITO!$J$1907*EFEITO!$Y$1907/(1-CUSTOS!$M$38)</f>
        <v>0</v>
      </c>
      <c r="K1907" s="74">
        <f ca="1">EFEITO!$L$1907*EFEITO!$Z$1907/(1-CUSTOS!$M$38)</f>
        <v>20.994876285808875</v>
      </c>
      <c r="L1907" s="74">
        <f>EFEITO!$N$1907*EFEITO!$AA$1907/(1-CUSTOS!$M$38)</f>
        <v>11.541710470466908</v>
      </c>
      <c r="M1907" s="74">
        <f>$J$1907-EFEITO!$K$1907*EFEITO!$Y$1907</f>
        <v>0</v>
      </c>
      <c r="N1907" s="74">
        <f ca="1">$K$1907-EFEITO!$M$1907*EFEITO!$Z$1907</f>
        <v>3.7790777314455966</v>
      </c>
      <c r="O1907" s="74">
        <f>$L$1907-EFEITO!$O$1907*EFEITO!$AA$1907</f>
        <v>2.0775078846840422</v>
      </c>
      <c r="P1907" s="57"/>
      <c r="Q1907" s="57"/>
      <c r="R1907" s="57"/>
      <c r="S1907" s="57"/>
      <c r="T1907" s="57"/>
      <c r="U1907" s="57"/>
      <c r="V1907" s="57"/>
      <c r="W1907" s="57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</row>
    <row r="1908" spans="1:36" ht="11.25" customHeight="1" x14ac:dyDescent="0.2">
      <c r="A1908" s="53" t="s">
        <v>21</v>
      </c>
      <c r="B1908" s="53" t="s">
        <v>46</v>
      </c>
      <c r="C1908" s="53" t="s">
        <v>37</v>
      </c>
      <c r="D1908" s="53" t="s">
        <v>47</v>
      </c>
      <c r="E1908" s="53" t="s">
        <v>25</v>
      </c>
      <c r="F1908" s="53" t="s">
        <v>25</v>
      </c>
      <c r="G1908" s="53" t="s">
        <v>25</v>
      </c>
      <c r="H1908" s="53" t="s">
        <v>38</v>
      </c>
      <c r="I1908" s="73">
        <v>44044</v>
      </c>
      <c r="J1908" s="74">
        <f>EFEITO!$J$1908*EFEITO!$Y$1908/(1-CUSTOS!$M$38)</f>
        <v>0</v>
      </c>
      <c r="K1908" s="74">
        <f ca="1">EFEITO!$L$1908*EFEITO!$Z$1908/(1-CUSTOS!$M$38)</f>
        <v>23.934158965822117</v>
      </c>
      <c r="L1908" s="74">
        <f>EFEITO!$N$1908*EFEITO!$AA$1908/(1-CUSTOS!$M$38)</f>
        <v>13.157549936332275</v>
      </c>
      <c r="M1908" s="74">
        <f>$J$1908-EFEITO!$K$1908*EFEITO!$Y$1908</f>
        <v>0</v>
      </c>
      <c r="N1908" s="74">
        <f ca="1">$K$1908-EFEITO!$M$1908*EFEITO!$Z$1908</f>
        <v>4.3081486138479796</v>
      </c>
      <c r="O1908" s="74">
        <f>$L$1908-EFEITO!$O$1908*EFEITO!$AA$1908</f>
        <v>2.3683589885398089</v>
      </c>
      <c r="P1908" s="57"/>
      <c r="Q1908" s="57"/>
      <c r="R1908" s="57"/>
      <c r="S1908" s="57"/>
      <c r="T1908" s="57"/>
      <c r="U1908" s="57"/>
      <c r="V1908" s="57"/>
      <c r="W1908" s="57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</row>
    <row r="1909" spans="1:36" ht="11.25" customHeight="1" x14ac:dyDescent="0.2">
      <c r="A1909" s="53" t="s">
        <v>59</v>
      </c>
      <c r="B1909" s="53" t="s">
        <v>46</v>
      </c>
      <c r="C1909" s="53" t="s">
        <v>37</v>
      </c>
      <c r="D1909" s="53" t="s">
        <v>47</v>
      </c>
      <c r="E1909" s="53" t="s">
        <v>25</v>
      </c>
      <c r="F1909" s="53" t="s">
        <v>25</v>
      </c>
      <c r="G1909" s="53" t="s">
        <v>25</v>
      </c>
      <c r="H1909" s="53" t="s">
        <v>38</v>
      </c>
      <c r="I1909" s="73">
        <v>44075</v>
      </c>
      <c r="J1909" s="74">
        <f>EFEITO!$J$1909*EFEITO!$Y$1909/(1-CUSTOS!$M$38)</f>
        <v>0</v>
      </c>
      <c r="K1909" s="74">
        <f ca="1">EFEITO!$L$1909*EFEITO!$Z$1909/(1-CUSTOS!$M$38)</f>
        <v>23.934158965822117</v>
      </c>
      <c r="L1909" s="74">
        <f>EFEITO!$N$1909*EFEITO!$AA$1909/(1-CUSTOS!$M$38)</f>
        <v>13.157549936332275</v>
      </c>
      <c r="M1909" s="74">
        <f>$J$1909-EFEITO!$K$1909*EFEITO!$Y$1909</f>
        <v>0</v>
      </c>
      <c r="N1909" s="74">
        <f ca="1">$K$1909-EFEITO!$M$1909*EFEITO!$Z$1909</f>
        <v>4.3081486138479796</v>
      </c>
      <c r="O1909" s="74">
        <f>$L$1909-EFEITO!$O$1909*EFEITO!$AA$1909</f>
        <v>2.3683589885398089</v>
      </c>
      <c r="P1909" s="57"/>
      <c r="Q1909" s="57"/>
      <c r="R1909" s="57"/>
      <c r="S1909" s="57"/>
      <c r="T1909" s="57"/>
      <c r="U1909" s="57"/>
      <c r="V1909" s="57"/>
      <c r="W1909" s="57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</row>
    <row r="1910" spans="1:36" ht="11.25" customHeight="1" x14ac:dyDescent="0.2">
      <c r="A1910" s="53" t="s">
        <v>21</v>
      </c>
      <c r="B1910" s="53" t="s">
        <v>46</v>
      </c>
      <c r="C1910" s="53" t="s">
        <v>37</v>
      </c>
      <c r="D1910" s="53" t="s">
        <v>47</v>
      </c>
      <c r="E1910" s="53" t="s">
        <v>25</v>
      </c>
      <c r="F1910" s="53" t="s">
        <v>25</v>
      </c>
      <c r="G1910" s="53" t="s">
        <v>25</v>
      </c>
      <c r="H1910" s="53" t="s">
        <v>35</v>
      </c>
      <c r="I1910" s="73">
        <v>43739</v>
      </c>
      <c r="J1910" s="74">
        <f>EFEITO!$J$1910*EFEITO!$Y$1910/(1-CUSTOS!$M$38)</f>
        <v>0</v>
      </c>
      <c r="K1910" s="74">
        <f ca="1">EFEITO!$L$1910*EFEITO!$Z$1910/(1-CUSTOS!$M$38)</f>
        <v>50.693280392511625</v>
      </c>
      <c r="L1910" s="74">
        <f>EFEITO!$N$1910*EFEITO!$AA$1910/(1-CUSTOS!$M$38)</f>
        <v>30.431036017647624</v>
      </c>
      <c r="M1910" s="74">
        <f>$J$1910-EFEITO!$K$1910*EFEITO!$Y$1910</f>
        <v>0</v>
      </c>
      <c r="N1910" s="74">
        <f ca="1">$K$1910-EFEITO!$M$1910*EFEITO!$Z$1910</f>
        <v>9.124790470652087</v>
      </c>
      <c r="O1910" s="74">
        <f>$L$1910-EFEITO!$O$1910*EFEITO!$AA$1910</f>
        <v>5.4775864831765695</v>
      </c>
      <c r="P1910" s="57"/>
      <c r="Q1910" s="57"/>
      <c r="R1910" s="57"/>
      <c r="S1910" s="57"/>
      <c r="T1910" s="57"/>
      <c r="U1910" s="57"/>
      <c r="V1910" s="57"/>
      <c r="W1910" s="57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</row>
    <row r="1911" spans="1:36" ht="11.25" customHeight="1" x14ac:dyDescent="0.2">
      <c r="A1911" s="53" t="s">
        <v>21</v>
      </c>
      <c r="B1911" s="53" t="s">
        <v>46</v>
      </c>
      <c r="C1911" s="53" t="s">
        <v>37</v>
      </c>
      <c r="D1911" s="53" t="s">
        <v>47</v>
      </c>
      <c r="E1911" s="53" t="s">
        <v>25</v>
      </c>
      <c r="F1911" s="53" t="s">
        <v>25</v>
      </c>
      <c r="G1911" s="53" t="s">
        <v>25</v>
      </c>
      <c r="H1911" s="53" t="s">
        <v>35</v>
      </c>
      <c r="I1911" s="73">
        <v>43770</v>
      </c>
      <c r="J1911" s="74">
        <f>EFEITO!$J$1911*EFEITO!$Y$1911/(1-CUSTOS!$M$38)</f>
        <v>0</v>
      </c>
      <c r="K1911" s="74">
        <f ca="1">EFEITO!$L$1911*EFEITO!$Z$1911/(1-CUSTOS!$M$38)</f>
        <v>48.189908521276486</v>
      </c>
      <c r="L1911" s="74">
        <f>EFEITO!$N$1911*EFEITO!$AA$1911/(1-CUSTOS!$M$38)</f>
        <v>28.928268806899592</v>
      </c>
      <c r="M1911" s="74">
        <f>$J$1911-EFEITO!$K$1911*EFEITO!$Y$1911</f>
        <v>0</v>
      </c>
      <c r="N1911" s="74">
        <f ca="1">$K$1911-EFEITO!$M$1911*EFEITO!$Z$1911</f>
        <v>8.6741835338297619</v>
      </c>
      <c r="O1911" s="74">
        <f>$L$1911-EFEITO!$O$1911*EFEITO!$AA$1911</f>
        <v>5.2070883852419243</v>
      </c>
      <c r="P1911" s="57"/>
      <c r="Q1911" s="57"/>
      <c r="R1911" s="57"/>
      <c r="S1911" s="57"/>
      <c r="T1911" s="57"/>
      <c r="U1911" s="57"/>
      <c r="V1911" s="57"/>
      <c r="W1911" s="57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</row>
    <row r="1912" spans="1:36" ht="11.25" customHeight="1" x14ac:dyDescent="0.2">
      <c r="A1912" s="53" t="s">
        <v>21</v>
      </c>
      <c r="B1912" s="53" t="s">
        <v>46</v>
      </c>
      <c r="C1912" s="53" t="s">
        <v>37</v>
      </c>
      <c r="D1912" s="53" t="s">
        <v>47</v>
      </c>
      <c r="E1912" s="53" t="s">
        <v>25</v>
      </c>
      <c r="F1912" s="53" t="s">
        <v>25</v>
      </c>
      <c r="G1912" s="53" t="s">
        <v>25</v>
      </c>
      <c r="H1912" s="53" t="s">
        <v>35</v>
      </c>
      <c r="I1912" s="73">
        <v>43800</v>
      </c>
      <c r="J1912" s="74">
        <f>EFEITO!$J$1912*EFEITO!$Y$1912/(1-CUSTOS!$M$38)</f>
        <v>0</v>
      </c>
      <c r="K1912" s="74">
        <f ca="1">EFEITO!$L$1912*EFEITO!$Z$1912/(1-CUSTOS!$M$38)</f>
        <v>43.809007746614995</v>
      </c>
      <c r="L1912" s="74">
        <f>EFEITO!$N$1912*EFEITO!$AA$1912/(1-CUSTOS!$M$38)</f>
        <v>26.298426188090541</v>
      </c>
      <c r="M1912" s="74">
        <f>$J$1912-EFEITO!$K$1912*EFEITO!$Y$1912</f>
        <v>0</v>
      </c>
      <c r="N1912" s="74">
        <f ca="1">$K$1912-EFEITO!$M$1912*EFEITO!$Z$1912</f>
        <v>7.8856213943906965</v>
      </c>
      <c r="O1912" s="74">
        <f>$L$1912-EFEITO!$O$1912*EFEITO!$AA$1912</f>
        <v>4.7337167138562961</v>
      </c>
      <c r="P1912" s="57"/>
      <c r="Q1912" s="57"/>
      <c r="R1912" s="57"/>
      <c r="S1912" s="57"/>
      <c r="T1912" s="57"/>
      <c r="U1912" s="57"/>
      <c r="V1912" s="57"/>
      <c r="W1912" s="57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</row>
    <row r="1913" spans="1:36" ht="11.25" customHeight="1" x14ac:dyDescent="0.2">
      <c r="A1913" s="53" t="s">
        <v>21</v>
      </c>
      <c r="B1913" s="53" t="s">
        <v>46</v>
      </c>
      <c r="C1913" s="53" t="s">
        <v>37</v>
      </c>
      <c r="D1913" s="53" t="s">
        <v>47</v>
      </c>
      <c r="E1913" s="53" t="s">
        <v>25</v>
      </c>
      <c r="F1913" s="53" t="s">
        <v>25</v>
      </c>
      <c r="G1913" s="53" t="s">
        <v>25</v>
      </c>
      <c r="H1913" s="53" t="s">
        <v>35</v>
      </c>
      <c r="I1913" s="73">
        <v>43831</v>
      </c>
      <c r="J1913" s="74">
        <f>EFEITO!$J$1913*EFEITO!$Y$1913/(1-CUSTOS!$M$38)</f>
        <v>0</v>
      </c>
      <c r="K1913" s="74">
        <f ca="1">EFEITO!$L$1913*EFEITO!$Z$1913/(1-CUSTOS!$M$38)</f>
        <v>53.196652263746778</v>
      </c>
      <c r="L1913" s="74">
        <f>EFEITO!$N$1913*EFEITO!$AA$1913/(1-CUSTOS!$M$38)</f>
        <v>31.933803228395661</v>
      </c>
      <c r="M1913" s="74">
        <f>$J$1913-EFEITO!$K$1913*EFEITO!$Y$1913</f>
        <v>0</v>
      </c>
      <c r="N1913" s="74">
        <f ca="1">$K$1913-EFEITO!$M$1913*EFEITO!$Z$1913</f>
        <v>9.5753974074744193</v>
      </c>
      <c r="O1913" s="74">
        <f>$L$1913-EFEITO!$O$1913*EFEITO!$AA$1913</f>
        <v>5.7480845811112182</v>
      </c>
      <c r="P1913" s="57"/>
      <c r="Q1913" s="57"/>
      <c r="R1913" s="57"/>
      <c r="S1913" s="57"/>
      <c r="T1913" s="57"/>
      <c r="U1913" s="57"/>
      <c r="V1913" s="57"/>
      <c r="W1913" s="57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</row>
    <row r="1914" spans="1:36" ht="11.25" customHeight="1" x14ac:dyDescent="0.2">
      <c r="A1914" s="53" t="s">
        <v>21</v>
      </c>
      <c r="B1914" s="53" t="s">
        <v>46</v>
      </c>
      <c r="C1914" s="53" t="s">
        <v>37</v>
      </c>
      <c r="D1914" s="53" t="s">
        <v>47</v>
      </c>
      <c r="E1914" s="53" t="s">
        <v>25</v>
      </c>
      <c r="F1914" s="53" t="s">
        <v>25</v>
      </c>
      <c r="G1914" s="53" t="s">
        <v>25</v>
      </c>
      <c r="H1914" s="53" t="s">
        <v>35</v>
      </c>
      <c r="I1914" s="73">
        <v>43862</v>
      </c>
      <c r="J1914" s="74">
        <f>EFEITO!$J$1914*EFEITO!$Y$1914/(1-CUSTOS!$M$38)</f>
        <v>0</v>
      </c>
      <c r="K1914" s="74">
        <f ca="1">EFEITO!$L$1914*EFEITO!$Z$1914/(1-CUSTOS!$M$38)</f>
        <v>47.564065553467699</v>
      </c>
      <c r="L1914" s="74">
        <f>EFEITO!$N$1914*EFEITO!$AA$1914/(1-CUSTOS!$M$38)</f>
        <v>28.552577004212583</v>
      </c>
      <c r="M1914" s="74">
        <f>$J$1914-EFEITO!$K$1914*EFEITO!$Y$1914</f>
        <v>0</v>
      </c>
      <c r="N1914" s="74">
        <f ca="1">$K$1914-EFEITO!$M$1914*EFEITO!$Z$1914</f>
        <v>8.5615317996241842</v>
      </c>
      <c r="O1914" s="74">
        <f>$L$1914-EFEITO!$O$1914*EFEITO!$AA$1914</f>
        <v>5.1394638607582621</v>
      </c>
      <c r="P1914" s="57"/>
      <c r="Q1914" s="57"/>
      <c r="R1914" s="57"/>
      <c r="S1914" s="57"/>
      <c r="T1914" s="57"/>
      <c r="U1914" s="57"/>
      <c r="V1914" s="57"/>
      <c r="W1914" s="57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</row>
    <row r="1915" spans="1:36" ht="11.25" customHeight="1" x14ac:dyDescent="0.2">
      <c r="A1915" s="53" t="s">
        <v>21</v>
      </c>
      <c r="B1915" s="53" t="s">
        <v>46</v>
      </c>
      <c r="C1915" s="53" t="s">
        <v>37</v>
      </c>
      <c r="D1915" s="53" t="s">
        <v>47</v>
      </c>
      <c r="E1915" s="53" t="s">
        <v>25</v>
      </c>
      <c r="F1915" s="53" t="s">
        <v>25</v>
      </c>
      <c r="G1915" s="53" t="s">
        <v>25</v>
      </c>
      <c r="H1915" s="53" t="s">
        <v>35</v>
      </c>
      <c r="I1915" s="73">
        <v>43891</v>
      </c>
      <c r="J1915" s="74">
        <f>EFEITO!$J$1915*EFEITO!$Y$1915/(1-CUSTOS!$M$38)</f>
        <v>0</v>
      </c>
      <c r="K1915" s="74">
        <f ca="1">EFEITO!$L$1915*EFEITO!$Z$1915/(1-CUSTOS!$M$38)</f>
        <v>52.570809295937991</v>
      </c>
      <c r="L1915" s="74">
        <f>EFEITO!$N$1915*EFEITO!$AA$1915/(1-CUSTOS!$M$38)</f>
        <v>31.558111425708653</v>
      </c>
      <c r="M1915" s="74">
        <f>$J$1915-EFEITO!$K$1915*EFEITO!$Y$1915</f>
        <v>0</v>
      </c>
      <c r="N1915" s="74">
        <f ca="1">$K$1915-EFEITO!$M$1915*EFEITO!$Z$1915</f>
        <v>9.4627456732688344</v>
      </c>
      <c r="O1915" s="74">
        <f>$L$1915-EFEITO!$O$1915*EFEITO!$AA$1915</f>
        <v>5.680460056627556</v>
      </c>
      <c r="P1915" s="57"/>
      <c r="Q1915" s="57"/>
      <c r="R1915" s="57"/>
      <c r="S1915" s="57"/>
      <c r="T1915" s="57"/>
      <c r="U1915" s="57"/>
      <c r="V1915" s="57"/>
      <c r="W1915" s="57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</row>
    <row r="1916" spans="1:36" ht="11.25" customHeight="1" x14ac:dyDescent="0.2">
      <c r="A1916" s="53" t="s">
        <v>21</v>
      </c>
      <c r="B1916" s="53" t="s">
        <v>46</v>
      </c>
      <c r="C1916" s="53" t="s">
        <v>37</v>
      </c>
      <c r="D1916" s="53" t="s">
        <v>47</v>
      </c>
      <c r="E1916" s="53" t="s">
        <v>25</v>
      </c>
      <c r="F1916" s="53" t="s">
        <v>25</v>
      </c>
      <c r="G1916" s="53" t="s">
        <v>25</v>
      </c>
      <c r="H1916" s="53" t="s">
        <v>35</v>
      </c>
      <c r="I1916" s="73">
        <v>43922</v>
      </c>
      <c r="J1916" s="74">
        <f>EFEITO!$J$1916*EFEITO!$Y$1916/(1-CUSTOS!$M$38)</f>
        <v>0</v>
      </c>
      <c r="K1916" s="74">
        <f ca="1">EFEITO!$L$1916*EFEITO!$Z$1916/(1-CUSTOS!$M$38)</f>
        <v>67.591040523348838</v>
      </c>
      <c r="L1916" s="74">
        <f>EFEITO!$N$1916*EFEITO!$AA$1916/(1-CUSTOS!$M$38)</f>
        <v>40.574714690196828</v>
      </c>
      <c r="M1916" s="74">
        <f>$J$1916-EFEITO!$K$1916*EFEITO!$Y$1916</f>
        <v>0</v>
      </c>
      <c r="N1916" s="74">
        <f ca="1">$K$1916-EFEITO!$M$1916*EFEITO!$Z$1916</f>
        <v>12.166387294202785</v>
      </c>
      <c r="O1916" s="74">
        <f>$L$1916-EFEITO!$O$1916*EFEITO!$AA$1916</f>
        <v>7.3034486442354236</v>
      </c>
      <c r="P1916" s="57"/>
      <c r="Q1916" s="57"/>
      <c r="R1916" s="57"/>
      <c r="S1916" s="57"/>
      <c r="T1916" s="57"/>
      <c r="U1916" s="57"/>
      <c r="V1916" s="57"/>
      <c r="W1916" s="57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</row>
    <row r="1917" spans="1:36" ht="11.25" customHeight="1" x14ac:dyDescent="0.2">
      <c r="A1917" s="53" t="s">
        <v>21</v>
      </c>
      <c r="B1917" s="53" t="s">
        <v>46</v>
      </c>
      <c r="C1917" s="53" t="s">
        <v>37</v>
      </c>
      <c r="D1917" s="53" t="s">
        <v>47</v>
      </c>
      <c r="E1917" s="53" t="s">
        <v>25</v>
      </c>
      <c r="F1917" s="53" t="s">
        <v>25</v>
      </c>
      <c r="G1917" s="53" t="s">
        <v>25</v>
      </c>
      <c r="H1917" s="53" t="s">
        <v>35</v>
      </c>
      <c r="I1917" s="73">
        <v>43952</v>
      </c>
      <c r="J1917" s="74">
        <f>EFEITO!$J$1917*EFEITO!$Y$1917/(1-CUSTOS!$M$38)</f>
        <v>0</v>
      </c>
      <c r="K1917" s="74">
        <f ca="1">EFEITO!$L$1917*EFEITO!$Z$1917/(1-CUSTOS!$M$38)</f>
        <v>55.700024134981916</v>
      </c>
      <c r="L1917" s="74">
        <f>EFEITO!$N$1917*EFEITO!$AA$1917/(1-CUSTOS!$M$38)</f>
        <v>33.436570439143686</v>
      </c>
      <c r="M1917" s="74">
        <f>$J$1917-EFEITO!$K$1917*EFEITO!$Y$1917</f>
        <v>0</v>
      </c>
      <c r="N1917" s="74">
        <f ca="1">$K$1917-EFEITO!$M$1917*EFEITO!$Z$1917</f>
        <v>10.026004344296744</v>
      </c>
      <c r="O1917" s="74">
        <f>$L$1917-EFEITO!$O$1917*EFEITO!$AA$1917</f>
        <v>6.0185826790458634</v>
      </c>
      <c r="P1917" s="57"/>
      <c r="Q1917" s="57"/>
      <c r="R1917" s="57"/>
      <c r="S1917" s="57"/>
      <c r="T1917" s="57"/>
      <c r="U1917" s="57"/>
      <c r="V1917" s="57"/>
      <c r="W1917" s="57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</row>
    <row r="1918" spans="1:36" ht="11.25" customHeight="1" x14ac:dyDescent="0.2">
      <c r="A1918" s="53" t="s">
        <v>21</v>
      </c>
      <c r="B1918" s="53" t="s">
        <v>46</v>
      </c>
      <c r="C1918" s="53" t="s">
        <v>37</v>
      </c>
      <c r="D1918" s="53" t="s">
        <v>47</v>
      </c>
      <c r="E1918" s="53" t="s">
        <v>25</v>
      </c>
      <c r="F1918" s="53" t="s">
        <v>25</v>
      </c>
      <c r="G1918" s="53" t="s">
        <v>25</v>
      </c>
      <c r="H1918" s="53" t="s">
        <v>35</v>
      </c>
      <c r="I1918" s="73">
        <v>43983</v>
      </c>
      <c r="J1918" s="74">
        <f>EFEITO!$J$1918*EFEITO!$Y$1918/(1-CUSTOS!$M$38)</f>
        <v>0</v>
      </c>
      <c r="K1918" s="74">
        <f ca="1">EFEITO!$L$1918*EFEITO!$Z$1918/(1-CUSTOS!$M$38)</f>
        <v>58.203396006217048</v>
      </c>
      <c r="L1918" s="74">
        <f>EFEITO!$N$1918*EFEITO!$AA$1918/(1-CUSTOS!$M$38)</f>
        <v>34.939337649891719</v>
      </c>
      <c r="M1918" s="74">
        <f>$J$1918-EFEITO!$K$1918*EFEITO!$Y$1918</f>
        <v>0</v>
      </c>
      <c r="N1918" s="74">
        <f ca="1">$K$1918-EFEITO!$M$1918*EFEITO!$Z$1918</f>
        <v>10.476611281119062</v>
      </c>
      <c r="O1918" s="74">
        <f>$L$1918-EFEITO!$O$1918*EFEITO!$AA$1918</f>
        <v>6.2890807769805086</v>
      </c>
      <c r="P1918" s="57"/>
      <c r="Q1918" s="57"/>
      <c r="R1918" s="57"/>
      <c r="S1918" s="57"/>
      <c r="T1918" s="57"/>
      <c r="U1918" s="57"/>
      <c r="V1918" s="57"/>
      <c r="W1918" s="57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</row>
    <row r="1919" spans="1:36" ht="11.25" customHeight="1" x14ac:dyDescent="0.2">
      <c r="A1919" s="53" t="s">
        <v>21</v>
      </c>
      <c r="B1919" s="53" t="s">
        <v>46</v>
      </c>
      <c r="C1919" s="53" t="s">
        <v>37</v>
      </c>
      <c r="D1919" s="53" t="s">
        <v>47</v>
      </c>
      <c r="E1919" s="53" t="s">
        <v>25</v>
      </c>
      <c r="F1919" s="53" t="s">
        <v>25</v>
      </c>
      <c r="G1919" s="53" t="s">
        <v>25</v>
      </c>
      <c r="H1919" s="53" t="s">
        <v>35</v>
      </c>
      <c r="I1919" s="73">
        <v>44013</v>
      </c>
      <c r="J1919" s="74">
        <f>EFEITO!$J$1919*EFEITO!$Y$1919/(1-CUSTOS!$M$38)</f>
        <v>0</v>
      </c>
      <c r="K1919" s="74">
        <f ca="1">EFEITO!$L$1919*EFEITO!$Z$1919/(1-CUSTOS!$M$38)</f>
        <v>56.325867102790696</v>
      </c>
      <c r="L1919" s="74">
        <f>EFEITO!$N$1919*EFEITO!$AA$1919/(1-CUSTOS!$M$38)</f>
        <v>33.812262241830695</v>
      </c>
      <c r="M1919" s="74">
        <f>$J$1919-EFEITO!$K$1919*EFEITO!$Y$1919</f>
        <v>0</v>
      </c>
      <c r="N1919" s="74">
        <f ca="1">$K$1919-EFEITO!$M$1919*EFEITO!$Z$1919</f>
        <v>10.138656078502322</v>
      </c>
      <c r="O1919" s="74">
        <f>$L$1919-EFEITO!$O$1919*EFEITO!$AA$1919</f>
        <v>6.0862072035295256</v>
      </c>
      <c r="P1919" s="57"/>
      <c r="Q1919" s="57"/>
      <c r="R1919" s="57"/>
      <c r="S1919" s="57"/>
      <c r="T1919" s="57"/>
      <c r="U1919" s="57"/>
      <c r="V1919" s="57"/>
      <c r="W1919" s="57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</row>
    <row r="1920" spans="1:36" ht="11.25" customHeight="1" x14ac:dyDescent="0.2">
      <c r="A1920" s="53" t="s">
        <v>21</v>
      </c>
      <c r="B1920" s="53" t="s">
        <v>46</v>
      </c>
      <c r="C1920" s="53" t="s">
        <v>37</v>
      </c>
      <c r="D1920" s="53" t="s">
        <v>47</v>
      </c>
      <c r="E1920" s="53" t="s">
        <v>25</v>
      </c>
      <c r="F1920" s="53" t="s">
        <v>25</v>
      </c>
      <c r="G1920" s="53" t="s">
        <v>25</v>
      </c>
      <c r="H1920" s="53" t="s">
        <v>35</v>
      </c>
      <c r="I1920" s="73">
        <v>44044</v>
      </c>
      <c r="J1920" s="74">
        <f>EFEITO!$J$1920*EFEITO!$Y$1920/(1-CUSTOS!$M$38)</f>
        <v>0</v>
      </c>
      <c r="K1920" s="74">
        <f ca="1">EFEITO!$L$1920*EFEITO!$Z$1920/(1-CUSTOS!$M$38)</f>
        <v>63.210139748687347</v>
      </c>
      <c r="L1920" s="74">
        <f>EFEITO!$N$1920*EFEITO!$AA$1920/(1-CUSTOS!$M$38)</f>
        <v>37.944872071387778</v>
      </c>
      <c r="M1920" s="74">
        <f>$J$1920-EFEITO!$K$1920*EFEITO!$Y$1920</f>
        <v>0</v>
      </c>
      <c r="N1920" s="74">
        <f ca="1">$K$1920-EFEITO!$M$1920*EFEITO!$Z$1920</f>
        <v>11.37782515476372</v>
      </c>
      <c r="O1920" s="74">
        <f>$L$1920-EFEITO!$O$1920*EFEITO!$AA$1920</f>
        <v>6.8300769728497954</v>
      </c>
      <c r="P1920" s="57"/>
      <c r="Q1920" s="57"/>
      <c r="R1920" s="57"/>
      <c r="S1920" s="57"/>
      <c r="T1920" s="57"/>
      <c r="U1920" s="57"/>
      <c r="V1920" s="57"/>
      <c r="W1920" s="57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</row>
    <row r="1921" spans="1:36" ht="11.25" customHeight="1" x14ac:dyDescent="0.2">
      <c r="A1921" s="53" t="s">
        <v>59</v>
      </c>
      <c r="B1921" s="53" t="s">
        <v>46</v>
      </c>
      <c r="C1921" s="53" t="s">
        <v>37</v>
      </c>
      <c r="D1921" s="53" t="s">
        <v>47</v>
      </c>
      <c r="E1921" s="53" t="s">
        <v>25</v>
      </c>
      <c r="F1921" s="53" t="s">
        <v>25</v>
      </c>
      <c r="G1921" s="53" t="s">
        <v>25</v>
      </c>
      <c r="H1921" s="53" t="s">
        <v>35</v>
      </c>
      <c r="I1921" s="73">
        <v>44075</v>
      </c>
      <c r="J1921" s="74">
        <f>EFEITO!$J$1921*EFEITO!$Y$1921/(1-CUSTOS!$M$38)</f>
        <v>0</v>
      </c>
      <c r="K1921" s="74">
        <f ca="1">EFEITO!$L$1921*EFEITO!$Z$1921/(1-CUSTOS!$M$38)</f>
        <v>63.210139748687347</v>
      </c>
      <c r="L1921" s="74">
        <f>EFEITO!$N$1921*EFEITO!$AA$1921/(1-CUSTOS!$M$38)</f>
        <v>37.944872071387778</v>
      </c>
      <c r="M1921" s="74">
        <f>$J$1921-EFEITO!$K$1921*EFEITO!$Y$1921</f>
        <v>0</v>
      </c>
      <c r="N1921" s="74">
        <f ca="1">$K$1921-EFEITO!$M$1921*EFEITO!$Z$1921</f>
        <v>11.37782515476372</v>
      </c>
      <c r="O1921" s="74">
        <f>$L$1921-EFEITO!$O$1921*EFEITO!$AA$1921</f>
        <v>6.8300769728497954</v>
      </c>
      <c r="P1921" s="57"/>
      <c r="Q1921" s="57"/>
      <c r="R1921" s="57"/>
      <c r="S1921" s="57"/>
      <c r="T1921" s="57"/>
      <c r="U1921" s="57"/>
      <c r="V1921" s="57"/>
      <c r="W1921" s="57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</row>
    <row r="1922" spans="1:36" ht="11.25" customHeight="1" x14ac:dyDescent="0.2">
      <c r="A1922" s="53" t="s">
        <v>21</v>
      </c>
      <c r="B1922" s="53" t="s">
        <v>46</v>
      </c>
      <c r="C1922" s="53" t="s">
        <v>23</v>
      </c>
      <c r="D1922" s="53" t="s">
        <v>47</v>
      </c>
      <c r="E1922" s="53" t="s">
        <v>55</v>
      </c>
      <c r="F1922" s="53" t="s">
        <v>56</v>
      </c>
      <c r="G1922" s="53" t="s">
        <v>25</v>
      </c>
      <c r="H1922" s="53" t="s">
        <v>25</v>
      </c>
      <c r="I1922" s="73">
        <v>43739</v>
      </c>
      <c r="J1922" s="74">
        <f>EFEITO!$J$1922*EFEITO!$Y$1749</f>
        <v>0</v>
      </c>
      <c r="K1922" s="74">
        <f ca="1">EFEITO!$L$1922*EFEITO!$Z$1749</f>
        <v>3997.6480551449713</v>
      </c>
      <c r="L1922" s="74">
        <f>EFEITO!$N$1922*EFEITO!$AA$1749</f>
        <v>3571.6850527844799</v>
      </c>
      <c r="M1922" s="74">
        <f>$J$1922-EFEITO!$K$1922*EFEITO!$Y$1922</f>
        <v>0</v>
      </c>
      <c r="N1922" s="74">
        <f ca="1">$K$1922-EFEITO!$M$1922*EFEITO!$Z$1922</f>
        <v>719.57664992609489</v>
      </c>
      <c r="O1922" s="74">
        <f>$L$1922-EFEITO!$O$1922*EFEITO!$AA$1922</f>
        <v>642.90330950120597</v>
      </c>
      <c r="P1922" s="57"/>
      <c r="Q1922" s="57"/>
      <c r="R1922" s="57"/>
      <c r="S1922" s="57"/>
      <c r="T1922" s="57"/>
      <c r="U1922" s="57"/>
      <c r="V1922" s="57"/>
      <c r="W1922" s="57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</row>
    <row r="1923" spans="1:36" ht="11.25" customHeight="1" x14ac:dyDescent="0.2">
      <c r="A1923" s="53" t="s">
        <v>28</v>
      </c>
      <c r="B1923" s="53" t="s">
        <v>46</v>
      </c>
      <c r="C1923" s="53" t="s">
        <v>23</v>
      </c>
      <c r="D1923" s="53" t="s">
        <v>47</v>
      </c>
      <c r="E1923" s="53" t="s">
        <v>55</v>
      </c>
      <c r="F1923" s="53" t="s">
        <v>56</v>
      </c>
      <c r="G1923" s="53" t="s">
        <v>25</v>
      </c>
      <c r="H1923" s="53" t="s">
        <v>25</v>
      </c>
      <c r="I1923" s="73">
        <v>43739</v>
      </c>
      <c r="J1923" s="74">
        <f>EFEITO!$J$1923*EFEITO!$Y$1749</f>
        <v>0</v>
      </c>
      <c r="K1923" s="74">
        <f ca="1">EFEITO!$L$1923*EFEITO!$Z$1749</f>
        <v>1301.4649918375255</v>
      </c>
      <c r="L1923" s="74">
        <f>EFEITO!$N$1923*EFEITO!$AA$1749</f>
        <v>1162.7894686941856</v>
      </c>
      <c r="M1923" s="74">
        <f>$J$1923-EFEITO!$K$1923*EFEITO!$Y$1923</f>
        <v>0</v>
      </c>
      <c r="N1923" s="74">
        <f ca="1">$K$1923-EFEITO!$M$1923*EFEITO!$Z$1923</f>
        <v>234.26369853075448</v>
      </c>
      <c r="O1923" s="74">
        <f>$L$1923-EFEITO!$O$1923*EFEITO!$AA$1923</f>
        <v>209.30210436495338</v>
      </c>
      <c r="P1923" s="57"/>
      <c r="Q1923" s="57"/>
      <c r="R1923" s="57"/>
      <c r="S1923" s="57"/>
      <c r="T1923" s="57"/>
      <c r="U1923" s="57"/>
      <c r="V1923" s="57"/>
      <c r="W1923" s="57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</row>
    <row r="1924" spans="1:36" ht="11.25" customHeight="1" x14ac:dyDescent="0.2">
      <c r="A1924" s="53" t="s">
        <v>21</v>
      </c>
      <c r="B1924" s="53" t="s">
        <v>46</v>
      </c>
      <c r="C1924" s="53" t="s">
        <v>23</v>
      </c>
      <c r="D1924" s="53" t="s">
        <v>47</v>
      </c>
      <c r="E1924" s="53" t="s">
        <v>55</v>
      </c>
      <c r="F1924" s="53" t="s">
        <v>56</v>
      </c>
      <c r="G1924" s="53" t="s">
        <v>25</v>
      </c>
      <c r="H1924" s="53" t="s">
        <v>25</v>
      </c>
      <c r="I1924" s="73">
        <v>43770</v>
      </c>
      <c r="J1924" s="74">
        <f>EFEITO!$J$1924*EFEITO!$Y$1749</f>
        <v>0</v>
      </c>
      <c r="K1924" s="74">
        <f ca="1">EFEITO!$L$1924*EFEITO!$Z$1749</f>
        <v>11476.381916742352</v>
      </c>
      <c r="L1924" s="74">
        <f>EFEITO!$N$1924*EFEITO!$AA$1749</f>
        <v>10253.534374873399</v>
      </c>
      <c r="M1924" s="74">
        <f>$J$1924-EFEITO!$K$1924*EFEITO!$Y$1924</f>
        <v>0</v>
      </c>
      <c r="N1924" s="74">
        <f ca="1">$K$1924-EFEITO!$M$1924*EFEITO!$Z$1924</f>
        <v>2065.7487450136232</v>
      </c>
      <c r="O1924" s="74">
        <f>$L$1924-EFEITO!$O$1924*EFEITO!$AA$1924</f>
        <v>1845.6361874772101</v>
      </c>
      <c r="P1924" s="57"/>
      <c r="Q1924" s="57"/>
      <c r="R1924" s="57"/>
      <c r="S1924" s="57"/>
      <c r="T1924" s="57"/>
      <c r="U1924" s="57"/>
      <c r="V1924" s="57"/>
      <c r="W1924" s="57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</row>
    <row r="1925" spans="1:36" ht="11.25" customHeight="1" x14ac:dyDescent="0.2">
      <c r="A1925" s="53" t="s">
        <v>21</v>
      </c>
      <c r="B1925" s="53" t="s">
        <v>46</v>
      </c>
      <c r="C1925" s="53" t="s">
        <v>23</v>
      </c>
      <c r="D1925" s="53" t="s">
        <v>47</v>
      </c>
      <c r="E1925" s="53" t="s">
        <v>55</v>
      </c>
      <c r="F1925" s="53" t="s">
        <v>56</v>
      </c>
      <c r="G1925" s="53" t="s">
        <v>25</v>
      </c>
      <c r="H1925" s="53" t="s">
        <v>25</v>
      </c>
      <c r="I1925" s="73">
        <v>43800</v>
      </c>
      <c r="J1925" s="74">
        <f>EFEITO!$J$1925*EFEITO!$Y$1749</f>
        <v>0</v>
      </c>
      <c r="K1925" s="74">
        <f ca="1">EFEITO!$L$1925*EFEITO!$Z$1749</f>
        <v>1893.6084537598424</v>
      </c>
      <c r="L1925" s="74">
        <f>EFEITO!$N$1925*EFEITO!$AA$1749</f>
        <v>1691.8380299676212</v>
      </c>
      <c r="M1925" s="74">
        <f>$J$1925-EFEITO!$K$1925*EFEITO!$Y$1925</f>
        <v>0</v>
      </c>
      <c r="N1925" s="74">
        <f ca="1">$K$1925-EFEITO!$M$1925*EFEITO!$Z$1925</f>
        <v>340.8495216767717</v>
      </c>
      <c r="O1925" s="74">
        <f>$L$1925-EFEITO!$O$1925*EFEITO!$AA$1925</f>
        <v>304.53084539417159</v>
      </c>
      <c r="P1925" s="57"/>
      <c r="Q1925" s="57"/>
      <c r="R1925" s="57"/>
      <c r="S1925" s="57"/>
      <c r="T1925" s="57"/>
      <c r="U1925" s="57"/>
      <c r="V1925" s="57"/>
      <c r="W1925" s="57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</row>
    <row r="1926" spans="1:36" ht="11.25" customHeight="1" x14ac:dyDescent="0.2">
      <c r="A1926" s="53" t="s">
        <v>28</v>
      </c>
      <c r="B1926" s="53" t="s">
        <v>46</v>
      </c>
      <c r="C1926" s="53" t="s">
        <v>23</v>
      </c>
      <c r="D1926" s="53" t="s">
        <v>47</v>
      </c>
      <c r="E1926" s="53" t="s">
        <v>55</v>
      </c>
      <c r="F1926" s="53" t="s">
        <v>56</v>
      </c>
      <c r="G1926" s="53" t="s">
        <v>25</v>
      </c>
      <c r="H1926" s="53" t="s">
        <v>25</v>
      </c>
      <c r="I1926" s="73">
        <v>43800</v>
      </c>
      <c r="J1926" s="74">
        <f>EFEITO!$J$1926*EFEITO!$Y$1749</f>
        <v>0</v>
      </c>
      <c r="K1926" s="74">
        <f ca="1">EFEITO!$L$1926*EFEITO!$Z$1749</f>
        <v>56.549972488448986</v>
      </c>
      <c r="L1926" s="74">
        <f>EFEITO!$N$1926*EFEITO!$AA$1749</f>
        <v>50.524380507288612</v>
      </c>
      <c r="M1926" s="74">
        <f>$J$1926-EFEITO!$K$1926*EFEITO!$Y$1926</f>
        <v>0</v>
      </c>
      <c r="N1926" s="74">
        <f ca="1">$K$1926-EFEITO!$M$1926*EFEITO!$Z$1926</f>
        <v>10.178995047920814</v>
      </c>
      <c r="O1926" s="74">
        <f>$L$1926-EFEITO!$O$1926*EFEITO!$AA$1926</f>
        <v>9.0943884913119462</v>
      </c>
      <c r="P1926" s="57"/>
      <c r="Q1926" s="57"/>
      <c r="R1926" s="57"/>
      <c r="S1926" s="57"/>
      <c r="T1926" s="57"/>
      <c r="U1926" s="57"/>
      <c r="V1926" s="57"/>
      <c r="W1926" s="57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</row>
    <row r="1927" spans="1:36" ht="11.25" customHeight="1" x14ac:dyDescent="0.2">
      <c r="A1927" s="53" t="s">
        <v>21</v>
      </c>
      <c r="B1927" s="53" t="s">
        <v>46</v>
      </c>
      <c r="C1927" s="53" t="s">
        <v>23</v>
      </c>
      <c r="D1927" s="53" t="s">
        <v>47</v>
      </c>
      <c r="E1927" s="53" t="s">
        <v>55</v>
      </c>
      <c r="F1927" s="53" t="s">
        <v>56</v>
      </c>
      <c r="G1927" s="53" t="s">
        <v>25</v>
      </c>
      <c r="H1927" s="53" t="s">
        <v>25</v>
      </c>
      <c r="I1927" s="73">
        <v>43831</v>
      </c>
      <c r="J1927" s="74">
        <f>EFEITO!$J$1927*EFEITO!$Y$1749</f>
        <v>0</v>
      </c>
      <c r="K1927" s="74">
        <f ca="1">EFEITO!$L$1927*EFEITO!$Z$1749</f>
        <v>3221.7171826351946</v>
      </c>
      <c r="L1927" s="74">
        <f>EFEITO!$N$1927*EFEITO!$AA$1749</f>
        <v>2878.4322548623563</v>
      </c>
      <c r="M1927" s="74">
        <f>$J$1927-EFEITO!$K$1927*EFEITO!$Y$1927</f>
        <v>0</v>
      </c>
      <c r="N1927" s="74">
        <f ca="1">$K$1927-EFEITO!$M$1927*EFEITO!$Z$1927</f>
        <v>579.90909287433487</v>
      </c>
      <c r="O1927" s="74">
        <f>$L$1927-EFEITO!$O$1927*EFEITO!$AA$1927</f>
        <v>518.11780587522389</v>
      </c>
      <c r="P1927" s="57"/>
      <c r="Q1927" s="57"/>
      <c r="R1927" s="57"/>
      <c r="S1927" s="57"/>
      <c r="T1927" s="57"/>
      <c r="U1927" s="57"/>
      <c r="V1927" s="57"/>
      <c r="W1927" s="57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</row>
    <row r="1928" spans="1:36" ht="11.25" customHeight="1" x14ac:dyDescent="0.2">
      <c r="A1928" s="53" t="s">
        <v>28</v>
      </c>
      <c r="B1928" s="53" t="s">
        <v>46</v>
      </c>
      <c r="C1928" s="53" t="s">
        <v>23</v>
      </c>
      <c r="D1928" s="53" t="s">
        <v>47</v>
      </c>
      <c r="E1928" s="53" t="s">
        <v>55</v>
      </c>
      <c r="F1928" s="53" t="s">
        <v>56</v>
      </c>
      <c r="G1928" s="53" t="s">
        <v>25</v>
      </c>
      <c r="H1928" s="53" t="s">
        <v>25</v>
      </c>
      <c r="I1928" s="73">
        <v>43831</v>
      </c>
      <c r="J1928" s="74">
        <f>EFEITO!$J$1928*EFEITO!$Y$1749</f>
        <v>0</v>
      </c>
      <c r="K1928" s="74">
        <f ca="1">EFEITO!$L$1928*EFEITO!$Z$1749</f>
        <v>27.187486773292786</v>
      </c>
      <c r="L1928" s="74">
        <f>EFEITO!$N$1928*EFEITO!$AA$1749</f>
        <v>24.290567551581066</v>
      </c>
      <c r="M1928" s="74">
        <f>$J$1928-EFEITO!$K$1928*EFEITO!$Y$1928</f>
        <v>0</v>
      </c>
      <c r="N1928" s="74">
        <f ca="1">$K$1928-EFEITO!$M$1928*EFEITO!$Z$1928</f>
        <v>4.8937476191927018</v>
      </c>
      <c r="O1928" s="74">
        <f>$L$1928-EFEITO!$O$1928*EFEITO!$AA$1928</f>
        <v>4.3723021592845903</v>
      </c>
      <c r="P1928" s="57"/>
      <c r="Q1928" s="57"/>
      <c r="R1928" s="57"/>
      <c r="S1928" s="57"/>
      <c r="T1928" s="57"/>
      <c r="U1928" s="57"/>
      <c r="V1928" s="57"/>
      <c r="W1928" s="57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</row>
    <row r="1929" spans="1:36" ht="11.25" customHeight="1" x14ac:dyDescent="0.2">
      <c r="A1929" s="53" t="s">
        <v>21</v>
      </c>
      <c r="B1929" s="53" t="s">
        <v>46</v>
      </c>
      <c r="C1929" s="53" t="s">
        <v>23</v>
      </c>
      <c r="D1929" s="53" t="s">
        <v>47</v>
      </c>
      <c r="E1929" s="53" t="s">
        <v>55</v>
      </c>
      <c r="F1929" s="53" t="s">
        <v>56</v>
      </c>
      <c r="G1929" s="53" t="s">
        <v>25</v>
      </c>
      <c r="H1929" s="53" t="s">
        <v>25</v>
      </c>
      <c r="I1929" s="73">
        <v>43862</v>
      </c>
      <c r="J1929" s="74">
        <f>EFEITO!$J$1929*EFEITO!$Y$1749</f>
        <v>0</v>
      </c>
      <c r="K1929" s="74">
        <f ca="1">EFEITO!$L$1929*EFEITO!$Z$1749</f>
        <v>1703.02417147906</v>
      </c>
      <c r="L1929" s="74">
        <f>EFEITO!$N$1929*EFEITO!$AA$1749</f>
        <v>1521.5611514310381</v>
      </c>
      <c r="M1929" s="74">
        <f>$J$1929-EFEITO!$K$1929*EFEITO!$Y$1929</f>
        <v>0</v>
      </c>
      <c r="N1929" s="74">
        <f ca="1">$K$1929-EFEITO!$M$1929*EFEITO!$Z$1929</f>
        <v>306.54435086623062</v>
      </c>
      <c r="O1929" s="74">
        <f>$L$1929-EFEITO!$O$1929*EFEITO!$AA$1929</f>
        <v>273.88100725758682</v>
      </c>
      <c r="P1929" s="57"/>
      <c r="Q1929" s="57"/>
      <c r="R1929" s="57"/>
      <c r="S1929" s="57"/>
      <c r="T1929" s="57"/>
      <c r="U1929" s="57"/>
      <c r="V1929" s="57"/>
      <c r="W1929" s="57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</row>
    <row r="1930" spans="1:36" ht="11.25" customHeight="1" x14ac:dyDescent="0.2">
      <c r="A1930" s="53" t="s">
        <v>28</v>
      </c>
      <c r="B1930" s="53" t="s">
        <v>46</v>
      </c>
      <c r="C1930" s="53" t="s">
        <v>23</v>
      </c>
      <c r="D1930" s="53" t="s">
        <v>47</v>
      </c>
      <c r="E1930" s="53" t="s">
        <v>55</v>
      </c>
      <c r="F1930" s="53" t="s">
        <v>56</v>
      </c>
      <c r="G1930" s="53" t="s">
        <v>25</v>
      </c>
      <c r="H1930" s="53" t="s">
        <v>25</v>
      </c>
      <c r="I1930" s="73">
        <v>43862</v>
      </c>
      <c r="J1930" s="74">
        <f>EFEITO!$J$1930*EFEITO!$Y$1749</f>
        <v>0</v>
      </c>
      <c r="K1930" s="74">
        <f ca="1">EFEITO!$L$1930*EFEITO!$Z$1749</f>
        <v>27.187486773292786</v>
      </c>
      <c r="L1930" s="74">
        <f>EFEITO!$N$1930*EFEITO!$AA$1749</f>
        <v>24.290567551581066</v>
      </c>
      <c r="M1930" s="74">
        <f>$J$1930-EFEITO!$K$1930*EFEITO!$Y$1930</f>
        <v>0</v>
      </c>
      <c r="N1930" s="74">
        <f ca="1">$K$1930-EFEITO!$M$1930*EFEITO!$Z$1930</f>
        <v>4.8937476191927018</v>
      </c>
      <c r="O1930" s="74">
        <f>$L$1930-EFEITO!$O$1930*EFEITO!$AA$1930</f>
        <v>4.3723021592845903</v>
      </c>
      <c r="P1930" s="57"/>
      <c r="Q1930" s="57"/>
      <c r="R1930" s="57"/>
      <c r="S1930" s="57"/>
      <c r="T1930" s="57"/>
      <c r="U1930" s="57"/>
      <c r="V1930" s="57"/>
      <c r="W1930" s="57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</row>
    <row r="1931" spans="1:36" ht="11.25" customHeight="1" x14ac:dyDescent="0.2">
      <c r="A1931" s="53" t="s">
        <v>21</v>
      </c>
      <c r="B1931" s="53" t="s">
        <v>46</v>
      </c>
      <c r="C1931" s="53" t="s">
        <v>23</v>
      </c>
      <c r="D1931" s="53" t="s">
        <v>47</v>
      </c>
      <c r="E1931" s="53" t="s">
        <v>55</v>
      </c>
      <c r="F1931" s="53" t="s">
        <v>56</v>
      </c>
      <c r="G1931" s="53" t="s">
        <v>25</v>
      </c>
      <c r="H1931" s="53" t="s">
        <v>25</v>
      </c>
      <c r="I1931" s="73">
        <v>43891</v>
      </c>
      <c r="J1931" s="74">
        <f>EFEITO!$J$1931*EFEITO!$Y$1749</f>
        <v>0</v>
      </c>
      <c r="K1931" s="74">
        <f ca="1">EFEITO!$L$1931*EFEITO!$Z$1749</f>
        <v>1363.724336548366</v>
      </c>
      <c r="L1931" s="74">
        <f>EFEITO!$N$1931*EFEITO!$AA$1749</f>
        <v>1218.4148683873063</v>
      </c>
      <c r="M1931" s="74">
        <f>$J$1931-EFEITO!$K$1931*EFEITO!$Y$1931</f>
        <v>0</v>
      </c>
      <c r="N1931" s="74">
        <f ca="1">$K$1931-EFEITO!$M$1931*EFEITO!$Z$1931</f>
        <v>245.47038057870577</v>
      </c>
      <c r="O1931" s="74">
        <f>$L$1931-EFEITO!$O$1931*EFEITO!$AA$1931</f>
        <v>219.31467630971508</v>
      </c>
      <c r="P1931" s="57"/>
      <c r="Q1931" s="57"/>
      <c r="R1931" s="57"/>
      <c r="S1931" s="57"/>
      <c r="T1931" s="57"/>
      <c r="U1931" s="57"/>
      <c r="V1931" s="57"/>
      <c r="W1931" s="57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</row>
    <row r="1932" spans="1:36" ht="11.25" customHeight="1" x14ac:dyDescent="0.2">
      <c r="A1932" s="53" t="s">
        <v>28</v>
      </c>
      <c r="B1932" s="53" t="s">
        <v>46</v>
      </c>
      <c r="C1932" s="53" t="s">
        <v>23</v>
      </c>
      <c r="D1932" s="53" t="s">
        <v>47</v>
      </c>
      <c r="E1932" s="53" t="s">
        <v>55</v>
      </c>
      <c r="F1932" s="53" t="s">
        <v>56</v>
      </c>
      <c r="G1932" s="53" t="s">
        <v>25</v>
      </c>
      <c r="H1932" s="53" t="s">
        <v>25</v>
      </c>
      <c r="I1932" s="73">
        <v>43891</v>
      </c>
      <c r="J1932" s="74">
        <f>EFEITO!$J$1932*EFEITO!$Y$1749</f>
        <v>0</v>
      </c>
      <c r="K1932" s="74">
        <f ca="1">EFEITO!$L$1932*EFEITO!$Z$1749</f>
        <v>27.187486773292786</v>
      </c>
      <c r="L1932" s="74">
        <f>EFEITO!$N$1932*EFEITO!$AA$1749</f>
        <v>24.290567551581066</v>
      </c>
      <c r="M1932" s="74">
        <f>$J$1932-EFEITO!$K$1932*EFEITO!$Y$1932</f>
        <v>0</v>
      </c>
      <c r="N1932" s="74">
        <f ca="1">$K$1932-EFEITO!$M$1932*EFEITO!$Z$1932</f>
        <v>4.8937476191927018</v>
      </c>
      <c r="O1932" s="74">
        <f>$L$1932-EFEITO!$O$1932*EFEITO!$AA$1932</f>
        <v>4.3723021592845903</v>
      </c>
      <c r="P1932" s="57"/>
      <c r="Q1932" s="57"/>
      <c r="R1932" s="57"/>
      <c r="S1932" s="57"/>
      <c r="T1932" s="57"/>
      <c r="U1932" s="57"/>
      <c r="V1932" s="57"/>
      <c r="W1932" s="57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</row>
    <row r="1933" spans="1:36" ht="11.25" customHeight="1" x14ac:dyDescent="0.2">
      <c r="A1933" s="53" t="s">
        <v>21</v>
      </c>
      <c r="B1933" s="53" t="s">
        <v>46</v>
      </c>
      <c r="C1933" s="53" t="s">
        <v>23</v>
      </c>
      <c r="D1933" s="53" t="s">
        <v>47</v>
      </c>
      <c r="E1933" s="53" t="s">
        <v>55</v>
      </c>
      <c r="F1933" s="53" t="s">
        <v>56</v>
      </c>
      <c r="G1933" s="53" t="s">
        <v>25</v>
      </c>
      <c r="H1933" s="53" t="s">
        <v>25</v>
      </c>
      <c r="I1933" s="73">
        <v>43922</v>
      </c>
      <c r="J1933" s="74">
        <f>EFEITO!$J$1933*EFEITO!$Y$1749</f>
        <v>0</v>
      </c>
      <c r="K1933" s="74">
        <f ca="1">EFEITO!$L$1933*EFEITO!$Z$1749</f>
        <v>1505.6430175049545</v>
      </c>
      <c r="L1933" s="74">
        <f>EFEITO!$N$1933*EFEITO!$AA$1749</f>
        <v>1345.2116310065594</v>
      </c>
      <c r="M1933" s="74">
        <f>$J$1933-EFEITO!$K$1933*EFEITO!$Y$1933</f>
        <v>0</v>
      </c>
      <c r="N1933" s="74">
        <f ca="1">$K$1933-EFEITO!$M$1933*EFEITO!$Z$1933</f>
        <v>271.01574315089192</v>
      </c>
      <c r="O1933" s="74">
        <f>$L$1933-EFEITO!$O$1933*EFEITO!$AA$1933</f>
        <v>242.13809358118056</v>
      </c>
      <c r="P1933" s="57"/>
      <c r="Q1933" s="57"/>
      <c r="R1933" s="57"/>
      <c r="S1933" s="57"/>
      <c r="T1933" s="57"/>
      <c r="U1933" s="57"/>
      <c r="V1933" s="57"/>
      <c r="W1933" s="57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</row>
    <row r="1934" spans="1:36" ht="11.25" customHeight="1" x14ac:dyDescent="0.2">
      <c r="A1934" s="53" t="s">
        <v>28</v>
      </c>
      <c r="B1934" s="53" t="s">
        <v>46</v>
      </c>
      <c r="C1934" s="53" t="s">
        <v>23</v>
      </c>
      <c r="D1934" s="53" t="s">
        <v>47</v>
      </c>
      <c r="E1934" s="53" t="s">
        <v>55</v>
      </c>
      <c r="F1934" s="53" t="s">
        <v>56</v>
      </c>
      <c r="G1934" s="53" t="s">
        <v>25</v>
      </c>
      <c r="H1934" s="53" t="s">
        <v>25</v>
      </c>
      <c r="I1934" s="73">
        <v>43922</v>
      </c>
      <c r="J1934" s="74">
        <f>EFEITO!$J$1934*EFEITO!$Y$1749</f>
        <v>0</v>
      </c>
      <c r="K1934" s="74">
        <f ca="1">EFEITO!$L$1934*EFEITO!$Z$1749</f>
        <v>27.187486773292786</v>
      </c>
      <c r="L1934" s="74">
        <f>EFEITO!$N$1934*EFEITO!$AA$1749</f>
        <v>24.290567551581066</v>
      </c>
      <c r="M1934" s="74">
        <f>$J$1934-EFEITO!$K$1934*EFEITO!$Y$1934</f>
        <v>0</v>
      </c>
      <c r="N1934" s="74">
        <f ca="1">$K$1934-EFEITO!$M$1934*EFEITO!$Z$1934</f>
        <v>4.8937476191927018</v>
      </c>
      <c r="O1934" s="74">
        <f>$L$1934-EFEITO!$O$1934*EFEITO!$AA$1934</f>
        <v>4.3723021592845903</v>
      </c>
      <c r="P1934" s="57"/>
      <c r="Q1934" s="57"/>
      <c r="R1934" s="57"/>
      <c r="S1934" s="57"/>
      <c r="T1934" s="57"/>
      <c r="U1934" s="57"/>
      <c r="V1934" s="57"/>
      <c r="W1934" s="57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</row>
    <row r="1935" spans="1:36" ht="11.25" customHeight="1" x14ac:dyDescent="0.2">
      <c r="A1935" s="53" t="s">
        <v>21</v>
      </c>
      <c r="B1935" s="53" t="s">
        <v>46</v>
      </c>
      <c r="C1935" s="53" t="s">
        <v>23</v>
      </c>
      <c r="D1935" s="53" t="s">
        <v>47</v>
      </c>
      <c r="E1935" s="53" t="s">
        <v>55</v>
      </c>
      <c r="F1935" s="53" t="s">
        <v>56</v>
      </c>
      <c r="G1935" s="53" t="s">
        <v>25</v>
      </c>
      <c r="H1935" s="53" t="s">
        <v>25</v>
      </c>
      <c r="I1935" s="73">
        <v>43952</v>
      </c>
      <c r="J1935" s="74">
        <f>EFEITO!$J$1935*EFEITO!$Y$1749</f>
        <v>0</v>
      </c>
      <c r="K1935" s="74">
        <f ca="1">EFEITO!$L$1935*EFEITO!$Z$1749</f>
        <v>1652.7273209484683</v>
      </c>
      <c r="L1935" s="74">
        <f>EFEITO!$N$1935*EFEITO!$AA$1749</f>
        <v>1476.6236014606129</v>
      </c>
      <c r="M1935" s="74">
        <f>$J$1935-EFEITO!$K$1935*EFEITO!$Y$1935</f>
        <v>0</v>
      </c>
      <c r="N1935" s="74">
        <f ca="1">$K$1935-EFEITO!$M$1935*EFEITO!$Z$1935</f>
        <v>297.49091777072431</v>
      </c>
      <c r="O1935" s="74">
        <f>$L$1935-EFEITO!$O$1935*EFEITO!$AA$1935</f>
        <v>265.79224826291011</v>
      </c>
      <c r="P1935" s="57"/>
      <c r="Q1935" s="57"/>
      <c r="R1935" s="57"/>
      <c r="S1935" s="57"/>
      <c r="T1935" s="57"/>
      <c r="U1935" s="57"/>
      <c r="V1935" s="57"/>
      <c r="W1935" s="57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</row>
    <row r="1936" spans="1:36" ht="11.25" customHeight="1" x14ac:dyDescent="0.2">
      <c r="A1936" s="53" t="s">
        <v>28</v>
      </c>
      <c r="B1936" s="53" t="s">
        <v>46</v>
      </c>
      <c r="C1936" s="53" t="s">
        <v>23</v>
      </c>
      <c r="D1936" s="53" t="s">
        <v>47</v>
      </c>
      <c r="E1936" s="53" t="s">
        <v>55</v>
      </c>
      <c r="F1936" s="53" t="s">
        <v>56</v>
      </c>
      <c r="G1936" s="53" t="s">
        <v>25</v>
      </c>
      <c r="H1936" s="53" t="s">
        <v>25</v>
      </c>
      <c r="I1936" s="73">
        <v>43952</v>
      </c>
      <c r="J1936" s="74">
        <f>EFEITO!$J$1936*EFEITO!$Y$1749</f>
        <v>0</v>
      </c>
      <c r="K1936" s="74">
        <f ca="1">EFEITO!$L$1936*EFEITO!$Z$1749</f>
        <v>27.187486773292786</v>
      </c>
      <c r="L1936" s="74">
        <f>EFEITO!$N$1936*EFEITO!$AA$1749</f>
        <v>24.290567551581066</v>
      </c>
      <c r="M1936" s="74">
        <f>$J$1936-EFEITO!$K$1936*EFEITO!$Y$1936</f>
        <v>0</v>
      </c>
      <c r="N1936" s="74">
        <f ca="1">$K$1936-EFEITO!$M$1936*EFEITO!$Z$1936</f>
        <v>4.8937476191927018</v>
      </c>
      <c r="O1936" s="74">
        <f>$L$1936-EFEITO!$O$1936*EFEITO!$AA$1936</f>
        <v>4.3723021592845903</v>
      </c>
      <c r="P1936" s="57"/>
      <c r="Q1936" s="57"/>
      <c r="R1936" s="57"/>
      <c r="S1936" s="57"/>
      <c r="T1936" s="57"/>
      <c r="U1936" s="57"/>
      <c r="V1936" s="57"/>
      <c r="W1936" s="57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</row>
    <row r="1937" spans="1:36" ht="11.25" customHeight="1" x14ac:dyDescent="0.2">
      <c r="A1937" s="53" t="s">
        <v>21</v>
      </c>
      <c r="B1937" s="53" t="s">
        <v>46</v>
      </c>
      <c r="C1937" s="53" t="s">
        <v>23</v>
      </c>
      <c r="D1937" s="53" t="s">
        <v>47</v>
      </c>
      <c r="E1937" s="53" t="s">
        <v>55</v>
      </c>
      <c r="F1937" s="53" t="s">
        <v>56</v>
      </c>
      <c r="G1937" s="53" t="s">
        <v>25</v>
      </c>
      <c r="H1937" s="53" t="s">
        <v>25</v>
      </c>
      <c r="I1937" s="73">
        <v>43983</v>
      </c>
      <c r="J1937" s="74">
        <f>EFEITO!$J$1937*EFEITO!$Y$1749</f>
        <v>0</v>
      </c>
      <c r="K1937" s="74">
        <f ca="1">EFEITO!$L$1937*EFEITO!$Z$1749</f>
        <v>2471.6144225600469</v>
      </c>
      <c r="L1937" s="74">
        <f>EFEITO!$N$1937*EFEITO!$AA$1749</f>
        <v>2208.2554961142346</v>
      </c>
      <c r="M1937" s="74">
        <f>$J$1937-EFEITO!$K$1937*EFEITO!$Y$1937</f>
        <v>0</v>
      </c>
      <c r="N1937" s="74">
        <f ca="1">$K$1937-EFEITO!$M$1937*EFEITO!$Z$1937</f>
        <v>444.89059606080855</v>
      </c>
      <c r="O1937" s="74">
        <f>$L$1937-EFEITO!$O$1937*EFEITO!$AA$1937</f>
        <v>397.4859893005621</v>
      </c>
      <c r="P1937" s="57"/>
      <c r="Q1937" s="57"/>
      <c r="R1937" s="57"/>
      <c r="S1937" s="57"/>
      <c r="T1937" s="57"/>
      <c r="U1937" s="57"/>
      <c r="V1937" s="57"/>
      <c r="W1937" s="57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</row>
    <row r="1938" spans="1:36" ht="11.25" customHeight="1" x14ac:dyDescent="0.2">
      <c r="A1938" s="53" t="s">
        <v>28</v>
      </c>
      <c r="B1938" s="53" t="s">
        <v>46</v>
      </c>
      <c r="C1938" s="53" t="s">
        <v>23</v>
      </c>
      <c r="D1938" s="53" t="s">
        <v>47</v>
      </c>
      <c r="E1938" s="53" t="s">
        <v>55</v>
      </c>
      <c r="F1938" s="53" t="s">
        <v>56</v>
      </c>
      <c r="G1938" s="53" t="s">
        <v>25</v>
      </c>
      <c r="H1938" s="53" t="s">
        <v>25</v>
      </c>
      <c r="I1938" s="73">
        <v>43983</v>
      </c>
      <c r="J1938" s="74">
        <f>EFEITO!$J$1938*EFEITO!$Y$1749</f>
        <v>0</v>
      </c>
      <c r="K1938" s="74">
        <f ca="1">EFEITO!$L$1938*EFEITO!$Z$1749</f>
        <v>292.2654828128974</v>
      </c>
      <c r="L1938" s="74">
        <f>EFEITO!$N$1938*EFEITO!$AA$1749</f>
        <v>261.12360117949646</v>
      </c>
      <c r="M1938" s="74">
        <f>$J$1938-EFEITO!$K$1938*EFEITO!$Y$1938</f>
        <v>0</v>
      </c>
      <c r="N1938" s="74">
        <f ca="1">$K$1938-EFEITO!$M$1938*EFEITO!$Z$1938</f>
        <v>52.607786906321508</v>
      </c>
      <c r="O1938" s="74">
        <f>$L$1938-EFEITO!$O$1938*EFEITO!$AA$1938</f>
        <v>47.002248212309354</v>
      </c>
      <c r="P1938" s="57"/>
      <c r="Q1938" s="57"/>
      <c r="R1938" s="57"/>
      <c r="S1938" s="57"/>
      <c r="T1938" s="57"/>
      <c r="U1938" s="57"/>
      <c r="V1938" s="57"/>
      <c r="W1938" s="57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</row>
    <row r="1939" spans="1:36" ht="11.25" customHeight="1" x14ac:dyDescent="0.2">
      <c r="A1939" s="53" t="s">
        <v>21</v>
      </c>
      <c r="B1939" s="53" t="s">
        <v>46</v>
      </c>
      <c r="C1939" s="53" t="s">
        <v>23</v>
      </c>
      <c r="D1939" s="53" t="s">
        <v>47</v>
      </c>
      <c r="E1939" s="53" t="s">
        <v>55</v>
      </c>
      <c r="F1939" s="53" t="s">
        <v>56</v>
      </c>
      <c r="G1939" s="53" t="s">
        <v>25</v>
      </c>
      <c r="H1939" s="53" t="s">
        <v>25</v>
      </c>
      <c r="I1939" s="73">
        <v>44013</v>
      </c>
      <c r="J1939" s="74">
        <f>EFEITO!$J$1939*EFEITO!$Y$1749</f>
        <v>0</v>
      </c>
      <c r="K1939" s="74">
        <f ca="1">EFEITO!$L$1939*EFEITO!$Z$1749</f>
        <v>2813.6330061680701</v>
      </c>
      <c r="L1939" s="74">
        <f>EFEITO!$N$1939*EFEITO!$AA$1749</f>
        <v>2513.8308359131247</v>
      </c>
      <c r="M1939" s="74">
        <f>$J$1939-EFEITO!$K$1939*EFEITO!$Y$1939</f>
        <v>0</v>
      </c>
      <c r="N1939" s="74">
        <f ca="1">$K$1939-EFEITO!$M$1939*EFEITO!$Z$1939</f>
        <v>506.45394111025234</v>
      </c>
      <c r="O1939" s="74">
        <f>$L$1939-EFEITO!$O$1939*EFEITO!$AA$1939</f>
        <v>452.48955046436231</v>
      </c>
      <c r="P1939" s="57"/>
      <c r="Q1939" s="57"/>
      <c r="R1939" s="57"/>
      <c r="S1939" s="57"/>
      <c r="T1939" s="57"/>
      <c r="U1939" s="57"/>
      <c r="V1939" s="57"/>
      <c r="W1939" s="57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</row>
    <row r="1940" spans="1:36" ht="11.25" customHeight="1" x14ac:dyDescent="0.2">
      <c r="A1940" s="53" t="s">
        <v>28</v>
      </c>
      <c r="B1940" s="53" t="s">
        <v>46</v>
      </c>
      <c r="C1940" s="53" t="s">
        <v>23</v>
      </c>
      <c r="D1940" s="53" t="s">
        <v>47</v>
      </c>
      <c r="E1940" s="53" t="s">
        <v>55</v>
      </c>
      <c r="F1940" s="53" t="s">
        <v>56</v>
      </c>
      <c r="G1940" s="53" t="s">
        <v>25</v>
      </c>
      <c r="H1940" s="53" t="s">
        <v>25</v>
      </c>
      <c r="I1940" s="73">
        <v>44013</v>
      </c>
      <c r="J1940" s="74">
        <f>EFEITO!$J$1940*EFEITO!$Y$1749</f>
        <v>0</v>
      </c>
      <c r="K1940" s="74">
        <f ca="1">EFEITO!$L$1940*EFEITO!$Z$1749</f>
        <v>27.187486773292786</v>
      </c>
      <c r="L1940" s="74">
        <f>EFEITO!$N$1940*EFEITO!$AA$1749</f>
        <v>24.290567551581066</v>
      </c>
      <c r="M1940" s="74">
        <f>$J$1940-EFEITO!$K$1940*EFEITO!$Y$1940</f>
        <v>0</v>
      </c>
      <c r="N1940" s="74">
        <f ca="1">$K$1940-EFEITO!$M$1940*EFEITO!$Z$1940</f>
        <v>4.8937476191927018</v>
      </c>
      <c r="O1940" s="74">
        <f>$L$1940-EFEITO!$O$1940*EFEITO!$AA$1940</f>
        <v>4.3723021592845903</v>
      </c>
      <c r="P1940" s="57"/>
      <c r="Q1940" s="57"/>
      <c r="R1940" s="57"/>
      <c r="S1940" s="57"/>
      <c r="T1940" s="57"/>
      <c r="U1940" s="57"/>
      <c r="V1940" s="57"/>
      <c r="W1940" s="57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</row>
    <row r="1941" spans="1:36" ht="11.25" customHeight="1" x14ac:dyDescent="0.2">
      <c r="A1941" s="53" t="s">
        <v>21</v>
      </c>
      <c r="B1941" s="53" t="s">
        <v>46</v>
      </c>
      <c r="C1941" s="53" t="s">
        <v>23</v>
      </c>
      <c r="D1941" s="53" t="s">
        <v>47</v>
      </c>
      <c r="E1941" s="53" t="s">
        <v>55</v>
      </c>
      <c r="F1941" s="53" t="s">
        <v>56</v>
      </c>
      <c r="G1941" s="53" t="s">
        <v>25</v>
      </c>
      <c r="H1941" s="53" t="s">
        <v>25</v>
      </c>
      <c r="I1941" s="73">
        <v>44044</v>
      </c>
      <c r="J1941" s="74">
        <f>EFEITO!$J$1941*EFEITO!$Y$1749</f>
        <v>0</v>
      </c>
      <c r="K1941" s="74">
        <f ca="1">EFEITO!$L$1941*EFEITO!$Z$1749</f>
        <v>5219.9974604722147</v>
      </c>
      <c r="L1941" s="74">
        <f>EFEITO!$N$1941*EFEITO!$AA$1749</f>
        <v>4663.7889699035641</v>
      </c>
      <c r="M1941" s="74">
        <f>$J$1941-EFEITO!$K$1941*EFEITO!$Y$1941</f>
        <v>0</v>
      </c>
      <c r="N1941" s="74">
        <f ca="1">$K$1941-EFEITO!$M$1941*EFEITO!$Z$1941</f>
        <v>939.59954288499921</v>
      </c>
      <c r="O1941" s="74">
        <f>$L$1941-EFEITO!$O$1941*EFEITO!$AA$1941</f>
        <v>839.48201458264066</v>
      </c>
      <c r="P1941" s="57"/>
      <c r="Q1941" s="57"/>
      <c r="R1941" s="57"/>
      <c r="S1941" s="57"/>
      <c r="T1941" s="57"/>
      <c r="U1941" s="57"/>
      <c r="V1941" s="57"/>
      <c r="W1941" s="57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</row>
    <row r="1942" spans="1:36" ht="11.25" customHeight="1" x14ac:dyDescent="0.2">
      <c r="A1942" s="53" t="s">
        <v>28</v>
      </c>
      <c r="B1942" s="53" t="s">
        <v>46</v>
      </c>
      <c r="C1942" s="53" t="s">
        <v>23</v>
      </c>
      <c r="D1942" s="53" t="s">
        <v>47</v>
      </c>
      <c r="E1942" s="53" t="s">
        <v>55</v>
      </c>
      <c r="F1942" s="53" t="s">
        <v>56</v>
      </c>
      <c r="G1942" s="53" t="s">
        <v>25</v>
      </c>
      <c r="H1942" s="53" t="s">
        <v>25</v>
      </c>
      <c r="I1942" s="73">
        <v>44044</v>
      </c>
      <c r="J1942" s="74">
        <f>EFEITO!$J$1942*EFEITO!$Y$1749</f>
        <v>0</v>
      </c>
      <c r="K1942" s="74">
        <f ca="1">EFEITO!$L$1942*EFEITO!$Z$1749</f>
        <v>27.187486773292786</v>
      </c>
      <c r="L1942" s="74">
        <f>EFEITO!$N$1942*EFEITO!$AA$1749</f>
        <v>24.290567551581066</v>
      </c>
      <c r="M1942" s="74">
        <f>$J$1942-EFEITO!$K$1942*EFEITO!$Y$1942</f>
        <v>0</v>
      </c>
      <c r="N1942" s="74">
        <f ca="1">$K$1942-EFEITO!$M$1942*EFEITO!$Z$1942</f>
        <v>4.8937476191927018</v>
      </c>
      <c r="O1942" s="74">
        <f>$L$1942-EFEITO!$O$1942*EFEITO!$AA$1942</f>
        <v>4.3723021592845903</v>
      </c>
      <c r="P1942" s="57"/>
      <c r="Q1942" s="57"/>
      <c r="R1942" s="57"/>
      <c r="S1942" s="57"/>
      <c r="T1942" s="57"/>
      <c r="U1942" s="57"/>
      <c r="V1942" s="57"/>
      <c r="W1942" s="57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</row>
    <row r="1943" spans="1:36" ht="11.25" customHeight="1" x14ac:dyDescent="0.2">
      <c r="A1943" s="53" t="s">
        <v>59</v>
      </c>
      <c r="B1943" s="53" t="s">
        <v>46</v>
      </c>
      <c r="C1943" s="53" t="s">
        <v>23</v>
      </c>
      <c r="D1943" s="53" t="s">
        <v>47</v>
      </c>
      <c r="E1943" s="53" t="s">
        <v>55</v>
      </c>
      <c r="F1943" s="53" t="s">
        <v>56</v>
      </c>
      <c r="G1943" s="53" t="s">
        <v>25</v>
      </c>
      <c r="H1943" s="53" t="s">
        <v>25</v>
      </c>
      <c r="I1943" s="73">
        <v>44075</v>
      </c>
      <c r="J1943" s="74">
        <f>EFEITO!$J$1943*EFEITO!$Y$1749</f>
        <v>0</v>
      </c>
      <c r="K1943" s="74">
        <f ca="1">EFEITO!$L$1943*EFEITO!$Z$1749</f>
        <v>5219.9974604722147</v>
      </c>
      <c r="L1943" s="74">
        <f>EFEITO!$N$1943*EFEITO!$AA$1749</f>
        <v>4663.7889699035641</v>
      </c>
      <c r="M1943" s="74">
        <f>$J$1943-EFEITO!$K$1943*EFEITO!$Y$1943</f>
        <v>0</v>
      </c>
      <c r="N1943" s="74">
        <f ca="1">$K$1943-EFEITO!$M$1943*EFEITO!$Z$1943</f>
        <v>939.59954288499921</v>
      </c>
      <c r="O1943" s="74">
        <f>$L$1943-EFEITO!$O$1943*EFEITO!$AA$1943</f>
        <v>839.48201458264066</v>
      </c>
      <c r="P1943" s="57"/>
      <c r="Q1943" s="57"/>
      <c r="R1943" s="57"/>
      <c r="S1943" s="57"/>
      <c r="T1943" s="57"/>
      <c r="U1943" s="57"/>
      <c r="V1943" s="57"/>
      <c r="W1943" s="57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</row>
    <row r="1944" spans="1:36" ht="11.25" customHeight="1" x14ac:dyDescent="0.2">
      <c r="A1944" s="53" t="s">
        <v>59</v>
      </c>
      <c r="B1944" s="53" t="s">
        <v>46</v>
      </c>
      <c r="C1944" s="53" t="s">
        <v>23</v>
      </c>
      <c r="D1944" s="53" t="s">
        <v>47</v>
      </c>
      <c r="E1944" s="53" t="s">
        <v>55</v>
      </c>
      <c r="F1944" s="53" t="s">
        <v>56</v>
      </c>
      <c r="G1944" s="53" t="s">
        <v>25</v>
      </c>
      <c r="H1944" s="53" t="s">
        <v>25</v>
      </c>
      <c r="I1944" s="73">
        <v>44075</v>
      </c>
      <c r="J1944" s="74">
        <f>EFEITO!$J$1944*EFEITO!$Y$1749</f>
        <v>0</v>
      </c>
      <c r="K1944" s="74">
        <f ca="1">EFEITO!$L$1944*EFEITO!$Z$1749</f>
        <v>27.187486773292786</v>
      </c>
      <c r="L1944" s="74">
        <f>EFEITO!$N$1944*EFEITO!$AA$1749</f>
        <v>24.290567551581066</v>
      </c>
      <c r="M1944" s="74">
        <f>$J$1944-EFEITO!$K$1944*EFEITO!$Y$1944</f>
        <v>0</v>
      </c>
      <c r="N1944" s="74">
        <f ca="1">$K$1944-EFEITO!$M$1944*EFEITO!$Z$1944</f>
        <v>4.8937476191927018</v>
      </c>
      <c r="O1944" s="74">
        <f>$L$1944-EFEITO!$O$1944*EFEITO!$AA$1944</f>
        <v>4.3723021592845903</v>
      </c>
      <c r="P1944" s="57"/>
      <c r="Q1944" s="57"/>
      <c r="R1944" s="57"/>
      <c r="S1944" s="57"/>
      <c r="T1944" s="57"/>
      <c r="U1944" s="57"/>
      <c r="V1944" s="57"/>
      <c r="W1944" s="57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</row>
    <row r="1945" spans="1:36" ht="11.25" customHeight="1" x14ac:dyDescent="0.2">
      <c r="A1945" s="53" t="s">
        <v>21</v>
      </c>
      <c r="B1945" s="53" t="s">
        <v>46</v>
      </c>
      <c r="C1945" s="53" t="s">
        <v>23</v>
      </c>
      <c r="D1945" s="53" t="s">
        <v>47</v>
      </c>
      <c r="E1945" s="53" t="s">
        <v>55</v>
      </c>
      <c r="F1945" s="53" t="s">
        <v>57</v>
      </c>
      <c r="G1945" s="53" t="s">
        <v>25</v>
      </c>
      <c r="H1945" s="53" t="s">
        <v>25</v>
      </c>
      <c r="I1945" s="73">
        <v>43739</v>
      </c>
      <c r="J1945" s="74">
        <f>EFEITO!$J$1945*EFEITO!$Y$1749</f>
        <v>0</v>
      </c>
      <c r="K1945" s="74">
        <f ca="1">EFEITO!$L$1945*EFEITO!$Z$1749</f>
        <v>3547.6951490469751</v>
      </c>
      <c r="L1945" s="74">
        <f>EFEITO!$N$1945*EFEITO!$AA$1749</f>
        <v>3169.6761598058133</v>
      </c>
      <c r="M1945" s="74">
        <f>$J$1945-EFEITO!$K$1945*EFEITO!$Y$1945</f>
        <v>0</v>
      </c>
      <c r="N1945" s="74">
        <f ca="1">$K$1945-EFEITO!$M$1945*EFEITO!$Z$1945</f>
        <v>2587.6888417148634</v>
      </c>
      <c r="O1945" s="74">
        <f>$L$1945-EFEITO!$O$1945*EFEITO!$AA$1945</f>
        <v>2311.9617909623603</v>
      </c>
      <c r="P1945" s="57"/>
      <c r="Q1945" s="57"/>
      <c r="R1945" s="57"/>
      <c r="S1945" s="57"/>
      <c r="T1945" s="57"/>
      <c r="U1945" s="57"/>
      <c r="V1945" s="57"/>
      <c r="W1945" s="57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</row>
    <row r="1946" spans="1:36" ht="11.25" customHeight="1" x14ac:dyDescent="0.2">
      <c r="A1946" s="53" t="s">
        <v>28</v>
      </c>
      <c r="B1946" s="53" t="s">
        <v>46</v>
      </c>
      <c r="C1946" s="53" t="s">
        <v>23</v>
      </c>
      <c r="D1946" s="53" t="s">
        <v>47</v>
      </c>
      <c r="E1946" s="53" t="s">
        <v>55</v>
      </c>
      <c r="F1946" s="53" t="s">
        <v>57</v>
      </c>
      <c r="G1946" s="53" t="s">
        <v>25</v>
      </c>
      <c r="H1946" s="53" t="s">
        <v>25</v>
      </c>
      <c r="I1946" s="73">
        <v>43739</v>
      </c>
      <c r="J1946" s="74">
        <f>EFEITO!$J$1946*EFEITO!$Y$1749</f>
        <v>0</v>
      </c>
      <c r="K1946" s="74">
        <f ca="1">EFEITO!$L$1946*EFEITO!$Z$1749</f>
        <v>646.79031033663534</v>
      </c>
      <c r="L1946" s="74">
        <f>EFEITO!$N$1946*EFEITO!$AA$1749</f>
        <v>577.87260205211351</v>
      </c>
      <c r="M1946" s="74">
        <f>$J$1946-EFEITO!$K$1946*EFEITO!$Y$1946</f>
        <v>0</v>
      </c>
      <c r="N1946" s="74">
        <f ca="1">$K$1946-EFEITO!$M$1946*EFEITO!$Z$1946</f>
        <v>471.76885235954182</v>
      </c>
      <c r="O1946" s="74">
        <f>$L$1946-EFEITO!$O$1946*EFEITO!$AA$1946</f>
        <v>421.50027593681159</v>
      </c>
      <c r="P1946" s="57"/>
      <c r="Q1946" s="57"/>
      <c r="R1946" s="57"/>
      <c r="S1946" s="57"/>
      <c r="T1946" s="57"/>
      <c r="U1946" s="57"/>
      <c r="V1946" s="57"/>
      <c r="W1946" s="57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</row>
    <row r="1947" spans="1:36" ht="11.25" customHeight="1" x14ac:dyDescent="0.2">
      <c r="A1947" s="53" t="s">
        <v>21</v>
      </c>
      <c r="B1947" s="53" t="s">
        <v>46</v>
      </c>
      <c r="C1947" s="53" t="s">
        <v>23</v>
      </c>
      <c r="D1947" s="53" t="s">
        <v>47</v>
      </c>
      <c r="E1947" s="53" t="s">
        <v>55</v>
      </c>
      <c r="F1947" s="53" t="s">
        <v>57</v>
      </c>
      <c r="G1947" s="53" t="s">
        <v>25</v>
      </c>
      <c r="H1947" s="53" t="s">
        <v>25</v>
      </c>
      <c r="I1947" s="73">
        <v>43770</v>
      </c>
      <c r="J1947" s="74">
        <f>EFEITO!$J$1947*EFEITO!$Y$1749</f>
        <v>0</v>
      </c>
      <c r="K1947" s="74">
        <f ca="1">EFEITO!$L$1947*EFEITO!$Z$1749</f>
        <v>4805.1164123117669</v>
      </c>
      <c r="L1947" s="74">
        <f>EFEITO!$N$1947*EFEITO!$AA$1749</f>
        <v>4293.1149090664376</v>
      </c>
      <c r="M1947" s="74">
        <f>$J$1947-EFEITO!$K$1947*EFEITO!$Y$1947</f>
        <v>0</v>
      </c>
      <c r="N1947" s="74">
        <f ca="1">$K$1947-EFEITO!$M$1947*EFEITO!$Z$1947</f>
        <v>3504.8519111402029</v>
      </c>
      <c r="O1947" s="74">
        <f>$L$1947-EFEITO!$O$1947*EFEITO!$AA$1947</f>
        <v>3131.3980146730592</v>
      </c>
      <c r="P1947" s="57"/>
      <c r="Q1947" s="57"/>
      <c r="R1947" s="57"/>
      <c r="S1947" s="57"/>
      <c r="T1947" s="57"/>
      <c r="U1947" s="57"/>
      <c r="V1947" s="57"/>
      <c r="W1947" s="57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</row>
    <row r="1948" spans="1:36" ht="11.25" customHeight="1" x14ac:dyDescent="0.2">
      <c r="A1948" s="53" t="s">
        <v>28</v>
      </c>
      <c r="B1948" s="53" t="s">
        <v>46</v>
      </c>
      <c r="C1948" s="53" t="s">
        <v>23</v>
      </c>
      <c r="D1948" s="53" t="s">
        <v>47</v>
      </c>
      <c r="E1948" s="53" t="s">
        <v>55</v>
      </c>
      <c r="F1948" s="53" t="s">
        <v>57</v>
      </c>
      <c r="G1948" s="53" t="s">
        <v>25</v>
      </c>
      <c r="H1948" s="53" t="s">
        <v>25</v>
      </c>
      <c r="I1948" s="73">
        <v>43770</v>
      </c>
      <c r="J1948" s="74">
        <f>EFEITO!$J$1948*EFEITO!$Y$1749</f>
        <v>0</v>
      </c>
      <c r="K1948" s="74">
        <f ca="1">EFEITO!$L$1948*EFEITO!$Z$1749</f>
        <v>491.54976086113356</v>
      </c>
      <c r="L1948" s="74">
        <f>EFEITO!$N$1948*EFEITO!$AA$1749</f>
        <v>439.1734613325857</v>
      </c>
      <c r="M1948" s="74">
        <f>$J$1948-EFEITO!$K$1948*EFEITO!$Y$1948</f>
        <v>0</v>
      </c>
      <c r="N1948" s="74">
        <f ca="1">$K$1948-EFEITO!$M$1948*EFEITO!$Z$1948</f>
        <v>358.53639557211085</v>
      </c>
      <c r="O1948" s="74">
        <f>$L$1948-EFEITO!$O$1948*EFEITO!$AA$1948</f>
        <v>320.33312269598804</v>
      </c>
      <c r="P1948" s="57"/>
      <c r="Q1948" s="57"/>
      <c r="R1948" s="57"/>
      <c r="S1948" s="57"/>
      <c r="T1948" s="57"/>
      <c r="U1948" s="57"/>
      <c r="V1948" s="57"/>
      <c r="W1948" s="57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</row>
    <row r="1949" spans="1:36" ht="11.25" customHeight="1" x14ac:dyDescent="0.2">
      <c r="A1949" s="53" t="s">
        <v>21</v>
      </c>
      <c r="B1949" s="53" t="s">
        <v>46</v>
      </c>
      <c r="C1949" s="53" t="s">
        <v>23</v>
      </c>
      <c r="D1949" s="53" t="s">
        <v>47</v>
      </c>
      <c r="E1949" s="53" t="s">
        <v>55</v>
      </c>
      <c r="F1949" s="53" t="s">
        <v>57</v>
      </c>
      <c r="G1949" s="53" t="s">
        <v>25</v>
      </c>
      <c r="H1949" s="53" t="s">
        <v>25</v>
      </c>
      <c r="I1949" s="73">
        <v>43800</v>
      </c>
      <c r="J1949" s="74">
        <f>EFEITO!$J$1949*EFEITO!$Y$1749</f>
        <v>0</v>
      </c>
      <c r="K1949" s="74">
        <f ca="1">EFEITO!$L$1949*EFEITO!$Z$1749</f>
        <v>1041.0088685493808</v>
      </c>
      <c r="L1949" s="74">
        <f>EFEITO!$N$1949*EFEITO!$AA$1749</f>
        <v>930.08583155003907</v>
      </c>
      <c r="M1949" s="74">
        <f>$J$1949-EFEITO!$K$1949*EFEITO!$Y$1949</f>
        <v>0</v>
      </c>
      <c r="N1949" s="74">
        <f ca="1">$K$1949-EFEITO!$M$1949*EFEITO!$Z$1949</f>
        <v>759.31186871991838</v>
      </c>
      <c r="O1949" s="74">
        <f>$L$1949-EFEITO!$O$1949*EFEITO!$AA$1949</f>
        <v>678.40460553259845</v>
      </c>
      <c r="P1949" s="57"/>
      <c r="Q1949" s="57"/>
      <c r="R1949" s="57"/>
      <c r="S1949" s="57"/>
      <c r="T1949" s="57"/>
      <c r="U1949" s="57"/>
      <c r="V1949" s="57"/>
      <c r="W1949" s="57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</row>
    <row r="1950" spans="1:36" ht="11.25" customHeight="1" x14ac:dyDescent="0.2">
      <c r="A1950" s="53" t="s">
        <v>21</v>
      </c>
      <c r="B1950" s="53" t="s">
        <v>46</v>
      </c>
      <c r="C1950" s="53" t="s">
        <v>23</v>
      </c>
      <c r="D1950" s="53" t="s">
        <v>47</v>
      </c>
      <c r="E1950" s="53" t="s">
        <v>55</v>
      </c>
      <c r="F1950" s="53" t="s">
        <v>57</v>
      </c>
      <c r="G1950" s="53" t="s">
        <v>25</v>
      </c>
      <c r="H1950" s="53" t="s">
        <v>25</v>
      </c>
      <c r="I1950" s="73">
        <v>43831</v>
      </c>
      <c r="J1950" s="74">
        <f>EFEITO!$J$1950*EFEITO!$Y$1749</f>
        <v>0</v>
      </c>
      <c r="K1950" s="74">
        <f ca="1">EFEITO!$L$1950*EFEITO!$Z$1749</f>
        <v>1123.9307032079237</v>
      </c>
      <c r="L1950" s="74">
        <f>EFEITO!$N$1950*EFEITO!$AA$1749</f>
        <v>1004.1720625823614</v>
      </c>
      <c r="M1950" s="74">
        <f>$J$1950-EFEITO!$K$1950*EFEITO!$Y$1950</f>
        <v>0</v>
      </c>
      <c r="N1950" s="74">
        <f ca="1">$K$1950-EFEITO!$M$1950*EFEITO!$Z$1950</f>
        <v>819.79505491985947</v>
      </c>
      <c r="O1950" s="74">
        <f>$L$1950-EFEITO!$O$1950*EFEITO!$AA$1950</f>
        <v>732.44310244757435</v>
      </c>
      <c r="P1950" s="57"/>
      <c r="Q1950" s="57"/>
      <c r="R1950" s="57"/>
      <c r="S1950" s="57"/>
      <c r="T1950" s="57"/>
      <c r="U1950" s="57"/>
      <c r="V1950" s="57"/>
      <c r="W1950" s="57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</row>
    <row r="1951" spans="1:36" ht="11.25" customHeight="1" x14ac:dyDescent="0.2">
      <c r="A1951" s="53" t="s">
        <v>21</v>
      </c>
      <c r="B1951" s="53" t="s">
        <v>46</v>
      </c>
      <c r="C1951" s="53" t="s">
        <v>23</v>
      </c>
      <c r="D1951" s="53" t="s">
        <v>47</v>
      </c>
      <c r="E1951" s="53" t="s">
        <v>55</v>
      </c>
      <c r="F1951" s="53" t="s">
        <v>57</v>
      </c>
      <c r="G1951" s="53" t="s">
        <v>25</v>
      </c>
      <c r="H1951" s="53" t="s">
        <v>25</v>
      </c>
      <c r="I1951" s="73">
        <v>43862</v>
      </c>
      <c r="J1951" s="74">
        <f>EFEITO!$J$1951*EFEITO!$Y$1749</f>
        <v>0</v>
      </c>
      <c r="K1951" s="74">
        <f ca="1">EFEITO!$L$1951*EFEITO!$Z$1749</f>
        <v>977.11827463214263</v>
      </c>
      <c r="L1951" s="74">
        <f>EFEITO!$N$1951*EFEITO!$AA$1749</f>
        <v>873.00299780382352</v>
      </c>
      <c r="M1951" s="74">
        <f>$J$1951-EFEITO!$K$1951*EFEITO!$Y$1951</f>
        <v>0</v>
      </c>
      <c r="N1951" s="74">
        <f ca="1">$K$1951-EFEITO!$M$1951*EFEITO!$Z$1951</f>
        <v>712.71006951668483</v>
      </c>
      <c r="O1951" s="74">
        <f>$L$1951-EFEITO!$O$1951*EFEITO!$AA$1951</f>
        <v>636.7683865981088</v>
      </c>
      <c r="P1951" s="57"/>
      <c r="Q1951" s="57"/>
      <c r="R1951" s="57"/>
      <c r="S1951" s="57"/>
      <c r="T1951" s="57"/>
      <c r="U1951" s="57"/>
      <c r="V1951" s="57"/>
      <c r="W1951" s="57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</row>
    <row r="1952" spans="1:36" ht="11.25" customHeight="1" x14ac:dyDescent="0.2">
      <c r="A1952" s="53" t="s">
        <v>21</v>
      </c>
      <c r="B1952" s="53" t="s">
        <v>46</v>
      </c>
      <c r="C1952" s="53" t="s">
        <v>23</v>
      </c>
      <c r="D1952" s="53" t="s">
        <v>47</v>
      </c>
      <c r="E1952" s="53" t="s">
        <v>55</v>
      </c>
      <c r="F1952" s="53" t="s">
        <v>57</v>
      </c>
      <c r="G1952" s="53" t="s">
        <v>25</v>
      </c>
      <c r="H1952" s="53" t="s">
        <v>25</v>
      </c>
      <c r="I1952" s="73">
        <v>43891</v>
      </c>
      <c r="J1952" s="74">
        <f>EFEITO!$J$1952*EFEITO!$Y$1749</f>
        <v>0</v>
      </c>
      <c r="K1952" s="74">
        <f ca="1">EFEITO!$L$1952*EFEITO!$Z$1749</f>
        <v>671.25904843259877</v>
      </c>
      <c r="L1952" s="74">
        <f>EFEITO!$N$1952*EFEITO!$AA$1749</f>
        <v>599.73411284853648</v>
      </c>
      <c r="M1952" s="74">
        <f>$J$1952-EFEITO!$K$1952*EFEITO!$Y$1952</f>
        <v>0</v>
      </c>
      <c r="N1952" s="74">
        <f ca="1">$K$1952-EFEITO!$M$1952*EFEITO!$Z$1952</f>
        <v>489.61634992673748</v>
      </c>
      <c r="O1952" s="74">
        <f>$L$1952-EFEITO!$O$1952*EFEITO!$AA$1952</f>
        <v>437.4460619117225</v>
      </c>
      <c r="P1952" s="57"/>
      <c r="Q1952" s="57"/>
      <c r="R1952" s="57"/>
      <c r="S1952" s="57"/>
      <c r="T1952" s="57"/>
      <c r="U1952" s="57"/>
      <c r="V1952" s="57"/>
      <c r="W1952" s="57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</row>
    <row r="1953" spans="1:36" ht="11.25" customHeight="1" x14ac:dyDescent="0.2">
      <c r="A1953" s="53" t="s">
        <v>21</v>
      </c>
      <c r="B1953" s="53" t="s">
        <v>46</v>
      </c>
      <c r="C1953" s="53" t="s">
        <v>23</v>
      </c>
      <c r="D1953" s="53" t="s">
        <v>47</v>
      </c>
      <c r="E1953" s="53" t="s">
        <v>55</v>
      </c>
      <c r="F1953" s="53" t="s">
        <v>57</v>
      </c>
      <c r="G1953" s="53" t="s">
        <v>25</v>
      </c>
      <c r="H1953" s="53" t="s">
        <v>25</v>
      </c>
      <c r="I1953" s="73">
        <v>43922</v>
      </c>
      <c r="J1953" s="74">
        <f>EFEITO!$J$1953*EFEITO!$Y$1749</f>
        <v>0</v>
      </c>
      <c r="K1953" s="74">
        <f ca="1">EFEITO!$L$1953*EFEITO!$Z$1749</f>
        <v>315.64672143792922</v>
      </c>
      <c r="L1953" s="74">
        <f>EFEITO!$N$1953*EFEITO!$AA$1749</f>
        <v>282.01348927385618</v>
      </c>
      <c r="M1953" s="74">
        <f>$J$1953-EFEITO!$K$1953*EFEITO!$Y$1953</f>
        <v>0</v>
      </c>
      <c r="N1953" s="74">
        <f ca="1">$K$1953-EFEITO!$M$1953*EFEITO!$Z$1953</f>
        <v>230.23271861682557</v>
      </c>
      <c r="O1953" s="74">
        <f>$L$1953-EFEITO!$O$1953*EFEITO!$AA$1953</f>
        <v>205.70063907635068</v>
      </c>
      <c r="P1953" s="57"/>
      <c r="Q1953" s="57"/>
      <c r="R1953" s="57"/>
      <c r="S1953" s="57"/>
      <c r="T1953" s="57"/>
      <c r="U1953" s="57"/>
      <c r="V1953" s="57"/>
      <c r="W1953" s="57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</row>
    <row r="1954" spans="1:36" ht="11.25" customHeight="1" x14ac:dyDescent="0.2">
      <c r="A1954" s="53" t="s">
        <v>21</v>
      </c>
      <c r="B1954" s="53" t="s">
        <v>46</v>
      </c>
      <c r="C1954" s="53" t="s">
        <v>23</v>
      </c>
      <c r="D1954" s="53" t="s">
        <v>47</v>
      </c>
      <c r="E1954" s="53" t="s">
        <v>55</v>
      </c>
      <c r="F1954" s="53" t="s">
        <v>57</v>
      </c>
      <c r="G1954" s="53" t="s">
        <v>25</v>
      </c>
      <c r="H1954" s="53" t="s">
        <v>25</v>
      </c>
      <c r="I1954" s="73">
        <v>43952</v>
      </c>
      <c r="J1954" s="74">
        <f>EFEITO!$J$1954*EFEITO!$Y$1749</f>
        <v>0</v>
      </c>
      <c r="K1954" s="74">
        <f ca="1">EFEITO!$L$1954*EFEITO!$Z$1749</f>
        <v>397.20918175780758</v>
      </c>
      <c r="L1954" s="74">
        <f>EFEITO!$N$1954*EFEITO!$AA$1749</f>
        <v>354.8851919285994</v>
      </c>
      <c r="M1954" s="74">
        <f>$J$1954-EFEITO!$K$1954*EFEITO!$Y$1954</f>
        <v>0</v>
      </c>
      <c r="N1954" s="74">
        <f ca="1">$K$1954-EFEITO!$M$1954*EFEITO!$Z$1954</f>
        <v>289.72437717414482</v>
      </c>
      <c r="O1954" s="74">
        <f>$L$1954-EFEITO!$O$1954*EFEITO!$AA$1954</f>
        <v>258.85325899272038</v>
      </c>
      <c r="P1954" s="57"/>
      <c r="Q1954" s="57"/>
      <c r="R1954" s="57"/>
      <c r="S1954" s="57"/>
      <c r="T1954" s="57"/>
      <c r="U1954" s="57"/>
      <c r="V1954" s="57"/>
      <c r="W1954" s="57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</row>
    <row r="1955" spans="1:36" ht="11.25" customHeight="1" x14ac:dyDescent="0.2">
      <c r="A1955" s="53" t="s">
        <v>21</v>
      </c>
      <c r="B1955" s="53" t="s">
        <v>46</v>
      </c>
      <c r="C1955" s="53" t="s">
        <v>23</v>
      </c>
      <c r="D1955" s="53" t="s">
        <v>47</v>
      </c>
      <c r="E1955" s="53" t="s">
        <v>55</v>
      </c>
      <c r="F1955" s="53" t="s">
        <v>57</v>
      </c>
      <c r="G1955" s="53" t="s">
        <v>25</v>
      </c>
      <c r="H1955" s="53" t="s">
        <v>25</v>
      </c>
      <c r="I1955" s="73">
        <v>43983</v>
      </c>
      <c r="J1955" s="74">
        <f>EFEITO!$J$1955*EFEITO!$Y$1749</f>
        <v>0</v>
      </c>
      <c r="K1955" s="74">
        <f ca="1">EFEITO!$L$1955*EFEITO!$Z$1749</f>
        <v>830.57772092409459</v>
      </c>
      <c r="L1955" s="74">
        <f>EFEITO!$N$1955*EFEITO!$AA$1749</f>
        <v>742.07683870080155</v>
      </c>
      <c r="M1955" s="74">
        <f>$J$1955-EFEITO!$K$1955*EFEITO!$Y$1955</f>
        <v>0</v>
      </c>
      <c r="N1955" s="74">
        <f ca="1">$K$1955-EFEITO!$M$1955*EFEITO!$Z$1955</f>
        <v>605.82338964203461</v>
      </c>
      <c r="O1955" s="74">
        <f>$L$1955-EFEITO!$O$1955*EFEITO!$AA$1955</f>
        <v>541.27084614836463</v>
      </c>
      <c r="P1955" s="57"/>
      <c r="Q1955" s="57"/>
      <c r="R1955" s="57"/>
      <c r="S1955" s="57"/>
      <c r="T1955" s="57"/>
      <c r="U1955" s="57"/>
      <c r="V1955" s="57"/>
      <c r="W1955" s="57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</row>
    <row r="1956" spans="1:36" ht="11.25" customHeight="1" x14ac:dyDescent="0.2">
      <c r="A1956" s="53" t="s">
        <v>28</v>
      </c>
      <c r="B1956" s="53" t="s">
        <v>46</v>
      </c>
      <c r="C1956" s="53" t="s">
        <v>23</v>
      </c>
      <c r="D1956" s="53" t="s">
        <v>47</v>
      </c>
      <c r="E1956" s="53" t="s">
        <v>55</v>
      </c>
      <c r="F1956" s="53" t="s">
        <v>57</v>
      </c>
      <c r="G1956" s="53" t="s">
        <v>25</v>
      </c>
      <c r="H1956" s="53" t="s">
        <v>25</v>
      </c>
      <c r="I1956" s="73">
        <v>43983</v>
      </c>
      <c r="J1956" s="74">
        <f>EFEITO!$J$1956*EFEITO!$Y$1749</f>
        <v>0</v>
      </c>
      <c r="K1956" s="74">
        <f ca="1">EFEITO!$L$1956*EFEITO!$Z$1749</f>
        <v>463.00289974917615</v>
      </c>
      <c r="L1956" s="74">
        <f>EFEITO!$N$1956*EFEITO!$AA$1749</f>
        <v>413.66836540342558</v>
      </c>
      <c r="M1956" s="74">
        <f>$J$1956-EFEITO!$K$1956*EFEITO!$Y$1956</f>
        <v>0</v>
      </c>
      <c r="N1956" s="74">
        <f ca="1">$K$1956-EFEITO!$M$1956*EFEITO!$Z$1956</f>
        <v>337.71431507704909</v>
      </c>
      <c r="O1956" s="74">
        <f>$L$1956-EFEITO!$O$1956*EFEITO!$AA$1956</f>
        <v>301.72970572525861</v>
      </c>
      <c r="P1956" s="57"/>
      <c r="Q1956" s="57"/>
      <c r="R1956" s="57"/>
      <c r="S1956" s="57"/>
      <c r="T1956" s="57"/>
      <c r="U1956" s="57"/>
      <c r="V1956" s="57"/>
      <c r="W1956" s="57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</row>
    <row r="1957" spans="1:36" ht="11.25" customHeight="1" x14ac:dyDescent="0.2">
      <c r="A1957" s="53" t="s">
        <v>21</v>
      </c>
      <c r="B1957" s="53" t="s">
        <v>46</v>
      </c>
      <c r="C1957" s="53" t="s">
        <v>23</v>
      </c>
      <c r="D1957" s="53" t="s">
        <v>47</v>
      </c>
      <c r="E1957" s="53" t="s">
        <v>55</v>
      </c>
      <c r="F1957" s="53" t="s">
        <v>57</v>
      </c>
      <c r="G1957" s="53" t="s">
        <v>25</v>
      </c>
      <c r="H1957" s="53" t="s">
        <v>25</v>
      </c>
      <c r="I1957" s="73">
        <v>44013</v>
      </c>
      <c r="J1957" s="74">
        <f>EFEITO!$J$1957*EFEITO!$Y$1749</f>
        <v>0</v>
      </c>
      <c r="K1957" s="74">
        <f ca="1">EFEITO!$L$1957*EFEITO!$Z$1749</f>
        <v>1024.4245016176721</v>
      </c>
      <c r="L1957" s="74">
        <f>EFEITO!$N$1957*EFEITO!$AA$1749</f>
        <v>915.2685853435745</v>
      </c>
      <c r="M1957" s="74">
        <f>$J$1957-EFEITO!$K$1957*EFEITO!$Y$1957</f>
        <v>0</v>
      </c>
      <c r="N1957" s="74">
        <f ca="1">$K$1957-EFEITO!$M$1957*EFEITO!$Z$1957</f>
        <v>747.21523147993003</v>
      </c>
      <c r="O1957" s="74">
        <f>$L$1957-EFEITO!$O$1957*EFEITO!$AA$1957</f>
        <v>667.59690614960323</v>
      </c>
      <c r="P1957" s="57"/>
      <c r="Q1957" s="57"/>
      <c r="R1957" s="57"/>
      <c r="S1957" s="57"/>
      <c r="T1957" s="57"/>
      <c r="U1957" s="57"/>
      <c r="V1957" s="57"/>
      <c r="W1957" s="57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</row>
    <row r="1958" spans="1:36" ht="11.25" customHeight="1" x14ac:dyDescent="0.2">
      <c r="A1958" s="53" t="s">
        <v>28</v>
      </c>
      <c r="B1958" s="53" t="s">
        <v>46</v>
      </c>
      <c r="C1958" s="53" t="s">
        <v>23</v>
      </c>
      <c r="D1958" s="53" t="s">
        <v>47</v>
      </c>
      <c r="E1958" s="53" t="s">
        <v>55</v>
      </c>
      <c r="F1958" s="53" t="s">
        <v>57</v>
      </c>
      <c r="G1958" s="53" t="s">
        <v>25</v>
      </c>
      <c r="H1958" s="53" t="s">
        <v>25</v>
      </c>
      <c r="I1958" s="73">
        <v>44013</v>
      </c>
      <c r="J1958" s="74">
        <f>EFEITO!$J$1958*EFEITO!$Y$1749</f>
        <v>0</v>
      </c>
      <c r="K1958" s="74">
        <f ca="1">EFEITO!$L$1958*EFEITO!$Z$1749</f>
        <v>86.728082806803982</v>
      </c>
      <c r="L1958" s="74">
        <f>EFEITO!$N$1958*EFEITO!$AA$1749</f>
        <v>77.486910489543604</v>
      </c>
      <c r="M1958" s="74">
        <f>$J$1958-EFEITO!$K$1958*EFEITO!$Y$1958</f>
        <v>0</v>
      </c>
      <c r="N1958" s="74">
        <f ca="1">$K$1958-EFEITO!$M$1958*EFEITO!$Z$1958</f>
        <v>63.259463599282824</v>
      </c>
      <c r="O1958" s="74">
        <f>$L$1958-EFEITO!$O$1958*EFEITO!$AA$1958</f>
        <v>56.518952511073103</v>
      </c>
      <c r="P1958" s="57"/>
      <c r="Q1958" s="57"/>
      <c r="R1958" s="57"/>
      <c r="S1958" s="57"/>
      <c r="T1958" s="57"/>
      <c r="U1958" s="57"/>
      <c r="V1958" s="57"/>
      <c r="W1958" s="57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</row>
    <row r="1959" spans="1:36" ht="11.25" customHeight="1" x14ac:dyDescent="0.2">
      <c r="A1959" s="53" t="s">
        <v>21</v>
      </c>
      <c r="B1959" s="53" t="s">
        <v>46</v>
      </c>
      <c r="C1959" s="53" t="s">
        <v>23</v>
      </c>
      <c r="D1959" s="53" t="s">
        <v>47</v>
      </c>
      <c r="E1959" s="53" t="s">
        <v>55</v>
      </c>
      <c r="F1959" s="53" t="s">
        <v>57</v>
      </c>
      <c r="G1959" s="53" t="s">
        <v>25</v>
      </c>
      <c r="H1959" s="53" t="s">
        <v>25</v>
      </c>
      <c r="I1959" s="73">
        <v>44044</v>
      </c>
      <c r="J1959" s="74">
        <f>EFEITO!$J$1959*EFEITO!$Y$1749</f>
        <v>0</v>
      </c>
      <c r="K1959" s="74">
        <f ca="1">EFEITO!$L$1959*EFEITO!$Z$1749</f>
        <v>3102.0922408327065</v>
      </c>
      <c r="L1959" s="74">
        <f>EFEITO!$N$1959*EFEITO!$AA$1749</f>
        <v>2771.5537576353995</v>
      </c>
      <c r="M1959" s="74">
        <f>$J$1959-EFEITO!$K$1959*EFEITO!$Y$1959</f>
        <v>0</v>
      </c>
      <c r="N1959" s="74">
        <f ca="1">$K$1959-EFEITO!$M$1959*EFEITO!$Z$1959</f>
        <v>2262.6660804633761</v>
      </c>
      <c r="O1959" s="74">
        <f>$L$1959-EFEITO!$O$1959*EFEITO!$AA$1959</f>
        <v>2021.5713108192604</v>
      </c>
      <c r="P1959" s="57"/>
      <c r="Q1959" s="57"/>
      <c r="R1959" s="57"/>
      <c r="S1959" s="57"/>
      <c r="T1959" s="57"/>
      <c r="U1959" s="57"/>
      <c r="V1959" s="57"/>
      <c r="W1959" s="57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</row>
    <row r="1960" spans="1:36" ht="11.25" customHeight="1" x14ac:dyDescent="0.2">
      <c r="A1960" s="53" t="s">
        <v>59</v>
      </c>
      <c r="B1960" s="53" t="s">
        <v>46</v>
      </c>
      <c r="C1960" s="53" t="s">
        <v>23</v>
      </c>
      <c r="D1960" s="53" t="s">
        <v>47</v>
      </c>
      <c r="E1960" s="53" t="s">
        <v>55</v>
      </c>
      <c r="F1960" s="53" t="s">
        <v>57</v>
      </c>
      <c r="G1960" s="53" t="s">
        <v>25</v>
      </c>
      <c r="H1960" s="53" t="s">
        <v>25</v>
      </c>
      <c r="I1960" s="73">
        <v>44075</v>
      </c>
      <c r="J1960" s="74">
        <f>EFEITO!$J$1960*EFEITO!$Y$1749</f>
        <v>0</v>
      </c>
      <c r="K1960" s="74">
        <f ca="1">EFEITO!$L$1960*EFEITO!$Z$1749</f>
        <v>3102.0922408327065</v>
      </c>
      <c r="L1960" s="74">
        <f>EFEITO!$N$1960*EFEITO!$AA$1749</f>
        <v>2771.5537576353995</v>
      </c>
      <c r="M1960" s="74">
        <f>$J$1960-EFEITO!$K$1960*EFEITO!$Y$1960</f>
        <v>0</v>
      </c>
      <c r="N1960" s="74">
        <f ca="1">$K$1960-EFEITO!$M$1960*EFEITO!$Z$1960</f>
        <v>2262.6660804633761</v>
      </c>
      <c r="O1960" s="74">
        <f>$L$1960-EFEITO!$O$1960*EFEITO!$AA$1960</f>
        <v>2021.5713108192604</v>
      </c>
      <c r="P1960" s="57"/>
      <c r="Q1960" s="57"/>
      <c r="R1960" s="57"/>
      <c r="S1960" s="57"/>
      <c r="T1960" s="57"/>
      <c r="U1960" s="57"/>
      <c r="V1960" s="57"/>
      <c r="W1960" s="57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</row>
    <row r="1961" spans="1:36" ht="11.25" customHeight="1" x14ac:dyDescent="0.2">
      <c r="A1961" s="53" t="s">
        <v>21</v>
      </c>
      <c r="B1961" s="53" t="s">
        <v>46</v>
      </c>
      <c r="C1961" s="53" t="s">
        <v>23</v>
      </c>
      <c r="D1961" s="53" t="s">
        <v>47</v>
      </c>
      <c r="E1961" s="53" t="s">
        <v>25</v>
      </c>
      <c r="F1961" s="53" t="s">
        <v>25</v>
      </c>
      <c r="G1961" s="53" t="s">
        <v>25</v>
      </c>
      <c r="H1961" s="53" t="s">
        <v>25</v>
      </c>
      <c r="I1961" s="73">
        <v>43739</v>
      </c>
      <c r="J1961" s="74">
        <f>EFEITO!$J$1961*EFEITO!$Y$1749</f>
        <v>0</v>
      </c>
      <c r="K1961" s="74">
        <f ca="1">EFEITO!$L$1961*EFEITO!$Z$1749</f>
        <v>2099117.0350299561</v>
      </c>
      <c r="L1961" s="74">
        <f>EFEITO!$N$1961*EFEITO!$AA$1749</f>
        <v>1875448.9726559694</v>
      </c>
      <c r="M1961" s="74">
        <f>$J$1961-EFEITO!$K$1961*EFEITO!$Y$1961</f>
        <v>0</v>
      </c>
      <c r="N1961" s="74">
        <f ca="1">$K$1961-EFEITO!$M$1961*EFEITO!$Z$1961</f>
        <v>377841.06630539196</v>
      </c>
      <c r="O1961" s="74">
        <f>$L$1961-EFEITO!$O$1961*EFEITO!$AA$1961</f>
        <v>337580.81507807435</v>
      </c>
      <c r="P1961" s="57"/>
      <c r="Q1961" s="57"/>
      <c r="R1961" s="57"/>
      <c r="S1961" s="57"/>
      <c r="T1961" s="57"/>
      <c r="U1961" s="57"/>
      <c r="V1961" s="57"/>
      <c r="W1961" s="57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</row>
    <row r="1962" spans="1:36" ht="11.25" customHeight="1" x14ac:dyDescent="0.2">
      <c r="A1962" s="53" t="s">
        <v>27</v>
      </c>
      <c r="B1962" s="53" t="s">
        <v>46</v>
      </c>
      <c r="C1962" s="53" t="s">
        <v>23</v>
      </c>
      <c r="D1962" s="53" t="s">
        <v>47</v>
      </c>
      <c r="E1962" s="53" t="s">
        <v>25</v>
      </c>
      <c r="F1962" s="53" t="s">
        <v>25</v>
      </c>
      <c r="G1962" s="53" t="s">
        <v>25</v>
      </c>
      <c r="H1962" s="53" t="s">
        <v>25</v>
      </c>
      <c r="I1962" s="73">
        <v>43739</v>
      </c>
      <c r="J1962" s="74">
        <f>EFEITO!$J$1962*EFEITO!$Y$1749</f>
        <v>0</v>
      </c>
      <c r="K1962" s="74">
        <f ca="1">EFEITO!$L$1962*EFEITO!$Z$1749</f>
        <v>11546.525632617446</v>
      </c>
      <c r="L1962" s="74">
        <f>EFEITO!$N$1962*EFEITO!$AA$1749</f>
        <v>10316.204039156479</v>
      </c>
      <c r="M1962" s="74">
        <f>$J$1962-EFEITO!$K$1962*EFEITO!$Y$1962</f>
        <v>0</v>
      </c>
      <c r="N1962" s="74">
        <f ca="1">$K$1962-EFEITO!$M$1962*EFEITO!$Z$1962</f>
        <v>2078.3746138711413</v>
      </c>
      <c r="O1962" s="74">
        <f>$L$1962-EFEITO!$O$1962*EFEITO!$AA$1962</f>
        <v>1856.9167270481648</v>
      </c>
      <c r="P1962" s="57"/>
      <c r="Q1962" s="57"/>
      <c r="R1962" s="57"/>
      <c r="S1962" s="57"/>
      <c r="T1962" s="57"/>
      <c r="U1962" s="57"/>
      <c r="V1962" s="57"/>
      <c r="W1962" s="57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</row>
    <row r="1963" spans="1:36" ht="11.25" customHeight="1" x14ac:dyDescent="0.2">
      <c r="A1963" s="53" t="s">
        <v>28</v>
      </c>
      <c r="B1963" s="53" t="s">
        <v>46</v>
      </c>
      <c r="C1963" s="53" t="s">
        <v>23</v>
      </c>
      <c r="D1963" s="53" t="s">
        <v>47</v>
      </c>
      <c r="E1963" s="53" t="s">
        <v>25</v>
      </c>
      <c r="F1963" s="53" t="s">
        <v>25</v>
      </c>
      <c r="G1963" s="53" t="s">
        <v>25</v>
      </c>
      <c r="H1963" s="53" t="s">
        <v>25</v>
      </c>
      <c r="I1963" s="73">
        <v>43739</v>
      </c>
      <c r="J1963" s="74">
        <f>EFEITO!$J$1963*EFEITO!$Y$1749</f>
        <v>0</v>
      </c>
      <c r="K1963" s="74">
        <f ca="1">EFEITO!$L$1963*EFEITO!$Z$1749</f>
        <v>13827.827647764441</v>
      </c>
      <c r="L1963" s="74">
        <f>EFEITO!$N$1963*EFEITO!$AA$1749</f>
        <v>12354.425562409646</v>
      </c>
      <c r="M1963" s="74">
        <f>$J$1963-EFEITO!$K$1963*EFEITO!$Y$1963</f>
        <v>0</v>
      </c>
      <c r="N1963" s="74">
        <f ca="1">$K$1963-EFEITO!$M$1963*EFEITO!$Z$1963</f>
        <v>2489.008976597599</v>
      </c>
      <c r="O1963" s="74">
        <f>$L$1963-EFEITO!$O$1963*EFEITO!$AA$1963</f>
        <v>2223.7966012337365</v>
      </c>
      <c r="P1963" s="57"/>
      <c r="Q1963" s="57"/>
      <c r="R1963" s="57"/>
      <c r="S1963" s="57"/>
      <c r="T1963" s="57"/>
      <c r="U1963" s="57"/>
      <c r="V1963" s="57"/>
      <c r="W1963" s="57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</row>
    <row r="1964" spans="1:36" ht="11.25" customHeight="1" x14ac:dyDescent="0.2">
      <c r="A1964" s="53" t="s">
        <v>21</v>
      </c>
      <c r="B1964" s="53" t="s">
        <v>46</v>
      </c>
      <c r="C1964" s="53" t="s">
        <v>23</v>
      </c>
      <c r="D1964" s="53" t="s">
        <v>47</v>
      </c>
      <c r="E1964" s="53" t="s">
        <v>25</v>
      </c>
      <c r="F1964" s="53" t="s">
        <v>25</v>
      </c>
      <c r="G1964" s="53" t="s">
        <v>25</v>
      </c>
      <c r="H1964" s="53" t="s">
        <v>25</v>
      </c>
      <c r="I1964" s="73">
        <v>43770</v>
      </c>
      <c r="J1964" s="74">
        <f>EFEITO!$J$1964*EFEITO!$Y$1749</f>
        <v>0</v>
      </c>
      <c r="K1964" s="74">
        <f ca="1">EFEITO!$L$1964*EFEITO!$Z$1749</f>
        <v>2061219.0378423247</v>
      </c>
      <c r="L1964" s="74">
        <f>EFEITO!$N$1964*EFEITO!$AA$1749</f>
        <v>1841589.1360174429</v>
      </c>
      <c r="M1964" s="74">
        <f>$J$1964-EFEITO!$K$1964*EFEITO!$Y$1964</f>
        <v>0</v>
      </c>
      <c r="N1964" s="74">
        <f ca="1">$K$1964-EFEITO!$M$1964*EFEITO!$Z$1964</f>
        <v>371019.4268116185</v>
      </c>
      <c r="O1964" s="74">
        <f>$L$1964-EFEITO!$O$1964*EFEITO!$AA$1964</f>
        <v>331486.04448313965</v>
      </c>
      <c r="P1964" s="57"/>
      <c r="Q1964" s="57"/>
      <c r="R1964" s="57"/>
      <c r="S1964" s="57"/>
      <c r="T1964" s="57"/>
      <c r="U1964" s="57"/>
      <c r="V1964" s="57"/>
      <c r="W1964" s="57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</row>
    <row r="1965" spans="1:36" ht="11.25" customHeight="1" x14ac:dyDescent="0.2">
      <c r="A1965" s="53" t="s">
        <v>27</v>
      </c>
      <c r="B1965" s="53" t="s">
        <v>46</v>
      </c>
      <c r="C1965" s="53" t="s">
        <v>23</v>
      </c>
      <c r="D1965" s="53" t="s">
        <v>47</v>
      </c>
      <c r="E1965" s="53" t="s">
        <v>25</v>
      </c>
      <c r="F1965" s="53" t="s">
        <v>25</v>
      </c>
      <c r="G1965" s="53" t="s">
        <v>25</v>
      </c>
      <c r="H1965" s="53" t="s">
        <v>25</v>
      </c>
      <c r="I1965" s="73">
        <v>43770</v>
      </c>
      <c r="J1965" s="74">
        <f>EFEITO!$J$1965*EFEITO!$Y$1749</f>
        <v>0</v>
      </c>
      <c r="K1965" s="74">
        <f ca="1">EFEITO!$L$1965*EFEITO!$Z$1749</f>
        <v>1261.2275114130523</v>
      </c>
      <c r="L1965" s="74">
        <f>EFEITO!$N$1965*EFEITO!$AA$1749</f>
        <v>1126.8394287178457</v>
      </c>
      <c r="M1965" s="74">
        <f>$J$1965-EFEITO!$K$1965*EFEITO!$Y$1965</f>
        <v>0</v>
      </c>
      <c r="N1965" s="74">
        <f ca="1">$K$1965-EFEITO!$M$1965*EFEITO!$Z$1965</f>
        <v>227.02095205434944</v>
      </c>
      <c r="O1965" s="74">
        <f>$L$1965-EFEITO!$O$1965*EFEITO!$AA$1965</f>
        <v>202.83109716921217</v>
      </c>
      <c r="P1965" s="57"/>
      <c r="Q1965" s="57"/>
      <c r="R1965" s="57"/>
      <c r="S1965" s="57"/>
      <c r="T1965" s="57"/>
      <c r="U1965" s="57"/>
      <c r="V1965" s="57"/>
      <c r="W1965" s="57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</row>
    <row r="1966" spans="1:36" ht="11.25" customHeight="1" x14ac:dyDescent="0.2">
      <c r="A1966" s="53" t="s">
        <v>28</v>
      </c>
      <c r="B1966" s="53" t="s">
        <v>46</v>
      </c>
      <c r="C1966" s="53" t="s">
        <v>23</v>
      </c>
      <c r="D1966" s="53" t="s">
        <v>47</v>
      </c>
      <c r="E1966" s="53" t="s">
        <v>25</v>
      </c>
      <c r="F1966" s="53" t="s">
        <v>25</v>
      </c>
      <c r="G1966" s="53" t="s">
        <v>25</v>
      </c>
      <c r="H1966" s="53" t="s">
        <v>25</v>
      </c>
      <c r="I1966" s="73">
        <v>43770</v>
      </c>
      <c r="J1966" s="74">
        <f>EFEITO!$J$1966*EFEITO!$Y$1749</f>
        <v>0</v>
      </c>
      <c r="K1966" s="74">
        <f ca="1">EFEITO!$L$1966*EFEITO!$Z$1749</f>
        <v>15871.782903380594</v>
      </c>
      <c r="L1966" s="74">
        <f>EFEITO!$N$1966*EFEITO!$AA$1749</f>
        <v>14180.590430937509</v>
      </c>
      <c r="M1966" s="74">
        <f>$J$1966-EFEITO!$K$1966*EFEITO!$Y$1966</f>
        <v>0</v>
      </c>
      <c r="N1966" s="74">
        <f ca="1">$K$1966-EFEITO!$M$1966*EFEITO!$Z$1966</f>
        <v>2856.9209226085059</v>
      </c>
      <c r="O1966" s="74">
        <f>$L$1966-EFEITO!$O$1966*EFEITO!$AA$1966</f>
        <v>2552.5062775687493</v>
      </c>
      <c r="P1966" s="57"/>
      <c r="Q1966" s="57"/>
      <c r="R1966" s="57"/>
      <c r="S1966" s="57"/>
      <c r="T1966" s="57"/>
      <c r="U1966" s="57"/>
      <c r="V1966" s="57"/>
      <c r="W1966" s="57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</row>
    <row r="1967" spans="1:36" ht="11.25" customHeight="1" x14ac:dyDescent="0.2">
      <c r="A1967" s="53" t="s">
        <v>28</v>
      </c>
      <c r="B1967" s="53" t="s">
        <v>46</v>
      </c>
      <c r="C1967" s="53" t="s">
        <v>23</v>
      </c>
      <c r="D1967" s="53" t="s">
        <v>47</v>
      </c>
      <c r="E1967" s="53" t="s">
        <v>25</v>
      </c>
      <c r="F1967" s="53" t="s">
        <v>25</v>
      </c>
      <c r="G1967" s="53" t="s">
        <v>25</v>
      </c>
      <c r="H1967" s="53" t="s">
        <v>25</v>
      </c>
      <c r="I1967" s="73">
        <v>43770</v>
      </c>
      <c r="J1967" s="74">
        <f>EFEITO!$J$1967*EFEITO!$Y$1749</f>
        <v>0</v>
      </c>
      <c r="K1967" s="74">
        <f ca="1">EFEITO!$L$1967*EFEITO!$Z$1749</f>
        <v>5004.1288154922695</v>
      </c>
      <c r="L1967" s="74">
        <f>EFEITO!$N$1967*EFEITO!$AA$1749</f>
        <v>4470.9218635440111</v>
      </c>
      <c r="M1967" s="74">
        <f>$J$1967-EFEITO!$K$1967*EFEITO!$Y$1967</f>
        <v>0</v>
      </c>
      <c r="N1967" s="74">
        <f ca="1">$K$1967-EFEITO!$M$1967*EFEITO!$Z$1967</f>
        <v>900.743186788608</v>
      </c>
      <c r="O1967" s="74">
        <f>$L$1967-EFEITO!$O$1967*EFEITO!$AA$1967</f>
        <v>804.76593543792205</v>
      </c>
      <c r="P1967" s="57"/>
      <c r="Q1967" s="57"/>
      <c r="R1967" s="57"/>
      <c r="S1967" s="57"/>
      <c r="T1967" s="57"/>
      <c r="U1967" s="57"/>
      <c r="V1967" s="57"/>
      <c r="W1967" s="57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</row>
    <row r="1968" spans="1:36" ht="11.25" customHeight="1" x14ac:dyDescent="0.2">
      <c r="A1968" s="53" t="s">
        <v>21</v>
      </c>
      <c r="B1968" s="53" t="s">
        <v>46</v>
      </c>
      <c r="C1968" s="53" t="s">
        <v>23</v>
      </c>
      <c r="D1968" s="53" t="s">
        <v>47</v>
      </c>
      <c r="E1968" s="53" t="s">
        <v>25</v>
      </c>
      <c r="F1968" s="53" t="s">
        <v>25</v>
      </c>
      <c r="G1968" s="53" t="s">
        <v>25</v>
      </c>
      <c r="H1968" s="53" t="s">
        <v>25</v>
      </c>
      <c r="I1968" s="73">
        <v>43800</v>
      </c>
      <c r="J1968" s="74">
        <f>EFEITO!$J$1968*EFEITO!$Y$1749</f>
        <v>0</v>
      </c>
      <c r="K1968" s="74">
        <f ca="1">EFEITO!$L$1968*EFEITO!$Z$1749</f>
        <v>1686185.8734208888</v>
      </c>
      <c r="L1968" s="74">
        <f>EFEITO!$N$1968*EFEITO!$AA$1749</f>
        <v>1506517.0313236418</v>
      </c>
      <c r="M1968" s="74">
        <f>$J$1968-EFEITO!$K$1968*EFEITO!$Y$1968</f>
        <v>0</v>
      </c>
      <c r="N1968" s="74">
        <f ca="1">$K$1968-EFEITO!$M$1968*EFEITO!$Z$1968</f>
        <v>303513.4572157599</v>
      </c>
      <c r="O1968" s="74">
        <f>$L$1968-EFEITO!$O$1968*EFEITO!$AA$1968</f>
        <v>271173.06563825556</v>
      </c>
      <c r="P1968" s="57"/>
      <c r="Q1968" s="57"/>
      <c r="R1968" s="57"/>
      <c r="S1968" s="57"/>
      <c r="T1968" s="57"/>
      <c r="U1968" s="57"/>
      <c r="V1968" s="57"/>
      <c r="W1968" s="57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</row>
    <row r="1969" spans="1:36" ht="11.25" customHeight="1" x14ac:dyDescent="0.2">
      <c r="A1969" s="53" t="s">
        <v>27</v>
      </c>
      <c r="B1969" s="53" t="s">
        <v>46</v>
      </c>
      <c r="C1969" s="53" t="s">
        <v>23</v>
      </c>
      <c r="D1969" s="53" t="s">
        <v>47</v>
      </c>
      <c r="E1969" s="53" t="s">
        <v>25</v>
      </c>
      <c r="F1969" s="53" t="s">
        <v>25</v>
      </c>
      <c r="G1969" s="53" t="s">
        <v>25</v>
      </c>
      <c r="H1969" s="53" t="s">
        <v>25</v>
      </c>
      <c r="I1969" s="73">
        <v>43800</v>
      </c>
      <c r="J1969" s="74">
        <f>EFEITO!$J$1969*EFEITO!$Y$1749</f>
        <v>0</v>
      </c>
      <c r="K1969" s="74">
        <f ca="1">EFEITO!$L$1969*EFEITO!$Z$1749</f>
        <v>17502.216485174962</v>
      </c>
      <c r="L1969" s="74">
        <f>EFEITO!$N$1969*EFEITO!$AA$1749</f>
        <v>15637.295767005828</v>
      </c>
      <c r="M1969" s="74">
        <f>$J$1969-EFEITO!$K$1969*EFEITO!$Y$1969</f>
        <v>0</v>
      </c>
      <c r="N1969" s="74">
        <f ca="1">$K$1969-EFEITO!$M$1969*EFEITO!$Z$1969</f>
        <v>3150.3989673314918</v>
      </c>
      <c r="O1969" s="74">
        <f>$L$1969-EFEITO!$O$1969*EFEITO!$AA$1969</f>
        <v>2814.7132380610474</v>
      </c>
      <c r="P1969" s="57"/>
      <c r="Q1969" s="57"/>
      <c r="R1969" s="57"/>
      <c r="S1969" s="57"/>
      <c r="T1969" s="57"/>
      <c r="U1969" s="57"/>
      <c r="V1969" s="57"/>
      <c r="W1969" s="57"/>
      <c r="X1969" s="6"/>
      <c r="Y1969" s="6"/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  <c r="AJ1969" s="6"/>
    </row>
    <row r="1970" spans="1:36" ht="11.25" customHeight="1" x14ac:dyDescent="0.2">
      <c r="A1970" s="53" t="s">
        <v>28</v>
      </c>
      <c r="B1970" s="53" t="s">
        <v>46</v>
      </c>
      <c r="C1970" s="53" t="s">
        <v>23</v>
      </c>
      <c r="D1970" s="53" t="s">
        <v>47</v>
      </c>
      <c r="E1970" s="53" t="s">
        <v>25</v>
      </c>
      <c r="F1970" s="53" t="s">
        <v>25</v>
      </c>
      <c r="G1970" s="53" t="s">
        <v>25</v>
      </c>
      <c r="H1970" s="53" t="s">
        <v>25</v>
      </c>
      <c r="I1970" s="73">
        <v>43800</v>
      </c>
      <c r="J1970" s="74">
        <f>EFEITO!$J$1970*EFEITO!$Y$1749</f>
        <v>0</v>
      </c>
      <c r="K1970" s="74">
        <f ca="1">EFEITO!$L$1970*EFEITO!$Z$1749</f>
        <v>9233.6861328134291</v>
      </c>
      <c r="L1970" s="74">
        <f>EFEITO!$N$1970*EFEITO!$AA$1749</f>
        <v>8249.805457543478</v>
      </c>
      <c r="M1970" s="74">
        <f>$J$1970-EFEITO!$K$1970*EFEITO!$Y$1970</f>
        <v>0</v>
      </c>
      <c r="N1970" s="74">
        <f ca="1">$K$1970-EFEITO!$M$1970*EFEITO!$Z$1970</f>
        <v>1662.0635039064173</v>
      </c>
      <c r="O1970" s="74">
        <f>$L$1970-EFEITO!$O$1970*EFEITO!$AA$1970</f>
        <v>1484.9649823578256</v>
      </c>
      <c r="P1970" s="57"/>
      <c r="Q1970" s="57"/>
      <c r="R1970" s="57"/>
      <c r="S1970" s="57"/>
      <c r="T1970" s="57"/>
      <c r="U1970" s="57"/>
      <c r="V1970" s="57"/>
      <c r="W1970" s="57"/>
      <c r="X1970" s="6"/>
      <c r="Y1970" s="6"/>
      <c r="Z1970" s="6"/>
      <c r="AA1970" s="6"/>
      <c r="AB1970" s="6"/>
      <c r="AC1970" s="6"/>
      <c r="AD1970" s="6"/>
      <c r="AE1970" s="6"/>
      <c r="AF1970" s="6"/>
      <c r="AG1970" s="6"/>
      <c r="AH1970" s="6"/>
      <c r="AI1970" s="6"/>
      <c r="AJ1970" s="6"/>
    </row>
    <row r="1971" spans="1:36" ht="11.25" customHeight="1" x14ac:dyDescent="0.2">
      <c r="A1971" s="53" t="s">
        <v>21</v>
      </c>
      <c r="B1971" s="53" t="s">
        <v>46</v>
      </c>
      <c r="C1971" s="53" t="s">
        <v>23</v>
      </c>
      <c r="D1971" s="53" t="s">
        <v>47</v>
      </c>
      <c r="E1971" s="53" t="s">
        <v>25</v>
      </c>
      <c r="F1971" s="53" t="s">
        <v>25</v>
      </c>
      <c r="G1971" s="53" t="s">
        <v>25</v>
      </c>
      <c r="H1971" s="53" t="s">
        <v>25</v>
      </c>
      <c r="I1971" s="73">
        <v>43831</v>
      </c>
      <c r="J1971" s="74">
        <f>EFEITO!$J$1971*EFEITO!$Y$1749</f>
        <v>0</v>
      </c>
      <c r="K1971" s="74">
        <f ca="1">EFEITO!$L$1971*EFEITO!$Z$1749</f>
        <v>1832601.9084395154</v>
      </c>
      <c r="L1971" s="74">
        <f>EFEITO!$N$1971*EFEITO!$AA$1749</f>
        <v>1637331.9396272774</v>
      </c>
      <c r="M1971" s="74">
        <f>$J$1971-EFEITO!$K$1971*EFEITO!$Y$1971</f>
        <v>0</v>
      </c>
      <c r="N1971" s="74">
        <f ca="1">$K$1971-EFEITO!$M$1971*EFEITO!$Z$1971</f>
        <v>329868.34351911279</v>
      </c>
      <c r="O1971" s="74">
        <f>$L$1971-EFEITO!$O$1971*EFEITO!$AA$1971</f>
        <v>294719.74913290981</v>
      </c>
      <c r="P1971" s="57"/>
      <c r="Q1971" s="57"/>
      <c r="R1971" s="57"/>
      <c r="S1971" s="57"/>
      <c r="T1971" s="57"/>
      <c r="U1971" s="57"/>
      <c r="V1971" s="57"/>
      <c r="W1971" s="57"/>
      <c r="X1971" s="6"/>
      <c r="Y1971" s="6"/>
      <c r="Z1971" s="6"/>
      <c r="AA1971" s="6"/>
      <c r="AB1971" s="6"/>
      <c r="AC1971" s="6"/>
      <c r="AD1971" s="6"/>
      <c r="AE1971" s="6"/>
      <c r="AF1971" s="6"/>
      <c r="AG1971" s="6"/>
      <c r="AH1971" s="6"/>
      <c r="AI1971" s="6"/>
      <c r="AJ1971" s="6"/>
    </row>
    <row r="1972" spans="1:36" ht="11.25" customHeight="1" x14ac:dyDescent="0.2">
      <c r="A1972" s="53" t="s">
        <v>27</v>
      </c>
      <c r="B1972" s="53" t="s">
        <v>46</v>
      </c>
      <c r="C1972" s="53" t="s">
        <v>23</v>
      </c>
      <c r="D1972" s="53" t="s">
        <v>47</v>
      </c>
      <c r="E1972" s="53" t="s">
        <v>25</v>
      </c>
      <c r="F1972" s="53" t="s">
        <v>25</v>
      </c>
      <c r="G1972" s="53" t="s">
        <v>25</v>
      </c>
      <c r="H1972" s="53" t="s">
        <v>25</v>
      </c>
      <c r="I1972" s="73">
        <v>43831</v>
      </c>
      <c r="J1972" s="74">
        <f>EFEITO!$J$1972*EFEITO!$Y$1749</f>
        <v>0</v>
      </c>
      <c r="K1972" s="74">
        <f ca="1">EFEITO!$L$1972*EFEITO!$Z$1749</f>
        <v>5632.9753845585319</v>
      </c>
      <c r="L1972" s="74">
        <f>EFEITO!$N$1972*EFEITO!$AA$1749</f>
        <v>5032.7626910120816</v>
      </c>
      <c r="M1972" s="74">
        <f>$J$1972-EFEITO!$K$1972*EFEITO!$Y$1972</f>
        <v>0</v>
      </c>
      <c r="N1972" s="74">
        <f ca="1">$K$1972-EFEITO!$M$1972*EFEITO!$Z$1972</f>
        <v>1013.9355692205354</v>
      </c>
      <c r="O1972" s="74">
        <f>$L$1972-EFEITO!$O$1972*EFEITO!$AA$1972</f>
        <v>905.8972843821748</v>
      </c>
      <c r="P1972" s="57"/>
      <c r="Q1972" s="57"/>
      <c r="R1972" s="57"/>
      <c r="S1972" s="57"/>
      <c r="T1972" s="57"/>
      <c r="U1972" s="57"/>
      <c r="V1972" s="57"/>
      <c r="W1972" s="57"/>
      <c r="X1972" s="6"/>
      <c r="Y1972" s="6"/>
      <c r="Z1972" s="6"/>
      <c r="AA1972" s="6"/>
      <c r="AB1972" s="6"/>
      <c r="AC1972" s="6"/>
      <c r="AD1972" s="6"/>
      <c r="AE1972" s="6"/>
      <c r="AF1972" s="6"/>
      <c r="AG1972" s="6"/>
      <c r="AH1972" s="6"/>
      <c r="AI1972" s="6"/>
      <c r="AJ1972" s="6"/>
    </row>
    <row r="1973" spans="1:36" ht="11.25" customHeight="1" x14ac:dyDescent="0.2">
      <c r="A1973" s="53" t="s">
        <v>28</v>
      </c>
      <c r="B1973" s="53" t="s">
        <v>46</v>
      </c>
      <c r="C1973" s="53" t="s">
        <v>23</v>
      </c>
      <c r="D1973" s="53" t="s">
        <v>47</v>
      </c>
      <c r="E1973" s="53" t="s">
        <v>25</v>
      </c>
      <c r="F1973" s="53" t="s">
        <v>25</v>
      </c>
      <c r="G1973" s="53" t="s">
        <v>25</v>
      </c>
      <c r="H1973" s="53" t="s">
        <v>25</v>
      </c>
      <c r="I1973" s="73">
        <v>43831</v>
      </c>
      <c r="J1973" s="74">
        <f>EFEITO!$J$1973*EFEITO!$Y$1749</f>
        <v>0</v>
      </c>
      <c r="K1973" s="74">
        <f ca="1">EFEITO!$L$1973*EFEITO!$Z$1749</f>
        <v>7964.0305005006549</v>
      </c>
      <c r="L1973" s="74">
        <f>EFEITO!$N$1973*EFEITO!$AA$1749</f>
        <v>7115.4359528846417</v>
      </c>
      <c r="M1973" s="74">
        <f>$J$1973-EFEITO!$K$1973*EFEITO!$Y$1973</f>
        <v>0</v>
      </c>
      <c r="N1973" s="74">
        <f ca="1">$K$1973-EFEITO!$M$1973*EFEITO!$Z$1973</f>
        <v>1433.5254900901173</v>
      </c>
      <c r="O1973" s="74">
        <f>$L$1973-EFEITO!$O$1973*EFEITO!$AA$1973</f>
        <v>1280.7784715192347</v>
      </c>
      <c r="P1973" s="57"/>
      <c r="Q1973" s="57"/>
      <c r="R1973" s="57"/>
      <c r="S1973" s="57"/>
      <c r="T1973" s="57"/>
      <c r="U1973" s="57"/>
      <c r="V1973" s="57"/>
      <c r="W1973" s="57"/>
      <c r="X1973" s="6"/>
      <c r="Y1973" s="6"/>
      <c r="Z1973" s="6"/>
      <c r="AA1973" s="6"/>
      <c r="AB1973" s="6"/>
      <c r="AC1973" s="6"/>
      <c r="AD1973" s="6"/>
      <c r="AE1973" s="6"/>
      <c r="AF1973" s="6"/>
      <c r="AG1973" s="6"/>
      <c r="AH1973" s="6"/>
      <c r="AI1973" s="6"/>
      <c r="AJ1973" s="6"/>
    </row>
    <row r="1974" spans="1:36" ht="11.25" customHeight="1" x14ac:dyDescent="0.2">
      <c r="A1974" s="53" t="s">
        <v>21</v>
      </c>
      <c r="B1974" s="53" t="s">
        <v>46</v>
      </c>
      <c r="C1974" s="53" t="s">
        <v>23</v>
      </c>
      <c r="D1974" s="53" t="s">
        <v>47</v>
      </c>
      <c r="E1974" s="53" t="s">
        <v>25</v>
      </c>
      <c r="F1974" s="53" t="s">
        <v>25</v>
      </c>
      <c r="G1974" s="53" t="s">
        <v>25</v>
      </c>
      <c r="H1974" s="53" t="s">
        <v>25</v>
      </c>
      <c r="I1974" s="73">
        <v>43862</v>
      </c>
      <c r="J1974" s="74">
        <f>EFEITO!$J$1974*EFEITO!$Y$1749</f>
        <v>0</v>
      </c>
      <c r="K1974" s="74">
        <f ca="1">EFEITO!$L$1974*EFEITO!$Z$1749</f>
        <v>833640.93505884137</v>
      </c>
      <c r="L1974" s="74">
        <f>EFEITO!$N$1974*EFEITO!$AA$1749</f>
        <v>744813.65694683813</v>
      </c>
      <c r="M1974" s="74">
        <f>$J$1974-EFEITO!$K$1974*EFEITO!$Y$1974</f>
        <v>0</v>
      </c>
      <c r="N1974" s="74">
        <f ca="1">$K$1974-EFEITO!$M$1974*EFEITO!$Z$1974</f>
        <v>150055.36831059144</v>
      </c>
      <c r="O1974" s="74">
        <f>$L$1974-EFEITO!$O$1974*EFEITO!$AA$1974</f>
        <v>134066.45825043076</v>
      </c>
      <c r="P1974" s="57"/>
      <c r="Q1974" s="57"/>
      <c r="R1974" s="57"/>
      <c r="S1974" s="57"/>
      <c r="T1974" s="57"/>
      <c r="U1974" s="57"/>
      <c r="V1974" s="57"/>
      <c r="W1974" s="57"/>
      <c r="X1974" s="6"/>
      <c r="Y1974" s="6"/>
      <c r="Z1974" s="6"/>
      <c r="AA1974" s="6"/>
      <c r="AB1974" s="6"/>
      <c r="AC1974" s="6"/>
      <c r="AD1974" s="6"/>
      <c r="AE1974" s="6"/>
      <c r="AF1974" s="6"/>
      <c r="AG1974" s="6"/>
      <c r="AH1974" s="6"/>
      <c r="AI1974" s="6"/>
      <c r="AJ1974" s="6"/>
    </row>
    <row r="1975" spans="1:36" ht="11.25" customHeight="1" x14ac:dyDescent="0.2">
      <c r="A1975" s="53" t="s">
        <v>27</v>
      </c>
      <c r="B1975" s="53" t="s">
        <v>46</v>
      </c>
      <c r="C1975" s="53" t="s">
        <v>23</v>
      </c>
      <c r="D1975" s="53" t="s">
        <v>47</v>
      </c>
      <c r="E1975" s="53" t="s">
        <v>25</v>
      </c>
      <c r="F1975" s="53" t="s">
        <v>25</v>
      </c>
      <c r="G1975" s="53" t="s">
        <v>25</v>
      </c>
      <c r="H1975" s="53" t="s">
        <v>25</v>
      </c>
      <c r="I1975" s="73">
        <v>43862</v>
      </c>
      <c r="J1975" s="74">
        <f>EFEITO!$J$1975*EFEITO!$Y$1749</f>
        <v>0</v>
      </c>
      <c r="K1975" s="74">
        <f ca="1">EFEITO!$L$1975*EFEITO!$Z$1749</f>
        <v>32512.699807577643</v>
      </c>
      <c r="L1975" s="74">
        <f>EFEITO!$N$1975*EFEITO!$AA$1749</f>
        <v>29048.36101790925</v>
      </c>
      <c r="M1975" s="74">
        <f>$J$1975-EFEITO!$K$1975*EFEITO!$Y$1975</f>
        <v>0</v>
      </c>
      <c r="N1975" s="74">
        <f ca="1">$K$1975-EFEITO!$M$1975*EFEITO!$Z$1975</f>
        <v>5852.2859653639753</v>
      </c>
      <c r="O1975" s="74">
        <f>$L$1975-EFEITO!$O$1975*EFEITO!$AA$1975</f>
        <v>5228.7049832236626</v>
      </c>
      <c r="P1975" s="57"/>
      <c r="Q1975" s="57"/>
      <c r="R1975" s="57"/>
      <c r="S1975" s="57"/>
      <c r="T1975" s="57"/>
      <c r="U1975" s="57"/>
      <c r="V1975" s="57"/>
      <c r="W1975" s="57"/>
      <c r="X1975" s="6"/>
      <c r="Y1975" s="6"/>
      <c r="Z1975" s="6"/>
      <c r="AA1975" s="6"/>
      <c r="AB1975" s="6"/>
      <c r="AC1975" s="6"/>
      <c r="AD1975" s="6"/>
      <c r="AE1975" s="6"/>
      <c r="AF1975" s="6"/>
      <c r="AG1975" s="6"/>
      <c r="AH1975" s="6"/>
      <c r="AI1975" s="6"/>
      <c r="AJ1975" s="6"/>
    </row>
    <row r="1976" spans="1:36" ht="11.25" customHeight="1" x14ac:dyDescent="0.2">
      <c r="A1976" s="53" t="s">
        <v>28</v>
      </c>
      <c r="B1976" s="53" t="s">
        <v>46</v>
      </c>
      <c r="C1976" s="53" t="s">
        <v>23</v>
      </c>
      <c r="D1976" s="53" t="s">
        <v>47</v>
      </c>
      <c r="E1976" s="53" t="s">
        <v>25</v>
      </c>
      <c r="F1976" s="53" t="s">
        <v>25</v>
      </c>
      <c r="G1976" s="53" t="s">
        <v>25</v>
      </c>
      <c r="H1976" s="53" t="s">
        <v>25</v>
      </c>
      <c r="I1976" s="73">
        <v>43862</v>
      </c>
      <c r="J1976" s="74">
        <f>EFEITO!$J$1976*EFEITO!$Y$1749</f>
        <v>0</v>
      </c>
      <c r="K1976" s="74">
        <f ca="1">EFEITO!$L$1976*EFEITO!$Z$1749</f>
        <v>9532.4766124519156</v>
      </c>
      <c r="L1976" s="74">
        <f>EFEITO!$N$1976*EFEITO!$AA$1749</f>
        <v>8516.7587949353529</v>
      </c>
      <c r="M1976" s="74">
        <f>$J$1976-EFEITO!$K$1976*EFEITO!$Y$1976</f>
        <v>0</v>
      </c>
      <c r="N1976" s="74">
        <f ca="1">$K$1976-EFEITO!$M$1976*EFEITO!$Z$1976</f>
        <v>1715.8457902413447</v>
      </c>
      <c r="O1976" s="74">
        <f>$L$1976-EFEITO!$O$1976*EFEITO!$AA$1976</f>
        <v>1533.0165830883625</v>
      </c>
      <c r="P1976" s="57"/>
      <c r="Q1976" s="57"/>
      <c r="R1976" s="57"/>
      <c r="S1976" s="57"/>
      <c r="T1976" s="57"/>
      <c r="U1976" s="57"/>
      <c r="V1976" s="57"/>
      <c r="W1976" s="57"/>
      <c r="X1976" s="6"/>
      <c r="Y1976" s="6"/>
      <c r="Z1976" s="6"/>
      <c r="AA1976" s="6"/>
      <c r="AB1976" s="6"/>
      <c r="AC1976" s="6"/>
      <c r="AD1976" s="6"/>
      <c r="AE1976" s="6"/>
      <c r="AF1976" s="6"/>
      <c r="AG1976" s="6"/>
      <c r="AH1976" s="6"/>
      <c r="AI1976" s="6"/>
      <c r="AJ1976" s="6"/>
    </row>
    <row r="1977" spans="1:36" ht="11.25" customHeight="1" x14ac:dyDescent="0.2">
      <c r="A1977" s="53" t="s">
        <v>21</v>
      </c>
      <c r="B1977" s="53" t="s">
        <v>46</v>
      </c>
      <c r="C1977" s="53" t="s">
        <v>23</v>
      </c>
      <c r="D1977" s="53" t="s">
        <v>47</v>
      </c>
      <c r="E1977" s="53" t="s">
        <v>25</v>
      </c>
      <c r="F1977" s="53" t="s">
        <v>25</v>
      </c>
      <c r="G1977" s="53" t="s">
        <v>25</v>
      </c>
      <c r="H1977" s="53" t="s">
        <v>25</v>
      </c>
      <c r="I1977" s="73">
        <v>43891</v>
      </c>
      <c r="J1977" s="74">
        <f>EFEITO!$J$1977*EFEITO!$Y$1749</f>
        <v>0</v>
      </c>
      <c r="K1977" s="74">
        <f ca="1">EFEITO!$L$1977*EFEITO!$Z$1749</f>
        <v>1578890.7287449567</v>
      </c>
      <c r="L1977" s="74">
        <f>EFEITO!$N$1977*EFEITO!$AA$1749</f>
        <v>1410654.5493870026</v>
      </c>
      <c r="M1977" s="74">
        <f>$J$1977-EFEITO!$K$1977*EFEITO!$Y$1977</f>
        <v>0</v>
      </c>
      <c r="N1977" s="74">
        <f ca="1">$K$1977-EFEITO!$M$1977*EFEITO!$Z$1977</f>
        <v>284200.33117409213</v>
      </c>
      <c r="O1977" s="74">
        <f>$L$1977-EFEITO!$O$1977*EFEITO!$AA$1977</f>
        <v>253917.8188896603</v>
      </c>
      <c r="P1977" s="57"/>
      <c r="Q1977" s="57"/>
      <c r="R1977" s="57"/>
      <c r="S1977" s="57"/>
      <c r="T1977" s="57"/>
      <c r="U1977" s="57"/>
      <c r="V1977" s="57"/>
      <c r="W1977" s="57"/>
      <c r="X1977" s="6"/>
      <c r="Y1977" s="6"/>
      <c r="Z1977" s="6"/>
      <c r="AA1977" s="6"/>
      <c r="AB1977" s="6"/>
      <c r="AC1977" s="6"/>
      <c r="AD1977" s="6"/>
      <c r="AE1977" s="6"/>
      <c r="AF1977" s="6"/>
      <c r="AG1977" s="6"/>
      <c r="AH1977" s="6"/>
      <c r="AI1977" s="6"/>
      <c r="AJ1977" s="6"/>
    </row>
    <row r="1978" spans="1:36" ht="11.25" customHeight="1" x14ac:dyDescent="0.2">
      <c r="A1978" s="53" t="s">
        <v>27</v>
      </c>
      <c r="B1978" s="53" t="s">
        <v>46</v>
      </c>
      <c r="C1978" s="53" t="s">
        <v>23</v>
      </c>
      <c r="D1978" s="53" t="s">
        <v>47</v>
      </c>
      <c r="E1978" s="53" t="s">
        <v>25</v>
      </c>
      <c r="F1978" s="53" t="s">
        <v>25</v>
      </c>
      <c r="G1978" s="53" t="s">
        <v>25</v>
      </c>
      <c r="H1978" s="53" t="s">
        <v>25</v>
      </c>
      <c r="I1978" s="73">
        <v>43891</v>
      </c>
      <c r="J1978" s="74">
        <f>EFEITO!$J$1978*EFEITO!$Y$1749</f>
        <v>0</v>
      </c>
      <c r="K1978" s="74">
        <f ca="1">EFEITO!$L$1978*EFEITO!$Z$1749</f>
        <v>48860.535604358593</v>
      </c>
      <c r="L1978" s="74">
        <f>EFEITO!$N$1978*EFEITO!$AA$1749</f>
        <v>43654.279286674944</v>
      </c>
      <c r="M1978" s="74">
        <f>$J$1978-EFEITO!$K$1978*EFEITO!$Y$1978</f>
        <v>0</v>
      </c>
      <c r="N1978" s="74">
        <f ca="1">$K$1978-EFEITO!$M$1978*EFEITO!$Z$1978</f>
        <v>8794.8964087845452</v>
      </c>
      <c r="O1978" s="74">
        <f>$L$1978-EFEITO!$O$1978*EFEITO!$AA$1978</f>
        <v>7857.7702716014828</v>
      </c>
      <c r="P1978" s="57"/>
      <c r="Q1978" s="57"/>
      <c r="R1978" s="57"/>
      <c r="S1978" s="57"/>
      <c r="T1978" s="57"/>
      <c r="U1978" s="57"/>
      <c r="V1978" s="57"/>
      <c r="W1978" s="57"/>
      <c r="X1978" s="6"/>
      <c r="Y1978" s="6"/>
      <c r="Z1978" s="6"/>
      <c r="AA1978" s="6"/>
      <c r="AB1978" s="6"/>
      <c r="AC1978" s="6"/>
      <c r="AD1978" s="6"/>
      <c r="AE1978" s="6"/>
      <c r="AF1978" s="6"/>
      <c r="AG1978" s="6"/>
      <c r="AH1978" s="6"/>
      <c r="AI1978" s="6"/>
      <c r="AJ1978" s="6"/>
    </row>
    <row r="1979" spans="1:36" ht="11.25" customHeight="1" x14ac:dyDescent="0.2">
      <c r="A1979" s="53" t="s">
        <v>28</v>
      </c>
      <c r="B1979" s="53" t="s">
        <v>46</v>
      </c>
      <c r="C1979" s="53" t="s">
        <v>23</v>
      </c>
      <c r="D1979" s="53" t="s">
        <v>47</v>
      </c>
      <c r="E1979" s="53" t="s">
        <v>25</v>
      </c>
      <c r="F1979" s="53" t="s">
        <v>25</v>
      </c>
      <c r="G1979" s="53" t="s">
        <v>25</v>
      </c>
      <c r="H1979" s="53" t="s">
        <v>25</v>
      </c>
      <c r="I1979" s="73">
        <v>43891</v>
      </c>
      <c r="J1979" s="74">
        <f>EFEITO!$J$1979*EFEITO!$Y$1749</f>
        <v>0</v>
      </c>
      <c r="K1979" s="74">
        <f ca="1">EFEITO!$L$1979*EFEITO!$Z$1749</f>
        <v>9241.8423788454165</v>
      </c>
      <c r="L1979" s="74">
        <f>EFEITO!$N$1979*EFEITO!$AA$1749</f>
        <v>8257.0926278089519</v>
      </c>
      <c r="M1979" s="74">
        <f>$J$1979-EFEITO!$K$1979*EFEITO!$Y$1979</f>
        <v>0</v>
      </c>
      <c r="N1979" s="74">
        <f ca="1">$K$1979-EFEITO!$M$1979*EFEITO!$Z$1979</f>
        <v>1663.531628192175</v>
      </c>
      <c r="O1979" s="74">
        <f>$L$1979-EFEITO!$O$1979*EFEITO!$AA$1979</f>
        <v>1486.2766730056101</v>
      </c>
      <c r="P1979" s="57"/>
      <c r="Q1979" s="57"/>
      <c r="R1979" s="57"/>
      <c r="S1979" s="57"/>
      <c r="T1979" s="57"/>
      <c r="U1979" s="57"/>
      <c r="V1979" s="57"/>
      <c r="W1979" s="57"/>
      <c r="X1979" s="6"/>
      <c r="Y1979" s="6"/>
      <c r="Z1979" s="6"/>
      <c r="AA1979" s="6"/>
      <c r="AB1979" s="6"/>
      <c r="AC1979" s="6"/>
      <c r="AD1979" s="6"/>
      <c r="AE1979" s="6"/>
      <c r="AF1979" s="6"/>
      <c r="AG1979" s="6"/>
      <c r="AH1979" s="6"/>
      <c r="AI1979" s="6"/>
      <c r="AJ1979" s="6"/>
    </row>
    <row r="1980" spans="1:36" ht="11.25" customHeight="1" x14ac:dyDescent="0.2">
      <c r="A1980" s="53" t="s">
        <v>28</v>
      </c>
      <c r="B1980" s="53" t="s">
        <v>46</v>
      </c>
      <c r="C1980" s="53" t="s">
        <v>23</v>
      </c>
      <c r="D1980" s="53" t="s">
        <v>47</v>
      </c>
      <c r="E1980" s="53" t="s">
        <v>25</v>
      </c>
      <c r="F1980" s="53" t="s">
        <v>25</v>
      </c>
      <c r="G1980" s="53" t="s">
        <v>25</v>
      </c>
      <c r="H1980" s="53" t="s">
        <v>25</v>
      </c>
      <c r="I1980" s="73">
        <v>43891</v>
      </c>
      <c r="J1980" s="74">
        <f>EFEITO!$J$1980*EFEITO!$Y$1749</f>
        <v>0</v>
      </c>
      <c r="K1980" s="74">
        <f ca="1">EFEITO!$L$1980*EFEITO!$Z$1749</f>
        <v>1814.2209923818275</v>
      </c>
      <c r="L1980" s="74">
        <f>EFEITO!$N$1980*EFEITO!$AA$1749</f>
        <v>1620.9095727170045</v>
      </c>
      <c r="M1980" s="74">
        <f>$J$1980-EFEITO!$K$1980*EFEITO!$Y$1980</f>
        <v>0</v>
      </c>
      <c r="N1980" s="74">
        <f ca="1">$K$1980-EFEITO!$M$1980*EFEITO!$Z$1980</f>
        <v>326.55977862872896</v>
      </c>
      <c r="O1980" s="74">
        <f>$L$1980-EFEITO!$O$1980*EFEITO!$AA$1980</f>
        <v>291.7637230890607</v>
      </c>
      <c r="P1980" s="57"/>
      <c r="Q1980" s="57"/>
      <c r="R1980" s="57"/>
      <c r="S1980" s="57"/>
      <c r="T1980" s="57"/>
      <c r="U1980" s="57"/>
      <c r="V1980" s="57"/>
      <c r="W1980" s="57"/>
      <c r="X1980" s="6"/>
      <c r="Y1980" s="6"/>
      <c r="Z1980" s="6"/>
      <c r="AA1980" s="6"/>
      <c r="AB1980" s="6"/>
      <c r="AC1980" s="6"/>
      <c r="AD1980" s="6"/>
      <c r="AE1980" s="6"/>
      <c r="AF1980" s="6"/>
      <c r="AG1980" s="6"/>
      <c r="AH1980" s="6"/>
      <c r="AI1980" s="6"/>
      <c r="AJ1980" s="6"/>
    </row>
    <row r="1981" spans="1:36" ht="11.25" customHeight="1" x14ac:dyDescent="0.2">
      <c r="A1981" s="53" t="s">
        <v>21</v>
      </c>
      <c r="B1981" s="53" t="s">
        <v>46</v>
      </c>
      <c r="C1981" s="53" t="s">
        <v>23</v>
      </c>
      <c r="D1981" s="53" t="s">
        <v>47</v>
      </c>
      <c r="E1981" s="53" t="s">
        <v>25</v>
      </c>
      <c r="F1981" s="53" t="s">
        <v>25</v>
      </c>
      <c r="G1981" s="53" t="s">
        <v>25</v>
      </c>
      <c r="H1981" s="53" t="s">
        <v>25</v>
      </c>
      <c r="I1981" s="73">
        <v>43922</v>
      </c>
      <c r="J1981" s="74">
        <f>EFEITO!$J$1981*EFEITO!$Y$1749</f>
        <v>0</v>
      </c>
      <c r="K1981" s="74">
        <f ca="1">EFEITO!$L$1981*EFEITO!$Z$1749</f>
        <v>1833651.0735540965</v>
      </c>
      <c r="L1981" s="74">
        <f>EFEITO!$N$1981*EFEITO!$AA$1749</f>
        <v>1638269.312629093</v>
      </c>
      <c r="M1981" s="74">
        <f>$J$1981-EFEITO!$K$1981*EFEITO!$Y$1981</f>
        <v>0</v>
      </c>
      <c r="N1981" s="74">
        <f ca="1">$K$1981-EFEITO!$M$1981*EFEITO!$Z$1981</f>
        <v>330057.1932397373</v>
      </c>
      <c r="O1981" s="74">
        <f>$L$1981-EFEITO!$O$1981*EFEITO!$AA$1981</f>
        <v>294888.47627323656</v>
      </c>
      <c r="P1981" s="57"/>
      <c r="Q1981" s="57"/>
      <c r="R1981" s="57"/>
      <c r="S1981" s="57"/>
      <c r="T1981" s="57"/>
      <c r="U1981" s="57"/>
      <c r="V1981" s="57"/>
      <c r="W1981" s="57"/>
      <c r="X1981" s="6"/>
      <c r="Y1981" s="6"/>
      <c r="Z1981" s="6"/>
      <c r="AA1981" s="6"/>
      <c r="AB1981" s="6"/>
      <c r="AC1981" s="6"/>
      <c r="AD1981" s="6"/>
      <c r="AE1981" s="6"/>
      <c r="AF1981" s="6"/>
      <c r="AG1981" s="6"/>
      <c r="AH1981" s="6"/>
      <c r="AI1981" s="6"/>
      <c r="AJ1981" s="6"/>
    </row>
    <row r="1982" spans="1:36" ht="11.25" customHeight="1" x14ac:dyDescent="0.2">
      <c r="A1982" s="53" t="s">
        <v>27</v>
      </c>
      <c r="B1982" s="53" t="s">
        <v>46</v>
      </c>
      <c r="C1982" s="53" t="s">
        <v>23</v>
      </c>
      <c r="D1982" s="53" t="s">
        <v>47</v>
      </c>
      <c r="E1982" s="53" t="s">
        <v>25</v>
      </c>
      <c r="F1982" s="53" t="s">
        <v>25</v>
      </c>
      <c r="G1982" s="53" t="s">
        <v>25</v>
      </c>
      <c r="H1982" s="53" t="s">
        <v>25</v>
      </c>
      <c r="I1982" s="73">
        <v>43922</v>
      </c>
      <c r="J1982" s="74">
        <f>EFEITO!$J$1982*EFEITO!$Y$1749</f>
        <v>0</v>
      </c>
      <c r="K1982" s="74">
        <f ca="1">EFEITO!$L$1982*EFEITO!$Z$1749</f>
        <v>23572.094782180309</v>
      </c>
      <c r="L1982" s="74">
        <f>EFEITO!$N$1982*EFEITO!$AA$1749</f>
        <v>21060.407878571816</v>
      </c>
      <c r="M1982" s="74">
        <f>$J$1982-EFEITO!$K$1982*EFEITO!$Y$1982</f>
        <v>0</v>
      </c>
      <c r="N1982" s="74">
        <f ca="1">$K$1982-EFEITO!$M$1982*EFEITO!$Z$1982</f>
        <v>4242.9770607924547</v>
      </c>
      <c r="O1982" s="74">
        <f>$L$1982-EFEITO!$O$1982*EFEITO!$AA$1982</f>
        <v>3790.8734181429245</v>
      </c>
      <c r="P1982" s="57"/>
      <c r="Q1982" s="57"/>
      <c r="R1982" s="57"/>
      <c r="S1982" s="57"/>
      <c r="T1982" s="57"/>
      <c r="U1982" s="57"/>
      <c r="V1982" s="57"/>
      <c r="W1982" s="57"/>
      <c r="X1982" s="6"/>
      <c r="Y1982" s="6"/>
      <c r="Z1982" s="6"/>
      <c r="AA1982" s="6"/>
      <c r="AB1982" s="6"/>
      <c r="AC1982" s="6"/>
      <c r="AD1982" s="6"/>
      <c r="AE1982" s="6"/>
      <c r="AF1982" s="6"/>
      <c r="AG1982" s="6"/>
      <c r="AH1982" s="6"/>
      <c r="AI1982" s="6"/>
      <c r="AJ1982" s="6"/>
    </row>
    <row r="1983" spans="1:36" ht="11.25" customHeight="1" x14ac:dyDescent="0.2">
      <c r="A1983" s="53" t="s">
        <v>28</v>
      </c>
      <c r="B1983" s="53" t="s">
        <v>46</v>
      </c>
      <c r="C1983" s="53" t="s">
        <v>23</v>
      </c>
      <c r="D1983" s="53" t="s">
        <v>47</v>
      </c>
      <c r="E1983" s="53" t="s">
        <v>25</v>
      </c>
      <c r="F1983" s="53" t="s">
        <v>25</v>
      </c>
      <c r="G1983" s="53" t="s">
        <v>25</v>
      </c>
      <c r="H1983" s="53" t="s">
        <v>25</v>
      </c>
      <c r="I1983" s="73">
        <v>43922</v>
      </c>
      <c r="J1983" s="74">
        <f>EFEITO!$J$1983*EFEITO!$Y$1749</f>
        <v>0</v>
      </c>
      <c r="K1983" s="74">
        <f ca="1">EFEITO!$L$1983*EFEITO!$Z$1749</f>
        <v>11056.60712096271</v>
      </c>
      <c r="L1983" s="74">
        <f>EFEITO!$N$1983*EFEITO!$AA$1749</f>
        <v>9878.488011876987</v>
      </c>
      <c r="M1983" s="74">
        <f>$J$1983-EFEITO!$K$1983*EFEITO!$Y$1983</f>
        <v>0</v>
      </c>
      <c r="N1983" s="74">
        <f ca="1">$K$1983-EFEITO!$M$1983*EFEITO!$Z$1983</f>
        <v>1990.1892817732878</v>
      </c>
      <c r="O1983" s="74">
        <f>$L$1983-EFEITO!$O$1983*EFEITO!$AA$1983</f>
        <v>1778.1278421378565</v>
      </c>
      <c r="P1983" s="57"/>
      <c r="Q1983" s="57"/>
      <c r="R1983" s="57"/>
      <c r="S1983" s="57"/>
      <c r="T1983" s="57"/>
      <c r="U1983" s="57"/>
      <c r="V1983" s="57"/>
      <c r="W1983" s="57"/>
      <c r="X1983" s="6"/>
      <c r="Y1983" s="6"/>
      <c r="Z1983" s="6"/>
      <c r="AA1983" s="6"/>
      <c r="AB1983" s="6"/>
      <c r="AC1983" s="6"/>
      <c r="AD1983" s="6"/>
      <c r="AE1983" s="6"/>
      <c r="AF1983" s="6"/>
      <c r="AG1983" s="6"/>
      <c r="AH1983" s="6"/>
      <c r="AI1983" s="6"/>
      <c r="AJ1983" s="6"/>
    </row>
    <row r="1984" spans="1:36" ht="11.25" customHeight="1" x14ac:dyDescent="0.2">
      <c r="A1984" s="53" t="s">
        <v>21</v>
      </c>
      <c r="B1984" s="53" t="s">
        <v>46</v>
      </c>
      <c r="C1984" s="53" t="s">
        <v>23</v>
      </c>
      <c r="D1984" s="53" t="s">
        <v>47</v>
      </c>
      <c r="E1984" s="53" t="s">
        <v>25</v>
      </c>
      <c r="F1984" s="53" t="s">
        <v>25</v>
      </c>
      <c r="G1984" s="53" t="s">
        <v>25</v>
      </c>
      <c r="H1984" s="53" t="s">
        <v>25</v>
      </c>
      <c r="I1984" s="73">
        <v>43952</v>
      </c>
      <c r="J1984" s="74">
        <f>EFEITO!$J$1984*EFEITO!$Y$1749</f>
        <v>0</v>
      </c>
      <c r="K1984" s="74">
        <f ca="1">EFEITO!$L$1984*EFEITO!$Z$1749</f>
        <v>1894274.0034360527</v>
      </c>
      <c r="L1984" s="74">
        <f>EFEITO!$N$1984*EFEITO!$AA$1749</f>
        <v>1692432.663061284</v>
      </c>
      <c r="M1984" s="74">
        <f>$J$1984-EFEITO!$K$1984*EFEITO!$Y$1984</f>
        <v>0</v>
      </c>
      <c r="N1984" s="74">
        <f ca="1">$K$1984-EFEITO!$M$1984*EFEITO!$Z$1984</f>
        <v>340969.32061848952</v>
      </c>
      <c r="O1984" s="74">
        <f>$L$1984-EFEITO!$O$1984*EFEITO!$AA$1984</f>
        <v>304637.87935103104</v>
      </c>
      <c r="P1984" s="57"/>
      <c r="Q1984" s="57"/>
      <c r="R1984" s="57"/>
      <c r="S1984" s="57"/>
      <c r="T1984" s="57"/>
      <c r="U1984" s="57"/>
      <c r="V1984" s="57"/>
      <c r="W1984" s="57"/>
      <c r="X1984" s="6"/>
      <c r="Y1984" s="6"/>
      <c r="Z1984" s="6"/>
      <c r="AA1984" s="6"/>
      <c r="AB1984" s="6"/>
      <c r="AC1984" s="6"/>
      <c r="AD1984" s="6"/>
      <c r="AE1984" s="6"/>
      <c r="AF1984" s="6"/>
      <c r="AG1984" s="6"/>
      <c r="AH1984" s="6"/>
      <c r="AI1984" s="6"/>
      <c r="AJ1984" s="6"/>
    </row>
    <row r="1985" spans="1:36" ht="11.25" customHeight="1" x14ac:dyDescent="0.2">
      <c r="A1985" s="53" t="s">
        <v>27</v>
      </c>
      <c r="B1985" s="53" t="s">
        <v>46</v>
      </c>
      <c r="C1985" s="53" t="s">
        <v>23</v>
      </c>
      <c r="D1985" s="53" t="s">
        <v>47</v>
      </c>
      <c r="E1985" s="53" t="s">
        <v>25</v>
      </c>
      <c r="F1985" s="53" t="s">
        <v>25</v>
      </c>
      <c r="G1985" s="53" t="s">
        <v>25</v>
      </c>
      <c r="H1985" s="53" t="s">
        <v>25</v>
      </c>
      <c r="I1985" s="73">
        <v>43952</v>
      </c>
      <c r="J1985" s="74">
        <f>EFEITO!$J$1985*EFEITO!$Y$1749</f>
        <v>0</v>
      </c>
      <c r="K1985" s="74">
        <f ca="1">EFEITO!$L$1985*EFEITO!$Z$1749</f>
        <v>1478.1836558639288</v>
      </c>
      <c r="L1985" s="74">
        <f>EFEITO!$N$1985*EFEITO!$AA$1749</f>
        <v>1320.6781577794627</v>
      </c>
      <c r="M1985" s="74">
        <f>$J$1985-EFEITO!$K$1985*EFEITO!$Y$1985</f>
        <v>0</v>
      </c>
      <c r="N1985" s="74">
        <f ca="1">$K$1985-EFEITO!$M$1985*EFEITO!$Z$1985</f>
        <v>266.07305805550732</v>
      </c>
      <c r="O1985" s="74">
        <f>$L$1985-EFEITO!$O$1985*EFEITO!$AA$1985</f>
        <v>237.72206840030321</v>
      </c>
      <c r="P1985" s="57"/>
      <c r="Q1985" s="57"/>
      <c r="R1985" s="57"/>
      <c r="S1985" s="57"/>
      <c r="T1985" s="57"/>
      <c r="U1985" s="57"/>
      <c r="V1985" s="57"/>
      <c r="W1985" s="57"/>
      <c r="X1985" s="6"/>
      <c r="Y1985" s="6"/>
      <c r="Z1985" s="6"/>
      <c r="AA1985" s="6"/>
      <c r="AB1985" s="6"/>
      <c r="AC1985" s="6"/>
      <c r="AD1985" s="6"/>
      <c r="AE1985" s="6"/>
      <c r="AF1985" s="6"/>
      <c r="AG1985" s="6"/>
      <c r="AH1985" s="6"/>
      <c r="AI1985" s="6"/>
      <c r="AJ1985" s="6"/>
    </row>
    <row r="1986" spans="1:36" ht="11.25" customHeight="1" x14ac:dyDescent="0.2">
      <c r="A1986" s="53" t="s">
        <v>28</v>
      </c>
      <c r="B1986" s="53" t="s">
        <v>46</v>
      </c>
      <c r="C1986" s="53" t="s">
        <v>23</v>
      </c>
      <c r="D1986" s="53" t="s">
        <v>47</v>
      </c>
      <c r="E1986" s="53" t="s">
        <v>25</v>
      </c>
      <c r="F1986" s="53" t="s">
        <v>25</v>
      </c>
      <c r="G1986" s="53" t="s">
        <v>25</v>
      </c>
      <c r="H1986" s="53" t="s">
        <v>25</v>
      </c>
      <c r="I1986" s="73">
        <v>43952</v>
      </c>
      <c r="J1986" s="74">
        <f>EFEITO!$J$1986*EFEITO!$Y$1749</f>
        <v>0</v>
      </c>
      <c r="K1986" s="74">
        <f ca="1">EFEITO!$L$1986*EFEITO!$Z$1749</f>
        <v>12296.084642957127</v>
      </c>
      <c r="L1986" s="74">
        <f>EFEITO!$N$1986*EFEITO!$AA$1749</f>
        <v>10985.894986553567</v>
      </c>
      <c r="M1986" s="74">
        <f>$J$1986-EFEITO!$K$1986*EFEITO!$Y$1986</f>
        <v>0</v>
      </c>
      <c r="N1986" s="74">
        <f ca="1">$K$1986-EFEITO!$M$1986*EFEITO!$Z$1986</f>
        <v>2213.2952357322829</v>
      </c>
      <c r="O1986" s="74">
        <f>$L$1986-EFEITO!$O$1986*EFEITO!$AA$1986</f>
        <v>1977.4610975796404</v>
      </c>
      <c r="P1986" s="57"/>
      <c r="Q1986" s="57"/>
      <c r="R1986" s="57"/>
      <c r="S1986" s="57"/>
      <c r="T1986" s="57"/>
      <c r="U1986" s="57"/>
      <c r="V1986" s="57"/>
      <c r="W1986" s="57"/>
      <c r="X1986" s="6"/>
      <c r="Y1986" s="6"/>
      <c r="Z1986" s="6"/>
      <c r="AA1986" s="6"/>
      <c r="AB1986" s="6"/>
      <c r="AC1986" s="6"/>
      <c r="AD1986" s="6"/>
      <c r="AE1986" s="6"/>
      <c r="AF1986" s="6"/>
      <c r="AG1986" s="6"/>
      <c r="AH1986" s="6"/>
      <c r="AI1986" s="6"/>
      <c r="AJ1986" s="6"/>
    </row>
    <row r="1987" spans="1:36" ht="11.25" customHeight="1" x14ac:dyDescent="0.2">
      <c r="A1987" s="53" t="s">
        <v>21</v>
      </c>
      <c r="B1987" s="53" t="s">
        <v>46</v>
      </c>
      <c r="C1987" s="53" t="s">
        <v>23</v>
      </c>
      <c r="D1987" s="53" t="s">
        <v>47</v>
      </c>
      <c r="E1987" s="53" t="s">
        <v>25</v>
      </c>
      <c r="F1987" s="53" t="s">
        <v>25</v>
      </c>
      <c r="G1987" s="53" t="s">
        <v>25</v>
      </c>
      <c r="H1987" s="53" t="s">
        <v>25</v>
      </c>
      <c r="I1987" s="73">
        <v>43983</v>
      </c>
      <c r="J1987" s="74">
        <f>EFEITO!$J$1987*EFEITO!$Y$1749</f>
        <v>0</v>
      </c>
      <c r="K1987" s="74">
        <f ca="1">EFEITO!$L$1987*EFEITO!$Z$1749</f>
        <v>1790791.9037800746</v>
      </c>
      <c r="L1987" s="74">
        <f>EFEITO!$N$1987*EFEITO!$AA$1749</f>
        <v>1599976.9332237539</v>
      </c>
      <c r="M1987" s="74">
        <f>$J$1987-EFEITO!$K$1987*EFEITO!$Y$1987</f>
        <v>0</v>
      </c>
      <c r="N1987" s="74">
        <f ca="1">$K$1987-EFEITO!$M$1987*EFEITO!$Z$1987</f>
        <v>322342.54268041346</v>
      </c>
      <c r="O1987" s="74">
        <f>$L$1987-EFEITO!$O$1987*EFEITO!$AA$1987</f>
        <v>287995.84798027552</v>
      </c>
      <c r="P1987" s="57"/>
      <c r="Q1987" s="57"/>
      <c r="R1987" s="57"/>
      <c r="S1987" s="57"/>
      <c r="T1987" s="57"/>
      <c r="U1987" s="57"/>
      <c r="V1987" s="57"/>
      <c r="W1987" s="57"/>
      <c r="X1987" s="6"/>
      <c r="Y1987" s="6"/>
      <c r="Z1987" s="6"/>
      <c r="AA1987" s="6"/>
      <c r="AB1987" s="6"/>
      <c r="AC1987" s="6"/>
      <c r="AD1987" s="6"/>
      <c r="AE1987" s="6"/>
      <c r="AF1987" s="6"/>
      <c r="AG1987" s="6"/>
      <c r="AH1987" s="6"/>
      <c r="AI1987" s="6"/>
      <c r="AJ1987" s="6"/>
    </row>
    <row r="1988" spans="1:36" ht="11.25" customHeight="1" x14ac:dyDescent="0.2">
      <c r="A1988" s="53" t="s">
        <v>27</v>
      </c>
      <c r="B1988" s="53" t="s">
        <v>46</v>
      </c>
      <c r="C1988" s="53" t="s">
        <v>23</v>
      </c>
      <c r="D1988" s="53" t="s">
        <v>47</v>
      </c>
      <c r="E1988" s="53" t="s">
        <v>25</v>
      </c>
      <c r="F1988" s="53" t="s">
        <v>25</v>
      </c>
      <c r="G1988" s="53" t="s">
        <v>25</v>
      </c>
      <c r="H1988" s="53" t="s">
        <v>25</v>
      </c>
      <c r="I1988" s="73">
        <v>43983</v>
      </c>
      <c r="J1988" s="74">
        <f>EFEITO!$J$1988*EFEITO!$Y$1749</f>
        <v>0</v>
      </c>
      <c r="K1988" s="74">
        <f ca="1">EFEITO!$L$1988*EFEITO!$Z$1749</f>
        <v>2491.4612879045508</v>
      </c>
      <c r="L1988" s="74">
        <f>EFEITO!$N$1988*EFEITO!$AA$1749</f>
        <v>2225.9876104268888</v>
      </c>
      <c r="M1988" s="74">
        <f>$J$1988-EFEITO!$K$1988*EFEITO!$Y$1988</f>
        <v>0</v>
      </c>
      <c r="N1988" s="74">
        <f ca="1">$K$1988-EFEITO!$M$1988*EFEITO!$Z$1988</f>
        <v>448.46303182281918</v>
      </c>
      <c r="O1988" s="74">
        <f>$L$1988-EFEITO!$O$1988*EFEITO!$AA$1988</f>
        <v>400.67776987683965</v>
      </c>
      <c r="P1988" s="57"/>
      <c r="Q1988" s="57"/>
      <c r="R1988" s="57"/>
      <c r="S1988" s="57"/>
      <c r="T1988" s="57"/>
      <c r="U1988" s="57"/>
      <c r="V1988" s="57"/>
      <c r="W1988" s="57"/>
      <c r="X1988" s="6"/>
      <c r="Y1988" s="6"/>
      <c r="Z1988" s="6"/>
      <c r="AA1988" s="6"/>
      <c r="AB1988" s="6"/>
      <c r="AC1988" s="6"/>
      <c r="AD1988" s="6"/>
      <c r="AE1988" s="6"/>
      <c r="AF1988" s="6"/>
      <c r="AG1988" s="6"/>
      <c r="AH1988" s="6"/>
      <c r="AI1988" s="6"/>
      <c r="AJ1988" s="6"/>
    </row>
    <row r="1989" spans="1:36" ht="11.25" customHeight="1" x14ac:dyDescent="0.2">
      <c r="A1989" s="53" t="s">
        <v>28</v>
      </c>
      <c r="B1989" s="53" t="s">
        <v>46</v>
      </c>
      <c r="C1989" s="53" t="s">
        <v>23</v>
      </c>
      <c r="D1989" s="53" t="s">
        <v>47</v>
      </c>
      <c r="E1989" s="53" t="s">
        <v>25</v>
      </c>
      <c r="F1989" s="53" t="s">
        <v>25</v>
      </c>
      <c r="G1989" s="53" t="s">
        <v>25</v>
      </c>
      <c r="H1989" s="53" t="s">
        <v>25</v>
      </c>
      <c r="I1989" s="73">
        <v>43983</v>
      </c>
      <c r="J1989" s="74">
        <f>EFEITO!$J$1989*EFEITO!$Y$1749</f>
        <v>0</v>
      </c>
      <c r="K1989" s="74">
        <f ca="1">EFEITO!$L$1989*EFEITO!$Z$1749</f>
        <v>7009.7497147580789</v>
      </c>
      <c r="L1989" s="74">
        <f>EFEITO!$N$1989*EFEITO!$AA$1749</f>
        <v>6262.8370318241468</v>
      </c>
      <c r="M1989" s="74">
        <f>$J$1989-EFEITO!$K$1989*EFEITO!$Y$1989</f>
        <v>0</v>
      </c>
      <c r="N1989" s="74">
        <f ca="1">$K$1989-EFEITO!$M$1989*EFEITO!$Z$1989</f>
        <v>1261.754948656454</v>
      </c>
      <c r="O1989" s="74">
        <f>$L$1989-EFEITO!$O$1989*EFEITO!$AA$1989</f>
        <v>1127.3106657283461</v>
      </c>
      <c r="P1989" s="57"/>
      <c r="Q1989" s="57"/>
      <c r="R1989" s="57"/>
      <c r="S1989" s="57"/>
      <c r="T1989" s="57"/>
      <c r="U1989" s="57"/>
      <c r="V1989" s="57"/>
      <c r="W1989" s="57"/>
      <c r="X1989" s="6"/>
      <c r="Y1989" s="6"/>
      <c r="Z1989" s="6"/>
      <c r="AA1989" s="6"/>
      <c r="AB1989" s="6"/>
      <c r="AC1989" s="6"/>
      <c r="AD1989" s="6"/>
      <c r="AE1989" s="6"/>
      <c r="AF1989" s="6"/>
      <c r="AG1989" s="6"/>
      <c r="AH1989" s="6"/>
      <c r="AI1989" s="6"/>
      <c r="AJ1989" s="6"/>
    </row>
    <row r="1990" spans="1:36" ht="11.25" customHeight="1" x14ac:dyDescent="0.2">
      <c r="A1990" s="53" t="s">
        <v>21</v>
      </c>
      <c r="B1990" s="53" t="s">
        <v>46</v>
      </c>
      <c r="C1990" s="53" t="s">
        <v>23</v>
      </c>
      <c r="D1990" s="53" t="s">
        <v>47</v>
      </c>
      <c r="E1990" s="53" t="s">
        <v>25</v>
      </c>
      <c r="F1990" s="53" t="s">
        <v>25</v>
      </c>
      <c r="G1990" s="53" t="s">
        <v>25</v>
      </c>
      <c r="H1990" s="53" t="s">
        <v>25</v>
      </c>
      <c r="I1990" s="73">
        <v>44013</v>
      </c>
      <c r="J1990" s="74">
        <f>EFEITO!$J$1990*EFEITO!$Y$1749</f>
        <v>0</v>
      </c>
      <c r="K1990" s="74">
        <f ca="1">EFEITO!$L$1990*EFEITO!$Z$1749</f>
        <v>1898484.5295126326</v>
      </c>
      <c r="L1990" s="74">
        <f>EFEITO!$N$1990*EFEITO!$AA$1749</f>
        <v>1696194.5432579974</v>
      </c>
      <c r="M1990" s="74">
        <f>$J$1990-EFEITO!$K$1990*EFEITO!$Y$1990</f>
        <v>0</v>
      </c>
      <c r="N1990" s="74">
        <f ca="1">$K$1990-EFEITO!$M$1990*EFEITO!$Z$1990</f>
        <v>341727.21531227394</v>
      </c>
      <c r="O1990" s="74">
        <f>$L$1990-EFEITO!$O$1990*EFEITO!$AA$1990</f>
        <v>305315.01778643928</v>
      </c>
      <c r="P1990" s="57"/>
      <c r="Q1990" s="57"/>
      <c r="R1990" s="57"/>
      <c r="S1990" s="57"/>
      <c r="T1990" s="57"/>
      <c r="U1990" s="57"/>
      <c r="V1990" s="57"/>
      <c r="W1990" s="57"/>
      <c r="X1990" s="6"/>
      <c r="Y1990" s="6"/>
      <c r="Z1990" s="6"/>
      <c r="AA1990" s="6"/>
      <c r="AB1990" s="6"/>
      <c r="AC1990" s="6"/>
      <c r="AD1990" s="6"/>
      <c r="AE1990" s="6"/>
      <c r="AF1990" s="6"/>
      <c r="AG1990" s="6"/>
      <c r="AH1990" s="6"/>
      <c r="AI1990" s="6"/>
      <c r="AJ1990" s="6"/>
    </row>
    <row r="1991" spans="1:36" ht="11.25" customHeight="1" x14ac:dyDescent="0.2">
      <c r="A1991" s="53" t="s">
        <v>27</v>
      </c>
      <c r="B1991" s="53" t="s">
        <v>46</v>
      </c>
      <c r="C1991" s="53" t="s">
        <v>23</v>
      </c>
      <c r="D1991" s="53" t="s">
        <v>47</v>
      </c>
      <c r="E1991" s="53" t="s">
        <v>25</v>
      </c>
      <c r="F1991" s="53" t="s">
        <v>25</v>
      </c>
      <c r="G1991" s="53" t="s">
        <v>25</v>
      </c>
      <c r="H1991" s="53" t="s">
        <v>25</v>
      </c>
      <c r="I1991" s="73">
        <v>44013</v>
      </c>
      <c r="J1991" s="74">
        <f>EFEITO!$J$1991*EFEITO!$Y$1749</f>
        <v>0</v>
      </c>
      <c r="K1991" s="74">
        <f ca="1">EFEITO!$L$1991*EFEITO!$Z$1749</f>
        <v>5309.7161668240806</v>
      </c>
      <c r="L1991" s="74">
        <f>EFEITO!$N$1991*EFEITO!$AA$1749</f>
        <v>4743.9478428237826</v>
      </c>
      <c r="M1991" s="74">
        <f>$J$1991-EFEITO!$K$1991*EFEITO!$Y$1991</f>
        <v>0</v>
      </c>
      <c r="N1991" s="74">
        <f ca="1">$K$1991-EFEITO!$M$1991*EFEITO!$Z$1991</f>
        <v>955.74891002833374</v>
      </c>
      <c r="O1991" s="74">
        <f>$L$1991-EFEITO!$O$1991*EFEITO!$AA$1991</f>
        <v>853.91061170828061</v>
      </c>
      <c r="P1991" s="57"/>
      <c r="Q1991" s="57"/>
      <c r="R1991" s="57"/>
      <c r="S1991" s="57"/>
      <c r="T1991" s="57"/>
      <c r="U1991" s="57"/>
      <c r="V1991" s="57"/>
      <c r="W1991" s="57"/>
      <c r="X1991" s="6"/>
      <c r="Y1991" s="6"/>
      <c r="Z1991" s="6"/>
      <c r="AA1991" s="6"/>
      <c r="AB1991" s="6"/>
      <c r="AC1991" s="6"/>
      <c r="AD1991" s="6"/>
      <c r="AE1991" s="6"/>
      <c r="AF1991" s="6"/>
      <c r="AG1991" s="6"/>
      <c r="AH1991" s="6"/>
      <c r="AI1991" s="6"/>
      <c r="AJ1991" s="6"/>
    </row>
    <row r="1992" spans="1:36" ht="11.25" customHeight="1" x14ac:dyDescent="0.2">
      <c r="A1992" s="53" t="s">
        <v>28</v>
      </c>
      <c r="B1992" s="53" t="s">
        <v>46</v>
      </c>
      <c r="C1992" s="53" t="s">
        <v>23</v>
      </c>
      <c r="D1992" s="53" t="s">
        <v>47</v>
      </c>
      <c r="E1992" s="53" t="s">
        <v>25</v>
      </c>
      <c r="F1992" s="53" t="s">
        <v>25</v>
      </c>
      <c r="G1992" s="53" t="s">
        <v>25</v>
      </c>
      <c r="H1992" s="53" t="s">
        <v>25</v>
      </c>
      <c r="I1992" s="73">
        <v>44013</v>
      </c>
      <c r="J1992" s="74">
        <f>EFEITO!$J$1992*EFEITO!$Y$1749</f>
        <v>0</v>
      </c>
      <c r="K1992" s="74">
        <f ca="1">EFEITO!$L$1992*EFEITO!$Z$1749</f>
        <v>6287.9219409271554</v>
      </c>
      <c r="L1992" s="74">
        <f>EFEITO!$N$1992*EFEITO!$AA$1749</f>
        <v>5617.922463329669</v>
      </c>
      <c r="M1992" s="74">
        <f>$J$1992-EFEITO!$K$1992*EFEITO!$Y$1992</f>
        <v>0</v>
      </c>
      <c r="N1992" s="74">
        <f ca="1">$K$1992-EFEITO!$M$1992*EFEITO!$Z$1992</f>
        <v>1131.8259493668884</v>
      </c>
      <c r="O1992" s="74">
        <f>$L$1992-EFEITO!$O$1992*EFEITO!$AA$1992</f>
        <v>1011.2260433993397</v>
      </c>
      <c r="P1992" s="57"/>
      <c r="Q1992" s="57"/>
      <c r="R1992" s="57"/>
      <c r="S1992" s="57"/>
      <c r="T1992" s="57"/>
      <c r="U1992" s="57"/>
      <c r="V1992" s="57"/>
      <c r="W1992" s="57"/>
      <c r="X1992" s="6"/>
      <c r="Y1992" s="6"/>
      <c r="Z1992" s="6"/>
      <c r="AA1992" s="6"/>
      <c r="AB1992" s="6"/>
      <c r="AC1992" s="6"/>
      <c r="AD1992" s="6"/>
      <c r="AE1992" s="6"/>
      <c r="AF1992" s="6"/>
      <c r="AG1992" s="6"/>
      <c r="AH1992" s="6"/>
      <c r="AI1992" s="6"/>
      <c r="AJ1992" s="6"/>
    </row>
    <row r="1993" spans="1:36" ht="11.25" customHeight="1" x14ac:dyDescent="0.2">
      <c r="A1993" s="53" t="s">
        <v>21</v>
      </c>
      <c r="B1993" s="53" t="s">
        <v>46</v>
      </c>
      <c r="C1993" s="53" t="s">
        <v>23</v>
      </c>
      <c r="D1993" s="53" t="s">
        <v>47</v>
      </c>
      <c r="E1993" s="53" t="s">
        <v>25</v>
      </c>
      <c r="F1993" s="53" t="s">
        <v>25</v>
      </c>
      <c r="G1993" s="53" t="s">
        <v>25</v>
      </c>
      <c r="H1993" s="53" t="s">
        <v>25</v>
      </c>
      <c r="I1993" s="73">
        <v>44044</v>
      </c>
      <c r="J1993" s="74">
        <f>EFEITO!$J$1993*EFEITO!$Y$1749</f>
        <v>0</v>
      </c>
      <c r="K1993" s="74">
        <f ca="1">EFEITO!$L$1993*EFEITO!$Z$1749</f>
        <v>2165593.9745639376</v>
      </c>
      <c r="L1993" s="74">
        <f>EFEITO!$N$1993*EFEITO!$AA$1749</f>
        <v>1934842.5680933669</v>
      </c>
      <c r="M1993" s="74">
        <f>$J$1993-EFEITO!$K$1993*EFEITO!$Y$1993</f>
        <v>0</v>
      </c>
      <c r="N1993" s="74">
        <f ca="1">$K$1993-EFEITO!$M$1993*EFEITO!$Z$1993</f>
        <v>389806.91542150872</v>
      </c>
      <c r="O1993" s="74">
        <f>$L$1993-EFEITO!$O$1993*EFEITO!$AA$1993</f>
        <v>348271.66225680592</v>
      </c>
      <c r="P1993" s="57"/>
      <c r="Q1993" s="57"/>
      <c r="R1993" s="57"/>
      <c r="S1993" s="57"/>
      <c r="T1993" s="57"/>
      <c r="U1993" s="57"/>
      <c r="V1993" s="57"/>
      <c r="W1993" s="57"/>
      <c r="X1993" s="6"/>
      <c r="Y1993" s="6"/>
      <c r="Z1993" s="6"/>
      <c r="AA1993" s="6"/>
      <c r="AB1993" s="6"/>
      <c r="AC1993" s="6"/>
      <c r="AD1993" s="6"/>
      <c r="AE1993" s="6"/>
      <c r="AF1993" s="6"/>
      <c r="AG1993" s="6"/>
      <c r="AH1993" s="6"/>
      <c r="AI1993" s="6"/>
      <c r="AJ1993" s="6"/>
    </row>
    <row r="1994" spans="1:36" ht="11.25" customHeight="1" x14ac:dyDescent="0.2">
      <c r="A1994" s="53" t="s">
        <v>27</v>
      </c>
      <c r="B1994" s="53" t="s">
        <v>46</v>
      </c>
      <c r="C1994" s="53" t="s">
        <v>23</v>
      </c>
      <c r="D1994" s="53" t="s">
        <v>47</v>
      </c>
      <c r="E1994" s="53" t="s">
        <v>25</v>
      </c>
      <c r="F1994" s="53" t="s">
        <v>25</v>
      </c>
      <c r="G1994" s="53" t="s">
        <v>25</v>
      </c>
      <c r="H1994" s="53" t="s">
        <v>25</v>
      </c>
      <c r="I1994" s="73">
        <v>44044</v>
      </c>
      <c r="J1994" s="74">
        <f>EFEITO!$J$1994*EFEITO!$Y$1749</f>
        <v>0</v>
      </c>
      <c r="K1994" s="74">
        <f ca="1">EFEITO!$L$1994*EFEITO!$Z$1749</f>
        <v>9128.7424338685178</v>
      </c>
      <c r="L1994" s="74">
        <f>EFEITO!$N$1994*EFEITO!$AA$1749</f>
        <v>8156.0438667943736</v>
      </c>
      <c r="M1994" s="74">
        <f>$J$1994-EFEITO!$K$1994*EFEITO!$Y$1994</f>
        <v>0</v>
      </c>
      <c r="N1994" s="74">
        <f ca="1">$K$1994-EFEITO!$M$1994*EFEITO!$Z$1994</f>
        <v>1643.173638096333</v>
      </c>
      <c r="O1994" s="74">
        <f>$L$1994-EFEITO!$O$1994*EFEITO!$AA$1994</f>
        <v>1468.0878960229866</v>
      </c>
      <c r="P1994" s="57"/>
      <c r="Q1994" s="57"/>
      <c r="R1994" s="57"/>
      <c r="S1994" s="57"/>
      <c r="T1994" s="57"/>
      <c r="U1994" s="57"/>
      <c r="V1994" s="57"/>
      <c r="W1994" s="57"/>
      <c r="X1994" s="6"/>
      <c r="Y1994" s="6"/>
      <c r="Z1994" s="6"/>
      <c r="AA1994" s="6"/>
      <c r="AB1994" s="6"/>
      <c r="AC1994" s="6"/>
      <c r="AD1994" s="6"/>
      <c r="AE1994" s="6"/>
      <c r="AF1994" s="6"/>
      <c r="AG1994" s="6"/>
      <c r="AH1994" s="6"/>
      <c r="AI1994" s="6"/>
      <c r="AJ1994" s="6"/>
    </row>
    <row r="1995" spans="1:36" ht="11.25" customHeight="1" x14ac:dyDescent="0.2">
      <c r="A1995" s="53" t="s">
        <v>28</v>
      </c>
      <c r="B1995" s="53" t="s">
        <v>46</v>
      </c>
      <c r="C1995" s="53" t="s">
        <v>23</v>
      </c>
      <c r="D1995" s="53" t="s">
        <v>47</v>
      </c>
      <c r="E1995" s="53" t="s">
        <v>25</v>
      </c>
      <c r="F1995" s="53" t="s">
        <v>25</v>
      </c>
      <c r="G1995" s="53" t="s">
        <v>25</v>
      </c>
      <c r="H1995" s="53" t="s">
        <v>25</v>
      </c>
      <c r="I1995" s="73">
        <v>44044</v>
      </c>
      <c r="J1995" s="74">
        <f>EFEITO!$J$1995*EFEITO!$Y$1749</f>
        <v>0</v>
      </c>
      <c r="K1995" s="74">
        <f ca="1">EFEITO!$L$1995*EFEITO!$Z$1749</f>
        <v>5338.8067776715043</v>
      </c>
      <c r="L1995" s="74">
        <f>EFEITO!$N$1995*EFEITO!$AA$1749</f>
        <v>4769.9387501039737</v>
      </c>
      <c r="M1995" s="74">
        <f>$J$1995-EFEITO!$K$1995*EFEITO!$Y$1995</f>
        <v>0</v>
      </c>
      <c r="N1995" s="74">
        <f ca="1">$K$1995-EFEITO!$M$1995*EFEITO!$Z$1995</f>
        <v>960.98521998087108</v>
      </c>
      <c r="O1995" s="74">
        <f>$L$1995-EFEITO!$O$1995*EFEITO!$AA$1995</f>
        <v>858.58897501871479</v>
      </c>
      <c r="P1995" s="57"/>
      <c r="Q1995" s="57"/>
      <c r="R1995" s="57"/>
      <c r="S1995" s="57"/>
      <c r="T1995" s="57"/>
      <c r="U1995" s="57"/>
      <c r="V1995" s="57"/>
      <c r="W1995" s="57"/>
      <c r="X1995" s="6"/>
      <c r="Y1995" s="6"/>
      <c r="Z1995" s="6"/>
      <c r="AA1995" s="6"/>
      <c r="AB1995" s="6"/>
      <c r="AC1995" s="6"/>
      <c r="AD1995" s="6"/>
      <c r="AE1995" s="6"/>
      <c r="AF1995" s="6"/>
      <c r="AG1995" s="6"/>
      <c r="AH1995" s="6"/>
      <c r="AI1995" s="6"/>
      <c r="AJ1995" s="6"/>
    </row>
    <row r="1996" spans="1:36" ht="11.25" customHeight="1" x14ac:dyDescent="0.2">
      <c r="A1996" s="53" t="s">
        <v>59</v>
      </c>
      <c r="B1996" s="53" t="s">
        <v>46</v>
      </c>
      <c r="C1996" s="53" t="s">
        <v>23</v>
      </c>
      <c r="D1996" s="53" t="s">
        <v>47</v>
      </c>
      <c r="E1996" s="53" t="s">
        <v>25</v>
      </c>
      <c r="F1996" s="53" t="s">
        <v>25</v>
      </c>
      <c r="G1996" s="53" t="s">
        <v>25</v>
      </c>
      <c r="H1996" s="53" t="s">
        <v>25</v>
      </c>
      <c r="I1996" s="73">
        <v>44075</v>
      </c>
      <c r="J1996" s="74">
        <f>EFEITO!$J$1996*EFEITO!$Y$1749</f>
        <v>0</v>
      </c>
      <c r="K1996" s="74">
        <f ca="1">EFEITO!$L$1996*EFEITO!$Z$1749</f>
        <v>2165593.9745639376</v>
      </c>
      <c r="L1996" s="74">
        <f>EFEITO!$N$1996*EFEITO!$AA$1749</f>
        <v>1934842.5680933669</v>
      </c>
      <c r="M1996" s="74">
        <f>$J$1996-EFEITO!$K$1996*EFEITO!$Y$1996</f>
        <v>0</v>
      </c>
      <c r="N1996" s="74">
        <f ca="1">$K$1996-EFEITO!$M$1996*EFEITO!$Z$1996</f>
        <v>389806.91542150872</v>
      </c>
      <c r="O1996" s="74">
        <f>$L$1996-EFEITO!$O$1996*EFEITO!$AA$1996</f>
        <v>348271.66225680592</v>
      </c>
      <c r="P1996" s="57"/>
      <c r="Q1996" s="57"/>
      <c r="R1996" s="57"/>
      <c r="S1996" s="57"/>
      <c r="T1996" s="57"/>
      <c r="U1996" s="57"/>
      <c r="V1996" s="57"/>
      <c r="W1996" s="57"/>
      <c r="X1996" s="6"/>
      <c r="Y1996" s="6"/>
      <c r="Z1996" s="6"/>
      <c r="AA1996" s="6"/>
      <c r="AB1996" s="6"/>
      <c r="AC1996" s="6"/>
      <c r="AD1996" s="6"/>
      <c r="AE1996" s="6"/>
      <c r="AF1996" s="6"/>
      <c r="AG1996" s="6"/>
      <c r="AH1996" s="6"/>
      <c r="AI1996" s="6"/>
      <c r="AJ1996" s="6"/>
    </row>
    <row r="1997" spans="1:36" ht="11.25" customHeight="1" x14ac:dyDescent="0.2">
      <c r="A1997" s="53" t="s">
        <v>59</v>
      </c>
      <c r="B1997" s="53" t="s">
        <v>46</v>
      </c>
      <c r="C1997" s="53" t="s">
        <v>23</v>
      </c>
      <c r="D1997" s="53" t="s">
        <v>47</v>
      </c>
      <c r="E1997" s="53" t="s">
        <v>25</v>
      </c>
      <c r="F1997" s="53" t="s">
        <v>25</v>
      </c>
      <c r="G1997" s="53" t="s">
        <v>25</v>
      </c>
      <c r="H1997" s="53" t="s">
        <v>25</v>
      </c>
      <c r="I1997" s="73">
        <v>44075</v>
      </c>
      <c r="J1997" s="74">
        <f>EFEITO!$J$1997*EFEITO!$Y$1749</f>
        <v>0</v>
      </c>
      <c r="K1997" s="74">
        <f ca="1">EFEITO!$L$1997*EFEITO!$Z$1749</f>
        <v>9128.7424338685178</v>
      </c>
      <c r="L1997" s="74">
        <f>EFEITO!$N$1997*EFEITO!$AA$1749</f>
        <v>8156.0438667943736</v>
      </c>
      <c r="M1997" s="74">
        <f>$J$1997-EFEITO!$K$1997*EFEITO!$Y$1997</f>
        <v>0</v>
      </c>
      <c r="N1997" s="74">
        <f ca="1">$K$1997-EFEITO!$M$1997*EFEITO!$Z$1997</f>
        <v>1643.173638096333</v>
      </c>
      <c r="O1997" s="74">
        <f>$L$1997-EFEITO!$O$1997*EFEITO!$AA$1997</f>
        <v>1468.0878960229866</v>
      </c>
      <c r="P1997" s="57"/>
      <c r="Q1997" s="57"/>
      <c r="R1997" s="57"/>
      <c r="S1997" s="57"/>
      <c r="T1997" s="57"/>
      <c r="U1997" s="57"/>
      <c r="V1997" s="57"/>
      <c r="W1997" s="57"/>
      <c r="X1997" s="6"/>
      <c r="Y1997" s="6"/>
      <c r="Z1997" s="6"/>
      <c r="AA1997" s="6"/>
      <c r="AB1997" s="6"/>
      <c r="AC1997" s="6"/>
      <c r="AD1997" s="6"/>
      <c r="AE1997" s="6"/>
      <c r="AF1997" s="6"/>
      <c r="AG1997" s="6"/>
      <c r="AH1997" s="6"/>
      <c r="AI1997" s="6"/>
      <c r="AJ1997" s="6"/>
    </row>
    <row r="1998" spans="1:36" ht="11.25" customHeight="1" x14ac:dyDescent="0.2">
      <c r="A1998" s="53" t="s">
        <v>59</v>
      </c>
      <c r="B1998" s="53" t="s">
        <v>46</v>
      </c>
      <c r="C1998" s="53" t="s">
        <v>23</v>
      </c>
      <c r="D1998" s="53" t="s">
        <v>47</v>
      </c>
      <c r="E1998" s="53" t="s">
        <v>25</v>
      </c>
      <c r="F1998" s="53" t="s">
        <v>25</v>
      </c>
      <c r="G1998" s="53" t="s">
        <v>25</v>
      </c>
      <c r="H1998" s="53" t="s">
        <v>25</v>
      </c>
      <c r="I1998" s="73">
        <v>44075</v>
      </c>
      <c r="J1998" s="74">
        <f>EFEITO!$J$1998*EFEITO!$Y$1749</f>
        <v>0</v>
      </c>
      <c r="K1998" s="74">
        <f ca="1">EFEITO!$L$1998*EFEITO!$Z$1749</f>
        <v>5338.8067776715043</v>
      </c>
      <c r="L1998" s="74">
        <f>EFEITO!$N$1998*EFEITO!$AA$1749</f>
        <v>4769.9387501039737</v>
      </c>
      <c r="M1998" s="74">
        <f>$J$1998-EFEITO!$K$1998*EFEITO!$Y$1998</f>
        <v>0</v>
      </c>
      <c r="N1998" s="74">
        <f ca="1">$K$1998-EFEITO!$M$1998*EFEITO!$Z$1998</f>
        <v>960.98521998087108</v>
      </c>
      <c r="O1998" s="74">
        <f>$L$1998-EFEITO!$O$1998*EFEITO!$AA$1998</f>
        <v>858.58897501871479</v>
      </c>
      <c r="P1998" s="57"/>
      <c r="Q1998" s="57"/>
      <c r="R1998" s="57"/>
      <c r="S1998" s="57"/>
      <c r="T1998" s="57"/>
      <c r="U1998" s="57"/>
      <c r="V1998" s="57"/>
      <c r="W1998" s="57"/>
      <c r="X1998" s="6"/>
      <c r="Y1998" s="6"/>
      <c r="Z1998" s="6"/>
      <c r="AA1998" s="6"/>
      <c r="AB1998" s="6"/>
      <c r="AC1998" s="6"/>
      <c r="AD1998" s="6"/>
      <c r="AE1998" s="6"/>
      <c r="AF1998" s="6"/>
      <c r="AG1998" s="6"/>
      <c r="AH1998" s="6"/>
      <c r="AI1998" s="6"/>
      <c r="AJ1998" s="6"/>
    </row>
    <row r="1999" spans="1:36" ht="11.25" customHeight="1" x14ac:dyDescent="0.2">
      <c r="A1999" s="53" t="s">
        <v>21</v>
      </c>
      <c r="B1999" s="53" t="s">
        <v>39</v>
      </c>
      <c r="C1999" s="53" t="s">
        <v>37</v>
      </c>
      <c r="D1999" s="53" t="s">
        <v>42</v>
      </c>
      <c r="E1999" s="53" t="s">
        <v>25</v>
      </c>
      <c r="F1999" s="53" t="s">
        <v>25</v>
      </c>
      <c r="G1999" s="53" t="s">
        <v>25</v>
      </c>
      <c r="H1999" s="53" t="s">
        <v>36</v>
      </c>
      <c r="I1999" s="73">
        <v>43739</v>
      </c>
      <c r="J1999" s="74">
        <f>EFEITO!$J$1999*EFEITO!$Y$1999</f>
        <v>0</v>
      </c>
      <c r="K1999" s="74">
        <f ca="1">EFEITO!$L$1999*EFEITO!$Z$1999</f>
        <v>76198.371691190201</v>
      </c>
      <c r="L1999" s="74">
        <f>EFEITO!$N$1999*EFEITO!$AA$1999</f>
        <v>82210.449510088743</v>
      </c>
      <c r="M1999" s="74">
        <f>$J$1999-EFEITO!$K$1999*EFEITO!$Y$1999</f>
        <v>0</v>
      </c>
      <c r="N1999" s="74">
        <f ca="1">$K$1999-EFEITO!$M$1999*EFEITO!$Z$1999</f>
        <v>0</v>
      </c>
      <c r="O1999" s="74">
        <f>$L$1999-EFEITO!$O$1999*EFEITO!$AA$1999</f>
        <v>0</v>
      </c>
      <c r="P1999" s="57"/>
      <c r="Q1999" s="57"/>
      <c r="R1999" s="57"/>
      <c r="S1999" s="57"/>
      <c r="T1999" s="57"/>
      <c r="U1999" s="57"/>
      <c r="V1999" s="57"/>
      <c r="W1999" s="57"/>
      <c r="X1999" s="6"/>
      <c r="Y1999" s="6"/>
      <c r="Z1999" s="6"/>
      <c r="AA1999" s="6"/>
      <c r="AB1999" s="6"/>
      <c r="AC1999" s="6"/>
      <c r="AD1999" s="6"/>
      <c r="AE1999" s="6"/>
      <c r="AF1999" s="6"/>
      <c r="AG1999" s="6"/>
      <c r="AH1999" s="6"/>
      <c r="AI1999" s="6"/>
      <c r="AJ1999" s="6"/>
    </row>
    <row r="2000" spans="1:36" ht="11.25" customHeight="1" x14ac:dyDescent="0.2">
      <c r="A2000" s="53" t="s">
        <v>27</v>
      </c>
      <c r="B2000" s="53" t="s">
        <v>39</v>
      </c>
      <c r="C2000" s="53" t="s">
        <v>37</v>
      </c>
      <c r="D2000" s="53" t="s">
        <v>42</v>
      </c>
      <c r="E2000" s="53" t="s">
        <v>25</v>
      </c>
      <c r="F2000" s="53" t="s">
        <v>25</v>
      </c>
      <c r="G2000" s="53" t="s">
        <v>25</v>
      </c>
      <c r="H2000" s="53" t="s">
        <v>36</v>
      </c>
      <c r="I2000" s="73">
        <v>43739</v>
      </c>
      <c r="J2000" s="74">
        <f>EFEITO!$J$2000*EFEITO!$Y$2000</f>
        <v>0</v>
      </c>
      <c r="K2000" s="74">
        <f ca="1">EFEITO!$L$2000*EFEITO!$Z$2000</f>
        <v>927.05932846994119</v>
      </c>
      <c r="L2000" s="74">
        <f>EFEITO!$N$2000*EFEITO!$AA$2000</f>
        <v>1000.2046293706624</v>
      </c>
      <c r="M2000" s="74">
        <f>$J$2000-EFEITO!$K$2000*EFEITO!$Y$2000</f>
        <v>0</v>
      </c>
      <c r="N2000" s="74">
        <f ca="1">$K$2000-EFEITO!$M$2000*EFEITO!$Z$2000</f>
        <v>0</v>
      </c>
      <c r="O2000" s="74">
        <f>$L$2000-EFEITO!$O$2000*EFEITO!$AA$2000</f>
        <v>0</v>
      </c>
      <c r="P2000" s="57"/>
      <c r="Q2000" s="57"/>
      <c r="R2000" s="57"/>
      <c r="S2000" s="57"/>
      <c r="T2000" s="57"/>
      <c r="U2000" s="57"/>
      <c r="V2000" s="57"/>
      <c r="W2000" s="57"/>
      <c r="X2000" s="6"/>
      <c r="Y2000" s="6"/>
      <c r="Z2000" s="6"/>
      <c r="AA2000" s="6"/>
      <c r="AB2000" s="6"/>
      <c r="AC2000" s="6"/>
      <c r="AD2000" s="6"/>
      <c r="AE2000" s="6"/>
      <c r="AF2000" s="6"/>
      <c r="AG2000" s="6"/>
      <c r="AH2000" s="6"/>
      <c r="AI2000" s="6"/>
      <c r="AJ2000" s="6"/>
    </row>
    <row r="2001" spans="1:36" ht="11.25" customHeight="1" x14ac:dyDescent="0.2">
      <c r="A2001" s="53" t="s">
        <v>21</v>
      </c>
      <c r="B2001" s="53" t="s">
        <v>39</v>
      </c>
      <c r="C2001" s="53" t="s">
        <v>37</v>
      </c>
      <c r="D2001" s="53" t="s">
        <v>42</v>
      </c>
      <c r="E2001" s="53" t="s">
        <v>25</v>
      </c>
      <c r="F2001" s="53" t="s">
        <v>25</v>
      </c>
      <c r="G2001" s="53" t="s">
        <v>25</v>
      </c>
      <c r="H2001" s="53" t="s">
        <v>36</v>
      </c>
      <c r="I2001" s="73">
        <v>43770</v>
      </c>
      <c r="J2001" s="74">
        <f>EFEITO!$J$2001*EFEITO!$Y$2001</f>
        <v>0</v>
      </c>
      <c r="K2001" s="74">
        <f ca="1">EFEITO!$L$2001*EFEITO!$Z$2001</f>
        <v>300860.38461030362</v>
      </c>
      <c r="L2001" s="74">
        <f>EFEITO!$N$2001*EFEITO!$AA$2001</f>
        <v>324598.37276878307</v>
      </c>
      <c r="M2001" s="74">
        <f>$J$2001-EFEITO!$K$2001*EFEITO!$Y$2001</f>
        <v>0</v>
      </c>
      <c r="N2001" s="74">
        <f ca="1">$K$2001-EFEITO!$M$2001*EFEITO!$Z$2001</f>
        <v>0</v>
      </c>
      <c r="O2001" s="74">
        <f>$L$2001-EFEITO!$O$2001*EFEITO!$AA$2001</f>
        <v>0</v>
      </c>
      <c r="P2001" s="57"/>
      <c r="Q2001" s="57"/>
      <c r="R2001" s="57"/>
      <c r="S2001" s="57"/>
      <c r="T2001" s="57"/>
      <c r="U2001" s="57"/>
      <c r="V2001" s="57"/>
      <c r="W2001" s="57"/>
      <c r="X2001" s="6"/>
      <c r="Y2001" s="6"/>
      <c r="Z2001" s="6"/>
      <c r="AA2001" s="6"/>
      <c r="AB2001" s="6"/>
      <c r="AC2001" s="6"/>
      <c r="AD2001" s="6"/>
      <c r="AE2001" s="6"/>
      <c r="AF2001" s="6"/>
      <c r="AG2001" s="6"/>
      <c r="AH2001" s="6"/>
      <c r="AI2001" s="6"/>
      <c r="AJ2001" s="6"/>
    </row>
    <row r="2002" spans="1:36" ht="11.25" customHeight="1" x14ac:dyDescent="0.2">
      <c r="A2002" s="53" t="s">
        <v>27</v>
      </c>
      <c r="B2002" s="53" t="s">
        <v>39</v>
      </c>
      <c r="C2002" s="53" t="s">
        <v>37</v>
      </c>
      <c r="D2002" s="53" t="s">
        <v>42</v>
      </c>
      <c r="E2002" s="53" t="s">
        <v>25</v>
      </c>
      <c r="F2002" s="53" t="s">
        <v>25</v>
      </c>
      <c r="G2002" s="53" t="s">
        <v>25</v>
      </c>
      <c r="H2002" s="53" t="s">
        <v>36</v>
      </c>
      <c r="I2002" s="73">
        <v>43770</v>
      </c>
      <c r="J2002" s="74">
        <f>EFEITO!$J$2002*EFEITO!$Y$2002</f>
        <v>0</v>
      </c>
      <c r="K2002" s="74">
        <f ca="1">EFEITO!$L$2002*EFEITO!$Z$2002</f>
        <v>1440.9749774394309</v>
      </c>
      <c r="L2002" s="74">
        <f>EFEITO!$N$2002*EFEITO!$AA$2002</f>
        <v>1554.6684003718926</v>
      </c>
      <c r="M2002" s="74">
        <f>$J$2002-EFEITO!$K$2002*EFEITO!$Y$2002</f>
        <v>0</v>
      </c>
      <c r="N2002" s="74">
        <f ca="1">$K$2002-EFEITO!$M$2002*EFEITO!$Z$2002</f>
        <v>0</v>
      </c>
      <c r="O2002" s="74">
        <f>$L$2002-EFEITO!$O$2002*EFEITO!$AA$2002</f>
        <v>0</v>
      </c>
      <c r="P2002" s="57"/>
      <c r="Q2002" s="57"/>
      <c r="R2002" s="57"/>
      <c r="S2002" s="57"/>
      <c r="T2002" s="57"/>
      <c r="U2002" s="57"/>
      <c r="V2002" s="57"/>
      <c r="W2002" s="57"/>
      <c r="X2002" s="6"/>
      <c r="Y2002" s="6"/>
      <c r="Z2002" s="6"/>
      <c r="AA2002" s="6"/>
      <c r="AB2002" s="6"/>
      <c r="AC2002" s="6"/>
      <c r="AD2002" s="6"/>
      <c r="AE2002" s="6"/>
      <c r="AF2002" s="6"/>
      <c r="AG2002" s="6"/>
      <c r="AH2002" s="6"/>
      <c r="AI2002" s="6"/>
      <c r="AJ2002" s="6"/>
    </row>
    <row r="2003" spans="1:36" ht="11.25" customHeight="1" x14ac:dyDescent="0.2">
      <c r="A2003" s="53" t="s">
        <v>27</v>
      </c>
      <c r="B2003" s="53" t="s">
        <v>39</v>
      </c>
      <c r="C2003" s="53" t="s">
        <v>37</v>
      </c>
      <c r="D2003" s="53" t="s">
        <v>42</v>
      </c>
      <c r="E2003" s="53" t="s">
        <v>25</v>
      </c>
      <c r="F2003" s="53" t="s">
        <v>25</v>
      </c>
      <c r="G2003" s="53" t="s">
        <v>25</v>
      </c>
      <c r="H2003" s="53" t="s">
        <v>36</v>
      </c>
      <c r="I2003" s="73">
        <v>43800</v>
      </c>
      <c r="J2003" s="74">
        <f>EFEITO!$J$2003*EFEITO!$Y$2003</f>
        <v>0</v>
      </c>
      <c r="K2003" s="74">
        <f ca="1">EFEITO!$L$2003*EFEITO!$Z$2003</f>
        <v>-131083.57881629188</v>
      </c>
      <c r="L2003" s="74">
        <f>EFEITO!$N$2003*EFEITO!$AA$2003</f>
        <v>-141426.11841565685</v>
      </c>
      <c r="M2003" s="74">
        <f>$J$2003-EFEITO!$K$2003*EFEITO!$Y$2003</f>
        <v>0</v>
      </c>
      <c r="N2003" s="74">
        <f ca="1">$K$2003-EFEITO!$M$2003*EFEITO!$Z$2003</f>
        <v>0</v>
      </c>
      <c r="O2003" s="74">
        <f>$L$2003-EFEITO!$O$2003*EFEITO!$AA$2003</f>
        <v>0</v>
      </c>
      <c r="P2003" s="57"/>
      <c r="Q2003" s="57"/>
      <c r="R2003" s="57"/>
      <c r="S2003" s="57"/>
      <c r="T2003" s="57"/>
      <c r="U2003" s="57"/>
      <c r="V2003" s="57"/>
      <c r="W2003" s="57"/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  <c r="AH2003" s="6"/>
      <c r="AI2003" s="6"/>
      <c r="AJ2003" s="6"/>
    </row>
    <row r="2004" spans="1:36" ht="11.25" customHeight="1" x14ac:dyDescent="0.2">
      <c r="A2004" s="53" t="s">
        <v>21</v>
      </c>
      <c r="B2004" s="53" t="s">
        <v>39</v>
      </c>
      <c r="C2004" s="53" t="s">
        <v>37</v>
      </c>
      <c r="D2004" s="53" t="s">
        <v>42</v>
      </c>
      <c r="E2004" s="53" t="s">
        <v>25</v>
      </c>
      <c r="F2004" s="53" t="s">
        <v>25</v>
      </c>
      <c r="G2004" s="53" t="s">
        <v>25</v>
      </c>
      <c r="H2004" s="53" t="s">
        <v>36</v>
      </c>
      <c r="I2004" s="73">
        <v>43831</v>
      </c>
      <c r="J2004" s="74">
        <f>EFEITO!$J$2004*EFEITO!$Y$2004</f>
        <v>0</v>
      </c>
      <c r="K2004" s="74">
        <f ca="1">EFEITO!$L$2004*EFEITO!$Z$2004</f>
        <v>79484.051383623373</v>
      </c>
      <c r="L2004" s="74">
        <f>EFEITO!$N$2004*EFEITO!$AA$2004</f>
        <v>85755.370463987958</v>
      </c>
      <c r="M2004" s="74">
        <f>$J$2004-EFEITO!$K$2004*EFEITO!$Y$2004</f>
        <v>0</v>
      </c>
      <c r="N2004" s="74">
        <f ca="1">$K$2004-EFEITO!$M$2004*EFEITO!$Z$2004</f>
        <v>0</v>
      </c>
      <c r="O2004" s="74">
        <f>$L$2004-EFEITO!$O$2004*EFEITO!$AA$2004</f>
        <v>0</v>
      </c>
      <c r="P2004" s="57"/>
      <c r="Q2004" s="57"/>
      <c r="R2004" s="57"/>
      <c r="S2004" s="57"/>
      <c r="T2004" s="57"/>
      <c r="U2004" s="57"/>
      <c r="V2004" s="57"/>
      <c r="W2004" s="57"/>
      <c r="X2004" s="6"/>
      <c r="Y2004" s="6"/>
      <c r="Z2004" s="6"/>
      <c r="AA2004" s="6"/>
      <c r="AB2004" s="6"/>
      <c r="AC2004" s="6"/>
      <c r="AD2004" s="6"/>
      <c r="AE2004" s="6"/>
      <c r="AF2004" s="6"/>
      <c r="AG2004" s="6"/>
      <c r="AH2004" s="6"/>
      <c r="AI2004" s="6"/>
      <c r="AJ2004" s="6"/>
    </row>
    <row r="2005" spans="1:36" ht="11.25" customHeight="1" x14ac:dyDescent="0.2">
      <c r="A2005" s="53" t="s">
        <v>27</v>
      </c>
      <c r="B2005" s="53" t="s">
        <v>39</v>
      </c>
      <c r="C2005" s="53" t="s">
        <v>37</v>
      </c>
      <c r="D2005" s="53" t="s">
        <v>42</v>
      </c>
      <c r="E2005" s="53" t="s">
        <v>25</v>
      </c>
      <c r="F2005" s="53" t="s">
        <v>25</v>
      </c>
      <c r="G2005" s="53" t="s">
        <v>25</v>
      </c>
      <c r="H2005" s="53" t="s">
        <v>36</v>
      </c>
      <c r="I2005" s="73">
        <v>43831</v>
      </c>
      <c r="J2005" s="74">
        <f>EFEITO!$J$2005*EFEITO!$Y$2005</f>
        <v>0</v>
      </c>
      <c r="K2005" s="74">
        <f ca="1">EFEITO!$L$2005*EFEITO!$Z$2005</f>
        <v>622.38993457628862</v>
      </c>
      <c r="L2005" s="74">
        <f>EFEITO!$N$2005*EFEITO!$AA$2005</f>
        <v>671.49671517176466</v>
      </c>
      <c r="M2005" s="74">
        <f>$J$2005-EFEITO!$K$2005*EFEITO!$Y$2005</f>
        <v>0</v>
      </c>
      <c r="N2005" s="74">
        <f ca="1">$K$2005-EFEITO!$M$2005*EFEITO!$Z$2005</f>
        <v>0</v>
      </c>
      <c r="O2005" s="74">
        <f>$L$2005-EFEITO!$O$2005*EFEITO!$AA$2005</f>
        <v>0</v>
      </c>
      <c r="P2005" s="57"/>
      <c r="Q2005" s="57"/>
      <c r="R2005" s="57"/>
      <c r="S2005" s="57"/>
      <c r="T2005" s="57"/>
      <c r="U2005" s="57"/>
      <c r="V2005" s="57"/>
      <c r="W2005" s="57"/>
      <c r="X2005" s="6"/>
      <c r="Y2005" s="6"/>
      <c r="Z2005" s="6"/>
      <c r="AA2005" s="6"/>
      <c r="AB2005" s="6"/>
      <c r="AC2005" s="6"/>
      <c r="AD2005" s="6"/>
      <c r="AE2005" s="6"/>
      <c r="AF2005" s="6"/>
      <c r="AG2005" s="6"/>
      <c r="AH2005" s="6"/>
      <c r="AI2005" s="6"/>
      <c r="AJ2005" s="6"/>
    </row>
    <row r="2006" spans="1:36" ht="11.25" customHeight="1" x14ac:dyDescent="0.2">
      <c r="A2006" s="53" t="s">
        <v>21</v>
      </c>
      <c r="B2006" s="53" t="s">
        <v>39</v>
      </c>
      <c r="C2006" s="53" t="s">
        <v>37</v>
      </c>
      <c r="D2006" s="53" t="s">
        <v>42</v>
      </c>
      <c r="E2006" s="53" t="s">
        <v>25</v>
      </c>
      <c r="F2006" s="53" t="s">
        <v>25</v>
      </c>
      <c r="G2006" s="53" t="s">
        <v>25</v>
      </c>
      <c r="H2006" s="53" t="s">
        <v>36</v>
      </c>
      <c r="I2006" s="73">
        <v>43862</v>
      </c>
      <c r="J2006" s="74">
        <f>EFEITO!$J$2006*EFEITO!$Y$2006</f>
        <v>0</v>
      </c>
      <c r="K2006" s="74">
        <f ca="1">EFEITO!$L$2006*EFEITO!$Z$2006</f>
        <v>72857.278113210385</v>
      </c>
      <c r="L2006" s="74">
        <f>EFEITO!$N$2006*EFEITO!$AA$2006</f>
        <v>78605.742495952523</v>
      </c>
      <c r="M2006" s="74">
        <f>$J$2006-EFEITO!$K$2006*EFEITO!$Y$2006</f>
        <v>0</v>
      </c>
      <c r="N2006" s="74">
        <f ca="1">$K$2006-EFEITO!$M$2006*EFEITO!$Z$2006</f>
        <v>0</v>
      </c>
      <c r="O2006" s="74">
        <f>$L$2006-EFEITO!$O$2006*EFEITO!$AA$2006</f>
        <v>0</v>
      </c>
      <c r="P2006" s="57"/>
      <c r="Q2006" s="57"/>
      <c r="R2006" s="57"/>
      <c r="S2006" s="57"/>
      <c r="T2006" s="57"/>
      <c r="U2006" s="57"/>
      <c r="V2006" s="57"/>
      <c r="W2006" s="57"/>
      <c r="X2006" s="6"/>
      <c r="Y2006" s="6"/>
      <c r="Z2006" s="6"/>
      <c r="AA2006" s="6"/>
      <c r="AB2006" s="6"/>
      <c r="AC2006" s="6"/>
      <c r="AD2006" s="6"/>
      <c r="AE2006" s="6"/>
      <c r="AF2006" s="6"/>
      <c r="AG2006" s="6"/>
      <c r="AH2006" s="6"/>
      <c r="AI2006" s="6"/>
      <c r="AJ2006" s="6"/>
    </row>
    <row r="2007" spans="1:36" ht="11.25" customHeight="1" x14ac:dyDescent="0.2">
      <c r="A2007" s="53" t="s">
        <v>27</v>
      </c>
      <c r="B2007" s="53" t="s">
        <v>39</v>
      </c>
      <c r="C2007" s="53" t="s">
        <v>37</v>
      </c>
      <c r="D2007" s="53" t="s">
        <v>42</v>
      </c>
      <c r="E2007" s="53" t="s">
        <v>25</v>
      </c>
      <c r="F2007" s="53" t="s">
        <v>25</v>
      </c>
      <c r="G2007" s="53" t="s">
        <v>25</v>
      </c>
      <c r="H2007" s="53" t="s">
        <v>36</v>
      </c>
      <c r="I2007" s="73">
        <v>43862</v>
      </c>
      <c r="J2007" s="74">
        <f>EFEITO!$J$2007*EFEITO!$Y$2007</f>
        <v>0</v>
      </c>
      <c r="K2007" s="74">
        <f ca="1">EFEITO!$L$2007*EFEITO!$Z$2007</f>
        <v>2299.7832267997687</v>
      </c>
      <c r="L2007" s="74">
        <f>EFEITO!$N$2007*EFEITO!$AA$2007</f>
        <v>2481.2369169409762</v>
      </c>
      <c r="M2007" s="74">
        <f>$J$2007-EFEITO!$K$2007*EFEITO!$Y$2007</f>
        <v>0</v>
      </c>
      <c r="N2007" s="74">
        <f ca="1">$K$2007-EFEITO!$M$2007*EFEITO!$Z$2007</f>
        <v>0</v>
      </c>
      <c r="O2007" s="74">
        <f>$L$2007-EFEITO!$O$2007*EFEITO!$AA$2007</f>
        <v>0</v>
      </c>
      <c r="P2007" s="57"/>
      <c r="Q2007" s="57"/>
      <c r="R2007" s="57"/>
      <c r="S2007" s="57"/>
      <c r="T2007" s="57"/>
      <c r="U2007" s="57"/>
      <c r="V2007" s="57"/>
      <c r="W2007" s="57"/>
      <c r="X2007" s="6"/>
      <c r="Y2007" s="6"/>
      <c r="Z2007" s="6"/>
      <c r="AA2007" s="6"/>
      <c r="AB2007" s="6"/>
      <c r="AC2007" s="6"/>
      <c r="AD2007" s="6"/>
      <c r="AE2007" s="6"/>
      <c r="AF2007" s="6"/>
      <c r="AG2007" s="6"/>
      <c r="AH2007" s="6"/>
      <c r="AI2007" s="6"/>
      <c r="AJ2007" s="6"/>
    </row>
    <row r="2008" spans="1:36" ht="11.25" customHeight="1" x14ac:dyDescent="0.2">
      <c r="A2008" s="53" t="s">
        <v>21</v>
      </c>
      <c r="B2008" s="53" t="s">
        <v>39</v>
      </c>
      <c r="C2008" s="53" t="s">
        <v>37</v>
      </c>
      <c r="D2008" s="53" t="s">
        <v>42</v>
      </c>
      <c r="E2008" s="53" t="s">
        <v>25</v>
      </c>
      <c r="F2008" s="53" t="s">
        <v>25</v>
      </c>
      <c r="G2008" s="53" t="s">
        <v>25</v>
      </c>
      <c r="H2008" s="53" t="s">
        <v>36</v>
      </c>
      <c r="I2008" s="73">
        <v>43891</v>
      </c>
      <c r="J2008" s="74">
        <f>EFEITO!$J$2008*EFEITO!$Y$2008</f>
        <v>0</v>
      </c>
      <c r="K2008" s="74">
        <f ca="1">EFEITO!$L$2008*EFEITO!$Z$2008</f>
        <v>70508.499597645408</v>
      </c>
      <c r="L2008" s="74">
        <f>EFEITO!$N$2008*EFEITO!$AA$2008</f>
        <v>76071.644545056799</v>
      </c>
      <c r="M2008" s="74">
        <f>$J$2008-EFEITO!$K$2008*EFEITO!$Y$2008</f>
        <v>0</v>
      </c>
      <c r="N2008" s="74">
        <f ca="1">$K$2008-EFEITO!$M$2008*EFEITO!$Z$2008</f>
        <v>0</v>
      </c>
      <c r="O2008" s="74">
        <f>$L$2008-EFEITO!$O$2008*EFEITO!$AA$2008</f>
        <v>0</v>
      </c>
      <c r="P2008" s="57"/>
      <c r="Q2008" s="57"/>
      <c r="R2008" s="57"/>
      <c r="S2008" s="57"/>
      <c r="T2008" s="57"/>
      <c r="U2008" s="57"/>
      <c r="V2008" s="57"/>
      <c r="W2008" s="57"/>
      <c r="X2008" s="6"/>
      <c r="Y2008" s="6"/>
      <c r="Z2008" s="6"/>
      <c r="AA2008" s="6"/>
      <c r="AB2008" s="6"/>
      <c r="AC2008" s="6"/>
      <c r="AD2008" s="6"/>
      <c r="AE2008" s="6"/>
      <c r="AF2008" s="6"/>
      <c r="AG2008" s="6"/>
      <c r="AH2008" s="6"/>
      <c r="AI2008" s="6"/>
      <c r="AJ2008" s="6"/>
    </row>
    <row r="2009" spans="1:36" ht="11.25" customHeight="1" x14ac:dyDescent="0.2">
      <c r="A2009" s="53" t="s">
        <v>27</v>
      </c>
      <c r="B2009" s="53" t="s">
        <v>39</v>
      </c>
      <c r="C2009" s="53" t="s">
        <v>37</v>
      </c>
      <c r="D2009" s="53" t="s">
        <v>42</v>
      </c>
      <c r="E2009" s="53" t="s">
        <v>25</v>
      </c>
      <c r="F2009" s="53" t="s">
        <v>25</v>
      </c>
      <c r="G2009" s="53" t="s">
        <v>25</v>
      </c>
      <c r="H2009" s="53" t="s">
        <v>36</v>
      </c>
      <c r="I2009" s="73">
        <v>43891</v>
      </c>
      <c r="J2009" s="74">
        <f>EFEITO!$J$2009*EFEITO!$Y$2009</f>
        <v>0</v>
      </c>
      <c r="K2009" s="74">
        <f ca="1">EFEITO!$L$2009*EFEITO!$Z$2009</f>
        <v>2053.3091103914203</v>
      </c>
      <c r="L2009" s="74">
        <f>EFEITO!$N$2009*EFEITO!$AA$2009</f>
        <v>2215.3159077014184</v>
      </c>
      <c r="M2009" s="74">
        <f>$J$2009-EFEITO!$K$2009*EFEITO!$Y$2009</f>
        <v>0</v>
      </c>
      <c r="N2009" s="74">
        <f ca="1">$K$2009-EFEITO!$M$2009*EFEITO!$Z$2009</f>
        <v>0</v>
      </c>
      <c r="O2009" s="74">
        <f>$L$2009-EFEITO!$O$2009*EFEITO!$AA$2009</f>
        <v>0</v>
      </c>
      <c r="P2009" s="57"/>
      <c r="Q2009" s="57"/>
      <c r="R2009" s="57"/>
      <c r="S2009" s="57"/>
      <c r="T2009" s="57"/>
      <c r="U2009" s="57"/>
      <c r="V2009" s="57"/>
      <c r="W2009" s="57"/>
      <c r="X2009" s="6"/>
      <c r="Y2009" s="6"/>
      <c r="Z2009" s="6"/>
      <c r="AA2009" s="6"/>
      <c r="AB2009" s="6"/>
      <c r="AC2009" s="6"/>
      <c r="AD2009" s="6"/>
      <c r="AE2009" s="6"/>
      <c r="AF2009" s="6"/>
      <c r="AG2009" s="6"/>
      <c r="AH2009" s="6"/>
      <c r="AI2009" s="6"/>
      <c r="AJ2009" s="6"/>
    </row>
    <row r="2010" spans="1:36" ht="11.25" customHeight="1" x14ac:dyDescent="0.2">
      <c r="A2010" s="53" t="s">
        <v>21</v>
      </c>
      <c r="B2010" s="53" t="s">
        <v>39</v>
      </c>
      <c r="C2010" s="53" t="s">
        <v>37</v>
      </c>
      <c r="D2010" s="53" t="s">
        <v>42</v>
      </c>
      <c r="E2010" s="53" t="s">
        <v>25</v>
      </c>
      <c r="F2010" s="53" t="s">
        <v>25</v>
      </c>
      <c r="G2010" s="53" t="s">
        <v>25</v>
      </c>
      <c r="H2010" s="53" t="s">
        <v>36</v>
      </c>
      <c r="I2010" s="73">
        <v>43922</v>
      </c>
      <c r="J2010" s="74">
        <f>EFEITO!$J$2010*EFEITO!$Y$2010</f>
        <v>0</v>
      </c>
      <c r="K2010" s="74">
        <f ca="1">EFEITO!$L$2010*EFEITO!$Z$2010</f>
        <v>61264.222559750015</v>
      </c>
      <c r="L2010" s="74">
        <f>EFEITO!$N$2010*EFEITO!$AA$2010</f>
        <v>66097.990859107522</v>
      </c>
      <c r="M2010" s="74">
        <f>$J$2010-EFEITO!$K$2010*EFEITO!$Y$2010</f>
        <v>0</v>
      </c>
      <c r="N2010" s="74">
        <f ca="1">$K$2010-EFEITO!$M$2010*EFEITO!$Z$2010</f>
        <v>0</v>
      </c>
      <c r="O2010" s="74">
        <f>$L$2010-EFEITO!$O$2010*EFEITO!$AA$2010</f>
        <v>0</v>
      </c>
      <c r="P2010" s="57"/>
      <c r="Q2010" s="57"/>
      <c r="R2010" s="57"/>
      <c r="S2010" s="57"/>
      <c r="T2010" s="57"/>
      <c r="U2010" s="57"/>
      <c r="V2010" s="57"/>
      <c r="W2010" s="57"/>
      <c r="X2010" s="6"/>
      <c r="Y2010" s="6"/>
      <c r="Z2010" s="6"/>
      <c r="AA2010" s="6"/>
      <c r="AB2010" s="6"/>
      <c r="AC2010" s="6"/>
      <c r="AD2010" s="6"/>
      <c r="AE2010" s="6"/>
      <c r="AF2010" s="6"/>
      <c r="AG2010" s="6"/>
      <c r="AH2010" s="6"/>
      <c r="AI2010" s="6"/>
      <c r="AJ2010" s="6"/>
    </row>
    <row r="2011" spans="1:36" ht="11.25" customHeight="1" x14ac:dyDescent="0.2">
      <c r="A2011" s="53" t="s">
        <v>27</v>
      </c>
      <c r="B2011" s="53" t="s">
        <v>39</v>
      </c>
      <c r="C2011" s="53" t="s">
        <v>37</v>
      </c>
      <c r="D2011" s="53" t="s">
        <v>42</v>
      </c>
      <c r="E2011" s="53" t="s">
        <v>25</v>
      </c>
      <c r="F2011" s="53" t="s">
        <v>25</v>
      </c>
      <c r="G2011" s="53" t="s">
        <v>25</v>
      </c>
      <c r="H2011" s="53" t="s">
        <v>36</v>
      </c>
      <c r="I2011" s="73">
        <v>43922</v>
      </c>
      <c r="J2011" s="74">
        <f>EFEITO!$J$2011*EFEITO!$Y$2011</f>
        <v>0</v>
      </c>
      <c r="K2011" s="74">
        <f ca="1">EFEITO!$L$2011*EFEITO!$Z$2011</f>
        <v>666.25034591631584</v>
      </c>
      <c r="L2011" s="74">
        <f>EFEITO!$N$2011*EFEITO!$AA$2011</f>
        <v>718.81772810067901</v>
      </c>
      <c r="M2011" s="74">
        <f>$J$2011-EFEITO!$K$2011*EFEITO!$Y$2011</f>
        <v>0</v>
      </c>
      <c r="N2011" s="74">
        <f ca="1">$K$2011-EFEITO!$M$2011*EFEITO!$Z$2011</f>
        <v>0</v>
      </c>
      <c r="O2011" s="74">
        <f>$L$2011-EFEITO!$O$2011*EFEITO!$AA$2011</f>
        <v>0</v>
      </c>
      <c r="P2011" s="57"/>
      <c r="Q2011" s="57"/>
      <c r="R2011" s="57"/>
      <c r="S2011" s="57"/>
      <c r="T2011" s="57"/>
      <c r="U2011" s="57"/>
      <c r="V2011" s="57"/>
      <c r="W2011" s="57"/>
      <c r="X2011" s="6"/>
      <c r="Y2011" s="6"/>
      <c r="Z2011" s="6"/>
      <c r="AA2011" s="6"/>
      <c r="AB2011" s="6"/>
      <c r="AC2011" s="6"/>
      <c r="AD2011" s="6"/>
      <c r="AE2011" s="6"/>
      <c r="AF2011" s="6"/>
      <c r="AG2011" s="6"/>
      <c r="AH2011" s="6"/>
      <c r="AI2011" s="6"/>
      <c r="AJ2011" s="6"/>
    </row>
    <row r="2012" spans="1:36" ht="11.25" customHeight="1" x14ac:dyDescent="0.2">
      <c r="A2012" s="53" t="s">
        <v>21</v>
      </c>
      <c r="B2012" s="53" t="s">
        <v>39</v>
      </c>
      <c r="C2012" s="53" t="s">
        <v>37</v>
      </c>
      <c r="D2012" s="53" t="s">
        <v>42</v>
      </c>
      <c r="E2012" s="53" t="s">
        <v>25</v>
      </c>
      <c r="F2012" s="53" t="s">
        <v>25</v>
      </c>
      <c r="G2012" s="53" t="s">
        <v>25</v>
      </c>
      <c r="H2012" s="53" t="s">
        <v>36</v>
      </c>
      <c r="I2012" s="73">
        <v>43952</v>
      </c>
      <c r="J2012" s="74">
        <f>EFEITO!$J$2012*EFEITO!$Y$2012</f>
        <v>0</v>
      </c>
      <c r="K2012" s="74">
        <f ca="1">EFEITO!$L$2012*EFEITO!$Z$2012</f>
        <v>49431.539393114865</v>
      </c>
      <c r="L2012" s="74">
        <f>EFEITO!$N$2012*EFEITO!$AA$2012</f>
        <v>53331.704907724081</v>
      </c>
      <c r="M2012" s="74">
        <f>$J$2012-EFEITO!$K$2012*EFEITO!$Y$2012</f>
        <v>0</v>
      </c>
      <c r="N2012" s="74">
        <f ca="1">$K$2012-EFEITO!$M$2012*EFEITO!$Z$2012</f>
        <v>0</v>
      </c>
      <c r="O2012" s="74">
        <f>$L$2012-EFEITO!$O$2012*EFEITO!$AA$2012</f>
        <v>0</v>
      </c>
      <c r="P2012" s="57"/>
      <c r="Q2012" s="57"/>
      <c r="R2012" s="57"/>
      <c r="S2012" s="57"/>
      <c r="T2012" s="57"/>
      <c r="U2012" s="57"/>
      <c r="V2012" s="57"/>
      <c r="W2012" s="57"/>
      <c r="X2012" s="6"/>
      <c r="Y2012" s="6"/>
      <c r="Z2012" s="6"/>
      <c r="AA2012" s="6"/>
      <c r="AB2012" s="6"/>
      <c r="AC2012" s="6"/>
      <c r="AD2012" s="6"/>
      <c r="AE2012" s="6"/>
      <c r="AF2012" s="6"/>
      <c r="AG2012" s="6"/>
      <c r="AH2012" s="6"/>
      <c r="AI2012" s="6"/>
      <c r="AJ2012" s="6"/>
    </row>
    <row r="2013" spans="1:36" ht="11.25" customHeight="1" x14ac:dyDescent="0.2">
      <c r="A2013" s="53" t="s">
        <v>27</v>
      </c>
      <c r="B2013" s="53" t="s">
        <v>39</v>
      </c>
      <c r="C2013" s="53" t="s">
        <v>37</v>
      </c>
      <c r="D2013" s="53" t="s">
        <v>42</v>
      </c>
      <c r="E2013" s="53" t="s">
        <v>25</v>
      </c>
      <c r="F2013" s="53" t="s">
        <v>25</v>
      </c>
      <c r="G2013" s="53" t="s">
        <v>25</v>
      </c>
      <c r="H2013" s="53" t="s">
        <v>36</v>
      </c>
      <c r="I2013" s="73">
        <v>43952</v>
      </c>
      <c r="J2013" s="74">
        <f>EFEITO!$J$2013*EFEITO!$Y$2013</f>
        <v>0</v>
      </c>
      <c r="K2013" s="74">
        <f ca="1">EFEITO!$L$2013*EFEITO!$Z$2013</f>
        <v>3266.8518085408564</v>
      </c>
      <c r="L2013" s="74">
        <f>EFEITO!$N$2013*EFEITO!$AA$2013</f>
        <v>3524.6075434711847</v>
      </c>
      <c r="M2013" s="74">
        <f>$J$2013-EFEITO!$K$2013*EFEITO!$Y$2013</f>
        <v>0</v>
      </c>
      <c r="N2013" s="74">
        <f ca="1">$K$2013-EFEITO!$M$2013*EFEITO!$Z$2013</f>
        <v>0</v>
      </c>
      <c r="O2013" s="74">
        <f>$L$2013-EFEITO!$O$2013*EFEITO!$AA$2013</f>
        <v>0</v>
      </c>
      <c r="P2013" s="57"/>
      <c r="Q2013" s="57"/>
      <c r="R2013" s="57"/>
      <c r="S2013" s="57"/>
      <c r="T2013" s="57"/>
      <c r="U2013" s="57"/>
      <c r="V2013" s="57"/>
      <c r="W2013" s="57"/>
      <c r="X2013" s="6"/>
      <c r="Y2013" s="6"/>
      <c r="Z2013" s="6"/>
      <c r="AA2013" s="6"/>
      <c r="AB2013" s="6"/>
      <c r="AC2013" s="6"/>
      <c r="AD2013" s="6"/>
      <c r="AE2013" s="6"/>
      <c r="AF2013" s="6"/>
      <c r="AG2013" s="6"/>
      <c r="AH2013" s="6"/>
      <c r="AI2013" s="6"/>
      <c r="AJ2013" s="6"/>
    </row>
    <row r="2014" spans="1:36" ht="11.25" customHeight="1" x14ac:dyDescent="0.2">
      <c r="A2014" s="53" t="s">
        <v>21</v>
      </c>
      <c r="B2014" s="53" t="s">
        <v>39</v>
      </c>
      <c r="C2014" s="53" t="s">
        <v>37</v>
      </c>
      <c r="D2014" s="53" t="s">
        <v>42</v>
      </c>
      <c r="E2014" s="53" t="s">
        <v>25</v>
      </c>
      <c r="F2014" s="53" t="s">
        <v>25</v>
      </c>
      <c r="G2014" s="53" t="s">
        <v>25</v>
      </c>
      <c r="H2014" s="53" t="s">
        <v>36</v>
      </c>
      <c r="I2014" s="73">
        <v>43983</v>
      </c>
      <c r="J2014" s="74">
        <f>EFEITO!$J$2014*EFEITO!$Y$2014</f>
        <v>0</v>
      </c>
      <c r="K2014" s="74">
        <f ca="1">EFEITO!$L$2014*EFEITO!$Z$2014</f>
        <v>47050.66789364256</v>
      </c>
      <c r="L2014" s="74">
        <f>EFEITO!$N$2014*EFEITO!$AA$2014</f>
        <v>50762.981825416966</v>
      </c>
      <c r="M2014" s="74">
        <f>$J$2014-EFEITO!$K$2014*EFEITO!$Y$2014</f>
        <v>0</v>
      </c>
      <c r="N2014" s="74">
        <f ca="1">$K$2014-EFEITO!$M$2014*EFEITO!$Z$2014</f>
        <v>0</v>
      </c>
      <c r="O2014" s="74">
        <f>$L$2014-EFEITO!$O$2014*EFEITO!$AA$2014</f>
        <v>0</v>
      </c>
      <c r="P2014" s="57"/>
      <c r="Q2014" s="57"/>
      <c r="R2014" s="57"/>
      <c r="S2014" s="57"/>
      <c r="T2014" s="57"/>
      <c r="U2014" s="57"/>
      <c r="V2014" s="57"/>
      <c r="W2014" s="57"/>
      <c r="X2014" s="6"/>
      <c r="Y2014" s="6"/>
      <c r="Z2014" s="6"/>
      <c r="AA2014" s="6"/>
      <c r="AB2014" s="6"/>
      <c r="AC2014" s="6"/>
      <c r="AD2014" s="6"/>
      <c r="AE2014" s="6"/>
      <c r="AF2014" s="6"/>
      <c r="AG2014" s="6"/>
      <c r="AH2014" s="6"/>
      <c r="AI2014" s="6"/>
      <c r="AJ2014" s="6"/>
    </row>
    <row r="2015" spans="1:36" ht="11.25" customHeight="1" x14ac:dyDescent="0.2">
      <c r="A2015" s="53" t="s">
        <v>27</v>
      </c>
      <c r="B2015" s="53" t="s">
        <v>39</v>
      </c>
      <c r="C2015" s="53" t="s">
        <v>37</v>
      </c>
      <c r="D2015" s="53" t="s">
        <v>42</v>
      </c>
      <c r="E2015" s="53" t="s">
        <v>25</v>
      </c>
      <c r="F2015" s="53" t="s">
        <v>25</v>
      </c>
      <c r="G2015" s="53" t="s">
        <v>25</v>
      </c>
      <c r="H2015" s="53" t="s">
        <v>36</v>
      </c>
      <c r="I2015" s="73">
        <v>43983</v>
      </c>
      <c r="J2015" s="74">
        <f>EFEITO!$J$2015*EFEITO!$Y$2015</f>
        <v>0</v>
      </c>
      <c r="K2015" s="74">
        <f ca="1">EFEITO!$L$2015*EFEITO!$Z$2015</f>
        <v>1752.2769213405995</v>
      </c>
      <c r="L2015" s="74">
        <f>EFEITO!$N$2015*EFEITO!$AA$2015</f>
        <v>1890.5321750624796</v>
      </c>
      <c r="M2015" s="74">
        <f>$J$2015-EFEITO!$K$2015*EFEITO!$Y$2015</f>
        <v>0</v>
      </c>
      <c r="N2015" s="74">
        <f ca="1">$K$2015-EFEITO!$M$2015*EFEITO!$Z$2015</f>
        <v>0</v>
      </c>
      <c r="O2015" s="74">
        <f>$L$2015-EFEITO!$O$2015*EFEITO!$AA$2015</f>
        <v>0</v>
      </c>
      <c r="P2015" s="57"/>
      <c r="Q2015" s="57"/>
      <c r="R2015" s="57"/>
      <c r="S2015" s="57"/>
      <c r="T2015" s="57"/>
      <c r="U2015" s="57"/>
      <c r="V2015" s="57"/>
      <c r="W2015" s="57"/>
      <c r="X2015" s="6"/>
      <c r="Y2015" s="6"/>
      <c r="Z2015" s="6"/>
      <c r="AA2015" s="6"/>
      <c r="AB2015" s="6"/>
      <c r="AC2015" s="6"/>
      <c r="AD2015" s="6"/>
      <c r="AE2015" s="6"/>
      <c r="AF2015" s="6"/>
      <c r="AG2015" s="6"/>
      <c r="AH2015" s="6"/>
      <c r="AI2015" s="6"/>
      <c r="AJ2015" s="6"/>
    </row>
    <row r="2016" spans="1:36" ht="11.25" customHeight="1" x14ac:dyDescent="0.2">
      <c r="A2016" s="53" t="s">
        <v>21</v>
      </c>
      <c r="B2016" s="53" t="s">
        <v>39</v>
      </c>
      <c r="C2016" s="53" t="s">
        <v>37</v>
      </c>
      <c r="D2016" s="53" t="s">
        <v>42</v>
      </c>
      <c r="E2016" s="53" t="s">
        <v>25</v>
      </c>
      <c r="F2016" s="53" t="s">
        <v>25</v>
      </c>
      <c r="G2016" s="53" t="s">
        <v>25</v>
      </c>
      <c r="H2016" s="53" t="s">
        <v>36</v>
      </c>
      <c r="I2016" s="73">
        <v>44013</v>
      </c>
      <c r="J2016" s="74">
        <f>EFEITO!$J$2016*EFEITO!$Y$2016</f>
        <v>0</v>
      </c>
      <c r="K2016" s="74">
        <f ca="1">EFEITO!$L$2016*EFEITO!$Z$2016</f>
        <v>52245.666175336228</v>
      </c>
      <c r="L2016" s="74">
        <f>EFEITO!$N$2016*EFEITO!$AA$2016</f>
        <v>56367.867264085107</v>
      </c>
      <c r="M2016" s="74">
        <f>$J$2016-EFEITO!$K$2016*EFEITO!$Y$2016</f>
        <v>0</v>
      </c>
      <c r="N2016" s="74">
        <f ca="1">$K$2016-EFEITO!$M$2016*EFEITO!$Z$2016</f>
        <v>0</v>
      </c>
      <c r="O2016" s="74">
        <f>$L$2016-EFEITO!$O$2016*EFEITO!$AA$2016</f>
        <v>0</v>
      </c>
      <c r="P2016" s="57"/>
      <c r="Q2016" s="57"/>
      <c r="R2016" s="57"/>
      <c r="S2016" s="57"/>
      <c r="T2016" s="57"/>
      <c r="U2016" s="57"/>
      <c r="V2016" s="57"/>
      <c r="W2016" s="57"/>
      <c r="X2016" s="6"/>
      <c r="Y2016" s="6"/>
      <c r="Z2016" s="6"/>
      <c r="AA2016" s="6"/>
      <c r="AB2016" s="6"/>
      <c r="AC2016" s="6"/>
      <c r="AD2016" s="6"/>
      <c r="AE2016" s="6"/>
      <c r="AF2016" s="6"/>
      <c r="AG2016" s="6"/>
      <c r="AH2016" s="6"/>
      <c r="AI2016" s="6"/>
      <c r="AJ2016" s="6"/>
    </row>
    <row r="2017" spans="1:36" ht="11.25" customHeight="1" x14ac:dyDescent="0.2">
      <c r="A2017" s="53" t="s">
        <v>27</v>
      </c>
      <c r="B2017" s="53" t="s">
        <v>39</v>
      </c>
      <c r="C2017" s="53" t="s">
        <v>37</v>
      </c>
      <c r="D2017" s="53" t="s">
        <v>42</v>
      </c>
      <c r="E2017" s="53" t="s">
        <v>25</v>
      </c>
      <c r="F2017" s="53" t="s">
        <v>25</v>
      </c>
      <c r="G2017" s="53" t="s">
        <v>25</v>
      </c>
      <c r="H2017" s="53" t="s">
        <v>36</v>
      </c>
      <c r="I2017" s="73">
        <v>44013</v>
      </c>
      <c r="J2017" s="74">
        <f>EFEITO!$J$2017*EFEITO!$Y$2017</f>
        <v>0</v>
      </c>
      <c r="K2017" s="74">
        <f ca="1">EFEITO!$L$2017*EFEITO!$Z$2017</f>
        <v>165.17189050976103</v>
      </c>
      <c r="L2017" s="74">
        <f>EFEITO!$N$2017*EFEITO!$AA$2017</f>
        <v>178.20400966400908</v>
      </c>
      <c r="M2017" s="74">
        <f>$J$2017-EFEITO!$K$2017*EFEITO!$Y$2017</f>
        <v>0</v>
      </c>
      <c r="N2017" s="74">
        <f ca="1">$K$2017-EFEITO!$M$2017*EFEITO!$Z$2017</f>
        <v>0</v>
      </c>
      <c r="O2017" s="74">
        <f>$L$2017-EFEITO!$O$2017*EFEITO!$AA$2017</f>
        <v>0</v>
      </c>
      <c r="P2017" s="57"/>
      <c r="Q2017" s="57"/>
      <c r="R2017" s="57"/>
      <c r="S2017" s="57"/>
      <c r="T2017" s="57"/>
      <c r="U2017" s="57"/>
      <c r="V2017" s="57"/>
      <c r="W2017" s="57"/>
      <c r="X2017" s="6"/>
      <c r="Y2017" s="6"/>
      <c r="Z2017" s="6"/>
      <c r="AA2017" s="6"/>
      <c r="AB2017" s="6"/>
      <c r="AC2017" s="6"/>
      <c r="AD2017" s="6"/>
      <c r="AE2017" s="6"/>
      <c r="AF2017" s="6"/>
      <c r="AG2017" s="6"/>
      <c r="AH2017" s="6"/>
      <c r="AI2017" s="6"/>
      <c r="AJ2017" s="6"/>
    </row>
    <row r="2018" spans="1:36" ht="11.25" customHeight="1" x14ac:dyDescent="0.2">
      <c r="A2018" s="53" t="s">
        <v>21</v>
      </c>
      <c r="B2018" s="53" t="s">
        <v>39</v>
      </c>
      <c r="C2018" s="53" t="s">
        <v>37</v>
      </c>
      <c r="D2018" s="53" t="s">
        <v>42</v>
      </c>
      <c r="E2018" s="53" t="s">
        <v>25</v>
      </c>
      <c r="F2018" s="53" t="s">
        <v>25</v>
      </c>
      <c r="G2018" s="53" t="s">
        <v>25</v>
      </c>
      <c r="H2018" s="53" t="s">
        <v>36</v>
      </c>
      <c r="I2018" s="73">
        <v>44044</v>
      </c>
      <c r="J2018" s="74">
        <f>EFEITO!$J$2018*EFEITO!$Y$2018</f>
        <v>0</v>
      </c>
      <c r="K2018" s="74">
        <f ca="1">EFEITO!$L$2018*EFEITO!$Z$2018</f>
        <v>53921.775748203414</v>
      </c>
      <c r="L2018" s="74">
        <f>EFEITO!$N$2018*EFEITO!$AA$2018</f>
        <v>58176.222460597863</v>
      </c>
      <c r="M2018" s="74">
        <f>$J$2018-EFEITO!$K$2018*EFEITO!$Y$2018</f>
        <v>0</v>
      </c>
      <c r="N2018" s="74">
        <f ca="1">$K$2018-EFEITO!$M$2018*EFEITO!$Z$2018</f>
        <v>0</v>
      </c>
      <c r="O2018" s="74">
        <f>$L$2018-EFEITO!$O$2018*EFEITO!$AA$2018</f>
        <v>0</v>
      </c>
      <c r="P2018" s="57"/>
      <c r="Q2018" s="57"/>
      <c r="R2018" s="57"/>
      <c r="S2018" s="57"/>
      <c r="T2018" s="57"/>
      <c r="U2018" s="57"/>
      <c r="V2018" s="57"/>
      <c r="W2018" s="57"/>
      <c r="X2018" s="6"/>
      <c r="Y2018" s="6"/>
      <c r="Z2018" s="6"/>
      <c r="AA2018" s="6"/>
      <c r="AB2018" s="6"/>
      <c r="AC2018" s="6"/>
      <c r="AD2018" s="6"/>
      <c r="AE2018" s="6"/>
      <c r="AF2018" s="6"/>
      <c r="AG2018" s="6"/>
      <c r="AH2018" s="6"/>
      <c r="AI2018" s="6"/>
      <c r="AJ2018" s="6"/>
    </row>
    <row r="2019" spans="1:36" ht="11.25" customHeight="1" x14ac:dyDescent="0.2">
      <c r="A2019" s="53" t="s">
        <v>27</v>
      </c>
      <c r="B2019" s="53" t="s">
        <v>39</v>
      </c>
      <c r="C2019" s="53" t="s">
        <v>37</v>
      </c>
      <c r="D2019" s="53" t="s">
        <v>42</v>
      </c>
      <c r="E2019" s="53" t="s">
        <v>25</v>
      </c>
      <c r="F2019" s="53" t="s">
        <v>25</v>
      </c>
      <c r="G2019" s="53" t="s">
        <v>25</v>
      </c>
      <c r="H2019" s="53" t="s">
        <v>36</v>
      </c>
      <c r="I2019" s="73">
        <v>44044</v>
      </c>
      <c r="J2019" s="74">
        <f>EFEITO!$J$2019*EFEITO!$Y$2019</f>
        <v>0</v>
      </c>
      <c r="K2019" s="74">
        <f ca="1">EFEITO!$L$2019*EFEITO!$Z$2019</f>
        <v>3714.4419574351832</v>
      </c>
      <c r="L2019" s="74">
        <f>EFEITO!$N$2019*EFEITO!$AA$2019</f>
        <v>4007.5127095555204</v>
      </c>
      <c r="M2019" s="74">
        <f>$J$2019-EFEITO!$K$2019*EFEITO!$Y$2019</f>
        <v>0</v>
      </c>
      <c r="N2019" s="74">
        <f ca="1">$K$2019-EFEITO!$M$2019*EFEITO!$Z$2019</f>
        <v>0</v>
      </c>
      <c r="O2019" s="74">
        <f>$L$2019-EFEITO!$O$2019*EFEITO!$AA$2019</f>
        <v>0</v>
      </c>
      <c r="P2019" s="57"/>
      <c r="Q2019" s="57"/>
      <c r="R2019" s="57"/>
      <c r="S2019" s="57"/>
      <c r="T2019" s="57"/>
      <c r="U2019" s="57"/>
      <c r="V2019" s="57"/>
      <c r="W2019" s="57"/>
      <c r="X2019" s="6"/>
      <c r="Y2019" s="6"/>
      <c r="Z2019" s="6"/>
      <c r="AA2019" s="6"/>
      <c r="AB2019" s="6"/>
      <c r="AC2019" s="6"/>
      <c r="AD2019" s="6"/>
      <c r="AE2019" s="6"/>
      <c r="AF2019" s="6"/>
      <c r="AG2019" s="6"/>
      <c r="AH2019" s="6"/>
      <c r="AI2019" s="6"/>
      <c r="AJ2019" s="6"/>
    </row>
    <row r="2020" spans="1:36" ht="11.25" customHeight="1" x14ac:dyDescent="0.2">
      <c r="A2020" s="53" t="s">
        <v>59</v>
      </c>
      <c r="B2020" s="53" t="s">
        <v>39</v>
      </c>
      <c r="C2020" s="53" t="s">
        <v>37</v>
      </c>
      <c r="D2020" s="53" t="s">
        <v>42</v>
      </c>
      <c r="E2020" s="53" t="s">
        <v>25</v>
      </c>
      <c r="F2020" s="53" t="s">
        <v>25</v>
      </c>
      <c r="G2020" s="53" t="s">
        <v>25</v>
      </c>
      <c r="H2020" s="53" t="s">
        <v>36</v>
      </c>
      <c r="I2020" s="73">
        <v>44075</v>
      </c>
      <c r="J2020" s="74">
        <f>EFEITO!$J$2020*EFEITO!$Y$2020</f>
        <v>0</v>
      </c>
      <c r="K2020" s="74">
        <f ca="1">EFEITO!$L$2020*EFEITO!$Z$2020</f>
        <v>53921.775748203414</v>
      </c>
      <c r="L2020" s="74">
        <f>EFEITO!$N$2020*EFEITO!$AA$2020</f>
        <v>58176.222460597863</v>
      </c>
      <c r="M2020" s="74">
        <f>$J$2020-EFEITO!$K$2020*EFEITO!$Y$2020</f>
        <v>0</v>
      </c>
      <c r="N2020" s="74">
        <f ca="1">$K$2020-EFEITO!$M$2020*EFEITO!$Z$2020</f>
        <v>0</v>
      </c>
      <c r="O2020" s="74">
        <f>$L$2020-EFEITO!$O$2020*EFEITO!$AA$2020</f>
        <v>0</v>
      </c>
      <c r="P2020" s="57"/>
      <c r="Q2020" s="57"/>
      <c r="R2020" s="57"/>
      <c r="S2020" s="57"/>
      <c r="T2020" s="57"/>
      <c r="U2020" s="57"/>
      <c r="V2020" s="57"/>
      <c r="W2020" s="57"/>
      <c r="X2020" s="6"/>
      <c r="Y2020" s="6"/>
      <c r="Z2020" s="6"/>
      <c r="AA2020" s="6"/>
      <c r="AB2020" s="6"/>
      <c r="AC2020" s="6"/>
      <c r="AD2020" s="6"/>
      <c r="AE2020" s="6"/>
      <c r="AF2020" s="6"/>
      <c r="AG2020" s="6"/>
      <c r="AH2020" s="6"/>
      <c r="AI2020" s="6"/>
      <c r="AJ2020" s="6"/>
    </row>
    <row r="2021" spans="1:36" ht="11.25" customHeight="1" x14ac:dyDescent="0.2">
      <c r="A2021" s="53" t="s">
        <v>59</v>
      </c>
      <c r="B2021" s="53" t="s">
        <v>39</v>
      </c>
      <c r="C2021" s="53" t="s">
        <v>37</v>
      </c>
      <c r="D2021" s="53" t="s">
        <v>42</v>
      </c>
      <c r="E2021" s="53" t="s">
        <v>25</v>
      </c>
      <c r="F2021" s="53" t="s">
        <v>25</v>
      </c>
      <c r="G2021" s="53" t="s">
        <v>25</v>
      </c>
      <c r="H2021" s="53" t="s">
        <v>36</v>
      </c>
      <c r="I2021" s="73">
        <v>44075</v>
      </c>
      <c r="J2021" s="74">
        <f>EFEITO!$J$2021*EFEITO!$Y$2021</f>
        <v>0</v>
      </c>
      <c r="K2021" s="74">
        <f ca="1">EFEITO!$L$2021*EFEITO!$Z$2021</f>
        <v>3714.4419574351832</v>
      </c>
      <c r="L2021" s="74">
        <f>EFEITO!$N$2021*EFEITO!$AA$2021</f>
        <v>4007.5127095555204</v>
      </c>
      <c r="M2021" s="74">
        <f>$J$2021-EFEITO!$K$2021*EFEITO!$Y$2021</f>
        <v>0</v>
      </c>
      <c r="N2021" s="74">
        <f ca="1">$K$2021-EFEITO!$M$2021*EFEITO!$Z$2021</f>
        <v>0</v>
      </c>
      <c r="O2021" s="74">
        <f>$L$2021-EFEITO!$O$2021*EFEITO!$AA$2021</f>
        <v>0</v>
      </c>
      <c r="P2021" s="57"/>
      <c r="Q2021" s="57"/>
      <c r="R2021" s="57"/>
      <c r="S2021" s="57"/>
      <c r="T2021" s="57"/>
      <c r="U2021" s="57"/>
      <c r="V2021" s="57"/>
      <c r="W2021" s="57"/>
      <c r="X2021" s="6"/>
      <c r="Y2021" s="6"/>
      <c r="Z2021" s="6"/>
      <c r="AA2021" s="6"/>
      <c r="AB2021" s="6"/>
      <c r="AC2021" s="6"/>
      <c r="AD2021" s="6"/>
      <c r="AE2021" s="6"/>
      <c r="AF2021" s="6"/>
      <c r="AG2021" s="6"/>
      <c r="AH2021" s="6"/>
      <c r="AI2021" s="6"/>
      <c r="AJ2021" s="6"/>
    </row>
    <row r="2022" spans="1:36" ht="11.25" customHeight="1" x14ac:dyDescent="0.2">
      <c r="A2022" s="53" t="s">
        <v>21</v>
      </c>
      <c r="B2022" s="53" t="s">
        <v>39</v>
      </c>
      <c r="C2022" s="53" t="s">
        <v>37</v>
      </c>
      <c r="D2022" s="53" t="s">
        <v>42</v>
      </c>
      <c r="E2022" s="53" t="s">
        <v>25</v>
      </c>
      <c r="F2022" s="53" t="s">
        <v>25</v>
      </c>
      <c r="G2022" s="53" t="s">
        <v>25</v>
      </c>
      <c r="H2022" s="53" t="s">
        <v>38</v>
      </c>
      <c r="I2022" s="73">
        <v>43739</v>
      </c>
      <c r="J2022" s="74">
        <f>EFEITO!$J$2022*EFEITO!$Y$2022</f>
        <v>0</v>
      </c>
      <c r="K2022" s="74">
        <f ca="1">EFEITO!$L$2022*EFEITO!$Z$2022</f>
        <v>9765.9766531068562</v>
      </c>
      <c r="L2022" s="74">
        <f>EFEITO!$N$2022*EFEITO!$AA$2022</f>
        <v>5368.7420424423872</v>
      </c>
      <c r="M2022" s="74">
        <f>$J$2022-EFEITO!$K$2022*EFEITO!$Y$2022</f>
        <v>0</v>
      </c>
      <c r="N2022" s="74">
        <f ca="1">$K$2022-EFEITO!$M$2022*EFEITO!$Z$2022</f>
        <v>0</v>
      </c>
      <c r="O2022" s="74">
        <f>$L$2022-EFEITO!$O$2022*EFEITO!$AA$2022</f>
        <v>0</v>
      </c>
      <c r="P2022" s="57"/>
      <c r="Q2022" s="57"/>
      <c r="R2022" s="57"/>
      <c r="S2022" s="57"/>
      <c r="T2022" s="57"/>
      <c r="U2022" s="57"/>
      <c r="V2022" s="57"/>
      <c r="W2022" s="57"/>
      <c r="X2022" s="6"/>
      <c r="Y2022" s="6"/>
      <c r="Z2022" s="6"/>
      <c r="AA2022" s="6"/>
      <c r="AB2022" s="6"/>
      <c r="AC2022" s="6"/>
      <c r="AD2022" s="6"/>
      <c r="AE2022" s="6"/>
      <c r="AF2022" s="6"/>
      <c r="AG2022" s="6"/>
      <c r="AH2022" s="6"/>
      <c r="AI2022" s="6"/>
      <c r="AJ2022" s="6"/>
    </row>
    <row r="2023" spans="1:36" ht="11.25" customHeight="1" x14ac:dyDescent="0.2">
      <c r="A2023" s="53" t="s">
        <v>27</v>
      </c>
      <c r="B2023" s="53" t="s">
        <v>39</v>
      </c>
      <c r="C2023" s="53" t="s">
        <v>37</v>
      </c>
      <c r="D2023" s="53" t="s">
        <v>42</v>
      </c>
      <c r="E2023" s="53" t="s">
        <v>25</v>
      </c>
      <c r="F2023" s="53" t="s">
        <v>25</v>
      </c>
      <c r="G2023" s="53" t="s">
        <v>25</v>
      </c>
      <c r="H2023" s="53" t="s">
        <v>38</v>
      </c>
      <c r="I2023" s="73">
        <v>43739</v>
      </c>
      <c r="J2023" s="74">
        <f>EFEITO!$J$2023*EFEITO!$Y$2023</f>
        <v>0</v>
      </c>
      <c r="K2023" s="74">
        <f ca="1">EFEITO!$L$2023*EFEITO!$Z$2023</f>
        <v>93.637148234707581</v>
      </c>
      <c r="L2023" s="74">
        <f>EFEITO!$N$2023*EFEITO!$AA$2023</f>
        <v>51.476028698282413</v>
      </c>
      <c r="M2023" s="74">
        <f>$J$2023-EFEITO!$K$2023*EFEITO!$Y$2023</f>
        <v>0</v>
      </c>
      <c r="N2023" s="74">
        <f ca="1">$K$2023-EFEITO!$M$2023*EFEITO!$Z$2023</f>
        <v>0</v>
      </c>
      <c r="O2023" s="74">
        <f>$L$2023-EFEITO!$O$2023*EFEITO!$AA$2023</f>
        <v>0</v>
      </c>
      <c r="P2023" s="57"/>
      <c r="Q2023" s="57"/>
      <c r="R2023" s="57"/>
      <c r="S2023" s="57"/>
      <c r="T2023" s="57"/>
      <c r="U2023" s="57"/>
      <c r="V2023" s="57"/>
      <c r="W2023" s="57"/>
      <c r="X2023" s="6"/>
      <c r="Y2023" s="6"/>
      <c r="Z2023" s="6"/>
      <c r="AA2023" s="6"/>
      <c r="AB2023" s="6"/>
      <c r="AC2023" s="6"/>
      <c r="AD2023" s="6"/>
      <c r="AE2023" s="6"/>
      <c r="AF2023" s="6"/>
      <c r="AG2023" s="6"/>
      <c r="AH2023" s="6"/>
      <c r="AI2023" s="6"/>
      <c r="AJ2023" s="6"/>
    </row>
    <row r="2024" spans="1:36" ht="11.25" customHeight="1" x14ac:dyDescent="0.2">
      <c r="A2024" s="53" t="s">
        <v>28</v>
      </c>
      <c r="B2024" s="53" t="s">
        <v>39</v>
      </c>
      <c r="C2024" s="53" t="s">
        <v>37</v>
      </c>
      <c r="D2024" s="53" t="s">
        <v>42</v>
      </c>
      <c r="E2024" s="53" t="s">
        <v>25</v>
      </c>
      <c r="F2024" s="53" t="s">
        <v>25</v>
      </c>
      <c r="G2024" s="53" t="s">
        <v>25</v>
      </c>
      <c r="H2024" s="53" t="s">
        <v>38</v>
      </c>
      <c r="I2024" s="73">
        <v>43739</v>
      </c>
      <c r="J2024" s="74">
        <f>EFEITO!$J$2024*EFEITO!$Y$2024</f>
        <v>0</v>
      </c>
      <c r="K2024" s="74">
        <f ca="1">EFEITO!$L$2024*EFEITO!$Z$2024</f>
        <v>671.836041145884</v>
      </c>
      <c r="L2024" s="74">
        <f>EFEITO!$N$2024*EFEITO!$AA$2024</f>
        <v>369.33473505494112</v>
      </c>
      <c r="M2024" s="74">
        <f>$J$2024-EFEITO!$K$2024*EFEITO!$Y$2024</f>
        <v>0</v>
      </c>
      <c r="N2024" s="74">
        <f ca="1">$K$2024-EFEITO!$M$2024*EFEITO!$Z$2024</f>
        <v>0</v>
      </c>
      <c r="O2024" s="74">
        <f>$L$2024-EFEITO!$O$2024*EFEITO!$AA$2024</f>
        <v>0</v>
      </c>
      <c r="P2024" s="57"/>
      <c r="Q2024" s="57"/>
      <c r="R2024" s="57"/>
      <c r="S2024" s="57"/>
      <c r="T2024" s="57"/>
      <c r="U2024" s="57"/>
      <c r="V2024" s="57"/>
      <c r="W2024" s="57"/>
      <c r="X2024" s="6"/>
      <c r="Y2024" s="6"/>
      <c r="Z2024" s="6"/>
      <c r="AA2024" s="6"/>
      <c r="AB2024" s="6"/>
      <c r="AC2024" s="6"/>
      <c r="AD2024" s="6"/>
      <c r="AE2024" s="6"/>
      <c r="AF2024" s="6"/>
      <c r="AG2024" s="6"/>
      <c r="AH2024" s="6"/>
      <c r="AI2024" s="6"/>
      <c r="AJ2024" s="6"/>
    </row>
    <row r="2025" spans="1:36" ht="11.25" customHeight="1" x14ac:dyDescent="0.2">
      <c r="A2025" s="53" t="s">
        <v>21</v>
      </c>
      <c r="B2025" s="53" t="s">
        <v>39</v>
      </c>
      <c r="C2025" s="53" t="s">
        <v>37</v>
      </c>
      <c r="D2025" s="53" t="s">
        <v>42</v>
      </c>
      <c r="E2025" s="53" t="s">
        <v>25</v>
      </c>
      <c r="F2025" s="53" t="s">
        <v>25</v>
      </c>
      <c r="G2025" s="53" t="s">
        <v>25</v>
      </c>
      <c r="H2025" s="53" t="s">
        <v>38</v>
      </c>
      <c r="I2025" s="73">
        <v>43770</v>
      </c>
      <c r="J2025" s="74">
        <f>EFEITO!$J$2025*EFEITO!$Y$2025</f>
        <v>0</v>
      </c>
      <c r="K2025" s="74">
        <f ca="1">EFEITO!$L$2025*EFEITO!$Z$2025</f>
        <v>430562.08307431691</v>
      </c>
      <c r="L2025" s="74">
        <f>EFEITO!$N$2025*EFEITO!$AA$2025</f>
        <v>236696.93665991651</v>
      </c>
      <c r="M2025" s="74">
        <f>$J$2025-EFEITO!$K$2025*EFEITO!$Y$2025</f>
        <v>0</v>
      </c>
      <c r="N2025" s="74">
        <f ca="1">$K$2025-EFEITO!$M$2025*EFEITO!$Z$2025</f>
        <v>0</v>
      </c>
      <c r="O2025" s="74">
        <f>$L$2025-EFEITO!$O$2025*EFEITO!$AA$2025</f>
        <v>0</v>
      </c>
      <c r="P2025" s="57"/>
      <c r="Q2025" s="57"/>
      <c r="R2025" s="57"/>
      <c r="S2025" s="57"/>
      <c r="T2025" s="57"/>
      <c r="U2025" s="57"/>
      <c r="V2025" s="57"/>
      <c r="W2025" s="57"/>
      <c r="X2025" s="6"/>
      <c r="Y2025" s="6"/>
      <c r="Z2025" s="6"/>
      <c r="AA2025" s="6"/>
      <c r="AB2025" s="6"/>
      <c r="AC2025" s="6"/>
      <c r="AD2025" s="6"/>
      <c r="AE2025" s="6"/>
      <c r="AF2025" s="6"/>
      <c r="AG2025" s="6"/>
      <c r="AH2025" s="6"/>
      <c r="AI2025" s="6"/>
      <c r="AJ2025" s="6"/>
    </row>
    <row r="2026" spans="1:36" ht="11.25" customHeight="1" x14ac:dyDescent="0.2">
      <c r="A2026" s="53" t="s">
        <v>27</v>
      </c>
      <c r="B2026" s="53" t="s">
        <v>39</v>
      </c>
      <c r="C2026" s="53" t="s">
        <v>37</v>
      </c>
      <c r="D2026" s="53" t="s">
        <v>42</v>
      </c>
      <c r="E2026" s="53" t="s">
        <v>25</v>
      </c>
      <c r="F2026" s="53" t="s">
        <v>25</v>
      </c>
      <c r="G2026" s="53" t="s">
        <v>25</v>
      </c>
      <c r="H2026" s="53" t="s">
        <v>38</v>
      </c>
      <c r="I2026" s="73">
        <v>43770</v>
      </c>
      <c r="J2026" s="74">
        <f>EFEITO!$J$2026*EFEITO!$Y$2026</f>
        <v>0</v>
      </c>
      <c r="K2026" s="74">
        <f ca="1">EFEITO!$L$2026*EFEITO!$Z$2026</f>
        <v>116.73151214909736</v>
      </c>
      <c r="L2026" s="74">
        <f>EFEITO!$N$2026*EFEITO!$AA$2026</f>
        <v>64.171910215796018</v>
      </c>
      <c r="M2026" s="74">
        <f>$J$2026-EFEITO!$K$2026*EFEITO!$Y$2026</f>
        <v>0</v>
      </c>
      <c r="N2026" s="74">
        <f ca="1">$K$2026-EFEITO!$M$2026*EFEITO!$Z$2026</f>
        <v>0</v>
      </c>
      <c r="O2026" s="74">
        <f>$L$2026-EFEITO!$O$2026*EFEITO!$AA$2026</f>
        <v>0</v>
      </c>
      <c r="P2026" s="57"/>
      <c r="Q2026" s="57"/>
      <c r="R2026" s="57"/>
      <c r="S2026" s="57"/>
      <c r="T2026" s="57"/>
      <c r="U2026" s="57"/>
      <c r="V2026" s="57"/>
      <c r="W2026" s="57"/>
      <c r="X2026" s="6"/>
      <c r="Y2026" s="6"/>
      <c r="Z2026" s="6"/>
      <c r="AA2026" s="6"/>
      <c r="AB2026" s="6"/>
      <c r="AC2026" s="6"/>
      <c r="AD2026" s="6"/>
      <c r="AE2026" s="6"/>
      <c r="AF2026" s="6"/>
      <c r="AG2026" s="6"/>
      <c r="AH2026" s="6"/>
      <c r="AI2026" s="6"/>
      <c r="AJ2026" s="6"/>
    </row>
    <row r="2027" spans="1:36" ht="11.25" customHeight="1" x14ac:dyDescent="0.2">
      <c r="A2027" s="53" t="s">
        <v>28</v>
      </c>
      <c r="B2027" s="53" t="s">
        <v>39</v>
      </c>
      <c r="C2027" s="53" t="s">
        <v>37</v>
      </c>
      <c r="D2027" s="53" t="s">
        <v>42</v>
      </c>
      <c r="E2027" s="53" t="s">
        <v>25</v>
      </c>
      <c r="F2027" s="53" t="s">
        <v>25</v>
      </c>
      <c r="G2027" s="53" t="s">
        <v>25</v>
      </c>
      <c r="H2027" s="53" t="s">
        <v>38</v>
      </c>
      <c r="I2027" s="73">
        <v>43770</v>
      </c>
      <c r="J2027" s="74">
        <f>EFEITO!$J$2027*EFEITO!$Y$2027</f>
        <v>0</v>
      </c>
      <c r="K2027" s="74">
        <f ca="1">EFEITO!$L$2027*EFEITO!$Z$2027</f>
        <v>1478.0392905209449</v>
      </c>
      <c r="L2027" s="74">
        <f>EFEITO!$N$2027*EFEITO!$AA$2027</f>
        <v>812.5364171208704</v>
      </c>
      <c r="M2027" s="74">
        <f>$J$2027-EFEITO!$K$2027*EFEITO!$Y$2027</f>
        <v>0</v>
      </c>
      <c r="N2027" s="74">
        <f ca="1">$K$2027-EFEITO!$M$2027*EFEITO!$Z$2027</f>
        <v>0</v>
      </c>
      <c r="O2027" s="74">
        <f>$L$2027-EFEITO!$O$2027*EFEITO!$AA$2027</f>
        <v>0</v>
      </c>
      <c r="P2027" s="57"/>
      <c r="Q2027" s="57"/>
      <c r="R2027" s="57"/>
      <c r="S2027" s="57"/>
      <c r="T2027" s="57"/>
      <c r="U2027" s="57"/>
      <c r="V2027" s="57"/>
      <c r="W2027" s="57"/>
      <c r="X2027" s="6"/>
      <c r="Y2027" s="6"/>
      <c r="Z2027" s="6"/>
      <c r="AA2027" s="6"/>
      <c r="AB2027" s="6"/>
      <c r="AC2027" s="6"/>
      <c r="AD2027" s="6"/>
      <c r="AE2027" s="6"/>
      <c r="AF2027" s="6"/>
      <c r="AG2027" s="6"/>
      <c r="AH2027" s="6"/>
      <c r="AI2027" s="6"/>
      <c r="AJ2027" s="6"/>
    </row>
    <row r="2028" spans="1:36" ht="11.25" customHeight="1" x14ac:dyDescent="0.2">
      <c r="A2028" s="53" t="s">
        <v>27</v>
      </c>
      <c r="B2028" s="53" t="s">
        <v>39</v>
      </c>
      <c r="C2028" s="53" t="s">
        <v>37</v>
      </c>
      <c r="D2028" s="53" t="s">
        <v>42</v>
      </c>
      <c r="E2028" s="53" t="s">
        <v>25</v>
      </c>
      <c r="F2028" s="53" t="s">
        <v>25</v>
      </c>
      <c r="G2028" s="53" t="s">
        <v>25</v>
      </c>
      <c r="H2028" s="53" t="s">
        <v>38</v>
      </c>
      <c r="I2028" s="73">
        <v>43800</v>
      </c>
      <c r="J2028" s="74">
        <f>EFEITO!$J$2028*EFEITO!$Y$2028</f>
        <v>0</v>
      </c>
      <c r="K2028" s="74">
        <f ca="1">EFEITO!$L$2028*EFEITO!$Z$2028</f>
        <v>-408758.06425645301</v>
      </c>
      <c r="L2028" s="74">
        <f>EFEITO!$N$2028*EFEITO!$AA$2028</f>
        <v>-224710.40866791783</v>
      </c>
      <c r="M2028" s="74">
        <f>$J$2028-EFEITO!$K$2028*EFEITO!$Y$2028</f>
        <v>0</v>
      </c>
      <c r="N2028" s="74">
        <f ca="1">$K$2028-EFEITO!$M$2028*EFEITO!$Z$2028</f>
        <v>0</v>
      </c>
      <c r="O2028" s="74">
        <f>$L$2028-EFEITO!$O$2028*EFEITO!$AA$2028</f>
        <v>0</v>
      </c>
      <c r="P2028" s="57"/>
      <c r="Q2028" s="57"/>
      <c r="R2028" s="57"/>
      <c r="S2028" s="57"/>
      <c r="T2028" s="57"/>
      <c r="U2028" s="57"/>
      <c r="V2028" s="57"/>
      <c r="W2028" s="57"/>
      <c r="X2028" s="6"/>
      <c r="Y2028" s="6"/>
      <c r="Z2028" s="6"/>
      <c r="AA2028" s="6"/>
      <c r="AB2028" s="6"/>
      <c r="AC2028" s="6"/>
      <c r="AD2028" s="6"/>
      <c r="AE2028" s="6"/>
      <c r="AF2028" s="6"/>
      <c r="AG2028" s="6"/>
      <c r="AH2028" s="6"/>
      <c r="AI2028" s="6"/>
      <c r="AJ2028" s="6"/>
    </row>
    <row r="2029" spans="1:36" ht="11.25" customHeight="1" x14ac:dyDescent="0.2">
      <c r="A2029" s="53" t="s">
        <v>28</v>
      </c>
      <c r="B2029" s="53" t="s">
        <v>39</v>
      </c>
      <c r="C2029" s="53" t="s">
        <v>37</v>
      </c>
      <c r="D2029" s="53" t="s">
        <v>42</v>
      </c>
      <c r="E2029" s="53" t="s">
        <v>25</v>
      </c>
      <c r="F2029" s="53" t="s">
        <v>25</v>
      </c>
      <c r="G2029" s="53" t="s">
        <v>25</v>
      </c>
      <c r="H2029" s="53" t="s">
        <v>38</v>
      </c>
      <c r="I2029" s="73">
        <v>43800</v>
      </c>
      <c r="J2029" s="74">
        <f>EFEITO!$J$2029*EFEITO!$Y$2029</f>
        <v>0</v>
      </c>
      <c r="K2029" s="74">
        <f ca="1">EFEITO!$L$2029*EFEITO!$Z$2029</f>
        <v>537.46883291670724</v>
      </c>
      <c r="L2029" s="74">
        <f>EFEITO!$N$2029*EFEITO!$AA$2029</f>
        <v>295.46778804395285</v>
      </c>
      <c r="M2029" s="74">
        <f>$J$2029-EFEITO!$K$2029*EFEITO!$Y$2029</f>
        <v>0</v>
      </c>
      <c r="N2029" s="74">
        <f ca="1">$K$2029-EFEITO!$M$2029*EFEITO!$Z$2029</f>
        <v>0</v>
      </c>
      <c r="O2029" s="74">
        <f>$L$2029-EFEITO!$O$2029*EFEITO!$AA$2029</f>
        <v>0</v>
      </c>
      <c r="P2029" s="57"/>
      <c r="Q2029" s="57"/>
      <c r="R2029" s="57"/>
      <c r="S2029" s="57"/>
      <c r="T2029" s="57"/>
      <c r="U2029" s="57"/>
      <c r="V2029" s="57"/>
      <c r="W2029" s="57"/>
      <c r="X2029" s="6"/>
      <c r="Y2029" s="6"/>
      <c r="Z2029" s="6"/>
      <c r="AA2029" s="6"/>
      <c r="AB2029" s="6"/>
      <c r="AC2029" s="6"/>
      <c r="AD2029" s="6"/>
      <c r="AE2029" s="6"/>
      <c r="AF2029" s="6"/>
      <c r="AG2029" s="6"/>
      <c r="AH2029" s="6"/>
      <c r="AI2029" s="6"/>
      <c r="AJ2029" s="6"/>
    </row>
    <row r="2030" spans="1:36" ht="11.25" customHeight="1" x14ac:dyDescent="0.2">
      <c r="A2030" s="53" t="s">
        <v>21</v>
      </c>
      <c r="B2030" s="53" t="s">
        <v>39</v>
      </c>
      <c r="C2030" s="53" t="s">
        <v>37</v>
      </c>
      <c r="D2030" s="53" t="s">
        <v>42</v>
      </c>
      <c r="E2030" s="53" t="s">
        <v>25</v>
      </c>
      <c r="F2030" s="53" t="s">
        <v>25</v>
      </c>
      <c r="G2030" s="53" t="s">
        <v>25</v>
      </c>
      <c r="H2030" s="53" t="s">
        <v>38</v>
      </c>
      <c r="I2030" s="73">
        <v>43831</v>
      </c>
      <c r="J2030" s="74">
        <f>EFEITO!$J$2030*EFEITO!$Y$2030</f>
        <v>0</v>
      </c>
      <c r="K2030" s="74">
        <f ca="1">EFEITO!$L$2030*EFEITO!$Z$2030</f>
        <v>7107.6054177977358</v>
      </c>
      <c r="L2030" s="74">
        <f>EFEITO!$N$2030*EFEITO!$AA$2030</f>
        <v>3907.3306626718672</v>
      </c>
      <c r="M2030" s="74">
        <f>$J$2030-EFEITO!$K$2030*EFEITO!$Y$2030</f>
        <v>0</v>
      </c>
      <c r="N2030" s="74">
        <f ca="1">$K$2030-EFEITO!$M$2030*EFEITO!$Z$2030</f>
        <v>0</v>
      </c>
      <c r="O2030" s="74">
        <f>$L$2030-EFEITO!$O$2030*EFEITO!$AA$2030</f>
        <v>0</v>
      </c>
      <c r="P2030" s="57"/>
      <c r="Q2030" s="57"/>
      <c r="R2030" s="57"/>
      <c r="S2030" s="57"/>
      <c r="T2030" s="57"/>
      <c r="U2030" s="57"/>
      <c r="V2030" s="57"/>
      <c r="W2030" s="57"/>
      <c r="X2030" s="6"/>
      <c r="Y2030" s="6"/>
      <c r="Z2030" s="6"/>
      <c r="AA2030" s="6"/>
      <c r="AB2030" s="6"/>
      <c r="AC2030" s="6"/>
      <c r="AD2030" s="6"/>
      <c r="AE2030" s="6"/>
      <c r="AF2030" s="6"/>
      <c r="AG2030" s="6"/>
      <c r="AH2030" s="6"/>
      <c r="AI2030" s="6"/>
      <c r="AJ2030" s="6"/>
    </row>
    <row r="2031" spans="1:36" ht="11.25" customHeight="1" x14ac:dyDescent="0.2">
      <c r="A2031" s="53" t="s">
        <v>27</v>
      </c>
      <c r="B2031" s="53" t="s">
        <v>39</v>
      </c>
      <c r="C2031" s="53" t="s">
        <v>37</v>
      </c>
      <c r="D2031" s="53" t="s">
        <v>42</v>
      </c>
      <c r="E2031" s="53" t="s">
        <v>25</v>
      </c>
      <c r="F2031" s="53" t="s">
        <v>25</v>
      </c>
      <c r="G2031" s="53" t="s">
        <v>25</v>
      </c>
      <c r="H2031" s="53" t="s">
        <v>38</v>
      </c>
      <c r="I2031" s="73">
        <v>43831</v>
      </c>
      <c r="J2031" s="74">
        <f>EFEITO!$J$2031*EFEITO!$Y$2031</f>
        <v>0</v>
      </c>
      <c r="K2031" s="74">
        <f ca="1">EFEITO!$L$2031*EFEITO!$Z$2031</f>
        <v>128.06874534343413</v>
      </c>
      <c r="L2031" s="74">
        <f>EFEITO!$N$2031*EFEITO!$AA$2031</f>
        <v>70.404433869848134</v>
      </c>
      <c r="M2031" s="74">
        <f>$J$2031-EFEITO!$K$2031*EFEITO!$Y$2031</f>
        <v>0</v>
      </c>
      <c r="N2031" s="74">
        <f ca="1">$K$2031-EFEITO!$M$2031*EFEITO!$Z$2031</f>
        <v>0</v>
      </c>
      <c r="O2031" s="74">
        <f>$L$2031-EFEITO!$O$2031*EFEITO!$AA$2031</f>
        <v>0</v>
      </c>
      <c r="P2031" s="57"/>
      <c r="Q2031" s="57"/>
      <c r="R2031" s="57"/>
      <c r="S2031" s="57"/>
      <c r="T2031" s="57"/>
      <c r="U2031" s="57"/>
      <c r="V2031" s="57"/>
      <c r="W2031" s="57"/>
      <c r="X2031" s="6"/>
      <c r="Y2031" s="6"/>
      <c r="Z2031" s="6"/>
      <c r="AA2031" s="6"/>
      <c r="AB2031" s="6"/>
      <c r="AC2031" s="6"/>
      <c r="AD2031" s="6"/>
      <c r="AE2031" s="6"/>
      <c r="AF2031" s="6"/>
      <c r="AG2031" s="6"/>
      <c r="AH2031" s="6"/>
      <c r="AI2031" s="6"/>
      <c r="AJ2031" s="6"/>
    </row>
    <row r="2032" spans="1:36" ht="11.25" customHeight="1" x14ac:dyDescent="0.2">
      <c r="A2032" s="53" t="s">
        <v>21</v>
      </c>
      <c r="B2032" s="53" t="s">
        <v>39</v>
      </c>
      <c r="C2032" s="53" t="s">
        <v>37</v>
      </c>
      <c r="D2032" s="53" t="s">
        <v>42</v>
      </c>
      <c r="E2032" s="53" t="s">
        <v>25</v>
      </c>
      <c r="F2032" s="53" t="s">
        <v>25</v>
      </c>
      <c r="G2032" s="53" t="s">
        <v>25</v>
      </c>
      <c r="H2032" s="53" t="s">
        <v>38</v>
      </c>
      <c r="I2032" s="73">
        <v>43862</v>
      </c>
      <c r="J2032" s="74">
        <f>EFEITO!$J$2032*EFEITO!$Y$2032</f>
        <v>0</v>
      </c>
      <c r="K2032" s="74">
        <f ca="1">EFEITO!$L$2032*EFEITO!$Z$2032</f>
        <v>9301.9898871904788</v>
      </c>
      <c r="L2032" s="74">
        <f>EFEITO!$N$2032*EFEITO!$AA$2032</f>
        <v>5113.670241045068</v>
      </c>
      <c r="M2032" s="74">
        <f>$J$2032-EFEITO!$K$2032*EFEITO!$Y$2032</f>
        <v>0</v>
      </c>
      <c r="N2032" s="74">
        <f ca="1">$K$2032-EFEITO!$M$2032*EFEITO!$Z$2032</f>
        <v>0</v>
      </c>
      <c r="O2032" s="74">
        <f>$L$2032-EFEITO!$O$2032*EFEITO!$AA$2032</f>
        <v>0</v>
      </c>
      <c r="P2032" s="57"/>
      <c r="Q2032" s="57"/>
      <c r="R2032" s="57"/>
      <c r="S2032" s="57"/>
      <c r="T2032" s="57"/>
      <c r="U2032" s="57"/>
      <c r="V2032" s="57"/>
      <c r="W2032" s="57"/>
      <c r="X2032" s="6"/>
      <c r="Y2032" s="6"/>
      <c r="Z2032" s="6"/>
      <c r="AA2032" s="6"/>
      <c r="AB2032" s="6"/>
      <c r="AC2032" s="6"/>
      <c r="AD2032" s="6"/>
      <c r="AE2032" s="6"/>
      <c r="AF2032" s="6"/>
      <c r="AG2032" s="6"/>
      <c r="AH2032" s="6"/>
      <c r="AI2032" s="6"/>
      <c r="AJ2032" s="6"/>
    </row>
    <row r="2033" spans="1:36" ht="11.25" customHeight="1" x14ac:dyDescent="0.2">
      <c r="A2033" s="53" t="s">
        <v>27</v>
      </c>
      <c r="B2033" s="53" t="s">
        <v>39</v>
      </c>
      <c r="C2033" s="53" t="s">
        <v>37</v>
      </c>
      <c r="D2033" s="53" t="s">
        <v>42</v>
      </c>
      <c r="E2033" s="53" t="s">
        <v>25</v>
      </c>
      <c r="F2033" s="53" t="s">
        <v>25</v>
      </c>
      <c r="G2033" s="53" t="s">
        <v>25</v>
      </c>
      <c r="H2033" s="53" t="s">
        <v>38</v>
      </c>
      <c r="I2033" s="73">
        <v>43862</v>
      </c>
      <c r="J2033" s="74">
        <f>EFEITO!$J$2033*EFEITO!$Y$2033</f>
        <v>0</v>
      </c>
      <c r="K2033" s="74">
        <f ca="1">EFEITO!$L$2033*EFEITO!$Z$2033</f>
        <v>396.80316180178772</v>
      </c>
      <c r="L2033" s="74">
        <f>EFEITO!$N$2033*EFEITO!$AA$2033</f>
        <v>218.13832789182456</v>
      </c>
      <c r="M2033" s="74">
        <f>$J$2033-EFEITO!$K$2033*EFEITO!$Y$2033</f>
        <v>0</v>
      </c>
      <c r="N2033" s="74">
        <f ca="1">$K$2033-EFEITO!$M$2033*EFEITO!$Z$2033</f>
        <v>0</v>
      </c>
      <c r="O2033" s="74">
        <f>$L$2033-EFEITO!$O$2033*EFEITO!$AA$2033</f>
        <v>0</v>
      </c>
      <c r="P2033" s="57"/>
      <c r="Q2033" s="57"/>
      <c r="R2033" s="57"/>
      <c r="S2033" s="57"/>
      <c r="T2033" s="57"/>
      <c r="U2033" s="57"/>
      <c r="V2033" s="57"/>
      <c r="W2033" s="57"/>
      <c r="X2033" s="6"/>
      <c r="Y2033" s="6"/>
      <c r="Z2033" s="6"/>
      <c r="AA2033" s="6"/>
      <c r="AB2033" s="6"/>
      <c r="AC2033" s="6"/>
      <c r="AD2033" s="6"/>
      <c r="AE2033" s="6"/>
      <c r="AF2033" s="6"/>
      <c r="AG2033" s="6"/>
      <c r="AH2033" s="6"/>
      <c r="AI2033" s="6"/>
      <c r="AJ2033" s="6"/>
    </row>
    <row r="2034" spans="1:36" ht="11.25" customHeight="1" x14ac:dyDescent="0.2">
      <c r="A2034" s="53" t="s">
        <v>21</v>
      </c>
      <c r="B2034" s="53" t="s">
        <v>39</v>
      </c>
      <c r="C2034" s="53" t="s">
        <v>37</v>
      </c>
      <c r="D2034" s="53" t="s">
        <v>42</v>
      </c>
      <c r="E2034" s="53" t="s">
        <v>25</v>
      </c>
      <c r="F2034" s="53" t="s">
        <v>25</v>
      </c>
      <c r="G2034" s="53" t="s">
        <v>25</v>
      </c>
      <c r="H2034" s="53" t="s">
        <v>38</v>
      </c>
      <c r="I2034" s="73">
        <v>43891</v>
      </c>
      <c r="J2034" s="74">
        <f>EFEITO!$J$2034*EFEITO!$Y$2034</f>
        <v>0</v>
      </c>
      <c r="K2034" s="74">
        <f ca="1">EFEITO!$L$2034*EFEITO!$Z$2034</f>
        <v>8336.2255780432715</v>
      </c>
      <c r="L2034" s="74">
        <f>EFEITO!$N$2034*EFEITO!$AA$2034</f>
        <v>4582.7515594035913</v>
      </c>
      <c r="M2034" s="74">
        <f>$J$2034-EFEITO!$K$2034*EFEITO!$Y$2034</f>
        <v>0</v>
      </c>
      <c r="N2034" s="74">
        <f ca="1">$K$2034-EFEITO!$M$2034*EFEITO!$Z$2034</f>
        <v>0</v>
      </c>
      <c r="O2034" s="74">
        <f>$L$2034-EFEITO!$O$2034*EFEITO!$AA$2034</f>
        <v>0</v>
      </c>
      <c r="P2034" s="57"/>
      <c r="Q2034" s="57"/>
      <c r="R2034" s="57"/>
      <c r="S2034" s="57"/>
      <c r="T2034" s="57"/>
      <c r="U2034" s="57"/>
      <c r="V2034" s="57"/>
      <c r="W2034" s="57"/>
      <c r="X2034" s="6"/>
      <c r="Y2034" s="6"/>
      <c r="Z2034" s="6"/>
      <c r="AA2034" s="6"/>
      <c r="AB2034" s="6"/>
      <c r="AC2034" s="6"/>
      <c r="AD2034" s="6"/>
      <c r="AE2034" s="6"/>
      <c r="AF2034" s="6"/>
      <c r="AG2034" s="6"/>
      <c r="AH2034" s="6"/>
      <c r="AI2034" s="6"/>
      <c r="AJ2034" s="6"/>
    </row>
    <row r="2035" spans="1:36" ht="11.25" customHeight="1" x14ac:dyDescent="0.2">
      <c r="A2035" s="53" t="s">
        <v>27</v>
      </c>
      <c r="B2035" s="53" t="s">
        <v>39</v>
      </c>
      <c r="C2035" s="53" t="s">
        <v>37</v>
      </c>
      <c r="D2035" s="53" t="s">
        <v>42</v>
      </c>
      <c r="E2035" s="53" t="s">
        <v>25</v>
      </c>
      <c r="F2035" s="53" t="s">
        <v>25</v>
      </c>
      <c r="G2035" s="53" t="s">
        <v>25</v>
      </c>
      <c r="H2035" s="53" t="s">
        <v>38</v>
      </c>
      <c r="I2035" s="73">
        <v>43891</v>
      </c>
      <c r="J2035" s="74">
        <f>EFEITO!$J$2035*EFEITO!$Y$2035</f>
        <v>0</v>
      </c>
      <c r="K2035" s="74">
        <f ca="1">EFEITO!$L$2035*EFEITO!$Z$2035</f>
        <v>277.13236697267718</v>
      </c>
      <c r="L2035" s="74">
        <f>EFEITO!$N$2035*EFEITO!$AA$2035</f>
        <v>152.35057821016321</v>
      </c>
      <c r="M2035" s="74">
        <f>$J$2035-EFEITO!$K$2035*EFEITO!$Y$2035</f>
        <v>0</v>
      </c>
      <c r="N2035" s="74">
        <f ca="1">$K$2035-EFEITO!$M$2035*EFEITO!$Z$2035</f>
        <v>0</v>
      </c>
      <c r="O2035" s="74">
        <f>$L$2035-EFEITO!$O$2035*EFEITO!$AA$2035</f>
        <v>0</v>
      </c>
      <c r="P2035" s="57"/>
      <c r="Q2035" s="57"/>
      <c r="R2035" s="57"/>
      <c r="S2035" s="57"/>
      <c r="T2035" s="57"/>
      <c r="U2035" s="57"/>
      <c r="V2035" s="57"/>
      <c r="W2035" s="57"/>
      <c r="X2035" s="6"/>
      <c r="Y2035" s="6"/>
      <c r="Z2035" s="6"/>
      <c r="AA2035" s="6"/>
      <c r="AB2035" s="6"/>
      <c r="AC2035" s="6"/>
      <c r="AD2035" s="6"/>
      <c r="AE2035" s="6"/>
      <c r="AF2035" s="6"/>
      <c r="AG2035" s="6"/>
      <c r="AH2035" s="6"/>
      <c r="AI2035" s="6"/>
      <c r="AJ2035" s="6"/>
    </row>
    <row r="2036" spans="1:36" ht="11.25" customHeight="1" x14ac:dyDescent="0.2">
      <c r="A2036" s="53" t="s">
        <v>21</v>
      </c>
      <c r="B2036" s="53" t="s">
        <v>39</v>
      </c>
      <c r="C2036" s="53" t="s">
        <v>37</v>
      </c>
      <c r="D2036" s="53" t="s">
        <v>42</v>
      </c>
      <c r="E2036" s="53" t="s">
        <v>25</v>
      </c>
      <c r="F2036" s="53" t="s">
        <v>25</v>
      </c>
      <c r="G2036" s="53" t="s">
        <v>25</v>
      </c>
      <c r="H2036" s="53" t="s">
        <v>38</v>
      </c>
      <c r="I2036" s="73">
        <v>43922</v>
      </c>
      <c r="J2036" s="74">
        <f>EFEITO!$J$2036*EFEITO!$Y$2036</f>
        <v>0</v>
      </c>
      <c r="K2036" s="74">
        <f ca="1">EFEITO!$L$2036*EFEITO!$Z$2036</f>
        <v>7165.1313788208527</v>
      </c>
      <c r="L2036" s="74">
        <f>EFEITO!$N$2036*EFEITO!$AA$2036</f>
        <v>3938.9549493609466</v>
      </c>
      <c r="M2036" s="74">
        <f>$J$2036-EFEITO!$K$2036*EFEITO!$Y$2036</f>
        <v>0</v>
      </c>
      <c r="N2036" s="74">
        <f ca="1">$K$2036-EFEITO!$M$2036*EFEITO!$Z$2036</f>
        <v>0</v>
      </c>
      <c r="O2036" s="74">
        <f>$L$2036-EFEITO!$O$2036*EFEITO!$AA$2036</f>
        <v>0</v>
      </c>
      <c r="P2036" s="57"/>
      <c r="Q2036" s="57"/>
      <c r="R2036" s="57"/>
      <c r="S2036" s="57"/>
      <c r="T2036" s="57"/>
      <c r="U2036" s="57"/>
      <c r="V2036" s="57"/>
      <c r="W2036" s="57"/>
      <c r="X2036" s="6"/>
      <c r="Y2036" s="6"/>
      <c r="Z2036" s="6"/>
      <c r="AA2036" s="6"/>
      <c r="AB2036" s="6"/>
      <c r="AC2036" s="6"/>
      <c r="AD2036" s="6"/>
      <c r="AE2036" s="6"/>
      <c r="AF2036" s="6"/>
      <c r="AG2036" s="6"/>
      <c r="AH2036" s="6"/>
      <c r="AI2036" s="6"/>
      <c r="AJ2036" s="6"/>
    </row>
    <row r="2037" spans="1:36" ht="11.25" customHeight="1" x14ac:dyDescent="0.2">
      <c r="A2037" s="53" t="s">
        <v>27</v>
      </c>
      <c r="B2037" s="53" t="s">
        <v>39</v>
      </c>
      <c r="C2037" s="53" t="s">
        <v>37</v>
      </c>
      <c r="D2037" s="53" t="s">
        <v>42</v>
      </c>
      <c r="E2037" s="53" t="s">
        <v>25</v>
      </c>
      <c r="F2037" s="53" t="s">
        <v>25</v>
      </c>
      <c r="G2037" s="53" t="s">
        <v>25</v>
      </c>
      <c r="H2037" s="53" t="s">
        <v>38</v>
      </c>
      <c r="I2037" s="73">
        <v>43922</v>
      </c>
      <c r="J2037" s="74">
        <f>EFEITO!$J$2037*EFEITO!$Y$2037</f>
        <v>0</v>
      </c>
      <c r="K2037" s="74">
        <f ca="1">EFEITO!$L$2037*EFEITO!$Z$2037</f>
        <v>177.19675585222689</v>
      </c>
      <c r="L2037" s="74">
        <f>EFEITO!$N$2037*EFEITO!$AA$2037</f>
        <v>97.412036370740708</v>
      </c>
      <c r="M2037" s="74">
        <f>$J$2037-EFEITO!$K$2037*EFEITO!$Y$2037</f>
        <v>0</v>
      </c>
      <c r="N2037" s="74">
        <f ca="1">$K$2037-EFEITO!$M$2037*EFEITO!$Z$2037</f>
        <v>0</v>
      </c>
      <c r="O2037" s="74">
        <f>$L$2037-EFEITO!$O$2037*EFEITO!$AA$2037</f>
        <v>0</v>
      </c>
      <c r="P2037" s="57"/>
      <c r="Q2037" s="57"/>
      <c r="R2037" s="57"/>
      <c r="S2037" s="57"/>
      <c r="T2037" s="57"/>
      <c r="U2037" s="57"/>
      <c r="V2037" s="57"/>
      <c r="W2037" s="57"/>
      <c r="X2037" s="6"/>
      <c r="Y2037" s="6"/>
      <c r="Z2037" s="6"/>
      <c r="AA2037" s="6"/>
      <c r="AB2037" s="6"/>
      <c r="AC2037" s="6"/>
      <c r="AD2037" s="6"/>
      <c r="AE2037" s="6"/>
      <c r="AF2037" s="6"/>
      <c r="AG2037" s="6"/>
      <c r="AH2037" s="6"/>
      <c r="AI2037" s="6"/>
      <c r="AJ2037" s="6"/>
    </row>
    <row r="2038" spans="1:36" ht="11.25" customHeight="1" x14ac:dyDescent="0.2">
      <c r="A2038" s="53" t="s">
        <v>21</v>
      </c>
      <c r="B2038" s="53" t="s">
        <v>39</v>
      </c>
      <c r="C2038" s="53" t="s">
        <v>37</v>
      </c>
      <c r="D2038" s="53" t="s">
        <v>42</v>
      </c>
      <c r="E2038" s="53" t="s">
        <v>25</v>
      </c>
      <c r="F2038" s="53" t="s">
        <v>25</v>
      </c>
      <c r="G2038" s="53" t="s">
        <v>25</v>
      </c>
      <c r="H2038" s="53" t="s">
        <v>38</v>
      </c>
      <c r="I2038" s="73">
        <v>43952</v>
      </c>
      <c r="J2038" s="74">
        <f>EFEITO!$J$2038*EFEITO!$Y$2038</f>
        <v>0</v>
      </c>
      <c r="K2038" s="74">
        <f ca="1">EFEITO!$L$2038*EFEITO!$Z$2038</f>
        <v>5832.3766321977055</v>
      </c>
      <c r="L2038" s="74">
        <f>EFEITO!$N$2038*EFEITO!$AA$2038</f>
        <v>3206.2871686957074</v>
      </c>
      <c r="M2038" s="74">
        <f>$J$2038-EFEITO!$K$2038*EFEITO!$Y$2038</f>
        <v>0</v>
      </c>
      <c r="N2038" s="74">
        <f ca="1">$K$2038-EFEITO!$M$2038*EFEITO!$Z$2038</f>
        <v>0</v>
      </c>
      <c r="O2038" s="74">
        <f>$L$2038-EFEITO!$O$2038*EFEITO!$AA$2038</f>
        <v>0</v>
      </c>
      <c r="P2038" s="57"/>
      <c r="Q2038" s="57"/>
      <c r="R2038" s="57"/>
      <c r="S2038" s="57"/>
      <c r="T2038" s="57"/>
      <c r="U2038" s="57"/>
      <c r="V2038" s="57"/>
      <c r="W2038" s="57"/>
      <c r="X2038" s="6"/>
      <c r="Y2038" s="6"/>
      <c r="Z2038" s="6"/>
      <c r="AA2038" s="6"/>
      <c r="AB2038" s="6"/>
      <c r="AC2038" s="6"/>
      <c r="AD2038" s="6"/>
      <c r="AE2038" s="6"/>
      <c r="AF2038" s="6"/>
      <c r="AG2038" s="6"/>
      <c r="AH2038" s="6"/>
      <c r="AI2038" s="6"/>
      <c r="AJ2038" s="6"/>
    </row>
    <row r="2039" spans="1:36" ht="11.25" customHeight="1" x14ac:dyDescent="0.2">
      <c r="A2039" s="53" t="s">
        <v>27</v>
      </c>
      <c r="B2039" s="53" t="s">
        <v>39</v>
      </c>
      <c r="C2039" s="53" t="s">
        <v>37</v>
      </c>
      <c r="D2039" s="53" t="s">
        <v>42</v>
      </c>
      <c r="E2039" s="53" t="s">
        <v>25</v>
      </c>
      <c r="F2039" s="53" t="s">
        <v>25</v>
      </c>
      <c r="G2039" s="53" t="s">
        <v>25</v>
      </c>
      <c r="H2039" s="53" t="s">
        <v>38</v>
      </c>
      <c r="I2039" s="73">
        <v>43952</v>
      </c>
      <c r="J2039" s="74">
        <f>EFEITO!$J$2039*EFEITO!$Y$2039</f>
        <v>0</v>
      </c>
      <c r="K2039" s="74">
        <f ca="1">EFEITO!$L$2039*EFEITO!$Z$2039</f>
        <v>294.76806305275659</v>
      </c>
      <c r="L2039" s="74">
        <f>EFEITO!$N$2039*EFEITO!$AA$2039</f>
        <v>162.04561500535539</v>
      </c>
      <c r="M2039" s="74">
        <f>$J$2039-EFEITO!$K$2039*EFEITO!$Y$2039</f>
        <v>0</v>
      </c>
      <c r="N2039" s="74">
        <f ca="1">$K$2039-EFEITO!$M$2039*EFEITO!$Z$2039</f>
        <v>0</v>
      </c>
      <c r="O2039" s="74">
        <f>$L$2039-EFEITO!$O$2039*EFEITO!$AA$2039</f>
        <v>0</v>
      </c>
      <c r="P2039" s="57"/>
      <c r="Q2039" s="57"/>
      <c r="R2039" s="57"/>
      <c r="S2039" s="57"/>
      <c r="T2039" s="57"/>
      <c r="U2039" s="57"/>
      <c r="V2039" s="57"/>
      <c r="W2039" s="57"/>
      <c r="X2039" s="6"/>
      <c r="Y2039" s="6"/>
      <c r="Z2039" s="6"/>
      <c r="AA2039" s="6"/>
      <c r="AB2039" s="6"/>
      <c r="AC2039" s="6"/>
      <c r="AD2039" s="6"/>
      <c r="AE2039" s="6"/>
      <c r="AF2039" s="6"/>
      <c r="AG2039" s="6"/>
      <c r="AH2039" s="6"/>
      <c r="AI2039" s="6"/>
      <c r="AJ2039" s="6"/>
    </row>
    <row r="2040" spans="1:36" ht="11.25" customHeight="1" x14ac:dyDescent="0.2">
      <c r="A2040" s="53" t="s">
        <v>21</v>
      </c>
      <c r="B2040" s="53" t="s">
        <v>39</v>
      </c>
      <c r="C2040" s="53" t="s">
        <v>37</v>
      </c>
      <c r="D2040" s="53" t="s">
        <v>42</v>
      </c>
      <c r="E2040" s="53" t="s">
        <v>25</v>
      </c>
      <c r="F2040" s="53" t="s">
        <v>25</v>
      </c>
      <c r="G2040" s="53" t="s">
        <v>25</v>
      </c>
      <c r="H2040" s="53" t="s">
        <v>38</v>
      </c>
      <c r="I2040" s="73">
        <v>43983</v>
      </c>
      <c r="J2040" s="74">
        <f>EFEITO!$J$2040*EFEITO!$Y$2040</f>
        <v>0</v>
      </c>
      <c r="K2040" s="74">
        <f ca="1">EFEITO!$L$2040*EFEITO!$Z$2040</f>
        <v>45871.285299338095</v>
      </c>
      <c r="L2040" s="74">
        <f>EFEITO!$N$2040*EFEITO!$AA$2040</f>
        <v>25217.252372713738</v>
      </c>
      <c r="M2040" s="74">
        <f>$J$2040-EFEITO!$K$2040*EFEITO!$Y$2040</f>
        <v>0</v>
      </c>
      <c r="N2040" s="74">
        <f ca="1">$K$2040-EFEITO!$M$2040*EFEITO!$Z$2040</f>
        <v>0</v>
      </c>
      <c r="O2040" s="74">
        <f>$L$2040-EFEITO!$O$2040*EFEITO!$AA$2040</f>
        <v>0</v>
      </c>
      <c r="P2040" s="57"/>
      <c r="Q2040" s="57"/>
      <c r="R2040" s="57"/>
      <c r="S2040" s="57"/>
      <c r="T2040" s="57"/>
      <c r="U2040" s="57"/>
      <c r="V2040" s="57"/>
      <c r="W2040" s="57"/>
      <c r="X2040" s="6"/>
      <c r="Y2040" s="6"/>
      <c r="Z2040" s="6"/>
      <c r="AA2040" s="6"/>
      <c r="AB2040" s="6"/>
      <c r="AC2040" s="6"/>
      <c r="AD2040" s="6"/>
      <c r="AE2040" s="6"/>
      <c r="AF2040" s="6"/>
      <c r="AG2040" s="6"/>
      <c r="AH2040" s="6"/>
      <c r="AI2040" s="6"/>
      <c r="AJ2040" s="6"/>
    </row>
    <row r="2041" spans="1:36" ht="11.25" customHeight="1" x14ac:dyDescent="0.2">
      <c r="A2041" s="53" t="s">
        <v>27</v>
      </c>
      <c r="B2041" s="53" t="s">
        <v>39</v>
      </c>
      <c r="C2041" s="53" t="s">
        <v>37</v>
      </c>
      <c r="D2041" s="53" t="s">
        <v>42</v>
      </c>
      <c r="E2041" s="53" t="s">
        <v>25</v>
      </c>
      <c r="F2041" s="53" t="s">
        <v>25</v>
      </c>
      <c r="G2041" s="53" t="s">
        <v>25</v>
      </c>
      <c r="H2041" s="53" t="s">
        <v>38</v>
      </c>
      <c r="I2041" s="73">
        <v>43983</v>
      </c>
      <c r="J2041" s="74">
        <f>EFEITO!$J$2041*EFEITO!$Y$2041</f>
        <v>0</v>
      </c>
      <c r="K2041" s="74">
        <f ca="1">EFEITO!$L$2041*EFEITO!$Z$2041</f>
        <v>62.984628857426621</v>
      </c>
      <c r="L2041" s="74">
        <f>EFEITO!$N$2041*EFEITO!$AA$2041</f>
        <v>34.625131411400723</v>
      </c>
      <c r="M2041" s="74">
        <f>$J$2041-EFEITO!$K$2041*EFEITO!$Y$2041</f>
        <v>0</v>
      </c>
      <c r="N2041" s="74">
        <f ca="1">$K$2041-EFEITO!$M$2041*EFEITO!$Z$2041</f>
        <v>0</v>
      </c>
      <c r="O2041" s="74">
        <f>$L$2041-EFEITO!$O$2041*EFEITO!$AA$2041</f>
        <v>0</v>
      </c>
      <c r="P2041" s="57"/>
      <c r="Q2041" s="57"/>
      <c r="R2041" s="57"/>
      <c r="S2041" s="57"/>
      <c r="T2041" s="57"/>
      <c r="U2041" s="57"/>
      <c r="V2041" s="57"/>
      <c r="W2041" s="57"/>
      <c r="X2041" s="6"/>
      <c r="Y2041" s="6"/>
      <c r="Z2041" s="6"/>
      <c r="AA2041" s="6"/>
      <c r="AB2041" s="6"/>
      <c r="AC2041" s="6"/>
      <c r="AD2041" s="6"/>
      <c r="AE2041" s="6"/>
      <c r="AF2041" s="6"/>
      <c r="AG2041" s="6"/>
      <c r="AH2041" s="6"/>
      <c r="AI2041" s="6"/>
      <c r="AJ2041" s="6"/>
    </row>
    <row r="2042" spans="1:36" ht="11.25" customHeight="1" x14ac:dyDescent="0.2">
      <c r="A2042" s="53" t="s">
        <v>21</v>
      </c>
      <c r="B2042" s="53" t="s">
        <v>39</v>
      </c>
      <c r="C2042" s="53" t="s">
        <v>37</v>
      </c>
      <c r="D2042" s="53" t="s">
        <v>42</v>
      </c>
      <c r="E2042" s="53" t="s">
        <v>25</v>
      </c>
      <c r="F2042" s="53" t="s">
        <v>25</v>
      </c>
      <c r="G2042" s="53" t="s">
        <v>25</v>
      </c>
      <c r="H2042" s="53" t="s">
        <v>38</v>
      </c>
      <c r="I2042" s="73">
        <v>44013</v>
      </c>
      <c r="J2042" s="74">
        <f>EFEITO!$J$2042*EFEITO!$Y$2042</f>
        <v>0</v>
      </c>
      <c r="K2042" s="74">
        <f ca="1">EFEITO!$L$2042*EFEITO!$Z$2042</f>
        <v>49793.967984578623</v>
      </c>
      <c r="L2042" s="74">
        <f>EFEITO!$N$2042*EFEITO!$AA$2042</f>
        <v>27373.705557015775</v>
      </c>
      <c r="M2042" s="74">
        <f>$J$2042-EFEITO!$K$2042*EFEITO!$Y$2042</f>
        <v>0</v>
      </c>
      <c r="N2042" s="74">
        <f ca="1">$K$2042-EFEITO!$M$2042*EFEITO!$Z$2042</f>
        <v>0</v>
      </c>
      <c r="O2042" s="74">
        <f>$L$2042-EFEITO!$O$2042*EFEITO!$AA$2042</f>
        <v>0</v>
      </c>
      <c r="P2042" s="57"/>
      <c r="Q2042" s="57"/>
      <c r="R2042" s="57"/>
      <c r="S2042" s="57"/>
      <c r="T2042" s="57"/>
      <c r="U2042" s="57"/>
      <c r="V2042" s="57"/>
      <c r="W2042" s="57"/>
      <c r="X2042" s="6"/>
      <c r="Y2042" s="6"/>
      <c r="Z2042" s="6"/>
      <c r="AA2042" s="6"/>
      <c r="AB2042" s="6"/>
      <c r="AC2042" s="6"/>
      <c r="AD2042" s="6"/>
      <c r="AE2042" s="6"/>
      <c r="AF2042" s="6"/>
      <c r="AG2042" s="6"/>
      <c r="AH2042" s="6"/>
      <c r="AI2042" s="6"/>
      <c r="AJ2042" s="6"/>
    </row>
    <row r="2043" spans="1:36" ht="11.25" customHeight="1" x14ac:dyDescent="0.2">
      <c r="A2043" s="53" t="s">
        <v>27</v>
      </c>
      <c r="B2043" s="53" t="s">
        <v>39</v>
      </c>
      <c r="C2043" s="53" t="s">
        <v>37</v>
      </c>
      <c r="D2043" s="53" t="s">
        <v>42</v>
      </c>
      <c r="E2043" s="53" t="s">
        <v>25</v>
      </c>
      <c r="F2043" s="53" t="s">
        <v>25</v>
      </c>
      <c r="G2043" s="53" t="s">
        <v>25</v>
      </c>
      <c r="H2043" s="53" t="s">
        <v>38</v>
      </c>
      <c r="I2043" s="73">
        <v>44013</v>
      </c>
      <c r="J2043" s="74">
        <f>EFEITO!$J$2043*EFEITO!$Y$2043</f>
        <v>0</v>
      </c>
      <c r="K2043" s="74">
        <f ca="1">EFEITO!$L$2043*EFEITO!$Z$2043</f>
        <v>114.21212699480029</v>
      </c>
      <c r="L2043" s="74">
        <f>EFEITO!$N$2043*EFEITO!$AA$2043</f>
        <v>62.786904959339985</v>
      </c>
      <c r="M2043" s="74">
        <f>$J$2043-EFEITO!$K$2043*EFEITO!$Y$2043</f>
        <v>0</v>
      </c>
      <c r="N2043" s="74">
        <f ca="1">$K$2043-EFEITO!$M$2043*EFEITO!$Z$2043</f>
        <v>0</v>
      </c>
      <c r="O2043" s="74">
        <f>$L$2043-EFEITO!$O$2043*EFEITO!$AA$2043</f>
        <v>0</v>
      </c>
      <c r="P2043" s="57"/>
      <c r="Q2043" s="57"/>
      <c r="R2043" s="57"/>
      <c r="S2043" s="57"/>
      <c r="T2043" s="57"/>
      <c r="U2043" s="57"/>
      <c r="V2043" s="57"/>
      <c r="W2043" s="57"/>
      <c r="X2043" s="6"/>
      <c r="Y2043" s="6"/>
      <c r="Z2043" s="6"/>
      <c r="AA2043" s="6"/>
      <c r="AB2043" s="6"/>
      <c r="AC2043" s="6"/>
      <c r="AD2043" s="6"/>
      <c r="AE2043" s="6"/>
      <c r="AF2043" s="6"/>
      <c r="AG2043" s="6"/>
      <c r="AH2043" s="6"/>
      <c r="AI2043" s="6"/>
      <c r="AJ2043" s="6"/>
    </row>
    <row r="2044" spans="1:36" ht="11.25" customHeight="1" x14ac:dyDescent="0.2">
      <c r="A2044" s="53" t="s">
        <v>27</v>
      </c>
      <c r="B2044" s="53" t="s">
        <v>39</v>
      </c>
      <c r="C2044" s="53" t="s">
        <v>37</v>
      </c>
      <c r="D2044" s="53" t="s">
        <v>42</v>
      </c>
      <c r="E2044" s="53" t="s">
        <v>25</v>
      </c>
      <c r="F2044" s="53" t="s">
        <v>25</v>
      </c>
      <c r="G2044" s="53" t="s">
        <v>25</v>
      </c>
      <c r="H2044" s="53" t="s">
        <v>38</v>
      </c>
      <c r="I2044" s="73">
        <v>44044</v>
      </c>
      <c r="J2044" s="74">
        <f>EFEITO!$J$2044*EFEITO!$Y$2044</f>
        <v>0</v>
      </c>
      <c r="K2044" s="74">
        <f ca="1">EFEITO!$L$2044*EFEITO!$Z$2044</f>
        <v>-76866.441057603457</v>
      </c>
      <c r="L2044" s="74">
        <f>EFEITO!$N$2044*EFEITO!$AA$2044</f>
        <v>-42256.510374473444</v>
      </c>
      <c r="M2044" s="74">
        <f>$J$2044-EFEITO!$K$2044*EFEITO!$Y$2044</f>
        <v>0</v>
      </c>
      <c r="N2044" s="74">
        <f ca="1">$K$2044-EFEITO!$M$2044*EFEITO!$Z$2044</f>
        <v>0</v>
      </c>
      <c r="O2044" s="74">
        <f>$L$2044-EFEITO!$O$2044*EFEITO!$AA$2044</f>
        <v>0</v>
      </c>
      <c r="P2044" s="57"/>
      <c r="Q2044" s="57"/>
      <c r="R2044" s="57"/>
      <c r="S2044" s="57"/>
      <c r="T2044" s="57"/>
      <c r="U2044" s="57"/>
      <c r="V2044" s="57"/>
      <c r="W2044" s="57"/>
      <c r="X2044" s="6"/>
      <c r="Y2044" s="6"/>
      <c r="Z2044" s="6"/>
      <c r="AA2044" s="6"/>
      <c r="AB2044" s="6"/>
      <c r="AC2044" s="6"/>
      <c r="AD2044" s="6"/>
      <c r="AE2044" s="6"/>
      <c r="AF2044" s="6"/>
      <c r="AG2044" s="6"/>
      <c r="AH2044" s="6"/>
      <c r="AI2044" s="6"/>
      <c r="AJ2044" s="6"/>
    </row>
    <row r="2045" spans="1:36" ht="11.25" customHeight="1" x14ac:dyDescent="0.2">
      <c r="A2045" s="53" t="s">
        <v>59</v>
      </c>
      <c r="B2045" s="53" t="s">
        <v>39</v>
      </c>
      <c r="C2045" s="53" t="s">
        <v>37</v>
      </c>
      <c r="D2045" s="53" t="s">
        <v>42</v>
      </c>
      <c r="E2045" s="53" t="s">
        <v>25</v>
      </c>
      <c r="F2045" s="53" t="s">
        <v>25</v>
      </c>
      <c r="G2045" s="53" t="s">
        <v>25</v>
      </c>
      <c r="H2045" s="53" t="s">
        <v>38</v>
      </c>
      <c r="I2045" s="73">
        <v>44075</v>
      </c>
      <c r="J2045" s="74">
        <f>EFEITO!$J$2045*EFEITO!$Y$2045</f>
        <v>0</v>
      </c>
      <c r="K2045" s="74">
        <f ca="1">EFEITO!$L$2045*EFEITO!$Z$2045</f>
        <v>-76866.441057603457</v>
      </c>
      <c r="L2045" s="74">
        <f>EFEITO!$N$2045*EFEITO!$AA$2045</f>
        <v>-42256.510374473444</v>
      </c>
      <c r="M2045" s="74">
        <f>$J$2045-EFEITO!$K$2045*EFEITO!$Y$2045</f>
        <v>0</v>
      </c>
      <c r="N2045" s="74">
        <f ca="1">$K$2045-EFEITO!$M$2045*EFEITO!$Z$2045</f>
        <v>0</v>
      </c>
      <c r="O2045" s="74">
        <f>$L$2045-EFEITO!$O$2045*EFEITO!$AA$2045</f>
        <v>0</v>
      </c>
      <c r="P2045" s="57"/>
      <c r="Q2045" s="57"/>
      <c r="R2045" s="57"/>
      <c r="S2045" s="57"/>
      <c r="T2045" s="57"/>
      <c r="U2045" s="57"/>
      <c r="V2045" s="57"/>
      <c r="W2045" s="57"/>
      <c r="X2045" s="6"/>
      <c r="Y2045" s="6"/>
      <c r="Z2045" s="6"/>
      <c r="AA2045" s="6"/>
      <c r="AB2045" s="6"/>
      <c r="AC2045" s="6"/>
      <c r="AD2045" s="6"/>
      <c r="AE2045" s="6"/>
      <c r="AF2045" s="6"/>
      <c r="AG2045" s="6"/>
      <c r="AH2045" s="6"/>
      <c r="AI2045" s="6"/>
      <c r="AJ2045" s="6"/>
    </row>
    <row r="2046" spans="1:36" ht="11.25" customHeight="1" x14ac:dyDescent="0.2">
      <c r="A2046" s="53" t="s">
        <v>21</v>
      </c>
      <c r="B2046" s="53" t="s">
        <v>39</v>
      </c>
      <c r="C2046" s="53" t="s">
        <v>37</v>
      </c>
      <c r="D2046" s="53" t="s">
        <v>42</v>
      </c>
      <c r="E2046" s="53" t="s">
        <v>25</v>
      </c>
      <c r="F2046" s="53" t="s">
        <v>25</v>
      </c>
      <c r="G2046" s="53" t="s">
        <v>25</v>
      </c>
      <c r="H2046" s="53" t="s">
        <v>35</v>
      </c>
      <c r="I2046" s="73">
        <v>43739</v>
      </c>
      <c r="J2046" s="74">
        <f>EFEITO!$J$2046*EFEITO!$Y$2046</f>
        <v>0</v>
      </c>
      <c r="K2046" s="74">
        <f ca="1">EFEITO!$L$2046*EFEITO!$Z$2046</f>
        <v>17156.233276542236</v>
      </c>
      <c r="L2046" s="74">
        <f>EFEITO!$N$2046*EFEITO!$AA$2046</f>
        <v>10298.839387058943</v>
      </c>
      <c r="M2046" s="74">
        <f>$J$2046-EFEITO!$K$2046*EFEITO!$Y$2046</f>
        <v>0</v>
      </c>
      <c r="N2046" s="74">
        <f ca="1">$K$2046-EFEITO!$M$2046*EFEITO!$Z$2046</f>
        <v>0</v>
      </c>
      <c r="O2046" s="74">
        <f>$L$2046-EFEITO!$O$2046*EFEITO!$AA$2046</f>
        <v>0</v>
      </c>
      <c r="P2046" s="57"/>
      <c r="Q2046" s="57"/>
      <c r="R2046" s="57"/>
      <c r="S2046" s="57"/>
      <c r="T2046" s="57"/>
      <c r="U2046" s="57"/>
      <c r="V2046" s="57"/>
      <c r="W2046" s="57"/>
      <c r="X2046" s="6"/>
      <c r="Y2046" s="6"/>
      <c r="Z2046" s="6"/>
      <c r="AA2046" s="6"/>
      <c r="AB2046" s="6"/>
      <c r="AC2046" s="6"/>
      <c r="AD2046" s="6"/>
      <c r="AE2046" s="6"/>
      <c r="AF2046" s="6"/>
      <c r="AG2046" s="6"/>
      <c r="AH2046" s="6"/>
      <c r="AI2046" s="6"/>
      <c r="AJ2046" s="6"/>
    </row>
    <row r="2047" spans="1:36" ht="11.25" customHeight="1" x14ac:dyDescent="0.2">
      <c r="A2047" s="53" t="s">
        <v>27</v>
      </c>
      <c r="B2047" s="53" t="s">
        <v>39</v>
      </c>
      <c r="C2047" s="53" t="s">
        <v>37</v>
      </c>
      <c r="D2047" s="53" t="s">
        <v>42</v>
      </c>
      <c r="E2047" s="53" t="s">
        <v>25</v>
      </c>
      <c r="F2047" s="53" t="s">
        <v>25</v>
      </c>
      <c r="G2047" s="53" t="s">
        <v>25</v>
      </c>
      <c r="H2047" s="53" t="s">
        <v>35</v>
      </c>
      <c r="I2047" s="73">
        <v>43739</v>
      </c>
      <c r="J2047" s="74">
        <f>EFEITO!$J$2047*EFEITO!$Y$2047</f>
        <v>0</v>
      </c>
      <c r="K2047" s="74">
        <f ca="1">EFEITO!$L$2047*EFEITO!$Z$2047</f>
        <v>165.84838646932818</v>
      </c>
      <c r="L2047" s="74">
        <f>EFEITO!$N$2047*EFEITO!$AA$2047</f>
        <v>99.558327712057036</v>
      </c>
      <c r="M2047" s="74">
        <f>$J$2047-EFEITO!$K$2047*EFEITO!$Y$2047</f>
        <v>0</v>
      </c>
      <c r="N2047" s="74">
        <f ca="1">$K$2047-EFEITO!$M$2047*EFEITO!$Z$2047</f>
        <v>0</v>
      </c>
      <c r="O2047" s="74">
        <f>$L$2047-EFEITO!$O$2047*EFEITO!$AA$2047</f>
        <v>0</v>
      </c>
      <c r="P2047" s="57"/>
      <c r="Q2047" s="57"/>
      <c r="R2047" s="57"/>
      <c r="S2047" s="57"/>
      <c r="T2047" s="57"/>
      <c r="U2047" s="57"/>
      <c r="V2047" s="57"/>
      <c r="W2047" s="57"/>
      <c r="X2047" s="6"/>
      <c r="Y2047" s="6"/>
      <c r="Z2047" s="6"/>
      <c r="AA2047" s="6"/>
      <c r="AB2047" s="6"/>
      <c r="AC2047" s="6"/>
      <c r="AD2047" s="6"/>
      <c r="AE2047" s="6"/>
      <c r="AF2047" s="6"/>
      <c r="AG2047" s="6"/>
      <c r="AH2047" s="6"/>
      <c r="AI2047" s="6"/>
      <c r="AJ2047" s="6"/>
    </row>
    <row r="2048" spans="1:36" ht="11.25" customHeight="1" x14ac:dyDescent="0.2">
      <c r="A2048" s="53" t="s">
        <v>28</v>
      </c>
      <c r="B2048" s="53" t="s">
        <v>39</v>
      </c>
      <c r="C2048" s="53" t="s">
        <v>37</v>
      </c>
      <c r="D2048" s="53" t="s">
        <v>42</v>
      </c>
      <c r="E2048" s="53" t="s">
        <v>25</v>
      </c>
      <c r="F2048" s="53" t="s">
        <v>25</v>
      </c>
      <c r="G2048" s="53" t="s">
        <v>25</v>
      </c>
      <c r="H2048" s="53" t="s">
        <v>35</v>
      </c>
      <c r="I2048" s="73">
        <v>43739</v>
      </c>
      <c r="J2048" s="74">
        <f>EFEITO!$J$2048*EFEITO!$Y$2048</f>
        <v>0</v>
      </c>
      <c r="K2048" s="74">
        <f ca="1">EFEITO!$L$2048*EFEITO!$Z$2048</f>
        <v>1451.9556853163822</v>
      </c>
      <c r="L2048" s="74">
        <f>EFEITO!$N$2048*EFEITO!$AA$2048</f>
        <v>871.60498223385775</v>
      </c>
      <c r="M2048" s="74">
        <f>$J$2048-EFEITO!$K$2048*EFEITO!$Y$2048</f>
        <v>0</v>
      </c>
      <c r="N2048" s="74">
        <f ca="1">$K$2048-EFEITO!$M$2048*EFEITO!$Z$2048</f>
        <v>0</v>
      </c>
      <c r="O2048" s="74">
        <f>$L$2048-EFEITO!$O$2048*EFEITO!$AA$2048</f>
        <v>0</v>
      </c>
      <c r="P2048" s="57"/>
      <c r="Q2048" s="57"/>
      <c r="R2048" s="57"/>
      <c r="S2048" s="57"/>
      <c r="T2048" s="57"/>
      <c r="U2048" s="57"/>
      <c r="V2048" s="57"/>
      <c r="W2048" s="57"/>
      <c r="X2048" s="6"/>
      <c r="Y2048" s="6"/>
      <c r="Z2048" s="6"/>
      <c r="AA2048" s="6"/>
      <c r="AB2048" s="6"/>
      <c r="AC2048" s="6"/>
      <c r="AD2048" s="6"/>
      <c r="AE2048" s="6"/>
      <c r="AF2048" s="6"/>
      <c r="AG2048" s="6"/>
      <c r="AH2048" s="6"/>
      <c r="AI2048" s="6"/>
      <c r="AJ2048" s="6"/>
    </row>
    <row r="2049" spans="1:36" ht="11.25" customHeight="1" x14ac:dyDescent="0.2">
      <c r="A2049" s="53" t="s">
        <v>21</v>
      </c>
      <c r="B2049" s="53" t="s">
        <v>39</v>
      </c>
      <c r="C2049" s="53" t="s">
        <v>37</v>
      </c>
      <c r="D2049" s="53" t="s">
        <v>42</v>
      </c>
      <c r="E2049" s="53" t="s">
        <v>25</v>
      </c>
      <c r="F2049" s="53" t="s">
        <v>25</v>
      </c>
      <c r="G2049" s="53" t="s">
        <v>25</v>
      </c>
      <c r="H2049" s="53" t="s">
        <v>35</v>
      </c>
      <c r="I2049" s="73">
        <v>43770</v>
      </c>
      <c r="J2049" s="74">
        <f>EFEITO!$J$2049*EFEITO!$Y$2049</f>
        <v>0</v>
      </c>
      <c r="K2049" s="74">
        <f ca="1">EFEITO!$L$2049*EFEITO!$Z$2049</f>
        <v>646439.45987937262</v>
      </c>
      <c r="L2049" s="74">
        <f>EFEITO!$N$2049*EFEITO!$AA$2049</f>
        <v>388055.81991343712</v>
      </c>
      <c r="M2049" s="74">
        <f>$J$2049-EFEITO!$K$2049*EFEITO!$Y$2049</f>
        <v>0</v>
      </c>
      <c r="N2049" s="74">
        <f ca="1">$K$2049-EFEITO!$M$2049*EFEITO!$Z$2049</f>
        <v>0</v>
      </c>
      <c r="O2049" s="74">
        <f>$L$2049-EFEITO!$O$2049*EFEITO!$AA$2049</f>
        <v>0</v>
      </c>
      <c r="P2049" s="57"/>
      <c r="Q2049" s="57"/>
      <c r="R2049" s="57"/>
      <c r="S2049" s="57"/>
      <c r="T2049" s="57"/>
      <c r="U2049" s="57"/>
      <c r="V2049" s="57"/>
      <c r="W2049" s="57"/>
      <c r="X2049" s="6"/>
      <c r="Y2049" s="6"/>
      <c r="Z2049" s="6"/>
      <c r="AA2049" s="6"/>
      <c r="AB2049" s="6"/>
      <c r="AC2049" s="6"/>
      <c r="AD2049" s="6"/>
      <c r="AE2049" s="6"/>
      <c r="AF2049" s="6"/>
      <c r="AG2049" s="6"/>
      <c r="AH2049" s="6"/>
      <c r="AI2049" s="6"/>
      <c r="AJ2049" s="6"/>
    </row>
    <row r="2050" spans="1:36" ht="11.25" customHeight="1" x14ac:dyDescent="0.2">
      <c r="A2050" s="53" t="s">
        <v>27</v>
      </c>
      <c r="B2050" s="53" t="s">
        <v>39</v>
      </c>
      <c r="C2050" s="53" t="s">
        <v>37</v>
      </c>
      <c r="D2050" s="53" t="s">
        <v>42</v>
      </c>
      <c r="E2050" s="53" t="s">
        <v>25</v>
      </c>
      <c r="F2050" s="53" t="s">
        <v>25</v>
      </c>
      <c r="G2050" s="53" t="s">
        <v>25</v>
      </c>
      <c r="H2050" s="53" t="s">
        <v>35</v>
      </c>
      <c r="I2050" s="73">
        <v>43770</v>
      </c>
      <c r="J2050" s="74">
        <f>EFEITO!$J$2050*EFEITO!$Y$2050</f>
        <v>0</v>
      </c>
      <c r="K2050" s="74">
        <f ca="1">EFEITO!$L$2050*EFEITO!$Z$2050</f>
        <v>198.39222079538501</v>
      </c>
      <c r="L2050" s="74">
        <f>EFEITO!$N$2050*EFEITO!$AA$2050</f>
        <v>119.09430145178143</v>
      </c>
      <c r="M2050" s="74">
        <f>$J$2050-EFEITO!$K$2050*EFEITO!$Y$2050</f>
        <v>0</v>
      </c>
      <c r="N2050" s="74">
        <f ca="1">$K$2050-EFEITO!$M$2050*EFEITO!$Z$2050</f>
        <v>0</v>
      </c>
      <c r="O2050" s="74">
        <f>$L$2050-EFEITO!$O$2050*EFEITO!$AA$2050</f>
        <v>0</v>
      </c>
      <c r="P2050" s="57"/>
      <c r="Q2050" s="57"/>
      <c r="R2050" s="57"/>
      <c r="S2050" s="57"/>
      <c r="T2050" s="57"/>
      <c r="U2050" s="57"/>
      <c r="V2050" s="57"/>
      <c r="W2050" s="57"/>
      <c r="X2050" s="6"/>
      <c r="Y2050" s="6"/>
      <c r="Z2050" s="6"/>
      <c r="AA2050" s="6"/>
      <c r="AB2050" s="6"/>
      <c r="AC2050" s="6"/>
      <c r="AD2050" s="6"/>
      <c r="AE2050" s="6"/>
      <c r="AF2050" s="6"/>
      <c r="AG2050" s="6"/>
      <c r="AH2050" s="6"/>
      <c r="AI2050" s="6"/>
      <c r="AJ2050" s="6"/>
    </row>
    <row r="2051" spans="1:36" ht="11.25" customHeight="1" x14ac:dyDescent="0.2">
      <c r="A2051" s="53" t="s">
        <v>28</v>
      </c>
      <c r="B2051" s="53" t="s">
        <v>39</v>
      </c>
      <c r="C2051" s="53" t="s">
        <v>37</v>
      </c>
      <c r="D2051" s="53" t="s">
        <v>42</v>
      </c>
      <c r="E2051" s="53" t="s">
        <v>25</v>
      </c>
      <c r="F2051" s="53" t="s">
        <v>25</v>
      </c>
      <c r="G2051" s="53" t="s">
        <v>25</v>
      </c>
      <c r="H2051" s="53" t="s">
        <v>35</v>
      </c>
      <c r="I2051" s="73">
        <v>43770</v>
      </c>
      <c r="J2051" s="74">
        <f>EFEITO!$J$2051*EFEITO!$Y$2051</f>
        <v>0</v>
      </c>
      <c r="K2051" s="74">
        <f ca="1">EFEITO!$L$2051*EFEITO!$Z$2051</f>
        <v>2953.9788080574672</v>
      </c>
      <c r="L2051" s="74">
        <f>EFEITO!$N$2051*EFEITO!$AA$2051</f>
        <v>1773.2653086826761</v>
      </c>
      <c r="M2051" s="74">
        <f>$J$2051-EFEITO!$K$2051*EFEITO!$Y$2051</f>
        <v>0</v>
      </c>
      <c r="N2051" s="74">
        <f ca="1">$K$2051-EFEITO!$M$2051*EFEITO!$Z$2051</f>
        <v>0</v>
      </c>
      <c r="O2051" s="74">
        <f>$L$2051-EFEITO!$O$2051*EFEITO!$AA$2051</f>
        <v>0</v>
      </c>
      <c r="P2051" s="57"/>
      <c r="Q2051" s="57"/>
      <c r="R2051" s="57"/>
      <c r="S2051" s="57"/>
      <c r="T2051" s="57"/>
      <c r="U2051" s="57"/>
      <c r="V2051" s="57"/>
      <c r="W2051" s="57"/>
      <c r="X2051" s="6"/>
      <c r="Y2051" s="6"/>
      <c r="Z2051" s="6"/>
      <c r="AA2051" s="6"/>
      <c r="AB2051" s="6"/>
      <c r="AC2051" s="6"/>
      <c r="AD2051" s="6"/>
      <c r="AE2051" s="6"/>
      <c r="AF2051" s="6"/>
      <c r="AG2051" s="6"/>
      <c r="AH2051" s="6"/>
      <c r="AI2051" s="6"/>
      <c r="AJ2051" s="6"/>
    </row>
    <row r="2052" spans="1:36" ht="11.25" customHeight="1" x14ac:dyDescent="0.2">
      <c r="A2052" s="53" t="s">
        <v>27</v>
      </c>
      <c r="B2052" s="53" t="s">
        <v>39</v>
      </c>
      <c r="C2052" s="53" t="s">
        <v>37</v>
      </c>
      <c r="D2052" s="53" t="s">
        <v>42</v>
      </c>
      <c r="E2052" s="53" t="s">
        <v>25</v>
      </c>
      <c r="F2052" s="53" t="s">
        <v>25</v>
      </c>
      <c r="G2052" s="53" t="s">
        <v>25</v>
      </c>
      <c r="H2052" s="53" t="s">
        <v>35</v>
      </c>
      <c r="I2052" s="73">
        <v>43800</v>
      </c>
      <c r="J2052" s="74">
        <f>EFEITO!$J$2052*EFEITO!$Y$2052</f>
        <v>0</v>
      </c>
      <c r="K2052" s="74">
        <f ca="1">EFEITO!$L$2052*EFEITO!$Z$2052</f>
        <v>-606988.822560578</v>
      </c>
      <c r="L2052" s="74">
        <f>EFEITO!$N$2052*EFEITO!$AA$2052</f>
        <v>-364373.71143925888</v>
      </c>
      <c r="M2052" s="74">
        <f>$J$2052-EFEITO!$K$2052*EFEITO!$Y$2052</f>
        <v>0</v>
      </c>
      <c r="N2052" s="74">
        <f ca="1">$K$2052-EFEITO!$M$2052*EFEITO!$Z$2052</f>
        <v>0</v>
      </c>
      <c r="O2052" s="74">
        <f>$L$2052-EFEITO!$O$2052*EFEITO!$AA$2052</f>
        <v>0</v>
      </c>
      <c r="P2052" s="57"/>
      <c r="Q2052" s="57"/>
      <c r="R2052" s="57"/>
      <c r="S2052" s="57"/>
      <c r="T2052" s="57"/>
      <c r="U2052" s="57"/>
      <c r="V2052" s="57"/>
      <c r="W2052" s="57"/>
      <c r="X2052" s="6"/>
      <c r="Y2052" s="6"/>
      <c r="Z2052" s="6"/>
      <c r="AA2052" s="6"/>
      <c r="AB2052" s="6"/>
      <c r="AC2052" s="6"/>
      <c r="AD2052" s="6"/>
      <c r="AE2052" s="6"/>
      <c r="AF2052" s="6"/>
      <c r="AG2052" s="6"/>
      <c r="AH2052" s="6"/>
      <c r="AI2052" s="6"/>
      <c r="AJ2052" s="6"/>
    </row>
    <row r="2053" spans="1:36" ht="11.25" customHeight="1" x14ac:dyDescent="0.2">
      <c r="A2053" s="53" t="s">
        <v>28</v>
      </c>
      <c r="B2053" s="53" t="s">
        <v>39</v>
      </c>
      <c r="C2053" s="53" t="s">
        <v>37</v>
      </c>
      <c r="D2053" s="53" t="s">
        <v>42</v>
      </c>
      <c r="E2053" s="53" t="s">
        <v>25</v>
      </c>
      <c r="F2053" s="53" t="s">
        <v>25</v>
      </c>
      <c r="G2053" s="53" t="s">
        <v>25</v>
      </c>
      <c r="H2053" s="53" t="s">
        <v>35</v>
      </c>
      <c r="I2053" s="73">
        <v>43800</v>
      </c>
      <c r="J2053" s="74">
        <f>EFEITO!$J$2053*EFEITO!$Y$2053</f>
        <v>0</v>
      </c>
      <c r="K2053" s="74">
        <f ca="1">EFEITO!$L$2053*EFEITO!$Z$2053</f>
        <v>1201.6184981928682</v>
      </c>
      <c r="L2053" s="74">
        <f>EFEITO!$N$2053*EFEITO!$AA$2053</f>
        <v>721.3282611590547</v>
      </c>
      <c r="M2053" s="74">
        <f>$J$2053-EFEITO!$K$2053*EFEITO!$Y$2053</f>
        <v>0</v>
      </c>
      <c r="N2053" s="74">
        <f ca="1">$K$2053-EFEITO!$M$2053*EFEITO!$Z$2053</f>
        <v>0</v>
      </c>
      <c r="O2053" s="74">
        <f>$L$2053-EFEITO!$O$2053*EFEITO!$AA$2053</f>
        <v>0</v>
      </c>
      <c r="P2053" s="57"/>
      <c r="Q2053" s="57"/>
      <c r="R2053" s="57"/>
      <c r="S2053" s="57"/>
      <c r="T2053" s="57"/>
      <c r="U2053" s="57"/>
      <c r="V2053" s="57"/>
      <c r="W2053" s="57"/>
      <c r="X2053" s="6"/>
      <c r="Y2053" s="6"/>
      <c r="Z2053" s="6"/>
      <c r="AA2053" s="6"/>
      <c r="AB2053" s="6"/>
      <c r="AC2053" s="6"/>
      <c r="AD2053" s="6"/>
      <c r="AE2053" s="6"/>
      <c r="AF2053" s="6"/>
      <c r="AG2053" s="6"/>
      <c r="AH2053" s="6"/>
      <c r="AI2053" s="6"/>
      <c r="AJ2053" s="6"/>
    </row>
    <row r="2054" spans="1:36" ht="11.25" customHeight="1" x14ac:dyDescent="0.2">
      <c r="A2054" s="53" t="s">
        <v>21</v>
      </c>
      <c r="B2054" s="53" t="s">
        <v>39</v>
      </c>
      <c r="C2054" s="53" t="s">
        <v>37</v>
      </c>
      <c r="D2054" s="53" t="s">
        <v>42</v>
      </c>
      <c r="E2054" s="53" t="s">
        <v>25</v>
      </c>
      <c r="F2054" s="53" t="s">
        <v>25</v>
      </c>
      <c r="G2054" s="53" t="s">
        <v>25</v>
      </c>
      <c r="H2054" s="53" t="s">
        <v>35</v>
      </c>
      <c r="I2054" s="73">
        <v>43831</v>
      </c>
      <c r="J2054" s="74">
        <f>EFEITO!$J$2054*EFEITO!$Y$2054</f>
        <v>0</v>
      </c>
      <c r="K2054" s="74">
        <f ca="1">EFEITO!$L$2054*EFEITO!$Z$2054</f>
        <v>18036.16848928139</v>
      </c>
      <c r="L2054" s="74">
        <f>EFEITO!$N$2054*EFEITO!$AA$2054</f>
        <v>10827.062061636874</v>
      </c>
      <c r="M2054" s="74">
        <f>$J$2054-EFEITO!$K$2054*EFEITO!$Y$2054</f>
        <v>0</v>
      </c>
      <c r="N2054" s="74">
        <f ca="1">$K$2054-EFEITO!$M$2054*EFEITO!$Z$2054</f>
        <v>0</v>
      </c>
      <c r="O2054" s="74">
        <f>$L$2054-EFEITO!$O$2054*EFEITO!$AA$2054</f>
        <v>0</v>
      </c>
      <c r="P2054" s="57"/>
      <c r="Q2054" s="57"/>
      <c r="R2054" s="57"/>
      <c r="S2054" s="57"/>
      <c r="T2054" s="57"/>
      <c r="U2054" s="57"/>
      <c r="V2054" s="57"/>
      <c r="W2054" s="57"/>
      <c r="X2054" s="6"/>
      <c r="Y2054" s="6"/>
      <c r="Z2054" s="6"/>
      <c r="AA2054" s="6"/>
      <c r="AB2054" s="6"/>
      <c r="AC2054" s="6"/>
      <c r="AD2054" s="6"/>
      <c r="AE2054" s="6"/>
      <c r="AF2054" s="6"/>
      <c r="AG2054" s="6"/>
      <c r="AH2054" s="6"/>
      <c r="AI2054" s="6"/>
      <c r="AJ2054" s="6"/>
    </row>
    <row r="2055" spans="1:36" ht="11.25" customHeight="1" x14ac:dyDescent="0.2">
      <c r="A2055" s="53" t="s">
        <v>27</v>
      </c>
      <c r="B2055" s="53" t="s">
        <v>39</v>
      </c>
      <c r="C2055" s="53" t="s">
        <v>37</v>
      </c>
      <c r="D2055" s="53" t="s">
        <v>42</v>
      </c>
      <c r="E2055" s="53" t="s">
        <v>25</v>
      </c>
      <c r="F2055" s="53" t="s">
        <v>25</v>
      </c>
      <c r="G2055" s="53" t="s">
        <v>25</v>
      </c>
      <c r="H2055" s="53" t="s">
        <v>35</v>
      </c>
      <c r="I2055" s="73">
        <v>43831</v>
      </c>
      <c r="J2055" s="74">
        <f>EFEITO!$J$2055*EFEITO!$Y$2055</f>
        <v>0</v>
      </c>
      <c r="K2055" s="74">
        <f ca="1">EFEITO!$L$2055*EFEITO!$Z$2055</f>
        <v>197.14053485976743</v>
      </c>
      <c r="L2055" s="74">
        <f>EFEITO!$N$2055*EFEITO!$AA$2055</f>
        <v>118.34291784640742</v>
      </c>
      <c r="M2055" s="74">
        <f>$J$2055-EFEITO!$K$2055*EFEITO!$Y$2055</f>
        <v>0</v>
      </c>
      <c r="N2055" s="74">
        <f ca="1">$K$2055-EFEITO!$M$2055*EFEITO!$Z$2055</f>
        <v>0</v>
      </c>
      <c r="O2055" s="74">
        <f>$L$2055-EFEITO!$O$2055*EFEITO!$AA$2055</f>
        <v>0</v>
      </c>
      <c r="P2055" s="57"/>
      <c r="Q2055" s="57"/>
      <c r="R2055" s="57"/>
      <c r="S2055" s="57"/>
      <c r="T2055" s="57"/>
      <c r="U2055" s="57"/>
      <c r="V2055" s="57"/>
      <c r="W2055" s="57"/>
      <c r="X2055" s="6"/>
      <c r="Y2055" s="6"/>
      <c r="Z2055" s="6"/>
      <c r="AA2055" s="6"/>
      <c r="AB2055" s="6"/>
      <c r="AC2055" s="6"/>
      <c r="AD2055" s="6"/>
      <c r="AE2055" s="6"/>
      <c r="AF2055" s="6"/>
      <c r="AG2055" s="6"/>
      <c r="AH2055" s="6"/>
      <c r="AI2055" s="6"/>
      <c r="AJ2055" s="6"/>
    </row>
    <row r="2056" spans="1:36" ht="11.25" customHeight="1" x14ac:dyDescent="0.2">
      <c r="A2056" s="53" t="s">
        <v>21</v>
      </c>
      <c r="B2056" s="53" t="s">
        <v>39</v>
      </c>
      <c r="C2056" s="53" t="s">
        <v>37</v>
      </c>
      <c r="D2056" s="53" t="s">
        <v>42</v>
      </c>
      <c r="E2056" s="53" t="s">
        <v>25</v>
      </c>
      <c r="F2056" s="53" t="s">
        <v>25</v>
      </c>
      <c r="G2056" s="53" t="s">
        <v>25</v>
      </c>
      <c r="H2056" s="53" t="s">
        <v>35</v>
      </c>
      <c r="I2056" s="73">
        <v>43862</v>
      </c>
      <c r="J2056" s="74">
        <f>EFEITO!$J$2056*EFEITO!$Y$2056</f>
        <v>0</v>
      </c>
      <c r="K2056" s="74">
        <f ca="1">EFEITO!$L$2056*EFEITO!$Z$2056</f>
        <v>18016.141514311508</v>
      </c>
      <c r="L2056" s="74">
        <f>EFEITO!$N$2056*EFEITO!$AA$2056</f>
        <v>10815.03992395089</v>
      </c>
      <c r="M2056" s="74">
        <f>$J$2056-EFEITO!$K$2056*EFEITO!$Y$2056</f>
        <v>0</v>
      </c>
      <c r="N2056" s="74">
        <f ca="1">$K$2056-EFEITO!$M$2056*EFEITO!$Z$2056</f>
        <v>0</v>
      </c>
      <c r="O2056" s="74">
        <f>$L$2056-EFEITO!$O$2056*EFEITO!$AA$2056</f>
        <v>0</v>
      </c>
      <c r="P2056" s="57"/>
      <c r="Q2056" s="57"/>
      <c r="R2056" s="57"/>
      <c r="S2056" s="57"/>
      <c r="T2056" s="57"/>
      <c r="U2056" s="57"/>
      <c r="V2056" s="57"/>
      <c r="W2056" s="57"/>
      <c r="X2056" s="6"/>
      <c r="Y2056" s="6"/>
      <c r="Z2056" s="6"/>
      <c r="AA2056" s="6"/>
      <c r="AB2056" s="6"/>
      <c r="AC2056" s="6"/>
      <c r="AD2056" s="6"/>
      <c r="AE2056" s="6"/>
      <c r="AF2056" s="6"/>
      <c r="AG2056" s="6"/>
      <c r="AH2056" s="6"/>
      <c r="AI2056" s="6"/>
      <c r="AJ2056" s="6"/>
    </row>
    <row r="2057" spans="1:36" ht="11.25" customHeight="1" x14ac:dyDescent="0.2">
      <c r="A2057" s="53" t="s">
        <v>27</v>
      </c>
      <c r="B2057" s="53" t="s">
        <v>39</v>
      </c>
      <c r="C2057" s="53" t="s">
        <v>37</v>
      </c>
      <c r="D2057" s="53" t="s">
        <v>42</v>
      </c>
      <c r="E2057" s="53" t="s">
        <v>25</v>
      </c>
      <c r="F2057" s="53" t="s">
        <v>25</v>
      </c>
      <c r="G2057" s="53" t="s">
        <v>25</v>
      </c>
      <c r="H2057" s="53" t="s">
        <v>35</v>
      </c>
      <c r="I2057" s="73">
        <v>43862</v>
      </c>
      <c r="J2057" s="74">
        <f>EFEITO!$J$2057*EFEITO!$Y$2057</f>
        <v>0</v>
      </c>
      <c r="K2057" s="74">
        <f ca="1">EFEITO!$L$2057*EFEITO!$Z$2057</f>
        <v>940.01613764879585</v>
      </c>
      <c r="L2057" s="74">
        <f>EFEITO!$N$2057*EFEITO!$AA$2057</f>
        <v>564.28908763588549</v>
      </c>
      <c r="M2057" s="74">
        <f>$J$2057-EFEITO!$K$2057*EFEITO!$Y$2057</f>
        <v>0</v>
      </c>
      <c r="N2057" s="74">
        <f ca="1">$K$2057-EFEITO!$M$2057*EFEITO!$Z$2057</f>
        <v>0</v>
      </c>
      <c r="O2057" s="74">
        <f>$L$2057-EFEITO!$O$2057*EFEITO!$AA$2057</f>
        <v>0</v>
      </c>
      <c r="P2057" s="57"/>
      <c r="Q2057" s="57"/>
      <c r="R2057" s="57"/>
      <c r="S2057" s="57"/>
      <c r="T2057" s="57"/>
      <c r="U2057" s="57"/>
      <c r="V2057" s="57"/>
      <c r="W2057" s="57"/>
      <c r="X2057" s="6"/>
      <c r="Y2057" s="6"/>
      <c r="Z2057" s="6"/>
      <c r="AA2057" s="6"/>
      <c r="AB2057" s="6"/>
      <c r="AC2057" s="6"/>
      <c r="AD2057" s="6"/>
      <c r="AE2057" s="6"/>
      <c r="AF2057" s="6"/>
      <c r="AG2057" s="6"/>
      <c r="AH2057" s="6"/>
      <c r="AI2057" s="6"/>
      <c r="AJ2057" s="6"/>
    </row>
    <row r="2058" spans="1:36" ht="11.25" customHeight="1" x14ac:dyDescent="0.2">
      <c r="A2058" s="53" t="s">
        <v>21</v>
      </c>
      <c r="B2058" s="53" t="s">
        <v>39</v>
      </c>
      <c r="C2058" s="53" t="s">
        <v>37</v>
      </c>
      <c r="D2058" s="53" t="s">
        <v>42</v>
      </c>
      <c r="E2058" s="53" t="s">
        <v>25</v>
      </c>
      <c r="F2058" s="53" t="s">
        <v>25</v>
      </c>
      <c r="G2058" s="53" t="s">
        <v>25</v>
      </c>
      <c r="H2058" s="53" t="s">
        <v>35</v>
      </c>
      <c r="I2058" s="73">
        <v>43891</v>
      </c>
      <c r="J2058" s="74">
        <f>EFEITO!$J$2058*EFEITO!$Y$2058</f>
        <v>0</v>
      </c>
      <c r="K2058" s="74">
        <f ca="1">EFEITO!$L$2058*EFEITO!$Z$2058</f>
        <v>16223.727254507145</v>
      </c>
      <c r="L2058" s="74">
        <f>EFEITO!$N$2058*EFEITO!$AA$2058</f>
        <v>9739.0586010552997</v>
      </c>
      <c r="M2058" s="74">
        <f>$J$2058-EFEITO!$K$2058*EFEITO!$Y$2058</f>
        <v>0</v>
      </c>
      <c r="N2058" s="74">
        <f ca="1">$K$2058-EFEITO!$M$2058*EFEITO!$Z$2058</f>
        <v>0</v>
      </c>
      <c r="O2058" s="74">
        <f>$L$2058-EFEITO!$O$2058*EFEITO!$AA$2058</f>
        <v>0</v>
      </c>
      <c r="P2058" s="57"/>
      <c r="Q2058" s="57"/>
      <c r="R2058" s="57"/>
      <c r="S2058" s="57"/>
      <c r="T2058" s="57"/>
      <c r="U2058" s="57"/>
      <c r="V2058" s="57"/>
      <c r="W2058" s="57"/>
      <c r="X2058" s="6"/>
      <c r="Y2058" s="6"/>
      <c r="Z2058" s="6"/>
      <c r="AA2058" s="6"/>
      <c r="AB2058" s="6"/>
      <c r="AC2058" s="6"/>
      <c r="AD2058" s="6"/>
      <c r="AE2058" s="6"/>
      <c r="AF2058" s="6"/>
      <c r="AG2058" s="6"/>
      <c r="AH2058" s="6"/>
      <c r="AI2058" s="6"/>
      <c r="AJ2058" s="6"/>
    </row>
    <row r="2059" spans="1:36" ht="11.25" customHeight="1" x14ac:dyDescent="0.2">
      <c r="A2059" s="53" t="s">
        <v>27</v>
      </c>
      <c r="B2059" s="53" t="s">
        <v>39</v>
      </c>
      <c r="C2059" s="53" t="s">
        <v>37</v>
      </c>
      <c r="D2059" s="53" t="s">
        <v>42</v>
      </c>
      <c r="E2059" s="53" t="s">
        <v>25</v>
      </c>
      <c r="F2059" s="53" t="s">
        <v>25</v>
      </c>
      <c r="G2059" s="53" t="s">
        <v>25</v>
      </c>
      <c r="H2059" s="53" t="s">
        <v>35</v>
      </c>
      <c r="I2059" s="73">
        <v>43891</v>
      </c>
      <c r="J2059" s="74">
        <f>EFEITO!$J$2059*EFEITO!$Y$2059</f>
        <v>0</v>
      </c>
      <c r="K2059" s="74">
        <f ca="1">EFEITO!$L$2059*EFEITO!$Z$2059</f>
        <v>725.3519996903824</v>
      </c>
      <c r="L2059" s="74">
        <f>EFEITO!$N$2059*EFEITO!$AA$2059</f>
        <v>435.42679931424192</v>
      </c>
      <c r="M2059" s="74">
        <f>$J$2059-EFEITO!$K$2059*EFEITO!$Y$2059</f>
        <v>0</v>
      </c>
      <c r="N2059" s="74">
        <f ca="1">$K$2059-EFEITO!$M$2059*EFEITO!$Z$2059</f>
        <v>0</v>
      </c>
      <c r="O2059" s="74">
        <f>$L$2059-EFEITO!$O$2059*EFEITO!$AA$2059</f>
        <v>0</v>
      </c>
      <c r="P2059" s="57"/>
      <c r="Q2059" s="57"/>
      <c r="R2059" s="57"/>
      <c r="S2059" s="57"/>
      <c r="T2059" s="57"/>
      <c r="U2059" s="57"/>
      <c r="V2059" s="57"/>
      <c r="W2059" s="57"/>
      <c r="X2059" s="6"/>
      <c r="Y2059" s="6"/>
      <c r="Z2059" s="6"/>
      <c r="AA2059" s="6"/>
      <c r="AB2059" s="6"/>
      <c r="AC2059" s="6"/>
      <c r="AD2059" s="6"/>
      <c r="AE2059" s="6"/>
      <c r="AF2059" s="6"/>
      <c r="AG2059" s="6"/>
      <c r="AH2059" s="6"/>
      <c r="AI2059" s="6"/>
      <c r="AJ2059" s="6"/>
    </row>
    <row r="2060" spans="1:36" ht="11.25" customHeight="1" x14ac:dyDescent="0.2">
      <c r="A2060" s="53" t="s">
        <v>21</v>
      </c>
      <c r="B2060" s="53" t="s">
        <v>39</v>
      </c>
      <c r="C2060" s="53" t="s">
        <v>37</v>
      </c>
      <c r="D2060" s="53" t="s">
        <v>42</v>
      </c>
      <c r="E2060" s="53" t="s">
        <v>25</v>
      </c>
      <c r="F2060" s="53" t="s">
        <v>25</v>
      </c>
      <c r="G2060" s="53" t="s">
        <v>25</v>
      </c>
      <c r="H2060" s="53" t="s">
        <v>35</v>
      </c>
      <c r="I2060" s="73">
        <v>43922</v>
      </c>
      <c r="J2060" s="74">
        <f>EFEITO!$J$2060*EFEITO!$Y$2060</f>
        <v>0</v>
      </c>
      <c r="K2060" s="74">
        <f ca="1">EFEITO!$L$2060*EFEITO!$Z$2060</f>
        <v>16204.951965472883</v>
      </c>
      <c r="L2060" s="74">
        <f>EFEITO!$N$2060*EFEITO!$AA$2060</f>
        <v>9727.7878469746902</v>
      </c>
      <c r="M2060" s="74">
        <f>$J$2060-EFEITO!$K$2060*EFEITO!$Y$2060</f>
        <v>0</v>
      </c>
      <c r="N2060" s="74">
        <f ca="1">$K$2060-EFEITO!$M$2060*EFEITO!$Z$2060</f>
        <v>0</v>
      </c>
      <c r="O2060" s="74">
        <f>$L$2060-EFEITO!$O$2060*EFEITO!$AA$2060</f>
        <v>0</v>
      </c>
      <c r="P2060" s="57"/>
      <c r="Q2060" s="57"/>
      <c r="R2060" s="57"/>
      <c r="S2060" s="57"/>
      <c r="T2060" s="57"/>
      <c r="U2060" s="57"/>
      <c r="V2060" s="57"/>
      <c r="W2060" s="57"/>
      <c r="X2060" s="6"/>
      <c r="Y2060" s="6"/>
      <c r="Z2060" s="6"/>
      <c r="AA2060" s="6"/>
      <c r="AB2060" s="6"/>
      <c r="AC2060" s="6"/>
      <c r="AD2060" s="6"/>
      <c r="AE2060" s="6"/>
      <c r="AF2060" s="6"/>
      <c r="AG2060" s="6"/>
      <c r="AH2060" s="6"/>
      <c r="AI2060" s="6"/>
      <c r="AJ2060" s="6"/>
    </row>
    <row r="2061" spans="1:36" ht="11.25" customHeight="1" x14ac:dyDescent="0.2">
      <c r="A2061" s="53" t="s">
        <v>27</v>
      </c>
      <c r="B2061" s="53" t="s">
        <v>39</v>
      </c>
      <c r="C2061" s="53" t="s">
        <v>37</v>
      </c>
      <c r="D2061" s="53" t="s">
        <v>42</v>
      </c>
      <c r="E2061" s="53" t="s">
        <v>25</v>
      </c>
      <c r="F2061" s="53" t="s">
        <v>25</v>
      </c>
      <c r="G2061" s="53" t="s">
        <v>25</v>
      </c>
      <c r="H2061" s="53" t="s">
        <v>35</v>
      </c>
      <c r="I2061" s="73">
        <v>43922</v>
      </c>
      <c r="J2061" s="74">
        <f>EFEITO!$J$2061*EFEITO!$Y$2061</f>
        <v>0</v>
      </c>
      <c r="K2061" s="74">
        <f ca="1">EFEITO!$L$2061*EFEITO!$Z$2061</f>
        <v>165.84838646932818</v>
      </c>
      <c r="L2061" s="74">
        <f>EFEITO!$N$2061*EFEITO!$AA$2061</f>
        <v>99.558327712057036</v>
      </c>
      <c r="M2061" s="74">
        <f>$J$2061-EFEITO!$K$2061*EFEITO!$Y$2061</f>
        <v>0</v>
      </c>
      <c r="N2061" s="74">
        <f ca="1">$K$2061-EFEITO!$M$2061*EFEITO!$Z$2061</f>
        <v>0</v>
      </c>
      <c r="O2061" s="74">
        <f>$L$2061-EFEITO!$O$2061*EFEITO!$AA$2061</f>
        <v>0</v>
      </c>
      <c r="P2061" s="57"/>
      <c r="Q2061" s="57"/>
      <c r="R2061" s="57"/>
      <c r="S2061" s="57"/>
      <c r="T2061" s="57"/>
      <c r="U2061" s="57"/>
      <c r="V2061" s="57"/>
      <c r="W2061" s="57"/>
      <c r="X2061" s="6"/>
      <c r="Y2061" s="6"/>
      <c r="Z2061" s="6"/>
      <c r="AA2061" s="6"/>
      <c r="AB2061" s="6"/>
      <c r="AC2061" s="6"/>
      <c r="AD2061" s="6"/>
      <c r="AE2061" s="6"/>
      <c r="AF2061" s="6"/>
      <c r="AG2061" s="6"/>
      <c r="AH2061" s="6"/>
      <c r="AI2061" s="6"/>
      <c r="AJ2061" s="6"/>
    </row>
    <row r="2062" spans="1:36" ht="11.25" customHeight="1" x14ac:dyDescent="0.2">
      <c r="A2062" s="53" t="s">
        <v>21</v>
      </c>
      <c r="B2062" s="53" t="s">
        <v>39</v>
      </c>
      <c r="C2062" s="53" t="s">
        <v>37</v>
      </c>
      <c r="D2062" s="53" t="s">
        <v>42</v>
      </c>
      <c r="E2062" s="53" t="s">
        <v>25</v>
      </c>
      <c r="F2062" s="53" t="s">
        <v>25</v>
      </c>
      <c r="G2062" s="53" t="s">
        <v>25</v>
      </c>
      <c r="H2062" s="53" t="s">
        <v>35</v>
      </c>
      <c r="I2062" s="73">
        <v>43952</v>
      </c>
      <c r="J2062" s="74">
        <f>EFEITO!$J$2062*EFEITO!$Y$2062</f>
        <v>0</v>
      </c>
      <c r="K2062" s="74">
        <f ca="1">EFEITO!$L$2062*EFEITO!$Z$2062</f>
        <v>11279.567808817741</v>
      </c>
      <c r="L2062" s="74">
        <f>EFEITO!$N$2062*EFEITO!$AA$2062</f>
        <v>6771.0933598279389</v>
      </c>
      <c r="M2062" s="74">
        <f>$J$2062-EFEITO!$K$2062*EFEITO!$Y$2062</f>
        <v>0</v>
      </c>
      <c r="N2062" s="74">
        <f ca="1">$K$2062-EFEITO!$M$2062*EFEITO!$Z$2062</f>
        <v>0</v>
      </c>
      <c r="O2062" s="74">
        <f>$L$2062-EFEITO!$O$2062*EFEITO!$AA$2062</f>
        <v>0</v>
      </c>
      <c r="P2062" s="57"/>
      <c r="Q2062" s="57"/>
      <c r="R2062" s="57"/>
      <c r="S2062" s="57"/>
      <c r="T2062" s="57"/>
      <c r="U2062" s="57"/>
      <c r="V2062" s="57"/>
      <c r="W2062" s="57"/>
      <c r="X2062" s="6"/>
      <c r="Y2062" s="6"/>
      <c r="Z2062" s="6"/>
      <c r="AA2062" s="6"/>
      <c r="AB2062" s="6"/>
      <c r="AC2062" s="6"/>
      <c r="AD2062" s="6"/>
      <c r="AE2062" s="6"/>
      <c r="AF2062" s="6"/>
      <c r="AG2062" s="6"/>
      <c r="AH2062" s="6"/>
      <c r="AI2062" s="6"/>
      <c r="AJ2062" s="6"/>
    </row>
    <row r="2063" spans="1:36" ht="11.25" customHeight="1" x14ac:dyDescent="0.2">
      <c r="A2063" s="53" t="s">
        <v>27</v>
      </c>
      <c r="B2063" s="53" t="s">
        <v>39</v>
      </c>
      <c r="C2063" s="53" t="s">
        <v>37</v>
      </c>
      <c r="D2063" s="53" t="s">
        <v>42</v>
      </c>
      <c r="E2063" s="53" t="s">
        <v>25</v>
      </c>
      <c r="F2063" s="53" t="s">
        <v>25</v>
      </c>
      <c r="G2063" s="53" t="s">
        <v>25</v>
      </c>
      <c r="H2063" s="53" t="s">
        <v>35</v>
      </c>
      <c r="I2063" s="73">
        <v>43952</v>
      </c>
      <c r="J2063" s="74">
        <f>EFEITO!$J$2063*EFEITO!$Y$2063</f>
        <v>0</v>
      </c>
      <c r="K2063" s="74">
        <f ca="1">EFEITO!$L$2063*EFEITO!$Z$2063</f>
        <v>508.81033282854258</v>
      </c>
      <c r="L2063" s="74">
        <f>EFEITO!$N$2063*EFEITO!$AA$2063</f>
        <v>305.43743558453724</v>
      </c>
      <c r="M2063" s="74">
        <f>$J$2063-EFEITO!$K$2063*EFEITO!$Y$2063</f>
        <v>0</v>
      </c>
      <c r="N2063" s="74">
        <f ca="1">$K$2063-EFEITO!$M$2063*EFEITO!$Z$2063</f>
        <v>0</v>
      </c>
      <c r="O2063" s="74">
        <f>$L$2063-EFEITO!$O$2063*EFEITO!$AA$2063</f>
        <v>0</v>
      </c>
      <c r="P2063" s="57"/>
      <c r="Q2063" s="57"/>
      <c r="R2063" s="57"/>
      <c r="S2063" s="57"/>
      <c r="T2063" s="57"/>
      <c r="U2063" s="57"/>
      <c r="V2063" s="57"/>
      <c r="W2063" s="57"/>
      <c r="X2063" s="6"/>
      <c r="Y2063" s="6"/>
      <c r="Z2063" s="6"/>
      <c r="AA2063" s="6"/>
      <c r="AB2063" s="6"/>
      <c r="AC2063" s="6"/>
      <c r="AD2063" s="6"/>
      <c r="AE2063" s="6"/>
      <c r="AF2063" s="6"/>
      <c r="AG2063" s="6"/>
      <c r="AH2063" s="6"/>
      <c r="AI2063" s="6"/>
      <c r="AJ2063" s="6"/>
    </row>
    <row r="2064" spans="1:36" ht="11.25" customHeight="1" x14ac:dyDescent="0.2">
      <c r="A2064" s="53" t="s">
        <v>21</v>
      </c>
      <c r="B2064" s="53" t="s">
        <v>39</v>
      </c>
      <c r="C2064" s="53" t="s">
        <v>37</v>
      </c>
      <c r="D2064" s="53" t="s">
        <v>42</v>
      </c>
      <c r="E2064" s="53" t="s">
        <v>25</v>
      </c>
      <c r="F2064" s="53" t="s">
        <v>25</v>
      </c>
      <c r="G2064" s="53" t="s">
        <v>25</v>
      </c>
      <c r="H2064" s="53" t="s">
        <v>35</v>
      </c>
      <c r="I2064" s="73">
        <v>43983</v>
      </c>
      <c r="J2064" s="74">
        <f>EFEITO!$J$2064*EFEITO!$Y$2064</f>
        <v>0</v>
      </c>
      <c r="K2064" s="74">
        <f ca="1">EFEITO!$L$2064*EFEITO!$Z$2064</f>
        <v>71355.485974718671</v>
      </c>
      <c r="L2064" s="74">
        <f>EFEITO!$N$2064*EFEITO!$AA$2064</f>
        <v>42834.500883359178</v>
      </c>
      <c r="M2064" s="74">
        <f>$J$2064-EFEITO!$K$2064*EFEITO!$Y$2064</f>
        <v>0</v>
      </c>
      <c r="N2064" s="74">
        <f ca="1">$K$2064-EFEITO!$M$2064*EFEITO!$Z$2064</f>
        <v>0</v>
      </c>
      <c r="O2064" s="74">
        <f>$L$2064-EFEITO!$O$2064*EFEITO!$AA$2064</f>
        <v>0</v>
      </c>
      <c r="P2064" s="57"/>
      <c r="Q2064" s="57"/>
      <c r="R2064" s="57"/>
      <c r="S2064" s="57"/>
      <c r="T2064" s="57"/>
      <c r="U2064" s="57"/>
      <c r="V2064" s="57"/>
      <c r="W2064" s="57"/>
      <c r="X2064" s="6"/>
      <c r="Y2064" s="6"/>
      <c r="Z2064" s="6"/>
      <c r="AA2064" s="6"/>
      <c r="AB2064" s="6"/>
      <c r="AC2064" s="6"/>
      <c r="AD2064" s="6"/>
      <c r="AE2064" s="6"/>
      <c r="AF2064" s="6"/>
      <c r="AG2064" s="6"/>
      <c r="AH2064" s="6"/>
      <c r="AI2064" s="6"/>
      <c r="AJ2064" s="6"/>
    </row>
    <row r="2065" spans="1:36" ht="11.25" customHeight="1" x14ac:dyDescent="0.2">
      <c r="A2065" s="53" t="s">
        <v>27</v>
      </c>
      <c r="B2065" s="53" t="s">
        <v>39</v>
      </c>
      <c r="C2065" s="53" t="s">
        <v>37</v>
      </c>
      <c r="D2065" s="53" t="s">
        <v>42</v>
      </c>
      <c r="E2065" s="53" t="s">
        <v>25</v>
      </c>
      <c r="F2065" s="53" t="s">
        <v>25</v>
      </c>
      <c r="G2065" s="53" t="s">
        <v>25</v>
      </c>
      <c r="H2065" s="53" t="s">
        <v>35</v>
      </c>
      <c r="I2065" s="73">
        <v>43983</v>
      </c>
      <c r="J2065" s="74">
        <f>EFEITO!$J$2065*EFEITO!$Y$2065</f>
        <v>0</v>
      </c>
      <c r="K2065" s="74">
        <f ca="1">EFEITO!$L$2065*EFEITO!$Z$2065</f>
        <v>134.55623807888887</v>
      </c>
      <c r="L2065" s="74">
        <f>EFEITO!$N$2065*EFEITO!$AA$2065</f>
        <v>80.773737577706655</v>
      </c>
      <c r="M2065" s="74">
        <f>$J$2065-EFEITO!$K$2065*EFEITO!$Y$2065</f>
        <v>0</v>
      </c>
      <c r="N2065" s="74">
        <f ca="1">$K$2065-EFEITO!$M$2065*EFEITO!$Z$2065</f>
        <v>0</v>
      </c>
      <c r="O2065" s="74">
        <f>$L$2065-EFEITO!$O$2065*EFEITO!$AA$2065</f>
        <v>0</v>
      </c>
      <c r="P2065" s="57"/>
      <c r="Q2065" s="57"/>
      <c r="R2065" s="57"/>
      <c r="S2065" s="57"/>
      <c r="T2065" s="57"/>
      <c r="U2065" s="57"/>
      <c r="V2065" s="57"/>
      <c r="W2065" s="57"/>
      <c r="X2065" s="6"/>
      <c r="Y2065" s="6"/>
      <c r="Z2065" s="6"/>
      <c r="AA2065" s="6"/>
      <c r="AB2065" s="6"/>
      <c r="AC2065" s="6"/>
      <c r="AD2065" s="6"/>
      <c r="AE2065" s="6"/>
      <c r="AF2065" s="6"/>
      <c r="AG2065" s="6"/>
      <c r="AH2065" s="6"/>
      <c r="AI2065" s="6"/>
      <c r="AJ2065" s="6"/>
    </row>
    <row r="2066" spans="1:36" ht="11.25" customHeight="1" x14ac:dyDescent="0.2">
      <c r="A2066" s="53" t="s">
        <v>21</v>
      </c>
      <c r="B2066" s="53" t="s">
        <v>39</v>
      </c>
      <c r="C2066" s="53" t="s">
        <v>37</v>
      </c>
      <c r="D2066" s="53" t="s">
        <v>42</v>
      </c>
      <c r="E2066" s="53" t="s">
        <v>25</v>
      </c>
      <c r="F2066" s="53" t="s">
        <v>25</v>
      </c>
      <c r="G2066" s="53" t="s">
        <v>25</v>
      </c>
      <c r="H2066" s="53" t="s">
        <v>35</v>
      </c>
      <c r="I2066" s="73">
        <v>44013</v>
      </c>
      <c r="J2066" s="74">
        <f>EFEITO!$J$2066*EFEITO!$Y$2066</f>
        <v>0</v>
      </c>
      <c r="K2066" s="74">
        <f ca="1">EFEITO!$L$2066*EFEITO!$Z$2066</f>
        <v>77293.484053288441</v>
      </c>
      <c r="L2066" s="74">
        <f>EFEITO!$N$2066*EFEITO!$AA$2066</f>
        <v>46399.064707253507</v>
      </c>
      <c r="M2066" s="74">
        <f>$J$2066-EFEITO!$K$2066*EFEITO!$Y$2066</f>
        <v>0</v>
      </c>
      <c r="N2066" s="74">
        <f ca="1">$K$2066-EFEITO!$M$2066*EFEITO!$Z$2066</f>
        <v>0</v>
      </c>
      <c r="O2066" s="74">
        <f>$L$2066-EFEITO!$O$2066*EFEITO!$AA$2066</f>
        <v>0</v>
      </c>
      <c r="P2066" s="57"/>
      <c r="Q2066" s="57"/>
      <c r="R2066" s="57"/>
      <c r="S2066" s="57"/>
      <c r="T2066" s="57"/>
      <c r="U2066" s="57"/>
      <c r="V2066" s="57"/>
      <c r="W2066" s="57"/>
      <c r="X2066" s="6"/>
      <c r="Y2066" s="6"/>
      <c r="Z2066" s="6"/>
      <c r="AA2066" s="6"/>
      <c r="AB2066" s="6"/>
      <c r="AC2066" s="6"/>
      <c r="AD2066" s="6"/>
      <c r="AE2066" s="6"/>
      <c r="AF2066" s="6"/>
      <c r="AG2066" s="6"/>
      <c r="AH2066" s="6"/>
      <c r="AI2066" s="6"/>
      <c r="AJ2066" s="6"/>
    </row>
    <row r="2067" spans="1:36" ht="11.25" customHeight="1" x14ac:dyDescent="0.2">
      <c r="A2067" s="53" t="s">
        <v>27</v>
      </c>
      <c r="B2067" s="53" t="s">
        <v>39</v>
      </c>
      <c r="C2067" s="53" t="s">
        <v>37</v>
      </c>
      <c r="D2067" s="53" t="s">
        <v>42</v>
      </c>
      <c r="E2067" s="53" t="s">
        <v>25</v>
      </c>
      <c r="F2067" s="53" t="s">
        <v>25</v>
      </c>
      <c r="G2067" s="53" t="s">
        <v>25</v>
      </c>
      <c r="H2067" s="53" t="s">
        <v>35</v>
      </c>
      <c r="I2067" s="73">
        <v>44013</v>
      </c>
      <c r="J2067" s="74">
        <f>EFEITO!$J$2067*EFEITO!$Y$2067</f>
        <v>0</v>
      </c>
      <c r="K2067" s="74">
        <f ca="1">EFEITO!$L$2067*EFEITO!$Z$2067</f>
        <v>40.053949939762269</v>
      </c>
      <c r="L2067" s="74">
        <f>EFEITO!$N$2067*EFEITO!$AA$2067</f>
        <v>24.044275371968492</v>
      </c>
      <c r="M2067" s="74">
        <f>$J$2067-EFEITO!$K$2067*EFEITO!$Y$2067</f>
        <v>0</v>
      </c>
      <c r="N2067" s="74">
        <f ca="1">$K$2067-EFEITO!$M$2067*EFEITO!$Z$2067</f>
        <v>0</v>
      </c>
      <c r="O2067" s="74">
        <f>$L$2067-EFEITO!$O$2067*EFEITO!$AA$2067</f>
        <v>0</v>
      </c>
      <c r="P2067" s="57"/>
      <c r="Q2067" s="57"/>
      <c r="R2067" s="57"/>
      <c r="S2067" s="57"/>
      <c r="T2067" s="57"/>
      <c r="U2067" s="57"/>
      <c r="V2067" s="57"/>
      <c r="W2067" s="57"/>
      <c r="X2067" s="6"/>
      <c r="Y2067" s="6"/>
      <c r="Z2067" s="6"/>
      <c r="AA2067" s="6"/>
      <c r="AB2067" s="6"/>
      <c r="AC2067" s="6"/>
      <c r="AD2067" s="6"/>
      <c r="AE2067" s="6"/>
      <c r="AF2067" s="6"/>
      <c r="AG2067" s="6"/>
      <c r="AH2067" s="6"/>
      <c r="AI2067" s="6"/>
      <c r="AJ2067" s="6"/>
    </row>
    <row r="2068" spans="1:36" ht="11.25" customHeight="1" x14ac:dyDescent="0.2">
      <c r="A2068" s="53" t="s">
        <v>27</v>
      </c>
      <c r="B2068" s="53" t="s">
        <v>39</v>
      </c>
      <c r="C2068" s="53" t="s">
        <v>37</v>
      </c>
      <c r="D2068" s="53" t="s">
        <v>42</v>
      </c>
      <c r="E2068" s="53" t="s">
        <v>25</v>
      </c>
      <c r="F2068" s="53" t="s">
        <v>25</v>
      </c>
      <c r="G2068" s="53" t="s">
        <v>25</v>
      </c>
      <c r="H2068" s="53" t="s">
        <v>35</v>
      </c>
      <c r="I2068" s="73">
        <v>44044</v>
      </c>
      <c r="J2068" s="74">
        <f>EFEITO!$J$2068*EFEITO!$Y$2068</f>
        <v>0</v>
      </c>
      <c r="K2068" s="74">
        <f ca="1">EFEITO!$L$2068*EFEITO!$Z$2068</f>
        <v>-110477.55573541367</v>
      </c>
      <c r="L2068" s="74">
        <f>EFEITO!$N$2068*EFEITO!$AA$2068</f>
        <v>-66319.371161126721</v>
      </c>
      <c r="M2068" s="74">
        <f>$J$2068-EFEITO!$K$2068*EFEITO!$Y$2068</f>
        <v>0</v>
      </c>
      <c r="N2068" s="74">
        <f ca="1">$K$2068-EFEITO!$M$2068*EFEITO!$Z$2068</f>
        <v>0</v>
      </c>
      <c r="O2068" s="74">
        <f>$L$2068-EFEITO!$O$2068*EFEITO!$AA$2068</f>
        <v>0</v>
      </c>
      <c r="P2068" s="57"/>
      <c r="Q2068" s="57"/>
      <c r="R2068" s="57"/>
      <c r="S2068" s="57"/>
      <c r="T2068" s="57"/>
      <c r="U2068" s="57"/>
      <c r="V2068" s="57"/>
      <c r="W2068" s="57"/>
      <c r="X2068" s="6"/>
      <c r="Y2068" s="6"/>
      <c r="Z2068" s="6"/>
      <c r="AA2068" s="6"/>
      <c r="AB2068" s="6"/>
      <c r="AC2068" s="6"/>
      <c r="AD2068" s="6"/>
      <c r="AE2068" s="6"/>
      <c r="AF2068" s="6"/>
      <c r="AG2068" s="6"/>
      <c r="AH2068" s="6"/>
      <c r="AI2068" s="6"/>
      <c r="AJ2068" s="6"/>
    </row>
    <row r="2069" spans="1:36" ht="11.25" customHeight="1" x14ac:dyDescent="0.2">
      <c r="A2069" s="53" t="s">
        <v>59</v>
      </c>
      <c r="B2069" s="53" t="s">
        <v>39</v>
      </c>
      <c r="C2069" s="53" t="s">
        <v>37</v>
      </c>
      <c r="D2069" s="53" t="s">
        <v>42</v>
      </c>
      <c r="E2069" s="53" t="s">
        <v>25</v>
      </c>
      <c r="F2069" s="53" t="s">
        <v>25</v>
      </c>
      <c r="G2069" s="53" t="s">
        <v>25</v>
      </c>
      <c r="H2069" s="53" t="s">
        <v>35</v>
      </c>
      <c r="I2069" s="73">
        <v>44075</v>
      </c>
      <c r="J2069" s="74">
        <f>EFEITO!$J$2069*EFEITO!$Y$2069</f>
        <v>0</v>
      </c>
      <c r="K2069" s="74">
        <f ca="1">EFEITO!$L$2069*EFEITO!$Z$2069</f>
        <v>-110477.55573541367</v>
      </c>
      <c r="L2069" s="74">
        <f>EFEITO!$N$2069*EFEITO!$AA$2069</f>
        <v>-66319.371161126721</v>
      </c>
      <c r="M2069" s="74">
        <f>$J$2069-EFEITO!$K$2069*EFEITO!$Y$2069</f>
        <v>0</v>
      </c>
      <c r="N2069" s="74">
        <f ca="1">$K$2069-EFEITO!$M$2069*EFEITO!$Z$2069</f>
        <v>0</v>
      </c>
      <c r="O2069" s="74">
        <f>$L$2069-EFEITO!$O$2069*EFEITO!$AA$2069</f>
        <v>0</v>
      </c>
      <c r="P2069" s="57"/>
      <c r="Q2069" s="57"/>
      <c r="R2069" s="57"/>
      <c r="S2069" s="57"/>
      <c r="T2069" s="57"/>
      <c r="U2069" s="57"/>
      <c r="V2069" s="57"/>
      <c r="W2069" s="57"/>
      <c r="X2069" s="6"/>
      <c r="Y2069" s="6"/>
      <c r="Z2069" s="6"/>
      <c r="AA2069" s="6"/>
      <c r="AB2069" s="6"/>
      <c r="AC2069" s="6"/>
      <c r="AD2069" s="6"/>
      <c r="AE2069" s="6"/>
      <c r="AF2069" s="6"/>
      <c r="AG2069" s="6"/>
      <c r="AH2069" s="6"/>
      <c r="AI2069" s="6"/>
      <c r="AJ2069" s="6"/>
    </row>
    <row r="2070" spans="1:36" ht="11.25" customHeight="1" x14ac:dyDescent="0.2">
      <c r="A2070" s="53" t="s">
        <v>21</v>
      </c>
      <c r="B2070" s="53" t="s">
        <v>39</v>
      </c>
      <c r="C2070" s="53" t="s">
        <v>37</v>
      </c>
      <c r="D2070" s="53" t="s">
        <v>40</v>
      </c>
      <c r="E2070" s="53" t="s">
        <v>25</v>
      </c>
      <c r="F2070" s="53" t="s">
        <v>25</v>
      </c>
      <c r="G2070" s="53" t="s">
        <v>25</v>
      </c>
      <c r="H2070" s="53" t="s">
        <v>36</v>
      </c>
      <c r="I2070" s="73">
        <v>43739</v>
      </c>
      <c r="J2070" s="74">
        <f>EFEITO!$J$2070*EFEITO!$Y$2070</f>
        <v>0</v>
      </c>
      <c r="K2070" s="74">
        <f ca="1">EFEITO!$L$2070*EFEITO!$Z$2070</f>
        <v>7269.9166679160235</v>
      </c>
      <c r="L2070" s="74">
        <f>EFEITO!$N$2070*EFEITO!$AA$2070</f>
        <v>7843.5156015199018</v>
      </c>
      <c r="M2070" s="74">
        <f>$J$2070-EFEITO!$K$2070*EFEITO!$Y$2070</f>
        <v>0</v>
      </c>
      <c r="N2070" s="74">
        <f ca="1">$K$2070-EFEITO!$M$2070*EFEITO!$Z$2070</f>
        <v>0</v>
      </c>
      <c r="O2070" s="74">
        <f>$L$2070-EFEITO!$O$2070*EFEITO!$AA$2070</f>
        <v>0</v>
      </c>
      <c r="P2070" s="57"/>
      <c r="Q2070" s="57"/>
      <c r="R2070" s="57"/>
      <c r="S2070" s="57"/>
      <c r="T2070" s="57"/>
      <c r="U2070" s="57"/>
      <c r="V2070" s="57"/>
      <c r="W2070" s="57"/>
      <c r="X2070" s="6"/>
      <c r="Y2070" s="6"/>
      <c r="Z2070" s="6"/>
      <c r="AA2070" s="6"/>
      <c r="AB2070" s="6"/>
      <c r="AC2070" s="6"/>
      <c r="AD2070" s="6"/>
      <c r="AE2070" s="6"/>
      <c r="AF2070" s="6"/>
      <c r="AG2070" s="6"/>
      <c r="AH2070" s="6"/>
      <c r="AI2070" s="6"/>
      <c r="AJ2070" s="6"/>
    </row>
    <row r="2071" spans="1:36" ht="11.25" customHeight="1" x14ac:dyDescent="0.2">
      <c r="A2071" s="53" t="s">
        <v>21</v>
      </c>
      <c r="B2071" s="53" t="s">
        <v>39</v>
      </c>
      <c r="C2071" s="53" t="s">
        <v>37</v>
      </c>
      <c r="D2071" s="53" t="s">
        <v>40</v>
      </c>
      <c r="E2071" s="53" t="s">
        <v>25</v>
      </c>
      <c r="F2071" s="53" t="s">
        <v>25</v>
      </c>
      <c r="G2071" s="53" t="s">
        <v>25</v>
      </c>
      <c r="H2071" s="53" t="s">
        <v>36</v>
      </c>
      <c r="I2071" s="73">
        <v>43770</v>
      </c>
      <c r="J2071" s="74">
        <f>EFEITO!$J$2071*EFEITO!$Y$2071</f>
        <v>0</v>
      </c>
      <c r="K2071" s="74">
        <f ca="1">EFEITO!$L$2071*EFEITO!$Z$2071</f>
        <v>7526.8744924007678</v>
      </c>
      <c r="L2071" s="74">
        <f>EFEITO!$N$2071*EFEITO!$AA$2071</f>
        <v>8120.7474870205169</v>
      </c>
      <c r="M2071" s="74">
        <f>$J$2071-EFEITO!$K$2071*EFEITO!$Y$2071</f>
        <v>0</v>
      </c>
      <c r="N2071" s="74">
        <f ca="1">$K$2071-EFEITO!$M$2071*EFEITO!$Z$2071</f>
        <v>0</v>
      </c>
      <c r="O2071" s="74">
        <f>$L$2071-EFEITO!$O$2071*EFEITO!$AA$2071</f>
        <v>0</v>
      </c>
      <c r="P2071" s="57"/>
      <c r="Q2071" s="57"/>
      <c r="R2071" s="57"/>
      <c r="S2071" s="57"/>
      <c r="T2071" s="57"/>
      <c r="U2071" s="57"/>
      <c r="V2071" s="57"/>
      <c r="W2071" s="57"/>
      <c r="X2071" s="6"/>
      <c r="Y2071" s="6"/>
      <c r="Z2071" s="6"/>
      <c r="AA2071" s="6"/>
      <c r="AB2071" s="6"/>
      <c r="AC2071" s="6"/>
      <c r="AD2071" s="6"/>
      <c r="AE2071" s="6"/>
      <c r="AF2071" s="6"/>
      <c r="AG2071" s="6"/>
      <c r="AH2071" s="6"/>
      <c r="AI2071" s="6"/>
      <c r="AJ2071" s="6"/>
    </row>
    <row r="2072" spans="1:36" ht="11.25" customHeight="1" x14ac:dyDescent="0.2">
      <c r="A2072" s="53" t="s">
        <v>21</v>
      </c>
      <c r="B2072" s="53" t="s">
        <v>39</v>
      </c>
      <c r="C2072" s="53" t="s">
        <v>37</v>
      </c>
      <c r="D2072" s="53" t="s">
        <v>40</v>
      </c>
      <c r="E2072" s="53" t="s">
        <v>25</v>
      </c>
      <c r="F2072" s="53" t="s">
        <v>25</v>
      </c>
      <c r="G2072" s="53" t="s">
        <v>25</v>
      </c>
      <c r="H2072" s="53" t="s">
        <v>36</v>
      </c>
      <c r="I2072" s="73">
        <v>43800</v>
      </c>
      <c r="J2072" s="74">
        <f>EFEITO!$J$2072*EFEITO!$Y$2072</f>
        <v>0</v>
      </c>
      <c r="K2072" s="74">
        <f ca="1">EFEITO!$L$2072*EFEITO!$Z$2072</f>
        <v>6939.1449804444037</v>
      </c>
      <c r="L2072" s="74">
        <f>EFEITO!$N$2072*EFEITO!$AA$2072</f>
        <v>7486.6459137730653</v>
      </c>
      <c r="M2072" s="74">
        <f>$J$2072-EFEITO!$K$2072*EFEITO!$Y$2072</f>
        <v>0</v>
      </c>
      <c r="N2072" s="74">
        <f ca="1">$K$2072-EFEITO!$M$2072*EFEITO!$Z$2072</f>
        <v>0</v>
      </c>
      <c r="O2072" s="74">
        <f>$L$2072-EFEITO!$O$2072*EFEITO!$AA$2072</f>
        <v>0</v>
      </c>
      <c r="P2072" s="57"/>
      <c r="Q2072" s="57"/>
      <c r="R2072" s="57"/>
      <c r="S2072" s="57"/>
      <c r="T2072" s="57"/>
      <c r="U2072" s="57"/>
      <c r="V2072" s="57"/>
      <c r="W2072" s="57"/>
      <c r="X2072" s="6"/>
      <c r="Y2072" s="6"/>
      <c r="Z2072" s="6"/>
      <c r="AA2072" s="6"/>
      <c r="AB2072" s="6"/>
      <c r="AC2072" s="6"/>
      <c r="AD2072" s="6"/>
      <c r="AE2072" s="6"/>
      <c r="AF2072" s="6"/>
      <c r="AG2072" s="6"/>
      <c r="AH2072" s="6"/>
      <c r="AI2072" s="6"/>
      <c r="AJ2072" s="6"/>
    </row>
    <row r="2073" spans="1:36" ht="11.25" customHeight="1" x14ac:dyDescent="0.2">
      <c r="A2073" s="53" t="s">
        <v>21</v>
      </c>
      <c r="B2073" s="53" t="s">
        <v>39</v>
      </c>
      <c r="C2073" s="53" t="s">
        <v>37</v>
      </c>
      <c r="D2073" s="53" t="s">
        <v>40</v>
      </c>
      <c r="E2073" s="53" t="s">
        <v>25</v>
      </c>
      <c r="F2073" s="53" t="s">
        <v>25</v>
      </c>
      <c r="G2073" s="53" t="s">
        <v>25</v>
      </c>
      <c r="H2073" s="53" t="s">
        <v>36</v>
      </c>
      <c r="I2073" s="73">
        <v>43831</v>
      </c>
      <c r="J2073" s="74">
        <f>EFEITO!$J$2073*EFEITO!$Y$2073</f>
        <v>0</v>
      </c>
      <c r="K2073" s="74">
        <f ca="1">EFEITO!$L$2073*EFEITO!$Z$2073</f>
        <v>6782.1033125245012</v>
      </c>
      <c r="L2073" s="74">
        <f>EFEITO!$N$2073*EFEITO!$AA$2073</f>
        <v>7317.213604066611</v>
      </c>
      <c r="M2073" s="74">
        <f>$J$2073-EFEITO!$K$2073*EFEITO!$Y$2073</f>
        <v>0</v>
      </c>
      <c r="N2073" s="74">
        <f ca="1">$K$2073-EFEITO!$M$2073*EFEITO!$Z$2073</f>
        <v>0</v>
      </c>
      <c r="O2073" s="74">
        <f>$L$2073-EFEITO!$O$2073*EFEITO!$AA$2073</f>
        <v>0</v>
      </c>
      <c r="P2073" s="57"/>
      <c r="Q2073" s="57"/>
      <c r="R2073" s="57"/>
      <c r="S2073" s="57"/>
      <c r="T2073" s="57"/>
      <c r="U2073" s="57"/>
      <c r="V2073" s="57"/>
      <c r="W2073" s="57"/>
      <c r="X2073" s="6"/>
      <c r="Y2073" s="6"/>
      <c r="Z2073" s="6"/>
      <c r="AA2073" s="6"/>
      <c r="AB2073" s="6"/>
      <c r="AC2073" s="6"/>
      <c r="AD2073" s="6"/>
      <c r="AE2073" s="6"/>
      <c r="AF2073" s="6"/>
      <c r="AG2073" s="6"/>
      <c r="AH2073" s="6"/>
      <c r="AI2073" s="6"/>
      <c r="AJ2073" s="6"/>
    </row>
    <row r="2074" spans="1:36" ht="11.25" customHeight="1" x14ac:dyDescent="0.2">
      <c r="A2074" s="53" t="s">
        <v>21</v>
      </c>
      <c r="B2074" s="53" t="s">
        <v>39</v>
      </c>
      <c r="C2074" s="53" t="s">
        <v>37</v>
      </c>
      <c r="D2074" s="53" t="s">
        <v>40</v>
      </c>
      <c r="E2074" s="53" t="s">
        <v>25</v>
      </c>
      <c r="F2074" s="53" t="s">
        <v>25</v>
      </c>
      <c r="G2074" s="53" t="s">
        <v>25</v>
      </c>
      <c r="H2074" s="53" t="s">
        <v>36</v>
      </c>
      <c r="I2074" s="73">
        <v>43862</v>
      </c>
      <c r="J2074" s="74">
        <f>EFEITO!$J$2074*EFEITO!$Y$2074</f>
        <v>0</v>
      </c>
      <c r="K2074" s="74">
        <f ca="1">EFEITO!$L$2074*EFEITO!$Z$2074</f>
        <v>7492.4280230068925</v>
      </c>
      <c r="L2074" s="74">
        <f>EFEITO!$N$2074*EFEITO!$AA$2074</f>
        <v>8083.5831793056132</v>
      </c>
      <c r="M2074" s="74">
        <f>$J$2074-EFEITO!$K$2074*EFEITO!$Y$2074</f>
        <v>0</v>
      </c>
      <c r="N2074" s="74">
        <f ca="1">$K$2074-EFEITO!$M$2074*EFEITO!$Z$2074</f>
        <v>0</v>
      </c>
      <c r="O2074" s="74">
        <f>$L$2074-EFEITO!$O$2074*EFEITO!$AA$2074</f>
        <v>0</v>
      </c>
      <c r="P2074" s="57"/>
      <c r="Q2074" s="57"/>
      <c r="R2074" s="57"/>
      <c r="S2074" s="57"/>
      <c r="T2074" s="57"/>
      <c r="U2074" s="57"/>
      <c r="V2074" s="57"/>
      <c r="W2074" s="57"/>
      <c r="X2074" s="6"/>
      <c r="Y2074" s="6"/>
      <c r="Z2074" s="6"/>
      <c r="AA2074" s="6"/>
      <c r="AB2074" s="6"/>
      <c r="AC2074" s="6"/>
      <c r="AD2074" s="6"/>
      <c r="AE2074" s="6"/>
      <c r="AF2074" s="6"/>
      <c r="AG2074" s="6"/>
      <c r="AH2074" s="6"/>
      <c r="AI2074" s="6"/>
      <c r="AJ2074" s="6"/>
    </row>
    <row r="2075" spans="1:36" ht="11.25" customHeight="1" x14ac:dyDescent="0.2">
      <c r="A2075" s="53" t="s">
        <v>21</v>
      </c>
      <c r="B2075" s="53" t="s">
        <v>39</v>
      </c>
      <c r="C2075" s="53" t="s">
        <v>37</v>
      </c>
      <c r="D2075" s="53" t="s">
        <v>40</v>
      </c>
      <c r="E2075" s="53" t="s">
        <v>25</v>
      </c>
      <c r="F2075" s="53" t="s">
        <v>25</v>
      </c>
      <c r="G2075" s="53" t="s">
        <v>25</v>
      </c>
      <c r="H2075" s="53" t="s">
        <v>36</v>
      </c>
      <c r="I2075" s="73">
        <v>43891</v>
      </c>
      <c r="J2075" s="74">
        <f>EFEITO!$J$2075*EFEITO!$Y$2075</f>
        <v>0</v>
      </c>
      <c r="K2075" s="74">
        <f ca="1">EFEITO!$L$2075*EFEITO!$Z$2075</f>
        <v>4743.1290682783583</v>
      </c>
      <c r="L2075" s="74">
        <f>EFEITO!$N$2075*EFEITO!$AA$2075</f>
        <v>5117.3635883956176</v>
      </c>
      <c r="M2075" s="74">
        <f>$J$2075-EFEITO!$K$2075*EFEITO!$Y$2075</f>
        <v>0</v>
      </c>
      <c r="N2075" s="74">
        <f ca="1">$K$2075-EFEITO!$M$2075*EFEITO!$Z$2075</f>
        <v>0</v>
      </c>
      <c r="O2075" s="74">
        <f>$L$2075-EFEITO!$O$2075*EFEITO!$AA$2075</f>
        <v>0</v>
      </c>
      <c r="P2075" s="57"/>
      <c r="Q2075" s="57"/>
      <c r="R2075" s="57"/>
      <c r="S2075" s="57"/>
      <c r="T2075" s="57"/>
      <c r="U2075" s="57"/>
      <c r="V2075" s="57"/>
      <c r="W2075" s="57"/>
      <c r="X2075" s="6"/>
      <c r="Y2075" s="6"/>
      <c r="Z2075" s="6"/>
      <c r="AA2075" s="6"/>
      <c r="AB2075" s="6"/>
      <c r="AC2075" s="6"/>
      <c r="AD2075" s="6"/>
      <c r="AE2075" s="6"/>
      <c r="AF2075" s="6"/>
      <c r="AG2075" s="6"/>
      <c r="AH2075" s="6"/>
      <c r="AI2075" s="6"/>
      <c r="AJ2075" s="6"/>
    </row>
    <row r="2076" spans="1:36" ht="11.25" customHeight="1" x14ac:dyDescent="0.2">
      <c r="A2076" s="53" t="s">
        <v>27</v>
      </c>
      <c r="B2076" s="53" t="s">
        <v>39</v>
      </c>
      <c r="C2076" s="53" t="s">
        <v>37</v>
      </c>
      <c r="D2076" s="53" t="s">
        <v>40</v>
      </c>
      <c r="E2076" s="53" t="s">
        <v>25</v>
      </c>
      <c r="F2076" s="53" t="s">
        <v>25</v>
      </c>
      <c r="G2076" s="53" t="s">
        <v>25</v>
      </c>
      <c r="H2076" s="53" t="s">
        <v>36</v>
      </c>
      <c r="I2076" s="73">
        <v>43891</v>
      </c>
      <c r="J2076" s="74">
        <f>EFEITO!$J$2076*EFEITO!$Y$2076</f>
        <v>0</v>
      </c>
      <c r="K2076" s="74">
        <f ca="1">EFEITO!$L$2076*EFEITO!$Z$2076</f>
        <v>2021.0021732580344</v>
      </c>
      <c r="L2076" s="74">
        <f>EFEITO!$N$2076*EFEITO!$AA$2076</f>
        <v>2180.4599420806085</v>
      </c>
      <c r="M2076" s="74">
        <f>$J$2076-EFEITO!$K$2076*EFEITO!$Y$2076</f>
        <v>0</v>
      </c>
      <c r="N2076" s="74">
        <f ca="1">$K$2076-EFEITO!$M$2076*EFEITO!$Z$2076</f>
        <v>0</v>
      </c>
      <c r="O2076" s="74">
        <f>$L$2076-EFEITO!$O$2076*EFEITO!$AA$2076</f>
        <v>0</v>
      </c>
      <c r="P2076" s="57"/>
      <c r="Q2076" s="57"/>
      <c r="R2076" s="57"/>
      <c r="S2076" s="57"/>
      <c r="T2076" s="57"/>
      <c r="U2076" s="57"/>
      <c r="V2076" s="57"/>
      <c r="W2076" s="57"/>
      <c r="X2076" s="6"/>
      <c r="Y2076" s="6"/>
      <c r="Z2076" s="6"/>
      <c r="AA2076" s="6"/>
      <c r="AB2076" s="6"/>
      <c r="AC2076" s="6"/>
      <c r="AD2076" s="6"/>
      <c r="AE2076" s="6"/>
      <c r="AF2076" s="6"/>
      <c r="AG2076" s="6"/>
      <c r="AH2076" s="6"/>
      <c r="AI2076" s="6"/>
      <c r="AJ2076" s="6"/>
    </row>
    <row r="2077" spans="1:36" ht="11.25" customHeight="1" x14ac:dyDescent="0.2">
      <c r="A2077" s="53" t="s">
        <v>21</v>
      </c>
      <c r="B2077" s="53" t="s">
        <v>39</v>
      </c>
      <c r="C2077" s="53" t="s">
        <v>37</v>
      </c>
      <c r="D2077" s="53" t="s">
        <v>40</v>
      </c>
      <c r="E2077" s="53" t="s">
        <v>25</v>
      </c>
      <c r="F2077" s="53" t="s">
        <v>25</v>
      </c>
      <c r="G2077" s="53" t="s">
        <v>25</v>
      </c>
      <c r="H2077" s="53" t="s">
        <v>36</v>
      </c>
      <c r="I2077" s="73">
        <v>43922</v>
      </c>
      <c r="J2077" s="74">
        <f>EFEITO!$J$2077*EFEITO!$Y$2077</f>
        <v>0</v>
      </c>
      <c r="K2077" s="74">
        <f ca="1">EFEITO!$L$2077*EFEITO!$Z$2077</f>
        <v>6874.317152951583</v>
      </c>
      <c r="L2077" s="74">
        <f>EFEITO!$N$2077*EFEITO!$AA$2077</f>
        <v>7416.7031483220362</v>
      </c>
      <c r="M2077" s="74">
        <f>$J$2077-EFEITO!$K$2077*EFEITO!$Y$2077</f>
        <v>0</v>
      </c>
      <c r="N2077" s="74">
        <f ca="1">$K$2077-EFEITO!$M$2077*EFEITO!$Z$2077</f>
        <v>0</v>
      </c>
      <c r="O2077" s="74">
        <f>$L$2077-EFEITO!$O$2077*EFEITO!$AA$2077</f>
        <v>0</v>
      </c>
      <c r="P2077" s="57"/>
      <c r="Q2077" s="57"/>
      <c r="R2077" s="57"/>
      <c r="S2077" s="57"/>
      <c r="T2077" s="57"/>
      <c r="U2077" s="57"/>
      <c r="V2077" s="57"/>
      <c r="W2077" s="57"/>
      <c r="X2077" s="6"/>
      <c r="Y2077" s="6"/>
      <c r="Z2077" s="6"/>
      <c r="AA2077" s="6"/>
      <c r="AB2077" s="6"/>
      <c r="AC2077" s="6"/>
      <c r="AD2077" s="6"/>
      <c r="AE2077" s="6"/>
      <c r="AF2077" s="6"/>
      <c r="AG2077" s="6"/>
      <c r="AH2077" s="6"/>
      <c r="AI2077" s="6"/>
      <c r="AJ2077" s="6"/>
    </row>
    <row r="2078" spans="1:36" ht="11.25" customHeight="1" x14ac:dyDescent="0.2">
      <c r="A2078" s="53" t="s">
        <v>21</v>
      </c>
      <c r="B2078" s="53" t="s">
        <v>39</v>
      </c>
      <c r="C2078" s="53" t="s">
        <v>37</v>
      </c>
      <c r="D2078" s="53" t="s">
        <v>40</v>
      </c>
      <c r="E2078" s="53" t="s">
        <v>25</v>
      </c>
      <c r="F2078" s="53" t="s">
        <v>25</v>
      </c>
      <c r="G2078" s="53" t="s">
        <v>25</v>
      </c>
      <c r="H2078" s="53" t="s">
        <v>36</v>
      </c>
      <c r="I2078" s="73">
        <v>43952</v>
      </c>
      <c r="J2078" s="74">
        <f>EFEITO!$J$2078*EFEITO!$Y$2078</f>
        <v>0</v>
      </c>
      <c r="K2078" s="74">
        <f ca="1">EFEITO!$L$2078*EFEITO!$Z$2078</f>
        <v>6471.0153218493815</v>
      </c>
      <c r="L2078" s="74">
        <f>EFEITO!$N$2078*EFEITO!$AA$2078</f>
        <v>6981.5806635854333</v>
      </c>
      <c r="M2078" s="74">
        <f>$J$2078-EFEITO!$K$2078*EFEITO!$Y$2078</f>
        <v>0</v>
      </c>
      <c r="N2078" s="74">
        <f ca="1">$K$2078-EFEITO!$M$2078*EFEITO!$Z$2078</f>
        <v>0</v>
      </c>
      <c r="O2078" s="74">
        <f>$L$2078-EFEITO!$O$2078*EFEITO!$AA$2078</f>
        <v>0</v>
      </c>
      <c r="P2078" s="57"/>
      <c r="Q2078" s="57"/>
      <c r="R2078" s="57"/>
      <c r="S2078" s="57"/>
      <c r="T2078" s="57"/>
      <c r="U2078" s="57"/>
      <c r="V2078" s="57"/>
      <c r="W2078" s="57"/>
      <c r="X2078" s="6"/>
      <c r="Y2078" s="6"/>
      <c r="Z2078" s="6"/>
      <c r="AA2078" s="6"/>
      <c r="AB2078" s="6"/>
      <c r="AC2078" s="6"/>
      <c r="AD2078" s="6"/>
      <c r="AE2078" s="6"/>
      <c r="AF2078" s="6"/>
      <c r="AG2078" s="6"/>
      <c r="AH2078" s="6"/>
      <c r="AI2078" s="6"/>
      <c r="AJ2078" s="6"/>
    </row>
    <row r="2079" spans="1:36" ht="11.25" customHeight="1" x14ac:dyDescent="0.2">
      <c r="A2079" s="53" t="s">
        <v>21</v>
      </c>
      <c r="B2079" s="53" t="s">
        <v>39</v>
      </c>
      <c r="C2079" s="53" t="s">
        <v>37</v>
      </c>
      <c r="D2079" s="53" t="s">
        <v>40</v>
      </c>
      <c r="E2079" s="53" t="s">
        <v>25</v>
      </c>
      <c r="F2079" s="53" t="s">
        <v>25</v>
      </c>
      <c r="G2079" s="53" t="s">
        <v>25</v>
      </c>
      <c r="H2079" s="53" t="s">
        <v>36</v>
      </c>
      <c r="I2079" s="73">
        <v>43983</v>
      </c>
      <c r="J2079" s="74">
        <f>EFEITO!$J$2079*EFEITO!$Y$2079</f>
        <v>0</v>
      </c>
      <c r="K2079" s="74">
        <f ca="1">EFEITO!$L$2079*EFEITO!$Z$2079</f>
        <v>6412.8200443640762</v>
      </c>
      <c r="L2079" s="74">
        <f>EFEITO!$N$2079*EFEITO!$AA$2079</f>
        <v>6918.7937586260932</v>
      </c>
      <c r="M2079" s="74">
        <f>$J$2079-EFEITO!$K$2079*EFEITO!$Y$2079</f>
        <v>0</v>
      </c>
      <c r="N2079" s="74">
        <f ca="1">$K$2079-EFEITO!$M$2079*EFEITO!$Z$2079</f>
        <v>0</v>
      </c>
      <c r="O2079" s="74">
        <f>$L$2079-EFEITO!$O$2079*EFEITO!$AA$2079</f>
        <v>0</v>
      </c>
      <c r="P2079" s="57"/>
      <c r="Q2079" s="57"/>
      <c r="R2079" s="57"/>
      <c r="S2079" s="57"/>
      <c r="T2079" s="57"/>
      <c r="U2079" s="57"/>
      <c r="V2079" s="57"/>
      <c r="W2079" s="57"/>
      <c r="X2079" s="6"/>
      <c r="Y2079" s="6"/>
      <c r="Z2079" s="6"/>
      <c r="AA2079" s="6"/>
      <c r="AB2079" s="6"/>
      <c r="AC2079" s="6"/>
      <c r="AD2079" s="6"/>
      <c r="AE2079" s="6"/>
      <c r="AF2079" s="6"/>
      <c r="AG2079" s="6"/>
      <c r="AH2079" s="6"/>
      <c r="AI2079" s="6"/>
      <c r="AJ2079" s="6"/>
    </row>
    <row r="2080" spans="1:36" ht="11.25" customHeight="1" x14ac:dyDescent="0.2">
      <c r="A2080" s="53" t="s">
        <v>21</v>
      </c>
      <c r="B2080" s="53" t="s">
        <v>39</v>
      </c>
      <c r="C2080" s="53" t="s">
        <v>37</v>
      </c>
      <c r="D2080" s="53" t="s">
        <v>40</v>
      </c>
      <c r="E2080" s="53" t="s">
        <v>25</v>
      </c>
      <c r="F2080" s="53" t="s">
        <v>25</v>
      </c>
      <c r="G2080" s="53" t="s">
        <v>25</v>
      </c>
      <c r="H2080" s="53" t="s">
        <v>36</v>
      </c>
      <c r="I2080" s="73">
        <v>44013</v>
      </c>
      <c r="J2080" s="74">
        <f>EFEITO!$J$2080*EFEITO!$Y$2080</f>
        <v>0</v>
      </c>
      <c r="K2080" s="74">
        <f ca="1">EFEITO!$L$2080*EFEITO!$Z$2080</f>
        <v>6773.9730899346423</v>
      </c>
      <c r="L2080" s="74">
        <f>EFEITO!$N$2080*EFEITO!$AA$2080</f>
        <v>7308.4419041090559</v>
      </c>
      <c r="M2080" s="74">
        <f>$J$2080-EFEITO!$K$2080*EFEITO!$Y$2080</f>
        <v>0</v>
      </c>
      <c r="N2080" s="74">
        <f ca="1">$K$2080-EFEITO!$M$2080*EFEITO!$Z$2080</f>
        <v>0</v>
      </c>
      <c r="O2080" s="74">
        <f>$L$2080-EFEITO!$O$2080*EFEITO!$AA$2080</f>
        <v>0</v>
      </c>
      <c r="P2080" s="57"/>
      <c r="Q2080" s="57"/>
      <c r="R2080" s="57"/>
      <c r="S2080" s="57"/>
      <c r="T2080" s="57"/>
      <c r="U2080" s="57"/>
      <c r="V2080" s="57"/>
      <c r="W2080" s="57"/>
      <c r="X2080" s="6"/>
      <c r="Y2080" s="6"/>
      <c r="Z2080" s="6"/>
      <c r="AA2080" s="6"/>
      <c r="AB2080" s="6"/>
      <c r="AC2080" s="6"/>
      <c r="AD2080" s="6"/>
      <c r="AE2080" s="6"/>
      <c r="AF2080" s="6"/>
      <c r="AG2080" s="6"/>
      <c r="AH2080" s="6"/>
      <c r="AI2080" s="6"/>
      <c r="AJ2080" s="6"/>
    </row>
    <row r="2081" spans="1:36" ht="11.25" customHeight="1" x14ac:dyDescent="0.2">
      <c r="A2081" s="53" t="s">
        <v>21</v>
      </c>
      <c r="B2081" s="53" t="s">
        <v>39</v>
      </c>
      <c r="C2081" s="53" t="s">
        <v>37</v>
      </c>
      <c r="D2081" s="53" t="s">
        <v>40</v>
      </c>
      <c r="E2081" s="53" t="s">
        <v>25</v>
      </c>
      <c r="F2081" s="53" t="s">
        <v>25</v>
      </c>
      <c r="G2081" s="53" t="s">
        <v>25</v>
      </c>
      <c r="H2081" s="53" t="s">
        <v>36</v>
      </c>
      <c r="I2081" s="73">
        <v>44044</v>
      </c>
      <c r="J2081" s="74">
        <f>EFEITO!$J$2081*EFEITO!$Y$2081</f>
        <v>0</v>
      </c>
      <c r="K2081" s="74">
        <f ca="1">EFEITO!$L$2081*EFEITO!$Z$2081</f>
        <v>7066.6611031695566</v>
      </c>
      <c r="L2081" s="74">
        <f>EFEITO!$N$2081*EFEITO!$AA$2081</f>
        <v>7624.2231025810315</v>
      </c>
      <c r="M2081" s="74">
        <f>$J$2081-EFEITO!$K$2081*EFEITO!$Y$2081</f>
        <v>0</v>
      </c>
      <c r="N2081" s="74">
        <f ca="1">$K$2081-EFEITO!$M$2081*EFEITO!$Z$2081</f>
        <v>0</v>
      </c>
      <c r="O2081" s="74">
        <f>$L$2081-EFEITO!$O$2081*EFEITO!$AA$2081</f>
        <v>0</v>
      </c>
      <c r="P2081" s="57"/>
      <c r="Q2081" s="57"/>
      <c r="R2081" s="57"/>
      <c r="S2081" s="57"/>
      <c r="T2081" s="57"/>
      <c r="U2081" s="57"/>
      <c r="V2081" s="57"/>
      <c r="W2081" s="57"/>
      <c r="X2081" s="6"/>
      <c r="Y2081" s="6"/>
      <c r="Z2081" s="6"/>
      <c r="AA2081" s="6"/>
      <c r="AB2081" s="6"/>
      <c r="AC2081" s="6"/>
      <c r="AD2081" s="6"/>
      <c r="AE2081" s="6"/>
      <c r="AF2081" s="6"/>
      <c r="AG2081" s="6"/>
      <c r="AH2081" s="6"/>
      <c r="AI2081" s="6"/>
      <c r="AJ2081" s="6"/>
    </row>
    <row r="2082" spans="1:36" ht="11.25" customHeight="1" x14ac:dyDescent="0.2">
      <c r="A2082" s="53" t="s">
        <v>59</v>
      </c>
      <c r="B2082" s="53" t="s">
        <v>39</v>
      </c>
      <c r="C2082" s="53" t="s">
        <v>37</v>
      </c>
      <c r="D2082" s="53" t="s">
        <v>40</v>
      </c>
      <c r="E2082" s="53" t="s">
        <v>25</v>
      </c>
      <c r="F2082" s="53" t="s">
        <v>25</v>
      </c>
      <c r="G2082" s="53" t="s">
        <v>25</v>
      </c>
      <c r="H2082" s="53" t="s">
        <v>36</v>
      </c>
      <c r="I2082" s="73">
        <v>44075</v>
      </c>
      <c r="J2082" s="74">
        <f>EFEITO!$J$2082*EFEITO!$Y$2082</f>
        <v>0</v>
      </c>
      <c r="K2082" s="74">
        <f ca="1">EFEITO!$L$2082*EFEITO!$Z$2082</f>
        <v>7066.6611031695566</v>
      </c>
      <c r="L2082" s="74">
        <f>EFEITO!$N$2082*EFEITO!$AA$2082</f>
        <v>7624.2231025810315</v>
      </c>
      <c r="M2082" s="74">
        <f>$J$2082-EFEITO!$K$2082*EFEITO!$Y$2082</f>
        <v>0</v>
      </c>
      <c r="N2082" s="74">
        <f ca="1">$K$2082-EFEITO!$M$2082*EFEITO!$Z$2082</f>
        <v>0</v>
      </c>
      <c r="O2082" s="74">
        <f>$L$2082-EFEITO!$O$2082*EFEITO!$AA$2082</f>
        <v>0</v>
      </c>
      <c r="P2082" s="57"/>
      <c r="Q2082" s="57"/>
      <c r="R2082" s="57"/>
      <c r="S2082" s="57"/>
      <c r="T2082" s="57"/>
      <c r="U2082" s="57"/>
      <c r="V2082" s="57"/>
      <c r="W2082" s="57"/>
      <c r="X2082" s="6"/>
      <c r="Y2082" s="6"/>
      <c r="Z2082" s="6"/>
      <c r="AA2082" s="6"/>
      <c r="AB2082" s="6"/>
      <c r="AC2082" s="6"/>
      <c r="AD2082" s="6"/>
      <c r="AE2082" s="6"/>
      <c r="AF2082" s="6"/>
      <c r="AG2082" s="6"/>
      <c r="AH2082" s="6"/>
      <c r="AI2082" s="6"/>
      <c r="AJ2082" s="6"/>
    </row>
    <row r="2083" spans="1:36" ht="11.25" customHeight="1" x14ac:dyDescent="0.2">
      <c r="A2083" s="53" t="s">
        <v>21</v>
      </c>
      <c r="B2083" s="53" t="s">
        <v>39</v>
      </c>
      <c r="C2083" s="53" t="s">
        <v>37</v>
      </c>
      <c r="D2083" s="53" t="s">
        <v>40</v>
      </c>
      <c r="E2083" s="53" t="s">
        <v>25</v>
      </c>
      <c r="F2083" s="53" t="s">
        <v>25</v>
      </c>
      <c r="G2083" s="53" t="s">
        <v>25</v>
      </c>
      <c r="H2083" s="53" t="s">
        <v>38</v>
      </c>
      <c r="I2083" s="73">
        <v>43739</v>
      </c>
      <c r="J2083" s="74">
        <f>EFEITO!$J$2083*EFEITO!$Y$2083</f>
        <v>0</v>
      </c>
      <c r="K2083" s="74">
        <f ca="1">EFEITO!$L$2083*EFEITO!$Z$2083</f>
        <v>603.39274445414708</v>
      </c>
      <c r="L2083" s="74">
        <f>EFEITO!$N$2083*EFEITO!$AA$2083</f>
        <v>331.70875892121899</v>
      </c>
      <c r="M2083" s="74">
        <f>$J$2083-EFEITO!$K$2083*EFEITO!$Y$2083</f>
        <v>0</v>
      </c>
      <c r="N2083" s="74">
        <f ca="1">$K$2083-EFEITO!$M$2083*EFEITO!$Z$2083</f>
        <v>0</v>
      </c>
      <c r="O2083" s="74">
        <f>$L$2083-EFEITO!$O$2083*EFEITO!$AA$2083</f>
        <v>0</v>
      </c>
      <c r="P2083" s="57"/>
      <c r="Q2083" s="57"/>
      <c r="R2083" s="57"/>
      <c r="S2083" s="57"/>
      <c r="T2083" s="57"/>
      <c r="U2083" s="57"/>
      <c r="V2083" s="57"/>
      <c r="W2083" s="57"/>
      <c r="X2083" s="6"/>
      <c r="Y2083" s="6"/>
      <c r="Z2083" s="6"/>
      <c r="AA2083" s="6"/>
      <c r="AB2083" s="6"/>
      <c r="AC2083" s="6"/>
      <c r="AD2083" s="6"/>
      <c r="AE2083" s="6"/>
      <c r="AF2083" s="6"/>
      <c r="AG2083" s="6"/>
      <c r="AH2083" s="6"/>
      <c r="AI2083" s="6"/>
      <c r="AJ2083" s="6"/>
    </row>
    <row r="2084" spans="1:36" ht="11.25" customHeight="1" x14ac:dyDescent="0.2">
      <c r="A2084" s="53" t="s">
        <v>21</v>
      </c>
      <c r="B2084" s="53" t="s">
        <v>39</v>
      </c>
      <c r="C2084" s="53" t="s">
        <v>37</v>
      </c>
      <c r="D2084" s="53" t="s">
        <v>40</v>
      </c>
      <c r="E2084" s="53" t="s">
        <v>25</v>
      </c>
      <c r="F2084" s="53" t="s">
        <v>25</v>
      </c>
      <c r="G2084" s="53" t="s">
        <v>25</v>
      </c>
      <c r="H2084" s="53" t="s">
        <v>38</v>
      </c>
      <c r="I2084" s="73">
        <v>43770</v>
      </c>
      <c r="J2084" s="74">
        <f>EFEITO!$J$2084*EFEITO!$Y$2084</f>
        <v>0</v>
      </c>
      <c r="K2084" s="74">
        <f ca="1">EFEITO!$L$2084*EFEITO!$Z$2084</f>
        <v>673.51563124874872</v>
      </c>
      <c r="L2084" s="74">
        <f>EFEITO!$N$2084*EFEITO!$AA$2084</f>
        <v>370.25807189257847</v>
      </c>
      <c r="M2084" s="74">
        <f>$J$2084-EFEITO!$K$2084*EFEITO!$Y$2084</f>
        <v>0</v>
      </c>
      <c r="N2084" s="74">
        <f ca="1">$K$2084-EFEITO!$M$2084*EFEITO!$Z$2084</f>
        <v>0</v>
      </c>
      <c r="O2084" s="74">
        <f>$L$2084-EFEITO!$O$2084*EFEITO!$AA$2084</f>
        <v>0</v>
      </c>
      <c r="P2084" s="57"/>
      <c r="Q2084" s="57"/>
      <c r="R2084" s="57"/>
      <c r="S2084" s="57"/>
      <c r="T2084" s="57"/>
      <c r="U2084" s="57"/>
      <c r="V2084" s="57"/>
      <c r="W2084" s="57"/>
      <c r="X2084" s="6"/>
      <c r="Y2084" s="6"/>
      <c r="Z2084" s="6"/>
      <c r="AA2084" s="6"/>
      <c r="AB2084" s="6"/>
      <c r="AC2084" s="6"/>
      <c r="AD2084" s="6"/>
      <c r="AE2084" s="6"/>
      <c r="AF2084" s="6"/>
      <c r="AG2084" s="6"/>
      <c r="AH2084" s="6"/>
      <c r="AI2084" s="6"/>
      <c r="AJ2084" s="6"/>
    </row>
    <row r="2085" spans="1:36" ht="11.25" customHeight="1" x14ac:dyDescent="0.2">
      <c r="A2085" s="53" t="s">
        <v>21</v>
      </c>
      <c r="B2085" s="53" t="s">
        <v>39</v>
      </c>
      <c r="C2085" s="53" t="s">
        <v>37</v>
      </c>
      <c r="D2085" s="53" t="s">
        <v>40</v>
      </c>
      <c r="E2085" s="53" t="s">
        <v>25</v>
      </c>
      <c r="F2085" s="53" t="s">
        <v>25</v>
      </c>
      <c r="G2085" s="53" t="s">
        <v>25</v>
      </c>
      <c r="H2085" s="53" t="s">
        <v>38</v>
      </c>
      <c r="I2085" s="73">
        <v>43800</v>
      </c>
      <c r="J2085" s="74">
        <f>EFEITO!$J$2085*EFEITO!$Y$2085</f>
        <v>0</v>
      </c>
      <c r="K2085" s="74">
        <f ca="1">EFEITO!$L$2085*EFEITO!$Z$2085</f>
        <v>569.38104487113674</v>
      </c>
      <c r="L2085" s="74">
        <f>EFEITO!$N$2085*EFEITO!$AA$2085</f>
        <v>313.01118795906257</v>
      </c>
      <c r="M2085" s="74">
        <f>$J$2085-EFEITO!$K$2085*EFEITO!$Y$2085</f>
        <v>0</v>
      </c>
      <c r="N2085" s="74">
        <f ca="1">$K$2085-EFEITO!$M$2085*EFEITO!$Z$2085</f>
        <v>0</v>
      </c>
      <c r="O2085" s="74">
        <f>$L$2085-EFEITO!$O$2085*EFEITO!$AA$2085</f>
        <v>0</v>
      </c>
      <c r="P2085" s="57"/>
      <c r="Q2085" s="57"/>
      <c r="R2085" s="57"/>
      <c r="S2085" s="57"/>
      <c r="T2085" s="57"/>
      <c r="U2085" s="57"/>
      <c r="V2085" s="57"/>
      <c r="W2085" s="57"/>
      <c r="X2085" s="6"/>
      <c r="Y2085" s="6"/>
      <c r="Z2085" s="6"/>
      <c r="AA2085" s="6"/>
      <c r="AB2085" s="6"/>
      <c r="AC2085" s="6"/>
      <c r="AD2085" s="6"/>
      <c r="AE2085" s="6"/>
      <c r="AF2085" s="6"/>
      <c r="AG2085" s="6"/>
      <c r="AH2085" s="6"/>
      <c r="AI2085" s="6"/>
      <c r="AJ2085" s="6"/>
    </row>
    <row r="2086" spans="1:36" ht="11.25" customHeight="1" x14ac:dyDescent="0.2">
      <c r="A2086" s="53" t="s">
        <v>21</v>
      </c>
      <c r="B2086" s="53" t="s">
        <v>39</v>
      </c>
      <c r="C2086" s="53" t="s">
        <v>37</v>
      </c>
      <c r="D2086" s="53" t="s">
        <v>40</v>
      </c>
      <c r="E2086" s="53" t="s">
        <v>25</v>
      </c>
      <c r="F2086" s="53" t="s">
        <v>25</v>
      </c>
      <c r="G2086" s="53" t="s">
        <v>25</v>
      </c>
      <c r="H2086" s="53" t="s">
        <v>38</v>
      </c>
      <c r="I2086" s="73">
        <v>43831</v>
      </c>
      <c r="J2086" s="74">
        <f>EFEITO!$J$2086*EFEITO!$Y$2086</f>
        <v>0</v>
      </c>
      <c r="K2086" s="74">
        <f ca="1">EFEITO!$L$2086*EFEITO!$Z$2086</f>
        <v>542.92750075101742</v>
      </c>
      <c r="L2086" s="74">
        <f>EFEITO!$N$2086*EFEITO!$AA$2086</f>
        <v>298.46863276627425</v>
      </c>
      <c r="M2086" s="74">
        <f>$J$2086-EFEITO!$K$2086*EFEITO!$Y$2086</f>
        <v>0</v>
      </c>
      <c r="N2086" s="74">
        <f ca="1">$K$2086-EFEITO!$M$2086*EFEITO!$Z$2086</f>
        <v>0</v>
      </c>
      <c r="O2086" s="74">
        <f>$L$2086-EFEITO!$O$2086*EFEITO!$AA$2086</f>
        <v>0</v>
      </c>
      <c r="P2086" s="57"/>
      <c r="Q2086" s="57"/>
      <c r="R2086" s="57"/>
      <c r="S2086" s="57"/>
      <c r="T2086" s="57"/>
      <c r="U2086" s="57"/>
      <c r="V2086" s="57"/>
      <c r="W2086" s="57"/>
      <c r="X2086" s="6"/>
      <c r="Y2086" s="6"/>
      <c r="Z2086" s="6"/>
      <c r="AA2086" s="6"/>
      <c r="AB2086" s="6"/>
      <c r="AC2086" s="6"/>
      <c r="AD2086" s="6"/>
      <c r="AE2086" s="6"/>
      <c r="AF2086" s="6"/>
      <c r="AG2086" s="6"/>
      <c r="AH2086" s="6"/>
      <c r="AI2086" s="6"/>
      <c r="AJ2086" s="6"/>
    </row>
    <row r="2087" spans="1:36" ht="11.25" customHeight="1" x14ac:dyDescent="0.2">
      <c r="A2087" s="53" t="s">
        <v>21</v>
      </c>
      <c r="B2087" s="53" t="s">
        <v>39</v>
      </c>
      <c r="C2087" s="53" t="s">
        <v>37</v>
      </c>
      <c r="D2087" s="53" t="s">
        <v>40</v>
      </c>
      <c r="E2087" s="53" t="s">
        <v>25</v>
      </c>
      <c r="F2087" s="53" t="s">
        <v>25</v>
      </c>
      <c r="G2087" s="53" t="s">
        <v>25</v>
      </c>
      <c r="H2087" s="53" t="s">
        <v>38</v>
      </c>
      <c r="I2087" s="73">
        <v>43862</v>
      </c>
      <c r="J2087" s="74">
        <f>EFEITO!$J$2087*EFEITO!$Y$2087</f>
        <v>0</v>
      </c>
      <c r="K2087" s="74">
        <f ca="1">EFEITO!$L$2087*EFEITO!$Z$2087</f>
        <v>572.74022507686618</v>
      </c>
      <c r="L2087" s="74">
        <f>EFEITO!$N$2087*EFEITO!$AA$2087</f>
        <v>314.85786163433727</v>
      </c>
      <c r="M2087" s="74">
        <f>$J$2087-EFEITO!$K$2087*EFEITO!$Y$2087</f>
        <v>0</v>
      </c>
      <c r="N2087" s="74">
        <f ca="1">$K$2087-EFEITO!$M$2087*EFEITO!$Z$2087</f>
        <v>0</v>
      </c>
      <c r="O2087" s="74">
        <f>$L$2087-EFEITO!$O$2087*EFEITO!$AA$2087</f>
        <v>0</v>
      </c>
      <c r="P2087" s="57"/>
      <c r="Q2087" s="57"/>
      <c r="R2087" s="57"/>
      <c r="S2087" s="57"/>
      <c r="T2087" s="57"/>
      <c r="U2087" s="57"/>
      <c r="V2087" s="57"/>
      <c r="W2087" s="57"/>
      <c r="X2087" s="6"/>
      <c r="Y2087" s="6"/>
      <c r="Z2087" s="6"/>
      <c r="AA2087" s="6"/>
      <c r="AB2087" s="6"/>
      <c r="AC2087" s="6"/>
      <c r="AD2087" s="6"/>
      <c r="AE2087" s="6"/>
      <c r="AF2087" s="6"/>
      <c r="AG2087" s="6"/>
      <c r="AH2087" s="6"/>
      <c r="AI2087" s="6"/>
      <c r="AJ2087" s="6"/>
    </row>
    <row r="2088" spans="1:36" ht="11.25" customHeight="1" x14ac:dyDescent="0.2">
      <c r="A2088" s="53" t="s">
        <v>21</v>
      </c>
      <c r="B2088" s="53" t="s">
        <v>39</v>
      </c>
      <c r="C2088" s="53" t="s">
        <v>37</v>
      </c>
      <c r="D2088" s="53" t="s">
        <v>40</v>
      </c>
      <c r="E2088" s="53" t="s">
        <v>25</v>
      </c>
      <c r="F2088" s="53" t="s">
        <v>25</v>
      </c>
      <c r="G2088" s="53" t="s">
        <v>25</v>
      </c>
      <c r="H2088" s="53" t="s">
        <v>38</v>
      </c>
      <c r="I2088" s="73">
        <v>43891</v>
      </c>
      <c r="J2088" s="74">
        <f>EFEITO!$J$2088*EFEITO!$Y$2088</f>
        <v>0</v>
      </c>
      <c r="K2088" s="74">
        <f ca="1">EFEITO!$L$2088*EFEITO!$Z$2088</f>
        <v>283.01093233270365</v>
      </c>
      <c r="L2088" s="74">
        <f>EFEITO!$N$2088*EFEITO!$AA$2088</f>
        <v>155.58225714189393</v>
      </c>
      <c r="M2088" s="74">
        <f>$J$2088-EFEITO!$K$2088*EFEITO!$Y$2088</f>
        <v>0</v>
      </c>
      <c r="N2088" s="74">
        <f ca="1">$K$2088-EFEITO!$M$2088*EFEITO!$Z$2088</f>
        <v>0</v>
      </c>
      <c r="O2088" s="74">
        <f>$L$2088-EFEITO!$O$2088*EFEITO!$AA$2088</f>
        <v>0</v>
      </c>
      <c r="P2088" s="57"/>
      <c r="Q2088" s="57"/>
      <c r="R2088" s="57"/>
      <c r="S2088" s="57"/>
      <c r="T2088" s="57"/>
      <c r="U2088" s="57"/>
      <c r="V2088" s="57"/>
      <c r="W2088" s="57"/>
      <c r="X2088" s="6"/>
      <c r="Y2088" s="6"/>
      <c r="Z2088" s="6"/>
      <c r="AA2088" s="6"/>
      <c r="AB2088" s="6"/>
      <c r="AC2088" s="6"/>
      <c r="AD2088" s="6"/>
      <c r="AE2088" s="6"/>
      <c r="AF2088" s="6"/>
      <c r="AG2088" s="6"/>
      <c r="AH2088" s="6"/>
      <c r="AI2088" s="6"/>
      <c r="AJ2088" s="6"/>
    </row>
    <row r="2089" spans="1:36" ht="11.25" customHeight="1" x14ac:dyDescent="0.2">
      <c r="A2089" s="53" t="s">
        <v>27</v>
      </c>
      <c r="B2089" s="53" t="s">
        <v>39</v>
      </c>
      <c r="C2089" s="53" t="s">
        <v>37</v>
      </c>
      <c r="D2089" s="53" t="s">
        <v>40</v>
      </c>
      <c r="E2089" s="53" t="s">
        <v>25</v>
      </c>
      <c r="F2089" s="53" t="s">
        <v>25</v>
      </c>
      <c r="G2089" s="53" t="s">
        <v>25</v>
      </c>
      <c r="H2089" s="53" t="s">
        <v>38</v>
      </c>
      <c r="I2089" s="73">
        <v>43891</v>
      </c>
      <c r="J2089" s="74">
        <f>EFEITO!$J$2089*EFEITO!$Y$2089</f>
        <v>0</v>
      </c>
      <c r="K2089" s="74">
        <f ca="1">EFEITO!$L$2089*EFEITO!$Z$2089</f>
        <v>200.71101729233283</v>
      </c>
      <c r="L2089" s="74">
        <f>EFEITO!$N$2089*EFEITO!$AA$2089</f>
        <v>110.33875209766364</v>
      </c>
      <c r="M2089" s="74">
        <f>$J$2089-EFEITO!$K$2089*EFEITO!$Y$2089</f>
        <v>0</v>
      </c>
      <c r="N2089" s="74">
        <f ca="1">$K$2089-EFEITO!$M$2089*EFEITO!$Z$2089</f>
        <v>0</v>
      </c>
      <c r="O2089" s="74">
        <f>$L$2089-EFEITO!$O$2089*EFEITO!$AA$2089</f>
        <v>0</v>
      </c>
      <c r="P2089" s="57"/>
      <c r="Q2089" s="57"/>
      <c r="R2089" s="57"/>
      <c r="S2089" s="57"/>
      <c r="T2089" s="57"/>
      <c r="U2089" s="57"/>
      <c r="V2089" s="57"/>
      <c r="W2089" s="57"/>
      <c r="X2089" s="6"/>
      <c r="Y2089" s="6"/>
      <c r="Z2089" s="6"/>
      <c r="AA2089" s="6"/>
      <c r="AB2089" s="6"/>
      <c r="AC2089" s="6"/>
      <c r="AD2089" s="6"/>
      <c r="AE2089" s="6"/>
      <c r="AF2089" s="6"/>
      <c r="AG2089" s="6"/>
      <c r="AH2089" s="6"/>
      <c r="AI2089" s="6"/>
      <c r="AJ2089" s="6"/>
    </row>
    <row r="2090" spans="1:36" ht="11.25" customHeight="1" x14ac:dyDescent="0.2">
      <c r="A2090" s="53" t="s">
        <v>21</v>
      </c>
      <c r="B2090" s="53" t="s">
        <v>39</v>
      </c>
      <c r="C2090" s="53" t="s">
        <v>37</v>
      </c>
      <c r="D2090" s="53" t="s">
        <v>40</v>
      </c>
      <c r="E2090" s="53" t="s">
        <v>25</v>
      </c>
      <c r="F2090" s="53" t="s">
        <v>25</v>
      </c>
      <c r="G2090" s="53" t="s">
        <v>25</v>
      </c>
      <c r="H2090" s="53" t="s">
        <v>38</v>
      </c>
      <c r="I2090" s="73">
        <v>43922</v>
      </c>
      <c r="J2090" s="74">
        <f>EFEITO!$J$2090*EFEITO!$Y$2090</f>
        <v>0</v>
      </c>
      <c r="K2090" s="74">
        <f ca="1">EFEITO!$L$2090*EFEITO!$Z$2090</f>
        <v>447.61076241344523</v>
      </c>
      <c r="L2090" s="74">
        <f>EFEITO!$N$2090*EFEITO!$AA$2090</f>
        <v>246.06926723035451</v>
      </c>
      <c r="M2090" s="74">
        <f>$J$2090-EFEITO!$K$2090*EFEITO!$Y$2090</f>
        <v>0</v>
      </c>
      <c r="N2090" s="74">
        <f ca="1">$K$2090-EFEITO!$M$2090*EFEITO!$Z$2090</f>
        <v>0</v>
      </c>
      <c r="O2090" s="74">
        <f>$L$2090-EFEITO!$O$2090*EFEITO!$AA$2090</f>
        <v>0</v>
      </c>
      <c r="P2090" s="57"/>
      <c r="Q2090" s="57"/>
      <c r="R2090" s="57"/>
      <c r="S2090" s="57"/>
      <c r="T2090" s="57"/>
      <c r="U2090" s="57"/>
      <c r="V2090" s="57"/>
      <c r="W2090" s="57"/>
      <c r="X2090" s="6"/>
      <c r="Y2090" s="6"/>
      <c r="Z2090" s="6"/>
      <c r="AA2090" s="6"/>
      <c r="AB2090" s="6"/>
      <c r="AC2090" s="6"/>
      <c r="AD2090" s="6"/>
      <c r="AE2090" s="6"/>
      <c r="AF2090" s="6"/>
      <c r="AG2090" s="6"/>
      <c r="AH2090" s="6"/>
      <c r="AI2090" s="6"/>
      <c r="AJ2090" s="6"/>
    </row>
    <row r="2091" spans="1:36" ht="11.25" customHeight="1" x14ac:dyDescent="0.2">
      <c r="A2091" s="53" t="s">
        <v>21</v>
      </c>
      <c r="B2091" s="53" t="s">
        <v>39</v>
      </c>
      <c r="C2091" s="53" t="s">
        <v>37</v>
      </c>
      <c r="D2091" s="53" t="s">
        <v>40</v>
      </c>
      <c r="E2091" s="53" t="s">
        <v>25</v>
      </c>
      <c r="F2091" s="53" t="s">
        <v>25</v>
      </c>
      <c r="G2091" s="53" t="s">
        <v>25</v>
      </c>
      <c r="H2091" s="53" t="s">
        <v>38</v>
      </c>
      <c r="I2091" s="73">
        <v>43952</v>
      </c>
      <c r="J2091" s="74">
        <f>EFEITO!$J$2091*EFEITO!$Y$2091</f>
        <v>0</v>
      </c>
      <c r="K2091" s="74">
        <f ca="1">EFEITO!$L$2091*EFEITO!$Z$2091</f>
        <v>402.68172716181419</v>
      </c>
      <c r="L2091" s="74">
        <f>EFEITO!$N$2091*EFEITO!$AA$2091</f>
        <v>221.37000682355529</v>
      </c>
      <c r="M2091" s="74">
        <f>$J$2091-EFEITO!$K$2091*EFEITO!$Y$2091</f>
        <v>0</v>
      </c>
      <c r="N2091" s="74">
        <f ca="1">$K$2091-EFEITO!$M$2091*EFEITO!$Z$2091</f>
        <v>0</v>
      </c>
      <c r="O2091" s="74">
        <f>$L$2091-EFEITO!$O$2091*EFEITO!$AA$2091</f>
        <v>0</v>
      </c>
      <c r="P2091" s="57"/>
      <c r="Q2091" s="57"/>
      <c r="R2091" s="57"/>
      <c r="S2091" s="57"/>
      <c r="T2091" s="57"/>
      <c r="U2091" s="57"/>
      <c r="V2091" s="57"/>
      <c r="W2091" s="57"/>
      <c r="X2091" s="6"/>
      <c r="Y2091" s="6"/>
      <c r="Z2091" s="6"/>
      <c r="AA2091" s="6"/>
      <c r="AB2091" s="6"/>
      <c r="AC2091" s="6"/>
      <c r="AD2091" s="6"/>
      <c r="AE2091" s="6"/>
      <c r="AF2091" s="6"/>
      <c r="AG2091" s="6"/>
      <c r="AH2091" s="6"/>
      <c r="AI2091" s="6"/>
      <c r="AJ2091" s="6"/>
    </row>
    <row r="2092" spans="1:36" ht="11.25" customHeight="1" x14ac:dyDescent="0.2">
      <c r="A2092" s="53" t="s">
        <v>21</v>
      </c>
      <c r="B2092" s="53" t="s">
        <v>39</v>
      </c>
      <c r="C2092" s="53" t="s">
        <v>37</v>
      </c>
      <c r="D2092" s="53" t="s">
        <v>40</v>
      </c>
      <c r="E2092" s="53" t="s">
        <v>25</v>
      </c>
      <c r="F2092" s="53" t="s">
        <v>25</v>
      </c>
      <c r="G2092" s="53" t="s">
        <v>25</v>
      </c>
      <c r="H2092" s="53" t="s">
        <v>38</v>
      </c>
      <c r="I2092" s="73">
        <v>43983</v>
      </c>
      <c r="J2092" s="74">
        <f>EFEITO!$J$2092*EFEITO!$Y$2092</f>
        <v>0</v>
      </c>
      <c r="K2092" s="74">
        <f ca="1">EFEITO!$L$2092*EFEITO!$Z$2092</f>
        <v>404.7812147903951</v>
      </c>
      <c r="L2092" s="74">
        <f>EFEITO!$N$2092*EFEITO!$AA$2092</f>
        <v>222.52417787060199</v>
      </c>
      <c r="M2092" s="74">
        <f>$J$2092-EFEITO!$K$2092*EFEITO!$Y$2092</f>
        <v>0</v>
      </c>
      <c r="N2092" s="74">
        <f ca="1">$K$2092-EFEITO!$M$2092*EFEITO!$Z$2092</f>
        <v>0</v>
      </c>
      <c r="O2092" s="74">
        <f>$L$2092-EFEITO!$O$2092*EFEITO!$AA$2092</f>
        <v>0</v>
      </c>
      <c r="P2092" s="57"/>
      <c r="Q2092" s="57"/>
      <c r="R2092" s="57"/>
      <c r="S2092" s="57"/>
      <c r="T2092" s="57"/>
      <c r="U2092" s="57"/>
      <c r="V2092" s="57"/>
      <c r="W2092" s="57"/>
      <c r="X2092" s="6"/>
      <c r="Y2092" s="6"/>
      <c r="Z2092" s="6"/>
      <c r="AA2092" s="6"/>
      <c r="AB2092" s="6"/>
      <c r="AC2092" s="6"/>
      <c r="AD2092" s="6"/>
      <c r="AE2092" s="6"/>
      <c r="AF2092" s="6"/>
      <c r="AG2092" s="6"/>
      <c r="AH2092" s="6"/>
      <c r="AI2092" s="6"/>
      <c r="AJ2092" s="6"/>
    </row>
    <row r="2093" spans="1:36" ht="11.25" customHeight="1" x14ac:dyDescent="0.2">
      <c r="A2093" s="53" t="s">
        <v>21</v>
      </c>
      <c r="B2093" s="53" t="s">
        <v>39</v>
      </c>
      <c r="C2093" s="53" t="s">
        <v>37</v>
      </c>
      <c r="D2093" s="53" t="s">
        <v>40</v>
      </c>
      <c r="E2093" s="53" t="s">
        <v>25</v>
      </c>
      <c r="F2093" s="53" t="s">
        <v>25</v>
      </c>
      <c r="G2093" s="53" t="s">
        <v>25</v>
      </c>
      <c r="H2093" s="53" t="s">
        <v>38</v>
      </c>
      <c r="I2093" s="73">
        <v>44013</v>
      </c>
      <c r="J2093" s="74">
        <f>EFEITO!$J$2093*EFEITO!$Y$2093</f>
        <v>0</v>
      </c>
      <c r="K2093" s="74">
        <f ca="1">EFEITO!$L$2093*EFEITO!$Z$2093</f>
        <v>420.73732076760984</v>
      </c>
      <c r="L2093" s="74">
        <f>EFEITO!$N$2093*EFEITO!$AA$2093</f>
        <v>231.29587782815685</v>
      </c>
      <c r="M2093" s="74">
        <f>$J$2093-EFEITO!$K$2093*EFEITO!$Y$2093</f>
        <v>0</v>
      </c>
      <c r="N2093" s="74">
        <f ca="1">$K$2093-EFEITO!$M$2093*EFEITO!$Z$2093</f>
        <v>0</v>
      </c>
      <c r="O2093" s="74">
        <f>$L$2093-EFEITO!$O$2093*EFEITO!$AA$2093</f>
        <v>0</v>
      </c>
      <c r="P2093" s="57"/>
      <c r="Q2093" s="57"/>
      <c r="R2093" s="57"/>
      <c r="S2093" s="57"/>
      <c r="T2093" s="57"/>
      <c r="U2093" s="57"/>
      <c r="V2093" s="57"/>
      <c r="W2093" s="57"/>
      <c r="X2093" s="6"/>
      <c r="Y2093" s="6"/>
      <c r="Z2093" s="6"/>
      <c r="AA2093" s="6"/>
      <c r="AB2093" s="6"/>
      <c r="AC2093" s="6"/>
      <c r="AD2093" s="6"/>
      <c r="AE2093" s="6"/>
      <c r="AF2093" s="6"/>
      <c r="AG2093" s="6"/>
      <c r="AH2093" s="6"/>
      <c r="AI2093" s="6"/>
      <c r="AJ2093" s="6"/>
    </row>
    <row r="2094" spans="1:36" ht="11.25" customHeight="1" x14ac:dyDescent="0.2">
      <c r="A2094" s="53" t="s">
        <v>21</v>
      </c>
      <c r="B2094" s="53" t="s">
        <v>39</v>
      </c>
      <c r="C2094" s="53" t="s">
        <v>37</v>
      </c>
      <c r="D2094" s="53" t="s">
        <v>40</v>
      </c>
      <c r="E2094" s="53" t="s">
        <v>25</v>
      </c>
      <c r="F2094" s="53" t="s">
        <v>25</v>
      </c>
      <c r="G2094" s="53" t="s">
        <v>25</v>
      </c>
      <c r="H2094" s="53" t="s">
        <v>38</v>
      </c>
      <c r="I2094" s="73">
        <v>44044</v>
      </c>
      <c r="J2094" s="74">
        <f>EFEITO!$J$2094*EFEITO!$Y$2094</f>
        <v>0</v>
      </c>
      <c r="K2094" s="74">
        <f ca="1">EFEITO!$L$2094*EFEITO!$Z$2094</f>
        <v>492.95969519079233</v>
      </c>
      <c r="L2094" s="74">
        <f>EFEITO!$N$2094*EFEITO!$AA$2094</f>
        <v>270.99936184656298</v>
      </c>
      <c r="M2094" s="74">
        <f>$J$2094-EFEITO!$K$2094*EFEITO!$Y$2094</f>
        <v>0</v>
      </c>
      <c r="N2094" s="74">
        <f ca="1">$K$2094-EFEITO!$M$2094*EFEITO!$Z$2094</f>
        <v>0</v>
      </c>
      <c r="O2094" s="74">
        <f>$L$2094-EFEITO!$O$2094*EFEITO!$AA$2094</f>
        <v>0</v>
      </c>
      <c r="P2094" s="57"/>
      <c r="Q2094" s="57"/>
      <c r="R2094" s="57"/>
      <c r="S2094" s="57"/>
      <c r="T2094" s="57"/>
      <c r="U2094" s="57"/>
      <c r="V2094" s="57"/>
      <c r="W2094" s="57"/>
      <c r="X2094" s="6"/>
      <c r="Y2094" s="6"/>
      <c r="Z2094" s="6"/>
      <c r="AA2094" s="6"/>
      <c r="AB2094" s="6"/>
      <c r="AC2094" s="6"/>
      <c r="AD2094" s="6"/>
      <c r="AE2094" s="6"/>
      <c r="AF2094" s="6"/>
      <c r="AG2094" s="6"/>
      <c r="AH2094" s="6"/>
      <c r="AI2094" s="6"/>
      <c r="AJ2094" s="6"/>
    </row>
    <row r="2095" spans="1:36" ht="11.25" customHeight="1" x14ac:dyDescent="0.2">
      <c r="A2095" s="53" t="s">
        <v>59</v>
      </c>
      <c r="B2095" s="53" t="s">
        <v>39</v>
      </c>
      <c r="C2095" s="53" t="s">
        <v>37</v>
      </c>
      <c r="D2095" s="53" t="s">
        <v>40</v>
      </c>
      <c r="E2095" s="53" t="s">
        <v>25</v>
      </c>
      <c r="F2095" s="53" t="s">
        <v>25</v>
      </c>
      <c r="G2095" s="53" t="s">
        <v>25</v>
      </c>
      <c r="H2095" s="53" t="s">
        <v>38</v>
      </c>
      <c r="I2095" s="73">
        <v>44075</v>
      </c>
      <c r="J2095" s="74">
        <f>EFEITO!$J$2095*EFEITO!$Y$2095</f>
        <v>0</v>
      </c>
      <c r="K2095" s="74">
        <f ca="1">EFEITO!$L$2095*EFEITO!$Z$2095</f>
        <v>492.95969519079233</v>
      </c>
      <c r="L2095" s="74">
        <f>EFEITO!$N$2095*EFEITO!$AA$2095</f>
        <v>270.99936184656298</v>
      </c>
      <c r="M2095" s="74">
        <f>$J$2095-EFEITO!$K$2095*EFEITO!$Y$2095</f>
        <v>0</v>
      </c>
      <c r="N2095" s="74">
        <f ca="1">$K$2095-EFEITO!$M$2095*EFEITO!$Z$2095</f>
        <v>0</v>
      </c>
      <c r="O2095" s="74">
        <f>$L$2095-EFEITO!$O$2095*EFEITO!$AA$2095</f>
        <v>0</v>
      </c>
      <c r="P2095" s="57"/>
      <c r="Q2095" s="57"/>
      <c r="R2095" s="57"/>
      <c r="S2095" s="57"/>
      <c r="T2095" s="57"/>
      <c r="U2095" s="57"/>
      <c r="V2095" s="57"/>
      <c r="W2095" s="57"/>
      <c r="X2095" s="6"/>
      <c r="Y2095" s="6"/>
      <c r="Z2095" s="6"/>
      <c r="AA2095" s="6"/>
      <c r="AB2095" s="6"/>
      <c r="AC2095" s="6"/>
      <c r="AD2095" s="6"/>
      <c r="AE2095" s="6"/>
      <c r="AF2095" s="6"/>
      <c r="AG2095" s="6"/>
      <c r="AH2095" s="6"/>
      <c r="AI2095" s="6"/>
      <c r="AJ2095" s="6"/>
    </row>
    <row r="2096" spans="1:36" ht="11.25" customHeight="1" x14ac:dyDescent="0.2">
      <c r="A2096" s="53" t="s">
        <v>21</v>
      </c>
      <c r="B2096" s="53" t="s">
        <v>39</v>
      </c>
      <c r="C2096" s="53" t="s">
        <v>37</v>
      </c>
      <c r="D2096" s="53" t="s">
        <v>40</v>
      </c>
      <c r="E2096" s="53" t="s">
        <v>25</v>
      </c>
      <c r="F2096" s="53" t="s">
        <v>25</v>
      </c>
      <c r="G2096" s="53" t="s">
        <v>25</v>
      </c>
      <c r="H2096" s="53" t="s">
        <v>35</v>
      </c>
      <c r="I2096" s="73">
        <v>43739</v>
      </c>
      <c r="J2096" s="74">
        <f>EFEITO!$J$2096*EFEITO!$Y$2096</f>
        <v>0</v>
      </c>
      <c r="K2096" s="74">
        <f ca="1">EFEITO!$L$2096*EFEITO!$Z$2096</f>
        <v>968.17907120019106</v>
      </c>
      <c r="L2096" s="74">
        <f>EFEITO!$N$2096*EFEITO!$AA$2096</f>
        <v>581.19521875680084</v>
      </c>
      <c r="M2096" s="74">
        <f>$J$2096-EFEITO!$K$2096*EFEITO!$Y$2096</f>
        <v>0</v>
      </c>
      <c r="N2096" s="74">
        <f ca="1">$K$2096-EFEITO!$M$2096*EFEITO!$Z$2096</f>
        <v>0</v>
      </c>
      <c r="O2096" s="74">
        <f>$L$2096-EFEITO!$O$2096*EFEITO!$AA$2096</f>
        <v>0</v>
      </c>
      <c r="P2096" s="57"/>
      <c r="Q2096" s="57"/>
      <c r="R2096" s="57"/>
      <c r="S2096" s="57"/>
      <c r="T2096" s="57"/>
      <c r="U2096" s="57"/>
      <c r="V2096" s="57"/>
      <c r="W2096" s="57"/>
      <c r="X2096" s="6"/>
      <c r="Y2096" s="6"/>
      <c r="Z2096" s="6"/>
      <c r="AA2096" s="6"/>
      <c r="AB2096" s="6"/>
      <c r="AC2096" s="6"/>
      <c r="AD2096" s="6"/>
      <c r="AE2096" s="6"/>
      <c r="AF2096" s="6"/>
      <c r="AG2096" s="6"/>
      <c r="AH2096" s="6"/>
      <c r="AI2096" s="6"/>
      <c r="AJ2096" s="6"/>
    </row>
    <row r="2097" spans="1:36" ht="11.25" customHeight="1" x14ac:dyDescent="0.2">
      <c r="A2097" s="53" t="s">
        <v>21</v>
      </c>
      <c r="B2097" s="53" t="s">
        <v>39</v>
      </c>
      <c r="C2097" s="53" t="s">
        <v>37</v>
      </c>
      <c r="D2097" s="53" t="s">
        <v>40</v>
      </c>
      <c r="E2097" s="53" t="s">
        <v>25</v>
      </c>
      <c r="F2097" s="53" t="s">
        <v>25</v>
      </c>
      <c r="G2097" s="53" t="s">
        <v>25</v>
      </c>
      <c r="H2097" s="53" t="s">
        <v>35</v>
      </c>
      <c r="I2097" s="73">
        <v>43770</v>
      </c>
      <c r="J2097" s="74">
        <f>EFEITO!$J$2097*EFEITO!$Y$2097</f>
        <v>0</v>
      </c>
      <c r="K2097" s="74">
        <f ca="1">EFEITO!$L$2097*EFEITO!$Z$2097</f>
        <v>1032.640896884496</v>
      </c>
      <c r="L2097" s="74">
        <f>EFEITO!$N$2097*EFEITO!$AA$2097</f>
        <v>619.89147443356262</v>
      </c>
      <c r="M2097" s="74">
        <f>$J$2097-EFEITO!$K$2097*EFEITO!$Y$2097</f>
        <v>0</v>
      </c>
      <c r="N2097" s="74">
        <f ca="1">$K$2097-EFEITO!$M$2097*EFEITO!$Z$2097</f>
        <v>0</v>
      </c>
      <c r="O2097" s="74">
        <f>$L$2097-EFEITO!$O$2097*EFEITO!$AA$2097</f>
        <v>0</v>
      </c>
      <c r="P2097" s="57"/>
      <c r="Q2097" s="57"/>
      <c r="R2097" s="57"/>
      <c r="S2097" s="57"/>
      <c r="T2097" s="57"/>
      <c r="U2097" s="57"/>
      <c r="V2097" s="57"/>
      <c r="W2097" s="57"/>
      <c r="X2097" s="6"/>
      <c r="Y2097" s="6"/>
      <c r="Z2097" s="6"/>
      <c r="AA2097" s="6"/>
      <c r="AB2097" s="6"/>
      <c r="AC2097" s="6"/>
      <c r="AD2097" s="6"/>
      <c r="AE2097" s="6"/>
      <c r="AF2097" s="6"/>
      <c r="AG2097" s="6"/>
      <c r="AH2097" s="6"/>
      <c r="AI2097" s="6"/>
      <c r="AJ2097" s="6"/>
    </row>
    <row r="2098" spans="1:36" ht="11.25" customHeight="1" x14ac:dyDescent="0.2">
      <c r="A2098" s="53" t="s">
        <v>21</v>
      </c>
      <c r="B2098" s="53" t="s">
        <v>39</v>
      </c>
      <c r="C2098" s="53" t="s">
        <v>37</v>
      </c>
      <c r="D2098" s="53" t="s">
        <v>40</v>
      </c>
      <c r="E2098" s="53" t="s">
        <v>25</v>
      </c>
      <c r="F2098" s="53" t="s">
        <v>25</v>
      </c>
      <c r="G2098" s="53" t="s">
        <v>25</v>
      </c>
      <c r="H2098" s="53" t="s">
        <v>35</v>
      </c>
      <c r="I2098" s="73">
        <v>43800</v>
      </c>
      <c r="J2098" s="74">
        <f>EFEITO!$J$2098*EFEITO!$Y$2098</f>
        <v>0</v>
      </c>
      <c r="K2098" s="74">
        <f ca="1">EFEITO!$L$2098*EFEITO!$Z$2098</f>
        <v>878.05768383572604</v>
      </c>
      <c r="L2098" s="74">
        <f>EFEITO!$N$2098*EFEITO!$AA$2098</f>
        <v>527.09559916987178</v>
      </c>
      <c r="M2098" s="74">
        <f>$J$2098-EFEITO!$K$2098*EFEITO!$Y$2098</f>
        <v>0</v>
      </c>
      <c r="N2098" s="74">
        <f ca="1">$K$2098-EFEITO!$M$2098*EFEITO!$Z$2098</f>
        <v>0</v>
      </c>
      <c r="O2098" s="74">
        <f>$L$2098-EFEITO!$O$2098*EFEITO!$AA$2098</f>
        <v>0</v>
      </c>
      <c r="P2098" s="57"/>
      <c r="Q2098" s="57"/>
      <c r="R2098" s="57"/>
      <c r="S2098" s="57"/>
      <c r="T2098" s="57"/>
      <c r="U2098" s="57"/>
      <c r="V2098" s="57"/>
      <c r="W2098" s="57"/>
      <c r="X2098" s="6"/>
      <c r="Y2098" s="6"/>
      <c r="Z2098" s="6"/>
      <c r="AA2098" s="6"/>
      <c r="AB2098" s="6"/>
      <c r="AC2098" s="6"/>
      <c r="AD2098" s="6"/>
      <c r="AE2098" s="6"/>
      <c r="AF2098" s="6"/>
      <c r="AG2098" s="6"/>
      <c r="AH2098" s="6"/>
      <c r="AI2098" s="6"/>
      <c r="AJ2098" s="6"/>
    </row>
    <row r="2099" spans="1:36" ht="11.25" customHeight="1" x14ac:dyDescent="0.2">
      <c r="A2099" s="53" t="s">
        <v>21</v>
      </c>
      <c r="B2099" s="53" t="s">
        <v>39</v>
      </c>
      <c r="C2099" s="53" t="s">
        <v>37</v>
      </c>
      <c r="D2099" s="53" t="s">
        <v>40</v>
      </c>
      <c r="E2099" s="53" t="s">
        <v>25</v>
      </c>
      <c r="F2099" s="53" t="s">
        <v>25</v>
      </c>
      <c r="G2099" s="53" t="s">
        <v>25</v>
      </c>
      <c r="H2099" s="53" t="s">
        <v>35</v>
      </c>
      <c r="I2099" s="73">
        <v>43831</v>
      </c>
      <c r="J2099" s="74">
        <f>EFEITO!$J$2099*EFEITO!$Y$2099</f>
        <v>0</v>
      </c>
      <c r="K2099" s="74">
        <f ca="1">EFEITO!$L$2099*EFEITO!$Z$2099</f>
        <v>889.94870022409293</v>
      </c>
      <c r="L2099" s="74">
        <f>EFEITO!$N$2099*EFEITO!$AA$2099</f>
        <v>534.23374342092484</v>
      </c>
      <c r="M2099" s="74">
        <f>$J$2099-EFEITO!$K$2099*EFEITO!$Y$2099</f>
        <v>0</v>
      </c>
      <c r="N2099" s="74">
        <f ca="1">$K$2099-EFEITO!$M$2099*EFEITO!$Z$2099</f>
        <v>0</v>
      </c>
      <c r="O2099" s="74">
        <f>$L$2099-EFEITO!$O$2099*EFEITO!$AA$2099</f>
        <v>0</v>
      </c>
      <c r="P2099" s="57"/>
      <c r="Q2099" s="57"/>
      <c r="R2099" s="57"/>
      <c r="S2099" s="57"/>
      <c r="T2099" s="57"/>
      <c r="U2099" s="57"/>
      <c r="V2099" s="57"/>
      <c r="W2099" s="57"/>
      <c r="X2099" s="6"/>
      <c r="Y2099" s="6"/>
      <c r="Z2099" s="6"/>
      <c r="AA2099" s="6"/>
      <c r="AB2099" s="6"/>
      <c r="AC2099" s="6"/>
      <c r="AD2099" s="6"/>
      <c r="AE2099" s="6"/>
      <c r="AF2099" s="6"/>
      <c r="AG2099" s="6"/>
      <c r="AH2099" s="6"/>
      <c r="AI2099" s="6"/>
      <c r="AJ2099" s="6"/>
    </row>
    <row r="2100" spans="1:36" ht="11.25" customHeight="1" x14ac:dyDescent="0.2">
      <c r="A2100" s="53" t="s">
        <v>21</v>
      </c>
      <c r="B2100" s="53" t="s">
        <v>39</v>
      </c>
      <c r="C2100" s="53" t="s">
        <v>37</v>
      </c>
      <c r="D2100" s="53" t="s">
        <v>40</v>
      </c>
      <c r="E2100" s="53" t="s">
        <v>25</v>
      </c>
      <c r="F2100" s="53" t="s">
        <v>25</v>
      </c>
      <c r="G2100" s="53" t="s">
        <v>25</v>
      </c>
      <c r="H2100" s="53" t="s">
        <v>35</v>
      </c>
      <c r="I2100" s="73">
        <v>43862</v>
      </c>
      <c r="J2100" s="74">
        <f>EFEITO!$J$2100*EFEITO!$Y$2100</f>
        <v>0</v>
      </c>
      <c r="K2100" s="74">
        <f ca="1">EFEITO!$L$2100*EFEITO!$Z$2100</f>
        <v>870.54756822202057</v>
      </c>
      <c r="L2100" s="74">
        <f>EFEITO!$N$2100*EFEITO!$AA$2100</f>
        <v>522.58729753762771</v>
      </c>
      <c r="M2100" s="74">
        <f>$J$2100-EFEITO!$K$2100*EFEITO!$Y$2100</f>
        <v>0</v>
      </c>
      <c r="N2100" s="74">
        <f ca="1">$K$2100-EFEITO!$M$2100*EFEITO!$Z$2100</f>
        <v>0</v>
      </c>
      <c r="O2100" s="74">
        <f>$L$2100-EFEITO!$O$2100*EFEITO!$AA$2100</f>
        <v>0</v>
      </c>
      <c r="P2100" s="57"/>
      <c r="Q2100" s="57"/>
      <c r="R2100" s="57"/>
      <c r="S2100" s="57"/>
      <c r="T2100" s="57"/>
      <c r="U2100" s="57"/>
      <c r="V2100" s="57"/>
      <c r="W2100" s="57"/>
      <c r="X2100" s="6"/>
      <c r="Y2100" s="6"/>
      <c r="Z2100" s="6"/>
      <c r="AA2100" s="6"/>
      <c r="AB2100" s="6"/>
      <c r="AC2100" s="6"/>
      <c r="AD2100" s="6"/>
      <c r="AE2100" s="6"/>
      <c r="AF2100" s="6"/>
      <c r="AG2100" s="6"/>
      <c r="AH2100" s="6"/>
      <c r="AI2100" s="6"/>
      <c r="AJ2100" s="6"/>
    </row>
    <row r="2101" spans="1:36" ht="11.25" customHeight="1" x14ac:dyDescent="0.2">
      <c r="A2101" s="53" t="s">
        <v>21</v>
      </c>
      <c r="B2101" s="53" t="s">
        <v>39</v>
      </c>
      <c r="C2101" s="53" t="s">
        <v>37</v>
      </c>
      <c r="D2101" s="53" t="s">
        <v>40</v>
      </c>
      <c r="E2101" s="53" t="s">
        <v>25</v>
      </c>
      <c r="F2101" s="53" t="s">
        <v>25</v>
      </c>
      <c r="G2101" s="53" t="s">
        <v>25</v>
      </c>
      <c r="H2101" s="53" t="s">
        <v>35</v>
      </c>
      <c r="I2101" s="73">
        <v>43891</v>
      </c>
      <c r="J2101" s="74">
        <f>EFEITO!$J$2101*EFEITO!$Y$2101</f>
        <v>0</v>
      </c>
      <c r="K2101" s="74">
        <f ca="1">EFEITO!$L$2101*EFEITO!$Z$2101</f>
        <v>476.89234147029453</v>
      </c>
      <c r="L2101" s="74">
        <f>EFEITO!$N$2101*EFEITO!$AA$2101</f>
        <v>286.27715364749986</v>
      </c>
      <c r="M2101" s="74">
        <f>$J$2101-EFEITO!$K$2101*EFEITO!$Y$2101</f>
        <v>0</v>
      </c>
      <c r="N2101" s="74">
        <f ca="1">$K$2101-EFEITO!$M$2101*EFEITO!$Z$2101</f>
        <v>0</v>
      </c>
      <c r="O2101" s="74">
        <f>$L$2101-EFEITO!$O$2101*EFEITO!$AA$2101</f>
        <v>0</v>
      </c>
      <c r="P2101" s="57"/>
      <c r="Q2101" s="57"/>
      <c r="R2101" s="57"/>
      <c r="S2101" s="57"/>
      <c r="T2101" s="57"/>
      <c r="U2101" s="57"/>
      <c r="V2101" s="57"/>
      <c r="W2101" s="57"/>
      <c r="X2101" s="6"/>
      <c r="Y2101" s="6"/>
      <c r="Z2101" s="6"/>
      <c r="AA2101" s="6"/>
      <c r="AB2101" s="6"/>
      <c r="AC2101" s="6"/>
      <c r="AD2101" s="6"/>
      <c r="AE2101" s="6"/>
      <c r="AF2101" s="6"/>
      <c r="AG2101" s="6"/>
      <c r="AH2101" s="6"/>
      <c r="AI2101" s="6"/>
      <c r="AJ2101" s="6"/>
    </row>
    <row r="2102" spans="1:36" ht="11.25" customHeight="1" x14ac:dyDescent="0.2">
      <c r="A2102" s="53" t="s">
        <v>27</v>
      </c>
      <c r="B2102" s="53" t="s">
        <v>39</v>
      </c>
      <c r="C2102" s="53" t="s">
        <v>37</v>
      </c>
      <c r="D2102" s="53" t="s">
        <v>40</v>
      </c>
      <c r="E2102" s="53" t="s">
        <v>25</v>
      </c>
      <c r="F2102" s="53" t="s">
        <v>25</v>
      </c>
      <c r="G2102" s="53" t="s">
        <v>25</v>
      </c>
      <c r="H2102" s="53" t="s">
        <v>35</v>
      </c>
      <c r="I2102" s="73">
        <v>43891</v>
      </c>
      <c r="J2102" s="74">
        <f>EFEITO!$J$2102*EFEITO!$Y$2102</f>
        <v>0</v>
      </c>
      <c r="K2102" s="74">
        <f ca="1">EFEITO!$L$2102*EFEITO!$Z$2102</f>
        <v>301.6563104838346</v>
      </c>
      <c r="L2102" s="74">
        <f>EFEITO!$N$2102*EFEITO!$AA$2102</f>
        <v>181.08344889513771</v>
      </c>
      <c r="M2102" s="74">
        <f>$J$2102-EFEITO!$K$2102*EFEITO!$Y$2102</f>
        <v>0</v>
      </c>
      <c r="N2102" s="74">
        <f ca="1">$K$2102-EFEITO!$M$2102*EFEITO!$Z$2102</f>
        <v>0</v>
      </c>
      <c r="O2102" s="74">
        <f>$L$2102-EFEITO!$O$2102*EFEITO!$AA$2102</f>
        <v>0</v>
      </c>
      <c r="P2102" s="57"/>
      <c r="Q2102" s="57"/>
      <c r="R2102" s="57"/>
      <c r="S2102" s="57"/>
      <c r="T2102" s="57"/>
      <c r="U2102" s="57"/>
      <c r="V2102" s="57"/>
      <c r="W2102" s="57"/>
      <c r="X2102" s="6"/>
      <c r="Y2102" s="6"/>
      <c r="Z2102" s="6"/>
      <c r="AA2102" s="6"/>
      <c r="AB2102" s="6"/>
      <c r="AC2102" s="6"/>
      <c r="AD2102" s="6"/>
      <c r="AE2102" s="6"/>
      <c r="AF2102" s="6"/>
      <c r="AG2102" s="6"/>
      <c r="AH2102" s="6"/>
      <c r="AI2102" s="6"/>
      <c r="AJ2102" s="6"/>
    </row>
    <row r="2103" spans="1:36" ht="11.25" customHeight="1" x14ac:dyDescent="0.2">
      <c r="A2103" s="53" t="s">
        <v>21</v>
      </c>
      <c r="B2103" s="53" t="s">
        <v>39</v>
      </c>
      <c r="C2103" s="53" t="s">
        <v>37</v>
      </c>
      <c r="D2103" s="53" t="s">
        <v>40</v>
      </c>
      <c r="E2103" s="53" t="s">
        <v>25</v>
      </c>
      <c r="F2103" s="53" t="s">
        <v>25</v>
      </c>
      <c r="G2103" s="53" t="s">
        <v>25</v>
      </c>
      <c r="H2103" s="53" t="s">
        <v>35</v>
      </c>
      <c r="I2103" s="73">
        <v>43922</v>
      </c>
      <c r="J2103" s="74">
        <f>EFEITO!$J$2103*EFEITO!$Y$2103</f>
        <v>0</v>
      </c>
      <c r="K2103" s="74">
        <f ca="1">EFEITO!$L$2103*EFEITO!$Z$2103</f>
        <v>806.71158550552445</v>
      </c>
      <c r="L2103" s="74">
        <f>EFEITO!$N$2103*EFEITO!$AA$2103</f>
        <v>484.26673366355288</v>
      </c>
      <c r="M2103" s="74">
        <f>$J$2103-EFEITO!$K$2103*EFEITO!$Y$2103</f>
        <v>0</v>
      </c>
      <c r="N2103" s="74">
        <f ca="1">$K$2103-EFEITO!$M$2103*EFEITO!$Z$2103</f>
        <v>0</v>
      </c>
      <c r="O2103" s="74">
        <f>$L$2103-EFEITO!$O$2103*EFEITO!$AA$2103</f>
        <v>0</v>
      </c>
      <c r="P2103" s="57"/>
      <c r="Q2103" s="57"/>
      <c r="R2103" s="57"/>
      <c r="S2103" s="57"/>
      <c r="T2103" s="57"/>
      <c r="U2103" s="57"/>
      <c r="V2103" s="57"/>
      <c r="W2103" s="57"/>
      <c r="X2103" s="6"/>
      <c r="Y2103" s="6"/>
      <c r="Z2103" s="6"/>
      <c r="AA2103" s="6"/>
      <c r="AB2103" s="6"/>
      <c r="AC2103" s="6"/>
      <c r="AD2103" s="6"/>
      <c r="AE2103" s="6"/>
      <c r="AF2103" s="6"/>
      <c r="AG2103" s="6"/>
      <c r="AH2103" s="6"/>
      <c r="AI2103" s="6"/>
      <c r="AJ2103" s="6"/>
    </row>
    <row r="2104" spans="1:36" ht="11.25" customHeight="1" x14ac:dyDescent="0.2">
      <c r="A2104" s="53" t="s">
        <v>21</v>
      </c>
      <c r="B2104" s="53" t="s">
        <v>39</v>
      </c>
      <c r="C2104" s="53" t="s">
        <v>37</v>
      </c>
      <c r="D2104" s="53" t="s">
        <v>40</v>
      </c>
      <c r="E2104" s="53" t="s">
        <v>25</v>
      </c>
      <c r="F2104" s="53" t="s">
        <v>25</v>
      </c>
      <c r="G2104" s="53" t="s">
        <v>25</v>
      </c>
      <c r="H2104" s="53" t="s">
        <v>35</v>
      </c>
      <c r="I2104" s="73">
        <v>43952</v>
      </c>
      <c r="J2104" s="74">
        <f>EFEITO!$J$2104*EFEITO!$Y$2104</f>
        <v>0</v>
      </c>
      <c r="K2104" s="74">
        <f ca="1">EFEITO!$L$2104*EFEITO!$Z$2104</f>
        <v>667.77444665197413</v>
      </c>
      <c r="L2104" s="74">
        <f>EFEITO!$N$2104*EFEITO!$AA$2104</f>
        <v>400.86315346703719</v>
      </c>
      <c r="M2104" s="74">
        <f>$J$2104-EFEITO!$K$2104*EFEITO!$Y$2104</f>
        <v>0</v>
      </c>
      <c r="N2104" s="74">
        <f ca="1">$K$2104-EFEITO!$M$2104*EFEITO!$Z$2104</f>
        <v>0</v>
      </c>
      <c r="O2104" s="74">
        <f>$L$2104-EFEITO!$O$2104*EFEITO!$AA$2104</f>
        <v>0</v>
      </c>
      <c r="P2104" s="57"/>
      <c r="Q2104" s="57"/>
      <c r="R2104" s="57"/>
      <c r="S2104" s="57"/>
      <c r="T2104" s="57"/>
      <c r="U2104" s="57"/>
      <c r="V2104" s="57"/>
      <c r="W2104" s="57"/>
      <c r="X2104" s="6"/>
      <c r="Y2104" s="6"/>
      <c r="Z2104" s="6"/>
      <c r="AA2104" s="6"/>
      <c r="AB2104" s="6"/>
      <c r="AC2104" s="6"/>
      <c r="AD2104" s="6"/>
      <c r="AE2104" s="6"/>
      <c r="AF2104" s="6"/>
      <c r="AG2104" s="6"/>
      <c r="AH2104" s="6"/>
      <c r="AI2104" s="6"/>
      <c r="AJ2104" s="6"/>
    </row>
    <row r="2105" spans="1:36" ht="11.25" customHeight="1" x14ac:dyDescent="0.2">
      <c r="A2105" s="53" t="s">
        <v>21</v>
      </c>
      <c r="B2105" s="53" t="s">
        <v>39</v>
      </c>
      <c r="C2105" s="53" t="s">
        <v>37</v>
      </c>
      <c r="D2105" s="53" t="s">
        <v>40</v>
      </c>
      <c r="E2105" s="53" t="s">
        <v>25</v>
      </c>
      <c r="F2105" s="53" t="s">
        <v>25</v>
      </c>
      <c r="G2105" s="53" t="s">
        <v>25</v>
      </c>
      <c r="H2105" s="53" t="s">
        <v>35</v>
      </c>
      <c r="I2105" s="73">
        <v>43983</v>
      </c>
      <c r="J2105" s="74">
        <f>EFEITO!$J$2105*EFEITO!$Y$2105</f>
        <v>0</v>
      </c>
      <c r="K2105" s="74">
        <f ca="1">EFEITO!$L$2105*EFEITO!$Z$2105</f>
        <v>659.63848807045997</v>
      </c>
      <c r="L2105" s="74">
        <f>EFEITO!$N$2105*EFEITO!$AA$2105</f>
        <v>395.97916003210611</v>
      </c>
      <c r="M2105" s="74">
        <f>$J$2105-EFEITO!$K$2105*EFEITO!$Y$2105</f>
        <v>0</v>
      </c>
      <c r="N2105" s="74">
        <f ca="1">$K$2105-EFEITO!$M$2105*EFEITO!$Z$2105</f>
        <v>0</v>
      </c>
      <c r="O2105" s="74">
        <f>$L$2105-EFEITO!$O$2105*EFEITO!$AA$2105</f>
        <v>0</v>
      </c>
      <c r="P2105" s="57"/>
      <c r="Q2105" s="57"/>
      <c r="R2105" s="57"/>
      <c r="S2105" s="57"/>
      <c r="T2105" s="57"/>
      <c r="U2105" s="57"/>
      <c r="V2105" s="57"/>
      <c r="W2105" s="57"/>
      <c r="X2105" s="6"/>
      <c r="Y2105" s="6"/>
      <c r="Z2105" s="6"/>
      <c r="AA2105" s="6"/>
      <c r="AB2105" s="6"/>
      <c r="AC2105" s="6"/>
      <c r="AD2105" s="6"/>
      <c r="AE2105" s="6"/>
      <c r="AF2105" s="6"/>
      <c r="AG2105" s="6"/>
      <c r="AH2105" s="6"/>
      <c r="AI2105" s="6"/>
      <c r="AJ2105" s="6"/>
    </row>
    <row r="2106" spans="1:36" ht="11.25" customHeight="1" x14ac:dyDescent="0.2">
      <c r="A2106" s="53" t="s">
        <v>21</v>
      </c>
      <c r="B2106" s="53" t="s">
        <v>39</v>
      </c>
      <c r="C2106" s="53" t="s">
        <v>37</v>
      </c>
      <c r="D2106" s="53" t="s">
        <v>40</v>
      </c>
      <c r="E2106" s="53" t="s">
        <v>25</v>
      </c>
      <c r="F2106" s="53" t="s">
        <v>25</v>
      </c>
      <c r="G2106" s="53" t="s">
        <v>25</v>
      </c>
      <c r="H2106" s="53" t="s">
        <v>35</v>
      </c>
      <c r="I2106" s="73">
        <v>44013</v>
      </c>
      <c r="J2106" s="74">
        <f>EFEITO!$J$2106*EFEITO!$Y$2106</f>
        <v>0</v>
      </c>
      <c r="K2106" s="74">
        <f ca="1">EFEITO!$L$2106*EFEITO!$Z$2106</f>
        <v>710.33176846297158</v>
      </c>
      <c r="L2106" s="74">
        <f>EFEITO!$N$2106*EFEITO!$AA$2106</f>
        <v>426.41019604975372</v>
      </c>
      <c r="M2106" s="74">
        <f>$J$2106-EFEITO!$K$2106*EFEITO!$Y$2106</f>
        <v>0</v>
      </c>
      <c r="N2106" s="74">
        <f ca="1">$K$2106-EFEITO!$M$2106*EFEITO!$Z$2106</f>
        <v>0</v>
      </c>
      <c r="O2106" s="74">
        <f>$L$2106-EFEITO!$O$2106*EFEITO!$AA$2106</f>
        <v>0</v>
      </c>
      <c r="P2106" s="57"/>
      <c r="Q2106" s="57"/>
      <c r="R2106" s="57"/>
      <c r="S2106" s="57"/>
      <c r="T2106" s="57"/>
      <c r="U2106" s="57"/>
      <c r="V2106" s="57"/>
      <c r="W2106" s="57"/>
      <c r="X2106" s="6"/>
      <c r="Y2106" s="6"/>
      <c r="Z2106" s="6"/>
      <c r="AA2106" s="6"/>
      <c r="AB2106" s="6"/>
      <c r="AC2106" s="6"/>
      <c r="AD2106" s="6"/>
      <c r="AE2106" s="6"/>
      <c r="AF2106" s="6"/>
      <c r="AG2106" s="6"/>
      <c r="AH2106" s="6"/>
      <c r="AI2106" s="6"/>
      <c r="AJ2106" s="6"/>
    </row>
    <row r="2107" spans="1:36" ht="11.25" customHeight="1" x14ac:dyDescent="0.2">
      <c r="A2107" s="53" t="s">
        <v>21</v>
      </c>
      <c r="B2107" s="53" t="s">
        <v>39</v>
      </c>
      <c r="C2107" s="53" t="s">
        <v>37</v>
      </c>
      <c r="D2107" s="53" t="s">
        <v>40</v>
      </c>
      <c r="E2107" s="53" t="s">
        <v>25</v>
      </c>
      <c r="F2107" s="53" t="s">
        <v>25</v>
      </c>
      <c r="G2107" s="53" t="s">
        <v>25</v>
      </c>
      <c r="H2107" s="53" t="s">
        <v>35</v>
      </c>
      <c r="I2107" s="73">
        <v>44044</v>
      </c>
      <c r="J2107" s="74">
        <f>EFEITO!$J$2107*EFEITO!$Y$2107</f>
        <v>0</v>
      </c>
      <c r="K2107" s="74">
        <f ca="1">EFEITO!$L$2107*EFEITO!$Z$2107</f>
        <v>807.33742847333326</v>
      </c>
      <c r="L2107" s="74">
        <f>EFEITO!$N$2107*EFEITO!$AA$2107</f>
        <v>484.6424254662399</v>
      </c>
      <c r="M2107" s="74">
        <f>$J$2107-EFEITO!$K$2107*EFEITO!$Y$2107</f>
        <v>0</v>
      </c>
      <c r="N2107" s="74">
        <f ca="1">$K$2107-EFEITO!$M$2107*EFEITO!$Z$2107</f>
        <v>0</v>
      </c>
      <c r="O2107" s="74">
        <f>$L$2107-EFEITO!$O$2107*EFEITO!$AA$2107</f>
        <v>0</v>
      </c>
      <c r="P2107" s="57"/>
      <c r="Q2107" s="57"/>
      <c r="R2107" s="57"/>
      <c r="S2107" s="57"/>
      <c r="T2107" s="57"/>
      <c r="U2107" s="57"/>
      <c r="V2107" s="57"/>
      <c r="W2107" s="57"/>
      <c r="X2107" s="6"/>
      <c r="Y2107" s="6"/>
      <c r="Z2107" s="6"/>
      <c r="AA2107" s="6"/>
      <c r="AB2107" s="6"/>
      <c r="AC2107" s="6"/>
      <c r="AD2107" s="6"/>
      <c r="AE2107" s="6"/>
      <c r="AF2107" s="6"/>
      <c r="AG2107" s="6"/>
      <c r="AH2107" s="6"/>
      <c r="AI2107" s="6"/>
      <c r="AJ2107" s="6"/>
    </row>
    <row r="2108" spans="1:36" ht="11.25" customHeight="1" x14ac:dyDescent="0.2">
      <c r="A2108" s="53" t="s">
        <v>59</v>
      </c>
      <c r="B2108" s="53" t="s">
        <v>39</v>
      </c>
      <c r="C2108" s="53" t="s">
        <v>37</v>
      </c>
      <c r="D2108" s="53" t="s">
        <v>40</v>
      </c>
      <c r="E2108" s="53" t="s">
        <v>25</v>
      </c>
      <c r="F2108" s="53" t="s">
        <v>25</v>
      </c>
      <c r="G2108" s="53" t="s">
        <v>25</v>
      </c>
      <c r="H2108" s="53" t="s">
        <v>35</v>
      </c>
      <c r="I2108" s="73">
        <v>44075</v>
      </c>
      <c r="J2108" s="74">
        <f>EFEITO!$J$2108*EFEITO!$Y$2108</f>
        <v>0</v>
      </c>
      <c r="K2108" s="74">
        <f ca="1">EFEITO!$L$2108*EFEITO!$Z$2108</f>
        <v>807.33742847333326</v>
      </c>
      <c r="L2108" s="74">
        <f>EFEITO!$N$2108*EFEITO!$AA$2108</f>
        <v>484.6424254662399</v>
      </c>
      <c r="M2108" s="74">
        <f>$J$2108-EFEITO!$K$2108*EFEITO!$Y$2108</f>
        <v>0</v>
      </c>
      <c r="N2108" s="74">
        <f ca="1">$K$2108-EFEITO!$M$2108*EFEITO!$Z$2108</f>
        <v>0</v>
      </c>
      <c r="O2108" s="74">
        <f>$L$2108-EFEITO!$O$2108*EFEITO!$AA$2108</f>
        <v>0</v>
      </c>
      <c r="P2108" s="57"/>
      <c r="Q2108" s="57"/>
      <c r="R2108" s="57"/>
      <c r="S2108" s="57"/>
      <c r="T2108" s="57"/>
      <c r="U2108" s="57"/>
      <c r="V2108" s="57"/>
      <c r="W2108" s="57"/>
      <c r="X2108" s="6"/>
      <c r="Y2108" s="6"/>
      <c r="Z2108" s="6"/>
      <c r="AA2108" s="6"/>
      <c r="AB2108" s="6"/>
      <c r="AC2108" s="6"/>
      <c r="AD2108" s="6"/>
      <c r="AE2108" s="6"/>
      <c r="AF2108" s="6"/>
      <c r="AG2108" s="6"/>
      <c r="AH2108" s="6"/>
      <c r="AI2108" s="6"/>
      <c r="AJ2108" s="6"/>
    </row>
    <row r="2109" spans="1:36" ht="11.25" customHeight="1" x14ac:dyDescent="0.2">
      <c r="A2109" s="53" t="s">
        <v>21</v>
      </c>
      <c r="B2109" s="53" t="s">
        <v>39</v>
      </c>
      <c r="C2109" s="53" t="s">
        <v>37</v>
      </c>
      <c r="D2109" s="53" t="s">
        <v>48</v>
      </c>
      <c r="E2109" s="53" t="s">
        <v>25</v>
      </c>
      <c r="F2109" s="53" t="s">
        <v>25</v>
      </c>
      <c r="G2109" s="53" t="s">
        <v>25</v>
      </c>
      <c r="H2109" s="53" t="s">
        <v>36</v>
      </c>
      <c r="I2109" s="73">
        <v>43922</v>
      </c>
      <c r="J2109" s="74">
        <f>EFEITO!$J$2109*EFEITO!$Y$2109</f>
        <v>0</v>
      </c>
      <c r="K2109" s="74">
        <f ca="1">EFEITO!$L$2109*EFEITO!$Z$2109</f>
        <v>375.06000526374493</v>
      </c>
      <c r="L2109" s="74">
        <f>EFEITO!$N$2109*EFEITO!$AA$2109</f>
        <v>404.65236909456979</v>
      </c>
      <c r="M2109" s="74">
        <f>$J$2109-EFEITO!$K$2109*EFEITO!$Y$2109</f>
        <v>0</v>
      </c>
      <c r="N2109" s="74">
        <f ca="1">$K$2109-EFEITO!$M$2109*EFEITO!$Z$2109</f>
        <v>0</v>
      </c>
      <c r="O2109" s="74">
        <f>$L$2109-EFEITO!$O$2109*EFEITO!$AA$2109</f>
        <v>0</v>
      </c>
      <c r="P2109" s="57"/>
      <c r="Q2109" s="57"/>
      <c r="R2109" s="57"/>
      <c r="S2109" s="57"/>
      <c r="T2109" s="57"/>
      <c r="U2109" s="57"/>
      <c r="V2109" s="57"/>
      <c r="W2109" s="57"/>
      <c r="X2109" s="6"/>
      <c r="Y2109" s="6"/>
      <c r="Z2109" s="6"/>
      <c r="AA2109" s="6"/>
      <c r="AB2109" s="6"/>
      <c r="AC2109" s="6"/>
      <c r="AD2109" s="6"/>
      <c r="AE2109" s="6"/>
      <c r="AF2109" s="6"/>
      <c r="AG2109" s="6"/>
      <c r="AH2109" s="6"/>
      <c r="AI2109" s="6"/>
      <c r="AJ2109" s="6"/>
    </row>
    <row r="2110" spans="1:36" ht="11.25" customHeight="1" x14ac:dyDescent="0.2">
      <c r="A2110" s="53" t="s">
        <v>21</v>
      </c>
      <c r="B2110" s="53" t="s">
        <v>39</v>
      </c>
      <c r="C2110" s="53" t="s">
        <v>37</v>
      </c>
      <c r="D2110" s="53" t="s">
        <v>48</v>
      </c>
      <c r="E2110" s="53" t="s">
        <v>25</v>
      </c>
      <c r="F2110" s="53" t="s">
        <v>25</v>
      </c>
      <c r="G2110" s="53" t="s">
        <v>25</v>
      </c>
      <c r="H2110" s="53" t="s">
        <v>36</v>
      </c>
      <c r="I2110" s="73">
        <v>43952</v>
      </c>
      <c r="J2110" s="74">
        <f>EFEITO!$J$2110*EFEITO!$Y$2110</f>
        <v>0</v>
      </c>
      <c r="K2110" s="74">
        <f ca="1">EFEITO!$L$2110*EFEITO!$Z$2110</f>
        <v>251.18108738142413</v>
      </c>
      <c r="L2110" s="74">
        <f>EFEITO!$N$2110*EFEITO!$AA$2110</f>
        <v>270.99936184656298</v>
      </c>
      <c r="M2110" s="74">
        <f>$J$2110-EFEITO!$K$2110*EFEITO!$Y$2110</f>
        <v>0</v>
      </c>
      <c r="N2110" s="74">
        <f ca="1">$K$2110-EFEITO!$M$2110*EFEITO!$Z$2110</f>
        <v>0</v>
      </c>
      <c r="O2110" s="74">
        <f>$L$2110-EFEITO!$O$2110*EFEITO!$AA$2110</f>
        <v>0</v>
      </c>
      <c r="P2110" s="57"/>
      <c r="Q2110" s="57"/>
      <c r="R2110" s="57"/>
      <c r="S2110" s="57"/>
      <c r="T2110" s="57"/>
      <c r="U2110" s="57"/>
      <c r="V2110" s="57"/>
      <c r="W2110" s="57"/>
      <c r="X2110" s="6"/>
      <c r="Y2110" s="6"/>
      <c r="Z2110" s="6"/>
      <c r="AA2110" s="6"/>
      <c r="AB2110" s="6"/>
      <c r="AC2110" s="6"/>
      <c r="AD2110" s="6"/>
      <c r="AE2110" s="6"/>
      <c r="AF2110" s="6"/>
      <c r="AG2110" s="6"/>
      <c r="AH2110" s="6"/>
      <c r="AI2110" s="6"/>
      <c r="AJ2110" s="6"/>
    </row>
    <row r="2111" spans="1:36" ht="11.25" customHeight="1" x14ac:dyDescent="0.2">
      <c r="A2111" s="53" t="s">
        <v>21</v>
      </c>
      <c r="B2111" s="53" t="s">
        <v>39</v>
      </c>
      <c r="C2111" s="53" t="s">
        <v>37</v>
      </c>
      <c r="D2111" s="53" t="s">
        <v>48</v>
      </c>
      <c r="E2111" s="53" t="s">
        <v>25</v>
      </c>
      <c r="F2111" s="53" t="s">
        <v>25</v>
      </c>
      <c r="G2111" s="53" t="s">
        <v>25</v>
      </c>
      <c r="H2111" s="53" t="s">
        <v>36</v>
      </c>
      <c r="I2111" s="73">
        <v>43983</v>
      </c>
      <c r="J2111" s="74">
        <f>EFEITO!$J$2111*EFEITO!$Y$2111</f>
        <v>0</v>
      </c>
      <c r="K2111" s="74">
        <f ca="1">EFEITO!$L$2111*EFEITO!$Z$2111</f>
        <v>276.21361482914699</v>
      </c>
      <c r="L2111" s="74">
        <f>EFEITO!$N$2111*EFEITO!$AA$2111</f>
        <v>298.00696434745555</v>
      </c>
      <c r="M2111" s="74">
        <f>$J$2111-EFEITO!$K$2111*EFEITO!$Y$2111</f>
        <v>0</v>
      </c>
      <c r="N2111" s="74">
        <f ca="1">$K$2111-EFEITO!$M$2111*EFEITO!$Z$2111</f>
        <v>0</v>
      </c>
      <c r="O2111" s="74">
        <f>$L$2111-EFEITO!$O$2111*EFEITO!$AA$2111</f>
        <v>0</v>
      </c>
      <c r="P2111" s="57"/>
      <c r="Q2111" s="57"/>
      <c r="R2111" s="57"/>
      <c r="S2111" s="57"/>
      <c r="T2111" s="57"/>
      <c r="U2111" s="57"/>
      <c r="V2111" s="57"/>
      <c r="W2111" s="57"/>
      <c r="X2111" s="6"/>
      <c r="Y2111" s="6"/>
      <c r="Z2111" s="6"/>
      <c r="AA2111" s="6"/>
      <c r="AB2111" s="6"/>
      <c r="AC2111" s="6"/>
      <c r="AD2111" s="6"/>
      <c r="AE2111" s="6"/>
      <c r="AF2111" s="6"/>
      <c r="AG2111" s="6"/>
      <c r="AH2111" s="6"/>
      <c r="AI2111" s="6"/>
      <c r="AJ2111" s="6"/>
    </row>
    <row r="2112" spans="1:36" ht="11.25" customHeight="1" x14ac:dyDescent="0.2">
      <c r="A2112" s="53" t="s">
        <v>21</v>
      </c>
      <c r="B2112" s="53" t="s">
        <v>39</v>
      </c>
      <c r="C2112" s="53" t="s">
        <v>37</v>
      </c>
      <c r="D2112" s="53" t="s">
        <v>48</v>
      </c>
      <c r="E2112" s="53" t="s">
        <v>25</v>
      </c>
      <c r="F2112" s="53" t="s">
        <v>25</v>
      </c>
      <c r="G2112" s="53" t="s">
        <v>25</v>
      </c>
      <c r="H2112" s="53" t="s">
        <v>36</v>
      </c>
      <c r="I2112" s="73">
        <v>44013</v>
      </c>
      <c r="J2112" s="74">
        <f>EFEITO!$J$2112*EFEITO!$Y$2112</f>
        <v>0</v>
      </c>
      <c r="K2112" s="74">
        <f ca="1">EFEITO!$L$2112*EFEITO!$Z$2112</f>
        <v>307.8786922843862</v>
      </c>
      <c r="L2112" s="74">
        <f>EFEITO!$N$2112*EFEITO!$AA$2112</f>
        <v>332.17042734003763</v>
      </c>
      <c r="M2112" s="74">
        <f>$J$2112-EFEITO!$K$2112*EFEITO!$Y$2112</f>
        <v>0</v>
      </c>
      <c r="N2112" s="74">
        <f ca="1">$K$2112-EFEITO!$M$2112*EFEITO!$Z$2112</f>
        <v>0</v>
      </c>
      <c r="O2112" s="74">
        <f>$L$2112-EFEITO!$O$2112*EFEITO!$AA$2112</f>
        <v>0</v>
      </c>
      <c r="P2112" s="57"/>
      <c r="Q2112" s="57"/>
      <c r="R2112" s="57"/>
      <c r="S2112" s="57"/>
      <c r="T2112" s="57"/>
      <c r="U2112" s="57"/>
      <c r="V2112" s="57"/>
      <c r="W2112" s="57"/>
      <c r="X2112" s="6"/>
      <c r="Y2112" s="6"/>
      <c r="Z2112" s="6"/>
      <c r="AA2112" s="6"/>
      <c r="AB2112" s="6"/>
      <c r="AC2112" s="6"/>
      <c r="AD2112" s="6"/>
      <c r="AE2112" s="6"/>
      <c r="AF2112" s="6"/>
      <c r="AG2112" s="6"/>
      <c r="AH2112" s="6"/>
      <c r="AI2112" s="6"/>
      <c r="AJ2112" s="6"/>
    </row>
    <row r="2113" spans="1:36" ht="11.25" customHeight="1" x14ac:dyDescent="0.2">
      <c r="A2113" s="53" t="s">
        <v>21</v>
      </c>
      <c r="B2113" s="53" t="s">
        <v>39</v>
      </c>
      <c r="C2113" s="53" t="s">
        <v>37</v>
      </c>
      <c r="D2113" s="53" t="s">
        <v>48</v>
      </c>
      <c r="E2113" s="53" t="s">
        <v>25</v>
      </c>
      <c r="F2113" s="53" t="s">
        <v>25</v>
      </c>
      <c r="G2113" s="53" t="s">
        <v>25</v>
      </c>
      <c r="H2113" s="53" t="s">
        <v>36</v>
      </c>
      <c r="I2113" s="73">
        <v>44044</v>
      </c>
      <c r="J2113" s="74">
        <f>EFEITO!$J$2113*EFEITO!$Y$2113</f>
        <v>0</v>
      </c>
      <c r="K2113" s="74">
        <f ca="1">EFEITO!$L$2113*EFEITO!$Z$2113</f>
        <v>358.58560685797858</v>
      </c>
      <c r="L2113" s="74">
        <f>EFEITO!$N$2113*EFEITO!$AA$2113</f>
        <v>386.87813497005078</v>
      </c>
      <c r="M2113" s="74">
        <f>$J$2113-EFEITO!$K$2113*EFEITO!$Y$2113</f>
        <v>0</v>
      </c>
      <c r="N2113" s="74">
        <f ca="1">$K$2113-EFEITO!$M$2113*EFEITO!$Z$2113</f>
        <v>0</v>
      </c>
      <c r="O2113" s="74">
        <f>$L$2113-EFEITO!$O$2113*EFEITO!$AA$2113</f>
        <v>0</v>
      </c>
      <c r="P2113" s="57"/>
      <c r="Q2113" s="57"/>
      <c r="R2113" s="57"/>
      <c r="S2113" s="57"/>
      <c r="T2113" s="57"/>
      <c r="U2113" s="57"/>
      <c r="V2113" s="57"/>
      <c r="W2113" s="57"/>
      <c r="X2113" s="6"/>
      <c r="Y2113" s="6"/>
      <c r="Z2113" s="6"/>
      <c r="AA2113" s="6"/>
      <c r="AB2113" s="6"/>
      <c r="AC2113" s="6"/>
      <c r="AD2113" s="6"/>
      <c r="AE2113" s="6"/>
      <c r="AF2113" s="6"/>
      <c r="AG2113" s="6"/>
      <c r="AH2113" s="6"/>
      <c r="AI2113" s="6"/>
      <c r="AJ2113" s="6"/>
    </row>
    <row r="2114" spans="1:36" ht="11.25" customHeight="1" x14ac:dyDescent="0.2">
      <c r="A2114" s="53" t="s">
        <v>59</v>
      </c>
      <c r="B2114" s="53" t="s">
        <v>39</v>
      </c>
      <c r="C2114" s="53" t="s">
        <v>37</v>
      </c>
      <c r="D2114" s="53" t="s">
        <v>48</v>
      </c>
      <c r="E2114" s="53" t="s">
        <v>25</v>
      </c>
      <c r="F2114" s="53" t="s">
        <v>25</v>
      </c>
      <c r="G2114" s="53" t="s">
        <v>25</v>
      </c>
      <c r="H2114" s="53" t="s">
        <v>36</v>
      </c>
      <c r="I2114" s="73">
        <v>44075</v>
      </c>
      <c r="J2114" s="74">
        <f>EFEITO!$J$2114*EFEITO!$Y$2114</f>
        <v>0</v>
      </c>
      <c r="K2114" s="74">
        <f ca="1">EFEITO!$L$2114*EFEITO!$Z$2114</f>
        <v>358.58560685797858</v>
      </c>
      <c r="L2114" s="74">
        <f>EFEITO!$N$2114*EFEITO!$AA$2114</f>
        <v>386.87813497005078</v>
      </c>
      <c r="M2114" s="74">
        <f>$J$2114-EFEITO!$K$2114*EFEITO!$Y$2114</f>
        <v>0</v>
      </c>
      <c r="N2114" s="74">
        <f ca="1">$K$2114-EFEITO!$M$2114*EFEITO!$Z$2114</f>
        <v>0</v>
      </c>
      <c r="O2114" s="74">
        <f>$L$2114-EFEITO!$O$2114*EFEITO!$AA$2114</f>
        <v>0</v>
      </c>
      <c r="P2114" s="57"/>
      <c r="Q2114" s="57"/>
      <c r="R2114" s="57"/>
      <c r="S2114" s="57"/>
      <c r="T2114" s="57"/>
      <c r="U2114" s="57"/>
      <c r="V2114" s="57"/>
      <c r="W2114" s="57"/>
      <c r="X2114" s="6"/>
      <c r="Y2114" s="6"/>
      <c r="Z2114" s="6"/>
      <c r="AA2114" s="6"/>
      <c r="AB2114" s="6"/>
      <c r="AC2114" s="6"/>
      <c r="AD2114" s="6"/>
      <c r="AE2114" s="6"/>
      <c r="AF2114" s="6"/>
      <c r="AG2114" s="6"/>
      <c r="AH2114" s="6"/>
      <c r="AI2114" s="6"/>
      <c r="AJ2114" s="6"/>
    </row>
    <row r="2115" spans="1:36" ht="11.25" customHeight="1" x14ac:dyDescent="0.2">
      <c r="A2115" s="53" t="s">
        <v>21</v>
      </c>
      <c r="B2115" s="53" t="s">
        <v>39</v>
      </c>
      <c r="C2115" s="53" t="s">
        <v>37</v>
      </c>
      <c r="D2115" s="53" t="s">
        <v>48</v>
      </c>
      <c r="E2115" s="53" t="s">
        <v>25</v>
      </c>
      <c r="F2115" s="53" t="s">
        <v>25</v>
      </c>
      <c r="G2115" s="53" t="s">
        <v>25</v>
      </c>
      <c r="H2115" s="53" t="s">
        <v>38</v>
      </c>
      <c r="I2115" s="73">
        <v>43922</v>
      </c>
      <c r="J2115" s="74">
        <f>EFEITO!$J$2115*EFEITO!$Y$2115</f>
        <v>0</v>
      </c>
      <c r="K2115" s="74">
        <f ca="1">EFEITO!$L$2115*EFEITO!$Z$2115</f>
        <v>34.011699583010376</v>
      </c>
      <c r="L2115" s="74">
        <f>EFEITO!$N$2115*EFEITO!$AA$2115</f>
        <v>18.697570962156391</v>
      </c>
      <c r="M2115" s="74">
        <f>$J$2115-EFEITO!$K$2115*EFEITO!$Y$2115</f>
        <v>0</v>
      </c>
      <c r="N2115" s="74">
        <f ca="1">$K$2115-EFEITO!$M$2115*EFEITO!$Z$2115</f>
        <v>0</v>
      </c>
      <c r="O2115" s="74">
        <f>$L$2115-EFEITO!$O$2115*EFEITO!$AA$2115</f>
        <v>0</v>
      </c>
      <c r="P2115" s="57"/>
      <c r="Q2115" s="57"/>
      <c r="R2115" s="57"/>
      <c r="S2115" s="57"/>
      <c r="T2115" s="57"/>
      <c r="U2115" s="57"/>
      <c r="V2115" s="57"/>
      <c r="W2115" s="57"/>
      <c r="X2115" s="6"/>
      <c r="Y2115" s="6"/>
      <c r="Z2115" s="6"/>
      <c r="AA2115" s="6"/>
      <c r="AB2115" s="6"/>
      <c r="AC2115" s="6"/>
      <c r="AD2115" s="6"/>
      <c r="AE2115" s="6"/>
      <c r="AF2115" s="6"/>
      <c r="AG2115" s="6"/>
      <c r="AH2115" s="6"/>
      <c r="AI2115" s="6"/>
      <c r="AJ2115" s="6"/>
    </row>
    <row r="2116" spans="1:36" ht="11.25" customHeight="1" x14ac:dyDescent="0.2">
      <c r="A2116" s="53" t="s">
        <v>21</v>
      </c>
      <c r="B2116" s="53" t="s">
        <v>39</v>
      </c>
      <c r="C2116" s="53" t="s">
        <v>37</v>
      </c>
      <c r="D2116" s="53" t="s">
        <v>48</v>
      </c>
      <c r="E2116" s="53" t="s">
        <v>25</v>
      </c>
      <c r="F2116" s="53" t="s">
        <v>25</v>
      </c>
      <c r="G2116" s="53" t="s">
        <v>25</v>
      </c>
      <c r="H2116" s="53" t="s">
        <v>38</v>
      </c>
      <c r="I2116" s="73">
        <v>43952</v>
      </c>
      <c r="J2116" s="74">
        <f>EFEITO!$J$2116*EFEITO!$Y$2116</f>
        <v>0</v>
      </c>
      <c r="K2116" s="74">
        <f ca="1">EFEITO!$L$2116*EFEITO!$Z$2116</f>
        <v>36.531084737307438</v>
      </c>
      <c r="L2116" s="74">
        <f>EFEITO!$N$2116*EFEITO!$AA$2116</f>
        <v>20.08257621861242</v>
      </c>
      <c r="M2116" s="74">
        <f>$J$2116-EFEITO!$K$2116*EFEITO!$Y$2116</f>
        <v>0</v>
      </c>
      <c r="N2116" s="74">
        <f ca="1">$K$2116-EFEITO!$M$2116*EFEITO!$Z$2116</f>
        <v>0</v>
      </c>
      <c r="O2116" s="74">
        <f>$L$2116-EFEITO!$O$2116*EFEITO!$AA$2116</f>
        <v>0</v>
      </c>
      <c r="P2116" s="57"/>
      <c r="Q2116" s="57"/>
      <c r="R2116" s="57"/>
      <c r="S2116" s="57"/>
      <c r="T2116" s="57"/>
      <c r="U2116" s="57"/>
      <c r="V2116" s="57"/>
      <c r="W2116" s="57"/>
      <c r="X2116" s="6"/>
      <c r="Y2116" s="6"/>
      <c r="Z2116" s="6"/>
      <c r="AA2116" s="6"/>
      <c r="AB2116" s="6"/>
      <c r="AC2116" s="6"/>
      <c r="AD2116" s="6"/>
      <c r="AE2116" s="6"/>
      <c r="AF2116" s="6"/>
      <c r="AG2116" s="6"/>
      <c r="AH2116" s="6"/>
      <c r="AI2116" s="6"/>
      <c r="AJ2116" s="6"/>
    </row>
    <row r="2117" spans="1:36" ht="11.25" customHeight="1" x14ac:dyDescent="0.2">
      <c r="A2117" s="53" t="s">
        <v>21</v>
      </c>
      <c r="B2117" s="53" t="s">
        <v>39</v>
      </c>
      <c r="C2117" s="53" t="s">
        <v>37</v>
      </c>
      <c r="D2117" s="53" t="s">
        <v>48</v>
      </c>
      <c r="E2117" s="53" t="s">
        <v>25</v>
      </c>
      <c r="F2117" s="53" t="s">
        <v>25</v>
      </c>
      <c r="G2117" s="53" t="s">
        <v>25</v>
      </c>
      <c r="H2117" s="53" t="s">
        <v>38</v>
      </c>
      <c r="I2117" s="73">
        <v>43983</v>
      </c>
      <c r="J2117" s="74">
        <f>EFEITO!$J$2117*EFEITO!$Y$2117</f>
        <v>0</v>
      </c>
      <c r="K2117" s="74">
        <f ca="1">EFEITO!$L$2117*EFEITO!$Z$2117</f>
        <v>50.387703085941297</v>
      </c>
      <c r="L2117" s="74">
        <f>EFEITO!$N$2117*EFEITO!$AA$2117</f>
        <v>27.70010512912058</v>
      </c>
      <c r="M2117" s="74">
        <f>$J$2117-EFEITO!$K$2117*EFEITO!$Y$2117</f>
        <v>0</v>
      </c>
      <c r="N2117" s="74">
        <f ca="1">$K$2117-EFEITO!$M$2117*EFEITO!$Z$2117</f>
        <v>0</v>
      </c>
      <c r="O2117" s="74">
        <f>$L$2117-EFEITO!$O$2117*EFEITO!$AA$2117</f>
        <v>0</v>
      </c>
      <c r="P2117" s="57"/>
      <c r="Q2117" s="57"/>
      <c r="R2117" s="57"/>
      <c r="S2117" s="57"/>
      <c r="T2117" s="57"/>
      <c r="U2117" s="57"/>
      <c r="V2117" s="57"/>
      <c r="W2117" s="57"/>
      <c r="X2117" s="6"/>
      <c r="Y2117" s="6"/>
      <c r="Z2117" s="6"/>
      <c r="AA2117" s="6"/>
      <c r="AB2117" s="6"/>
      <c r="AC2117" s="6"/>
      <c r="AD2117" s="6"/>
      <c r="AE2117" s="6"/>
      <c r="AF2117" s="6"/>
      <c r="AG2117" s="6"/>
      <c r="AH2117" s="6"/>
      <c r="AI2117" s="6"/>
      <c r="AJ2117" s="6"/>
    </row>
    <row r="2118" spans="1:36" ht="11.25" customHeight="1" x14ac:dyDescent="0.2">
      <c r="A2118" s="53" t="s">
        <v>21</v>
      </c>
      <c r="B2118" s="53" t="s">
        <v>39</v>
      </c>
      <c r="C2118" s="53" t="s">
        <v>37</v>
      </c>
      <c r="D2118" s="53" t="s">
        <v>48</v>
      </c>
      <c r="E2118" s="53" t="s">
        <v>25</v>
      </c>
      <c r="F2118" s="53" t="s">
        <v>25</v>
      </c>
      <c r="G2118" s="53" t="s">
        <v>25</v>
      </c>
      <c r="H2118" s="53" t="s">
        <v>38</v>
      </c>
      <c r="I2118" s="73">
        <v>44013</v>
      </c>
      <c r="J2118" s="74">
        <f>EFEITO!$J$2118*EFEITO!$Y$2118</f>
        <v>0</v>
      </c>
      <c r="K2118" s="74">
        <f ca="1">EFEITO!$L$2118*EFEITO!$Z$2118</f>
        <v>52.067293188806005</v>
      </c>
      <c r="L2118" s="74">
        <f>EFEITO!$N$2118*EFEITO!$AA$2118</f>
        <v>28.623441966757934</v>
      </c>
      <c r="M2118" s="74">
        <f>$J$2118-EFEITO!$K$2118*EFEITO!$Y$2118</f>
        <v>0</v>
      </c>
      <c r="N2118" s="74">
        <f ca="1">$K$2118-EFEITO!$M$2118*EFEITO!$Z$2118</f>
        <v>0</v>
      </c>
      <c r="O2118" s="74">
        <f>$L$2118-EFEITO!$O$2118*EFEITO!$AA$2118</f>
        <v>0</v>
      </c>
      <c r="P2118" s="57"/>
      <c r="Q2118" s="57"/>
      <c r="R2118" s="57"/>
      <c r="S2118" s="57"/>
      <c r="T2118" s="57"/>
      <c r="U2118" s="57"/>
      <c r="V2118" s="57"/>
      <c r="W2118" s="57"/>
      <c r="X2118" s="6"/>
      <c r="Y2118" s="6"/>
      <c r="Z2118" s="6"/>
      <c r="AA2118" s="6"/>
      <c r="AB2118" s="6"/>
      <c r="AC2118" s="6"/>
      <c r="AD2118" s="6"/>
      <c r="AE2118" s="6"/>
      <c r="AF2118" s="6"/>
      <c r="AG2118" s="6"/>
      <c r="AH2118" s="6"/>
      <c r="AI2118" s="6"/>
      <c r="AJ2118" s="6"/>
    </row>
    <row r="2119" spans="1:36" ht="11.25" customHeight="1" x14ac:dyDescent="0.2">
      <c r="A2119" s="53" t="s">
        <v>21</v>
      </c>
      <c r="B2119" s="53" t="s">
        <v>39</v>
      </c>
      <c r="C2119" s="53" t="s">
        <v>37</v>
      </c>
      <c r="D2119" s="53" t="s">
        <v>48</v>
      </c>
      <c r="E2119" s="53" t="s">
        <v>25</v>
      </c>
      <c r="F2119" s="53" t="s">
        <v>25</v>
      </c>
      <c r="G2119" s="53" t="s">
        <v>25</v>
      </c>
      <c r="H2119" s="53" t="s">
        <v>38</v>
      </c>
      <c r="I2119" s="73">
        <v>44044</v>
      </c>
      <c r="J2119" s="74">
        <f>EFEITO!$J$2119*EFEITO!$Y$2119</f>
        <v>0</v>
      </c>
      <c r="K2119" s="74">
        <f ca="1">EFEITO!$L$2119*EFEITO!$Z$2119</f>
        <v>54.166780817386893</v>
      </c>
      <c r="L2119" s="74">
        <f>EFEITO!$N$2119*EFEITO!$AA$2119</f>
        <v>29.777613013804626</v>
      </c>
      <c r="M2119" s="74">
        <f>$J$2119-EFEITO!$K$2119*EFEITO!$Y$2119</f>
        <v>0</v>
      </c>
      <c r="N2119" s="74">
        <f ca="1">$K$2119-EFEITO!$M$2119*EFEITO!$Z$2119</f>
        <v>0</v>
      </c>
      <c r="O2119" s="74">
        <f>$L$2119-EFEITO!$O$2119*EFEITO!$AA$2119</f>
        <v>0</v>
      </c>
      <c r="P2119" s="57"/>
      <c r="Q2119" s="57"/>
      <c r="R2119" s="57"/>
      <c r="S2119" s="57"/>
      <c r="T2119" s="57"/>
      <c r="U2119" s="57"/>
      <c r="V2119" s="57"/>
      <c r="W2119" s="57"/>
      <c r="X2119" s="6"/>
      <c r="Y2119" s="6"/>
      <c r="Z2119" s="6"/>
      <c r="AA2119" s="6"/>
      <c r="AB2119" s="6"/>
      <c r="AC2119" s="6"/>
      <c r="AD2119" s="6"/>
      <c r="AE2119" s="6"/>
      <c r="AF2119" s="6"/>
      <c r="AG2119" s="6"/>
      <c r="AH2119" s="6"/>
      <c r="AI2119" s="6"/>
      <c r="AJ2119" s="6"/>
    </row>
    <row r="2120" spans="1:36" ht="11.25" customHeight="1" x14ac:dyDescent="0.2">
      <c r="A2120" s="53" t="s">
        <v>59</v>
      </c>
      <c r="B2120" s="53" t="s">
        <v>39</v>
      </c>
      <c r="C2120" s="53" t="s">
        <v>37</v>
      </c>
      <c r="D2120" s="53" t="s">
        <v>48</v>
      </c>
      <c r="E2120" s="53" t="s">
        <v>25</v>
      </c>
      <c r="F2120" s="53" t="s">
        <v>25</v>
      </c>
      <c r="G2120" s="53" t="s">
        <v>25</v>
      </c>
      <c r="H2120" s="53" t="s">
        <v>38</v>
      </c>
      <c r="I2120" s="73">
        <v>44075</v>
      </c>
      <c r="J2120" s="74">
        <f>EFEITO!$J$2120*EFEITO!$Y$2120</f>
        <v>0</v>
      </c>
      <c r="K2120" s="74">
        <f ca="1">EFEITO!$L$2120*EFEITO!$Z$2120</f>
        <v>54.166780817386893</v>
      </c>
      <c r="L2120" s="74">
        <f>EFEITO!$N$2120*EFEITO!$AA$2120</f>
        <v>29.777613013804626</v>
      </c>
      <c r="M2120" s="74">
        <f>$J$2120-EFEITO!$K$2120*EFEITO!$Y$2120</f>
        <v>0</v>
      </c>
      <c r="N2120" s="74">
        <f ca="1">$K$2120-EFEITO!$M$2120*EFEITO!$Z$2120</f>
        <v>0</v>
      </c>
      <c r="O2120" s="74">
        <f>$L$2120-EFEITO!$O$2120*EFEITO!$AA$2120</f>
        <v>0</v>
      </c>
      <c r="P2120" s="57"/>
      <c r="Q2120" s="57"/>
      <c r="R2120" s="57"/>
      <c r="S2120" s="57"/>
      <c r="T2120" s="57"/>
      <c r="U2120" s="57"/>
      <c r="V2120" s="57"/>
      <c r="W2120" s="57"/>
      <c r="X2120" s="6"/>
      <c r="Y2120" s="6"/>
      <c r="Z2120" s="6"/>
      <c r="AA2120" s="6"/>
      <c r="AB2120" s="6"/>
      <c r="AC2120" s="6"/>
      <c r="AD2120" s="6"/>
      <c r="AE2120" s="6"/>
      <c r="AF2120" s="6"/>
      <c r="AG2120" s="6"/>
      <c r="AH2120" s="6"/>
      <c r="AI2120" s="6"/>
      <c r="AJ2120" s="6"/>
    </row>
    <row r="2121" spans="1:36" ht="11.25" customHeight="1" x14ac:dyDescent="0.2">
      <c r="A2121" s="53" t="s">
        <v>21</v>
      </c>
      <c r="B2121" s="53" t="s">
        <v>39</v>
      </c>
      <c r="C2121" s="53" t="s">
        <v>37</v>
      </c>
      <c r="D2121" s="53" t="s">
        <v>48</v>
      </c>
      <c r="E2121" s="53" t="s">
        <v>25</v>
      </c>
      <c r="F2121" s="53" t="s">
        <v>25</v>
      </c>
      <c r="G2121" s="53" t="s">
        <v>25</v>
      </c>
      <c r="H2121" s="53" t="s">
        <v>35</v>
      </c>
      <c r="I2121" s="73">
        <v>43922</v>
      </c>
      <c r="J2121" s="74">
        <f>EFEITO!$J$2121*EFEITO!$Y$2121</f>
        <v>0</v>
      </c>
      <c r="K2121" s="74">
        <f ca="1">EFEITO!$L$2121*EFEITO!$Z$2121</f>
        <v>128.29780840080102</v>
      </c>
      <c r="L2121" s="74">
        <f>EFEITO!$N$2121*EFEITO!$AA$2121</f>
        <v>77.016819550836573</v>
      </c>
      <c r="M2121" s="74">
        <f>$J$2121-EFEITO!$K$2121*EFEITO!$Y$2121</f>
        <v>0</v>
      </c>
      <c r="N2121" s="74">
        <f ca="1">$K$2121-EFEITO!$M$2121*EFEITO!$Z$2121</f>
        <v>0</v>
      </c>
      <c r="O2121" s="74">
        <f>$L$2121-EFEITO!$O$2121*EFEITO!$AA$2121</f>
        <v>0</v>
      </c>
      <c r="P2121" s="57"/>
      <c r="Q2121" s="57"/>
      <c r="R2121" s="57"/>
      <c r="S2121" s="57"/>
      <c r="T2121" s="57"/>
      <c r="U2121" s="57"/>
      <c r="V2121" s="57"/>
      <c r="W2121" s="57"/>
      <c r="X2121" s="6"/>
      <c r="Y2121" s="6"/>
      <c r="Z2121" s="6"/>
      <c r="AA2121" s="6"/>
      <c r="AB2121" s="6"/>
      <c r="AC2121" s="6"/>
      <c r="AD2121" s="6"/>
      <c r="AE2121" s="6"/>
      <c r="AF2121" s="6"/>
      <c r="AG2121" s="6"/>
      <c r="AH2121" s="6"/>
      <c r="AI2121" s="6"/>
      <c r="AJ2121" s="6"/>
    </row>
    <row r="2122" spans="1:36" ht="11.25" customHeight="1" x14ac:dyDescent="0.2">
      <c r="A2122" s="53" t="s">
        <v>21</v>
      </c>
      <c r="B2122" s="53" t="s">
        <v>39</v>
      </c>
      <c r="C2122" s="53" t="s">
        <v>37</v>
      </c>
      <c r="D2122" s="53" t="s">
        <v>48</v>
      </c>
      <c r="E2122" s="53" t="s">
        <v>25</v>
      </c>
      <c r="F2122" s="53" t="s">
        <v>25</v>
      </c>
      <c r="G2122" s="53" t="s">
        <v>25</v>
      </c>
      <c r="H2122" s="53" t="s">
        <v>35</v>
      </c>
      <c r="I2122" s="73">
        <v>43952</v>
      </c>
      <c r="J2122" s="74">
        <f>EFEITO!$J$2122*EFEITO!$Y$2122</f>
        <v>0</v>
      </c>
      <c r="K2122" s="74">
        <f ca="1">EFEITO!$L$2122*EFEITO!$Z$2122</f>
        <v>122.03937872271318</v>
      </c>
      <c r="L2122" s="74">
        <f>EFEITO!$N$2122*EFEITO!$AA$2122</f>
        <v>73.259901523966505</v>
      </c>
      <c r="M2122" s="74">
        <f>$J$2122-EFEITO!$K$2122*EFEITO!$Y$2122</f>
        <v>0</v>
      </c>
      <c r="N2122" s="74">
        <f ca="1">$K$2122-EFEITO!$M$2122*EFEITO!$Z$2122</f>
        <v>0</v>
      </c>
      <c r="O2122" s="74">
        <f>$L$2122-EFEITO!$O$2122*EFEITO!$AA$2122</f>
        <v>0</v>
      </c>
      <c r="P2122" s="57"/>
      <c r="Q2122" s="57"/>
      <c r="R2122" s="57"/>
      <c r="S2122" s="57"/>
      <c r="T2122" s="57"/>
      <c r="U2122" s="57"/>
      <c r="V2122" s="57"/>
      <c r="W2122" s="57"/>
      <c r="X2122" s="6"/>
      <c r="Y2122" s="6"/>
      <c r="Z2122" s="6"/>
      <c r="AA2122" s="6"/>
      <c r="AB2122" s="6"/>
      <c r="AC2122" s="6"/>
      <c r="AD2122" s="6"/>
      <c r="AE2122" s="6"/>
      <c r="AF2122" s="6"/>
      <c r="AG2122" s="6"/>
      <c r="AH2122" s="6"/>
      <c r="AI2122" s="6"/>
      <c r="AJ2122" s="6"/>
    </row>
    <row r="2123" spans="1:36" ht="11.25" customHeight="1" x14ac:dyDescent="0.2">
      <c r="A2123" s="53" t="s">
        <v>21</v>
      </c>
      <c r="B2123" s="53" t="s">
        <v>39</v>
      </c>
      <c r="C2123" s="53" t="s">
        <v>37</v>
      </c>
      <c r="D2123" s="53" t="s">
        <v>48</v>
      </c>
      <c r="E2123" s="53" t="s">
        <v>25</v>
      </c>
      <c r="F2123" s="53" t="s">
        <v>25</v>
      </c>
      <c r="G2123" s="53" t="s">
        <v>25</v>
      </c>
      <c r="H2123" s="53" t="s">
        <v>35</v>
      </c>
      <c r="I2123" s="73">
        <v>43983</v>
      </c>
      <c r="J2123" s="74">
        <f>EFEITO!$J$2123*EFEITO!$Y$2123</f>
        <v>0</v>
      </c>
      <c r="K2123" s="74">
        <f ca="1">EFEITO!$L$2123*EFEITO!$Z$2123</f>
        <v>168.35175834056329</v>
      </c>
      <c r="L2123" s="74">
        <f>EFEITO!$N$2123*EFEITO!$AA$2123</f>
        <v>101.06109492280507</v>
      </c>
      <c r="M2123" s="74">
        <f>$J$2123-EFEITO!$K$2123*EFEITO!$Y$2123</f>
        <v>0</v>
      </c>
      <c r="N2123" s="74">
        <f ca="1">$K$2123-EFEITO!$M$2123*EFEITO!$Z$2123</f>
        <v>0</v>
      </c>
      <c r="O2123" s="74">
        <f>$L$2123-EFEITO!$O$2123*EFEITO!$AA$2123</f>
        <v>0</v>
      </c>
      <c r="P2123" s="57"/>
      <c r="Q2123" s="57"/>
      <c r="R2123" s="57"/>
      <c r="S2123" s="57"/>
      <c r="T2123" s="57"/>
      <c r="U2123" s="57"/>
      <c r="V2123" s="57"/>
      <c r="W2123" s="57"/>
      <c r="X2123" s="6"/>
      <c r="Y2123" s="6"/>
      <c r="Z2123" s="6"/>
      <c r="AA2123" s="6"/>
      <c r="AB2123" s="6"/>
      <c r="AC2123" s="6"/>
      <c r="AD2123" s="6"/>
      <c r="AE2123" s="6"/>
      <c r="AF2123" s="6"/>
      <c r="AG2123" s="6"/>
      <c r="AH2123" s="6"/>
      <c r="AI2123" s="6"/>
      <c r="AJ2123" s="6"/>
    </row>
    <row r="2124" spans="1:36" ht="11.25" customHeight="1" x14ac:dyDescent="0.2">
      <c r="A2124" s="53" t="s">
        <v>21</v>
      </c>
      <c r="B2124" s="53" t="s">
        <v>39</v>
      </c>
      <c r="C2124" s="53" t="s">
        <v>37</v>
      </c>
      <c r="D2124" s="53" t="s">
        <v>48</v>
      </c>
      <c r="E2124" s="53" t="s">
        <v>25</v>
      </c>
      <c r="F2124" s="53" t="s">
        <v>25</v>
      </c>
      <c r="G2124" s="53" t="s">
        <v>25</v>
      </c>
      <c r="H2124" s="53" t="s">
        <v>35</v>
      </c>
      <c r="I2124" s="73">
        <v>44013</v>
      </c>
      <c r="J2124" s="74">
        <f>EFEITO!$J$2124*EFEITO!$Y$2124</f>
        <v>0</v>
      </c>
      <c r="K2124" s="74">
        <f ca="1">EFEITO!$L$2124*EFEITO!$Z$2124</f>
        <v>183.37198956797414</v>
      </c>
      <c r="L2124" s="74">
        <f>EFEITO!$N$2124*EFEITO!$AA$2124</f>
        <v>110.07769818729324</v>
      </c>
      <c r="M2124" s="74">
        <f>$J$2124-EFEITO!$K$2124*EFEITO!$Y$2124</f>
        <v>0</v>
      </c>
      <c r="N2124" s="74">
        <f ca="1">$K$2124-EFEITO!$M$2124*EFEITO!$Z$2124</f>
        <v>0</v>
      </c>
      <c r="O2124" s="74">
        <f>$L$2124-EFEITO!$O$2124*EFEITO!$AA$2124</f>
        <v>0</v>
      </c>
      <c r="P2124" s="57"/>
      <c r="Q2124" s="57"/>
      <c r="R2124" s="57"/>
      <c r="S2124" s="57"/>
      <c r="T2124" s="57"/>
      <c r="U2124" s="57"/>
      <c r="V2124" s="57"/>
      <c r="W2124" s="57"/>
      <c r="X2124" s="6"/>
      <c r="Y2124" s="6"/>
      <c r="Z2124" s="6"/>
      <c r="AA2124" s="6"/>
      <c r="AB2124" s="6"/>
      <c r="AC2124" s="6"/>
      <c r="AD2124" s="6"/>
      <c r="AE2124" s="6"/>
      <c r="AF2124" s="6"/>
      <c r="AG2124" s="6"/>
      <c r="AH2124" s="6"/>
      <c r="AI2124" s="6"/>
      <c r="AJ2124" s="6"/>
    </row>
    <row r="2125" spans="1:36" ht="11.25" customHeight="1" x14ac:dyDescent="0.2">
      <c r="A2125" s="53" t="s">
        <v>21</v>
      </c>
      <c r="B2125" s="53" t="s">
        <v>39</v>
      </c>
      <c r="C2125" s="53" t="s">
        <v>37</v>
      </c>
      <c r="D2125" s="53" t="s">
        <v>48</v>
      </c>
      <c r="E2125" s="53" t="s">
        <v>25</v>
      </c>
      <c r="F2125" s="53" t="s">
        <v>25</v>
      </c>
      <c r="G2125" s="53" t="s">
        <v>25</v>
      </c>
      <c r="H2125" s="53" t="s">
        <v>35</v>
      </c>
      <c r="I2125" s="73">
        <v>44044</v>
      </c>
      <c r="J2125" s="74">
        <f>EFEITO!$J$2125*EFEITO!$Y$2125</f>
        <v>0</v>
      </c>
      <c r="K2125" s="74">
        <f ca="1">EFEITO!$L$2125*EFEITO!$Z$2125</f>
        <v>216.54166686183976</v>
      </c>
      <c r="L2125" s="74">
        <f>EFEITO!$N$2125*EFEITO!$AA$2125</f>
        <v>129.98936372970465</v>
      </c>
      <c r="M2125" s="74">
        <f>$J$2125-EFEITO!$K$2125*EFEITO!$Y$2125</f>
        <v>0</v>
      </c>
      <c r="N2125" s="74">
        <f ca="1">$K$2125-EFEITO!$M$2125*EFEITO!$Z$2125</f>
        <v>0</v>
      </c>
      <c r="O2125" s="74">
        <f>$L$2125-EFEITO!$O$2125*EFEITO!$AA$2125</f>
        <v>0</v>
      </c>
      <c r="P2125" s="57"/>
      <c r="Q2125" s="57"/>
      <c r="R2125" s="57"/>
      <c r="S2125" s="57"/>
      <c r="T2125" s="57"/>
      <c r="U2125" s="57"/>
      <c r="V2125" s="57"/>
      <c r="W2125" s="57"/>
      <c r="X2125" s="6"/>
      <c r="Y2125" s="6"/>
      <c r="Z2125" s="6"/>
      <c r="AA2125" s="6"/>
      <c r="AB2125" s="6"/>
      <c r="AC2125" s="6"/>
      <c r="AD2125" s="6"/>
      <c r="AE2125" s="6"/>
      <c r="AF2125" s="6"/>
      <c r="AG2125" s="6"/>
      <c r="AH2125" s="6"/>
      <c r="AI2125" s="6"/>
      <c r="AJ2125" s="6"/>
    </row>
    <row r="2126" spans="1:36" ht="11.25" customHeight="1" x14ac:dyDescent="0.2">
      <c r="A2126" s="53" t="s">
        <v>59</v>
      </c>
      <c r="B2126" s="53" t="s">
        <v>39</v>
      </c>
      <c r="C2126" s="53" t="s">
        <v>37</v>
      </c>
      <c r="D2126" s="53" t="s">
        <v>48</v>
      </c>
      <c r="E2126" s="53" t="s">
        <v>25</v>
      </c>
      <c r="F2126" s="53" t="s">
        <v>25</v>
      </c>
      <c r="G2126" s="53" t="s">
        <v>25</v>
      </c>
      <c r="H2126" s="53" t="s">
        <v>35</v>
      </c>
      <c r="I2126" s="73">
        <v>44075</v>
      </c>
      <c r="J2126" s="74">
        <f>EFEITO!$J$2126*EFEITO!$Y$2126</f>
        <v>0</v>
      </c>
      <c r="K2126" s="74">
        <f ca="1">EFEITO!$L$2126*EFEITO!$Z$2126</f>
        <v>216.54166686183976</v>
      </c>
      <c r="L2126" s="74">
        <f>EFEITO!$N$2126*EFEITO!$AA$2126</f>
        <v>129.98936372970465</v>
      </c>
      <c r="M2126" s="74">
        <f>$J$2126-EFEITO!$K$2126*EFEITO!$Y$2126</f>
        <v>0</v>
      </c>
      <c r="N2126" s="74">
        <f ca="1">$K$2126-EFEITO!$M$2126*EFEITO!$Z$2126</f>
        <v>0</v>
      </c>
      <c r="O2126" s="74">
        <f>$L$2126-EFEITO!$O$2126*EFEITO!$AA$2126</f>
        <v>0</v>
      </c>
      <c r="P2126" s="57"/>
      <c r="Q2126" s="57"/>
      <c r="R2126" s="57"/>
      <c r="S2126" s="57"/>
      <c r="T2126" s="57"/>
      <c r="U2126" s="57"/>
      <c r="V2126" s="57"/>
      <c r="W2126" s="57"/>
      <c r="X2126" s="6"/>
      <c r="Y2126" s="6"/>
      <c r="Z2126" s="6"/>
      <c r="AA2126" s="6"/>
      <c r="AB2126" s="6"/>
      <c r="AC2126" s="6"/>
      <c r="AD2126" s="6"/>
      <c r="AE2126" s="6"/>
      <c r="AF2126" s="6"/>
      <c r="AG2126" s="6"/>
      <c r="AH2126" s="6"/>
      <c r="AI2126" s="6"/>
      <c r="AJ2126" s="6"/>
    </row>
    <row r="2127" spans="1:36" ht="11.25" customHeight="1" x14ac:dyDescent="0.2">
      <c r="A2127" s="53" t="s">
        <v>21</v>
      </c>
      <c r="B2127" s="53" t="s">
        <v>39</v>
      </c>
      <c r="C2127" s="53" t="s">
        <v>23</v>
      </c>
      <c r="D2127" s="53" t="s">
        <v>42</v>
      </c>
      <c r="E2127" s="53" t="s">
        <v>25</v>
      </c>
      <c r="F2127" s="53" t="s">
        <v>25</v>
      </c>
      <c r="G2127" s="53" t="s">
        <v>25</v>
      </c>
      <c r="H2127" s="53" t="s">
        <v>25</v>
      </c>
      <c r="I2127" s="73">
        <v>43739</v>
      </c>
      <c r="J2127" s="74">
        <f>EFEITO!$J$2127*EFEITO!$Y$2127</f>
        <v>0</v>
      </c>
      <c r="K2127" s="74">
        <f ca="1">EFEITO!$L$2127*EFEITO!$Z$2127</f>
        <v>23721917.953041364</v>
      </c>
      <c r="L2127" s="74">
        <f>EFEITO!$N$2127*EFEITO!$AA$2127</f>
        <v>21194266.880801015</v>
      </c>
      <c r="M2127" s="74">
        <f>$J$2127-EFEITO!$K$2127*EFEITO!$Y$2127</f>
        <v>0</v>
      </c>
      <c r="N2127" s="74">
        <f ca="1">$K$2127-EFEITO!$M$2127*EFEITO!$Z$2127</f>
        <v>0</v>
      </c>
      <c r="O2127" s="74">
        <f>$L$2127-EFEITO!$O$2127*EFEITO!$AA$2127</f>
        <v>0</v>
      </c>
      <c r="P2127" s="57"/>
      <c r="Q2127" s="57"/>
      <c r="R2127" s="57"/>
      <c r="S2127" s="57"/>
      <c r="T2127" s="57"/>
      <c r="U2127" s="57"/>
      <c r="V2127" s="57"/>
      <c r="W2127" s="57"/>
      <c r="X2127" s="6"/>
      <c r="Y2127" s="6"/>
      <c r="Z2127" s="6"/>
      <c r="AA2127" s="6"/>
      <c r="AB2127" s="6"/>
      <c r="AC2127" s="6"/>
      <c r="AD2127" s="6"/>
      <c r="AE2127" s="6"/>
      <c r="AF2127" s="6"/>
      <c r="AG2127" s="6"/>
      <c r="AH2127" s="6"/>
      <c r="AI2127" s="6"/>
      <c r="AJ2127" s="6"/>
    </row>
    <row r="2128" spans="1:36" ht="11.25" customHeight="1" x14ac:dyDescent="0.2">
      <c r="A2128" s="53" t="s">
        <v>27</v>
      </c>
      <c r="B2128" s="53" t="s">
        <v>39</v>
      </c>
      <c r="C2128" s="53" t="s">
        <v>23</v>
      </c>
      <c r="D2128" s="53" t="s">
        <v>42</v>
      </c>
      <c r="E2128" s="53" t="s">
        <v>25</v>
      </c>
      <c r="F2128" s="53" t="s">
        <v>25</v>
      </c>
      <c r="G2128" s="53" t="s">
        <v>25</v>
      </c>
      <c r="H2128" s="53" t="s">
        <v>25</v>
      </c>
      <c r="I2128" s="73">
        <v>43739</v>
      </c>
      <c r="J2128" s="74">
        <f>EFEITO!$J$2128*EFEITO!$Y$2128</f>
        <v>0</v>
      </c>
      <c r="K2128" s="74">
        <f ca="1">EFEITO!$L$2128*EFEITO!$Z$2128</f>
        <v>50223.988066039223</v>
      </c>
      <c r="L2128" s="74">
        <f>EFEITO!$N$2128*EFEITO!$AA$2128</f>
        <v>44872.451249386737</v>
      </c>
      <c r="M2128" s="74">
        <f>$J$2128-EFEITO!$K$2128*EFEITO!$Y$2128</f>
        <v>0</v>
      </c>
      <c r="N2128" s="74">
        <f ca="1">$K$2128-EFEITO!$M$2128*EFEITO!$Z$2128</f>
        <v>0</v>
      </c>
      <c r="O2128" s="74">
        <f>$L$2128-EFEITO!$O$2128*EFEITO!$AA$2128</f>
        <v>0</v>
      </c>
      <c r="P2128" s="57"/>
      <c r="Q2128" s="57"/>
      <c r="R2128" s="57"/>
      <c r="S2128" s="57"/>
      <c r="T2128" s="57"/>
      <c r="U2128" s="57"/>
      <c r="V2128" s="57"/>
      <c r="W2128" s="57"/>
      <c r="X2128" s="6"/>
      <c r="Y2128" s="6"/>
      <c r="Z2128" s="6"/>
      <c r="AA2128" s="6"/>
      <c r="AB2128" s="6"/>
      <c r="AC2128" s="6"/>
      <c r="AD2128" s="6"/>
      <c r="AE2128" s="6"/>
      <c r="AF2128" s="6"/>
      <c r="AG2128" s="6"/>
      <c r="AH2128" s="6"/>
      <c r="AI2128" s="6"/>
      <c r="AJ2128" s="6"/>
    </row>
    <row r="2129" spans="1:36" ht="11.25" customHeight="1" x14ac:dyDescent="0.2">
      <c r="A2129" s="53" t="s">
        <v>28</v>
      </c>
      <c r="B2129" s="53" t="s">
        <v>39</v>
      </c>
      <c r="C2129" s="53" t="s">
        <v>23</v>
      </c>
      <c r="D2129" s="53" t="s">
        <v>42</v>
      </c>
      <c r="E2129" s="53" t="s">
        <v>25</v>
      </c>
      <c r="F2129" s="53" t="s">
        <v>25</v>
      </c>
      <c r="G2129" s="53" t="s">
        <v>25</v>
      </c>
      <c r="H2129" s="53" t="s">
        <v>25</v>
      </c>
      <c r="I2129" s="73">
        <v>43739</v>
      </c>
      <c r="J2129" s="74">
        <f>EFEITO!$J$2129*EFEITO!$Y$2129</f>
        <v>0</v>
      </c>
      <c r="K2129" s="74">
        <f ca="1">EFEITO!$L$2129*EFEITO!$Z$2129</f>
        <v>160151.6970862294</v>
      </c>
      <c r="L2129" s="74">
        <f>EFEITO!$N$2129*EFEITO!$AA$2129</f>
        <v>143086.98884204548</v>
      </c>
      <c r="M2129" s="74">
        <f>$J$2129-EFEITO!$K$2129*EFEITO!$Y$2129</f>
        <v>0</v>
      </c>
      <c r="N2129" s="74">
        <f ca="1">$K$2129-EFEITO!$M$2129*EFEITO!$Z$2129</f>
        <v>0</v>
      </c>
      <c r="O2129" s="74">
        <f>$L$2129-EFEITO!$O$2129*EFEITO!$AA$2129</f>
        <v>0</v>
      </c>
      <c r="P2129" s="57"/>
      <c r="Q2129" s="57"/>
      <c r="R2129" s="57"/>
      <c r="S2129" s="57"/>
      <c r="T2129" s="57"/>
      <c r="U2129" s="57"/>
      <c r="V2129" s="57"/>
      <c r="W2129" s="57"/>
      <c r="X2129" s="6"/>
      <c r="Y2129" s="6"/>
      <c r="Z2129" s="6"/>
      <c r="AA2129" s="6"/>
      <c r="AB2129" s="6"/>
      <c r="AC2129" s="6"/>
      <c r="AD2129" s="6"/>
      <c r="AE2129" s="6"/>
      <c r="AF2129" s="6"/>
      <c r="AG2129" s="6"/>
      <c r="AH2129" s="6"/>
      <c r="AI2129" s="6"/>
      <c r="AJ2129" s="6"/>
    </row>
    <row r="2130" spans="1:36" ht="11.25" customHeight="1" x14ac:dyDescent="0.2">
      <c r="A2130" s="53" t="s">
        <v>28</v>
      </c>
      <c r="B2130" s="53" t="s">
        <v>39</v>
      </c>
      <c r="C2130" s="53" t="s">
        <v>23</v>
      </c>
      <c r="D2130" s="53" t="s">
        <v>42</v>
      </c>
      <c r="E2130" s="53" t="s">
        <v>25</v>
      </c>
      <c r="F2130" s="53" t="s">
        <v>25</v>
      </c>
      <c r="G2130" s="53" t="s">
        <v>25</v>
      </c>
      <c r="H2130" s="53" t="s">
        <v>25</v>
      </c>
      <c r="I2130" s="73">
        <v>43739</v>
      </c>
      <c r="J2130" s="74">
        <f>EFEITO!$J$2130*EFEITO!$Y$2130</f>
        <v>0</v>
      </c>
      <c r="K2130" s="74">
        <f ca="1">EFEITO!$L$2130*EFEITO!$Z$2130</f>
        <v>1206.3087881310009</v>
      </c>
      <c r="L2130" s="74">
        <f>EFEITO!$N$2130*EFEITO!$AA$2130</f>
        <v>1077.7724822636519</v>
      </c>
      <c r="M2130" s="74">
        <f>$J$2130-EFEITO!$K$2130*EFEITO!$Y$2130</f>
        <v>0</v>
      </c>
      <c r="N2130" s="74">
        <f ca="1">$K$2130-EFEITO!$M$2130*EFEITO!$Z$2130</f>
        <v>0</v>
      </c>
      <c r="O2130" s="74">
        <f>$L$2130-EFEITO!$O$2130*EFEITO!$AA$2130</f>
        <v>0</v>
      </c>
      <c r="P2130" s="57"/>
      <c r="Q2130" s="57"/>
      <c r="R2130" s="57"/>
      <c r="S2130" s="57"/>
      <c r="T2130" s="57"/>
      <c r="U2130" s="57"/>
      <c r="V2130" s="57"/>
      <c r="W2130" s="57"/>
      <c r="X2130" s="6"/>
      <c r="Y2130" s="6"/>
      <c r="Z2130" s="6"/>
      <c r="AA2130" s="6"/>
      <c r="AB2130" s="6"/>
      <c r="AC2130" s="6"/>
      <c r="AD2130" s="6"/>
      <c r="AE2130" s="6"/>
      <c r="AF2130" s="6"/>
      <c r="AG2130" s="6"/>
      <c r="AH2130" s="6"/>
      <c r="AI2130" s="6"/>
      <c r="AJ2130" s="6"/>
    </row>
    <row r="2131" spans="1:36" ht="11.25" customHeight="1" x14ac:dyDescent="0.2">
      <c r="A2131" s="53" t="s">
        <v>21</v>
      </c>
      <c r="B2131" s="53" t="s">
        <v>39</v>
      </c>
      <c r="C2131" s="53" t="s">
        <v>23</v>
      </c>
      <c r="D2131" s="53" t="s">
        <v>42</v>
      </c>
      <c r="E2131" s="53" t="s">
        <v>25</v>
      </c>
      <c r="F2131" s="53" t="s">
        <v>25</v>
      </c>
      <c r="G2131" s="53" t="s">
        <v>25</v>
      </c>
      <c r="H2131" s="53" t="s">
        <v>25</v>
      </c>
      <c r="I2131" s="73">
        <v>43770</v>
      </c>
      <c r="J2131" s="74">
        <f>EFEITO!$J$2131*EFEITO!$Y$2131</f>
        <v>0</v>
      </c>
      <c r="K2131" s="74">
        <f ca="1">EFEITO!$L$2131*EFEITO!$Z$2131</f>
        <v>25456620.712233797</v>
      </c>
      <c r="L2131" s="74">
        <f>EFEITO!$N$2131*EFEITO!$AA$2131</f>
        <v>22744131.158637479</v>
      </c>
      <c r="M2131" s="74">
        <f>$J$2131-EFEITO!$K$2131*EFEITO!$Y$2131</f>
        <v>0</v>
      </c>
      <c r="N2131" s="74">
        <f ca="1">$K$2131-EFEITO!$M$2131*EFEITO!$Z$2131</f>
        <v>0</v>
      </c>
      <c r="O2131" s="74">
        <f>$L$2131-EFEITO!$O$2131*EFEITO!$AA$2131</f>
        <v>0</v>
      </c>
      <c r="P2131" s="57"/>
      <c r="Q2131" s="57"/>
      <c r="R2131" s="57"/>
      <c r="S2131" s="57"/>
      <c r="T2131" s="57"/>
      <c r="U2131" s="57"/>
      <c r="V2131" s="57"/>
      <c r="W2131" s="57"/>
      <c r="X2131" s="6"/>
      <c r="Y2131" s="6"/>
      <c r="Z2131" s="6"/>
      <c r="AA2131" s="6"/>
      <c r="AB2131" s="6"/>
      <c r="AC2131" s="6"/>
      <c r="AD2131" s="6"/>
      <c r="AE2131" s="6"/>
      <c r="AF2131" s="6"/>
      <c r="AG2131" s="6"/>
      <c r="AH2131" s="6"/>
      <c r="AI2131" s="6"/>
      <c r="AJ2131" s="6"/>
    </row>
    <row r="2132" spans="1:36" ht="11.25" customHeight="1" x14ac:dyDescent="0.2">
      <c r="A2132" s="53" t="s">
        <v>27</v>
      </c>
      <c r="B2132" s="53" t="s">
        <v>39</v>
      </c>
      <c r="C2132" s="53" t="s">
        <v>23</v>
      </c>
      <c r="D2132" s="53" t="s">
        <v>42</v>
      </c>
      <c r="E2132" s="53" t="s">
        <v>25</v>
      </c>
      <c r="F2132" s="53" t="s">
        <v>25</v>
      </c>
      <c r="G2132" s="53" t="s">
        <v>25</v>
      </c>
      <c r="H2132" s="53" t="s">
        <v>25</v>
      </c>
      <c r="I2132" s="73">
        <v>43770</v>
      </c>
      <c r="J2132" s="74">
        <f>EFEITO!$J$2132*EFEITO!$Y$2132</f>
        <v>0</v>
      </c>
      <c r="K2132" s="74">
        <f ca="1">EFEITO!$L$2132*EFEITO!$Z$2132</f>
        <v>87349.860629309187</v>
      </c>
      <c r="L2132" s="74">
        <f>EFEITO!$N$2132*EFEITO!$AA$2132</f>
        <v>78042.435769448246</v>
      </c>
      <c r="M2132" s="74">
        <f>$J$2132-EFEITO!$K$2132*EFEITO!$Y$2132</f>
        <v>0</v>
      </c>
      <c r="N2132" s="74">
        <f ca="1">$K$2132-EFEITO!$M$2132*EFEITO!$Z$2132</f>
        <v>0</v>
      </c>
      <c r="O2132" s="74">
        <f>$L$2132-EFEITO!$O$2132*EFEITO!$AA$2132</f>
        <v>0</v>
      </c>
      <c r="P2132" s="57"/>
      <c r="Q2132" s="57"/>
      <c r="R2132" s="57"/>
      <c r="S2132" s="57"/>
      <c r="T2132" s="57"/>
      <c r="U2132" s="57"/>
      <c r="V2132" s="57"/>
      <c r="W2132" s="57"/>
      <c r="X2132" s="6"/>
      <c r="Y2132" s="6"/>
      <c r="Z2132" s="6"/>
      <c r="AA2132" s="6"/>
      <c r="AB2132" s="6"/>
      <c r="AC2132" s="6"/>
      <c r="AD2132" s="6"/>
      <c r="AE2132" s="6"/>
      <c r="AF2132" s="6"/>
      <c r="AG2132" s="6"/>
      <c r="AH2132" s="6"/>
      <c r="AI2132" s="6"/>
      <c r="AJ2132" s="6"/>
    </row>
    <row r="2133" spans="1:36" ht="11.25" customHeight="1" x14ac:dyDescent="0.2">
      <c r="A2133" s="53" t="s">
        <v>28</v>
      </c>
      <c r="B2133" s="53" t="s">
        <v>39</v>
      </c>
      <c r="C2133" s="53" t="s">
        <v>23</v>
      </c>
      <c r="D2133" s="53" t="s">
        <v>42</v>
      </c>
      <c r="E2133" s="53" t="s">
        <v>25</v>
      </c>
      <c r="F2133" s="53" t="s">
        <v>25</v>
      </c>
      <c r="G2133" s="53" t="s">
        <v>25</v>
      </c>
      <c r="H2133" s="53" t="s">
        <v>25</v>
      </c>
      <c r="I2133" s="73">
        <v>43770</v>
      </c>
      <c r="J2133" s="74">
        <f>EFEITO!$J$2133*EFEITO!$Y$2133</f>
        <v>0</v>
      </c>
      <c r="K2133" s="74">
        <f ca="1">EFEITO!$L$2133*EFEITO!$Z$2133</f>
        <v>161033.38728228729</v>
      </c>
      <c r="L2133" s="74">
        <f>EFEITO!$N$2133*EFEITO!$AA$2133</f>
        <v>143874.73194774328</v>
      </c>
      <c r="M2133" s="74">
        <f>$J$2133-EFEITO!$K$2133*EFEITO!$Y$2133</f>
        <v>0</v>
      </c>
      <c r="N2133" s="74">
        <f ca="1">$K$2133-EFEITO!$M$2133*EFEITO!$Z$2133</f>
        <v>0</v>
      </c>
      <c r="O2133" s="74">
        <f>$L$2133-EFEITO!$O$2133*EFEITO!$AA$2133</f>
        <v>0</v>
      </c>
      <c r="P2133" s="57"/>
      <c r="Q2133" s="57"/>
      <c r="R2133" s="57"/>
      <c r="S2133" s="57"/>
      <c r="T2133" s="57"/>
      <c r="U2133" s="57"/>
      <c r="V2133" s="57"/>
      <c r="W2133" s="57"/>
      <c r="X2133" s="6"/>
      <c r="Y2133" s="6"/>
      <c r="Z2133" s="6"/>
      <c r="AA2133" s="6"/>
      <c r="AB2133" s="6"/>
      <c r="AC2133" s="6"/>
      <c r="AD2133" s="6"/>
      <c r="AE2133" s="6"/>
      <c r="AF2133" s="6"/>
      <c r="AG2133" s="6"/>
      <c r="AH2133" s="6"/>
      <c r="AI2133" s="6"/>
      <c r="AJ2133" s="6"/>
    </row>
    <row r="2134" spans="1:36" ht="11.25" customHeight="1" x14ac:dyDescent="0.2">
      <c r="A2134" s="53" t="s">
        <v>28</v>
      </c>
      <c r="B2134" s="53" t="s">
        <v>39</v>
      </c>
      <c r="C2134" s="53" t="s">
        <v>23</v>
      </c>
      <c r="D2134" s="53" t="s">
        <v>42</v>
      </c>
      <c r="E2134" s="53" t="s">
        <v>25</v>
      </c>
      <c r="F2134" s="53" t="s">
        <v>25</v>
      </c>
      <c r="G2134" s="53" t="s">
        <v>25</v>
      </c>
      <c r="H2134" s="53" t="s">
        <v>25</v>
      </c>
      <c r="I2134" s="73">
        <v>43770</v>
      </c>
      <c r="J2134" s="74">
        <f>EFEITO!$J$2134*EFEITO!$Y$2134</f>
        <v>0</v>
      </c>
      <c r="K2134" s="74">
        <f ca="1">EFEITO!$L$2134*EFEITO!$Z$2134</f>
        <v>2544.205012244739</v>
      </c>
      <c r="L2134" s="74">
        <f>EFEITO!$N$2134*EFEITO!$AA$2134</f>
        <v>2273.1113114769564</v>
      </c>
      <c r="M2134" s="74">
        <f>$J$2134-EFEITO!$K$2134*EFEITO!$Y$2134</f>
        <v>0</v>
      </c>
      <c r="N2134" s="74">
        <f ca="1">$K$2134-EFEITO!$M$2134*EFEITO!$Z$2134</f>
        <v>0</v>
      </c>
      <c r="O2134" s="74">
        <f>$L$2134-EFEITO!$O$2134*EFEITO!$AA$2134</f>
        <v>0</v>
      </c>
      <c r="P2134" s="57"/>
      <c r="Q2134" s="57"/>
      <c r="R2134" s="57"/>
      <c r="S2134" s="57"/>
      <c r="T2134" s="57"/>
      <c r="U2134" s="57"/>
      <c r="V2134" s="57"/>
      <c r="W2134" s="57"/>
      <c r="X2134" s="6"/>
      <c r="Y2134" s="6"/>
      <c r="Z2134" s="6"/>
      <c r="AA2134" s="6"/>
      <c r="AB2134" s="6"/>
      <c r="AC2134" s="6"/>
      <c r="AD2134" s="6"/>
      <c r="AE2134" s="6"/>
      <c r="AF2134" s="6"/>
      <c r="AG2134" s="6"/>
      <c r="AH2134" s="6"/>
      <c r="AI2134" s="6"/>
      <c r="AJ2134" s="6"/>
    </row>
    <row r="2135" spans="1:36" ht="11.25" customHeight="1" x14ac:dyDescent="0.2">
      <c r="A2135" s="53" t="s">
        <v>21</v>
      </c>
      <c r="B2135" s="53" t="s">
        <v>39</v>
      </c>
      <c r="C2135" s="53" t="s">
        <v>23</v>
      </c>
      <c r="D2135" s="53" t="s">
        <v>42</v>
      </c>
      <c r="E2135" s="53" t="s">
        <v>25</v>
      </c>
      <c r="F2135" s="53" t="s">
        <v>25</v>
      </c>
      <c r="G2135" s="53" t="s">
        <v>25</v>
      </c>
      <c r="H2135" s="53" t="s">
        <v>25</v>
      </c>
      <c r="I2135" s="73">
        <v>43800</v>
      </c>
      <c r="J2135" s="74">
        <f>EFEITO!$J$2135*EFEITO!$Y$2135</f>
        <v>0</v>
      </c>
      <c r="K2135" s="74">
        <f ca="1">EFEITO!$L$2135*EFEITO!$Z$2135</f>
        <v>22390380.066459294</v>
      </c>
      <c r="L2135" s="74">
        <f>EFEITO!$N$2135*EFEITO!$AA$2135</f>
        <v>20004608.886620998</v>
      </c>
      <c r="M2135" s="74">
        <f>$J$2135-EFEITO!$K$2135*EFEITO!$Y$2135</f>
        <v>0</v>
      </c>
      <c r="N2135" s="74">
        <f ca="1">$K$2135-EFEITO!$M$2135*EFEITO!$Z$2135</f>
        <v>0</v>
      </c>
      <c r="O2135" s="74">
        <f>$L$2135-EFEITO!$O$2135*EFEITO!$AA$2135</f>
        <v>0</v>
      </c>
      <c r="P2135" s="57"/>
      <c r="Q2135" s="57"/>
      <c r="R2135" s="57"/>
      <c r="S2135" s="57"/>
      <c r="T2135" s="57"/>
      <c r="U2135" s="57"/>
      <c r="V2135" s="57"/>
      <c r="W2135" s="57"/>
      <c r="X2135" s="6"/>
      <c r="Y2135" s="6"/>
      <c r="Z2135" s="6"/>
      <c r="AA2135" s="6"/>
      <c r="AB2135" s="6"/>
      <c r="AC2135" s="6"/>
      <c r="AD2135" s="6"/>
      <c r="AE2135" s="6"/>
      <c r="AF2135" s="6"/>
      <c r="AG2135" s="6"/>
      <c r="AH2135" s="6"/>
      <c r="AI2135" s="6"/>
      <c r="AJ2135" s="6"/>
    </row>
    <row r="2136" spans="1:36" ht="11.25" customHeight="1" x14ac:dyDescent="0.2">
      <c r="A2136" s="53" t="s">
        <v>27</v>
      </c>
      <c r="B2136" s="53" t="s">
        <v>39</v>
      </c>
      <c r="C2136" s="53" t="s">
        <v>23</v>
      </c>
      <c r="D2136" s="53" t="s">
        <v>42</v>
      </c>
      <c r="E2136" s="53" t="s">
        <v>25</v>
      </c>
      <c r="F2136" s="53" t="s">
        <v>25</v>
      </c>
      <c r="G2136" s="53" t="s">
        <v>25</v>
      </c>
      <c r="H2136" s="53" t="s">
        <v>25</v>
      </c>
      <c r="I2136" s="73">
        <v>43800</v>
      </c>
      <c r="J2136" s="74">
        <f>EFEITO!$J$2136*EFEITO!$Y$2136</f>
        <v>0</v>
      </c>
      <c r="K2136" s="74">
        <f ca="1">EFEITO!$L$2136*EFEITO!$Z$2136</f>
        <v>80783.538823823517</v>
      </c>
      <c r="L2136" s="74">
        <f>EFEITO!$N$2136*EFEITO!$AA$2136</f>
        <v>72175.777894390398</v>
      </c>
      <c r="M2136" s="74">
        <f>$J$2136-EFEITO!$K$2136*EFEITO!$Y$2136</f>
        <v>0</v>
      </c>
      <c r="N2136" s="74">
        <f ca="1">$K$2136-EFEITO!$M$2136*EFEITO!$Z$2136</f>
        <v>0</v>
      </c>
      <c r="O2136" s="74">
        <f>$L$2136-EFEITO!$O$2136*EFEITO!$AA$2136</f>
        <v>0</v>
      </c>
      <c r="P2136" s="57"/>
      <c r="Q2136" s="57"/>
      <c r="R2136" s="57"/>
      <c r="S2136" s="57"/>
      <c r="T2136" s="57"/>
      <c r="U2136" s="57"/>
      <c r="V2136" s="57"/>
      <c r="W2136" s="57"/>
      <c r="X2136" s="6"/>
      <c r="Y2136" s="6"/>
      <c r="Z2136" s="6"/>
      <c r="AA2136" s="6"/>
      <c r="AB2136" s="6"/>
      <c r="AC2136" s="6"/>
      <c r="AD2136" s="6"/>
      <c r="AE2136" s="6"/>
      <c r="AF2136" s="6"/>
      <c r="AG2136" s="6"/>
      <c r="AH2136" s="6"/>
      <c r="AI2136" s="6"/>
      <c r="AJ2136" s="6"/>
    </row>
    <row r="2137" spans="1:36" ht="11.25" customHeight="1" x14ac:dyDescent="0.2">
      <c r="A2137" s="53" t="s">
        <v>28</v>
      </c>
      <c r="B2137" s="53" t="s">
        <v>39</v>
      </c>
      <c r="C2137" s="53" t="s">
        <v>23</v>
      </c>
      <c r="D2137" s="53" t="s">
        <v>42</v>
      </c>
      <c r="E2137" s="53" t="s">
        <v>25</v>
      </c>
      <c r="F2137" s="53" t="s">
        <v>25</v>
      </c>
      <c r="G2137" s="53" t="s">
        <v>25</v>
      </c>
      <c r="H2137" s="53" t="s">
        <v>25</v>
      </c>
      <c r="I2137" s="73">
        <v>43800</v>
      </c>
      <c r="J2137" s="74">
        <f>EFEITO!$J$2137*EFEITO!$Y$2137</f>
        <v>0</v>
      </c>
      <c r="K2137" s="74">
        <f ca="1">EFEITO!$L$2137*EFEITO!$Z$2137</f>
        <v>111977.91739776419</v>
      </c>
      <c r="L2137" s="74">
        <f>EFEITO!$N$2137*EFEITO!$AA$2137</f>
        <v>100046.28929172349</v>
      </c>
      <c r="M2137" s="74">
        <f>$J$2137-EFEITO!$K$2137*EFEITO!$Y$2137</f>
        <v>0</v>
      </c>
      <c r="N2137" s="74">
        <f ca="1">$K$2137-EFEITO!$M$2137*EFEITO!$Z$2137</f>
        <v>0</v>
      </c>
      <c r="O2137" s="74">
        <f>$L$2137-EFEITO!$O$2137*EFEITO!$AA$2137</f>
        <v>0</v>
      </c>
      <c r="P2137" s="57"/>
      <c r="Q2137" s="57"/>
      <c r="R2137" s="57"/>
      <c r="S2137" s="57"/>
      <c r="T2137" s="57"/>
      <c r="U2137" s="57"/>
      <c r="V2137" s="57"/>
      <c r="W2137" s="57"/>
      <c r="X2137" s="6"/>
      <c r="Y2137" s="6"/>
      <c r="Z2137" s="6"/>
      <c r="AA2137" s="6"/>
      <c r="AB2137" s="6"/>
      <c r="AC2137" s="6"/>
      <c r="AD2137" s="6"/>
      <c r="AE2137" s="6"/>
      <c r="AF2137" s="6"/>
      <c r="AG2137" s="6"/>
      <c r="AH2137" s="6"/>
      <c r="AI2137" s="6"/>
      <c r="AJ2137" s="6"/>
    </row>
    <row r="2138" spans="1:36" ht="11.25" customHeight="1" x14ac:dyDescent="0.2">
      <c r="A2138" s="53" t="s">
        <v>21</v>
      </c>
      <c r="B2138" s="53" t="s">
        <v>39</v>
      </c>
      <c r="C2138" s="53" t="s">
        <v>23</v>
      </c>
      <c r="D2138" s="53" t="s">
        <v>42</v>
      </c>
      <c r="E2138" s="53" t="s">
        <v>25</v>
      </c>
      <c r="F2138" s="53" t="s">
        <v>25</v>
      </c>
      <c r="G2138" s="53" t="s">
        <v>25</v>
      </c>
      <c r="H2138" s="53" t="s">
        <v>25</v>
      </c>
      <c r="I2138" s="73">
        <v>43831</v>
      </c>
      <c r="J2138" s="74">
        <f>EFEITO!$J$2138*EFEITO!$Y$2138</f>
        <v>0</v>
      </c>
      <c r="K2138" s="74">
        <f ca="1">EFEITO!$L$2138*EFEITO!$Z$2138</f>
        <v>22969971.065738384</v>
      </c>
      <c r="L2138" s="74">
        <f>EFEITO!$N$2138*EFEITO!$AA$2138</f>
        <v>20522442.492855869</v>
      </c>
      <c r="M2138" s="74">
        <f>$J$2138-EFEITO!$K$2138*EFEITO!$Y$2138</f>
        <v>0</v>
      </c>
      <c r="N2138" s="74">
        <f ca="1">$K$2138-EFEITO!$M$2138*EFEITO!$Z$2138</f>
        <v>0</v>
      </c>
      <c r="O2138" s="74">
        <f>$L$2138-EFEITO!$O$2138*EFEITO!$AA$2138</f>
        <v>0</v>
      </c>
      <c r="P2138" s="57"/>
      <c r="Q2138" s="57"/>
      <c r="R2138" s="57"/>
      <c r="S2138" s="57"/>
      <c r="T2138" s="57"/>
      <c r="U2138" s="57"/>
      <c r="V2138" s="57"/>
      <c r="W2138" s="57"/>
      <c r="X2138" s="6"/>
      <c r="Y2138" s="6"/>
      <c r="Z2138" s="6"/>
      <c r="AA2138" s="6"/>
      <c r="AB2138" s="6"/>
      <c r="AC2138" s="6"/>
      <c r="AD2138" s="6"/>
      <c r="AE2138" s="6"/>
      <c r="AF2138" s="6"/>
      <c r="AG2138" s="6"/>
      <c r="AH2138" s="6"/>
      <c r="AI2138" s="6"/>
      <c r="AJ2138" s="6"/>
    </row>
    <row r="2139" spans="1:36" ht="11.25" customHeight="1" x14ac:dyDescent="0.2">
      <c r="A2139" s="53" t="s">
        <v>27</v>
      </c>
      <c r="B2139" s="53" t="s">
        <v>39</v>
      </c>
      <c r="C2139" s="53" t="s">
        <v>23</v>
      </c>
      <c r="D2139" s="53" t="s">
        <v>42</v>
      </c>
      <c r="E2139" s="53" t="s">
        <v>25</v>
      </c>
      <c r="F2139" s="53" t="s">
        <v>25</v>
      </c>
      <c r="G2139" s="53" t="s">
        <v>25</v>
      </c>
      <c r="H2139" s="53" t="s">
        <v>25</v>
      </c>
      <c r="I2139" s="73">
        <v>43831</v>
      </c>
      <c r="J2139" s="74">
        <f>EFEITO!$J$2139*EFEITO!$Y$2139</f>
        <v>0</v>
      </c>
      <c r="K2139" s="74">
        <f ca="1">EFEITO!$L$2139*EFEITO!$Z$2139</f>
        <v>60776.539182225082</v>
      </c>
      <c r="L2139" s="74">
        <f>EFEITO!$N$2139*EFEITO!$AA$2139</f>
        <v>54300.592138857406</v>
      </c>
      <c r="M2139" s="74">
        <f>$J$2139-EFEITO!$K$2139*EFEITO!$Y$2139</f>
        <v>0</v>
      </c>
      <c r="N2139" s="74">
        <f ca="1">$K$2139-EFEITO!$M$2139*EFEITO!$Z$2139</f>
        <v>0</v>
      </c>
      <c r="O2139" s="74">
        <f>$L$2139-EFEITO!$O$2139*EFEITO!$AA$2139</f>
        <v>0</v>
      </c>
      <c r="P2139" s="57"/>
      <c r="Q2139" s="57"/>
      <c r="R2139" s="57"/>
      <c r="S2139" s="57"/>
      <c r="T2139" s="57"/>
      <c r="U2139" s="57"/>
      <c r="V2139" s="57"/>
      <c r="W2139" s="57"/>
      <c r="X2139" s="6"/>
      <c r="Y2139" s="6"/>
      <c r="Z2139" s="6"/>
      <c r="AA2139" s="6"/>
      <c r="AB2139" s="6"/>
      <c r="AC2139" s="6"/>
      <c r="AD2139" s="6"/>
      <c r="AE2139" s="6"/>
      <c r="AF2139" s="6"/>
      <c r="AG2139" s="6"/>
      <c r="AH2139" s="6"/>
      <c r="AI2139" s="6"/>
      <c r="AJ2139" s="6"/>
    </row>
    <row r="2140" spans="1:36" ht="11.25" customHeight="1" x14ac:dyDescent="0.2">
      <c r="A2140" s="53" t="s">
        <v>28</v>
      </c>
      <c r="B2140" s="53" t="s">
        <v>39</v>
      </c>
      <c r="C2140" s="53" t="s">
        <v>23</v>
      </c>
      <c r="D2140" s="53" t="s">
        <v>42</v>
      </c>
      <c r="E2140" s="53" t="s">
        <v>25</v>
      </c>
      <c r="F2140" s="53" t="s">
        <v>25</v>
      </c>
      <c r="G2140" s="53" t="s">
        <v>25</v>
      </c>
      <c r="H2140" s="53" t="s">
        <v>25</v>
      </c>
      <c r="I2140" s="73">
        <v>43831</v>
      </c>
      <c r="J2140" s="74">
        <f>EFEITO!$J$2140*EFEITO!$Y$2140</f>
        <v>0</v>
      </c>
      <c r="K2140" s="74">
        <f ca="1">EFEITO!$L$2140*EFEITO!$Z$2140</f>
        <v>146990.77848901381</v>
      </c>
      <c r="L2140" s="74">
        <f>EFEITO!$N$2140*EFEITO!$AA$2140</f>
        <v>131328.41090167611</v>
      </c>
      <c r="M2140" s="74">
        <f>$J$2140-EFEITO!$K$2140*EFEITO!$Y$2140</f>
        <v>0</v>
      </c>
      <c r="N2140" s="74">
        <f ca="1">$K$2140-EFEITO!$M$2140*EFEITO!$Z$2140</f>
        <v>0</v>
      </c>
      <c r="O2140" s="74">
        <f>$L$2140-EFEITO!$O$2140*EFEITO!$AA$2140</f>
        <v>0</v>
      </c>
      <c r="P2140" s="57"/>
      <c r="Q2140" s="57"/>
      <c r="R2140" s="57"/>
      <c r="S2140" s="57"/>
      <c r="T2140" s="57"/>
      <c r="U2140" s="57"/>
      <c r="V2140" s="57"/>
      <c r="W2140" s="57"/>
      <c r="X2140" s="6"/>
      <c r="Y2140" s="6"/>
      <c r="Z2140" s="6"/>
      <c r="AA2140" s="6"/>
      <c r="AB2140" s="6"/>
      <c r="AC2140" s="6"/>
      <c r="AD2140" s="6"/>
      <c r="AE2140" s="6"/>
      <c r="AF2140" s="6"/>
      <c r="AG2140" s="6"/>
      <c r="AH2140" s="6"/>
      <c r="AI2140" s="6"/>
      <c r="AJ2140" s="6"/>
    </row>
    <row r="2141" spans="1:36" ht="11.25" customHeight="1" x14ac:dyDescent="0.2">
      <c r="A2141" s="53" t="s">
        <v>21</v>
      </c>
      <c r="B2141" s="53" t="s">
        <v>39</v>
      </c>
      <c r="C2141" s="53" t="s">
        <v>23</v>
      </c>
      <c r="D2141" s="53" t="s">
        <v>42</v>
      </c>
      <c r="E2141" s="53" t="s">
        <v>25</v>
      </c>
      <c r="F2141" s="53" t="s">
        <v>25</v>
      </c>
      <c r="G2141" s="53" t="s">
        <v>25</v>
      </c>
      <c r="H2141" s="53" t="s">
        <v>25</v>
      </c>
      <c r="I2141" s="73">
        <v>43862</v>
      </c>
      <c r="J2141" s="74">
        <f>EFEITO!$J$2141*EFEITO!$Y$2141</f>
        <v>0</v>
      </c>
      <c r="K2141" s="74">
        <f ca="1">EFEITO!$L$2141*EFEITO!$Z$2141</f>
        <v>22224630.193971578</v>
      </c>
      <c r="L2141" s="74">
        <f>EFEITO!$N$2141*EFEITO!$AA$2141</f>
        <v>19856520.227014408</v>
      </c>
      <c r="M2141" s="74">
        <f>$J$2141-EFEITO!$K$2141*EFEITO!$Y$2141</f>
        <v>0</v>
      </c>
      <c r="N2141" s="74">
        <f ca="1">$K$2141-EFEITO!$M$2141*EFEITO!$Z$2141</f>
        <v>0</v>
      </c>
      <c r="O2141" s="74">
        <f>$L$2141-EFEITO!$O$2141*EFEITO!$AA$2141</f>
        <v>0</v>
      </c>
      <c r="P2141" s="57"/>
      <c r="Q2141" s="57"/>
      <c r="R2141" s="57"/>
      <c r="S2141" s="57"/>
      <c r="T2141" s="57"/>
      <c r="U2141" s="57"/>
      <c r="V2141" s="57"/>
      <c r="W2141" s="57"/>
      <c r="X2141" s="6"/>
      <c r="Y2141" s="6"/>
      <c r="Z2141" s="6"/>
      <c r="AA2141" s="6"/>
      <c r="AB2141" s="6"/>
      <c r="AC2141" s="6"/>
      <c r="AD2141" s="6"/>
      <c r="AE2141" s="6"/>
      <c r="AF2141" s="6"/>
      <c r="AG2141" s="6"/>
      <c r="AH2141" s="6"/>
      <c r="AI2141" s="6"/>
      <c r="AJ2141" s="6"/>
    </row>
    <row r="2142" spans="1:36" ht="11.25" customHeight="1" x14ac:dyDescent="0.2">
      <c r="A2142" s="53" t="s">
        <v>27</v>
      </c>
      <c r="B2142" s="53" t="s">
        <v>39</v>
      </c>
      <c r="C2142" s="53" t="s">
        <v>23</v>
      </c>
      <c r="D2142" s="53" t="s">
        <v>42</v>
      </c>
      <c r="E2142" s="53" t="s">
        <v>25</v>
      </c>
      <c r="F2142" s="53" t="s">
        <v>25</v>
      </c>
      <c r="G2142" s="53" t="s">
        <v>25</v>
      </c>
      <c r="H2142" s="53" t="s">
        <v>25</v>
      </c>
      <c r="I2142" s="73">
        <v>43862</v>
      </c>
      <c r="J2142" s="74">
        <f>EFEITO!$J$2142*EFEITO!$Y$2142</f>
        <v>0</v>
      </c>
      <c r="K2142" s="74">
        <f ca="1">EFEITO!$L$2142*EFEITO!$Z$2142</f>
        <v>40618.920863902618</v>
      </c>
      <c r="L2142" s="74">
        <f>EFEITO!$N$2142*EFEITO!$AA$2142</f>
        <v>36290.836639088659</v>
      </c>
      <c r="M2142" s="74">
        <f>$J$2142-EFEITO!$K$2142*EFEITO!$Y$2142</f>
        <v>0</v>
      </c>
      <c r="N2142" s="74">
        <f ca="1">$K$2142-EFEITO!$M$2142*EFEITO!$Z$2142</f>
        <v>0</v>
      </c>
      <c r="O2142" s="74">
        <f>$L$2142-EFEITO!$O$2142*EFEITO!$AA$2142</f>
        <v>0</v>
      </c>
      <c r="P2142" s="57"/>
      <c r="Q2142" s="57"/>
      <c r="R2142" s="57"/>
      <c r="S2142" s="57"/>
      <c r="T2142" s="57"/>
      <c r="U2142" s="57"/>
      <c r="V2142" s="57"/>
      <c r="W2142" s="57"/>
      <c r="X2142" s="6"/>
      <c r="Y2142" s="6"/>
      <c r="Z2142" s="6"/>
      <c r="AA2142" s="6"/>
      <c r="AB2142" s="6"/>
      <c r="AC2142" s="6"/>
      <c r="AD2142" s="6"/>
      <c r="AE2142" s="6"/>
      <c r="AF2142" s="6"/>
      <c r="AG2142" s="6"/>
      <c r="AH2142" s="6"/>
      <c r="AI2142" s="6"/>
      <c r="AJ2142" s="6"/>
    </row>
    <row r="2143" spans="1:36" ht="11.25" customHeight="1" x14ac:dyDescent="0.2">
      <c r="A2143" s="53" t="s">
        <v>28</v>
      </c>
      <c r="B2143" s="53" t="s">
        <v>39</v>
      </c>
      <c r="C2143" s="53" t="s">
        <v>23</v>
      </c>
      <c r="D2143" s="53" t="s">
        <v>42</v>
      </c>
      <c r="E2143" s="53" t="s">
        <v>25</v>
      </c>
      <c r="F2143" s="53" t="s">
        <v>25</v>
      </c>
      <c r="G2143" s="53" t="s">
        <v>25</v>
      </c>
      <c r="H2143" s="53" t="s">
        <v>25</v>
      </c>
      <c r="I2143" s="73">
        <v>43862</v>
      </c>
      <c r="J2143" s="74">
        <f>EFEITO!$J$2143*EFEITO!$Y$2143</f>
        <v>0</v>
      </c>
      <c r="K2143" s="74">
        <f ca="1">EFEITO!$L$2143*EFEITO!$Z$2143</f>
        <v>135267.80606723772</v>
      </c>
      <c r="L2143" s="74">
        <f>EFEITO!$N$2143*EFEITO!$AA$2143</f>
        <v>120854.56107910989</v>
      </c>
      <c r="M2143" s="74">
        <f>$J$2143-EFEITO!$K$2143*EFEITO!$Y$2143</f>
        <v>0</v>
      </c>
      <c r="N2143" s="74">
        <f ca="1">$K$2143-EFEITO!$M$2143*EFEITO!$Z$2143</f>
        <v>0</v>
      </c>
      <c r="O2143" s="74">
        <f>$L$2143-EFEITO!$O$2143*EFEITO!$AA$2143</f>
        <v>0</v>
      </c>
      <c r="P2143" s="57"/>
      <c r="Q2143" s="57"/>
      <c r="R2143" s="57"/>
      <c r="S2143" s="57"/>
      <c r="T2143" s="57"/>
      <c r="U2143" s="57"/>
      <c r="V2143" s="57"/>
      <c r="W2143" s="57"/>
      <c r="X2143" s="6"/>
      <c r="Y2143" s="6"/>
      <c r="Z2143" s="6"/>
      <c r="AA2143" s="6"/>
      <c r="AB2143" s="6"/>
      <c r="AC2143" s="6"/>
      <c r="AD2143" s="6"/>
      <c r="AE2143" s="6"/>
      <c r="AF2143" s="6"/>
      <c r="AG2143" s="6"/>
      <c r="AH2143" s="6"/>
      <c r="AI2143" s="6"/>
      <c r="AJ2143" s="6"/>
    </row>
    <row r="2144" spans="1:36" ht="11.25" customHeight="1" x14ac:dyDescent="0.2">
      <c r="A2144" s="53" t="s">
        <v>28</v>
      </c>
      <c r="B2144" s="53" t="s">
        <v>39</v>
      </c>
      <c r="C2144" s="53" t="s">
        <v>23</v>
      </c>
      <c r="D2144" s="53" t="s">
        <v>42</v>
      </c>
      <c r="E2144" s="53" t="s">
        <v>25</v>
      </c>
      <c r="F2144" s="53" t="s">
        <v>25</v>
      </c>
      <c r="G2144" s="53" t="s">
        <v>25</v>
      </c>
      <c r="H2144" s="53" t="s">
        <v>25</v>
      </c>
      <c r="I2144" s="73">
        <v>43862</v>
      </c>
      <c r="J2144" s="74">
        <f>EFEITO!$J$2144*EFEITO!$Y$2144</f>
        <v>0</v>
      </c>
      <c r="K2144" s="74">
        <f ca="1">EFEITO!$L$2144*EFEITO!$Z$2144</f>
        <v>223.20926640873375</v>
      </c>
      <c r="L2144" s="74">
        <f>EFEITO!$N$2144*EFEITO!$AA$2144</f>
        <v>199.42555959848053</v>
      </c>
      <c r="M2144" s="74">
        <f>$J$2144-EFEITO!$K$2144*EFEITO!$Y$2144</f>
        <v>0</v>
      </c>
      <c r="N2144" s="74">
        <f ca="1">$K$2144-EFEITO!$M$2144*EFEITO!$Z$2144</f>
        <v>0</v>
      </c>
      <c r="O2144" s="74">
        <f>$L$2144-EFEITO!$O$2144*EFEITO!$AA$2144</f>
        <v>0</v>
      </c>
      <c r="P2144" s="57"/>
      <c r="Q2144" s="57"/>
      <c r="R2144" s="57"/>
      <c r="S2144" s="57"/>
      <c r="T2144" s="57"/>
      <c r="U2144" s="57"/>
      <c r="V2144" s="57"/>
      <c r="W2144" s="57"/>
      <c r="X2144" s="6"/>
      <c r="Y2144" s="6"/>
      <c r="Z2144" s="6"/>
      <c r="AA2144" s="6"/>
      <c r="AB2144" s="6"/>
      <c r="AC2144" s="6"/>
      <c r="AD2144" s="6"/>
      <c r="AE2144" s="6"/>
      <c r="AF2144" s="6"/>
      <c r="AG2144" s="6"/>
      <c r="AH2144" s="6"/>
      <c r="AI2144" s="6"/>
      <c r="AJ2144" s="6"/>
    </row>
    <row r="2145" spans="1:36" ht="11.25" customHeight="1" x14ac:dyDescent="0.2">
      <c r="A2145" s="53" t="s">
        <v>21</v>
      </c>
      <c r="B2145" s="53" t="s">
        <v>39</v>
      </c>
      <c r="C2145" s="53" t="s">
        <v>23</v>
      </c>
      <c r="D2145" s="53" t="s">
        <v>42</v>
      </c>
      <c r="E2145" s="53" t="s">
        <v>25</v>
      </c>
      <c r="F2145" s="53" t="s">
        <v>25</v>
      </c>
      <c r="G2145" s="53" t="s">
        <v>25</v>
      </c>
      <c r="H2145" s="53" t="s">
        <v>25</v>
      </c>
      <c r="I2145" s="73">
        <v>43891</v>
      </c>
      <c r="J2145" s="74">
        <f>EFEITO!$J$2145*EFEITO!$Y$2145</f>
        <v>0</v>
      </c>
      <c r="K2145" s="74">
        <f ca="1">EFEITO!$L$2145*EFEITO!$Z$2145</f>
        <v>21878090.603188023</v>
      </c>
      <c r="L2145" s="74">
        <f>EFEITO!$N$2145*EFEITO!$AA$2145</f>
        <v>19546905.608737364</v>
      </c>
      <c r="M2145" s="74">
        <f>$J$2145-EFEITO!$K$2145*EFEITO!$Y$2145</f>
        <v>0</v>
      </c>
      <c r="N2145" s="74">
        <f ca="1">$K$2145-EFEITO!$M$2145*EFEITO!$Z$2145</f>
        <v>0</v>
      </c>
      <c r="O2145" s="74">
        <f>$L$2145-EFEITO!$O$2145*EFEITO!$AA$2145</f>
        <v>0</v>
      </c>
      <c r="P2145" s="57"/>
      <c r="Q2145" s="57"/>
      <c r="R2145" s="57"/>
      <c r="S2145" s="57"/>
      <c r="T2145" s="57"/>
      <c r="U2145" s="57"/>
      <c r="V2145" s="57"/>
      <c r="W2145" s="57"/>
      <c r="X2145" s="6"/>
      <c r="Y2145" s="6"/>
      <c r="Z2145" s="6"/>
      <c r="AA2145" s="6"/>
      <c r="AB2145" s="6"/>
      <c r="AC2145" s="6"/>
      <c r="AD2145" s="6"/>
      <c r="AE2145" s="6"/>
      <c r="AF2145" s="6"/>
      <c r="AG2145" s="6"/>
      <c r="AH2145" s="6"/>
      <c r="AI2145" s="6"/>
      <c r="AJ2145" s="6"/>
    </row>
    <row r="2146" spans="1:36" ht="11.25" customHeight="1" x14ac:dyDescent="0.2">
      <c r="A2146" s="53" t="s">
        <v>27</v>
      </c>
      <c r="B2146" s="53" t="s">
        <v>39</v>
      </c>
      <c r="C2146" s="53" t="s">
        <v>23</v>
      </c>
      <c r="D2146" s="53" t="s">
        <v>42</v>
      </c>
      <c r="E2146" s="53" t="s">
        <v>25</v>
      </c>
      <c r="F2146" s="53" t="s">
        <v>25</v>
      </c>
      <c r="G2146" s="53" t="s">
        <v>25</v>
      </c>
      <c r="H2146" s="53" t="s">
        <v>25</v>
      </c>
      <c r="I2146" s="73">
        <v>43891</v>
      </c>
      <c r="J2146" s="74">
        <f>EFEITO!$J$2146*EFEITO!$Y$2146</f>
        <v>0</v>
      </c>
      <c r="K2146" s="74">
        <f ca="1">EFEITO!$L$2146*EFEITO!$Z$2146</f>
        <v>56134.547690553081</v>
      </c>
      <c r="L2146" s="74">
        <f>EFEITO!$N$2146*EFEITO!$AA$2146</f>
        <v>50153.220635100457</v>
      </c>
      <c r="M2146" s="74">
        <f>$J$2146-EFEITO!$K$2146*EFEITO!$Y$2146</f>
        <v>0</v>
      </c>
      <c r="N2146" s="74">
        <f ca="1">$K$2146-EFEITO!$M$2146*EFEITO!$Z$2146</f>
        <v>0</v>
      </c>
      <c r="O2146" s="74">
        <f>$L$2146-EFEITO!$O$2146*EFEITO!$AA$2146</f>
        <v>0</v>
      </c>
      <c r="P2146" s="57"/>
      <c r="Q2146" s="57"/>
      <c r="R2146" s="57"/>
      <c r="S2146" s="57"/>
      <c r="T2146" s="57"/>
      <c r="U2146" s="57"/>
      <c r="V2146" s="57"/>
      <c r="W2146" s="57"/>
      <c r="X2146" s="6"/>
      <c r="Y2146" s="6"/>
      <c r="Z2146" s="6"/>
      <c r="AA2146" s="6"/>
      <c r="AB2146" s="6"/>
      <c r="AC2146" s="6"/>
      <c r="AD2146" s="6"/>
      <c r="AE2146" s="6"/>
      <c r="AF2146" s="6"/>
      <c r="AG2146" s="6"/>
      <c r="AH2146" s="6"/>
      <c r="AI2146" s="6"/>
      <c r="AJ2146" s="6"/>
    </row>
    <row r="2147" spans="1:36" ht="11.25" customHeight="1" x14ac:dyDescent="0.2">
      <c r="A2147" s="53" t="s">
        <v>28</v>
      </c>
      <c r="B2147" s="53" t="s">
        <v>39</v>
      </c>
      <c r="C2147" s="53" t="s">
        <v>23</v>
      </c>
      <c r="D2147" s="53" t="s">
        <v>42</v>
      </c>
      <c r="E2147" s="53" t="s">
        <v>25</v>
      </c>
      <c r="F2147" s="53" t="s">
        <v>25</v>
      </c>
      <c r="G2147" s="53" t="s">
        <v>25</v>
      </c>
      <c r="H2147" s="53" t="s">
        <v>25</v>
      </c>
      <c r="I2147" s="73">
        <v>43891</v>
      </c>
      <c r="J2147" s="74">
        <f>EFEITO!$J$2147*EFEITO!$Y$2147</f>
        <v>0</v>
      </c>
      <c r="K2147" s="74">
        <f ca="1">EFEITO!$L$2147*EFEITO!$Z$2147</f>
        <v>140739.01590549515</v>
      </c>
      <c r="L2147" s="74">
        <f>EFEITO!$N$2147*EFEITO!$AA$2147</f>
        <v>125742.79489319005</v>
      </c>
      <c r="M2147" s="74">
        <f>$J$2147-EFEITO!$K$2147*EFEITO!$Y$2147</f>
        <v>0</v>
      </c>
      <c r="N2147" s="74">
        <f ca="1">$K$2147-EFEITO!$M$2147*EFEITO!$Z$2147</f>
        <v>0</v>
      </c>
      <c r="O2147" s="74">
        <f>$L$2147-EFEITO!$O$2147*EFEITO!$AA$2147</f>
        <v>0</v>
      </c>
      <c r="P2147" s="57"/>
      <c r="Q2147" s="57"/>
      <c r="R2147" s="57"/>
      <c r="S2147" s="57"/>
      <c r="T2147" s="57"/>
      <c r="U2147" s="57"/>
      <c r="V2147" s="57"/>
      <c r="W2147" s="57"/>
      <c r="X2147" s="6"/>
      <c r="Y2147" s="6"/>
      <c r="Z2147" s="6"/>
      <c r="AA2147" s="6"/>
      <c r="AB2147" s="6"/>
      <c r="AC2147" s="6"/>
      <c r="AD2147" s="6"/>
      <c r="AE2147" s="6"/>
      <c r="AF2147" s="6"/>
      <c r="AG2147" s="6"/>
      <c r="AH2147" s="6"/>
      <c r="AI2147" s="6"/>
      <c r="AJ2147" s="6"/>
    </row>
    <row r="2148" spans="1:36" ht="11.25" customHeight="1" x14ac:dyDescent="0.2">
      <c r="A2148" s="53" t="s">
        <v>21</v>
      </c>
      <c r="B2148" s="53" t="s">
        <v>39</v>
      </c>
      <c r="C2148" s="53" t="s">
        <v>23</v>
      </c>
      <c r="D2148" s="53" t="s">
        <v>42</v>
      </c>
      <c r="E2148" s="53" t="s">
        <v>25</v>
      </c>
      <c r="F2148" s="53" t="s">
        <v>25</v>
      </c>
      <c r="G2148" s="53" t="s">
        <v>25</v>
      </c>
      <c r="H2148" s="53" t="s">
        <v>25</v>
      </c>
      <c r="I2148" s="73">
        <v>43922</v>
      </c>
      <c r="J2148" s="74">
        <f>EFEITO!$J$2148*EFEITO!$Y$2148</f>
        <v>0</v>
      </c>
      <c r="K2148" s="74">
        <f ca="1">EFEITO!$L$2148*EFEITO!$Z$2148</f>
        <v>18470215.804868475</v>
      </c>
      <c r="L2148" s="74">
        <f>EFEITO!$N$2148*EFEITO!$AA$2148</f>
        <v>16502151.465547176</v>
      </c>
      <c r="M2148" s="74">
        <f>$J$2148-EFEITO!$K$2148*EFEITO!$Y$2148</f>
        <v>0</v>
      </c>
      <c r="N2148" s="74">
        <f ca="1">$K$2148-EFEITO!$M$2148*EFEITO!$Z$2148</f>
        <v>0</v>
      </c>
      <c r="O2148" s="74">
        <f>$L$2148-EFEITO!$O$2148*EFEITO!$AA$2148</f>
        <v>0</v>
      </c>
      <c r="P2148" s="57"/>
      <c r="Q2148" s="57"/>
      <c r="R2148" s="57"/>
      <c r="S2148" s="57"/>
      <c r="T2148" s="57"/>
      <c r="U2148" s="57"/>
      <c r="V2148" s="57"/>
      <c r="W2148" s="57"/>
      <c r="X2148" s="6"/>
      <c r="Y2148" s="6"/>
      <c r="Z2148" s="6"/>
      <c r="AA2148" s="6"/>
      <c r="AB2148" s="6"/>
      <c r="AC2148" s="6"/>
      <c r="AD2148" s="6"/>
      <c r="AE2148" s="6"/>
      <c r="AF2148" s="6"/>
      <c r="AG2148" s="6"/>
      <c r="AH2148" s="6"/>
      <c r="AI2148" s="6"/>
      <c r="AJ2148" s="6"/>
    </row>
    <row r="2149" spans="1:36" ht="11.25" customHeight="1" x14ac:dyDescent="0.2">
      <c r="A2149" s="53" t="s">
        <v>27</v>
      </c>
      <c r="B2149" s="53" t="s">
        <v>39</v>
      </c>
      <c r="C2149" s="53" t="s">
        <v>23</v>
      </c>
      <c r="D2149" s="53" t="s">
        <v>42</v>
      </c>
      <c r="E2149" s="53" t="s">
        <v>25</v>
      </c>
      <c r="F2149" s="53" t="s">
        <v>25</v>
      </c>
      <c r="G2149" s="53" t="s">
        <v>25</v>
      </c>
      <c r="H2149" s="53" t="s">
        <v>25</v>
      </c>
      <c r="I2149" s="73">
        <v>43922</v>
      </c>
      <c r="J2149" s="74">
        <f>EFEITO!$J$2149*EFEITO!$Y$2149</f>
        <v>0</v>
      </c>
      <c r="K2149" s="74">
        <f ca="1">EFEITO!$L$2149*EFEITO!$Z$2149</f>
        <v>73597.342319906762</v>
      </c>
      <c r="L2149" s="74">
        <f>EFEITO!$N$2149*EFEITO!$AA$2149</f>
        <v>65755.29507915648</v>
      </c>
      <c r="M2149" s="74">
        <f>$J$2149-EFEITO!$K$2149*EFEITO!$Y$2149</f>
        <v>0</v>
      </c>
      <c r="N2149" s="74">
        <f ca="1">$K$2149-EFEITO!$M$2149*EFEITO!$Z$2149</f>
        <v>0</v>
      </c>
      <c r="O2149" s="74">
        <f>$L$2149-EFEITO!$O$2149*EFEITO!$AA$2149</f>
        <v>0</v>
      </c>
      <c r="P2149" s="57"/>
      <c r="Q2149" s="57"/>
      <c r="R2149" s="57"/>
      <c r="S2149" s="57"/>
      <c r="T2149" s="57"/>
      <c r="U2149" s="57"/>
      <c r="V2149" s="57"/>
      <c r="W2149" s="57"/>
      <c r="X2149" s="6"/>
      <c r="Y2149" s="6"/>
      <c r="Z2149" s="6"/>
      <c r="AA2149" s="6"/>
      <c r="AB2149" s="6"/>
      <c r="AC2149" s="6"/>
      <c r="AD2149" s="6"/>
      <c r="AE2149" s="6"/>
      <c r="AF2149" s="6"/>
      <c r="AG2149" s="6"/>
      <c r="AH2149" s="6"/>
      <c r="AI2149" s="6"/>
      <c r="AJ2149" s="6"/>
    </row>
    <row r="2150" spans="1:36" ht="11.25" customHeight="1" x14ac:dyDescent="0.2">
      <c r="A2150" s="53" t="s">
        <v>28</v>
      </c>
      <c r="B2150" s="53" t="s">
        <v>39</v>
      </c>
      <c r="C2150" s="53" t="s">
        <v>23</v>
      </c>
      <c r="D2150" s="53" t="s">
        <v>42</v>
      </c>
      <c r="E2150" s="53" t="s">
        <v>25</v>
      </c>
      <c r="F2150" s="53" t="s">
        <v>25</v>
      </c>
      <c r="G2150" s="53" t="s">
        <v>25</v>
      </c>
      <c r="H2150" s="53" t="s">
        <v>25</v>
      </c>
      <c r="I2150" s="73">
        <v>43922</v>
      </c>
      <c r="J2150" s="74">
        <f>EFEITO!$J$2150*EFEITO!$Y$2150</f>
        <v>0</v>
      </c>
      <c r="K2150" s="74">
        <f ca="1">EFEITO!$L$2150*EFEITO!$Z$2150</f>
        <v>91446.199261441201</v>
      </c>
      <c r="L2150" s="74">
        <f>EFEITO!$N$2150*EFEITO!$AA$2150</f>
        <v>81702.295582444975</v>
      </c>
      <c r="M2150" s="74">
        <f>$J$2150-EFEITO!$K$2150*EFEITO!$Y$2150</f>
        <v>0</v>
      </c>
      <c r="N2150" s="74">
        <f ca="1">$K$2150-EFEITO!$M$2150*EFEITO!$Z$2150</f>
        <v>0</v>
      </c>
      <c r="O2150" s="74">
        <f>$L$2150-EFEITO!$O$2150*EFEITO!$AA$2150</f>
        <v>0</v>
      </c>
      <c r="P2150" s="57"/>
      <c r="Q2150" s="57"/>
      <c r="R2150" s="57"/>
      <c r="S2150" s="57"/>
      <c r="T2150" s="57"/>
      <c r="U2150" s="57"/>
      <c r="V2150" s="57"/>
      <c r="W2150" s="57"/>
      <c r="X2150" s="6"/>
      <c r="Y2150" s="6"/>
      <c r="Z2150" s="6"/>
      <c r="AA2150" s="6"/>
      <c r="AB2150" s="6"/>
      <c r="AC2150" s="6"/>
      <c r="AD2150" s="6"/>
      <c r="AE2150" s="6"/>
      <c r="AF2150" s="6"/>
      <c r="AG2150" s="6"/>
      <c r="AH2150" s="6"/>
      <c r="AI2150" s="6"/>
      <c r="AJ2150" s="6"/>
    </row>
    <row r="2151" spans="1:36" ht="11.25" customHeight="1" x14ac:dyDescent="0.2">
      <c r="A2151" s="53" t="s">
        <v>28</v>
      </c>
      <c r="B2151" s="53" t="s">
        <v>39</v>
      </c>
      <c r="C2151" s="53" t="s">
        <v>23</v>
      </c>
      <c r="D2151" s="53" t="s">
        <v>42</v>
      </c>
      <c r="E2151" s="53" t="s">
        <v>25</v>
      </c>
      <c r="F2151" s="53" t="s">
        <v>25</v>
      </c>
      <c r="G2151" s="53" t="s">
        <v>25</v>
      </c>
      <c r="H2151" s="53" t="s">
        <v>25</v>
      </c>
      <c r="I2151" s="73">
        <v>43922</v>
      </c>
      <c r="J2151" s="74">
        <f>EFEITO!$J$2151*EFEITO!$Y$2151</f>
        <v>0</v>
      </c>
      <c r="K2151" s="74">
        <f ca="1">EFEITO!$L$2151*EFEITO!$Z$2151</f>
        <v>27.187486773292786</v>
      </c>
      <c r="L2151" s="74">
        <f>EFEITO!$N$2151*EFEITO!$AA$2151</f>
        <v>24.290567551581066</v>
      </c>
      <c r="M2151" s="74">
        <f>$J$2151-EFEITO!$K$2151*EFEITO!$Y$2151</f>
        <v>0</v>
      </c>
      <c r="N2151" s="74">
        <f ca="1">$K$2151-EFEITO!$M$2151*EFEITO!$Z$2151</f>
        <v>0</v>
      </c>
      <c r="O2151" s="74">
        <f>$L$2151-EFEITO!$O$2151*EFEITO!$AA$2151</f>
        <v>0</v>
      </c>
      <c r="P2151" s="57"/>
      <c r="Q2151" s="57"/>
      <c r="R2151" s="57"/>
      <c r="S2151" s="57"/>
      <c r="T2151" s="57"/>
      <c r="U2151" s="57"/>
      <c r="V2151" s="57"/>
      <c r="W2151" s="57"/>
      <c r="X2151" s="6"/>
      <c r="Y2151" s="6"/>
      <c r="Z2151" s="6"/>
      <c r="AA2151" s="6"/>
      <c r="AB2151" s="6"/>
      <c r="AC2151" s="6"/>
      <c r="AD2151" s="6"/>
      <c r="AE2151" s="6"/>
      <c r="AF2151" s="6"/>
      <c r="AG2151" s="6"/>
      <c r="AH2151" s="6"/>
      <c r="AI2151" s="6"/>
      <c r="AJ2151" s="6"/>
    </row>
    <row r="2152" spans="1:36" ht="11.25" customHeight="1" x14ac:dyDescent="0.2">
      <c r="A2152" s="53" t="s">
        <v>21</v>
      </c>
      <c r="B2152" s="53" t="s">
        <v>39</v>
      </c>
      <c r="C2152" s="53" t="s">
        <v>23</v>
      </c>
      <c r="D2152" s="53" t="s">
        <v>42</v>
      </c>
      <c r="E2152" s="53" t="s">
        <v>25</v>
      </c>
      <c r="F2152" s="53" t="s">
        <v>25</v>
      </c>
      <c r="G2152" s="53" t="s">
        <v>25</v>
      </c>
      <c r="H2152" s="53" t="s">
        <v>25</v>
      </c>
      <c r="I2152" s="73">
        <v>43952</v>
      </c>
      <c r="J2152" s="74">
        <f>EFEITO!$J$2152*EFEITO!$Y$2152</f>
        <v>0</v>
      </c>
      <c r="K2152" s="74">
        <f ca="1">EFEITO!$L$2152*EFEITO!$Z$2152</f>
        <v>16915398.780036665</v>
      </c>
      <c r="L2152" s="74">
        <f>EFEITO!$N$2152*EFEITO!$AA$2152</f>
        <v>15113005.485010071</v>
      </c>
      <c r="M2152" s="74">
        <f>$J$2152-EFEITO!$K$2152*EFEITO!$Y$2152</f>
        <v>0</v>
      </c>
      <c r="N2152" s="74">
        <f ca="1">$K$2152-EFEITO!$M$2152*EFEITO!$Z$2152</f>
        <v>0</v>
      </c>
      <c r="O2152" s="74">
        <f>$L$2152-EFEITO!$O$2152*EFEITO!$AA$2152</f>
        <v>0</v>
      </c>
      <c r="P2152" s="57"/>
      <c r="Q2152" s="57"/>
      <c r="R2152" s="57"/>
      <c r="S2152" s="57"/>
      <c r="T2152" s="57"/>
      <c r="U2152" s="57"/>
      <c r="V2152" s="57"/>
      <c r="W2152" s="57"/>
      <c r="X2152" s="6"/>
      <c r="Y2152" s="6"/>
      <c r="Z2152" s="6"/>
      <c r="AA2152" s="6"/>
      <c r="AB2152" s="6"/>
      <c r="AC2152" s="6"/>
      <c r="AD2152" s="6"/>
      <c r="AE2152" s="6"/>
      <c r="AF2152" s="6"/>
      <c r="AG2152" s="6"/>
      <c r="AH2152" s="6"/>
      <c r="AI2152" s="6"/>
      <c r="AJ2152" s="6"/>
    </row>
    <row r="2153" spans="1:36" ht="11.25" customHeight="1" x14ac:dyDescent="0.2">
      <c r="A2153" s="53" t="s">
        <v>27</v>
      </c>
      <c r="B2153" s="53" t="s">
        <v>39</v>
      </c>
      <c r="C2153" s="53" t="s">
        <v>23</v>
      </c>
      <c r="D2153" s="53" t="s">
        <v>42</v>
      </c>
      <c r="E2153" s="53" t="s">
        <v>25</v>
      </c>
      <c r="F2153" s="53" t="s">
        <v>25</v>
      </c>
      <c r="G2153" s="53" t="s">
        <v>25</v>
      </c>
      <c r="H2153" s="53" t="s">
        <v>25</v>
      </c>
      <c r="I2153" s="73">
        <v>43952</v>
      </c>
      <c r="J2153" s="74">
        <f>EFEITO!$J$2153*EFEITO!$Y$2153</f>
        <v>0</v>
      </c>
      <c r="K2153" s="74">
        <f ca="1">EFEITO!$L$2153*EFEITO!$Z$2153</f>
        <v>57661.396947741196</v>
      </c>
      <c r="L2153" s="74">
        <f>EFEITO!$N$2153*EFEITO!$AA$2153</f>
        <v>51517.378908797247</v>
      </c>
      <c r="M2153" s="74">
        <f>$J$2153-EFEITO!$K$2153*EFEITO!$Y$2153</f>
        <v>0</v>
      </c>
      <c r="N2153" s="74">
        <f ca="1">$K$2153-EFEITO!$M$2153*EFEITO!$Z$2153</f>
        <v>0</v>
      </c>
      <c r="O2153" s="74">
        <f>$L$2153-EFEITO!$O$2153*EFEITO!$AA$2153</f>
        <v>0</v>
      </c>
      <c r="P2153" s="57"/>
      <c r="Q2153" s="57"/>
      <c r="R2153" s="57"/>
      <c r="S2153" s="57"/>
      <c r="T2153" s="57"/>
      <c r="U2153" s="57"/>
      <c r="V2153" s="57"/>
      <c r="W2153" s="57"/>
      <c r="X2153" s="6"/>
      <c r="Y2153" s="6"/>
      <c r="Z2153" s="6"/>
      <c r="AA2153" s="6"/>
      <c r="AB2153" s="6"/>
      <c r="AC2153" s="6"/>
      <c r="AD2153" s="6"/>
      <c r="AE2153" s="6"/>
      <c r="AF2153" s="6"/>
      <c r="AG2153" s="6"/>
      <c r="AH2153" s="6"/>
      <c r="AI2153" s="6"/>
      <c r="AJ2153" s="6"/>
    </row>
    <row r="2154" spans="1:36" ht="11.25" customHeight="1" x14ac:dyDescent="0.2">
      <c r="A2154" s="53" t="s">
        <v>28</v>
      </c>
      <c r="B2154" s="53" t="s">
        <v>39</v>
      </c>
      <c r="C2154" s="53" t="s">
        <v>23</v>
      </c>
      <c r="D2154" s="53" t="s">
        <v>42</v>
      </c>
      <c r="E2154" s="53" t="s">
        <v>25</v>
      </c>
      <c r="F2154" s="53" t="s">
        <v>25</v>
      </c>
      <c r="G2154" s="53" t="s">
        <v>25</v>
      </c>
      <c r="H2154" s="53" t="s">
        <v>25</v>
      </c>
      <c r="I2154" s="73">
        <v>43952</v>
      </c>
      <c r="J2154" s="74">
        <f>EFEITO!$J$2154*EFEITO!$Y$2154</f>
        <v>0</v>
      </c>
      <c r="K2154" s="74">
        <f ca="1">EFEITO!$L$2154*EFEITO!$Z$2154</f>
        <v>71292.387191267015</v>
      </c>
      <c r="L2154" s="74">
        <f>EFEITO!$N$2154*EFEITO!$AA$2154</f>
        <v>63695.940762133454</v>
      </c>
      <c r="M2154" s="74">
        <f>$J$2154-EFEITO!$K$2154*EFEITO!$Y$2154</f>
        <v>0</v>
      </c>
      <c r="N2154" s="74">
        <f ca="1">$K$2154-EFEITO!$M$2154*EFEITO!$Z$2154</f>
        <v>0</v>
      </c>
      <c r="O2154" s="74">
        <f>$L$2154-EFEITO!$O$2154*EFEITO!$AA$2154</f>
        <v>0</v>
      </c>
      <c r="P2154" s="57"/>
      <c r="Q2154" s="57"/>
      <c r="R2154" s="57"/>
      <c r="S2154" s="57"/>
      <c r="T2154" s="57"/>
      <c r="U2154" s="57"/>
      <c r="V2154" s="57"/>
      <c r="W2154" s="57"/>
      <c r="X2154" s="6"/>
      <c r="Y2154" s="6"/>
      <c r="Z2154" s="6"/>
      <c r="AA2154" s="6"/>
      <c r="AB2154" s="6"/>
      <c r="AC2154" s="6"/>
      <c r="AD2154" s="6"/>
      <c r="AE2154" s="6"/>
      <c r="AF2154" s="6"/>
      <c r="AG2154" s="6"/>
      <c r="AH2154" s="6"/>
      <c r="AI2154" s="6"/>
      <c r="AJ2154" s="6"/>
    </row>
    <row r="2155" spans="1:36" ht="11.25" customHeight="1" x14ac:dyDescent="0.2">
      <c r="A2155" s="53" t="s">
        <v>28</v>
      </c>
      <c r="B2155" s="53" t="s">
        <v>39</v>
      </c>
      <c r="C2155" s="53" t="s">
        <v>23</v>
      </c>
      <c r="D2155" s="53" t="s">
        <v>42</v>
      </c>
      <c r="E2155" s="53" t="s">
        <v>25</v>
      </c>
      <c r="F2155" s="53" t="s">
        <v>25</v>
      </c>
      <c r="G2155" s="53" t="s">
        <v>25</v>
      </c>
      <c r="H2155" s="53" t="s">
        <v>25</v>
      </c>
      <c r="I2155" s="73">
        <v>43952</v>
      </c>
      <c r="J2155" s="74">
        <f>EFEITO!$J$2155*EFEITO!$Y$2155</f>
        <v>0</v>
      </c>
      <c r="K2155" s="74">
        <f ca="1">EFEITO!$L$2155*EFEITO!$Z$2155</f>
        <v>27.187486773292786</v>
      </c>
      <c r="L2155" s="74">
        <f>EFEITO!$N$2155*EFEITO!$AA$2155</f>
        <v>24.290567551581066</v>
      </c>
      <c r="M2155" s="74">
        <f>$J$2155-EFEITO!$K$2155*EFEITO!$Y$2155</f>
        <v>0</v>
      </c>
      <c r="N2155" s="74">
        <f ca="1">$K$2155-EFEITO!$M$2155*EFEITO!$Z$2155</f>
        <v>0</v>
      </c>
      <c r="O2155" s="74">
        <f>$L$2155-EFEITO!$O$2155*EFEITO!$AA$2155</f>
        <v>0</v>
      </c>
      <c r="P2155" s="57"/>
      <c r="Q2155" s="57"/>
      <c r="R2155" s="57"/>
      <c r="S2155" s="57"/>
      <c r="T2155" s="57"/>
      <c r="U2155" s="57"/>
      <c r="V2155" s="57"/>
      <c r="W2155" s="57"/>
      <c r="X2155" s="6"/>
      <c r="Y2155" s="6"/>
      <c r="Z2155" s="6"/>
      <c r="AA2155" s="6"/>
      <c r="AB2155" s="6"/>
      <c r="AC2155" s="6"/>
      <c r="AD2155" s="6"/>
      <c r="AE2155" s="6"/>
      <c r="AF2155" s="6"/>
      <c r="AG2155" s="6"/>
      <c r="AH2155" s="6"/>
      <c r="AI2155" s="6"/>
      <c r="AJ2155" s="6"/>
    </row>
    <row r="2156" spans="1:36" ht="11.25" customHeight="1" x14ac:dyDescent="0.2">
      <c r="A2156" s="53" t="s">
        <v>21</v>
      </c>
      <c r="B2156" s="53" t="s">
        <v>39</v>
      </c>
      <c r="C2156" s="53" t="s">
        <v>23</v>
      </c>
      <c r="D2156" s="53" t="s">
        <v>42</v>
      </c>
      <c r="E2156" s="53" t="s">
        <v>25</v>
      </c>
      <c r="F2156" s="53" t="s">
        <v>25</v>
      </c>
      <c r="G2156" s="53" t="s">
        <v>25</v>
      </c>
      <c r="H2156" s="53" t="s">
        <v>25</v>
      </c>
      <c r="I2156" s="73">
        <v>43983</v>
      </c>
      <c r="J2156" s="74">
        <f>EFEITO!$J$2156*EFEITO!$Y$2156</f>
        <v>0</v>
      </c>
      <c r="K2156" s="74">
        <f ca="1">EFEITO!$L$2156*EFEITO!$Z$2156</f>
        <v>15641376.021723498</v>
      </c>
      <c r="L2156" s="74">
        <f>EFEITO!$N$2156*EFEITO!$AA$2156</f>
        <v>13974734.186485425</v>
      </c>
      <c r="M2156" s="74">
        <f>$J$2156-EFEITO!$K$2156*EFEITO!$Y$2156</f>
        <v>0</v>
      </c>
      <c r="N2156" s="74">
        <f ca="1">$K$2156-EFEITO!$M$2156*EFEITO!$Z$2156</f>
        <v>0</v>
      </c>
      <c r="O2156" s="74">
        <f>$L$2156-EFEITO!$O$2156*EFEITO!$AA$2156</f>
        <v>0</v>
      </c>
      <c r="P2156" s="57"/>
      <c r="Q2156" s="57"/>
      <c r="R2156" s="57"/>
      <c r="S2156" s="57"/>
      <c r="T2156" s="57"/>
      <c r="U2156" s="57"/>
      <c r="V2156" s="57"/>
      <c r="W2156" s="57"/>
      <c r="X2156" s="6"/>
      <c r="Y2156" s="6"/>
      <c r="Z2156" s="6"/>
      <c r="AA2156" s="6"/>
      <c r="AB2156" s="6"/>
      <c r="AC2156" s="6"/>
      <c r="AD2156" s="6"/>
      <c r="AE2156" s="6"/>
      <c r="AF2156" s="6"/>
      <c r="AG2156" s="6"/>
      <c r="AH2156" s="6"/>
      <c r="AI2156" s="6"/>
      <c r="AJ2156" s="6"/>
    </row>
    <row r="2157" spans="1:36" ht="11.25" customHeight="1" x14ac:dyDescent="0.2">
      <c r="A2157" s="53" t="s">
        <v>27</v>
      </c>
      <c r="B2157" s="53" t="s">
        <v>39</v>
      </c>
      <c r="C2157" s="53" t="s">
        <v>23</v>
      </c>
      <c r="D2157" s="53" t="s">
        <v>42</v>
      </c>
      <c r="E2157" s="53" t="s">
        <v>25</v>
      </c>
      <c r="F2157" s="53" t="s">
        <v>25</v>
      </c>
      <c r="G2157" s="53" t="s">
        <v>25</v>
      </c>
      <c r="H2157" s="53" t="s">
        <v>25</v>
      </c>
      <c r="I2157" s="73">
        <v>43983</v>
      </c>
      <c r="J2157" s="74">
        <f>EFEITO!$J$2157*EFEITO!$Y$2157</f>
        <v>0</v>
      </c>
      <c r="K2157" s="74">
        <f ca="1">EFEITO!$L$2157*EFEITO!$Z$2157</f>
        <v>37432.547414072702</v>
      </c>
      <c r="L2157" s="74">
        <f>EFEITO!$N$2157*EFEITO!$AA$2157</f>
        <v>33443.982122043359</v>
      </c>
      <c r="M2157" s="74">
        <f>$J$2157-EFEITO!$K$2157*EFEITO!$Y$2157</f>
        <v>0</v>
      </c>
      <c r="N2157" s="74">
        <f ca="1">$K$2157-EFEITO!$M$2157*EFEITO!$Z$2157</f>
        <v>0</v>
      </c>
      <c r="O2157" s="74">
        <f>$L$2157-EFEITO!$O$2157*EFEITO!$AA$2157</f>
        <v>0</v>
      </c>
      <c r="P2157" s="57"/>
      <c r="Q2157" s="57"/>
      <c r="R2157" s="57"/>
      <c r="S2157" s="57"/>
      <c r="T2157" s="57"/>
      <c r="U2157" s="57"/>
      <c r="V2157" s="57"/>
      <c r="W2157" s="57"/>
      <c r="X2157" s="6"/>
      <c r="Y2157" s="6"/>
      <c r="Z2157" s="6"/>
      <c r="AA2157" s="6"/>
      <c r="AB2157" s="6"/>
      <c r="AC2157" s="6"/>
      <c r="AD2157" s="6"/>
      <c r="AE2157" s="6"/>
      <c r="AF2157" s="6"/>
      <c r="AG2157" s="6"/>
      <c r="AH2157" s="6"/>
      <c r="AI2157" s="6"/>
      <c r="AJ2157" s="6"/>
    </row>
    <row r="2158" spans="1:36" ht="11.25" customHeight="1" x14ac:dyDescent="0.2">
      <c r="A2158" s="53" t="s">
        <v>28</v>
      </c>
      <c r="B2158" s="53" t="s">
        <v>39</v>
      </c>
      <c r="C2158" s="53" t="s">
        <v>23</v>
      </c>
      <c r="D2158" s="53" t="s">
        <v>42</v>
      </c>
      <c r="E2158" s="53" t="s">
        <v>25</v>
      </c>
      <c r="F2158" s="53" t="s">
        <v>25</v>
      </c>
      <c r="G2158" s="53" t="s">
        <v>25</v>
      </c>
      <c r="H2158" s="53" t="s">
        <v>25</v>
      </c>
      <c r="I2158" s="73">
        <v>43983</v>
      </c>
      <c r="J2158" s="74">
        <f>EFEITO!$J$2158*EFEITO!$Y$2158</f>
        <v>0</v>
      </c>
      <c r="K2158" s="74">
        <f ca="1">EFEITO!$L$2158*EFEITO!$Z$2158</f>
        <v>74486.101262525699</v>
      </c>
      <c r="L2158" s="74">
        <f>EFEITO!$N$2158*EFEITO!$AA$2158</f>
        <v>66549.353732417672</v>
      </c>
      <c r="M2158" s="74">
        <f>$J$2158-EFEITO!$K$2158*EFEITO!$Y$2158</f>
        <v>0</v>
      </c>
      <c r="N2158" s="74">
        <f ca="1">$K$2158-EFEITO!$M$2158*EFEITO!$Z$2158</f>
        <v>0</v>
      </c>
      <c r="O2158" s="74">
        <f>$L$2158-EFEITO!$O$2158*EFEITO!$AA$2158</f>
        <v>0</v>
      </c>
      <c r="P2158" s="57"/>
      <c r="Q2158" s="57"/>
      <c r="R2158" s="57"/>
      <c r="S2158" s="57"/>
      <c r="T2158" s="57"/>
      <c r="U2158" s="57"/>
      <c r="V2158" s="57"/>
      <c r="W2158" s="57"/>
      <c r="X2158" s="6"/>
      <c r="Y2158" s="6"/>
      <c r="Z2158" s="6"/>
      <c r="AA2158" s="6"/>
      <c r="AB2158" s="6"/>
      <c r="AC2158" s="6"/>
      <c r="AD2158" s="6"/>
      <c r="AE2158" s="6"/>
      <c r="AF2158" s="6"/>
      <c r="AG2158" s="6"/>
      <c r="AH2158" s="6"/>
      <c r="AI2158" s="6"/>
      <c r="AJ2158" s="6"/>
    </row>
    <row r="2159" spans="1:36" ht="11.25" customHeight="1" x14ac:dyDescent="0.2">
      <c r="A2159" s="53" t="s">
        <v>28</v>
      </c>
      <c r="B2159" s="53" t="s">
        <v>39</v>
      </c>
      <c r="C2159" s="53" t="s">
        <v>23</v>
      </c>
      <c r="D2159" s="53" t="s">
        <v>42</v>
      </c>
      <c r="E2159" s="53" t="s">
        <v>25</v>
      </c>
      <c r="F2159" s="53" t="s">
        <v>25</v>
      </c>
      <c r="G2159" s="53" t="s">
        <v>25</v>
      </c>
      <c r="H2159" s="53" t="s">
        <v>25</v>
      </c>
      <c r="I2159" s="73">
        <v>43983</v>
      </c>
      <c r="J2159" s="74">
        <f>EFEITO!$J$2159*EFEITO!$Y$2159</f>
        <v>0</v>
      </c>
      <c r="K2159" s="74">
        <f ca="1">EFEITO!$L$2159*EFEITO!$Z$2159</f>
        <v>27.187486773292786</v>
      </c>
      <c r="L2159" s="74">
        <f>EFEITO!$N$2159*EFEITO!$AA$2159</f>
        <v>24.290567551581066</v>
      </c>
      <c r="M2159" s="74">
        <f>$J$2159-EFEITO!$K$2159*EFEITO!$Y$2159</f>
        <v>0</v>
      </c>
      <c r="N2159" s="74">
        <f ca="1">$K$2159-EFEITO!$M$2159*EFEITO!$Z$2159</f>
        <v>0</v>
      </c>
      <c r="O2159" s="74">
        <f>$L$2159-EFEITO!$O$2159*EFEITO!$AA$2159</f>
        <v>0</v>
      </c>
      <c r="P2159" s="57"/>
      <c r="Q2159" s="57"/>
      <c r="R2159" s="57"/>
      <c r="S2159" s="57"/>
      <c r="T2159" s="57"/>
      <c r="U2159" s="57"/>
      <c r="V2159" s="57"/>
      <c r="W2159" s="57"/>
      <c r="X2159" s="6"/>
      <c r="Y2159" s="6"/>
      <c r="Z2159" s="6"/>
      <c r="AA2159" s="6"/>
      <c r="AB2159" s="6"/>
      <c r="AC2159" s="6"/>
      <c r="AD2159" s="6"/>
      <c r="AE2159" s="6"/>
      <c r="AF2159" s="6"/>
      <c r="AG2159" s="6"/>
      <c r="AH2159" s="6"/>
      <c r="AI2159" s="6"/>
      <c r="AJ2159" s="6"/>
    </row>
    <row r="2160" spans="1:36" ht="11.25" customHeight="1" x14ac:dyDescent="0.2">
      <c r="A2160" s="53" t="s">
        <v>21</v>
      </c>
      <c r="B2160" s="53" t="s">
        <v>39</v>
      </c>
      <c r="C2160" s="53" t="s">
        <v>23</v>
      </c>
      <c r="D2160" s="53" t="s">
        <v>42</v>
      </c>
      <c r="E2160" s="53" t="s">
        <v>25</v>
      </c>
      <c r="F2160" s="53" t="s">
        <v>25</v>
      </c>
      <c r="G2160" s="53" t="s">
        <v>25</v>
      </c>
      <c r="H2160" s="53" t="s">
        <v>25</v>
      </c>
      <c r="I2160" s="73">
        <v>44013</v>
      </c>
      <c r="J2160" s="74">
        <f>EFEITO!$J$2160*EFEITO!$Y$2160</f>
        <v>0</v>
      </c>
      <c r="K2160" s="74">
        <f ca="1">EFEITO!$L$2160*EFEITO!$Z$2160</f>
        <v>16354708.249687504</v>
      </c>
      <c r="L2160" s="74">
        <f>EFEITO!$N$2160*EFEITO!$AA$2160</f>
        <v>14612058.438431382</v>
      </c>
      <c r="M2160" s="74">
        <f>$J$2160-EFEITO!$K$2160*EFEITO!$Y$2160</f>
        <v>0</v>
      </c>
      <c r="N2160" s="74">
        <f ca="1">$K$2160-EFEITO!$M$2160*EFEITO!$Z$2160</f>
        <v>0</v>
      </c>
      <c r="O2160" s="74">
        <f>$L$2160-EFEITO!$O$2160*EFEITO!$AA$2160</f>
        <v>0</v>
      </c>
      <c r="P2160" s="57"/>
      <c r="Q2160" s="57"/>
      <c r="R2160" s="57"/>
      <c r="S2160" s="57"/>
      <c r="T2160" s="57"/>
      <c r="U2160" s="57"/>
      <c r="V2160" s="57"/>
      <c r="W2160" s="57"/>
      <c r="X2160" s="6"/>
      <c r="Y2160" s="6"/>
      <c r="Z2160" s="6"/>
      <c r="AA2160" s="6"/>
      <c r="AB2160" s="6"/>
      <c r="AC2160" s="6"/>
      <c r="AD2160" s="6"/>
      <c r="AE2160" s="6"/>
      <c r="AF2160" s="6"/>
      <c r="AG2160" s="6"/>
      <c r="AH2160" s="6"/>
      <c r="AI2160" s="6"/>
      <c r="AJ2160" s="6"/>
    </row>
    <row r="2161" spans="1:36" ht="11.25" customHeight="1" x14ac:dyDescent="0.2">
      <c r="A2161" s="53" t="s">
        <v>27</v>
      </c>
      <c r="B2161" s="53" t="s">
        <v>39</v>
      </c>
      <c r="C2161" s="53" t="s">
        <v>23</v>
      </c>
      <c r="D2161" s="53" t="s">
        <v>42</v>
      </c>
      <c r="E2161" s="53" t="s">
        <v>25</v>
      </c>
      <c r="F2161" s="53" t="s">
        <v>25</v>
      </c>
      <c r="G2161" s="53" t="s">
        <v>25</v>
      </c>
      <c r="H2161" s="53" t="s">
        <v>25</v>
      </c>
      <c r="I2161" s="73">
        <v>44013</v>
      </c>
      <c r="J2161" s="74">
        <f>EFEITO!$J$2161*EFEITO!$Y$2161</f>
        <v>0</v>
      </c>
      <c r="K2161" s="74">
        <f ca="1">EFEITO!$L$2161*EFEITO!$Z$2161</f>
        <v>44216.097238876981</v>
      </c>
      <c r="L2161" s="74">
        <f>EFEITO!$N$2161*EFEITO!$AA$2161</f>
        <v>39504.721631838343</v>
      </c>
      <c r="M2161" s="74">
        <f>$J$2161-EFEITO!$K$2161*EFEITO!$Y$2161</f>
        <v>0</v>
      </c>
      <c r="N2161" s="74">
        <f ca="1">$K$2161-EFEITO!$M$2161*EFEITO!$Z$2161</f>
        <v>0</v>
      </c>
      <c r="O2161" s="74">
        <f>$L$2161-EFEITO!$O$2161*EFEITO!$AA$2161</f>
        <v>0</v>
      </c>
      <c r="P2161" s="57"/>
      <c r="Q2161" s="57"/>
      <c r="R2161" s="57"/>
      <c r="S2161" s="57"/>
      <c r="T2161" s="57"/>
      <c r="U2161" s="57"/>
      <c r="V2161" s="57"/>
      <c r="W2161" s="57"/>
      <c r="X2161" s="6"/>
      <c r="Y2161" s="6"/>
      <c r="Z2161" s="6"/>
      <c r="AA2161" s="6"/>
      <c r="AB2161" s="6"/>
      <c r="AC2161" s="6"/>
      <c r="AD2161" s="6"/>
      <c r="AE2161" s="6"/>
      <c r="AF2161" s="6"/>
      <c r="AG2161" s="6"/>
      <c r="AH2161" s="6"/>
      <c r="AI2161" s="6"/>
      <c r="AJ2161" s="6"/>
    </row>
    <row r="2162" spans="1:36" ht="11.25" customHeight="1" x14ac:dyDescent="0.2">
      <c r="A2162" s="53" t="s">
        <v>28</v>
      </c>
      <c r="B2162" s="53" t="s">
        <v>39</v>
      </c>
      <c r="C2162" s="53" t="s">
        <v>23</v>
      </c>
      <c r="D2162" s="53" t="s">
        <v>42</v>
      </c>
      <c r="E2162" s="53" t="s">
        <v>25</v>
      </c>
      <c r="F2162" s="53" t="s">
        <v>25</v>
      </c>
      <c r="G2162" s="53" t="s">
        <v>25</v>
      </c>
      <c r="H2162" s="53" t="s">
        <v>25</v>
      </c>
      <c r="I2162" s="73">
        <v>44013</v>
      </c>
      <c r="J2162" s="74">
        <f>EFEITO!$J$2162*EFEITO!$Y$2162</f>
        <v>0</v>
      </c>
      <c r="K2162" s="74">
        <f ca="1">EFEITO!$L$2162*EFEITO!$Z$2162</f>
        <v>76969.406304398261</v>
      </c>
      <c r="L2162" s="74">
        <f>EFEITO!$N$2162*EFEITO!$AA$2162</f>
        <v>68768.054172579097</v>
      </c>
      <c r="M2162" s="74">
        <f>$J$2162-EFEITO!$K$2162*EFEITO!$Y$2162</f>
        <v>0</v>
      </c>
      <c r="N2162" s="74">
        <f ca="1">$K$2162-EFEITO!$M$2162*EFEITO!$Z$2162</f>
        <v>0</v>
      </c>
      <c r="O2162" s="74">
        <f>$L$2162-EFEITO!$O$2162*EFEITO!$AA$2162</f>
        <v>0</v>
      </c>
      <c r="P2162" s="57"/>
      <c r="Q2162" s="57"/>
      <c r="R2162" s="57"/>
      <c r="S2162" s="57"/>
      <c r="T2162" s="57"/>
      <c r="U2162" s="57"/>
      <c r="V2162" s="57"/>
      <c r="W2162" s="57"/>
      <c r="X2162" s="6"/>
      <c r="Y2162" s="6"/>
      <c r="Z2162" s="6"/>
      <c r="AA2162" s="6"/>
      <c r="AB2162" s="6"/>
      <c r="AC2162" s="6"/>
      <c r="AD2162" s="6"/>
      <c r="AE2162" s="6"/>
      <c r="AF2162" s="6"/>
      <c r="AG2162" s="6"/>
      <c r="AH2162" s="6"/>
      <c r="AI2162" s="6"/>
      <c r="AJ2162" s="6"/>
    </row>
    <row r="2163" spans="1:36" ht="11.25" customHeight="1" x14ac:dyDescent="0.2">
      <c r="A2163" s="53" t="s">
        <v>28</v>
      </c>
      <c r="B2163" s="53" t="s">
        <v>39</v>
      </c>
      <c r="C2163" s="53" t="s">
        <v>23</v>
      </c>
      <c r="D2163" s="53" t="s">
        <v>42</v>
      </c>
      <c r="E2163" s="53" t="s">
        <v>25</v>
      </c>
      <c r="F2163" s="53" t="s">
        <v>25</v>
      </c>
      <c r="G2163" s="53" t="s">
        <v>25</v>
      </c>
      <c r="H2163" s="53" t="s">
        <v>25</v>
      </c>
      <c r="I2163" s="73">
        <v>44013</v>
      </c>
      <c r="J2163" s="74">
        <f>EFEITO!$J$2163*EFEITO!$Y$2163</f>
        <v>0</v>
      </c>
      <c r="K2163" s="74">
        <f ca="1">EFEITO!$L$2163*EFEITO!$Z$2163</f>
        <v>27.187486773292786</v>
      </c>
      <c r="L2163" s="74">
        <f>EFEITO!$N$2163*EFEITO!$AA$2163</f>
        <v>24.290567551581066</v>
      </c>
      <c r="M2163" s="74">
        <f>$J$2163-EFEITO!$K$2163*EFEITO!$Y$2163</f>
        <v>0</v>
      </c>
      <c r="N2163" s="74">
        <f ca="1">$K$2163-EFEITO!$M$2163*EFEITO!$Z$2163</f>
        <v>0</v>
      </c>
      <c r="O2163" s="74">
        <f>$L$2163-EFEITO!$O$2163*EFEITO!$AA$2163</f>
        <v>0</v>
      </c>
      <c r="P2163" s="57"/>
      <c r="Q2163" s="57"/>
      <c r="R2163" s="57"/>
      <c r="S2163" s="57"/>
      <c r="T2163" s="57"/>
      <c r="U2163" s="57"/>
      <c r="V2163" s="57"/>
      <c r="W2163" s="57"/>
      <c r="X2163" s="6"/>
      <c r="Y2163" s="6"/>
      <c r="Z2163" s="6"/>
      <c r="AA2163" s="6"/>
      <c r="AB2163" s="6"/>
      <c r="AC2163" s="6"/>
      <c r="AD2163" s="6"/>
      <c r="AE2163" s="6"/>
      <c r="AF2163" s="6"/>
      <c r="AG2163" s="6"/>
      <c r="AH2163" s="6"/>
      <c r="AI2163" s="6"/>
      <c r="AJ2163" s="6"/>
    </row>
    <row r="2164" spans="1:36" ht="11.25" customHeight="1" x14ac:dyDescent="0.2">
      <c r="A2164" s="53" t="s">
        <v>21</v>
      </c>
      <c r="B2164" s="53" t="s">
        <v>39</v>
      </c>
      <c r="C2164" s="53" t="s">
        <v>23</v>
      </c>
      <c r="D2164" s="53" t="s">
        <v>42</v>
      </c>
      <c r="E2164" s="53" t="s">
        <v>25</v>
      </c>
      <c r="F2164" s="53" t="s">
        <v>25</v>
      </c>
      <c r="G2164" s="53" t="s">
        <v>25</v>
      </c>
      <c r="H2164" s="53" t="s">
        <v>25</v>
      </c>
      <c r="I2164" s="73">
        <v>44044</v>
      </c>
      <c r="J2164" s="74">
        <f>EFEITO!$J$2164*EFEITO!$Y$2164</f>
        <v>0</v>
      </c>
      <c r="K2164" s="74">
        <f ca="1">EFEITO!$L$2164*EFEITO!$Z$2164</f>
        <v>18113480.906544935</v>
      </c>
      <c r="L2164" s="74">
        <f>EFEITO!$N$2164*EFEITO!$AA$2164</f>
        <v>16183427.884438289</v>
      </c>
      <c r="M2164" s="74">
        <f>$J$2164-EFEITO!$K$2164*EFEITO!$Y$2164</f>
        <v>0</v>
      </c>
      <c r="N2164" s="74">
        <f ca="1">$K$2164-EFEITO!$M$2164*EFEITO!$Z$2164</f>
        <v>0</v>
      </c>
      <c r="O2164" s="74">
        <f>$L$2164-EFEITO!$O$2164*EFEITO!$AA$2164</f>
        <v>0</v>
      </c>
      <c r="P2164" s="57"/>
      <c r="Q2164" s="57"/>
      <c r="R2164" s="57"/>
      <c r="S2164" s="57"/>
      <c r="T2164" s="57"/>
      <c r="U2164" s="57"/>
      <c r="V2164" s="57"/>
      <c r="W2164" s="57"/>
      <c r="X2164" s="6"/>
      <c r="Y2164" s="6"/>
      <c r="Z2164" s="6"/>
      <c r="AA2164" s="6"/>
      <c r="AB2164" s="6"/>
      <c r="AC2164" s="6"/>
      <c r="AD2164" s="6"/>
      <c r="AE2164" s="6"/>
      <c r="AF2164" s="6"/>
      <c r="AG2164" s="6"/>
      <c r="AH2164" s="6"/>
      <c r="AI2164" s="6"/>
      <c r="AJ2164" s="6"/>
    </row>
    <row r="2165" spans="1:36" ht="11.25" customHeight="1" x14ac:dyDescent="0.2">
      <c r="A2165" s="53" t="s">
        <v>27</v>
      </c>
      <c r="B2165" s="53" t="s">
        <v>39</v>
      </c>
      <c r="C2165" s="53" t="s">
        <v>23</v>
      </c>
      <c r="D2165" s="53" t="s">
        <v>42</v>
      </c>
      <c r="E2165" s="53" t="s">
        <v>25</v>
      </c>
      <c r="F2165" s="53" t="s">
        <v>25</v>
      </c>
      <c r="G2165" s="53" t="s">
        <v>25</v>
      </c>
      <c r="H2165" s="53" t="s">
        <v>25</v>
      </c>
      <c r="I2165" s="73">
        <v>44044</v>
      </c>
      <c r="J2165" s="74">
        <f>EFEITO!$J$2165*EFEITO!$Y$2165</f>
        <v>0</v>
      </c>
      <c r="K2165" s="74">
        <f ca="1">EFEITO!$L$2165*EFEITO!$Z$2165</f>
        <v>62728.600732547508</v>
      </c>
      <c r="L2165" s="74">
        <f>EFEITO!$N$2165*EFEITO!$AA$2165</f>
        <v>56044.654889060927</v>
      </c>
      <c r="M2165" s="74">
        <f>$J$2165-EFEITO!$K$2165*EFEITO!$Y$2165</f>
        <v>0</v>
      </c>
      <c r="N2165" s="74">
        <f ca="1">$K$2165-EFEITO!$M$2165*EFEITO!$Z$2165</f>
        <v>0</v>
      </c>
      <c r="O2165" s="74">
        <f>$L$2165-EFEITO!$O$2165*EFEITO!$AA$2165</f>
        <v>0</v>
      </c>
      <c r="P2165" s="57"/>
      <c r="Q2165" s="57"/>
      <c r="R2165" s="57"/>
      <c r="S2165" s="57"/>
      <c r="T2165" s="57"/>
      <c r="U2165" s="57"/>
      <c r="V2165" s="57"/>
      <c r="W2165" s="57"/>
      <c r="X2165" s="6"/>
      <c r="Y2165" s="6"/>
      <c r="Z2165" s="6"/>
      <c r="AA2165" s="6"/>
      <c r="AB2165" s="6"/>
      <c r="AC2165" s="6"/>
      <c r="AD2165" s="6"/>
      <c r="AE2165" s="6"/>
      <c r="AF2165" s="6"/>
      <c r="AG2165" s="6"/>
      <c r="AH2165" s="6"/>
      <c r="AI2165" s="6"/>
      <c r="AJ2165" s="6"/>
    </row>
    <row r="2166" spans="1:36" ht="11.25" customHeight="1" x14ac:dyDescent="0.2">
      <c r="A2166" s="53" t="s">
        <v>28</v>
      </c>
      <c r="B2166" s="53" t="s">
        <v>39</v>
      </c>
      <c r="C2166" s="53" t="s">
        <v>23</v>
      </c>
      <c r="D2166" s="53" t="s">
        <v>42</v>
      </c>
      <c r="E2166" s="53" t="s">
        <v>25</v>
      </c>
      <c r="F2166" s="53" t="s">
        <v>25</v>
      </c>
      <c r="G2166" s="53" t="s">
        <v>25</v>
      </c>
      <c r="H2166" s="53" t="s">
        <v>25</v>
      </c>
      <c r="I2166" s="73">
        <v>44044</v>
      </c>
      <c r="J2166" s="74">
        <f>EFEITO!$J$2166*EFEITO!$Y$2166</f>
        <v>0</v>
      </c>
      <c r="K2166" s="74">
        <f ca="1">EFEITO!$L$2166*EFEITO!$Z$2166</f>
        <v>86946.670200461245</v>
      </c>
      <c r="L2166" s="74">
        <f>EFEITO!$N$2166*EFEITO!$AA$2166</f>
        <v>77682.206652658308</v>
      </c>
      <c r="M2166" s="74">
        <f>$J$2166-EFEITO!$K$2166*EFEITO!$Y$2166</f>
        <v>0</v>
      </c>
      <c r="N2166" s="74">
        <f ca="1">$K$2166-EFEITO!$M$2166*EFEITO!$Z$2166</f>
        <v>0</v>
      </c>
      <c r="O2166" s="74">
        <f>$L$2166-EFEITO!$O$2166*EFEITO!$AA$2166</f>
        <v>0</v>
      </c>
      <c r="P2166" s="57"/>
      <c r="Q2166" s="57"/>
      <c r="R2166" s="57"/>
      <c r="S2166" s="57"/>
      <c r="T2166" s="57"/>
      <c r="U2166" s="57"/>
      <c r="V2166" s="57"/>
      <c r="W2166" s="57"/>
      <c r="X2166" s="6"/>
      <c r="Y2166" s="6"/>
      <c r="Z2166" s="6"/>
      <c r="AA2166" s="6"/>
      <c r="AB2166" s="6"/>
      <c r="AC2166" s="6"/>
      <c r="AD2166" s="6"/>
      <c r="AE2166" s="6"/>
      <c r="AF2166" s="6"/>
      <c r="AG2166" s="6"/>
      <c r="AH2166" s="6"/>
      <c r="AI2166" s="6"/>
      <c r="AJ2166" s="6"/>
    </row>
    <row r="2167" spans="1:36" ht="11.25" customHeight="1" x14ac:dyDescent="0.2">
      <c r="A2167" s="53" t="s">
        <v>59</v>
      </c>
      <c r="B2167" s="53" t="s">
        <v>39</v>
      </c>
      <c r="C2167" s="53" t="s">
        <v>23</v>
      </c>
      <c r="D2167" s="53" t="s">
        <v>42</v>
      </c>
      <c r="E2167" s="53" t="s">
        <v>25</v>
      </c>
      <c r="F2167" s="53" t="s">
        <v>25</v>
      </c>
      <c r="G2167" s="53" t="s">
        <v>25</v>
      </c>
      <c r="H2167" s="53" t="s">
        <v>25</v>
      </c>
      <c r="I2167" s="73">
        <v>44075</v>
      </c>
      <c r="J2167" s="74">
        <f>EFEITO!$J$2167*EFEITO!$Y$2167</f>
        <v>0</v>
      </c>
      <c r="K2167" s="74">
        <f ca="1">EFEITO!$L$2167*EFEITO!$Z$2167</f>
        <v>18113480.906544935</v>
      </c>
      <c r="L2167" s="74">
        <f>EFEITO!$N$2167*EFEITO!$AA$2167</f>
        <v>16183427.884438289</v>
      </c>
      <c r="M2167" s="74">
        <f>$J$2167-EFEITO!$K$2167*EFEITO!$Y$2167</f>
        <v>0</v>
      </c>
      <c r="N2167" s="74">
        <f ca="1">$K$2167-EFEITO!$M$2167*EFEITO!$Z$2167</f>
        <v>0</v>
      </c>
      <c r="O2167" s="74">
        <f>$L$2167-EFEITO!$O$2167*EFEITO!$AA$2167</f>
        <v>0</v>
      </c>
      <c r="P2167" s="57"/>
      <c r="Q2167" s="57"/>
      <c r="R2167" s="57"/>
      <c r="S2167" s="57"/>
      <c r="T2167" s="57"/>
      <c r="U2167" s="57"/>
      <c r="V2167" s="57"/>
      <c r="W2167" s="57"/>
      <c r="X2167" s="6"/>
      <c r="Y2167" s="6"/>
      <c r="Z2167" s="6"/>
      <c r="AA2167" s="6"/>
      <c r="AB2167" s="6"/>
      <c r="AC2167" s="6"/>
      <c r="AD2167" s="6"/>
      <c r="AE2167" s="6"/>
      <c r="AF2167" s="6"/>
      <c r="AG2167" s="6"/>
      <c r="AH2167" s="6"/>
      <c r="AI2167" s="6"/>
      <c r="AJ2167" s="6"/>
    </row>
    <row r="2168" spans="1:36" ht="11.25" customHeight="1" x14ac:dyDescent="0.2">
      <c r="A2168" s="53" t="s">
        <v>59</v>
      </c>
      <c r="B2168" s="53" t="s">
        <v>39</v>
      </c>
      <c r="C2168" s="53" t="s">
        <v>23</v>
      </c>
      <c r="D2168" s="53" t="s">
        <v>42</v>
      </c>
      <c r="E2168" s="53" t="s">
        <v>25</v>
      </c>
      <c r="F2168" s="53" t="s">
        <v>25</v>
      </c>
      <c r="G2168" s="53" t="s">
        <v>25</v>
      </c>
      <c r="H2168" s="53" t="s">
        <v>25</v>
      </c>
      <c r="I2168" s="73">
        <v>44075</v>
      </c>
      <c r="J2168" s="74">
        <f>EFEITO!$J$2168*EFEITO!$Y$2168</f>
        <v>0</v>
      </c>
      <c r="K2168" s="74">
        <f ca="1">EFEITO!$L$2168*EFEITO!$Z$2168</f>
        <v>62728.600732547508</v>
      </c>
      <c r="L2168" s="74">
        <f>EFEITO!$N$2168*EFEITO!$AA$2168</f>
        <v>56044.654889060927</v>
      </c>
      <c r="M2168" s="74">
        <f>$J$2168-EFEITO!$K$2168*EFEITO!$Y$2168</f>
        <v>0</v>
      </c>
      <c r="N2168" s="74">
        <f ca="1">$K$2168-EFEITO!$M$2168*EFEITO!$Z$2168</f>
        <v>0</v>
      </c>
      <c r="O2168" s="74">
        <f>$L$2168-EFEITO!$O$2168*EFEITO!$AA$2168</f>
        <v>0</v>
      </c>
      <c r="P2168" s="57"/>
      <c r="Q2168" s="57"/>
      <c r="R2168" s="57"/>
      <c r="S2168" s="57"/>
      <c r="T2168" s="57"/>
      <c r="U2168" s="57"/>
      <c r="V2168" s="57"/>
      <c r="W2168" s="57"/>
      <c r="X2168" s="6"/>
      <c r="Y2168" s="6"/>
      <c r="Z2168" s="6"/>
      <c r="AA2168" s="6"/>
      <c r="AB2168" s="6"/>
      <c r="AC2168" s="6"/>
      <c r="AD2168" s="6"/>
      <c r="AE2168" s="6"/>
      <c r="AF2168" s="6"/>
      <c r="AG2168" s="6"/>
      <c r="AH2168" s="6"/>
      <c r="AI2168" s="6"/>
      <c r="AJ2168" s="6"/>
    </row>
    <row r="2169" spans="1:36" ht="11.25" customHeight="1" x14ac:dyDescent="0.2">
      <c r="A2169" s="53" t="s">
        <v>59</v>
      </c>
      <c r="B2169" s="53" t="s">
        <v>39</v>
      </c>
      <c r="C2169" s="53" t="s">
        <v>23</v>
      </c>
      <c r="D2169" s="53" t="s">
        <v>42</v>
      </c>
      <c r="E2169" s="53" t="s">
        <v>25</v>
      </c>
      <c r="F2169" s="53" t="s">
        <v>25</v>
      </c>
      <c r="G2169" s="53" t="s">
        <v>25</v>
      </c>
      <c r="H2169" s="53" t="s">
        <v>25</v>
      </c>
      <c r="I2169" s="73">
        <v>44075</v>
      </c>
      <c r="J2169" s="74">
        <f>EFEITO!$J$2169*EFEITO!$Y$2169</f>
        <v>0</v>
      </c>
      <c r="K2169" s="74">
        <f ca="1">EFEITO!$L$2169*EFEITO!$Z$2169</f>
        <v>86946.670200461245</v>
      </c>
      <c r="L2169" s="74">
        <f>EFEITO!$N$2169*EFEITO!$AA$2169</f>
        <v>77682.206652658308</v>
      </c>
      <c r="M2169" s="74">
        <f>$J$2169-EFEITO!$K$2169*EFEITO!$Y$2169</f>
        <v>0</v>
      </c>
      <c r="N2169" s="74">
        <f ca="1">$K$2169-EFEITO!$M$2169*EFEITO!$Z$2169</f>
        <v>0</v>
      </c>
      <c r="O2169" s="74">
        <f>$L$2169-EFEITO!$O$2169*EFEITO!$AA$2169</f>
        <v>0</v>
      </c>
      <c r="P2169" s="57"/>
      <c r="Q2169" s="57"/>
      <c r="R2169" s="57"/>
      <c r="S2169" s="57"/>
      <c r="T2169" s="57"/>
      <c r="U2169" s="57"/>
      <c r="V2169" s="57"/>
      <c r="W2169" s="57"/>
      <c r="X2169" s="6"/>
      <c r="Y2169" s="6"/>
      <c r="Z2169" s="6"/>
      <c r="AA2169" s="6"/>
      <c r="AB2169" s="6"/>
      <c r="AC2169" s="6"/>
      <c r="AD2169" s="6"/>
      <c r="AE2169" s="6"/>
      <c r="AF2169" s="6"/>
      <c r="AG2169" s="6"/>
      <c r="AH2169" s="6"/>
      <c r="AI2169" s="6"/>
      <c r="AJ2169" s="6"/>
    </row>
    <row r="2170" spans="1:36" ht="11.25" customHeight="1" x14ac:dyDescent="0.2">
      <c r="A2170" s="53" t="s">
        <v>21</v>
      </c>
      <c r="B2170" s="53" t="s">
        <v>39</v>
      </c>
      <c r="C2170" s="53" t="s">
        <v>23</v>
      </c>
      <c r="D2170" s="53" t="s">
        <v>54</v>
      </c>
      <c r="E2170" s="53" t="s">
        <v>25</v>
      </c>
      <c r="F2170" s="53" t="s">
        <v>25</v>
      </c>
      <c r="G2170" s="53" t="s">
        <v>25</v>
      </c>
      <c r="H2170" s="53" t="s">
        <v>25</v>
      </c>
      <c r="I2170" s="73">
        <v>43739</v>
      </c>
      <c r="J2170" s="74">
        <f>EFEITO!$J$2170*EFEITO!$Y$2170</f>
        <v>0</v>
      </c>
      <c r="K2170" s="74">
        <f ca="1">EFEITO!$L$2170*EFEITO!$Z$2170</f>
        <v>29198.273295045517</v>
      </c>
      <c r="L2170" s="74">
        <f>EFEITO!$N$2170*EFEITO!$AA$2170</f>
        <v>26087.097927696002</v>
      </c>
      <c r="M2170" s="74">
        <f>$J$2170-EFEITO!$K$2170*EFEITO!$Y$2170</f>
        <v>0</v>
      </c>
      <c r="N2170" s="74">
        <f ca="1">$K$2170-EFEITO!$M$2170*EFEITO!$Z$2170</f>
        <v>0</v>
      </c>
      <c r="O2170" s="74">
        <f>$L$2170-EFEITO!$O$2170*EFEITO!$AA$2170</f>
        <v>0</v>
      </c>
      <c r="P2170" s="57"/>
      <c r="Q2170" s="57"/>
      <c r="R2170" s="57"/>
      <c r="S2170" s="57"/>
      <c r="T2170" s="57"/>
      <c r="U2170" s="57"/>
      <c r="V2170" s="57"/>
      <c r="W2170" s="57"/>
      <c r="X2170" s="6"/>
      <c r="Y2170" s="6"/>
      <c r="Z2170" s="6"/>
      <c r="AA2170" s="6"/>
      <c r="AB2170" s="6"/>
      <c r="AC2170" s="6"/>
      <c r="AD2170" s="6"/>
      <c r="AE2170" s="6"/>
      <c r="AF2170" s="6"/>
      <c r="AG2170" s="6"/>
      <c r="AH2170" s="6"/>
      <c r="AI2170" s="6"/>
      <c r="AJ2170" s="6"/>
    </row>
    <row r="2171" spans="1:36" ht="11.25" customHeight="1" x14ac:dyDescent="0.2">
      <c r="A2171" s="53" t="s">
        <v>21</v>
      </c>
      <c r="B2171" s="53" t="s">
        <v>39</v>
      </c>
      <c r="C2171" s="53" t="s">
        <v>23</v>
      </c>
      <c r="D2171" s="53" t="s">
        <v>54</v>
      </c>
      <c r="E2171" s="53" t="s">
        <v>25</v>
      </c>
      <c r="F2171" s="53" t="s">
        <v>25</v>
      </c>
      <c r="G2171" s="53" t="s">
        <v>25</v>
      </c>
      <c r="H2171" s="53" t="s">
        <v>25</v>
      </c>
      <c r="I2171" s="73">
        <v>43770</v>
      </c>
      <c r="J2171" s="74">
        <f>EFEITO!$J$2171*EFEITO!$Y$2171</f>
        <v>0</v>
      </c>
      <c r="K2171" s="74">
        <f ca="1">EFEITO!$L$2171*EFEITO!$Z$2171</f>
        <v>29410.879441612666</v>
      </c>
      <c r="L2171" s="74">
        <f>EFEITO!$N$2171*EFEITO!$AA$2171</f>
        <v>26277.050165949364</v>
      </c>
      <c r="M2171" s="74">
        <f>$J$2171-EFEITO!$K$2171*EFEITO!$Y$2171</f>
        <v>0</v>
      </c>
      <c r="N2171" s="74">
        <f ca="1">$K$2171-EFEITO!$M$2171*EFEITO!$Z$2171</f>
        <v>0</v>
      </c>
      <c r="O2171" s="74">
        <f>$L$2171-EFEITO!$O$2171*EFEITO!$AA$2171</f>
        <v>0</v>
      </c>
      <c r="P2171" s="57"/>
      <c r="Q2171" s="57"/>
      <c r="R2171" s="57"/>
      <c r="S2171" s="57"/>
      <c r="T2171" s="57"/>
      <c r="U2171" s="57"/>
      <c r="V2171" s="57"/>
      <c r="W2171" s="57"/>
      <c r="X2171" s="6"/>
      <c r="Y2171" s="6"/>
      <c r="Z2171" s="6"/>
      <c r="AA2171" s="6"/>
      <c r="AB2171" s="6"/>
      <c r="AC2171" s="6"/>
      <c r="AD2171" s="6"/>
      <c r="AE2171" s="6"/>
      <c r="AF2171" s="6"/>
      <c r="AG2171" s="6"/>
      <c r="AH2171" s="6"/>
      <c r="AI2171" s="6"/>
      <c r="AJ2171" s="6"/>
    </row>
    <row r="2172" spans="1:36" ht="11.25" customHeight="1" x14ac:dyDescent="0.2">
      <c r="A2172" s="53" t="s">
        <v>21</v>
      </c>
      <c r="B2172" s="53" t="s">
        <v>39</v>
      </c>
      <c r="C2172" s="53" t="s">
        <v>23</v>
      </c>
      <c r="D2172" s="53" t="s">
        <v>54</v>
      </c>
      <c r="E2172" s="53" t="s">
        <v>25</v>
      </c>
      <c r="F2172" s="53" t="s">
        <v>25</v>
      </c>
      <c r="G2172" s="53" t="s">
        <v>25</v>
      </c>
      <c r="H2172" s="53" t="s">
        <v>25</v>
      </c>
      <c r="I2172" s="73">
        <v>43800</v>
      </c>
      <c r="J2172" s="74">
        <f>EFEITO!$J$2172*EFEITO!$Y$2172</f>
        <v>0</v>
      </c>
      <c r="K2172" s="74">
        <f ca="1">EFEITO!$L$2172*EFEITO!$Z$2172</f>
        <v>28292.114360891672</v>
      </c>
      <c r="L2172" s="74">
        <f>EFEITO!$N$2172*EFEITO!$AA$2172</f>
        <v>25277.493311201804</v>
      </c>
      <c r="M2172" s="74">
        <f>$J$2172-EFEITO!$K$2172*EFEITO!$Y$2172</f>
        <v>0</v>
      </c>
      <c r="N2172" s="74">
        <f ca="1">$K$2172-EFEITO!$M$2172*EFEITO!$Z$2172</f>
        <v>0</v>
      </c>
      <c r="O2172" s="74">
        <f>$L$2172-EFEITO!$O$2172*EFEITO!$AA$2172</f>
        <v>0</v>
      </c>
      <c r="P2172" s="57"/>
      <c r="Q2172" s="57"/>
      <c r="R2172" s="57"/>
      <c r="S2172" s="57"/>
      <c r="T2172" s="57"/>
      <c r="U2172" s="57"/>
      <c r="V2172" s="57"/>
      <c r="W2172" s="57"/>
      <c r="X2172" s="6"/>
      <c r="Y2172" s="6"/>
      <c r="Z2172" s="6"/>
      <c r="AA2172" s="6"/>
      <c r="AB2172" s="6"/>
      <c r="AC2172" s="6"/>
      <c r="AD2172" s="6"/>
      <c r="AE2172" s="6"/>
      <c r="AF2172" s="6"/>
      <c r="AG2172" s="6"/>
      <c r="AH2172" s="6"/>
      <c r="AI2172" s="6"/>
      <c r="AJ2172" s="6"/>
    </row>
    <row r="2173" spans="1:36" ht="11.25" customHeight="1" x14ac:dyDescent="0.2">
      <c r="A2173" s="53" t="s">
        <v>21</v>
      </c>
      <c r="B2173" s="53" t="s">
        <v>39</v>
      </c>
      <c r="C2173" s="53" t="s">
        <v>23</v>
      </c>
      <c r="D2173" s="53" t="s">
        <v>54</v>
      </c>
      <c r="E2173" s="53" t="s">
        <v>25</v>
      </c>
      <c r="F2173" s="53" t="s">
        <v>25</v>
      </c>
      <c r="G2173" s="53" t="s">
        <v>25</v>
      </c>
      <c r="H2173" s="53" t="s">
        <v>25</v>
      </c>
      <c r="I2173" s="73">
        <v>43831</v>
      </c>
      <c r="J2173" s="74">
        <f>EFEITO!$J$2173*EFEITO!$Y$2173</f>
        <v>0</v>
      </c>
      <c r="K2173" s="74">
        <f ca="1">EFEITO!$L$2173*EFEITO!$Z$2173</f>
        <v>28537.889241322235</v>
      </c>
      <c r="L2173" s="74">
        <f>EFEITO!$N$2173*EFEITO!$AA$2173</f>
        <v>25497.080041868096</v>
      </c>
      <c r="M2173" s="74">
        <f>$J$2173-EFEITO!$K$2173*EFEITO!$Y$2173</f>
        <v>0</v>
      </c>
      <c r="N2173" s="74">
        <f ca="1">$K$2173-EFEITO!$M$2173*EFEITO!$Z$2173</f>
        <v>0</v>
      </c>
      <c r="O2173" s="74">
        <f>$L$2173-EFEITO!$O$2173*EFEITO!$AA$2173</f>
        <v>0</v>
      </c>
      <c r="P2173" s="57"/>
      <c r="Q2173" s="57"/>
      <c r="R2173" s="57"/>
      <c r="S2173" s="57"/>
      <c r="T2173" s="57"/>
      <c r="U2173" s="57"/>
      <c r="V2173" s="57"/>
      <c r="W2173" s="57"/>
      <c r="X2173" s="6"/>
      <c r="Y2173" s="6"/>
      <c r="Z2173" s="6"/>
      <c r="AA2173" s="6"/>
      <c r="AB2173" s="6"/>
      <c r="AC2173" s="6"/>
      <c r="AD2173" s="6"/>
      <c r="AE2173" s="6"/>
      <c r="AF2173" s="6"/>
      <c r="AG2173" s="6"/>
      <c r="AH2173" s="6"/>
      <c r="AI2173" s="6"/>
      <c r="AJ2173" s="6"/>
    </row>
    <row r="2174" spans="1:36" ht="11.25" customHeight="1" x14ac:dyDescent="0.2">
      <c r="A2174" s="53" t="s">
        <v>21</v>
      </c>
      <c r="B2174" s="53" t="s">
        <v>39</v>
      </c>
      <c r="C2174" s="53" t="s">
        <v>23</v>
      </c>
      <c r="D2174" s="53" t="s">
        <v>54</v>
      </c>
      <c r="E2174" s="53" t="s">
        <v>25</v>
      </c>
      <c r="F2174" s="53" t="s">
        <v>25</v>
      </c>
      <c r="G2174" s="53" t="s">
        <v>25</v>
      </c>
      <c r="H2174" s="53" t="s">
        <v>25</v>
      </c>
      <c r="I2174" s="73">
        <v>43862</v>
      </c>
      <c r="J2174" s="74">
        <f>EFEITO!$J$2174*EFEITO!$Y$2174</f>
        <v>0</v>
      </c>
      <c r="K2174" s="74">
        <f ca="1">EFEITO!$L$2174*EFEITO!$Z$2174</f>
        <v>28583.0204693659</v>
      </c>
      <c r="L2174" s="74">
        <f>EFEITO!$N$2174*EFEITO!$AA$2174</f>
        <v>25537.402384003719</v>
      </c>
      <c r="M2174" s="74">
        <f>$J$2174-EFEITO!$K$2174*EFEITO!$Y$2174</f>
        <v>0</v>
      </c>
      <c r="N2174" s="74">
        <f ca="1">$K$2174-EFEITO!$M$2174*EFEITO!$Z$2174</f>
        <v>0</v>
      </c>
      <c r="O2174" s="74">
        <f>$L$2174-EFEITO!$O$2174*EFEITO!$AA$2174</f>
        <v>0</v>
      </c>
      <c r="P2174" s="57"/>
      <c r="Q2174" s="57"/>
      <c r="R2174" s="57"/>
      <c r="S2174" s="57"/>
      <c r="T2174" s="57"/>
      <c r="U2174" s="57"/>
      <c r="V2174" s="57"/>
      <c r="W2174" s="57"/>
      <c r="X2174" s="6"/>
      <c r="Y2174" s="6"/>
      <c r="Z2174" s="6"/>
      <c r="AA2174" s="6"/>
      <c r="AB2174" s="6"/>
      <c r="AC2174" s="6"/>
      <c r="AD2174" s="6"/>
      <c r="AE2174" s="6"/>
      <c r="AF2174" s="6"/>
      <c r="AG2174" s="6"/>
      <c r="AH2174" s="6"/>
      <c r="AI2174" s="6"/>
      <c r="AJ2174" s="6"/>
    </row>
    <row r="2175" spans="1:36" ht="11.25" customHeight="1" x14ac:dyDescent="0.2">
      <c r="A2175" s="53" t="s">
        <v>21</v>
      </c>
      <c r="B2175" s="53" t="s">
        <v>39</v>
      </c>
      <c r="C2175" s="53" t="s">
        <v>23</v>
      </c>
      <c r="D2175" s="53" t="s">
        <v>54</v>
      </c>
      <c r="E2175" s="53" t="s">
        <v>25</v>
      </c>
      <c r="F2175" s="53" t="s">
        <v>25</v>
      </c>
      <c r="G2175" s="53" t="s">
        <v>25</v>
      </c>
      <c r="H2175" s="53" t="s">
        <v>25</v>
      </c>
      <c r="I2175" s="73">
        <v>43891</v>
      </c>
      <c r="J2175" s="74">
        <f>EFEITO!$J$2175*EFEITO!$Y$2175</f>
        <v>0</v>
      </c>
      <c r="K2175" s="74">
        <f ca="1">EFEITO!$L$2175*EFEITO!$Z$2175</f>
        <v>27982.177011676133</v>
      </c>
      <c r="L2175" s="74">
        <f>EFEITO!$N$2175*EFEITO!$AA$2175</f>
        <v>25000.58084111378</v>
      </c>
      <c r="M2175" s="74">
        <f>$J$2175-EFEITO!$K$2175*EFEITO!$Y$2175</f>
        <v>0</v>
      </c>
      <c r="N2175" s="74">
        <f ca="1">$K$2175-EFEITO!$M$2175*EFEITO!$Z$2175</f>
        <v>0</v>
      </c>
      <c r="O2175" s="74">
        <f>$L$2175-EFEITO!$O$2175*EFEITO!$AA$2175</f>
        <v>0</v>
      </c>
      <c r="P2175" s="57"/>
      <c r="Q2175" s="57"/>
      <c r="R2175" s="57"/>
      <c r="S2175" s="57"/>
      <c r="T2175" s="57"/>
      <c r="U2175" s="57"/>
      <c r="V2175" s="57"/>
      <c r="W2175" s="57"/>
      <c r="X2175" s="6"/>
      <c r="Y2175" s="6"/>
      <c r="Z2175" s="6"/>
      <c r="AA2175" s="6"/>
      <c r="AB2175" s="6"/>
      <c r="AC2175" s="6"/>
      <c r="AD2175" s="6"/>
      <c r="AE2175" s="6"/>
      <c r="AF2175" s="6"/>
      <c r="AG2175" s="6"/>
      <c r="AH2175" s="6"/>
      <c r="AI2175" s="6"/>
      <c r="AJ2175" s="6"/>
    </row>
    <row r="2176" spans="1:36" ht="11.25" customHeight="1" x14ac:dyDescent="0.2">
      <c r="A2176" s="53" t="s">
        <v>21</v>
      </c>
      <c r="B2176" s="53" t="s">
        <v>39</v>
      </c>
      <c r="C2176" s="53" t="s">
        <v>23</v>
      </c>
      <c r="D2176" s="53" t="s">
        <v>54</v>
      </c>
      <c r="E2176" s="53" t="s">
        <v>25</v>
      </c>
      <c r="F2176" s="53" t="s">
        <v>25</v>
      </c>
      <c r="G2176" s="53" t="s">
        <v>25</v>
      </c>
      <c r="H2176" s="53" t="s">
        <v>25</v>
      </c>
      <c r="I2176" s="73">
        <v>43922</v>
      </c>
      <c r="J2176" s="74">
        <f>EFEITO!$J$2176*EFEITO!$Y$2176</f>
        <v>0</v>
      </c>
      <c r="K2176" s="74">
        <f ca="1">EFEITO!$L$2176*EFEITO!$Z$2176</f>
        <v>27577.899083357272</v>
      </c>
      <c r="L2176" s="74">
        <f>EFEITO!$N$2176*EFEITO!$AA$2176</f>
        <v>24639.380101621773</v>
      </c>
      <c r="M2176" s="74">
        <f>$J$2176-EFEITO!$K$2176*EFEITO!$Y$2176</f>
        <v>0</v>
      </c>
      <c r="N2176" s="74">
        <f ca="1">$K$2176-EFEITO!$M$2176*EFEITO!$Z$2176</f>
        <v>0</v>
      </c>
      <c r="O2176" s="74">
        <f>$L$2176-EFEITO!$O$2176*EFEITO!$AA$2176</f>
        <v>0</v>
      </c>
      <c r="P2176" s="57"/>
      <c r="Q2176" s="57"/>
      <c r="R2176" s="57"/>
      <c r="S2176" s="57"/>
      <c r="T2176" s="57"/>
      <c r="U2176" s="57"/>
      <c r="V2176" s="57"/>
      <c r="W2176" s="57"/>
      <c r="X2176" s="6"/>
      <c r="Y2176" s="6"/>
      <c r="Z2176" s="6"/>
      <c r="AA2176" s="6"/>
      <c r="AB2176" s="6"/>
      <c r="AC2176" s="6"/>
      <c r="AD2176" s="6"/>
      <c r="AE2176" s="6"/>
      <c r="AF2176" s="6"/>
      <c r="AG2176" s="6"/>
      <c r="AH2176" s="6"/>
      <c r="AI2176" s="6"/>
      <c r="AJ2176" s="6"/>
    </row>
    <row r="2177" spans="1:36" ht="11.25" customHeight="1" x14ac:dyDescent="0.2">
      <c r="A2177" s="53" t="s">
        <v>21</v>
      </c>
      <c r="B2177" s="53" t="s">
        <v>39</v>
      </c>
      <c r="C2177" s="53" t="s">
        <v>23</v>
      </c>
      <c r="D2177" s="53" t="s">
        <v>54</v>
      </c>
      <c r="E2177" s="53" t="s">
        <v>25</v>
      </c>
      <c r="F2177" s="53" t="s">
        <v>25</v>
      </c>
      <c r="G2177" s="53" t="s">
        <v>25</v>
      </c>
      <c r="H2177" s="53" t="s">
        <v>25</v>
      </c>
      <c r="I2177" s="73">
        <v>43952</v>
      </c>
      <c r="J2177" s="74">
        <f>EFEITO!$J$2177*EFEITO!$Y$2177</f>
        <v>0</v>
      </c>
      <c r="K2177" s="74">
        <f ca="1">EFEITO!$L$2177*EFEITO!$Z$2177</f>
        <v>26794.627589418706</v>
      </c>
      <c r="L2177" s="74">
        <f>EFEITO!$N$2177*EFEITO!$AA$2177</f>
        <v>23939.568850460721</v>
      </c>
      <c r="M2177" s="74">
        <f>$J$2177-EFEITO!$K$2177*EFEITO!$Y$2177</f>
        <v>0</v>
      </c>
      <c r="N2177" s="74">
        <f ca="1">$K$2177-EFEITO!$M$2177*EFEITO!$Z$2177</f>
        <v>0</v>
      </c>
      <c r="O2177" s="74">
        <f>$L$2177-EFEITO!$O$2177*EFEITO!$AA$2177</f>
        <v>0</v>
      </c>
      <c r="P2177" s="57"/>
      <c r="Q2177" s="57"/>
      <c r="R2177" s="57"/>
      <c r="S2177" s="57"/>
      <c r="T2177" s="57"/>
      <c r="U2177" s="57"/>
      <c r="V2177" s="57"/>
      <c r="W2177" s="57"/>
      <c r="X2177" s="6"/>
      <c r="Y2177" s="6"/>
      <c r="Z2177" s="6"/>
      <c r="AA2177" s="6"/>
      <c r="AB2177" s="6"/>
      <c r="AC2177" s="6"/>
      <c r="AD2177" s="6"/>
      <c r="AE2177" s="6"/>
      <c r="AF2177" s="6"/>
      <c r="AG2177" s="6"/>
      <c r="AH2177" s="6"/>
      <c r="AI2177" s="6"/>
      <c r="AJ2177" s="6"/>
    </row>
    <row r="2178" spans="1:36" ht="11.25" customHeight="1" x14ac:dyDescent="0.2">
      <c r="A2178" s="53" t="s">
        <v>21</v>
      </c>
      <c r="B2178" s="53" t="s">
        <v>39</v>
      </c>
      <c r="C2178" s="53" t="s">
        <v>23</v>
      </c>
      <c r="D2178" s="53" t="s">
        <v>54</v>
      </c>
      <c r="E2178" s="53" t="s">
        <v>25</v>
      </c>
      <c r="F2178" s="53" t="s">
        <v>25</v>
      </c>
      <c r="G2178" s="53" t="s">
        <v>25</v>
      </c>
      <c r="H2178" s="53" t="s">
        <v>25</v>
      </c>
      <c r="I2178" s="73">
        <v>43983</v>
      </c>
      <c r="J2178" s="74">
        <f>EFEITO!$J$2178*EFEITO!$Y$2178</f>
        <v>0</v>
      </c>
      <c r="K2178" s="74">
        <f ca="1">EFEITO!$L$2178*EFEITO!$Z$2178</f>
        <v>26443.093385440028</v>
      </c>
      <c r="L2178" s="74">
        <f>EFEITO!$N$2178*EFEITO!$AA$2178</f>
        <v>23625.491812018776</v>
      </c>
      <c r="M2178" s="74">
        <f>$J$2178-EFEITO!$K$2178*EFEITO!$Y$2178</f>
        <v>0</v>
      </c>
      <c r="N2178" s="74">
        <f ca="1">$K$2178-EFEITO!$M$2178*EFEITO!$Z$2178</f>
        <v>0</v>
      </c>
      <c r="O2178" s="74">
        <f>$L$2178-EFEITO!$O$2178*EFEITO!$AA$2178</f>
        <v>0</v>
      </c>
      <c r="P2178" s="57"/>
      <c r="Q2178" s="57"/>
      <c r="R2178" s="57"/>
      <c r="S2178" s="57"/>
      <c r="T2178" s="57"/>
      <c r="U2178" s="57"/>
      <c r="V2178" s="57"/>
      <c r="W2178" s="57"/>
      <c r="X2178" s="6"/>
      <c r="Y2178" s="6"/>
      <c r="Z2178" s="6"/>
      <c r="AA2178" s="6"/>
      <c r="AB2178" s="6"/>
      <c r="AC2178" s="6"/>
      <c r="AD2178" s="6"/>
      <c r="AE2178" s="6"/>
      <c r="AF2178" s="6"/>
      <c r="AG2178" s="6"/>
      <c r="AH2178" s="6"/>
      <c r="AI2178" s="6"/>
      <c r="AJ2178" s="6"/>
    </row>
    <row r="2179" spans="1:36" ht="11.25" customHeight="1" x14ac:dyDescent="0.2">
      <c r="A2179" s="53" t="s">
        <v>21</v>
      </c>
      <c r="B2179" s="53" t="s">
        <v>39</v>
      </c>
      <c r="C2179" s="53" t="s">
        <v>23</v>
      </c>
      <c r="D2179" s="53" t="s">
        <v>54</v>
      </c>
      <c r="E2179" s="53" t="s">
        <v>25</v>
      </c>
      <c r="F2179" s="53" t="s">
        <v>25</v>
      </c>
      <c r="G2179" s="53" t="s">
        <v>25</v>
      </c>
      <c r="H2179" s="53" t="s">
        <v>25</v>
      </c>
      <c r="I2179" s="73">
        <v>44013</v>
      </c>
      <c r="J2179" s="74">
        <f>EFEITO!$J$2179*EFEITO!$Y$2179</f>
        <v>0</v>
      </c>
      <c r="K2179" s="74">
        <f ca="1">EFEITO!$L$2179*EFEITO!$Z$2179</f>
        <v>25884.390532248861</v>
      </c>
      <c r="L2179" s="74">
        <f>EFEITO!$N$2179*EFEITO!$AA$2179</f>
        <v>23126.320648833782</v>
      </c>
      <c r="M2179" s="74">
        <f>$J$2179-EFEITO!$K$2179*EFEITO!$Y$2179</f>
        <v>0</v>
      </c>
      <c r="N2179" s="74">
        <f ca="1">$K$2179-EFEITO!$M$2179*EFEITO!$Z$2179</f>
        <v>0</v>
      </c>
      <c r="O2179" s="74">
        <f>$L$2179-EFEITO!$O$2179*EFEITO!$AA$2179</f>
        <v>0</v>
      </c>
      <c r="P2179" s="57"/>
      <c r="Q2179" s="57"/>
      <c r="R2179" s="57"/>
      <c r="S2179" s="57"/>
      <c r="T2179" s="57"/>
      <c r="U2179" s="57"/>
      <c r="V2179" s="57"/>
      <c r="W2179" s="57"/>
      <c r="X2179" s="6"/>
      <c r="Y2179" s="6"/>
      <c r="Z2179" s="6"/>
      <c r="AA2179" s="6"/>
      <c r="AB2179" s="6"/>
      <c r="AC2179" s="6"/>
      <c r="AD2179" s="6"/>
      <c r="AE2179" s="6"/>
      <c r="AF2179" s="6"/>
      <c r="AG2179" s="6"/>
      <c r="AH2179" s="6"/>
      <c r="AI2179" s="6"/>
      <c r="AJ2179" s="6"/>
    </row>
    <row r="2180" spans="1:36" ht="11.25" customHeight="1" x14ac:dyDescent="0.2">
      <c r="A2180" s="53" t="s">
        <v>21</v>
      </c>
      <c r="B2180" s="53" t="s">
        <v>39</v>
      </c>
      <c r="C2180" s="53" t="s">
        <v>23</v>
      </c>
      <c r="D2180" s="53" t="s">
        <v>54</v>
      </c>
      <c r="E2180" s="53" t="s">
        <v>25</v>
      </c>
      <c r="F2180" s="53" t="s">
        <v>25</v>
      </c>
      <c r="G2180" s="53" t="s">
        <v>25</v>
      </c>
      <c r="H2180" s="53" t="s">
        <v>25</v>
      </c>
      <c r="I2180" s="73">
        <v>44044</v>
      </c>
      <c r="J2180" s="74">
        <f>EFEITO!$J$2180*EFEITO!$Y$2180</f>
        <v>0</v>
      </c>
      <c r="K2180" s="74">
        <f ca="1">EFEITO!$L$2180*EFEITO!$Z$2180</f>
        <v>26062.468570613928</v>
      </c>
      <c r="L2180" s="74">
        <f>EFEITO!$N$2180*EFEITO!$AA$2180</f>
        <v>23285.423866296638</v>
      </c>
      <c r="M2180" s="74">
        <f>$J$2180-EFEITO!$K$2180*EFEITO!$Y$2180</f>
        <v>0</v>
      </c>
      <c r="N2180" s="74">
        <f ca="1">$K$2180-EFEITO!$M$2180*EFEITO!$Z$2180</f>
        <v>0</v>
      </c>
      <c r="O2180" s="74">
        <f>$L$2180-EFEITO!$O$2180*EFEITO!$AA$2180</f>
        <v>0</v>
      </c>
      <c r="P2180" s="57"/>
      <c r="Q2180" s="57"/>
      <c r="R2180" s="57"/>
      <c r="S2180" s="57"/>
      <c r="T2180" s="57"/>
      <c r="U2180" s="57"/>
      <c r="V2180" s="57"/>
      <c r="W2180" s="57"/>
      <c r="X2180" s="6"/>
      <c r="Y2180" s="6"/>
      <c r="Z2180" s="6"/>
      <c r="AA2180" s="6"/>
      <c r="AB2180" s="6"/>
      <c r="AC2180" s="6"/>
      <c r="AD2180" s="6"/>
      <c r="AE2180" s="6"/>
      <c r="AF2180" s="6"/>
      <c r="AG2180" s="6"/>
      <c r="AH2180" s="6"/>
      <c r="AI2180" s="6"/>
      <c r="AJ2180" s="6"/>
    </row>
    <row r="2181" spans="1:36" ht="11.25" customHeight="1" x14ac:dyDescent="0.2">
      <c r="A2181" s="53" t="s">
        <v>59</v>
      </c>
      <c r="B2181" s="53" t="s">
        <v>39</v>
      </c>
      <c r="C2181" s="53" t="s">
        <v>23</v>
      </c>
      <c r="D2181" s="53" t="s">
        <v>54</v>
      </c>
      <c r="E2181" s="53" t="s">
        <v>25</v>
      </c>
      <c r="F2181" s="53" t="s">
        <v>25</v>
      </c>
      <c r="G2181" s="53" t="s">
        <v>25</v>
      </c>
      <c r="H2181" s="53" t="s">
        <v>25</v>
      </c>
      <c r="I2181" s="73">
        <v>44075</v>
      </c>
      <c r="J2181" s="74">
        <f>EFEITO!$J$2181*EFEITO!$Y$2181</f>
        <v>0</v>
      </c>
      <c r="K2181" s="74">
        <f ca="1">EFEITO!$L$2181*EFEITO!$Z$2181</f>
        <v>26062.468570613928</v>
      </c>
      <c r="L2181" s="74">
        <f>EFEITO!$N$2181*EFEITO!$AA$2181</f>
        <v>23285.423866296638</v>
      </c>
      <c r="M2181" s="74">
        <f>$J$2181-EFEITO!$K$2181*EFEITO!$Y$2181</f>
        <v>0</v>
      </c>
      <c r="N2181" s="74">
        <f ca="1">$K$2181-EFEITO!$M$2181*EFEITO!$Z$2181</f>
        <v>0</v>
      </c>
      <c r="O2181" s="74">
        <f>$L$2181-EFEITO!$O$2181*EFEITO!$AA$2181</f>
        <v>0</v>
      </c>
      <c r="P2181" s="57"/>
      <c r="Q2181" s="57"/>
      <c r="R2181" s="57"/>
      <c r="S2181" s="57"/>
      <c r="T2181" s="57"/>
      <c r="U2181" s="57"/>
      <c r="V2181" s="57"/>
      <c r="W2181" s="57"/>
      <c r="X2181" s="6"/>
      <c r="Y2181" s="6"/>
      <c r="Z2181" s="6"/>
      <c r="AA2181" s="6"/>
      <c r="AB2181" s="6"/>
      <c r="AC2181" s="6"/>
      <c r="AD2181" s="6"/>
      <c r="AE2181" s="6"/>
      <c r="AF2181" s="6"/>
      <c r="AG2181" s="6"/>
      <c r="AH2181" s="6"/>
      <c r="AI2181" s="6"/>
      <c r="AJ2181" s="6"/>
    </row>
    <row r="2182" spans="1:36" ht="11.25" customHeight="1" x14ac:dyDescent="0.2">
      <c r="A2182" s="53" t="s">
        <v>21</v>
      </c>
      <c r="B2182" s="53" t="s">
        <v>39</v>
      </c>
      <c r="C2182" s="53" t="s">
        <v>23</v>
      </c>
      <c r="D2182" s="53" t="s">
        <v>40</v>
      </c>
      <c r="E2182" s="53" t="s">
        <v>25</v>
      </c>
      <c r="F2182" s="53" t="s">
        <v>25</v>
      </c>
      <c r="G2182" s="53" t="s">
        <v>25</v>
      </c>
      <c r="H2182" s="53" t="s">
        <v>25</v>
      </c>
      <c r="I2182" s="73">
        <v>43739</v>
      </c>
      <c r="J2182" s="74">
        <f>EFEITO!$J$2182*EFEITO!$Y$2182</f>
        <v>0</v>
      </c>
      <c r="K2182" s="74">
        <f ca="1">EFEITO!$L$2182*EFEITO!$Z$2182</f>
        <v>739285.94658752566</v>
      </c>
      <c r="L2182" s="74">
        <f>EFEITO!$N$2182*EFEITO!$AA$2182</f>
        <v>660512.51354204956</v>
      </c>
      <c r="M2182" s="74">
        <f>$J$2182-EFEITO!$K$2182*EFEITO!$Y$2182</f>
        <v>0</v>
      </c>
      <c r="N2182" s="74">
        <f ca="1">$K$2182-EFEITO!$M$2182*EFEITO!$Z$2182</f>
        <v>0</v>
      </c>
      <c r="O2182" s="74">
        <f>$L$2182-EFEITO!$O$2182*EFEITO!$AA$2182</f>
        <v>0</v>
      </c>
      <c r="P2182" s="57"/>
      <c r="Q2182" s="57"/>
      <c r="R2182" s="57"/>
      <c r="S2182" s="57"/>
      <c r="T2182" s="57"/>
      <c r="U2182" s="57"/>
      <c r="V2182" s="57"/>
      <c r="W2182" s="57"/>
      <c r="X2182" s="6"/>
      <c r="Y2182" s="6"/>
      <c r="Z2182" s="6"/>
      <c r="AA2182" s="6"/>
      <c r="AB2182" s="6"/>
      <c r="AC2182" s="6"/>
      <c r="AD2182" s="6"/>
      <c r="AE2182" s="6"/>
      <c r="AF2182" s="6"/>
      <c r="AG2182" s="6"/>
      <c r="AH2182" s="6"/>
      <c r="AI2182" s="6"/>
      <c r="AJ2182" s="6"/>
    </row>
    <row r="2183" spans="1:36" ht="11.25" customHeight="1" x14ac:dyDescent="0.2">
      <c r="A2183" s="53" t="s">
        <v>27</v>
      </c>
      <c r="B2183" s="53" t="s">
        <v>39</v>
      </c>
      <c r="C2183" s="53" t="s">
        <v>23</v>
      </c>
      <c r="D2183" s="53" t="s">
        <v>40</v>
      </c>
      <c r="E2183" s="53" t="s">
        <v>25</v>
      </c>
      <c r="F2183" s="53" t="s">
        <v>25</v>
      </c>
      <c r="G2183" s="53" t="s">
        <v>25</v>
      </c>
      <c r="H2183" s="53" t="s">
        <v>25</v>
      </c>
      <c r="I2183" s="73">
        <v>43739</v>
      </c>
      <c r="J2183" s="74">
        <f>EFEITO!$J$2183*EFEITO!$Y$2183</f>
        <v>0</v>
      </c>
      <c r="K2183" s="74">
        <f ca="1">EFEITO!$L$2183*EFEITO!$Z$2183</f>
        <v>7415.9307671510733</v>
      </c>
      <c r="L2183" s="74">
        <f>EFEITO!$N$2183*EFEITO!$AA$2183</f>
        <v>6625.7381110447677</v>
      </c>
      <c r="M2183" s="74">
        <f>$J$2183-EFEITO!$K$2183*EFEITO!$Y$2183</f>
        <v>0</v>
      </c>
      <c r="N2183" s="74">
        <f ca="1">$K$2183-EFEITO!$M$2183*EFEITO!$Z$2183</f>
        <v>0</v>
      </c>
      <c r="O2183" s="74">
        <f>$L$2183-EFEITO!$O$2183*EFEITO!$AA$2183</f>
        <v>0</v>
      </c>
      <c r="P2183" s="57"/>
      <c r="Q2183" s="57"/>
      <c r="R2183" s="57"/>
      <c r="S2183" s="57"/>
      <c r="T2183" s="57"/>
      <c r="U2183" s="57"/>
      <c r="V2183" s="57"/>
      <c r="W2183" s="57"/>
      <c r="X2183" s="6"/>
      <c r="Y2183" s="6"/>
      <c r="Z2183" s="6"/>
      <c r="AA2183" s="6"/>
      <c r="AB2183" s="6"/>
      <c r="AC2183" s="6"/>
      <c r="AD2183" s="6"/>
      <c r="AE2183" s="6"/>
      <c r="AF2183" s="6"/>
      <c r="AG2183" s="6"/>
      <c r="AH2183" s="6"/>
      <c r="AI2183" s="6"/>
      <c r="AJ2183" s="6"/>
    </row>
    <row r="2184" spans="1:36" ht="11.25" customHeight="1" x14ac:dyDescent="0.2">
      <c r="A2184" s="53" t="s">
        <v>28</v>
      </c>
      <c r="B2184" s="53" t="s">
        <v>39</v>
      </c>
      <c r="C2184" s="53" t="s">
        <v>23</v>
      </c>
      <c r="D2184" s="53" t="s">
        <v>40</v>
      </c>
      <c r="E2184" s="53" t="s">
        <v>25</v>
      </c>
      <c r="F2184" s="53" t="s">
        <v>25</v>
      </c>
      <c r="G2184" s="53" t="s">
        <v>25</v>
      </c>
      <c r="H2184" s="53" t="s">
        <v>25</v>
      </c>
      <c r="I2184" s="73">
        <v>43739</v>
      </c>
      <c r="J2184" s="74">
        <f>EFEITO!$J$2184*EFEITO!$Y$2184</f>
        <v>0</v>
      </c>
      <c r="K2184" s="74">
        <f ca="1">EFEITO!$L$2184*EFEITO!$Z$2184</f>
        <v>1427.3430555978712</v>
      </c>
      <c r="L2184" s="74">
        <f>EFEITO!$N$2184*EFEITO!$AA$2184</f>
        <v>1275.254796458006</v>
      </c>
      <c r="M2184" s="74">
        <f>$J$2184-EFEITO!$K$2184*EFEITO!$Y$2184</f>
        <v>0</v>
      </c>
      <c r="N2184" s="74">
        <f ca="1">$K$2184-EFEITO!$M$2184*EFEITO!$Z$2184</f>
        <v>0</v>
      </c>
      <c r="O2184" s="74">
        <f>$L$2184-EFEITO!$O$2184*EFEITO!$AA$2184</f>
        <v>0</v>
      </c>
      <c r="P2184" s="57"/>
      <c r="Q2184" s="57"/>
      <c r="R2184" s="57"/>
      <c r="S2184" s="57"/>
      <c r="T2184" s="57"/>
      <c r="U2184" s="57"/>
      <c r="V2184" s="57"/>
      <c r="W2184" s="57"/>
      <c r="X2184" s="6"/>
      <c r="Y2184" s="6"/>
      <c r="Z2184" s="6"/>
      <c r="AA2184" s="6"/>
      <c r="AB2184" s="6"/>
      <c r="AC2184" s="6"/>
      <c r="AD2184" s="6"/>
      <c r="AE2184" s="6"/>
      <c r="AF2184" s="6"/>
      <c r="AG2184" s="6"/>
      <c r="AH2184" s="6"/>
      <c r="AI2184" s="6"/>
      <c r="AJ2184" s="6"/>
    </row>
    <row r="2185" spans="1:36" ht="11.25" customHeight="1" x14ac:dyDescent="0.2">
      <c r="A2185" s="53" t="s">
        <v>21</v>
      </c>
      <c r="B2185" s="53" t="s">
        <v>39</v>
      </c>
      <c r="C2185" s="53" t="s">
        <v>23</v>
      </c>
      <c r="D2185" s="53" t="s">
        <v>40</v>
      </c>
      <c r="E2185" s="53" t="s">
        <v>25</v>
      </c>
      <c r="F2185" s="53" t="s">
        <v>25</v>
      </c>
      <c r="G2185" s="53" t="s">
        <v>25</v>
      </c>
      <c r="H2185" s="53" t="s">
        <v>25</v>
      </c>
      <c r="I2185" s="73">
        <v>43770</v>
      </c>
      <c r="J2185" s="74">
        <f>EFEITO!$J$2185*EFEITO!$Y$2185</f>
        <v>0</v>
      </c>
      <c r="K2185" s="74">
        <f ca="1">EFEITO!$L$2185*EFEITO!$Z$2185</f>
        <v>802771.99070157716</v>
      </c>
      <c r="L2185" s="74">
        <f>EFEITO!$N$2185*EFEITO!$AA$2185</f>
        <v>717233.90364309761</v>
      </c>
      <c r="M2185" s="74">
        <f>$J$2185-EFEITO!$K$2185*EFEITO!$Y$2185</f>
        <v>0</v>
      </c>
      <c r="N2185" s="74">
        <f ca="1">$K$2185-EFEITO!$M$2185*EFEITO!$Z$2185</f>
        <v>0</v>
      </c>
      <c r="O2185" s="74">
        <f>$L$2185-EFEITO!$O$2185*EFEITO!$AA$2185</f>
        <v>0</v>
      </c>
      <c r="P2185" s="57"/>
      <c r="Q2185" s="57"/>
      <c r="R2185" s="57"/>
      <c r="S2185" s="57"/>
      <c r="T2185" s="57"/>
      <c r="U2185" s="57"/>
      <c r="V2185" s="57"/>
      <c r="W2185" s="57"/>
      <c r="X2185" s="6"/>
      <c r="Y2185" s="6"/>
      <c r="Z2185" s="6"/>
      <c r="AA2185" s="6"/>
      <c r="AB2185" s="6"/>
      <c r="AC2185" s="6"/>
      <c r="AD2185" s="6"/>
      <c r="AE2185" s="6"/>
      <c r="AF2185" s="6"/>
      <c r="AG2185" s="6"/>
      <c r="AH2185" s="6"/>
      <c r="AI2185" s="6"/>
      <c r="AJ2185" s="6"/>
    </row>
    <row r="2186" spans="1:36" ht="11.25" customHeight="1" x14ac:dyDescent="0.2">
      <c r="A2186" s="53" t="s">
        <v>27</v>
      </c>
      <c r="B2186" s="53" t="s">
        <v>39</v>
      </c>
      <c r="C2186" s="53" t="s">
        <v>23</v>
      </c>
      <c r="D2186" s="53" t="s">
        <v>40</v>
      </c>
      <c r="E2186" s="53" t="s">
        <v>25</v>
      </c>
      <c r="F2186" s="53" t="s">
        <v>25</v>
      </c>
      <c r="G2186" s="53" t="s">
        <v>25</v>
      </c>
      <c r="H2186" s="53" t="s">
        <v>25</v>
      </c>
      <c r="I2186" s="73">
        <v>43770</v>
      </c>
      <c r="J2186" s="74">
        <f>EFEITO!$J$2186*EFEITO!$Y$2186</f>
        <v>0</v>
      </c>
      <c r="K2186" s="74">
        <f ca="1">EFEITO!$L$2186*EFEITO!$Z$2186</f>
        <v>1261.4993862807851</v>
      </c>
      <c r="L2186" s="74">
        <f>EFEITO!$N$2186*EFEITO!$AA$2186</f>
        <v>1127.0823343933614</v>
      </c>
      <c r="M2186" s="74">
        <f>$J$2186-EFEITO!$K$2186*EFEITO!$Y$2186</f>
        <v>0</v>
      </c>
      <c r="N2186" s="74">
        <f ca="1">$K$2186-EFEITO!$M$2186*EFEITO!$Z$2186</f>
        <v>0</v>
      </c>
      <c r="O2186" s="74">
        <f>$L$2186-EFEITO!$O$2186*EFEITO!$AA$2186</f>
        <v>0</v>
      </c>
      <c r="P2186" s="57"/>
      <c r="Q2186" s="57"/>
      <c r="R2186" s="57"/>
      <c r="S2186" s="57"/>
      <c r="T2186" s="57"/>
      <c r="U2186" s="57"/>
      <c r="V2186" s="57"/>
      <c r="W2186" s="57"/>
      <c r="X2186" s="6"/>
      <c r="Y2186" s="6"/>
      <c r="Z2186" s="6"/>
      <c r="AA2186" s="6"/>
      <c r="AB2186" s="6"/>
      <c r="AC2186" s="6"/>
      <c r="AD2186" s="6"/>
      <c r="AE2186" s="6"/>
      <c r="AF2186" s="6"/>
      <c r="AG2186" s="6"/>
      <c r="AH2186" s="6"/>
      <c r="AI2186" s="6"/>
      <c r="AJ2186" s="6"/>
    </row>
    <row r="2187" spans="1:36" ht="11.25" customHeight="1" x14ac:dyDescent="0.2">
      <c r="A2187" s="53" t="s">
        <v>28</v>
      </c>
      <c r="B2187" s="53" t="s">
        <v>39</v>
      </c>
      <c r="C2187" s="53" t="s">
        <v>23</v>
      </c>
      <c r="D2187" s="53" t="s">
        <v>40</v>
      </c>
      <c r="E2187" s="53" t="s">
        <v>25</v>
      </c>
      <c r="F2187" s="53" t="s">
        <v>25</v>
      </c>
      <c r="G2187" s="53" t="s">
        <v>25</v>
      </c>
      <c r="H2187" s="53" t="s">
        <v>25</v>
      </c>
      <c r="I2187" s="73">
        <v>43770</v>
      </c>
      <c r="J2187" s="74">
        <f>EFEITO!$J$2187*EFEITO!$Y$2187</f>
        <v>0</v>
      </c>
      <c r="K2187" s="74">
        <f ca="1">EFEITO!$L$2187*EFEITO!$Z$2187</f>
        <v>1588.5648521634973</v>
      </c>
      <c r="L2187" s="74">
        <f>EFEITO!$N$2187*EFEITO!$AA$2187</f>
        <v>1419.2978620388817</v>
      </c>
      <c r="M2187" s="74">
        <f>$J$2187-EFEITO!$K$2187*EFEITO!$Y$2187</f>
        <v>0</v>
      </c>
      <c r="N2187" s="74">
        <f ca="1">$K$2187-EFEITO!$M$2187*EFEITO!$Z$2187</f>
        <v>0</v>
      </c>
      <c r="O2187" s="74">
        <f>$L$2187-EFEITO!$O$2187*EFEITO!$AA$2187</f>
        <v>0</v>
      </c>
      <c r="P2187" s="57"/>
      <c r="Q2187" s="57"/>
      <c r="R2187" s="57"/>
      <c r="S2187" s="57"/>
      <c r="T2187" s="57"/>
      <c r="U2187" s="57"/>
      <c r="V2187" s="57"/>
      <c r="W2187" s="57"/>
      <c r="X2187" s="6"/>
      <c r="Y2187" s="6"/>
      <c r="Z2187" s="6"/>
      <c r="AA2187" s="6"/>
      <c r="AB2187" s="6"/>
      <c r="AC2187" s="6"/>
      <c r="AD2187" s="6"/>
      <c r="AE2187" s="6"/>
      <c r="AF2187" s="6"/>
      <c r="AG2187" s="6"/>
      <c r="AH2187" s="6"/>
      <c r="AI2187" s="6"/>
      <c r="AJ2187" s="6"/>
    </row>
    <row r="2188" spans="1:36" ht="11.25" customHeight="1" x14ac:dyDescent="0.2">
      <c r="A2188" s="53" t="s">
        <v>21</v>
      </c>
      <c r="B2188" s="53" t="s">
        <v>39</v>
      </c>
      <c r="C2188" s="53" t="s">
        <v>23</v>
      </c>
      <c r="D2188" s="53" t="s">
        <v>40</v>
      </c>
      <c r="E2188" s="53" t="s">
        <v>25</v>
      </c>
      <c r="F2188" s="53" t="s">
        <v>25</v>
      </c>
      <c r="G2188" s="53" t="s">
        <v>25</v>
      </c>
      <c r="H2188" s="53" t="s">
        <v>25</v>
      </c>
      <c r="I2188" s="73">
        <v>43800</v>
      </c>
      <c r="J2188" s="74">
        <f>EFEITO!$J$2188*EFEITO!$Y$2188</f>
        <v>0</v>
      </c>
      <c r="K2188" s="74">
        <f ca="1">EFEITO!$L$2188*EFEITO!$Z$2188</f>
        <v>713731.0683949691</v>
      </c>
      <c r="L2188" s="74">
        <f>EFEITO!$N$2188*EFEITO!$AA$2188</f>
        <v>637680.59457194095</v>
      </c>
      <c r="M2188" s="74">
        <f>$J$2188-EFEITO!$K$2188*EFEITO!$Y$2188</f>
        <v>0</v>
      </c>
      <c r="N2188" s="74">
        <f ca="1">$K$2188-EFEITO!$M$2188*EFEITO!$Z$2188</f>
        <v>0</v>
      </c>
      <c r="O2188" s="74">
        <f>$L$2188-EFEITO!$O$2188*EFEITO!$AA$2188</f>
        <v>0</v>
      </c>
      <c r="P2188" s="57"/>
      <c r="Q2188" s="57"/>
      <c r="R2188" s="57"/>
      <c r="S2188" s="57"/>
      <c r="T2188" s="57"/>
      <c r="U2188" s="57"/>
      <c r="V2188" s="57"/>
      <c r="W2188" s="57"/>
      <c r="X2188" s="6"/>
      <c r="Y2188" s="6"/>
      <c r="Z2188" s="6"/>
      <c r="AA2188" s="6"/>
      <c r="AB2188" s="6"/>
      <c r="AC2188" s="6"/>
      <c r="AD2188" s="6"/>
      <c r="AE2188" s="6"/>
      <c r="AF2188" s="6"/>
      <c r="AG2188" s="6"/>
      <c r="AH2188" s="6"/>
      <c r="AI2188" s="6"/>
      <c r="AJ2188" s="6"/>
    </row>
    <row r="2189" spans="1:36" ht="11.25" customHeight="1" x14ac:dyDescent="0.2">
      <c r="A2189" s="53" t="s">
        <v>27</v>
      </c>
      <c r="B2189" s="53" t="s">
        <v>39</v>
      </c>
      <c r="C2189" s="53" t="s">
        <v>23</v>
      </c>
      <c r="D2189" s="53" t="s">
        <v>40</v>
      </c>
      <c r="E2189" s="53" t="s">
        <v>25</v>
      </c>
      <c r="F2189" s="53" t="s">
        <v>25</v>
      </c>
      <c r="G2189" s="53" t="s">
        <v>25</v>
      </c>
      <c r="H2189" s="53" t="s">
        <v>25</v>
      </c>
      <c r="I2189" s="73">
        <v>43800</v>
      </c>
      <c r="J2189" s="74">
        <f>EFEITO!$J$2189*EFEITO!$Y$2189</f>
        <v>0</v>
      </c>
      <c r="K2189" s="74">
        <f ca="1">EFEITO!$L$2189*EFEITO!$Z$2189</f>
        <v>342.83420821122201</v>
      </c>
      <c r="L2189" s="74">
        <f>EFEITO!$N$2189*EFEITO!$AA$2189</f>
        <v>306.30405682543721</v>
      </c>
      <c r="M2189" s="74">
        <f>$J$2189-EFEITO!$K$2189*EFEITO!$Y$2189</f>
        <v>0</v>
      </c>
      <c r="N2189" s="74">
        <f ca="1">$K$2189-EFEITO!$M$2189*EFEITO!$Z$2189</f>
        <v>0</v>
      </c>
      <c r="O2189" s="74">
        <f>$L$2189-EFEITO!$O$2189*EFEITO!$AA$2189</f>
        <v>0</v>
      </c>
      <c r="P2189" s="57"/>
      <c r="Q2189" s="57"/>
      <c r="R2189" s="57"/>
      <c r="S2189" s="57"/>
      <c r="T2189" s="57"/>
      <c r="U2189" s="57"/>
      <c r="V2189" s="57"/>
      <c r="W2189" s="57"/>
      <c r="X2189" s="6"/>
      <c r="Y2189" s="6"/>
      <c r="Z2189" s="6"/>
      <c r="AA2189" s="6"/>
      <c r="AB2189" s="6"/>
      <c r="AC2189" s="6"/>
      <c r="AD2189" s="6"/>
      <c r="AE2189" s="6"/>
      <c r="AF2189" s="6"/>
      <c r="AG2189" s="6"/>
      <c r="AH2189" s="6"/>
      <c r="AI2189" s="6"/>
      <c r="AJ2189" s="6"/>
    </row>
    <row r="2190" spans="1:36" ht="11.25" customHeight="1" x14ac:dyDescent="0.2">
      <c r="A2190" s="53" t="s">
        <v>28</v>
      </c>
      <c r="B2190" s="53" t="s">
        <v>39</v>
      </c>
      <c r="C2190" s="53" t="s">
        <v>23</v>
      </c>
      <c r="D2190" s="53" t="s">
        <v>40</v>
      </c>
      <c r="E2190" s="53" t="s">
        <v>25</v>
      </c>
      <c r="F2190" s="53" t="s">
        <v>25</v>
      </c>
      <c r="G2190" s="53" t="s">
        <v>25</v>
      </c>
      <c r="H2190" s="53" t="s">
        <v>25</v>
      </c>
      <c r="I2190" s="73">
        <v>43800</v>
      </c>
      <c r="J2190" s="74">
        <f>EFEITO!$J$2190*EFEITO!$Y$2190</f>
        <v>0</v>
      </c>
      <c r="K2190" s="74">
        <f ca="1">EFEITO!$L$2190*EFEITO!$Z$2190</f>
        <v>1651.3679466098038</v>
      </c>
      <c r="L2190" s="74">
        <f>EFEITO!$N$2190*EFEITO!$AA$2190</f>
        <v>1475.4090730830339</v>
      </c>
      <c r="M2190" s="74">
        <f>$J$2190-EFEITO!$K$2190*EFEITO!$Y$2190</f>
        <v>0</v>
      </c>
      <c r="N2190" s="74">
        <f ca="1">$K$2190-EFEITO!$M$2190*EFEITO!$Z$2190</f>
        <v>0</v>
      </c>
      <c r="O2190" s="74">
        <f>$L$2190-EFEITO!$O$2190*EFEITO!$AA$2190</f>
        <v>0</v>
      </c>
      <c r="P2190" s="57"/>
      <c r="Q2190" s="57"/>
      <c r="R2190" s="57"/>
      <c r="S2190" s="57"/>
      <c r="T2190" s="57"/>
      <c r="U2190" s="57"/>
      <c r="V2190" s="57"/>
      <c r="W2190" s="57"/>
      <c r="X2190" s="6"/>
      <c r="Y2190" s="6"/>
      <c r="Z2190" s="6"/>
      <c r="AA2190" s="6"/>
      <c r="AB2190" s="6"/>
      <c r="AC2190" s="6"/>
      <c r="AD2190" s="6"/>
      <c r="AE2190" s="6"/>
      <c r="AF2190" s="6"/>
      <c r="AG2190" s="6"/>
      <c r="AH2190" s="6"/>
      <c r="AI2190" s="6"/>
      <c r="AJ2190" s="6"/>
    </row>
    <row r="2191" spans="1:36" ht="11.25" customHeight="1" x14ac:dyDescent="0.2">
      <c r="A2191" s="53" t="s">
        <v>21</v>
      </c>
      <c r="B2191" s="53" t="s">
        <v>39</v>
      </c>
      <c r="C2191" s="53" t="s">
        <v>23</v>
      </c>
      <c r="D2191" s="53" t="s">
        <v>40</v>
      </c>
      <c r="E2191" s="53" t="s">
        <v>25</v>
      </c>
      <c r="F2191" s="53" t="s">
        <v>25</v>
      </c>
      <c r="G2191" s="53" t="s">
        <v>25</v>
      </c>
      <c r="H2191" s="53" t="s">
        <v>25</v>
      </c>
      <c r="I2191" s="73">
        <v>43831</v>
      </c>
      <c r="J2191" s="74">
        <f>EFEITO!$J$2191*EFEITO!$Y$2191</f>
        <v>0</v>
      </c>
      <c r="K2191" s="74">
        <f ca="1">EFEITO!$L$2191*EFEITO!$Z$2191</f>
        <v>740689.63652963075</v>
      </c>
      <c r="L2191" s="74">
        <f>EFEITO!$N$2191*EFEITO!$AA$2191</f>
        <v>661766.63554473768</v>
      </c>
      <c r="M2191" s="74">
        <f>$J$2191-EFEITO!$K$2191*EFEITO!$Y$2191</f>
        <v>0</v>
      </c>
      <c r="N2191" s="74">
        <f ca="1">$K$2191-EFEITO!$M$2191*EFEITO!$Z$2191</f>
        <v>0</v>
      </c>
      <c r="O2191" s="74">
        <f>$L$2191-EFEITO!$O$2191*EFEITO!$AA$2191</f>
        <v>0</v>
      </c>
      <c r="P2191" s="57"/>
      <c r="Q2191" s="57"/>
      <c r="R2191" s="57"/>
      <c r="S2191" s="57"/>
      <c r="T2191" s="57"/>
      <c r="U2191" s="57"/>
      <c r="V2191" s="57"/>
      <c r="W2191" s="57"/>
      <c r="X2191" s="6"/>
      <c r="Y2191" s="6"/>
      <c r="Z2191" s="6"/>
      <c r="AA2191" s="6"/>
      <c r="AB2191" s="6"/>
      <c r="AC2191" s="6"/>
      <c r="AD2191" s="6"/>
      <c r="AE2191" s="6"/>
      <c r="AF2191" s="6"/>
      <c r="AG2191" s="6"/>
      <c r="AH2191" s="6"/>
      <c r="AI2191" s="6"/>
      <c r="AJ2191" s="6"/>
    </row>
    <row r="2192" spans="1:36" ht="11.25" customHeight="1" x14ac:dyDescent="0.2">
      <c r="A2192" s="53" t="s">
        <v>27</v>
      </c>
      <c r="B2192" s="53" t="s">
        <v>39</v>
      </c>
      <c r="C2192" s="53" t="s">
        <v>23</v>
      </c>
      <c r="D2192" s="53" t="s">
        <v>40</v>
      </c>
      <c r="E2192" s="53" t="s">
        <v>25</v>
      </c>
      <c r="F2192" s="53" t="s">
        <v>25</v>
      </c>
      <c r="G2192" s="53" t="s">
        <v>25</v>
      </c>
      <c r="H2192" s="53" t="s">
        <v>25</v>
      </c>
      <c r="I2192" s="73">
        <v>43831</v>
      </c>
      <c r="J2192" s="74">
        <f>EFEITO!$J$2192*EFEITO!$Y$2192</f>
        <v>0</v>
      </c>
      <c r="K2192" s="74">
        <f ca="1">EFEITO!$L$2192*EFEITO!$Z$2192</f>
        <v>1713.6272913206442</v>
      </c>
      <c r="L2192" s="74">
        <f>EFEITO!$N$2192*EFEITO!$AA$2192</f>
        <v>1531.0344727761546</v>
      </c>
      <c r="M2192" s="74">
        <f>$J$2192-EFEITO!$K$2192*EFEITO!$Y$2192</f>
        <v>0</v>
      </c>
      <c r="N2192" s="74">
        <f ca="1">$K$2192-EFEITO!$M$2192*EFEITO!$Z$2192</f>
        <v>0</v>
      </c>
      <c r="O2192" s="74">
        <f>$L$2192-EFEITO!$O$2192*EFEITO!$AA$2192</f>
        <v>0</v>
      </c>
      <c r="P2192" s="57"/>
      <c r="Q2192" s="57"/>
      <c r="R2192" s="57"/>
      <c r="S2192" s="57"/>
      <c r="T2192" s="57"/>
      <c r="U2192" s="57"/>
      <c r="V2192" s="57"/>
      <c r="W2192" s="57"/>
      <c r="X2192" s="6"/>
      <c r="Y2192" s="6"/>
      <c r="Z2192" s="6"/>
      <c r="AA2192" s="6"/>
      <c r="AB2192" s="6"/>
      <c r="AC2192" s="6"/>
      <c r="AD2192" s="6"/>
      <c r="AE2192" s="6"/>
      <c r="AF2192" s="6"/>
      <c r="AG2192" s="6"/>
      <c r="AH2192" s="6"/>
      <c r="AI2192" s="6"/>
      <c r="AJ2192" s="6"/>
    </row>
    <row r="2193" spans="1:36" ht="11.25" customHeight="1" x14ac:dyDescent="0.2">
      <c r="A2193" s="53" t="s">
        <v>28</v>
      </c>
      <c r="B2193" s="53" t="s">
        <v>39</v>
      </c>
      <c r="C2193" s="53" t="s">
        <v>23</v>
      </c>
      <c r="D2193" s="53" t="s">
        <v>40</v>
      </c>
      <c r="E2193" s="53" t="s">
        <v>25</v>
      </c>
      <c r="F2193" s="53" t="s">
        <v>25</v>
      </c>
      <c r="G2193" s="53" t="s">
        <v>25</v>
      </c>
      <c r="H2193" s="53" t="s">
        <v>25</v>
      </c>
      <c r="I2193" s="73">
        <v>43831</v>
      </c>
      <c r="J2193" s="74">
        <f>EFEITO!$J$2193*EFEITO!$Y$2193</f>
        <v>0</v>
      </c>
      <c r="K2193" s="74">
        <f ca="1">EFEITO!$L$2193*EFEITO!$Z$2193</f>
        <v>377.9060661487697</v>
      </c>
      <c r="L2193" s="74">
        <f>EFEITO!$N$2193*EFEITO!$AA$2193</f>
        <v>337.63888896697677</v>
      </c>
      <c r="M2193" s="74">
        <f>$J$2193-EFEITO!$K$2193*EFEITO!$Y$2193</f>
        <v>0</v>
      </c>
      <c r="N2193" s="74">
        <f ca="1">$K$2193-EFEITO!$M$2193*EFEITO!$Z$2193</f>
        <v>0</v>
      </c>
      <c r="O2193" s="74">
        <f>$L$2193-EFEITO!$O$2193*EFEITO!$AA$2193</f>
        <v>0</v>
      </c>
      <c r="P2193" s="57"/>
      <c r="Q2193" s="57"/>
      <c r="R2193" s="57"/>
      <c r="S2193" s="57"/>
      <c r="T2193" s="57"/>
      <c r="U2193" s="57"/>
      <c r="V2193" s="57"/>
      <c r="W2193" s="57"/>
      <c r="X2193" s="6"/>
      <c r="Y2193" s="6"/>
      <c r="Z2193" s="6"/>
      <c r="AA2193" s="6"/>
      <c r="AB2193" s="6"/>
      <c r="AC2193" s="6"/>
      <c r="AD2193" s="6"/>
      <c r="AE2193" s="6"/>
      <c r="AF2193" s="6"/>
      <c r="AG2193" s="6"/>
      <c r="AH2193" s="6"/>
      <c r="AI2193" s="6"/>
      <c r="AJ2193" s="6"/>
    </row>
    <row r="2194" spans="1:36" ht="11.25" customHeight="1" x14ac:dyDescent="0.2">
      <c r="A2194" s="53" t="s">
        <v>21</v>
      </c>
      <c r="B2194" s="53" t="s">
        <v>39</v>
      </c>
      <c r="C2194" s="53" t="s">
        <v>23</v>
      </c>
      <c r="D2194" s="53" t="s">
        <v>40</v>
      </c>
      <c r="E2194" s="53" t="s">
        <v>25</v>
      </c>
      <c r="F2194" s="53" t="s">
        <v>25</v>
      </c>
      <c r="G2194" s="53" t="s">
        <v>25</v>
      </c>
      <c r="H2194" s="53" t="s">
        <v>25</v>
      </c>
      <c r="I2194" s="73">
        <v>43862</v>
      </c>
      <c r="J2194" s="74">
        <f>EFEITO!$J$2194*EFEITO!$Y$2194</f>
        <v>0</v>
      </c>
      <c r="K2194" s="74">
        <f ca="1">EFEITO!$L$2194*EFEITO!$Z$2194</f>
        <v>697096.67648759764</v>
      </c>
      <c r="L2194" s="74">
        <f>EFEITO!$N$2194*EFEITO!$AA$2194</f>
        <v>622818.65372118156</v>
      </c>
      <c r="M2194" s="74">
        <f>$J$2194-EFEITO!$K$2194*EFEITO!$Y$2194</f>
        <v>0</v>
      </c>
      <c r="N2194" s="74">
        <f ca="1">$K$2194-EFEITO!$M$2194*EFEITO!$Z$2194</f>
        <v>0</v>
      </c>
      <c r="O2194" s="74">
        <f>$L$2194-EFEITO!$O$2194*EFEITO!$AA$2194</f>
        <v>0</v>
      </c>
      <c r="P2194" s="57"/>
      <c r="Q2194" s="57"/>
      <c r="R2194" s="57"/>
      <c r="S2194" s="57"/>
      <c r="T2194" s="57"/>
      <c r="U2194" s="57"/>
      <c r="V2194" s="57"/>
      <c r="W2194" s="57"/>
      <c r="X2194" s="6"/>
      <c r="Y2194" s="6"/>
      <c r="Z2194" s="6"/>
      <c r="AA2194" s="6"/>
      <c r="AB2194" s="6"/>
      <c r="AC2194" s="6"/>
      <c r="AD2194" s="6"/>
      <c r="AE2194" s="6"/>
      <c r="AF2194" s="6"/>
      <c r="AG2194" s="6"/>
      <c r="AH2194" s="6"/>
      <c r="AI2194" s="6"/>
      <c r="AJ2194" s="6"/>
    </row>
    <row r="2195" spans="1:36" ht="11.25" customHeight="1" x14ac:dyDescent="0.2">
      <c r="A2195" s="53" t="s">
        <v>27</v>
      </c>
      <c r="B2195" s="53" t="s">
        <v>39</v>
      </c>
      <c r="C2195" s="53" t="s">
        <v>23</v>
      </c>
      <c r="D2195" s="53" t="s">
        <v>40</v>
      </c>
      <c r="E2195" s="53" t="s">
        <v>25</v>
      </c>
      <c r="F2195" s="53" t="s">
        <v>25</v>
      </c>
      <c r="G2195" s="53" t="s">
        <v>25</v>
      </c>
      <c r="H2195" s="53" t="s">
        <v>25</v>
      </c>
      <c r="I2195" s="73">
        <v>43862</v>
      </c>
      <c r="J2195" s="74">
        <f>EFEITO!$J$2195*EFEITO!$Y$2195</f>
        <v>0</v>
      </c>
      <c r="K2195" s="74">
        <f ca="1">EFEITO!$L$2195*EFEITO!$Z$2195</f>
        <v>3700.7606995806136</v>
      </c>
      <c r="L2195" s="74">
        <f>EFEITO!$N$2195*EFEITO!$AA$2195</f>
        <v>3306.4320551212145</v>
      </c>
      <c r="M2195" s="74">
        <f>$J$2195-EFEITO!$K$2195*EFEITO!$Y$2195</f>
        <v>0</v>
      </c>
      <c r="N2195" s="74">
        <f ca="1">$K$2195-EFEITO!$M$2195*EFEITO!$Z$2195</f>
        <v>0</v>
      </c>
      <c r="O2195" s="74">
        <f>$L$2195-EFEITO!$O$2195*EFEITO!$AA$2195</f>
        <v>0</v>
      </c>
      <c r="P2195" s="57"/>
      <c r="Q2195" s="57"/>
      <c r="R2195" s="57"/>
      <c r="S2195" s="57"/>
      <c r="T2195" s="57"/>
      <c r="U2195" s="57"/>
      <c r="V2195" s="57"/>
      <c r="W2195" s="57"/>
      <c r="X2195" s="6"/>
      <c r="Y2195" s="6"/>
      <c r="Z2195" s="6"/>
      <c r="AA2195" s="6"/>
      <c r="AB2195" s="6"/>
      <c r="AC2195" s="6"/>
      <c r="AD2195" s="6"/>
      <c r="AE2195" s="6"/>
      <c r="AF2195" s="6"/>
      <c r="AG2195" s="6"/>
      <c r="AH2195" s="6"/>
      <c r="AI2195" s="6"/>
      <c r="AJ2195" s="6"/>
    </row>
    <row r="2196" spans="1:36" ht="11.25" customHeight="1" x14ac:dyDescent="0.2">
      <c r="A2196" s="53" t="s">
        <v>28</v>
      </c>
      <c r="B2196" s="53" t="s">
        <v>39</v>
      </c>
      <c r="C2196" s="53" t="s">
        <v>23</v>
      </c>
      <c r="D2196" s="53" t="s">
        <v>40</v>
      </c>
      <c r="E2196" s="53" t="s">
        <v>25</v>
      </c>
      <c r="F2196" s="53" t="s">
        <v>25</v>
      </c>
      <c r="G2196" s="53" t="s">
        <v>25</v>
      </c>
      <c r="H2196" s="53" t="s">
        <v>25</v>
      </c>
      <c r="I2196" s="73">
        <v>43862</v>
      </c>
      <c r="J2196" s="74">
        <f>EFEITO!$J$2196*EFEITO!$Y$2196</f>
        <v>0</v>
      </c>
      <c r="K2196" s="74">
        <f ca="1">EFEITO!$L$2196*EFEITO!$Z$2196</f>
        <v>1200.3275410408764</v>
      </c>
      <c r="L2196" s="74">
        <f>EFEITO!$N$2196*EFEITO!$AA$2196</f>
        <v>1072.428557402304</v>
      </c>
      <c r="M2196" s="74">
        <f>$J$2196-EFEITO!$K$2196*EFEITO!$Y$2196</f>
        <v>0</v>
      </c>
      <c r="N2196" s="74">
        <f ca="1">$K$2196-EFEITO!$M$2196*EFEITO!$Z$2196</f>
        <v>0</v>
      </c>
      <c r="O2196" s="74">
        <f>$L$2196-EFEITO!$O$2196*EFEITO!$AA$2196</f>
        <v>0</v>
      </c>
      <c r="P2196" s="57"/>
      <c r="Q2196" s="57"/>
      <c r="R2196" s="57"/>
      <c r="S2196" s="57"/>
      <c r="T2196" s="57"/>
      <c r="U2196" s="57"/>
      <c r="V2196" s="57"/>
      <c r="W2196" s="57"/>
      <c r="X2196" s="6"/>
      <c r="Y2196" s="6"/>
      <c r="Z2196" s="6"/>
      <c r="AA2196" s="6"/>
      <c r="AB2196" s="6"/>
      <c r="AC2196" s="6"/>
      <c r="AD2196" s="6"/>
      <c r="AE2196" s="6"/>
      <c r="AF2196" s="6"/>
      <c r="AG2196" s="6"/>
      <c r="AH2196" s="6"/>
      <c r="AI2196" s="6"/>
      <c r="AJ2196" s="6"/>
    </row>
    <row r="2197" spans="1:36" ht="11.25" customHeight="1" x14ac:dyDescent="0.2">
      <c r="A2197" s="53" t="s">
        <v>21</v>
      </c>
      <c r="B2197" s="53" t="s">
        <v>39</v>
      </c>
      <c r="C2197" s="53" t="s">
        <v>23</v>
      </c>
      <c r="D2197" s="53" t="s">
        <v>40</v>
      </c>
      <c r="E2197" s="53" t="s">
        <v>25</v>
      </c>
      <c r="F2197" s="53" t="s">
        <v>25</v>
      </c>
      <c r="G2197" s="53" t="s">
        <v>25</v>
      </c>
      <c r="H2197" s="53" t="s">
        <v>25</v>
      </c>
      <c r="I2197" s="73">
        <v>43891</v>
      </c>
      <c r="J2197" s="74">
        <f>EFEITO!$J$2197*EFEITO!$Y$2197</f>
        <v>0</v>
      </c>
      <c r="K2197" s="74">
        <f ca="1">EFEITO!$L$2197*EFEITO!$Z$2197</f>
        <v>703389.76405101165</v>
      </c>
      <c r="L2197" s="74">
        <f>EFEITO!$N$2197*EFEITO!$AA$2197</f>
        <v>628441.19139234605</v>
      </c>
      <c r="M2197" s="74">
        <f>$J$2197-EFEITO!$K$2197*EFEITO!$Y$2197</f>
        <v>0</v>
      </c>
      <c r="N2197" s="74">
        <f ca="1">$K$2197-EFEITO!$M$2197*EFEITO!$Z$2197</f>
        <v>0</v>
      </c>
      <c r="O2197" s="74">
        <f>$L$2197-EFEITO!$O$2197*EFEITO!$AA$2197</f>
        <v>0</v>
      </c>
      <c r="P2197" s="57"/>
      <c r="Q2197" s="57"/>
      <c r="R2197" s="57"/>
      <c r="S2197" s="57"/>
      <c r="T2197" s="57"/>
      <c r="U2197" s="57"/>
      <c r="V2197" s="57"/>
      <c r="W2197" s="57"/>
      <c r="X2197" s="6"/>
      <c r="Y2197" s="6"/>
      <c r="Z2197" s="6"/>
      <c r="AA2197" s="6"/>
      <c r="AB2197" s="6"/>
      <c r="AC2197" s="6"/>
      <c r="AD2197" s="6"/>
      <c r="AE2197" s="6"/>
      <c r="AF2197" s="6"/>
      <c r="AG2197" s="6"/>
      <c r="AH2197" s="6"/>
      <c r="AI2197" s="6"/>
      <c r="AJ2197" s="6"/>
    </row>
    <row r="2198" spans="1:36" ht="11.25" customHeight="1" x14ac:dyDescent="0.2">
      <c r="A2198" s="53" t="s">
        <v>27</v>
      </c>
      <c r="B2198" s="53" t="s">
        <v>39</v>
      </c>
      <c r="C2198" s="53" t="s">
        <v>23</v>
      </c>
      <c r="D2198" s="53" t="s">
        <v>40</v>
      </c>
      <c r="E2198" s="53" t="s">
        <v>25</v>
      </c>
      <c r="F2198" s="53" t="s">
        <v>25</v>
      </c>
      <c r="G2198" s="53" t="s">
        <v>25</v>
      </c>
      <c r="H2198" s="53" t="s">
        <v>25</v>
      </c>
      <c r="I2198" s="73">
        <v>43891</v>
      </c>
      <c r="J2198" s="74">
        <f>EFEITO!$J$2198*EFEITO!$Y$2198</f>
        <v>0</v>
      </c>
      <c r="K2198" s="74">
        <f ca="1">EFEITO!$L$2198*EFEITO!$Z$2198</f>
        <v>871.63082595176661</v>
      </c>
      <c r="L2198" s="74">
        <f>EFEITO!$N$2198*EFEITO!$AA$2198</f>
        <v>778.75559570368898</v>
      </c>
      <c r="M2198" s="74">
        <f>$J$2198-EFEITO!$K$2198*EFEITO!$Y$2198</f>
        <v>0</v>
      </c>
      <c r="N2198" s="74">
        <f ca="1">$K$2198-EFEITO!$M$2198*EFEITO!$Z$2198</f>
        <v>0</v>
      </c>
      <c r="O2198" s="74">
        <f>$L$2198-EFEITO!$O$2198*EFEITO!$AA$2198</f>
        <v>0</v>
      </c>
      <c r="P2198" s="57"/>
      <c r="Q2198" s="57"/>
      <c r="R2198" s="57"/>
      <c r="S2198" s="57"/>
      <c r="T2198" s="57"/>
      <c r="U2198" s="57"/>
      <c r="V2198" s="57"/>
      <c r="W2198" s="57"/>
      <c r="X2198" s="6"/>
      <c r="Y2198" s="6"/>
      <c r="Z2198" s="6"/>
      <c r="AA2198" s="6"/>
      <c r="AB2198" s="6"/>
      <c r="AC2198" s="6"/>
      <c r="AD2198" s="6"/>
      <c r="AE2198" s="6"/>
      <c r="AF2198" s="6"/>
      <c r="AG2198" s="6"/>
      <c r="AH2198" s="6"/>
      <c r="AI2198" s="6"/>
      <c r="AJ2198" s="6"/>
    </row>
    <row r="2199" spans="1:36" ht="11.25" customHeight="1" x14ac:dyDescent="0.2">
      <c r="A2199" s="53" t="s">
        <v>28</v>
      </c>
      <c r="B2199" s="53" t="s">
        <v>39</v>
      </c>
      <c r="C2199" s="53" t="s">
        <v>23</v>
      </c>
      <c r="D2199" s="53" t="s">
        <v>40</v>
      </c>
      <c r="E2199" s="53" t="s">
        <v>25</v>
      </c>
      <c r="F2199" s="53" t="s">
        <v>25</v>
      </c>
      <c r="G2199" s="53" t="s">
        <v>25</v>
      </c>
      <c r="H2199" s="53" t="s">
        <v>25</v>
      </c>
      <c r="I2199" s="73">
        <v>43891</v>
      </c>
      <c r="J2199" s="74">
        <f>EFEITO!$J$2199*EFEITO!$Y$2199</f>
        <v>0</v>
      </c>
      <c r="K2199" s="74">
        <f ca="1">EFEITO!$L$2199*EFEITO!$Z$2199</f>
        <v>873.26207515816429</v>
      </c>
      <c r="L2199" s="74">
        <f>EFEITO!$N$2199*EFEITO!$AA$2199</f>
        <v>780.21302975678384</v>
      </c>
      <c r="M2199" s="74">
        <f>$J$2199-EFEITO!$K$2199*EFEITO!$Y$2199</f>
        <v>0</v>
      </c>
      <c r="N2199" s="74">
        <f ca="1">$K$2199-EFEITO!$M$2199*EFEITO!$Z$2199</f>
        <v>0</v>
      </c>
      <c r="O2199" s="74">
        <f>$L$2199-EFEITO!$O$2199*EFEITO!$AA$2199</f>
        <v>0</v>
      </c>
      <c r="P2199" s="57"/>
      <c r="Q2199" s="57"/>
      <c r="R2199" s="57"/>
      <c r="S2199" s="57"/>
      <c r="T2199" s="57"/>
      <c r="U2199" s="57"/>
      <c r="V2199" s="57"/>
      <c r="W2199" s="57"/>
      <c r="X2199" s="6"/>
      <c r="Y2199" s="6"/>
      <c r="Z2199" s="6"/>
      <c r="AA2199" s="6"/>
      <c r="AB2199" s="6"/>
      <c r="AC2199" s="6"/>
      <c r="AD2199" s="6"/>
      <c r="AE2199" s="6"/>
      <c r="AF2199" s="6"/>
      <c r="AG2199" s="6"/>
      <c r="AH2199" s="6"/>
      <c r="AI2199" s="6"/>
      <c r="AJ2199" s="6"/>
    </row>
    <row r="2200" spans="1:36" ht="11.25" customHeight="1" x14ac:dyDescent="0.2">
      <c r="A2200" s="53" t="s">
        <v>21</v>
      </c>
      <c r="B2200" s="53" t="s">
        <v>39</v>
      </c>
      <c r="C2200" s="53" t="s">
        <v>23</v>
      </c>
      <c r="D2200" s="53" t="s">
        <v>40</v>
      </c>
      <c r="E2200" s="53" t="s">
        <v>25</v>
      </c>
      <c r="F2200" s="53" t="s">
        <v>25</v>
      </c>
      <c r="G2200" s="53" t="s">
        <v>25</v>
      </c>
      <c r="H2200" s="53" t="s">
        <v>25</v>
      </c>
      <c r="I2200" s="73">
        <v>43922</v>
      </c>
      <c r="J2200" s="74">
        <f>EFEITO!$J$2200*EFEITO!$Y$2200</f>
        <v>0</v>
      </c>
      <c r="K2200" s="74">
        <f ca="1">EFEITO!$L$2200*EFEITO!$Z$2200</f>
        <v>660762.77541403368</v>
      </c>
      <c r="L2200" s="74">
        <f>EFEITO!$N$2200*EFEITO!$AA$2200</f>
        <v>590356.25343389763</v>
      </c>
      <c r="M2200" s="74">
        <f>$J$2200-EFEITO!$K$2200*EFEITO!$Y$2200</f>
        <v>0</v>
      </c>
      <c r="N2200" s="74">
        <f ca="1">$K$2200-EFEITO!$M$2200*EFEITO!$Z$2200</f>
        <v>0</v>
      </c>
      <c r="O2200" s="74">
        <f>$L$2200-EFEITO!$O$2200*EFEITO!$AA$2200</f>
        <v>0</v>
      </c>
      <c r="P2200" s="57"/>
      <c r="Q2200" s="57"/>
      <c r="R2200" s="57"/>
      <c r="S2200" s="57"/>
      <c r="T2200" s="57"/>
      <c r="U2200" s="57"/>
      <c r="V2200" s="57"/>
      <c r="W2200" s="57"/>
      <c r="X2200" s="6"/>
      <c r="Y2200" s="6"/>
      <c r="Z2200" s="6"/>
      <c r="AA2200" s="6"/>
      <c r="AB2200" s="6"/>
      <c r="AC2200" s="6"/>
      <c r="AD2200" s="6"/>
      <c r="AE2200" s="6"/>
      <c r="AF2200" s="6"/>
      <c r="AG2200" s="6"/>
      <c r="AH2200" s="6"/>
      <c r="AI2200" s="6"/>
      <c r="AJ2200" s="6"/>
    </row>
    <row r="2201" spans="1:36" ht="11.25" customHeight="1" x14ac:dyDescent="0.2">
      <c r="A2201" s="53" t="s">
        <v>27</v>
      </c>
      <c r="B2201" s="53" t="s">
        <v>39</v>
      </c>
      <c r="C2201" s="53" t="s">
        <v>23</v>
      </c>
      <c r="D2201" s="53" t="s">
        <v>40</v>
      </c>
      <c r="E2201" s="53" t="s">
        <v>25</v>
      </c>
      <c r="F2201" s="53" t="s">
        <v>25</v>
      </c>
      <c r="G2201" s="53" t="s">
        <v>25</v>
      </c>
      <c r="H2201" s="53" t="s">
        <v>25</v>
      </c>
      <c r="I2201" s="73">
        <v>43922</v>
      </c>
      <c r="J2201" s="74">
        <f>EFEITO!$J$2201*EFEITO!$Y$2201</f>
        <v>0</v>
      </c>
      <c r="K2201" s="74">
        <f ca="1">EFEITO!$L$2201*EFEITO!$Z$2201</f>
        <v>329.51233969230856</v>
      </c>
      <c r="L2201" s="74">
        <f>EFEITO!$N$2201*EFEITO!$AA$2201</f>
        <v>294.40167872516253</v>
      </c>
      <c r="M2201" s="74">
        <f>$J$2201-EFEITO!$K$2201*EFEITO!$Y$2201</f>
        <v>0</v>
      </c>
      <c r="N2201" s="74">
        <f ca="1">$K$2201-EFEITO!$M$2201*EFEITO!$Z$2201</f>
        <v>0</v>
      </c>
      <c r="O2201" s="74">
        <f>$L$2201-EFEITO!$O$2201*EFEITO!$AA$2201</f>
        <v>0</v>
      </c>
      <c r="P2201" s="57"/>
      <c r="Q2201" s="57"/>
      <c r="R2201" s="57"/>
      <c r="S2201" s="57"/>
      <c r="T2201" s="57"/>
      <c r="U2201" s="57"/>
      <c r="V2201" s="57"/>
      <c r="W2201" s="57"/>
      <c r="X2201" s="6"/>
      <c r="Y2201" s="6"/>
      <c r="Z2201" s="6"/>
      <c r="AA2201" s="6"/>
      <c r="AB2201" s="6"/>
      <c r="AC2201" s="6"/>
      <c r="AD2201" s="6"/>
      <c r="AE2201" s="6"/>
      <c r="AF2201" s="6"/>
      <c r="AG2201" s="6"/>
      <c r="AH2201" s="6"/>
      <c r="AI2201" s="6"/>
      <c r="AJ2201" s="6"/>
    </row>
    <row r="2202" spans="1:36" ht="11.25" customHeight="1" x14ac:dyDescent="0.2">
      <c r="A2202" s="53" t="s">
        <v>28</v>
      </c>
      <c r="B2202" s="53" t="s">
        <v>39</v>
      </c>
      <c r="C2202" s="53" t="s">
        <v>23</v>
      </c>
      <c r="D2202" s="53" t="s">
        <v>40</v>
      </c>
      <c r="E2202" s="53" t="s">
        <v>25</v>
      </c>
      <c r="F2202" s="53" t="s">
        <v>25</v>
      </c>
      <c r="G2202" s="53" t="s">
        <v>25</v>
      </c>
      <c r="H2202" s="53" t="s">
        <v>25</v>
      </c>
      <c r="I2202" s="73">
        <v>43922</v>
      </c>
      <c r="J2202" s="74">
        <f>EFEITO!$J$2202*EFEITO!$Y$2202</f>
        <v>0</v>
      </c>
      <c r="K2202" s="74">
        <f ca="1">EFEITO!$L$2202*EFEITO!$Z$2202</f>
        <v>868.09645267123858</v>
      </c>
      <c r="L2202" s="74">
        <f>EFEITO!$N$2202*EFEITO!$AA$2202</f>
        <v>775.5978219219835</v>
      </c>
      <c r="M2202" s="74">
        <f>$J$2202-EFEITO!$K$2202*EFEITO!$Y$2202</f>
        <v>0</v>
      </c>
      <c r="N2202" s="74">
        <f ca="1">$K$2202-EFEITO!$M$2202*EFEITO!$Z$2202</f>
        <v>0</v>
      </c>
      <c r="O2202" s="74">
        <f>$L$2202-EFEITO!$O$2202*EFEITO!$AA$2202</f>
        <v>0</v>
      </c>
      <c r="P2202" s="57"/>
      <c r="Q2202" s="57"/>
      <c r="R2202" s="57"/>
      <c r="S2202" s="57"/>
      <c r="T2202" s="57"/>
      <c r="U2202" s="57"/>
      <c r="V2202" s="57"/>
      <c r="W2202" s="57"/>
      <c r="X2202" s="6"/>
      <c r="Y2202" s="6"/>
      <c r="Z2202" s="6"/>
      <c r="AA2202" s="6"/>
      <c r="AB2202" s="6"/>
      <c r="AC2202" s="6"/>
      <c r="AD2202" s="6"/>
      <c r="AE2202" s="6"/>
      <c r="AF2202" s="6"/>
      <c r="AG2202" s="6"/>
      <c r="AH2202" s="6"/>
      <c r="AI2202" s="6"/>
      <c r="AJ2202" s="6"/>
    </row>
    <row r="2203" spans="1:36" ht="11.25" customHeight="1" x14ac:dyDescent="0.2">
      <c r="A2203" s="53" t="s">
        <v>21</v>
      </c>
      <c r="B2203" s="53" t="s">
        <v>39</v>
      </c>
      <c r="C2203" s="53" t="s">
        <v>23</v>
      </c>
      <c r="D2203" s="53" t="s">
        <v>40</v>
      </c>
      <c r="E2203" s="53" t="s">
        <v>25</v>
      </c>
      <c r="F2203" s="53" t="s">
        <v>25</v>
      </c>
      <c r="G2203" s="53" t="s">
        <v>25</v>
      </c>
      <c r="H2203" s="53" t="s">
        <v>25</v>
      </c>
      <c r="I2203" s="73">
        <v>43952</v>
      </c>
      <c r="J2203" s="74">
        <f>EFEITO!$J$2203*EFEITO!$Y$2203</f>
        <v>0</v>
      </c>
      <c r="K2203" s="74">
        <f ca="1">EFEITO!$L$2203*EFEITO!$Z$2203</f>
        <v>617329.67779422761</v>
      </c>
      <c r="L2203" s="74">
        <f>EFEITO!$N$2203*EFEITO!$AA$2203</f>
        <v>551551.10014754487</v>
      </c>
      <c r="M2203" s="74">
        <f>$J$2203-EFEITO!$K$2203*EFEITO!$Y$2203</f>
        <v>0</v>
      </c>
      <c r="N2203" s="74">
        <f ca="1">$K$2203-EFEITO!$M$2203*EFEITO!$Z$2203</f>
        <v>0</v>
      </c>
      <c r="O2203" s="74">
        <f>$L$2203-EFEITO!$O$2203*EFEITO!$AA$2203</f>
        <v>0</v>
      </c>
      <c r="P2203" s="57"/>
      <c r="Q2203" s="57"/>
      <c r="R2203" s="57"/>
      <c r="S2203" s="57"/>
      <c r="T2203" s="57"/>
      <c r="U2203" s="57"/>
      <c r="V2203" s="57"/>
      <c r="W2203" s="57"/>
      <c r="X2203" s="6"/>
      <c r="Y2203" s="6"/>
      <c r="Z2203" s="6"/>
      <c r="AA2203" s="6"/>
      <c r="AB2203" s="6"/>
      <c r="AC2203" s="6"/>
      <c r="AD2203" s="6"/>
      <c r="AE2203" s="6"/>
      <c r="AF2203" s="6"/>
      <c r="AG2203" s="6"/>
      <c r="AH2203" s="6"/>
      <c r="AI2203" s="6"/>
      <c r="AJ2203" s="6"/>
    </row>
    <row r="2204" spans="1:36" ht="11.25" customHeight="1" x14ac:dyDescent="0.2">
      <c r="A2204" s="53" t="s">
        <v>27</v>
      </c>
      <c r="B2204" s="53" t="s">
        <v>39</v>
      </c>
      <c r="C2204" s="53" t="s">
        <v>23</v>
      </c>
      <c r="D2204" s="53" t="s">
        <v>40</v>
      </c>
      <c r="E2204" s="53" t="s">
        <v>25</v>
      </c>
      <c r="F2204" s="53" t="s">
        <v>25</v>
      </c>
      <c r="G2204" s="53" t="s">
        <v>25</v>
      </c>
      <c r="H2204" s="53" t="s">
        <v>25</v>
      </c>
      <c r="I2204" s="73">
        <v>43952</v>
      </c>
      <c r="J2204" s="74">
        <f>EFEITO!$J$2204*EFEITO!$Y$2204</f>
        <v>0</v>
      </c>
      <c r="K2204" s="74">
        <f ca="1">EFEITO!$L$2204*EFEITO!$Z$2204</f>
        <v>54.374973546585572</v>
      </c>
      <c r="L2204" s="74">
        <f>EFEITO!$N$2204*EFEITO!$AA$2204</f>
        <v>48.581135103162133</v>
      </c>
      <c r="M2204" s="74">
        <f>$J$2204-EFEITO!$K$2204*EFEITO!$Y$2204</f>
        <v>0</v>
      </c>
      <c r="N2204" s="74">
        <f ca="1">$K$2204-EFEITO!$M$2204*EFEITO!$Z$2204</f>
        <v>0</v>
      </c>
      <c r="O2204" s="74">
        <f>$L$2204-EFEITO!$O$2204*EFEITO!$AA$2204</f>
        <v>0</v>
      </c>
      <c r="P2204" s="57"/>
      <c r="Q2204" s="57"/>
      <c r="R2204" s="57"/>
      <c r="S2204" s="57"/>
      <c r="T2204" s="57"/>
      <c r="U2204" s="57"/>
      <c r="V2204" s="57"/>
      <c r="W2204" s="57"/>
      <c r="X2204" s="6"/>
      <c r="Y2204" s="6"/>
      <c r="Z2204" s="6"/>
      <c r="AA2204" s="6"/>
      <c r="AB2204" s="6"/>
      <c r="AC2204" s="6"/>
      <c r="AD2204" s="6"/>
      <c r="AE2204" s="6"/>
      <c r="AF2204" s="6"/>
      <c r="AG2204" s="6"/>
      <c r="AH2204" s="6"/>
      <c r="AI2204" s="6"/>
      <c r="AJ2204" s="6"/>
    </row>
    <row r="2205" spans="1:36" ht="11.25" customHeight="1" x14ac:dyDescent="0.2">
      <c r="A2205" s="53" t="s">
        <v>28</v>
      </c>
      <c r="B2205" s="53" t="s">
        <v>39</v>
      </c>
      <c r="C2205" s="53" t="s">
        <v>23</v>
      </c>
      <c r="D2205" s="53" t="s">
        <v>40</v>
      </c>
      <c r="E2205" s="53" t="s">
        <v>25</v>
      </c>
      <c r="F2205" s="53" t="s">
        <v>25</v>
      </c>
      <c r="G2205" s="53" t="s">
        <v>25</v>
      </c>
      <c r="H2205" s="53" t="s">
        <v>25</v>
      </c>
      <c r="I2205" s="73">
        <v>43952</v>
      </c>
      <c r="J2205" s="74">
        <f>EFEITO!$J$2205*EFEITO!$Y$2205</f>
        <v>0</v>
      </c>
      <c r="K2205" s="74">
        <f ca="1">EFEITO!$L$2205*EFEITO!$Z$2205</f>
        <v>943.40579103325967</v>
      </c>
      <c r="L2205" s="74">
        <f>EFEITO!$N$2205*EFEITO!$AA$2205</f>
        <v>842.88269403986305</v>
      </c>
      <c r="M2205" s="74">
        <f>$J$2205-EFEITO!$K$2205*EFEITO!$Y$2205</f>
        <v>0</v>
      </c>
      <c r="N2205" s="74">
        <f ca="1">$K$2205-EFEITO!$M$2205*EFEITO!$Z$2205</f>
        <v>0</v>
      </c>
      <c r="O2205" s="74">
        <f>$L$2205-EFEITO!$O$2205*EFEITO!$AA$2205</f>
        <v>0</v>
      </c>
      <c r="P2205" s="57"/>
      <c r="Q2205" s="57"/>
      <c r="R2205" s="57"/>
      <c r="S2205" s="57"/>
      <c r="T2205" s="57"/>
      <c r="U2205" s="57"/>
      <c r="V2205" s="57"/>
      <c r="W2205" s="57"/>
      <c r="X2205" s="6"/>
      <c r="Y2205" s="6"/>
      <c r="Z2205" s="6"/>
      <c r="AA2205" s="6"/>
      <c r="AB2205" s="6"/>
      <c r="AC2205" s="6"/>
      <c r="AD2205" s="6"/>
      <c r="AE2205" s="6"/>
      <c r="AF2205" s="6"/>
      <c r="AG2205" s="6"/>
      <c r="AH2205" s="6"/>
      <c r="AI2205" s="6"/>
      <c r="AJ2205" s="6"/>
    </row>
    <row r="2206" spans="1:36" ht="11.25" customHeight="1" x14ac:dyDescent="0.2">
      <c r="A2206" s="53" t="s">
        <v>21</v>
      </c>
      <c r="B2206" s="53" t="s">
        <v>39</v>
      </c>
      <c r="C2206" s="53" t="s">
        <v>23</v>
      </c>
      <c r="D2206" s="53" t="s">
        <v>40</v>
      </c>
      <c r="E2206" s="53" t="s">
        <v>25</v>
      </c>
      <c r="F2206" s="53" t="s">
        <v>25</v>
      </c>
      <c r="G2206" s="53" t="s">
        <v>25</v>
      </c>
      <c r="H2206" s="53" t="s">
        <v>25</v>
      </c>
      <c r="I2206" s="73">
        <v>43983</v>
      </c>
      <c r="J2206" s="74">
        <f>EFEITO!$J$2206*EFEITO!$Y$2206</f>
        <v>0</v>
      </c>
      <c r="K2206" s="74">
        <f ca="1">EFEITO!$L$2206*EFEITO!$Z$2206</f>
        <v>547505.95863845386</v>
      </c>
      <c r="L2206" s="74">
        <f>EFEITO!$N$2206*EFEITO!$AA$2206</f>
        <v>489167.33584454778</v>
      </c>
      <c r="M2206" s="74">
        <f>$J$2206-EFEITO!$K$2206*EFEITO!$Y$2206</f>
        <v>0</v>
      </c>
      <c r="N2206" s="74">
        <f ca="1">$K$2206-EFEITO!$M$2206*EFEITO!$Z$2206</f>
        <v>0</v>
      </c>
      <c r="O2206" s="74">
        <f>$L$2206-EFEITO!$O$2206*EFEITO!$AA$2206</f>
        <v>0</v>
      </c>
      <c r="P2206" s="57"/>
      <c r="Q2206" s="57"/>
      <c r="R2206" s="57"/>
      <c r="S2206" s="57"/>
      <c r="T2206" s="57"/>
      <c r="U2206" s="57"/>
      <c r="V2206" s="57"/>
      <c r="W2206" s="57"/>
      <c r="X2206" s="6"/>
      <c r="Y2206" s="6"/>
      <c r="Z2206" s="6"/>
      <c r="AA2206" s="6"/>
      <c r="AB2206" s="6"/>
      <c r="AC2206" s="6"/>
      <c r="AD2206" s="6"/>
      <c r="AE2206" s="6"/>
      <c r="AF2206" s="6"/>
      <c r="AG2206" s="6"/>
      <c r="AH2206" s="6"/>
      <c r="AI2206" s="6"/>
      <c r="AJ2206" s="6"/>
    </row>
    <row r="2207" spans="1:36" ht="11.25" customHeight="1" x14ac:dyDescent="0.2">
      <c r="A2207" s="53" t="s">
        <v>27</v>
      </c>
      <c r="B2207" s="53" t="s">
        <v>39</v>
      </c>
      <c r="C2207" s="53" t="s">
        <v>23</v>
      </c>
      <c r="D2207" s="53" t="s">
        <v>40</v>
      </c>
      <c r="E2207" s="53" t="s">
        <v>25</v>
      </c>
      <c r="F2207" s="53" t="s">
        <v>25</v>
      </c>
      <c r="G2207" s="53" t="s">
        <v>25</v>
      </c>
      <c r="H2207" s="53" t="s">
        <v>25</v>
      </c>
      <c r="I2207" s="73">
        <v>43983</v>
      </c>
      <c r="J2207" s="74">
        <f>EFEITO!$J$2207*EFEITO!$Y$2207</f>
        <v>0</v>
      </c>
      <c r="K2207" s="74">
        <f ca="1">EFEITO!$L$2207*EFEITO!$Z$2207</f>
        <v>318.63734498299141</v>
      </c>
      <c r="L2207" s="74">
        <f>EFEITO!$N$2207*EFEITO!$AA$2207</f>
        <v>284.68545170453007</v>
      </c>
      <c r="M2207" s="74">
        <f>$J$2207-EFEITO!$K$2207*EFEITO!$Y$2207</f>
        <v>0</v>
      </c>
      <c r="N2207" s="74">
        <f ca="1">$K$2207-EFEITO!$M$2207*EFEITO!$Z$2207</f>
        <v>0</v>
      </c>
      <c r="O2207" s="74">
        <f>$L$2207-EFEITO!$O$2207*EFEITO!$AA$2207</f>
        <v>0</v>
      </c>
      <c r="P2207" s="57"/>
      <c r="Q2207" s="57"/>
      <c r="R2207" s="57"/>
      <c r="S2207" s="57"/>
      <c r="T2207" s="57"/>
      <c r="U2207" s="57"/>
      <c r="V2207" s="57"/>
      <c r="W2207" s="57"/>
      <c r="X2207" s="6"/>
      <c r="Y2207" s="6"/>
      <c r="Z2207" s="6"/>
      <c r="AA2207" s="6"/>
      <c r="AB2207" s="6"/>
      <c r="AC2207" s="6"/>
      <c r="AD2207" s="6"/>
      <c r="AE2207" s="6"/>
      <c r="AF2207" s="6"/>
      <c r="AG2207" s="6"/>
      <c r="AH2207" s="6"/>
      <c r="AI2207" s="6"/>
      <c r="AJ2207" s="6"/>
    </row>
    <row r="2208" spans="1:36" ht="11.25" customHeight="1" x14ac:dyDescent="0.2">
      <c r="A2208" s="53" t="s">
        <v>28</v>
      </c>
      <c r="B2208" s="53" t="s">
        <v>39</v>
      </c>
      <c r="C2208" s="53" t="s">
        <v>23</v>
      </c>
      <c r="D2208" s="53" t="s">
        <v>40</v>
      </c>
      <c r="E2208" s="53" t="s">
        <v>25</v>
      </c>
      <c r="F2208" s="53" t="s">
        <v>25</v>
      </c>
      <c r="G2208" s="53" t="s">
        <v>25</v>
      </c>
      <c r="H2208" s="53" t="s">
        <v>25</v>
      </c>
      <c r="I2208" s="73">
        <v>43983</v>
      </c>
      <c r="J2208" s="74">
        <f>EFEITO!$J$2208*EFEITO!$Y$2208</f>
        <v>0</v>
      </c>
      <c r="K2208" s="74">
        <f ca="1">EFEITO!$L$2208*EFEITO!$Z$2208</f>
        <v>720.46839949225875</v>
      </c>
      <c r="L2208" s="74">
        <f>EFEITO!$N$2208*EFEITO!$AA$2208</f>
        <v>643.70004011689821</v>
      </c>
      <c r="M2208" s="74">
        <f>$J$2208-EFEITO!$K$2208*EFEITO!$Y$2208</f>
        <v>0</v>
      </c>
      <c r="N2208" s="74">
        <f ca="1">$K$2208-EFEITO!$M$2208*EFEITO!$Z$2208</f>
        <v>0</v>
      </c>
      <c r="O2208" s="74">
        <f>$L$2208-EFEITO!$O$2208*EFEITO!$AA$2208</f>
        <v>0</v>
      </c>
      <c r="P2208" s="57"/>
      <c r="Q2208" s="57"/>
      <c r="R2208" s="57"/>
      <c r="S2208" s="57"/>
      <c r="T2208" s="57"/>
      <c r="U2208" s="57"/>
      <c r="V2208" s="57"/>
      <c r="W2208" s="57"/>
      <c r="X2208" s="6"/>
      <c r="Y2208" s="6"/>
      <c r="Z2208" s="6"/>
      <c r="AA2208" s="6"/>
      <c r="AB2208" s="6"/>
      <c r="AC2208" s="6"/>
      <c r="AD2208" s="6"/>
      <c r="AE2208" s="6"/>
      <c r="AF2208" s="6"/>
      <c r="AG2208" s="6"/>
      <c r="AH2208" s="6"/>
      <c r="AI2208" s="6"/>
      <c r="AJ2208" s="6"/>
    </row>
    <row r="2209" spans="1:36" ht="11.25" customHeight="1" x14ac:dyDescent="0.2">
      <c r="A2209" s="53" t="s">
        <v>21</v>
      </c>
      <c r="B2209" s="53" t="s">
        <v>39</v>
      </c>
      <c r="C2209" s="53" t="s">
        <v>23</v>
      </c>
      <c r="D2209" s="53" t="s">
        <v>40</v>
      </c>
      <c r="E2209" s="53" t="s">
        <v>25</v>
      </c>
      <c r="F2209" s="53" t="s">
        <v>25</v>
      </c>
      <c r="G2209" s="53" t="s">
        <v>25</v>
      </c>
      <c r="H2209" s="53" t="s">
        <v>25</v>
      </c>
      <c r="I2209" s="73">
        <v>44013</v>
      </c>
      <c r="J2209" s="74">
        <f>EFEITO!$J$2209*EFEITO!$Y$2209</f>
        <v>0</v>
      </c>
      <c r="K2209" s="74">
        <f ca="1">EFEITO!$L$2209*EFEITO!$Z$2209</f>
        <v>561423.2331177023</v>
      </c>
      <c r="L2209" s="74">
        <f>EFEITO!$N$2209*EFEITO!$AA$2209</f>
        <v>501601.67737420206</v>
      </c>
      <c r="M2209" s="74">
        <f>$J$2209-EFEITO!$K$2209*EFEITO!$Y$2209</f>
        <v>0</v>
      </c>
      <c r="N2209" s="74">
        <f ca="1">$K$2209-EFEITO!$M$2209*EFEITO!$Z$2209</f>
        <v>0</v>
      </c>
      <c r="O2209" s="74">
        <f>$L$2209-EFEITO!$O$2209*EFEITO!$AA$2209</f>
        <v>0</v>
      </c>
      <c r="P2209" s="57"/>
      <c r="Q2209" s="57"/>
      <c r="R2209" s="57"/>
      <c r="S2209" s="57"/>
      <c r="T2209" s="57"/>
      <c r="U2209" s="57"/>
      <c r="V2209" s="57"/>
      <c r="W2209" s="57"/>
      <c r="X2209" s="6"/>
      <c r="Y2209" s="6"/>
      <c r="Z2209" s="6"/>
      <c r="AA2209" s="6"/>
      <c r="AB2209" s="6"/>
      <c r="AC2209" s="6"/>
      <c r="AD2209" s="6"/>
      <c r="AE2209" s="6"/>
      <c r="AF2209" s="6"/>
      <c r="AG2209" s="6"/>
      <c r="AH2209" s="6"/>
      <c r="AI2209" s="6"/>
      <c r="AJ2209" s="6"/>
    </row>
    <row r="2210" spans="1:36" ht="11.25" customHeight="1" x14ac:dyDescent="0.2">
      <c r="A2210" s="53" t="s">
        <v>27</v>
      </c>
      <c r="B2210" s="53" t="s">
        <v>39</v>
      </c>
      <c r="C2210" s="53" t="s">
        <v>23</v>
      </c>
      <c r="D2210" s="53" t="s">
        <v>40</v>
      </c>
      <c r="E2210" s="53" t="s">
        <v>25</v>
      </c>
      <c r="F2210" s="53" t="s">
        <v>25</v>
      </c>
      <c r="G2210" s="53" t="s">
        <v>25</v>
      </c>
      <c r="H2210" s="53" t="s">
        <v>25</v>
      </c>
      <c r="I2210" s="73">
        <v>44013</v>
      </c>
      <c r="J2210" s="74">
        <f>EFEITO!$J$2210*EFEITO!$Y$2210</f>
        <v>0</v>
      </c>
      <c r="K2210" s="74">
        <f ca="1">EFEITO!$L$2210*EFEITO!$Z$2210</f>
        <v>514.93099948616532</v>
      </c>
      <c r="L2210" s="74">
        <f>EFEITO!$N$2210*EFEITO!$AA$2210</f>
        <v>460.06334942694536</v>
      </c>
      <c r="M2210" s="74">
        <f>$J$2210-EFEITO!$K$2210*EFEITO!$Y$2210</f>
        <v>0</v>
      </c>
      <c r="N2210" s="74">
        <f ca="1">$K$2210-EFEITO!$M$2210*EFEITO!$Z$2210</f>
        <v>0</v>
      </c>
      <c r="O2210" s="74">
        <f>$L$2210-EFEITO!$O$2210*EFEITO!$AA$2210</f>
        <v>0</v>
      </c>
      <c r="P2210" s="57"/>
      <c r="Q2210" s="57"/>
      <c r="R2210" s="57"/>
      <c r="S2210" s="57"/>
      <c r="T2210" s="57"/>
      <c r="U2210" s="57"/>
      <c r="V2210" s="57"/>
      <c r="W2210" s="57"/>
      <c r="X2210" s="6"/>
      <c r="Y2210" s="6"/>
      <c r="Z2210" s="6"/>
      <c r="AA2210" s="6"/>
      <c r="AB2210" s="6"/>
      <c r="AC2210" s="6"/>
      <c r="AD2210" s="6"/>
      <c r="AE2210" s="6"/>
      <c r="AF2210" s="6"/>
      <c r="AG2210" s="6"/>
      <c r="AH2210" s="6"/>
      <c r="AI2210" s="6"/>
      <c r="AJ2210" s="6"/>
    </row>
    <row r="2211" spans="1:36" ht="11.25" customHeight="1" x14ac:dyDescent="0.2">
      <c r="A2211" s="53" t="s">
        <v>28</v>
      </c>
      <c r="B2211" s="53" t="s">
        <v>39</v>
      </c>
      <c r="C2211" s="53" t="s">
        <v>23</v>
      </c>
      <c r="D2211" s="53" t="s">
        <v>40</v>
      </c>
      <c r="E2211" s="53" t="s">
        <v>25</v>
      </c>
      <c r="F2211" s="53" t="s">
        <v>25</v>
      </c>
      <c r="G2211" s="53" t="s">
        <v>25</v>
      </c>
      <c r="H2211" s="53" t="s">
        <v>25</v>
      </c>
      <c r="I2211" s="73">
        <v>44013</v>
      </c>
      <c r="J2211" s="74">
        <f>EFEITO!$J$2211*EFEITO!$Y$2211</f>
        <v>0</v>
      </c>
      <c r="K2211" s="74">
        <f ca="1">EFEITO!$L$2211*EFEITO!$Z$2211</f>
        <v>868.36832753897147</v>
      </c>
      <c r="L2211" s="74">
        <f>EFEITO!$N$2211*EFEITO!$AA$2211</f>
        <v>775.84072759749927</v>
      </c>
      <c r="M2211" s="74">
        <f>$J$2211-EFEITO!$K$2211*EFEITO!$Y$2211</f>
        <v>0</v>
      </c>
      <c r="N2211" s="74">
        <f ca="1">$K$2211-EFEITO!$M$2211*EFEITO!$Z$2211</f>
        <v>0</v>
      </c>
      <c r="O2211" s="74">
        <f>$L$2211-EFEITO!$O$2211*EFEITO!$AA$2211</f>
        <v>0</v>
      </c>
      <c r="P2211" s="57"/>
      <c r="Q2211" s="57"/>
      <c r="R2211" s="57"/>
      <c r="S2211" s="57"/>
      <c r="T2211" s="57"/>
      <c r="U2211" s="57"/>
      <c r="V2211" s="57"/>
      <c r="W2211" s="57"/>
      <c r="X2211" s="6"/>
      <c r="Y2211" s="6"/>
      <c r="Z2211" s="6"/>
      <c r="AA2211" s="6"/>
      <c r="AB2211" s="6"/>
      <c r="AC2211" s="6"/>
      <c r="AD2211" s="6"/>
      <c r="AE2211" s="6"/>
      <c r="AF2211" s="6"/>
      <c r="AG2211" s="6"/>
      <c r="AH2211" s="6"/>
      <c r="AI2211" s="6"/>
      <c r="AJ2211" s="6"/>
    </row>
    <row r="2212" spans="1:36" ht="11.25" customHeight="1" x14ac:dyDescent="0.2">
      <c r="A2212" s="53" t="s">
        <v>21</v>
      </c>
      <c r="B2212" s="53" t="s">
        <v>39</v>
      </c>
      <c r="C2212" s="53" t="s">
        <v>23</v>
      </c>
      <c r="D2212" s="53" t="s">
        <v>40</v>
      </c>
      <c r="E2212" s="53" t="s">
        <v>25</v>
      </c>
      <c r="F2212" s="53" t="s">
        <v>25</v>
      </c>
      <c r="G2212" s="53" t="s">
        <v>25</v>
      </c>
      <c r="H2212" s="53" t="s">
        <v>25</v>
      </c>
      <c r="I2212" s="73">
        <v>44044</v>
      </c>
      <c r="J2212" s="74">
        <f>EFEITO!$J$2212*EFEITO!$Y$2212</f>
        <v>0</v>
      </c>
      <c r="K2212" s="74">
        <f ca="1">EFEITO!$L$2212*EFEITO!$Z$2212</f>
        <v>618271.45233605441</v>
      </c>
      <c r="L2212" s="74">
        <f>EFEITO!$N$2212*EFEITO!$AA$2212</f>
        <v>552392.52540753153</v>
      </c>
      <c r="M2212" s="74">
        <f>$J$2212-EFEITO!$K$2212*EFEITO!$Y$2212</f>
        <v>0</v>
      </c>
      <c r="N2212" s="74">
        <f ca="1">$K$2212-EFEITO!$M$2212*EFEITO!$Z$2212</f>
        <v>0</v>
      </c>
      <c r="O2212" s="74">
        <f>$L$2212-EFEITO!$O$2212*EFEITO!$AA$2212</f>
        <v>0</v>
      </c>
      <c r="P2212" s="57"/>
      <c r="Q2212" s="57"/>
      <c r="R2212" s="57"/>
      <c r="S2212" s="57"/>
      <c r="T2212" s="57"/>
      <c r="U2212" s="57"/>
      <c r="V2212" s="57"/>
      <c r="W2212" s="57"/>
      <c r="X2212" s="6"/>
      <c r="Y2212" s="6"/>
      <c r="Z2212" s="6"/>
      <c r="AA2212" s="6"/>
      <c r="AB2212" s="6"/>
      <c r="AC2212" s="6"/>
      <c r="AD2212" s="6"/>
      <c r="AE2212" s="6"/>
      <c r="AF2212" s="6"/>
      <c r="AG2212" s="6"/>
      <c r="AH2212" s="6"/>
      <c r="AI2212" s="6"/>
      <c r="AJ2212" s="6"/>
    </row>
    <row r="2213" spans="1:36" ht="11.25" customHeight="1" x14ac:dyDescent="0.2">
      <c r="A2213" s="53" t="s">
        <v>27</v>
      </c>
      <c r="B2213" s="53" t="s">
        <v>39</v>
      </c>
      <c r="C2213" s="53" t="s">
        <v>23</v>
      </c>
      <c r="D2213" s="53" t="s">
        <v>40</v>
      </c>
      <c r="E2213" s="53" t="s">
        <v>25</v>
      </c>
      <c r="F2213" s="53" t="s">
        <v>25</v>
      </c>
      <c r="G2213" s="53" t="s">
        <v>25</v>
      </c>
      <c r="H2213" s="53" t="s">
        <v>25</v>
      </c>
      <c r="I2213" s="73">
        <v>44044</v>
      </c>
      <c r="J2213" s="74">
        <f>EFEITO!$J$2213*EFEITO!$Y$2213</f>
        <v>0</v>
      </c>
      <c r="K2213" s="74">
        <f ca="1">EFEITO!$L$2213*EFEITO!$Z$2213</f>
        <v>317.00609577659384</v>
      </c>
      <c r="L2213" s="74">
        <f>EFEITO!$N$2213*EFEITO!$AA$2213</f>
        <v>283.22801765143521</v>
      </c>
      <c r="M2213" s="74">
        <f>$J$2213-EFEITO!$K$2213*EFEITO!$Y$2213</f>
        <v>0</v>
      </c>
      <c r="N2213" s="74">
        <f ca="1">$K$2213-EFEITO!$M$2213*EFEITO!$Z$2213</f>
        <v>0</v>
      </c>
      <c r="O2213" s="74">
        <f>$L$2213-EFEITO!$O$2213*EFEITO!$AA$2213</f>
        <v>0</v>
      </c>
      <c r="P2213" s="57"/>
      <c r="Q2213" s="57"/>
      <c r="R2213" s="57"/>
      <c r="S2213" s="57"/>
      <c r="T2213" s="57"/>
      <c r="U2213" s="57"/>
      <c r="V2213" s="57"/>
      <c r="W2213" s="57"/>
      <c r="X2213" s="6"/>
      <c r="Y2213" s="6"/>
      <c r="Z2213" s="6"/>
      <c r="AA2213" s="6"/>
      <c r="AB2213" s="6"/>
      <c r="AC2213" s="6"/>
      <c r="AD2213" s="6"/>
      <c r="AE2213" s="6"/>
      <c r="AF2213" s="6"/>
      <c r="AG2213" s="6"/>
      <c r="AH2213" s="6"/>
      <c r="AI2213" s="6"/>
      <c r="AJ2213" s="6"/>
    </row>
    <row r="2214" spans="1:36" ht="11.25" customHeight="1" x14ac:dyDescent="0.2">
      <c r="A2214" s="53" t="s">
        <v>28</v>
      </c>
      <c r="B2214" s="53" t="s">
        <v>39</v>
      </c>
      <c r="C2214" s="53" t="s">
        <v>23</v>
      </c>
      <c r="D2214" s="53" t="s">
        <v>40</v>
      </c>
      <c r="E2214" s="53" t="s">
        <v>25</v>
      </c>
      <c r="F2214" s="53" t="s">
        <v>25</v>
      </c>
      <c r="G2214" s="53" t="s">
        <v>25</v>
      </c>
      <c r="H2214" s="53" t="s">
        <v>25</v>
      </c>
      <c r="I2214" s="73">
        <v>44044</v>
      </c>
      <c r="J2214" s="74">
        <f>EFEITO!$J$2214*EFEITO!$Y$2214</f>
        <v>0</v>
      </c>
      <c r="K2214" s="74">
        <f ca="1">EFEITO!$L$2214*EFEITO!$Z$2214</f>
        <v>712.04027859253802</v>
      </c>
      <c r="L2214" s="74">
        <f>EFEITO!$N$2214*EFEITO!$AA$2214</f>
        <v>636.16996417590815</v>
      </c>
      <c r="M2214" s="74">
        <f>$J$2214-EFEITO!$K$2214*EFEITO!$Y$2214</f>
        <v>0</v>
      </c>
      <c r="N2214" s="74">
        <f ca="1">$K$2214-EFEITO!$M$2214*EFEITO!$Z$2214</f>
        <v>0</v>
      </c>
      <c r="O2214" s="74">
        <f>$L$2214-EFEITO!$O$2214*EFEITO!$AA$2214</f>
        <v>0</v>
      </c>
      <c r="P2214" s="57"/>
      <c r="Q2214" s="57"/>
      <c r="R2214" s="57"/>
      <c r="S2214" s="57"/>
      <c r="T2214" s="57"/>
      <c r="U2214" s="57"/>
      <c r="V2214" s="57"/>
      <c r="W2214" s="57"/>
      <c r="X2214" s="6"/>
      <c r="Y2214" s="6"/>
      <c r="Z2214" s="6"/>
      <c r="AA2214" s="6"/>
      <c r="AB2214" s="6"/>
      <c r="AC2214" s="6"/>
      <c r="AD2214" s="6"/>
      <c r="AE2214" s="6"/>
      <c r="AF2214" s="6"/>
      <c r="AG2214" s="6"/>
      <c r="AH2214" s="6"/>
      <c r="AI2214" s="6"/>
      <c r="AJ2214" s="6"/>
    </row>
    <row r="2215" spans="1:36" ht="11.25" customHeight="1" x14ac:dyDescent="0.2">
      <c r="A2215" s="53" t="s">
        <v>59</v>
      </c>
      <c r="B2215" s="53" t="s">
        <v>39</v>
      </c>
      <c r="C2215" s="53" t="s">
        <v>23</v>
      </c>
      <c r="D2215" s="53" t="s">
        <v>40</v>
      </c>
      <c r="E2215" s="53" t="s">
        <v>25</v>
      </c>
      <c r="F2215" s="53" t="s">
        <v>25</v>
      </c>
      <c r="G2215" s="53" t="s">
        <v>25</v>
      </c>
      <c r="H2215" s="53" t="s">
        <v>25</v>
      </c>
      <c r="I2215" s="73">
        <v>44075</v>
      </c>
      <c r="J2215" s="74">
        <f>EFEITO!$J$2215*EFEITO!$Y$2215</f>
        <v>0</v>
      </c>
      <c r="K2215" s="74">
        <f ca="1">EFEITO!$L$2215*EFEITO!$Z$2215</f>
        <v>618271.45233605441</v>
      </c>
      <c r="L2215" s="74">
        <f>EFEITO!$N$2215*EFEITO!$AA$2215</f>
        <v>552392.52540753153</v>
      </c>
      <c r="M2215" s="74">
        <f>$J$2215-EFEITO!$K$2215*EFEITO!$Y$2215</f>
        <v>0</v>
      </c>
      <c r="N2215" s="74">
        <f ca="1">$K$2215-EFEITO!$M$2215*EFEITO!$Z$2215</f>
        <v>0</v>
      </c>
      <c r="O2215" s="74">
        <f>$L$2215-EFEITO!$O$2215*EFEITO!$AA$2215</f>
        <v>0</v>
      </c>
      <c r="P2215" s="57"/>
      <c r="Q2215" s="57"/>
      <c r="R2215" s="57"/>
      <c r="S2215" s="57"/>
      <c r="T2215" s="57"/>
      <c r="U2215" s="57"/>
      <c r="V2215" s="57"/>
      <c r="W2215" s="57"/>
      <c r="X2215" s="6"/>
      <c r="Y2215" s="6"/>
      <c r="Z2215" s="6"/>
      <c r="AA2215" s="6"/>
      <c r="AB2215" s="6"/>
      <c r="AC2215" s="6"/>
      <c r="AD2215" s="6"/>
      <c r="AE2215" s="6"/>
      <c r="AF2215" s="6"/>
      <c r="AG2215" s="6"/>
      <c r="AH2215" s="6"/>
      <c r="AI2215" s="6"/>
      <c r="AJ2215" s="6"/>
    </row>
    <row r="2216" spans="1:36" ht="11.25" customHeight="1" x14ac:dyDescent="0.2">
      <c r="A2216" s="53" t="s">
        <v>59</v>
      </c>
      <c r="B2216" s="53" t="s">
        <v>39</v>
      </c>
      <c r="C2216" s="53" t="s">
        <v>23</v>
      </c>
      <c r="D2216" s="53" t="s">
        <v>40</v>
      </c>
      <c r="E2216" s="53" t="s">
        <v>25</v>
      </c>
      <c r="F2216" s="53" t="s">
        <v>25</v>
      </c>
      <c r="G2216" s="53" t="s">
        <v>25</v>
      </c>
      <c r="H2216" s="53" t="s">
        <v>25</v>
      </c>
      <c r="I2216" s="73">
        <v>44075</v>
      </c>
      <c r="J2216" s="74">
        <f>EFEITO!$J$2216*EFEITO!$Y$2216</f>
        <v>0</v>
      </c>
      <c r="K2216" s="74">
        <f ca="1">EFEITO!$L$2216*EFEITO!$Z$2216</f>
        <v>317.00609577659384</v>
      </c>
      <c r="L2216" s="74">
        <f>EFEITO!$N$2216*EFEITO!$AA$2216</f>
        <v>283.22801765143521</v>
      </c>
      <c r="M2216" s="74">
        <f>$J$2216-EFEITO!$K$2216*EFEITO!$Y$2216</f>
        <v>0</v>
      </c>
      <c r="N2216" s="74">
        <f ca="1">$K$2216-EFEITO!$M$2216*EFEITO!$Z$2216</f>
        <v>0</v>
      </c>
      <c r="O2216" s="74">
        <f>$L$2216-EFEITO!$O$2216*EFEITO!$AA$2216</f>
        <v>0</v>
      </c>
      <c r="P2216" s="57"/>
      <c r="Q2216" s="57"/>
      <c r="R2216" s="57"/>
      <c r="S2216" s="57"/>
      <c r="T2216" s="57"/>
      <c r="U2216" s="57"/>
      <c r="V2216" s="57"/>
      <c r="W2216" s="57"/>
      <c r="X2216" s="6"/>
      <c r="Y2216" s="6"/>
      <c r="Z2216" s="6"/>
      <c r="AA2216" s="6"/>
      <c r="AB2216" s="6"/>
      <c r="AC2216" s="6"/>
      <c r="AD2216" s="6"/>
      <c r="AE2216" s="6"/>
      <c r="AF2216" s="6"/>
      <c r="AG2216" s="6"/>
      <c r="AH2216" s="6"/>
      <c r="AI2216" s="6"/>
      <c r="AJ2216" s="6"/>
    </row>
    <row r="2217" spans="1:36" ht="11.25" customHeight="1" x14ac:dyDescent="0.2">
      <c r="A2217" s="53" t="s">
        <v>59</v>
      </c>
      <c r="B2217" s="53" t="s">
        <v>39</v>
      </c>
      <c r="C2217" s="53" t="s">
        <v>23</v>
      </c>
      <c r="D2217" s="53" t="s">
        <v>40</v>
      </c>
      <c r="E2217" s="53" t="s">
        <v>25</v>
      </c>
      <c r="F2217" s="53" t="s">
        <v>25</v>
      </c>
      <c r="G2217" s="53" t="s">
        <v>25</v>
      </c>
      <c r="H2217" s="53" t="s">
        <v>25</v>
      </c>
      <c r="I2217" s="73">
        <v>44075</v>
      </c>
      <c r="J2217" s="74">
        <f>EFEITO!$J$2217*EFEITO!$Y$2217</f>
        <v>0</v>
      </c>
      <c r="K2217" s="74">
        <f ca="1">EFEITO!$L$2217*EFEITO!$Z$2217</f>
        <v>712.04027859253802</v>
      </c>
      <c r="L2217" s="74">
        <f>EFEITO!$N$2217*EFEITO!$AA$2217</f>
        <v>636.16996417590815</v>
      </c>
      <c r="M2217" s="74">
        <f>$J$2217-EFEITO!$K$2217*EFEITO!$Y$2217</f>
        <v>0</v>
      </c>
      <c r="N2217" s="74">
        <f ca="1">$K$2217-EFEITO!$M$2217*EFEITO!$Z$2217</f>
        <v>0</v>
      </c>
      <c r="O2217" s="74">
        <f>$L$2217-EFEITO!$O$2217*EFEITO!$AA$2217</f>
        <v>0</v>
      </c>
      <c r="P2217" s="57"/>
      <c r="Q2217" s="57"/>
      <c r="R2217" s="57"/>
      <c r="S2217" s="57"/>
      <c r="T2217" s="57"/>
      <c r="U2217" s="57"/>
      <c r="V2217" s="57"/>
      <c r="W2217" s="57"/>
      <c r="X2217" s="6"/>
      <c r="Y2217" s="6"/>
      <c r="Z2217" s="6"/>
      <c r="AA2217" s="6"/>
      <c r="AB2217" s="6"/>
      <c r="AC2217" s="6"/>
      <c r="AD2217" s="6"/>
      <c r="AE2217" s="6"/>
      <c r="AF2217" s="6"/>
      <c r="AG2217" s="6"/>
      <c r="AH2217" s="6"/>
      <c r="AI2217" s="6"/>
      <c r="AJ2217" s="6"/>
    </row>
    <row r="2218" spans="1:36" ht="11.25" customHeight="1" x14ac:dyDescent="0.2">
      <c r="A2218" s="53" t="s">
        <v>21</v>
      </c>
      <c r="B2218" s="53" t="s">
        <v>39</v>
      </c>
      <c r="C2218" s="53" t="s">
        <v>23</v>
      </c>
      <c r="D2218" s="53" t="s">
        <v>48</v>
      </c>
      <c r="E2218" s="53" t="s">
        <v>25</v>
      </c>
      <c r="F2218" s="53" t="s">
        <v>25</v>
      </c>
      <c r="G2218" s="53" t="s">
        <v>25</v>
      </c>
      <c r="H2218" s="53" t="s">
        <v>25</v>
      </c>
      <c r="I2218" s="73">
        <v>43739</v>
      </c>
      <c r="J2218" s="74">
        <f>EFEITO!$J$2218*EFEITO!$Y$2218</f>
        <v>0</v>
      </c>
      <c r="K2218" s="74">
        <f ca="1">EFEITO!$L$2218*EFEITO!$Z$2218</f>
        <v>2770187.9460540838</v>
      </c>
      <c r="L2218" s="74">
        <f>EFEITO!$N$2218*EFEITO!$AA$2218</f>
        <v>2475014.9947770489</v>
      </c>
      <c r="M2218" s="74">
        <f>$J$2218-EFEITO!$K$2218*EFEITO!$Y$2218</f>
        <v>0</v>
      </c>
      <c r="N2218" s="74">
        <f ca="1">$K$2218-EFEITO!$M$2218*EFEITO!$Z$2218</f>
        <v>0</v>
      </c>
      <c r="O2218" s="74">
        <f>$L$2218-EFEITO!$O$2218*EFEITO!$AA$2218</f>
        <v>0</v>
      </c>
      <c r="P2218" s="57"/>
      <c r="Q2218" s="57"/>
      <c r="R2218" s="57"/>
      <c r="S2218" s="57"/>
      <c r="T2218" s="57"/>
      <c r="U2218" s="57"/>
      <c r="V2218" s="57"/>
      <c r="W2218" s="57"/>
      <c r="X2218" s="6"/>
      <c r="Y2218" s="6"/>
      <c r="Z2218" s="6"/>
      <c r="AA2218" s="6"/>
      <c r="AB2218" s="6"/>
      <c r="AC2218" s="6"/>
      <c r="AD2218" s="6"/>
      <c r="AE2218" s="6"/>
      <c r="AF2218" s="6"/>
      <c r="AG2218" s="6"/>
      <c r="AH2218" s="6"/>
      <c r="AI2218" s="6"/>
      <c r="AJ2218" s="6"/>
    </row>
    <row r="2219" spans="1:36" ht="11.25" customHeight="1" x14ac:dyDescent="0.2">
      <c r="A2219" s="53" t="s">
        <v>27</v>
      </c>
      <c r="B2219" s="53" t="s">
        <v>39</v>
      </c>
      <c r="C2219" s="53" t="s">
        <v>23</v>
      </c>
      <c r="D2219" s="53" t="s">
        <v>48</v>
      </c>
      <c r="E2219" s="53" t="s">
        <v>25</v>
      </c>
      <c r="F2219" s="53" t="s">
        <v>25</v>
      </c>
      <c r="G2219" s="53" t="s">
        <v>25</v>
      </c>
      <c r="H2219" s="53" t="s">
        <v>25</v>
      </c>
      <c r="I2219" s="73">
        <v>43739</v>
      </c>
      <c r="J2219" s="74">
        <f>EFEITO!$J$2219*EFEITO!$Y$2219</f>
        <v>0</v>
      </c>
      <c r="K2219" s="74">
        <f ca="1">EFEITO!$L$2219*EFEITO!$Z$2219</f>
        <v>698.99028494135757</v>
      </c>
      <c r="L2219" s="74">
        <f>EFEITO!$N$2219*EFEITO!$AA$2219</f>
        <v>624.51049175114929</v>
      </c>
      <c r="M2219" s="74">
        <f>$J$2219-EFEITO!$K$2219*EFEITO!$Y$2219</f>
        <v>0</v>
      </c>
      <c r="N2219" s="74">
        <f ca="1">$K$2219-EFEITO!$M$2219*EFEITO!$Z$2219</f>
        <v>0</v>
      </c>
      <c r="O2219" s="74">
        <f>$L$2219-EFEITO!$O$2219*EFEITO!$AA$2219</f>
        <v>0</v>
      </c>
      <c r="P2219" s="57"/>
      <c r="Q2219" s="57"/>
      <c r="R2219" s="57"/>
      <c r="S2219" s="57"/>
      <c r="T2219" s="57"/>
      <c r="U2219" s="57"/>
      <c r="V2219" s="57"/>
      <c r="W2219" s="57"/>
      <c r="X2219" s="6"/>
      <c r="Y2219" s="6"/>
      <c r="Z2219" s="6"/>
      <c r="AA2219" s="6"/>
      <c r="AB2219" s="6"/>
      <c r="AC2219" s="6"/>
      <c r="AD2219" s="6"/>
      <c r="AE2219" s="6"/>
      <c r="AF2219" s="6"/>
      <c r="AG2219" s="6"/>
      <c r="AH2219" s="6"/>
      <c r="AI2219" s="6"/>
      <c r="AJ2219" s="6"/>
    </row>
    <row r="2220" spans="1:36" ht="11.25" customHeight="1" x14ac:dyDescent="0.2">
      <c r="A2220" s="53" t="s">
        <v>28</v>
      </c>
      <c r="B2220" s="53" t="s">
        <v>39</v>
      </c>
      <c r="C2220" s="53" t="s">
        <v>23</v>
      </c>
      <c r="D2220" s="53" t="s">
        <v>48</v>
      </c>
      <c r="E2220" s="53" t="s">
        <v>25</v>
      </c>
      <c r="F2220" s="53" t="s">
        <v>25</v>
      </c>
      <c r="G2220" s="53" t="s">
        <v>25</v>
      </c>
      <c r="H2220" s="53" t="s">
        <v>25</v>
      </c>
      <c r="I2220" s="73">
        <v>43739</v>
      </c>
      <c r="J2220" s="74">
        <f>EFEITO!$J$2220*EFEITO!$Y$2220</f>
        <v>0</v>
      </c>
      <c r="K2220" s="74">
        <f ca="1">EFEITO!$L$2220*EFEITO!$Z$2220</f>
        <v>37486.378637883827</v>
      </c>
      <c r="L2220" s="74">
        <f>EFEITO!$N$2220*EFEITO!$AA$2220</f>
        <v>33492.07744579549</v>
      </c>
      <c r="M2220" s="74">
        <f>$J$2220-EFEITO!$K$2220*EFEITO!$Y$2220</f>
        <v>0</v>
      </c>
      <c r="N2220" s="74">
        <f ca="1">$K$2220-EFEITO!$M$2220*EFEITO!$Z$2220</f>
        <v>0</v>
      </c>
      <c r="O2220" s="74">
        <f>$L$2220-EFEITO!$O$2220*EFEITO!$AA$2220</f>
        <v>0</v>
      </c>
      <c r="P2220" s="57"/>
      <c r="Q2220" s="57"/>
      <c r="R2220" s="57"/>
      <c r="S2220" s="57"/>
      <c r="T2220" s="57"/>
      <c r="U2220" s="57"/>
      <c r="V2220" s="57"/>
      <c r="W2220" s="57"/>
      <c r="X2220" s="6"/>
      <c r="Y2220" s="6"/>
      <c r="Z2220" s="6"/>
      <c r="AA2220" s="6"/>
      <c r="AB2220" s="6"/>
      <c r="AC2220" s="6"/>
      <c r="AD2220" s="6"/>
      <c r="AE2220" s="6"/>
      <c r="AF2220" s="6"/>
      <c r="AG2220" s="6"/>
      <c r="AH2220" s="6"/>
      <c r="AI2220" s="6"/>
      <c r="AJ2220" s="6"/>
    </row>
    <row r="2221" spans="1:36" ht="11.25" customHeight="1" x14ac:dyDescent="0.2">
      <c r="A2221" s="53" t="s">
        <v>21</v>
      </c>
      <c r="B2221" s="53" t="s">
        <v>39</v>
      </c>
      <c r="C2221" s="53" t="s">
        <v>23</v>
      </c>
      <c r="D2221" s="53" t="s">
        <v>48</v>
      </c>
      <c r="E2221" s="53" t="s">
        <v>25</v>
      </c>
      <c r="F2221" s="53" t="s">
        <v>25</v>
      </c>
      <c r="G2221" s="53" t="s">
        <v>25</v>
      </c>
      <c r="H2221" s="53" t="s">
        <v>25</v>
      </c>
      <c r="I2221" s="73">
        <v>43770</v>
      </c>
      <c r="J2221" s="74">
        <f>EFEITO!$J$2221*EFEITO!$Y$2221</f>
        <v>0</v>
      </c>
      <c r="K2221" s="74">
        <f ca="1">EFEITO!$L$2221*EFEITO!$Z$2221</f>
        <v>2837832.3162701102</v>
      </c>
      <c r="L2221" s="74">
        <f>EFEITO!$N$2221*EFEITO!$AA$2221</f>
        <v>2535451.6271851114</v>
      </c>
      <c r="M2221" s="74">
        <f>$J$2221-EFEITO!$K$2221*EFEITO!$Y$2221</f>
        <v>0</v>
      </c>
      <c r="N2221" s="74">
        <f ca="1">$K$2221-EFEITO!$M$2221*EFEITO!$Z$2221</f>
        <v>0</v>
      </c>
      <c r="O2221" s="74">
        <f>$L$2221-EFEITO!$O$2221*EFEITO!$AA$2221</f>
        <v>0</v>
      </c>
      <c r="P2221" s="57"/>
      <c r="Q2221" s="57"/>
      <c r="R2221" s="57"/>
      <c r="S2221" s="57"/>
      <c r="T2221" s="57"/>
      <c r="U2221" s="57"/>
      <c r="V2221" s="57"/>
      <c r="W2221" s="57"/>
      <c r="X2221" s="6"/>
      <c r="Y2221" s="6"/>
      <c r="Z2221" s="6"/>
      <c r="AA2221" s="6"/>
      <c r="AB2221" s="6"/>
      <c r="AC2221" s="6"/>
      <c r="AD2221" s="6"/>
      <c r="AE2221" s="6"/>
      <c r="AF2221" s="6"/>
      <c r="AG2221" s="6"/>
      <c r="AH2221" s="6"/>
      <c r="AI2221" s="6"/>
      <c r="AJ2221" s="6"/>
    </row>
    <row r="2222" spans="1:36" ht="11.25" customHeight="1" x14ac:dyDescent="0.2">
      <c r="A2222" s="53" t="s">
        <v>27</v>
      </c>
      <c r="B2222" s="53" t="s">
        <v>39</v>
      </c>
      <c r="C2222" s="53" t="s">
        <v>23</v>
      </c>
      <c r="D2222" s="53" t="s">
        <v>48</v>
      </c>
      <c r="E2222" s="53" t="s">
        <v>25</v>
      </c>
      <c r="F2222" s="53" t="s">
        <v>25</v>
      </c>
      <c r="G2222" s="53" t="s">
        <v>25</v>
      </c>
      <c r="H2222" s="53" t="s">
        <v>25</v>
      </c>
      <c r="I2222" s="73">
        <v>43770</v>
      </c>
      <c r="J2222" s="74">
        <f>EFEITO!$J$2222*EFEITO!$Y$2222</f>
        <v>0</v>
      </c>
      <c r="K2222" s="74">
        <f ca="1">EFEITO!$L$2222*EFEITO!$Z$2222</f>
        <v>74088.620205900166</v>
      </c>
      <c r="L2222" s="74">
        <f>EFEITO!$N$2222*EFEITO!$AA$2222</f>
        <v>66194.225634813556</v>
      </c>
      <c r="M2222" s="74">
        <f>$J$2222-EFEITO!$K$2222*EFEITO!$Y$2222</f>
        <v>0</v>
      </c>
      <c r="N2222" s="74">
        <f ca="1">$K$2222-EFEITO!$M$2222*EFEITO!$Z$2222</f>
        <v>0</v>
      </c>
      <c r="O2222" s="74">
        <f>$L$2222-EFEITO!$O$2222*EFEITO!$AA$2222</f>
        <v>0</v>
      </c>
      <c r="P2222" s="57"/>
      <c r="Q2222" s="57"/>
      <c r="R2222" s="57"/>
      <c r="S2222" s="57"/>
      <c r="T2222" s="57"/>
      <c r="U2222" s="57"/>
      <c r="V2222" s="57"/>
      <c r="W2222" s="57"/>
      <c r="X2222" s="6"/>
      <c r="Y2222" s="6"/>
      <c r="Z2222" s="6"/>
      <c r="AA2222" s="6"/>
      <c r="AB2222" s="6"/>
      <c r="AC2222" s="6"/>
      <c r="AD2222" s="6"/>
      <c r="AE2222" s="6"/>
      <c r="AF2222" s="6"/>
      <c r="AG2222" s="6"/>
      <c r="AH2222" s="6"/>
      <c r="AI2222" s="6"/>
      <c r="AJ2222" s="6"/>
    </row>
    <row r="2223" spans="1:36" ht="11.25" customHeight="1" x14ac:dyDescent="0.2">
      <c r="A2223" s="53" t="s">
        <v>28</v>
      </c>
      <c r="B2223" s="53" t="s">
        <v>39</v>
      </c>
      <c r="C2223" s="53" t="s">
        <v>23</v>
      </c>
      <c r="D2223" s="53" t="s">
        <v>48</v>
      </c>
      <c r="E2223" s="53" t="s">
        <v>25</v>
      </c>
      <c r="F2223" s="53" t="s">
        <v>25</v>
      </c>
      <c r="G2223" s="53" t="s">
        <v>25</v>
      </c>
      <c r="H2223" s="53" t="s">
        <v>25</v>
      </c>
      <c r="I2223" s="73">
        <v>43770</v>
      </c>
      <c r="J2223" s="74">
        <f>EFEITO!$J$2223*EFEITO!$Y$2223</f>
        <v>0</v>
      </c>
      <c r="K2223" s="74">
        <f ca="1">EFEITO!$L$2223*EFEITO!$Z$2223</f>
        <v>42854.276026402753</v>
      </c>
      <c r="L2223" s="74">
        <f>EFEITO!$N$2223*EFEITO!$AA$2223</f>
        <v>38288.007103179654</v>
      </c>
      <c r="M2223" s="74">
        <f>$J$2223-EFEITO!$K$2223*EFEITO!$Y$2223</f>
        <v>0</v>
      </c>
      <c r="N2223" s="74">
        <f ca="1">$K$2223-EFEITO!$M$2223*EFEITO!$Z$2223</f>
        <v>0</v>
      </c>
      <c r="O2223" s="74">
        <f>$L$2223-EFEITO!$O$2223*EFEITO!$AA$2223</f>
        <v>0</v>
      </c>
      <c r="P2223" s="57"/>
      <c r="Q2223" s="57"/>
      <c r="R2223" s="57"/>
      <c r="S2223" s="57"/>
      <c r="T2223" s="57"/>
      <c r="U2223" s="57"/>
      <c r="V2223" s="57"/>
      <c r="W2223" s="57"/>
      <c r="X2223" s="6"/>
      <c r="Y2223" s="6"/>
      <c r="Z2223" s="6"/>
      <c r="AA2223" s="6"/>
      <c r="AB2223" s="6"/>
      <c r="AC2223" s="6"/>
      <c r="AD2223" s="6"/>
      <c r="AE2223" s="6"/>
      <c r="AF2223" s="6"/>
      <c r="AG2223" s="6"/>
      <c r="AH2223" s="6"/>
      <c r="AI2223" s="6"/>
      <c r="AJ2223" s="6"/>
    </row>
    <row r="2224" spans="1:36" ht="11.25" customHeight="1" x14ac:dyDescent="0.2">
      <c r="A2224" s="53" t="s">
        <v>21</v>
      </c>
      <c r="B2224" s="53" t="s">
        <v>39</v>
      </c>
      <c r="C2224" s="53" t="s">
        <v>23</v>
      </c>
      <c r="D2224" s="53" t="s">
        <v>48</v>
      </c>
      <c r="E2224" s="53" t="s">
        <v>25</v>
      </c>
      <c r="F2224" s="53" t="s">
        <v>25</v>
      </c>
      <c r="G2224" s="53" t="s">
        <v>25</v>
      </c>
      <c r="H2224" s="53" t="s">
        <v>25</v>
      </c>
      <c r="I2224" s="73">
        <v>43800</v>
      </c>
      <c r="J2224" s="74">
        <f>EFEITO!$J$2224*EFEITO!$Y$2224</f>
        <v>0</v>
      </c>
      <c r="K2224" s="74">
        <f ca="1">EFEITO!$L$2224*EFEITO!$Z$2224</f>
        <v>2455587.1272323234</v>
      </c>
      <c r="L2224" s="74">
        <f>EFEITO!$N$2224*EFEITO!$AA$2224</f>
        <v>2193935.9636369022</v>
      </c>
      <c r="M2224" s="74">
        <f>$J$2224-EFEITO!$K$2224*EFEITO!$Y$2224</f>
        <v>0</v>
      </c>
      <c r="N2224" s="74">
        <f ca="1">$K$2224-EFEITO!$M$2224*EFEITO!$Z$2224</f>
        <v>0</v>
      </c>
      <c r="O2224" s="74">
        <f>$L$2224-EFEITO!$O$2224*EFEITO!$AA$2224</f>
        <v>0</v>
      </c>
      <c r="P2224" s="57"/>
      <c r="Q2224" s="57"/>
      <c r="R2224" s="57"/>
      <c r="S2224" s="57"/>
      <c r="T2224" s="57"/>
      <c r="U2224" s="57"/>
      <c r="V2224" s="57"/>
      <c r="W2224" s="57"/>
      <c r="X2224" s="6"/>
      <c r="Y2224" s="6"/>
      <c r="Z2224" s="6"/>
      <c r="AA2224" s="6"/>
      <c r="AB2224" s="6"/>
      <c r="AC2224" s="6"/>
      <c r="AD2224" s="6"/>
      <c r="AE2224" s="6"/>
      <c r="AF2224" s="6"/>
      <c r="AG2224" s="6"/>
      <c r="AH2224" s="6"/>
      <c r="AI2224" s="6"/>
      <c r="AJ2224" s="6"/>
    </row>
    <row r="2225" spans="1:36" ht="11.25" customHeight="1" x14ac:dyDescent="0.2">
      <c r="A2225" s="53" t="s">
        <v>27</v>
      </c>
      <c r="B2225" s="53" t="s">
        <v>39</v>
      </c>
      <c r="C2225" s="53" t="s">
        <v>23</v>
      </c>
      <c r="D2225" s="53" t="s">
        <v>48</v>
      </c>
      <c r="E2225" s="53" t="s">
        <v>25</v>
      </c>
      <c r="F2225" s="53" t="s">
        <v>25</v>
      </c>
      <c r="G2225" s="53" t="s">
        <v>25</v>
      </c>
      <c r="H2225" s="53" t="s">
        <v>25</v>
      </c>
      <c r="I2225" s="73">
        <v>43800</v>
      </c>
      <c r="J2225" s="74">
        <f>EFEITO!$J$2225*EFEITO!$Y$2225</f>
        <v>0</v>
      </c>
      <c r="K2225" s="74">
        <f ca="1">EFEITO!$L$2225*EFEITO!$Z$2225</f>
        <v>592.41533679004976</v>
      </c>
      <c r="L2225" s="74">
        <f>EFEITO!$N$2225*EFEITO!$AA$2225</f>
        <v>529.29146694895132</v>
      </c>
      <c r="M2225" s="74">
        <f>$J$2225-EFEITO!$K$2225*EFEITO!$Y$2225</f>
        <v>0</v>
      </c>
      <c r="N2225" s="74">
        <f ca="1">$K$2225-EFEITO!$M$2225*EFEITO!$Z$2225</f>
        <v>0</v>
      </c>
      <c r="O2225" s="74">
        <f>$L$2225-EFEITO!$O$2225*EFEITO!$AA$2225</f>
        <v>0</v>
      </c>
      <c r="P2225" s="57"/>
      <c r="Q2225" s="57"/>
      <c r="R2225" s="57"/>
      <c r="S2225" s="57"/>
      <c r="T2225" s="57"/>
      <c r="U2225" s="57"/>
      <c r="V2225" s="57"/>
      <c r="W2225" s="57"/>
      <c r="X2225" s="6"/>
      <c r="Y2225" s="6"/>
      <c r="Z2225" s="6"/>
      <c r="AA2225" s="6"/>
      <c r="AB2225" s="6"/>
      <c r="AC2225" s="6"/>
      <c r="AD2225" s="6"/>
      <c r="AE2225" s="6"/>
      <c r="AF2225" s="6"/>
      <c r="AG2225" s="6"/>
      <c r="AH2225" s="6"/>
      <c r="AI2225" s="6"/>
      <c r="AJ2225" s="6"/>
    </row>
    <row r="2226" spans="1:36" ht="11.25" customHeight="1" x14ac:dyDescent="0.2">
      <c r="A2226" s="53" t="s">
        <v>28</v>
      </c>
      <c r="B2226" s="53" t="s">
        <v>39</v>
      </c>
      <c r="C2226" s="53" t="s">
        <v>23</v>
      </c>
      <c r="D2226" s="53" t="s">
        <v>48</v>
      </c>
      <c r="E2226" s="53" t="s">
        <v>25</v>
      </c>
      <c r="F2226" s="53" t="s">
        <v>25</v>
      </c>
      <c r="G2226" s="53" t="s">
        <v>25</v>
      </c>
      <c r="H2226" s="53" t="s">
        <v>25</v>
      </c>
      <c r="I2226" s="73">
        <v>43800</v>
      </c>
      <c r="J2226" s="74">
        <f>EFEITO!$J$2226*EFEITO!$Y$2226</f>
        <v>0</v>
      </c>
      <c r="K2226" s="74">
        <f ca="1">EFEITO!$L$2226*EFEITO!$Z$2226</f>
        <v>38015.719005359831</v>
      </c>
      <c r="L2226" s="74">
        <f>EFEITO!$N$2226*EFEITO!$AA$2226</f>
        <v>33965.01479602477</v>
      </c>
      <c r="M2226" s="74">
        <f>$J$2226-EFEITO!$K$2226*EFEITO!$Y$2226</f>
        <v>0</v>
      </c>
      <c r="N2226" s="74">
        <f ca="1">$K$2226-EFEITO!$M$2226*EFEITO!$Z$2226</f>
        <v>0</v>
      </c>
      <c r="O2226" s="74">
        <f>$L$2226-EFEITO!$O$2226*EFEITO!$AA$2226</f>
        <v>0</v>
      </c>
      <c r="P2226" s="57"/>
      <c r="Q2226" s="57"/>
      <c r="R2226" s="57"/>
      <c r="S2226" s="57"/>
      <c r="T2226" s="57"/>
      <c r="U2226" s="57"/>
      <c r="V2226" s="57"/>
      <c r="W2226" s="57"/>
      <c r="X2226" s="6"/>
      <c r="Y2226" s="6"/>
      <c r="Z2226" s="6"/>
      <c r="AA2226" s="6"/>
      <c r="AB2226" s="6"/>
      <c r="AC2226" s="6"/>
      <c r="AD2226" s="6"/>
      <c r="AE2226" s="6"/>
      <c r="AF2226" s="6"/>
      <c r="AG2226" s="6"/>
      <c r="AH2226" s="6"/>
      <c r="AI2226" s="6"/>
      <c r="AJ2226" s="6"/>
    </row>
    <row r="2227" spans="1:36" ht="11.25" customHeight="1" x14ac:dyDescent="0.2">
      <c r="A2227" s="53" t="s">
        <v>21</v>
      </c>
      <c r="B2227" s="53" t="s">
        <v>39</v>
      </c>
      <c r="C2227" s="53" t="s">
        <v>23</v>
      </c>
      <c r="D2227" s="53" t="s">
        <v>48</v>
      </c>
      <c r="E2227" s="53" t="s">
        <v>25</v>
      </c>
      <c r="F2227" s="53" t="s">
        <v>25</v>
      </c>
      <c r="G2227" s="53" t="s">
        <v>25</v>
      </c>
      <c r="H2227" s="53" t="s">
        <v>25</v>
      </c>
      <c r="I2227" s="73">
        <v>43831</v>
      </c>
      <c r="J2227" s="74">
        <f>EFEITO!$J$2227*EFEITO!$Y$2227</f>
        <v>0</v>
      </c>
      <c r="K2227" s="74">
        <f ca="1">EFEITO!$L$2227*EFEITO!$Z$2227</f>
        <v>2242935.0338125266</v>
      </c>
      <c r="L2227" s="74">
        <f>EFEITO!$N$2227*EFEITO!$AA$2227</f>
        <v>2003942.6743243758</v>
      </c>
      <c r="M2227" s="74">
        <f>$J$2227-EFEITO!$K$2227*EFEITO!$Y$2227</f>
        <v>0</v>
      </c>
      <c r="N2227" s="74">
        <f ca="1">$K$2227-EFEITO!$M$2227*EFEITO!$Z$2227</f>
        <v>0</v>
      </c>
      <c r="O2227" s="74">
        <f>$L$2227-EFEITO!$O$2227*EFEITO!$AA$2227</f>
        <v>0</v>
      </c>
      <c r="P2227" s="57"/>
      <c r="Q2227" s="57"/>
      <c r="R2227" s="57"/>
      <c r="S2227" s="57"/>
      <c r="T2227" s="57"/>
      <c r="U2227" s="57"/>
      <c r="V2227" s="57"/>
      <c r="W2227" s="57"/>
      <c r="X2227" s="6"/>
      <c r="Y2227" s="6"/>
      <c r="Z2227" s="6"/>
      <c r="AA2227" s="6"/>
      <c r="AB2227" s="6"/>
      <c r="AC2227" s="6"/>
      <c r="AD2227" s="6"/>
      <c r="AE2227" s="6"/>
      <c r="AF2227" s="6"/>
      <c r="AG2227" s="6"/>
      <c r="AH2227" s="6"/>
      <c r="AI2227" s="6"/>
      <c r="AJ2227" s="6"/>
    </row>
    <row r="2228" spans="1:36" ht="11.25" customHeight="1" x14ac:dyDescent="0.2">
      <c r="A2228" s="53" t="s">
        <v>27</v>
      </c>
      <c r="B2228" s="53" t="s">
        <v>39</v>
      </c>
      <c r="C2228" s="53" t="s">
        <v>23</v>
      </c>
      <c r="D2228" s="53" t="s">
        <v>48</v>
      </c>
      <c r="E2228" s="53" t="s">
        <v>25</v>
      </c>
      <c r="F2228" s="53" t="s">
        <v>25</v>
      </c>
      <c r="G2228" s="53" t="s">
        <v>25</v>
      </c>
      <c r="H2228" s="53" t="s">
        <v>25</v>
      </c>
      <c r="I2228" s="73">
        <v>43831</v>
      </c>
      <c r="J2228" s="74">
        <f>EFEITO!$J$2228*EFEITO!$Y$2228</f>
        <v>0</v>
      </c>
      <c r="K2228" s="74">
        <f ca="1">EFEITO!$L$2228*EFEITO!$Z$2228</f>
        <v>885.49644420614595</v>
      </c>
      <c r="L2228" s="74">
        <f>EFEITO!$N$2228*EFEITO!$AA$2228</f>
        <v>791.14378515499538</v>
      </c>
      <c r="M2228" s="74">
        <f>$J$2228-EFEITO!$K$2228*EFEITO!$Y$2228</f>
        <v>0</v>
      </c>
      <c r="N2228" s="74">
        <f ca="1">$K$2228-EFEITO!$M$2228*EFEITO!$Z$2228</f>
        <v>0</v>
      </c>
      <c r="O2228" s="74">
        <f>$L$2228-EFEITO!$O$2228*EFEITO!$AA$2228</f>
        <v>0</v>
      </c>
      <c r="P2228" s="57"/>
      <c r="Q2228" s="57"/>
      <c r="R2228" s="57"/>
      <c r="S2228" s="57"/>
      <c r="T2228" s="57"/>
      <c r="U2228" s="57"/>
      <c r="V2228" s="57"/>
      <c r="W2228" s="57"/>
      <c r="X2228" s="6"/>
      <c r="Y2228" s="6"/>
      <c r="Z2228" s="6"/>
      <c r="AA2228" s="6"/>
      <c r="AB2228" s="6"/>
      <c r="AC2228" s="6"/>
      <c r="AD2228" s="6"/>
      <c r="AE2228" s="6"/>
      <c r="AF2228" s="6"/>
      <c r="AG2228" s="6"/>
      <c r="AH2228" s="6"/>
      <c r="AI2228" s="6"/>
      <c r="AJ2228" s="6"/>
    </row>
    <row r="2229" spans="1:36" ht="11.25" customHeight="1" x14ac:dyDescent="0.2">
      <c r="A2229" s="53" t="s">
        <v>28</v>
      </c>
      <c r="B2229" s="53" t="s">
        <v>39</v>
      </c>
      <c r="C2229" s="53" t="s">
        <v>23</v>
      </c>
      <c r="D2229" s="53" t="s">
        <v>48</v>
      </c>
      <c r="E2229" s="53" t="s">
        <v>25</v>
      </c>
      <c r="F2229" s="53" t="s">
        <v>25</v>
      </c>
      <c r="G2229" s="53" t="s">
        <v>25</v>
      </c>
      <c r="H2229" s="53" t="s">
        <v>25</v>
      </c>
      <c r="I2229" s="73">
        <v>43831</v>
      </c>
      <c r="J2229" s="74">
        <f>EFEITO!$J$2229*EFEITO!$Y$2229</f>
        <v>0</v>
      </c>
      <c r="K2229" s="74">
        <f ca="1">EFEITO!$L$2229*EFEITO!$Z$2229</f>
        <v>29703.960549028765</v>
      </c>
      <c r="L2229" s="74">
        <f>EFEITO!$N$2229*EFEITO!$AA$2229</f>
        <v>26538.902484155409</v>
      </c>
      <c r="M2229" s="74">
        <f>$J$2229-EFEITO!$K$2229*EFEITO!$Y$2229</f>
        <v>0</v>
      </c>
      <c r="N2229" s="74">
        <f ca="1">$K$2229-EFEITO!$M$2229*EFEITO!$Z$2229</f>
        <v>0</v>
      </c>
      <c r="O2229" s="74">
        <f>$L$2229-EFEITO!$O$2229*EFEITO!$AA$2229</f>
        <v>0</v>
      </c>
      <c r="P2229" s="57"/>
      <c r="Q2229" s="57"/>
      <c r="R2229" s="57"/>
      <c r="S2229" s="57"/>
      <c r="T2229" s="57"/>
      <c r="U2229" s="57"/>
      <c r="V2229" s="57"/>
      <c r="W2229" s="57"/>
      <c r="X2229" s="6"/>
      <c r="Y2229" s="6"/>
      <c r="Z2229" s="6"/>
      <c r="AA2229" s="6"/>
      <c r="AB2229" s="6"/>
      <c r="AC2229" s="6"/>
      <c r="AD2229" s="6"/>
      <c r="AE2229" s="6"/>
      <c r="AF2229" s="6"/>
      <c r="AG2229" s="6"/>
      <c r="AH2229" s="6"/>
      <c r="AI2229" s="6"/>
      <c r="AJ2229" s="6"/>
    </row>
    <row r="2230" spans="1:36" ht="11.25" customHeight="1" x14ac:dyDescent="0.2">
      <c r="A2230" s="53" t="s">
        <v>21</v>
      </c>
      <c r="B2230" s="53" t="s">
        <v>39</v>
      </c>
      <c r="C2230" s="53" t="s">
        <v>23</v>
      </c>
      <c r="D2230" s="53" t="s">
        <v>48</v>
      </c>
      <c r="E2230" s="53" t="s">
        <v>25</v>
      </c>
      <c r="F2230" s="53" t="s">
        <v>25</v>
      </c>
      <c r="G2230" s="53" t="s">
        <v>25</v>
      </c>
      <c r="H2230" s="53" t="s">
        <v>25</v>
      </c>
      <c r="I2230" s="73">
        <v>43862</v>
      </c>
      <c r="J2230" s="74">
        <f>EFEITO!$J$2230*EFEITO!$Y$2230</f>
        <v>0</v>
      </c>
      <c r="K2230" s="74">
        <f ca="1">EFEITO!$L$2230*EFEITO!$Z$2230</f>
        <v>2232911.2793140817</v>
      </c>
      <c r="L2230" s="74">
        <f>EFEITO!$N$2230*EFEITO!$AA$2230</f>
        <v>1994986.9849737836</v>
      </c>
      <c r="M2230" s="74">
        <f>$J$2230-EFEITO!$K$2230*EFEITO!$Y$2230</f>
        <v>0</v>
      </c>
      <c r="N2230" s="74">
        <f ca="1">$K$2230-EFEITO!$M$2230*EFEITO!$Z$2230</f>
        <v>0</v>
      </c>
      <c r="O2230" s="74">
        <f>$L$2230-EFEITO!$O$2230*EFEITO!$AA$2230</f>
        <v>0</v>
      </c>
      <c r="P2230" s="57"/>
      <c r="Q2230" s="57"/>
      <c r="R2230" s="57"/>
      <c r="S2230" s="57"/>
      <c r="T2230" s="57"/>
      <c r="U2230" s="57"/>
      <c r="V2230" s="57"/>
      <c r="W2230" s="57"/>
      <c r="X2230" s="6"/>
      <c r="Y2230" s="6"/>
      <c r="Z2230" s="6"/>
      <c r="AA2230" s="6"/>
      <c r="AB2230" s="6"/>
      <c r="AC2230" s="6"/>
      <c r="AD2230" s="6"/>
      <c r="AE2230" s="6"/>
      <c r="AF2230" s="6"/>
      <c r="AG2230" s="6"/>
      <c r="AH2230" s="6"/>
      <c r="AI2230" s="6"/>
      <c r="AJ2230" s="6"/>
    </row>
    <row r="2231" spans="1:36" ht="11.25" customHeight="1" x14ac:dyDescent="0.2">
      <c r="A2231" s="53" t="s">
        <v>27</v>
      </c>
      <c r="B2231" s="53" t="s">
        <v>39</v>
      </c>
      <c r="C2231" s="53" t="s">
        <v>23</v>
      </c>
      <c r="D2231" s="53" t="s">
        <v>48</v>
      </c>
      <c r="E2231" s="53" t="s">
        <v>25</v>
      </c>
      <c r="F2231" s="53" t="s">
        <v>25</v>
      </c>
      <c r="G2231" s="53" t="s">
        <v>25</v>
      </c>
      <c r="H2231" s="53" t="s">
        <v>25</v>
      </c>
      <c r="I2231" s="73">
        <v>43862</v>
      </c>
      <c r="J2231" s="74">
        <f>EFEITO!$J$2231*EFEITO!$Y$2231</f>
        <v>0</v>
      </c>
      <c r="K2231" s="74">
        <f ca="1">EFEITO!$L$2231*EFEITO!$Z$2231</f>
        <v>5323.8536599461931</v>
      </c>
      <c r="L2231" s="74">
        <f>EFEITO!$N$2231*EFEITO!$AA$2231</f>
        <v>4756.5789379506041</v>
      </c>
      <c r="M2231" s="74">
        <f>$J$2231-EFEITO!$K$2231*EFEITO!$Y$2231</f>
        <v>0</v>
      </c>
      <c r="N2231" s="74">
        <f ca="1">$K$2231-EFEITO!$M$2231*EFEITO!$Z$2231</f>
        <v>0</v>
      </c>
      <c r="O2231" s="74">
        <f>$L$2231-EFEITO!$O$2231*EFEITO!$AA$2231</f>
        <v>0</v>
      </c>
      <c r="P2231" s="57"/>
      <c r="Q2231" s="57"/>
      <c r="R2231" s="57"/>
      <c r="S2231" s="57"/>
      <c r="T2231" s="57"/>
      <c r="U2231" s="57"/>
      <c r="V2231" s="57"/>
      <c r="W2231" s="57"/>
      <c r="X2231" s="6"/>
      <c r="Y2231" s="6"/>
      <c r="Z2231" s="6"/>
      <c r="AA2231" s="6"/>
      <c r="AB2231" s="6"/>
      <c r="AC2231" s="6"/>
      <c r="AD2231" s="6"/>
      <c r="AE2231" s="6"/>
      <c r="AF2231" s="6"/>
      <c r="AG2231" s="6"/>
      <c r="AH2231" s="6"/>
      <c r="AI2231" s="6"/>
      <c r="AJ2231" s="6"/>
    </row>
    <row r="2232" spans="1:36" ht="11.25" customHeight="1" x14ac:dyDescent="0.2">
      <c r="A2232" s="53" t="s">
        <v>28</v>
      </c>
      <c r="B2232" s="53" t="s">
        <v>39</v>
      </c>
      <c r="C2232" s="53" t="s">
        <v>23</v>
      </c>
      <c r="D2232" s="53" t="s">
        <v>48</v>
      </c>
      <c r="E2232" s="53" t="s">
        <v>25</v>
      </c>
      <c r="F2232" s="53" t="s">
        <v>25</v>
      </c>
      <c r="G2232" s="53" t="s">
        <v>25</v>
      </c>
      <c r="H2232" s="53" t="s">
        <v>25</v>
      </c>
      <c r="I2232" s="73">
        <v>43862</v>
      </c>
      <c r="J2232" s="74">
        <f>EFEITO!$J$2232*EFEITO!$Y$2232</f>
        <v>0</v>
      </c>
      <c r="K2232" s="74">
        <f ca="1">EFEITO!$L$2232*EFEITO!$Z$2232</f>
        <v>37252.022501898042</v>
      </c>
      <c r="L2232" s="74">
        <f>EFEITO!$N$2232*EFEITO!$AA$2232</f>
        <v>33282.692753500858</v>
      </c>
      <c r="M2232" s="74">
        <f>$J$2232-EFEITO!$K$2232*EFEITO!$Y$2232</f>
        <v>0</v>
      </c>
      <c r="N2232" s="74">
        <f ca="1">$K$2232-EFEITO!$M$2232*EFEITO!$Z$2232</f>
        <v>0</v>
      </c>
      <c r="O2232" s="74">
        <f>$L$2232-EFEITO!$O$2232*EFEITO!$AA$2232</f>
        <v>0</v>
      </c>
      <c r="P2232" s="57"/>
      <c r="Q2232" s="57"/>
      <c r="R2232" s="57"/>
      <c r="S2232" s="57"/>
      <c r="T2232" s="57"/>
      <c r="U2232" s="57"/>
      <c r="V2232" s="57"/>
      <c r="W2232" s="57"/>
      <c r="X2232" s="6"/>
      <c r="Y2232" s="6"/>
      <c r="Z2232" s="6"/>
      <c r="AA2232" s="6"/>
      <c r="AB2232" s="6"/>
      <c r="AC2232" s="6"/>
      <c r="AD2232" s="6"/>
      <c r="AE2232" s="6"/>
      <c r="AF2232" s="6"/>
      <c r="AG2232" s="6"/>
      <c r="AH2232" s="6"/>
      <c r="AI2232" s="6"/>
      <c r="AJ2232" s="6"/>
    </row>
    <row r="2233" spans="1:36" ht="11.25" customHeight="1" x14ac:dyDescent="0.2">
      <c r="A2233" s="53" t="s">
        <v>21</v>
      </c>
      <c r="B2233" s="53" t="s">
        <v>39</v>
      </c>
      <c r="C2233" s="53" t="s">
        <v>23</v>
      </c>
      <c r="D2233" s="53" t="s">
        <v>48</v>
      </c>
      <c r="E2233" s="53" t="s">
        <v>25</v>
      </c>
      <c r="F2233" s="53" t="s">
        <v>25</v>
      </c>
      <c r="G2233" s="53" t="s">
        <v>25</v>
      </c>
      <c r="H2233" s="53" t="s">
        <v>25</v>
      </c>
      <c r="I2233" s="73">
        <v>43891</v>
      </c>
      <c r="J2233" s="74">
        <f>EFEITO!$J$2233*EFEITO!$Y$2233</f>
        <v>0</v>
      </c>
      <c r="K2233" s="74">
        <f ca="1">EFEITO!$L$2233*EFEITO!$Z$2233</f>
        <v>2308024.5958964671</v>
      </c>
      <c r="L2233" s="74">
        <f>EFEITO!$N$2233*EFEITO!$AA$2233</f>
        <v>2062096.7220996164</v>
      </c>
      <c r="M2233" s="74">
        <f>$J$2233-EFEITO!$K$2233*EFEITO!$Y$2233</f>
        <v>0</v>
      </c>
      <c r="N2233" s="74">
        <f ca="1">$K$2233-EFEITO!$M$2233*EFEITO!$Z$2233</f>
        <v>0</v>
      </c>
      <c r="O2233" s="74">
        <f>$L$2233-EFEITO!$O$2233*EFEITO!$AA$2233</f>
        <v>0</v>
      </c>
      <c r="P2233" s="57"/>
      <c r="Q2233" s="57"/>
      <c r="R2233" s="57"/>
      <c r="S2233" s="57"/>
      <c r="T2233" s="57"/>
      <c r="U2233" s="57"/>
      <c r="V2233" s="57"/>
      <c r="W2233" s="57"/>
      <c r="X2233" s="6"/>
      <c r="Y2233" s="6"/>
      <c r="Z2233" s="6"/>
      <c r="AA2233" s="6"/>
      <c r="AB2233" s="6"/>
      <c r="AC2233" s="6"/>
      <c r="AD2233" s="6"/>
      <c r="AE2233" s="6"/>
      <c r="AF2233" s="6"/>
      <c r="AG2233" s="6"/>
      <c r="AH2233" s="6"/>
      <c r="AI2233" s="6"/>
      <c r="AJ2233" s="6"/>
    </row>
    <row r="2234" spans="1:36" ht="11.25" customHeight="1" x14ac:dyDescent="0.2">
      <c r="A2234" s="53" t="s">
        <v>27</v>
      </c>
      <c r="B2234" s="53" t="s">
        <v>39</v>
      </c>
      <c r="C2234" s="53" t="s">
        <v>23</v>
      </c>
      <c r="D2234" s="53" t="s">
        <v>48</v>
      </c>
      <c r="E2234" s="53" t="s">
        <v>25</v>
      </c>
      <c r="F2234" s="53" t="s">
        <v>25</v>
      </c>
      <c r="G2234" s="53" t="s">
        <v>25</v>
      </c>
      <c r="H2234" s="53" t="s">
        <v>25</v>
      </c>
      <c r="I2234" s="73">
        <v>43891</v>
      </c>
      <c r="J2234" s="74">
        <f>EFEITO!$J$2234*EFEITO!$Y$2234</f>
        <v>0</v>
      </c>
      <c r="K2234" s="74">
        <f ca="1">EFEITO!$L$2234*EFEITO!$Z$2234</f>
        <v>23876.050884305721</v>
      </c>
      <c r="L2234" s="74">
        <f>EFEITO!$N$2234*EFEITO!$AA$2234</f>
        <v>21331.976423798489</v>
      </c>
      <c r="M2234" s="74">
        <f>$J$2234-EFEITO!$K$2234*EFEITO!$Y$2234</f>
        <v>0</v>
      </c>
      <c r="N2234" s="74">
        <f ca="1">$K$2234-EFEITO!$M$2234*EFEITO!$Z$2234</f>
        <v>0</v>
      </c>
      <c r="O2234" s="74">
        <f>$L$2234-EFEITO!$O$2234*EFEITO!$AA$2234</f>
        <v>0</v>
      </c>
      <c r="P2234" s="57"/>
      <c r="Q2234" s="57"/>
      <c r="R2234" s="57"/>
      <c r="S2234" s="57"/>
      <c r="T2234" s="57"/>
      <c r="U2234" s="57"/>
      <c r="V2234" s="57"/>
      <c r="W2234" s="57"/>
      <c r="X2234" s="6"/>
      <c r="Y2234" s="6"/>
      <c r="Z2234" s="6"/>
      <c r="AA2234" s="6"/>
      <c r="AB2234" s="6"/>
      <c r="AC2234" s="6"/>
      <c r="AD2234" s="6"/>
      <c r="AE2234" s="6"/>
      <c r="AF2234" s="6"/>
      <c r="AG2234" s="6"/>
      <c r="AH2234" s="6"/>
      <c r="AI2234" s="6"/>
      <c r="AJ2234" s="6"/>
    </row>
    <row r="2235" spans="1:36" ht="11.25" customHeight="1" x14ac:dyDescent="0.2">
      <c r="A2235" s="53" t="s">
        <v>28</v>
      </c>
      <c r="B2235" s="53" t="s">
        <v>39</v>
      </c>
      <c r="C2235" s="53" t="s">
        <v>23</v>
      </c>
      <c r="D2235" s="53" t="s">
        <v>48</v>
      </c>
      <c r="E2235" s="53" t="s">
        <v>25</v>
      </c>
      <c r="F2235" s="53" t="s">
        <v>25</v>
      </c>
      <c r="G2235" s="53" t="s">
        <v>25</v>
      </c>
      <c r="H2235" s="53" t="s">
        <v>25</v>
      </c>
      <c r="I2235" s="73">
        <v>43891</v>
      </c>
      <c r="J2235" s="74">
        <f>EFEITO!$J$2235*EFEITO!$Y$2235</f>
        <v>0</v>
      </c>
      <c r="K2235" s="74">
        <f ca="1">EFEITO!$L$2235*EFEITO!$Z$2235</f>
        <v>33401.186875328851</v>
      </c>
      <c r="L2235" s="74">
        <f>EFEITO!$N$2235*EFEITO!$AA$2235</f>
        <v>29842.176765494918</v>
      </c>
      <c r="M2235" s="74">
        <f>$J$2235-EFEITO!$K$2235*EFEITO!$Y$2235</f>
        <v>0</v>
      </c>
      <c r="N2235" s="74">
        <f ca="1">$K$2235-EFEITO!$M$2235*EFEITO!$Z$2235</f>
        <v>0</v>
      </c>
      <c r="O2235" s="74">
        <f>$L$2235-EFEITO!$O$2235*EFEITO!$AA$2235</f>
        <v>0</v>
      </c>
      <c r="P2235" s="57"/>
      <c r="Q2235" s="57"/>
      <c r="R2235" s="57"/>
      <c r="S2235" s="57"/>
      <c r="T2235" s="57"/>
      <c r="U2235" s="57"/>
      <c r="V2235" s="57"/>
      <c r="W2235" s="57"/>
      <c r="X2235" s="6"/>
      <c r="Y2235" s="6"/>
      <c r="Z2235" s="6"/>
      <c r="AA2235" s="6"/>
      <c r="AB2235" s="6"/>
      <c r="AC2235" s="6"/>
      <c r="AD2235" s="6"/>
      <c r="AE2235" s="6"/>
      <c r="AF2235" s="6"/>
      <c r="AG2235" s="6"/>
      <c r="AH2235" s="6"/>
      <c r="AI2235" s="6"/>
      <c r="AJ2235" s="6"/>
    </row>
    <row r="2236" spans="1:36" ht="11.25" customHeight="1" x14ac:dyDescent="0.2">
      <c r="A2236" s="53" t="s">
        <v>21</v>
      </c>
      <c r="B2236" s="53" t="s">
        <v>39</v>
      </c>
      <c r="C2236" s="53" t="s">
        <v>23</v>
      </c>
      <c r="D2236" s="53" t="s">
        <v>48</v>
      </c>
      <c r="E2236" s="53" t="s">
        <v>25</v>
      </c>
      <c r="F2236" s="53" t="s">
        <v>25</v>
      </c>
      <c r="G2236" s="53" t="s">
        <v>25</v>
      </c>
      <c r="H2236" s="53" t="s">
        <v>25</v>
      </c>
      <c r="I2236" s="73">
        <v>43922</v>
      </c>
      <c r="J2236" s="74">
        <f>EFEITO!$J$2236*EFEITO!$Y$2236</f>
        <v>0</v>
      </c>
      <c r="K2236" s="74">
        <f ca="1">EFEITO!$L$2236*EFEITO!$Z$2236</f>
        <v>2003074.7911294899</v>
      </c>
      <c r="L2236" s="74">
        <f>EFEITO!$N$2236*EFEITO!$AA$2236</f>
        <v>1789640.3566289297</v>
      </c>
      <c r="M2236" s="74">
        <f>$J$2236-EFEITO!$K$2236*EFEITO!$Y$2236</f>
        <v>0</v>
      </c>
      <c r="N2236" s="74">
        <f ca="1">$K$2236-EFEITO!$M$2236*EFEITO!$Z$2236</f>
        <v>0</v>
      </c>
      <c r="O2236" s="74">
        <f>$L$2236-EFEITO!$O$2236*EFEITO!$AA$2236</f>
        <v>0</v>
      </c>
      <c r="P2236" s="57"/>
      <c r="Q2236" s="57"/>
      <c r="R2236" s="57"/>
      <c r="S2236" s="57"/>
      <c r="T2236" s="57"/>
      <c r="U2236" s="57"/>
      <c r="V2236" s="57"/>
      <c r="W2236" s="57"/>
      <c r="X2236" s="6"/>
      <c r="Y2236" s="6"/>
      <c r="Z2236" s="6"/>
      <c r="AA2236" s="6"/>
      <c r="AB2236" s="6"/>
      <c r="AC2236" s="6"/>
      <c r="AD2236" s="6"/>
      <c r="AE2236" s="6"/>
      <c r="AF2236" s="6"/>
      <c r="AG2236" s="6"/>
      <c r="AH2236" s="6"/>
      <c r="AI2236" s="6"/>
      <c r="AJ2236" s="6"/>
    </row>
    <row r="2237" spans="1:36" ht="11.25" customHeight="1" x14ac:dyDescent="0.2">
      <c r="A2237" s="53" t="s">
        <v>27</v>
      </c>
      <c r="B2237" s="53" t="s">
        <v>39</v>
      </c>
      <c r="C2237" s="53" t="s">
        <v>23</v>
      </c>
      <c r="D2237" s="53" t="s">
        <v>48</v>
      </c>
      <c r="E2237" s="53" t="s">
        <v>25</v>
      </c>
      <c r="F2237" s="53" t="s">
        <v>25</v>
      </c>
      <c r="G2237" s="53" t="s">
        <v>25</v>
      </c>
      <c r="H2237" s="53" t="s">
        <v>25</v>
      </c>
      <c r="I2237" s="73">
        <v>43922</v>
      </c>
      <c r="J2237" s="74">
        <f>EFEITO!$J$2237*EFEITO!$Y$2237</f>
        <v>0</v>
      </c>
      <c r="K2237" s="74">
        <f ca="1">EFEITO!$L$2237*EFEITO!$Z$2237</f>
        <v>10345.654341841102</v>
      </c>
      <c r="L2237" s="74">
        <f>EFEITO!$N$2237*EFEITO!$AA$2237</f>
        <v>9243.2896704031427</v>
      </c>
      <c r="M2237" s="74">
        <f>$J$2237-EFEITO!$K$2237*EFEITO!$Y$2237</f>
        <v>0</v>
      </c>
      <c r="N2237" s="74">
        <f ca="1">$K$2237-EFEITO!$M$2237*EFEITO!$Z$2237</f>
        <v>0</v>
      </c>
      <c r="O2237" s="74">
        <f>$L$2237-EFEITO!$O$2237*EFEITO!$AA$2237</f>
        <v>0</v>
      </c>
      <c r="P2237" s="57"/>
      <c r="Q2237" s="57"/>
      <c r="R2237" s="57"/>
      <c r="S2237" s="57"/>
      <c r="T2237" s="57"/>
      <c r="U2237" s="57"/>
      <c r="V2237" s="57"/>
      <c r="W2237" s="57"/>
      <c r="X2237" s="6"/>
      <c r="Y2237" s="6"/>
      <c r="Z2237" s="6"/>
      <c r="AA2237" s="6"/>
      <c r="AB2237" s="6"/>
      <c r="AC2237" s="6"/>
      <c r="AD2237" s="6"/>
      <c r="AE2237" s="6"/>
      <c r="AF2237" s="6"/>
      <c r="AG2237" s="6"/>
      <c r="AH2237" s="6"/>
      <c r="AI2237" s="6"/>
      <c r="AJ2237" s="6"/>
    </row>
    <row r="2238" spans="1:36" ht="11.25" customHeight="1" x14ac:dyDescent="0.2">
      <c r="A2238" s="53" t="s">
        <v>28</v>
      </c>
      <c r="B2238" s="53" t="s">
        <v>39</v>
      </c>
      <c r="C2238" s="53" t="s">
        <v>23</v>
      </c>
      <c r="D2238" s="53" t="s">
        <v>48</v>
      </c>
      <c r="E2238" s="53" t="s">
        <v>25</v>
      </c>
      <c r="F2238" s="53" t="s">
        <v>25</v>
      </c>
      <c r="G2238" s="53" t="s">
        <v>25</v>
      </c>
      <c r="H2238" s="53" t="s">
        <v>25</v>
      </c>
      <c r="I2238" s="73">
        <v>43922</v>
      </c>
      <c r="J2238" s="74">
        <f>EFEITO!$J$2238*EFEITO!$Y$2238</f>
        <v>0</v>
      </c>
      <c r="K2238" s="74">
        <f ca="1">EFEITO!$L$2238*EFEITO!$Z$2238</f>
        <v>8062.7210774877076</v>
      </c>
      <c r="L2238" s="74">
        <f>EFEITO!$N$2238*EFEITO!$AA$2238</f>
        <v>7203.6107130968803</v>
      </c>
      <c r="M2238" s="74">
        <f>$J$2238-EFEITO!$K$2238*EFEITO!$Y$2238</f>
        <v>0</v>
      </c>
      <c r="N2238" s="74">
        <f ca="1">$K$2238-EFEITO!$M$2238*EFEITO!$Z$2238</f>
        <v>0</v>
      </c>
      <c r="O2238" s="74">
        <f>$L$2238-EFEITO!$O$2238*EFEITO!$AA$2238</f>
        <v>0</v>
      </c>
      <c r="P2238" s="57"/>
      <c r="Q2238" s="57"/>
      <c r="R2238" s="57"/>
      <c r="S2238" s="57"/>
      <c r="T2238" s="57"/>
      <c r="U2238" s="57"/>
      <c r="V2238" s="57"/>
      <c r="W2238" s="57"/>
      <c r="X2238" s="6"/>
      <c r="Y2238" s="6"/>
      <c r="Z2238" s="6"/>
      <c r="AA2238" s="6"/>
      <c r="AB2238" s="6"/>
      <c r="AC2238" s="6"/>
      <c r="AD2238" s="6"/>
      <c r="AE2238" s="6"/>
      <c r="AF2238" s="6"/>
      <c r="AG2238" s="6"/>
      <c r="AH2238" s="6"/>
      <c r="AI2238" s="6"/>
      <c r="AJ2238" s="6"/>
    </row>
    <row r="2239" spans="1:36" ht="11.25" customHeight="1" x14ac:dyDescent="0.2">
      <c r="A2239" s="53" t="s">
        <v>28</v>
      </c>
      <c r="B2239" s="53" t="s">
        <v>39</v>
      </c>
      <c r="C2239" s="53" t="s">
        <v>23</v>
      </c>
      <c r="D2239" s="53" t="s">
        <v>48</v>
      </c>
      <c r="E2239" s="53" t="s">
        <v>25</v>
      </c>
      <c r="F2239" s="53" t="s">
        <v>25</v>
      </c>
      <c r="G2239" s="53" t="s">
        <v>25</v>
      </c>
      <c r="H2239" s="53" t="s">
        <v>25</v>
      </c>
      <c r="I2239" s="73">
        <v>43922</v>
      </c>
      <c r="J2239" s="74">
        <f>EFEITO!$J$2239*EFEITO!$Y$2239</f>
        <v>0</v>
      </c>
      <c r="K2239" s="74">
        <f ca="1">EFEITO!$L$2239*EFEITO!$Z$2239</f>
        <v>40237.480424473317</v>
      </c>
      <c r="L2239" s="74">
        <f>EFEITO!$N$2239*EFEITO!$AA$2239</f>
        <v>35950.039976339976</v>
      </c>
      <c r="M2239" s="74">
        <f>$J$2239-EFEITO!$K$2239*EFEITO!$Y$2239</f>
        <v>0</v>
      </c>
      <c r="N2239" s="74">
        <f ca="1">$K$2239-EFEITO!$M$2239*EFEITO!$Z$2239</f>
        <v>0</v>
      </c>
      <c r="O2239" s="74">
        <f>$L$2239-EFEITO!$O$2239*EFEITO!$AA$2239</f>
        <v>0</v>
      </c>
      <c r="P2239" s="57"/>
      <c r="Q2239" s="57"/>
      <c r="R2239" s="57"/>
      <c r="S2239" s="57"/>
      <c r="T2239" s="57"/>
      <c r="U2239" s="57"/>
      <c r="V2239" s="57"/>
      <c r="W2239" s="57"/>
      <c r="X2239" s="6"/>
      <c r="Y2239" s="6"/>
      <c r="Z2239" s="6"/>
      <c r="AA2239" s="6"/>
      <c r="AB2239" s="6"/>
      <c r="AC2239" s="6"/>
      <c r="AD2239" s="6"/>
      <c r="AE2239" s="6"/>
      <c r="AF2239" s="6"/>
      <c r="AG2239" s="6"/>
      <c r="AH2239" s="6"/>
      <c r="AI2239" s="6"/>
      <c r="AJ2239" s="6"/>
    </row>
    <row r="2240" spans="1:36" ht="11.25" customHeight="1" x14ac:dyDescent="0.2">
      <c r="A2240" s="53" t="s">
        <v>21</v>
      </c>
      <c r="B2240" s="53" t="s">
        <v>39</v>
      </c>
      <c r="C2240" s="53" t="s">
        <v>23</v>
      </c>
      <c r="D2240" s="53" t="s">
        <v>48</v>
      </c>
      <c r="E2240" s="53" t="s">
        <v>25</v>
      </c>
      <c r="F2240" s="53" t="s">
        <v>25</v>
      </c>
      <c r="G2240" s="53" t="s">
        <v>25</v>
      </c>
      <c r="H2240" s="53" t="s">
        <v>25</v>
      </c>
      <c r="I2240" s="73">
        <v>43952</v>
      </c>
      <c r="J2240" s="74">
        <f>EFEITO!$J$2240*EFEITO!$Y$2240</f>
        <v>0</v>
      </c>
      <c r="K2240" s="74">
        <f ca="1">EFEITO!$L$2240*EFEITO!$Z$2240</f>
        <v>1697982.5239318206</v>
      </c>
      <c r="L2240" s="74">
        <f>EFEITO!$N$2240*EFEITO!$AA$2240</f>
        <v>1517056.7085842728</v>
      </c>
      <c r="M2240" s="74">
        <f>$J$2240-EFEITO!$K$2240*EFEITO!$Y$2240</f>
        <v>0</v>
      </c>
      <c r="N2240" s="74">
        <f ca="1">$K$2240-EFEITO!$M$2240*EFEITO!$Z$2240</f>
        <v>0</v>
      </c>
      <c r="O2240" s="74">
        <f>$L$2240-EFEITO!$O$2240*EFEITO!$AA$2240</f>
        <v>0</v>
      </c>
      <c r="P2240" s="57"/>
      <c r="Q2240" s="57"/>
      <c r="R2240" s="57"/>
      <c r="S2240" s="57"/>
      <c r="T2240" s="57"/>
      <c r="U2240" s="57"/>
      <c r="V2240" s="57"/>
      <c r="W2240" s="57"/>
      <c r="X2240" s="6"/>
      <c r="Y2240" s="6"/>
      <c r="Z2240" s="6"/>
      <c r="AA2240" s="6"/>
      <c r="AB2240" s="6"/>
      <c r="AC2240" s="6"/>
      <c r="AD2240" s="6"/>
      <c r="AE2240" s="6"/>
      <c r="AF2240" s="6"/>
      <c r="AG2240" s="6"/>
      <c r="AH2240" s="6"/>
      <c r="AI2240" s="6"/>
      <c r="AJ2240" s="6"/>
    </row>
    <row r="2241" spans="1:36" ht="11.25" customHeight="1" x14ac:dyDescent="0.2">
      <c r="A2241" s="53" t="s">
        <v>27</v>
      </c>
      <c r="B2241" s="53" t="s">
        <v>39</v>
      </c>
      <c r="C2241" s="53" t="s">
        <v>23</v>
      </c>
      <c r="D2241" s="53" t="s">
        <v>48</v>
      </c>
      <c r="E2241" s="53" t="s">
        <v>25</v>
      </c>
      <c r="F2241" s="53" t="s">
        <v>25</v>
      </c>
      <c r="G2241" s="53" t="s">
        <v>25</v>
      </c>
      <c r="H2241" s="53" t="s">
        <v>25</v>
      </c>
      <c r="I2241" s="73">
        <v>43952</v>
      </c>
      <c r="J2241" s="74">
        <f>EFEITO!$J$2241*EFEITO!$Y$2241</f>
        <v>0</v>
      </c>
      <c r="K2241" s="74">
        <f ca="1">EFEITO!$L$2241*EFEITO!$Z$2241</f>
        <v>2863.3861069631962</v>
      </c>
      <c r="L2241" s="74">
        <f>EFEITO!$N$2241*EFEITO!$AA$2241</f>
        <v>2558.2825745325176</v>
      </c>
      <c r="M2241" s="74">
        <f>$J$2241-EFEITO!$K$2241*EFEITO!$Y$2241</f>
        <v>0</v>
      </c>
      <c r="N2241" s="74">
        <f ca="1">$K$2241-EFEITO!$M$2241*EFEITO!$Z$2241</f>
        <v>0</v>
      </c>
      <c r="O2241" s="74">
        <f>$L$2241-EFEITO!$O$2241*EFEITO!$AA$2241</f>
        <v>0</v>
      </c>
      <c r="P2241" s="57"/>
      <c r="Q2241" s="57"/>
      <c r="R2241" s="57"/>
      <c r="S2241" s="57"/>
      <c r="T2241" s="57"/>
      <c r="U2241" s="57"/>
      <c r="V2241" s="57"/>
      <c r="W2241" s="57"/>
      <c r="X2241" s="6"/>
      <c r="Y2241" s="6"/>
      <c r="Z2241" s="6"/>
      <c r="AA2241" s="6"/>
      <c r="AB2241" s="6"/>
      <c r="AC2241" s="6"/>
      <c r="AD2241" s="6"/>
      <c r="AE2241" s="6"/>
      <c r="AF2241" s="6"/>
      <c r="AG2241" s="6"/>
      <c r="AH2241" s="6"/>
      <c r="AI2241" s="6"/>
      <c r="AJ2241" s="6"/>
    </row>
    <row r="2242" spans="1:36" ht="11.25" customHeight="1" x14ac:dyDescent="0.2">
      <c r="A2242" s="53" t="s">
        <v>28</v>
      </c>
      <c r="B2242" s="53" t="s">
        <v>39</v>
      </c>
      <c r="C2242" s="53" t="s">
        <v>23</v>
      </c>
      <c r="D2242" s="53" t="s">
        <v>48</v>
      </c>
      <c r="E2242" s="53" t="s">
        <v>25</v>
      </c>
      <c r="F2242" s="53" t="s">
        <v>25</v>
      </c>
      <c r="G2242" s="53" t="s">
        <v>25</v>
      </c>
      <c r="H2242" s="53" t="s">
        <v>25</v>
      </c>
      <c r="I2242" s="73">
        <v>43952</v>
      </c>
      <c r="J2242" s="74">
        <f>EFEITO!$J$2242*EFEITO!$Y$2242</f>
        <v>0</v>
      </c>
      <c r="K2242" s="74">
        <f ca="1">EFEITO!$L$2242*EFEITO!$Z$2242</f>
        <v>20207.371419117593</v>
      </c>
      <c r="L2242" s="74">
        <f>EFEITO!$N$2242*EFEITO!$AA$2242</f>
        <v>18054.207238388142</v>
      </c>
      <c r="M2242" s="74">
        <f>$J$2242-EFEITO!$K$2242*EFEITO!$Y$2242</f>
        <v>0</v>
      </c>
      <c r="N2242" s="74">
        <f ca="1">$K$2242-EFEITO!$M$2242*EFEITO!$Z$2242</f>
        <v>0</v>
      </c>
      <c r="O2242" s="74">
        <f>$L$2242-EFEITO!$O$2242*EFEITO!$AA$2242</f>
        <v>0</v>
      </c>
      <c r="P2242" s="57"/>
      <c r="Q2242" s="57"/>
      <c r="R2242" s="57"/>
      <c r="S2242" s="57"/>
      <c r="T2242" s="57"/>
      <c r="U2242" s="57"/>
      <c r="V2242" s="57"/>
      <c r="W2242" s="57"/>
      <c r="X2242" s="6"/>
      <c r="Y2242" s="6"/>
      <c r="Z2242" s="6"/>
      <c r="AA2242" s="6"/>
      <c r="AB2242" s="6"/>
      <c r="AC2242" s="6"/>
      <c r="AD2242" s="6"/>
      <c r="AE2242" s="6"/>
      <c r="AF2242" s="6"/>
      <c r="AG2242" s="6"/>
      <c r="AH2242" s="6"/>
      <c r="AI2242" s="6"/>
      <c r="AJ2242" s="6"/>
    </row>
    <row r="2243" spans="1:36" ht="11.25" customHeight="1" x14ac:dyDescent="0.2">
      <c r="A2243" s="53" t="s">
        <v>21</v>
      </c>
      <c r="B2243" s="53" t="s">
        <v>39</v>
      </c>
      <c r="C2243" s="53" t="s">
        <v>23</v>
      </c>
      <c r="D2243" s="53" t="s">
        <v>48</v>
      </c>
      <c r="E2243" s="53" t="s">
        <v>25</v>
      </c>
      <c r="F2243" s="53" t="s">
        <v>25</v>
      </c>
      <c r="G2243" s="53" t="s">
        <v>25</v>
      </c>
      <c r="H2243" s="53" t="s">
        <v>25</v>
      </c>
      <c r="I2243" s="73">
        <v>43983</v>
      </c>
      <c r="J2243" s="74">
        <f>EFEITO!$J$2243*EFEITO!$Y$2243</f>
        <v>0</v>
      </c>
      <c r="K2243" s="74">
        <f ca="1">EFEITO!$L$2243*EFEITO!$Z$2243</f>
        <v>1427188.0869232635</v>
      </c>
      <c r="L2243" s="74">
        <f>EFEITO!$N$2243*EFEITO!$AA$2243</f>
        <v>1275116.340222962</v>
      </c>
      <c r="M2243" s="74">
        <f>$J$2243-EFEITO!$K$2243*EFEITO!$Y$2243</f>
        <v>0</v>
      </c>
      <c r="N2243" s="74">
        <f ca="1">$K$2243-EFEITO!$M$2243*EFEITO!$Z$2243</f>
        <v>0</v>
      </c>
      <c r="O2243" s="74">
        <f>$L$2243-EFEITO!$O$2243*EFEITO!$AA$2243</f>
        <v>0</v>
      </c>
      <c r="P2243" s="57"/>
      <c r="Q2243" s="57"/>
      <c r="R2243" s="57"/>
      <c r="S2243" s="57"/>
      <c r="T2243" s="57"/>
      <c r="U2243" s="57"/>
      <c r="V2243" s="57"/>
      <c r="W2243" s="57"/>
      <c r="X2243" s="6"/>
      <c r="Y2243" s="6"/>
      <c r="Z2243" s="6"/>
      <c r="AA2243" s="6"/>
      <c r="AB2243" s="6"/>
      <c r="AC2243" s="6"/>
      <c r="AD2243" s="6"/>
      <c r="AE2243" s="6"/>
      <c r="AF2243" s="6"/>
      <c r="AG2243" s="6"/>
      <c r="AH2243" s="6"/>
      <c r="AI2243" s="6"/>
      <c r="AJ2243" s="6"/>
    </row>
    <row r="2244" spans="1:36" ht="11.25" customHeight="1" x14ac:dyDescent="0.2">
      <c r="A2244" s="53" t="s">
        <v>27</v>
      </c>
      <c r="B2244" s="53" t="s">
        <v>39</v>
      </c>
      <c r="C2244" s="53" t="s">
        <v>23</v>
      </c>
      <c r="D2244" s="53" t="s">
        <v>48</v>
      </c>
      <c r="E2244" s="53" t="s">
        <v>25</v>
      </c>
      <c r="F2244" s="53" t="s">
        <v>25</v>
      </c>
      <c r="G2244" s="53" t="s">
        <v>25</v>
      </c>
      <c r="H2244" s="53" t="s">
        <v>25</v>
      </c>
      <c r="I2244" s="73">
        <v>43983</v>
      </c>
      <c r="J2244" s="74">
        <f>EFEITO!$J$2244*EFEITO!$Y$2244</f>
        <v>0</v>
      </c>
      <c r="K2244" s="74">
        <f ca="1">EFEITO!$L$2244*EFEITO!$Z$2244</f>
        <v>4469.6228255293345</v>
      </c>
      <c r="L2244" s="74">
        <f>EFEITO!$N$2244*EFEITO!$AA$2244</f>
        <v>3993.3693054799273</v>
      </c>
      <c r="M2244" s="74">
        <f>$J$2244-EFEITO!$K$2244*EFEITO!$Y$2244</f>
        <v>0</v>
      </c>
      <c r="N2244" s="74">
        <f ca="1">$K$2244-EFEITO!$M$2244*EFEITO!$Z$2244</f>
        <v>0</v>
      </c>
      <c r="O2244" s="74">
        <f>$L$2244-EFEITO!$O$2244*EFEITO!$AA$2244</f>
        <v>0</v>
      </c>
      <c r="P2244" s="57"/>
      <c r="Q2244" s="57"/>
      <c r="R2244" s="57"/>
      <c r="S2244" s="57"/>
      <c r="T2244" s="57"/>
      <c r="U2244" s="57"/>
      <c r="V2244" s="57"/>
      <c r="W2244" s="57"/>
      <c r="X2244" s="6"/>
      <c r="Y2244" s="6"/>
      <c r="Z2244" s="6"/>
      <c r="AA2244" s="6"/>
      <c r="AB2244" s="6"/>
      <c r="AC2244" s="6"/>
      <c r="AD2244" s="6"/>
      <c r="AE2244" s="6"/>
      <c r="AF2244" s="6"/>
      <c r="AG2244" s="6"/>
      <c r="AH2244" s="6"/>
      <c r="AI2244" s="6"/>
      <c r="AJ2244" s="6"/>
    </row>
    <row r="2245" spans="1:36" ht="11.25" customHeight="1" x14ac:dyDescent="0.2">
      <c r="A2245" s="53" t="s">
        <v>28</v>
      </c>
      <c r="B2245" s="53" t="s">
        <v>39</v>
      </c>
      <c r="C2245" s="53" t="s">
        <v>23</v>
      </c>
      <c r="D2245" s="53" t="s">
        <v>48</v>
      </c>
      <c r="E2245" s="53" t="s">
        <v>25</v>
      </c>
      <c r="F2245" s="53" t="s">
        <v>25</v>
      </c>
      <c r="G2245" s="53" t="s">
        <v>25</v>
      </c>
      <c r="H2245" s="53" t="s">
        <v>25</v>
      </c>
      <c r="I2245" s="73">
        <v>43983</v>
      </c>
      <c r="J2245" s="74">
        <f>EFEITO!$J$2245*EFEITO!$Y$2245</f>
        <v>0</v>
      </c>
      <c r="K2245" s="74">
        <f ca="1">EFEITO!$L$2245*EFEITO!$Z$2245</f>
        <v>19038.037612998272</v>
      </c>
      <c r="L2245" s="74">
        <f>EFEITO!$N$2245*EFEITO!$AA$2245</f>
        <v>17009.469927994644</v>
      </c>
      <c r="M2245" s="74">
        <f>$J$2245-EFEITO!$K$2245*EFEITO!$Y$2245</f>
        <v>0</v>
      </c>
      <c r="N2245" s="74">
        <f ca="1">$K$2245-EFEITO!$M$2245*EFEITO!$Z$2245</f>
        <v>0</v>
      </c>
      <c r="O2245" s="74">
        <f>$L$2245-EFEITO!$O$2245*EFEITO!$AA$2245</f>
        <v>0</v>
      </c>
      <c r="P2245" s="57"/>
      <c r="Q2245" s="57"/>
      <c r="R2245" s="57"/>
      <c r="S2245" s="57"/>
      <c r="T2245" s="57"/>
      <c r="U2245" s="57"/>
      <c r="V2245" s="57"/>
      <c r="W2245" s="57"/>
      <c r="X2245" s="6"/>
      <c r="Y2245" s="6"/>
      <c r="Z2245" s="6"/>
      <c r="AA2245" s="6"/>
      <c r="AB2245" s="6"/>
      <c r="AC2245" s="6"/>
      <c r="AD2245" s="6"/>
      <c r="AE2245" s="6"/>
      <c r="AF2245" s="6"/>
      <c r="AG2245" s="6"/>
      <c r="AH2245" s="6"/>
      <c r="AI2245" s="6"/>
      <c r="AJ2245" s="6"/>
    </row>
    <row r="2246" spans="1:36" ht="11.25" customHeight="1" x14ac:dyDescent="0.2">
      <c r="A2246" s="53" t="s">
        <v>21</v>
      </c>
      <c r="B2246" s="53" t="s">
        <v>39</v>
      </c>
      <c r="C2246" s="53" t="s">
        <v>23</v>
      </c>
      <c r="D2246" s="53" t="s">
        <v>48</v>
      </c>
      <c r="E2246" s="53" t="s">
        <v>25</v>
      </c>
      <c r="F2246" s="53" t="s">
        <v>25</v>
      </c>
      <c r="G2246" s="53" t="s">
        <v>25</v>
      </c>
      <c r="H2246" s="53" t="s">
        <v>25</v>
      </c>
      <c r="I2246" s="73">
        <v>44013</v>
      </c>
      <c r="J2246" s="74">
        <f>EFEITO!$J$2246*EFEITO!$Y$2246</f>
        <v>0</v>
      </c>
      <c r="K2246" s="74">
        <f ca="1">EFEITO!$L$2246*EFEITO!$Z$2246</f>
        <v>1555178.8902807615</v>
      </c>
      <c r="L2246" s="74">
        <f>EFEITO!$N$2246*EFEITO!$AA$2246</f>
        <v>1389469.2879912157</v>
      </c>
      <c r="M2246" s="74">
        <f>$J$2246-EFEITO!$K$2246*EFEITO!$Y$2246</f>
        <v>0</v>
      </c>
      <c r="N2246" s="74">
        <f ca="1">$K$2246-EFEITO!$M$2246*EFEITO!$Z$2246</f>
        <v>0</v>
      </c>
      <c r="O2246" s="74">
        <f>$L$2246-EFEITO!$O$2246*EFEITO!$AA$2246</f>
        <v>0</v>
      </c>
      <c r="P2246" s="57"/>
      <c r="Q2246" s="57"/>
      <c r="R2246" s="57"/>
      <c r="S2246" s="57"/>
      <c r="T2246" s="57"/>
      <c r="U2246" s="57"/>
      <c r="V2246" s="57"/>
      <c r="W2246" s="57"/>
      <c r="X2246" s="6"/>
      <c r="Y2246" s="6"/>
      <c r="Z2246" s="6"/>
      <c r="AA2246" s="6"/>
      <c r="AB2246" s="6"/>
      <c r="AC2246" s="6"/>
      <c r="AD2246" s="6"/>
      <c r="AE2246" s="6"/>
      <c r="AF2246" s="6"/>
      <c r="AG2246" s="6"/>
      <c r="AH2246" s="6"/>
      <c r="AI2246" s="6"/>
      <c r="AJ2246" s="6"/>
    </row>
    <row r="2247" spans="1:36" ht="11.25" customHeight="1" x14ac:dyDescent="0.2">
      <c r="A2247" s="53" t="s">
        <v>27</v>
      </c>
      <c r="B2247" s="53" t="s">
        <v>39</v>
      </c>
      <c r="C2247" s="53" t="s">
        <v>23</v>
      </c>
      <c r="D2247" s="53" t="s">
        <v>48</v>
      </c>
      <c r="E2247" s="53" t="s">
        <v>25</v>
      </c>
      <c r="F2247" s="53" t="s">
        <v>25</v>
      </c>
      <c r="G2247" s="53" t="s">
        <v>25</v>
      </c>
      <c r="H2247" s="53" t="s">
        <v>25</v>
      </c>
      <c r="I2247" s="73">
        <v>44013</v>
      </c>
      <c r="J2247" s="74">
        <f>EFEITO!$J$2247*EFEITO!$Y$2247</f>
        <v>0</v>
      </c>
      <c r="K2247" s="74">
        <f ca="1">EFEITO!$L$2247*EFEITO!$Z$2247</f>
        <v>516.56224869256289</v>
      </c>
      <c r="L2247" s="74">
        <f>EFEITO!$N$2247*EFEITO!$AA$2247</f>
        <v>461.52078348004022</v>
      </c>
      <c r="M2247" s="74">
        <f>$J$2247-EFEITO!$K$2247*EFEITO!$Y$2247</f>
        <v>0</v>
      </c>
      <c r="N2247" s="74">
        <f ca="1">$K$2247-EFEITO!$M$2247*EFEITO!$Z$2247</f>
        <v>0</v>
      </c>
      <c r="O2247" s="74">
        <f>$L$2247-EFEITO!$O$2247*EFEITO!$AA$2247</f>
        <v>0</v>
      </c>
      <c r="P2247" s="57"/>
      <c r="Q2247" s="57"/>
      <c r="R2247" s="57"/>
      <c r="S2247" s="57"/>
      <c r="T2247" s="57"/>
      <c r="U2247" s="57"/>
      <c r="V2247" s="57"/>
      <c r="W2247" s="57"/>
      <c r="X2247" s="6"/>
      <c r="Y2247" s="6"/>
      <c r="Z2247" s="6"/>
      <c r="AA2247" s="6"/>
      <c r="AB2247" s="6"/>
      <c r="AC2247" s="6"/>
      <c r="AD2247" s="6"/>
      <c r="AE2247" s="6"/>
      <c r="AF2247" s="6"/>
      <c r="AG2247" s="6"/>
      <c r="AH2247" s="6"/>
      <c r="AI2247" s="6"/>
      <c r="AJ2247" s="6"/>
    </row>
    <row r="2248" spans="1:36" ht="11.25" customHeight="1" x14ac:dyDescent="0.2">
      <c r="A2248" s="53" t="s">
        <v>28</v>
      </c>
      <c r="B2248" s="53" t="s">
        <v>39</v>
      </c>
      <c r="C2248" s="53" t="s">
        <v>23</v>
      </c>
      <c r="D2248" s="53" t="s">
        <v>48</v>
      </c>
      <c r="E2248" s="53" t="s">
        <v>25</v>
      </c>
      <c r="F2248" s="53" t="s">
        <v>25</v>
      </c>
      <c r="G2248" s="53" t="s">
        <v>25</v>
      </c>
      <c r="H2248" s="53" t="s">
        <v>25</v>
      </c>
      <c r="I2248" s="73">
        <v>44013</v>
      </c>
      <c r="J2248" s="74">
        <f>EFEITO!$J$2248*EFEITO!$Y$2248</f>
        <v>0</v>
      </c>
      <c r="K2248" s="74">
        <f ca="1">EFEITO!$L$2248*EFEITO!$Z$2248</f>
        <v>16818.451192826647</v>
      </c>
      <c r="L2248" s="74">
        <f>EFEITO!$N$2248*EFEITO!$AA$2248</f>
        <v>15026.387993083563</v>
      </c>
      <c r="M2248" s="74">
        <f>$J$2248-EFEITO!$K$2248*EFEITO!$Y$2248</f>
        <v>0</v>
      </c>
      <c r="N2248" s="74">
        <f ca="1">$K$2248-EFEITO!$M$2248*EFEITO!$Z$2248</f>
        <v>0</v>
      </c>
      <c r="O2248" s="74">
        <f>$L$2248-EFEITO!$O$2248*EFEITO!$AA$2248</f>
        <v>0</v>
      </c>
      <c r="P2248" s="57"/>
      <c r="Q2248" s="57"/>
      <c r="R2248" s="57"/>
      <c r="S2248" s="57"/>
      <c r="T2248" s="57"/>
      <c r="U2248" s="57"/>
      <c r="V2248" s="57"/>
      <c r="W2248" s="57"/>
      <c r="X2248" s="6"/>
      <c r="Y2248" s="6"/>
      <c r="Z2248" s="6"/>
      <c r="AA2248" s="6"/>
      <c r="AB2248" s="6"/>
      <c r="AC2248" s="6"/>
      <c r="AD2248" s="6"/>
      <c r="AE2248" s="6"/>
      <c r="AF2248" s="6"/>
      <c r="AG2248" s="6"/>
      <c r="AH2248" s="6"/>
      <c r="AI2248" s="6"/>
      <c r="AJ2248" s="6"/>
    </row>
    <row r="2249" spans="1:36" ht="11.25" customHeight="1" x14ac:dyDescent="0.2">
      <c r="A2249" s="53" t="s">
        <v>21</v>
      </c>
      <c r="B2249" s="53" t="s">
        <v>39</v>
      </c>
      <c r="C2249" s="53" t="s">
        <v>23</v>
      </c>
      <c r="D2249" s="53" t="s">
        <v>48</v>
      </c>
      <c r="E2249" s="53" t="s">
        <v>25</v>
      </c>
      <c r="F2249" s="53" t="s">
        <v>25</v>
      </c>
      <c r="G2249" s="53" t="s">
        <v>25</v>
      </c>
      <c r="H2249" s="53" t="s">
        <v>25</v>
      </c>
      <c r="I2249" s="73">
        <v>44044</v>
      </c>
      <c r="J2249" s="74">
        <f>EFEITO!$J$2249*EFEITO!$Y$2249</f>
        <v>0</v>
      </c>
      <c r="K2249" s="74">
        <f ca="1">EFEITO!$L$2249*EFEITO!$Z$2249</f>
        <v>1594696.1741806103</v>
      </c>
      <c r="L2249" s="74">
        <f>EFEITO!$N$2249*EFEITO!$AA$2249</f>
        <v>1424775.8708331143</v>
      </c>
      <c r="M2249" s="74">
        <f>$J$2249-EFEITO!$K$2249*EFEITO!$Y$2249</f>
        <v>0</v>
      </c>
      <c r="N2249" s="74">
        <f ca="1">$K$2249-EFEITO!$M$2249*EFEITO!$Z$2249</f>
        <v>0</v>
      </c>
      <c r="O2249" s="74">
        <f>$L$2249-EFEITO!$O$2249*EFEITO!$AA$2249</f>
        <v>0</v>
      </c>
      <c r="P2249" s="57"/>
      <c r="Q2249" s="57"/>
      <c r="R2249" s="57"/>
      <c r="S2249" s="57"/>
      <c r="T2249" s="57"/>
      <c r="U2249" s="57"/>
      <c r="V2249" s="57"/>
      <c r="W2249" s="57"/>
      <c r="X2249" s="6"/>
      <c r="Y2249" s="6"/>
      <c r="Z2249" s="6"/>
      <c r="AA2249" s="6"/>
      <c r="AB2249" s="6"/>
      <c r="AC2249" s="6"/>
      <c r="AD2249" s="6"/>
      <c r="AE2249" s="6"/>
      <c r="AF2249" s="6"/>
      <c r="AG2249" s="6"/>
      <c r="AH2249" s="6"/>
      <c r="AI2249" s="6"/>
      <c r="AJ2249" s="6"/>
    </row>
    <row r="2250" spans="1:36" ht="11.25" customHeight="1" x14ac:dyDescent="0.2">
      <c r="A2250" s="53" t="s">
        <v>27</v>
      </c>
      <c r="B2250" s="53" t="s">
        <v>39</v>
      </c>
      <c r="C2250" s="53" t="s">
        <v>23</v>
      </c>
      <c r="D2250" s="53" t="s">
        <v>48</v>
      </c>
      <c r="E2250" s="53" t="s">
        <v>25</v>
      </c>
      <c r="F2250" s="53" t="s">
        <v>25</v>
      </c>
      <c r="G2250" s="53" t="s">
        <v>25</v>
      </c>
      <c r="H2250" s="53" t="s">
        <v>25</v>
      </c>
      <c r="I2250" s="73">
        <v>44044</v>
      </c>
      <c r="J2250" s="74">
        <f>EFEITO!$J$2250*EFEITO!$Y$2250</f>
        <v>0</v>
      </c>
      <c r="K2250" s="74">
        <f ca="1">EFEITO!$L$2250*EFEITO!$Z$2250</f>
        <v>4268.979173142433</v>
      </c>
      <c r="L2250" s="74">
        <f>EFEITO!$N$2250*EFEITO!$AA$2250</f>
        <v>3814.1049169492589</v>
      </c>
      <c r="M2250" s="74">
        <f>$J$2250-EFEITO!$K$2250*EFEITO!$Y$2250</f>
        <v>0</v>
      </c>
      <c r="N2250" s="74">
        <f ca="1">$K$2250-EFEITO!$M$2250*EFEITO!$Z$2250</f>
        <v>0</v>
      </c>
      <c r="O2250" s="74">
        <f>$L$2250-EFEITO!$O$2250*EFEITO!$AA$2250</f>
        <v>0</v>
      </c>
      <c r="P2250" s="57"/>
      <c r="Q2250" s="57"/>
      <c r="R2250" s="57"/>
      <c r="S2250" s="57"/>
      <c r="T2250" s="57"/>
      <c r="U2250" s="57"/>
      <c r="V2250" s="57"/>
      <c r="W2250" s="57"/>
      <c r="X2250" s="6"/>
      <c r="Y2250" s="6"/>
      <c r="Z2250" s="6"/>
      <c r="AA2250" s="6"/>
      <c r="AB2250" s="6"/>
      <c r="AC2250" s="6"/>
      <c r="AD2250" s="6"/>
      <c r="AE2250" s="6"/>
      <c r="AF2250" s="6"/>
      <c r="AG2250" s="6"/>
      <c r="AH2250" s="6"/>
      <c r="AI2250" s="6"/>
      <c r="AJ2250" s="6"/>
    </row>
    <row r="2251" spans="1:36" ht="11.25" customHeight="1" x14ac:dyDescent="0.2">
      <c r="A2251" s="53" t="s">
        <v>28</v>
      </c>
      <c r="B2251" s="53" t="s">
        <v>39</v>
      </c>
      <c r="C2251" s="53" t="s">
        <v>23</v>
      </c>
      <c r="D2251" s="53" t="s">
        <v>48</v>
      </c>
      <c r="E2251" s="53" t="s">
        <v>25</v>
      </c>
      <c r="F2251" s="53" t="s">
        <v>25</v>
      </c>
      <c r="G2251" s="53" t="s">
        <v>25</v>
      </c>
      <c r="H2251" s="53" t="s">
        <v>25</v>
      </c>
      <c r="I2251" s="73">
        <v>44044</v>
      </c>
      <c r="J2251" s="74">
        <f>EFEITO!$J$2251*EFEITO!$Y$2251</f>
        <v>0</v>
      </c>
      <c r="K2251" s="74">
        <f ca="1">EFEITO!$L$2251*EFEITO!$Z$2251</f>
        <v>18970.884520668242</v>
      </c>
      <c r="L2251" s="74">
        <f>EFEITO!$N$2251*EFEITO!$AA$2251</f>
        <v>16949.472226142236</v>
      </c>
      <c r="M2251" s="74">
        <f>$J$2251-EFEITO!$K$2251*EFEITO!$Y$2251</f>
        <v>0</v>
      </c>
      <c r="N2251" s="74">
        <f ca="1">$K$2251-EFEITO!$M$2251*EFEITO!$Z$2251</f>
        <v>0</v>
      </c>
      <c r="O2251" s="74">
        <f>$L$2251-EFEITO!$O$2251*EFEITO!$AA$2251</f>
        <v>0</v>
      </c>
      <c r="P2251" s="57"/>
      <c r="Q2251" s="57"/>
      <c r="R2251" s="57"/>
      <c r="S2251" s="57"/>
      <c r="T2251" s="57"/>
      <c r="U2251" s="57"/>
      <c r="V2251" s="57"/>
      <c r="W2251" s="57"/>
      <c r="X2251" s="6"/>
      <c r="Y2251" s="6"/>
      <c r="Z2251" s="6"/>
      <c r="AA2251" s="6"/>
      <c r="AB2251" s="6"/>
      <c r="AC2251" s="6"/>
      <c r="AD2251" s="6"/>
      <c r="AE2251" s="6"/>
      <c r="AF2251" s="6"/>
      <c r="AG2251" s="6"/>
      <c r="AH2251" s="6"/>
      <c r="AI2251" s="6"/>
      <c r="AJ2251" s="6"/>
    </row>
    <row r="2252" spans="1:36" ht="11.25" customHeight="1" x14ac:dyDescent="0.2">
      <c r="A2252" s="53" t="s">
        <v>59</v>
      </c>
      <c r="B2252" s="53" t="s">
        <v>39</v>
      </c>
      <c r="C2252" s="53" t="s">
        <v>23</v>
      </c>
      <c r="D2252" s="53" t="s">
        <v>48</v>
      </c>
      <c r="E2252" s="53" t="s">
        <v>25</v>
      </c>
      <c r="F2252" s="53" t="s">
        <v>25</v>
      </c>
      <c r="G2252" s="53" t="s">
        <v>25</v>
      </c>
      <c r="H2252" s="53" t="s">
        <v>25</v>
      </c>
      <c r="I2252" s="73">
        <v>44075</v>
      </c>
      <c r="J2252" s="74">
        <f>EFEITO!$J$2252*EFEITO!$Y$2252</f>
        <v>0</v>
      </c>
      <c r="K2252" s="74">
        <f ca="1">EFEITO!$L$2252*EFEITO!$Z$2252</f>
        <v>1594696.1741806103</v>
      </c>
      <c r="L2252" s="74">
        <f>EFEITO!$N$2252*EFEITO!$AA$2252</f>
        <v>1424775.8708331143</v>
      </c>
      <c r="M2252" s="74">
        <f>$J$2252-EFEITO!$K$2252*EFEITO!$Y$2252</f>
        <v>0</v>
      </c>
      <c r="N2252" s="74">
        <f ca="1">$K$2252-EFEITO!$M$2252*EFEITO!$Z$2252</f>
        <v>0</v>
      </c>
      <c r="O2252" s="74">
        <f>$L$2252-EFEITO!$O$2252*EFEITO!$AA$2252</f>
        <v>0</v>
      </c>
      <c r="P2252" s="57"/>
      <c r="Q2252" s="57"/>
      <c r="R2252" s="57"/>
      <c r="S2252" s="57"/>
      <c r="T2252" s="57"/>
      <c r="U2252" s="57"/>
      <c r="V2252" s="57"/>
      <c r="W2252" s="57"/>
      <c r="X2252" s="6"/>
      <c r="Y2252" s="6"/>
      <c r="Z2252" s="6"/>
      <c r="AA2252" s="6"/>
      <c r="AB2252" s="6"/>
      <c r="AC2252" s="6"/>
      <c r="AD2252" s="6"/>
      <c r="AE2252" s="6"/>
      <c r="AF2252" s="6"/>
      <c r="AG2252" s="6"/>
      <c r="AH2252" s="6"/>
      <c r="AI2252" s="6"/>
      <c r="AJ2252" s="6"/>
    </row>
    <row r="2253" spans="1:36" ht="11.25" customHeight="1" x14ac:dyDescent="0.2">
      <c r="A2253" s="53" t="s">
        <v>59</v>
      </c>
      <c r="B2253" s="53" t="s">
        <v>39</v>
      </c>
      <c r="C2253" s="53" t="s">
        <v>23</v>
      </c>
      <c r="D2253" s="53" t="s">
        <v>48</v>
      </c>
      <c r="E2253" s="53" t="s">
        <v>25</v>
      </c>
      <c r="F2253" s="53" t="s">
        <v>25</v>
      </c>
      <c r="G2253" s="53" t="s">
        <v>25</v>
      </c>
      <c r="H2253" s="53" t="s">
        <v>25</v>
      </c>
      <c r="I2253" s="73">
        <v>44075</v>
      </c>
      <c r="J2253" s="74">
        <f>EFEITO!$J$2253*EFEITO!$Y$2253</f>
        <v>0</v>
      </c>
      <c r="K2253" s="74">
        <f ca="1">EFEITO!$L$2253*EFEITO!$Z$2253</f>
        <v>4268.979173142433</v>
      </c>
      <c r="L2253" s="74">
        <f>EFEITO!$N$2253*EFEITO!$AA$2253</f>
        <v>3814.1049169492589</v>
      </c>
      <c r="M2253" s="74">
        <f>$J$2253-EFEITO!$K$2253*EFEITO!$Y$2253</f>
        <v>0</v>
      </c>
      <c r="N2253" s="74">
        <f ca="1">$K$2253-EFEITO!$M$2253*EFEITO!$Z$2253</f>
        <v>0</v>
      </c>
      <c r="O2253" s="74">
        <f>$L$2253-EFEITO!$O$2253*EFEITO!$AA$2253</f>
        <v>0</v>
      </c>
      <c r="P2253" s="57"/>
      <c r="Q2253" s="57"/>
      <c r="R2253" s="57"/>
      <c r="S2253" s="57"/>
      <c r="T2253" s="57"/>
      <c r="U2253" s="57"/>
      <c r="V2253" s="57"/>
      <c r="W2253" s="57"/>
      <c r="X2253" s="6"/>
      <c r="Y2253" s="6"/>
      <c r="Z2253" s="6"/>
      <c r="AA2253" s="6"/>
      <c r="AB2253" s="6"/>
      <c r="AC2253" s="6"/>
      <c r="AD2253" s="6"/>
      <c r="AE2253" s="6"/>
      <c r="AF2253" s="6"/>
      <c r="AG2253" s="6"/>
      <c r="AH2253" s="6"/>
      <c r="AI2253" s="6"/>
      <c r="AJ2253" s="6"/>
    </row>
    <row r="2254" spans="1:36" ht="11.25" customHeight="1" x14ac:dyDescent="0.2">
      <c r="A2254" s="53" t="s">
        <v>59</v>
      </c>
      <c r="B2254" s="53" t="s">
        <v>39</v>
      </c>
      <c r="C2254" s="53" t="s">
        <v>23</v>
      </c>
      <c r="D2254" s="53" t="s">
        <v>48</v>
      </c>
      <c r="E2254" s="53" t="s">
        <v>25</v>
      </c>
      <c r="F2254" s="53" t="s">
        <v>25</v>
      </c>
      <c r="G2254" s="53" t="s">
        <v>25</v>
      </c>
      <c r="H2254" s="53" t="s">
        <v>25</v>
      </c>
      <c r="I2254" s="73">
        <v>44075</v>
      </c>
      <c r="J2254" s="74">
        <f>EFEITO!$J$2254*EFEITO!$Y$2254</f>
        <v>0</v>
      </c>
      <c r="K2254" s="74">
        <f ca="1">EFEITO!$L$2254*EFEITO!$Z$2254</f>
        <v>18970.884520668242</v>
      </c>
      <c r="L2254" s="74">
        <f>EFEITO!$N$2254*EFEITO!$AA$2254</f>
        <v>16949.472226142236</v>
      </c>
      <c r="M2254" s="74">
        <f>$J$2254-EFEITO!$K$2254*EFEITO!$Y$2254</f>
        <v>0</v>
      </c>
      <c r="N2254" s="74">
        <f ca="1">$K$2254-EFEITO!$M$2254*EFEITO!$Z$2254</f>
        <v>0</v>
      </c>
      <c r="O2254" s="74">
        <f>$L$2254-EFEITO!$O$2254*EFEITO!$AA$2254</f>
        <v>0</v>
      </c>
      <c r="P2254" s="57"/>
      <c r="Q2254" s="57"/>
      <c r="R2254" s="57"/>
      <c r="S2254" s="57"/>
      <c r="T2254" s="57"/>
      <c r="U2254" s="57"/>
      <c r="V2254" s="57"/>
      <c r="W2254" s="57"/>
      <c r="X2254" s="6"/>
      <c r="Y2254" s="6"/>
      <c r="Z2254" s="6"/>
      <c r="AA2254" s="6"/>
      <c r="AB2254" s="6"/>
      <c r="AC2254" s="6"/>
      <c r="AD2254" s="6"/>
      <c r="AE2254" s="6"/>
      <c r="AF2254" s="6"/>
      <c r="AG2254" s="6"/>
      <c r="AH2254" s="6"/>
      <c r="AI2254" s="6"/>
      <c r="AJ2254" s="6"/>
    </row>
    <row r="2255" spans="1:36" ht="11.25" customHeight="1" x14ac:dyDescent="0.2">
      <c r="A2255" s="53" t="s">
        <v>21</v>
      </c>
      <c r="B2255" s="53" t="s">
        <v>39</v>
      </c>
      <c r="C2255" s="53" t="s">
        <v>23</v>
      </c>
      <c r="D2255" s="53" t="s">
        <v>52</v>
      </c>
      <c r="E2255" s="53" t="s">
        <v>53</v>
      </c>
      <c r="F2255" s="53" t="s">
        <v>25</v>
      </c>
      <c r="G2255" s="53" t="s">
        <v>25</v>
      </c>
      <c r="H2255" s="53" t="s">
        <v>25</v>
      </c>
      <c r="I2255" s="73">
        <v>43739</v>
      </c>
      <c r="J2255" s="74">
        <f>EFEITO!$J$2255*EFEITO!$Y$2254</f>
        <v>0</v>
      </c>
      <c r="K2255" s="74">
        <f ca="1">EFEITO!$L$2255*EFEITO!$Z$2254</f>
        <v>248136.11365682722</v>
      </c>
      <c r="L2255" s="74">
        <f>EFEITO!$N$2255*EFEITO!$AA$2254</f>
        <v>221696.36645814765</v>
      </c>
      <c r="M2255" s="74">
        <f>$J$2255-EFEITO!$K$2255*EFEITO!$Y$2255</f>
        <v>0</v>
      </c>
      <c r="N2255" s="74">
        <f ca="1">$K$2255-EFEITO!$M$2255*EFEITO!$Z$2255</f>
        <v>22332.250229114434</v>
      </c>
      <c r="O2255" s="74">
        <f>$L$2255-EFEITO!$O$2255*EFEITO!$AA$2255</f>
        <v>19952.672981233278</v>
      </c>
      <c r="P2255" s="57"/>
      <c r="Q2255" s="57"/>
      <c r="R2255" s="57"/>
      <c r="S2255" s="57"/>
      <c r="T2255" s="57"/>
      <c r="U2255" s="57"/>
      <c r="V2255" s="57"/>
      <c r="W2255" s="57"/>
      <c r="X2255" s="6"/>
      <c r="Y2255" s="6"/>
      <c r="Z2255" s="6"/>
      <c r="AA2255" s="6"/>
      <c r="AB2255" s="6"/>
      <c r="AC2255" s="6"/>
      <c r="AD2255" s="6"/>
      <c r="AE2255" s="6"/>
      <c r="AF2255" s="6"/>
      <c r="AG2255" s="6"/>
      <c r="AH2255" s="6"/>
      <c r="AI2255" s="6"/>
      <c r="AJ2255" s="6"/>
    </row>
    <row r="2256" spans="1:36" ht="11.25" customHeight="1" x14ac:dyDescent="0.2">
      <c r="A2256" s="53" t="s">
        <v>27</v>
      </c>
      <c r="B2256" s="53" t="s">
        <v>39</v>
      </c>
      <c r="C2256" s="53" t="s">
        <v>23</v>
      </c>
      <c r="D2256" s="53" t="s">
        <v>52</v>
      </c>
      <c r="E2256" s="53" t="s">
        <v>53</v>
      </c>
      <c r="F2256" s="53" t="s">
        <v>25</v>
      </c>
      <c r="G2256" s="53" t="s">
        <v>25</v>
      </c>
      <c r="H2256" s="53" t="s">
        <v>25</v>
      </c>
      <c r="I2256" s="73">
        <v>43739</v>
      </c>
      <c r="J2256" s="74">
        <f>EFEITO!$J$2256*EFEITO!$Y$2254</f>
        <v>0</v>
      </c>
      <c r="K2256" s="74">
        <f ca="1">EFEITO!$L$2256*EFEITO!$Z$2254</f>
        <v>1789.480379418131</v>
      </c>
      <c r="L2256" s="74">
        <f>EFEITO!$N$2256*EFEITO!$AA$2254</f>
        <v>1598.8051562450657</v>
      </c>
      <c r="M2256" s="74">
        <f>$J$2256-EFEITO!$K$2256*EFEITO!$Y$2256</f>
        <v>0</v>
      </c>
      <c r="N2256" s="74">
        <f ca="1">$K$2256-EFEITO!$M$2256*EFEITO!$Z$2256</f>
        <v>161.05323414763166</v>
      </c>
      <c r="O2256" s="74">
        <f>$L$2256-EFEITO!$O$2256*EFEITO!$AA$2256</f>
        <v>143.89246406205598</v>
      </c>
      <c r="P2256" s="57"/>
      <c r="Q2256" s="57"/>
      <c r="R2256" s="57"/>
      <c r="S2256" s="57"/>
      <c r="T2256" s="57"/>
      <c r="U2256" s="57"/>
      <c r="V2256" s="57"/>
      <c r="W2256" s="57"/>
      <c r="X2256" s="6"/>
      <c r="Y2256" s="6"/>
      <c r="Z2256" s="6"/>
      <c r="AA2256" s="6"/>
      <c r="AB2256" s="6"/>
      <c r="AC2256" s="6"/>
      <c r="AD2256" s="6"/>
      <c r="AE2256" s="6"/>
      <c r="AF2256" s="6"/>
      <c r="AG2256" s="6"/>
      <c r="AH2256" s="6"/>
      <c r="AI2256" s="6"/>
      <c r="AJ2256" s="6"/>
    </row>
    <row r="2257" spans="1:36" ht="11.25" customHeight="1" x14ac:dyDescent="0.2">
      <c r="A2257" s="53" t="s">
        <v>21</v>
      </c>
      <c r="B2257" s="53" t="s">
        <v>39</v>
      </c>
      <c r="C2257" s="53" t="s">
        <v>23</v>
      </c>
      <c r="D2257" s="53" t="s">
        <v>52</v>
      </c>
      <c r="E2257" s="53" t="s">
        <v>53</v>
      </c>
      <c r="F2257" s="53" t="s">
        <v>25</v>
      </c>
      <c r="G2257" s="53" t="s">
        <v>25</v>
      </c>
      <c r="H2257" s="53" t="s">
        <v>25</v>
      </c>
      <c r="I2257" s="73">
        <v>43770</v>
      </c>
      <c r="J2257" s="74">
        <f>EFEITO!$J$2257*EFEITO!$Y$2254</f>
        <v>0</v>
      </c>
      <c r="K2257" s="74">
        <f ca="1">EFEITO!$L$2257*EFEITO!$Z$2254</f>
        <v>268845.36608177982</v>
      </c>
      <c r="L2257" s="74">
        <f>EFEITO!$N$2257*EFEITO!$AA$2254</f>
        <v>240198.97757353797</v>
      </c>
      <c r="M2257" s="74">
        <f>$J$2257-EFEITO!$K$2257*EFEITO!$Y$2257</f>
        <v>0</v>
      </c>
      <c r="N2257" s="74">
        <f ca="1">$K$2257-EFEITO!$M$2257*EFEITO!$Z$2257</f>
        <v>24196.082947360177</v>
      </c>
      <c r="O2257" s="74">
        <f>$L$2257-EFEITO!$O$2257*EFEITO!$AA$2257</f>
        <v>21617.907981618395</v>
      </c>
      <c r="P2257" s="57"/>
      <c r="Q2257" s="57"/>
      <c r="R2257" s="57"/>
      <c r="S2257" s="57"/>
      <c r="T2257" s="57"/>
      <c r="U2257" s="57"/>
      <c r="V2257" s="57"/>
      <c r="W2257" s="57"/>
      <c r="X2257" s="6"/>
      <c r="Y2257" s="6"/>
      <c r="Z2257" s="6"/>
      <c r="AA2257" s="6"/>
      <c r="AB2257" s="6"/>
      <c r="AC2257" s="6"/>
      <c r="AD2257" s="6"/>
      <c r="AE2257" s="6"/>
      <c r="AF2257" s="6"/>
      <c r="AG2257" s="6"/>
      <c r="AH2257" s="6"/>
      <c r="AI2257" s="6"/>
      <c r="AJ2257" s="6"/>
    </row>
    <row r="2258" spans="1:36" ht="11.25" customHeight="1" x14ac:dyDescent="0.2">
      <c r="A2258" s="53" t="s">
        <v>21</v>
      </c>
      <c r="B2258" s="53" t="s">
        <v>39</v>
      </c>
      <c r="C2258" s="53" t="s">
        <v>23</v>
      </c>
      <c r="D2258" s="53" t="s">
        <v>52</v>
      </c>
      <c r="E2258" s="53" t="s">
        <v>53</v>
      </c>
      <c r="F2258" s="53" t="s">
        <v>25</v>
      </c>
      <c r="G2258" s="53" t="s">
        <v>25</v>
      </c>
      <c r="H2258" s="53" t="s">
        <v>25</v>
      </c>
      <c r="I2258" s="73">
        <v>43800</v>
      </c>
      <c r="J2258" s="74">
        <f>EFEITO!$J$2258*EFEITO!$Y$2254</f>
        <v>0</v>
      </c>
      <c r="K2258" s="74">
        <f ca="1">EFEITO!$L$2258*EFEITO!$Z$2254</f>
        <v>234551.34214081604</v>
      </c>
      <c r="L2258" s="74">
        <f>EFEITO!$N$2258*EFEITO!$AA$2254</f>
        <v>209559.09856964913</v>
      </c>
      <c r="M2258" s="74">
        <f>$J$2258-EFEITO!$K$2258*EFEITO!$Y$2258</f>
        <v>0</v>
      </c>
      <c r="N2258" s="74">
        <f ca="1">$K$2258-EFEITO!$M$2258*EFEITO!$Z$2258</f>
        <v>21109.620792673435</v>
      </c>
      <c r="O2258" s="74">
        <f>$L$2258-EFEITO!$O$2258*EFEITO!$AA$2258</f>
        <v>18860.31887126842</v>
      </c>
      <c r="P2258" s="57"/>
      <c r="Q2258" s="57"/>
      <c r="R2258" s="57"/>
      <c r="S2258" s="57"/>
      <c r="T2258" s="57"/>
      <c r="U2258" s="57"/>
      <c r="V2258" s="57"/>
      <c r="W2258" s="57"/>
      <c r="X2258" s="6"/>
      <c r="Y2258" s="6"/>
      <c r="Z2258" s="6"/>
      <c r="AA2258" s="6"/>
      <c r="AB2258" s="6"/>
      <c r="AC2258" s="6"/>
      <c r="AD2258" s="6"/>
      <c r="AE2258" s="6"/>
      <c r="AF2258" s="6"/>
      <c r="AG2258" s="6"/>
      <c r="AH2258" s="6"/>
      <c r="AI2258" s="6"/>
      <c r="AJ2258" s="6"/>
    </row>
    <row r="2259" spans="1:36" ht="11.25" customHeight="1" x14ac:dyDescent="0.2">
      <c r="A2259" s="53" t="s">
        <v>21</v>
      </c>
      <c r="B2259" s="53" t="s">
        <v>39</v>
      </c>
      <c r="C2259" s="53" t="s">
        <v>23</v>
      </c>
      <c r="D2259" s="53" t="s">
        <v>52</v>
      </c>
      <c r="E2259" s="53" t="s">
        <v>53</v>
      </c>
      <c r="F2259" s="53" t="s">
        <v>25</v>
      </c>
      <c r="G2259" s="53" t="s">
        <v>25</v>
      </c>
      <c r="H2259" s="53" t="s">
        <v>25</v>
      </c>
      <c r="I2259" s="73">
        <v>43831</v>
      </c>
      <c r="J2259" s="74">
        <f>EFEITO!$J$2259*EFEITO!$Y$2254</f>
        <v>0</v>
      </c>
      <c r="K2259" s="74">
        <f ca="1">EFEITO!$L$2259*EFEITO!$Z$2254</f>
        <v>244614.79036995035</v>
      </c>
      <c r="L2259" s="74">
        <f>EFEITO!$N$2259*EFEITO!$AA$2254</f>
        <v>218550.25214886686</v>
      </c>
      <c r="M2259" s="74">
        <f>$J$2259-EFEITO!$K$2259*EFEITO!$Y$2259</f>
        <v>0</v>
      </c>
      <c r="N2259" s="74">
        <f ca="1">$K$2259-EFEITO!$M$2259*EFEITO!$Z$2259</f>
        <v>22015.33113329552</v>
      </c>
      <c r="O2259" s="74">
        <f>$L$2259-EFEITO!$O$2259*EFEITO!$AA$2259</f>
        <v>19669.522693398001</v>
      </c>
      <c r="P2259" s="57"/>
      <c r="Q2259" s="57"/>
      <c r="R2259" s="57"/>
      <c r="S2259" s="57"/>
      <c r="T2259" s="57"/>
      <c r="U2259" s="57"/>
      <c r="V2259" s="57"/>
      <c r="W2259" s="57"/>
      <c r="X2259" s="6"/>
      <c r="Y2259" s="6"/>
      <c r="Z2259" s="6"/>
      <c r="AA2259" s="6"/>
      <c r="AB2259" s="6"/>
      <c r="AC2259" s="6"/>
      <c r="AD2259" s="6"/>
      <c r="AE2259" s="6"/>
      <c r="AF2259" s="6"/>
      <c r="AG2259" s="6"/>
      <c r="AH2259" s="6"/>
      <c r="AI2259" s="6"/>
      <c r="AJ2259" s="6"/>
    </row>
    <row r="2260" spans="1:36" ht="11.25" customHeight="1" x14ac:dyDescent="0.2">
      <c r="A2260" s="53" t="s">
        <v>21</v>
      </c>
      <c r="B2260" s="53" t="s">
        <v>39</v>
      </c>
      <c r="C2260" s="53" t="s">
        <v>23</v>
      </c>
      <c r="D2260" s="53" t="s">
        <v>52</v>
      </c>
      <c r="E2260" s="53" t="s">
        <v>53</v>
      </c>
      <c r="F2260" s="53" t="s">
        <v>25</v>
      </c>
      <c r="G2260" s="53" t="s">
        <v>25</v>
      </c>
      <c r="H2260" s="53" t="s">
        <v>25</v>
      </c>
      <c r="I2260" s="73">
        <v>43862</v>
      </c>
      <c r="J2260" s="74">
        <f>EFEITO!$J$2260*EFEITO!$Y$2254</f>
        <v>0</v>
      </c>
      <c r="K2260" s="74">
        <f ca="1">EFEITO!$L$2260*EFEITO!$Z$2254</f>
        <v>227704.44547183</v>
      </c>
      <c r="L2260" s="74">
        <f>EFEITO!$N$2260*EFEITO!$AA$2254</f>
        <v>203441.76203745898</v>
      </c>
      <c r="M2260" s="74">
        <f>$J$2260-EFEITO!$K$2260*EFEITO!$Y$2260</f>
        <v>0</v>
      </c>
      <c r="N2260" s="74">
        <f ca="1">$K$2260-EFEITO!$M$2260*EFEITO!$Z$2260</f>
        <v>20493.400092464697</v>
      </c>
      <c r="O2260" s="74">
        <f>$L$2260-EFEITO!$O$2260*EFEITO!$AA$2260</f>
        <v>18309.758583371324</v>
      </c>
      <c r="P2260" s="57"/>
      <c r="Q2260" s="57"/>
      <c r="R2260" s="57"/>
      <c r="S2260" s="57"/>
      <c r="T2260" s="57"/>
      <c r="U2260" s="57"/>
      <c r="V2260" s="57"/>
      <c r="W2260" s="57"/>
      <c r="X2260" s="6"/>
      <c r="Y2260" s="6"/>
      <c r="Z2260" s="6"/>
      <c r="AA2260" s="6"/>
      <c r="AB2260" s="6"/>
      <c r="AC2260" s="6"/>
      <c r="AD2260" s="6"/>
      <c r="AE2260" s="6"/>
      <c r="AF2260" s="6"/>
      <c r="AG2260" s="6"/>
      <c r="AH2260" s="6"/>
      <c r="AI2260" s="6"/>
      <c r="AJ2260" s="6"/>
    </row>
    <row r="2261" spans="1:36" ht="11.25" customHeight="1" x14ac:dyDescent="0.2">
      <c r="A2261" s="53" t="s">
        <v>27</v>
      </c>
      <c r="B2261" s="53" t="s">
        <v>39</v>
      </c>
      <c r="C2261" s="53" t="s">
        <v>23</v>
      </c>
      <c r="D2261" s="53" t="s">
        <v>52</v>
      </c>
      <c r="E2261" s="53" t="s">
        <v>53</v>
      </c>
      <c r="F2261" s="53" t="s">
        <v>25</v>
      </c>
      <c r="G2261" s="53" t="s">
        <v>25</v>
      </c>
      <c r="H2261" s="53" t="s">
        <v>25</v>
      </c>
      <c r="I2261" s="73">
        <v>43862</v>
      </c>
      <c r="J2261" s="74">
        <f>EFEITO!$J$2261*EFEITO!$Y$2254</f>
        <v>0</v>
      </c>
      <c r="K2261" s="74">
        <f ca="1">EFEITO!$L$2261*EFEITO!$Z$2254</f>
        <v>27.187486773292786</v>
      </c>
      <c r="L2261" s="74">
        <f>EFEITO!$N$2261*EFEITO!$AA$2254</f>
        <v>24.290567551581066</v>
      </c>
      <c r="M2261" s="74">
        <f>$J$2261-EFEITO!$K$2261*EFEITO!$Y$2261</f>
        <v>0</v>
      </c>
      <c r="N2261" s="74">
        <f ca="1">$K$2261-EFEITO!$M$2261*EFEITO!$Z$2261</f>
        <v>2.4468738095963509</v>
      </c>
      <c r="O2261" s="74">
        <f>$L$2261-EFEITO!$O$2261*EFEITO!$AA$2261</f>
        <v>2.1861510796422934</v>
      </c>
      <c r="P2261" s="57"/>
      <c r="Q2261" s="57"/>
      <c r="R2261" s="57"/>
      <c r="S2261" s="57"/>
      <c r="T2261" s="57"/>
      <c r="U2261" s="57"/>
      <c r="V2261" s="57"/>
      <c r="W2261" s="57"/>
      <c r="X2261" s="6"/>
      <c r="Y2261" s="6"/>
      <c r="Z2261" s="6"/>
      <c r="AA2261" s="6"/>
      <c r="AB2261" s="6"/>
      <c r="AC2261" s="6"/>
      <c r="AD2261" s="6"/>
      <c r="AE2261" s="6"/>
      <c r="AF2261" s="6"/>
      <c r="AG2261" s="6"/>
      <c r="AH2261" s="6"/>
      <c r="AI2261" s="6"/>
      <c r="AJ2261" s="6"/>
    </row>
    <row r="2262" spans="1:36" ht="11.25" customHeight="1" x14ac:dyDescent="0.2">
      <c r="A2262" s="53" t="s">
        <v>21</v>
      </c>
      <c r="B2262" s="53" t="s">
        <v>39</v>
      </c>
      <c r="C2262" s="53" t="s">
        <v>23</v>
      </c>
      <c r="D2262" s="53" t="s">
        <v>52</v>
      </c>
      <c r="E2262" s="53" t="s">
        <v>53</v>
      </c>
      <c r="F2262" s="53" t="s">
        <v>25</v>
      </c>
      <c r="G2262" s="53" t="s">
        <v>25</v>
      </c>
      <c r="H2262" s="53" t="s">
        <v>25</v>
      </c>
      <c r="I2262" s="73">
        <v>43891</v>
      </c>
      <c r="J2262" s="74">
        <f>EFEITO!$J$2262*EFEITO!$Y$2254</f>
        <v>0</v>
      </c>
      <c r="K2262" s="74">
        <f ca="1">EFEITO!$L$2262*EFEITO!$Z$2254</f>
        <v>257936.93076373157</v>
      </c>
      <c r="L2262" s="74">
        <f>EFEITO!$N$2262*EFEITO!$AA$2254</f>
        <v>230452.87315481712</v>
      </c>
      <c r="M2262" s="74">
        <f>$J$2262-EFEITO!$K$2262*EFEITO!$Y$2262</f>
        <v>0</v>
      </c>
      <c r="N2262" s="74">
        <f ca="1">$K$2262-EFEITO!$M$2262*EFEITO!$Z$2262</f>
        <v>23214.323768735805</v>
      </c>
      <c r="O2262" s="74">
        <f>$L$2262-EFEITO!$O$2262*EFEITO!$AA$2262</f>
        <v>20740.758583933522</v>
      </c>
      <c r="P2262" s="57"/>
      <c r="Q2262" s="57"/>
      <c r="R2262" s="57"/>
      <c r="S2262" s="57"/>
      <c r="T2262" s="57"/>
      <c r="U2262" s="57"/>
      <c r="V2262" s="57"/>
      <c r="W2262" s="57"/>
      <c r="X2262" s="6"/>
      <c r="Y2262" s="6"/>
      <c r="Z2262" s="6"/>
      <c r="AA2262" s="6"/>
      <c r="AB2262" s="6"/>
      <c r="AC2262" s="6"/>
      <c r="AD2262" s="6"/>
      <c r="AE2262" s="6"/>
      <c r="AF2262" s="6"/>
      <c r="AG2262" s="6"/>
      <c r="AH2262" s="6"/>
      <c r="AI2262" s="6"/>
      <c r="AJ2262" s="6"/>
    </row>
    <row r="2263" spans="1:36" ht="11.25" customHeight="1" x14ac:dyDescent="0.2">
      <c r="A2263" s="53" t="s">
        <v>21</v>
      </c>
      <c r="B2263" s="53" t="s">
        <v>39</v>
      </c>
      <c r="C2263" s="53" t="s">
        <v>23</v>
      </c>
      <c r="D2263" s="53" t="s">
        <v>52</v>
      </c>
      <c r="E2263" s="53" t="s">
        <v>53</v>
      </c>
      <c r="F2263" s="53" t="s">
        <v>25</v>
      </c>
      <c r="G2263" s="53" t="s">
        <v>25</v>
      </c>
      <c r="H2263" s="53" t="s">
        <v>25</v>
      </c>
      <c r="I2263" s="73">
        <v>43922</v>
      </c>
      <c r="J2263" s="74">
        <f>EFEITO!$J$2263*EFEITO!$Y$2254</f>
        <v>0</v>
      </c>
      <c r="K2263" s="74">
        <f ca="1">EFEITO!$L$2263*EFEITO!$Z$2254</f>
        <v>253231.32055301007</v>
      </c>
      <c r="L2263" s="74">
        <f>EFEITO!$N$2263*EFEITO!$AA$2254</f>
        <v>226248.66172298946</v>
      </c>
      <c r="M2263" s="74">
        <f>$J$2263-EFEITO!$K$2263*EFEITO!$Y$2263</f>
        <v>0</v>
      </c>
      <c r="N2263" s="74">
        <f ca="1">$K$2263-EFEITO!$M$2263*EFEITO!$Z$2263</f>
        <v>22790.818849770905</v>
      </c>
      <c r="O2263" s="74">
        <f>$L$2263-EFEITO!$O$2263*EFEITO!$AA$2263</f>
        <v>20362.379555069027</v>
      </c>
      <c r="P2263" s="57"/>
      <c r="Q2263" s="57"/>
      <c r="R2263" s="57"/>
      <c r="S2263" s="57"/>
      <c r="T2263" s="57"/>
      <c r="U2263" s="57"/>
      <c r="V2263" s="57"/>
      <c r="W2263" s="57"/>
      <c r="X2263" s="6"/>
      <c r="Y2263" s="6"/>
      <c r="Z2263" s="6"/>
      <c r="AA2263" s="6"/>
      <c r="AB2263" s="6"/>
      <c r="AC2263" s="6"/>
      <c r="AD2263" s="6"/>
      <c r="AE2263" s="6"/>
      <c r="AF2263" s="6"/>
      <c r="AG2263" s="6"/>
      <c r="AH2263" s="6"/>
      <c r="AI2263" s="6"/>
      <c r="AJ2263" s="6"/>
    </row>
    <row r="2264" spans="1:36" ht="11.25" customHeight="1" x14ac:dyDescent="0.2">
      <c r="A2264" s="53" t="s">
        <v>21</v>
      </c>
      <c r="B2264" s="53" t="s">
        <v>39</v>
      </c>
      <c r="C2264" s="53" t="s">
        <v>23</v>
      </c>
      <c r="D2264" s="53" t="s">
        <v>52</v>
      </c>
      <c r="E2264" s="53" t="s">
        <v>53</v>
      </c>
      <c r="F2264" s="53" t="s">
        <v>25</v>
      </c>
      <c r="G2264" s="53" t="s">
        <v>25</v>
      </c>
      <c r="H2264" s="53" t="s">
        <v>25</v>
      </c>
      <c r="I2264" s="73">
        <v>43952</v>
      </c>
      <c r="J2264" s="74">
        <f>EFEITO!$J$2264*EFEITO!$Y$2254</f>
        <v>0</v>
      </c>
      <c r="K2264" s="74">
        <f ca="1">EFEITO!$L$2264*EFEITO!$Z$2254</f>
        <v>242826.39749000315</v>
      </c>
      <c r="L2264" s="74">
        <f>EFEITO!$N$2264*EFEITO!$AA$2254</f>
        <v>216952.41861532387</v>
      </c>
      <c r="M2264" s="74">
        <f>$J$2264-EFEITO!$K$2264*EFEITO!$Y$2264</f>
        <v>0</v>
      </c>
      <c r="N2264" s="74">
        <f ca="1">$K$2264-EFEITO!$M$2264*EFEITO!$Z$2264</f>
        <v>21854.375774100248</v>
      </c>
      <c r="O2264" s="74">
        <f>$L$2264-EFEITO!$O$2264*EFEITO!$AA$2264</f>
        <v>19525.717675379157</v>
      </c>
      <c r="P2264" s="57"/>
      <c r="Q2264" s="57"/>
      <c r="R2264" s="57"/>
      <c r="S2264" s="57"/>
      <c r="T2264" s="57"/>
      <c r="U2264" s="57"/>
      <c r="V2264" s="57"/>
      <c r="W2264" s="57"/>
      <c r="X2264" s="6"/>
      <c r="Y2264" s="6"/>
      <c r="Z2264" s="6"/>
      <c r="AA2264" s="6"/>
      <c r="AB2264" s="6"/>
      <c r="AC2264" s="6"/>
      <c r="AD2264" s="6"/>
      <c r="AE2264" s="6"/>
      <c r="AF2264" s="6"/>
      <c r="AG2264" s="6"/>
      <c r="AH2264" s="6"/>
      <c r="AI2264" s="6"/>
      <c r="AJ2264" s="6"/>
    </row>
    <row r="2265" spans="1:36" ht="11.25" customHeight="1" x14ac:dyDescent="0.2">
      <c r="A2265" s="53" t="s">
        <v>21</v>
      </c>
      <c r="B2265" s="53" t="s">
        <v>39</v>
      </c>
      <c r="C2265" s="53" t="s">
        <v>23</v>
      </c>
      <c r="D2265" s="53" t="s">
        <v>52</v>
      </c>
      <c r="E2265" s="53" t="s">
        <v>53</v>
      </c>
      <c r="F2265" s="53" t="s">
        <v>25</v>
      </c>
      <c r="G2265" s="53" t="s">
        <v>25</v>
      </c>
      <c r="H2265" s="53" t="s">
        <v>25</v>
      </c>
      <c r="I2265" s="73">
        <v>43983</v>
      </c>
      <c r="J2265" s="74">
        <f>EFEITO!$J$2265*EFEITO!$Y$2254</f>
        <v>0</v>
      </c>
      <c r="K2265" s="74">
        <f ca="1">EFEITO!$L$2265*EFEITO!$Z$2254</f>
        <v>226911.38648265303</v>
      </c>
      <c r="L2265" s="74">
        <f>EFEITO!$N$2265*EFEITO!$AA$2254</f>
        <v>202733.20618197933</v>
      </c>
      <c r="M2265" s="74">
        <f>$J$2265-EFEITO!$K$2265*EFEITO!$Y$2265</f>
        <v>0</v>
      </c>
      <c r="N2265" s="74">
        <f ca="1">$K$2265-EFEITO!$M$2265*EFEITO!$Z$2265</f>
        <v>20422.02478343877</v>
      </c>
      <c r="O2265" s="74">
        <f>$L$2265-EFEITO!$O$2265*EFEITO!$AA$2265</f>
        <v>18245.988556378114</v>
      </c>
      <c r="P2265" s="57"/>
      <c r="Q2265" s="57"/>
      <c r="R2265" s="57"/>
      <c r="S2265" s="57"/>
      <c r="T2265" s="57"/>
      <c r="U2265" s="57"/>
      <c r="V2265" s="57"/>
      <c r="W2265" s="57"/>
      <c r="X2265" s="6"/>
      <c r="Y2265" s="6"/>
      <c r="Z2265" s="6"/>
      <c r="AA2265" s="6"/>
      <c r="AB2265" s="6"/>
      <c r="AC2265" s="6"/>
      <c r="AD2265" s="6"/>
      <c r="AE2265" s="6"/>
      <c r="AF2265" s="6"/>
      <c r="AG2265" s="6"/>
      <c r="AH2265" s="6"/>
      <c r="AI2265" s="6"/>
      <c r="AJ2265" s="6"/>
    </row>
    <row r="2266" spans="1:36" ht="11.25" customHeight="1" x14ac:dyDescent="0.2">
      <c r="A2266" s="53" t="s">
        <v>21</v>
      </c>
      <c r="B2266" s="53" t="s">
        <v>39</v>
      </c>
      <c r="C2266" s="53" t="s">
        <v>23</v>
      </c>
      <c r="D2266" s="53" t="s">
        <v>52</v>
      </c>
      <c r="E2266" s="53" t="s">
        <v>53</v>
      </c>
      <c r="F2266" s="53" t="s">
        <v>25</v>
      </c>
      <c r="G2266" s="53" t="s">
        <v>25</v>
      </c>
      <c r="H2266" s="53" t="s">
        <v>25</v>
      </c>
      <c r="I2266" s="73">
        <v>44013</v>
      </c>
      <c r="J2266" s="74">
        <f>EFEITO!$J$2266*EFEITO!$Y$2254</f>
        <v>0</v>
      </c>
      <c r="K2266" s="74">
        <f ca="1">EFEITO!$L$2266*EFEITO!$Z$2254</f>
        <v>255226.610207302</v>
      </c>
      <c r="L2266" s="74">
        <f>EFEITO!$N$2266*EFEITO!$AA$2254</f>
        <v>228031.34647559997</v>
      </c>
      <c r="M2266" s="74">
        <f>$J$2266-EFEITO!$K$2266*EFEITO!$Y$2266</f>
        <v>0</v>
      </c>
      <c r="N2266" s="74">
        <f ca="1">$K$2266-EFEITO!$M$2266*EFEITO!$Z$2266</f>
        <v>22970.39491865717</v>
      </c>
      <c r="O2266" s="74">
        <f>$L$2266-EFEITO!$O$2266*EFEITO!$AA$2266</f>
        <v>20522.821182803978</v>
      </c>
      <c r="P2266" s="57"/>
      <c r="Q2266" s="57"/>
      <c r="R2266" s="57"/>
      <c r="S2266" s="57"/>
      <c r="T2266" s="57"/>
      <c r="U2266" s="57"/>
      <c r="V2266" s="57"/>
      <c r="W2266" s="57"/>
      <c r="X2266" s="6"/>
      <c r="Y2266" s="6"/>
      <c r="Z2266" s="6"/>
      <c r="AA2266" s="6"/>
      <c r="AB2266" s="6"/>
      <c r="AC2266" s="6"/>
      <c r="AD2266" s="6"/>
      <c r="AE2266" s="6"/>
      <c r="AF2266" s="6"/>
      <c r="AG2266" s="6"/>
      <c r="AH2266" s="6"/>
      <c r="AI2266" s="6"/>
      <c r="AJ2266" s="6"/>
    </row>
    <row r="2267" spans="1:36" ht="11.25" customHeight="1" x14ac:dyDescent="0.2">
      <c r="A2267" s="53" t="s">
        <v>21</v>
      </c>
      <c r="B2267" s="53" t="s">
        <v>39</v>
      </c>
      <c r="C2267" s="53" t="s">
        <v>23</v>
      </c>
      <c r="D2267" s="53" t="s">
        <v>52</v>
      </c>
      <c r="E2267" s="53" t="s">
        <v>53</v>
      </c>
      <c r="F2267" s="53" t="s">
        <v>25</v>
      </c>
      <c r="G2267" s="53" t="s">
        <v>25</v>
      </c>
      <c r="H2267" s="53" t="s">
        <v>25</v>
      </c>
      <c r="I2267" s="73">
        <v>44044</v>
      </c>
      <c r="J2267" s="74">
        <f>EFEITO!$J$2267*EFEITO!$Y$2254</f>
        <v>0</v>
      </c>
      <c r="K2267" s="74">
        <f ca="1">EFEITO!$L$2267*EFEITO!$Z$2254</f>
        <v>237720.58747397878</v>
      </c>
      <c r="L2267" s="74">
        <f>EFEITO!$N$2267*EFEITO!$AA$2254</f>
        <v>212390.65002913694</v>
      </c>
      <c r="M2267" s="74">
        <f>$J$2267-EFEITO!$K$2267*EFEITO!$Y$2267</f>
        <v>0</v>
      </c>
      <c r="N2267" s="74">
        <f ca="1">$K$2267-EFEITO!$M$2267*EFEITO!$Z$2267</f>
        <v>21394.852872658084</v>
      </c>
      <c r="O2267" s="74">
        <f>$L$2267-EFEITO!$O$2267*EFEITO!$AA$2267</f>
        <v>19115.158502622304</v>
      </c>
      <c r="P2267" s="57"/>
      <c r="Q2267" s="57"/>
      <c r="R2267" s="57"/>
      <c r="S2267" s="57"/>
      <c r="T2267" s="57"/>
      <c r="U2267" s="57"/>
      <c r="V2267" s="57"/>
      <c r="W2267" s="57"/>
      <c r="X2267" s="6"/>
      <c r="Y2267" s="6"/>
      <c r="Z2267" s="6"/>
      <c r="AA2267" s="6"/>
      <c r="AB2267" s="6"/>
      <c r="AC2267" s="6"/>
      <c r="AD2267" s="6"/>
      <c r="AE2267" s="6"/>
      <c r="AF2267" s="6"/>
      <c r="AG2267" s="6"/>
      <c r="AH2267" s="6"/>
      <c r="AI2267" s="6"/>
      <c r="AJ2267" s="6"/>
    </row>
    <row r="2268" spans="1:36" ht="11.25" customHeight="1" x14ac:dyDescent="0.2">
      <c r="A2268" s="53" t="s">
        <v>27</v>
      </c>
      <c r="B2268" s="53" t="s">
        <v>39</v>
      </c>
      <c r="C2268" s="53" t="s">
        <v>23</v>
      </c>
      <c r="D2268" s="53" t="s">
        <v>52</v>
      </c>
      <c r="E2268" s="53" t="s">
        <v>53</v>
      </c>
      <c r="F2268" s="53" t="s">
        <v>25</v>
      </c>
      <c r="G2268" s="53" t="s">
        <v>25</v>
      </c>
      <c r="H2268" s="53" t="s">
        <v>25</v>
      </c>
      <c r="I2268" s="73">
        <v>44044</v>
      </c>
      <c r="J2268" s="74">
        <f>EFEITO!$J$2268*EFEITO!$Y$2254</f>
        <v>0</v>
      </c>
      <c r="K2268" s="74">
        <f ca="1">EFEITO!$L$2268*EFEITO!$Z$2254</f>
        <v>3470.7545614785568</v>
      </c>
      <c r="L2268" s="74">
        <f>EFEITO!$N$2268*EFEITO!$AA$2254</f>
        <v>3100.9338536348387</v>
      </c>
      <c r="M2268" s="74">
        <f>$J$2268-EFEITO!$K$2268*EFEITO!$Y$2268</f>
        <v>0</v>
      </c>
      <c r="N2268" s="74">
        <f ca="1">$K$2268-EFEITO!$M$2268*EFEITO!$Z$2268</f>
        <v>312.36791053306979</v>
      </c>
      <c r="O2268" s="74">
        <f>$L$2268-EFEITO!$O$2268*EFEITO!$AA$2268</f>
        <v>279.08404682713535</v>
      </c>
      <c r="P2268" s="57"/>
      <c r="Q2268" s="57"/>
      <c r="R2268" s="57"/>
      <c r="S2268" s="57"/>
      <c r="T2268" s="57"/>
      <c r="U2268" s="57"/>
      <c r="V2268" s="57"/>
      <c r="W2268" s="57"/>
      <c r="X2268" s="6"/>
      <c r="Y2268" s="6"/>
      <c r="Z2268" s="6"/>
      <c r="AA2268" s="6"/>
      <c r="AB2268" s="6"/>
      <c r="AC2268" s="6"/>
      <c r="AD2268" s="6"/>
      <c r="AE2268" s="6"/>
      <c r="AF2268" s="6"/>
      <c r="AG2268" s="6"/>
      <c r="AH2268" s="6"/>
      <c r="AI2268" s="6"/>
      <c r="AJ2268" s="6"/>
    </row>
    <row r="2269" spans="1:36" ht="11.25" customHeight="1" x14ac:dyDescent="0.2">
      <c r="A2269" s="53" t="s">
        <v>59</v>
      </c>
      <c r="B2269" s="53" t="s">
        <v>39</v>
      </c>
      <c r="C2269" s="53" t="s">
        <v>23</v>
      </c>
      <c r="D2269" s="53" t="s">
        <v>52</v>
      </c>
      <c r="E2269" s="53" t="s">
        <v>53</v>
      </c>
      <c r="F2269" s="53" t="s">
        <v>25</v>
      </c>
      <c r="G2269" s="53" t="s">
        <v>25</v>
      </c>
      <c r="H2269" s="53" t="s">
        <v>25</v>
      </c>
      <c r="I2269" s="73">
        <v>44075</v>
      </c>
      <c r="J2269" s="74">
        <f>EFEITO!$J$2269*EFEITO!$Y$2254</f>
        <v>0</v>
      </c>
      <c r="K2269" s="74">
        <f ca="1">EFEITO!$L$2269*EFEITO!$Z$2254</f>
        <v>237720.58747397878</v>
      </c>
      <c r="L2269" s="74">
        <f>EFEITO!$N$2269*EFEITO!$AA$2254</f>
        <v>212390.65002913694</v>
      </c>
      <c r="M2269" s="74">
        <f>$J$2269-EFEITO!$K$2269*EFEITO!$Y$2269</f>
        <v>0</v>
      </c>
      <c r="N2269" s="74">
        <f ca="1">$K$2269-EFEITO!$M$2269*EFEITO!$Z$2269</f>
        <v>21394.852872658084</v>
      </c>
      <c r="O2269" s="74">
        <f>$L$2269-EFEITO!$O$2269*EFEITO!$AA$2269</f>
        <v>19115.158502622304</v>
      </c>
      <c r="P2269" s="57"/>
      <c r="Q2269" s="57"/>
      <c r="R2269" s="57"/>
      <c r="S2269" s="57"/>
      <c r="T2269" s="57"/>
      <c r="U2269" s="57"/>
      <c r="V2269" s="57"/>
      <c r="W2269" s="57"/>
      <c r="X2269" s="6"/>
      <c r="Y2269" s="6"/>
      <c r="Z2269" s="6"/>
      <c r="AA2269" s="6"/>
      <c r="AB2269" s="6"/>
      <c r="AC2269" s="6"/>
      <c r="AD2269" s="6"/>
      <c r="AE2269" s="6"/>
      <c r="AF2269" s="6"/>
      <c r="AG2269" s="6"/>
      <c r="AH2269" s="6"/>
      <c r="AI2269" s="6"/>
      <c r="AJ2269" s="6"/>
    </row>
    <row r="2270" spans="1:36" ht="11.25" customHeight="1" x14ac:dyDescent="0.2">
      <c r="A2270" s="53" t="s">
        <v>59</v>
      </c>
      <c r="B2270" s="53" t="s">
        <v>39</v>
      </c>
      <c r="C2270" s="53" t="s">
        <v>23</v>
      </c>
      <c r="D2270" s="53" t="s">
        <v>52</v>
      </c>
      <c r="E2270" s="53" t="s">
        <v>53</v>
      </c>
      <c r="F2270" s="53" t="s">
        <v>25</v>
      </c>
      <c r="G2270" s="53" t="s">
        <v>25</v>
      </c>
      <c r="H2270" s="53" t="s">
        <v>25</v>
      </c>
      <c r="I2270" s="73">
        <v>44075</v>
      </c>
      <c r="J2270" s="74">
        <f>EFEITO!$J$2270*EFEITO!$Y$2254</f>
        <v>0</v>
      </c>
      <c r="K2270" s="74">
        <f ca="1">EFEITO!$L$2270*EFEITO!$Z$2254</f>
        <v>3470.7545614785568</v>
      </c>
      <c r="L2270" s="74">
        <f>EFEITO!$N$2270*EFEITO!$AA$2254</f>
        <v>3100.9338536348387</v>
      </c>
      <c r="M2270" s="74">
        <f>$J$2270-EFEITO!$K$2270*EFEITO!$Y$2270</f>
        <v>0</v>
      </c>
      <c r="N2270" s="74">
        <f ca="1">$K$2270-EFEITO!$M$2270*EFEITO!$Z$2270</f>
        <v>312.36791053306979</v>
      </c>
      <c r="O2270" s="74">
        <f>$L$2270-EFEITO!$O$2270*EFEITO!$AA$2270</f>
        <v>279.08404682713535</v>
      </c>
      <c r="P2270" s="57"/>
      <c r="Q2270" s="57"/>
      <c r="R2270" s="57"/>
      <c r="S2270" s="57"/>
      <c r="T2270" s="57"/>
      <c r="U2270" s="57"/>
      <c r="V2270" s="57"/>
      <c r="W2270" s="57"/>
      <c r="X2270" s="6"/>
      <c r="Y2270" s="6"/>
      <c r="Z2270" s="6"/>
      <c r="AA2270" s="6"/>
      <c r="AB2270" s="6"/>
      <c r="AC2270" s="6"/>
      <c r="AD2270" s="6"/>
      <c r="AE2270" s="6"/>
      <c r="AF2270" s="6"/>
      <c r="AG2270" s="6"/>
      <c r="AH2270" s="6"/>
      <c r="AI2270" s="6"/>
      <c r="AJ2270" s="6"/>
    </row>
    <row r="2271" spans="1:36" ht="11.25" customHeight="1" x14ac:dyDescent="0.2">
      <c r="A2271" s="53" t="s">
        <v>21</v>
      </c>
      <c r="B2271" s="53" t="s">
        <v>49</v>
      </c>
      <c r="C2271" s="53" t="s">
        <v>23</v>
      </c>
      <c r="D2271" s="53" t="s">
        <v>50</v>
      </c>
      <c r="E2271" s="53" t="s">
        <v>51</v>
      </c>
      <c r="F2271" s="53" t="s">
        <v>25</v>
      </c>
      <c r="G2271" s="53" t="s">
        <v>25</v>
      </c>
      <c r="H2271" s="53" t="s">
        <v>25</v>
      </c>
      <c r="I2271" s="73">
        <v>43739</v>
      </c>
      <c r="J2271" s="74">
        <f>EFEITO!$J$2271*EFEITO!$Y$2271</f>
        <v>0</v>
      </c>
      <c r="K2271" s="74">
        <f ca="1">EFEITO!$L$2271*EFEITO!$Z$2271</f>
        <v>29.906235450622063</v>
      </c>
      <c r="L2271" s="74">
        <f>EFEITO!$N$2271*EFEITO!$AA$2271</f>
        <v>26.719624306739178</v>
      </c>
      <c r="M2271" s="74">
        <f>$J$2271-EFEITO!$K$2271*EFEITO!$Y$2271</f>
        <v>0</v>
      </c>
      <c r="N2271" s="74">
        <f ca="1">$K$2271-EFEITO!$M$2271*EFEITO!$Z$2271</f>
        <v>0</v>
      </c>
      <c r="O2271" s="74">
        <f>$L$2271-EFEITO!$O$2271*EFEITO!$AA$2271</f>
        <v>0</v>
      </c>
      <c r="P2271" s="57"/>
      <c r="Q2271" s="57"/>
      <c r="R2271" s="57"/>
      <c r="S2271" s="57"/>
      <c r="T2271" s="57"/>
      <c r="U2271" s="57"/>
      <c r="V2271" s="57"/>
      <c r="W2271" s="57"/>
      <c r="X2271" s="6"/>
      <c r="Y2271" s="6"/>
      <c r="Z2271" s="6"/>
      <c r="AA2271" s="6"/>
      <c r="AB2271" s="6"/>
      <c r="AC2271" s="6"/>
      <c r="AD2271" s="6"/>
      <c r="AE2271" s="6"/>
      <c r="AF2271" s="6"/>
      <c r="AG2271" s="6"/>
      <c r="AH2271" s="6"/>
      <c r="AI2271" s="6"/>
      <c r="AJ2271" s="6"/>
    </row>
    <row r="2272" spans="1:36" ht="11.25" customHeight="1" x14ac:dyDescent="0.2">
      <c r="A2272" s="53" t="s">
        <v>27</v>
      </c>
      <c r="B2272" s="53" t="s">
        <v>49</v>
      </c>
      <c r="C2272" s="53" t="s">
        <v>23</v>
      </c>
      <c r="D2272" s="53" t="s">
        <v>50</v>
      </c>
      <c r="E2272" s="53" t="s">
        <v>51</v>
      </c>
      <c r="F2272" s="53" t="s">
        <v>25</v>
      </c>
      <c r="G2272" s="53" t="s">
        <v>25</v>
      </c>
      <c r="H2272" s="53" t="s">
        <v>25</v>
      </c>
      <c r="I2272" s="73">
        <v>43739</v>
      </c>
      <c r="J2272" s="74">
        <f>EFEITO!$J$2272*EFEITO!$Y$2272</f>
        <v>0</v>
      </c>
      <c r="K2272" s="74">
        <f ca="1">EFEITO!$L$2272*EFEITO!$Z$2272</f>
        <v>5305228.450726104</v>
      </c>
      <c r="L2272" s="74">
        <f>EFEITO!$N$2272*EFEITO!$AA$2272</f>
        <v>4739938.3081455976</v>
      </c>
      <c r="M2272" s="74">
        <f>$J$2272-EFEITO!$K$2272*EFEITO!$Y$2272</f>
        <v>0</v>
      </c>
      <c r="N2272" s="74">
        <f ca="1">$K$2272-EFEITO!$M$2272*EFEITO!$Z$2272</f>
        <v>0</v>
      </c>
      <c r="O2272" s="74">
        <f>$L$2272-EFEITO!$O$2272*EFEITO!$AA$2272</f>
        <v>0</v>
      </c>
      <c r="P2272" s="57"/>
      <c r="Q2272" s="57"/>
      <c r="R2272" s="57"/>
      <c r="S2272" s="57"/>
      <c r="T2272" s="57"/>
      <c r="U2272" s="57"/>
      <c r="V2272" s="57"/>
      <c r="W2272" s="57"/>
      <c r="X2272" s="6"/>
      <c r="Y2272" s="6"/>
      <c r="Z2272" s="6"/>
      <c r="AA2272" s="6"/>
      <c r="AB2272" s="6"/>
      <c r="AC2272" s="6"/>
      <c r="AD2272" s="6"/>
      <c r="AE2272" s="6"/>
      <c r="AF2272" s="6"/>
      <c r="AG2272" s="6"/>
      <c r="AH2272" s="6"/>
      <c r="AI2272" s="6"/>
      <c r="AJ2272" s="6"/>
    </row>
    <row r="2273" spans="1:36" ht="11.25" customHeight="1" x14ac:dyDescent="0.2">
      <c r="A2273" s="53" t="s">
        <v>27</v>
      </c>
      <c r="B2273" s="53" t="s">
        <v>49</v>
      </c>
      <c r="C2273" s="53" t="s">
        <v>23</v>
      </c>
      <c r="D2273" s="53" t="s">
        <v>50</v>
      </c>
      <c r="E2273" s="53" t="s">
        <v>51</v>
      </c>
      <c r="F2273" s="53" t="s">
        <v>25</v>
      </c>
      <c r="G2273" s="53" t="s">
        <v>25</v>
      </c>
      <c r="H2273" s="53" t="s">
        <v>25</v>
      </c>
      <c r="I2273" s="73">
        <v>43770</v>
      </c>
      <c r="J2273" s="74">
        <f>EFEITO!$J$2273*EFEITO!$Y$2273</f>
        <v>0</v>
      </c>
      <c r="K2273" s="74">
        <f ca="1">EFEITO!$L$2273*EFEITO!$Z$2273</f>
        <v>4904007.5921699768</v>
      </c>
      <c r="L2273" s="74">
        <f>EFEITO!$N$2273*EFEITO!$AA$2273</f>
        <v>4381468.8972313572</v>
      </c>
      <c r="M2273" s="74">
        <f>$J$2273-EFEITO!$K$2273*EFEITO!$Y$2273</f>
        <v>0</v>
      </c>
      <c r="N2273" s="74">
        <f ca="1">$K$2273-EFEITO!$M$2273*EFEITO!$Z$2273</f>
        <v>0</v>
      </c>
      <c r="O2273" s="74">
        <f>$L$2273-EFEITO!$O$2273*EFEITO!$AA$2273</f>
        <v>0</v>
      </c>
      <c r="P2273" s="57"/>
      <c r="Q2273" s="57"/>
      <c r="R2273" s="57"/>
      <c r="S2273" s="57"/>
      <c r="T2273" s="57"/>
      <c r="U2273" s="57"/>
      <c r="V2273" s="57"/>
      <c r="W2273" s="57"/>
      <c r="X2273" s="6"/>
      <c r="Y2273" s="6"/>
      <c r="Z2273" s="6"/>
      <c r="AA2273" s="6"/>
      <c r="AB2273" s="6"/>
      <c r="AC2273" s="6"/>
      <c r="AD2273" s="6"/>
      <c r="AE2273" s="6"/>
      <c r="AF2273" s="6"/>
      <c r="AG2273" s="6"/>
      <c r="AH2273" s="6"/>
      <c r="AI2273" s="6"/>
      <c r="AJ2273" s="6"/>
    </row>
    <row r="2274" spans="1:36" ht="11.25" customHeight="1" x14ac:dyDescent="0.2">
      <c r="A2274" s="53" t="s">
        <v>21</v>
      </c>
      <c r="B2274" s="53" t="s">
        <v>49</v>
      </c>
      <c r="C2274" s="53" t="s">
        <v>23</v>
      </c>
      <c r="D2274" s="53" t="s">
        <v>50</v>
      </c>
      <c r="E2274" s="53" t="s">
        <v>51</v>
      </c>
      <c r="F2274" s="53" t="s">
        <v>25</v>
      </c>
      <c r="G2274" s="53" t="s">
        <v>25</v>
      </c>
      <c r="H2274" s="53" t="s">
        <v>25</v>
      </c>
      <c r="I2274" s="73">
        <v>43800</v>
      </c>
      <c r="J2274" s="74">
        <f>EFEITO!$J$2274*EFEITO!$Y$2274</f>
        <v>0</v>
      </c>
      <c r="K2274" s="74">
        <f ca="1">EFEITO!$L$2274*EFEITO!$Z$2274</f>
        <v>5332643.197701335</v>
      </c>
      <c r="L2274" s="74">
        <f>EFEITO!$N$2274*EFEITO!$AA$2274</f>
        <v>4764431.9205513429</v>
      </c>
      <c r="M2274" s="74">
        <f>$J$2274-EFEITO!$K$2274*EFEITO!$Y$2274</f>
        <v>0</v>
      </c>
      <c r="N2274" s="74">
        <f ca="1">$K$2274-EFEITO!$M$2274*EFEITO!$Z$2274</f>
        <v>0</v>
      </c>
      <c r="O2274" s="74">
        <f>$L$2274-EFEITO!$O$2274*EFEITO!$AA$2274</f>
        <v>0</v>
      </c>
      <c r="P2274" s="57"/>
      <c r="Q2274" s="57"/>
      <c r="R2274" s="57"/>
      <c r="S2274" s="57"/>
      <c r="T2274" s="57"/>
      <c r="U2274" s="57"/>
      <c r="V2274" s="57"/>
      <c r="W2274" s="57"/>
      <c r="X2274" s="6"/>
      <c r="Y2274" s="6"/>
      <c r="Z2274" s="6"/>
      <c r="AA2274" s="6"/>
      <c r="AB2274" s="6"/>
      <c r="AC2274" s="6"/>
      <c r="AD2274" s="6"/>
      <c r="AE2274" s="6"/>
      <c r="AF2274" s="6"/>
      <c r="AG2274" s="6"/>
      <c r="AH2274" s="6"/>
      <c r="AI2274" s="6"/>
      <c r="AJ2274" s="6"/>
    </row>
    <row r="2275" spans="1:36" ht="11.25" customHeight="1" x14ac:dyDescent="0.2">
      <c r="A2275" s="53" t="s">
        <v>21</v>
      </c>
      <c r="B2275" s="53" t="s">
        <v>49</v>
      </c>
      <c r="C2275" s="53" t="s">
        <v>23</v>
      </c>
      <c r="D2275" s="53" t="s">
        <v>50</v>
      </c>
      <c r="E2275" s="53" t="s">
        <v>51</v>
      </c>
      <c r="F2275" s="53" t="s">
        <v>25</v>
      </c>
      <c r="G2275" s="53" t="s">
        <v>25</v>
      </c>
      <c r="H2275" s="53" t="s">
        <v>25</v>
      </c>
      <c r="I2275" s="73">
        <v>43831</v>
      </c>
      <c r="J2275" s="74">
        <f>EFEITO!$J$2275*EFEITO!$Y$2275</f>
        <v>0</v>
      </c>
      <c r="K2275" s="74">
        <f ca="1">EFEITO!$L$2275*EFEITO!$Z$2275</f>
        <v>5316733.9776286669</v>
      </c>
      <c r="L2275" s="74">
        <f>EFEITO!$N$2275*EFEITO!$AA$2275</f>
        <v>4750217.882008886</v>
      </c>
      <c r="M2275" s="74">
        <f>$J$2275-EFEITO!$K$2275*EFEITO!$Y$2275</f>
        <v>0</v>
      </c>
      <c r="N2275" s="74">
        <f ca="1">$K$2275-EFEITO!$M$2275*EFEITO!$Z$2275</f>
        <v>0</v>
      </c>
      <c r="O2275" s="74">
        <f>$L$2275-EFEITO!$O$2275*EFEITO!$AA$2275</f>
        <v>0</v>
      </c>
      <c r="P2275" s="57"/>
      <c r="Q2275" s="57"/>
      <c r="R2275" s="57"/>
      <c r="S2275" s="57"/>
      <c r="T2275" s="57"/>
      <c r="U2275" s="57"/>
      <c r="V2275" s="57"/>
      <c r="W2275" s="57"/>
      <c r="X2275" s="6"/>
      <c r="Y2275" s="6"/>
      <c r="Z2275" s="6"/>
      <c r="AA2275" s="6"/>
      <c r="AB2275" s="6"/>
      <c r="AC2275" s="6"/>
      <c r="AD2275" s="6"/>
      <c r="AE2275" s="6"/>
      <c r="AF2275" s="6"/>
      <c r="AG2275" s="6"/>
      <c r="AH2275" s="6"/>
      <c r="AI2275" s="6"/>
      <c r="AJ2275" s="6"/>
    </row>
    <row r="2276" spans="1:36" ht="11.25" customHeight="1" x14ac:dyDescent="0.2">
      <c r="A2276" s="53" t="s">
        <v>21</v>
      </c>
      <c r="B2276" s="53" t="s">
        <v>49</v>
      </c>
      <c r="C2276" s="53" t="s">
        <v>23</v>
      </c>
      <c r="D2276" s="53" t="s">
        <v>50</v>
      </c>
      <c r="E2276" s="53" t="s">
        <v>51</v>
      </c>
      <c r="F2276" s="53" t="s">
        <v>25</v>
      </c>
      <c r="G2276" s="53" t="s">
        <v>25</v>
      </c>
      <c r="H2276" s="53" t="s">
        <v>25</v>
      </c>
      <c r="I2276" s="73">
        <v>43862</v>
      </c>
      <c r="J2276" s="74">
        <f>EFEITO!$J$2276*EFEITO!$Y$2276</f>
        <v>0</v>
      </c>
      <c r="K2276" s="74">
        <f ca="1">EFEITO!$L$2276*EFEITO!$Z$2276</f>
        <v>4991652.0020309873</v>
      </c>
      <c r="L2276" s="74">
        <f>EFEITO!$N$2276*EFEITO!$AA$2276</f>
        <v>4459774.4970096592</v>
      </c>
      <c r="M2276" s="74">
        <f>$J$2276-EFEITO!$K$2276*EFEITO!$Y$2276</f>
        <v>0</v>
      </c>
      <c r="N2276" s="74">
        <f ca="1">$K$2276-EFEITO!$M$2276*EFEITO!$Z$2276</f>
        <v>0</v>
      </c>
      <c r="O2276" s="74">
        <f>$L$2276-EFEITO!$O$2276*EFEITO!$AA$2276</f>
        <v>0</v>
      </c>
      <c r="P2276" s="57"/>
      <c r="Q2276" s="57"/>
      <c r="R2276" s="57"/>
      <c r="S2276" s="57"/>
      <c r="T2276" s="57"/>
      <c r="U2276" s="57"/>
      <c r="V2276" s="57"/>
      <c r="W2276" s="57"/>
      <c r="X2276" s="6"/>
      <c r="Y2276" s="6"/>
      <c r="Z2276" s="6"/>
      <c r="AA2276" s="6"/>
      <c r="AB2276" s="6"/>
      <c r="AC2276" s="6"/>
      <c r="AD2276" s="6"/>
      <c r="AE2276" s="6"/>
      <c r="AF2276" s="6"/>
      <c r="AG2276" s="6"/>
      <c r="AH2276" s="6"/>
      <c r="AI2276" s="6"/>
      <c r="AJ2276" s="6"/>
    </row>
    <row r="2277" spans="1:36" ht="11.25" customHeight="1" x14ac:dyDescent="0.2">
      <c r="A2277" s="53" t="s">
        <v>21</v>
      </c>
      <c r="B2277" s="53" t="s">
        <v>49</v>
      </c>
      <c r="C2277" s="53" t="s">
        <v>23</v>
      </c>
      <c r="D2277" s="53" t="s">
        <v>50</v>
      </c>
      <c r="E2277" s="53" t="s">
        <v>51</v>
      </c>
      <c r="F2277" s="53" t="s">
        <v>25</v>
      </c>
      <c r="G2277" s="53" t="s">
        <v>25</v>
      </c>
      <c r="H2277" s="53" t="s">
        <v>25</v>
      </c>
      <c r="I2277" s="73">
        <v>43891</v>
      </c>
      <c r="J2277" s="74">
        <f>EFEITO!$J$2277*EFEITO!$Y$2277</f>
        <v>0</v>
      </c>
      <c r="K2277" s="74">
        <f ca="1">EFEITO!$L$2277*EFEITO!$Z$2277</f>
        <v>5335592.2515791208</v>
      </c>
      <c r="L2277" s="74">
        <f>EFEITO!$N$2277*EFEITO!$AA$2277</f>
        <v>4767066.7427042304</v>
      </c>
      <c r="M2277" s="74">
        <f>$J$2277-EFEITO!$K$2277*EFEITO!$Y$2277</f>
        <v>0</v>
      </c>
      <c r="N2277" s="74">
        <f ca="1">$K$2277-EFEITO!$M$2277*EFEITO!$Z$2277</f>
        <v>0</v>
      </c>
      <c r="O2277" s="74">
        <f>$L$2277-EFEITO!$O$2277*EFEITO!$AA$2277</f>
        <v>0</v>
      </c>
      <c r="P2277" s="57"/>
      <c r="Q2277" s="57"/>
      <c r="R2277" s="57"/>
      <c r="S2277" s="57"/>
      <c r="T2277" s="57"/>
      <c r="U2277" s="57"/>
      <c r="V2277" s="57"/>
      <c r="W2277" s="57"/>
      <c r="X2277" s="6"/>
      <c r="Y2277" s="6"/>
      <c r="Z2277" s="6"/>
      <c r="AA2277" s="6"/>
      <c r="AB2277" s="6"/>
      <c r="AC2277" s="6"/>
      <c r="AD2277" s="6"/>
      <c r="AE2277" s="6"/>
      <c r="AF2277" s="6"/>
      <c r="AG2277" s="6"/>
      <c r="AH2277" s="6"/>
      <c r="AI2277" s="6"/>
      <c r="AJ2277" s="6"/>
    </row>
    <row r="2278" spans="1:36" ht="11.25" customHeight="1" x14ac:dyDescent="0.2">
      <c r="A2278" s="53" t="s">
        <v>21</v>
      </c>
      <c r="B2278" s="53" t="s">
        <v>49</v>
      </c>
      <c r="C2278" s="53" t="s">
        <v>23</v>
      </c>
      <c r="D2278" s="53" t="s">
        <v>50</v>
      </c>
      <c r="E2278" s="53" t="s">
        <v>51</v>
      </c>
      <c r="F2278" s="53" t="s">
        <v>25</v>
      </c>
      <c r="G2278" s="53" t="s">
        <v>25</v>
      </c>
      <c r="H2278" s="53" t="s">
        <v>25</v>
      </c>
      <c r="I2278" s="73">
        <v>43922</v>
      </c>
      <c r="J2278" s="74">
        <f>EFEITO!$J$2278*EFEITO!$Y$2278</f>
        <v>0</v>
      </c>
      <c r="K2278" s="74">
        <f ca="1">EFEITO!$L$2278*EFEITO!$Z$2278</f>
        <v>5159908.6695491504</v>
      </c>
      <c r="L2278" s="74">
        <f>EFEITO!$N$2278*EFEITO!$AA$2278</f>
        <v>4610102.8441067766</v>
      </c>
      <c r="M2278" s="74">
        <f>$J$2278-EFEITO!$K$2278*EFEITO!$Y$2278</f>
        <v>0</v>
      </c>
      <c r="N2278" s="74">
        <f ca="1">$K$2278-EFEITO!$M$2278*EFEITO!$Z$2278</f>
        <v>0</v>
      </c>
      <c r="O2278" s="74">
        <f>$L$2278-EFEITO!$O$2278*EFEITO!$AA$2278</f>
        <v>0</v>
      </c>
      <c r="P2278" s="57"/>
      <c r="Q2278" s="57"/>
      <c r="R2278" s="57"/>
      <c r="S2278" s="57"/>
      <c r="T2278" s="57"/>
      <c r="U2278" s="57"/>
      <c r="V2278" s="57"/>
      <c r="W2278" s="57"/>
      <c r="X2278" s="6"/>
      <c r="Y2278" s="6"/>
      <c r="Z2278" s="6"/>
      <c r="AA2278" s="6"/>
      <c r="AB2278" s="6"/>
      <c r="AC2278" s="6"/>
      <c r="AD2278" s="6"/>
      <c r="AE2278" s="6"/>
      <c r="AF2278" s="6"/>
      <c r="AG2278" s="6"/>
      <c r="AH2278" s="6"/>
      <c r="AI2278" s="6"/>
      <c r="AJ2278" s="6"/>
    </row>
    <row r="2279" spans="1:36" ht="11.25" customHeight="1" x14ac:dyDescent="0.2">
      <c r="A2279" s="53" t="s">
        <v>21</v>
      </c>
      <c r="B2279" s="53" t="s">
        <v>49</v>
      </c>
      <c r="C2279" s="53" t="s">
        <v>23</v>
      </c>
      <c r="D2279" s="53" t="s">
        <v>50</v>
      </c>
      <c r="E2279" s="53" t="s">
        <v>51</v>
      </c>
      <c r="F2279" s="53" t="s">
        <v>25</v>
      </c>
      <c r="G2279" s="53" t="s">
        <v>25</v>
      </c>
      <c r="H2279" s="53" t="s">
        <v>25</v>
      </c>
      <c r="I2279" s="73">
        <v>43952</v>
      </c>
      <c r="J2279" s="74">
        <f>EFEITO!$J$2279*EFEITO!$Y$2279</f>
        <v>0</v>
      </c>
      <c r="K2279" s="74">
        <f ca="1">EFEITO!$L$2279*EFEITO!$Z$2279</f>
        <v>5242224.9845022783</v>
      </c>
      <c r="L2279" s="74">
        <f>EFEITO!$N$2279*EFEITO!$AA$2279</f>
        <v>4683648.0756185902</v>
      </c>
      <c r="M2279" s="74">
        <f>$J$2279-EFEITO!$K$2279*EFEITO!$Y$2279</f>
        <v>0</v>
      </c>
      <c r="N2279" s="74">
        <f ca="1">$K$2279-EFEITO!$M$2279*EFEITO!$Z$2279</f>
        <v>0</v>
      </c>
      <c r="O2279" s="74">
        <f>$L$2279-EFEITO!$O$2279*EFEITO!$AA$2279</f>
        <v>0</v>
      </c>
      <c r="P2279" s="57"/>
      <c r="Q2279" s="57"/>
      <c r="R2279" s="57"/>
      <c r="S2279" s="57"/>
      <c r="T2279" s="57"/>
      <c r="U2279" s="57"/>
      <c r="V2279" s="57"/>
      <c r="W2279" s="57"/>
      <c r="X2279" s="6"/>
      <c r="Y2279" s="6"/>
      <c r="Z2279" s="6"/>
      <c r="AA2279" s="6"/>
      <c r="AB2279" s="6"/>
      <c r="AC2279" s="6"/>
      <c r="AD2279" s="6"/>
      <c r="AE2279" s="6"/>
      <c r="AF2279" s="6"/>
      <c r="AG2279" s="6"/>
      <c r="AH2279" s="6"/>
      <c r="AI2279" s="6"/>
      <c r="AJ2279" s="6"/>
    </row>
    <row r="2280" spans="1:36" ht="11.25" customHeight="1" x14ac:dyDescent="0.2">
      <c r="A2280" s="53" t="s">
        <v>21</v>
      </c>
      <c r="B2280" s="53" t="s">
        <v>49</v>
      </c>
      <c r="C2280" s="53" t="s">
        <v>23</v>
      </c>
      <c r="D2280" s="53" t="s">
        <v>50</v>
      </c>
      <c r="E2280" s="53" t="s">
        <v>51</v>
      </c>
      <c r="F2280" s="53" t="s">
        <v>25</v>
      </c>
      <c r="G2280" s="53" t="s">
        <v>25</v>
      </c>
      <c r="H2280" s="53" t="s">
        <v>25</v>
      </c>
      <c r="I2280" s="73">
        <v>43983</v>
      </c>
      <c r="J2280" s="74">
        <f>EFEITO!$J$2280*EFEITO!$Y$2280</f>
        <v>0</v>
      </c>
      <c r="K2280" s="74">
        <f ca="1">EFEITO!$L$2280*EFEITO!$Z$2280</f>
        <v>5078840.0427390216</v>
      </c>
      <c r="L2280" s="74">
        <f>EFEITO!$N$2280*EFEITO!$AA$2280</f>
        <v>4537672.3553210404</v>
      </c>
      <c r="M2280" s="74">
        <f>$J$2280-EFEITO!$K$2280*EFEITO!$Y$2280</f>
        <v>0</v>
      </c>
      <c r="N2280" s="74">
        <f ca="1">$K$2280-EFEITO!$M$2280*EFEITO!$Z$2280</f>
        <v>0</v>
      </c>
      <c r="O2280" s="74">
        <f>$L$2280-EFEITO!$O$2280*EFEITO!$AA$2280</f>
        <v>0</v>
      </c>
      <c r="P2280" s="57"/>
      <c r="Q2280" s="57"/>
      <c r="R2280" s="57"/>
      <c r="S2280" s="57"/>
      <c r="T2280" s="57"/>
      <c r="U2280" s="57"/>
      <c r="V2280" s="57"/>
      <c r="W2280" s="57"/>
      <c r="X2280" s="6"/>
      <c r="Y2280" s="6"/>
      <c r="Z2280" s="6"/>
      <c r="AA2280" s="6"/>
      <c r="AB2280" s="6"/>
      <c r="AC2280" s="6"/>
      <c r="AD2280" s="6"/>
      <c r="AE2280" s="6"/>
      <c r="AF2280" s="6"/>
      <c r="AG2280" s="6"/>
      <c r="AH2280" s="6"/>
      <c r="AI2280" s="6"/>
      <c r="AJ2280" s="6"/>
    </row>
    <row r="2281" spans="1:36" ht="11.25" customHeight="1" x14ac:dyDescent="0.2">
      <c r="A2281" s="53" t="s">
        <v>21</v>
      </c>
      <c r="B2281" s="53" t="s">
        <v>49</v>
      </c>
      <c r="C2281" s="53" t="s">
        <v>23</v>
      </c>
      <c r="D2281" s="53" t="s">
        <v>50</v>
      </c>
      <c r="E2281" s="53" t="s">
        <v>51</v>
      </c>
      <c r="F2281" s="53" t="s">
        <v>25</v>
      </c>
      <c r="G2281" s="53" t="s">
        <v>25</v>
      </c>
      <c r="H2281" s="53" t="s">
        <v>25</v>
      </c>
      <c r="I2281" s="73">
        <v>44013</v>
      </c>
      <c r="J2281" s="74">
        <f>EFEITO!$J$2281*EFEITO!$Y$2281</f>
        <v>0</v>
      </c>
      <c r="K2281" s="74">
        <f ca="1">EFEITO!$L$2281*EFEITO!$Z$2281</f>
        <v>5061265.9425388183</v>
      </c>
      <c r="L2281" s="74">
        <f>EFEITO!$N$2281*EFEITO!$AA$2281</f>
        <v>4521970.835293428</v>
      </c>
      <c r="M2281" s="74">
        <f>$J$2281-EFEITO!$K$2281*EFEITO!$Y$2281</f>
        <v>0</v>
      </c>
      <c r="N2281" s="74">
        <f ca="1">$K$2281-EFEITO!$M$2281*EFEITO!$Z$2281</f>
        <v>0</v>
      </c>
      <c r="O2281" s="74">
        <f>$L$2281-EFEITO!$O$2281*EFEITO!$AA$2281</f>
        <v>0</v>
      </c>
      <c r="P2281" s="57"/>
      <c r="Q2281" s="57"/>
      <c r="R2281" s="57"/>
      <c r="S2281" s="57"/>
      <c r="T2281" s="57"/>
      <c r="U2281" s="57"/>
      <c r="V2281" s="57"/>
      <c r="W2281" s="57"/>
      <c r="X2281" s="6"/>
      <c r="Y2281" s="6"/>
      <c r="Z2281" s="6"/>
      <c r="AA2281" s="6"/>
      <c r="AB2281" s="6"/>
      <c r="AC2281" s="6"/>
      <c r="AD2281" s="6"/>
      <c r="AE2281" s="6"/>
      <c r="AF2281" s="6"/>
      <c r="AG2281" s="6"/>
      <c r="AH2281" s="6"/>
      <c r="AI2281" s="6"/>
      <c r="AJ2281" s="6"/>
    </row>
    <row r="2282" spans="1:36" ht="11.25" customHeight="1" x14ac:dyDescent="0.2">
      <c r="A2282" s="53" t="s">
        <v>21</v>
      </c>
      <c r="B2282" s="53" t="s">
        <v>49</v>
      </c>
      <c r="C2282" s="53" t="s">
        <v>23</v>
      </c>
      <c r="D2282" s="53" t="s">
        <v>50</v>
      </c>
      <c r="E2282" s="53" t="s">
        <v>51</v>
      </c>
      <c r="F2282" s="53" t="s">
        <v>25</v>
      </c>
      <c r="G2282" s="53" t="s">
        <v>25</v>
      </c>
      <c r="H2282" s="53" t="s">
        <v>25</v>
      </c>
      <c r="I2282" s="73">
        <v>44044</v>
      </c>
      <c r="J2282" s="74">
        <f>EFEITO!$J$2282*EFEITO!$Y$2282</f>
        <v>0</v>
      </c>
      <c r="K2282" s="74">
        <f ca="1">EFEITO!$L$2282*EFEITO!$Z$2282</f>
        <v>166900.86833400888</v>
      </c>
      <c r="L2282" s="74">
        <f>EFEITO!$N$2282*EFEITO!$AA$2282</f>
        <v>149117.01292917156</v>
      </c>
      <c r="M2282" s="74">
        <f>$J$2282-EFEITO!$K$2282*EFEITO!$Y$2282</f>
        <v>0</v>
      </c>
      <c r="N2282" s="74">
        <f ca="1">$K$2282-EFEITO!$M$2282*EFEITO!$Z$2282</f>
        <v>0</v>
      </c>
      <c r="O2282" s="74">
        <f>$L$2282-EFEITO!$O$2282*EFEITO!$AA$2282</f>
        <v>0</v>
      </c>
      <c r="P2282" s="57"/>
      <c r="Q2282" s="57"/>
      <c r="R2282" s="57"/>
      <c r="S2282" s="57"/>
      <c r="T2282" s="57"/>
      <c r="U2282" s="57"/>
      <c r="V2282" s="57"/>
      <c r="W2282" s="57"/>
      <c r="X2282" s="6"/>
      <c r="Y2282" s="6"/>
      <c r="Z2282" s="6"/>
      <c r="AA2282" s="6"/>
      <c r="AB2282" s="6"/>
      <c r="AC2282" s="6"/>
      <c r="AD2282" s="6"/>
      <c r="AE2282" s="6"/>
      <c r="AF2282" s="6"/>
      <c r="AG2282" s="6"/>
      <c r="AH2282" s="6"/>
      <c r="AI2282" s="6"/>
      <c r="AJ2282" s="6"/>
    </row>
    <row r="2283" spans="1:36" ht="11.25" customHeight="1" x14ac:dyDescent="0.2">
      <c r="A2283" s="53" t="s">
        <v>27</v>
      </c>
      <c r="B2283" s="53" t="s">
        <v>49</v>
      </c>
      <c r="C2283" s="53" t="s">
        <v>23</v>
      </c>
      <c r="D2283" s="53" t="s">
        <v>50</v>
      </c>
      <c r="E2283" s="53" t="s">
        <v>51</v>
      </c>
      <c r="F2283" s="53" t="s">
        <v>25</v>
      </c>
      <c r="G2283" s="53" t="s">
        <v>25</v>
      </c>
      <c r="H2283" s="53" t="s">
        <v>25</v>
      </c>
      <c r="I2283" s="73">
        <v>44044</v>
      </c>
      <c r="J2283" s="74">
        <f>EFEITO!$J$2283*EFEITO!$Y$2283</f>
        <v>0</v>
      </c>
      <c r="K2283" s="74">
        <f ca="1">EFEITO!$L$2283*EFEITO!$Z$2283</f>
        <v>5229944.2879768349</v>
      </c>
      <c r="L2283" s="74">
        <f>EFEITO!$N$2283*EFEITO!$AA$2283</f>
        <v>4672675.9290932706</v>
      </c>
      <c r="M2283" s="74">
        <f>$J$2283-EFEITO!$K$2283*EFEITO!$Y$2283</f>
        <v>0</v>
      </c>
      <c r="N2283" s="74">
        <f ca="1">$K$2283-EFEITO!$M$2283*EFEITO!$Z$2283</f>
        <v>0</v>
      </c>
      <c r="O2283" s="74">
        <f>$L$2283-EFEITO!$O$2283*EFEITO!$AA$2283</f>
        <v>0</v>
      </c>
      <c r="P2283" s="57"/>
      <c r="Q2283" s="57"/>
      <c r="R2283" s="57"/>
      <c r="S2283" s="57"/>
      <c r="T2283" s="57"/>
      <c r="U2283" s="57"/>
      <c r="V2283" s="57"/>
      <c r="W2283" s="57"/>
      <c r="X2283" s="6"/>
      <c r="Y2283" s="6"/>
      <c r="Z2283" s="6"/>
      <c r="AA2283" s="6"/>
      <c r="AB2283" s="6"/>
      <c r="AC2283" s="6"/>
      <c r="AD2283" s="6"/>
      <c r="AE2283" s="6"/>
      <c r="AF2283" s="6"/>
      <c r="AG2283" s="6"/>
      <c r="AH2283" s="6"/>
      <c r="AI2283" s="6"/>
      <c r="AJ2283" s="6"/>
    </row>
    <row r="2284" spans="1:36" ht="11.25" customHeight="1" x14ac:dyDescent="0.2">
      <c r="A2284" s="53" t="s">
        <v>59</v>
      </c>
      <c r="B2284" s="53" t="s">
        <v>49</v>
      </c>
      <c r="C2284" s="53" t="s">
        <v>23</v>
      </c>
      <c r="D2284" s="53" t="s">
        <v>50</v>
      </c>
      <c r="E2284" s="53" t="s">
        <v>51</v>
      </c>
      <c r="F2284" s="53" t="s">
        <v>25</v>
      </c>
      <c r="G2284" s="53" t="s">
        <v>25</v>
      </c>
      <c r="H2284" s="53" t="s">
        <v>25</v>
      </c>
      <c r="I2284" s="73">
        <v>44075</v>
      </c>
      <c r="J2284" s="74">
        <f>EFEITO!$J$2284*EFEITO!$Y$2284</f>
        <v>0</v>
      </c>
      <c r="K2284" s="74">
        <f ca="1">EFEITO!$L$2284*EFEITO!$Z$2284</f>
        <v>166900.86833400888</v>
      </c>
      <c r="L2284" s="74">
        <f>EFEITO!$N$2284*EFEITO!$AA$2284</f>
        <v>149117.01292917156</v>
      </c>
      <c r="M2284" s="74">
        <f>$J$2284-EFEITO!$K$2284*EFEITO!$Y$2284</f>
        <v>0</v>
      </c>
      <c r="N2284" s="74">
        <f ca="1">$K$2284-EFEITO!$M$2284*EFEITO!$Z$2284</f>
        <v>0</v>
      </c>
      <c r="O2284" s="74">
        <f>$L$2284-EFEITO!$O$2284*EFEITO!$AA$2284</f>
        <v>0</v>
      </c>
      <c r="P2284" s="57"/>
      <c r="Q2284" s="57"/>
      <c r="R2284" s="57"/>
      <c r="S2284" s="57"/>
      <c r="T2284" s="57"/>
      <c r="U2284" s="57"/>
      <c r="V2284" s="57"/>
      <c r="W2284" s="57"/>
      <c r="X2284" s="6"/>
      <c r="Y2284" s="6"/>
      <c r="Z2284" s="6"/>
      <c r="AA2284" s="6"/>
      <c r="AB2284" s="6"/>
      <c r="AC2284" s="6"/>
      <c r="AD2284" s="6"/>
      <c r="AE2284" s="6"/>
      <c r="AF2284" s="6"/>
      <c r="AG2284" s="6"/>
      <c r="AH2284" s="6"/>
      <c r="AI2284" s="6"/>
      <c r="AJ2284" s="6"/>
    </row>
    <row r="2285" spans="1:36" ht="11.25" customHeight="1" x14ac:dyDescent="0.2">
      <c r="A2285" s="53" t="s">
        <v>59</v>
      </c>
      <c r="B2285" s="53" t="s">
        <v>49</v>
      </c>
      <c r="C2285" s="53" t="s">
        <v>23</v>
      </c>
      <c r="D2285" s="53" t="s">
        <v>50</v>
      </c>
      <c r="E2285" s="53" t="s">
        <v>51</v>
      </c>
      <c r="F2285" s="53" t="s">
        <v>25</v>
      </c>
      <c r="G2285" s="53" t="s">
        <v>25</v>
      </c>
      <c r="H2285" s="53" t="s">
        <v>25</v>
      </c>
      <c r="I2285" s="73">
        <v>44075</v>
      </c>
      <c r="J2285" s="74">
        <f>EFEITO!$J$2285*EFEITO!$Y$2285</f>
        <v>0</v>
      </c>
      <c r="K2285" s="74">
        <f ca="1">EFEITO!$L$2285*EFEITO!$Z$2285</f>
        <v>5229944.2879768349</v>
      </c>
      <c r="L2285" s="74">
        <f>EFEITO!$N$2285*EFEITO!$AA$2285</f>
        <v>4672675.9290932706</v>
      </c>
      <c r="M2285" s="74">
        <f>$J$2285-EFEITO!$K$2285*EFEITO!$Y$2285</f>
        <v>0</v>
      </c>
      <c r="N2285" s="74">
        <f ca="1">$K$2285-EFEITO!$M$2285*EFEITO!$Z$2285</f>
        <v>0</v>
      </c>
      <c r="O2285" s="74">
        <f>$L$2285-EFEITO!$O$2285*EFEITO!$AA$2285</f>
        <v>0</v>
      </c>
      <c r="P2285" s="57"/>
      <c r="Q2285" s="57"/>
      <c r="R2285" s="57"/>
      <c r="S2285" s="57"/>
      <c r="T2285" s="57"/>
      <c r="U2285" s="57"/>
      <c r="V2285" s="57"/>
      <c r="W2285" s="57"/>
      <c r="X2285" s="6"/>
      <c r="Y2285" s="6"/>
      <c r="Z2285" s="6"/>
      <c r="AA2285" s="6"/>
      <c r="AB2285" s="6"/>
      <c r="AC2285" s="6"/>
      <c r="AD2285" s="6"/>
      <c r="AE2285" s="6"/>
      <c r="AF2285" s="6"/>
      <c r="AG2285" s="6"/>
      <c r="AH2285" s="6"/>
      <c r="AI2285" s="6"/>
      <c r="AJ2285" s="6"/>
    </row>
  </sheetData>
  <mergeCells count="1">
    <mergeCell ref="Q1:AJ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FA16A-B1B0-45D9-AF12-875568EBF7C7}">
  <dimension ref="A1:BD173"/>
  <sheetViews>
    <sheetView showGridLines="0" topLeftCell="C73" workbookViewId="0">
      <selection activeCell="L88" sqref="L88:BD173"/>
    </sheetView>
  </sheetViews>
  <sheetFormatPr defaultColWidth="8.85546875" defaultRowHeight="11.25" customHeight="1" x14ac:dyDescent="0.25"/>
  <cols>
    <col min="1" max="1" width="9.28515625" style="9" bestFit="1" customWidth="1"/>
    <col min="2" max="2" width="23.42578125" style="9" bestFit="1" customWidth="1"/>
    <col min="3" max="3" width="33" style="9" bestFit="1" customWidth="1"/>
    <col min="4" max="4" width="56.140625" style="9" bestFit="1" customWidth="1"/>
    <col min="5" max="5" width="65.7109375" style="9" bestFit="1" customWidth="1"/>
    <col min="6" max="6" width="75.42578125" style="9" bestFit="1" customWidth="1"/>
    <col min="7" max="7" width="76.28515625" style="9" bestFit="1" customWidth="1"/>
    <col min="8" max="8" width="7.42578125" style="9" bestFit="1" customWidth="1"/>
    <col min="9" max="9" width="10" style="9" bestFit="1" customWidth="1"/>
    <col min="10" max="10" width="8.85546875" style="9"/>
    <col min="11" max="11" width="14.140625" style="9" bestFit="1" customWidth="1"/>
    <col min="12" max="12" width="4.140625" style="9" bestFit="1" customWidth="1"/>
    <col min="13" max="13" width="8.7109375" style="9" bestFit="1" customWidth="1"/>
    <col min="14" max="14" width="10" style="9" bestFit="1" customWidth="1"/>
    <col min="15" max="15" width="4.140625" style="9" bestFit="1" customWidth="1"/>
    <col min="16" max="16" width="4.42578125" style="9" bestFit="1" customWidth="1"/>
    <col min="17" max="17" width="11.7109375" style="9" bestFit="1" customWidth="1"/>
    <col min="18" max="18" width="10.85546875" style="9" bestFit="1" customWidth="1"/>
    <col min="19" max="19" width="8.7109375" style="9" bestFit="1" customWidth="1"/>
    <col min="20" max="21" width="10.85546875" style="9" bestFit="1" customWidth="1"/>
    <col min="22" max="22" width="10" style="9" bestFit="1" customWidth="1"/>
    <col min="23" max="23" width="9.85546875" style="9" bestFit="1" customWidth="1"/>
    <col min="24" max="24" width="5.140625" style="9" bestFit="1" customWidth="1"/>
    <col min="25" max="25" width="7.7109375" style="9" bestFit="1" customWidth="1"/>
    <col min="26" max="26" width="9.85546875" style="9" bestFit="1" customWidth="1"/>
    <col min="27" max="27" width="11.7109375" style="9" bestFit="1" customWidth="1"/>
    <col min="28" max="28" width="8" style="9" bestFit="1" customWidth="1"/>
    <col min="29" max="29" width="7.28515625" style="9" bestFit="1" customWidth="1"/>
    <col min="30" max="30" width="15.28515625" style="9" bestFit="1" customWidth="1"/>
    <col min="31" max="31" width="18" style="9" bestFit="1" customWidth="1"/>
    <col min="32" max="32" width="19.140625" style="9" bestFit="1" customWidth="1"/>
    <col min="33" max="33" width="10" style="9" bestFit="1" customWidth="1"/>
    <col min="34" max="34" width="8.85546875" style="9"/>
    <col min="35" max="35" width="4.140625" style="9" bestFit="1" customWidth="1"/>
    <col min="36" max="36" width="8.7109375" style="9" bestFit="1" customWidth="1"/>
    <col min="37" max="37" width="10" style="9" bestFit="1" customWidth="1"/>
    <col min="38" max="38" width="4.140625" style="9" bestFit="1" customWidth="1"/>
    <col min="39" max="39" width="4.42578125" style="9" bestFit="1" customWidth="1"/>
    <col min="40" max="40" width="11.7109375" style="9" bestFit="1" customWidth="1"/>
    <col min="41" max="41" width="10.85546875" style="9" bestFit="1" customWidth="1"/>
    <col min="42" max="42" width="8.7109375" style="9" bestFit="1" customWidth="1"/>
    <col min="43" max="44" width="10.85546875" style="9" bestFit="1" customWidth="1"/>
    <col min="45" max="45" width="10" style="9" bestFit="1" customWidth="1"/>
    <col min="46" max="46" width="9.85546875" style="9" bestFit="1" customWidth="1"/>
    <col min="47" max="47" width="5.140625" style="9" bestFit="1" customWidth="1"/>
    <col min="48" max="48" width="7.7109375" style="9" bestFit="1" customWidth="1"/>
    <col min="49" max="49" width="9.85546875" style="9" bestFit="1" customWidth="1"/>
    <col min="50" max="50" width="11.7109375" style="9" bestFit="1" customWidth="1"/>
    <col min="51" max="51" width="8" style="9" bestFit="1" customWidth="1"/>
    <col min="52" max="52" width="7.28515625" style="9" bestFit="1" customWidth="1"/>
    <col min="53" max="53" width="15.28515625" style="9" bestFit="1" customWidth="1"/>
    <col min="54" max="54" width="18" style="9" bestFit="1" customWidth="1"/>
    <col min="55" max="55" width="19.140625" style="9" bestFit="1" customWidth="1"/>
    <col min="56" max="56" width="10" style="9" bestFit="1" customWidth="1"/>
    <col min="57" max="16384" width="8.85546875" style="9"/>
  </cols>
  <sheetData>
    <row r="1" spans="1:56" ht="11.25" customHeight="1" x14ac:dyDescent="0.25">
      <c r="A1" s="120" t="s">
        <v>78</v>
      </c>
      <c r="B1" s="120" t="s">
        <v>79</v>
      </c>
      <c r="C1" s="120" t="s">
        <v>80</v>
      </c>
      <c r="D1" s="120" t="s">
        <v>81</v>
      </c>
      <c r="E1" s="120" t="s">
        <v>82</v>
      </c>
      <c r="F1" s="120" t="s">
        <v>15</v>
      </c>
      <c r="G1" s="120" t="s">
        <v>84</v>
      </c>
      <c r="H1" s="120" t="s">
        <v>85</v>
      </c>
      <c r="I1" s="120" t="s">
        <v>1055</v>
      </c>
      <c r="J1" s="112"/>
      <c r="L1" s="121" t="s">
        <v>1255</v>
      </c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  <c r="X1" s="121"/>
      <c r="Y1" s="121"/>
      <c r="Z1" s="121"/>
      <c r="AA1" s="121"/>
      <c r="AB1" s="121"/>
      <c r="AC1" s="121"/>
      <c r="AD1" s="121"/>
      <c r="AE1" s="121"/>
      <c r="AF1" s="121"/>
      <c r="AG1" s="121"/>
      <c r="AI1" s="121" t="s">
        <v>1256</v>
      </c>
      <c r="AJ1" s="121"/>
      <c r="AK1" s="121"/>
      <c r="AL1" s="121"/>
      <c r="AM1" s="121"/>
      <c r="AN1" s="121"/>
      <c r="AO1" s="121"/>
      <c r="AP1" s="121"/>
      <c r="AQ1" s="121"/>
      <c r="AR1" s="121"/>
      <c r="AS1" s="121"/>
      <c r="AT1" s="121"/>
      <c r="AU1" s="121"/>
      <c r="AV1" s="121"/>
      <c r="AW1" s="121"/>
      <c r="AX1" s="121"/>
      <c r="AY1" s="121"/>
      <c r="AZ1" s="121"/>
      <c r="BA1" s="121"/>
      <c r="BB1" s="121"/>
      <c r="BC1" s="121"/>
      <c r="BD1" s="121"/>
    </row>
    <row r="2" spans="1:56" ht="11.25" customHeight="1" x14ac:dyDescent="0.25">
      <c r="A2" s="120"/>
      <c r="B2" s="120"/>
      <c r="C2" s="120"/>
      <c r="D2" s="120"/>
      <c r="E2" s="120"/>
      <c r="F2" s="120"/>
      <c r="G2" s="120"/>
      <c r="H2" s="120"/>
      <c r="I2" s="120"/>
      <c r="J2" s="112"/>
      <c r="L2" s="121" t="s">
        <v>955</v>
      </c>
      <c r="M2" s="121"/>
      <c r="N2" s="121"/>
      <c r="O2" s="121"/>
      <c r="P2" s="121"/>
      <c r="Q2" s="121"/>
      <c r="R2" s="121"/>
      <c r="S2" s="121"/>
      <c r="T2" s="121"/>
      <c r="U2" s="121"/>
      <c r="V2" s="121"/>
      <c r="W2" s="121"/>
      <c r="X2" s="121"/>
      <c r="Y2" s="121"/>
      <c r="Z2" s="121"/>
      <c r="AA2" s="121"/>
      <c r="AB2" s="121"/>
      <c r="AC2" s="121"/>
      <c r="AD2" s="121"/>
      <c r="AE2" s="121"/>
      <c r="AF2" s="121"/>
      <c r="AG2" s="121"/>
      <c r="AI2" s="121" t="s">
        <v>955</v>
      </c>
      <c r="AJ2" s="121"/>
      <c r="AK2" s="121"/>
      <c r="AL2" s="121"/>
      <c r="AM2" s="121"/>
      <c r="AN2" s="121"/>
      <c r="AO2" s="121"/>
      <c r="AP2" s="121"/>
      <c r="AQ2" s="121"/>
      <c r="AR2" s="121"/>
      <c r="AS2" s="121"/>
      <c r="AT2" s="121"/>
      <c r="AU2" s="121"/>
      <c r="AV2" s="121"/>
      <c r="AW2" s="121"/>
      <c r="AX2" s="121"/>
      <c r="AY2" s="121"/>
      <c r="AZ2" s="121"/>
      <c r="BA2" s="121"/>
      <c r="BB2" s="121"/>
      <c r="BC2" s="121"/>
      <c r="BD2" s="121"/>
    </row>
    <row r="3" spans="1:56" ht="11.25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12"/>
      <c r="L3" s="121" t="s">
        <v>956</v>
      </c>
      <c r="M3" s="121"/>
      <c r="N3" s="121"/>
      <c r="O3" s="121"/>
      <c r="P3" s="121"/>
      <c r="Q3" s="121"/>
      <c r="R3" s="121"/>
      <c r="S3" s="121"/>
      <c r="T3" s="121" t="s">
        <v>966</v>
      </c>
      <c r="U3" s="121"/>
      <c r="V3" s="121"/>
      <c r="W3" s="121"/>
      <c r="X3" s="121"/>
      <c r="Y3" s="121"/>
      <c r="Z3" s="121"/>
      <c r="AA3" s="86" t="s">
        <v>974</v>
      </c>
      <c r="AB3" s="121" t="s">
        <v>976</v>
      </c>
      <c r="AC3" s="121"/>
      <c r="AD3" s="121" t="s">
        <v>979</v>
      </c>
      <c r="AE3" s="121"/>
      <c r="AF3" s="121"/>
      <c r="AG3" s="121"/>
      <c r="AI3" s="121" t="s">
        <v>956</v>
      </c>
      <c r="AJ3" s="121"/>
      <c r="AK3" s="121"/>
      <c r="AL3" s="121"/>
      <c r="AM3" s="121"/>
      <c r="AN3" s="121"/>
      <c r="AO3" s="121"/>
      <c r="AP3" s="121"/>
      <c r="AQ3" s="121" t="s">
        <v>966</v>
      </c>
      <c r="AR3" s="121"/>
      <c r="AS3" s="121"/>
      <c r="AT3" s="121"/>
      <c r="AU3" s="121"/>
      <c r="AV3" s="121"/>
      <c r="AW3" s="121"/>
      <c r="AX3" s="86" t="s">
        <v>974</v>
      </c>
      <c r="AY3" s="121" t="s">
        <v>976</v>
      </c>
      <c r="AZ3" s="121"/>
      <c r="BA3" s="121" t="s">
        <v>979</v>
      </c>
      <c r="BB3" s="121"/>
      <c r="BC3" s="121"/>
      <c r="BD3" s="121"/>
    </row>
    <row r="4" spans="1:56" ht="11.25" customHeight="1" x14ac:dyDescent="0.25">
      <c r="A4" s="120"/>
      <c r="B4" s="120"/>
      <c r="C4" s="120"/>
      <c r="D4" s="120"/>
      <c r="E4" s="120"/>
      <c r="F4" s="120"/>
      <c r="G4" s="120"/>
      <c r="H4" s="120"/>
      <c r="I4" s="120"/>
      <c r="J4" s="112"/>
      <c r="L4" s="86" t="s">
        <v>957</v>
      </c>
      <c r="M4" s="86" t="s">
        <v>958</v>
      </c>
      <c r="N4" s="86" t="s">
        <v>959</v>
      </c>
      <c r="O4" s="86" t="s">
        <v>960</v>
      </c>
      <c r="P4" s="86" t="s">
        <v>961</v>
      </c>
      <c r="Q4" s="86" t="s">
        <v>962</v>
      </c>
      <c r="R4" s="86" t="s">
        <v>963</v>
      </c>
      <c r="S4" s="86" t="s">
        <v>964</v>
      </c>
      <c r="T4" s="86" t="s">
        <v>967</v>
      </c>
      <c r="U4" s="86" t="s">
        <v>968</v>
      </c>
      <c r="V4" s="86" t="s">
        <v>969</v>
      </c>
      <c r="W4" s="86" t="s">
        <v>970</v>
      </c>
      <c r="X4" s="86" t="s">
        <v>971</v>
      </c>
      <c r="Y4" s="86" t="s">
        <v>972</v>
      </c>
      <c r="Z4" s="86" t="s">
        <v>973</v>
      </c>
      <c r="AA4" s="86" t="s">
        <v>975</v>
      </c>
      <c r="AB4" s="86" t="s">
        <v>977</v>
      </c>
      <c r="AC4" s="86" t="s">
        <v>978</v>
      </c>
      <c r="AD4" s="86" t="s">
        <v>980</v>
      </c>
      <c r="AE4" s="86" t="s">
        <v>981</v>
      </c>
      <c r="AF4" s="86" t="s">
        <v>982</v>
      </c>
      <c r="AG4" s="86" t="s">
        <v>983</v>
      </c>
      <c r="AI4" s="86" t="s">
        <v>957</v>
      </c>
      <c r="AJ4" s="86" t="s">
        <v>958</v>
      </c>
      <c r="AK4" s="86" t="s">
        <v>959</v>
      </c>
      <c r="AL4" s="86" t="s">
        <v>960</v>
      </c>
      <c r="AM4" s="86" t="s">
        <v>961</v>
      </c>
      <c r="AN4" s="86" t="s">
        <v>962</v>
      </c>
      <c r="AO4" s="86" t="s">
        <v>963</v>
      </c>
      <c r="AP4" s="86" t="s">
        <v>964</v>
      </c>
      <c r="AQ4" s="86" t="s">
        <v>967</v>
      </c>
      <c r="AR4" s="86" t="s">
        <v>968</v>
      </c>
      <c r="AS4" s="86" t="s">
        <v>969</v>
      </c>
      <c r="AT4" s="86" t="s">
        <v>970</v>
      </c>
      <c r="AU4" s="86" t="s">
        <v>971</v>
      </c>
      <c r="AV4" s="86" t="s">
        <v>972</v>
      </c>
      <c r="AW4" s="86" t="s">
        <v>973</v>
      </c>
      <c r="AX4" s="86" t="s">
        <v>975</v>
      </c>
      <c r="AY4" s="86" t="s">
        <v>977</v>
      </c>
      <c r="AZ4" s="86" t="s">
        <v>978</v>
      </c>
      <c r="BA4" s="86" t="s">
        <v>980</v>
      </c>
      <c r="BB4" s="86" t="s">
        <v>981</v>
      </c>
      <c r="BC4" s="86" t="s">
        <v>982</v>
      </c>
      <c r="BD4" s="86" t="s">
        <v>983</v>
      </c>
    </row>
    <row r="5" spans="1:56" ht="11.25" customHeight="1" x14ac:dyDescent="0.25">
      <c r="A5" s="119" t="s">
        <v>43</v>
      </c>
      <c r="B5" s="119" t="s">
        <v>41</v>
      </c>
      <c r="C5" s="119" t="s">
        <v>25</v>
      </c>
      <c r="D5" s="119" t="s">
        <v>25</v>
      </c>
      <c r="E5" s="119" t="s">
        <v>25</v>
      </c>
      <c r="F5" s="119" t="s">
        <v>25</v>
      </c>
      <c r="G5" s="21" t="s">
        <v>92</v>
      </c>
      <c r="H5" s="21" t="s">
        <v>91</v>
      </c>
      <c r="I5" s="21">
        <f>'MERCADO TUSD'!$U$2</f>
        <v>425013</v>
      </c>
      <c r="J5" s="17"/>
      <c r="L5" s="85">
        <f>('TUSD BE'!$L$5+'TUSD BF'!$L$5+'TUSD CVA'!$L$5)*1</f>
        <v>0</v>
      </c>
      <c r="M5" s="85">
        <f>('TUSD BE'!$M$5+'TUSD BF'!$M$5+'TUSD CVA'!$M$5)*1</f>
        <v>0</v>
      </c>
      <c r="N5" s="85">
        <f ca="1">('TUSD BE'!$N$5+'TUSD BF'!$N$5+'TUSD CVA'!$N$5)*1</f>
        <v>0</v>
      </c>
      <c r="O5" s="85">
        <f>('TUSD BE'!$O$5+'TUSD BF'!$O$5+'TUSD CVA'!$O$5)*1</f>
        <v>0</v>
      </c>
      <c r="P5" s="85">
        <f>('TUSD BE'!$P$5+'TUSD BF'!$P$5+'TUSD CVA'!$P$5)*1</f>
        <v>0</v>
      </c>
      <c r="Q5" s="85">
        <f>('TUSD BE'!$Q$5+'TUSD BF'!$Q$5+'TUSD CVA'!$Q$5)*1</f>
        <v>0</v>
      </c>
      <c r="R5" s="85">
        <f>('TUSD BE'!$R$5+'TUSD BF'!$R$5+'TUSD CVA'!$R$5)*1</f>
        <v>0</v>
      </c>
      <c r="S5" s="85">
        <f>('TUSD BE'!$S$5+'TUSD BF'!$S$5+'TUSD CVA'!$S$5)*1</f>
        <v>0</v>
      </c>
      <c r="T5" s="85">
        <f>('TUSD BE'!$U$5+'TUSD BF'!$U$5+'TUSD CVA'!$U$5)*1</f>
        <v>8.1716997949238852</v>
      </c>
      <c r="U5" s="85">
        <f>('TUSD BE'!$V$5+'TUSD BF'!$V$5+'TUSD CVA'!$V$5)*1</f>
        <v>1.9168013069616796</v>
      </c>
      <c r="V5" s="85">
        <f>('TUSD BE'!$W$5+'TUSD BF'!$W$5+'TUSD CVA'!$W$5)*1</f>
        <v>0.23485392631123025</v>
      </c>
      <c r="W5" s="85">
        <f>('TUSD BE'!$X$5+'TUSD BF'!$X$5+'TUSD CVA'!$X$5)*1</f>
        <v>0</v>
      </c>
      <c r="X5" s="85">
        <f>('TUSD BE'!$Y$5+'TUSD BF'!$Y$5+'TUSD CVA'!$Y$5)*1</f>
        <v>0</v>
      </c>
      <c r="Y5" s="85">
        <f>('TUSD BE'!$Z$5+'TUSD BF'!$Z$5+'TUSD CVA'!$Z$5)*1</f>
        <v>0</v>
      </c>
      <c r="Z5" s="85">
        <f>('TUSD BE'!$AA$5+'TUSD BF'!$AA$5+'TUSD CVA'!$AA$5)*1</f>
        <v>0</v>
      </c>
      <c r="AA5" s="85">
        <f>('TUSD BE'!$AC$5+'TUSD BF'!$AC$5+'TUSD CVA'!$AC$5)*1</f>
        <v>2.9531587692482999</v>
      </c>
      <c r="AB5" s="85">
        <f ca="1">('TUSD BE'!$AE$5+'TUSD BF'!$AE$5+'TUSD CVA'!$AE$5)*1</f>
        <v>0</v>
      </c>
      <c r="AC5" s="85">
        <f ca="1">('TUSD BE'!$AF$5+'TUSD BF'!$AF$5+'TUSD CVA'!$AF$5)*1</f>
        <v>0</v>
      </c>
      <c r="AD5" s="85">
        <f>('TUSD BE'!$AH$5+'TUSD BF'!$AH$5+'TUSD CVA'!$AH$5)*1</f>
        <v>0</v>
      </c>
      <c r="AE5" s="85">
        <f>('TUSD BE'!$AI$5+'TUSD BF'!$AI$5+'TUSD CVA'!$AI$5)*1</f>
        <v>0</v>
      </c>
      <c r="AF5" s="85">
        <f ca="1">('TUSD BE'!$AJ$5+'TUSD BF'!$AJ$5+'TUSD CVA'!$AJ$5)*1</f>
        <v>0</v>
      </c>
      <c r="AG5" s="85">
        <f ca="1">('TUSD BE'!$AK$5+'TUSD BF'!$AK$5+'TUSD CVA'!$AK$5)*1</f>
        <v>0</v>
      </c>
      <c r="AI5" s="85">
        <v>0</v>
      </c>
      <c r="AJ5" s="85">
        <v>0</v>
      </c>
      <c r="AK5" s="85">
        <v>0</v>
      </c>
      <c r="AL5" s="85">
        <v>0</v>
      </c>
      <c r="AM5" s="85">
        <v>0</v>
      </c>
      <c r="AN5" s="85">
        <v>0</v>
      </c>
      <c r="AO5" s="85">
        <v>0</v>
      </c>
      <c r="AP5" s="85">
        <v>0</v>
      </c>
      <c r="AQ5" s="85">
        <v>5.15471820434189</v>
      </c>
      <c r="AR5" s="85">
        <v>1.2957914446335199</v>
      </c>
      <c r="AS5" s="85">
        <v>0.152271226107737</v>
      </c>
      <c r="AT5" s="85">
        <v>0</v>
      </c>
      <c r="AU5" s="85">
        <v>0</v>
      </c>
      <c r="AV5" s="85">
        <v>0</v>
      </c>
      <c r="AW5" s="85">
        <v>0</v>
      </c>
      <c r="AX5" s="85">
        <v>2.8646360419221</v>
      </c>
      <c r="AY5" s="85">
        <v>0</v>
      </c>
      <c r="AZ5" s="85">
        <v>0</v>
      </c>
      <c r="BA5" s="85">
        <v>0</v>
      </c>
      <c r="BB5" s="85">
        <v>0</v>
      </c>
      <c r="BC5" s="85">
        <v>0</v>
      </c>
      <c r="BD5" s="85">
        <v>0</v>
      </c>
    </row>
    <row r="6" spans="1:56" ht="11.25" customHeight="1" x14ac:dyDescent="0.25">
      <c r="A6" s="119"/>
      <c r="B6" s="119"/>
      <c r="C6" s="119"/>
      <c r="D6" s="119"/>
      <c r="E6" s="119"/>
      <c r="F6" s="119"/>
      <c r="G6" s="21" t="s">
        <v>93</v>
      </c>
      <c r="H6" s="21" t="s">
        <v>91</v>
      </c>
      <c r="I6" s="21">
        <f>'MERCADO TUSD'!$U$3</f>
        <v>1106400</v>
      </c>
      <c r="J6" s="17"/>
      <c r="L6" s="85">
        <f>('TUSD BE'!$L$6+'TUSD BF'!$L$6+'TUSD CVA'!$L$6)*1</f>
        <v>0</v>
      </c>
      <c r="M6" s="85">
        <f>('TUSD BE'!$M$6+'TUSD BF'!$M$6+'TUSD CVA'!$M$6)*1</f>
        <v>0</v>
      </c>
      <c r="N6" s="85">
        <f ca="1">('TUSD BE'!$N$6+'TUSD BF'!$N$6+'TUSD CVA'!$N$6)*1</f>
        <v>0</v>
      </c>
      <c r="O6" s="85">
        <f>('TUSD BE'!$O$6+'TUSD BF'!$O$6+'TUSD CVA'!$O$6)*1</f>
        <v>0</v>
      </c>
      <c r="P6" s="85">
        <f>('TUSD BE'!$P$6+'TUSD BF'!$P$6+'TUSD CVA'!$P$6)*1</f>
        <v>0</v>
      </c>
      <c r="Q6" s="85">
        <f>('TUSD BE'!$Q$6+'TUSD BF'!$Q$6+'TUSD CVA'!$Q$6)*1</f>
        <v>0</v>
      </c>
      <c r="R6" s="85">
        <f>('TUSD BE'!$R$6+'TUSD BF'!$R$6+'TUSD CVA'!$R$6)*1</f>
        <v>0</v>
      </c>
      <c r="S6" s="85">
        <f>('TUSD BE'!$S$6+'TUSD BF'!$S$6+'TUSD CVA'!$S$6)*1</f>
        <v>0</v>
      </c>
      <c r="T6" s="85">
        <f>('TUSD BE'!$U$6+'TUSD BF'!$U$6+'TUSD CVA'!$U$6)*1</f>
        <v>6.3006524090579958</v>
      </c>
      <c r="U6" s="85">
        <f>('TUSD BE'!$V$6+'TUSD BF'!$V$6+'TUSD CVA'!$V$6)*1</f>
        <v>1.5192497174346373</v>
      </c>
      <c r="V6" s="85">
        <f>('TUSD BE'!$W$6+'TUSD BF'!$W$6+'TUSD CVA'!$W$6)*1</f>
        <v>0.16715368734906441</v>
      </c>
      <c r="W6" s="85">
        <f>('TUSD BE'!$X$6+'TUSD BF'!$X$6+'TUSD CVA'!$X$6)*1</f>
        <v>0</v>
      </c>
      <c r="X6" s="85">
        <f>('TUSD BE'!$Y$6+'TUSD BF'!$Y$6+'TUSD CVA'!$Y$6)*1</f>
        <v>0</v>
      </c>
      <c r="Y6" s="85">
        <f>('TUSD BE'!$Z$6+'TUSD BF'!$Z$6+'TUSD CVA'!$Z$6)*1</f>
        <v>0</v>
      </c>
      <c r="Z6" s="85">
        <f>('TUSD BE'!$AA$6+'TUSD BF'!$AA$6+'TUSD CVA'!$AA$6)*1</f>
        <v>0</v>
      </c>
      <c r="AA6" s="85">
        <f>('TUSD BE'!$AC$6+'TUSD BF'!$AC$6+'TUSD CVA'!$AC$6)*1</f>
        <v>0.29531587692482997</v>
      </c>
      <c r="AB6" s="85">
        <f ca="1">('TUSD BE'!$AE$6+'TUSD BF'!$AE$6+'TUSD CVA'!$AE$6)*1</f>
        <v>0</v>
      </c>
      <c r="AC6" s="85">
        <f ca="1">('TUSD BE'!$AF$6+'TUSD BF'!$AF$6+'TUSD CVA'!$AF$6)*1</f>
        <v>0</v>
      </c>
      <c r="AD6" s="85">
        <f>('TUSD BE'!$AH$6+'TUSD BF'!$AH$6+'TUSD CVA'!$AH$6)*1</f>
        <v>0</v>
      </c>
      <c r="AE6" s="85">
        <f>('TUSD BE'!$AI$6+'TUSD BF'!$AI$6+'TUSD CVA'!$AI$6)*1</f>
        <v>0</v>
      </c>
      <c r="AF6" s="85">
        <f ca="1">('TUSD BE'!$AJ$6+'TUSD BF'!$AJ$6+'TUSD CVA'!$AJ$6)*1</f>
        <v>0</v>
      </c>
      <c r="AG6" s="85">
        <f ca="1">('TUSD BE'!$AK$6+'TUSD BF'!$AK$6+'TUSD CVA'!$AK$6)*1</f>
        <v>0</v>
      </c>
      <c r="AI6" s="85">
        <v>0</v>
      </c>
      <c r="AJ6" s="85">
        <v>0</v>
      </c>
      <c r="AK6" s="85">
        <v>0</v>
      </c>
      <c r="AL6" s="85">
        <v>0</v>
      </c>
      <c r="AM6" s="85">
        <v>0</v>
      </c>
      <c r="AN6" s="85">
        <v>0</v>
      </c>
      <c r="AO6" s="85">
        <v>0</v>
      </c>
      <c r="AP6" s="85">
        <v>0</v>
      </c>
      <c r="AQ6" s="85">
        <v>3.9744592296913099</v>
      </c>
      <c r="AR6" s="85">
        <v>1.02703956793215</v>
      </c>
      <c r="AS6" s="85">
        <v>0.10837671450015</v>
      </c>
      <c r="AT6" s="85">
        <v>0</v>
      </c>
      <c r="AU6" s="85">
        <v>0</v>
      </c>
      <c r="AV6" s="85">
        <v>0</v>
      </c>
      <c r="AW6" s="85">
        <v>0</v>
      </c>
      <c r="AX6" s="85">
        <v>0.28646360419221001</v>
      </c>
      <c r="AY6" s="85">
        <v>0</v>
      </c>
      <c r="AZ6" s="85">
        <v>0</v>
      </c>
      <c r="BA6" s="85">
        <v>0</v>
      </c>
      <c r="BB6" s="85">
        <v>0</v>
      </c>
      <c r="BC6" s="85">
        <v>0</v>
      </c>
      <c r="BD6" s="85">
        <v>0</v>
      </c>
    </row>
    <row r="7" spans="1:56" ht="11.25" customHeight="1" x14ac:dyDescent="0.25">
      <c r="A7" s="119"/>
      <c r="B7" s="119"/>
      <c r="C7" s="119"/>
      <c r="D7" s="119"/>
      <c r="E7" s="119"/>
      <c r="F7" s="119"/>
      <c r="G7" s="21" t="s">
        <v>94</v>
      </c>
      <c r="H7" s="21" t="s">
        <v>88</v>
      </c>
      <c r="I7" s="21">
        <f>'MERCADO TUSD'!$U$4</f>
        <v>381591.69400000002</v>
      </c>
      <c r="J7" s="17"/>
      <c r="L7" s="85">
        <f>('TUSD BE'!$L$7+'TUSD BF'!$L$7+'TUSD CVA'!$L$7)*1</f>
        <v>0</v>
      </c>
      <c r="M7" s="85">
        <f>('TUSD BE'!$M$7+'TUSD BF'!$M$7+'TUSD CVA'!$M$7)*1</f>
        <v>2.8102494852723425E-2</v>
      </c>
      <c r="N7" s="85">
        <f ca="1">('TUSD BE'!$N$7+'TUSD BF'!$N$7+'TUSD CVA'!$N$7)*1</f>
        <v>0.20576672421417397</v>
      </c>
      <c r="O7" s="85">
        <f>('TUSD BE'!$O$7+'TUSD BF'!$O$7+'TUSD CVA'!$O$7)*1</f>
        <v>0</v>
      </c>
      <c r="P7" s="85">
        <f>('TUSD BE'!$P$7+'TUSD BF'!$P$7+'TUSD CVA'!$P$7)*1</f>
        <v>0</v>
      </c>
      <c r="Q7" s="85">
        <f>('TUSD BE'!$Q$7+'TUSD BF'!$Q$7+'TUSD CVA'!$Q$7)*1</f>
        <v>48.450001619515234</v>
      </c>
      <c r="R7" s="85">
        <f>('TUSD BE'!$R$7+'TUSD BF'!$R$7+'TUSD CVA'!$R$7)*1</f>
        <v>6.9769367212194551</v>
      </c>
      <c r="S7" s="85">
        <f>('TUSD BE'!$S$7+'TUSD BF'!$S$7+'TUSD CVA'!$S$7)*1</f>
        <v>0</v>
      </c>
      <c r="T7" s="85">
        <f>('TUSD BE'!$U$7+'TUSD BF'!$U$7+'TUSD CVA'!$U$7)*1</f>
        <v>0</v>
      </c>
      <c r="U7" s="85">
        <f>('TUSD BE'!$V$7+'TUSD BF'!$V$7+'TUSD CVA'!$V$7)*1</f>
        <v>0</v>
      </c>
      <c r="V7" s="85">
        <f>('TUSD BE'!$W$7+'TUSD BF'!$W$7+'TUSD CVA'!$W$7)*1</f>
        <v>0</v>
      </c>
      <c r="W7" s="85">
        <f>('TUSD BE'!$X$7+'TUSD BF'!$X$7+'TUSD CVA'!$X$7)*1</f>
        <v>0</v>
      </c>
      <c r="X7" s="85">
        <f>('TUSD BE'!$Y$7+'TUSD BF'!$Y$7+'TUSD CVA'!$Y$7)*1</f>
        <v>0</v>
      </c>
      <c r="Y7" s="85">
        <f>('TUSD BE'!$Z$7+'TUSD BF'!$Z$7+'TUSD CVA'!$Z$7)*1</f>
        <v>0</v>
      </c>
      <c r="Z7" s="85">
        <f>('TUSD BE'!$AA$7+'TUSD BF'!$AA$7+'TUSD CVA'!$AA$7)*1</f>
        <v>0</v>
      </c>
      <c r="AA7" s="85">
        <f>('TUSD BE'!$AC$7+'TUSD BF'!$AC$7+'TUSD CVA'!$AC$7)*1</f>
        <v>0</v>
      </c>
      <c r="AB7" s="85">
        <f ca="1">('TUSD BE'!$AE$7+'TUSD BF'!$AE$7+'TUSD CVA'!$AE$7)*1</f>
        <v>0</v>
      </c>
      <c r="AC7" s="85">
        <f ca="1">('TUSD BE'!$AF$7+'TUSD BF'!$AF$7+'TUSD CVA'!$AF$7)*1</f>
        <v>0</v>
      </c>
      <c r="AD7" s="85">
        <f>('TUSD BE'!$AH$7+'TUSD BF'!$AH$7+'TUSD CVA'!$AH$7)*1</f>
        <v>4.1146940871310518</v>
      </c>
      <c r="AE7" s="85">
        <f>('TUSD BE'!$AI$7+'TUSD BF'!$AI$7+'TUSD CVA'!$AI$7)*1</f>
        <v>0.15466454288549217</v>
      </c>
      <c r="AF7" s="85">
        <f ca="1">('TUSD BE'!$AJ$7+'TUSD BF'!$AJ$7+'TUSD CVA'!$AJ$7)*1</f>
        <v>3.2552635659932445</v>
      </c>
      <c r="AG7" s="85">
        <f ca="1">('TUSD BE'!$AK$7+'TUSD BF'!$AK$7+'TUSD CVA'!$AK$7)*1</f>
        <v>0.8367115918703385</v>
      </c>
      <c r="AI7" s="85">
        <v>0</v>
      </c>
      <c r="AJ7" s="85">
        <v>3.2609090971535498E-2</v>
      </c>
      <c r="AK7" s="85">
        <v>0.20379107562915</v>
      </c>
      <c r="AL7" s="85">
        <v>0</v>
      </c>
      <c r="AM7" s="85">
        <v>0</v>
      </c>
      <c r="AN7" s="85">
        <v>42.463937613164298</v>
      </c>
      <c r="AO7" s="85">
        <v>10.198150985874999</v>
      </c>
      <c r="AP7" s="85">
        <v>0</v>
      </c>
      <c r="AQ7" s="85">
        <v>0</v>
      </c>
      <c r="AR7" s="85">
        <v>0</v>
      </c>
      <c r="AS7" s="85">
        <v>0</v>
      </c>
      <c r="AT7" s="85">
        <v>0</v>
      </c>
      <c r="AU7" s="85">
        <v>0</v>
      </c>
      <c r="AV7" s="85">
        <v>0</v>
      </c>
      <c r="AW7" s="85">
        <v>0</v>
      </c>
      <c r="AX7" s="85">
        <v>0</v>
      </c>
      <c r="AY7" s="85">
        <v>0</v>
      </c>
      <c r="AZ7" s="85">
        <v>0</v>
      </c>
      <c r="BA7" s="85">
        <v>4.9569745183052802</v>
      </c>
      <c r="BB7" s="85">
        <v>0.18552648970525501</v>
      </c>
      <c r="BC7" s="85">
        <v>3.8157180079976198</v>
      </c>
      <c r="BD7" s="85">
        <v>0.79651134548541402</v>
      </c>
    </row>
    <row r="8" spans="1:56" ht="11.25" customHeight="1" x14ac:dyDescent="0.25">
      <c r="A8" s="119"/>
      <c r="B8" s="119"/>
      <c r="C8" s="119"/>
      <c r="D8" s="119"/>
      <c r="E8" s="87" t="s">
        <v>61</v>
      </c>
      <c r="F8" s="87" t="s">
        <v>25</v>
      </c>
      <c r="G8" s="21" t="s">
        <v>94</v>
      </c>
      <c r="H8" s="21" t="s">
        <v>88</v>
      </c>
      <c r="I8" s="21">
        <f>'MERCADO TUSD'!$U$5</f>
        <v>110588.63</v>
      </c>
      <c r="J8" s="17"/>
      <c r="L8" s="85">
        <f>('TUSD BE'!$L$8+'TUSD BF'!$L$8+'TUSD CVA'!$L$8)*1</f>
        <v>0</v>
      </c>
      <c r="M8" s="85">
        <f>('TUSD BE'!$M$8+'TUSD BF'!$M$8+'TUSD CVA'!$M$8)*1</f>
        <v>2.8102494852723425E-2</v>
      </c>
      <c r="N8" s="85">
        <f ca="1">('TUSD BE'!$N$8+'TUSD BF'!$N$8+'TUSD CVA'!$N$8)*1</f>
        <v>0.19129622095290263</v>
      </c>
      <c r="O8" s="85">
        <f>('TUSD BE'!$O$8+'TUSD BF'!$O$8+'TUSD CVA'!$O$8)*1</f>
        <v>0</v>
      </c>
      <c r="P8" s="85">
        <f>('TUSD BE'!$P$8+'TUSD BF'!$P$8+'TUSD CVA'!$P$8)*1</f>
        <v>0</v>
      </c>
      <c r="Q8" s="85">
        <f>('TUSD BE'!$Q$8+'TUSD BF'!$Q$8+'TUSD CVA'!$Q$8)*1</f>
        <v>0</v>
      </c>
      <c r="R8" s="85">
        <f>('TUSD BE'!$R$8+'TUSD BF'!$R$8+'TUSD CVA'!$R$8)*1</f>
        <v>0</v>
      </c>
      <c r="S8" s="85">
        <f>('TUSD BE'!$S$8+'TUSD BF'!$S$8+'TUSD CVA'!$S$8)*1</f>
        <v>0</v>
      </c>
      <c r="T8" s="85">
        <f>('TUSD BE'!$U$8+'TUSD BF'!$U$8+'TUSD CVA'!$U$8)*1</f>
        <v>0</v>
      </c>
      <c r="U8" s="85">
        <f>('TUSD BE'!$V$8+'TUSD BF'!$V$8+'TUSD CVA'!$V$8)*1</f>
        <v>0</v>
      </c>
      <c r="V8" s="85">
        <f>('TUSD BE'!$W$8+'TUSD BF'!$W$8+'TUSD CVA'!$W$8)*1</f>
        <v>0</v>
      </c>
      <c r="W8" s="85">
        <f>('TUSD BE'!$X$8+'TUSD BF'!$X$8+'TUSD CVA'!$X$8)*1</f>
        <v>0</v>
      </c>
      <c r="X8" s="85">
        <f>('TUSD BE'!$Y$8+'TUSD BF'!$Y$8+'TUSD CVA'!$Y$8)*1</f>
        <v>0</v>
      </c>
      <c r="Y8" s="85">
        <f>('TUSD BE'!$Z$8+'TUSD BF'!$Z$8+'TUSD CVA'!$Z$8)*1</f>
        <v>0</v>
      </c>
      <c r="Z8" s="85">
        <f>('TUSD BE'!$AA$8+'TUSD BF'!$AA$8+'TUSD CVA'!$AA$8)*1</f>
        <v>0</v>
      </c>
      <c r="AA8" s="85">
        <f>('TUSD BE'!$AC$8+'TUSD BF'!$AC$8+'TUSD CVA'!$AC$8)*1</f>
        <v>0</v>
      </c>
      <c r="AB8" s="85">
        <f ca="1">('TUSD BE'!$AE$8+'TUSD BF'!$AE$8+'TUSD CVA'!$AE$8)*1</f>
        <v>0</v>
      </c>
      <c r="AC8" s="85">
        <f ca="1">('TUSD BE'!$AF$8+'TUSD BF'!$AF$8+'TUSD CVA'!$AF$8)*1</f>
        <v>0</v>
      </c>
      <c r="AD8" s="85">
        <f>('TUSD BE'!$AH$8+'TUSD BF'!$AH$8+'TUSD CVA'!$AH$8)*1</f>
        <v>4.1146940871310518</v>
      </c>
      <c r="AE8" s="85">
        <f>('TUSD BE'!$AI$8+'TUSD BF'!$AI$8+'TUSD CVA'!$AI$8)*1</f>
        <v>0.15466454288549217</v>
      </c>
      <c r="AF8" s="85">
        <f ca="1">('TUSD BE'!$AJ$8+'TUSD BF'!$AJ$8+'TUSD CVA'!$AJ$8)*1</f>
        <v>3.2552635659932445</v>
      </c>
      <c r="AG8" s="85">
        <f ca="1">('TUSD BE'!$AK$8+'TUSD BF'!$AK$8+'TUSD CVA'!$AK$8)*1</f>
        <v>0.8367115918703385</v>
      </c>
      <c r="AI8" s="85">
        <v>0</v>
      </c>
      <c r="AJ8" s="85">
        <v>3.2609090971535498E-2</v>
      </c>
      <c r="AK8" s="85">
        <v>0.188688729364724</v>
      </c>
      <c r="AL8" s="85">
        <v>0</v>
      </c>
      <c r="AM8" s="85">
        <v>0</v>
      </c>
      <c r="AN8" s="85">
        <v>0</v>
      </c>
      <c r="AO8" s="85">
        <v>0</v>
      </c>
      <c r="AP8" s="85">
        <v>0</v>
      </c>
      <c r="AQ8" s="85">
        <v>0</v>
      </c>
      <c r="AR8" s="85">
        <v>0</v>
      </c>
      <c r="AS8" s="85">
        <v>0</v>
      </c>
      <c r="AT8" s="85">
        <v>0</v>
      </c>
      <c r="AU8" s="85">
        <v>0</v>
      </c>
      <c r="AV8" s="85">
        <v>0</v>
      </c>
      <c r="AW8" s="85">
        <v>0</v>
      </c>
      <c r="AX8" s="85">
        <v>0</v>
      </c>
      <c r="AY8" s="85">
        <v>0</v>
      </c>
      <c r="AZ8" s="85">
        <v>0</v>
      </c>
      <c r="BA8" s="85">
        <v>4.9569745183052802</v>
      </c>
      <c r="BB8" s="85">
        <v>0.18552648970525501</v>
      </c>
      <c r="BC8" s="85">
        <v>3.8157180079976198</v>
      </c>
      <c r="BD8" s="85">
        <v>0.79651134548541402</v>
      </c>
    </row>
    <row r="9" spans="1:56" ht="11.25" customHeight="1" x14ac:dyDescent="0.25">
      <c r="A9" s="119"/>
      <c r="B9" s="119" t="s">
        <v>67</v>
      </c>
      <c r="C9" s="119" t="s">
        <v>25</v>
      </c>
      <c r="D9" s="119" t="s">
        <v>25</v>
      </c>
      <c r="E9" s="119" t="s">
        <v>25</v>
      </c>
      <c r="F9" s="119" t="s">
        <v>68</v>
      </c>
      <c r="G9" s="21" t="s">
        <v>92</v>
      </c>
      <c r="H9" s="21" t="s">
        <v>91</v>
      </c>
      <c r="I9" s="21">
        <f>'MERCADO TUSD'!$U$6</f>
        <v>648000</v>
      </c>
      <c r="J9" s="17"/>
      <c r="L9" s="85">
        <f>('TUSD BE'!$L$9+'TUSD BF'!$L$9+'TUSD CVA'!$L$9)*1</f>
        <v>0</v>
      </c>
      <c r="M9" s="85">
        <f>('TUSD BE'!$M$9+'TUSD BF'!$M$9+'TUSD CVA'!$M$9)*1</f>
        <v>0</v>
      </c>
      <c r="N9" s="85">
        <f ca="1">('TUSD BE'!$N$9+'TUSD BF'!$N$9+'TUSD CVA'!$N$9)*1</f>
        <v>0</v>
      </c>
      <c r="O9" s="85">
        <f>('TUSD BE'!$O$9+'TUSD BF'!$O$9+'TUSD CVA'!$O$9)*1</f>
        <v>0</v>
      </c>
      <c r="P9" s="85">
        <f>('TUSD BE'!$P$9+'TUSD BF'!$P$9+'TUSD CVA'!$P$9)*1</f>
        <v>0</v>
      </c>
      <c r="Q9" s="85">
        <f>('TUSD BE'!$Q$9+'TUSD BF'!$Q$9+'TUSD CVA'!$Q$9)*1</f>
        <v>0</v>
      </c>
      <c r="R9" s="85">
        <f>('TUSD BE'!$R$9+'TUSD BF'!$R$9+'TUSD CVA'!$R$9)*1</f>
        <v>0</v>
      </c>
      <c r="S9" s="85">
        <f>('TUSD BE'!$S$9+'TUSD BF'!$S$9+'TUSD CVA'!$S$9)*1</f>
        <v>0</v>
      </c>
      <c r="T9" s="85">
        <f>('TUSD BE'!$U$9+'TUSD BF'!$U$9+'TUSD CVA'!$U$9)*1</f>
        <v>8.1716997949238852</v>
      </c>
      <c r="U9" s="85">
        <f>('TUSD BE'!$V$9+'TUSD BF'!$V$9+'TUSD CVA'!$V$9)*1</f>
        <v>1.9168013069616796</v>
      </c>
      <c r="V9" s="85">
        <f>('TUSD BE'!$W$9+'TUSD BF'!$W$9+'TUSD CVA'!$W$9)*1</f>
        <v>0.23485392631123025</v>
      </c>
      <c r="W9" s="85">
        <f>('TUSD BE'!$X$9+'TUSD BF'!$X$9+'TUSD CVA'!$X$9)*1</f>
        <v>0</v>
      </c>
      <c r="X9" s="85">
        <f>('TUSD BE'!$Y$9+'TUSD BF'!$Y$9+'TUSD CVA'!$Y$9)*1</f>
        <v>0</v>
      </c>
      <c r="Y9" s="85">
        <f>('TUSD BE'!$Z$9+'TUSD BF'!$Z$9+'TUSD CVA'!$Z$9)*1</f>
        <v>0</v>
      </c>
      <c r="Z9" s="85">
        <f>('TUSD BE'!$AA$9+'TUSD BF'!$AA$9+'TUSD CVA'!$AA$9)*1</f>
        <v>0</v>
      </c>
      <c r="AA9" s="85">
        <f>('TUSD BE'!$AC$9+'TUSD BF'!$AC$9+'TUSD CVA'!$AC$9)*1</f>
        <v>2.9531587692482999</v>
      </c>
      <c r="AB9" s="85">
        <f>('TUSD BE'!$AE$9+'TUSD BF'!$AE$9+'TUSD CVA'!$AE$9)*1</f>
        <v>0</v>
      </c>
      <c r="AC9" s="85">
        <f ca="1">('TUSD BE'!$AF$9+'TUSD BF'!$AF$9+'TUSD CVA'!$AF$9)*1</f>
        <v>0</v>
      </c>
      <c r="AD9" s="85">
        <f>('TUSD BE'!$AH$9+'TUSD BF'!$AH$9+'TUSD CVA'!$AH$9)*1</f>
        <v>0</v>
      </c>
      <c r="AE9" s="85">
        <f>('TUSD BE'!$AI$9+'TUSD BF'!$AI$9+'TUSD CVA'!$AI$9)*1</f>
        <v>0</v>
      </c>
      <c r="AF9" s="85">
        <f ca="1">('TUSD BE'!$AJ$9+'TUSD BF'!$AJ$9+'TUSD CVA'!$AJ$9)*1</f>
        <v>0</v>
      </c>
      <c r="AG9" s="85">
        <f ca="1">('TUSD BE'!$AK$9+'TUSD BF'!$AK$9+'TUSD CVA'!$AK$9)*1</f>
        <v>0</v>
      </c>
      <c r="AI9" s="85">
        <v>0</v>
      </c>
      <c r="AJ9" s="85">
        <v>0</v>
      </c>
      <c r="AK9" s="85">
        <v>0</v>
      </c>
      <c r="AL9" s="85">
        <v>0</v>
      </c>
      <c r="AM9" s="85">
        <v>0</v>
      </c>
      <c r="AN9" s="85">
        <v>0</v>
      </c>
      <c r="AO9" s="85">
        <v>0</v>
      </c>
      <c r="AP9" s="85">
        <v>0</v>
      </c>
      <c r="AQ9" s="85">
        <v>5.15471820434189</v>
      </c>
      <c r="AR9" s="85">
        <v>1.2957914446335199</v>
      </c>
      <c r="AS9" s="85">
        <v>0.152271226107737</v>
      </c>
      <c r="AT9" s="85">
        <v>0</v>
      </c>
      <c r="AU9" s="85">
        <v>0</v>
      </c>
      <c r="AV9" s="85">
        <v>0</v>
      </c>
      <c r="AW9" s="85">
        <v>0</v>
      </c>
      <c r="AX9" s="85">
        <v>2.8646360419221</v>
      </c>
      <c r="AY9" s="85">
        <v>0</v>
      </c>
      <c r="AZ9" s="85">
        <v>0</v>
      </c>
      <c r="BA9" s="85">
        <v>0</v>
      </c>
      <c r="BB9" s="85">
        <v>0</v>
      </c>
      <c r="BC9" s="85">
        <v>0</v>
      </c>
      <c r="BD9" s="85">
        <v>0</v>
      </c>
    </row>
    <row r="10" spans="1:56" ht="11.25" customHeight="1" x14ac:dyDescent="0.25">
      <c r="A10" s="119"/>
      <c r="B10" s="119"/>
      <c r="C10" s="119"/>
      <c r="D10" s="119"/>
      <c r="E10" s="119"/>
      <c r="F10" s="119"/>
      <c r="G10" s="21" t="s">
        <v>93</v>
      </c>
      <c r="H10" s="21" t="s">
        <v>91</v>
      </c>
      <c r="I10" s="21">
        <f>'MERCADO TUSD'!$U$7</f>
        <v>751668</v>
      </c>
      <c r="J10" s="17"/>
      <c r="L10" s="85">
        <f>('TUSD BE'!$L$10+'TUSD BF'!$L$10+'TUSD CVA'!$L$10)*1</f>
        <v>0</v>
      </c>
      <c r="M10" s="85">
        <f>('TUSD BE'!$M$10+'TUSD BF'!$M$10+'TUSD CVA'!$M$10)*1</f>
        <v>0</v>
      </c>
      <c r="N10" s="85">
        <f ca="1">('TUSD BE'!$N$10+'TUSD BF'!$N$10+'TUSD CVA'!$N$10)*1</f>
        <v>0</v>
      </c>
      <c r="O10" s="85">
        <f>('TUSD BE'!$O$10+'TUSD BF'!$O$10+'TUSD CVA'!$O$10)*1</f>
        <v>0</v>
      </c>
      <c r="P10" s="85">
        <f>('TUSD BE'!$P$10+'TUSD BF'!$P$10+'TUSD CVA'!$P$10)*1</f>
        <v>0</v>
      </c>
      <c r="Q10" s="85">
        <f>('TUSD BE'!$Q$10+'TUSD BF'!$Q$10+'TUSD CVA'!$Q$10)*1</f>
        <v>0</v>
      </c>
      <c r="R10" s="85">
        <f>('TUSD BE'!$R$10+'TUSD BF'!$R$10+'TUSD CVA'!$R$10)*1</f>
        <v>0</v>
      </c>
      <c r="S10" s="85">
        <f>('TUSD BE'!$S$10+'TUSD BF'!$S$10+'TUSD CVA'!$S$10)*1</f>
        <v>0</v>
      </c>
      <c r="T10" s="85">
        <f>('TUSD BE'!$U$10+'TUSD BF'!$U$10+'TUSD CVA'!$U$10)*1</f>
        <v>6.3006524090579958</v>
      </c>
      <c r="U10" s="85">
        <f>('TUSD BE'!$V$10+'TUSD BF'!$V$10+'TUSD CVA'!$V$10)*1</f>
        <v>1.5192497174346373</v>
      </c>
      <c r="V10" s="85">
        <f>('TUSD BE'!$W$10+'TUSD BF'!$W$10+'TUSD CVA'!$W$10)*1</f>
        <v>0.16715368734906441</v>
      </c>
      <c r="W10" s="85">
        <f>('TUSD BE'!$X$10+'TUSD BF'!$X$10+'TUSD CVA'!$X$10)*1</f>
        <v>0</v>
      </c>
      <c r="X10" s="85">
        <f>('TUSD BE'!$Y$10+'TUSD BF'!$Y$10+'TUSD CVA'!$Y$10)*1</f>
        <v>0</v>
      </c>
      <c r="Y10" s="85">
        <f>('TUSD BE'!$Z$10+'TUSD BF'!$Z$10+'TUSD CVA'!$Z$10)*1</f>
        <v>0</v>
      </c>
      <c r="Z10" s="85">
        <f>('TUSD BE'!$AA$10+'TUSD BF'!$AA$10+'TUSD CVA'!$AA$10)*1</f>
        <v>0</v>
      </c>
      <c r="AA10" s="85">
        <f>('TUSD BE'!$AC$10+'TUSD BF'!$AC$10+'TUSD CVA'!$AC$10)*1</f>
        <v>0.29531587692482997</v>
      </c>
      <c r="AB10" s="85">
        <f>('TUSD BE'!$AE$10+'TUSD BF'!$AE$10+'TUSD CVA'!$AE$10)*1</f>
        <v>0</v>
      </c>
      <c r="AC10" s="85">
        <f ca="1">('TUSD BE'!$AF$10+'TUSD BF'!$AF$10+'TUSD CVA'!$AF$10)*1</f>
        <v>0</v>
      </c>
      <c r="AD10" s="85">
        <f>('TUSD BE'!$AH$10+'TUSD BF'!$AH$10+'TUSD CVA'!$AH$10)*1</f>
        <v>0</v>
      </c>
      <c r="AE10" s="85">
        <f>('TUSD BE'!$AI$10+'TUSD BF'!$AI$10+'TUSD CVA'!$AI$10)*1</f>
        <v>0</v>
      </c>
      <c r="AF10" s="85">
        <f ca="1">('TUSD BE'!$AJ$10+'TUSD BF'!$AJ$10+'TUSD CVA'!$AJ$10)*1</f>
        <v>0</v>
      </c>
      <c r="AG10" s="85">
        <f ca="1">('TUSD BE'!$AK$10+'TUSD BF'!$AK$10+'TUSD CVA'!$AK$10)*1</f>
        <v>0</v>
      </c>
      <c r="AI10" s="85">
        <v>0</v>
      </c>
      <c r="AJ10" s="85">
        <v>0</v>
      </c>
      <c r="AK10" s="85">
        <v>0</v>
      </c>
      <c r="AL10" s="85">
        <v>0</v>
      </c>
      <c r="AM10" s="85">
        <v>0</v>
      </c>
      <c r="AN10" s="85">
        <v>0</v>
      </c>
      <c r="AO10" s="85">
        <v>0</v>
      </c>
      <c r="AP10" s="85">
        <v>0</v>
      </c>
      <c r="AQ10" s="85">
        <v>3.9744592296913099</v>
      </c>
      <c r="AR10" s="85">
        <v>1.02703956793215</v>
      </c>
      <c r="AS10" s="85">
        <v>0.10837671450015</v>
      </c>
      <c r="AT10" s="85">
        <v>0</v>
      </c>
      <c r="AU10" s="85">
        <v>0</v>
      </c>
      <c r="AV10" s="85">
        <v>0</v>
      </c>
      <c r="AW10" s="85">
        <v>0</v>
      </c>
      <c r="AX10" s="85">
        <v>0.28646360419221001</v>
      </c>
      <c r="AY10" s="85">
        <v>0</v>
      </c>
      <c r="AZ10" s="85">
        <v>0</v>
      </c>
      <c r="BA10" s="85">
        <v>0</v>
      </c>
      <c r="BB10" s="85">
        <v>0</v>
      </c>
      <c r="BC10" s="85">
        <v>0</v>
      </c>
      <c r="BD10" s="85">
        <v>0</v>
      </c>
    </row>
    <row r="11" spans="1:56" ht="11.25" customHeight="1" x14ac:dyDescent="0.25">
      <c r="A11" s="119"/>
      <c r="B11" s="119"/>
      <c r="C11" s="119"/>
      <c r="D11" s="119"/>
      <c r="E11" s="119"/>
      <c r="F11" s="119"/>
      <c r="G11" s="21" t="s">
        <v>94</v>
      </c>
      <c r="H11" s="21" t="s">
        <v>88</v>
      </c>
      <c r="I11" s="21">
        <f>'MERCADO TUSD'!$U$8</f>
        <v>172728.277</v>
      </c>
      <c r="J11" s="17"/>
      <c r="L11" s="85">
        <f>('TUSD BE'!$L$11+'TUSD BF'!$L$11+'TUSD CVA'!$L$11)*1</f>
        <v>0</v>
      </c>
      <c r="M11" s="85">
        <f>('TUSD BE'!$M$11+'TUSD BF'!$M$11+'TUSD CVA'!$M$11)*1</f>
        <v>0</v>
      </c>
      <c r="N11" s="85">
        <f ca="1">('TUSD BE'!$N$11+'TUSD BF'!$N$11+'TUSD CVA'!$N$11)*1</f>
        <v>0</v>
      </c>
      <c r="O11" s="85">
        <f>('TUSD BE'!$O$11+'TUSD BF'!$O$11+'TUSD CVA'!$O$11)*1</f>
        <v>0</v>
      </c>
      <c r="P11" s="85">
        <f>('TUSD BE'!$P$11+'TUSD BF'!$P$11+'TUSD CVA'!$P$11)*1</f>
        <v>0</v>
      </c>
      <c r="Q11" s="85">
        <f>('TUSD BE'!$Q$11+'TUSD BF'!$Q$11+'TUSD CVA'!$Q$11)*1</f>
        <v>0</v>
      </c>
      <c r="R11" s="85">
        <f>('TUSD BE'!$R$11+'TUSD BF'!$R$11+'TUSD CVA'!$R$11)*1</f>
        <v>0</v>
      </c>
      <c r="S11" s="85">
        <f>('TUSD BE'!$S$11+'TUSD BF'!$S$11+'TUSD CVA'!$S$11)*1</f>
        <v>0</v>
      </c>
      <c r="T11" s="85">
        <f>('TUSD BE'!$U$11+'TUSD BF'!$U$11+'TUSD CVA'!$U$11)*1</f>
        <v>0</v>
      </c>
      <c r="U11" s="85">
        <f>('TUSD BE'!$V$11+'TUSD BF'!$V$11+'TUSD CVA'!$V$11)*1</f>
        <v>0</v>
      </c>
      <c r="V11" s="85">
        <f>('TUSD BE'!$W$11+'TUSD BF'!$W$11+'TUSD CVA'!$W$11)*1</f>
        <v>0</v>
      </c>
      <c r="W11" s="85">
        <f>('TUSD BE'!$X$11+'TUSD BF'!$X$11+'TUSD CVA'!$X$11)*1</f>
        <v>0</v>
      </c>
      <c r="X11" s="85">
        <f>('TUSD BE'!$Y$11+'TUSD BF'!$Y$11+'TUSD CVA'!$Y$11)*1</f>
        <v>0</v>
      </c>
      <c r="Y11" s="85">
        <f>('TUSD BE'!$Z$11+'TUSD BF'!$Z$11+'TUSD CVA'!$Z$11)*1</f>
        <v>0</v>
      </c>
      <c r="Z11" s="85">
        <f>('TUSD BE'!$AA$11+'TUSD BF'!$AA$11+'TUSD CVA'!$AA$11)*1</f>
        <v>0</v>
      </c>
      <c r="AA11" s="85">
        <f>('TUSD BE'!$AC$11+'TUSD BF'!$AC$11+'TUSD CVA'!$AC$11)*1</f>
        <v>0</v>
      </c>
      <c r="AB11" s="85">
        <f>('TUSD BE'!$AE$11+'TUSD BF'!$AE$11+'TUSD CVA'!$AE$11)*1</f>
        <v>0</v>
      </c>
      <c r="AC11" s="85">
        <f ca="1">('TUSD BE'!$AF$11+'TUSD BF'!$AF$11+'TUSD CVA'!$AF$11)*1</f>
        <v>0</v>
      </c>
      <c r="AD11" s="85">
        <f>('TUSD BE'!$AH$11+'TUSD BF'!$AH$11+'TUSD CVA'!$AH$11)*1</f>
        <v>4.1146940871310518</v>
      </c>
      <c r="AE11" s="85">
        <f>('TUSD BE'!$AI$11+'TUSD BF'!$AI$11+'TUSD CVA'!$AI$11)*1</f>
        <v>0.15466454288549217</v>
      </c>
      <c r="AF11" s="85">
        <f ca="1">('TUSD BE'!$AJ$11+'TUSD BF'!$AJ$11+'TUSD CVA'!$AJ$11)*1</f>
        <v>0</v>
      </c>
      <c r="AG11" s="85">
        <f ca="1">('TUSD BE'!$AK$11+'TUSD BF'!$AK$11+'TUSD CVA'!$AK$11)*1</f>
        <v>0</v>
      </c>
      <c r="AI11" s="85">
        <v>0</v>
      </c>
      <c r="AJ11" s="85">
        <v>0</v>
      </c>
      <c r="AK11" s="85">
        <v>0</v>
      </c>
      <c r="AL11" s="85">
        <v>0</v>
      </c>
      <c r="AM11" s="85">
        <v>0</v>
      </c>
      <c r="AN11" s="85">
        <v>0</v>
      </c>
      <c r="AO11" s="85">
        <v>0</v>
      </c>
      <c r="AP11" s="85">
        <v>0</v>
      </c>
      <c r="AQ11" s="85">
        <v>0</v>
      </c>
      <c r="AR11" s="85">
        <v>0</v>
      </c>
      <c r="AS11" s="85">
        <v>0</v>
      </c>
      <c r="AT11" s="85">
        <v>0</v>
      </c>
      <c r="AU11" s="85">
        <v>0</v>
      </c>
      <c r="AV11" s="85">
        <v>0</v>
      </c>
      <c r="AW11" s="85">
        <v>0</v>
      </c>
      <c r="AX11" s="85">
        <v>0</v>
      </c>
      <c r="AY11" s="85">
        <v>0</v>
      </c>
      <c r="AZ11" s="85">
        <v>0</v>
      </c>
      <c r="BA11" s="85">
        <v>4.9569745183052802</v>
      </c>
      <c r="BB11" s="85">
        <v>0.18552648970525501</v>
      </c>
      <c r="BC11" s="85">
        <v>0</v>
      </c>
      <c r="BD11" s="85">
        <v>0</v>
      </c>
    </row>
    <row r="12" spans="1:56" ht="11.25" customHeight="1" x14ac:dyDescent="0.25">
      <c r="A12" s="119"/>
      <c r="B12" s="119" t="s">
        <v>64</v>
      </c>
      <c r="C12" s="119" t="s">
        <v>25</v>
      </c>
      <c r="D12" s="119" t="s">
        <v>25</v>
      </c>
      <c r="E12" s="119" t="s">
        <v>25</v>
      </c>
      <c r="F12" s="87" t="s">
        <v>70</v>
      </c>
      <c r="G12" s="21" t="s">
        <v>9</v>
      </c>
      <c r="H12" s="21" t="s">
        <v>91</v>
      </c>
      <c r="I12" s="21">
        <f>'MERCADO TUSD'!$U$9</f>
        <v>1494000</v>
      </c>
      <c r="J12" s="17"/>
      <c r="L12" s="85">
        <f>('TUSD BE'!$L$12+'TUSD BF'!$L$12+'TUSD CVA'!$L$12)*1</f>
        <v>0</v>
      </c>
      <c r="M12" s="85">
        <f>('TUSD BE'!$M$12+'TUSD BF'!$M$12+'TUSD CVA'!$M$12)*1</f>
        <v>7.8123683602398852E-2</v>
      </c>
      <c r="N12" s="85">
        <f ca="1">('TUSD BE'!$N$12+'TUSD BF'!$N$12+'TUSD CVA'!$N$12)*1</f>
        <v>0.21102838875101793</v>
      </c>
      <c r="O12" s="85">
        <f>('TUSD BE'!$O$12+'TUSD BF'!$O$12+'TUSD CVA'!$O$12)*1</f>
        <v>0</v>
      </c>
      <c r="P12" s="85">
        <f>('TUSD BE'!$P$12+'TUSD BF'!$P$12+'TUSD CVA'!$P$12)*1</f>
        <v>0</v>
      </c>
      <c r="Q12" s="85">
        <f>('TUSD BE'!$Q$12+'TUSD BF'!$Q$12+'TUSD CVA'!$Q$12)*1</f>
        <v>0</v>
      </c>
      <c r="R12" s="85">
        <f>('TUSD BE'!$R$12+'TUSD BF'!$R$12+'TUSD CVA'!$R$12)*1</f>
        <v>0</v>
      </c>
      <c r="S12" s="85">
        <f>('TUSD BE'!$S$12+'TUSD BF'!$S$12+'TUSD CVA'!$S$12)*1</f>
        <v>0</v>
      </c>
      <c r="T12" s="85">
        <f>('TUSD BE'!$U$12+'TUSD BF'!$U$12+'TUSD CVA'!$U$12)*1</f>
        <v>0</v>
      </c>
      <c r="U12" s="85">
        <f>('TUSD BE'!$V$12+'TUSD BF'!$V$12+'TUSD CVA'!$V$12)*1</f>
        <v>0.69671235648006191</v>
      </c>
      <c r="V12" s="85">
        <f>('TUSD BE'!$W$12+'TUSD BF'!$W$12+'TUSD CVA'!$W$12)*1</f>
        <v>5.0614360007173072E-2</v>
      </c>
      <c r="W12" s="85">
        <f>('TUSD BE'!$X$12+'TUSD BF'!$X$12+'TUSD CVA'!$X$12)*1</f>
        <v>0</v>
      </c>
      <c r="X12" s="85">
        <f>('TUSD BE'!$Y$12+'TUSD BF'!$Y$12+'TUSD CVA'!$Y$12)*1</f>
        <v>0</v>
      </c>
      <c r="Y12" s="85">
        <f>('TUSD BE'!$Z$12+'TUSD BF'!$Z$12+'TUSD CVA'!$Z$12)*1</f>
        <v>0</v>
      </c>
      <c r="Z12" s="85">
        <f>('TUSD BE'!$AA$12+'TUSD BF'!$AA$12+'TUSD CVA'!$AA$12)*1</f>
        <v>0.3605304847038252</v>
      </c>
      <c r="AA12" s="85">
        <f>('TUSD BE'!$AC$12+'TUSD BF'!$AC$12+'TUSD CVA'!$AC$12)*1</f>
        <v>2.2879</v>
      </c>
      <c r="AB12" s="85">
        <f ca="1">('TUSD BE'!$AE$12+'TUSD BF'!$AE$12+'TUSD CVA'!$AE$12)*1</f>
        <v>0</v>
      </c>
      <c r="AC12" s="85">
        <f ca="1">('TUSD BE'!$AF$12+'TUSD BF'!$AF$12+'TUSD CVA'!$AF$12)*1</f>
        <v>0</v>
      </c>
      <c r="AD12" s="85">
        <f>('TUSD BE'!$AH$12+'TUSD BF'!$AH$12+'TUSD CVA'!$AH$12)*1</f>
        <v>0</v>
      </c>
      <c r="AE12" s="85">
        <f>('TUSD BE'!$AI$12+'TUSD BF'!$AI$12+'TUSD CVA'!$AI$12)*1</f>
        <v>0</v>
      </c>
      <c r="AF12" s="85">
        <f ca="1">('TUSD BE'!$AJ$12+'TUSD BF'!$AJ$12+'TUSD CVA'!$AJ$12)*1</f>
        <v>0</v>
      </c>
      <c r="AG12" s="85">
        <f ca="1">('TUSD BE'!$AK$12+'TUSD BF'!$AK$12+'TUSD CVA'!$AK$12)*1</f>
        <v>0</v>
      </c>
      <c r="AI12" s="85">
        <v>0</v>
      </c>
      <c r="AJ12" s="85">
        <v>6.9798756348185095E-2</v>
      </c>
      <c r="AK12" s="85">
        <v>0.17975688577318899</v>
      </c>
      <c r="AL12" s="85">
        <v>0</v>
      </c>
      <c r="AM12" s="85">
        <v>0</v>
      </c>
      <c r="AN12" s="85">
        <v>0</v>
      </c>
      <c r="AO12" s="85">
        <v>0</v>
      </c>
      <c r="AP12" s="85">
        <v>0</v>
      </c>
      <c r="AQ12" s="85">
        <v>0</v>
      </c>
      <c r="AR12" s="85">
        <v>0.55543542038885596</v>
      </c>
      <c r="AS12" s="85">
        <v>4.3834730802368597E-2</v>
      </c>
      <c r="AT12" s="85">
        <v>0</v>
      </c>
      <c r="AU12" s="85">
        <v>0</v>
      </c>
      <c r="AV12" s="85">
        <v>0</v>
      </c>
      <c r="AW12" s="85">
        <v>0.29873309942794501</v>
      </c>
      <c r="AX12" s="85">
        <v>1.9392</v>
      </c>
      <c r="AY12" s="85">
        <v>0</v>
      </c>
      <c r="AZ12" s="85">
        <v>0</v>
      </c>
      <c r="BA12" s="85">
        <v>0</v>
      </c>
      <c r="BB12" s="85">
        <v>0</v>
      </c>
      <c r="BC12" s="85">
        <v>0</v>
      </c>
      <c r="BD12" s="85">
        <v>0</v>
      </c>
    </row>
    <row r="13" spans="1:56" ht="11.25" customHeight="1" x14ac:dyDescent="0.25">
      <c r="A13" s="119"/>
      <c r="B13" s="119"/>
      <c r="C13" s="119"/>
      <c r="D13" s="119"/>
      <c r="E13" s="119"/>
      <c r="F13" s="87" t="s">
        <v>71</v>
      </c>
      <c r="G13" s="21" t="s">
        <v>9</v>
      </c>
      <c r="H13" s="21" t="s">
        <v>91</v>
      </c>
      <c r="I13" s="21">
        <f>'MERCADO TUSD'!$U$10</f>
        <v>1038000</v>
      </c>
      <c r="J13" s="17"/>
      <c r="L13" s="85">
        <f>('TUSD BE'!$L$13+'TUSD BF'!$L$13+'TUSD CVA'!$L$13)*1</f>
        <v>0</v>
      </c>
      <c r="M13" s="85">
        <f>('TUSD BE'!$M$13+'TUSD BF'!$M$13+'TUSD CVA'!$M$13)*1</f>
        <v>6.7657352784852604E-2</v>
      </c>
      <c r="N13" s="85">
        <f ca="1">('TUSD BE'!$N$13+'TUSD BF'!$N$13+'TUSD CVA'!$N$13)*1</f>
        <v>0.18282459461462594</v>
      </c>
      <c r="O13" s="85">
        <f>('TUSD BE'!$O$13+'TUSD BF'!$O$13+'TUSD CVA'!$O$13)*1</f>
        <v>0</v>
      </c>
      <c r="P13" s="85">
        <f>('TUSD BE'!$P$13+'TUSD BF'!$P$13+'TUSD CVA'!$P$13)*1</f>
        <v>0</v>
      </c>
      <c r="Q13" s="85">
        <f>('TUSD BE'!$Q$13+'TUSD BF'!$Q$13+'TUSD CVA'!$Q$13)*1</f>
        <v>0</v>
      </c>
      <c r="R13" s="85">
        <f>('TUSD BE'!$R$13+'TUSD BF'!$R$13+'TUSD CVA'!$R$13)*1</f>
        <v>0</v>
      </c>
      <c r="S13" s="85">
        <f>('TUSD BE'!$S$13+'TUSD BF'!$S$13+'TUSD CVA'!$S$13)*1</f>
        <v>0</v>
      </c>
      <c r="T13" s="85">
        <f>('TUSD BE'!$U$13+'TUSD BF'!$U$13+'TUSD CVA'!$U$13)*1</f>
        <v>0</v>
      </c>
      <c r="U13" s="85">
        <f>('TUSD BE'!$V$13+'TUSD BF'!$V$13+'TUSD CVA'!$V$13)*1</f>
        <v>0.60339972189233948</v>
      </c>
      <c r="V13" s="85">
        <f>('TUSD BE'!$W$13+'TUSD BF'!$W$13+'TUSD CVA'!$W$13)*1</f>
        <v>4.3885863736378247E-2</v>
      </c>
      <c r="W13" s="85">
        <f>('TUSD BE'!$X$13+'TUSD BF'!$X$13+'TUSD CVA'!$X$13)*1</f>
        <v>0</v>
      </c>
      <c r="X13" s="85">
        <f>('TUSD BE'!$Y$13+'TUSD BF'!$Y$13+'TUSD CVA'!$Y$13)*1</f>
        <v>0</v>
      </c>
      <c r="Y13" s="85">
        <f>('TUSD BE'!$Z$13+'TUSD BF'!$Z$13+'TUSD CVA'!$Z$13)*1</f>
        <v>0</v>
      </c>
      <c r="Z13" s="85">
        <f>('TUSD BE'!$AA$13+'TUSD BF'!$AA$13+'TUSD CVA'!$AA$13)*1</f>
        <v>0.3605304847038252</v>
      </c>
      <c r="AA13" s="85">
        <f>('TUSD BE'!$AC$13+'TUSD BF'!$AC$13+'TUSD CVA'!$AC$13)*1</f>
        <v>1.9815</v>
      </c>
      <c r="AB13" s="85">
        <f ca="1">('TUSD BE'!$AE$13+'TUSD BF'!$AE$13+'TUSD CVA'!$AE$13)*1</f>
        <v>0</v>
      </c>
      <c r="AC13" s="85">
        <f ca="1">('TUSD BE'!$AF$13+'TUSD BF'!$AF$13+'TUSD CVA'!$AF$13)*1</f>
        <v>0</v>
      </c>
      <c r="AD13" s="85">
        <f>('TUSD BE'!$AH$13+'TUSD BF'!$AH$13+'TUSD CVA'!$AH$13)*1</f>
        <v>0</v>
      </c>
      <c r="AE13" s="85">
        <f>('TUSD BE'!$AI$13+'TUSD BF'!$AI$13+'TUSD CVA'!$AI$13)*1</f>
        <v>0</v>
      </c>
      <c r="AF13" s="85">
        <f ca="1">('TUSD BE'!$AJ$13+'TUSD BF'!$AJ$13+'TUSD CVA'!$AJ$13)*1</f>
        <v>0</v>
      </c>
      <c r="AG13" s="85">
        <f ca="1">('TUSD BE'!$AK$13+'TUSD BF'!$AK$13+'TUSD CVA'!$AK$13)*1</f>
        <v>0</v>
      </c>
      <c r="AI13" s="85">
        <v>0</v>
      </c>
      <c r="AJ13" s="85">
        <v>6.0446313678118001E-2</v>
      </c>
      <c r="AK13" s="85">
        <v>0.15574241081522799</v>
      </c>
      <c r="AL13" s="85">
        <v>0</v>
      </c>
      <c r="AM13" s="85">
        <v>0</v>
      </c>
      <c r="AN13" s="85">
        <v>0</v>
      </c>
      <c r="AO13" s="85">
        <v>0</v>
      </c>
      <c r="AP13" s="85">
        <v>0</v>
      </c>
      <c r="AQ13" s="85">
        <v>0</v>
      </c>
      <c r="AR13" s="85">
        <v>0.48103290826234901</v>
      </c>
      <c r="AS13" s="85">
        <v>3.78945102730757E-2</v>
      </c>
      <c r="AT13" s="85">
        <v>0</v>
      </c>
      <c r="AU13" s="85">
        <v>0</v>
      </c>
      <c r="AV13" s="85">
        <v>0</v>
      </c>
      <c r="AW13" s="85">
        <v>0.29873309942794501</v>
      </c>
      <c r="AX13" s="85">
        <v>1.6795</v>
      </c>
      <c r="AY13" s="85">
        <v>0</v>
      </c>
      <c r="AZ13" s="85">
        <v>0</v>
      </c>
      <c r="BA13" s="85">
        <v>0</v>
      </c>
      <c r="BB13" s="85">
        <v>0</v>
      </c>
      <c r="BC13" s="85">
        <v>0</v>
      </c>
      <c r="BD13" s="85">
        <v>0</v>
      </c>
    </row>
    <row r="14" spans="1:56" ht="11.25" customHeight="1" x14ac:dyDescent="0.25">
      <c r="A14" s="119"/>
      <c r="B14" s="119"/>
      <c r="C14" s="119"/>
      <c r="D14" s="119"/>
      <c r="E14" s="119"/>
      <c r="F14" s="87" t="s">
        <v>95</v>
      </c>
      <c r="G14" s="21" t="s">
        <v>9</v>
      </c>
      <c r="H14" s="21" t="s">
        <v>91</v>
      </c>
      <c r="I14" s="21">
        <f>'MERCADO TUSD'!$U$11</f>
        <v>0</v>
      </c>
      <c r="J14" s="17"/>
      <c r="L14" s="85">
        <f>('TUSD BE'!$L$14+'TUSD BF'!$L$14+'TUSD CVA'!$L$14)*1</f>
        <v>0</v>
      </c>
      <c r="M14" s="85">
        <f>('TUSD BE'!$M$14+'TUSD BF'!$M$14+'TUSD CVA'!$M$14)*1</f>
        <v>9.7748053885298086E-2</v>
      </c>
      <c r="N14" s="85">
        <f ca="1">('TUSD BE'!$N$14+'TUSD BF'!$N$14+'TUSD CVA'!$N$14)*1</f>
        <v>0.26423554648350206</v>
      </c>
      <c r="O14" s="85">
        <f>('TUSD BE'!$O$14+'TUSD BF'!$O$14+'TUSD CVA'!$O$14)*1</f>
        <v>0</v>
      </c>
      <c r="P14" s="85">
        <f>('TUSD BE'!$P$14+'TUSD BF'!$P$14+'TUSD CVA'!$P$14)*1</f>
        <v>0</v>
      </c>
      <c r="Q14" s="85">
        <f>('TUSD BE'!$Q$14+'TUSD BF'!$Q$14+'TUSD CVA'!$Q$14)*1</f>
        <v>0</v>
      </c>
      <c r="R14" s="85">
        <f>('TUSD BE'!$R$14+'TUSD BF'!$R$14+'TUSD CVA'!$R$14)*1</f>
        <v>0</v>
      </c>
      <c r="S14" s="85">
        <f>('TUSD BE'!$S$14+'TUSD BF'!$S$14+'TUSD CVA'!$S$14)*1</f>
        <v>0</v>
      </c>
      <c r="T14" s="85">
        <f>('TUSD BE'!$U$14+'TUSD BF'!$U$14+'TUSD CVA'!$U$14)*1</f>
        <v>0</v>
      </c>
      <c r="U14" s="85">
        <f>('TUSD BE'!$V$14+'TUSD BF'!$V$14+'TUSD CVA'!$V$14)*1</f>
        <v>0.19816570101491582</v>
      </c>
      <c r="V14" s="85">
        <f>('TUSD BE'!$W$14+'TUSD BF'!$W$14+'TUSD CVA'!$W$14)*1</f>
        <v>0</v>
      </c>
      <c r="W14" s="85">
        <f>('TUSD BE'!$X$14+'TUSD BF'!$X$14+'TUSD CVA'!$X$14)*1</f>
        <v>0</v>
      </c>
      <c r="X14" s="85">
        <f>('TUSD BE'!$Y$14+'TUSD BF'!$Y$14+'TUSD CVA'!$Y$14)*1</f>
        <v>0</v>
      </c>
      <c r="Y14" s="85">
        <f>('TUSD BE'!$Z$14+'TUSD BF'!$Z$14+'TUSD CVA'!$Z$14)*1</f>
        <v>0</v>
      </c>
      <c r="Z14" s="85">
        <f>('TUSD BE'!$AA$14+'TUSD BF'!$AA$14+'TUSD CVA'!$AA$14)*1</f>
        <v>0</v>
      </c>
      <c r="AA14" s="85">
        <f>('TUSD BE'!$AC$14+'TUSD BF'!$AC$14+'TUSD CVA'!$AC$14)*1</f>
        <v>2.8157999999999999</v>
      </c>
      <c r="AB14" s="85">
        <f ca="1">('TUSD BE'!$AE$14+'TUSD BF'!$AE$14+'TUSD CVA'!$AE$14)*1</f>
        <v>0</v>
      </c>
      <c r="AC14" s="85">
        <f ca="1">('TUSD BE'!$AF$14+'TUSD BF'!$AF$14+'TUSD CVA'!$AF$14)*1</f>
        <v>0</v>
      </c>
      <c r="AD14" s="85">
        <f>('TUSD BE'!$AH$14+'TUSD BF'!$AH$14+'TUSD CVA'!$AH$14)*1</f>
        <v>0</v>
      </c>
      <c r="AE14" s="85">
        <f>('TUSD BE'!$AI$14+'TUSD BF'!$AI$14+'TUSD CVA'!$AI$14)*1</f>
        <v>0</v>
      </c>
      <c r="AF14" s="85">
        <f ca="1">('TUSD BE'!$AJ$14+'TUSD BF'!$AJ$14+'TUSD CVA'!$AJ$14)*1</f>
        <v>0</v>
      </c>
      <c r="AG14" s="85">
        <f ca="1">('TUSD BE'!$AK$14+'TUSD BF'!$AK$14+'TUSD CVA'!$AK$14)*1</f>
        <v>0</v>
      </c>
      <c r="AI14" s="85">
        <v>0</v>
      </c>
      <c r="AJ14" s="85">
        <v>4.4399490991581803E-2</v>
      </c>
      <c r="AK14" s="85">
        <v>0.114546031180232</v>
      </c>
      <c r="AL14" s="85">
        <v>0</v>
      </c>
      <c r="AM14" s="85">
        <v>0</v>
      </c>
      <c r="AN14" s="85">
        <v>0</v>
      </c>
      <c r="AO14" s="85">
        <v>0</v>
      </c>
      <c r="AP14" s="85">
        <v>0</v>
      </c>
      <c r="AQ14" s="85">
        <v>0</v>
      </c>
      <c r="AR14" s="85">
        <v>0.85438884758605804</v>
      </c>
      <c r="AS14" s="85">
        <v>6.8927041658864693E-2</v>
      </c>
      <c r="AT14" s="85">
        <v>0</v>
      </c>
      <c r="AU14" s="85">
        <v>0</v>
      </c>
      <c r="AV14" s="85">
        <v>0</v>
      </c>
      <c r="AW14" s="85">
        <v>0</v>
      </c>
      <c r="AX14" s="85">
        <v>1.2148000000000001</v>
      </c>
      <c r="AY14" s="85">
        <v>0</v>
      </c>
      <c r="AZ14" s="85">
        <v>0</v>
      </c>
      <c r="BA14" s="85">
        <v>0</v>
      </c>
      <c r="BB14" s="85">
        <v>0</v>
      </c>
      <c r="BC14" s="85">
        <v>0</v>
      </c>
      <c r="BD14" s="85">
        <v>0</v>
      </c>
    </row>
    <row r="15" spans="1:56" ht="11.25" customHeight="1" x14ac:dyDescent="0.25">
      <c r="A15" s="119" t="s">
        <v>45</v>
      </c>
      <c r="B15" s="119" t="s">
        <v>41</v>
      </c>
      <c r="C15" s="119" t="s">
        <v>25</v>
      </c>
      <c r="D15" s="119" t="s">
        <v>25</v>
      </c>
      <c r="E15" s="119" t="s">
        <v>25</v>
      </c>
      <c r="F15" s="119" t="s">
        <v>25</v>
      </c>
      <c r="G15" s="21" t="s">
        <v>92</v>
      </c>
      <c r="H15" s="21" t="s">
        <v>91</v>
      </c>
      <c r="I15" s="21">
        <f>'MERCADO TUSD'!$U$12</f>
        <v>85943</v>
      </c>
      <c r="J15" s="17"/>
      <c r="L15" s="85">
        <f>('TUSD BE'!$L$15+'TUSD BF'!$L$15+'TUSD CVA'!$L$15)*1</f>
        <v>0</v>
      </c>
      <c r="M15" s="85">
        <f>('TUSD BE'!$M$15+'TUSD BF'!$M$15+'TUSD CVA'!$M$15)*1</f>
        <v>0</v>
      </c>
      <c r="N15" s="85">
        <f ca="1">('TUSD BE'!$N$15+'TUSD BF'!$N$15+'TUSD CVA'!$N$15)*1</f>
        <v>0</v>
      </c>
      <c r="O15" s="85">
        <f>('TUSD BE'!$O$15+'TUSD BF'!$O$15+'TUSD CVA'!$O$15)*1</f>
        <v>0</v>
      </c>
      <c r="P15" s="85">
        <f>('TUSD BE'!$P$15+'TUSD BF'!$P$15+'TUSD CVA'!$P$15)*1</f>
        <v>0</v>
      </c>
      <c r="Q15" s="85">
        <f>('TUSD BE'!$Q$15+'TUSD BF'!$Q$15+'TUSD CVA'!$Q$15)*1</f>
        <v>0</v>
      </c>
      <c r="R15" s="85">
        <f>('TUSD BE'!$R$15+'TUSD BF'!$R$15+'TUSD CVA'!$R$15)*1</f>
        <v>0</v>
      </c>
      <c r="S15" s="85">
        <f>('TUSD BE'!$S$15+'TUSD BF'!$S$15+'TUSD CVA'!$S$15)*1</f>
        <v>0</v>
      </c>
      <c r="T15" s="85">
        <f>('TUSD BE'!$U$15+'TUSD BF'!$U$15+'TUSD CVA'!$U$15)*1</f>
        <v>8.0887018843388461</v>
      </c>
      <c r="U15" s="85">
        <f>('TUSD BE'!$V$15+'TUSD BF'!$V$15+'TUSD CVA'!$V$15)*1</f>
        <v>2.1481393957329167</v>
      </c>
      <c r="V15" s="85">
        <f>('TUSD BE'!$W$15+'TUSD BF'!$W$15+'TUSD CVA'!$W$15)*1</f>
        <v>0.27439565880240679</v>
      </c>
      <c r="W15" s="85">
        <f>('TUSD BE'!$X$15+'TUSD BF'!$X$15+'TUSD CVA'!$X$15)*1</f>
        <v>0</v>
      </c>
      <c r="X15" s="85">
        <f>('TUSD BE'!$Y$15+'TUSD BF'!$Y$15+'TUSD CVA'!$Y$15)*1</f>
        <v>0</v>
      </c>
      <c r="Y15" s="85">
        <f>('TUSD BE'!$Z$15+'TUSD BF'!$Z$15+'TUSD CVA'!$Z$15)*1</f>
        <v>0</v>
      </c>
      <c r="Z15" s="85">
        <f>('TUSD BE'!$AA$15+'TUSD BF'!$AA$15+'TUSD CVA'!$AA$15)*1</f>
        <v>0</v>
      </c>
      <c r="AA15" s="85">
        <f>('TUSD BE'!$AC$15+'TUSD BF'!$AC$15+'TUSD CVA'!$AC$15)*1</f>
        <v>16.705046257801943</v>
      </c>
      <c r="AB15" s="85">
        <f ca="1">('TUSD BE'!$AE$15+'TUSD BF'!$AE$15+'TUSD CVA'!$AE$15)*1</f>
        <v>0</v>
      </c>
      <c r="AC15" s="85">
        <f ca="1">('TUSD BE'!$AF$15+'TUSD BF'!$AF$15+'TUSD CVA'!$AF$15)*1</f>
        <v>0</v>
      </c>
      <c r="AD15" s="85">
        <f>('TUSD BE'!$AH$15+'TUSD BF'!$AH$15+'TUSD CVA'!$AH$15)*1</f>
        <v>0</v>
      </c>
      <c r="AE15" s="85">
        <f>('TUSD BE'!$AI$15+'TUSD BF'!$AI$15+'TUSD CVA'!$AI$15)*1</f>
        <v>0</v>
      </c>
      <c r="AF15" s="85">
        <f ca="1">('TUSD BE'!$AJ$15+'TUSD BF'!$AJ$15+'TUSD CVA'!$AJ$15)*1</f>
        <v>0</v>
      </c>
      <c r="AG15" s="85">
        <f ca="1">('TUSD BE'!$AK$15+'TUSD BF'!$AK$15+'TUSD CVA'!$AK$15)*1</f>
        <v>0</v>
      </c>
      <c r="AI15" s="85">
        <v>0</v>
      </c>
      <c r="AJ15" s="85">
        <v>0</v>
      </c>
      <c r="AK15" s="85">
        <v>0</v>
      </c>
      <c r="AL15" s="85">
        <v>0</v>
      </c>
      <c r="AM15" s="85">
        <v>0</v>
      </c>
      <c r="AN15" s="85">
        <v>0</v>
      </c>
      <c r="AO15" s="85">
        <v>0</v>
      </c>
      <c r="AP15" s="85">
        <v>0</v>
      </c>
      <c r="AQ15" s="85">
        <v>5.1023630210444297</v>
      </c>
      <c r="AR15" s="85">
        <v>1.45218006726171</v>
      </c>
      <c r="AS15" s="85">
        <v>0.17790872846261199</v>
      </c>
      <c r="AT15" s="85">
        <v>0</v>
      </c>
      <c r="AU15" s="85">
        <v>0</v>
      </c>
      <c r="AV15" s="85">
        <v>0</v>
      </c>
      <c r="AW15" s="85">
        <v>0</v>
      </c>
      <c r="AX15" s="85">
        <v>16.204302352580999</v>
      </c>
      <c r="AY15" s="85">
        <v>0</v>
      </c>
      <c r="AZ15" s="85">
        <v>0</v>
      </c>
      <c r="BA15" s="85">
        <v>0</v>
      </c>
      <c r="BB15" s="85">
        <v>0</v>
      </c>
      <c r="BC15" s="85">
        <v>0</v>
      </c>
      <c r="BD15" s="85">
        <v>0</v>
      </c>
    </row>
    <row r="16" spans="1:56" ht="11.25" customHeight="1" x14ac:dyDescent="0.25">
      <c r="A16" s="119"/>
      <c r="B16" s="119"/>
      <c r="C16" s="119"/>
      <c r="D16" s="119"/>
      <c r="E16" s="119"/>
      <c r="F16" s="119"/>
      <c r="G16" s="21" t="s">
        <v>93</v>
      </c>
      <c r="H16" s="21" t="s">
        <v>91</v>
      </c>
      <c r="I16" s="21">
        <f>'MERCADO TUSD'!$U$13</f>
        <v>99179</v>
      </c>
      <c r="J16" s="17"/>
      <c r="L16" s="85">
        <f>('TUSD BE'!$L$16+'TUSD BF'!$L$16+'TUSD CVA'!$L$16)*1</f>
        <v>0</v>
      </c>
      <c r="M16" s="85">
        <f>('TUSD BE'!$M$16+'TUSD BF'!$M$16+'TUSD CVA'!$M$16)*1</f>
        <v>0</v>
      </c>
      <c r="N16" s="85">
        <f ca="1">('TUSD BE'!$N$16+'TUSD BF'!$N$16+'TUSD CVA'!$N$16)*1</f>
        <v>0</v>
      </c>
      <c r="O16" s="85">
        <f>('TUSD BE'!$O$16+'TUSD BF'!$O$16+'TUSD CVA'!$O$16)*1</f>
        <v>0</v>
      </c>
      <c r="P16" s="85">
        <f>('TUSD BE'!$P$16+'TUSD BF'!$P$16+'TUSD CVA'!$P$16)*1</f>
        <v>0</v>
      </c>
      <c r="Q16" s="85">
        <f>('TUSD BE'!$Q$16+'TUSD BF'!$Q$16+'TUSD CVA'!$Q$16)*1</f>
        <v>0</v>
      </c>
      <c r="R16" s="85">
        <f>('TUSD BE'!$R$16+'TUSD BF'!$R$16+'TUSD CVA'!$R$16)*1</f>
        <v>0</v>
      </c>
      <c r="S16" s="85">
        <f>('TUSD BE'!$S$16+'TUSD BF'!$S$16+'TUSD CVA'!$S$16)*1</f>
        <v>0</v>
      </c>
      <c r="T16" s="85">
        <f>('TUSD BE'!$U$16+'TUSD BF'!$U$16+'TUSD CVA'!$U$16)*1</f>
        <v>5.2870322569525143</v>
      </c>
      <c r="U16" s="85">
        <f>('TUSD BE'!$V$16+'TUSD BF'!$V$16+'TUSD CVA'!$V$16)*1</f>
        <v>1.5279977964217852</v>
      </c>
      <c r="V16" s="85">
        <f>('TUSD BE'!$W$16+'TUSD BF'!$W$16+'TUSD CVA'!$W$16)*1</f>
        <v>0.17554132757446547</v>
      </c>
      <c r="W16" s="85">
        <f>('TUSD BE'!$X$16+'TUSD BF'!$X$16+'TUSD CVA'!$X$16)*1</f>
        <v>0</v>
      </c>
      <c r="X16" s="85">
        <f>('TUSD BE'!$Y$16+'TUSD BF'!$Y$16+'TUSD CVA'!$Y$16)*1</f>
        <v>0</v>
      </c>
      <c r="Y16" s="85">
        <f>('TUSD BE'!$Z$16+'TUSD BF'!$Z$16+'TUSD CVA'!$Z$16)*1</f>
        <v>0</v>
      </c>
      <c r="Z16" s="85">
        <f>('TUSD BE'!$AA$16+'TUSD BF'!$AA$16+'TUSD CVA'!$AA$16)*1</f>
        <v>0</v>
      </c>
      <c r="AA16" s="85">
        <f>('TUSD BE'!$AC$16+'TUSD BF'!$AC$16+'TUSD CVA'!$AC$16)*1</f>
        <v>4.4617852677044318</v>
      </c>
      <c r="AB16" s="85">
        <f ca="1">('TUSD BE'!$AE$16+'TUSD BF'!$AE$16+'TUSD CVA'!$AE$16)*1</f>
        <v>0</v>
      </c>
      <c r="AC16" s="85">
        <f ca="1">('TUSD BE'!$AF$16+'TUSD BF'!$AF$16+'TUSD CVA'!$AF$16)*1</f>
        <v>0</v>
      </c>
      <c r="AD16" s="85">
        <f>('TUSD BE'!$AH$16+'TUSD BF'!$AH$16+'TUSD CVA'!$AH$16)*1</f>
        <v>0</v>
      </c>
      <c r="AE16" s="85">
        <f>('TUSD BE'!$AI$16+'TUSD BF'!$AI$16+'TUSD CVA'!$AI$16)*1</f>
        <v>0</v>
      </c>
      <c r="AF16" s="85">
        <f ca="1">('TUSD BE'!$AJ$16+'TUSD BF'!$AJ$16+'TUSD CVA'!$AJ$16)*1</f>
        <v>0</v>
      </c>
      <c r="AG16" s="85">
        <f ca="1">('TUSD BE'!$AK$16+'TUSD BF'!$AK$16+'TUSD CVA'!$AK$16)*1</f>
        <v>0</v>
      </c>
      <c r="AI16" s="85">
        <v>0</v>
      </c>
      <c r="AJ16" s="85">
        <v>0</v>
      </c>
      <c r="AK16" s="85">
        <v>0</v>
      </c>
      <c r="AL16" s="85">
        <v>0</v>
      </c>
      <c r="AM16" s="85">
        <v>0</v>
      </c>
      <c r="AN16" s="85">
        <v>0</v>
      </c>
      <c r="AO16" s="85">
        <v>0</v>
      </c>
      <c r="AP16" s="85">
        <v>0</v>
      </c>
      <c r="AQ16" s="85">
        <v>3.33506640060188</v>
      </c>
      <c r="AR16" s="85">
        <v>1.03295342340968</v>
      </c>
      <c r="AS16" s="85">
        <v>0.113814972575426</v>
      </c>
      <c r="AT16" s="85">
        <v>0</v>
      </c>
      <c r="AU16" s="85">
        <v>0</v>
      </c>
      <c r="AV16" s="85">
        <v>0</v>
      </c>
      <c r="AW16" s="85">
        <v>0</v>
      </c>
      <c r="AX16" s="85">
        <v>4.3280405450183599</v>
      </c>
      <c r="AY16" s="85">
        <v>0</v>
      </c>
      <c r="AZ16" s="85">
        <v>0</v>
      </c>
      <c r="BA16" s="85">
        <v>0</v>
      </c>
      <c r="BB16" s="85">
        <v>0</v>
      </c>
      <c r="BC16" s="85">
        <v>0</v>
      </c>
      <c r="BD16" s="85">
        <v>0</v>
      </c>
    </row>
    <row r="17" spans="1:56" ht="11.25" customHeight="1" x14ac:dyDescent="0.25">
      <c r="A17" s="119"/>
      <c r="B17" s="119"/>
      <c r="C17" s="119"/>
      <c r="D17" s="119"/>
      <c r="E17" s="119"/>
      <c r="F17" s="119"/>
      <c r="G17" s="21" t="s">
        <v>94</v>
      </c>
      <c r="H17" s="21" t="s">
        <v>88</v>
      </c>
      <c r="I17" s="21">
        <f>'MERCADO TUSD'!$U$14</f>
        <v>39203.405000000006</v>
      </c>
      <c r="J17" s="17"/>
      <c r="L17" s="85">
        <f>('TUSD BE'!$L$17+'TUSD BF'!$L$17+'TUSD CVA'!$L$17)*1</f>
        <v>0</v>
      </c>
      <c r="M17" s="85">
        <f>('TUSD BE'!$M$17+'TUSD BF'!$M$17+'TUSD CVA'!$M$17)*1</f>
        <v>0.20302245705599098</v>
      </c>
      <c r="N17" s="85">
        <f ca="1">('TUSD BE'!$N$17+'TUSD BF'!$N$17+'TUSD CVA'!$N$17)*1</f>
        <v>0.47127887140767033</v>
      </c>
      <c r="O17" s="85">
        <f>('TUSD BE'!$O$17+'TUSD BF'!$O$17+'TUSD CVA'!$O$17)*1</f>
        <v>0</v>
      </c>
      <c r="P17" s="85">
        <f>('TUSD BE'!$P$17+'TUSD BF'!$P$17+'TUSD CVA'!$P$17)*1</f>
        <v>0</v>
      </c>
      <c r="Q17" s="85">
        <f>('TUSD BE'!$Q$17+'TUSD BF'!$Q$17+'TUSD CVA'!$Q$17)*1</f>
        <v>59.069180056669261</v>
      </c>
      <c r="R17" s="85">
        <f>('TUSD BE'!$R$17+'TUSD BF'!$R$17+'TUSD CVA'!$R$17)*1</f>
        <v>6.9769367212194551</v>
      </c>
      <c r="S17" s="85">
        <f>('TUSD BE'!$S$17+'TUSD BF'!$S$17+'TUSD CVA'!$S$17)*1</f>
        <v>0</v>
      </c>
      <c r="T17" s="85">
        <f>('TUSD BE'!$U$17+'TUSD BF'!$U$17+'TUSD CVA'!$U$17)*1</f>
        <v>0</v>
      </c>
      <c r="U17" s="85">
        <f>('TUSD BE'!$V$17+'TUSD BF'!$V$17+'TUSD CVA'!$V$17)*1</f>
        <v>0</v>
      </c>
      <c r="V17" s="85">
        <f>('TUSD BE'!$W$17+'TUSD BF'!$W$17+'TUSD CVA'!$W$17)*1</f>
        <v>0</v>
      </c>
      <c r="W17" s="85">
        <f>('TUSD BE'!$X$17+'TUSD BF'!$X$17+'TUSD CVA'!$X$17)*1</f>
        <v>0</v>
      </c>
      <c r="X17" s="85">
        <f>('TUSD BE'!$Y$17+'TUSD BF'!$Y$17+'TUSD CVA'!$Y$17)*1</f>
        <v>0</v>
      </c>
      <c r="Y17" s="85">
        <f>('TUSD BE'!$Z$17+'TUSD BF'!$Z$17+'TUSD CVA'!$Z$17)*1</f>
        <v>0</v>
      </c>
      <c r="Z17" s="85">
        <f>('TUSD BE'!$AA$17+'TUSD BF'!$AA$17+'TUSD CVA'!$AA$17)*1</f>
        <v>0</v>
      </c>
      <c r="AA17" s="85">
        <f>('TUSD BE'!$AC$17+'TUSD BF'!$AC$17+'TUSD CVA'!$AC$17)*1</f>
        <v>0</v>
      </c>
      <c r="AB17" s="85">
        <f ca="1">('TUSD BE'!$AE$17+'TUSD BF'!$AE$17+'TUSD CVA'!$AE$17)*1</f>
        <v>0</v>
      </c>
      <c r="AC17" s="85">
        <f ca="1">('TUSD BE'!$AF$17+'TUSD BF'!$AF$17+'TUSD CVA'!$AF$17)*1</f>
        <v>0</v>
      </c>
      <c r="AD17" s="85">
        <f>('TUSD BE'!$AH$17+'TUSD BF'!$AH$17+'TUSD CVA'!$AH$17)*1</f>
        <v>10.615669063205225</v>
      </c>
      <c r="AE17" s="85">
        <f>('TUSD BE'!$AI$17+'TUSD BF'!$AI$17+'TUSD CVA'!$AI$17)*1</f>
        <v>0.39902543623336034</v>
      </c>
      <c r="AF17" s="85">
        <f ca="1">('TUSD BE'!$AJ$17+'TUSD BF'!$AJ$17+'TUSD CVA'!$AJ$17)*1</f>
        <v>7.7836030845026025</v>
      </c>
      <c r="AG17" s="85">
        <f ca="1">('TUSD BE'!$AK$17+'TUSD BF'!$AK$17+'TUSD CVA'!$AK$17)*1</f>
        <v>2.0006462749611242</v>
      </c>
      <c r="AI17" s="85">
        <v>0</v>
      </c>
      <c r="AJ17" s="85">
        <v>0.20249919835253899</v>
      </c>
      <c r="AK17" s="85">
        <v>0.46268513678471901</v>
      </c>
      <c r="AL17" s="85">
        <v>0</v>
      </c>
      <c r="AM17" s="85">
        <v>0</v>
      </c>
      <c r="AN17" s="85">
        <v>49.451674182419197</v>
      </c>
      <c r="AO17" s="85">
        <v>10.198150985874999</v>
      </c>
      <c r="AP17" s="85">
        <v>0</v>
      </c>
      <c r="AQ17" s="85">
        <v>0</v>
      </c>
      <c r="AR17" s="85">
        <v>0</v>
      </c>
      <c r="AS17" s="85">
        <v>0</v>
      </c>
      <c r="AT17" s="85">
        <v>0</v>
      </c>
      <c r="AU17" s="85">
        <v>0</v>
      </c>
      <c r="AV17" s="85">
        <v>0</v>
      </c>
      <c r="AW17" s="85">
        <v>0</v>
      </c>
      <c r="AX17" s="85">
        <v>0</v>
      </c>
      <c r="AY17" s="85">
        <v>0</v>
      </c>
      <c r="AZ17" s="85">
        <v>0</v>
      </c>
      <c r="BA17" s="85">
        <v>12.788703103262799</v>
      </c>
      <c r="BB17" s="85">
        <v>0.47864744631413297</v>
      </c>
      <c r="BC17" s="85">
        <v>8.9938853831253809</v>
      </c>
      <c r="BD17" s="85">
        <v>1.8774269305645399</v>
      </c>
    </row>
    <row r="18" spans="1:56" ht="11.25" customHeight="1" x14ac:dyDescent="0.25">
      <c r="A18" s="119"/>
      <c r="B18" s="119"/>
      <c r="C18" s="119"/>
      <c r="D18" s="119"/>
      <c r="E18" s="87" t="s">
        <v>61</v>
      </c>
      <c r="F18" s="87" t="s">
        <v>25</v>
      </c>
      <c r="G18" s="21" t="s">
        <v>94</v>
      </c>
      <c r="H18" s="21" t="s">
        <v>88</v>
      </c>
      <c r="I18" s="21">
        <f>'MERCADO TUSD'!$U$15</f>
        <v>0</v>
      </c>
      <c r="J18" s="17"/>
      <c r="L18" s="85">
        <f>('TUSD BE'!$L$18+'TUSD BF'!$L$18+'TUSD CVA'!$L$18)*1</f>
        <v>0</v>
      </c>
      <c r="M18" s="85">
        <f>('TUSD BE'!$M$18+'TUSD BF'!$M$18+'TUSD CVA'!$M$18)*1</f>
        <v>0.20302245705599098</v>
      </c>
      <c r="N18" s="85">
        <f ca="1">('TUSD BE'!$N$18+'TUSD BF'!$N$18+'TUSD CVA'!$N$18)*1</f>
        <v>0.45680836814639902</v>
      </c>
      <c r="O18" s="85">
        <f>('TUSD BE'!$O$18+'TUSD BF'!$O$18+'TUSD CVA'!$O$18)*1</f>
        <v>0</v>
      </c>
      <c r="P18" s="85">
        <f>('TUSD BE'!$P$18+'TUSD BF'!$P$18+'TUSD CVA'!$P$18)*1</f>
        <v>0</v>
      </c>
      <c r="Q18" s="85">
        <f>('TUSD BE'!$Q$18+'TUSD BF'!$Q$18+'TUSD CVA'!$Q$18)*1</f>
        <v>0</v>
      </c>
      <c r="R18" s="85">
        <f>('TUSD BE'!$R$18+'TUSD BF'!$R$18+'TUSD CVA'!$R$18)*1</f>
        <v>0</v>
      </c>
      <c r="S18" s="85">
        <f>('TUSD BE'!$S$18+'TUSD BF'!$S$18+'TUSD CVA'!$S$18)*1</f>
        <v>0</v>
      </c>
      <c r="T18" s="85">
        <f>('TUSD BE'!$U$18+'TUSD BF'!$U$18+'TUSD CVA'!$U$18)*1</f>
        <v>0</v>
      </c>
      <c r="U18" s="85">
        <f>('TUSD BE'!$V$18+'TUSD BF'!$V$18+'TUSD CVA'!$V$18)*1</f>
        <v>0</v>
      </c>
      <c r="V18" s="85">
        <f>('TUSD BE'!$W$18+'TUSD BF'!$W$18+'TUSD CVA'!$W$18)*1</f>
        <v>0</v>
      </c>
      <c r="W18" s="85">
        <f>('TUSD BE'!$X$18+'TUSD BF'!$X$18+'TUSD CVA'!$X$18)*1</f>
        <v>0</v>
      </c>
      <c r="X18" s="85">
        <f>('TUSD BE'!$Y$18+'TUSD BF'!$Y$18+'TUSD CVA'!$Y$18)*1</f>
        <v>0</v>
      </c>
      <c r="Y18" s="85">
        <f>('TUSD BE'!$Z$18+'TUSD BF'!$Z$18+'TUSD CVA'!$Z$18)*1</f>
        <v>0</v>
      </c>
      <c r="Z18" s="85">
        <f>('TUSD BE'!$AA$18+'TUSD BF'!$AA$18+'TUSD CVA'!$AA$18)*1</f>
        <v>0</v>
      </c>
      <c r="AA18" s="85">
        <f>('TUSD BE'!$AC$18+'TUSD BF'!$AC$18+'TUSD CVA'!$AC$18)*1</f>
        <v>0</v>
      </c>
      <c r="AB18" s="85">
        <f ca="1">('TUSD BE'!$AE$18+'TUSD BF'!$AE$18+'TUSD CVA'!$AE$18)*1</f>
        <v>0</v>
      </c>
      <c r="AC18" s="85">
        <f ca="1">('TUSD BE'!$AF$18+'TUSD BF'!$AF$18+'TUSD CVA'!$AF$18)*1</f>
        <v>0</v>
      </c>
      <c r="AD18" s="85">
        <f>('TUSD BE'!$AH$18+'TUSD BF'!$AH$18+'TUSD CVA'!$AH$18)*1</f>
        <v>10.615669063205225</v>
      </c>
      <c r="AE18" s="85">
        <f>('TUSD BE'!$AI$18+'TUSD BF'!$AI$18+'TUSD CVA'!$AI$18)*1</f>
        <v>0.39902543623336034</v>
      </c>
      <c r="AF18" s="85">
        <f ca="1">('TUSD BE'!$AJ$18+'TUSD BF'!$AJ$18+'TUSD CVA'!$AJ$18)*1</f>
        <v>7.7836030845026025</v>
      </c>
      <c r="AG18" s="85">
        <f ca="1">('TUSD BE'!$AK$18+'TUSD BF'!$AK$18+'TUSD CVA'!$AK$18)*1</f>
        <v>2.0006462749611242</v>
      </c>
      <c r="AI18" s="85">
        <v>0</v>
      </c>
      <c r="AJ18" s="85">
        <v>0.20249919835253899</v>
      </c>
      <c r="AK18" s="85">
        <v>0.44758279052029398</v>
      </c>
      <c r="AL18" s="85">
        <v>0</v>
      </c>
      <c r="AM18" s="85">
        <v>0</v>
      </c>
      <c r="AN18" s="85">
        <v>0</v>
      </c>
      <c r="AO18" s="85">
        <v>0</v>
      </c>
      <c r="AP18" s="85">
        <v>0</v>
      </c>
      <c r="AQ18" s="85">
        <v>0</v>
      </c>
      <c r="AR18" s="85">
        <v>0</v>
      </c>
      <c r="AS18" s="85">
        <v>0</v>
      </c>
      <c r="AT18" s="85">
        <v>0</v>
      </c>
      <c r="AU18" s="85">
        <v>0</v>
      </c>
      <c r="AV18" s="85">
        <v>0</v>
      </c>
      <c r="AW18" s="85">
        <v>0</v>
      </c>
      <c r="AX18" s="85">
        <v>0</v>
      </c>
      <c r="AY18" s="85">
        <v>0</v>
      </c>
      <c r="AZ18" s="85">
        <v>0</v>
      </c>
      <c r="BA18" s="85">
        <v>12.788703103262799</v>
      </c>
      <c r="BB18" s="85">
        <v>0.47864744631413297</v>
      </c>
      <c r="BC18" s="85">
        <v>8.9938853831253809</v>
      </c>
      <c r="BD18" s="85">
        <v>1.8774269305645399</v>
      </c>
    </row>
    <row r="19" spans="1:56" ht="11.25" customHeight="1" x14ac:dyDescent="0.25">
      <c r="A19" s="119"/>
      <c r="B19" s="87" t="s">
        <v>64</v>
      </c>
      <c r="C19" s="87" t="s">
        <v>25</v>
      </c>
      <c r="D19" s="87" t="s">
        <v>25</v>
      </c>
      <c r="E19" s="87" t="s">
        <v>25</v>
      </c>
      <c r="F19" s="87" t="s">
        <v>25</v>
      </c>
      <c r="G19" s="21" t="s">
        <v>9</v>
      </c>
      <c r="H19" s="21" t="s">
        <v>91</v>
      </c>
      <c r="I19" s="21">
        <f>'MERCADO TUSD'!$U$16</f>
        <v>288000</v>
      </c>
      <c r="J19" s="17"/>
      <c r="L19" s="85">
        <f>('TUSD BE'!$L$19+'TUSD BF'!$L$19+'TUSD CVA'!$L$19)*1</f>
        <v>0</v>
      </c>
      <c r="M19" s="85">
        <f>('TUSD BE'!$M$19+'TUSD BF'!$M$19+'TUSD CVA'!$M$19)*1</f>
        <v>1.1220887242829491E-2</v>
      </c>
      <c r="N19" s="85">
        <f ca="1">('TUSD BE'!$N$19+'TUSD BF'!$N$19+'TUSD CVA'!$N$19)*1</f>
        <v>4.6160905403455507E-2</v>
      </c>
      <c r="O19" s="85">
        <f>('TUSD BE'!$O$19+'TUSD BF'!$O$19+'TUSD CVA'!$O$19)*1</f>
        <v>0</v>
      </c>
      <c r="P19" s="85">
        <f>('TUSD BE'!$P$19+'TUSD BF'!$P$19+'TUSD CVA'!$P$19)*1</f>
        <v>0</v>
      </c>
      <c r="Q19" s="85">
        <f>('TUSD BE'!$Q$19+'TUSD BF'!$Q$19+'TUSD CVA'!$Q$19)*1</f>
        <v>0</v>
      </c>
      <c r="R19" s="85">
        <f>('TUSD BE'!$R$19+'TUSD BF'!$R$19+'TUSD CVA'!$R$19)*1</f>
        <v>0</v>
      </c>
      <c r="S19" s="85">
        <f>('TUSD BE'!$S$19+'TUSD BF'!$S$19+'TUSD CVA'!$S$19)*1</f>
        <v>0</v>
      </c>
      <c r="T19" s="85">
        <f>('TUSD BE'!$U$19+'TUSD BF'!$U$19+'TUSD CVA'!$U$19)*1</f>
        <v>0</v>
      </c>
      <c r="U19" s="85">
        <f>('TUSD BE'!$V$19+'TUSD BF'!$V$19+'TUSD CVA'!$V$19)*1</f>
        <v>0</v>
      </c>
      <c r="V19" s="85">
        <f>('TUSD BE'!$W$19+'TUSD BF'!$W$19+'TUSD CVA'!$W$19)*1</f>
        <v>0</v>
      </c>
      <c r="W19" s="85">
        <f>('TUSD BE'!$X$19+'TUSD BF'!$X$19+'TUSD CVA'!$X$19)*1</f>
        <v>0</v>
      </c>
      <c r="X19" s="85">
        <f>('TUSD BE'!$Y$19+'TUSD BF'!$Y$19+'TUSD CVA'!$Y$19)*1</f>
        <v>0</v>
      </c>
      <c r="Y19" s="85">
        <f>('TUSD BE'!$Z$19+'TUSD BF'!$Z$19+'TUSD CVA'!$Z$19)*1</f>
        <v>0</v>
      </c>
      <c r="Z19" s="85">
        <f>('TUSD BE'!$AA$19+'TUSD BF'!$AA$19+'TUSD CVA'!$AA$19)*1</f>
        <v>0</v>
      </c>
      <c r="AA19" s="85">
        <f>('TUSD BE'!$AC$19+'TUSD BF'!$AC$19+'TUSD CVA'!$AC$19)*1</f>
        <v>3.6472831738600258</v>
      </c>
      <c r="AB19" s="85">
        <f ca="1">('TUSD BE'!$AE$19+'TUSD BF'!$AE$19+'TUSD CVA'!$AE$19)*1</f>
        <v>0</v>
      </c>
      <c r="AC19" s="85">
        <f ca="1">('TUSD BE'!$AF$19+'TUSD BF'!$AF$19+'TUSD CVA'!$AF$19)*1</f>
        <v>0</v>
      </c>
      <c r="AD19" s="85">
        <f>('TUSD BE'!$AH$19+'TUSD BF'!$AH$19+'TUSD CVA'!$AH$19)*1</f>
        <v>1.429299742900861E-3</v>
      </c>
      <c r="AE19" s="85">
        <f>('TUSD BE'!$AI$19+'TUSD BF'!$AI$19+'TUSD CVA'!$AI$19)*1</f>
        <v>0</v>
      </c>
      <c r="AF19" s="85">
        <f ca="1">('TUSD BE'!$AJ$19+'TUSD BF'!$AJ$19+'TUSD CVA'!$AJ$19)*1</f>
        <v>0</v>
      </c>
      <c r="AG19" s="85">
        <f ca="1">('TUSD BE'!$AK$19+'TUSD BF'!$AK$19+'TUSD CVA'!$AK$19)*1</f>
        <v>0</v>
      </c>
      <c r="AI19" s="85">
        <v>0</v>
      </c>
      <c r="AJ19" s="85">
        <v>1.19986897265378E-2</v>
      </c>
      <c r="AK19" s="85">
        <v>4.8176484583518003E-2</v>
      </c>
      <c r="AL19" s="85">
        <v>0</v>
      </c>
      <c r="AM19" s="85">
        <v>0</v>
      </c>
      <c r="AN19" s="85">
        <v>0</v>
      </c>
      <c r="AO19" s="85">
        <v>0</v>
      </c>
      <c r="AP19" s="85">
        <v>0</v>
      </c>
      <c r="AQ19" s="85">
        <v>0</v>
      </c>
      <c r="AR19" s="85">
        <v>0</v>
      </c>
      <c r="AS19" s="85">
        <v>0</v>
      </c>
      <c r="AT19" s="85">
        <v>0</v>
      </c>
      <c r="AU19" s="85">
        <v>0</v>
      </c>
      <c r="AV19" s="85">
        <v>0</v>
      </c>
      <c r="AW19" s="85">
        <v>0</v>
      </c>
      <c r="AX19" s="85">
        <v>3.5379536460191598</v>
      </c>
      <c r="AY19" s="85">
        <v>0</v>
      </c>
      <c r="AZ19" s="85">
        <v>0</v>
      </c>
      <c r="BA19" s="85">
        <v>1.7218782865872401E-3</v>
      </c>
      <c r="BB19" s="85">
        <v>0</v>
      </c>
      <c r="BC19" s="85">
        <v>0</v>
      </c>
      <c r="BD19" s="85">
        <v>0</v>
      </c>
    </row>
    <row r="20" spans="1:56" ht="11.25" customHeight="1" x14ac:dyDescent="0.25">
      <c r="A20" s="119"/>
      <c r="B20" s="119" t="s">
        <v>34</v>
      </c>
      <c r="C20" s="119" t="s">
        <v>25</v>
      </c>
      <c r="D20" s="119" t="s">
        <v>25</v>
      </c>
      <c r="E20" s="119" t="s">
        <v>25</v>
      </c>
      <c r="F20" s="119" t="s">
        <v>25</v>
      </c>
      <c r="G20" s="21" t="s">
        <v>9</v>
      </c>
      <c r="H20" s="21" t="s">
        <v>91</v>
      </c>
      <c r="I20" s="21">
        <f>'MERCADO TUSD'!$U$17</f>
        <v>25668</v>
      </c>
      <c r="J20" s="17"/>
      <c r="L20" s="85">
        <f>('TUSD BE'!$L$20+'TUSD BF'!$L$20+'TUSD CVA'!$L$20)*1</f>
        <v>0</v>
      </c>
      <c r="M20" s="85">
        <f>('TUSD BE'!$M$20+'TUSD BF'!$M$20+'TUSD CVA'!$M$20)*1</f>
        <v>0</v>
      </c>
      <c r="N20" s="85">
        <f ca="1">('TUSD BE'!$N$20+'TUSD BF'!$N$20+'TUSD CVA'!$N$20)*1</f>
        <v>0</v>
      </c>
      <c r="O20" s="85">
        <f>('TUSD BE'!$O$20+'TUSD BF'!$O$20+'TUSD CVA'!$O$20)*1</f>
        <v>0</v>
      </c>
      <c r="P20" s="85">
        <f>('TUSD BE'!$P$20+'TUSD BF'!$P$20+'TUSD CVA'!$P$20)*1</f>
        <v>0</v>
      </c>
      <c r="Q20" s="85">
        <f>('TUSD BE'!$Q$20+'TUSD BF'!$Q$20+'TUSD CVA'!$Q$20)*1</f>
        <v>0</v>
      </c>
      <c r="R20" s="85">
        <f>('TUSD BE'!$R$20+'TUSD BF'!$R$20+'TUSD CVA'!$R$20)*1</f>
        <v>0</v>
      </c>
      <c r="S20" s="85">
        <f>('TUSD BE'!$S$20+'TUSD BF'!$S$20+'TUSD CVA'!$S$20)*1</f>
        <v>0</v>
      </c>
      <c r="T20" s="85">
        <f>('TUSD BE'!$U$20+'TUSD BF'!$U$20+'TUSD CVA'!$U$20)*1</f>
        <v>5.2870322569525143</v>
      </c>
      <c r="U20" s="85">
        <f>('TUSD BE'!$V$20+'TUSD BF'!$V$20+'TUSD CVA'!$V$20)*1</f>
        <v>1.5279977964217852</v>
      </c>
      <c r="V20" s="85">
        <f>('TUSD BE'!$W$20+'TUSD BF'!$W$20+'TUSD CVA'!$W$20)*1</f>
        <v>0.17554132757446547</v>
      </c>
      <c r="W20" s="85">
        <f>('TUSD BE'!$X$20+'TUSD BF'!$X$20+'TUSD CVA'!$X$20)*1</f>
        <v>0</v>
      </c>
      <c r="X20" s="85">
        <f>('TUSD BE'!$Y$20+'TUSD BF'!$Y$20+'TUSD CVA'!$Y$20)*1</f>
        <v>0</v>
      </c>
      <c r="Y20" s="85">
        <f>('TUSD BE'!$Z$20+'TUSD BF'!$Z$20+'TUSD CVA'!$Z$20)*1</f>
        <v>0</v>
      </c>
      <c r="Z20" s="85">
        <f>('TUSD BE'!$AA$20+'TUSD BF'!$AA$20+'TUSD CVA'!$AA$20)*1</f>
        <v>0</v>
      </c>
      <c r="AA20" s="85">
        <f>('TUSD BE'!$AC$20+'TUSD BF'!$AC$20+'TUSD CVA'!$AC$20)*1</f>
        <v>4.4617852677044318</v>
      </c>
      <c r="AB20" s="85">
        <f ca="1">('TUSD BE'!$AE$20+'TUSD BF'!$AE$20+'TUSD CVA'!$AE$20)*1</f>
        <v>0</v>
      </c>
      <c r="AC20" s="85">
        <f ca="1">('TUSD BE'!$AF$20+'TUSD BF'!$AF$20+'TUSD CVA'!$AF$20)*1</f>
        <v>0</v>
      </c>
      <c r="AD20" s="85">
        <f>('TUSD BE'!$AH$20+'TUSD BF'!$AH$20+'TUSD CVA'!$AH$20)*1</f>
        <v>0</v>
      </c>
      <c r="AE20" s="85">
        <f>('TUSD BE'!$AI$20+'TUSD BF'!$AI$20+'TUSD CVA'!$AI$20)*1</f>
        <v>0</v>
      </c>
      <c r="AF20" s="85">
        <f ca="1">('TUSD BE'!$AJ$20+'TUSD BF'!$AJ$20+'TUSD CVA'!$AJ$20)*1</f>
        <v>0</v>
      </c>
      <c r="AG20" s="85">
        <f ca="1">('TUSD BE'!$AK$20+'TUSD BF'!$AK$20+'TUSD CVA'!$AK$20)*1</f>
        <v>0</v>
      </c>
      <c r="AI20" s="85">
        <v>0</v>
      </c>
      <c r="AJ20" s="85">
        <v>0</v>
      </c>
      <c r="AK20" s="85">
        <v>0</v>
      </c>
      <c r="AL20" s="85">
        <v>0</v>
      </c>
      <c r="AM20" s="85">
        <v>0</v>
      </c>
      <c r="AN20" s="85">
        <v>0</v>
      </c>
      <c r="AO20" s="85">
        <v>0</v>
      </c>
      <c r="AP20" s="85">
        <v>0</v>
      </c>
      <c r="AQ20" s="85">
        <v>3.33506640060188</v>
      </c>
      <c r="AR20" s="85">
        <v>1.03295342340968</v>
      </c>
      <c r="AS20" s="85">
        <v>0.113814972575426</v>
      </c>
      <c r="AT20" s="85">
        <v>0</v>
      </c>
      <c r="AU20" s="85">
        <v>0</v>
      </c>
      <c r="AV20" s="85">
        <v>0</v>
      </c>
      <c r="AW20" s="85">
        <v>0</v>
      </c>
      <c r="AX20" s="85">
        <v>4.3280405450183599</v>
      </c>
      <c r="AY20" s="85">
        <v>0</v>
      </c>
      <c r="AZ20" s="85">
        <v>0</v>
      </c>
      <c r="BA20" s="85">
        <v>0</v>
      </c>
      <c r="BB20" s="85">
        <v>0</v>
      </c>
      <c r="BC20" s="85">
        <v>0</v>
      </c>
      <c r="BD20" s="85">
        <v>0</v>
      </c>
    </row>
    <row r="21" spans="1:56" ht="11.25" customHeight="1" x14ac:dyDescent="0.25">
      <c r="A21" s="119"/>
      <c r="B21" s="119"/>
      <c r="C21" s="119"/>
      <c r="D21" s="119"/>
      <c r="E21" s="119"/>
      <c r="F21" s="119"/>
      <c r="G21" s="21" t="s">
        <v>89</v>
      </c>
      <c r="H21" s="21" t="s">
        <v>88</v>
      </c>
      <c r="I21" s="21">
        <f>'MERCADO TUSD'!$U$18</f>
        <v>791.82199999999989</v>
      </c>
      <c r="J21" s="17"/>
      <c r="L21" s="85">
        <f>('TUSD BE'!$L$21+'TUSD BF'!$L$21+'TUSD CVA'!$L$21)*1</f>
        <v>0</v>
      </c>
      <c r="M21" s="85">
        <f>('TUSD BE'!$M$21+'TUSD BF'!$M$21+'TUSD CVA'!$M$21)*1</f>
        <v>0.20302245705599098</v>
      </c>
      <c r="N21" s="85">
        <f ca="1">('TUSD BE'!$N$21+'TUSD BF'!$N$21+'TUSD CVA'!$N$21)*1</f>
        <v>6.1330890122309487</v>
      </c>
      <c r="O21" s="85">
        <f>('TUSD BE'!$O$21+'TUSD BF'!$O$21+'TUSD CVA'!$O$21)*1</f>
        <v>0</v>
      </c>
      <c r="P21" s="85">
        <f>('TUSD BE'!$P$21+'TUSD BF'!$P$21+'TUSD CVA'!$P$21)*1</f>
        <v>0</v>
      </c>
      <c r="Q21" s="85">
        <f>('TUSD BE'!$Q$21+'TUSD BF'!$Q$21+'TUSD CVA'!$Q$21)*1</f>
        <v>59.069180056669261</v>
      </c>
      <c r="R21" s="85">
        <f>('TUSD BE'!$R$21+'TUSD BF'!$R$21+'TUSD CVA'!$R$21)*1</f>
        <v>6.9769367212194551</v>
      </c>
      <c r="S21" s="85">
        <f>('TUSD BE'!$S$21+'TUSD BF'!$S$21+'TUSD CVA'!$S$21)*1</f>
        <v>0</v>
      </c>
      <c r="T21" s="85">
        <f>('TUSD BE'!$U$21+'TUSD BF'!$U$21+'TUSD CVA'!$U$21)*1</f>
        <v>194.53599245479751</v>
      </c>
      <c r="U21" s="85">
        <f>('TUSD BE'!$V$21+'TUSD BF'!$V$21+'TUSD CVA'!$V$21)*1</f>
        <v>51.663238471764828</v>
      </c>
      <c r="V21" s="85">
        <f>('TUSD BE'!$W$21+'TUSD BF'!$W$21+'TUSD CVA'!$W$21)*1</f>
        <v>6.595680802960036</v>
      </c>
      <c r="W21" s="85">
        <f>('TUSD BE'!$X$21+'TUSD BF'!$X$21+'TUSD CVA'!$X$21)*1</f>
        <v>0</v>
      </c>
      <c r="X21" s="85">
        <f>('TUSD BE'!$Y$21+'TUSD BF'!$Y$21+'TUSD CVA'!$Y$21)*1</f>
        <v>0</v>
      </c>
      <c r="Y21" s="85">
        <f>('TUSD BE'!$Z$21+'TUSD BF'!$Z$21+'TUSD CVA'!$Z$21)*1</f>
        <v>0</v>
      </c>
      <c r="Z21" s="85">
        <f>('TUSD BE'!$AA$21+'TUSD BF'!$AA$21+'TUSD CVA'!$AA$21)*1</f>
        <v>0</v>
      </c>
      <c r="AA21" s="85">
        <f>('TUSD BE'!$AC$21+'TUSD BF'!$AC$21+'TUSD CVA'!$AC$21)*1</f>
        <v>401.7575513446821</v>
      </c>
      <c r="AB21" s="85">
        <f ca="1">('TUSD BE'!$AE$21+'TUSD BF'!$AE$21+'TUSD CVA'!$AE$21)*1</f>
        <v>0</v>
      </c>
      <c r="AC21" s="85">
        <f ca="1">('TUSD BE'!$AF$21+'TUSD BF'!$AF$21+'TUSD CVA'!$AF$21)*1</f>
        <v>0</v>
      </c>
      <c r="AD21" s="85">
        <f>('TUSD BE'!$AH$21+'TUSD BF'!$AH$21+'TUSD CVA'!$AH$21)*1</f>
        <v>10.615669063205225</v>
      </c>
      <c r="AE21" s="85">
        <f>('TUSD BE'!$AI$21+'TUSD BF'!$AI$21+'TUSD CVA'!$AI$21)*1</f>
        <v>0.39902543623336034</v>
      </c>
      <c r="AF21" s="85">
        <f ca="1">('TUSD BE'!$AJ$21+'TUSD BF'!$AJ$21+'TUSD CVA'!$AJ$21)*1</f>
        <v>7.7836030845026025</v>
      </c>
      <c r="AG21" s="85">
        <f ca="1">('TUSD BE'!$AK$21+'TUSD BF'!$AK$21+'TUSD CVA'!$AK$21)*1</f>
        <v>2.0006462749611242</v>
      </c>
      <c r="AI21" s="85">
        <v>0</v>
      </c>
      <c r="AJ21" s="85">
        <v>0.20249919835253899</v>
      </c>
      <c r="AK21" s="85">
        <v>6.3717137093430001</v>
      </c>
      <c r="AL21" s="85">
        <v>0</v>
      </c>
      <c r="AM21" s="85">
        <v>0</v>
      </c>
      <c r="AN21" s="85">
        <v>49.451674182419197</v>
      </c>
      <c r="AO21" s="85">
        <v>10.198150985874999</v>
      </c>
      <c r="AP21" s="85">
        <v>0</v>
      </c>
      <c r="AQ21" s="85">
        <v>122.7135414751</v>
      </c>
      <c r="AR21" s="85">
        <v>34.925259165170601</v>
      </c>
      <c r="AS21" s="85">
        <v>4.2764130821940904</v>
      </c>
      <c r="AT21" s="85">
        <v>0</v>
      </c>
      <c r="AU21" s="85">
        <v>0</v>
      </c>
      <c r="AV21" s="85">
        <v>0</v>
      </c>
      <c r="AW21" s="85">
        <v>0</v>
      </c>
      <c r="AX21" s="85">
        <v>389.71462478778102</v>
      </c>
      <c r="AY21" s="85">
        <v>0</v>
      </c>
      <c r="AZ21" s="85">
        <v>0</v>
      </c>
      <c r="BA21" s="85">
        <v>12.788703103262799</v>
      </c>
      <c r="BB21" s="85">
        <v>0.47864744631413297</v>
      </c>
      <c r="BC21" s="85">
        <v>8.9938853831253809</v>
      </c>
      <c r="BD21" s="85">
        <v>1.8774269305645399</v>
      </c>
    </row>
    <row r="22" spans="1:56" ht="11.25" customHeight="1" x14ac:dyDescent="0.25">
      <c r="A22" s="119"/>
      <c r="B22" s="119"/>
      <c r="C22" s="119"/>
      <c r="D22" s="119"/>
      <c r="E22" s="119"/>
      <c r="F22" s="119"/>
      <c r="G22" s="21" t="s">
        <v>90</v>
      </c>
      <c r="H22" s="21" t="s">
        <v>88</v>
      </c>
      <c r="I22" s="21">
        <f>'MERCADO TUSD'!$U$19</f>
        <v>6790.7199999999993</v>
      </c>
      <c r="J22" s="17"/>
      <c r="L22" s="85">
        <f>('TUSD BE'!$L$22+'TUSD BF'!$L$22+'TUSD CVA'!$L$22)*1</f>
        <v>0</v>
      </c>
      <c r="M22" s="85">
        <f>('TUSD BE'!$M$22+'TUSD BF'!$M$22+'TUSD CVA'!$M$22)*1</f>
        <v>0.20302245705599098</v>
      </c>
      <c r="N22" s="85">
        <f ca="1">('TUSD BE'!$N$22+'TUSD BF'!$N$22+'TUSD CVA'!$N$22)*1</f>
        <v>0.47127887140767033</v>
      </c>
      <c r="O22" s="85">
        <f>('TUSD BE'!$O$22+'TUSD BF'!$O$22+'TUSD CVA'!$O$22)*1</f>
        <v>0</v>
      </c>
      <c r="P22" s="85">
        <f>('TUSD BE'!$P$22+'TUSD BF'!$P$22+'TUSD CVA'!$P$22)*1</f>
        <v>0</v>
      </c>
      <c r="Q22" s="85">
        <f>('TUSD BE'!$Q$22+'TUSD BF'!$Q$22+'TUSD CVA'!$Q$22)*1</f>
        <v>59.069180056669261</v>
      </c>
      <c r="R22" s="85">
        <f>('TUSD BE'!$R$22+'TUSD BF'!$R$22+'TUSD CVA'!$R$22)*1</f>
        <v>6.9769367212194551</v>
      </c>
      <c r="S22" s="85">
        <f>('TUSD BE'!$S$22+'TUSD BF'!$S$22+'TUSD CVA'!$S$22)*1</f>
        <v>0</v>
      </c>
      <c r="T22" s="85">
        <f>('TUSD BE'!$U$22+'TUSD BF'!$U$22+'TUSD CVA'!$U$22)*1</f>
        <v>0</v>
      </c>
      <c r="U22" s="85">
        <f>('TUSD BE'!$V$22+'TUSD BF'!$V$22+'TUSD CVA'!$V$22)*1</f>
        <v>0</v>
      </c>
      <c r="V22" s="85">
        <f>('TUSD BE'!$W$22+'TUSD BF'!$W$22+'TUSD CVA'!$W$22)*1</f>
        <v>0</v>
      </c>
      <c r="W22" s="85">
        <f>('TUSD BE'!$X$22+'TUSD BF'!$X$22+'TUSD CVA'!$X$22)*1</f>
        <v>0</v>
      </c>
      <c r="X22" s="85">
        <f>('TUSD BE'!$Y$22+'TUSD BF'!$Y$22+'TUSD CVA'!$Y$22)*1</f>
        <v>0</v>
      </c>
      <c r="Y22" s="85">
        <f>('TUSD BE'!$Z$22+'TUSD BF'!$Z$22+'TUSD CVA'!$Z$22)*1</f>
        <v>0</v>
      </c>
      <c r="Z22" s="85">
        <f>('TUSD BE'!$AA$22+'TUSD BF'!$AA$22+'TUSD CVA'!$AA$22)*1</f>
        <v>0</v>
      </c>
      <c r="AA22" s="85">
        <f>('TUSD BE'!$AC$22+'TUSD BF'!$AC$22+'TUSD CVA'!$AC$22)*1</f>
        <v>0</v>
      </c>
      <c r="AB22" s="85">
        <f ca="1">('TUSD BE'!$AE$22+'TUSD BF'!$AE$22+'TUSD CVA'!$AE$22)*1</f>
        <v>0</v>
      </c>
      <c r="AC22" s="85">
        <f ca="1">('TUSD BE'!$AF$22+'TUSD BF'!$AF$22+'TUSD CVA'!$AF$22)*1</f>
        <v>0</v>
      </c>
      <c r="AD22" s="85">
        <f>('TUSD BE'!$AH$22+'TUSD BF'!$AH$22+'TUSD CVA'!$AH$22)*1</f>
        <v>10.615669063205225</v>
      </c>
      <c r="AE22" s="85">
        <f>('TUSD BE'!$AI$22+'TUSD BF'!$AI$22+'TUSD CVA'!$AI$22)*1</f>
        <v>0.39902543623336034</v>
      </c>
      <c r="AF22" s="85">
        <f ca="1">('TUSD BE'!$AJ$22+'TUSD BF'!$AJ$22+'TUSD CVA'!$AJ$22)*1</f>
        <v>7.7836030845026025</v>
      </c>
      <c r="AG22" s="85">
        <f ca="1">('TUSD BE'!$AK$22+'TUSD BF'!$AK$22+'TUSD CVA'!$AK$22)*1</f>
        <v>2.0006462749611242</v>
      </c>
      <c r="AI22" s="85">
        <v>0</v>
      </c>
      <c r="AJ22" s="85">
        <v>0.20249919835253899</v>
      </c>
      <c r="AK22" s="85">
        <v>0.46268513678471901</v>
      </c>
      <c r="AL22" s="85">
        <v>0</v>
      </c>
      <c r="AM22" s="85">
        <v>0</v>
      </c>
      <c r="AN22" s="85">
        <v>49.451674182419197</v>
      </c>
      <c r="AO22" s="85">
        <v>10.198150985874999</v>
      </c>
      <c r="AP22" s="85">
        <v>0</v>
      </c>
      <c r="AQ22" s="85">
        <v>0</v>
      </c>
      <c r="AR22" s="85">
        <v>0</v>
      </c>
      <c r="AS22" s="85">
        <v>0</v>
      </c>
      <c r="AT22" s="85">
        <v>0</v>
      </c>
      <c r="AU22" s="85">
        <v>0</v>
      </c>
      <c r="AV22" s="85">
        <v>0</v>
      </c>
      <c r="AW22" s="85">
        <v>0</v>
      </c>
      <c r="AX22" s="85">
        <v>0</v>
      </c>
      <c r="AY22" s="85">
        <v>0</v>
      </c>
      <c r="AZ22" s="85">
        <v>0</v>
      </c>
      <c r="BA22" s="85">
        <v>12.788703103262799</v>
      </c>
      <c r="BB22" s="85">
        <v>0.47864744631413297</v>
      </c>
      <c r="BC22" s="85">
        <v>8.9938853831253809</v>
      </c>
      <c r="BD22" s="85">
        <v>1.8774269305645399</v>
      </c>
    </row>
    <row r="23" spans="1:56" ht="11.25" customHeight="1" x14ac:dyDescent="0.25">
      <c r="A23" s="119"/>
      <c r="B23" s="119"/>
      <c r="C23" s="119"/>
      <c r="D23" s="119"/>
      <c r="E23" s="119" t="s">
        <v>61</v>
      </c>
      <c r="F23" s="119" t="s">
        <v>25</v>
      </c>
      <c r="G23" s="21" t="s">
        <v>89</v>
      </c>
      <c r="H23" s="21" t="s">
        <v>88</v>
      </c>
      <c r="I23" s="21">
        <f>'MERCADO TUSD'!$U$20</f>
        <v>0</v>
      </c>
      <c r="J23" s="17"/>
      <c r="L23" s="85">
        <f>('TUSD BE'!$L$23+'TUSD BF'!$L$23+'TUSD CVA'!$L$23)*1</f>
        <v>0</v>
      </c>
      <c r="M23" s="85">
        <f>('TUSD BE'!$M$23+'TUSD BF'!$M$23+'TUSD CVA'!$M$23)*1</f>
        <v>0.20302245705599098</v>
      </c>
      <c r="N23" s="85">
        <f ca="1">('TUSD BE'!$N$23+'TUSD BF'!$N$23+'TUSD CVA'!$N$23)*1</f>
        <v>6.1186185089696776</v>
      </c>
      <c r="O23" s="85">
        <f>('TUSD BE'!$O$23+'TUSD BF'!$O$23+'TUSD CVA'!$O$23)*1</f>
        <v>0</v>
      </c>
      <c r="P23" s="85">
        <f>('TUSD BE'!$P$23+'TUSD BF'!$P$23+'TUSD CVA'!$P$23)*1</f>
        <v>0</v>
      </c>
      <c r="Q23" s="85">
        <f>('TUSD BE'!$Q$23+'TUSD BF'!$Q$23+'TUSD CVA'!$Q$23)*1</f>
        <v>0</v>
      </c>
      <c r="R23" s="85">
        <f>('TUSD BE'!$R$23+'TUSD BF'!$R$23+'TUSD CVA'!$R$23)*1</f>
        <v>0</v>
      </c>
      <c r="S23" s="85">
        <f>('TUSD BE'!$S$23+'TUSD BF'!$S$23+'TUSD CVA'!$S$23)*1</f>
        <v>0</v>
      </c>
      <c r="T23" s="85">
        <f>('TUSD BE'!$U$23+'TUSD BF'!$U$23+'TUSD CVA'!$U$23)*1</f>
        <v>194.53599245479751</v>
      </c>
      <c r="U23" s="85">
        <f>('TUSD BE'!$V$23+'TUSD BF'!$V$23+'TUSD CVA'!$V$23)*1</f>
        <v>51.663238471764828</v>
      </c>
      <c r="V23" s="85">
        <f>('TUSD BE'!$W$23+'TUSD BF'!$W$23+'TUSD CVA'!$W$23)*1</f>
        <v>6.595680802960036</v>
      </c>
      <c r="W23" s="85">
        <f>('TUSD BE'!$X$23+'TUSD BF'!$X$23+'TUSD CVA'!$X$23)*1</f>
        <v>0</v>
      </c>
      <c r="X23" s="85">
        <f>('TUSD BE'!$Y$23+'TUSD BF'!$Y$23+'TUSD CVA'!$Y$23)*1</f>
        <v>0</v>
      </c>
      <c r="Y23" s="85">
        <f>('TUSD BE'!$Z$23+'TUSD BF'!$Z$23+'TUSD CVA'!$Z$23)*1</f>
        <v>0</v>
      </c>
      <c r="Z23" s="85">
        <f>('TUSD BE'!$AA$23+'TUSD BF'!$AA$23+'TUSD CVA'!$AA$23)*1</f>
        <v>0</v>
      </c>
      <c r="AA23" s="85">
        <f>('TUSD BE'!$AC$23+'TUSD BF'!$AC$23+'TUSD CVA'!$AC$23)*1</f>
        <v>401.7575513446821</v>
      </c>
      <c r="AB23" s="85">
        <f ca="1">('TUSD BE'!$AE$23+'TUSD BF'!$AE$23+'TUSD CVA'!$AE$23)*1</f>
        <v>0</v>
      </c>
      <c r="AC23" s="85">
        <f ca="1">('TUSD BE'!$AF$23+'TUSD BF'!$AF$23+'TUSD CVA'!$AF$23)*1</f>
        <v>0</v>
      </c>
      <c r="AD23" s="85">
        <f>('TUSD BE'!$AH$23+'TUSD BF'!$AH$23+'TUSD CVA'!$AH$23)*1</f>
        <v>10.615669063205225</v>
      </c>
      <c r="AE23" s="85">
        <f>('TUSD BE'!$AI$23+'TUSD BF'!$AI$23+'TUSD CVA'!$AI$23)*1</f>
        <v>0.39902543623336034</v>
      </c>
      <c r="AF23" s="85">
        <f ca="1">('TUSD BE'!$AJ$23+'TUSD BF'!$AJ$23+'TUSD CVA'!$AJ$23)*1</f>
        <v>7.7836030845026025</v>
      </c>
      <c r="AG23" s="85">
        <f ca="1">('TUSD BE'!$AK$23+'TUSD BF'!$AK$23+'TUSD CVA'!$AK$23)*1</f>
        <v>2.0006462749611242</v>
      </c>
      <c r="AI23" s="85">
        <v>0</v>
      </c>
      <c r="AJ23" s="85">
        <v>0.20249919835253899</v>
      </c>
      <c r="AK23" s="85">
        <v>6.3566113630785797</v>
      </c>
      <c r="AL23" s="85">
        <v>0</v>
      </c>
      <c r="AM23" s="85">
        <v>0</v>
      </c>
      <c r="AN23" s="85">
        <v>0</v>
      </c>
      <c r="AO23" s="85">
        <v>0</v>
      </c>
      <c r="AP23" s="85">
        <v>0</v>
      </c>
      <c r="AQ23" s="85">
        <v>122.7135414751</v>
      </c>
      <c r="AR23" s="85">
        <v>34.925259165170601</v>
      </c>
      <c r="AS23" s="85">
        <v>4.2764130821940904</v>
      </c>
      <c r="AT23" s="85">
        <v>0</v>
      </c>
      <c r="AU23" s="85">
        <v>0</v>
      </c>
      <c r="AV23" s="85">
        <v>0</v>
      </c>
      <c r="AW23" s="85">
        <v>0</v>
      </c>
      <c r="AX23" s="85">
        <v>389.71462478778102</v>
      </c>
      <c r="AY23" s="85">
        <v>0</v>
      </c>
      <c r="AZ23" s="85">
        <v>0</v>
      </c>
      <c r="BA23" s="85">
        <v>12.788703103262799</v>
      </c>
      <c r="BB23" s="85">
        <v>0.47864744631413297</v>
      </c>
      <c r="BC23" s="85">
        <v>8.9938853831253809</v>
      </c>
      <c r="BD23" s="85">
        <v>1.8774269305645399</v>
      </c>
    </row>
    <row r="24" spans="1:56" ht="11.25" customHeight="1" x14ac:dyDescent="0.25">
      <c r="A24" s="119"/>
      <c r="B24" s="119"/>
      <c r="C24" s="119"/>
      <c r="D24" s="119"/>
      <c r="E24" s="119"/>
      <c r="F24" s="119"/>
      <c r="G24" s="21" t="s">
        <v>90</v>
      </c>
      <c r="H24" s="21" t="s">
        <v>88</v>
      </c>
      <c r="I24" s="21">
        <f>'MERCADO TUSD'!$U$21</f>
        <v>0</v>
      </c>
      <c r="J24" s="17"/>
      <c r="L24" s="85">
        <f>('TUSD BE'!$L$24+'TUSD BF'!$L$24+'TUSD CVA'!$L$24)*1</f>
        <v>0</v>
      </c>
      <c r="M24" s="85">
        <f>('TUSD BE'!$M$24+'TUSD BF'!$M$24+'TUSD CVA'!$M$24)*1</f>
        <v>0.20302245705599098</v>
      </c>
      <c r="N24" s="85">
        <f ca="1">('TUSD BE'!$N$24+'TUSD BF'!$N$24+'TUSD CVA'!$N$24)*1</f>
        <v>0.45680836814639902</v>
      </c>
      <c r="O24" s="85">
        <f>('TUSD BE'!$O$24+'TUSD BF'!$O$24+'TUSD CVA'!$O$24)*1</f>
        <v>0</v>
      </c>
      <c r="P24" s="85">
        <f>('TUSD BE'!$P$24+'TUSD BF'!$P$24+'TUSD CVA'!$P$24)*1</f>
        <v>0</v>
      </c>
      <c r="Q24" s="85">
        <f>('TUSD BE'!$Q$24+'TUSD BF'!$Q$24+'TUSD CVA'!$Q$24)*1</f>
        <v>0</v>
      </c>
      <c r="R24" s="85">
        <f>('TUSD BE'!$R$24+'TUSD BF'!$R$24+'TUSD CVA'!$R$24)*1</f>
        <v>0</v>
      </c>
      <c r="S24" s="85">
        <f>('TUSD BE'!$S$24+'TUSD BF'!$S$24+'TUSD CVA'!$S$24)*1</f>
        <v>0</v>
      </c>
      <c r="T24" s="85">
        <f>('TUSD BE'!$U$24+'TUSD BF'!$U$24+'TUSD CVA'!$U$24)*1</f>
        <v>0</v>
      </c>
      <c r="U24" s="85">
        <f>('TUSD BE'!$V$24+'TUSD BF'!$V$24+'TUSD CVA'!$V$24)*1</f>
        <v>0</v>
      </c>
      <c r="V24" s="85">
        <f>('TUSD BE'!$W$24+'TUSD BF'!$W$24+'TUSD CVA'!$W$24)*1</f>
        <v>0</v>
      </c>
      <c r="W24" s="85">
        <f>('TUSD BE'!$X$24+'TUSD BF'!$X$24+'TUSD CVA'!$X$24)*1</f>
        <v>0</v>
      </c>
      <c r="X24" s="85">
        <f>('TUSD BE'!$Y$24+'TUSD BF'!$Y$24+'TUSD CVA'!$Y$24)*1</f>
        <v>0</v>
      </c>
      <c r="Y24" s="85">
        <f>('TUSD BE'!$Z$24+'TUSD BF'!$Z$24+'TUSD CVA'!$Z$24)*1</f>
        <v>0</v>
      </c>
      <c r="Z24" s="85">
        <f>('TUSD BE'!$AA$24+'TUSD BF'!$AA$24+'TUSD CVA'!$AA$24)*1</f>
        <v>0</v>
      </c>
      <c r="AA24" s="85">
        <f>('TUSD BE'!$AC$24+'TUSD BF'!$AC$24+'TUSD CVA'!$AC$24)*1</f>
        <v>0</v>
      </c>
      <c r="AB24" s="85">
        <f ca="1">('TUSD BE'!$AE$24+'TUSD BF'!$AE$24+'TUSD CVA'!$AE$24)*1</f>
        <v>0</v>
      </c>
      <c r="AC24" s="85">
        <f ca="1">('TUSD BE'!$AF$24+'TUSD BF'!$AF$24+'TUSD CVA'!$AF$24)*1</f>
        <v>0</v>
      </c>
      <c r="AD24" s="85">
        <f>('TUSD BE'!$AH$24+'TUSD BF'!$AH$24+'TUSD CVA'!$AH$24)*1</f>
        <v>10.615669063205225</v>
      </c>
      <c r="AE24" s="85">
        <f>('TUSD BE'!$AI$24+'TUSD BF'!$AI$24+'TUSD CVA'!$AI$24)*1</f>
        <v>0.39902543623336034</v>
      </c>
      <c r="AF24" s="85">
        <f ca="1">('TUSD BE'!$AJ$24+'TUSD BF'!$AJ$24+'TUSD CVA'!$AJ$24)*1</f>
        <v>7.7836030845026025</v>
      </c>
      <c r="AG24" s="85">
        <f ca="1">('TUSD BE'!$AK$24+'TUSD BF'!$AK$24+'TUSD CVA'!$AK$24)*1</f>
        <v>2.0006462749611242</v>
      </c>
      <c r="AI24" s="85">
        <v>0</v>
      </c>
      <c r="AJ24" s="85">
        <v>0.20249919835253899</v>
      </c>
      <c r="AK24" s="85">
        <v>0.44758279052029398</v>
      </c>
      <c r="AL24" s="85">
        <v>0</v>
      </c>
      <c r="AM24" s="85">
        <v>0</v>
      </c>
      <c r="AN24" s="85">
        <v>0</v>
      </c>
      <c r="AO24" s="85">
        <v>0</v>
      </c>
      <c r="AP24" s="85">
        <v>0</v>
      </c>
      <c r="AQ24" s="85">
        <v>0</v>
      </c>
      <c r="AR24" s="85">
        <v>0</v>
      </c>
      <c r="AS24" s="85">
        <v>0</v>
      </c>
      <c r="AT24" s="85">
        <v>0</v>
      </c>
      <c r="AU24" s="85">
        <v>0</v>
      </c>
      <c r="AV24" s="85">
        <v>0</v>
      </c>
      <c r="AW24" s="85">
        <v>0</v>
      </c>
      <c r="AX24" s="85">
        <v>0</v>
      </c>
      <c r="AY24" s="85">
        <v>0</v>
      </c>
      <c r="AZ24" s="85">
        <v>0</v>
      </c>
      <c r="BA24" s="85">
        <v>12.788703103262799</v>
      </c>
      <c r="BB24" s="85">
        <v>0.47864744631413297</v>
      </c>
      <c r="BC24" s="85">
        <v>8.9938853831253809</v>
      </c>
      <c r="BD24" s="85">
        <v>1.8774269305645399</v>
      </c>
    </row>
    <row r="25" spans="1:56" ht="11.25" customHeight="1" x14ac:dyDescent="0.25">
      <c r="A25" s="119"/>
      <c r="B25" s="119" t="s">
        <v>23</v>
      </c>
      <c r="C25" s="119" t="s">
        <v>25</v>
      </c>
      <c r="D25" s="119" t="s">
        <v>25</v>
      </c>
      <c r="E25" s="119" t="s">
        <v>25</v>
      </c>
      <c r="F25" s="119" t="s">
        <v>25</v>
      </c>
      <c r="G25" s="21" t="s">
        <v>9</v>
      </c>
      <c r="H25" s="21" t="s">
        <v>91</v>
      </c>
      <c r="I25" s="21">
        <f>'MERCADO TUSD'!$U$22</f>
        <v>0</v>
      </c>
      <c r="J25" s="17"/>
      <c r="L25" s="85">
        <f>('TUSD BE'!$L$25+'TUSD BF'!$L$25+'TUSD CVA'!$L$25)*1</f>
        <v>0</v>
      </c>
      <c r="M25" s="85">
        <f>('TUSD BE'!$M$25+'TUSD BF'!$M$25+'TUSD CVA'!$M$25)*1</f>
        <v>0</v>
      </c>
      <c r="N25" s="85">
        <f ca="1">('TUSD BE'!$N$25+'TUSD BF'!$N$25+'TUSD CVA'!$N$25)*1</f>
        <v>0</v>
      </c>
      <c r="O25" s="85">
        <f>('TUSD BE'!$O$25+'TUSD BF'!$O$25+'TUSD CVA'!$O$25)*1</f>
        <v>0</v>
      </c>
      <c r="P25" s="85">
        <f>('TUSD BE'!$P$25+'TUSD BF'!$P$25+'TUSD CVA'!$P$25)*1</f>
        <v>0</v>
      </c>
      <c r="Q25" s="85">
        <f>('TUSD BE'!$Q$25+'TUSD BF'!$Q$25+'TUSD CVA'!$Q$25)*1</f>
        <v>0</v>
      </c>
      <c r="R25" s="85">
        <f>('TUSD BE'!$R$25+'TUSD BF'!$R$25+'TUSD CVA'!$R$25)*1</f>
        <v>0</v>
      </c>
      <c r="S25" s="85">
        <f>('TUSD BE'!$S$25+'TUSD BF'!$S$25+'TUSD CVA'!$S$25)*1</f>
        <v>0</v>
      </c>
      <c r="T25" s="85">
        <f>('TUSD BE'!$U$25+'TUSD BF'!$U$25+'TUSD CVA'!$U$25)*1</f>
        <v>11.111263588715282</v>
      </c>
      <c r="U25" s="85">
        <f>('TUSD BE'!$V$25+'TUSD BF'!$V$25+'TUSD CVA'!$V$25)*1</f>
        <v>3.0749497639823908</v>
      </c>
      <c r="V25" s="85">
        <f>('TUSD BE'!$W$25+'TUSD BF'!$W$25+'TUSD CVA'!$W$25)*1</f>
        <v>0.37265087287139087</v>
      </c>
      <c r="W25" s="85">
        <f>('TUSD BE'!$X$25+'TUSD BF'!$X$25+'TUSD CVA'!$X$25)*1</f>
        <v>0</v>
      </c>
      <c r="X25" s="85">
        <f>('TUSD BE'!$Y$25+'TUSD BF'!$Y$25+'TUSD CVA'!$Y$25)*1</f>
        <v>0</v>
      </c>
      <c r="Y25" s="85">
        <f>('TUSD BE'!$Z$25+'TUSD BF'!$Z$25+'TUSD CVA'!$Z$25)*1</f>
        <v>0</v>
      </c>
      <c r="Z25" s="85">
        <f>('TUSD BE'!$AA$25+'TUSD BF'!$AA$25+'TUSD CVA'!$AA$25)*1</f>
        <v>0</v>
      </c>
      <c r="AA25" s="85">
        <f>('TUSD BE'!$AC$25+'TUSD BF'!$AC$25+'TUSD CVA'!$AC$25)*1</f>
        <v>16.48944614073158</v>
      </c>
      <c r="AB25" s="85">
        <f ca="1">('TUSD BE'!$AE$25+'TUSD BF'!$AE$25+'TUSD CVA'!$AE$25)*1</f>
        <v>0</v>
      </c>
      <c r="AC25" s="85">
        <f ca="1">('TUSD BE'!$AF$25+'TUSD BF'!$AF$25+'TUSD CVA'!$AF$25)*1</f>
        <v>0</v>
      </c>
      <c r="AD25" s="85">
        <f>('TUSD BE'!$AH$25+'TUSD BF'!$AH$25+'TUSD CVA'!$AH$25)*1</f>
        <v>0</v>
      </c>
      <c r="AE25" s="85">
        <f>('TUSD BE'!$AI$25+'TUSD BF'!$AI$25+'TUSD CVA'!$AI$25)*1</f>
        <v>0</v>
      </c>
      <c r="AF25" s="85">
        <f ca="1">('TUSD BE'!$AJ$25+'TUSD BF'!$AJ$25+'TUSD CVA'!$AJ$25)*1</f>
        <v>0</v>
      </c>
      <c r="AG25" s="85">
        <f ca="1">('TUSD BE'!$AK$25+'TUSD BF'!$AK$25+'TUSD CVA'!$AK$25)*1</f>
        <v>0</v>
      </c>
      <c r="AI25" s="85">
        <v>0</v>
      </c>
      <c r="AJ25" s="85">
        <v>0</v>
      </c>
      <c r="AK25" s="85">
        <v>0</v>
      </c>
      <c r="AL25" s="85">
        <v>0</v>
      </c>
      <c r="AM25" s="85">
        <v>0</v>
      </c>
      <c r="AN25" s="85">
        <v>0</v>
      </c>
      <c r="AO25" s="85">
        <v>0</v>
      </c>
      <c r="AP25" s="85">
        <v>0</v>
      </c>
      <c r="AQ25" s="85">
        <v>0</v>
      </c>
      <c r="AR25" s="85">
        <v>0</v>
      </c>
      <c r="AS25" s="85">
        <v>0</v>
      </c>
      <c r="AT25" s="85">
        <v>0</v>
      </c>
      <c r="AU25" s="85">
        <v>0</v>
      </c>
      <c r="AV25" s="85">
        <v>0</v>
      </c>
      <c r="AW25" s="85">
        <v>0</v>
      </c>
      <c r="AX25" s="85">
        <v>0</v>
      </c>
      <c r="AY25" s="85">
        <v>0</v>
      </c>
      <c r="AZ25" s="85">
        <v>0</v>
      </c>
      <c r="BA25" s="85">
        <v>0</v>
      </c>
      <c r="BB25" s="85">
        <v>0</v>
      </c>
      <c r="BC25" s="85">
        <v>0</v>
      </c>
      <c r="BD25" s="85">
        <v>0</v>
      </c>
    </row>
    <row r="26" spans="1:56" ht="11.25" customHeight="1" x14ac:dyDescent="0.25">
      <c r="A26" s="119"/>
      <c r="B26" s="119"/>
      <c r="C26" s="119"/>
      <c r="D26" s="119"/>
      <c r="E26" s="119"/>
      <c r="F26" s="119"/>
      <c r="G26" s="21" t="s">
        <v>94</v>
      </c>
      <c r="H26" s="21" t="s">
        <v>88</v>
      </c>
      <c r="I26" s="21">
        <f>'MERCADO TUSD'!$U$23</f>
        <v>0</v>
      </c>
      <c r="J26" s="17"/>
      <c r="L26" s="85">
        <f>('TUSD BE'!$L$26+'TUSD BF'!$L$26+'TUSD CVA'!$L$26)*1</f>
        <v>0</v>
      </c>
      <c r="M26" s="85">
        <f>('TUSD BE'!$M$26+'TUSD BF'!$M$26+'TUSD CVA'!$M$26)*1</f>
        <v>0.20302245705599098</v>
      </c>
      <c r="N26" s="85">
        <f ca="1">('TUSD BE'!$N$26+'TUSD BF'!$N$26+'TUSD CVA'!$N$26)*1</f>
        <v>0.47127887140767033</v>
      </c>
      <c r="O26" s="85">
        <f>('TUSD BE'!$O$26+'TUSD BF'!$O$26+'TUSD CVA'!$O$26)*1</f>
        <v>0</v>
      </c>
      <c r="P26" s="85">
        <f>('TUSD BE'!$P$26+'TUSD BF'!$P$26+'TUSD CVA'!$P$26)*1</f>
        <v>0</v>
      </c>
      <c r="Q26" s="85">
        <f>('TUSD BE'!$Q$26+'TUSD BF'!$Q$26+'TUSD CVA'!$Q$26)*1</f>
        <v>59.069180056669261</v>
      </c>
      <c r="R26" s="85">
        <f>('TUSD BE'!$R$26+'TUSD BF'!$R$26+'TUSD CVA'!$R$26)*1</f>
        <v>6.9769367212194551</v>
      </c>
      <c r="S26" s="85">
        <f>('TUSD BE'!$S$26+'TUSD BF'!$S$26+'TUSD CVA'!$S$26)*1</f>
        <v>0</v>
      </c>
      <c r="T26" s="85">
        <f>('TUSD BE'!$U$26+'TUSD BF'!$U$26+'TUSD CVA'!$U$26)*1</f>
        <v>0</v>
      </c>
      <c r="U26" s="85">
        <f>('TUSD BE'!$V$26+'TUSD BF'!$V$26+'TUSD CVA'!$V$26)*1</f>
        <v>0</v>
      </c>
      <c r="V26" s="85">
        <f>('TUSD BE'!$W$26+'TUSD BF'!$W$26+'TUSD CVA'!$W$26)*1</f>
        <v>0</v>
      </c>
      <c r="W26" s="85">
        <f>('TUSD BE'!$X$26+'TUSD BF'!$X$26+'TUSD CVA'!$X$26)*1</f>
        <v>0</v>
      </c>
      <c r="X26" s="85">
        <f>('TUSD BE'!$Y$26+'TUSD BF'!$Y$26+'TUSD CVA'!$Y$26)*1</f>
        <v>0</v>
      </c>
      <c r="Y26" s="85">
        <f>('TUSD BE'!$Z$26+'TUSD BF'!$Z$26+'TUSD CVA'!$Z$26)*1</f>
        <v>0</v>
      </c>
      <c r="Z26" s="85">
        <f>('TUSD BE'!$AA$26+'TUSD BF'!$AA$26+'TUSD CVA'!$AA$26)*1</f>
        <v>0</v>
      </c>
      <c r="AA26" s="85">
        <f>('TUSD BE'!$AC$26+'TUSD BF'!$AC$26+'TUSD CVA'!$AC$26)*1</f>
        <v>0</v>
      </c>
      <c r="AB26" s="85">
        <f ca="1">('TUSD BE'!$AE$26+'TUSD BF'!$AE$26+'TUSD CVA'!$AE$26)*1</f>
        <v>0</v>
      </c>
      <c r="AC26" s="85">
        <f ca="1">('TUSD BE'!$AF$26+'TUSD BF'!$AF$26+'TUSD CVA'!$AF$26)*1</f>
        <v>0</v>
      </c>
      <c r="AD26" s="85">
        <f>('TUSD BE'!$AH$26+'TUSD BF'!$AH$26+'TUSD CVA'!$AH$26)*1</f>
        <v>10.615669063205225</v>
      </c>
      <c r="AE26" s="85">
        <f>('TUSD BE'!$AI$26+'TUSD BF'!$AI$26+'TUSD CVA'!$AI$26)*1</f>
        <v>0.39902543623336034</v>
      </c>
      <c r="AF26" s="85">
        <f ca="1">('TUSD BE'!$AJ$26+'TUSD BF'!$AJ$26+'TUSD CVA'!$AJ$26)*1</f>
        <v>7.7836030845026025</v>
      </c>
      <c r="AG26" s="85">
        <f ca="1">('TUSD BE'!$AK$26+'TUSD BF'!$AK$26+'TUSD CVA'!$AK$26)*1</f>
        <v>2.0006462749611242</v>
      </c>
      <c r="AI26" s="85">
        <v>0</v>
      </c>
      <c r="AJ26" s="85">
        <v>0</v>
      </c>
      <c r="AK26" s="85">
        <v>0</v>
      </c>
      <c r="AL26" s="85">
        <v>0</v>
      </c>
      <c r="AM26" s="85">
        <v>0</v>
      </c>
      <c r="AN26" s="85">
        <v>0</v>
      </c>
      <c r="AO26" s="85">
        <v>0</v>
      </c>
      <c r="AP26" s="85">
        <v>0</v>
      </c>
      <c r="AQ26" s="85">
        <v>0</v>
      </c>
      <c r="AR26" s="85">
        <v>0</v>
      </c>
      <c r="AS26" s="85">
        <v>0</v>
      </c>
      <c r="AT26" s="85">
        <v>0</v>
      </c>
      <c r="AU26" s="85">
        <v>0</v>
      </c>
      <c r="AV26" s="85">
        <v>0</v>
      </c>
      <c r="AW26" s="85">
        <v>0</v>
      </c>
      <c r="AX26" s="85">
        <v>0</v>
      </c>
      <c r="AY26" s="85">
        <v>0</v>
      </c>
      <c r="AZ26" s="85">
        <v>0</v>
      </c>
      <c r="BA26" s="85">
        <v>0</v>
      </c>
      <c r="BB26" s="85">
        <v>0</v>
      </c>
      <c r="BC26" s="85">
        <v>0</v>
      </c>
      <c r="BD26" s="85">
        <v>0</v>
      </c>
    </row>
    <row r="27" spans="1:56" ht="11.25" customHeight="1" x14ac:dyDescent="0.25">
      <c r="A27" s="119" t="s">
        <v>33</v>
      </c>
      <c r="B27" s="119" t="s">
        <v>41</v>
      </c>
      <c r="C27" s="119" t="s">
        <v>25</v>
      </c>
      <c r="D27" s="119" t="s">
        <v>25</v>
      </c>
      <c r="E27" s="119" t="s">
        <v>25</v>
      </c>
      <c r="F27" s="119" t="s">
        <v>25</v>
      </c>
      <c r="G27" s="21" t="s">
        <v>92</v>
      </c>
      <c r="H27" s="21" t="s">
        <v>91</v>
      </c>
      <c r="I27" s="21">
        <f>'MERCADO TUSD'!$U$24</f>
        <v>1516519</v>
      </c>
      <c r="J27" s="17"/>
      <c r="L27" s="85">
        <f>('TUSD BE'!$L$27+'TUSD BF'!$L$27+'TUSD CVA'!$L$27)*1</f>
        <v>0</v>
      </c>
      <c r="M27" s="85">
        <f>('TUSD BE'!$M$27+'TUSD BF'!$M$27+'TUSD CVA'!$M$27)*1</f>
        <v>0</v>
      </c>
      <c r="N27" s="85">
        <f ca="1">('TUSD BE'!$N$27+'TUSD BF'!$N$27+'TUSD CVA'!$N$27)*1</f>
        <v>0</v>
      </c>
      <c r="O27" s="85">
        <f>('TUSD BE'!$O$27+'TUSD BF'!$O$27+'TUSD CVA'!$O$27)*1</f>
        <v>0</v>
      </c>
      <c r="P27" s="85">
        <f>('TUSD BE'!$P$27+'TUSD BF'!$P$27+'TUSD CVA'!$P$27)*1</f>
        <v>0</v>
      </c>
      <c r="Q27" s="85">
        <f>('TUSD BE'!$Q$27+'TUSD BF'!$Q$27+'TUSD CVA'!$Q$27)*1</f>
        <v>0</v>
      </c>
      <c r="R27" s="85">
        <f>('TUSD BE'!$R$27+'TUSD BF'!$R$27+'TUSD CVA'!$R$27)*1</f>
        <v>0</v>
      </c>
      <c r="S27" s="85">
        <f>('TUSD BE'!$S$27+'TUSD BF'!$S$27+'TUSD CVA'!$S$27)*1</f>
        <v>0</v>
      </c>
      <c r="T27" s="85">
        <f>('TUSD BE'!$U$27+'TUSD BF'!$U$27+'TUSD CVA'!$U$27)*1</f>
        <v>8.0887018843388461</v>
      </c>
      <c r="U27" s="85">
        <f>('TUSD BE'!$V$27+'TUSD BF'!$V$27+'TUSD CVA'!$V$27)*1</f>
        <v>2.1481393957329167</v>
      </c>
      <c r="V27" s="85">
        <f>('TUSD BE'!$W$27+'TUSD BF'!$W$27+'TUSD CVA'!$W$27)*1</f>
        <v>0.27439565880240679</v>
      </c>
      <c r="W27" s="85">
        <f>('TUSD BE'!$X$27+'TUSD BF'!$X$27+'TUSD CVA'!$X$27)*1</f>
        <v>0</v>
      </c>
      <c r="X27" s="85">
        <f>('TUSD BE'!$Y$27+'TUSD BF'!$Y$27+'TUSD CVA'!$Y$27)*1</f>
        <v>0</v>
      </c>
      <c r="Y27" s="85">
        <f>('TUSD BE'!$Z$27+'TUSD BF'!$Z$27+'TUSD CVA'!$Z$27)*1</f>
        <v>0</v>
      </c>
      <c r="Z27" s="85">
        <f>('TUSD BE'!$AA$27+'TUSD BF'!$AA$27+'TUSD CVA'!$AA$27)*1</f>
        <v>0</v>
      </c>
      <c r="AA27" s="85">
        <f>('TUSD BE'!$AC$27+'TUSD BF'!$AC$27+'TUSD CVA'!$AC$27)*1</f>
        <v>16.705046257801943</v>
      </c>
      <c r="AB27" s="85">
        <f ca="1">('TUSD BE'!$AE$27+'TUSD BF'!$AE$27+'TUSD CVA'!$AE$27)*1</f>
        <v>0</v>
      </c>
      <c r="AC27" s="85">
        <f ca="1">('TUSD BE'!$AF$27+'TUSD BF'!$AF$27+'TUSD CVA'!$AF$27)*1</f>
        <v>0</v>
      </c>
      <c r="AD27" s="85">
        <f>('TUSD BE'!$AH$27+'TUSD BF'!$AH$27+'TUSD CVA'!$AH$27)*1</f>
        <v>0</v>
      </c>
      <c r="AE27" s="85">
        <f>('TUSD BE'!$AI$27+'TUSD BF'!$AI$27+'TUSD CVA'!$AI$27)*1</f>
        <v>0</v>
      </c>
      <c r="AF27" s="85">
        <f ca="1">('TUSD BE'!$AJ$27+'TUSD BF'!$AJ$27+'TUSD CVA'!$AJ$27)*1</f>
        <v>0</v>
      </c>
      <c r="AG27" s="85">
        <f ca="1">('TUSD BE'!$AK$27+'TUSD BF'!$AK$27+'TUSD CVA'!$AK$27)*1</f>
        <v>0</v>
      </c>
      <c r="AI27" s="85">
        <v>0</v>
      </c>
      <c r="AJ27" s="85">
        <v>0</v>
      </c>
      <c r="AK27" s="85">
        <v>0</v>
      </c>
      <c r="AL27" s="85">
        <v>0</v>
      </c>
      <c r="AM27" s="85">
        <v>0</v>
      </c>
      <c r="AN27" s="85">
        <v>0</v>
      </c>
      <c r="AO27" s="85">
        <v>0</v>
      </c>
      <c r="AP27" s="85">
        <v>0</v>
      </c>
      <c r="AQ27" s="85">
        <v>5.1023630210444297</v>
      </c>
      <c r="AR27" s="85">
        <v>1.45218006726171</v>
      </c>
      <c r="AS27" s="85">
        <v>0.17790872846261199</v>
      </c>
      <c r="AT27" s="85">
        <v>0</v>
      </c>
      <c r="AU27" s="85">
        <v>0</v>
      </c>
      <c r="AV27" s="85">
        <v>0</v>
      </c>
      <c r="AW27" s="85">
        <v>0</v>
      </c>
      <c r="AX27" s="85">
        <v>16.204302352580999</v>
      </c>
      <c r="AY27" s="85">
        <v>0</v>
      </c>
      <c r="AZ27" s="85">
        <v>0</v>
      </c>
      <c r="BA27" s="85">
        <v>0</v>
      </c>
      <c r="BB27" s="85">
        <v>0</v>
      </c>
      <c r="BC27" s="85">
        <v>0</v>
      </c>
      <c r="BD27" s="85">
        <v>0</v>
      </c>
    </row>
    <row r="28" spans="1:56" ht="11.25" customHeight="1" x14ac:dyDescent="0.25">
      <c r="A28" s="119"/>
      <c r="B28" s="119"/>
      <c r="C28" s="119"/>
      <c r="D28" s="119"/>
      <c r="E28" s="119"/>
      <c r="F28" s="119"/>
      <c r="G28" s="21" t="s">
        <v>93</v>
      </c>
      <c r="H28" s="21" t="s">
        <v>91</v>
      </c>
      <c r="I28" s="21">
        <f>'MERCADO TUSD'!$U$25</f>
        <v>1745724</v>
      </c>
      <c r="J28" s="17"/>
      <c r="L28" s="85">
        <f>('TUSD BE'!$L$28+'TUSD BF'!$L$28+'TUSD CVA'!$L$28)*1</f>
        <v>0</v>
      </c>
      <c r="M28" s="85">
        <f>('TUSD BE'!$M$28+'TUSD BF'!$M$28+'TUSD CVA'!$M$28)*1</f>
        <v>0</v>
      </c>
      <c r="N28" s="85">
        <f ca="1">('TUSD BE'!$N$28+'TUSD BF'!$N$28+'TUSD CVA'!$N$28)*1</f>
        <v>0</v>
      </c>
      <c r="O28" s="85">
        <f>('TUSD BE'!$O$28+'TUSD BF'!$O$28+'TUSD CVA'!$O$28)*1</f>
        <v>0</v>
      </c>
      <c r="P28" s="85">
        <f>('TUSD BE'!$P$28+'TUSD BF'!$P$28+'TUSD CVA'!$P$28)*1</f>
        <v>0</v>
      </c>
      <c r="Q28" s="85">
        <f>('TUSD BE'!$Q$28+'TUSD BF'!$Q$28+'TUSD CVA'!$Q$28)*1</f>
        <v>0</v>
      </c>
      <c r="R28" s="85">
        <f>('TUSD BE'!$R$28+'TUSD BF'!$R$28+'TUSD CVA'!$R$28)*1</f>
        <v>0</v>
      </c>
      <c r="S28" s="85">
        <f>('TUSD BE'!$S$28+'TUSD BF'!$S$28+'TUSD CVA'!$S$28)*1</f>
        <v>0</v>
      </c>
      <c r="T28" s="85">
        <f>('TUSD BE'!$U$28+'TUSD BF'!$U$28+'TUSD CVA'!$U$28)*1</f>
        <v>5.2870322569525143</v>
      </c>
      <c r="U28" s="85">
        <f>('TUSD BE'!$V$28+'TUSD BF'!$V$28+'TUSD CVA'!$V$28)*1</f>
        <v>1.5279977964217852</v>
      </c>
      <c r="V28" s="85">
        <f>('TUSD BE'!$W$28+'TUSD BF'!$W$28+'TUSD CVA'!$W$28)*1</f>
        <v>0.17554132757446547</v>
      </c>
      <c r="W28" s="85">
        <f>('TUSD BE'!$X$28+'TUSD BF'!$X$28+'TUSD CVA'!$X$28)*1</f>
        <v>0</v>
      </c>
      <c r="X28" s="85">
        <f>('TUSD BE'!$Y$28+'TUSD BF'!$Y$28+'TUSD CVA'!$Y$28)*1</f>
        <v>0</v>
      </c>
      <c r="Y28" s="85">
        <f>('TUSD BE'!$Z$28+'TUSD BF'!$Z$28+'TUSD CVA'!$Z$28)*1</f>
        <v>0</v>
      </c>
      <c r="Z28" s="85">
        <f>('TUSD BE'!$AA$28+'TUSD BF'!$AA$28+'TUSD CVA'!$AA$28)*1</f>
        <v>0</v>
      </c>
      <c r="AA28" s="85">
        <f>('TUSD BE'!$AC$28+'TUSD BF'!$AC$28+'TUSD CVA'!$AC$28)*1</f>
        <v>4.4617852677044318</v>
      </c>
      <c r="AB28" s="85">
        <f ca="1">('TUSD BE'!$AE$28+'TUSD BF'!$AE$28+'TUSD CVA'!$AE$28)*1</f>
        <v>0</v>
      </c>
      <c r="AC28" s="85">
        <f ca="1">('TUSD BE'!$AF$28+'TUSD BF'!$AF$28+'TUSD CVA'!$AF$28)*1</f>
        <v>0</v>
      </c>
      <c r="AD28" s="85">
        <f>('TUSD BE'!$AH$28+'TUSD BF'!$AH$28+'TUSD CVA'!$AH$28)*1</f>
        <v>0</v>
      </c>
      <c r="AE28" s="85">
        <f>('TUSD BE'!$AI$28+'TUSD BF'!$AI$28+'TUSD CVA'!$AI$28)*1</f>
        <v>0</v>
      </c>
      <c r="AF28" s="85">
        <f ca="1">('TUSD BE'!$AJ$28+'TUSD BF'!$AJ$28+'TUSD CVA'!$AJ$28)*1</f>
        <v>0</v>
      </c>
      <c r="AG28" s="85">
        <f ca="1">('TUSD BE'!$AK$28+'TUSD BF'!$AK$28+'TUSD CVA'!$AK$28)*1</f>
        <v>0</v>
      </c>
      <c r="AI28" s="85">
        <v>0</v>
      </c>
      <c r="AJ28" s="85">
        <v>0</v>
      </c>
      <c r="AK28" s="85">
        <v>0</v>
      </c>
      <c r="AL28" s="85">
        <v>0</v>
      </c>
      <c r="AM28" s="85">
        <v>0</v>
      </c>
      <c r="AN28" s="85">
        <v>0</v>
      </c>
      <c r="AO28" s="85">
        <v>0</v>
      </c>
      <c r="AP28" s="85">
        <v>0</v>
      </c>
      <c r="AQ28" s="85">
        <v>3.33506640060188</v>
      </c>
      <c r="AR28" s="85">
        <v>1.03295342340968</v>
      </c>
      <c r="AS28" s="85">
        <v>0.113814972575426</v>
      </c>
      <c r="AT28" s="85">
        <v>0</v>
      </c>
      <c r="AU28" s="85">
        <v>0</v>
      </c>
      <c r="AV28" s="85">
        <v>0</v>
      </c>
      <c r="AW28" s="85">
        <v>0</v>
      </c>
      <c r="AX28" s="85">
        <v>4.3280405450183599</v>
      </c>
      <c r="AY28" s="85">
        <v>0</v>
      </c>
      <c r="AZ28" s="85">
        <v>0</v>
      </c>
      <c r="BA28" s="85">
        <v>0</v>
      </c>
      <c r="BB28" s="85">
        <v>0</v>
      </c>
      <c r="BC28" s="85">
        <v>0</v>
      </c>
      <c r="BD28" s="85">
        <v>0</v>
      </c>
    </row>
    <row r="29" spans="1:56" ht="11.25" customHeight="1" x14ac:dyDescent="0.25">
      <c r="A29" s="119"/>
      <c r="B29" s="119"/>
      <c r="C29" s="119"/>
      <c r="D29" s="119"/>
      <c r="E29" s="119"/>
      <c r="F29" s="119"/>
      <c r="G29" s="21" t="s">
        <v>94</v>
      </c>
      <c r="H29" s="21" t="s">
        <v>88</v>
      </c>
      <c r="I29" s="21">
        <f>'MERCADO TUSD'!$U$26</f>
        <v>639922.91000000015</v>
      </c>
      <c r="J29" s="17"/>
      <c r="L29" s="85">
        <f>('TUSD BE'!$L$29+'TUSD BF'!$L$29+'TUSD CVA'!$L$29)*1</f>
        <v>0</v>
      </c>
      <c r="M29" s="85">
        <f>('TUSD BE'!$M$29+'TUSD BF'!$M$29+'TUSD CVA'!$M$29)*1</f>
        <v>0.20302245705599098</v>
      </c>
      <c r="N29" s="85">
        <f ca="1">('TUSD BE'!$N$29+'TUSD BF'!$N$29+'TUSD CVA'!$N$29)*1</f>
        <v>0.47127887140767033</v>
      </c>
      <c r="O29" s="85">
        <f>('TUSD BE'!$O$29+'TUSD BF'!$O$29+'TUSD CVA'!$O$29)*1</f>
        <v>0</v>
      </c>
      <c r="P29" s="85">
        <f>('TUSD BE'!$P$29+'TUSD BF'!$P$29+'TUSD CVA'!$P$29)*1</f>
        <v>0</v>
      </c>
      <c r="Q29" s="85">
        <f>('TUSD BE'!$Q$29+'TUSD BF'!$Q$29+'TUSD CVA'!$Q$29)*1</f>
        <v>59.069180056669261</v>
      </c>
      <c r="R29" s="85">
        <f>('TUSD BE'!$R$29+'TUSD BF'!$R$29+'TUSD CVA'!$R$29)*1</f>
        <v>6.9769367212194551</v>
      </c>
      <c r="S29" s="85">
        <f>('TUSD BE'!$S$29+'TUSD BF'!$S$29+'TUSD CVA'!$S$29)*1</f>
        <v>0</v>
      </c>
      <c r="T29" s="85">
        <f>('TUSD BE'!$U$29+'TUSD BF'!$U$29+'TUSD CVA'!$U$29)*1</f>
        <v>0</v>
      </c>
      <c r="U29" s="85">
        <f>('TUSD BE'!$V$29+'TUSD BF'!$V$29+'TUSD CVA'!$V$29)*1</f>
        <v>0</v>
      </c>
      <c r="V29" s="85">
        <f>('TUSD BE'!$W$29+'TUSD BF'!$W$29+'TUSD CVA'!$W$29)*1</f>
        <v>0</v>
      </c>
      <c r="W29" s="85">
        <f>('TUSD BE'!$X$29+'TUSD BF'!$X$29+'TUSD CVA'!$X$29)*1</f>
        <v>0</v>
      </c>
      <c r="X29" s="85">
        <f>('TUSD BE'!$Y$29+'TUSD BF'!$Y$29+'TUSD CVA'!$Y$29)*1</f>
        <v>0</v>
      </c>
      <c r="Y29" s="85">
        <f>('TUSD BE'!$Z$29+'TUSD BF'!$Z$29+'TUSD CVA'!$Z$29)*1</f>
        <v>0</v>
      </c>
      <c r="Z29" s="85">
        <f>('TUSD BE'!$AA$29+'TUSD BF'!$AA$29+'TUSD CVA'!$AA$29)*1</f>
        <v>0</v>
      </c>
      <c r="AA29" s="85">
        <f>('TUSD BE'!$AC$29+'TUSD BF'!$AC$29+'TUSD CVA'!$AC$29)*1</f>
        <v>0</v>
      </c>
      <c r="AB29" s="85">
        <f ca="1">('TUSD BE'!$AE$29+'TUSD BF'!$AE$29+'TUSD CVA'!$AE$29)*1</f>
        <v>0</v>
      </c>
      <c r="AC29" s="85">
        <f ca="1">('TUSD BE'!$AF$29+'TUSD BF'!$AF$29+'TUSD CVA'!$AF$29)*1</f>
        <v>0</v>
      </c>
      <c r="AD29" s="85">
        <f>('TUSD BE'!$AH$29+'TUSD BF'!$AH$29+'TUSD CVA'!$AH$29)*1</f>
        <v>10.615669063205225</v>
      </c>
      <c r="AE29" s="85">
        <f>('TUSD BE'!$AI$29+'TUSD BF'!$AI$29+'TUSD CVA'!$AI$29)*1</f>
        <v>0.39902543623336034</v>
      </c>
      <c r="AF29" s="85">
        <f ca="1">('TUSD BE'!$AJ$29+'TUSD BF'!$AJ$29+'TUSD CVA'!$AJ$29)*1</f>
        <v>7.7836030845026025</v>
      </c>
      <c r="AG29" s="85">
        <f ca="1">('TUSD BE'!$AK$29+'TUSD BF'!$AK$29+'TUSD CVA'!$AK$29)*1</f>
        <v>2.0006462749611242</v>
      </c>
      <c r="AI29" s="85">
        <v>0</v>
      </c>
      <c r="AJ29" s="85">
        <v>0.20249919835253899</v>
      </c>
      <c r="AK29" s="85">
        <v>0.46268513678471901</v>
      </c>
      <c r="AL29" s="85">
        <v>0</v>
      </c>
      <c r="AM29" s="85">
        <v>0</v>
      </c>
      <c r="AN29" s="85">
        <v>49.451674182419197</v>
      </c>
      <c r="AO29" s="85">
        <v>10.198150985874999</v>
      </c>
      <c r="AP29" s="85">
        <v>0</v>
      </c>
      <c r="AQ29" s="85">
        <v>0</v>
      </c>
      <c r="AR29" s="85">
        <v>0</v>
      </c>
      <c r="AS29" s="85">
        <v>0</v>
      </c>
      <c r="AT29" s="85">
        <v>0</v>
      </c>
      <c r="AU29" s="85">
        <v>0</v>
      </c>
      <c r="AV29" s="85">
        <v>0</v>
      </c>
      <c r="AW29" s="85">
        <v>0</v>
      </c>
      <c r="AX29" s="85">
        <v>0</v>
      </c>
      <c r="AY29" s="85">
        <v>0</v>
      </c>
      <c r="AZ29" s="85">
        <v>0</v>
      </c>
      <c r="BA29" s="85">
        <v>12.788703103262799</v>
      </c>
      <c r="BB29" s="85">
        <v>0.47864744631413297</v>
      </c>
      <c r="BC29" s="85">
        <v>8.9938853831253809</v>
      </c>
      <c r="BD29" s="85">
        <v>1.8774269305645399</v>
      </c>
    </row>
    <row r="30" spans="1:56" ht="11.25" customHeight="1" x14ac:dyDescent="0.25">
      <c r="A30" s="119"/>
      <c r="B30" s="119"/>
      <c r="C30" s="119"/>
      <c r="D30" s="119"/>
      <c r="E30" s="87" t="s">
        <v>61</v>
      </c>
      <c r="F30" s="87" t="s">
        <v>25</v>
      </c>
      <c r="G30" s="21" t="s">
        <v>94</v>
      </c>
      <c r="H30" s="21" t="s">
        <v>88</v>
      </c>
      <c r="I30" s="21">
        <f>'MERCADO TUSD'!$U$27</f>
        <v>0</v>
      </c>
      <c r="J30" s="17"/>
      <c r="L30" s="85">
        <f>('TUSD BE'!$L$30+'TUSD BF'!$L$30+'TUSD CVA'!$L$30)*1</f>
        <v>0</v>
      </c>
      <c r="M30" s="85">
        <f>('TUSD BE'!$M$30+'TUSD BF'!$M$30+'TUSD CVA'!$M$30)*1</f>
        <v>0.20302245705599098</v>
      </c>
      <c r="N30" s="85">
        <f ca="1">('TUSD BE'!$N$30+'TUSD BF'!$N$30+'TUSD CVA'!$N$30)*1</f>
        <v>0.45680836814639902</v>
      </c>
      <c r="O30" s="85">
        <f>('TUSD BE'!$O$30+'TUSD BF'!$O$30+'TUSD CVA'!$O$30)*1</f>
        <v>0</v>
      </c>
      <c r="P30" s="85">
        <f>('TUSD BE'!$P$30+'TUSD BF'!$P$30+'TUSD CVA'!$P$30)*1</f>
        <v>0</v>
      </c>
      <c r="Q30" s="85">
        <f>('TUSD BE'!$Q$30+'TUSD BF'!$Q$30+'TUSD CVA'!$Q$30)*1</f>
        <v>0</v>
      </c>
      <c r="R30" s="85">
        <f>('TUSD BE'!$R$30+'TUSD BF'!$R$30+'TUSD CVA'!$R$30)*1</f>
        <v>0</v>
      </c>
      <c r="S30" s="85">
        <f>('TUSD BE'!$S$30+'TUSD BF'!$S$30+'TUSD CVA'!$S$30)*1</f>
        <v>0</v>
      </c>
      <c r="T30" s="85">
        <f>('TUSD BE'!$U$30+'TUSD BF'!$U$30+'TUSD CVA'!$U$30)*1</f>
        <v>0</v>
      </c>
      <c r="U30" s="85">
        <f>('TUSD BE'!$V$30+'TUSD BF'!$V$30+'TUSD CVA'!$V$30)*1</f>
        <v>0</v>
      </c>
      <c r="V30" s="85">
        <f>('TUSD BE'!$W$30+'TUSD BF'!$W$30+'TUSD CVA'!$W$30)*1</f>
        <v>0</v>
      </c>
      <c r="W30" s="85">
        <f>('TUSD BE'!$X$30+'TUSD BF'!$X$30+'TUSD CVA'!$X$30)*1</f>
        <v>0</v>
      </c>
      <c r="X30" s="85">
        <f>('TUSD BE'!$Y$30+'TUSD BF'!$Y$30+'TUSD CVA'!$Y$30)*1</f>
        <v>0</v>
      </c>
      <c r="Y30" s="85">
        <f>('TUSD BE'!$Z$30+'TUSD BF'!$Z$30+'TUSD CVA'!$Z$30)*1</f>
        <v>0</v>
      </c>
      <c r="Z30" s="85">
        <f>('TUSD BE'!$AA$30+'TUSD BF'!$AA$30+'TUSD CVA'!$AA$30)*1</f>
        <v>0</v>
      </c>
      <c r="AA30" s="85">
        <f>('TUSD BE'!$AC$30+'TUSD BF'!$AC$30+'TUSD CVA'!$AC$30)*1</f>
        <v>0</v>
      </c>
      <c r="AB30" s="85">
        <f ca="1">('TUSD BE'!$AE$30+'TUSD BF'!$AE$30+'TUSD CVA'!$AE$30)*1</f>
        <v>0</v>
      </c>
      <c r="AC30" s="85">
        <f ca="1">('TUSD BE'!$AF$30+'TUSD BF'!$AF$30+'TUSD CVA'!$AF$30)*1</f>
        <v>0</v>
      </c>
      <c r="AD30" s="85">
        <f>('TUSD BE'!$AH$30+'TUSD BF'!$AH$30+'TUSD CVA'!$AH$30)*1</f>
        <v>10.615669063205225</v>
      </c>
      <c r="AE30" s="85">
        <f>('TUSD BE'!$AI$30+'TUSD BF'!$AI$30+'TUSD CVA'!$AI$30)*1</f>
        <v>0.39902543623336034</v>
      </c>
      <c r="AF30" s="85">
        <f ca="1">('TUSD BE'!$AJ$30+'TUSD BF'!$AJ$30+'TUSD CVA'!$AJ$30)*1</f>
        <v>7.7836030845026025</v>
      </c>
      <c r="AG30" s="85">
        <f ca="1">('TUSD BE'!$AK$30+'TUSD BF'!$AK$30+'TUSD CVA'!$AK$30)*1</f>
        <v>2.0006462749611242</v>
      </c>
      <c r="AI30" s="85">
        <v>0</v>
      </c>
      <c r="AJ30" s="85">
        <v>0.20249919835253899</v>
      </c>
      <c r="AK30" s="85">
        <v>0.44758279052029398</v>
      </c>
      <c r="AL30" s="85">
        <v>0</v>
      </c>
      <c r="AM30" s="85">
        <v>0</v>
      </c>
      <c r="AN30" s="85">
        <v>0</v>
      </c>
      <c r="AO30" s="85">
        <v>0</v>
      </c>
      <c r="AP30" s="85">
        <v>0</v>
      </c>
      <c r="AQ30" s="85">
        <v>0</v>
      </c>
      <c r="AR30" s="85">
        <v>0</v>
      </c>
      <c r="AS30" s="85">
        <v>0</v>
      </c>
      <c r="AT30" s="85">
        <v>0</v>
      </c>
      <c r="AU30" s="85">
        <v>0</v>
      </c>
      <c r="AV30" s="85">
        <v>0</v>
      </c>
      <c r="AW30" s="85">
        <v>0</v>
      </c>
      <c r="AX30" s="85">
        <v>0</v>
      </c>
      <c r="AY30" s="85">
        <v>0</v>
      </c>
      <c r="AZ30" s="85">
        <v>0</v>
      </c>
      <c r="BA30" s="85">
        <v>12.788703103262799</v>
      </c>
      <c r="BB30" s="85">
        <v>0.47864744631413297</v>
      </c>
      <c r="BC30" s="85">
        <v>8.9938853831253809</v>
      </c>
      <c r="BD30" s="85">
        <v>1.8774269305645399</v>
      </c>
    </row>
    <row r="31" spans="1:56" ht="11.25" customHeight="1" x14ac:dyDescent="0.25">
      <c r="A31" s="119"/>
      <c r="B31" s="87" t="s">
        <v>64</v>
      </c>
      <c r="C31" s="87" t="s">
        <v>25</v>
      </c>
      <c r="D31" s="87" t="s">
        <v>25</v>
      </c>
      <c r="E31" s="87" t="s">
        <v>25</v>
      </c>
      <c r="F31" s="87" t="s">
        <v>25</v>
      </c>
      <c r="G31" s="21" t="s">
        <v>9</v>
      </c>
      <c r="H31" s="21" t="s">
        <v>91</v>
      </c>
      <c r="I31" s="21">
        <f>'MERCADO TUSD'!$U$28</f>
        <v>0</v>
      </c>
      <c r="J31" s="17"/>
      <c r="L31" s="85">
        <f>('TUSD BE'!$L$31+'TUSD BF'!$L$31+'TUSD CVA'!$L$31)*1</f>
        <v>0</v>
      </c>
      <c r="M31" s="85">
        <f>('TUSD BE'!$M$31+'TUSD BF'!$M$31+'TUSD CVA'!$M$31)*1</f>
        <v>1.1220887242829491E-2</v>
      </c>
      <c r="N31" s="85">
        <f ca="1">('TUSD BE'!$N$31+'TUSD BF'!$N$31+'TUSD CVA'!$N$31)*1</f>
        <v>4.6160905403455507E-2</v>
      </c>
      <c r="O31" s="85">
        <f>('TUSD BE'!$O$31+'TUSD BF'!$O$31+'TUSD CVA'!$O$31)*1</f>
        <v>0</v>
      </c>
      <c r="P31" s="85">
        <f>('TUSD BE'!$P$31+'TUSD BF'!$P$31+'TUSD CVA'!$P$31)*1</f>
        <v>0</v>
      </c>
      <c r="Q31" s="85">
        <f>('TUSD BE'!$Q$31+'TUSD BF'!$Q$31+'TUSD CVA'!$Q$31)*1</f>
        <v>0</v>
      </c>
      <c r="R31" s="85">
        <f>('TUSD BE'!$R$31+'TUSD BF'!$R$31+'TUSD CVA'!$R$31)*1</f>
        <v>0</v>
      </c>
      <c r="S31" s="85">
        <f>('TUSD BE'!$S$31+'TUSD BF'!$S$31+'TUSD CVA'!$S$31)*1</f>
        <v>0</v>
      </c>
      <c r="T31" s="85">
        <f>('TUSD BE'!$U$31+'TUSD BF'!$U$31+'TUSD CVA'!$U$31)*1</f>
        <v>0</v>
      </c>
      <c r="U31" s="85">
        <f>('TUSD BE'!$V$31+'TUSD BF'!$V$31+'TUSD CVA'!$V$31)*1</f>
        <v>0</v>
      </c>
      <c r="V31" s="85">
        <f>('TUSD BE'!$W$31+'TUSD BF'!$W$31+'TUSD CVA'!$W$31)*1</f>
        <v>0</v>
      </c>
      <c r="W31" s="85">
        <f>('TUSD BE'!$X$31+'TUSD BF'!$X$31+'TUSD CVA'!$X$31)*1</f>
        <v>0</v>
      </c>
      <c r="X31" s="85">
        <f>('TUSD BE'!$Y$31+'TUSD BF'!$Y$31+'TUSD CVA'!$Y$31)*1</f>
        <v>0</v>
      </c>
      <c r="Y31" s="85">
        <f>('TUSD BE'!$Z$31+'TUSD BF'!$Z$31+'TUSD CVA'!$Z$31)*1</f>
        <v>0</v>
      </c>
      <c r="Z31" s="85">
        <f>('TUSD BE'!$AA$31+'TUSD BF'!$AA$31+'TUSD CVA'!$AA$31)*1</f>
        <v>0</v>
      </c>
      <c r="AA31" s="85">
        <f>('TUSD BE'!$AC$31+'TUSD BF'!$AC$31+'TUSD CVA'!$AC$31)*1</f>
        <v>3.6472831738600258</v>
      </c>
      <c r="AB31" s="85">
        <f ca="1">('TUSD BE'!$AE$31+'TUSD BF'!$AE$31+'TUSD CVA'!$AE$31)*1</f>
        <v>0</v>
      </c>
      <c r="AC31" s="85">
        <f ca="1">('TUSD BE'!$AF$31+'TUSD BF'!$AF$31+'TUSD CVA'!$AF$31)*1</f>
        <v>0</v>
      </c>
      <c r="AD31" s="85">
        <f>('TUSD BE'!$AH$31+'TUSD BF'!$AH$31+'TUSD CVA'!$AH$31)*1</f>
        <v>1.429299742900861E-3</v>
      </c>
      <c r="AE31" s="85">
        <f>('TUSD BE'!$AI$31+'TUSD BF'!$AI$31+'TUSD CVA'!$AI$31)*1</f>
        <v>0</v>
      </c>
      <c r="AF31" s="85">
        <f ca="1">('TUSD BE'!$AJ$31+'TUSD BF'!$AJ$31+'TUSD CVA'!$AJ$31)*1</f>
        <v>0</v>
      </c>
      <c r="AG31" s="85">
        <f ca="1">('TUSD BE'!$AK$31+'TUSD BF'!$AK$31+'TUSD CVA'!$AK$31)*1</f>
        <v>0</v>
      </c>
      <c r="AI31" s="85">
        <v>0</v>
      </c>
      <c r="AJ31" s="85">
        <v>1.19986897265378E-2</v>
      </c>
      <c r="AK31" s="85">
        <v>4.8176484583518003E-2</v>
      </c>
      <c r="AL31" s="85">
        <v>0</v>
      </c>
      <c r="AM31" s="85">
        <v>0</v>
      </c>
      <c r="AN31" s="85">
        <v>0</v>
      </c>
      <c r="AO31" s="85">
        <v>0</v>
      </c>
      <c r="AP31" s="85">
        <v>0</v>
      </c>
      <c r="AQ31" s="85">
        <v>0</v>
      </c>
      <c r="AR31" s="85">
        <v>0</v>
      </c>
      <c r="AS31" s="85">
        <v>0</v>
      </c>
      <c r="AT31" s="85">
        <v>0</v>
      </c>
      <c r="AU31" s="85">
        <v>0</v>
      </c>
      <c r="AV31" s="85">
        <v>0</v>
      </c>
      <c r="AW31" s="85">
        <v>0</v>
      </c>
      <c r="AX31" s="85">
        <v>3.5379536460191598</v>
      </c>
      <c r="AY31" s="85">
        <v>0</v>
      </c>
      <c r="AZ31" s="85">
        <v>0</v>
      </c>
      <c r="BA31" s="85">
        <v>1.7218782865872401E-3</v>
      </c>
      <c r="BB31" s="85">
        <v>0</v>
      </c>
      <c r="BC31" s="85">
        <v>0</v>
      </c>
      <c r="BD31" s="85">
        <v>0</v>
      </c>
    </row>
    <row r="32" spans="1:56" ht="11.25" customHeight="1" x14ac:dyDescent="0.25">
      <c r="A32" s="119"/>
      <c r="B32" s="119" t="s">
        <v>34</v>
      </c>
      <c r="C32" s="119" t="s">
        <v>25</v>
      </c>
      <c r="D32" s="119" t="s">
        <v>25</v>
      </c>
      <c r="E32" s="119" t="s">
        <v>25</v>
      </c>
      <c r="F32" s="119" t="s">
        <v>25</v>
      </c>
      <c r="G32" s="21" t="s">
        <v>9</v>
      </c>
      <c r="H32" s="21" t="s">
        <v>91</v>
      </c>
      <c r="I32" s="21">
        <f>'MERCADO TUSD'!$U$29</f>
        <v>3362527</v>
      </c>
      <c r="J32" s="17"/>
      <c r="L32" s="85">
        <f>('TUSD BE'!$L$32+'TUSD BF'!$L$32+'TUSD CVA'!$L$32)*1</f>
        <v>0</v>
      </c>
      <c r="M32" s="85">
        <f>('TUSD BE'!$M$32+'TUSD BF'!$M$32+'TUSD CVA'!$M$32)*1</f>
        <v>0</v>
      </c>
      <c r="N32" s="85">
        <f ca="1">('TUSD BE'!$N$32+'TUSD BF'!$N$32+'TUSD CVA'!$N$32)*1</f>
        <v>0</v>
      </c>
      <c r="O32" s="85">
        <f>('TUSD BE'!$O$32+'TUSD BF'!$O$32+'TUSD CVA'!$O$32)*1</f>
        <v>0</v>
      </c>
      <c r="P32" s="85">
        <f>('TUSD BE'!$P$32+'TUSD BF'!$P$32+'TUSD CVA'!$P$32)*1</f>
        <v>0</v>
      </c>
      <c r="Q32" s="85">
        <f>('TUSD BE'!$Q$32+'TUSD BF'!$Q$32+'TUSD CVA'!$Q$32)*1</f>
        <v>0</v>
      </c>
      <c r="R32" s="85">
        <f>('TUSD BE'!$R$32+'TUSD BF'!$R$32+'TUSD CVA'!$R$32)*1</f>
        <v>0</v>
      </c>
      <c r="S32" s="85">
        <f>('TUSD BE'!$S$32+'TUSD BF'!$S$32+'TUSD CVA'!$S$32)*1</f>
        <v>0</v>
      </c>
      <c r="T32" s="85">
        <f>('TUSD BE'!$U$32+'TUSD BF'!$U$32+'TUSD CVA'!$U$32)*1</f>
        <v>5.2870322569525143</v>
      </c>
      <c r="U32" s="85">
        <f>('TUSD BE'!$V$32+'TUSD BF'!$V$32+'TUSD CVA'!$V$32)*1</f>
        <v>1.5279977964217852</v>
      </c>
      <c r="V32" s="85">
        <f>('TUSD BE'!$W$32+'TUSD BF'!$W$32+'TUSD CVA'!$W$32)*1</f>
        <v>0.17554132757446547</v>
      </c>
      <c r="W32" s="85">
        <f>('TUSD BE'!$X$32+'TUSD BF'!$X$32+'TUSD CVA'!$X$32)*1</f>
        <v>0</v>
      </c>
      <c r="X32" s="85">
        <f>('TUSD BE'!$Y$32+'TUSD BF'!$Y$32+'TUSD CVA'!$Y$32)*1</f>
        <v>0</v>
      </c>
      <c r="Y32" s="85">
        <f>('TUSD BE'!$Z$32+'TUSD BF'!$Z$32+'TUSD CVA'!$Z$32)*1</f>
        <v>0</v>
      </c>
      <c r="Z32" s="85">
        <f>('TUSD BE'!$AA$32+'TUSD BF'!$AA$32+'TUSD CVA'!$AA$32)*1</f>
        <v>0</v>
      </c>
      <c r="AA32" s="85">
        <f>('TUSD BE'!$AC$32+'TUSD BF'!$AC$32+'TUSD CVA'!$AC$32)*1</f>
        <v>4.4617852677044318</v>
      </c>
      <c r="AB32" s="85">
        <f ca="1">('TUSD BE'!$AE$32+'TUSD BF'!$AE$32+'TUSD CVA'!$AE$32)*1</f>
        <v>0</v>
      </c>
      <c r="AC32" s="85">
        <f ca="1">('TUSD BE'!$AF$32+'TUSD BF'!$AF$32+'TUSD CVA'!$AF$32)*1</f>
        <v>0</v>
      </c>
      <c r="AD32" s="85">
        <f>('TUSD BE'!$AH$32+'TUSD BF'!$AH$32+'TUSD CVA'!$AH$32)*1</f>
        <v>0</v>
      </c>
      <c r="AE32" s="85">
        <f>('TUSD BE'!$AI$32+'TUSD BF'!$AI$32+'TUSD CVA'!$AI$32)*1</f>
        <v>0</v>
      </c>
      <c r="AF32" s="85">
        <f ca="1">('TUSD BE'!$AJ$32+'TUSD BF'!$AJ$32+'TUSD CVA'!$AJ$32)*1</f>
        <v>0</v>
      </c>
      <c r="AG32" s="85">
        <f ca="1">('TUSD BE'!$AK$32+'TUSD BF'!$AK$32+'TUSD CVA'!$AK$32)*1</f>
        <v>0</v>
      </c>
      <c r="AI32" s="85">
        <v>0</v>
      </c>
      <c r="AJ32" s="85">
        <v>0</v>
      </c>
      <c r="AK32" s="85">
        <v>0</v>
      </c>
      <c r="AL32" s="85">
        <v>0</v>
      </c>
      <c r="AM32" s="85">
        <v>0</v>
      </c>
      <c r="AN32" s="85">
        <v>0</v>
      </c>
      <c r="AO32" s="85">
        <v>0</v>
      </c>
      <c r="AP32" s="85">
        <v>0</v>
      </c>
      <c r="AQ32" s="85">
        <v>3.33506640060188</v>
      </c>
      <c r="AR32" s="85">
        <v>1.03295342340968</v>
      </c>
      <c r="AS32" s="85">
        <v>0.113814972575426</v>
      </c>
      <c r="AT32" s="85">
        <v>0</v>
      </c>
      <c r="AU32" s="85">
        <v>0</v>
      </c>
      <c r="AV32" s="85">
        <v>0</v>
      </c>
      <c r="AW32" s="85">
        <v>0</v>
      </c>
      <c r="AX32" s="85">
        <v>4.3280405450183599</v>
      </c>
      <c r="AY32" s="85">
        <v>0</v>
      </c>
      <c r="AZ32" s="85">
        <v>0</v>
      </c>
      <c r="BA32" s="85">
        <v>0</v>
      </c>
      <c r="BB32" s="85">
        <v>0</v>
      </c>
      <c r="BC32" s="85">
        <v>0</v>
      </c>
      <c r="BD32" s="85">
        <v>0</v>
      </c>
    </row>
    <row r="33" spans="1:56" ht="11.25" customHeight="1" x14ac:dyDescent="0.25">
      <c r="A33" s="119"/>
      <c r="B33" s="119"/>
      <c r="C33" s="119"/>
      <c r="D33" s="119"/>
      <c r="E33" s="119"/>
      <c r="F33" s="119"/>
      <c r="G33" s="21" t="s">
        <v>89</v>
      </c>
      <c r="H33" s="21" t="s">
        <v>88</v>
      </c>
      <c r="I33" s="21">
        <f>'MERCADO TUSD'!$U$30</f>
        <v>54632.431000000011</v>
      </c>
      <c r="J33" s="17"/>
      <c r="L33" s="85">
        <f>('TUSD BE'!$L$33+'TUSD BF'!$L$33+'TUSD CVA'!$L$33)*1</f>
        <v>0</v>
      </c>
      <c r="M33" s="85">
        <f>('TUSD BE'!$M$33+'TUSD BF'!$M$33+'TUSD CVA'!$M$33)*1</f>
        <v>0.20302245705599098</v>
      </c>
      <c r="N33" s="85">
        <f ca="1">('TUSD BE'!$N$33+'TUSD BF'!$N$33+'TUSD CVA'!$N$33)*1</f>
        <v>6.1330890122309487</v>
      </c>
      <c r="O33" s="85">
        <f>('TUSD BE'!$O$33+'TUSD BF'!$O$33+'TUSD CVA'!$O$33)*1</f>
        <v>0</v>
      </c>
      <c r="P33" s="85">
        <f>('TUSD BE'!$P$33+'TUSD BF'!$P$33+'TUSD CVA'!$P$33)*1</f>
        <v>0</v>
      </c>
      <c r="Q33" s="85">
        <f>('TUSD BE'!$Q$33+'TUSD BF'!$Q$33+'TUSD CVA'!$Q$33)*1</f>
        <v>59.069180056669261</v>
      </c>
      <c r="R33" s="85">
        <f>('TUSD BE'!$R$33+'TUSD BF'!$R$33+'TUSD CVA'!$R$33)*1</f>
        <v>6.9769367212194551</v>
      </c>
      <c r="S33" s="85">
        <f>('TUSD BE'!$S$33+'TUSD BF'!$S$33+'TUSD CVA'!$S$33)*1</f>
        <v>0</v>
      </c>
      <c r="T33" s="85">
        <f>('TUSD BE'!$U$33+'TUSD BF'!$U$33+'TUSD CVA'!$U$33)*1</f>
        <v>194.53599245479751</v>
      </c>
      <c r="U33" s="85">
        <f>('TUSD BE'!$V$33+'TUSD BF'!$V$33+'TUSD CVA'!$V$33)*1</f>
        <v>51.663238471764828</v>
      </c>
      <c r="V33" s="85">
        <f>('TUSD BE'!$W$33+'TUSD BF'!$W$33+'TUSD CVA'!$W$33)*1</f>
        <v>6.595680802960036</v>
      </c>
      <c r="W33" s="85">
        <f>('TUSD BE'!$X$33+'TUSD BF'!$X$33+'TUSD CVA'!$X$33)*1</f>
        <v>0</v>
      </c>
      <c r="X33" s="85">
        <f>('TUSD BE'!$Y$33+'TUSD BF'!$Y$33+'TUSD CVA'!$Y$33)*1</f>
        <v>0</v>
      </c>
      <c r="Y33" s="85">
        <f>('TUSD BE'!$Z$33+'TUSD BF'!$Z$33+'TUSD CVA'!$Z$33)*1</f>
        <v>0</v>
      </c>
      <c r="Z33" s="85">
        <f>('TUSD BE'!$AA$33+'TUSD BF'!$AA$33+'TUSD CVA'!$AA$33)*1</f>
        <v>0</v>
      </c>
      <c r="AA33" s="85">
        <f>('TUSD BE'!$AC$33+'TUSD BF'!$AC$33+'TUSD CVA'!$AC$33)*1</f>
        <v>401.7575513446821</v>
      </c>
      <c r="AB33" s="85">
        <f ca="1">('TUSD BE'!$AE$33+'TUSD BF'!$AE$33+'TUSD CVA'!$AE$33)*1</f>
        <v>0</v>
      </c>
      <c r="AC33" s="85">
        <f ca="1">('TUSD BE'!$AF$33+'TUSD BF'!$AF$33+'TUSD CVA'!$AF$33)*1</f>
        <v>0</v>
      </c>
      <c r="AD33" s="85">
        <f>('TUSD BE'!$AH$33+'TUSD BF'!$AH$33+'TUSD CVA'!$AH$33)*1</f>
        <v>10.615669063205225</v>
      </c>
      <c r="AE33" s="85">
        <f>('TUSD BE'!$AI$33+'TUSD BF'!$AI$33+'TUSD CVA'!$AI$33)*1</f>
        <v>0.39902543623336034</v>
      </c>
      <c r="AF33" s="85">
        <f ca="1">('TUSD BE'!$AJ$33+'TUSD BF'!$AJ$33+'TUSD CVA'!$AJ$33)*1</f>
        <v>7.7836030845026025</v>
      </c>
      <c r="AG33" s="85">
        <f ca="1">('TUSD BE'!$AK$33+'TUSD BF'!$AK$33+'TUSD CVA'!$AK$33)*1</f>
        <v>2.0006462749611242</v>
      </c>
      <c r="AI33" s="85">
        <v>0</v>
      </c>
      <c r="AJ33" s="85">
        <v>0.20249919835253899</v>
      </c>
      <c r="AK33" s="85">
        <v>6.3717137093430001</v>
      </c>
      <c r="AL33" s="85">
        <v>0</v>
      </c>
      <c r="AM33" s="85">
        <v>0</v>
      </c>
      <c r="AN33" s="85">
        <v>49.451674182419197</v>
      </c>
      <c r="AO33" s="85">
        <v>10.198150985874999</v>
      </c>
      <c r="AP33" s="85">
        <v>0</v>
      </c>
      <c r="AQ33" s="85">
        <v>122.7135414751</v>
      </c>
      <c r="AR33" s="85">
        <v>34.925259165170601</v>
      </c>
      <c r="AS33" s="85">
        <v>4.2764130821940904</v>
      </c>
      <c r="AT33" s="85">
        <v>0</v>
      </c>
      <c r="AU33" s="85">
        <v>0</v>
      </c>
      <c r="AV33" s="85">
        <v>0</v>
      </c>
      <c r="AW33" s="85">
        <v>0</v>
      </c>
      <c r="AX33" s="85">
        <v>389.71462478778102</v>
      </c>
      <c r="AY33" s="85">
        <v>0</v>
      </c>
      <c r="AZ33" s="85">
        <v>0</v>
      </c>
      <c r="BA33" s="85">
        <v>12.788703103262799</v>
      </c>
      <c r="BB33" s="85">
        <v>0.47864744631413297</v>
      </c>
      <c r="BC33" s="85">
        <v>8.9938853831253809</v>
      </c>
      <c r="BD33" s="85">
        <v>1.8774269305645399</v>
      </c>
    </row>
    <row r="34" spans="1:56" ht="11.25" customHeight="1" x14ac:dyDescent="0.25">
      <c r="A34" s="119"/>
      <c r="B34" s="119"/>
      <c r="C34" s="119"/>
      <c r="D34" s="119"/>
      <c r="E34" s="119"/>
      <c r="F34" s="119"/>
      <c r="G34" s="21" t="s">
        <v>90</v>
      </c>
      <c r="H34" s="21" t="s">
        <v>88</v>
      </c>
      <c r="I34" s="21">
        <f>'MERCADO TUSD'!$U$31</f>
        <v>585212.62100000004</v>
      </c>
      <c r="J34" s="17"/>
      <c r="L34" s="85">
        <f>('TUSD BE'!$L$34+'TUSD BF'!$L$34+'TUSD CVA'!$L$34)*1</f>
        <v>0</v>
      </c>
      <c r="M34" s="85">
        <f>('TUSD BE'!$M$34+'TUSD BF'!$M$34+'TUSD CVA'!$M$34)*1</f>
        <v>0.20302245705599098</v>
      </c>
      <c r="N34" s="85">
        <f ca="1">('TUSD BE'!$N$34+'TUSD BF'!$N$34+'TUSD CVA'!$N$34)*1</f>
        <v>0.47127887140767033</v>
      </c>
      <c r="O34" s="85">
        <f>('TUSD BE'!$O$34+'TUSD BF'!$O$34+'TUSD CVA'!$O$34)*1</f>
        <v>0</v>
      </c>
      <c r="P34" s="85">
        <f>('TUSD BE'!$P$34+'TUSD BF'!$P$34+'TUSD CVA'!$P$34)*1</f>
        <v>0</v>
      </c>
      <c r="Q34" s="85">
        <f>('TUSD BE'!$Q$34+'TUSD BF'!$Q$34+'TUSD CVA'!$Q$34)*1</f>
        <v>59.069180056669261</v>
      </c>
      <c r="R34" s="85">
        <f>('TUSD BE'!$R$34+'TUSD BF'!$R$34+'TUSD CVA'!$R$34)*1</f>
        <v>6.9769367212194551</v>
      </c>
      <c r="S34" s="85">
        <f>('TUSD BE'!$S$34+'TUSD BF'!$S$34+'TUSD CVA'!$S$34)*1</f>
        <v>0</v>
      </c>
      <c r="T34" s="85">
        <f>('TUSD BE'!$U$34+'TUSD BF'!$U$34+'TUSD CVA'!$U$34)*1</f>
        <v>0</v>
      </c>
      <c r="U34" s="85">
        <f>('TUSD BE'!$V$34+'TUSD BF'!$V$34+'TUSD CVA'!$V$34)*1</f>
        <v>0</v>
      </c>
      <c r="V34" s="85">
        <f>('TUSD BE'!$W$34+'TUSD BF'!$W$34+'TUSD CVA'!$W$34)*1</f>
        <v>0</v>
      </c>
      <c r="W34" s="85">
        <f>('TUSD BE'!$X$34+'TUSD BF'!$X$34+'TUSD CVA'!$X$34)*1</f>
        <v>0</v>
      </c>
      <c r="X34" s="85">
        <f>('TUSD BE'!$Y$34+'TUSD BF'!$Y$34+'TUSD CVA'!$Y$34)*1</f>
        <v>0</v>
      </c>
      <c r="Y34" s="85">
        <f>('TUSD BE'!$Z$34+'TUSD BF'!$Z$34+'TUSD CVA'!$Z$34)*1</f>
        <v>0</v>
      </c>
      <c r="Z34" s="85">
        <f>('TUSD BE'!$AA$34+'TUSD BF'!$AA$34+'TUSD CVA'!$AA$34)*1</f>
        <v>0</v>
      </c>
      <c r="AA34" s="85">
        <f>('TUSD BE'!$AC$34+'TUSD BF'!$AC$34+'TUSD CVA'!$AC$34)*1</f>
        <v>0</v>
      </c>
      <c r="AB34" s="85">
        <f ca="1">('TUSD BE'!$AE$34+'TUSD BF'!$AE$34+'TUSD CVA'!$AE$34)*1</f>
        <v>0</v>
      </c>
      <c r="AC34" s="85">
        <f ca="1">('TUSD BE'!$AF$34+'TUSD BF'!$AF$34+'TUSD CVA'!$AF$34)*1</f>
        <v>0</v>
      </c>
      <c r="AD34" s="85">
        <f>('TUSD BE'!$AH$34+'TUSD BF'!$AH$34+'TUSD CVA'!$AH$34)*1</f>
        <v>10.615669063205225</v>
      </c>
      <c r="AE34" s="85">
        <f>('TUSD BE'!$AI$34+'TUSD BF'!$AI$34+'TUSD CVA'!$AI$34)*1</f>
        <v>0.39902543623336034</v>
      </c>
      <c r="AF34" s="85">
        <f ca="1">('TUSD BE'!$AJ$34+'TUSD BF'!$AJ$34+'TUSD CVA'!$AJ$34)*1</f>
        <v>7.7836030845026025</v>
      </c>
      <c r="AG34" s="85">
        <f ca="1">('TUSD BE'!$AK$34+'TUSD BF'!$AK$34+'TUSD CVA'!$AK$34)*1</f>
        <v>2.0006462749611242</v>
      </c>
      <c r="AI34" s="85">
        <v>0</v>
      </c>
      <c r="AJ34" s="85">
        <v>0.20249919835253899</v>
      </c>
      <c r="AK34" s="85">
        <v>0.46268513678471901</v>
      </c>
      <c r="AL34" s="85">
        <v>0</v>
      </c>
      <c r="AM34" s="85">
        <v>0</v>
      </c>
      <c r="AN34" s="85">
        <v>49.451674182419197</v>
      </c>
      <c r="AO34" s="85">
        <v>10.198150985874999</v>
      </c>
      <c r="AP34" s="85">
        <v>0</v>
      </c>
      <c r="AQ34" s="85">
        <v>0</v>
      </c>
      <c r="AR34" s="85">
        <v>0</v>
      </c>
      <c r="AS34" s="85">
        <v>0</v>
      </c>
      <c r="AT34" s="85">
        <v>0</v>
      </c>
      <c r="AU34" s="85">
        <v>0</v>
      </c>
      <c r="AV34" s="85">
        <v>0</v>
      </c>
      <c r="AW34" s="85">
        <v>0</v>
      </c>
      <c r="AX34" s="85">
        <v>0</v>
      </c>
      <c r="AY34" s="85">
        <v>0</v>
      </c>
      <c r="AZ34" s="85">
        <v>0</v>
      </c>
      <c r="BA34" s="85">
        <v>12.788703103262799</v>
      </c>
      <c r="BB34" s="85">
        <v>0.47864744631413297</v>
      </c>
      <c r="BC34" s="85">
        <v>8.9938853831253809</v>
      </c>
      <c r="BD34" s="85">
        <v>1.8774269305645399</v>
      </c>
    </row>
    <row r="35" spans="1:56" ht="11.25" customHeight="1" x14ac:dyDescent="0.25">
      <c r="A35" s="119"/>
      <c r="B35" s="119"/>
      <c r="C35" s="119"/>
      <c r="D35" s="119"/>
      <c r="E35" s="119" t="s">
        <v>61</v>
      </c>
      <c r="F35" s="119" t="s">
        <v>25</v>
      </c>
      <c r="G35" s="21" t="s">
        <v>89</v>
      </c>
      <c r="H35" s="21" t="s">
        <v>88</v>
      </c>
      <c r="I35" s="21">
        <f>'MERCADO TUSD'!$U$32</f>
        <v>0</v>
      </c>
      <c r="J35" s="17"/>
      <c r="L35" s="85">
        <f>('TUSD BE'!$L$35+'TUSD BF'!$L$35+'TUSD CVA'!$L$35)*1</f>
        <v>0</v>
      </c>
      <c r="M35" s="85">
        <f>('TUSD BE'!$M$35+'TUSD BF'!$M$35+'TUSD CVA'!$M$35)*1</f>
        <v>0.20302245705599098</v>
      </c>
      <c r="N35" s="85">
        <f ca="1">('TUSD BE'!$N$35+'TUSD BF'!$N$35+'TUSD CVA'!$N$35)*1</f>
        <v>6.1186185089696776</v>
      </c>
      <c r="O35" s="85">
        <f>('TUSD BE'!$O$35+'TUSD BF'!$O$35+'TUSD CVA'!$O$35)*1</f>
        <v>0</v>
      </c>
      <c r="P35" s="85">
        <f>('TUSD BE'!$P$35+'TUSD BF'!$P$35+'TUSD CVA'!$P$35)*1</f>
        <v>0</v>
      </c>
      <c r="Q35" s="85">
        <f>('TUSD BE'!$Q$35+'TUSD BF'!$Q$35+'TUSD CVA'!$Q$35)*1</f>
        <v>0</v>
      </c>
      <c r="R35" s="85">
        <f>('TUSD BE'!$R$35+'TUSD BF'!$R$35+'TUSD CVA'!$R$35)*1</f>
        <v>0</v>
      </c>
      <c r="S35" s="85">
        <f>('TUSD BE'!$S$35+'TUSD BF'!$S$35+'TUSD CVA'!$S$35)*1</f>
        <v>0</v>
      </c>
      <c r="T35" s="85">
        <f>('TUSD BE'!$U$35+'TUSD BF'!$U$35+'TUSD CVA'!$U$35)*1</f>
        <v>194.53599245479751</v>
      </c>
      <c r="U35" s="85">
        <f>('TUSD BE'!$V$35+'TUSD BF'!$V$35+'TUSD CVA'!$V$35)*1</f>
        <v>51.663238471764828</v>
      </c>
      <c r="V35" s="85">
        <f>('TUSD BE'!$W$35+'TUSD BF'!$W$35+'TUSD CVA'!$W$35)*1</f>
        <v>6.595680802960036</v>
      </c>
      <c r="W35" s="85">
        <f>('TUSD BE'!$X$35+'TUSD BF'!$X$35+'TUSD CVA'!$X$35)*1</f>
        <v>0</v>
      </c>
      <c r="X35" s="85">
        <f>('TUSD BE'!$Y$35+'TUSD BF'!$Y$35+'TUSD CVA'!$Y$35)*1</f>
        <v>0</v>
      </c>
      <c r="Y35" s="85">
        <f>('TUSD BE'!$Z$35+'TUSD BF'!$Z$35+'TUSD CVA'!$Z$35)*1</f>
        <v>0</v>
      </c>
      <c r="Z35" s="85">
        <f>('TUSD BE'!$AA$35+'TUSD BF'!$AA$35+'TUSD CVA'!$AA$35)*1</f>
        <v>0</v>
      </c>
      <c r="AA35" s="85">
        <f>('TUSD BE'!$AC$35+'TUSD BF'!$AC$35+'TUSD CVA'!$AC$35)*1</f>
        <v>401.7575513446821</v>
      </c>
      <c r="AB35" s="85">
        <f ca="1">('TUSD BE'!$AE$35+'TUSD BF'!$AE$35+'TUSD CVA'!$AE$35)*1</f>
        <v>0</v>
      </c>
      <c r="AC35" s="85">
        <f ca="1">('TUSD BE'!$AF$35+'TUSD BF'!$AF$35+'TUSD CVA'!$AF$35)*1</f>
        <v>0</v>
      </c>
      <c r="AD35" s="85">
        <f>('TUSD BE'!$AH$35+'TUSD BF'!$AH$35+'TUSD CVA'!$AH$35)*1</f>
        <v>10.615669063205225</v>
      </c>
      <c r="AE35" s="85">
        <f>('TUSD BE'!$AI$35+'TUSD BF'!$AI$35+'TUSD CVA'!$AI$35)*1</f>
        <v>0.39902543623336034</v>
      </c>
      <c r="AF35" s="85">
        <f ca="1">('TUSD BE'!$AJ$35+'TUSD BF'!$AJ$35+'TUSD CVA'!$AJ$35)*1</f>
        <v>7.7836030845026025</v>
      </c>
      <c r="AG35" s="85">
        <f ca="1">('TUSD BE'!$AK$35+'TUSD BF'!$AK$35+'TUSD CVA'!$AK$35)*1</f>
        <v>2.0006462749611242</v>
      </c>
      <c r="AI35" s="85">
        <v>0</v>
      </c>
      <c r="AJ35" s="85">
        <v>0.20249919835253899</v>
      </c>
      <c r="AK35" s="85">
        <v>6.3566113630785797</v>
      </c>
      <c r="AL35" s="85">
        <v>0</v>
      </c>
      <c r="AM35" s="85">
        <v>0</v>
      </c>
      <c r="AN35" s="85">
        <v>0</v>
      </c>
      <c r="AO35" s="85">
        <v>0</v>
      </c>
      <c r="AP35" s="85">
        <v>0</v>
      </c>
      <c r="AQ35" s="85">
        <v>122.7135414751</v>
      </c>
      <c r="AR35" s="85">
        <v>34.925259165170601</v>
      </c>
      <c r="AS35" s="85">
        <v>4.2764130821940904</v>
      </c>
      <c r="AT35" s="85">
        <v>0</v>
      </c>
      <c r="AU35" s="85">
        <v>0</v>
      </c>
      <c r="AV35" s="85">
        <v>0</v>
      </c>
      <c r="AW35" s="85">
        <v>0</v>
      </c>
      <c r="AX35" s="85">
        <v>389.71462478778102</v>
      </c>
      <c r="AY35" s="85">
        <v>0</v>
      </c>
      <c r="AZ35" s="85">
        <v>0</v>
      </c>
      <c r="BA35" s="85">
        <v>12.788703103262799</v>
      </c>
      <c r="BB35" s="85">
        <v>0.47864744631413297</v>
      </c>
      <c r="BC35" s="85">
        <v>8.9938853831253809</v>
      </c>
      <c r="BD35" s="85">
        <v>1.8774269305645399</v>
      </c>
    </row>
    <row r="36" spans="1:56" ht="11.25" customHeight="1" x14ac:dyDescent="0.25">
      <c r="A36" s="119"/>
      <c r="B36" s="119"/>
      <c r="C36" s="119"/>
      <c r="D36" s="119"/>
      <c r="E36" s="119"/>
      <c r="F36" s="119"/>
      <c r="G36" s="21" t="s">
        <v>90</v>
      </c>
      <c r="H36" s="21" t="s">
        <v>88</v>
      </c>
      <c r="I36" s="21">
        <f>'MERCADO TUSD'!$U$33</f>
        <v>0</v>
      </c>
      <c r="J36" s="17"/>
      <c r="L36" s="85">
        <f>('TUSD BE'!$L$36+'TUSD BF'!$L$36+'TUSD CVA'!$L$36)*1</f>
        <v>0</v>
      </c>
      <c r="M36" s="85">
        <f>('TUSD BE'!$M$36+'TUSD BF'!$M$36+'TUSD CVA'!$M$36)*1</f>
        <v>0.20302245705599098</v>
      </c>
      <c r="N36" s="85">
        <f ca="1">('TUSD BE'!$N$36+'TUSD BF'!$N$36+'TUSD CVA'!$N$36)*1</f>
        <v>0.45680836814639902</v>
      </c>
      <c r="O36" s="85">
        <f>('TUSD BE'!$O$36+'TUSD BF'!$O$36+'TUSD CVA'!$O$36)*1</f>
        <v>0</v>
      </c>
      <c r="P36" s="85">
        <f>('TUSD BE'!$P$36+'TUSD BF'!$P$36+'TUSD CVA'!$P$36)*1</f>
        <v>0</v>
      </c>
      <c r="Q36" s="85">
        <f>('TUSD BE'!$Q$36+'TUSD BF'!$Q$36+'TUSD CVA'!$Q$36)*1</f>
        <v>0</v>
      </c>
      <c r="R36" s="85">
        <f>('TUSD BE'!$R$36+'TUSD BF'!$R$36+'TUSD CVA'!$R$36)*1</f>
        <v>0</v>
      </c>
      <c r="S36" s="85">
        <f>('TUSD BE'!$S$36+'TUSD BF'!$S$36+'TUSD CVA'!$S$36)*1</f>
        <v>0</v>
      </c>
      <c r="T36" s="85">
        <f>('TUSD BE'!$U$36+'TUSD BF'!$U$36+'TUSD CVA'!$U$36)*1</f>
        <v>0</v>
      </c>
      <c r="U36" s="85">
        <f>('TUSD BE'!$V$36+'TUSD BF'!$V$36+'TUSD CVA'!$V$36)*1</f>
        <v>0</v>
      </c>
      <c r="V36" s="85">
        <f>('TUSD BE'!$W$36+'TUSD BF'!$W$36+'TUSD CVA'!$W$36)*1</f>
        <v>0</v>
      </c>
      <c r="W36" s="85">
        <f>('TUSD BE'!$X$36+'TUSD BF'!$X$36+'TUSD CVA'!$X$36)*1</f>
        <v>0</v>
      </c>
      <c r="X36" s="85">
        <f>('TUSD BE'!$Y$36+'TUSD BF'!$Y$36+'TUSD CVA'!$Y$36)*1</f>
        <v>0</v>
      </c>
      <c r="Y36" s="85">
        <f>('TUSD BE'!$Z$36+'TUSD BF'!$Z$36+'TUSD CVA'!$Z$36)*1</f>
        <v>0</v>
      </c>
      <c r="Z36" s="85">
        <f>('TUSD BE'!$AA$36+'TUSD BF'!$AA$36+'TUSD CVA'!$AA$36)*1</f>
        <v>0</v>
      </c>
      <c r="AA36" s="85">
        <f>('TUSD BE'!$AC$36+'TUSD BF'!$AC$36+'TUSD CVA'!$AC$36)*1</f>
        <v>0</v>
      </c>
      <c r="AB36" s="85">
        <f ca="1">('TUSD BE'!$AE$36+'TUSD BF'!$AE$36+'TUSD CVA'!$AE$36)*1</f>
        <v>0</v>
      </c>
      <c r="AC36" s="85">
        <f ca="1">('TUSD BE'!$AF$36+'TUSD BF'!$AF$36+'TUSD CVA'!$AF$36)*1</f>
        <v>0</v>
      </c>
      <c r="AD36" s="85">
        <f>('TUSD BE'!$AH$36+'TUSD BF'!$AH$36+'TUSD CVA'!$AH$36)*1</f>
        <v>10.615669063205225</v>
      </c>
      <c r="AE36" s="85">
        <f>('TUSD BE'!$AI$36+'TUSD BF'!$AI$36+'TUSD CVA'!$AI$36)*1</f>
        <v>0.39902543623336034</v>
      </c>
      <c r="AF36" s="85">
        <f ca="1">('TUSD BE'!$AJ$36+'TUSD BF'!$AJ$36+'TUSD CVA'!$AJ$36)*1</f>
        <v>7.7836030845026025</v>
      </c>
      <c r="AG36" s="85">
        <f ca="1">('TUSD BE'!$AK$36+'TUSD BF'!$AK$36+'TUSD CVA'!$AK$36)*1</f>
        <v>2.0006462749611242</v>
      </c>
      <c r="AI36" s="85">
        <v>0</v>
      </c>
      <c r="AJ36" s="85">
        <v>0.20249919835253899</v>
      </c>
      <c r="AK36" s="85">
        <v>0.44758279052029398</v>
      </c>
      <c r="AL36" s="85">
        <v>0</v>
      </c>
      <c r="AM36" s="85">
        <v>0</v>
      </c>
      <c r="AN36" s="85">
        <v>0</v>
      </c>
      <c r="AO36" s="85">
        <v>0</v>
      </c>
      <c r="AP36" s="85">
        <v>0</v>
      </c>
      <c r="AQ36" s="85">
        <v>0</v>
      </c>
      <c r="AR36" s="85">
        <v>0</v>
      </c>
      <c r="AS36" s="85">
        <v>0</v>
      </c>
      <c r="AT36" s="85">
        <v>0</v>
      </c>
      <c r="AU36" s="85">
        <v>0</v>
      </c>
      <c r="AV36" s="85">
        <v>0</v>
      </c>
      <c r="AW36" s="85">
        <v>0</v>
      </c>
      <c r="AX36" s="85">
        <v>0</v>
      </c>
      <c r="AY36" s="85">
        <v>0</v>
      </c>
      <c r="AZ36" s="85">
        <v>0</v>
      </c>
      <c r="BA36" s="85">
        <v>12.788703103262799</v>
      </c>
      <c r="BB36" s="85">
        <v>0.47864744631413297</v>
      </c>
      <c r="BC36" s="85">
        <v>8.9938853831253809</v>
      </c>
      <c r="BD36" s="85">
        <v>1.8774269305645399</v>
      </c>
    </row>
    <row r="37" spans="1:56" ht="11.25" customHeight="1" x14ac:dyDescent="0.25">
      <c r="A37" s="119"/>
      <c r="B37" s="119" t="s">
        <v>23</v>
      </c>
      <c r="C37" s="119" t="s">
        <v>25</v>
      </c>
      <c r="D37" s="119" t="s">
        <v>25</v>
      </c>
      <c r="E37" s="119" t="s">
        <v>25</v>
      </c>
      <c r="F37" s="119" t="s">
        <v>25</v>
      </c>
      <c r="G37" s="21" t="s">
        <v>9</v>
      </c>
      <c r="H37" s="21" t="s">
        <v>91</v>
      </c>
      <c r="I37" s="21">
        <f>'MERCADO TUSD'!$U$34</f>
        <v>0</v>
      </c>
      <c r="J37" s="17"/>
      <c r="L37" s="85">
        <f>('TUSD BE'!$L$37+'TUSD BF'!$L$37+'TUSD CVA'!$L$37)*1</f>
        <v>0</v>
      </c>
      <c r="M37" s="85">
        <f>('TUSD BE'!$M$37+'TUSD BF'!$M$37+'TUSD CVA'!$M$37)*1</f>
        <v>0</v>
      </c>
      <c r="N37" s="85">
        <f ca="1">('TUSD BE'!$N$37+'TUSD BF'!$N$37+'TUSD CVA'!$N$37)*1</f>
        <v>0</v>
      </c>
      <c r="O37" s="85">
        <f>('TUSD BE'!$O$37+'TUSD BF'!$O$37+'TUSD CVA'!$O$37)*1</f>
        <v>0</v>
      </c>
      <c r="P37" s="85">
        <f>('TUSD BE'!$P$37+'TUSD BF'!$P$37+'TUSD CVA'!$P$37)*1</f>
        <v>0</v>
      </c>
      <c r="Q37" s="85">
        <f>('TUSD BE'!$Q$37+'TUSD BF'!$Q$37+'TUSD CVA'!$Q$37)*1</f>
        <v>0</v>
      </c>
      <c r="R37" s="85">
        <f>('TUSD BE'!$R$37+'TUSD BF'!$R$37+'TUSD CVA'!$R$37)*1</f>
        <v>0</v>
      </c>
      <c r="S37" s="85">
        <f>('TUSD BE'!$S$37+'TUSD BF'!$S$37+'TUSD CVA'!$S$37)*1</f>
        <v>0</v>
      </c>
      <c r="T37" s="85">
        <f>('TUSD BE'!$U$37+'TUSD BF'!$U$37+'TUSD CVA'!$U$37)*1</f>
        <v>11.111263588715282</v>
      </c>
      <c r="U37" s="85">
        <f>('TUSD BE'!$V$37+'TUSD BF'!$V$37+'TUSD CVA'!$V$37)*1</f>
        <v>3.0749497639823908</v>
      </c>
      <c r="V37" s="85">
        <f>('TUSD BE'!$W$37+'TUSD BF'!$W$37+'TUSD CVA'!$W$37)*1</f>
        <v>0.37265087287139087</v>
      </c>
      <c r="W37" s="85">
        <f>('TUSD BE'!$X$37+'TUSD BF'!$X$37+'TUSD CVA'!$X$37)*1</f>
        <v>0</v>
      </c>
      <c r="X37" s="85">
        <f>('TUSD BE'!$Y$37+'TUSD BF'!$Y$37+'TUSD CVA'!$Y$37)*1</f>
        <v>0</v>
      </c>
      <c r="Y37" s="85">
        <f>('TUSD BE'!$Z$37+'TUSD BF'!$Z$37+'TUSD CVA'!$Z$37)*1</f>
        <v>0</v>
      </c>
      <c r="Z37" s="85">
        <f>('TUSD BE'!$AA$37+'TUSD BF'!$AA$37+'TUSD CVA'!$AA$37)*1</f>
        <v>0</v>
      </c>
      <c r="AA37" s="85">
        <f>('TUSD BE'!$AC$37+'TUSD BF'!$AC$37+'TUSD CVA'!$AC$37)*1</f>
        <v>16.48944614073158</v>
      </c>
      <c r="AB37" s="85">
        <f ca="1">('TUSD BE'!$AE$37+'TUSD BF'!$AE$37+'TUSD CVA'!$AE$37)*1</f>
        <v>0</v>
      </c>
      <c r="AC37" s="85">
        <f ca="1">('TUSD BE'!$AF$37+'TUSD BF'!$AF$37+'TUSD CVA'!$AF$37)*1</f>
        <v>0</v>
      </c>
      <c r="AD37" s="85">
        <f>('TUSD BE'!$AH$37+'TUSD BF'!$AH$37+'TUSD CVA'!$AH$37)*1</f>
        <v>0</v>
      </c>
      <c r="AE37" s="85">
        <f>('TUSD BE'!$AI$37+'TUSD BF'!$AI$37+'TUSD CVA'!$AI$37)*1</f>
        <v>0</v>
      </c>
      <c r="AF37" s="85">
        <f ca="1">('TUSD BE'!$AJ$37+'TUSD BF'!$AJ$37+'TUSD CVA'!$AJ$37)*1</f>
        <v>0</v>
      </c>
      <c r="AG37" s="85">
        <f ca="1">('TUSD BE'!$AK$37+'TUSD BF'!$AK$37+'TUSD CVA'!$AK$37)*1</f>
        <v>0</v>
      </c>
      <c r="AI37" s="85">
        <v>0</v>
      </c>
      <c r="AJ37" s="85">
        <v>0</v>
      </c>
      <c r="AK37" s="85">
        <v>0</v>
      </c>
      <c r="AL37" s="85">
        <v>0</v>
      </c>
      <c r="AM37" s="85">
        <v>0</v>
      </c>
      <c r="AN37" s="85">
        <v>0</v>
      </c>
      <c r="AO37" s="85">
        <v>0</v>
      </c>
      <c r="AP37" s="85">
        <v>0</v>
      </c>
      <c r="AQ37" s="85">
        <v>0</v>
      </c>
      <c r="AR37" s="85">
        <v>0</v>
      </c>
      <c r="AS37" s="85">
        <v>0</v>
      </c>
      <c r="AT37" s="85">
        <v>0</v>
      </c>
      <c r="AU37" s="85">
        <v>0</v>
      </c>
      <c r="AV37" s="85">
        <v>0</v>
      </c>
      <c r="AW37" s="85">
        <v>0</v>
      </c>
      <c r="AX37" s="85">
        <v>0</v>
      </c>
      <c r="AY37" s="85">
        <v>0</v>
      </c>
      <c r="AZ37" s="85">
        <v>0</v>
      </c>
      <c r="BA37" s="85">
        <v>0</v>
      </c>
      <c r="BB37" s="85">
        <v>0</v>
      </c>
      <c r="BC37" s="85">
        <v>0</v>
      </c>
      <c r="BD37" s="85">
        <v>0</v>
      </c>
    </row>
    <row r="38" spans="1:56" ht="11.25" customHeight="1" x14ac:dyDescent="0.25">
      <c r="A38" s="119"/>
      <c r="B38" s="119"/>
      <c r="C38" s="119"/>
      <c r="D38" s="119"/>
      <c r="E38" s="119"/>
      <c r="F38" s="119"/>
      <c r="G38" s="21" t="s">
        <v>94</v>
      </c>
      <c r="H38" s="21" t="s">
        <v>88</v>
      </c>
      <c r="I38" s="21">
        <f>'MERCADO TUSD'!$U$35</f>
        <v>0</v>
      </c>
      <c r="J38" s="17"/>
      <c r="L38" s="85">
        <f>('TUSD BE'!$L$38+'TUSD BF'!$L$38+'TUSD CVA'!$L$38)*1</f>
        <v>0</v>
      </c>
      <c r="M38" s="85">
        <f>('TUSD BE'!$M$38+'TUSD BF'!$M$38+'TUSD CVA'!$M$38)*1</f>
        <v>0.20302245705599098</v>
      </c>
      <c r="N38" s="85">
        <f ca="1">('TUSD BE'!$N$38+'TUSD BF'!$N$38+'TUSD CVA'!$N$38)*1</f>
        <v>0.47127887140767033</v>
      </c>
      <c r="O38" s="85">
        <f>('TUSD BE'!$O$38+'TUSD BF'!$O$38+'TUSD CVA'!$O$38)*1</f>
        <v>0</v>
      </c>
      <c r="P38" s="85">
        <f>('TUSD BE'!$P$38+'TUSD BF'!$P$38+'TUSD CVA'!$P$38)*1</f>
        <v>0</v>
      </c>
      <c r="Q38" s="85">
        <f>('TUSD BE'!$Q$38+'TUSD BF'!$Q$38+'TUSD CVA'!$Q$38)*1</f>
        <v>59.069180056669261</v>
      </c>
      <c r="R38" s="85">
        <f>('TUSD BE'!$R$38+'TUSD BF'!$R$38+'TUSD CVA'!$R$38)*1</f>
        <v>6.9769367212194551</v>
      </c>
      <c r="S38" s="85">
        <f>('TUSD BE'!$S$38+'TUSD BF'!$S$38+'TUSD CVA'!$S$38)*1</f>
        <v>0</v>
      </c>
      <c r="T38" s="85">
        <f>('TUSD BE'!$U$38+'TUSD BF'!$U$38+'TUSD CVA'!$U$38)*1</f>
        <v>0</v>
      </c>
      <c r="U38" s="85">
        <f>('TUSD BE'!$V$38+'TUSD BF'!$V$38+'TUSD CVA'!$V$38)*1</f>
        <v>0</v>
      </c>
      <c r="V38" s="85">
        <f>('TUSD BE'!$W$38+'TUSD BF'!$W$38+'TUSD CVA'!$W$38)*1</f>
        <v>0</v>
      </c>
      <c r="W38" s="85">
        <f>('TUSD BE'!$X$38+'TUSD BF'!$X$38+'TUSD CVA'!$X$38)*1</f>
        <v>0</v>
      </c>
      <c r="X38" s="85">
        <f>('TUSD BE'!$Y$38+'TUSD BF'!$Y$38+'TUSD CVA'!$Y$38)*1</f>
        <v>0</v>
      </c>
      <c r="Y38" s="85">
        <f>('TUSD BE'!$Z$38+'TUSD BF'!$Z$38+'TUSD CVA'!$Z$38)*1</f>
        <v>0</v>
      </c>
      <c r="Z38" s="85">
        <f>('TUSD BE'!$AA$38+'TUSD BF'!$AA$38+'TUSD CVA'!$AA$38)*1</f>
        <v>0</v>
      </c>
      <c r="AA38" s="85">
        <f>('TUSD BE'!$AC$38+'TUSD BF'!$AC$38+'TUSD CVA'!$AC$38)*1</f>
        <v>0</v>
      </c>
      <c r="AB38" s="85">
        <f ca="1">('TUSD BE'!$AE$38+'TUSD BF'!$AE$38+'TUSD CVA'!$AE$38)*1</f>
        <v>0</v>
      </c>
      <c r="AC38" s="85">
        <f ca="1">('TUSD BE'!$AF$38+'TUSD BF'!$AF$38+'TUSD CVA'!$AF$38)*1</f>
        <v>0</v>
      </c>
      <c r="AD38" s="85">
        <f>('TUSD BE'!$AH$38+'TUSD BF'!$AH$38+'TUSD CVA'!$AH$38)*1</f>
        <v>10.615669063205225</v>
      </c>
      <c r="AE38" s="85">
        <f>('TUSD BE'!$AI$38+'TUSD BF'!$AI$38+'TUSD CVA'!$AI$38)*1</f>
        <v>0.39902543623336034</v>
      </c>
      <c r="AF38" s="85">
        <f ca="1">('TUSD BE'!$AJ$38+'TUSD BF'!$AJ$38+'TUSD CVA'!$AJ$38)*1</f>
        <v>7.7836030845026025</v>
      </c>
      <c r="AG38" s="85">
        <f ca="1">('TUSD BE'!$AK$38+'TUSD BF'!$AK$38+'TUSD CVA'!$AK$38)*1</f>
        <v>2.0006462749611242</v>
      </c>
      <c r="AI38" s="85">
        <v>0</v>
      </c>
      <c r="AJ38" s="85">
        <v>0</v>
      </c>
      <c r="AK38" s="85">
        <v>0</v>
      </c>
      <c r="AL38" s="85">
        <v>0</v>
      </c>
      <c r="AM38" s="85">
        <v>0</v>
      </c>
      <c r="AN38" s="85">
        <v>0</v>
      </c>
      <c r="AO38" s="85">
        <v>0</v>
      </c>
      <c r="AP38" s="85">
        <v>0</v>
      </c>
      <c r="AQ38" s="85">
        <v>0</v>
      </c>
      <c r="AR38" s="85">
        <v>0</v>
      </c>
      <c r="AS38" s="85">
        <v>0</v>
      </c>
      <c r="AT38" s="85">
        <v>0</v>
      </c>
      <c r="AU38" s="85">
        <v>0</v>
      </c>
      <c r="AV38" s="85">
        <v>0</v>
      </c>
      <c r="AW38" s="85">
        <v>0</v>
      </c>
      <c r="AX38" s="85">
        <v>0</v>
      </c>
      <c r="AY38" s="85">
        <v>0</v>
      </c>
      <c r="AZ38" s="85">
        <v>0</v>
      </c>
      <c r="BA38" s="85">
        <v>0</v>
      </c>
      <c r="BB38" s="85">
        <v>0</v>
      </c>
      <c r="BC38" s="85">
        <v>0</v>
      </c>
      <c r="BD38" s="85">
        <v>0</v>
      </c>
    </row>
    <row r="39" spans="1:56" ht="11.25" customHeight="1" x14ac:dyDescent="0.25">
      <c r="A39" s="119" t="s">
        <v>44</v>
      </c>
      <c r="B39" s="119" t="s">
        <v>41</v>
      </c>
      <c r="C39" s="119" t="s">
        <v>25</v>
      </c>
      <c r="D39" s="119" t="s">
        <v>25</v>
      </c>
      <c r="E39" s="119" t="s">
        <v>25</v>
      </c>
      <c r="F39" s="119" t="s">
        <v>25</v>
      </c>
      <c r="G39" s="21" t="s">
        <v>92</v>
      </c>
      <c r="H39" s="21" t="s">
        <v>91</v>
      </c>
      <c r="I39" s="21">
        <f>'MERCADO TUSD'!$U$36</f>
        <v>530511</v>
      </c>
      <c r="J39" s="17"/>
      <c r="L39" s="85">
        <f>('TUSD BE'!$L$39+'TUSD BF'!$L$39+'TUSD CVA'!$L$39)*1</f>
        <v>0</v>
      </c>
      <c r="M39" s="85">
        <f>('TUSD BE'!$M$39+'TUSD BF'!$M$39+'TUSD CVA'!$M$39)*1</f>
        <v>0</v>
      </c>
      <c r="N39" s="85">
        <f ca="1">('TUSD BE'!$N$39+'TUSD BF'!$N$39+'TUSD CVA'!$N$39)*1</f>
        <v>0</v>
      </c>
      <c r="O39" s="85">
        <f>('TUSD BE'!$O$39+'TUSD BF'!$O$39+'TUSD CVA'!$O$39)*1</f>
        <v>0</v>
      </c>
      <c r="P39" s="85">
        <f>('TUSD BE'!$P$39+'TUSD BF'!$P$39+'TUSD CVA'!$P$39)*1</f>
        <v>0</v>
      </c>
      <c r="Q39" s="85">
        <f>('TUSD BE'!$Q$39+'TUSD BF'!$Q$39+'TUSD CVA'!$Q$39)*1</f>
        <v>0</v>
      </c>
      <c r="R39" s="85">
        <f>('TUSD BE'!$R$39+'TUSD BF'!$R$39+'TUSD CVA'!$R$39)*1</f>
        <v>0</v>
      </c>
      <c r="S39" s="85">
        <f>('TUSD BE'!$S$39+'TUSD BF'!$S$39+'TUSD CVA'!$S$39)*1</f>
        <v>0</v>
      </c>
      <c r="T39" s="85">
        <f>('TUSD BE'!$U$39+'TUSD BF'!$U$39+'TUSD CVA'!$U$39)*1</f>
        <v>9.0101747498892824</v>
      </c>
      <c r="U39" s="85">
        <f>('TUSD BE'!$V$39+'TUSD BF'!$V$39+'TUSD CVA'!$V$39)*1</f>
        <v>2.3930856073730502</v>
      </c>
      <c r="V39" s="85">
        <f>('TUSD BE'!$W$39+'TUSD BF'!$W$39+'TUSD CVA'!$W$39)*1</f>
        <v>0.30554975106818222</v>
      </c>
      <c r="W39" s="85">
        <f>('TUSD BE'!$X$39+'TUSD BF'!$X$39+'TUSD CVA'!$X$39)*1</f>
        <v>0</v>
      </c>
      <c r="X39" s="85">
        <f>('TUSD BE'!$Y$39+'TUSD BF'!$Y$39+'TUSD CVA'!$Y$39)*1</f>
        <v>0</v>
      </c>
      <c r="Y39" s="85">
        <f>('TUSD BE'!$Z$39+'TUSD BF'!$Z$39+'TUSD CVA'!$Z$39)*1</f>
        <v>0</v>
      </c>
      <c r="Z39" s="85">
        <f>('TUSD BE'!$AA$39+'TUSD BF'!$AA$39+'TUSD CVA'!$AA$39)*1</f>
        <v>0</v>
      </c>
      <c r="AA39" s="85">
        <f>('TUSD BE'!$AC$39+'TUSD BF'!$AC$39+'TUSD CVA'!$AC$39)*1</f>
        <v>37.379684655100263</v>
      </c>
      <c r="AB39" s="85">
        <f ca="1">('TUSD BE'!$AE$39+'TUSD BF'!$AE$39+'TUSD CVA'!$AE$39)*1</f>
        <v>0</v>
      </c>
      <c r="AC39" s="85">
        <f ca="1">('TUSD BE'!$AF$39+'TUSD BF'!$AF$39+'TUSD CVA'!$AF$39)*1</f>
        <v>0</v>
      </c>
      <c r="AD39" s="85">
        <f>('TUSD BE'!$AH$39+'TUSD BF'!$AH$39+'TUSD CVA'!$AH$39)*1</f>
        <v>0</v>
      </c>
      <c r="AE39" s="85">
        <f>('TUSD BE'!$AI$39+'TUSD BF'!$AI$39+'TUSD CVA'!$AI$39)*1</f>
        <v>0</v>
      </c>
      <c r="AF39" s="85">
        <f ca="1">('TUSD BE'!$AJ$39+'TUSD BF'!$AJ$39+'TUSD CVA'!$AJ$39)*1</f>
        <v>0</v>
      </c>
      <c r="AG39" s="85">
        <f ca="1">('TUSD BE'!$AK$39+'TUSD BF'!$AK$39+'TUSD CVA'!$AK$39)*1</f>
        <v>0</v>
      </c>
      <c r="AI39" s="85">
        <v>0</v>
      </c>
      <c r="AJ39" s="85">
        <v>0</v>
      </c>
      <c r="AK39" s="85">
        <v>0</v>
      </c>
      <c r="AL39" s="85">
        <v>0</v>
      </c>
      <c r="AM39" s="85">
        <v>0</v>
      </c>
      <c r="AN39" s="85">
        <v>0</v>
      </c>
      <c r="AO39" s="85">
        <v>0</v>
      </c>
      <c r="AP39" s="85">
        <v>0</v>
      </c>
      <c r="AQ39" s="85">
        <v>5.6836292293075497</v>
      </c>
      <c r="AR39" s="85">
        <v>1.6177680206327201</v>
      </c>
      <c r="AS39" s="85">
        <v>0.19810797274220901</v>
      </c>
      <c r="AT39" s="85">
        <v>0</v>
      </c>
      <c r="AU39" s="85">
        <v>0</v>
      </c>
      <c r="AV39" s="85">
        <v>0</v>
      </c>
      <c r="AW39" s="85">
        <v>0</v>
      </c>
      <c r="AX39" s="85">
        <v>36.25920590986</v>
      </c>
      <c r="AY39" s="85">
        <v>0</v>
      </c>
      <c r="AZ39" s="85">
        <v>0</v>
      </c>
      <c r="BA39" s="85">
        <v>0</v>
      </c>
      <c r="BB39" s="85">
        <v>0</v>
      </c>
      <c r="BC39" s="85">
        <v>0</v>
      </c>
      <c r="BD39" s="85">
        <v>0</v>
      </c>
    </row>
    <row r="40" spans="1:56" ht="11.25" customHeight="1" x14ac:dyDescent="0.25">
      <c r="A40" s="119"/>
      <c r="B40" s="119"/>
      <c r="C40" s="119"/>
      <c r="D40" s="119"/>
      <c r="E40" s="119"/>
      <c r="F40" s="119"/>
      <c r="G40" s="21" t="s">
        <v>93</v>
      </c>
      <c r="H40" s="21" t="s">
        <v>91</v>
      </c>
      <c r="I40" s="21">
        <f>'MERCADO TUSD'!$U$37</f>
        <v>592907</v>
      </c>
      <c r="J40" s="17"/>
      <c r="L40" s="85">
        <f>('TUSD BE'!$L$40+'TUSD BF'!$L$40+'TUSD CVA'!$L$40)*1</f>
        <v>0</v>
      </c>
      <c r="M40" s="85">
        <f>('TUSD BE'!$M$40+'TUSD BF'!$M$40+'TUSD CVA'!$M$40)*1</f>
        <v>0</v>
      </c>
      <c r="N40" s="85">
        <f ca="1">('TUSD BE'!$N$40+'TUSD BF'!$N$40+'TUSD CVA'!$N$40)*1</f>
        <v>0</v>
      </c>
      <c r="O40" s="85">
        <f>('TUSD BE'!$O$40+'TUSD BF'!$O$40+'TUSD CVA'!$O$40)*1</f>
        <v>0</v>
      </c>
      <c r="P40" s="85">
        <f>('TUSD BE'!$P$40+'TUSD BF'!$P$40+'TUSD CVA'!$P$40)*1</f>
        <v>0</v>
      </c>
      <c r="Q40" s="85">
        <f>('TUSD BE'!$Q$40+'TUSD BF'!$Q$40+'TUSD CVA'!$Q$40)*1</f>
        <v>0</v>
      </c>
      <c r="R40" s="85">
        <f>('TUSD BE'!$R$40+'TUSD BF'!$R$40+'TUSD CVA'!$R$40)*1</f>
        <v>0</v>
      </c>
      <c r="S40" s="85">
        <f>('TUSD BE'!$S$40+'TUSD BF'!$S$40+'TUSD CVA'!$S$40)*1</f>
        <v>0</v>
      </c>
      <c r="T40" s="85">
        <f>('TUSD BE'!$U$40+'TUSD BF'!$U$40+'TUSD CVA'!$U$40)*1</f>
        <v>7.6456106766486345</v>
      </c>
      <c r="U40" s="85">
        <f>('TUSD BE'!$V$40+'TUSD BF'!$V$40+'TUSD CVA'!$V$40)*1</f>
        <v>2.0825288033293097</v>
      </c>
      <c r="V40" s="85">
        <f>('TUSD BE'!$W$40+'TUSD BF'!$W$40+'TUSD CVA'!$W$40)*1</f>
        <v>0.23605216062914469</v>
      </c>
      <c r="W40" s="85">
        <f>('TUSD BE'!$X$40+'TUSD BF'!$X$40+'TUSD CVA'!$X$40)*1</f>
        <v>0</v>
      </c>
      <c r="X40" s="85">
        <f>('TUSD BE'!$Y$40+'TUSD BF'!$Y$40+'TUSD CVA'!$Y$40)*1</f>
        <v>0</v>
      </c>
      <c r="Y40" s="85">
        <f>('TUSD BE'!$Z$40+'TUSD BF'!$Z$40+'TUSD CVA'!$Z$40)*1</f>
        <v>0</v>
      </c>
      <c r="Z40" s="85">
        <f>('TUSD BE'!$AA$40+'TUSD BF'!$AA$40+'TUSD CVA'!$AA$40)*1</f>
        <v>0</v>
      </c>
      <c r="AA40" s="85">
        <f>('TUSD BE'!$AC$40+'TUSD BF'!$AC$40+'TUSD CVA'!$AC$40)*1</f>
        <v>6.0363438211410596</v>
      </c>
      <c r="AB40" s="85">
        <f ca="1">('TUSD BE'!$AE$40+'TUSD BF'!$AE$40+'TUSD CVA'!$AE$40)*1</f>
        <v>0</v>
      </c>
      <c r="AC40" s="85">
        <f ca="1">('TUSD BE'!$AF$40+'TUSD BF'!$AF$40+'TUSD CVA'!$AF$40)*1</f>
        <v>0</v>
      </c>
      <c r="AD40" s="85">
        <f>('TUSD BE'!$AH$40+'TUSD BF'!$AH$40+'TUSD CVA'!$AH$40)*1</f>
        <v>0</v>
      </c>
      <c r="AE40" s="85">
        <f>('TUSD BE'!$AI$40+'TUSD BF'!$AI$40+'TUSD CVA'!$AI$40)*1</f>
        <v>0</v>
      </c>
      <c r="AF40" s="85">
        <f ca="1">('TUSD BE'!$AJ$40+'TUSD BF'!$AJ$40+'TUSD CVA'!$AJ$40)*1</f>
        <v>0</v>
      </c>
      <c r="AG40" s="85">
        <f ca="1">('TUSD BE'!$AK$40+'TUSD BF'!$AK$40+'TUSD CVA'!$AK$40)*1</f>
        <v>0</v>
      </c>
      <c r="AI40" s="85">
        <v>0</v>
      </c>
      <c r="AJ40" s="85">
        <v>0</v>
      </c>
      <c r="AK40" s="85">
        <v>0</v>
      </c>
      <c r="AL40" s="85">
        <v>0</v>
      </c>
      <c r="AM40" s="85">
        <v>0</v>
      </c>
      <c r="AN40" s="85">
        <v>0</v>
      </c>
      <c r="AO40" s="85">
        <v>0</v>
      </c>
      <c r="AP40" s="85">
        <v>0</v>
      </c>
      <c r="AQ40" s="85">
        <v>4.8228605464327998</v>
      </c>
      <c r="AR40" s="85">
        <v>1.40782615118018</v>
      </c>
      <c r="AS40" s="85">
        <v>0.153048120118491</v>
      </c>
      <c r="AT40" s="85">
        <v>0</v>
      </c>
      <c r="AU40" s="85">
        <v>0</v>
      </c>
      <c r="AV40" s="85">
        <v>0</v>
      </c>
      <c r="AW40" s="85">
        <v>0</v>
      </c>
      <c r="AX40" s="85">
        <v>5.8554007497117997</v>
      </c>
      <c r="AY40" s="85">
        <v>0</v>
      </c>
      <c r="AZ40" s="85">
        <v>0</v>
      </c>
      <c r="BA40" s="85">
        <v>0</v>
      </c>
      <c r="BB40" s="85">
        <v>0</v>
      </c>
      <c r="BC40" s="85">
        <v>0</v>
      </c>
      <c r="BD40" s="85">
        <v>0</v>
      </c>
    </row>
    <row r="41" spans="1:56" ht="11.25" customHeight="1" x14ac:dyDescent="0.25">
      <c r="A41" s="119"/>
      <c r="B41" s="119"/>
      <c r="C41" s="119"/>
      <c r="D41" s="119"/>
      <c r="E41" s="119"/>
      <c r="F41" s="119"/>
      <c r="G41" s="21" t="s">
        <v>94</v>
      </c>
      <c r="H41" s="21" t="s">
        <v>88</v>
      </c>
      <c r="I41" s="21">
        <f>'MERCADO TUSD'!$U$38</f>
        <v>203886.46</v>
      </c>
      <c r="J41" s="17"/>
      <c r="L41" s="85">
        <f>('TUSD BE'!$L$41+'TUSD BF'!$L$41+'TUSD CVA'!$L$41)*1</f>
        <v>0</v>
      </c>
      <c r="M41" s="85">
        <f>('TUSD BE'!$M$41+'TUSD BF'!$M$41+'TUSD CVA'!$M$41)*1</f>
        <v>0.42523736925614325</v>
      </c>
      <c r="N41" s="85">
        <f ca="1">('TUSD BE'!$N$41+'TUSD BF'!$N$41+'TUSD CVA'!$N$41)*1</f>
        <v>0.84776775163445306</v>
      </c>
      <c r="O41" s="85">
        <f>('TUSD BE'!$O$41+'TUSD BF'!$O$41+'TUSD CVA'!$O$41)*1</f>
        <v>0</v>
      </c>
      <c r="P41" s="85">
        <f>('TUSD BE'!$P$41+'TUSD BF'!$P$41+'TUSD CVA'!$P$41)*1</f>
        <v>0</v>
      </c>
      <c r="Q41" s="85">
        <f>('TUSD BE'!$Q$41+'TUSD BF'!$Q$41+'TUSD CVA'!$Q$41)*1</f>
        <v>66.369865232212661</v>
      </c>
      <c r="R41" s="85">
        <f>('TUSD BE'!$R$41+'TUSD BF'!$R$41+'TUSD CVA'!$R$41)*1</f>
        <v>6.9769367212194551</v>
      </c>
      <c r="S41" s="85">
        <f>('TUSD BE'!$S$41+'TUSD BF'!$S$41+'TUSD CVA'!$S$41)*1</f>
        <v>0</v>
      </c>
      <c r="T41" s="85">
        <f>('TUSD BE'!$U$41+'TUSD BF'!$U$41+'TUSD CVA'!$U$41)*1</f>
        <v>0</v>
      </c>
      <c r="U41" s="85">
        <f>('TUSD BE'!$V$41+'TUSD BF'!$V$41+'TUSD CVA'!$V$41)*1</f>
        <v>0</v>
      </c>
      <c r="V41" s="85">
        <f>('TUSD BE'!$W$41+'TUSD BF'!$W$41+'TUSD CVA'!$W$41)*1</f>
        <v>0</v>
      </c>
      <c r="W41" s="85">
        <f>('TUSD BE'!$X$41+'TUSD BF'!$X$41+'TUSD CVA'!$X$41)*1</f>
        <v>0</v>
      </c>
      <c r="X41" s="85">
        <f>('TUSD BE'!$Y$41+'TUSD BF'!$Y$41+'TUSD CVA'!$Y$41)*1</f>
        <v>0</v>
      </c>
      <c r="Y41" s="85">
        <f>('TUSD BE'!$Z$41+'TUSD BF'!$Z$41+'TUSD CVA'!$Z$41)*1</f>
        <v>0</v>
      </c>
      <c r="Z41" s="85">
        <f>('TUSD BE'!$AA$41+'TUSD BF'!$AA$41+'TUSD CVA'!$AA$41)*1</f>
        <v>0</v>
      </c>
      <c r="AA41" s="85">
        <f>('TUSD BE'!$AC$41+'TUSD BF'!$AC$41+'TUSD CVA'!$AC$41)*1</f>
        <v>0</v>
      </c>
      <c r="AB41" s="85">
        <f ca="1">('TUSD BE'!$AE$41+'TUSD BF'!$AE$41+'TUSD CVA'!$AE$41)*1</f>
        <v>0</v>
      </c>
      <c r="AC41" s="85">
        <f ca="1">('TUSD BE'!$AF$41+'TUSD BF'!$AF$41+'TUSD CVA'!$AF$41)*1</f>
        <v>0</v>
      </c>
      <c r="AD41" s="85">
        <f>('TUSD BE'!$AH$41+'TUSD BF'!$AH$41+'TUSD CVA'!$AH$41)*1</f>
        <v>22.355157533351314</v>
      </c>
      <c r="AE41" s="85">
        <f>('TUSD BE'!$AI$41+'TUSD BF'!$AI$41+'TUSD CVA'!$AI$41)*1</f>
        <v>0.8402933845902758</v>
      </c>
      <c r="AF41" s="85">
        <f ca="1">('TUSD BE'!$AJ$41+'TUSD BF'!$AJ$41+'TUSD CVA'!$AJ$41)*1</f>
        <v>12.063087868607393</v>
      </c>
      <c r="AG41" s="85">
        <f ca="1">('TUSD BE'!$AK$41+'TUSD BF'!$AK$41+'TUSD CVA'!$AK$41)*1</f>
        <v>3.1006169696537587</v>
      </c>
      <c r="AI41" s="85">
        <v>0</v>
      </c>
      <c r="AJ41" s="85">
        <v>0.408569656964689</v>
      </c>
      <c r="AK41" s="85">
        <v>0.83526527077142398</v>
      </c>
      <c r="AL41" s="85">
        <v>0</v>
      </c>
      <c r="AM41" s="85">
        <v>0</v>
      </c>
      <c r="AN41" s="85">
        <v>53.7518197634991</v>
      </c>
      <c r="AO41" s="85">
        <v>10.198150985874999</v>
      </c>
      <c r="AP41" s="85">
        <v>0</v>
      </c>
      <c r="AQ41" s="85">
        <v>0</v>
      </c>
      <c r="AR41" s="85">
        <v>0</v>
      </c>
      <c r="AS41" s="85">
        <v>0</v>
      </c>
      <c r="AT41" s="85">
        <v>0</v>
      </c>
      <c r="AU41" s="85">
        <v>0</v>
      </c>
      <c r="AV41" s="85">
        <v>0</v>
      </c>
      <c r="AW41" s="85">
        <v>0</v>
      </c>
      <c r="AX41" s="85">
        <v>0</v>
      </c>
      <c r="AY41" s="85">
        <v>0</v>
      </c>
      <c r="AZ41" s="85">
        <v>0</v>
      </c>
      <c r="BA41" s="85">
        <v>26.931272142952199</v>
      </c>
      <c r="BB41" s="85">
        <v>1.0079665258571999</v>
      </c>
      <c r="BC41" s="85">
        <v>13.744942375799001</v>
      </c>
      <c r="BD41" s="85">
        <v>2.8691854383422601</v>
      </c>
    </row>
    <row r="42" spans="1:56" ht="11.25" customHeight="1" x14ac:dyDescent="0.25">
      <c r="A42" s="119"/>
      <c r="B42" s="119"/>
      <c r="C42" s="119"/>
      <c r="D42" s="119"/>
      <c r="E42" s="87" t="s">
        <v>61</v>
      </c>
      <c r="F42" s="87" t="s">
        <v>25</v>
      </c>
      <c r="G42" s="21" t="s">
        <v>94</v>
      </c>
      <c r="H42" s="21" t="s">
        <v>88</v>
      </c>
      <c r="I42" s="21">
        <f>'MERCADO TUSD'!$U$39</f>
        <v>0</v>
      </c>
      <c r="J42" s="17"/>
      <c r="L42" s="85">
        <f>('TUSD BE'!$L$42+'TUSD BF'!$L$42+'TUSD CVA'!$L$42)*1</f>
        <v>0</v>
      </c>
      <c r="M42" s="85">
        <f>('TUSD BE'!$M$42+'TUSD BF'!$M$42+'TUSD CVA'!$M$42)*1</f>
        <v>0.42523736925614325</v>
      </c>
      <c r="N42" s="85">
        <f ca="1">('TUSD BE'!$N$42+'TUSD BF'!$N$42+'TUSD CVA'!$N$42)*1</f>
        <v>0.83329724837318175</v>
      </c>
      <c r="O42" s="85">
        <f>('TUSD BE'!$O$42+'TUSD BF'!$O$42+'TUSD CVA'!$O$42)*1</f>
        <v>0</v>
      </c>
      <c r="P42" s="85">
        <f>('TUSD BE'!$P$42+'TUSD BF'!$P$42+'TUSD CVA'!$P$42)*1</f>
        <v>0</v>
      </c>
      <c r="Q42" s="85">
        <f>('TUSD BE'!$Q$42+'TUSD BF'!$Q$42+'TUSD CVA'!$Q$42)*1</f>
        <v>0</v>
      </c>
      <c r="R42" s="85">
        <f>('TUSD BE'!$R$42+'TUSD BF'!$R$42+'TUSD CVA'!$R$42)*1</f>
        <v>0</v>
      </c>
      <c r="S42" s="85">
        <f>('TUSD BE'!$S$42+'TUSD BF'!$S$42+'TUSD CVA'!$S$42)*1</f>
        <v>0</v>
      </c>
      <c r="T42" s="85">
        <f>('TUSD BE'!$U$42+'TUSD BF'!$U$42+'TUSD CVA'!$U$42)*1</f>
        <v>0</v>
      </c>
      <c r="U42" s="85">
        <f>('TUSD BE'!$V$42+'TUSD BF'!$V$42+'TUSD CVA'!$V$42)*1</f>
        <v>0</v>
      </c>
      <c r="V42" s="85">
        <f>('TUSD BE'!$W$42+'TUSD BF'!$W$42+'TUSD CVA'!$W$42)*1</f>
        <v>0</v>
      </c>
      <c r="W42" s="85">
        <f>('TUSD BE'!$X$42+'TUSD BF'!$X$42+'TUSD CVA'!$X$42)*1</f>
        <v>0</v>
      </c>
      <c r="X42" s="85">
        <f>('TUSD BE'!$Y$42+'TUSD BF'!$Y$42+'TUSD CVA'!$Y$42)*1</f>
        <v>0</v>
      </c>
      <c r="Y42" s="85">
        <f>('TUSD BE'!$Z$42+'TUSD BF'!$Z$42+'TUSD CVA'!$Z$42)*1</f>
        <v>0</v>
      </c>
      <c r="Z42" s="85">
        <f>('TUSD BE'!$AA$42+'TUSD BF'!$AA$42+'TUSD CVA'!$AA$42)*1</f>
        <v>0</v>
      </c>
      <c r="AA42" s="85">
        <f>('TUSD BE'!$AC$42+'TUSD BF'!$AC$42+'TUSD CVA'!$AC$42)*1</f>
        <v>0</v>
      </c>
      <c r="AB42" s="85">
        <f ca="1">('TUSD BE'!$AE$42+'TUSD BF'!$AE$42+'TUSD CVA'!$AE$42)*1</f>
        <v>0</v>
      </c>
      <c r="AC42" s="85">
        <f ca="1">('TUSD BE'!$AF$42+'TUSD BF'!$AF$42+'TUSD CVA'!$AF$42)*1</f>
        <v>0</v>
      </c>
      <c r="AD42" s="85">
        <f>('TUSD BE'!$AH$42+'TUSD BF'!$AH$42+'TUSD CVA'!$AH$42)*1</f>
        <v>22.355157533351314</v>
      </c>
      <c r="AE42" s="85">
        <f>('TUSD BE'!$AI$42+'TUSD BF'!$AI$42+'TUSD CVA'!$AI$42)*1</f>
        <v>0.8402933845902758</v>
      </c>
      <c r="AF42" s="85">
        <f ca="1">('TUSD BE'!$AJ$42+'TUSD BF'!$AJ$42+'TUSD CVA'!$AJ$42)*1</f>
        <v>12.063087868607393</v>
      </c>
      <c r="AG42" s="85">
        <f ca="1">('TUSD BE'!$AK$42+'TUSD BF'!$AK$42+'TUSD CVA'!$AK$42)*1</f>
        <v>3.1006169696537587</v>
      </c>
      <c r="AI42" s="85">
        <v>0</v>
      </c>
      <c r="AJ42" s="85">
        <v>0.408569656964689</v>
      </c>
      <c r="AK42" s="85">
        <v>0.82016292450699801</v>
      </c>
      <c r="AL42" s="85">
        <v>0</v>
      </c>
      <c r="AM42" s="85">
        <v>0</v>
      </c>
      <c r="AN42" s="85">
        <v>0</v>
      </c>
      <c r="AO42" s="85">
        <v>0</v>
      </c>
      <c r="AP42" s="85">
        <v>0</v>
      </c>
      <c r="AQ42" s="85">
        <v>0</v>
      </c>
      <c r="AR42" s="85">
        <v>0</v>
      </c>
      <c r="AS42" s="85">
        <v>0</v>
      </c>
      <c r="AT42" s="85">
        <v>0</v>
      </c>
      <c r="AU42" s="85">
        <v>0</v>
      </c>
      <c r="AV42" s="85">
        <v>0</v>
      </c>
      <c r="AW42" s="85">
        <v>0</v>
      </c>
      <c r="AX42" s="85">
        <v>0</v>
      </c>
      <c r="AY42" s="85">
        <v>0</v>
      </c>
      <c r="AZ42" s="85">
        <v>0</v>
      </c>
      <c r="BA42" s="85">
        <v>26.931272142952199</v>
      </c>
      <c r="BB42" s="85">
        <v>1.0079665258571999</v>
      </c>
      <c r="BC42" s="85">
        <v>13.744942375799001</v>
      </c>
      <c r="BD42" s="85">
        <v>2.8691854383422601</v>
      </c>
    </row>
    <row r="43" spans="1:56" ht="11.25" customHeight="1" x14ac:dyDescent="0.25">
      <c r="A43" s="119"/>
      <c r="B43" s="119" t="s">
        <v>34</v>
      </c>
      <c r="C43" s="119" t="s">
        <v>25</v>
      </c>
      <c r="D43" s="119" t="s">
        <v>25</v>
      </c>
      <c r="E43" s="119" t="s">
        <v>25</v>
      </c>
      <c r="F43" s="119" t="s">
        <v>25</v>
      </c>
      <c r="G43" s="21" t="s">
        <v>9</v>
      </c>
      <c r="H43" s="21" t="s">
        <v>91</v>
      </c>
      <c r="I43" s="21">
        <f>'MERCADO TUSD'!$U$40</f>
        <v>1299737</v>
      </c>
      <c r="J43" s="17"/>
      <c r="L43" s="85">
        <f>('TUSD BE'!$L$43+'TUSD BF'!$L$43+'TUSD CVA'!$L$43)*1</f>
        <v>0</v>
      </c>
      <c r="M43" s="85">
        <f>('TUSD BE'!$M$43+'TUSD BF'!$M$43+'TUSD CVA'!$M$43)*1</f>
        <v>0</v>
      </c>
      <c r="N43" s="85">
        <f ca="1">('TUSD BE'!$N$43+'TUSD BF'!$N$43+'TUSD CVA'!$N$43)*1</f>
        <v>0</v>
      </c>
      <c r="O43" s="85">
        <f>('TUSD BE'!$O$43+'TUSD BF'!$O$43+'TUSD CVA'!$O$43)*1</f>
        <v>0</v>
      </c>
      <c r="P43" s="85">
        <f>('TUSD BE'!$P$43+'TUSD BF'!$P$43+'TUSD CVA'!$P$43)*1</f>
        <v>0</v>
      </c>
      <c r="Q43" s="85">
        <f>('TUSD BE'!$Q$43+'TUSD BF'!$Q$43+'TUSD CVA'!$Q$43)*1</f>
        <v>0</v>
      </c>
      <c r="R43" s="85">
        <f>('TUSD BE'!$R$43+'TUSD BF'!$R$43+'TUSD CVA'!$R$43)*1</f>
        <v>0</v>
      </c>
      <c r="S43" s="85">
        <f>('TUSD BE'!$S$43+'TUSD BF'!$S$43+'TUSD CVA'!$S$43)*1</f>
        <v>0</v>
      </c>
      <c r="T43" s="85">
        <f>('TUSD BE'!$U$43+'TUSD BF'!$U$43+'TUSD CVA'!$U$43)*1</f>
        <v>7.6456106766486345</v>
      </c>
      <c r="U43" s="85">
        <f>('TUSD BE'!$V$43+'TUSD BF'!$V$43+'TUSD CVA'!$V$43)*1</f>
        <v>2.0825288033293097</v>
      </c>
      <c r="V43" s="85">
        <f>('TUSD BE'!$W$43+'TUSD BF'!$W$43+'TUSD CVA'!$W$43)*1</f>
        <v>0.23605216062914469</v>
      </c>
      <c r="W43" s="85">
        <f>('TUSD BE'!$X$43+'TUSD BF'!$X$43+'TUSD CVA'!$X$43)*1</f>
        <v>0</v>
      </c>
      <c r="X43" s="85">
        <f>('TUSD BE'!$Y$43+'TUSD BF'!$Y$43+'TUSD CVA'!$Y$43)*1</f>
        <v>0</v>
      </c>
      <c r="Y43" s="85">
        <f>('TUSD BE'!$Z$43+'TUSD BF'!$Z$43+'TUSD CVA'!$Z$43)*1</f>
        <v>0</v>
      </c>
      <c r="Z43" s="85">
        <f>('TUSD BE'!$AA$43+'TUSD BF'!$AA$43+'TUSD CVA'!$AA$43)*1</f>
        <v>0</v>
      </c>
      <c r="AA43" s="85">
        <f>('TUSD BE'!$AC$43+'TUSD BF'!$AC$43+'TUSD CVA'!$AC$43)*1</f>
        <v>6.0363438211410596</v>
      </c>
      <c r="AB43" s="85">
        <f ca="1">('TUSD BE'!$AE$43+'TUSD BF'!$AE$43+'TUSD CVA'!$AE$43)*1</f>
        <v>0</v>
      </c>
      <c r="AC43" s="85">
        <f ca="1">('TUSD BE'!$AF$43+'TUSD BF'!$AF$43+'TUSD CVA'!$AF$43)*1</f>
        <v>0</v>
      </c>
      <c r="AD43" s="85">
        <f>('TUSD BE'!$AH$43+'TUSD BF'!$AH$43+'TUSD CVA'!$AH$43)*1</f>
        <v>0</v>
      </c>
      <c r="AE43" s="85">
        <f>('TUSD BE'!$AI$43+'TUSD BF'!$AI$43+'TUSD CVA'!$AI$43)*1</f>
        <v>0</v>
      </c>
      <c r="AF43" s="85">
        <f ca="1">('TUSD BE'!$AJ$43+'TUSD BF'!$AJ$43+'TUSD CVA'!$AJ$43)*1</f>
        <v>0</v>
      </c>
      <c r="AG43" s="85">
        <f ca="1">('TUSD BE'!$AK$43+'TUSD BF'!$AK$43+'TUSD CVA'!$AK$43)*1</f>
        <v>0</v>
      </c>
      <c r="AI43" s="85">
        <v>0</v>
      </c>
      <c r="AJ43" s="85">
        <v>0</v>
      </c>
      <c r="AK43" s="85">
        <v>0</v>
      </c>
      <c r="AL43" s="85">
        <v>0</v>
      </c>
      <c r="AM43" s="85">
        <v>0</v>
      </c>
      <c r="AN43" s="85">
        <v>0</v>
      </c>
      <c r="AO43" s="85">
        <v>0</v>
      </c>
      <c r="AP43" s="85">
        <v>0</v>
      </c>
      <c r="AQ43" s="85">
        <v>4.8228605464327998</v>
      </c>
      <c r="AR43" s="85">
        <v>1.40782615118018</v>
      </c>
      <c r="AS43" s="85">
        <v>0.153048120118491</v>
      </c>
      <c r="AT43" s="85">
        <v>0</v>
      </c>
      <c r="AU43" s="85">
        <v>0</v>
      </c>
      <c r="AV43" s="85">
        <v>0</v>
      </c>
      <c r="AW43" s="85">
        <v>0</v>
      </c>
      <c r="AX43" s="85">
        <v>5.8554007497117997</v>
      </c>
      <c r="AY43" s="85">
        <v>0</v>
      </c>
      <c r="AZ43" s="85">
        <v>0</v>
      </c>
      <c r="BA43" s="85">
        <v>0</v>
      </c>
      <c r="BB43" s="85">
        <v>0</v>
      </c>
      <c r="BC43" s="85">
        <v>0</v>
      </c>
      <c r="BD43" s="85">
        <v>0</v>
      </c>
    </row>
    <row r="44" spans="1:56" ht="11.25" customHeight="1" x14ac:dyDescent="0.25">
      <c r="A44" s="119"/>
      <c r="B44" s="119"/>
      <c r="C44" s="119"/>
      <c r="D44" s="119"/>
      <c r="E44" s="119"/>
      <c r="F44" s="119"/>
      <c r="G44" s="21" t="s">
        <v>89</v>
      </c>
      <c r="H44" s="21" t="s">
        <v>88</v>
      </c>
      <c r="I44" s="21">
        <f>'MERCADO TUSD'!$U$41</f>
        <v>23575.552999999993</v>
      </c>
      <c r="J44" s="17"/>
      <c r="L44" s="85">
        <f>('TUSD BE'!$L$44+'TUSD BF'!$L$44+'TUSD CVA'!$L$44)*1</f>
        <v>0</v>
      </c>
      <c r="M44" s="85">
        <f>('TUSD BE'!$M$44+'TUSD BF'!$M$44+'TUSD CVA'!$M$44)*1</f>
        <v>0.42523736925614325</v>
      </c>
      <c r="N44" s="85">
        <f ca="1">('TUSD BE'!$N$44+'TUSD BF'!$N$44+'TUSD CVA'!$N$44)*1</f>
        <v>12.842006142320718</v>
      </c>
      <c r="O44" s="85">
        <f>('TUSD BE'!$O$44+'TUSD BF'!$O$44+'TUSD CVA'!$O$44)*1</f>
        <v>0</v>
      </c>
      <c r="P44" s="85">
        <f>('TUSD BE'!$P$44+'TUSD BF'!$P$44+'TUSD CVA'!$P$44)*1</f>
        <v>0</v>
      </c>
      <c r="Q44" s="85">
        <f>('TUSD BE'!$Q$44+'TUSD BF'!$Q$44+'TUSD CVA'!$Q$44)*1</f>
        <v>66.369865232212661</v>
      </c>
      <c r="R44" s="85">
        <f>('TUSD BE'!$R$44+'TUSD BF'!$R$44+'TUSD CVA'!$R$44)*1</f>
        <v>6.9769367212194551</v>
      </c>
      <c r="S44" s="85">
        <f>('TUSD BE'!$S$44+'TUSD BF'!$S$44+'TUSD CVA'!$S$44)*1</f>
        <v>0</v>
      </c>
      <c r="T44" s="85">
        <f>('TUSD BE'!$U$44+'TUSD BF'!$U$44+'TUSD CVA'!$U$44)*1</f>
        <v>216.68728520503299</v>
      </c>
      <c r="U44" s="85">
        <f>('TUSD BE'!$V$44+'TUSD BF'!$V$44+'TUSD CVA'!$V$44)*1</f>
        <v>57.557013687161444</v>
      </c>
      <c r="V44" s="85">
        <f>('TUSD BE'!$W$44+'TUSD BF'!$W$44+'TUSD CVA'!$W$44)*1</f>
        <v>7.3487710717692609</v>
      </c>
      <c r="W44" s="85">
        <f>('TUSD BE'!$X$44+'TUSD BF'!$X$44+'TUSD CVA'!$X$44)*1</f>
        <v>0</v>
      </c>
      <c r="X44" s="85">
        <f>('TUSD BE'!$Y$44+'TUSD BF'!$Y$44+'TUSD CVA'!$Y$44)*1</f>
        <v>0</v>
      </c>
      <c r="Y44" s="85">
        <f>('TUSD BE'!$Z$44+'TUSD BF'!$Z$44+'TUSD CVA'!$Z$44)*1</f>
        <v>0</v>
      </c>
      <c r="Z44" s="85">
        <f>('TUSD BE'!$AA$44+'TUSD BF'!$AA$44+'TUSD CVA'!$AA$44)*1</f>
        <v>0</v>
      </c>
      <c r="AA44" s="85">
        <f>('TUSD BE'!$AC$44+'TUSD BF'!$AC$44+'TUSD CVA'!$AC$44)*1</f>
        <v>898.98345479484078</v>
      </c>
      <c r="AB44" s="85">
        <f ca="1">('TUSD BE'!$AE$44+'TUSD BF'!$AE$44+'TUSD CVA'!$AE$44)*1</f>
        <v>0</v>
      </c>
      <c r="AC44" s="85">
        <f ca="1">('TUSD BE'!$AF$44+'TUSD BF'!$AF$44+'TUSD CVA'!$AF$44)*1</f>
        <v>0</v>
      </c>
      <c r="AD44" s="85">
        <f>('TUSD BE'!$AH$44+'TUSD BF'!$AH$44+'TUSD CVA'!$AH$44)*1</f>
        <v>22.355157533351314</v>
      </c>
      <c r="AE44" s="85">
        <f>('TUSD BE'!$AI$44+'TUSD BF'!$AI$44+'TUSD CVA'!$AI$44)*1</f>
        <v>0.8402933845902758</v>
      </c>
      <c r="AF44" s="85">
        <f ca="1">('TUSD BE'!$AJ$44+'TUSD BF'!$AJ$44+'TUSD CVA'!$AJ$44)*1</f>
        <v>12.063087868607393</v>
      </c>
      <c r="AG44" s="85">
        <f ca="1">('TUSD BE'!$AK$44+'TUSD BF'!$AK$44+'TUSD CVA'!$AK$44)*1</f>
        <v>3.1006169696537587</v>
      </c>
      <c r="AI44" s="85">
        <v>0</v>
      </c>
      <c r="AJ44" s="85">
        <v>0.408569656964689</v>
      </c>
      <c r="AK44" s="85">
        <v>13.3532225306973</v>
      </c>
      <c r="AL44" s="85">
        <v>0</v>
      </c>
      <c r="AM44" s="85">
        <v>0</v>
      </c>
      <c r="AN44" s="85">
        <v>53.7518197634991</v>
      </c>
      <c r="AO44" s="85">
        <v>10.198150985874999</v>
      </c>
      <c r="AP44" s="85">
        <v>0</v>
      </c>
      <c r="AQ44" s="85">
        <v>136.686603977993</v>
      </c>
      <c r="AR44" s="85">
        <v>38.909555019397402</v>
      </c>
      <c r="AS44" s="85">
        <v>4.76469096795282</v>
      </c>
      <c r="AT44" s="85">
        <v>0</v>
      </c>
      <c r="AU44" s="85">
        <v>0</v>
      </c>
      <c r="AV44" s="85">
        <v>0</v>
      </c>
      <c r="AW44" s="85">
        <v>0</v>
      </c>
      <c r="AX44" s="85">
        <v>872.035879856355</v>
      </c>
      <c r="AY44" s="85">
        <v>0</v>
      </c>
      <c r="AZ44" s="85">
        <v>0</v>
      </c>
      <c r="BA44" s="85">
        <v>26.931272142952199</v>
      </c>
      <c r="BB44" s="85">
        <v>1.0079665258571999</v>
      </c>
      <c r="BC44" s="85">
        <v>13.744942375799001</v>
      </c>
      <c r="BD44" s="85">
        <v>2.8691854383422601</v>
      </c>
    </row>
    <row r="45" spans="1:56" ht="11.25" customHeight="1" x14ac:dyDescent="0.25">
      <c r="A45" s="119"/>
      <c r="B45" s="119"/>
      <c r="C45" s="119"/>
      <c r="D45" s="119"/>
      <c r="E45" s="119"/>
      <c r="F45" s="119"/>
      <c r="G45" s="21" t="s">
        <v>90</v>
      </c>
      <c r="H45" s="21" t="s">
        <v>88</v>
      </c>
      <c r="I45" s="21">
        <f>'MERCADO TUSD'!$U$42</f>
        <v>231444.989</v>
      </c>
      <c r="J45" s="17"/>
      <c r="L45" s="85">
        <f>('TUSD BE'!$L$45+'TUSD BF'!$L$45+'TUSD CVA'!$L$45)*1</f>
        <v>0</v>
      </c>
      <c r="M45" s="85">
        <f>('TUSD BE'!$M$45+'TUSD BF'!$M$45+'TUSD CVA'!$M$45)*1</f>
        <v>0.42523736925614325</v>
      </c>
      <c r="N45" s="85">
        <f ca="1">('TUSD BE'!$N$45+'TUSD BF'!$N$45+'TUSD CVA'!$N$45)*1</f>
        <v>0.84776775163445306</v>
      </c>
      <c r="O45" s="85">
        <f>('TUSD BE'!$O$45+'TUSD BF'!$O$45+'TUSD CVA'!$O$45)*1</f>
        <v>0</v>
      </c>
      <c r="P45" s="85">
        <f>('TUSD BE'!$P$45+'TUSD BF'!$P$45+'TUSD CVA'!$P$45)*1</f>
        <v>0</v>
      </c>
      <c r="Q45" s="85">
        <f>('TUSD BE'!$Q$45+'TUSD BF'!$Q$45+'TUSD CVA'!$Q$45)*1</f>
        <v>66.369865232212661</v>
      </c>
      <c r="R45" s="85">
        <f>('TUSD BE'!$R$45+'TUSD BF'!$R$45+'TUSD CVA'!$R$45)*1</f>
        <v>6.9769367212194551</v>
      </c>
      <c r="S45" s="85">
        <f>('TUSD BE'!$S$45+'TUSD BF'!$S$45+'TUSD CVA'!$S$45)*1</f>
        <v>0</v>
      </c>
      <c r="T45" s="85">
        <f>('TUSD BE'!$U$45+'TUSD BF'!$U$45+'TUSD CVA'!$U$45)*1</f>
        <v>0</v>
      </c>
      <c r="U45" s="85">
        <f>('TUSD BE'!$V$45+'TUSD BF'!$V$45+'TUSD CVA'!$V$45)*1</f>
        <v>0</v>
      </c>
      <c r="V45" s="85">
        <f>('TUSD BE'!$W$45+'TUSD BF'!$W$45+'TUSD CVA'!$W$45)*1</f>
        <v>0</v>
      </c>
      <c r="W45" s="85">
        <f>('TUSD BE'!$X$45+'TUSD BF'!$X$45+'TUSD CVA'!$X$45)*1</f>
        <v>0</v>
      </c>
      <c r="X45" s="85">
        <f>('TUSD BE'!$Y$45+'TUSD BF'!$Y$45+'TUSD CVA'!$Y$45)*1</f>
        <v>0</v>
      </c>
      <c r="Y45" s="85">
        <f>('TUSD BE'!$Z$45+'TUSD BF'!$Z$45+'TUSD CVA'!$Z$45)*1</f>
        <v>0</v>
      </c>
      <c r="Z45" s="85">
        <f>('TUSD BE'!$AA$45+'TUSD BF'!$AA$45+'TUSD CVA'!$AA$45)*1</f>
        <v>0</v>
      </c>
      <c r="AA45" s="85">
        <f>('TUSD BE'!$AC$45+'TUSD BF'!$AC$45+'TUSD CVA'!$AC$45)*1</f>
        <v>0</v>
      </c>
      <c r="AB45" s="85">
        <f ca="1">('TUSD BE'!$AE$45+'TUSD BF'!$AE$45+'TUSD CVA'!$AE$45)*1</f>
        <v>0</v>
      </c>
      <c r="AC45" s="85">
        <f ca="1">('TUSD BE'!$AF$45+'TUSD BF'!$AF$45+'TUSD CVA'!$AF$45)*1</f>
        <v>0</v>
      </c>
      <c r="AD45" s="85">
        <f>('TUSD BE'!$AH$45+'TUSD BF'!$AH$45+'TUSD CVA'!$AH$45)*1</f>
        <v>22.355157533351314</v>
      </c>
      <c r="AE45" s="85">
        <f>('TUSD BE'!$AI$45+'TUSD BF'!$AI$45+'TUSD CVA'!$AI$45)*1</f>
        <v>0.8402933845902758</v>
      </c>
      <c r="AF45" s="85">
        <f ca="1">('TUSD BE'!$AJ$45+'TUSD BF'!$AJ$45+'TUSD CVA'!$AJ$45)*1</f>
        <v>12.063087868607393</v>
      </c>
      <c r="AG45" s="85">
        <f ca="1">('TUSD BE'!$AK$45+'TUSD BF'!$AK$45+'TUSD CVA'!$AK$45)*1</f>
        <v>3.1006169696537587</v>
      </c>
      <c r="AI45" s="85">
        <v>0</v>
      </c>
      <c r="AJ45" s="85">
        <v>0.408569656964689</v>
      </c>
      <c r="AK45" s="85">
        <v>0.83526527077142398</v>
      </c>
      <c r="AL45" s="85">
        <v>0</v>
      </c>
      <c r="AM45" s="85">
        <v>0</v>
      </c>
      <c r="AN45" s="85">
        <v>53.7518197634991</v>
      </c>
      <c r="AO45" s="85">
        <v>10.198150985874999</v>
      </c>
      <c r="AP45" s="85">
        <v>0</v>
      </c>
      <c r="AQ45" s="85">
        <v>0</v>
      </c>
      <c r="AR45" s="85">
        <v>0</v>
      </c>
      <c r="AS45" s="85">
        <v>0</v>
      </c>
      <c r="AT45" s="85">
        <v>0</v>
      </c>
      <c r="AU45" s="85">
        <v>0</v>
      </c>
      <c r="AV45" s="85">
        <v>0</v>
      </c>
      <c r="AW45" s="85">
        <v>0</v>
      </c>
      <c r="AX45" s="85">
        <v>0</v>
      </c>
      <c r="AY45" s="85">
        <v>0</v>
      </c>
      <c r="AZ45" s="85">
        <v>0</v>
      </c>
      <c r="BA45" s="85">
        <v>26.931272142952199</v>
      </c>
      <c r="BB45" s="85">
        <v>1.0079665258571999</v>
      </c>
      <c r="BC45" s="85">
        <v>13.744942375799001</v>
      </c>
      <c r="BD45" s="85">
        <v>2.8691854383422601</v>
      </c>
    </row>
    <row r="46" spans="1:56" ht="11.25" customHeight="1" x14ac:dyDescent="0.25">
      <c r="A46" s="119"/>
      <c r="B46" s="119"/>
      <c r="C46" s="119"/>
      <c r="D46" s="119"/>
      <c r="E46" s="119" t="s">
        <v>61</v>
      </c>
      <c r="F46" s="119" t="s">
        <v>25</v>
      </c>
      <c r="G46" s="21" t="s">
        <v>89</v>
      </c>
      <c r="H46" s="21" t="s">
        <v>88</v>
      </c>
      <c r="I46" s="21">
        <f>'MERCADO TUSD'!$U$43</f>
        <v>0</v>
      </c>
      <c r="J46" s="17"/>
      <c r="L46" s="85">
        <f>('TUSD BE'!$L$46+'TUSD BF'!$L$46+'TUSD CVA'!$L$46)*1</f>
        <v>0</v>
      </c>
      <c r="M46" s="85">
        <f>('TUSD BE'!$M$46+'TUSD BF'!$M$46+'TUSD CVA'!$M$46)*1</f>
        <v>0.42523736925614325</v>
      </c>
      <c r="N46" s="85">
        <f ca="1">('TUSD BE'!$N$46+'TUSD BF'!$N$46+'TUSD CVA'!$N$46)*1</f>
        <v>12.827535639059446</v>
      </c>
      <c r="O46" s="85">
        <f>('TUSD BE'!$O$46+'TUSD BF'!$O$46+'TUSD CVA'!$O$46)*1</f>
        <v>0</v>
      </c>
      <c r="P46" s="85">
        <f>('TUSD BE'!$P$46+'TUSD BF'!$P$46+'TUSD CVA'!$P$46)*1</f>
        <v>0</v>
      </c>
      <c r="Q46" s="85">
        <f>('TUSD BE'!$Q$46+'TUSD BF'!$Q$46+'TUSD CVA'!$Q$46)*1</f>
        <v>0</v>
      </c>
      <c r="R46" s="85">
        <f>('TUSD BE'!$R$46+'TUSD BF'!$R$46+'TUSD CVA'!$R$46)*1</f>
        <v>0</v>
      </c>
      <c r="S46" s="85">
        <f>('TUSD BE'!$S$46+'TUSD BF'!$S$46+'TUSD CVA'!$S$46)*1</f>
        <v>0</v>
      </c>
      <c r="T46" s="85">
        <f>('TUSD BE'!$U$46+'TUSD BF'!$U$46+'TUSD CVA'!$U$46)*1</f>
        <v>216.68728520503299</v>
      </c>
      <c r="U46" s="85">
        <f>('TUSD BE'!$V$46+'TUSD BF'!$V$46+'TUSD CVA'!$V$46)*1</f>
        <v>57.557013687161444</v>
      </c>
      <c r="V46" s="85">
        <f>('TUSD BE'!$W$46+'TUSD BF'!$W$46+'TUSD CVA'!$W$46)*1</f>
        <v>7.3487710717692609</v>
      </c>
      <c r="W46" s="85">
        <f>('TUSD BE'!$X$46+'TUSD BF'!$X$46+'TUSD CVA'!$X$46)*1</f>
        <v>0</v>
      </c>
      <c r="X46" s="85">
        <f>('TUSD BE'!$Y$46+'TUSD BF'!$Y$46+'TUSD CVA'!$Y$46)*1</f>
        <v>0</v>
      </c>
      <c r="Y46" s="85">
        <f>('TUSD BE'!$Z$46+'TUSD BF'!$Z$46+'TUSD CVA'!$Z$46)*1</f>
        <v>0</v>
      </c>
      <c r="Z46" s="85">
        <f>('TUSD BE'!$AA$46+'TUSD BF'!$AA$46+'TUSD CVA'!$AA$46)*1</f>
        <v>0</v>
      </c>
      <c r="AA46" s="85">
        <f>('TUSD BE'!$AC$46+'TUSD BF'!$AC$46+'TUSD CVA'!$AC$46)*1</f>
        <v>898.98345479484078</v>
      </c>
      <c r="AB46" s="85">
        <f ca="1">('TUSD BE'!$AE$46+'TUSD BF'!$AE$46+'TUSD CVA'!$AE$46)*1</f>
        <v>0</v>
      </c>
      <c r="AC46" s="85">
        <f ca="1">('TUSD BE'!$AF$46+'TUSD BF'!$AF$46+'TUSD CVA'!$AF$46)*1</f>
        <v>0</v>
      </c>
      <c r="AD46" s="85">
        <f>('TUSD BE'!$AH$46+'TUSD BF'!$AH$46+'TUSD CVA'!$AH$46)*1</f>
        <v>22.355157533351314</v>
      </c>
      <c r="AE46" s="85">
        <f>('TUSD BE'!$AI$46+'TUSD BF'!$AI$46+'TUSD CVA'!$AI$46)*1</f>
        <v>0.8402933845902758</v>
      </c>
      <c r="AF46" s="85">
        <f ca="1">('TUSD BE'!$AJ$46+'TUSD BF'!$AJ$46+'TUSD CVA'!$AJ$46)*1</f>
        <v>12.063087868607393</v>
      </c>
      <c r="AG46" s="85">
        <f ca="1">('TUSD BE'!$AK$46+'TUSD BF'!$AK$46+'TUSD CVA'!$AK$46)*1</f>
        <v>3.1006169696537587</v>
      </c>
      <c r="AI46" s="85">
        <v>0</v>
      </c>
      <c r="AJ46" s="85">
        <v>0.408569656964689</v>
      </c>
      <c r="AK46" s="85">
        <v>13.338120184432899</v>
      </c>
      <c r="AL46" s="85">
        <v>0</v>
      </c>
      <c r="AM46" s="85">
        <v>0</v>
      </c>
      <c r="AN46" s="85">
        <v>0</v>
      </c>
      <c r="AO46" s="85">
        <v>0</v>
      </c>
      <c r="AP46" s="85">
        <v>0</v>
      </c>
      <c r="AQ46" s="85">
        <v>136.686603977993</v>
      </c>
      <c r="AR46" s="85">
        <v>38.909555019397402</v>
      </c>
      <c r="AS46" s="85">
        <v>4.76469096795282</v>
      </c>
      <c r="AT46" s="85">
        <v>0</v>
      </c>
      <c r="AU46" s="85">
        <v>0</v>
      </c>
      <c r="AV46" s="85">
        <v>0</v>
      </c>
      <c r="AW46" s="85">
        <v>0</v>
      </c>
      <c r="AX46" s="85">
        <v>872.035879856355</v>
      </c>
      <c r="AY46" s="85">
        <v>0</v>
      </c>
      <c r="AZ46" s="85">
        <v>0</v>
      </c>
      <c r="BA46" s="85">
        <v>26.931272142952199</v>
      </c>
      <c r="BB46" s="85">
        <v>1.0079665258571999</v>
      </c>
      <c r="BC46" s="85">
        <v>13.744942375799001</v>
      </c>
      <c r="BD46" s="85">
        <v>2.8691854383422601</v>
      </c>
    </row>
    <row r="47" spans="1:56" ht="11.25" customHeight="1" x14ac:dyDescent="0.25">
      <c r="A47" s="119"/>
      <c r="B47" s="119"/>
      <c r="C47" s="119"/>
      <c r="D47" s="119"/>
      <c r="E47" s="119"/>
      <c r="F47" s="119"/>
      <c r="G47" s="21" t="s">
        <v>90</v>
      </c>
      <c r="H47" s="21" t="s">
        <v>88</v>
      </c>
      <c r="I47" s="21">
        <f>'MERCADO TUSD'!$U$44</f>
        <v>0</v>
      </c>
      <c r="J47" s="17"/>
      <c r="L47" s="85">
        <f>('TUSD BE'!$L$47+'TUSD BF'!$L$47+'TUSD CVA'!$L$47)*1</f>
        <v>0</v>
      </c>
      <c r="M47" s="85">
        <f>('TUSD BE'!$M$47+'TUSD BF'!$M$47+'TUSD CVA'!$M$47)*1</f>
        <v>0.42523736925614325</v>
      </c>
      <c r="N47" s="85">
        <f ca="1">('TUSD BE'!$N$47+'TUSD BF'!$N$47+'TUSD CVA'!$N$47)*1</f>
        <v>0.83329724837318175</v>
      </c>
      <c r="O47" s="85">
        <f>('TUSD BE'!$O$47+'TUSD BF'!$O$47+'TUSD CVA'!$O$47)*1</f>
        <v>0</v>
      </c>
      <c r="P47" s="85">
        <f>('TUSD BE'!$P$47+'TUSD BF'!$P$47+'TUSD CVA'!$P$47)*1</f>
        <v>0</v>
      </c>
      <c r="Q47" s="85">
        <f>('TUSD BE'!$Q$47+'TUSD BF'!$Q$47+'TUSD CVA'!$Q$47)*1</f>
        <v>0</v>
      </c>
      <c r="R47" s="85">
        <f>('TUSD BE'!$R$47+'TUSD BF'!$R$47+'TUSD CVA'!$R$47)*1</f>
        <v>0</v>
      </c>
      <c r="S47" s="85">
        <f>('TUSD BE'!$S$47+'TUSD BF'!$S$47+'TUSD CVA'!$S$47)*1</f>
        <v>0</v>
      </c>
      <c r="T47" s="85">
        <f>('TUSD BE'!$U$47+'TUSD BF'!$U$47+'TUSD CVA'!$U$47)*1</f>
        <v>0</v>
      </c>
      <c r="U47" s="85">
        <f>('TUSD BE'!$V$47+'TUSD BF'!$V$47+'TUSD CVA'!$V$47)*1</f>
        <v>0</v>
      </c>
      <c r="V47" s="85">
        <f>('TUSD BE'!$W$47+'TUSD BF'!$W$47+'TUSD CVA'!$W$47)*1</f>
        <v>0</v>
      </c>
      <c r="W47" s="85">
        <f>('TUSD BE'!$X$47+'TUSD BF'!$X$47+'TUSD CVA'!$X$47)*1</f>
        <v>0</v>
      </c>
      <c r="X47" s="85">
        <f>('TUSD BE'!$Y$47+'TUSD BF'!$Y$47+'TUSD CVA'!$Y$47)*1</f>
        <v>0</v>
      </c>
      <c r="Y47" s="85">
        <f>('TUSD BE'!$Z$47+'TUSD BF'!$Z$47+'TUSD CVA'!$Z$47)*1</f>
        <v>0</v>
      </c>
      <c r="Z47" s="85">
        <f>('TUSD BE'!$AA$47+'TUSD BF'!$AA$47+'TUSD CVA'!$AA$47)*1</f>
        <v>0</v>
      </c>
      <c r="AA47" s="85">
        <f>('TUSD BE'!$AC$47+'TUSD BF'!$AC$47+'TUSD CVA'!$AC$47)*1</f>
        <v>0</v>
      </c>
      <c r="AB47" s="85">
        <f ca="1">('TUSD BE'!$AE$47+'TUSD BF'!$AE$47+'TUSD CVA'!$AE$47)*1</f>
        <v>0</v>
      </c>
      <c r="AC47" s="85">
        <f ca="1">('TUSD BE'!$AF$47+'TUSD BF'!$AF$47+'TUSD CVA'!$AF$47)*1</f>
        <v>0</v>
      </c>
      <c r="AD47" s="85">
        <f>('TUSD BE'!$AH$47+'TUSD BF'!$AH$47+'TUSD CVA'!$AH$47)*1</f>
        <v>22.355157533351314</v>
      </c>
      <c r="AE47" s="85">
        <f>('TUSD BE'!$AI$47+'TUSD BF'!$AI$47+'TUSD CVA'!$AI$47)*1</f>
        <v>0.8402933845902758</v>
      </c>
      <c r="AF47" s="85">
        <f ca="1">('TUSD BE'!$AJ$47+'TUSD BF'!$AJ$47+'TUSD CVA'!$AJ$47)*1</f>
        <v>12.063087868607393</v>
      </c>
      <c r="AG47" s="85">
        <f ca="1">('TUSD BE'!$AK$47+'TUSD BF'!$AK$47+'TUSD CVA'!$AK$47)*1</f>
        <v>3.1006169696537587</v>
      </c>
      <c r="AI47" s="85">
        <v>0</v>
      </c>
      <c r="AJ47" s="85">
        <v>0.408569656964689</v>
      </c>
      <c r="AK47" s="85">
        <v>0.82016292450699801</v>
      </c>
      <c r="AL47" s="85">
        <v>0</v>
      </c>
      <c r="AM47" s="85">
        <v>0</v>
      </c>
      <c r="AN47" s="85">
        <v>0</v>
      </c>
      <c r="AO47" s="85">
        <v>0</v>
      </c>
      <c r="AP47" s="85">
        <v>0</v>
      </c>
      <c r="AQ47" s="85">
        <v>0</v>
      </c>
      <c r="AR47" s="85">
        <v>0</v>
      </c>
      <c r="AS47" s="85">
        <v>0</v>
      </c>
      <c r="AT47" s="85">
        <v>0</v>
      </c>
      <c r="AU47" s="85">
        <v>0</v>
      </c>
      <c r="AV47" s="85">
        <v>0</v>
      </c>
      <c r="AW47" s="85">
        <v>0</v>
      </c>
      <c r="AX47" s="85">
        <v>0</v>
      </c>
      <c r="AY47" s="85">
        <v>0</v>
      </c>
      <c r="AZ47" s="85">
        <v>0</v>
      </c>
      <c r="BA47" s="85">
        <v>26.931272142952199</v>
      </c>
      <c r="BB47" s="85">
        <v>1.0079665258571999</v>
      </c>
      <c r="BC47" s="85">
        <v>13.744942375799001</v>
      </c>
      <c r="BD47" s="85">
        <v>2.8691854383422601</v>
      </c>
    </row>
    <row r="48" spans="1:56" ht="11.25" customHeight="1" x14ac:dyDescent="0.25">
      <c r="A48" s="119"/>
      <c r="B48" s="119" t="s">
        <v>23</v>
      </c>
      <c r="C48" s="119" t="s">
        <v>25</v>
      </c>
      <c r="D48" s="119" t="s">
        <v>25</v>
      </c>
      <c r="E48" s="119" t="s">
        <v>25</v>
      </c>
      <c r="F48" s="119" t="s">
        <v>25</v>
      </c>
      <c r="G48" s="21" t="s">
        <v>9</v>
      </c>
      <c r="H48" s="21" t="s">
        <v>91</v>
      </c>
      <c r="I48" s="21">
        <f>'MERCADO TUSD'!$U$45</f>
        <v>0</v>
      </c>
      <c r="J48" s="17"/>
      <c r="L48" s="85">
        <f>('TUSD BE'!$L$48+'TUSD BF'!$L$48+'TUSD CVA'!$L$48)*1</f>
        <v>0</v>
      </c>
      <c r="M48" s="85">
        <f>('TUSD BE'!$M$48+'TUSD BF'!$M$48+'TUSD CVA'!$M$48)*1</f>
        <v>0</v>
      </c>
      <c r="N48" s="85">
        <f ca="1">('TUSD BE'!$N$48+'TUSD BF'!$N$48+'TUSD CVA'!$N$48)*1</f>
        <v>0</v>
      </c>
      <c r="O48" s="85">
        <f>('TUSD BE'!$O$48+'TUSD BF'!$O$48+'TUSD CVA'!$O$48)*1</f>
        <v>0</v>
      </c>
      <c r="P48" s="85">
        <f>('TUSD BE'!$P$48+'TUSD BF'!$P$48+'TUSD CVA'!$P$48)*1</f>
        <v>0</v>
      </c>
      <c r="Q48" s="85">
        <f>('TUSD BE'!$Q$48+'TUSD BF'!$Q$48+'TUSD CVA'!$Q$48)*1</f>
        <v>0</v>
      </c>
      <c r="R48" s="85">
        <f>('TUSD BE'!$R$48+'TUSD BF'!$R$48+'TUSD CVA'!$R$48)*1</f>
        <v>0</v>
      </c>
      <c r="S48" s="85">
        <f>('TUSD BE'!$S$48+'TUSD BF'!$S$48+'TUSD CVA'!$S$48)*1</f>
        <v>0</v>
      </c>
      <c r="T48" s="85">
        <f>('TUSD BE'!$U$48+'TUSD BF'!$U$48+'TUSD CVA'!$U$48)*1</f>
        <v>14.132518239381719</v>
      </c>
      <c r="U48" s="85">
        <f>('TUSD BE'!$V$48+'TUSD BF'!$V$48+'TUSD CVA'!$V$48)*1</f>
        <v>3.8059003637973916</v>
      </c>
      <c r="V48" s="85">
        <f>('TUSD BE'!$W$48+'TUSD BF'!$W$48+'TUSD CVA'!$W$48)*1</f>
        <v>0.45592815796644448</v>
      </c>
      <c r="W48" s="85">
        <f>('TUSD BE'!$X$48+'TUSD BF'!$X$48+'TUSD CVA'!$X$48)*1</f>
        <v>0</v>
      </c>
      <c r="X48" s="85">
        <f>('TUSD BE'!$Y$48+'TUSD BF'!$Y$48+'TUSD CVA'!$Y$48)*1</f>
        <v>0</v>
      </c>
      <c r="Y48" s="85">
        <f>('TUSD BE'!$Z$48+'TUSD BF'!$Z$48+'TUSD CVA'!$Z$48)*1</f>
        <v>0</v>
      </c>
      <c r="Z48" s="85">
        <f>('TUSD BE'!$AA$48+'TUSD BF'!$AA$48+'TUSD CVA'!$AA$48)*1</f>
        <v>0</v>
      </c>
      <c r="AA48" s="85">
        <f>('TUSD BE'!$AC$48+'TUSD BF'!$AC$48+'TUSD CVA'!$AC$48)*1</f>
        <v>32.949716772813254</v>
      </c>
      <c r="AB48" s="85">
        <f ca="1">('TUSD BE'!$AE$48+'TUSD BF'!$AE$48+'TUSD CVA'!$AE$48)*1</f>
        <v>0</v>
      </c>
      <c r="AC48" s="85">
        <f ca="1">('TUSD BE'!$AF$48+'TUSD BF'!$AF$48+'TUSD CVA'!$AF$48)*1</f>
        <v>0</v>
      </c>
      <c r="AD48" s="85">
        <f>('TUSD BE'!$AH$48+'TUSD BF'!$AH$48+'TUSD CVA'!$AH$48)*1</f>
        <v>0</v>
      </c>
      <c r="AE48" s="85">
        <f>('TUSD BE'!$AI$48+'TUSD BF'!$AI$48+'TUSD CVA'!$AI$48)*1</f>
        <v>0</v>
      </c>
      <c r="AF48" s="85">
        <f ca="1">('TUSD BE'!$AJ$48+'TUSD BF'!$AJ$48+'TUSD CVA'!$AJ$48)*1</f>
        <v>0</v>
      </c>
      <c r="AG48" s="85">
        <f ca="1">('TUSD BE'!$AK$48+'TUSD BF'!$AK$48+'TUSD CVA'!$AK$48)*1</f>
        <v>0</v>
      </c>
      <c r="AI48" s="85">
        <v>0</v>
      </c>
      <c r="AJ48" s="85">
        <v>0</v>
      </c>
      <c r="AK48" s="85">
        <v>0</v>
      </c>
      <c r="AL48" s="85">
        <v>0</v>
      </c>
      <c r="AM48" s="85">
        <v>0</v>
      </c>
      <c r="AN48" s="85">
        <v>0</v>
      </c>
      <c r="AO48" s="85">
        <v>0</v>
      </c>
      <c r="AP48" s="85">
        <v>0</v>
      </c>
      <c r="AQ48" s="85">
        <v>0</v>
      </c>
      <c r="AR48" s="85">
        <v>0</v>
      </c>
      <c r="AS48" s="85">
        <v>0</v>
      </c>
      <c r="AT48" s="85">
        <v>0</v>
      </c>
      <c r="AU48" s="85">
        <v>0</v>
      </c>
      <c r="AV48" s="85">
        <v>0</v>
      </c>
      <c r="AW48" s="85">
        <v>0</v>
      </c>
      <c r="AX48" s="85">
        <v>0</v>
      </c>
      <c r="AY48" s="85">
        <v>0</v>
      </c>
      <c r="AZ48" s="85">
        <v>0</v>
      </c>
      <c r="BA48" s="85">
        <v>0</v>
      </c>
      <c r="BB48" s="85">
        <v>0</v>
      </c>
      <c r="BC48" s="85">
        <v>0</v>
      </c>
      <c r="BD48" s="85">
        <v>0</v>
      </c>
    </row>
    <row r="49" spans="1:56" ht="11.25" customHeight="1" x14ac:dyDescent="0.25">
      <c r="A49" s="119"/>
      <c r="B49" s="119"/>
      <c r="C49" s="119"/>
      <c r="D49" s="119"/>
      <c r="E49" s="119"/>
      <c r="F49" s="119"/>
      <c r="G49" s="21" t="s">
        <v>94</v>
      </c>
      <c r="H49" s="21" t="s">
        <v>88</v>
      </c>
      <c r="I49" s="21">
        <f>'MERCADO TUSD'!$U$46</f>
        <v>0</v>
      </c>
      <c r="J49" s="17"/>
      <c r="L49" s="85">
        <f>('TUSD BE'!$L$49+'TUSD BF'!$L$49+'TUSD CVA'!$L$49)*1</f>
        <v>0</v>
      </c>
      <c r="M49" s="85">
        <f>('TUSD BE'!$M$49+'TUSD BF'!$M$49+'TUSD CVA'!$M$49)*1</f>
        <v>0.42523736925614325</v>
      </c>
      <c r="N49" s="85">
        <f ca="1">('TUSD BE'!$N$49+'TUSD BF'!$N$49+'TUSD CVA'!$N$49)*1</f>
        <v>0.84776775163445306</v>
      </c>
      <c r="O49" s="85">
        <f>('TUSD BE'!$O$49+'TUSD BF'!$O$49+'TUSD CVA'!$O$49)*1</f>
        <v>0</v>
      </c>
      <c r="P49" s="85">
        <f>('TUSD BE'!$P$49+'TUSD BF'!$P$49+'TUSD CVA'!$P$49)*1</f>
        <v>0</v>
      </c>
      <c r="Q49" s="85">
        <f>('TUSD BE'!$Q$49+'TUSD BF'!$Q$49+'TUSD CVA'!$Q$49)*1</f>
        <v>66.369865232212661</v>
      </c>
      <c r="R49" s="85">
        <f>('TUSD BE'!$R$49+'TUSD BF'!$R$49+'TUSD CVA'!$R$49)*1</f>
        <v>6.9769367212194551</v>
      </c>
      <c r="S49" s="85">
        <f>('TUSD BE'!$S$49+'TUSD BF'!$S$49+'TUSD CVA'!$S$49)*1</f>
        <v>0</v>
      </c>
      <c r="T49" s="85">
        <f>('TUSD BE'!$U$49+'TUSD BF'!$U$49+'TUSD CVA'!$U$49)*1</f>
        <v>0</v>
      </c>
      <c r="U49" s="85">
        <f>('TUSD BE'!$V$49+'TUSD BF'!$V$49+'TUSD CVA'!$V$49)*1</f>
        <v>0</v>
      </c>
      <c r="V49" s="85">
        <f>('TUSD BE'!$W$49+'TUSD BF'!$W$49+'TUSD CVA'!$W$49)*1</f>
        <v>0</v>
      </c>
      <c r="W49" s="85">
        <f>('TUSD BE'!$X$49+'TUSD BF'!$X$49+'TUSD CVA'!$X$49)*1</f>
        <v>0</v>
      </c>
      <c r="X49" s="85">
        <f>('TUSD BE'!$Y$49+'TUSD BF'!$Y$49+'TUSD CVA'!$Y$49)*1</f>
        <v>0</v>
      </c>
      <c r="Y49" s="85">
        <f>('TUSD BE'!$Z$49+'TUSD BF'!$Z$49+'TUSD CVA'!$Z$49)*1</f>
        <v>0</v>
      </c>
      <c r="Z49" s="85">
        <f>('TUSD BE'!$AA$49+'TUSD BF'!$AA$49+'TUSD CVA'!$AA$49)*1</f>
        <v>0</v>
      </c>
      <c r="AA49" s="85">
        <f>('TUSD BE'!$AC$49+'TUSD BF'!$AC$49+'TUSD CVA'!$AC$49)*1</f>
        <v>0</v>
      </c>
      <c r="AB49" s="85">
        <f ca="1">('TUSD BE'!$AE$49+'TUSD BF'!$AE$49+'TUSD CVA'!$AE$49)*1</f>
        <v>0</v>
      </c>
      <c r="AC49" s="85">
        <f ca="1">('TUSD BE'!$AF$49+'TUSD BF'!$AF$49+'TUSD CVA'!$AF$49)*1</f>
        <v>0</v>
      </c>
      <c r="AD49" s="85">
        <f>('TUSD BE'!$AH$49+'TUSD BF'!$AH$49+'TUSD CVA'!$AH$49)*1</f>
        <v>22.355157533351314</v>
      </c>
      <c r="AE49" s="85">
        <f>('TUSD BE'!$AI$49+'TUSD BF'!$AI$49+'TUSD CVA'!$AI$49)*1</f>
        <v>0.8402933845902758</v>
      </c>
      <c r="AF49" s="85">
        <f ca="1">('TUSD BE'!$AJ$49+'TUSD BF'!$AJ$49+'TUSD CVA'!$AJ$49)*1</f>
        <v>12.063087868607393</v>
      </c>
      <c r="AG49" s="85">
        <f ca="1">('TUSD BE'!$AK$49+'TUSD BF'!$AK$49+'TUSD CVA'!$AK$49)*1</f>
        <v>3.1006169696537587</v>
      </c>
      <c r="AI49" s="85">
        <v>0</v>
      </c>
      <c r="AJ49" s="85">
        <v>0</v>
      </c>
      <c r="AK49" s="85">
        <v>0</v>
      </c>
      <c r="AL49" s="85">
        <v>0</v>
      </c>
      <c r="AM49" s="85">
        <v>0</v>
      </c>
      <c r="AN49" s="85">
        <v>0</v>
      </c>
      <c r="AO49" s="85">
        <v>0</v>
      </c>
      <c r="AP49" s="85">
        <v>0</v>
      </c>
      <c r="AQ49" s="85">
        <v>0</v>
      </c>
      <c r="AR49" s="85">
        <v>0</v>
      </c>
      <c r="AS49" s="85">
        <v>0</v>
      </c>
      <c r="AT49" s="85">
        <v>0</v>
      </c>
      <c r="AU49" s="85">
        <v>0</v>
      </c>
      <c r="AV49" s="85">
        <v>0</v>
      </c>
      <c r="AW49" s="85">
        <v>0</v>
      </c>
      <c r="AX49" s="85">
        <v>0</v>
      </c>
      <c r="AY49" s="85">
        <v>0</v>
      </c>
      <c r="AZ49" s="85">
        <v>0</v>
      </c>
      <c r="BA49" s="85">
        <v>0</v>
      </c>
      <c r="BB49" s="85">
        <v>0</v>
      </c>
      <c r="BC49" s="85">
        <v>0</v>
      </c>
      <c r="BD49" s="85">
        <v>0</v>
      </c>
    </row>
    <row r="50" spans="1:56" ht="11.25" customHeight="1" x14ac:dyDescent="0.25">
      <c r="A50" s="119" t="s">
        <v>97</v>
      </c>
      <c r="B50" s="119" t="s">
        <v>64</v>
      </c>
      <c r="C50" s="119" t="s">
        <v>25</v>
      </c>
      <c r="D50" s="119" t="s">
        <v>25</v>
      </c>
      <c r="E50" s="87" t="s">
        <v>98</v>
      </c>
      <c r="F50" s="87" t="s">
        <v>25</v>
      </c>
      <c r="G50" s="21" t="s">
        <v>9</v>
      </c>
      <c r="H50" s="21" t="s">
        <v>91</v>
      </c>
      <c r="I50" s="21">
        <f>'MERCADO TUSD'!$U$47+0.00000001</f>
        <v>1E-8</v>
      </c>
      <c r="J50" s="17"/>
      <c r="L50" s="85">
        <f>('TUSD BE'!$L$50+'TUSD BF'!$L$50+'TUSD CVA'!$L$50)*1</f>
        <v>0</v>
      </c>
      <c r="M50" s="85">
        <f>('TUSD BE'!$M$50+'TUSD BF'!$M$50+'TUSD CVA'!$M$50)*1</f>
        <v>6.2730944428416842E-3</v>
      </c>
      <c r="N50" s="85">
        <f ca="1">('TUSD BE'!$N$50+'TUSD BF'!$N$50+'TUSD CVA'!$N$50)*1</f>
        <v>2.5902200837675662E-2</v>
      </c>
      <c r="O50" s="85">
        <f>('TUSD BE'!$O$50+'TUSD BF'!$O$50+'TUSD CVA'!$O$50)*1</f>
        <v>0</v>
      </c>
      <c r="P50" s="85">
        <f>('TUSD BE'!$P$50+'TUSD BF'!$P$50+'TUSD CVA'!$P$50)*1</f>
        <v>0</v>
      </c>
      <c r="Q50" s="85">
        <f>('TUSD BE'!$Q$50+'TUSD BF'!$Q$50+'TUSD CVA'!$Q$50)*1</f>
        <v>0</v>
      </c>
      <c r="R50" s="85">
        <f>('TUSD BE'!$R$50+'TUSD BF'!$R$50+'TUSD CVA'!$R$50)*1</f>
        <v>0</v>
      </c>
      <c r="S50" s="85">
        <f>('TUSD BE'!$S$50+'TUSD BF'!$S$50+'TUSD CVA'!$S$50)*1</f>
        <v>0</v>
      </c>
      <c r="T50" s="85">
        <f>('TUSD BE'!$U$50+'TUSD BF'!$U$50+'TUSD CVA'!$U$50)*1</f>
        <v>0</v>
      </c>
      <c r="U50" s="85">
        <f>('TUSD BE'!$V$50+'TUSD BF'!$V$50+'TUSD CVA'!$V$50)*1</f>
        <v>0</v>
      </c>
      <c r="V50" s="85">
        <f>('TUSD BE'!$W$50+'TUSD BF'!$W$50+'TUSD CVA'!$W$50)*1</f>
        <v>0</v>
      </c>
      <c r="W50" s="85">
        <f>('TUSD BE'!$X$50+'TUSD BF'!$X$50+'TUSD CVA'!$X$50)*1</f>
        <v>0</v>
      </c>
      <c r="X50" s="85">
        <f>('TUSD BE'!$Y$50+'TUSD BF'!$Y$50+'TUSD CVA'!$Y$50)*1</f>
        <v>0</v>
      </c>
      <c r="Y50" s="85">
        <f>('TUSD BE'!$Z$50+'TUSD BF'!$Z$50+'TUSD CVA'!$Z$50)*1</f>
        <v>0</v>
      </c>
      <c r="Z50" s="85">
        <f>('TUSD BE'!$AA$50+'TUSD BF'!$AA$50+'TUSD CVA'!$AA$50)*1</f>
        <v>0</v>
      </c>
      <c r="AA50" s="85">
        <f>('TUSD BE'!$AC$50+'TUSD BF'!$AC$50+'TUSD CVA'!$AC$50)*1</f>
        <v>2.04791395165025</v>
      </c>
      <c r="AB50" s="85">
        <f ca="1">('TUSD BE'!$AE$50+'TUSD BF'!$AE$50+'TUSD CVA'!$AE$50)*1</f>
        <v>0</v>
      </c>
      <c r="AC50" s="85">
        <f ca="1">('TUSD BE'!$AF$50+'TUSD BF'!$AF$50+'TUSD CVA'!$AF$50)*1</f>
        <v>0</v>
      </c>
      <c r="AD50" s="85">
        <f>('TUSD BE'!$AH$50+'TUSD BF'!$AH$50+'TUSD CVA'!$AH$50)*1</f>
        <v>0</v>
      </c>
      <c r="AE50" s="85">
        <f>('TUSD BE'!$AI$50+'TUSD BF'!$AI$50+'TUSD CVA'!$AI$50)*1</f>
        <v>0</v>
      </c>
      <c r="AF50" s="85">
        <f ca="1">('TUSD BE'!$AJ$50+'TUSD BF'!$AJ$50+'TUSD CVA'!$AJ$50)*1</f>
        <v>0</v>
      </c>
      <c r="AG50" s="85">
        <f ca="1">('TUSD BE'!$AK$50+'TUSD BF'!$AK$50+'TUSD CVA'!$AK$50)*1</f>
        <v>0</v>
      </c>
      <c r="AI50" s="85">
        <v>0</v>
      </c>
      <c r="AJ50" s="85">
        <v>6.7079289022376502E-3</v>
      </c>
      <c r="AK50" s="85">
        <v>2.7033199813322001E-2</v>
      </c>
      <c r="AL50" s="85">
        <v>0</v>
      </c>
      <c r="AM50" s="85">
        <v>0</v>
      </c>
      <c r="AN50" s="85">
        <v>0</v>
      </c>
      <c r="AO50" s="85">
        <v>0</v>
      </c>
      <c r="AP50" s="85">
        <v>0</v>
      </c>
      <c r="AQ50" s="85">
        <v>0</v>
      </c>
      <c r="AR50" s="85">
        <v>0</v>
      </c>
      <c r="AS50" s="85">
        <v>0</v>
      </c>
      <c r="AT50" s="85">
        <v>0</v>
      </c>
      <c r="AU50" s="85">
        <v>0</v>
      </c>
      <c r="AV50" s="85">
        <v>0</v>
      </c>
      <c r="AW50" s="85">
        <v>0</v>
      </c>
      <c r="AX50" s="85">
        <v>1.98652648741459</v>
      </c>
      <c r="AY50" s="85">
        <v>0</v>
      </c>
      <c r="AZ50" s="85">
        <v>0</v>
      </c>
      <c r="BA50" s="85">
        <v>0</v>
      </c>
      <c r="BB50" s="85">
        <v>0</v>
      </c>
      <c r="BC50" s="85">
        <v>0</v>
      </c>
      <c r="BD50" s="85">
        <v>0</v>
      </c>
    </row>
    <row r="51" spans="1:56" ht="11.25" customHeight="1" x14ac:dyDescent="0.25">
      <c r="A51" s="119"/>
      <c r="B51" s="119"/>
      <c r="C51" s="119"/>
      <c r="D51" s="119"/>
      <c r="E51" s="87" t="s">
        <v>99</v>
      </c>
      <c r="F51" s="87" t="s">
        <v>25</v>
      </c>
      <c r="G51" s="21" t="s">
        <v>9</v>
      </c>
      <c r="H51" s="21" t="s">
        <v>91</v>
      </c>
      <c r="I51" s="21">
        <f>'MERCADO TUSD'!$U$48+0.00000001</f>
        <v>1E-8</v>
      </c>
      <c r="J51" s="17"/>
      <c r="L51" s="85">
        <f>('TUSD BE'!$L$51+'TUSD BF'!$L$51+'TUSD CVA'!$L$51)*1</f>
        <v>0</v>
      </c>
      <c r="M51" s="85">
        <f>('TUSD BE'!$M$51+'TUSD BF'!$M$51+'TUSD CVA'!$M$51)*1</f>
        <v>6.2730944428416842E-3</v>
      </c>
      <c r="N51" s="85">
        <f ca="1">('TUSD BE'!$N$51+'TUSD BF'!$N$51+'TUSD CVA'!$N$51)*1</f>
        <v>2.5902200837675662E-2</v>
      </c>
      <c r="O51" s="85">
        <f>('TUSD BE'!$O$51+'TUSD BF'!$O$51+'TUSD CVA'!$O$51)*1</f>
        <v>0</v>
      </c>
      <c r="P51" s="85">
        <f>('TUSD BE'!$P$51+'TUSD BF'!$P$51+'TUSD CVA'!$P$51)*1</f>
        <v>0</v>
      </c>
      <c r="Q51" s="85">
        <f>('TUSD BE'!$Q$51+'TUSD BF'!$Q$51+'TUSD CVA'!$Q$51)*1</f>
        <v>0</v>
      </c>
      <c r="R51" s="85">
        <f>('TUSD BE'!$R$51+'TUSD BF'!$R$51+'TUSD CVA'!$R$51)*1</f>
        <v>0</v>
      </c>
      <c r="S51" s="85">
        <f>('TUSD BE'!$S$51+'TUSD BF'!$S$51+'TUSD CVA'!$S$51)*1</f>
        <v>0</v>
      </c>
      <c r="T51" s="85">
        <f>('TUSD BE'!$U$51+'TUSD BF'!$U$51+'TUSD CVA'!$U$51)*1</f>
        <v>0</v>
      </c>
      <c r="U51" s="85">
        <f>('TUSD BE'!$V$51+'TUSD BF'!$V$51+'TUSD CVA'!$V$51)*1</f>
        <v>0</v>
      </c>
      <c r="V51" s="85">
        <f>('TUSD BE'!$W$51+'TUSD BF'!$W$51+'TUSD CVA'!$W$51)*1</f>
        <v>0</v>
      </c>
      <c r="W51" s="85">
        <f>('TUSD BE'!$X$51+'TUSD BF'!$X$51+'TUSD CVA'!$X$51)*1</f>
        <v>0</v>
      </c>
      <c r="X51" s="85">
        <f>('TUSD BE'!$Y$51+'TUSD BF'!$Y$51+'TUSD CVA'!$Y$51)*1</f>
        <v>0</v>
      </c>
      <c r="Y51" s="85">
        <f>('TUSD BE'!$Z$51+'TUSD BF'!$Z$51+'TUSD CVA'!$Z$51)*1</f>
        <v>0</v>
      </c>
      <c r="Z51" s="85">
        <f>('TUSD BE'!$AA$51+'TUSD BF'!$AA$51+'TUSD CVA'!$AA$51)*1</f>
        <v>0</v>
      </c>
      <c r="AA51" s="85">
        <f>('TUSD BE'!$AC$51+'TUSD BF'!$AC$51+'TUSD CVA'!$AC$51)*1</f>
        <v>7.6320373887177757</v>
      </c>
      <c r="AB51" s="85">
        <f ca="1">('TUSD BE'!$AE$51+'TUSD BF'!$AE$51+'TUSD CVA'!$AE$51)*1</f>
        <v>0</v>
      </c>
      <c r="AC51" s="85">
        <f ca="1">('TUSD BE'!$AF$51+'TUSD BF'!$AF$51+'TUSD CVA'!$AF$51)*1</f>
        <v>0</v>
      </c>
      <c r="AD51" s="85">
        <f>('TUSD BE'!$AH$51+'TUSD BF'!$AH$51+'TUSD CVA'!$AH$51)*1</f>
        <v>0</v>
      </c>
      <c r="AE51" s="85">
        <f>('TUSD BE'!$AI$51+'TUSD BF'!$AI$51+'TUSD CVA'!$AI$51)*1</f>
        <v>0</v>
      </c>
      <c r="AF51" s="85">
        <f ca="1">('TUSD BE'!$AJ$51+'TUSD BF'!$AJ$51+'TUSD CVA'!$AJ$51)*1</f>
        <v>0</v>
      </c>
      <c r="AG51" s="85">
        <f ca="1">('TUSD BE'!$AK$51+'TUSD BF'!$AK$51+'TUSD CVA'!$AK$51)*1</f>
        <v>0</v>
      </c>
      <c r="AI51" s="85">
        <v>0</v>
      </c>
      <c r="AJ51" s="85">
        <v>6.7079289022376502E-3</v>
      </c>
      <c r="AK51" s="85">
        <v>2.7033199813322001E-2</v>
      </c>
      <c r="AL51" s="85">
        <v>0</v>
      </c>
      <c r="AM51" s="85">
        <v>0</v>
      </c>
      <c r="AN51" s="85">
        <v>0</v>
      </c>
      <c r="AO51" s="85">
        <v>0</v>
      </c>
      <c r="AP51" s="85">
        <v>0</v>
      </c>
      <c r="AQ51" s="85">
        <v>0</v>
      </c>
      <c r="AR51" s="85">
        <v>0</v>
      </c>
      <c r="AS51" s="85">
        <v>0</v>
      </c>
      <c r="AT51" s="85">
        <v>0</v>
      </c>
      <c r="AU51" s="85">
        <v>0</v>
      </c>
      <c r="AV51" s="85">
        <v>0</v>
      </c>
      <c r="AW51" s="85">
        <v>0</v>
      </c>
      <c r="AX51" s="85">
        <v>7.4032624336628601</v>
      </c>
      <c r="AY51" s="85">
        <v>0</v>
      </c>
      <c r="AZ51" s="85">
        <v>0</v>
      </c>
      <c r="BA51" s="85">
        <v>0</v>
      </c>
      <c r="BB51" s="85">
        <v>0</v>
      </c>
      <c r="BC51" s="85">
        <v>0</v>
      </c>
      <c r="BD51" s="85">
        <v>0</v>
      </c>
    </row>
    <row r="52" spans="1:56" ht="11.25" customHeight="1" x14ac:dyDescent="0.25">
      <c r="A52" s="119" t="s">
        <v>22</v>
      </c>
      <c r="B52" s="119" t="s">
        <v>37</v>
      </c>
      <c r="C52" s="119" t="s">
        <v>24</v>
      </c>
      <c r="D52" s="119" t="s">
        <v>24</v>
      </c>
      <c r="E52" s="119" t="s">
        <v>25</v>
      </c>
      <c r="F52" s="119" t="s">
        <v>25</v>
      </c>
      <c r="G52" s="21" t="s">
        <v>89</v>
      </c>
      <c r="H52" s="21" t="s">
        <v>88</v>
      </c>
      <c r="I52" s="21">
        <f>'MERCADO TUSD'!$U$49</f>
        <v>253.625</v>
      </c>
      <c r="J52" s="17"/>
      <c r="L52" s="85">
        <f>('TUSD BE'!$L$52+'TUSD BF'!$L$52+'TUSD CVA'!$L$52)*1</f>
        <v>0</v>
      </c>
      <c r="M52" s="85">
        <f>('TUSD BE'!$M$52+'TUSD BF'!$M$52+'TUSD CVA'!$M$52)*1</f>
        <v>0.39453147039784159</v>
      </c>
      <c r="N52" s="85">
        <f ca="1">('TUSD BE'!$N$52+'TUSD BF'!$N$52+'TUSD CVA'!$N$52)*1</f>
        <v>4.9774411226620989</v>
      </c>
      <c r="O52" s="85">
        <f>('TUSD BE'!$O$52+'TUSD BF'!$O$52+'TUSD CVA'!$O$52)*1</f>
        <v>0</v>
      </c>
      <c r="P52" s="85">
        <f>('TUSD BE'!$P$52+'TUSD BF'!$P$52+'TUSD CVA'!$P$52)*1</f>
        <v>0</v>
      </c>
      <c r="Q52" s="85">
        <f>('TUSD BE'!$Q$52+'TUSD BF'!$Q$52+'TUSD CVA'!$Q$52)*1</f>
        <v>66.369865232212661</v>
      </c>
      <c r="R52" s="85">
        <f>('TUSD BE'!$R$52+'TUSD BF'!$R$52+'TUSD CVA'!$R$52)*1</f>
        <v>6.9769367212194551</v>
      </c>
      <c r="S52" s="85">
        <f>('TUSD BE'!$S$52+'TUSD BF'!$S$52+'TUSD CVA'!$S$52)*1</f>
        <v>0</v>
      </c>
      <c r="T52" s="85">
        <f>('TUSD BE'!$U$52+'TUSD BF'!$U$52+'TUSD CVA'!$U$52)*1</f>
        <v>116.85125520091056</v>
      </c>
      <c r="U52" s="85">
        <f>('TUSD BE'!$V$52+'TUSD BF'!$V$52+'TUSD CVA'!$V$52)*1</f>
        <v>31.407061577024496</v>
      </c>
      <c r="V52" s="85">
        <f>('TUSD BE'!$W$52+'TUSD BF'!$W$52+'TUSD CVA'!$W$52)*1</f>
        <v>3.7966054363119039</v>
      </c>
      <c r="W52" s="85">
        <f>('TUSD BE'!$X$52+'TUSD BF'!$X$52+'TUSD CVA'!$X$52)*1</f>
        <v>0</v>
      </c>
      <c r="X52" s="85">
        <f>('TUSD BE'!$Y$52+'TUSD BF'!$Y$52+'TUSD CVA'!$Y$52)*1</f>
        <v>0</v>
      </c>
      <c r="Y52" s="85">
        <f>('TUSD BE'!$Z$52+'TUSD BF'!$Z$52+'TUSD CVA'!$Z$52)*1</f>
        <v>0</v>
      </c>
      <c r="Z52" s="85">
        <f>('TUSD BE'!$AA$52+'TUSD BF'!$AA$52+'TUSD CVA'!$AA$52)*1</f>
        <v>0</v>
      </c>
      <c r="AA52" s="85">
        <f>('TUSD BE'!$AC$52+'TUSD BF'!$AC$52+'TUSD CVA'!$AC$52)*1</f>
        <v>302.32454626062241</v>
      </c>
      <c r="AB52" s="85">
        <f ca="1">('TUSD BE'!$AE$52+'TUSD BF'!$AE$52+'TUSD CVA'!$AE$52)*1</f>
        <v>0</v>
      </c>
      <c r="AC52" s="85">
        <f ca="1">('TUSD BE'!$AF$52+'TUSD BF'!$AF$52+'TUSD CVA'!$AF$52)*1</f>
        <v>0</v>
      </c>
      <c r="AD52" s="85">
        <f>('TUSD BE'!$AH$52+'TUSD BF'!$AH$52+'TUSD CVA'!$AH$52)*1</f>
        <v>22.355157533351314</v>
      </c>
      <c r="AE52" s="85">
        <f>('TUSD BE'!$AI$52+'TUSD BF'!$AI$52+'TUSD CVA'!$AI$52)*1</f>
        <v>0.8402933845902758</v>
      </c>
      <c r="AF52" s="85">
        <f ca="1">('TUSD BE'!$AJ$52+'TUSD BF'!$AJ$52+'TUSD CVA'!$AJ$52)*1</f>
        <v>10.529883350185761</v>
      </c>
      <c r="AG52" s="85">
        <f ca="1">('TUSD BE'!$AK$52+'TUSD BF'!$AK$52+'TUSD CVA'!$AK$52)*1</f>
        <v>2.7065321383445813</v>
      </c>
      <c r="AI52" s="85">
        <v>0</v>
      </c>
      <c r="AJ52" s="85">
        <v>0.40800538119842999</v>
      </c>
      <c r="AK52" s="85">
        <v>5.1666078444198504</v>
      </c>
      <c r="AL52" s="85">
        <v>0</v>
      </c>
      <c r="AM52" s="85">
        <v>0</v>
      </c>
      <c r="AN52" s="85">
        <v>53.7518197634991</v>
      </c>
      <c r="AO52" s="85">
        <v>10.198150985874999</v>
      </c>
      <c r="AP52" s="85">
        <v>0</v>
      </c>
      <c r="AQ52" s="85">
        <v>73.709914399754794</v>
      </c>
      <c r="AR52" s="85">
        <v>21.2317268069351</v>
      </c>
      <c r="AS52" s="85">
        <v>2.4615886730733001</v>
      </c>
      <c r="AT52" s="85">
        <v>0</v>
      </c>
      <c r="AU52" s="85">
        <v>0</v>
      </c>
      <c r="AV52" s="85">
        <v>0</v>
      </c>
      <c r="AW52" s="85">
        <v>0</v>
      </c>
      <c r="AX52" s="85">
        <v>293.262184408856</v>
      </c>
      <c r="AY52" s="85">
        <v>0</v>
      </c>
      <c r="AZ52" s="85">
        <v>0</v>
      </c>
      <c r="BA52" s="85">
        <v>26.931272142952199</v>
      </c>
      <c r="BB52" s="85">
        <v>1.0079665258571999</v>
      </c>
      <c r="BC52" s="85">
        <v>12.719280970007899</v>
      </c>
      <c r="BD52" s="85">
        <v>2.6550839390630299</v>
      </c>
    </row>
    <row r="53" spans="1:56" ht="11.25" customHeight="1" x14ac:dyDescent="0.25">
      <c r="A53" s="119"/>
      <c r="B53" s="119"/>
      <c r="C53" s="119"/>
      <c r="D53" s="119"/>
      <c r="E53" s="119"/>
      <c r="F53" s="119"/>
      <c r="G53" s="21" t="s">
        <v>100</v>
      </c>
      <c r="H53" s="21" t="s">
        <v>88</v>
      </c>
      <c r="I53" s="21">
        <f>'MERCADO TUSD'!$U$50</f>
        <v>165.69400000000005</v>
      </c>
      <c r="J53" s="17"/>
      <c r="L53" s="85">
        <f>('TUSD BE'!$L$53+'TUSD BF'!$L$53+'TUSD CVA'!$L$53)*1</f>
        <v>0</v>
      </c>
      <c r="M53" s="85">
        <f>('TUSD BE'!$M$53+'TUSD BF'!$M$53+'TUSD CVA'!$M$53)*1</f>
        <v>0.39453147039784159</v>
      </c>
      <c r="N53" s="85">
        <f ca="1">('TUSD BE'!$N$53+'TUSD BF'!$N$53+'TUSD CVA'!$N$53)*1</f>
        <v>3.3094088471314405</v>
      </c>
      <c r="O53" s="85">
        <f>('TUSD BE'!$O$53+'TUSD BF'!$O$53+'TUSD CVA'!$O$53)*1</f>
        <v>0</v>
      </c>
      <c r="P53" s="85">
        <f>('TUSD BE'!$P$53+'TUSD BF'!$P$53+'TUSD CVA'!$P$53)*1</f>
        <v>0</v>
      </c>
      <c r="Q53" s="85">
        <f>('TUSD BE'!$Q$53+'TUSD BF'!$Q$53+'TUSD CVA'!$Q$53)*1</f>
        <v>66.369865232212661</v>
      </c>
      <c r="R53" s="85">
        <f>('TUSD BE'!$R$53+'TUSD BF'!$R$53+'TUSD CVA'!$R$53)*1</f>
        <v>6.9769367212194551</v>
      </c>
      <c r="S53" s="85">
        <f>('TUSD BE'!$S$53+'TUSD BF'!$S$53+'TUSD CVA'!$S$53)*1</f>
        <v>0</v>
      </c>
      <c r="T53" s="85">
        <f>('TUSD BE'!$U$53+'TUSD BF'!$U$53+'TUSD CVA'!$U$53)*1</f>
        <v>70.110361004433329</v>
      </c>
      <c r="U53" s="85">
        <f>('TUSD BE'!$V$53+'TUSD BF'!$V$53+'TUSD CVA'!$V$53)*1</f>
        <v>18.844334147092333</v>
      </c>
      <c r="V53" s="85">
        <f>('TUSD BE'!$W$53+'TUSD BF'!$W$53+'TUSD CVA'!$W$53)*1</f>
        <v>2.277843438355351</v>
      </c>
      <c r="W53" s="85">
        <f>('TUSD BE'!$X$53+'TUSD BF'!$X$53+'TUSD CVA'!$X$53)*1</f>
        <v>0</v>
      </c>
      <c r="X53" s="85">
        <f>('TUSD BE'!$Y$53+'TUSD BF'!$Y$53+'TUSD CVA'!$Y$53)*1</f>
        <v>0</v>
      </c>
      <c r="Y53" s="85">
        <f>('TUSD BE'!$Z$53+'TUSD BF'!$Z$53+'TUSD CVA'!$Z$53)*1</f>
        <v>0</v>
      </c>
      <c r="Z53" s="85">
        <f>('TUSD BE'!$AA$53+'TUSD BF'!$AA$53+'TUSD CVA'!$AA$53)*1</f>
        <v>0</v>
      </c>
      <c r="AA53" s="85">
        <f>('TUSD BE'!$AC$53+'TUSD BF'!$AC$53+'TUSD CVA'!$AC$53)*1</f>
        <v>181.39470478353198</v>
      </c>
      <c r="AB53" s="85">
        <f ca="1">('TUSD BE'!$AE$53+'TUSD BF'!$AE$53+'TUSD CVA'!$AE$53)*1</f>
        <v>0</v>
      </c>
      <c r="AC53" s="85">
        <f ca="1">('TUSD BE'!$AF$53+'TUSD BF'!$AF$53+'TUSD CVA'!$AF$53)*1</f>
        <v>0</v>
      </c>
      <c r="AD53" s="85">
        <f>('TUSD BE'!$AH$53+'TUSD BF'!$AH$53+'TUSD CVA'!$AH$53)*1</f>
        <v>22.355157533351314</v>
      </c>
      <c r="AE53" s="85">
        <f>('TUSD BE'!$AI$53+'TUSD BF'!$AI$53+'TUSD CVA'!$AI$53)*1</f>
        <v>0.8402933845902758</v>
      </c>
      <c r="AF53" s="85">
        <f ca="1">('TUSD BE'!$AJ$53+'TUSD BF'!$AJ$53+'TUSD CVA'!$AJ$53)*1</f>
        <v>10.529883350185761</v>
      </c>
      <c r="AG53" s="85">
        <f ca="1">('TUSD BE'!$AK$53+'TUSD BF'!$AK$53+'TUSD CVA'!$AK$53)*1</f>
        <v>2.7065321383445813</v>
      </c>
      <c r="AI53" s="85">
        <v>0</v>
      </c>
      <c r="AJ53" s="85">
        <v>0.40800538119842999</v>
      </c>
      <c r="AK53" s="85">
        <v>3.4257422677039799</v>
      </c>
      <c r="AL53" s="85">
        <v>0</v>
      </c>
      <c r="AM53" s="85">
        <v>0</v>
      </c>
      <c r="AN53" s="85">
        <v>53.7518197634991</v>
      </c>
      <c r="AO53" s="85">
        <v>10.198150985874999</v>
      </c>
      <c r="AP53" s="85">
        <v>0</v>
      </c>
      <c r="AQ53" s="85">
        <v>44.225701292530204</v>
      </c>
      <c r="AR53" s="85">
        <v>12.7391017936664</v>
      </c>
      <c r="AS53" s="85">
        <v>1.4768755144429</v>
      </c>
      <c r="AT53" s="85">
        <v>0</v>
      </c>
      <c r="AU53" s="85">
        <v>0</v>
      </c>
      <c r="AV53" s="85">
        <v>0</v>
      </c>
      <c r="AW53" s="85">
        <v>0</v>
      </c>
      <c r="AX53" s="85">
        <v>175.957288361097</v>
      </c>
      <c r="AY53" s="85">
        <v>0</v>
      </c>
      <c r="AZ53" s="85">
        <v>0</v>
      </c>
      <c r="BA53" s="85">
        <v>26.931272142952199</v>
      </c>
      <c r="BB53" s="85">
        <v>1.0079665258571999</v>
      </c>
      <c r="BC53" s="85">
        <v>12.719280970007899</v>
      </c>
      <c r="BD53" s="85">
        <v>2.6550839390630299</v>
      </c>
    </row>
    <row r="54" spans="1:56" ht="11.25" customHeight="1" x14ac:dyDescent="0.25">
      <c r="A54" s="119"/>
      <c r="B54" s="119"/>
      <c r="C54" s="119"/>
      <c r="D54" s="119"/>
      <c r="E54" s="119"/>
      <c r="F54" s="119"/>
      <c r="G54" s="21" t="s">
        <v>90</v>
      </c>
      <c r="H54" s="21" t="s">
        <v>88</v>
      </c>
      <c r="I54" s="21">
        <f>'MERCADO TUSD'!$U$51</f>
        <v>2116.5709999999999</v>
      </c>
      <c r="J54" s="17"/>
      <c r="L54" s="85">
        <f>('TUSD BE'!$L$54+'TUSD BF'!$L$54+'TUSD CVA'!$L$54)*1</f>
        <v>0</v>
      </c>
      <c r="M54" s="85">
        <f>('TUSD BE'!$M$54+'TUSD BF'!$M$54+'TUSD CVA'!$M$54)*1</f>
        <v>0.39453147039784159</v>
      </c>
      <c r="N54" s="85">
        <f ca="1">('TUSD BE'!$N$54+'TUSD BF'!$N$54+'TUSD CVA'!$N$54)*1</f>
        <v>1.6413780186511084</v>
      </c>
      <c r="O54" s="85">
        <f>('TUSD BE'!$O$54+'TUSD BF'!$O$54+'TUSD CVA'!$O$54)*1</f>
        <v>0</v>
      </c>
      <c r="P54" s="85">
        <f>('TUSD BE'!$P$54+'TUSD BF'!$P$54+'TUSD CVA'!$P$54)*1</f>
        <v>0</v>
      </c>
      <c r="Q54" s="85">
        <f>('TUSD BE'!$Q$54+'TUSD BF'!$Q$54+'TUSD CVA'!$Q$54)*1</f>
        <v>66.369865232212661</v>
      </c>
      <c r="R54" s="85">
        <f>('TUSD BE'!$R$54+'TUSD BF'!$R$54+'TUSD CVA'!$R$54)*1</f>
        <v>6.9769367212194551</v>
      </c>
      <c r="S54" s="85">
        <f>('TUSD BE'!$S$54+'TUSD BF'!$S$54+'TUSD CVA'!$S$54)*1</f>
        <v>0</v>
      </c>
      <c r="T54" s="85">
        <f>('TUSD BE'!$U$54+'TUSD BF'!$U$54+'TUSD CVA'!$U$54)*1</f>
        <v>23.370120334811109</v>
      </c>
      <c r="U54" s="85">
        <f>('TUSD BE'!$V$54+'TUSD BF'!$V$54+'TUSD CVA'!$V$54)*1</f>
        <v>6.2816067171601695</v>
      </c>
      <c r="V54" s="85">
        <f>('TUSD BE'!$W$54+'TUSD BF'!$W$54+'TUSD CVA'!$W$54)*1</f>
        <v>0.75908144039879777</v>
      </c>
      <c r="W54" s="85">
        <f>('TUSD BE'!$X$54+'TUSD BF'!$X$54+'TUSD CVA'!$X$54)*1</f>
        <v>0</v>
      </c>
      <c r="X54" s="85">
        <f>('TUSD BE'!$Y$54+'TUSD BF'!$Y$54+'TUSD CVA'!$Y$54)*1</f>
        <v>0</v>
      </c>
      <c r="Y54" s="85">
        <f>('TUSD BE'!$Z$54+'TUSD BF'!$Z$54+'TUSD CVA'!$Z$54)*1</f>
        <v>0</v>
      </c>
      <c r="Z54" s="85">
        <f>('TUSD BE'!$AA$54+'TUSD BF'!$AA$54+'TUSD CVA'!$AA$54)*1</f>
        <v>0</v>
      </c>
      <c r="AA54" s="85">
        <f>('TUSD BE'!$AC$54+'TUSD BF'!$AC$54+'TUSD CVA'!$AC$54)*1</f>
        <v>60.464863306441572</v>
      </c>
      <c r="AB54" s="85">
        <f ca="1">('TUSD BE'!$AE$54+'TUSD BF'!$AE$54+'TUSD CVA'!$AE$54)*1</f>
        <v>0</v>
      </c>
      <c r="AC54" s="85">
        <f ca="1">('TUSD BE'!$AF$54+'TUSD BF'!$AF$54+'TUSD CVA'!$AF$54)*1</f>
        <v>0</v>
      </c>
      <c r="AD54" s="85">
        <f>('TUSD BE'!$AH$54+'TUSD BF'!$AH$54+'TUSD CVA'!$AH$54)*1</f>
        <v>22.355157533351314</v>
      </c>
      <c r="AE54" s="85">
        <f>('TUSD BE'!$AI$54+'TUSD BF'!$AI$54+'TUSD CVA'!$AI$54)*1</f>
        <v>0.8402933845902758</v>
      </c>
      <c r="AF54" s="85">
        <f ca="1">('TUSD BE'!$AJ$54+'TUSD BF'!$AJ$54+'TUSD CVA'!$AJ$54)*1</f>
        <v>10.529883350185761</v>
      </c>
      <c r="AG54" s="85">
        <f ca="1">('TUSD BE'!$AK$54+'TUSD BF'!$AK$54+'TUSD CVA'!$AK$54)*1</f>
        <v>2.7065321383445813</v>
      </c>
      <c r="AI54" s="85">
        <v>0</v>
      </c>
      <c r="AJ54" s="85">
        <v>0.40800538119842999</v>
      </c>
      <c r="AK54" s="85">
        <v>1.6848782012227399</v>
      </c>
      <c r="AL54" s="85">
        <v>0</v>
      </c>
      <c r="AM54" s="85">
        <v>0</v>
      </c>
      <c r="AN54" s="85">
        <v>53.7518197634991</v>
      </c>
      <c r="AO54" s="85">
        <v>10.198150985874999</v>
      </c>
      <c r="AP54" s="85">
        <v>0</v>
      </c>
      <c r="AQ54" s="85">
        <v>14.741900430843399</v>
      </c>
      <c r="AR54" s="85">
        <v>4.2464767803976402</v>
      </c>
      <c r="AS54" s="85">
        <v>0.492162355812509</v>
      </c>
      <c r="AT54" s="85">
        <v>0</v>
      </c>
      <c r="AU54" s="85">
        <v>0</v>
      </c>
      <c r="AV54" s="85">
        <v>0</v>
      </c>
      <c r="AW54" s="85">
        <v>0</v>
      </c>
      <c r="AX54" s="85">
        <v>58.652392313337998</v>
      </c>
      <c r="AY54" s="85">
        <v>0</v>
      </c>
      <c r="AZ54" s="85">
        <v>0</v>
      </c>
      <c r="BA54" s="85">
        <v>26.931272142952199</v>
      </c>
      <c r="BB54" s="85">
        <v>1.0079665258571999</v>
      </c>
      <c r="BC54" s="85">
        <v>12.719280970007899</v>
      </c>
      <c r="BD54" s="85">
        <v>2.6550839390630299</v>
      </c>
    </row>
    <row r="55" spans="1:56" ht="11.25" customHeight="1" x14ac:dyDescent="0.25">
      <c r="A55" s="119"/>
      <c r="B55" s="119" t="s">
        <v>23</v>
      </c>
      <c r="C55" s="119" t="s">
        <v>24</v>
      </c>
      <c r="D55" s="87" t="s">
        <v>24</v>
      </c>
      <c r="E55" s="87" t="s">
        <v>25</v>
      </c>
      <c r="F55" s="87" t="s">
        <v>25</v>
      </c>
      <c r="G55" s="21" t="s">
        <v>94</v>
      </c>
      <c r="H55" s="21" t="s">
        <v>88</v>
      </c>
      <c r="I55" s="21">
        <f>'MERCADO TUSD'!$U$52</f>
        <v>2322476.7919999999</v>
      </c>
      <c r="J55" s="17"/>
      <c r="L55" s="85">
        <f>('TUSD BE'!$L$55+'TUSD BF'!$L$55+'TUSD CVA'!$L$55)*1</f>
        <v>0</v>
      </c>
      <c r="M55" s="85">
        <f>('TUSD BE'!$M$55+'TUSD BF'!$M$55+'TUSD CVA'!$M$55)*1</f>
        <v>0.39453147039784159</v>
      </c>
      <c r="N55" s="85">
        <f ca="1">('TUSD BE'!$N$55+'TUSD BF'!$N$55+'TUSD CVA'!$N$55)*1</f>
        <v>2.2705482651995541</v>
      </c>
      <c r="O55" s="85">
        <f>('TUSD BE'!$O$55+'TUSD BF'!$O$55+'TUSD CVA'!$O$55)*1</f>
        <v>0</v>
      </c>
      <c r="P55" s="85">
        <f>('TUSD BE'!$P$55+'TUSD BF'!$P$55+'TUSD CVA'!$P$55)*1</f>
        <v>0</v>
      </c>
      <c r="Q55" s="85">
        <f>('TUSD BE'!$Q$55+'TUSD BF'!$Q$55+'TUSD CVA'!$Q$55)*1</f>
        <v>66.369865232212661</v>
      </c>
      <c r="R55" s="85">
        <f>('TUSD BE'!$R$55+'TUSD BF'!$R$55+'TUSD CVA'!$R$55)*1</f>
        <v>6.9769367212194551</v>
      </c>
      <c r="S55" s="85">
        <f>('TUSD BE'!$S$55+'TUSD BF'!$S$55+'TUSD CVA'!$S$55)*1</f>
        <v>0</v>
      </c>
      <c r="T55" s="85">
        <f>('TUSD BE'!$U$55+'TUSD BF'!$U$55+'TUSD CVA'!$U$55)*1</f>
        <v>41.000314302154493</v>
      </c>
      <c r="U55" s="85">
        <f>('TUSD BE'!$V$55+'TUSD BF'!$V$55+'TUSD CVA'!$V$55)*1</f>
        <v>11.020149501865133</v>
      </c>
      <c r="V55" s="85">
        <f>('TUSD BE'!$W$55+'TUSD BF'!$W$55+'TUSD CVA'!$W$55)*1</f>
        <v>1.3318374443619001</v>
      </c>
      <c r="W55" s="85">
        <f>('TUSD BE'!$X$55+'TUSD BF'!$X$55+'TUSD CVA'!$X$55)*1</f>
        <v>0</v>
      </c>
      <c r="X55" s="85">
        <f>('TUSD BE'!$Y$55+'TUSD BF'!$Y$55+'TUSD CVA'!$Y$55)*1</f>
        <v>0</v>
      </c>
      <c r="Y55" s="85">
        <f>('TUSD BE'!$Z$55+'TUSD BF'!$Z$55+'TUSD CVA'!$Z$55)*1</f>
        <v>0</v>
      </c>
      <c r="Z55" s="85">
        <f>('TUSD BE'!$AA$55+'TUSD BF'!$AA$55+'TUSD CVA'!$AA$55)*1</f>
        <v>0</v>
      </c>
      <c r="AA55" s="85">
        <f>('TUSD BE'!$AC$55+'TUSD BF'!$AC$55+'TUSD CVA'!$AC$55)*1</f>
        <v>106.07881838904487</v>
      </c>
      <c r="AB55" s="85">
        <f ca="1">('TUSD BE'!$AE$55+'TUSD BF'!$AE$55+'TUSD CVA'!$AE$55)*1</f>
        <v>0</v>
      </c>
      <c r="AC55" s="85">
        <f ca="1">('TUSD BE'!$AF$55+'TUSD BF'!$AF$55+'TUSD CVA'!$AF$55)*1</f>
        <v>0</v>
      </c>
      <c r="AD55" s="85">
        <f>('TUSD BE'!$AH$55+'TUSD BF'!$AH$55+'TUSD CVA'!$AH$55)*1</f>
        <v>22.355157533351314</v>
      </c>
      <c r="AE55" s="85">
        <f>('TUSD BE'!$AI$55+'TUSD BF'!$AI$55+'TUSD CVA'!$AI$55)*1</f>
        <v>0.8402933845902758</v>
      </c>
      <c r="AF55" s="85">
        <f ca="1">('TUSD BE'!$AJ$55+'TUSD BF'!$AJ$55+'TUSD CVA'!$AJ$55)*1</f>
        <v>10.529883350185761</v>
      </c>
      <c r="AG55" s="85">
        <f ca="1">('TUSD BE'!$AK$55+'TUSD BF'!$AK$55+'TUSD CVA'!$AK$55)*1</f>
        <v>2.7065321383445813</v>
      </c>
      <c r="AI55" s="85">
        <v>0</v>
      </c>
      <c r="AJ55" s="85">
        <v>0.40800538119842999</v>
      </c>
      <c r="AK55" s="85">
        <v>2.3415206656268399</v>
      </c>
      <c r="AL55" s="85">
        <v>0</v>
      </c>
      <c r="AM55" s="85">
        <v>0</v>
      </c>
      <c r="AN55" s="85">
        <v>53.7518197634991</v>
      </c>
      <c r="AO55" s="85">
        <v>10.198150985874999</v>
      </c>
      <c r="AP55" s="85">
        <v>0</v>
      </c>
      <c r="AQ55" s="85">
        <v>25.8630483034067</v>
      </c>
      <c r="AR55" s="85">
        <v>7.4498151640631596</v>
      </c>
      <c r="AS55" s="85">
        <v>0.863517692952807</v>
      </c>
      <c r="AT55" s="85">
        <v>0</v>
      </c>
      <c r="AU55" s="85">
        <v>0</v>
      </c>
      <c r="AV55" s="85">
        <v>0</v>
      </c>
      <c r="AW55" s="85">
        <v>0</v>
      </c>
      <c r="AX55" s="85">
        <v>102.89904139462</v>
      </c>
      <c r="AY55" s="85">
        <v>0</v>
      </c>
      <c r="AZ55" s="85">
        <v>0</v>
      </c>
      <c r="BA55" s="85">
        <v>26.931272142952199</v>
      </c>
      <c r="BB55" s="85">
        <v>1.0079665258571999</v>
      </c>
      <c r="BC55" s="85">
        <v>12.719280970007899</v>
      </c>
      <c r="BD55" s="85">
        <v>2.6550839390630299</v>
      </c>
    </row>
    <row r="56" spans="1:56" ht="11.25" customHeight="1" x14ac:dyDescent="0.25">
      <c r="A56" s="119"/>
      <c r="B56" s="119"/>
      <c r="C56" s="119"/>
      <c r="D56" s="87" t="s">
        <v>29</v>
      </c>
      <c r="E56" s="87" t="s">
        <v>25</v>
      </c>
      <c r="F56" s="87" t="s">
        <v>25</v>
      </c>
      <c r="G56" s="21" t="s">
        <v>94</v>
      </c>
      <c r="H56" s="21" t="s">
        <v>88</v>
      </c>
      <c r="I56" s="21">
        <f>'MERCADO TUSD'!$U$53</f>
        <v>3506.9700000000003</v>
      </c>
      <c r="J56" s="17"/>
      <c r="L56" s="85">
        <f>('TUSD BE'!$L$56+'TUSD BF'!$L$56+'TUSD CVA'!$L$56)*(1 - 0.65)</f>
        <v>0</v>
      </c>
      <c r="M56" s="85">
        <f>('TUSD BE'!$M$56+'TUSD BF'!$M$56+'TUSD CVA'!$M$56)*(1 - 0.65)</f>
        <v>0.13808601463924455</v>
      </c>
      <c r="N56" s="85">
        <f ca="1">('TUSD BE'!$N$56+'TUSD BF'!$N$56+'TUSD CVA'!$N$56)*(1 - 0.65)</f>
        <v>0.78962721667839897</v>
      </c>
      <c r="O56" s="85">
        <f>('TUSD BE'!$O$56+'TUSD BF'!$O$56+'TUSD CVA'!$O$56)*(1 - 0.65)</f>
        <v>0</v>
      </c>
      <c r="P56" s="85">
        <v>0</v>
      </c>
      <c r="Q56" s="85">
        <f>('TUSD BE'!$Q$56+'TUSD BF'!$Q$56+'TUSD CVA'!$Q$56)*(1 - 0.65)</f>
        <v>0</v>
      </c>
      <c r="R56" s="85">
        <v>0</v>
      </c>
      <c r="S56" s="85">
        <f>('TUSD BE'!$S$56+'TUSD BF'!$S$56+'TUSD CVA'!$S$56)*(1 - 0.65)</f>
        <v>0</v>
      </c>
      <c r="T56" s="85">
        <f>('TUSD BE'!$U$56+'TUSD BF'!$U$56+'TUSD CVA'!$U$56)*(1 - 0.65)</f>
        <v>14.350110005754072</v>
      </c>
      <c r="U56" s="85">
        <f>('TUSD BE'!$V$56+'TUSD BF'!$V$56+'TUSD CVA'!$V$56)*(1 - 0.65)</f>
        <v>3.8570523256527962</v>
      </c>
      <c r="V56" s="85">
        <f>('TUSD BE'!$W$56+'TUSD BF'!$W$56+'TUSD CVA'!$W$56)*(1 - 0.65)</f>
        <v>0.46614310552666499</v>
      </c>
      <c r="W56" s="85">
        <f>('TUSD BE'!$X$56+'TUSD BF'!$X$56+'TUSD CVA'!$X$56)*(1 - 0.65)</f>
        <v>0</v>
      </c>
      <c r="X56" s="85">
        <f>('TUSD BE'!$Y$56+'TUSD BF'!$Y$56+'TUSD CVA'!$Y$56)*(1 - 0.65)</f>
        <v>0</v>
      </c>
      <c r="Y56" s="85">
        <f>('TUSD BE'!$Z$56+'TUSD BF'!$Z$56+'TUSD CVA'!$Z$56)*(1 - 0.65)</f>
        <v>0</v>
      </c>
      <c r="Z56" s="85">
        <f>('TUSD BE'!$AA$56+'TUSD BF'!$AA$56+'TUSD CVA'!$AA$56)*(1 - 0.65)</f>
        <v>0</v>
      </c>
      <c r="AA56" s="85">
        <f>('TUSD BE'!$AC$56+'TUSD BF'!$AC$56+'TUSD CVA'!$AC$56)*(1 - 0.65)</f>
        <v>37.1275864361657</v>
      </c>
      <c r="AB56" s="85">
        <f ca="1">('TUSD BE'!$AE$56+'TUSD BF'!$AE$56+'TUSD CVA'!$AE$56)*(1 - 0.65)</f>
        <v>0</v>
      </c>
      <c r="AC56" s="85">
        <f ca="1">('TUSD BE'!$AF$56+'TUSD BF'!$AF$56+'TUSD CVA'!$AF$56)*(1 - 0.65)</f>
        <v>0</v>
      </c>
      <c r="AD56" s="85">
        <f>('TUSD BE'!$AH$56+'TUSD BF'!$AH$56+'TUSD CVA'!$AH$56)*(1 - 0.65)</f>
        <v>7.824305136672959</v>
      </c>
      <c r="AE56" s="85">
        <f>('TUSD BE'!$AI$56+'TUSD BF'!$AI$56+'TUSD CVA'!$AI$56)*(1 - 0.65)</f>
        <v>0.2941026846065965</v>
      </c>
      <c r="AF56" s="85">
        <f ca="1">('TUSD BE'!$AJ$56+'TUSD BF'!$AJ$56+'TUSD CVA'!$AJ$56)*(1 - 0.65)</f>
        <v>3.6854591725650163</v>
      </c>
      <c r="AG56" s="85">
        <f ca="1">('TUSD BE'!$AK$56+'TUSD BF'!$AK$56+'TUSD CVA'!$AK$56)*(1 - 0.65)</f>
        <v>0.94728624842060338</v>
      </c>
      <c r="AI56" s="85">
        <v>0</v>
      </c>
      <c r="AJ56" s="85">
        <v>0.14280188341945099</v>
      </c>
      <c r="AK56" s="85">
        <v>0.81424641177684498</v>
      </c>
      <c r="AL56" s="85">
        <v>0</v>
      </c>
      <c r="AM56" s="85">
        <v>0</v>
      </c>
      <c r="AN56" s="85">
        <v>0</v>
      </c>
      <c r="AO56" s="85">
        <v>0</v>
      </c>
      <c r="AP56" s="85">
        <v>0</v>
      </c>
      <c r="AQ56" s="85">
        <v>9.0520669061923407</v>
      </c>
      <c r="AR56" s="85">
        <v>2.6074353074221102</v>
      </c>
      <c r="AS56" s="85">
        <v>0.30223119253348202</v>
      </c>
      <c r="AT56" s="85">
        <v>0</v>
      </c>
      <c r="AU56" s="85">
        <v>0</v>
      </c>
      <c r="AV56" s="85">
        <v>0</v>
      </c>
      <c r="AW56" s="85">
        <v>0</v>
      </c>
      <c r="AX56" s="85">
        <v>36.014664488117099</v>
      </c>
      <c r="AY56" s="85">
        <v>0</v>
      </c>
      <c r="AZ56" s="85">
        <v>0</v>
      </c>
      <c r="BA56" s="85">
        <v>9.4259452500332692</v>
      </c>
      <c r="BB56" s="85">
        <v>0.35278828405002099</v>
      </c>
      <c r="BC56" s="85">
        <v>4.4517483395027799</v>
      </c>
      <c r="BD56" s="85">
        <v>0.92927937867206001</v>
      </c>
    </row>
    <row r="57" spans="1:56" ht="11.25" customHeight="1" x14ac:dyDescent="0.25">
      <c r="A57" s="119"/>
      <c r="B57" s="119"/>
      <c r="C57" s="119"/>
      <c r="D57" s="87" t="s">
        <v>30</v>
      </c>
      <c r="E57" s="87" t="s">
        <v>25</v>
      </c>
      <c r="F57" s="87" t="s">
        <v>25</v>
      </c>
      <c r="G57" s="21" t="s">
        <v>94</v>
      </c>
      <c r="H57" s="21" t="s">
        <v>88</v>
      </c>
      <c r="I57" s="21">
        <f>'MERCADO TUSD'!$U$54</f>
        <v>7395.655999999999</v>
      </c>
      <c r="J57" s="17"/>
      <c r="L57" s="85">
        <f>('TUSD BE'!$L$57+'TUSD BF'!$L$57+'TUSD CVA'!$L$57)*(1 - 0.4)</f>
        <v>0</v>
      </c>
      <c r="M57" s="85">
        <f>('TUSD BE'!$M$57+'TUSD BF'!$M$57+'TUSD CVA'!$M$57)*(1 - 0.4)</f>
        <v>0.23671888223870494</v>
      </c>
      <c r="N57" s="85">
        <f ca="1">('TUSD BE'!$N$57+'TUSD BF'!$N$57+'TUSD CVA'!$N$57)*(1 - 0.4)</f>
        <v>1.3536466571629697</v>
      </c>
      <c r="O57" s="85">
        <f>('TUSD BE'!$O$57+'TUSD BF'!$O$57+'TUSD CVA'!$O$57)*(1 - 0.4)</f>
        <v>0</v>
      </c>
      <c r="P57" s="85">
        <v>0</v>
      </c>
      <c r="Q57" s="85">
        <f>('TUSD BE'!$Q$57+'TUSD BF'!$Q$57+'TUSD CVA'!$Q$57)*(1 - 0.4)</f>
        <v>0</v>
      </c>
      <c r="R57" s="85">
        <v>0</v>
      </c>
      <c r="S57" s="85">
        <f>('TUSD BE'!$S$57+'TUSD BF'!$S$57+'TUSD CVA'!$S$57)*(1 - 0.4)</f>
        <v>0</v>
      </c>
      <c r="T57" s="85">
        <f>('TUSD BE'!$U$57+'TUSD BF'!$U$57+'TUSD CVA'!$U$57)*(1 - 0.4)</f>
        <v>24.600188581292695</v>
      </c>
      <c r="U57" s="85">
        <f>('TUSD BE'!$V$57+'TUSD BF'!$V$57+'TUSD CVA'!$V$57)*(1 - 0.4)</f>
        <v>6.6120897011190793</v>
      </c>
      <c r="V57" s="85">
        <f>('TUSD BE'!$W$57+'TUSD BF'!$W$57+'TUSD CVA'!$W$57)*(1 - 0.4)</f>
        <v>0.79910246661714002</v>
      </c>
      <c r="W57" s="85">
        <f>('TUSD BE'!$X$57+'TUSD BF'!$X$57+'TUSD CVA'!$X$57)*(1 - 0.4)</f>
        <v>0</v>
      </c>
      <c r="X57" s="85">
        <f>('TUSD BE'!$Y$57+'TUSD BF'!$Y$57+'TUSD CVA'!$Y$57)*(1 - 0.4)</f>
        <v>0</v>
      </c>
      <c r="Y57" s="85">
        <f>('TUSD BE'!$Z$57+'TUSD BF'!$Z$57+'TUSD CVA'!$Z$57)*(1 - 0.4)</f>
        <v>0</v>
      </c>
      <c r="Z57" s="85">
        <f>('TUSD BE'!$AA$57+'TUSD BF'!$AA$57+'TUSD CVA'!$AA$57)*(1 - 0.4)</f>
        <v>0</v>
      </c>
      <c r="AA57" s="85">
        <f>('TUSD BE'!$AC$57+'TUSD BF'!$AC$57+'TUSD CVA'!$AC$57)*(1 - 0.4)</f>
        <v>63.647291033426917</v>
      </c>
      <c r="AB57" s="85">
        <f ca="1">('TUSD BE'!$AE$57+'TUSD BF'!$AE$57+'TUSD CVA'!$AE$57)*(1 - 0.4)</f>
        <v>0</v>
      </c>
      <c r="AC57" s="85">
        <f ca="1">('TUSD BE'!$AF$57+'TUSD BF'!$AF$57+'TUSD CVA'!$AF$57)*(1 - 0.4)</f>
        <v>0</v>
      </c>
      <c r="AD57" s="85">
        <f>('TUSD BE'!$AH$57+'TUSD BF'!$AH$57+'TUSD CVA'!$AH$57)*(1 - 0.4)</f>
        <v>13.413094520010787</v>
      </c>
      <c r="AE57" s="85">
        <f>('TUSD BE'!$AI$57+'TUSD BF'!$AI$57+'TUSD CVA'!$AI$57)*(1 - 0.4)</f>
        <v>0.50417603075416551</v>
      </c>
      <c r="AF57" s="85">
        <f ca="1">('TUSD BE'!$AJ$57+'TUSD BF'!$AJ$57+'TUSD CVA'!$AJ$57)*(1 - 0.4)</f>
        <v>6.3179300101114562</v>
      </c>
      <c r="AG57" s="85">
        <f ca="1">('TUSD BE'!$AK$57+'TUSD BF'!$AK$57+'TUSD CVA'!$AK$57)*(1 - 0.4)</f>
        <v>1.6239192830067488</v>
      </c>
      <c r="AI57" s="85">
        <v>0</v>
      </c>
      <c r="AJ57" s="85">
        <v>0.24480322871905799</v>
      </c>
      <c r="AK57" s="85">
        <v>1.39585099161745</v>
      </c>
      <c r="AL57" s="85">
        <v>0</v>
      </c>
      <c r="AM57" s="85">
        <v>0</v>
      </c>
      <c r="AN57" s="85">
        <v>0</v>
      </c>
      <c r="AO57" s="85">
        <v>0</v>
      </c>
      <c r="AP57" s="85">
        <v>0</v>
      </c>
      <c r="AQ57" s="85">
        <v>15.517828982044</v>
      </c>
      <c r="AR57" s="85">
        <v>4.4698890984378998</v>
      </c>
      <c r="AS57" s="85">
        <v>0.51811061577168405</v>
      </c>
      <c r="AT57" s="85">
        <v>0</v>
      </c>
      <c r="AU57" s="85">
        <v>0</v>
      </c>
      <c r="AV57" s="85">
        <v>0</v>
      </c>
      <c r="AW57" s="85">
        <v>0</v>
      </c>
      <c r="AX57" s="85">
        <v>61.739424836772201</v>
      </c>
      <c r="AY57" s="85">
        <v>0</v>
      </c>
      <c r="AZ57" s="85">
        <v>0</v>
      </c>
      <c r="BA57" s="85">
        <v>16.1587632857713</v>
      </c>
      <c r="BB57" s="85">
        <v>0.60477991551432198</v>
      </c>
      <c r="BC57" s="85">
        <v>7.6315685820047596</v>
      </c>
      <c r="BD57" s="85">
        <v>1.5930503634378199</v>
      </c>
    </row>
    <row r="58" spans="1:56" ht="11.25" customHeight="1" x14ac:dyDescent="0.25">
      <c r="A58" s="119"/>
      <c r="B58" s="119"/>
      <c r="C58" s="119"/>
      <c r="D58" s="87" t="s">
        <v>31</v>
      </c>
      <c r="E58" s="87" t="s">
        <v>25</v>
      </c>
      <c r="F58" s="87" t="s">
        <v>25</v>
      </c>
      <c r="G58" s="21" t="s">
        <v>94</v>
      </c>
      <c r="H58" s="21" t="s">
        <v>88</v>
      </c>
      <c r="I58" s="21">
        <f>'MERCADO TUSD'!$U$55</f>
        <v>7295.3609999999999</v>
      </c>
      <c r="J58" s="17"/>
      <c r="L58" s="85">
        <f>('TUSD BE'!$L$58+'TUSD BF'!$L$58+'TUSD CVA'!$L$58)*(1 - 0.1)</f>
        <v>0</v>
      </c>
      <c r="M58" s="85">
        <f>('TUSD BE'!$M$58+'TUSD BF'!$M$58+'TUSD CVA'!$M$58)*(1 - 0.1)</f>
        <v>0.35507832335805745</v>
      </c>
      <c r="N58" s="85">
        <f ca="1">('TUSD BE'!$N$58+'TUSD BF'!$N$58+'TUSD CVA'!$N$58)*(1 - 0.1)</f>
        <v>2.0304699857444546</v>
      </c>
      <c r="O58" s="85">
        <f>('TUSD BE'!$O$58+'TUSD BF'!$O$58+'TUSD CVA'!$O$58)*(1 - 0.1)</f>
        <v>0</v>
      </c>
      <c r="P58" s="85">
        <v>0</v>
      </c>
      <c r="Q58" s="85">
        <f>('TUSD BE'!$Q$58+'TUSD BF'!$Q$58+'TUSD CVA'!$Q$58)*(1 - 0.1)</f>
        <v>0</v>
      </c>
      <c r="R58" s="85">
        <v>0</v>
      </c>
      <c r="S58" s="85">
        <f>('TUSD BE'!$S$58+'TUSD BF'!$S$58+'TUSD CVA'!$S$58)*(1 - 0.1)</f>
        <v>0</v>
      </c>
      <c r="T58" s="85">
        <f>('TUSD BE'!$U$58+'TUSD BF'!$U$58+'TUSD CVA'!$U$58)*(1 - 0.1)</f>
        <v>36.900282871939048</v>
      </c>
      <c r="U58" s="85">
        <f>('TUSD BE'!$V$58+'TUSD BF'!$V$58+'TUSD CVA'!$V$58)*(1 - 0.1)</f>
        <v>9.9181345516786195</v>
      </c>
      <c r="V58" s="85">
        <f>('TUSD BE'!$W$58+'TUSD BF'!$W$58+'TUSD CVA'!$W$58)*(1 - 0.1)</f>
        <v>1.19865369992571</v>
      </c>
      <c r="W58" s="85">
        <f>('TUSD BE'!$X$58+'TUSD BF'!$X$58+'TUSD CVA'!$X$58)*(1 - 0.1)</f>
        <v>0</v>
      </c>
      <c r="X58" s="85">
        <f>('TUSD BE'!$Y$58+'TUSD BF'!$Y$58+'TUSD CVA'!$Y$58)*(1 - 0.1)</f>
        <v>0</v>
      </c>
      <c r="Y58" s="85">
        <f>('TUSD BE'!$Z$58+'TUSD BF'!$Z$58+'TUSD CVA'!$Z$58)*(1 - 0.1)</f>
        <v>0</v>
      </c>
      <c r="Z58" s="85">
        <f>('TUSD BE'!$AA$58+'TUSD BF'!$AA$58+'TUSD CVA'!$AA$58)*(1 - 0.1)</f>
        <v>0</v>
      </c>
      <c r="AA58" s="85">
        <f>('TUSD BE'!$AC$58+'TUSD BF'!$AC$58+'TUSD CVA'!$AC$58)*(1 - 0.1)</f>
        <v>95.470936550140379</v>
      </c>
      <c r="AB58" s="85">
        <f ca="1">('TUSD BE'!$AE$58+'TUSD BF'!$AE$58+'TUSD CVA'!$AE$58)*(1 - 0.1)</f>
        <v>0</v>
      </c>
      <c r="AC58" s="85">
        <f ca="1">('TUSD BE'!$AF$58+'TUSD BF'!$AF$58+'TUSD CVA'!$AF$58)*(1 - 0.1)</f>
        <v>0</v>
      </c>
      <c r="AD58" s="85">
        <f>('TUSD BE'!$AH$58+'TUSD BF'!$AH$58+'TUSD CVA'!$AH$58)*(1 - 0.1)</f>
        <v>20.119641780016181</v>
      </c>
      <c r="AE58" s="85">
        <f>('TUSD BE'!$AI$58+'TUSD BF'!$AI$58+'TUSD CVA'!$AI$58)*(1 - 0.1)</f>
        <v>0.7562640461312482</v>
      </c>
      <c r="AF58" s="85">
        <f ca="1">('TUSD BE'!$AJ$58+'TUSD BF'!$AJ$58+'TUSD CVA'!$AJ$58)*(1 - 0.1)</f>
        <v>9.4768950151671856</v>
      </c>
      <c r="AG58" s="85">
        <f ca="1">('TUSD BE'!$AK$58+'TUSD BF'!$AK$58+'TUSD CVA'!$AK$58)*(1 - 0.1)</f>
        <v>2.4358789245101233</v>
      </c>
      <c r="AI58" s="85">
        <v>0</v>
      </c>
      <c r="AJ58" s="85">
        <v>0.36720484307858697</v>
      </c>
      <c r="AK58" s="85">
        <v>2.0937764874261702</v>
      </c>
      <c r="AL58" s="85">
        <v>0</v>
      </c>
      <c r="AM58" s="85">
        <v>0</v>
      </c>
      <c r="AN58" s="85">
        <v>0</v>
      </c>
      <c r="AO58" s="85">
        <v>0</v>
      </c>
      <c r="AP58" s="85">
        <v>0</v>
      </c>
      <c r="AQ58" s="85">
        <v>23.276743473065999</v>
      </c>
      <c r="AR58" s="85">
        <v>6.7048336476568497</v>
      </c>
      <c r="AS58" s="85">
        <v>0.77716592365752601</v>
      </c>
      <c r="AT58" s="85">
        <v>0</v>
      </c>
      <c r="AU58" s="85">
        <v>0</v>
      </c>
      <c r="AV58" s="85">
        <v>0</v>
      </c>
      <c r="AW58" s="85">
        <v>0</v>
      </c>
      <c r="AX58" s="85">
        <v>92.609137255158402</v>
      </c>
      <c r="AY58" s="85">
        <v>0</v>
      </c>
      <c r="AZ58" s="85">
        <v>0</v>
      </c>
      <c r="BA58" s="85">
        <v>24.238144928657</v>
      </c>
      <c r="BB58" s="85">
        <v>0.90716987327148402</v>
      </c>
      <c r="BC58" s="85">
        <v>11.4473528730071</v>
      </c>
      <c r="BD58" s="85">
        <v>2.3895755451567302</v>
      </c>
    </row>
    <row r="59" spans="1:56" ht="11.25" customHeight="1" x14ac:dyDescent="0.25">
      <c r="A59" s="119"/>
      <c r="B59" s="119"/>
      <c r="C59" s="119"/>
      <c r="D59" s="87" t="s">
        <v>32</v>
      </c>
      <c r="E59" s="87" t="s">
        <v>25</v>
      </c>
      <c r="F59" s="87" t="s">
        <v>25</v>
      </c>
      <c r="G59" s="21" t="s">
        <v>94</v>
      </c>
      <c r="H59" s="21" t="s">
        <v>88</v>
      </c>
      <c r="I59" s="21">
        <f>'MERCADO TUSD'!$U$56</f>
        <v>2602.4059999999999</v>
      </c>
      <c r="J59" s="17"/>
      <c r="L59" s="85">
        <f>('TUSD BE'!$L$59+'TUSD BF'!$L$59+'TUSD CVA'!$L$59)*1</f>
        <v>0</v>
      </c>
      <c r="M59" s="85">
        <f>('TUSD BE'!$M$59+'TUSD BF'!$M$59+'TUSD CVA'!$M$59)*1</f>
        <v>0.39453147039784159</v>
      </c>
      <c r="N59" s="85">
        <f ca="1">('TUSD BE'!$N$59+'TUSD BF'!$N$59+'TUSD CVA'!$N$59)*1</f>
        <v>2.256077761938283</v>
      </c>
      <c r="O59" s="85">
        <f>('TUSD BE'!$O$59+'TUSD BF'!$O$59+'TUSD CVA'!$O$59)*1</f>
        <v>0</v>
      </c>
      <c r="P59" s="85">
        <v>0</v>
      </c>
      <c r="Q59" s="85">
        <f>('TUSD BE'!$Q$59+'TUSD BF'!$Q$59+'TUSD CVA'!$Q$59)*1</f>
        <v>0</v>
      </c>
      <c r="R59" s="85">
        <v>0</v>
      </c>
      <c r="S59" s="85">
        <f>('TUSD BE'!$S$59+'TUSD BF'!$S$59+'TUSD CVA'!$S$59)*1</f>
        <v>0</v>
      </c>
      <c r="T59" s="85">
        <f>('TUSD BE'!$U$59+'TUSD BF'!$U$59+'TUSD CVA'!$U$59)*1</f>
        <v>41.000314302154493</v>
      </c>
      <c r="U59" s="85">
        <f>('TUSD BE'!$V$59+'TUSD BF'!$V$59+'TUSD CVA'!$V$59)*1</f>
        <v>11.020149501865133</v>
      </c>
      <c r="V59" s="85">
        <f>('TUSD BE'!$W$59+'TUSD BF'!$W$59+'TUSD CVA'!$W$59)*1</f>
        <v>1.3318374443619001</v>
      </c>
      <c r="W59" s="85">
        <f>('TUSD BE'!$X$59+'TUSD BF'!$X$59+'TUSD CVA'!$X$59)*1</f>
        <v>0</v>
      </c>
      <c r="X59" s="85">
        <f>('TUSD BE'!$Y$59+'TUSD BF'!$Y$59+'TUSD CVA'!$Y$59)*1</f>
        <v>0</v>
      </c>
      <c r="Y59" s="85">
        <f>('TUSD BE'!$Z$59+'TUSD BF'!$Z$59+'TUSD CVA'!$Z$59)*1</f>
        <v>0</v>
      </c>
      <c r="Z59" s="85">
        <f>('TUSD BE'!$AA$59+'TUSD BF'!$AA$59+'TUSD CVA'!$AA$59)*1</f>
        <v>0</v>
      </c>
      <c r="AA59" s="85">
        <f>('TUSD BE'!$AC$59+'TUSD BF'!$AC$59+'TUSD CVA'!$AC$59)*1</f>
        <v>106.07881838904487</v>
      </c>
      <c r="AB59" s="85">
        <f ca="1">('TUSD BE'!$AE$59+'TUSD BF'!$AE$59+'TUSD CVA'!$AE$59)*1</f>
        <v>0</v>
      </c>
      <c r="AC59" s="85">
        <f ca="1">('TUSD BE'!$AF$59+'TUSD BF'!$AF$59+'TUSD CVA'!$AF$59)*1</f>
        <v>0</v>
      </c>
      <c r="AD59" s="85">
        <f>('TUSD BE'!$AH$59+'TUSD BF'!$AH$59+'TUSD CVA'!$AH$59)*1</f>
        <v>22.355157533351314</v>
      </c>
      <c r="AE59" s="85">
        <f>('TUSD BE'!$AI$59+'TUSD BF'!$AI$59+'TUSD CVA'!$AI$59)*1</f>
        <v>0.8402933845902758</v>
      </c>
      <c r="AF59" s="85">
        <f ca="1">('TUSD BE'!$AJ$59+'TUSD BF'!$AJ$59+'TUSD CVA'!$AJ$59)*1</f>
        <v>10.529883350185761</v>
      </c>
      <c r="AG59" s="85">
        <f ca="1">('TUSD BE'!$AK$59+'TUSD BF'!$AK$59+'TUSD CVA'!$AK$59)*1</f>
        <v>2.7065321383445813</v>
      </c>
      <c r="AI59" s="85">
        <v>0</v>
      </c>
      <c r="AJ59" s="85">
        <v>0.40800538119842999</v>
      </c>
      <c r="AK59" s="85">
        <v>2.3264183193624102</v>
      </c>
      <c r="AL59" s="85">
        <v>0</v>
      </c>
      <c r="AM59" s="85">
        <v>0</v>
      </c>
      <c r="AN59" s="85">
        <v>0</v>
      </c>
      <c r="AO59" s="85">
        <v>0</v>
      </c>
      <c r="AP59" s="85">
        <v>0</v>
      </c>
      <c r="AQ59" s="85">
        <v>25.8630483034067</v>
      </c>
      <c r="AR59" s="85">
        <v>7.4498151640631596</v>
      </c>
      <c r="AS59" s="85">
        <v>0.863517692952807</v>
      </c>
      <c r="AT59" s="85">
        <v>0</v>
      </c>
      <c r="AU59" s="85">
        <v>0</v>
      </c>
      <c r="AV59" s="85">
        <v>0</v>
      </c>
      <c r="AW59" s="85">
        <v>0</v>
      </c>
      <c r="AX59" s="85">
        <v>102.89904139462</v>
      </c>
      <c r="AY59" s="85">
        <v>0</v>
      </c>
      <c r="AZ59" s="85">
        <v>0</v>
      </c>
      <c r="BA59" s="85">
        <v>26.931272142952199</v>
      </c>
      <c r="BB59" s="85">
        <v>1.0079665258571999</v>
      </c>
      <c r="BC59" s="85">
        <v>12.719280970007899</v>
      </c>
      <c r="BD59" s="85">
        <v>2.6550839390630299</v>
      </c>
    </row>
    <row r="60" spans="1:56" ht="11.25" customHeight="1" x14ac:dyDescent="0.25">
      <c r="A60" s="119"/>
      <c r="B60" s="119" t="s">
        <v>102</v>
      </c>
      <c r="C60" s="119" t="s">
        <v>24</v>
      </c>
      <c r="D60" s="87" t="s">
        <v>24</v>
      </c>
      <c r="E60" s="87" t="s">
        <v>25</v>
      </c>
      <c r="F60" s="87" t="s">
        <v>25</v>
      </c>
      <c r="G60" s="21" t="s">
        <v>94</v>
      </c>
      <c r="H60" s="21" t="s">
        <v>88</v>
      </c>
      <c r="I60" s="21">
        <f>'MERCADO TUSD'!$U$57</f>
        <v>0</v>
      </c>
      <c r="J60" s="17"/>
      <c r="L60" s="85">
        <f>('TUSD BE'!$L$60+'TUSD BF'!$L$60+'TUSD CVA'!$L$60)*1</f>
        <v>0</v>
      </c>
      <c r="M60" s="85">
        <f>('TUSD BE'!$M$60+'TUSD BF'!$M$60+'TUSD CVA'!$M$60)*1</f>
        <v>0.39453147039784159</v>
      </c>
      <c r="N60" s="85">
        <f ca="1">('TUSD BE'!$N$60+'TUSD BF'!$N$60+'TUSD CVA'!$N$60)*1</f>
        <v>2.2705482651995541</v>
      </c>
      <c r="O60" s="85">
        <f>('TUSD BE'!$O$60+'TUSD BF'!$O$60+'TUSD CVA'!$O$60)*1</f>
        <v>0</v>
      </c>
      <c r="P60" s="85">
        <f>('TUSD BE'!$P$60+'TUSD BF'!$P$60+'TUSD CVA'!$P$60)*1</f>
        <v>0</v>
      </c>
      <c r="Q60" s="85">
        <f>('TUSD BE'!$Q$60+'TUSD BF'!$Q$60+'TUSD CVA'!$Q$60)*1</f>
        <v>66.369865232212661</v>
      </c>
      <c r="R60" s="85">
        <f>('TUSD BE'!$R$60+'TUSD BF'!$R$60+'TUSD CVA'!$R$60)*1</f>
        <v>6.9769367212194551</v>
      </c>
      <c r="S60" s="85">
        <f>('TUSD BE'!$S$60+'TUSD BF'!$S$60+'TUSD CVA'!$S$60)*1</f>
        <v>0</v>
      </c>
      <c r="T60" s="85">
        <f>('TUSD BE'!$U$60+'TUSD BF'!$U$60+'TUSD CVA'!$U$60)*1</f>
        <v>41.000314302154493</v>
      </c>
      <c r="U60" s="85">
        <f>('TUSD BE'!$V$60+'TUSD BF'!$V$60+'TUSD CVA'!$V$60)*1</f>
        <v>11.020149501865133</v>
      </c>
      <c r="V60" s="85">
        <f>('TUSD BE'!$W$60+'TUSD BF'!$W$60+'TUSD CVA'!$W$60)*1</f>
        <v>1.3318374443619001</v>
      </c>
      <c r="W60" s="85">
        <f>('TUSD BE'!$X$60+'TUSD BF'!$X$60+'TUSD CVA'!$X$60)*1</f>
        <v>0</v>
      </c>
      <c r="X60" s="85">
        <f>('TUSD BE'!$Y$60+'TUSD BF'!$Y$60+'TUSD CVA'!$Y$60)*1</f>
        <v>0</v>
      </c>
      <c r="Y60" s="85">
        <f>('TUSD BE'!$Z$60+'TUSD BF'!$Z$60+'TUSD CVA'!$Z$60)*1</f>
        <v>0</v>
      </c>
      <c r="Z60" s="85">
        <f>('TUSD BE'!$AA$60+'TUSD BF'!$AA$60+'TUSD CVA'!$AA$60)*1</f>
        <v>0</v>
      </c>
      <c r="AA60" s="85">
        <f>('TUSD BE'!$AC$60+'TUSD BF'!$AC$60+'TUSD CVA'!$AC$60)*1</f>
        <v>106.07881838904487</v>
      </c>
      <c r="AB60" s="85">
        <f ca="1">('TUSD BE'!$AE$60+'TUSD BF'!$AE$60+'TUSD CVA'!$AE$60)*1</f>
        <v>0</v>
      </c>
      <c r="AC60" s="85">
        <f ca="1">('TUSD BE'!$AF$60+'TUSD BF'!$AF$60+'TUSD CVA'!$AF$60)*1</f>
        <v>0</v>
      </c>
      <c r="AD60" s="85">
        <f>('TUSD BE'!$AH$60+'TUSD BF'!$AH$60+'TUSD CVA'!$AH$60)*1</f>
        <v>22.355157533351314</v>
      </c>
      <c r="AE60" s="85">
        <f>('TUSD BE'!$AI$60+'TUSD BF'!$AI$60+'TUSD CVA'!$AI$60)*1</f>
        <v>0.8402933845902758</v>
      </c>
      <c r="AF60" s="85">
        <f ca="1">('TUSD BE'!$AJ$60+'TUSD BF'!$AJ$60+'TUSD CVA'!$AJ$60)*1</f>
        <v>10.529883350185761</v>
      </c>
      <c r="AG60" s="85">
        <f ca="1">('TUSD BE'!$AK$60+'TUSD BF'!$AK$60+'TUSD CVA'!$AK$60)*1</f>
        <v>2.7065321383445813</v>
      </c>
      <c r="AI60" s="85">
        <v>0</v>
      </c>
      <c r="AJ60" s="85">
        <v>0.40800538119842999</v>
      </c>
      <c r="AK60" s="85">
        <v>2.3415206656268399</v>
      </c>
      <c r="AL60" s="85">
        <v>0</v>
      </c>
      <c r="AM60" s="85">
        <v>0</v>
      </c>
      <c r="AN60" s="85">
        <v>53.7518197634991</v>
      </c>
      <c r="AO60" s="85">
        <v>10.198150985874999</v>
      </c>
      <c r="AP60" s="85">
        <v>0</v>
      </c>
      <c r="AQ60" s="85">
        <v>25.8630483034067</v>
      </c>
      <c r="AR60" s="85">
        <v>7.4498151640631596</v>
      </c>
      <c r="AS60" s="85">
        <v>0.863517692952807</v>
      </c>
      <c r="AT60" s="85">
        <v>0</v>
      </c>
      <c r="AU60" s="85">
        <v>0</v>
      </c>
      <c r="AV60" s="85">
        <v>0</v>
      </c>
      <c r="AW60" s="85">
        <v>0</v>
      </c>
      <c r="AX60" s="85">
        <v>102.89904139462</v>
      </c>
      <c r="AY60" s="85">
        <v>0</v>
      </c>
      <c r="AZ60" s="85">
        <v>0</v>
      </c>
      <c r="BA60" s="85">
        <v>26.931272142952199</v>
      </c>
      <c r="BB60" s="85">
        <v>1.0079665258571999</v>
      </c>
      <c r="BC60" s="85">
        <v>12.719280970007899</v>
      </c>
      <c r="BD60" s="85">
        <v>2.6550839390630299</v>
      </c>
    </row>
    <row r="61" spans="1:56" ht="11.25" customHeight="1" x14ac:dyDescent="0.25">
      <c r="A61" s="119"/>
      <c r="B61" s="119"/>
      <c r="C61" s="119"/>
      <c r="D61" s="87" t="s">
        <v>29</v>
      </c>
      <c r="E61" s="87" t="s">
        <v>25</v>
      </c>
      <c r="F61" s="87" t="s">
        <v>25</v>
      </c>
      <c r="G61" s="21" t="s">
        <v>94</v>
      </c>
      <c r="H61" s="21" t="s">
        <v>88</v>
      </c>
      <c r="I61" s="21">
        <f>'MERCADO TUSD'!$U$58</f>
        <v>0</v>
      </c>
      <c r="J61" s="17"/>
      <c r="L61" s="85">
        <f>('TUSD BE'!$L$61+'TUSD BF'!$L$61+'TUSD CVA'!$L$61)*(1 - 0.65)</f>
        <v>0</v>
      </c>
      <c r="M61" s="85">
        <f>('TUSD BE'!$M$61+'TUSD BF'!$M$61+'TUSD CVA'!$M$61)*(1 - 0.65)</f>
        <v>0.13808601463924455</v>
      </c>
      <c r="N61" s="85">
        <f ca="1">('TUSD BE'!$N$61+'TUSD BF'!$N$61+'TUSD CVA'!$N$61)*(1 - 0.65)</f>
        <v>0.78962721667839897</v>
      </c>
      <c r="O61" s="85">
        <f>('TUSD BE'!$O$61+'TUSD BF'!$O$61+'TUSD CVA'!$O$61)*(1 - 0.65)</f>
        <v>0</v>
      </c>
      <c r="P61" s="85">
        <v>0</v>
      </c>
      <c r="Q61" s="85">
        <f>('TUSD BE'!$Q$61+'TUSD BF'!$Q$61+'TUSD CVA'!$Q$61)*(1 - 0.65)</f>
        <v>0</v>
      </c>
      <c r="R61" s="85">
        <v>0</v>
      </c>
      <c r="S61" s="85">
        <f>('TUSD BE'!$S$61+'TUSD BF'!$S$61+'TUSD CVA'!$S$61)*(1 - 0.65)</f>
        <v>0</v>
      </c>
      <c r="T61" s="85">
        <f>('TUSD BE'!$U$61+'TUSD BF'!$U$61+'TUSD CVA'!$U$61)*(1 - 0.65)</f>
        <v>14.350110005754072</v>
      </c>
      <c r="U61" s="85">
        <f>('TUSD BE'!$V$61+'TUSD BF'!$V$61+'TUSD CVA'!$V$61)*(1 - 0.65)</f>
        <v>3.8570523256527962</v>
      </c>
      <c r="V61" s="85">
        <f>('TUSD BE'!$W$61+'TUSD BF'!$W$61+'TUSD CVA'!$W$61)*(1 - 0.65)</f>
        <v>0.46614310552666499</v>
      </c>
      <c r="W61" s="85">
        <f>('TUSD BE'!$X$61+'TUSD BF'!$X$61+'TUSD CVA'!$X$61)*(1 - 0.65)</f>
        <v>0</v>
      </c>
      <c r="X61" s="85">
        <f>('TUSD BE'!$Y$61+'TUSD BF'!$Y$61+'TUSD CVA'!$Y$61)*(1 - 0.65)</f>
        <v>0</v>
      </c>
      <c r="Y61" s="85">
        <f>('TUSD BE'!$Z$61+'TUSD BF'!$Z$61+'TUSD CVA'!$Z$61)*(1 - 0.65)</f>
        <v>0</v>
      </c>
      <c r="Z61" s="85">
        <f>('TUSD BE'!$AA$61+'TUSD BF'!$AA$61+'TUSD CVA'!$AA$61)*(1 - 0.65)</f>
        <v>0</v>
      </c>
      <c r="AA61" s="85">
        <f>('TUSD BE'!$AC$61+'TUSD BF'!$AC$61+'TUSD CVA'!$AC$61)*(1 - 0.65)</f>
        <v>37.1275864361657</v>
      </c>
      <c r="AB61" s="85">
        <f ca="1">('TUSD BE'!$AE$61+'TUSD BF'!$AE$61+'TUSD CVA'!$AE$61)*(1 - 0.65)</f>
        <v>0</v>
      </c>
      <c r="AC61" s="85">
        <f ca="1">('TUSD BE'!$AF$61+'TUSD BF'!$AF$61+'TUSD CVA'!$AF$61)*(1 - 0.65)</f>
        <v>0</v>
      </c>
      <c r="AD61" s="85">
        <f>('TUSD BE'!$AH$61+'TUSD BF'!$AH$61+'TUSD CVA'!$AH$61)*(1 - 0.65)</f>
        <v>7.824305136672959</v>
      </c>
      <c r="AE61" s="85">
        <f>('TUSD BE'!$AI$61+'TUSD BF'!$AI$61+'TUSD CVA'!$AI$61)*(1 - 0.65)</f>
        <v>0.2941026846065965</v>
      </c>
      <c r="AF61" s="85">
        <f ca="1">('TUSD BE'!$AJ$61+'TUSD BF'!$AJ$61+'TUSD CVA'!$AJ$61)*(1 - 0.65)</f>
        <v>3.6854591725650163</v>
      </c>
      <c r="AG61" s="85">
        <f ca="1">('TUSD BE'!$AK$61+'TUSD BF'!$AK$61+'TUSD CVA'!$AK$61)*(1 - 0.65)</f>
        <v>0.94728624842060338</v>
      </c>
      <c r="AI61" s="85">
        <v>0</v>
      </c>
      <c r="AJ61" s="85">
        <v>0.14280188341945099</v>
      </c>
      <c r="AK61" s="85">
        <v>0.81424641177684498</v>
      </c>
      <c r="AL61" s="85">
        <v>0</v>
      </c>
      <c r="AM61" s="85">
        <v>0</v>
      </c>
      <c r="AN61" s="85">
        <v>0</v>
      </c>
      <c r="AO61" s="85">
        <v>0</v>
      </c>
      <c r="AP61" s="85">
        <v>0</v>
      </c>
      <c r="AQ61" s="85">
        <v>9.0520669061923407</v>
      </c>
      <c r="AR61" s="85">
        <v>2.6074353074221102</v>
      </c>
      <c r="AS61" s="85">
        <v>0.30223119253348202</v>
      </c>
      <c r="AT61" s="85">
        <v>0</v>
      </c>
      <c r="AU61" s="85">
        <v>0</v>
      </c>
      <c r="AV61" s="85">
        <v>0</v>
      </c>
      <c r="AW61" s="85">
        <v>0</v>
      </c>
      <c r="AX61" s="85">
        <v>36.014664488117099</v>
      </c>
      <c r="AY61" s="85">
        <v>0</v>
      </c>
      <c r="AZ61" s="85">
        <v>0</v>
      </c>
      <c r="BA61" s="85">
        <v>9.4259452500332692</v>
      </c>
      <c r="BB61" s="85">
        <v>0.35278828405002099</v>
      </c>
      <c r="BC61" s="85">
        <v>4.4517483395027799</v>
      </c>
      <c r="BD61" s="85">
        <v>0.92927937867206001</v>
      </c>
    </row>
    <row r="62" spans="1:56" ht="11.25" customHeight="1" x14ac:dyDescent="0.25">
      <c r="A62" s="119"/>
      <c r="B62" s="119"/>
      <c r="C62" s="119"/>
      <c r="D62" s="87" t="s">
        <v>30</v>
      </c>
      <c r="E62" s="87" t="s">
        <v>25</v>
      </c>
      <c r="F62" s="87" t="s">
        <v>25</v>
      </c>
      <c r="G62" s="21" t="s">
        <v>94</v>
      </c>
      <c r="H62" s="21" t="s">
        <v>88</v>
      </c>
      <c r="I62" s="21">
        <f>'MERCADO TUSD'!$U$59</f>
        <v>0</v>
      </c>
      <c r="J62" s="17"/>
      <c r="L62" s="85">
        <f>('TUSD BE'!$L$62+'TUSD BF'!$L$62+'TUSD CVA'!$L$62)*(1 - 0.4)</f>
        <v>0</v>
      </c>
      <c r="M62" s="85">
        <f>('TUSD BE'!$M$62+'TUSD BF'!$M$62+'TUSD CVA'!$M$62)*(1 - 0.4)</f>
        <v>0.23671888223870494</v>
      </c>
      <c r="N62" s="85">
        <f ca="1">('TUSD BE'!$N$62+'TUSD BF'!$N$62+'TUSD CVA'!$N$62)*(1 - 0.4)</f>
        <v>1.3536466571629697</v>
      </c>
      <c r="O62" s="85">
        <f>('TUSD BE'!$O$62+'TUSD BF'!$O$62+'TUSD CVA'!$O$62)*(1 - 0.4)</f>
        <v>0</v>
      </c>
      <c r="P62" s="85">
        <v>0</v>
      </c>
      <c r="Q62" s="85">
        <f>('TUSD BE'!$Q$62+'TUSD BF'!$Q$62+'TUSD CVA'!$Q$62)*(1 - 0.4)</f>
        <v>0</v>
      </c>
      <c r="R62" s="85">
        <v>0</v>
      </c>
      <c r="S62" s="85">
        <f>('TUSD BE'!$S$62+'TUSD BF'!$S$62+'TUSD CVA'!$S$62)*(1 - 0.4)</f>
        <v>0</v>
      </c>
      <c r="T62" s="85">
        <f>('TUSD BE'!$U$62+'TUSD BF'!$U$62+'TUSD CVA'!$U$62)*(1 - 0.4)</f>
        <v>24.600188581292695</v>
      </c>
      <c r="U62" s="85">
        <f>('TUSD BE'!$V$62+'TUSD BF'!$V$62+'TUSD CVA'!$V$62)*(1 - 0.4)</f>
        <v>6.6120897011190793</v>
      </c>
      <c r="V62" s="85">
        <f>('TUSD BE'!$W$62+'TUSD BF'!$W$62+'TUSD CVA'!$W$62)*(1 - 0.4)</f>
        <v>0.79910246661714002</v>
      </c>
      <c r="W62" s="85">
        <f>('TUSD BE'!$X$62+'TUSD BF'!$X$62+'TUSD CVA'!$X$62)*(1 - 0.4)</f>
        <v>0</v>
      </c>
      <c r="X62" s="85">
        <f>('TUSD BE'!$Y$62+'TUSD BF'!$Y$62+'TUSD CVA'!$Y$62)*(1 - 0.4)</f>
        <v>0</v>
      </c>
      <c r="Y62" s="85">
        <f>('TUSD BE'!$Z$62+'TUSD BF'!$Z$62+'TUSD CVA'!$Z$62)*(1 - 0.4)</f>
        <v>0</v>
      </c>
      <c r="Z62" s="85">
        <f>('TUSD BE'!$AA$62+'TUSD BF'!$AA$62+'TUSD CVA'!$AA$62)*(1 - 0.4)</f>
        <v>0</v>
      </c>
      <c r="AA62" s="85">
        <f>('TUSD BE'!$AC$62+'TUSD BF'!$AC$62+'TUSD CVA'!$AC$62)*(1 - 0.4)</f>
        <v>63.647291033426917</v>
      </c>
      <c r="AB62" s="85">
        <f ca="1">('TUSD BE'!$AE$62+'TUSD BF'!$AE$62+'TUSD CVA'!$AE$62)*(1 - 0.4)</f>
        <v>0</v>
      </c>
      <c r="AC62" s="85">
        <f ca="1">('TUSD BE'!$AF$62+'TUSD BF'!$AF$62+'TUSD CVA'!$AF$62)*(1 - 0.4)</f>
        <v>0</v>
      </c>
      <c r="AD62" s="85">
        <f>('TUSD BE'!$AH$62+'TUSD BF'!$AH$62+'TUSD CVA'!$AH$62)*(1 - 0.4)</f>
        <v>13.413094520010787</v>
      </c>
      <c r="AE62" s="85">
        <f>('TUSD BE'!$AI$62+'TUSD BF'!$AI$62+'TUSD CVA'!$AI$62)*(1 - 0.4)</f>
        <v>0.50417603075416551</v>
      </c>
      <c r="AF62" s="85">
        <f ca="1">('TUSD BE'!$AJ$62+'TUSD BF'!$AJ$62+'TUSD CVA'!$AJ$62)*(1 - 0.4)</f>
        <v>6.3179300101114562</v>
      </c>
      <c r="AG62" s="85">
        <f ca="1">('TUSD BE'!$AK$62+'TUSD BF'!$AK$62+'TUSD CVA'!$AK$62)*(1 - 0.4)</f>
        <v>1.6239192830067488</v>
      </c>
      <c r="AI62" s="85">
        <v>0</v>
      </c>
      <c r="AJ62" s="85">
        <v>0.24480322871905799</v>
      </c>
      <c r="AK62" s="85">
        <v>1.39585099161745</v>
      </c>
      <c r="AL62" s="85">
        <v>0</v>
      </c>
      <c r="AM62" s="85">
        <v>0</v>
      </c>
      <c r="AN62" s="85">
        <v>0</v>
      </c>
      <c r="AO62" s="85">
        <v>0</v>
      </c>
      <c r="AP62" s="85">
        <v>0</v>
      </c>
      <c r="AQ62" s="85">
        <v>15.517828982044</v>
      </c>
      <c r="AR62" s="85">
        <v>4.4698890984378998</v>
      </c>
      <c r="AS62" s="85">
        <v>0.51811061577168405</v>
      </c>
      <c r="AT62" s="85">
        <v>0</v>
      </c>
      <c r="AU62" s="85">
        <v>0</v>
      </c>
      <c r="AV62" s="85">
        <v>0</v>
      </c>
      <c r="AW62" s="85">
        <v>0</v>
      </c>
      <c r="AX62" s="85">
        <v>61.739424836772201</v>
      </c>
      <c r="AY62" s="85">
        <v>0</v>
      </c>
      <c r="AZ62" s="85">
        <v>0</v>
      </c>
      <c r="BA62" s="85">
        <v>16.1587632857713</v>
      </c>
      <c r="BB62" s="85">
        <v>0.60477991551432198</v>
      </c>
      <c r="BC62" s="85">
        <v>7.6315685820047596</v>
      </c>
      <c r="BD62" s="85">
        <v>1.5930503634378199</v>
      </c>
    </row>
    <row r="63" spans="1:56" ht="11.25" customHeight="1" x14ac:dyDescent="0.25">
      <c r="A63" s="119"/>
      <c r="B63" s="119"/>
      <c r="C63" s="119"/>
      <c r="D63" s="87" t="s">
        <v>31</v>
      </c>
      <c r="E63" s="87" t="s">
        <v>25</v>
      </c>
      <c r="F63" s="87" t="s">
        <v>25</v>
      </c>
      <c r="G63" s="21" t="s">
        <v>94</v>
      </c>
      <c r="H63" s="21" t="s">
        <v>88</v>
      </c>
      <c r="I63" s="21">
        <f>'MERCADO TUSD'!$U$60</f>
        <v>0</v>
      </c>
      <c r="J63" s="17"/>
      <c r="L63" s="85">
        <f>('TUSD BE'!$L$63+'TUSD BF'!$L$63+'TUSD CVA'!$L$63)*(1 - 0.1)</f>
        <v>0</v>
      </c>
      <c r="M63" s="85">
        <f>('TUSD BE'!$M$63+'TUSD BF'!$M$63+'TUSD CVA'!$M$63)*(1 - 0.1)</f>
        <v>0.35507832335805745</v>
      </c>
      <c r="N63" s="85">
        <f ca="1">('TUSD BE'!$N$63+'TUSD BF'!$N$63+'TUSD CVA'!$N$63)*(1 - 0.1)</f>
        <v>2.0304699857444546</v>
      </c>
      <c r="O63" s="85">
        <f>('TUSD BE'!$O$63+'TUSD BF'!$O$63+'TUSD CVA'!$O$63)*(1 - 0.1)</f>
        <v>0</v>
      </c>
      <c r="P63" s="85">
        <v>0</v>
      </c>
      <c r="Q63" s="85">
        <f>('TUSD BE'!$Q$63+'TUSD BF'!$Q$63+'TUSD CVA'!$Q$63)*(1 - 0.1)</f>
        <v>0</v>
      </c>
      <c r="R63" s="85">
        <v>0</v>
      </c>
      <c r="S63" s="85">
        <f>('TUSD BE'!$S$63+'TUSD BF'!$S$63+'TUSD CVA'!$S$63)*(1 - 0.1)</f>
        <v>0</v>
      </c>
      <c r="T63" s="85">
        <f>('TUSD BE'!$U$63+'TUSD BF'!$U$63+'TUSD CVA'!$U$63)*(1 - 0.1)</f>
        <v>36.900282871939048</v>
      </c>
      <c r="U63" s="85">
        <f>('TUSD BE'!$V$63+'TUSD BF'!$V$63+'TUSD CVA'!$V$63)*(1 - 0.1)</f>
        <v>9.9181345516786195</v>
      </c>
      <c r="V63" s="85">
        <f>('TUSD BE'!$W$63+'TUSD BF'!$W$63+'TUSD CVA'!$W$63)*(1 - 0.1)</f>
        <v>1.19865369992571</v>
      </c>
      <c r="W63" s="85">
        <f>('TUSD BE'!$X$63+'TUSD BF'!$X$63+'TUSD CVA'!$X$63)*(1 - 0.1)</f>
        <v>0</v>
      </c>
      <c r="X63" s="85">
        <f>('TUSD BE'!$Y$63+'TUSD BF'!$Y$63+'TUSD CVA'!$Y$63)*(1 - 0.1)</f>
        <v>0</v>
      </c>
      <c r="Y63" s="85">
        <f>('TUSD BE'!$Z$63+'TUSD BF'!$Z$63+'TUSD CVA'!$Z$63)*(1 - 0.1)</f>
        <v>0</v>
      </c>
      <c r="Z63" s="85">
        <f>('TUSD BE'!$AA$63+'TUSD BF'!$AA$63+'TUSD CVA'!$AA$63)*(1 - 0.1)</f>
        <v>0</v>
      </c>
      <c r="AA63" s="85">
        <f>('TUSD BE'!$AC$63+'TUSD BF'!$AC$63+'TUSD CVA'!$AC$63)*(1 - 0.1)</f>
        <v>95.470936550140379</v>
      </c>
      <c r="AB63" s="85">
        <f ca="1">('TUSD BE'!$AE$63+'TUSD BF'!$AE$63+'TUSD CVA'!$AE$63)*(1 - 0.1)</f>
        <v>0</v>
      </c>
      <c r="AC63" s="85">
        <f ca="1">('TUSD BE'!$AF$63+'TUSD BF'!$AF$63+'TUSD CVA'!$AF$63)*(1 - 0.1)</f>
        <v>0</v>
      </c>
      <c r="AD63" s="85">
        <f>('TUSD BE'!$AH$63+'TUSD BF'!$AH$63+'TUSD CVA'!$AH$63)*(1 - 0.1)</f>
        <v>20.119641780016181</v>
      </c>
      <c r="AE63" s="85">
        <f>('TUSD BE'!$AI$63+'TUSD BF'!$AI$63+'TUSD CVA'!$AI$63)*(1 - 0.1)</f>
        <v>0.7562640461312482</v>
      </c>
      <c r="AF63" s="85">
        <f ca="1">('TUSD BE'!$AJ$63+'TUSD BF'!$AJ$63+'TUSD CVA'!$AJ$63)*(1 - 0.1)</f>
        <v>9.4768950151671856</v>
      </c>
      <c r="AG63" s="85">
        <f ca="1">('TUSD BE'!$AK$63+'TUSD BF'!$AK$63+'TUSD CVA'!$AK$63)*(1 - 0.1)</f>
        <v>2.4358789245101233</v>
      </c>
      <c r="AI63" s="85">
        <v>0</v>
      </c>
      <c r="AJ63" s="85">
        <v>0.36720484307858697</v>
      </c>
      <c r="AK63" s="85">
        <v>2.0937764874261702</v>
      </c>
      <c r="AL63" s="85">
        <v>0</v>
      </c>
      <c r="AM63" s="85">
        <v>0</v>
      </c>
      <c r="AN63" s="85">
        <v>0</v>
      </c>
      <c r="AO63" s="85">
        <v>0</v>
      </c>
      <c r="AP63" s="85">
        <v>0</v>
      </c>
      <c r="AQ63" s="85">
        <v>23.276743473065999</v>
      </c>
      <c r="AR63" s="85">
        <v>6.7048336476568497</v>
      </c>
      <c r="AS63" s="85">
        <v>0.77716592365752601</v>
      </c>
      <c r="AT63" s="85">
        <v>0</v>
      </c>
      <c r="AU63" s="85">
        <v>0</v>
      </c>
      <c r="AV63" s="85">
        <v>0</v>
      </c>
      <c r="AW63" s="85">
        <v>0</v>
      </c>
      <c r="AX63" s="85">
        <v>92.609137255158402</v>
      </c>
      <c r="AY63" s="85">
        <v>0</v>
      </c>
      <c r="AZ63" s="85">
        <v>0</v>
      </c>
      <c r="BA63" s="85">
        <v>24.238144928657</v>
      </c>
      <c r="BB63" s="85">
        <v>0.90716987327148402</v>
      </c>
      <c r="BC63" s="85">
        <v>11.4473528730071</v>
      </c>
      <c r="BD63" s="85">
        <v>2.3895755451567302</v>
      </c>
    </row>
    <row r="64" spans="1:56" ht="11.25" customHeight="1" x14ac:dyDescent="0.25">
      <c r="A64" s="119"/>
      <c r="B64" s="119"/>
      <c r="C64" s="119"/>
      <c r="D64" s="87" t="s">
        <v>32</v>
      </c>
      <c r="E64" s="87" t="s">
        <v>25</v>
      </c>
      <c r="F64" s="87" t="s">
        <v>25</v>
      </c>
      <c r="G64" s="21" t="s">
        <v>94</v>
      </c>
      <c r="H64" s="21" t="s">
        <v>88</v>
      </c>
      <c r="I64" s="21">
        <f>'MERCADO TUSD'!$U$61</f>
        <v>0</v>
      </c>
      <c r="J64" s="17"/>
      <c r="L64" s="85">
        <f>('TUSD BE'!$L$64+'TUSD BF'!$L$64+'TUSD CVA'!$L$64)*1</f>
        <v>0</v>
      </c>
      <c r="M64" s="85">
        <f>('TUSD BE'!$M$64+'TUSD BF'!$M$64+'TUSD CVA'!$M$64)*1</f>
        <v>0.39453147039784159</v>
      </c>
      <c r="N64" s="85">
        <f ca="1">('TUSD BE'!$N$64+'TUSD BF'!$N$64+'TUSD CVA'!$N$64)*1</f>
        <v>2.256077761938283</v>
      </c>
      <c r="O64" s="85">
        <f>('TUSD BE'!$O$64+'TUSD BF'!$O$64+'TUSD CVA'!$O$64)*1</f>
        <v>0</v>
      </c>
      <c r="P64" s="85">
        <v>0</v>
      </c>
      <c r="Q64" s="85">
        <f>('TUSD BE'!$Q$64+'TUSD BF'!$Q$64+'TUSD CVA'!$Q$64)*1</f>
        <v>0</v>
      </c>
      <c r="R64" s="85">
        <v>0</v>
      </c>
      <c r="S64" s="85">
        <f>('TUSD BE'!$S$64+'TUSD BF'!$S$64+'TUSD CVA'!$S$64)*1</f>
        <v>0</v>
      </c>
      <c r="T64" s="85">
        <f>('TUSD BE'!$U$64+'TUSD BF'!$U$64+'TUSD CVA'!$U$64)*1</f>
        <v>41.000314302154493</v>
      </c>
      <c r="U64" s="85">
        <f>('TUSD BE'!$V$64+'TUSD BF'!$V$64+'TUSD CVA'!$V$64)*1</f>
        <v>11.020149501865133</v>
      </c>
      <c r="V64" s="85">
        <f>('TUSD BE'!$W$64+'TUSD BF'!$W$64+'TUSD CVA'!$W$64)*1</f>
        <v>1.3318374443619001</v>
      </c>
      <c r="W64" s="85">
        <f>('TUSD BE'!$X$64+'TUSD BF'!$X$64+'TUSD CVA'!$X$64)*1</f>
        <v>0</v>
      </c>
      <c r="X64" s="85">
        <f>('TUSD BE'!$Y$64+'TUSD BF'!$Y$64+'TUSD CVA'!$Y$64)*1</f>
        <v>0</v>
      </c>
      <c r="Y64" s="85">
        <f>('TUSD BE'!$Z$64+'TUSD BF'!$Z$64+'TUSD CVA'!$Z$64)*1</f>
        <v>0</v>
      </c>
      <c r="Z64" s="85">
        <f>('TUSD BE'!$AA$64+'TUSD BF'!$AA$64+'TUSD CVA'!$AA$64)*1</f>
        <v>0</v>
      </c>
      <c r="AA64" s="85">
        <f>('TUSD BE'!$AC$64+'TUSD BF'!$AC$64+'TUSD CVA'!$AC$64)*1</f>
        <v>106.07881838904487</v>
      </c>
      <c r="AB64" s="85">
        <f ca="1">('TUSD BE'!$AE$64+'TUSD BF'!$AE$64+'TUSD CVA'!$AE$64)*1</f>
        <v>0</v>
      </c>
      <c r="AC64" s="85">
        <f ca="1">('TUSD BE'!$AF$64+'TUSD BF'!$AF$64+'TUSD CVA'!$AF$64)*1</f>
        <v>0</v>
      </c>
      <c r="AD64" s="85">
        <f>('TUSD BE'!$AH$64+'TUSD BF'!$AH$64+'TUSD CVA'!$AH$64)*1</f>
        <v>22.355157533351314</v>
      </c>
      <c r="AE64" s="85">
        <f>('TUSD BE'!$AI$64+'TUSD BF'!$AI$64+'TUSD CVA'!$AI$64)*1</f>
        <v>0.8402933845902758</v>
      </c>
      <c r="AF64" s="85">
        <f ca="1">('TUSD BE'!$AJ$64+'TUSD BF'!$AJ$64+'TUSD CVA'!$AJ$64)*1</f>
        <v>10.529883350185761</v>
      </c>
      <c r="AG64" s="85">
        <f ca="1">('TUSD BE'!$AK$64+'TUSD BF'!$AK$64+'TUSD CVA'!$AK$64)*1</f>
        <v>2.7065321383445813</v>
      </c>
      <c r="AI64" s="85">
        <v>0</v>
      </c>
      <c r="AJ64" s="85">
        <v>0.40800538119842999</v>
      </c>
      <c r="AK64" s="85">
        <v>2.3264183193624102</v>
      </c>
      <c r="AL64" s="85">
        <v>0</v>
      </c>
      <c r="AM64" s="85">
        <v>0</v>
      </c>
      <c r="AN64" s="85">
        <v>0</v>
      </c>
      <c r="AO64" s="85">
        <v>0</v>
      </c>
      <c r="AP64" s="85">
        <v>0</v>
      </c>
      <c r="AQ64" s="85">
        <v>25.8630483034067</v>
      </c>
      <c r="AR64" s="85">
        <v>7.4498151640631596</v>
      </c>
      <c r="AS64" s="85">
        <v>0.863517692952807</v>
      </c>
      <c r="AT64" s="85">
        <v>0</v>
      </c>
      <c r="AU64" s="85">
        <v>0</v>
      </c>
      <c r="AV64" s="85">
        <v>0</v>
      </c>
      <c r="AW64" s="85">
        <v>0</v>
      </c>
      <c r="AX64" s="85">
        <v>102.89904139462</v>
      </c>
      <c r="AY64" s="85">
        <v>0</v>
      </c>
      <c r="AZ64" s="85">
        <v>0</v>
      </c>
      <c r="BA64" s="85">
        <v>26.931272142952199</v>
      </c>
      <c r="BB64" s="85">
        <v>1.0079665258571999</v>
      </c>
      <c r="BC64" s="85">
        <v>12.719280970007899</v>
      </c>
      <c r="BD64" s="85">
        <v>2.6550839390630299</v>
      </c>
    </row>
    <row r="65" spans="1:56" ht="11.25" customHeight="1" x14ac:dyDescent="0.25">
      <c r="A65" s="119" t="s">
        <v>46</v>
      </c>
      <c r="B65" s="119" t="s">
        <v>37</v>
      </c>
      <c r="C65" s="119" t="s">
        <v>47</v>
      </c>
      <c r="D65" s="119" t="s">
        <v>25</v>
      </c>
      <c r="E65" s="119" t="s">
        <v>25</v>
      </c>
      <c r="F65" s="119" t="s">
        <v>25</v>
      </c>
      <c r="G65" s="21" t="s">
        <v>89</v>
      </c>
      <c r="H65" s="21" t="s">
        <v>88</v>
      </c>
      <c r="I65" s="21">
        <f>'MERCADO TUSD'!$U$62</f>
        <v>1.0549999999999999</v>
      </c>
      <c r="J65" s="17"/>
      <c r="L65" s="85">
        <f>('TUSD BE'!$L$65+'TUSD BF'!$L$65+'TUSD CVA'!$L$65)*(1 - CUSTOS!$M$38)</f>
        <v>0</v>
      </c>
      <c r="M65" s="85">
        <f>('TUSD BE'!$M$65+'TUSD BF'!$M$65+'TUSD CVA'!$M$65)*(1 - CUSTOS!$M$38)</f>
        <v>0.32351580572623012</v>
      </c>
      <c r="N65" s="85">
        <f ca="1">('TUSD BE'!$N$65+'TUSD BF'!$N$65+'TUSD CVA'!$N$65)*(1 - CUSTOS!$M$38)</f>
        <v>4.5014352042868975</v>
      </c>
      <c r="O65" s="85">
        <f>('TUSD BE'!$O$65+'TUSD BF'!$O$65+'TUSD CVA'!$O$65)*(1 - CUSTOS!$M$38)</f>
        <v>0</v>
      </c>
      <c r="P65" s="85">
        <f>('TUSD BE'!$P$65+'TUSD BF'!$P$65+'TUSD CVA'!$P$65)*(1 - CUSTOS!$M$38)</f>
        <v>0</v>
      </c>
      <c r="Q65" s="85">
        <f>('TUSD BE'!$Q$65+'TUSD BF'!$Q$65+'TUSD CVA'!$Q$65)*(1 - CUSTOS!$M$38)</f>
        <v>54.423289490414383</v>
      </c>
      <c r="R65" s="85">
        <f>('TUSD BE'!$R$65+'TUSD BF'!$R$65+'TUSD CVA'!$R$65)*(1 - CUSTOS!$M$38)</f>
        <v>5.7210881113999532</v>
      </c>
      <c r="S65" s="85">
        <f>('TUSD BE'!$S$65+'TUSD BF'!$S$65+'TUSD CVA'!$S$65)*(1 - CUSTOS!$M$38)</f>
        <v>0</v>
      </c>
      <c r="T65" s="85">
        <f>('TUSD BE'!$U$65+'TUSD BF'!$U$65+'TUSD CVA'!$U$65)*(1 - CUSTOS!$M$38)</f>
        <v>107.58514626406607</v>
      </c>
      <c r="U65" s="85">
        <f>('TUSD BE'!$V$65+'TUSD BF'!$V$65+'TUSD CVA'!$V$65)*(1 - CUSTOS!$M$38)</f>
        <v>28.916473769295806</v>
      </c>
      <c r="V65" s="85">
        <f>('TUSD BE'!$W$65+'TUSD BF'!$W$65+'TUSD CVA'!$W$65)*(1 - CUSTOS!$M$38)</f>
        <v>3.4954292405041087</v>
      </c>
      <c r="W65" s="85">
        <f>('TUSD BE'!$X$65+'TUSD BF'!$X$65+'TUSD CVA'!$X$65)*(1 - CUSTOS!$M$38)</f>
        <v>0</v>
      </c>
      <c r="X65" s="85">
        <f>('TUSD BE'!$Y$65+'TUSD BF'!$Y$65+'TUSD CVA'!$Y$65)*(1 - CUSTOS!$M$38)</f>
        <v>0</v>
      </c>
      <c r="Y65" s="85">
        <f>('TUSD BE'!$Z$65+'TUSD BF'!$Z$65+'TUSD CVA'!$Z$65)*(1 - CUSTOS!$M$38)</f>
        <v>0</v>
      </c>
      <c r="Z65" s="85">
        <f>('TUSD BE'!$AA$65+'TUSD BF'!$AA$65+'TUSD CVA'!$AA$65)*(1 - CUSTOS!$M$38)</f>
        <v>0</v>
      </c>
      <c r="AA65" s="85">
        <f>('TUSD BE'!$AC$65+'TUSD BF'!$AC$65+'TUSD CVA'!$AC$65)*(1 - CUSTOS!$M$38)</f>
        <v>278.35072526420379</v>
      </c>
      <c r="AB65" s="85">
        <f ca="1">('TUSD BE'!$AE$65+'TUSD BF'!$AE$65+'TUSD CVA'!$AE$65)*(1 - CUSTOS!$M$38)</f>
        <v>0</v>
      </c>
      <c r="AC65" s="85">
        <f ca="1">('TUSD BE'!$AF$65+'TUSD BF'!$AF$65+'TUSD CVA'!$AF$65)*(1 - CUSTOS!$M$38)</f>
        <v>0</v>
      </c>
      <c r="AD65" s="85">
        <f>('TUSD BE'!$AH$65+'TUSD BF'!$AH$65+'TUSD CVA'!$AH$65)*(1 - CUSTOS!$M$38)</f>
        <v>18.331229177348078</v>
      </c>
      <c r="AE65" s="85">
        <f>('TUSD BE'!$AI$65+'TUSD BF'!$AI$65+'TUSD CVA'!$AI$65)*(1 - CUSTOS!$M$38)</f>
        <v>0.68904057536402619</v>
      </c>
      <c r="AF65" s="85">
        <f ca="1">('TUSD BE'!$AJ$65+'TUSD BF'!$AJ$65+'TUSD CVA'!$AJ$65)*(1 - CUSTOS!$M$38)</f>
        <v>8.6345043471523244</v>
      </c>
      <c r="AG65" s="85">
        <f ca="1">('TUSD BE'!$AK$65+'TUSD BF'!$AK$65+'TUSD CVA'!$AK$65)*(1 - CUSTOS!$M$38)</f>
        <v>2.2193563534425569</v>
      </c>
      <c r="AI65" s="85">
        <v>0</v>
      </c>
      <c r="AJ65" s="85">
        <v>0.31008408971080698</v>
      </c>
      <c r="AK65" s="85">
        <v>4.3328230033822202</v>
      </c>
      <c r="AL65" s="85">
        <v>0</v>
      </c>
      <c r="AM65" s="85">
        <v>0</v>
      </c>
      <c r="AN65" s="85">
        <v>40.851383020259298</v>
      </c>
      <c r="AO65" s="85">
        <v>7.7505947492650096</v>
      </c>
      <c r="AP65" s="85">
        <v>0</v>
      </c>
      <c r="AQ65" s="85">
        <v>62.899121457850299</v>
      </c>
      <c r="AR65" s="85">
        <v>18.1177007828814</v>
      </c>
      <c r="AS65" s="85">
        <v>2.1004883368749501</v>
      </c>
      <c r="AT65" s="85">
        <v>0</v>
      </c>
      <c r="AU65" s="85">
        <v>0</v>
      </c>
      <c r="AV65" s="85">
        <v>0</v>
      </c>
      <c r="AW65" s="85">
        <v>0</v>
      </c>
      <c r="AX65" s="85">
        <v>250.25038399169401</v>
      </c>
      <c r="AY65" s="85">
        <v>0</v>
      </c>
      <c r="AZ65" s="85">
        <v>0</v>
      </c>
      <c r="BA65" s="85">
        <v>20.4677668286437</v>
      </c>
      <c r="BB65" s="85">
        <v>0.76605455965147495</v>
      </c>
      <c r="BC65" s="85">
        <v>9.6666535372060398</v>
      </c>
      <c r="BD65" s="85">
        <v>2.0178637936879</v>
      </c>
    </row>
    <row r="66" spans="1:56" ht="11.25" customHeight="1" x14ac:dyDescent="0.25">
      <c r="A66" s="119"/>
      <c r="B66" s="119"/>
      <c r="C66" s="119"/>
      <c r="D66" s="119"/>
      <c r="E66" s="119"/>
      <c r="F66" s="119"/>
      <c r="G66" s="21" t="s">
        <v>100</v>
      </c>
      <c r="H66" s="21" t="s">
        <v>88</v>
      </c>
      <c r="I66" s="21">
        <f>'MERCADO TUSD'!$U$63</f>
        <v>0.57700000000000007</v>
      </c>
      <c r="J66" s="17"/>
      <c r="L66" s="85">
        <f>('TUSD BE'!$L$66+'TUSD BF'!$L$66+'TUSD CVA'!$L$66)*(1 - CUSTOS!$M$38)</f>
        <v>0</v>
      </c>
      <c r="M66" s="85">
        <f>('TUSD BE'!$M$66+'TUSD BF'!$M$66+'TUSD CVA'!$M$66)*(1 - CUSTOS!$M$38)</f>
        <v>0.32351580572623012</v>
      </c>
      <c r="N66" s="85">
        <f ca="1">('TUSD BE'!$N$66+'TUSD BF'!$N$66+'TUSD CVA'!$N$66)*(1 - CUSTOS!$M$38)</f>
        <v>2.9656751075539129</v>
      </c>
      <c r="O66" s="85">
        <f>('TUSD BE'!$O$66+'TUSD BF'!$O$66+'TUSD CVA'!$O$66)*(1 - CUSTOS!$M$38)</f>
        <v>0</v>
      </c>
      <c r="P66" s="85">
        <f>('TUSD BE'!$P$66+'TUSD BF'!$P$66+'TUSD CVA'!$P$66)*(1 - CUSTOS!$M$38)</f>
        <v>0</v>
      </c>
      <c r="Q66" s="85">
        <f>('TUSD BE'!$Q$66+'TUSD BF'!$Q$66+'TUSD CVA'!$Q$66)*(1 - CUSTOS!$M$38)</f>
        <v>54.423289490414383</v>
      </c>
      <c r="R66" s="85">
        <f>('TUSD BE'!$R$66+'TUSD BF'!$R$66+'TUSD CVA'!$R$66)*(1 - CUSTOS!$M$38)</f>
        <v>5.7210881113999532</v>
      </c>
      <c r="S66" s="85">
        <f>('TUSD BE'!$S$66+'TUSD BF'!$S$66+'TUSD CVA'!$S$66)*(1 - CUSTOS!$M$38)</f>
        <v>0</v>
      </c>
      <c r="T66" s="85">
        <f>('TUSD BE'!$U$66+'TUSD BF'!$U$66+'TUSD CVA'!$U$66)*(1 - CUSTOS!$M$38)</f>
        <v>64.550873401631193</v>
      </c>
      <c r="U66" s="85">
        <f>('TUSD BE'!$V$66+'TUSD BF'!$V$66+'TUSD CVA'!$V$66)*(1 - CUSTOS!$M$38)</f>
        <v>17.349724852138163</v>
      </c>
      <c r="V66" s="85">
        <f>('TUSD BE'!$W$66+'TUSD BF'!$W$66+'TUSD CVA'!$W$66)*(1 - CUSTOS!$M$38)</f>
        <v>2.0972575443024652</v>
      </c>
      <c r="W66" s="85">
        <f>('TUSD BE'!$X$66+'TUSD BF'!$X$66+'TUSD CVA'!$X$66)*(1 - CUSTOS!$M$38)</f>
        <v>0</v>
      </c>
      <c r="X66" s="85">
        <f>('TUSD BE'!$Y$66+'TUSD BF'!$Y$66+'TUSD CVA'!$Y$66)*(1 - CUSTOS!$M$38)</f>
        <v>0</v>
      </c>
      <c r="Y66" s="85">
        <f>('TUSD BE'!$Z$66+'TUSD BF'!$Z$66+'TUSD CVA'!$Z$66)*(1 - CUSTOS!$M$38)</f>
        <v>0</v>
      </c>
      <c r="Z66" s="85">
        <f>('TUSD BE'!$AA$66+'TUSD BF'!$AA$66+'TUSD CVA'!$AA$66)*(1 - CUSTOS!$M$38)</f>
        <v>0</v>
      </c>
      <c r="AA66" s="85">
        <f>('TUSD BE'!$AC$66+'TUSD BF'!$AC$66+'TUSD CVA'!$AC$66)*(1 - CUSTOS!$M$38)</f>
        <v>167.01041632079225</v>
      </c>
      <c r="AB66" s="85">
        <f ca="1">('TUSD BE'!$AE$66+'TUSD BF'!$AE$66+'TUSD CVA'!$AE$66)*(1 - CUSTOS!$M$38)</f>
        <v>0</v>
      </c>
      <c r="AC66" s="85">
        <f ca="1">('TUSD BE'!$AF$66+'TUSD BF'!$AF$66+'TUSD CVA'!$AF$66)*(1 - CUSTOS!$M$38)</f>
        <v>0</v>
      </c>
      <c r="AD66" s="85">
        <f>('TUSD BE'!$AH$66+'TUSD BF'!$AH$66+'TUSD CVA'!$AH$66)*(1 - CUSTOS!$M$38)</f>
        <v>18.331229177348078</v>
      </c>
      <c r="AE66" s="85">
        <f>('TUSD BE'!$AI$66+'TUSD BF'!$AI$66+'TUSD CVA'!$AI$66)*(1 - CUSTOS!$M$38)</f>
        <v>0.68904057536402619</v>
      </c>
      <c r="AF66" s="85">
        <f ca="1">('TUSD BE'!$AJ$66+'TUSD BF'!$AJ$66+'TUSD CVA'!$AJ$66)*(1 - CUSTOS!$M$38)</f>
        <v>8.6345043471523244</v>
      </c>
      <c r="AG66" s="85">
        <f ca="1">('TUSD BE'!$AK$66+'TUSD BF'!$AK$66+'TUSD CVA'!$AK$66)*(1 - CUSTOS!$M$38)</f>
        <v>2.2193563534425569</v>
      </c>
      <c r="AI66" s="85">
        <v>0</v>
      </c>
      <c r="AJ66" s="85">
        <v>0.31008408971080698</v>
      </c>
      <c r="AK66" s="85">
        <v>2.8472845188732401</v>
      </c>
      <c r="AL66" s="85">
        <v>0</v>
      </c>
      <c r="AM66" s="85">
        <v>0</v>
      </c>
      <c r="AN66" s="85">
        <v>40.851383020259298</v>
      </c>
      <c r="AO66" s="85">
        <v>7.7505947492650096</v>
      </c>
      <c r="AP66" s="85">
        <v>0</v>
      </c>
      <c r="AQ66" s="85">
        <v>37.739347552066697</v>
      </c>
      <c r="AR66" s="85">
        <v>10.870520591280799</v>
      </c>
      <c r="AS66" s="85">
        <v>1.2602930021249701</v>
      </c>
      <c r="AT66" s="85">
        <v>0</v>
      </c>
      <c r="AU66" s="85">
        <v>0</v>
      </c>
      <c r="AV66" s="85">
        <v>0</v>
      </c>
      <c r="AW66" s="85">
        <v>0</v>
      </c>
      <c r="AX66" s="85">
        <v>150.15021345901201</v>
      </c>
      <c r="AY66" s="85">
        <v>0</v>
      </c>
      <c r="AZ66" s="85">
        <v>0</v>
      </c>
      <c r="BA66" s="85">
        <v>20.4677668286437</v>
      </c>
      <c r="BB66" s="85">
        <v>0.76605455965147495</v>
      </c>
      <c r="BC66" s="85">
        <v>9.6666535372060398</v>
      </c>
      <c r="BD66" s="85">
        <v>2.0178637936879</v>
      </c>
    </row>
    <row r="67" spans="1:56" ht="11.25" customHeight="1" x14ac:dyDescent="0.25">
      <c r="A67" s="119"/>
      <c r="B67" s="119"/>
      <c r="C67" s="119"/>
      <c r="D67" s="119"/>
      <c r="E67" s="119"/>
      <c r="F67" s="119"/>
      <c r="G67" s="21" t="s">
        <v>90</v>
      </c>
      <c r="H67" s="21" t="s">
        <v>88</v>
      </c>
      <c r="I67" s="21">
        <f>'MERCADO TUSD'!$U$64</f>
        <v>5.0120000000000005</v>
      </c>
      <c r="J67" s="17"/>
      <c r="L67" s="85">
        <f>('TUSD BE'!$L$67+'TUSD BF'!$L$67+'TUSD CVA'!$L$67)*(1 - CUSTOS!$M$38)</f>
        <v>0</v>
      </c>
      <c r="M67" s="85">
        <f>('TUSD BE'!$M$67+'TUSD BF'!$M$67+'TUSD CVA'!$M$67)*(1 - CUSTOS!$M$38)</f>
        <v>0.32351580572623012</v>
      </c>
      <c r="N67" s="85">
        <f ca="1">('TUSD BE'!$N$67+'TUSD BF'!$N$67+'TUSD CVA'!$N$67)*(1 - CUSTOS!$M$38)</f>
        <v>1.4299173839834647</v>
      </c>
      <c r="O67" s="85">
        <f>('TUSD BE'!$O$67+'TUSD BF'!$O$67+'TUSD CVA'!$O$67)*(1 - CUSTOS!$M$38)</f>
        <v>0</v>
      </c>
      <c r="P67" s="85">
        <f>('TUSD BE'!$P$67+'TUSD BF'!$P$67+'TUSD CVA'!$P$67)*(1 - CUSTOS!$M$38)</f>
        <v>0</v>
      </c>
      <c r="Q67" s="85">
        <f>('TUSD BE'!$Q$67+'TUSD BF'!$Q$67+'TUSD CVA'!$Q$67)*(1 - CUSTOS!$M$38)</f>
        <v>54.423289490414383</v>
      </c>
      <c r="R67" s="85">
        <f>('TUSD BE'!$R$67+'TUSD BF'!$R$67+'TUSD CVA'!$R$67)*(1 - CUSTOS!$M$38)</f>
        <v>5.7210881113999532</v>
      </c>
      <c r="S67" s="85">
        <f>('TUSD BE'!$S$67+'TUSD BF'!$S$67+'TUSD CVA'!$S$67)*(1 - CUSTOS!$M$38)</f>
        <v>0</v>
      </c>
      <c r="T67" s="85">
        <f>('TUSD BE'!$U$67+'TUSD BF'!$U$67+'TUSD CVA'!$U$67)*(1 - CUSTOS!$M$38)</f>
        <v>21.51713643121743</v>
      </c>
      <c r="U67" s="85">
        <f>('TUSD BE'!$V$67+'TUSD BF'!$V$67+'TUSD CVA'!$V$67)*(1 - CUSTOS!$M$38)</f>
        <v>5.7833744585788223</v>
      </c>
      <c r="V67" s="85">
        <f>('TUSD BE'!$W$67+'TUSD BF'!$W$67+'TUSD CVA'!$W$67)*(1 - CUSTOS!$M$38)</f>
        <v>0.69908584810082186</v>
      </c>
      <c r="W67" s="85">
        <f>('TUSD BE'!$X$67+'TUSD BF'!$X$67+'TUSD CVA'!$X$67)*(1 - CUSTOS!$M$38)</f>
        <v>0</v>
      </c>
      <c r="X67" s="85">
        <f>('TUSD BE'!$Y$67+'TUSD BF'!$Y$67+'TUSD CVA'!$Y$67)*(1 - CUSTOS!$M$38)</f>
        <v>0</v>
      </c>
      <c r="Y67" s="85">
        <f>('TUSD BE'!$Z$67+'TUSD BF'!$Z$67+'TUSD CVA'!$Z$67)*(1 - CUSTOS!$M$38)</f>
        <v>0</v>
      </c>
      <c r="Z67" s="85">
        <f>('TUSD BE'!$AA$67+'TUSD BF'!$AA$67+'TUSD CVA'!$AA$67)*(1 - CUSTOS!$M$38)</f>
        <v>0</v>
      </c>
      <c r="AA67" s="85">
        <f>('TUSD BE'!$AC$67+'TUSD BF'!$AC$67+'TUSD CVA'!$AC$67)*(1 - CUSTOS!$M$38)</f>
        <v>55.670107377380766</v>
      </c>
      <c r="AB67" s="85">
        <f ca="1">('TUSD BE'!$AE$67+'TUSD BF'!$AE$67+'TUSD CVA'!$AE$67)*(1 - CUSTOS!$M$38)</f>
        <v>0</v>
      </c>
      <c r="AC67" s="85">
        <f ca="1">('TUSD BE'!$AF$67+'TUSD BF'!$AF$67+'TUSD CVA'!$AF$67)*(1 - CUSTOS!$M$38)</f>
        <v>0</v>
      </c>
      <c r="AD67" s="85">
        <f>('TUSD BE'!$AH$67+'TUSD BF'!$AH$67+'TUSD CVA'!$AH$67)*(1 - CUSTOS!$M$38)</f>
        <v>18.331229177348078</v>
      </c>
      <c r="AE67" s="85">
        <f>('TUSD BE'!$AI$67+'TUSD BF'!$AI$67+'TUSD CVA'!$AI$67)*(1 - CUSTOS!$M$38)</f>
        <v>0.68904057536402619</v>
      </c>
      <c r="AF67" s="85">
        <f ca="1">('TUSD BE'!$AJ$67+'TUSD BF'!$AJ$67+'TUSD CVA'!$AJ$67)*(1 - CUSTOS!$M$38)</f>
        <v>8.6345043471523244</v>
      </c>
      <c r="AG67" s="85">
        <f ca="1">('TUSD BE'!$AK$67+'TUSD BF'!$AK$67+'TUSD CVA'!$AK$67)*(1 - CUSTOS!$M$38)</f>
        <v>2.2193563534425569</v>
      </c>
      <c r="AI67" s="85">
        <v>0</v>
      </c>
      <c r="AJ67" s="85">
        <v>0.31008408971080698</v>
      </c>
      <c r="AK67" s="85">
        <v>1.3617483299208999</v>
      </c>
      <c r="AL67" s="85">
        <v>0</v>
      </c>
      <c r="AM67" s="85">
        <v>0</v>
      </c>
      <c r="AN67" s="85">
        <v>40.851383020259298</v>
      </c>
      <c r="AO67" s="85">
        <v>7.7505947492650096</v>
      </c>
      <c r="AP67" s="85">
        <v>0</v>
      </c>
      <c r="AQ67" s="85">
        <v>12.579886952891799</v>
      </c>
      <c r="AR67" s="85">
        <v>3.6235900958003202</v>
      </c>
      <c r="AS67" s="85">
        <v>0.42009766737498999</v>
      </c>
      <c r="AT67" s="85">
        <v>0</v>
      </c>
      <c r="AU67" s="85">
        <v>0</v>
      </c>
      <c r="AV67" s="85">
        <v>0</v>
      </c>
      <c r="AW67" s="85">
        <v>0</v>
      </c>
      <c r="AX67" s="85">
        <v>50.050042926329603</v>
      </c>
      <c r="AY67" s="85">
        <v>0</v>
      </c>
      <c r="AZ67" s="85">
        <v>0</v>
      </c>
      <c r="BA67" s="85">
        <v>20.4677668286437</v>
      </c>
      <c r="BB67" s="85">
        <v>0.76605455965147495</v>
      </c>
      <c r="BC67" s="85">
        <v>9.6666535372060398</v>
      </c>
      <c r="BD67" s="85">
        <v>2.0178637936879</v>
      </c>
    </row>
    <row r="68" spans="1:56" ht="11.25" customHeight="1" x14ac:dyDescent="0.25">
      <c r="A68" s="119"/>
      <c r="B68" s="87" t="s">
        <v>23</v>
      </c>
      <c r="C68" s="87" t="s">
        <v>47</v>
      </c>
      <c r="D68" s="87" t="s">
        <v>25</v>
      </c>
      <c r="E68" s="87" t="s">
        <v>25</v>
      </c>
      <c r="F68" s="87" t="s">
        <v>25</v>
      </c>
      <c r="G68" s="21" t="s">
        <v>94</v>
      </c>
      <c r="H68" s="21" t="s">
        <v>88</v>
      </c>
      <c r="I68" s="21">
        <f>'MERCADO TUSD'!$U$65</f>
        <v>81638.005000000005</v>
      </c>
      <c r="J68" s="17"/>
      <c r="L68" s="85">
        <f>('TUSD BE'!$L$68+'TUSD BF'!$L$68+'TUSD CVA'!$L$68)*(1 - CUSTOS!$M$38)</f>
        <v>0</v>
      </c>
      <c r="M68" s="85">
        <f>('TUSD BE'!$M$68+'TUSD BF'!$M$68+'TUSD CVA'!$M$68)*(1 - CUSTOS!$M$38)</f>
        <v>0.32351580572623012</v>
      </c>
      <c r="N68" s="85">
        <f ca="1">('TUSD BE'!$N$68+'TUSD BF'!$N$68+'TUSD CVA'!$N$68)*(1 - CUSTOS!$M$38)</f>
        <v>1.8618495774636346</v>
      </c>
      <c r="O68" s="85">
        <f>('TUSD BE'!$O$68+'TUSD BF'!$O$68+'TUSD CVA'!$O$68)*(1 - CUSTOS!$M$38)</f>
        <v>0</v>
      </c>
      <c r="P68" s="85">
        <f>('TUSD BE'!$P$68+'TUSD BF'!$P$68+'TUSD CVA'!$P$68)*(1 - CUSTOS!$M$38)</f>
        <v>0</v>
      </c>
      <c r="Q68" s="85">
        <f>('TUSD BE'!$Q$68+'TUSD BF'!$Q$68+'TUSD CVA'!$Q$68)*(1 - CUSTOS!$M$38)</f>
        <v>54.423289490414383</v>
      </c>
      <c r="R68" s="85">
        <f>('TUSD BE'!$R$68+'TUSD BF'!$R$68+'TUSD CVA'!$R$68)*(1 - CUSTOS!$M$38)</f>
        <v>5.7210881113999532</v>
      </c>
      <c r="S68" s="85">
        <f>('TUSD BE'!$S$68+'TUSD BF'!$S$68+'TUSD CVA'!$S$68)*(1 - CUSTOS!$M$38)</f>
        <v>0</v>
      </c>
      <c r="T68" s="85">
        <f>('TUSD BE'!$U$68+'TUSD BF'!$U$68+'TUSD CVA'!$U$68)*(1 - CUSTOS!$M$38)</f>
        <v>33.620257727766685</v>
      </c>
      <c r="U68" s="85">
        <f>('TUSD BE'!$V$68+'TUSD BF'!$V$68+'TUSD CVA'!$V$68)*(1 - CUSTOS!$M$38)</f>
        <v>9.0365225915294101</v>
      </c>
      <c r="V68" s="85">
        <f>('TUSD BE'!$W$68+'TUSD BF'!$W$68+'TUSD CVA'!$W$68)*(1 - CUSTOS!$M$38)</f>
        <v>1.0921067043767583</v>
      </c>
      <c r="W68" s="85">
        <f>('TUSD BE'!$X$68+'TUSD BF'!$X$68+'TUSD CVA'!$X$68)*(1 - CUSTOS!$M$38)</f>
        <v>0</v>
      </c>
      <c r="X68" s="85">
        <f>('TUSD BE'!$Y$68+'TUSD BF'!$Y$68+'TUSD CVA'!$Y$68)*(1 - CUSTOS!$M$38)</f>
        <v>0</v>
      </c>
      <c r="Y68" s="85">
        <f>('TUSD BE'!$Z$68+'TUSD BF'!$Z$68+'TUSD CVA'!$Z$68)*(1 - CUSTOS!$M$38)</f>
        <v>0</v>
      </c>
      <c r="Z68" s="85">
        <f>('TUSD BE'!$AA$68+'TUSD BF'!$AA$68+'TUSD CVA'!$AA$68)*(1 - CUSTOS!$M$38)</f>
        <v>0</v>
      </c>
      <c r="AA68" s="85">
        <f>('TUSD BE'!$AC$68+'TUSD BF'!$AC$68+'TUSD CVA'!$AC$68)*(1 - CUSTOS!$M$38)</f>
        <v>86.984631079016793</v>
      </c>
      <c r="AB68" s="85">
        <f ca="1">('TUSD BE'!$AE$68+'TUSD BF'!$AE$68+'TUSD CVA'!$AE$68)*(1 - CUSTOS!$M$38)</f>
        <v>0</v>
      </c>
      <c r="AC68" s="85">
        <f ca="1">('TUSD BE'!$AF$68+'TUSD BF'!$AF$68+'TUSD CVA'!$AF$68)*(1 - CUSTOS!$M$38)</f>
        <v>0</v>
      </c>
      <c r="AD68" s="85">
        <f>('TUSD BE'!$AH$68+'TUSD BF'!$AH$68+'TUSD CVA'!$AH$68)*(1 - CUSTOS!$M$38)</f>
        <v>18.331229177348078</v>
      </c>
      <c r="AE68" s="85">
        <f>('TUSD BE'!$AI$68+'TUSD BF'!$AI$68+'TUSD CVA'!$AI$68)*(1 - CUSTOS!$M$38)</f>
        <v>0.68904057536402619</v>
      </c>
      <c r="AF68" s="85">
        <f ca="1">('TUSD BE'!$AJ$68+'TUSD BF'!$AJ$68+'TUSD CVA'!$AJ$68)*(1 - CUSTOS!$M$38)</f>
        <v>8.6345043471523244</v>
      </c>
      <c r="AG68" s="85">
        <f ca="1">('TUSD BE'!$AK$68+'TUSD BF'!$AK$68+'TUSD CVA'!$AK$68)*(1 - CUSTOS!$M$38)</f>
        <v>2.2193563534425569</v>
      </c>
      <c r="AI68" s="85">
        <v>0</v>
      </c>
      <c r="AJ68" s="85">
        <v>0.31008408971080698</v>
      </c>
      <c r="AK68" s="85">
        <v>1.7795557058764</v>
      </c>
      <c r="AL68" s="85">
        <v>0</v>
      </c>
      <c r="AM68" s="85">
        <v>0</v>
      </c>
      <c r="AN68" s="85">
        <v>40.851383020259298</v>
      </c>
      <c r="AO68" s="85">
        <v>7.7505947492650096</v>
      </c>
      <c r="AP68" s="85">
        <v>0</v>
      </c>
      <c r="AQ68" s="85">
        <v>19.6559167105891</v>
      </c>
      <c r="AR68" s="85">
        <v>5.6618595246880004</v>
      </c>
      <c r="AS68" s="85">
        <v>0.65627344664413301</v>
      </c>
      <c r="AT68" s="85">
        <v>0</v>
      </c>
      <c r="AU68" s="85">
        <v>0</v>
      </c>
      <c r="AV68" s="85">
        <v>0</v>
      </c>
      <c r="AW68" s="85">
        <v>0</v>
      </c>
      <c r="AX68" s="85">
        <v>78.203271459911505</v>
      </c>
      <c r="AY68" s="85">
        <v>0</v>
      </c>
      <c r="AZ68" s="85">
        <v>0</v>
      </c>
      <c r="BA68" s="85">
        <v>20.4677668286437</v>
      </c>
      <c r="BB68" s="85">
        <v>0.76605455965147495</v>
      </c>
      <c r="BC68" s="85">
        <v>9.6666535372060398</v>
      </c>
      <c r="BD68" s="85">
        <v>2.0178637936879</v>
      </c>
    </row>
    <row r="69" spans="1:56" ht="11.25" customHeight="1" x14ac:dyDescent="0.25">
      <c r="A69" s="119"/>
      <c r="B69" s="119" t="s">
        <v>37</v>
      </c>
      <c r="C69" s="119" t="s">
        <v>47</v>
      </c>
      <c r="D69" s="119" t="s">
        <v>103</v>
      </c>
      <c r="E69" s="119" t="s">
        <v>25</v>
      </c>
      <c r="F69" s="119" t="s">
        <v>25</v>
      </c>
      <c r="G69" s="21" t="s">
        <v>89</v>
      </c>
      <c r="H69" s="21" t="s">
        <v>88</v>
      </c>
      <c r="I69" s="21">
        <f>'MERCADO TUSD'!$U$66</f>
        <v>0</v>
      </c>
      <c r="J69" s="17"/>
      <c r="L69" s="85">
        <f>('TUSD BE'!$L$69+'TUSD BF'!$L$69+'TUSD CVA'!$L$69)*(1 - CUSTOS!$M$39)</f>
        <v>0</v>
      </c>
      <c r="M69" s="85">
        <f>('TUSD BE'!$M$69+'TUSD BF'!$M$69+'TUSD CVA'!$M$69)*(1 - CUSTOS!$M$39)</f>
        <v>0.32351580572623012</v>
      </c>
      <c r="N69" s="85">
        <f ca="1">('TUSD BE'!$N$69+'TUSD BF'!$N$69+'TUSD CVA'!$N$69)*(1 - CUSTOS!$M$39)</f>
        <v>4.5014352042868975</v>
      </c>
      <c r="O69" s="85">
        <f>('TUSD BE'!$O$69+'TUSD BF'!$O$69+'TUSD CVA'!$O$69)*(1 - CUSTOS!$M$39)</f>
        <v>0</v>
      </c>
      <c r="P69" s="85">
        <f>('TUSD BE'!$P$69+'TUSD BF'!$P$69+'TUSD CVA'!$P$69)*(1 - CUSTOS!$M$39)</f>
        <v>0</v>
      </c>
      <c r="Q69" s="85">
        <f>('TUSD BE'!$Q$69+'TUSD BF'!$Q$69+'TUSD CVA'!$Q$69)*(1 - CUSTOS!$M$39)</f>
        <v>54.423289490414383</v>
      </c>
      <c r="R69" s="85">
        <f>('TUSD BE'!$R$69+'TUSD BF'!$R$69+'TUSD CVA'!$R$69)*(1 - CUSTOS!$M$39)</f>
        <v>5.7210881113999532</v>
      </c>
      <c r="S69" s="85">
        <f>('TUSD BE'!$S$69+'TUSD BF'!$S$69+'TUSD CVA'!$S$69)*(1 - CUSTOS!$M$39)</f>
        <v>0</v>
      </c>
      <c r="T69" s="85">
        <f>('TUSD BE'!$U$69+'TUSD BF'!$U$69+'TUSD CVA'!$U$69)*(1 - CUSTOS!$M$39)</f>
        <v>107.58514626406607</v>
      </c>
      <c r="U69" s="85">
        <f>('TUSD BE'!$V$69+'TUSD BF'!$V$69+'TUSD CVA'!$V$69)*(1 - CUSTOS!$M$39)</f>
        <v>28.916473769295806</v>
      </c>
      <c r="V69" s="85">
        <f>('TUSD BE'!$W$69+'TUSD BF'!$W$69+'TUSD CVA'!$W$69)*(1 - CUSTOS!$M$39)</f>
        <v>3.4954292405041087</v>
      </c>
      <c r="W69" s="85">
        <f>('TUSD BE'!$X$69+'TUSD BF'!$X$69+'TUSD CVA'!$X$69)*(1 - CUSTOS!$M$39)</f>
        <v>0</v>
      </c>
      <c r="X69" s="85">
        <f>('TUSD BE'!$Y$69+'TUSD BF'!$Y$69+'TUSD CVA'!$Y$69)*(1 - CUSTOS!$M$39)</f>
        <v>0</v>
      </c>
      <c r="Y69" s="85">
        <f>('TUSD BE'!$Z$69+'TUSD BF'!$Z$69+'TUSD CVA'!$Z$69)*(1 - CUSTOS!$M$39)</f>
        <v>0</v>
      </c>
      <c r="Z69" s="85">
        <f>('TUSD BE'!$AA$69+'TUSD BF'!$AA$69+'TUSD CVA'!$AA$69)*(1 - CUSTOS!$M$39)</f>
        <v>0</v>
      </c>
      <c r="AA69" s="85">
        <f>('TUSD BE'!$AC$69+'TUSD BF'!$AC$69+'TUSD CVA'!$AC$69)*(1 - CUSTOS!$M$39)</f>
        <v>278.35072526420379</v>
      </c>
      <c r="AB69" s="85">
        <f ca="1">('TUSD BE'!$AE$69+'TUSD BF'!$AE$69+'TUSD CVA'!$AE$69)*(1 - CUSTOS!$M$39)</f>
        <v>0</v>
      </c>
      <c r="AC69" s="85">
        <f ca="1">('TUSD BE'!$AF$69+'TUSD BF'!$AF$69+'TUSD CVA'!$AF$69)*(1 - CUSTOS!$M$39)</f>
        <v>0</v>
      </c>
      <c r="AD69" s="85">
        <f>('TUSD BE'!$AH$69+'TUSD BF'!$AH$69+'TUSD CVA'!$AH$69)*(1 - CUSTOS!$M$39)</f>
        <v>18.331229177348078</v>
      </c>
      <c r="AE69" s="85">
        <f>('TUSD BE'!$AI$69+'TUSD BF'!$AI$69+'TUSD CVA'!$AI$69)*(1 - CUSTOS!$M$39)</f>
        <v>0.68904057536402619</v>
      </c>
      <c r="AF69" s="85">
        <f ca="1">('TUSD BE'!$AJ$69+'TUSD BF'!$AJ$69+'TUSD CVA'!$AJ$69)*(1 - CUSTOS!$M$39)</f>
        <v>8.6345043471523244</v>
      </c>
      <c r="AG69" s="85">
        <f ca="1">('TUSD BE'!$AK$69+'TUSD BF'!$AK$69+'TUSD CVA'!$AK$69)*(1 - CUSTOS!$M$39)</f>
        <v>2.2193563534425569</v>
      </c>
      <c r="AI69" s="85">
        <v>0</v>
      </c>
      <c r="AJ69" s="85">
        <v>0.31008408971080698</v>
      </c>
      <c r="AK69" s="85">
        <v>4.3328230033822202</v>
      </c>
      <c r="AL69" s="85">
        <v>0</v>
      </c>
      <c r="AM69" s="85">
        <v>0</v>
      </c>
      <c r="AN69" s="85">
        <v>40.851383020259298</v>
      </c>
      <c r="AO69" s="85">
        <v>7.7505947492650096</v>
      </c>
      <c r="AP69" s="85">
        <v>0</v>
      </c>
      <c r="AQ69" s="85">
        <v>62.899121457850299</v>
      </c>
      <c r="AR69" s="85">
        <v>18.1177007828814</v>
      </c>
      <c r="AS69" s="85">
        <v>2.1004883368749501</v>
      </c>
      <c r="AT69" s="85">
        <v>0</v>
      </c>
      <c r="AU69" s="85">
        <v>0</v>
      </c>
      <c r="AV69" s="85">
        <v>0</v>
      </c>
      <c r="AW69" s="85">
        <v>0</v>
      </c>
      <c r="AX69" s="85">
        <v>250.25038399169401</v>
      </c>
      <c r="AY69" s="85">
        <v>0</v>
      </c>
      <c r="AZ69" s="85">
        <v>0</v>
      </c>
      <c r="BA69" s="85">
        <v>20.4677668286437</v>
      </c>
      <c r="BB69" s="85">
        <v>0.76605455965147495</v>
      </c>
      <c r="BC69" s="85">
        <v>9.6666535372060398</v>
      </c>
      <c r="BD69" s="85">
        <v>2.0178637936879</v>
      </c>
    </row>
    <row r="70" spans="1:56" ht="11.25" customHeight="1" x14ac:dyDescent="0.25">
      <c r="A70" s="119"/>
      <c r="B70" s="119"/>
      <c r="C70" s="119"/>
      <c r="D70" s="119"/>
      <c r="E70" s="119"/>
      <c r="F70" s="119"/>
      <c r="G70" s="21" t="s">
        <v>100</v>
      </c>
      <c r="H70" s="21" t="s">
        <v>88</v>
      </c>
      <c r="I70" s="21">
        <f>'MERCADO TUSD'!$U$67</f>
        <v>0</v>
      </c>
      <c r="J70" s="17"/>
      <c r="L70" s="85">
        <f>('TUSD BE'!$L$70+'TUSD BF'!$L$70+'TUSD CVA'!$L$70)*(1 - CUSTOS!$M$39)</f>
        <v>0</v>
      </c>
      <c r="M70" s="85">
        <f>('TUSD BE'!$M$70+'TUSD BF'!$M$70+'TUSD CVA'!$M$70)*(1 - CUSTOS!$M$39)</f>
        <v>0.32351580572623012</v>
      </c>
      <c r="N70" s="85">
        <f ca="1">('TUSD BE'!$N$70+'TUSD BF'!$N$70+'TUSD CVA'!$N$70)*(1 - CUSTOS!$M$39)</f>
        <v>2.9656751075539129</v>
      </c>
      <c r="O70" s="85">
        <f>('TUSD BE'!$O$70+'TUSD BF'!$O$70+'TUSD CVA'!$O$70)*(1 - CUSTOS!$M$39)</f>
        <v>0</v>
      </c>
      <c r="P70" s="85">
        <f>('TUSD BE'!$P$70+'TUSD BF'!$P$70+'TUSD CVA'!$P$70)*(1 - CUSTOS!$M$39)</f>
        <v>0</v>
      </c>
      <c r="Q70" s="85">
        <f>('TUSD BE'!$Q$70+'TUSD BF'!$Q$70+'TUSD CVA'!$Q$70)*(1 - CUSTOS!$M$39)</f>
        <v>54.423289490414383</v>
      </c>
      <c r="R70" s="85">
        <f>('TUSD BE'!$R$70+'TUSD BF'!$R$70+'TUSD CVA'!$R$70)*(1 - CUSTOS!$M$39)</f>
        <v>5.7210881113999532</v>
      </c>
      <c r="S70" s="85">
        <f>('TUSD BE'!$S$70+'TUSD BF'!$S$70+'TUSD CVA'!$S$70)*(1 - CUSTOS!$M$39)</f>
        <v>0</v>
      </c>
      <c r="T70" s="85">
        <f>('TUSD BE'!$U$70+'TUSD BF'!$U$70+'TUSD CVA'!$U$70)*(1 - CUSTOS!$M$39)</f>
        <v>64.550873401631193</v>
      </c>
      <c r="U70" s="85">
        <f>('TUSD BE'!$V$70+'TUSD BF'!$V$70+'TUSD CVA'!$V$70)*(1 - CUSTOS!$M$39)</f>
        <v>17.349724852138163</v>
      </c>
      <c r="V70" s="85">
        <f>('TUSD BE'!$W$70+'TUSD BF'!$W$70+'TUSD CVA'!$W$70)*(1 - CUSTOS!$M$39)</f>
        <v>2.0972575443024652</v>
      </c>
      <c r="W70" s="85">
        <f>('TUSD BE'!$X$70+'TUSD BF'!$X$70+'TUSD CVA'!$X$70)*(1 - CUSTOS!$M$39)</f>
        <v>0</v>
      </c>
      <c r="X70" s="85">
        <f>('TUSD BE'!$Y$70+'TUSD BF'!$Y$70+'TUSD CVA'!$Y$70)*(1 - CUSTOS!$M$39)</f>
        <v>0</v>
      </c>
      <c r="Y70" s="85">
        <f>('TUSD BE'!$Z$70+'TUSD BF'!$Z$70+'TUSD CVA'!$Z$70)*(1 - CUSTOS!$M$39)</f>
        <v>0</v>
      </c>
      <c r="Z70" s="85">
        <f>('TUSD BE'!$AA$70+'TUSD BF'!$AA$70+'TUSD CVA'!$AA$70)*(1 - CUSTOS!$M$39)</f>
        <v>0</v>
      </c>
      <c r="AA70" s="85">
        <f>('TUSD BE'!$AC$70+'TUSD BF'!$AC$70+'TUSD CVA'!$AC$70)*(1 - CUSTOS!$M$39)</f>
        <v>167.01041632079225</v>
      </c>
      <c r="AB70" s="85">
        <f ca="1">('TUSD BE'!$AE$70+'TUSD BF'!$AE$70+'TUSD CVA'!$AE$70)*(1 - CUSTOS!$M$39)</f>
        <v>0</v>
      </c>
      <c r="AC70" s="85">
        <f ca="1">('TUSD BE'!$AF$70+'TUSD BF'!$AF$70+'TUSD CVA'!$AF$70)*(1 - CUSTOS!$M$39)</f>
        <v>0</v>
      </c>
      <c r="AD70" s="85">
        <f>('TUSD BE'!$AH$70+'TUSD BF'!$AH$70+'TUSD CVA'!$AH$70)*(1 - CUSTOS!$M$39)</f>
        <v>18.331229177348078</v>
      </c>
      <c r="AE70" s="85">
        <f>('TUSD BE'!$AI$70+'TUSD BF'!$AI$70+'TUSD CVA'!$AI$70)*(1 - CUSTOS!$M$39)</f>
        <v>0.68904057536402619</v>
      </c>
      <c r="AF70" s="85">
        <f ca="1">('TUSD BE'!$AJ$70+'TUSD BF'!$AJ$70+'TUSD CVA'!$AJ$70)*(1 - CUSTOS!$M$39)</f>
        <v>8.6345043471523244</v>
      </c>
      <c r="AG70" s="85">
        <f ca="1">('TUSD BE'!$AK$70+'TUSD BF'!$AK$70+'TUSD CVA'!$AK$70)*(1 - CUSTOS!$M$39)</f>
        <v>2.2193563534425569</v>
      </c>
      <c r="AI70" s="85">
        <v>0</v>
      </c>
      <c r="AJ70" s="85">
        <v>0.31008408971080698</v>
      </c>
      <c r="AK70" s="85">
        <v>2.8472845188732401</v>
      </c>
      <c r="AL70" s="85">
        <v>0</v>
      </c>
      <c r="AM70" s="85">
        <v>0</v>
      </c>
      <c r="AN70" s="85">
        <v>40.851383020259298</v>
      </c>
      <c r="AO70" s="85">
        <v>7.7505947492650096</v>
      </c>
      <c r="AP70" s="85">
        <v>0</v>
      </c>
      <c r="AQ70" s="85">
        <v>37.739347552066697</v>
      </c>
      <c r="AR70" s="85">
        <v>10.870520591280799</v>
      </c>
      <c r="AS70" s="85">
        <v>1.2602930021249701</v>
      </c>
      <c r="AT70" s="85">
        <v>0</v>
      </c>
      <c r="AU70" s="85">
        <v>0</v>
      </c>
      <c r="AV70" s="85">
        <v>0</v>
      </c>
      <c r="AW70" s="85">
        <v>0</v>
      </c>
      <c r="AX70" s="85">
        <v>150.15021345901201</v>
      </c>
      <c r="AY70" s="85">
        <v>0</v>
      </c>
      <c r="AZ70" s="85">
        <v>0</v>
      </c>
      <c r="BA70" s="85">
        <v>20.4677668286437</v>
      </c>
      <c r="BB70" s="85">
        <v>0.76605455965147495</v>
      </c>
      <c r="BC70" s="85">
        <v>9.6666535372060398</v>
      </c>
      <c r="BD70" s="85">
        <v>2.0178637936879</v>
      </c>
    </row>
    <row r="71" spans="1:56" ht="11.25" customHeight="1" x14ac:dyDescent="0.25">
      <c r="A71" s="119"/>
      <c r="B71" s="119"/>
      <c r="C71" s="119"/>
      <c r="D71" s="119"/>
      <c r="E71" s="119"/>
      <c r="F71" s="119"/>
      <c r="G71" s="21" t="s">
        <v>90</v>
      </c>
      <c r="H71" s="21" t="s">
        <v>88</v>
      </c>
      <c r="I71" s="21">
        <f>'MERCADO TUSD'!$U$68</f>
        <v>0</v>
      </c>
      <c r="J71" s="17"/>
      <c r="L71" s="85">
        <f>('TUSD BE'!$L$71+'TUSD BF'!$L$71+'TUSD CVA'!$L$71)*(1 - CUSTOS!$M$39)</f>
        <v>0</v>
      </c>
      <c r="M71" s="85">
        <f>('TUSD BE'!$M$71+'TUSD BF'!$M$71+'TUSD CVA'!$M$71)*(1 - CUSTOS!$M$39)</f>
        <v>0.32351580572623012</v>
      </c>
      <c r="N71" s="85">
        <f ca="1">('TUSD BE'!$N$71+'TUSD BF'!$N$71+'TUSD CVA'!$N$71)*(1 - CUSTOS!$M$39)</f>
        <v>1.4299173839834647</v>
      </c>
      <c r="O71" s="85">
        <f>('TUSD BE'!$O$71+'TUSD BF'!$O$71+'TUSD CVA'!$O$71)*(1 - CUSTOS!$M$39)</f>
        <v>0</v>
      </c>
      <c r="P71" s="85">
        <f>('TUSD BE'!$P$71+'TUSD BF'!$P$71+'TUSD CVA'!$P$71)*(1 - CUSTOS!$M$39)</f>
        <v>0</v>
      </c>
      <c r="Q71" s="85">
        <f>('TUSD BE'!$Q$71+'TUSD BF'!$Q$71+'TUSD CVA'!$Q$71)*(1 - CUSTOS!$M$39)</f>
        <v>54.423289490414383</v>
      </c>
      <c r="R71" s="85">
        <f>('TUSD BE'!$R$71+'TUSD BF'!$R$71+'TUSD CVA'!$R$71)*(1 - CUSTOS!$M$39)</f>
        <v>5.7210881113999532</v>
      </c>
      <c r="S71" s="85">
        <f>('TUSD BE'!$S$71+'TUSD BF'!$S$71+'TUSD CVA'!$S$71)*(1 - CUSTOS!$M$39)</f>
        <v>0</v>
      </c>
      <c r="T71" s="85">
        <f>('TUSD BE'!$U$71+'TUSD BF'!$U$71+'TUSD CVA'!$U$71)*(1 - CUSTOS!$M$39)</f>
        <v>21.51713643121743</v>
      </c>
      <c r="U71" s="85">
        <f>('TUSD BE'!$V$71+'TUSD BF'!$V$71+'TUSD CVA'!$V$71)*(1 - CUSTOS!$M$39)</f>
        <v>5.7833744585788223</v>
      </c>
      <c r="V71" s="85">
        <f>('TUSD BE'!$W$71+'TUSD BF'!$W$71+'TUSD CVA'!$W$71)*(1 - CUSTOS!$M$39)</f>
        <v>0.69908584810082186</v>
      </c>
      <c r="W71" s="85">
        <f>('TUSD BE'!$X$71+'TUSD BF'!$X$71+'TUSD CVA'!$X$71)*(1 - CUSTOS!$M$39)</f>
        <v>0</v>
      </c>
      <c r="X71" s="85">
        <f>('TUSD BE'!$Y$71+'TUSD BF'!$Y$71+'TUSD CVA'!$Y$71)*(1 - CUSTOS!$M$39)</f>
        <v>0</v>
      </c>
      <c r="Y71" s="85">
        <f>('TUSD BE'!$Z$71+'TUSD BF'!$Z$71+'TUSD CVA'!$Z$71)*(1 - CUSTOS!$M$39)</f>
        <v>0</v>
      </c>
      <c r="Z71" s="85">
        <f>('TUSD BE'!$AA$71+'TUSD BF'!$AA$71+'TUSD CVA'!$AA$71)*(1 - CUSTOS!$M$39)</f>
        <v>0</v>
      </c>
      <c r="AA71" s="85">
        <f>('TUSD BE'!$AC$71+'TUSD BF'!$AC$71+'TUSD CVA'!$AC$71)*(1 - CUSTOS!$M$39)</f>
        <v>55.670107377380766</v>
      </c>
      <c r="AB71" s="85">
        <f ca="1">('TUSD BE'!$AE$71+'TUSD BF'!$AE$71+'TUSD CVA'!$AE$71)*(1 - CUSTOS!$M$39)</f>
        <v>0</v>
      </c>
      <c r="AC71" s="85">
        <f ca="1">('TUSD BE'!$AF$71+'TUSD BF'!$AF$71+'TUSD CVA'!$AF$71)*(1 - CUSTOS!$M$39)</f>
        <v>0</v>
      </c>
      <c r="AD71" s="85">
        <f>('TUSD BE'!$AH$71+'TUSD BF'!$AH$71+'TUSD CVA'!$AH$71)*(1 - CUSTOS!$M$39)</f>
        <v>18.331229177348078</v>
      </c>
      <c r="AE71" s="85">
        <f>('TUSD BE'!$AI$71+'TUSD BF'!$AI$71+'TUSD CVA'!$AI$71)*(1 - CUSTOS!$M$39)</f>
        <v>0.68904057536402619</v>
      </c>
      <c r="AF71" s="85">
        <f ca="1">('TUSD BE'!$AJ$71+'TUSD BF'!$AJ$71+'TUSD CVA'!$AJ$71)*(1 - CUSTOS!$M$39)</f>
        <v>8.6345043471523244</v>
      </c>
      <c r="AG71" s="85">
        <f ca="1">('TUSD BE'!$AK$71+'TUSD BF'!$AK$71+'TUSD CVA'!$AK$71)*(1 - CUSTOS!$M$39)</f>
        <v>2.2193563534425569</v>
      </c>
      <c r="AI71" s="85">
        <v>0</v>
      </c>
      <c r="AJ71" s="85">
        <v>0.31008408971080698</v>
      </c>
      <c r="AK71" s="85">
        <v>1.3617483299208999</v>
      </c>
      <c r="AL71" s="85">
        <v>0</v>
      </c>
      <c r="AM71" s="85">
        <v>0</v>
      </c>
      <c r="AN71" s="85">
        <v>40.851383020259298</v>
      </c>
      <c r="AO71" s="85">
        <v>7.7505947492650096</v>
      </c>
      <c r="AP71" s="85">
        <v>0</v>
      </c>
      <c r="AQ71" s="85">
        <v>12.579886952891799</v>
      </c>
      <c r="AR71" s="85">
        <v>3.6235900958003202</v>
      </c>
      <c r="AS71" s="85">
        <v>0.42009766737498999</v>
      </c>
      <c r="AT71" s="85">
        <v>0</v>
      </c>
      <c r="AU71" s="85">
        <v>0</v>
      </c>
      <c r="AV71" s="85">
        <v>0</v>
      </c>
      <c r="AW71" s="85">
        <v>0</v>
      </c>
      <c r="AX71" s="85">
        <v>50.050042926329603</v>
      </c>
      <c r="AY71" s="85">
        <v>0</v>
      </c>
      <c r="AZ71" s="85">
        <v>0</v>
      </c>
      <c r="BA71" s="85">
        <v>20.4677668286437</v>
      </c>
      <c r="BB71" s="85">
        <v>0.76605455965147495</v>
      </c>
      <c r="BC71" s="85">
        <v>9.6666535372060398</v>
      </c>
      <c r="BD71" s="85">
        <v>2.0178637936879</v>
      </c>
    </row>
    <row r="72" spans="1:56" ht="11.25" customHeight="1" x14ac:dyDescent="0.25">
      <c r="A72" s="119"/>
      <c r="B72" s="87" t="s">
        <v>23</v>
      </c>
      <c r="C72" s="87" t="s">
        <v>47</v>
      </c>
      <c r="D72" s="87" t="s">
        <v>103</v>
      </c>
      <c r="E72" s="87" t="s">
        <v>25</v>
      </c>
      <c r="F72" s="87" t="s">
        <v>25</v>
      </c>
      <c r="G72" s="21" t="s">
        <v>94</v>
      </c>
      <c r="H72" s="21" t="s">
        <v>88</v>
      </c>
      <c r="I72" s="21">
        <f>'MERCADO TUSD'!$U$69</f>
        <v>0</v>
      </c>
      <c r="J72" s="17"/>
      <c r="L72" s="85">
        <f>('TUSD BE'!$L$72+'TUSD BF'!$L$72+'TUSD CVA'!$L$72)*(1 - CUSTOS!$M$39)</f>
        <v>0</v>
      </c>
      <c r="M72" s="85">
        <f>('TUSD BE'!$M$72+'TUSD BF'!$M$72+'TUSD CVA'!$M$72)*(1 - CUSTOS!$M$39)</f>
        <v>0.32351580572623012</v>
      </c>
      <c r="N72" s="85">
        <f ca="1">('TUSD BE'!$N$72+'TUSD BF'!$N$72+'TUSD CVA'!$N$72)*(1 - CUSTOS!$M$39)</f>
        <v>1.8618495774636346</v>
      </c>
      <c r="O72" s="85">
        <f>('TUSD BE'!$O$72+'TUSD BF'!$O$72+'TUSD CVA'!$O$72)*(1 - CUSTOS!$M$39)</f>
        <v>0</v>
      </c>
      <c r="P72" s="85">
        <f>('TUSD BE'!$P$72+'TUSD BF'!$P$72+'TUSD CVA'!$P$72)*(1 - CUSTOS!$M$39)</f>
        <v>0</v>
      </c>
      <c r="Q72" s="85">
        <f>('TUSD BE'!$Q$72+'TUSD BF'!$Q$72+'TUSD CVA'!$Q$72)*(1 - CUSTOS!$M$39)</f>
        <v>54.423289490414383</v>
      </c>
      <c r="R72" s="85">
        <f>('TUSD BE'!$R$72+'TUSD BF'!$R$72+'TUSD CVA'!$R$72)*(1 - CUSTOS!$M$39)</f>
        <v>5.7210881113999532</v>
      </c>
      <c r="S72" s="85">
        <f>('TUSD BE'!$S$72+'TUSD BF'!$S$72+'TUSD CVA'!$S$72)*(1 - CUSTOS!$M$39)</f>
        <v>0</v>
      </c>
      <c r="T72" s="85">
        <f>('TUSD BE'!$U$72+'TUSD BF'!$U$72+'TUSD CVA'!$U$72)*(1 - CUSTOS!$M$39)</f>
        <v>33.620257727766685</v>
      </c>
      <c r="U72" s="85">
        <f>('TUSD BE'!$V$72+'TUSD BF'!$V$72+'TUSD CVA'!$V$72)*(1 - CUSTOS!$M$39)</f>
        <v>9.0365225915294101</v>
      </c>
      <c r="V72" s="85">
        <f>('TUSD BE'!$W$72+'TUSD BF'!$W$72+'TUSD CVA'!$W$72)*(1 - CUSTOS!$M$39)</f>
        <v>1.0921067043767583</v>
      </c>
      <c r="W72" s="85">
        <f>('TUSD BE'!$X$72+'TUSD BF'!$X$72+'TUSD CVA'!$X$72)*(1 - CUSTOS!$M$39)</f>
        <v>0</v>
      </c>
      <c r="X72" s="85">
        <f>('TUSD BE'!$Y$72+'TUSD BF'!$Y$72+'TUSD CVA'!$Y$72)*(1 - CUSTOS!$M$39)</f>
        <v>0</v>
      </c>
      <c r="Y72" s="85">
        <f>('TUSD BE'!$Z$72+'TUSD BF'!$Z$72+'TUSD CVA'!$Z$72)*(1 - CUSTOS!$M$39)</f>
        <v>0</v>
      </c>
      <c r="Z72" s="85">
        <f>('TUSD BE'!$AA$72+'TUSD BF'!$AA$72+'TUSD CVA'!$AA$72)*(1 - CUSTOS!$M$39)</f>
        <v>0</v>
      </c>
      <c r="AA72" s="85">
        <f>('TUSD BE'!$AC$72+'TUSD BF'!$AC$72+'TUSD CVA'!$AC$72)*(1 - CUSTOS!$M$39)</f>
        <v>86.984631079016793</v>
      </c>
      <c r="AB72" s="85">
        <f ca="1">('TUSD BE'!$AE$72+'TUSD BF'!$AE$72+'TUSD CVA'!$AE$72)*(1 - CUSTOS!$M$39)</f>
        <v>0</v>
      </c>
      <c r="AC72" s="85">
        <f ca="1">('TUSD BE'!$AF$72+'TUSD BF'!$AF$72+'TUSD CVA'!$AF$72)*(1 - CUSTOS!$M$39)</f>
        <v>0</v>
      </c>
      <c r="AD72" s="85">
        <f>('TUSD BE'!$AH$72+'TUSD BF'!$AH$72+'TUSD CVA'!$AH$72)*(1 - CUSTOS!$M$39)</f>
        <v>18.331229177348078</v>
      </c>
      <c r="AE72" s="85">
        <f>('TUSD BE'!$AI$72+'TUSD BF'!$AI$72+'TUSD CVA'!$AI$72)*(1 - CUSTOS!$M$39)</f>
        <v>0.68904057536402619</v>
      </c>
      <c r="AF72" s="85">
        <f ca="1">('TUSD BE'!$AJ$72+'TUSD BF'!$AJ$72+'TUSD CVA'!$AJ$72)*(1 - CUSTOS!$M$39)</f>
        <v>8.6345043471523244</v>
      </c>
      <c r="AG72" s="85">
        <f ca="1">('TUSD BE'!$AK$72+'TUSD BF'!$AK$72+'TUSD CVA'!$AK$72)*(1 - CUSTOS!$M$39)</f>
        <v>2.2193563534425569</v>
      </c>
      <c r="AI72" s="85">
        <v>0</v>
      </c>
      <c r="AJ72" s="85">
        <v>0.31008408971080698</v>
      </c>
      <c r="AK72" s="85">
        <v>1.7795557058764</v>
      </c>
      <c r="AL72" s="85">
        <v>0</v>
      </c>
      <c r="AM72" s="85">
        <v>0</v>
      </c>
      <c r="AN72" s="85">
        <v>40.851383020259298</v>
      </c>
      <c r="AO72" s="85">
        <v>7.7505947492650096</v>
      </c>
      <c r="AP72" s="85">
        <v>0</v>
      </c>
      <c r="AQ72" s="85">
        <v>19.6559167105891</v>
      </c>
      <c r="AR72" s="85">
        <v>5.6618595246880004</v>
      </c>
      <c r="AS72" s="85">
        <v>0.65627344664413301</v>
      </c>
      <c r="AT72" s="85">
        <v>0</v>
      </c>
      <c r="AU72" s="85">
        <v>0</v>
      </c>
      <c r="AV72" s="85">
        <v>0</v>
      </c>
      <c r="AW72" s="85">
        <v>0</v>
      </c>
      <c r="AX72" s="85">
        <v>78.203271459911505</v>
      </c>
      <c r="AY72" s="85">
        <v>0</v>
      </c>
      <c r="AZ72" s="85">
        <v>0</v>
      </c>
      <c r="BA72" s="85">
        <v>20.4677668286437</v>
      </c>
      <c r="BB72" s="85">
        <v>0.76605455965147495</v>
      </c>
      <c r="BC72" s="85">
        <v>9.6666535372060398</v>
      </c>
      <c r="BD72" s="85">
        <v>2.0178637936879</v>
      </c>
    </row>
    <row r="73" spans="1:56" ht="11.25" customHeight="1" x14ac:dyDescent="0.25">
      <c r="A73" s="119"/>
      <c r="B73" s="119" t="s">
        <v>37</v>
      </c>
      <c r="C73" s="119" t="s">
        <v>47</v>
      </c>
      <c r="D73" s="119" t="s">
        <v>104</v>
      </c>
      <c r="E73" s="119" t="s">
        <v>25</v>
      </c>
      <c r="F73" s="119" t="s">
        <v>25</v>
      </c>
      <c r="G73" s="21" t="s">
        <v>89</v>
      </c>
      <c r="H73" s="21" t="s">
        <v>88</v>
      </c>
      <c r="I73" s="21">
        <f>'MERCADO TUSD'!$U$70</f>
        <v>0</v>
      </c>
      <c r="J73" s="17"/>
      <c r="L73" s="85">
        <f>('TUSD BE'!$L$73+'TUSD BF'!$L$73+'TUSD CVA'!$L$73)*(1 - CUSTOS!$M$40)</f>
        <v>0</v>
      </c>
      <c r="M73" s="85">
        <f>('TUSD BE'!$M$73+'TUSD BF'!$M$73+'TUSD CVA'!$M$73)*(1 - CUSTOS!$M$40)</f>
        <v>0.29984391750235961</v>
      </c>
      <c r="N73" s="85">
        <f ca="1">('TUSD BE'!$N$73+'TUSD BF'!$N$73+'TUSD CVA'!$N$73)*(1 - CUSTOS!$M$40)</f>
        <v>4.1720618966561487</v>
      </c>
      <c r="O73" s="85">
        <f>('TUSD BE'!$O$73+'TUSD BF'!$O$73+'TUSD CVA'!$O$73)*(1 - CUSTOS!$M$40)</f>
        <v>0</v>
      </c>
      <c r="P73" s="85">
        <f>('TUSD BE'!$P$73+'TUSD BF'!$P$73+'TUSD CVA'!$P$73)*(1 - CUSTOS!$M$40)</f>
        <v>0</v>
      </c>
      <c r="Q73" s="85">
        <f>('TUSD BE'!$Q$73+'TUSD BF'!$Q$73+'TUSD CVA'!$Q$73)*(1 - CUSTOS!$M$40)</f>
        <v>50.441097576481624</v>
      </c>
      <c r="R73" s="85">
        <f>('TUSD BE'!$R$73+'TUSD BF'!$R$73+'TUSD CVA'!$R$73)*(1 - CUSTOS!$M$40)</f>
        <v>5.3024719081267859</v>
      </c>
      <c r="S73" s="85">
        <f>('TUSD BE'!$S$73+'TUSD BF'!$S$73+'TUSD CVA'!$S$73)*(1 - CUSTOS!$M$40)</f>
        <v>0</v>
      </c>
      <c r="T73" s="85">
        <f>('TUSD BE'!$U$73+'TUSD BF'!$U$73+'TUSD CVA'!$U$73)*(1 - CUSTOS!$M$40)</f>
        <v>99.713062391085614</v>
      </c>
      <c r="U73" s="85">
        <f>('TUSD BE'!$V$73+'TUSD BF'!$V$73+'TUSD CVA'!$V$73)*(1 - CUSTOS!$M$40)</f>
        <v>26.800634225200987</v>
      </c>
      <c r="V73" s="85">
        <f>('TUSD BE'!$W$73+'TUSD BF'!$W$73+'TUSD CVA'!$W$73)*(1 - CUSTOS!$M$40)</f>
        <v>3.2396661253452712</v>
      </c>
      <c r="W73" s="85">
        <f>('TUSD BE'!$X$73+'TUSD BF'!$X$73+'TUSD CVA'!$X$73)*(1 - CUSTOS!$M$40)</f>
        <v>0</v>
      </c>
      <c r="X73" s="85">
        <f>('TUSD BE'!$Y$73+'TUSD BF'!$Y$73+'TUSD CVA'!$Y$73)*(1 - CUSTOS!$M$40)</f>
        <v>0</v>
      </c>
      <c r="Y73" s="85">
        <f>('TUSD BE'!$Z$73+'TUSD BF'!$Z$73+'TUSD CVA'!$Z$73)*(1 - CUSTOS!$M$40)</f>
        <v>0</v>
      </c>
      <c r="Z73" s="85">
        <f>('TUSD BE'!$AA$73+'TUSD BF'!$AA$73+'TUSD CVA'!$AA$73)*(1 - CUSTOS!$M$40)</f>
        <v>0</v>
      </c>
      <c r="AA73" s="85">
        <f>('TUSD BE'!$AC$73+'TUSD BF'!$AC$73+'TUSD CVA'!$AC$73)*(1 - CUSTOS!$M$40)</f>
        <v>257.98359902535958</v>
      </c>
      <c r="AB73" s="85">
        <f ca="1">('TUSD BE'!$AE$73+'TUSD BF'!$AE$73+'TUSD CVA'!$AE$73)*(1 - CUSTOS!$M$40)</f>
        <v>0</v>
      </c>
      <c r="AC73" s="85">
        <f ca="1">('TUSD BE'!$AF$73+'TUSD BF'!$AF$73+'TUSD CVA'!$AF$73)*(1 - CUSTOS!$M$40)</f>
        <v>0</v>
      </c>
      <c r="AD73" s="85">
        <f>('TUSD BE'!$AH$73+'TUSD BF'!$AH$73+'TUSD CVA'!$AH$73)*(1 - CUSTOS!$M$40)</f>
        <v>16.989919725346997</v>
      </c>
      <c r="AE73" s="85">
        <f>('TUSD BE'!$AI$73+'TUSD BF'!$AI$73+'TUSD CVA'!$AI$73)*(1 - CUSTOS!$M$40)</f>
        <v>0.63862297228860965</v>
      </c>
      <c r="AF73" s="85">
        <f ca="1">('TUSD BE'!$AJ$73+'TUSD BF'!$AJ$73+'TUSD CVA'!$AJ$73)*(1 - CUSTOS!$M$40)</f>
        <v>8.0027113461411794</v>
      </c>
      <c r="AG73" s="85">
        <f ca="1">('TUSD BE'!$AK$73+'TUSD BF'!$AK$73+'TUSD CVA'!$AK$73)*(1 - CUSTOS!$M$40)</f>
        <v>2.0569644251418819</v>
      </c>
      <c r="AI73" s="85">
        <v>0</v>
      </c>
      <c r="AJ73" s="85">
        <v>0.27744365921493302</v>
      </c>
      <c r="AK73" s="85">
        <v>3.87673637144725</v>
      </c>
      <c r="AL73" s="85">
        <v>0</v>
      </c>
      <c r="AM73" s="85">
        <v>0</v>
      </c>
      <c r="AN73" s="85">
        <v>36.551237439179403</v>
      </c>
      <c r="AO73" s="85">
        <v>6.9347426703950097</v>
      </c>
      <c r="AP73" s="85">
        <v>0</v>
      </c>
      <c r="AQ73" s="85">
        <v>56.278161304392299</v>
      </c>
      <c r="AR73" s="85">
        <v>16.210574384683401</v>
      </c>
      <c r="AS73" s="85">
        <v>1.87938430141443</v>
      </c>
      <c r="AT73" s="85">
        <v>0</v>
      </c>
      <c r="AU73" s="85">
        <v>0</v>
      </c>
      <c r="AV73" s="85">
        <v>0</v>
      </c>
      <c r="AW73" s="85">
        <v>0</v>
      </c>
      <c r="AX73" s="85">
        <v>223.90823830835799</v>
      </c>
      <c r="AY73" s="85">
        <v>0</v>
      </c>
      <c r="AZ73" s="85">
        <v>0</v>
      </c>
      <c r="BA73" s="85">
        <v>18.313265057207499</v>
      </c>
      <c r="BB73" s="85">
        <v>0.68541723758289896</v>
      </c>
      <c r="BC73" s="85">
        <v>8.6491110596053993</v>
      </c>
      <c r="BD73" s="85">
        <v>1.8054570785628601</v>
      </c>
    </row>
    <row r="74" spans="1:56" ht="11.25" customHeight="1" x14ac:dyDescent="0.25">
      <c r="A74" s="119"/>
      <c r="B74" s="119"/>
      <c r="C74" s="119"/>
      <c r="D74" s="119"/>
      <c r="E74" s="119"/>
      <c r="F74" s="119"/>
      <c r="G74" s="21" t="s">
        <v>100</v>
      </c>
      <c r="H74" s="21" t="s">
        <v>88</v>
      </c>
      <c r="I74" s="21">
        <f>'MERCADO TUSD'!$U$71</f>
        <v>0</v>
      </c>
      <c r="J74" s="17"/>
      <c r="L74" s="85">
        <f>('TUSD BE'!$L$74+'TUSD BF'!$L$74+'TUSD CVA'!$L$74)*(1 - CUSTOS!$M$40)</f>
        <v>0</v>
      </c>
      <c r="M74" s="85">
        <f>('TUSD BE'!$M$74+'TUSD BF'!$M$74+'TUSD CVA'!$M$74)*(1 - CUSTOS!$M$40)</f>
        <v>0.29984391750235961</v>
      </c>
      <c r="N74" s="85">
        <f ca="1">('TUSD BE'!$N$74+'TUSD BF'!$N$74+'TUSD CVA'!$N$74)*(1 - CUSTOS!$M$40)</f>
        <v>2.7486744899280167</v>
      </c>
      <c r="O74" s="85">
        <f>('TUSD BE'!$O$74+'TUSD BF'!$O$74+'TUSD CVA'!$O$74)*(1 - CUSTOS!$M$40)</f>
        <v>0</v>
      </c>
      <c r="P74" s="85">
        <f>('TUSD BE'!$P$74+'TUSD BF'!$P$74+'TUSD CVA'!$P$74)*(1 - CUSTOS!$M$40)</f>
        <v>0</v>
      </c>
      <c r="Q74" s="85">
        <f>('TUSD BE'!$Q$74+'TUSD BF'!$Q$74+'TUSD CVA'!$Q$74)*(1 - CUSTOS!$M$40)</f>
        <v>50.441097576481624</v>
      </c>
      <c r="R74" s="85">
        <f>('TUSD BE'!$R$74+'TUSD BF'!$R$74+'TUSD CVA'!$R$74)*(1 - CUSTOS!$M$40)</f>
        <v>5.3024719081267859</v>
      </c>
      <c r="S74" s="85">
        <f>('TUSD BE'!$S$74+'TUSD BF'!$S$74+'TUSD CVA'!$S$74)*(1 - CUSTOS!$M$40)</f>
        <v>0</v>
      </c>
      <c r="T74" s="85">
        <f>('TUSD BE'!$U$74+'TUSD BF'!$U$74+'TUSD CVA'!$U$74)*(1 - CUSTOS!$M$40)</f>
        <v>59.827638762487446</v>
      </c>
      <c r="U74" s="85">
        <f>('TUSD BE'!$V$74+'TUSD BF'!$V$74+'TUSD CVA'!$V$74)*(1 - CUSTOS!$M$40)</f>
        <v>16.080232789786589</v>
      </c>
      <c r="V74" s="85">
        <f>('TUSD BE'!$W$74+'TUSD BF'!$W$74+'TUSD CVA'!$W$74)*(1 - CUSTOS!$M$40)</f>
        <v>1.9437996752071629</v>
      </c>
      <c r="W74" s="85">
        <f>('TUSD BE'!$X$74+'TUSD BF'!$X$74+'TUSD CVA'!$X$74)*(1 - CUSTOS!$M$40)</f>
        <v>0</v>
      </c>
      <c r="X74" s="85">
        <f>('TUSD BE'!$Y$74+'TUSD BF'!$Y$74+'TUSD CVA'!$Y$74)*(1 - CUSTOS!$M$40)</f>
        <v>0</v>
      </c>
      <c r="Y74" s="85">
        <f>('TUSD BE'!$Z$74+'TUSD BF'!$Z$74+'TUSD CVA'!$Z$74)*(1 - CUSTOS!$M$40)</f>
        <v>0</v>
      </c>
      <c r="Z74" s="85">
        <f>('TUSD BE'!$AA$74+'TUSD BF'!$AA$74+'TUSD CVA'!$AA$74)*(1 - CUSTOS!$M$40)</f>
        <v>0</v>
      </c>
      <c r="AA74" s="85">
        <f>('TUSD BE'!$AC$74+'TUSD BF'!$AC$74+'TUSD CVA'!$AC$74)*(1 - CUSTOS!$M$40)</f>
        <v>154.79014195585623</v>
      </c>
      <c r="AB74" s="85">
        <f ca="1">('TUSD BE'!$AE$74+'TUSD BF'!$AE$74+'TUSD CVA'!$AE$74)*(1 - CUSTOS!$M$40)</f>
        <v>0</v>
      </c>
      <c r="AC74" s="85">
        <f ca="1">('TUSD BE'!$AF$74+'TUSD BF'!$AF$74+'TUSD CVA'!$AF$74)*(1 - CUSTOS!$M$40)</f>
        <v>0</v>
      </c>
      <c r="AD74" s="85">
        <f>('TUSD BE'!$AH$74+'TUSD BF'!$AH$74+'TUSD CVA'!$AH$74)*(1 - CUSTOS!$M$40)</f>
        <v>16.989919725346997</v>
      </c>
      <c r="AE74" s="85">
        <f>('TUSD BE'!$AI$74+'TUSD BF'!$AI$74+'TUSD CVA'!$AI$74)*(1 - CUSTOS!$M$40)</f>
        <v>0.63862297228860965</v>
      </c>
      <c r="AF74" s="85">
        <f ca="1">('TUSD BE'!$AJ$74+'TUSD BF'!$AJ$74+'TUSD CVA'!$AJ$74)*(1 - CUSTOS!$M$40)</f>
        <v>8.0027113461411794</v>
      </c>
      <c r="AG74" s="85">
        <f ca="1">('TUSD BE'!$AK$74+'TUSD BF'!$AK$74+'TUSD CVA'!$AK$74)*(1 - CUSTOS!$M$40)</f>
        <v>2.0569644251418819</v>
      </c>
      <c r="AI74" s="85">
        <v>0</v>
      </c>
      <c r="AJ74" s="85">
        <v>0.27744365921493302</v>
      </c>
      <c r="AK74" s="85">
        <v>2.5475703589918499</v>
      </c>
      <c r="AL74" s="85">
        <v>0</v>
      </c>
      <c r="AM74" s="85">
        <v>0</v>
      </c>
      <c r="AN74" s="85">
        <v>36.551237439179403</v>
      </c>
      <c r="AO74" s="85">
        <v>6.9347426703950097</v>
      </c>
      <c r="AP74" s="85">
        <v>0</v>
      </c>
      <c r="AQ74" s="85">
        <v>33.7667846518491</v>
      </c>
      <c r="AR74" s="85">
        <v>9.7262552658828305</v>
      </c>
      <c r="AS74" s="85">
        <v>1.12763058084866</v>
      </c>
      <c r="AT74" s="85">
        <v>0</v>
      </c>
      <c r="AU74" s="85">
        <v>0</v>
      </c>
      <c r="AV74" s="85">
        <v>0</v>
      </c>
      <c r="AW74" s="85">
        <v>0</v>
      </c>
      <c r="AX74" s="85">
        <v>134.34492783174699</v>
      </c>
      <c r="AY74" s="85">
        <v>0</v>
      </c>
      <c r="AZ74" s="85">
        <v>0</v>
      </c>
      <c r="BA74" s="85">
        <v>18.313265057207499</v>
      </c>
      <c r="BB74" s="85">
        <v>0.68541723758289896</v>
      </c>
      <c r="BC74" s="85">
        <v>8.6491110596053993</v>
      </c>
      <c r="BD74" s="85">
        <v>1.8054570785628601</v>
      </c>
    </row>
    <row r="75" spans="1:56" ht="11.25" customHeight="1" x14ac:dyDescent="0.25">
      <c r="A75" s="119"/>
      <c r="B75" s="119"/>
      <c r="C75" s="119"/>
      <c r="D75" s="119"/>
      <c r="E75" s="119"/>
      <c r="F75" s="119"/>
      <c r="G75" s="21" t="s">
        <v>90</v>
      </c>
      <c r="H75" s="21" t="s">
        <v>88</v>
      </c>
      <c r="I75" s="21">
        <f>'MERCADO TUSD'!$U$72</f>
        <v>0</v>
      </c>
      <c r="J75" s="17"/>
      <c r="L75" s="85">
        <f>('TUSD BE'!$L$75+'TUSD BF'!$L$75+'TUSD CVA'!$L$75)*(1 - CUSTOS!$M$40)</f>
        <v>0</v>
      </c>
      <c r="M75" s="85">
        <f>('TUSD BE'!$M$75+'TUSD BF'!$M$75+'TUSD CVA'!$M$75)*(1 - CUSTOS!$M$40)</f>
        <v>0.29984391750235961</v>
      </c>
      <c r="N75" s="85">
        <f ca="1">('TUSD BE'!$N$75+'TUSD BF'!$N$75+'TUSD CVA'!$N$75)*(1 - CUSTOS!$M$40)</f>
        <v>1.3252892827163818</v>
      </c>
      <c r="O75" s="85">
        <f>('TUSD BE'!$O$75+'TUSD BF'!$O$75+'TUSD CVA'!$O$75)*(1 - CUSTOS!$M$40)</f>
        <v>0</v>
      </c>
      <c r="P75" s="85">
        <f>('TUSD BE'!$P$75+'TUSD BF'!$P$75+'TUSD CVA'!$P$75)*(1 - CUSTOS!$M$40)</f>
        <v>0</v>
      </c>
      <c r="Q75" s="85">
        <f>('TUSD BE'!$Q$75+'TUSD BF'!$Q$75+'TUSD CVA'!$Q$75)*(1 - CUSTOS!$M$40)</f>
        <v>50.441097576481624</v>
      </c>
      <c r="R75" s="85">
        <f>('TUSD BE'!$R$75+'TUSD BF'!$R$75+'TUSD CVA'!$R$75)*(1 - CUSTOS!$M$40)</f>
        <v>5.3024719081267859</v>
      </c>
      <c r="S75" s="85">
        <f>('TUSD BE'!$S$75+'TUSD BF'!$S$75+'TUSD CVA'!$S$75)*(1 - CUSTOS!$M$40)</f>
        <v>0</v>
      </c>
      <c r="T75" s="85">
        <f>('TUSD BE'!$U$75+'TUSD BF'!$U$75+'TUSD CVA'!$U$75)*(1 - CUSTOS!$M$40)</f>
        <v>19.942711814299081</v>
      </c>
      <c r="U75" s="85">
        <f>('TUSD BE'!$V$75+'TUSD BF'!$V$75+'TUSD CVA'!$V$75)*(1 - CUSTOS!$M$40)</f>
        <v>5.3602007177072002</v>
      </c>
      <c r="V75" s="85">
        <f>('TUSD BE'!$W$75+'TUSD BF'!$W$75+'TUSD CVA'!$W$75)*(1 - CUSTOS!$M$40)</f>
        <v>0.64793322506905437</v>
      </c>
      <c r="W75" s="85">
        <f>('TUSD BE'!$X$75+'TUSD BF'!$X$75+'TUSD CVA'!$X$75)*(1 - CUSTOS!$M$40)</f>
        <v>0</v>
      </c>
      <c r="X75" s="85">
        <f>('TUSD BE'!$Y$75+'TUSD BF'!$Y$75+'TUSD CVA'!$Y$75)*(1 - CUSTOS!$M$40)</f>
        <v>0</v>
      </c>
      <c r="Y75" s="85">
        <f>('TUSD BE'!$Z$75+'TUSD BF'!$Z$75+'TUSD CVA'!$Z$75)*(1 - CUSTOS!$M$40)</f>
        <v>0</v>
      </c>
      <c r="Z75" s="85">
        <f>('TUSD BE'!$AA$75+'TUSD BF'!$AA$75+'TUSD CVA'!$AA$75)*(1 - CUSTOS!$M$40)</f>
        <v>0</v>
      </c>
      <c r="AA75" s="85">
        <f>('TUSD BE'!$AC$75+'TUSD BF'!$AC$75+'TUSD CVA'!$AC$75)*(1 - CUSTOS!$M$40)</f>
        <v>51.596684886352897</v>
      </c>
      <c r="AB75" s="85">
        <f ca="1">('TUSD BE'!$AE$75+'TUSD BF'!$AE$75+'TUSD CVA'!$AE$75)*(1 - CUSTOS!$M$40)</f>
        <v>0</v>
      </c>
      <c r="AC75" s="85">
        <f ca="1">('TUSD BE'!$AF$75+'TUSD BF'!$AF$75+'TUSD CVA'!$AF$75)*(1 - CUSTOS!$M$40)</f>
        <v>0</v>
      </c>
      <c r="AD75" s="85">
        <f>('TUSD BE'!$AH$75+'TUSD BF'!$AH$75+'TUSD CVA'!$AH$75)*(1 - CUSTOS!$M$40)</f>
        <v>16.989919725346997</v>
      </c>
      <c r="AE75" s="85">
        <f>('TUSD BE'!$AI$75+'TUSD BF'!$AI$75+'TUSD CVA'!$AI$75)*(1 - CUSTOS!$M$40)</f>
        <v>0.63862297228860965</v>
      </c>
      <c r="AF75" s="85">
        <f ca="1">('TUSD BE'!$AJ$75+'TUSD BF'!$AJ$75+'TUSD CVA'!$AJ$75)*(1 - CUSTOS!$M$40)</f>
        <v>8.0027113461411794</v>
      </c>
      <c r="AG75" s="85">
        <f ca="1">('TUSD BE'!$AK$75+'TUSD BF'!$AK$75+'TUSD CVA'!$AK$75)*(1 - CUSTOS!$M$40)</f>
        <v>2.0569644251418819</v>
      </c>
      <c r="AI75" s="85">
        <v>0</v>
      </c>
      <c r="AJ75" s="85">
        <v>0.27744365921493302</v>
      </c>
      <c r="AK75" s="85">
        <v>1.2184064004555399</v>
      </c>
      <c r="AL75" s="85">
        <v>0</v>
      </c>
      <c r="AM75" s="85">
        <v>0</v>
      </c>
      <c r="AN75" s="85">
        <v>36.551237439179403</v>
      </c>
      <c r="AO75" s="85">
        <v>6.9347426703950097</v>
      </c>
      <c r="AP75" s="85">
        <v>0</v>
      </c>
      <c r="AQ75" s="85">
        <v>11.255688326271599</v>
      </c>
      <c r="AR75" s="85">
        <v>3.2421595594002901</v>
      </c>
      <c r="AS75" s="85">
        <v>0.37587686028288497</v>
      </c>
      <c r="AT75" s="85">
        <v>0</v>
      </c>
      <c r="AU75" s="85">
        <v>0</v>
      </c>
      <c r="AV75" s="85">
        <v>0</v>
      </c>
      <c r="AW75" s="85">
        <v>0</v>
      </c>
      <c r="AX75" s="85">
        <v>44.781617355137001</v>
      </c>
      <c r="AY75" s="85">
        <v>0</v>
      </c>
      <c r="AZ75" s="85">
        <v>0</v>
      </c>
      <c r="BA75" s="85">
        <v>18.313265057207499</v>
      </c>
      <c r="BB75" s="85">
        <v>0.68541723758289896</v>
      </c>
      <c r="BC75" s="85">
        <v>8.6491110596053993</v>
      </c>
      <c r="BD75" s="85">
        <v>1.8054570785628601</v>
      </c>
    </row>
    <row r="76" spans="1:56" ht="11.25" customHeight="1" x14ac:dyDescent="0.25">
      <c r="A76" s="119"/>
      <c r="B76" s="87" t="s">
        <v>23</v>
      </c>
      <c r="C76" s="87" t="s">
        <v>47</v>
      </c>
      <c r="D76" s="87" t="s">
        <v>104</v>
      </c>
      <c r="E76" s="87" t="s">
        <v>25</v>
      </c>
      <c r="F76" s="87" t="s">
        <v>25</v>
      </c>
      <c r="G76" s="21" t="s">
        <v>94</v>
      </c>
      <c r="H76" s="21" t="s">
        <v>88</v>
      </c>
      <c r="I76" s="21">
        <f>'MERCADO TUSD'!$U$73</f>
        <v>0</v>
      </c>
      <c r="J76" s="17"/>
      <c r="L76" s="85">
        <f>('TUSD BE'!$L$76+'TUSD BF'!$L$76+'TUSD CVA'!$L$76)*(1 - CUSTOS!$M$40)</f>
        <v>0</v>
      </c>
      <c r="M76" s="85">
        <f>('TUSD BE'!$M$76+'TUSD BF'!$M$76+'TUSD CVA'!$M$76)*(1 - CUSTOS!$M$40)</f>
        <v>0.29984391750235961</v>
      </c>
      <c r="N76" s="85">
        <f ca="1">('TUSD BE'!$N$76+'TUSD BF'!$N$76+'TUSD CVA'!$N$76)*(1 - CUSTOS!$M$40)</f>
        <v>1.7256166815516611</v>
      </c>
      <c r="O76" s="85">
        <f>('TUSD BE'!$O$76+'TUSD BF'!$O$76+'TUSD CVA'!$O$76)*(1 - CUSTOS!$M$40)</f>
        <v>0</v>
      </c>
      <c r="P76" s="85">
        <f>('TUSD BE'!$P$76+'TUSD BF'!$P$76+'TUSD CVA'!$P$76)*(1 - CUSTOS!$M$40)</f>
        <v>0</v>
      </c>
      <c r="Q76" s="85">
        <f>('TUSD BE'!$Q$76+'TUSD BF'!$Q$76+'TUSD CVA'!$Q$76)*(1 - CUSTOS!$M$40)</f>
        <v>50.441097576481624</v>
      </c>
      <c r="R76" s="85">
        <f>('TUSD BE'!$R$76+'TUSD BF'!$R$76+'TUSD CVA'!$R$76)*(1 - CUSTOS!$M$40)</f>
        <v>5.3024719081267859</v>
      </c>
      <c r="S76" s="85">
        <f>('TUSD BE'!$S$76+'TUSD BF'!$S$76+'TUSD CVA'!$S$76)*(1 - CUSTOS!$M$40)</f>
        <v>0</v>
      </c>
      <c r="T76" s="85">
        <f>('TUSD BE'!$U$76+'TUSD BF'!$U$76+'TUSD CVA'!$U$76)*(1 - CUSTOS!$M$40)</f>
        <v>31.160238869637414</v>
      </c>
      <c r="U76" s="85">
        <f>('TUSD BE'!$V$76+'TUSD BF'!$V$76+'TUSD CVA'!$V$76)*(1 - CUSTOS!$M$40)</f>
        <v>8.3753136214175008</v>
      </c>
      <c r="V76" s="85">
        <f>('TUSD BE'!$W$76+'TUSD BF'!$W$76+'TUSD CVA'!$W$76)*(1 - CUSTOS!$M$40)</f>
        <v>1.0121964577150442</v>
      </c>
      <c r="W76" s="85">
        <f>('TUSD BE'!$X$76+'TUSD BF'!$X$76+'TUSD CVA'!$X$76)*(1 - CUSTOS!$M$40)</f>
        <v>0</v>
      </c>
      <c r="X76" s="85">
        <f>('TUSD BE'!$Y$76+'TUSD BF'!$Y$76+'TUSD CVA'!$Y$76)*(1 - CUSTOS!$M$40)</f>
        <v>0</v>
      </c>
      <c r="Y76" s="85">
        <f>('TUSD BE'!$Z$76+'TUSD BF'!$Z$76+'TUSD CVA'!$Z$76)*(1 - CUSTOS!$M$40)</f>
        <v>0</v>
      </c>
      <c r="Z76" s="85">
        <f>('TUSD BE'!$AA$76+'TUSD BF'!$AA$76+'TUSD CVA'!$AA$76)*(1 - CUSTOS!$M$40)</f>
        <v>0</v>
      </c>
      <c r="AA76" s="85">
        <f>('TUSD BE'!$AC$76+'TUSD BF'!$AC$76+'TUSD CVA'!$AC$76)*(1 - CUSTOS!$M$40)</f>
        <v>80.619901975674097</v>
      </c>
      <c r="AB76" s="85">
        <f ca="1">('TUSD BE'!$AE$76+'TUSD BF'!$AE$76+'TUSD CVA'!$AE$76)*(1 - CUSTOS!$M$40)</f>
        <v>0</v>
      </c>
      <c r="AC76" s="85">
        <f ca="1">('TUSD BE'!$AF$76+'TUSD BF'!$AF$76+'TUSD CVA'!$AF$76)*(1 - CUSTOS!$M$40)</f>
        <v>0</v>
      </c>
      <c r="AD76" s="85">
        <f>('TUSD BE'!$AH$76+'TUSD BF'!$AH$76+'TUSD CVA'!$AH$76)*(1 - CUSTOS!$M$40)</f>
        <v>16.989919725346997</v>
      </c>
      <c r="AE76" s="85">
        <f>('TUSD BE'!$AI$76+'TUSD BF'!$AI$76+'TUSD CVA'!$AI$76)*(1 - CUSTOS!$M$40)</f>
        <v>0.63862297228860965</v>
      </c>
      <c r="AF76" s="85">
        <f ca="1">('TUSD BE'!$AJ$76+'TUSD BF'!$AJ$76+'TUSD CVA'!$AJ$76)*(1 - CUSTOS!$M$40)</f>
        <v>8.0027113461411794</v>
      </c>
      <c r="AG76" s="85">
        <f ca="1">('TUSD BE'!$AK$76+'TUSD BF'!$AK$76+'TUSD CVA'!$AK$76)*(1 - CUSTOS!$M$40)</f>
        <v>2.0569644251418819</v>
      </c>
      <c r="AI76" s="85">
        <v>0</v>
      </c>
      <c r="AJ76" s="85">
        <v>0.27744365921493302</v>
      </c>
      <c r="AK76" s="85">
        <v>1.59223405262625</v>
      </c>
      <c r="AL76" s="85">
        <v>0</v>
      </c>
      <c r="AM76" s="85">
        <v>0</v>
      </c>
      <c r="AN76" s="85">
        <v>36.551237439179403</v>
      </c>
      <c r="AO76" s="85">
        <v>6.9347426703950097</v>
      </c>
      <c r="AP76" s="85">
        <v>0</v>
      </c>
      <c r="AQ76" s="85">
        <v>17.586872846316499</v>
      </c>
      <c r="AR76" s="85">
        <v>5.0658743115629497</v>
      </c>
      <c r="AS76" s="85">
        <v>0.58719203120790897</v>
      </c>
      <c r="AT76" s="85">
        <v>0</v>
      </c>
      <c r="AU76" s="85">
        <v>0</v>
      </c>
      <c r="AV76" s="85">
        <v>0</v>
      </c>
      <c r="AW76" s="85">
        <v>0</v>
      </c>
      <c r="AX76" s="85">
        <v>69.971348148341903</v>
      </c>
      <c r="AY76" s="85">
        <v>0</v>
      </c>
      <c r="AZ76" s="85">
        <v>0</v>
      </c>
      <c r="BA76" s="85">
        <v>18.313265057207499</v>
      </c>
      <c r="BB76" s="85">
        <v>0.68541723758289896</v>
      </c>
      <c r="BC76" s="85">
        <v>8.6491110596053993</v>
      </c>
      <c r="BD76" s="85">
        <v>1.8054570785628601</v>
      </c>
    </row>
    <row r="77" spans="1:56" ht="11.25" customHeight="1" x14ac:dyDescent="0.25">
      <c r="A77" s="119"/>
      <c r="B77" s="119" t="s">
        <v>102</v>
      </c>
      <c r="C77" s="119" t="s">
        <v>47</v>
      </c>
      <c r="D77" s="87" t="s">
        <v>25</v>
      </c>
      <c r="E77" s="87" t="s">
        <v>25</v>
      </c>
      <c r="F77" s="87" t="s">
        <v>25</v>
      </c>
      <c r="G77" s="21" t="s">
        <v>94</v>
      </c>
      <c r="H77" s="21" t="s">
        <v>88</v>
      </c>
      <c r="I77" s="21">
        <f>'MERCADO TUSD'!$U$74</f>
        <v>0</v>
      </c>
      <c r="J77" s="17"/>
      <c r="L77" s="85">
        <f>('TUSD BE'!$L$77+'TUSD BF'!$L$77+'TUSD CVA'!$L$77)*(1 - CUSTOS!$M$38)</f>
        <v>0</v>
      </c>
      <c r="M77" s="85">
        <f>('TUSD BE'!$M$77+'TUSD BF'!$M$77+'TUSD CVA'!$M$77)*(1 - CUSTOS!$M$38)</f>
        <v>0.32351580572623012</v>
      </c>
      <c r="N77" s="85">
        <f ca="1">('TUSD BE'!$N$77+'TUSD BF'!$N$77+'TUSD CVA'!$N$77)*(1 - CUSTOS!$M$38)</f>
        <v>1.8618495774636346</v>
      </c>
      <c r="O77" s="85">
        <f>('TUSD BE'!$O$77+'TUSD BF'!$O$77+'TUSD CVA'!$O$77)*(1 - CUSTOS!$M$38)</f>
        <v>0</v>
      </c>
      <c r="P77" s="85">
        <f>('TUSD BE'!$P$77+'TUSD BF'!$P$77+'TUSD CVA'!$P$77)*(1 - CUSTOS!$M$38)</f>
        <v>0</v>
      </c>
      <c r="Q77" s="85">
        <f>('TUSD BE'!$Q$77+'TUSD BF'!$Q$77+'TUSD CVA'!$Q$77)*(1 - CUSTOS!$M$38)</f>
        <v>54.423289490414383</v>
      </c>
      <c r="R77" s="85">
        <f>('TUSD BE'!$R$77+'TUSD BF'!$R$77+'TUSD CVA'!$R$77)*(1 - CUSTOS!$M$38)</f>
        <v>5.7210881113999532</v>
      </c>
      <c r="S77" s="85">
        <f>('TUSD BE'!$S$77+'TUSD BF'!$S$77+'TUSD CVA'!$S$77)*(1 - CUSTOS!$M$38)</f>
        <v>0</v>
      </c>
      <c r="T77" s="85">
        <f>('TUSD BE'!$U$77+'TUSD BF'!$U$77+'TUSD CVA'!$U$77)*(1 - CUSTOS!$M$38)</f>
        <v>33.620257727766685</v>
      </c>
      <c r="U77" s="85">
        <f>('TUSD BE'!$V$77+'TUSD BF'!$V$77+'TUSD CVA'!$V$77)*(1 - CUSTOS!$M$38)</f>
        <v>9.0365225915294101</v>
      </c>
      <c r="V77" s="85">
        <f>('TUSD BE'!$W$77+'TUSD BF'!$W$77+'TUSD CVA'!$W$77)*(1 - CUSTOS!$M$38)</f>
        <v>1.0921067043767583</v>
      </c>
      <c r="W77" s="85">
        <f>('TUSD BE'!$X$77+'TUSD BF'!$X$77+'TUSD CVA'!$X$77)*(1 - CUSTOS!$M$38)</f>
        <v>0</v>
      </c>
      <c r="X77" s="85">
        <f>('TUSD BE'!$Y$77+'TUSD BF'!$Y$77+'TUSD CVA'!$Y$77)*(1 - CUSTOS!$M$38)</f>
        <v>0</v>
      </c>
      <c r="Y77" s="85">
        <f>('TUSD BE'!$Z$77+'TUSD BF'!$Z$77+'TUSD CVA'!$Z$77)*(1 - CUSTOS!$M$38)</f>
        <v>0</v>
      </c>
      <c r="Z77" s="85">
        <f>('TUSD BE'!$AA$77+'TUSD BF'!$AA$77+'TUSD CVA'!$AA$77)*(1 - CUSTOS!$M$38)</f>
        <v>0</v>
      </c>
      <c r="AA77" s="85">
        <f>('TUSD BE'!$AC$77+'TUSD BF'!$AC$77+'TUSD CVA'!$AC$77)*(1 - CUSTOS!$M$38)</f>
        <v>86.984631079016793</v>
      </c>
      <c r="AB77" s="85">
        <f ca="1">('TUSD BE'!$AE$77+'TUSD BF'!$AE$77+'TUSD CVA'!$AE$77)*(1 - CUSTOS!$M$38)</f>
        <v>0</v>
      </c>
      <c r="AC77" s="85">
        <f ca="1">('TUSD BE'!$AF$77+'TUSD BF'!$AF$77+'TUSD CVA'!$AF$77)*(1 - CUSTOS!$M$38)</f>
        <v>0</v>
      </c>
      <c r="AD77" s="85">
        <f>('TUSD BE'!$AH$77+'TUSD BF'!$AH$77+'TUSD CVA'!$AH$77)*(1 - CUSTOS!$M$38)</f>
        <v>18.331229177348078</v>
      </c>
      <c r="AE77" s="85">
        <f>('TUSD BE'!$AI$77+'TUSD BF'!$AI$77+'TUSD CVA'!$AI$77)*(1 - CUSTOS!$M$38)</f>
        <v>0.68904057536402619</v>
      </c>
      <c r="AF77" s="85">
        <f ca="1">('TUSD BE'!$AJ$77+'TUSD BF'!$AJ$77+'TUSD CVA'!$AJ$77)*(1 - CUSTOS!$M$38)</f>
        <v>8.6345043471523244</v>
      </c>
      <c r="AG77" s="85">
        <f ca="1">('TUSD BE'!$AK$77+'TUSD BF'!$AK$77+'TUSD CVA'!$AK$77)*(1 - CUSTOS!$M$38)</f>
        <v>2.2193563534425569</v>
      </c>
      <c r="AI77" s="85">
        <v>0</v>
      </c>
      <c r="AJ77" s="85">
        <v>0.31008408971080698</v>
      </c>
      <c r="AK77" s="85">
        <v>1.7795557058764</v>
      </c>
      <c r="AL77" s="85">
        <v>0</v>
      </c>
      <c r="AM77" s="85">
        <v>0</v>
      </c>
      <c r="AN77" s="85">
        <v>40.851383020259298</v>
      </c>
      <c r="AO77" s="85">
        <v>7.7505947492650096</v>
      </c>
      <c r="AP77" s="85">
        <v>0</v>
      </c>
      <c r="AQ77" s="85">
        <v>19.6559167105891</v>
      </c>
      <c r="AR77" s="85">
        <v>5.6618595246880004</v>
      </c>
      <c r="AS77" s="85">
        <v>0.65627344664413301</v>
      </c>
      <c r="AT77" s="85">
        <v>0</v>
      </c>
      <c r="AU77" s="85">
        <v>0</v>
      </c>
      <c r="AV77" s="85">
        <v>0</v>
      </c>
      <c r="AW77" s="85">
        <v>0</v>
      </c>
      <c r="AX77" s="85">
        <v>78.203271459911505</v>
      </c>
      <c r="AY77" s="85">
        <v>0</v>
      </c>
      <c r="AZ77" s="85">
        <v>0</v>
      </c>
      <c r="BA77" s="85">
        <v>20.4677668286437</v>
      </c>
      <c r="BB77" s="85">
        <v>0.76605455965147495</v>
      </c>
      <c r="BC77" s="85">
        <v>9.6666535372060398</v>
      </c>
      <c r="BD77" s="85">
        <v>2.0178637936879</v>
      </c>
    </row>
    <row r="78" spans="1:56" ht="11.25" customHeight="1" x14ac:dyDescent="0.25">
      <c r="A78" s="119"/>
      <c r="B78" s="119"/>
      <c r="C78" s="119"/>
      <c r="D78" s="87" t="s">
        <v>103</v>
      </c>
      <c r="E78" s="87" t="s">
        <v>25</v>
      </c>
      <c r="F78" s="87" t="s">
        <v>25</v>
      </c>
      <c r="G78" s="21" t="s">
        <v>94</v>
      </c>
      <c r="H78" s="21" t="s">
        <v>88</v>
      </c>
      <c r="I78" s="21">
        <f>'MERCADO TUSD'!$U$75</f>
        <v>0</v>
      </c>
      <c r="J78" s="17"/>
      <c r="L78" s="85">
        <f>('TUSD BE'!$L$78+'TUSD BF'!$L$78+'TUSD CVA'!$L$78)*(1 - CUSTOS!$M$39)</f>
        <v>0</v>
      </c>
      <c r="M78" s="85">
        <f>('TUSD BE'!$M$78+'TUSD BF'!$M$78+'TUSD CVA'!$M$78)*(1 - CUSTOS!$M$39)</f>
        <v>0.32351580572623012</v>
      </c>
      <c r="N78" s="85">
        <f ca="1">('TUSD BE'!$N$78+'TUSD BF'!$N$78+'TUSD CVA'!$N$78)*(1 - CUSTOS!$M$39)</f>
        <v>1.8618495774636346</v>
      </c>
      <c r="O78" s="85">
        <f>('TUSD BE'!$O$78+'TUSD BF'!$O$78+'TUSD CVA'!$O$78)*(1 - CUSTOS!$M$39)</f>
        <v>0</v>
      </c>
      <c r="P78" s="85">
        <f>('TUSD BE'!$P$78+'TUSD BF'!$P$78+'TUSD CVA'!$P$78)*(1 - CUSTOS!$M$39)</f>
        <v>0</v>
      </c>
      <c r="Q78" s="85">
        <f>('TUSD BE'!$Q$78+'TUSD BF'!$Q$78+'TUSD CVA'!$Q$78)*(1 - CUSTOS!$M$39)</f>
        <v>54.423289490414383</v>
      </c>
      <c r="R78" s="85">
        <f>('TUSD BE'!$R$78+'TUSD BF'!$R$78+'TUSD CVA'!$R$78)*(1 - CUSTOS!$M$39)</f>
        <v>5.7210881113999532</v>
      </c>
      <c r="S78" s="85">
        <f>('TUSD BE'!$S$78+'TUSD BF'!$S$78+'TUSD CVA'!$S$78)*(1 - CUSTOS!$M$39)</f>
        <v>0</v>
      </c>
      <c r="T78" s="85">
        <f>('TUSD BE'!$U$78+'TUSD BF'!$U$78+'TUSD CVA'!$U$78)*(1 - CUSTOS!$M$39)</f>
        <v>33.620257727766685</v>
      </c>
      <c r="U78" s="85">
        <f>('TUSD BE'!$V$78+'TUSD BF'!$V$78+'TUSD CVA'!$V$78)*(1 - CUSTOS!$M$39)</f>
        <v>9.0365225915294101</v>
      </c>
      <c r="V78" s="85">
        <f>('TUSD BE'!$W$78+'TUSD BF'!$W$78+'TUSD CVA'!$W$78)*(1 - CUSTOS!$M$39)</f>
        <v>1.0921067043767583</v>
      </c>
      <c r="W78" s="85">
        <f>('TUSD BE'!$X$78+'TUSD BF'!$X$78+'TUSD CVA'!$X$78)*(1 - CUSTOS!$M$39)</f>
        <v>0</v>
      </c>
      <c r="X78" s="85">
        <f>('TUSD BE'!$Y$78+'TUSD BF'!$Y$78+'TUSD CVA'!$Y$78)*(1 - CUSTOS!$M$39)</f>
        <v>0</v>
      </c>
      <c r="Y78" s="85">
        <f>('TUSD BE'!$Z$78+'TUSD BF'!$Z$78+'TUSD CVA'!$Z$78)*(1 - CUSTOS!$M$39)</f>
        <v>0</v>
      </c>
      <c r="Z78" s="85">
        <f>('TUSD BE'!$AA$78+'TUSD BF'!$AA$78+'TUSD CVA'!$AA$78)*(1 - CUSTOS!$M$39)</f>
        <v>0</v>
      </c>
      <c r="AA78" s="85">
        <f>('TUSD BE'!$AC$78+'TUSD BF'!$AC$78+'TUSD CVA'!$AC$78)*(1 - CUSTOS!$M$39)</f>
        <v>86.984631079016793</v>
      </c>
      <c r="AB78" s="85">
        <f ca="1">('TUSD BE'!$AE$78+'TUSD BF'!$AE$78+'TUSD CVA'!$AE$78)*(1 - CUSTOS!$M$39)</f>
        <v>0</v>
      </c>
      <c r="AC78" s="85">
        <f ca="1">('TUSD BE'!$AF$78+'TUSD BF'!$AF$78+'TUSD CVA'!$AF$78)*(1 - CUSTOS!$M$39)</f>
        <v>0</v>
      </c>
      <c r="AD78" s="85">
        <f>('TUSD BE'!$AH$78+'TUSD BF'!$AH$78+'TUSD CVA'!$AH$78)*(1 - CUSTOS!$M$39)</f>
        <v>18.331229177348078</v>
      </c>
      <c r="AE78" s="85">
        <f>('TUSD BE'!$AI$78+'TUSD BF'!$AI$78+'TUSD CVA'!$AI$78)*(1 - CUSTOS!$M$39)</f>
        <v>0.68904057536402619</v>
      </c>
      <c r="AF78" s="85">
        <f ca="1">('TUSD BE'!$AJ$78+'TUSD BF'!$AJ$78+'TUSD CVA'!$AJ$78)*(1 - CUSTOS!$M$39)</f>
        <v>8.6345043471523244</v>
      </c>
      <c r="AG78" s="85">
        <f ca="1">('TUSD BE'!$AK$78+'TUSD BF'!$AK$78+'TUSD CVA'!$AK$78)*(1 - CUSTOS!$M$39)</f>
        <v>2.2193563534425569</v>
      </c>
      <c r="AI78" s="85">
        <v>0</v>
      </c>
      <c r="AJ78" s="85">
        <v>0.31008408971080698</v>
      </c>
      <c r="AK78" s="85">
        <v>1.7795557058764</v>
      </c>
      <c r="AL78" s="85">
        <v>0</v>
      </c>
      <c r="AM78" s="85">
        <v>0</v>
      </c>
      <c r="AN78" s="85">
        <v>40.851383020259298</v>
      </c>
      <c r="AO78" s="85">
        <v>7.7505947492650096</v>
      </c>
      <c r="AP78" s="85">
        <v>0</v>
      </c>
      <c r="AQ78" s="85">
        <v>19.6559167105891</v>
      </c>
      <c r="AR78" s="85">
        <v>5.6618595246880004</v>
      </c>
      <c r="AS78" s="85">
        <v>0.65627344664413301</v>
      </c>
      <c r="AT78" s="85">
        <v>0</v>
      </c>
      <c r="AU78" s="85">
        <v>0</v>
      </c>
      <c r="AV78" s="85">
        <v>0</v>
      </c>
      <c r="AW78" s="85">
        <v>0</v>
      </c>
      <c r="AX78" s="85">
        <v>78.203271459911505</v>
      </c>
      <c r="AY78" s="85">
        <v>0</v>
      </c>
      <c r="AZ78" s="85">
        <v>0</v>
      </c>
      <c r="BA78" s="85">
        <v>20.4677668286437</v>
      </c>
      <c r="BB78" s="85">
        <v>0.76605455965147495</v>
      </c>
      <c r="BC78" s="85">
        <v>9.6666535372060398</v>
      </c>
      <c r="BD78" s="85">
        <v>2.0178637936879</v>
      </c>
    </row>
    <row r="79" spans="1:56" ht="11.25" customHeight="1" x14ac:dyDescent="0.25">
      <c r="A79" s="119"/>
      <c r="B79" s="119"/>
      <c r="C79" s="119"/>
      <c r="D79" s="87" t="s">
        <v>104</v>
      </c>
      <c r="E79" s="87" t="s">
        <v>25</v>
      </c>
      <c r="F79" s="87" t="s">
        <v>25</v>
      </c>
      <c r="G79" s="21" t="s">
        <v>94</v>
      </c>
      <c r="H79" s="21" t="s">
        <v>88</v>
      </c>
      <c r="I79" s="21">
        <f>'MERCADO TUSD'!$U$76</f>
        <v>0</v>
      </c>
      <c r="J79" s="17"/>
      <c r="L79" s="85">
        <f>('TUSD BE'!$L$79+'TUSD BF'!$L$79+'TUSD CVA'!$L$79)*(1 - CUSTOS!$M$40)</f>
        <v>0</v>
      </c>
      <c r="M79" s="85">
        <f>('TUSD BE'!$M$79+'TUSD BF'!$M$79+'TUSD CVA'!$M$79)*(1 - CUSTOS!$M$40)</f>
        <v>0.29984391750235961</v>
      </c>
      <c r="N79" s="85">
        <f ca="1">('TUSD BE'!$N$79+'TUSD BF'!$N$79+'TUSD CVA'!$N$79)*(1 - CUSTOS!$M$40)</f>
        <v>1.7256166815516611</v>
      </c>
      <c r="O79" s="85">
        <f>('TUSD BE'!$O$79+'TUSD BF'!$O$79+'TUSD CVA'!$O$79)*(1 - CUSTOS!$M$40)</f>
        <v>0</v>
      </c>
      <c r="P79" s="85">
        <f>('TUSD BE'!$P$79+'TUSD BF'!$P$79+'TUSD CVA'!$P$79)*(1 - CUSTOS!$M$40)</f>
        <v>0</v>
      </c>
      <c r="Q79" s="85">
        <f>('TUSD BE'!$Q$79+'TUSD BF'!$Q$79+'TUSD CVA'!$Q$79)*(1 - CUSTOS!$M$40)</f>
        <v>50.441097576481624</v>
      </c>
      <c r="R79" s="85">
        <f>('TUSD BE'!$R$79+'TUSD BF'!$R$79+'TUSD CVA'!$R$79)*(1 - CUSTOS!$M$40)</f>
        <v>5.3024719081267859</v>
      </c>
      <c r="S79" s="85">
        <f>('TUSD BE'!$S$79+'TUSD BF'!$S$79+'TUSD CVA'!$S$79)*(1 - CUSTOS!$M$40)</f>
        <v>0</v>
      </c>
      <c r="T79" s="85">
        <f>('TUSD BE'!$U$79+'TUSD BF'!$U$79+'TUSD CVA'!$U$79)*(1 - CUSTOS!$M$40)</f>
        <v>31.160238869637414</v>
      </c>
      <c r="U79" s="85">
        <f>('TUSD BE'!$V$79+'TUSD BF'!$V$79+'TUSD CVA'!$V$79)*(1 - CUSTOS!$M$40)</f>
        <v>8.3753136214175008</v>
      </c>
      <c r="V79" s="85">
        <f>('TUSD BE'!$W$79+'TUSD BF'!$W$79+'TUSD CVA'!$W$79)*(1 - CUSTOS!$M$40)</f>
        <v>1.0121964577150442</v>
      </c>
      <c r="W79" s="85">
        <f>('TUSD BE'!$X$79+'TUSD BF'!$X$79+'TUSD CVA'!$X$79)*(1 - CUSTOS!$M$40)</f>
        <v>0</v>
      </c>
      <c r="X79" s="85">
        <f>('TUSD BE'!$Y$79+'TUSD BF'!$Y$79+'TUSD CVA'!$Y$79)*(1 - CUSTOS!$M$40)</f>
        <v>0</v>
      </c>
      <c r="Y79" s="85">
        <f>('TUSD BE'!$Z$79+'TUSD BF'!$Z$79+'TUSD CVA'!$Z$79)*(1 - CUSTOS!$M$40)</f>
        <v>0</v>
      </c>
      <c r="Z79" s="85">
        <f>('TUSD BE'!$AA$79+'TUSD BF'!$AA$79+'TUSD CVA'!$AA$79)*(1 - CUSTOS!$M$40)</f>
        <v>0</v>
      </c>
      <c r="AA79" s="85">
        <f>('TUSD BE'!$AC$79+'TUSD BF'!$AC$79+'TUSD CVA'!$AC$79)*(1 - CUSTOS!$M$40)</f>
        <v>80.619901975674097</v>
      </c>
      <c r="AB79" s="85">
        <f ca="1">('TUSD BE'!$AE$79+'TUSD BF'!$AE$79+'TUSD CVA'!$AE$79)*(1 - CUSTOS!$M$40)</f>
        <v>0</v>
      </c>
      <c r="AC79" s="85">
        <f ca="1">('TUSD BE'!$AF$79+'TUSD BF'!$AF$79+'TUSD CVA'!$AF$79)*(1 - CUSTOS!$M$40)</f>
        <v>0</v>
      </c>
      <c r="AD79" s="85">
        <f>('TUSD BE'!$AH$79+'TUSD BF'!$AH$79+'TUSD CVA'!$AH$79)*(1 - CUSTOS!$M$40)</f>
        <v>16.989919725346997</v>
      </c>
      <c r="AE79" s="85">
        <f>('TUSD BE'!$AI$79+'TUSD BF'!$AI$79+'TUSD CVA'!$AI$79)*(1 - CUSTOS!$M$40)</f>
        <v>0.63862297228860965</v>
      </c>
      <c r="AF79" s="85">
        <f ca="1">('TUSD BE'!$AJ$79+'TUSD BF'!$AJ$79+'TUSD CVA'!$AJ$79)*(1 - CUSTOS!$M$40)</f>
        <v>8.0027113461411794</v>
      </c>
      <c r="AG79" s="85">
        <f ca="1">('TUSD BE'!$AK$79+'TUSD BF'!$AK$79+'TUSD CVA'!$AK$79)*(1 - CUSTOS!$M$40)</f>
        <v>2.0569644251418819</v>
      </c>
      <c r="AI79" s="85">
        <v>0</v>
      </c>
      <c r="AJ79" s="85">
        <v>0.27744365921493302</v>
      </c>
      <c r="AK79" s="85">
        <v>1.59223405262625</v>
      </c>
      <c r="AL79" s="85">
        <v>0</v>
      </c>
      <c r="AM79" s="85">
        <v>0</v>
      </c>
      <c r="AN79" s="85">
        <v>36.551237439179403</v>
      </c>
      <c r="AO79" s="85">
        <v>6.9347426703950097</v>
      </c>
      <c r="AP79" s="85">
        <v>0</v>
      </c>
      <c r="AQ79" s="85">
        <v>17.586872846316499</v>
      </c>
      <c r="AR79" s="85">
        <v>5.0658743115629497</v>
      </c>
      <c r="AS79" s="85">
        <v>0.58719203120790897</v>
      </c>
      <c r="AT79" s="85">
        <v>0</v>
      </c>
      <c r="AU79" s="85">
        <v>0</v>
      </c>
      <c r="AV79" s="85">
        <v>0</v>
      </c>
      <c r="AW79" s="85">
        <v>0</v>
      </c>
      <c r="AX79" s="85">
        <v>69.971348148341903</v>
      </c>
      <c r="AY79" s="85">
        <v>0</v>
      </c>
      <c r="AZ79" s="85">
        <v>0</v>
      </c>
      <c r="BA79" s="85">
        <v>18.313265057207499</v>
      </c>
      <c r="BB79" s="85">
        <v>0.68541723758289896</v>
      </c>
      <c r="BC79" s="85">
        <v>8.6491110596053993</v>
      </c>
      <c r="BD79" s="85">
        <v>1.8054570785628601</v>
      </c>
    </row>
    <row r="80" spans="1:56" ht="11.25" customHeight="1" x14ac:dyDescent="0.25">
      <c r="A80" s="119" t="s">
        <v>39</v>
      </c>
      <c r="B80" s="119" t="s">
        <v>37</v>
      </c>
      <c r="C80" s="119" t="s">
        <v>25</v>
      </c>
      <c r="D80" s="119" t="s">
        <v>25</v>
      </c>
      <c r="E80" s="119" t="s">
        <v>25</v>
      </c>
      <c r="F80" s="119" t="s">
        <v>25</v>
      </c>
      <c r="G80" s="21" t="s">
        <v>89</v>
      </c>
      <c r="H80" s="21" t="s">
        <v>88</v>
      </c>
      <c r="I80" s="21">
        <f>'MERCADO TUSD'!$U$77</f>
        <v>133.67100000000025</v>
      </c>
      <c r="J80" s="17"/>
      <c r="L80" s="85">
        <f>('TUSD BE'!$L$80+'TUSD BF'!$L$80+'TUSD CVA'!$L$80)*1</f>
        <v>0</v>
      </c>
      <c r="M80" s="85">
        <f>('TUSD BE'!$M$80+'TUSD BF'!$M$80+'TUSD CVA'!$M$80)*1</f>
        <v>0.39453147039784159</v>
      </c>
      <c r="N80" s="85">
        <f ca="1">('TUSD BE'!$N$80+'TUSD BF'!$N$80+'TUSD CVA'!$N$80)*1</f>
        <v>5.489555127179143</v>
      </c>
      <c r="O80" s="85">
        <f>('TUSD BE'!$O$80+'TUSD BF'!$O$80+'TUSD CVA'!$O$80)*1</f>
        <v>0</v>
      </c>
      <c r="P80" s="85">
        <f>('TUSD BE'!$P$80+'TUSD BF'!$P$80+'TUSD CVA'!$P$80)*1</f>
        <v>0</v>
      </c>
      <c r="Q80" s="85">
        <f>('TUSD BE'!$Q$80+'TUSD BF'!$Q$80+'TUSD CVA'!$Q$80)*1</f>
        <v>66.369865232212661</v>
      </c>
      <c r="R80" s="85">
        <f>('TUSD BE'!$R$80+'TUSD BF'!$R$80+'TUSD CVA'!$R$80)*1</f>
        <v>6.9769367212194551</v>
      </c>
      <c r="S80" s="85">
        <f>('TUSD BE'!$S$80+'TUSD BF'!$S$80+'TUSD CVA'!$S$80)*1</f>
        <v>0</v>
      </c>
      <c r="T80" s="85">
        <f>('TUSD BE'!$U$80+'TUSD BF'!$U$80+'TUSD CVA'!$U$80)*1</f>
        <v>131.20139788300739</v>
      </c>
      <c r="U80" s="85">
        <f>('TUSD BE'!$V$80+'TUSD BF'!$V$80+'TUSD CVA'!$V$80)*1</f>
        <v>35.263992401580246</v>
      </c>
      <c r="V80" s="85">
        <f>('TUSD BE'!$W$80+'TUSD BF'!$W$80+'TUSD CVA'!$W$80)*1</f>
        <v>4.26271858598062</v>
      </c>
      <c r="W80" s="85">
        <f>('TUSD BE'!$X$80+'TUSD BF'!$X$80+'TUSD CVA'!$X$80)*1</f>
        <v>0</v>
      </c>
      <c r="X80" s="85">
        <f>('TUSD BE'!$Y$80+'TUSD BF'!$Y$80+'TUSD CVA'!$Y$80)*1</f>
        <v>0</v>
      </c>
      <c r="Y80" s="85">
        <f>('TUSD BE'!$Z$80+'TUSD BF'!$Z$80+'TUSD CVA'!$Z$80)*1</f>
        <v>0</v>
      </c>
      <c r="Z80" s="85">
        <f>('TUSD BE'!$AA$80+'TUSD BF'!$AA$80+'TUSD CVA'!$AA$80)*1</f>
        <v>0</v>
      </c>
      <c r="AA80" s="85">
        <f>('TUSD BE'!$AC$80+'TUSD BF'!$AC$80+'TUSD CVA'!$AC$80)*1</f>
        <v>339.4521039807363</v>
      </c>
      <c r="AB80" s="85">
        <f ca="1">('TUSD BE'!$AE$80+'TUSD BF'!$AE$80+'TUSD CVA'!$AE$80)*1</f>
        <v>0</v>
      </c>
      <c r="AC80" s="85">
        <f ca="1">('TUSD BE'!$AF$80+'TUSD BF'!$AF$80+'TUSD CVA'!$AF$80)*1</f>
        <v>0</v>
      </c>
      <c r="AD80" s="85">
        <f>('TUSD BE'!$AH$80+'TUSD BF'!$AH$80+'TUSD CVA'!$AH$80)*1</f>
        <v>22.355157533351314</v>
      </c>
      <c r="AE80" s="85">
        <f>('TUSD BE'!$AI$80+'TUSD BF'!$AI$80+'TUSD CVA'!$AI$80)*1</f>
        <v>0.8402933845902758</v>
      </c>
      <c r="AF80" s="85">
        <f ca="1">('TUSD BE'!$AJ$80+'TUSD BF'!$AJ$80+'TUSD CVA'!$AJ$80)*1</f>
        <v>10.529883350185761</v>
      </c>
      <c r="AG80" s="85">
        <f ca="1">('TUSD BE'!$AK$80+'TUSD BF'!$AK$80+'TUSD CVA'!$AK$80)*1</f>
        <v>2.7065321383445813</v>
      </c>
      <c r="AI80" s="85">
        <v>0</v>
      </c>
      <c r="AJ80" s="85">
        <v>0.40800538119842999</v>
      </c>
      <c r="AK80" s="85">
        <v>5.7010828991871296</v>
      </c>
      <c r="AL80" s="85">
        <v>0</v>
      </c>
      <c r="AM80" s="85">
        <v>0</v>
      </c>
      <c r="AN80" s="85">
        <v>53.7518197634991</v>
      </c>
      <c r="AO80" s="85">
        <v>10.198150985874999</v>
      </c>
      <c r="AP80" s="85">
        <v>0</v>
      </c>
      <c r="AQ80" s="85">
        <v>82.762001918224001</v>
      </c>
      <c r="AR80" s="85">
        <v>23.839079977475599</v>
      </c>
      <c r="AS80" s="85">
        <v>2.76380044325651</v>
      </c>
      <c r="AT80" s="85">
        <v>0</v>
      </c>
      <c r="AU80" s="85">
        <v>0</v>
      </c>
      <c r="AV80" s="85">
        <v>0</v>
      </c>
      <c r="AW80" s="85">
        <v>0</v>
      </c>
      <c r="AX80" s="85">
        <v>329.27682104170202</v>
      </c>
      <c r="AY80" s="85">
        <v>0</v>
      </c>
      <c r="AZ80" s="85">
        <v>0</v>
      </c>
      <c r="BA80" s="85">
        <v>26.931272142952199</v>
      </c>
      <c r="BB80" s="85">
        <v>1.0079665258571999</v>
      </c>
      <c r="BC80" s="85">
        <v>12.719280970007899</v>
      </c>
      <c r="BD80" s="85">
        <v>2.6550839390630299</v>
      </c>
    </row>
    <row r="81" spans="1:56" ht="11.25" customHeight="1" x14ac:dyDescent="0.25">
      <c r="A81" s="119"/>
      <c r="B81" s="119"/>
      <c r="C81" s="119"/>
      <c r="D81" s="119"/>
      <c r="E81" s="119"/>
      <c r="F81" s="119"/>
      <c r="G81" s="21" t="s">
        <v>100</v>
      </c>
      <c r="H81" s="21" t="s">
        <v>88</v>
      </c>
      <c r="I81" s="21">
        <f>'MERCADO TUSD'!$U$78</f>
        <v>52.353999999999928</v>
      </c>
      <c r="J81" s="17"/>
      <c r="L81" s="85">
        <f>('TUSD BE'!$L$81+'TUSD BF'!$L$81+'TUSD CVA'!$L$81)*1</f>
        <v>0</v>
      </c>
      <c r="M81" s="85">
        <f>('TUSD BE'!$M$81+'TUSD BF'!$M$81+'TUSD CVA'!$M$81)*1</f>
        <v>0.39453147039784159</v>
      </c>
      <c r="N81" s="85">
        <f ca="1">('TUSD BE'!$N$81+'TUSD BF'!$N$81+'TUSD CVA'!$N$81)*1</f>
        <v>3.6166769604316009</v>
      </c>
      <c r="O81" s="85">
        <f>('TUSD BE'!$O$81+'TUSD BF'!$O$81+'TUSD CVA'!$O$81)*1</f>
        <v>0</v>
      </c>
      <c r="P81" s="85">
        <f>('TUSD BE'!$P$81+'TUSD BF'!$P$81+'TUSD CVA'!$P$81)*1</f>
        <v>0</v>
      </c>
      <c r="Q81" s="85">
        <f>('TUSD BE'!$Q$81+'TUSD BF'!$Q$81+'TUSD CVA'!$Q$81)*1</f>
        <v>66.369865232212661</v>
      </c>
      <c r="R81" s="85">
        <f>('TUSD BE'!$R$81+'TUSD BF'!$R$81+'TUSD CVA'!$R$81)*1</f>
        <v>6.9769367212194551</v>
      </c>
      <c r="S81" s="85">
        <f>('TUSD BE'!$S$81+'TUSD BF'!$S$81+'TUSD CVA'!$S$81)*1</f>
        <v>0</v>
      </c>
      <c r="T81" s="85">
        <f>('TUSD BE'!$U$81+'TUSD BF'!$U$81+'TUSD CVA'!$U$81)*1</f>
        <v>78.720577319062429</v>
      </c>
      <c r="U81" s="85">
        <f>('TUSD BE'!$V$81+'TUSD BF'!$V$81+'TUSD CVA'!$V$81)*1</f>
        <v>21.158201039192882</v>
      </c>
      <c r="V81" s="85">
        <f>('TUSD BE'!$W$81+'TUSD BF'!$W$81+'TUSD CVA'!$W$81)*1</f>
        <v>2.5576311515883723</v>
      </c>
      <c r="W81" s="85">
        <f>('TUSD BE'!$X$81+'TUSD BF'!$X$81+'TUSD CVA'!$X$81)*1</f>
        <v>0</v>
      </c>
      <c r="X81" s="85">
        <f>('TUSD BE'!$Y$81+'TUSD BF'!$Y$81+'TUSD CVA'!$Y$81)*1</f>
        <v>0</v>
      </c>
      <c r="Y81" s="85">
        <f>('TUSD BE'!$Z$81+'TUSD BF'!$Z$81+'TUSD CVA'!$Z$81)*1</f>
        <v>0</v>
      </c>
      <c r="Z81" s="85">
        <f>('TUSD BE'!$AA$81+'TUSD BF'!$AA$81+'TUSD CVA'!$AA$81)*1</f>
        <v>0</v>
      </c>
      <c r="AA81" s="85">
        <f>('TUSD BE'!$AC$81+'TUSD BF'!$AC$81+'TUSD CVA'!$AC$81)*1</f>
        <v>203.6712394156003</v>
      </c>
      <c r="AB81" s="85">
        <f ca="1">('TUSD BE'!$AE$81+'TUSD BF'!$AE$81+'TUSD CVA'!$AE$81)*1</f>
        <v>0</v>
      </c>
      <c r="AC81" s="85">
        <f ca="1">('TUSD BE'!$AF$81+'TUSD BF'!$AF$81+'TUSD CVA'!$AF$81)*1</f>
        <v>0</v>
      </c>
      <c r="AD81" s="85">
        <f>('TUSD BE'!$AH$81+'TUSD BF'!$AH$81+'TUSD CVA'!$AH$81)*1</f>
        <v>22.355157533351314</v>
      </c>
      <c r="AE81" s="85">
        <f>('TUSD BE'!$AI$81+'TUSD BF'!$AI$81+'TUSD CVA'!$AI$81)*1</f>
        <v>0.8402933845902758</v>
      </c>
      <c r="AF81" s="85">
        <f ca="1">('TUSD BE'!$AJ$81+'TUSD BF'!$AJ$81+'TUSD CVA'!$AJ$81)*1</f>
        <v>10.529883350185761</v>
      </c>
      <c r="AG81" s="85">
        <f ca="1">('TUSD BE'!$AK$81+'TUSD BF'!$AK$81+'TUSD CVA'!$AK$81)*1</f>
        <v>2.7065321383445813</v>
      </c>
      <c r="AI81" s="85">
        <v>0</v>
      </c>
      <c r="AJ81" s="85">
        <v>0.40800538119842999</v>
      </c>
      <c r="AK81" s="85">
        <v>3.7464269985174301</v>
      </c>
      <c r="AL81" s="85">
        <v>0</v>
      </c>
      <c r="AM81" s="85">
        <v>0</v>
      </c>
      <c r="AN81" s="85">
        <v>53.7518197634991</v>
      </c>
      <c r="AO81" s="85">
        <v>10.198150985874999</v>
      </c>
      <c r="AP81" s="85">
        <v>0</v>
      </c>
      <c r="AQ81" s="85">
        <v>49.657036252719301</v>
      </c>
      <c r="AR81" s="85">
        <v>14.303316567474701</v>
      </c>
      <c r="AS81" s="85">
        <v>1.65828026595391</v>
      </c>
      <c r="AT81" s="85">
        <v>0</v>
      </c>
      <c r="AU81" s="85">
        <v>0</v>
      </c>
      <c r="AV81" s="85">
        <v>0</v>
      </c>
      <c r="AW81" s="85">
        <v>0</v>
      </c>
      <c r="AX81" s="85">
        <v>197.566070340805</v>
      </c>
      <c r="AY81" s="85">
        <v>0</v>
      </c>
      <c r="AZ81" s="85">
        <v>0</v>
      </c>
      <c r="BA81" s="85">
        <v>26.931272142952199</v>
      </c>
      <c r="BB81" s="85">
        <v>1.0079665258571999</v>
      </c>
      <c r="BC81" s="85">
        <v>12.719280970007899</v>
      </c>
      <c r="BD81" s="85">
        <v>2.6550839390630299</v>
      </c>
    </row>
    <row r="82" spans="1:56" ht="11.25" customHeight="1" x14ac:dyDescent="0.25">
      <c r="A82" s="119"/>
      <c r="B82" s="119"/>
      <c r="C82" s="119"/>
      <c r="D82" s="119"/>
      <c r="E82" s="119"/>
      <c r="F82" s="119"/>
      <c r="G82" s="21" t="s">
        <v>90</v>
      </c>
      <c r="H82" s="21" t="s">
        <v>88</v>
      </c>
      <c r="I82" s="21">
        <f>'MERCADO TUSD'!$U$79</f>
        <v>4172.1789999999992</v>
      </c>
      <c r="J82" s="17"/>
      <c r="L82" s="85">
        <f>('TUSD BE'!$L$82+'TUSD BF'!$L$82+'TUSD CVA'!$L$82)*1</f>
        <v>0</v>
      </c>
      <c r="M82" s="85">
        <f>('TUSD BE'!$M$82+'TUSD BF'!$M$82+'TUSD CVA'!$M$82)*1</f>
        <v>0.39453147039784159</v>
      </c>
      <c r="N82" s="85">
        <f ca="1">('TUSD BE'!$N$82+'TUSD BF'!$N$82+'TUSD CVA'!$N$82)*1</f>
        <v>1.7438016877847129</v>
      </c>
      <c r="O82" s="85">
        <f>('TUSD BE'!$O$82+'TUSD BF'!$O$82+'TUSD CVA'!$O$82)*1</f>
        <v>0</v>
      </c>
      <c r="P82" s="85">
        <f>('TUSD BE'!$P$82+'TUSD BF'!$P$82+'TUSD CVA'!$P$82)*1</f>
        <v>0</v>
      </c>
      <c r="Q82" s="85">
        <f>('TUSD BE'!$Q$82+'TUSD BF'!$Q$82+'TUSD CVA'!$Q$82)*1</f>
        <v>66.369865232212661</v>
      </c>
      <c r="R82" s="85">
        <f>('TUSD BE'!$R$82+'TUSD BF'!$R$82+'TUSD CVA'!$R$82)*1</f>
        <v>6.9769367212194551</v>
      </c>
      <c r="S82" s="85">
        <f>('TUSD BE'!$S$82+'TUSD BF'!$S$82+'TUSD CVA'!$S$82)*1</f>
        <v>0</v>
      </c>
      <c r="T82" s="85">
        <f>('TUSD BE'!$U$82+'TUSD BF'!$U$82+'TUSD CVA'!$U$82)*1</f>
        <v>26.240410281972476</v>
      </c>
      <c r="U82" s="85">
        <f>('TUSD BE'!$V$82+'TUSD BF'!$V$82+'TUSD CVA'!$V$82)*1</f>
        <v>7.0528956811936849</v>
      </c>
      <c r="V82" s="85">
        <f>('TUSD BE'!$W$82+'TUSD BF'!$W$82+'TUSD CVA'!$W$82)*1</f>
        <v>0.85254371719612421</v>
      </c>
      <c r="W82" s="85">
        <f>('TUSD BE'!$X$82+'TUSD BF'!$X$82+'TUSD CVA'!$X$82)*1</f>
        <v>0</v>
      </c>
      <c r="X82" s="85">
        <f>('TUSD BE'!$Y$82+'TUSD BF'!$Y$82+'TUSD CVA'!$Y$82)*1</f>
        <v>0</v>
      </c>
      <c r="Y82" s="85">
        <f>('TUSD BE'!$Z$82+'TUSD BF'!$Z$82+'TUSD CVA'!$Z$82)*1</f>
        <v>0</v>
      </c>
      <c r="Z82" s="85">
        <f>('TUSD BE'!$AA$82+'TUSD BF'!$AA$82+'TUSD CVA'!$AA$82)*1</f>
        <v>0</v>
      </c>
      <c r="AA82" s="85">
        <f>('TUSD BE'!$AC$82+'TUSD BF'!$AC$82+'TUSD CVA'!$AC$82)*1</f>
        <v>67.89037485046434</v>
      </c>
      <c r="AB82" s="85">
        <f ca="1">('TUSD BE'!$AE$82+'TUSD BF'!$AE$82+'TUSD CVA'!$AE$82)*1</f>
        <v>0</v>
      </c>
      <c r="AC82" s="85">
        <f ca="1">('TUSD BE'!$AF$82+'TUSD BF'!$AF$82+'TUSD CVA'!$AF$82)*1</f>
        <v>0</v>
      </c>
      <c r="AD82" s="85">
        <f>('TUSD BE'!$AH$82+'TUSD BF'!$AH$82+'TUSD CVA'!$AH$82)*1</f>
        <v>22.355157533351314</v>
      </c>
      <c r="AE82" s="85">
        <f>('TUSD BE'!$AI$82+'TUSD BF'!$AI$82+'TUSD CVA'!$AI$82)*1</f>
        <v>0.8402933845902758</v>
      </c>
      <c r="AF82" s="85">
        <f ca="1">('TUSD BE'!$AJ$82+'TUSD BF'!$AJ$82+'TUSD CVA'!$AJ$82)*1</f>
        <v>10.529883350185761</v>
      </c>
      <c r="AG82" s="85">
        <f ca="1">('TUSD BE'!$AK$82+'TUSD BF'!$AK$82+'TUSD CVA'!$AK$82)*1</f>
        <v>2.7065321383445813</v>
      </c>
      <c r="AI82" s="85">
        <v>0</v>
      </c>
      <c r="AJ82" s="85">
        <v>0.40800538119842999</v>
      </c>
      <c r="AK82" s="85">
        <v>1.79177411831697</v>
      </c>
      <c r="AL82" s="85">
        <v>0</v>
      </c>
      <c r="AM82" s="85">
        <v>0</v>
      </c>
      <c r="AN82" s="85">
        <v>53.7518197634991</v>
      </c>
      <c r="AO82" s="85">
        <v>10.198150985874999</v>
      </c>
      <c r="AP82" s="85">
        <v>0</v>
      </c>
      <c r="AQ82" s="85">
        <v>16.5524828327524</v>
      </c>
      <c r="AR82" s="85">
        <v>4.7678817050004296</v>
      </c>
      <c r="AS82" s="85">
        <v>0.552760088651302</v>
      </c>
      <c r="AT82" s="85">
        <v>0</v>
      </c>
      <c r="AU82" s="85">
        <v>0</v>
      </c>
      <c r="AV82" s="85">
        <v>0</v>
      </c>
      <c r="AW82" s="85">
        <v>0</v>
      </c>
      <c r="AX82" s="85">
        <v>65.855319639907293</v>
      </c>
      <c r="AY82" s="85">
        <v>0</v>
      </c>
      <c r="AZ82" s="85">
        <v>0</v>
      </c>
      <c r="BA82" s="85">
        <v>26.931272142952199</v>
      </c>
      <c r="BB82" s="85">
        <v>1.0079665258571999</v>
      </c>
      <c r="BC82" s="85">
        <v>12.719280970007899</v>
      </c>
      <c r="BD82" s="85">
        <v>2.6550839390630299</v>
      </c>
    </row>
    <row r="83" spans="1:56" ht="11.25" customHeight="1" x14ac:dyDescent="0.25">
      <c r="A83" s="119"/>
      <c r="B83" s="87" t="s">
        <v>23</v>
      </c>
      <c r="C83" s="87" t="s">
        <v>25</v>
      </c>
      <c r="D83" s="87" t="s">
        <v>25</v>
      </c>
      <c r="E83" s="87" t="s">
        <v>25</v>
      </c>
      <c r="F83" s="87" t="s">
        <v>25</v>
      </c>
      <c r="G83" s="21" t="s">
        <v>94</v>
      </c>
      <c r="H83" s="21" t="s">
        <v>88</v>
      </c>
      <c r="I83" s="21">
        <f>'MERCADO TUSD'!$U$80</f>
        <v>1033015.7139999998</v>
      </c>
      <c r="J83" s="17"/>
      <c r="L83" s="85">
        <f>('TUSD BE'!$L$83+'TUSD BF'!$L$83+'TUSD CVA'!$L$83)*1</f>
        <v>0</v>
      </c>
      <c r="M83" s="85">
        <f>('TUSD BE'!$M$83+'TUSD BF'!$M$83+'TUSD CVA'!$M$83)*1</f>
        <v>0.39453147039784159</v>
      </c>
      <c r="N83" s="85">
        <f ca="1">('TUSD BE'!$N$83+'TUSD BF'!$N$83+'TUSD CVA'!$N$83)*1</f>
        <v>2.2705482651995541</v>
      </c>
      <c r="O83" s="85">
        <f>('TUSD BE'!$O$83+'TUSD BF'!$O$83+'TUSD CVA'!$O$83)*1</f>
        <v>0</v>
      </c>
      <c r="P83" s="85">
        <f>('TUSD BE'!$P$83+'TUSD BF'!$P$83+'TUSD CVA'!$P$83)*1</f>
        <v>0</v>
      </c>
      <c r="Q83" s="85">
        <f>('TUSD BE'!$Q$83+'TUSD BF'!$Q$83+'TUSD CVA'!$Q$83)*1</f>
        <v>66.369865232212661</v>
      </c>
      <c r="R83" s="85">
        <f>('TUSD BE'!$R$83+'TUSD BF'!$R$83+'TUSD CVA'!$R$83)*1</f>
        <v>6.9769367212194551</v>
      </c>
      <c r="S83" s="85">
        <f>('TUSD BE'!$S$83+'TUSD BF'!$S$83+'TUSD CVA'!$S$83)*1</f>
        <v>0</v>
      </c>
      <c r="T83" s="85">
        <f>('TUSD BE'!$U$83+'TUSD BF'!$U$83+'TUSD CVA'!$U$83)*1</f>
        <v>41.000314302154493</v>
      </c>
      <c r="U83" s="85">
        <f>('TUSD BE'!$V$83+'TUSD BF'!$V$83+'TUSD CVA'!$V$83)*1</f>
        <v>11.020149501865133</v>
      </c>
      <c r="V83" s="85">
        <f>('TUSD BE'!$W$83+'TUSD BF'!$W$83+'TUSD CVA'!$W$83)*1</f>
        <v>1.3318374443619001</v>
      </c>
      <c r="W83" s="85">
        <f>('TUSD BE'!$X$83+'TUSD BF'!$X$83+'TUSD CVA'!$X$83)*1</f>
        <v>0</v>
      </c>
      <c r="X83" s="85">
        <f>('TUSD BE'!$Y$83+'TUSD BF'!$Y$83+'TUSD CVA'!$Y$83)*1</f>
        <v>0</v>
      </c>
      <c r="Y83" s="85">
        <f>('TUSD BE'!$Z$83+'TUSD BF'!$Z$83+'TUSD CVA'!$Z$83)*1</f>
        <v>0</v>
      </c>
      <c r="Z83" s="85">
        <f>('TUSD BE'!$AA$83+'TUSD BF'!$AA$83+'TUSD CVA'!$AA$83)*1</f>
        <v>0</v>
      </c>
      <c r="AA83" s="85">
        <f>('TUSD BE'!$AC$83+'TUSD BF'!$AC$83+'TUSD CVA'!$AC$83)*1</f>
        <v>106.07881838904487</v>
      </c>
      <c r="AB83" s="85">
        <f ca="1">('TUSD BE'!$AE$83+'TUSD BF'!$AE$83+'TUSD CVA'!$AE$83)*1</f>
        <v>0</v>
      </c>
      <c r="AC83" s="85">
        <f ca="1">('TUSD BE'!$AF$83+'TUSD BF'!$AF$83+'TUSD CVA'!$AF$83)*1</f>
        <v>0</v>
      </c>
      <c r="AD83" s="85">
        <f>('TUSD BE'!$AH$83+'TUSD BF'!$AH$83+'TUSD CVA'!$AH$83)*1</f>
        <v>22.355157533351314</v>
      </c>
      <c r="AE83" s="85">
        <f>('TUSD BE'!$AI$83+'TUSD BF'!$AI$83+'TUSD CVA'!$AI$83)*1</f>
        <v>0.8402933845902758</v>
      </c>
      <c r="AF83" s="85">
        <f ca="1">('TUSD BE'!$AJ$83+'TUSD BF'!$AJ$83+'TUSD CVA'!$AJ$83)*1</f>
        <v>10.529883350185761</v>
      </c>
      <c r="AG83" s="85">
        <f ca="1">('TUSD BE'!$AK$83+'TUSD BF'!$AK$83+'TUSD CVA'!$AK$83)*1</f>
        <v>2.7065321383445813</v>
      </c>
      <c r="AI83" s="85">
        <v>0</v>
      </c>
      <c r="AJ83" s="85">
        <v>0.40800538119842999</v>
      </c>
      <c r="AK83" s="85">
        <v>2.3415206656268399</v>
      </c>
      <c r="AL83" s="85">
        <v>0</v>
      </c>
      <c r="AM83" s="85">
        <v>0</v>
      </c>
      <c r="AN83" s="85">
        <v>53.7518197634991</v>
      </c>
      <c r="AO83" s="85">
        <v>10.198150985874999</v>
      </c>
      <c r="AP83" s="85">
        <v>0</v>
      </c>
      <c r="AQ83" s="85">
        <v>25.8630483034067</v>
      </c>
      <c r="AR83" s="85">
        <v>7.4498151640631596</v>
      </c>
      <c r="AS83" s="85">
        <v>0.863517692952807</v>
      </c>
      <c r="AT83" s="85">
        <v>0</v>
      </c>
      <c r="AU83" s="85">
        <v>0</v>
      </c>
      <c r="AV83" s="85">
        <v>0</v>
      </c>
      <c r="AW83" s="85">
        <v>0</v>
      </c>
      <c r="AX83" s="85">
        <v>102.89904139462</v>
      </c>
      <c r="AY83" s="85">
        <v>0</v>
      </c>
      <c r="AZ83" s="85">
        <v>0</v>
      </c>
      <c r="BA83" s="85">
        <v>26.931272142952199</v>
      </c>
      <c r="BB83" s="85">
        <v>1.0079665258571999</v>
      </c>
      <c r="BC83" s="85">
        <v>12.719280970007899</v>
      </c>
      <c r="BD83" s="85">
        <v>2.6550839390630299</v>
      </c>
    </row>
    <row r="84" spans="1:56" ht="11.25" customHeight="1" x14ac:dyDescent="0.25">
      <c r="A84" s="119"/>
      <c r="B84" s="87" t="s">
        <v>102</v>
      </c>
      <c r="C84" s="87" t="s">
        <v>25</v>
      </c>
      <c r="D84" s="87" t="s">
        <v>25</v>
      </c>
      <c r="E84" s="87" t="s">
        <v>25</v>
      </c>
      <c r="F84" s="87" t="s">
        <v>25</v>
      </c>
      <c r="G84" s="21" t="s">
        <v>94</v>
      </c>
      <c r="H84" s="21" t="s">
        <v>88</v>
      </c>
      <c r="I84" s="21">
        <f>'MERCADO TUSD'!$U$81</f>
        <v>0</v>
      </c>
      <c r="J84" s="17"/>
      <c r="L84" s="85">
        <f>('TUSD BE'!$L$84+'TUSD BF'!$L$84+'TUSD CVA'!$L$84)*1</f>
        <v>0</v>
      </c>
      <c r="M84" s="85">
        <f>('TUSD BE'!$M$84+'TUSD BF'!$M$84+'TUSD CVA'!$M$84)*1</f>
        <v>0.39453147039784159</v>
      </c>
      <c r="N84" s="85">
        <f ca="1">('TUSD BE'!$N$84+'TUSD BF'!$N$84+'TUSD CVA'!$N$84)*1</f>
        <v>2.2705482651995541</v>
      </c>
      <c r="O84" s="85">
        <f>('TUSD BE'!$O$84+'TUSD BF'!$O$84+'TUSD CVA'!$O$84)*1</f>
        <v>0</v>
      </c>
      <c r="P84" s="85">
        <f>('TUSD BE'!$P$84+'TUSD BF'!$P$84+'TUSD CVA'!$P$84)*1</f>
        <v>0</v>
      </c>
      <c r="Q84" s="85">
        <f>('TUSD BE'!$Q$84+'TUSD BF'!$Q$84+'TUSD CVA'!$Q$84)*1</f>
        <v>66.369865232212661</v>
      </c>
      <c r="R84" s="85">
        <f>('TUSD BE'!$R$84+'TUSD BF'!$R$84+'TUSD CVA'!$R$84)*1</f>
        <v>6.9769367212194551</v>
      </c>
      <c r="S84" s="85">
        <f>('TUSD BE'!$S$84+'TUSD BF'!$S$84+'TUSD CVA'!$S$84)*1</f>
        <v>0</v>
      </c>
      <c r="T84" s="85">
        <f>('TUSD BE'!$U$84+'TUSD BF'!$U$84+'TUSD CVA'!$U$84)*1</f>
        <v>41.000314302154493</v>
      </c>
      <c r="U84" s="85">
        <f>('TUSD BE'!$V$84+'TUSD BF'!$V$84+'TUSD CVA'!$V$84)*1</f>
        <v>11.020149501865133</v>
      </c>
      <c r="V84" s="85">
        <f>('TUSD BE'!$W$84+'TUSD BF'!$W$84+'TUSD CVA'!$W$84)*1</f>
        <v>1.3318374443619001</v>
      </c>
      <c r="W84" s="85">
        <f>('TUSD BE'!$X$84+'TUSD BF'!$X$84+'TUSD CVA'!$X$84)*1</f>
        <v>0</v>
      </c>
      <c r="X84" s="85">
        <f>('TUSD BE'!$Y$84+'TUSD BF'!$Y$84+'TUSD CVA'!$Y$84)*1</f>
        <v>0</v>
      </c>
      <c r="Y84" s="85">
        <f>('TUSD BE'!$Z$84+'TUSD BF'!$Z$84+'TUSD CVA'!$Z$84)*1</f>
        <v>0</v>
      </c>
      <c r="Z84" s="85">
        <f>('TUSD BE'!$AA$84+'TUSD BF'!$AA$84+'TUSD CVA'!$AA$84)*1</f>
        <v>0</v>
      </c>
      <c r="AA84" s="85">
        <f>('TUSD BE'!$AC$84+'TUSD BF'!$AC$84+'TUSD CVA'!$AC$84)*1</f>
        <v>106.07881838904487</v>
      </c>
      <c r="AB84" s="85">
        <f ca="1">('TUSD BE'!$AE$84+'TUSD BF'!$AE$84+'TUSD CVA'!$AE$84)*1</f>
        <v>0</v>
      </c>
      <c r="AC84" s="85">
        <f ca="1">('TUSD BE'!$AF$84+'TUSD BF'!$AF$84+'TUSD CVA'!$AF$84)*1</f>
        <v>0</v>
      </c>
      <c r="AD84" s="85">
        <f>('TUSD BE'!$AH$84+'TUSD BF'!$AH$84+'TUSD CVA'!$AH$84)*1</f>
        <v>22.355157533351314</v>
      </c>
      <c r="AE84" s="85">
        <f>('TUSD BE'!$AI$84+'TUSD BF'!$AI$84+'TUSD CVA'!$AI$84)*1</f>
        <v>0.8402933845902758</v>
      </c>
      <c r="AF84" s="85">
        <f ca="1">('TUSD BE'!$AJ$84+'TUSD BF'!$AJ$84+'TUSD CVA'!$AJ$84)*1</f>
        <v>10.529883350185761</v>
      </c>
      <c r="AG84" s="85">
        <f ca="1">('TUSD BE'!$AK$84+'TUSD BF'!$AK$84+'TUSD CVA'!$AK$84)*1</f>
        <v>2.7065321383445813</v>
      </c>
      <c r="AI84" s="85">
        <v>0</v>
      </c>
      <c r="AJ84" s="85">
        <v>0.40800538119842999</v>
      </c>
      <c r="AK84" s="85">
        <v>2.3415206656268399</v>
      </c>
      <c r="AL84" s="85">
        <v>0</v>
      </c>
      <c r="AM84" s="85">
        <v>0</v>
      </c>
      <c r="AN84" s="85">
        <v>53.7518197634991</v>
      </c>
      <c r="AO84" s="85">
        <v>10.198150985874999</v>
      </c>
      <c r="AP84" s="85">
        <v>0</v>
      </c>
      <c r="AQ84" s="85">
        <v>25.8630483034067</v>
      </c>
      <c r="AR84" s="85">
        <v>7.4498151640631596</v>
      </c>
      <c r="AS84" s="85">
        <v>0.863517692952807</v>
      </c>
      <c r="AT84" s="85">
        <v>0</v>
      </c>
      <c r="AU84" s="85">
        <v>0</v>
      </c>
      <c r="AV84" s="85">
        <v>0</v>
      </c>
      <c r="AW84" s="85">
        <v>0</v>
      </c>
      <c r="AX84" s="85">
        <v>102.89904139462</v>
      </c>
      <c r="AY84" s="85">
        <v>0</v>
      </c>
      <c r="AZ84" s="85">
        <v>0</v>
      </c>
      <c r="BA84" s="85">
        <v>26.931272142952199</v>
      </c>
      <c r="BB84" s="85">
        <v>1.0079665258571999</v>
      </c>
      <c r="BC84" s="85">
        <v>12.719280970007899</v>
      </c>
      <c r="BD84" s="85">
        <v>2.6550839390630299</v>
      </c>
    </row>
    <row r="85" spans="1:56" ht="11.25" customHeight="1" x14ac:dyDescent="0.25">
      <c r="A85" s="119" t="s">
        <v>49</v>
      </c>
      <c r="B85" s="119" t="s">
        <v>23</v>
      </c>
      <c r="C85" s="119" t="s">
        <v>50</v>
      </c>
      <c r="D85" s="87" t="s">
        <v>51</v>
      </c>
      <c r="E85" s="87" t="s">
        <v>25</v>
      </c>
      <c r="F85" s="87" t="s">
        <v>25</v>
      </c>
      <c r="G85" s="21" t="s">
        <v>94</v>
      </c>
      <c r="H85" s="21" t="s">
        <v>88</v>
      </c>
      <c r="I85" s="21">
        <f>'MERCADO TUSD'!$U$82</f>
        <v>418118.94</v>
      </c>
      <c r="J85" s="17"/>
      <c r="L85" s="85">
        <f>('TUSD BE'!$L$85+'TUSD BF'!$L$85+'TUSD CVA'!$L$85)*1</f>
        <v>0</v>
      </c>
      <c r="M85" s="85">
        <f>('TUSD BE'!$M$85+'TUSD BF'!$M$85+'TUSD CVA'!$M$85)*1</f>
        <v>0.21699230871881287</v>
      </c>
      <c r="N85" s="85">
        <f ca="1">('TUSD BE'!$N$85+'TUSD BF'!$N$85+'TUSD CVA'!$N$85)*1</f>
        <v>1.248801545859755</v>
      </c>
      <c r="O85" s="85">
        <f>('TUSD BE'!$O$85+'TUSD BF'!$O$85+'TUSD CVA'!$O$85)*1</f>
        <v>0</v>
      </c>
      <c r="P85" s="85">
        <f>('TUSD BE'!$P$85+'TUSD BF'!$P$85+'TUSD CVA'!$P$85)*1</f>
        <v>0</v>
      </c>
      <c r="Q85" s="85">
        <f>('TUSD BE'!$Q$85+'TUSD BF'!$Q$85+'TUSD CVA'!$Q$85)*1</f>
        <v>36.503425877716964</v>
      </c>
      <c r="R85" s="85">
        <f>('TUSD BE'!$R$85+'TUSD BF'!$R$85+'TUSD CVA'!$R$85)*1</f>
        <v>3.8373151966707004</v>
      </c>
      <c r="S85" s="85">
        <f>('TUSD BE'!$S$85+'TUSD BF'!$S$85+'TUSD CVA'!$S$85)*1</f>
        <v>0</v>
      </c>
      <c r="T85" s="85">
        <f>('TUSD BE'!$U$85+'TUSD BF'!$U$85+'TUSD CVA'!$U$85)*1</f>
        <v>22.550172866184973</v>
      </c>
      <c r="U85" s="85">
        <f>('TUSD BE'!$V$85+'TUSD BF'!$V$85+'TUSD CVA'!$V$85)*1</f>
        <v>6.0610822260258237</v>
      </c>
      <c r="V85" s="85">
        <f>('TUSD BE'!$W$85+'TUSD BF'!$W$85+'TUSD CVA'!$W$85)*1</f>
        <v>0.7325105943990452</v>
      </c>
      <c r="W85" s="85">
        <f>('TUSD BE'!$X$85+'TUSD BF'!$X$85+'TUSD CVA'!$X$85)*1</f>
        <v>0</v>
      </c>
      <c r="X85" s="85">
        <f>('TUSD BE'!$Y$85+'TUSD BF'!$Y$85+'TUSD CVA'!$Y$85)*1</f>
        <v>0</v>
      </c>
      <c r="Y85" s="85">
        <f>('TUSD BE'!$Z$85+'TUSD BF'!$Z$85+'TUSD CVA'!$Z$85)*1</f>
        <v>0</v>
      </c>
      <c r="Z85" s="85">
        <f>('TUSD BE'!$AA$85+'TUSD BF'!$AA$85+'TUSD CVA'!$AA$85)*1</f>
        <v>0</v>
      </c>
      <c r="AA85" s="85">
        <f>('TUSD BE'!$AC$85+'TUSD BF'!$AC$85+'TUSD CVA'!$AC$85)*1</f>
        <v>58.34335011397468</v>
      </c>
      <c r="AB85" s="85">
        <f ca="1">('TUSD BE'!$AE$85+'TUSD BF'!$AE$85+'TUSD CVA'!$AE$85)*1</f>
        <v>0</v>
      </c>
      <c r="AC85" s="85">
        <f ca="1">('TUSD BE'!$AF$85+'TUSD BF'!$AF$85+'TUSD CVA'!$AF$85)*1</f>
        <v>0</v>
      </c>
      <c r="AD85" s="85">
        <f>('TUSD BE'!$AH$85+'TUSD BF'!$AH$85+'TUSD CVA'!$AH$85)*1</f>
        <v>12.295336643343223</v>
      </c>
      <c r="AE85" s="85">
        <f>('TUSD BE'!$AI$85+'TUSD BF'!$AI$85+'TUSD CVA'!$AI$85)*1</f>
        <v>0.46216136152465181</v>
      </c>
      <c r="AF85" s="85">
        <f ca="1">('TUSD BE'!$AJ$85+'TUSD BF'!$AJ$85+'TUSD CVA'!$AJ$85)*1</f>
        <v>5.7914358426021701</v>
      </c>
      <c r="AG85" s="85">
        <f ca="1">('TUSD BE'!$AK$85+'TUSD BF'!$AK$85+'TUSD CVA'!$AK$85)*1</f>
        <v>1.4885926760895198</v>
      </c>
      <c r="AI85" s="85">
        <v>0</v>
      </c>
      <c r="AJ85" s="85">
        <v>0.22440295965913701</v>
      </c>
      <c r="AK85" s="85">
        <v>1.28783636609476</v>
      </c>
      <c r="AL85" s="85">
        <v>0</v>
      </c>
      <c r="AM85" s="85">
        <v>0</v>
      </c>
      <c r="AN85" s="85">
        <v>29.5635008699245</v>
      </c>
      <c r="AO85" s="85">
        <v>5.6089830422312597</v>
      </c>
      <c r="AP85" s="85">
        <v>0</v>
      </c>
      <c r="AQ85" s="85">
        <v>14.224676566873701</v>
      </c>
      <c r="AR85" s="85">
        <v>4.09739834023474</v>
      </c>
      <c r="AS85" s="85">
        <v>0.474934731124044</v>
      </c>
      <c r="AT85" s="85">
        <v>0</v>
      </c>
      <c r="AU85" s="85">
        <v>0</v>
      </c>
      <c r="AV85" s="85">
        <v>0</v>
      </c>
      <c r="AW85" s="85">
        <v>0</v>
      </c>
      <c r="AX85" s="85">
        <v>56.594472767041196</v>
      </c>
      <c r="AY85" s="85">
        <v>0</v>
      </c>
      <c r="AZ85" s="85">
        <v>0</v>
      </c>
      <c r="BA85" s="85">
        <v>14.812199678623699</v>
      </c>
      <c r="BB85" s="85">
        <v>0.55438158922146197</v>
      </c>
      <c r="BC85" s="85">
        <v>6.9956045335043697</v>
      </c>
      <c r="BD85" s="85">
        <v>1.4602961664846701</v>
      </c>
    </row>
    <row r="86" spans="1:56" ht="11.25" customHeight="1" x14ac:dyDescent="0.25">
      <c r="A86" s="119"/>
      <c r="B86" s="119"/>
      <c r="C86" s="119"/>
      <c r="D86" s="21" t="s">
        <v>105</v>
      </c>
      <c r="E86" s="21" t="s">
        <v>25</v>
      </c>
      <c r="F86" s="21" t="s">
        <v>25</v>
      </c>
      <c r="G86" s="21" t="s">
        <v>94</v>
      </c>
      <c r="H86" s="21" t="s">
        <v>88</v>
      </c>
      <c r="I86" s="21">
        <f>'MERCADO TUSD'!$U$83</f>
        <v>0</v>
      </c>
      <c r="J86" s="17"/>
      <c r="L86" s="85">
        <f>('TUSD BE'!$L$86+'TUSD BF'!$L$86+'TUSD CVA'!$L$86)*1</f>
        <v>0</v>
      </c>
      <c r="M86" s="85">
        <f>('TUSD BE'!$M$86+'TUSD BF'!$M$86+'TUSD CVA'!$M$86)*1</f>
        <v>0.23671888223870494</v>
      </c>
      <c r="N86" s="85">
        <f ca="1">('TUSD BE'!$N$86+'TUSD BF'!$N$86+'TUSD CVA'!$N$86)*1</f>
        <v>1.3623289591197323</v>
      </c>
      <c r="O86" s="85">
        <f>('TUSD BE'!$O$86+'TUSD BF'!$O$86+'TUSD CVA'!$O$86)*1</f>
        <v>0</v>
      </c>
      <c r="P86" s="85">
        <f>('TUSD BE'!$P$86+'TUSD BF'!$P$86+'TUSD CVA'!$P$86)*1</f>
        <v>0</v>
      </c>
      <c r="Q86" s="85">
        <f>('TUSD BE'!$Q$86+'TUSD BF'!$Q$86+'TUSD CVA'!$Q$86)*1</f>
        <v>39.821919139327591</v>
      </c>
      <c r="R86" s="85">
        <f>('TUSD BE'!$R$86+'TUSD BF'!$R$86+'TUSD CVA'!$R$86)*1</f>
        <v>4.1861620327316729</v>
      </c>
      <c r="S86" s="85">
        <f>('TUSD BE'!$S$86+'TUSD BF'!$S$86+'TUSD CVA'!$S$86)*1</f>
        <v>0</v>
      </c>
      <c r="T86" s="85">
        <f>('TUSD BE'!$U$86+'TUSD BF'!$U$86+'TUSD CVA'!$U$86)*1</f>
        <v>24.600188581292695</v>
      </c>
      <c r="U86" s="85">
        <f>('TUSD BE'!$V$86+'TUSD BF'!$V$86+'TUSD CVA'!$V$86)*1</f>
        <v>6.6120897011190802</v>
      </c>
      <c r="V86" s="85">
        <f>('TUSD BE'!$W$86+'TUSD BF'!$W$86+'TUSD CVA'!$W$86)*1</f>
        <v>0.79910246661714013</v>
      </c>
      <c r="W86" s="85">
        <f>('TUSD BE'!$X$86+'TUSD BF'!$X$86+'TUSD CVA'!$X$86)*1</f>
        <v>0</v>
      </c>
      <c r="X86" s="85">
        <f>('TUSD BE'!$Y$86+'TUSD BF'!$Y$86+'TUSD CVA'!$Y$86)*1</f>
        <v>0</v>
      </c>
      <c r="Y86" s="85">
        <f>('TUSD BE'!$Z$86+'TUSD BF'!$Z$86+'TUSD CVA'!$Z$86)*1</f>
        <v>0</v>
      </c>
      <c r="Z86" s="85">
        <f>('TUSD BE'!$AA$86+'TUSD BF'!$AA$86+'TUSD CVA'!$AA$86)*1</f>
        <v>0</v>
      </c>
      <c r="AA86" s="85">
        <f>('TUSD BE'!$AC$86+'TUSD BF'!$AC$86+'TUSD CVA'!$AC$86)*1</f>
        <v>63.647291033426917</v>
      </c>
      <c r="AB86" s="85">
        <f ca="1">('TUSD BE'!$AE$86+'TUSD BF'!$AE$86+'TUSD CVA'!$AE$86)*1</f>
        <v>0</v>
      </c>
      <c r="AC86" s="85">
        <f ca="1">('TUSD BE'!$AF$86+'TUSD BF'!$AF$86+'TUSD CVA'!$AF$86)*1</f>
        <v>0</v>
      </c>
      <c r="AD86" s="85">
        <f>('TUSD BE'!$AH$86+'TUSD BF'!$AH$86+'TUSD CVA'!$AH$86)*1</f>
        <v>13.413094520010786</v>
      </c>
      <c r="AE86" s="85">
        <f>('TUSD BE'!$AI$86+'TUSD BF'!$AI$86+'TUSD CVA'!$AI$86)*1</f>
        <v>0.50417603075416551</v>
      </c>
      <c r="AF86" s="85">
        <f ca="1">('TUSD BE'!$AJ$86+'TUSD BF'!$AJ$86+'TUSD CVA'!$AJ$86)*1</f>
        <v>6.3179300101114579</v>
      </c>
      <c r="AG86" s="85">
        <f ca="1">('TUSD BE'!$AK$86+'TUSD BF'!$AK$86+'TUSD CVA'!$AK$86)*1</f>
        <v>1.6239192830067488</v>
      </c>
      <c r="AI86" s="85">
        <v>0</v>
      </c>
      <c r="AJ86" s="85">
        <v>0.24480322871905799</v>
      </c>
      <c r="AK86" s="85">
        <v>1.4049123993760999</v>
      </c>
      <c r="AL86" s="85">
        <v>0</v>
      </c>
      <c r="AM86" s="85">
        <v>0</v>
      </c>
      <c r="AN86" s="85">
        <v>32.2510918580995</v>
      </c>
      <c r="AO86" s="85">
        <v>6.1188905915250098</v>
      </c>
      <c r="AP86" s="85">
        <v>0</v>
      </c>
      <c r="AQ86" s="85">
        <v>15.517828982044</v>
      </c>
      <c r="AR86" s="85">
        <v>4.4698890984378998</v>
      </c>
      <c r="AS86" s="85">
        <v>0.51811061577168405</v>
      </c>
      <c r="AT86" s="85">
        <v>0</v>
      </c>
      <c r="AU86" s="85">
        <v>0</v>
      </c>
      <c r="AV86" s="85">
        <v>0</v>
      </c>
      <c r="AW86" s="85">
        <v>0</v>
      </c>
      <c r="AX86" s="85">
        <v>61.739424836772201</v>
      </c>
      <c r="AY86" s="85">
        <v>0</v>
      </c>
      <c r="AZ86" s="85">
        <v>0</v>
      </c>
      <c r="BA86" s="85">
        <v>16.1587632857713</v>
      </c>
      <c r="BB86" s="85">
        <v>0.60477991551432198</v>
      </c>
      <c r="BC86" s="85">
        <v>7.6315685820047703</v>
      </c>
      <c r="BD86" s="85">
        <v>1.5930503634378199</v>
      </c>
    </row>
    <row r="88" spans="1:56" ht="11.25" customHeight="1" x14ac:dyDescent="0.25">
      <c r="L88" s="121" t="s">
        <v>1255</v>
      </c>
      <c r="M88" s="121"/>
      <c r="N88" s="121"/>
      <c r="O88" s="121"/>
      <c r="P88" s="121"/>
      <c r="Q88" s="121"/>
      <c r="R88" s="121"/>
      <c r="S88" s="121"/>
      <c r="T88" s="121"/>
      <c r="U88" s="121"/>
      <c r="V88" s="121"/>
      <c r="W88" s="121"/>
      <c r="X88" s="121"/>
      <c r="Y88" s="121"/>
      <c r="Z88" s="121"/>
      <c r="AA88" s="121"/>
      <c r="AB88" s="121"/>
      <c r="AC88" s="121"/>
      <c r="AD88" s="121"/>
      <c r="AE88" s="121"/>
      <c r="AF88" s="121"/>
      <c r="AG88" s="121"/>
      <c r="AI88" s="121" t="s">
        <v>1256</v>
      </c>
      <c r="AJ88" s="121"/>
      <c r="AK88" s="121"/>
      <c r="AL88" s="121"/>
      <c r="AM88" s="121"/>
      <c r="AN88" s="121"/>
      <c r="AO88" s="121"/>
      <c r="AP88" s="121"/>
      <c r="AQ88" s="121"/>
      <c r="AR88" s="121"/>
      <c r="AS88" s="121"/>
      <c r="AT88" s="121"/>
      <c r="AU88" s="121"/>
      <c r="AV88" s="121"/>
      <c r="AW88" s="121"/>
      <c r="AX88" s="121"/>
      <c r="AY88" s="121"/>
      <c r="AZ88" s="121"/>
      <c r="BA88" s="121"/>
      <c r="BB88" s="121"/>
      <c r="BC88" s="121"/>
      <c r="BD88" s="121"/>
    </row>
    <row r="89" spans="1:56" ht="11.25" customHeight="1" x14ac:dyDescent="0.25">
      <c r="L89" s="121" t="s">
        <v>955</v>
      </c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I89" s="121" t="s">
        <v>955</v>
      </c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</row>
    <row r="90" spans="1:56" ht="11.25" customHeight="1" x14ac:dyDescent="0.25">
      <c r="L90" s="121" t="s">
        <v>956</v>
      </c>
      <c r="M90" s="121"/>
      <c r="N90" s="121"/>
      <c r="O90" s="121"/>
      <c r="P90" s="121"/>
      <c r="Q90" s="121"/>
      <c r="R90" s="121"/>
      <c r="S90" s="121"/>
      <c r="T90" s="121" t="s">
        <v>966</v>
      </c>
      <c r="U90" s="121"/>
      <c r="V90" s="121"/>
      <c r="W90" s="121"/>
      <c r="X90" s="121"/>
      <c r="Y90" s="121"/>
      <c r="Z90" s="121"/>
      <c r="AA90" s="86" t="s">
        <v>974</v>
      </c>
      <c r="AB90" s="121" t="s">
        <v>976</v>
      </c>
      <c r="AC90" s="121"/>
      <c r="AD90" s="121" t="s">
        <v>979</v>
      </c>
      <c r="AE90" s="121"/>
      <c r="AF90" s="121"/>
      <c r="AG90" s="121"/>
      <c r="AI90" s="121" t="s">
        <v>956</v>
      </c>
      <c r="AJ90" s="121"/>
      <c r="AK90" s="121"/>
      <c r="AL90" s="121"/>
      <c r="AM90" s="121"/>
      <c r="AN90" s="121"/>
      <c r="AO90" s="121"/>
      <c r="AP90" s="121"/>
      <c r="AQ90" s="121" t="s">
        <v>966</v>
      </c>
      <c r="AR90" s="121"/>
      <c r="AS90" s="121"/>
      <c r="AT90" s="121"/>
      <c r="AU90" s="121"/>
      <c r="AV90" s="121"/>
      <c r="AW90" s="121"/>
      <c r="AX90" s="86" t="s">
        <v>974</v>
      </c>
      <c r="AY90" s="121" t="s">
        <v>976</v>
      </c>
      <c r="AZ90" s="121"/>
      <c r="BA90" s="121" t="s">
        <v>979</v>
      </c>
      <c r="BB90" s="121"/>
      <c r="BC90" s="121"/>
      <c r="BD90" s="121"/>
    </row>
    <row r="91" spans="1:56" ht="11.25" customHeight="1" x14ac:dyDescent="0.25">
      <c r="L91" s="86" t="s">
        <v>957</v>
      </c>
      <c r="M91" s="86" t="s">
        <v>958</v>
      </c>
      <c r="N91" s="86" t="s">
        <v>959</v>
      </c>
      <c r="O91" s="86" t="s">
        <v>960</v>
      </c>
      <c r="P91" s="86" t="s">
        <v>961</v>
      </c>
      <c r="Q91" s="86" t="s">
        <v>962</v>
      </c>
      <c r="R91" s="86" t="s">
        <v>963</v>
      </c>
      <c r="S91" s="86" t="s">
        <v>964</v>
      </c>
      <c r="T91" s="86" t="s">
        <v>967</v>
      </c>
      <c r="U91" s="86" t="s">
        <v>968</v>
      </c>
      <c r="V91" s="86" t="s">
        <v>969</v>
      </c>
      <c r="W91" s="86" t="s">
        <v>970</v>
      </c>
      <c r="X91" s="86" t="s">
        <v>971</v>
      </c>
      <c r="Y91" s="86" t="s">
        <v>972</v>
      </c>
      <c r="Z91" s="86" t="s">
        <v>973</v>
      </c>
      <c r="AA91" s="86" t="s">
        <v>975</v>
      </c>
      <c r="AB91" s="86" t="s">
        <v>977</v>
      </c>
      <c r="AC91" s="86" t="s">
        <v>978</v>
      </c>
      <c r="AD91" s="86" t="s">
        <v>980</v>
      </c>
      <c r="AE91" s="86" t="s">
        <v>981</v>
      </c>
      <c r="AF91" s="86" t="s">
        <v>982</v>
      </c>
      <c r="AG91" s="86" t="s">
        <v>983</v>
      </c>
      <c r="AI91" s="86" t="s">
        <v>957</v>
      </c>
      <c r="AJ91" s="86" t="s">
        <v>958</v>
      </c>
      <c r="AK91" s="86" t="s">
        <v>959</v>
      </c>
      <c r="AL91" s="86" t="s">
        <v>960</v>
      </c>
      <c r="AM91" s="86" t="s">
        <v>961</v>
      </c>
      <c r="AN91" s="86" t="s">
        <v>962</v>
      </c>
      <c r="AO91" s="86" t="s">
        <v>963</v>
      </c>
      <c r="AP91" s="86" t="s">
        <v>964</v>
      </c>
      <c r="AQ91" s="86" t="s">
        <v>967</v>
      </c>
      <c r="AR91" s="86" t="s">
        <v>968</v>
      </c>
      <c r="AS91" s="86" t="s">
        <v>969</v>
      </c>
      <c r="AT91" s="86" t="s">
        <v>970</v>
      </c>
      <c r="AU91" s="86" t="s">
        <v>971</v>
      </c>
      <c r="AV91" s="86" t="s">
        <v>972</v>
      </c>
      <c r="AW91" s="86" t="s">
        <v>973</v>
      </c>
      <c r="AX91" s="86" t="s">
        <v>975</v>
      </c>
      <c r="AY91" s="86" t="s">
        <v>977</v>
      </c>
      <c r="AZ91" s="86" t="s">
        <v>978</v>
      </c>
      <c r="BA91" s="86" t="s">
        <v>980</v>
      </c>
      <c r="BB91" s="86" t="s">
        <v>981</v>
      </c>
      <c r="BC91" s="86" t="s">
        <v>982</v>
      </c>
      <c r="BD91" s="86" t="s">
        <v>983</v>
      </c>
    </row>
    <row r="92" spans="1:56" ht="11.25" customHeight="1" x14ac:dyDescent="0.25">
      <c r="A92" s="9" t="s">
        <v>43</v>
      </c>
      <c r="B92" s="9" t="s">
        <v>1257</v>
      </c>
      <c r="C92" s="9" t="s">
        <v>1258</v>
      </c>
      <c r="D92" s="9" t="s">
        <v>1259</v>
      </c>
      <c r="E92" s="9" t="s">
        <v>1260</v>
      </c>
      <c r="F92" s="9" t="s">
        <v>1261</v>
      </c>
      <c r="G92" s="9" t="s">
        <v>1262</v>
      </c>
      <c r="L92" s="85">
        <f>$I$5*$L$5</f>
        <v>0</v>
      </c>
      <c r="M92" s="85">
        <f>$I$5*$M$5</f>
        <v>0</v>
      </c>
      <c r="N92" s="85">
        <f ca="1">$I$5*$N$5</f>
        <v>0</v>
      </c>
      <c r="O92" s="85">
        <f>$I$5*$O$5</f>
        <v>0</v>
      </c>
      <c r="P92" s="85">
        <f>$I$5*$P$5</f>
        <v>0</v>
      </c>
      <c r="Q92" s="85">
        <f>$I$5*$Q$5</f>
        <v>0</v>
      </c>
      <c r="R92" s="85">
        <f>$I$5*$R$5</f>
        <v>0</v>
      </c>
      <c r="S92" s="85">
        <f>$I$5*$S$5</f>
        <v>0</v>
      </c>
      <c r="T92" s="85">
        <f>$I$5*$T$5</f>
        <v>3473078.6449399851</v>
      </c>
      <c r="U92" s="85">
        <f>$I$5*$U$5</f>
        <v>814665.47387570434</v>
      </c>
      <c r="V92" s="85">
        <f>$I$5*$V$5</f>
        <v>99815.971783314904</v>
      </c>
      <c r="W92" s="85">
        <f>$I$5*$W$5</f>
        <v>0</v>
      </c>
      <c r="X92" s="85">
        <f>$I$5*$X$5</f>
        <v>0</v>
      </c>
      <c r="Y92" s="85">
        <f>$I$5*$Y$5</f>
        <v>0</v>
      </c>
      <c r="Z92" s="85">
        <f>$I$5*$Z$5</f>
        <v>0</v>
      </c>
      <c r="AA92" s="85">
        <f>$I$5*$AA$5</f>
        <v>1255130.8679945278</v>
      </c>
      <c r="AB92" s="85">
        <f ca="1">$I$5*$AB$5</f>
        <v>0</v>
      </c>
      <c r="AC92" s="85">
        <f ca="1">$I$5*$AC$5</f>
        <v>0</v>
      </c>
      <c r="AD92" s="85">
        <f>$I$5*$AD$5</f>
        <v>0</v>
      </c>
      <c r="AE92" s="85">
        <f>$I$5*$AE$5</f>
        <v>0</v>
      </c>
      <c r="AF92" s="85">
        <f ca="1">$I$5*$AF$5</f>
        <v>0</v>
      </c>
      <c r="AG92" s="85">
        <f ca="1">$I$5*$AG$5</f>
        <v>0</v>
      </c>
      <c r="AI92" s="85">
        <f>$I$5*$AI$5</f>
        <v>0</v>
      </c>
      <c r="AJ92" s="85">
        <f>$I$5*$AJ$5</f>
        <v>0</v>
      </c>
      <c r="AK92" s="85">
        <f>$I$5*$AK$5</f>
        <v>0</v>
      </c>
      <c r="AL92" s="85">
        <f>$I$5*$AL$5</f>
        <v>0</v>
      </c>
      <c r="AM92" s="85">
        <f>$I$5*$AM$5</f>
        <v>0</v>
      </c>
      <c r="AN92" s="85">
        <f>$I$5*$AN$5</f>
        <v>0</v>
      </c>
      <c r="AO92" s="85">
        <f>$I$5*$AO$5</f>
        <v>0</v>
      </c>
      <c r="AP92" s="85">
        <f>$I$5*$AP$5</f>
        <v>0</v>
      </c>
      <c r="AQ92" s="85">
        <f>$I$5*$AQ$5</f>
        <v>2190822.2481819596</v>
      </c>
      <c r="AR92" s="85">
        <f>$I$5*$AR$5</f>
        <v>550728.20925802621</v>
      </c>
      <c r="AS92" s="85">
        <f>$I$5*$AS$5</f>
        <v>64717.250621727624</v>
      </c>
      <c r="AT92" s="85">
        <f>$I$5*$AT$5</f>
        <v>0</v>
      </c>
      <c r="AU92" s="85">
        <f>$I$5*$AU$5</f>
        <v>0</v>
      </c>
      <c r="AV92" s="85">
        <f>$I$5*$AV$5</f>
        <v>0</v>
      </c>
      <c r="AW92" s="85">
        <f>$I$5*$AW$5</f>
        <v>0</v>
      </c>
      <c r="AX92" s="85">
        <f>$I$5*$AX$5</f>
        <v>1217507.5580854374</v>
      </c>
      <c r="AY92" s="85">
        <f>$I$5*$AY$5</f>
        <v>0</v>
      </c>
      <c r="AZ92" s="85">
        <f>$I$5*$AZ$5</f>
        <v>0</v>
      </c>
      <c r="BA92" s="85">
        <f>$I$5*$BA$5</f>
        <v>0</v>
      </c>
      <c r="BB92" s="85">
        <f>$I$5*$BB$5</f>
        <v>0</v>
      </c>
      <c r="BC92" s="85">
        <f>$I$5*$BC$5</f>
        <v>0</v>
      </c>
      <c r="BD92" s="85">
        <f>$I$5*$BD$5</f>
        <v>0</v>
      </c>
    </row>
    <row r="93" spans="1:56" ht="11.25" customHeight="1" x14ac:dyDescent="0.25">
      <c r="A93" s="9" t="s">
        <v>43</v>
      </c>
      <c r="B93" s="9" t="s">
        <v>1257</v>
      </c>
      <c r="C93" s="9" t="s">
        <v>1258</v>
      </c>
      <c r="D93" s="9" t="s">
        <v>1259</v>
      </c>
      <c r="E93" s="9" t="s">
        <v>1260</v>
      </c>
      <c r="F93" s="9" t="s">
        <v>1261</v>
      </c>
      <c r="G93" s="9" t="s">
        <v>1263</v>
      </c>
      <c r="L93" s="85">
        <f>$I$6*$L$6</f>
        <v>0</v>
      </c>
      <c r="M93" s="85">
        <f>$I$6*$M$6</f>
        <v>0</v>
      </c>
      <c r="N93" s="85">
        <f ca="1">$I$6*$N$6</f>
        <v>0</v>
      </c>
      <c r="O93" s="85">
        <f>$I$6*$O$6</f>
        <v>0</v>
      </c>
      <c r="P93" s="85">
        <f>$I$6*$P$6</f>
        <v>0</v>
      </c>
      <c r="Q93" s="85">
        <f>$I$6*$Q$6</f>
        <v>0</v>
      </c>
      <c r="R93" s="85">
        <f>$I$6*$R$6</f>
        <v>0</v>
      </c>
      <c r="S93" s="85">
        <f>$I$6*$S$6</f>
        <v>0</v>
      </c>
      <c r="T93" s="85">
        <f>$I$6*$T$6</f>
        <v>6971041.825381767</v>
      </c>
      <c r="U93" s="85">
        <f>$I$6*$U$6</f>
        <v>1680897.8873696828</v>
      </c>
      <c r="V93" s="85">
        <f>$I$6*$V$6</f>
        <v>184938.83968300486</v>
      </c>
      <c r="W93" s="85">
        <f>$I$6*$W$6</f>
        <v>0</v>
      </c>
      <c r="X93" s="85">
        <f>$I$6*$X$6</f>
        <v>0</v>
      </c>
      <c r="Y93" s="85">
        <f>$I$6*$Y$6</f>
        <v>0</v>
      </c>
      <c r="Z93" s="85">
        <f>$I$6*$Z$6</f>
        <v>0</v>
      </c>
      <c r="AA93" s="85">
        <f>$I$6*$AA$6</f>
        <v>326737.48622963188</v>
      </c>
      <c r="AB93" s="85">
        <f ca="1">$I$6*$AB$6</f>
        <v>0</v>
      </c>
      <c r="AC93" s="85">
        <f ca="1">$I$6*$AC$6</f>
        <v>0</v>
      </c>
      <c r="AD93" s="85">
        <f>$I$6*$AD$6</f>
        <v>0</v>
      </c>
      <c r="AE93" s="85">
        <f>$I$6*$AE$6</f>
        <v>0</v>
      </c>
      <c r="AF93" s="85">
        <f ca="1">$I$6*$AF$6</f>
        <v>0</v>
      </c>
      <c r="AG93" s="85">
        <f ca="1">$I$6*$AG$6</f>
        <v>0</v>
      </c>
      <c r="AI93" s="85">
        <f>$I$6*$AI$6</f>
        <v>0</v>
      </c>
      <c r="AJ93" s="85">
        <f>$I$6*$AJ$6</f>
        <v>0</v>
      </c>
      <c r="AK93" s="85">
        <f>$I$6*$AK$6</f>
        <v>0</v>
      </c>
      <c r="AL93" s="85">
        <f>$I$6*$AL$6</f>
        <v>0</v>
      </c>
      <c r="AM93" s="85">
        <f>$I$6*$AM$6</f>
        <v>0</v>
      </c>
      <c r="AN93" s="85">
        <f>$I$6*$AN$6</f>
        <v>0</v>
      </c>
      <c r="AO93" s="85">
        <f>$I$6*$AO$6</f>
        <v>0</v>
      </c>
      <c r="AP93" s="85">
        <f>$I$6*$AP$6</f>
        <v>0</v>
      </c>
      <c r="AQ93" s="85">
        <f>$I$6*$AQ$6</f>
        <v>4397341.6917304657</v>
      </c>
      <c r="AR93" s="85">
        <f>$I$6*$AR$6</f>
        <v>1136316.5779601308</v>
      </c>
      <c r="AS93" s="85">
        <f>$I$6*$AS$6</f>
        <v>119907.99692296596</v>
      </c>
      <c r="AT93" s="85">
        <f>$I$6*$AT$6</f>
        <v>0</v>
      </c>
      <c r="AU93" s="85">
        <f>$I$6*$AU$6</f>
        <v>0</v>
      </c>
      <c r="AV93" s="85">
        <f>$I$6*$AV$6</f>
        <v>0</v>
      </c>
      <c r="AW93" s="85">
        <f>$I$6*$AW$6</f>
        <v>0</v>
      </c>
      <c r="AX93" s="85">
        <f>$I$6*$AX$6</f>
        <v>316943.33167826117</v>
      </c>
      <c r="AY93" s="85">
        <f>$I$6*$AY$6</f>
        <v>0</v>
      </c>
      <c r="AZ93" s="85">
        <f>$I$6*$AZ$6</f>
        <v>0</v>
      </c>
      <c r="BA93" s="85">
        <f>$I$6*$BA$6</f>
        <v>0</v>
      </c>
      <c r="BB93" s="85">
        <f>$I$6*$BB$6</f>
        <v>0</v>
      </c>
      <c r="BC93" s="85">
        <f>$I$6*$BC$6</f>
        <v>0</v>
      </c>
      <c r="BD93" s="85">
        <f>$I$6*$BD$6</f>
        <v>0</v>
      </c>
    </row>
    <row r="94" spans="1:56" ht="11.25" customHeight="1" x14ac:dyDescent="0.25">
      <c r="A94" s="9" t="s">
        <v>43</v>
      </c>
      <c r="B94" s="9" t="s">
        <v>1257</v>
      </c>
      <c r="C94" s="9" t="s">
        <v>1258</v>
      </c>
      <c r="D94" s="9" t="s">
        <v>1259</v>
      </c>
      <c r="E94" s="9" t="s">
        <v>1260</v>
      </c>
      <c r="F94" s="9" t="s">
        <v>1261</v>
      </c>
      <c r="G94" s="9" t="s">
        <v>1264</v>
      </c>
      <c r="L94" s="85">
        <f>$I$7*$L$7</f>
        <v>0</v>
      </c>
      <c r="M94" s="85">
        <f>$I$7*$M$7</f>
        <v>10723.678616477013</v>
      </c>
      <c r="N94" s="85">
        <f ca="1">$I$7*$N$7</f>
        <v>78518.872861717464</v>
      </c>
      <c r="O94" s="85">
        <f>$I$7*$O$7</f>
        <v>0</v>
      </c>
      <c r="P94" s="85">
        <f>$I$7*$P$7</f>
        <v>0</v>
      </c>
      <c r="Q94" s="85">
        <f>$I$7*$Q$7</f>
        <v>18488118.192293562</v>
      </c>
      <c r="R94" s="85">
        <f>$I$7*$R$7</f>
        <v>2662341.1023809379</v>
      </c>
      <c r="S94" s="85">
        <f>$I$7*$S$7</f>
        <v>0</v>
      </c>
      <c r="T94" s="85">
        <f>$I$7*$T$7</f>
        <v>0</v>
      </c>
      <c r="U94" s="85">
        <f>$I$7*$U$7</f>
        <v>0</v>
      </c>
      <c r="V94" s="85">
        <f>$I$7*$V$7</f>
        <v>0</v>
      </c>
      <c r="W94" s="85">
        <f>$I$7*$W$7</f>
        <v>0</v>
      </c>
      <c r="X94" s="85">
        <f>$I$7*$X$7</f>
        <v>0</v>
      </c>
      <c r="Y94" s="85">
        <f>$I$7*$Y$7</f>
        <v>0</v>
      </c>
      <c r="Z94" s="85">
        <f>$I$7*$Z$7</f>
        <v>0</v>
      </c>
      <c r="AA94" s="85">
        <f>$I$7*$AA$7</f>
        <v>0</v>
      </c>
      <c r="AB94" s="85">
        <f ca="1">$I$7*$AB$7</f>
        <v>0</v>
      </c>
      <c r="AC94" s="85">
        <f ca="1">$I$7*$AC$7</f>
        <v>0</v>
      </c>
      <c r="AD94" s="85">
        <f>$I$7*$AD$7</f>
        <v>1570133.0870001218</v>
      </c>
      <c r="AE94" s="85">
        <f>$I$7*$AE$7</f>
        <v>59018.704921410608</v>
      </c>
      <c r="AF94" s="85">
        <f ca="1">$I$7*$AF$7</f>
        <v>1242181.5385638431</v>
      </c>
      <c r="AG94" s="85">
        <f ca="1">$I$7*$AG$7</f>
        <v>319282.19373123912</v>
      </c>
      <c r="AI94" s="85">
        <f>$I$7*$AI$7</f>
        <v>0</v>
      </c>
      <c r="AJ94" s="85">
        <f>$I$7*$AJ$7</f>
        <v>12443.358263628337</v>
      </c>
      <c r="AK94" s="85">
        <f>$I$7*$AK$7</f>
        <v>77764.981771409468</v>
      </c>
      <c r="AL94" s="85">
        <f>$I$7*$AL$7</f>
        <v>0</v>
      </c>
      <c r="AM94" s="85">
        <f>$I$7*$AM$7</f>
        <v>0</v>
      </c>
      <c r="AN94" s="85">
        <f>$I$7*$AN$7</f>
        <v>16203885.887717681</v>
      </c>
      <c r="AO94" s="85">
        <f>$I$7*$AO$7</f>
        <v>3891529.7103678114</v>
      </c>
      <c r="AP94" s="85">
        <f>$I$7*$AP$7</f>
        <v>0</v>
      </c>
      <c r="AQ94" s="85">
        <f>$I$7*$AQ$7</f>
        <v>0</v>
      </c>
      <c r="AR94" s="85">
        <f>$I$7*$AR$7</f>
        <v>0</v>
      </c>
      <c r="AS94" s="85">
        <f>$I$7*$AS$7</f>
        <v>0</v>
      </c>
      <c r="AT94" s="85">
        <f>$I$7*$AT$7</f>
        <v>0</v>
      </c>
      <c r="AU94" s="85">
        <f>$I$7*$AU$7</f>
        <v>0</v>
      </c>
      <c r="AV94" s="85">
        <f>$I$7*$AV$7</f>
        <v>0</v>
      </c>
      <c r="AW94" s="85">
        <f>$I$7*$AW$7</f>
        <v>0</v>
      </c>
      <c r="AX94" s="85">
        <f>$I$7*$AX$7</f>
        <v>0</v>
      </c>
      <c r="AY94" s="85">
        <f>$I$7*$AY$7</f>
        <v>0</v>
      </c>
      <c r="AZ94" s="85">
        <f>$I$7*$AZ$7</f>
        <v>0</v>
      </c>
      <c r="BA94" s="85">
        <f>$I$7*$BA$7</f>
        <v>1891540.3035549461</v>
      </c>
      <c r="BB94" s="85">
        <f>$I$7*$BB$7</f>
        <v>70795.367488501826</v>
      </c>
      <c r="BC94" s="85">
        <f>$I$7*$BC$7</f>
        <v>1456046.2984981174</v>
      </c>
      <c r="BD94" s="85">
        <f>$I$7*$BD$7</f>
        <v>303942.1136139984</v>
      </c>
    </row>
    <row r="95" spans="1:56" ht="11.25" customHeight="1" x14ac:dyDescent="0.25">
      <c r="A95" s="9" t="s">
        <v>43</v>
      </c>
      <c r="B95" s="9" t="s">
        <v>1257</v>
      </c>
      <c r="C95" s="9" t="s">
        <v>1258</v>
      </c>
      <c r="D95" s="9" t="s">
        <v>1259</v>
      </c>
      <c r="E95" s="9" t="s">
        <v>1265</v>
      </c>
      <c r="F95" s="9" t="s">
        <v>1266</v>
      </c>
      <c r="G95" s="9" t="s">
        <v>1267</v>
      </c>
      <c r="L95" s="85">
        <f>$I$8*$L$8</f>
        <v>0</v>
      </c>
      <c r="M95" s="85">
        <f>$I$8*$M$8</f>
        <v>3107.8164053447354</v>
      </c>
      <c r="N95" s="85">
        <f ca="1">$I$8*$N$8</f>
        <v>21155.186999358797</v>
      </c>
      <c r="O95" s="85">
        <f>$I$8*$O$8</f>
        <v>0</v>
      </c>
      <c r="P95" s="85">
        <f>$I$8*$P$8</f>
        <v>0</v>
      </c>
      <c r="Q95" s="85">
        <f>$I$8*$Q$8</f>
        <v>0</v>
      </c>
      <c r="R95" s="85">
        <f>$I$8*$R$8</f>
        <v>0</v>
      </c>
      <c r="S95" s="85">
        <f>$I$8*$S$8</f>
        <v>0</v>
      </c>
      <c r="T95" s="85">
        <f>$I$8*$T$8</f>
        <v>0</v>
      </c>
      <c r="U95" s="85">
        <f>$I$8*$U$8</f>
        <v>0</v>
      </c>
      <c r="V95" s="85">
        <f>$I$8*$V$8</f>
        <v>0</v>
      </c>
      <c r="W95" s="85">
        <f>$I$8*$W$8</f>
        <v>0</v>
      </c>
      <c r="X95" s="85">
        <f>$I$8*$X$8</f>
        <v>0</v>
      </c>
      <c r="Y95" s="85">
        <f>$I$8*$Y$8</f>
        <v>0</v>
      </c>
      <c r="Z95" s="85">
        <f>$I$8*$Z$8</f>
        <v>0</v>
      </c>
      <c r="AA95" s="85">
        <f>$I$8*$AA$8</f>
        <v>0</v>
      </c>
      <c r="AB95" s="85">
        <f ca="1">$I$8*$AB$8</f>
        <v>0</v>
      </c>
      <c r="AC95" s="85">
        <f ca="1">$I$8*$AC$8</f>
        <v>0</v>
      </c>
      <c r="AD95" s="85">
        <f>$I$8*$AD$8</f>
        <v>455038.38196492364</v>
      </c>
      <c r="AE95" s="85">
        <f>$I$8*$AE$8</f>
        <v>17104.139907282828</v>
      </c>
      <c r="AF95" s="85">
        <f ca="1">$I$8*$AF$8</f>
        <v>359995.13805210753</v>
      </c>
      <c r="AG95" s="85">
        <f ca="1">$I$8*$AG$8</f>
        <v>92530.788650059883</v>
      </c>
      <c r="AI95" s="85">
        <f>$I$8*$AI$8</f>
        <v>0</v>
      </c>
      <c r="AJ95" s="85">
        <f>$I$8*$AJ$8</f>
        <v>3606.1946960874798</v>
      </c>
      <c r="AK95" s="85">
        <f>$I$8*$AK$8</f>
        <v>20866.828076885598</v>
      </c>
      <c r="AL95" s="85">
        <f>$I$8*$AL$8</f>
        <v>0</v>
      </c>
      <c r="AM95" s="85">
        <f>$I$8*$AM$8</f>
        <v>0</v>
      </c>
      <c r="AN95" s="85">
        <f>$I$8*$AN$8</f>
        <v>0</v>
      </c>
      <c r="AO95" s="85">
        <f>$I$8*$AO$8</f>
        <v>0</v>
      </c>
      <c r="AP95" s="85">
        <f>$I$8*$AP$8</f>
        <v>0</v>
      </c>
      <c r="AQ95" s="85">
        <f>$I$8*$AQ$8</f>
        <v>0</v>
      </c>
      <c r="AR95" s="85">
        <f>$I$8*$AR$8</f>
        <v>0</v>
      </c>
      <c r="AS95" s="85">
        <f>$I$8*$AS$8</f>
        <v>0</v>
      </c>
      <c r="AT95" s="85">
        <f>$I$8*$AT$8</f>
        <v>0</v>
      </c>
      <c r="AU95" s="85">
        <f>$I$8*$AU$8</f>
        <v>0</v>
      </c>
      <c r="AV95" s="85">
        <f>$I$8*$AV$8</f>
        <v>0</v>
      </c>
      <c r="AW95" s="85">
        <f>$I$8*$AW$8</f>
        <v>0</v>
      </c>
      <c r="AX95" s="85">
        <f>$I$8*$AX$8</f>
        <v>0</v>
      </c>
      <c r="AY95" s="85">
        <f>$I$8*$AY$8</f>
        <v>0</v>
      </c>
      <c r="AZ95" s="85">
        <f>$I$8*$AZ$8</f>
        <v>0</v>
      </c>
      <c r="BA95" s="85">
        <f>$I$8*$BA$8</f>
        <v>548185.02092429087</v>
      </c>
      <c r="BB95" s="85">
        <f>$I$8*$BB$8</f>
        <v>20517.120325213255</v>
      </c>
      <c r="BC95" s="85">
        <f>$I$8*$BC$8</f>
        <v>421975.02697078587</v>
      </c>
      <c r="BD95" s="85">
        <f>$I$8*$BD$8</f>
        <v>88085.098476688625</v>
      </c>
    </row>
    <row r="96" spans="1:56" ht="11.25" customHeight="1" x14ac:dyDescent="0.25">
      <c r="A96" s="9" t="s">
        <v>43</v>
      </c>
      <c r="B96" s="9" t="s">
        <v>1268</v>
      </c>
      <c r="C96" s="9" t="s">
        <v>1269</v>
      </c>
      <c r="D96" s="9" t="s">
        <v>1270</v>
      </c>
      <c r="E96" s="9" t="s">
        <v>1271</v>
      </c>
      <c r="F96" s="9" t="s">
        <v>1272</v>
      </c>
      <c r="G96" s="9" t="s">
        <v>1273</v>
      </c>
      <c r="L96" s="85">
        <f>$I$9*$L$9</f>
        <v>0</v>
      </c>
      <c r="M96" s="85">
        <f>$I$9*$M$9</f>
        <v>0</v>
      </c>
      <c r="N96" s="85">
        <f ca="1">$I$9*$N$9</f>
        <v>0</v>
      </c>
      <c r="O96" s="85">
        <f>$I$9*$O$9</f>
        <v>0</v>
      </c>
      <c r="P96" s="85">
        <f>$I$9*$P$9</f>
        <v>0</v>
      </c>
      <c r="Q96" s="85">
        <f>$I$9*$Q$9</f>
        <v>0</v>
      </c>
      <c r="R96" s="85">
        <f>$I$9*$R$9</f>
        <v>0</v>
      </c>
      <c r="S96" s="85">
        <f>$I$9*$S$9</f>
        <v>0</v>
      </c>
      <c r="T96" s="85">
        <f>$I$9*$T$9</f>
        <v>5295261.4671106776</v>
      </c>
      <c r="U96" s="85">
        <f>$I$9*$U$9</f>
        <v>1242087.2469111683</v>
      </c>
      <c r="V96" s="85">
        <f>$I$9*$V$9</f>
        <v>152185.3442496772</v>
      </c>
      <c r="W96" s="85">
        <f>$I$9*$W$9</f>
        <v>0</v>
      </c>
      <c r="X96" s="85">
        <f>$I$9*$X$9</f>
        <v>0</v>
      </c>
      <c r="Y96" s="85">
        <f>$I$9*$Y$9</f>
        <v>0</v>
      </c>
      <c r="Z96" s="85">
        <f>$I$9*$Z$9</f>
        <v>0</v>
      </c>
      <c r="AA96" s="85">
        <f>$I$9*$AA$9</f>
        <v>1913646.8824728983</v>
      </c>
      <c r="AB96" s="85">
        <f>$I$9*$AB$9</f>
        <v>0</v>
      </c>
      <c r="AC96" s="85">
        <f ca="1">$I$9*$AC$9</f>
        <v>0</v>
      </c>
      <c r="AD96" s="85">
        <f>$I$9*$AD$9</f>
        <v>0</v>
      </c>
      <c r="AE96" s="85">
        <f>$I$9*$AE$9</f>
        <v>0</v>
      </c>
      <c r="AF96" s="85">
        <f ca="1">$I$9*$AF$9</f>
        <v>0</v>
      </c>
      <c r="AG96" s="85">
        <f ca="1">$I$9*$AG$9</f>
        <v>0</v>
      </c>
      <c r="AI96" s="85">
        <f>$I$9*$AI$9</f>
        <v>0</v>
      </c>
      <c r="AJ96" s="85">
        <f>$I$9*$AJ$9</f>
        <v>0</v>
      </c>
      <c r="AK96" s="85">
        <f>$I$9*$AK$9</f>
        <v>0</v>
      </c>
      <c r="AL96" s="85">
        <f>$I$9*$AL$9</f>
        <v>0</v>
      </c>
      <c r="AM96" s="85">
        <f>$I$9*$AM$9</f>
        <v>0</v>
      </c>
      <c r="AN96" s="85">
        <f>$I$9*$AN$9</f>
        <v>0</v>
      </c>
      <c r="AO96" s="85">
        <f>$I$9*$AO$9</f>
        <v>0</v>
      </c>
      <c r="AP96" s="85">
        <f>$I$9*$AP$9</f>
        <v>0</v>
      </c>
      <c r="AQ96" s="85">
        <f>$I$9*$AQ$9</f>
        <v>3340257.3964135447</v>
      </c>
      <c r="AR96" s="85">
        <f>$I$9*$AR$9</f>
        <v>839672.85612252087</v>
      </c>
      <c r="AS96" s="85">
        <f>$I$9*$AS$9</f>
        <v>98671.754517813577</v>
      </c>
      <c r="AT96" s="85">
        <f>$I$9*$AT$9</f>
        <v>0</v>
      </c>
      <c r="AU96" s="85">
        <f>$I$9*$AU$9</f>
        <v>0</v>
      </c>
      <c r="AV96" s="85">
        <f>$I$9*$AV$9</f>
        <v>0</v>
      </c>
      <c r="AW96" s="85">
        <f>$I$9*$AW$9</f>
        <v>0</v>
      </c>
      <c r="AX96" s="85">
        <f>$I$9*$AX$9</f>
        <v>1856284.1551655207</v>
      </c>
      <c r="AY96" s="85">
        <f>$I$9*$AY$9</f>
        <v>0</v>
      </c>
      <c r="AZ96" s="85">
        <f>$I$9*$AZ$9</f>
        <v>0</v>
      </c>
      <c r="BA96" s="85">
        <f>$I$9*$BA$9</f>
        <v>0</v>
      </c>
      <c r="BB96" s="85">
        <f>$I$9*$BB$9</f>
        <v>0</v>
      </c>
      <c r="BC96" s="85">
        <f>$I$9*$BC$9</f>
        <v>0</v>
      </c>
      <c r="BD96" s="85">
        <f>$I$9*$BD$9</f>
        <v>0</v>
      </c>
    </row>
    <row r="97" spans="1:56" ht="11.25" customHeight="1" x14ac:dyDescent="0.25">
      <c r="A97" s="9" t="s">
        <v>43</v>
      </c>
      <c r="B97" s="9" t="s">
        <v>1268</v>
      </c>
      <c r="C97" s="9" t="s">
        <v>1269</v>
      </c>
      <c r="D97" s="9" t="s">
        <v>1270</v>
      </c>
      <c r="E97" s="9" t="s">
        <v>1271</v>
      </c>
      <c r="F97" s="9" t="s">
        <v>1272</v>
      </c>
      <c r="G97" s="9" t="s">
        <v>1274</v>
      </c>
      <c r="L97" s="85">
        <f>$I$10*$L$10</f>
        <v>0</v>
      </c>
      <c r="M97" s="85">
        <f>$I$10*$M$10</f>
        <v>0</v>
      </c>
      <c r="N97" s="85">
        <f ca="1">$I$10*$N$10</f>
        <v>0</v>
      </c>
      <c r="O97" s="85">
        <f>$I$10*$O$10</f>
        <v>0</v>
      </c>
      <c r="P97" s="85">
        <f>$I$10*$P$10</f>
        <v>0</v>
      </c>
      <c r="Q97" s="85">
        <f>$I$10*$Q$10</f>
        <v>0</v>
      </c>
      <c r="R97" s="85">
        <f>$I$10*$R$10</f>
        <v>0</v>
      </c>
      <c r="S97" s="85">
        <f>$I$10*$S$10</f>
        <v>0</v>
      </c>
      <c r="T97" s="85">
        <f>$I$10*$T$10</f>
        <v>4735998.7950118054</v>
      </c>
      <c r="U97" s="85">
        <f>$I$10*$U$10</f>
        <v>1141971.396604659</v>
      </c>
      <c r="V97" s="85">
        <f>$I$10*$V$10</f>
        <v>125644.07786229654</v>
      </c>
      <c r="W97" s="85">
        <f>$I$10*$W$10</f>
        <v>0</v>
      </c>
      <c r="X97" s="85">
        <f>$I$10*$X$10</f>
        <v>0</v>
      </c>
      <c r="Y97" s="85">
        <f>$I$10*$Y$10</f>
        <v>0</v>
      </c>
      <c r="Z97" s="85">
        <f>$I$10*$Z$10</f>
        <v>0</v>
      </c>
      <c r="AA97" s="85">
        <f>$I$10*$AA$10</f>
        <v>221979.49457633309</v>
      </c>
      <c r="AB97" s="85">
        <f>$I$10*$AB$10</f>
        <v>0</v>
      </c>
      <c r="AC97" s="85">
        <f ca="1">$I$10*$AC$10</f>
        <v>0</v>
      </c>
      <c r="AD97" s="85">
        <f>$I$10*$AD$10</f>
        <v>0</v>
      </c>
      <c r="AE97" s="85">
        <f>$I$10*$AE$10</f>
        <v>0</v>
      </c>
      <c r="AF97" s="85">
        <f ca="1">$I$10*$AF$10</f>
        <v>0</v>
      </c>
      <c r="AG97" s="85">
        <f ca="1">$I$10*$AG$10</f>
        <v>0</v>
      </c>
      <c r="AI97" s="85">
        <f>$I$10*$AI$10</f>
        <v>0</v>
      </c>
      <c r="AJ97" s="85">
        <f>$I$10*$AJ$10</f>
        <v>0</v>
      </c>
      <c r="AK97" s="85">
        <f>$I$10*$AK$10</f>
        <v>0</v>
      </c>
      <c r="AL97" s="85">
        <f>$I$10*$AL$10</f>
        <v>0</v>
      </c>
      <c r="AM97" s="85">
        <f>$I$10*$AM$10</f>
        <v>0</v>
      </c>
      <c r="AN97" s="85">
        <f>$I$10*$AN$10</f>
        <v>0</v>
      </c>
      <c r="AO97" s="85">
        <f>$I$10*$AO$10</f>
        <v>0</v>
      </c>
      <c r="AP97" s="85">
        <f>$I$10*$AP$10</f>
        <v>0</v>
      </c>
      <c r="AQ97" s="85">
        <f>$I$10*$AQ$10</f>
        <v>2987473.8202636074</v>
      </c>
      <c r="AR97" s="85">
        <f>$I$10*$AR$10</f>
        <v>771992.77794842329</v>
      </c>
      <c r="AS97" s="85">
        <f>$I$10*$AS$10</f>
        <v>81463.308234898752</v>
      </c>
      <c r="AT97" s="85">
        <f>$I$10*$AT$10</f>
        <v>0</v>
      </c>
      <c r="AU97" s="85">
        <f>$I$10*$AU$10</f>
        <v>0</v>
      </c>
      <c r="AV97" s="85">
        <f>$I$10*$AV$10</f>
        <v>0</v>
      </c>
      <c r="AW97" s="85">
        <f>$I$10*$AW$10</f>
        <v>0</v>
      </c>
      <c r="AX97" s="85">
        <f>$I$10*$AX$10</f>
        <v>215325.52443595012</v>
      </c>
      <c r="AY97" s="85">
        <f>$I$10*$AY$10</f>
        <v>0</v>
      </c>
      <c r="AZ97" s="85">
        <f>$I$10*$AZ$10</f>
        <v>0</v>
      </c>
      <c r="BA97" s="85">
        <f>$I$10*$BA$10</f>
        <v>0</v>
      </c>
      <c r="BB97" s="85">
        <f>$I$10*$BB$10</f>
        <v>0</v>
      </c>
      <c r="BC97" s="85">
        <f>$I$10*$BC$10</f>
        <v>0</v>
      </c>
      <c r="BD97" s="85">
        <f>$I$10*$BD$10</f>
        <v>0</v>
      </c>
    </row>
    <row r="98" spans="1:56" ht="11.25" customHeight="1" x14ac:dyDescent="0.25">
      <c r="A98" s="9" t="s">
        <v>43</v>
      </c>
      <c r="B98" s="9" t="s">
        <v>1268</v>
      </c>
      <c r="C98" s="9" t="s">
        <v>1269</v>
      </c>
      <c r="D98" s="9" t="s">
        <v>1270</v>
      </c>
      <c r="E98" s="9" t="s">
        <v>1271</v>
      </c>
      <c r="F98" s="9" t="s">
        <v>1272</v>
      </c>
      <c r="G98" s="9" t="s">
        <v>1275</v>
      </c>
      <c r="L98" s="85">
        <f>$I$11*$L$11</f>
        <v>0</v>
      </c>
      <c r="M98" s="85">
        <f>$I$11*$M$11</f>
        <v>0</v>
      </c>
      <c r="N98" s="85">
        <f ca="1">$I$11*$N$11</f>
        <v>0</v>
      </c>
      <c r="O98" s="85">
        <f>$I$11*$O$11</f>
        <v>0</v>
      </c>
      <c r="P98" s="85">
        <f>$I$11*$P$11</f>
        <v>0</v>
      </c>
      <c r="Q98" s="85">
        <f>$I$11*$Q$11</f>
        <v>0</v>
      </c>
      <c r="R98" s="85">
        <f>$I$11*$R$11</f>
        <v>0</v>
      </c>
      <c r="S98" s="85">
        <f>$I$11*$S$11</f>
        <v>0</v>
      </c>
      <c r="T98" s="85">
        <f>$I$11*$T$11</f>
        <v>0</v>
      </c>
      <c r="U98" s="85">
        <f>$I$11*$U$11</f>
        <v>0</v>
      </c>
      <c r="V98" s="85">
        <f>$I$11*$V$11</f>
        <v>0</v>
      </c>
      <c r="W98" s="85">
        <f>$I$11*$W$11</f>
        <v>0</v>
      </c>
      <c r="X98" s="85">
        <f>$I$11*$X$11</f>
        <v>0</v>
      </c>
      <c r="Y98" s="85">
        <f>$I$11*$Y$11</f>
        <v>0</v>
      </c>
      <c r="Z98" s="85">
        <f>$I$11*$Z$11</f>
        <v>0</v>
      </c>
      <c r="AA98" s="85">
        <f>$I$11*$AA$11</f>
        <v>0</v>
      </c>
      <c r="AB98" s="85">
        <f>$I$11*$AB$11</f>
        <v>0</v>
      </c>
      <c r="AC98" s="85">
        <f ca="1">$I$11*$AC$11</f>
        <v>0</v>
      </c>
      <c r="AD98" s="85">
        <f>$I$11*$AD$11</f>
        <v>710724.02005223441</v>
      </c>
      <c r="AE98" s="85">
        <f>$I$11*$AE$11</f>
        <v>26714.940005603672</v>
      </c>
      <c r="AF98" s="85">
        <f ca="1">$I$11*$AF$11</f>
        <v>0</v>
      </c>
      <c r="AG98" s="85">
        <f ca="1">$I$11*$AG$11</f>
        <v>0</v>
      </c>
      <c r="AI98" s="85">
        <f>$I$11*$AI$11</f>
        <v>0</v>
      </c>
      <c r="AJ98" s="85">
        <f>$I$11*$AJ$11</f>
        <v>0</v>
      </c>
      <c r="AK98" s="85">
        <f>$I$11*$AK$11</f>
        <v>0</v>
      </c>
      <c r="AL98" s="85">
        <f>$I$11*$AL$11</f>
        <v>0</v>
      </c>
      <c r="AM98" s="85">
        <f>$I$11*$AM$11</f>
        <v>0</v>
      </c>
      <c r="AN98" s="85">
        <f>$I$11*$AN$11</f>
        <v>0</v>
      </c>
      <c r="AO98" s="85">
        <f>$I$11*$AO$11</f>
        <v>0</v>
      </c>
      <c r="AP98" s="85">
        <f>$I$11*$AP$11</f>
        <v>0</v>
      </c>
      <c r="AQ98" s="85">
        <f>$I$11*$AQ$11</f>
        <v>0</v>
      </c>
      <c r="AR98" s="85">
        <f>$I$11*$AR$11</f>
        <v>0</v>
      </c>
      <c r="AS98" s="85">
        <f>$I$11*$AS$11</f>
        <v>0</v>
      </c>
      <c r="AT98" s="85">
        <f>$I$11*$AT$11</f>
        <v>0</v>
      </c>
      <c r="AU98" s="85">
        <f>$I$11*$AU$11</f>
        <v>0</v>
      </c>
      <c r="AV98" s="85">
        <f>$I$11*$AV$11</f>
        <v>0</v>
      </c>
      <c r="AW98" s="85">
        <f>$I$11*$AW$11</f>
        <v>0</v>
      </c>
      <c r="AX98" s="85">
        <f>$I$11*$AX$11</f>
        <v>0</v>
      </c>
      <c r="AY98" s="85">
        <f>$I$11*$AY$11</f>
        <v>0</v>
      </c>
      <c r="AZ98" s="85">
        <f>$I$11*$AZ$11</f>
        <v>0</v>
      </c>
      <c r="BA98" s="85">
        <f>$I$11*$BA$11</f>
        <v>856209.66767977597</v>
      </c>
      <c r="BB98" s="85">
        <f>$I$11*$BB$11</f>
        <v>32045.670904646937</v>
      </c>
      <c r="BC98" s="85">
        <f>$I$11*$BC$11</f>
        <v>0</v>
      </c>
      <c r="BD98" s="85">
        <f>$I$11*$BD$11</f>
        <v>0</v>
      </c>
    </row>
    <row r="99" spans="1:56" ht="11.25" customHeight="1" x14ac:dyDescent="0.25">
      <c r="A99" s="9" t="s">
        <v>43</v>
      </c>
      <c r="B99" s="9" t="s">
        <v>1276</v>
      </c>
      <c r="C99" s="9" t="s">
        <v>1277</v>
      </c>
      <c r="D99" s="9" t="s">
        <v>1278</v>
      </c>
      <c r="E99" s="9" t="s">
        <v>1279</v>
      </c>
      <c r="F99" s="9" t="s">
        <v>1280</v>
      </c>
      <c r="G99" s="9" t="s">
        <v>1281</v>
      </c>
      <c r="L99" s="85">
        <f>$I$12*$L$12</f>
        <v>0</v>
      </c>
      <c r="M99" s="85">
        <f>$I$12*$M$12</f>
        <v>116716.78330198389</v>
      </c>
      <c r="N99" s="85">
        <f ca="1">$I$12*$N$12</f>
        <v>315276.41279402078</v>
      </c>
      <c r="O99" s="85">
        <f>$I$12*$O$12</f>
        <v>0</v>
      </c>
      <c r="P99" s="85">
        <f>$I$12*$P$12</f>
        <v>0</v>
      </c>
      <c r="Q99" s="85">
        <f>$I$12*$Q$12</f>
        <v>0</v>
      </c>
      <c r="R99" s="85">
        <f>$I$12*$R$12</f>
        <v>0</v>
      </c>
      <c r="S99" s="85">
        <f>$I$12*$S$12</f>
        <v>0</v>
      </c>
      <c r="T99" s="85">
        <f>$I$12*$T$12</f>
        <v>0</v>
      </c>
      <c r="U99" s="85">
        <f>$I$12*$U$12</f>
        <v>1040888.2605812125</v>
      </c>
      <c r="V99" s="85">
        <f>$I$12*$V$12</f>
        <v>75617.853850716565</v>
      </c>
      <c r="W99" s="85">
        <f>$I$12*$W$12</f>
        <v>0</v>
      </c>
      <c r="X99" s="85">
        <f>$I$12*$X$12</f>
        <v>0</v>
      </c>
      <c r="Y99" s="85">
        <f>$I$12*$Y$12</f>
        <v>0</v>
      </c>
      <c r="Z99" s="85">
        <f>$I$12*$Z$12</f>
        <v>538632.54414751485</v>
      </c>
      <c r="AA99" s="85">
        <f>$I$12*$AA$12</f>
        <v>3418122.6</v>
      </c>
      <c r="AB99" s="85">
        <f ca="1">$I$12*$AB$12</f>
        <v>0</v>
      </c>
      <c r="AC99" s="85">
        <f ca="1">$I$12*$AC$12</f>
        <v>0</v>
      </c>
      <c r="AD99" s="85">
        <f>$I$12*$AD$12</f>
        <v>0</v>
      </c>
      <c r="AE99" s="85">
        <f>$I$12*$AE$12</f>
        <v>0</v>
      </c>
      <c r="AF99" s="85">
        <f ca="1">$I$12*$AF$12</f>
        <v>0</v>
      </c>
      <c r="AG99" s="85">
        <f ca="1">$I$12*$AG$12</f>
        <v>0</v>
      </c>
      <c r="AI99" s="85">
        <f>$I$12*$AI$12</f>
        <v>0</v>
      </c>
      <c r="AJ99" s="85">
        <f>$I$12*$AJ$12</f>
        <v>104279.34198418853</v>
      </c>
      <c r="AK99" s="85">
        <f>$I$12*$AK$12</f>
        <v>268556.78734514437</v>
      </c>
      <c r="AL99" s="85">
        <f>$I$12*$AL$12</f>
        <v>0</v>
      </c>
      <c r="AM99" s="85">
        <f>$I$12*$AM$12</f>
        <v>0</v>
      </c>
      <c r="AN99" s="85">
        <f>$I$12*$AN$12</f>
        <v>0</v>
      </c>
      <c r="AO99" s="85">
        <f>$I$12*$AO$12</f>
        <v>0</v>
      </c>
      <c r="AP99" s="85">
        <f>$I$12*$AP$12</f>
        <v>0</v>
      </c>
      <c r="AQ99" s="85">
        <f>$I$12*$AQ$12</f>
        <v>0</v>
      </c>
      <c r="AR99" s="85">
        <f>$I$12*$AR$12</f>
        <v>829820.5180609508</v>
      </c>
      <c r="AS99" s="85">
        <f>$I$12*$AS$12</f>
        <v>65489.087818738684</v>
      </c>
      <c r="AT99" s="85">
        <f>$I$12*$AT$12</f>
        <v>0</v>
      </c>
      <c r="AU99" s="85">
        <f>$I$12*$AU$12</f>
        <v>0</v>
      </c>
      <c r="AV99" s="85">
        <f>$I$12*$AV$12</f>
        <v>0</v>
      </c>
      <c r="AW99" s="85">
        <f>$I$12*$AW$12</f>
        <v>446307.25054534985</v>
      </c>
      <c r="AX99" s="85">
        <f>$I$12*$AX$12</f>
        <v>2897164.8000000003</v>
      </c>
      <c r="AY99" s="85">
        <f>$I$12*$AY$12</f>
        <v>0</v>
      </c>
      <c r="AZ99" s="85">
        <f>$I$12*$AZ$12</f>
        <v>0</v>
      </c>
      <c r="BA99" s="85">
        <f>$I$12*$BA$12</f>
        <v>0</v>
      </c>
      <c r="BB99" s="85">
        <f>$I$12*$BB$12</f>
        <v>0</v>
      </c>
      <c r="BC99" s="85">
        <f>$I$12*$BC$12</f>
        <v>0</v>
      </c>
      <c r="BD99" s="85">
        <f>$I$12*$BD$12</f>
        <v>0</v>
      </c>
    </row>
    <row r="100" spans="1:56" ht="11.25" customHeight="1" x14ac:dyDescent="0.25">
      <c r="A100" s="9" t="s">
        <v>43</v>
      </c>
      <c r="B100" s="9" t="s">
        <v>1276</v>
      </c>
      <c r="C100" s="9" t="s">
        <v>1277</v>
      </c>
      <c r="D100" s="9" t="s">
        <v>1278</v>
      </c>
      <c r="E100" s="9" t="s">
        <v>1279</v>
      </c>
      <c r="F100" s="9" t="s">
        <v>1282</v>
      </c>
      <c r="G100" s="9" t="s">
        <v>1283</v>
      </c>
      <c r="L100" s="85">
        <f>$I$13*$L$13</f>
        <v>0</v>
      </c>
      <c r="M100" s="85">
        <f>$I$13*$M$13</f>
        <v>70228.332190677</v>
      </c>
      <c r="N100" s="85">
        <f ca="1">$I$13*$N$13</f>
        <v>189771.92920998172</v>
      </c>
      <c r="O100" s="85">
        <f>$I$13*$O$13</f>
        <v>0</v>
      </c>
      <c r="P100" s="85">
        <f>$I$13*$P$13</f>
        <v>0</v>
      </c>
      <c r="Q100" s="85">
        <f>$I$13*$Q$13</f>
        <v>0</v>
      </c>
      <c r="R100" s="85">
        <f>$I$13*$R$13</f>
        <v>0</v>
      </c>
      <c r="S100" s="85">
        <f>$I$13*$S$13</f>
        <v>0</v>
      </c>
      <c r="T100" s="85">
        <f>$I$13*$T$13</f>
        <v>0</v>
      </c>
      <c r="U100" s="85">
        <f>$I$13*$U$13</f>
        <v>626328.91132424842</v>
      </c>
      <c r="V100" s="85">
        <f>$I$13*$V$13</f>
        <v>45553.526558360623</v>
      </c>
      <c r="W100" s="85">
        <f>$I$13*$W$13</f>
        <v>0</v>
      </c>
      <c r="X100" s="85">
        <f>$I$13*$X$13</f>
        <v>0</v>
      </c>
      <c r="Y100" s="85">
        <f>$I$13*$Y$13</f>
        <v>0</v>
      </c>
      <c r="Z100" s="85">
        <f>$I$13*$Z$13</f>
        <v>374230.64312257059</v>
      </c>
      <c r="AA100" s="85">
        <f>$I$13*$AA$13</f>
        <v>2056797</v>
      </c>
      <c r="AB100" s="85">
        <f ca="1">$I$13*$AB$13</f>
        <v>0</v>
      </c>
      <c r="AC100" s="85">
        <f ca="1">$I$13*$AC$13</f>
        <v>0</v>
      </c>
      <c r="AD100" s="85">
        <f>$I$13*$AD$13</f>
        <v>0</v>
      </c>
      <c r="AE100" s="85">
        <f>$I$13*$AE$13</f>
        <v>0</v>
      </c>
      <c r="AF100" s="85">
        <f ca="1">$I$13*$AF$13</f>
        <v>0</v>
      </c>
      <c r="AG100" s="85">
        <f ca="1">$I$13*$AG$13</f>
        <v>0</v>
      </c>
      <c r="AI100" s="85">
        <f>$I$13*$AI$13</f>
        <v>0</v>
      </c>
      <c r="AJ100" s="85">
        <f>$I$13*$AJ$13</f>
        <v>62743.273597886488</v>
      </c>
      <c r="AK100" s="85">
        <f>$I$13*$AK$13</f>
        <v>161660.62242620665</v>
      </c>
      <c r="AL100" s="85">
        <f>$I$13*$AL$13</f>
        <v>0</v>
      </c>
      <c r="AM100" s="85">
        <f>$I$13*$AM$13</f>
        <v>0</v>
      </c>
      <c r="AN100" s="85">
        <f>$I$13*$AN$13</f>
        <v>0</v>
      </c>
      <c r="AO100" s="85">
        <f>$I$13*$AO$13</f>
        <v>0</v>
      </c>
      <c r="AP100" s="85">
        <f>$I$13*$AP$13</f>
        <v>0</v>
      </c>
      <c r="AQ100" s="85">
        <f>$I$13*$AQ$13</f>
        <v>0</v>
      </c>
      <c r="AR100" s="85">
        <f>$I$13*$AR$13</f>
        <v>499312.15877631825</v>
      </c>
      <c r="AS100" s="85">
        <f>$I$13*$AS$13</f>
        <v>39334.501663452575</v>
      </c>
      <c r="AT100" s="85">
        <f>$I$13*$AT$13</f>
        <v>0</v>
      </c>
      <c r="AU100" s="85">
        <f>$I$13*$AU$13</f>
        <v>0</v>
      </c>
      <c r="AV100" s="85">
        <f>$I$13*$AV$13</f>
        <v>0</v>
      </c>
      <c r="AW100" s="85">
        <f>$I$13*$AW$13</f>
        <v>310084.95720620692</v>
      </c>
      <c r="AX100" s="85">
        <f>$I$13*$AX$13</f>
        <v>1743321</v>
      </c>
      <c r="AY100" s="85">
        <f>$I$13*$AY$13</f>
        <v>0</v>
      </c>
      <c r="AZ100" s="85">
        <f>$I$13*$AZ$13</f>
        <v>0</v>
      </c>
      <c r="BA100" s="85">
        <f>$I$13*$BA$13</f>
        <v>0</v>
      </c>
      <c r="BB100" s="85">
        <f>$I$13*$BB$13</f>
        <v>0</v>
      </c>
      <c r="BC100" s="85">
        <f>$I$13*$BC$13</f>
        <v>0</v>
      </c>
      <c r="BD100" s="85">
        <f>$I$13*$BD$13</f>
        <v>0</v>
      </c>
    </row>
    <row r="101" spans="1:56" ht="11.25" customHeight="1" x14ac:dyDescent="0.25">
      <c r="A101" s="9" t="s">
        <v>43</v>
      </c>
      <c r="B101" s="9" t="s">
        <v>1276</v>
      </c>
      <c r="C101" s="9" t="s">
        <v>1277</v>
      </c>
      <c r="D101" s="9" t="s">
        <v>1278</v>
      </c>
      <c r="E101" s="9" t="s">
        <v>1279</v>
      </c>
      <c r="F101" s="9" t="s">
        <v>1284</v>
      </c>
      <c r="G101" s="9" t="s">
        <v>1285</v>
      </c>
      <c r="L101" s="85">
        <f>$I$14*$L$14</f>
        <v>0</v>
      </c>
      <c r="M101" s="85">
        <f>$I$14*$M$14</f>
        <v>0</v>
      </c>
      <c r="N101" s="85">
        <f ca="1">$I$14*$N$14</f>
        <v>0</v>
      </c>
      <c r="O101" s="85">
        <f>$I$14*$O$14</f>
        <v>0</v>
      </c>
      <c r="P101" s="85">
        <f>$I$14*$P$14</f>
        <v>0</v>
      </c>
      <c r="Q101" s="85">
        <f>$I$14*$Q$14</f>
        <v>0</v>
      </c>
      <c r="R101" s="85">
        <f>$I$14*$R$14</f>
        <v>0</v>
      </c>
      <c r="S101" s="85">
        <f>$I$14*$S$14</f>
        <v>0</v>
      </c>
      <c r="T101" s="85">
        <f>$I$14*$T$14</f>
        <v>0</v>
      </c>
      <c r="U101" s="85">
        <f>$I$14*$U$14</f>
        <v>0</v>
      </c>
      <c r="V101" s="85">
        <f>$I$14*$V$14</f>
        <v>0</v>
      </c>
      <c r="W101" s="85">
        <f>$I$14*$W$14</f>
        <v>0</v>
      </c>
      <c r="X101" s="85">
        <f>$I$14*$X$14</f>
        <v>0</v>
      </c>
      <c r="Y101" s="85">
        <f>$I$14*$Y$14</f>
        <v>0</v>
      </c>
      <c r="Z101" s="85">
        <f>$I$14*$Z$14</f>
        <v>0</v>
      </c>
      <c r="AA101" s="85">
        <f>$I$14*$AA$14</f>
        <v>0</v>
      </c>
      <c r="AB101" s="85">
        <f ca="1">$I$14*$AB$14</f>
        <v>0</v>
      </c>
      <c r="AC101" s="85">
        <f ca="1">$I$14*$AC$14</f>
        <v>0</v>
      </c>
      <c r="AD101" s="85">
        <f>$I$14*$AD$14</f>
        <v>0</v>
      </c>
      <c r="AE101" s="85">
        <f>$I$14*$AE$14</f>
        <v>0</v>
      </c>
      <c r="AF101" s="85">
        <f ca="1">$I$14*$AF$14</f>
        <v>0</v>
      </c>
      <c r="AG101" s="85">
        <f ca="1">$I$14*$AG$14</f>
        <v>0</v>
      </c>
      <c r="AI101" s="85">
        <f>$I$14*$AI$14</f>
        <v>0</v>
      </c>
      <c r="AJ101" s="85">
        <f>$I$14*$AJ$14</f>
        <v>0</v>
      </c>
      <c r="AK101" s="85">
        <f>$I$14*$AK$14</f>
        <v>0</v>
      </c>
      <c r="AL101" s="85">
        <f>$I$14*$AL$14</f>
        <v>0</v>
      </c>
      <c r="AM101" s="85">
        <f>$I$14*$AM$14</f>
        <v>0</v>
      </c>
      <c r="AN101" s="85">
        <f>$I$14*$AN$14</f>
        <v>0</v>
      </c>
      <c r="AO101" s="85">
        <f>$I$14*$AO$14</f>
        <v>0</v>
      </c>
      <c r="AP101" s="85">
        <f>$I$14*$AP$14</f>
        <v>0</v>
      </c>
      <c r="AQ101" s="85">
        <f>$I$14*$AQ$14</f>
        <v>0</v>
      </c>
      <c r="AR101" s="85">
        <f>$I$14*$AR$14</f>
        <v>0</v>
      </c>
      <c r="AS101" s="85">
        <f>$I$14*$AS$14</f>
        <v>0</v>
      </c>
      <c r="AT101" s="85">
        <f>$I$14*$AT$14</f>
        <v>0</v>
      </c>
      <c r="AU101" s="85">
        <f>$I$14*$AU$14</f>
        <v>0</v>
      </c>
      <c r="AV101" s="85">
        <f>$I$14*$AV$14</f>
        <v>0</v>
      </c>
      <c r="AW101" s="85">
        <f>$I$14*$AW$14</f>
        <v>0</v>
      </c>
      <c r="AX101" s="85">
        <f>$I$14*$AX$14</f>
        <v>0</v>
      </c>
      <c r="AY101" s="85">
        <f>$I$14*$AY$14</f>
        <v>0</v>
      </c>
      <c r="AZ101" s="85">
        <f>$I$14*$AZ$14</f>
        <v>0</v>
      </c>
      <c r="BA101" s="85">
        <f>$I$14*$BA$14</f>
        <v>0</v>
      </c>
      <c r="BB101" s="85">
        <f>$I$14*$BB$14</f>
        <v>0</v>
      </c>
      <c r="BC101" s="85">
        <f>$I$14*$BC$14</f>
        <v>0</v>
      </c>
      <c r="BD101" s="85">
        <f>$I$14*$BD$14</f>
        <v>0</v>
      </c>
    </row>
    <row r="102" spans="1:56" ht="11.25" customHeight="1" x14ac:dyDescent="0.25">
      <c r="A102" s="9" t="s">
        <v>45</v>
      </c>
      <c r="B102" s="9" t="s">
        <v>1286</v>
      </c>
      <c r="C102" s="9" t="s">
        <v>1287</v>
      </c>
      <c r="D102" s="9" t="s">
        <v>1288</v>
      </c>
      <c r="E102" s="9" t="s">
        <v>1289</v>
      </c>
      <c r="F102" s="9" t="s">
        <v>1290</v>
      </c>
      <c r="G102" s="9" t="s">
        <v>1291</v>
      </c>
      <c r="L102" s="85">
        <f>$I$15*$L$15</f>
        <v>0</v>
      </c>
      <c r="M102" s="85">
        <f>$I$15*$M$15</f>
        <v>0</v>
      </c>
      <c r="N102" s="85">
        <f ca="1">$I$15*$N$15</f>
        <v>0</v>
      </c>
      <c r="O102" s="85">
        <f>$I$15*$O$15</f>
        <v>0</v>
      </c>
      <c r="P102" s="85">
        <f>$I$15*$P$15</f>
        <v>0</v>
      </c>
      <c r="Q102" s="85">
        <f>$I$15*$Q$15</f>
        <v>0</v>
      </c>
      <c r="R102" s="85">
        <f>$I$15*$R$15</f>
        <v>0</v>
      </c>
      <c r="S102" s="85">
        <f>$I$15*$S$15</f>
        <v>0</v>
      </c>
      <c r="T102" s="85">
        <f>$I$15*$T$15</f>
        <v>695167.30604573339</v>
      </c>
      <c r="U102" s="85">
        <f>$I$15*$U$15</f>
        <v>184617.54408747406</v>
      </c>
      <c r="V102" s="85">
        <f>$I$15*$V$15</f>
        <v>23582.386104455247</v>
      </c>
      <c r="W102" s="85">
        <f>$I$15*$W$15</f>
        <v>0</v>
      </c>
      <c r="X102" s="85">
        <f>$I$15*$X$15</f>
        <v>0</v>
      </c>
      <c r="Y102" s="85">
        <f>$I$15*$Y$15</f>
        <v>0</v>
      </c>
      <c r="Z102" s="85">
        <f>$I$15*$Z$15</f>
        <v>0</v>
      </c>
      <c r="AA102" s="85">
        <f>$I$15*$AA$15</f>
        <v>1435681.7905342723</v>
      </c>
      <c r="AB102" s="85">
        <f ca="1">$I$15*$AB$15</f>
        <v>0</v>
      </c>
      <c r="AC102" s="85">
        <f ca="1">$I$15*$AC$15</f>
        <v>0</v>
      </c>
      <c r="AD102" s="85">
        <f>$I$15*$AD$15</f>
        <v>0</v>
      </c>
      <c r="AE102" s="85">
        <f>$I$15*$AE$15</f>
        <v>0</v>
      </c>
      <c r="AF102" s="85">
        <f ca="1">$I$15*$AF$15</f>
        <v>0</v>
      </c>
      <c r="AG102" s="85">
        <f ca="1">$I$15*$AG$15</f>
        <v>0</v>
      </c>
      <c r="AI102" s="85">
        <f>$I$15*$AI$15</f>
        <v>0</v>
      </c>
      <c r="AJ102" s="85">
        <f>$I$15*$AJ$15</f>
        <v>0</v>
      </c>
      <c r="AK102" s="85">
        <f>$I$15*$AK$15</f>
        <v>0</v>
      </c>
      <c r="AL102" s="85">
        <f>$I$15*$AL$15</f>
        <v>0</v>
      </c>
      <c r="AM102" s="85">
        <f>$I$15*$AM$15</f>
        <v>0</v>
      </c>
      <c r="AN102" s="85">
        <f>$I$15*$AN$15</f>
        <v>0</v>
      </c>
      <c r="AO102" s="85">
        <f>$I$15*$AO$15</f>
        <v>0</v>
      </c>
      <c r="AP102" s="85">
        <f>$I$15*$AP$15</f>
        <v>0</v>
      </c>
      <c r="AQ102" s="85">
        <f>$I$15*$AQ$15</f>
        <v>438512.38511762145</v>
      </c>
      <c r="AR102" s="85">
        <f>$I$15*$AR$15</f>
        <v>124804.71152067314</v>
      </c>
      <c r="AS102" s="85">
        <f>$I$15*$AS$15</f>
        <v>15290.009850262262</v>
      </c>
      <c r="AT102" s="85">
        <f>$I$15*$AT$15</f>
        <v>0</v>
      </c>
      <c r="AU102" s="85">
        <f>$I$15*$AU$15</f>
        <v>0</v>
      </c>
      <c r="AV102" s="85">
        <f>$I$15*$AV$15</f>
        <v>0</v>
      </c>
      <c r="AW102" s="85">
        <f>$I$15*$AW$15</f>
        <v>0</v>
      </c>
      <c r="AX102" s="85">
        <f>$I$15*$AX$15</f>
        <v>1392646.3570878687</v>
      </c>
      <c r="AY102" s="85">
        <f>$I$15*$AY$15</f>
        <v>0</v>
      </c>
      <c r="AZ102" s="85">
        <f>$I$15*$AZ$15</f>
        <v>0</v>
      </c>
      <c r="BA102" s="85">
        <f>$I$15*$BA$15</f>
        <v>0</v>
      </c>
      <c r="BB102" s="85">
        <f>$I$15*$BB$15</f>
        <v>0</v>
      </c>
      <c r="BC102" s="85">
        <f>$I$15*$BC$15</f>
        <v>0</v>
      </c>
      <c r="BD102" s="85">
        <f>$I$15*$BD$15</f>
        <v>0</v>
      </c>
    </row>
    <row r="103" spans="1:56" ht="11.25" customHeight="1" x14ac:dyDescent="0.25">
      <c r="A103" s="9" t="s">
        <v>45</v>
      </c>
      <c r="B103" s="9" t="s">
        <v>1286</v>
      </c>
      <c r="C103" s="9" t="s">
        <v>1287</v>
      </c>
      <c r="D103" s="9" t="s">
        <v>1288</v>
      </c>
      <c r="E103" s="9" t="s">
        <v>1289</v>
      </c>
      <c r="F103" s="9" t="s">
        <v>1290</v>
      </c>
      <c r="G103" s="9" t="s">
        <v>1292</v>
      </c>
      <c r="L103" s="85">
        <f>$I$16*$L$16</f>
        <v>0</v>
      </c>
      <c r="M103" s="85">
        <f>$I$16*$M$16</f>
        <v>0</v>
      </c>
      <c r="N103" s="85">
        <f ca="1">$I$16*$N$16</f>
        <v>0</v>
      </c>
      <c r="O103" s="85">
        <f>$I$16*$O$16</f>
        <v>0</v>
      </c>
      <c r="P103" s="85">
        <f>$I$16*$P$16</f>
        <v>0</v>
      </c>
      <c r="Q103" s="85">
        <f>$I$16*$Q$16</f>
        <v>0</v>
      </c>
      <c r="R103" s="85">
        <f>$I$16*$R$16</f>
        <v>0</v>
      </c>
      <c r="S103" s="85">
        <f>$I$16*$S$16</f>
        <v>0</v>
      </c>
      <c r="T103" s="85">
        <f>$I$16*$T$16</f>
        <v>524362.57221229339</v>
      </c>
      <c r="U103" s="85">
        <f>$I$16*$U$16</f>
        <v>151545.29345131625</v>
      </c>
      <c r="V103" s="85">
        <f>$I$16*$V$16</f>
        <v>17410.01332750791</v>
      </c>
      <c r="W103" s="85">
        <f>$I$16*$W$16</f>
        <v>0</v>
      </c>
      <c r="X103" s="85">
        <f>$I$16*$X$16</f>
        <v>0</v>
      </c>
      <c r="Y103" s="85">
        <f>$I$16*$Y$16</f>
        <v>0</v>
      </c>
      <c r="Z103" s="85">
        <f>$I$16*$Z$16</f>
        <v>0</v>
      </c>
      <c r="AA103" s="85">
        <f>$I$16*$AA$16</f>
        <v>442515.40106565785</v>
      </c>
      <c r="AB103" s="85">
        <f ca="1">$I$16*$AB$16</f>
        <v>0</v>
      </c>
      <c r="AC103" s="85">
        <f ca="1">$I$16*$AC$16</f>
        <v>0</v>
      </c>
      <c r="AD103" s="85">
        <f>$I$16*$AD$16</f>
        <v>0</v>
      </c>
      <c r="AE103" s="85">
        <f>$I$16*$AE$16</f>
        <v>0</v>
      </c>
      <c r="AF103" s="85">
        <f ca="1">$I$16*$AF$16</f>
        <v>0</v>
      </c>
      <c r="AG103" s="85">
        <f ca="1">$I$16*$AG$16</f>
        <v>0</v>
      </c>
      <c r="AI103" s="85">
        <f>$I$16*$AI$16</f>
        <v>0</v>
      </c>
      <c r="AJ103" s="85">
        <f>$I$16*$AJ$16</f>
        <v>0</v>
      </c>
      <c r="AK103" s="85">
        <f>$I$16*$AK$16</f>
        <v>0</v>
      </c>
      <c r="AL103" s="85">
        <f>$I$16*$AL$16</f>
        <v>0</v>
      </c>
      <c r="AM103" s="85">
        <f>$I$16*$AM$16</f>
        <v>0</v>
      </c>
      <c r="AN103" s="85">
        <f>$I$16*$AN$16</f>
        <v>0</v>
      </c>
      <c r="AO103" s="85">
        <f>$I$16*$AO$16</f>
        <v>0</v>
      </c>
      <c r="AP103" s="85">
        <f>$I$16*$AP$16</f>
        <v>0</v>
      </c>
      <c r="AQ103" s="85">
        <f>$I$16*$AQ$16</f>
        <v>330768.55054529384</v>
      </c>
      <c r="AR103" s="85">
        <f>$I$16*$AR$16</f>
        <v>102447.28758034865</v>
      </c>
      <c r="AS103" s="85">
        <f>$I$16*$AS$16</f>
        <v>11288.055165058175</v>
      </c>
      <c r="AT103" s="85">
        <f>$I$16*$AT$16</f>
        <v>0</v>
      </c>
      <c r="AU103" s="85">
        <f>$I$16*$AU$16</f>
        <v>0</v>
      </c>
      <c r="AV103" s="85">
        <f>$I$16*$AV$16</f>
        <v>0</v>
      </c>
      <c r="AW103" s="85">
        <f>$I$16*$AW$16</f>
        <v>0</v>
      </c>
      <c r="AX103" s="85">
        <f>$I$16*$AX$16</f>
        <v>429250.73321437591</v>
      </c>
      <c r="AY103" s="85">
        <f>$I$16*$AY$16</f>
        <v>0</v>
      </c>
      <c r="AZ103" s="85">
        <f>$I$16*$AZ$16</f>
        <v>0</v>
      </c>
      <c r="BA103" s="85">
        <f>$I$16*$BA$16</f>
        <v>0</v>
      </c>
      <c r="BB103" s="85">
        <f>$I$16*$BB$16</f>
        <v>0</v>
      </c>
      <c r="BC103" s="85">
        <f>$I$16*$BC$16</f>
        <v>0</v>
      </c>
      <c r="BD103" s="85">
        <f>$I$16*$BD$16</f>
        <v>0</v>
      </c>
    </row>
    <row r="104" spans="1:56" ht="11.25" customHeight="1" x14ac:dyDescent="0.25">
      <c r="A104" s="9" t="s">
        <v>45</v>
      </c>
      <c r="B104" s="9" t="s">
        <v>1286</v>
      </c>
      <c r="C104" s="9" t="s">
        <v>1287</v>
      </c>
      <c r="D104" s="9" t="s">
        <v>1288</v>
      </c>
      <c r="E104" s="9" t="s">
        <v>1289</v>
      </c>
      <c r="F104" s="9" t="s">
        <v>1290</v>
      </c>
      <c r="G104" s="9" t="s">
        <v>1293</v>
      </c>
      <c r="L104" s="85">
        <f>$I$17*$L$17</f>
        <v>0</v>
      </c>
      <c r="M104" s="85">
        <f>$I$17*$M$17</f>
        <v>7959.1716080611232</v>
      </c>
      <c r="N104" s="85">
        <f ca="1">$I$17*$N$17</f>
        <v>18475.736463737823</v>
      </c>
      <c r="O104" s="85">
        <f>$I$17*$O$17</f>
        <v>0</v>
      </c>
      <c r="P104" s="85">
        <f>$I$17*$P$17</f>
        <v>0</v>
      </c>
      <c r="Q104" s="85">
        <f>$I$17*$Q$17</f>
        <v>2315712.9887795285</v>
      </c>
      <c r="R104" s="85">
        <f>$I$17*$R$17</f>
        <v>273519.67594133841</v>
      </c>
      <c r="S104" s="85">
        <f>$I$17*$S$17</f>
        <v>0</v>
      </c>
      <c r="T104" s="85">
        <f>$I$17*$T$17</f>
        <v>0</v>
      </c>
      <c r="U104" s="85">
        <f>$I$17*$U$17</f>
        <v>0</v>
      </c>
      <c r="V104" s="85">
        <f>$I$17*$V$17</f>
        <v>0</v>
      </c>
      <c r="W104" s="85">
        <f>$I$17*$W$17</f>
        <v>0</v>
      </c>
      <c r="X104" s="85">
        <f>$I$17*$X$17</f>
        <v>0</v>
      </c>
      <c r="Y104" s="85">
        <f>$I$17*$Y$17</f>
        <v>0</v>
      </c>
      <c r="Z104" s="85">
        <f>$I$17*$Z$17</f>
        <v>0</v>
      </c>
      <c r="AA104" s="85">
        <f>$I$17*$AA$17</f>
        <v>0</v>
      </c>
      <c r="AB104" s="85">
        <f ca="1">$I$17*$AB$17</f>
        <v>0</v>
      </c>
      <c r="AC104" s="85">
        <f ca="1">$I$17*$AC$17</f>
        <v>0</v>
      </c>
      <c r="AD104" s="85">
        <f>$I$17*$AD$17</f>
        <v>416170.37363080506</v>
      </c>
      <c r="AE104" s="85">
        <f>$I$17*$AE$17</f>
        <v>15643.155781958103</v>
      </c>
      <c r="AF104" s="85">
        <f ca="1">$I$17*$AF$17</f>
        <v>305143.74408100481</v>
      </c>
      <c r="AG104" s="85">
        <f ca="1">$I$17*$AG$17</f>
        <v>78432.14617904232</v>
      </c>
      <c r="AI104" s="85">
        <f>$I$17*$AI$17</f>
        <v>0</v>
      </c>
      <c r="AJ104" s="85">
        <f>$I$17*$AJ$17</f>
        <v>7938.6580851899198</v>
      </c>
      <c r="AK104" s="85">
        <f>$I$17*$AK$17</f>
        <v>18138.83280485174</v>
      </c>
      <c r="AL104" s="85">
        <f>$I$17*$AL$17</f>
        <v>0</v>
      </c>
      <c r="AM104" s="85">
        <f>$I$17*$AM$17</f>
        <v>0</v>
      </c>
      <c r="AN104" s="85">
        <f>$I$17*$AN$17</f>
        <v>1938674.0109014239</v>
      </c>
      <c r="AO104" s="85">
        <f>$I$17*$AO$17</f>
        <v>399802.24335040693</v>
      </c>
      <c r="AP104" s="85">
        <f>$I$17*$AP$17</f>
        <v>0</v>
      </c>
      <c r="AQ104" s="85">
        <f>$I$17*$AQ$17</f>
        <v>0</v>
      </c>
      <c r="AR104" s="85">
        <f>$I$17*$AR$17</f>
        <v>0</v>
      </c>
      <c r="AS104" s="85">
        <f>$I$17*$AS$17</f>
        <v>0</v>
      </c>
      <c r="AT104" s="85">
        <f>$I$17*$AT$17</f>
        <v>0</v>
      </c>
      <c r="AU104" s="85">
        <f>$I$17*$AU$17</f>
        <v>0</v>
      </c>
      <c r="AV104" s="85">
        <f>$I$17*$AV$17</f>
        <v>0</v>
      </c>
      <c r="AW104" s="85">
        <f>$I$17*$AW$17</f>
        <v>0</v>
      </c>
      <c r="AX104" s="85">
        <f>$I$17*$AX$17</f>
        <v>0</v>
      </c>
      <c r="AY104" s="85">
        <f>$I$17*$AY$17</f>
        <v>0</v>
      </c>
      <c r="AZ104" s="85">
        <f>$I$17*$AZ$17</f>
        <v>0</v>
      </c>
      <c r="BA104" s="85">
        <f>$I$17*$BA$17</f>
        <v>501360.70718196844</v>
      </c>
      <c r="BB104" s="85">
        <f>$I$17*$BB$17</f>
        <v>18764.609690068715</v>
      </c>
      <c r="BC104" s="85">
        <f>$I$17*$BC$17</f>
        <v>352590.93119824451</v>
      </c>
      <c r="BD104" s="85">
        <f>$I$17*$BD$17</f>
        <v>73601.528316828553</v>
      </c>
    </row>
    <row r="105" spans="1:56" ht="11.25" customHeight="1" x14ac:dyDescent="0.25">
      <c r="A105" s="9" t="s">
        <v>45</v>
      </c>
      <c r="B105" s="9" t="s">
        <v>1286</v>
      </c>
      <c r="C105" s="9" t="s">
        <v>1287</v>
      </c>
      <c r="D105" s="9" t="s">
        <v>1288</v>
      </c>
      <c r="E105" s="9" t="s">
        <v>1294</v>
      </c>
      <c r="F105" s="9" t="s">
        <v>1295</v>
      </c>
      <c r="G105" s="9" t="s">
        <v>1296</v>
      </c>
      <c r="L105" s="85">
        <f>$I$18*$L$18</f>
        <v>0</v>
      </c>
      <c r="M105" s="85">
        <f>$I$18*$M$18</f>
        <v>0</v>
      </c>
      <c r="N105" s="85">
        <f ca="1">$I$18*$N$18</f>
        <v>0</v>
      </c>
      <c r="O105" s="85">
        <f>$I$18*$O$18</f>
        <v>0</v>
      </c>
      <c r="P105" s="85">
        <f>$I$18*$P$18</f>
        <v>0</v>
      </c>
      <c r="Q105" s="85">
        <f>$I$18*$Q$18</f>
        <v>0</v>
      </c>
      <c r="R105" s="85">
        <f>$I$18*$R$18</f>
        <v>0</v>
      </c>
      <c r="S105" s="85">
        <f>$I$18*$S$18</f>
        <v>0</v>
      </c>
      <c r="T105" s="85">
        <f>$I$18*$T$18</f>
        <v>0</v>
      </c>
      <c r="U105" s="85">
        <f>$I$18*$U$18</f>
        <v>0</v>
      </c>
      <c r="V105" s="85">
        <f>$I$18*$V$18</f>
        <v>0</v>
      </c>
      <c r="W105" s="85">
        <f>$I$18*$W$18</f>
        <v>0</v>
      </c>
      <c r="X105" s="85">
        <f>$I$18*$X$18</f>
        <v>0</v>
      </c>
      <c r="Y105" s="85">
        <f>$I$18*$Y$18</f>
        <v>0</v>
      </c>
      <c r="Z105" s="85">
        <f>$I$18*$Z$18</f>
        <v>0</v>
      </c>
      <c r="AA105" s="85">
        <f>$I$18*$AA$18</f>
        <v>0</v>
      </c>
      <c r="AB105" s="85">
        <f ca="1">$I$18*$AB$18</f>
        <v>0</v>
      </c>
      <c r="AC105" s="85">
        <f ca="1">$I$18*$AC$18</f>
        <v>0</v>
      </c>
      <c r="AD105" s="85">
        <f>$I$18*$AD$18</f>
        <v>0</v>
      </c>
      <c r="AE105" s="85">
        <f>$I$18*$AE$18</f>
        <v>0</v>
      </c>
      <c r="AF105" s="85">
        <f ca="1">$I$18*$AF$18</f>
        <v>0</v>
      </c>
      <c r="AG105" s="85">
        <f ca="1">$I$18*$AG$18</f>
        <v>0</v>
      </c>
      <c r="AI105" s="85">
        <f>$I$18*$AI$18</f>
        <v>0</v>
      </c>
      <c r="AJ105" s="85">
        <f>$I$18*$AJ$18</f>
        <v>0</v>
      </c>
      <c r="AK105" s="85">
        <f>$I$18*$AK$18</f>
        <v>0</v>
      </c>
      <c r="AL105" s="85">
        <f>$I$18*$AL$18</f>
        <v>0</v>
      </c>
      <c r="AM105" s="85">
        <f>$I$18*$AM$18</f>
        <v>0</v>
      </c>
      <c r="AN105" s="85">
        <f>$I$18*$AN$18</f>
        <v>0</v>
      </c>
      <c r="AO105" s="85">
        <f>$I$18*$AO$18</f>
        <v>0</v>
      </c>
      <c r="AP105" s="85">
        <f>$I$18*$AP$18</f>
        <v>0</v>
      </c>
      <c r="AQ105" s="85">
        <f>$I$18*$AQ$18</f>
        <v>0</v>
      </c>
      <c r="AR105" s="85">
        <f>$I$18*$AR$18</f>
        <v>0</v>
      </c>
      <c r="AS105" s="85">
        <f>$I$18*$AS$18</f>
        <v>0</v>
      </c>
      <c r="AT105" s="85">
        <f>$I$18*$AT$18</f>
        <v>0</v>
      </c>
      <c r="AU105" s="85">
        <f>$I$18*$AU$18</f>
        <v>0</v>
      </c>
      <c r="AV105" s="85">
        <f>$I$18*$AV$18</f>
        <v>0</v>
      </c>
      <c r="AW105" s="85">
        <f>$I$18*$AW$18</f>
        <v>0</v>
      </c>
      <c r="AX105" s="85">
        <f>$I$18*$AX$18</f>
        <v>0</v>
      </c>
      <c r="AY105" s="85">
        <f>$I$18*$AY$18</f>
        <v>0</v>
      </c>
      <c r="AZ105" s="85">
        <f>$I$18*$AZ$18</f>
        <v>0</v>
      </c>
      <c r="BA105" s="85">
        <f>$I$18*$BA$18</f>
        <v>0</v>
      </c>
      <c r="BB105" s="85">
        <f>$I$18*$BB$18</f>
        <v>0</v>
      </c>
      <c r="BC105" s="85">
        <f>$I$18*$BC$18</f>
        <v>0</v>
      </c>
      <c r="BD105" s="85">
        <f>$I$18*$BD$18</f>
        <v>0</v>
      </c>
    </row>
    <row r="106" spans="1:56" ht="11.25" customHeight="1" x14ac:dyDescent="0.25">
      <c r="A106" s="9" t="s">
        <v>45</v>
      </c>
      <c r="B106" s="9" t="s">
        <v>1297</v>
      </c>
      <c r="C106" s="9" t="s">
        <v>1298</v>
      </c>
      <c r="D106" s="9" t="s">
        <v>1299</v>
      </c>
      <c r="E106" s="9" t="s">
        <v>1300</v>
      </c>
      <c r="F106" s="9" t="s">
        <v>1301</v>
      </c>
      <c r="G106" s="9" t="s">
        <v>1302</v>
      </c>
      <c r="L106" s="85">
        <f>$I$19*$L$19</f>
        <v>0</v>
      </c>
      <c r="M106" s="85">
        <f>$I$19*$M$19</f>
        <v>3231.6155259348934</v>
      </c>
      <c r="N106" s="85">
        <f ca="1">$I$19*$N$19</f>
        <v>13294.340756195186</v>
      </c>
      <c r="O106" s="85">
        <f>$I$19*$O$19</f>
        <v>0</v>
      </c>
      <c r="P106" s="85">
        <f>$I$19*$P$19</f>
        <v>0</v>
      </c>
      <c r="Q106" s="85">
        <f>$I$19*$Q$19</f>
        <v>0</v>
      </c>
      <c r="R106" s="85">
        <f>$I$19*$R$19</f>
        <v>0</v>
      </c>
      <c r="S106" s="85">
        <f>$I$19*$S$19</f>
        <v>0</v>
      </c>
      <c r="T106" s="85">
        <f>$I$19*$T$19</f>
        <v>0</v>
      </c>
      <c r="U106" s="85">
        <f>$I$19*$U$19</f>
        <v>0</v>
      </c>
      <c r="V106" s="85">
        <f>$I$19*$V$19</f>
        <v>0</v>
      </c>
      <c r="W106" s="85">
        <f>$I$19*$W$19</f>
        <v>0</v>
      </c>
      <c r="X106" s="85">
        <f>$I$19*$X$19</f>
        <v>0</v>
      </c>
      <c r="Y106" s="85">
        <f>$I$19*$Y$19</f>
        <v>0</v>
      </c>
      <c r="Z106" s="85">
        <f>$I$19*$Z$19</f>
        <v>0</v>
      </c>
      <c r="AA106" s="85">
        <f>$I$19*$AA$19</f>
        <v>1050417.5540716874</v>
      </c>
      <c r="AB106" s="85">
        <f ca="1">$I$19*$AB$19</f>
        <v>0</v>
      </c>
      <c r="AC106" s="85">
        <f ca="1">$I$19*$AC$19</f>
        <v>0</v>
      </c>
      <c r="AD106" s="85">
        <f>$I$19*$AD$19</f>
        <v>411.63832595544795</v>
      </c>
      <c r="AE106" s="85">
        <f>$I$19*$AE$19</f>
        <v>0</v>
      </c>
      <c r="AF106" s="85">
        <f ca="1">$I$19*$AF$19</f>
        <v>0</v>
      </c>
      <c r="AG106" s="85">
        <f ca="1">$I$19*$AG$19</f>
        <v>0</v>
      </c>
      <c r="AI106" s="85">
        <f>$I$19*$AI$19</f>
        <v>0</v>
      </c>
      <c r="AJ106" s="85">
        <f>$I$19*$AJ$19</f>
        <v>3455.6226412428864</v>
      </c>
      <c r="AK106" s="85">
        <f>$I$19*$AK$19</f>
        <v>13874.827560053185</v>
      </c>
      <c r="AL106" s="85">
        <f>$I$19*$AL$19</f>
        <v>0</v>
      </c>
      <c r="AM106" s="85">
        <f>$I$19*$AM$19</f>
        <v>0</v>
      </c>
      <c r="AN106" s="85">
        <f>$I$19*$AN$19</f>
        <v>0</v>
      </c>
      <c r="AO106" s="85">
        <f>$I$19*$AO$19</f>
        <v>0</v>
      </c>
      <c r="AP106" s="85">
        <f>$I$19*$AP$19</f>
        <v>0</v>
      </c>
      <c r="AQ106" s="85">
        <f>$I$19*$AQ$19</f>
        <v>0</v>
      </c>
      <c r="AR106" s="85">
        <f>$I$19*$AR$19</f>
        <v>0</v>
      </c>
      <c r="AS106" s="85">
        <f>$I$19*$AS$19</f>
        <v>0</v>
      </c>
      <c r="AT106" s="85">
        <f>$I$19*$AT$19</f>
        <v>0</v>
      </c>
      <c r="AU106" s="85">
        <f>$I$19*$AU$19</f>
        <v>0</v>
      </c>
      <c r="AV106" s="85">
        <f>$I$19*$AV$19</f>
        <v>0</v>
      </c>
      <c r="AW106" s="85">
        <f>$I$19*$AW$19</f>
        <v>0</v>
      </c>
      <c r="AX106" s="85">
        <f>$I$19*$AX$19</f>
        <v>1018930.650053518</v>
      </c>
      <c r="AY106" s="85">
        <f>$I$19*$AY$19</f>
        <v>0</v>
      </c>
      <c r="AZ106" s="85">
        <f>$I$19*$AZ$19</f>
        <v>0</v>
      </c>
      <c r="BA106" s="85">
        <f>$I$19*$BA$19</f>
        <v>495.90094653712515</v>
      </c>
      <c r="BB106" s="85">
        <f>$I$19*$BB$19</f>
        <v>0</v>
      </c>
      <c r="BC106" s="85">
        <f>$I$19*$BC$19</f>
        <v>0</v>
      </c>
      <c r="BD106" s="85">
        <f>$I$19*$BD$19</f>
        <v>0</v>
      </c>
    </row>
    <row r="107" spans="1:56" ht="11.25" customHeight="1" x14ac:dyDescent="0.25">
      <c r="A107" s="9" t="s">
        <v>45</v>
      </c>
      <c r="B107" s="9" t="s">
        <v>1303</v>
      </c>
      <c r="C107" s="9" t="s">
        <v>1304</v>
      </c>
      <c r="D107" s="9" t="s">
        <v>1305</v>
      </c>
      <c r="E107" s="9" t="s">
        <v>1306</v>
      </c>
      <c r="F107" s="9" t="s">
        <v>1307</v>
      </c>
      <c r="G107" s="9" t="s">
        <v>1308</v>
      </c>
      <c r="L107" s="85">
        <f>$I$20*$L$20</f>
        <v>0</v>
      </c>
      <c r="M107" s="85">
        <f>$I$20*$M$20</f>
        <v>0</v>
      </c>
      <c r="N107" s="85">
        <f ca="1">$I$20*$N$20</f>
        <v>0</v>
      </c>
      <c r="O107" s="85">
        <f>$I$20*$O$20</f>
        <v>0</v>
      </c>
      <c r="P107" s="85">
        <f>$I$20*$P$20</f>
        <v>0</v>
      </c>
      <c r="Q107" s="85">
        <f>$I$20*$Q$20</f>
        <v>0</v>
      </c>
      <c r="R107" s="85">
        <f>$I$20*$R$20</f>
        <v>0</v>
      </c>
      <c r="S107" s="85">
        <f>$I$20*$S$20</f>
        <v>0</v>
      </c>
      <c r="T107" s="85">
        <f>$I$20*$T$20</f>
        <v>135707.54397145714</v>
      </c>
      <c r="U107" s="85">
        <f>$I$20*$U$20</f>
        <v>39220.647438554384</v>
      </c>
      <c r="V107" s="85">
        <f>$I$20*$V$20</f>
        <v>4505.7947961813798</v>
      </c>
      <c r="W107" s="85">
        <f>$I$20*$W$20</f>
        <v>0</v>
      </c>
      <c r="X107" s="85">
        <f>$I$20*$X$20</f>
        <v>0</v>
      </c>
      <c r="Y107" s="85">
        <f>$I$20*$Y$20</f>
        <v>0</v>
      </c>
      <c r="Z107" s="85">
        <f>$I$20*$Z$20</f>
        <v>0</v>
      </c>
      <c r="AA107" s="85">
        <f>$I$20*$AA$20</f>
        <v>114525.10425143735</v>
      </c>
      <c r="AB107" s="85">
        <f ca="1">$I$20*$AB$20</f>
        <v>0</v>
      </c>
      <c r="AC107" s="85">
        <f ca="1">$I$20*$AC$20</f>
        <v>0</v>
      </c>
      <c r="AD107" s="85">
        <f>$I$20*$AD$20</f>
        <v>0</v>
      </c>
      <c r="AE107" s="85">
        <f>$I$20*$AE$20</f>
        <v>0</v>
      </c>
      <c r="AF107" s="85">
        <f ca="1">$I$20*$AF$20</f>
        <v>0</v>
      </c>
      <c r="AG107" s="85">
        <f ca="1">$I$20*$AG$20</f>
        <v>0</v>
      </c>
      <c r="AI107" s="85">
        <f>$I$20*$AI$20</f>
        <v>0</v>
      </c>
      <c r="AJ107" s="85">
        <f>$I$20*$AJ$20</f>
        <v>0</v>
      </c>
      <c r="AK107" s="85">
        <f>$I$20*$AK$20</f>
        <v>0</v>
      </c>
      <c r="AL107" s="85">
        <f>$I$20*$AL$20</f>
        <v>0</v>
      </c>
      <c r="AM107" s="85">
        <f>$I$20*$AM$20</f>
        <v>0</v>
      </c>
      <c r="AN107" s="85">
        <f>$I$20*$AN$20</f>
        <v>0</v>
      </c>
      <c r="AO107" s="85">
        <f>$I$20*$AO$20</f>
        <v>0</v>
      </c>
      <c r="AP107" s="85">
        <f>$I$20*$AP$20</f>
        <v>0</v>
      </c>
      <c r="AQ107" s="85">
        <f>$I$20*$AQ$20</f>
        <v>85604.48437064905</v>
      </c>
      <c r="AR107" s="85">
        <f>$I$20*$AR$20</f>
        <v>26513.848472079666</v>
      </c>
      <c r="AS107" s="85">
        <f>$I$20*$AS$20</f>
        <v>2921.4027160660344</v>
      </c>
      <c r="AT107" s="85">
        <f>$I$20*$AT$20</f>
        <v>0</v>
      </c>
      <c r="AU107" s="85">
        <f>$I$20*$AU$20</f>
        <v>0</v>
      </c>
      <c r="AV107" s="85">
        <f>$I$20*$AV$20</f>
        <v>0</v>
      </c>
      <c r="AW107" s="85">
        <f>$I$20*$AW$20</f>
        <v>0</v>
      </c>
      <c r="AX107" s="85">
        <f>$I$20*$AX$20</f>
        <v>111092.14470953126</v>
      </c>
      <c r="AY107" s="85">
        <f>$I$20*$AY$20</f>
        <v>0</v>
      </c>
      <c r="AZ107" s="85">
        <f>$I$20*$AZ$20</f>
        <v>0</v>
      </c>
      <c r="BA107" s="85">
        <f>$I$20*$BA$20</f>
        <v>0</v>
      </c>
      <c r="BB107" s="85">
        <f>$I$20*$BB$20</f>
        <v>0</v>
      </c>
      <c r="BC107" s="85">
        <f>$I$20*$BC$20</f>
        <v>0</v>
      </c>
      <c r="BD107" s="85">
        <f>$I$20*$BD$20</f>
        <v>0</v>
      </c>
    </row>
    <row r="108" spans="1:56" ht="11.25" customHeight="1" x14ac:dyDescent="0.25">
      <c r="A108" s="9" t="s">
        <v>45</v>
      </c>
      <c r="B108" s="9" t="s">
        <v>1303</v>
      </c>
      <c r="C108" s="9" t="s">
        <v>1304</v>
      </c>
      <c r="D108" s="9" t="s">
        <v>1305</v>
      </c>
      <c r="E108" s="9" t="s">
        <v>1306</v>
      </c>
      <c r="F108" s="9" t="s">
        <v>1307</v>
      </c>
      <c r="G108" s="9" t="s">
        <v>1309</v>
      </c>
      <c r="L108" s="85">
        <f>$I$21*$L$21</f>
        <v>0</v>
      </c>
      <c r="M108" s="85">
        <f>$I$21*$M$21</f>
        <v>160.75764799098886</v>
      </c>
      <c r="N108" s="85">
        <f ca="1">$I$21*$N$21</f>
        <v>4856.3148078427339</v>
      </c>
      <c r="O108" s="85">
        <f>$I$21*$O$21</f>
        <v>0</v>
      </c>
      <c r="P108" s="85">
        <f>$I$21*$P$21</f>
        <v>0</v>
      </c>
      <c r="Q108" s="85">
        <f>$I$21*$Q$21</f>
        <v>46772.276290831964</v>
      </c>
      <c r="R108" s="85">
        <f>$I$21*$R$21</f>
        <v>5524.4919884694309</v>
      </c>
      <c r="S108" s="85">
        <f>$I$21*$S$21</f>
        <v>0</v>
      </c>
      <c r="T108" s="85">
        <f>$I$21*$T$21</f>
        <v>154037.87861754265</v>
      </c>
      <c r="U108" s="85">
        <f>$I$21*$U$21</f>
        <v>40908.088813189766</v>
      </c>
      <c r="V108" s="85">
        <f>$I$21*$V$21</f>
        <v>5222.6051647614213</v>
      </c>
      <c r="W108" s="85">
        <f>$I$21*$W$21</f>
        <v>0</v>
      </c>
      <c r="X108" s="85">
        <f>$I$21*$X$21</f>
        <v>0</v>
      </c>
      <c r="Y108" s="85">
        <f>$I$21*$Y$21</f>
        <v>0</v>
      </c>
      <c r="Z108" s="85">
        <f>$I$21*$Z$21</f>
        <v>0</v>
      </c>
      <c r="AA108" s="85">
        <f>$I$21*$AA$21</f>
        <v>318120.4678208488</v>
      </c>
      <c r="AB108" s="85">
        <f ca="1">$I$21*$AB$21</f>
        <v>0</v>
      </c>
      <c r="AC108" s="85">
        <f ca="1">$I$21*$AC$21</f>
        <v>0</v>
      </c>
      <c r="AD108" s="85">
        <f>$I$21*$AD$21</f>
        <v>8405.7203089652867</v>
      </c>
      <c r="AE108" s="85">
        <f>$I$21*$AE$21</f>
        <v>315.9571189691718</v>
      </c>
      <c r="AF108" s="85">
        <f ca="1">$I$21*$AF$21</f>
        <v>6163.2281615770189</v>
      </c>
      <c r="AG108" s="85">
        <f ca="1">$I$21*$AG$21</f>
        <v>1584.1557347322671</v>
      </c>
      <c r="AI108" s="85">
        <f>$I$21*$AI$21</f>
        <v>0</v>
      </c>
      <c r="AJ108" s="85">
        <f>$I$21*$AJ$21</f>
        <v>160.34332023790409</v>
      </c>
      <c r="AK108" s="85">
        <f>$I$21*$AK$21</f>
        <v>5045.2630927593927</v>
      </c>
      <c r="AL108" s="85">
        <f>$I$21*$AL$21</f>
        <v>0</v>
      </c>
      <c r="AM108" s="85">
        <f>$I$21*$AM$21</f>
        <v>0</v>
      </c>
      <c r="AN108" s="85">
        <f>$I$21*$AN$21</f>
        <v>39156.923554471527</v>
      </c>
      <c r="AO108" s="85">
        <f>$I$21*$AO$21</f>
        <v>8075.1203099375125</v>
      </c>
      <c r="AP108" s="85">
        <f>$I$21*$AP$21</f>
        <v>0</v>
      </c>
      <c r="AQ108" s="85">
        <f>$I$21*$AQ$21</f>
        <v>97167.281837896619</v>
      </c>
      <c r="AR108" s="85">
        <f>$I$21*$AR$21</f>
        <v>27654.588562683712</v>
      </c>
      <c r="AS108" s="85">
        <f>$I$21*$AS$21</f>
        <v>3386.1579595690887</v>
      </c>
      <c r="AT108" s="85">
        <f>$I$21*$AT$21</f>
        <v>0</v>
      </c>
      <c r="AU108" s="85">
        <f>$I$21*$AU$21</f>
        <v>0</v>
      </c>
      <c r="AV108" s="85">
        <f>$I$21*$AV$21</f>
        <v>0</v>
      </c>
      <c r="AW108" s="85">
        <f>$I$21*$AW$21</f>
        <v>0</v>
      </c>
      <c r="AX108" s="85">
        <f>$I$21*$AX$21</f>
        <v>308584.61362871027</v>
      </c>
      <c r="AY108" s="85">
        <f>$I$21*$AY$21</f>
        <v>0</v>
      </c>
      <c r="AZ108" s="85">
        <f>$I$21*$AZ$21</f>
        <v>0</v>
      </c>
      <c r="BA108" s="85">
        <f>$I$21*$BA$21</f>
        <v>10126.376468631755</v>
      </c>
      <c r="BB108" s="85">
        <f>$I$21*$BB$21</f>
        <v>379.00357823534932</v>
      </c>
      <c r="BC108" s="85">
        <f>$I$21*$BC$21</f>
        <v>7121.5563118371047</v>
      </c>
      <c r="BD108" s="85">
        <f>$I$21*$BD$21</f>
        <v>1486.5879470134748</v>
      </c>
    </row>
    <row r="109" spans="1:56" ht="11.25" customHeight="1" x14ac:dyDescent="0.25">
      <c r="A109" s="9" t="s">
        <v>45</v>
      </c>
      <c r="B109" s="9" t="s">
        <v>1303</v>
      </c>
      <c r="C109" s="9" t="s">
        <v>1304</v>
      </c>
      <c r="D109" s="9" t="s">
        <v>1305</v>
      </c>
      <c r="E109" s="9" t="s">
        <v>1306</v>
      </c>
      <c r="F109" s="9" t="s">
        <v>1307</v>
      </c>
      <c r="G109" s="9" t="s">
        <v>1310</v>
      </c>
      <c r="L109" s="85">
        <f>$I$22*$L$22</f>
        <v>0</v>
      </c>
      <c r="M109" s="85">
        <f>$I$22*$M$22</f>
        <v>1378.6686595792589</v>
      </c>
      <c r="N109" s="85">
        <f ca="1">$I$22*$N$22</f>
        <v>3200.3228576454949</v>
      </c>
      <c r="O109" s="85">
        <f>$I$22*$O$22</f>
        <v>0</v>
      </c>
      <c r="P109" s="85">
        <f>$I$22*$P$22</f>
        <v>0</v>
      </c>
      <c r="Q109" s="85">
        <f>$I$22*$Q$22</f>
        <v>401122.26239442505</v>
      </c>
      <c r="R109" s="85">
        <f>$I$22*$R$22</f>
        <v>47378.423731519375</v>
      </c>
      <c r="S109" s="85">
        <f>$I$22*$S$22</f>
        <v>0</v>
      </c>
      <c r="T109" s="85">
        <f>$I$22*$T$22</f>
        <v>0</v>
      </c>
      <c r="U109" s="85">
        <f>$I$22*$U$22</f>
        <v>0</v>
      </c>
      <c r="V109" s="85">
        <f>$I$22*$V$22</f>
        <v>0</v>
      </c>
      <c r="W109" s="85">
        <f>$I$22*$W$22</f>
        <v>0</v>
      </c>
      <c r="X109" s="85">
        <f>$I$22*$X$22</f>
        <v>0</v>
      </c>
      <c r="Y109" s="85">
        <f>$I$22*$Y$22</f>
        <v>0</v>
      </c>
      <c r="Z109" s="85">
        <f>$I$22*$Z$22</f>
        <v>0</v>
      </c>
      <c r="AA109" s="85">
        <f>$I$22*$AA$22</f>
        <v>0</v>
      </c>
      <c r="AB109" s="85">
        <f ca="1">$I$22*$AB$22</f>
        <v>0</v>
      </c>
      <c r="AC109" s="85">
        <f ca="1">$I$22*$AC$22</f>
        <v>0</v>
      </c>
      <c r="AD109" s="85">
        <f>$I$22*$AD$22</f>
        <v>72088.036220888971</v>
      </c>
      <c r="AE109" s="85">
        <f>$I$22*$AE$22</f>
        <v>2709.6700103386047</v>
      </c>
      <c r="AF109" s="85">
        <f ca="1">$I$22*$AF$22</f>
        <v>52856.269137993506</v>
      </c>
      <c r="AG109" s="85">
        <f ca="1">$I$22*$AG$22</f>
        <v>13585.828672304004</v>
      </c>
      <c r="AI109" s="85">
        <f>$I$22*$AI$22</f>
        <v>0</v>
      </c>
      <c r="AJ109" s="85">
        <f>$I$22*$AJ$22</f>
        <v>1375.1153562365535</v>
      </c>
      <c r="AK109" s="85">
        <f>$I$22*$AK$22</f>
        <v>3141.965212066727</v>
      </c>
      <c r="AL109" s="85">
        <f>$I$22*$AL$22</f>
        <v>0</v>
      </c>
      <c r="AM109" s="85">
        <f>$I$22*$AM$22</f>
        <v>0</v>
      </c>
      <c r="AN109" s="85">
        <f>$I$22*$AN$22</f>
        <v>335812.47290403768</v>
      </c>
      <c r="AO109" s="85">
        <f>$I$22*$AO$22</f>
        <v>69252.787862801066</v>
      </c>
      <c r="AP109" s="85">
        <f>$I$22*$AP$22</f>
        <v>0</v>
      </c>
      <c r="AQ109" s="85">
        <f>$I$22*$AQ$22</f>
        <v>0</v>
      </c>
      <c r="AR109" s="85">
        <f>$I$22*$AR$22</f>
        <v>0</v>
      </c>
      <c r="AS109" s="85">
        <f>$I$22*$AS$22</f>
        <v>0</v>
      </c>
      <c r="AT109" s="85">
        <f>$I$22*$AT$22</f>
        <v>0</v>
      </c>
      <c r="AU109" s="85">
        <f>$I$22*$AU$22</f>
        <v>0</v>
      </c>
      <c r="AV109" s="85">
        <f>$I$22*$AV$22</f>
        <v>0</v>
      </c>
      <c r="AW109" s="85">
        <f>$I$22*$AW$22</f>
        <v>0</v>
      </c>
      <c r="AX109" s="85">
        <f>$I$22*$AX$22</f>
        <v>0</v>
      </c>
      <c r="AY109" s="85">
        <f>$I$22*$AY$22</f>
        <v>0</v>
      </c>
      <c r="AZ109" s="85">
        <f>$I$22*$AZ$22</f>
        <v>0</v>
      </c>
      <c r="BA109" s="85">
        <f>$I$22*$BA$22</f>
        <v>86844.501937388748</v>
      </c>
      <c r="BB109" s="85">
        <f>$I$22*$BB$22</f>
        <v>3250.3607866343086</v>
      </c>
      <c r="BC109" s="85">
        <f>$I$22*$BC$22</f>
        <v>61074.95734889718</v>
      </c>
      <c r="BD109" s="85">
        <f>$I$22*$BD$22</f>
        <v>12749.080605923231</v>
      </c>
    </row>
    <row r="110" spans="1:56" ht="11.25" customHeight="1" x14ac:dyDescent="0.25">
      <c r="A110" s="9" t="s">
        <v>45</v>
      </c>
      <c r="B110" s="9" t="s">
        <v>1303</v>
      </c>
      <c r="C110" s="9" t="s">
        <v>1304</v>
      </c>
      <c r="D110" s="9" t="s">
        <v>1305</v>
      </c>
      <c r="E110" s="9" t="s">
        <v>1311</v>
      </c>
      <c r="F110" s="9" t="s">
        <v>1312</v>
      </c>
      <c r="G110" s="9" t="s">
        <v>1313</v>
      </c>
      <c r="L110" s="85">
        <f>$I$23*$L$23</f>
        <v>0</v>
      </c>
      <c r="M110" s="85">
        <f>$I$23*$M$23</f>
        <v>0</v>
      </c>
      <c r="N110" s="85">
        <f ca="1">$I$23*$N$23</f>
        <v>0</v>
      </c>
      <c r="O110" s="85">
        <f>$I$23*$O$23</f>
        <v>0</v>
      </c>
      <c r="P110" s="85">
        <f>$I$23*$P$23</f>
        <v>0</v>
      </c>
      <c r="Q110" s="85">
        <f>$I$23*$Q$23</f>
        <v>0</v>
      </c>
      <c r="R110" s="85">
        <f>$I$23*$R$23</f>
        <v>0</v>
      </c>
      <c r="S110" s="85">
        <f>$I$23*$S$23</f>
        <v>0</v>
      </c>
      <c r="T110" s="85">
        <f>$I$23*$T$23</f>
        <v>0</v>
      </c>
      <c r="U110" s="85">
        <f>$I$23*$U$23</f>
        <v>0</v>
      </c>
      <c r="V110" s="85">
        <f>$I$23*$V$23</f>
        <v>0</v>
      </c>
      <c r="W110" s="85">
        <f>$I$23*$W$23</f>
        <v>0</v>
      </c>
      <c r="X110" s="85">
        <f>$I$23*$X$23</f>
        <v>0</v>
      </c>
      <c r="Y110" s="85">
        <f>$I$23*$Y$23</f>
        <v>0</v>
      </c>
      <c r="Z110" s="85">
        <f>$I$23*$Z$23</f>
        <v>0</v>
      </c>
      <c r="AA110" s="85">
        <f>$I$23*$AA$23</f>
        <v>0</v>
      </c>
      <c r="AB110" s="85">
        <f ca="1">$I$23*$AB$23</f>
        <v>0</v>
      </c>
      <c r="AC110" s="85">
        <f ca="1">$I$23*$AC$23</f>
        <v>0</v>
      </c>
      <c r="AD110" s="85">
        <f>$I$23*$AD$23</f>
        <v>0</v>
      </c>
      <c r="AE110" s="85">
        <f>$I$23*$AE$23</f>
        <v>0</v>
      </c>
      <c r="AF110" s="85">
        <f ca="1">$I$23*$AF$23</f>
        <v>0</v>
      </c>
      <c r="AG110" s="85">
        <f ca="1">$I$23*$AG$23</f>
        <v>0</v>
      </c>
      <c r="AI110" s="85">
        <f>$I$23*$AI$23</f>
        <v>0</v>
      </c>
      <c r="AJ110" s="85">
        <f>$I$23*$AJ$23</f>
        <v>0</v>
      </c>
      <c r="AK110" s="85">
        <f>$I$23*$AK$23</f>
        <v>0</v>
      </c>
      <c r="AL110" s="85">
        <f>$I$23*$AL$23</f>
        <v>0</v>
      </c>
      <c r="AM110" s="85">
        <f>$I$23*$AM$23</f>
        <v>0</v>
      </c>
      <c r="AN110" s="85">
        <f>$I$23*$AN$23</f>
        <v>0</v>
      </c>
      <c r="AO110" s="85">
        <f>$I$23*$AO$23</f>
        <v>0</v>
      </c>
      <c r="AP110" s="85">
        <f>$I$23*$AP$23</f>
        <v>0</v>
      </c>
      <c r="AQ110" s="85">
        <f>$I$23*$AQ$23</f>
        <v>0</v>
      </c>
      <c r="AR110" s="85">
        <f>$I$23*$AR$23</f>
        <v>0</v>
      </c>
      <c r="AS110" s="85">
        <f>$I$23*$AS$23</f>
        <v>0</v>
      </c>
      <c r="AT110" s="85">
        <f>$I$23*$AT$23</f>
        <v>0</v>
      </c>
      <c r="AU110" s="85">
        <f>$I$23*$AU$23</f>
        <v>0</v>
      </c>
      <c r="AV110" s="85">
        <f>$I$23*$AV$23</f>
        <v>0</v>
      </c>
      <c r="AW110" s="85">
        <f>$I$23*$AW$23</f>
        <v>0</v>
      </c>
      <c r="AX110" s="85">
        <f>$I$23*$AX$23</f>
        <v>0</v>
      </c>
      <c r="AY110" s="85">
        <f>$I$23*$AY$23</f>
        <v>0</v>
      </c>
      <c r="AZ110" s="85">
        <f>$I$23*$AZ$23</f>
        <v>0</v>
      </c>
      <c r="BA110" s="85">
        <f>$I$23*$BA$23</f>
        <v>0</v>
      </c>
      <c r="BB110" s="85">
        <f>$I$23*$BB$23</f>
        <v>0</v>
      </c>
      <c r="BC110" s="85">
        <f>$I$23*$BC$23</f>
        <v>0</v>
      </c>
      <c r="BD110" s="85">
        <f>$I$23*$BD$23</f>
        <v>0</v>
      </c>
    </row>
    <row r="111" spans="1:56" ht="11.25" customHeight="1" x14ac:dyDescent="0.25">
      <c r="A111" s="9" t="s">
        <v>45</v>
      </c>
      <c r="B111" s="9" t="s">
        <v>1303</v>
      </c>
      <c r="C111" s="9" t="s">
        <v>1304</v>
      </c>
      <c r="D111" s="9" t="s">
        <v>1305</v>
      </c>
      <c r="E111" s="9" t="s">
        <v>1311</v>
      </c>
      <c r="F111" s="9" t="s">
        <v>1312</v>
      </c>
      <c r="G111" s="9" t="s">
        <v>1314</v>
      </c>
      <c r="L111" s="85">
        <f>$I$24*$L$24</f>
        <v>0</v>
      </c>
      <c r="M111" s="85">
        <f>$I$24*$M$24</f>
        <v>0</v>
      </c>
      <c r="N111" s="85">
        <f ca="1">$I$24*$N$24</f>
        <v>0</v>
      </c>
      <c r="O111" s="85">
        <f>$I$24*$O$24</f>
        <v>0</v>
      </c>
      <c r="P111" s="85">
        <f>$I$24*$P$24</f>
        <v>0</v>
      </c>
      <c r="Q111" s="85">
        <f>$I$24*$Q$24</f>
        <v>0</v>
      </c>
      <c r="R111" s="85">
        <f>$I$24*$R$24</f>
        <v>0</v>
      </c>
      <c r="S111" s="85">
        <f>$I$24*$S$24</f>
        <v>0</v>
      </c>
      <c r="T111" s="85">
        <f>$I$24*$T$24</f>
        <v>0</v>
      </c>
      <c r="U111" s="85">
        <f>$I$24*$U$24</f>
        <v>0</v>
      </c>
      <c r="V111" s="85">
        <f>$I$24*$V$24</f>
        <v>0</v>
      </c>
      <c r="W111" s="85">
        <f>$I$24*$W$24</f>
        <v>0</v>
      </c>
      <c r="X111" s="85">
        <f>$I$24*$X$24</f>
        <v>0</v>
      </c>
      <c r="Y111" s="85">
        <f>$I$24*$Y$24</f>
        <v>0</v>
      </c>
      <c r="Z111" s="85">
        <f>$I$24*$Z$24</f>
        <v>0</v>
      </c>
      <c r="AA111" s="85">
        <f>$I$24*$AA$24</f>
        <v>0</v>
      </c>
      <c r="AB111" s="85">
        <f ca="1">$I$24*$AB$24</f>
        <v>0</v>
      </c>
      <c r="AC111" s="85">
        <f ca="1">$I$24*$AC$24</f>
        <v>0</v>
      </c>
      <c r="AD111" s="85">
        <f>$I$24*$AD$24</f>
        <v>0</v>
      </c>
      <c r="AE111" s="85">
        <f>$I$24*$AE$24</f>
        <v>0</v>
      </c>
      <c r="AF111" s="85">
        <f ca="1">$I$24*$AF$24</f>
        <v>0</v>
      </c>
      <c r="AG111" s="85">
        <f ca="1">$I$24*$AG$24</f>
        <v>0</v>
      </c>
      <c r="AI111" s="85">
        <f>$I$24*$AI$24</f>
        <v>0</v>
      </c>
      <c r="AJ111" s="85">
        <f>$I$24*$AJ$24</f>
        <v>0</v>
      </c>
      <c r="AK111" s="85">
        <f>$I$24*$AK$24</f>
        <v>0</v>
      </c>
      <c r="AL111" s="85">
        <f>$I$24*$AL$24</f>
        <v>0</v>
      </c>
      <c r="AM111" s="85">
        <f>$I$24*$AM$24</f>
        <v>0</v>
      </c>
      <c r="AN111" s="85">
        <f>$I$24*$AN$24</f>
        <v>0</v>
      </c>
      <c r="AO111" s="85">
        <f>$I$24*$AO$24</f>
        <v>0</v>
      </c>
      <c r="AP111" s="85">
        <f>$I$24*$AP$24</f>
        <v>0</v>
      </c>
      <c r="AQ111" s="85">
        <f>$I$24*$AQ$24</f>
        <v>0</v>
      </c>
      <c r="AR111" s="85">
        <f>$I$24*$AR$24</f>
        <v>0</v>
      </c>
      <c r="AS111" s="85">
        <f>$I$24*$AS$24</f>
        <v>0</v>
      </c>
      <c r="AT111" s="85">
        <f>$I$24*$AT$24</f>
        <v>0</v>
      </c>
      <c r="AU111" s="85">
        <f>$I$24*$AU$24</f>
        <v>0</v>
      </c>
      <c r="AV111" s="85">
        <f>$I$24*$AV$24</f>
        <v>0</v>
      </c>
      <c r="AW111" s="85">
        <f>$I$24*$AW$24</f>
        <v>0</v>
      </c>
      <c r="AX111" s="85">
        <f>$I$24*$AX$24</f>
        <v>0</v>
      </c>
      <c r="AY111" s="85">
        <f>$I$24*$AY$24</f>
        <v>0</v>
      </c>
      <c r="AZ111" s="85">
        <f>$I$24*$AZ$24</f>
        <v>0</v>
      </c>
      <c r="BA111" s="85">
        <f>$I$24*$BA$24</f>
        <v>0</v>
      </c>
      <c r="BB111" s="85">
        <f>$I$24*$BB$24</f>
        <v>0</v>
      </c>
      <c r="BC111" s="85">
        <f>$I$24*$BC$24</f>
        <v>0</v>
      </c>
      <c r="BD111" s="85">
        <f>$I$24*$BD$24</f>
        <v>0</v>
      </c>
    </row>
    <row r="112" spans="1:56" ht="11.25" customHeight="1" x14ac:dyDescent="0.25">
      <c r="A112" s="9" t="s">
        <v>45</v>
      </c>
      <c r="B112" s="9" t="s">
        <v>1315</v>
      </c>
      <c r="C112" s="9" t="s">
        <v>1316</v>
      </c>
      <c r="D112" s="9" t="s">
        <v>1317</v>
      </c>
      <c r="E112" s="9" t="s">
        <v>1318</v>
      </c>
      <c r="F112" s="9" t="s">
        <v>1319</v>
      </c>
      <c r="G112" s="9" t="s">
        <v>1320</v>
      </c>
      <c r="L112" s="85">
        <f>$I$25*$L$25</f>
        <v>0</v>
      </c>
      <c r="M112" s="85">
        <f>$I$25*$M$25</f>
        <v>0</v>
      </c>
      <c r="N112" s="85">
        <f ca="1">$I$25*$N$25</f>
        <v>0</v>
      </c>
      <c r="O112" s="85">
        <f>$I$25*$O$25</f>
        <v>0</v>
      </c>
      <c r="P112" s="85">
        <f>$I$25*$P$25</f>
        <v>0</v>
      </c>
      <c r="Q112" s="85">
        <f>$I$25*$Q$25</f>
        <v>0</v>
      </c>
      <c r="R112" s="85">
        <f>$I$25*$R$25</f>
        <v>0</v>
      </c>
      <c r="S112" s="85">
        <f>$I$25*$S$25</f>
        <v>0</v>
      </c>
      <c r="T112" s="85">
        <f>$I$25*$T$25</f>
        <v>0</v>
      </c>
      <c r="U112" s="85">
        <f>$I$25*$U$25</f>
        <v>0</v>
      </c>
      <c r="V112" s="85">
        <f>$I$25*$V$25</f>
        <v>0</v>
      </c>
      <c r="W112" s="85">
        <f>$I$25*$W$25</f>
        <v>0</v>
      </c>
      <c r="X112" s="85">
        <f>$I$25*$X$25</f>
        <v>0</v>
      </c>
      <c r="Y112" s="85">
        <f>$I$25*$Y$25</f>
        <v>0</v>
      </c>
      <c r="Z112" s="85">
        <f>$I$25*$Z$25</f>
        <v>0</v>
      </c>
      <c r="AA112" s="85">
        <f>$I$25*$AA$25</f>
        <v>0</v>
      </c>
      <c r="AB112" s="85">
        <f ca="1">$I$25*$AB$25</f>
        <v>0</v>
      </c>
      <c r="AC112" s="85">
        <f ca="1">$I$25*$AC$25</f>
        <v>0</v>
      </c>
      <c r="AD112" s="85">
        <f>$I$25*$AD$25</f>
        <v>0</v>
      </c>
      <c r="AE112" s="85">
        <f>$I$25*$AE$25</f>
        <v>0</v>
      </c>
      <c r="AF112" s="85">
        <f ca="1">$I$25*$AF$25</f>
        <v>0</v>
      </c>
      <c r="AG112" s="85">
        <f ca="1">$I$25*$AG$25</f>
        <v>0</v>
      </c>
      <c r="AI112" s="85">
        <f>$I$25*$AI$25</f>
        <v>0</v>
      </c>
      <c r="AJ112" s="85">
        <f>$I$25*$AJ$25</f>
        <v>0</v>
      </c>
      <c r="AK112" s="85">
        <f>$I$25*$AK$25</f>
        <v>0</v>
      </c>
      <c r="AL112" s="85">
        <f>$I$25*$AL$25</f>
        <v>0</v>
      </c>
      <c r="AM112" s="85">
        <f>$I$25*$AM$25</f>
        <v>0</v>
      </c>
      <c r="AN112" s="85">
        <f>$I$25*$AN$25</f>
        <v>0</v>
      </c>
      <c r="AO112" s="85">
        <f>$I$25*$AO$25</f>
        <v>0</v>
      </c>
      <c r="AP112" s="85">
        <f>$I$25*$AP$25</f>
        <v>0</v>
      </c>
      <c r="AQ112" s="85">
        <f>$I$25*$AQ$25</f>
        <v>0</v>
      </c>
      <c r="AR112" s="85">
        <f>$I$25*$AR$25</f>
        <v>0</v>
      </c>
      <c r="AS112" s="85">
        <f>$I$25*$AS$25</f>
        <v>0</v>
      </c>
      <c r="AT112" s="85">
        <f>$I$25*$AT$25</f>
        <v>0</v>
      </c>
      <c r="AU112" s="85">
        <f>$I$25*$AU$25</f>
        <v>0</v>
      </c>
      <c r="AV112" s="85">
        <f>$I$25*$AV$25</f>
        <v>0</v>
      </c>
      <c r="AW112" s="85">
        <f>$I$25*$AW$25</f>
        <v>0</v>
      </c>
      <c r="AX112" s="85">
        <f>$I$25*$AX$25</f>
        <v>0</v>
      </c>
      <c r="AY112" s="85">
        <f>$I$25*$AY$25</f>
        <v>0</v>
      </c>
      <c r="AZ112" s="85">
        <f>$I$25*$AZ$25</f>
        <v>0</v>
      </c>
      <c r="BA112" s="85">
        <f>$I$25*$BA$25</f>
        <v>0</v>
      </c>
      <c r="BB112" s="85">
        <f>$I$25*$BB$25</f>
        <v>0</v>
      </c>
      <c r="BC112" s="85">
        <f>$I$25*$BC$25</f>
        <v>0</v>
      </c>
      <c r="BD112" s="85">
        <f>$I$25*$BD$25</f>
        <v>0</v>
      </c>
    </row>
    <row r="113" spans="1:56" ht="11.25" customHeight="1" x14ac:dyDescent="0.25">
      <c r="A113" s="9" t="s">
        <v>45</v>
      </c>
      <c r="B113" s="9" t="s">
        <v>1315</v>
      </c>
      <c r="C113" s="9" t="s">
        <v>1316</v>
      </c>
      <c r="D113" s="9" t="s">
        <v>1317</v>
      </c>
      <c r="E113" s="9" t="s">
        <v>1318</v>
      </c>
      <c r="F113" s="9" t="s">
        <v>1319</v>
      </c>
      <c r="G113" s="9" t="s">
        <v>1321</v>
      </c>
      <c r="L113" s="85">
        <f>$I$26*$L$26</f>
        <v>0</v>
      </c>
      <c r="M113" s="85">
        <f>$I$26*$M$26</f>
        <v>0</v>
      </c>
      <c r="N113" s="85">
        <f ca="1">$I$26*$N$26</f>
        <v>0</v>
      </c>
      <c r="O113" s="85">
        <f>$I$26*$O$26</f>
        <v>0</v>
      </c>
      <c r="P113" s="85">
        <f>$I$26*$P$26</f>
        <v>0</v>
      </c>
      <c r="Q113" s="85">
        <f>$I$26*$Q$26</f>
        <v>0</v>
      </c>
      <c r="R113" s="85">
        <f>$I$26*$R$26</f>
        <v>0</v>
      </c>
      <c r="S113" s="85">
        <f>$I$26*$S$26</f>
        <v>0</v>
      </c>
      <c r="T113" s="85">
        <f>$I$26*$T$26</f>
        <v>0</v>
      </c>
      <c r="U113" s="85">
        <f>$I$26*$U$26</f>
        <v>0</v>
      </c>
      <c r="V113" s="85">
        <f>$I$26*$V$26</f>
        <v>0</v>
      </c>
      <c r="W113" s="85">
        <f>$I$26*$W$26</f>
        <v>0</v>
      </c>
      <c r="X113" s="85">
        <f>$I$26*$X$26</f>
        <v>0</v>
      </c>
      <c r="Y113" s="85">
        <f>$I$26*$Y$26</f>
        <v>0</v>
      </c>
      <c r="Z113" s="85">
        <f>$I$26*$Z$26</f>
        <v>0</v>
      </c>
      <c r="AA113" s="85">
        <f>$I$26*$AA$26</f>
        <v>0</v>
      </c>
      <c r="AB113" s="85">
        <f ca="1">$I$26*$AB$26</f>
        <v>0</v>
      </c>
      <c r="AC113" s="85">
        <f ca="1">$I$26*$AC$26</f>
        <v>0</v>
      </c>
      <c r="AD113" s="85">
        <f>$I$26*$AD$26</f>
        <v>0</v>
      </c>
      <c r="AE113" s="85">
        <f>$I$26*$AE$26</f>
        <v>0</v>
      </c>
      <c r="AF113" s="85">
        <f ca="1">$I$26*$AF$26</f>
        <v>0</v>
      </c>
      <c r="AG113" s="85">
        <f ca="1">$I$26*$AG$26</f>
        <v>0</v>
      </c>
      <c r="AI113" s="85">
        <f>$I$26*$AI$26</f>
        <v>0</v>
      </c>
      <c r="AJ113" s="85">
        <f>$I$26*$AJ$26</f>
        <v>0</v>
      </c>
      <c r="AK113" s="85">
        <f>$I$26*$AK$26</f>
        <v>0</v>
      </c>
      <c r="AL113" s="85">
        <f>$I$26*$AL$26</f>
        <v>0</v>
      </c>
      <c r="AM113" s="85">
        <f>$I$26*$AM$26</f>
        <v>0</v>
      </c>
      <c r="AN113" s="85">
        <f>$I$26*$AN$26</f>
        <v>0</v>
      </c>
      <c r="AO113" s="85">
        <f>$I$26*$AO$26</f>
        <v>0</v>
      </c>
      <c r="AP113" s="85">
        <f>$I$26*$AP$26</f>
        <v>0</v>
      </c>
      <c r="AQ113" s="85">
        <f>$I$26*$AQ$26</f>
        <v>0</v>
      </c>
      <c r="AR113" s="85">
        <f>$I$26*$AR$26</f>
        <v>0</v>
      </c>
      <c r="AS113" s="85">
        <f>$I$26*$AS$26</f>
        <v>0</v>
      </c>
      <c r="AT113" s="85">
        <f>$I$26*$AT$26</f>
        <v>0</v>
      </c>
      <c r="AU113" s="85">
        <f>$I$26*$AU$26</f>
        <v>0</v>
      </c>
      <c r="AV113" s="85">
        <f>$I$26*$AV$26</f>
        <v>0</v>
      </c>
      <c r="AW113" s="85">
        <f>$I$26*$AW$26</f>
        <v>0</v>
      </c>
      <c r="AX113" s="85">
        <f>$I$26*$AX$26</f>
        <v>0</v>
      </c>
      <c r="AY113" s="85">
        <f>$I$26*$AY$26</f>
        <v>0</v>
      </c>
      <c r="AZ113" s="85">
        <f>$I$26*$AZ$26</f>
        <v>0</v>
      </c>
      <c r="BA113" s="85">
        <f>$I$26*$BA$26</f>
        <v>0</v>
      </c>
      <c r="BB113" s="85">
        <f>$I$26*$BB$26</f>
        <v>0</v>
      </c>
      <c r="BC113" s="85">
        <f>$I$26*$BC$26</f>
        <v>0</v>
      </c>
      <c r="BD113" s="85">
        <f>$I$26*$BD$26</f>
        <v>0</v>
      </c>
    </row>
    <row r="114" spans="1:56" ht="11.25" customHeight="1" x14ac:dyDescent="0.25">
      <c r="A114" s="9" t="s">
        <v>33</v>
      </c>
      <c r="B114" s="9" t="s">
        <v>1322</v>
      </c>
      <c r="C114" s="9" t="s">
        <v>1323</v>
      </c>
      <c r="D114" s="9" t="s">
        <v>1324</v>
      </c>
      <c r="E114" s="9" t="s">
        <v>1325</v>
      </c>
      <c r="F114" s="9" t="s">
        <v>1326</v>
      </c>
      <c r="G114" s="9" t="s">
        <v>1327</v>
      </c>
      <c r="L114" s="85">
        <f>$I$27*$L$27</f>
        <v>0</v>
      </c>
      <c r="M114" s="85">
        <f>$I$27*$M$27</f>
        <v>0</v>
      </c>
      <c r="N114" s="85">
        <f ca="1">$I$27*$N$27</f>
        <v>0</v>
      </c>
      <c r="O114" s="85">
        <f>$I$27*$O$27</f>
        <v>0</v>
      </c>
      <c r="P114" s="85">
        <f>$I$27*$P$27</f>
        <v>0</v>
      </c>
      <c r="Q114" s="85">
        <f>$I$27*$Q$27</f>
        <v>0</v>
      </c>
      <c r="R114" s="85">
        <f>$I$27*$R$27</f>
        <v>0</v>
      </c>
      <c r="S114" s="85">
        <f>$I$27*$S$27</f>
        <v>0</v>
      </c>
      <c r="T114" s="85">
        <f>$I$27*$T$27</f>
        <v>12266670.092935663</v>
      </c>
      <c r="U114" s="85">
        <f>$I$27*$U$27</f>
        <v>3257694.2082774872</v>
      </c>
      <c r="V114" s="85">
        <f>$I$27*$V$27</f>
        <v>416126.23009136715</v>
      </c>
      <c r="W114" s="85">
        <f>$I$27*$W$27</f>
        <v>0</v>
      </c>
      <c r="X114" s="85">
        <f>$I$27*$X$27</f>
        <v>0</v>
      </c>
      <c r="Y114" s="85">
        <f>$I$27*$Y$27</f>
        <v>0</v>
      </c>
      <c r="Z114" s="85">
        <f>$I$27*$Z$27</f>
        <v>0</v>
      </c>
      <c r="AA114" s="85">
        <f>$I$27*$AA$27</f>
        <v>25333520.045835543</v>
      </c>
      <c r="AB114" s="85">
        <f ca="1">$I$27*$AB$27</f>
        <v>0</v>
      </c>
      <c r="AC114" s="85">
        <f ca="1">$I$27*$AC$27</f>
        <v>0</v>
      </c>
      <c r="AD114" s="85">
        <f>$I$27*$AD$27</f>
        <v>0</v>
      </c>
      <c r="AE114" s="85">
        <f>$I$27*$AE$27</f>
        <v>0</v>
      </c>
      <c r="AF114" s="85">
        <f ca="1">$I$27*$AF$27</f>
        <v>0</v>
      </c>
      <c r="AG114" s="85">
        <f ca="1">$I$27*$AG$27</f>
        <v>0</v>
      </c>
      <c r="AI114" s="85">
        <f>$I$27*$AI$27</f>
        <v>0</v>
      </c>
      <c r="AJ114" s="85">
        <f>$I$27*$AJ$27</f>
        <v>0</v>
      </c>
      <c r="AK114" s="85">
        <f>$I$27*$AK$27</f>
        <v>0</v>
      </c>
      <c r="AL114" s="85">
        <f>$I$27*$AL$27</f>
        <v>0</v>
      </c>
      <c r="AM114" s="85">
        <f>$I$27*$AM$27</f>
        <v>0</v>
      </c>
      <c r="AN114" s="85">
        <f>$I$27*$AN$27</f>
        <v>0</v>
      </c>
      <c r="AO114" s="85">
        <f>$I$27*$AO$27</f>
        <v>0</v>
      </c>
      <c r="AP114" s="85">
        <f>$I$27*$AP$27</f>
        <v>0</v>
      </c>
      <c r="AQ114" s="85">
        <f>$I$27*$AQ$27</f>
        <v>7737830.4663112778</v>
      </c>
      <c r="AR114" s="85">
        <f>$I$27*$AR$27</f>
        <v>2202258.6634236611</v>
      </c>
      <c r="AS114" s="85">
        <f>$I$27*$AS$27</f>
        <v>269801.96697939187</v>
      </c>
      <c r="AT114" s="85">
        <f>$I$27*$AT$27</f>
        <v>0</v>
      </c>
      <c r="AU114" s="85">
        <f>$I$27*$AU$27</f>
        <v>0</v>
      </c>
      <c r="AV114" s="85">
        <f>$I$27*$AV$27</f>
        <v>0</v>
      </c>
      <c r="AW114" s="85">
        <f>$I$27*$AW$27</f>
        <v>0</v>
      </c>
      <c r="AX114" s="85">
        <f>$I$27*$AX$27</f>
        <v>24574132.399433784</v>
      </c>
      <c r="AY114" s="85">
        <f>$I$27*$AY$27</f>
        <v>0</v>
      </c>
      <c r="AZ114" s="85">
        <f>$I$27*$AZ$27</f>
        <v>0</v>
      </c>
      <c r="BA114" s="85">
        <f>$I$27*$BA$27</f>
        <v>0</v>
      </c>
      <c r="BB114" s="85">
        <f>$I$27*$BB$27</f>
        <v>0</v>
      </c>
      <c r="BC114" s="85">
        <f>$I$27*$BC$27</f>
        <v>0</v>
      </c>
      <c r="BD114" s="85">
        <f>$I$27*$BD$27</f>
        <v>0</v>
      </c>
    </row>
    <row r="115" spans="1:56" ht="11.25" customHeight="1" x14ac:dyDescent="0.25">
      <c r="A115" s="9" t="s">
        <v>33</v>
      </c>
      <c r="B115" s="9" t="s">
        <v>1322</v>
      </c>
      <c r="C115" s="9" t="s">
        <v>1323</v>
      </c>
      <c r="D115" s="9" t="s">
        <v>1324</v>
      </c>
      <c r="E115" s="9" t="s">
        <v>1325</v>
      </c>
      <c r="F115" s="9" t="s">
        <v>1326</v>
      </c>
      <c r="G115" s="9" t="s">
        <v>1328</v>
      </c>
      <c r="L115" s="85">
        <f>$I$28*$L$28</f>
        <v>0</v>
      </c>
      <c r="M115" s="85">
        <f>$I$28*$M$28</f>
        <v>0</v>
      </c>
      <c r="N115" s="85">
        <f ca="1">$I$28*$N$28</f>
        <v>0</v>
      </c>
      <c r="O115" s="85">
        <f>$I$28*$O$28</f>
        <v>0</v>
      </c>
      <c r="P115" s="85">
        <f>$I$28*$P$28</f>
        <v>0</v>
      </c>
      <c r="Q115" s="85">
        <f>$I$28*$Q$28</f>
        <v>0</v>
      </c>
      <c r="R115" s="85">
        <f>$I$28*$R$28</f>
        <v>0</v>
      </c>
      <c r="S115" s="85">
        <f>$I$28*$S$28</f>
        <v>0</v>
      </c>
      <c r="T115" s="85">
        <f>$I$28*$T$28</f>
        <v>9229699.0997361708</v>
      </c>
      <c r="U115" s="85">
        <f>$I$28*$U$28</f>
        <v>2667462.4251606246</v>
      </c>
      <c r="V115" s="85">
        <f>$I$28*$V$28</f>
        <v>306446.70853860618</v>
      </c>
      <c r="W115" s="85">
        <f>$I$28*$W$28</f>
        <v>0</v>
      </c>
      <c r="X115" s="85">
        <f>$I$28*$X$28</f>
        <v>0</v>
      </c>
      <c r="Y115" s="85">
        <f>$I$28*$Y$28</f>
        <v>0</v>
      </c>
      <c r="Z115" s="85">
        <f>$I$28*$Z$28</f>
        <v>0</v>
      </c>
      <c r="AA115" s="85">
        <f>$I$28*$AA$28</f>
        <v>7789045.624678052</v>
      </c>
      <c r="AB115" s="85">
        <f ca="1">$I$28*$AB$28</f>
        <v>0</v>
      </c>
      <c r="AC115" s="85">
        <f ca="1">$I$28*$AC$28</f>
        <v>0</v>
      </c>
      <c r="AD115" s="85">
        <f>$I$28*$AD$28</f>
        <v>0</v>
      </c>
      <c r="AE115" s="85">
        <f>$I$28*$AE$28</f>
        <v>0</v>
      </c>
      <c r="AF115" s="85">
        <f ca="1">$I$28*$AF$28</f>
        <v>0</v>
      </c>
      <c r="AG115" s="85">
        <f ca="1">$I$28*$AG$28</f>
        <v>0</v>
      </c>
      <c r="AI115" s="85">
        <f>$I$28*$AI$28</f>
        <v>0</v>
      </c>
      <c r="AJ115" s="85">
        <f>$I$28*$AJ$28</f>
        <v>0</v>
      </c>
      <c r="AK115" s="85">
        <f>$I$28*$AK$28</f>
        <v>0</v>
      </c>
      <c r="AL115" s="85">
        <f>$I$28*$AL$28</f>
        <v>0</v>
      </c>
      <c r="AM115" s="85">
        <f>$I$28*$AM$28</f>
        <v>0</v>
      </c>
      <c r="AN115" s="85">
        <f>$I$28*$AN$28</f>
        <v>0</v>
      </c>
      <c r="AO115" s="85">
        <f>$I$28*$AO$28</f>
        <v>0</v>
      </c>
      <c r="AP115" s="85">
        <f>$I$28*$AP$28</f>
        <v>0</v>
      </c>
      <c r="AQ115" s="85">
        <f>$I$28*$AQ$28</f>
        <v>5822105.4571243161</v>
      </c>
      <c r="AR115" s="85">
        <f>$I$28*$AR$28</f>
        <v>1803251.5821284403</v>
      </c>
      <c r="AS115" s="85">
        <f>$I$28*$AS$28</f>
        <v>198689.52918426297</v>
      </c>
      <c r="AT115" s="85">
        <f>$I$28*$AT$28</f>
        <v>0</v>
      </c>
      <c r="AU115" s="85">
        <f>$I$28*$AU$28</f>
        <v>0</v>
      </c>
      <c r="AV115" s="85">
        <f>$I$28*$AV$28</f>
        <v>0</v>
      </c>
      <c r="AW115" s="85">
        <f>$I$28*$AW$28</f>
        <v>0</v>
      </c>
      <c r="AX115" s="85">
        <f>$I$28*$AX$28</f>
        <v>7555564.2524116309</v>
      </c>
      <c r="AY115" s="85">
        <f>$I$28*$AY$28</f>
        <v>0</v>
      </c>
      <c r="AZ115" s="85">
        <f>$I$28*$AZ$28</f>
        <v>0</v>
      </c>
      <c r="BA115" s="85">
        <f>$I$28*$BA$28</f>
        <v>0</v>
      </c>
      <c r="BB115" s="85">
        <f>$I$28*$BB$28</f>
        <v>0</v>
      </c>
      <c r="BC115" s="85">
        <f>$I$28*$BC$28</f>
        <v>0</v>
      </c>
      <c r="BD115" s="85">
        <f>$I$28*$BD$28</f>
        <v>0</v>
      </c>
    </row>
    <row r="116" spans="1:56" ht="11.25" customHeight="1" x14ac:dyDescent="0.25">
      <c r="A116" s="9" t="s">
        <v>33</v>
      </c>
      <c r="B116" s="9" t="s">
        <v>1322</v>
      </c>
      <c r="C116" s="9" t="s">
        <v>1323</v>
      </c>
      <c r="D116" s="9" t="s">
        <v>1324</v>
      </c>
      <c r="E116" s="9" t="s">
        <v>1325</v>
      </c>
      <c r="F116" s="9" t="s">
        <v>1326</v>
      </c>
      <c r="G116" s="9" t="s">
        <v>1329</v>
      </c>
      <c r="L116" s="85">
        <f>$I$29*$L$29</f>
        <v>0</v>
      </c>
      <c r="M116" s="85">
        <f>$I$29*$M$29</f>
        <v>129918.72151461981</v>
      </c>
      <c r="N116" s="85">
        <f ca="1">$I$29*$N$29</f>
        <v>301582.14681271225</v>
      </c>
      <c r="O116" s="85">
        <f>$I$29*$O$29</f>
        <v>0</v>
      </c>
      <c r="P116" s="85">
        <f>$I$29*$P$29</f>
        <v>0</v>
      </c>
      <c r="Q116" s="85">
        <f>$I$29*$Q$29</f>
        <v>37799721.593177766</v>
      </c>
      <c r="R116" s="85">
        <f>$I$29*$R$29</f>
        <v>4464701.6495286133</v>
      </c>
      <c r="S116" s="85">
        <f>$I$29*$S$29</f>
        <v>0</v>
      </c>
      <c r="T116" s="85">
        <f>$I$29*$T$29</f>
        <v>0</v>
      </c>
      <c r="U116" s="85">
        <f>$I$29*$U$29</f>
        <v>0</v>
      </c>
      <c r="V116" s="85">
        <f>$I$29*$V$29</f>
        <v>0</v>
      </c>
      <c r="W116" s="85">
        <f>$I$29*$W$29</f>
        <v>0</v>
      </c>
      <c r="X116" s="85">
        <f>$I$29*$X$29</f>
        <v>0</v>
      </c>
      <c r="Y116" s="85">
        <f>$I$29*$Y$29</f>
        <v>0</v>
      </c>
      <c r="Z116" s="85">
        <f>$I$29*$Z$29</f>
        <v>0</v>
      </c>
      <c r="AA116" s="85">
        <f>$I$29*$AA$29</f>
        <v>0</v>
      </c>
      <c r="AB116" s="85">
        <f ca="1">$I$29*$AB$29</f>
        <v>0</v>
      </c>
      <c r="AC116" s="85">
        <f ca="1">$I$29*$AC$29</f>
        <v>0</v>
      </c>
      <c r="AD116" s="85">
        <f>$I$29*$AD$29</f>
        <v>6793209.8385232631</v>
      </c>
      <c r="AE116" s="85">
        <f>$I$29*$AE$29</f>
        <v>255345.51831847144</v>
      </c>
      <c r="AF116" s="85">
        <f ca="1">$I$29*$AF$29</f>
        <v>4980905.9361198824</v>
      </c>
      <c r="AG116" s="85">
        <f ca="1">$I$29*$AG$29</f>
        <v>1280259.386153783</v>
      </c>
      <c r="AI116" s="85">
        <f>$I$29*$AI$29</f>
        <v>0</v>
      </c>
      <c r="AJ116" s="85">
        <f>$I$29*$AJ$29</f>
        <v>129583.87628242398</v>
      </c>
      <c r="AK116" s="85">
        <f>$I$29*$AK$29</f>
        <v>296082.81914502551</v>
      </c>
      <c r="AL116" s="85">
        <f>$I$29*$AL$29</f>
        <v>0</v>
      </c>
      <c r="AM116" s="85">
        <f>$I$29*$AM$29</f>
        <v>0</v>
      </c>
      <c r="AN116" s="85">
        <f>$I$29*$AN$29</f>
        <v>31645259.247185569</v>
      </c>
      <c r="AO116" s="85">
        <f>$I$29*$AO$29</f>
        <v>6526030.4555005003</v>
      </c>
      <c r="AP116" s="85">
        <f>$I$29*$AP$29</f>
        <v>0</v>
      </c>
      <c r="AQ116" s="85">
        <f>$I$29*$AQ$29</f>
        <v>0</v>
      </c>
      <c r="AR116" s="85">
        <f>$I$29*$AR$29</f>
        <v>0</v>
      </c>
      <c r="AS116" s="85">
        <f>$I$29*$AS$29</f>
        <v>0</v>
      </c>
      <c r="AT116" s="85">
        <f>$I$29*$AT$29</f>
        <v>0</v>
      </c>
      <c r="AU116" s="85">
        <f>$I$29*$AU$29</f>
        <v>0</v>
      </c>
      <c r="AV116" s="85">
        <f>$I$29*$AV$29</f>
        <v>0</v>
      </c>
      <c r="AW116" s="85">
        <f>$I$29*$AW$29</f>
        <v>0</v>
      </c>
      <c r="AX116" s="85">
        <f>$I$29*$AX$29</f>
        <v>0</v>
      </c>
      <c r="AY116" s="85">
        <f>$I$29*$AY$29</f>
        <v>0</v>
      </c>
      <c r="AZ116" s="85">
        <f>$I$29*$AZ$29</f>
        <v>0</v>
      </c>
      <c r="BA116" s="85">
        <f>$I$29*$BA$29</f>
        <v>8183784.1049659625</v>
      </c>
      <c r="BB116" s="85">
        <f>$I$29*$BB$29</f>
        <v>306297.46670940879</v>
      </c>
      <c r="BC116" s="85">
        <f>$I$29*$BC$29</f>
        <v>5755393.3065760601</v>
      </c>
      <c r="BD116" s="85">
        <f>$I$29*$BD$29</f>
        <v>1201408.5047192287</v>
      </c>
    </row>
    <row r="117" spans="1:56" ht="11.25" customHeight="1" x14ac:dyDescent="0.25">
      <c r="A117" s="9" t="s">
        <v>33</v>
      </c>
      <c r="B117" s="9" t="s">
        <v>1322</v>
      </c>
      <c r="C117" s="9" t="s">
        <v>1323</v>
      </c>
      <c r="D117" s="9" t="s">
        <v>1324</v>
      </c>
      <c r="E117" s="9" t="s">
        <v>1330</v>
      </c>
      <c r="F117" s="9" t="s">
        <v>1331</v>
      </c>
      <c r="G117" s="9" t="s">
        <v>1332</v>
      </c>
      <c r="L117" s="85">
        <f>$I$30*$L$30</f>
        <v>0</v>
      </c>
      <c r="M117" s="85">
        <f>$I$30*$M$30</f>
        <v>0</v>
      </c>
      <c r="N117" s="85">
        <f ca="1">$I$30*$N$30</f>
        <v>0</v>
      </c>
      <c r="O117" s="85">
        <f>$I$30*$O$30</f>
        <v>0</v>
      </c>
      <c r="P117" s="85">
        <f>$I$30*$P$30</f>
        <v>0</v>
      </c>
      <c r="Q117" s="85">
        <f>$I$30*$Q$30</f>
        <v>0</v>
      </c>
      <c r="R117" s="85">
        <f>$I$30*$R$30</f>
        <v>0</v>
      </c>
      <c r="S117" s="85">
        <f>$I$30*$S$30</f>
        <v>0</v>
      </c>
      <c r="T117" s="85">
        <f>$I$30*$T$30</f>
        <v>0</v>
      </c>
      <c r="U117" s="85">
        <f>$I$30*$U$30</f>
        <v>0</v>
      </c>
      <c r="V117" s="85">
        <f>$I$30*$V$30</f>
        <v>0</v>
      </c>
      <c r="W117" s="85">
        <f>$I$30*$W$30</f>
        <v>0</v>
      </c>
      <c r="X117" s="85">
        <f>$I$30*$X$30</f>
        <v>0</v>
      </c>
      <c r="Y117" s="85">
        <f>$I$30*$Y$30</f>
        <v>0</v>
      </c>
      <c r="Z117" s="85">
        <f>$I$30*$Z$30</f>
        <v>0</v>
      </c>
      <c r="AA117" s="85">
        <f>$I$30*$AA$30</f>
        <v>0</v>
      </c>
      <c r="AB117" s="85">
        <f ca="1">$I$30*$AB$30</f>
        <v>0</v>
      </c>
      <c r="AC117" s="85">
        <f ca="1">$I$30*$AC$30</f>
        <v>0</v>
      </c>
      <c r="AD117" s="85">
        <f>$I$30*$AD$30</f>
        <v>0</v>
      </c>
      <c r="AE117" s="85">
        <f>$I$30*$AE$30</f>
        <v>0</v>
      </c>
      <c r="AF117" s="85">
        <f ca="1">$I$30*$AF$30</f>
        <v>0</v>
      </c>
      <c r="AG117" s="85">
        <f ca="1">$I$30*$AG$30</f>
        <v>0</v>
      </c>
      <c r="AI117" s="85">
        <f>$I$30*$AI$30</f>
        <v>0</v>
      </c>
      <c r="AJ117" s="85">
        <f>$I$30*$AJ$30</f>
        <v>0</v>
      </c>
      <c r="AK117" s="85">
        <f>$I$30*$AK$30</f>
        <v>0</v>
      </c>
      <c r="AL117" s="85">
        <f>$I$30*$AL$30</f>
        <v>0</v>
      </c>
      <c r="AM117" s="85">
        <f>$I$30*$AM$30</f>
        <v>0</v>
      </c>
      <c r="AN117" s="85">
        <f>$I$30*$AN$30</f>
        <v>0</v>
      </c>
      <c r="AO117" s="85">
        <f>$I$30*$AO$30</f>
        <v>0</v>
      </c>
      <c r="AP117" s="85">
        <f>$I$30*$AP$30</f>
        <v>0</v>
      </c>
      <c r="AQ117" s="85">
        <f>$I$30*$AQ$30</f>
        <v>0</v>
      </c>
      <c r="AR117" s="85">
        <f>$I$30*$AR$30</f>
        <v>0</v>
      </c>
      <c r="AS117" s="85">
        <f>$I$30*$AS$30</f>
        <v>0</v>
      </c>
      <c r="AT117" s="85">
        <f>$I$30*$AT$30</f>
        <v>0</v>
      </c>
      <c r="AU117" s="85">
        <f>$I$30*$AU$30</f>
        <v>0</v>
      </c>
      <c r="AV117" s="85">
        <f>$I$30*$AV$30</f>
        <v>0</v>
      </c>
      <c r="AW117" s="85">
        <f>$I$30*$AW$30</f>
        <v>0</v>
      </c>
      <c r="AX117" s="85">
        <f>$I$30*$AX$30</f>
        <v>0</v>
      </c>
      <c r="AY117" s="85">
        <f>$I$30*$AY$30</f>
        <v>0</v>
      </c>
      <c r="AZ117" s="85">
        <f>$I$30*$AZ$30</f>
        <v>0</v>
      </c>
      <c r="BA117" s="85">
        <f>$I$30*$BA$30</f>
        <v>0</v>
      </c>
      <c r="BB117" s="85">
        <f>$I$30*$BB$30</f>
        <v>0</v>
      </c>
      <c r="BC117" s="85">
        <f>$I$30*$BC$30</f>
        <v>0</v>
      </c>
      <c r="BD117" s="85">
        <f>$I$30*$BD$30</f>
        <v>0</v>
      </c>
    </row>
    <row r="118" spans="1:56" ht="11.25" customHeight="1" x14ac:dyDescent="0.25">
      <c r="A118" s="9" t="s">
        <v>33</v>
      </c>
      <c r="B118" s="9" t="s">
        <v>1333</v>
      </c>
      <c r="C118" s="9" t="s">
        <v>1334</v>
      </c>
      <c r="D118" s="9" t="s">
        <v>1335</v>
      </c>
      <c r="E118" s="9" t="s">
        <v>1336</v>
      </c>
      <c r="F118" s="9" t="s">
        <v>1337</v>
      </c>
      <c r="G118" s="9" t="s">
        <v>1338</v>
      </c>
      <c r="L118" s="85">
        <f>$I$31*$L$31</f>
        <v>0</v>
      </c>
      <c r="M118" s="85">
        <f>$I$31*$M$31</f>
        <v>0</v>
      </c>
      <c r="N118" s="85">
        <f ca="1">$I$31*$N$31</f>
        <v>0</v>
      </c>
      <c r="O118" s="85">
        <f>$I$31*$O$31</f>
        <v>0</v>
      </c>
      <c r="P118" s="85">
        <f>$I$31*$P$31</f>
        <v>0</v>
      </c>
      <c r="Q118" s="85">
        <f>$I$31*$Q$31</f>
        <v>0</v>
      </c>
      <c r="R118" s="85">
        <f>$I$31*$R$31</f>
        <v>0</v>
      </c>
      <c r="S118" s="85">
        <f>$I$31*$S$31</f>
        <v>0</v>
      </c>
      <c r="T118" s="85">
        <f>$I$31*$T$31</f>
        <v>0</v>
      </c>
      <c r="U118" s="85">
        <f>$I$31*$U$31</f>
        <v>0</v>
      </c>
      <c r="V118" s="85">
        <f>$I$31*$V$31</f>
        <v>0</v>
      </c>
      <c r="W118" s="85">
        <f>$I$31*$W$31</f>
        <v>0</v>
      </c>
      <c r="X118" s="85">
        <f>$I$31*$X$31</f>
        <v>0</v>
      </c>
      <c r="Y118" s="85">
        <f>$I$31*$Y$31</f>
        <v>0</v>
      </c>
      <c r="Z118" s="85">
        <f>$I$31*$Z$31</f>
        <v>0</v>
      </c>
      <c r="AA118" s="85">
        <f>$I$31*$AA$31</f>
        <v>0</v>
      </c>
      <c r="AB118" s="85">
        <f ca="1">$I$31*$AB$31</f>
        <v>0</v>
      </c>
      <c r="AC118" s="85">
        <f ca="1">$I$31*$AC$31</f>
        <v>0</v>
      </c>
      <c r="AD118" s="85">
        <f>$I$31*$AD$31</f>
        <v>0</v>
      </c>
      <c r="AE118" s="85">
        <f>$I$31*$AE$31</f>
        <v>0</v>
      </c>
      <c r="AF118" s="85">
        <f ca="1">$I$31*$AF$31</f>
        <v>0</v>
      </c>
      <c r="AG118" s="85">
        <f ca="1">$I$31*$AG$31</f>
        <v>0</v>
      </c>
      <c r="AI118" s="85">
        <f>$I$31*$AI$31</f>
        <v>0</v>
      </c>
      <c r="AJ118" s="85">
        <f>$I$31*$AJ$31</f>
        <v>0</v>
      </c>
      <c r="AK118" s="85">
        <f>$I$31*$AK$31</f>
        <v>0</v>
      </c>
      <c r="AL118" s="85">
        <f>$I$31*$AL$31</f>
        <v>0</v>
      </c>
      <c r="AM118" s="85">
        <f>$I$31*$AM$31</f>
        <v>0</v>
      </c>
      <c r="AN118" s="85">
        <f>$I$31*$AN$31</f>
        <v>0</v>
      </c>
      <c r="AO118" s="85">
        <f>$I$31*$AO$31</f>
        <v>0</v>
      </c>
      <c r="AP118" s="85">
        <f>$I$31*$AP$31</f>
        <v>0</v>
      </c>
      <c r="AQ118" s="85">
        <f>$I$31*$AQ$31</f>
        <v>0</v>
      </c>
      <c r="AR118" s="85">
        <f>$I$31*$AR$31</f>
        <v>0</v>
      </c>
      <c r="AS118" s="85">
        <f>$I$31*$AS$31</f>
        <v>0</v>
      </c>
      <c r="AT118" s="85">
        <f>$I$31*$AT$31</f>
        <v>0</v>
      </c>
      <c r="AU118" s="85">
        <f>$I$31*$AU$31</f>
        <v>0</v>
      </c>
      <c r="AV118" s="85">
        <f>$I$31*$AV$31</f>
        <v>0</v>
      </c>
      <c r="AW118" s="85">
        <f>$I$31*$AW$31</f>
        <v>0</v>
      </c>
      <c r="AX118" s="85">
        <f>$I$31*$AX$31</f>
        <v>0</v>
      </c>
      <c r="AY118" s="85">
        <f>$I$31*$AY$31</f>
        <v>0</v>
      </c>
      <c r="AZ118" s="85">
        <f>$I$31*$AZ$31</f>
        <v>0</v>
      </c>
      <c r="BA118" s="85">
        <f>$I$31*$BA$31</f>
        <v>0</v>
      </c>
      <c r="BB118" s="85">
        <f>$I$31*$BB$31</f>
        <v>0</v>
      </c>
      <c r="BC118" s="85">
        <f>$I$31*$BC$31</f>
        <v>0</v>
      </c>
      <c r="BD118" s="85">
        <f>$I$31*$BD$31</f>
        <v>0</v>
      </c>
    </row>
    <row r="119" spans="1:56" ht="11.25" customHeight="1" x14ac:dyDescent="0.25">
      <c r="A119" s="9" t="s">
        <v>33</v>
      </c>
      <c r="B119" s="9" t="s">
        <v>1339</v>
      </c>
      <c r="C119" s="9" t="s">
        <v>1340</v>
      </c>
      <c r="D119" s="9" t="s">
        <v>1341</v>
      </c>
      <c r="E119" s="9" t="s">
        <v>1342</v>
      </c>
      <c r="F119" s="9" t="s">
        <v>1343</v>
      </c>
      <c r="G119" s="9" t="s">
        <v>1344</v>
      </c>
      <c r="L119" s="85">
        <f>$I$32*$L$32</f>
        <v>0</v>
      </c>
      <c r="M119" s="85">
        <f>$I$32*$M$32</f>
        <v>0</v>
      </c>
      <c r="N119" s="85">
        <f ca="1">$I$32*$N$32</f>
        <v>0</v>
      </c>
      <c r="O119" s="85">
        <f>$I$32*$O$32</f>
        <v>0</v>
      </c>
      <c r="P119" s="85">
        <f>$I$32*$P$32</f>
        <v>0</v>
      </c>
      <c r="Q119" s="85">
        <f>$I$32*$Q$32</f>
        <v>0</v>
      </c>
      <c r="R119" s="85">
        <f>$I$32*$R$32</f>
        <v>0</v>
      </c>
      <c r="S119" s="85">
        <f>$I$32*$S$32</f>
        <v>0</v>
      </c>
      <c r="T119" s="85">
        <f>$I$32*$T$32</f>
        <v>17777788.713873766</v>
      </c>
      <c r="U119" s="85">
        <f>$I$32*$U$32</f>
        <v>5137933.8464087564</v>
      </c>
      <c r="V119" s="85">
        <f>$I$32*$V$32</f>
        <v>590262.45358498464</v>
      </c>
      <c r="W119" s="85">
        <f>$I$32*$W$32</f>
        <v>0</v>
      </c>
      <c r="X119" s="85">
        <f>$I$32*$X$32</f>
        <v>0</v>
      </c>
      <c r="Y119" s="85">
        <f>$I$32*$Y$32</f>
        <v>0</v>
      </c>
      <c r="Z119" s="85">
        <f>$I$32*$Z$32</f>
        <v>0</v>
      </c>
      <c r="AA119" s="85">
        <f>$I$32*$AA$32</f>
        <v>15002873.430858379</v>
      </c>
      <c r="AB119" s="85">
        <f ca="1">$I$32*$AB$32</f>
        <v>0</v>
      </c>
      <c r="AC119" s="85">
        <f ca="1">$I$32*$AC$32</f>
        <v>0</v>
      </c>
      <c r="AD119" s="85">
        <f>$I$32*$AD$32</f>
        <v>0</v>
      </c>
      <c r="AE119" s="85">
        <f>$I$32*$AE$32</f>
        <v>0</v>
      </c>
      <c r="AF119" s="85">
        <f ca="1">$I$32*$AF$32</f>
        <v>0</v>
      </c>
      <c r="AG119" s="85">
        <f ca="1">$I$32*$AG$32</f>
        <v>0</v>
      </c>
      <c r="AI119" s="85">
        <f>$I$32*$AI$32</f>
        <v>0</v>
      </c>
      <c r="AJ119" s="85">
        <f>$I$32*$AJ$32</f>
        <v>0</v>
      </c>
      <c r="AK119" s="85">
        <f>$I$32*$AK$32</f>
        <v>0</v>
      </c>
      <c r="AL119" s="85">
        <f>$I$32*$AL$32</f>
        <v>0</v>
      </c>
      <c r="AM119" s="85">
        <f>$I$32*$AM$32</f>
        <v>0</v>
      </c>
      <c r="AN119" s="85">
        <f>$I$32*$AN$32</f>
        <v>0</v>
      </c>
      <c r="AO119" s="85">
        <f>$I$32*$AO$32</f>
        <v>0</v>
      </c>
      <c r="AP119" s="85">
        <f>$I$32*$AP$32</f>
        <v>0</v>
      </c>
      <c r="AQ119" s="85">
        <f>$I$32*$AQ$32</f>
        <v>11214250.818816638</v>
      </c>
      <c r="AR119" s="85">
        <f>$I$32*$AR$32</f>
        <v>3473333.775957481</v>
      </c>
      <c r="AS119" s="85">
        <f>$I$32*$AS$32</f>
        <v>382705.91828912945</v>
      </c>
      <c r="AT119" s="85">
        <f>$I$32*$AT$32</f>
        <v>0</v>
      </c>
      <c r="AU119" s="85">
        <f>$I$32*$AU$32</f>
        <v>0</v>
      </c>
      <c r="AV119" s="85">
        <f>$I$32*$AV$32</f>
        <v>0</v>
      </c>
      <c r="AW119" s="85">
        <f>$I$32*$AW$32</f>
        <v>0</v>
      </c>
      <c r="AX119" s="85">
        <f>$I$32*$AX$32</f>
        <v>14553153.189718951</v>
      </c>
      <c r="AY119" s="85">
        <f>$I$32*$AY$32</f>
        <v>0</v>
      </c>
      <c r="AZ119" s="85">
        <f>$I$32*$AZ$32</f>
        <v>0</v>
      </c>
      <c r="BA119" s="85">
        <f>$I$32*$BA$32</f>
        <v>0</v>
      </c>
      <c r="BB119" s="85">
        <f>$I$32*$BB$32</f>
        <v>0</v>
      </c>
      <c r="BC119" s="85">
        <f>$I$32*$BC$32</f>
        <v>0</v>
      </c>
      <c r="BD119" s="85">
        <f>$I$32*$BD$32</f>
        <v>0</v>
      </c>
    </row>
    <row r="120" spans="1:56" ht="11.25" customHeight="1" x14ac:dyDescent="0.25">
      <c r="A120" s="9" t="s">
        <v>33</v>
      </c>
      <c r="B120" s="9" t="s">
        <v>1339</v>
      </c>
      <c r="C120" s="9" t="s">
        <v>1340</v>
      </c>
      <c r="D120" s="9" t="s">
        <v>1341</v>
      </c>
      <c r="E120" s="9" t="s">
        <v>1342</v>
      </c>
      <c r="F120" s="9" t="s">
        <v>1343</v>
      </c>
      <c r="G120" s="9" t="s">
        <v>1345</v>
      </c>
      <c r="L120" s="85">
        <f>$I$33*$L$33</f>
        <v>0</v>
      </c>
      <c r="M120" s="85">
        <f>$I$33*$M$33</f>
        <v>11091.610376561892</v>
      </c>
      <c r="N120" s="85">
        <f ca="1">$I$33*$N$33</f>
        <v>335065.56227756554</v>
      </c>
      <c r="O120" s="85">
        <f>$I$33*$O$33</f>
        <v>0</v>
      </c>
      <c r="P120" s="85">
        <f>$I$33*$P$33</f>
        <v>0</v>
      </c>
      <c r="Q120" s="85">
        <f>$I$33*$Q$33</f>
        <v>3227092.9036725601</v>
      </c>
      <c r="R120" s="85">
        <f>$I$33*$R$33</f>
        <v>381167.01401338819</v>
      </c>
      <c r="S120" s="85">
        <f>$I$33*$S$33</f>
        <v>0</v>
      </c>
      <c r="T120" s="85">
        <f>$I$33*$T$33</f>
        <v>10627974.184803247</v>
      </c>
      <c r="U120" s="85">
        <f>$I$33*$U$33</f>
        <v>2822488.3110452378</v>
      </c>
      <c r="V120" s="85">
        <f>$I$33*$V$33</f>
        <v>360338.07636573882</v>
      </c>
      <c r="W120" s="85">
        <f>$I$33*$W$33</f>
        <v>0</v>
      </c>
      <c r="X120" s="85">
        <f>$I$33*$X$33</f>
        <v>0</v>
      </c>
      <c r="Y120" s="85">
        <f>$I$33*$Y$33</f>
        <v>0</v>
      </c>
      <c r="Z120" s="85">
        <f>$I$33*$Z$33</f>
        <v>0</v>
      </c>
      <c r="AA120" s="85">
        <f>$I$33*$AA$33</f>
        <v>21948991.702567305</v>
      </c>
      <c r="AB120" s="85">
        <f ca="1">$I$33*$AB$33</f>
        <v>0</v>
      </c>
      <c r="AC120" s="85">
        <f ca="1">$I$33*$AC$33</f>
        <v>0</v>
      </c>
      <c r="AD120" s="85">
        <f>$I$33*$AD$33</f>
        <v>579959.80761439423</v>
      </c>
      <c r="AE120" s="85">
        <f>$I$33*$AE$33</f>
        <v>21799.729612263964</v>
      </c>
      <c r="AF120" s="85">
        <f ca="1">$I$33*$AF$33</f>
        <v>425237.15844547568</v>
      </c>
      <c r="AG120" s="85">
        <f ca="1">$I$33*$AG$33</f>
        <v>109300.16957222066</v>
      </c>
      <c r="AI120" s="85">
        <f>$I$33*$AI$33</f>
        <v>0</v>
      </c>
      <c r="AJ120" s="85">
        <f>$I$33*$AJ$33</f>
        <v>11063.023481550403</v>
      </c>
      <c r="AK120" s="85">
        <f>$I$33*$AK$33</f>
        <v>348102.20957743557</v>
      </c>
      <c r="AL120" s="85">
        <f>$I$33*$AL$33</f>
        <v>0</v>
      </c>
      <c r="AM120" s="85">
        <f>$I$33*$AM$33</f>
        <v>0</v>
      </c>
      <c r="AN120" s="85">
        <f>$I$33*$AN$33</f>
        <v>2701665.1776054986</v>
      </c>
      <c r="AO120" s="85">
        <f>$I$33*$AO$33</f>
        <v>557149.78006339795</v>
      </c>
      <c r="AP120" s="85">
        <f>$I$33*$AP$33</f>
        <v>0</v>
      </c>
      <c r="AQ120" s="85">
        <f>$I$33*$AQ$33</f>
        <v>6704139.0874040406</v>
      </c>
      <c r="AR120" s="85">
        <f>$I$33*$AR$33</f>
        <v>1908051.8114983009</v>
      </c>
      <c r="AS120" s="85">
        <f>$I$33*$AS$33</f>
        <v>233630.84264046603</v>
      </c>
      <c r="AT120" s="85">
        <f>$I$33*$AT$33</f>
        <v>0</v>
      </c>
      <c r="AU120" s="85">
        <f>$I$33*$AU$33</f>
        <v>0</v>
      </c>
      <c r="AV120" s="85">
        <f>$I$33*$AV$33</f>
        <v>0</v>
      </c>
      <c r="AW120" s="85">
        <f>$I$33*$AW$33</f>
        <v>0</v>
      </c>
      <c r="AX120" s="85">
        <f>$I$33*$AX$33</f>
        <v>21291057.34840934</v>
      </c>
      <c r="AY120" s="85">
        <f>$I$33*$AY$33</f>
        <v>0</v>
      </c>
      <c r="AZ120" s="85">
        <f>$I$33*$AZ$33</f>
        <v>0</v>
      </c>
      <c r="BA120" s="85">
        <f>$I$33*$BA$33</f>
        <v>698677.93986849091</v>
      </c>
      <c r="BB120" s="85">
        <f>$I$33*$BB$33</f>
        <v>26149.673584083081</v>
      </c>
      <c r="BC120" s="85">
        <f>$I$33*$BC$33</f>
        <v>491357.82261550601</v>
      </c>
      <c r="BD120" s="85">
        <f>$I$33*$BD$33</f>
        <v>102568.39724160904</v>
      </c>
    </row>
    <row r="121" spans="1:56" ht="11.25" customHeight="1" x14ac:dyDescent="0.25">
      <c r="A121" s="9" t="s">
        <v>33</v>
      </c>
      <c r="B121" s="9" t="s">
        <v>1339</v>
      </c>
      <c r="C121" s="9" t="s">
        <v>1340</v>
      </c>
      <c r="D121" s="9" t="s">
        <v>1341</v>
      </c>
      <c r="E121" s="9" t="s">
        <v>1342</v>
      </c>
      <c r="F121" s="9" t="s">
        <v>1343</v>
      </c>
      <c r="G121" s="9" t="s">
        <v>1346</v>
      </c>
      <c r="L121" s="85">
        <f>$I$34*$L$34</f>
        <v>0</v>
      </c>
      <c r="M121" s="85">
        <f>$I$34*$M$34</f>
        <v>118811.30421559644</v>
      </c>
      <c r="N121" s="85">
        <f ca="1">$I$34*$N$34</f>
        <v>275798.34355840471</v>
      </c>
      <c r="O121" s="85">
        <f>$I$34*$O$34</f>
        <v>0</v>
      </c>
      <c r="P121" s="85">
        <f>$I$34*$P$34</f>
        <v>0</v>
      </c>
      <c r="Q121" s="85">
        <f>$I$34*$Q$34</f>
        <v>34568029.681284346</v>
      </c>
      <c r="R121" s="85">
        <f>$I$34*$R$34</f>
        <v>4082991.4251759839</v>
      </c>
      <c r="S121" s="85">
        <f>$I$34*$S$34</f>
        <v>0</v>
      </c>
      <c r="T121" s="85">
        <f>$I$34*$T$34</f>
        <v>0</v>
      </c>
      <c r="U121" s="85">
        <f>$I$34*$U$34</f>
        <v>0</v>
      </c>
      <c r="V121" s="85">
        <f>$I$34*$V$34</f>
        <v>0</v>
      </c>
      <c r="W121" s="85">
        <f>$I$34*$W$34</f>
        <v>0</v>
      </c>
      <c r="X121" s="85">
        <f>$I$34*$X$34</f>
        <v>0</v>
      </c>
      <c r="Y121" s="85">
        <f>$I$34*$Y$34</f>
        <v>0</v>
      </c>
      <c r="Z121" s="85">
        <f>$I$34*$Z$34</f>
        <v>0</v>
      </c>
      <c r="AA121" s="85">
        <f>$I$34*$AA$34</f>
        <v>0</v>
      </c>
      <c r="AB121" s="85">
        <f ca="1">$I$34*$AB$34</f>
        <v>0</v>
      </c>
      <c r="AC121" s="85">
        <f ca="1">$I$34*$AC$34</f>
        <v>0</v>
      </c>
      <c r="AD121" s="85">
        <f>$I$34*$AD$34</f>
        <v>6212423.5161469448</v>
      </c>
      <c r="AE121" s="85">
        <f>$I$34*$AE$34</f>
        <v>233514.72138379319</v>
      </c>
      <c r="AF121" s="85">
        <f ca="1">$I$34*$AF$34</f>
        <v>4555062.7619054532</v>
      </c>
      <c r="AG121" s="85">
        <f ca="1">$I$34*$AG$34</f>
        <v>1170803.4502638862</v>
      </c>
      <c r="AI121" s="85">
        <f>$I$34*$AI$34</f>
        <v>0</v>
      </c>
      <c r="AJ121" s="85">
        <f>$I$34*$AJ$34</f>
        <v>118505.08661828823</v>
      </c>
      <c r="AK121" s="85">
        <f>$I$34*$AK$34</f>
        <v>270769.18159552896</v>
      </c>
      <c r="AL121" s="85">
        <f>$I$34*$AL$34</f>
        <v>0</v>
      </c>
      <c r="AM121" s="85">
        <f>$I$34*$AM$34</f>
        <v>0</v>
      </c>
      <c r="AN121" s="85">
        <f>$I$34*$AN$34</f>
        <v>28939743.861131571</v>
      </c>
      <c r="AO121" s="85">
        <f>$I$34*$AO$34</f>
        <v>5968086.6677976428</v>
      </c>
      <c r="AP121" s="85">
        <f>$I$34*$AP$34</f>
        <v>0</v>
      </c>
      <c r="AQ121" s="85">
        <f>$I$34*$AQ$34</f>
        <v>0</v>
      </c>
      <c r="AR121" s="85">
        <f>$I$34*$AR$34</f>
        <v>0</v>
      </c>
      <c r="AS121" s="85">
        <f>$I$34*$AS$34</f>
        <v>0</v>
      </c>
      <c r="AT121" s="85">
        <f>$I$34*$AT$34</f>
        <v>0</v>
      </c>
      <c r="AU121" s="85">
        <f>$I$34*$AU$34</f>
        <v>0</v>
      </c>
      <c r="AV121" s="85">
        <f>$I$34*$AV$34</f>
        <v>0</v>
      </c>
      <c r="AW121" s="85">
        <f>$I$34*$AW$34</f>
        <v>0</v>
      </c>
      <c r="AX121" s="85">
        <f>$I$34*$AX$34</f>
        <v>0</v>
      </c>
      <c r="AY121" s="85">
        <f>$I$34*$AY$34</f>
        <v>0</v>
      </c>
      <c r="AZ121" s="85">
        <f>$I$34*$AZ$34</f>
        <v>0</v>
      </c>
      <c r="BA121" s="85">
        <f>$I$34*$BA$34</f>
        <v>7484110.4622512572</v>
      </c>
      <c r="BB121" s="85">
        <f>$I$34*$BB$34</f>
        <v>280110.52659245057</v>
      </c>
      <c r="BC121" s="85">
        <f>$I$34*$BC$34</f>
        <v>5263335.2380323941</v>
      </c>
      <c r="BD121" s="85">
        <f>$I$34*$BD$34</f>
        <v>1098693.9347716596</v>
      </c>
    </row>
    <row r="122" spans="1:56" ht="11.25" customHeight="1" x14ac:dyDescent="0.25">
      <c r="A122" s="9" t="s">
        <v>33</v>
      </c>
      <c r="B122" s="9" t="s">
        <v>1339</v>
      </c>
      <c r="C122" s="9" t="s">
        <v>1340</v>
      </c>
      <c r="D122" s="9" t="s">
        <v>1341</v>
      </c>
      <c r="E122" s="9" t="s">
        <v>1347</v>
      </c>
      <c r="F122" s="9" t="s">
        <v>1348</v>
      </c>
      <c r="G122" s="9" t="s">
        <v>1349</v>
      </c>
      <c r="L122" s="85">
        <f>$I$35*$L$35</f>
        <v>0</v>
      </c>
      <c r="M122" s="85">
        <f>$I$35*$M$35</f>
        <v>0</v>
      </c>
      <c r="N122" s="85">
        <f ca="1">$I$35*$N$35</f>
        <v>0</v>
      </c>
      <c r="O122" s="85">
        <f>$I$35*$O$35</f>
        <v>0</v>
      </c>
      <c r="P122" s="85">
        <f>$I$35*$P$35</f>
        <v>0</v>
      </c>
      <c r="Q122" s="85">
        <f>$I$35*$Q$35</f>
        <v>0</v>
      </c>
      <c r="R122" s="85">
        <f>$I$35*$R$35</f>
        <v>0</v>
      </c>
      <c r="S122" s="85">
        <f>$I$35*$S$35</f>
        <v>0</v>
      </c>
      <c r="T122" s="85">
        <f>$I$35*$T$35</f>
        <v>0</v>
      </c>
      <c r="U122" s="85">
        <f>$I$35*$U$35</f>
        <v>0</v>
      </c>
      <c r="V122" s="85">
        <f>$I$35*$V$35</f>
        <v>0</v>
      </c>
      <c r="W122" s="85">
        <f>$I$35*$W$35</f>
        <v>0</v>
      </c>
      <c r="X122" s="85">
        <f>$I$35*$X$35</f>
        <v>0</v>
      </c>
      <c r="Y122" s="85">
        <f>$I$35*$Y$35</f>
        <v>0</v>
      </c>
      <c r="Z122" s="85">
        <f>$I$35*$Z$35</f>
        <v>0</v>
      </c>
      <c r="AA122" s="85">
        <f>$I$35*$AA$35</f>
        <v>0</v>
      </c>
      <c r="AB122" s="85">
        <f ca="1">$I$35*$AB$35</f>
        <v>0</v>
      </c>
      <c r="AC122" s="85">
        <f ca="1">$I$35*$AC$35</f>
        <v>0</v>
      </c>
      <c r="AD122" s="85">
        <f>$I$35*$AD$35</f>
        <v>0</v>
      </c>
      <c r="AE122" s="85">
        <f>$I$35*$AE$35</f>
        <v>0</v>
      </c>
      <c r="AF122" s="85">
        <f ca="1">$I$35*$AF$35</f>
        <v>0</v>
      </c>
      <c r="AG122" s="85">
        <f ca="1">$I$35*$AG$35</f>
        <v>0</v>
      </c>
      <c r="AI122" s="85">
        <f>$I$35*$AI$35</f>
        <v>0</v>
      </c>
      <c r="AJ122" s="85">
        <f>$I$35*$AJ$35</f>
        <v>0</v>
      </c>
      <c r="AK122" s="85">
        <f>$I$35*$AK$35</f>
        <v>0</v>
      </c>
      <c r="AL122" s="85">
        <f>$I$35*$AL$35</f>
        <v>0</v>
      </c>
      <c r="AM122" s="85">
        <f>$I$35*$AM$35</f>
        <v>0</v>
      </c>
      <c r="AN122" s="85">
        <f>$I$35*$AN$35</f>
        <v>0</v>
      </c>
      <c r="AO122" s="85">
        <f>$I$35*$AO$35</f>
        <v>0</v>
      </c>
      <c r="AP122" s="85">
        <f>$I$35*$AP$35</f>
        <v>0</v>
      </c>
      <c r="AQ122" s="85">
        <f>$I$35*$AQ$35</f>
        <v>0</v>
      </c>
      <c r="AR122" s="85">
        <f>$I$35*$AR$35</f>
        <v>0</v>
      </c>
      <c r="AS122" s="85">
        <f>$I$35*$AS$35</f>
        <v>0</v>
      </c>
      <c r="AT122" s="85">
        <f>$I$35*$AT$35</f>
        <v>0</v>
      </c>
      <c r="AU122" s="85">
        <f>$I$35*$AU$35</f>
        <v>0</v>
      </c>
      <c r="AV122" s="85">
        <f>$I$35*$AV$35</f>
        <v>0</v>
      </c>
      <c r="AW122" s="85">
        <f>$I$35*$AW$35</f>
        <v>0</v>
      </c>
      <c r="AX122" s="85">
        <f>$I$35*$AX$35</f>
        <v>0</v>
      </c>
      <c r="AY122" s="85">
        <f>$I$35*$AY$35</f>
        <v>0</v>
      </c>
      <c r="AZ122" s="85">
        <f>$I$35*$AZ$35</f>
        <v>0</v>
      </c>
      <c r="BA122" s="85">
        <f>$I$35*$BA$35</f>
        <v>0</v>
      </c>
      <c r="BB122" s="85">
        <f>$I$35*$BB$35</f>
        <v>0</v>
      </c>
      <c r="BC122" s="85">
        <f>$I$35*$BC$35</f>
        <v>0</v>
      </c>
      <c r="BD122" s="85">
        <f>$I$35*$BD$35</f>
        <v>0</v>
      </c>
    </row>
    <row r="123" spans="1:56" ht="11.25" customHeight="1" x14ac:dyDescent="0.25">
      <c r="A123" s="9" t="s">
        <v>33</v>
      </c>
      <c r="B123" s="9" t="s">
        <v>1339</v>
      </c>
      <c r="C123" s="9" t="s">
        <v>1340</v>
      </c>
      <c r="D123" s="9" t="s">
        <v>1341</v>
      </c>
      <c r="E123" s="9" t="s">
        <v>1347</v>
      </c>
      <c r="F123" s="9" t="s">
        <v>1348</v>
      </c>
      <c r="G123" s="9" t="s">
        <v>1350</v>
      </c>
      <c r="L123" s="85">
        <f>$I$36*$L$36</f>
        <v>0</v>
      </c>
      <c r="M123" s="85">
        <f>$I$36*$M$36</f>
        <v>0</v>
      </c>
      <c r="N123" s="85">
        <f ca="1">$I$36*$N$36</f>
        <v>0</v>
      </c>
      <c r="O123" s="85">
        <f>$I$36*$O$36</f>
        <v>0</v>
      </c>
      <c r="P123" s="85">
        <f>$I$36*$P$36</f>
        <v>0</v>
      </c>
      <c r="Q123" s="85">
        <f>$I$36*$Q$36</f>
        <v>0</v>
      </c>
      <c r="R123" s="85">
        <f>$I$36*$R$36</f>
        <v>0</v>
      </c>
      <c r="S123" s="85">
        <f>$I$36*$S$36</f>
        <v>0</v>
      </c>
      <c r="T123" s="85">
        <f>$I$36*$T$36</f>
        <v>0</v>
      </c>
      <c r="U123" s="85">
        <f>$I$36*$U$36</f>
        <v>0</v>
      </c>
      <c r="V123" s="85">
        <f>$I$36*$V$36</f>
        <v>0</v>
      </c>
      <c r="W123" s="85">
        <f>$I$36*$W$36</f>
        <v>0</v>
      </c>
      <c r="X123" s="85">
        <f>$I$36*$X$36</f>
        <v>0</v>
      </c>
      <c r="Y123" s="85">
        <f>$I$36*$Y$36</f>
        <v>0</v>
      </c>
      <c r="Z123" s="85">
        <f>$I$36*$Z$36</f>
        <v>0</v>
      </c>
      <c r="AA123" s="85">
        <f>$I$36*$AA$36</f>
        <v>0</v>
      </c>
      <c r="AB123" s="85">
        <f ca="1">$I$36*$AB$36</f>
        <v>0</v>
      </c>
      <c r="AC123" s="85">
        <f ca="1">$I$36*$AC$36</f>
        <v>0</v>
      </c>
      <c r="AD123" s="85">
        <f>$I$36*$AD$36</f>
        <v>0</v>
      </c>
      <c r="AE123" s="85">
        <f>$I$36*$AE$36</f>
        <v>0</v>
      </c>
      <c r="AF123" s="85">
        <f ca="1">$I$36*$AF$36</f>
        <v>0</v>
      </c>
      <c r="AG123" s="85">
        <f ca="1">$I$36*$AG$36</f>
        <v>0</v>
      </c>
      <c r="AI123" s="85">
        <f>$I$36*$AI$36</f>
        <v>0</v>
      </c>
      <c r="AJ123" s="85">
        <f>$I$36*$AJ$36</f>
        <v>0</v>
      </c>
      <c r="AK123" s="85">
        <f>$I$36*$AK$36</f>
        <v>0</v>
      </c>
      <c r="AL123" s="85">
        <f>$I$36*$AL$36</f>
        <v>0</v>
      </c>
      <c r="AM123" s="85">
        <f>$I$36*$AM$36</f>
        <v>0</v>
      </c>
      <c r="AN123" s="85">
        <f>$I$36*$AN$36</f>
        <v>0</v>
      </c>
      <c r="AO123" s="85">
        <f>$I$36*$AO$36</f>
        <v>0</v>
      </c>
      <c r="AP123" s="85">
        <f>$I$36*$AP$36</f>
        <v>0</v>
      </c>
      <c r="AQ123" s="85">
        <f>$I$36*$AQ$36</f>
        <v>0</v>
      </c>
      <c r="AR123" s="85">
        <f>$I$36*$AR$36</f>
        <v>0</v>
      </c>
      <c r="AS123" s="85">
        <f>$I$36*$AS$36</f>
        <v>0</v>
      </c>
      <c r="AT123" s="85">
        <f>$I$36*$AT$36</f>
        <v>0</v>
      </c>
      <c r="AU123" s="85">
        <f>$I$36*$AU$36</f>
        <v>0</v>
      </c>
      <c r="AV123" s="85">
        <f>$I$36*$AV$36</f>
        <v>0</v>
      </c>
      <c r="AW123" s="85">
        <f>$I$36*$AW$36</f>
        <v>0</v>
      </c>
      <c r="AX123" s="85">
        <f>$I$36*$AX$36</f>
        <v>0</v>
      </c>
      <c r="AY123" s="85">
        <f>$I$36*$AY$36</f>
        <v>0</v>
      </c>
      <c r="AZ123" s="85">
        <f>$I$36*$AZ$36</f>
        <v>0</v>
      </c>
      <c r="BA123" s="85">
        <f>$I$36*$BA$36</f>
        <v>0</v>
      </c>
      <c r="BB123" s="85">
        <f>$I$36*$BB$36</f>
        <v>0</v>
      </c>
      <c r="BC123" s="85">
        <f>$I$36*$BC$36</f>
        <v>0</v>
      </c>
      <c r="BD123" s="85">
        <f>$I$36*$BD$36</f>
        <v>0</v>
      </c>
    </row>
    <row r="124" spans="1:56" ht="11.25" customHeight="1" x14ac:dyDescent="0.25">
      <c r="A124" s="9" t="s">
        <v>33</v>
      </c>
      <c r="B124" s="9" t="s">
        <v>1351</v>
      </c>
      <c r="C124" s="9" t="s">
        <v>1352</v>
      </c>
      <c r="D124" s="9" t="s">
        <v>1353</v>
      </c>
      <c r="E124" s="9" t="s">
        <v>1354</v>
      </c>
      <c r="F124" s="9" t="s">
        <v>1355</v>
      </c>
      <c r="G124" s="9" t="s">
        <v>1356</v>
      </c>
      <c r="L124" s="85">
        <f>$I$37*$L$37</f>
        <v>0</v>
      </c>
      <c r="M124" s="85">
        <f>$I$37*$M$37</f>
        <v>0</v>
      </c>
      <c r="N124" s="85">
        <f ca="1">$I$37*$N$37</f>
        <v>0</v>
      </c>
      <c r="O124" s="85">
        <f>$I$37*$O$37</f>
        <v>0</v>
      </c>
      <c r="P124" s="85">
        <f>$I$37*$P$37</f>
        <v>0</v>
      </c>
      <c r="Q124" s="85">
        <f>$I$37*$Q$37</f>
        <v>0</v>
      </c>
      <c r="R124" s="85">
        <f>$I$37*$R$37</f>
        <v>0</v>
      </c>
      <c r="S124" s="85">
        <f>$I$37*$S$37</f>
        <v>0</v>
      </c>
      <c r="T124" s="85">
        <f>$I$37*$T$37</f>
        <v>0</v>
      </c>
      <c r="U124" s="85">
        <f>$I$37*$U$37</f>
        <v>0</v>
      </c>
      <c r="V124" s="85">
        <f>$I$37*$V$37</f>
        <v>0</v>
      </c>
      <c r="W124" s="85">
        <f>$I$37*$W$37</f>
        <v>0</v>
      </c>
      <c r="X124" s="85">
        <f>$I$37*$X$37</f>
        <v>0</v>
      </c>
      <c r="Y124" s="85">
        <f>$I$37*$Y$37</f>
        <v>0</v>
      </c>
      <c r="Z124" s="85">
        <f>$I$37*$Z$37</f>
        <v>0</v>
      </c>
      <c r="AA124" s="85">
        <f>$I$37*$AA$37</f>
        <v>0</v>
      </c>
      <c r="AB124" s="85">
        <f ca="1">$I$37*$AB$37</f>
        <v>0</v>
      </c>
      <c r="AC124" s="85">
        <f ca="1">$I$37*$AC$37</f>
        <v>0</v>
      </c>
      <c r="AD124" s="85">
        <f>$I$37*$AD$37</f>
        <v>0</v>
      </c>
      <c r="AE124" s="85">
        <f>$I$37*$AE$37</f>
        <v>0</v>
      </c>
      <c r="AF124" s="85">
        <f ca="1">$I$37*$AF$37</f>
        <v>0</v>
      </c>
      <c r="AG124" s="85">
        <f ca="1">$I$37*$AG$37</f>
        <v>0</v>
      </c>
      <c r="AI124" s="85">
        <f>$I$37*$AI$37</f>
        <v>0</v>
      </c>
      <c r="AJ124" s="85">
        <f>$I$37*$AJ$37</f>
        <v>0</v>
      </c>
      <c r="AK124" s="85">
        <f>$I$37*$AK$37</f>
        <v>0</v>
      </c>
      <c r="AL124" s="85">
        <f>$I$37*$AL$37</f>
        <v>0</v>
      </c>
      <c r="AM124" s="85">
        <f>$I$37*$AM$37</f>
        <v>0</v>
      </c>
      <c r="AN124" s="85">
        <f>$I$37*$AN$37</f>
        <v>0</v>
      </c>
      <c r="AO124" s="85">
        <f>$I$37*$AO$37</f>
        <v>0</v>
      </c>
      <c r="AP124" s="85">
        <f>$I$37*$AP$37</f>
        <v>0</v>
      </c>
      <c r="AQ124" s="85">
        <f>$I$37*$AQ$37</f>
        <v>0</v>
      </c>
      <c r="AR124" s="85">
        <f>$I$37*$AR$37</f>
        <v>0</v>
      </c>
      <c r="AS124" s="85">
        <f>$I$37*$AS$37</f>
        <v>0</v>
      </c>
      <c r="AT124" s="85">
        <f>$I$37*$AT$37</f>
        <v>0</v>
      </c>
      <c r="AU124" s="85">
        <f>$I$37*$AU$37</f>
        <v>0</v>
      </c>
      <c r="AV124" s="85">
        <f>$I$37*$AV$37</f>
        <v>0</v>
      </c>
      <c r="AW124" s="85">
        <f>$I$37*$AW$37</f>
        <v>0</v>
      </c>
      <c r="AX124" s="85">
        <f>$I$37*$AX$37</f>
        <v>0</v>
      </c>
      <c r="AY124" s="85">
        <f>$I$37*$AY$37</f>
        <v>0</v>
      </c>
      <c r="AZ124" s="85">
        <f>$I$37*$AZ$37</f>
        <v>0</v>
      </c>
      <c r="BA124" s="85">
        <f>$I$37*$BA$37</f>
        <v>0</v>
      </c>
      <c r="BB124" s="85">
        <f>$I$37*$BB$37</f>
        <v>0</v>
      </c>
      <c r="BC124" s="85">
        <f>$I$37*$BC$37</f>
        <v>0</v>
      </c>
      <c r="BD124" s="85">
        <f>$I$37*$BD$37</f>
        <v>0</v>
      </c>
    </row>
    <row r="125" spans="1:56" ht="11.25" customHeight="1" x14ac:dyDescent="0.25">
      <c r="A125" s="9" t="s">
        <v>33</v>
      </c>
      <c r="B125" s="9" t="s">
        <v>1351</v>
      </c>
      <c r="C125" s="9" t="s">
        <v>1352</v>
      </c>
      <c r="D125" s="9" t="s">
        <v>1353</v>
      </c>
      <c r="E125" s="9" t="s">
        <v>1354</v>
      </c>
      <c r="F125" s="9" t="s">
        <v>1355</v>
      </c>
      <c r="G125" s="9" t="s">
        <v>1357</v>
      </c>
      <c r="L125" s="85">
        <f>$I$38*$L$38</f>
        <v>0</v>
      </c>
      <c r="M125" s="85">
        <f>$I$38*$M$38</f>
        <v>0</v>
      </c>
      <c r="N125" s="85">
        <f ca="1">$I$38*$N$38</f>
        <v>0</v>
      </c>
      <c r="O125" s="85">
        <f>$I$38*$O$38</f>
        <v>0</v>
      </c>
      <c r="P125" s="85">
        <f>$I$38*$P$38</f>
        <v>0</v>
      </c>
      <c r="Q125" s="85">
        <f>$I$38*$Q$38</f>
        <v>0</v>
      </c>
      <c r="R125" s="85">
        <f>$I$38*$R$38</f>
        <v>0</v>
      </c>
      <c r="S125" s="85">
        <f>$I$38*$S$38</f>
        <v>0</v>
      </c>
      <c r="T125" s="85">
        <f>$I$38*$T$38</f>
        <v>0</v>
      </c>
      <c r="U125" s="85">
        <f>$I$38*$U$38</f>
        <v>0</v>
      </c>
      <c r="V125" s="85">
        <f>$I$38*$V$38</f>
        <v>0</v>
      </c>
      <c r="W125" s="85">
        <f>$I$38*$W$38</f>
        <v>0</v>
      </c>
      <c r="X125" s="85">
        <f>$I$38*$X$38</f>
        <v>0</v>
      </c>
      <c r="Y125" s="85">
        <f>$I$38*$Y$38</f>
        <v>0</v>
      </c>
      <c r="Z125" s="85">
        <f>$I$38*$Z$38</f>
        <v>0</v>
      </c>
      <c r="AA125" s="85">
        <f>$I$38*$AA$38</f>
        <v>0</v>
      </c>
      <c r="AB125" s="85">
        <f ca="1">$I$38*$AB$38</f>
        <v>0</v>
      </c>
      <c r="AC125" s="85">
        <f ca="1">$I$38*$AC$38</f>
        <v>0</v>
      </c>
      <c r="AD125" s="85">
        <f>$I$38*$AD$38</f>
        <v>0</v>
      </c>
      <c r="AE125" s="85">
        <f>$I$38*$AE$38</f>
        <v>0</v>
      </c>
      <c r="AF125" s="85">
        <f ca="1">$I$38*$AF$38</f>
        <v>0</v>
      </c>
      <c r="AG125" s="85">
        <f ca="1">$I$38*$AG$38</f>
        <v>0</v>
      </c>
      <c r="AI125" s="85">
        <f>$I$38*$AI$38</f>
        <v>0</v>
      </c>
      <c r="AJ125" s="85">
        <f>$I$38*$AJ$38</f>
        <v>0</v>
      </c>
      <c r="AK125" s="85">
        <f>$I$38*$AK$38</f>
        <v>0</v>
      </c>
      <c r="AL125" s="85">
        <f>$I$38*$AL$38</f>
        <v>0</v>
      </c>
      <c r="AM125" s="85">
        <f>$I$38*$AM$38</f>
        <v>0</v>
      </c>
      <c r="AN125" s="85">
        <f>$I$38*$AN$38</f>
        <v>0</v>
      </c>
      <c r="AO125" s="85">
        <f>$I$38*$AO$38</f>
        <v>0</v>
      </c>
      <c r="AP125" s="85">
        <f>$I$38*$AP$38</f>
        <v>0</v>
      </c>
      <c r="AQ125" s="85">
        <f>$I$38*$AQ$38</f>
        <v>0</v>
      </c>
      <c r="AR125" s="85">
        <f>$I$38*$AR$38</f>
        <v>0</v>
      </c>
      <c r="AS125" s="85">
        <f>$I$38*$AS$38</f>
        <v>0</v>
      </c>
      <c r="AT125" s="85">
        <f>$I$38*$AT$38</f>
        <v>0</v>
      </c>
      <c r="AU125" s="85">
        <f>$I$38*$AU$38</f>
        <v>0</v>
      </c>
      <c r="AV125" s="85">
        <f>$I$38*$AV$38</f>
        <v>0</v>
      </c>
      <c r="AW125" s="85">
        <f>$I$38*$AW$38</f>
        <v>0</v>
      </c>
      <c r="AX125" s="85">
        <f>$I$38*$AX$38</f>
        <v>0</v>
      </c>
      <c r="AY125" s="85">
        <f>$I$38*$AY$38</f>
        <v>0</v>
      </c>
      <c r="AZ125" s="85">
        <f>$I$38*$AZ$38</f>
        <v>0</v>
      </c>
      <c r="BA125" s="85">
        <f>$I$38*$BA$38</f>
        <v>0</v>
      </c>
      <c r="BB125" s="85">
        <f>$I$38*$BB$38</f>
        <v>0</v>
      </c>
      <c r="BC125" s="85">
        <f>$I$38*$BC$38</f>
        <v>0</v>
      </c>
      <c r="BD125" s="85">
        <f>$I$38*$BD$38</f>
        <v>0</v>
      </c>
    </row>
    <row r="126" spans="1:56" ht="11.25" customHeight="1" x14ac:dyDescent="0.25">
      <c r="A126" s="9" t="s">
        <v>44</v>
      </c>
      <c r="B126" s="9" t="s">
        <v>1358</v>
      </c>
      <c r="C126" s="9" t="s">
        <v>1359</v>
      </c>
      <c r="D126" s="9" t="s">
        <v>1360</v>
      </c>
      <c r="E126" s="9" t="s">
        <v>1361</v>
      </c>
      <c r="F126" s="9" t="s">
        <v>1362</v>
      </c>
      <c r="G126" s="9" t="s">
        <v>1363</v>
      </c>
      <c r="L126" s="85">
        <f>$I$39*$L$39</f>
        <v>0</v>
      </c>
      <c r="M126" s="85">
        <f>$I$39*$M$39</f>
        <v>0</v>
      </c>
      <c r="N126" s="85">
        <f ca="1">$I$39*$N$39</f>
        <v>0</v>
      </c>
      <c r="O126" s="85">
        <f>$I$39*$O$39</f>
        <v>0</v>
      </c>
      <c r="P126" s="85">
        <f>$I$39*$P$39</f>
        <v>0</v>
      </c>
      <c r="Q126" s="85">
        <f>$I$39*$Q$39</f>
        <v>0</v>
      </c>
      <c r="R126" s="85">
        <f>$I$39*$R$39</f>
        <v>0</v>
      </c>
      <c r="S126" s="85">
        <f>$I$39*$S$39</f>
        <v>0</v>
      </c>
      <c r="T126" s="85">
        <f>$I$39*$T$39</f>
        <v>4779996.8167385133</v>
      </c>
      <c r="U126" s="85">
        <f>$I$39*$U$39</f>
        <v>1269558.2386530843</v>
      </c>
      <c r="V126" s="85">
        <f>$I$39*$V$39</f>
        <v>162097.50398893241</v>
      </c>
      <c r="W126" s="85">
        <f>$I$39*$W$39</f>
        <v>0</v>
      </c>
      <c r="X126" s="85">
        <f>$I$39*$X$39</f>
        <v>0</v>
      </c>
      <c r="Y126" s="85">
        <f>$I$39*$Y$39</f>
        <v>0</v>
      </c>
      <c r="Z126" s="85">
        <f>$I$39*$Z$39</f>
        <v>0</v>
      </c>
      <c r="AA126" s="85">
        <f>$I$39*$AA$39</f>
        <v>19830333.886061896</v>
      </c>
      <c r="AB126" s="85">
        <f ca="1">$I$39*$AB$39</f>
        <v>0</v>
      </c>
      <c r="AC126" s="85">
        <f ca="1">$I$39*$AC$39</f>
        <v>0</v>
      </c>
      <c r="AD126" s="85">
        <f>$I$39*$AD$39</f>
        <v>0</v>
      </c>
      <c r="AE126" s="85">
        <f>$I$39*$AE$39</f>
        <v>0</v>
      </c>
      <c r="AF126" s="85">
        <f ca="1">$I$39*$AF$39</f>
        <v>0</v>
      </c>
      <c r="AG126" s="85">
        <f ca="1">$I$39*$AG$39</f>
        <v>0</v>
      </c>
      <c r="AI126" s="85">
        <f>$I$39*$AI$39</f>
        <v>0</v>
      </c>
      <c r="AJ126" s="85">
        <f>$I$39*$AJ$39</f>
        <v>0</v>
      </c>
      <c r="AK126" s="85">
        <f>$I$39*$AK$39</f>
        <v>0</v>
      </c>
      <c r="AL126" s="85">
        <f>$I$39*$AL$39</f>
        <v>0</v>
      </c>
      <c r="AM126" s="85">
        <f>$I$39*$AM$39</f>
        <v>0</v>
      </c>
      <c r="AN126" s="85">
        <f>$I$39*$AN$39</f>
        <v>0</v>
      </c>
      <c r="AO126" s="85">
        <f>$I$39*$AO$39</f>
        <v>0</v>
      </c>
      <c r="AP126" s="85">
        <f>$I$39*$AP$39</f>
        <v>0</v>
      </c>
      <c r="AQ126" s="85">
        <f>$I$39*$AQ$39</f>
        <v>3015227.8260691776</v>
      </c>
      <c r="AR126" s="85">
        <f>$I$39*$AR$39</f>
        <v>858243.73039388494</v>
      </c>
      <c r="AS126" s="85">
        <f>$I$39*$AS$39</f>
        <v>105098.45872744205</v>
      </c>
      <c r="AT126" s="85">
        <f>$I$39*$AT$39</f>
        <v>0</v>
      </c>
      <c r="AU126" s="85">
        <f>$I$39*$AU$39</f>
        <v>0</v>
      </c>
      <c r="AV126" s="85">
        <f>$I$39*$AV$39</f>
        <v>0</v>
      </c>
      <c r="AW126" s="85">
        <f>$I$39*$AW$39</f>
        <v>0</v>
      </c>
      <c r="AX126" s="85">
        <f>$I$39*$AX$39</f>
        <v>19235907.586445738</v>
      </c>
      <c r="AY126" s="85">
        <f>$I$39*$AY$39</f>
        <v>0</v>
      </c>
      <c r="AZ126" s="85">
        <f>$I$39*$AZ$39</f>
        <v>0</v>
      </c>
      <c r="BA126" s="85">
        <f>$I$39*$BA$39</f>
        <v>0</v>
      </c>
      <c r="BB126" s="85">
        <f>$I$39*$BB$39</f>
        <v>0</v>
      </c>
      <c r="BC126" s="85">
        <f>$I$39*$BC$39</f>
        <v>0</v>
      </c>
      <c r="BD126" s="85">
        <f>$I$39*$BD$39</f>
        <v>0</v>
      </c>
    </row>
    <row r="127" spans="1:56" ht="11.25" customHeight="1" x14ac:dyDescent="0.25">
      <c r="A127" s="9" t="s">
        <v>44</v>
      </c>
      <c r="B127" s="9" t="s">
        <v>1358</v>
      </c>
      <c r="C127" s="9" t="s">
        <v>1359</v>
      </c>
      <c r="D127" s="9" t="s">
        <v>1360</v>
      </c>
      <c r="E127" s="9" t="s">
        <v>1361</v>
      </c>
      <c r="F127" s="9" t="s">
        <v>1362</v>
      </c>
      <c r="G127" s="9" t="s">
        <v>1364</v>
      </c>
      <c r="L127" s="85">
        <f>$I$40*$L$40</f>
        <v>0</v>
      </c>
      <c r="M127" s="85">
        <f>$I$40*$M$40</f>
        <v>0</v>
      </c>
      <c r="N127" s="85">
        <f ca="1">$I$40*$N$40</f>
        <v>0</v>
      </c>
      <c r="O127" s="85">
        <f>$I$40*$O$40</f>
        <v>0</v>
      </c>
      <c r="P127" s="85">
        <f>$I$40*$P$40</f>
        <v>0</v>
      </c>
      <c r="Q127" s="85">
        <f>$I$40*$Q$40</f>
        <v>0</v>
      </c>
      <c r="R127" s="85">
        <f>$I$40*$R$40</f>
        <v>0</v>
      </c>
      <c r="S127" s="85">
        <f>$I$40*$S$40</f>
        <v>0</v>
      </c>
      <c r="T127" s="85">
        <f>$I$40*$T$40</f>
        <v>4533136.0894597117</v>
      </c>
      <c r="U127" s="85">
        <f>$I$40*$U$40</f>
        <v>1234745.905195571</v>
      </c>
      <c r="V127" s="85">
        <f>$I$40*$V$40</f>
        <v>139956.9784021443</v>
      </c>
      <c r="W127" s="85">
        <f>$I$40*$W$40</f>
        <v>0</v>
      </c>
      <c r="X127" s="85">
        <f>$I$40*$X$40</f>
        <v>0</v>
      </c>
      <c r="Y127" s="85">
        <f>$I$40*$Y$40</f>
        <v>0</v>
      </c>
      <c r="Z127" s="85">
        <f>$I$40*$Z$40</f>
        <v>0</v>
      </c>
      <c r="AA127" s="85">
        <f>$I$40*$AA$40</f>
        <v>3578990.5059612822</v>
      </c>
      <c r="AB127" s="85">
        <f ca="1">$I$40*$AB$40</f>
        <v>0</v>
      </c>
      <c r="AC127" s="85">
        <f ca="1">$I$40*$AC$40</f>
        <v>0</v>
      </c>
      <c r="AD127" s="85">
        <f>$I$40*$AD$40</f>
        <v>0</v>
      </c>
      <c r="AE127" s="85">
        <f>$I$40*$AE$40</f>
        <v>0</v>
      </c>
      <c r="AF127" s="85">
        <f ca="1">$I$40*$AF$40</f>
        <v>0</v>
      </c>
      <c r="AG127" s="85">
        <f ca="1">$I$40*$AG$40</f>
        <v>0</v>
      </c>
      <c r="AI127" s="85">
        <f>$I$40*$AI$40</f>
        <v>0</v>
      </c>
      <c r="AJ127" s="85">
        <f>$I$40*$AJ$40</f>
        <v>0</v>
      </c>
      <c r="AK127" s="85">
        <f>$I$40*$AK$40</f>
        <v>0</v>
      </c>
      <c r="AL127" s="85">
        <f>$I$40*$AL$40</f>
        <v>0</v>
      </c>
      <c r="AM127" s="85">
        <f>$I$40*$AM$40</f>
        <v>0</v>
      </c>
      <c r="AN127" s="85">
        <f>$I$40*$AN$40</f>
        <v>0</v>
      </c>
      <c r="AO127" s="85">
        <f>$I$40*$AO$40</f>
        <v>0</v>
      </c>
      <c r="AP127" s="85">
        <f>$I$40*$AP$40</f>
        <v>0</v>
      </c>
      <c r="AQ127" s="85">
        <f>$I$40*$AQ$40</f>
        <v>2859507.7780038319</v>
      </c>
      <c r="AR127" s="85">
        <f>$I$40*$AR$40</f>
        <v>834709.97981778695</v>
      </c>
      <c r="AS127" s="85">
        <f>$I$40*$AS$40</f>
        <v>90743.301755094144</v>
      </c>
      <c r="AT127" s="85">
        <f>$I$40*$AT$40</f>
        <v>0</v>
      </c>
      <c r="AU127" s="85">
        <f>$I$40*$AU$40</f>
        <v>0</v>
      </c>
      <c r="AV127" s="85">
        <f>$I$40*$AV$40</f>
        <v>0</v>
      </c>
      <c r="AW127" s="85">
        <f>$I$40*$AW$40</f>
        <v>0</v>
      </c>
      <c r="AX127" s="85">
        <f>$I$40*$AX$40</f>
        <v>3471708.0923093739</v>
      </c>
      <c r="AY127" s="85">
        <f>$I$40*$AY$40</f>
        <v>0</v>
      </c>
      <c r="AZ127" s="85">
        <f>$I$40*$AZ$40</f>
        <v>0</v>
      </c>
      <c r="BA127" s="85">
        <f>$I$40*$BA$40</f>
        <v>0</v>
      </c>
      <c r="BB127" s="85">
        <f>$I$40*$BB$40</f>
        <v>0</v>
      </c>
      <c r="BC127" s="85">
        <f>$I$40*$BC$40</f>
        <v>0</v>
      </c>
      <c r="BD127" s="85">
        <f>$I$40*$BD$40</f>
        <v>0</v>
      </c>
    </row>
    <row r="128" spans="1:56" ht="11.25" customHeight="1" x14ac:dyDescent="0.25">
      <c r="A128" s="9" t="s">
        <v>44</v>
      </c>
      <c r="B128" s="9" t="s">
        <v>1358</v>
      </c>
      <c r="C128" s="9" t="s">
        <v>1359</v>
      </c>
      <c r="D128" s="9" t="s">
        <v>1360</v>
      </c>
      <c r="E128" s="9" t="s">
        <v>1361</v>
      </c>
      <c r="F128" s="9" t="s">
        <v>1362</v>
      </c>
      <c r="G128" s="9" t="s">
        <v>1365</v>
      </c>
      <c r="L128" s="85">
        <f>$I$41*$L$41</f>
        <v>0</v>
      </c>
      <c r="M128" s="85">
        <f>$I$41*$M$41</f>
        <v>86700.14187734788</v>
      </c>
      <c r="N128" s="85">
        <f ca="1">$I$41*$N$41</f>
        <v>172848.36578290784</v>
      </c>
      <c r="O128" s="85">
        <f>$I$41*$O$41</f>
        <v>0</v>
      </c>
      <c r="P128" s="85">
        <f>$I$41*$P$41</f>
        <v>0</v>
      </c>
      <c r="Q128" s="85">
        <f>$I$41*$Q$41</f>
        <v>13531916.872872917</v>
      </c>
      <c r="R128" s="85">
        <f>$I$41*$R$41</f>
        <v>1422502.9297334414</v>
      </c>
      <c r="S128" s="85">
        <f>$I$41*$S$41</f>
        <v>0</v>
      </c>
      <c r="T128" s="85">
        <f>$I$41*$T$41</f>
        <v>0</v>
      </c>
      <c r="U128" s="85">
        <f>$I$41*$U$41</f>
        <v>0</v>
      </c>
      <c r="V128" s="85">
        <f>$I$41*$V$41</f>
        <v>0</v>
      </c>
      <c r="W128" s="85">
        <f>$I$41*$W$41</f>
        <v>0</v>
      </c>
      <c r="X128" s="85">
        <f>$I$41*$X$41</f>
        <v>0</v>
      </c>
      <c r="Y128" s="85">
        <f>$I$41*$Y$41</f>
        <v>0</v>
      </c>
      <c r="Z128" s="85">
        <f>$I$41*$Z$41</f>
        <v>0</v>
      </c>
      <c r="AA128" s="85">
        <f>$I$41*$AA$41</f>
        <v>0</v>
      </c>
      <c r="AB128" s="85">
        <f ca="1">$I$41*$AB$41</f>
        <v>0</v>
      </c>
      <c r="AC128" s="85">
        <f ca="1">$I$41*$AC$41</f>
        <v>0</v>
      </c>
      <c r="AD128" s="85">
        <f>$I$41*$AD$41</f>
        <v>4557913.9322173307</v>
      </c>
      <c r="AE128" s="85">
        <f>$I$41*$AE$41</f>
        <v>171324.44354552988</v>
      </c>
      <c r="AF128" s="85">
        <f ca="1">$I$41*$AF$41</f>
        <v>2459500.2821993064</v>
      </c>
      <c r="AG128" s="85">
        <f ca="1">$I$41*$AG$41</f>
        <v>632173.81775863224</v>
      </c>
      <c r="AI128" s="85">
        <f>$I$41*$AI$41</f>
        <v>0</v>
      </c>
      <c r="AJ128" s="85">
        <f>$I$41*$AJ$41</f>
        <v>83301.821021944779</v>
      </c>
      <c r="AK128" s="85">
        <f>$I$41*$AK$41</f>
        <v>170299.27921852711</v>
      </c>
      <c r="AL128" s="85">
        <f>$I$41*$AL$41</f>
        <v>0</v>
      </c>
      <c r="AM128" s="85">
        <f>$I$41*$AM$41</f>
        <v>0</v>
      </c>
      <c r="AN128" s="85">
        <f>$I$41*$AN$41</f>
        <v>10959268.250137867</v>
      </c>
      <c r="AO128" s="85">
        <f>$I$41*$AO$41</f>
        <v>2079264.9030555636</v>
      </c>
      <c r="AP128" s="85">
        <f>$I$41*$AP$41</f>
        <v>0</v>
      </c>
      <c r="AQ128" s="85">
        <f>$I$41*$AQ$41</f>
        <v>0</v>
      </c>
      <c r="AR128" s="85">
        <f>$I$41*$AR$41</f>
        <v>0</v>
      </c>
      <c r="AS128" s="85">
        <f>$I$41*$AS$41</f>
        <v>0</v>
      </c>
      <c r="AT128" s="85">
        <f>$I$41*$AT$41</f>
        <v>0</v>
      </c>
      <c r="AU128" s="85">
        <f>$I$41*$AU$41</f>
        <v>0</v>
      </c>
      <c r="AV128" s="85">
        <f>$I$41*$AV$41</f>
        <v>0</v>
      </c>
      <c r="AW128" s="85">
        <f>$I$41*$AW$41</f>
        <v>0</v>
      </c>
      <c r="AX128" s="85">
        <f>$I$41*$AX$41</f>
        <v>0</v>
      </c>
      <c r="AY128" s="85">
        <f>$I$41*$AY$41</f>
        <v>0</v>
      </c>
      <c r="AZ128" s="85">
        <f>$I$41*$AZ$41</f>
        <v>0</v>
      </c>
      <c r="BA128" s="85">
        <f>$I$41*$BA$41</f>
        <v>5490921.7405231381</v>
      </c>
      <c r="BB128" s="85">
        <f>$I$41*$BB$41</f>
        <v>205510.72675552295</v>
      </c>
      <c r="BC128" s="85">
        <f>$I$41*$BC$41</f>
        <v>2802407.643905648</v>
      </c>
      <c r="BD128" s="85">
        <f>$I$41*$BD$41</f>
        <v>584988.06210715161</v>
      </c>
    </row>
    <row r="129" spans="1:56" ht="11.25" customHeight="1" x14ac:dyDescent="0.25">
      <c r="A129" s="9" t="s">
        <v>44</v>
      </c>
      <c r="B129" s="9" t="s">
        <v>1358</v>
      </c>
      <c r="C129" s="9" t="s">
        <v>1359</v>
      </c>
      <c r="D129" s="9" t="s">
        <v>1360</v>
      </c>
      <c r="E129" s="9" t="s">
        <v>1366</v>
      </c>
      <c r="F129" s="9" t="s">
        <v>1367</v>
      </c>
      <c r="G129" s="9" t="s">
        <v>1368</v>
      </c>
      <c r="L129" s="85">
        <f>$I$42*$L$42</f>
        <v>0</v>
      </c>
      <c r="M129" s="85">
        <f>$I$42*$M$42</f>
        <v>0</v>
      </c>
      <c r="N129" s="85">
        <f ca="1">$I$42*$N$42</f>
        <v>0</v>
      </c>
      <c r="O129" s="85">
        <f>$I$42*$O$42</f>
        <v>0</v>
      </c>
      <c r="P129" s="85">
        <f>$I$42*$P$42</f>
        <v>0</v>
      </c>
      <c r="Q129" s="85">
        <f>$I$42*$Q$42</f>
        <v>0</v>
      </c>
      <c r="R129" s="85">
        <f>$I$42*$R$42</f>
        <v>0</v>
      </c>
      <c r="S129" s="85">
        <f>$I$42*$S$42</f>
        <v>0</v>
      </c>
      <c r="T129" s="85">
        <f>$I$42*$T$42</f>
        <v>0</v>
      </c>
      <c r="U129" s="85">
        <f>$I$42*$U$42</f>
        <v>0</v>
      </c>
      <c r="V129" s="85">
        <f>$I$42*$V$42</f>
        <v>0</v>
      </c>
      <c r="W129" s="85">
        <f>$I$42*$W$42</f>
        <v>0</v>
      </c>
      <c r="X129" s="85">
        <f>$I$42*$X$42</f>
        <v>0</v>
      </c>
      <c r="Y129" s="85">
        <f>$I$42*$Y$42</f>
        <v>0</v>
      </c>
      <c r="Z129" s="85">
        <f>$I$42*$Z$42</f>
        <v>0</v>
      </c>
      <c r="AA129" s="85">
        <f>$I$42*$AA$42</f>
        <v>0</v>
      </c>
      <c r="AB129" s="85">
        <f ca="1">$I$42*$AB$42</f>
        <v>0</v>
      </c>
      <c r="AC129" s="85">
        <f ca="1">$I$42*$AC$42</f>
        <v>0</v>
      </c>
      <c r="AD129" s="85">
        <f>$I$42*$AD$42</f>
        <v>0</v>
      </c>
      <c r="AE129" s="85">
        <f>$I$42*$AE$42</f>
        <v>0</v>
      </c>
      <c r="AF129" s="85">
        <f ca="1">$I$42*$AF$42</f>
        <v>0</v>
      </c>
      <c r="AG129" s="85">
        <f ca="1">$I$42*$AG$42</f>
        <v>0</v>
      </c>
      <c r="AI129" s="85">
        <f>$I$42*$AI$42</f>
        <v>0</v>
      </c>
      <c r="AJ129" s="85">
        <f>$I$42*$AJ$42</f>
        <v>0</v>
      </c>
      <c r="AK129" s="85">
        <f>$I$42*$AK$42</f>
        <v>0</v>
      </c>
      <c r="AL129" s="85">
        <f>$I$42*$AL$42</f>
        <v>0</v>
      </c>
      <c r="AM129" s="85">
        <f>$I$42*$AM$42</f>
        <v>0</v>
      </c>
      <c r="AN129" s="85">
        <f>$I$42*$AN$42</f>
        <v>0</v>
      </c>
      <c r="AO129" s="85">
        <f>$I$42*$AO$42</f>
        <v>0</v>
      </c>
      <c r="AP129" s="85">
        <f>$I$42*$AP$42</f>
        <v>0</v>
      </c>
      <c r="AQ129" s="85">
        <f>$I$42*$AQ$42</f>
        <v>0</v>
      </c>
      <c r="AR129" s="85">
        <f>$I$42*$AR$42</f>
        <v>0</v>
      </c>
      <c r="AS129" s="85">
        <f>$I$42*$AS$42</f>
        <v>0</v>
      </c>
      <c r="AT129" s="85">
        <f>$I$42*$AT$42</f>
        <v>0</v>
      </c>
      <c r="AU129" s="85">
        <f>$I$42*$AU$42</f>
        <v>0</v>
      </c>
      <c r="AV129" s="85">
        <f>$I$42*$AV$42</f>
        <v>0</v>
      </c>
      <c r="AW129" s="85">
        <f>$I$42*$AW$42</f>
        <v>0</v>
      </c>
      <c r="AX129" s="85">
        <f>$I$42*$AX$42</f>
        <v>0</v>
      </c>
      <c r="AY129" s="85">
        <f>$I$42*$AY$42</f>
        <v>0</v>
      </c>
      <c r="AZ129" s="85">
        <f>$I$42*$AZ$42</f>
        <v>0</v>
      </c>
      <c r="BA129" s="85">
        <f>$I$42*$BA$42</f>
        <v>0</v>
      </c>
      <c r="BB129" s="85">
        <f>$I$42*$BB$42</f>
        <v>0</v>
      </c>
      <c r="BC129" s="85">
        <f>$I$42*$BC$42</f>
        <v>0</v>
      </c>
      <c r="BD129" s="85">
        <f>$I$42*$BD$42</f>
        <v>0</v>
      </c>
    </row>
    <row r="130" spans="1:56" ht="11.25" customHeight="1" x14ac:dyDescent="0.25">
      <c r="A130" s="9" t="s">
        <v>44</v>
      </c>
      <c r="B130" s="9" t="s">
        <v>1369</v>
      </c>
      <c r="C130" s="9" t="s">
        <v>1370</v>
      </c>
      <c r="D130" s="9" t="s">
        <v>1371</v>
      </c>
      <c r="E130" s="9" t="s">
        <v>1372</v>
      </c>
      <c r="F130" s="9" t="s">
        <v>1373</v>
      </c>
      <c r="G130" s="9" t="s">
        <v>1374</v>
      </c>
      <c r="L130" s="85">
        <f>$I$43*$L$43</f>
        <v>0</v>
      </c>
      <c r="M130" s="85">
        <f>$I$43*$M$43</f>
        <v>0</v>
      </c>
      <c r="N130" s="85">
        <f ca="1">$I$43*$N$43</f>
        <v>0</v>
      </c>
      <c r="O130" s="85">
        <f>$I$43*$O$43</f>
        <v>0</v>
      </c>
      <c r="P130" s="85">
        <f>$I$43*$P$43</f>
        <v>0</v>
      </c>
      <c r="Q130" s="85">
        <f>$I$43*$Q$43</f>
        <v>0</v>
      </c>
      <c r="R130" s="85">
        <f>$I$43*$R$43</f>
        <v>0</v>
      </c>
      <c r="S130" s="85">
        <f>$I$43*$S$43</f>
        <v>0</v>
      </c>
      <c r="T130" s="85">
        <f>$I$43*$T$43</f>
        <v>9937283.0840352662</v>
      </c>
      <c r="U130" s="85">
        <f>$I$43*$U$43</f>
        <v>2706739.7392528271</v>
      </c>
      <c r="V130" s="85">
        <f>$I$43*$V$43</f>
        <v>306805.72709964262</v>
      </c>
      <c r="W130" s="85">
        <f>$I$43*$W$43</f>
        <v>0</v>
      </c>
      <c r="X130" s="85">
        <f>$I$43*$X$43</f>
        <v>0</v>
      </c>
      <c r="Y130" s="85">
        <f>$I$43*$Y$43</f>
        <v>0</v>
      </c>
      <c r="Z130" s="85">
        <f>$I$43*$Z$43</f>
        <v>0</v>
      </c>
      <c r="AA130" s="85">
        <f>$I$43*$AA$43</f>
        <v>7845659.4090584172</v>
      </c>
      <c r="AB130" s="85">
        <f ca="1">$I$43*$AB$43</f>
        <v>0</v>
      </c>
      <c r="AC130" s="85">
        <f ca="1">$I$43*$AC$43</f>
        <v>0</v>
      </c>
      <c r="AD130" s="85">
        <f>$I$43*$AD$43</f>
        <v>0</v>
      </c>
      <c r="AE130" s="85">
        <f>$I$43*$AE$43</f>
        <v>0</v>
      </c>
      <c r="AF130" s="85">
        <f ca="1">$I$43*$AF$43</f>
        <v>0</v>
      </c>
      <c r="AG130" s="85">
        <f ca="1">$I$43*$AG$43</f>
        <v>0</v>
      </c>
      <c r="AI130" s="85">
        <f>$I$43*$AI$43</f>
        <v>0</v>
      </c>
      <c r="AJ130" s="85">
        <f>$I$43*$AJ$43</f>
        <v>0</v>
      </c>
      <c r="AK130" s="85">
        <f>$I$43*$AK$43</f>
        <v>0</v>
      </c>
      <c r="AL130" s="85">
        <f>$I$43*$AL$43</f>
        <v>0</v>
      </c>
      <c r="AM130" s="85">
        <f>$I$43*$AM$43</f>
        <v>0</v>
      </c>
      <c r="AN130" s="85">
        <f>$I$43*$AN$43</f>
        <v>0</v>
      </c>
      <c r="AO130" s="85">
        <f>$I$43*$AO$43</f>
        <v>0</v>
      </c>
      <c r="AP130" s="85">
        <f>$I$43*$AP$43</f>
        <v>0</v>
      </c>
      <c r="AQ130" s="85">
        <f>$I$43*$AQ$43</f>
        <v>6268450.2980389278</v>
      </c>
      <c r="AR130" s="85">
        <f>$I$43*$AR$43</f>
        <v>1829803.7382564736</v>
      </c>
      <c r="AS130" s="85">
        <f>$I$43*$AS$43</f>
        <v>198922.30449844713</v>
      </c>
      <c r="AT130" s="85">
        <f>$I$43*$AT$43</f>
        <v>0</v>
      </c>
      <c r="AU130" s="85">
        <f>$I$43*$AU$43</f>
        <v>0</v>
      </c>
      <c r="AV130" s="85">
        <f>$I$43*$AV$43</f>
        <v>0</v>
      </c>
      <c r="AW130" s="85">
        <f>$I$43*$AW$43</f>
        <v>0</v>
      </c>
      <c r="AX130" s="85">
        <f>$I$43*$AX$43</f>
        <v>7610481.0042281654</v>
      </c>
      <c r="AY130" s="85">
        <f>$I$43*$AY$43</f>
        <v>0</v>
      </c>
      <c r="AZ130" s="85">
        <f>$I$43*$AZ$43</f>
        <v>0</v>
      </c>
      <c r="BA130" s="85">
        <f>$I$43*$BA$43</f>
        <v>0</v>
      </c>
      <c r="BB130" s="85">
        <f>$I$43*$BB$43</f>
        <v>0</v>
      </c>
      <c r="BC130" s="85">
        <f>$I$43*$BC$43</f>
        <v>0</v>
      </c>
      <c r="BD130" s="85">
        <f>$I$43*$BD$43</f>
        <v>0</v>
      </c>
    </row>
    <row r="131" spans="1:56" ht="11.25" customHeight="1" x14ac:dyDescent="0.25">
      <c r="A131" s="9" t="s">
        <v>44</v>
      </c>
      <c r="B131" s="9" t="s">
        <v>1369</v>
      </c>
      <c r="C131" s="9" t="s">
        <v>1370</v>
      </c>
      <c r="D131" s="9" t="s">
        <v>1371</v>
      </c>
      <c r="E131" s="9" t="s">
        <v>1372</v>
      </c>
      <c r="F131" s="9" t="s">
        <v>1373</v>
      </c>
      <c r="G131" s="9" t="s">
        <v>1375</v>
      </c>
      <c r="L131" s="85">
        <f>$I$44*$L$44</f>
        <v>0</v>
      </c>
      <c r="M131" s="85">
        <f>$I$44*$M$44</f>
        <v>10025.206136478773</v>
      </c>
      <c r="N131" s="85">
        <f ca="1">$I$44*$N$44</f>
        <v>302757.39643460757</v>
      </c>
      <c r="O131" s="85">
        <f>$I$44*$O$44</f>
        <v>0</v>
      </c>
      <c r="P131" s="85">
        <f>$I$44*$P$44</f>
        <v>0</v>
      </c>
      <c r="Q131" s="85">
        <f>$I$44*$Q$44</f>
        <v>1564706.2753848864</v>
      </c>
      <c r="R131" s="85">
        <f>$I$44*$R$44</f>
        <v>164485.14144875543</v>
      </c>
      <c r="S131" s="85">
        <f>$I$44*$S$44</f>
        <v>0</v>
      </c>
      <c r="T131" s="85">
        <f>$I$44*$T$44</f>
        <v>5108522.5767773697</v>
      </c>
      <c r="U131" s="85">
        <f>$I$44*$U$44</f>
        <v>1356938.4267033995</v>
      </c>
      <c r="V131" s="85">
        <f>$I$44*$V$44</f>
        <v>173251.34188736297</v>
      </c>
      <c r="W131" s="85">
        <f>$I$44*$W$44</f>
        <v>0</v>
      </c>
      <c r="X131" s="85">
        <f>$I$44*$X$44</f>
        <v>0</v>
      </c>
      <c r="Y131" s="85">
        <f>$I$44*$Y$44</f>
        <v>0</v>
      </c>
      <c r="Z131" s="85">
        <f>$I$44*$Z$44</f>
        <v>0</v>
      </c>
      <c r="AA131" s="85">
        <f>$I$44*$AA$44</f>
        <v>21194032.084638868</v>
      </c>
      <c r="AB131" s="85">
        <f ca="1">$I$44*$AB$44</f>
        <v>0</v>
      </c>
      <c r="AC131" s="85">
        <f ca="1">$I$44*$AC$44</f>
        <v>0</v>
      </c>
      <c r="AD131" s="85">
        <f>$I$44*$AD$44</f>
        <v>527035.20125087304</v>
      </c>
      <c r="AE131" s="85">
        <f>$I$44*$AE$44</f>
        <v>19810.381223957425</v>
      </c>
      <c r="AF131" s="85">
        <f ca="1">$I$44*$AF$44</f>
        <v>284393.96739001054</v>
      </c>
      <c r="AG131" s="85">
        <f ca="1">$I$44*$AG$44</f>
        <v>73098.759700771552</v>
      </c>
      <c r="AI131" s="85">
        <f>$I$44*$AI$44</f>
        <v>0</v>
      </c>
      <c r="AJ131" s="85">
        <f>$I$44*$AJ$44</f>
        <v>9632.255601962841</v>
      </c>
      <c r="AK131" s="85">
        <f>$I$44*$AK$44</f>
        <v>314809.60549324821</v>
      </c>
      <c r="AL131" s="85">
        <f>$I$44*$AL$44</f>
        <v>0</v>
      </c>
      <c r="AM131" s="85">
        <f>$I$44*$AM$44</f>
        <v>0</v>
      </c>
      <c r="AN131" s="85">
        <f>$I$44*$AN$44</f>
        <v>1267228.8756808201</v>
      </c>
      <c r="AO131" s="85">
        <f>$I$44*$AO$44</f>
        <v>240427.04906949823</v>
      </c>
      <c r="AP131" s="85">
        <f>$I$44*$AP$44</f>
        <v>0</v>
      </c>
      <c r="AQ131" s="85">
        <f>$I$44*$AQ$44</f>
        <v>3222462.2764731837</v>
      </c>
      <c r="AR131" s="85">
        <f>$I$44*$AR$44</f>
        <v>917314.27656621917</v>
      </c>
      <c r="AS131" s="85">
        <f>$I$44*$AS$44</f>
        <v>112330.22444359298</v>
      </c>
      <c r="AT131" s="85">
        <f>$I$44*$AT$44</f>
        <v>0</v>
      </c>
      <c r="AU131" s="85">
        <f>$I$44*$AU$44</f>
        <v>0</v>
      </c>
      <c r="AV131" s="85">
        <f>$I$44*$AV$44</f>
        <v>0</v>
      </c>
      <c r="AW131" s="85">
        <f>$I$44*$AW$44</f>
        <v>0</v>
      </c>
      <c r="AX131" s="85">
        <f>$I$44*$AX$44</f>
        <v>20558728.103455123</v>
      </c>
      <c r="AY131" s="85">
        <f>$I$44*$AY$44</f>
        <v>0</v>
      </c>
      <c r="AZ131" s="85">
        <f>$I$44*$AZ$44</f>
        <v>0</v>
      </c>
      <c r="BA131" s="85">
        <f>$I$44*$BA$44</f>
        <v>634919.63376359292</v>
      </c>
      <c r="BB131" s="85">
        <f>$I$44*$BB$44</f>
        <v>23763.36825257228</v>
      </c>
      <c r="BC131" s="85">
        <f>$I$44*$BC$44</f>
        <v>324044.61746259517</v>
      </c>
      <c r="BD131" s="85">
        <f>$I$44*$BD$44</f>
        <v>67642.633368466166</v>
      </c>
    </row>
    <row r="132" spans="1:56" ht="11.25" customHeight="1" x14ac:dyDescent="0.25">
      <c r="A132" s="9" t="s">
        <v>44</v>
      </c>
      <c r="B132" s="9" t="s">
        <v>1369</v>
      </c>
      <c r="C132" s="9" t="s">
        <v>1370</v>
      </c>
      <c r="D132" s="9" t="s">
        <v>1371</v>
      </c>
      <c r="E132" s="9" t="s">
        <v>1372</v>
      </c>
      <c r="F132" s="9" t="s">
        <v>1373</v>
      </c>
      <c r="G132" s="9" t="s">
        <v>1376</v>
      </c>
      <c r="L132" s="85">
        <f>$I$45*$L$45</f>
        <v>0</v>
      </c>
      <c r="M132" s="85">
        <f>$I$45*$M$45</f>
        <v>98419.058249877009</v>
      </c>
      <c r="N132" s="85">
        <f ca="1">$I$45*$N$45</f>
        <v>196211.59795159072</v>
      </c>
      <c r="O132" s="85">
        <f>$I$45*$O$45</f>
        <v>0</v>
      </c>
      <c r="P132" s="85">
        <f>$I$45*$P$45</f>
        <v>0</v>
      </c>
      <c r="Q132" s="85">
        <f>$I$45*$Q$45</f>
        <v>15360972.728600942</v>
      </c>
      <c r="R132" s="85">
        <f>$I$45*$R$45</f>
        <v>1614777.0426963328</v>
      </c>
      <c r="S132" s="85">
        <f>$I$45*$S$45</f>
        <v>0</v>
      </c>
      <c r="T132" s="85">
        <f>$I$45*$T$45</f>
        <v>0</v>
      </c>
      <c r="U132" s="85">
        <f>$I$45*$U$45</f>
        <v>0</v>
      </c>
      <c r="V132" s="85">
        <f>$I$45*$V$45</f>
        <v>0</v>
      </c>
      <c r="W132" s="85">
        <f>$I$45*$W$45</f>
        <v>0</v>
      </c>
      <c r="X132" s="85">
        <f>$I$45*$X$45</f>
        <v>0</v>
      </c>
      <c r="Y132" s="85">
        <f>$I$45*$Y$45</f>
        <v>0</v>
      </c>
      <c r="Z132" s="85">
        <f>$I$45*$Z$45</f>
        <v>0</v>
      </c>
      <c r="AA132" s="85">
        <f>$I$45*$AA$45</f>
        <v>0</v>
      </c>
      <c r="AB132" s="85">
        <f ca="1">$I$45*$AB$45</f>
        <v>0</v>
      </c>
      <c r="AC132" s="85">
        <f ca="1">$I$45*$AC$45</f>
        <v>0</v>
      </c>
      <c r="AD132" s="85">
        <f>$I$45*$AD$45</f>
        <v>5173989.1893997621</v>
      </c>
      <c r="AE132" s="85">
        <f>$I$45*$AE$45</f>
        <v>194481.69315326915</v>
      </c>
      <c r="AF132" s="85">
        <f ca="1">$I$45*$AF$45</f>
        <v>2791941.2390558715</v>
      </c>
      <c r="AG132" s="85">
        <f ca="1">$I$45*$AG$45</f>
        <v>717622.26043472753</v>
      </c>
      <c r="AI132" s="85">
        <f>$I$45*$AI$45</f>
        <v>0</v>
      </c>
      <c r="AJ132" s="85">
        <f>$I$45*$AJ$45</f>
        <v>94561.399761926223</v>
      </c>
      <c r="AK132" s="85">
        <f>$I$45*$AK$45</f>
        <v>193317.96140577426</v>
      </c>
      <c r="AL132" s="85">
        <f>$I$45*$AL$45</f>
        <v>0</v>
      </c>
      <c r="AM132" s="85">
        <f>$I$45*$AM$45</f>
        <v>0</v>
      </c>
      <c r="AN132" s="85">
        <f>$I$45*$AN$45</f>
        <v>12440589.333893033</v>
      </c>
      <c r="AO132" s="85">
        <f>$I$45*$AO$45</f>
        <v>2360310.9427461782</v>
      </c>
      <c r="AP132" s="85">
        <f>$I$45*$AP$45</f>
        <v>0</v>
      </c>
      <c r="AQ132" s="85">
        <f>$I$45*$AQ$45</f>
        <v>0</v>
      </c>
      <c r="AR132" s="85">
        <f>$I$45*$AR$45</f>
        <v>0</v>
      </c>
      <c r="AS132" s="85">
        <f>$I$45*$AS$45</f>
        <v>0</v>
      </c>
      <c r="AT132" s="85">
        <f>$I$45*$AT$45</f>
        <v>0</v>
      </c>
      <c r="AU132" s="85">
        <f>$I$45*$AU$45</f>
        <v>0</v>
      </c>
      <c r="AV132" s="85">
        <f>$I$45*$AV$45</f>
        <v>0</v>
      </c>
      <c r="AW132" s="85">
        <f>$I$45*$AW$45</f>
        <v>0</v>
      </c>
      <c r="AX132" s="85">
        <f>$I$45*$AX$45</f>
        <v>0</v>
      </c>
      <c r="AY132" s="85">
        <f>$I$45*$AY$45</f>
        <v>0</v>
      </c>
      <c r="AZ132" s="85">
        <f>$I$45*$AZ$45</f>
        <v>0</v>
      </c>
      <c r="BA132" s="85">
        <f>$I$45*$BA$45</f>
        <v>6233107.984881578</v>
      </c>
      <c r="BB132" s="85">
        <f>$I$45*$BB$45</f>
        <v>233288.80148938784</v>
      </c>
      <c r="BC132" s="85">
        <f>$I$45*$BC$45</f>
        <v>3181198.0369724338</v>
      </c>
      <c r="BD132" s="85">
        <f>$I$45*$BD$45</f>
        <v>664058.59221608459</v>
      </c>
    </row>
    <row r="133" spans="1:56" ht="11.25" customHeight="1" x14ac:dyDescent="0.25">
      <c r="A133" s="9" t="s">
        <v>44</v>
      </c>
      <c r="B133" s="9" t="s">
        <v>1369</v>
      </c>
      <c r="C133" s="9" t="s">
        <v>1370</v>
      </c>
      <c r="D133" s="9" t="s">
        <v>1371</v>
      </c>
      <c r="E133" s="9" t="s">
        <v>1377</v>
      </c>
      <c r="F133" s="9" t="s">
        <v>1378</v>
      </c>
      <c r="G133" s="9" t="s">
        <v>1379</v>
      </c>
      <c r="L133" s="85">
        <f>$I$46*$L$46</f>
        <v>0</v>
      </c>
      <c r="M133" s="85">
        <f>$I$46*$M$46</f>
        <v>0</v>
      </c>
      <c r="N133" s="85">
        <f ca="1">$I$46*$N$46</f>
        <v>0</v>
      </c>
      <c r="O133" s="85">
        <f>$I$46*$O$46</f>
        <v>0</v>
      </c>
      <c r="P133" s="85">
        <f>$I$46*$P$46</f>
        <v>0</v>
      </c>
      <c r="Q133" s="85">
        <f>$I$46*$Q$46</f>
        <v>0</v>
      </c>
      <c r="R133" s="85">
        <f>$I$46*$R$46</f>
        <v>0</v>
      </c>
      <c r="S133" s="85">
        <f>$I$46*$S$46</f>
        <v>0</v>
      </c>
      <c r="T133" s="85">
        <f>$I$46*$T$46</f>
        <v>0</v>
      </c>
      <c r="U133" s="85">
        <f>$I$46*$U$46</f>
        <v>0</v>
      </c>
      <c r="V133" s="85">
        <f>$I$46*$V$46</f>
        <v>0</v>
      </c>
      <c r="W133" s="85">
        <f>$I$46*$W$46</f>
        <v>0</v>
      </c>
      <c r="X133" s="85">
        <f>$I$46*$X$46</f>
        <v>0</v>
      </c>
      <c r="Y133" s="85">
        <f>$I$46*$Y$46</f>
        <v>0</v>
      </c>
      <c r="Z133" s="85">
        <f>$I$46*$Z$46</f>
        <v>0</v>
      </c>
      <c r="AA133" s="85">
        <f>$I$46*$AA$46</f>
        <v>0</v>
      </c>
      <c r="AB133" s="85">
        <f ca="1">$I$46*$AB$46</f>
        <v>0</v>
      </c>
      <c r="AC133" s="85">
        <f ca="1">$I$46*$AC$46</f>
        <v>0</v>
      </c>
      <c r="AD133" s="85">
        <f>$I$46*$AD$46</f>
        <v>0</v>
      </c>
      <c r="AE133" s="85">
        <f>$I$46*$AE$46</f>
        <v>0</v>
      </c>
      <c r="AF133" s="85">
        <f ca="1">$I$46*$AF$46</f>
        <v>0</v>
      </c>
      <c r="AG133" s="85">
        <f ca="1">$I$46*$AG$46</f>
        <v>0</v>
      </c>
      <c r="AI133" s="85">
        <f>$I$46*$AI$46</f>
        <v>0</v>
      </c>
      <c r="AJ133" s="85">
        <f>$I$46*$AJ$46</f>
        <v>0</v>
      </c>
      <c r="AK133" s="85">
        <f>$I$46*$AK$46</f>
        <v>0</v>
      </c>
      <c r="AL133" s="85">
        <f>$I$46*$AL$46</f>
        <v>0</v>
      </c>
      <c r="AM133" s="85">
        <f>$I$46*$AM$46</f>
        <v>0</v>
      </c>
      <c r="AN133" s="85">
        <f>$I$46*$AN$46</f>
        <v>0</v>
      </c>
      <c r="AO133" s="85">
        <f>$I$46*$AO$46</f>
        <v>0</v>
      </c>
      <c r="AP133" s="85">
        <f>$I$46*$AP$46</f>
        <v>0</v>
      </c>
      <c r="AQ133" s="85">
        <f>$I$46*$AQ$46</f>
        <v>0</v>
      </c>
      <c r="AR133" s="85">
        <f>$I$46*$AR$46</f>
        <v>0</v>
      </c>
      <c r="AS133" s="85">
        <f>$I$46*$AS$46</f>
        <v>0</v>
      </c>
      <c r="AT133" s="85">
        <f>$I$46*$AT$46</f>
        <v>0</v>
      </c>
      <c r="AU133" s="85">
        <f>$I$46*$AU$46</f>
        <v>0</v>
      </c>
      <c r="AV133" s="85">
        <f>$I$46*$AV$46</f>
        <v>0</v>
      </c>
      <c r="AW133" s="85">
        <f>$I$46*$AW$46</f>
        <v>0</v>
      </c>
      <c r="AX133" s="85">
        <f>$I$46*$AX$46</f>
        <v>0</v>
      </c>
      <c r="AY133" s="85">
        <f>$I$46*$AY$46</f>
        <v>0</v>
      </c>
      <c r="AZ133" s="85">
        <f>$I$46*$AZ$46</f>
        <v>0</v>
      </c>
      <c r="BA133" s="85">
        <f>$I$46*$BA$46</f>
        <v>0</v>
      </c>
      <c r="BB133" s="85">
        <f>$I$46*$BB$46</f>
        <v>0</v>
      </c>
      <c r="BC133" s="85">
        <f>$I$46*$BC$46</f>
        <v>0</v>
      </c>
      <c r="BD133" s="85">
        <f>$I$46*$BD$46</f>
        <v>0</v>
      </c>
    </row>
    <row r="134" spans="1:56" ht="11.25" customHeight="1" x14ac:dyDescent="0.25">
      <c r="A134" s="9" t="s">
        <v>44</v>
      </c>
      <c r="B134" s="9" t="s">
        <v>1369</v>
      </c>
      <c r="C134" s="9" t="s">
        <v>1370</v>
      </c>
      <c r="D134" s="9" t="s">
        <v>1371</v>
      </c>
      <c r="E134" s="9" t="s">
        <v>1377</v>
      </c>
      <c r="F134" s="9" t="s">
        <v>1378</v>
      </c>
      <c r="G134" s="9" t="s">
        <v>1380</v>
      </c>
      <c r="L134" s="85">
        <f>$I$47*$L$47</f>
        <v>0</v>
      </c>
      <c r="M134" s="85">
        <f>$I$47*$M$47</f>
        <v>0</v>
      </c>
      <c r="N134" s="85">
        <f ca="1">$I$47*$N$47</f>
        <v>0</v>
      </c>
      <c r="O134" s="85">
        <f>$I$47*$O$47</f>
        <v>0</v>
      </c>
      <c r="P134" s="85">
        <f>$I$47*$P$47</f>
        <v>0</v>
      </c>
      <c r="Q134" s="85">
        <f>$I$47*$Q$47</f>
        <v>0</v>
      </c>
      <c r="R134" s="85">
        <f>$I$47*$R$47</f>
        <v>0</v>
      </c>
      <c r="S134" s="85">
        <f>$I$47*$S$47</f>
        <v>0</v>
      </c>
      <c r="T134" s="85">
        <f>$I$47*$T$47</f>
        <v>0</v>
      </c>
      <c r="U134" s="85">
        <f>$I$47*$U$47</f>
        <v>0</v>
      </c>
      <c r="V134" s="85">
        <f>$I$47*$V$47</f>
        <v>0</v>
      </c>
      <c r="W134" s="85">
        <f>$I$47*$W$47</f>
        <v>0</v>
      </c>
      <c r="X134" s="85">
        <f>$I$47*$X$47</f>
        <v>0</v>
      </c>
      <c r="Y134" s="85">
        <f>$I$47*$Y$47</f>
        <v>0</v>
      </c>
      <c r="Z134" s="85">
        <f>$I$47*$Z$47</f>
        <v>0</v>
      </c>
      <c r="AA134" s="85">
        <f>$I$47*$AA$47</f>
        <v>0</v>
      </c>
      <c r="AB134" s="85">
        <f ca="1">$I$47*$AB$47</f>
        <v>0</v>
      </c>
      <c r="AC134" s="85">
        <f ca="1">$I$47*$AC$47</f>
        <v>0</v>
      </c>
      <c r="AD134" s="85">
        <f>$I$47*$AD$47</f>
        <v>0</v>
      </c>
      <c r="AE134" s="85">
        <f>$I$47*$AE$47</f>
        <v>0</v>
      </c>
      <c r="AF134" s="85">
        <f ca="1">$I$47*$AF$47</f>
        <v>0</v>
      </c>
      <c r="AG134" s="85">
        <f ca="1">$I$47*$AG$47</f>
        <v>0</v>
      </c>
      <c r="AI134" s="85">
        <f>$I$47*$AI$47</f>
        <v>0</v>
      </c>
      <c r="AJ134" s="85">
        <f>$I$47*$AJ$47</f>
        <v>0</v>
      </c>
      <c r="AK134" s="85">
        <f>$I$47*$AK$47</f>
        <v>0</v>
      </c>
      <c r="AL134" s="85">
        <f>$I$47*$AL$47</f>
        <v>0</v>
      </c>
      <c r="AM134" s="85">
        <f>$I$47*$AM$47</f>
        <v>0</v>
      </c>
      <c r="AN134" s="85">
        <f>$I$47*$AN$47</f>
        <v>0</v>
      </c>
      <c r="AO134" s="85">
        <f>$I$47*$AO$47</f>
        <v>0</v>
      </c>
      <c r="AP134" s="85">
        <f>$I$47*$AP$47</f>
        <v>0</v>
      </c>
      <c r="AQ134" s="85">
        <f>$I$47*$AQ$47</f>
        <v>0</v>
      </c>
      <c r="AR134" s="85">
        <f>$I$47*$AR$47</f>
        <v>0</v>
      </c>
      <c r="AS134" s="85">
        <f>$I$47*$AS$47</f>
        <v>0</v>
      </c>
      <c r="AT134" s="85">
        <f>$I$47*$AT$47</f>
        <v>0</v>
      </c>
      <c r="AU134" s="85">
        <f>$I$47*$AU$47</f>
        <v>0</v>
      </c>
      <c r="AV134" s="85">
        <f>$I$47*$AV$47</f>
        <v>0</v>
      </c>
      <c r="AW134" s="85">
        <f>$I$47*$AW$47</f>
        <v>0</v>
      </c>
      <c r="AX134" s="85">
        <f>$I$47*$AX$47</f>
        <v>0</v>
      </c>
      <c r="AY134" s="85">
        <f>$I$47*$AY$47</f>
        <v>0</v>
      </c>
      <c r="AZ134" s="85">
        <f>$I$47*$AZ$47</f>
        <v>0</v>
      </c>
      <c r="BA134" s="85">
        <f>$I$47*$BA$47</f>
        <v>0</v>
      </c>
      <c r="BB134" s="85">
        <f>$I$47*$BB$47</f>
        <v>0</v>
      </c>
      <c r="BC134" s="85">
        <f>$I$47*$BC$47</f>
        <v>0</v>
      </c>
      <c r="BD134" s="85">
        <f>$I$47*$BD$47</f>
        <v>0</v>
      </c>
    </row>
    <row r="135" spans="1:56" ht="11.25" customHeight="1" x14ac:dyDescent="0.25">
      <c r="A135" s="9" t="s">
        <v>44</v>
      </c>
      <c r="B135" s="9" t="s">
        <v>1381</v>
      </c>
      <c r="C135" s="9" t="s">
        <v>1382</v>
      </c>
      <c r="D135" s="9" t="s">
        <v>1383</v>
      </c>
      <c r="E135" s="9" t="s">
        <v>1384</v>
      </c>
      <c r="F135" s="9" t="s">
        <v>1385</v>
      </c>
      <c r="G135" s="9" t="s">
        <v>1386</v>
      </c>
      <c r="L135" s="85">
        <f>$I$48*$L$48</f>
        <v>0</v>
      </c>
      <c r="M135" s="85">
        <f>$I$48*$M$48</f>
        <v>0</v>
      </c>
      <c r="N135" s="85">
        <f ca="1">$I$48*$N$48</f>
        <v>0</v>
      </c>
      <c r="O135" s="85">
        <f>$I$48*$O$48</f>
        <v>0</v>
      </c>
      <c r="P135" s="85">
        <f>$I$48*$P$48</f>
        <v>0</v>
      </c>
      <c r="Q135" s="85">
        <f>$I$48*$Q$48</f>
        <v>0</v>
      </c>
      <c r="R135" s="85">
        <f>$I$48*$R$48</f>
        <v>0</v>
      </c>
      <c r="S135" s="85">
        <f>$I$48*$S$48</f>
        <v>0</v>
      </c>
      <c r="T135" s="85">
        <f>$I$48*$T$48</f>
        <v>0</v>
      </c>
      <c r="U135" s="85">
        <f>$I$48*$U$48</f>
        <v>0</v>
      </c>
      <c r="V135" s="85">
        <f>$I$48*$V$48</f>
        <v>0</v>
      </c>
      <c r="W135" s="85">
        <f>$I$48*$W$48</f>
        <v>0</v>
      </c>
      <c r="X135" s="85">
        <f>$I$48*$X$48</f>
        <v>0</v>
      </c>
      <c r="Y135" s="85">
        <f>$I$48*$Y$48</f>
        <v>0</v>
      </c>
      <c r="Z135" s="85">
        <f>$I$48*$Z$48</f>
        <v>0</v>
      </c>
      <c r="AA135" s="85">
        <f>$I$48*$AA$48</f>
        <v>0</v>
      </c>
      <c r="AB135" s="85">
        <f ca="1">$I$48*$AB$48</f>
        <v>0</v>
      </c>
      <c r="AC135" s="85">
        <f ca="1">$I$48*$AC$48</f>
        <v>0</v>
      </c>
      <c r="AD135" s="85">
        <f>$I$48*$AD$48</f>
        <v>0</v>
      </c>
      <c r="AE135" s="85">
        <f>$I$48*$AE$48</f>
        <v>0</v>
      </c>
      <c r="AF135" s="85">
        <f ca="1">$I$48*$AF$48</f>
        <v>0</v>
      </c>
      <c r="AG135" s="85">
        <f ca="1">$I$48*$AG$48</f>
        <v>0</v>
      </c>
      <c r="AI135" s="85">
        <f>$I$48*$AI$48</f>
        <v>0</v>
      </c>
      <c r="AJ135" s="85">
        <f>$I$48*$AJ$48</f>
        <v>0</v>
      </c>
      <c r="AK135" s="85">
        <f>$I$48*$AK$48</f>
        <v>0</v>
      </c>
      <c r="AL135" s="85">
        <f>$I$48*$AL$48</f>
        <v>0</v>
      </c>
      <c r="AM135" s="85">
        <f>$I$48*$AM$48</f>
        <v>0</v>
      </c>
      <c r="AN135" s="85">
        <f>$I$48*$AN$48</f>
        <v>0</v>
      </c>
      <c r="AO135" s="85">
        <f>$I$48*$AO$48</f>
        <v>0</v>
      </c>
      <c r="AP135" s="85">
        <f>$I$48*$AP$48</f>
        <v>0</v>
      </c>
      <c r="AQ135" s="85">
        <f>$I$48*$AQ$48</f>
        <v>0</v>
      </c>
      <c r="AR135" s="85">
        <f>$I$48*$AR$48</f>
        <v>0</v>
      </c>
      <c r="AS135" s="85">
        <f>$I$48*$AS$48</f>
        <v>0</v>
      </c>
      <c r="AT135" s="85">
        <f>$I$48*$AT$48</f>
        <v>0</v>
      </c>
      <c r="AU135" s="85">
        <f>$I$48*$AU$48</f>
        <v>0</v>
      </c>
      <c r="AV135" s="85">
        <f>$I$48*$AV$48</f>
        <v>0</v>
      </c>
      <c r="AW135" s="85">
        <f>$I$48*$AW$48</f>
        <v>0</v>
      </c>
      <c r="AX135" s="85">
        <f>$I$48*$AX$48</f>
        <v>0</v>
      </c>
      <c r="AY135" s="85">
        <f>$I$48*$AY$48</f>
        <v>0</v>
      </c>
      <c r="AZ135" s="85">
        <f>$I$48*$AZ$48</f>
        <v>0</v>
      </c>
      <c r="BA135" s="85">
        <f>$I$48*$BA$48</f>
        <v>0</v>
      </c>
      <c r="BB135" s="85">
        <f>$I$48*$BB$48</f>
        <v>0</v>
      </c>
      <c r="BC135" s="85">
        <f>$I$48*$BC$48</f>
        <v>0</v>
      </c>
      <c r="BD135" s="85">
        <f>$I$48*$BD$48</f>
        <v>0</v>
      </c>
    </row>
    <row r="136" spans="1:56" ht="11.25" customHeight="1" x14ac:dyDescent="0.25">
      <c r="A136" s="9" t="s">
        <v>44</v>
      </c>
      <c r="B136" s="9" t="s">
        <v>1381</v>
      </c>
      <c r="C136" s="9" t="s">
        <v>1382</v>
      </c>
      <c r="D136" s="9" t="s">
        <v>1383</v>
      </c>
      <c r="E136" s="9" t="s">
        <v>1384</v>
      </c>
      <c r="F136" s="9" t="s">
        <v>1385</v>
      </c>
      <c r="G136" s="9" t="s">
        <v>1387</v>
      </c>
      <c r="L136" s="85">
        <f>$I$49*$L$49</f>
        <v>0</v>
      </c>
      <c r="M136" s="85">
        <f>$I$49*$M$49</f>
        <v>0</v>
      </c>
      <c r="N136" s="85">
        <f ca="1">$I$49*$N$49</f>
        <v>0</v>
      </c>
      <c r="O136" s="85">
        <f>$I$49*$O$49</f>
        <v>0</v>
      </c>
      <c r="P136" s="85">
        <f>$I$49*$P$49</f>
        <v>0</v>
      </c>
      <c r="Q136" s="85">
        <f>$I$49*$Q$49</f>
        <v>0</v>
      </c>
      <c r="R136" s="85">
        <f>$I$49*$R$49</f>
        <v>0</v>
      </c>
      <c r="S136" s="85">
        <f>$I$49*$S$49</f>
        <v>0</v>
      </c>
      <c r="T136" s="85">
        <f>$I$49*$T$49</f>
        <v>0</v>
      </c>
      <c r="U136" s="85">
        <f>$I$49*$U$49</f>
        <v>0</v>
      </c>
      <c r="V136" s="85">
        <f>$I$49*$V$49</f>
        <v>0</v>
      </c>
      <c r="W136" s="85">
        <f>$I$49*$W$49</f>
        <v>0</v>
      </c>
      <c r="X136" s="85">
        <f>$I$49*$X$49</f>
        <v>0</v>
      </c>
      <c r="Y136" s="85">
        <f>$I$49*$Y$49</f>
        <v>0</v>
      </c>
      <c r="Z136" s="85">
        <f>$I$49*$Z$49</f>
        <v>0</v>
      </c>
      <c r="AA136" s="85">
        <f>$I$49*$AA$49</f>
        <v>0</v>
      </c>
      <c r="AB136" s="85">
        <f ca="1">$I$49*$AB$49</f>
        <v>0</v>
      </c>
      <c r="AC136" s="85">
        <f ca="1">$I$49*$AC$49</f>
        <v>0</v>
      </c>
      <c r="AD136" s="85">
        <f>$I$49*$AD$49</f>
        <v>0</v>
      </c>
      <c r="AE136" s="85">
        <f>$I$49*$AE$49</f>
        <v>0</v>
      </c>
      <c r="AF136" s="85">
        <f ca="1">$I$49*$AF$49</f>
        <v>0</v>
      </c>
      <c r="AG136" s="85">
        <f ca="1">$I$49*$AG$49</f>
        <v>0</v>
      </c>
      <c r="AI136" s="85">
        <f>$I$49*$AI$49</f>
        <v>0</v>
      </c>
      <c r="AJ136" s="85">
        <f>$I$49*$AJ$49</f>
        <v>0</v>
      </c>
      <c r="AK136" s="85">
        <f>$I$49*$AK$49</f>
        <v>0</v>
      </c>
      <c r="AL136" s="85">
        <f>$I$49*$AL$49</f>
        <v>0</v>
      </c>
      <c r="AM136" s="85">
        <f>$I$49*$AM$49</f>
        <v>0</v>
      </c>
      <c r="AN136" s="85">
        <f>$I$49*$AN$49</f>
        <v>0</v>
      </c>
      <c r="AO136" s="85">
        <f>$I$49*$AO$49</f>
        <v>0</v>
      </c>
      <c r="AP136" s="85">
        <f>$I$49*$AP$49</f>
        <v>0</v>
      </c>
      <c r="AQ136" s="85">
        <f>$I$49*$AQ$49</f>
        <v>0</v>
      </c>
      <c r="AR136" s="85">
        <f>$I$49*$AR$49</f>
        <v>0</v>
      </c>
      <c r="AS136" s="85">
        <f>$I$49*$AS$49</f>
        <v>0</v>
      </c>
      <c r="AT136" s="85">
        <f>$I$49*$AT$49</f>
        <v>0</v>
      </c>
      <c r="AU136" s="85">
        <f>$I$49*$AU$49</f>
        <v>0</v>
      </c>
      <c r="AV136" s="85">
        <f>$I$49*$AV$49</f>
        <v>0</v>
      </c>
      <c r="AW136" s="85">
        <f>$I$49*$AW$49</f>
        <v>0</v>
      </c>
      <c r="AX136" s="85">
        <f>$I$49*$AX$49</f>
        <v>0</v>
      </c>
      <c r="AY136" s="85">
        <f>$I$49*$AY$49</f>
        <v>0</v>
      </c>
      <c r="AZ136" s="85">
        <f>$I$49*$AZ$49</f>
        <v>0</v>
      </c>
      <c r="BA136" s="85">
        <f>$I$49*$BA$49</f>
        <v>0</v>
      </c>
      <c r="BB136" s="85">
        <f>$I$49*$BB$49</f>
        <v>0</v>
      </c>
      <c r="BC136" s="85">
        <f>$I$49*$BC$49</f>
        <v>0</v>
      </c>
      <c r="BD136" s="85">
        <f>$I$49*$BD$49</f>
        <v>0</v>
      </c>
    </row>
    <row r="137" spans="1:56" ht="11.25" customHeight="1" x14ac:dyDescent="0.25">
      <c r="A137" s="9" t="s">
        <v>97</v>
      </c>
      <c r="B137" s="9" t="s">
        <v>1388</v>
      </c>
      <c r="C137" s="9" t="s">
        <v>1389</v>
      </c>
      <c r="D137" s="9" t="s">
        <v>1390</v>
      </c>
      <c r="E137" s="9" t="s">
        <v>1391</v>
      </c>
      <c r="F137" s="9" t="s">
        <v>1392</v>
      </c>
      <c r="G137" s="9" t="s">
        <v>1393</v>
      </c>
      <c r="L137" s="85">
        <f>$I$50*$L$50</f>
        <v>0</v>
      </c>
      <c r="M137" s="85">
        <f>$I$50*$M$50</f>
        <v>6.2730944428416848E-11</v>
      </c>
      <c r="N137" s="85">
        <f ca="1">$I$50*$N$50</f>
        <v>2.590220083767566E-10</v>
      </c>
      <c r="O137" s="85">
        <f>$I$50*$O$50</f>
        <v>0</v>
      </c>
      <c r="P137" s="85">
        <f>$I$50*$P$50</f>
        <v>0</v>
      </c>
      <c r="Q137" s="85">
        <f>$I$50*$Q$50</f>
        <v>0</v>
      </c>
      <c r="R137" s="85">
        <f>$I$50*$R$50</f>
        <v>0</v>
      </c>
      <c r="S137" s="85">
        <f>$I$50*$S$50</f>
        <v>0</v>
      </c>
      <c r="T137" s="85">
        <f>$I$50*$T$50</f>
        <v>0</v>
      </c>
      <c r="U137" s="85">
        <f>$I$50*$U$50</f>
        <v>0</v>
      </c>
      <c r="V137" s="85">
        <f>$I$50*$V$50</f>
        <v>0</v>
      </c>
      <c r="W137" s="85">
        <f>$I$50*$W$50</f>
        <v>0</v>
      </c>
      <c r="X137" s="85">
        <f>$I$50*$X$50</f>
        <v>0</v>
      </c>
      <c r="Y137" s="85">
        <f>$I$50*$Y$50</f>
        <v>0</v>
      </c>
      <c r="Z137" s="85">
        <f>$I$50*$Z$50</f>
        <v>0</v>
      </c>
      <c r="AA137" s="85">
        <f>$I$50*$AA$50</f>
        <v>2.0479139516502502E-8</v>
      </c>
      <c r="AB137" s="85">
        <f ca="1">$I$50*$AB$50</f>
        <v>0</v>
      </c>
      <c r="AC137" s="85">
        <f ca="1">$I$50*$AC$50</f>
        <v>0</v>
      </c>
      <c r="AD137" s="85">
        <f>$I$50*$AD$50</f>
        <v>0</v>
      </c>
      <c r="AE137" s="85">
        <f>$I$50*$AE$50</f>
        <v>0</v>
      </c>
      <c r="AF137" s="85">
        <f ca="1">$I$50*$AF$50</f>
        <v>0</v>
      </c>
      <c r="AG137" s="85">
        <f ca="1">$I$50*$AG$50</f>
        <v>0</v>
      </c>
      <c r="AI137" s="85">
        <f>$I$50*$AI$50</f>
        <v>0</v>
      </c>
      <c r="AJ137" s="85">
        <f>$I$50*$AJ$50</f>
        <v>6.7079289022376501E-11</v>
      </c>
      <c r="AK137" s="85">
        <f>$I$50*$AK$50</f>
        <v>2.7033199813322004E-10</v>
      </c>
      <c r="AL137" s="85">
        <f>$I$50*$AL$50</f>
        <v>0</v>
      </c>
      <c r="AM137" s="85">
        <f>$I$50*$AM$50</f>
        <v>0</v>
      </c>
      <c r="AN137" s="85">
        <f>$I$50*$AN$50</f>
        <v>0</v>
      </c>
      <c r="AO137" s="85">
        <f>$I$50*$AO$50</f>
        <v>0</v>
      </c>
      <c r="AP137" s="85">
        <f>$I$50*$AP$50</f>
        <v>0</v>
      </c>
      <c r="AQ137" s="85">
        <f>$I$50*$AQ$50</f>
        <v>0</v>
      </c>
      <c r="AR137" s="85">
        <f>$I$50*$AR$50</f>
        <v>0</v>
      </c>
      <c r="AS137" s="85">
        <f>$I$50*$AS$50</f>
        <v>0</v>
      </c>
      <c r="AT137" s="85">
        <f>$I$50*$AT$50</f>
        <v>0</v>
      </c>
      <c r="AU137" s="85">
        <f>$I$50*$AU$50</f>
        <v>0</v>
      </c>
      <c r="AV137" s="85">
        <f>$I$50*$AV$50</f>
        <v>0</v>
      </c>
      <c r="AW137" s="85">
        <f>$I$50*$AW$50</f>
        <v>0</v>
      </c>
      <c r="AX137" s="85">
        <f>$I$50*$AX$50</f>
        <v>1.98652648741459E-8</v>
      </c>
      <c r="AY137" s="85">
        <f>$I$50*$AY$50</f>
        <v>0</v>
      </c>
      <c r="AZ137" s="85">
        <f>$I$50*$AZ$50</f>
        <v>0</v>
      </c>
      <c r="BA137" s="85">
        <f>$I$50*$BA$50</f>
        <v>0</v>
      </c>
      <c r="BB137" s="85">
        <f>$I$50*$BB$50</f>
        <v>0</v>
      </c>
      <c r="BC137" s="85">
        <f>$I$50*$BC$50</f>
        <v>0</v>
      </c>
      <c r="BD137" s="85">
        <f>$I$50*$BD$50</f>
        <v>0</v>
      </c>
    </row>
    <row r="138" spans="1:56" ht="11.25" customHeight="1" x14ac:dyDescent="0.25">
      <c r="A138" s="9" t="s">
        <v>97</v>
      </c>
      <c r="B138" s="9" t="s">
        <v>1388</v>
      </c>
      <c r="C138" s="9" t="s">
        <v>1389</v>
      </c>
      <c r="D138" s="9" t="s">
        <v>1390</v>
      </c>
      <c r="E138" s="9" t="s">
        <v>1394</v>
      </c>
      <c r="F138" s="9" t="s">
        <v>1395</v>
      </c>
      <c r="G138" s="9" t="s">
        <v>1396</v>
      </c>
      <c r="L138" s="85">
        <f>$I$51*$L$51</f>
        <v>0</v>
      </c>
      <c r="M138" s="85">
        <f>$I$51*$M$51</f>
        <v>6.2730944428416848E-11</v>
      </c>
      <c r="N138" s="85">
        <f ca="1">$I$51*$N$51</f>
        <v>2.590220083767566E-10</v>
      </c>
      <c r="O138" s="85">
        <f>$I$51*$O$51</f>
        <v>0</v>
      </c>
      <c r="P138" s="85">
        <f>$I$51*$P$51</f>
        <v>0</v>
      </c>
      <c r="Q138" s="85">
        <f>$I$51*$Q$51</f>
        <v>0</v>
      </c>
      <c r="R138" s="85">
        <f>$I$51*$R$51</f>
        <v>0</v>
      </c>
      <c r="S138" s="85">
        <f>$I$51*$S$51</f>
        <v>0</v>
      </c>
      <c r="T138" s="85">
        <f>$I$51*$T$51</f>
        <v>0</v>
      </c>
      <c r="U138" s="85">
        <f>$I$51*$U$51</f>
        <v>0</v>
      </c>
      <c r="V138" s="85">
        <f>$I$51*$V$51</f>
        <v>0</v>
      </c>
      <c r="W138" s="85">
        <f>$I$51*$W$51</f>
        <v>0</v>
      </c>
      <c r="X138" s="85">
        <f>$I$51*$X$51</f>
        <v>0</v>
      </c>
      <c r="Y138" s="85">
        <f>$I$51*$Y$51</f>
        <v>0</v>
      </c>
      <c r="Z138" s="85">
        <f>$I$51*$Z$51</f>
        <v>0</v>
      </c>
      <c r="AA138" s="85">
        <f>$I$51*$AA$51</f>
        <v>7.6320373887177757E-8</v>
      </c>
      <c r="AB138" s="85">
        <f ca="1">$I$51*$AB$51</f>
        <v>0</v>
      </c>
      <c r="AC138" s="85">
        <f ca="1">$I$51*$AC$51</f>
        <v>0</v>
      </c>
      <c r="AD138" s="85">
        <f>$I$51*$AD$51</f>
        <v>0</v>
      </c>
      <c r="AE138" s="85">
        <f>$I$51*$AE$51</f>
        <v>0</v>
      </c>
      <c r="AF138" s="85">
        <f ca="1">$I$51*$AF$51</f>
        <v>0</v>
      </c>
      <c r="AG138" s="85">
        <f ca="1">$I$51*$AG$51</f>
        <v>0</v>
      </c>
      <c r="AI138" s="85">
        <f>$I$51*$AI$51</f>
        <v>0</v>
      </c>
      <c r="AJ138" s="85">
        <f>$I$51*$AJ$51</f>
        <v>6.7079289022376501E-11</v>
      </c>
      <c r="AK138" s="85">
        <f>$I$51*$AK$51</f>
        <v>2.7033199813322004E-10</v>
      </c>
      <c r="AL138" s="85">
        <f>$I$51*$AL$51</f>
        <v>0</v>
      </c>
      <c r="AM138" s="85">
        <f>$I$51*$AM$51</f>
        <v>0</v>
      </c>
      <c r="AN138" s="85">
        <f>$I$51*$AN$51</f>
        <v>0</v>
      </c>
      <c r="AO138" s="85">
        <f>$I$51*$AO$51</f>
        <v>0</v>
      </c>
      <c r="AP138" s="85">
        <f>$I$51*$AP$51</f>
        <v>0</v>
      </c>
      <c r="AQ138" s="85">
        <f>$I$51*$AQ$51</f>
        <v>0</v>
      </c>
      <c r="AR138" s="85">
        <f>$I$51*$AR$51</f>
        <v>0</v>
      </c>
      <c r="AS138" s="85">
        <f>$I$51*$AS$51</f>
        <v>0</v>
      </c>
      <c r="AT138" s="85">
        <f>$I$51*$AT$51</f>
        <v>0</v>
      </c>
      <c r="AU138" s="85">
        <f>$I$51*$AU$51</f>
        <v>0</v>
      </c>
      <c r="AV138" s="85">
        <f>$I$51*$AV$51</f>
        <v>0</v>
      </c>
      <c r="AW138" s="85">
        <f>$I$51*$AW$51</f>
        <v>0</v>
      </c>
      <c r="AX138" s="85">
        <f>$I$51*$AX$51</f>
        <v>7.4032624336628599E-8</v>
      </c>
      <c r="AY138" s="85">
        <f>$I$51*$AY$51</f>
        <v>0</v>
      </c>
      <c r="AZ138" s="85">
        <f>$I$51*$AZ$51</f>
        <v>0</v>
      </c>
      <c r="BA138" s="85">
        <f>$I$51*$BA$51</f>
        <v>0</v>
      </c>
      <c r="BB138" s="85">
        <f>$I$51*$BB$51</f>
        <v>0</v>
      </c>
      <c r="BC138" s="85">
        <f>$I$51*$BC$51</f>
        <v>0</v>
      </c>
      <c r="BD138" s="85">
        <f>$I$51*$BD$51</f>
        <v>0</v>
      </c>
    </row>
    <row r="139" spans="1:56" ht="11.25" customHeight="1" x14ac:dyDescent="0.25">
      <c r="A139" s="9" t="s">
        <v>22</v>
      </c>
      <c r="B139" s="9" t="s">
        <v>1397</v>
      </c>
      <c r="C139" s="9" t="s">
        <v>1398</v>
      </c>
      <c r="D139" s="9" t="s">
        <v>1399</v>
      </c>
      <c r="E139" s="9" t="s">
        <v>1400</v>
      </c>
      <c r="F139" s="9" t="s">
        <v>1401</v>
      </c>
      <c r="G139" s="9" t="s">
        <v>1402</v>
      </c>
      <c r="L139" s="85">
        <f>$I$52*$L$52</f>
        <v>0</v>
      </c>
      <c r="M139" s="85">
        <f>$I$52*$M$52</f>
        <v>100.06304417965258</v>
      </c>
      <c r="N139" s="85">
        <f ca="1">$I$52*$N$52</f>
        <v>1262.4035047351749</v>
      </c>
      <c r="O139" s="85">
        <f>$I$52*$O$52</f>
        <v>0</v>
      </c>
      <c r="P139" s="85">
        <f>$I$52*$P$52</f>
        <v>0</v>
      </c>
      <c r="Q139" s="85">
        <f>$I$52*$Q$52</f>
        <v>16833.057069519935</v>
      </c>
      <c r="R139" s="85">
        <f>$I$52*$R$52</f>
        <v>1769.5255759192844</v>
      </c>
      <c r="S139" s="85">
        <f>$I$52*$S$52</f>
        <v>0</v>
      </c>
      <c r="T139" s="85">
        <f>$I$52*$T$52</f>
        <v>29636.39960033094</v>
      </c>
      <c r="U139" s="85">
        <f>$I$52*$U$52</f>
        <v>7965.6159924728381</v>
      </c>
      <c r="V139" s="85">
        <f>$I$52*$V$52</f>
        <v>962.91405378460661</v>
      </c>
      <c r="W139" s="85">
        <f>$I$52*$W$52</f>
        <v>0</v>
      </c>
      <c r="X139" s="85">
        <f>$I$52*$X$52</f>
        <v>0</v>
      </c>
      <c r="Y139" s="85">
        <f>$I$52*$Y$52</f>
        <v>0</v>
      </c>
      <c r="Z139" s="85">
        <f>$I$52*$Z$52</f>
        <v>0</v>
      </c>
      <c r="AA139" s="85">
        <f>$I$52*$AA$52</f>
        <v>76677.063045350355</v>
      </c>
      <c r="AB139" s="85">
        <f ca="1">$I$52*$AB$52</f>
        <v>0</v>
      </c>
      <c r="AC139" s="85">
        <f ca="1">$I$52*$AC$52</f>
        <v>0</v>
      </c>
      <c r="AD139" s="85">
        <f>$I$52*$AD$52</f>
        <v>5669.8268293962265</v>
      </c>
      <c r="AE139" s="85">
        <f>$I$52*$AE$52</f>
        <v>213.11940966670869</v>
      </c>
      <c r="AF139" s="85">
        <f ca="1">$I$52*$AF$52</f>
        <v>2670.6416646908638</v>
      </c>
      <c r="AG139" s="85">
        <f ca="1">$I$52*$AG$52</f>
        <v>686.44421358764441</v>
      </c>
      <c r="AI139" s="85">
        <f>$I$52*$AI$52</f>
        <v>0</v>
      </c>
      <c r="AJ139" s="85">
        <f>$I$52*$AJ$52</f>
        <v>103.4803648064518</v>
      </c>
      <c r="AK139" s="85">
        <f>$I$52*$AK$52</f>
        <v>1310.3809145409846</v>
      </c>
      <c r="AL139" s="85">
        <f>$I$52*$AL$52</f>
        <v>0</v>
      </c>
      <c r="AM139" s="85">
        <f>$I$52*$AM$52</f>
        <v>0</v>
      </c>
      <c r="AN139" s="85">
        <f>$I$52*$AN$52</f>
        <v>13632.80528751746</v>
      </c>
      <c r="AO139" s="85">
        <f>$I$52*$AO$52</f>
        <v>2586.5060437925467</v>
      </c>
      <c r="AP139" s="85">
        <f>$I$52*$AP$52</f>
        <v>0</v>
      </c>
      <c r="AQ139" s="85">
        <f>$I$52*$AQ$52</f>
        <v>18694.677039637809</v>
      </c>
      <c r="AR139" s="85">
        <f>$I$52*$AR$52</f>
        <v>5384.8967114089146</v>
      </c>
      <c r="AS139" s="85">
        <f>$I$52*$AS$52</f>
        <v>624.32042720821573</v>
      </c>
      <c r="AT139" s="85">
        <f>$I$52*$AT$52</f>
        <v>0</v>
      </c>
      <c r="AU139" s="85">
        <f>$I$52*$AU$52</f>
        <v>0</v>
      </c>
      <c r="AV139" s="85">
        <f>$I$52*$AV$52</f>
        <v>0</v>
      </c>
      <c r="AW139" s="85">
        <f>$I$52*$AW$52</f>
        <v>0</v>
      </c>
      <c r="AX139" s="85">
        <f>$I$52*$AX$52</f>
        <v>74378.621520696106</v>
      </c>
      <c r="AY139" s="85">
        <f>$I$52*$AY$52</f>
        <v>0</v>
      </c>
      <c r="AZ139" s="85">
        <f>$I$52*$AZ$52</f>
        <v>0</v>
      </c>
      <c r="BA139" s="85">
        <f>$I$52*$BA$52</f>
        <v>6830.4438972562511</v>
      </c>
      <c r="BB139" s="85">
        <f>$I$52*$BB$52</f>
        <v>255.64551012053232</v>
      </c>
      <c r="BC139" s="85">
        <f>$I$52*$BC$52</f>
        <v>3225.9276360182535</v>
      </c>
      <c r="BD139" s="85">
        <f>$I$52*$BD$52</f>
        <v>673.39566404486095</v>
      </c>
    </row>
    <row r="140" spans="1:56" ht="11.25" customHeight="1" x14ac:dyDescent="0.25">
      <c r="A140" s="9" t="s">
        <v>22</v>
      </c>
      <c r="B140" s="9" t="s">
        <v>1397</v>
      </c>
      <c r="C140" s="9" t="s">
        <v>1398</v>
      </c>
      <c r="D140" s="9" t="s">
        <v>1399</v>
      </c>
      <c r="E140" s="9" t="s">
        <v>1400</v>
      </c>
      <c r="F140" s="9" t="s">
        <v>1401</v>
      </c>
      <c r="G140" s="9" t="s">
        <v>1403</v>
      </c>
      <c r="L140" s="85">
        <f>$I$53*$L$53</f>
        <v>0</v>
      </c>
      <c r="M140" s="85">
        <f>$I$53*$M$53</f>
        <v>65.371497456099988</v>
      </c>
      <c r="N140" s="85">
        <f ca="1">$I$53*$N$53</f>
        <v>548.34918951659699</v>
      </c>
      <c r="O140" s="85">
        <f>$I$53*$O$53</f>
        <v>0</v>
      </c>
      <c r="P140" s="85">
        <f>$I$53*$P$53</f>
        <v>0</v>
      </c>
      <c r="Q140" s="85">
        <f>$I$53*$Q$53</f>
        <v>10997.088449786248</v>
      </c>
      <c r="R140" s="85">
        <f>$I$53*$R$53</f>
        <v>1156.0365530857366</v>
      </c>
      <c r="S140" s="85">
        <f>$I$53*$S$53</f>
        <v>0</v>
      </c>
      <c r="T140" s="85">
        <f>$I$53*$T$53</f>
        <v>11616.866156268579</v>
      </c>
      <c r="U140" s="85">
        <f>$I$53*$U$53</f>
        <v>3122.3931021683179</v>
      </c>
      <c r="V140" s="85">
        <f>$I$53*$V$53</f>
        <v>377.42499067485164</v>
      </c>
      <c r="W140" s="85">
        <f>$I$53*$W$53</f>
        <v>0</v>
      </c>
      <c r="X140" s="85">
        <f>$I$53*$X$53</f>
        <v>0</v>
      </c>
      <c r="Y140" s="85">
        <f>$I$53*$Y$53</f>
        <v>0</v>
      </c>
      <c r="Z140" s="85">
        <f>$I$53*$Z$53</f>
        <v>0</v>
      </c>
      <c r="AA140" s="85">
        <f>$I$53*$AA$53</f>
        <v>30056.014214402556</v>
      </c>
      <c r="AB140" s="85">
        <f ca="1">$I$53*$AB$53</f>
        <v>0</v>
      </c>
      <c r="AC140" s="85">
        <f ca="1">$I$53*$AC$53</f>
        <v>0</v>
      </c>
      <c r="AD140" s="85">
        <f>$I$53*$AD$53</f>
        <v>3704.1154723311138</v>
      </c>
      <c r="AE140" s="85">
        <f>$I$53*$AE$53</f>
        <v>139.2315720663012</v>
      </c>
      <c r="AF140" s="85">
        <f ca="1">$I$53*$AF$53</f>
        <v>1744.7384918256801</v>
      </c>
      <c r="AG140" s="85">
        <f ca="1">$I$53*$AG$53</f>
        <v>448.45613613086715</v>
      </c>
      <c r="AI140" s="85">
        <f>$I$53*$AI$53</f>
        <v>0</v>
      </c>
      <c r="AJ140" s="85">
        <f>$I$53*$AJ$53</f>
        <v>67.604043632292672</v>
      </c>
      <c r="AK140" s="85">
        <f>$I$53*$AK$53</f>
        <v>567.62493930494338</v>
      </c>
      <c r="AL140" s="85">
        <f>$I$53*$AL$53</f>
        <v>0</v>
      </c>
      <c r="AM140" s="85">
        <f>$I$53*$AM$53</f>
        <v>0</v>
      </c>
      <c r="AN140" s="85">
        <f>$I$53*$AN$53</f>
        <v>8906.3540238932219</v>
      </c>
      <c r="AO140" s="85">
        <f>$I$53*$AO$53</f>
        <v>1689.7724294535726</v>
      </c>
      <c r="AP140" s="85">
        <f>$I$53*$AP$53</f>
        <v>0</v>
      </c>
      <c r="AQ140" s="85">
        <f>$I$53*$AQ$53</f>
        <v>7327.9333499645018</v>
      </c>
      <c r="AR140" s="85">
        <f>$I$53*$AR$53</f>
        <v>2110.7927325997612</v>
      </c>
      <c r="AS140" s="85">
        <f>$I$53*$AS$53</f>
        <v>244.70941149010193</v>
      </c>
      <c r="AT140" s="85">
        <f>$I$53*$AT$53</f>
        <v>0</v>
      </c>
      <c r="AU140" s="85">
        <f>$I$53*$AU$53</f>
        <v>0</v>
      </c>
      <c r="AV140" s="85">
        <f>$I$53*$AV$53</f>
        <v>0</v>
      </c>
      <c r="AW140" s="85">
        <f>$I$53*$AW$53</f>
        <v>0</v>
      </c>
      <c r="AX140" s="85">
        <f>$I$53*$AX$53</f>
        <v>29155.066937703614</v>
      </c>
      <c r="AY140" s="85">
        <f>$I$53*$AY$53</f>
        <v>0</v>
      </c>
      <c r="AZ140" s="85">
        <f>$I$53*$AZ$53</f>
        <v>0</v>
      </c>
      <c r="BA140" s="85">
        <f>$I$53*$BA$53</f>
        <v>4462.3502064543227</v>
      </c>
      <c r="BB140" s="85">
        <f>$I$53*$BB$53</f>
        <v>167.01400553538292</v>
      </c>
      <c r="BC140" s="85">
        <f>$I$53*$BC$53</f>
        <v>2107.5085410444894</v>
      </c>
      <c r="BD140" s="85">
        <f>$I$53*$BD$53</f>
        <v>439.93147819910979</v>
      </c>
    </row>
    <row r="141" spans="1:56" ht="11.25" customHeight="1" x14ac:dyDescent="0.25">
      <c r="A141" s="9" t="s">
        <v>22</v>
      </c>
      <c r="B141" s="9" t="s">
        <v>1397</v>
      </c>
      <c r="C141" s="9" t="s">
        <v>1398</v>
      </c>
      <c r="D141" s="9" t="s">
        <v>1399</v>
      </c>
      <c r="E141" s="9" t="s">
        <v>1400</v>
      </c>
      <c r="F141" s="9" t="s">
        <v>1401</v>
      </c>
      <c r="G141" s="9" t="s">
        <v>1404</v>
      </c>
      <c r="L141" s="85">
        <f>$I$54*$L$54</f>
        <v>0</v>
      </c>
      <c r="M141" s="85">
        <f>$I$54*$M$54</f>
        <v>835.0538688314299</v>
      </c>
      <c r="N141" s="85">
        <f ca="1">$I$54*$N$54</f>
        <v>3474.0931143143953</v>
      </c>
      <c r="O141" s="85">
        <f>$I$54*$O$54</f>
        <v>0</v>
      </c>
      <c r="P141" s="85">
        <f>$I$54*$P$54</f>
        <v>0</v>
      </c>
      <c r="Q141" s="85">
        <f>$I$54*$Q$54</f>
        <v>140476.53202440956</v>
      </c>
      <c r="R141" s="85">
        <f>$I$54*$R$54</f>
        <v>14767.181932968182</v>
      </c>
      <c r="S141" s="85">
        <f>$I$54*$S$54</f>
        <v>0</v>
      </c>
      <c r="T141" s="85">
        <f>$I$54*$T$54</f>
        <v>49464.518967171483</v>
      </c>
      <c r="U141" s="85">
        <f>$I$54*$U$54</f>
        <v>13295.466610946416</v>
      </c>
      <c r="V141" s="85">
        <f>$I$54*$V$54</f>
        <v>1606.6497633863237</v>
      </c>
      <c r="W141" s="85">
        <f>$I$54*$W$54</f>
        <v>0</v>
      </c>
      <c r="X141" s="85">
        <f>$I$54*$X$54</f>
        <v>0</v>
      </c>
      <c r="Y141" s="85">
        <f>$I$54*$Y$54</f>
        <v>0</v>
      </c>
      <c r="Z141" s="85">
        <f>$I$54*$Z$54</f>
        <v>0</v>
      </c>
      <c r="AA141" s="85">
        <f>$I$54*$AA$54</f>
        <v>127978.17619337834</v>
      </c>
      <c r="AB141" s="85">
        <f ca="1">$I$54*$AB$54</f>
        <v>0</v>
      </c>
      <c r="AC141" s="85">
        <f ca="1">$I$54*$AC$54</f>
        <v>0</v>
      </c>
      <c r="AD141" s="85">
        <f>$I$54*$AD$54</f>
        <v>47316.278135522924</v>
      </c>
      <c r="AE141" s="85">
        <f>$I$54*$AE$54</f>
        <v>1778.5406093156246</v>
      </c>
      <c r="AF141" s="85">
        <f ca="1">$I$54*$AF$54</f>
        <v>22287.245732386025</v>
      </c>
      <c r="AG141" s="85">
        <f ca="1">$I$54*$AG$54</f>
        <v>5728.5674345881289</v>
      </c>
      <c r="AI141" s="85">
        <f>$I$54*$AI$54</f>
        <v>0</v>
      </c>
      <c r="AJ141" s="85">
        <f>$I$54*$AJ$54</f>
        <v>863.57235768854218</v>
      </c>
      <c r="AK141" s="85">
        <f>$I$54*$AK$54</f>
        <v>3566.1643392402157</v>
      </c>
      <c r="AL141" s="85">
        <f>$I$54*$AL$54</f>
        <v>0</v>
      </c>
      <c r="AM141" s="85">
        <f>$I$54*$AM$54</f>
        <v>0</v>
      </c>
      <c r="AN141" s="85">
        <f>$I$54*$AN$54</f>
        <v>113769.54290864905</v>
      </c>
      <c r="AO141" s="85">
        <f>$I$54*$AO$54</f>
        <v>21585.110630324434</v>
      </c>
      <c r="AP141" s="85">
        <f>$I$54*$AP$54</f>
        <v>0</v>
      </c>
      <c r="AQ141" s="85">
        <f>$I$54*$AQ$54</f>
        <v>31202.278936810642</v>
      </c>
      <c r="AR141" s="85">
        <f>$I$54*$AR$54</f>
        <v>8987.9696055630138</v>
      </c>
      <c r="AS141" s="85">
        <f>$I$54*$AS$54</f>
        <v>1041.6965696044379</v>
      </c>
      <c r="AT141" s="85">
        <f>$I$54*$AT$54</f>
        <v>0</v>
      </c>
      <c r="AU141" s="85">
        <f>$I$54*$AU$54</f>
        <v>0</v>
      </c>
      <c r="AV141" s="85">
        <f>$I$54*$AV$54</f>
        <v>0</v>
      </c>
      <c r="AW141" s="85">
        <f>$I$54*$AW$54</f>
        <v>0</v>
      </c>
      <c r="AX141" s="85">
        <f>$I$54*$AX$54</f>
        <v>124141.95265103411</v>
      </c>
      <c r="AY141" s="85">
        <f>$I$54*$AY$54</f>
        <v>0</v>
      </c>
      <c r="AZ141" s="85">
        <f>$I$54*$AZ$54</f>
        <v>0</v>
      </c>
      <c r="BA141" s="85">
        <f>$I$54*$BA$54</f>
        <v>57001.949610880474</v>
      </c>
      <c r="BB141" s="85">
        <f>$I$54*$BB$54</f>
        <v>2133.4327176000993</v>
      </c>
      <c r="BC141" s="85">
        <f>$I$54*$BC$54</f>
        <v>26921.261241970587</v>
      </c>
      <c r="BD141" s="85">
        <f>$I$54*$BD$54</f>
        <v>5619.6736679865762</v>
      </c>
    </row>
    <row r="142" spans="1:56" ht="11.25" customHeight="1" x14ac:dyDescent="0.25">
      <c r="A142" s="9" t="s">
        <v>22</v>
      </c>
      <c r="B142" s="9" t="s">
        <v>1405</v>
      </c>
      <c r="C142" s="9" t="s">
        <v>1406</v>
      </c>
      <c r="D142" s="9" t="s">
        <v>1407</v>
      </c>
      <c r="E142" s="9" t="s">
        <v>1408</v>
      </c>
      <c r="F142" s="9" t="s">
        <v>1409</v>
      </c>
      <c r="G142" s="9" t="s">
        <v>1410</v>
      </c>
      <c r="L142" s="85">
        <f>$I$55*$L$55</f>
        <v>0</v>
      </c>
      <c r="M142" s="85">
        <f>$I$55*$M$55</f>
        <v>916290.18371262203</v>
      </c>
      <c r="N142" s="85">
        <f ca="1">$I$55*$N$55</f>
        <v>5273295.6510418253</v>
      </c>
      <c r="O142" s="85">
        <f>$I$55*$O$55</f>
        <v>0</v>
      </c>
      <c r="P142" s="85">
        <f>$I$55*$P$55</f>
        <v>0</v>
      </c>
      <c r="Q142" s="85">
        <f>$I$55*$Q$55</f>
        <v>154142471.68998158</v>
      </c>
      <c r="R142" s="85">
        <f>$I$55*$R$55</f>
        <v>16203773.614284758</v>
      </c>
      <c r="S142" s="85">
        <f>$I$55*$S$55</f>
        <v>0</v>
      </c>
      <c r="T142" s="85">
        <f>$I$55*$T$55</f>
        <v>95222278.431459486</v>
      </c>
      <c r="U142" s="85">
        <f>$I$55*$U$55</f>
        <v>25594041.462452129</v>
      </c>
      <c r="V142" s="85">
        <f>$I$55*$V$55</f>
        <v>3093161.5552471043</v>
      </c>
      <c r="W142" s="85">
        <f>$I$55*$W$55</f>
        <v>0</v>
      </c>
      <c r="X142" s="85">
        <f>$I$55*$X$55</f>
        <v>0</v>
      </c>
      <c r="Y142" s="85">
        <f>$I$55*$Y$55</f>
        <v>0</v>
      </c>
      <c r="Z142" s="85">
        <f>$I$55*$Z$55</f>
        <v>0</v>
      </c>
      <c r="AA142" s="85">
        <f>$I$55*$AA$55</f>
        <v>246365593.83133954</v>
      </c>
      <c r="AB142" s="85">
        <f ca="1">$I$55*$AB$55</f>
        <v>0</v>
      </c>
      <c r="AC142" s="85">
        <f ca="1">$I$55*$AC$55</f>
        <v>0</v>
      </c>
      <c r="AD142" s="85">
        <f>$I$55*$AD$55</f>
        <v>51919334.552712388</v>
      </c>
      <c r="AE142" s="85">
        <f>$I$55*$AE$55</f>
        <v>1951561.8841820459</v>
      </c>
      <c r="AF142" s="85">
        <f ca="1">$I$55*$AF$55</f>
        <v>24455409.703273639</v>
      </c>
      <c r="AG142" s="85">
        <f ca="1">$I$55*$AG$55</f>
        <v>6285858.0781074231</v>
      </c>
      <c r="AI142" s="85">
        <f>$I$55*$AI$55</f>
        <v>0</v>
      </c>
      <c r="AJ142" s="85">
        <f>$I$55*$AJ$55</f>
        <v>947583.02884446678</v>
      </c>
      <c r="AK142" s="85">
        <f>$I$55*$AK$55</f>
        <v>5438127.4039067272</v>
      </c>
      <c r="AL142" s="85">
        <f>$I$55*$AL$55</f>
        <v>0</v>
      </c>
      <c r="AM142" s="85">
        <f>$I$55*$AM$55</f>
        <v>0</v>
      </c>
      <c r="AN142" s="85">
        <f>$I$55*$AN$55</f>
        <v>124837353.92849359</v>
      </c>
      <c r="AO142" s="85">
        <f>$I$55*$AO$55</f>
        <v>23684968.986006606</v>
      </c>
      <c r="AP142" s="85">
        <f>$I$55*$AP$55</f>
        <v>0</v>
      </c>
      <c r="AQ142" s="85">
        <f>$I$55*$AQ$55</f>
        <v>60066329.455037035</v>
      </c>
      <c r="AR142" s="85">
        <f>$I$55*$AR$55</f>
        <v>17302022.823226359</v>
      </c>
      <c r="AS142" s="85">
        <f>$I$55*$AS$55</f>
        <v>2005499.8013642761</v>
      </c>
      <c r="AT142" s="85">
        <f>$I$55*$AT$55</f>
        <v>0</v>
      </c>
      <c r="AU142" s="85">
        <f>$I$55*$AU$55</f>
        <v>0</v>
      </c>
      <c r="AV142" s="85">
        <f>$I$55*$AV$55</f>
        <v>0</v>
      </c>
      <c r="AW142" s="85">
        <f>$I$55*$AW$55</f>
        <v>0</v>
      </c>
      <c r="AX142" s="85">
        <f>$I$55*$AX$55</f>
        <v>238980635.55805224</v>
      </c>
      <c r="AY142" s="85">
        <f>$I$55*$AY$55</f>
        <v>0</v>
      </c>
      <c r="AZ142" s="85">
        <f>$I$55*$AZ$55</f>
        <v>0</v>
      </c>
      <c r="BA142" s="85">
        <f>$I$55*$BA$55</f>
        <v>62547254.531042583</v>
      </c>
      <c r="BB142" s="85">
        <f>$I$55*$BB$55</f>
        <v>2340978.8634162145</v>
      </c>
      <c r="BC142" s="85">
        <f>$I$55*$BC$55</f>
        <v>29540234.863770593</v>
      </c>
      <c r="BD142" s="85">
        <f>$I$55*$BD$55</f>
        <v>6166370.8292858284</v>
      </c>
    </row>
    <row r="143" spans="1:56" ht="11.25" customHeight="1" x14ac:dyDescent="0.25">
      <c r="A143" s="9" t="s">
        <v>22</v>
      </c>
      <c r="B143" s="9" t="s">
        <v>1405</v>
      </c>
      <c r="C143" s="9" t="s">
        <v>1406</v>
      </c>
      <c r="D143" s="9" t="s">
        <v>1411</v>
      </c>
      <c r="E143" s="9" t="s">
        <v>1412</v>
      </c>
      <c r="F143" s="9" t="s">
        <v>1413</v>
      </c>
      <c r="G143" s="9" t="s">
        <v>1414</v>
      </c>
      <c r="L143" s="85">
        <f>$I$56*$L$56</f>
        <v>0</v>
      </c>
      <c r="M143" s="85">
        <f>$I$56*$M$56</f>
        <v>484.26351075939152</v>
      </c>
      <c r="N143" s="85">
        <f ca="1">$I$56*$N$56</f>
        <v>2769.1989600746451</v>
      </c>
      <c r="O143" s="85">
        <f>$I$56*$O$56</f>
        <v>0</v>
      </c>
      <c r="P143" s="85">
        <f>$I$56*$P$56</f>
        <v>0</v>
      </c>
      <c r="Q143" s="85">
        <f>$I$56*$Q$56</f>
        <v>0</v>
      </c>
      <c r="R143" s="85">
        <f>$I$56*$R$56</f>
        <v>0</v>
      </c>
      <c r="S143" s="85">
        <f>$I$56*$S$56</f>
        <v>0</v>
      </c>
      <c r="T143" s="85">
        <f>$I$56*$T$56</f>
        <v>50325.405286879359</v>
      </c>
      <c r="U143" s="85">
        <f>$I$56*$U$56</f>
        <v>13526.566794494587</v>
      </c>
      <c r="V143" s="85">
        <f>$I$56*$V$56</f>
        <v>1634.7498867888485</v>
      </c>
      <c r="W143" s="85">
        <f>$I$56*$W$56</f>
        <v>0</v>
      </c>
      <c r="X143" s="85">
        <f>$I$56*$X$56</f>
        <v>0</v>
      </c>
      <c r="Y143" s="85">
        <f>$I$56*$Y$56</f>
        <v>0</v>
      </c>
      <c r="Z143" s="85">
        <f>$I$56*$Z$56</f>
        <v>0</v>
      </c>
      <c r="AA143" s="85">
        <f>$I$56*$AA$56</f>
        <v>130205.33180404003</v>
      </c>
      <c r="AB143" s="85">
        <f ca="1">$I$56*$AB$56</f>
        <v>0</v>
      </c>
      <c r="AC143" s="85">
        <f ca="1">$I$56*$AC$56</f>
        <v>0</v>
      </c>
      <c r="AD143" s="85">
        <f>$I$56*$AD$56</f>
        <v>27439.60338515797</v>
      </c>
      <c r="AE143" s="85">
        <f>$I$56*$AE$56</f>
        <v>1031.4092918347958</v>
      </c>
      <c r="AF143" s="85">
        <f ca="1">$I$56*$AF$56</f>
        <v>12924.794754410335</v>
      </c>
      <c r="AG143" s="85">
        <f ca="1">$I$56*$AG$56</f>
        <v>3322.1044546236035</v>
      </c>
      <c r="AI143" s="85">
        <f>$I$56*$AI$56</f>
        <v>0</v>
      </c>
      <c r="AJ143" s="85">
        <f>$I$56*$AJ$56</f>
        <v>500.80192109551206</v>
      </c>
      <c r="AK143" s="85">
        <f>$I$56*$AK$56</f>
        <v>2855.5377387090421</v>
      </c>
      <c r="AL143" s="85">
        <f>$I$56*$AL$56</f>
        <v>0</v>
      </c>
      <c r="AM143" s="85">
        <f>$I$56*$AM$56</f>
        <v>0</v>
      </c>
      <c r="AN143" s="85">
        <f>$I$56*$AN$56</f>
        <v>0</v>
      </c>
      <c r="AO143" s="85">
        <f>$I$56*$AO$56</f>
        <v>0</v>
      </c>
      <c r="AP143" s="85">
        <f>$I$56*$AP$56</f>
        <v>0</v>
      </c>
      <c r="AQ143" s="85">
        <f>$I$56*$AQ$56</f>
        <v>31745.327078009355</v>
      </c>
      <c r="AR143" s="85">
        <f>$I$56*$AR$56</f>
        <v>9144.1974000701175</v>
      </c>
      <c r="AS143" s="85">
        <f>$I$56*$AS$56</f>
        <v>1059.9157252791456</v>
      </c>
      <c r="AT143" s="85">
        <f>$I$56*$AT$56</f>
        <v>0</v>
      </c>
      <c r="AU143" s="85">
        <f>$I$56*$AU$56</f>
        <v>0</v>
      </c>
      <c r="AV143" s="85">
        <f>$I$56*$AV$56</f>
        <v>0</v>
      </c>
      <c r="AW143" s="85">
        <f>$I$56*$AW$56</f>
        <v>0</v>
      </c>
      <c r="AX143" s="85">
        <f>$I$56*$AX$56</f>
        <v>126302.34791989202</v>
      </c>
      <c r="AY143" s="85">
        <f>$I$56*$AY$56</f>
        <v>0</v>
      </c>
      <c r="AZ143" s="85">
        <f>$I$56*$AZ$56</f>
        <v>0</v>
      </c>
      <c r="BA143" s="85">
        <f>$I$56*$BA$56</f>
        <v>33056.507213509176</v>
      </c>
      <c r="BB143" s="85">
        <f>$I$56*$BB$56</f>
        <v>1237.2179285149023</v>
      </c>
      <c r="BC143" s="85">
        <f>$I$56*$BC$56</f>
        <v>15612.147874186065</v>
      </c>
      <c r="BD143" s="85">
        <f>$I$56*$BD$56</f>
        <v>3258.9549026215545</v>
      </c>
    </row>
    <row r="144" spans="1:56" ht="11.25" customHeight="1" x14ac:dyDescent="0.25">
      <c r="A144" s="9" t="s">
        <v>22</v>
      </c>
      <c r="B144" s="9" t="s">
        <v>1405</v>
      </c>
      <c r="C144" s="9" t="s">
        <v>1406</v>
      </c>
      <c r="D144" s="9" t="s">
        <v>1415</v>
      </c>
      <c r="E144" s="9" t="s">
        <v>1416</v>
      </c>
      <c r="F144" s="9" t="s">
        <v>1417</v>
      </c>
      <c r="G144" s="9" t="s">
        <v>1418</v>
      </c>
      <c r="L144" s="85">
        <f>$I$57*$L$57</f>
        <v>0</v>
      </c>
      <c r="M144" s="85">
        <f>$I$57*$M$57</f>
        <v>1750.6914217419715</v>
      </c>
      <c r="N144" s="85">
        <f ca="1">$I$57*$N$57</f>
        <v>10011.105021927258</v>
      </c>
      <c r="O144" s="85">
        <f>$I$57*$O$57</f>
        <v>0</v>
      </c>
      <c r="P144" s="85">
        <f>$I$57*$P$57</f>
        <v>0</v>
      </c>
      <c r="Q144" s="85">
        <f>$I$57*$Q$57</f>
        <v>0</v>
      </c>
      <c r="R144" s="85">
        <f>$I$57*$R$57</f>
        <v>0</v>
      </c>
      <c r="S144" s="85">
        <f>$I$57*$S$57</f>
        <v>0</v>
      </c>
      <c r="T144" s="85">
        <f>$I$57*$T$57</f>
        <v>181934.53228236877</v>
      </c>
      <c r="U144" s="85">
        <f>$I$57*$U$57</f>
        <v>48900.74087061952</v>
      </c>
      <c r="V144" s="85">
        <f>$I$57*$V$57</f>
        <v>5909.8869518518504</v>
      </c>
      <c r="W144" s="85">
        <f>$I$57*$W$57</f>
        <v>0</v>
      </c>
      <c r="X144" s="85">
        <f>$I$57*$X$57</f>
        <v>0</v>
      </c>
      <c r="Y144" s="85">
        <f>$I$57*$Y$57</f>
        <v>0</v>
      </c>
      <c r="Z144" s="85">
        <f>$I$57*$Z$57</f>
        <v>0</v>
      </c>
      <c r="AA144" s="85">
        <f>$I$57*$AA$57</f>
        <v>470713.46981510991</v>
      </c>
      <c r="AB144" s="85">
        <f ca="1">$I$57*$AB$57</f>
        <v>0</v>
      </c>
      <c r="AC144" s="85">
        <f ca="1">$I$57*$AC$57</f>
        <v>0</v>
      </c>
      <c r="AD144" s="85">
        <f>$I$57*$AD$57</f>
        <v>99198.632965484881</v>
      </c>
      <c r="AE144" s="85">
        <f>$I$57*$AE$57</f>
        <v>3728.7124869032282</v>
      </c>
      <c r="AF144" s="85">
        <f ca="1">$I$57*$AF$57</f>
        <v>46725.236986860844</v>
      </c>
      <c r="AG144" s="85">
        <f ca="1">$I$57*$AG$57</f>
        <v>12009.948388884559</v>
      </c>
      <c r="AI144" s="85">
        <f>$I$57*$AI$57</f>
        <v>0</v>
      </c>
      <c r="AJ144" s="85">
        <f>$I$57*$AJ$57</f>
        <v>1810.4804672954733</v>
      </c>
      <c r="AK144" s="85">
        <f>$I$57*$AK$57</f>
        <v>10323.233761261543</v>
      </c>
      <c r="AL144" s="85">
        <f>$I$57*$AL$57</f>
        <v>0</v>
      </c>
      <c r="AM144" s="85">
        <f>$I$57*$AM$57</f>
        <v>0</v>
      </c>
      <c r="AN144" s="85">
        <f>$I$57*$AN$57</f>
        <v>0</v>
      </c>
      <c r="AO144" s="85">
        <f>$I$57*$AO$57</f>
        <v>0</v>
      </c>
      <c r="AP144" s="85">
        <f>$I$57*$AP$57</f>
        <v>0</v>
      </c>
      <c r="AQ144" s="85">
        <f>$I$57*$AQ$57</f>
        <v>114764.52501802758</v>
      </c>
      <c r="AR144" s="85">
        <f>$I$57*$AR$57</f>
        <v>33057.762130196839</v>
      </c>
      <c r="AS144" s="85">
        <f>$I$57*$AS$57</f>
        <v>3831.7678841955494</v>
      </c>
      <c r="AT144" s="85">
        <f>$I$57*$AT$57</f>
        <v>0</v>
      </c>
      <c r="AU144" s="85">
        <f>$I$57*$AU$57</f>
        <v>0</v>
      </c>
      <c r="AV144" s="85">
        <f>$I$57*$AV$57</f>
        <v>0</v>
      </c>
      <c r="AW144" s="85">
        <f>$I$57*$AW$57</f>
        <v>0</v>
      </c>
      <c r="AX144" s="85">
        <f>$I$57*$AX$57</f>
        <v>456603.54773062328</v>
      </c>
      <c r="AY144" s="85">
        <f>$I$57*$AY$57</f>
        <v>0</v>
      </c>
      <c r="AZ144" s="85">
        <f>$I$57*$AZ$57</f>
        <v>0</v>
      </c>
      <c r="BA144" s="85">
        <f>$I$57*$BA$57</f>
        <v>119504.65464699421</v>
      </c>
      <c r="BB144" s="85">
        <f>$I$57*$BB$57</f>
        <v>4472.7442108529876</v>
      </c>
      <c r="BC144" s="85">
        <f>$I$57*$BC$57</f>
        <v>56440.455972914984</v>
      </c>
      <c r="BD144" s="85">
        <f>$I$57*$BD$57</f>
        <v>11781.652478661092</v>
      </c>
    </row>
    <row r="145" spans="1:56" ht="11.25" customHeight="1" x14ac:dyDescent="0.25">
      <c r="A145" s="9" t="s">
        <v>22</v>
      </c>
      <c r="B145" s="9" t="s">
        <v>1405</v>
      </c>
      <c r="C145" s="9" t="s">
        <v>1406</v>
      </c>
      <c r="D145" s="9" t="s">
        <v>1419</v>
      </c>
      <c r="E145" s="9" t="s">
        <v>1420</v>
      </c>
      <c r="F145" s="9" t="s">
        <v>1421</v>
      </c>
      <c r="G145" s="9" t="s">
        <v>1422</v>
      </c>
      <c r="L145" s="85">
        <f>$I$58*$L$58</f>
        <v>0</v>
      </c>
      <c r="M145" s="85">
        <f>$I$58*$M$58</f>
        <v>2590.4245521717612</v>
      </c>
      <c r="N145" s="85">
        <f ca="1">$I$58*$N$58</f>
        <v>14813.01154567065</v>
      </c>
      <c r="O145" s="85">
        <f>$I$58*$O$58</f>
        <v>0</v>
      </c>
      <c r="P145" s="85">
        <f>$I$58*$P$58</f>
        <v>0</v>
      </c>
      <c r="Q145" s="85">
        <f>$I$58*$Q$58</f>
        <v>0</v>
      </c>
      <c r="R145" s="85">
        <f>$I$58*$R$58</f>
        <v>0</v>
      </c>
      <c r="S145" s="85">
        <f>$I$58*$S$58</f>
        <v>0</v>
      </c>
      <c r="T145" s="85">
        <f>$I$58*$T$58</f>
        <v>269200.88455291215</v>
      </c>
      <c r="U145" s="85">
        <f>$I$58*$U$58</f>
        <v>72356.372001068681</v>
      </c>
      <c r="V145" s="85">
        <f>$I$58*$V$58</f>
        <v>8744.6114549437279</v>
      </c>
      <c r="W145" s="85">
        <f>$I$58*$W$58</f>
        <v>0</v>
      </c>
      <c r="X145" s="85">
        <f>$I$58*$X$58</f>
        <v>0</v>
      </c>
      <c r="Y145" s="85">
        <f>$I$58*$Y$58</f>
        <v>0</v>
      </c>
      <c r="Z145" s="85">
        <f>$I$58*$Z$58</f>
        <v>0</v>
      </c>
      <c r="AA145" s="85">
        <f>$I$58*$AA$58</f>
        <v>696494.94714136864</v>
      </c>
      <c r="AB145" s="85">
        <f ca="1">$I$58*$AB$58</f>
        <v>0</v>
      </c>
      <c r="AC145" s="85">
        <f ca="1">$I$58*$AC$58</f>
        <v>0</v>
      </c>
      <c r="AD145" s="85">
        <f>$I$58*$AD$58</f>
        <v>146780.04997590062</v>
      </c>
      <c r="AE145" s="85">
        <f>$I$58*$AE$58</f>
        <v>5517.2192278481089</v>
      </c>
      <c r="AF145" s="85">
        <f ca="1">$I$58*$AF$58</f>
        <v>69137.370294745095</v>
      </c>
      <c r="AG145" s="85">
        <f ca="1">$I$58*$AG$58</f>
        <v>17770.616106593097</v>
      </c>
      <c r="AI145" s="85">
        <f>$I$58*$AI$58</f>
        <v>0</v>
      </c>
      <c r="AJ145" s="85">
        <f>$I$58*$AJ$58</f>
        <v>2678.8918912066433</v>
      </c>
      <c r="AK145" s="85">
        <f>$I$58*$AK$58</f>
        <v>15274.855329085873</v>
      </c>
      <c r="AL145" s="85">
        <f>$I$58*$AL$58</f>
        <v>0</v>
      </c>
      <c r="AM145" s="85">
        <f>$I$58*$AM$58</f>
        <v>0</v>
      </c>
      <c r="AN145" s="85">
        <f>$I$58*$AN$58</f>
        <v>0</v>
      </c>
      <c r="AO145" s="85">
        <f>$I$58*$AO$58</f>
        <v>0</v>
      </c>
      <c r="AP145" s="85">
        <f>$I$58*$AP$58</f>
        <v>0</v>
      </c>
      <c r="AQ145" s="85">
        <f>$I$58*$AQ$58</f>
        <v>169812.24654041024</v>
      </c>
      <c r="AR145" s="85">
        <f>$I$58*$AR$58</f>
        <v>48914.181904603523</v>
      </c>
      <c r="AS145" s="85">
        <f>$I$58*$AS$58</f>
        <v>5669.705969980093</v>
      </c>
      <c r="AT145" s="85">
        <f>$I$58*$AT$58</f>
        <v>0</v>
      </c>
      <c r="AU145" s="85">
        <f>$I$58*$AU$58</f>
        <v>0</v>
      </c>
      <c r="AV145" s="85">
        <f>$I$58*$AV$58</f>
        <v>0</v>
      </c>
      <c r="AW145" s="85">
        <f>$I$58*$AW$58</f>
        <v>0</v>
      </c>
      <c r="AX145" s="85">
        <f>$I$58*$AX$58</f>
        <v>675617.08817492961</v>
      </c>
      <c r="AY145" s="85">
        <f>$I$58*$AY$58</f>
        <v>0</v>
      </c>
      <c r="AZ145" s="85">
        <f>$I$58*$AZ$58</f>
        <v>0</v>
      </c>
      <c r="BA145" s="85">
        <f>$I$58*$BA$58</f>
        <v>176826.01722487205</v>
      </c>
      <c r="BB145" s="85">
        <f>$I$58*$BB$58</f>
        <v>6618.1317138397271</v>
      </c>
      <c r="BC145" s="85">
        <f>$I$58*$BC$58</f>
        <v>83512.571702973946</v>
      </c>
      <c r="BD145" s="85">
        <f>$I$58*$BD$58</f>
        <v>17432.816238690149</v>
      </c>
    </row>
    <row r="146" spans="1:56" ht="11.25" customHeight="1" x14ac:dyDescent="0.25">
      <c r="A146" s="9" t="s">
        <v>22</v>
      </c>
      <c r="B146" s="9" t="s">
        <v>1405</v>
      </c>
      <c r="C146" s="9" t="s">
        <v>1406</v>
      </c>
      <c r="D146" s="9" t="s">
        <v>1423</v>
      </c>
      <c r="E146" s="9" t="s">
        <v>1424</v>
      </c>
      <c r="F146" s="9" t="s">
        <v>1425</v>
      </c>
      <c r="G146" s="9" t="s">
        <v>1426</v>
      </c>
      <c r="L146" s="85">
        <f>$I$59*$L$59</f>
        <v>0</v>
      </c>
      <c r="M146" s="85">
        <f>$I$59*$M$59</f>
        <v>1026.7310657521653</v>
      </c>
      <c r="N146" s="85">
        <f ca="1">$I$59*$N$59</f>
        <v>5871.2303041347595</v>
      </c>
      <c r="O146" s="85">
        <f>$I$59*$O$59</f>
        <v>0</v>
      </c>
      <c r="P146" s="85">
        <f>$I$59*$P$59</f>
        <v>0</v>
      </c>
      <c r="Q146" s="85">
        <f>$I$59*$Q$59</f>
        <v>0</v>
      </c>
      <c r="R146" s="85">
        <f>$I$59*$R$59</f>
        <v>0</v>
      </c>
      <c r="S146" s="85">
        <f>$I$59*$S$59</f>
        <v>0</v>
      </c>
      <c r="T146" s="85">
        <f>$I$59*$T$59</f>
        <v>106699.46394181266</v>
      </c>
      <c r="U146" s="85">
        <f>$I$59*$U$59</f>
        <v>28678.903184550833</v>
      </c>
      <c r="V146" s="85">
        <f>$I$59*$V$59</f>
        <v>3465.981756232075</v>
      </c>
      <c r="W146" s="85">
        <f>$I$59*$W$59</f>
        <v>0</v>
      </c>
      <c r="X146" s="85">
        <f>$I$59*$X$59</f>
        <v>0</v>
      </c>
      <c r="Y146" s="85">
        <f>$I$59*$Y$59</f>
        <v>0</v>
      </c>
      <c r="Z146" s="85">
        <f>$I$59*$Z$59</f>
        <v>0</v>
      </c>
      <c r="AA146" s="85">
        <f>$I$59*$AA$59</f>
        <v>276060.15344856068</v>
      </c>
      <c r="AB146" s="85">
        <f ca="1">$I$59*$AB$59</f>
        <v>0</v>
      </c>
      <c r="AC146" s="85">
        <f ca="1">$I$59*$AC$59</f>
        <v>0</v>
      </c>
      <c r="AD146" s="85">
        <f>$I$59*$AD$59</f>
        <v>58177.196095738655</v>
      </c>
      <c r="AE146" s="85">
        <f>$I$59*$AE$59</f>
        <v>2186.7845458180414</v>
      </c>
      <c r="AF146" s="85">
        <f ca="1">$I$59*$AF$59</f>
        <v>27403.031609823527</v>
      </c>
      <c r="AG146" s="85">
        <f ca="1">$I$59*$AG$59</f>
        <v>7043.4954760207684</v>
      </c>
      <c r="AI146" s="85">
        <f>$I$59*$AI$59</f>
        <v>0</v>
      </c>
      <c r="AJ146" s="85">
        <f>$I$59*$AJ$59</f>
        <v>1061.7956520630814</v>
      </c>
      <c r="AK146" s="85">
        <f>$I$59*$AK$59</f>
        <v>6054.2849928186524</v>
      </c>
      <c r="AL146" s="85">
        <f>$I$59*$AL$59</f>
        <v>0</v>
      </c>
      <c r="AM146" s="85">
        <f>$I$59*$AM$59</f>
        <v>0</v>
      </c>
      <c r="AN146" s="85">
        <f>$I$59*$AN$59</f>
        <v>0</v>
      </c>
      <c r="AO146" s="85">
        <f>$I$59*$AO$59</f>
        <v>0</v>
      </c>
      <c r="AP146" s="85">
        <f>$I$59*$AP$59</f>
        <v>0</v>
      </c>
      <c r="AQ146" s="85">
        <f>$I$59*$AQ$59</f>
        <v>67306.152083075416</v>
      </c>
      <c r="AR146" s="85">
        <f>$I$59*$AR$59</f>
        <v>19387.443681848952</v>
      </c>
      <c r="AS146" s="85">
        <f>$I$59*$AS$59</f>
        <v>2247.2236252465427</v>
      </c>
      <c r="AT146" s="85">
        <f>$I$59*$AT$59</f>
        <v>0</v>
      </c>
      <c r="AU146" s="85">
        <f>$I$59*$AU$59</f>
        <v>0</v>
      </c>
      <c r="AV146" s="85">
        <f>$I$59*$AV$59</f>
        <v>0</v>
      </c>
      <c r="AW146" s="85">
        <f>$I$59*$AW$59</f>
        <v>0</v>
      </c>
      <c r="AX146" s="85">
        <f>$I$59*$AX$59</f>
        <v>267785.08271960745</v>
      </c>
      <c r="AY146" s="85">
        <f>$I$59*$AY$59</f>
        <v>0</v>
      </c>
      <c r="AZ146" s="85">
        <f>$I$59*$AZ$59</f>
        <v>0</v>
      </c>
      <c r="BA146" s="85">
        <f>$I$59*$BA$59</f>
        <v>70086.104212451653</v>
      </c>
      <c r="BB146" s="85">
        <f>$I$59*$BB$59</f>
        <v>2623.138134689932</v>
      </c>
      <c r="BC146" s="85">
        <f>$I$59*$BC$59</f>
        <v>33100.733112034373</v>
      </c>
      <c r="BD146" s="85">
        <f>$I$59*$BD$59</f>
        <v>6909.6063735212629</v>
      </c>
    </row>
    <row r="147" spans="1:56" ht="11.25" customHeight="1" x14ac:dyDescent="0.25">
      <c r="A147" s="9" t="s">
        <v>22</v>
      </c>
      <c r="B147" s="9" t="s">
        <v>1427</v>
      </c>
      <c r="C147" s="9" t="s">
        <v>1428</v>
      </c>
      <c r="D147" s="9" t="s">
        <v>1429</v>
      </c>
      <c r="E147" s="9" t="s">
        <v>1430</v>
      </c>
      <c r="F147" s="9" t="s">
        <v>1431</v>
      </c>
      <c r="G147" s="9" t="s">
        <v>1432</v>
      </c>
      <c r="L147" s="85">
        <f>$I$60*$L$60</f>
        <v>0</v>
      </c>
      <c r="M147" s="85">
        <f>$I$60*$M$60</f>
        <v>0</v>
      </c>
      <c r="N147" s="85">
        <f ca="1">$I$60*$N$60</f>
        <v>0</v>
      </c>
      <c r="O147" s="85">
        <f>$I$60*$O$60</f>
        <v>0</v>
      </c>
      <c r="P147" s="85">
        <f>$I$60*$P$60</f>
        <v>0</v>
      </c>
      <c r="Q147" s="85">
        <f>$I$60*$Q$60</f>
        <v>0</v>
      </c>
      <c r="R147" s="85">
        <f>$I$60*$R$60</f>
        <v>0</v>
      </c>
      <c r="S147" s="85">
        <f>$I$60*$S$60</f>
        <v>0</v>
      </c>
      <c r="T147" s="85">
        <f>$I$60*$T$60</f>
        <v>0</v>
      </c>
      <c r="U147" s="85">
        <f>$I$60*$U$60</f>
        <v>0</v>
      </c>
      <c r="V147" s="85">
        <f>$I$60*$V$60</f>
        <v>0</v>
      </c>
      <c r="W147" s="85">
        <f>$I$60*$W$60</f>
        <v>0</v>
      </c>
      <c r="X147" s="85">
        <f>$I$60*$X$60</f>
        <v>0</v>
      </c>
      <c r="Y147" s="85">
        <f>$I$60*$Y$60</f>
        <v>0</v>
      </c>
      <c r="Z147" s="85">
        <f>$I$60*$Z$60</f>
        <v>0</v>
      </c>
      <c r="AA147" s="85">
        <f>$I$60*$AA$60</f>
        <v>0</v>
      </c>
      <c r="AB147" s="85">
        <f ca="1">$I$60*$AB$60</f>
        <v>0</v>
      </c>
      <c r="AC147" s="85">
        <f ca="1">$I$60*$AC$60</f>
        <v>0</v>
      </c>
      <c r="AD147" s="85">
        <f>$I$60*$AD$60</f>
        <v>0</v>
      </c>
      <c r="AE147" s="85">
        <f>$I$60*$AE$60</f>
        <v>0</v>
      </c>
      <c r="AF147" s="85">
        <f ca="1">$I$60*$AF$60</f>
        <v>0</v>
      </c>
      <c r="AG147" s="85">
        <f ca="1">$I$60*$AG$60</f>
        <v>0</v>
      </c>
      <c r="AI147" s="85">
        <f>$I$60*$AI$60</f>
        <v>0</v>
      </c>
      <c r="AJ147" s="85">
        <f>$I$60*$AJ$60</f>
        <v>0</v>
      </c>
      <c r="AK147" s="85">
        <f>$I$60*$AK$60</f>
        <v>0</v>
      </c>
      <c r="AL147" s="85">
        <f>$I$60*$AL$60</f>
        <v>0</v>
      </c>
      <c r="AM147" s="85">
        <f>$I$60*$AM$60</f>
        <v>0</v>
      </c>
      <c r="AN147" s="85">
        <f>$I$60*$AN$60</f>
        <v>0</v>
      </c>
      <c r="AO147" s="85">
        <f>$I$60*$AO$60</f>
        <v>0</v>
      </c>
      <c r="AP147" s="85">
        <f>$I$60*$AP$60</f>
        <v>0</v>
      </c>
      <c r="AQ147" s="85">
        <f>$I$60*$AQ$60</f>
        <v>0</v>
      </c>
      <c r="AR147" s="85">
        <f>$I$60*$AR$60</f>
        <v>0</v>
      </c>
      <c r="AS147" s="85">
        <f>$I$60*$AS$60</f>
        <v>0</v>
      </c>
      <c r="AT147" s="85">
        <f>$I$60*$AT$60</f>
        <v>0</v>
      </c>
      <c r="AU147" s="85">
        <f>$I$60*$AU$60</f>
        <v>0</v>
      </c>
      <c r="AV147" s="85">
        <f>$I$60*$AV$60</f>
        <v>0</v>
      </c>
      <c r="AW147" s="85">
        <f>$I$60*$AW$60</f>
        <v>0</v>
      </c>
      <c r="AX147" s="85">
        <f>$I$60*$AX$60</f>
        <v>0</v>
      </c>
      <c r="AY147" s="85">
        <f>$I$60*$AY$60</f>
        <v>0</v>
      </c>
      <c r="AZ147" s="85">
        <f>$I$60*$AZ$60</f>
        <v>0</v>
      </c>
      <c r="BA147" s="85">
        <f>$I$60*$BA$60</f>
        <v>0</v>
      </c>
      <c r="BB147" s="85">
        <f>$I$60*$BB$60</f>
        <v>0</v>
      </c>
      <c r="BC147" s="85">
        <f>$I$60*$BC$60</f>
        <v>0</v>
      </c>
      <c r="BD147" s="85">
        <f>$I$60*$BD$60</f>
        <v>0</v>
      </c>
    </row>
    <row r="148" spans="1:56" ht="11.25" customHeight="1" x14ac:dyDescent="0.25">
      <c r="A148" s="9" t="s">
        <v>22</v>
      </c>
      <c r="B148" s="9" t="s">
        <v>1427</v>
      </c>
      <c r="C148" s="9" t="s">
        <v>1428</v>
      </c>
      <c r="D148" s="9" t="s">
        <v>1433</v>
      </c>
      <c r="E148" s="9" t="s">
        <v>1434</v>
      </c>
      <c r="F148" s="9" t="s">
        <v>1435</v>
      </c>
      <c r="G148" s="9" t="s">
        <v>1436</v>
      </c>
      <c r="L148" s="85">
        <f>$I$61*$L$61</f>
        <v>0</v>
      </c>
      <c r="M148" s="85">
        <f>$I$61*$M$61</f>
        <v>0</v>
      </c>
      <c r="N148" s="85">
        <f ca="1">$I$61*$N$61</f>
        <v>0</v>
      </c>
      <c r="O148" s="85">
        <f>$I$61*$O$61</f>
        <v>0</v>
      </c>
      <c r="P148" s="85">
        <f>$I$61*$P$61</f>
        <v>0</v>
      </c>
      <c r="Q148" s="85">
        <f>$I$61*$Q$61</f>
        <v>0</v>
      </c>
      <c r="R148" s="85">
        <f>$I$61*$R$61</f>
        <v>0</v>
      </c>
      <c r="S148" s="85">
        <f>$I$61*$S$61</f>
        <v>0</v>
      </c>
      <c r="T148" s="85">
        <f>$I$61*$T$61</f>
        <v>0</v>
      </c>
      <c r="U148" s="85">
        <f>$I$61*$U$61</f>
        <v>0</v>
      </c>
      <c r="V148" s="85">
        <f>$I$61*$V$61</f>
        <v>0</v>
      </c>
      <c r="W148" s="85">
        <f>$I$61*$W$61</f>
        <v>0</v>
      </c>
      <c r="X148" s="85">
        <f>$I$61*$X$61</f>
        <v>0</v>
      </c>
      <c r="Y148" s="85">
        <f>$I$61*$Y$61</f>
        <v>0</v>
      </c>
      <c r="Z148" s="85">
        <f>$I$61*$Z$61</f>
        <v>0</v>
      </c>
      <c r="AA148" s="85">
        <f>$I$61*$AA$61</f>
        <v>0</v>
      </c>
      <c r="AB148" s="85">
        <f ca="1">$I$61*$AB$61</f>
        <v>0</v>
      </c>
      <c r="AC148" s="85">
        <f ca="1">$I$61*$AC$61</f>
        <v>0</v>
      </c>
      <c r="AD148" s="85">
        <f>$I$61*$AD$61</f>
        <v>0</v>
      </c>
      <c r="AE148" s="85">
        <f>$I$61*$AE$61</f>
        <v>0</v>
      </c>
      <c r="AF148" s="85">
        <f ca="1">$I$61*$AF$61</f>
        <v>0</v>
      </c>
      <c r="AG148" s="85">
        <f ca="1">$I$61*$AG$61</f>
        <v>0</v>
      </c>
      <c r="AI148" s="85">
        <f>$I$61*$AI$61</f>
        <v>0</v>
      </c>
      <c r="AJ148" s="85">
        <f>$I$61*$AJ$61</f>
        <v>0</v>
      </c>
      <c r="AK148" s="85">
        <f>$I$61*$AK$61</f>
        <v>0</v>
      </c>
      <c r="AL148" s="85">
        <f>$I$61*$AL$61</f>
        <v>0</v>
      </c>
      <c r="AM148" s="85">
        <f>$I$61*$AM$61</f>
        <v>0</v>
      </c>
      <c r="AN148" s="85">
        <f>$I$61*$AN$61</f>
        <v>0</v>
      </c>
      <c r="AO148" s="85">
        <f>$I$61*$AO$61</f>
        <v>0</v>
      </c>
      <c r="AP148" s="85">
        <f>$I$61*$AP$61</f>
        <v>0</v>
      </c>
      <c r="AQ148" s="85">
        <f>$I$61*$AQ$61</f>
        <v>0</v>
      </c>
      <c r="AR148" s="85">
        <f>$I$61*$AR$61</f>
        <v>0</v>
      </c>
      <c r="AS148" s="85">
        <f>$I$61*$AS$61</f>
        <v>0</v>
      </c>
      <c r="AT148" s="85">
        <f>$I$61*$AT$61</f>
        <v>0</v>
      </c>
      <c r="AU148" s="85">
        <f>$I$61*$AU$61</f>
        <v>0</v>
      </c>
      <c r="AV148" s="85">
        <f>$I$61*$AV$61</f>
        <v>0</v>
      </c>
      <c r="AW148" s="85">
        <f>$I$61*$AW$61</f>
        <v>0</v>
      </c>
      <c r="AX148" s="85">
        <f>$I$61*$AX$61</f>
        <v>0</v>
      </c>
      <c r="AY148" s="85">
        <f>$I$61*$AY$61</f>
        <v>0</v>
      </c>
      <c r="AZ148" s="85">
        <f>$I$61*$AZ$61</f>
        <v>0</v>
      </c>
      <c r="BA148" s="85">
        <f>$I$61*$BA$61</f>
        <v>0</v>
      </c>
      <c r="BB148" s="85">
        <f>$I$61*$BB$61</f>
        <v>0</v>
      </c>
      <c r="BC148" s="85">
        <f>$I$61*$BC$61</f>
        <v>0</v>
      </c>
      <c r="BD148" s="85">
        <f>$I$61*$BD$61</f>
        <v>0</v>
      </c>
    </row>
    <row r="149" spans="1:56" ht="11.25" customHeight="1" x14ac:dyDescent="0.25">
      <c r="A149" s="9" t="s">
        <v>22</v>
      </c>
      <c r="B149" s="9" t="s">
        <v>1427</v>
      </c>
      <c r="C149" s="9" t="s">
        <v>1428</v>
      </c>
      <c r="D149" s="9" t="s">
        <v>1437</v>
      </c>
      <c r="E149" s="9" t="s">
        <v>1438</v>
      </c>
      <c r="F149" s="9" t="s">
        <v>1439</v>
      </c>
      <c r="G149" s="9" t="s">
        <v>1440</v>
      </c>
      <c r="L149" s="85">
        <f>$I$62*$L$62</f>
        <v>0</v>
      </c>
      <c r="M149" s="85">
        <f>$I$62*$M$62</f>
        <v>0</v>
      </c>
      <c r="N149" s="85">
        <f ca="1">$I$62*$N$62</f>
        <v>0</v>
      </c>
      <c r="O149" s="85">
        <f>$I$62*$O$62</f>
        <v>0</v>
      </c>
      <c r="P149" s="85">
        <f>$I$62*$P$62</f>
        <v>0</v>
      </c>
      <c r="Q149" s="85">
        <f>$I$62*$Q$62</f>
        <v>0</v>
      </c>
      <c r="R149" s="85">
        <f>$I$62*$R$62</f>
        <v>0</v>
      </c>
      <c r="S149" s="85">
        <f>$I$62*$S$62</f>
        <v>0</v>
      </c>
      <c r="T149" s="85">
        <f>$I$62*$T$62</f>
        <v>0</v>
      </c>
      <c r="U149" s="85">
        <f>$I$62*$U$62</f>
        <v>0</v>
      </c>
      <c r="V149" s="85">
        <f>$I$62*$V$62</f>
        <v>0</v>
      </c>
      <c r="W149" s="85">
        <f>$I$62*$W$62</f>
        <v>0</v>
      </c>
      <c r="X149" s="85">
        <f>$I$62*$X$62</f>
        <v>0</v>
      </c>
      <c r="Y149" s="85">
        <f>$I$62*$Y$62</f>
        <v>0</v>
      </c>
      <c r="Z149" s="85">
        <f>$I$62*$Z$62</f>
        <v>0</v>
      </c>
      <c r="AA149" s="85">
        <f>$I$62*$AA$62</f>
        <v>0</v>
      </c>
      <c r="AB149" s="85">
        <f ca="1">$I$62*$AB$62</f>
        <v>0</v>
      </c>
      <c r="AC149" s="85">
        <f ca="1">$I$62*$AC$62</f>
        <v>0</v>
      </c>
      <c r="AD149" s="85">
        <f>$I$62*$AD$62</f>
        <v>0</v>
      </c>
      <c r="AE149" s="85">
        <f>$I$62*$AE$62</f>
        <v>0</v>
      </c>
      <c r="AF149" s="85">
        <f ca="1">$I$62*$AF$62</f>
        <v>0</v>
      </c>
      <c r="AG149" s="85">
        <f ca="1">$I$62*$AG$62</f>
        <v>0</v>
      </c>
      <c r="AI149" s="85">
        <f>$I$62*$AI$62</f>
        <v>0</v>
      </c>
      <c r="AJ149" s="85">
        <f>$I$62*$AJ$62</f>
        <v>0</v>
      </c>
      <c r="AK149" s="85">
        <f>$I$62*$AK$62</f>
        <v>0</v>
      </c>
      <c r="AL149" s="85">
        <f>$I$62*$AL$62</f>
        <v>0</v>
      </c>
      <c r="AM149" s="85">
        <f>$I$62*$AM$62</f>
        <v>0</v>
      </c>
      <c r="AN149" s="85">
        <f>$I$62*$AN$62</f>
        <v>0</v>
      </c>
      <c r="AO149" s="85">
        <f>$I$62*$AO$62</f>
        <v>0</v>
      </c>
      <c r="AP149" s="85">
        <f>$I$62*$AP$62</f>
        <v>0</v>
      </c>
      <c r="AQ149" s="85">
        <f>$I$62*$AQ$62</f>
        <v>0</v>
      </c>
      <c r="AR149" s="85">
        <f>$I$62*$AR$62</f>
        <v>0</v>
      </c>
      <c r="AS149" s="85">
        <f>$I$62*$AS$62</f>
        <v>0</v>
      </c>
      <c r="AT149" s="85">
        <f>$I$62*$AT$62</f>
        <v>0</v>
      </c>
      <c r="AU149" s="85">
        <f>$I$62*$AU$62</f>
        <v>0</v>
      </c>
      <c r="AV149" s="85">
        <f>$I$62*$AV$62</f>
        <v>0</v>
      </c>
      <c r="AW149" s="85">
        <f>$I$62*$AW$62</f>
        <v>0</v>
      </c>
      <c r="AX149" s="85">
        <f>$I$62*$AX$62</f>
        <v>0</v>
      </c>
      <c r="AY149" s="85">
        <f>$I$62*$AY$62</f>
        <v>0</v>
      </c>
      <c r="AZ149" s="85">
        <f>$I$62*$AZ$62</f>
        <v>0</v>
      </c>
      <c r="BA149" s="85">
        <f>$I$62*$BA$62</f>
        <v>0</v>
      </c>
      <c r="BB149" s="85">
        <f>$I$62*$BB$62</f>
        <v>0</v>
      </c>
      <c r="BC149" s="85">
        <f>$I$62*$BC$62</f>
        <v>0</v>
      </c>
      <c r="BD149" s="85">
        <f>$I$62*$BD$62</f>
        <v>0</v>
      </c>
    </row>
    <row r="150" spans="1:56" ht="11.25" customHeight="1" x14ac:dyDescent="0.25">
      <c r="A150" s="9" t="s">
        <v>22</v>
      </c>
      <c r="B150" s="9" t="s">
        <v>1427</v>
      </c>
      <c r="C150" s="9" t="s">
        <v>1428</v>
      </c>
      <c r="D150" s="9" t="s">
        <v>1441</v>
      </c>
      <c r="E150" s="9" t="s">
        <v>1442</v>
      </c>
      <c r="F150" s="9" t="s">
        <v>1443</v>
      </c>
      <c r="G150" s="9" t="s">
        <v>1444</v>
      </c>
      <c r="L150" s="85">
        <f>$I$63*$L$63</f>
        <v>0</v>
      </c>
      <c r="M150" s="85">
        <f>$I$63*$M$63</f>
        <v>0</v>
      </c>
      <c r="N150" s="85">
        <f ca="1">$I$63*$N$63</f>
        <v>0</v>
      </c>
      <c r="O150" s="85">
        <f>$I$63*$O$63</f>
        <v>0</v>
      </c>
      <c r="P150" s="85">
        <f>$I$63*$P$63</f>
        <v>0</v>
      </c>
      <c r="Q150" s="85">
        <f>$I$63*$Q$63</f>
        <v>0</v>
      </c>
      <c r="R150" s="85">
        <f>$I$63*$R$63</f>
        <v>0</v>
      </c>
      <c r="S150" s="85">
        <f>$I$63*$S$63</f>
        <v>0</v>
      </c>
      <c r="T150" s="85">
        <f>$I$63*$T$63</f>
        <v>0</v>
      </c>
      <c r="U150" s="85">
        <f>$I$63*$U$63</f>
        <v>0</v>
      </c>
      <c r="V150" s="85">
        <f>$I$63*$V$63</f>
        <v>0</v>
      </c>
      <c r="W150" s="85">
        <f>$I$63*$W$63</f>
        <v>0</v>
      </c>
      <c r="X150" s="85">
        <f>$I$63*$X$63</f>
        <v>0</v>
      </c>
      <c r="Y150" s="85">
        <f>$I$63*$Y$63</f>
        <v>0</v>
      </c>
      <c r="Z150" s="85">
        <f>$I$63*$Z$63</f>
        <v>0</v>
      </c>
      <c r="AA150" s="85">
        <f>$I$63*$AA$63</f>
        <v>0</v>
      </c>
      <c r="AB150" s="85">
        <f ca="1">$I$63*$AB$63</f>
        <v>0</v>
      </c>
      <c r="AC150" s="85">
        <f ca="1">$I$63*$AC$63</f>
        <v>0</v>
      </c>
      <c r="AD150" s="85">
        <f>$I$63*$AD$63</f>
        <v>0</v>
      </c>
      <c r="AE150" s="85">
        <f>$I$63*$AE$63</f>
        <v>0</v>
      </c>
      <c r="AF150" s="85">
        <f ca="1">$I$63*$AF$63</f>
        <v>0</v>
      </c>
      <c r="AG150" s="85">
        <f ca="1">$I$63*$AG$63</f>
        <v>0</v>
      </c>
      <c r="AI150" s="85">
        <f>$I$63*$AI$63</f>
        <v>0</v>
      </c>
      <c r="AJ150" s="85">
        <f>$I$63*$AJ$63</f>
        <v>0</v>
      </c>
      <c r="AK150" s="85">
        <f>$I$63*$AK$63</f>
        <v>0</v>
      </c>
      <c r="AL150" s="85">
        <f>$I$63*$AL$63</f>
        <v>0</v>
      </c>
      <c r="AM150" s="85">
        <f>$I$63*$AM$63</f>
        <v>0</v>
      </c>
      <c r="AN150" s="85">
        <f>$I$63*$AN$63</f>
        <v>0</v>
      </c>
      <c r="AO150" s="85">
        <f>$I$63*$AO$63</f>
        <v>0</v>
      </c>
      <c r="AP150" s="85">
        <f>$I$63*$AP$63</f>
        <v>0</v>
      </c>
      <c r="AQ150" s="85">
        <f>$I$63*$AQ$63</f>
        <v>0</v>
      </c>
      <c r="AR150" s="85">
        <f>$I$63*$AR$63</f>
        <v>0</v>
      </c>
      <c r="AS150" s="85">
        <f>$I$63*$AS$63</f>
        <v>0</v>
      </c>
      <c r="AT150" s="85">
        <f>$I$63*$AT$63</f>
        <v>0</v>
      </c>
      <c r="AU150" s="85">
        <f>$I$63*$AU$63</f>
        <v>0</v>
      </c>
      <c r="AV150" s="85">
        <f>$I$63*$AV$63</f>
        <v>0</v>
      </c>
      <c r="AW150" s="85">
        <f>$I$63*$AW$63</f>
        <v>0</v>
      </c>
      <c r="AX150" s="85">
        <f>$I$63*$AX$63</f>
        <v>0</v>
      </c>
      <c r="AY150" s="85">
        <f>$I$63*$AY$63</f>
        <v>0</v>
      </c>
      <c r="AZ150" s="85">
        <f>$I$63*$AZ$63</f>
        <v>0</v>
      </c>
      <c r="BA150" s="85">
        <f>$I$63*$BA$63</f>
        <v>0</v>
      </c>
      <c r="BB150" s="85">
        <f>$I$63*$BB$63</f>
        <v>0</v>
      </c>
      <c r="BC150" s="85">
        <f>$I$63*$BC$63</f>
        <v>0</v>
      </c>
      <c r="BD150" s="85">
        <f>$I$63*$BD$63</f>
        <v>0</v>
      </c>
    </row>
    <row r="151" spans="1:56" ht="11.25" customHeight="1" x14ac:dyDescent="0.25">
      <c r="A151" s="9" t="s">
        <v>22</v>
      </c>
      <c r="B151" s="9" t="s">
        <v>1427</v>
      </c>
      <c r="C151" s="9" t="s">
        <v>1428</v>
      </c>
      <c r="D151" s="9" t="s">
        <v>1445</v>
      </c>
      <c r="E151" s="9" t="s">
        <v>1446</v>
      </c>
      <c r="F151" s="9" t="s">
        <v>1447</v>
      </c>
      <c r="G151" s="9" t="s">
        <v>1448</v>
      </c>
      <c r="L151" s="85">
        <f>$I$64*$L$64</f>
        <v>0</v>
      </c>
      <c r="M151" s="85">
        <f>$I$64*$M$64</f>
        <v>0</v>
      </c>
      <c r="N151" s="85">
        <f ca="1">$I$64*$N$64</f>
        <v>0</v>
      </c>
      <c r="O151" s="85">
        <f>$I$64*$O$64</f>
        <v>0</v>
      </c>
      <c r="P151" s="85">
        <f>$I$64*$P$64</f>
        <v>0</v>
      </c>
      <c r="Q151" s="85">
        <f>$I$64*$Q$64</f>
        <v>0</v>
      </c>
      <c r="R151" s="85">
        <f>$I$64*$R$64</f>
        <v>0</v>
      </c>
      <c r="S151" s="85">
        <f>$I$64*$S$64</f>
        <v>0</v>
      </c>
      <c r="T151" s="85">
        <f>$I$64*$T$64</f>
        <v>0</v>
      </c>
      <c r="U151" s="85">
        <f>$I$64*$U$64</f>
        <v>0</v>
      </c>
      <c r="V151" s="85">
        <f>$I$64*$V$64</f>
        <v>0</v>
      </c>
      <c r="W151" s="85">
        <f>$I$64*$W$64</f>
        <v>0</v>
      </c>
      <c r="X151" s="85">
        <f>$I$64*$X$64</f>
        <v>0</v>
      </c>
      <c r="Y151" s="85">
        <f>$I$64*$Y$64</f>
        <v>0</v>
      </c>
      <c r="Z151" s="85">
        <f>$I$64*$Z$64</f>
        <v>0</v>
      </c>
      <c r="AA151" s="85">
        <f>$I$64*$AA$64</f>
        <v>0</v>
      </c>
      <c r="AB151" s="85">
        <f ca="1">$I$64*$AB$64</f>
        <v>0</v>
      </c>
      <c r="AC151" s="85">
        <f ca="1">$I$64*$AC$64</f>
        <v>0</v>
      </c>
      <c r="AD151" s="85">
        <f>$I$64*$AD$64</f>
        <v>0</v>
      </c>
      <c r="AE151" s="85">
        <f>$I$64*$AE$64</f>
        <v>0</v>
      </c>
      <c r="AF151" s="85">
        <f ca="1">$I$64*$AF$64</f>
        <v>0</v>
      </c>
      <c r="AG151" s="85">
        <f ca="1">$I$64*$AG$64</f>
        <v>0</v>
      </c>
      <c r="AI151" s="85">
        <f>$I$64*$AI$64</f>
        <v>0</v>
      </c>
      <c r="AJ151" s="85">
        <f>$I$64*$AJ$64</f>
        <v>0</v>
      </c>
      <c r="AK151" s="85">
        <f>$I$64*$AK$64</f>
        <v>0</v>
      </c>
      <c r="AL151" s="85">
        <f>$I$64*$AL$64</f>
        <v>0</v>
      </c>
      <c r="AM151" s="85">
        <f>$I$64*$AM$64</f>
        <v>0</v>
      </c>
      <c r="AN151" s="85">
        <f>$I$64*$AN$64</f>
        <v>0</v>
      </c>
      <c r="AO151" s="85">
        <f>$I$64*$AO$64</f>
        <v>0</v>
      </c>
      <c r="AP151" s="85">
        <f>$I$64*$AP$64</f>
        <v>0</v>
      </c>
      <c r="AQ151" s="85">
        <f>$I$64*$AQ$64</f>
        <v>0</v>
      </c>
      <c r="AR151" s="85">
        <f>$I$64*$AR$64</f>
        <v>0</v>
      </c>
      <c r="AS151" s="85">
        <f>$I$64*$AS$64</f>
        <v>0</v>
      </c>
      <c r="AT151" s="85">
        <f>$I$64*$AT$64</f>
        <v>0</v>
      </c>
      <c r="AU151" s="85">
        <f>$I$64*$AU$64</f>
        <v>0</v>
      </c>
      <c r="AV151" s="85">
        <f>$I$64*$AV$64</f>
        <v>0</v>
      </c>
      <c r="AW151" s="85">
        <f>$I$64*$AW$64</f>
        <v>0</v>
      </c>
      <c r="AX151" s="85">
        <f>$I$64*$AX$64</f>
        <v>0</v>
      </c>
      <c r="AY151" s="85">
        <f>$I$64*$AY$64</f>
        <v>0</v>
      </c>
      <c r="AZ151" s="85">
        <f>$I$64*$AZ$64</f>
        <v>0</v>
      </c>
      <c r="BA151" s="85">
        <f>$I$64*$BA$64</f>
        <v>0</v>
      </c>
      <c r="BB151" s="85">
        <f>$I$64*$BB$64</f>
        <v>0</v>
      </c>
      <c r="BC151" s="85">
        <f>$I$64*$BC$64</f>
        <v>0</v>
      </c>
      <c r="BD151" s="85">
        <f>$I$64*$BD$64</f>
        <v>0</v>
      </c>
    </row>
    <row r="152" spans="1:56" ht="11.25" customHeight="1" x14ac:dyDescent="0.25">
      <c r="A152" s="9" t="s">
        <v>46</v>
      </c>
      <c r="B152" s="9" t="s">
        <v>1449</v>
      </c>
      <c r="C152" s="9" t="s">
        <v>1450</v>
      </c>
      <c r="D152" s="9" t="s">
        <v>1451</v>
      </c>
      <c r="E152" s="9" t="s">
        <v>1452</v>
      </c>
      <c r="F152" s="9" t="s">
        <v>1453</v>
      </c>
      <c r="G152" s="9" t="s">
        <v>1454</v>
      </c>
      <c r="L152" s="85">
        <f>$I$65*$L$65</f>
        <v>0</v>
      </c>
      <c r="M152" s="85">
        <f>$I$65*$M$65</f>
        <v>0.34130917504117275</v>
      </c>
      <c r="N152" s="85">
        <f ca="1">$I$65*$N$65</f>
        <v>4.7490141405226769</v>
      </c>
      <c r="O152" s="85">
        <f>$I$65*$O$65</f>
        <v>0</v>
      </c>
      <c r="P152" s="85">
        <f>$I$65*$P$65</f>
        <v>0</v>
      </c>
      <c r="Q152" s="85">
        <f>$I$65*$Q$65</f>
        <v>57.416570412387173</v>
      </c>
      <c r="R152" s="85">
        <f>$I$65*$R$65</f>
        <v>6.0357479575269499</v>
      </c>
      <c r="S152" s="85">
        <f>$I$65*$S$65</f>
        <v>0</v>
      </c>
      <c r="T152" s="85">
        <f>$I$65*$T$65</f>
        <v>113.50232930858969</v>
      </c>
      <c r="U152" s="85">
        <f>$I$65*$U$65</f>
        <v>30.506879826607072</v>
      </c>
      <c r="V152" s="85">
        <f>$I$65*$V$65</f>
        <v>3.6876778487318345</v>
      </c>
      <c r="W152" s="85">
        <f>$I$65*$W$65</f>
        <v>0</v>
      </c>
      <c r="X152" s="85">
        <f>$I$65*$X$65</f>
        <v>0</v>
      </c>
      <c r="Y152" s="85">
        <f>$I$65*$Y$65</f>
        <v>0</v>
      </c>
      <c r="Z152" s="85">
        <f>$I$65*$Z$65</f>
        <v>0</v>
      </c>
      <c r="AA152" s="85">
        <f>$I$65*$AA$65</f>
        <v>293.660015153735</v>
      </c>
      <c r="AB152" s="85">
        <f ca="1">$I$65*$AB$65</f>
        <v>0</v>
      </c>
      <c r="AC152" s="85">
        <f ca="1">$I$65*$AC$65</f>
        <v>0</v>
      </c>
      <c r="AD152" s="85">
        <f>$I$65*$AD$65</f>
        <v>19.339446782102222</v>
      </c>
      <c r="AE152" s="85">
        <f>$I$65*$AE$65</f>
        <v>0.72693780700904753</v>
      </c>
      <c r="AF152" s="85">
        <f ca="1">$I$65*$AF$65</f>
        <v>9.1094020862457015</v>
      </c>
      <c r="AG152" s="85">
        <f ca="1">$I$65*$AG$65</f>
        <v>2.3414209528818972</v>
      </c>
      <c r="AI152" s="85">
        <f>$I$65*$AI$65</f>
        <v>0</v>
      </c>
      <c r="AJ152" s="85">
        <f>$I$65*$AJ$65</f>
        <v>0.32713871464490135</v>
      </c>
      <c r="AK152" s="85">
        <f>$I$65*$AK$65</f>
        <v>4.5711282685682422</v>
      </c>
      <c r="AL152" s="85">
        <f>$I$65*$AL$65</f>
        <v>0</v>
      </c>
      <c r="AM152" s="85">
        <f>$I$65*$AM$65</f>
        <v>0</v>
      </c>
      <c r="AN152" s="85">
        <f>$I$65*$AN$65</f>
        <v>43.098209086373558</v>
      </c>
      <c r="AO152" s="85">
        <f>$I$65*$AO$65</f>
        <v>8.176877460474584</v>
      </c>
      <c r="AP152" s="85">
        <f>$I$65*$AP$65</f>
        <v>0</v>
      </c>
      <c r="AQ152" s="85">
        <f>$I$65*$AQ$65</f>
        <v>66.358573138032057</v>
      </c>
      <c r="AR152" s="85">
        <f>$I$65*$AR$65</f>
        <v>19.114174325939874</v>
      </c>
      <c r="AS152" s="85">
        <f>$I$65*$AS$65</f>
        <v>2.216015195403072</v>
      </c>
      <c r="AT152" s="85">
        <f>$I$65*$AT$65</f>
        <v>0</v>
      </c>
      <c r="AU152" s="85">
        <f>$I$65*$AU$65</f>
        <v>0</v>
      </c>
      <c r="AV152" s="85">
        <f>$I$65*$AV$65</f>
        <v>0</v>
      </c>
      <c r="AW152" s="85">
        <f>$I$65*$AW$65</f>
        <v>0</v>
      </c>
      <c r="AX152" s="85">
        <f>$I$65*$AX$65</f>
        <v>264.01415511123719</v>
      </c>
      <c r="AY152" s="85">
        <f>$I$65*$AY$65</f>
        <v>0</v>
      </c>
      <c r="AZ152" s="85">
        <f>$I$65*$AZ$65</f>
        <v>0</v>
      </c>
      <c r="BA152" s="85">
        <f>$I$65*$BA$65</f>
        <v>21.593494004219103</v>
      </c>
      <c r="BB152" s="85">
        <f>$I$65*$BB$65</f>
        <v>0.808187560432306</v>
      </c>
      <c r="BC152" s="85">
        <f>$I$65*$BC$65</f>
        <v>10.198319481752371</v>
      </c>
      <c r="BD152" s="85">
        <f>$I$65*$BD$65</f>
        <v>2.1288463023407345</v>
      </c>
    </row>
    <row r="153" spans="1:56" ht="11.25" customHeight="1" x14ac:dyDescent="0.25">
      <c r="A153" s="9" t="s">
        <v>46</v>
      </c>
      <c r="B153" s="9" t="s">
        <v>1449</v>
      </c>
      <c r="C153" s="9" t="s">
        <v>1450</v>
      </c>
      <c r="D153" s="9" t="s">
        <v>1451</v>
      </c>
      <c r="E153" s="9" t="s">
        <v>1452</v>
      </c>
      <c r="F153" s="9" t="s">
        <v>1453</v>
      </c>
      <c r="G153" s="9" t="s">
        <v>1455</v>
      </c>
      <c r="L153" s="85">
        <f>$I$66*$L$66</f>
        <v>0</v>
      </c>
      <c r="M153" s="85">
        <f>$I$66*$M$66</f>
        <v>0.1866686199040348</v>
      </c>
      <c r="N153" s="85">
        <f ca="1">$I$66*$N$66</f>
        <v>1.7111945370586079</v>
      </c>
      <c r="O153" s="85">
        <f>$I$66*$O$66</f>
        <v>0</v>
      </c>
      <c r="P153" s="85">
        <f>$I$66*$P$66</f>
        <v>0</v>
      </c>
      <c r="Q153" s="85">
        <f>$I$66*$Q$66</f>
        <v>31.402238035969102</v>
      </c>
      <c r="R153" s="85">
        <f>$I$66*$R$66</f>
        <v>3.3010678402777733</v>
      </c>
      <c r="S153" s="85">
        <f>$I$66*$S$66</f>
        <v>0</v>
      </c>
      <c r="T153" s="85">
        <f>$I$66*$T$66</f>
        <v>37.2458539527412</v>
      </c>
      <c r="U153" s="85">
        <f>$I$66*$U$66</f>
        <v>10.010791239683721</v>
      </c>
      <c r="V153" s="85">
        <f>$I$66*$V$66</f>
        <v>1.2101176030625227</v>
      </c>
      <c r="W153" s="85">
        <f>$I$66*$W$66</f>
        <v>0</v>
      </c>
      <c r="X153" s="85">
        <f>$I$66*$X$66</f>
        <v>0</v>
      </c>
      <c r="Y153" s="85">
        <f>$I$66*$Y$66</f>
        <v>0</v>
      </c>
      <c r="Z153" s="85">
        <f>$I$66*$Z$66</f>
        <v>0</v>
      </c>
      <c r="AA153" s="85">
        <f>$I$66*$AA$66</f>
        <v>96.365010217097137</v>
      </c>
      <c r="AB153" s="85">
        <f ca="1">$I$66*$AB$66</f>
        <v>0</v>
      </c>
      <c r="AC153" s="85">
        <f ca="1">$I$66*$AC$66</f>
        <v>0</v>
      </c>
      <c r="AD153" s="85">
        <f>$I$66*$AD$66</f>
        <v>10.577119235329842</v>
      </c>
      <c r="AE153" s="85">
        <f>$I$66*$AE$66</f>
        <v>0.39757641198504318</v>
      </c>
      <c r="AF153" s="85">
        <f ca="1">$I$66*$AF$66</f>
        <v>4.9821090083068915</v>
      </c>
      <c r="AG153" s="85">
        <f ca="1">$I$66*$AG$66</f>
        <v>1.2805686159363554</v>
      </c>
      <c r="AI153" s="85">
        <f>$I$66*$AI$66</f>
        <v>0</v>
      </c>
      <c r="AJ153" s="85">
        <f>$I$66*$AJ$66</f>
        <v>0.17891851976313564</v>
      </c>
      <c r="AK153" s="85">
        <f>$I$66*$AK$66</f>
        <v>1.6428831673898596</v>
      </c>
      <c r="AL153" s="85">
        <f>$I$66*$AL$66</f>
        <v>0</v>
      </c>
      <c r="AM153" s="85">
        <f>$I$66*$AM$66</f>
        <v>0</v>
      </c>
      <c r="AN153" s="85">
        <f>$I$66*$AN$66</f>
        <v>23.571248002689618</v>
      </c>
      <c r="AO153" s="85">
        <f>$I$66*$AO$66</f>
        <v>4.4720931703259108</v>
      </c>
      <c r="AP153" s="85">
        <f>$I$66*$AP$66</f>
        <v>0</v>
      </c>
      <c r="AQ153" s="85">
        <f>$I$66*$AQ$66</f>
        <v>21.775603537542487</v>
      </c>
      <c r="AR153" s="85">
        <f>$I$66*$AR$66</f>
        <v>6.2722903811690216</v>
      </c>
      <c r="AS153" s="85">
        <f>$I$66*$AS$66</f>
        <v>0.7271890622261078</v>
      </c>
      <c r="AT153" s="85">
        <f>$I$66*$AT$66</f>
        <v>0</v>
      </c>
      <c r="AU153" s="85">
        <f>$I$66*$AU$66</f>
        <v>0</v>
      </c>
      <c r="AV153" s="85">
        <f>$I$66*$AV$66</f>
        <v>0</v>
      </c>
      <c r="AW153" s="85">
        <f>$I$66*$AW$66</f>
        <v>0</v>
      </c>
      <c r="AX153" s="85">
        <f>$I$66*$AX$66</f>
        <v>86.636673165849942</v>
      </c>
      <c r="AY153" s="85">
        <f>$I$66*$AY$66</f>
        <v>0</v>
      </c>
      <c r="AZ153" s="85">
        <f>$I$66*$AZ$66</f>
        <v>0</v>
      </c>
      <c r="BA153" s="85">
        <f>$I$66*$BA$66</f>
        <v>11.809901460127417</v>
      </c>
      <c r="BB153" s="85">
        <f>$I$66*$BB$66</f>
        <v>0.44201348091890108</v>
      </c>
      <c r="BC153" s="85">
        <f>$I$66*$BC$66</f>
        <v>5.5776590909678854</v>
      </c>
      <c r="BD153" s="85">
        <f>$I$66*$BD$66</f>
        <v>1.1643074089579184</v>
      </c>
    </row>
    <row r="154" spans="1:56" ht="11.25" customHeight="1" x14ac:dyDescent="0.25">
      <c r="A154" s="9" t="s">
        <v>46</v>
      </c>
      <c r="B154" s="9" t="s">
        <v>1449</v>
      </c>
      <c r="C154" s="9" t="s">
        <v>1450</v>
      </c>
      <c r="D154" s="9" t="s">
        <v>1451</v>
      </c>
      <c r="E154" s="9" t="s">
        <v>1452</v>
      </c>
      <c r="F154" s="9" t="s">
        <v>1453</v>
      </c>
      <c r="G154" s="9" t="s">
        <v>1456</v>
      </c>
      <c r="L154" s="85">
        <f>$I$67*$L$67</f>
        <v>0</v>
      </c>
      <c r="M154" s="85">
        <f>$I$67*$M$67</f>
        <v>1.6214612182998656</v>
      </c>
      <c r="N154" s="85">
        <f ca="1">$I$67*$N$67</f>
        <v>7.1667459285251258</v>
      </c>
      <c r="O154" s="85">
        <f>$I$67*$O$67</f>
        <v>0</v>
      </c>
      <c r="P154" s="85">
        <f>$I$67*$P$67</f>
        <v>0</v>
      </c>
      <c r="Q154" s="85">
        <f>$I$67*$Q$67</f>
        <v>272.76952692595694</v>
      </c>
      <c r="R154" s="85">
        <f>$I$67*$R$67</f>
        <v>28.674093614336567</v>
      </c>
      <c r="S154" s="85">
        <f>$I$67*$S$67</f>
        <v>0</v>
      </c>
      <c r="T154" s="85">
        <f>$I$67*$T$67</f>
        <v>107.84388779326177</v>
      </c>
      <c r="U154" s="85">
        <f>$I$67*$U$67</f>
        <v>28.986272786397059</v>
      </c>
      <c r="V154" s="85">
        <f>$I$67*$V$67</f>
        <v>3.5038182706813195</v>
      </c>
      <c r="W154" s="85">
        <f>$I$67*$W$67</f>
        <v>0</v>
      </c>
      <c r="X154" s="85">
        <f>$I$67*$X$67</f>
        <v>0</v>
      </c>
      <c r="Y154" s="85">
        <f>$I$67*$Y$67</f>
        <v>0</v>
      </c>
      <c r="Z154" s="85">
        <f>$I$67*$Z$67</f>
        <v>0</v>
      </c>
      <c r="AA154" s="85">
        <f>$I$67*$AA$67</f>
        <v>279.01857817543242</v>
      </c>
      <c r="AB154" s="85">
        <f ca="1">$I$67*$AB$67</f>
        <v>0</v>
      </c>
      <c r="AC154" s="85">
        <f ca="1">$I$67*$AC$67</f>
        <v>0</v>
      </c>
      <c r="AD154" s="85">
        <f>$I$67*$AD$67</f>
        <v>91.876120636868578</v>
      </c>
      <c r="AE154" s="85">
        <f>$I$67*$AE$67</f>
        <v>3.4534713637244994</v>
      </c>
      <c r="AF154" s="85">
        <f ca="1">$I$67*$AF$67</f>
        <v>43.276135787927451</v>
      </c>
      <c r="AG154" s="85">
        <f ca="1">$I$67*$AG$67</f>
        <v>11.123414043454096</v>
      </c>
      <c r="AI154" s="85">
        <f>$I$67*$AI$67</f>
        <v>0</v>
      </c>
      <c r="AJ154" s="85">
        <f>$I$67*$AJ$67</f>
        <v>1.5541414576305648</v>
      </c>
      <c r="AK154" s="85">
        <f>$I$67*$AK$67</f>
        <v>6.8250826295635507</v>
      </c>
      <c r="AL154" s="85">
        <f>$I$67*$AL$67</f>
        <v>0</v>
      </c>
      <c r="AM154" s="85">
        <f>$I$67*$AM$67</f>
        <v>0</v>
      </c>
      <c r="AN154" s="85">
        <f>$I$67*$AN$67</f>
        <v>204.74713169753963</v>
      </c>
      <c r="AO154" s="85">
        <f>$I$67*$AO$67</f>
        <v>38.84598088331623</v>
      </c>
      <c r="AP154" s="85">
        <f>$I$67*$AP$67</f>
        <v>0</v>
      </c>
      <c r="AQ154" s="85">
        <f>$I$67*$AQ$67</f>
        <v>63.050393407893701</v>
      </c>
      <c r="AR154" s="85">
        <f>$I$67*$AR$67</f>
        <v>18.161433560151206</v>
      </c>
      <c r="AS154" s="85">
        <f>$I$67*$AS$67</f>
        <v>2.1055295088834498</v>
      </c>
      <c r="AT154" s="85">
        <f>$I$67*$AT$67</f>
        <v>0</v>
      </c>
      <c r="AU154" s="85">
        <f>$I$67*$AU$67</f>
        <v>0</v>
      </c>
      <c r="AV154" s="85">
        <f>$I$67*$AV$67</f>
        <v>0</v>
      </c>
      <c r="AW154" s="85">
        <f>$I$67*$AW$67</f>
        <v>0</v>
      </c>
      <c r="AX154" s="85">
        <f>$I$67*$AX$67</f>
        <v>250.85081514676398</v>
      </c>
      <c r="AY154" s="85">
        <f>$I$67*$AY$67</f>
        <v>0</v>
      </c>
      <c r="AZ154" s="85">
        <f>$I$67*$AZ$67</f>
        <v>0</v>
      </c>
      <c r="BA154" s="85">
        <f>$I$67*$BA$67</f>
        <v>102.58444734516223</v>
      </c>
      <c r="BB154" s="85">
        <f>$I$67*$BB$67</f>
        <v>3.8394654529731929</v>
      </c>
      <c r="BC154" s="85">
        <f>$I$67*$BC$67</f>
        <v>48.449267528476675</v>
      </c>
      <c r="BD154" s="85">
        <f>$I$67*$BD$67</f>
        <v>10.113533333963757</v>
      </c>
    </row>
    <row r="155" spans="1:56" ht="11.25" customHeight="1" x14ac:dyDescent="0.25">
      <c r="A155" s="9" t="s">
        <v>46</v>
      </c>
      <c r="B155" s="9" t="s">
        <v>1457</v>
      </c>
      <c r="C155" s="9" t="s">
        <v>1458</v>
      </c>
      <c r="D155" s="9" t="s">
        <v>1459</v>
      </c>
      <c r="E155" s="9" t="s">
        <v>1460</v>
      </c>
      <c r="F155" s="9" t="s">
        <v>1461</v>
      </c>
      <c r="G155" s="9" t="s">
        <v>1462</v>
      </c>
      <c r="L155" s="85">
        <f>$I$68*$L$68</f>
        <v>0</v>
      </c>
      <c r="M155" s="85">
        <f>$I$68*$M$68</f>
        <v>26411.184965457003</v>
      </c>
      <c r="N155" s="85">
        <f ca="1">$I$68*$N$68</f>
        <v>151997.68511422409</v>
      </c>
      <c r="O155" s="85">
        <f>$I$68*$O$68</f>
        <v>0</v>
      </c>
      <c r="P155" s="85">
        <f>$I$68*$P$68</f>
        <v>0</v>
      </c>
      <c r="Q155" s="85">
        <f>$I$68*$Q$68</f>
        <v>4443008.7795348968</v>
      </c>
      <c r="R155" s="85">
        <f>$I$68*$R$68</f>
        <v>467058.21984390996</v>
      </c>
      <c r="S155" s="85">
        <f>$I$68*$S$68</f>
        <v>0</v>
      </c>
      <c r="T155" s="85">
        <f>$I$68*$T$68</f>
        <v>2744690.7684807056</v>
      </c>
      <c r="U155" s="85">
        <f>$I$68*$U$68</f>
        <v>737723.67650989094</v>
      </c>
      <c r="V155" s="85">
        <f>$I$68*$V$68</f>
        <v>89157.412592443317</v>
      </c>
      <c r="W155" s="85">
        <f>$I$68*$W$68</f>
        <v>0</v>
      </c>
      <c r="X155" s="85">
        <f>$I$68*$X$68</f>
        <v>0</v>
      </c>
      <c r="Y155" s="85">
        <f>$I$68*$Y$68</f>
        <v>0</v>
      </c>
      <c r="Z155" s="85">
        <f>$I$68*$Z$68</f>
        <v>0</v>
      </c>
      <c r="AA155" s="85">
        <f>$I$68*$AA$68</f>
        <v>7101251.7469519284</v>
      </c>
      <c r="AB155" s="85">
        <f ca="1">$I$68*$AB$68</f>
        <v>0</v>
      </c>
      <c r="AC155" s="85">
        <f ca="1">$I$68*$AC$68</f>
        <v>0</v>
      </c>
      <c r="AD155" s="85">
        <f>$I$68*$AD$68</f>
        <v>1496524.9792364885</v>
      </c>
      <c r="AE155" s="85">
        <f>$I$68*$AE$68</f>
        <v>56251.897936771253</v>
      </c>
      <c r="AF155" s="85">
        <f ca="1">$I$68*$AF$68</f>
        <v>704903.70906534325</v>
      </c>
      <c r="AG155" s="85">
        <f ca="1">$I$68*$AG$68</f>
        <v>181183.82507912524</v>
      </c>
      <c r="AI155" s="85">
        <f>$I$68*$AI$68</f>
        <v>0</v>
      </c>
      <c r="AJ155" s="85">
        <f>$I$68*$AJ$68</f>
        <v>25314.646466231308</v>
      </c>
      <c r="AK155" s="85">
        <f>$I$68*$AK$68</f>
        <v>145279.37761411609</v>
      </c>
      <c r="AL155" s="85">
        <f>$I$68*$AL$68</f>
        <v>0</v>
      </c>
      <c r="AM155" s="85">
        <f>$I$68*$AM$68</f>
        <v>0</v>
      </c>
      <c r="AN155" s="85">
        <f>$I$68*$AN$68</f>
        <v>3335025.4112648438</v>
      </c>
      <c r="AO155" s="85">
        <f>$I$68*$AO$68</f>
        <v>632743.09289347066</v>
      </c>
      <c r="AP155" s="85">
        <f>$I$68*$AP$68</f>
        <v>0</v>
      </c>
      <c r="AQ155" s="85">
        <f>$I$68*$AQ$68</f>
        <v>1604669.8266986567</v>
      </c>
      <c r="AR155" s="85">
        <f>$I$68*$AR$68</f>
        <v>462222.91618577664</v>
      </c>
      <c r="AS155" s="85">
        <f>$I$68*$AS$68</f>
        <v>53576.854918500969</v>
      </c>
      <c r="AT155" s="85">
        <f>$I$68*$AT$68</f>
        <v>0</v>
      </c>
      <c r="AU155" s="85">
        <f>$I$68*$AU$68</f>
        <v>0</v>
      </c>
      <c r="AV155" s="85">
        <f>$I$68*$AV$68</f>
        <v>0</v>
      </c>
      <c r="AW155" s="85">
        <f>$I$68*$AW$68</f>
        <v>0</v>
      </c>
      <c r="AX155" s="85">
        <f>$I$68*$AX$68</f>
        <v>6384359.0664606132</v>
      </c>
      <c r="AY155" s="85">
        <f>$I$68*$AY$68</f>
        <v>0</v>
      </c>
      <c r="AZ155" s="85">
        <f>$I$68*$AZ$68</f>
        <v>0</v>
      </c>
      <c r="BA155" s="85">
        <f>$I$68*$BA$68</f>
        <v>1670947.6506956487</v>
      </c>
      <c r="BB155" s="85">
        <f>$I$68*$BB$68</f>
        <v>62539.165971099916</v>
      </c>
      <c r="BC155" s="85">
        <f>$I$68*$BC$68</f>
        <v>789166.30980369437</v>
      </c>
      <c r="BD155" s="85">
        <f>$I$68*$BD$68</f>
        <v>164734.37447841177</v>
      </c>
    </row>
    <row r="156" spans="1:56" ht="11.25" customHeight="1" x14ac:dyDescent="0.25">
      <c r="A156" s="9" t="s">
        <v>46</v>
      </c>
      <c r="B156" s="9" t="s">
        <v>1449</v>
      </c>
      <c r="C156" s="9" t="s">
        <v>1450</v>
      </c>
      <c r="D156" s="9" t="s">
        <v>1463</v>
      </c>
      <c r="E156" s="9" t="s">
        <v>1464</v>
      </c>
      <c r="F156" s="9" t="s">
        <v>1465</v>
      </c>
      <c r="G156" s="9" t="s">
        <v>1466</v>
      </c>
      <c r="L156" s="85">
        <f>$I$69*$L$69</f>
        <v>0</v>
      </c>
      <c r="M156" s="85">
        <f>$I$69*$M$69</f>
        <v>0</v>
      </c>
      <c r="N156" s="85">
        <f ca="1">$I$69*$N$69</f>
        <v>0</v>
      </c>
      <c r="O156" s="85">
        <f>$I$69*$O$69</f>
        <v>0</v>
      </c>
      <c r="P156" s="85">
        <f>$I$69*$P$69</f>
        <v>0</v>
      </c>
      <c r="Q156" s="85">
        <f>$I$69*$Q$69</f>
        <v>0</v>
      </c>
      <c r="R156" s="85">
        <f>$I$69*$R$69</f>
        <v>0</v>
      </c>
      <c r="S156" s="85">
        <f>$I$69*$S$69</f>
        <v>0</v>
      </c>
      <c r="T156" s="85">
        <f>$I$69*$T$69</f>
        <v>0</v>
      </c>
      <c r="U156" s="85">
        <f>$I$69*$U$69</f>
        <v>0</v>
      </c>
      <c r="V156" s="85">
        <f>$I$69*$V$69</f>
        <v>0</v>
      </c>
      <c r="W156" s="85">
        <f>$I$69*$W$69</f>
        <v>0</v>
      </c>
      <c r="X156" s="85">
        <f>$I$69*$X$69</f>
        <v>0</v>
      </c>
      <c r="Y156" s="85">
        <f>$I$69*$Y$69</f>
        <v>0</v>
      </c>
      <c r="Z156" s="85">
        <f>$I$69*$Z$69</f>
        <v>0</v>
      </c>
      <c r="AA156" s="85">
        <f>$I$69*$AA$69</f>
        <v>0</v>
      </c>
      <c r="AB156" s="85">
        <f ca="1">$I$69*$AB$69</f>
        <v>0</v>
      </c>
      <c r="AC156" s="85">
        <f ca="1">$I$69*$AC$69</f>
        <v>0</v>
      </c>
      <c r="AD156" s="85">
        <f>$I$69*$AD$69</f>
        <v>0</v>
      </c>
      <c r="AE156" s="85">
        <f>$I$69*$AE$69</f>
        <v>0</v>
      </c>
      <c r="AF156" s="85">
        <f ca="1">$I$69*$AF$69</f>
        <v>0</v>
      </c>
      <c r="AG156" s="85">
        <f ca="1">$I$69*$AG$69</f>
        <v>0</v>
      </c>
      <c r="AI156" s="85">
        <f>$I$69*$AI$69</f>
        <v>0</v>
      </c>
      <c r="AJ156" s="85">
        <f>$I$69*$AJ$69</f>
        <v>0</v>
      </c>
      <c r="AK156" s="85">
        <f>$I$69*$AK$69</f>
        <v>0</v>
      </c>
      <c r="AL156" s="85">
        <f>$I$69*$AL$69</f>
        <v>0</v>
      </c>
      <c r="AM156" s="85">
        <f>$I$69*$AM$69</f>
        <v>0</v>
      </c>
      <c r="AN156" s="85">
        <f>$I$69*$AN$69</f>
        <v>0</v>
      </c>
      <c r="AO156" s="85">
        <f>$I$69*$AO$69</f>
        <v>0</v>
      </c>
      <c r="AP156" s="85">
        <f>$I$69*$AP$69</f>
        <v>0</v>
      </c>
      <c r="AQ156" s="85">
        <f>$I$69*$AQ$69</f>
        <v>0</v>
      </c>
      <c r="AR156" s="85">
        <f>$I$69*$AR$69</f>
        <v>0</v>
      </c>
      <c r="AS156" s="85">
        <f>$I$69*$AS$69</f>
        <v>0</v>
      </c>
      <c r="AT156" s="85">
        <f>$I$69*$AT$69</f>
        <v>0</v>
      </c>
      <c r="AU156" s="85">
        <f>$I$69*$AU$69</f>
        <v>0</v>
      </c>
      <c r="AV156" s="85">
        <f>$I$69*$AV$69</f>
        <v>0</v>
      </c>
      <c r="AW156" s="85">
        <f>$I$69*$AW$69</f>
        <v>0</v>
      </c>
      <c r="AX156" s="85">
        <f>$I$69*$AX$69</f>
        <v>0</v>
      </c>
      <c r="AY156" s="85">
        <f>$I$69*$AY$69</f>
        <v>0</v>
      </c>
      <c r="AZ156" s="85">
        <f>$I$69*$AZ$69</f>
        <v>0</v>
      </c>
      <c r="BA156" s="85">
        <f>$I$69*$BA$69</f>
        <v>0</v>
      </c>
      <c r="BB156" s="85">
        <f>$I$69*$BB$69</f>
        <v>0</v>
      </c>
      <c r="BC156" s="85">
        <f>$I$69*$BC$69</f>
        <v>0</v>
      </c>
      <c r="BD156" s="85">
        <f>$I$69*$BD$69</f>
        <v>0</v>
      </c>
    </row>
    <row r="157" spans="1:56" ht="11.25" customHeight="1" x14ac:dyDescent="0.25">
      <c r="A157" s="9" t="s">
        <v>46</v>
      </c>
      <c r="B157" s="9" t="s">
        <v>1449</v>
      </c>
      <c r="C157" s="9" t="s">
        <v>1450</v>
      </c>
      <c r="D157" s="9" t="s">
        <v>1463</v>
      </c>
      <c r="E157" s="9" t="s">
        <v>1464</v>
      </c>
      <c r="F157" s="9" t="s">
        <v>1465</v>
      </c>
      <c r="G157" s="9" t="s">
        <v>1467</v>
      </c>
      <c r="L157" s="85">
        <f>$I$70*$L$70</f>
        <v>0</v>
      </c>
      <c r="M157" s="85">
        <f>$I$70*$M$70</f>
        <v>0</v>
      </c>
      <c r="N157" s="85">
        <f ca="1">$I$70*$N$70</f>
        <v>0</v>
      </c>
      <c r="O157" s="85">
        <f>$I$70*$O$70</f>
        <v>0</v>
      </c>
      <c r="P157" s="85">
        <f>$I$70*$P$70</f>
        <v>0</v>
      </c>
      <c r="Q157" s="85">
        <f>$I$70*$Q$70</f>
        <v>0</v>
      </c>
      <c r="R157" s="85">
        <f>$I$70*$R$70</f>
        <v>0</v>
      </c>
      <c r="S157" s="85">
        <f>$I$70*$S$70</f>
        <v>0</v>
      </c>
      <c r="T157" s="85">
        <f>$I$70*$T$70</f>
        <v>0</v>
      </c>
      <c r="U157" s="85">
        <f>$I$70*$U$70</f>
        <v>0</v>
      </c>
      <c r="V157" s="85">
        <f>$I$70*$V$70</f>
        <v>0</v>
      </c>
      <c r="W157" s="85">
        <f>$I$70*$W$70</f>
        <v>0</v>
      </c>
      <c r="X157" s="85">
        <f>$I$70*$X$70</f>
        <v>0</v>
      </c>
      <c r="Y157" s="85">
        <f>$I$70*$Y$70</f>
        <v>0</v>
      </c>
      <c r="Z157" s="85">
        <f>$I$70*$Z$70</f>
        <v>0</v>
      </c>
      <c r="AA157" s="85">
        <f>$I$70*$AA$70</f>
        <v>0</v>
      </c>
      <c r="AB157" s="85">
        <f ca="1">$I$70*$AB$70</f>
        <v>0</v>
      </c>
      <c r="AC157" s="85">
        <f ca="1">$I$70*$AC$70</f>
        <v>0</v>
      </c>
      <c r="AD157" s="85">
        <f>$I$70*$AD$70</f>
        <v>0</v>
      </c>
      <c r="AE157" s="85">
        <f>$I$70*$AE$70</f>
        <v>0</v>
      </c>
      <c r="AF157" s="85">
        <f ca="1">$I$70*$AF$70</f>
        <v>0</v>
      </c>
      <c r="AG157" s="85">
        <f ca="1">$I$70*$AG$70</f>
        <v>0</v>
      </c>
      <c r="AI157" s="85">
        <f>$I$70*$AI$70</f>
        <v>0</v>
      </c>
      <c r="AJ157" s="85">
        <f>$I$70*$AJ$70</f>
        <v>0</v>
      </c>
      <c r="AK157" s="85">
        <f>$I$70*$AK$70</f>
        <v>0</v>
      </c>
      <c r="AL157" s="85">
        <f>$I$70*$AL$70</f>
        <v>0</v>
      </c>
      <c r="AM157" s="85">
        <f>$I$70*$AM$70</f>
        <v>0</v>
      </c>
      <c r="AN157" s="85">
        <f>$I$70*$AN$70</f>
        <v>0</v>
      </c>
      <c r="AO157" s="85">
        <f>$I$70*$AO$70</f>
        <v>0</v>
      </c>
      <c r="AP157" s="85">
        <f>$I$70*$AP$70</f>
        <v>0</v>
      </c>
      <c r="AQ157" s="85">
        <f>$I$70*$AQ$70</f>
        <v>0</v>
      </c>
      <c r="AR157" s="85">
        <f>$I$70*$AR$70</f>
        <v>0</v>
      </c>
      <c r="AS157" s="85">
        <f>$I$70*$AS$70</f>
        <v>0</v>
      </c>
      <c r="AT157" s="85">
        <f>$I$70*$AT$70</f>
        <v>0</v>
      </c>
      <c r="AU157" s="85">
        <f>$I$70*$AU$70</f>
        <v>0</v>
      </c>
      <c r="AV157" s="85">
        <f>$I$70*$AV$70</f>
        <v>0</v>
      </c>
      <c r="AW157" s="85">
        <f>$I$70*$AW$70</f>
        <v>0</v>
      </c>
      <c r="AX157" s="85">
        <f>$I$70*$AX$70</f>
        <v>0</v>
      </c>
      <c r="AY157" s="85">
        <f>$I$70*$AY$70</f>
        <v>0</v>
      </c>
      <c r="AZ157" s="85">
        <f>$I$70*$AZ$70</f>
        <v>0</v>
      </c>
      <c r="BA157" s="85">
        <f>$I$70*$BA$70</f>
        <v>0</v>
      </c>
      <c r="BB157" s="85">
        <f>$I$70*$BB$70</f>
        <v>0</v>
      </c>
      <c r="BC157" s="85">
        <f>$I$70*$BC$70</f>
        <v>0</v>
      </c>
      <c r="BD157" s="85">
        <f>$I$70*$BD$70</f>
        <v>0</v>
      </c>
    </row>
    <row r="158" spans="1:56" ht="11.25" customHeight="1" x14ac:dyDescent="0.25">
      <c r="A158" s="9" t="s">
        <v>46</v>
      </c>
      <c r="B158" s="9" t="s">
        <v>1449</v>
      </c>
      <c r="C158" s="9" t="s">
        <v>1450</v>
      </c>
      <c r="D158" s="9" t="s">
        <v>1463</v>
      </c>
      <c r="E158" s="9" t="s">
        <v>1464</v>
      </c>
      <c r="F158" s="9" t="s">
        <v>1465</v>
      </c>
      <c r="G158" s="9" t="s">
        <v>1468</v>
      </c>
      <c r="L158" s="85">
        <f>$I$71*$L$71</f>
        <v>0</v>
      </c>
      <c r="M158" s="85">
        <f>$I$71*$M$71</f>
        <v>0</v>
      </c>
      <c r="N158" s="85">
        <f ca="1">$I$71*$N$71</f>
        <v>0</v>
      </c>
      <c r="O158" s="85">
        <f>$I$71*$O$71</f>
        <v>0</v>
      </c>
      <c r="P158" s="85">
        <f>$I$71*$P$71</f>
        <v>0</v>
      </c>
      <c r="Q158" s="85">
        <f>$I$71*$Q$71</f>
        <v>0</v>
      </c>
      <c r="R158" s="85">
        <f>$I$71*$R$71</f>
        <v>0</v>
      </c>
      <c r="S158" s="85">
        <f>$I$71*$S$71</f>
        <v>0</v>
      </c>
      <c r="T158" s="85">
        <f>$I$71*$T$71</f>
        <v>0</v>
      </c>
      <c r="U158" s="85">
        <f>$I$71*$U$71</f>
        <v>0</v>
      </c>
      <c r="V158" s="85">
        <f>$I$71*$V$71</f>
        <v>0</v>
      </c>
      <c r="W158" s="85">
        <f>$I$71*$W$71</f>
        <v>0</v>
      </c>
      <c r="X158" s="85">
        <f>$I$71*$X$71</f>
        <v>0</v>
      </c>
      <c r="Y158" s="85">
        <f>$I$71*$Y$71</f>
        <v>0</v>
      </c>
      <c r="Z158" s="85">
        <f>$I$71*$Z$71</f>
        <v>0</v>
      </c>
      <c r="AA158" s="85">
        <f>$I$71*$AA$71</f>
        <v>0</v>
      </c>
      <c r="AB158" s="85">
        <f ca="1">$I$71*$AB$71</f>
        <v>0</v>
      </c>
      <c r="AC158" s="85">
        <f ca="1">$I$71*$AC$71</f>
        <v>0</v>
      </c>
      <c r="AD158" s="85">
        <f>$I$71*$AD$71</f>
        <v>0</v>
      </c>
      <c r="AE158" s="85">
        <f>$I$71*$AE$71</f>
        <v>0</v>
      </c>
      <c r="AF158" s="85">
        <f ca="1">$I$71*$AF$71</f>
        <v>0</v>
      </c>
      <c r="AG158" s="85">
        <f ca="1">$I$71*$AG$71</f>
        <v>0</v>
      </c>
      <c r="AI158" s="85">
        <f>$I$71*$AI$71</f>
        <v>0</v>
      </c>
      <c r="AJ158" s="85">
        <f>$I$71*$AJ$71</f>
        <v>0</v>
      </c>
      <c r="AK158" s="85">
        <f>$I$71*$AK$71</f>
        <v>0</v>
      </c>
      <c r="AL158" s="85">
        <f>$I$71*$AL$71</f>
        <v>0</v>
      </c>
      <c r="AM158" s="85">
        <f>$I$71*$AM$71</f>
        <v>0</v>
      </c>
      <c r="AN158" s="85">
        <f>$I$71*$AN$71</f>
        <v>0</v>
      </c>
      <c r="AO158" s="85">
        <f>$I$71*$AO$71</f>
        <v>0</v>
      </c>
      <c r="AP158" s="85">
        <f>$I$71*$AP$71</f>
        <v>0</v>
      </c>
      <c r="AQ158" s="85">
        <f>$I$71*$AQ$71</f>
        <v>0</v>
      </c>
      <c r="AR158" s="85">
        <f>$I$71*$AR$71</f>
        <v>0</v>
      </c>
      <c r="AS158" s="85">
        <f>$I$71*$AS$71</f>
        <v>0</v>
      </c>
      <c r="AT158" s="85">
        <f>$I$71*$AT$71</f>
        <v>0</v>
      </c>
      <c r="AU158" s="85">
        <f>$I$71*$AU$71</f>
        <v>0</v>
      </c>
      <c r="AV158" s="85">
        <f>$I$71*$AV$71</f>
        <v>0</v>
      </c>
      <c r="AW158" s="85">
        <f>$I$71*$AW$71</f>
        <v>0</v>
      </c>
      <c r="AX158" s="85">
        <f>$I$71*$AX$71</f>
        <v>0</v>
      </c>
      <c r="AY158" s="85">
        <f>$I$71*$AY$71</f>
        <v>0</v>
      </c>
      <c r="AZ158" s="85">
        <f>$I$71*$AZ$71</f>
        <v>0</v>
      </c>
      <c r="BA158" s="85">
        <f>$I$71*$BA$71</f>
        <v>0</v>
      </c>
      <c r="BB158" s="85">
        <f>$I$71*$BB$71</f>
        <v>0</v>
      </c>
      <c r="BC158" s="85">
        <f>$I$71*$BC$71</f>
        <v>0</v>
      </c>
      <c r="BD158" s="85">
        <f>$I$71*$BD$71</f>
        <v>0</v>
      </c>
    </row>
    <row r="159" spans="1:56" ht="11.25" customHeight="1" x14ac:dyDescent="0.25">
      <c r="A159" s="9" t="s">
        <v>46</v>
      </c>
      <c r="B159" s="9" t="s">
        <v>1457</v>
      </c>
      <c r="C159" s="9" t="s">
        <v>1458</v>
      </c>
      <c r="D159" s="9" t="s">
        <v>1469</v>
      </c>
      <c r="E159" s="9" t="s">
        <v>1470</v>
      </c>
      <c r="F159" s="9" t="s">
        <v>1471</v>
      </c>
      <c r="G159" s="9" t="s">
        <v>1472</v>
      </c>
      <c r="L159" s="85">
        <f>$I$72*$L$72</f>
        <v>0</v>
      </c>
      <c r="M159" s="85">
        <f>$I$72*$M$72</f>
        <v>0</v>
      </c>
      <c r="N159" s="85">
        <f ca="1">$I$72*$N$72</f>
        <v>0</v>
      </c>
      <c r="O159" s="85">
        <f>$I$72*$O$72</f>
        <v>0</v>
      </c>
      <c r="P159" s="85">
        <f>$I$72*$P$72</f>
        <v>0</v>
      </c>
      <c r="Q159" s="85">
        <f>$I$72*$Q$72</f>
        <v>0</v>
      </c>
      <c r="R159" s="85">
        <f>$I$72*$R$72</f>
        <v>0</v>
      </c>
      <c r="S159" s="85">
        <f>$I$72*$S$72</f>
        <v>0</v>
      </c>
      <c r="T159" s="85">
        <f>$I$72*$T$72</f>
        <v>0</v>
      </c>
      <c r="U159" s="85">
        <f>$I$72*$U$72</f>
        <v>0</v>
      </c>
      <c r="V159" s="85">
        <f>$I$72*$V$72</f>
        <v>0</v>
      </c>
      <c r="W159" s="85">
        <f>$I$72*$W$72</f>
        <v>0</v>
      </c>
      <c r="X159" s="85">
        <f>$I$72*$X$72</f>
        <v>0</v>
      </c>
      <c r="Y159" s="85">
        <f>$I$72*$Y$72</f>
        <v>0</v>
      </c>
      <c r="Z159" s="85">
        <f>$I$72*$Z$72</f>
        <v>0</v>
      </c>
      <c r="AA159" s="85">
        <f>$I$72*$AA$72</f>
        <v>0</v>
      </c>
      <c r="AB159" s="85">
        <f ca="1">$I$72*$AB$72</f>
        <v>0</v>
      </c>
      <c r="AC159" s="85">
        <f ca="1">$I$72*$AC$72</f>
        <v>0</v>
      </c>
      <c r="AD159" s="85">
        <f>$I$72*$AD$72</f>
        <v>0</v>
      </c>
      <c r="AE159" s="85">
        <f>$I$72*$AE$72</f>
        <v>0</v>
      </c>
      <c r="AF159" s="85">
        <f ca="1">$I$72*$AF$72</f>
        <v>0</v>
      </c>
      <c r="AG159" s="85">
        <f ca="1">$I$72*$AG$72</f>
        <v>0</v>
      </c>
      <c r="AI159" s="85">
        <f>$I$72*$AI$72</f>
        <v>0</v>
      </c>
      <c r="AJ159" s="85">
        <f>$I$72*$AJ$72</f>
        <v>0</v>
      </c>
      <c r="AK159" s="85">
        <f>$I$72*$AK$72</f>
        <v>0</v>
      </c>
      <c r="AL159" s="85">
        <f>$I$72*$AL$72</f>
        <v>0</v>
      </c>
      <c r="AM159" s="85">
        <f>$I$72*$AM$72</f>
        <v>0</v>
      </c>
      <c r="AN159" s="85">
        <f>$I$72*$AN$72</f>
        <v>0</v>
      </c>
      <c r="AO159" s="85">
        <f>$I$72*$AO$72</f>
        <v>0</v>
      </c>
      <c r="AP159" s="85">
        <f>$I$72*$AP$72</f>
        <v>0</v>
      </c>
      <c r="AQ159" s="85">
        <f>$I$72*$AQ$72</f>
        <v>0</v>
      </c>
      <c r="AR159" s="85">
        <f>$I$72*$AR$72</f>
        <v>0</v>
      </c>
      <c r="AS159" s="85">
        <f>$I$72*$AS$72</f>
        <v>0</v>
      </c>
      <c r="AT159" s="85">
        <f>$I$72*$AT$72</f>
        <v>0</v>
      </c>
      <c r="AU159" s="85">
        <f>$I$72*$AU$72</f>
        <v>0</v>
      </c>
      <c r="AV159" s="85">
        <f>$I$72*$AV$72</f>
        <v>0</v>
      </c>
      <c r="AW159" s="85">
        <f>$I$72*$AW$72</f>
        <v>0</v>
      </c>
      <c r="AX159" s="85">
        <f>$I$72*$AX$72</f>
        <v>0</v>
      </c>
      <c r="AY159" s="85">
        <f>$I$72*$AY$72</f>
        <v>0</v>
      </c>
      <c r="AZ159" s="85">
        <f>$I$72*$AZ$72</f>
        <v>0</v>
      </c>
      <c r="BA159" s="85">
        <f>$I$72*$BA$72</f>
        <v>0</v>
      </c>
      <c r="BB159" s="85">
        <f>$I$72*$BB$72</f>
        <v>0</v>
      </c>
      <c r="BC159" s="85">
        <f>$I$72*$BC$72</f>
        <v>0</v>
      </c>
      <c r="BD159" s="85">
        <f>$I$72*$BD$72</f>
        <v>0</v>
      </c>
    </row>
    <row r="160" spans="1:56" ht="11.25" customHeight="1" x14ac:dyDescent="0.25">
      <c r="A160" s="9" t="s">
        <v>46</v>
      </c>
      <c r="B160" s="9" t="s">
        <v>1449</v>
      </c>
      <c r="C160" s="9" t="s">
        <v>1450</v>
      </c>
      <c r="D160" s="9" t="s">
        <v>1473</v>
      </c>
      <c r="E160" s="9" t="s">
        <v>1474</v>
      </c>
      <c r="F160" s="9" t="s">
        <v>1475</v>
      </c>
      <c r="G160" s="9" t="s">
        <v>1476</v>
      </c>
      <c r="L160" s="85">
        <f>$I$73*$L$73</f>
        <v>0</v>
      </c>
      <c r="M160" s="85">
        <f>$I$73*$M$73</f>
        <v>0</v>
      </c>
      <c r="N160" s="85">
        <f ca="1">$I$73*$N$73</f>
        <v>0</v>
      </c>
      <c r="O160" s="85">
        <f>$I$73*$O$73</f>
        <v>0</v>
      </c>
      <c r="P160" s="85">
        <f>$I$73*$P$73</f>
        <v>0</v>
      </c>
      <c r="Q160" s="85">
        <f>$I$73*$Q$73</f>
        <v>0</v>
      </c>
      <c r="R160" s="85">
        <f>$I$73*$R$73</f>
        <v>0</v>
      </c>
      <c r="S160" s="85">
        <f>$I$73*$S$73</f>
        <v>0</v>
      </c>
      <c r="T160" s="85">
        <f>$I$73*$T$73</f>
        <v>0</v>
      </c>
      <c r="U160" s="85">
        <f>$I$73*$U$73</f>
        <v>0</v>
      </c>
      <c r="V160" s="85">
        <f>$I$73*$V$73</f>
        <v>0</v>
      </c>
      <c r="W160" s="85">
        <f>$I$73*$W$73</f>
        <v>0</v>
      </c>
      <c r="X160" s="85">
        <f>$I$73*$X$73</f>
        <v>0</v>
      </c>
      <c r="Y160" s="85">
        <f>$I$73*$Y$73</f>
        <v>0</v>
      </c>
      <c r="Z160" s="85">
        <f>$I$73*$Z$73</f>
        <v>0</v>
      </c>
      <c r="AA160" s="85">
        <f>$I$73*$AA$73</f>
        <v>0</v>
      </c>
      <c r="AB160" s="85">
        <f ca="1">$I$73*$AB$73</f>
        <v>0</v>
      </c>
      <c r="AC160" s="85">
        <f ca="1">$I$73*$AC$73</f>
        <v>0</v>
      </c>
      <c r="AD160" s="85">
        <f>$I$73*$AD$73</f>
        <v>0</v>
      </c>
      <c r="AE160" s="85">
        <f>$I$73*$AE$73</f>
        <v>0</v>
      </c>
      <c r="AF160" s="85">
        <f ca="1">$I$73*$AF$73</f>
        <v>0</v>
      </c>
      <c r="AG160" s="85">
        <f ca="1">$I$73*$AG$73</f>
        <v>0</v>
      </c>
      <c r="AI160" s="85">
        <f>$I$73*$AI$73</f>
        <v>0</v>
      </c>
      <c r="AJ160" s="85">
        <f>$I$73*$AJ$73</f>
        <v>0</v>
      </c>
      <c r="AK160" s="85">
        <f>$I$73*$AK$73</f>
        <v>0</v>
      </c>
      <c r="AL160" s="85">
        <f>$I$73*$AL$73</f>
        <v>0</v>
      </c>
      <c r="AM160" s="85">
        <f>$I$73*$AM$73</f>
        <v>0</v>
      </c>
      <c r="AN160" s="85">
        <f>$I$73*$AN$73</f>
        <v>0</v>
      </c>
      <c r="AO160" s="85">
        <f>$I$73*$AO$73</f>
        <v>0</v>
      </c>
      <c r="AP160" s="85">
        <f>$I$73*$AP$73</f>
        <v>0</v>
      </c>
      <c r="AQ160" s="85">
        <f>$I$73*$AQ$73</f>
        <v>0</v>
      </c>
      <c r="AR160" s="85">
        <f>$I$73*$AR$73</f>
        <v>0</v>
      </c>
      <c r="AS160" s="85">
        <f>$I$73*$AS$73</f>
        <v>0</v>
      </c>
      <c r="AT160" s="85">
        <f>$I$73*$AT$73</f>
        <v>0</v>
      </c>
      <c r="AU160" s="85">
        <f>$I$73*$AU$73</f>
        <v>0</v>
      </c>
      <c r="AV160" s="85">
        <f>$I$73*$AV$73</f>
        <v>0</v>
      </c>
      <c r="AW160" s="85">
        <f>$I$73*$AW$73</f>
        <v>0</v>
      </c>
      <c r="AX160" s="85">
        <f>$I$73*$AX$73</f>
        <v>0</v>
      </c>
      <c r="AY160" s="85">
        <f>$I$73*$AY$73</f>
        <v>0</v>
      </c>
      <c r="AZ160" s="85">
        <f>$I$73*$AZ$73</f>
        <v>0</v>
      </c>
      <c r="BA160" s="85">
        <f>$I$73*$BA$73</f>
        <v>0</v>
      </c>
      <c r="BB160" s="85">
        <f>$I$73*$BB$73</f>
        <v>0</v>
      </c>
      <c r="BC160" s="85">
        <f>$I$73*$BC$73</f>
        <v>0</v>
      </c>
      <c r="BD160" s="85">
        <f>$I$73*$BD$73</f>
        <v>0</v>
      </c>
    </row>
    <row r="161" spans="1:56" ht="11.25" customHeight="1" x14ac:dyDescent="0.25">
      <c r="A161" s="9" t="s">
        <v>46</v>
      </c>
      <c r="B161" s="9" t="s">
        <v>1449</v>
      </c>
      <c r="C161" s="9" t="s">
        <v>1450</v>
      </c>
      <c r="D161" s="9" t="s">
        <v>1473</v>
      </c>
      <c r="E161" s="9" t="s">
        <v>1474</v>
      </c>
      <c r="F161" s="9" t="s">
        <v>1475</v>
      </c>
      <c r="G161" s="9" t="s">
        <v>1477</v>
      </c>
      <c r="L161" s="85">
        <f>$I$74*$L$74</f>
        <v>0</v>
      </c>
      <c r="M161" s="85">
        <f>$I$74*$M$74</f>
        <v>0</v>
      </c>
      <c r="N161" s="85">
        <f ca="1">$I$74*$N$74</f>
        <v>0</v>
      </c>
      <c r="O161" s="85">
        <f>$I$74*$O$74</f>
        <v>0</v>
      </c>
      <c r="P161" s="85">
        <f>$I$74*$P$74</f>
        <v>0</v>
      </c>
      <c r="Q161" s="85">
        <f>$I$74*$Q$74</f>
        <v>0</v>
      </c>
      <c r="R161" s="85">
        <f>$I$74*$R$74</f>
        <v>0</v>
      </c>
      <c r="S161" s="85">
        <f>$I$74*$S$74</f>
        <v>0</v>
      </c>
      <c r="T161" s="85">
        <f>$I$74*$T$74</f>
        <v>0</v>
      </c>
      <c r="U161" s="85">
        <f>$I$74*$U$74</f>
        <v>0</v>
      </c>
      <c r="V161" s="85">
        <f>$I$74*$V$74</f>
        <v>0</v>
      </c>
      <c r="W161" s="85">
        <f>$I$74*$W$74</f>
        <v>0</v>
      </c>
      <c r="X161" s="85">
        <f>$I$74*$X$74</f>
        <v>0</v>
      </c>
      <c r="Y161" s="85">
        <f>$I$74*$Y$74</f>
        <v>0</v>
      </c>
      <c r="Z161" s="85">
        <f>$I$74*$Z$74</f>
        <v>0</v>
      </c>
      <c r="AA161" s="85">
        <f>$I$74*$AA$74</f>
        <v>0</v>
      </c>
      <c r="AB161" s="85">
        <f ca="1">$I$74*$AB$74</f>
        <v>0</v>
      </c>
      <c r="AC161" s="85">
        <f ca="1">$I$74*$AC$74</f>
        <v>0</v>
      </c>
      <c r="AD161" s="85">
        <f>$I$74*$AD$74</f>
        <v>0</v>
      </c>
      <c r="AE161" s="85">
        <f>$I$74*$AE$74</f>
        <v>0</v>
      </c>
      <c r="AF161" s="85">
        <f ca="1">$I$74*$AF$74</f>
        <v>0</v>
      </c>
      <c r="AG161" s="85">
        <f ca="1">$I$74*$AG$74</f>
        <v>0</v>
      </c>
      <c r="AI161" s="85">
        <f>$I$74*$AI$74</f>
        <v>0</v>
      </c>
      <c r="AJ161" s="85">
        <f>$I$74*$AJ$74</f>
        <v>0</v>
      </c>
      <c r="AK161" s="85">
        <f>$I$74*$AK$74</f>
        <v>0</v>
      </c>
      <c r="AL161" s="85">
        <f>$I$74*$AL$74</f>
        <v>0</v>
      </c>
      <c r="AM161" s="85">
        <f>$I$74*$AM$74</f>
        <v>0</v>
      </c>
      <c r="AN161" s="85">
        <f>$I$74*$AN$74</f>
        <v>0</v>
      </c>
      <c r="AO161" s="85">
        <f>$I$74*$AO$74</f>
        <v>0</v>
      </c>
      <c r="AP161" s="85">
        <f>$I$74*$AP$74</f>
        <v>0</v>
      </c>
      <c r="AQ161" s="85">
        <f>$I$74*$AQ$74</f>
        <v>0</v>
      </c>
      <c r="AR161" s="85">
        <f>$I$74*$AR$74</f>
        <v>0</v>
      </c>
      <c r="AS161" s="85">
        <f>$I$74*$AS$74</f>
        <v>0</v>
      </c>
      <c r="AT161" s="85">
        <f>$I$74*$AT$74</f>
        <v>0</v>
      </c>
      <c r="AU161" s="85">
        <f>$I$74*$AU$74</f>
        <v>0</v>
      </c>
      <c r="AV161" s="85">
        <f>$I$74*$AV$74</f>
        <v>0</v>
      </c>
      <c r="AW161" s="85">
        <f>$I$74*$AW$74</f>
        <v>0</v>
      </c>
      <c r="AX161" s="85">
        <f>$I$74*$AX$74</f>
        <v>0</v>
      </c>
      <c r="AY161" s="85">
        <f>$I$74*$AY$74</f>
        <v>0</v>
      </c>
      <c r="AZ161" s="85">
        <f>$I$74*$AZ$74</f>
        <v>0</v>
      </c>
      <c r="BA161" s="85">
        <f>$I$74*$BA$74</f>
        <v>0</v>
      </c>
      <c r="BB161" s="85">
        <f>$I$74*$BB$74</f>
        <v>0</v>
      </c>
      <c r="BC161" s="85">
        <f>$I$74*$BC$74</f>
        <v>0</v>
      </c>
      <c r="BD161" s="85">
        <f>$I$74*$BD$74</f>
        <v>0</v>
      </c>
    </row>
    <row r="162" spans="1:56" ht="11.25" customHeight="1" x14ac:dyDescent="0.25">
      <c r="A162" s="9" t="s">
        <v>46</v>
      </c>
      <c r="B162" s="9" t="s">
        <v>1449</v>
      </c>
      <c r="C162" s="9" t="s">
        <v>1450</v>
      </c>
      <c r="D162" s="9" t="s">
        <v>1473</v>
      </c>
      <c r="E162" s="9" t="s">
        <v>1474</v>
      </c>
      <c r="F162" s="9" t="s">
        <v>1475</v>
      </c>
      <c r="G162" s="9" t="s">
        <v>1478</v>
      </c>
      <c r="L162" s="85">
        <f>$I$75*$L$75</f>
        <v>0</v>
      </c>
      <c r="M162" s="85">
        <f>$I$75*$M$75</f>
        <v>0</v>
      </c>
      <c r="N162" s="85">
        <f ca="1">$I$75*$N$75</f>
        <v>0</v>
      </c>
      <c r="O162" s="85">
        <f>$I$75*$O$75</f>
        <v>0</v>
      </c>
      <c r="P162" s="85">
        <f>$I$75*$P$75</f>
        <v>0</v>
      </c>
      <c r="Q162" s="85">
        <f>$I$75*$Q$75</f>
        <v>0</v>
      </c>
      <c r="R162" s="85">
        <f>$I$75*$R$75</f>
        <v>0</v>
      </c>
      <c r="S162" s="85">
        <f>$I$75*$S$75</f>
        <v>0</v>
      </c>
      <c r="T162" s="85">
        <f>$I$75*$T$75</f>
        <v>0</v>
      </c>
      <c r="U162" s="85">
        <f>$I$75*$U$75</f>
        <v>0</v>
      </c>
      <c r="V162" s="85">
        <f>$I$75*$V$75</f>
        <v>0</v>
      </c>
      <c r="W162" s="85">
        <f>$I$75*$W$75</f>
        <v>0</v>
      </c>
      <c r="X162" s="85">
        <f>$I$75*$X$75</f>
        <v>0</v>
      </c>
      <c r="Y162" s="85">
        <f>$I$75*$Y$75</f>
        <v>0</v>
      </c>
      <c r="Z162" s="85">
        <f>$I$75*$Z$75</f>
        <v>0</v>
      </c>
      <c r="AA162" s="85">
        <f>$I$75*$AA$75</f>
        <v>0</v>
      </c>
      <c r="AB162" s="85">
        <f ca="1">$I$75*$AB$75</f>
        <v>0</v>
      </c>
      <c r="AC162" s="85">
        <f ca="1">$I$75*$AC$75</f>
        <v>0</v>
      </c>
      <c r="AD162" s="85">
        <f>$I$75*$AD$75</f>
        <v>0</v>
      </c>
      <c r="AE162" s="85">
        <f>$I$75*$AE$75</f>
        <v>0</v>
      </c>
      <c r="AF162" s="85">
        <f ca="1">$I$75*$AF$75</f>
        <v>0</v>
      </c>
      <c r="AG162" s="85">
        <f ca="1">$I$75*$AG$75</f>
        <v>0</v>
      </c>
      <c r="AI162" s="85">
        <f>$I$75*$AI$75</f>
        <v>0</v>
      </c>
      <c r="AJ162" s="85">
        <f>$I$75*$AJ$75</f>
        <v>0</v>
      </c>
      <c r="AK162" s="85">
        <f>$I$75*$AK$75</f>
        <v>0</v>
      </c>
      <c r="AL162" s="85">
        <f>$I$75*$AL$75</f>
        <v>0</v>
      </c>
      <c r="AM162" s="85">
        <f>$I$75*$AM$75</f>
        <v>0</v>
      </c>
      <c r="AN162" s="85">
        <f>$I$75*$AN$75</f>
        <v>0</v>
      </c>
      <c r="AO162" s="85">
        <f>$I$75*$AO$75</f>
        <v>0</v>
      </c>
      <c r="AP162" s="85">
        <f>$I$75*$AP$75</f>
        <v>0</v>
      </c>
      <c r="AQ162" s="85">
        <f>$I$75*$AQ$75</f>
        <v>0</v>
      </c>
      <c r="AR162" s="85">
        <f>$I$75*$AR$75</f>
        <v>0</v>
      </c>
      <c r="AS162" s="85">
        <f>$I$75*$AS$75</f>
        <v>0</v>
      </c>
      <c r="AT162" s="85">
        <f>$I$75*$AT$75</f>
        <v>0</v>
      </c>
      <c r="AU162" s="85">
        <f>$I$75*$AU$75</f>
        <v>0</v>
      </c>
      <c r="AV162" s="85">
        <f>$I$75*$AV$75</f>
        <v>0</v>
      </c>
      <c r="AW162" s="85">
        <f>$I$75*$AW$75</f>
        <v>0</v>
      </c>
      <c r="AX162" s="85">
        <f>$I$75*$AX$75</f>
        <v>0</v>
      </c>
      <c r="AY162" s="85">
        <f>$I$75*$AY$75</f>
        <v>0</v>
      </c>
      <c r="AZ162" s="85">
        <f>$I$75*$AZ$75</f>
        <v>0</v>
      </c>
      <c r="BA162" s="85">
        <f>$I$75*$BA$75</f>
        <v>0</v>
      </c>
      <c r="BB162" s="85">
        <f>$I$75*$BB$75</f>
        <v>0</v>
      </c>
      <c r="BC162" s="85">
        <f>$I$75*$BC$75</f>
        <v>0</v>
      </c>
      <c r="BD162" s="85">
        <f>$I$75*$BD$75</f>
        <v>0</v>
      </c>
    </row>
    <row r="163" spans="1:56" ht="11.25" customHeight="1" x14ac:dyDescent="0.25">
      <c r="A163" s="9" t="s">
        <v>46</v>
      </c>
      <c r="B163" s="9" t="s">
        <v>1457</v>
      </c>
      <c r="C163" s="9" t="s">
        <v>1458</v>
      </c>
      <c r="D163" s="9" t="s">
        <v>1479</v>
      </c>
      <c r="E163" s="9" t="s">
        <v>1480</v>
      </c>
      <c r="F163" s="9" t="s">
        <v>1481</v>
      </c>
      <c r="G163" s="9" t="s">
        <v>1482</v>
      </c>
      <c r="L163" s="85">
        <f>$I$76*$L$76</f>
        <v>0</v>
      </c>
      <c r="M163" s="85">
        <f>$I$76*$M$76</f>
        <v>0</v>
      </c>
      <c r="N163" s="85">
        <f ca="1">$I$76*$N$76</f>
        <v>0</v>
      </c>
      <c r="O163" s="85">
        <f>$I$76*$O$76</f>
        <v>0</v>
      </c>
      <c r="P163" s="85">
        <f>$I$76*$P$76</f>
        <v>0</v>
      </c>
      <c r="Q163" s="85">
        <f>$I$76*$Q$76</f>
        <v>0</v>
      </c>
      <c r="R163" s="85">
        <f>$I$76*$R$76</f>
        <v>0</v>
      </c>
      <c r="S163" s="85">
        <f>$I$76*$S$76</f>
        <v>0</v>
      </c>
      <c r="T163" s="85">
        <f>$I$76*$T$76</f>
        <v>0</v>
      </c>
      <c r="U163" s="85">
        <f>$I$76*$U$76</f>
        <v>0</v>
      </c>
      <c r="V163" s="85">
        <f>$I$76*$V$76</f>
        <v>0</v>
      </c>
      <c r="W163" s="85">
        <f>$I$76*$W$76</f>
        <v>0</v>
      </c>
      <c r="X163" s="85">
        <f>$I$76*$X$76</f>
        <v>0</v>
      </c>
      <c r="Y163" s="85">
        <f>$I$76*$Y$76</f>
        <v>0</v>
      </c>
      <c r="Z163" s="85">
        <f>$I$76*$Z$76</f>
        <v>0</v>
      </c>
      <c r="AA163" s="85">
        <f>$I$76*$AA$76</f>
        <v>0</v>
      </c>
      <c r="AB163" s="85">
        <f ca="1">$I$76*$AB$76</f>
        <v>0</v>
      </c>
      <c r="AC163" s="85">
        <f ca="1">$I$76*$AC$76</f>
        <v>0</v>
      </c>
      <c r="AD163" s="85">
        <f>$I$76*$AD$76</f>
        <v>0</v>
      </c>
      <c r="AE163" s="85">
        <f>$I$76*$AE$76</f>
        <v>0</v>
      </c>
      <c r="AF163" s="85">
        <f ca="1">$I$76*$AF$76</f>
        <v>0</v>
      </c>
      <c r="AG163" s="85">
        <f ca="1">$I$76*$AG$76</f>
        <v>0</v>
      </c>
      <c r="AI163" s="85">
        <f>$I$76*$AI$76</f>
        <v>0</v>
      </c>
      <c r="AJ163" s="85">
        <f>$I$76*$AJ$76</f>
        <v>0</v>
      </c>
      <c r="AK163" s="85">
        <f>$I$76*$AK$76</f>
        <v>0</v>
      </c>
      <c r="AL163" s="85">
        <f>$I$76*$AL$76</f>
        <v>0</v>
      </c>
      <c r="AM163" s="85">
        <f>$I$76*$AM$76</f>
        <v>0</v>
      </c>
      <c r="AN163" s="85">
        <f>$I$76*$AN$76</f>
        <v>0</v>
      </c>
      <c r="AO163" s="85">
        <f>$I$76*$AO$76</f>
        <v>0</v>
      </c>
      <c r="AP163" s="85">
        <f>$I$76*$AP$76</f>
        <v>0</v>
      </c>
      <c r="AQ163" s="85">
        <f>$I$76*$AQ$76</f>
        <v>0</v>
      </c>
      <c r="AR163" s="85">
        <f>$I$76*$AR$76</f>
        <v>0</v>
      </c>
      <c r="AS163" s="85">
        <f>$I$76*$AS$76</f>
        <v>0</v>
      </c>
      <c r="AT163" s="85">
        <f>$I$76*$AT$76</f>
        <v>0</v>
      </c>
      <c r="AU163" s="85">
        <f>$I$76*$AU$76</f>
        <v>0</v>
      </c>
      <c r="AV163" s="85">
        <f>$I$76*$AV$76</f>
        <v>0</v>
      </c>
      <c r="AW163" s="85">
        <f>$I$76*$AW$76</f>
        <v>0</v>
      </c>
      <c r="AX163" s="85">
        <f>$I$76*$AX$76</f>
        <v>0</v>
      </c>
      <c r="AY163" s="85">
        <f>$I$76*$AY$76</f>
        <v>0</v>
      </c>
      <c r="AZ163" s="85">
        <f>$I$76*$AZ$76</f>
        <v>0</v>
      </c>
      <c r="BA163" s="85">
        <f>$I$76*$BA$76</f>
        <v>0</v>
      </c>
      <c r="BB163" s="85">
        <f>$I$76*$BB$76</f>
        <v>0</v>
      </c>
      <c r="BC163" s="85">
        <f>$I$76*$BC$76</f>
        <v>0</v>
      </c>
      <c r="BD163" s="85">
        <f>$I$76*$BD$76</f>
        <v>0</v>
      </c>
    </row>
    <row r="164" spans="1:56" ht="11.25" customHeight="1" x14ac:dyDescent="0.25">
      <c r="A164" s="9" t="s">
        <v>46</v>
      </c>
      <c r="B164" s="9" t="s">
        <v>1483</v>
      </c>
      <c r="C164" s="9" t="s">
        <v>1484</v>
      </c>
      <c r="D164" s="9" t="s">
        <v>1485</v>
      </c>
      <c r="E164" s="9" t="s">
        <v>1486</v>
      </c>
      <c r="F164" s="9" t="s">
        <v>1487</v>
      </c>
      <c r="G164" s="9" t="s">
        <v>1488</v>
      </c>
      <c r="L164" s="85">
        <f>$I$77*$L$77</f>
        <v>0</v>
      </c>
      <c r="M164" s="85">
        <f>$I$77*$M$77</f>
        <v>0</v>
      </c>
      <c r="N164" s="85">
        <f ca="1">$I$77*$N$77</f>
        <v>0</v>
      </c>
      <c r="O164" s="85">
        <f>$I$77*$O$77</f>
        <v>0</v>
      </c>
      <c r="P164" s="85">
        <f>$I$77*$P$77</f>
        <v>0</v>
      </c>
      <c r="Q164" s="85">
        <f>$I$77*$Q$77</f>
        <v>0</v>
      </c>
      <c r="R164" s="85">
        <f>$I$77*$R$77</f>
        <v>0</v>
      </c>
      <c r="S164" s="85">
        <f>$I$77*$S$77</f>
        <v>0</v>
      </c>
      <c r="T164" s="85">
        <f>$I$77*$T$77</f>
        <v>0</v>
      </c>
      <c r="U164" s="85">
        <f>$I$77*$U$77</f>
        <v>0</v>
      </c>
      <c r="V164" s="85">
        <f>$I$77*$V$77</f>
        <v>0</v>
      </c>
      <c r="W164" s="85">
        <f>$I$77*$W$77</f>
        <v>0</v>
      </c>
      <c r="X164" s="85">
        <f>$I$77*$X$77</f>
        <v>0</v>
      </c>
      <c r="Y164" s="85">
        <f>$I$77*$Y$77</f>
        <v>0</v>
      </c>
      <c r="Z164" s="85">
        <f>$I$77*$Z$77</f>
        <v>0</v>
      </c>
      <c r="AA164" s="85">
        <f>$I$77*$AA$77</f>
        <v>0</v>
      </c>
      <c r="AB164" s="85">
        <f ca="1">$I$77*$AB$77</f>
        <v>0</v>
      </c>
      <c r="AC164" s="85">
        <f ca="1">$I$77*$AC$77</f>
        <v>0</v>
      </c>
      <c r="AD164" s="85">
        <f>$I$77*$AD$77</f>
        <v>0</v>
      </c>
      <c r="AE164" s="85">
        <f>$I$77*$AE$77</f>
        <v>0</v>
      </c>
      <c r="AF164" s="85">
        <f ca="1">$I$77*$AF$77</f>
        <v>0</v>
      </c>
      <c r="AG164" s="85">
        <f ca="1">$I$77*$AG$77</f>
        <v>0</v>
      </c>
      <c r="AI164" s="85">
        <f>$I$77*$AI$77</f>
        <v>0</v>
      </c>
      <c r="AJ164" s="85">
        <f>$I$77*$AJ$77</f>
        <v>0</v>
      </c>
      <c r="AK164" s="85">
        <f>$I$77*$AK$77</f>
        <v>0</v>
      </c>
      <c r="AL164" s="85">
        <f>$I$77*$AL$77</f>
        <v>0</v>
      </c>
      <c r="AM164" s="85">
        <f>$I$77*$AM$77</f>
        <v>0</v>
      </c>
      <c r="AN164" s="85">
        <f>$I$77*$AN$77</f>
        <v>0</v>
      </c>
      <c r="AO164" s="85">
        <f>$I$77*$AO$77</f>
        <v>0</v>
      </c>
      <c r="AP164" s="85">
        <f>$I$77*$AP$77</f>
        <v>0</v>
      </c>
      <c r="AQ164" s="85">
        <f>$I$77*$AQ$77</f>
        <v>0</v>
      </c>
      <c r="AR164" s="85">
        <f>$I$77*$AR$77</f>
        <v>0</v>
      </c>
      <c r="AS164" s="85">
        <f>$I$77*$AS$77</f>
        <v>0</v>
      </c>
      <c r="AT164" s="85">
        <f>$I$77*$AT$77</f>
        <v>0</v>
      </c>
      <c r="AU164" s="85">
        <f>$I$77*$AU$77</f>
        <v>0</v>
      </c>
      <c r="AV164" s="85">
        <f>$I$77*$AV$77</f>
        <v>0</v>
      </c>
      <c r="AW164" s="85">
        <f>$I$77*$AW$77</f>
        <v>0</v>
      </c>
      <c r="AX164" s="85">
        <f>$I$77*$AX$77</f>
        <v>0</v>
      </c>
      <c r="AY164" s="85">
        <f>$I$77*$AY$77</f>
        <v>0</v>
      </c>
      <c r="AZ164" s="85">
        <f>$I$77*$AZ$77</f>
        <v>0</v>
      </c>
      <c r="BA164" s="85">
        <f>$I$77*$BA$77</f>
        <v>0</v>
      </c>
      <c r="BB164" s="85">
        <f>$I$77*$BB$77</f>
        <v>0</v>
      </c>
      <c r="BC164" s="85">
        <f>$I$77*$BC$77</f>
        <v>0</v>
      </c>
      <c r="BD164" s="85">
        <f>$I$77*$BD$77</f>
        <v>0</v>
      </c>
    </row>
    <row r="165" spans="1:56" ht="11.25" customHeight="1" x14ac:dyDescent="0.25">
      <c r="A165" s="9" t="s">
        <v>46</v>
      </c>
      <c r="B165" s="9" t="s">
        <v>1483</v>
      </c>
      <c r="C165" s="9" t="s">
        <v>1484</v>
      </c>
      <c r="D165" s="9" t="s">
        <v>1489</v>
      </c>
      <c r="E165" s="9" t="s">
        <v>1490</v>
      </c>
      <c r="F165" s="9" t="s">
        <v>1491</v>
      </c>
      <c r="G165" s="9" t="s">
        <v>1492</v>
      </c>
      <c r="L165" s="85">
        <f>$I$78*$L$78</f>
        <v>0</v>
      </c>
      <c r="M165" s="85">
        <f>$I$78*$M$78</f>
        <v>0</v>
      </c>
      <c r="N165" s="85">
        <f ca="1">$I$78*$N$78</f>
        <v>0</v>
      </c>
      <c r="O165" s="85">
        <f>$I$78*$O$78</f>
        <v>0</v>
      </c>
      <c r="P165" s="85">
        <f>$I$78*$P$78</f>
        <v>0</v>
      </c>
      <c r="Q165" s="85">
        <f>$I$78*$Q$78</f>
        <v>0</v>
      </c>
      <c r="R165" s="85">
        <f>$I$78*$R$78</f>
        <v>0</v>
      </c>
      <c r="S165" s="85">
        <f>$I$78*$S$78</f>
        <v>0</v>
      </c>
      <c r="T165" s="85">
        <f>$I$78*$T$78</f>
        <v>0</v>
      </c>
      <c r="U165" s="85">
        <f>$I$78*$U$78</f>
        <v>0</v>
      </c>
      <c r="V165" s="85">
        <f>$I$78*$V$78</f>
        <v>0</v>
      </c>
      <c r="W165" s="85">
        <f>$I$78*$W$78</f>
        <v>0</v>
      </c>
      <c r="X165" s="85">
        <f>$I$78*$X$78</f>
        <v>0</v>
      </c>
      <c r="Y165" s="85">
        <f>$I$78*$Y$78</f>
        <v>0</v>
      </c>
      <c r="Z165" s="85">
        <f>$I$78*$Z$78</f>
        <v>0</v>
      </c>
      <c r="AA165" s="85">
        <f>$I$78*$AA$78</f>
        <v>0</v>
      </c>
      <c r="AB165" s="85">
        <f ca="1">$I$78*$AB$78</f>
        <v>0</v>
      </c>
      <c r="AC165" s="85">
        <f ca="1">$I$78*$AC$78</f>
        <v>0</v>
      </c>
      <c r="AD165" s="85">
        <f>$I$78*$AD$78</f>
        <v>0</v>
      </c>
      <c r="AE165" s="85">
        <f>$I$78*$AE$78</f>
        <v>0</v>
      </c>
      <c r="AF165" s="85">
        <f ca="1">$I$78*$AF$78</f>
        <v>0</v>
      </c>
      <c r="AG165" s="85">
        <f ca="1">$I$78*$AG$78</f>
        <v>0</v>
      </c>
      <c r="AI165" s="85">
        <f>$I$78*$AI$78</f>
        <v>0</v>
      </c>
      <c r="AJ165" s="85">
        <f>$I$78*$AJ$78</f>
        <v>0</v>
      </c>
      <c r="AK165" s="85">
        <f>$I$78*$AK$78</f>
        <v>0</v>
      </c>
      <c r="AL165" s="85">
        <f>$I$78*$AL$78</f>
        <v>0</v>
      </c>
      <c r="AM165" s="85">
        <f>$I$78*$AM$78</f>
        <v>0</v>
      </c>
      <c r="AN165" s="85">
        <f>$I$78*$AN$78</f>
        <v>0</v>
      </c>
      <c r="AO165" s="85">
        <f>$I$78*$AO$78</f>
        <v>0</v>
      </c>
      <c r="AP165" s="85">
        <f>$I$78*$AP$78</f>
        <v>0</v>
      </c>
      <c r="AQ165" s="85">
        <f>$I$78*$AQ$78</f>
        <v>0</v>
      </c>
      <c r="AR165" s="85">
        <f>$I$78*$AR$78</f>
        <v>0</v>
      </c>
      <c r="AS165" s="85">
        <f>$I$78*$AS$78</f>
        <v>0</v>
      </c>
      <c r="AT165" s="85">
        <f>$I$78*$AT$78</f>
        <v>0</v>
      </c>
      <c r="AU165" s="85">
        <f>$I$78*$AU$78</f>
        <v>0</v>
      </c>
      <c r="AV165" s="85">
        <f>$I$78*$AV$78</f>
        <v>0</v>
      </c>
      <c r="AW165" s="85">
        <f>$I$78*$AW$78</f>
        <v>0</v>
      </c>
      <c r="AX165" s="85">
        <f>$I$78*$AX$78</f>
        <v>0</v>
      </c>
      <c r="AY165" s="85">
        <f>$I$78*$AY$78</f>
        <v>0</v>
      </c>
      <c r="AZ165" s="85">
        <f>$I$78*$AZ$78</f>
        <v>0</v>
      </c>
      <c r="BA165" s="85">
        <f>$I$78*$BA$78</f>
        <v>0</v>
      </c>
      <c r="BB165" s="85">
        <f>$I$78*$BB$78</f>
        <v>0</v>
      </c>
      <c r="BC165" s="85">
        <f>$I$78*$BC$78</f>
        <v>0</v>
      </c>
      <c r="BD165" s="85">
        <f>$I$78*$BD$78</f>
        <v>0</v>
      </c>
    </row>
    <row r="166" spans="1:56" ht="11.25" customHeight="1" x14ac:dyDescent="0.25">
      <c r="A166" s="9" t="s">
        <v>46</v>
      </c>
      <c r="B166" s="9" t="s">
        <v>1483</v>
      </c>
      <c r="C166" s="9" t="s">
        <v>1484</v>
      </c>
      <c r="D166" s="9" t="s">
        <v>1493</v>
      </c>
      <c r="E166" s="9" t="s">
        <v>1494</v>
      </c>
      <c r="F166" s="9" t="s">
        <v>1495</v>
      </c>
      <c r="G166" s="9" t="s">
        <v>1496</v>
      </c>
      <c r="L166" s="85">
        <f>$I$79*$L$79</f>
        <v>0</v>
      </c>
      <c r="M166" s="85">
        <f>$I$79*$M$79</f>
        <v>0</v>
      </c>
      <c r="N166" s="85">
        <f ca="1">$I$79*$N$79</f>
        <v>0</v>
      </c>
      <c r="O166" s="85">
        <f>$I$79*$O$79</f>
        <v>0</v>
      </c>
      <c r="P166" s="85">
        <f>$I$79*$P$79</f>
        <v>0</v>
      </c>
      <c r="Q166" s="85">
        <f>$I$79*$Q$79</f>
        <v>0</v>
      </c>
      <c r="R166" s="85">
        <f>$I$79*$R$79</f>
        <v>0</v>
      </c>
      <c r="S166" s="85">
        <f>$I$79*$S$79</f>
        <v>0</v>
      </c>
      <c r="T166" s="85">
        <f>$I$79*$T$79</f>
        <v>0</v>
      </c>
      <c r="U166" s="85">
        <f>$I$79*$U$79</f>
        <v>0</v>
      </c>
      <c r="V166" s="85">
        <f>$I$79*$V$79</f>
        <v>0</v>
      </c>
      <c r="W166" s="85">
        <f>$I$79*$W$79</f>
        <v>0</v>
      </c>
      <c r="X166" s="85">
        <f>$I$79*$X$79</f>
        <v>0</v>
      </c>
      <c r="Y166" s="85">
        <f>$I$79*$Y$79</f>
        <v>0</v>
      </c>
      <c r="Z166" s="85">
        <f>$I$79*$Z$79</f>
        <v>0</v>
      </c>
      <c r="AA166" s="85">
        <f>$I$79*$AA$79</f>
        <v>0</v>
      </c>
      <c r="AB166" s="85">
        <f ca="1">$I$79*$AB$79</f>
        <v>0</v>
      </c>
      <c r="AC166" s="85">
        <f ca="1">$I$79*$AC$79</f>
        <v>0</v>
      </c>
      <c r="AD166" s="85">
        <f>$I$79*$AD$79</f>
        <v>0</v>
      </c>
      <c r="AE166" s="85">
        <f>$I$79*$AE$79</f>
        <v>0</v>
      </c>
      <c r="AF166" s="85">
        <f ca="1">$I$79*$AF$79</f>
        <v>0</v>
      </c>
      <c r="AG166" s="85">
        <f ca="1">$I$79*$AG$79</f>
        <v>0</v>
      </c>
      <c r="AI166" s="85">
        <f>$I$79*$AI$79</f>
        <v>0</v>
      </c>
      <c r="AJ166" s="85">
        <f>$I$79*$AJ$79</f>
        <v>0</v>
      </c>
      <c r="AK166" s="85">
        <f>$I$79*$AK$79</f>
        <v>0</v>
      </c>
      <c r="AL166" s="85">
        <f>$I$79*$AL$79</f>
        <v>0</v>
      </c>
      <c r="AM166" s="85">
        <f>$I$79*$AM$79</f>
        <v>0</v>
      </c>
      <c r="AN166" s="85">
        <f>$I$79*$AN$79</f>
        <v>0</v>
      </c>
      <c r="AO166" s="85">
        <f>$I$79*$AO$79</f>
        <v>0</v>
      </c>
      <c r="AP166" s="85">
        <f>$I$79*$AP$79</f>
        <v>0</v>
      </c>
      <c r="AQ166" s="85">
        <f>$I$79*$AQ$79</f>
        <v>0</v>
      </c>
      <c r="AR166" s="85">
        <f>$I$79*$AR$79</f>
        <v>0</v>
      </c>
      <c r="AS166" s="85">
        <f>$I$79*$AS$79</f>
        <v>0</v>
      </c>
      <c r="AT166" s="85">
        <f>$I$79*$AT$79</f>
        <v>0</v>
      </c>
      <c r="AU166" s="85">
        <f>$I$79*$AU$79</f>
        <v>0</v>
      </c>
      <c r="AV166" s="85">
        <f>$I$79*$AV$79</f>
        <v>0</v>
      </c>
      <c r="AW166" s="85">
        <f>$I$79*$AW$79</f>
        <v>0</v>
      </c>
      <c r="AX166" s="85">
        <f>$I$79*$AX$79</f>
        <v>0</v>
      </c>
      <c r="AY166" s="85">
        <f>$I$79*$AY$79</f>
        <v>0</v>
      </c>
      <c r="AZ166" s="85">
        <f>$I$79*$AZ$79</f>
        <v>0</v>
      </c>
      <c r="BA166" s="85">
        <f>$I$79*$BA$79</f>
        <v>0</v>
      </c>
      <c r="BB166" s="85">
        <f>$I$79*$BB$79</f>
        <v>0</v>
      </c>
      <c r="BC166" s="85">
        <f>$I$79*$BC$79</f>
        <v>0</v>
      </c>
      <c r="BD166" s="85">
        <f>$I$79*$BD$79</f>
        <v>0</v>
      </c>
    </row>
    <row r="167" spans="1:56" ht="11.25" customHeight="1" x14ac:dyDescent="0.25">
      <c r="A167" s="9" t="s">
        <v>39</v>
      </c>
      <c r="B167" s="9" t="s">
        <v>1497</v>
      </c>
      <c r="C167" s="9" t="s">
        <v>1498</v>
      </c>
      <c r="D167" s="9" t="s">
        <v>1499</v>
      </c>
      <c r="E167" s="9" t="s">
        <v>1500</v>
      </c>
      <c r="F167" s="9" t="s">
        <v>1501</v>
      </c>
      <c r="G167" s="9" t="s">
        <v>1502</v>
      </c>
      <c r="L167" s="85">
        <f>$I$80*$L$80</f>
        <v>0</v>
      </c>
      <c r="M167" s="85">
        <f>$I$80*$M$80</f>
        <v>52.737416179549982</v>
      </c>
      <c r="N167" s="85">
        <f ca="1">$I$80*$N$80</f>
        <v>733.79432340516462</v>
      </c>
      <c r="O167" s="85">
        <f>$I$80*$O$80</f>
        <v>0</v>
      </c>
      <c r="P167" s="85">
        <f>$I$80*$P$80</f>
        <v>0</v>
      </c>
      <c r="Q167" s="85">
        <f>$I$80*$Q$80</f>
        <v>8871.7262554551144</v>
      </c>
      <c r="R167" s="85">
        <f>$I$80*$R$80</f>
        <v>932.61410846212755</v>
      </c>
      <c r="S167" s="85">
        <f>$I$80*$S$80</f>
        <v>0</v>
      </c>
      <c r="T167" s="85">
        <f>$I$80*$T$80</f>
        <v>17537.822056419514</v>
      </c>
      <c r="U167" s="85">
        <f>$I$80*$U$80</f>
        <v>4713.7731283116418</v>
      </c>
      <c r="V167" s="85">
        <f>$I$80*$V$80</f>
        <v>569.80185610661647</v>
      </c>
      <c r="W167" s="85">
        <f>$I$80*$W$80</f>
        <v>0</v>
      </c>
      <c r="X167" s="85">
        <f>$I$80*$X$80</f>
        <v>0</v>
      </c>
      <c r="Y167" s="85">
        <f>$I$80*$Y$80</f>
        <v>0</v>
      </c>
      <c r="Z167" s="85">
        <f>$I$80*$Z$80</f>
        <v>0</v>
      </c>
      <c r="AA167" s="85">
        <f>$I$80*$AA$80</f>
        <v>45374.902191209083</v>
      </c>
      <c r="AB167" s="85">
        <f ca="1">$I$80*$AB$80</f>
        <v>0</v>
      </c>
      <c r="AC167" s="85">
        <f ca="1">$I$80*$AC$80</f>
        <v>0</v>
      </c>
      <c r="AD167" s="85">
        <f>$I$80*$AD$80</f>
        <v>2988.2362626406089</v>
      </c>
      <c r="AE167" s="85">
        <f>$I$80*$AE$80</f>
        <v>112.32285701156697</v>
      </c>
      <c r="AF167" s="85">
        <f ca="1">$I$80*$AF$80</f>
        <v>1407.5400373026835</v>
      </c>
      <c r="AG167" s="85">
        <f ca="1">$I$80*$AG$80</f>
        <v>361.78485746465918</v>
      </c>
      <c r="AI167" s="85">
        <f>$I$80*$AI$80</f>
        <v>0</v>
      </c>
      <c r="AJ167" s="85">
        <f>$I$80*$AJ$80</f>
        <v>54.538487310175434</v>
      </c>
      <c r="AK167" s="85">
        <f>$I$80*$AK$80</f>
        <v>762.06945221724425</v>
      </c>
      <c r="AL167" s="85">
        <f>$I$80*$AL$80</f>
        <v>0</v>
      </c>
      <c r="AM167" s="85">
        <f>$I$80*$AM$80</f>
        <v>0</v>
      </c>
      <c r="AN167" s="85">
        <f>$I$80*$AN$80</f>
        <v>7185.0594996067011</v>
      </c>
      <c r="AO167" s="85">
        <f>$I$80*$AO$80</f>
        <v>1363.1970404328995</v>
      </c>
      <c r="AP167" s="85">
        <f>$I$80*$AP$80</f>
        <v>0</v>
      </c>
      <c r="AQ167" s="85">
        <f>$I$80*$AQ$80</f>
        <v>11062.879558410941</v>
      </c>
      <c r="AR167" s="85">
        <f>$I$80*$AR$80</f>
        <v>3186.5936596691467</v>
      </c>
      <c r="AS167" s="85">
        <f>$I$80*$AS$80</f>
        <v>369.43996905054161</v>
      </c>
      <c r="AT167" s="85">
        <f>$I$80*$AT$80</f>
        <v>0</v>
      </c>
      <c r="AU167" s="85">
        <f>$I$80*$AU$80</f>
        <v>0</v>
      </c>
      <c r="AV167" s="85">
        <f>$I$80*$AV$80</f>
        <v>0</v>
      </c>
      <c r="AW167" s="85">
        <f>$I$80*$AW$80</f>
        <v>0</v>
      </c>
      <c r="AX167" s="85">
        <f>$I$80*$AX$80</f>
        <v>44014.761945465434</v>
      </c>
      <c r="AY167" s="85">
        <f>$I$80*$AY$80</f>
        <v>0</v>
      </c>
      <c r="AZ167" s="85">
        <f>$I$80*$AZ$80</f>
        <v>0</v>
      </c>
      <c r="BA167" s="85">
        <f>$I$80*$BA$80</f>
        <v>3599.9300786205699</v>
      </c>
      <c r="BB167" s="85">
        <f>$I$80*$BB$80</f>
        <v>134.73589347785801</v>
      </c>
      <c r="BC167" s="85">
        <f>$I$80*$BC$80</f>
        <v>1700.1990065419291</v>
      </c>
      <c r="BD167" s="85">
        <f>$I$80*$BD$80</f>
        <v>354.90772521849493</v>
      </c>
    </row>
    <row r="168" spans="1:56" ht="11.25" customHeight="1" x14ac:dyDescent="0.25">
      <c r="A168" s="9" t="s">
        <v>39</v>
      </c>
      <c r="B168" s="9" t="s">
        <v>1497</v>
      </c>
      <c r="C168" s="9" t="s">
        <v>1498</v>
      </c>
      <c r="D168" s="9" t="s">
        <v>1499</v>
      </c>
      <c r="E168" s="9" t="s">
        <v>1500</v>
      </c>
      <c r="F168" s="9" t="s">
        <v>1501</v>
      </c>
      <c r="G168" s="9" t="s">
        <v>1503</v>
      </c>
      <c r="L168" s="85">
        <f>$I$81*$L$81</f>
        <v>0</v>
      </c>
      <c r="M168" s="85">
        <f>$I$81*$M$81</f>
        <v>20.65530060120857</v>
      </c>
      <c r="N168" s="85">
        <f ca="1">$I$81*$N$81</f>
        <v>189.34750558643577</v>
      </c>
      <c r="O168" s="85">
        <f>$I$81*$O$81</f>
        <v>0</v>
      </c>
      <c r="P168" s="85">
        <f>$I$81*$P$81</f>
        <v>0</v>
      </c>
      <c r="Q168" s="85">
        <f>$I$81*$Q$81</f>
        <v>3474.7279243672569</v>
      </c>
      <c r="R168" s="85">
        <f>$I$81*$R$81</f>
        <v>365.27054510272285</v>
      </c>
      <c r="S168" s="85">
        <f>$I$81*$S$81</f>
        <v>0</v>
      </c>
      <c r="T168" s="85">
        <f>$I$81*$T$81</f>
        <v>4121.3371049621883</v>
      </c>
      <c r="U168" s="85">
        <f>$I$81*$U$81</f>
        <v>1107.7164572059025</v>
      </c>
      <c r="V168" s="85">
        <f>$I$81*$V$81</f>
        <v>133.90222131025746</v>
      </c>
      <c r="W168" s="85">
        <f>$I$81*$W$81</f>
        <v>0</v>
      </c>
      <c r="X168" s="85">
        <f>$I$81*$X$81</f>
        <v>0</v>
      </c>
      <c r="Y168" s="85">
        <f>$I$81*$Y$81</f>
        <v>0</v>
      </c>
      <c r="Z168" s="85">
        <f>$I$81*$Z$81</f>
        <v>0</v>
      </c>
      <c r="AA168" s="85">
        <f>$I$81*$AA$81</f>
        <v>10663.004068364324</v>
      </c>
      <c r="AB168" s="85">
        <f ca="1">$I$81*$AB$81</f>
        <v>0</v>
      </c>
      <c r="AC168" s="85">
        <f ca="1">$I$81*$AC$81</f>
        <v>0</v>
      </c>
      <c r="AD168" s="85">
        <f>$I$81*$AD$81</f>
        <v>1170.3819175010731</v>
      </c>
      <c r="AE168" s="85">
        <f>$I$81*$AE$81</f>
        <v>43.992719856839237</v>
      </c>
      <c r="AF168" s="85">
        <f ca="1">$I$81*$AF$81</f>
        <v>551.2815129156246</v>
      </c>
      <c r="AG168" s="85">
        <f ca="1">$I$81*$AG$81</f>
        <v>141.69778357089203</v>
      </c>
      <c r="AI168" s="85">
        <f>$I$81*$AI$81</f>
        <v>0</v>
      </c>
      <c r="AJ168" s="85">
        <f>$I$81*$AJ$81</f>
        <v>21.360713727262574</v>
      </c>
      <c r="AK168" s="85">
        <f>$I$81*$AK$81</f>
        <v>196.14043908038127</v>
      </c>
      <c r="AL168" s="85">
        <f>$I$81*$AL$81</f>
        <v>0</v>
      </c>
      <c r="AM168" s="85">
        <f>$I$81*$AM$81</f>
        <v>0</v>
      </c>
      <c r="AN168" s="85">
        <f>$I$81*$AN$81</f>
        <v>2814.1227718982282</v>
      </c>
      <c r="AO168" s="85">
        <f>$I$81*$AO$81</f>
        <v>533.91399671449904</v>
      </c>
      <c r="AP168" s="85">
        <f>$I$81*$AP$81</f>
        <v>0</v>
      </c>
      <c r="AQ168" s="85">
        <f>$I$81*$AQ$81</f>
        <v>2599.7444759748628</v>
      </c>
      <c r="AR168" s="85">
        <f>$I$81*$AR$81</f>
        <v>748.8358355735694</v>
      </c>
      <c r="AS168" s="85">
        <f>$I$81*$AS$81</f>
        <v>86.817605043750888</v>
      </c>
      <c r="AT168" s="85">
        <f>$I$81*$AT$81</f>
        <v>0</v>
      </c>
      <c r="AU168" s="85">
        <f>$I$81*$AU$81</f>
        <v>0</v>
      </c>
      <c r="AV168" s="85">
        <f>$I$81*$AV$81</f>
        <v>0</v>
      </c>
      <c r="AW168" s="85">
        <f>$I$81*$AW$81</f>
        <v>0</v>
      </c>
      <c r="AX168" s="85">
        <f>$I$81*$AX$81</f>
        <v>10343.37404662249</v>
      </c>
      <c r="AY168" s="85">
        <f>$I$81*$AY$81</f>
        <v>0</v>
      </c>
      <c r="AZ168" s="85">
        <f>$I$81*$AZ$81</f>
        <v>0</v>
      </c>
      <c r="BA168" s="85">
        <f>$I$81*$BA$81</f>
        <v>1409.9598217721175</v>
      </c>
      <c r="BB168" s="85">
        <f>$I$81*$BB$81</f>
        <v>52.771079494727772</v>
      </c>
      <c r="BC168" s="85">
        <f>$I$81*$BC$81</f>
        <v>665.90523590379269</v>
      </c>
      <c r="BD168" s="85">
        <f>$I$81*$BD$81</f>
        <v>139.00426454570567</v>
      </c>
    </row>
    <row r="169" spans="1:56" ht="11.25" customHeight="1" x14ac:dyDescent="0.25">
      <c r="A169" s="9" t="s">
        <v>39</v>
      </c>
      <c r="B169" s="9" t="s">
        <v>1497</v>
      </c>
      <c r="C169" s="9" t="s">
        <v>1498</v>
      </c>
      <c r="D169" s="9" t="s">
        <v>1499</v>
      </c>
      <c r="E169" s="9" t="s">
        <v>1500</v>
      </c>
      <c r="F169" s="9" t="s">
        <v>1501</v>
      </c>
      <c r="G169" s="9" t="s">
        <v>1504</v>
      </c>
      <c r="L169" s="85">
        <f>$I$82*$L$82</f>
        <v>0</v>
      </c>
      <c r="M169" s="85">
        <f>$I$82*$M$82</f>
        <v>1646.0559156329959</v>
      </c>
      <c r="N169" s="85">
        <f ca="1">$I$82*$N$82</f>
        <v>7275.4527819399345</v>
      </c>
      <c r="O169" s="85">
        <f>$I$82*$O$82</f>
        <v>0</v>
      </c>
      <c r="P169" s="85">
        <f>$I$82*$P$82</f>
        <v>0</v>
      </c>
      <c r="Q169" s="85">
        <f>$I$82*$Q$82</f>
        <v>276906.95795466774</v>
      </c>
      <c r="R169" s="85">
        <f>$I$82*$R$82</f>
        <v>29109.028872600658</v>
      </c>
      <c r="S169" s="85">
        <f>$I$82*$S$82</f>
        <v>0</v>
      </c>
      <c r="T169" s="85">
        <f>$I$82*$T$82</f>
        <v>109479.68872982962</v>
      </c>
      <c r="U169" s="85">
        <f>$I$82*$U$82</f>
        <v>29425.943250266981</v>
      </c>
      <c r="V169" s="85">
        <f>$I$82*$V$82</f>
        <v>3556.9649934676077</v>
      </c>
      <c r="W169" s="85">
        <f>$I$82*$W$82</f>
        <v>0</v>
      </c>
      <c r="X169" s="85">
        <f>$I$82*$X$82</f>
        <v>0</v>
      </c>
      <c r="Y169" s="85">
        <f>$I$82*$Y$82</f>
        <v>0</v>
      </c>
      <c r="Z169" s="85">
        <f>$I$82*$Z$82</f>
        <v>0</v>
      </c>
      <c r="AA169" s="85">
        <f>$I$82*$AA$82</f>
        <v>283250.79625323543</v>
      </c>
      <c r="AB169" s="85">
        <f ca="1">$I$82*$AB$82</f>
        <v>0</v>
      </c>
      <c r="AC169" s="85">
        <f ca="1">$I$82*$AC$82</f>
        <v>0</v>
      </c>
      <c r="AD169" s="85">
        <f>$I$82*$AD$82</f>
        <v>93269.718802340125</v>
      </c>
      <c r="AE169" s="85">
        <f>$I$82*$AE$82</f>
        <v>3505.8544130264718</v>
      </c>
      <c r="AF169" s="85">
        <f ca="1">$I$82*$AF$82</f>
        <v>43932.55818609467</v>
      </c>
      <c r="AG169" s="85">
        <f ca="1">$I$82*$AG$82</f>
        <v>11292.136550426354</v>
      </c>
      <c r="AI169" s="85">
        <f>$I$82*$AI$82</f>
        <v>0</v>
      </c>
      <c r="AJ169" s="85">
        <f>$I$82*$AJ$82</f>
        <v>1702.2714833230841</v>
      </c>
      <c r="AK169" s="85">
        <f>$I$82*$AK$82</f>
        <v>7475.6023491855758</v>
      </c>
      <c r="AL169" s="85">
        <f>$I$82*$AL$82</f>
        <v>0</v>
      </c>
      <c r="AM169" s="85">
        <f>$I$82*$AM$82</f>
        <v>0</v>
      </c>
      <c r="AN169" s="85">
        <f>$I$82*$AN$82</f>
        <v>224262.21362905586</v>
      </c>
      <c r="AO169" s="85">
        <f>$I$82*$AO$82</f>
        <v>42548.511382096964</v>
      </c>
      <c r="AP169" s="85">
        <f>$I$82*$AP$82</f>
        <v>0</v>
      </c>
      <c r="AQ169" s="85">
        <f>$I$82*$AQ$82</f>
        <v>69059.921272670064</v>
      </c>
      <c r="AR169" s="85">
        <f>$I$82*$AR$82</f>
        <v>19892.455924086982</v>
      </c>
      <c r="AS169" s="85">
        <f>$I$82*$AS$82</f>
        <v>2306.2140339091002</v>
      </c>
      <c r="AT169" s="85">
        <f>$I$82*$AT$82</f>
        <v>0</v>
      </c>
      <c r="AU169" s="85">
        <f>$I$82*$AU$82</f>
        <v>0</v>
      </c>
      <c r="AV169" s="85">
        <f>$I$82*$AV$82</f>
        <v>0</v>
      </c>
      <c r="AW169" s="85">
        <f>$I$82*$AW$82</f>
        <v>0</v>
      </c>
      <c r="AX169" s="85">
        <f>$I$82*$AX$82</f>
        <v>274760.1816399087</v>
      </c>
      <c r="AY169" s="85">
        <f>$I$82*$AY$82</f>
        <v>0</v>
      </c>
      <c r="AZ169" s="85">
        <f>$I$82*$AZ$82</f>
        <v>0</v>
      </c>
      <c r="BA169" s="85">
        <f>$I$82*$BA$82</f>
        <v>112362.08807811014</v>
      </c>
      <c r="BB169" s="85">
        <f>$I$82*$BB$82</f>
        <v>4205.4167718843655</v>
      </c>
      <c r="BC169" s="85">
        <f>$I$82*$BC$82</f>
        <v>53067.116958166574</v>
      </c>
      <c r="BD169" s="85">
        <f>$I$82*$BD$82</f>
        <v>11077.485453796051</v>
      </c>
    </row>
    <row r="170" spans="1:56" ht="11.25" customHeight="1" x14ac:dyDescent="0.25">
      <c r="A170" s="9" t="s">
        <v>39</v>
      </c>
      <c r="B170" s="9" t="s">
        <v>1505</v>
      </c>
      <c r="C170" s="9" t="s">
        <v>1506</v>
      </c>
      <c r="D170" s="9" t="s">
        <v>1507</v>
      </c>
      <c r="E170" s="9" t="s">
        <v>1508</v>
      </c>
      <c r="F170" s="9" t="s">
        <v>1509</v>
      </c>
      <c r="G170" s="9" t="s">
        <v>1510</v>
      </c>
      <c r="L170" s="85">
        <f>$I$83*$L$83</f>
        <v>0</v>
      </c>
      <c r="M170" s="85">
        <f>$I$83*$M$83</f>
        <v>407557.20858849614</v>
      </c>
      <c r="N170" s="85">
        <f ca="1">$I$83*$N$83</f>
        <v>2345512.0373465782</v>
      </c>
      <c r="O170" s="85">
        <f>$I$83*$O$83</f>
        <v>0</v>
      </c>
      <c r="P170" s="85">
        <f>$I$83*$P$83</f>
        <v>0</v>
      </c>
      <c r="Q170" s="85">
        <f>$I$83*$Q$83</f>
        <v>68561113.720937923</v>
      </c>
      <c r="R170" s="85">
        <f>$I$83*$R$83</f>
        <v>7207285.2686033333</v>
      </c>
      <c r="S170" s="85">
        <f>$I$83*$S$83</f>
        <v>0</v>
      </c>
      <c r="T170" s="85">
        <f>$I$83*$T$83</f>
        <v>42353968.953064524</v>
      </c>
      <c r="U170" s="85">
        <f>$I$83*$U$83</f>
        <v>11383987.606055953</v>
      </c>
      <c r="V170" s="85">
        <f>$I$83*$V$83</f>
        <v>1375809.0085194432</v>
      </c>
      <c r="W170" s="85">
        <f>$I$83*$W$83</f>
        <v>0</v>
      </c>
      <c r="X170" s="85">
        <f>$I$83*$X$83</f>
        <v>0</v>
      </c>
      <c r="Y170" s="85">
        <f>$I$83*$Y$83</f>
        <v>0</v>
      </c>
      <c r="Z170" s="85">
        <f>$I$83*$Z$83</f>
        <v>0</v>
      </c>
      <c r="AA170" s="85">
        <f>$I$83*$AA$83</f>
        <v>109581086.31843549</v>
      </c>
      <c r="AB170" s="85">
        <f ca="1">$I$83*$AB$83</f>
        <v>0</v>
      </c>
      <c r="AC170" s="85">
        <f ca="1">$I$83*$AC$83</f>
        <v>0</v>
      </c>
      <c r="AD170" s="85">
        <f>$I$83*$AD$83</f>
        <v>23093229.020897381</v>
      </c>
      <c r="AE170" s="85">
        <f>$I$83*$AE$83</f>
        <v>868036.27065200021</v>
      </c>
      <c r="AF170" s="85">
        <f ca="1">$I$83*$AF$83</f>
        <v>10877534.967328854</v>
      </c>
      <c r="AG170" s="85">
        <f ca="1">$I$83*$AG$83</f>
        <v>2795890.2293559737</v>
      </c>
      <c r="AI170" s="85">
        <f>$I$83*$AI$83</f>
        <v>0</v>
      </c>
      <c r="AJ170" s="85">
        <f>$I$83*$AJ$83</f>
        <v>421475.97017453826</v>
      </c>
      <c r="AK170" s="85">
        <f>$I$83*$AK$83</f>
        <v>2418827.642248265</v>
      </c>
      <c r="AL170" s="85">
        <f>$I$83*$AL$83</f>
        <v>0</v>
      </c>
      <c r="AM170" s="85">
        <f>$I$83*$AM$83</f>
        <v>0</v>
      </c>
      <c r="AN170" s="85">
        <f>$I$83*$AN$83</f>
        <v>55526474.471790321</v>
      </c>
      <c r="AO170" s="85">
        <f>$I$83*$AO$83</f>
        <v>10534850.222153464</v>
      </c>
      <c r="AP170" s="85">
        <f>$I$83*$AP$83</f>
        <v>0</v>
      </c>
      <c r="AQ170" s="85">
        <f>$I$83*$AQ$83</f>
        <v>26716935.309360154</v>
      </c>
      <c r="AR170" s="85">
        <f>$I$83*$AR$83</f>
        <v>7695776.1308727302</v>
      </c>
      <c r="AS170" s="85">
        <f>$I$83*$AS$83</f>
        <v>892027.3461372765</v>
      </c>
      <c r="AT170" s="85">
        <f>$I$83*$AT$83</f>
        <v>0</v>
      </c>
      <c r="AU170" s="85">
        <f>$I$83*$AU$83</f>
        <v>0</v>
      </c>
      <c r="AV170" s="85">
        <f>$I$83*$AV$83</f>
        <v>0</v>
      </c>
      <c r="AW170" s="85">
        <f>$I$83*$AW$83</f>
        <v>0</v>
      </c>
      <c r="AX170" s="85">
        <f>$I$83*$AX$83</f>
        <v>106296326.71617891</v>
      </c>
      <c r="AY170" s="85">
        <f>$I$83*$AY$83</f>
        <v>0</v>
      </c>
      <c r="AZ170" s="85">
        <f>$I$83*$AZ$83</f>
        <v>0</v>
      </c>
      <c r="BA170" s="85">
        <f>$I$83*$BA$83</f>
        <v>27820427.321680073</v>
      </c>
      <c r="BB170" s="85">
        <f>$I$83*$BB$83</f>
        <v>1041245.2603964746</v>
      </c>
      <c r="BC170" s="85">
        <f>$I$83*$BC$83</f>
        <v>13139217.11279932</v>
      </c>
      <c r="BD170" s="85">
        <f>$I$83*$BD$83</f>
        <v>2742743.4310411275</v>
      </c>
    </row>
    <row r="171" spans="1:56" ht="11.25" customHeight="1" x14ac:dyDescent="0.25">
      <c r="A171" s="9" t="s">
        <v>39</v>
      </c>
      <c r="B171" s="9" t="s">
        <v>1511</v>
      </c>
      <c r="C171" s="9" t="s">
        <v>1512</v>
      </c>
      <c r="D171" s="9" t="s">
        <v>1513</v>
      </c>
      <c r="E171" s="9" t="s">
        <v>1514</v>
      </c>
      <c r="F171" s="9" t="s">
        <v>1515</v>
      </c>
      <c r="G171" s="9" t="s">
        <v>1516</v>
      </c>
      <c r="L171" s="85">
        <f>$I$84*$L$84</f>
        <v>0</v>
      </c>
      <c r="M171" s="85">
        <f>$I$84*$M$84</f>
        <v>0</v>
      </c>
      <c r="N171" s="85">
        <f ca="1">$I$84*$N$84</f>
        <v>0</v>
      </c>
      <c r="O171" s="85">
        <f>$I$84*$O$84</f>
        <v>0</v>
      </c>
      <c r="P171" s="85">
        <f>$I$84*$P$84</f>
        <v>0</v>
      </c>
      <c r="Q171" s="85">
        <f>$I$84*$Q$84</f>
        <v>0</v>
      </c>
      <c r="R171" s="85">
        <f>$I$84*$R$84</f>
        <v>0</v>
      </c>
      <c r="S171" s="85">
        <f>$I$84*$S$84</f>
        <v>0</v>
      </c>
      <c r="T171" s="85">
        <f>$I$84*$T$84</f>
        <v>0</v>
      </c>
      <c r="U171" s="85">
        <f>$I$84*$U$84</f>
        <v>0</v>
      </c>
      <c r="V171" s="85">
        <f>$I$84*$V$84</f>
        <v>0</v>
      </c>
      <c r="W171" s="85">
        <f>$I$84*$W$84</f>
        <v>0</v>
      </c>
      <c r="X171" s="85">
        <f>$I$84*$X$84</f>
        <v>0</v>
      </c>
      <c r="Y171" s="85">
        <f>$I$84*$Y$84</f>
        <v>0</v>
      </c>
      <c r="Z171" s="85">
        <f>$I$84*$Z$84</f>
        <v>0</v>
      </c>
      <c r="AA171" s="85">
        <f>$I$84*$AA$84</f>
        <v>0</v>
      </c>
      <c r="AB171" s="85">
        <f ca="1">$I$84*$AB$84</f>
        <v>0</v>
      </c>
      <c r="AC171" s="85">
        <f ca="1">$I$84*$AC$84</f>
        <v>0</v>
      </c>
      <c r="AD171" s="85">
        <f>$I$84*$AD$84</f>
        <v>0</v>
      </c>
      <c r="AE171" s="85">
        <f>$I$84*$AE$84</f>
        <v>0</v>
      </c>
      <c r="AF171" s="85">
        <f ca="1">$I$84*$AF$84</f>
        <v>0</v>
      </c>
      <c r="AG171" s="85">
        <f ca="1">$I$84*$AG$84</f>
        <v>0</v>
      </c>
      <c r="AI171" s="85">
        <f>$I$84*$AI$84</f>
        <v>0</v>
      </c>
      <c r="AJ171" s="85">
        <f>$I$84*$AJ$84</f>
        <v>0</v>
      </c>
      <c r="AK171" s="85">
        <f>$I$84*$AK$84</f>
        <v>0</v>
      </c>
      <c r="AL171" s="85">
        <f>$I$84*$AL$84</f>
        <v>0</v>
      </c>
      <c r="AM171" s="85">
        <f>$I$84*$AM$84</f>
        <v>0</v>
      </c>
      <c r="AN171" s="85">
        <f>$I$84*$AN$84</f>
        <v>0</v>
      </c>
      <c r="AO171" s="85">
        <f>$I$84*$AO$84</f>
        <v>0</v>
      </c>
      <c r="AP171" s="85">
        <f>$I$84*$AP$84</f>
        <v>0</v>
      </c>
      <c r="AQ171" s="85">
        <f>$I$84*$AQ$84</f>
        <v>0</v>
      </c>
      <c r="AR171" s="85">
        <f>$I$84*$AR$84</f>
        <v>0</v>
      </c>
      <c r="AS171" s="85">
        <f>$I$84*$AS$84</f>
        <v>0</v>
      </c>
      <c r="AT171" s="85">
        <f>$I$84*$AT$84</f>
        <v>0</v>
      </c>
      <c r="AU171" s="85">
        <f>$I$84*$AU$84</f>
        <v>0</v>
      </c>
      <c r="AV171" s="85">
        <f>$I$84*$AV$84</f>
        <v>0</v>
      </c>
      <c r="AW171" s="85">
        <f>$I$84*$AW$84</f>
        <v>0</v>
      </c>
      <c r="AX171" s="85">
        <f>$I$84*$AX$84</f>
        <v>0</v>
      </c>
      <c r="AY171" s="85">
        <f>$I$84*$AY$84</f>
        <v>0</v>
      </c>
      <c r="AZ171" s="85">
        <f>$I$84*$AZ$84</f>
        <v>0</v>
      </c>
      <c r="BA171" s="85">
        <f>$I$84*$BA$84</f>
        <v>0</v>
      </c>
      <c r="BB171" s="85">
        <f>$I$84*$BB$84</f>
        <v>0</v>
      </c>
      <c r="BC171" s="85">
        <f>$I$84*$BC$84</f>
        <v>0</v>
      </c>
      <c r="BD171" s="85">
        <f>$I$84*$BD$84</f>
        <v>0</v>
      </c>
    </row>
    <row r="172" spans="1:56" ht="11.25" customHeight="1" x14ac:dyDescent="0.25">
      <c r="A172" s="9" t="s">
        <v>49</v>
      </c>
      <c r="B172" s="9" t="s">
        <v>1517</v>
      </c>
      <c r="C172" s="9" t="s">
        <v>1518</v>
      </c>
      <c r="D172" s="9" t="s">
        <v>1519</v>
      </c>
      <c r="E172" s="9" t="s">
        <v>1520</v>
      </c>
      <c r="F172" s="9" t="s">
        <v>1521</v>
      </c>
      <c r="G172" s="9" t="s">
        <v>1522</v>
      </c>
      <c r="L172" s="85">
        <f>$I$85*$L$85</f>
        <v>0</v>
      </c>
      <c r="M172" s="85">
        <f>$I$85*$M$85</f>
        <v>90728.594109662794</v>
      </c>
      <c r="N172" s="85">
        <f ca="1">$I$85*$N$85</f>
        <v>522147.57862524217</v>
      </c>
      <c r="O172" s="85">
        <f>$I$85*$O$85</f>
        <v>0</v>
      </c>
      <c r="P172" s="85">
        <f>$I$85*$P$85</f>
        <v>0</v>
      </c>
      <c r="Q172" s="85">
        <f>$I$85*$Q$85</f>
        <v>15262773.734359587</v>
      </c>
      <c r="R172" s="85">
        <f>$I$85*$R$85</f>
        <v>1604454.1624778449</v>
      </c>
      <c r="S172" s="85">
        <f>$I$85*$S$85</f>
        <v>0</v>
      </c>
      <c r="T172" s="85">
        <f>$I$85*$T$85</f>
        <v>9428654.375626022</v>
      </c>
      <c r="U172" s="85">
        <f>$I$85*$U$85</f>
        <v>2534253.2755987579</v>
      </c>
      <c r="V172" s="85">
        <f>$I$85*$V$85</f>
        <v>306276.55326889874</v>
      </c>
      <c r="W172" s="85">
        <f>$I$85*$W$85</f>
        <v>0</v>
      </c>
      <c r="X172" s="85">
        <f>$I$85*$X$85</f>
        <v>0</v>
      </c>
      <c r="Y172" s="85">
        <f>$I$85*$Y$85</f>
        <v>0</v>
      </c>
      <c r="Z172" s="85">
        <f>$I$85*$Z$85</f>
        <v>0</v>
      </c>
      <c r="AA172" s="85">
        <f>$I$85*$AA$85</f>
        <v>24394459.705703974</v>
      </c>
      <c r="AB172" s="85">
        <f ca="1">$I$85*$AB$85</f>
        <v>0</v>
      </c>
      <c r="AC172" s="85">
        <f ca="1">$I$85*$AC$85</f>
        <v>0</v>
      </c>
      <c r="AD172" s="85">
        <f>$I$85*$AD$85</f>
        <v>5140913.1242578262</v>
      </c>
      <c r="AE172" s="85">
        <f>$I$85*$AE$85</f>
        <v>193238.41858964419</v>
      </c>
      <c r="AF172" s="85">
        <f ca="1">$I$85*$AF$85</f>
        <v>2421509.015586826</v>
      </c>
      <c r="AG172" s="85">
        <f ca="1">$I$85*$AG$85</f>
        <v>622408.79181831342</v>
      </c>
      <c r="AI172" s="85">
        <f>$I$85*$AI$85</f>
        <v>0</v>
      </c>
      <c r="AJ172" s="85">
        <f>$I$85*$AJ$85</f>
        <v>93827.127625541121</v>
      </c>
      <c r="AK172" s="85">
        <f>$I$85*$AK$85</f>
        <v>538468.77628499304</v>
      </c>
      <c r="AL172" s="85">
        <f>$I$85*$AL$85</f>
        <v>0</v>
      </c>
      <c r="AM172" s="85">
        <f>$I$85*$AM$85</f>
        <v>0</v>
      </c>
      <c r="AN172" s="85">
        <f>$I$85*$AN$85</f>
        <v>12361059.646421909</v>
      </c>
      <c r="AO172" s="85">
        <f>$I$85*$AO$85</f>
        <v>2345222.0440957095</v>
      </c>
      <c r="AP172" s="85">
        <f>$I$85*$AP$85</f>
        <v>0</v>
      </c>
      <c r="AQ172" s="85">
        <f>$I$85*$AQ$85</f>
        <v>5947606.6879840707</v>
      </c>
      <c r="AR172" s="85">
        <f>$I$85*$AR$85</f>
        <v>1713199.8507767089</v>
      </c>
      <c r="AS172" s="85">
        <f>$I$85*$AS$85</f>
        <v>198579.20634677028</v>
      </c>
      <c r="AT172" s="85">
        <f>$I$85*$AT$85</f>
        <v>0</v>
      </c>
      <c r="AU172" s="85">
        <f>$I$85*$AU$85</f>
        <v>0</v>
      </c>
      <c r="AV172" s="85">
        <f>$I$85*$AV$85</f>
        <v>0</v>
      </c>
      <c r="AW172" s="85">
        <f>$I$85*$AW$85</f>
        <v>0</v>
      </c>
      <c r="AX172" s="85">
        <f>$I$85*$AX$85</f>
        <v>23663220.963214133</v>
      </c>
      <c r="AY172" s="85">
        <f>$I$85*$AY$85</f>
        <v>0</v>
      </c>
      <c r="AZ172" s="85">
        <f>$I$85*$AZ$85</f>
        <v>0</v>
      </c>
      <c r="BA172" s="85">
        <f>$I$85*$BA$85</f>
        <v>6193261.2286944818</v>
      </c>
      <c r="BB172" s="85">
        <f>$I$85*$BB$85</f>
        <v>231797.44244079309</v>
      </c>
      <c r="BC172" s="85">
        <f>$I$85*$BC$85</f>
        <v>2924994.7522080415</v>
      </c>
      <c r="BD172" s="85">
        <f>$I$85*$BD$85</f>
        <v>610577.48521663377</v>
      </c>
    </row>
    <row r="173" spans="1:56" ht="11.25" customHeight="1" x14ac:dyDescent="0.25">
      <c r="A173" s="9" t="s">
        <v>49</v>
      </c>
      <c r="B173" s="9" t="s">
        <v>1517</v>
      </c>
      <c r="C173" s="9" t="s">
        <v>1518</v>
      </c>
      <c r="D173" s="9" t="s">
        <v>1523</v>
      </c>
      <c r="E173" s="9" t="s">
        <v>1524</v>
      </c>
      <c r="F173" s="9" t="s">
        <v>1525</v>
      </c>
      <c r="G173" s="9" t="s">
        <v>1526</v>
      </c>
      <c r="L173" s="85">
        <f>$I$86*$L$86</f>
        <v>0</v>
      </c>
      <c r="M173" s="85">
        <f>$I$86*$M$86</f>
        <v>0</v>
      </c>
      <c r="N173" s="85">
        <f ca="1">$I$86*$N$86</f>
        <v>0</v>
      </c>
      <c r="O173" s="85">
        <f>$I$86*$O$86</f>
        <v>0</v>
      </c>
      <c r="P173" s="85">
        <f>$I$86*$P$86</f>
        <v>0</v>
      </c>
      <c r="Q173" s="85">
        <f>$I$86*$Q$86</f>
        <v>0</v>
      </c>
      <c r="R173" s="85">
        <f>$I$86*$R$86</f>
        <v>0</v>
      </c>
      <c r="S173" s="85">
        <f>$I$86*$S$86</f>
        <v>0</v>
      </c>
      <c r="T173" s="85">
        <f>$I$86*$T$86</f>
        <v>0</v>
      </c>
      <c r="U173" s="85">
        <f>$I$86*$U$86</f>
        <v>0</v>
      </c>
      <c r="V173" s="85">
        <f>$I$86*$V$86</f>
        <v>0</v>
      </c>
      <c r="W173" s="85">
        <f>$I$86*$W$86</f>
        <v>0</v>
      </c>
      <c r="X173" s="85">
        <f>$I$86*$X$86</f>
        <v>0</v>
      </c>
      <c r="Y173" s="85">
        <f>$I$86*$Y$86</f>
        <v>0</v>
      </c>
      <c r="Z173" s="85">
        <f>$I$86*$Z$86</f>
        <v>0</v>
      </c>
      <c r="AA173" s="85">
        <f>$I$86*$AA$86</f>
        <v>0</v>
      </c>
      <c r="AB173" s="85">
        <f ca="1">$I$86*$AB$86</f>
        <v>0</v>
      </c>
      <c r="AC173" s="85">
        <f ca="1">$I$86*$AC$86</f>
        <v>0</v>
      </c>
      <c r="AD173" s="85">
        <f>$I$86*$AD$86</f>
        <v>0</v>
      </c>
      <c r="AE173" s="85">
        <f>$I$86*$AE$86</f>
        <v>0</v>
      </c>
      <c r="AF173" s="85">
        <f ca="1">$I$86*$AF$86</f>
        <v>0</v>
      </c>
      <c r="AG173" s="85">
        <f ca="1">$I$86*$AG$86</f>
        <v>0</v>
      </c>
      <c r="AI173" s="85">
        <f>$I$86*$AI$86</f>
        <v>0</v>
      </c>
      <c r="AJ173" s="85">
        <f>$I$86*$AJ$86</f>
        <v>0</v>
      </c>
      <c r="AK173" s="85">
        <f>$I$86*$AK$86</f>
        <v>0</v>
      </c>
      <c r="AL173" s="85">
        <f>$I$86*$AL$86</f>
        <v>0</v>
      </c>
      <c r="AM173" s="85">
        <f>$I$86*$AM$86</f>
        <v>0</v>
      </c>
      <c r="AN173" s="85">
        <f>$I$86*$AN$86</f>
        <v>0</v>
      </c>
      <c r="AO173" s="85">
        <f>$I$86*$AO$86</f>
        <v>0</v>
      </c>
      <c r="AP173" s="85">
        <f>$I$86*$AP$86</f>
        <v>0</v>
      </c>
      <c r="AQ173" s="85">
        <f>$I$86*$AQ$86</f>
        <v>0</v>
      </c>
      <c r="AR173" s="85">
        <f>$I$86*$AR$86</f>
        <v>0</v>
      </c>
      <c r="AS173" s="85">
        <f>$I$86*$AS$86</f>
        <v>0</v>
      </c>
      <c r="AT173" s="85">
        <f>$I$86*$AT$86</f>
        <v>0</v>
      </c>
      <c r="AU173" s="85">
        <f>$I$86*$AU$86</f>
        <v>0</v>
      </c>
      <c r="AV173" s="85">
        <f>$I$86*$AV$86</f>
        <v>0</v>
      </c>
      <c r="AW173" s="85">
        <f>$I$86*$AW$86</f>
        <v>0</v>
      </c>
      <c r="AX173" s="85">
        <f>$I$86*$AX$86</f>
        <v>0</v>
      </c>
      <c r="AY173" s="85">
        <f>$I$86*$AY$86</f>
        <v>0</v>
      </c>
      <c r="AZ173" s="85">
        <f>$I$86*$AZ$86</f>
        <v>0</v>
      </c>
      <c r="BA173" s="85">
        <f>$I$86*$BA$86</f>
        <v>0</v>
      </c>
      <c r="BB173" s="85">
        <f>$I$86*$BB$86</f>
        <v>0</v>
      </c>
      <c r="BC173" s="85">
        <f>$I$86*$BC$86</f>
        <v>0</v>
      </c>
      <c r="BD173" s="85">
        <f>$I$86*$BD$86</f>
        <v>0</v>
      </c>
    </row>
  </sheetData>
  <mergeCells count="144">
    <mergeCell ref="AQ90:AW90"/>
    <mergeCell ref="AY90:AZ90"/>
    <mergeCell ref="BA90:BD90"/>
    <mergeCell ref="BA3:BD3"/>
    <mergeCell ref="L88:AG88"/>
    <mergeCell ref="AI88:BD88"/>
    <mergeCell ref="L89:AG89"/>
    <mergeCell ref="AI89:BD89"/>
    <mergeCell ref="L90:S90"/>
    <mergeCell ref="T90:Z90"/>
    <mergeCell ref="AB90:AC90"/>
    <mergeCell ref="AD90:AG90"/>
    <mergeCell ref="AI90:AP90"/>
    <mergeCell ref="AD3:AG3"/>
    <mergeCell ref="AB3:AC3"/>
    <mergeCell ref="E80:E82"/>
    <mergeCell ref="F80:F82"/>
    <mergeCell ref="A85:A86"/>
    <mergeCell ref="B85:B86"/>
    <mergeCell ref="C85:C86"/>
    <mergeCell ref="AI1:BD1"/>
    <mergeCell ref="AI2:BD2"/>
    <mergeCell ref="AI3:AP3"/>
    <mergeCell ref="AQ3:AW3"/>
    <mergeCell ref="AY3:AZ3"/>
    <mergeCell ref="B77:B79"/>
    <mergeCell ref="C77:C79"/>
    <mergeCell ref="A80:A84"/>
    <mergeCell ref="B80:B82"/>
    <mergeCell ref="C80:C82"/>
    <mergeCell ref="D80:D82"/>
    <mergeCell ref="F69:F71"/>
    <mergeCell ref="B73:B75"/>
    <mergeCell ref="C73:C75"/>
    <mergeCell ref="D73:D75"/>
    <mergeCell ref="E73:E75"/>
    <mergeCell ref="F73:F75"/>
    <mergeCell ref="A65:A79"/>
    <mergeCell ref="B65:B67"/>
    <mergeCell ref="C65:C67"/>
    <mergeCell ref="D65:D67"/>
    <mergeCell ref="E65:E67"/>
    <mergeCell ref="F65:F67"/>
    <mergeCell ref="B69:B71"/>
    <mergeCell ref="C69:C71"/>
    <mergeCell ref="D69:D71"/>
    <mergeCell ref="E69:E71"/>
    <mergeCell ref="E52:E54"/>
    <mergeCell ref="F52:F54"/>
    <mergeCell ref="B55:B59"/>
    <mergeCell ref="C55:C59"/>
    <mergeCell ref="B60:B64"/>
    <mergeCell ref="C60:C64"/>
    <mergeCell ref="A50:A51"/>
    <mergeCell ref="B50:B51"/>
    <mergeCell ref="C50:C51"/>
    <mergeCell ref="D50:D51"/>
    <mergeCell ref="A52:A64"/>
    <mergeCell ref="B52:B54"/>
    <mergeCell ref="C52:C54"/>
    <mergeCell ref="D52:D54"/>
    <mergeCell ref="F43:F45"/>
    <mergeCell ref="E46:E47"/>
    <mergeCell ref="F46:F47"/>
    <mergeCell ref="B48:B49"/>
    <mergeCell ref="C48:C49"/>
    <mergeCell ref="D48:D49"/>
    <mergeCell ref="E48:E49"/>
    <mergeCell ref="F48:F49"/>
    <mergeCell ref="A39:A49"/>
    <mergeCell ref="B39:B42"/>
    <mergeCell ref="C39:C42"/>
    <mergeCell ref="D39:D42"/>
    <mergeCell ref="E39:E41"/>
    <mergeCell ref="F39:F41"/>
    <mergeCell ref="B43:B47"/>
    <mergeCell ref="C43:C47"/>
    <mergeCell ref="D43:D47"/>
    <mergeCell ref="E43:E45"/>
    <mergeCell ref="F32:F34"/>
    <mergeCell ref="E35:E36"/>
    <mergeCell ref="F35:F36"/>
    <mergeCell ref="B37:B38"/>
    <mergeCell ref="C37:C38"/>
    <mergeCell ref="D37:D38"/>
    <mergeCell ref="E37:E38"/>
    <mergeCell ref="F37:F38"/>
    <mergeCell ref="A27:A38"/>
    <mergeCell ref="B27:B30"/>
    <mergeCell ref="C27:C30"/>
    <mergeCell ref="D27:D30"/>
    <mergeCell ref="E27:E29"/>
    <mergeCell ref="F27:F29"/>
    <mergeCell ref="B32:B36"/>
    <mergeCell ref="C32:C36"/>
    <mergeCell ref="D32:D36"/>
    <mergeCell ref="E32:E34"/>
    <mergeCell ref="B25:B26"/>
    <mergeCell ref="C25:C26"/>
    <mergeCell ref="D25:D26"/>
    <mergeCell ref="E25:E26"/>
    <mergeCell ref="F25:F26"/>
    <mergeCell ref="A15:A26"/>
    <mergeCell ref="B15:B18"/>
    <mergeCell ref="C15:C18"/>
    <mergeCell ref="D15:D18"/>
    <mergeCell ref="E15:E17"/>
    <mergeCell ref="F15:F17"/>
    <mergeCell ref="B20:B24"/>
    <mergeCell ref="C20:C24"/>
    <mergeCell ref="D20:D24"/>
    <mergeCell ref="E20:E22"/>
    <mergeCell ref="I1:I4"/>
    <mergeCell ref="J1:J4"/>
    <mergeCell ref="L1:AG1"/>
    <mergeCell ref="L2:AG2"/>
    <mergeCell ref="L3:S3"/>
    <mergeCell ref="T3:Z3"/>
    <mergeCell ref="F20:F22"/>
    <mergeCell ref="E23:E24"/>
    <mergeCell ref="F23:F24"/>
    <mergeCell ref="A5:A14"/>
    <mergeCell ref="B5:B8"/>
    <mergeCell ref="C5:C8"/>
    <mergeCell ref="D5:D8"/>
    <mergeCell ref="E5:E7"/>
    <mergeCell ref="F5:F7"/>
    <mergeCell ref="B9:B11"/>
    <mergeCell ref="G1:G4"/>
    <mergeCell ref="H1:H4"/>
    <mergeCell ref="A1:A4"/>
    <mergeCell ref="B1:B4"/>
    <mergeCell ref="C1:C4"/>
    <mergeCell ref="D1:D4"/>
    <mergeCell ref="E1:E4"/>
    <mergeCell ref="F1:F4"/>
    <mergeCell ref="C9:C11"/>
    <mergeCell ref="D9:D11"/>
    <mergeCell ref="E9:E11"/>
    <mergeCell ref="F9:F11"/>
    <mergeCell ref="B12:B14"/>
    <mergeCell ref="C12:C14"/>
    <mergeCell ref="D12:D14"/>
    <mergeCell ref="E12:E14"/>
  </mergeCells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60FDB-DE11-47C1-A6B3-991A40F78B40}">
  <dimension ref="A1:AF101"/>
  <sheetViews>
    <sheetView showGridLines="0" topLeftCell="L33" workbookViewId="0">
      <selection activeCell="V51" sqref="V51"/>
    </sheetView>
  </sheetViews>
  <sheetFormatPr defaultColWidth="8.85546875" defaultRowHeight="11.25" customHeight="1" x14ac:dyDescent="0.25"/>
  <cols>
    <col min="1" max="1" width="9.28515625" style="9" bestFit="1" customWidth="1"/>
    <col min="2" max="2" width="29" style="9" bestFit="1" customWidth="1"/>
    <col min="3" max="3" width="38.7109375" style="9" bestFit="1" customWidth="1"/>
    <col min="4" max="4" width="61.7109375" style="9" bestFit="1" customWidth="1"/>
    <col min="5" max="5" width="71.42578125" style="9" bestFit="1" customWidth="1"/>
    <col min="6" max="6" width="81" style="9" bestFit="1" customWidth="1"/>
    <col min="7" max="7" width="81.85546875" style="9" bestFit="1" customWidth="1"/>
    <col min="8" max="8" width="7.42578125" style="9" bestFit="1" customWidth="1"/>
    <col min="9" max="9" width="10" style="9" bestFit="1" customWidth="1"/>
    <col min="10" max="10" width="8.85546875" style="9"/>
    <col min="11" max="11" width="19.85546875" style="9" bestFit="1" customWidth="1"/>
    <col min="12" max="12" width="10" style="9" bestFit="1" customWidth="1"/>
    <col min="13" max="13" width="10.85546875" style="9" bestFit="1" customWidth="1"/>
    <col min="14" max="14" width="6" style="9" bestFit="1" customWidth="1"/>
    <col min="15" max="15" width="11.42578125" style="9" bestFit="1" customWidth="1"/>
    <col min="16" max="16" width="15" style="9" bestFit="1" customWidth="1"/>
    <col min="17" max="18" width="10.85546875" style="9" bestFit="1" customWidth="1"/>
    <col min="19" max="19" width="7" style="9" bestFit="1" customWidth="1"/>
    <col min="20" max="20" width="11.140625" style="9" bestFit="1" customWidth="1"/>
    <col min="21" max="21" width="11" style="9" bestFit="1" customWidth="1"/>
    <col min="22" max="22" width="8.85546875" style="9"/>
    <col min="23" max="23" width="10" style="9" bestFit="1" customWidth="1"/>
    <col min="24" max="24" width="10.85546875" style="9" bestFit="1" customWidth="1"/>
    <col min="25" max="25" width="6" style="9" bestFit="1" customWidth="1"/>
    <col min="26" max="26" width="11.42578125" style="9" bestFit="1" customWidth="1"/>
    <col min="27" max="27" width="15" style="9" bestFit="1" customWidth="1"/>
    <col min="28" max="29" width="10.85546875" style="9" bestFit="1" customWidth="1"/>
    <col min="30" max="30" width="7" style="9" bestFit="1" customWidth="1"/>
    <col min="31" max="31" width="11.140625" style="9" bestFit="1" customWidth="1"/>
    <col min="32" max="32" width="11" style="9" bestFit="1" customWidth="1"/>
    <col min="33" max="16384" width="8.85546875" style="9"/>
  </cols>
  <sheetData>
    <row r="1" spans="1:32" ht="11.25" customHeight="1" x14ac:dyDescent="0.25">
      <c r="A1" s="129" t="s">
        <v>78</v>
      </c>
      <c r="B1" s="129" t="s">
        <v>79</v>
      </c>
      <c r="C1" s="129" t="s">
        <v>80</v>
      </c>
      <c r="D1" s="129" t="s">
        <v>81</v>
      </c>
      <c r="E1" s="129" t="s">
        <v>82</v>
      </c>
      <c r="F1" s="129" t="s">
        <v>15</v>
      </c>
      <c r="G1" s="129" t="s">
        <v>84</v>
      </c>
      <c r="H1" s="129" t="s">
        <v>85</v>
      </c>
      <c r="I1" s="129" t="s">
        <v>1055</v>
      </c>
      <c r="J1" s="112"/>
      <c r="L1" s="127" t="s">
        <v>1527</v>
      </c>
      <c r="M1" s="127"/>
      <c r="N1" s="127"/>
      <c r="O1" s="127"/>
      <c r="P1" s="127"/>
      <c r="Q1" s="127"/>
      <c r="R1" s="127"/>
      <c r="S1" s="127"/>
      <c r="T1" s="127"/>
      <c r="U1" s="127"/>
      <c r="W1" s="127" t="s">
        <v>1528</v>
      </c>
      <c r="X1" s="127"/>
      <c r="Y1" s="127"/>
      <c r="Z1" s="127"/>
      <c r="AA1" s="127"/>
      <c r="AB1" s="127"/>
      <c r="AC1" s="127"/>
      <c r="AD1" s="127"/>
      <c r="AE1" s="127"/>
      <c r="AF1" s="127"/>
    </row>
    <row r="2" spans="1:32" ht="11.25" customHeight="1" x14ac:dyDescent="0.25">
      <c r="A2" s="129"/>
      <c r="B2" s="129"/>
      <c r="C2" s="129"/>
      <c r="D2" s="129"/>
      <c r="E2" s="129"/>
      <c r="F2" s="129"/>
      <c r="G2" s="129"/>
      <c r="H2" s="129"/>
      <c r="I2" s="129"/>
      <c r="J2" s="112"/>
      <c r="L2" s="127" t="s">
        <v>984</v>
      </c>
      <c r="M2" s="127"/>
      <c r="N2" s="127"/>
      <c r="O2" s="127"/>
      <c r="P2" s="127"/>
      <c r="Q2" s="127"/>
      <c r="R2" s="127"/>
      <c r="S2" s="127"/>
      <c r="T2" s="127"/>
      <c r="U2" s="127"/>
      <c r="W2" s="127" t="s">
        <v>984</v>
      </c>
      <c r="X2" s="127"/>
      <c r="Y2" s="127"/>
      <c r="Z2" s="127"/>
      <c r="AA2" s="127"/>
      <c r="AB2" s="127"/>
      <c r="AC2" s="127"/>
      <c r="AD2" s="127"/>
      <c r="AE2" s="127"/>
      <c r="AF2" s="127"/>
    </row>
    <row r="3" spans="1:32" ht="11.25" customHeight="1" x14ac:dyDescent="0.25">
      <c r="A3" s="129"/>
      <c r="B3" s="129"/>
      <c r="C3" s="129"/>
      <c r="D3" s="129"/>
      <c r="E3" s="129"/>
      <c r="F3" s="129"/>
      <c r="G3" s="129"/>
      <c r="H3" s="129"/>
      <c r="I3" s="129"/>
      <c r="J3" s="112"/>
      <c r="L3" s="127" t="s">
        <v>956</v>
      </c>
      <c r="M3" s="127"/>
      <c r="N3" s="127"/>
      <c r="O3" s="127"/>
      <c r="P3" s="89" t="s">
        <v>988</v>
      </c>
      <c r="Q3" s="127" t="s">
        <v>966</v>
      </c>
      <c r="R3" s="127"/>
      <c r="S3" s="127"/>
      <c r="T3" s="89" t="s">
        <v>976</v>
      </c>
      <c r="U3" s="89" t="s">
        <v>979</v>
      </c>
      <c r="W3" s="127" t="s">
        <v>956</v>
      </c>
      <c r="X3" s="127"/>
      <c r="Y3" s="127"/>
      <c r="Z3" s="127"/>
      <c r="AA3" s="89" t="s">
        <v>988</v>
      </c>
      <c r="AB3" s="127" t="s">
        <v>966</v>
      </c>
      <c r="AC3" s="127"/>
      <c r="AD3" s="127"/>
      <c r="AE3" s="89" t="s">
        <v>976</v>
      </c>
      <c r="AF3" s="89" t="s">
        <v>979</v>
      </c>
    </row>
    <row r="4" spans="1:32" ht="11.25" customHeight="1" x14ac:dyDescent="0.25">
      <c r="A4" s="129"/>
      <c r="B4" s="129"/>
      <c r="C4" s="129"/>
      <c r="D4" s="129"/>
      <c r="E4" s="129"/>
      <c r="F4" s="129"/>
      <c r="G4" s="129"/>
      <c r="H4" s="129"/>
      <c r="I4" s="129"/>
      <c r="J4" s="112"/>
      <c r="L4" s="89" t="s">
        <v>959</v>
      </c>
      <c r="M4" s="89" t="s">
        <v>985</v>
      </c>
      <c r="N4" s="89" t="s">
        <v>986</v>
      </c>
      <c r="O4" s="89" t="s">
        <v>987</v>
      </c>
      <c r="P4" s="89" t="s">
        <v>989</v>
      </c>
      <c r="Q4" s="89" t="s">
        <v>990</v>
      </c>
      <c r="R4" s="89" t="s">
        <v>991</v>
      </c>
      <c r="S4" s="89" t="s">
        <v>992</v>
      </c>
      <c r="T4" s="89" t="s">
        <v>977</v>
      </c>
      <c r="U4" s="89" t="s">
        <v>993</v>
      </c>
      <c r="W4" s="89" t="s">
        <v>959</v>
      </c>
      <c r="X4" s="89" t="s">
        <v>985</v>
      </c>
      <c r="Y4" s="89" t="s">
        <v>986</v>
      </c>
      <c r="Z4" s="89" t="s">
        <v>987</v>
      </c>
      <c r="AA4" s="89" t="s">
        <v>989</v>
      </c>
      <c r="AB4" s="89" t="s">
        <v>990</v>
      </c>
      <c r="AC4" s="89" t="s">
        <v>991</v>
      </c>
      <c r="AD4" s="89" t="s">
        <v>992</v>
      </c>
      <c r="AE4" s="89" t="s">
        <v>977</v>
      </c>
      <c r="AF4" s="89" t="s">
        <v>993</v>
      </c>
    </row>
    <row r="5" spans="1:32" ht="11.25" customHeight="1" x14ac:dyDescent="0.25">
      <c r="A5" s="130" t="s">
        <v>43</v>
      </c>
      <c r="B5" s="130" t="s">
        <v>87</v>
      </c>
      <c r="C5" s="130" t="s">
        <v>25</v>
      </c>
      <c r="D5" s="130" t="s">
        <v>25</v>
      </c>
      <c r="E5" s="130" t="s">
        <v>25</v>
      </c>
      <c r="F5" s="130" t="s">
        <v>25</v>
      </c>
      <c r="G5" s="32" t="s">
        <v>89</v>
      </c>
      <c r="H5" s="32" t="s">
        <v>88</v>
      </c>
      <c r="I5" s="32">
        <f>'MERCADO TE'!$U$2</f>
        <v>6175.6710000000003</v>
      </c>
      <c r="J5" s="17"/>
      <c r="L5" s="30">
        <f>('TE BE'!$L$5+'TE BF'!$L$5+'TE CVA'!$L$5)*1</f>
        <v>2.5005275892065639</v>
      </c>
      <c r="M5" s="30">
        <f>('TE BE'!$M$5+'TE BF'!$M$5+'TE CVA'!$M$5)*1</f>
        <v>13.866547896201599</v>
      </c>
      <c r="N5" s="30">
        <f>('TE BE'!$N$5+'TE BF'!$N$5+'TE CVA'!$N$5)*1</f>
        <v>0</v>
      </c>
      <c r="O5" s="30">
        <f>('TE BE'!$O$5+'TE BF'!$O$5+'TE CVA'!$O$5)*1</f>
        <v>-5.9899887837723602</v>
      </c>
      <c r="P5" s="30">
        <f>('TE BE'!$Q$5+'TE BF'!$Q$5+'TE CVA'!$Q$5)*1</f>
        <v>346.04869505221041</v>
      </c>
      <c r="Q5" s="30">
        <f>('TE BE'!$S$5+'TE BF'!$S$5+'TE CVA'!$S$5)*1</f>
        <v>7.727919473703424</v>
      </c>
      <c r="R5" s="30">
        <f>('TE BE'!$T$5+'TE BF'!$T$5+'TE CVA'!$T$5)*1</f>
        <v>6.2390317012758114</v>
      </c>
      <c r="S5" s="30">
        <f>('TE BE'!$U$5+'TE BF'!$U$5+'TE CVA'!$U$5)*1</f>
        <v>0</v>
      </c>
      <c r="T5" s="30">
        <f>('TE BE'!$W$5+'TE BF'!$W$5+'TE CVA'!$W$5)*1</f>
        <v>0</v>
      </c>
      <c r="U5" s="30">
        <f>('TE BE'!$Y$5+'TE BF'!$Y$5+'TE CVA'!$Y$5)*1</f>
        <v>5.2990697581821919</v>
      </c>
      <c r="W5" s="30">
        <v>2.5903602143268998</v>
      </c>
      <c r="X5" s="30">
        <v>-1.2437015709419601</v>
      </c>
      <c r="Y5" s="30">
        <v>0</v>
      </c>
      <c r="Z5" s="30">
        <v>-4.4339565273477302</v>
      </c>
      <c r="AA5" s="30">
        <v>416.83655416814997</v>
      </c>
      <c r="AB5" s="30">
        <v>6.7024720832918598</v>
      </c>
      <c r="AC5" s="30">
        <v>4.0338507847524001</v>
      </c>
      <c r="AD5" s="30">
        <v>0</v>
      </c>
      <c r="AE5" s="30">
        <v>0</v>
      </c>
      <c r="AF5" s="30">
        <v>6.3838359847864199</v>
      </c>
    </row>
    <row r="6" spans="1:32" ht="11.25" customHeight="1" x14ac:dyDescent="0.25">
      <c r="A6" s="130"/>
      <c r="B6" s="130"/>
      <c r="C6" s="130"/>
      <c r="D6" s="130"/>
      <c r="E6" s="130"/>
      <c r="F6" s="130"/>
      <c r="G6" s="32" t="s">
        <v>90</v>
      </c>
      <c r="H6" s="32" t="s">
        <v>88</v>
      </c>
      <c r="I6" s="32">
        <f>'MERCADO TE'!$U$3</f>
        <v>102148.342</v>
      </c>
      <c r="J6" s="17"/>
      <c r="L6" s="30">
        <f>('TE BE'!$L$6+'TE BF'!$L$6+'TE CVA'!$L$6)*1</f>
        <v>2.5005275892065639</v>
      </c>
      <c r="M6" s="30">
        <f>('TE BE'!$M$6+'TE BF'!$M$6+'TE CVA'!$M$6)*1</f>
        <v>13.866547896201599</v>
      </c>
      <c r="N6" s="30">
        <f>('TE BE'!$N$6+'TE BF'!$N$6+'TE CVA'!$N$6)*1</f>
        <v>0</v>
      </c>
      <c r="O6" s="30">
        <f>('TE BE'!$O$6+'TE BF'!$O$6+'TE CVA'!$O$6)*1</f>
        <v>-5.9899887837723602</v>
      </c>
      <c r="P6" s="30">
        <f>('TE BE'!$Q$6+'TE BF'!$Q$6+'TE CVA'!$Q$6)*1</f>
        <v>201.19110177454098</v>
      </c>
      <c r="Q6" s="30">
        <f>('TE BE'!$S$6+'TE BF'!$S$6+'TE CVA'!$S$6)*1</f>
        <v>7.727919473703424</v>
      </c>
      <c r="R6" s="30">
        <f>('TE BE'!$T$6+'TE BF'!$T$6+'TE CVA'!$T$6)*1</f>
        <v>6.2390317012758114</v>
      </c>
      <c r="S6" s="30">
        <f>('TE BE'!$U$6+'TE BF'!$U$6+'TE CVA'!$U$6)*1</f>
        <v>0</v>
      </c>
      <c r="T6" s="30">
        <f>('TE BE'!$W$6+'TE BF'!$W$6+'TE CVA'!$W$6)*1</f>
        <v>0</v>
      </c>
      <c r="U6" s="30">
        <f>('TE BE'!$Y$6+'TE BF'!$Y$6+'TE CVA'!$Y$6)*1</f>
        <v>5.2990697581821919</v>
      </c>
      <c r="W6" s="30">
        <v>2.5903602143268998</v>
      </c>
      <c r="X6" s="30">
        <v>-1.2437015709419601</v>
      </c>
      <c r="Y6" s="30">
        <v>0</v>
      </c>
      <c r="Z6" s="30">
        <v>-4.4339565273477302</v>
      </c>
      <c r="AA6" s="30">
        <v>242.34683381869201</v>
      </c>
      <c r="AB6" s="30">
        <v>6.7024720832918598</v>
      </c>
      <c r="AC6" s="30">
        <v>4.0338507847524001</v>
      </c>
      <c r="AD6" s="30">
        <v>0</v>
      </c>
      <c r="AE6" s="30">
        <v>0</v>
      </c>
      <c r="AF6" s="30">
        <v>6.3838359847864199</v>
      </c>
    </row>
    <row r="7" spans="1:32" ht="11.25" customHeight="1" x14ac:dyDescent="0.25">
      <c r="A7" s="130" t="s">
        <v>45</v>
      </c>
      <c r="B7" s="130" t="s">
        <v>87</v>
      </c>
      <c r="C7" s="130" t="s">
        <v>25</v>
      </c>
      <c r="D7" s="130" t="s">
        <v>25</v>
      </c>
      <c r="E7" s="130" t="s">
        <v>25</v>
      </c>
      <c r="F7" s="130" t="s">
        <v>25</v>
      </c>
      <c r="G7" s="32" t="s">
        <v>89</v>
      </c>
      <c r="H7" s="32" t="s">
        <v>88</v>
      </c>
      <c r="I7" s="32">
        <f>'MERCADO TE'!$U$4</f>
        <v>3341.4459999999999</v>
      </c>
      <c r="J7" s="17"/>
      <c r="L7" s="30">
        <f>('TE BE'!$L$7+'TE BF'!$L$7+'TE CVA'!$L$7)*1</f>
        <v>2.5005275892065639</v>
      </c>
      <c r="M7" s="30">
        <f>('TE BE'!$M$7+'TE BF'!$M$7+'TE CVA'!$M$7)*1</f>
        <v>13.866547896201599</v>
      </c>
      <c r="N7" s="30">
        <f>('TE BE'!$N$7+'TE BF'!$N$7+'TE CVA'!$N$7)*1</f>
        <v>0</v>
      </c>
      <c r="O7" s="30">
        <f>('TE BE'!$O$7+'TE BF'!$O$7+'TE CVA'!$O$7)*1</f>
        <v>-5.9899887837723602</v>
      </c>
      <c r="P7" s="30">
        <f>('TE BE'!$Q$7+'TE BF'!$Q$7+'TE CVA'!$Q$7)*1</f>
        <v>346.04869505221041</v>
      </c>
      <c r="Q7" s="30">
        <f>('TE BE'!$S$7+'TE BF'!$S$7+'TE CVA'!$S$7)*1</f>
        <v>7.727919473703424</v>
      </c>
      <c r="R7" s="30">
        <f>('TE BE'!$T$7+'TE BF'!$T$7+'TE CVA'!$T$7)*1</f>
        <v>6.2390317012758114</v>
      </c>
      <c r="S7" s="30">
        <f>('TE BE'!$U$7+'TE BF'!$U$7+'TE CVA'!$U$7)*1</f>
        <v>0</v>
      </c>
      <c r="T7" s="30">
        <f>('TE BE'!$W$7+'TE BF'!$W$7+'TE CVA'!$W$7)*1</f>
        <v>0</v>
      </c>
      <c r="U7" s="30">
        <f>('TE BE'!$Y$7+'TE BF'!$Y$7+'TE CVA'!$Y$7)*1</f>
        <v>5.2990697581821919</v>
      </c>
      <c r="W7" s="30">
        <v>2.5903602143268998</v>
      </c>
      <c r="X7" s="30">
        <v>-1.2437015709419601</v>
      </c>
      <c r="Y7" s="30">
        <v>0</v>
      </c>
      <c r="Z7" s="30">
        <v>-4.4339565273477302</v>
      </c>
      <c r="AA7" s="30">
        <v>416.83655416814997</v>
      </c>
      <c r="AB7" s="30">
        <v>6.7024720832918598</v>
      </c>
      <c r="AC7" s="30">
        <v>4.0338507847524001</v>
      </c>
      <c r="AD7" s="30">
        <v>0</v>
      </c>
      <c r="AE7" s="30">
        <v>0</v>
      </c>
      <c r="AF7" s="30">
        <v>6.3838359847864199</v>
      </c>
    </row>
    <row r="8" spans="1:32" ht="11.25" customHeight="1" x14ac:dyDescent="0.25">
      <c r="A8" s="130"/>
      <c r="B8" s="130"/>
      <c r="C8" s="130"/>
      <c r="D8" s="130"/>
      <c r="E8" s="130"/>
      <c r="F8" s="130"/>
      <c r="G8" s="32" t="s">
        <v>90</v>
      </c>
      <c r="H8" s="32" t="s">
        <v>88</v>
      </c>
      <c r="I8" s="32">
        <f>'MERCADO TE'!$U$5</f>
        <v>33041.942000000003</v>
      </c>
      <c r="J8" s="17"/>
      <c r="L8" s="30">
        <f>('TE BE'!$L$8+'TE BF'!$L$8+'TE CVA'!$L$8)*1</f>
        <v>2.5005275892065639</v>
      </c>
      <c r="M8" s="30">
        <f>('TE BE'!$M$8+'TE BF'!$M$8+'TE CVA'!$M$8)*1</f>
        <v>13.866547896201599</v>
      </c>
      <c r="N8" s="30">
        <f>('TE BE'!$N$8+'TE BF'!$N$8+'TE CVA'!$N$8)*1</f>
        <v>0</v>
      </c>
      <c r="O8" s="30">
        <f>('TE BE'!$O$8+'TE BF'!$O$8+'TE CVA'!$O$8)*1</f>
        <v>-5.9899887837723602</v>
      </c>
      <c r="P8" s="30">
        <f>('TE BE'!$Q$8+'TE BF'!$Q$8+'TE CVA'!$Q$8)*1</f>
        <v>201.19110177454098</v>
      </c>
      <c r="Q8" s="30">
        <f>('TE BE'!$S$8+'TE BF'!$S$8+'TE CVA'!$S$8)*1</f>
        <v>7.727919473703424</v>
      </c>
      <c r="R8" s="30">
        <f>('TE BE'!$T$8+'TE BF'!$T$8+'TE CVA'!$T$8)*1</f>
        <v>6.2390317012758114</v>
      </c>
      <c r="S8" s="30">
        <f>('TE BE'!$U$8+'TE BF'!$U$8+'TE CVA'!$U$8)*1</f>
        <v>0</v>
      </c>
      <c r="T8" s="30">
        <f>('TE BE'!$W$8+'TE BF'!$W$8+'TE CVA'!$W$8)*1</f>
        <v>0</v>
      </c>
      <c r="U8" s="30">
        <f>('TE BE'!$Y$8+'TE BF'!$Y$8+'TE CVA'!$Y$8)*1</f>
        <v>5.2990697581821919</v>
      </c>
      <c r="W8" s="30">
        <v>2.5903602143268998</v>
      </c>
      <c r="X8" s="30">
        <v>-1.2437015709419601</v>
      </c>
      <c r="Y8" s="30">
        <v>0</v>
      </c>
      <c r="Z8" s="30">
        <v>-4.4339565273477302</v>
      </c>
      <c r="AA8" s="30">
        <v>242.34683381869201</v>
      </c>
      <c r="AB8" s="30">
        <v>6.7024720832918598</v>
      </c>
      <c r="AC8" s="30">
        <v>4.0338507847524001</v>
      </c>
      <c r="AD8" s="30">
        <v>0</v>
      </c>
      <c r="AE8" s="30">
        <v>0</v>
      </c>
      <c r="AF8" s="30">
        <v>6.3838359847864199</v>
      </c>
    </row>
    <row r="9" spans="1:32" ht="11.25" customHeight="1" x14ac:dyDescent="0.25">
      <c r="A9" s="130"/>
      <c r="B9" s="88" t="s">
        <v>96</v>
      </c>
      <c r="C9" s="88" t="s">
        <v>25</v>
      </c>
      <c r="D9" s="88" t="s">
        <v>25</v>
      </c>
      <c r="E9" s="88" t="s">
        <v>25</v>
      </c>
      <c r="F9" s="88" t="s">
        <v>25</v>
      </c>
      <c r="G9" s="32" t="s">
        <v>94</v>
      </c>
      <c r="H9" s="32" t="s">
        <v>88</v>
      </c>
      <c r="I9" s="32">
        <f>'MERCADO TE'!$U$6</f>
        <v>0</v>
      </c>
      <c r="J9" s="17"/>
      <c r="L9" s="30">
        <f>('TE BE'!$L$9+'TE BF'!$L$9+'TE CVA'!$L$9)*1</f>
        <v>2.5005275892065639</v>
      </c>
      <c r="M9" s="30">
        <f>('TE BE'!$M$9+'TE BF'!$M$9+'TE CVA'!$M$9)*1</f>
        <v>13.866547896201599</v>
      </c>
      <c r="N9" s="30">
        <f>('TE BE'!$N$9+'TE BF'!$N$9+'TE CVA'!$N$9)*1</f>
        <v>0</v>
      </c>
      <c r="O9" s="30">
        <f>('TE BE'!$O$9+'TE BF'!$O$9+'TE CVA'!$O$9)*1</f>
        <v>-5.9899887837723602</v>
      </c>
      <c r="P9" s="30">
        <f>('TE BE'!$Q$9+'TE BF'!$Q$9+'TE CVA'!$Q$9)*1</f>
        <v>213.26256788101344</v>
      </c>
      <c r="Q9" s="30">
        <f>('TE BE'!$S$9+'TE BF'!$S$9+'TE CVA'!$S$9)*1</f>
        <v>7.727919473703424</v>
      </c>
      <c r="R9" s="30">
        <f>('TE BE'!$T$9+'TE BF'!$T$9+'TE CVA'!$T$9)*1</f>
        <v>6.2390317012758114</v>
      </c>
      <c r="S9" s="30">
        <f>('TE BE'!$U$9+'TE BF'!$U$9+'TE CVA'!$U$9)*1</f>
        <v>0</v>
      </c>
      <c r="T9" s="30">
        <f>('TE BE'!$W$9+'TE BF'!$W$9+'TE CVA'!$W$9)*1</f>
        <v>0</v>
      </c>
      <c r="U9" s="30">
        <f>('TE BE'!$Y$9+'TE BF'!$Y$9+'TE CVA'!$Y$9)*1</f>
        <v>5.2990697581821919</v>
      </c>
      <c r="W9" s="30">
        <v>0</v>
      </c>
      <c r="X9" s="30">
        <v>0</v>
      </c>
      <c r="Y9" s="30">
        <v>0</v>
      </c>
      <c r="Z9" s="30">
        <v>0</v>
      </c>
      <c r="AA9" s="30">
        <v>0</v>
      </c>
      <c r="AB9" s="30">
        <v>0</v>
      </c>
      <c r="AC9" s="30">
        <v>0</v>
      </c>
      <c r="AD9" s="30">
        <v>0</v>
      </c>
      <c r="AE9" s="30">
        <v>0</v>
      </c>
      <c r="AF9" s="30">
        <v>0</v>
      </c>
    </row>
    <row r="10" spans="1:32" ht="11.25" customHeight="1" x14ac:dyDescent="0.25">
      <c r="A10" s="130" t="s">
        <v>33</v>
      </c>
      <c r="B10" s="130" t="s">
        <v>87</v>
      </c>
      <c r="C10" s="130" t="s">
        <v>25</v>
      </c>
      <c r="D10" s="130" t="s">
        <v>25</v>
      </c>
      <c r="E10" s="130" t="s">
        <v>25</v>
      </c>
      <c r="F10" s="130" t="s">
        <v>25</v>
      </c>
      <c r="G10" s="32" t="s">
        <v>89</v>
      </c>
      <c r="H10" s="32" t="s">
        <v>88</v>
      </c>
      <c r="I10" s="32">
        <f>'MERCADO TE'!$U$7</f>
        <v>84316.775000000023</v>
      </c>
      <c r="J10" s="17"/>
      <c r="L10" s="30">
        <f>('TE BE'!$L$10+'TE BF'!$L$10+'TE CVA'!$L$10)*1</f>
        <v>2.5005275892065639</v>
      </c>
      <c r="M10" s="30">
        <f>('TE BE'!$M$10+'TE BF'!$M$10+'TE CVA'!$M$10)*1</f>
        <v>13.866547896201599</v>
      </c>
      <c r="N10" s="30">
        <f>('TE BE'!$N$10+'TE BF'!$N$10+'TE CVA'!$N$10)*1</f>
        <v>0</v>
      </c>
      <c r="O10" s="30">
        <f>('TE BE'!$O$10+'TE BF'!$O$10+'TE CVA'!$O$10)*1</f>
        <v>-5.9899887837723602</v>
      </c>
      <c r="P10" s="30">
        <f>('TE BE'!$Q$10+'TE BF'!$Q$10+'TE CVA'!$Q$10)*1</f>
        <v>346.04869505221041</v>
      </c>
      <c r="Q10" s="30">
        <f>('TE BE'!$S$10+'TE BF'!$S$10+'TE CVA'!$S$10)*1</f>
        <v>7.727919473703424</v>
      </c>
      <c r="R10" s="30">
        <f>('TE BE'!$T$10+'TE BF'!$T$10+'TE CVA'!$T$10)*1</f>
        <v>6.2390317012758114</v>
      </c>
      <c r="S10" s="30">
        <f>('TE BE'!$U$10+'TE BF'!$U$10+'TE CVA'!$U$10)*1</f>
        <v>0</v>
      </c>
      <c r="T10" s="30">
        <f>('TE BE'!$W$10+'TE BF'!$W$10+'TE CVA'!$W$10)*1</f>
        <v>0</v>
      </c>
      <c r="U10" s="30">
        <f>('TE BE'!$Y$10+'TE BF'!$Y$10+'TE CVA'!$Y$10)*1</f>
        <v>5.2990697581821919</v>
      </c>
      <c r="W10" s="30">
        <v>2.5903602143268998</v>
      </c>
      <c r="X10" s="30">
        <v>-1.2437015709419601</v>
      </c>
      <c r="Y10" s="30">
        <v>0</v>
      </c>
      <c r="Z10" s="30">
        <v>-4.4339565273477302</v>
      </c>
      <c r="AA10" s="30">
        <v>416.83655416814997</v>
      </c>
      <c r="AB10" s="30">
        <v>6.7024720832918598</v>
      </c>
      <c r="AC10" s="30">
        <v>4.0338507847524001</v>
      </c>
      <c r="AD10" s="30">
        <v>0</v>
      </c>
      <c r="AE10" s="30">
        <v>0</v>
      </c>
      <c r="AF10" s="30">
        <v>6.3838359847864199</v>
      </c>
    </row>
    <row r="11" spans="1:32" ht="11.25" customHeight="1" x14ac:dyDescent="0.25">
      <c r="A11" s="130"/>
      <c r="B11" s="130"/>
      <c r="C11" s="130"/>
      <c r="D11" s="130"/>
      <c r="E11" s="130"/>
      <c r="F11" s="130"/>
      <c r="G11" s="32" t="s">
        <v>90</v>
      </c>
      <c r="H11" s="32" t="s">
        <v>88</v>
      </c>
      <c r="I11" s="32">
        <f>'MERCADO TE'!$U$8</f>
        <v>857352.201</v>
      </c>
      <c r="J11" s="17"/>
      <c r="L11" s="30">
        <f>('TE BE'!$L$11+'TE BF'!$L$11+'TE CVA'!$L$11)*1</f>
        <v>2.5005275892065639</v>
      </c>
      <c r="M11" s="30">
        <f>('TE BE'!$M$11+'TE BF'!$M$11+'TE CVA'!$M$11)*1</f>
        <v>13.866547896201599</v>
      </c>
      <c r="N11" s="30">
        <f>('TE BE'!$N$11+'TE BF'!$N$11+'TE CVA'!$N$11)*1</f>
        <v>0</v>
      </c>
      <c r="O11" s="30">
        <f>('TE BE'!$O$11+'TE BF'!$O$11+'TE CVA'!$O$11)*1</f>
        <v>-5.9899887837723602</v>
      </c>
      <c r="P11" s="30">
        <f>('TE BE'!$Q$11+'TE BF'!$Q$11+'TE CVA'!$Q$11)*1</f>
        <v>201.19110177454098</v>
      </c>
      <c r="Q11" s="30">
        <f>('TE BE'!$S$11+'TE BF'!$S$11+'TE CVA'!$S$11)*1</f>
        <v>7.727919473703424</v>
      </c>
      <c r="R11" s="30">
        <f>('TE BE'!$T$11+'TE BF'!$T$11+'TE CVA'!$T$11)*1</f>
        <v>6.2390317012758114</v>
      </c>
      <c r="S11" s="30">
        <f>('TE BE'!$U$11+'TE BF'!$U$11+'TE CVA'!$U$11)*1</f>
        <v>0</v>
      </c>
      <c r="T11" s="30">
        <f>('TE BE'!$W$11+'TE BF'!$W$11+'TE CVA'!$W$11)*1</f>
        <v>0</v>
      </c>
      <c r="U11" s="30">
        <f>('TE BE'!$Y$11+'TE BF'!$Y$11+'TE CVA'!$Y$11)*1</f>
        <v>5.2990697581821919</v>
      </c>
      <c r="W11" s="30">
        <v>2.5903602143268998</v>
      </c>
      <c r="X11" s="30">
        <v>-1.2437015709419601</v>
      </c>
      <c r="Y11" s="30">
        <v>0</v>
      </c>
      <c r="Z11" s="30">
        <v>-4.4339565273477302</v>
      </c>
      <c r="AA11" s="30">
        <v>242.34683381869201</v>
      </c>
      <c r="AB11" s="30">
        <v>6.7024720832918598</v>
      </c>
      <c r="AC11" s="30">
        <v>4.0338507847524001</v>
      </c>
      <c r="AD11" s="30">
        <v>0</v>
      </c>
      <c r="AE11" s="30">
        <v>0</v>
      </c>
      <c r="AF11" s="30">
        <v>6.3838359847864199</v>
      </c>
    </row>
    <row r="12" spans="1:32" ht="11.25" customHeight="1" x14ac:dyDescent="0.25">
      <c r="A12" s="130"/>
      <c r="B12" s="88" t="s">
        <v>96</v>
      </c>
      <c r="C12" s="88" t="s">
        <v>25</v>
      </c>
      <c r="D12" s="88" t="s">
        <v>25</v>
      </c>
      <c r="E12" s="88" t="s">
        <v>25</v>
      </c>
      <c r="F12" s="88" t="s">
        <v>25</v>
      </c>
      <c r="G12" s="32" t="s">
        <v>94</v>
      </c>
      <c r="H12" s="32" t="s">
        <v>88</v>
      </c>
      <c r="I12" s="32">
        <f>'MERCADO TE'!$U$9</f>
        <v>0</v>
      </c>
      <c r="J12" s="17"/>
      <c r="L12" s="30">
        <f>('TE BE'!$L$12+'TE BF'!$L$12+'TE CVA'!$L$12)*1</f>
        <v>2.5005275892065639</v>
      </c>
      <c r="M12" s="30">
        <f>('TE BE'!$M$12+'TE BF'!$M$12+'TE CVA'!$M$12)*1</f>
        <v>13.866547896201599</v>
      </c>
      <c r="N12" s="30">
        <f>('TE BE'!$N$12+'TE BF'!$N$12+'TE CVA'!$N$12)*1</f>
        <v>0</v>
      </c>
      <c r="O12" s="30">
        <f>('TE BE'!$O$12+'TE BF'!$O$12+'TE CVA'!$O$12)*1</f>
        <v>-5.9899887837723602</v>
      </c>
      <c r="P12" s="30">
        <f>('TE BE'!$Q$12+'TE BF'!$Q$12+'TE CVA'!$Q$12)*1</f>
        <v>213.26256788101344</v>
      </c>
      <c r="Q12" s="30">
        <f>('TE BE'!$S$12+'TE BF'!$S$12+'TE CVA'!$S$12)*1</f>
        <v>7.727919473703424</v>
      </c>
      <c r="R12" s="30">
        <f>('TE BE'!$T$12+'TE BF'!$T$12+'TE CVA'!$T$12)*1</f>
        <v>6.2390317012758114</v>
      </c>
      <c r="S12" s="30">
        <f>('TE BE'!$U$12+'TE BF'!$U$12+'TE CVA'!$U$12)*1</f>
        <v>0</v>
      </c>
      <c r="T12" s="30">
        <f>('TE BE'!$W$12+'TE BF'!$W$12+'TE CVA'!$W$12)*1</f>
        <v>0</v>
      </c>
      <c r="U12" s="30">
        <f>('TE BE'!$Y$12+'TE BF'!$Y$12+'TE CVA'!$Y$12)*1</f>
        <v>5.2990697581821919</v>
      </c>
      <c r="W12" s="30">
        <v>0</v>
      </c>
      <c r="X12" s="30">
        <v>0</v>
      </c>
      <c r="Y12" s="30">
        <v>0</v>
      </c>
      <c r="Z12" s="30">
        <v>0</v>
      </c>
      <c r="AA12" s="30">
        <v>0</v>
      </c>
      <c r="AB12" s="30">
        <v>0</v>
      </c>
      <c r="AC12" s="30">
        <v>0</v>
      </c>
      <c r="AD12" s="30">
        <v>0</v>
      </c>
      <c r="AE12" s="30">
        <v>0</v>
      </c>
      <c r="AF12" s="30">
        <v>0</v>
      </c>
    </row>
    <row r="13" spans="1:32" ht="11.25" customHeight="1" x14ac:dyDescent="0.25">
      <c r="A13" s="130" t="s">
        <v>44</v>
      </c>
      <c r="B13" s="130" t="s">
        <v>87</v>
      </c>
      <c r="C13" s="130" t="s">
        <v>25</v>
      </c>
      <c r="D13" s="130" t="s">
        <v>25</v>
      </c>
      <c r="E13" s="130" t="s">
        <v>25</v>
      </c>
      <c r="F13" s="130" t="s">
        <v>25</v>
      </c>
      <c r="G13" s="32" t="s">
        <v>89</v>
      </c>
      <c r="H13" s="32" t="s">
        <v>88</v>
      </c>
      <c r="I13" s="32">
        <f>'MERCADO TE'!$U$10</f>
        <v>34022.192000000003</v>
      </c>
      <c r="J13" s="17"/>
      <c r="L13" s="30">
        <f>('TE BE'!$L$13+'TE BF'!$L$13+'TE CVA'!$L$13)*1</f>
        <v>2.5005275892065639</v>
      </c>
      <c r="M13" s="30">
        <f>('TE BE'!$M$13+'TE BF'!$M$13+'TE CVA'!$M$13)*1</f>
        <v>13.866547896201599</v>
      </c>
      <c r="N13" s="30">
        <f>('TE BE'!$N$13+'TE BF'!$N$13+'TE CVA'!$N$13)*1</f>
        <v>0</v>
      </c>
      <c r="O13" s="30">
        <f>('TE BE'!$O$13+'TE BF'!$O$13+'TE CVA'!$O$13)*1</f>
        <v>-5.9899887837723602</v>
      </c>
      <c r="P13" s="30">
        <f>('TE BE'!$Q$13+'TE BF'!$Q$13+'TE CVA'!$Q$13)*1</f>
        <v>346.04869505221041</v>
      </c>
      <c r="Q13" s="30">
        <f>('TE BE'!$S$13+'TE BF'!$S$13+'TE CVA'!$S$13)*1</f>
        <v>7.727919473703424</v>
      </c>
      <c r="R13" s="30">
        <f>('TE BE'!$T$13+'TE BF'!$T$13+'TE CVA'!$T$13)*1</f>
        <v>6.2390317012758114</v>
      </c>
      <c r="S13" s="30">
        <f>('TE BE'!$U$13+'TE BF'!$U$13+'TE CVA'!$U$13)*1</f>
        <v>0</v>
      </c>
      <c r="T13" s="30">
        <f>('TE BE'!$W$13+'TE BF'!$W$13+'TE CVA'!$W$13)*1</f>
        <v>0</v>
      </c>
      <c r="U13" s="30">
        <f>('TE BE'!$Y$13+'TE BF'!$Y$13+'TE CVA'!$Y$13)*1</f>
        <v>5.2990697581821919</v>
      </c>
      <c r="W13" s="30">
        <v>2.5903602143268998</v>
      </c>
      <c r="X13" s="30">
        <v>-1.2437015709419601</v>
      </c>
      <c r="Y13" s="30">
        <v>0</v>
      </c>
      <c r="Z13" s="30">
        <v>-4.4339565273477302</v>
      </c>
      <c r="AA13" s="30">
        <v>416.83655416814997</v>
      </c>
      <c r="AB13" s="30">
        <v>6.7024720832918598</v>
      </c>
      <c r="AC13" s="30">
        <v>4.0338507847524001</v>
      </c>
      <c r="AD13" s="30">
        <v>0</v>
      </c>
      <c r="AE13" s="30">
        <v>0</v>
      </c>
      <c r="AF13" s="30">
        <v>6.3838359847864199</v>
      </c>
    </row>
    <row r="14" spans="1:32" ht="11.25" customHeight="1" x14ac:dyDescent="0.25">
      <c r="A14" s="130"/>
      <c r="B14" s="130"/>
      <c r="C14" s="130"/>
      <c r="D14" s="130"/>
      <c r="E14" s="130"/>
      <c r="F14" s="130"/>
      <c r="G14" s="32" t="s">
        <v>90</v>
      </c>
      <c r="H14" s="32" t="s">
        <v>88</v>
      </c>
      <c r="I14" s="32">
        <f>'MERCADO TE'!$U$11</f>
        <v>338432.99999999994</v>
      </c>
      <c r="J14" s="17"/>
      <c r="L14" s="30">
        <f>('TE BE'!$L$14+'TE BF'!$L$14+'TE CVA'!$L$14)*1</f>
        <v>2.5005275892065639</v>
      </c>
      <c r="M14" s="30">
        <f>('TE BE'!$M$14+'TE BF'!$M$14+'TE CVA'!$M$14)*1</f>
        <v>13.866547896201599</v>
      </c>
      <c r="N14" s="30">
        <f>('TE BE'!$N$14+'TE BF'!$N$14+'TE CVA'!$N$14)*1</f>
        <v>0</v>
      </c>
      <c r="O14" s="30">
        <f>('TE BE'!$O$14+'TE BF'!$O$14+'TE CVA'!$O$14)*1</f>
        <v>-5.9899887837723602</v>
      </c>
      <c r="P14" s="30">
        <f>('TE BE'!$Q$14+'TE BF'!$Q$14+'TE CVA'!$Q$14)*1</f>
        <v>201.19110177454098</v>
      </c>
      <c r="Q14" s="30">
        <f>('TE BE'!$S$14+'TE BF'!$S$14+'TE CVA'!$S$14)*1</f>
        <v>7.727919473703424</v>
      </c>
      <c r="R14" s="30">
        <f>('TE BE'!$T$14+'TE BF'!$T$14+'TE CVA'!$T$14)*1</f>
        <v>6.2390317012758114</v>
      </c>
      <c r="S14" s="30">
        <f>('TE BE'!$U$14+'TE BF'!$U$14+'TE CVA'!$U$14)*1</f>
        <v>0</v>
      </c>
      <c r="T14" s="30">
        <f>('TE BE'!$W$14+'TE BF'!$W$14+'TE CVA'!$W$14)*1</f>
        <v>0</v>
      </c>
      <c r="U14" s="30">
        <f>('TE BE'!$Y$14+'TE BF'!$Y$14+'TE CVA'!$Y$14)*1</f>
        <v>5.2990697581821919</v>
      </c>
      <c r="W14" s="30">
        <v>2.5903602143268998</v>
      </c>
      <c r="X14" s="30">
        <v>-1.2437015709419601</v>
      </c>
      <c r="Y14" s="30">
        <v>0</v>
      </c>
      <c r="Z14" s="30">
        <v>-4.4339565273477302</v>
      </c>
      <c r="AA14" s="30">
        <v>242.34683381869201</v>
      </c>
      <c r="AB14" s="30">
        <v>6.7024720832918598</v>
      </c>
      <c r="AC14" s="30">
        <v>4.0338507847524001</v>
      </c>
      <c r="AD14" s="30">
        <v>0</v>
      </c>
      <c r="AE14" s="30">
        <v>0</v>
      </c>
      <c r="AF14" s="30">
        <v>6.3838359847864199</v>
      </c>
    </row>
    <row r="15" spans="1:32" ht="11.25" customHeight="1" x14ac:dyDescent="0.25">
      <c r="A15" s="130"/>
      <c r="B15" s="88" t="s">
        <v>96</v>
      </c>
      <c r="C15" s="88" t="s">
        <v>25</v>
      </c>
      <c r="D15" s="88" t="s">
        <v>25</v>
      </c>
      <c r="E15" s="88" t="s">
        <v>25</v>
      </c>
      <c r="F15" s="88" t="s">
        <v>25</v>
      </c>
      <c r="G15" s="32" t="s">
        <v>94</v>
      </c>
      <c r="H15" s="32" t="s">
        <v>88</v>
      </c>
      <c r="I15" s="32">
        <f>'MERCADO TE'!$U$12</f>
        <v>0</v>
      </c>
      <c r="J15" s="17"/>
      <c r="L15" s="30">
        <f>('TE BE'!$L$15+'TE BF'!$L$15+'TE CVA'!$L$15)*1</f>
        <v>2.5005275892065639</v>
      </c>
      <c r="M15" s="30">
        <f>('TE BE'!$M$15+'TE BF'!$M$15+'TE CVA'!$M$15)*1</f>
        <v>13.866547896201599</v>
      </c>
      <c r="N15" s="30">
        <f>('TE BE'!$N$15+'TE BF'!$N$15+'TE CVA'!$N$15)*1</f>
        <v>0</v>
      </c>
      <c r="O15" s="30">
        <f>('TE BE'!$O$15+'TE BF'!$O$15+'TE CVA'!$O$15)*1</f>
        <v>-5.9899887837723602</v>
      </c>
      <c r="P15" s="30">
        <f>('TE BE'!$Q$15+'TE BF'!$Q$15+'TE CVA'!$Q$15)*1</f>
        <v>213.26256788101344</v>
      </c>
      <c r="Q15" s="30">
        <f>('TE BE'!$S$15+'TE BF'!$S$15+'TE CVA'!$S$15)*1</f>
        <v>7.727919473703424</v>
      </c>
      <c r="R15" s="30">
        <f>('TE BE'!$T$15+'TE BF'!$T$15+'TE CVA'!$T$15)*1</f>
        <v>6.2390317012758114</v>
      </c>
      <c r="S15" s="30">
        <f>('TE BE'!$U$15+'TE BF'!$U$15+'TE CVA'!$U$15)*1</f>
        <v>0</v>
      </c>
      <c r="T15" s="30">
        <f>('TE BE'!$W$15+'TE BF'!$W$15+'TE CVA'!$W$15)*1</f>
        <v>0</v>
      </c>
      <c r="U15" s="30">
        <f>('TE BE'!$Y$15+'TE BF'!$Y$15+'TE CVA'!$Y$15)*1</f>
        <v>5.2990697581821919</v>
      </c>
      <c r="W15" s="30">
        <v>0</v>
      </c>
      <c r="X15" s="30">
        <v>0</v>
      </c>
      <c r="Y15" s="30">
        <v>0</v>
      </c>
      <c r="Z15" s="30">
        <v>0</v>
      </c>
      <c r="AA15" s="30">
        <v>0</v>
      </c>
      <c r="AB15" s="30">
        <v>0</v>
      </c>
      <c r="AC15" s="30">
        <v>0</v>
      </c>
      <c r="AD15" s="30">
        <v>0</v>
      </c>
      <c r="AE15" s="30">
        <v>0</v>
      </c>
      <c r="AF15" s="30">
        <v>0</v>
      </c>
    </row>
    <row r="16" spans="1:32" ht="11.25" customHeight="1" x14ac:dyDescent="0.25">
      <c r="A16" s="130" t="s">
        <v>22</v>
      </c>
      <c r="B16" s="130" t="s">
        <v>87</v>
      </c>
      <c r="C16" s="130" t="s">
        <v>24</v>
      </c>
      <c r="D16" s="130" t="s">
        <v>24</v>
      </c>
      <c r="E16" s="130" t="s">
        <v>25</v>
      </c>
      <c r="F16" s="130" t="s">
        <v>25</v>
      </c>
      <c r="G16" s="32" t="s">
        <v>89</v>
      </c>
      <c r="H16" s="32" t="s">
        <v>88</v>
      </c>
      <c r="I16" s="32">
        <f>'MERCADO TE'!$U$13</f>
        <v>253.625</v>
      </c>
      <c r="J16" s="17"/>
      <c r="L16" s="30">
        <f>('TE BE'!$L$16+'TE BF'!$L$16+'TE CVA'!$L$16)*1</f>
        <v>2.5005275892065639</v>
      </c>
      <c r="M16" s="30">
        <f>('TE BE'!$M$16+'TE BF'!$M$16+'TE CVA'!$M$16)*1</f>
        <v>13.866547896201599</v>
      </c>
      <c r="N16" s="30">
        <f>('TE BE'!$N$16+'TE BF'!$N$16+'TE CVA'!$N$16)*1</f>
        <v>0</v>
      </c>
      <c r="O16" s="30">
        <f>('TE BE'!$O$16+'TE BF'!$O$16+'TE CVA'!$O$16)*1</f>
        <v>-5.9899887837723602</v>
      </c>
      <c r="P16" s="30">
        <f>('TE BE'!$Q$16+'TE BF'!$Q$16+'TE CVA'!$Q$16)*1</f>
        <v>346.04869505221041</v>
      </c>
      <c r="Q16" s="30">
        <f>('TE BE'!$S$16+'TE BF'!$S$16+'TE CVA'!$S$16)*1</f>
        <v>7.727919473703424</v>
      </c>
      <c r="R16" s="30">
        <f>('TE BE'!$T$16+'TE BF'!$T$16+'TE CVA'!$T$16)*1</f>
        <v>6.2390317012758114</v>
      </c>
      <c r="S16" s="30">
        <f>('TE BE'!$U$16+'TE BF'!$U$16+'TE CVA'!$U$16)*1</f>
        <v>0</v>
      </c>
      <c r="T16" s="30">
        <f>('TE BE'!$W$16+'TE BF'!$W$16+'TE CVA'!$W$16)*1</f>
        <v>0</v>
      </c>
      <c r="U16" s="30">
        <f>('TE BE'!$Y$16+'TE BF'!$Y$16+'TE CVA'!$Y$16)*1</f>
        <v>5.2990697581821919</v>
      </c>
      <c r="W16" s="30">
        <v>2.5903602143268998</v>
      </c>
      <c r="X16" s="30">
        <v>-1.2437015709419601</v>
      </c>
      <c r="Y16" s="30">
        <v>0</v>
      </c>
      <c r="Z16" s="30">
        <v>-4.4339565273477302</v>
      </c>
      <c r="AA16" s="30">
        <v>416.83655416814997</v>
      </c>
      <c r="AB16" s="30">
        <v>6.7024720832918598</v>
      </c>
      <c r="AC16" s="30">
        <v>4.0338507847524001</v>
      </c>
      <c r="AD16" s="30">
        <v>0</v>
      </c>
      <c r="AE16" s="30">
        <v>0</v>
      </c>
      <c r="AF16" s="30">
        <v>6.3838359847864199</v>
      </c>
    </row>
    <row r="17" spans="1:32" ht="11.25" customHeight="1" x14ac:dyDescent="0.25">
      <c r="A17" s="130"/>
      <c r="B17" s="130"/>
      <c r="C17" s="130"/>
      <c r="D17" s="130"/>
      <c r="E17" s="130"/>
      <c r="F17" s="130"/>
      <c r="G17" s="32" t="s">
        <v>100</v>
      </c>
      <c r="H17" s="32" t="s">
        <v>88</v>
      </c>
      <c r="I17" s="32">
        <f>'MERCADO TE'!$U$14</f>
        <v>165.69400000000005</v>
      </c>
      <c r="J17" s="17"/>
      <c r="L17" s="30">
        <f>('TE BE'!$L$17+'TE BF'!$L$17+'TE CVA'!$L$17)*1</f>
        <v>2.5005275892065639</v>
      </c>
      <c r="M17" s="30">
        <f>('TE BE'!$M$17+'TE BF'!$M$17+'TE CVA'!$M$17)*1</f>
        <v>13.866547896201599</v>
      </c>
      <c r="N17" s="30">
        <f>('TE BE'!$N$17+'TE BF'!$N$17+'TE CVA'!$N$17)*1</f>
        <v>0</v>
      </c>
      <c r="O17" s="30">
        <f>('TE BE'!$O$17+'TE BF'!$O$17+'TE CVA'!$O$17)*1</f>
        <v>-5.9899887837723602</v>
      </c>
      <c r="P17" s="30">
        <f>('TE BE'!$Q$17+'TE BF'!$Q$17+'TE CVA'!$Q$17)*1</f>
        <v>201.19110177454098</v>
      </c>
      <c r="Q17" s="30">
        <f>('TE BE'!$S$17+'TE BF'!$S$17+'TE CVA'!$S$17)*1</f>
        <v>7.727919473703424</v>
      </c>
      <c r="R17" s="30">
        <f>('TE BE'!$T$17+'TE BF'!$T$17+'TE CVA'!$T$17)*1</f>
        <v>6.2390317012758114</v>
      </c>
      <c r="S17" s="30">
        <f>('TE BE'!$U$17+'TE BF'!$U$17+'TE CVA'!$U$17)*1</f>
        <v>0</v>
      </c>
      <c r="T17" s="30">
        <f>('TE BE'!$W$17+'TE BF'!$W$17+'TE CVA'!$W$17)*1</f>
        <v>0</v>
      </c>
      <c r="U17" s="30">
        <f>('TE BE'!$Y$17+'TE BF'!$Y$17+'TE CVA'!$Y$17)*1</f>
        <v>5.2990697581821919</v>
      </c>
      <c r="W17" s="30">
        <v>2.5903602143268998</v>
      </c>
      <c r="X17" s="30">
        <v>-1.2437015709419601</v>
      </c>
      <c r="Y17" s="30">
        <v>0</v>
      </c>
      <c r="Z17" s="30">
        <v>-4.4339565273477302</v>
      </c>
      <c r="AA17" s="30">
        <v>242.34683381869201</v>
      </c>
      <c r="AB17" s="30">
        <v>6.7024720832918598</v>
      </c>
      <c r="AC17" s="30">
        <v>4.0338507847524001</v>
      </c>
      <c r="AD17" s="30">
        <v>0</v>
      </c>
      <c r="AE17" s="30">
        <v>0</v>
      </c>
      <c r="AF17" s="30">
        <v>6.3838359847864199</v>
      </c>
    </row>
    <row r="18" spans="1:32" ht="11.25" customHeight="1" x14ac:dyDescent="0.25">
      <c r="A18" s="130"/>
      <c r="B18" s="130"/>
      <c r="C18" s="130"/>
      <c r="D18" s="130"/>
      <c r="E18" s="130"/>
      <c r="F18" s="130"/>
      <c r="G18" s="32" t="s">
        <v>90</v>
      </c>
      <c r="H18" s="32" t="s">
        <v>88</v>
      </c>
      <c r="I18" s="32">
        <f>'MERCADO TE'!$U$15</f>
        <v>2116.5709999999999</v>
      </c>
      <c r="J18" s="17"/>
      <c r="L18" s="30">
        <f>('TE BE'!$L$18+'TE BF'!$L$18+'TE CVA'!$L$18)*1</f>
        <v>2.5005275892065639</v>
      </c>
      <c r="M18" s="30">
        <f>('TE BE'!$M$18+'TE BF'!$M$18+'TE CVA'!$M$18)*1</f>
        <v>13.866547896201599</v>
      </c>
      <c r="N18" s="30">
        <f>('TE BE'!$N$18+'TE BF'!$N$18+'TE CVA'!$N$18)*1</f>
        <v>0</v>
      </c>
      <c r="O18" s="30">
        <f>('TE BE'!$O$18+'TE BF'!$O$18+'TE CVA'!$O$18)*1</f>
        <v>-5.9899887837723602</v>
      </c>
      <c r="P18" s="30">
        <f>('TE BE'!$Q$18+'TE BF'!$Q$18+'TE CVA'!$Q$18)*1</f>
        <v>201.19110177454098</v>
      </c>
      <c r="Q18" s="30">
        <f>('TE BE'!$S$18+'TE BF'!$S$18+'TE CVA'!$S$18)*1</f>
        <v>7.727919473703424</v>
      </c>
      <c r="R18" s="30">
        <f>('TE BE'!$T$18+'TE BF'!$T$18+'TE CVA'!$T$18)*1</f>
        <v>6.2390317012758114</v>
      </c>
      <c r="S18" s="30">
        <f>('TE BE'!$U$18+'TE BF'!$U$18+'TE CVA'!$U$18)*1</f>
        <v>0</v>
      </c>
      <c r="T18" s="30">
        <f>('TE BE'!$W$18+'TE BF'!$W$18+'TE CVA'!$W$18)*1</f>
        <v>0</v>
      </c>
      <c r="U18" s="30">
        <f>('TE BE'!$Y$18+'TE BF'!$Y$18+'TE CVA'!$Y$18)*1</f>
        <v>5.2990697581821919</v>
      </c>
      <c r="W18" s="30">
        <v>2.5903602143268998</v>
      </c>
      <c r="X18" s="30">
        <v>-1.2437015709419601</v>
      </c>
      <c r="Y18" s="30">
        <v>0</v>
      </c>
      <c r="Z18" s="30">
        <v>-4.4339565273477302</v>
      </c>
      <c r="AA18" s="30">
        <v>242.34683381869201</v>
      </c>
      <c r="AB18" s="30">
        <v>6.7024720832918598</v>
      </c>
      <c r="AC18" s="30">
        <v>4.0338507847524001</v>
      </c>
      <c r="AD18" s="30">
        <v>0</v>
      </c>
      <c r="AE18" s="30">
        <v>0</v>
      </c>
      <c r="AF18" s="30">
        <v>6.3838359847864199</v>
      </c>
    </row>
    <row r="19" spans="1:32" ht="11.25" customHeight="1" x14ac:dyDescent="0.25">
      <c r="A19" s="130"/>
      <c r="B19" s="130" t="s">
        <v>96</v>
      </c>
      <c r="C19" s="130" t="s">
        <v>24</v>
      </c>
      <c r="D19" s="88" t="s">
        <v>24</v>
      </c>
      <c r="E19" s="88" t="s">
        <v>25</v>
      </c>
      <c r="F19" s="88" t="s">
        <v>25</v>
      </c>
      <c r="G19" s="32" t="s">
        <v>94</v>
      </c>
      <c r="H19" s="32" t="s">
        <v>88</v>
      </c>
      <c r="I19" s="32">
        <f>'MERCADO TE'!$U$16</f>
        <v>2322476.7919999999</v>
      </c>
      <c r="J19" s="17"/>
      <c r="L19" s="30">
        <f>('TE BE'!$L$19+'TE BF'!$L$19+'TE CVA'!$L$19)*1</f>
        <v>2.5005275892065639</v>
      </c>
      <c r="M19" s="30">
        <f>('TE BE'!$M$19+'TE BF'!$M$19+'TE CVA'!$M$19)*1</f>
        <v>13.866547896201599</v>
      </c>
      <c r="N19" s="30">
        <f>('TE BE'!$N$19+'TE BF'!$N$19+'TE CVA'!$N$19)*1</f>
        <v>0</v>
      </c>
      <c r="O19" s="30">
        <f>('TE BE'!$O$19+'TE BF'!$O$19+'TE CVA'!$O$19)*1</f>
        <v>-5.9899887837723602</v>
      </c>
      <c r="P19" s="30">
        <f>('TE BE'!$Q$19+'TE BF'!$Q$19+'TE CVA'!$Q$19)*1</f>
        <v>213.26256788101344</v>
      </c>
      <c r="Q19" s="30">
        <f>('TE BE'!$S$19+'TE BF'!$S$19+'TE CVA'!$S$19)*1</f>
        <v>7.727919473703424</v>
      </c>
      <c r="R19" s="30">
        <f>('TE BE'!$T$19+'TE BF'!$T$19+'TE CVA'!$T$19)*1</f>
        <v>6.2390317012758114</v>
      </c>
      <c r="S19" s="30">
        <f>('TE BE'!$U$19+'TE BF'!$U$19+'TE CVA'!$U$19)*1</f>
        <v>0</v>
      </c>
      <c r="T19" s="30">
        <f>('TE BE'!$W$19+'TE BF'!$W$19+'TE CVA'!$W$19)*1</f>
        <v>0</v>
      </c>
      <c r="U19" s="30">
        <f>('TE BE'!$Y$19+'TE BF'!$Y$19+'TE CVA'!$Y$19)*1</f>
        <v>5.2990697581821919</v>
      </c>
      <c r="W19" s="30">
        <v>2.5903602143268998</v>
      </c>
      <c r="X19" s="30">
        <v>-1.2437015709419601</v>
      </c>
      <c r="Y19" s="30">
        <v>0</v>
      </c>
      <c r="Z19" s="30">
        <v>-4.4339565273477302</v>
      </c>
      <c r="AA19" s="30">
        <v>256.88764384781399</v>
      </c>
      <c r="AB19" s="30">
        <v>6.7024720832918598</v>
      </c>
      <c r="AC19" s="30">
        <v>4.0338507847524001</v>
      </c>
      <c r="AD19" s="30">
        <v>0</v>
      </c>
      <c r="AE19" s="30">
        <v>0</v>
      </c>
      <c r="AF19" s="30">
        <v>6.3838359847864199</v>
      </c>
    </row>
    <row r="20" spans="1:32" ht="11.25" customHeight="1" x14ac:dyDescent="0.25">
      <c r="A20" s="130"/>
      <c r="B20" s="130"/>
      <c r="C20" s="130"/>
      <c r="D20" s="88" t="s">
        <v>29</v>
      </c>
      <c r="E20" s="88" t="s">
        <v>25</v>
      </c>
      <c r="F20" s="88" t="s">
        <v>25</v>
      </c>
      <c r="G20" s="32" t="s">
        <v>94</v>
      </c>
      <c r="H20" s="32" t="s">
        <v>88</v>
      </c>
      <c r="I20" s="32">
        <f>'MERCADO TE'!$U$17</f>
        <v>3506.9700000000003</v>
      </c>
      <c r="J20" s="17"/>
      <c r="L20" s="30">
        <f>('TE BE'!$L$20+'TE BF'!$L$20+'TE CVA'!$L$20)*(1 - 0.65)</f>
        <v>0.87518465622229735</v>
      </c>
      <c r="M20" s="30">
        <f>('TE BE'!$M$20+'TE BF'!$M$20+'TE CVA'!$M$20)*(1 - 0.65)</f>
        <v>4.8532917636705593</v>
      </c>
      <c r="N20" s="30">
        <f>('TE BE'!$N$20+'TE BF'!$N$20+'TE CVA'!$N$20)*(1 - 0.65)</f>
        <v>0</v>
      </c>
      <c r="O20" s="30">
        <f>('TE BE'!$O$20+'TE BF'!$O$20+'TE CVA'!$O$20)*(1 - 0.65)</f>
        <v>-2.096496074320326</v>
      </c>
      <c r="P20" s="30">
        <f>('TE BE'!$Q$20+'TE BF'!$Q$20+'TE CVA'!$Q$20)*(1 - 0.65)</f>
        <v>74.641898758354699</v>
      </c>
      <c r="Q20" s="30">
        <f>('TE BE'!$S$20+'TE BF'!$S$20+'TE CVA'!$S$20)*(1 - 0.65)</f>
        <v>2.7047718157961982</v>
      </c>
      <c r="R20" s="30">
        <f>('TE BE'!$T$20+'TE BF'!$T$20+'TE CVA'!$T$20)*(1 - 0.65)</f>
        <v>2.1836610954465336</v>
      </c>
      <c r="S20" s="30">
        <f>('TE BE'!$U$20+'TE BF'!$U$20+'TE CVA'!$U$20)*(1 - 0.65)</f>
        <v>0</v>
      </c>
      <c r="T20" s="30">
        <f>('TE BE'!$W$20+'TE BF'!$W$20+'TE CVA'!$W$20)*(1 - 0.65)</f>
        <v>0</v>
      </c>
      <c r="U20" s="30">
        <f>('TE BE'!$Y$20+'TE BF'!$Y$20+'TE CVA'!$Y$20)*(1 - 0.65)</f>
        <v>1.8546744153637671</v>
      </c>
      <c r="W20" s="30">
        <v>0.90662607501441606</v>
      </c>
      <c r="X20" s="30">
        <v>-0.43529554982968699</v>
      </c>
      <c r="Y20" s="30">
        <v>0</v>
      </c>
      <c r="Z20" s="30">
        <v>-1.5518847845717101</v>
      </c>
      <c r="AA20" s="30">
        <v>89.910675346734806</v>
      </c>
      <c r="AB20" s="30">
        <v>2.34586522915215</v>
      </c>
      <c r="AC20" s="30">
        <v>1.41184777466334</v>
      </c>
      <c r="AD20" s="30">
        <v>0</v>
      </c>
      <c r="AE20" s="30">
        <v>0</v>
      </c>
      <c r="AF20" s="30">
        <v>2.2343425946752502</v>
      </c>
    </row>
    <row r="21" spans="1:32" ht="11.25" customHeight="1" x14ac:dyDescent="0.25">
      <c r="A21" s="130"/>
      <c r="B21" s="130"/>
      <c r="C21" s="130"/>
      <c r="D21" s="88" t="s">
        <v>30</v>
      </c>
      <c r="E21" s="88" t="s">
        <v>25</v>
      </c>
      <c r="F21" s="88" t="s">
        <v>25</v>
      </c>
      <c r="G21" s="32" t="s">
        <v>94</v>
      </c>
      <c r="H21" s="32" t="s">
        <v>88</v>
      </c>
      <c r="I21" s="32">
        <f>'MERCADO TE'!$U$18</f>
        <v>7395.655999999999</v>
      </c>
      <c r="J21" s="17"/>
      <c r="L21" s="30">
        <f>('TE BE'!$L$21+'TE BF'!$L$21+'TE CVA'!$L$21)*(1 - 0.4)</f>
        <v>1.5003165535239382</v>
      </c>
      <c r="M21" s="30">
        <f>('TE BE'!$M$21+'TE BF'!$M$21+'TE CVA'!$M$21)*(1 - 0.4)</f>
        <v>8.319928737720959</v>
      </c>
      <c r="N21" s="30">
        <f>('TE BE'!$N$21+'TE BF'!$N$21+'TE CVA'!$N$21)*(1 - 0.4)</f>
        <v>0</v>
      </c>
      <c r="O21" s="30">
        <f>('TE BE'!$O$21+'TE BF'!$O$21+'TE CVA'!$O$21)*(1 - 0.4)</f>
        <v>-3.5939932702634159</v>
      </c>
      <c r="P21" s="30">
        <f>('TE BE'!$Q$21+'TE BF'!$Q$21+'TE CVA'!$Q$21)*(1 - 0.4)</f>
        <v>127.95754072860805</v>
      </c>
      <c r="Q21" s="30">
        <f>('TE BE'!$S$21+'TE BF'!$S$21+'TE CVA'!$S$21)*(1 - 0.4)</f>
        <v>4.6367516842220544</v>
      </c>
      <c r="R21" s="30">
        <f>('TE BE'!$T$21+'TE BF'!$T$21+'TE CVA'!$T$21)*(1 - 0.4)</f>
        <v>3.7434190207654865</v>
      </c>
      <c r="S21" s="30">
        <f>('TE BE'!$U$21+'TE BF'!$U$21+'TE CVA'!$U$21)*(1 - 0.4)</f>
        <v>0</v>
      </c>
      <c r="T21" s="30">
        <f>('TE BE'!$W$21+'TE BF'!$W$21+'TE CVA'!$W$21)*(1 - 0.4)</f>
        <v>0</v>
      </c>
      <c r="U21" s="30">
        <f>('TE BE'!$Y$21+'TE BF'!$Y$21+'TE CVA'!$Y$21)*(1 - 0.4)</f>
        <v>3.1794418549093151</v>
      </c>
      <c r="W21" s="30">
        <v>1.55421612859614</v>
      </c>
      <c r="X21" s="30">
        <v>-0.74622094256517701</v>
      </c>
      <c r="Y21" s="30">
        <v>0</v>
      </c>
      <c r="Z21" s="30">
        <v>-2.66037391640864</v>
      </c>
      <c r="AA21" s="30">
        <v>154.13258630868799</v>
      </c>
      <c r="AB21" s="30">
        <v>4.0214832499751099</v>
      </c>
      <c r="AC21" s="30">
        <v>2.4203104708514398</v>
      </c>
      <c r="AD21" s="30">
        <v>0</v>
      </c>
      <c r="AE21" s="30">
        <v>0</v>
      </c>
      <c r="AF21" s="30">
        <v>3.8303015908718501</v>
      </c>
    </row>
    <row r="22" spans="1:32" ht="11.25" customHeight="1" x14ac:dyDescent="0.25">
      <c r="A22" s="130"/>
      <c r="B22" s="130"/>
      <c r="C22" s="130"/>
      <c r="D22" s="88" t="s">
        <v>31</v>
      </c>
      <c r="E22" s="88" t="s">
        <v>25</v>
      </c>
      <c r="F22" s="88" t="s">
        <v>25</v>
      </c>
      <c r="G22" s="32" t="s">
        <v>94</v>
      </c>
      <c r="H22" s="32" t="s">
        <v>88</v>
      </c>
      <c r="I22" s="32">
        <f>'MERCADO TE'!$U$19</f>
        <v>7295.3609999999999</v>
      </c>
      <c r="J22" s="17"/>
      <c r="L22" s="30">
        <f>('TE BE'!$L$22+'TE BF'!$L$22+'TE CVA'!$L$22)*(1 - 0.1)</f>
        <v>2.2504748302859077</v>
      </c>
      <c r="M22" s="30">
        <f>('TE BE'!$M$22+'TE BF'!$M$22+'TE CVA'!$M$22)*(1 - 0.1)</f>
        <v>12.479893106581439</v>
      </c>
      <c r="N22" s="30">
        <f>('TE BE'!$N$22+'TE BF'!$N$22+'TE CVA'!$N$22)*(1 - 0.1)</f>
        <v>0</v>
      </c>
      <c r="O22" s="30">
        <f>('TE BE'!$O$22+'TE BF'!$O$22+'TE CVA'!$O$22)*(1 - 0.1)</f>
        <v>-5.3909899053951245</v>
      </c>
      <c r="P22" s="30">
        <f>('TE BE'!$Q$22+'TE BF'!$Q$22+'TE CVA'!$Q$22)*(1 - 0.1)</f>
        <v>191.93631109291209</v>
      </c>
      <c r="Q22" s="30">
        <f>('TE BE'!$S$22+'TE BF'!$S$22+'TE CVA'!$S$22)*(1 - 0.1)</f>
        <v>6.9551275263330821</v>
      </c>
      <c r="R22" s="30">
        <f>('TE BE'!$T$22+'TE BF'!$T$22+'TE CVA'!$T$22)*(1 - 0.1)</f>
        <v>5.6151285311482306</v>
      </c>
      <c r="S22" s="30">
        <f>('TE BE'!$U$22+'TE BF'!$U$22+'TE CVA'!$U$22)*(1 - 0.1)</f>
        <v>0</v>
      </c>
      <c r="T22" s="30">
        <f>('TE BE'!$W$22+'TE BF'!$W$22+'TE CVA'!$W$22)*(1 - 0.1)</f>
        <v>0</v>
      </c>
      <c r="U22" s="30">
        <f>('TE BE'!$Y$22+'TE BF'!$Y$22+'TE CVA'!$Y$22)*(1 - 0.1)</f>
        <v>4.7691627823639733</v>
      </c>
      <c r="W22" s="30">
        <v>2.3313241928942099</v>
      </c>
      <c r="X22" s="30">
        <v>-1.1193314138477699</v>
      </c>
      <c r="Y22" s="30">
        <v>0</v>
      </c>
      <c r="Z22" s="30">
        <v>-3.9905608746129602</v>
      </c>
      <c r="AA22" s="30">
        <v>231.198879463032</v>
      </c>
      <c r="AB22" s="30">
        <v>6.0322248749626697</v>
      </c>
      <c r="AC22" s="30">
        <v>3.6304657062771599</v>
      </c>
      <c r="AD22" s="30">
        <v>0</v>
      </c>
      <c r="AE22" s="30">
        <v>0</v>
      </c>
      <c r="AF22" s="30">
        <v>5.7454523863077798</v>
      </c>
    </row>
    <row r="23" spans="1:32" ht="11.25" customHeight="1" x14ac:dyDescent="0.25">
      <c r="A23" s="130"/>
      <c r="B23" s="130"/>
      <c r="C23" s="130"/>
      <c r="D23" s="88" t="s">
        <v>32</v>
      </c>
      <c r="E23" s="88" t="s">
        <v>25</v>
      </c>
      <c r="F23" s="88" t="s">
        <v>25</v>
      </c>
      <c r="G23" s="32" t="s">
        <v>94</v>
      </c>
      <c r="H23" s="32" t="s">
        <v>88</v>
      </c>
      <c r="I23" s="32">
        <f>'MERCADO TE'!$U$20</f>
        <v>2602.4059999999999</v>
      </c>
      <c r="J23" s="17"/>
      <c r="L23" s="30">
        <f>('TE BE'!$L$23+'TE BF'!$L$23+'TE CVA'!$L$23)*1</f>
        <v>2.5005275892065639</v>
      </c>
      <c r="M23" s="30">
        <f>('TE BE'!$M$23+'TE BF'!$M$23+'TE CVA'!$M$23)*1</f>
        <v>13.866547896201599</v>
      </c>
      <c r="N23" s="30">
        <f>('TE BE'!$N$23+'TE BF'!$N$23+'TE CVA'!$N$23)*1</f>
        <v>0</v>
      </c>
      <c r="O23" s="30">
        <f>('TE BE'!$O$23+'TE BF'!$O$23+'TE CVA'!$O$23)*1</f>
        <v>-5.9899887837723602</v>
      </c>
      <c r="P23" s="30">
        <f>('TE BE'!$Q$23+'TE BF'!$Q$23+'TE CVA'!$Q$23)*1</f>
        <v>213.26256788101344</v>
      </c>
      <c r="Q23" s="30">
        <f>('TE BE'!$S$23+'TE BF'!$S$23+'TE CVA'!$S$23)*1</f>
        <v>7.727919473703424</v>
      </c>
      <c r="R23" s="30">
        <f>('TE BE'!$T$23+'TE BF'!$T$23+'TE CVA'!$T$23)*1</f>
        <v>6.2390317012758114</v>
      </c>
      <c r="S23" s="30">
        <f>('TE BE'!$U$23+'TE BF'!$U$23+'TE CVA'!$U$23)*1</f>
        <v>0</v>
      </c>
      <c r="T23" s="30">
        <f>('TE BE'!$W$23+'TE BF'!$W$23+'TE CVA'!$W$23)*1</f>
        <v>0</v>
      </c>
      <c r="U23" s="30">
        <f>('TE BE'!$Y$23+'TE BF'!$Y$23+'TE CVA'!$Y$23)*1</f>
        <v>5.2990697581821919</v>
      </c>
      <c r="W23" s="30">
        <v>2.5903602143268998</v>
      </c>
      <c r="X23" s="30">
        <v>-1.2437015709419601</v>
      </c>
      <c r="Y23" s="30">
        <v>0</v>
      </c>
      <c r="Z23" s="30">
        <v>-4.4339565273477302</v>
      </c>
      <c r="AA23" s="30">
        <v>256.88764384781399</v>
      </c>
      <c r="AB23" s="30">
        <v>6.7024720832918598</v>
      </c>
      <c r="AC23" s="30">
        <v>4.0338507847524001</v>
      </c>
      <c r="AD23" s="30">
        <v>0</v>
      </c>
      <c r="AE23" s="30">
        <v>0</v>
      </c>
      <c r="AF23" s="30">
        <v>6.3838359847864199</v>
      </c>
    </row>
    <row r="24" spans="1:32" ht="11.25" customHeight="1" x14ac:dyDescent="0.25">
      <c r="A24" s="130"/>
      <c r="B24" s="130" t="s">
        <v>101</v>
      </c>
      <c r="C24" s="130" t="s">
        <v>24</v>
      </c>
      <c r="D24" s="88" t="s">
        <v>24</v>
      </c>
      <c r="E24" s="88" t="s">
        <v>25</v>
      </c>
      <c r="F24" s="88" t="s">
        <v>25</v>
      </c>
      <c r="G24" s="32" t="s">
        <v>94</v>
      </c>
      <c r="H24" s="32" t="s">
        <v>88</v>
      </c>
      <c r="I24" s="32">
        <f>'MERCADO TE'!$U$21</f>
        <v>0</v>
      </c>
      <c r="J24" s="17"/>
      <c r="L24" s="30">
        <f>('TE BE'!$L$24+'TE BF'!$L$24+'TE CVA'!$L$24)*1</f>
        <v>2.5005275892065639</v>
      </c>
      <c r="M24" s="30">
        <f>('TE BE'!$M$24+'TE BF'!$M$24+'TE CVA'!$M$24)*1</f>
        <v>13.866547896201599</v>
      </c>
      <c r="N24" s="30">
        <f>('TE BE'!$N$24+'TE BF'!$N$24+'TE CVA'!$N$24)*1</f>
        <v>0</v>
      </c>
      <c r="O24" s="30">
        <f>('TE BE'!$O$24+'TE BF'!$O$24+'TE CVA'!$O$24)*1</f>
        <v>-5.9899887837723602</v>
      </c>
      <c r="P24" s="30">
        <f>('TE BE'!$Q$24+'TE BF'!$Q$24+'TE CVA'!$Q$24)*1</f>
        <v>213.26256788101344</v>
      </c>
      <c r="Q24" s="30">
        <f>('TE BE'!$S$24+'TE BF'!$S$24+'TE CVA'!$S$24)*1</f>
        <v>7.727919473703424</v>
      </c>
      <c r="R24" s="30">
        <f>('TE BE'!$T$24+'TE BF'!$T$24+'TE CVA'!$T$24)*1</f>
        <v>6.2390317012758114</v>
      </c>
      <c r="S24" s="30">
        <f>('TE BE'!$U$24+'TE BF'!$U$24+'TE CVA'!$U$24)*1</f>
        <v>0</v>
      </c>
      <c r="T24" s="30">
        <f>('TE BE'!$W$24+'TE BF'!$W$24+'TE CVA'!$W$24)*1</f>
        <v>0</v>
      </c>
      <c r="U24" s="30">
        <f>('TE BE'!$Y$24+'TE BF'!$Y$24+'TE CVA'!$Y$24)*1</f>
        <v>5.2990697581821919</v>
      </c>
      <c r="W24" s="30">
        <v>2.5903602143268998</v>
      </c>
      <c r="X24" s="30">
        <v>-1.2437015709419601</v>
      </c>
      <c r="Y24" s="30">
        <v>0</v>
      </c>
      <c r="Z24" s="30">
        <v>-4.4339565273477302</v>
      </c>
      <c r="AA24" s="30">
        <v>256.88764384781399</v>
      </c>
      <c r="AB24" s="30">
        <v>6.7024720832918598</v>
      </c>
      <c r="AC24" s="30">
        <v>4.0338507847524001</v>
      </c>
      <c r="AD24" s="30">
        <v>0</v>
      </c>
      <c r="AE24" s="30">
        <v>0</v>
      </c>
      <c r="AF24" s="30">
        <v>6.3838359847864199</v>
      </c>
    </row>
    <row r="25" spans="1:32" ht="11.25" customHeight="1" x14ac:dyDescent="0.25">
      <c r="A25" s="130"/>
      <c r="B25" s="130"/>
      <c r="C25" s="130"/>
      <c r="D25" s="88" t="s">
        <v>29</v>
      </c>
      <c r="E25" s="88" t="s">
        <v>25</v>
      </c>
      <c r="F25" s="88" t="s">
        <v>25</v>
      </c>
      <c r="G25" s="32" t="s">
        <v>94</v>
      </c>
      <c r="H25" s="32" t="s">
        <v>88</v>
      </c>
      <c r="I25" s="32">
        <f>'MERCADO TE'!$U$22</f>
        <v>0</v>
      </c>
      <c r="J25" s="17"/>
      <c r="L25" s="30">
        <f>('TE BE'!$L$25+'TE BF'!$L$25+'TE CVA'!$L$25)*(1 - 0.65)</f>
        <v>0.87518465622229735</v>
      </c>
      <c r="M25" s="30">
        <f>('TE BE'!$M$25+'TE BF'!$M$25+'TE CVA'!$M$25)*(1 - 0.65)</f>
        <v>4.8532917636705593</v>
      </c>
      <c r="N25" s="30">
        <f>('TE BE'!$N$25+'TE BF'!$N$25+'TE CVA'!$N$25)*(1 - 0.65)</f>
        <v>0</v>
      </c>
      <c r="O25" s="30">
        <f>('TE BE'!$O$25+'TE BF'!$O$25+'TE CVA'!$O$25)*(1 - 0.65)</f>
        <v>-2.096496074320326</v>
      </c>
      <c r="P25" s="30">
        <f>('TE BE'!$Q$25+'TE BF'!$Q$25+'TE CVA'!$Q$25)*(1 - 0.65)</f>
        <v>74.641898758354699</v>
      </c>
      <c r="Q25" s="30">
        <f>('TE BE'!$S$25+'TE BF'!$S$25+'TE CVA'!$S$25)*(1 - 0.65)</f>
        <v>2.7047718157961982</v>
      </c>
      <c r="R25" s="30">
        <f>('TE BE'!$T$25+'TE BF'!$T$25+'TE CVA'!$T$25)*(1 - 0.65)</f>
        <v>2.1836610954465336</v>
      </c>
      <c r="S25" s="30">
        <f>('TE BE'!$U$25+'TE BF'!$U$25+'TE CVA'!$U$25)*(1 - 0.65)</f>
        <v>0</v>
      </c>
      <c r="T25" s="30">
        <f>('TE BE'!$W$25+'TE BF'!$W$25+'TE CVA'!$W$25)*(1 - 0.65)</f>
        <v>0</v>
      </c>
      <c r="U25" s="30">
        <f>('TE BE'!$Y$25+'TE BF'!$Y$25+'TE CVA'!$Y$25)*(1 - 0.65)</f>
        <v>1.8546744153637671</v>
      </c>
      <c r="W25" s="30">
        <v>0.90662607501441606</v>
      </c>
      <c r="X25" s="30">
        <v>-0.43529554982968699</v>
      </c>
      <c r="Y25" s="30">
        <v>0</v>
      </c>
      <c r="Z25" s="30">
        <v>-1.5518847845717101</v>
      </c>
      <c r="AA25" s="30">
        <v>89.910675346734806</v>
      </c>
      <c r="AB25" s="30">
        <v>2.34586522915215</v>
      </c>
      <c r="AC25" s="30">
        <v>1.41184777466334</v>
      </c>
      <c r="AD25" s="30">
        <v>0</v>
      </c>
      <c r="AE25" s="30">
        <v>0</v>
      </c>
      <c r="AF25" s="30">
        <v>2.2343425946752502</v>
      </c>
    </row>
    <row r="26" spans="1:32" ht="11.25" customHeight="1" x14ac:dyDescent="0.25">
      <c r="A26" s="130"/>
      <c r="B26" s="130"/>
      <c r="C26" s="130"/>
      <c r="D26" s="88" t="s">
        <v>30</v>
      </c>
      <c r="E26" s="88" t="s">
        <v>25</v>
      </c>
      <c r="F26" s="88" t="s">
        <v>25</v>
      </c>
      <c r="G26" s="32" t="s">
        <v>94</v>
      </c>
      <c r="H26" s="32" t="s">
        <v>88</v>
      </c>
      <c r="I26" s="32">
        <f>'MERCADO TE'!$U$23</f>
        <v>0</v>
      </c>
      <c r="J26" s="17"/>
      <c r="L26" s="30">
        <f>('TE BE'!$L$26+'TE BF'!$L$26+'TE CVA'!$L$26)*(1 - 0.4)</f>
        <v>1.5003165535239382</v>
      </c>
      <c r="M26" s="30">
        <f>('TE BE'!$M$26+'TE BF'!$M$26+'TE CVA'!$M$26)*(1 - 0.4)</f>
        <v>8.319928737720959</v>
      </c>
      <c r="N26" s="30">
        <f>('TE BE'!$N$26+'TE BF'!$N$26+'TE CVA'!$N$26)*(1 - 0.4)</f>
        <v>0</v>
      </c>
      <c r="O26" s="30">
        <f>('TE BE'!$O$26+'TE BF'!$O$26+'TE CVA'!$O$26)*(1 - 0.4)</f>
        <v>-3.5939932702634159</v>
      </c>
      <c r="P26" s="30">
        <f>('TE BE'!$Q$26+'TE BF'!$Q$26+'TE CVA'!$Q$26)*(1 - 0.4)</f>
        <v>127.95754072860805</v>
      </c>
      <c r="Q26" s="30">
        <f>('TE BE'!$S$26+'TE BF'!$S$26+'TE CVA'!$S$26)*(1 - 0.4)</f>
        <v>4.6367516842220544</v>
      </c>
      <c r="R26" s="30">
        <f>('TE BE'!$T$26+'TE BF'!$T$26+'TE CVA'!$T$26)*(1 - 0.4)</f>
        <v>3.7434190207654865</v>
      </c>
      <c r="S26" s="30">
        <f>('TE BE'!$U$26+'TE BF'!$U$26+'TE CVA'!$U$26)*(1 - 0.4)</f>
        <v>0</v>
      </c>
      <c r="T26" s="30">
        <f>('TE BE'!$W$26+'TE BF'!$W$26+'TE CVA'!$W$26)*(1 - 0.4)</f>
        <v>0</v>
      </c>
      <c r="U26" s="30">
        <f>('TE BE'!$Y$26+'TE BF'!$Y$26+'TE CVA'!$Y$26)*(1 - 0.4)</f>
        <v>3.1794418549093151</v>
      </c>
      <c r="W26" s="30">
        <v>1.55421612859614</v>
      </c>
      <c r="X26" s="30">
        <v>-0.74622094256517701</v>
      </c>
      <c r="Y26" s="30">
        <v>0</v>
      </c>
      <c r="Z26" s="30">
        <v>-2.66037391640864</v>
      </c>
      <c r="AA26" s="30">
        <v>154.13258630868799</v>
      </c>
      <c r="AB26" s="30">
        <v>4.0214832499751099</v>
      </c>
      <c r="AC26" s="30">
        <v>2.4203104708514398</v>
      </c>
      <c r="AD26" s="30">
        <v>0</v>
      </c>
      <c r="AE26" s="30">
        <v>0</v>
      </c>
      <c r="AF26" s="30">
        <v>3.8303015908718501</v>
      </c>
    </row>
    <row r="27" spans="1:32" ht="11.25" customHeight="1" x14ac:dyDescent="0.25">
      <c r="A27" s="130"/>
      <c r="B27" s="130"/>
      <c r="C27" s="130"/>
      <c r="D27" s="88" t="s">
        <v>31</v>
      </c>
      <c r="E27" s="88" t="s">
        <v>25</v>
      </c>
      <c r="F27" s="88" t="s">
        <v>25</v>
      </c>
      <c r="G27" s="32" t="s">
        <v>94</v>
      </c>
      <c r="H27" s="32" t="s">
        <v>88</v>
      </c>
      <c r="I27" s="32">
        <f>'MERCADO TE'!$U$24</f>
        <v>0</v>
      </c>
      <c r="J27" s="17"/>
      <c r="L27" s="30">
        <f>('TE BE'!$L$27+'TE BF'!$L$27+'TE CVA'!$L$27)*(1 - 0.1)</f>
        <v>2.2504748302859077</v>
      </c>
      <c r="M27" s="30">
        <f>('TE BE'!$M$27+'TE BF'!$M$27+'TE CVA'!$M$27)*(1 - 0.1)</f>
        <v>12.479893106581439</v>
      </c>
      <c r="N27" s="30">
        <f>('TE BE'!$N$27+'TE BF'!$N$27+'TE CVA'!$N$27)*(1 - 0.1)</f>
        <v>0</v>
      </c>
      <c r="O27" s="30">
        <f>('TE BE'!$O$27+'TE BF'!$O$27+'TE CVA'!$O$27)*(1 - 0.1)</f>
        <v>-5.3909899053951245</v>
      </c>
      <c r="P27" s="30">
        <f>('TE BE'!$Q$27+'TE BF'!$Q$27+'TE CVA'!$Q$27)*(1 - 0.1)</f>
        <v>191.93631109291209</v>
      </c>
      <c r="Q27" s="30">
        <f>('TE BE'!$S$27+'TE BF'!$S$27+'TE CVA'!$S$27)*(1 - 0.1)</f>
        <v>6.9551275263330821</v>
      </c>
      <c r="R27" s="30">
        <f>('TE BE'!$T$27+'TE BF'!$T$27+'TE CVA'!$T$27)*(1 - 0.1)</f>
        <v>5.6151285311482306</v>
      </c>
      <c r="S27" s="30">
        <f>('TE BE'!$U$27+'TE BF'!$U$27+'TE CVA'!$U$27)*(1 - 0.1)</f>
        <v>0</v>
      </c>
      <c r="T27" s="30">
        <f>('TE BE'!$W$27+'TE BF'!$W$27+'TE CVA'!$W$27)*(1 - 0.1)</f>
        <v>0</v>
      </c>
      <c r="U27" s="30">
        <f>('TE BE'!$Y$27+'TE BF'!$Y$27+'TE CVA'!$Y$27)*(1 - 0.1)</f>
        <v>4.7691627823639733</v>
      </c>
      <c r="W27" s="30">
        <v>2.3313241928942099</v>
      </c>
      <c r="X27" s="30">
        <v>-1.1193314138477699</v>
      </c>
      <c r="Y27" s="30">
        <v>0</v>
      </c>
      <c r="Z27" s="30">
        <v>-3.9905608746129602</v>
      </c>
      <c r="AA27" s="30">
        <v>231.198879463032</v>
      </c>
      <c r="AB27" s="30">
        <v>6.0322248749626697</v>
      </c>
      <c r="AC27" s="30">
        <v>3.6304657062771599</v>
      </c>
      <c r="AD27" s="30">
        <v>0</v>
      </c>
      <c r="AE27" s="30">
        <v>0</v>
      </c>
      <c r="AF27" s="30">
        <v>5.7454523863077798</v>
      </c>
    </row>
    <row r="28" spans="1:32" ht="11.25" customHeight="1" x14ac:dyDescent="0.25">
      <c r="A28" s="130"/>
      <c r="B28" s="130"/>
      <c r="C28" s="130"/>
      <c r="D28" s="88" t="s">
        <v>32</v>
      </c>
      <c r="E28" s="88" t="s">
        <v>25</v>
      </c>
      <c r="F28" s="88" t="s">
        <v>25</v>
      </c>
      <c r="G28" s="32" t="s">
        <v>94</v>
      </c>
      <c r="H28" s="32" t="s">
        <v>88</v>
      </c>
      <c r="I28" s="32">
        <f>'MERCADO TE'!$U$25</f>
        <v>0</v>
      </c>
      <c r="J28" s="17"/>
      <c r="L28" s="30">
        <f>('TE BE'!$L$28+'TE BF'!$L$28+'TE CVA'!$L$28)*1</f>
        <v>2.5005275892065639</v>
      </c>
      <c r="M28" s="30">
        <f>('TE BE'!$M$28+'TE BF'!$M$28+'TE CVA'!$M$28)*1</f>
        <v>13.866547896201599</v>
      </c>
      <c r="N28" s="30">
        <f>('TE BE'!$N$28+'TE BF'!$N$28+'TE CVA'!$N$28)*1</f>
        <v>0</v>
      </c>
      <c r="O28" s="30">
        <f>('TE BE'!$O$28+'TE BF'!$O$28+'TE CVA'!$O$28)*1</f>
        <v>-5.9899887837723602</v>
      </c>
      <c r="P28" s="30">
        <f>('TE BE'!$Q$28+'TE BF'!$Q$28+'TE CVA'!$Q$28)*1</f>
        <v>213.26256788101344</v>
      </c>
      <c r="Q28" s="30">
        <f>('TE BE'!$S$28+'TE BF'!$S$28+'TE CVA'!$S$28)*1</f>
        <v>7.727919473703424</v>
      </c>
      <c r="R28" s="30">
        <f>('TE BE'!$T$28+'TE BF'!$T$28+'TE CVA'!$T$28)*1</f>
        <v>6.2390317012758114</v>
      </c>
      <c r="S28" s="30">
        <f>('TE BE'!$U$28+'TE BF'!$U$28+'TE CVA'!$U$28)*1</f>
        <v>0</v>
      </c>
      <c r="T28" s="30">
        <f>('TE BE'!$W$28+'TE BF'!$W$28+'TE CVA'!$W$28)*1</f>
        <v>0</v>
      </c>
      <c r="U28" s="30">
        <f>('TE BE'!$Y$28+'TE BF'!$Y$28+'TE CVA'!$Y$28)*1</f>
        <v>5.2990697581821919</v>
      </c>
      <c r="W28" s="30">
        <v>2.5903602143268998</v>
      </c>
      <c r="X28" s="30">
        <v>-1.2437015709419601</v>
      </c>
      <c r="Y28" s="30">
        <v>0</v>
      </c>
      <c r="Z28" s="30">
        <v>-4.4339565273477302</v>
      </c>
      <c r="AA28" s="30">
        <v>256.88764384781399</v>
      </c>
      <c r="AB28" s="30">
        <v>6.7024720832918598</v>
      </c>
      <c r="AC28" s="30">
        <v>4.0338507847524001</v>
      </c>
      <c r="AD28" s="30">
        <v>0</v>
      </c>
      <c r="AE28" s="30">
        <v>0</v>
      </c>
      <c r="AF28" s="30">
        <v>6.3838359847864199</v>
      </c>
    </row>
    <row r="29" spans="1:32" ht="11.25" customHeight="1" x14ac:dyDescent="0.25">
      <c r="A29" s="130" t="s">
        <v>46</v>
      </c>
      <c r="B29" s="130" t="s">
        <v>87</v>
      </c>
      <c r="C29" s="130" t="s">
        <v>47</v>
      </c>
      <c r="D29" s="130" t="s">
        <v>25</v>
      </c>
      <c r="E29" s="130" t="s">
        <v>25</v>
      </c>
      <c r="F29" s="130" t="s">
        <v>25</v>
      </c>
      <c r="G29" s="32" t="s">
        <v>89</v>
      </c>
      <c r="H29" s="32" t="s">
        <v>88</v>
      </c>
      <c r="I29" s="32">
        <f>'MERCADO TE'!$U$26</f>
        <v>1.0549999999999999</v>
      </c>
      <c r="J29" s="17"/>
      <c r="L29" s="30">
        <f>('TE BE'!$L$29+'TE BF'!$L$29+'TE CVA'!$L$29)*(1 - CUSTOS!$M$38)</f>
        <v>2.0504326231493826</v>
      </c>
      <c r="M29" s="30">
        <f>('TE BE'!$M$29+'TE BF'!$M$29+'TE CVA'!$M$29)*(1 - CUSTOS!$M$38)</f>
        <v>11.370569274885312</v>
      </c>
      <c r="N29" s="30">
        <f>('TE BE'!$N$29+'TE BF'!$N$29+'TE CVA'!$N$29)*(1 - CUSTOS!$M$38)</f>
        <v>0</v>
      </c>
      <c r="O29" s="30">
        <f>('TE BE'!$O$29+'TE BF'!$O$29+'TE CVA'!$O$29)*(1 - CUSTOS!$M$38)</f>
        <v>-4.9117908026933357</v>
      </c>
      <c r="P29" s="30">
        <f>('TE BE'!$Q$29+'TE BF'!$Q$29+'TE CVA'!$Q$29)*(1 - CUSTOS!$M$38)</f>
        <v>283.75992994281256</v>
      </c>
      <c r="Q29" s="30">
        <f>('TE BE'!$S$29+'TE BF'!$S$29+'TE CVA'!$S$29)*(1 - CUSTOS!$M$38)</f>
        <v>6.336893968436808</v>
      </c>
      <c r="R29" s="30">
        <f>('TE BE'!$T$29+'TE BF'!$T$29+'TE CVA'!$T$29)*(1 - CUSTOS!$M$38)</f>
        <v>5.1160059950461658</v>
      </c>
      <c r="S29" s="30">
        <f>('TE BE'!$U$29+'TE BF'!$U$29+'TE CVA'!$U$29)*(1 - CUSTOS!$M$38)</f>
        <v>0</v>
      </c>
      <c r="T29" s="30">
        <f>('TE BE'!$W$29+'TE BF'!$W$29+'TE CVA'!$W$29)*(1 - CUSTOS!$M$38)</f>
        <v>0</v>
      </c>
      <c r="U29" s="30">
        <f>('TE BE'!$Y$29+'TE BF'!$Y$29+'TE CVA'!$Y$29)*(1 - CUSTOS!$M$38)</f>
        <v>4.3452372017093976</v>
      </c>
      <c r="W29" s="30">
        <v>1.9686737628884501</v>
      </c>
      <c r="X29" s="30">
        <v>-0.94521319391589098</v>
      </c>
      <c r="Y29" s="30">
        <v>0</v>
      </c>
      <c r="Z29" s="30">
        <v>-3.3698069607842802</v>
      </c>
      <c r="AA29" s="30">
        <v>316.79578116779402</v>
      </c>
      <c r="AB29" s="30">
        <v>5.0938787833018102</v>
      </c>
      <c r="AC29" s="30">
        <v>3.0657265964118201</v>
      </c>
      <c r="AD29" s="30">
        <v>0</v>
      </c>
      <c r="AE29" s="30">
        <v>0</v>
      </c>
      <c r="AF29" s="30">
        <v>4.85171534843768</v>
      </c>
    </row>
    <row r="30" spans="1:32" ht="11.25" customHeight="1" x14ac:dyDescent="0.25">
      <c r="A30" s="130"/>
      <c r="B30" s="130"/>
      <c r="C30" s="130"/>
      <c r="D30" s="130"/>
      <c r="E30" s="130"/>
      <c r="F30" s="130"/>
      <c r="G30" s="32" t="s">
        <v>100</v>
      </c>
      <c r="H30" s="32" t="s">
        <v>88</v>
      </c>
      <c r="I30" s="32">
        <f>'MERCADO TE'!$U$27</f>
        <v>0.57700000000000007</v>
      </c>
      <c r="J30" s="17"/>
      <c r="L30" s="30">
        <f>('TE BE'!$L$30+'TE BF'!$L$30+'TE CVA'!$L$30)*(1 - CUSTOS!$M$38)</f>
        <v>2.0504326231493826</v>
      </c>
      <c r="M30" s="30">
        <f>('TE BE'!$M$30+'TE BF'!$M$30+'TE CVA'!$M$30)*(1 - CUSTOS!$M$38)</f>
        <v>11.370569274885312</v>
      </c>
      <c r="N30" s="30">
        <f>('TE BE'!$N$30+'TE BF'!$N$30+'TE CVA'!$N$30)*(1 - CUSTOS!$M$38)</f>
        <v>0</v>
      </c>
      <c r="O30" s="30">
        <f>('TE BE'!$O$30+'TE BF'!$O$30+'TE CVA'!$O$30)*(1 - CUSTOS!$M$38)</f>
        <v>-4.9117908026933357</v>
      </c>
      <c r="P30" s="30">
        <f>('TE BE'!$Q$30+'TE BF'!$Q$30+'TE CVA'!$Q$30)*(1 - CUSTOS!$M$38)</f>
        <v>164.97670345512361</v>
      </c>
      <c r="Q30" s="30">
        <f>('TE BE'!$S$30+'TE BF'!$S$30+'TE CVA'!$S$30)*(1 - CUSTOS!$M$38)</f>
        <v>6.336893968436808</v>
      </c>
      <c r="R30" s="30">
        <f>('TE BE'!$T$30+'TE BF'!$T$30+'TE CVA'!$T$30)*(1 - CUSTOS!$M$38)</f>
        <v>5.1160059950461658</v>
      </c>
      <c r="S30" s="30">
        <f>('TE BE'!$U$30+'TE BF'!$U$30+'TE CVA'!$U$30)*(1 - CUSTOS!$M$38)</f>
        <v>0</v>
      </c>
      <c r="T30" s="30">
        <f>('TE BE'!$W$30+'TE BF'!$W$30+'TE CVA'!$W$30)*(1 - CUSTOS!$M$38)</f>
        <v>0</v>
      </c>
      <c r="U30" s="30">
        <f>('TE BE'!$Y$30+'TE BF'!$Y$30+'TE CVA'!$Y$30)*(1 - CUSTOS!$M$38)</f>
        <v>4.3452372017093976</v>
      </c>
      <c r="W30" s="30">
        <v>1.9686737628884501</v>
      </c>
      <c r="X30" s="30">
        <v>-0.94521319391589098</v>
      </c>
      <c r="Y30" s="30">
        <v>0</v>
      </c>
      <c r="Z30" s="30">
        <v>-3.3698069607842802</v>
      </c>
      <c r="AA30" s="30">
        <v>184.183593702206</v>
      </c>
      <c r="AB30" s="30">
        <v>5.0938787833018102</v>
      </c>
      <c r="AC30" s="30">
        <v>3.0657265964118201</v>
      </c>
      <c r="AD30" s="30">
        <v>0</v>
      </c>
      <c r="AE30" s="30">
        <v>0</v>
      </c>
      <c r="AF30" s="30">
        <v>4.85171534843768</v>
      </c>
    </row>
    <row r="31" spans="1:32" ht="11.25" customHeight="1" x14ac:dyDescent="0.25">
      <c r="A31" s="130"/>
      <c r="B31" s="130"/>
      <c r="C31" s="130"/>
      <c r="D31" s="130"/>
      <c r="E31" s="130"/>
      <c r="F31" s="130"/>
      <c r="G31" s="32" t="s">
        <v>90</v>
      </c>
      <c r="H31" s="32" t="s">
        <v>88</v>
      </c>
      <c r="I31" s="32">
        <f>'MERCADO TE'!$U$28</f>
        <v>5.0120000000000005</v>
      </c>
      <c r="J31" s="17"/>
      <c r="L31" s="30">
        <f>('TE BE'!$L$31+'TE BF'!$L$31+'TE CVA'!$L$31)*(1 - CUSTOS!$M$38)</f>
        <v>2.0504326231493826</v>
      </c>
      <c r="M31" s="30">
        <f>('TE BE'!$M$31+'TE BF'!$M$31+'TE CVA'!$M$31)*(1 - CUSTOS!$M$38)</f>
        <v>11.370569274885312</v>
      </c>
      <c r="N31" s="30">
        <f>('TE BE'!$N$31+'TE BF'!$N$31+'TE CVA'!$N$31)*(1 - CUSTOS!$M$38)</f>
        <v>0</v>
      </c>
      <c r="O31" s="30">
        <f>('TE BE'!$O$31+'TE BF'!$O$31+'TE CVA'!$O$31)*(1 - CUSTOS!$M$38)</f>
        <v>-4.9117908026933357</v>
      </c>
      <c r="P31" s="30">
        <f>('TE BE'!$Q$31+'TE BF'!$Q$31+'TE CVA'!$Q$31)*(1 - CUSTOS!$M$38)</f>
        <v>164.97670345512361</v>
      </c>
      <c r="Q31" s="30">
        <f>('TE BE'!$S$31+'TE BF'!$S$31+'TE CVA'!$S$31)*(1 - CUSTOS!$M$38)</f>
        <v>6.336893968436808</v>
      </c>
      <c r="R31" s="30">
        <f>('TE BE'!$T$31+'TE BF'!$T$31+'TE CVA'!$T$31)*(1 - CUSTOS!$M$38)</f>
        <v>5.1160059950461658</v>
      </c>
      <c r="S31" s="30">
        <f>('TE BE'!$U$31+'TE BF'!$U$31+'TE CVA'!$U$31)*(1 - CUSTOS!$M$38)</f>
        <v>0</v>
      </c>
      <c r="T31" s="30">
        <f>('TE BE'!$W$31+'TE BF'!$W$31+'TE CVA'!$W$31)*(1 - CUSTOS!$M$38)</f>
        <v>0</v>
      </c>
      <c r="U31" s="30">
        <f>('TE BE'!$Y$31+'TE BF'!$Y$31+'TE CVA'!$Y$31)*(1 - CUSTOS!$M$38)</f>
        <v>4.3452372017093976</v>
      </c>
      <c r="W31" s="30">
        <v>1.9686737628884501</v>
      </c>
      <c r="X31" s="30">
        <v>-0.94521319391589098</v>
      </c>
      <c r="Y31" s="30">
        <v>0</v>
      </c>
      <c r="Z31" s="30">
        <v>-3.3698069607842802</v>
      </c>
      <c r="AA31" s="30">
        <v>184.183593702206</v>
      </c>
      <c r="AB31" s="30">
        <v>5.0938787833018102</v>
      </c>
      <c r="AC31" s="30">
        <v>3.0657265964118201</v>
      </c>
      <c r="AD31" s="30">
        <v>0</v>
      </c>
      <c r="AE31" s="30">
        <v>0</v>
      </c>
      <c r="AF31" s="30">
        <v>4.85171534843768</v>
      </c>
    </row>
    <row r="32" spans="1:32" ht="11.25" customHeight="1" x14ac:dyDescent="0.25">
      <c r="A32" s="130"/>
      <c r="B32" s="88" t="s">
        <v>96</v>
      </c>
      <c r="C32" s="88" t="s">
        <v>47</v>
      </c>
      <c r="D32" s="88" t="s">
        <v>25</v>
      </c>
      <c r="E32" s="88" t="s">
        <v>25</v>
      </c>
      <c r="F32" s="88" t="s">
        <v>25</v>
      </c>
      <c r="G32" s="32" t="s">
        <v>94</v>
      </c>
      <c r="H32" s="32" t="s">
        <v>88</v>
      </c>
      <c r="I32" s="32">
        <f>'MERCADO TE'!$U$29</f>
        <v>81638.005000000005</v>
      </c>
      <c r="J32" s="17"/>
      <c r="L32" s="30">
        <f>('TE BE'!$L$32+'TE BF'!$L$32+'TE CVA'!$L$32)*(1 - CUSTOS!$M$38)</f>
        <v>2.0504326231493826</v>
      </c>
      <c r="M32" s="30">
        <f>('TE BE'!$M$32+'TE BF'!$M$32+'TE CVA'!$M$32)*(1 - CUSTOS!$M$38)</f>
        <v>11.370569274885312</v>
      </c>
      <c r="N32" s="30">
        <f>('TE BE'!$N$32+'TE BF'!$N$32+'TE CVA'!$N$32)*(1 - CUSTOS!$M$38)</f>
        <v>0</v>
      </c>
      <c r="O32" s="30">
        <f>('TE BE'!$O$32+'TE BF'!$O$32+'TE CVA'!$O$32)*(1 - CUSTOS!$M$38)</f>
        <v>-4.9117908026933357</v>
      </c>
      <c r="P32" s="30">
        <f>('TE BE'!$Q$32+'TE BF'!$Q$32+'TE CVA'!$Q$32)*(1 - CUSTOS!$M$38)</f>
        <v>174.87530566243103</v>
      </c>
      <c r="Q32" s="30">
        <f>('TE BE'!$S$32+'TE BF'!$S$32+'TE CVA'!$S$32)*(1 - CUSTOS!$M$38)</f>
        <v>6.336893968436808</v>
      </c>
      <c r="R32" s="30">
        <f>('TE BE'!$T$32+'TE BF'!$T$32+'TE CVA'!$T$32)*(1 - CUSTOS!$M$38)</f>
        <v>5.1160059950461658</v>
      </c>
      <c r="S32" s="30">
        <f>('TE BE'!$U$32+'TE BF'!$U$32+'TE CVA'!$U$32)*(1 - CUSTOS!$M$38)</f>
        <v>0</v>
      </c>
      <c r="T32" s="30">
        <f>('TE BE'!$W$32+'TE BF'!$W$32+'TE CVA'!$W$32)*(1 - CUSTOS!$M$38)</f>
        <v>0</v>
      </c>
      <c r="U32" s="30">
        <f>('TE BE'!$Y$32+'TE BF'!$Y$32+'TE CVA'!$Y$32)*(1 - CUSTOS!$M$38)</f>
        <v>4.3452372017093976</v>
      </c>
      <c r="W32" s="30">
        <v>1.9686737628884501</v>
      </c>
      <c r="X32" s="30">
        <v>-0.94521319391589098</v>
      </c>
      <c r="Y32" s="30">
        <v>0</v>
      </c>
      <c r="Z32" s="30">
        <v>-3.3698069607842802</v>
      </c>
      <c r="AA32" s="30">
        <v>195.23460932433801</v>
      </c>
      <c r="AB32" s="30">
        <v>5.0938787833018102</v>
      </c>
      <c r="AC32" s="30">
        <v>3.0657265964118201</v>
      </c>
      <c r="AD32" s="30">
        <v>0</v>
      </c>
      <c r="AE32" s="30">
        <v>0</v>
      </c>
      <c r="AF32" s="30">
        <v>4.85171534843768</v>
      </c>
    </row>
    <row r="33" spans="1:32" ht="11.25" customHeight="1" x14ac:dyDescent="0.25">
      <c r="A33" s="130"/>
      <c r="B33" s="130" t="s">
        <v>87</v>
      </c>
      <c r="C33" s="130" t="s">
        <v>47</v>
      </c>
      <c r="D33" s="130" t="s">
        <v>103</v>
      </c>
      <c r="E33" s="130" t="s">
        <v>25</v>
      </c>
      <c r="F33" s="130" t="s">
        <v>25</v>
      </c>
      <c r="G33" s="32" t="s">
        <v>89</v>
      </c>
      <c r="H33" s="32" t="s">
        <v>88</v>
      </c>
      <c r="I33" s="32">
        <f>'MERCADO TE'!$U$30</f>
        <v>0</v>
      </c>
      <c r="J33" s="17"/>
      <c r="L33" s="30">
        <f>('TE BE'!$L$33+'TE BF'!$L$33+'TE CVA'!$L$33)*(1 - CUSTOS!$M$39)</f>
        <v>2.0504326231493826</v>
      </c>
      <c r="M33" s="30">
        <f>('TE BE'!$M$33+'TE BF'!$M$33+'TE CVA'!$M$33)*(1 - CUSTOS!$M$39)</f>
        <v>11.370569274885312</v>
      </c>
      <c r="N33" s="30">
        <f>('TE BE'!$N$33+'TE BF'!$N$33+'TE CVA'!$N$33)*(1 - CUSTOS!$M$39)</f>
        <v>0</v>
      </c>
      <c r="O33" s="30">
        <f>('TE BE'!$O$33+'TE BF'!$O$33+'TE CVA'!$O$33)*(1 - CUSTOS!$M$39)</f>
        <v>-4.9117908026933357</v>
      </c>
      <c r="P33" s="30">
        <f>('TE BE'!$Q$33+'TE BF'!$Q$33+'TE CVA'!$Q$33)*(1 - CUSTOS!$M$39)</f>
        <v>283.75992994281256</v>
      </c>
      <c r="Q33" s="30">
        <f>('TE BE'!$S$33+'TE BF'!$S$33+'TE CVA'!$S$33)*(1 - CUSTOS!$M$39)</f>
        <v>6.336893968436808</v>
      </c>
      <c r="R33" s="30">
        <f>('TE BE'!$T$33+'TE BF'!$T$33+'TE CVA'!$T$33)*(1 - CUSTOS!$M$39)</f>
        <v>5.1160059950461658</v>
      </c>
      <c r="S33" s="30">
        <f>('TE BE'!$U$33+'TE BF'!$U$33+'TE CVA'!$U$33)*(1 - CUSTOS!$M$39)</f>
        <v>0</v>
      </c>
      <c r="T33" s="30">
        <f>('TE BE'!$W$33+'TE BF'!$W$33+'TE CVA'!$W$33)*(1 - CUSTOS!$M$39)</f>
        <v>0</v>
      </c>
      <c r="U33" s="30">
        <f>('TE BE'!$Y$33+'TE BF'!$Y$33+'TE CVA'!$Y$33)*(1 - CUSTOS!$M$39)</f>
        <v>4.3452372017093976</v>
      </c>
      <c r="W33" s="30">
        <v>1.9686737628884501</v>
      </c>
      <c r="X33" s="30">
        <v>-0.94521319391589098</v>
      </c>
      <c r="Y33" s="30">
        <v>0</v>
      </c>
      <c r="Z33" s="30">
        <v>-3.3698069607842802</v>
      </c>
      <c r="AA33" s="30">
        <v>316.79578116779402</v>
      </c>
      <c r="AB33" s="30">
        <v>5.0938787833018102</v>
      </c>
      <c r="AC33" s="30">
        <v>3.0657265964118201</v>
      </c>
      <c r="AD33" s="30">
        <v>0</v>
      </c>
      <c r="AE33" s="30">
        <v>0</v>
      </c>
      <c r="AF33" s="30">
        <v>4.85171534843768</v>
      </c>
    </row>
    <row r="34" spans="1:32" ht="11.25" customHeight="1" x14ac:dyDescent="0.25">
      <c r="A34" s="130"/>
      <c r="B34" s="130"/>
      <c r="C34" s="130"/>
      <c r="D34" s="130"/>
      <c r="E34" s="130"/>
      <c r="F34" s="130"/>
      <c r="G34" s="32" t="s">
        <v>100</v>
      </c>
      <c r="H34" s="32" t="s">
        <v>88</v>
      </c>
      <c r="I34" s="32">
        <f>'MERCADO TE'!$U$31</f>
        <v>0</v>
      </c>
      <c r="J34" s="17"/>
      <c r="L34" s="30">
        <f>('TE BE'!$L$34+'TE BF'!$L$34+'TE CVA'!$L$34)*(1 - CUSTOS!$M$39)</f>
        <v>2.0504326231493826</v>
      </c>
      <c r="M34" s="30">
        <f>('TE BE'!$M$34+'TE BF'!$M$34+'TE CVA'!$M$34)*(1 - CUSTOS!$M$39)</f>
        <v>11.370569274885312</v>
      </c>
      <c r="N34" s="30">
        <f>('TE BE'!$N$34+'TE BF'!$N$34+'TE CVA'!$N$34)*(1 - CUSTOS!$M$39)</f>
        <v>0</v>
      </c>
      <c r="O34" s="30">
        <f>('TE BE'!$O$34+'TE BF'!$O$34+'TE CVA'!$O$34)*(1 - CUSTOS!$M$39)</f>
        <v>-4.9117908026933357</v>
      </c>
      <c r="P34" s="30">
        <f>('TE BE'!$Q$34+'TE BF'!$Q$34+'TE CVA'!$Q$34)*(1 - CUSTOS!$M$39)</f>
        <v>164.97670345512361</v>
      </c>
      <c r="Q34" s="30">
        <f>('TE BE'!$S$34+'TE BF'!$S$34+'TE CVA'!$S$34)*(1 - CUSTOS!$M$39)</f>
        <v>6.336893968436808</v>
      </c>
      <c r="R34" s="30">
        <f>('TE BE'!$T$34+'TE BF'!$T$34+'TE CVA'!$T$34)*(1 - CUSTOS!$M$39)</f>
        <v>5.1160059950461658</v>
      </c>
      <c r="S34" s="30">
        <f>('TE BE'!$U$34+'TE BF'!$U$34+'TE CVA'!$U$34)*(1 - CUSTOS!$M$39)</f>
        <v>0</v>
      </c>
      <c r="T34" s="30">
        <f>('TE BE'!$W$34+'TE BF'!$W$34+'TE CVA'!$W$34)*(1 - CUSTOS!$M$39)</f>
        <v>0</v>
      </c>
      <c r="U34" s="30">
        <f>('TE BE'!$Y$34+'TE BF'!$Y$34+'TE CVA'!$Y$34)*(1 - CUSTOS!$M$39)</f>
        <v>4.3452372017093976</v>
      </c>
      <c r="W34" s="30">
        <v>1.9686737628884501</v>
      </c>
      <c r="X34" s="30">
        <v>-0.94521319391589098</v>
      </c>
      <c r="Y34" s="30">
        <v>0</v>
      </c>
      <c r="Z34" s="30">
        <v>-3.3698069607842802</v>
      </c>
      <c r="AA34" s="30">
        <v>184.183593702206</v>
      </c>
      <c r="AB34" s="30">
        <v>5.0938787833018102</v>
      </c>
      <c r="AC34" s="30">
        <v>3.0657265964118201</v>
      </c>
      <c r="AD34" s="30">
        <v>0</v>
      </c>
      <c r="AE34" s="30">
        <v>0</v>
      </c>
      <c r="AF34" s="30">
        <v>4.85171534843768</v>
      </c>
    </row>
    <row r="35" spans="1:32" ht="11.25" customHeight="1" x14ac:dyDescent="0.25">
      <c r="A35" s="130"/>
      <c r="B35" s="130"/>
      <c r="C35" s="130"/>
      <c r="D35" s="130"/>
      <c r="E35" s="130"/>
      <c r="F35" s="130"/>
      <c r="G35" s="32" t="s">
        <v>90</v>
      </c>
      <c r="H35" s="32" t="s">
        <v>88</v>
      </c>
      <c r="I35" s="32">
        <f>'MERCADO TE'!$U$32</f>
        <v>0</v>
      </c>
      <c r="J35" s="17"/>
      <c r="L35" s="30">
        <f>('TE BE'!$L$35+'TE BF'!$L$35+'TE CVA'!$L$35)*(1 - CUSTOS!$M$39)</f>
        <v>2.0504326231493826</v>
      </c>
      <c r="M35" s="30">
        <f>('TE BE'!$M$35+'TE BF'!$M$35+'TE CVA'!$M$35)*(1 - CUSTOS!$M$39)</f>
        <v>11.370569274885312</v>
      </c>
      <c r="N35" s="30">
        <f>('TE BE'!$N$35+'TE BF'!$N$35+'TE CVA'!$N$35)*(1 - CUSTOS!$M$39)</f>
        <v>0</v>
      </c>
      <c r="O35" s="30">
        <f>('TE BE'!$O$35+'TE BF'!$O$35+'TE CVA'!$O$35)*(1 - CUSTOS!$M$39)</f>
        <v>-4.9117908026933357</v>
      </c>
      <c r="P35" s="30">
        <f>('TE BE'!$Q$35+'TE BF'!$Q$35+'TE CVA'!$Q$35)*(1 - CUSTOS!$M$39)</f>
        <v>164.97670345512361</v>
      </c>
      <c r="Q35" s="30">
        <f>('TE BE'!$S$35+'TE BF'!$S$35+'TE CVA'!$S$35)*(1 - CUSTOS!$M$39)</f>
        <v>6.336893968436808</v>
      </c>
      <c r="R35" s="30">
        <f>('TE BE'!$T$35+'TE BF'!$T$35+'TE CVA'!$T$35)*(1 - CUSTOS!$M$39)</f>
        <v>5.1160059950461658</v>
      </c>
      <c r="S35" s="30">
        <f>('TE BE'!$U$35+'TE BF'!$U$35+'TE CVA'!$U$35)*(1 - CUSTOS!$M$39)</f>
        <v>0</v>
      </c>
      <c r="T35" s="30">
        <f>('TE BE'!$W$35+'TE BF'!$W$35+'TE CVA'!$W$35)*(1 - CUSTOS!$M$39)</f>
        <v>0</v>
      </c>
      <c r="U35" s="30">
        <f>('TE BE'!$Y$35+'TE BF'!$Y$35+'TE CVA'!$Y$35)*(1 - CUSTOS!$M$39)</f>
        <v>4.3452372017093976</v>
      </c>
      <c r="W35" s="30">
        <v>1.9686737628884501</v>
      </c>
      <c r="X35" s="30">
        <v>-0.94521319391589098</v>
      </c>
      <c r="Y35" s="30">
        <v>0</v>
      </c>
      <c r="Z35" s="30">
        <v>-3.3698069607842802</v>
      </c>
      <c r="AA35" s="30">
        <v>184.183593702206</v>
      </c>
      <c r="AB35" s="30">
        <v>5.0938787833018102</v>
      </c>
      <c r="AC35" s="30">
        <v>3.0657265964118201</v>
      </c>
      <c r="AD35" s="30">
        <v>0</v>
      </c>
      <c r="AE35" s="30">
        <v>0</v>
      </c>
      <c r="AF35" s="30">
        <v>4.85171534843768</v>
      </c>
    </row>
    <row r="36" spans="1:32" ht="11.25" customHeight="1" x14ac:dyDescent="0.25">
      <c r="A36" s="130"/>
      <c r="B36" s="88" t="s">
        <v>96</v>
      </c>
      <c r="C36" s="88" t="s">
        <v>47</v>
      </c>
      <c r="D36" s="88" t="s">
        <v>103</v>
      </c>
      <c r="E36" s="88" t="s">
        <v>25</v>
      </c>
      <c r="F36" s="88" t="s">
        <v>25</v>
      </c>
      <c r="G36" s="32" t="s">
        <v>94</v>
      </c>
      <c r="H36" s="32" t="s">
        <v>88</v>
      </c>
      <c r="I36" s="32">
        <f>'MERCADO TE'!$U$33</f>
        <v>0</v>
      </c>
      <c r="J36" s="17"/>
      <c r="L36" s="30">
        <f>('TE BE'!$L$36+'TE BF'!$L$36+'TE CVA'!$L$36)*(1 - CUSTOS!$M$39)</f>
        <v>2.0504326231493826</v>
      </c>
      <c r="M36" s="30">
        <f>('TE BE'!$M$36+'TE BF'!$M$36+'TE CVA'!$M$36)*(1 - CUSTOS!$M$39)</f>
        <v>11.370569274885312</v>
      </c>
      <c r="N36" s="30">
        <f>('TE BE'!$N$36+'TE BF'!$N$36+'TE CVA'!$N$36)*(1 - CUSTOS!$M$39)</f>
        <v>0</v>
      </c>
      <c r="O36" s="30">
        <f>('TE BE'!$O$36+'TE BF'!$O$36+'TE CVA'!$O$36)*(1 - CUSTOS!$M$39)</f>
        <v>-4.9117908026933357</v>
      </c>
      <c r="P36" s="30">
        <f>('TE BE'!$Q$36+'TE BF'!$Q$36+'TE CVA'!$Q$36)*(1 - CUSTOS!$M$39)</f>
        <v>174.87530566243103</v>
      </c>
      <c r="Q36" s="30">
        <f>('TE BE'!$S$36+'TE BF'!$S$36+'TE CVA'!$S$36)*(1 - CUSTOS!$M$39)</f>
        <v>6.336893968436808</v>
      </c>
      <c r="R36" s="30">
        <f>('TE BE'!$T$36+'TE BF'!$T$36+'TE CVA'!$T$36)*(1 - CUSTOS!$M$39)</f>
        <v>5.1160059950461658</v>
      </c>
      <c r="S36" s="30">
        <f>('TE BE'!$U$36+'TE BF'!$U$36+'TE CVA'!$U$36)*(1 - CUSTOS!$M$39)</f>
        <v>0</v>
      </c>
      <c r="T36" s="30">
        <f>('TE BE'!$W$36+'TE BF'!$W$36+'TE CVA'!$W$36)*(1 - CUSTOS!$M$39)</f>
        <v>0</v>
      </c>
      <c r="U36" s="30">
        <f>('TE BE'!$Y$36+'TE BF'!$Y$36+'TE CVA'!$Y$36)*(1 - CUSTOS!$M$39)</f>
        <v>4.3452372017093976</v>
      </c>
      <c r="W36" s="30">
        <v>1.9686737628884501</v>
      </c>
      <c r="X36" s="30">
        <v>-0.94521319391589098</v>
      </c>
      <c r="Y36" s="30">
        <v>0</v>
      </c>
      <c r="Z36" s="30">
        <v>-3.3698069607842802</v>
      </c>
      <c r="AA36" s="30">
        <v>195.23460932433801</v>
      </c>
      <c r="AB36" s="30">
        <v>5.0938787833018102</v>
      </c>
      <c r="AC36" s="30">
        <v>3.0657265964118201</v>
      </c>
      <c r="AD36" s="30">
        <v>0</v>
      </c>
      <c r="AE36" s="30">
        <v>0</v>
      </c>
      <c r="AF36" s="30">
        <v>4.85171534843768</v>
      </c>
    </row>
    <row r="37" spans="1:32" ht="11.25" customHeight="1" x14ac:dyDescent="0.25">
      <c r="A37" s="130"/>
      <c r="B37" s="130" t="s">
        <v>87</v>
      </c>
      <c r="C37" s="130" t="s">
        <v>47</v>
      </c>
      <c r="D37" s="130" t="s">
        <v>104</v>
      </c>
      <c r="E37" s="130" t="s">
        <v>25</v>
      </c>
      <c r="F37" s="130" t="s">
        <v>25</v>
      </c>
      <c r="G37" s="32" t="s">
        <v>89</v>
      </c>
      <c r="H37" s="32" t="s">
        <v>88</v>
      </c>
      <c r="I37" s="32">
        <f>'MERCADO TE'!$U$34</f>
        <v>0</v>
      </c>
      <c r="J37" s="17"/>
      <c r="L37" s="30">
        <f>('TE BE'!$L$37+'TE BF'!$L$37+'TE CVA'!$L$37)*(1 - CUSTOS!$M$40)</f>
        <v>1.9004009677969886</v>
      </c>
      <c r="M37" s="30">
        <f>('TE BE'!$M$37+'TE BF'!$M$37+'TE CVA'!$M$37)*(1 - CUSTOS!$M$40)</f>
        <v>10.538576401113215</v>
      </c>
      <c r="N37" s="30">
        <f>('TE BE'!$N$37+'TE BF'!$N$37+'TE CVA'!$N$37)*(1 - CUSTOS!$M$40)</f>
        <v>0</v>
      </c>
      <c r="O37" s="30">
        <f>('TE BE'!$O$37+'TE BF'!$O$37+'TE CVA'!$O$37)*(1 - CUSTOS!$M$40)</f>
        <v>-4.5523914756669939</v>
      </c>
      <c r="P37" s="30">
        <f>('TE BE'!$Q$37+'TE BF'!$Q$37+'TE CVA'!$Q$37)*(1 - CUSTOS!$M$40)</f>
        <v>262.99700823967993</v>
      </c>
      <c r="Q37" s="30">
        <f>('TE BE'!$S$37+'TE BF'!$S$37+'TE CVA'!$S$37)*(1 - CUSTOS!$M$40)</f>
        <v>5.8732188000146026</v>
      </c>
      <c r="R37" s="30">
        <f>('TE BE'!$T$37+'TE BF'!$T$37+'TE CVA'!$T$37)*(1 - CUSTOS!$M$40)</f>
        <v>4.741664092969617</v>
      </c>
      <c r="S37" s="30">
        <f>('TE BE'!$U$37+'TE BF'!$U$37+'TE CVA'!$U$37)*(1 - CUSTOS!$M$40)</f>
        <v>0</v>
      </c>
      <c r="T37" s="30">
        <f>('TE BE'!$W$37+'TE BF'!$W$37+'TE CVA'!$W$37)*(1 - CUSTOS!$M$40)</f>
        <v>0</v>
      </c>
      <c r="U37" s="30">
        <f>('TE BE'!$Y$37+'TE BF'!$Y$37+'TE CVA'!$Y$37)*(1 - CUSTOS!$M$40)</f>
        <v>4.0272930162184659</v>
      </c>
      <c r="W37" s="30">
        <v>1.76144494574229</v>
      </c>
      <c r="X37" s="30">
        <v>-0.84571706824053405</v>
      </c>
      <c r="Y37" s="30">
        <v>0</v>
      </c>
      <c r="Z37" s="30">
        <v>-3.0150904385964599</v>
      </c>
      <c r="AA37" s="30">
        <v>283.448856834342</v>
      </c>
      <c r="AB37" s="30">
        <v>4.55768101663846</v>
      </c>
      <c r="AC37" s="30">
        <v>2.7430185336316302</v>
      </c>
      <c r="AD37" s="30">
        <v>0</v>
      </c>
      <c r="AE37" s="30">
        <v>0</v>
      </c>
      <c r="AF37" s="30">
        <v>4.3410084696547697</v>
      </c>
    </row>
    <row r="38" spans="1:32" ht="11.25" customHeight="1" x14ac:dyDescent="0.25">
      <c r="A38" s="130"/>
      <c r="B38" s="130"/>
      <c r="C38" s="130"/>
      <c r="D38" s="130"/>
      <c r="E38" s="130"/>
      <c r="F38" s="130"/>
      <c r="G38" s="32" t="s">
        <v>100</v>
      </c>
      <c r="H38" s="32" t="s">
        <v>88</v>
      </c>
      <c r="I38" s="32">
        <f>'MERCADO TE'!$U$35</f>
        <v>0</v>
      </c>
      <c r="J38" s="17"/>
      <c r="L38" s="30">
        <f>('TE BE'!$L$38+'TE BF'!$L$38+'TE CVA'!$L$38)*(1 - CUSTOS!$M$40)</f>
        <v>1.9004009677969886</v>
      </c>
      <c r="M38" s="30">
        <f>('TE BE'!$M$38+'TE BF'!$M$38+'TE CVA'!$M$38)*(1 - CUSTOS!$M$40)</f>
        <v>10.538576401113215</v>
      </c>
      <c r="N38" s="30">
        <f>('TE BE'!$N$38+'TE BF'!$N$38+'TE CVA'!$N$38)*(1 - CUSTOS!$M$40)</f>
        <v>0</v>
      </c>
      <c r="O38" s="30">
        <f>('TE BE'!$O$38+'TE BF'!$O$38+'TE CVA'!$O$38)*(1 - CUSTOS!$M$40)</f>
        <v>-4.5523914756669939</v>
      </c>
      <c r="P38" s="30">
        <f>('TE BE'!$Q$38+'TE BF'!$Q$38+'TE CVA'!$Q$38)*(1 - CUSTOS!$M$40)</f>
        <v>152.90523734865116</v>
      </c>
      <c r="Q38" s="30">
        <f>('TE BE'!$S$38+'TE BF'!$S$38+'TE CVA'!$S$38)*(1 - CUSTOS!$M$40)</f>
        <v>5.8732188000146026</v>
      </c>
      <c r="R38" s="30">
        <f>('TE BE'!$T$38+'TE BF'!$T$38+'TE CVA'!$T$38)*(1 - CUSTOS!$M$40)</f>
        <v>4.741664092969617</v>
      </c>
      <c r="S38" s="30">
        <f>('TE BE'!$U$38+'TE BF'!$U$38+'TE CVA'!$U$38)*(1 - CUSTOS!$M$40)</f>
        <v>0</v>
      </c>
      <c r="T38" s="30">
        <f>('TE BE'!$W$38+'TE BF'!$W$38+'TE CVA'!$W$38)*(1 - CUSTOS!$M$40)</f>
        <v>0</v>
      </c>
      <c r="U38" s="30">
        <f>('TE BE'!$Y$38+'TE BF'!$Y$38+'TE CVA'!$Y$38)*(1 - CUSTOS!$M$40)</f>
        <v>4.0272930162184659</v>
      </c>
      <c r="W38" s="30">
        <v>1.76144494574229</v>
      </c>
      <c r="X38" s="30">
        <v>-0.84571706824053405</v>
      </c>
      <c r="Y38" s="30">
        <v>0</v>
      </c>
      <c r="Z38" s="30">
        <v>-3.0150904385964599</v>
      </c>
      <c r="AA38" s="30">
        <v>164.79584699671099</v>
      </c>
      <c r="AB38" s="30">
        <v>4.55768101663846</v>
      </c>
      <c r="AC38" s="30">
        <v>2.7430185336316302</v>
      </c>
      <c r="AD38" s="30">
        <v>0</v>
      </c>
      <c r="AE38" s="30">
        <v>0</v>
      </c>
      <c r="AF38" s="30">
        <v>4.3410084696547697</v>
      </c>
    </row>
    <row r="39" spans="1:32" ht="11.25" customHeight="1" x14ac:dyDescent="0.25">
      <c r="A39" s="130"/>
      <c r="B39" s="130"/>
      <c r="C39" s="130"/>
      <c r="D39" s="130"/>
      <c r="E39" s="130"/>
      <c r="F39" s="130"/>
      <c r="G39" s="32" t="s">
        <v>90</v>
      </c>
      <c r="H39" s="32" t="s">
        <v>88</v>
      </c>
      <c r="I39" s="32">
        <f>'MERCADO TE'!$U$36</f>
        <v>0</v>
      </c>
      <c r="J39" s="17"/>
      <c r="L39" s="30">
        <f>('TE BE'!$L$39+'TE BF'!$L$39+'TE CVA'!$L$39)*(1 - CUSTOS!$M$40)</f>
        <v>1.9004009677969886</v>
      </c>
      <c r="M39" s="30">
        <f>('TE BE'!$M$39+'TE BF'!$M$39+'TE CVA'!$M$39)*(1 - CUSTOS!$M$40)</f>
        <v>10.538576401113215</v>
      </c>
      <c r="N39" s="30">
        <f>('TE BE'!$N$39+'TE BF'!$N$39+'TE CVA'!$N$39)*(1 - CUSTOS!$M$40)</f>
        <v>0</v>
      </c>
      <c r="O39" s="30">
        <f>('TE BE'!$O$39+'TE BF'!$O$39+'TE CVA'!$O$39)*(1 - CUSTOS!$M$40)</f>
        <v>-4.5523914756669939</v>
      </c>
      <c r="P39" s="30">
        <f>('TE BE'!$Q$39+'TE BF'!$Q$39+'TE CVA'!$Q$39)*(1 - CUSTOS!$M$40)</f>
        <v>152.90523734865116</v>
      </c>
      <c r="Q39" s="30">
        <f>('TE BE'!$S$39+'TE BF'!$S$39+'TE CVA'!$S$39)*(1 - CUSTOS!$M$40)</f>
        <v>5.8732188000146026</v>
      </c>
      <c r="R39" s="30">
        <f>('TE BE'!$T$39+'TE BF'!$T$39+'TE CVA'!$T$39)*(1 - CUSTOS!$M$40)</f>
        <v>4.741664092969617</v>
      </c>
      <c r="S39" s="30">
        <f>('TE BE'!$U$39+'TE BF'!$U$39+'TE CVA'!$U$39)*(1 - CUSTOS!$M$40)</f>
        <v>0</v>
      </c>
      <c r="T39" s="30">
        <f>('TE BE'!$W$39+'TE BF'!$W$39+'TE CVA'!$W$39)*(1 - CUSTOS!$M$40)</f>
        <v>0</v>
      </c>
      <c r="U39" s="30">
        <f>('TE BE'!$Y$39+'TE BF'!$Y$39+'TE CVA'!$Y$39)*(1 - CUSTOS!$M$40)</f>
        <v>4.0272930162184659</v>
      </c>
      <c r="W39" s="30">
        <v>1.76144494574229</v>
      </c>
      <c r="X39" s="30">
        <v>-0.84571706824053405</v>
      </c>
      <c r="Y39" s="30">
        <v>0</v>
      </c>
      <c r="Z39" s="30">
        <v>-3.0150904385964599</v>
      </c>
      <c r="AA39" s="30">
        <v>164.79584699671099</v>
      </c>
      <c r="AB39" s="30">
        <v>4.55768101663846</v>
      </c>
      <c r="AC39" s="30">
        <v>2.7430185336316302</v>
      </c>
      <c r="AD39" s="30">
        <v>0</v>
      </c>
      <c r="AE39" s="30">
        <v>0</v>
      </c>
      <c r="AF39" s="30">
        <v>4.3410084696547697</v>
      </c>
    </row>
    <row r="40" spans="1:32" ht="11.25" customHeight="1" x14ac:dyDescent="0.25">
      <c r="A40" s="130"/>
      <c r="B40" s="88" t="s">
        <v>96</v>
      </c>
      <c r="C40" s="88" t="s">
        <v>47</v>
      </c>
      <c r="D40" s="88" t="s">
        <v>104</v>
      </c>
      <c r="E40" s="88" t="s">
        <v>25</v>
      </c>
      <c r="F40" s="88" t="s">
        <v>25</v>
      </c>
      <c r="G40" s="32" t="s">
        <v>94</v>
      </c>
      <c r="H40" s="32" t="s">
        <v>88</v>
      </c>
      <c r="I40" s="32">
        <f>'MERCADO TE'!$U$37</f>
        <v>0</v>
      </c>
      <c r="J40" s="17"/>
      <c r="L40" s="30">
        <f>('TE BE'!$L$40+'TE BF'!$L$40+'TE CVA'!$L$40)*(1 - CUSTOS!$M$40)</f>
        <v>1.9004009677969886</v>
      </c>
      <c r="M40" s="30">
        <f>('TE BE'!$M$40+'TE BF'!$M$40+'TE CVA'!$M$40)*(1 - CUSTOS!$M$40)</f>
        <v>10.538576401113215</v>
      </c>
      <c r="N40" s="30">
        <f>('TE BE'!$N$40+'TE BF'!$N$40+'TE CVA'!$N$40)*(1 - CUSTOS!$M$40)</f>
        <v>0</v>
      </c>
      <c r="O40" s="30">
        <f>('TE BE'!$O$40+'TE BF'!$O$40+'TE CVA'!$O$40)*(1 - CUSTOS!$M$40)</f>
        <v>-4.5523914756669939</v>
      </c>
      <c r="P40" s="30">
        <f>('TE BE'!$Q$40+'TE BF'!$Q$40+'TE CVA'!$Q$40)*(1 - CUSTOS!$M$40)</f>
        <v>162.07955158957023</v>
      </c>
      <c r="Q40" s="30">
        <f>('TE BE'!$S$40+'TE BF'!$S$40+'TE CVA'!$S$40)*(1 - CUSTOS!$M$40)</f>
        <v>5.8732188000146026</v>
      </c>
      <c r="R40" s="30">
        <f>('TE BE'!$T$40+'TE BF'!$T$40+'TE CVA'!$T$40)*(1 - CUSTOS!$M$40)</f>
        <v>4.741664092969617</v>
      </c>
      <c r="S40" s="30">
        <f>('TE BE'!$U$40+'TE BF'!$U$40+'TE CVA'!$U$40)*(1 - CUSTOS!$M$40)</f>
        <v>0</v>
      </c>
      <c r="T40" s="30">
        <f>('TE BE'!$W$40+'TE BF'!$W$40+'TE CVA'!$W$40)*(1 - CUSTOS!$M$40)</f>
        <v>0</v>
      </c>
      <c r="U40" s="30">
        <f>('TE BE'!$Y$40+'TE BF'!$Y$40+'TE CVA'!$Y$40)*(1 - CUSTOS!$M$40)</f>
        <v>4.0272930162184659</v>
      </c>
      <c r="W40" s="30">
        <v>1.76144494574229</v>
      </c>
      <c r="X40" s="30">
        <v>-0.84571706824053405</v>
      </c>
      <c r="Y40" s="30">
        <v>0</v>
      </c>
      <c r="Z40" s="30">
        <v>-3.0150904385964599</v>
      </c>
      <c r="AA40" s="30">
        <v>174.68359781651299</v>
      </c>
      <c r="AB40" s="30">
        <v>4.55768101663846</v>
      </c>
      <c r="AC40" s="30">
        <v>2.7430185336316302</v>
      </c>
      <c r="AD40" s="30">
        <v>0</v>
      </c>
      <c r="AE40" s="30">
        <v>0</v>
      </c>
      <c r="AF40" s="30">
        <v>4.3410084696547697</v>
      </c>
    </row>
    <row r="41" spans="1:32" ht="11.25" customHeight="1" x14ac:dyDescent="0.25">
      <c r="A41" s="130"/>
      <c r="B41" s="130" t="s">
        <v>101</v>
      </c>
      <c r="C41" s="130" t="s">
        <v>47</v>
      </c>
      <c r="D41" s="88" t="s">
        <v>25</v>
      </c>
      <c r="E41" s="88" t="s">
        <v>25</v>
      </c>
      <c r="F41" s="88" t="s">
        <v>25</v>
      </c>
      <c r="G41" s="32" t="s">
        <v>94</v>
      </c>
      <c r="H41" s="32" t="s">
        <v>88</v>
      </c>
      <c r="I41" s="32">
        <f>'MERCADO TE'!$U$38</f>
        <v>0</v>
      </c>
      <c r="J41" s="17"/>
      <c r="L41" s="30">
        <f>('TE BE'!$L$41+'TE BF'!$L$41+'TE CVA'!$L$41)*(1 - CUSTOS!$M$38)</f>
        <v>2.0504326231493826</v>
      </c>
      <c r="M41" s="30">
        <f>('TE BE'!$M$41+'TE BF'!$M$41+'TE CVA'!$M$41)*(1 - CUSTOS!$M$38)</f>
        <v>11.370569274885312</v>
      </c>
      <c r="N41" s="30">
        <f>('TE BE'!$N$41+'TE BF'!$N$41+'TE CVA'!$N$41)*(1 - CUSTOS!$M$38)</f>
        <v>0</v>
      </c>
      <c r="O41" s="30">
        <f>('TE BE'!$O$41+'TE BF'!$O$41+'TE CVA'!$O$41)*(1 - CUSTOS!$M$38)</f>
        <v>-4.9117908026933357</v>
      </c>
      <c r="P41" s="30">
        <f>('TE BE'!$Q$41+'TE BF'!$Q$41+'TE CVA'!$Q$41)*(1 - CUSTOS!$M$38)</f>
        <v>174.87530566243103</v>
      </c>
      <c r="Q41" s="30">
        <f>('TE BE'!$S$41+'TE BF'!$S$41+'TE CVA'!$S$41)*(1 - CUSTOS!$M$38)</f>
        <v>6.336893968436808</v>
      </c>
      <c r="R41" s="30">
        <f>('TE BE'!$T$41+'TE BF'!$T$41+'TE CVA'!$T$41)*(1 - CUSTOS!$M$38)</f>
        <v>5.1160059950461658</v>
      </c>
      <c r="S41" s="30">
        <f>('TE BE'!$U$41+'TE BF'!$U$41+'TE CVA'!$U$41)*(1 - CUSTOS!$M$38)</f>
        <v>0</v>
      </c>
      <c r="T41" s="30">
        <f>('TE BE'!$W$41+'TE BF'!$W$41+'TE CVA'!$W$41)*(1 - CUSTOS!$M$38)</f>
        <v>0</v>
      </c>
      <c r="U41" s="30">
        <f>('TE BE'!$Y$41+'TE BF'!$Y$41+'TE CVA'!$Y$41)*(1 - CUSTOS!$M$38)</f>
        <v>4.3452372017093976</v>
      </c>
      <c r="W41" s="30">
        <v>1.9686737628884501</v>
      </c>
      <c r="X41" s="30">
        <v>-0.94521319391589098</v>
      </c>
      <c r="Y41" s="30">
        <v>0</v>
      </c>
      <c r="Z41" s="30">
        <v>-3.3698069607842802</v>
      </c>
      <c r="AA41" s="30">
        <v>195.23460932433801</v>
      </c>
      <c r="AB41" s="30">
        <v>5.0938787833018102</v>
      </c>
      <c r="AC41" s="30">
        <v>3.0657265964118201</v>
      </c>
      <c r="AD41" s="30">
        <v>0</v>
      </c>
      <c r="AE41" s="30">
        <v>0</v>
      </c>
      <c r="AF41" s="30">
        <v>4.85171534843768</v>
      </c>
    </row>
    <row r="42" spans="1:32" ht="11.25" customHeight="1" x14ac:dyDescent="0.25">
      <c r="A42" s="130"/>
      <c r="B42" s="130"/>
      <c r="C42" s="130"/>
      <c r="D42" s="88" t="s">
        <v>103</v>
      </c>
      <c r="E42" s="88" t="s">
        <v>25</v>
      </c>
      <c r="F42" s="88" t="s">
        <v>25</v>
      </c>
      <c r="G42" s="32" t="s">
        <v>94</v>
      </c>
      <c r="H42" s="32" t="s">
        <v>88</v>
      </c>
      <c r="I42" s="32">
        <f>'MERCADO TE'!$U$39</f>
        <v>0</v>
      </c>
      <c r="J42" s="17"/>
      <c r="L42" s="30">
        <f>('TE BE'!$L$42+'TE BF'!$L$42+'TE CVA'!$L$42)*(1 - CUSTOS!$M$39)</f>
        <v>2.0504326231493826</v>
      </c>
      <c r="M42" s="30">
        <f>('TE BE'!$M$42+'TE BF'!$M$42+'TE CVA'!$M$42)*(1 - CUSTOS!$M$39)</f>
        <v>11.370569274885312</v>
      </c>
      <c r="N42" s="30">
        <f>('TE BE'!$N$42+'TE BF'!$N$42+'TE CVA'!$N$42)*(1 - CUSTOS!$M$39)</f>
        <v>0</v>
      </c>
      <c r="O42" s="30">
        <f>('TE BE'!$O$42+'TE BF'!$O$42+'TE CVA'!$O$42)*(1 - CUSTOS!$M$39)</f>
        <v>-4.9117908026933357</v>
      </c>
      <c r="P42" s="30">
        <f>('TE BE'!$Q$42+'TE BF'!$Q$42+'TE CVA'!$Q$42)*(1 - CUSTOS!$M$39)</f>
        <v>174.87530566243103</v>
      </c>
      <c r="Q42" s="30">
        <f>('TE BE'!$S$42+'TE BF'!$S$42+'TE CVA'!$S$42)*(1 - CUSTOS!$M$39)</f>
        <v>6.336893968436808</v>
      </c>
      <c r="R42" s="30">
        <f>('TE BE'!$T$42+'TE BF'!$T$42+'TE CVA'!$T$42)*(1 - CUSTOS!$M$39)</f>
        <v>5.1160059950461658</v>
      </c>
      <c r="S42" s="30">
        <f>('TE BE'!$U$42+'TE BF'!$U$42+'TE CVA'!$U$42)*(1 - CUSTOS!$M$39)</f>
        <v>0</v>
      </c>
      <c r="T42" s="30">
        <f>('TE BE'!$W$42+'TE BF'!$W$42+'TE CVA'!$W$42)*(1 - CUSTOS!$M$39)</f>
        <v>0</v>
      </c>
      <c r="U42" s="30">
        <f>('TE BE'!$Y$42+'TE BF'!$Y$42+'TE CVA'!$Y$42)*(1 - CUSTOS!$M$39)</f>
        <v>4.3452372017093976</v>
      </c>
      <c r="W42" s="30">
        <v>1.9686737628884501</v>
      </c>
      <c r="X42" s="30">
        <v>-0.94521319391589098</v>
      </c>
      <c r="Y42" s="30">
        <v>0</v>
      </c>
      <c r="Z42" s="30">
        <v>-3.3698069607842802</v>
      </c>
      <c r="AA42" s="30">
        <v>195.23460932433801</v>
      </c>
      <c r="AB42" s="30">
        <v>5.0938787833018102</v>
      </c>
      <c r="AC42" s="30">
        <v>3.0657265964118201</v>
      </c>
      <c r="AD42" s="30">
        <v>0</v>
      </c>
      <c r="AE42" s="30">
        <v>0</v>
      </c>
      <c r="AF42" s="30">
        <v>4.85171534843768</v>
      </c>
    </row>
    <row r="43" spans="1:32" ht="11.25" customHeight="1" x14ac:dyDescent="0.25">
      <c r="A43" s="130"/>
      <c r="B43" s="130"/>
      <c r="C43" s="130"/>
      <c r="D43" s="88" t="s">
        <v>104</v>
      </c>
      <c r="E43" s="88" t="s">
        <v>25</v>
      </c>
      <c r="F43" s="88" t="s">
        <v>25</v>
      </c>
      <c r="G43" s="32" t="s">
        <v>94</v>
      </c>
      <c r="H43" s="32" t="s">
        <v>88</v>
      </c>
      <c r="I43" s="32">
        <f>'MERCADO TE'!$U$40</f>
        <v>0</v>
      </c>
      <c r="J43" s="17"/>
      <c r="L43" s="30">
        <f>('TE BE'!$L$43+'TE BF'!$L$43+'TE CVA'!$L$43)*(1 - CUSTOS!$M$40)</f>
        <v>1.9004009677969886</v>
      </c>
      <c r="M43" s="30">
        <f>('TE BE'!$M$43+'TE BF'!$M$43+'TE CVA'!$M$43)*(1 - CUSTOS!$M$40)</f>
        <v>10.538576401113215</v>
      </c>
      <c r="N43" s="30">
        <f>('TE BE'!$N$43+'TE BF'!$N$43+'TE CVA'!$N$43)*(1 - CUSTOS!$M$40)</f>
        <v>0</v>
      </c>
      <c r="O43" s="30">
        <f>('TE BE'!$O$43+'TE BF'!$O$43+'TE CVA'!$O$43)*(1 - CUSTOS!$M$40)</f>
        <v>-4.5523914756669939</v>
      </c>
      <c r="P43" s="30">
        <f>('TE BE'!$Q$43+'TE BF'!$Q$43+'TE CVA'!$Q$43)*(1 - CUSTOS!$M$40)</f>
        <v>162.07955158957023</v>
      </c>
      <c r="Q43" s="30">
        <f>('TE BE'!$S$43+'TE BF'!$S$43+'TE CVA'!$S$43)*(1 - CUSTOS!$M$40)</f>
        <v>5.8732188000146026</v>
      </c>
      <c r="R43" s="30">
        <f>('TE BE'!$T$43+'TE BF'!$T$43+'TE CVA'!$T$43)*(1 - CUSTOS!$M$40)</f>
        <v>4.741664092969617</v>
      </c>
      <c r="S43" s="30">
        <f>('TE BE'!$U$43+'TE BF'!$U$43+'TE CVA'!$U$43)*(1 - CUSTOS!$M$40)</f>
        <v>0</v>
      </c>
      <c r="T43" s="30">
        <f>('TE BE'!$W$43+'TE BF'!$W$43+'TE CVA'!$W$43)*(1 - CUSTOS!$M$40)</f>
        <v>0</v>
      </c>
      <c r="U43" s="30">
        <f>('TE BE'!$Y$43+'TE BF'!$Y$43+'TE CVA'!$Y$43)*(1 - CUSTOS!$M$40)</f>
        <v>4.0272930162184659</v>
      </c>
      <c r="W43" s="30">
        <v>1.76144494574229</v>
      </c>
      <c r="X43" s="30">
        <v>-0.84571706824053405</v>
      </c>
      <c r="Y43" s="30">
        <v>0</v>
      </c>
      <c r="Z43" s="30">
        <v>-3.0150904385964599</v>
      </c>
      <c r="AA43" s="30">
        <v>174.68359781651299</v>
      </c>
      <c r="AB43" s="30">
        <v>4.55768101663846</v>
      </c>
      <c r="AC43" s="30">
        <v>2.7430185336316302</v>
      </c>
      <c r="AD43" s="30">
        <v>0</v>
      </c>
      <c r="AE43" s="30">
        <v>0</v>
      </c>
      <c r="AF43" s="30">
        <v>4.3410084696547697</v>
      </c>
    </row>
    <row r="44" spans="1:32" ht="11.25" customHeight="1" x14ac:dyDescent="0.25">
      <c r="A44" s="130" t="s">
        <v>39</v>
      </c>
      <c r="B44" s="130" t="s">
        <v>87</v>
      </c>
      <c r="C44" s="130" t="s">
        <v>25</v>
      </c>
      <c r="D44" s="130" t="s">
        <v>25</v>
      </c>
      <c r="E44" s="130" t="s">
        <v>25</v>
      </c>
      <c r="F44" s="130" t="s">
        <v>25</v>
      </c>
      <c r="G44" s="32" t="s">
        <v>89</v>
      </c>
      <c r="H44" s="32" t="s">
        <v>88</v>
      </c>
      <c r="I44" s="32">
        <f>'MERCADO TE'!$U$41</f>
        <v>133.67100000000025</v>
      </c>
      <c r="J44" s="17"/>
      <c r="L44" s="30">
        <f>('TE BE'!$L$44+'TE BF'!$L$44+'TE CVA'!$L$44)*1</f>
        <v>2.5005275892065639</v>
      </c>
      <c r="M44" s="30">
        <f>('TE BE'!$M$44+'TE BF'!$M$44+'TE CVA'!$M$44)*1</f>
        <v>13.866547896201599</v>
      </c>
      <c r="N44" s="30">
        <f>('TE BE'!$N$44+'TE BF'!$N$44+'TE CVA'!$N$44)*1</f>
        <v>0</v>
      </c>
      <c r="O44" s="30">
        <f>('TE BE'!$O$44+'TE BF'!$O$44+'TE CVA'!$O$44)*1</f>
        <v>-5.9899887837723602</v>
      </c>
      <c r="P44" s="30">
        <f>('TE BE'!$Q$44+'TE BF'!$Q$44+'TE CVA'!$Q$44)*1</f>
        <v>346.04869505221041</v>
      </c>
      <c r="Q44" s="30">
        <f>('TE BE'!$S$44+'TE BF'!$S$44+'TE CVA'!$S$44)*1</f>
        <v>7.727919473703424</v>
      </c>
      <c r="R44" s="30">
        <f>('TE BE'!$T$44+'TE BF'!$T$44+'TE CVA'!$T$44)*1</f>
        <v>6.2390317012758114</v>
      </c>
      <c r="S44" s="30">
        <f>('TE BE'!$U$44+'TE BF'!$U$44+'TE CVA'!$U$44)*1</f>
        <v>0</v>
      </c>
      <c r="T44" s="30">
        <f>('TE BE'!$W$44+'TE BF'!$W$44+'TE CVA'!$W$44)*1</f>
        <v>0</v>
      </c>
      <c r="U44" s="30">
        <f>('TE BE'!$Y$44+'TE BF'!$Y$44+'TE CVA'!$Y$44)*1</f>
        <v>5.2990697581821919</v>
      </c>
      <c r="W44" s="30">
        <v>2.5903602143268998</v>
      </c>
      <c r="X44" s="30">
        <v>-1.2437015709419601</v>
      </c>
      <c r="Y44" s="30">
        <v>0</v>
      </c>
      <c r="Z44" s="30">
        <v>-4.4339565273477302</v>
      </c>
      <c r="AA44" s="30">
        <v>416.83655416814997</v>
      </c>
      <c r="AB44" s="30">
        <v>6.7024720832918598</v>
      </c>
      <c r="AC44" s="30">
        <v>4.0338507847524001</v>
      </c>
      <c r="AD44" s="30">
        <v>0</v>
      </c>
      <c r="AE44" s="30">
        <v>0</v>
      </c>
      <c r="AF44" s="30">
        <v>6.3838359847864199</v>
      </c>
    </row>
    <row r="45" spans="1:32" ht="11.25" customHeight="1" x14ac:dyDescent="0.25">
      <c r="A45" s="130"/>
      <c r="B45" s="130"/>
      <c r="C45" s="130"/>
      <c r="D45" s="130"/>
      <c r="E45" s="130"/>
      <c r="F45" s="130"/>
      <c r="G45" s="32" t="s">
        <v>100</v>
      </c>
      <c r="H45" s="32" t="s">
        <v>88</v>
      </c>
      <c r="I45" s="32">
        <f>'MERCADO TE'!$U$42</f>
        <v>52.353999999999928</v>
      </c>
      <c r="J45" s="17"/>
      <c r="L45" s="30">
        <f>('TE BE'!$L$45+'TE BF'!$L$45+'TE CVA'!$L$45)*1</f>
        <v>2.5005275892065639</v>
      </c>
      <c r="M45" s="30">
        <f>('TE BE'!$M$45+'TE BF'!$M$45+'TE CVA'!$M$45)*1</f>
        <v>13.866547896201599</v>
      </c>
      <c r="N45" s="30">
        <f>('TE BE'!$N$45+'TE BF'!$N$45+'TE CVA'!$N$45)*1</f>
        <v>0</v>
      </c>
      <c r="O45" s="30">
        <f>('TE BE'!$O$45+'TE BF'!$O$45+'TE CVA'!$O$45)*1</f>
        <v>-5.9899887837723602</v>
      </c>
      <c r="P45" s="30">
        <f>('TE BE'!$Q$45+'TE BF'!$Q$45+'TE CVA'!$Q$45)*1</f>
        <v>201.19110177454098</v>
      </c>
      <c r="Q45" s="30">
        <f>('TE BE'!$S$45+'TE BF'!$S$45+'TE CVA'!$S$45)*1</f>
        <v>7.727919473703424</v>
      </c>
      <c r="R45" s="30">
        <f>('TE BE'!$T$45+'TE BF'!$T$45+'TE CVA'!$T$45)*1</f>
        <v>6.2390317012758114</v>
      </c>
      <c r="S45" s="30">
        <f>('TE BE'!$U$45+'TE BF'!$U$45+'TE CVA'!$U$45)*1</f>
        <v>0</v>
      </c>
      <c r="T45" s="30">
        <f>('TE BE'!$W$45+'TE BF'!$W$45+'TE CVA'!$W$45)*1</f>
        <v>0</v>
      </c>
      <c r="U45" s="30">
        <f>('TE BE'!$Y$45+'TE BF'!$Y$45+'TE CVA'!$Y$45)*1</f>
        <v>5.2990697581821919</v>
      </c>
      <c r="W45" s="30">
        <v>2.5903602143268998</v>
      </c>
      <c r="X45" s="30">
        <v>-1.2437015709419601</v>
      </c>
      <c r="Y45" s="30">
        <v>0</v>
      </c>
      <c r="Z45" s="30">
        <v>-4.4339565273477302</v>
      </c>
      <c r="AA45" s="30">
        <v>242.34683381869201</v>
      </c>
      <c r="AB45" s="30">
        <v>6.7024720832918598</v>
      </c>
      <c r="AC45" s="30">
        <v>4.0338507847524001</v>
      </c>
      <c r="AD45" s="30">
        <v>0</v>
      </c>
      <c r="AE45" s="30">
        <v>0</v>
      </c>
      <c r="AF45" s="30">
        <v>6.3838359847864199</v>
      </c>
    </row>
    <row r="46" spans="1:32" ht="11.25" customHeight="1" x14ac:dyDescent="0.25">
      <c r="A46" s="130"/>
      <c r="B46" s="130"/>
      <c r="C46" s="130"/>
      <c r="D46" s="130"/>
      <c r="E46" s="130"/>
      <c r="F46" s="130"/>
      <c r="G46" s="32" t="s">
        <v>90</v>
      </c>
      <c r="H46" s="32" t="s">
        <v>88</v>
      </c>
      <c r="I46" s="32">
        <f>'MERCADO TE'!$U$43</f>
        <v>4172.1789999999992</v>
      </c>
      <c r="J46" s="17"/>
      <c r="L46" s="30">
        <f>('TE BE'!$L$46+'TE BF'!$L$46+'TE CVA'!$L$46)*1</f>
        <v>2.5005275892065639</v>
      </c>
      <c r="M46" s="30">
        <f>('TE BE'!$M$46+'TE BF'!$M$46+'TE CVA'!$M$46)*1</f>
        <v>13.866547896201599</v>
      </c>
      <c r="N46" s="30">
        <f>('TE BE'!$N$46+'TE BF'!$N$46+'TE CVA'!$N$46)*1</f>
        <v>0</v>
      </c>
      <c r="O46" s="30">
        <f>('TE BE'!$O$46+'TE BF'!$O$46+'TE CVA'!$O$46)*1</f>
        <v>-5.9899887837723602</v>
      </c>
      <c r="P46" s="30">
        <f>('TE BE'!$Q$46+'TE BF'!$Q$46+'TE CVA'!$Q$46)*1</f>
        <v>201.19110177454098</v>
      </c>
      <c r="Q46" s="30">
        <f>('TE BE'!$S$46+'TE BF'!$S$46+'TE CVA'!$S$46)*1</f>
        <v>7.727919473703424</v>
      </c>
      <c r="R46" s="30">
        <f>('TE BE'!$T$46+'TE BF'!$T$46+'TE CVA'!$T$46)*1</f>
        <v>6.2390317012758114</v>
      </c>
      <c r="S46" s="30">
        <f>('TE BE'!$U$46+'TE BF'!$U$46+'TE CVA'!$U$46)*1</f>
        <v>0</v>
      </c>
      <c r="T46" s="30">
        <f>('TE BE'!$W$46+'TE BF'!$W$46+'TE CVA'!$W$46)*1</f>
        <v>0</v>
      </c>
      <c r="U46" s="30">
        <f>('TE BE'!$Y$46+'TE BF'!$Y$46+'TE CVA'!$Y$46)*1</f>
        <v>5.2990697581821919</v>
      </c>
      <c r="W46" s="30">
        <v>2.5903602143268998</v>
      </c>
      <c r="X46" s="30">
        <v>-1.2437015709419601</v>
      </c>
      <c r="Y46" s="30">
        <v>0</v>
      </c>
      <c r="Z46" s="30">
        <v>-4.4339565273477302</v>
      </c>
      <c r="AA46" s="30">
        <v>242.34683381869201</v>
      </c>
      <c r="AB46" s="30">
        <v>6.7024720832918598</v>
      </c>
      <c r="AC46" s="30">
        <v>4.0338507847524001</v>
      </c>
      <c r="AD46" s="30">
        <v>0</v>
      </c>
      <c r="AE46" s="30">
        <v>0</v>
      </c>
      <c r="AF46" s="30">
        <v>6.3838359847864199</v>
      </c>
    </row>
    <row r="47" spans="1:32" ht="11.25" customHeight="1" x14ac:dyDescent="0.25">
      <c r="A47" s="130"/>
      <c r="B47" s="88" t="s">
        <v>96</v>
      </c>
      <c r="C47" s="88" t="s">
        <v>25</v>
      </c>
      <c r="D47" s="88" t="s">
        <v>25</v>
      </c>
      <c r="E47" s="88" t="s">
        <v>25</v>
      </c>
      <c r="F47" s="88" t="s">
        <v>25</v>
      </c>
      <c r="G47" s="32" t="s">
        <v>94</v>
      </c>
      <c r="H47" s="32" t="s">
        <v>88</v>
      </c>
      <c r="I47" s="32">
        <f>'MERCADO TE'!$U$44</f>
        <v>1033015.7139999998</v>
      </c>
      <c r="J47" s="17"/>
      <c r="L47" s="30">
        <f>('TE BE'!$L$47+'TE BF'!$L$47+'TE CVA'!$L$47)*1</f>
        <v>2.5005275892065639</v>
      </c>
      <c r="M47" s="30">
        <f>('TE BE'!$M$47+'TE BF'!$M$47+'TE CVA'!$M$47)*1</f>
        <v>13.866547896201599</v>
      </c>
      <c r="N47" s="30">
        <f>('TE BE'!$N$47+'TE BF'!$N$47+'TE CVA'!$N$47)*1</f>
        <v>0</v>
      </c>
      <c r="O47" s="30">
        <f>('TE BE'!$O$47+'TE BF'!$O$47+'TE CVA'!$O$47)*1</f>
        <v>-5.9899887837723602</v>
      </c>
      <c r="P47" s="30">
        <f>('TE BE'!$Q$47+'TE BF'!$Q$47+'TE CVA'!$Q$47)*1</f>
        <v>213.26256788101344</v>
      </c>
      <c r="Q47" s="30">
        <f>('TE BE'!$S$47+'TE BF'!$S$47+'TE CVA'!$S$47)*1</f>
        <v>7.727919473703424</v>
      </c>
      <c r="R47" s="30">
        <f>('TE BE'!$T$47+'TE BF'!$T$47+'TE CVA'!$T$47)*1</f>
        <v>6.2390317012758114</v>
      </c>
      <c r="S47" s="30">
        <f>('TE BE'!$U$47+'TE BF'!$U$47+'TE CVA'!$U$47)*1</f>
        <v>0</v>
      </c>
      <c r="T47" s="30">
        <f>('TE BE'!$W$47+'TE BF'!$W$47+'TE CVA'!$W$47)*1</f>
        <v>0</v>
      </c>
      <c r="U47" s="30">
        <f>('TE BE'!$Y$47+'TE BF'!$Y$47+'TE CVA'!$Y$47)*1</f>
        <v>5.2990697581821919</v>
      </c>
      <c r="W47" s="30">
        <v>2.5903602143268998</v>
      </c>
      <c r="X47" s="30">
        <v>-1.2437015709419601</v>
      </c>
      <c r="Y47" s="30">
        <v>0</v>
      </c>
      <c r="Z47" s="30">
        <v>-4.4339565273477302</v>
      </c>
      <c r="AA47" s="30">
        <v>256.88764384781399</v>
      </c>
      <c r="AB47" s="30">
        <v>6.7024720832918598</v>
      </c>
      <c r="AC47" s="30">
        <v>4.0338507847524001</v>
      </c>
      <c r="AD47" s="30">
        <v>0</v>
      </c>
      <c r="AE47" s="30">
        <v>0</v>
      </c>
      <c r="AF47" s="30">
        <v>6.3838359847864199</v>
      </c>
    </row>
    <row r="48" spans="1:32" ht="11.25" customHeight="1" x14ac:dyDescent="0.25">
      <c r="A48" s="130"/>
      <c r="B48" s="88" t="s">
        <v>101</v>
      </c>
      <c r="C48" s="88" t="s">
        <v>25</v>
      </c>
      <c r="D48" s="88" t="s">
        <v>25</v>
      </c>
      <c r="E48" s="88" t="s">
        <v>25</v>
      </c>
      <c r="F48" s="88" t="s">
        <v>25</v>
      </c>
      <c r="G48" s="32" t="s">
        <v>94</v>
      </c>
      <c r="H48" s="32" t="s">
        <v>88</v>
      </c>
      <c r="I48" s="32">
        <f>'MERCADO TE'!$U$45</f>
        <v>0</v>
      </c>
      <c r="J48" s="17"/>
      <c r="L48" s="30">
        <f>('TE BE'!$L$48+'TE BF'!$L$48+'TE CVA'!$L$48)*1</f>
        <v>2.5005275892065639</v>
      </c>
      <c r="M48" s="30">
        <f>('TE BE'!$M$48+'TE BF'!$M$48+'TE CVA'!$M$48)*1</f>
        <v>13.866547896201599</v>
      </c>
      <c r="N48" s="30">
        <f>('TE BE'!$N$48+'TE BF'!$N$48+'TE CVA'!$N$48)*1</f>
        <v>0</v>
      </c>
      <c r="O48" s="30">
        <f>('TE BE'!$O$48+'TE BF'!$O$48+'TE CVA'!$O$48)*1</f>
        <v>-5.9899887837723602</v>
      </c>
      <c r="P48" s="30">
        <f>('TE BE'!$Q$48+'TE BF'!$Q$48+'TE CVA'!$Q$48)*1</f>
        <v>213.26256788101344</v>
      </c>
      <c r="Q48" s="30">
        <f>('TE BE'!$S$48+'TE BF'!$S$48+'TE CVA'!$S$48)*1</f>
        <v>7.727919473703424</v>
      </c>
      <c r="R48" s="30">
        <f>('TE BE'!$T$48+'TE BF'!$T$48+'TE CVA'!$T$48)*1</f>
        <v>6.2390317012758114</v>
      </c>
      <c r="S48" s="30">
        <f>('TE BE'!$U$48+'TE BF'!$U$48+'TE CVA'!$U$48)*1</f>
        <v>0</v>
      </c>
      <c r="T48" s="30">
        <f>('TE BE'!$W$48+'TE BF'!$W$48+'TE CVA'!$W$48)*1</f>
        <v>0</v>
      </c>
      <c r="U48" s="30">
        <f>('TE BE'!$Y$48+'TE BF'!$Y$48+'TE CVA'!$Y$48)*1</f>
        <v>5.2990697581821919</v>
      </c>
      <c r="W48" s="30">
        <v>2.5903602143268998</v>
      </c>
      <c r="X48" s="30">
        <v>-1.2437015709419601</v>
      </c>
      <c r="Y48" s="30">
        <v>0</v>
      </c>
      <c r="Z48" s="30">
        <v>-4.4339565273477302</v>
      </c>
      <c r="AA48" s="30">
        <v>256.88764384781399</v>
      </c>
      <c r="AB48" s="30">
        <v>6.7024720832918598</v>
      </c>
      <c r="AC48" s="30">
        <v>4.0338507847524001</v>
      </c>
      <c r="AD48" s="30">
        <v>0</v>
      </c>
      <c r="AE48" s="30">
        <v>0</v>
      </c>
      <c r="AF48" s="30">
        <v>6.3838359847864199</v>
      </c>
    </row>
    <row r="49" spans="1:32" ht="11.25" customHeight="1" x14ac:dyDescent="0.25">
      <c r="A49" s="130" t="s">
        <v>49</v>
      </c>
      <c r="B49" s="130" t="s">
        <v>96</v>
      </c>
      <c r="C49" s="130" t="s">
        <v>50</v>
      </c>
      <c r="D49" s="88" t="s">
        <v>51</v>
      </c>
      <c r="E49" s="88" t="s">
        <v>25</v>
      </c>
      <c r="F49" s="88" t="s">
        <v>25</v>
      </c>
      <c r="G49" s="32" t="s">
        <v>94</v>
      </c>
      <c r="H49" s="32" t="s">
        <v>88</v>
      </c>
      <c r="I49" s="32">
        <f>'MERCADO TE'!$U$46</f>
        <v>418118.94</v>
      </c>
      <c r="J49" s="17"/>
      <c r="L49" s="30">
        <f>('TE BE'!$L$49+'TE BF'!$L$49+'TE CVA'!$L$49)*1</f>
        <v>1.3752901740636103</v>
      </c>
      <c r="M49" s="30">
        <f>('TE BE'!$M$49+'TE BF'!$M$49+'TE CVA'!$M$49)*1</f>
        <v>7.626601342910881</v>
      </c>
      <c r="N49" s="30">
        <f>('TE BE'!$N$49+'TE BF'!$N$49+'TE CVA'!$N$49)*1</f>
        <v>0</v>
      </c>
      <c r="O49" s="30">
        <f>('TE BE'!$O$49+'TE BF'!$O$49+'TE CVA'!$O$49)*1</f>
        <v>-3.2944938310747984</v>
      </c>
      <c r="P49" s="30">
        <f>('TE BE'!$Q$49+'TE BF'!$Q$49+'TE CVA'!$Q$49)*1</f>
        <v>117.29441233455739</v>
      </c>
      <c r="Q49" s="30">
        <f>('TE BE'!$S$49+'TE BF'!$S$49+'TE CVA'!$S$49)*1</f>
        <v>4.2503557105368834</v>
      </c>
      <c r="R49" s="30">
        <f>('TE BE'!$T$49+'TE BF'!$T$49+'TE CVA'!$T$49)*1</f>
        <v>3.4314674357016965</v>
      </c>
      <c r="S49" s="30">
        <f>('TE BE'!$U$49+'TE BF'!$U$49+'TE CVA'!$U$49)*1</f>
        <v>0</v>
      </c>
      <c r="T49" s="30">
        <f>('TE BE'!$W$49+'TE BF'!$W$49+'TE CVA'!$W$49)*1</f>
        <v>0</v>
      </c>
      <c r="U49" s="30">
        <f>('TE BE'!$Y$49+'TE BF'!$Y$49+'TE CVA'!$Y$49)*1</f>
        <v>2.9144883670002062</v>
      </c>
      <c r="W49" s="30">
        <v>1.4246981178797999</v>
      </c>
      <c r="X49" s="30">
        <v>-0.68403586401807903</v>
      </c>
      <c r="Y49" s="30">
        <v>0</v>
      </c>
      <c r="Z49" s="30">
        <v>-2.4386760900412501</v>
      </c>
      <c r="AA49" s="30">
        <v>141.288204116298</v>
      </c>
      <c r="AB49" s="30">
        <v>3.6863596458105201</v>
      </c>
      <c r="AC49" s="30">
        <v>2.2186179316138199</v>
      </c>
      <c r="AD49" s="30">
        <v>0</v>
      </c>
      <c r="AE49" s="30">
        <v>0</v>
      </c>
      <c r="AF49" s="30">
        <v>3.51110979163253</v>
      </c>
    </row>
    <row r="50" spans="1:32" ht="11.25" customHeight="1" x14ac:dyDescent="0.25">
      <c r="A50" s="130"/>
      <c r="B50" s="130"/>
      <c r="C50" s="130"/>
      <c r="D50" s="32" t="s">
        <v>105</v>
      </c>
      <c r="E50" s="32" t="s">
        <v>25</v>
      </c>
      <c r="F50" s="32" t="s">
        <v>25</v>
      </c>
      <c r="G50" s="32" t="s">
        <v>94</v>
      </c>
      <c r="H50" s="32" t="s">
        <v>88</v>
      </c>
      <c r="I50" s="32">
        <f>'MERCADO TE'!$U$47</f>
        <v>0</v>
      </c>
      <c r="J50" s="17"/>
      <c r="L50" s="30">
        <f>('TE BE'!$L$50+'TE BF'!$L$50+'TE CVA'!$L$50)*1</f>
        <v>1.5003165535239382</v>
      </c>
      <c r="M50" s="30">
        <f>('TE BE'!$M$50+'TE BF'!$M$50+'TE CVA'!$M$50)*1</f>
        <v>8.3199287377209572</v>
      </c>
      <c r="N50" s="30">
        <f>('TE BE'!$N$50+'TE BF'!$N$50+'TE CVA'!$N$50)*1</f>
        <v>0</v>
      </c>
      <c r="O50" s="30">
        <f>('TE BE'!$O$50+'TE BF'!$O$50+'TE CVA'!$O$50)*1</f>
        <v>-3.5939932702634159</v>
      </c>
      <c r="P50" s="30">
        <f>('TE BE'!$Q$50+'TE BF'!$Q$50+'TE CVA'!$Q$50)*1</f>
        <v>127.95754072860805</v>
      </c>
      <c r="Q50" s="30">
        <f>('TE BE'!$S$50+'TE BF'!$S$50+'TE CVA'!$S$50)*1</f>
        <v>4.6367516842220535</v>
      </c>
      <c r="R50" s="30">
        <f>('TE BE'!$T$50+'TE BF'!$T$50+'TE CVA'!$T$50)*1</f>
        <v>3.7434190207654865</v>
      </c>
      <c r="S50" s="30">
        <f>('TE BE'!$U$50+'TE BF'!$U$50+'TE CVA'!$U$50)*1</f>
        <v>0</v>
      </c>
      <c r="T50" s="30">
        <f>('TE BE'!$W$50+'TE BF'!$W$50+'TE CVA'!$W$50)*1</f>
        <v>0</v>
      </c>
      <c r="U50" s="30">
        <f>('TE BE'!$Y$50+'TE BF'!$Y$50+'TE CVA'!$Y$50)*1</f>
        <v>3.1794418549093151</v>
      </c>
      <c r="W50" s="30">
        <v>1.55421612859614</v>
      </c>
      <c r="X50" s="30">
        <v>-0.74622094256517701</v>
      </c>
      <c r="Y50" s="30">
        <v>0</v>
      </c>
      <c r="Z50" s="30">
        <v>-2.66037391640864</v>
      </c>
      <c r="AA50" s="30">
        <v>154.13258630868799</v>
      </c>
      <c r="AB50" s="30">
        <v>4.0214832499751099</v>
      </c>
      <c r="AC50" s="30">
        <v>2.4203104708514398</v>
      </c>
      <c r="AD50" s="30">
        <v>0</v>
      </c>
      <c r="AE50" s="30">
        <v>0</v>
      </c>
      <c r="AF50" s="30">
        <v>3.8303015908718501</v>
      </c>
    </row>
    <row r="52" spans="1:32" ht="11.25" customHeight="1" x14ac:dyDescent="0.25">
      <c r="L52" s="127" t="s">
        <v>1527</v>
      </c>
      <c r="M52" s="127"/>
      <c r="N52" s="127"/>
      <c r="O52" s="127"/>
      <c r="P52" s="127"/>
      <c r="Q52" s="127"/>
      <c r="R52" s="127"/>
      <c r="S52" s="127"/>
      <c r="T52" s="127"/>
      <c r="U52" s="127"/>
      <c r="W52" s="127" t="s">
        <v>1528</v>
      </c>
      <c r="X52" s="127"/>
      <c r="Y52" s="127"/>
      <c r="Z52" s="127"/>
      <c r="AA52" s="127"/>
      <c r="AB52" s="127"/>
      <c r="AC52" s="127"/>
      <c r="AD52" s="127"/>
      <c r="AE52" s="127"/>
      <c r="AF52" s="127"/>
    </row>
    <row r="53" spans="1:32" ht="11.25" customHeight="1" x14ac:dyDescent="0.25">
      <c r="L53" s="127" t="s">
        <v>984</v>
      </c>
      <c r="M53" s="127"/>
      <c r="N53" s="127"/>
      <c r="O53" s="127"/>
      <c r="P53" s="127"/>
      <c r="Q53" s="127"/>
      <c r="R53" s="127"/>
      <c r="S53" s="127"/>
      <c r="T53" s="127"/>
      <c r="U53" s="127"/>
      <c r="W53" s="127" t="s">
        <v>984</v>
      </c>
      <c r="X53" s="127"/>
      <c r="Y53" s="127"/>
      <c r="Z53" s="127"/>
      <c r="AA53" s="127"/>
      <c r="AB53" s="127"/>
      <c r="AC53" s="127"/>
      <c r="AD53" s="127"/>
      <c r="AE53" s="127"/>
      <c r="AF53" s="127"/>
    </row>
    <row r="54" spans="1:32" ht="11.25" customHeight="1" x14ac:dyDescent="0.25">
      <c r="L54" s="127" t="s">
        <v>956</v>
      </c>
      <c r="M54" s="127"/>
      <c r="N54" s="127"/>
      <c r="O54" s="127"/>
      <c r="P54" s="89" t="s">
        <v>988</v>
      </c>
      <c r="Q54" s="127" t="s">
        <v>966</v>
      </c>
      <c r="R54" s="127"/>
      <c r="S54" s="127"/>
      <c r="T54" s="89" t="s">
        <v>976</v>
      </c>
      <c r="U54" s="89" t="s">
        <v>979</v>
      </c>
      <c r="W54" s="127" t="s">
        <v>956</v>
      </c>
      <c r="X54" s="127"/>
      <c r="Y54" s="127"/>
      <c r="Z54" s="127"/>
      <c r="AA54" s="89" t="s">
        <v>988</v>
      </c>
      <c r="AB54" s="127" t="s">
        <v>966</v>
      </c>
      <c r="AC54" s="127"/>
      <c r="AD54" s="127"/>
      <c r="AE54" s="89" t="s">
        <v>976</v>
      </c>
      <c r="AF54" s="89" t="s">
        <v>979</v>
      </c>
    </row>
    <row r="55" spans="1:32" ht="11.25" customHeight="1" x14ac:dyDescent="0.25">
      <c r="L55" s="89" t="s">
        <v>959</v>
      </c>
      <c r="M55" s="89" t="s">
        <v>985</v>
      </c>
      <c r="N55" s="89" t="s">
        <v>986</v>
      </c>
      <c r="O55" s="89" t="s">
        <v>987</v>
      </c>
      <c r="P55" s="89" t="s">
        <v>989</v>
      </c>
      <c r="Q55" s="89" t="s">
        <v>990</v>
      </c>
      <c r="R55" s="89" t="s">
        <v>991</v>
      </c>
      <c r="S55" s="89" t="s">
        <v>992</v>
      </c>
      <c r="T55" s="89" t="s">
        <v>977</v>
      </c>
      <c r="U55" s="89" t="s">
        <v>993</v>
      </c>
      <c r="W55" s="89" t="s">
        <v>959</v>
      </c>
      <c r="X55" s="89" t="s">
        <v>985</v>
      </c>
      <c r="Y55" s="89" t="s">
        <v>986</v>
      </c>
      <c r="Z55" s="89" t="s">
        <v>987</v>
      </c>
      <c r="AA55" s="89" t="s">
        <v>989</v>
      </c>
      <c r="AB55" s="89" t="s">
        <v>990</v>
      </c>
      <c r="AC55" s="89" t="s">
        <v>991</v>
      </c>
      <c r="AD55" s="89" t="s">
        <v>992</v>
      </c>
      <c r="AE55" s="89" t="s">
        <v>977</v>
      </c>
      <c r="AF55" s="89" t="s">
        <v>993</v>
      </c>
    </row>
    <row r="56" spans="1:32" ht="11.25" customHeight="1" x14ac:dyDescent="0.25">
      <c r="A56" s="9" t="s">
        <v>43</v>
      </c>
      <c r="B56" s="9" t="s">
        <v>1529</v>
      </c>
      <c r="C56" s="9" t="s">
        <v>1530</v>
      </c>
      <c r="D56" s="9" t="s">
        <v>1531</v>
      </c>
      <c r="E56" s="9" t="s">
        <v>1532</v>
      </c>
      <c r="F56" s="9" t="s">
        <v>1533</v>
      </c>
      <c r="G56" s="9" t="s">
        <v>1534</v>
      </c>
      <c r="L56" s="30">
        <f>$I$5*$L$5</f>
        <v>15442.435717362891</v>
      </c>
      <c r="M56" s="30">
        <f>$I$5*$M$5</f>
        <v>85635.237712683229</v>
      </c>
      <c r="N56" s="30">
        <f>$I$5*$N$5</f>
        <v>0</v>
      </c>
      <c r="O56" s="30">
        <f>$I$5*$O$5</f>
        <v>-36992.20002226824</v>
      </c>
      <c r="P56" s="30">
        <f>$I$5*$P$5</f>
        <v>2137082.8906217795</v>
      </c>
      <c r="Q56" s="30">
        <f>$I$5*$Q$5</f>
        <v>47725.0881840855</v>
      </c>
      <c r="R56" s="30">
        <f>$I$5*$R$5</f>
        <v>38530.207145649692</v>
      </c>
      <c r="S56" s="30">
        <f>$I$5*$S$5</f>
        <v>0</v>
      </c>
      <c r="T56" s="30">
        <f>$I$5*$T$5</f>
        <v>0</v>
      </c>
      <c r="U56" s="30">
        <f>$I$5*$U$5</f>
        <v>32725.311432582777</v>
      </c>
      <c r="W56" s="30">
        <f>$I$5*$W$5</f>
        <v>15997.212455172421</v>
      </c>
      <c r="X56" s="30">
        <f>$I$5*$X$5</f>
        <v>-7680.6917243207063</v>
      </c>
      <c r="Y56" s="30">
        <f>$I$5*$Y$5</f>
        <v>0</v>
      </c>
      <c r="Z56" s="30">
        <f>$I$5*$Z$5</f>
        <v>-27382.656741202085</v>
      </c>
      <c r="AA56" s="30">
        <f>$I$5*$AA$5</f>
        <v>2574245.4193161731</v>
      </c>
      <c r="AB56" s="30">
        <f>$I$5*$AB$5</f>
        <v>41392.262473095128</v>
      </c>
      <c r="AC56" s="30">
        <f>$I$5*$AC$5</f>
        <v>24911.735309722641</v>
      </c>
      <c r="AD56" s="30">
        <f>$I$5*$AD$5</f>
        <v>0</v>
      </c>
      <c r="AE56" s="30">
        <f>$I$5*$AE$5</f>
        <v>0</v>
      </c>
      <c r="AF56" s="30">
        <f>$I$5*$AF$5</f>
        <v>39424.470760001939</v>
      </c>
    </row>
    <row r="57" spans="1:32" ht="11.25" customHeight="1" x14ac:dyDescent="0.25">
      <c r="A57" s="9" t="s">
        <v>43</v>
      </c>
      <c r="B57" s="9" t="s">
        <v>1529</v>
      </c>
      <c r="C57" s="9" t="s">
        <v>1530</v>
      </c>
      <c r="D57" s="9" t="s">
        <v>1531</v>
      </c>
      <c r="E57" s="9" t="s">
        <v>1532</v>
      </c>
      <c r="F57" s="9" t="s">
        <v>1533</v>
      </c>
      <c r="G57" s="9" t="s">
        <v>1535</v>
      </c>
      <c r="L57" s="30">
        <f>$I$6*$L$6</f>
        <v>255424.74736270763</v>
      </c>
      <c r="M57" s="30">
        <f>$I$6*$M$6</f>
        <v>1416444.8768605816</v>
      </c>
      <c r="N57" s="30">
        <f>$I$6*$N$6</f>
        <v>0</v>
      </c>
      <c r="O57" s="30">
        <f>$I$6*$O$6</f>
        <v>-611867.42286094313</v>
      </c>
      <c r="P57" s="30">
        <f>$I$6*$P$6</f>
        <v>20551337.47142262</v>
      </c>
      <c r="Q57" s="30">
        <f>$I$6*$Q$6</f>
        <v>789394.1613483174</v>
      </c>
      <c r="R57" s="30">
        <f>$I$6*$R$6</f>
        <v>637306.7439707634</v>
      </c>
      <c r="S57" s="30">
        <f>$I$6*$S$6</f>
        <v>0</v>
      </c>
      <c r="T57" s="30">
        <f>$I$6*$T$6</f>
        <v>0</v>
      </c>
      <c r="U57" s="30">
        <f>$I$6*$U$6</f>
        <v>541291.18994065188</v>
      </c>
      <c r="W57" s="30">
        <f>$I$6*$W$6</f>
        <v>264601.0010762575</v>
      </c>
      <c r="X57" s="30">
        <f>$I$6*$X$6</f>
        <v>-127042.0534145166</v>
      </c>
      <c r="Y57" s="30">
        <f>$I$6*$Y$6</f>
        <v>0</v>
      </c>
      <c r="Z57" s="30">
        <f>$I$6*$Z$6</f>
        <v>-452921.30776864832</v>
      </c>
      <c r="AA57" s="30">
        <f>$I$6*$AA$6</f>
        <v>24755327.263528917</v>
      </c>
      <c r="AB57" s="30">
        <f>$I$6*$AB$6</f>
        <v>684646.41060954938</v>
      </c>
      <c r="AC57" s="30">
        <f>$I$6*$AC$6</f>
        <v>412051.16953785659</v>
      </c>
      <c r="AD57" s="30">
        <f>$I$6*$AD$6</f>
        <v>0</v>
      </c>
      <c r="AE57" s="30">
        <f>$I$6*$AE$6</f>
        <v>0</v>
      </c>
      <c r="AF57" s="30">
        <f>$I$6*$AF$6</f>
        <v>652098.26144587004</v>
      </c>
    </row>
    <row r="58" spans="1:32" ht="11.25" customHeight="1" x14ac:dyDescent="0.25">
      <c r="A58" s="9" t="s">
        <v>45</v>
      </c>
      <c r="B58" s="9" t="s">
        <v>1536</v>
      </c>
      <c r="C58" s="9" t="s">
        <v>1537</v>
      </c>
      <c r="D58" s="9" t="s">
        <v>1538</v>
      </c>
      <c r="E58" s="9" t="s">
        <v>1539</v>
      </c>
      <c r="F58" s="9" t="s">
        <v>1540</v>
      </c>
      <c r="G58" s="9" t="s">
        <v>1541</v>
      </c>
      <c r="L58" s="30">
        <f>$I$7*$L$7</f>
        <v>8355.3779108439157</v>
      </c>
      <c r="M58" s="30">
        <f>$I$7*$M$7</f>
        <v>46334.321001571247</v>
      </c>
      <c r="N58" s="30">
        <f>$I$7*$N$7</f>
        <v>0</v>
      </c>
      <c r="O58" s="30">
        <f>$I$7*$O$7</f>
        <v>-20015.224061581019</v>
      </c>
      <c r="P58" s="30">
        <f>$I$7*$P$7</f>
        <v>1156303.0278874282</v>
      </c>
      <c r="Q58" s="30">
        <f>$I$7*$Q$7</f>
        <v>25822.42561372841</v>
      </c>
      <c r="R58" s="30">
        <f>$I$7*$R$7</f>
        <v>20847.387522101253</v>
      </c>
      <c r="S58" s="30">
        <f>$I$7*$S$7</f>
        <v>0</v>
      </c>
      <c r="T58" s="30">
        <f>$I$7*$T$7</f>
        <v>0</v>
      </c>
      <c r="U58" s="30">
        <f>$I$7*$U$7</f>
        <v>17706.555447198851</v>
      </c>
      <c r="W58" s="30">
        <f>$I$7*$W$7</f>
        <v>8655.5487767217619</v>
      </c>
      <c r="X58" s="30">
        <f>$I$7*$X$7</f>
        <v>-4155.7616394177285</v>
      </c>
      <c r="Y58" s="30">
        <f>$I$7*$Y$7</f>
        <v>0</v>
      </c>
      <c r="Z58" s="30">
        <f>$I$7*$Z$7</f>
        <v>-14815.826302479963</v>
      </c>
      <c r="AA58" s="30">
        <f>$I$7*$AA$7</f>
        <v>1392836.836578948</v>
      </c>
      <c r="AB58" s="30">
        <f>$I$7*$AB$7</f>
        <v>22395.948532827253</v>
      </c>
      <c r="AC58" s="30">
        <f>$I$7*$AC$7</f>
        <v>13478.894569307768</v>
      </c>
      <c r="AD58" s="30">
        <f>$I$7*$AD$7</f>
        <v>0</v>
      </c>
      <c r="AE58" s="30">
        <f>$I$7*$AE$7</f>
        <v>0</v>
      </c>
      <c r="AF58" s="30">
        <f>$I$7*$AF$7</f>
        <v>21331.243216020644</v>
      </c>
    </row>
    <row r="59" spans="1:32" ht="11.25" customHeight="1" x14ac:dyDescent="0.25">
      <c r="A59" s="9" t="s">
        <v>45</v>
      </c>
      <c r="B59" s="9" t="s">
        <v>1536</v>
      </c>
      <c r="C59" s="9" t="s">
        <v>1537</v>
      </c>
      <c r="D59" s="9" t="s">
        <v>1538</v>
      </c>
      <c r="E59" s="9" t="s">
        <v>1539</v>
      </c>
      <c r="F59" s="9" t="s">
        <v>1540</v>
      </c>
      <c r="G59" s="9" t="s">
        <v>1542</v>
      </c>
      <c r="L59" s="30">
        <f>$I$8*$L$8</f>
        <v>82622.287571963112</v>
      </c>
      <c r="M59" s="30">
        <f>$I$8*$M$8</f>
        <v>458177.67132651526</v>
      </c>
      <c r="N59" s="30">
        <f>$I$8*$N$8</f>
        <v>0</v>
      </c>
      <c r="O59" s="30">
        <f>$I$8*$O$8</f>
        <v>-197920.8619740569</v>
      </c>
      <c r="P59" s="30">
        <f>$I$8*$P$8</f>
        <v>6647744.715750481</v>
      </c>
      <c r="Q59" s="30">
        <f>$I$8*$Q$8</f>
        <v>255345.46703077908</v>
      </c>
      <c r="R59" s="30">
        <f>$I$8*$R$8</f>
        <v>206149.72360971669</v>
      </c>
      <c r="S59" s="30">
        <f>$I$8*$S$8</f>
        <v>0</v>
      </c>
      <c r="T59" s="30">
        <f>$I$8*$T$8</f>
        <v>0</v>
      </c>
      <c r="U59" s="30">
        <f>$I$8*$U$8</f>
        <v>175091.55560381003</v>
      </c>
      <c r="W59" s="30">
        <f>$I$8*$W$8</f>
        <v>85590.531960897002</v>
      </c>
      <c r="X59" s="30">
        <f>$I$8*$X$8</f>
        <v>-41094.315172373135</v>
      </c>
      <c r="Y59" s="30">
        <f>$I$8*$Y$8</f>
        <v>0</v>
      </c>
      <c r="Z59" s="30">
        <f>$I$8*$Z$8</f>
        <v>-146506.53440714514</v>
      </c>
      <c r="AA59" s="30">
        <f>$I$8*$AA$8</f>
        <v>8007610.0269208606</v>
      </c>
      <c r="AB59" s="30">
        <f>$I$8*$AB$8</f>
        <v>221462.69383274883</v>
      </c>
      <c r="AC59" s="30">
        <f>$I$8*$AC$8</f>
        <v>133286.26366644329</v>
      </c>
      <c r="AD59" s="30">
        <f>$I$8*$AD$8</f>
        <v>0</v>
      </c>
      <c r="AE59" s="30">
        <f>$I$8*$AE$8</f>
        <v>0</v>
      </c>
      <c r="AF59" s="30">
        <f>$I$8*$AF$8</f>
        <v>210934.3383468258</v>
      </c>
    </row>
    <row r="60" spans="1:32" ht="11.25" customHeight="1" x14ac:dyDescent="0.25">
      <c r="A60" s="9" t="s">
        <v>45</v>
      </c>
      <c r="B60" s="9" t="s">
        <v>1543</v>
      </c>
      <c r="C60" s="9" t="s">
        <v>1544</v>
      </c>
      <c r="D60" s="9" t="s">
        <v>1545</v>
      </c>
      <c r="E60" s="9" t="s">
        <v>1546</v>
      </c>
      <c r="F60" s="9" t="s">
        <v>1547</v>
      </c>
      <c r="G60" s="9" t="s">
        <v>1548</v>
      </c>
      <c r="L60" s="30">
        <f>$I$9*$L$9</f>
        <v>0</v>
      </c>
      <c r="M60" s="30">
        <f>$I$9*$M$9</f>
        <v>0</v>
      </c>
      <c r="N60" s="30">
        <f>$I$9*$N$9</f>
        <v>0</v>
      </c>
      <c r="O60" s="30">
        <f>$I$9*$O$9</f>
        <v>0</v>
      </c>
      <c r="P60" s="30">
        <f>$I$9*$P$9</f>
        <v>0</v>
      </c>
      <c r="Q60" s="30">
        <f>$I$9*$Q$9</f>
        <v>0</v>
      </c>
      <c r="R60" s="30">
        <f>$I$9*$R$9</f>
        <v>0</v>
      </c>
      <c r="S60" s="30">
        <f>$I$9*$S$9</f>
        <v>0</v>
      </c>
      <c r="T60" s="30">
        <f>$I$9*$T$9</f>
        <v>0</v>
      </c>
      <c r="U60" s="30">
        <f>$I$9*$U$9</f>
        <v>0</v>
      </c>
      <c r="W60" s="30">
        <f>$I$9*$W$9</f>
        <v>0</v>
      </c>
      <c r="X60" s="30">
        <f>$I$9*$X$9</f>
        <v>0</v>
      </c>
      <c r="Y60" s="30">
        <f>$I$9*$Y$9</f>
        <v>0</v>
      </c>
      <c r="Z60" s="30">
        <f>$I$9*$Z$9</f>
        <v>0</v>
      </c>
      <c r="AA60" s="30">
        <f>$I$9*$AA$9</f>
        <v>0</v>
      </c>
      <c r="AB60" s="30">
        <f>$I$9*$AB$9</f>
        <v>0</v>
      </c>
      <c r="AC60" s="30">
        <f>$I$9*$AC$9</f>
        <v>0</v>
      </c>
      <c r="AD60" s="30">
        <f>$I$9*$AD$9</f>
        <v>0</v>
      </c>
      <c r="AE60" s="30">
        <f>$I$9*$AE$9</f>
        <v>0</v>
      </c>
      <c r="AF60" s="30">
        <f>$I$9*$AF$9</f>
        <v>0</v>
      </c>
    </row>
    <row r="61" spans="1:32" ht="11.25" customHeight="1" x14ac:dyDescent="0.25">
      <c r="A61" s="9" t="s">
        <v>33</v>
      </c>
      <c r="B61" s="9" t="s">
        <v>1549</v>
      </c>
      <c r="C61" s="9" t="s">
        <v>1550</v>
      </c>
      <c r="D61" s="9" t="s">
        <v>1551</v>
      </c>
      <c r="E61" s="9" t="s">
        <v>1552</v>
      </c>
      <c r="F61" s="9" t="s">
        <v>1553</v>
      </c>
      <c r="G61" s="9" t="s">
        <v>1554</v>
      </c>
      <c r="L61" s="30">
        <f>$I$10*$L$10</f>
        <v>210836.42212042233</v>
      </c>
      <c r="M61" s="30">
        <f>$I$10*$M$10</f>
        <v>1169182.598990754</v>
      </c>
      <c r="N61" s="30">
        <f>$I$10*$N$10</f>
        <v>0</v>
      </c>
      <c r="O61" s="30">
        <f>$I$10*$O$10</f>
        <v>-505056.53653385787</v>
      </c>
      <c r="P61" s="30">
        <f>$I$10*$P$10</f>
        <v>29177709.959760845</v>
      </c>
      <c r="Q61" s="30">
        <f>$I$10*$Q$10</f>
        <v>651593.24748237024</v>
      </c>
      <c r="R61" s="30">
        <f>$I$10*$R$10</f>
        <v>526055.03217433998</v>
      </c>
      <c r="S61" s="30">
        <f>$I$10*$S$10</f>
        <v>0</v>
      </c>
      <c r="T61" s="30">
        <f>$I$10*$T$10</f>
        <v>0</v>
      </c>
      <c r="U61" s="30">
        <f>$I$10*$U$10</f>
        <v>446800.47250995244</v>
      </c>
      <c r="W61" s="30">
        <f>$I$10*$W$10</f>
        <v>218410.81936035305</v>
      </c>
      <c r="X61" s="30">
        <f>$I$10*$X$10</f>
        <v>-104864.90552425981</v>
      </c>
      <c r="Y61" s="30">
        <f>$I$10*$Y$10</f>
        <v>0</v>
      </c>
      <c r="Z61" s="30">
        <f>$I$10*$Z$10</f>
        <v>-373856.91487616004</v>
      </c>
      <c r="AA61" s="30">
        <f>$I$10*$AA$10</f>
        <v>35146313.949571222</v>
      </c>
      <c r="AB61" s="30">
        <f>$I$10*$AB$10</f>
        <v>565130.8305907012</v>
      </c>
      <c r="AC61" s="30">
        <f>$I$10*$AC$10</f>
        <v>340121.28900154162</v>
      </c>
      <c r="AD61" s="30">
        <f>$I$10*$AD$10</f>
        <v>0</v>
      </c>
      <c r="AE61" s="30">
        <f>$I$10*$AE$10</f>
        <v>0</v>
      </c>
      <c r="AF61" s="30">
        <f>$I$10*$AF$10</f>
        <v>538264.4623661401</v>
      </c>
    </row>
    <row r="62" spans="1:32" ht="11.25" customHeight="1" x14ac:dyDescent="0.25">
      <c r="A62" s="9" t="s">
        <v>33</v>
      </c>
      <c r="B62" s="9" t="s">
        <v>1549</v>
      </c>
      <c r="C62" s="9" t="s">
        <v>1550</v>
      </c>
      <c r="D62" s="9" t="s">
        <v>1551</v>
      </c>
      <c r="E62" s="9" t="s">
        <v>1552</v>
      </c>
      <c r="F62" s="9" t="s">
        <v>1553</v>
      </c>
      <c r="G62" s="9" t="s">
        <v>1555</v>
      </c>
      <c r="L62" s="30">
        <f>$I$11*$L$11</f>
        <v>2143832.8322674716</v>
      </c>
      <c r="M62" s="30">
        <f>$I$11*$M$11</f>
        <v>11888515.359080361</v>
      </c>
      <c r="N62" s="30">
        <f>$I$11*$N$11</f>
        <v>0</v>
      </c>
      <c r="O62" s="30">
        <f>$I$11*$O$11</f>
        <v>-5135530.0677325465</v>
      </c>
      <c r="P62" s="30">
        <f>$I$11*$P$11</f>
        <v>172491633.92801771</v>
      </c>
      <c r="Q62" s="30">
        <f>$I$11*$Q$11</f>
        <v>6625548.7699303925</v>
      </c>
      <c r="R62" s="30">
        <f>$I$11*$R$11</f>
        <v>5349047.561197591</v>
      </c>
      <c r="S62" s="30">
        <f>$I$11*$S$11</f>
        <v>0</v>
      </c>
      <c r="T62" s="30">
        <f>$I$11*$T$11</f>
        <v>0</v>
      </c>
      <c r="U62" s="30">
        <f>$I$11*$U$11</f>
        <v>4543169.1204300402</v>
      </c>
      <c r="W62" s="30">
        <f>$I$11*$W$11</f>
        <v>2220851.0311359991</v>
      </c>
      <c r="X62" s="30">
        <f>$I$11*$X$11</f>
        <v>-1066290.279234247</v>
      </c>
      <c r="Y62" s="30">
        <f>$I$11*$Y$11</f>
        <v>0</v>
      </c>
      <c r="Z62" s="30">
        <f>$I$11*$Z$11</f>
        <v>-3801462.387859893</v>
      </c>
      <c r="AA62" s="30">
        <f>$I$11*$AA$11</f>
        <v>207776591.37983683</v>
      </c>
      <c r="AB62" s="30">
        <f>$I$11*$AB$11</f>
        <v>5746379.1927513313</v>
      </c>
      <c r="AC62" s="30">
        <f>$I$11*$AC$11</f>
        <v>3458430.8488130476</v>
      </c>
      <c r="AD62" s="30">
        <f>$I$11*$AD$11</f>
        <v>0</v>
      </c>
      <c r="AE62" s="30">
        <f>$I$11*$AE$11</f>
        <v>0</v>
      </c>
      <c r="AF62" s="30">
        <f>$I$11*$AF$11</f>
        <v>5473195.8323796401</v>
      </c>
    </row>
    <row r="63" spans="1:32" ht="11.25" customHeight="1" x14ac:dyDescent="0.25">
      <c r="A63" s="9" t="s">
        <v>33</v>
      </c>
      <c r="B63" s="9" t="s">
        <v>1556</v>
      </c>
      <c r="C63" s="9" t="s">
        <v>1557</v>
      </c>
      <c r="D63" s="9" t="s">
        <v>1558</v>
      </c>
      <c r="E63" s="9" t="s">
        <v>1559</v>
      </c>
      <c r="F63" s="9" t="s">
        <v>1560</v>
      </c>
      <c r="G63" s="9" t="s">
        <v>1561</v>
      </c>
      <c r="L63" s="30">
        <f>$I$12*$L$12</f>
        <v>0</v>
      </c>
      <c r="M63" s="30">
        <f>$I$12*$M$12</f>
        <v>0</v>
      </c>
      <c r="N63" s="30">
        <f>$I$12*$N$12</f>
        <v>0</v>
      </c>
      <c r="O63" s="30">
        <f>$I$12*$O$12</f>
        <v>0</v>
      </c>
      <c r="P63" s="30">
        <f>$I$12*$P$12</f>
        <v>0</v>
      </c>
      <c r="Q63" s="30">
        <f>$I$12*$Q$12</f>
        <v>0</v>
      </c>
      <c r="R63" s="30">
        <f>$I$12*$R$12</f>
        <v>0</v>
      </c>
      <c r="S63" s="30">
        <f>$I$12*$S$12</f>
        <v>0</v>
      </c>
      <c r="T63" s="30">
        <f>$I$12*$T$12</f>
        <v>0</v>
      </c>
      <c r="U63" s="30">
        <f>$I$12*$U$12</f>
        <v>0</v>
      </c>
      <c r="W63" s="30">
        <f>$I$12*$W$12</f>
        <v>0</v>
      </c>
      <c r="X63" s="30">
        <f>$I$12*$X$12</f>
        <v>0</v>
      </c>
      <c r="Y63" s="30">
        <f>$I$12*$Y$12</f>
        <v>0</v>
      </c>
      <c r="Z63" s="30">
        <f>$I$12*$Z$12</f>
        <v>0</v>
      </c>
      <c r="AA63" s="30">
        <f>$I$12*$AA$12</f>
        <v>0</v>
      </c>
      <c r="AB63" s="30">
        <f>$I$12*$AB$12</f>
        <v>0</v>
      </c>
      <c r="AC63" s="30">
        <f>$I$12*$AC$12</f>
        <v>0</v>
      </c>
      <c r="AD63" s="30">
        <f>$I$12*$AD$12</f>
        <v>0</v>
      </c>
      <c r="AE63" s="30">
        <f>$I$12*$AE$12</f>
        <v>0</v>
      </c>
      <c r="AF63" s="30">
        <f>$I$12*$AF$12</f>
        <v>0</v>
      </c>
    </row>
    <row r="64" spans="1:32" ht="11.25" customHeight="1" x14ac:dyDescent="0.25">
      <c r="A64" s="9" t="s">
        <v>44</v>
      </c>
      <c r="B64" s="9" t="s">
        <v>1562</v>
      </c>
      <c r="C64" s="9" t="s">
        <v>1563</v>
      </c>
      <c r="D64" s="9" t="s">
        <v>1564</v>
      </c>
      <c r="E64" s="9" t="s">
        <v>1565</v>
      </c>
      <c r="F64" s="9" t="s">
        <v>1566</v>
      </c>
      <c r="G64" s="9" t="s">
        <v>1567</v>
      </c>
      <c r="L64" s="30">
        <f>$I$13*$L$13</f>
        <v>85073.429741282845</v>
      </c>
      <c r="M64" s="30">
        <f>$I$13*$M$13</f>
        <v>471770.35490176693</v>
      </c>
      <c r="N64" s="30">
        <f>$I$13*$N$13</f>
        <v>0</v>
      </c>
      <c r="O64" s="30">
        <f>$I$13*$O$13</f>
        <v>-203792.54847934973</v>
      </c>
      <c r="P64" s="30">
        <f>$I$13*$P$13</f>
        <v>11773335.144415753</v>
      </c>
      <c r="Q64" s="30">
        <f>$I$13*$Q$13</f>
        <v>262920.76009487687</v>
      </c>
      <c r="R64" s="30">
        <f>$I$13*$R$13</f>
        <v>212265.53443489232</v>
      </c>
      <c r="S64" s="30">
        <f>$I$13*$S$13</f>
        <v>0</v>
      </c>
      <c r="T64" s="30">
        <f>$I$13*$T$13</f>
        <v>0</v>
      </c>
      <c r="U64" s="30">
        <f>$I$13*$U$13</f>
        <v>180285.96873426813</v>
      </c>
      <c r="W64" s="30">
        <f>$I$13*$W$13</f>
        <v>88129.732560990946</v>
      </c>
      <c r="X64" s="30">
        <f>$I$13*$X$13</f>
        <v>-42313.453637288992</v>
      </c>
      <c r="Y64" s="30">
        <f>$I$13*$Y$13</f>
        <v>0</v>
      </c>
      <c r="Z64" s="30">
        <f>$I$13*$Z$13</f>
        <v>-150852.92029307774</v>
      </c>
      <c r="AA64" s="30">
        <f>$I$13*$AA$13</f>
        <v>14181693.2785272</v>
      </c>
      <c r="AB64" s="30">
        <f>$I$13*$AB$13</f>
        <v>228032.79209239566</v>
      </c>
      <c r="AC64" s="30">
        <f>$I$13*$AC$13</f>
        <v>137240.44589819683</v>
      </c>
      <c r="AD64" s="30">
        <f>$I$13*$AD$13</f>
        <v>0</v>
      </c>
      <c r="AE64" s="30">
        <f>$I$13*$AE$13</f>
        <v>0</v>
      </c>
      <c r="AF64" s="30">
        <f>$I$13*$AF$13</f>
        <v>217192.09357091266</v>
      </c>
    </row>
    <row r="65" spans="1:32" ht="11.25" customHeight="1" x14ac:dyDescent="0.25">
      <c r="A65" s="9" t="s">
        <v>44</v>
      </c>
      <c r="B65" s="9" t="s">
        <v>1562</v>
      </c>
      <c r="C65" s="9" t="s">
        <v>1563</v>
      </c>
      <c r="D65" s="9" t="s">
        <v>1564</v>
      </c>
      <c r="E65" s="9" t="s">
        <v>1565</v>
      </c>
      <c r="F65" s="9" t="s">
        <v>1566</v>
      </c>
      <c r="G65" s="9" t="s">
        <v>1568</v>
      </c>
      <c r="L65" s="30">
        <f>$I$14*$L$14</f>
        <v>846261.05359794491</v>
      </c>
      <c r="M65" s="30">
        <f>$I$14*$M$14</f>
        <v>4692897.4041551948</v>
      </c>
      <c r="N65" s="30">
        <f>$I$14*$N$14</f>
        <v>0</v>
      </c>
      <c r="O65" s="30">
        <f>$I$14*$O$14</f>
        <v>-2027209.8740584308</v>
      </c>
      <c r="P65" s="30">
        <f>$I$14*$P$14</f>
        <v>68089708.146863222</v>
      </c>
      <c r="Q65" s="30">
        <f>$I$14*$Q$14</f>
        <v>2615382.9712438704</v>
      </c>
      <c r="R65" s="30">
        <f>$I$14*$R$14</f>
        <v>2111494.2157578762</v>
      </c>
      <c r="S65" s="30">
        <f>$I$14*$S$14</f>
        <v>0</v>
      </c>
      <c r="T65" s="30">
        <f>$I$14*$T$14</f>
        <v>0</v>
      </c>
      <c r="U65" s="30">
        <f>$I$14*$U$14</f>
        <v>1793380.0754708734</v>
      </c>
      <c r="W65" s="30">
        <f>$I$14*$W$14</f>
        <v>876663.3784152955</v>
      </c>
      <c r="X65" s="30">
        <f>$I$14*$X$14</f>
        <v>-420909.6537586003</v>
      </c>
      <c r="Y65" s="30">
        <f>$I$14*$Y$14</f>
        <v>0</v>
      </c>
      <c r="Z65" s="30">
        <f>$I$14*$Z$14</f>
        <v>-1500597.209419874</v>
      </c>
      <c r="AA65" s="30">
        <f>$I$14*$AA$14</f>
        <v>82018166.009761378</v>
      </c>
      <c r="AB65" s="30">
        <f>$I$14*$AB$14</f>
        <v>2268337.7345647137</v>
      </c>
      <c r="AC65" s="30">
        <f>$I$14*$AC$14</f>
        <v>1365188.2226361088</v>
      </c>
      <c r="AD65" s="30">
        <f>$I$14*$AD$14</f>
        <v>0</v>
      </c>
      <c r="AE65" s="30">
        <f>$I$14*$AE$14</f>
        <v>0</v>
      </c>
      <c r="AF65" s="30">
        <f>$I$14*$AF$14</f>
        <v>2160500.763839222</v>
      </c>
    </row>
    <row r="66" spans="1:32" ht="11.25" customHeight="1" x14ac:dyDescent="0.25">
      <c r="A66" s="9" t="s">
        <v>44</v>
      </c>
      <c r="B66" s="9" t="s">
        <v>1569</v>
      </c>
      <c r="C66" s="9" t="s">
        <v>1570</v>
      </c>
      <c r="D66" s="9" t="s">
        <v>1571</v>
      </c>
      <c r="E66" s="9" t="s">
        <v>1572</v>
      </c>
      <c r="F66" s="9" t="s">
        <v>1573</v>
      </c>
      <c r="G66" s="9" t="s">
        <v>1574</v>
      </c>
      <c r="L66" s="30">
        <f>$I$15*$L$15</f>
        <v>0</v>
      </c>
      <c r="M66" s="30">
        <f>$I$15*$M$15</f>
        <v>0</v>
      </c>
      <c r="N66" s="30">
        <f>$I$15*$N$15</f>
        <v>0</v>
      </c>
      <c r="O66" s="30">
        <f>$I$15*$O$15</f>
        <v>0</v>
      </c>
      <c r="P66" s="30">
        <f>$I$15*$P$15</f>
        <v>0</v>
      </c>
      <c r="Q66" s="30">
        <f>$I$15*$Q$15</f>
        <v>0</v>
      </c>
      <c r="R66" s="30">
        <f>$I$15*$R$15</f>
        <v>0</v>
      </c>
      <c r="S66" s="30">
        <f>$I$15*$S$15</f>
        <v>0</v>
      </c>
      <c r="T66" s="30">
        <f>$I$15*$T$15</f>
        <v>0</v>
      </c>
      <c r="U66" s="30">
        <f>$I$15*$U$15</f>
        <v>0</v>
      </c>
      <c r="W66" s="30">
        <f>$I$15*$W$15</f>
        <v>0</v>
      </c>
      <c r="X66" s="30">
        <f>$I$15*$X$15</f>
        <v>0</v>
      </c>
      <c r="Y66" s="30">
        <f>$I$15*$Y$15</f>
        <v>0</v>
      </c>
      <c r="Z66" s="30">
        <f>$I$15*$Z$15</f>
        <v>0</v>
      </c>
      <c r="AA66" s="30">
        <f>$I$15*$AA$15</f>
        <v>0</v>
      </c>
      <c r="AB66" s="30">
        <f>$I$15*$AB$15</f>
        <v>0</v>
      </c>
      <c r="AC66" s="30">
        <f>$I$15*$AC$15</f>
        <v>0</v>
      </c>
      <c r="AD66" s="30">
        <f>$I$15*$AD$15</f>
        <v>0</v>
      </c>
      <c r="AE66" s="30">
        <f>$I$15*$AE$15</f>
        <v>0</v>
      </c>
      <c r="AF66" s="30">
        <f>$I$15*$AF$15</f>
        <v>0</v>
      </c>
    </row>
    <row r="67" spans="1:32" ht="11.25" customHeight="1" x14ac:dyDescent="0.25">
      <c r="A67" s="9" t="s">
        <v>22</v>
      </c>
      <c r="B67" s="9" t="s">
        <v>1575</v>
      </c>
      <c r="C67" s="9" t="s">
        <v>1576</v>
      </c>
      <c r="D67" s="9" t="s">
        <v>1577</v>
      </c>
      <c r="E67" s="9" t="s">
        <v>1578</v>
      </c>
      <c r="F67" s="9" t="s">
        <v>1579</v>
      </c>
      <c r="G67" s="9" t="s">
        <v>1580</v>
      </c>
      <c r="L67" s="30">
        <f>$I$16*$L$16</f>
        <v>634.19630981251476</v>
      </c>
      <c r="M67" s="30">
        <f>$I$16*$M$16</f>
        <v>3516.9032101741304</v>
      </c>
      <c r="N67" s="30">
        <f>$I$16*$N$16</f>
        <v>0</v>
      </c>
      <c r="O67" s="30">
        <f>$I$16*$O$16</f>
        <v>-1519.2109052842648</v>
      </c>
      <c r="P67" s="30">
        <f>$I$16*$P$16</f>
        <v>87766.60028261687</v>
      </c>
      <c r="Q67" s="30">
        <f>$I$16*$Q$16</f>
        <v>1959.993576518031</v>
      </c>
      <c r="R67" s="30">
        <f>$I$16*$R$16</f>
        <v>1582.3744152360778</v>
      </c>
      <c r="S67" s="30">
        <f>$I$16*$S$16</f>
        <v>0</v>
      </c>
      <c r="T67" s="30">
        <f>$I$16*$T$16</f>
        <v>0</v>
      </c>
      <c r="U67" s="30">
        <f>$I$16*$U$16</f>
        <v>1343.9765674189584</v>
      </c>
      <c r="W67" s="30">
        <f>$I$16*$W$16</f>
        <v>656.98010935866</v>
      </c>
      <c r="X67" s="30">
        <f>$I$16*$X$16</f>
        <v>-315.43381093015461</v>
      </c>
      <c r="Y67" s="30">
        <f>$I$16*$Y$16</f>
        <v>0</v>
      </c>
      <c r="Z67" s="30">
        <f>$I$16*$Z$16</f>
        <v>-1124.5622242485681</v>
      </c>
      <c r="AA67" s="30">
        <f>$I$16*$AA$16</f>
        <v>105720.17105089704</v>
      </c>
      <c r="AB67" s="30">
        <f>$I$16*$AB$16</f>
        <v>1699.9144821248979</v>
      </c>
      <c r="AC67" s="30">
        <f>$I$16*$AC$16</f>
        <v>1023.0854052828274</v>
      </c>
      <c r="AD67" s="30">
        <f>$I$16*$AD$16</f>
        <v>0</v>
      </c>
      <c r="AE67" s="30">
        <f>$I$16*$AE$16</f>
        <v>0</v>
      </c>
      <c r="AF67" s="30">
        <f>$I$16*$AF$16</f>
        <v>1619.1004016414558</v>
      </c>
    </row>
    <row r="68" spans="1:32" ht="11.25" customHeight="1" x14ac:dyDescent="0.25">
      <c r="A68" s="9" t="s">
        <v>22</v>
      </c>
      <c r="B68" s="9" t="s">
        <v>1575</v>
      </c>
      <c r="C68" s="9" t="s">
        <v>1576</v>
      </c>
      <c r="D68" s="9" t="s">
        <v>1577</v>
      </c>
      <c r="E68" s="9" t="s">
        <v>1578</v>
      </c>
      <c r="F68" s="9" t="s">
        <v>1579</v>
      </c>
      <c r="G68" s="9" t="s">
        <v>1581</v>
      </c>
      <c r="L68" s="30">
        <f>$I$17*$L$17</f>
        <v>414.32241836599252</v>
      </c>
      <c r="M68" s="30">
        <f>$I$17*$M$17</f>
        <v>2297.6037871132285</v>
      </c>
      <c r="N68" s="30">
        <f>$I$17*$N$17</f>
        <v>0</v>
      </c>
      <c r="O68" s="30">
        <f>$I$17*$O$17</f>
        <v>-992.50520153837772</v>
      </c>
      <c r="P68" s="30">
        <f>$I$17*$P$17</f>
        <v>33336.158417430801</v>
      </c>
      <c r="Q68" s="30">
        <f>$I$17*$Q$17</f>
        <v>1280.4698892758156</v>
      </c>
      <c r="R68" s="30">
        <f>$I$17*$R$17</f>
        <v>1033.7701187111945</v>
      </c>
      <c r="S68" s="30">
        <f>$I$17*$S$17</f>
        <v>0</v>
      </c>
      <c r="T68" s="30">
        <f>$I$17*$T$17</f>
        <v>0</v>
      </c>
      <c r="U68" s="30">
        <f>$I$17*$U$17</f>
        <v>878.02406451224033</v>
      </c>
      <c r="W68" s="30">
        <f>$I$17*$W$17</f>
        <v>429.20714535268144</v>
      </c>
      <c r="X68" s="30">
        <f>$I$17*$X$17</f>
        <v>-206.0738880956572</v>
      </c>
      <c r="Y68" s="30">
        <f>$I$17*$Y$17</f>
        <v>0</v>
      </c>
      <c r="Z68" s="30">
        <f>$I$17*$Z$17</f>
        <v>-734.67999284235498</v>
      </c>
      <c r="AA68" s="30">
        <f>$I$17*$AA$17</f>
        <v>40155.416282754362</v>
      </c>
      <c r="AB68" s="30">
        <f>$I$17*$AB$17</f>
        <v>1110.5594093689617</v>
      </c>
      <c r="AC68" s="30">
        <f>$I$17*$AC$17</f>
        <v>668.38487192876437</v>
      </c>
      <c r="AD68" s="30">
        <f>$I$17*$AD$17</f>
        <v>0</v>
      </c>
      <c r="AE68" s="30">
        <f>$I$17*$AE$17</f>
        <v>0</v>
      </c>
      <c r="AF68" s="30">
        <f>$I$17*$AF$17</f>
        <v>1057.7633196632014</v>
      </c>
    </row>
    <row r="69" spans="1:32" ht="11.25" customHeight="1" x14ac:dyDescent="0.25">
      <c r="A69" s="9" t="s">
        <v>22</v>
      </c>
      <c r="B69" s="9" t="s">
        <v>1575</v>
      </c>
      <c r="C69" s="9" t="s">
        <v>1576</v>
      </c>
      <c r="D69" s="9" t="s">
        <v>1577</v>
      </c>
      <c r="E69" s="9" t="s">
        <v>1578</v>
      </c>
      <c r="F69" s="9" t="s">
        <v>1579</v>
      </c>
      <c r="G69" s="9" t="s">
        <v>1582</v>
      </c>
      <c r="L69" s="30">
        <f>$I$18*$L$18</f>
        <v>5292.5441800145263</v>
      </c>
      <c r="M69" s="30">
        <f>$I$18*$M$18</f>
        <v>29349.533147211314</v>
      </c>
      <c r="N69" s="30">
        <f>$I$18*$N$18</f>
        <v>0</v>
      </c>
      <c r="O69" s="30">
        <f>$I$18*$O$18</f>
        <v>-12678.236550057847</v>
      </c>
      <c r="P69" s="30">
        <f>$I$18*$P$18</f>
        <v>425835.25147404196</v>
      </c>
      <c r="Q69" s="30">
        <f>$I$18*$Q$18</f>
        <v>16356.69024837593</v>
      </c>
      <c r="R69" s="30">
        <f>$I$18*$R$18</f>
        <v>13205.353567001044</v>
      </c>
      <c r="S69" s="30">
        <f>$I$18*$S$18</f>
        <v>0</v>
      </c>
      <c r="T69" s="30">
        <f>$I$18*$T$18</f>
        <v>0</v>
      </c>
      <c r="U69" s="30">
        <f>$I$18*$U$18</f>
        <v>11215.857377145439</v>
      </c>
      <c r="W69" s="30">
        <f>$I$18*$W$18</f>
        <v>5482.6813091981003</v>
      </c>
      <c r="X69" s="30">
        <f>$I$18*$X$18</f>
        <v>-2632.3826777101954</v>
      </c>
      <c r="Y69" s="30">
        <f>$I$18*$Y$18</f>
        <v>0</v>
      </c>
      <c r="Z69" s="30">
        <f>$I$18*$Z$18</f>
        <v>-9384.7838010449123</v>
      </c>
      <c r="AA69" s="30">
        <f>$I$18*$AA$18</f>
        <v>512944.28040246275</v>
      </c>
      <c r="AB69" s="30">
        <f>$I$18*$AB$18</f>
        <v>14186.258039805134</v>
      </c>
      <c r="AC69" s="30">
        <f>$I$18*$AC$18</f>
        <v>8537.9315893341718</v>
      </c>
      <c r="AD69" s="30">
        <f>$I$18*$AD$18</f>
        <v>0</v>
      </c>
      <c r="AE69" s="30">
        <f>$I$18*$AE$18</f>
        <v>0</v>
      </c>
      <c r="AF69" s="30">
        <f>$I$18*$AF$18</f>
        <v>13511.842114155377</v>
      </c>
    </row>
    <row r="70" spans="1:32" ht="11.25" customHeight="1" x14ac:dyDescent="0.25">
      <c r="A70" s="9" t="s">
        <v>22</v>
      </c>
      <c r="B70" s="9" t="s">
        <v>1583</v>
      </c>
      <c r="C70" s="9" t="s">
        <v>1584</v>
      </c>
      <c r="D70" s="9" t="s">
        <v>1585</v>
      </c>
      <c r="E70" s="9" t="s">
        <v>1586</v>
      </c>
      <c r="F70" s="9" t="s">
        <v>1587</v>
      </c>
      <c r="G70" s="9" t="s">
        <v>1588</v>
      </c>
      <c r="L70" s="30">
        <f>$I$19*$L$19</f>
        <v>5807417.2936879545</v>
      </c>
      <c r="M70" s="30">
        <f>$I$19*$M$19</f>
        <v>32204735.674084637</v>
      </c>
      <c r="N70" s="30">
        <f>$I$19*$N$19</f>
        <v>0</v>
      </c>
      <c r="O70" s="30">
        <f>$I$19*$O$19</f>
        <v>-13911609.934651611</v>
      </c>
      <c r="P70" s="30">
        <f>$I$19*$P$19</f>
        <v>495297364.50597829</v>
      </c>
      <c r="Q70" s="30">
        <f>$I$19*$Q$19</f>
        <v>17947913.628121056</v>
      </c>
      <c r="R70" s="30">
        <f>$I$19*$R$19</f>
        <v>14490006.330765348</v>
      </c>
      <c r="S70" s="30">
        <f>$I$19*$S$19</f>
        <v>0</v>
      </c>
      <c r="T70" s="30">
        <f>$I$19*$T$19</f>
        <v>0</v>
      </c>
      <c r="U70" s="30">
        <f>$I$19*$U$19</f>
        <v>12306966.532567192</v>
      </c>
      <c r="W70" s="30">
        <f>$I$19*$W$19</f>
        <v>6016051.4806943703</v>
      </c>
      <c r="X70" s="30">
        <f>$I$19*$X$19</f>
        <v>-2888468.0346866436</v>
      </c>
      <c r="Y70" s="30">
        <f>$I$19*$Y$19</f>
        <v>0</v>
      </c>
      <c r="Z70" s="30">
        <f>$I$19*$Z$19</f>
        <v>-10297761.131502016</v>
      </c>
      <c r="AA70" s="30">
        <f>$I$19*$AA$19</f>
        <v>596615590.98810959</v>
      </c>
      <c r="AB70" s="30">
        <f>$I$19*$AB$19</f>
        <v>15566335.862473235</v>
      </c>
      <c r="AC70" s="30">
        <f>$I$19*$AC$19</f>
        <v>9368524.8299784362</v>
      </c>
      <c r="AD70" s="30">
        <f>$I$19*$AD$19</f>
        <v>0</v>
      </c>
      <c r="AE70" s="30">
        <f>$I$19*$AE$19</f>
        <v>0</v>
      </c>
      <c r="AF70" s="30">
        <f>$I$19*$AF$19</f>
        <v>14826310.918600924</v>
      </c>
    </row>
    <row r="71" spans="1:32" ht="11.25" customHeight="1" x14ac:dyDescent="0.25">
      <c r="A71" s="9" t="s">
        <v>22</v>
      </c>
      <c r="B71" s="9" t="s">
        <v>1583</v>
      </c>
      <c r="C71" s="9" t="s">
        <v>1584</v>
      </c>
      <c r="D71" s="9" t="s">
        <v>1589</v>
      </c>
      <c r="E71" s="9" t="s">
        <v>1590</v>
      </c>
      <c r="F71" s="9" t="s">
        <v>1591</v>
      </c>
      <c r="G71" s="9" t="s">
        <v>1592</v>
      </c>
      <c r="L71" s="30">
        <f>$I$20*$L$20</f>
        <v>3069.2463338319103</v>
      </c>
      <c r="M71" s="30">
        <f>$I$20*$M$20</f>
        <v>17020.348616439744</v>
      </c>
      <c r="N71" s="30">
        <f>$I$20*$N$20</f>
        <v>0</v>
      </c>
      <c r="O71" s="30">
        <f>$I$20*$O$20</f>
        <v>-7352.3488377591539</v>
      </c>
      <c r="P71" s="30">
        <f>$I$20*$P$20</f>
        <v>261766.8996885872</v>
      </c>
      <c r="Q71" s="30">
        <f>$I$20*$Q$20</f>
        <v>9485.5536148427946</v>
      </c>
      <c r="R71" s="30">
        <f>$I$20*$R$20</f>
        <v>7658.0339518981309</v>
      </c>
      <c r="S71" s="30">
        <f>$I$20*$S$20</f>
        <v>0</v>
      </c>
      <c r="T71" s="30">
        <f>$I$20*$T$20</f>
        <v>0</v>
      </c>
      <c r="U71" s="30">
        <f>$I$20*$U$20</f>
        <v>6504.2875344482709</v>
      </c>
      <c r="W71" s="30">
        <f>$I$20*$W$20</f>
        <v>3179.5104462933068</v>
      </c>
      <c r="X71" s="30">
        <f>$I$20*$X$20</f>
        <v>-1526.5684343862174</v>
      </c>
      <c r="Y71" s="30">
        <f>$I$20*$Y$20</f>
        <v>0</v>
      </c>
      <c r="Z71" s="30">
        <f>$I$20*$Z$20</f>
        <v>-5442.4133829494504</v>
      </c>
      <c r="AA71" s="30">
        <f>$I$20*$AA$20</f>
        <v>315314.04112073861</v>
      </c>
      <c r="AB71" s="30">
        <f>$I$20*$AB$20</f>
        <v>8226.8789826797165</v>
      </c>
      <c r="AC71" s="30">
        <f>$I$20*$AC$20</f>
        <v>4951.3077903110934</v>
      </c>
      <c r="AD71" s="30">
        <f>$I$20*$AD$20</f>
        <v>0</v>
      </c>
      <c r="AE71" s="30">
        <f>$I$20*$AE$20</f>
        <v>0</v>
      </c>
      <c r="AF71" s="30">
        <f>$I$20*$AF$20</f>
        <v>7835.772449248263</v>
      </c>
    </row>
    <row r="72" spans="1:32" ht="11.25" customHeight="1" x14ac:dyDescent="0.25">
      <c r="A72" s="9" t="s">
        <v>22</v>
      </c>
      <c r="B72" s="9" t="s">
        <v>1583</v>
      </c>
      <c r="C72" s="9" t="s">
        <v>1584</v>
      </c>
      <c r="D72" s="9" t="s">
        <v>1593</v>
      </c>
      <c r="E72" s="9" t="s">
        <v>1594</v>
      </c>
      <c r="F72" s="9" t="s">
        <v>1595</v>
      </c>
      <c r="G72" s="9" t="s">
        <v>1596</v>
      </c>
      <c r="L72" s="30">
        <f>$I$21*$L$21</f>
        <v>11095.825120968633</v>
      </c>
      <c r="M72" s="30">
        <f>$I$21*$M$21</f>
        <v>61531.33088869843</v>
      </c>
      <c r="N72" s="30">
        <f>$I$21*$N$21</f>
        <v>0</v>
      </c>
      <c r="O72" s="30">
        <f>$I$21*$O$21</f>
        <v>-26579.937893183251</v>
      </c>
      <c r="P72" s="30">
        <f>$I$21*$P$21</f>
        <v>946329.95383477444</v>
      </c>
      <c r="Q72" s="30">
        <f>$I$21*$Q$21</f>
        <v>34291.820413926936</v>
      </c>
      <c r="R72" s="30">
        <f>$I$21*$R$21</f>
        <v>27685.039341438391</v>
      </c>
      <c r="S72" s="30">
        <f>$I$21*$S$21</f>
        <v>0</v>
      </c>
      <c r="T72" s="30">
        <f>$I$21*$T$21</f>
        <v>0</v>
      </c>
      <c r="U72" s="30">
        <f>$I$21*$U$21</f>
        <v>23514.058230911203</v>
      </c>
      <c r="W72" s="30">
        <f>$I$21*$W$21</f>
        <v>11494.447836748814</v>
      </c>
      <c r="X72" s="30">
        <f>$I$21*$X$21</f>
        <v>-5518.7933912078061</v>
      </c>
      <c r="Y72" s="30">
        <f>$I$21*$Y$21</f>
        <v>0</v>
      </c>
      <c r="Z72" s="30">
        <f>$I$21*$Z$21</f>
        <v>-19675.210317131055</v>
      </c>
      <c r="AA72" s="30">
        <f>$I$21*$AA$21</f>
        <v>1139911.5867293661</v>
      </c>
      <c r="AB72" s="30">
        <f>$I$21*$AB$21</f>
        <v>29741.506726577918</v>
      </c>
      <c r="AC72" s="30">
        <f>$I$21*$AC$21</f>
        <v>17899.783655615272</v>
      </c>
      <c r="AD72" s="30">
        <f>$I$21*$AD$21</f>
        <v>0</v>
      </c>
      <c r="AE72" s="30">
        <f>$I$21*$AE$21</f>
        <v>0</v>
      </c>
      <c r="AF72" s="30">
        <f>$I$21*$AF$21</f>
        <v>28327.59294234094</v>
      </c>
    </row>
    <row r="73" spans="1:32" ht="11.25" customHeight="1" x14ac:dyDescent="0.25">
      <c r="A73" s="9" t="s">
        <v>22</v>
      </c>
      <c r="B73" s="9" t="s">
        <v>1583</v>
      </c>
      <c r="C73" s="9" t="s">
        <v>1584</v>
      </c>
      <c r="D73" s="9" t="s">
        <v>1597</v>
      </c>
      <c r="E73" s="9" t="s">
        <v>1598</v>
      </c>
      <c r="F73" s="9" t="s">
        <v>1599</v>
      </c>
      <c r="G73" s="9" t="s">
        <v>1600</v>
      </c>
      <c r="L73" s="30">
        <f>$I$22*$L$22</f>
        <v>16418.026308349428</v>
      </c>
      <c r="M73" s="30">
        <f>$I$22*$M$22</f>
        <v>91045.325453923069</v>
      </c>
      <c r="N73" s="30">
        <f>$I$22*$N$22</f>
        <v>0</v>
      </c>
      <c r="O73" s="30">
        <f>$I$22*$O$22</f>
        <v>-39329.217507213281</v>
      </c>
      <c r="P73" s="30">
        <f>$I$22*$P$22</f>
        <v>1400244.6784310981</v>
      </c>
      <c r="Q73" s="30">
        <f>$I$22*$Q$22</f>
        <v>50740.166105636839</v>
      </c>
      <c r="R73" s="30">
        <f>$I$22*$R$22</f>
        <v>40964.389696126083</v>
      </c>
      <c r="S73" s="30">
        <f>$I$22*$S$22</f>
        <v>0</v>
      </c>
      <c r="T73" s="30">
        <f>$I$22*$T$22</f>
        <v>0</v>
      </c>
      <c r="U73" s="30">
        <f>$I$22*$U$22</f>
        <v>34792.76416510962</v>
      </c>
      <c r="W73" s="30">
        <f>$I$22*$W$22</f>
        <v>17007.851595196895</v>
      </c>
      <c r="X73" s="30">
        <f>$I$22*$X$22</f>
        <v>-8165.9267426598808</v>
      </c>
      <c r="Y73" s="30">
        <f>$I$22*$Y$22</f>
        <v>0</v>
      </c>
      <c r="Z73" s="30">
        <f>$I$22*$Z$22</f>
        <v>-29112.582172777278</v>
      </c>
      <c r="AA73" s="30">
        <f>$I$22*$AA$22</f>
        <v>1686679.2884783046</v>
      </c>
      <c r="AB73" s="30">
        <f>$I$22*$AB$22</f>
        <v>44007.258096032536</v>
      </c>
      <c r="AC73" s="30">
        <f>$I$22*$AC$22</f>
        <v>26485.557925411846</v>
      </c>
      <c r="AD73" s="30">
        <f>$I$22*$AD$22</f>
        <v>0</v>
      </c>
      <c r="AE73" s="30">
        <f>$I$22*$AE$22</f>
        <v>0</v>
      </c>
      <c r="AF73" s="30">
        <f>$I$22*$AF$22</f>
        <v>41915.149266426713</v>
      </c>
    </row>
    <row r="74" spans="1:32" ht="11.25" customHeight="1" x14ac:dyDescent="0.25">
      <c r="A74" s="9" t="s">
        <v>22</v>
      </c>
      <c r="B74" s="9" t="s">
        <v>1583</v>
      </c>
      <c r="C74" s="9" t="s">
        <v>1584</v>
      </c>
      <c r="D74" s="9" t="s">
        <v>1601</v>
      </c>
      <c r="E74" s="9" t="s">
        <v>1602</v>
      </c>
      <c r="F74" s="9" t="s">
        <v>1603</v>
      </c>
      <c r="G74" s="9" t="s">
        <v>1604</v>
      </c>
      <c r="L74" s="30">
        <f>$I$23*$L$23</f>
        <v>6507.3880013166972</v>
      </c>
      <c r="M74" s="30">
        <f>$I$23*$M$23</f>
        <v>36086.387444362415</v>
      </c>
      <c r="N74" s="30">
        <f>$I$23*$N$23</f>
        <v>0</v>
      </c>
      <c r="O74" s="30">
        <f>$I$23*$O$23</f>
        <v>-15588.382750821893</v>
      </c>
      <c r="P74" s="30">
        <f>$I$23*$P$23</f>
        <v>554995.78622895665</v>
      </c>
      <c r="Q74" s="30">
        <f>$I$23*$Q$23</f>
        <v>20111.184005882631</v>
      </c>
      <c r="R74" s="30">
        <f>$I$23*$R$23</f>
        <v>16236.493533590379</v>
      </c>
      <c r="S74" s="30">
        <f>$I$23*$S$23</f>
        <v>0</v>
      </c>
      <c r="T74" s="30">
        <f>$I$23*$T$23</f>
        <v>0</v>
      </c>
      <c r="U74" s="30">
        <f>$I$23*$U$23</f>
        <v>13790.330933111885</v>
      </c>
      <c r="W74" s="30">
        <f>$I$23*$W$23</f>
        <v>6741.1689639256101</v>
      </c>
      <c r="X74" s="30">
        <f>$I$23*$X$23</f>
        <v>-3236.6164304287827</v>
      </c>
      <c r="Y74" s="30">
        <f>$I$23*$Y$23</f>
        <v>0</v>
      </c>
      <c r="Z74" s="30">
        <f>$I$23*$Z$23</f>
        <v>-11538.955070508897</v>
      </c>
      <c r="AA74" s="30">
        <f>$I$23*$AA$23</f>
        <v>668525.94567541417</v>
      </c>
      <c r="AB74" s="30">
        <f>$I$23*$AB$23</f>
        <v>17442.553564391237</v>
      </c>
      <c r="AC74" s="30">
        <f>$I$23*$AC$23</f>
        <v>10497.717485344354</v>
      </c>
      <c r="AD74" s="30">
        <f>$I$23*$AD$23</f>
        <v>0</v>
      </c>
      <c r="AE74" s="30">
        <f>$I$23*$AE$23</f>
        <v>0</v>
      </c>
      <c r="AF74" s="30">
        <f>$I$23*$AF$23</f>
        <v>16613.333069824086</v>
      </c>
    </row>
    <row r="75" spans="1:32" ht="11.25" customHeight="1" x14ac:dyDescent="0.25">
      <c r="A75" s="9" t="s">
        <v>22</v>
      </c>
      <c r="B75" s="9" t="s">
        <v>1605</v>
      </c>
      <c r="C75" s="9" t="s">
        <v>1606</v>
      </c>
      <c r="D75" s="9" t="s">
        <v>1607</v>
      </c>
      <c r="E75" s="9" t="s">
        <v>1608</v>
      </c>
      <c r="F75" s="9" t="s">
        <v>1609</v>
      </c>
      <c r="G75" s="9" t="s">
        <v>1610</v>
      </c>
      <c r="L75" s="30">
        <f>$I$24*$L$24</f>
        <v>0</v>
      </c>
      <c r="M75" s="30">
        <f>$I$24*$M$24</f>
        <v>0</v>
      </c>
      <c r="N75" s="30">
        <f>$I$24*$N$24</f>
        <v>0</v>
      </c>
      <c r="O75" s="30">
        <f>$I$24*$O$24</f>
        <v>0</v>
      </c>
      <c r="P75" s="30">
        <f>$I$24*$P$24</f>
        <v>0</v>
      </c>
      <c r="Q75" s="30">
        <f>$I$24*$Q$24</f>
        <v>0</v>
      </c>
      <c r="R75" s="30">
        <f>$I$24*$R$24</f>
        <v>0</v>
      </c>
      <c r="S75" s="30">
        <f>$I$24*$S$24</f>
        <v>0</v>
      </c>
      <c r="T75" s="30">
        <f>$I$24*$T$24</f>
        <v>0</v>
      </c>
      <c r="U75" s="30">
        <f>$I$24*$U$24</f>
        <v>0</v>
      </c>
      <c r="W75" s="30">
        <f>$I$24*$W$24</f>
        <v>0</v>
      </c>
      <c r="X75" s="30">
        <f>$I$24*$X$24</f>
        <v>0</v>
      </c>
      <c r="Y75" s="30">
        <f>$I$24*$Y$24</f>
        <v>0</v>
      </c>
      <c r="Z75" s="30">
        <f>$I$24*$Z$24</f>
        <v>0</v>
      </c>
      <c r="AA75" s="30">
        <f>$I$24*$AA$24</f>
        <v>0</v>
      </c>
      <c r="AB75" s="30">
        <f>$I$24*$AB$24</f>
        <v>0</v>
      </c>
      <c r="AC75" s="30">
        <f>$I$24*$AC$24</f>
        <v>0</v>
      </c>
      <c r="AD75" s="30">
        <f>$I$24*$AD$24</f>
        <v>0</v>
      </c>
      <c r="AE75" s="30">
        <f>$I$24*$AE$24</f>
        <v>0</v>
      </c>
      <c r="AF75" s="30">
        <f>$I$24*$AF$24</f>
        <v>0</v>
      </c>
    </row>
    <row r="76" spans="1:32" ht="11.25" customHeight="1" x14ac:dyDescent="0.25">
      <c r="A76" s="9" t="s">
        <v>22</v>
      </c>
      <c r="B76" s="9" t="s">
        <v>1605</v>
      </c>
      <c r="C76" s="9" t="s">
        <v>1606</v>
      </c>
      <c r="D76" s="9" t="s">
        <v>1611</v>
      </c>
      <c r="E76" s="9" t="s">
        <v>1612</v>
      </c>
      <c r="F76" s="9" t="s">
        <v>1613</v>
      </c>
      <c r="G76" s="9" t="s">
        <v>1614</v>
      </c>
      <c r="L76" s="30">
        <f>$I$25*$L$25</f>
        <v>0</v>
      </c>
      <c r="M76" s="30">
        <f>$I$25*$M$25</f>
        <v>0</v>
      </c>
      <c r="N76" s="30">
        <f>$I$25*$N$25</f>
        <v>0</v>
      </c>
      <c r="O76" s="30">
        <f>$I$25*$O$25</f>
        <v>0</v>
      </c>
      <c r="P76" s="30">
        <f>$I$25*$P$25</f>
        <v>0</v>
      </c>
      <c r="Q76" s="30">
        <f>$I$25*$Q$25</f>
        <v>0</v>
      </c>
      <c r="R76" s="30">
        <f>$I$25*$R$25</f>
        <v>0</v>
      </c>
      <c r="S76" s="30">
        <f>$I$25*$S$25</f>
        <v>0</v>
      </c>
      <c r="T76" s="30">
        <f>$I$25*$T$25</f>
        <v>0</v>
      </c>
      <c r="U76" s="30">
        <f>$I$25*$U$25</f>
        <v>0</v>
      </c>
      <c r="W76" s="30">
        <f>$I$25*$W$25</f>
        <v>0</v>
      </c>
      <c r="X76" s="30">
        <f>$I$25*$X$25</f>
        <v>0</v>
      </c>
      <c r="Y76" s="30">
        <f>$I$25*$Y$25</f>
        <v>0</v>
      </c>
      <c r="Z76" s="30">
        <f>$I$25*$Z$25</f>
        <v>0</v>
      </c>
      <c r="AA76" s="30">
        <f>$I$25*$AA$25</f>
        <v>0</v>
      </c>
      <c r="AB76" s="30">
        <f>$I$25*$AB$25</f>
        <v>0</v>
      </c>
      <c r="AC76" s="30">
        <f>$I$25*$AC$25</f>
        <v>0</v>
      </c>
      <c r="AD76" s="30">
        <f>$I$25*$AD$25</f>
        <v>0</v>
      </c>
      <c r="AE76" s="30">
        <f>$I$25*$AE$25</f>
        <v>0</v>
      </c>
      <c r="AF76" s="30">
        <f>$I$25*$AF$25</f>
        <v>0</v>
      </c>
    </row>
    <row r="77" spans="1:32" ht="11.25" customHeight="1" x14ac:dyDescent="0.25">
      <c r="A77" s="9" t="s">
        <v>22</v>
      </c>
      <c r="B77" s="9" t="s">
        <v>1605</v>
      </c>
      <c r="C77" s="9" t="s">
        <v>1606</v>
      </c>
      <c r="D77" s="9" t="s">
        <v>1615</v>
      </c>
      <c r="E77" s="9" t="s">
        <v>1616</v>
      </c>
      <c r="F77" s="9" t="s">
        <v>1617</v>
      </c>
      <c r="G77" s="9" t="s">
        <v>1618</v>
      </c>
      <c r="L77" s="30">
        <f>$I$26*$L$26</f>
        <v>0</v>
      </c>
      <c r="M77" s="30">
        <f>$I$26*$M$26</f>
        <v>0</v>
      </c>
      <c r="N77" s="30">
        <f>$I$26*$N$26</f>
        <v>0</v>
      </c>
      <c r="O77" s="30">
        <f>$I$26*$O$26</f>
        <v>0</v>
      </c>
      <c r="P77" s="30">
        <f>$I$26*$P$26</f>
        <v>0</v>
      </c>
      <c r="Q77" s="30">
        <f>$I$26*$Q$26</f>
        <v>0</v>
      </c>
      <c r="R77" s="30">
        <f>$I$26*$R$26</f>
        <v>0</v>
      </c>
      <c r="S77" s="30">
        <f>$I$26*$S$26</f>
        <v>0</v>
      </c>
      <c r="T77" s="30">
        <f>$I$26*$T$26</f>
        <v>0</v>
      </c>
      <c r="U77" s="30">
        <f>$I$26*$U$26</f>
        <v>0</v>
      </c>
      <c r="W77" s="30">
        <f>$I$26*$W$26</f>
        <v>0</v>
      </c>
      <c r="X77" s="30">
        <f>$I$26*$X$26</f>
        <v>0</v>
      </c>
      <c r="Y77" s="30">
        <f>$I$26*$Y$26</f>
        <v>0</v>
      </c>
      <c r="Z77" s="30">
        <f>$I$26*$Z$26</f>
        <v>0</v>
      </c>
      <c r="AA77" s="30">
        <f>$I$26*$AA$26</f>
        <v>0</v>
      </c>
      <c r="AB77" s="30">
        <f>$I$26*$AB$26</f>
        <v>0</v>
      </c>
      <c r="AC77" s="30">
        <f>$I$26*$AC$26</f>
        <v>0</v>
      </c>
      <c r="AD77" s="30">
        <f>$I$26*$AD$26</f>
        <v>0</v>
      </c>
      <c r="AE77" s="30">
        <f>$I$26*$AE$26</f>
        <v>0</v>
      </c>
      <c r="AF77" s="30">
        <f>$I$26*$AF$26</f>
        <v>0</v>
      </c>
    </row>
    <row r="78" spans="1:32" ht="11.25" customHeight="1" x14ac:dyDescent="0.25">
      <c r="A78" s="9" t="s">
        <v>22</v>
      </c>
      <c r="B78" s="9" t="s">
        <v>1605</v>
      </c>
      <c r="C78" s="9" t="s">
        <v>1606</v>
      </c>
      <c r="D78" s="9" t="s">
        <v>1619</v>
      </c>
      <c r="E78" s="9" t="s">
        <v>1620</v>
      </c>
      <c r="F78" s="9" t="s">
        <v>1621</v>
      </c>
      <c r="G78" s="9" t="s">
        <v>1622</v>
      </c>
      <c r="L78" s="30">
        <f>$I$27*$L$27</f>
        <v>0</v>
      </c>
      <c r="M78" s="30">
        <f>$I$27*$M$27</f>
        <v>0</v>
      </c>
      <c r="N78" s="30">
        <f>$I$27*$N$27</f>
        <v>0</v>
      </c>
      <c r="O78" s="30">
        <f>$I$27*$O$27</f>
        <v>0</v>
      </c>
      <c r="P78" s="30">
        <f>$I$27*$P$27</f>
        <v>0</v>
      </c>
      <c r="Q78" s="30">
        <f>$I$27*$Q$27</f>
        <v>0</v>
      </c>
      <c r="R78" s="30">
        <f>$I$27*$R$27</f>
        <v>0</v>
      </c>
      <c r="S78" s="30">
        <f>$I$27*$S$27</f>
        <v>0</v>
      </c>
      <c r="T78" s="30">
        <f>$I$27*$T$27</f>
        <v>0</v>
      </c>
      <c r="U78" s="30">
        <f>$I$27*$U$27</f>
        <v>0</v>
      </c>
      <c r="W78" s="30">
        <f>$I$27*$W$27</f>
        <v>0</v>
      </c>
      <c r="X78" s="30">
        <f>$I$27*$X$27</f>
        <v>0</v>
      </c>
      <c r="Y78" s="30">
        <f>$I$27*$Y$27</f>
        <v>0</v>
      </c>
      <c r="Z78" s="30">
        <f>$I$27*$Z$27</f>
        <v>0</v>
      </c>
      <c r="AA78" s="30">
        <f>$I$27*$AA$27</f>
        <v>0</v>
      </c>
      <c r="AB78" s="30">
        <f>$I$27*$AB$27</f>
        <v>0</v>
      </c>
      <c r="AC78" s="30">
        <f>$I$27*$AC$27</f>
        <v>0</v>
      </c>
      <c r="AD78" s="30">
        <f>$I$27*$AD$27</f>
        <v>0</v>
      </c>
      <c r="AE78" s="30">
        <f>$I$27*$AE$27</f>
        <v>0</v>
      </c>
      <c r="AF78" s="30">
        <f>$I$27*$AF$27</f>
        <v>0</v>
      </c>
    </row>
    <row r="79" spans="1:32" ht="11.25" customHeight="1" x14ac:dyDescent="0.25">
      <c r="A79" s="9" t="s">
        <v>22</v>
      </c>
      <c r="B79" s="9" t="s">
        <v>1605</v>
      </c>
      <c r="C79" s="9" t="s">
        <v>1606</v>
      </c>
      <c r="D79" s="9" t="s">
        <v>1623</v>
      </c>
      <c r="E79" s="9" t="s">
        <v>1624</v>
      </c>
      <c r="F79" s="9" t="s">
        <v>1625</v>
      </c>
      <c r="G79" s="9" t="s">
        <v>1626</v>
      </c>
      <c r="L79" s="30">
        <f>$I$28*$L$28</f>
        <v>0</v>
      </c>
      <c r="M79" s="30">
        <f>$I$28*$M$28</f>
        <v>0</v>
      </c>
      <c r="N79" s="30">
        <f>$I$28*$N$28</f>
        <v>0</v>
      </c>
      <c r="O79" s="30">
        <f>$I$28*$O$28</f>
        <v>0</v>
      </c>
      <c r="P79" s="30">
        <f>$I$28*$P$28</f>
        <v>0</v>
      </c>
      <c r="Q79" s="30">
        <f>$I$28*$Q$28</f>
        <v>0</v>
      </c>
      <c r="R79" s="30">
        <f>$I$28*$R$28</f>
        <v>0</v>
      </c>
      <c r="S79" s="30">
        <f>$I$28*$S$28</f>
        <v>0</v>
      </c>
      <c r="T79" s="30">
        <f>$I$28*$T$28</f>
        <v>0</v>
      </c>
      <c r="U79" s="30">
        <f>$I$28*$U$28</f>
        <v>0</v>
      </c>
      <c r="W79" s="30">
        <f>$I$28*$W$28</f>
        <v>0</v>
      </c>
      <c r="X79" s="30">
        <f>$I$28*$X$28</f>
        <v>0</v>
      </c>
      <c r="Y79" s="30">
        <f>$I$28*$Y$28</f>
        <v>0</v>
      </c>
      <c r="Z79" s="30">
        <f>$I$28*$Z$28</f>
        <v>0</v>
      </c>
      <c r="AA79" s="30">
        <f>$I$28*$AA$28</f>
        <v>0</v>
      </c>
      <c r="AB79" s="30">
        <f>$I$28*$AB$28</f>
        <v>0</v>
      </c>
      <c r="AC79" s="30">
        <f>$I$28*$AC$28</f>
        <v>0</v>
      </c>
      <c r="AD79" s="30">
        <f>$I$28*$AD$28</f>
        <v>0</v>
      </c>
      <c r="AE79" s="30">
        <f>$I$28*$AE$28</f>
        <v>0</v>
      </c>
      <c r="AF79" s="30">
        <f>$I$28*$AF$28</f>
        <v>0</v>
      </c>
    </row>
    <row r="80" spans="1:32" ht="11.25" customHeight="1" x14ac:dyDescent="0.25">
      <c r="A80" s="9" t="s">
        <v>46</v>
      </c>
      <c r="B80" s="9" t="s">
        <v>1627</v>
      </c>
      <c r="C80" s="9" t="s">
        <v>1628</v>
      </c>
      <c r="D80" s="9" t="s">
        <v>1629</v>
      </c>
      <c r="E80" s="9" t="s">
        <v>1630</v>
      </c>
      <c r="F80" s="9" t="s">
        <v>1631</v>
      </c>
      <c r="G80" s="9" t="s">
        <v>1632</v>
      </c>
      <c r="L80" s="30">
        <f>$I$29*$L$29</f>
        <v>2.1632064174225984</v>
      </c>
      <c r="M80" s="30">
        <f>$I$29*$M$29</f>
        <v>11.995950585004003</v>
      </c>
      <c r="N80" s="30">
        <f>$I$29*$N$29</f>
        <v>0</v>
      </c>
      <c r="O80" s="30">
        <f>$I$29*$O$29</f>
        <v>-5.1819392968414686</v>
      </c>
      <c r="P80" s="30">
        <f>$I$29*$P$29</f>
        <v>299.36672608966722</v>
      </c>
      <c r="Q80" s="30">
        <f>$I$29*$Q$29</f>
        <v>6.6854231367008321</v>
      </c>
      <c r="R80" s="30">
        <f>$I$29*$R$29</f>
        <v>5.3973863247737048</v>
      </c>
      <c r="S80" s="30">
        <f>$I$29*$S$29</f>
        <v>0</v>
      </c>
      <c r="T80" s="30">
        <f>$I$29*$T$29</f>
        <v>0</v>
      </c>
      <c r="U80" s="30">
        <f>$I$29*$U$29</f>
        <v>4.5842252478034142</v>
      </c>
      <c r="W80" s="30">
        <f>$I$29*$W$29</f>
        <v>2.0769508198473146</v>
      </c>
      <c r="X80" s="30">
        <f>$I$29*$X$29</f>
        <v>-0.99719991958126497</v>
      </c>
      <c r="Y80" s="30">
        <f>$I$29*$Y$29</f>
        <v>0</v>
      </c>
      <c r="Z80" s="30">
        <f>$I$29*$Z$29</f>
        <v>-3.5551463436274156</v>
      </c>
      <c r="AA80" s="30">
        <f>$I$29*$AA$29</f>
        <v>334.21954913202268</v>
      </c>
      <c r="AB80" s="30">
        <f>$I$29*$AB$29</f>
        <v>5.3740421163834098</v>
      </c>
      <c r="AC80" s="30">
        <f>$I$29*$AC$29</f>
        <v>3.23434155921447</v>
      </c>
      <c r="AD80" s="30">
        <f>$I$29*$AD$29</f>
        <v>0</v>
      </c>
      <c r="AE80" s="30">
        <f>$I$29*$AE$29</f>
        <v>0</v>
      </c>
      <c r="AF80" s="30">
        <f>$I$29*$AF$29</f>
        <v>5.1185596926017523</v>
      </c>
    </row>
    <row r="81" spans="1:32" ht="11.25" customHeight="1" x14ac:dyDescent="0.25">
      <c r="A81" s="9" t="s">
        <v>46</v>
      </c>
      <c r="B81" s="9" t="s">
        <v>1627</v>
      </c>
      <c r="C81" s="9" t="s">
        <v>1628</v>
      </c>
      <c r="D81" s="9" t="s">
        <v>1629</v>
      </c>
      <c r="E81" s="9" t="s">
        <v>1630</v>
      </c>
      <c r="F81" s="9" t="s">
        <v>1631</v>
      </c>
      <c r="G81" s="9" t="s">
        <v>1633</v>
      </c>
      <c r="L81" s="30">
        <f>$I$30*$L$30</f>
        <v>1.1830996235571938</v>
      </c>
      <c r="M81" s="30">
        <f>$I$30*$M$30</f>
        <v>6.560818471608826</v>
      </c>
      <c r="N81" s="30">
        <f>$I$30*$N$30</f>
        <v>0</v>
      </c>
      <c r="O81" s="30">
        <f>$I$30*$O$30</f>
        <v>-2.8341032931540551</v>
      </c>
      <c r="P81" s="30">
        <f>$I$30*$P$30</f>
        <v>95.19155789360633</v>
      </c>
      <c r="Q81" s="30">
        <f>$I$30*$Q$30</f>
        <v>3.6563878197880388</v>
      </c>
      <c r="R81" s="30">
        <f>$I$30*$R$30</f>
        <v>2.9519354591416382</v>
      </c>
      <c r="S81" s="30">
        <f>$I$30*$S$30</f>
        <v>0</v>
      </c>
      <c r="T81" s="30">
        <f>$I$30*$T$30</f>
        <v>0</v>
      </c>
      <c r="U81" s="30">
        <f>$I$30*$U$30</f>
        <v>2.5072018653863228</v>
      </c>
      <c r="W81" s="30">
        <f>$I$30*$W$30</f>
        <v>1.1359247611866359</v>
      </c>
      <c r="X81" s="30">
        <f>$I$30*$X$30</f>
        <v>-0.54538801288946914</v>
      </c>
      <c r="Y81" s="30">
        <f>$I$30*$Y$30</f>
        <v>0</v>
      </c>
      <c r="Z81" s="30">
        <f>$I$30*$Z$30</f>
        <v>-1.9443786163725298</v>
      </c>
      <c r="AA81" s="30">
        <f>$I$30*$AA$30</f>
        <v>106.27393356617287</v>
      </c>
      <c r="AB81" s="30">
        <f>$I$30*$AB$30</f>
        <v>2.9391680579651447</v>
      </c>
      <c r="AC81" s="30">
        <f>$I$30*$AC$30</f>
        <v>1.7689242461296204</v>
      </c>
      <c r="AD81" s="30">
        <f>$I$30*$AD$30</f>
        <v>0</v>
      </c>
      <c r="AE81" s="30">
        <f>$I$30*$AE$30</f>
        <v>0</v>
      </c>
      <c r="AF81" s="30">
        <f>$I$30*$AF$30</f>
        <v>2.7994397560485416</v>
      </c>
    </row>
    <row r="82" spans="1:32" ht="11.25" customHeight="1" x14ac:dyDescent="0.25">
      <c r="A82" s="9" t="s">
        <v>46</v>
      </c>
      <c r="B82" s="9" t="s">
        <v>1627</v>
      </c>
      <c r="C82" s="9" t="s">
        <v>1628</v>
      </c>
      <c r="D82" s="9" t="s">
        <v>1629</v>
      </c>
      <c r="E82" s="9" t="s">
        <v>1630</v>
      </c>
      <c r="F82" s="9" t="s">
        <v>1631</v>
      </c>
      <c r="G82" s="9" t="s">
        <v>1634</v>
      </c>
      <c r="L82" s="30">
        <f>$I$31*$L$31</f>
        <v>10.276768307224707</v>
      </c>
      <c r="M82" s="30">
        <f>$I$31*$M$31</f>
        <v>56.98929320572519</v>
      </c>
      <c r="N82" s="30">
        <f>$I$31*$N$31</f>
        <v>0</v>
      </c>
      <c r="O82" s="30">
        <f>$I$31*$O$31</f>
        <v>-24.617895503099</v>
      </c>
      <c r="P82" s="30">
        <f>$I$31*$P$31</f>
        <v>826.86323771707964</v>
      </c>
      <c r="Q82" s="30">
        <f>$I$31*$Q$31</f>
        <v>31.760512569805286</v>
      </c>
      <c r="R82" s="30">
        <f>$I$31*$R$31</f>
        <v>25.641422047171385</v>
      </c>
      <c r="S82" s="30">
        <f>$I$31*$S$31</f>
        <v>0</v>
      </c>
      <c r="T82" s="30">
        <f>$I$31*$T$31</f>
        <v>0</v>
      </c>
      <c r="U82" s="30">
        <f>$I$31*$U$31</f>
        <v>21.778328854967501</v>
      </c>
      <c r="W82" s="30">
        <f>$I$31*$W$31</f>
        <v>9.8669928995969123</v>
      </c>
      <c r="X82" s="30">
        <f>$I$31*$X$31</f>
        <v>-4.737408527906446</v>
      </c>
      <c r="Y82" s="30">
        <f>$I$31*$Y$31</f>
        <v>0</v>
      </c>
      <c r="Z82" s="30">
        <f>$I$31*$Z$31</f>
        <v>-16.889472487450814</v>
      </c>
      <c r="AA82" s="30">
        <f>$I$31*$AA$31</f>
        <v>923.12817163545651</v>
      </c>
      <c r="AB82" s="30">
        <f>$I$31*$AB$31</f>
        <v>25.530520461908676</v>
      </c>
      <c r="AC82" s="30">
        <f>$I$31*$AC$31</f>
        <v>15.365421701216043</v>
      </c>
      <c r="AD82" s="30">
        <f>$I$31*$AD$31</f>
        <v>0</v>
      </c>
      <c r="AE82" s="30">
        <f>$I$31*$AE$31</f>
        <v>0</v>
      </c>
      <c r="AF82" s="30">
        <f>$I$31*$AF$31</f>
        <v>24.316797326369656</v>
      </c>
    </row>
    <row r="83" spans="1:32" ht="11.25" customHeight="1" x14ac:dyDescent="0.25">
      <c r="A83" s="9" t="s">
        <v>46</v>
      </c>
      <c r="B83" s="9" t="s">
        <v>1635</v>
      </c>
      <c r="C83" s="9" t="s">
        <v>1636</v>
      </c>
      <c r="D83" s="9" t="s">
        <v>1637</v>
      </c>
      <c r="E83" s="9" t="s">
        <v>1638</v>
      </c>
      <c r="F83" s="9" t="s">
        <v>1639</v>
      </c>
      <c r="G83" s="9" t="s">
        <v>1640</v>
      </c>
      <c r="L83" s="30">
        <f>$I$32*$L$32</f>
        <v>167393.22874083242</v>
      </c>
      <c r="M83" s="30">
        <f>$I$32*$M$32</f>
        <v>928270.59131593362</v>
      </c>
      <c r="N83" s="30">
        <f>$I$32*$N$32</f>
        <v>0</v>
      </c>
      <c r="O83" s="30">
        <f>$I$32*$O$32</f>
        <v>-400988.80210923258</v>
      </c>
      <c r="P83" s="30">
        <f>$I$32*$P$32</f>
        <v>14276471.078046074</v>
      </c>
      <c r="Q83" s="30">
        <f>$I$32*$Q$32</f>
        <v>517331.38147971401</v>
      </c>
      <c r="R83" s="30">
        <f>$I$32*$R$32</f>
        <v>417660.52300360886</v>
      </c>
      <c r="S83" s="30">
        <f>$I$32*$S$32</f>
        <v>0</v>
      </c>
      <c r="T83" s="30">
        <f>$I$32*$T$32</f>
        <v>0</v>
      </c>
      <c r="U83" s="30">
        <f>$I$32*$U$32</f>
        <v>354736.49639933783</v>
      </c>
      <c r="W83" s="30">
        <f>$I$32*$W$32</f>
        <v>160718.59849805612</v>
      </c>
      <c r="X83" s="30">
        <f>$I$32*$X$32</f>
        <v>-77165.319450971481</v>
      </c>
      <c r="Y83" s="30">
        <f>$I$32*$Y$32</f>
        <v>0</v>
      </c>
      <c r="Z83" s="30">
        <f>$I$32*$Z$32</f>
        <v>-275104.3175135419</v>
      </c>
      <c r="AA83" s="30">
        <f>$I$32*$AA$32</f>
        <v>15938564.012193354</v>
      </c>
      <c r="AB83" s="30">
        <f>$I$32*$AB$32</f>
        <v>415854.1015805871</v>
      </c>
      <c r="AC83" s="30">
        <f>$I$32*$AC$32</f>
        <v>250279.80320650118</v>
      </c>
      <c r="AD83" s="30">
        <f>$I$32*$AD$32</f>
        <v>0</v>
      </c>
      <c r="AE83" s="30">
        <f>$I$32*$AE$32</f>
        <v>0</v>
      </c>
      <c r="AF83" s="30">
        <f>$I$32*$AF$32</f>
        <v>396084.36187433207</v>
      </c>
    </row>
    <row r="84" spans="1:32" ht="11.25" customHeight="1" x14ac:dyDescent="0.25">
      <c r="A84" s="9" t="s">
        <v>46</v>
      </c>
      <c r="B84" s="9" t="s">
        <v>1627</v>
      </c>
      <c r="C84" s="9" t="s">
        <v>1628</v>
      </c>
      <c r="D84" s="9" t="s">
        <v>1641</v>
      </c>
      <c r="E84" s="9" t="s">
        <v>1642</v>
      </c>
      <c r="F84" s="9" t="s">
        <v>1643</v>
      </c>
      <c r="G84" s="9" t="s">
        <v>1644</v>
      </c>
      <c r="L84" s="30">
        <f>$I$33*$L$33</f>
        <v>0</v>
      </c>
      <c r="M84" s="30">
        <f>$I$33*$M$33</f>
        <v>0</v>
      </c>
      <c r="N84" s="30">
        <f>$I$33*$N$33</f>
        <v>0</v>
      </c>
      <c r="O84" s="30">
        <f>$I$33*$O$33</f>
        <v>0</v>
      </c>
      <c r="P84" s="30">
        <f>$I$33*$P$33</f>
        <v>0</v>
      </c>
      <c r="Q84" s="30">
        <f>$I$33*$Q$33</f>
        <v>0</v>
      </c>
      <c r="R84" s="30">
        <f>$I$33*$R$33</f>
        <v>0</v>
      </c>
      <c r="S84" s="30">
        <f>$I$33*$S$33</f>
        <v>0</v>
      </c>
      <c r="T84" s="30">
        <f>$I$33*$T$33</f>
        <v>0</v>
      </c>
      <c r="U84" s="30">
        <f>$I$33*$U$33</f>
        <v>0</v>
      </c>
      <c r="W84" s="30">
        <f>$I$33*$W$33</f>
        <v>0</v>
      </c>
      <c r="X84" s="30">
        <f>$I$33*$X$33</f>
        <v>0</v>
      </c>
      <c r="Y84" s="30">
        <f>$I$33*$Y$33</f>
        <v>0</v>
      </c>
      <c r="Z84" s="30">
        <f>$I$33*$Z$33</f>
        <v>0</v>
      </c>
      <c r="AA84" s="30">
        <f>$I$33*$AA$33</f>
        <v>0</v>
      </c>
      <c r="AB84" s="30">
        <f>$I$33*$AB$33</f>
        <v>0</v>
      </c>
      <c r="AC84" s="30">
        <f>$I$33*$AC$33</f>
        <v>0</v>
      </c>
      <c r="AD84" s="30">
        <f>$I$33*$AD$33</f>
        <v>0</v>
      </c>
      <c r="AE84" s="30">
        <f>$I$33*$AE$33</f>
        <v>0</v>
      </c>
      <c r="AF84" s="30">
        <f>$I$33*$AF$33</f>
        <v>0</v>
      </c>
    </row>
    <row r="85" spans="1:32" ht="11.25" customHeight="1" x14ac:dyDescent="0.25">
      <c r="A85" s="9" t="s">
        <v>46</v>
      </c>
      <c r="B85" s="9" t="s">
        <v>1627</v>
      </c>
      <c r="C85" s="9" t="s">
        <v>1628</v>
      </c>
      <c r="D85" s="9" t="s">
        <v>1641</v>
      </c>
      <c r="E85" s="9" t="s">
        <v>1642</v>
      </c>
      <c r="F85" s="9" t="s">
        <v>1643</v>
      </c>
      <c r="G85" s="9" t="s">
        <v>1645</v>
      </c>
      <c r="L85" s="30">
        <f>$I$34*$L$34</f>
        <v>0</v>
      </c>
      <c r="M85" s="30">
        <f>$I$34*$M$34</f>
        <v>0</v>
      </c>
      <c r="N85" s="30">
        <f>$I$34*$N$34</f>
        <v>0</v>
      </c>
      <c r="O85" s="30">
        <f>$I$34*$O$34</f>
        <v>0</v>
      </c>
      <c r="P85" s="30">
        <f>$I$34*$P$34</f>
        <v>0</v>
      </c>
      <c r="Q85" s="30">
        <f>$I$34*$Q$34</f>
        <v>0</v>
      </c>
      <c r="R85" s="30">
        <f>$I$34*$R$34</f>
        <v>0</v>
      </c>
      <c r="S85" s="30">
        <f>$I$34*$S$34</f>
        <v>0</v>
      </c>
      <c r="T85" s="30">
        <f>$I$34*$T$34</f>
        <v>0</v>
      </c>
      <c r="U85" s="30">
        <f>$I$34*$U$34</f>
        <v>0</v>
      </c>
      <c r="W85" s="30">
        <f>$I$34*$W$34</f>
        <v>0</v>
      </c>
      <c r="X85" s="30">
        <f>$I$34*$X$34</f>
        <v>0</v>
      </c>
      <c r="Y85" s="30">
        <f>$I$34*$Y$34</f>
        <v>0</v>
      </c>
      <c r="Z85" s="30">
        <f>$I$34*$Z$34</f>
        <v>0</v>
      </c>
      <c r="AA85" s="30">
        <f>$I$34*$AA$34</f>
        <v>0</v>
      </c>
      <c r="AB85" s="30">
        <f>$I$34*$AB$34</f>
        <v>0</v>
      </c>
      <c r="AC85" s="30">
        <f>$I$34*$AC$34</f>
        <v>0</v>
      </c>
      <c r="AD85" s="30">
        <f>$I$34*$AD$34</f>
        <v>0</v>
      </c>
      <c r="AE85" s="30">
        <f>$I$34*$AE$34</f>
        <v>0</v>
      </c>
      <c r="AF85" s="30">
        <f>$I$34*$AF$34</f>
        <v>0</v>
      </c>
    </row>
    <row r="86" spans="1:32" ht="11.25" customHeight="1" x14ac:dyDescent="0.25">
      <c r="A86" s="9" t="s">
        <v>46</v>
      </c>
      <c r="B86" s="9" t="s">
        <v>1627</v>
      </c>
      <c r="C86" s="9" t="s">
        <v>1628</v>
      </c>
      <c r="D86" s="9" t="s">
        <v>1641</v>
      </c>
      <c r="E86" s="9" t="s">
        <v>1642</v>
      </c>
      <c r="F86" s="9" t="s">
        <v>1643</v>
      </c>
      <c r="G86" s="9" t="s">
        <v>1646</v>
      </c>
      <c r="L86" s="30">
        <f>$I$35*$L$35</f>
        <v>0</v>
      </c>
      <c r="M86" s="30">
        <f>$I$35*$M$35</f>
        <v>0</v>
      </c>
      <c r="N86" s="30">
        <f>$I$35*$N$35</f>
        <v>0</v>
      </c>
      <c r="O86" s="30">
        <f>$I$35*$O$35</f>
        <v>0</v>
      </c>
      <c r="P86" s="30">
        <f>$I$35*$P$35</f>
        <v>0</v>
      </c>
      <c r="Q86" s="30">
        <f>$I$35*$Q$35</f>
        <v>0</v>
      </c>
      <c r="R86" s="30">
        <f>$I$35*$R$35</f>
        <v>0</v>
      </c>
      <c r="S86" s="30">
        <f>$I$35*$S$35</f>
        <v>0</v>
      </c>
      <c r="T86" s="30">
        <f>$I$35*$T$35</f>
        <v>0</v>
      </c>
      <c r="U86" s="30">
        <f>$I$35*$U$35</f>
        <v>0</v>
      </c>
      <c r="W86" s="30">
        <f>$I$35*$W$35</f>
        <v>0</v>
      </c>
      <c r="X86" s="30">
        <f>$I$35*$X$35</f>
        <v>0</v>
      </c>
      <c r="Y86" s="30">
        <f>$I$35*$Y$35</f>
        <v>0</v>
      </c>
      <c r="Z86" s="30">
        <f>$I$35*$Z$35</f>
        <v>0</v>
      </c>
      <c r="AA86" s="30">
        <f>$I$35*$AA$35</f>
        <v>0</v>
      </c>
      <c r="AB86" s="30">
        <f>$I$35*$AB$35</f>
        <v>0</v>
      </c>
      <c r="AC86" s="30">
        <f>$I$35*$AC$35</f>
        <v>0</v>
      </c>
      <c r="AD86" s="30">
        <f>$I$35*$AD$35</f>
        <v>0</v>
      </c>
      <c r="AE86" s="30">
        <f>$I$35*$AE$35</f>
        <v>0</v>
      </c>
      <c r="AF86" s="30">
        <f>$I$35*$AF$35</f>
        <v>0</v>
      </c>
    </row>
    <row r="87" spans="1:32" ht="11.25" customHeight="1" x14ac:dyDescent="0.25">
      <c r="A87" s="9" t="s">
        <v>46</v>
      </c>
      <c r="B87" s="9" t="s">
        <v>1635</v>
      </c>
      <c r="C87" s="9" t="s">
        <v>1636</v>
      </c>
      <c r="D87" s="9" t="s">
        <v>1647</v>
      </c>
      <c r="E87" s="9" t="s">
        <v>1648</v>
      </c>
      <c r="F87" s="9" t="s">
        <v>1649</v>
      </c>
      <c r="G87" s="9" t="s">
        <v>1650</v>
      </c>
      <c r="L87" s="30">
        <f>$I$36*$L$36</f>
        <v>0</v>
      </c>
      <c r="M87" s="30">
        <f>$I$36*$M$36</f>
        <v>0</v>
      </c>
      <c r="N87" s="30">
        <f>$I$36*$N$36</f>
        <v>0</v>
      </c>
      <c r="O87" s="30">
        <f>$I$36*$O$36</f>
        <v>0</v>
      </c>
      <c r="P87" s="30">
        <f>$I$36*$P$36</f>
        <v>0</v>
      </c>
      <c r="Q87" s="30">
        <f>$I$36*$Q$36</f>
        <v>0</v>
      </c>
      <c r="R87" s="30">
        <f>$I$36*$R$36</f>
        <v>0</v>
      </c>
      <c r="S87" s="30">
        <f>$I$36*$S$36</f>
        <v>0</v>
      </c>
      <c r="T87" s="30">
        <f>$I$36*$T$36</f>
        <v>0</v>
      </c>
      <c r="U87" s="30">
        <f>$I$36*$U$36</f>
        <v>0</v>
      </c>
      <c r="W87" s="30">
        <f>$I$36*$W$36</f>
        <v>0</v>
      </c>
      <c r="X87" s="30">
        <f>$I$36*$X$36</f>
        <v>0</v>
      </c>
      <c r="Y87" s="30">
        <f>$I$36*$Y$36</f>
        <v>0</v>
      </c>
      <c r="Z87" s="30">
        <f>$I$36*$Z$36</f>
        <v>0</v>
      </c>
      <c r="AA87" s="30">
        <f>$I$36*$AA$36</f>
        <v>0</v>
      </c>
      <c r="AB87" s="30">
        <f>$I$36*$AB$36</f>
        <v>0</v>
      </c>
      <c r="AC87" s="30">
        <f>$I$36*$AC$36</f>
        <v>0</v>
      </c>
      <c r="AD87" s="30">
        <f>$I$36*$AD$36</f>
        <v>0</v>
      </c>
      <c r="AE87" s="30">
        <f>$I$36*$AE$36</f>
        <v>0</v>
      </c>
      <c r="AF87" s="30">
        <f>$I$36*$AF$36</f>
        <v>0</v>
      </c>
    </row>
    <row r="88" spans="1:32" ht="11.25" customHeight="1" x14ac:dyDescent="0.25">
      <c r="A88" s="9" t="s">
        <v>46</v>
      </c>
      <c r="B88" s="9" t="s">
        <v>1627</v>
      </c>
      <c r="C88" s="9" t="s">
        <v>1628</v>
      </c>
      <c r="D88" s="9" t="s">
        <v>1651</v>
      </c>
      <c r="E88" s="9" t="s">
        <v>1652</v>
      </c>
      <c r="F88" s="9" t="s">
        <v>1653</v>
      </c>
      <c r="G88" s="9" t="s">
        <v>1654</v>
      </c>
      <c r="L88" s="30">
        <f>$I$37*$L$37</f>
        <v>0</v>
      </c>
      <c r="M88" s="30">
        <f>$I$37*$M$37</f>
        <v>0</v>
      </c>
      <c r="N88" s="30">
        <f>$I$37*$N$37</f>
        <v>0</v>
      </c>
      <c r="O88" s="30">
        <f>$I$37*$O$37</f>
        <v>0</v>
      </c>
      <c r="P88" s="30">
        <f>$I$37*$P$37</f>
        <v>0</v>
      </c>
      <c r="Q88" s="30">
        <f>$I$37*$Q$37</f>
        <v>0</v>
      </c>
      <c r="R88" s="30">
        <f>$I$37*$R$37</f>
        <v>0</v>
      </c>
      <c r="S88" s="30">
        <f>$I$37*$S$37</f>
        <v>0</v>
      </c>
      <c r="T88" s="30">
        <f>$I$37*$T$37</f>
        <v>0</v>
      </c>
      <c r="U88" s="30">
        <f>$I$37*$U$37</f>
        <v>0</v>
      </c>
      <c r="W88" s="30">
        <f>$I$37*$W$37</f>
        <v>0</v>
      </c>
      <c r="X88" s="30">
        <f>$I$37*$X$37</f>
        <v>0</v>
      </c>
      <c r="Y88" s="30">
        <f>$I$37*$Y$37</f>
        <v>0</v>
      </c>
      <c r="Z88" s="30">
        <f>$I$37*$Z$37</f>
        <v>0</v>
      </c>
      <c r="AA88" s="30">
        <f>$I$37*$AA$37</f>
        <v>0</v>
      </c>
      <c r="AB88" s="30">
        <f>$I$37*$AB$37</f>
        <v>0</v>
      </c>
      <c r="AC88" s="30">
        <f>$I$37*$AC$37</f>
        <v>0</v>
      </c>
      <c r="AD88" s="30">
        <f>$I$37*$AD$37</f>
        <v>0</v>
      </c>
      <c r="AE88" s="30">
        <f>$I$37*$AE$37</f>
        <v>0</v>
      </c>
      <c r="AF88" s="30">
        <f>$I$37*$AF$37</f>
        <v>0</v>
      </c>
    </row>
    <row r="89" spans="1:32" ht="11.25" customHeight="1" x14ac:dyDescent="0.25">
      <c r="A89" s="9" t="s">
        <v>46</v>
      </c>
      <c r="B89" s="9" t="s">
        <v>1627</v>
      </c>
      <c r="C89" s="9" t="s">
        <v>1628</v>
      </c>
      <c r="D89" s="9" t="s">
        <v>1651</v>
      </c>
      <c r="E89" s="9" t="s">
        <v>1652</v>
      </c>
      <c r="F89" s="9" t="s">
        <v>1653</v>
      </c>
      <c r="G89" s="9" t="s">
        <v>1655</v>
      </c>
      <c r="L89" s="30">
        <f>$I$38*$L$38</f>
        <v>0</v>
      </c>
      <c r="M89" s="30">
        <f>$I$38*$M$38</f>
        <v>0</v>
      </c>
      <c r="N89" s="30">
        <f>$I$38*$N$38</f>
        <v>0</v>
      </c>
      <c r="O89" s="30">
        <f>$I$38*$O$38</f>
        <v>0</v>
      </c>
      <c r="P89" s="30">
        <f>$I$38*$P$38</f>
        <v>0</v>
      </c>
      <c r="Q89" s="30">
        <f>$I$38*$Q$38</f>
        <v>0</v>
      </c>
      <c r="R89" s="30">
        <f>$I$38*$R$38</f>
        <v>0</v>
      </c>
      <c r="S89" s="30">
        <f>$I$38*$S$38</f>
        <v>0</v>
      </c>
      <c r="T89" s="30">
        <f>$I$38*$T$38</f>
        <v>0</v>
      </c>
      <c r="U89" s="30">
        <f>$I$38*$U$38</f>
        <v>0</v>
      </c>
      <c r="W89" s="30">
        <f>$I$38*$W$38</f>
        <v>0</v>
      </c>
      <c r="X89" s="30">
        <f>$I$38*$X$38</f>
        <v>0</v>
      </c>
      <c r="Y89" s="30">
        <f>$I$38*$Y$38</f>
        <v>0</v>
      </c>
      <c r="Z89" s="30">
        <f>$I$38*$Z$38</f>
        <v>0</v>
      </c>
      <c r="AA89" s="30">
        <f>$I$38*$AA$38</f>
        <v>0</v>
      </c>
      <c r="AB89" s="30">
        <f>$I$38*$AB$38</f>
        <v>0</v>
      </c>
      <c r="AC89" s="30">
        <f>$I$38*$AC$38</f>
        <v>0</v>
      </c>
      <c r="AD89" s="30">
        <f>$I$38*$AD$38</f>
        <v>0</v>
      </c>
      <c r="AE89" s="30">
        <f>$I$38*$AE$38</f>
        <v>0</v>
      </c>
      <c r="AF89" s="30">
        <f>$I$38*$AF$38</f>
        <v>0</v>
      </c>
    </row>
    <row r="90" spans="1:32" ht="11.25" customHeight="1" x14ac:dyDescent="0.25">
      <c r="A90" s="9" t="s">
        <v>46</v>
      </c>
      <c r="B90" s="9" t="s">
        <v>1627</v>
      </c>
      <c r="C90" s="9" t="s">
        <v>1628</v>
      </c>
      <c r="D90" s="9" t="s">
        <v>1651</v>
      </c>
      <c r="E90" s="9" t="s">
        <v>1652</v>
      </c>
      <c r="F90" s="9" t="s">
        <v>1653</v>
      </c>
      <c r="G90" s="9" t="s">
        <v>1656</v>
      </c>
      <c r="L90" s="30">
        <f>$I$39*$L$39</f>
        <v>0</v>
      </c>
      <c r="M90" s="30">
        <f>$I$39*$M$39</f>
        <v>0</v>
      </c>
      <c r="N90" s="30">
        <f>$I$39*$N$39</f>
        <v>0</v>
      </c>
      <c r="O90" s="30">
        <f>$I$39*$O$39</f>
        <v>0</v>
      </c>
      <c r="P90" s="30">
        <f>$I$39*$P$39</f>
        <v>0</v>
      </c>
      <c r="Q90" s="30">
        <f>$I$39*$Q$39</f>
        <v>0</v>
      </c>
      <c r="R90" s="30">
        <f>$I$39*$R$39</f>
        <v>0</v>
      </c>
      <c r="S90" s="30">
        <f>$I$39*$S$39</f>
        <v>0</v>
      </c>
      <c r="T90" s="30">
        <f>$I$39*$T$39</f>
        <v>0</v>
      </c>
      <c r="U90" s="30">
        <f>$I$39*$U$39</f>
        <v>0</v>
      </c>
      <c r="W90" s="30">
        <f>$I$39*$W$39</f>
        <v>0</v>
      </c>
      <c r="X90" s="30">
        <f>$I$39*$X$39</f>
        <v>0</v>
      </c>
      <c r="Y90" s="30">
        <f>$I$39*$Y$39</f>
        <v>0</v>
      </c>
      <c r="Z90" s="30">
        <f>$I$39*$Z$39</f>
        <v>0</v>
      </c>
      <c r="AA90" s="30">
        <f>$I$39*$AA$39</f>
        <v>0</v>
      </c>
      <c r="AB90" s="30">
        <f>$I$39*$AB$39</f>
        <v>0</v>
      </c>
      <c r="AC90" s="30">
        <f>$I$39*$AC$39</f>
        <v>0</v>
      </c>
      <c r="AD90" s="30">
        <f>$I$39*$AD$39</f>
        <v>0</v>
      </c>
      <c r="AE90" s="30">
        <f>$I$39*$AE$39</f>
        <v>0</v>
      </c>
      <c r="AF90" s="30">
        <f>$I$39*$AF$39</f>
        <v>0</v>
      </c>
    </row>
    <row r="91" spans="1:32" ht="11.25" customHeight="1" x14ac:dyDescent="0.25">
      <c r="A91" s="9" t="s">
        <v>46</v>
      </c>
      <c r="B91" s="9" t="s">
        <v>1635</v>
      </c>
      <c r="C91" s="9" t="s">
        <v>1636</v>
      </c>
      <c r="D91" s="9" t="s">
        <v>1657</v>
      </c>
      <c r="E91" s="9" t="s">
        <v>1658</v>
      </c>
      <c r="F91" s="9" t="s">
        <v>1659</v>
      </c>
      <c r="G91" s="9" t="s">
        <v>1660</v>
      </c>
      <c r="L91" s="30">
        <f>$I$40*$L$40</f>
        <v>0</v>
      </c>
      <c r="M91" s="30">
        <f>$I$40*$M$40</f>
        <v>0</v>
      </c>
      <c r="N91" s="30">
        <f>$I$40*$N$40</f>
        <v>0</v>
      </c>
      <c r="O91" s="30">
        <f>$I$40*$O$40</f>
        <v>0</v>
      </c>
      <c r="P91" s="30">
        <f>$I$40*$P$40</f>
        <v>0</v>
      </c>
      <c r="Q91" s="30">
        <f>$I$40*$Q$40</f>
        <v>0</v>
      </c>
      <c r="R91" s="30">
        <f>$I$40*$R$40</f>
        <v>0</v>
      </c>
      <c r="S91" s="30">
        <f>$I$40*$S$40</f>
        <v>0</v>
      </c>
      <c r="T91" s="30">
        <f>$I$40*$T$40</f>
        <v>0</v>
      </c>
      <c r="U91" s="30">
        <f>$I$40*$U$40</f>
        <v>0</v>
      </c>
      <c r="W91" s="30">
        <f>$I$40*$W$40</f>
        <v>0</v>
      </c>
      <c r="X91" s="30">
        <f>$I$40*$X$40</f>
        <v>0</v>
      </c>
      <c r="Y91" s="30">
        <f>$I$40*$Y$40</f>
        <v>0</v>
      </c>
      <c r="Z91" s="30">
        <f>$I$40*$Z$40</f>
        <v>0</v>
      </c>
      <c r="AA91" s="30">
        <f>$I$40*$AA$40</f>
        <v>0</v>
      </c>
      <c r="AB91" s="30">
        <f>$I$40*$AB$40</f>
        <v>0</v>
      </c>
      <c r="AC91" s="30">
        <f>$I$40*$AC$40</f>
        <v>0</v>
      </c>
      <c r="AD91" s="30">
        <f>$I$40*$AD$40</f>
        <v>0</v>
      </c>
      <c r="AE91" s="30">
        <f>$I$40*$AE$40</f>
        <v>0</v>
      </c>
      <c r="AF91" s="30">
        <f>$I$40*$AF$40</f>
        <v>0</v>
      </c>
    </row>
    <row r="92" spans="1:32" ht="11.25" customHeight="1" x14ac:dyDescent="0.25">
      <c r="A92" s="9" t="s">
        <v>46</v>
      </c>
      <c r="B92" s="9" t="s">
        <v>1661</v>
      </c>
      <c r="C92" s="9" t="s">
        <v>1662</v>
      </c>
      <c r="D92" s="9" t="s">
        <v>1663</v>
      </c>
      <c r="E92" s="9" t="s">
        <v>1664</v>
      </c>
      <c r="F92" s="9" t="s">
        <v>1665</v>
      </c>
      <c r="G92" s="9" t="s">
        <v>1666</v>
      </c>
      <c r="L92" s="30">
        <f>$I$41*$L$41</f>
        <v>0</v>
      </c>
      <c r="M92" s="30">
        <f>$I$41*$M$41</f>
        <v>0</v>
      </c>
      <c r="N92" s="30">
        <f>$I$41*$N$41</f>
        <v>0</v>
      </c>
      <c r="O92" s="30">
        <f>$I$41*$O$41</f>
        <v>0</v>
      </c>
      <c r="P92" s="30">
        <f>$I$41*$P$41</f>
        <v>0</v>
      </c>
      <c r="Q92" s="30">
        <f>$I$41*$Q$41</f>
        <v>0</v>
      </c>
      <c r="R92" s="30">
        <f>$I$41*$R$41</f>
        <v>0</v>
      </c>
      <c r="S92" s="30">
        <f>$I$41*$S$41</f>
        <v>0</v>
      </c>
      <c r="T92" s="30">
        <f>$I$41*$T$41</f>
        <v>0</v>
      </c>
      <c r="U92" s="30">
        <f>$I$41*$U$41</f>
        <v>0</v>
      </c>
      <c r="W92" s="30">
        <f>$I$41*$W$41</f>
        <v>0</v>
      </c>
      <c r="X92" s="30">
        <f>$I$41*$X$41</f>
        <v>0</v>
      </c>
      <c r="Y92" s="30">
        <f>$I$41*$Y$41</f>
        <v>0</v>
      </c>
      <c r="Z92" s="30">
        <f>$I$41*$Z$41</f>
        <v>0</v>
      </c>
      <c r="AA92" s="30">
        <f>$I$41*$AA$41</f>
        <v>0</v>
      </c>
      <c r="AB92" s="30">
        <f>$I$41*$AB$41</f>
        <v>0</v>
      </c>
      <c r="AC92" s="30">
        <f>$I$41*$AC$41</f>
        <v>0</v>
      </c>
      <c r="AD92" s="30">
        <f>$I$41*$AD$41</f>
        <v>0</v>
      </c>
      <c r="AE92" s="30">
        <f>$I$41*$AE$41</f>
        <v>0</v>
      </c>
      <c r="AF92" s="30">
        <f>$I$41*$AF$41</f>
        <v>0</v>
      </c>
    </row>
    <row r="93" spans="1:32" ht="11.25" customHeight="1" x14ac:dyDescent="0.25">
      <c r="A93" s="9" t="s">
        <v>46</v>
      </c>
      <c r="B93" s="9" t="s">
        <v>1661</v>
      </c>
      <c r="C93" s="9" t="s">
        <v>1662</v>
      </c>
      <c r="D93" s="9" t="s">
        <v>1667</v>
      </c>
      <c r="E93" s="9" t="s">
        <v>1668</v>
      </c>
      <c r="F93" s="9" t="s">
        <v>1669</v>
      </c>
      <c r="G93" s="9" t="s">
        <v>1670</v>
      </c>
      <c r="L93" s="30">
        <f>$I$42*$L$42</f>
        <v>0</v>
      </c>
      <c r="M93" s="30">
        <f>$I$42*$M$42</f>
        <v>0</v>
      </c>
      <c r="N93" s="30">
        <f>$I$42*$N$42</f>
        <v>0</v>
      </c>
      <c r="O93" s="30">
        <f>$I$42*$O$42</f>
        <v>0</v>
      </c>
      <c r="P93" s="30">
        <f>$I$42*$P$42</f>
        <v>0</v>
      </c>
      <c r="Q93" s="30">
        <f>$I$42*$Q$42</f>
        <v>0</v>
      </c>
      <c r="R93" s="30">
        <f>$I$42*$R$42</f>
        <v>0</v>
      </c>
      <c r="S93" s="30">
        <f>$I$42*$S$42</f>
        <v>0</v>
      </c>
      <c r="T93" s="30">
        <f>$I$42*$T$42</f>
        <v>0</v>
      </c>
      <c r="U93" s="30">
        <f>$I$42*$U$42</f>
        <v>0</v>
      </c>
      <c r="W93" s="30">
        <f>$I$42*$W$42</f>
        <v>0</v>
      </c>
      <c r="X93" s="30">
        <f>$I$42*$X$42</f>
        <v>0</v>
      </c>
      <c r="Y93" s="30">
        <f>$I$42*$Y$42</f>
        <v>0</v>
      </c>
      <c r="Z93" s="30">
        <f>$I$42*$Z$42</f>
        <v>0</v>
      </c>
      <c r="AA93" s="30">
        <f>$I$42*$AA$42</f>
        <v>0</v>
      </c>
      <c r="AB93" s="30">
        <f>$I$42*$AB$42</f>
        <v>0</v>
      </c>
      <c r="AC93" s="30">
        <f>$I$42*$AC$42</f>
        <v>0</v>
      </c>
      <c r="AD93" s="30">
        <f>$I$42*$AD$42</f>
        <v>0</v>
      </c>
      <c r="AE93" s="30">
        <f>$I$42*$AE$42</f>
        <v>0</v>
      </c>
      <c r="AF93" s="30">
        <f>$I$42*$AF$42</f>
        <v>0</v>
      </c>
    </row>
    <row r="94" spans="1:32" ht="11.25" customHeight="1" x14ac:dyDescent="0.25">
      <c r="A94" s="9" t="s">
        <v>46</v>
      </c>
      <c r="B94" s="9" t="s">
        <v>1661</v>
      </c>
      <c r="C94" s="9" t="s">
        <v>1662</v>
      </c>
      <c r="D94" s="9" t="s">
        <v>1671</v>
      </c>
      <c r="E94" s="9" t="s">
        <v>1672</v>
      </c>
      <c r="F94" s="9" t="s">
        <v>1673</v>
      </c>
      <c r="G94" s="9" t="s">
        <v>1674</v>
      </c>
      <c r="L94" s="30">
        <f>$I$43*$L$43</f>
        <v>0</v>
      </c>
      <c r="M94" s="30">
        <f>$I$43*$M$43</f>
        <v>0</v>
      </c>
      <c r="N94" s="30">
        <f>$I$43*$N$43</f>
        <v>0</v>
      </c>
      <c r="O94" s="30">
        <f>$I$43*$O$43</f>
        <v>0</v>
      </c>
      <c r="P94" s="30">
        <f>$I$43*$P$43</f>
        <v>0</v>
      </c>
      <c r="Q94" s="30">
        <f>$I$43*$Q$43</f>
        <v>0</v>
      </c>
      <c r="R94" s="30">
        <f>$I$43*$R$43</f>
        <v>0</v>
      </c>
      <c r="S94" s="30">
        <f>$I$43*$S$43</f>
        <v>0</v>
      </c>
      <c r="T94" s="30">
        <f>$I$43*$T$43</f>
        <v>0</v>
      </c>
      <c r="U94" s="30">
        <f>$I$43*$U$43</f>
        <v>0</v>
      </c>
      <c r="W94" s="30">
        <f>$I$43*$W$43</f>
        <v>0</v>
      </c>
      <c r="X94" s="30">
        <f>$I$43*$X$43</f>
        <v>0</v>
      </c>
      <c r="Y94" s="30">
        <f>$I$43*$Y$43</f>
        <v>0</v>
      </c>
      <c r="Z94" s="30">
        <f>$I$43*$Z$43</f>
        <v>0</v>
      </c>
      <c r="AA94" s="30">
        <f>$I$43*$AA$43</f>
        <v>0</v>
      </c>
      <c r="AB94" s="30">
        <f>$I$43*$AB$43</f>
        <v>0</v>
      </c>
      <c r="AC94" s="30">
        <f>$I$43*$AC$43</f>
        <v>0</v>
      </c>
      <c r="AD94" s="30">
        <f>$I$43*$AD$43</f>
        <v>0</v>
      </c>
      <c r="AE94" s="30">
        <f>$I$43*$AE$43</f>
        <v>0</v>
      </c>
      <c r="AF94" s="30">
        <f>$I$43*$AF$43</f>
        <v>0</v>
      </c>
    </row>
    <row r="95" spans="1:32" ht="11.25" customHeight="1" x14ac:dyDescent="0.25">
      <c r="A95" s="9" t="s">
        <v>39</v>
      </c>
      <c r="B95" s="9" t="s">
        <v>1675</v>
      </c>
      <c r="C95" s="9" t="s">
        <v>1676</v>
      </c>
      <c r="D95" s="9" t="s">
        <v>1677</v>
      </c>
      <c r="E95" s="9" t="s">
        <v>1678</v>
      </c>
      <c r="F95" s="9" t="s">
        <v>1679</v>
      </c>
      <c r="G95" s="9" t="s">
        <v>1680</v>
      </c>
      <c r="L95" s="30">
        <f>$I$44*$L$44</f>
        <v>334.24802337683121</v>
      </c>
      <c r="M95" s="30">
        <f>$I$44*$M$44</f>
        <v>1853.5553238331674</v>
      </c>
      <c r="N95" s="30">
        <f>$I$44*$N$44</f>
        <v>0</v>
      </c>
      <c r="O95" s="30">
        <f>$I$44*$O$44</f>
        <v>-800.68779071563665</v>
      </c>
      <c r="P95" s="30">
        <f>$I$44*$P$44</f>
        <v>46256.675116324106</v>
      </c>
      <c r="Q95" s="30">
        <f>$I$44*$Q$44</f>
        <v>1032.9987239694124</v>
      </c>
      <c r="R95" s="30">
        <f>$I$44*$R$44</f>
        <v>833.97760654124056</v>
      </c>
      <c r="S95" s="30">
        <f>$I$44*$S$44</f>
        <v>0</v>
      </c>
      <c r="T95" s="30">
        <f>$I$44*$T$44</f>
        <v>0</v>
      </c>
      <c r="U95" s="30">
        <f>$I$44*$U$44</f>
        <v>708.33195364597304</v>
      </c>
      <c r="W95" s="30">
        <f>$I$44*$W$44</f>
        <v>346.25604020929165</v>
      </c>
      <c r="X95" s="30">
        <f>$I$44*$X$44</f>
        <v>-166.24683268938307</v>
      </c>
      <c r="Y95" s="30">
        <f>$I$44*$Y$44</f>
        <v>0</v>
      </c>
      <c r="Z95" s="30">
        <f>$I$44*$Z$44</f>
        <v>-592.69140296709952</v>
      </c>
      <c r="AA95" s="30">
        <f>$I$44*$AA$44</f>
        <v>55718.959032210878</v>
      </c>
      <c r="AB95" s="30">
        <f>$I$44*$AB$44</f>
        <v>895.92614584570788</v>
      </c>
      <c r="AC95" s="30">
        <f>$I$44*$AC$44</f>
        <v>539.20886824863908</v>
      </c>
      <c r="AD95" s="30">
        <f>$I$44*$AD$44</f>
        <v>0</v>
      </c>
      <c r="AE95" s="30">
        <f>$I$44*$AE$44</f>
        <v>0</v>
      </c>
      <c r="AF95" s="30">
        <f>$I$44*$AF$44</f>
        <v>853.33373992238717</v>
      </c>
    </row>
    <row r="96" spans="1:32" ht="11.25" customHeight="1" x14ac:dyDescent="0.25">
      <c r="A96" s="9" t="s">
        <v>39</v>
      </c>
      <c r="B96" s="9" t="s">
        <v>1675</v>
      </c>
      <c r="C96" s="9" t="s">
        <v>1676</v>
      </c>
      <c r="D96" s="9" t="s">
        <v>1677</v>
      </c>
      <c r="E96" s="9" t="s">
        <v>1678</v>
      </c>
      <c r="F96" s="9" t="s">
        <v>1679</v>
      </c>
      <c r="G96" s="9" t="s">
        <v>1681</v>
      </c>
      <c r="L96" s="30">
        <f>$I$45*$L$45</f>
        <v>130.91262140532027</v>
      </c>
      <c r="M96" s="30">
        <f>$I$45*$M$45</f>
        <v>725.9692485577375</v>
      </c>
      <c r="N96" s="30">
        <f>$I$45*$N$45</f>
        <v>0</v>
      </c>
      <c r="O96" s="30">
        <f>$I$45*$O$45</f>
        <v>-313.59987278561772</v>
      </c>
      <c r="P96" s="30">
        <f>$I$45*$P$45</f>
        <v>10533.158942304304</v>
      </c>
      <c r="Q96" s="30">
        <f>$I$45*$Q$45</f>
        <v>404.58749612626849</v>
      </c>
      <c r="R96" s="30">
        <f>$I$45*$R$45</f>
        <v>326.63826568859338</v>
      </c>
      <c r="S96" s="30">
        <f>$I$45*$S$45</f>
        <v>0</v>
      </c>
      <c r="T96" s="30">
        <f>$I$45*$T$45</f>
        <v>0</v>
      </c>
      <c r="U96" s="30">
        <f>$I$45*$U$45</f>
        <v>277.42749811987011</v>
      </c>
      <c r="W96" s="30">
        <f>$I$45*$W$45</f>
        <v>135.61571866087033</v>
      </c>
      <c r="X96" s="30">
        <f>$I$45*$X$45</f>
        <v>-65.112752045095291</v>
      </c>
      <c r="Y96" s="30">
        <f>$I$45*$Y$45</f>
        <v>0</v>
      </c>
      <c r="Z96" s="30">
        <f>$I$45*$Z$45</f>
        <v>-232.13536003276275</v>
      </c>
      <c r="AA96" s="30">
        <f>$I$45*$AA$45</f>
        <v>12687.826137743783</v>
      </c>
      <c r="AB96" s="30">
        <f>$I$45*$AB$45</f>
        <v>350.90122344866154</v>
      </c>
      <c r="AC96" s="30">
        <f>$I$45*$AC$45</f>
        <v>211.18822398492688</v>
      </c>
      <c r="AD96" s="30">
        <f>$I$45*$AD$45</f>
        <v>0</v>
      </c>
      <c r="AE96" s="30">
        <f>$I$45*$AE$45</f>
        <v>0</v>
      </c>
      <c r="AF96" s="30">
        <f>$I$45*$AF$45</f>
        <v>334.21934914750778</v>
      </c>
    </row>
    <row r="97" spans="1:32" ht="11.25" customHeight="1" x14ac:dyDescent="0.25">
      <c r="A97" s="9" t="s">
        <v>39</v>
      </c>
      <c r="B97" s="9" t="s">
        <v>1675</v>
      </c>
      <c r="C97" s="9" t="s">
        <v>1676</v>
      </c>
      <c r="D97" s="9" t="s">
        <v>1677</v>
      </c>
      <c r="E97" s="9" t="s">
        <v>1678</v>
      </c>
      <c r="F97" s="9" t="s">
        <v>1679</v>
      </c>
      <c r="G97" s="9" t="s">
        <v>1682</v>
      </c>
      <c r="L97" s="30">
        <f>$I$46*$L$46</f>
        <v>10432.64869660825</v>
      </c>
      <c r="M97" s="30">
        <f>$I$46*$M$46</f>
        <v>57853.719935026478</v>
      </c>
      <c r="N97" s="30">
        <f>$I$46*$N$46</f>
        <v>0</v>
      </c>
      <c r="O97" s="30">
        <f>$I$46*$O$46</f>
        <v>-24991.305413890575</v>
      </c>
      <c r="P97" s="30">
        <f>$I$46*$P$46</f>
        <v>839405.28981060244</v>
      </c>
      <c r="Q97" s="30">
        <f>$I$46*$Q$46</f>
        <v>32242.263341876471</v>
      </c>
      <c r="R97" s="30">
        <f>$I$46*$R$46</f>
        <v>26030.357044397209</v>
      </c>
      <c r="S97" s="30">
        <f>$I$46*$S$46</f>
        <v>0</v>
      </c>
      <c r="T97" s="30">
        <f>$I$46*$T$46</f>
        <v>0</v>
      </c>
      <c r="U97" s="30">
        <f>$I$46*$U$46</f>
        <v>22108.667564622814</v>
      </c>
      <c r="W97" s="30">
        <f>$I$46*$W$46</f>
        <v>10807.446488650188</v>
      </c>
      <c r="X97" s="30">
        <f>$I$46*$X$46</f>
        <v>-5188.9455765510547</v>
      </c>
      <c r="Y97" s="30">
        <f>$I$46*$Y$46</f>
        <v>0</v>
      </c>
      <c r="Z97" s="30">
        <f>$I$46*$Z$46</f>
        <v>-18499.260310313122</v>
      </c>
      <c r="AA97" s="30">
        <f>$I$46*$AA$46</f>
        <v>1011114.3707748364</v>
      </c>
      <c r="AB97" s="30">
        <f>$I$46*$AB$46</f>
        <v>27963.913273996543</v>
      </c>
      <c r="AC97" s="30">
        <f>$I$46*$AC$46</f>
        <v>16829.947533277482</v>
      </c>
      <c r="AD97" s="30">
        <f>$I$46*$AD$46</f>
        <v>0</v>
      </c>
      <c r="AE97" s="30">
        <f>$I$46*$AE$46</f>
        <v>0</v>
      </c>
      <c r="AF97" s="30">
        <f>$I$46*$AF$46</f>
        <v>26634.506435170217</v>
      </c>
    </row>
    <row r="98" spans="1:32" ht="11.25" customHeight="1" x14ac:dyDescent="0.25">
      <c r="A98" s="9" t="s">
        <v>39</v>
      </c>
      <c r="B98" s="9" t="s">
        <v>1683</v>
      </c>
      <c r="C98" s="9" t="s">
        <v>1684</v>
      </c>
      <c r="D98" s="9" t="s">
        <v>1685</v>
      </c>
      <c r="E98" s="9" t="s">
        <v>1686</v>
      </c>
      <c r="F98" s="9" t="s">
        <v>1687</v>
      </c>
      <c r="G98" s="9" t="s">
        <v>1688</v>
      </c>
      <c r="L98" s="30">
        <f>$I$47*$L$47</f>
        <v>2583084.292940917</v>
      </c>
      <c r="M98" s="30">
        <f>$I$47*$M$47</f>
        <v>14324361.875709889</v>
      </c>
      <c r="N98" s="30">
        <f>$I$47*$N$47</f>
        <v>0</v>
      </c>
      <c r="O98" s="30">
        <f>$I$47*$O$47</f>
        <v>-6187752.5403205948</v>
      </c>
      <c r="P98" s="30">
        <f>$I$47*$P$47</f>
        <v>220303583.82907853</v>
      </c>
      <c r="Q98" s="30">
        <f>$I$47*$Q$47</f>
        <v>7983062.2528622448</v>
      </c>
      <c r="R98" s="30">
        <f>$I$47*$R$47</f>
        <v>6445017.7875620658</v>
      </c>
      <c r="S98" s="30">
        <f>$I$47*$S$47</f>
        <v>0</v>
      </c>
      <c r="T98" s="30">
        <f>$I$47*$T$47</f>
        <v>0</v>
      </c>
      <c r="U98" s="30">
        <f>$I$47*$U$47</f>
        <v>5474022.3297843831</v>
      </c>
      <c r="W98" s="30">
        <f>$I$47*$W$47</f>
        <v>2675882.806320095</v>
      </c>
      <c r="X98" s="30">
        <f>$I$47*$X$47</f>
        <v>-1284763.2663095302</v>
      </c>
      <c r="Y98" s="30">
        <f>$I$47*$Y$47</f>
        <v>0</v>
      </c>
      <c r="Z98" s="30">
        <f>$I$47*$Z$47</f>
        <v>-4580346.7679430749</v>
      </c>
      <c r="AA98" s="30">
        <f>$I$47*$AA$47</f>
        <v>265368972.82722723</v>
      </c>
      <c r="AB98" s="30">
        <f>$I$47*$AB$47</f>
        <v>6923758.9846868068</v>
      </c>
      <c r="AC98" s="30">
        <f>$I$47*$AC$47</f>
        <v>4167031.24858046</v>
      </c>
      <c r="AD98" s="30">
        <f>$I$47*$AD$47</f>
        <v>0</v>
      </c>
      <c r="AE98" s="30">
        <f>$I$47*$AE$47</f>
        <v>0</v>
      </c>
      <c r="AF98" s="30">
        <f>$I$47*$AF$47</f>
        <v>6594602.8878830355</v>
      </c>
    </row>
    <row r="99" spans="1:32" ht="11.25" customHeight="1" x14ac:dyDescent="0.25">
      <c r="A99" s="9" t="s">
        <v>39</v>
      </c>
      <c r="B99" s="9" t="s">
        <v>1689</v>
      </c>
      <c r="C99" s="9" t="s">
        <v>1690</v>
      </c>
      <c r="D99" s="9" t="s">
        <v>1691</v>
      </c>
      <c r="E99" s="9" t="s">
        <v>1692</v>
      </c>
      <c r="F99" s="9" t="s">
        <v>1693</v>
      </c>
      <c r="G99" s="9" t="s">
        <v>1694</v>
      </c>
      <c r="L99" s="30">
        <f>$I$48*$L$48</f>
        <v>0</v>
      </c>
      <c r="M99" s="30">
        <f>$I$48*$M$48</f>
        <v>0</v>
      </c>
      <c r="N99" s="30">
        <f>$I$48*$N$48</f>
        <v>0</v>
      </c>
      <c r="O99" s="30">
        <f>$I$48*$O$48</f>
        <v>0</v>
      </c>
      <c r="P99" s="30">
        <f>$I$48*$P$48</f>
        <v>0</v>
      </c>
      <c r="Q99" s="30">
        <f>$I$48*$Q$48</f>
        <v>0</v>
      </c>
      <c r="R99" s="30">
        <f>$I$48*$R$48</f>
        <v>0</v>
      </c>
      <c r="S99" s="30">
        <f>$I$48*$S$48</f>
        <v>0</v>
      </c>
      <c r="T99" s="30">
        <f>$I$48*$T$48</f>
        <v>0</v>
      </c>
      <c r="U99" s="30">
        <f>$I$48*$U$48</f>
        <v>0</v>
      </c>
      <c r="W99" s="30">
        <f>$I$48*$W$48</f>
        <v>0</v>
      </c>
      <c r="X99" s="30">
        <f>$I$48*$X$48</f>
        <v>0</v>
      </c>
      <c r="Y99" s="30">
        <f>$I$48*$Y$48</f>
        <v>0</v>
      </c>
      <c r="Z99" s="30">
        <f>$I$48*$Z$48</f>
        <v>0</v>
      </c>
      <c r="AA99" s="30">
        <f>$I$48*$AA$48</f>
        <v>0</v>
      </c>
      <c r="AB99" s="30">
        <f>$I$48*$AB$48</f>
        <v>0</v>
      </c>
      <c r="AC99" s="30">
        <f>$I$48*$AC$48</f>
        <v>0</v>
      </c>
      <c r="AD99" s="30">
        <f>$I$48*$AD$48</f>
        <v>0</v>
      </c>
      <c r="AE99" s="30">
        <f>$I$48*$AE$48</f>
        <v>0</v>
      </c>
      <c r="AF99" s="30">
        <f>$I$48*$AF$48</f>
        <v>0</v>
      </c>
    </row>
    <row r="100" spans="1:32" ht="11.25" customHeight="1" x14ac:dyDescent="0.25">
      <c r="A100" s="9" t="s">
        <v>49</v>
      </c>
      <c r="B100" s="9" t="s">
        <v>1695</v>
      </c>
      <c r="C100" s="9" t="s">
        <v>1696</v>
      </c>
      <c r="D100" s="9" t="s">
        <v>1697</v>
      </c>
      <c r="E100" s="9" t="s">
        <v>1698</v>
      </c>
      <c r="F100" s="9" t="s">
        <v>1699</v>
      </c>
      <c r="G100" s="9" t="s">
        <v>1700</v>
      </c>
      <c r="L100" s="30">
        <f>$I$49*$L$49</f>
        <v>575034.8697718922</v>
      </c>
      <c r="M100" s="30">
        <f>$I$49*$M$49</f>
        <v>3188826.469300474</v>
      </c>
      <c r="N100" s="30">
        <f>$I$49*$N$49</f>
        <v>0</v>
      </c>
      <c r="O100" s="30">
        <f>$I$49*$O$49</f>
        <v>-1377490.2684855338</v>
      </c>
      <c r="P100" s="30">
        <f>$I$49*$P$49</f>
        <v>49043015.35324806</v>
      </c>
      <c r="Q100" s="30">
        <f>$I$49*$Q$49</f>
        <v>1777154.2243126286</v>
      </c>
      <c r="R100" s="30">
        <f>$I$49*$R$49</f>
        <v>1434761.5268601116</v>
      </c>
      <c r="S100" s="30">
        <f>$I$49*$S$49</f>
        <v>0</v>
      </c>
      <c r="T100" s="30">
        <f>$I$49*$T$49</f>
        <v>0</v>
      </c>
      <c r="U100" s="30">
        <f>$I$49*$U$49</f>
        <v>1218602.7866524572</v>
      </c>
      <c r="W100" s="30">
        <f>$I$49*$W$49</f>
        <v>595693.26686789701</v>
      </c>
      <c r="X100" s="30">
        <f>$I$49*$X$49</f>
        <v>-286008.35038522334</v>
      </c>
      <c r="Y100" s="30">
        <f>$I$49*$Y$49</f>
        <v>0</v>
      </c>
      <c r="Z100" s="30">
        <f>$I$49*$Z$49</f>
        <v>-1019656.6617713921</v>
      </c>
      <c r="AA100" s="30">
        <f>$I$49*$AA$49</f>
        <v>59075274.139610156</v>
      </c>
      <c r="AB100" s="30">
        <f>$I$49*$AB$49</f>
        <v>1541336.7875650702</v>
      </c>
      <c r="AC100" s="30">
        <f>$I$49*$AC$49</f>
        <v>927646.17783136293</v>
      </c>
      <c r="AD100" s="30">
        <f>$I$49*$AD$49</f>
        <v>0</v>
      </c>
      <c r="AE100" s="30">
        <f>$I$49*$AE$49</f>
        <v>0</v>
      </c>
      <c r="AF100" s="30">
        <f>$I$49*$AF$49</f>
        <v>1468061.5043010144</v>
      </c>
    </row>
    <row r="101" spans="1:32" ht="11.25" customHeight="1" x14ac:dyDescent="0.25">
      <c r="A101" s="9" t="s">
        <v>49</v>
      </c>
      <c r="B101" s="9" t="s">
        <v>1695</v>
      </c>
      <c r="C101" s="9" t="s">
        <v>1696</v>
      </c>
      <c r="D101" s="9" t="s">
        <v>1701</v>
      </c>
      <c r="E101" s="9" t="s">
        <v>1702</v>
      </c>
      <c r="F101" s="9" t="s">
        <v>1703</v>
      </c>
      <c r="G101" s="9" t="s">
        <v>1704</v>
      </c>
      <c r="L101" s="30">
        <f>$I$50*$L$50</f>
        <v>0</v>
      </c>
      <c r="M101" s="30">
        <f>$I$50*$M$50</f>
        <v>0</v>
      </c>
      <c r="N101" s="30">
        <f>$I$50*$N$50</f>
        <v>0</v>
      </c>
      <c r="O101" s="30">
        <f>$I$50*$O$50</f>
        <v>0</v>
      </c>
      <c r="P101" s="30">
        <f>$I$50*$P$50</f>
        <v>0</v>
      </c>
      <c r="Q101" s="30">
        <f>$I$50*$Q$50</f>
        <v>0</v>
      </c>
      <c r="R101" s="30">
        <f>$I$50*$R$50</f>
        <v>0</v>
      </c>
      <c r="S101" s="30">
        <f>$I$50*$S$50</f>
        <v>0</v>
      </c>
      <c r="T101" s="30">
        <f>$I$50*$T$50</f>
        <v>0</v>
      </c>
      <c r="U101" s="30">
        <f>$I$50*$U$50</f>
        <v>0</v>
      </c>
      <c r="W101" s="30">
        <f>$I$50*$W$50</f>
        <v>0</v>
      </c>
      <c r="X101" s="30">
        <f>$I$50*$X$50</f>
        <v>0</v>
      </c>
      <c r="Y101" s="30">
        <f>$I$50*$Y$50</f>
        <v>0</v>
      </c>
      <c r="Z101" s="30">
        <f>$I$50*$Z$50</f>
        <v>0</v>
      </c>
      <c r="AA101" s="30">
        <f>$I$50*$AA$50</f>
        <v>0</v>
      </c>
      <c r="AB101" s="30">
        <f>$I$50*$AB$50</f>
        <v>0</v>
      </c>
      <c r="AC101" s="30">
        <f>$I$50*$AC$50</f>
        <v>0</v>
      </c>
      <c r="AD101" s="30">
        <f>$I$50*$AD$50</f>
        <v>0</v>
      </c>
      <c r="AE101" s="30">
        <f>$I$50*$AE$50</f>
        <v>0</v>
      </c>
      <c r="AF101" s="30">
        <f>$I$50*$AF$50</f>
        <v>0</v>
      </c>
    </row>
  </sheetData>
  <mergeCells count="87">
    <mergeCell ref="L52:U52"/>
    <mergeCell ref="W52:AF52"/>
    <mergeCell ref="L53:U53"/>
    <mergeCell ref="W53:AF53"/>
    <mergeCell ref="L54:O54"/>
    <mergeCell ref="Q54:S54"/>
    <mergeCell ref="W54:Z54"/>
    <mergeCell ref="AB54:AD54"/>
    <mergeCell ref="E44:E46"/>
    <mergeCell ref="F44:F46"/>
    <mergeCell ref="A49:A50"/>
    <mergeCell ref="B49:B50"/>
    <mergeCell ref="C49:C50"/>
    <mergeCell ref="A44:A48"/>
    <mergeCell ref="B44:B46"/>
    <mergeCell ref="C44:C46"/>
    <mergeCell ref="D44:D46"/>
    <mergeCell ref="W1:AF1"/>
    <mergeCell ref="W2:AF2"/>
    <mergeCell ref="W3:Z3"/>
    <mergeCell ref="AB3:AD3"/>
    <mergeCell ref="B41:B43"/>
    <mergeCell ref="C41:C43"/>
    <mergeCell ref="F33:F35"/>
    <mergeCell ref="B37:B39"/>
    <mergeCell ref="C37:C39"/>
    <mergeCell ref="D37:D39"/>
    <mergeCell ref="E37:E39"/>
    <mergeCell ref="F37:F39"/>
    <mergeCell ref="F29:F31"/>
    <mergeCell ref="F16:F18"/>
    <mergeCell ref="F13:F14"/>
    <mergeCell ref="F10:F11"/>
    <mergeCell ref="A29:A43"/>
    <mergeCell ref="B29:B31"/>
    <mergeCell ref="C29:C31"/>
    <mergeCell ref="D29:D31"/>
    <mergeCell ref="E29:E31"/>
    <mergeCell ref="B33:B35"/>
    <mergeCell ref="C33:C35"/>
    <mergeCell ref="D33:D35"/>
    <mergeCell ref="E33:E35"/>
    <mergeCell ref="A16:A28"/>
    <mergeCell ref="B16:B18"/>
    <mergeCell ref="C16:C18"/>
    <mergeCell ref="D16:D18"/>
    <mergeCell ref="E16:E18"/>
    <mergeCell ref="B19:B23"/>
    <mergeCell ref="C19:C23"/>
    <mergeCell ref="B24:B28"/>
    <mergeCell ref="C24:C28"/>
    <mergeCell ref="A13:A15"/>
    <mergeCell ref="B13:B14"/>
    <mergeCell ref="C13:C14"/>
    <mergeCell ref="D13:D14"/>
    <mergeCell ref="E13:E14"/>
    <mergeCell ref="A10:A12"/>
    <mergeCell ref="B10:B11"/>
    <mergeCell ref="C10:C11"/>
    <mergeCell ref="D10:D11"/>
    <mergeCell ref="E10:E11"/>
    <mergeCell ref="F7:F8"/>
    <mergeCell ref="A5:A6"/>
    <mergeCell ref="B5:B6"/>
    <mergeCell ref="C5:C6"/>
    <mergeCell ref="D5:D6"/>
    <mergeCell ref="E5:E6"/>
    <mergeCell ref="F5:F6"/>
    <mergeCell ref="A7:A9"/>
    <mergeCell ref="B7:B8"/>
    <mergeCell ref="C7:C8"/>
    <mergeCell ref="D7:D8"/>
    <mergeCell ref="E7:E8"/>
    <mergeCell ref="G1:G4"/>
    <mergeCell ref="H1:H4"/>
    <mergeCell ref="I1:I4"/>
    <mergeCell ref="J1:J4"/>
    <mergeCell ref="L1:U1"/>
    <mergeCell ref="L2:U2"/>
    <mergeCell ref="L3:O3"/>
    <mergeCell ref="Q3:S3"/>
    <mergeCell ref="F1:F4"/>
    <mergeCell ref="A1:A4"/>
    <mergeCell ref="B1:B4"/>
    <mergeCell ref="C1:C4"/>
    <mergeCell ref="D1:D4"/>
    <mergeCell ref="E1:E4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93415-051A-478E-97D0-FB25A9D664C9}">
  <dimension ref="A1:AG15"/>
  <sheetViews>
    <sheetView showGridLines="0" workbookViewId="0">
      <selection activeCell="J15" sqref="J15"/>
    </sheetView>
  </sheetViews>
  <sheetFormatPr defaultRowHeight="11.25" x14ac:dyDescent="0.2"/>
  <cols>
    <col min="1" max="1" width="19.140625" style="16" bestFit="1" customWidth="1"/>
    <col min="2" max="2" width="10.5703125" style="16" bestFit="1" customWidth="1"/>
    <col min="3" max="3" width="10.28515625" style="16" bestFit="1" customWidth="1"/>
    <col min="4" max="4" width="10.85546875" style="16" bestFit="1" customWidth="1"/>
    <col min="5" max="6" width="10.28515625" style="16" bestFit="1" customWidth="1"/>
    <col min="7" max="7" width="11.7109375" style="16" bestFit="1" customWidth="1"/>
    <col min="8" max="8" width="10.85546875" style="16" bestFit="1" customWidth="1"/>
    <col min="9" max="9" width="8" style="16" bestFit="1" customWidth="1"/>
    <col min="10" max="10" width="11.7109375" style="16" bestFit="1" customWidth="1"/>
    <col min="11" max="11" width="10.85546875" style="16" bestFit="1" customWidth="1"/>
    <col min="12" max="12" width="10" style="16" bestFit="1" customWidth="1"/>
    <col min="13" max="13" width="9.7109375" style="16" bestFit="1" customWidth="1"/>
    <col min="14" max="14" width="6" style="16" bestFit="1" customWidth="1"/>
    <col min="15" max="15" width="7.42578125" style="16" bestFit="1" customWidth="1"/>
    <col min="16" max="16" width="9.7109375" style="16" bestFit="1" customWidth="1"/>
    <col min="17" max="17" width="11.7109375" style="16" bestFit="1" customWidth="1"/>
    <col min="18" max="18" width="7.7109375" style="16" bestFit="1" customWidth="1"/>
    <col min="19" max="19" width="7.140625" style="16" bestFit="1" customWidth="1"/>
    <col min="20" max="20" width="14.5703125" style="16" bestFit="1" customWidth="1"/>
    <col min="21" max="21" width="17.7109375" style="16" bestFit="1" customWidth="1"/>
    <col min="22" max="22" width="18.42578125" style="16" bestFit="1" customWidth="1"/>
    <col min="23" max="23" width="10.85546875" style="16" bestFit="1" customWidth="1"/>
    <col min="24" max="24" width="13.140625" style="16" bestFit="1" customWidth="1"/>
    <col min="25" max="26" width="9.140625" style="16"/>
    <col min="27" max="27" width="3.85546875" style="16" bestFit="1" customWidth="1"/>
    <col min="28" max="28" width="21.5703125" style="16" bestFit="1" customWidth="1"/>
    <col min="29" max="29" width="13.5703125" style="16" bestFit="1" customWidth="1"/>
    <col min="30" max="30" width="25.140625" style="16" bestFit="1" customWidth="1"/>
    <col min="31" max="31" width="10.28515625" style="16" bestFit="1" customWidth="1"/>
    <col min="32" max="32" width="13.7109375" style="16" bestFit="1" customWidth="1"/>
    <col min="33" max="33" width="10.28515625" style="16" bestFit="1" customWidth="1"/>
    <col min="34" max="16384" width="9.140625" style="16"/>
  </cols>
  <sheetData>
    <row r="1" spans="1:33" x14ac:dyDescent="0.2">
      <c r="A1" s="16" t="s">
        <v>78</v>
      </c>
      <c r="B1" s="16" t="s">
        <v>79</v>
      </c>
      <c r="C1" s="16" t="s">
        <v>80</v>
      </c>
      <c r="D1" s="16" t="s">
        <v>81</v>
      </c>
      <c r="E1" s="16" t="s">
        <v>82</v>
      </c>
      <c r="F1" s="16" t="s">
        <v>15</v>
      </c>
      <c r="G1" s="16" t="s">
        <v>84</v>
      </c>
      <c r="I1" s="16" t="s">
        <v>1712</v>
      </c>
      <c r="AA1" s="16" t="s">
        <v>43</v>
      </c>
      <c r="AB1" s="16" t="s">
        <v>25</v>
      </c>
      <c r="AC1" s="16" t="s">
        <v>25</v>
      </c>
      <c r="AD1" s="16" t="s">
        <v>25</v>
      </c>
      <c r="AE1" s="16" t="s">
        <v>25</v>
      </c>
      <c r="AF1" s="16" t="s">
        <v>25</v>
      </c>
      <c r="AG1" s="16" t="s">
        <v>25</v>
      </c>
    </row>
    <row r="2" spans="1:33" x14ac:dyDescent="0.2">
      <c r="A2" s="16" t="s">
        <v>43</v>
      </c>
      <c r="B2" s="16" t="s">
        <v>25</v>
      </c>
      <c r="C2" s="16" t="s">
        <v>25</v>
      </c>
      <c r="D2" s="16" t="s">
        <v>25</v>
      </c>
      <c r="E2" s="16" t="s">
        <v>25</v>
      </c>
      <c r="F2" s="16" t="s">
        <v>25</v>
      </c>
      <c r="G2" s="16" t="s">
        <v>25</v>
      </c>
      <c r="I2" s="16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A2</v>
      </c>
      <c r="AA2" s="16" t="s">
        <v>45</v>
      </c>
      <c r="AB2" s="16" t="s">
        <v>41</v>
      </c>
      <c r="AC2" s="16" t="s">
        <v>24</v>
      </c>
      <c r="AD2" s="16" t="s">
        <v>24</v>
      </c>
      <c r="AE2" s="16" t="s">
        <v>61</v>
      </c>
      <c r="AF2" s="16" t="s">
        <v>68</v>
      </c>
      <c r="AG2" s="16" t="s">
        <v>92</v>
      </c>
    </row>
    <row r="3" spans="1:33" x14ac:dyDescent="0.2">
      <c r="AA3" s="16" t="s">
        <v>33</v>
      </c>
      <c r="AB3" s="16" t="s">
        <v>67</v>
      </c>
      <c r="AC3" s="16" t="s">
        <v>47</v>
      </c>
      <c r="AD3" s="16" t="s">
        <v>29</v>
      </c>
      <c r="AE3" s="16" t="s">
        <v>98</v>
      </c>
      <c r="AF3" s="16" t="s">
        <v>70</v>
      </c>
      <c r="AG3" s="16" t="s">
        <v>93</v>
      </c>
    </row>
    <row r="4" spans="1:33" x14ac:dyDescent="0.2">
      <c r="AA4" s="16" t="s">
        <v>44</v>
      </c>
      <c r="AB4" s="16" t="s">
        <v>64</v>
      </c>
      <c r="AC4" s="16" t="s">
        <v>50</v>
      </c>
      <c r="AD4" s="16" t="s">
        <v>30</v>
      </c>
      <c r="AE4" s="16" t="s">
        <v>99</v>
      </c>
      <c r="AF4" s="16" t="s">
        <v>71</v>
      </c>
      <c r="AG4" s="16" t="s">
        <v>94</v>
      </c>
    </row>
    <row r="5" spans="1:33" x14ac:dyDescent="0.2">
      <c r="A5" s="16" t="s">
        <v>1705</v>
      </c>
      <c r="B5" s="16" t="str">
        <f>TUSD!$AI$4</f>
        <v>RGR</v>
      </c>
      <c r="C5" s="16" t="str">
        <f>TUSD!$AJ$4</f>
        <v>TFSEE</v>
      </c>
      <c r="D5" s="16" t="str">
        <f>TUSD!$AK$4</f>
        <v>P&amp;D</v>
      </c>
      <c r="E5" s="16" t="str">
        <f>TUSD!$AL$4</f>
        <v>ONS</v>
      </c>
      <c r="F5" s="16" t="str">
        <f>TUSD!$AM$4</f>
        <v>CCC</v>
      </c>
      <c r="G5" s="16" t="str">
        <f>TUSD!$AN$4</f>
        <v>CDE</v>
      </c>
      <c r="H5" s="16" t="str">
        <f>TUSD!$AO$4</f>
        <v>PROINFA</v>
      </c>
      <c r="I5" s="16" t="str">
        <f>TUSD!$AP$4</f>
        <v>LIMINAR 1</v>
      </c>
      <c r="J5" s="16" t="str">
        <f>TUSD!$AQ$4</f>
        <v>TUSD RB</v>
      </c>
      <c r="K5" s="16" t="str">
        <f>TUSD!$AR$4</f>
        <v>TUSD FR</v>
      </c>
      <c r="L5" s="16" t="str">
        <f>TUSD!$AS$4</f>
        <v>CONEXAO T</v>
      </c>
      <c r="M5" s="16" t="str">
        <f>TUSD!$AT$4</f>
        <v>CONEXAO D</v>
      </c>
      <c r="N5" s="16" t="str">
        <f>TUSD!$AU$4</f>
        <v>CUSD</v>
      </c>
      <c r="O5" s="16" t="str">
        <f>TUSD!$AV$4</f>
        <v>TUSDG-T</v>
      </c>
      <c r="P5" s="16" t="str">
        <f>TUSD!$AW$4</f>
        <v>TUSDG-ONS</v>
      </c>
      <c r="Q5" s="16" t="str">
        <f>TUSD!$AX$4</f>
        <v>DISTRIBUICAO</v>
      </c>
      <c r="R5" s="16" t="str">
        <f>TUSD!$AY$4</f>
        <v>SUBSIDIO</v>
      </c>
      <c r="S5" s="16" t="str">
        <f>TUSD!$AZ$4</f>
        <v>OUTROS</v>
      </c>
      <c r="T5" s="16" t="str">
        <f>TUSD!$BA$4</f>
        <v>PERDAS TECNICAS</v>
      </c>
      <c r="U5" s="16" t="str">
        <f>TUSD!$BB$4</f>
        <v>PERDAS RB/ PERDAS D</v>
      </c>
      <c r="V5" s="16" t="str">
        <f>TUSD!$BC$4</f>
        <v>PERDAS NAO TECNICAS</v>
      </c>
      <c r="W5" s="16" t="str">
        <f>TUSD!$BD$4</f>
        <v>RI</v>
      </c>
      <c r="X5" s="16" t="s">
        <v>994</v>
      </c>
      <c r="AA5" s="16" t="s">
        <v>97</v>
      </c>
      <c r="AB5" s="16" t="s">
        <v>34</v>
      </c>
      <c r="AD5" s="16" t="s">
        <v>31</v>
      </c>
      <c r="AF5" s="16" t="s">
        <v>95</v>
      </c>
      <c r="AG5" s="16" t="s">
        <v>9</v>
      </c>
    </row>
    <row r="6" spans="1:33" x14ac:dyDescent="0.2">
      <c r="A6" s="16" t="s">
        <v>1706</v>
      </c>
      <c r="B6" s="57">
        <f>SUM(TUSD!$AI$92:'TUSD'!$AI$173)</f>
        <v>0</v>
      </c>
      <c r="C6" s="57">
        <f>SUM(TUSD!$AJ$92:'TUSD'!$AJ$173)</f>
        <v>2139717.001404413</v>
      </c>
      <c r="D6" s="57">
        <f>SUM(TUSD!$AK$92:'TUSD'!$AK$173)</f>
        <v>10751533.298128529</v>
      </c>
      <c r="E6" s="57">
        <f>SUM(TUSD!$AL$92:'TUSD'!$AL$173)</f>
        <v>0</v>
      </c>
      <c r="F6" s="57">
        <f>SUM(TUSD!$AM$92:'TUSD'!$AM$173)</f>
        <v>0</v>
      </c>
      <c r="G6" s="57">
        <f>SUM(TUSD!$AN$92:'TUSD'!$AN$173)</f>
        <v>302902039.01339203</v>
      </c>
      <c r="H6" s="57">
        <f>SUM(TUSD!$AO$92:'TUSD'!$AO$173)</f>
        <v>59368072.511747316</v>
      </c>
      <c r="I6" s="57">
        <f>SUM(TUSD!$AP$92:'TUSD'!$AP$173)</f>
        <v>0</v>
      </c>
      <c r="J6" s="57">
        <f>SUM(TUSD!$AQ$92:'TUSD'!$AQ$173)</f>
        <v>155571190.01570544</v>
      </c>
      <c r="K6" s="57">
        <f>SUM(TUSD!$AR$92:'TUSD'!$AR$173)</f>
        <v>46060311.490849875</v>
      </c>
      <c r="L6" s="57">
        <f>SUM(TUSD!$AS$92:'TUSD'!$AS$173)</f>
        <v>5261562.1407099776</v>
      </c>
      <c r="M6" s="57">
        <f>SUM(TUSD!$AT$92:'TUSD'!$AT$173)</f>
        <v>0</v>
      </c>
      <c r="N6" s="57">
        <f>SUM(TUSD!$AU$92:'TUSD'!$AU$173)</f>
        <v>0</v>
      </c>
      <c r="O6" s="57">
        <f>SUM(TUSD!$AV$92:'TUSD'!$AV$173)</f>
        <v>0</v>
      </c>
      <c r="P6" s="57">
        <f>SUM(TUSD!$AW$92:'TUSD'!$AW$173)</f>
        <v>756392.20775155677</v>
      </c>
      <c r="Q6" s="57">
        <f>SUM(TUSD!$AX$92:'TUSD'!$AX$173)</f>
        <v>507766028.67530715</v>
      </c>
      <c r="R6" s="57">
        <f>SUM(TUSD!$AY$92:'TUSD'!$AY$173)</f>
        <v>0</v>
      </c>
      <c r="S6" s="57">
        <f>SUM(TUSD!$AZ$92:'TUSD'!$AZ$173)</f>
        <v>0</v>
      </c>
      <c r="T6" s="57">
        <f>SUM(TUSD!$BA$92:'TUSD'!$BA$173)</f>
        <v>131437451.06989406</v>
      </c>
      <c r="U6" s="57">
        <f>SUM(TUSD!$BB$92:'TUSD'!$BB$173)</f>
        <v>4919338.7660138123</v>
      </c>
      <c r="V6" s="57">
        <f>SUM(TUSD!$BC$92:'TUSD'!$BC$173)</f>
        <v>66786576.527002022</v>
      </c>
      <c r="W6" s="57">
        <f>SUM(TUSD!$BD$92:'TUSD'!$BD$173)</f>
        <v>13941351.488340983</v>
      </c>
      <c r="X6" s="57">
        <f t="shared" ref="X6:X11" si="0">SUM(B6:W6)</f>
        <v>1307661564.2062473</v>
      </c>
      <c r="AA6" s="16" t="s">
        <v>22</v>
      </c>
      <c r="AB6" s="16" t="s">
        <v>23</v>
      </c>
      <c r="AD6" s="16" t="s">
        <v>32</v>
      </c>
      <c r="AG6" s="16" t="s">
        <v>89</v>
      </c>
    </row>
    <row r="7" spans="1:33" x14ac:dyDescent="0.2">
      <c r="A7" s="16" t="s">
        <v>1707</v>
      </c>
      <c r="B7" s="57">
        <f>SUM(TUSD!$L$92:'TUSD'!$L$173)</f>
        <v>0</v>
      </c>
      <c r="C7" s="57">
        <f>SUM(TUSD!$M$92:'TUSD'!$M$173)</f>
        <v>2118034.2347350889</v>
      </c>
      <c r="D7" s="57">
        <f ca="1">SUM(TUSD!$N$92:'TUSD'!$N$173)</f>
        <v>10568727.094902068</v>
      </c>
      <c r="E7" s="57">
        <f>SUM(TUSD!$O$92:'TUSD'!$O$173)</f>
        <v>0</v>
      </c>
      <c r="F7" s="57">
        <f>SUM(TUSD!$P$92:'TUSD'!$P$173)</f>
        <v>0</v>
      </c>
      <c r="G7" s="57">
        <f>SUM(TUSD!$Q$92:'TUSD'!$Q$173)</f>
        <v>370171455.37757921</v>
      </c>
      <c r="H7" s="57">
        <f>SUM(TUSD!$R$92:'TUSD'!$R$173)</f>
        <v>40650097.830346175</v>
      </c>
      <c r="I7" s="57">
        <f>SUM(TUSD!$S$92:'TUSD'!$S$173)</f>
        <v>0</v>
      </c>
      <c r="J7" s="57">
        <f>SUM(TUSD!$T$92:'TUSD'!$T$173)</f>
        <v>246825594.73103181</v>
      </c>
      <c r="K7" s="57">
        <f>SUM(TUSD!$U$92:'TUSD'!$U$173)</f>
        <v>67889860.867106885</v>
      </c>
      <c r="L7" s="57">
        <f>SUM(TUSD!$V$92:'TUSD'!$V$173)</f>
        <v>8081137.252509214</v>
      </c>
      <c r="M7" s="57">
        <f>SUM(TUSD!$W$92:'TUSD'!$W$173)</f>
        <v>0</v>
      </c>
      <c r="N7" s="57">
        <f>SUM(TUSD!$X$92:'TUSD'!$X$173)</f>
        <v>0</v>
      </c>
      <c r="O7" s="57">
        <f>SUM(TUSD!$Y$92:'TUSD'!$Y$173)</f>
        <v>0</v>
      </c>
      <c r="P7" s="57">
        <f>SUM(TUSD!$Z$92:'TUSD'!$Z$173)</f>
        <v>912863.18727008544</v>
      </c>
      <c r="Q7" s="57">
        <f>SUM(TUSD!$AA$92:'TUSD'!$AA$173)</f>
        <v>524667655.84288675</v>
      </c>
      <c r="R7" s="57">
        <f ca="1">SUM(TUSD!$AB$92:'TUSD'!$AB$173)</f>
        <v>0</v>
      </c>
      <c r="S7" s="57">
        <f ca="1">SUM(TUSD!$AC$92:'TUSD'!$AC$173)</f>
        <v>0</v>
      </c>
      <c r="T7" s="57">
        <f>SUM(TUSD!$AD$92:'TUSD'!$AD$173)</f>
        <v>109213340.25228924</v>
      </c>
      <c r="U7" s="57">
        <f>SUM(TUSD!$AE$92:'TUSD'!$AE$173)</f>
        <v>4105133.2914622398</v>
      </c>
      <c r="V7" s="57">
        <f ca="1">SUM(TUSD!$AF$92:'TUSD'!$AF$173)</f>
        <v>56151580.465285115</v>
      </c>
      <c r="W7" s="57">
        <f ca="1">SUM(TUSD!$AG$92:'TUSD'!$AG$173)</f>
        <v>14432833.878017737</v>
      </c>
      <c r="X7" s="57">
        <f t="shared" ca="1" si="0"/>
        <v>1455788314.3054216</v>
      </c>
      <c r="AA7" s="16" t="s">
        <v>46</v>
      </c>
      <c r="AB7" s="16" t="s">
        <v>37</v>
      </c>
      <c r="AD7" s="16" t="s">
        <v>103</v>
      </c>
      <c r="AG7" s="16" t="s">
        <v>90</v>
      </c>
    </row>
    <row r="8" spans="1:33" x14ac:dyDescent="0.2">
      <c r="A8" s="16" t="s">
        <v>1710</v>
      </c>
      <c r="B8" s="57">
        <f>IF($G$2&lt;&gt;"Não se aplica",SUMIF(TUSD!$G$92:'TUSD'!$G$173,$I$2,TUSD!$AI$92:'TUSD'!$AI$173),IF($F$2&lt;&gt;"Não se aplica",SUMIF(TUSD!$F$92:'TUSD'!$F$173,$I$2,TUSD!$AI$92:'TUSD'!$AI$173),IF($E$2&lt;&gt;"Não se aplica",SUMIF(TUSD!$E$92:'TUSD'!$E$173,$I$2,TUSD!$AI$92:'TUSD'!$AI$173),IF($D$2&lt;&gt;"Não se aplica",SUMIF(TUSD!$D$92:'TUSD'!$D$173,$I$2,TUSD!$AI$92:'TUSD'!$AI$173),IF($C$2&lt;&gt;"Não se aplica",SUMIF(TUSD!$C$92:'TUSD'!$C$173,$I$2,TUSD!$AI$92:'TUSD'!$AI$173),IF($B$2&lt;&gt;"Não se aplica",SUMIF(TUSD!$B$92:'TUSD'!$B$173,$I$2,TUSD!$AI$92:'TUSD'!$AI$173),SUMIF(TUSD!$A$92:'TUSD'!$A$173,$I$2,TUSD!$AI$92:'TUSD'!$AI$173)))))))</f>
        <v>0</v>
      </c>
      <c r="C8" s="57">
        <f>IF($G$2&lt;&gt;"Não se aplica",SUMIF(TUSD!$G$92:'TUSD'!$G$173,$I$2,TUSD!$AJ$92:'TUSD'!$AJ$173),IF($F$2&lt;&gt;"Não se aplica",SUMIF(TUSD!$F$92:'TUSD'!$F$173,$I$2,TUSD!$AJ$92:'TUSD'!$AJ$173),IF($E$2&lt;&gt;"Não se aplica",SUMIF(TUSD!$E$92:'TUSD'!$E$173,$I$2,TUSD!$AJ$92:'TUSD'!$AJ$173),IF($D$2&lt;&gt;"Não se aplica",SUMIF(TUSD!$D$92:'TUSD'!$D$173,$I$2,TUSD!$AJ$92:'TUSD'!$AJ$173),IF($C$2&lt;&gt;"Não se aplica",SUMIF(TUSD!$C$92:'TUSD'!$C$173,$I$2,TUSD!$AJ$92:'TUSD'!$AJ$173),IF($B$2&lt;&gt;"Não se aplica",SUMIF(TUSD!$B$92:'TUSD'!$B$173,$I$2,TUSD!$AJ$92:'TUSD'!$AJ$173),SUMIF(TUSD!$A$92:'TUSD'!$A$173,$I$2,TUSD!$AJ$92:'TUSD'!$AJ$173)))))))</f>
        <v>183072.16854179083</v>
      </c>
      <c r="D8" s="57">
        <f>IF($G$2&lt;&gt;"Não se aplica",SUMIF(TUSD!$G$92:'TUSD'!$G$173,$I$2,TUSD!$AK$92:'TUSD'!$AK$173),IF($F$2&lt;&gt;"Não se aplica",SUMIF(TUSD!$F$92:'TUSD'!$F$173,$I$2,TUSD!$AK$92:'TUSD'!$AK$173),IF($E$2&lt;&gt;"Não se aplica",SUMIF(TUSD!$E$92:'TUSD'!$E$173,$I$2,TUSD!$AK$92:'TUSD'!$AK$173),IF($D$2&lt;&gt;"Não se aplica",SUMIF(TUSD!$D$92:'TUSD'!$D$173,$I$2,TUSD!$AK$92:'TUSD'!$AK$173),IF($C$2&lt;&gt;"Não se aplica",SUMIF(TUSD!$C$92:'TUSD'!$C$173,$I$2,TUSD!$AK$92:'TUSD'!$AK$173),IF($B$2&lt;&gt;"Não se aplica",SUMIF(TUSD!$B$92:'TUSD'!$B$173,$I$2,TUSD!$AK$92:'TUSD'!$AK$173),SUMIF(TUSD!$A$92:'TUSD'!$A$173,$I$2,TUSD!$AK$92:'TUSD'!$AK$173)))))))</f>
        <v>528849.21961964609</v>
      </c>
      <c r="E8" s="57">
        <f>IF($G$2&lt;&gt;"Não se aplica",SUMIF(TUSD!$G$92:'TUSD'!$G$173,$I$2,TUSD!$AL$92:'TUSD'!$AL$173),IF($F$2&lt;&gt;"Não se aplica",SUMIF(TUSD!$F$92:'TUSD'!$F$173,$I$2,TUSD!$AL$92:'TUSD'!$AL$173),IF($E$2&lt;&gt;"Não se aplica",SUMIF(TUSD!$E$92:'TUSD'!$E$173,$I$2,TUSD!$AL$92:'TUSD'!$AL$173),IF($D$2&lt;&gt;"Não se aplica",SUMIF(TUSD!$D$92:'TUSD'!$D$173,$I$2,TUSD!$AL$92:'TUSD'!$AL$173),IF($C$2&lt;&gt;"Não se aplica",SUMIF(TUSD!$C$92:'TUSD'!$C$173,$I$2,TUSD!$AL$92:'TUSD'!$AL$173),IF($B$2&lt;&gt;"Não se aplica",SUMIF(TUSD!$B$92:'TUSD'!$B$173,$I$2,TUSD!$AL$92:'TUSD'!$AL$173),SUMIF(TUSD!$A$92:'TUSD'!$A$173,$I$2,TUSD!$AL$92:'TUSD'!$AL$173)))))))</f>
        <v>0</v>
      </c>
      <c r="F8" s="57">
        <f>IF($G$2&lt;&gt;"Não se aplica",SUMIF(TUSD!$G$92:'TUSD'!$G$173,$I$2,TUSD!$AM$92:'TUSD'!$AM$173),IF($F$2&lt;&gt;"Não se aplica",SUMIF(TUSD!$F$92:'TUSD'!$F$173,$I$2,TUSD!$AM$92:'TUSD'!$AM$173),IF($E$2&lt;&gt;"Não se aplica",SUMIF(TUSD!$E$92:'TUSD'!$E$173,$I$2,TUSD!$AM$92:'TUSD'!$AM$173),IF($D$2&lt;&gt;"Não se aplica",SUMIF(TUSD!$D$92:'TUSD'!$D$173,$I$2,TUSD!$AM$92:'TUSD'!$AM$173),IF($C$2&lt;&gt;"Não se aplica",SUMIF(TUSD!$C$92:'TUSD'!$C$173,$I$2,TUSD!$AM$92:'TUSD'!$AM$173),IF($B$2&lt;&gt;"Não se aplica",SUMIF(TUSD!$B$92:'TUSD'!$B$173,$I$2,TUSD!$AM$92:'TUSD'!$AM$173),SUMIF(TUSD!$A$92:'TUSD'!$A$173,$I$2,TUSD!$AM$92:'TUSD'!$AM$173)))))))</f>
        <v>0</v>
      </c>
      <c r="G8" s="57">
        <f>IF($G$2&lt;&gt;"Não se aplica",SUMIF(TUSD!$G$92:'TUSD'!$G$173,$I$2,TUSD!$AN$92:'TUSD'!$AN$173),IF($F$2&lt;&gt;"Não se aplica",SUMIF(TUSD!$F$92:'TUSD'!$F$173,$I$2,TUSD!$AN$92:'TUSD'!$AN$173),IF($E$2&lt;&gt;"Não se aplica",SUMIF(TUSD!$E$92:'TUSD'!$E$173,$I$2,TUSD!$AN$92:'TUSD'!$AN$173),IF($D$2&lt;&gt;"Não se aplica",SUMIF(TUSD!$D$92:'TUSD'!$D$173,$I$2,TUSD!$AN$92:'TUSD'!$AN$173),IF($C$2&lt;&gt;"Não se aplica",SUMIF(TUSD!$C$92:'TUSD'!$C$173,$I$2,TUSD!$AN$92:'TUSD'!$AN$173),IF($B$2&lt;&gt;"Não se aplica",SUMIF(TUSD!$B$92:'TUSD'!$B$173,$I$2,TUSD!$AN$92:'TUSD'!$AN$173),SUMIF(TUSD!$A$92:'TUSD'!$A$173,$I$2,TUSD!$AN$92:'TUSD'!$AN$173)))))))</f>
        <v>16203885.887717681</v>
      </c>
      <c r="H8" s="57">
        <f>IF($G$2&lt;&gt;"Não se aplica",SUMIF(TUSD!$G$92:'TUSD'!$G$173,$I$2,TUSD!$AO$92:'TUSD'!$AO$173),IF($F$2&lt;&gt;"Não se aplica",SUMIF(TUSD!$F$92:'TUSD'!$F$173,$I$2,TUSD!$AO$92:'TUSD'!$AO$173),IF($E$2&lt;&gt;"Não se aplica",SUMIF(TUSD!$E$92:'TUSD'!$E$173,$I$2,TUSD!$AO$92:'TUSD'!$AO$173),IF($D$2&lt;&gt;"Não se aplica",SUMIF(TUSD!$D$92:'TUSD'!$D$173,$I$2,TUSD!$AO$92:'TUSD'!$AO$173),IF($C$2&lt;&gt;"Não se aplica",SUMIF(TUSD!$C$92:'TUSD'!$C$173,$I$2,TUSD!$AO$92:'TUSD'!$AO$173),IF($B$2&lt;&gt;"Não se aplica",SUMIF(TUSD!$B$92:'TUSD'!$B$173,$I$2,TUSD!$AO$92:'TUSD'!$AO$173),SUMIF(TUSD!$A$92:'TUSD'!$A$173,$I$2,TUSD!$AO$92:'TUSD'!$AO$173)))))))</f>
        <v>3891529.7103678114</v>
      </c>
      <c r="I8" s="57">
        <f>IF($G$2&lt;&gt;"Não se aplica",SUMIF(TUSD!$G$92:'TUSD'!$G$173,$I$2,TUSD!$AP$92:'TUSD'!$AP$173),IF($F$2&lt;&gt;"Não se aplica",SUMIF(TUSD!$F$92:'TUSD'!$F$173,$I$2,TUSD!$AP$92:'TUSD'!$AP$173),IF($E$2&lt;&gt;"Não se aplica",SUMIF(TUSD!$E$92:'TUSD'!$E$173,$I$2,TUSD!$AP$92:'TUSD'!$AP$173),IF($D$2&lt;&gt;"Não se aplica",SUMIF(TUSD!$D$92:'TUSD'!$D$173,$I$2,TUSD!$AP$92:'TUSD'!$AP$173),IF($C$2&lt;&gt;"Não se aplica",SUMIF(TUSD!$C$92:'TUSD'!$C$173,$I$2,TUSD!$AP$92:'TUSD'!$AP$173),IF($B$2&lt;&gt;"Não se aplica",SUMIF(TUSD!$B$92:'TUSD'!$B$173,$I$2,TUSD!$AP$92:'TUSD'!$AP$173),SUMIF(TUSD!$A$92:'TUSD'!$A$173,$I$2,TUSD!$AP$92:'TUSD'!$AP$173)))))))</f>
        <v>0</v>
      </c>
      <c r="J8" s="57">
        <f>IF($G$2&lt;&gt;"Não se aplica",SUMIF(TUSD!$G$92:'TUSD'!$G$173,$I$2,TUSD!$AQ$92:'TUSD'!$AQ$173),IF($F$2&lt;&gt;"Não se aplica",SUMIF(TUSD!$F$92:'TUSD'!$F$173,$I$2,TUSD!$AQ$92:'TUSD'!$AQ$173),IF($E$2&lt;&gt;"Não se aplica",SUMIF(TUSD!$E$92:'TUSD'!$E$173,$I$2,TUSD!$AQ$92:'TUSD'!$AQ$173),IF($D$2&lt;&gt;"Não se aplica",SUMIF(TUSD!$D$92:'TUSD'!$D$173,$I$2,TUSD!$AQ$92:'TUSD'!$AQ$173),IF($C$2&lt;&gt;"Não se aplica",SUMIF(TUSD!$C$92:'TUSD'!$C$173,$I$2,TUSD!$AQ$92:'TUSD'!$AQ$173),IF($B$2&lt;&gt;"Não se aplica",SUMIF(TUSD!$B$92:'TUSD'!$B$173,$I$2,TUSD!$AQ$92:'TUSD'!$AQ$173),SUMIF(TUSD!$A$92:'TUSD'!$A$173,$I$2,TUSD!$AQ$92:'TUSD'!$AQ$173)))))))</f>
        <v>12915895.156589577</v>
      </c>
      <c r="K8" s="57">
        <f>IF($G$2&lt;&gt;"Não se aplica",SUMIF(TUSD!$G$92:'TUSD'!$G$173,$I$2,TUSD!$AR$92:'TUSD'!$AR$173),IF($F$2&lt;&gt;"Não se aplica",SUMIF(TUSD!$F$92:'TUSD'!$F$173,$I$2,TUSD!$AR$92:'TUSD'!$AR$173),IF($E$2&lt;&gt;"Não se aplica",SUMIF(TUSD!$E$92:'TUSD'!$E$173,$I$2,TUSD!$AR$92:'TUSD'!$AR$173),IF($D$2&lt;&gt;"Não se aplica",SUMIF(TUSD!$D$92:'TUSD'!$D$173,$I$2,TUSD!$AR$92:'TUSD'!$AR$173),IF($C$2&lt;&gt;"Não se aplica",SUMIF(TUSD!$C$92:'TUSD'!$C$173,$I$2,TUSD!$AR$92:'TUSD'!$AR$173),IF($B$2&lt;&gt;"Não se aplica",SUMIF(TUSD!$B$92:'TUSD'!$B$173,$I$2,TUSD!$AR$92:'TUSD'!$AR$173),SUMIF(TUSD!$A$92:'TUSD'!$A$173,$I$2,TUSD!$AR$92:'TUSD'!$AR$173)))))))</f>
        <v>4627843.0981263705</v>
      </c>
      <c r="L8" s="57">
        <f>IF($G$2&lt;&gt;"Não se aplica",SUMIF(TUSD!$G$92:'TUSD'!$G$173,$I$2,TUSD!$AS$92:'TUSD'!$AS$173),IF($F$2&lt;&gt;"Não se aplica",SUMIF(TUSD!$F$92:'TUSD'!$F$173,$I$2,TUSD!$AS$92:'TUSD'!$AS$173),IF($E$2&lt;&gt;"Não se aplica",SUMIF(TUSD!$E$92:'TUSD'!$E$173,$I$2,TUSD!$AS$92:'TUSD'!$AS$173),IF($D$2&lt;&gt;"Não se aplica",SUMIF(TUSD!$D$92:'TUSD'!$D$173,$I$2,TUSD!$AS$92:'TUSD'!$AS$173),IF($C$2&lt;&gt;"Não se aplica",SUMIF(TUSD!$C$92:'TUSD'!$C$173,$I$2,TUSD!$AS$92:'TUSD'!$AS$173),IF($B$2&lt;&gt;"Não se aplica",SUMIF(TUSD!$B$92:'TUSD'!$B$173,$I$2,TUSD!$AS$92:'TUSD'!$AS$173),SUMIF(TUSD!$A$92:'TUSD'!$A$173,$I$2,TUSD!$AS$92:'TUSD'!$AS$173)))))))</f>
        <v>469583.89977959718</v>
      </c>
      <c r="M8" s="57">
        <f>IF($G$2&lt;&gt;"Não se aplica",SUMIF(TUSD!$G$92:'TUSD'!$G$173,$I$2,TUSD!$AT$92:'TUSD'!$AT$173),IF($F$2&lt;&gt;"Não se aplica",SUMIF(TUSD!$F$92:'TUSD'!$F$173,$I$2,TUSD!$AT$92:'TUSD'!$AT$173),IF($E$2&lt;&gt;"Não se aplica",SUMIF(TUSD!$E$92:'TUSD'!$E$173,$I$2,TUSD!$AT$92:'TUSD'!$AT$173),IF($D$2&lt;&gt;"Não se aplica",SUMIF(TUSD!$D$92:'TUSD'!$D$173,$I$2,TUSD!$AT$92:'TUSD'!$AT$173),IF($C$2&lt;&gt;"Não se aplica",SUMIF(TUSD!$C$92:'TUSD'!$C$173,$I$2,TUSD!$AT$92:'TUSD'!$AT$173),IF($B$2&lt;&gt;"Não se aplica",SUMIF(TUSD!$B$92:'TUSD'!$B$173,$I$2,TUSD!$AT$92:'TUSD'!$AT$173),SUMIF(TUSD!$A$92:'TUSD'!$A$173,$I$2,TUSD!$AT$92:'TUSD'!$AT$173)))))))</f>
        <v>0</v>
      </c>
      <c r="N8" s="57">
        <f>IF($G$2&lt;&gt;"Não se aplica",SUMIF(TUSD!$G$92:'TUSD'!$G$173,$I$2,TUSD!$AU$92:'TUSD'!$AU$173),IF($F$2&lt;&gt;"Não se aplica",SUMIF(TUSD!$F$92:'TUSD'!$F$173,$I$2,TUSD!$AU$92:'TUSD'!$AU$173),IF($E$2&lt;&gt;"Não se aplica",SUMIF(TUSD!$E$92:'TUSD'!$E$173,$I$2,TUSD!$AU$92:'TUSD'!$AU$173),IF($D$2&lt;&gt;"Não se aplica",SUMIF(TUSD!$D$92:'TUSD'!$D$173,$I$2,TUSD!$AU$92:'TUSD'!$AU$173),IF($C$2&lt;&gt;"Não se aplica",SUMIF(TUSD!$C$92:'TUSD'!$C$173,$I$2,TUSD!$AU$92:'TUSD'!$AU$173),IF($B$2&lt;&gt;"Não se aplica",SUMIF(TUSD!$B$92:'TUSD'!$B$173,$I$2,TUSD!$AU$92:'TUSD'!$AU$173),SUMIF(TUSD!$A$92:'TUSD'!$A$173,$I$2,TUSD!$AU$92:'TUSD'!$AU$173)))))))</f>
        <v>0</v>
      </c>
      <c r="O8" s="57">
        <f>IF($G$2&lt;&gt;"Não se aplica",SUMIF(TUSD!$G$92:'TUSD'!$G$173,$I$2,TUSD!$AV$92:'TUSD'!$AV$173),IF($F$2&lt;&gt;"Não se aplica",SUMIF(TUSD!$F$92:'TUSD'!$F$173,$I$2,TUSD!$AV$92:'TUSD'!$AV$173),IF($E$2&lt;&gt;"Não se aplica",SUMIF(TUSD!$E$92:'TUSD'!$E$173,$I$2,TUSD!$AV$92:'TUSD'!$AV$173),IF($D$2&lt;&gt;"Não se aplica",SUMIF(TUSD!$D$92:'TUSD'!$D$173,$I$2,TUSD!$AV$92:'TUSD'!$AV$173),IF($C$2&lt;&gt;"Não se aplica",SUMIF(TUSD!$C$92:'TUSD'!$C$173,$I$2,TUSD!$AV$92:'TUSD'!$AV$173),IF($B$2&lt;&gt;"Não se aplica",SUMIF(TUSD!$B$92:'TUSD'!$B$173,$I$2,TUSD!$AV$92:'TUSD'!$AV$173),SUMIF(TUSD!$A$92:'TUSD'!$A$173,$I$2,TUSD!$AV$92:'TUSD'!$AV$173)))))))</f>
        <v>0</v>
      </c>
      <c r="P8" s="57">
        <f>IF($G$2&lt;&gt;"Não se aplica",SUMIF(TUSD!$G$92:'TUSD'!$G$173,$I$2,TUSD!$AW$92:'TUSD'!$AW$173),IF($F$2&lt;&gt;"Não se aplica",SUMIF(TUSD!$F$92:'TUSD'!$F$173,$I$2,TUSD!$AW$92:'TUSD'!$AW$173),IF($E$2&lt;&gt;"Não se aplica",SUMIF(TUSD!$E$92:'TUSD'!$E$173,$I$2,TUSD!$AW$92:'TUSD'!$AW$173),IF($D$2&lt;&gt;"Não se aplica",SUMIF(TUSD!$D$92:'TUSD'!$D$173,$I$2,TUSD!$AW$92:'TUSD'!$AW$173),IF($C$2&lt;&gt;"Não se aplica",SUMIF(TUSD!$C$92:'TUSD'!$C$173,$I$2,TUSD!$AW$92:'TUSD'!$AW$173),IF($B$2&lt;&gt;"Não se aplica",SUMIF(TUSD!$B$92:'TUSD'!$B$173,$I$2,TUSD!$AW$92:'TUSD'!$AW$173),SUMIF(TUSD!$A$92:'TUSD'!$A$173,$I$2,TUSD!$AW$92:'TUSD'!$AW$173)))))))</f>
        <v>756392.20775155677</v>
      </c>
      <c r="Q8" s="57">
        <f>IF($G$2&lt;&gt;"Não se aplica",SUMIF(TUSD!$G$92:'TUSD'!$G$173,$I$2,TUSD!$AX$92:'TUSD'!$AX$173),IF($F$2&lt;&gt;"Não se aplica",SUMIF(TUSD!$F$92:'TUSD'!$F$173,$I$2,TUSD!$AX$92:'TUSD'!$AX$173),IF($E$2&lt;&gt;"Não se aplica",SUMIF(TUSD!$E$92:'TUSD'!$E$173,$I$2,TUSD!$AX$92:'TUSD'!$AX$173),IF($D$2&lt;&gt;"Não se aplica",SUMIF(TUSD!$D$92:'TUSD'!$D$173,$I$2,TUSD!$AX$92:'TUSD'!$AX$173),IF($C$2&lt;&gt;"Não se aplica",SUMIF(TUSD!$C$92:'TUSD'!$C$173,$I$2,TUSD!$AX$92:'TUSD'!$AX$173),IF($B$2&lt;&gt;"Não se aplica",SUMIF(TUSD!$B$92:'TUSD'!$B$173,$I$2,TUSD!$AX$92:'TUSD'!$AX$173),SUMIF(TUSD!$A$92:'TUSD'!$A$173,$I$2,TUSD!$AX$92:'TUSD'!$AX$173)))))))</f>
        <v>8246546.3693651697</v>
      </c>
      <c r="R8" s="57">
        <f>IF($G$2&lt;&gt;"Não se aplica",SUMIF(TUSD!$G$92:'TUSD'!$G$173,$I$2,TUSD!$AY$92:'TUSD'!$AY$173),IF($F$2&lt;&gt;"Não se aplica",SUMIF(TUSD!$F$92:'TUSD'!$F$173,$I$2,TUSD!$AY$92:'TUSD'!$AY$173),IF($E$2&lt;&gt;"Não se aplica",SUMIF(TUSD!$E$92:'TUSD'!$E$173,$I$2,TUSD!$AY$92:'TUSD'!$AY$173),IF($D$2&lt;&gt;"Não se aplica",SUMIF(TUSD!$D$92:'TUSD'!$D$173,$I$2,TUSD!$AY$92:'TUSD'!$AY$173),IF($C$2&lt;&gt;"Não se aplica",SUMIF(TUSD!$C$92:'TUSD'!$C$173,$I$2,TUSD!$AY$92:'TUSD'!$AY$173),IF($B$2&lt;&gt;"Não se aplica",SUMIF(TUSD!$B$92:'TUSD'!$B$173,$I$2,TUSD!$AY$92:'TUSD'!$AY$173),SUMIF(TUSD!$A$92:'TUSD'!$A$173,$I$2,TUSD!$AY$92:'TUSD'!$AY$173)))))))</f>
        <v>0</v>
      </c>
      <c r="S8" s="57">
        <f>IF($G$2&lt;&gt;"Não se aplica",SUMIF(TUSD!$G$92:'TUSD'!$G$173,$I$2,TUSD!$AZ$92:'TUSD'!$AZ$173),IF($F$2&lt;&gt;"Não se aplica",SUMIF(TUSD!$F$92:'TUSD'!$F$173,$I$2,TUSD!$AZ$92:'TUSD'!$AZ$173),IF($E$2&lt;&gt;"Não se aplica",SUMIF(TUSD!$E$92:'TUSD'!$E$173,$I$2,TUSD!$AZ$92:'TUSD'!$AZ$173),IF($D$2&lt;&gt;"Não se aplica",SUMIF(TUSD!$D$92:'TUSD'!$D$173,$I$2,TUSD!$AZ$92:'TUSD'!$AZ$173),IF($C$2&lt;&gt;"Não se aplica",SUMIF(TUSD!$C$92:'TUSD'!$C$173,$I$2,TUSD!$AZ$92:'TUSD'!$AZ$173),IF($B$2&lt;&gt;"Não se aplica",SUMIF(TUSD!$B$92:'TUSD'!$B$173,$I$2,TUSD!$AZ$92:'TUSD'!$AZ$173),SUMIF(TUSD!$A$92:'TUSD'!$A$173,$I$2,TUSD!$AZ$92:'TUSD'!$AZ$173)))))))</f>
        <v>0</v>
      </c>
      <c r="T8" s="57">
        <f>IF($G$2&lt;&gt;"Não se aplica",SUMIF(TUSD!$G$92:'TUSD'!$G$173,$I$2,TUSD!$BA$92:'TUSD'!$BA$173),IF($F$2&lt;&gt;"Não se aplica",SUMIF(TUSD!$F$92:'TUSD'!$F$173,$I$2,TUSD!$BA$92:'TUSD'!$BA$173),IF($E$2&lt;&gt;"Não se aplica",SUMIF(TUSD!$E$92:'TUSD'!$E$173,$I$2,TUSD!$BA$92:'TUSD'!$BA$173),IF($D$2&lt;&gt;"Não se aplica",SUMIF(TUSD!$D$92:'TUSD'!$D$173,$I$2,TUSD!$BA$92:'TUSD'!$BA$173),IF($C$2&lt;&gt;"Não se aplica",SUMIF(TUSD!$C$92:'TUSD'!$C$173,$I$2,TUSD!$BA$92:'TUSD'!$BA$173),IF($B$2&lt;&gt;"Não se aplica",SUMIF(TUSD!$B$92:'TUSD'!$B$173,$I$2,TUSD!$BA$92:'TUSD'!$BA$173),SUMIF(TUSD!$A$92:'TUSD'!$A$173,$I$2,TUSD!$BA$92:'TUSD'!$BA$173)))))))</f>
        <v>3295934.9921590132</v>
      </c>
      <c r="U8" s="57">
        <f>IF($G$2&lt;&gt;"Não se aplica",SUMIF(TUSD!$G$92:'TUSD'!$G$173,$I$2,TUSD!$BB$92:'TUSD'!$BB$173),IF($F$2&lt;&gt;"Não se aplica",SUMIF(TUSD!$F$92:'TUSD'!$F$173,$I$2,TUSD!$BB$92:'TUSD'!$BB$173),IF($E$2&lt;&gt;"Não se aplica",SUMIF(TUSD!$E$92:'TUSD'!$E$173,$I$2,TUSD!$BB$92:'TUSD'!$BB$173),IF($D$2&lt;&gt;"Não se aplica",SUMIF(TUSD!$D$92:'TUSD'!$D$173,$I$2,TUSD!$BB$92:'TUSD'!$BB$173),IF($C$2&lt;&gt;"Não se aplica",SUMIF(TUSD!$C$92:'TUSD'!$C$173,$I$2,TUSD!$BB$92:'TUSD'!$BB$173),IF($B$2&lt;&gt;"Não se aplica",SUMIF(TUSD!$B$92:'TUSD'!$B$173,$I$2,TUSD!$BB$92:'TUSD'!$BB$173),SUMIF(TUSD!$A$92:'TUSD'!$A$173,$I$2,TUSD!$BB$92:'TUSD'!$BB$173)))))))</f>
        <v>123358.15871836201</v>
      </c>
      <c r="V8" s="57">
        <f>IF($G$2&lt;&gt;"Não se aplica",SUMIF(TUSD!$G$92:'TUSD'!$G$173,$I$2,TUSD!$BC$92:'TUSD'!$BC$173),IF($F$2&lt;&gt;"Não se aplica",SUMIF(TUSD!$F$92:'TUSD'!$F$173,$I$2,TUSD!$BC$92:'TUSD'!$BC$173),IF($E$2&lt;&gt;"Não se aplica",SUMIF(TUSD!$E$92:'TUSD'!$E$173,$I$2,TUSD!$BC$92:'TUSD'!$BC$173),IF($D$2&lt;&gt;"Não se aplica",SUMIF(TUSD!$D$92:'TUSD'!$D$173,$I$2,TUSD!$BC$92:'TUSD'!$BC$173),IF($C$2&lt;&gt;"Não se aplica",SUMIF(TUSD!$C$92:'TUSD'!$C$173,$I$2,TUSD!$BC$92:'TUSD'!$BC$173),IF($B$2&lt;&gt;"Não se aplica",SUMIF(TUSD!$B$92:'TUSD'!$B$173,$I$2,TUSD!$BC$92:'TUSD'!$BC$173),SUMIF(TUSD!$A$92:'TUSD'!$A$173,$I$2,TUSD!$BC$92:'TUSD'!$BC$173)))))))</f>
        <v>1878021.3254689032</v>
      </c>
      <c r="W8" s="57">
        <f>IF($G$2&lt;&gt;"Não se aplica",SUMIF(TUSD!$G$92:'TUSD'!$G$173,$I$2,TUSD!$BD$92:'TUSD'!$BD$173),IF($F$2&lt;&gt;"Não se aplica",SUMIF(TUSD!$F$92:'TUSD'!$F$173,$I$2,TUSD!$BD$92:'TUSD'!$BD$173),IF($E$2&lt;&gt;"Não se aplica",SUMIF(TUSD!$E$92:'TUSD'!$E$173,$I$2,TUSD!$BD$92:'TUSD'!$BD$173),IF($D$2&lt;&gt;"Não se aplica",SUMIF(TUSD!$D$92:'TUSD'!$D$173,$I$2,TUSD!$BD$92:'TUSD'!$BD$173),IF($C$2&lt;&gt;"Não se aplica",SUMIF(TUSD!$C$92:'TUSD'!$C$173,$I$2,TUSD!$BD$92:'TUSD'!$BD$173),IF($B$2&lt;&gt;"Não se aplica",SUMIF(TUSD!$B$92:'TUSD'!$B$173,$I$2,TUSD!$BD$92:'TUSD'!$BD$173),SUMIF(TUSD!$A$92:'TUSD'!$A$173,$I$2,TUSD!$BD$92:'TUSD'!$BD$173)))))))</f>
        <v>392027.21209068701</v>
      </c>
      <c r="X8" s="57">
        <f t="shared" si="0"/>
        <v>53512939.406296171</v>
      </c>
      <c r="AA8" s="16" t="s">
        <v>39</v>
      </c>
      <c r="AB8" s="16" t="s">
        <v>102</v>
      </c>
      <c r="AD8" s="16" t="s">
        <v>104</v>
      </c>
      <c r="AG8" s="16" t="s">
        <v>100</v>
      </c>
    </row>
    <row r="9" spans="1:33" x14ac:dyDescent="0.2">
      <c r="A9" s="16" t="s">
        <v>1711</v>
      </c>
      <c r="B9" s="57">
        <f>IF($G$2&lt;&gt;"Não se aplica",SUMIF(TUSD!$G$92:'TUSD'!$G$173,$I$2,TUSD!$L$92:'TUSD'!$L$173),IF($F$2&lt;&gt;"Não se aplica",SUMIF(TUSD!$F$92:'TUSD'!$F$173,$I$2,TUSD!$L$92:'TUSD'!$L$173),IF($E$2&lt;&gt;"Não se aplica",SUMIF(TUSD!$E$92:'TUSD'!$E$173,$I$2,TUSD!$L$92:'TUSD'!$L$173),IF($D$2&lt;&gt;"Não se aplica",SUMIF(TUSD!$D$92:'TUSD'!$D$173,$I$2,TUSD!$L$92:'TUSD'!$L$173),IF($C$2&lt;&gt;"Não se aplica",SUMIF(TUSD!$C$92:'TUSD'!$C$173,$I$2,TUSD!$L$92:'TUSD'!$L$173),IF($B$2&lt;&gt;"Não se aplica",SUMIF(TUSD!$B$92:'TUSD'!$B$173,$I$2,TUSD!$L$92:'TUSD'!$L$173),SUMIF(TUSD!$A$92:'TUSD'!$A$173,$I$2,TUSD!$L$92:'TUSD'!$L$173)))))))</f>
        <v>0</v>
      </c>
      <c r="C9" s="57">
        <f>IF($G$2&lt;&gt;"Não se aplica",SUMIF(TUSD!$G$92:'TUSD'!$G$173,$I$2,TUSD!$M$92:'TUSD'!$M$173),IF($F$2&lt;&gt;"Não se aplica",SUMIF(TUSD!$F$92:'TUSD'!$F$173,$I$2,TUSD!$M$92:'TUSD'!$M$173),IF($E$2&lt;&gt;"Não se aplica",SUMIF(TUSD!$E$92:'TUSD'!$E$173,$I$2,TUSD!$M$92:'TUSD'!$M$173),IF($D$2&lt;&gt;"Não se aplica",SUMIF(TUSD!$D$92:'TUSD'!$D$173,$I$2,TUSD!$M$92:'TUSD'!$M$173),IF($C$2&lt;&gt;"Não se aplica",SUMIF(TUSD!$C$92:'TUSD'!$C$173,$I$2,TUSD!$M$92:'TUSD'!$M$173),IF($B$2&lt;&gt;"Não se aplica",SUMIF(TUSD!$B$92:'TUSD'!$B$173,$I$2,TUSD!$M$92:'TUSD'!$M$173),SUMIF(TUSD!$A$92:'TUSD'!$A$173,$I$2,TUSD!$M$92:'TUSD'!$M$173)))))))</f>
        <v>200776.61051448263</v>
      </c>
      <c r="D9" s="57">
        <f ca="1">IF($G$2&lt;&gt;"Não se aplica",SUMIF(TUSD!$G$92:'TUSD'!$G$173,$I$2,TUSD!$N$92:'TUSD'!$N$173),IF($F$2&lt;&gt;"Não se aplica",SUMIF(TUSD!$F$92:'TUSD'!$F$173,$I$2,TUSD!$N$92:'TUSD'!$N$173),IF($E$2&lt;&gt;"Não se aplica",SUMIF(TUSD!$E$92:'TUSD'!$E$173,$I$2,TUSD!$N$92:'TUSD'!$N$173),IF($D$2&lt;&gt;"Não se aplica",SUMIF(TUSD!$D$92:'TUSD'!$D$173,$I$2,TUSD!$N$92:'TUSD'!$N$173),IF($C$2&lt;&gt;"Não se aplica",SUMIF(TUSD!$C$92:'TUSD'!$C$173,$I$2,TUSD!$N$92:'TUSD'!$N$173),IF($B$2&lt;&gt;"Não se aplica",SUMIF(TUSD!$B$92:'TUSD'!$B$173,$I$2,TUSD!$N$92:'TUSD'!$N$173),SUMIF(TUSD!$A$92:'TUSD'!$A$173,$I$2,TUSD!$N$92:'TUSD'!$N$173)))))))</f>
        <v>604722.40186507872</v>
      </c>
      <c r="E9" s="57">
        <f>IF($G$2&lt;&gt;"Não se aplica",SUMIF(TUSD!$G$92:'TUSD'!$G$173,$I$2,TUSD!$O$92:'TUSD'!$O$173),IF($F$2&lt;&gt;"Não se aplica",SUMIF(TUSD!$F$92:'TUSD'!$F$173,$I$2,TUSD!$O$92:'TUSD'!$O$173),IF($E$2&lt;&gt;"Não se aplica",SUMIF(TUSD!$E$92:'TUSD'!$E$173,$I$2,TUSD!$O$92:'TUSD'!$O$173),IF($D$2&lt;&gt;"Não se aplica",SUMIF(TUSD!$D$92:'TUSD'!$D$173,$I$2,TUSD!$O$92:'TUSD'!$O$173),IF($C$2&lt;&gt;"Não se aplica",SUMIF(TUSD!$C$92:'TUSD'!$C$173,$I$2,TUSD!$O$92:'TUSD'!$O$173),IF($B$2&lt;&gt;"Não se aplica",SUMIF(TUSD!$B$92:'TUSD'!$B$173,$I$2,TUSD!$O$92:'TUSD'!$O$173),SUMIF(TUSD!$A$92:'TUSD'!$A$173,$I$2,TUSD!$O$92:'TUSD'!$O$173)))))))</f>
        <v>0</v>
      </c>
      <c r="F9" s="57">
        <f>IF($G$2&lt;&gt;"Não se aplica",SUMIF(TUSD!$G$92:'TUSD'!$G$173,$I$2,TUSD!$P$92:'TUSD'!$P$173),IF($F$2&lt;&gt;"Não se aplica",SUMIF(TUSD!$F$92:'TUSD'!$F$173,$I$2,TUSD!$P$92:'TUSD'!$P$173),IF($E$2&lt;&gt;"Não se aplica",SUMIF(TUSD!$E$92:'TUSD'!$E$173,$I$2,TUSD!$P$92:'TUSD'!$P$173),IF($D$2&lt;&gt;"Não se aplica",SUMIF(TUSD!$D$92:'TUSD'!$D$173,$I$2,TUSD!$P$92:'TUSD'!$P$173),IF($C$2&lt;&gt;"Não se aplica",SUMIF(TUSD!$C$92:'TUSD'!$C$173,$I$2,TUSD!$P$92:'TUSD'!$P$173),IF($B$2&lt;&gt;"Não se aplica",SUMIF(TUSD!$B$92:'TUSD'!$B$173,$I$2,TUSD!$P$92:'TUSD'!$P$173),SUMIF(TUSD!$A$92:'TUSD'!$A$173,$I$2,TUSD!$P$92:'TUSD'!$P$173)))))))</f>
        <v>0</v>
      </c>
      <c r="G9" s="57">
        <f>IF($G$2&lt;&gt;"Não se aplica",SUMIF(TUSD!$G$92:'TUSD'!$G$173,$I$2,TUSD!$Q$92:'TUSD'!$Q$173),IF($F$2&lt;&gt;"Não se aplica",SUMIF(TUSD!$F$92:'TUSD'!$F$173,$I$2,TUSD!$Q$92:'TUSD'!$Q$173),IF($E$2&lt;&gt;"Não se aplica",SUMIF(TUSD!$E$92:'TUSD'!$E$173,$I$2,TUSD!$Q$92:'TUSD'!$Q$173),IF($D$2&lt;&gt;"Não se aplica",SUMIF(TUSD!$D$92:'TUSD'!$D$173,$I$2,TUSD!$Q$92:'TUSD'!$Q$173),IF($C$2&lt;&gt;"Não se aplica",SUMIF(TUSD!$C$92:'TUSD'!$C$173,$I$2,TUSD!$Q$92:'TUSD'!$Q$173),IF($B$2&lt;&gt;"Não se aplica",SUMIF(TUSD!$B$92:'TUSD'!$B$173,$I$2,TUSD!$Q$92:'TUSD'!$Q$173),SUMIF(TUSD!$A$92:'TUSD'!$A$173,$I$2,TUSD!$Q$92:'TUSD'!$Q$173)))))))</f>
        <v>18488118.192293562</v>
      </c>
      <c r="H9" s="57">
        <f>IF($G$2&lt;&gt;"Não se aplica",SUMIF(TUSD!$G$92:'TUSD'!$G$173,$I$2,TUSD!$R$92:'TUSD'!$R$173),IF($F$2&lt;&gt;"Não se aplica",SUMIF(TUSD!$F$92:'TUSD'!$F$173,$I$2,TUSD!$R$92:'TUSD'!$R$173),IF($E$2&lt;&gt;"Não se aplica",SUMIF(TUSD!$E$92:'TUSD'!$E$173,$I$2,TUSD!$R$92:'TUSD'!$R$173),IF($D$2&lt;&gt;"Não se aplica",SUMIF(TUSD!$D$92:'TUSD'!$D$173,$I$2,TUSD!$R$92:'TUSD'!$R$173),IF($C$2&lt;&gt;"Não se aplica",SUMIF(TUSD!$C$92:'TUSD'!$C$173,$I$2,TUSD!$R$92:'TUSD'!$R$173),IF($B$2&lt;&gt;"Não se aplica",SUMIF(TUSD!$B$92:'TUSD'!$B$173,$I$2,TUSD!$R$92:'TUSD'!$R$173),SUMIF(TUSD!$A$92:'TUSD'!$A$173,$I$2,TUSD!$R$92:'TUSD'!$R$173)))))))</f>
        <v>2662341.1023809379</v>
      </c>
      <c r="I9" s="57">
        <f>IF($G$2&lt;&gt;"Não se aplica",SUMIF(TUSD!$G$92:'TUSD'!$G$173,$I$2,TUSD!$S$92:'TUSD'!$S$173),IF($F$2&lt;&gt;"Não se aplica",SUMIF(TUSD!$F$92:'TUSD'!$F$173,$I$2,TUSD!$S$92:'TUSD'!$S$173),IF($E$2&lt;&gt;"Não se aplica",SUMIF(TUSD!$E$92:'TUSD'!$E$173,$I$2,TUSD!$S$92:'TUSD'!$S$173),IF($D$2&lt;&gt;"Não se aplica",SUMIF(TUSD!$D$92:'TUSD'!$D$173,$I$2,TUSD!$S$92:'TUSD'!$S$173),IF($C$2&lt;&gt;"Não se aplica",SUMIF(TUSD!$C$92:'TUSD'!$C$173,$I$2,TUSD!$S$92:'TUSD'!$S$173),IF($B$2&lt;&gt;"Não se aplica",SUMIF(TUSD!$B$92:'TUSD'!$B$173,$I$2,TUSD!$S$92:'TUSD'!$S$173),SUMIF(TUSD!$A$92:'TUSD'!$A$173,$I$2,TUSD!$S$92:'TUSD'!$S$173)))))))</f>
        <v>0</v>
      </c>
      <c r="J9" s="57">
        <f>IF($G$2&lt;&gt;"Não se aplica",SUMIF(TUSD!$G$92:'TUSD'!$G$173,$I$2,TUSD!$T$92:'TUSD'!$T$173),IF($F$2&lt;&gt;"Não se aplica",SUMIF(TUSD!$F$92:'TUSD'!$F$173,$I$2,TUSD!$T$92:'TUSD'!$T$173),IF($E$2&lt;&gt;"Não se aplica",SUMIF(TUSD!$E$92:'TUSD'!$E$173,$I$2,TUSD!$T$92:'TUSD'!$T$173),IF($D$2&lt;&gt;"Não se aplica",SUMIF(TUSD!$D$92:'TUSD'!$D$173,$I$2,TUSD!$T$92:'TUSD'!$T$173),IF($C$2&lt;&gt;"Não se aplica",SUMIF(TUSD!$C$92:'TUSD'!$C$173,$I$2,TUSD!$T$92:'TUSD'!$T$173),IF($B$2&lt;&gt;"Não se aplica",SUMIF(TUSD!$B$92:'TUSD'!$B$173,$I$2,TUSD!$T$92:'TUSD'!$T$173),SUMIF(TUSD!$A$92:'TUSD'!$A$173,$I$2,TUSD!$T$92:'TUSD'!$T$173)))))))</f>
        <v>20475380.732444234</v>
      </c>
      <c r="K9" s="57">
        <f>IF($G$2&lt;&gt;"Não se aplica",SUMIF(TUSD!$G$92:'TUSD'!$G$173,$I$2,TUSD!$U$92:'TUSD'!$U$173),IF($F$2&lt;&gt;"Não se aplica",SUMIF(TUSD!$F$92:'TUSD'!$F$173,$I$2,TUSD!$U$92:'TUSD'!$U$173),IF($E$2&lt;&gt;"Não se aplica",SUMIF(TUSD!$E$92:'TUSD'!$E$173,$I$2,TUSD!$U$92:'TUSD'!$U$173),IF($D$2&lt;&gt;"Não se aplica",SUMIF(TUSD!$D$92:'TUSD'!$D$173,$I$2,TUSD!$U$92:'TUSD'!$U$173),IF($C$2&lt;&gt;"Não se aplica",SUMIF(TUSD!$C$92:'TUSD'!$C$173,$I$2,TUSD!$U$92:'TUSD'!$U$173),IF($B$2&lt;&gt;"Não se aplica",SUMIF(TUSD!$B$92:'TUSD'!$B$173,$I$2,TUSD!$U$92:'TUSD'!$U$173),SUMIF(TUSD!$A$92:'TUSD'!$A$173,$I$2,TUSD!$U$92:'TUSD'!$U$173)))))))</f>
        <v>6546839.1766666751</v>
      </c>
      <c r="L9" s="57">
        <f>IF($G$2&lt;&gt;"Não se aplica",SUMIF(TUSD!$G$92:'TUSD'!$G$173,$I$2,TUSD!$V$92:'TUSD'!$V$173),IF($F$2&lt;&gt;"Não se aplica",SUMIF(TUSD!$F$92:'TUSD'!$F$173,$I$2,TUSD!$V$92:'TUSD'!$V$173),IF($E$2&lt;&gt;"Não se aplica",SUMIF(TUSD!$E$92:'TUSD'!$E$173,$I$2,TUSD!$V$92:'TUSD'!$V$173),IF($D$2&lt;&gt;"Não se aplica",SUMIF(TUSD!$D$92:'TUSD'!$D$173,$I$2,TUSD!$V$92:'TUSD'!$V$173),IF($C$2&lt;&gt;"Não se aplica",SUMIF(TUSD!$C$92:'TUSD'!$C$173,$I$2,TUSD!$V$92:'TUSD'!$V$173),IF($B$2&lt;&gt;"Não se aplica",SUMIF(TUSD!$B$92:'TUSD'!$B$173,$I$2,TUSD!$V$92:'TUSD'!$V$173),SUMIF(TUSD!$A$92:'TUSD'!$A$173,$I$2,TUSD!$V$92:'TUSD'!$V$173)))))))</f>
        <v>683755.61398737086</v>
      </c>
      <c r="M9" s="57">
        <f>IF($G$2&lt;&gt;"Não se aplica",SUMIF(TUSD!$G$92:'TUSD'!$G$173,$I$2,TUSD!$W$92:'TUSD'!$W$173),IF($F$2&lt;&gt;"Não se aplica",SUMIF(TUSD!$F$92:'TUSD'!$F$173,$I$2,TUSD!$W$92:'TUSD'!$W$173),IF($E$2&lt;&gt;"Não se aplica",SUMIF(TUSD!$E$92:'TUSD'!$E$173,$I$2,TUSD!$W$92:'TUSD'!$W$173),IF($D$2&lt;&gt;"Não se aplica",SUMIF(TUSD!$D$92:'TUSD'!$D$173,$I$2,TUSD!$W$92:'TUSD'!$W$173),IF($C$2&lt;&gt;"Não se aplica",SUMIF(TUSD!$C$92:'TUSD'!$C$173,$I$2,TUSD!$W$92:'TUSD'!$W$173),IF($B$2&lt;&gt;"Não se aplica",SUMIF(TUSD!$B$92:'TUSD'!$B$173,$I$2,TUSD!$W$92:'TUSD'!$W$173),SUMIF(TUSD!$A$92:'TUSD'!$A$173,$I$2,TUSD!$W$92:'TUSD'!$W$173)))))))</f>
        <v>0</v>
      </c>
      <c r="N9" s="57">
        <f>IF($G$2&lt;&gt;"Não se aplica",SUMIF(TUSD!$G$92:'TUSD'!$G$173,$I$2,TUSD!$X$92:'TUSD'!$X$173),IF($F$2&lt;&gt;"Não se aplica",SUMIF(TUSD!$F$92:'TUSD'!$F$173,$I$2,TUSD!$X$92:'TUSD'!$X$173),IF($E$2&lt;&gt;"Não se aplica",SUMIF(TUSD!$E$92:'TUSD'!$E$173,$I$2,TUSD!$X$92:'TUSD'!$X$173),IF($D$2&lt;&gt;"Não se aplica",SUMIF(TUSD!$D$92:'TUSD'!$D$173,$I$2,TUSD!$X$92:'TUSD'!$X$173),IF($C$2&lt;&gt;"Não se aplica",SUMIF(TUSD!$C$92:'TUSD'!$C$173,$I$2,TUSD!$X$92:'TUSD'!$X$173),IF($B$2&lt;&gt;"Não se aplica",SUMIF(TUSD!$B$92:'TUSD'!$B$173,$I$2,TUSD!$X$92:'TUSD'!$X$173),SUMIF(TUSD!$A$92:'TUSD'!$A$173,$I$2,TUSD!$X$92:'TUSD'!$X$173)))))))</f>
        <v>0</v>
      </c>
      <c r="O9" s="57">
        <f>IF($G$2&lt;&gt;"Não se aplica",SUMIF(TUSD!$G$92:'TUSD'!$G$173,$I$2,TUSD!$Y$92:'TUSD'!$Y$173),IF($F$2&lt;&gt;"Não se aplica",SUMIF(TUSD!$F$92:'TUSD'!$F$173,$I$2,TUSD!$Y$92:'TUSD'!$Y$173),IF($E$2&lt;&gt;"Não se aplica",SUMIF(TUSD!$E$92:'TUSD'!$E$173,$I$2,TUSD!$Y$92:'TUSD'!$Y$173),IF($D$2&lt;&gt;"Não se aplica",SUMIF(TUSD!$D$92:'TUSD'!$D$173,$I$2,TUSD!$Y$92:'TUSD'!$Y$173),IF($C$2&lt;&gt;"Não se aplica",SUMIF(TUSD!$C$92:'TUSD'!$C$173,$I$2,TUSD!$Y$92:'TUSD'!$Y$173),IF($B$2&lt;&gt;"Não se aplica",SUMIF(TUSD!$B$92:'TUSD'!$B$173,$I$2,TUSD!$Y$92:'TUSD'!$Y$173),SUMIF(TUSD!$A$92:'TUSD'!$A$173,$I$2,TUSD!$Y$92:'TUSD'!$Y$173)))))))</f>
        <v>0</v>
      </c>
      <c r="P9" s="57">
        <f>IF($G$2&lt;&gt;"Não se aplica",SUMIF(TUSD!$G$92:'TUSD'!$G$173,$I$2,TUSD!$Z$92:'TUSD'!$Z$173),IF($F$2&lt;&gt;"Não se aplica",SUMIF(TUSD!$F$92:'TUSD'!$F$173,$I$2,TUSD!$Z$92:'TUSD'!$Z$173),IF($E$2&lt;&gt;"Não se aplica",SUMIF(TUSD!$E$92:'TUSD'!$E$173,$I$2,TUSD!$Z$92:'TUSD'!$Z$173),IF($D$2&lt;&gt;"Não se aplica",SUMIF(TUSD!$D$92:'TUSD'!$D$173,$I$2,TUSD!$Z$92:'TUSD'!$Z$173),IF($C$2&lt;&gt;"Não se aplica",SUMIF(TUSD!$C$92:'TUSD'!$C$173,$I$2,TUSD!$Z$92:'TUSD'!$Z$173),IF($B$2&lt;&gt;"Não se aplica",SUMIF(TUSD!$B$92:'TUSD'!$B$173,$I$2,TUSD!$Z$92:'TUSD'!$Z$173),SUMIF(TUSD!$A$92:'TUSD'!$A$173,$I$2,TUSD!$Z$92:'TUSD'!$Z$173)))))))</f>
        <v>912863.18727008544</v>
      </c>
      <c r="Q9" s="57">
        <f>IF($G$2&lt;&gt;"Não se aplica",SUMIF(TUSD!$G$92:'TUSD'!$G$173,$I$2,TUSD!$AA$92:'TUSD'!$AA$173),IF($F$2&lt;&gt;"Não se aplica",SUMIF(TUSD!$F$92:'TUSD'!$F$173,$I$2,TUSD!$AA$92:'TUSD'!$AA$173),IF($E$2&lt;&gt;"Não se aplica",SUMIF(TUSD!$E$92:'TUSD'!$E$173,$I$2,TUSD!$AA$92:'TUSD'!$AA$173),IF($D$2&lt;&gt;"Não se aplica",SUMIF(TUSD!$D$92:'TUSD'!$D$173,$I$2,TUSD!$AA$92:'TUSD'!$AA$173),IF($C$2&lt;&gt;"Não se aplica",SUMIF(TUSD!$C$92:'TUSD'!$C$173,$I$2,TUSD!$AA$92:'TUSD'!$AA$173),IF($B$2&lt;&gt;"Não se aplica",SUMIF(TUSD!$B$92:'TUSD'!$B$173,$I$2,TUSD!$AA$92:'TUSD'!$AA$173),SUMIF(TUSD!$A$92:'TUSD'!$A$173,$I$2,TUSD!$AA$92:'TUSD'!$AA$173)))))))</f>
        <v>9192414.3312733918</v>
      </c>
      <c r="R9" s="57">
        <f ca="1">IF($G$2&lt;&gt;"Não se aplica",SUMIF(TUSD!$G$92:'TUSD'!$G$173,$I$2,TUSD!$AB$92:'TUSD'!$AB$173),IF($F$2&lt;&gt;"Não se aplica",SUMIF(TUSD!$F$92:'TUSD'!$F$173,$I$2,TUSD!$AB$92:'TUSD'!$AB$173),IF($E$2&lt;&gt;"Não se aplica",SUMIF(TUSD!$E$92:'TUSD'!$E$173,$I$2,TUSD!$AB$92:'TUSD'!$AB$173),IF($D$2&lt;&gt;"Não se aplica",SUMIF(TUSD!$D$92:'TUSD'!$D$173,$I$2,TUSD!$AB$92:'TUSD'!$AB$173),IF($C$2&lt;&gt;"Não se aplica",SUMIF(TUSD!$C$92:'TUSD'!$C$173,$I$2,TUSD!$AB$92:'TUSD'!$AB$173),IF($B$2&lt;&gt;"Não se aplica",SUMIF(TUSD!$B$92:'TUSD'!$B$173,$I$2,TUSD!$AB$92:'TUSD'!$AB$173),SUMIF(TUSD!$A$92:'TUSD'!$A$173,$I$2,TUSD!$AB$92:'TUSD'!$AB$173)))))))</f>
        <v>0</v>
      </c>
      <c r="S9" s="57">
        <f ca="1">IF($G$2&lt;&gt;"Não se aplica",SUMIF(TUSD!$G$92:'TUSD'!$G$173,$I$2,TUSD!$AC$92:'TUSD'!$AC$173),IF($F$2&lt;&gt;"Não se aplica",SUMIF(TUSD!$F$92:'TUSD'!$F$173,$I$2,TUSD!$AC$92:'TUSD'!$AC$173),IF($E$2&lt;&gt;"Não se aplica",SUMIF(TUSD!$E$92:'TUSD'!$E$173,$I$2,TUSD!$AC$92:'TUSD'!$AC$173),IF($D$2&lt;&gt;"Não se aplica",SUMIF(TUSD!$D$92:'TUSD'!$D$173,$I$2,TUSD!$AC$92:'TUSD'!$AC$173),IF($C$2&lt;&gt;"Não se aplica",SUMIF(TUSD!$C$92:'TUSD'!$C$173,$I$2,TUSD!$AC$92:'TUSD'!$AC$173),IF($B$2&lt;&gt;"Não se aplica",SUMIF(TUSD!$B$92:'TUSD'!$B$173,$I$2,TUSD!$AC$92:'TUSD'!$AC$173),SUMIF(TUSD!$A$92:'TUSD'!$A$173,$I$2,TUSD!$AC$92:'TUSD'!$AC$173)))))))</f>
        <v>0</v>
      </c>
      <c r="T9" s="57">
        <f>IF($G$2&lt;&gt;"Não se aplica",SUMIF(TUSD!$G$92:'TUSD'!$G$173,$I$2,TUSD!$AD$92:'TUSD'!$AD$173),IF($F$2&lt;&gt;"Não se aplica",SUMIF(TUSD!$F$92:'TUSD'!$F$173,$I$2,TUSD!$AD$92:'TUSD'!$AD$173),IF($E$2&lt;&gt;"Não se aplica",SUMIF(TUSD!$E$92:'TUSD'!$E$173,$I$2,TUSD!$AD$92:'TUSD'!$AD$173),IF($D$2&lt;&gt;"Não se aplica",SUMIF(TUSD!$D$92:'TUSD'!$D$173,$I$2,TUSD!$AD$92:'TUSD'!$AD$173),IF($C$2&lt;&gt;"Não se aplica",SUMIF(TUSD!$C$92:'TUSD'!$C$173,$I$2,TUSD!$AD$92:'TUSD'!$AD$173),IF($B$2&lt;&gt;"Não se aplica",SUMIF(TUSD!$B$92:'TUSD'!$B$173,$I$2,TUSD!$AD$92:'TUSD'!$AD$173),SUMIF(TUSD!$A$92:'TUSD'!$A$173,$I$2,TUSD!$AD$92:'TUSD'!$AD$173)))))))</f>
        <v>2735895.4890172798</v>
      </c>
      <c r="U9" s="57">
        <f>IF($G$2&lt;&gt;"Não se aplica",SUMIF(TUSD!$G$92:'TUSD'!$G$173,$I$2,TUSD!$AE$92:'TUSD'!$AE$173),IF($F$2&lt;&gt;"Não se aplica",SUMIF(TUSD!$F$92:'TUSD'!$F$173,$I$2,TUSD!$AE$92:'TUSD'!$AE$173),IF($E$2&lt;&gt;"Não se aplica",SUMIF(TUSD!$E$92:'TUSD'!$E$173,$I$2,TUSD!$AE$92:'TUSD'!$AE$173),IF($D$2&lt;&gt;"Não se aplica",SUMIF(TUSD!$D$92:'TUSD'!$D$173,$I$2,TUSD!$AE$92:'TUSD'!$AE$173),IF($C$2&lt;&gt;"Não se aplica",SUMIF(TUSD!$C$92:'TUSD'!$C$173,$I$2,TUSD!$AE$92:'TUSD'!$AE$173),IF($B$2&lt;&gt;"Não se aplica",SUMIF(TUSD!$B$92:'TUSD'!$B$173,$I$2,TUSD!$AE$92:'TUSD'!$AE$173),SUMIF(TUSD!$A$92:'TUSD'!$A$173,$I$2,TUSD!$AE$92:'TUSD'!$AE$173)))))))</f>
        <v>102837.7848342971</v>
      </c>
      <c r="V9" s="57">
        <f ca="1">IF($G$2&lt;&gt;"Não se aplica",SUMIF(TUSD!$G$92:'TUSD'!$G$173,$I$2,TUSD!$AF$92:'TUSD'!$AF$173),IF($F$2&lt;&gt;"Não se aplica",SUMIF(TUSD!$F$92:'TUSD'!$F$173,$I$2,TUSD!$AF$92:'TUSD'!$AF$173),IF($E$2&lt;&gt;"Não se aplica",SUMIF(TUSD!$E$92:'TUSD'!$E$173,$I$2,TUSD!$AF$92:'TUSD'!$AF$173),IF($D$2&lt;&gt;"Não se aplica",SUMIF(TUSD!$D$92:'TUSD'!$D$173,$I$2,TUSD!$AF$92:'TUSD'!$AF$173),IF($C$2&lt;&gt;"Não se aplica",SUMIF(TUSD!$C$92:'TUSD'!$C$173,$I$2,TUSD!$AF$92:'TUSD'!$AF$173),IF($B$2&lt;&gt;"Não se aplica",SUMIF(TUSD!$B$92:'TUSD'!$B$173,$I$2,TUSD!$AF$92:'TUSD'!$AF$173),SUMIF(TUSD!$A$92:'TUSD'!$A$173,$I$2,TUSD!$AF$92:'TUSD'!$AF$173)))))))</f>
        <v>1602176.6766159507</v>
      </c>
      <c r="W9" s="57">
        <f ca="1">IF($G$2&lt;&gt;"Não se aplica",SUMIF(TUSD!$G$92:'TUSD'!$G$173,$I$2,TUSD!$AG$92:'TUSD'!$AG$173),IF($F$2&lt;&gt;"Não se aplica",SUMIF(TUSD!$F$92:'TUSD'!$F$173,$I$2,TUSD!$AG$92:'TUSD'!$AG$173),IF($E$2&lt;&gt;"Não se aplica",SUMIF(TUSD!$E$92:'TUSD'!$E$173,$I$2,TUSD!$AG$92:'TUSD'!$AG$173),IF($D$2&lt;&gt;"Não se aplica",SUMIF(TUSD!$D$92:'TUSD'!$D$173,$I$2,TUSD!$AG$92:'TUSD'!$AG$173),IF($C$2&lt;&gt;"Não se aplica",SUMIF(TUSD!$C$92:'TUSD'!$C$173,$I$2,TUSD!$AG$92:'TUSD'!$AG$173),IF($B$2&lt;&gt;"Não se aplica",SUMIF(TUSD!$B$92:'TUSD'!$B$173,$I$2,TUSD!$AG$92:'TUSD'!$AG$173),SUMIF(TUSD!$A$92:'TUSD'!$A$173,$I$2,TUSD!$AG$92:'TUSD'!$AG$173)))))))</f>
        <v>411812.98238129902</v>
      </c>
      <c r="X9" s="57">
        <f t="shared" ca="1" si="0"/>
        <v>64619934.281544648</v>
      </c>
      <c r="AA9" s="16" t="s">
        <v>49</v>
      </c>
      <c r="AD9" s="16" t="s">
        <v>51</v>
      </c>
    </row>
    <row r="10" spans="1:33" x14ac:dyDescent="0.2">
      <c r="A10" s="16" t="s">
        <v>1708</v>
      </c>
      <c r="B10" s="57">
        <f>SUMIF(TUSD!$A$92:'TUSD'!$A$173,$A$2,TUSD!$AI$92:'TUSD'!$AI$173)</f>
        <v>0</v>
      </c>
      <c r="C10" s="57">
        <f>SUMIF(TUSD!$A$92:'TUSD'!$A$173,$A$2,TUSD!$AJ$92:'TUSD'!$AJ$173)</f>
        <v>183072.16854179083</v>
      </c>
      <c r="D10" s="57">
        <f>SUMIF(TUSD!$A$92:'TUSD'!$A$173,$A$2,TUSD!$AK$92:'TUSD'!$AK$173)</f>
        <v>528849.21961964609</v>
      </c>
      <c r="E10" s="57">
        <f>SUMIF(TUSD!$A$92:'TUSD'!$A$173,$A$2,TUSD!$AL$92:'TUSD'!$AL$173)</f>
        <v>0</v>
      </c>
      <c r="F10" s="57">
        <f>SUMIF(TUSD!$A$92:'TUSD'!$A$173,$A$2,TUSD!$AM$92:'TUSD'!$AM$173)</f>
        <v>0</v>
      </c>
      <c r="G10" s="57">
        <f>SUMIF(TUSD!$A$92:'TUSD'!$A$173,$A$2,TUSD!$AN$92:'TUSD'!$AN$173)</f>
        <v>16203885.887717681</v>
      </c>
      <c r="H10" s="57">
        <f>SUMIF(TUSD!$A$92:'TUSD'!$A$173,$A$2,TUSD!$AO$92:'TUSD'!$AO$173)</f>
        <v>3891529.7103678114</v>
      </c>
      <c r="I10" s="57">
        <f>SUMIF(TUSD!$A$92:'TUSD'!$A$173,$A$2,TUSD!$AP$92:'TUSD'!$AP$173)</f>
        <v>0</v>
      </c>
      <c r="J10" s="57">
        <f>SUMIF(TUSD!$A$92:'TUSD'!$A$173,$A$2,TUSD!$AQ$92:'TUSD'!$AQ$173)</f>
        <v>12915895.156589577</v>
      </c>
      <c r="K10" s="57">
        <f>SUMIF(TUSD!$A$92:'TUSD'!$A$173,$A$2,TUSD!$AR$92:'TUSD'!$AR$173)</f>
        <v>4627843.0981263705</v>
      </c>
      <c r="L10" s="57">
        <f>SUMIF(TUSD!$A$92:'TUSD'!$A$173,$A$2,TUSD!$AS$92:'TUSD'!$AS$173)</f>
        <v>469583.89977959718</v>
      </c>
      <c r="M10" s="57">
        <f>SUMIF(TUSD!$A$92:'TUSD'!$A$173,$A$2,TUSD!$AT$92:'TUSD'!$AT$173)</f>
        <v>0</v>
      </c>
      <c r="N10" s="57">
        <f>SUMIF(TUSD!$A$92:'TUSD'!$A$173,$A$2,TUSD!$AU$92:'TUSD'!$AU$173)</f>
        <v>0</v>
      </c>
      <c r="O10" s="57">
        <f>SUMIF(TUSD!$A$92:'TUSD'!$A$173,$A$2,TUSD!$AV$92:'TUSD'!$AV$173)</f>
        <v>0</v>
      </c>
      <c r="P10" s="57">
        <f>SUMIF(TUSD!$A$92:'TUSD'!$A$173,$A$2,TUSD!$AW$92:'TUSD'!$AW$173)</f>
        <v>756392.20775155677</v>
      </c>
      <c r="Q10" s="57">
        <f>SUMIF(TUSD!$A$92:'TUSD'!$A$173,$A$2,TUSD!$AX$92:'TUSD'!$AX$173)</f>
        <v>8246546.3693651697</v>
      </c>
      <c r="R10" s="57">
        <f>SUMIF(TUSD!$A$92:'TUSD'!$A$173,$A$2,TUSD!$AY$92:'TUSD'!$AY$173)</f>
        <v>0</v>
      </c>
      <c r="S10" s="57">
        <f>SUMIF(TUSD!$A$92:'TUSD'!$A$173,$A$2,TUSD!$AZ$92:'TUSD'!$AZ$173)</f>
        <v>0</v>
      </c>
      <c r="T10" s="57">
        <f>SUMIF(TUSD!$A$92:'TUSD'!$A$173,$A$2,TUSD!$BA$92:'TUSD'!$BA$173)</f>
        <v>3295934.9921590132</v>
      </c>
      <c r="U10" s="57">
        <f>SUMIF(TUSD!$A$92:'TUSD'!$A$173,$A$2,TUSD!$BB$92:'TUSD'!$BB$173)</f>
        <v>123358.15871836201</v>
      </c>
      <c r="V10" s="57">
        <f>SUMIF(TUSD!$A$92:'TUSD'!$A$173,$A$2,TUSD!$BC$92:'TUSD'!$BC$173)</f>
        <v>1878021.3254689032</v>
      </c>
      <c r="W10" s="57">
        <f>SUMIF(TUSD!$A$92:'TUSD'!$A$173,$A$2,TUSD!$BD$92:'TUSD'!$BD$173)</f>
        <v>392027.21209068701</v>
      </c>
      <c r="X10" s="57">
        <f t="shared" si="0"/>
        <v>53512939.406296171</v>
      </c>
      <c r="AD10" s="16" t="s">
        <v>105</v>
      </c>
    </row>
    <row r="11" spans="1:33" x14ac:dyDescent="0.2">
      <c r="A11" s="16" t="s">
        <v>1709</v>
      </c>
      <c r="B11" s="57">
        <f>SUMIF(TUSD!$A$92:'TUSD'!$A$173,$A$2,TUSD!$L$92:'TUSD'!$L$173)</f>
        <v>0</v>
      </c>
      <c r="C11" s="57">
        <f>SUMIF(TUSD!$A$92:'TUSD'!$A$173,$A$2,TUSD!$M$92:'TUSD'!$M$173)</f>
        <v>200776.61051448263</v>
      </c>
      <c r="D11" s="57">
        <f ca="1">SUMIF(TUSD!$A$92:'TUSD'!$A$173,$A$2,TUSD!$N$92:'TUSD'!$N$173)</f>
        <v>604722.40186507872</v>
      </c>
      <c r="E11" s="57">
        <f>SUMIF(TUSD!$A$92:'TUSD'!$A$173,$A$2,TUSD!$O$92:'TUSD'!$O$173)</f>
        <v>0</v>
      </c>
      <c r="F11" s="57">
        <f>SUMIF(TUSD!$A$92:'TUSD'!$A$173,$A$2,TUSD!$P$92:'TUSD'!$P$173)</f>
        <v>0</v>
      </c>
      <c r="G11" s="57">
        <f>SUMIF(TUSD!$A$92:'TUSD'!$A$173,$A$2,TUSD!$Q$92:'TUSD'!$Q$173)</f>
        <v>18488118.192293562</v>
      </c>
      <c r="H11" s="57">
        <f>SUMIF(TUSD!$A$92:'TUSD'!$A$173,$A$2,TUSD!$R$92:'TUSD'!$R$173)</f>
        <v>2662341.1023809379</v>
      </c>
      <c r="I11" s="57">
        <f>SUMIF(TUSD!$A$92:'TUSD'!$A$173,$A$2,TUSD!$S$92:'TUSD'!$S$173)</f>
        <v>0</v>
      </c>
      <c r="J11" s="57">
        <f>SUMIF(TUSD!$A$92:'TUSD'!$A$173,$A$2,TUSD!$T$92:'TUSD'!$T$173)</f>
        <v>20475380.732444234</v>
      </c>
      <c r="K11" s="57">
        <f>SUMIF(TUSD!$A$92:'TUSD'!$A$173,$A$2,TUSD!$U$92:'TUSD'!$U$173)</f>
        <v>6546839.1766666751</v>
      </c>
      <c r="L11" s="57">
        <f>SUMIF(TUSD!$A$92:'TUSD'!$A$173,$A$2,TUSD!$V$92:'TUSD'!$V$173)</f>
        <v>683755.61398737086</v>
      </c>
      <c r="M11" s="57">
        <f>SUMIF(TUSD!$A$92:'TUSD'!$A$173,$A$2,TUSD!$W$92:'TUSD'!$W$173)</f>
        <v>0</v>
      </c>
      <c r="N11" s="57">
        <f>SUMIF(TUSD!$A$92:'TUSD'!$A$173,$A$2,TUSD!$X$92:'TUSD'!$X$173)</f>
        <v>0</v>
      </c>
      <c r="O11" s="57">
        <f>SUMIF(TUSD!$A$92:'TUSD'!$A$173,$A$2,TUSD!$Y$92:'TUSD'!$Y$173)</f>
        <v>0</v>
      </c>
      <c r="P11" s="57">
        <f>SUMIF(TUSD!$A$92:'TUSD'!$A$173,$A$2,TUSD!$Z$92:'TUSD'!$Z$173)</f>
        <v>912863.18727008544</v>
      </c>
      <c r="Q11" s="57">
        <f>SUMIF(TUSD!$A$92:'TUSD'!$A$173,$A$2,TUSD!$AA$92:'TUSD'!$AA$173)</f>
        <v>9192414.3312733918</v>
      </c>
      <c r="R11" s="57">
        <f ca="1">SUMIF(TUSD!$A$92:'TUSD'!$A$173,$A$2,TUSD!$AB$92:'TUSD'!$AB$173)</f>
        <v>0</v>
      </c>
      <c r="S11" s="57">
        <f ca="1">SUMIF(TUSD!$A$92:'TUSD'!$A$173,$A$2,TUSD!$AC$92:'TUSD'!$AC$173)</f>
        <v>0</v>
      </c>
      <c r="T11" s="57">
        <f>SUMIF(TUSD!$A$92:'TUSD'!$A$173,$A$2,TUSD!$AD$92:'TUSD'!$AD$173)</f>
        <v>2735895.4890172798</v>
      </c>
      <c r="U11" s="57">
        <f>SUMIF(TUSD!$A$92:'TUSD'!$A$173,$A$2,TUSD!$AE$92:'TUSD'!$AE$173)</f>
        <v>102837.7848342971</v>
      </c>
      <c r="V11" s="57">
        <f ca="1">SUMIF(TUSD!$A$92:'TUSD'!$A$173,$A$2,TUSD!$AF$92:'TUSD'!$AF$173)</f>
        <v>1602176.6766159507</v>
      </c>
      <c r="W11" s="57">
        <f ca="1">SUMIF(TUSD!$A$92:'TUSD'!$A$173,$A$2,TUSD!$AG$92:'TUSD'!$AG$173)</f>
        <v>411812.98238129902</v>
      </c>
      <c r="X11" s="57">
        <f t="shared" ca="1" si="0"/>
        <v>64619934.281544648</v>
      </c>
    </row>
    <row r="13" spans="1:33" x14ac:dyDescent="0.2">
      <c r="A13" s="16" t="s">
        <v>1713</v>
      </c>
      <c r="B13" s="77">
        <f t="shared" ref="B13:X13" si="1">IF($X$6&lt;&gt;0,(B$7-B$6)/$X$6,0)</f>
        <v>0</v>
      </c>
      <c r="C13" s="77">
        <f t="shared" si="1"/>
        <v>-1.6581329040198262E-5</v>
      </c>
      <c r="D13" s="77">
        <f t="shared" ca="1" si="1"/>
        <v>-1.3979626550958833E-4</v>
      </c>
      <c r="E13" s="77">
        <f t="shared" si="1"/>
        <v>0</v>
      </c>
      <c r="F13" s="77">
        <f t="shared" si="1"/>
        <v>0</v>
      </c>
      <c r="G13" s="77">
        <f t="shared" si="1"/>
        <v>5.1442527795806117E-2</v>
      </c>
      <c r="H13" s="77">
        <f t="shared" si="1"/>
        <v>-1.4314081864723906E-2</v>
      </c>
      <c r="I13" s="77">
        <f t="shared" si="1"/>
        <v>0</v>
      </c>
      <c r="J13" s="77">
        <f t="shared" si="1"/>
        <v>6.978442068894021E-2</v>
      </c>
      <c r="K13" s="77">
        <f t="shared" si="1"/>
        <v>1.6693577278542693E-2</v>
      </c>
      <c r="L13" s="77">
        <f t="shared" si="1"/>
        <v>2.1561963653116338E-3</v>
      </c>
      <c r="M13" s="77">
        <f t="shared" si="1"/>
        <v>0</v>
      </c>
      <c r="N13" s="77">
        <f t="shared" si="1"/>
        <v>0</v>
      </c>
      <c r="O13" s="77">
        <f t="shared" si="1"/>
        <v>0</v>
      </c>
      <c r="P13" s="77">
        <f t="shared" si="1"/>
        <v>1.1965709156061861E-4</v>
      </c>
      <c r="Q13" s="77">
        <f t="shared" si="1"/>
        <v>1.292507758139921E-2</v>
      </c>
      <c r="R13" s="77">
        <f t="shared" ca="1" si="1"/>
        <v>0</v>
      </c>
      <c r="S13" s="77">
        <f t="shared" ca="1" si="1"/>
        <v>0</v>
      </c>
      <c r="T13" s="77">
        <f t="shared" si="1"/>
        <v>-1.6995307827293138E-2</v>
      </c>
      <c r="U13" s="77">
        <f t="shared" si="1"/>
        <v>-6.2264235398384329E-4</v>
      </c>
      <c r="V13" s="77">
        <f t="shared" ca="1" si="1"/>
        <v>-8.1328352479124576E-3</v>
      </c>
      <c r="W13" s="77">
        <f t="shared" ca="1" si="1"/>
        <v>3.7584831054897913E-4</v>
      </c>
      <c r="X13" s="77">
        <f t="shared" ca="1" si="1"/>
        <v>0.1132760602236462</v>
      </c>
    </row>
    <row r="14" spans="1:33" x14ac:dyDescent="0.2">
      <c r="A14" s="16" t="s">
        <v>1714</v>
      </c>
      <c r="B14" s="77">
        <f t="shared" ref="B14:X14" si="2">IF($X$10&lt;&gt;0,(B$9-B$8)/$X$10,0)</f>
        <v>0</v>
      </c>
      <c r="C14" s="77">
        <f t="shared" si="2"/>
        <v>3.308441317018879E-4</v>
      </c>
      <c r="D14" s="77">
        <f t="shared" ca="1" si="2"/>
        <v>1.4178474045196184E-3</v>
      </c>
      <c r="E14" s="77">
        <f t="shared" si="2"/>
        <v>0</v>
      </c>
      <c r="F14" s="77">
        <f t="shared" si="2"/>
        <v>0</v>
      </c>
      <c r="G14" s="77">
        <f t="shared" si="2"/>
        <v>4.2685607068467725E-2</v>
      </c>
      <c r="H14" s="77">
        <f t="shared" si="2"/>
        <v>-2.2969932536396065E-2</v>
      </c>
      <c r="I14" s="77">
        <f t="shared" si="2"/>
        <v>0</v>
      </c>
      <c r="J14" s="77">
        <f t="shared" si="2"/>
        <v>0.1412646298208248</v>
      </c>
      <c r="K14" s="77">
        <f t="shared" si="2"/>
        <v>3.5860412450348808E-2</v>
      </c>
      <c r="L14" s="77">
        <f t="shared" si="2"/>
        <v>4.0022416369558441E-3</v>
      </c>
      <c r="M14" s="77">
        <f t="shared" si="2"/>
        <v>0</v>
      </c>
      <c r="N14" s="77">
        <f t="shared" si="2"/>
        <v>0</v>
      </c>
      <c r="O14" s="77">
        <f t="shared" si="2"/>
        <v>0</v>
      </c>
      <c r="P14" s="77">
        <f t="shared" si="2"/>
        <v>2.9239840168473119E-3</v>
      </c>
      <c r="Q14" s="77">
        <f t="shared" si="2"/>
        <v>1.7675500026764261E-2</v>
      </c>
      <c r="R14" s="77">
        <f t="shared" ca="1" si="2"/>
        <v>0</v>
      </c>
      <c r="S14" s="77">
        <f t="shared" ca="1" si="2"/>
        <v>0</v>
      </c>
      <c r="T14" s="77">
        <f t="shared" si="2"/>
        <v>-1.0465496931305567E-2</v>
      </c>
      <c r="U14" s="77">
        <f t="shared" si="2"/>
        <v>-3.8346564609849392E-4</v>
      </c>
      <c r="V14" s="77">
        <f t="shared" ca="1" si="2"/>
        <v>-5.1547280323849575E-3</v>
      </c>
      <c r="W14" s="77">
        <f t="shared" ca="1" si="2"/>
        <v>3.6973805793751773E-4</v>
      </c>
      <c r="X14" s="77">
        <f t="shared" ca="1" si="2"/>
        <v>0.20755718146818264</v>
      </c>
    </row>
    <row r="15" spans="1:33" x14ac:dyDescent="0.2">
      <c r="A15" s="16" t="s">
        <v>1715</v>
      </c>
      <c r="B15" s="77">
        <f t="shared" ref="B15:X15" si="3">IF($X$8&lt;&gt;0,(B$9-B$8)/$X$8,0)</f>
        <v>0</v>
      </c>
      <c r="C15" s="77">
        <f t="shared" si="3"/>
        <v>3.308441317018879E-4</v>
      </c>
      <c r="D15" s="77">
        <f t="shared" ca="1" si="3"/>
        <v>1.4178474045196184E-3</v>
      </c>
      <c r="E15" s="77">
        <f t="shared" si="3"/>
        <v>0</v>
      </c>
      <c r="F15" s="77">
        <f t="shared" si="3"/>
        <v>0</v>
      </c>
      <c r="G15" s="77">
        <f t="shared" si="3"/>
        <v>4.2685607068467725E-2</v>
      </c>
      <c r="H15" s="77">
        <f t="shared" si="3"/>
        <v>-2.2969932536396065E-2</v>
      </c>
      <c r="I15" s="77">
        <f t="shared" si="3"/>
        <v>0</v>
      </c>
      <c r="J15" s="77">
        <f t="shared" si="3"/>
        <v>0.1412646298208248</v>
      </c>
      <c r="K15" s="77">
        <f t="shared" si="3"/>
        <v>3.5860412450348808E-2</v>
      </c>
      <c r="L15" s="77">
        <f t="shared" si="3"/>
        <v>4.0022416369558441E-3</v>
      </c>
      <c r="M15" s="77">
        <f t="shared" si="3"/>
        <v>0</v>
      </c>
      <c r="N15" s="77">
        <f t="shared" si="3"/>
        <v>0</v>
      </c>
      <c r="O15" s="77">
        <f t="shared" si="3"/>
        <v>0</v>
      </c>
      <c r="P15" s="77">
        <f t="shared" si="3"/>
        <v>2.9239840168473119E-3</v>
      </c>
      <c r="Q15" s="77">
        <f t="shared" si="3"/>
        <v>1.7675500026764261E-2</v>
      </c>
      <c r="R15" s="77">
        <f t="shared" ca="1" si="3"/>
        <v>0</v>
      </c>
      <c r="S15" s="77">
        <f t="shared" ca="1" si="3"/>
        <v>0</v>
      </c>
      <c r="T15" s="77">
        <f t="shared" si="3"/>
        <v>-1.0465496931305567E-2</v>
      </c>
      <c r="U15" s="77">
        <f t="shared" si="3"/>
        <v>-3.8346564609849392E-4</v>
      </c>
      <c r="V15" s="77">
        <f t="shared" ca="1" si="3"/>
        <v>-5.1547280323849575E-3</v>
      </c>
      <c r="W15" s="77">
        <f t="shared" ca="1" si="3"/>
        <v>3.6973805793751773E-4</v>
      </c>
      <c r="X15" s="77">
        <f t="shared" ca="1" si="3"/>
        <v>0.20755718146818264</v>
      </c>
    </row>
  </sheetData>
  <dataValidations count="5">
    <dataValidation type="list" allowBlank="1" showInputMessage="1" showErrorMessage="1" error="Deve-se selecionar grupo válido" sqref="A2" xr:uid="{8479D275-E4FF-480A-877A-F8B0CD4A15DF}">
      <formula1>AA1:AA9</formula1>
    </dataValidation>
    <dataValidation type="list" allowBlank="1" showInputMessage="1" showErrorMessage="1" error="Deve-se selecionar grupo válido" sqref="B2 G2" xr:uid="{18929603-25FC-4B6B-8516-ABA043342FE5}">
      <formula1>AB1:AB8</formula1>
    </dataValidation>
    <dataValidation type="list" allowBlank="1" showInputMessage="1" showErrorMessage="1" error="Deve-se selecionar grupo válido" sqref="C2 E2" xr:uid="{EB6C1CC6-FC03-4E32-AD3A-CB5AB840861D}">
      <formula1>AC1:AC4</formula1>
    </dataValidation>
    <dataValidation type="list" allowBlank="1" showInputMessage="1" showErrorMessage="1" error="Deve-se selecionar grupo válido" sqref="D2" xr:uid="{77324EF9-15B2-4EC6-BDAC-8A7642452FC4}">
      <formula1>AD1:AD10</formula1>
    </dataValidation>
    <dataValidation type="list" allowBlank="1" showInputMessage="1" showErrorMessage="1" error="Deve-se selecionar grupo válido" sqref="F2" xr:uid="{F238851C-282F-449A-A66E-134D63F3A068}">
      <formula1>AF1:AF5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85026-5327-4BD2-898B-FF737B5AE3E1}">
  <dimension ref="A1:AG15"/>
  <sheetViews>
    <sheetView showGridLines="0" workbookViewId="0">
      <selection activeCell="J15" sqref="J15"/>
    </sheetView>
  </sheetViews>
  <sheetFormatPr defaultRowHeight="11.25" x14ac:dyDescent="0.2"/>
  <cols>
    <col min="1" max="1" width="19.140625" style="16" bestFit="1" customWidth="1"/>
    <col min="2" max="3" width="10.85546875" style="16" bestFit="1" customWidth="1"/>
    <col min="4" max="4" width="10.28515625" style="16" bestFit="1" customWidth="1"/>
    <col min="5" max="5" width="11.42578125" style="16" bestFit="1" customWidth="1"/>
    <col min="6" max="6" width="14.85546875" style="16" bestFit="1" customWidth="1"/>
    <col min="7" max="8" width="10.85546875" style="16" bestFit="1" customWidth="1"/>
    <col min="9" max="9" width="6.42578125" style="16" bestFit="1" customWidth="1"/>
    <col min="10" max="10" width="7.7109375" style="16" bestFit="1" customWidth="1"/>
    <col min="11" max="11" width="10.85546875" style="16" bestFit="1" customWidth="1"/>
    <col min="12" max="12" width="13.140625" style="16" bestFit="1" customWidth="1"/>
    <col min="13" max="26" width="9.140625" style="16"/>
    <col min="27" max="27" width="3.85546875" style="16" bestFit="1" customWidth="1"/>
    <col min="28" max="28" width="27.140625" style="16" bestFit="1" customWidth="1"/>
    <col min="29" max="29" width="13.5703125" style="16" bestFit="1" customWidth="1"/>
    <col min="30" max="30" width="25.140625" style="16" bestFit="1" customWidth="1"/>
    <col min="31" max="33" width="10.28515625" style="16" bestFit="1" customWidth="1"/>
    <col min="34" max="16384" width="9.140625" style="16"/>
  </cols>
  <sheetData>
    <row r="1" spans="1:33" x14ac:dyDescent="0.2">
      <c r="A1" s="16" t="s">
        <v>78</v>
      </c>
      <c r="B1" s="16" t="s">
        <v>79</v>
      </c>
      <c r="C1" s="16" t="s">
        <v>80</v>
      </c>
      <c r="D1" s="16" t="s">
        <v>81</v>
      </c>
      <c r="E1" s="16" t="s">
        <v>82</v>
      </c>
      <c r="F1" s="16" t="s">
        <v>15</v>
      </c>
      <c r="G1" s="16" t="s">
        <v>84</v>
      </c>
      <c r="I1" s="16" t="s">
        <v>1712</v>
      </c>
      <c r="AA1" s="16" t="s">
        <v>43</v>
      </c>
      <c r="AB1" s="16" t="s">
        <v>25</v>
      </c>
      <c r="AC1" s="16" t="s">
        <v>25</v>
      </c>
      <c r="AD1" s="16" t="s">
        <v>25</v>
      </c>
      <c r="AE1" s="16" t="s">
        <v>25</v>
      </c>
      <c r="AF1" s="16" t="s">
        <v>25</v>
      </c>
      <c r="AG1" s="16" t="s">
        <v>25</v>
      </c>
    </row>
    <row r="2" spans="1:33" x14ac:dyDescent="0.2">
      <c r="A2" s="16" t="s">
        <v>43</v>
      </c>
      <c r="B2" s="16" t="s">
        <v>25</v>
      </c>
      <c r="C2" s="16" t="s">
        <v>25</v>
      </c>
      <c r="D2" s="16" t="s">
        <v>25</v>
      </c>
      <c r="E2" s="16" t="s">
        <v>25</v>
      </c>
      <c r="F2" s="16" t="s">
        <v>25</v>
      </c>
      <c r="G2" s="16" t="s">
        <v>25</v>
      </c>
      <c r="I2" s="16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A2</v>
      </c>
      <c r="AA2" s="16" t="s">
        <v>45</v>
      </c>
      <c r="AB2" s="16" t="s">
        <v>87</v>
      </c>
      <c r="AC2" s="16" t="s">
        <v>24</v>
      </c>
      <c r="AD2" s="16" t="s">
        <v>24</v>
      </c>
      <c r="AG2" s="16" t="s">
        <v>89</v>
      </c>
    </row>
    <row r="3" spans="1:33" x14ac:dyDescent="0.2">
      <c r="AA3" s="16" t="s">
        <v>33</v>
      </c>
      <c r="AB3" s="16" t="s">
        <v>96</v>
      </c>
      <c r="AC3" s="16" t="s">
        <v>47</v>
      </c>
      <c r="AD3" s="16" t="s">
        <v>29</v>
      </c>
      <c r="AG3" s="16" t="s">
        <v>90</v>
      </c>
    </row>
    <row r="4" spans="1:33" x14ac:dyDescent="0.2">
      <c r="AA4" s="16" t="s">
        <v>44</v>
      </c>
      <c r="AB4" s="16" t="s">
        <v>101</v>
      </c>
      <c r="AC4" s="16" t="s">
        <v>50</v>
      </c>
      <c r="AD4" s="16" t="s">
        <v>30</v>
      </c>
      <c r="AG4" s="16" t="s">
        <v>94</v>
      </c>
    </row>
    <row r="5" spans="1:33" x14ac:dyDescent="0.2">
      <c r="A5" s="16" t="s">
        <v>1705</v>
      </c>
      <c r="B5" s="16" t="str">
        <f>TE!$W$4</f>
        <v>P&amp;D</v>
      </c>
      <c r="C5" s="16" t="str">
        <f>TE!$X$4</f>
        <v>ESS/ERR</v>
      </c>
      <c r="D5" s="16" t="str">
        <f>TE!$Y$4</f>
        <v>CFURH</v>
      </c>
      <c r="E5" s="16" t="str">
        <f>TE!$Z$4</f>
        <v>CDE ENERGIA</v>
      </c>
      <c r="F5" s="16" t="str">
        <f>TE!$AA$4</f>
        <v>ENERGIA REVENDA</v>
      </c>
      <c r="G5" s="16" t="str">
        <f>TE!$AB$4</f>
        <v>ITAIPU</v>
      </c>
      <c r="H5" s="16" t="str">
        <f>TE!$AC$4</f>
        <v>TUST ITAIPU</v>
      </c>
      <c r="I5" s="16" t="str">
        <f>TE!$AD$4</f>
        <v>TUST CI</v>
      </c>
      <c r="J5" s="16" t="str">
        <f>TE!$AE$4</f>
        <v>SUBSIDIO</v>
      </c>
      <c r="K5" s="16" t="str">
        <f>TE!$AF$4</f>
        <v>PERDAS RB/C</v>
      </c>
      <c r="L5" s="16" t="s">
        <v>994</v>
      </c>
      <c r="AA5" s="16" t="s">
        <v>22</v>
      </c>
      <c r="AD5" s="16" t="s">
        <v>31</v>
      </c>
      <c r="AG5" s="16" t="s">
        <v>100</v>
      </c>
    </row>
    <row r="6" spans="1:33" x14ac:dyDescent="0.2">
      <c r="A6" s="16" t="s">
        <v>1706</v>
      </c>
      <c r="B6" s="57">
        <f>SUM(TE!$W$56:'TE'!$W$101)</f>
        <v>13283539.653644184</v>
      </c>
      <c r="C6" s="57">
        <f>SUM(TE!$X$56:'TE'!$X$101)</f>
        <v>-6377784.4654705608</v>
      </c>
      <c r="D6" s="57">
        <f>SUM(TE!$Y$56:'TE'!$Y$101)</f>
        <v>0</v>
      </c>
      <c r="E6" s="57">
        <f>SUM(TE!$Z$56:'TE'!$Z$101)</f>
        <v>-22737624.299430776</v>
      </c>
      <c r="F6" s="57">
        <f>SUM(TE!$AA$56:'TE'!$AA$101)</f>
        <v>1318401321.638521</v>
      </c>
      <c r="G6" s="57">
        <f>SUM(TE!$AB$56:'TE'!$AB$101)</f>
        <v>34370723.115427963</v>
      </c>
      <c r="H6" s="57">
        <f>SUM(TE!$AC$56:'TE'!$AC$101)</f>
        <v>20685855.411065232</v>
      </c>
      <c r="I6" s="57">
        <f>SUM(TE!$AD$56:'TE'!$AD$101)</f>
        <v>0</v>
      </c>
      <c r="J6" s="57">
        <f>SUM(TE!$AE$56:'TE'!$AE$101)</f>
        <v>0</v>
      </c>
      <c r="K6" s="57">
        <f>SUM(TE!$AF$56:'TE'!$AF$101)</f>
        <v>32736735.986468252</v>
      </c>
      <c r="L6" s="57">
        <f t="shared" ref="L6:L11" si="0">SUM(B6:K6)</f>
        <v>1390362767.0402255</v>
      </c>
      <c r="AA6" s="16" t="s">
        <v>46</v>
      </c>
      <c r="AD6" s="16" t="s">
        <v>32</v>
      </c>
    </row>
    <row r="7" spans="1:33" x14ac:dyDescent="0.2">
      <c r="A7" s="16" t="s">
        <v>1707</v>
      </c>
      <c r="B7" s="57">
        <f>SUM(TE!$L$56:'TE'!$L$101)</f>
        <v>12835121.252519997</v>
      </c>
      <c r="C7" s="57">
        <f>SUM(TE!$M$56:'TE'!$M$101)</f>
        <v>71176508.657557964</v>
      </c>
      <c r="D7" s="57">
        <f>SUM(TE!$N$56:'TE'!$N$101)</f>
        <v>0</v>
      </c>
      <c r="E7" s="57">
        <f>SUM(TE!$O$56:'TE'!$O$101)</f>
        <v>-30746404.347951349</v>
      </c>
      <c r="F7" s="57">
        <f>SUM(TE!$P$56:'TE'!$P$101)</f>
        <v>1095552981.9248393</v>
      </c>
      <c r="G7" s="57">
        <f>SUM(TE!$Q$56:'TE'!$Q$101)</f>
        <v>39667142.20744402</v>
      </c>
      <c r="H7" s="57">
        <f>SUM(TE!$R$56:'TE'!$R$101)</f>
        <v>32024732.992288519</v>
      </c>
      <c r="I7" s="57">
        <f>SUM(TE!$S$56:'TE'!$S$101)</f>
        <v>0</v>
      </c>
      <c r="J7" s="57">
        <f>SUM(TE!$T$56:'TE'!$T$101)</f>
        <v>0</v>
      </c>
      <c r="K7" s="57">
        <f>SUM(TE!$U$56:'TE'!$U$101)</f>
        <v>27199940.990617763</v>
      </c>
      <c r="L7" s="57">
        <f t="shared" si="0"/>
        <v>1247710023.6773162</v>
      </c>
      <c r="AA7" s="16" t="s">
        <v>39</v>
      </c>
      <c r="AD7" s="16" t="s">
        <v>103</v>
      </c>
    </row>
    <row r="8" spans="1:33" x14ac:dyDescent="0.2">
      <c r="A8" s="16" t="s">
        <v>1710</v>
      </c>
      <c r="B8" s="57">
        <f>IF($G$2&lt;&gt;"Não se aplica",SUMIF(TE!$G$56:'TE'!$G$101,$I$2,TE!$W$56:'TE'!$W$101),IF($F$2&lt;&gt;"Não se aplica",SUMIF(TE!$F$56:'TE'!$F$101,$I$2,TE!$W$56:'TE'!$W$101),IF($E$2&lt;&gt;"Não se aplica",SUMIF(TE!$E$56:'TE'!$E$101,$I$2,TE!$W$56:'TE'!$W$101),IF($D$2&lt;&gt;"Não se aplica",SUMIF(TE!$D$56:'TE'!$D$101,$I$2,TE!$W$56:'TE'!$W$101),IF($C$2&lt;&gt;"Não se aplica",SUMIF(TE!$C$56:'TE'!$C$101,$I$2,TE!$W$56:'TE'!$W$101),IF($B$2&lt;&gt;"Não se aplica",SUMIF(TE!$B$56:'TE'!$B$101,$I$2,TE!$W$56:'TE'!$W$101),SUMIF(TE!$A$56:'TE'!$A$101,$I$2,TE!$W$56:'TE'!$W$101)))))))</f>
        <v>280598.21353142994</v>
      </c>
      <c r="C8" s="57">
        <f>IF($G$2&lt;&gt;"Não se aplica",SUMIF(TE!$G$56:'TE'!$G$101,$I$2,TE!$X$56:'TE'!$X$101),IF($F$2&lt;&gt;"Não se aplica",SUMIF(TE!$F$56:'TE'!$F$101,$I$2,TE!$X$56:'TE'!$X$101),IF($E$2&lt;&gt;"Não se aplica",SUMIF(TE!$E$56:'TE'!$E$101,$I$2,TE!$X$56:'TE'!$X$101),IF($D$2&lt;&gt;"Não se aplica",SUMIF(TE!$D$56:'TE'!$D$101,$I$2,TE!$X$56:'TE'!$X$101),IF($C$2&lt;&gt;"Não se aplica",SUMIF(TE!$C$56:'TE'!$C$101,$I$2,TE!$X$56:'TE'!$X$101),IF($B$2&lt;&gt;"Não se aplica",SUMIF(TE!$B$56:'TE'!$B$101,$I$2,TE!$X$56:'TE'!$X$101),SUMIF(TE!$A$56:'TE'!$A$101,$I$2,TE!$X$56:'TE'!$X$101)))))))</f>
        <v>-134722.74513883732</v>
      </c>
      <c r="D8" s="57">
        <f>IF($G$2&lt;&gt;"Não se aplica",SUMIF(TE!$G$56:'TE'!$G$101,$I$2,TE!$Y$56:'TE'!$Y$101),IF($F$2&lt;&gt;"Não se aplica",SUMIF(TE!$F$56:'TE'!$F$101,$I$2,TE!$Y$56:'TE'!$Y$101),IF($E$2&lt;&gt;"Não se aplica",SUMIF(TE!$E$56:'TE'!$E$101,$I$2,TE!$Y$56:'TE'!$Y$101),IF($D$2&lt;&gt;"Não se aplica",SUMIF(TE!$D$56:'TE'!$D$101,$I$2,TE!$Y$56:'TE'!$Y$101),IF($C$2&lt;&gt;"Não se aplica",SUMIF(TE!$C$56:'TE'!$C$101,$I$2,TE!$Y$56:'TE'!$Y$101),IF($B$2&lt;&gt;"Não se aplica",SUMIF(TE!$B$56:'TE'!$B$101,$I$2,TE!$Y$56:'TE'!$Y$101),SUMIF(TE!$A$56:'TE'!$A$101,$I$2,TE!$Y$56:'TE'!$Y$101)))))))</f>
        <v>0</v>
      </c>
      <c r="E8" s="57">
        <f>IF($G$2&lt;&gt;"Não se aplica",SUMIF(TE!$G$56:'TE'!$G$101,$I$2,TE!$Z$56:'TE'!$Z$101),IF($F$2&lt;&gt;"Não se aplica",SUMIF(TE!$F$56:'TE'!$F$101,$I$2,TE!$Z$56:'TE'!$Z$101),IF($E$2&lt;&gt;"Não se aplica",SUMIF(TE!$E$56:'TE'!$E$101,$I$2,TE!$Z$56:'TE'!$Z$101),IF($D$2&lt;&gt;"Não se aplica",SUMIF(TE!$D$56:'TE'!$D$101,$I$2,TE!$Z$56:'TE'!$Z$101),IF($C$2&lt;&gt;"Não se aplica",SUMIF(TE!$C$56:'TE'!$C$101,$I$2,TE!$Z$56:'TE'!$Z$101),IF($B$2&lt;&gt;"Não se aplica",SUMIF(TE!$B$56:'TE'!$B$101,$I$2,TE!$Z$56:'TE'!$Z$101),SUMIF(TE!$A$56:'TE'!$A$101,$I$2,TE!$Z$56:'TE'!$Z$101)))))))</f>
        <v>-480303.96450985043</v>
      </c>
      <c r="F8" s="57">
        <f>IF($G$2&lt;&gt;"Não se aplica",SUMIF(TE!$G$56:'TE'!$G$101,$I$2,TE!$AA$56:'TE'!$AA$101),IF($F$2&lt;&gt;"Não se aplica",SUMIF(TE!$F$56:'TE'!$F$101,$I$2,TE!$AA$56:'TE'!$AA$101),IF($E$2&lt;&gt;"Não se aplica",SUMIF(TE!$E$56:'TE'!$E$101,$I$2,TE!$AA$56:'TE'!$AA$101),IF($D$2&lt;&gt;"Não se aplica",SUMIF(TE!$D$56:'TE'!$D$101,$I$2,TE!$AA$56:'TE'!$AA$101),IF($C$2&lt;&gt;"Não se aplica",SUMIF(TE!$C$56:'TE'!$C$101,$I$2,TE!$AA$56:'TE'!$AA$101),IF($B$2&lt;&gt;"Não se aplica",SUMIF(TE!$B$56:'TE'!$B$101,$I$2,TE!$AA$56:'TE'!$AA$101),SUMIF(TE!$A$56:'TE'!$A$101,$I$2,TE!$AA$56:'TE'!$AA$101)))))))</f>
        <v>27329572.68284509</v>
      </c>
      <c r="G8" s="57">
        <f>IF($G$2&lt;&gt;"Não se aplica",SUMIF(TE!$G$56:'TE'!$G$101,$I$2,TE!$AB$56:'TE'!$AB$101),IF($F$2&lt;&gt;"Não se aplica",SUMIF(TE!$F$56:'TE'!$F$101,$I$2,TE!$AB$56:'TE'!$AB$101),IF($E$2&lt;&gt;"Não se aplica",SUMIF(TE!$E$56:'TE'!$E$101,$I$2,TE!$AB$56:'TE'!$AB$101),IF($D$2&lt;&gt;"Não se aplica",SUMIF(TE!$D$56:'TE'!$D$101,$I$2,TE!$AB$56:'TE'!$AB$101),IF($C$2&lt;&gt;"Não se aplica",SUMIF(TE!$C$56:'TE'!$C$101,$I$2,TE!$AB$56:'TE'!$AB$101),IF($B$2&lt;&gt;"Não se aplica",SUMIF(TE!$B$56:'TE'!$B$101,$I$2,TE!$AB$56:'TE'!$AB$101),SUMIF(TE!$A$56:'TE'!$A$101,$I$2,TE!$AB$56:'TE'!$AB$101)))))))</f>
        <v>726038.67308264447</v>
      </c>
      <c r="H8" s="57">
        <f>IF($G$2&lt;&gt;"Não se aplica",SUMIF(TE!$G$56:'TE'!$G$101,$I$2,TE!$AC$56:'TE'!$AC$101),IF($F$2&lt;&gt;"Não se aplica",SUMIF(TE!$F$56:'TE'!$F$101,$I$2,TE!$AC$56:'TE'!$AC$101),IF($E$2&lt;&gt;"Não se aplica",SUMIF(TE!$E$56:'TE'!$E$101,$I$2,TE!$AC$56:'TE'!$AC$101),IF($D$2&lt;&gt;"Não se aplica",SUMIF(TE!$D$56:'TE'!$D$101,$I$2,TE!$AC$56:'TE'!$AC$101),IF($C$2&lt;&gt;"Não se aplica",SUMIF(TE!$C$56:'TE'!$C$101,$I$2,TE!$AC$56:'TE'!$AC$101),IF($B$2&lt;&gt;"Não se aplica",SUMIF(TE!$B$56:'TE'!$B$101,$I$2,TE!$AC$56:'TE'!$AC$101),SUMIF(TE!$A$56:'TE'!$A$101,$I$2,TE!$AC$56:'TE'!$AC$101)))))))</f>
        <v>436962.90484757925</v>
      </c>
      <c r="I8" s="57">
        <f>IF($G$2&lt;&gt;"Não se aplica",SUMIF(TE!$G$56:'TE'!$G$101,$I$2,TE!$AD$56:'TE'!$AD$101),IF($F$2&lt;&gt;"Não se aplica",SUMIF(TE!$F$56:'TE'!$F$101,$I$2,TE!$AD$56:'TE'!$AD$101),IF($E$2&lt;&gt;"Não se aplica",SUMIF(TE!$E$56:'TE'!$E$101,$I$2,TE!$AD$56:'TE'!$AD$101),IF($D$2&lt;&gt;"Não se aplica",SUMIF(TE!$D$56:'TE'!$D$101,$I$2,TE!$AD$56:'TE'!$AD$101),IF($C$2&lt;&gt;"Não se aplica",SUMIF(TE!$C$56:'TE'!$C$101,$I$2,TE!$AD$56:'TE'!$AD$101),IF($B$2&lt;&gt;"Não se aplica",SUMIF(TE!$B$56:'TE'!$B$101,$I$2,TE!$AD$56:'TE'!$AD$101),SUMIF(TE!$A$56:'TE'!$A$101,$I$2,TE!$AD$56:'TE'!$AD$101)))))))</f>
        <v>0</v>
      </c>
      <c r="J8" s="57">
        <f>IF($G$2&lt;&gt;"Não se aplica",SUMIF(TE!$G$56:'TE'!$G$101,$I$2,TE!$AE$56:'TE'!$AE$101),IF($F$2&lt;&gt;"Não se aplica",SUMIF(TE!$F$56:'TE'!$F$101,$I$2,TE!$AE$56:'TE'!$AE$101),IF($E$2&lt;&gt;"Não se aplica",SUMIF(TE!$E$56:'TE'!$E$101,$I$2,TE!$AE$56:'TE'!$AE$101),IF($D$2&lt;&gt;"Não se aplica",SUMIF(TE!$D$56:'TE'!$D$101,$I$2,TE!$AE$56:'TE'!$AE$101),IF($C$2&lt;&gt;"Não se aplica",SUMIF(TE!$C$56:'TE'!$C$101,$I$2,TE!$AE$56:'TE'!$AE$101),IF($B$2&lt;&gt;"Não se aplica",SUMIF(TE!$B$56:'TE'!$B$101,$I$2,TE!$AE$56:'TE'!$AE$101),SUMIF(TE!$A$56:'TE'!$A$101,$I$2,TE!$AE$56:'TE'!$AE$101)))))))</f>
        <v>0</v>
      </c>
      <c r="K8" s="57">
        <f>IF($G$2&lt;&gt;"Não se aplica",SUMIF(TE!$G$56:'TE'!$G$101,$I$2,TE!$AF$56:'TE'!$AF$101),IF($F$2&lt;&gt;"Não se aplica",SUMIF(TE!$F$56:'TE'!$F$101,$I$2,TE!$AF$56:'TE'!$AF$101),IF($E$2&lt;&gt;"Não se aplica",SUMIF(TE!$E$56:'TE'!$E$101,$I$2,TE!$AF$56:'TE'!$AF$101),IF($D$2&lt;&gt;"Não se aplica",SUMIF(TE!$D$56:'TE'!$D$101,$I$2,TE!$AF$56:'TE'!$AF$101),IF($C$2&lt;&gt;"Não se aplica",SUMIF(TE!$C$56:'TE'!$C$101,$I$2,TE!$AF$56:'TE'!$AF$101),IF($B$2&lt;&gt;"Não se aplica",SUMIF(TE!$B$56:'TE'!$B$101,$I$2,TE!$AF$56:'TE'!$AF$101),SUMIF(TE!$A$56:'TE'!$A$101,$I$2,TE!$AF$56:'TE'!$AF$101)))))))</f>
        <v>691522.73220587196</v>
      </c>
      <c r="L8" s="57">
        <f t="shared" si="0"/>
        <v>28849668.496863931</v>
      </c>
      <c r="AA8" s="16" t="s">
        <v>49</v>
      </c>
      <c r="AD8" s="16" t="s">
        <v>104</v>
      </c>
    </row>
    <row r="9" spans="1:33" x14ac:dyDescent="0.2">
      <c r="A9" s="16" t="s">
        <v>1711</v>
      </c>
      <c r="B9" s="57">
        <f>IF($G$2&lt;&gt;"Não se aplica",SUMIF(TE!$G$56:'TE'!$G$101,$I$2,TE!$L$56:'TE'!$L$101),IF($F$2&lt;&gt;"Não se aplica",SUMIF(TE!$F$56:'TE'!$F$101,$I$2,TE!$L$56:'TE'!$L$101),IF($E$2&lt;&gt;"Não se aplica",SUMIF(TE!$E$56:'TE'!$E$101,$I$2,TE!$L$56:'TE'!$L$101),IF($D$2&lt;&gt;"Não se aplica",SUMIF(TE!$D$56:'TE'!$D$101,$I$2,TE!$L$56:'TE'!$L$101),IF($C$2&lt;&gt;"Não se aplica",SUMIF(TE!$C$56:'TE'!$C$101,$I$2,TE!$L$56:'TE'!$L$101),IF($B$2&lt;&gt;"Não se aplica",SUMIF(TE!$B$56:'TE'!$B$101,$I$2,TE!$L$56:'TE'!$L$101),SUMIF(TE!$A$56:'TE'!$A$101,$I$2,TE!$L$56:'TE'!$L$101)))))))</f>
        <v>270867.18308007054</v>
      </c>
      <c r="C9" s="57">
        <f>IF($G$2&lt;&gt;"Não se aplica",SUMIF(TE!$G$56:'TE'!$G$101,$I$2,TE!$M$56:'TE'!$M$101),IF($F$2&lt;&gt;"Não se aplica",SUMIF(TE!$F$56:'TE'!$F$101,$I$2,TE!$M$56:'TE'!$M$101),IF($E$2&lt;&gt;"Não se aplica",SUMIF(TE!$E$56:'TE'!$E$101,$I$2,TE!$M$56:'TE'!$M$101),IF($D$2&lt;&gt;"Não se aplica",SUMIF(TE!$D$56:'TE'!$D$101,$I$2,TE!$M$56:'TE'!$M$101),IF($C$2&lt;&gt;"Não se aplica",SUMIF(TE!$C$56:'TE'!$C$101,$I$2,TE!$M$56:'TE'!$M$101),IF($B$2&lt;&gt;"Não se aplica",SUMIF(TE!$B$56:'TE'!$B$101,$I$2,TE!$M$56:'TE'!$M$101),SUMIF(TE!$A$56:'TE'!$A$101,$I$2,TE!$M$56:'TE'!$M$101)))))))</f>
        <v>1502080.1145732647</v>
      </c>
      <c r="D9" s="57">
        <f>IF($G$2&lt;&gt;"Não se aplica",SUMIF(TE!$G$56:'TE'!$G$101,$I$2,TE!$N$56:'TE'!$N$101),IF($F$2&lt;&gt;"Não se aplica",SUMIF(TE!$F$56:'TE'!$F$101,$I$2,TE!$N$56:'TE'!$N$101),IF($E$2&lt;&gt;"Não se aplica",SUMIF(TE!$E$56:'TE'!$E$101,$I$2,TE!$N$56:'TE'!$N$101),IF($D$2&lt;&gt;"Não se aplica",SUMIF(TE!$D$56:'TE'!$D$101,$I$2,TE!$N$56:'TE'!$N$101),IF($C$2&lt;&gt;"Não se aplica",SUMIF(TE!$C$56:'TE'!$C$101,$I$2,TE!$N$56:'TE'!$N$101),IF($B$2&lt;&gt;"Não se aplica",SUMIF(TE!$B$56:'TE'!$B$101,$I$2,TE!$N$56:'TE'!$N$101),SUMIF(TE!$A$56:'TE'!$A$101,$I$2,TE!$N$56:'TE'!$N$101)))))))</f>
        <v>0</v>
      </c>
      <c r="E9" s="57">
        <f>IF($G$2&lt;&gt;"Não se aplica",SUMIF(TE!$G$56:'TE'!$G$101,$I$2,TE!$O$56:'TE'!$O$101),IF($F$2&lt;&gt;"Não se aplica",SUMIF(TE!$F$56:'TE'!$F$101,$I$2,TE!$O$56:'TE'!$O$101),IF($E$2&lt;&gt;"Não se aplica",SUMIF(TE!$E$56:'TE'!$E$101,$I$2,TE!$O$56:'TE'!$O$101),IF($D$2&lt;&gt;"Não se aplica",SUMIF(TE!$D$56:'TE'!$D$101,$I$2,TE!$O$56:'TE'!$O$101),IF($C$2&lt;&gt;"Não se aplica",SUMIF(TE!$C$56:'TE'!$C$101,$I$2,TE!$O$56:'TE'!$O$101),IF($B$2&lt;&gt;"Não se aplica",SUMIF(TE!$B$56:'TE'!$B$101,$I$2,TE!$O$56:'TE'!$O$101),SUMIF(TE!$A$56:'TE'!$A$101,$I$2,TE!$O$56:'TE'!$O$101)))))))</f>
        <v>-648859.62288321136</v>
      </c>
      <c r="F9" s="57">
        <f>IF($G$2&lt;&gt;"Não se aplica",SUMIF(TE!$G$56:'TE'!$G$101,$I$2,TE!$P$56:'TE'!$P$101),IF($F$2&lt;&gt;"Não se aplica",SUMIF(TE!$F$56:'TE'!$F$101,$I$2,TE!$P$56:'TE'!$P$101),IF($E$2&lt;&gt;"Não se aplica",SUMIF(TE!$E$56:'TE'!$E$101,$I$2,TE!$P$56:'TE'!$P$101),IF($D$2&lt;&gt;"Não se aplica",SUMIF(TE!$D$56:'TE'!$D$101,$I$2,TE!$P$56:'TE'!$P$101),IF($C$2&lt;&gt;"Não se aplica",SUMIF(TE!$C$56:'TE'!$C$101,$I$2,TE!$P$56:'TE'!$P$101),IF($B$2&lt;&gt;"Não se aplica",SUMIF(TE!$B$56:'TE'!$B$101,$I$2,TE!$P$56:'TE'!$P$101),SUMIF(TE!$A$56:'TE'!$A$101,$I$2,TE!$P$56:'TE'!$P$101)))))))</f>
        <v>22688420.362044401</v>
      </c>
      <c r="G9" s="57">
        <f>IF($G$2&lt;&gt;"Não se aplica",SUMIF(TE!$G$56:'TE'!$G$101,$I$2,TE!$Q$56:'TE'!$Q$101),IF($F$2&lt;&gt;"Não se aplica",SUMIF(TE!$F$56:'TE'!$F$101,$I$2,TE!$Q$56:'TE'!$Q$101),IF($E$2&lt;&gt;"Não se aplica",SUMIF(TE!$E$56:'TE'!$E$101,$I$2,TE!$Q$56:'TE'!$Q$101),IF($D$2&lt;&gt;"Não se aplica",SUMIF(TE!$D$56:'TE'!$D$101,$I$2,TE!$Q$56:'TE'!$Q$101),IF($C$2&lt;&gt;"Não se aplica",SUMIF(TE!$C$56:'TE'!$C$101,$I$2,TE!$Q$56:'TE'!$Q$101),IF($B$2&lt;&gt;"Não se aplica",SUMIF(TE!$B$56:'TE'!$B$101,$I$2,TE!$Q$56:'TE'!$Q$101),SUMIF(TE!$A$56:'TE'!$A$101,$I$2,TE!$Q$56:'TE'!$Q$101)))))))</f>
        <v>837119.24953240296</v>
      </c>
      <c r="H9" s="57">
        <f>IF($G$2&lt;&gt;"Não se aplica",SUMIF(TE!$G$56:'TE'!$G$101,$I$2,TE!$R$56:'TE'!$R$101),IF($F$2&lt;&gt;"Não se aplica",SUMIF(TE!$F$56:'TE'!$F$101,$I$2,TE!$R$56:'TE'!$R$101),IF($E$2&lt;&gt;"Não se aplica",SUMIF(TE!$E$56:'TE'!$E$101,$I$2,TE!$R$56:'TE'!$R$101),IF($D$2&lt;&gt;"Não se aplica",SUMIF(TE!$D$56:'TE'!$D$101,$I$2,TE!$R$56:'TE'!$R$101),IF($C$2&lt;&gt;"Não se aplica",SUMIF(TE!$C$56:'TE'!$C$101,$I$2,TE!$R$56:'TE'!$R$101),IF($B$2&lt;&gt;"Não se aplica",SUMIF(TE!$B$56:'TE'!$B$101,$I$2,TE!$R$56:'TE'!$R$101),SUMIF(TE!$A$56:'TE'!$A$101,$I$2,TE!$R$56:'TE'!$R$101)))))))</f>
        <v>675836.95111641311</v>
      </c>
      <c r="I9" s="57">
        <f>IF($G$2&lt;&gt;"Não se aplica",SUMIF(TE!$G$56:'TE'!$G$101,$I$2,TE!$S$56:'TE'!$S$101),IF($F$2&lt;&gt;"Não se aplica",SUMIF(TE!$F$56:'TE'!$F$101,$I$2,TE!$S$56:'TE'!$S$101),IF($E$2&lt;&gt;"Não se aplica",SUMIF(TE!$E$56:'TE'!$E$101,$I$2,TE!$S$56:'TE'!$S$101),IF($D$2&lt;&gt;"Não se aplica",SUMIF(TE!$D$56:'TE'!$D$101,$I$2,TE!$S$56:'TE'!$S$101),IF($C$2&lt;&gt;"Não se aplica",SUMIF(TE!$C$56:'TE'!$C$101,$I$2,TE!$S$56:'TE'!$S$101),IF($B$2&lt;&gt;"Não se aplica",SUMIF(TE!$B$56:'TE'!$B$101,$I$2,TE!$S$56:'TE'!$S$101),SUMIF(TE!$A$56:'TE'!$A$101,$I$2,TE!$S$56:'TE'!$S$101)))))))</f>
        <v>0</v>
      </c>
      <c r="J9" s="57">
        <f>IF($G$2&lt;&gt;"Não se aplica",SUMIF(TE!$G$56:'TE'!$G$101,$I$2,TE!$T$56:'TE'!$T$101),IF($F$2&lt;&gt;"Não se aplica",SUMIF(TE!$F$56:'TE'!$F$101,$I$2,TE!$T$56:'TE'!$T$101),IF($E$2&lt;&gt;"Não se aplica",SUMIF(TE!$E$56:'TE'!$E$101,$I$2,TE!$T$56:'TE'!$T$101),IF($D$2&lt;&gt;"Não se aplica",SUMIF(TE!$D$56:'TE'!$D$101,$I$2,TE!$T$56:'TE'!$T$101),IF($C$2&lt;&gt;"Não se aplica",SUMIF(TE!$C$56:'TE'!$C$101,$I$2,TE!$T$56:'TE'!$T$101),IF($B$2&lt;&gt;"Não se aplica",SUMIF(TE!$B$56:'TE'!$B$101,$I$2,TE!$T$56:'TE'!$T$101),SUMIF(TE!$A$56:'TE'!$A$101,$I$2,TE!$T$56:'TE'!$T$101)))))))</f>
        <v>0</v>
      </c>
      <c r="K9" s="57">
        <f>IF($G$2&lt;&gt;"Não se aplica",SUMIF(TE!$G$56:'TE'!$G$101,$I$2,TE!$U$56:'TE'!$U$101),IF($F$2&lt;&gt;"Não se aplica",SUMIF(TE!$F$56:'TE'!$F$101,$I$2,TE!$U$56:'TE'!$U$101),IF($E$2&lt;&gt;"Não se aplica",SUMIF(TE!$E$56:'TE'!$E$101,$I$2,TE!$U$56:'TE'!$U$101),IF($D$2&lt;&gt;"Não se aplica",SUMIF(TE!$D$56:'TE'!$D$101,$I$2,TE!$U$56:'TE'!$U$101),IF($C$2&lt;&gt;"Não se aplica",SUMIF(TE!$C$56:'TE'!$C$101,$I$2,TE!$U$56:'TE'!$U$101),IF($B$2&lt;&gt;"Não se aplica",SUMIF(TE!$B$56:'TE'!$B$101,$I$2,TE!$U$56:'TE'!$U$101),SUMIF(TE!$A$56:'TE'!$A$101,$I$2,TE!$U$56:'TE'!$U$101)))))))</f>
        <v>574016.50137323467</v>
      </c>
      <c r="L9" s="57">
        <f t="shared" si="0"/>
        <v>25899480.738836575</v>
      </c>
      <c r="AD9" s="16" t="s">
        <v>51</v>
      </c>
    </row>
    <row r="10" spans="1:33" x14ac:dyDescent="0.2">
      <c r="A10" s="16" t="s">
        <v>1708</v>
      </c>
      <c r="B10" s="57">
        <f>SUMIF(TE!$A$56:'TE'!$A$101,$A$2,TE!$W$56:'TE'!$W$101)</f>
        <v>280598.21353142994</v>
      </c>
      <c r="C10" s="57">
        <f>SUMIF(TE!$A$56:'TE'!$A$101,$A$2,TE!$X$56:'TE'!$X$101)</f>
        <v>-134722.74513883732</v>
      </c>
      <c r="D10" s="57">
        <f>SUMIF(TE!$A$56:'TE'!$A$101,$A$2,TE!$Y$56:'TE'!$Y$101)</f>
        <v>0</v>
      </c>
      <c r="E10" s="57">
        <f>SUMIF(TE!$A$56:'TE'!$A$101,$A$2,TE!$Z$56:'TE'!$Z$101)</f>
        <v>-480303.96450985043</v>
      </c>
      <c r="F10" s="57">
        <f>SUMIF(TE!$A$56:'TE'!$A$101,$A$2,TE!$AA$56:'TE'!$AA$101)</f>
        <v>27329572.68284509</v>
      </c>
      <c r="G10" s="57">
        <f>SUMIF(TE!$A$56:'TE'!$A$101,$A$2,TE!$AB$56:'TE'!$AB$101)</f>
        <v>726038.67308264447</v>
      </c>
      <c r="H10" s="57">
        <f>SUMIF(TE!$A$56:'TE'!$A$101,$A$2,TE!$AC$56:'TE'!$AC$101)</f>
        <v>436962.90484757925</v>
      </c>
      <c r="I10" s="57">
        <f>SUMIF(TE!$A$56:'TE'!$A$101,$A$2,TE!$AD$56:'TE'!$AD$101)</f>
        <v>0</v>
      </c>
      <c r="J10" s="57">
        <f>SUMIF(TE!$A$56:'TE'!$A$101,$A$2,TE!$AE$56:'TE'!$AE$101)</f>
        <v>0</v>
      </c>
      <c r="K10" s="57">
        <f>SUMIF(TE!$A$56:'TE'!$A$101,$A$2,TE!$AF$56:'TE'!$AF$101)</f>
        <v>691522.73220587196</v>
      </c>
      <c r="L10" s="57">
        <f t="shared" si="0"/>
        <v>28849668.496863931</v>
      </c>
      <c r="AD10" s="16" t="s">
        <v>105</v>
      </c>
    </row>
    <row r="11" spans="1:33" x14ac:dyDescent="0.2">
      <c r="A11" s="16" t="s">
        <v>1709</v>
      </c>
      <c r="B11" s="57">
        <f>SUMIF(TE!$A$56:'TE'!$A$101,$A$2,TE!$L$56:'TE'!$L$101)</f>
        <v>270867.18308007054</v>
      </c>
      <c r="C11" s="57">
        <f>SUMIF(TE!$A$56:'TE'!$A$101,$A$2,TE!$M$56:'TE'!$M$101)</f>
        <v>1502080.1145732647</v>
      </c>
      <c r="D11" s="57">
        <f>SUMIF(TE!$A$56:'TE'!$A$101,$A$2,TE!$N$56:'TE'!$N$101)</f>
        <v>0</v>
      </c>
      <c r="E11" s="57">
        <f>SUMIF(TE!$A$56:'TE'!$A$101,$A$2,TE!$O$56:'TE'!$O$101)</f>
        <v>-648859.62288321136</v>
      </c>
      <c r="F11" s="57">
        <f>SUMIF(TE!$A$56:'TE'!$A$101,$A$2,TE!$P$56:'TE'!$P$101)</f>
        <v>22688420.362044401</v>
      </c>
      <c r="G11" s="57">
        <f>SUMIF(TE!$A$56:'TE'!$A$101,$A$2,TE!$Q$56:'TE'!$Q$101)</f>
        <v>837119.24953240296</v>
      </c>
      <c r="H11" s="57">
        <f>SUMIF(TE!$A$56:'TE'!$A$101,$A$2,TE!$R$56:'TE'!$R$101)</f>
        <v>675836.95111641311</v>
      </c>
      <c r="I11" s="57">
        <f>SUMIF(TE!$A$56:'TE'!$A$101,$A$2,TE!$S$56:'TE'!$S$101)</f>
        <v>0</v>
      </c>
      <c r="J11" s="57">
        <f>SUMIF(TE!$A$56:'TE'!$A$101,$A$2,TE!$T$56:'TE'!$T$101)</f>
        <v>0</v>
      </c>
      <c r="K11" s="57">
        <f>SUMIF(TE!$A$56:'TE'!$A$101,$A$2,TE!$U$56:'TE'!$U$101)</f>
        <v>574016.50137323467</v>
      </c>
      <c r="L11" s="57">
        <f t="shared" si="0"/>
        <v>25899480.738836575</v>
      </c>
    </row>
    <row r="13" spans="1:33" x14ac:dyDescent="0.2">
      <c r="A13" s="16" t="s">
        <v>1713</v>
      </c>
      <c r="B13" s="77">
        <f t="shared" ref="B13:L13" si="1">IF($L$6&lt;&gt;0,(B$7-B$6)/$L$6,0)</f>
        <v>-3.2251899414623299E-4</v>
      </c>
      <c r="C13" s="77">
        <f t="shared" si="1"/>
        <v>5.5779897852216258E-2</v>
      </c>
      <c r="D13" s="77">
        <f t="shared" si="1"/>
        <v>0</v>
      </c>
      <c r="E13" s="77">
        <f t="shared" si="1"/>
        <v>-5.7602089457339913E-3</v>
      </c>
      <c r="F13" s="77">
        <f t="shared" si="1"/>
        <v>-0.16028071593723447</v>
      </c>
      <c r="G13" s="77">
        <f t="shared" si="1"/>
        <v>3.8093792624287253E-3</v>
      </c>
      <c r="H13" s="77">
        <f t="shared" si="1"/>
        <v>8.1553374773989714E-3</v>
      </c>
      <c r="I13" s="77">
        <f t="shared" si="1"/>
        <v>0</v>
      </c>
      <c r="J13" s="77">
        <f t="shared" si="1"/>
        <v>0</v>
      </c>
      <c r="K13" s="77">
        <f t="shared" si="1"/>
        <v>-3.9822664466462225E-3</v>
      </c>
      <c r="L13" s="77">
        <f t="shared" si="1"/>
        <v>-0.10260109573171715</v>
      </c>
    </row>
    <row r="14" spans="1:33" x14ac:dyDescent="0.2">
      <c r="A14" s="16" t="s">
        <v>1714</v>
      </c>
      <c r="B14" s="77">
        <f t="shared" ref="B14:L14" si="2">IF($L$10&lt;&gt;0,(B$9-B$8)/$L$10,0)</f>
        <v>-3.373012917780044E-4</v>
      </c>
      <c r="C14" s="77">
        <f t="shared" si="2"/>
        <v>5.6735586403359496E-2</v>
      </c>
      <c r="D14" s="77">
        <f t="shared" si="2"/>
        <v>0</v>
      </c>
      <c r="E14" s="77">
        <f t="shared" si="2"/>
        <v>-5.8425509600459908E-3</v>
      </c>
      <c r="F14" s="77">
        <f t="shared" si="2"/>
        <v>-0.16087367940831621</v>
      </c>
      <c r="G14" s="77">
        <f t="shared" si="2"/>
        <v>3.8503241887106387E-3</v>
      </c>
      <c r="H14" s="77">
        <f t="shared" si="2"/>
        <v>8.2799580970852535E-3</v>
      </c>
      <c r="I14" s="77">
        <f t="shared" si="2"/>
        <v>0</v>
      </c>
      <c r="J14" s="77">
        <f t="shared" si="2"/>
        <v>0</v>
      </c>
      <c r="K14" s="77">
        <f t="shared" si="2"/>
        <v>-4.0730530697574794E-3</v>
      </c>
      <c r="L14" s="77">
        <f t="shared" si="2"/>
        <v>-0.10226071604074247</v>
      </c>
    </row>
    <row r="15" spans="1:33" x14ac:dyDescent="0.2">
      <c r="A15" s="16" t="s">
        <v>1715</v>
      </c>
      <c r="B15" s="77">
        <f t="shared" ref="B15:L15" si="3">IF($L$8&lt;&gt;0,(B$9-B$8)/$L$8,0)</f>
        <v>-3.373012917780044E-4</v>
      </c>
      <c r="C15" s="77">
        <f t="shared" si="3"/>
        <v>5.6735586403359496E-2</v>
      </c>
      <c r="D15" s="77">
        <f t="shared" si="3"/>
        <v>0</v>
      </c>
      <c r="E15" s="77">
        <f t="shared" si="3"/>
        <v>-5.8425509600459908E-3</v>
      </c>
      <c r="F15" s="77">
        <f t="shared" si="3"/>
        <v>-0.16087367940831621</v>
      </c>
      <c r="G15" s="77">
        <f t="shared" si="3"/>
        <v>3.8503241887106387E-3</v>
      </c>
      <c r="H15" s="77">
        <f t="shared" si="3"/>
        <v>8.2799580970852535E-3</v>
      </c>
      <c r="I15" s="77">
        <f t="shared" si="3"/>
        <v>0</v>
      </c>
      <c r="J15" s="77">
        <f t="shared" si="3"/>
        <v>0</v>
      </c>
      <c r="K15" s="77">
        <f t="shared" si="3"/>
        <v>-4.0730530697574794E-3</v>
      </c>
      <c r="L15" s="77">
        <f t="shared" si="3"/>
        <v>-0.10226071604074247</v>
      </c>
    </row>
  </sheetData>
  <dataValidations count="5">
    <dataValidation type="list" allowBlank="1" showInputMessage="1" showErrorMessage="1" sqref="A2" xr:uid="{72608710-2DA0-4BC8-B489-7ECFDCFDA164}">
      <formula1>AA1:AA8</formula1>
    </dataValidation>
    <dataValidation type="list" allowBlank="1" showInputMessage="1" showErrorMessage="1" sqref="B2 C2" xr:uid="{C187FE88-92EE-4827-B0FC-851F4BEF99EE}">
      <formula1>AB1:AB4</formula1>
    </dataValidation>
    <dataValidation type="list" allowBlank="1" showInputMessage="1" showErrorMessage="1" sqref="D2" xr:uid="{28F349B0-42F9-41D8-B7CE-C1D421D5FE9D}">
      <formula1>AD1:AD10</formula1>
    </dataValidation>
    <dataValidation type="list" allowBlank="1" showInputMessage="1" showErrorMessage="1" sqref="E2 F2" xr:uid="{30E9582B-D4B0-4F2E-B4A9-68FFEEC6BB06}">
      <formula1>AE1:AE1</formula1>
    </dataValidation>
    <dataValidation type="list" allowBlank="1" showInputMessage="1" showErrorMessage="1" sqref="G2" xr:uid="{001C9BDD-45F1-4BB8-97EB-77C3A330B715}">
      <formula1>AG1:AG5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CFD05-3EC3-44C9-A463-9B6FD38AD45E}">
  <dimension ref="B1:U18"/>
  <sheetViews>
    <sheetView showGridLines="0" workbookViewId="0">
      <selection activeCell="U1" sqref="U1"/>
    </sheetView>
  </sheetViews>
  <sheetFormatPr defaultRowHeight="15" x14ac:dyDescent="0.25"/>
  <sheetData>
    <row r="1" spans="2:21" x14ac:dyDescent="0.25">
      <c r="B1" s="69" t="s">
        <v>1187</v>
      </c>
      <c r="C1" s="69" t="s">
        <v>1188</v>
      </c>
      <c r="D1" s="69" t="s">
        <v>1189</v>
      </c>
      <c r="E1" s="69" t="s">
        <v>2</v>
      </c>
      <c r="F1" s="69" t="s">
        <v>1190</v>
      </c>
      <c r="G1" s="69" t="s">
        <v>1094</v>
      </c>
      <c r="H1" s="69" t="s">
        <v>3</v>
      </c>
      <c r="I1" s="69" t="s">
        <v>1191</v>
      </c>
      <c r="J1" s="69" t="s">
        <v>5</v>
      </c>
      <c r="K1" s="69" t="s">
        <v>1</v>
      </c>
      <c r="L1" s="69" t="s">
        <v>1192</v>
      </c>
      <c r="M1" s="69" t="s">
        <v>1193</v>
      </c>
      <c r="N1" s="69" t="s">
        <v>1194</v>
      </c>
      <c r="O1" s="69" t="s">
        <v>1195</v>
      </c>
      <c r="P1" s="69" t="s">
        <v>1196</v>
      </c>
      <c r="Q1" s="69" t="s">
        <v>1197</v>
      </c>
      <c r="R1" s="69" t="s">
        <v>1198</v>
      </c>
      <c r="S1" s="69" t="s">
        <v>1199</v>
      </c>
      <c r="T1" s="69" t="s">
        <v>1200</v>
      </c>
      <c r="U1" s="69" t="s">
        <v>1201</v>
      </c>
    </row>
    <row r="2" spans="2:21" x14ac:dyDescent="0.25">
      <c r="B2" s="68" t="s">
        <v>1165</v>
      </c>
      <c r="C2" s="68">
        <v>3394</v>
      </c>
      <c r="D2" s="68">
        <v>5160</v>
      </c>
      <c r="E2" s="68" t="s">
        <v>41</v>
      </c>
      <c r="F2" s="68">
        <v>1</v>
      </c>
      <c r="G2" s="68" t="s">
        <v>1166</v>
      </c>
      <c r="H2" s="68" t="s">
        <v>47</v>
      </c>
      <c r="I2" s="68" t="s">
        <v>25</v>
      </c>
      <c r="J2" s="68" t="s">
        <v>1167</v>
      </c>
      <c r="K2" s="68" t="s">
        <v>33</v>
      </c>
      <c r="L2" s="68">
        <v>0.1</v>
      </c>
      <c r="M2" s="68">
        <v>0.08</v>
      </c>
      <c r="N2" s="68">
        <v>0.06</v>
      </c>
      <c r="O2" s="68">
        <v>0.04</v>
      </c>
      <c r="P2" s="68">
        <v>0.02</v>
      </c>
      <c r="Q2" s="68">
        <v>0</v>
      </c>
      <c r="R2" s="68"/>
      <c r="S2" s="68"/>
      <c r="T2" s="68"/>
      <c r="U2" s="68">
        <v>1</v>
      </c>
    </row>
    <row r="3" spans="2:21" x14ac:dyDescent="0.25">
      <c r="B3" s="68" t="s">
        <v>1168</v>
      </c>
      <c r="C3" s="68">
        <v>3395</v>
      </c>
      <c r="D3" s="68">
        <v>5160</v>
      </c>
      <c r="E3" s="68" t="s">
        <v>34</v>
      </c>
      <c r="F3" s="68">
        <v>1</v>
      </c>
      <c r="G3" s="68" t="s">
        <v>1166</v>
      </c>
      <c r="H3" s="68" t="s">
        <v>47</v>
      </c>
      <c r="I3" s="68" t="s">
        <v>25</v>
      </c>
      <c r="J3" s="68" t="s">
        <v>1167</v>
      </c>
      <c r="K3" s="68" t="s">
        <v>33</v>
      </c>
      <c r="L3" s="68">
        <v>0.1</v>
      </c>
      <c r="M3" s="68">
        <v>0.08</v>
      </c>
      <c r="N3" s="68">
        <v>0.06</v>
      </c>
      <c r="O3" s="68">
        <v>0.04</v>
      </c>
      <c r="P3" s="68">
        <v>0.02</v>
      </c>
      <c r="Q3" s="68">
        <v>0</v>
      </c>
      <c r="R3" s="68"/>
      <c r="S3" s="68"/>
      <c r="T3" s="68"/>
      <c r="U3" s="68">
        <v>1</v>
      </c>
    </row>
    <row r="4" spans="2:21" x14ac:dyDescent="0.25">
      <c r="B4" s="68" t="s">
        <v>1169</v>
      </c>
      <c r="C4" s="68">
        <v>3396</v>
      </c>
      <c r="D4" s="68">
        <v>5160</v>
      </c>
      <c r="E4" s="68" t="s">
        <v>23</v>
      </c>
      <c r="F4" s="68">
        <v>1</v>
      </c>
      <c r="G4" s="68" t="s">
        <v>1166</v>
      </c>
      <c r="H4" s="68" t="s">
        <v>47</v>
      </c>
      <c r="I4" s="68" t="s">
        <v>25</v>
      </c>
      <c r="J4" s="68" t="s">
        <v>1167</v>
      </c>
      <c r="K4" s="68" t="s">
        <v>33</v>
      </c>
      <c r="L4" s="68">
        <v>0.1</v>
      </c>
      <c r="M4" s="68">
        <v>0.08</v>
      </c>
      <c r="N4" s="68">
        <v>0.06</v>
      </c>
      <c r="O4" s="68">
        <v>0.04</v>
      </c>
      <c r="P4" s="68">
        <v>0.02</v>
      </c>
      <c r="Q4" s="68">
        <v>0</v>
      </c>
      <c r="R4" s="68"/>
      <c r="S4" s="68"/>
      <c r="T4" s="68"/>
      <c r="U4" s="68">
        <v>1</v>
      </c>
    </row>
    <row r="5" spans="2:21" x14ac:dyDescent="0.25">
      <c r="B5" s="68" t="s">
        <v>1170</v>
      </c>
      <c r="C5" s="68">
        <v>3397</v>
      </c>
      <c r="D5" s="68">
        <v>5160</v>
      </c>
      <c r="E5" s="68" t="s">
        <v>41</v>
      </c>
      <c r="F5" s="68">
        <v>1</v>
      </c>
      <c r="G5" s="68" t="s">
        <v>1166</v>
      </c>
      <c r="H5" s="68" t="s">
        <v>52</v>
      </c>
      <c r="I5" s="68" t="s">
        <v>53</v>
      </c>
      <c r="J5" s="68" t="s">
        <v>1171</v>
      </c>
      <c r="K5" s="68" t="s">
        <v>33</v>
      </c>
      <c r="L5" s="68">
        <v>0.15</v>
      </c>
      <c r="M5" s="68">
        <v>0.12</v>
      </c>
      <c r="N5" s="68">
        <v>0.09</v>
      </c>
      <c r="O5" s="68">
        <v>0.06</v>
      </c>
      <c r="P5" s="68">
        <v>0.03</v>
      </c>
      <c r="Q5" s="68">
        <v>0</v>
      </c>
      <c r="R5" s="68"/>
      <c r="S5" s="68"/>
      <c r="T5" s="68"/>
      <c r="U5" s="68">
        <v>1</v>
      </c>
    </row>
    <row r="6" spans="2:21" x14ac:dyDescent="0.25">
      <c r="B6" s="68" t="s">
        <v>1172</v>
      </c>
      <c r="C6" s="68">
        <v>3398</v>
      </c>
      <c r="D6" s="68">
        <v>5160</v>
      </c>
      <c r="E6" s="68" t="s">
        <v>34</v>
      </c>
      <c r="F6" s="68">
        <v>1</v>
      </c>
      <c r="G6" s="68" t="s">
        <v>1166</v>
      </c>
      <c r="H6" s="68" t="s">
        <v>52</v>
      </c>
      <c r="I6" s="68" t="s">
        <v>53</v>
      </c>
      <c r="J6" s="68" t="s">
        <v>1171</v>
      </c>
      <c r="K6" s="68" t="s">
        <v>33</v>
      </c>
      <c r="L6" s="68">
        <v>0.15</v>
      </c>
      <c r="M6" s="68">
        <v>0.12</v>
      </c>
      <c r="N6" s="68">
        <v>0.09</v>
      </c>
      <c r="O6" s="68">
        <v>0.06</v>
      </c>
      <c r="P6" s="68">
        <v>0.03</v>
      </c>
      <c r="Q6" s="68">
        <v>0</v>
      </c>
      <c r="R6" s="68"/>
      <c r="S6" s="68"/>
      <c r="T6" s="68"/>
      <c r="U6" s="68">
        <v>1</v>
      </c>
    </row>
    <row r="7" spans="2:21" x14ac:dyDescent="0.25">
      <c r="B7" s="68" t="s">
        <v>1173</v>
      </c>
      <c r="C7" s="68">
        <v>3399</v>
      </c>
      <c r="D7" s="68">
        <v>5160</v>
      </c>
      <c r="E7" s="68" t="s">
        <v>1174</v>
      </c>
      <c r="F7" s="68">
        <v>1</v>
      </c>
      <c r="G7" s="68" t="s">
        <v>1166</v>
      </c>
      <c r="H7" s="68" t="s">
        <v>52</v>
      </c>
      <c r="I7" s="68" t="s">
        <v>53</v>
      </c>
      <c r="J7" s="68" t="s">
        <v>1171</v>
      </c>
      <c r="K7" s="68" t="s">
        <v>33</v>
      </c>
      <c r="L7" s="68">
        <v>0.15</v>
      </c>
      <c r="M7" s="68">
        <v>0.12</v>
      </c>
      <c r="N7" s="68">
        <v>0.09</v>
      </c>
      <c r="O7" s="68">
        <v>0.06</v>
      </c>
      <c r="P7" s="68">
        <v>0.03</v>
      </c>
      <c r="Q7" s="68">
        <v>0</v>
      </c>
      <c r="R7" s="68"/>
      <c r="S7" s="68"/>
      <c r="T7" s="68"/>
      <c r="U7" s="68">
        <v>1</v>
      </c>
    </row>
    <row r="8" spans="2:21" x14ac:dyDescent="0.25">
      <c r="B8" s="68" t="s">
        <v>1175</v>
      </c>
      <c r="C8" s="68">
        <v>3400</v>
      </c>
      <c r="D8" s="68">
        <v>5160</v>
      </c>
      <c r="E8" s="68" t="s">
        <v>23</v>
      </c>
      <c r="F8" s="68">
        <v>1</v>
      </c>
      <c r="G8" s="68" t="s">
        <v>1166</v>
      </c>
      <c r="H8" s="68" t="s">
        <v>47</v>
      </c>
      <c r="I8" s="68" t="s">
        <v>25</v>
      </c>
      <c r="J8" s="68" t="s">
        <v>47</v>
      </c>
      <c r="K8" s="68" t="s">
        <v>46</v>
      </c>
      <c r="L8" s="68">
        <v>0.3</v>
      </c>
      <c r="M8" s="68">
        <v>0.24</v>
      </c>
      <c r="N8" s="68">
        <v>0.18</v>
      </c>
      <c r="O8" s="68">
        <v>0.12</v>
      </c>
      <c r="P8" s="68">
        <v>0.06</v>
      </c>
      <c r="Q8" s="68">
        <v>0</v>
      </c>
      <c r="R8" s="68"/>
      <c r="S8" s="68"/>
      <c r="T8" s="68"/>
      <c r="U8" s="68">
        <v>1</v>
      </c>
    </row>
    <row r="9" spans="2:21" x14ac:dyDescent="0.25">
      <c r="B9" s="68" t="s">
        <v>1176</v>
      </c>
      <c r="C9" s="68">
        <v>3401</v>
      </c>
      <c r="D9" s="68">
        <v>5160</v>
      </c>
      <c r="E9" s="68" t="s">
        <v>37</v>
      </c>
      <c r="F9" s="68">
        <v>1</v>
      </c>
      <c r="G9" s="68" t="s">
        <v>1166</v>
      </c>
      <c r="H9" s="68" t="s">
        <v>47</v>
      </c>
      <c r="I9" s="68" t="s">
        <v>25</v>
      </c>
      <c r="J9" s="68" t="s">
        <v>47</v>
      </c>
      <c r="K9" s="68" t="s">
        <v>46</v>
      </c>
      <c r="L9" s="68">
        <v>0.3</v>
      </c>
      <c r="M9" s="68">
        <v>0.24</v>
      </c>
      <c r="N9" s="68">
        <v>0.18</v>
      </c>
      <c r="O9" s="68">
        <v>0.12</v>
      </c>
      <c r="P9" s="68">
        <v>0.06</v>
      </c>
      <c r="Q9" s="68">
        <v>0</v>
      </c>
      <c r="R9" s="68"/>
      <c r="S9" s="68"/>
      <c r="T9" s="68"/>
      <c r="U9" s="68">
        <v>1</v>
      </c>
    </row>
    <row r="10" spans="2:21" x14ac:dyDescent="0.25">
      <c r="B10" s="68" t="s">
        <v>1177</v>
      </c>
      <c r="C10" s="68">
        <v>3402</v>
      </c>
      <c r="D10" s="68">
        <v>5160</v>
      </c>
      <c r="E10" s="68" t="s">
        <v>23</v>
      </c>
      <c r="F10" s="68">
        <v>1</v>
      </c>
      <c r="G10" s="68" t="s">
        <v>1166</v>
      </c>
      <c r="H10" s="68" t="s">
        <v>47</v>
      </c>
      <c r="I10" s="68" t="s">
        <v>103</v>
      </c>
      <c r="J10" s="68" t="s">
        <v>1171</v>
      </c>
      <c r="K10" s="68" t="s">
        <v>46</v>
      </c>
      <c r="L10" s="68">
        <v>0.3</v>
      </c>
      <c r="M10" s="68">
        <v>0.24</v>
      </c>
      <c r="N10" s="68">
        <v>0.18</v>
      </c>
      <c r="O10" s="68">
        <v>0.12</v>
      </c>
      <c r="P10" s="68">
        <v>0.06</v>
      </c>
      <c r="Q10" s="68">
        <v>0</v>
      </c>
      <c r="R10" s="68"/>
      <c r="S10" s="68"/>
      <c r="T10" s="68"/>
      <c r="U10" s="68">
        <v>1</v>
      </c>
    </row>
    <row r="11" spans="2:21" x14ac:dyDescent="0.25">
      <c r="B11" s="68" t="s">
        <v>1178</v>
      </c>
      <c r="C11" s="68">
        <v>3403</v>
      </c>
      <c r="D11" s="68">
        <v>5160</v>
      </c>
      <c r="E11" s="68" t="s">
        <v>1179</v>
      </c>
      <c r="F11" s="68">
        <v>1</v>
      </c>
      <c r="G11" s="68" t="s">
        <v>1166</v>
      </c>
      <c r="H11" s="68" t="s">
        <v>47</v>
      </c>
      <c r="I11" s="68" t="s">
        <v>103</v>
      </c>
      <c r="J11" s="68" t="s">
        <v>1171</v>
      </c>
      <c r="K11" s="68" t="s">
        <v>46</v>
      </c>
      <c r="L11" s="68">
        <v>0.3</v>
      </c>
      <c r="M11" s="68">
        <v>0.24</v>
      </c>
      <c r="N11" s="68">
        <v>0.18</v>
      </c>
      <c r="O11" s="68">
        <v>0.12</v>
      </c>
      <c r="P11" s="68">
        <v>0.06</v>
      </c>
      <c r="Q11" s="68">
        <v>0</v>
      </c>
      <c r="R11" s="68"/>
      <c r="S11" s="68"/>
      <c r="T11" s="68"/>
      <c r="U11" s="68">
        <v>1</v>
      </c>
    </row>
    <row r="12" spans="2:21" x14ac:dyDescent="0.25">
      <c r="B12" s="68" t="s">
        <v>1180</v>
      </c>
      <c r="C12" s="68">
        <v>3404</v>
      </c>
      <c r="D12" s="68">
        <v>5160</v>
      </c>
      <c r="E12" s="68" t="s">
        <v>23</v>
      </c>
      <c r="F12" s="68">
        <v>1</v>
      </c>
      <c r="G12" s="68" t="s">
        <v>1166</v>
      </c>
      <c r="H12" s="68" t="s">
        <v>47</v>
      </c>
      <c r="I12" s="68" t="s">
        <v>104</v>
      </c>
      <c r="J12" s="68" t="s">
        <v>1171</v>
      </c>
      <c r="K12" s="68" t="s">
        <v>46</v>
      </c>
      <c r="L12" s="68">
        <v>0.4</v>
      </c>
      <c r="M12" s="68">
        <v>0.32</v>
      </c>
      <c r="N12" s="68">
        <v>0.24</v>
      </c>
      <c r="O12" s="68">
        <v>0.16</v>
      </c>
      <c r="P12" s="68">
        <v>0.08</v>
      </c>
      <c r="Q12" s="68">
        <v>0</v>
      </c>
      <c r="R12" s="68"/>
      <c r="S12" s="68"/>
      <c r="T12" s="68"/>
      <c r="U12" s="68">
        <v>1</v>
      </c>
    </row>
    <row r="13" spans="2:21" x14ac:dyDescent="0.25">
      <c r="B13" s="68" t="s">
        <v>1181</v>
      </c>
      <c r="C13" s="68">
        <v>3405</v>
      </c>
      <c r="D13" s="68">
        <v>5160</v>
      </c>
      <c r="E13" s="68" t="s">
        <v>1179</v>
      </c>
      <c r="F13" s="68">
        <v>1</v>
      </c>
      <c r="G13" s="68" t="s">
        <v>1166</v>
      </c>
      <c r="H13" s="68" t="s">
        <v>47</v>
      </c>
      <c r="I13" s="68" t="s">
        <v>104</v>
      </c>
      <c r="J13" s="68" t="s">
        <v>1171</v>
      </c>
      <c r="K13" s="68" t="s">
        <v>46</v>
      </c>
      <c r="L13" s="68">
        <v>0.4</v>
      </c>
      <c r="M13" s="68">
        <v>0.32</v>
      </c>
      <c r="N13" s="68">
        <v>0.24</v>
      </c>
      <c r="O13" s="68">
        <v>0.16</v>
      </c>
      <c r="P13" s="68">
        <v>0.08</v>
      </c>
      <c r="Q13" s="68">
        <v>0</v>
      </c>
      <c r="R13" s="68"/>
      <c r="S13" s="68"/>
      <c r="T13" s="68"/>
      <c r="U13" s="68">
        <v>1</v>
      </c>
    </row>
    <row r="14" spans="2:21" x14ac:dyDescent="0.25">
      <c r="B14" s="68" t="s">
        <v>1182</v>
      </c>
      <c r="C14" s="68">
        <v>3406</v>
      </c>
      <c r="D14" s="68">
        <v>5160</v>
      </c>
      <c r="E14" s="68" t="s">
        <v>23</v>
      </c>
      <c r="F14" s="68">
        <v>1</v>
      </c>
      <c r="G14" s="68" t="s">
        <v>1166</v>
      </c>
      <c r="H14" s="68" t="s">
        <v>52</v>
      </c>
      <c r="I14" s="68" t="s">
        <v>53</v>
      </c>
      <c r="J14" s="68" t="s">
        <v>1171</v>
      </c>
      <c r="K14" s="68" t="s">
        <v>39</v>
      </c>
      <c r="L14" s="68">
        <v>0.15</v>
      </c>
      <c r="M14" s="68">
        <v>0.12</v>
      </c>
      <c r="N14" s="68">
        <v>0.09</v>
      </c>
      <c r="O14" s="68">
        <v>0.06</v>
      </c>
      <c r="P14" s="68">
        <v>0.03</v>
      </c>
      <c r="Q14" s="68">
        <v>0</v>
      </c>
      <c r="R14" s="68"/>
      <c r="S14" s="68"/>
      <c r="T14" s="68"/>
      <c r="U14" s="68">
        <v>1</v>
      </c>
    </row>
    <row r="15" spans="2:21" x14ac:dyDescent="0.25">
      <c r="B15" s="68" t="s">
        <v>1183</v>
      </c>
      <c r="C15" s="68">
        <v>3407</v>
      </c>
      <c r="D15" s="68">
        <v>5160</v>
      </c>
      <c r="E15" s="68" t="s">
        <v>37</v>
      </c>
      <c r="F15" s="68">
        <v>1</v>
      </c>
      <c r="G15" s="68" t="s">
        <v>1166</v>
      </c>
      <c r="H15" s="68" t="s">
        <v>52</v>
      </c>
      <c r="I15" s="68" t="s">
        <v>53</v>
      </c>
      <c r="J15" s="68" t="s">
        <v>1171</v>
      </c>
      <c r="K15" s="68" t="s">
        <v>39</v>
      </c>
      <c r="L15" s="68">
        <v>0.15</v>
      </c>
      <c r="M15" s="68">
        <v>0.12</v>
      </c>
      <c r="N15" s="68">
        <v>0.09</v>
      </c>
      <c r="O15" s="68">
        <v>0.06</v>
      </c>
      <c r="P15" s="68">
        <v>0.03</v>
      </c>
      <c r="Q15" s="68">
        <v>0</v>
      </c>
      <c r="R15" s="68"/>
      <c r="S15" s="68"/>
      <c r="T15" s="68"/>
      <c r="U15" s="68">
        <v>1</v>
      </c>
    </row>
    <row r="16" spans="2:21" x14ac:dyDescent="0.25">
      <c r="B16" s="68" t="s">
        <v>1184</v>
      </c>
      <c r="C16" s="68">
        <v>3410</v>
      </c>
      <c r="D16" s="68">
        <v>5160</v>
      </c>
      <c r="E16" s="68" t="s">
        <v>41</v>
      </c>
      <c r="F16" s="68">
        <v>1</v>
      </c>
      <c r="G16" s="68" t="s">
        <v>1166</v>
      </c>
      <c r="H16" s="68" t="s">
        <v>52</v>
      </c>
      <c r="I16" s="68" t="s">
        <v>53</v>
      </c>
      <c r="J16" s="68" t="s">
        <v>1171</v>
      </c>
      <c r="K16" s="68" t="s">
        <v>45</v>
      </c>
      <c r="L16" s="68">
        <v>0.15</v>
      </c>
      <c r="M16" s="68">
        <v>0.12</v>
      </c>
      <c r="N16" s="68">
        <v>0.09</v>
      </c>
      <c r="O16" s="68">
        <v>0.06</v>
      </c>
      <c r="P16" s="68">
        <v>0.03</v>
      </c>
      <c r="Q16" s="68">
        <v>0</v>
      </c>
      <c r="R16" s="68"/>
      <c r="S16" s="68"/>
      <c r="T16" s="68"/>
      <c r="U16" s="68">
        <v>1</v>
      </c>
    </row>
    <row r="17" spans="2:21" x14ac:dyDescent="0.25">
      <c r="B17" s="68" t="s">
        <v>1185</v>
      </c>
      <c r="C17" s="68">
        <v>3411</v>
      </c>
      <c r="D17" s="68">
        <v>5160</v>
      </c>
      <c r="E17" s="68" t="s">
        <v>34</v>
      </c>
      <c r="F17" s="68">
        <v>1</v>
      </c>
      <c r="G17" s="68" t="s">
        <v>1166</v>
      </c>
      <c r="H17" s="68" t="s">
        <v>52</v>
      </c>
      <c r="I17" s="68" t="s">
        <v>53</v>
      </c>
      <c r="J17" s="68" t="s">
        <v>1171</v>
      </c>
      <c r="K17" s="68" t="s">
        <v>45</v>
      </c>
      <c r="L17" s="68">
        <v>0.15</v>
      </c>
      <c r="M17" s="68">
        <v>0.12</v>
      </c>
      <c r="N17" s="68">
        <v>0.09</v>
      </c>
      <c r="O17" s="68">
        <v>0.06</v>
      </c>
      <c r="P17" s="68">
        <v>0.03</v>
      </c>
      <c r="Q17" s="68">
        <v>0</v>
      </c>
      <c r="R17" s="68"/>
      <c r="S17" s="68"/>
      <c r="T17" s="68"/>
      <c r="U17" s="68">
        <v>1</v>
      </c>
    </row>
    <row r="18" spans="2:21" x14ac:dyDescent="0.25">
      <c r="B18" s="68" t="s">
        <v>1186</v>
      </c>
      <c r="C18" s="68">
        <v>3413</v>
      </c>
      <c r="D18" s="68">
        <v>5160</v>
      </c>
      <c r="E18" s="68" t="s">
        <v>41</v>
      </c>
      <c r="F18" s="68">
        <v>1</v>
      </c>
      <c r="G18" s="68" t="s">
        <v>1166</v>
      </c>
      <c r="H18" s="68" t="s">
        <v>52</v>
      </c>
      <c r="I18" s="68" t="s">
        <v>53</v>
      </c>
      <c r="J18" s="68" t="s">
        <v>1171</v>
      </c>
      <c r="K18" s="68" t="s">
        <v>43</v>
      </c>
      <c r="L18" s="68">
        <v>0.15</v>
      </c>
      <c r="M18" s="68">
        <v>0.12</v>
      </c>
      <c r="N18" s="68">
        <v>0.09</v>
      </c>
      <c r="O18" s="68">
        <v>0.06</v>
      </c>
      <c r="P18" s="68">
        <v>0.03</v>
      </c>
      <c r="Q18" s="68">
        <v>0</v>
      </c>
      <c r="R18" s="68"/>
      <c r="S18" s="68"/>
      <c r="T18" s="68"/>
      <c r="U18" s="68">
        <v>1</v>
      </c>
    </row>
  </sheetData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CBE56-FDFD-4625-83BE-4E5E89A6CDF3}">
  <dimension ref="A1:J18"/>
  <sheetViews>
    <sheetView showGridLines="0" workbookViewId="0">
      <selection activeCell="E11" sqref="E11"/>
    </sheetView>
  </sheetViews>
  <sheetFormatPr defaultRowHeight="11.25" x14ac:dyDescent="0.2"/>
  <cols>
    <col min="1" max="1" width="31.42578125" style="16" bestFit="1" customWidth="1"/>
    <col min="2" max="2" width="18.42578125" style="16" customWidth="1"/>
    <col min="3" max="10" width="11" style="16" customWidth="1"/>
    <col min="11" max="16384" width="9.140625" style="16"/>
  </cols>
  <sheetData>
    <row r="1" spans="1:10" ht="12" thickBot="1" x14ac:dyDescent="0.25">
      <c r="A1" s="100" t="s">
        <v>1728</v>
      </c>
      <c r="B1" s="100" t="s">
        <v>22</v>
      </c>
      <c r="C1" s="100" t="s">
        <v>1727</v>
      </c>
      <c r="D1" s="100" t="s">
        <v>1726</v>
      </c>
      <c r="E1" s="100" t="s">
        <v>39</v>
      </c>
      <c r="F1" s="100" t="s">
        <v>44</v>
      </c>
      <c r="G1" s="100" t="s">
        <v>33</v>
      </c>
      <c r="H1" s="100" t="s">
        <v>45</v>
      </c>
      <c r="I1" s="100" t="s">
        <v>1087</v>
      </c>
      <c r="J1" s="100" t="s">
        <v>43</v>
      </c>
    </row>
    <row r="2" spans="1:10" x14ac:dyDescent="0.2">
      <c r="A2" s="96" t="s">
        <v>1725</v>
      </c>
      <c r="B2" s="102">
        <f t="shared" ref="B2:J2" si="0">12*B3*(1-$B$10/IF($B$8&lt;&gt;0,$B$8,1))/IF(((((1+$B$6)^(1/IF($B$9&lt;&gt;0,$B$9,1))*$B$6)/(IF((1+$B$6)^(1/IF($B$9&lt;&gt;0,$B$9,1))-1&lt;&gt;0,(1+$B$6)^(1/IF($B$9&lt;&gt;0,$B$9,1))-1,1))))&lt;&gt;0,(((1+$B$6)^(1/IF($B$9&lt;&gt;0,$B$9,1))*$B$6)/(IF((1+$B$6)^(1/IF($B$9&lt;&gt;0,$B$9,1))-1&lt;&gt;0,(1+$B$6)^(1/IF($B$9&lt;&gt;0,$B$9,1))-1,1))),1)</f>
        <v>253.61204581133074</v>
      </c>
      <c r="C2" s="102">
        <f t="shared" si="0"/>
        <v>207.84430906723296</v>
      </c>
      <c r="D2" s="102">
        <f t="shared" si="0"/>
        <v>192.72835931688874</v>
      </c>
      <c r="E2" s="102">
        <f t="shared" si="0"/>
        <v>253.61204581133074</v>
      </c>
      <c r="F2" s="102">
        <f t="shared" si="0"/>
        <v>253.45852743380289</v>
      </c>
      <c r="G2" s="102">
        <f t="shared" si="0"/>
        <v>187.34478306512864</v>
      </c>
      <c r="H2" s="102">
        <f t="shared" si="0"/>
        <v>187.34478306512864</v>
      </c>
      <c r="I2" s="102">
        <f t="shared" si="0"/>
        <v>0</v>
      </c>
      <c r="J2" s="102">
        <f t="shared" si="0"/>
        <v>12.39994432242935</v>
      </c>
    </row>
    <row r="3" spans="1:10" ht="12" thickBot="1" x14ac:dyDescent="0.25">
      <c r="A3" s="94" t="s">
        <v>1724</v>
      </c>
      <c r="B3" s="101" t="s">
        <v>1729</v>
      </c>
      <c r="C3" s="101" t="s">
        <v>1730</v>
      </c>
      <c r="D3" s="101" t="s">
        <v>1731</v>
      </c>
      <c r="E3" s="101" t="s">
        <v>1729</v>
      </c>
      <c r="F3" s="103">
        <f>'TUSD BE'!$AC$40</f>
        <v>6.0363438211410596</v>
      </c>
      <c r="G3" s="103">
        <f>'TUSD BE'!$AC$28</f>
        <v>4.4617852677044318</v>
      </c>
      <c r="H3" s="103">
        <f>'TUSD BE'!$AC$16</f>
        <v>4.4617852677044318</v>
      </c>
      <c r="I3" s="101">
        <v>0</v>
      </c>
      <c r="J3" s="103">
        <f>'TUSD BE'!$AC$6</f>
        <v>0.29531587692482997</v>
      </c>
    </row>
    <row r="5" spans="1:10" ht="12" thickBot="1" x14ac:dyDescent="0.25">
      <c r="A5" s="100" t="s">
        <v>1723</v>
      </c>
      <c r="B5" s="100" t="s">
        <v>1722</v>
      </c>
    </row>
    <row r="6" spans="1:10" x14ac:dyDescent="0.2">
      <c r="A6" s="96" t="s">
        <v>1721</v>
      </c>
      <c r="B6" s="99">
        <v>0.1226</v>
      </c>
    </row>
    <row r="7" spans="1:10" x14ac:dyDescent="0.2">
      <c r="A7" s="98" t="s">
        <v>1720</v>
      </c>
      <c r="B7" s="97">
        <v>0.34</v>
      </c>
    </row>
    <row r="8" spans="1:10" x14ac:dyDescent="0.2">
      <c r="A8" s="96" t="s">
        <v>1719</v>
      </c>
      <c r="B8" s="95">
        <v>513134682.54000002</v>
      </c>
    </row>
    <row r="9" spans="1:10" x14ac:dyDescent="0.2">
      <c r="A9" s="98" t="s">
        <v>1718</v>
      </c>
      <c r="B9" s="97">
        <v>3.6699999999999997E-2</v>
      </c>
    </row>
    <row r="10" spans="1:10" x14ac:dyDescent="0.2">
      <c r="A10" s="96" t="s">
        <v>1717</v>
      </c>
      <c r="B10" s="95">
        <v>283164234.52999997</v>
      </c>
    </row>
    <row r="11" spans="1:10" ht="12" thickBot="1" x14ac:dyDescent="0.25">
      <c r="A11" s="94" t="s">
        <v>1716</v>
      </c>
      <c r="B11" s="93">
        <f>(1+$B$6)^(1/IF($B$9&lt;&gt;0,$B$9,1))*$B$6/IF((1+$B$6)^(1/IF($B$9&lt;&gt;0,$B$9,1))-1&lt;&gt;0,(1+$B$6)^(1/IF($B$9&lt;&gt;0,$B$9,1))-1,1)</f>
        <v>0.128082256189366</v>
      </c>
    </row>
    <row r="18" spans="2:2" x14ac:dyDescent="0.2">
      <c r="B18" s="92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7A563-4A62-4CF9-95A9-AD3ABFD47467}">
  <dimension ref="B1:AQ98"/>
  <sheetViews>
    <sheetView showGridLines="0" topLeftCell="Z1" workbookViewId="0">
      <selection activeCell="AH1" sqref="AH1:AQ1"/>
    </sheetView>
  </sheetViews>
  <sheetFormatPr defaultRowHeight="15" x14ac:dyDescent="0.25"/>
  <cols>
    <col min="2" max="2" width="12.1406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0.5703125" bestFit="1" customWidth="1"/>
    <col min="9" max="9" width="16.5703125" bestFit="1" customWidth="1"/>
    <col min="10" max="10" width="12.42578125" bestFit="1" customWidth="1"/>
    <col min="11" max="11" width="9.7109375" bestFit="1" customWidth="1"/>
    <col min="12" max="12" width="12.710937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6.7109375" bestFit="1" customWidth="1"/>
    <col min="20" max="21" width="12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7.5703125" bestFit="1" customWidth="1"/>
    <col min="29" max="29" width="16.5703125" bestFit="1" customWidth="1"/>
    <col min="30" max="30" width="12" bestFit="1" customWidth="1"/>
    <col min="31" max="31" width="17.5703125" bestFit="1" customWidth="1"/>
    <col min="32" max="32" width="12.5703125" bestFit="1" customWidth="1"/>
    <col min="33" max="34" width="12" bestFit="1" customWidth="1"/>
    <col min="35" max="35" width="12.5703125" bestFit="1" customWidth="1"/>
    <col min="36" max="36" width="12.28515625" bestFit="1" customWidth="1"/>
    <col min="37" max="37" width="12.7109375" bestFit="1" customWidth="1"/>
    <col min="38" max="38" width="12.85546875" bestFit="1" customWidth="1"/>
    <col min="39" max="39" width="15.42578125" bestFit="1" customWidth="1"/>
    <col min="40" max="40" width="17.85546875" bestFit="1" customWidth="1"/>
    <col min="41" max="41" width="13.42578125" bestFit="1" customWidth="1"/>
    <col min="42" max="42" width="14.7109375" bestFit="1" customWidth="1"/>
    <col min="43" max="43" width="12.5703125" bestFit="1" customWidth="1"/>
  </cols>
  <sheetData>
    <row r="1" spans="2:43" ht="12" customHeight="1" x14ac:dyDescent="0.25">
      <c r="L1" s="147" t="s">
        <v>1772</v>
      </c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8"/>
      <c r="AH1" s="147" t="s">
        <v>1773</v>
      </c>
      <c r="AI1" s="147"/>
      <c r="AJ1" s="147"/>
      <c r="AK1" s="147"/>
      <c r="AL1" s="147"/>
      <c r="AM1" s="147"/>
      <c r="AN1" s="147"/>
      <c r="AO1" s="147"/>
      <c r="AP1" s="147"/>
      <c r="AQ1" s="147"/>
    </row>
    <row r="2" spans="2:43" ht="12" customHeight="1" x14ac:dyDescent="0.25">
      <c r="L2" s="149" t="s">
        <v>956</v>
      </c>
      <c r="M2" s="149"/>
      <c r="N2" s="149"/>
      <c r="O2" s="149"/>
      <c r="P2" s="149"/>
      <c r="Q2" s="149"/>
      <c r="R2" s="149"/>
      <c r="S2" s="150"/>
      <c r="T2" s="149" t="s">
        <v>966</v>
      </c>
      <c r="U2" s="149"/>
      <c r="V2" s="149"/>
      <c r="W2" s="149"/>
      <c r="X2" s="149"/>
      <c r="Y2" s="149"/>
      <c r="Z2" s="150"/>
      <c r="AA2" s="151" t="s">
        <v>974</v>
      </c>
      <c r="AB2" s="149" t="s">
        <v>25</v>
      </c>
      <c r="AC2" s="150"/>
      <c r="AD2" s="149" t="s">
        <v>1771</v>
      </c>
      <c r="AE2" s="149"/>
      <c r="AF2" s="149"/>
      <c r="AG2" s="150"/>
      <c r="AH2" s="149" t="s">
        <v>956</v>
      </c>
      <c r="AI2" s="149"/>
      <c r="AJ2" s="149"/>
      <c r="AK2" s="150"/>
      <c r="AL2" s="151" t="s">
        <v>988</v>
      </c>
      <c r="AM2" s="149" t="s">
        <v>966</v>
      </c>
      <c r="AN2" s="149"/>
      <c r="AO2" s="149"/>
      <c r="AP2" s="150"/>
      <c r="AQ2" s="152" t="s">
        <v>956</v>
      </c>
    </row>
    <row r="3" spans="2:43" ht="12" customHeight="1" x14ac:dyDescent="0.25">
      <c r="B3" s="138" t="s">
        <v>1732</v>
      </c>
      <c r="C3" s="139" t="s">
        <v>1733</v>
      </c>
      <c r="D3" s="139" t="s">
        <v>3</v>
      </c>
      <c r="E3" s="139" t="s">
        <v>1191</v>
      </c>
      <c r="F3" s="139" t="s">
        <v>5</v>
      </c>
      <c r="G3" s="139" t="s">
        <v>7</v>
      </c>
      <c r="H3" s="139" t="s">
        <v>1734</v>
      </c>
      <c r="I3" s="139" t="s">
        <v>1735</v>
      </c>
      <c r="J3" s="139" t="s">
        <v>1736</v>
      </c>
      <c r="K3" s="139" t="s">
        <v>1737</v>
      </c>
      <c r="L3" s="139" t="s">
        <v>1738</v>
      </c>
      <c r="M3" s="139" t="s">
        <v>1739</v>
      </c>
      <c r="N3" s="139" t="s">
        <v>1740</v>
      </c>
      <c r="O3" s="139" t="s">
        <v>1741</v>
      </c>
      <c r="P3" s="139" t="s">
        <v>1742</v>
      </c>
      <c r="Q3" s="139" t="s">
        <v>1743</v>
      </c>
      <c r="R3" s="139" t="s">
        <v>1744</v>
      </c>
      <c r="S3" s="139" t="s">
        <v>1745</v>
      </c>
      <c r="T3" s="139" t="s">
        <v>1746</v>
      </c>
      <c r="U3" s="139" t="s">
        <v>1747</v>
      </c>
      <c r="V3" s="139" t="s">
        <v>1748</v>
      </c>
      <c r="W3" s="139" t="s">
        <v>1749</v>
      </c>
      <c r="X3" s="139" t="s">
        <v>1750</v>
      </c>
      <c r="Y3" s="139" t="s">
        <v>1751</v>
      </c>
      <c r="Z3" s="139" t="s">
        <v>1752</v>
      </c>
      <c r="AA3" s="139" t="s">
        <v>1753</v>
      </c>
      <c r="AB3" s="139" t="s">
        <v>1754</v>
      </c>
      <c r="AC3" s="139" t="s">
        <v>1755</v>
      </c>
      <c r="AD3" s="139" t="s">
        <v>1756</v>
      </c>
      <c r="AE3" s="139" t="s">
        <v>1757</v>
      </c>
      <c r="AF3" s="139" t="s">
        <v>1758</v>
      </c>
      <c r="AG3" s="139" t="s">
        <v>1759</v>
      </c>
      <c r="AH3" s="139" t="s">
        <v>1760</v>
      </c>
      <c r="AI3" s="139" t="s">
        <v>1761</v>
      </c>
      <c r="AJ3" s="139" t="s">
        <v>1762</v>
      </c>
      <c r="AK3" s="139" t="s">
        <v>1763</v>
      </c>
      <c r="AL3" s="139" t="s">
        <v>1764</v>
      </c>
      <c r="AM3" s="139" t="s">
        <v>1765</v>
      </c>
      <c r="AN3" s="139" t="s">
        <v>1766</v>
      </c>
      <c r="AO3" s="139" t="s">
        <v>1767</v>
      </c>
      <c r="AP3" s="139" t="s">
        <v>1768</v>
      </c>
      <c r="AQ3" s="140" t="s">
        <v>1769</v>
      </c>
    </row>
    <row r="4" spans="2:43" ht="12" customHeight="1" x14ac:dyDescent="0.25">
      <c r="B4" s="141" t="s">
        <v>43</v>
      </c>
      <c r="C4" s="142" t="s">
        <v>41</v>
      </c>
      <c r="D4" s="142" t="s">
        <v>25</v>
      </c>
      <c r="E4" s="142" t="s">
        <v>25</v>
      </c>
      <c r="F4" s="142" t="s">
        <v>61</v>
      </c>
      <c r="G4" s="142" t="s">
        <v>35</v>
      </c>
      <c r="H4" s="142" t="s">
        <v>88</v>
      </c>
      <c r="I4" s="142" t="s">
        <v>25</v>
      </c>
      <c r="J4" s="142">
        <v>8.58</v>
      </c>
      <c r="K4" s="142"/>
      <c r="L4" s="142"/>
      <c r="M4" s="142">
        <v>2.8102494852723401E-2</v>
      </c>
      <c r="N4" s="142">
        <v>0.191296220952903</v>
      </c>
      <c r="O4" s="142"/>
      <c r="P4" s="142"/>
      <c r="Q4" s="142"/>
      <c r="R4" s="142"/>
      <c r="S4" s="142"/>
      <c r="T4" s="142"/>
      <c r="U4" s="142"/>
      <c r="V4" s="142"/>
      <c r="W4" s="142"/>
      <c r="X4" s="142"/>
      <c r="Y4" s="142"/>
      <c r="Z4" s="142"/>
      <c r="AA4" s="142"/>
      <c r="AB4" s="142"/>
      <c r="AC4" s="142"/>
      <c r="AD4" s="142">
        <v>4.11469408713105</v>
      </c>
      <c r="AE4" s="142">
        <v>0.154664542885492</v>
      </c>
      <c r="AF4" s="142">
        <v>3.2552635659932401</v>
      </c>
      <c r="AG4" s="142">
        <v>0.83671159187033906</v>
      </c>
      <c r="AH4" s="142"/>
      <c r="AI4" s="142"/>
      <c r="AJ4" s="142"/>
      <c r="AK4" s="142"/>
      <c r="AL4" s="142"/>
      <c r="AM4" s="142"/>
      <c r="AN4" s="142"/>
      <c r="AO4" s="142"/>
      <c r="AP4" s="142"/>
      <c r="AQ4" s="143"/>
    </row>
    <row r="5" spans="2:43" ht="12" customHeight="1" x14ac:dyDescent="0.25">
      <c r="B5" s="141" t="s">
        <v>43</v>
      </c>
      <c r="C5" s="142" t="s">
        <v>41</v>
      </c>
      <c r="D5" s="142" t="s">
        <v>25</v>
      </c>
      <c r="E5" s="142" t="s">
        <v>25</v>
      </c>
      <c r="F5" s="142" t="s">
        <v>61</v>
      </c>
      <c r="G5" s="142" t="s">
        <v>35</v>
      </c>
      <c r="H5" s="142" t="s">
        <v>91</v>
      </c>
      <c r="I5" s="142" t="s">
        <v>25</v>
      </c>
      <c r="J5" s="142">
        <v>13.28</v>
      </c>
      <c r="K5" s="142"/>
      <c r="L5" s="142"/>
      <c r="M5" s="142"/>
      <c r="N5" s="142"/>
      <c r="O5" s="142"/>
      <c r="P5" s="142"/>
      <c r="Q5" s="142"/>
      <c r="R5" s="142"/>
      <c r="S5" s="142"/>
      <c r="T5" s="142">
        <v>8.1716997949238905</v>
      </c>
      <c r="U5" s="142">
        <v>1.9168013069616801</v>
      </c>
      <c r="V5" s="142">
        <v>0.23485392631123</v>
      </c>
      <c r="W5" s="142"/>
      <c r="X5" s="142"/>
      <c r="Y5" s="142"/>
      <c r="Z5" s="142"/>
      <c r="AA5" s="142">
        <v>2.9531587692482999</v>
      </c>
      <c r="AB5" s="142"/>
      <c r="AC5" s="142"/>
      <c r="AD5" s="142"/>
      <c r="AE5" s="142"/>
      <c r="AF5" s="142"/>
      <c r="AG5" s="142"/>
      <c r="AH5" s="142"/>
      <c r="AI5" s="142"/>
      <c r="AJ5" s="142"/>
      <c r="AK5" s="142"/>
      <c r="AL5" s="142"/>
      <c r="AM5" s="142"/>
      <c r="AN5" s="142"/>
      <c r="AO5" s="142"/>
      <c r="AP5" s="142"/>
      <c r="AQ5" s="143"/>
    </row>
    <row r="6" spans="2:43" ht="12" customHeight="1" x14ac:dyDescent="0.25">
      <c r="B6" s="141" t="s">
        <v>43</v>
      </c>
      <c r="C6" s="142" t="s">
        <v>41</v>
      </c>
      <c r="D6" s="142" t="s">
        <v>25</v>
      </c>
      <c r="E6" s="142" t="s">
        <v>25</v>
      </c>
      <c r="F6" s="142" t="s">
        <v>61</v>
      </c>
      <c r="G6" s="142" t="s">
        <v>36</v>
      </c>
      <c r="H6" s="142" t="s">
        <v>88</v>
      </c>
      <c r="I6" s="142" t="s">
        <v>25</v>
      </c>
      <c r="J6" s="142">
        <v>8.58</v>
      </c>
      <c r="K6" s="142"/>
      <c r="L6" s="142"/>
      <c r="M6" s="142">
        <v>2.8102494852723401E-2</v>
      </c>
      <c r="N6" s="142">
        <v>0.191296220952903</v>
      </c>
      <c r="O6" s="142"/>
      <c r="P6" s="142"/>
      <c r="Q6" s="142"/>
      <c r="R6" s="142"/>
      <c r="S6" s="142"/>
      <c r="T6" s="142"/>
      <c r="U6" s="142"/>
      <c r="V6" s="142"/>
      <c r="W6" s="142"/>
      <c r="X6" s="142"/>
      <c r="Y6" s="142"/>
      <c r="Z6" s="142"/>
      <c r="AA6" s="142"/>
      <c r="AB6" s="142"/>
      <c r="AC6" s="142"/>
      <c r="AD6" s="142">
        <v>4.11469408713105</v>
      </c>
      <c r="AE6" s="142">
        <v>0.154664542885492</v>
      </c>
      <c r="AF6" s="142">
        <v>3.2552635659932401</v>
      </c>
      <c r="AG6" s="142">
        <v>0.83671159187033906</v>
      </c>
      <c r="AH6" s="142"/>
      <c r="AI6" s="142"/>
      <c r="AJ6" s="142"/>
      <c r="AK6" s="142"/>
      <c r="AL6" s="142"/>
      <c r="AM6" s="142"/>
      <c r="AN6" s="142"/>
      <c r="AO6" s="142"/>
      <c r="AP6" s="142"/>
      <c r="AQ6" s="143"/>
    </row>
    <row r="7" spans="2:43" ht="12" customHeight="1" x14ac:dyDescent="0.25">
      <c r="B7" s="141" t="s">
        <v>43</v>
      </c>
      <c r="C7" s="142" t="s">
        <v>41</v>
      </c>
      <c r="D7" s="142" t="s">
        <v>25</v>
      </c>
      <c r="E7" s="142" t="s">
        <v>25</v>
      </c>
      <c r="F7" s="142" t="s">
        <v>61</v>
      </c>
      <c r="G7" s="142" t="s">
        <v>36</v>
      </c>
      <c r="H7" s="142" t="s">
        <v>91</v>
      </c>
      <c r="I7" s="142" t="s">
        <v>25</v>
      </c>
      <c r="J7" s="142">
        <v>8.2799999999999994</v>
      </c>
      <c r="K7" s="142"/>
      <c r="L7" s="142"/>
      <c r="M7" s="142"/>
      <c r="N7" s="142"/>
      <c r="O7" s="142"/>
      <c r="P7" s="142"/>
      <c r="Q7" s="142"/>
      <c r="R7" s="142"/>
      <c r="S7" s="142"/>
      <c r="T7" s="142">
        <v>6.3006524090580003</v>
      </c>
      <c r="U7" s="142">
        <v>1.51924971743464</v>
      </c>
      <c r="V7" s="142">
        <v>0.167153687349064</v>
      </c>
      <c r="W7" s="142"/>
      <c r="X7" s="142"/>
      <c r="Y7" s="142"/>
      <c r="Z7" s="142"/>
      <c r="AA7" s="142">
        <v>0.29531587692483002</v>
      </c>
      <c r="AB7" s="142"/>
      <c r="AC7" s="142"/>
      <c r="AD7" s="142"/>
      <c r="AE7" s="142"/>
      <c r="AF7" s="142"/>
      <c r="AG7" s="142"/>
      <c r="AH7" s="142"/>
      <c r="AI7" s="142"/>
      <c r="AJ7" s="142"/>
      <c r="AK7" s="142"/>
      <c r="AL7" s="142"/>
      <c r="AM7" s="142"/>
      <c r="AN7" s="142"/>
      <c r="AO7" s="142"/>
      <c r="AP7" s="142"/>
      <c r="AQ7" s="143"/>
    </row>
    <row r="8" spans="2:43" ht="12" customHeight="1" x14ac:dyDescent="0.25">
      <c r="B8" s="141" t="s">
        <v>43</v>
      </c>
      <c r="C8" s="142" t="s">
        <v>41</v>
      </c>
      <c r="D8" s="142" t="s">
        <v>25</v>
      </c>
      <c r="E8" s="142" t="s">
        <v>25</v>
      </c>
      <c r="F8" s="142" t="s">
        <v>25</v>
      </c>
      <c r="G8" s="142" t="s">
        <v>35</v>
      </c>
      <c r="H8" s="142" t="s">
        <v>88</v>
      </c>
      <c r="I8" s="142" t="s">
        <v>25</v>
      </c>
      <c r="J8" s="142">
        <v>64.02</v>
      </c>
      <c r="K8" s="142">
        <v>375.69</v>
      </c>
      <c r="L8" s="142"/>
      <c r="M8" s="142">
        <v>2.8102494852723401E-2</v>
      </c>
      <c r="N8" s="142">
        <v>0.205766724214174</v>
      </c>
      <c r="O8" s="142"/>
      <c r="P8" s="142"/>
      <c r="Q8" s="142">
        <v>48.450001619515199</v>
      </c>
      <c r="R8" s="142">
        <v>6.9769367212194604</v>
      </c>
      <c r="S8" s="142"/>
      <c r="T8" s="142"/>
      <c r="U8" s="142"/>
      <c r="V8" s="142"/>
      <c r="W8" s="142"/>
      <c r="X8" s="142"/>
      <c r="Y8" s="142"/>
      <c r="Z8" s="142"/>
      <c r="AA8" s="142"/>
      <c r="AB8" s="142"/>
      <c r="AC8" s="142"/>
      <c r="AD8" s="142">
        <v>4.11469408713105</v>
      </c>
      <c r="AE8" s="142">
        <v>0.154664542885492</v>
      </c>
      <c r="AF8" s="142">
        <v>3.2552635659932401</v>
      </c>
      <c r="AG8" s="142">
        <v>0.83671159187033906</v>
      </c>
      <c r="AH8" s="142">
        <v>2.5005275892065599</v>
      </c>
      <c r="AI8" s="142">
        <v>13.866547896201601</v>
      </c>
      <c r="AJ8" s="142"/>
      <c r="AK8" s="142">
        <v>-5.9899887837723602</v>
      </c>
      <c r="AL8" s="142">
        <v>346.04869505221001</v>
      </c>
      <c r="AM8" s="142">
        <v>7.7279194737034196</v>
      </c>
      <c r="AN8" s="142">
        <v>6.2390317012758096</v>
      </c>
      <c r="AO8" s="142"/>
      <c r="AP8" s="142"/>
      <c r="AQ8" s="143">
        <v>5.2990697581821902</v>
      </c>
    </row>
    <row r="9" spans="2:43" ht="12" customHeight="1" x14ac:dyDescent="0.25">
      <c r="B9" s="141" t="s">
        <v>43</v>
      </c>
      <c r="C9" s="142" t="s">
        <v>41</v>
      </c>
      <c r="D9" s="142" t="s">
        <v>25</v>
      </c>
      <c r="E9" s="142" t="s">
        <v>25</v>
      </c>
      <c r="F9" s="142" t="s">
        <v>25</v>
      </c>
      <c r="G9" s="142" t="s">
        <v>35</v>
      </c>
      <c r="H9" s="142" t="s">
        <v>91</v>
      </c>
      <c r="I9" s="142" t="s">
        <v>25</v>
      </c>
      <c r="J9" s="142">
        <v>13.28</v>
      </c>
      <c r="K9" s="142"/>
      <c r="L9" s="142"/>
      <c r="M9" s="142"/>
      <c r="N9" s="142"/>
      <c r="O9" s="142"/>
      <c r="P9" s="142"/>
      <c r="Q9" s="142"/>
      <c r="R9" s="142"/>
      <c r="S9" s="142"/>
      <c r="T9" s="142">
        <v>8.1716997949238905</v>
      </c>
      <c r="U9" s="142">
        <v>1.9168013069616801</v>
      </c>
      <c r="V9" s="142">
        <v>0.23485392631123</v>
      </c>
      <c r="W9" s="142"/>
      <c r="X9" s="142"/>
      <c r="Y9" s="142"/>
      <c r="Z9" s="142"/>
      <c r="AA9" s="142">
        <v>2.9531587692482999</v>
      </c>
      <c r="AB9" s="142"/>
      <c r="AC9" s="142"/>
      <c r="AD9" s="142"/>
      <c r="AE9" s="142"/>
      <c r="AF9" s="142"/>
      <c r="AG9" s="142"/>
      <c r="AH9" s="142"/>
      <c r="AI9" s="142"/>
      <c r="AJ9" s="142"/>
      <c r="AK9" s="142"/>
      <c r="AL9" s="142"/>
      <c r="AM9" s="142"/>
      <c r="AN9" s="142"/>
      <c r="AO9" s="142"/>
      <c r="AP9" s="142"/>
      <c r="AQ9" s="143"/>
    </row>
    <row r="10" spans="2:43" ht="12" customHeight="1" x14ac:dyDescent="0.25">
      <c r="B10" s="141" t="s">
        <v>43</v>
      </c>
      <c r="C10" s="142" t="s">
        <v>41</v>
      </c>
      <c r="D10" s="142" t="s">
        <v>25</v>
      </c>
      <c r="E10" s="142" t="s">
        <v>25</v>
      </c>
      <c r="F10" s="142" t="s">
        <v>25</v>
      </c>
      <c r="G10" s="142" t="s">
        <v>36</v>
      </c>
      <c r="H10" s="142" t="s">
        <v>88</v>
      </c>
      <c r="I10" s="142" t="s">
        <v>25</v>
      </c>
      <c r="J10" s="142">
        <v>64.02</v>
      </c>
      <c r="K10" s="142">
        <v>230.83</v>
      </c>
      <c r="L10" s="142"/>
      <c r="M10" s="142">
        <v>2.8102494852723401E-2</v>
      </c>
      <c r="N10" s="142">
        <v>0.205766724214174</v>
      </c>
      <c r="O10" s="142"/>
      <c r="P10" s="142"/>
      <c r="Q10" s="142">
        <v>48.450001619515199</v>
      </c>
      <c r="R10" s="142">
        <v>6.9769367212194604</v>
      </c>
      <c r="S10" s="142"/>
      <c r="T10" s="142"/>
      <c r="U10" s="142"/>
      <c r="V10" s="142"/>
      <c r="W10" s="142"/>
      <c r="X10" s="142"/>
      <c r="Y10" s="142"/>
      <c r="Z10" s="142"/>
      <c r="AA10" s="142"/>
      <c r="AB10" s="142"/>
      <c r="AC10" s="142"/>
      <c r="AD10" s="142">
        <v>4.11469408713105</v>
      </c>
      <c r="AE10" s="142">
        <v>0.154664542885492</v>
      </c>
      <c r="AF10" s="142">
        <v>3.2552635659932401</v>
      </c>
      <c r="AG10" s="142">
        <v>0.83671159187033906</v>
      </c>
      <c r="AH10" s="142">
        <v>2.5005275892065599</v>
      </c>
      <c r="AI10" s="142">
        <v>13.866547896201601</v>
      </c>
      <c r="AJ10" s="142"/>
      <c r="AK10" s="142">
        <v>-5.9899887837723602</v>
      </c>
      <c r="AL10" s="142">
        <v>201.19110177454101</v>
      </c>
      <c r="AM10" s="142">
        <v>7.7279194737034196</v>
      </c>
      <c r="AN10" s="142">
        <v>6.2390317012758096</v>
      </c>
      <c r="AO10" s="142"/>
      <c r="AP10" s="142"/>
      <c r="AQ10" s="143">
        <v>5.2990697581821902</v>
      </c>
    </row>
    <row r="11" spans="2:43" ht="12" customHeight="1" x14ac:dyDescent="0.25">
      <c r="B11" s="141" t="s">
        <v>43</v>
      </c>
      <c r="C11" s="142" t="s">
        <v>41</v>
      </c>
      <c r="D11" s="142" t="s">
        <v>25</v>
      </c>
      <c r="E11" s="142" t="s">
        <v>25</v>
      </c>
      <c r="F11" s="142" t="s">
        <v>25</v>
      </c>
      <c r="G11" s="142" t="s">
        <v>36</v>
      </c>
      <c r="H11" s="142" t="s">
        <v>91</v>
      </c>
      <c r="I11" s="142" t="s">
        <v>25</v>
      </c>
      <c r="J11" s="142">
        <v>8.2799999999999994</v>
      </c>
      <c r="K11" s="142"/>
      <c r="L11" s="142"/>
      <c r="M11" s="142"/>
      <c r="N11" s="142"/>
      <c r="O11" s="142"/>
      <c r="P11" s="142"/>
      <c r="Q11" s="142"/>
      <c r="R11" s="142"/>
      <c r="S11" s="142"/>
      <c r="T11" s="142">
        <v>6.3006524090580003</v>
      </c>
      <c r="U11" s="142">
        <v>1.51924971743464</v>
      </c>
      <c r="V11" s="142">
        <v>0.167153687349064</v>
      </c>
      <c r="W11" s="142"/>
      <c r="X11" s="142"/>
      <c r="Y11" s="142"/>
      <c r="Z11" s="142"/>
      <c r="AA11" s="142">
        <v>0.29531587692483002</v>
      </c>
      <c r="AB11" s="142"/>
      <c r="AC11" s="142"/>
      <c r="AD11" s="142"/>
      <c r="AE11" s="142"/>
      <c r="AF11" s="142"/>
      <c r="AG11" s="142"/>
      <c r="AH11" s="142"/>
      <c r="AI11" s="142"/>
      <c r="AJ11" s="142"/>
      <c r="AK11" s="142"/>
      <c r="AL11" s="142"/>
      <c r="AM11" s="142"/>
      <c r="AN11" s="142"/>
      <c r="AO11" s="142"/>
      <c r="AP11" s="142"/>
      <c r="AQ11" s="143"/>
    </row>
    <row r="12" spans="2:43" ht="12" customHeight="1" x14ac:dyDescent="0.25">
      <c r="B12" s="141" t="s">
        <v>43</v>
      </c>
      <c r="C12" s="142" t="s">
        <v>67</v>
      </c>
      <c r="D12" s="142" t="s">
        <v>25</v>
      </c>
      <c r="E12" s="142" t="s">
        <v>25</v>
      </c>
      <c r="F12" s="142" t="s">
        <v>25</v>
      </c>
      <c r="G12" s="142" t="s">
        <v>35</v>
      </c>
      <c r="H12" s="142" t="s">
        <v>91</v>
      </c>
      <c r="I12" s="142" t="s">
        <v>68</v>
      </c>
      <c r="J12" s="142">
        <v>13.28</v>
      </c>
      <c r="K12" s="142"/>
      <c r="L12" s="142"/>
      <c r="M12" s="142"/>
      <c r="N12" s="142"/>
      <c r="O12" s="142"/>
      <c r="P12" s="142"/>
      <c r="Q12" s="142"/>
      <c r="R12" s="142"/>
      <c r="S12" s="142"/>
      <c r="T12" s="142">
        <v>8.1716997949238905</v>
      </c>
      <c r="U12" s="142">
        <v>1.9168013069616801</v>
      </c>
      <c r="V12" s="142">
        <v>0.23485392631123</v>
      </c>
      <c r="W12" s="142"/>
      <c r="X12" s="142"/>
      <c r="Y12" s="142"/>
      <c r="Z12" s="142"/>
      <c r="AA12" s="142">
        <v>2.9531587692482999</v>
      </c>
      <c r="AB12" s="142"/>
      <c r="AC12" s="142"/>
      <c r="AD12" s="142"/>
      <c r="AE12" s="142"/>
      <c r="AF12" s="142"/>
      <c r="AG12" s="142"/>
      <c r="AH12" s="142"/>
      <c r="AI12" s="142"/>
      <c r="AJ12" s="142"/>
      <c r="AK12" s="142"/>
      <c r="AL12" s="142"/>
      <c r="AM12" s="142"/>
      <c r="AN12" s="142"/>
      <c r="AO12" s="142"/>
      <c r="AP12" s="142"/>
      <c r="AQ12" s="143"/>
    </row>
    <row r="13" spans="2:43" ht="12" customHeight="1" x14ac:dyDescent="0.25">
      <c r="B13" s="141" t="s">
        <v>43</v>
      </c>
      <c r="C13" s="142" t="s">
        <v>67</v>
      </c>
      <c r="D13" s="142" t="s">
        <v>25</v>
      </c>
      <c r="E13" s="142" t="s">
        <v>25</v>
      </c>
      <c r="F13" s="142" t="s">
        <v>25</v>
      </c>
      <c r="G13" s="142" t="s">
        <v>25</v>
      </c>
      <c r="H13" s="142" t="s">
        <v>88</v>
      </c>
      <c r="I13" s="142" t="s">
        <v>68</v>
      </c>
      <c r="J13" s="142">
        <v>4.2699999999999996</v>
      </c>
      <c r="K13" s="142"/>
      <c r="L13" s="142"/>
      <c r="M13" s="142"/>
      <c r="N13" s="142"/>
      <c r="O13" s="142"/>
      <c r="P13" s="142"/>
      <c r="Q13" s="142"/>
      <c r="R13" s="142"/>
      <c r="S13" s="142"/>
      <c r="T13" s="142"/>
      <c r="U13" s="142"/>
      <c r="V13" s="142"/>
      <c r="W13" s="142"/>
      <c r="X13" s="142"/>
      <c r="Y13" s="142"/>
      <c r="Z13" s="142"/>
      <c r="AA13" s="142"/>
      <c r="AB13" s="142"/>
      <c r="AC13" s="142"/>
      <c r="AD13" s="142">
        <v>4.11469408713105</v>
      </c>
      <c r="AE13" s="142">
        <v>0.154664542885492</v>
      </c>
      <c r="AF13" s="142"/>
      <c r="AG13" s="142"/>
      <c r="AH13" s="142"/>
      <c r="AI13" s="142"/>
      <c r="AJ13" s="142"/>
      <c r="AK13" s="142"/>
      <c r="AL13" s="142"/>
      <c r="AM13" s="142"/>
      <c r="AN13" s="142"/>
      <c r="AO13" s="142"/>
      <c r="AP13" s="142"/>
      <c r="AQ13" s="143"/>
    </row>
    <row r="14" spans="2:43" ht="12" customHeight="1" x14ac:dyDescent="0.25">
      <c r="B14" s="141" t="s">
        <v>43</v>
      </c>
      <c r="C14" s="142" t="s">
        <v>67</v>
      </c>
      <c r="D14" s="142" t="s">
        <v>25</v>
      </c>
      <c r="E14" s="142" t="s">
        <v>25</v>
      </c>
      <c r="F14" s="142" t="s">
        <v>25</v>
      </c>
      <c r="G14" s="142" t="s">
        <v>36</v>
      </c>
      <c r="H14" s="142" t="s">
        <v>91</v>
      </c>
      <c r="I14" s="142" t="s">
        <v>68</v>
      </c>
      <c r="J14" s="142">
        <v>8.2799999999999994</v>
      </c>
      <c r="K14" s="142"/>
      <c r="L14" s="142"/>
      <c r="M14" s="142"/>
      <c r="N14" s="142"/>
      <c r="O14" s="142"/>
      <c r="P14" s="142"/>
      <c r="Q14" s="142"/>
      <c r="R14" s="142"/>
      <c r="S14" s="142"/>
      <c r="T14" s="142">
        <v>6.3006524090580003</v>
      </c>
      <c r="U14" s="142">
        <v>1.51924971743464</v>
      </c>
      <c r="V14" s="142">
        <v>0.167153687349064</v>
      </c>
      <c r="W14" s="142"/>
      <c r="X14" s="142"/>
      <c r="Y14" s="142"/>
      <c r="Z14" s="142"/>
      <c r="AA14" s="142">
        <v>0.29531587692483002</v>
      </c>
      <c r="AB14" s="142"/>
      <c r="AC14" s="142"/>
      <c r="AD14" s="142"/>
      <c r="AE14" s="142"/>
      <c r="AF14" s="142"/>
      <c r="AG14" s="142"/>
      <c r="AH14" s="142"/>
      <c r="AI14" s="142"/>
      <c r="AJ14" s="142"/>
      <c r="AK14" s="142"/>
      <c r="AL14" s="142"/>
      <c r="AM14" s="142"/>
      <c r="AN14" s="142"/>
      <c r="AO14" s="142"/>
      <c r="AP14" s="142"/>
      <c r="AQ14" s="143"/>
    </row>
    <row r="15" spans="2:43" ht="12" customHeight="1" x14ac:dyDescent="0.25">
      <c r="B15" s="141" t="s">
        <v>43</v>
      </c>
      <c r="C15" s="142" t="s">
        <v>64</v>
      </c>
      <c r="D15" s="142" t="s">
        <v>25</v>
      </c>
      <c r="E15" s="142" t="s">
        <v>25</v>
      </c>
      <c r="F15" s="142" t="s">
        <v>25</v>
      </c>
      <c r="G15" s="142" t="s">
        <v>25</v>
      </c>
      <c r="H15" s="142" t="s">
        <v>91</v>
      </c>
      <c r="I15" s="142" t="s">
        <v>95</v>
      </c>
      <c r="J15" s="142">
        <v>3.38</v>
      </c>
      <c r="K15" s="142"/>
      <c r="L15" s="142"/>
      <c r="M15" s="142">
        <v>9.77480538852981E-2</v>
      </c>
      <c r="N15" s="142">
        <v>0.264235546483502</v>
      </c>
      <c r="O15" s="142"/>
      <c r="P15" s="142"/>
      <c r="Q15" s="142"/>
      <c r="R15" s="142"/>
      <c r="S15" s="142"/>
      <c r="T15" s="142"/>
      <c r="U15" s="142">
        <v>0.19816570101491601</v>
      </c>
      <c r="V15" s="142"/>
      <c r="W15" s="142"/>
      <c r="X15" s="142"/>
      <c r="Y15" s="142"/>
      <c r="Z15" s="142"/>
      <c r="AA15" s="142">
        <v>2.8157999999999999</v>
      </c>
      <c r="AB15" s="142"/>
      <c r="AC15" s="142"/>
      <c r="AD15" s="142"/>
      <c r="AE15" s="142"/>
      <c r="AF15" s="142"/>
      <c r="AG15" s="142"/>
      <c r="AH15" s="142"/>
      <c r="AI15" s="142"/>
      <c r="AJ15" s="142"/>
      <c r="AK15" s="142"/>
      <c r="AL15" s="142"/>
      <c r="AM15" s="142"/>
      <c r="AN15" s="142"/>
      <c r="AO15" s="142"/>
      <c r="AP15" s="142"/>
      <c r="AQ15" s="143"/>
    </row>
    <row r="16" spans="2:43" ht="12" customHeight="1" x14ac:dyDescent="0.25">
      <c r="B16" s="141" t="s">
        <v>43</v>
      </c>
      <c r="C16" s="142" t="s">
        <v>64</v>
      </c>
      <c r="D16" s="142" t="s">
        <v>25</v>
      </c>
      <c r="E16" s="142" t="s">
        <v>25</v>
      </c>
      <c r="F16" s="142" t="s">
        <v>25</v>
      </c>
      <c r="G16" s="142" t="s">
        <v>25</v>
      </c>
      <c r="H16" s="142" t="s">
        <v>91</v>
      </c>
      <c r="I16" s="142" t="s">
        <v>71</v>
      </c>
      <c r="J16" s="142">
        <v>3.24</v>
      </c>
      <c r="K16" s="142"/>
      <c r="L16" s="142"/>
      <c r="M16" s="142">
        <v>6.7657352784852604E-2</v>
      </c>
      <c r="N16" s="142">
        <v>0.182824594614626</v>
      </c>
      <c r="O16" s="142"/>
      <c r="P16" s="142"/>
      <c r="Q16" s="142"/>
      <c r="R16" s="142"/>
      <c r="S16" s="142"/>
      <c r="T16" s="142"/>
      <c r="U16" s="142">
        <v>0.60339972189233904</v>
      </c>
      <c r="V16" s="142">
        <v>4.3885863736378199E-2</v>
      </c>
      <c r="W16" s="142"/>
      <c r="X16" s="142"/>
      <c r="Y16" s="142"/>
      <c r="Z16" s="142">
        <v>0.36053048470382498</v>
      </c>
      <c r="AA16" s="142">
        <v>1.9815</v>
      </c>
      <c r="AB16" s="142"/>
      <c r="AC16" s="142"/>
      <c r="AD16" s="142"/>
      <c r="AE16" s="142"/>
      <c r="AF16" s="142"/>
      <c r="AG16" s="142"/>
      <c r="AH16" s="142"/>
      <c r="AI16" s="142"/>
      <c r="AJ16" s="142"/>
      <c r="AK16" s="142"/>
      <c r="AL16" s="142"/>
      <c r="AM16" s="142"/>
      <c r="AN16" s="142"/>
      <c r="AO16" s="142"/>
      <c r="AP16" s="142"/>
      <c r="AQ16" s="143"/>
    </row>
    <row r="17" spans="2:43" ht="12" customHeight="1" x14ac:dyDescent="0.25">
      <c r="B17" s="141" t="s">
        <v>43</v>
      </c>
      <c r="C17" s="142" t="s">
        <v>64</v>
      </c>
      <c r="D17" s="142" t="s">
        <v>25</v>
      </c>
      <c r="E17" s="142" t="s">
        <v>25</v>
      </c>
      <c r="F17" s="142" t="s">
        <v>25</v>
      </c>
      <c r="G17" s="142" t="s">
        <v>25</v>
      </c>
      <c r="H17" s="142" t="s">
        <v>91</v>
      </c>
      <c r="I17" s="142" t="s">
        <v>70</v>
      </c>
      <c r="J17" s="142">
        <v>3.68</v>
      </c>
      <c r="K17" s="142"/>
      <c r="L17" s="142"/>
      <c r="M17" s="142">
        <v>7.8123683602398894E-2</v>
      </c>
      <c r="N17" s="142">
        <v>0.21102838875101801</v>
      </c>
      <c r="O17" s="142"/>
      <c r="P17" s="142"/>
      <c r="Q17" s="142"/>
      <c r="R17" s="142"/>
      <c r="S17" s="142"/>
      <c r="T17" s="142"/>
      <c r="U17" s="142">
        <v>0.69671235648006202</v>
      </c>
      <c r="V17" s="142">
        <v>5.06143600071731E-2</v>
      </c>
      <c r="W17" s="142"/>
      <c r="X17" s="142"/>
      <c r="Y17" s="142"/>
      <c r="Z17" s="142">
        <v>0.36053048470382498</v>
      </c>
      <c r="AA17" s="142">
        <v>2.2879</v>
      </c>
      <c r="AB17" s="142"/>
      <c r="AC17" s="142"/>
      <c r="AD17" s="142"/>
      <c r="AE17" s="142"/>
      <c r="AF17" s="142"/>
      <c r="AG17" s="142"/>
      <c r="AH17" s="142"/>
      <c r="AI17" s="142"/>
      <c r="AJ17" s="142"/>
      <c r="AK17" s="142"/>
      <c r="AL17" s="142"/>
      <c r="AM17" s="142"/>
      <c r="AN17" s="142"/>
      <c r="AO17" s="142"/>
      <c r="AP17" s="142"/>
      <c r="AQ17" s="143"/>
    </row>
    <row r="18" spans="2:43" ht="12" customHeight="1" x14ac:dyDescent="0.25">
      <c r="B18" s="141" t="s">
        <v>45</v>
      </c>
      <c r="C18" s="142" t="s">
        <v>41</v>
      </c>
      <c r="D18" s="142" t="s">
        <v>25</v>
      </c>
      <c r="E18" s="142" t="s">
        <v>25</v>
      </c>
      <c r="F18" s="142" t="s">
        <v>61</v>
      </c>
      <c r="G18" s="142" t="s">
        <v>35</v>
      </c>
      <c r="H18" s="142" t="s">
        <v>88</v>
      </c>
      <c r="I18" s="142" t="s">
        <v>25</v>
      </c>
      <c r="J18" s="142">
        <v>21.46</v>
      </c>
      <c r="K18" s="142"/>
      <c r="L18" s="142"/>
      <c r="M18" s="142">
        <v>0.20302245705599101</v>
      </c>
      <c r="N18" s="142">
        <v>0.45680836814639902</v>
      </c>
      <c r="O18" s="142"/>
      <c r="P18" s="142"/>
      <c r="Q18" s="142"/>
      <c r="R18" s="142"/>
      <c r="S18" s="142"/>
      <c r="T18" s="142"/>
      <c r="U18" s="142"/>
      <c r="V18" s="142"/>
      <c r="W18" s="142"/>
      <c r="X18" s="142"/>
      <c r="Y18" s="142"/>
      <c r="Z18" s="142"/>
      <c r="AA18" s="142"/>
      <c r="AB18" s="142"/>
      <c r="AC18" s="142"/>
      <c r="AD18" s="142">
        <v>10.6156690632052</v>
      </c>
      <c r="AE18" s="142">
        <v>0.39902543623336001</v>
      </c>
      <c r="AF18" s="142">
        <v>7.7836030845025999</v>
      </c>
      <c r="AG18" s="142">
        <v>2.0006462749611198</v>
      </c>
      <c r="AH18" s="142"/>
      <c r="AI18" s="142"/>
      <c r="AJ18" s="142"/>
      <c r="AK18" s="142"/>
      <c r="AL18" s="142"/>
      <c r="AM18" s="142"/>
      <c r="AN18" s="142"/>
      <c r="AO18" s="142"/>
      <c r="AP18" s="142"/>
      <c r="AQ18" s="143"/>
    </row>
    <row r="19" spans="2:43" ht="12" customHeight="1" x14ac:dyDescent="0.25">
      <c r="B19" s="141" t="s">
        <v>45</v>
      </c>
      <c r="C19" s="142" t="s">
        <v>41</v>
      </c>
      <c r="D19" s="142" t="s">
        <v>25</v>
      </c>
      <c r="E19" s="142" t="s">
        <v>25</v>
      </c>
      <c r="F19" s="142" t="s">
        <v>61</v>
      </c>
      <c r="G19" s="142" t="s">
        <v>35</v>
      </c>
      <c r="H19" s="142" t="s">
        <v>91</v>
      </c>
      <c r="I19" s="142" t="s">
        <v>25</v>
      </c>
      <c r="J19" s="142">
        <v>27.22</v>
      </c>
      <c r="K19" s="142"/>
      <c r="L19" s="142"/>
      <c r="M19" s="142"/>
      <c r="N19" s="142"/>
      <c r="O19" s="142"/>
      <c r="P19" s="142"/>
      <c r="Q19" s="142"/>
      <c r="R19" s="142"/>
      <c r="S19" s="142"/>
      <c r="T19" s="142">
        <v>8.0887018843388496</v>
      </c>
      <c r="U19" s="142">
        <v>2.1481393957329198</v>
      </c>
      <c r="V19" s="142">
        <v>0.27439565880240702</v>
      </c>
      <c r="W19" s="142"/>
      <c r="X19" s="142"/>
      <c r="Y19" s="142"/>
      <c r="Z19" s="142"/>
      <c r="AA19" s="142">
        <v>16.7050462578019</v>
      </c>
      <c r="AB19" s="142"/>
      <c r="AC19" s="142"/>
      <c r="AD19" s="142"/>
      <c r="AE19" s="142"/>
      <c r="AF19" s="142"/>
      <c r="AG19" s="142"/>
      <c r="AH19" s="142"/>
      <c r="AI19" s="142"/>
      <c r="AJ19" s="142"/>
      <c r="AK19" s="142"/>
      <c r="AL19" s="142"/>
      <c r="AM19" s="142"/>
      <c r="AN19" s="142"/>
      <c r="AO19" s="142"/>
      <c r="AP19" s="142"/>
      <c r="AQ19" s="143"/>
    </row>
    <row r="20" spans="2:43" ht="12" customHeight="1" x14ac:dyDescent="0.25">
      <c r="B20" s="141" t="s">
        <v>45</v>
      </c>
      <c r="C20" s="142" t="s">
        <v>41</v>
      </c>
      <c r="D20" s="142" t="s">
        <v>25</v>
      </c>
      <c r="E20" s="142" t="s">
        <v>25</v>
      </c>
      <c r="F20" s="142" t="s">
        <v>61</v>
      </c>
      <c r="G20" s="142" t="s">
        <v>36</v>
      </c>
      <c r="H20" s="142" t="s">
        <v>88</v>
      </c>
      <c r="I20" s="142" t="s">
        <v>25</v>
      </c>
      <c r="J20" s="142">
        <v>21.46</v>
      </c>
      <c r="K20" s="142"/>
      <c r="L20" s="142"/>
      <c r="M20" s="142">
        <v>0.20302245705599101</v>
      </c>
      <c r="N20" s="142">
        <v>0.45680836814639902</v>
      </c>
      <c r="O20" s="142"/>
      <c r="P20" s="142"/>
      <c r="Q20" s="142"/>
      <c r="R20" s="142"/>
      <c r="S20" s="142"/>
      <c r="T20" s="142"/>
      <c r="U20" s="142"/>
      <c r="V20" s="142"/>
      <c r="W20" s="142"/>
      <c r="X20" s="142"/>
      <c r="Y20" s="142"/>
      <c r="Z20" s="142"/>
      <c r="AA20" s="142"/>
      <c r="AB20" s="142"/>
      <c r="AC20" s="142"/>
      <c r="AD20" s="142">
        <v>10.6156690632052</v>
      </c>
      <c r="AE20" s="142">
        <v>0.39902543623336001</v>
      </c>
      <c r="AF20" s="142">
        <v>7.7836030845025999</v>
      </c>
      <c r="AG20" s="142">
        <v>2.0006462749611198</v>
      </c>
      <c r="AH20" s="142"/>
      <c r="AI20" s="142"/>
      <c r="AJ20" s="142"/>
      <c r="AK20" s="142"/>
      <c r="AL20" s="142"/>
      <c r="AM20" s="142"/>
      <c r="AN20" s="142"/>
      <c r="AO20" s="142"/>
      <c r="AP20" s="142"/>
      <c r="AQ20" s="143"/>
    </row>
    <row r="21" spans="2:43" ht="12" customHeight="1" x14ac:dyDescent="0.25">
      <c r="B21" s="141" t="s">
        <v>45</v>
      </c>
      <c r="C21" s="142" t="s">
        <v>41</v>
      </c>
      <c r="D21" s="142" t="s">
        <v>25</v>
      </c>
      <c r="E21" s="142" t="s">
        <v>25</v>
      </c>
      <c r="F21" s="142" t="s">
        <v>61</v>
      </c>
      <c r="G21" s="142" t="s">
        <v>36</v>
      </c>
      <c r="H21" s="142" t="s">
        <v>91</v>
      </c>
      <c r="I21" s="142" t="s">
        <v>25</v>
      </c>
      <c r="J21" s="142">
        <v>11.45</v>
      </c>
      <c r="K21" s="142"/>
      <c r="L21" s="142"/>
      <c r="M21" s="142"/>
      <c r="N21" s="142"/>
      <c r="O21" s="142"/>
      <c r="P21" s="142"/>
      <c r="Q21" s="142"/>
      <c r="R21" s="142"/>
      <c r="S21" s="142"/>
      <c r="T21" s="142">
        <v>5.2870322569525099</v>
      </c>
      <c r="U21" s="142">
        <v>1.5279977964217899</v>
      </c>
      <c r="V21" s="142">
        <v>0.175541327574465</v>
      </c>
      <c r="W21" s="142"/>
      <c r="X21" s="142"/>
      <c r="Y21" s="142"/>
      <c r="Z21" s="142"/>
      <c r="AA21" s="142">
        <v>4.4617852677044301</v>
      </c>
      <c r="AB21" s="142"/>
      <c r="AC21" s="142"/>
      <c r="AD21" s="142"/>
      <c r="AE21" s="142"/>
      <c r="AF21" s="142"/>
      <c r="AG21" s="142"/>
      <c r="AH21" s="142"/>
      <c r="AI21" s="142"/>
      <c r="AJ21" s="142"/>
      <c r="AK21" s="142"/>
      <c r="AL21" s="142"/>
      <c r="AM21" s="142"/>
      <c r="AN21" s="142"/>
      <c r="AO21" s="142"/>
      <c r="AP21" s="142"/>
      <c r="AQ21" s="143"/>
    </row>
    <row r="22" spans="2:43" ht="12" customHeight="1" x14ac:dyDescent="0.25">
      <c r="B22" s="141" t="s">
        <v>45</v>
      </c>
      <c r="C22" s="142" t="s">
        <v>41</v>
      </c>
      <c r="D22" s="142" t="s">
        <v>25</v>
      </c>
      <c r="E22" s="142" t="s">
        <v>25</v>
      </c>
      <c r="F22" s="142" t="s">
        <v>25</v>
      </c>
      <c r="G22" s="142" t="s">
        <v>35</v>
      </c>
      <c r="H22" s="142" t="s">
        <v>88</v>
      </c>
      <c r="I22" s="142" t="s">
        <v>25</v>
      </c>
      <c r="J22" s="142">
        <v>87.52</v>
      </c>
      <c r="K22" s="142">
        <v>375.69</v>
      </c>
      <c r="L22" s="142"/>
      <c r="M22" s="142">
        <v>0.20302245705599101</v>
      </c>
      <c r="N22" s="142">
        <v>0.47127887140767</v>
      </c>
      <c r="O22" s="142"/>
      <c r="P22" s="142"/>
      <c r="Q22" s="142">
        <v>59.069180056669303</v>
      </c>
      <c r="R22" s="142">
        <v>6.9769367212194604</v>
      </c>
      <c r="S22" s="142"/>
      <c r="T22" s="142"/>
      <c r="U22" s="142"/>
      <c r="V22" s="142"/>
      <c r="W22" s="142"/>
      <c r="X22" s="142"/>
      <c r="Y22" s="142"/>
      <c r="Z22" s="142"/>
      <c r="AA22" s="142"/>
      <c r="AB22" s="142"/>
      <c r="AC22" s="142"/>
      <c r="AD22" s="142">
        <v>10.6156690632052</v>
      </c>
      <c r="AE22" s="142">
        <v>0.39902543623336001</v>
      </c>
      <c r="AF22" s="142">
        <v>7.7836030845025999</v>
      </c>
      <c r="AG22" s="142">
        <v>2.0006462749611198</v>
      </c>
      <c r="AH22" s="142">
        <v>2.5005275892065599</v>
      </c>
      <c r="AI22" s="142">
        <v>13.866547896201601</v>
      </c>
      <c r="AJ22" s="142"/>
      <c r="AK22" s="142">
        <v>-5.9899887837723602</v>
      </c>
      <c r="AL22" s="142">
        <v>346.04869505221001</v>
      </c>
      <c r="AM22" s="142">
        <v>7.7279194737034196</v>
      </c>
      <c r="AN22" s="142">
        <v>6.2390317012758096</v>
      </c>
      <c r="AO22" s="142"/>
      <c r="AP22" s="142"/>
      <c r="AQ22" s="143">
        <v>5.2990697581821902</v>
      </c>
    </row>
    <row r="23" spans="2:43" ht="12" customHeight="1" x14ac:dyDescent="0.25">
      <c r="B23" s="141" t="s">
        <v>45</v>
      </c>
      <c r="C23" s="142" t="s">
        <v>41</v>
      </c>
      <c r="D23" s="142" t="s">
        <v>25</v>
      </c>
      <c r="E23" s="142" t="s">
        <v>25</v>
      </c>
      <c r="F23" s="142" t="s">
        <v>25</v>
      </c>
      <c r="G23" s="142" t="s">
        <v>35</v>
      </c>
      <c r="H23" s="142" t="s">
        <v>91</v>
      </c>
      <c r="I23" s="142" t="s">
        <v>25</v>
      </c>
      <c r="J23" s="142">
        <v>27.22</v>
      </c>
      <c r="K23" s="142"/>
      <c r="L23" s="142"/>
      <c r="M23" s="142"/>
      <c r="N23" s="142"/>
      <c r="O23" s="142"/>
      <c r="P23" s="142"/>
      <c r="Q23" s="142"/>
      <c r="R23" s="142"/>
      <c r="S23" s="142"/>
      <c r="T23" s="142">
        <v>8.0887018843388496</v>
      </c>
      <c r="U23" s="142">
        <v>2.1481393957329198</v>
      </c>
      <c r="V23" s="142">
        <v>0.27439565880240702</v>
      </c>
      <c r="W23" s="142"/>
      <c r="X23" s="142"/>
      <c r="Y23" s="142"/>
      <c r="Z23" s="142"/>
      <c r="AA23" s="142">
        <v>16.7050462578019</v>
      </c>
      <c r="AB23" s="142"/>
      <c r="AC23" s="142"/>
      <c r="AD23" s="142"/>
      <c r="AE23" s="142"/>
      <c r="AF23" s="142"/>
      <c r="AG23" s="142"/>
      <c r="AH23" s="142"/>
      <c r="AI23" s="142"/>
      <c r="AJ23" s="142"/>
      <c r="AK23" s="142"/>
      <c r="AL23" s="142"/>
      <c r="AM23" s="142"/>
      <c r="AN23" s="142"/>
      <c r="AO23" s="142"/>
      <c r="AP23" s="142"/>
      <c r="AQ23" s="143"/>
    </row>
    <row r="24" spans="2:43" ht="12" customHeight="1" x14ac:dyDescent="0.25">
      <c r="B24" s="141" t="s">
        <v>45</v>
      </c>
      <c r="C24" s="142" t="s">
        <v>41</v>
      </c>
      <c r="D24" s="142" t="s">
        <v>25</v>
      </c>
      <c r="E24" s="142" t="s">
        <v>25</v>
      </c>
      <c r="F24" s="142" t="s">
        <v>25</v>
      </c>
      <c r="G24" s="142" t="s">
        <v>36</v>
      </c>
      <c r="H24" s="142" t="s">
        <v>88</v>
      </c>
      <c r="I24" s="142" t="s">
        <v>25</v>
      </c>
      <c r="J24" s="142">
        <v>87.52</v>
      </c>
      <c r="K24" s="142">
        <v>230.83</v>
      </c>
      <c r="L24" s="142"/>
      <c r="M24" s="142">
        <v>0.20302245705599101</v>
      </c>
      <c r="N24" s="142">
        <v>0.47127887140767</v>
      </c>
      <c r="O24" s="142"/>
      <c r="P24" s="142"/>
      <c r="Q24" s="142">
        <v>59.069180056669303</v>
      </c>
      <c r="R24" s="142">
        <v>6.9769367212194604</v>
      </c>
      <c r="S24" s="142"/>
      <c r="T24" s="142"/>
      <c r="U24" s="142"/>
      <c r="V24" s="142"/>
      <c r="W24" s="142"/>
      <c r="X24" s="142"/>
      <c r="Y24" s="142"/>
      <c r="Z24" s="142"/>
      <c r="AA24" s="142"/>
      <c r="AB24" s="142"/>
      <c r="AC24" s="142"/>
      <c r="AD24" s="142">
        <v>10.6156690632052</v>
      </c>
      <c r="AE24" s="142">
        <v>0.39902543623336001</v>
      </c>
      <c r="AF24" s="142">
        <v>7.7836030845025999</v>
      </c>
      <c r="AG24" s="142">
        <v>2.0006462749611198</v>
      </c>
      <c r="AH24" s="142">
        <v>2.5005275892065599</v>
      </c>
      <c r="AI24" s="142">
        <v>13.866547896201601</v>
      </c>
      <c r="AJ24" s="142"/>
      <c r="AK24" s="142">
        <v>-5.9899887837723602</v>
      </c>
      <c r="AL24" s="142">
        <v>201.19110177454101</v>
      </c>
      <c r="AM24" s="142">
        <v>7.7279194737034196</v>
      </c>
      <c r="AN24" s="142">
        <v>6.2390317012758096</v>
      </c>
      <c r="AO24" s="142"/>
      <c r="AP24" s="142"/>
      <c r="AQ24" s="143">
        <v>5.2990697581821902</v>
      </c>
    </row>
    <row r="25" spans="2:43" ht="12" customHeight="1" x14ac:dyDescent="0.25">
      <c r="B25" s="141" t="s">
        <v>45</v>
      </c>
      <c r="C25" s="142" t="s">
        <v>41</v>
      </c>
      <c r="D25" s="142" t="s">
        <v>25</v>
      </c>
      <c r="E25" s="142" t="s">
        <v>25</v>
      </c>
      <c r="F25" s="142" t="s">
        <v>25</v>
      </c>
      <c r="G25" s="142" t="s">
        <v>36</v>
      </c>
      <c r="H25" s="142" t="s">
        <v>91</v>
      </c>
      <c r="I25" s="142" t="s">
        <v>25</v>
      </c>
      <c r="J25" s="142">
        <v>11.45</v>
      </c>
      <c r="K25" s="142"/>
      <c r="L25" s="142"/>
      <c r="M25" s="142"/>
      <c r="N25" s="142"/>
      <c r="O25" s="142"/>
      <c r="P25" s="142"/>
      <c r="Q25" s="142"/>
      <c r="R25" s="142"/>
      <c r="S25" s="142"/>
      <c r="T25" s="142">
        <v>5.2870322569525099</v>
      </c>
      <c r="U25" s="142">
        <v>1.5279977964217899</v>
      </c>
      <c r="V25" s="142">
        <v>0.175541327574465</v>
      </c>
      <c r="W25" s="142"/>
      <c r="X25" s="142"/>
      <c r="Y25" s="142"/>
      <c r="Z25" s="142"/>
      <c r="AA25" s="142">
        <v>4.4617852677044301</v>
      </c>
      <c r="AB25" s="142"/>
      <c r="AC25" s="142"/>
      <c r="AD25" s="142"/>
      <c r="AE25" s="142"/>
      <c r="AF25" s="142"/>
      <c r="AG25" s="142"/>
      <c r="AH25" s="142"/>
      <c r="AI25" s="142"/>
      <c r="AJ25" s="142"/>
      <c r="AK25" s="142"/>
      <c r="AL25" s="142"/>
      <c r="AM25" s="142"/>
      <c r="AN25" s="142"/>
      <c r="AO25" s="142"/>
      <c r="AP25" s="142"/>
      <c r="AQ25" s="143"/>
    </row>
    <row r="26" spans="2:43" ht="12" customHeight="1" x14ac:dyDescent="0.25">
      <c r="B26" s="141" t="s">
        <v>45</v>
      </c>
      <c r="C26" s="142" t="s">
        <v>23</v>
      </c>
      <c r="D26" s="142" t="s">
        <v>25</v>
      </c>
      <c r="E26" s="142" t="s">
        <v>25</v>
      </c>
      <c r="F26" s="142" t="s">
        <v>25</v>
      </c>
      <c r="G26" s="142" t="s">
        <v>25</v>
      </c>
      <c r="H26" s="142" t="s">
        <v>88</v>
      </c>
      <c r="I26" s="142" t="s">
        <v>25</v>
      </c>
      <c r="J26" s="142">
        <v>87.52</v>
      </c>
      <c r="K26" s="142">
        <v>242.91</v>
      </c>
      <c r="L26" s="142"/>
      <c r="M26" s="142">
        <v>0.20302245705599101</v>
      </c>
      <c r="N26" s="142">
        <v>0.47127887140767</v>
      </c>
      <c r="O26" s="142"/>
      <c r="P26" s="142"/>
      <c r="Q26" s="142">
        <v>59.069180056669303</v>
      </c>
      <c r="R26" s="142">
        <v>6.9769367212194604</v>
      </c>
      <c r="S26" s="142"/>
      <c r="T26" s="142"/>
      <c r="U26" s="142"/>
      <c r="V26" s="142"/>
      <c r="W26" s="142"/>
      <c r="X26" s="142"/>
      <c r="Y26" s="142"/>
      <c r="Z26" s="142"/>
      <c r="AA26" s="142"/>
      <c r="AB26" s="142"/>
      <c r="AC26" s="142"/>
      <c r="AD26" s="142">
        <v>10.6156690632052</v>
      </c>
      <c r="AE26" s="142">
        <v>0.39902543623336001</v>
      </c>
      <c r="AF26" s="142">
        <v>7.7836030845025999</v>
      </c>
      <c r="AG26" s="142">
        <v>2.0006462749611198</v>
      </c>
      <c r="AH26" s="142">
        <v>2.5005275892065599</v>
      </c>
      <c r="AI26" s="142">
        <v>13.866547896201601</v>
      </c>
      <c r="AJ26" s="142"/>
      <c r="AK26" s="142">
        <v>-5.9899887837723602</v>
      </c>
      <c r="AL26" s="142">
        <v>213.26256788101301</v>
      </c>
      <c r="AM26" s="142">
        <v>7.7279194737034196</v>
      </c>
      <c r="AN26" s="142">
        <v>6.2390317012758096</v>
      </c>
      <c r="AO26" s="142"/>
      <c r="AP26" s="142"/>
      <c r="AQ26" s="143">
        <v>5.2990697581821902</v>
      </c>
    </row>
    <row r="27" spans="2:43" ht="12" customHeight="1" x14ac:dyDescent="0.25">
      <c r="B27" s="141" t="s">
        <v>45</v>
      </c>
      <c r="C27" s="142" t="s">
        <v>23</v>
      </c>
      <c r="D27" s="142" t="s">
        <v>25</v>
      </c>
      <c r="E27" s="142" t="s">
        <v>25</v>
      </c>
      <c r="F27" s="142" t="s">
        <v>25</v>
      </c>
      <c r="G27" s="142" t="s">
        <v>25</v>
      </c>
      <c r="H27" s="142" t="s">
        <v>91</v>
      </c>
      <c r="I27" s="142" t="s">
        <v>25</v>
      </c>
      <c r="J27" s="142">
        <v>31.05</v>
      </c>
      <c r="K27" s="142"/>
      <c r="L27" s="142"/>
      <c r="M27" s="142"/>
      <c r="N27" s="142"/>
      <c r="O27" s="142"/>
      <c r="P27" s="142"/>
      <c r="Q27" s="142"/>
      <c r="R27" s="142"/>
      <c r="S27" s="142"/>
      <c r="T27" s="142">
        <v>11.1112635887153</v>
      </c>
      <c r="U27" s="142">
        <v>3.0749497639823899</v>
      </c>
      <c r="V27" s="142">
        <v>0.37265087287139098</v>
      </c>
      <c r="W27" s="142"/>
      <c r="X27" s="142"/>
      <c r="Y27" s="142"/>
      <c r="Z27" s="142"/>
      <c r="AA27" s="142">
        <v>16.489446140731602</v>
      </c>
      <c r="AB27" s="142"/>
      <c r="AC27" s="142"/>
      <c r="AD27" s="142"/>
      <c r="AE27" s="142"/>
      <c r="AF27" s="142"/>
      <c r="AG27" s="142"/>
      <c r="AH27" s="142"/>
      <c r="AI27" s="142"/>
      <c r="AJ27" s="142"/>
      <c r="AK27" s="142"/>
      <c r="AL27" s="142"/>
      <c r="AM27" s="142"/>
      <c r="AN27" s="142"/>
      <c r="AO27" s="142"/>
      <c r="AP27" s="142"/>
      <c r="AQ27" s="143"/>
    </row>
    <row r="28" spans="2:43" ht="12" customHeight="1" x14ac:dyDescent="0.25">
      <c r="B28" s="141" t="s">
        <v>45</v>
      </c>
      <c r="C28" s="142" t="s">
        <v>64</v>
      </c>
      <c r="D28" s="142" t="s">
        <v>25</v>
      </c>
      <c r="E28" s="142" t="s">
        <v>25</v>
      </c>
      <c r="F28" s="142" t="s">
        <v>25</v>
      </c>
      <c r="G28" s="142" t="s">
        <v>25</v>
      </c>
      <c r="H28" s="142" t="s">
        <v>91</v>
      </c>
      <c r="I28" s="142" t="s">
        <v>25</v>
      </c>
      <c r="J28" s="142">
        <v>3.71</v>
      </c>
      <c r="K28" s="142"/>
      <c r="L28" s="142"/>
      <c r="M28" s="142">
        <v>1.12208872428295E-2</v>
      </c>
      <c r="N28" s="142">
        <v>4.61609054034555E-2</v>
      </c>
      <c r="O28" s="142"/>
      <c r="P28" s="142"/>
      <c r="Q28" s="142"/>
      <c r="R28" s="142"/>
      <c r="S28" s="142"/>
      <c r="T28" s="142"/>
      <c r="U28" s="142"/>
      <c r="V28" s="142"/>
      <c r="W28" s="142"/>
      <c r="X28" s="142"/>
      <c r="Y28" s="142"/>
      <c r="Z28" s="142"/>
      <c r="AA28" s="142">
        <v>3.6472831738600302</v>
      </c>
      <c r="AB28" s="142"/>
      <c r="AC28" s="142"/>
      <c r="AD28" s="142">
        <v>1.4292997429008599E-3</v>
      </c>
      <c r="AE28" s="142"/>
      <c r="AF28" s="142"/>
      <c r="AG28" s="142"/>
      <c r="AH28" s="142"/>
      <c r="AI28" s="142"/>
      <c r="AJ28" s="142"/>
      <c r="AK28" s="142"/>
      <c r="AL28" s="142"/>
      <c r="AM28" s="142"/>
      <c r="AN28" s="142"/>
      <c r="AO28" s="142"/>
      <c r="AP28" s="142"/>
      <c r="AQ28" s="143"/>
    </row>
    <row r="29" spans="2:43" ht="12" customHeight="1" x14ac:dyDescent="0.25">
      <c r="B29" s="141" t="s">
        <v>45</v>
      </c>
      <c r="C29" s="142" t="s">
        <v>34</v>
      </c>
      <c r="D29" s="142" t="s">
        <v>25</v>
      </c>
      <c r="E29" s="142" t="s">
        <v>25</v>
      </c>
      <c r="F29" s="142" t="s">
        <v>61</v>
      </c>
      <c r="G29" s="142" t="s">
        <v>35</v>
      </c>
      <c r="H29" s="142" t="s">
        <v>88</v>
      </c>
      <c r="I29" s="142" t="s">
        <v>25</v>
      </c>
      <c r="J29" s="142">
        <v>681.67</v>
      </c>
      <c r="K29" s="142"/>
      <c r="L29" s="142"/>
      <c r="M29" s="142">
        <v>0.20302245705599101</v>
      </c>
      <c r="N29" s="142">
        <v>6.1186185089696803</v>
      </c>
      <c r="O29" s="142"/>
      <c r="P29" s="142"/>
      <c r="Q29" s="142"/>
      <c r="R29" s="142"/>
      <c r="S29" s="142"/>
      <c r="T29" s="142">
        <v>194.53599245479799</v>
      </c>
      <c r="U29" s="142">
        <v>51.663238471764799</v>
      </c>
      <c r="V29" s="142">
        <v>6.5956808029600396</v>
      </c>
      <c r="W29" s="142"/>
      <c r="X29" s="142"/>
      <c r="Y29" s="142"/>
      <c r="Z29" s="142"/>
      <c r="AA29" s="142">
        <v>401.75755134468199</v>
      </c>
      <c r="AB29" s="142"/>
      <c r="AC29" s="142"/>
      <c r="AD29" s="142">
        <v>10.6156690632052</v>
      </c>
      <c r="AE29" s="142">
        <v>0.39902543623336001</v>
      </c>
      <c r="AF29" s="142">
        <v>7.7836030845025999</v>
      </c>
      <c r="AG29" s="142">
        <v>2.0006462749611198</v>
      </c>
      <c r="AH29" s="142"/>
      <c r="AI29" s="142"/>
      <c r="AJ29" s="142"/>
      <c r="AK29" s="142"/>
      <c r="AL29" s="142"/>
      <c r="AM29" s="142"/>
      <c r="AN29" s="142"/>
      <c r="AO29" s="142"/>
      <c r="AP29" s="142"/>
      <c r="AQ29" s="143"/>
    </row>
    <row r="30" spans="2:43" ht="12" customHeight="1" x14ac:dyDescent="0.25">
      <c r="B30" s="141" t="s">
        <v>45</v>
      </c>
      <c r="C30" s="142" t="s">
        <v>34</v>
      </c>
      <c r="D30" s="142" t="s">
        <v>25</v>
      </c>
      <c r="E30" s="142" t="s">
        <v>25</v>
      </c>
      <c r="F30" s="142" t="s">
        <v>61</v>
      </c>
      <c r="G30" s="142" t="s">
        <v>25</v>
      </c>
      <c r="H30" s="142" t="s">
        <v>91</v>
      </c>
      <c r="I30" s="142" t="s">
        <v>25</v>
      </c>
      <c r="J30" s="142">
        <v>11.45</v>
      </c>
      <c r="K30" s="142"/>
      <c r="L30" s="142"/>
      <c r="M30" s="142"/>
      <c r="N30" s="142"/>
      <c r="O30" s="142"/>
      <c r="P30" s="142"/>
      <c r="Q30" s="142"/>
      <c r="R30" s="142"/>
      <c r="S30" s="142"/>
      <c r="T30" s="142">
        <v>5.2870322569525099</v>
      </c>
      <c r="U30" s="142">
        <v>1.5279977964217899</v>
      </c>
      <c r="V30" s="142">
        <v>0.175541327574465</v>
      </c>
      <c r="W30" s="142"/>
      <c r="X30" s="142"/>
      <c r="Y30" s="142"/>
      <c r="Z30" s="142"/>
      <c r="AA30" s="142">
        <v>4.4617852677044301</v>
      </c>
      <c r="AB30" s="142"/>
      <c r="AC30" s="142"/>
      <c r="AD30" s="142"/>
      <c r="AE30" s="142"/>
      <c r="AF30" s="142"/>
      <c r="AG30" s="142"/>
      <c r="AH30" s="142"/>
      <c r="AI30" s="142"/>
      <c r="AJ30" s="142"/>
      <c r="AK30" s="142"/>
      <c r="AL30" s="142"/>
      <c r="AM30" s="142"/>
      <c r="AN30" s="142"/>
      <c r="AO30" s="142"/>
      <c r="AP30" s="142"/>
      <c r="AQ30" s="143"/>
    </row>
    <row r="31" spans="2:43" ht="12" customHeight="1" x14ac:dyDescent="0.25">
      <c r="B31" s="141" t="s">
        <v>45</v>
      </c>
      <c r="C31" s="142" t="s">
        <v>34</v>
      </c>
      <c r="D31" s="142" t="s">
        <v>25</v>
      </c>
      <c r="E31" s="142" t="s">
        <v>25</v>
      </c>
      <c r="F31" s="142" t="s">
        <v>61</v>
      </c>
      <c r="G31" s="142" t="s">
        <v>36</v>
      </c>
      <c r="H31" s="142" t="s">
        <v>88</v>
      </c>
      <c r="I31" s="142" t="s">
        <v>25</v>
      </c>
      <c r="J31" s="142">
        <v>21.46</v>
      </c>
      <c r="K31" s="142"/>
      <c r="L31" s="142"/>
      <c r="M31" s="142">
        <v>0.20302245705599101</v>
      </c>
      <c r="N31" s="142">
        <v>0.45680836814639902</v>
      </c>
      <c r="O31" s="142"/>
      <c r="P31" s="142"/>
      <c r="Q31" s="142"/>
      <c r="R31" s="142"/>
      <c r="S31" s="142"/>
      <c r="T31" s="142"/>
      <c r="U31" s="142"/>
      <c r="V31" s="142"/>
      <c r="W31" s="142"/>
      <c r="X31" s="142"/>
      <c r="Y31" s="142"/>
      <c r="Z31" s="142"/>
      <c r="AA31" s="142"/>
      <c r="AB31" s="142"/>
      <c r="AC31" s="142"/>
      <c r="AD31" s="142">
        <v>10.6156690632052</v>
      </c>
      <c r="AE31" s="142">
        <v>0.39902543623336001</v>
      </c>
      <c r="AF31" s="142">
        <v>7.7836030845025999</v>
      </c>
      <c r="AG31" s="142">
        <v>2.0006462749611198</v>
      </c>
      <c r="AH31" s="142"/>
      <c r="AI31" s="142"/>
      <c r="AJ31" s="142"/>
      <c r="AK31" s="142"/>
      <c r="AL31" s="142"/>
      <c r="AM31" s="142"/>
      <c r="AN31" s="142"/>
      <c r="AO31" s="142"/>
      <c r="AP31" s="142"/>
      <c r="AQ31" s="143"/>
    </row>
    <row r="32" spans="2:43" ht="12" customHeight="1" x14ac:dyDescent="0.25">
      <c r="B32" s="141" t="s">
        <v>45</v>
      </c>
      <c r="C32" s="142" t="s">
        <v>34</v>
      </c>
      <c r="D32" s="142" t="s">
        <v>25</v>
      </c>
      <c r="E32" s="142" t="s">
        <v>25</v>
      </c>
      <c r="F32" s="142" t="s">
        <v>25</v>
      </c>
      <c r="G32" s="142" t="s">
        <v>35</v>
      </c>
      <c r="H32" s="142" t="s">
        <v>88</v>
      </c>
      <c r="I32" s="142" t="s">
        <v>25</v>
      </c>
      <c r="J32" s="142">
        <v>747.73</v>
      </c>
      <c r="K32" s="142">
        <v>375.69</v>
      </c>
      <c r="L32" s="142"/>
      <c r="M32" s="142">
        <v>0.20302245705599101</v>
      </c>
      <c r="N32" s="142">
        <v>6.1330890122309496</v>
      </c>
      <c r="O32" s="142"/>
      <c r="P32" s="142"/>
      <c r="Q32" s="142">
        <v>59.069180056669303</v>
      </c>
      <c r="R32" s="142">
        <v>6.9769367212194604</v>
      </c>
      <c r="S32" s="142"/>
      <c r="T32" s="142">
        <v>194.53599245479799</v>
      </c>
      <c r="U32" s="142">
        <v>51.663238471764799</v>
      </c>
      <c r="V32" s="142">
        <v>6.5956808029600396</v>
      </c>
      <c r="W32" s="142"/>
      <c r="X32" s="142"/>
      <c r="Y32" s="142"/>
      <c r="Z32" s="142"/>
      <c r="AA32" s="142">
        <v>401.75755134468199</v>
      </c>
      <c r="AB32" s="142"/>
      <c r="AC32" s="142"/>
      <c r="AD32" s="142">
        <v>10.6156690632052</v>
      </c>
      <c r="AE32" s="142">
        <v>0.39902543623336001</v>
      </c>
      <c r="AF32" s="142">
        <v>7.7836030845025999</v>
      </c>
      <c r="AG32" s="142">
        <v>2.0006462749611198</v>
      </c>
      <c r="AH32" s="142">
        <v>2.5005275892065599</v>
      </c>
      <c r="AI32" s="142">
        <v>13.866547896201601</v>
      </c>
      <c r="AJ32" s="142"/>
      <c r="AK32" s="142">
        <v>-5.9899887837723602</v>
      </c>
      <c r="AL32" s="142">
        <v>346.04869505221001</v>
      </c>
      <c r="AM32" s="142">
        <v>7.7279194737034196</v>
      </c>
      <c r="AN32" s="142">
        <v>6.2390317012758096</v>
      </c>
      <c r="AO32" s="142"/>
      <c r="AP32" s="142"/>
      <c r="AQ32" s="143">
        <v>5.2990697581821902</v>
      </c>
    </row>
    <row r="33" spans="2:43" ht="12" customHeight="1" x14ac:dyDescent="0.25">
      <c r="B33" s="141" t="s">
        <v>45</v>
      </c>
      <c r="C33" s="142" t="s">
        <v>34</v>
      </c>
      <c r="D33" s="142" t="s">
        <v>25</v>
      </c>
      <c r="E33" s="142" t="s">
        <v>25</v>
      </c>
      <c r="F33" s="142" t="s">
        <v>25</v>
      </c>
      <c r="G33" s="142" t="s">
        <v>25</v>
      </c>
      <c r="H33" s="142" t="s">
        <v>91</v>
      </c>
      <c r="I33" s="142" t="s">
        <v>25</v>
      </c>
      <c r="J33" s="142">
        <v>11.45</v>
      </c>
      <c r="K33" s="142"/>
      <c r="L33" s="142"/>
      <c r="M33" s="142"/>
      <c r="N33" s="142"/>
      <c r="O33" s="142"/>
      <c r="P33" s="142"/>
      <c r="Q33" s="142"/>
      <c r="R33" s="142"/>
      <c r="S33" s="142"/>
      <c r="T33" s="142">
        <v>5.2870322569525099</v>
      </c>
      <c r="U33" s="142">
        <v>1.5279977964217899</v>
      </c>
      <c r="V33" s="142">
        <v>0.175541327574465</v>
      </c>
      <c r="W33" s="142"/>
      <c r="X33" s="142"/>
      <c r="Y33" s="142"/>
      <c r="Z33" s="142"/>
      <c r="AA33" s="142">
        <v>4.4617852677044301</v>
      </c>
      <c r="AB33" s="142"/>
      <c r="AC33" s="142"/>
      <c r="AD33" s="142"/>
      <c r="AE33" s="142"/>
      <c r="AF33" s="142"/>
      <c r="AG33" s="142"/>
      <c r="AH33" s="142"/>
      <c r="AI33" s="142"/>
      <c r="AJ33" s="142"/>
      <c r="AK33" s="142"/>
      <c r="AL33" s="142"/>
      <c r="AM33" s="142"/>
      <c r="AN33" s="142"/>
      <c r="AO33" s="142"/>
      <c r="AP33" s="142"/>
      <c r="AQ33" s="143"/>
    </row>
    <row r="34" spans="2:43" ht="12" customHeight="1" x14ac:dyDescent="0.25">
      <c r="B34" s="141" t="s">
        <v>45</v>
      </c>
      <c r="C34" s="142" t="s">
        <v>34</v>
      </c>
      <c r="D34" s="142" t="s">
        <v>25</v>
      </c>
      <c r="E34" s="142" t="s">
        <v>25</v>
      </c>
      <c r="F34" s="142" t="s">
        <v>25</v>
      </c>
      <c r="G34" s="142" t="s">
        <v>36</v>
      </c>
      <c r="H34" s="142" t="s">
        <v>88</v>
      </c>
      <c r="I34" s="142" t="s">
        <v>25</v>
      </c>
      <c r="J34" s="142">
        <v>87.52</v>
      </c>
      <c r="K34" s="142">
        <v>230.83</v>
      </c>
      <c r="L34" s="142"/>
      <c r="M34" s="142">
        <v>0.20302245705599101</v>
      </c>
      <c r="N34" s="142">
        <v>0.47127887140767</v>
      </c>
      <c r="O34" s="142"/>
      <c r="P34" s="142"/>
      <c r="Q34" s="142">
        <v>59.069180056669303</v>
      </c>
      <c r="R34" s="142">
        <v>6.9769367212194604</v>
      </c>
      <c r="S34" s="142"/>
      <c r="T34" s="142"/>
      <c r="U34" s="142"/>
      <c r="V34" s="142"/>
      <c r="W34" s="142"/>
      <c r="X34" s="142"/>
      <c r="Y34" s="142"/>
      <c r="Z34" s="142"/>
      <c r="AA34" s="142"/>
      <c r="AB34" s="142"/>
      <c r="AC34" s="142"/>
      <c r="AD34" s="142">
        <v>10.6156690632052</v>
      </c>
      <c r="AE34" s="142">
        <v>0.39902543623336001</v>
      </c>
      <c r="AF34" s="142">
        <v>7.7836030845025999</v>
      </c>
      <c r="AG34" s="142">
        <v>2.0006462749611198</v>
      </c>
      <c r="AH34" s="142">
        <v>2.5005275892065599</v>
      </c>
      <c r="AI34" s="142">
        <v>13.866547896201601</v>
      </c>
      <c r="AJ34" s="142"/>
      <c r="AK34" s="142">
        <v>-5.9899887837723602</v>
      </c>
      <c r="AL34" s="142">
        <v>201.19110177454101</v>
      </c>
      <c r="AM34" s="142">
        <v>7.7279194737034196</v>
      </c>
      <c r="AN34" s="142">
        <v>6.2390317012758096</v>
      </c>
      <c r="AO34" s="142"/>
      <c r="AP34" s="142"/>
      <c r="AQ34" s="143">
        <v>5.2990697581821902</v>
      </c>
    </row>
    <row r="35" spans="2:43" ht="12" customHeight="1" x14ac:dyDescent="0.25">
      <c r="B35" s="141" t="s">
        <v>33</v>
      </c>
      <c r="C35" s="142" t="s">
        <v>41</v>
      </c>
      <c r="D35" s="142" t="s">
        <v>25</v>
      </c>
      <c r="E35" s="142" t="s">
        <v>25</v>
      </c>
      <c r="F35" s="142" t="s">
        <v>61</v>
      </c>
      <c r="G35" s="142" t="s">
        <v>35</v>
      </c>
      <c r="H35" s="142" t="s">
        <v>88</v>
      </c>
      <c r="I35" s="142" t="s">
        <v>25</v>
      </c>
      <c r="J35" s="142">
        <v>21.46</v>
      </c>
      <c r="K35" s="142"/>
      <c r="L35" s="142"/>
      <c r="M35" s="142">
        <v>0.20302245705599101</v>
      </c>
      <c r="N35" s="142">
        <v>0.45680836814639902</v>
      </c>
      <c r="O35" s="142"/>
      <c r="P35" s="142"/>
      <c r="Q35" s="142"/>
      <c r="R35" s="142"/>
      <c r="S35" s="142"/>
      <c r="T35" s="142"/>
      <c r="U35" s="142"/>
      <c r="V35" s="142"/>
      <c r="W35" s="142"/>
      <c r="X35" s="142"/>
      <c r="Y35" s="142"/>
      <c r="Z35" s="142"/>
      <c r="AA35" s="142"/>
      <c r="AB35" s="142"/>
      <c r="AC35" s="142"/>
      <c r="AD35" s="142">
        <v>10.6156690632052</v>
      </c>
      <c r="AE35" s="142">
        <v>0.39902543623336001</v>
      </c>
      <c r="AF35" s="142">
        <v>7.7836030845025999</v>
      </c>
      <c r="AG35" s="142">
        <v>2.0006462749611198</v>
      </c>
      <c r="AH35" s="142"/>
      <c r="AI35" s="142"/>
      <c r="AJ35" s="142"/>
      <c r="AK35" s="142"/>
      <c r="AL35" s="142"/>
      <c r="AM35" s="142"/>
      <c r="AN35" s="142"/>
      <c r="AO35" s="142"/>
      <c r="AP35" s="142"/>
      <c r="AQ35" s="143"/>
    </row>
    <row r="36" spans="2:43" ht="12" customHeight="1" x14ac:dyDescent="0.25">
      <c r="B36" s="141" t="s">
        <v>33</v>
      </c>
      <c r="C36" s="142" t="s">
        <v>41</v>
      </c>
      <c r="D36" s="142" t="s">
        <v>25</v>
      </c>
      <c r="E36" s="142" t="s">
        <v>25</v>
      </c>
      <c r="F36" s="142" t="s">
        <v>61</v>
      </c>
      <c r="G36" s="142" t="s">
        <v>35</v>
      </c>
      <c r="H36" s="142" t="s">
        <v>91</v>
      </c>
      <c r="I36" s="142" t="s">
        <v>25</v>
      </c>
      <c r="J36" s="142">
        <v>27.22</v>
      </c>
      <c r="K36" s="142"/>
      <c r="L36" s="142"/>
      <c r="M36" s="142"/>
      <c r="N36" s="142"/>
      <c r="O36" s="142"/>
      <c r="P36" s="142"/>
      <c r="Q36" s="142"/>
      <c r="R36" s="142"/>
      <c r="S36" s="142"/>
      <c r="T36" s="142">
        <v>8.0887018843388496</v>
      </c>
      <c r="U36" s="142">
        <v>2.1481393957329198</v>
      </c>
      <c r="V36" s="142">
        <v>0.27439565880240702</v>
      </c>
      <c r="W36" s="142"/>
      <c r="X36" s="142"/>
      <c r="Y36" s="142"/>
      <c r="Z36" s="142"/>
      <c r="AA36" s="142">
        <v>16.7050462578019</v>
      </c>
      <c r="AB36" s="142"/>
      <c r="AC36" s="142"/>
      <c r="AD36" s="142"/>
      <c r="AE36" s="142"/>
      <c r="AF36" s="142"/>
      <c r="AG36" s="142"/>
      <c r="AH36" s="142"/>
      <c r="AI36" s="142"/>
      <c r="AJ36" s="142"/>
      <c r="AK36" s="142"/>
      <c r="AL36" s="142"/>
      <c r="AM36" s="142"/>
      <c r="AN36" s="142"/>
      <c r="AO36" s="142"/>
      <c r="AP36" s="142"/>
      <c r="AQ36" s="143"/>
    </row>
    <row r="37" spans="2:43" ht="12" customHeight="1" x14ac:dyDescent="0.25">
      <c r="B37" s="141" t="s">
        <v>33</v>
      </c>
      <c r="C37" s="142" t="s">
        <v>41</v>
      </c>
      <c r="D37" s="142" t="s">
        <v>25</v>
      </c>
      <c r="E37" s="142" t="s">
        <v>25</v>
      </c>
      <c r="F37" s="142" t="s">
        <v>61</v>
      </c>
      <c r="G37" s="142" t="s">
        <v>36</v>
      </c>
      <c r="H37" s="142" t="s">
        <v>88</v>
      </c>
      <c r="I37" s="142" t="s">
        <v>25</v>
      </c>
      <c r="J37" s="142">
        <v>21.46</v>
      </c>
      <c r="K37" s="142"/>
      <c r="L37" s="142"/>
      <c r="M37" s="142">
        <v>0.20302245705599101</v>
      </c>
      <c r="N37" s="142">
        <v>0.45680836814639902</v>
      </c>
      <c r="O37" s="142"/>
      <c r="P37" s="142"/>
      <c r="Q37" s="142"/>
      <c r="R37" s="142"/>
      <c r="S37" s="142"/>
      <c r="T37" s="142"/>
      <c r="U37" s="142"/>
      <c r="V37" s="142"/>
      <c r="W37" s="142"/>
      <c r="X37" s="142"/>
      <c r="Y37" s="142"/>
      <c r="Z37" s="142"/>
      <c r="AA37" s="142"/>
      <c r="AB37" s="142"/>
      <c r="AC37" s="142"/>
      <c r="AD37" s="142">
        <v>10.6156690632052</v>
      </c>
      <c r="AE37" s="142">
        <v>0.39902543623336001</v>
      </c>
      <c r="AF37" s="142">
        <v>7.7836030845025999</v>
      </c>
      <c r="AG37" s="142">
        <v>2.0006462749611198</v>
      </c>
      <c r="AH37" s="142"/>
      <c r="AI37" s="142"/>
      <c r="AJ37" s="142"/>
      <c r="AK37" s="142"/>
      <c r="AL37" s="142"/>
      <c r="AM37" s="142"/>
      <c r="AN37" s="142"/>
      <c r="AO37" s="142"/>
      <c r="AP37" s="142"/>
      <c r="AQ37" s="143"/>
    </row>
    <row r="38" spans="2:43" ht="12" customHeight="1" x14ac:dyDescent="0.25">
      <c r="B38" s="141" t="s">
        <v>33</v>
      </c>
      <c r="C38" s="142" t="s">
        <v>41</v>
      </c>
      <c r="D38" s="142" t="s">
        <v>25</v>
      </c>
      <c r="E38" s="142" t="s">
        <v>25</v>
      </c>
      <c r="F38" s="142" t="s">
        <v>61</v>
      </c>
      <c r="G38" s="142" t="s">
        <v>36</v>
      </c>
      <c r="H38" s="142" t="s">
        <v>91</v>
      </c>
      <c r="I38" s="142" t="s">
        <v>25</v>
      </c>
      <c r="J38" s="142">
        <v>11.45</v>
      </c>
      <c r="K38" s="142"/>
      <c r="L38" s="142"/>
      <c r="M38" s="142"/>
      <c r="N38" s="142"/>
      <c r="O38" s="142"/>
      <c r="P38" s="142"/>
      <c r="Q38" s="142"/>
      <c r="R38" s="142"/>
      <c r="S38" s="142"/>
      <c r="T38" s="142">
        <v>5.2870322569525099</v>
      </c>
      <c r="U38" s="142">
        <v>1.5279977964217899</v>
      </c>
      <c r="V38" s="142">
        <v>0.175541327574465</v>
      </c>
      <c r="W38" s="142"/>
      <c r="X38" s="142"/>
      <c r="Y38" s="142"/>
      <c r="Z38" s="142"/>
      <c r="AA38" s="142">
        <v>4.4617852677044301</v>
      </c>
      <c r="AB38" s="142"/>
      <c r="AC38" s="142"/>
      <c r="AD38" s="142"/>
      <c r="AE38" s="142"/>
      <c r="AF38" s="142"/>
      <c r="AG38" s="142"/>
      <c r="AH38" s="142"/>
      <c r="AI38" s="142"/>
      <c r="AJ38" s="142"/>
      <c r="AK38" s="142"/>
      <c r="AL38" s="142"/>
      <c r="AM38" s="142"/>
      <c r="AN38" s="142"/>
      <c r="AO38" s="142"/>
      <c r="AP38" s="142"/>
      <c r="AQ38" s="143"/>
    </row>
    <row r="39" spans="2:43" ht="12" customHeight="1" x14ac:dyDescent="0.25">
      <c r="B39" s="141" t="s">
        <v>33</v>
      </c>
      <c r="C39" s="142" t="s">
        <v>41</v>
      </c>
      <c r="D39" s="142" t="s">
        <v>25</v>
      </c>
      <c r="E39" s="142" t="s">
        <v>25</v>
      </c>
      <c r="F39" s="142" t="s">
        <v>25</v>
      </c>
      <c r="G39" s="142" t="s">
        <v>35</v>
      </c>
      <c r="H39" s="142" t="s">
        <v>88</v>
      </c>
      <c r="I39" s="142" t="s">
        <v>25</v>
      </c>
      <c r="J39" s="142">
        <v>87.52</v>
      </c>
      <c r="K39" s="142">
        <v>375.69</v>
      </c>
      <c r="L39" s="142"/>
      <c r="M39" s="142">
        <v>0.20302245705599101</v>
      </c>
      <c r="N39" s="142">
        <v>0.47127887140767</v>
      </c>
      <c r="O39" s="142"/>
      <c r="P39" s="142"/>
      <c r="Q39" s="142">
        <v>59.069180056669303</v>
      </c>
      <c r="R39" s="142">
        <v>6.9769367212194604</v>
      </c>
      <c r="S39" s="142"/>
      <c r="T39" s="142"/>
      <c r="U39" s="142"/>
      <c r="V39" s="142"/>
      <c r="W39" s="142"/>
      <c r="X39" s="142"/>
      <c r="Y39" s="142"/>
      <c r="Z39" s="142"/>
      <c r="AA39" s="142"/>
      <c r="AB39" s="142"/>
      <c r="AC39" s="142"/>
      <c r="AD39" s="142">
        <v>10.6156690632052</v>
      </c>
      <c r="AE39" s="142">
        <v>0.39902543623336001</v>
      </c>
      <c r="AF39" s="142">
        <v>7.7836030845025999</v>
      </c>
      <c r="AG39" s="142">
        <v>2.0006462749611198</v>
      </c>
      <c r="AH39" s="142">
        <v>2.5005275892065599</v>
      </c>
      <c r="AI39" s="142">
        <v>13.866547896201601</v>
      </c>
      <c r="AJ39" s="142"/>
      <c r="AK39" s="142">
        <v>-5.9899887837723602</v>
      </c>
      <c r="AL39" s="142">
        <v>346.04869505221001</v>
      </c>
      <c r="AM39" s="142">
        <v>7.7279194737034196</v>
      </c>
      <c r="AN39" s="142">
        <v>6.2390317012758096</v>
      </c>
      <c r="AO39" s="142"/>
      <c r="AP39" s="142"/>
      <c r="AQ39" s="143">
        <v>5.2990697581821902</v>
      </c>
    </row>
    <row r="40" spans="2:43" ht="12" customHeight="1" x14ac:dyDescent="0.25">
      <c r="B40" s="141" t="s">
        <v>33</v>
      </c>
      <c r="C40" s="142" t="s">
        <v>41</v>
      </c>
      <c r="D40" s="142" t="s">
        <v>25</v>
      </c>
      <c r="E40" s="142" t="s">
        <v>25</v>
      </c>
      <c r="F40" s="142" t="s">
        <v>25</v>
      </c>
      <c r="G40" s="142" t="s">
        <v>35</v>
      </c>
      <c r="H40" s="142" t="s">
        <v>91</v>
      </c>
      <c r="I40" s="142" t="s">
        <v>25</v>
      </c>
      <c r="J40" s="142">
        <v>27.22</v>
      </c>
      <c r="K40" s="142"/>
      <c r="L40" s="142"/>
      <c r="M40" s="142"/>
      <c r="N40" s="142"/>
      <c r="O40" s="142"/>
      <c r="P40" s="142"/>
      <c r="Q40" s="142"/>
      <c r="R40" s="142"/>
      <c r="S40" s="142"/>
      <c r="T40" s="142">
        <v>8.0887018843388496</v>
      </c>
      <c r="U40" s="142">
        <v>2.1481393957329198</v>
      </c>
      <c r="V40" s="142">
        <v>0.27439565880240702</v>
      </c>
      <c r="W40" s="142"/>
      <c r="X40" s="142"/>
      <c r="Y40" s="142"/>
      <c r="Z40" s="142"/>
      <c r="AA40" s="142">
        <v>16.7050462578019</v>
      </c>
      <c r="AB40" s="142"/>
      <c r="AC40" s="142"/>
      <c r="AD40" s="142"/>
      <c r="AE40" s="142"/>
      <c r="AF40" s="142"/>
      <c r="AG40" s="142"/>
      <c r="AH40" s="142"/>
      <c r="AI40" s="142"/>
      <c r="AJ40" s="142"/>
      <c r="AK40" s="142"/>
      <c r="AL40" s="142"/>
      <c r="AM40" s="142"/>
      <c r="AN40" s="142"/>
      <c r="AO40" s="142"/>
      <c r="AP40" s="142"/>
      <c r="AQ40" s="143"/>
    </row>
    <row r="41" spans="2:43" ht="12" customHeight="1" x14ac:dyDescent="0.25">
      <c r="B41" s="141" t="s">
        <v>33</v>
      </c>
      <c r="C41" s="142" t="s">
        <v>41</v>
      </c>
      <c r="D41" s="142" t="s">
        <v>25</v>
      </c>
      <c r="E41" s="142" t="s">
        <v>25</v>
      </c>
      <c r="F41" s="142" t="s">
        <v>25</v>
      </c>
      <c r="G41" s="142" t="s">
        <v>36</v>
      </c>
      <c r="H41" s="142" t="s">
        <v>88</v>
      </c>
      <c r="I41" s="142" t="s">
        <v>25</v>
      </c>
      <c r="J41" s="142">
        <v>87.52</v>
      </c>
      <c r="K41" s="142">
        <v>230.83</v>
      </c>
      <c r="L41" s="142"/>
      <c r="M41" s="142">
        <v>0.20302245705599101</v>
      </c>
      <c r="N41" s="142">
        <v>0.47127887140767</v>
      </c>
      <c r="O41" s="142"/>
      <c r="P41" s="142"/>
      <c r="Q41" s="142">
        <v>59.069180056669303</v>
      </c>
      <c r="R41" s="142">
        <v>6.9769367212194604</v>
      </c>
      <c r="S41" s="142"/>
      <c r="T41" s="142"/>
      <c r="U41" s="142"/>
      <c r="V41" s="142"/>
      <c r="W41" s="142"/>
      <c r="X41" s="142"/>
      <c r="Y41" s="142"/>
      <c r="Z41" s="142"/>
      <c r="AA41" s="142"/>
      <c r="AB41" s="142"/>
      <c r="AC41" s="142"/>
      <c r="AD41" s="142">
        <v>10.6156690632052</v>
      </c>
      <c r="AE41" s="142">
        <v>0.39902543623336001</v>
      </c>
      <c r="AF41" s="142">
        <v>7.7836030845025999</v>
      </c>
      <c r="AG41" s="142">
        <v>2.0006462749611198</v>
      </c>
      <c r="AH41" s="142">
        <v>2.5005275892065599</v>
      </c>
      <c r="AI41" s="142">
        <v>13.866547896201601</v>
      </c>
      <c r="AJ41" s="142"/>
      <c r="AK41" s="142">
        <v>-5.9899887837723602</v>
      </c>
      <c r="AL41" s="142">
        <v>201.19110177454101</v>
      </c>
      <c r="AM41" s="142">
        <v>7.7279194737034196</v>
      </c>
      <c r="AN41" s="142">
        <v>6.2390317012758096</v>
      </c>
      <c r="AO41" s="142"/>
      <c r="AP41" s="142"/>
      <c r="AQ41" s="143">
        <v>5.2990697581821902</v>
      </c>
    </row>
    <row r="42" spans="2:43" ht="12" customHeight="1" x14ac:dyDescent="0.25">
      <c r="B42" s="141" t="s">
        <v>33</v>
      </c>
      <c r="C42" s="142" t="s">
        <v>41</v>
      </c>
      <c r="D42" s="142" t="s">
        <v>25</v>
      </c>
      <c r="E42" s="142" t="s">
        <v>25</v>
      </c>
      <c r="F42" s="142" t="s">
        <v>25</v>
      </c>
      <c r="G42" s="142" t="s">
        <v>36</v>
      </c>
      <c r="H42" s="142" t="s">
        <v>91</v>
      </c>
      <c r="I42" s="142" t="s">
        <v>25</v>
      </c>
      <c r="J42" s="142">
        <v>11.45</v>
      </c>
      <c r="K42" s="142"/>
      <c r="L42" s="142"/>
      <c r="M42" s="142"/>
      <c r="N42" s="142"/>
      <c r="O42" s="142"/>
      <c r="P42" s="142"/>
      <c r="Q42" s="142"/>
      <c r="R42" s="142"/>
      <c r="S42" s="142"/>
      <c r="T42" s="142">
        <v>5.2870322569525099</v>
      </c>
      <c r="U42" s="142">
        <v>1.5279977964217899</v>
      </c>
      <c r="V42" s="142">
        <v>0.175541327574465</v>
      </c>
      <c r="W42" s="142"/>
      <c r="X42" s="142"/>
      <c r="Y42" s="142"/>
      <c r="Z42" s="142"/>
      <c r="AA42" s="142">
        <v>4.4617852677044301</v>
      </c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3"/>
    </row>
    <row r="43" spans="2:43" ht="12" customHeight="1" x14ac:dyDescent="0.25">
      <c r="B43" s="141" t="s">
        <v>33</v>
      </c>
      <c r="C43" s="142" t="s">
        <v>23</v>
      </c>
      <c r="D43" s="142" t="s">
        <v>25</v>
      </c>
      <c r="E43" s="142" t="s">
        <v>25</v>
      </c>
      <c r="F43" s="142" t="s">
        <v>25</v>
      </c>
      <c r="G43" s="142" t="s">
        <v>25</v>
      </c>
      <c r="H43" s="142" t="s">
        <v>88</v>
      </c>
      <c r="I43" s="142" t="s">
        <v>25</v>
      </c>
      <c r="J43" s="142">
        <v>87.52</v>
      </c>
      <c r="K43" s="142">
        <v>242.91</v>
      </c>
      <c r="L43" s="142"/>
      <c r="M43" s="142">
        <v>0.20302245705599101</v>
      </c>
      <c r="N43" s="142">
        <v>0.47127887140767</v>
      </c>
      <c r="O43" s="142"/>
      <c r="P43" s="142"/>
      <c r="Q43" s="142">
        <v>59.069180056669303</v>
      </c>
      <c r="R43" s="142">
        <v>6.9769367212194604</v>
      </c>
      <c r="S43" s="142"/>
      <c r="T43" s="142"/>
      <c r="U43" s="142"/>
      <c r="V43" s="142"/>
      <c r="W43" s="142"/>
      <c r="X43" s="142"/>
      <c r="Y43" s="142"/>
      <c r="Z43" s="142"/>
      <c r="AA43" s="142"/>
      <c r="AB43" s="142"/>
      <c r="AC43" s="142"/>
      <c r="AD43" s="142">
        <v>10.6156690632052</v>
      </c>
      <c r="AE43" s="142">
        <v>0.39902543623336001</v>
      </c>
      <c r="AF43" s="142">
        <v>7.7836030845025999</v>
      </c>
      <c r="AG43" s="142">
        <v>2.0006462749611198</v>
      </c>
      <c r="AH43" s="142">
        <v>2.5005275892065599</v>
      </c>
      <c r="AI43" s="142">
        <v>13.866547896201601</v>
      </c>
      <c r="AJ43" s="142"/>
      <c r="AK43" s="142">
        <v>-5.9899887837723602</v>
      </c>
      <c r="AL43" s="142">
        <v>213.26256788101301</v>
      </c>
      <c r="AM43" s="142">
        <v>7.7279194737034196</v>
      </c>
      <c r="AN43" s="142">
        <v>6.2390317012758096</v>
      </c>
      <c r="AO43" s="142"/>
      <c r="AP43" s="142"/>
      <c r="AQ43" s="143">
        <v>5.2990697581821902</v>
      </c>
    </row>
    <row r="44" spans="2:43" ht="12" customHeight="1" x14ac:dyDescent="0.25">
      <c r="B44" s="141" t="s">
        <v>33</v>
      </c>
      <c r="C44" s="142" t="s">
        <v>23</v>
      </c>
      <c r="D44" s="142" t="s">
        <v>25</v>
      </c>
      <c r="E44" s="142" t="s">
        <v>25</v>
      </c>
      <c r="F44" s="142" t="s">
        <v>25</v>
      </c>
      <c r="G44" s="142" t="s">
        <v>25</v>
      </c>
      <c r="H44" s="142" t="s">
        <v>91</v>
      </c>
      <c r="I44" s="142" t="s">
        <v>25</v>
      </c>
      <c r="J44" s="142">
        <v>31.05</v>
      </c>
      <c r="K44" s="142"/>
      <c r="L44" s="142"/>
      <c r="M44" s="142"/>
      <c r="N44" s="142"/>
      <c r="O44" s="142"/>
      <c r="P44" s="142"/>
      <c r="Q44" s="142"/>
      <c r="R44" s="142"/>
      <c r="S44" s="142"/>
      <c r="T44" s="142">
        <v>11.1112635887153</v>
      </c>
      <c r="U44" s="142">
        <v>3.0749497639823899</v>
      </c>
      <c r="V44" s="142">
        <v>0.37265087287139098</v>
      </c>
      <c r="W44" s="142"/>
      <c r="X44" s="142"/>
      <c r="Y44" s="142"/>
      <c r="Z44" s="142"/>
      <c r="AA44" s="142">
        <v>16.489446140731602</v>
      </c>
      <c r="AB44" s="142"/>
      <c r="AC44" s="142"/>
      <c r="AD44" s="142"/>
      <c r="AE44" s="142"/>
      <c r="AF44" s="142"/>
      <c r="AG44" s="142"/>
      <c r="AH44" s="142"/>
      <c r="AI44" s="142"/>
      <c r="AJ44" s="142"/>
      <c r="AK44" s="142"/>
      <c r="AL44" s="142"/>
      <c r="AM44" s="142"/>
      <c r="AN44" s="142"/>
      <c r="AO44" s="142"/>
      <c r="AP44" s="142"/>
      <c r="AQ44" s="143"/>
    </row>
    <row r="45" spans="2:43" ht="12" customHeight="1" x14ac:dyDescent="0.25">
      <c r="B45" s="141" t="s">
        <v>33</v>
      </c>
      <c r="C45" s="142" t="s">
        <v>64</v>
      </c>
      <c r="D45" s="142" t="s">
        <v>25</v>
      </c>
      <c r="E45" s="142" t="s">
        <v>25</v>
      </c>
      <c r="F45" s="142" t="s">
        <v>25</v>
      </c>
      <c r="G45" s="142" t="s">
        <v>25</v>
      </c>
      <c r="H45" s="142" t="s">
        <v>91</v>
      </c>
      <c r="I45" s="142" t="s">
        <v>25</v>
      </c>
      <c r="J45" s="142">
        <v>3.71</v>
      </c>
      <c r="K45" s="142"/>
      <c r="L45" s="142"/>
      <c r="M45" s="142">
        <v>1.12208872428295E-2</v>
      </c>
      <c r="N45" s="142">
        <v>4.61609054034555E-2</v>
      </c>
      <c r="O45" s="142"/>
      <c r="P45" s="142"/>
      <c r="Q45" s="142"/>
      <c r="R45" s="142"/>
      <c r="S45" s="142"/>
      <c r="T45" s="142"/>
      <c r="U45" s="142"/>
      <c r="V45" s="142"/>
      <c r="W45" s="142"/>
      <c r="X45" s="142"/>
      <c r="Y45" s="142"/>
      <c r="Z45" s="142"/>
      <c r="AA45" s="142">
        <v>3.6472831738600302</v>
      </c>
      <c r="AB45" s="142"/>
      <c r="AC45" s="142"/>
      <c r="AD45" s="142">
        <v>1.4292997429008599E-3</v>
      </c>
      <c r="AE45" s="142"/>
      <c r="AF45" s="142"/>
      <c r="AG45" s="142"/>
      <c r="AH45" s="142"/>
      <c r="AI45" s="142"/>
      <c r="AJ45" s="142"/>
      <c r="AK45" s="142"/>
      <c r="AL45" s="142"/>
      <c r="AM45" s="142"/>
      <c r="AN45" s="142"/>
      <c r="AO45" s="142"/>
      <c r="AP45" s="142"/>
      <c r="AQ45" s="143"/>
    </row>
    <row r="46" spans="2:43" ht="12" customHeight="1" x14ac:dyDescent="0.25">
      <c r="B46" s="141" t="s">
        <v>33</v>
      </c>
      <c r="C46" s="142" t="s">
        <v>34</v>
      </c>
      <c r="D46" s="142" t="s">
        <v>25</v>
      </c>
      <c r="E46" s="142" t="s">
        <v>25</v>
      </c>
      <c r="F46" s="142" t="s">
        <v>61</v>
      </c>
      <c r="G46" s="142" t="s">
        <v>35</v>
      </c>
      <c r="H46" s="142" t="s">
        <v>88</v>
      </c>
      <c r="I46" s="142" t="s">
        <v>25</v>
      </c>
      <c r="J46" s="142">
        <v>681.67</v>
      </c>
      <c r="K46" s="142"/>
      <c r="L46" s="142"/>
      <c r="M46" s="142">
        <v>0.20302245705599101</v>
      </c>
      <c r="N46" s="142">
        <v>6.1186185089696803</v>
      </c>
      <c r="O46" s="142"/>
      <c r="P46" s="142"/>
      <c r="Q46" s="142"/>
      <c r="R46" s="142"/>
      <c r="S46" s="142"/>
      <c r="T46" s="142">
        <v>194.53599245479799</v>
      </c>
      <c r="U46" s="142">
        <v>51.663238471764799</v>
      </c>
      <c r="V46" s="142">
        <v>6.5956808029600396</v>
      </c>
      <c r="W46" s="142"/>
      <c r="X46" s="142"/>
      <c r="Y46" s="142"/>
      <c r="Z46" s="142"/>
      <c r="AA46" s="142">
        <v>401.75755134468199</v>
      </c>
      <c r="AB46" s="142"/>
      <c r="AC46" s="142"/>
      <c r="AD46" s="142">
        <v>10.6156690632052</v>
      </c>
      <c r="AE46" s="142">
        <v>0.39902543623336001</v>
      </c>
      <c r="AF46" s="142">
        <v>7.7836030845025999</v>
      </c>
      <c r="AG46" s="142">
        <v>2.0006462749611198</v>
      </c>
      <c r="AH46" s="142"/>
      <c r="AI46" s="142"/>
      <c r="AJ46" s="142"/>
      <c r="AK46" s="142"/>
      <c r="AL46" s="142"/>
      <c r="AM46" s="142"/>
      <c r="AN46" s="142"/>
      <c r="AO46" s="142"/>
      <c r="AP46" s="142"/>
      <c r="AQ46" s="143"/>
    </row>
    <row r="47" spans="2:43" ht="12" customHeight="1" x14ac:dyDescent="0.25">
      <c r="B47" s="141" t="s">
        <v>33</v>
      </c>
      <c r="C47" s="142" t="s">
        <v>34</v>
      </c>
      <c r="D47" s="142" t="s">
        <v>25</v>
      </c>
      <c r="E47" s="142" t="s">
        <v>25</v>
      </c>
      <c r="F47" s="142" t="s">
        <v>61</v>
      </c>
      <c r="G47" s="142" t="s">
        <v>25</v>
      </c>
      <c r="H47" s="142" t="s">
        <v>91</v>
      </c>
      <c r="I47" s="142" t="s">
        <v>25</v>
      </c>
      <c r="J47" s="142">
        <v>11.45</v>
      </c>
      <c r="K47" s="142"/>
      <c r="L47" s="142"/>
      <c r="M47" s="142"/>
      <c r="N47" s="142"/>
      <c r="O47" s="142"/>
      <c r="P47" s="142"/>
      <c r="Q47" s="142"/>
      <c r="R47" s="142"/>
      <c r="S47" s="142"/>
      <c r="T47" s="142">
        <v>5.2870322569525099</v>
      </c>
      <c r="U47" s="142">
        <v>1.5279977964217899</v>
      </c>
      <c r="V47" s="142">
        <v>0.175541327574465</v>
      </c>
      <c r="W47" s="142"/>
      <c r="X47" s="142"/>
      <c r="Y47" s="142"/>
      <c r="Z47" s="142"/>
      <c r="AA47" s="142">
        <v>4.4617852677044301</v>
      </c>
      <c r="AB47" s="142"/>
      <c r="AC47" s="142"/>
      <c r="AD47" s="142"/>
      <c r="AE47" s="142"/>
      <c r="AF47" s="142"/>
      <c r="AG47" s="142"/>
      <c r="AH47" s="142"/>
      <c r="AI47" s="142"/>
      <c r="AJ47" s="142"/>
      <c r="AK47" s="142"/>
      <c r="AL47" s="142"/>
      <c r="AM47" s="142"/>
      <c r="AN47" s="142"/>
      <c r="AO47" s="142"/>
      <c r="AP47" s="142"/>
      <c r="AQ47" s="143"/>
    </row>
    <row r="48" spans="2:43" ht="12" customHeight="1" x14ac:dyDescent="0.25">
      <c r="B48" s="141" t="s">
        <v>33</v>
      </c>
      <c r="C48" s="142" t="s">
        <v>34</v>
      </c>
      <c r="D48" s="142" t="s">
        <v>25</v>
      </c>
      <c r="E48" s="142" t="s">
        <v>25</v>
      </c>
      <c r="F48" s="142" t="s">
        <v>61</v>
      </c>
      <c r="G48" s="142" t="s">
        <v>36</v>
      </c>
      <c r="H48" s="142" t="s">
        <v>88</v>
      </c>
      <c r="I48" s="142" t="s">
        <v>25</v>
      </c>
      <c r="J48" s="142">
        <v>21.46</v>
      </c>
      <c r="K48" s="142"/>
      <c r="L48" s="142"/>
      <c r="M48" s="142">
        <v>0.20302245705599101</v>
      </c>
      <c r="N48" s="142">
        <v>0.45680836814639902</v>
      </c>
      <c r="O48" s="142"/>
      <c r="P48" s="142"/>
      <c r="Q48" s="142"/>
      <c r="R48" s="142"/>
      <c r="S48" s="142"/>
      <c r="T48" s="142"/>
      <c r="U48" s="142"/>
      <c r="V48" s="142"/>
      <c r="W48" s="142"/>
      <c r="X48" s="142"/>
      <c r="Y48" s="142"/>
      <c r="Z48" s="142"/>
      <c r="AA48" s="142"/>
      <c r="AB48" s="142"/>
      <c r="AC48" s="142"/>
      <c r="AD48" s="142">
        <v>10.6156690632052</v>
      </c>
      <c r="AE48" s="142">
        <v>0.39902543623336001</v>
      </c>
      <c r="AF48" s="142">
        <v>7.7836030845025999</v>
      </c>
      <c r="AG48" s="142">
        <v>2.0006462749611198</v>
      </c>
      <c r="AH48" s="142"/>
      <c r="AI48" s="142"/>
      <c r="AJ48" s="142"/>
      <c r="AK48" s="142"/>
      <c r="AL48" s="142"/>
      <c r="AM48" s="142"/>
      <c r="AN48" s="142"/>
      <c r="AO48" s="142"/>
      <c r="AP48" s="142"/>
      <c r="AQ48" s="143"/>
    </row>
    <row r="49" spans="2:43" ht="12" customHeight="1" x14ac:dyDescent="0.25">
      <c r="B49" s="141" t="s">
        <v>33</v>
      </c>
      <c r="C49" s="142" t="s">
        <v>34</v>
      </c>
      <c r="D49" s="142" t="s">
        <v>25</v>
      </c>
      <c r="E49" s="142" t="s">
        <v>25</v>
      </c>
      <c r="F49" s="142" t="s">
        <v>25</v>
      </c>
      <c r="G49" s="142" t="s">
        <v>35</v>
      </c>
      <c r="H49" s="142" t="s">
        <v>88</v>
      </c>
      <c r="I49" s="142" t="s">
        <v>25</v>
      </c>
      <c r="J49" s="142">
        <v>747.73</v>
      </c>
      <c r="K49" s="142">
        <v>375.69</v>
      </c>
      <c r="L49" s="142"/>
      <c r="M49" s="142">
        <v>0.20302245705599101</v>
      </c>
      <c r="N49" s="142">
        <v>6.1330890122309496</v>
      </c>
      <c r="O49" s="142"/>
      <c r="P49" s="142"/>
      <c r="Q49" s="142">
        <v>59.069180056669303</v>
      </c>
      <c r="R49" s="142">
        <v>6.9769367212194604</v>
      </c>
      <c r="S49" s="142"/>
      <c r="T49" s="142">
        <v>194.53599245479799</v>
      </c>
      <c r="U49" s="142">
        <v>51.663238471764799</v>
      </c>
      <c r="V49" s="142">
        <v>6.5956808029600396</v>
      </c>
      <c r="W49" s="142"/>
      <c r="X49" s="142"/>
      <c r="Y49" s="142"/>
      <c r="Z49" s="142"/>
      <c r="AA49" s="142">
        <v>401.75755134468199</v>
      </c>
      <c r="AB49" s="142"/>
      <c r="AC49" s="142"/>
      <c r="AD49" s="142">
        <v>10.6156690632052</v>
      </c>
      <c r="AE49" s="142">
        <v>0.39902543623336001</v>
      </c>
      <c r="AF49" s="142">
        <v>7.7836030845025999</v>
      </c>
      <c r="AG49" s="142">
        <v>2.0006462749611198</v>
      </c>
      <c r="AH49" s="142">
        <v>2.5005275892065599</v>
      </c>
      <c r="AI49" s="142">
        <v>13.866547896201601</v>
      </c>
      <c r="AJ49" s="142"/>
      <c r="AK49" s="142">
        <v>-5.9899887837723602</v>
      </c>
      <c r="AL49" s="142">
        <v>346.04869505221001</v>
      </c>
      <c r="AM49" s="142">
        <v>7.7279194737034196</v>
      </c>
      <c r="AN49" s="142">
        <v>6.2390317012758096</v>
      </c>
      <c r="AO49" s="142"/>
      <c r="AP49" s="142"/>
      <c r="AQ49" s="143">
        <v>5.2990697581821902</v>
      </c>
    </row>
    <row r="50" spans="2:43" ht="12" customHeight="1" x14ac:dyDescent="0.25">
      <c r="B50" s="141" t="s">
        <v>33</v>
      </c>
      <c r="C50" s="142" t="s">
        <v>34</v>
      </c>
      <c r="D50" s="142" t="s">
        <v>25</v>
      </c>
      <c r="E50" s="142" t="s">
        <v>25</v>
      </c>
      <c r="F50" s="142" t="s">
        <v>25</v>
      </c>
      <c r="G50" s="142" t="s">
        <v>25</v>
      </c>
      <c r="H50" s="142" t="s">
        <v>91</v>
      </c>
      <c r="I50" s="142" t="s">
        <v>25</v>
      </c>
      <c r="J50" s="142">
        <v>11.45</v>
      </c>
      <c r="K50" s="142"/>
      <c r="L50" s="142"/>
      <c r="M50" s="142"/>
      <c r="N50" s="142"/>
      <c r="O50" s="142"/>
      <c r="P50" s="142"/>
      <c r="Q50" s="142"/>
      <c r="R50" s="142"/>
      <c r="S50" s="142"/>
      <c r="T50" s="142">
        <v>5.2870322569525099</v>
      </c>
      <c r="U50" s="142">
        <v>1.5279977964217899</v>
      </c>
      <c r="V50" s="142">
        <v>0.175541327574465</v>
      </c>
      <c r="W50" s="142"/>
      <c r="X50" s="142"/>
      <c r="Y50" s="142"/>
      <c r="Z50" s="142"/>
      <c r="AA50" s="142">
        <v>4.4617852677044301</v>
      </c>
      <c r="AB50" s="142"/>
      <c r="AC50" s="142"/>
      <c r="AD50" s="142"/>
      <c r="AE50" s="142"/>
      <c r="AF50" s="142"/>
      <c r="AG50" s="142"/>
      <c r="AH50" s="142"/>
      <c r="AI50" s="142"/>
      <c r="AJ50" s="142"/>
      <c r="AK50" s="142"/>
      <c r="AL50" s="142"/>
      <c r="AM50" s="142"/>
      <c r="AN50" s="142"/>
      <c r="AO50" s="142"/>
      <c r="AP50" s="142"/>
      <c r="AQ50" s="143"/>
    </row>
    <row r="51" spans="2:43" ht="12" customHeight="1" x14ac:dyDescent="0.25">
      <c r="B51" s="141" t="s">
        <v>33</v>
      </c>
      <c r="C51" s="142" t="s">
        <v>34</v>
      </c>
      <c r="D51" s="142" t="s">
        <v>25</v>
      </c>
      <c r="E51" s="142" t="s">
        <v>25</v>
      </c>
      <c r="F51" s="142" t="s">
        <v>25</v>
      </c>
      <c r="G51" s="142" t="s">
        <v>36</v>
      </c>
      <c r="H51" s="142" t="s">
        <v>88</v>
      </c>
      <c r="I51" s="142" t="s">
        <v>25</v>
      </c>
      <c r="J51" s="142">
        <v>87.52</v>
      </c>
      <c r="K51" s="142">
        <v>230.83</v>
      </c>
      <c r="L51" s="142"/>
      <c r="M51" s="142">
        <v>0.20302245705599101</v>
      </c>
      <c r="N51" s="142">
        <v>0.47127887140767</v>
      </c>
      <c r="O51" s="142"/>
      <c r="P51" s="142"/>
      <c r="Q51" s="142">
        <v>59.069180056669303</v>
      </c>
      <c r="R51" s="142">
        <v>6.9769367212194604</v>
      </c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>
        <v>10.6156690632052</v>
      </c>
      <c r="AE51" s="142">
        <v>0.39902543623336001</v>
      </c>
      <c r="AF51" s="142">
        <v>7.7836030845025999</v>
      </c>
      <c r="AG51" s="142">
        <v>2.0006462749611198</v>
      </c>
      <c r="AH51" s="142">
        <v>2.5005275892065599</v>
      </c>
      <c r="AI51" s="142">
        <v>13.866547896201601</v>
      </c>
      <c r="AJ51" s="142"/>
      <c r="AK51" s="142">
        <v>-5.9899887837723602</v>
      </c>
      <c r="AL51" s="142">
        <v>201.19110177454101</v>
      </c>
      <c r="AM51" s="142">
        <v>7.7279194737034196</v>
      </c>
      <c r="AN51" s="142">
        <v>6.2390317012758096</v>
      </c>
      <c r="AO51" s="142"/>
      <c r="AP51" s="142"/>
      <c r="AQ51" s="143">
        <v>5.2990697581821902</v>
      </c>
    </row>
    <row r="52" spans="2:43" ht="12" customHeight="1" x14ac:dyDescent="0.25">
      <c r="B52" s="141" t="s">
        <v>44</v>
      </c>
      <c r="C52" s="142" t="s">
        <v>41</v>
      </c>
      <c r="D52" s="142" t="s">
        <v>25</v>
      </c>
      <c r="E52" s="142" t="s">
        <v>25</v>
      </c>
      <c r="F52" s="142" t="s">
        <v>61</v>
      </c>
      <c r="G52" s="142" t="s">
        <v>35</v>
      </c>
      <c r="H52" s="142" t="s">
        <v>88</v>
      </c>
      <c r="I52" s="142" t="s">
        <v>25</v>
      </c>
      <c r="J52" s="142">
        <v>39.619999999999997</v>
      </c>
      <c r="K52" s="142"/>
      <c r="L52" s="142"/>
      <c r="M52" s="142">
        <v>0.42523736925614303</v>
      </c>
      <c r="N52" s="142">
        <v>0.83329724837318198</v>
      </c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>
        <v>22.355157533351299</v>
      </c>
      <c r="AE52" s="142">
        <v>0.84029338459027603</v>
      </c>
      <c r="AF52" s="142">
        <v>12.063087868607401</v>
      </c>
      <c r="AG52" s="142">
        <v>3.10061696965376</v>
      </c>
      <c r="AH52" s="142"/>
      <c r="AI52" s="142"/>
      <c r="AJ52" s="142"/>
      <c r="AK52" s="142"/>
      <c r="AL52" s="142"/>
      <c r="AM52" s="142"/>
      <c r="AN52" s="142"/>
      <c r="AO52" s="142"/>
      <c r="AP52" s="142"/>
      <c r="AQ52" s="143"/>
    </row>
    <row r="53" spans="2:43" ht="12" customHeight="1" x14ac:dyDescent="0.25">
      <c r="B53" s="141" t="s">
        <v>44</v>
      </c>
      <c r="C53" s="142" t="s">
        <v>41</v>
      </c>
      <c r="D53" s="142" t="s">
        <v>25</v>
      </c>
      <c r="E53" s="142" t="s">
        <v>25</v>
      </c>
      <c r="F53" s="142" t="s">
        <v>61</v>
      </c>
      <c r="G53" s="142" t="s">
        <v>35</v>
      </c>
      <c r="H53" s="142" t="s">
        <v>91</v>
      </c>
      <c r="I53" s="142" t="s">
        <v>25</v>
      </c>
      <c r="J53" s="142">
        <v>49.09</v>
      </c>
      <c r="K53" s="142"/>
      <c r="L53" s="142"/>
      <c r="M53" s="142"/>
      <c r="N53" s="142"/>
      <c r="O53" s="142"/>
      <c r="P53" s="142"/>
      <c r="Q53" s="142"/>
      <c r="R53" s="142"/>
      <c r="S53" s="142"/>
      <c r="T53" s="142">
        <v>9.0101747498892806</v>
      </c>
      <c r="U53" s="142">
        <v>2.3930856073730502</v>
      </c>
      <c r="V53" s="142">
        <v>0.305549751068182</v>
      </c>
      <c r="W53" s="142"/>
      <c r="X53" s="142"/>
      <c r="Y53" s="142"/>
      <c r="Z53" s="142"/>
      <c r="AA53" s="142">
        <v>37.379684655100299</v>
      </c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3"/>
    </row>
    <row r="54" spans="2:43" ht="12" customHeight="1" x14ac:dyDescent="0.25">
      <c r="B54" s="141" t="s">
        <v>44</v>
      </c>
      <c r="C54" s="142" t="s">
        <v>41</v>
      </c>
      <c r="D54" s="142" t="s">
        <v>25</v>
      </c>
      <c r="E54" s="142" t="s">
        <v>25</v>
      </c>
      <c r="F54" s="142" t="s">
        <v>61</v>
      </c>
      <c r="G54" s="142" t="s">
        <v>36</v>
      </c>
      <c r="H54" s="142" t="s">
        <v>88</v>
      </c>
      <c r="I54" s="142" t="s">
        <v>25</v>
      </c>
      <c r="J54" s="142">
        <v>39.619999999999997</v>
      </c>
      <c r="K54" s="142"/>
      <c r="L54" s="142"/>
      <c r="M54" s="142">
        <v>0.42523736925614303</v>
      </c>
      <c r="N54" s="142">
        <v>0.83329724837318198</v>
      </c>
      <c r="O54" s="142"/>
      <c r="P54" s="142"/>
      <c r="Q54" s="142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>
        <v>22.355157533351299</v>
      </c>
      <c r="AE54" s="142">
        <v>0.84029338459027603</v>
      </c>
      <c r="AF54" s="142">
        <v>12.063087868607401</v>
      </c>
      <c r="AG54" s="142">
        <v>3.10061696965376</v>
      </c>
      <c r="AH54" s="142"/>
      <c r="AI54" s="142"/>
      <c r="AJ54" s="142"/>
      <c r="AK54" s="142"/>
      <c r="AL54" s="142"/>
      <c r="AM54" s="142"/>
      <c r="AN54" s="142"/>
      <c r="AO54" s="142"/>
      <c r="AP54" s="142"/>
      <c r="AQ54" s="143"/>
    </row>
    <row r="55" spans="2:43" ht="12" customHeight="1" x14ac:dyDescent="0.25">
      <c r="B55" s="141" t="s">
        <v>44</v>
      </c>
      <c r="C55" s="142" t="s">
        <v>41</v>
      </c>
      <c r="D55" s="142" t="s">
        <v>25</v>
      </c>
      <c r="E55" s="142" t="s">
        <v>25</v>
      </c>
      <c r="F55" s="142" t="s">
        <v>61</v>
      </c>
      <c r="G55" s="142" t="s">
        <v>36</v>
      </c>
      <c r="H55" s="142" t="s">
        <v>91</v>
      </c>
      <c r="I55" s="142" t="s">
        <v>25</v>
      </c>
      <c r="J55" s="142">
        <v>16</v>
      </c>
      <c r="K55" s="142"/>
      <c r="L55" s="142"/>
      <c r="M55" s="142"/>
      <c r="N55" s="142"/>
      <c r="O55" s="142"/>
      <c r="P55" s="142"/>
      <c r="Q55" s="142"/>
      <c r="R55" s="142"/>
      <c r="S55" s="142"/>
      <c r="T55" s="142">
        <v>7.64561067664863</v>
      </c>
      <c r="U55" s="142">
        <v>2.0825288033293101</v>
      </c>
      <c r="V55" s="142">
        <v>0.236052160629145</v>
      </c>
      <c r="W55" s="142"/>
      <c r="X55" s="142"/>
      <c r="Y55" s="142"/>
      <c r="Z55" s="142"/>
      <c r="AA55" s="142">
        <v>6.0363438211410596</v>
      </c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3"/>
    </row>
    <row r="56" spans="2:43" ht="12" customHeight="1" x14ac:dyDescent="0.25">
      <c r="B56" s="141" t="s">
        <v>44</v>
      </c>
      <c r="C56" s="142" t="s">
        <v>41</v>
      </c>
      <c r="D56" s="142" t="s">
        <v>25</v>
      </c>
      <c r="E56" s="142" t="s">
        <v>25</v>
      </c>
      <c r="F56" s="142" t="s">
        <v>25</v>
      </c>
      <c r="G56" s="142" t="s">
        <v>35</v>
      </c>
      <c r="H56" s="142" t="s">
        <v>88</v>
      </c>
      <c r="I56" s="142" t="s">
        <v>25</v>
      </c>
      <c r="J56" s="142">
        <v>112.98</v>
      </c>
      <c r="K56" s="142">
        <v>375.69</v>
      </c>
      <c r="L56" s="142"/>
      <c r="M56" s="142">
        <v>0.42523736925614303</v>
      </c>
      <c r="N56" s="142">
        <v>0.84776775163445295</v>
      </c>
      <c r="O56" s="142"/>
      <c r="P56" s="142"/>
      <c r="Q56" s="142">
        <v>66.369865232212703</v>
      </c>
      <c r="R56" s="142">
        <v>6.9769367212194604</v>
      </c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>
        <v>22.355157533351299</v>
      </c>
      <c r="AE56" s="142">
        <v>0.84029338459027603</v>
      </c>
      <c r="AF56" s="142">
        <v>12.063087868607401</v>
      </c>
      <c r="AG56" s="142">
        <v>3.10061696965376</v>
      </c>
      <c r="AH56" s="142">
        <v>2.5005275892065599</v>
      </c>
      <c r="AI56" s="142">
        <v>13.866547896201601</v>
      </c>
      <c r="AJ56" s="142"/>
      <c r="AK56" s="142">
        <v>-5.9899887837723602</v>
      </c>
      <c r="AL56" s="142">
        <v>346.04869505221001</v>
      </c>
      <c r="AM56" s="142">
        <v>7.7279194737034196</v>
      </c>
      <c r="AN56" s="142">
        <v>6.2390317012758096</v>
      </c>
      <c r="AO56" s="142"/>
      <c r="AP56" s="142"/>
      <c r="AQ56" s="143">
        <v>5.2990697581821902</v>
      </c>
    </row>
    <row r="57" spans="2:43" ht="12" customHeight="1" x14ac:dyDescent="0.25">
      <c r="B57" s="141" t="s">
        <v>44</v>
      </c>
      <c r="C57" s="142" t="s">
        <v>41</v>
      </c>
      <c r="D57" s="142" t="s">
        <v>25</v>
      </c>
      <c r="E57" s="142" t="s">
        <v>25</v>
      </c>
      <c r="F57" s="142" t="s">
        <v>25</v>
      </c>
      <c r="G57" s="142" t="s">
        <v>35</v>
      </c>
      <c r="H57" s="142" t="s">
        <v>91</v>
      </c>
      <c r="I57" s="142" t="s">
        <v>25</v>
      </c>
      <c r="J57" s="142">
        <v>49.09</v>
      </c>
      <c r="K57" s="142"/>
      <c r="L57" s="142"/>
      <c r="M57" s="142"/>
      <c r="N57" s="142"/>
      <c r="O57" s="142"/>
      <c r="P57" s="142"/>
      <c r="Q57" s="142"/>
      <c r="R57" s="142"/>
      <c r="S57" s="142"/>
      <c r="T57" s="142">
        <v>9.0101747498892806</v>
      </c>
      <c r="U57" s="142">
        <v>2.3930856073730502</v>
      </c>
      <c r="V57" s="142">
        <v>0.305549751068182</v>
      </c>
      <c r="W57" s="142"/>
      <c r="X57" s="142"/>
      <c r="Y57" s="142"/>
      <c r="Z57" s="142"/>
      <c r="AA57" s="142">
        <v>37.379684655100299</v>
      </c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3"/>
    </row>
    <row r="58" spans="2:43" ht="12" customHeight="1" x14ac:dyDescent="0.25">
      <c r="B58" s="141" t="s">
        <v>44</v>
      </c>
      <c r="C58" s="142" t="s">
        <v>41</v>
      </c>
      <c r="D58" s="142" t="s">
        <v>25</v>
      </c>
      <c r="E58" s="142" t="s">
        <v>25</v>
      </c>
      <c r="F58" s="142" t="s">
        <v>25</v>
      </c>
      <c r="G58" s="142" t="s">
        <v>36</v>
      </c>
      <c r="H58" s="142" t="s">
        <v>88</v>
      </c>
      <c r="I58" s="142" t="s">
        <v>25</v>
      </c>
      <c r="J58" s="142">
        <v>112.98</v>
      </c>
      <c r="K58" s="142">
        <v>230.83</v>
      </c>
      <c r="L58" s="142"/>
      <c r="M58" s="142">
        <v>0.42523736925614303</v>
      </c>
      <c r="N58" s="142">
        <v>0.84776775163445295</v>
      </c>
      <c r="O58" s="142"/>
      <c r="P58" s="142"/>
      <c r="Q58" s="142">
        <v>66.369865232212703</v>
      </c>
      <c r="R58" s="142">
        <v>6.9769367212194604</v>
      </c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>
        <v>22.355157533351299</v>
      </c>
      <c r="AE58" s="142">
        <v>0.84029338459027603</v>
      </c>
      <c r="AF58" s="142">
        <v>12.063087868607401</v>
      </c>
      <c r="AG58" s="142">
        <v>3.10061696965376</v>
      </c>
      <c r="AH58" s="142">
        <v>2.5005275892065599</v>
      </c>
      <c r="AI58" s="142">
        <v>13.866547896201601</v>
      </c>
      <c r="AJ58" s="142"/>
      <c r="AK58" s="142">
        <v>-5.9899887837723602</v>
      </c>
      <c r="AL58" s="142">
        <v>201.19110177454101</v>
      </c>
      <c r="AM58" s="142">
        <v>7.7279194737034196</v>
      </c>
      <c r="AN58" s="142">
        <v>6.2390317012758096</v>
      </c>
      <c r="AO58" s="142"/>
      <c r="AP58" s="142"/>
      <c r="AQ58" s="143">
        <v>5.2990697581821902</v>
      </c>
    </row>
    <row r="59" spans="2:43" ht="12" customHeight="1" x14ac:dyDescent="0.25">
      <c r="B59" s="141" t="s">
        <v>44</v>
      </c>
      <c r="C59" s="142" t="s">
        <v>41</v>
      </c>
      <c r="D59" s="142" t="s">
        <v>25</v>
      </c>
      <c r="E59" s="142" t="s">
        <v>25</v>
      </c>
      <c r="F59" s="142" t="s">
        <v>25</v>
      </c>
      <c r="G59" s="142" t="s">
        <v>36</v>
      </c>
      <c r="H59" s="142" t="s">
        <v>91</v>
      </c>
      <c r="I59" s="142" t="s">
        <v>25</v>
      </c>
      <c r="J59" s="142">
        <v>16</v>
      </c>
      <c r="K59" s="142"/>
      <c r="L59" s="142"/>
      <c r="M59" s="142"/>
      <c r="N59" s="142"/>
      <c r="O59" s="142"/>
      <c r="P59" s="142"/>
      <c r="Q59" s="142"/>
      <c r="R59" s="142"/>
      <c r="S59" s="142"/>
      <c r="T59" s="142">
        <v>7.64561067664863</v>
      </c>
      <c r="U59" s="142">
        <v>2.0825288033293101</v>
      </c>
      <c r="V59" s="142">
        <v>0.236052160629145</v>
      </c>
      <c r="W59" s="142"/>
      <c r="X59" s="142"/>
      <c r="Y59" s="142"/>
      <c r="Z59" s="142"/>
      <c r="AA59" s="142">
        <v>6.0363438211410596</v>
      </c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3"/>
    </row>
    <row r="60" spans="2:43" ht="12" customHeight="1" x14ac:dyDescent="0.25">
      <c r="B60" s="141" t="s">
        <v>44</v>
      </c>
      <c r="C60" s="142" t="s">
        <v>23</v>
      </c>
      <c r="D60" s="142" t="s">
        <v>25</v>
      </c>
      <c r="E60" s="142" t="s">
        <v>25</v>
      </c>
      <c r="F60" s="142" t="s">
        <v>25</v>
      </c>
      <c r="G60" s="142" t="s">
        <v>25</v>
      </c>
      <c r="H60" s="142" t="s">
        <v>88</v>
      </c>
      <c r="I60" s="142" t="s">
        <v>25</v>
      </c>
      <c r="J60" s="142">
        <v>112.98</v>
      </c>
      <c r="K60" s="142">
        <v>242.91</v>
      </c>
      <c r="L60" s="142"/>
      <c r="M60" s="142">
        <v>0.42523736925614303</v>
      </c>
      <c r="N60" s="142">
        <v>0.84776775163445295</v>
      </c>
      <c r="O60" s="142"/>
      <c r="P60" s="142"/>
      <c r="Q60" s="142">
        <v>66.369865232212703</v>
      </c>
      <c r="R60" s="142">
        <v>6.9769367212194604</v>
      </c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>
        <v>22.355157533351299</v>
      </c>
      <c r="AE60" s="142">
        <v>0.84029338459027603</v>
      </c>
      <c r="AF60" s="142">
        <v>12.063087868607401</v>
      </c>
      <c r="AG60" s="142">
        <v>3.10061696965376</v>
      </c>
      <c r="AH60" s="142">
        <v>2.5005275892065599</v>
      </c>
      <c r="AI60" s="142">
        <v>13.866547896201601</v>
      </c>
      <c r="AJ60" s="142"/>
      <c r="AK60" s="142">
        <v>-5.9899887837723602</v>
      </c>
      <c r="AL60" s="142">
        <v>213.26256788101301</v>
      </c>
      <c r="AM60" s="142">
        <v>7.7279194737034196</v>
      </c>
      <c r="AN60" s="142">
        <v>6.2390317012758096</v>
      </c>
      <c r="AO60" s="142"/>
      <c r="AP60" s="142"/>
      <c r="AQ60" s="143">
        <v>5.2990697581821902</v>
      </c>
    </row>
    <row r="61" spans="2:43" ht="12" customHeight="1" x14ac:dyDescent="0.25">
      <c r="B61" s="141" t="s">
        <v>44</v>
      </c>
      <c r="C61" s="142" t="s">
        <v>23</v>
      </c>
      <c r="D61" s="142" t="s">
        <v>25</v>
      </c>
      <c r="E61" s="142" t="s">
        <v>25</v>
      </c>
      <c r="F61" s="142" t="s">
        <v>25</v>
      </c>
      <c r="G61" s="142" t="s">
        <v>25</v>
      </c>
      <c r="H61" s="142" t="s">
        <v>91</v>
      </c>
      <c r="I61" s="142" t="s">
        <v>25</v>
      </c>
      <c r="J61" s="142">
        <v>51.34</v>
      </c>
      <c r="K61" s="142"/>
      <c r="L61" s="142"/>
      <c r="M61" s="142"/>
      <c r="N61" s="142"/>
      <c r="O61" s="142"/>
      <c r="P61" s="142"/>
      <c r="Q61" s="142"/>
      <c r="R61" s="142"/>
      <c r="S61" s="142"/>
      <c r="T61" s="142">
        <v>14.132518239381699</v>
      </c>
      <c r="U61" s="142">
        <v>3.8059003637973898</v>
      </c>
      <c r="V61" s="142">
        <v>0.45592815796644398</v>
      </c>
      <c r="W61" s="142"/>
      <c r="X61" s="142"/>
      <c r="Y61" s="142"/>
      <c r="Z61" s="142"/>
      <c r="AA61" s="142">
        <v>32.949716772813296</v>
      </c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3"/>
    </row>
    <row r="62" spans="2:43" ht="12" customHeight="1" x14ac:dyDescent="0.25">
      <c r="B62" s="141" t="s">
        <v>44</v>
      </c>
      <c r="C62" s="142" t="s">
        <v>34</v>
      </c>
      <c r="D62" s="142" t="s">
        <v>25</v>
      </c>
      <c r="E62" s="142" t="s">
        <v>25</v>
      </c>
      <c r="F62" s="142" t="s">
        <v>61</v>
      </c>
      <c r="G62" s="142" t="s">
        <v>35</v>
      </c>
      <c r="H62" s="142" t="s">
        <v>88</v>
      </c>
      <c r="I62" s="142" t="s">
        <v>25</v>
      </c>
      <c r="J62" s="142">
        <v>1232.19</v>
      </c>
      <c r="K62" s="142"/>
      <c r="L62" s="142"/>
      <c r="M62" s="142">
        <v>0.42523736925614303</v>
      </c>
      <c r="N62" s="142">
        <v>12.8275356390594</v>
      </c>
      <c r="O62" s="142"/>
      <c r="P62" s="142"/>
      <c r="Q62" s="142"/>
      <c r="R62" s="142"/>
      <c r="S62" s="142"/>
      <c r="T62" s="142">
        <v>216.68728520503299</v>
      </c>
      <c r="U62" s="142">
        <v>57.557013687161401</v>
      </c>
      <c r="V62" s="142">
        <v>7.34877107176926</v>
      </c>
      <c r="W62" s="142"/>
      <c r="X62" s="142"/>
      <c r="Y62" s="142"/>
      <c r="Z62" s="142"/>
      <c r="AA62" s="142">
        <v>898.98345479484101</v>
      </c>
      <c r="AB62" s="142"/>
      <c r="AC62" s="142"/>
      <c r="AD62" s="142">
        <v>22.355157533351299</v>
      </c>
      <c r="AE62" s="142">
        <v>0.84029338459027603</v>
      </c>
      <c r="AF62" s="142">
        <v>12.063087868607401</v>
      </c>
      <c r="AG62" s="142">
        <v>3.10061696965376</v>
      </c>
      <c r="AH62" s="142"/>
      <c r="AI62" s="142"/>
      <c r="AJ62" s="142"/>
      <c r="AK62" s="142"/>
      <c r="AL62" s="142"/>
      <c r="AM62" s="142"/>
      <c r="AN62" s="142"/>
      <c r="AO62" s="142"/>
      <c r="AP62" s="142"/>
      <c r="AQ62" s="143"/>
    </row>
    <row r="63" spans="2:43" ht="12" customHeight="1" x14ac:dyDescent="0.25">
      <c r="B63" s="141" t="s">
        <v>44</v>
      </c>
      <c r="C63" s="142" t="s">
        <v>34</v>
      </c>
      <c r="D63" s="142" t="s">
        <v>25</v>
      </c>
      <c r="E63" s="142" t="s">
        <v>25</v>
      </c>
      <c r="F63" s="142" t="s">
        <v>61</v>
      </c>
      <c r="G63" s="142" t="s">
        <v>25</v>
      </c>
      <c r="H63" s="142" t="s">
        <v>91</v>
      </c>
      <c r="I63" s="142" t="s">
        <v>25</v>
      </c>
      <c r="J63" s="142">
        <v>16</v>
      </c>
      <c r="K63" s="142"/>
      <c r="L63" s="142"/>
      <c r="M63" s="142"/>
      <c r="N63" s="142"/>
      <c r="O63" s="142"/>
      <c r="P63" s="142"/>
      <c r="Q63" s="142"/>
      <c r="R63" s="142"/>
      <c r="S63" s="142"/>
      <c r="T63" s="142">
        <v>7.64561067664863</v>
      </c>
      <c r="U63" s="142">
        <v>2.0825288033293101</v>
      </c>
      <c r="V63" s="142">
        <v>0.236052160629145</v>
      </c>
      <c r="W63" s="142"/>
      <c r="X63" s="142"/>
      <c r="Y63" s="142"/>
      <c r="Z63" s="142"/>
      <c r="AA63" s="142">
        <v>6.0363438211410596</v>
      </c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3"/>
    </row>
    <row r="64" spans="2:43" ht="12" customHeight="1" x14ac:dyDescent="0.25">
      <c r="B64" s="141" t="s">
        <v>44</v>
      </c>
      <c r="C64" s="142" t="s">
        <v>34</v>
      </c>
      <c r="D64" s="142" t="s">
        <v>25</v>
      </c>
      <c r="E64" s="142" t="s">
        <v>25</v>
      </c>
      <c r="F64" s="142" t="s">
        <v>61</v>
      </c>
      <c r="G64" s="142" t="s">
        <v>36</v>
      </c>
      <c r="H64" s="142" t="s">
        <v>88</v>
      </c>
      <c r="I64" s="142" t="s">
        <v>25</v>
      </c>
      <c r="J64" s="142">
        <v>39.619999999999997</v>
      </c>
      <c r="K64" s="142"/>
      <c r="L64" s="142"/>
      <c r="M64" s="142">
        <v>0.42523736925614303</v>
      </c>
      <c r="N64" s="142">
        <v>0.83329724837318198</v>
      </c>
      <c r="O64" s="142"/>
      <c r="P64" s="142"/>
      <c r="Q64" s="142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>
        <v>22.355157533351299</v>
      </c>
      <c r="AE64" s="142">
        <v>0.84029338459027603</v>
      </c>
      <c r="AF64" s="142">
        <v>12.063087868607401</v>
      </c>
      <c r="AG64" s="142">
        <v>3.10061696965376</v>
      </c>
      <c r="AH64" s="142"/>
      <c r="AI64" s="142"/>
      <c r="AJ64" s="142"/>
      <c r="AK64" s="142"/>
      <c r="AL64" s="142"/>
      <c r="AM64" s="142"/>
      <c r="AN64" s="142"/>
      <c r="AO64" s="142"/>
      <c r="AP64" s="142"/>
      <c r="AQ64" s="143"/>
    </row>
    <row r="65" spans="2:43" ht="12" customHeight="1" x14ac:dyDescent="0.25">
      <c r="B65" s="141" t="s">
        <v>44</v>
      </c>
      <c r="C65" s="142" t="s">
        <v>34</v>
      </c>
      <c r="D65" s="142" t="s">
        <v>25</v>
      </c>
      <c r="E65" s="142" t="s">
        <v>25</v>
      </c>
      <c r="F65" s="142" t="s">
        <v>25</v>
      </c>
      <c r="G65" s="142" t="s">
        <v>35</v>
      </c>
      <c r="H65" s="142" t="s">
        <v>88</v>
      </c>
      <c r="I65" s="142" t="s">
        <v>25</v>
      </c>
      <c r="J65" s="142">
        <v>1305.55</v>
      </c>
      <c r="K65" s="142">
        <v>375.69</v>
      </c>
      <c r="L65" s="142"/>
      <c r="M65" s="142">
        <v>0.42523736925614303</v>
      </c>
      <c r="N65" s="142">
        <v>12.842006142320701</v>
      </c>
      <c r="O65" s="142"/>
      <c r="P65" s="142"/>
      <c r="Q65" s="142">
        <v>66.369865232212703</v>
      </c>
      <c r="R65" s="142">
        <v>6.9769367212194604</v>
      </c>
      <c r="S65" s="142"/>
      <c r="T65" s="142">
        <v>216.68728520503299</v>
      </c>
      <c r="U65" s="142">
        <v>57.557013687161401</v>
      </c>
      <c r="V65" s="142">
        <v>7.34877107176926</v>
      </c>
      <c r="W65" s="142"/>
      <c r="X65" s="142"/>
      <c r="Y65" s="142"/>
      <c r="Z65" s="142"/>
      <c r="AA65" s="142">
        <v>898.98345479484101</v>
      </c>
      <c r="AB65" s="142"/>
      <c r="AC65" s="142"/>
      <c r="AD65" s="142">
        <v>22.355157533351299</v>
      </c>
      <c r="AE65" s="142">
        <v>0.84029338459027603</v>
      </c>
      <c r="AF65" s="142">
        <v>12.063087868607401</v>
      </c>
      <c r="AG65" s="142">
        <v>3.10061696965376</v>
      </c>
      <c r="AH65" s="142">
        <v>2.5005275892065599</v>
      </c>
      <c r="AI65" s="142">
        <v>13.866547896201601</v>
      </c>
      <c r="AJ65" s="142"/>
      <c r="AK65" s="142">
        <v>-5.9899887837723602</v>
      </c>
      <c r="AL65" s="142">
        <v>346.04869505221001</v>
      </c>
      <c r="AM65" s="142">
        <v>7.7279194737034196</v>
      </c>
      <c r="AN65" s="142">
        <v>6.2390317012758096</v>
      </c>
      <c r="AO65" s="142"/>
      <c r="AP65" s="142"/>
      <c r="AQ65" s="143">
        <v>5.2990697581821902</v>
      </c>
    </row>
    <row r="66" spans="2:43" ht="12" customHeight="1" x14ac:dyDescent="0.25">
      <c r="B66" s="141" t="s">
        <v>44</v>
      </c>
      <c r="C66" s="142" t="s">
        <v>34</v>
      </c>
      <c r="D66" s="142" t="s">
        <v>25</v>
      </c>
      <c r="E66" s="142" t="s">
        <v>25</v>
      </c>
      <c r="F66" s="142" t="s">
        <v>25</v>
      </c>
      <c r="G66" s="142" t="s">
        <v>25</v>
      </c>
      <c r="H66" s="142" t="s">
        <v>91</v>
      </c>
      <c r="I66" s="142" t="s">
        <v>25</v>
      </c>
      <c r="J66" s="142">
        <v>16</v>
      </c>
      <c r="K66" s="142"/>
      <c r="L66" s="142"/>
      <c r="M66" s="142"/>
      <c r="N66" s="142"/>
      <c r="O66" s="142"/>
      <c r="P66" s="142"/>
      <c r="Q66" s="142"/>
      <c r="R66" s="142"/>
      <c r="S66" s="142"/>
      <c r="T66" s="142">
        <v>7.64561067664863</v>
      </c>
      <c r="U66" s="142">
        <v>2.0825288033293101</v>
      </c>
      <c r="V66" s="142">
        <v>0.236052160629145</v>
      </c>
      <c r="W66" s="142"/>
      <c r="X66" s="142"/>
      <c r="Y66" s="142"/>
      <c r="Z66" s="142"/>
      <c r="AA66" s="142">
        <v>6.0363438211410596</v>
      </c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3"/>
    </row>
    <row r="67" spans="2:43" ht="12" customHeight="1" x14ac:dyDescent="0.25">
      <c r="B67" s="141" t="s">
        <v>44</v>
      </c>
      <c r="C67" s="142" t="s">
        <v>34</v>
      </c>
      <c r="D67" s="142" t="s">
        <v>25</v>
      </c>
      <c r="E67" s="142" t="s">
        <v>25</v>
      </c>
      <c r="F67" s="142" t="s">
        <v>25</v>
      </c>
      <c r="G67" s="142" t="s">
        <v>36</v>
      </c>
      <c r="H67" s="142" t="s">
        <v>88</v>
      </c>
      <c r="I67" s="142" t="s">
        <v>25</v>
      </c>
      <c r="J67" s="142">
        <v>112.98</v>
      </c>
      <c r="K67" s="142">
        <v>230.83</v>
      </c>
      <c r="L67" s="142"/>
      <c r="M67" s="142">
        <v>0.42523736925614303</v>
      </c>
      <c r="N67" s="142">
        <v>0.84776775163445295</v>
      </c>
      <c r="O67" s="142"/>
      <c r="P67" s="142"/>
      <c r="Q67" s="142">
        <v>66.369865232212703</v>
      </c>
      <c r="R67" s="142">
        <v>6.9769367212194604</v>
      </c>
      <c r="S67" s="142"/>
      <c r="T67" s="142"/>
      <c r="U67" s="142"/>
      <c r="V67" s="142"/>
      <c r="W67" s="142"/>
      <c r="X67" s="142"/>
      <c r="Y67" s="142"/>
      <c r="Z67" s="142"/>
      <c r="AA67" s="142"/>
      <c r="AB67" s="142"/>
      <c r="AC67" s="142"/>
      <c r="AD67" s="142">
        <v>22.355157533351299</v>
      </c>
      <c r="AE67" s="142">
        <v>0.84029338459027603</v>
      </c>
      <c r="AF67" s="142">
        <v>12.063087868607401</v>
      </c>
      <c r="AG67" s="142">
        <v>3.10061696965376</v>
      </c>
      <c r="AH67" s="142">
        <v>2.5005275892065599</v>
      </c>
      <c r="AI67" s="142">
        <v>13.866547896201601</v>
      </c>
      <c r="AJ67" s="142"/>
      <c r="AK67" s="142">
        <v>-5.9899887837723602</v>
      </c>
      <c r="AL67" s="142">
        <v>201.19110177454101</v>
      </c>
      <c r="AM67" s="142">
        <v>7.7279194737034196</v>
      </c>
      <c r="AN67" s="142">
        <v>6.2390317012758096</v>
      </c>
      <c r="AO67" s="142"/>
      <c r="AP67" s="142"/>
      <c r="AQ67" s="143">
        <v>5.2990697581821902</v>
      </c>
    </row>
    <row r="68" spans="2:43" ht="12" customHeight="1" x14ac:dyDescent="0.25">
      <c r="B68" s="141" t="s">
        <v>97</v>
      </c>
      <c r="C68" s="142" t="s">
        <v>64</v>
      </c>
      <c r="D68" s="142" t="s">
        <v>25</v>
      </c>
      <c r="E68" s="142" t="s">
        <v>25</v>
      </c>
      <c r="F68" s="142" t="s">
        <v>98</v>
      </c>
      <c r="G68" s="142" t="s">
        <v>25</v>
      </c>
      <c r="H68" s="142" t="s">
        <v>91</v>
      </c>
      <c r="I68" s="142" t="s">
        <v>25</v>
      </c>
      <c r="J68" s="142">
        <v>2.08</v>
      </c>
      <c r="K68" s="142"/>
      <c r="L68" s="142"/>
      <c r="M68" s="142">
        <v>6.2730944428416799E-3</v>
      </c>
      <c r="N68" s="142">
        <v>2.59022008376757E-2</v>
      </c>
      <c r="O68" s="142"/>
      <c r="P68" s="142"/>
      <c r="Q68" s="142"/>
      <c r="R68" s="142"/>
      <c r="S68" s="142"/>
      <c r="T68" s="142"/>
      <c r="U68" s="142"/>
      <c r="V68" s="142"/>
      <c r="W68" s="142"/>
      <c r="X68" s="142"/>
      <c r="Y68" s="142"/>
      <c r="Z68" s="142"/>
      <c r="AA68" s="142">
        <v>2.04791395165025</v>
      </c>
      <c r="AB68" s="142"/>
      <c r="AC68" s="142"/>
      <c r="AD68" s="142"/>
      <c r="AE68" s="142"/>
      <c r="AF68" s="142"/>
      <c r="AG68" s="142"/>
      <c r="AH68" s="142"/>
      <c r="AI68" s="142"/>
      <c r="AJ68" s="142"/>
      <c r="AK68" s="142"/>
      <c r="AL68" s="142"/>
      <c r="AM68" s="142"/>
      <c r="AN68" s="142"/>
      <c r="AO68" s="142"/>
      <c r="AP68" s="142"/>
      <c r="AQ68" s="143"/>
    </row>
    <row r="69" spans="2:43" ht="12" customHeight="1" x14ac:dyDescent="0.25">
      <c r="B69" s="141" t="s">
        <v>97</v>
      </c>
      <c r="C69" s="142" t="s">
        <v>64</v>
      </c>
      <c r="D69" s="142" t="s">
        <v>25</v>
      </c>
      <c r="E69" s="142" t="s">
        <v>25</v>
      </c>
      <c r="F69" s="142" t="s">
        <v>99</v>
      </c>
      <c r="G69" s="142" t="s">
        <v>25</v>
      </c>
      <c r="H69" s="142" t="s">
        <v>91</v>
      </c>
      <c r="I69" s="142" t="s">
        <v>25</v>
      </c>
      <c r="J69" s="142">
        <v>7.66</v>
      </c>
      <c r="K69" s="142"/>
      <c r="L69" s="142"/>
      <c r="M69" s="142">
        <v>6.2730944428416799E-3</v>
      </c>
      <c r="N69" s="142">
        <v>2.59022008376757E-2</v>
      </c>
      <c r="O69" s="142"/>
      <c r="P69" s="142"/>
      <c r="Q69" s="142"/>
      <c r="R69" s="142"/>
      <c r="S69" s="142"/>
      <c r="T69" s="142"/>
      <c r="U69" s="142"/>
      <c r="V69" s="142"/>
      <c r="W69" s="142"/>
      <c r="X69" s="142"/>
      <c r="Y69" s="142"/>
      <c r="Z69" s="142"/>
      <c r="AA69" s="142">
        <v>7.6320373887177801</v>
      </c>
      <c r="AB69" s="142"/>
      <c r="AC69" s="142"/>
      <c r="AD69" s="142"/>
      <c r="AE69" s="142"/>
      <c r="AF69" s="142"/>
      <c r="AG69" s="142"/>
      <c r="AH69" s="142"/>
      <c r="AI69" s="142"/>
      <c r="AJ69" s="142"/>
      <c r="AK69" s="142"/>
      <c r="AL69" s="142"/>
      <c r="AM69" s="142"/>
      <c r="AN69" s="142"/>
      <c r="AO69" s="142"/>
      <c r="AP69" s="142"/>
      <c r="AQ69" s="143"/>
    </row>
    <row r="70" spans="2:43" ht="12" customHeight="1" x14ac:dyDescent="0.25">
      <c r="B70" s="141" t="s">
        <v>22</v>
      </c>
      <c r="C70" s="142" t="s">
        <v>37</v>
      </c>
      <c r="D70" s="142" t="s">
        <v>24</v>
      </c>
      <c r="E70" s="142" t="s">
        <v>24</v>
      </c>
      <c r="F70" s="142" t="s">
        <v>25</v>
      </c>
      <c r="G70" s="142" t="s">
        <v>35</v>
      </c>
      <c r="H70" s="142" t="s">
        <v>88</v>
      </c>
      <c r="I70" s="142" t="s">
        <v>25</v>
      </c>
      <c r="J70" s="142">
        <v>569.53</v>
      </c>
      <c r="K70" s="142">
        <v>375.69</v>
      </c>
      <c r="L70" s="142"/>
      <c r="M70" s="142">
        <v>0.39453147039784198</v>
      </c>
      <c r="N70" s="142">
        <v>4.9774411226620998</v>
      </c>
      <c r="O70" s="142"/>
      <c r="P70" s="142"/>
      <c r="Q70" s="142">
        <v>66.369865232212703</v>
      </c>
      <c r="R70" s="142">
        <v>6.9769367212194604</v>
      </c>
      <c r="S70" s="142"/>
      <c r="T70" s="142">
        <v>116.851255200911</v>
      </c>
      <c r="U70" s="142">
        <v>31.4070615770245</v>
      </c>
      <c r="V70" s="142">
        <v>3.7966054363119</v>
      </c>
      <c r="W70" s="142"/>
      <c r="X70" s="142"/>
      <c r="Y70" s="142"/>
      <c r="Z70" s="142"/>
      <c r="AA70" s="142">
        <v>302.32454626062201</v>
      </c>
      <c r="AB70" s="142"/>
      <c r="AC70" s="142"/>
      <c r="AD70" s="142">
        <v>22.355157533351299</v>
      </c>
      <c r="AE70" s="142">
        <v>0.84029338459027603</v>
      </c>
      <c r="AF70" s="142">
        <v>10.5298833501858</v>
      </c>
      <c r="AG70" s="142">
        <v>2.70653213834458</v>
      </c>
      <c r="AH70" s="142">
        <v>2.5005275892065599</v>
      </c>
      <c r="AI70" s="142">
        <v>13.866547896201601</v>
      </c>
      <c r="AJ70" s="142"/>
      <c r="AK70" s="142">
        <v>-5.9899887837723602</v>
      </c>
      <c r="AL70" s="142">
        <v>346.04869505221001</v>
      </c>
      <c r="AM70" s="142">
        <v>7.7279194737034196</v>
      </c>
      <c r="AN70" s="142">
        <v>6.2390317012758096</v>
      </c>
      <c r="AO70" s="142"/>
      <c r="AP70" s="142"/>
      <c r="AQ70" s="143">
        <v>5.2990697581821902</v>
      </c>
    </row>
    <row r="71" spans="2:43" ht="12" customHeight="1" x14ac:dyDescent="0.25">
      <c r="B71" s="141" t="s">
        <v>22</v>
      </c>
      <c r="C71" s="142" t="s">
        <v>37</v>
      </c>
      <c r="D71" s="142" t="s">
        <v>24</v>
      </c>
      <c r="E71" s="142" t="s">
        <v>24</v>
      </c>
      <c r="F71" s="142" t="s">
        <v>25</v>
      </c>
      <c r="G71" s="142" t="s">
        <v>38</v>
      </c>
      <c r="H71" s="142" t="s">
        <v>88</v>
      </c>
      <c r="I71" s="142" t="s">
        <v>25</v>
      </c>
      <c r="J71" s="142">
        <v>386.11</v>
      </c>
      <c r="K71" s="142">
        <v>230.83</v>
      </c>
      <c r="L71" s="142"/>
      <c r="M71" s="142">
        <v>0.39453147039784198</v>
      </c>
      <c r="N71" s="142">
        <v>3.30940884713144</v>
      </c>
      <c r="O71" s="142"/>
      <c r="P71" s="142"/>
      <c r="Q71" s="142">
        <v>66.369865232212703</v>
      </c>
      <c r="R71" s="142">
        <v>6.9769367212194604</v>
      </c>
      <c r="S71" s="142"/>
      <c r="T71" s="142">
        <v>70.110361004433301</v>
      </c>
      <c r="U71" s="142">
        <v>18.844334147092301</v>
      </c>
      <c r="V71" s="142">
        <v>2.2778434383553501</v>
      </c>
      <c r="W71" s="142"/>
      <c r="X71" s="142"/>
      <c r="Y71" s="142"/>
      <c r="Z71" s="142"/>
      <c r="AA71" s="142">
        <v>181.39470478353201</v>
      </c>
      <c r="AB71" s="142"/>
      <c r="AC71" s="142"/>
      <c r="AD71" s="142">
        <v>22.355157533351299</v>
      </c>
      <c r="AE71" s="142">
        <v>0.84029338459027603</v>
      </c>
      <c r="AF71" s="142">
        <v>10.5298833501858</v>
      </c>
      <c r="AG71" s="142">
        <v>2.70653213834458</v>
      </c>
      <c r="AH71" s="142">
        <v>2.5005275892065599</v>
      </c>
      <c r="AI71" s="142">
        <v>13.866547896201601</v>
      </c>
      <c r="AJ71" s="142"/>
      <c r="AK71" s="142">
        <v>-5.9899887837723602</v>
      </c>
      <c r="AL71" s="142">
        <v>201.19110177454101</v>
      </c>
      <c r="AM71" s="142">
        <v>7.7279194737034196</v>
      </c>
      <c r="AN71" s="142">
        <v>6.2390317012758096</v>
      </c>
      <c r="AO71" s="142"/>
      <c r="AP71" s="142"/>
      <c r="AQ71" s="143">
        <v>5.2990697581821902</v>
      </c>
    </row>
    <row r="72" spans="2:43" ht="12" customHeight="1" x14ac:dyDescent="0.25">
      <c r="B72" s="141" t="s">
        <v>22</v>
      </c>
      <c r="C72" s="142" t="s">
        <v>37</v>
      </c>
      <c r="D72" s="142" t="s">
        <v>24</v>
      </c>
      <c r="E72" s="142" t="s">
        <v>24</v>
      </c>
      <c r="F72" s="142" t="s">
        <v>25</v>
      </c>
      <c r="G72" s="142" t="s">
        <v>36</v>
      </c>
      <c r="H72" s="142" t="s">
        <v>88</v>
      </c>
      <c r="I72" s="142" t="s">
        <v>25</v>
      </c>
      <c r="J72" s="142">
        <v>202.69</v>
      </c>
      <c r="K72" s="142">
        <v>230.83</v>
      </c>
      <c r="L72" s="142"/>
      <c r="M72" s="142">
        <v>0.39453147039784198</v>
      </c>
      <c r="N72" s="142">
        <v>1.64137801865111</v>
      </c>
      <c r="O72" s="142"/>
      <c r="P72" s="142"/>
      <c r="Q72" s="142">
        <v>66.369865232212703</v>
      </c>
      <c r="R72" s="142">
        <v>6.9769367212194604</v>
      </c>
      <c r="S72" s="142"/>
      <c r="T72" s="142">
        <v>23.370120334811102</v>
      </c>
      <c r="U72" s="142">
        <v>6.2816067171601704</v>
      </c>
      <c r="V72" s="142">
        <v>0.75908144039879799</v>
      </c>
      <c r="W72" s="142"/>
      <c r="X72" s="142"/>
      <c r="Y72" s="142"/>
      <c r="Z72" s="142"/>
      <c r="AA72" s="142">
        <v>60.4648633064416</v>
      </c>
      <c r="AB72" s="142"/>
      <c r="AC72" s="142"/>
      <c r="AD72" s="142">
        <v>22.355157533351299</v>
      </c>
      <c r="AE72" s="142">
        <v>0.84029338459027603</v>
      </c>
      <c r="AF72" s="142">
        <v>10.5298833501858</v>
      </c>
      <c r="AG72" s="142">
        <v>2.70653213834458</v>
      </c>
      <c r="AH72" s="142">
        <v>2.5005275892065599</v>
      </c>
      <c r="AI72" s="142">
        <v>13.866547896201601</v>
      </c>
      <c r="AJ72" s="142"/>
      <c r="AK72" s="142">
        <v>-5.9899887837723602</v>
      </c>
      <c r="AL72" s="142">
        <v>201.19110177454101</v>
      </c>
      <c r="AM72" s="142">
        <v>7.7279194737034196</v>
      </c>
      <c r="AN72" s="142">
        <v>6.2390317012758096</v>
      </c>
      <c r="AO72" s="142"/>
      <c r="AP72" s="142"/>
      <c r="AQ72" s="143">
        <v>5.2990697581821902</v>
      </c>
    </row>
    <row r="73" spans="2:43" ht="12" customHeight="1" x14ac:dyDescent="0.25">
      <c r="B73" s="141" t="s">
        <v>22</v>
      </c>
      <c r="C73" s="142" t="s">
        <v>23</v>
      </c>
      <c r="D73" s="142" t="s">
        <v>24</v>
      </c>
      <c r="E73" s="142" t="s">
        <v>1770</v>
      </c>
      <c r="F73" s="142" t="s">
        <v>25</v>
      </c>
      <c r="G73" s="142" t="s">
        <v>25</v>
      </c>
      <c r="H73" s="142" t="s">
        <v>88</v>
      </c>
      <c r="I73" s="142" t="s">
        <v>25</v>
      </c>
      <c r="J73" s="142">
        <v>198.51</v>
      </c>
      <c r="K73" s="142">
        <v>242.91</v>
      </c>
      <c r="L73" s="142"/>
      <c r="M73" s="142">
        <v>0.39453147039784198</v>
      </c>
      <c r="N73" s="142">
        <v>2.2560777619382799</v>
      </c>
      <c r="O73" s="142"/>
      <c r="P73" s="142"/>
      <c r="Q73" s="142"/>
      <c r="R73" s="142"/>
      <c r="S73" s="142"/>
      <c r="T73" s="142">
        <v>41.0003143021545</v>
      </c>
      <c r="U73" s="142">
        <v>11.020149501865101</v>
      </c>
      <c r="V73" s="142">
        <v>1.3318374443619001</v>
      </c>
      <c r="W73" s="142"/>
      <c r="X73" s="142"/>
      <c r="Y73" s="142"/>
      <c r="Z73" s="142"/>
      <c r="AA73" s="142">
        <v>106.078818389045</v>
      </c>
      <c r="AB73" s="142"/>
      <c r="AC73" s="142"/>
      <c r="AD73" s="142">
        <v>22.355157533351299</v>
      </c>
      <c r="AE73" s="142">
        <v>0.84029338459027603</v>
      </c>
      <c r="AF73" s="142">
        <v>10.5298833501858</v>
      </c>
      <c r="AG73" s="142">
        <v>2.70653213834458</v>
      </c>
      <c r="AH73" s="142">
        <v>2.5005275892065599</v>
      </c>
      <c r="AI73" s="142">
        <v>13.866547896201601</v>
      </c>
      <c r="AJ73" s="142"/>
      <c r="AK73" s="142">
        <v>-5.9899887837723602</v>
      </c>
      <c r="AL73" s="142">
        <v>213.26256788101301</v>
      </c>
      <c r="AM73" s="142">
        <v>7.7279194737034196</v>
      </c>
      <c r="AN73" s="142">
        <v>6.2390317012758096</v>
      </c>
      <c r="AO73" s="142"/>
      <c r="AP73" s="142"/>
      <c r="AQ73" s="143">
        <v>5.2990697581821902</v>
      </c>
    </row>
    <row r="74" spans="2:43" ht="12" customHeight="1" x14ac:dyDescent="0.25">
      <c r="B74" s="141" t="s">
        <v>22</v>
      </c>
      <c r="C74" s="142" t="s">
        <v>23</v>
      </c>
      <c r="D74" s="142" t="s">
        <v>24</v>
      </c>
      <c r="E74" s="142" t="s">
        <v>24</v>
      </c>
      <c r="F74" s="142" t="s">
        <v>25</v>
      </c>
      <c r="G74" s="142" t="s">
        <v>25</v>
      </c>
      <c r="H74" s="142" t="s">
        <v>88</v>
      </c>
      <c r="I74" s="142" t="s">
        <v>25</v>
      </c>
      <c r="J74" s="142">
        <v>271.87</v>
      </c>
      <c r="K74" s="142">
        <v>242.91</v>
      </c>
      <c r="L74" s="142"/>
      <c r="M74" s="142">
        <v>0.39453147039784198</v>
      </c>
      <c r="N74" s="142">
        <v>2.2705482651995501</v>
      </c>
      <c r="O74" s="142"/>
      <c r="P74" s="142"/>
      <c r="Q74" s="142">
        <v>66.369865232212703</v>
      </c>
      <c r="R74" s="142">
        <v>6.9769367212194604</v>
      </c>
      <c r="S74" s="142"/>
      <c r="T74" s="142">
        <v>41.0003143021545</v>
      </c>
      <c r="U74" s="142">
        <v>11.020149501865101</v>
      </c>
      <c r="V74" s="142">
        <v>1.3318374443619001</v>
      </c>
      <c r="W74" s="142"/>
      <c r="X74" s="142"/>
      <c r="Y74" s="142"/>
      <c r="Z74" s="142"/>
      <c r="AA74" s="142">
        <v>106.078818389045</v>
      </c>
      <c r="AB74" s="142"/>
      <c r="AC74" s="142"/>
      <c r="AD74" s="142">
        <v>22.355157533351299</v>
      </c>
      <c r="AE74" s="142">
        <v>0.84029338459027603</v>
      </c>
      <c r="AF74" s="142">
        <v>10.5298833501858</v>
      </c>
      <c r="AG74" s="142">
        <v>2.70653213834458</v>
      </c>
      <c r="AH74" s="142">
        <v>2.5005275892065599</v>
      </c>
      <c r="AI74" s="142">
        <v>13.866547896201601</v>
      </c>
      <c r="AJ74" s="142"/>
      <c r="AK74" s="142">
        <v>-5.9899887837723602</v>
      </c>
      <c r="AL74" s="142">
        <v>213.26256788101301</v>
      </c>
      <c r="AM74" s="142">
        <v>7.7279194737034196</v>
      </c>
      <c r="AN74" s="142">
        <v>6.2390317012758096</v>
      </c>
      <c r="AO74" s="142"/>
      <c r="AP74" s="142"/>
      <c r="AQ74" s="143">
        <v>5.2990697581821902</v>
      </c>
    </row>
    <row r="75" spans="2:43" ht="12" customHeight="1" x14ac:dyDescent="0.25">
      <c r="B75" s="141" t="s">
        <v>22</v>
      </c>
      <c r="C75" s="142" t="s">
        <v>102</v>
      </c>
      <c r="D75" s="142" t="s">
        <v>24</v>
      </c>
      <c r="E75" s="142" t="s">
        <v>1770</v>
      </c>
      <c r="F75" s="142" t="s">
        <v>25</v>
      </c>
      <c r="G75" s="142" t="s">
        <v>25</v>
      </c>
      <c r="H75" s="142" t="s">
        <v>88</v>
      </c>
      <c r="I75" s="142" t="s">
        <v>25</v>
      </c>
      <c r="J75" s="142">
        <v>198.51</v>
      </c>
      <c r="K75" s="142">
        <v>242.91</v>
      </c>
      <c r="L75" s="142"/>
      <c r="M75" s="142">
        <v>0.39453147039784198</v>
      </c>
      <c r="N75" s="142">
        <v>2.2560777619382799</v>
      </c>
      <c r="O75" s="142"/>
      <c r="P75" s="142"/>
      <c r="Q75" s="142"/>
      <c r="R75" s="142"/>
      <c r="S75" s="142"/>
      <c r="T75" s="142">
        <v>41.0003143021545</v>
      </c>
      <c r="U75" s="142">
        <v>11.020149501865101</v>
      </c>
      <c r="V75" s="142">
        <v>1.3318374443619001</v>
      </c>
      <c r="W75" s="142"/>
      <c r="X75" s="142"/>
      <c r="Y75" s="142"/>
      <c r="Z75" s="142"/>
      <c r="AA75" s="142">
        <v>106.078818389045</v>
      </c>
      <c r="AB75" s="142"/>
      <c r="AC75" s="142"/>
      <c r="AD75" s="142">
        <v>22.355157533351299</v>
      </c>
      <c r="AE75" s="142">
        <v>0.84029338459027603</v>
      </c>
      <c r="AF75" s="142">
        <v>10.5298833501858</v>
      </c>
      <c r="AG75" s="142">
        <v>2.70653213834458</v>
      </c>
      <c r="AH75" s="142">
        <v>2.5005275892065599</v>
      </c>
      <c r="AI75" s="142">
        <v>13.866547896201601</v>
      </c>
      <c r="AJ75" s="142"/>
      <c r="AK75" s="142">
        <v>-5.9899887837723602</v>
      </c>
      <c r="AL75" s="142">
        <v>213.26256788101301</v>
      </c>
      <c r="AM75" s="142">
        <v>7.7279194737034196</v>
      </c>
      <c r="AN75" s="142">
        <v>6.2390317012758096</v>
      </c>
      <c r="AO75" s="142"/>
      <c r="AP75" s="142"/>
      <c r="AQ75" s="143">
        <v>5.2990697581821902</v>
      </c>
    </row>
    <row r="76" spans="2:43" ht="12" customHeight="1" x14ac:dyDescent="0.25">
      <c r="B76" s="141" t="s">
        <v>22</v>
      </c>
      <c r="C76" s="142" t="s">
        <v>102</v>
      </c>
      <c r="D76" s="142" t="s">
        <v>24</v>
      </c>
      <c r="E76" s="142" t="s">
        <v>24</v>
      </c>
      <c r="F76" s="142" t="s">
        <v>25</v>
      </c>
      <c r="G76" s="142" t="s">
        <v>25</v>
      </c>
      <c r="H76" s="142" t="s">
        <v>88</v>
      </c>
      <c r="I76" s="142" t="s">
        <v>25</v>
      </c>
      <c r="J76" s="142">
        <v>271.87</v>
      </c>
      <c r="K76" s="142">
        <v>242.91</v>
      </c>
      <c r="L76" s="142"/>
      <c r="M76" s="142">
        <v>0.39453147039784198</v>
      </c>
      <c r="N76" s="142">
        <v>2.2705482651995501</v>
      </c>
      <c r="O76" s="142"/>
      <c r="P76" s="142"/>
      <c r="Q76" s="142">
        <v>66.369865232212703</v>
      </c>
      <c r="R76" s="142">
        <v>6.9769367212194604</v>
      </c>
      <c r="S76" s="142"/>
      <c r="T76" s="142">
        <v>41.0003143021545</v>
      </c>
      <c r="U76" s="142">
        <v>11.020149501865101</v>
      </c>
      <c r="V76" s="142">
        <v>1.3318374443619001</v>
      </c>
      <c r="W76" s="142"/>
      <c r="X76" s="142"/>
      <c r="Y76" s="142"/>
      <c r="Z76" s="142"/>
      <c r="AA76" s="142">
        <v>106.078818389045</v>
      </c>
      <c r="AB76" s="142"/>
      <c r="AC76" s="142"/>
      <c r="AD76" s="142">
        <v>22.355157533351299</v>
      </c>
      <c r="AE76" s="142">
        <v>0.84029338459027603</v>
      </c>
      <c r="AF76" s="142">
        <v>10.5298833501858</v>
      </c>
      <c r="AG76" s="142">
        <v>2.70653213834458</v>
      </c>
      <c r="AH76" s="142">
        <v>2.5005275892065599</v>
      </c>
      <c r="AI76" s="142">
        <v>13.866547896201601</v>
      </c>
      <c r="AJ76" s="142"/>
      <c r="AK76" s="142">
        <v>-5.9899887837723602</v>
      </c>
      <c r="AL76" s="142">
        <v>213.26256788101301</v>
      </c>
      <c r="AM76" s="142">
        <v>7.7279194737034196</v>
      </c>
      <c r="AN76" s="142">
        <v>6.2390317012758096</v>
      </c>
      <c r="AO76" s="142"/>
      <c r="AP76" s="142"/>
      <c r="AQ76" s="143">
        <v>5.2990697581821902</v>
      </c>
    </row>
    <row r="77" spans="2:43" ht="12" customHeight="1" x14ac:dyDescent="0.25">
      <c r="B77" s="141" t="s">
        <v>46</v>
      </c>
      <c r="C77" s="142" t="s">
        <v>37</v>
      </c>
      <c r="D77" s="142" t="s">
        <v>47</v>
      </c>
      <c r="E77" s="142" t="s">
        <v>103</v>
      </c>
      <c r="F77" s="142" t="s">
        <v>25</v>
      </c>
      <c r="G77" s="142" t="s">
        <v>35</v>
      </c>
      <c r="H77" s="142" t="s">
        <v>88</v>
      </c>
      <c r="I77" s="142" t="s">
        <v>25</v>
      </c>
      <c r="J77" s="142">
        <v>513.19000000000005</v>
      </c>
      <c r="K77" s="142">
        <v>308.07</v>
      </c>
      <c r="L77" s="142"/>
      <c r="M77" s="142">
        <v>0.32351580572623001</v>
      </c>
      <c r="N77" s="142">
        <v>4.5014352042869001</v>
      </c>
      <c r="O77" s="142"/>
      <c r="P77" s="142"/>
      <c r="Q77" s="142">
        <v>54.423289490414398</v>
      </c>
      <c r="R77" s="142">
        <v>5.7210881113999497</v>
      </c>
      <c r="S77" s="142"/>
      <c r="T77" s="142">
        <v>107.585146264066</v>
      </c>
      <c r="U77" s="142">
        <v>28.916473769295798</v>
      </c>
      <c r="V77" s="142">
        <v>3.4954292405041101</v>
      </c>
      <c r="W77" s="142"/>
      <c r="X77" s="142"/>
      <c r="Y77" s="142"/>
      <c r="Z77" s="142"/>
      <c r="AA77" s="142">
        <v>278.35072526420402</v>
      </c>
      <c r="AB77" s="142"/>
      <c r="AC77" s="142"/>
      <c r="AD77" s="142">
        <v>18.331229177348099</v>
      </c>
      <c r="AE77" s="142">
        <v>0.68904057536402596</v>
      </c>
      <c r="AF77" s="142">
        <v>8.6345043471523208</v>
      </c>
      <c r="AG77" s="142">
        <v>2.21935635344256</v>
      </c>
      <c r="AH77" s="142">
        <v>2.0504326231493799</v>
      </c>
      <c r="AI77" s="142">
        <v>11.3705692748853</v>
      </c>
      <c r="AJ77" s="142"/>
      <c r="AK77" s="142">
        <v>-4.9117908026933401</v>
      </c>
      <c r="AL77" s="142">
        <v>283.75992994281302</v>
      </c>
      <c r="AM77" s="142">
        <v>6.3368939684368097</v>
      </c>
      <c r="AN77" s="142">
        <v>5.1160059950461703</v>
      </c>
      <c r="AO77" s="142"/>
      <c r="AP77" s="142"/>
      <c r="AQ77" s="143">
        <v>4.3452372017094003</v>
      </c>
    </row>
    <row r="78" spans="2:43" ht="12" customHeight="1" x14ac:dyDescent="0.25">
      <c r="B78" s="141" t="s">
        <v>46</v>
      </c>
      <c r="C78" s="142" t="s">
        <v>37</v>
      </c>
      <c r="D78" s="142" t="s">
        <v>47</v>
      </c>
      <c r="E78" s="142" t="s">
        <v>103</v>
      </c>
      <c r="F78" s="142" t="s">
        <v>25</v>
      </c>
      <c r="G78" s="142" t="s">
        <v>38</v>
      </c>
      <c r="H78" s="142" t="s">
        <v>88</v>
      </c>
      <c r="I78" s="142" t="s">
        <v>25</v>
      </c>
      <c r="J78" s="142">
        <v>344.32</v>
      </c>
      <c r="K78" s="142">
        <v>189.28</v>
      </c>
      <c r="L78" s="142"/>
      <c r="M78" s="142">
        <v>0.32351580572623001</v>
      </c>
      <c r="N78" s="142">
        <v>2.9656751075539098</v>
      </c>
      <c r="O78" s="142"/>
      <c r="P78" s="142"/>
      <c r="Q78" s="142">
        <v>54.423289490414398</v>
      </c>
      <c r="R78" s="142">
        <v>5.7210881113999497</v>
      </c>
      <c r="S78" s="142"/>
      <c r="T78" s="142">
        <v>64.550873401631193</v>
      </c>
      <c r="U78" s="142">
        <v>17.349724852138198</v>
      </c>
      <c r="V78" s="142">
        <v>2.0972575443024701</v>
      </c>
      <c r="W78" s="142"/>
      <c r="X78" s="142"/>
      <c r="Y78" s="142"/>
      <c r="Z78" s="142"/>
      <c r="AA78" s="142">
        <v>167.01041632079199</v>
      </c>
      <c r="AB78" s="142"/>
      <c r="AC78" s="142"/>
      <c r="AD78" s="142">
        <v>18.331229177348099</v>
      </c>
      <c r="AE78" s="142">
        <v>0.68904057536402596</v>
      </c>
      <c r="AF78" s="142">
        <v>8.6345043471523208</v>
      </c>
      <c r="AG78" s="142">
        <v>2.21935635344256</v>
      </c>
      <c r="AH78" s="142">
        <v>2.0504326231493799</v>
      </c>
      <c r="AI78" s="142">
        <v>11.3705692748853</v>
      </c>
      <c r="AJ78" s="142"/>
      <c r="AK78" s="142">
        <v>-4.9117908026933401</v>
      </c>
      <c r="AL78" s="142">
        <v>164.97670345512401</v>
      </c>
      <c r="AM78" s="142">
        <v>6.3368939684368097</v>
      </c>
      <c r="AN78" s="142">
        <v>5.1160059950461703</v>
      </c>
      <c r="AO78" s="142"/>
      <c r="AP78" s="142"/>
      <c r="AQ78" s="143">
        <v>4.3452372017094003</v>
      </c>
    </row>
    <row r="79" spans="2:43" ht="12" customHeight="1" x14ac:dyDescent="0.25">
      <c r="B79" s="141" t="s">
        <v>46</v>
      </c>
      <c r="C79" s="142" t="s">
        <v>37</v>
      </c>
      <c r="D79" s="142" t="s">
        <v>47</v>
      </c>
      <c r="E79" s="142" t="s">
        <v>103</v>
      </c>
      <c r="F79" s="142" t="s">
        <v>25</v>
      </c>
      <c r="G79" s="142" t="s">
        <v>36</v>
      </c>
      <c r="H79" s="142" t="s">
        <v>88</v>
      </c>
      <c r="I79" s="142" t="s">
        <v>25</v>
      </c>
      <c r="J79" s="142">
        <v>175.44</v>
      </c>
      <c r="K79" s="142">
        <v>189.28</v>
      </c>
      <c r="L79" s="142"/>
      <c r="M79" s="142">
        <v>0.32351580572623001</v>
      </c>
      <c r="N79" s="142">
        <v>1.42991738398346</v>
      </c>
      <c r="O79" s="142"/>
      <c r="P79" s="142"/>
      <c r="Q79" s="142">
        <v>54.423289490414398</v>
      </c>
      <c r="R79" s="142">
        <v>5.7210881113999497</v>
      </c>
      <c r="S79" s="142"/>
      <c r="T79" s="142">
        <v>21.517136431217398</v>
      </c>
      <c r="U79" s="142">
        <v>5.7833744585788196</v>
      </c>
      <c r="V79" s="142">
        <v>0.69908584810082197</v>
      </c>
      <c r="W79" s="142"/>
      <c r="X79" s="142"/>
      <c r="Y79" s="142"/>
      <c r="Z79" s="142"/>
      <c r="AA79" s="142">
        <v>55.670107377380802</v>
      </c>
      <c r="AB79" s="142"/>
      <c r="AC79" s="142"/>
      <c r="AD79" s="142">
        <v>18.331229177348099</v>
      </c>
      <c r="AE79" s="142">
        <v>0.68904057536402596</v>
      </c>
      <c r="AF79" s="142">
        <v>8.6345043471523208</v>
      </c>
      <c r="AG79" s="142">
        <v>2.21935635344256</v>
      </c>
      <c r="AH79" s="142">
        <v>2.0504326231493799</v>
      </c>
      <c r="AI79" s="142">
        <v>11.3705692748853</v>
      </c>
      <c r="AJ79" s="142"/>
      <c r="AK79" s="142">
        <v>-4.9117908026933401</v>
      </c>
      <c r="AL79" s="142">
        <v>164.97670345512401</v>
      </c>
      <c r="AM79" s="142">
        <v>6.3368939684368097</v>
      </c>
      <c r="AN79" s="142">
        <v>5.1160059950461703</v>
      </c>
      <c r="AO79" s="142"/>
      <c r="AP79" s="142"/>
      <c r="AQ79" s="143">
        <v>4.3452372017094003</v>
      </c>
    </row>
    <row r="80" spans="2:43" ht="12" customHeight="1" x14ac:dyDescent="0.25">
      <c r="B80" s="141" t="s">
        <v>46</v>
      </c>
      <c r="C80" s="142" t="s">
        <v>37</v>
      </c>
      <c r="D80" s="142" t="s">
        <v>47</v>
      </c>
      <c r="E80" s="142" t="s">
        <v>25</v>
      </c>
      <c r="F80" s="142" t="s">
        <v>25</v>
      </c>
      <c r="G80" s="142" t="s">
        <v>35</v>
      </c>
      <c r="H80" s="142" t="s">
        <v>88</v>
      </c>
      <c r="I80" s="142" t="s">
        <v>25</v>
      </c>
      <c r="J80" s="142">
        <v>513.19000000000005</v>
      </c>
      <c r="K80" s="142">
        <v>308.07</v>
      </c>
      <c r="L80" s="142"/>
      <c r="M80" s="142">
        <v>0.32351580572623001</v>
      </c>
      <c r="N80" s="142">
        <v>4.5014352042869001</v>
      </c>
      <c r="O80" s="142"/>
      <c r="P80" s="142"/>
      <c r="Q80" s="142">
        <v>54.423289490414398</v>
      </c>
      <c r="R80" s="142">
        <v>5.7210881113999497</v>
      </c>
      <c r="S80" s="142"/>
      <c r="T80" s="142">
        <v>107.585146264066</v>
      </c>
      <c r="U80" s="142">
        <v>28.916473769295798</v>
      </c>
      <c r="V80" s="142">
        <v>3.4954292405041101</v>
      </c>
      <c r="W80" s="142"/>
      <c r="X80" s="142"/>
      <c r="Y80" s="142"/>
      <c r="Z80" s="142"/>
      <c r="AA80" s="142">
        <v>278.35072526420402</v>
      </c>
      <c r="AB80" s="142"/>
      <c r="AC80" s="142"/>
      <c r="AD80" s="142">
        <v>18.331229177348099</v>
      </c>
      <c r="AE80" s="142">
        <v>0.68904057536402596</v>
      </c>
      <c r="AF80" s="142">
        <v>8.6345043471523208</v>
      </c>
      <c r="AG80" s="142">
        <v>2.21935635344256</v>
      </c>
      <c r="AH80" s="142">
        <v>2.0504326231493799</v>
      </c>
      <c r="AI80" s="142">
        <v>11.3705692748853</v>
      </c>
      <c r="AJ80" s="142"/>
      <c r="AK80" s="142">
        <v>-4.9117908026933401</v>
      </c>
      <c r="AL80" s="142">
        <v>283.75992994281302</v>
      </c>
      <c r="AM80" s="142">
        <v>6.3368939684368097</v>
      </c>
      <c r="AN80" s="142">
        <v>5.1160059950461703</v>
      </c>
      <c r="AO80" s="142"/>
      <c r="AP80" s="142"/>
      <c r="AQ80" s="143">
        <v>4.3452372017094003</v>
      </c>
    </row>
    <row r="81" spans="2:43" ht="12" customHeight="1" x14ac:dyDescent="0.25">
      <c r="B81" s="141" t="s">
        <v>46</v>
      </c>
      <c r="C81" s="142" t="s">
        <v>37</v>
      </c>
      <c r="D81" s="142" t="s">
        <v>47</v>
      </c>
      <c r="E81" s="142" t="s">
        <v>25</v>
      </c>
      <c r="F81" s="142" t="s">
        <v>25</v>
      </c>
      <c r="G81" s="142" t="s">
        <v>38</v>
      </c>
      <c r="H81" s="142" t="s">
        <v>88</v>
      </c>
      <c r="I81" s="142" t="s">
        <v>25</v>
      </c>
      <c r="J81" s="142">
        <v>344.32</v>
      </c>
      <c r="K81" s="142">
        <v>189.28</v>
      </c>
      <c r="L81" s="142"/>
      <c r="M81" s="142">
        <v>0.32351580572623001</v>
      </c>
      <c r="N81" s="142">
        <v>2.9656751075539098</v>
      </c>
      <c r="O81" s="142"/>
      <c r="P81" s="142"/>
      <c r="Q81" s="142">
        <v>54.423289490414398</v>
      </c>
      <c r="R81" s="142">
        <v>5.7210881113999497</v>
      </c>
      <c r="S81" s="142"/>
      <c r="T81" s="142">
        <v>64.550873401631193</v>
      </c>
      <c r="U81" s="142">
        <v>17.349724852138198</v>
      </c>
      <c r="V81" s="142">
        <v>2.0972575443024701</v>
      </c>
      <c r="W81" s="142"/>
      <c r="X81" s="142"/>
      <c r="Y81" s="142"/>
      <c r="Z81" s="142"/>
      <c r="AA81" s="142">
        <v>167.01041632079199</v>
      </c>
      <c r="AB81" s="142"/>
      <c r="AC81" s="142"/>
      <c r="AD81" s="142">
        <v>18.331229177348099</v>
      </c>
      <c r="AE81" s="142">
        <v>0.68904057536402596</v>
      </c>
      <c r="AF81" s="142">
        <v>8.6345043471523208</v>
      </c>
      <c r="AG81" s="142">
        <v>2.21935635344256</v>
      </c>
      <c r="AH81" s="142">
        <v>2.0504326231493799</v>
      </c>
      <c r="AI81" s="142">
        <v>11.3705692748853</v>
      </c>
      <c r="AJ81" s="142"/>
      <c r="AK81" s="142">
        <v>-4.9117908026933401</v>
      </c>
      <c r="AL81" s="142">
        <v>164.97670345512401</v>
      </c>
      <c r="AM81" s="142">
        <v>6.3368939684368097</v>
      </c>
      <c r="AN81" s="142">
        <v>5.1160059950461703</v>
      </c>
      <c r="AO81" s="142"/>
      <c r="AP81" s="142"/>
      <c r="AQ81" s="143">
        <v>4.3452372017094003</v>
      </c>
    </row>
    <row r="82" spans="2:43" ht="12" customHeight="1" x14ac:dyDescent="0.25">
      <c r="B82" s="141" t="s">
        <v>46</v>
      </c>
      <c r="C82" s="142" t="s">
        <v>37</v>
      </c>
      <c r="D82" s="142" t="s">
        <v>47</v>
      </c>
      <c r="E82" s="142" t="s">
        <v>25</v>
      </c>
      <c r="F82" s="142" t="s">
        <v>25</v>
      </c>
      <c r="G82" s="142" t="s">
        <v>36</v>
      </c>
      <c r="H82" s="142" t="s">
        <v>88</v>
      </c>
      <c r="I82" s="142" t="s">
        <v>25</v>
      </c>
      <c r="J82" s="142">
        <v>175.44</v>
      </c>
      <c r="K82" s="142">
        <v>189.28</v>
      </c>
      <c r="L82" s="142"/>
      <c r="M82" s="142">
        <v>0.32351580572623001</v>
      </c>
      <c r="N82" s="142">
        <v>1.42991738398346</v>
      </c>
      <c r="O82" s="142"/>
      <c r="P82" s="142"/>
      <c r="Q82" s="142">
        <v>54.423289490414398</v>
      </c>
      <c r="R82" s="142">
        <v>5.7210881113999497</v>
      </c>
      <c r="S82" s="142"/>
      <c r="T82" s="142">
        <v>21.517136431217398</v>
      </c>
      <c r="U82" s="142">
        <v>5.7833744585788196</v>
      </c>
      <c r="V82" s="142">
        <v>0.69908584810082197</v>
      </c>
      <c r="W82" s="142"/>
      <c r="X82" s="142"/>
      <c r="Y82" s="142"/>
      <c r="Z82" s="142"/>
      <c r="AA82" s="142">
        <v>55.670107377380802</v>
      </c>
      <c r="AB82" s="142"/>
      <c r="AC82" s="142"/>
      <c r="AD82" s="142">
        <v>18.331229177348099</v>
      </c>
      <c r="AE82" s="142">
        <v>0.68904057536402596</v>
      </c>
      <c r="AF82" s="142">
        <v>8.6345043471523208</v>
      </c>
      <c r="AG82" s="142">
        <v>2.21935635344256</v>
      </c>
      <c r="AH82" s="142">
        <v>2.0504326231493799</v>
      </c>
      <c r="AI82" s="142">
        <v>11.3705692748853</v>
      </c>
      <c r="AJ82" s="142"/>
      <c r="AK82" s="142">
        <v>-4.9117908026933401</v>
      </c>
      <c r="AL82" s="142">
        <v>164.97670345512401</v>
      </c>
      <c r="AM82" s="142">
        <v>6.3368939684368097</v>
      </c>
      <c r="AN82" s="142">
        <v>5.1160059950461703</v>
      </c>
      <c r="AO82" s="142"/>
      <c r="AP82" s="142"/>
      <c r="AQ82" s="143">
        <v>4.3452372017094003</v>
      </c>
    </row>
    <row r="83" spans="2:43" ht="12" customHeight="1" x14ac:dyDescent="0.25">
      <c r="B83" s="141" t="s">
        <v>46</v>
      </c>
      <c r="C83" s="142" t="s">
        <v>37</v>
      </c>
      <c r="D83" s="142" t="s">
        <v>47</v>
      </c>
      <c r="E83" s="142" t="s">
        <v>104</v>
      </c>
      <c r="F83" s="142" t="s">
        <v>25</v>
      </c>
      <c r="G83" s="142" t="s">
        <v>35</v>
      </c>
      <c r="H83" s="142" t="s">
        <v>88</v>
      </c>
      <c r="I83" s="142" t="s">
        <v>25</v>
      </c>
      <c r="J83" s="142">
        <v>475.64</v>
      </c>
      <c r="K83" s="142">
        <v>285.52999999999997</v>
      </c>
      <c r="L83" s="142"/>
      <c r="M83" s="142">
        <v>0.29984391750236</v>
      </c>
      <c r="N83" s="142">
        <v>4.1720618966561496</v>
      </c>
      <c r="O83" s="142"/>
      <c r="P83" s="142"/>
      <c r="Q83" s="142">
        <v>50.441097576481603</v>
      </c>
      <c r="R83" s="142">
        <v>5.3024719081267904</v>
      </c>
      <c r="S83" s="142"/>
      <c r="T83" s="142">
        <v>99.7130623910856</v>
      </c>
      <c r="U83" s="142">
        <v>26.800634225201001</v>
      </c>
      <c r="V83" s="142">
        <v>3.2396661253452699</v>
      </c>
      <c r="W83" s="142"/>
      <c r="X83" s="142"/>
      <c r="Y83" s="142"/>
      <c r="Z83" s="142"/>
      <c r="AA83" s="142">
        <v>257.98359902535998</v>
      </c>
      <c r="AB83" s="142"/>
      <c r="AC83" s="142"/>
      <c r="AD83" s="142">
        <v>16.989919725347001</v>
      </c>
      <c r="AE83" s="142">
        <v>0.63862297228860998</v>
      </c>
      <c r="AF83" s="142">
        <v>8.0027113461411794</v>
      </c>
      <c r="AG83" s="142">
        <v>2.0569644251418802</v>
      </c>
      <c r="AH83" s="142">
        <v>1.90040096779699</v>
      </c>
      <c r="AI83" s="142">
        <v>10.5385764011132</v>
      </c>
      <c r="AJ83" s="142"/>
      <c r="AK83" s="142">
        <v>-4.5523914756669903</v>
      </c>
      <c r="AL83" s="142">
        <v>262.99700823967999</v>
      </c>
      <c r="AM83" s="142">
        <v>5.8732188000145999</v>
      </c>
      <c r="AN83" s="142">
        <v>4.7416640929696197</v>
      </c>
      <c r="AO83" s="142"/>
      <c r="AP83" s="142"/>
      <c r="AQ83" s="143">
        <v>4.0272930162184704</v>
      </c>
    </row>
    <row r="84" spans="2:43" ht="12" customHeight="1" x14ac:dyDescent="0.25">
      <c r="B84" s="141" t="s">
        <v>46</v>
      </c>
      <c r="C84" s="142" t="s">
        <v>37</v>
      </c>
      <c r="D84" s="142" t="s">
        <v>47</v>
      </c>
      <c r="E84" s="142" t="s">
        <v>104</v>
      </c>
      <c r="F84" s="142" t="s">
        <v>25</v>
      </c>
      <c r="G84" s="142" t="s">
        <v>38</v>
      </c>
      <c r="H84" s="142" t="s">
        <v>88</v>
      </c>
      <c r="I84" s="142" t="s">
        <v>25</v>
      </c>
      <c r="J84" s="142">
        <v>319.12</v>
      </c>
      <c r="K84" s="142">
        <v>175.43</v>
      </c>
      <c r="L84" s="142"/>
      <c r="M84" s="142">
        <v>0.29984391750236</v>
      </c>
      <c r="N84" s="142">
        <v>2.7486744899280202</v>
      </c>
      <c r="O84" s="142"/>
      <c r="P84" s="142"/>
      <c r="Q84" s="142">
        <v>50.441097576481603</v>
      </c>
      <c r="R84" s="142">
        <v>5.3024719081267904</v>
      </c>
      <c r="S84" s="142"/>
      <c r="T84" s="142">
        <v>59.827638762487403</v>
      </c>
      <c r="U84" s="142">
        <v>16.080232789786599</v>
      </c>
      <c r="V84" s="142">
        <v>1.94379967520716</v>
      </c>
      <c r="W84" s="142"/>
      <c r="X84" s="142"/>
      <c r="Y84" s="142"/>
      <c r="Z84" s="142"/>
      <c r="AA84" s="142">
        <v>154.790141955856</v>
      </c>
      <c r="AB84" s="142"/>
      <c r="AC84" s="142"/>
      <c r="AD84" s="142">
        <v>16.989919725347001</v>
      </c>
      <c r="AE84" s="142">
        <v>0.63862297228860998</v>
      </c>
      <c r="AF84" s="142">
        <v>8.0027113461411794</v>
      </c>
      <c r="AG84" s="142">
        <v>2.0569644251418802</v>
      </c>
      <c r="AH84" s="142">
        <v>1.90040096779699</v>
      </c>
      <c r="AI84" s="142">
        <v>10.5385764011132</v>
      </c>
      <c r="AJ84" s="142"/>
      <c r="AK84" s="142">
        <v>-4.5523914756669903</v>
      </c>
      <c r="AL84" s="142">
        <v>152.90523734865101</v>
      </c>
      <c r="AM84" s="142">
        <v>5.8732188000145999</v>
      </c>
      <c r="AN84" s="142">
        <v>4.7416640929696197</v>
      </c>
      <c r="AO84" s="142"/>
      <c r="AP84" s="142"/>
      <c r="AQ84" s="143">
        <v>4.0272930162184704</v>
      </c>
    </row>
    <row r="85" spans="2:43" ht="12" customHeight="1" x14ac:dyDescent="0.25">
      <c r="B85" s="141" t="s">
        <v>46</v>
      </c>
      <c r="C85" s="142" t="s">
        <v>37</v>
      </c>
      <c r="D85" s="142" t="s">
        <v>47</v>
      </c>
      <c r="E85" s="142" t="s">
        <v>104</v>
      </c>
      <c r="F85" s="142" t="s">
        <v>25</v>
      </c>
      <c r="G85" s="142" t="s">
        <v>36</v>
      </c>
      <c r="H85" s="142" t="s">
        <v>88</v>
      </c>
      <c r="I85" s="142" t="s">
        <v>25</v>
      </c>
      <c r="J85" s="142">
        <v>162.6</v>
      </c>
      <c r="K85" s="142">
        <v>175.43</v>
      </c>
      <c r="L85" s="142"/>
      <c r="M85" s="142">
        <v>0.29984391750236</v>
      </c>
      <c r="N85" s="142">
        <v>1.32528928271638</v>
      </c>
      <c r="O85" s="142"/>
      <c r="P85" s="142"/>
      <c r="Q85" s="142">
        <v>50.441097576481603</v>
      </c>
      <c r="R85" s="142">
        <v>5.3024719081267904</v>
      </c>
      <c r="S85" s="142"/>
      <c r="T85" s="142">
        <v>19.942711814299098</v>
      </c>
      <c r="U85" s="142">
        <v>5.3602007177072002</v>
      </c>
      <c r="V85" s="142">
        <v>0.64793322506905404</v>
      </c>
      <c r="W85" s="142"/>
      <c r="X85" s="142"/>
      <c r="Y85" s="142"/>
      <c r="Z85" s="142"/>
      <c r="AA85" s="142">
        <v>51.596684886352897</v>
      </c>
      <c r="AB85" s="142"/>
      <c r="AC85" s="142"/>
      <c r="AD85" s="142">
        <v>16.989919725347001</v>
      </c>
      <c r="AE85" s="142">
        <v>0.63862297228860998</v>
      </c>
      <c r="AF85" s="142">
        <v>8.0027113461411794</v>
      </c>
      <c r="AG85" s="142">
        <v>2.0569644251418802</v>
      </c>
      <c r="AH85" s="142">
        <v>1.90040096779699</v>
      </c>
      <c r="AI85" s="142">
        <v>10.5385764011132</v>
      </c>
      <c r="AJ85" s="142"/>
      <c r="AK85" s="142">
        <v>-4.5523914756669903</v>
      </c>
      <c r="AL85" s="142">
        <v>152.90523734865101</v>
      </c>
      <c r="AM85" s="142">
        <v>5.8732188000145999</v>
      </c>
      <c r="AN85" s="142">
        <v>4.7416640929696197</v>
      </c>
      <c r="AO85" s="142"/>
      <c r="AP85" s="142"/>
      <c r="AQ85" s="143">
        <v>4.0272930162184704</v>
      </c>
    </row>
    <row r="86" spans="2:43" ht="12" customHeight="1" x14ac:dyDescent="0.25">
      <c r="B86" s="141" t="s">
        <v>46</v>
      </c>
      <c r="C86" s="142" t="s">
        <v>23</v>
      </c>
      <c r="D86" s="142" t="s">
        <v>47</v>
      </c>
      <c r="E86" s="142" t="s">
        <v>103</v>
      </c>
      <c r="F86" s="142" t="s">
        <v>25</v>
      </c>
      <c r="G86" s="142" t="s">
        <v>25</v>
      </c>
      <c r="H86" s="142" t="s">
        <v>88</v>
      </c>
      <c r="I86" s="142" t="s">
        <v>25</v>
      </c>
      <c r="J86" s="142">
        <v>222.94</v>
      </c>
      <c r="K86" s="142">
        <v>199.18</v>
      </c>
      <c r="L86" s="142"/>
      <c r="M86" s="142">
        <v>0.32351580572623001</v>
      </c>
      <c r="N86" s="142">
        <v>1.8618495774636299</v>
      </c>
      <c r="O86" s="142"/>
      <c r="P86" s="142"/>
      <c r="Q86" s="142">
        <v>54.423289490414398</v>
      </c>
      <c r="R86" s="142">
        <v>5.7210881113999497</v>
      </c>
      <c r="S86" s="142"/>
      <c r="T86" s="142">
        <v>33.620257727766699</v>
      </c>
      <c r="U86" s="142">
        <v>9.0365225915294101</v>
      </c>
      <c r="V86" s="142">
        <v>1.0921067043767601</v>
      </c>
      <c r="W86" s="142"/>
      <c r="X86" s="142"/>
      <c r="Y86" s="142"/>
      <c r="Z86" s="142"/>
      <c r="AA86" s="142">
        <v>86.984631079016793</v>
      </c>
      <c r="AB86" s="142"/>
      <c r="AC86" s="142"/>
      <c r="AD86" s="142">
        <v>18.331229177348099</v>
      </c>
      <c r="AE86" s="142">
        <v>0.68904057536402596</v>
      </c>
      <c r="AF86" s="142">
        <v>8.6345043471523208</v>
      </c>
      <c r="AG86" s="142">
        <v>2.21935635344256</v>
      </c>
      <c r="AH86" s="142">
        <v>2.0504326231493799</v>
      </c>
      <c r="AI86" s="142">
        <v>11.3705692748853</v>
      </c>
      <c r="AJ86" s="142"/>
      <c r="AK86" s="142">
        <v>-4.9117908026933401</v>
      </c>
      <c r="AL86" s="142">
        <v>174.875305662431</v>
      </c>
      <c r="AM86" s="142">
        <v>6.3368939684368097</v>
      </c>
      <c r="AN86" s="142">
        <v>5.1160059950461703</v>
      </c>
      <c r="AO86" s="142"/>
      <c r="AP86" s="142"/>
      <c r="AQ86" s="143">
        <v>4.3452372017094003</v>
      </c>
    </row>
    <row r="87" spans="2:43" ht="12" customHeight="1" x14ac:dyDescent="0.25">
      <c r="B87" s="141" t="s">
        <v>46</v>
      </c>
      <c r="C87" s="142" t="s">
        <v>23</v>
      </c>
      <c r="D87" s="142" t="s">
        <v>47</v>
      </c>
      <c r="E87" s="142" t="s">
        <v>25</v>
      </c>
      <c r="F87" s="142" t="s">
        <v>25</v>
      </c>
      <c r="G87" s="142" t="s">
        <v>25</v>
      </c>
      <c r="H87" s="142" t="s">
        <v>88</v>
      </c>
      <c r="I87" s="142" t="s">
        <v>25</v>
      </c>
      <c r="J87" s="142">
        <v>222.94</v>
      </c>
      <c r="K87" s="142">
        <v>199.18</v>
      </c>
      <c r="L87" s="142"/>
      <c r="M87" s="142">
        <v>0.32351580572623001</v>
      </c>
      <c r="N87" s="142">
        <v>1.8618495774636299</v>
      </c>
      <c r="O87" s="142"/>
      <c r="P87" s="142"/>
      <c r="Q87" s="142">
        <v>54.423289490414398</v>
      </c>
      <c r="R87" s="142">
        <v>5.7210881113999497</v>
      </c>
      <c r="S87" s="142"/>
      <c r="T87" s="142">
        <v>33.620257727766699</v>
      </c>
      <c r="U87" s="142">
        <v>9.0365225915294101</v>
      </c>
      <c r="V87" s="142">
        <v>1.0921067043767601</v>
      </c>
      <c r="W87" s="142"/>
      <c r="X87" s="142"/>
      <c r="Y87" s="142"/>
      <c r="Z87" s="142"/>
      <c r="AA87" s="142">
        <v>86.984631079016793</v>
      </c>
      <c r="AB87" s="142"/>
      <c r="AC87" s="142"/>
      <c r="AD87" s="142">
        <v>18.331229177348099</v>
      </c>
      <c r="AE87" s="142">
        <v>0.68904057536402596</v>
      </c>
      <c r="AF87" s="142">
        <v>8.6345043471523208</v>
      </c>
      <c r="AG87" s="142">
        <v>2.21935635344256</v>
      </c>
      <c r="AH87" s="142">
        <v>2.0504326231493799</v>
      </c>
      <c r="AI87" s="142">
        <v>11.3705692748853</v>
      </c>
      <c r="AJ87" s="142"/>
      <c r="AK87" s="142">
        <v>-4.9117908026933401</v>
      </c>
      <c r="AL87" s="142">
        <v>174.875305662431</v>
      </c>
      <c r="AM87" s="142">
        <v>6.3368939684368097</v>
      </c>
      <c r="AN87" s="142">
        <v>5.1160059950461703</v>
      </c>
      <c r="AO87" s="142"/>
      <c r="AP87" s="142"/>
      <c r="AQ87" s="143">
        <v>4.3452372017094003</v>
      </c>
    </row>
    <row r="88" spans="2:43" ht="12" customHeight="1" x14ac:dyDescent="0.25">
      <c r="B88" s="141" t="s">
        <v>46</v>
      </c>
      <c r="C88" s="142" t="s">
        <v>23</v>
      </c>
      <c r="D88" s="142" t="s">
        <v>47</v>
      </c>
      <c r="E88" s="142" t="s">
        <v>104</v>
      </c>
      <c r="F88" s="142" t="s">
        <v>25</v>
      </c>
      <c r="G88" s="142" t="s">
        <v>25</v>
      </c>
      <c r="H88" s="142" t="s">
        <v>88</v>
      </c>
      <c r="I88" s="142" t="s">
        <v>25</v>
      </c>
      <c r="J88" s="142">
        <v>206.62</v>
      </c>
      <c r="K88" s="142">
        <v>184.61</v>
      </c>
      <c r="L88" s="142"/>
      <c r="M88" s="142">
        <v>0.29984391750236</v>
      </c>
      <c r="N88" s="142">
        <v>1.72561668155166</v>
      </c>
      <c r="O88" s="142"/>
      <c r="P88" s="142"/>
      <c r="Q88" s="142">
        <v>50.441097576481603</v>
      </c>
      <c r="R88" s="142">
        <v>5.3024719081267904</v>
      </c>
      <c r="S88" s="142"/>
      <c r="T88" s="142">
        <v>31.1602388696374</v>
      </c>
      <c r="U88" s="142">
        <v>8.3753136214175008</v>
      </c>
      <c r="V88" s="142">
        <v>1.01219645771504</v>
      </c>
      <c r="W88" s="142"/>
      <c r="X88" s="142"/>
      <c r="Y88" s="142"/>
      <c r="Z88" s="142"/>
      <c r="AA88" s="142">
        <v>80.619901975674097</v>
      </c>
      <c r="AB88" s="142"/>
      <c r="AC88" s="142"/>
      <c r="AD88" s="142">
        <v>16.989919725347001</v>
      </c>
      <c r="AE88" s="142">
        <v>0.63862297228860998</v>
      </c>
      <c r="AF88" s="142">
        <v>8.0027113461411794</v>
      </c>
      <c r="AG88" s="142">
        <v>2.0569644251418802</v>
      </c>
      <c r="AH88" s="142">
        <v>1.90040096779699</v>
      </c>
      <c r="AI88" s="142">
        <v>10.5385764011132</v>
      </c>
      <c r="AJ88" s="142"/>
      <c r="AK88" s="142">
        <v>-4.5523914756669903</v>
      </c>
      <c r="AL88" s="142">
        <v>162.07955158957</v>
      </c>
      <c r="AM88" s="142">
        <v>5.8732188000145999</v>
      </c>
      <c r="AN88" s="142">
        <v>4.7416640929696197</v>
      </c>
      <c r="AO88" s="142"/>
      <c r="AP88" s="142"/>
      <c r="AQ88" s="143">
        <v>4.0272930162184704</v>
      </c>
    </row>
    <row r="89" spans="2:43" ht="12" customHeight="1" x14ac:dyDescent="0.25">
      <c r="B89" s="141" t="s">
        <v>46</v>
      </c>
      <c r="C89" s="142" t="s">
        <v>102</v>
      </c>
      <c r="D89" s="142" t="s">
        <v>47</v>
      </c>
      <c r="E89" s="142" t="s">
        <v>103</v>
      </c>
      <c r="F89" s="142" t="s">
        <v>25</v>
      </c>
      <c r="G89" s="142" t="s">
        <v>25</v>
      </c>
      <c r="H89" s="142" t="s">
        <v>88</v>
      </c>
      <c r="I89" s="142" t="s">
        <v>25</v>
      </c>
      <c r="J89" s="142">
        <v>222.94</v>
      </c>
      <c r="K89" s="142">
        <v>199.18</v>
      </c>
      <c r="L89" s="142"/>
      <c r="M89" s="142">
        <v>0.32351580572623001</v>
      </c>
      <c r="N89" s="142">
        <v>1.8618495774636299</v>
      </c>
      <c r="O89" s="142"/>
      <c r="P89" s="142"/>
      <c r="Q89" s="142">
        <v>54.423289490414398</v>
      </c>
      <c r="R89" s="142">
        <v>5.7210881113999497</v>
      </c>
      <c r="S89" s="142"/>
      <c r="T89" s="142">
        <v>33.620257727766699</v>
      </c>
      <c r="U89" s="142">
        <v>9.0365225915294101</v>
      </c>
      <c r="V89" s="142">
        <v>1.0921067043767601</v>
      </c>
      <c r="W89" s="142"/>
      <c r="X89" s="142"/>
      <c r="Y89" s="142"/>
      <c r="Z89" s="142"/>
      <c r="AA89" s="142">
        <v>86.984631079016793</v>
      </c>
      <c r="AB89" s="142"/>
      <c r="AC89" s="142"/>
      <c r="AD89" s="142">
        <v>18.331229177348099</v>
      </c>
      <c r="AE89" s="142">
        <v>0.68904057536402596</v>
      </c>
      <c r="AF89" s="142">
        <v>8.6345043471523208</v>
      </c>
      <c r="AG89" s="142">
        <v>2.21935635344256</v>
      </c>
      <c r="AH89" s="142">
        <v>2.0504326231493799</v>
      </c>
      <c r="AI89" s="142">
        <v>11.3705692748853</v>
      </c>
      <c r="AJ89" s="142"/>
      <c r="AK89" s="142">
        <v>-4.9117908026933401</v>
      </c>
      <c r="AL89" s="142">
        <v>174.875305662431</v>
      </c>
      <c r="AM89" s="142">
        <v>6.3368939684368097</v>
      </c>
      <c r="AN89" s="142">
        <v>5.1160059950461703</v>
      </c>
      <c r="AO89" s="142"/>
      <c r="AP89" s="142"/>
      <c r="AQ89" s="143">
        <v>4.3452372017094003</v>
      </c>
    </row>
    <row r="90" spans="2:43" ht="12" customHeight="1" x14ac:dyDescent="0.25">
      <c r="B90" s="141" t="s">
        <v>46</v>
      </c>
      <c r="C90" s="142" t="s">
        <v>102</v>
      </c>
      <c r="D90" s="142" t="s">
        <v>47</v>
      </c>
      <c r="E90" s="142" t="s">
        <v>25</v>
      </c>
      <c r="F90" s="142" t="s">
        <v>25</v>
      </c>
      <c r="G90" s="142" t="s">
        <v>25</v>
      </c>
      <c r="H90" s="142" t="s">
        <v>88</v>
      </c>
      <c r="I90" s="142" t="s">
        <v>25</v>
      </c>
      <c r="J90" s="142">
        <v>222.94</v>
      </c>
      <c r="K90" s="142">
        <v>199.18</v>
      </c>
      <c r="L90" s="142"/>
      <c r="M90" s="142">
        <v>0.32351580572623001</v>
      </c>
      <c r="N90" s="142">
        <v>1.8618495774636299</v>
      </c>
      <c r="O90" s="142"/>
      <c r="P90" s="142"/>
      <c r="Q90" s="142">
        <v>54.423289490414398</v>
      </c>
      <c r="R90" s="142">
        <v>5.7210881113999497</v>
      </c>
      <c r="S90" s="142"/>
      <c r="T90" s="142">
        <v>33.620257727766699</v>
      </c>
      <c r="U90" s="142">
        <v>9.0365225915294101</v>
      </c>
      <c r="V90" s="142">
        <v>1.0921067043767601</v>
      </c>
      <c r="W90" s="142"/>
      <c r="X90" s="142"/>
      <c r="Y90" s="142"/>
      <c r="Z90" s="142"/>
      <c r="AA90" s="142">
        <v>86.984631079016793</v>
      </c>
      <c r="AB90" s="142"/>
      <c r="AC90" s="142"/>
      <c r="AD90" s="142">
        <v>18.331229177348099</v>
      </c>
      <c r="AE90" s="142">
        <v>0.68904057536402596</v>
      </c>
      <c r="AF90" s="142">
        <v>8.6345043471523208</v>
      </c>
      <c r="AG90" s="142">
        <v>2.21935635344256</v>
      </c>
      <c r="AH90" s="142">
        <v>2.0504326231493799</v>
      </c>
      <c r="AI90" s="142">
        <v>11.3705692748853</v>
      </c>
      <c r="AJ90" s="142"/>
      <c r="AK90" s="142">
        <v>-4.9117908026933401</v>
      </c>
      <c r="AL90" s="142">
        <v>174.875305662431</v>
      </c>
      <c r="AM90" s="142">
        <v>6.3368939684368097</v>
      </c>
      <c r="AN90" s="142">
        <v>5.1160059950461703</v>
      </c>
      <c r="AO90" s="142"/>
      <c r="AP90" s="142"/>
      <c r="AQ90" s="143">
        <v>4.3452372017094003</v>
      </c>
    </row>
    <row r="91" spans="2:43" ht="12" customHeight="1" x14ac:dyDescent="0.25">
      <c r="B91" s="141" t="s">
        <v>46</v>
      </c>
      <c r="C91" s="142" t="s">
        <v>102</v>
      </c>
      <c r="D91" s="142" t="s">
        <v>47</v>
      </c>
      <c r="E91" s="142" t="s">
        <v>104</v>
      </c>
      <c r="F91" s="142" t="s">
        <v>25</v>
      </c>
      <c r="G91" s="142" t="s">
        <v>25</v>
      </c>
      <c r="H91" s="142" t="s">
        <v>88</v>
      </c>
      <c r="I91" s="142" t="s">
        <v>25</v>
      </c>
      <c r="J91" s="142">
        <v>206.62</v>
      </c>
      <c r="K91" s="142">
        <v>184.61</v>
      </c>
      <c r="L91" s="142"/>
      <c r="M91" s="142">
        <v>0.29984391750236</v>
      </c>
      <c r="N91" s="142">
        <v>1.72561668155166</v>
      </c>
      <c r="O91" s="142"/>
      <c r="P91" s="142"/>
      <c r="Q91" s="142">
        <v>50.441097576481603</v>
      </c>
      <c r="R91" s="142">
        <v>5.3024719081267904</v>
      </c>
      <c r="S91" s="142"/>
      <c r="T91" s="142">
        <v>31.1602388696374</v>
      </c>
      <c r="U91" s="142">
        <v>8.3753136214175008</v>
      </c>
      <c r="V91" s="142">
        <v>1.01219645771504</v>
      </c>
      <c r="W91" s="142"/>
      <c r="X91" s="142"/>
      <c r="Y91" s="142"/>
      <c r="Z91" s="142"/>
      <c r="AA91" s="142">
        <v>80.619901975674097</v>
      </c>
      <c r="AB91" s="142"/>
      <c r="AC91" s="142"/>
      <c r="AD91" s="142">
        <v>16.989919725347001</v>
      </c>
      <c r="AE91" s="142">
        <v>0.63862297228860998</v>
      </c>
      <c r="AF91" s="142">
        <v>8.0027113461411794</v>
      </c>
      <c r="AG91" s="142">
        <v>2.0569644251418802</v>
      </c>
      <c r="AH91" s="142">
        <v>1.90040096779699</v>
      </c>
      <c r="AI91" s="142">
        <v>10.5385764011132</v>
      </c>
      <c r="AJ91" s="142"/>
      <c r="AK91" s="142">
        <v>-4.5523914756669903</v>
      </c>
      <c r="AL91" s="142">
        <v>162.07955158957</v>
      </c>
      <c r="AM91" s="142">
        <v>5.8732188000145999</v>
      </c>
      <c r="AN91" s="142">
        <v>4.7416640929696197</v>
      </c>
      <c r="AO91" s="142"/>
      <c r="AP91" s="142"/>
      <c r="AQ91" s="143">
        <v>4.0272930162184704</v>
      </c>
    </row>
    <row r="92" spans="2:43" ht="12" customHeight="1" x14ac:dyDescent="0.25">
      <c r="B92" s="141" t="s">
        <v>39</v>
      </c>
      <c r="C92" s="142" t="s">
        <v>37</v>
      </c>
      <c r="D92" s="142" t="s">
        <v>25</v>
      </c>
      <c r="E92" s="142" t="s">
        <v>25</v>
      </c>
      <c r="F92" s="142" t="s">
        <v>25</v>
      </c>
      <c r="G92" s="142" t="s">
        <v>35</v>
      </c>
      <c r="H92" s="142" t="s">
        <v>88</v>
      </c>
      <c r="I92" s="142" t="s">
        <v>25</v>
      </c>
      <c r="J92" s="142">
        <v>625.84</v>
      </c>
      <c r="K92" s="142">
        <v>375.69</v>
      </c>
      <c r="L92" s="142"/>
      <c r="M92" s="142">
        <v>0.39453147039784198</v>
      </c>
      <c r="N92" s="142">
        <v>5.4895551271791403</v>
      </c>
      <c r="O92" s="142"/>
      <c r="P92" s="142"/>
      <c r="Q92" s="142">
        <v>66.369865232212703</v>
      </c>
      <c r="R92" s="142">
        <v>6.9769367212194604</v>
      </c>
      <c r="S92" s="142"/>
      <c r="T92" s="142">
        <v>131.20139788300699</v>
      </c>
      <c r="U92" s="142">
        <v>35.263992401580197</v>
      </c>
      <c r="V92" s="142">
        <v>4.26271858598062</v>
      </c>
      <c r="W92" s="142"/>
      <c r="X92" s="142"/>
      <c r="Y92" s="142"/>
      <c r="Z92" s="142"/>
      <c r="AA92" s="142">
        <v>339.45210398073601</v>
      </c>
      <c r="AB92" s="142"/>
      <c r="AC92" s="142"/>
      <c r="AD92" s="142">
        <v>22.355157533351299</v>
      </c>
      <c r="AE92" s="142">
        <v>0.84029338459027603</v>
      </c>
      <c r="AF92" s="142">
        <v>10.5298833501858</v>
      </c>
      <c r="AG92" s="142">
        <v>2.70653213834458</v>
      </c>
      <c r="AH92" s="142">
        <v>2.5005275892065599</v>
      </c>
      <c r="AI92" s="142">
        <v>13.866547896201601</v>
      </c>
      <c r="AJ92" s="142"/>
      <c r="AK92" s="142">
        <v>-5.9899887837723602</v>
      </c>
      <c r="AL92" s="142">
        <v>346.04869505221001</v>
      </c>
      <c r="AM92" s="142">
        <v>7.7279194737034196</v>
      </c>
      <c r="AN92" s="142">
        <v>6.2390317012758096</v>
      </c>
      <c r="AO92" s="142"/>
      <c r="AP92" s="142"/>
      <c r="AQ92" s="143">
        <v>5.2990697581821902</v>
      </c>
    </row>
    <row r="93" spans="2:43" ht="12" customHeight="1" x14ac:dyDescent="0.25">
      <c r="B93" s="141" t="s">
        <v>39</v>
      </c>
      <c r="C93" s="142" t="s">
        <v>37</v>
      </c>
      <c r="D93" s="142" t="s">
        <v>25</v>
      </c>
      <c r="E93" s="142" t="s">
        <v>25</v>
      </c>
      <c r="F93" s="142" t="s">
        <v>25</v>
      </c>
      <c r="G93" s="142" t="s">
        <v>38</v>
      </c>
      <c r="H93" s="142" t="s">
        <v>88</v>
      </c>
      <c r="I93" s="142" t="s">
        <v>25</v>
      </c>
      <c r="J93" s="142">
        <v>419.9</v>
      </c>
      <c r="K93" s="142">
        <v>230.83</v>
      </c>
      <c r="L93" s="142"/>
      <c r="M93" s="142">
        <v>0.39453147039784198</v>
      </c>
      <c r="N93" s="142">
        <v>3.6166769604316</v>
      </c>
      <c r="O93" s="142"/>
      <c r="P93" s="142"/>
      <c r="Q93" s="142">
        <v>66.369865232212703</v>
      </c>
      <c r="R93" s="142">
        <v>6.9769367212194604</v>
      </c>
      <c r="S93" s="142"/>
      <c r="T93" s="142">
        <v>78.7205773190624</v>
      </c>
      <c r="U93" s="142">
        <v>21.1582010391929</v>
      </c>
      <c r="V93" s="142">
        <v>2.5576311515883701</v>
      </c>
      <c r="W93" s="142"/>
      <c r="X93" s="142"/>
      <c r="Y93" s="142"/>
      <c r="Z93" s="142"/>
      <c r="AA93" s="142">
        <v>203.67123941560001</v>
      </c>
      <c r="AB93" s="142"/>
      <c r="AC93" s="142"/>
      <c r="AD93" s="142">
        <v>22.355157533351299</v>
      </c>
      <c r="AE93" s="142">
        <v>0.84029338459027603</v>
      </c>
      <c r="AF93" s="142">
        <v>10.5298833501858</v>
      </c>
      <c r="AG93" s="142">
        <v>2.70653213834458</v>
      </c>
      <c r="AH93" s="142">
        <v>2.5005275892065599</v>
      </c>
      <c r="AI93" s="142">
        <v>13.866547896201601</v>
      </c>
      <c r="AJ93" s="142"/>
      <c r="AK93" s="142">
        <v>-5.9899887837723602</v>
      </c>
      <c r="AL93" s="142">
        <v>201.19110177454101</v>
      </c>
      <c r="AM93" s="142">
        <v>7.7279194737034196</v>
      </c>
      <c r="AN93" s="142">
        <v>6.2390317012758096</v>
      </c>
      <c r="AO93" s="142"/>
      <c r="AP93" s="142"/>
      <c r="AQ93" s="143">
        <v>5.2990697581821902</v>
      </c>
    </row>
    <row r="94" spans="2:43" ht="12" customHeight="1" x14ac:dyDescent="0.25">
      <c r="B94" s="141" t="s">
        <v>39</v>
      </c>
      <c r="C94" s="142" t="s">
        <v>37</v>
      </c>
      <c r="D94" s="142" t="s">
        <v>25</v>
      </c>
      <c r="E94" s="142" t="s">
        <v>25</v>
      </c>
      <c r="F94" s="142" t="s">
        <v>25</v>
      </c>
      <c r="G94" s="142" t="s">
        <v>36</v>
      </c>
      <c r="H94" s="142" t="s">
        <v>88</v>
      </c>
      <c r="I94" s="142" t="s">
        <v>25</v>
      </c>
      <c r="J94" s="142">
        <v>213.95</v>
      </c>
      <c r="K94" s="142">
        <v>230.83</v>
      </c>
      <c r="L94" s="142"/>
      <c r="M94" s="142">
        <v>0.39453147039784198</v>
      </c>
      <c r="N94" s="142">
        <v>1.74380168778471</v>
      </c>
      <c r="O94" s="142"/>
      <c r="P94" s="142"/>
      <c r="Q94" s="142">
        <v>66.369865232212703</v>
      </c>
      <c r="R94" s="142">
        <v>6.9769367212194604</v>
      </c>
      <c r="S94" s="142"/>
      <c r="T94" s="142">
        <v>26.240410281972501</v>
      </c>
      <c r="U94" s="142">
        <v>7.0528956811936796</v>
      </c>
      <c r="V94" s="142">
        <v>0.85254371719612398</v>
      </c>
      <c r="W94" s="142"/>
      <c r="X94" s="142"/>
      <c r="Y94" s="142"/>
      <c r="Z94" s="142"/>
      <c r="AA94" s="142">
        <v>67.890374850464298</v>
      </c>
      <c r="AB94" s="142"/>
      <c r="AC94" s="142"/>
      <c r="AD94" s="142">
        <v>22.355157533351299</v>
      </c>
      <c r="AE94" s="142">
        <v>0.84029338459027603</v>
      </c>
      <c r="AF94" s="142">
        <v>10.5298833501858</v>
      </c>
      <c r="AG94" s="142">
        <v>2.70653213834458</v>
      </c>
      <c r="AH94" s="142">
        <v>2.5005275892065599</v>
      </c>
      <c r="AI94" s="142">
        <v>13.866547896201601</v>
      </c>
      <c r="AJ94" s="142"/>
      <c r="AK94" s="142">
        <v>-5.9899887837723602</v>
      </c>
      <c r="AL94" s="142">
        <v>201.19110177454101</v>
      </c>
      <c r="AM94" s="142">
        <v>7.7279194737034196</v>
      </c>
      <c r="AN94" s="142">
        <v>6.2390317012758096</v>
      </c>
      <c r="AO94" s="142"/>
      <c r="AP94" s="142"/>
      <c r="AQ94" s="143">
        <v>5.2990697581821902</v>
      </c>
    </row>
    <row r="95" spans="2:43" ht="12" customHeight="1" x14ac:dyDescent="0.25">
      <c r="B95" s="141" t="s">
        <v>39</v>
      </c>
      <c r="C95" s="142" t="s">
        <v>23</v>
      </c>
      <c r="D95" s="142" t="s">
        <v>25</v>
      </c>
      <c r="E95" s="142" t="s">
        <v>25</v>
      </c>
      <c r="F95" s="142" t="s">
        <v>25</v>
      </c>
      <c r="G95" s="142" t="s">
        <v>25</v>
      </c>
      <c r="H95" s="142" t="s">
        <v>88</v>
      </c>
      <c r="I95" s="142" t="s">
        <v>25</v>
      </c>
      <c r="J95" s="142">
        <v>271.87</v>
      </c>
      <c r="K95" s="142">
        <v>242.91</v>
      </c>
      <c r="L95" s="142"/>
      <c r="M95" s="142">
        <v>0.39453147039784198</v>
      </c>
      <c r="N95" s="142">
        <v>2.2705482651995501</v>
      </c>
      <c r="O95" s="142"/>
      <c r="P95" s="142"/>
      <c r="Q95" s="142">
        <v>66.369865232212703</v>
      </c>
      <c r="R95" s="142">
        <v>6.9769367212194604</v>
      </c>
      <c r="S95" s="142"/>
      <c r="T95" s="142">
        <v>41.0003143021545</v>
      </c>
      <c r="U95" s="142">
        <v>11.020149501865101</v>
      </c>
      <c r="V95" s="142">
        <v>1.3318374443619001</v>
      </c>
      <c r="W95" s="142"/>
      <c r="X95" s="142"/>
      <c r="Y95" s="142"/>
      <c r="Z95" s="142"/>
      <c r="AA95" s="142">
        <v>106.078818389045</v>
      </c>
      <c r="AB95" s="142"/>
      <c r="AC95" s="142"/>
      <c r="AD95" s="142">
        <v>22.355157533351299</v>
      </c>
      <c r="AE95" s="142">
        <v>0.84029338459027603</v>
      </c>
      <c r="AF95" s="142">
        <v>10.5298833501858</v>
      </c>
      <c r="AG95" s="142">
        <v>2.70653213834458</v>
      </c>
      <c r="AH95" s="142">
        <v>2.5005275892065599</v>
      </c>
      <c r="AI95" s="142">
        <v>13.866547896201601</v>
      </c>
      <c r="AJ95" s="142"/>
      <c r="AK95" s="142">
        <v>-5.9899887837723602</v>
      </c>
      <c r="AL95" s="142">
        <v>213.26256788101301</v>
      </c>
      <c r="AM95" s="142">
        <v>7.7279194737034196</v>
      </c>
      <c r="AN95" s="142">
        <v>6.2390317012758096</v>
      </c>
      <c r="AO95" s="142"/>
      <c r="AP95" s="142"/>
      <c r="AQ95" s="143">
        <v>5.2990697581821902</v>
      </c>
    </row>
    <row r="96" spans="2:43" ht="12" customHeight="1" x14ac:dyDescent="0.25">
      <c r="B96" s="141" t="s">
        <v>39</v>
      </c>
      <c r="C96" s="142" t="s">
        <v>102</v>
      </c>
      <c r="D96" s="142" t="s">
        <v>25</v>
      </c>
      <c r="E96" s="142" t="s">
        <v>25</v>
      </c>
      <c r="F96" s="142" t="s">
        <v>25</v>
      </c>
      <c r="G96" s="142" t="s">
        <v>25</v>
      </c>
      <c r="H96" s="142" t="s">
        <v>88</v>
      </c>
      <c r="I96" s="142" t="s">
        <v>25</v>
      </c>
      <c r="J96" s="142">
        <v>271.87</v>
      </c>
      <c r="K96" s="142">
        <v>242.91</v>
      </c>
      <c r="L96" s="142"/>
      <c r="M96" s="142">
        <v>0.39453147039784198</v>
      </c>
      <c r="N96" s="142">
        <v>2.2705482651995501</v>
      </c>
      <c r="O96" s="142"/>
      <c r="P96" s="142"/>
      <c r="Q96" s="142">
        <v>66.369865232212703</v>
      </c>
      <c r="R96" s="142">
        <v>6.9769367212194604</v>
      </c>
      <c r="S96" s="142"/>
      <c r="T96" s="142">
        <v>41.0003143021545</v>
      </c>
      <c r="U96" s="142">
        <v>11.020149501865101</v>
      </c>
      <c r="V96" s="142">
        <v>1.3318374443619001</v>
      </c>
      <c r="W96" s="142"/>
      <c r="X96" s="142"/>
      <c r="Y96" s="142"/>
      <c r="Z96" s="142"/>
      <c r="AA96" s="142">
        <v>106.078818389045</v>
      </c>
      <c r="AB96" s="142"/>
      <c r="AC96" s="142"/>
      <c r="AD96" s="142">
        <v>22.355157533351299</v>
      </c>
      <c r="AE96" s="142">
        <v>0.84029338459027603</v>
      </c>
      <c r="AF96" s="142">
        <v>10.5298833501858</v>
      </c>
      <c r="AG96" s="142">
        <v>2.70653213834458</v>
      </c>
      <c r="AH96" s="142">
        <v>2.5005275892065599</v>
      </c>
      <c r="AI96" s="142">
        <v>13.866547896201601</v>
      </c>
      <c r="AJ96" s="142"/>
      <c r="AK96" s="142">
        <v>-5.9899887837723602</v>
      </c>
      <c r="AL96" s="142">
        <v>213.26256788101301</v>
      </c>
      <c r="AM96" s="142">
        <v>7.7279194737034196</v>
      </c>
      <c r="AN96" s="142">
        <v>6.2390317012758096</v>
      </c>
      <c r="AO96" s="142"/>
      <c r="AP96" s="142"/>
      <c r="AQ96" s="143">
        <v>5.2990697581821902</v>
      </c>
    </row>
    <row r="97" spans="2:43" ht="12" customHeight="1" x14ac:dyDescent="0.25">
      <c r="B97" s="141" t="s">
        <v>49</v>
      </c>
      <c r="C97" s="142" t="s">
        <v>23</v>
      </c>
      <c r="D97" s="142" t="s">
        <v>50</v>
      </c>
      <c r="E97" s="142" t="s">
        <v>51</v>
      </c>
      <c r="F97" s="142" t="s">
        <v>25</v>
      </c>
      <c r="G97" s="142" t="s">
        <v>25</v>
      </c>
      <c r="H97" s="142" t="s">
        <v>88</v>
      </c>
      <c r="I97" s="142" t="s">
        <v>25</v>
      </c>
      <c r="J97" s="142">
        <v>149.53</v>
      </c>
      <c r="K97" s="142">
        <v>133.6</v>
      </c>
      <c r="L97" s="142"/>
      <c r="M97" s="142">
        <v>0.216992308718813</v>
      </c>
      <c r="N97" s="142">
        <v>1.2488015458597601</v>
      </c>
      <c r="O97" s="142"/>
      <c r="P97" s="142"/>
      <c r="Q97" s="142">
        <v>36.503425877717</v>
      </c>
      <c r="R97" s="142">
        <v>3.8373151966707</v>
      </c>
      <c r="S97" s="142"/>
      <c r="T97" s="142">
        <v>22.550172866185001</v>
      </c>
      <c r="U97" s="142">
        <v>6.0610822260258201</v>
      </c>
      <c r="V97" s="142">
        <v>0.73251059439904498</v>
      </c>
      <c r="W97" s="142"/>
      <c r="X97" s="142"/>
      <c r="Y97" s="142"/>
      <c r="Z97" s="142"/>
      <c r="AA97" s="142">
        <v>58.343350113974701</v>
      </c>
      <c r="AB97" s="142"/>
      <c r="AC97" s="142"/>
      <c r="AD97" s="142">
        <v>12.2953366433432</v>
      </c>
      <c r="AE97" s="142">
        <v>0.46216136152465198</v>
      </c>
      <c r="AF97" s="142">
        <v>5.7914358426021701</v>
      </c>
      <c r="AG97" s="142">
        <v>1.4885926760895201</v>
      </c>
      <c r="AH97" s="142">
        <v>1.3752901740636101</v>
      </c>
      <c r="AI97" s="142">
        <v>7.6266013429108801</v>
      </c>
      <c r="AJ97" s="142"/>
      <c r="AK97" s="142">
        <v>-3.2944938310748002</v>
      </c>
      <c r="AL97" s="142">
        <v>117.29441233455699</v>
      </c>
      <c r="AM97" s="142">
        <v>4.2503557105368799</v>
      </c>
      <c r="AN97" s="142">
        <v>3.4314674357017001</v>
      </c>
      <c r="AO97" s="142"/>
      <c r="AP97" s="142"/>
      <c r="AQ97" s="143">
        <v>2.9144883670002102</v>
      </c>
    </row>
    <row r="98" spans="2:43" ht="12" customHeight="1" x14ac:dyDescent="0.25">
      <c r="B98" s="144" t="s">
        <v>49</v>
      </c>
      <c r="C98" s="145" t="s">
        <v>23</v>
      </c>
      <c r="D98" s="145" t="s">
        <v>50</v>
      </c>
      <c r="E98" s="145" t="s">
        <v>105</v>
      </c>
      <c r="F98" s="145" t="s">
        <v>25</v>
      </c>
      <c r="G98" s="145" t="s">
        <v>25</v>
      </c>
      <c r="H98" s="145" t="s">
        <v>88</v>
      </c>
      <c r="I98" s="145" t="s">
        <v>25</v>
      </c>
      <c r="J98" s="145">
        <v>163.12</v>
      </c>
      <c r="K98" s="145">
        <v>145.74</v>
      </c>
      <c r="L98" s="145"/>
      <c r="M98" s="145">
        <v>0.23671888223870499</v>
      </c>
      <c r="N98" s="145">
        <v>1.3623289591197301</v>
      </c>
      <c r="O98" s="145"/>
      <c r="P98" s="145"/>
      <c r="Q98" s="145">
        <v>39.821919139327598</v>
      </c>
      <c r="R98" s="145">
        <v>4.1861620327316702</v>
      </c>
      <c r="S98" s="145"/>
      <c r="T98" s="145">
        <v>24.600188581292699</v>
      </c>
      <c r="U98" s="145">
        <v>6.6120897011190802</v>
      </c>
      <c r="V98" s="145">
        <v>0.79910246661714002</v>
      </c>
      <c r="W98" s="145"/>
      <c r="X98" s="145"/>
      <c r="Y98" s="145"/>
      <c r="Z98" s="145"/>
      <c r="AA98" s="145">
        <v>63.647291033426903</v>
      </c>
      <c r="AB98" s="145"/>
      <c r="AC98" s="145"/>
      <c r="AD98" s="145">
        <v>13.4130945200108</v>
      </c>
      <c r="AE98" s="145">
        <v>0.50417603075416595</v>
      </c>
      <c r="AF98" s="145">
        <v>6.3179300101114597</v>
      </c>
      <c r="AG98" s="145">
        <v>1.6239192830067499</v>
      </c>
      <c r="AH98" s="145">
        <v>1.50031655352394</v>
      </c>
      <c r="AI98" s="145">
        <v>8.3199287377209608</v>
      </c>
      <c r="AJ98" s="145"/>
      <c r="AK98" s="145">
        <v>-3.5939932702634199</v>
      </c>
      <c r="AL98" s="145">
        <v>127.957540728608</v>
      </c>
      <c r="AM98" s="145">
        <v>4.63675168422205</v>
      </c>
      <c r="AN98" s="145">
        <v>3.74341902076549</v>
      </c>
      <c r="AO98" s="145"/>
      <c r="AP98" s="145"/>
      <c r="AQ98" s="146">
        <v>3.17944185490932</v>
      </c>
    </row>
  </sheetData>
  <mergeCells count="8">
    <mergeCell ref="L1:AG1"/>
    <mergeCell ref="AH1:AQ1"/>
    <mergeCell ref="L2:S2"/>
    <mergeCell ref="T2:Z2"/>
    <mergeCell ref="AB2:AC2"/>
    <mergeCell ref="AD2:AG2"/>
    <mergeCell ref="AH2:AK2"/>
    <mergeCell ref="AM2:AP2"/>
  </mergeCells>
  <phoneticPr fontId="9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E2CAC-361F-45EE-A037-49CB3EA442A4}">
  <dimension ref="B1:AQ98"/>
  <sheetViews>
    <sheetView showGridLines="0" topLeftCell="Z1" workbookViewId="0">
      <selection activeCell="AH1" sqref="AH1:AQ1"/>
    </sheetView>
  </sheetViews>
  <sheetFormatPr defaultRowHeight="15" x14ac:dyDescent="0.25"/>
  <cols>
    <col min="2" max="2" width="12.1406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0.5703125" bestFit="1" customWidth="1"/>
    <col min="9" max="9" width="16.5703125" bestFit="1" customWidth="1"/>
    <col min="10" max="10" width="12.5703125" bestFit="1" customWidth="1"/>
    <col min="11" max="11" width="9.85546875" bestFit="1" customWidth="1"/>
    <col min="12" max="12" width="12.7109375" bestFit="1" customWidth="1"/>
    <col min="13" max="13" width="14.140625" bestFit="1" customWidth="1"/>
    <col min="14" max="14" width="12.7109375" bestFit="1" customWidth="1"/>
    <col min="15" max="15" width="12.85546875" bestFit="1" customWidth="1"/>
    <col min="16" max="16" width="12.42578125" bestFit="1" customWidth="1"/>
    <col min="17" max="17" width="12.5703125" bestFit="1" customWidth="1"/>
    <col min="18" max="18" width="17.28515625" bestFit="1" customWidth="1"/>
    <col min="19" max="19" width="16.7109375" bestFit="1" customWidth="1"/>
    <col min="20" max="21" width="12.140625" bestFit="1" customWidth="1"/>
    <col min="22" max="22" width="12.425781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42578125" bestFit="1" customWidth="1"/>
    <col min="27" max="27" width="13" bestFit="1" customWidth="1"/>
    <col min="28" max="28" width="17.5703125" bestFit="1" customWidth="1"/>
    <col min="29" max="29" width="16.5703125" bestFit="1" customWidth="1"/>
    <col min="30" max="30" width="12.140625" bestFit="1" customWidth="1"/>
    <col min="31" max="31" width="17.7109375" bestFit="1" customWidth="1"/>
    <col min="32" max="32" width="12.7109375" bestFit="1" customWidth="1"/>
    <col min="33" max="34" width="12.140625" bestFit="1" customWidth="1"/>
    <col min="35" max="35" width="12.7109375" bestFit="1" customWidth="1"/>
    <col min="36" max="36" width="12.28515625" bestFit="1" customWidth="1"/>
    <col min="37" max="37" width="14.140625" bestFit="1" customWidth="1"/>
    <col min="38" max="38" width="13" bestFit="1" customWidth="1"/>
    <col min="39" max="39" width="15.5703125" bestFit="1" customWidth="1"/>
    <col min="40" max="40" width="18" bestFit="1" customWidth="1"/>
    <col min="41" max="41" width="13.42578125" bestFit="1" customWidth="1"/>
    <col min="42" max="42" width="14.7109375" bestFit="1" customWidth="1"/>
    <col min="43" max="43" width="12.7109375" bestFit="1" customWidth="1"/>
  </cols>
  <sheetData>
    <row r="1" spans="2:43" ht="12" customHeight="1" x14ac:dyDescent="0.25">
      <c r="L1" s="147" t="s">
        <v>1772</v>
      </c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8"/>
      <c r="AH1" s="147" t="s">
        <v>1773</v>
      </c>
      <c r="AI1" s="147"/>
      <c r="AJ1" s="147"/>
      <c r="AK1" s="147"/>
      <c r="AL1" s="147"/>
      <c r="AM1" s="147"/>
      <c r="AN1" s="147"/>
      <c r="AO1" s="147"/>
      <c r="AP1" s="147"/>
      <c r="AQ1" s="147"/>
    </row>
    <row r="2" spans="2:43" ht="12" customHeight="1" x14ac:dyDescent="0.25">
      <c r="L2" s="149" t="s">
        <v>956</v>
      </c>
      <c r="M2" s="149"/>
      <c r="N2" s="149"/>
      <c r="O2" s="149"/>
      <c r="P2" s="149"/>
      <c r="Q2" s="149"/>
      <c r="R2" s="149"/>
      <c r="S2" s="150"/>
      <c r="T2" s="149" t="s">
        <v>966</v>
      </c>
      <c r="U2" s="149"/>
      <c r="V2" s="149"/>
      <c r="W2" s="149"/>
      <c r="X2" s="149"/>
      <c r="Y2" s="149"/>
      <c r="Z2" s="150"/>
      <c r="AA2" s="151" t="s">
        <v>974</v>
      </c>
      <c r="AB2" s="149" t="s">
        <v>25</v>
      </c>
      <c r="AC2" s="150"/>
      <c r="AD2" s="149" t="s">
        <v>1771</v>
      </c>
      <c r="AE2" s="149"/>
      <c r="AF2" s="149"/>
      <c r="AG2" s="150"/>
      <c r="AH2" s="149" t="s">
        <v>956</v>
      </c>
      <c r="AI2" s="149"/>
      <c r="AJ2" s="149"/>
      <c r="AK2" s="150"/>
      <c r="AL2" s="151" t="s">
        <v>988</v>
      </c>
      <c r="AM2" s="149" t="s">
        <v>966</v>
      </c>
      <c r="AN2" s="149"/>
      <c r="AO2" s="149"/>
      <c r="AP2" s="150"/>
      <c r="AQ2" s="152" t="s">
        <v>956</v>
      </c>
    </row>
    <row r="3" spans="2:43" ht="12" customHeight="1" x14ac:dyDescent="0.25">
      <c r="B3" s="138" t="s">
        <v>1732</v>
      </c>
      <c r="C3" s="139" t="s">
        <v>1733</v>
      </c>
      <c r="D3" s="139" t="s">
        <v>3</v>
      </c>
      <c r="E3" s="139" t="s">
        <v>1191</v>
      </c>
      <c r="F3" s="139" t="s">
        <v>5</v>
      </c>
      <c r="G3" s="139" t="s">
        <v>7</v>
      </c>
      <c r="H3" s="139" t="s">
        <v>1734</v>
      </c>
      <c r="I3" s="139" t="s">
        <v>1735</v>
      </c>
      <c r="J3" s="139" t="s">
        <v>1736</v>
      </c>
      <c r="K3" s="139" t="s">
        <v>1737</v>
      </c>
      <c r="L3" s="139" t="s">
        <v>1738</v>
      </c>
      <c r="M3" s="139" t="s">
        <v>1739</v>
      </c>
      <c r="N3" s="139" t="s">
        <v>1740</v>
      </c>
      <c r="O3" s="139" t="s">
        <v>1741</v>
      </c>
      <c r="P3" s="139" t="s">
        <v>1742</v>
      </c>
      <c r="Q3" s="139" t="s">
        <v>1743</v>
      </c>
      <c r="R3" s="139" t="s">
        <v>1744</v>
      </c>
      <c r="S3" s="139" t="s">
        <v>1745</v>
      </c>
      <c r="T3" s="139" t="s">
        <v>1746</v>
      </c>
      <c r="U3" s="139" t="s">
        <v>1747</v>
      </c>
      <c r="V3" s="139" t="s">
        <v>1748</v>
      </c>
      <c r="W3" s="139" t="s">
        <v>1749</v>
      </c>
      <c r="X3" s="139" t="s">
        <v>1750</v>
      </c>
      <c r="Y3" s="139" t="s">
        <v>1751</v>
      </c>
      <c r="Z3" s="139" t="s">
        <v>1752</v>
      </c>
      <c r="AA3" s="139" t="s">
        <v>1753</v>
      </c>
      <c r="AB3" s="139" t="s">
        <v>1754</v>
      </c>
      <c r="AC3" s="139" t="s">
        <v>1755</v>
      </c>
      <c r="AD3" s="139" t="s">
        <v>1756</v>
      </c>
      <c r="AE3" s="139" t="s">
        <v>1757</v>
      </c>
      <c r="AF3" s="139" t="s">
        <v>1758</v>
      </c>
      <c r="AG3" s="139" t="s">
        <v>1759</v>
      </c>
      <c r="AH3" s="139" t="s">
        <v>1760</v>
      </c>
      <c r="AI3" s="139" t="s">
        <v>1761</v>
      </c>
      <c r="AJ3" s="139" t="s">
        <v>1762</v>
      </c>
      <c r="AK3" s="139" t="s">
        <v>1763</v>
      </c>
      <c r="AL3" s="139" t="s">
        <v>1764</v>
      </c>
      <c r="AM3" s="139" t="s">
        <v>1765</v>
      </c>
      <c r="AN3" s="139" t="s">
        <v>1766</v>
      </c>
      <c r="AO3" s="139" t="s">
        <v>1767</v>
      </c>
      <c r="AP3" s="139" t="s">
        <v>1768</v>
      </c>
      <c r="AQ3" s="140" t="s">
        <v>1769</v>
      </c>
    </row>
    <row r="4" spans="2:43" ht="12" customHeight="1" x14ac:dyDescent="0.25">
      <c r="B4" s="141" t="s">
        <v>43</v>
      </c>
      <c r="C4" s="142" t="s">
        <v>41</v>
      </c>
      <c r="D4" s="142" t="s">
        <v>25</v>
      </c>
      <c r="E4" s="142" t="s">
        <v>25</v>
      </c>
      <c r="F4" s="142" t="s">
        <v>61</v>
      </c>
      <c r="G4" s="142" t="s">
        <v>35</v>
      </c>
      <c r="H4" s="142" t="s">
        <v>88</v>
      </c>
      <c r="I4" s="142" t="s">
        <v>25</v>
      </c>
      <c r="J4" s="142">
        <v>9.2899999999999991</v>
      </c>
      <c r="K4" s="142"/>
      <c r="L4" s="142"/>
      <c r="M4" s="142">
        <v>3.0072424409024402E-2</v>
      </c>
      <c r="N4" s="142">
        <v>0.19127048668644001</v>
      </c>
      <c r="O4" s="142"/>
      <c r="P4" s="142"/>
      <c r="Q4" s="142"/>
      <c r="R4" s="142"/>
      <c r="S4" s="142"/>
      <c r="T4" s="142"/>
      <c r="U4" s="142"/>
      <c r="V4" s="142"/>
      <c r="W4" s="142"/>
      <c r="X4" s="142"/>
      <c r="Y4" s="142"/>
      <c r="Z4" s="142"/>
      <c r="AA4" s="142"/>
      <c r="AB4" s="142"/>
      <c r="AC4" s="142"/>
      <c r="AD4" s="142">
        <v>4.5079100029332704</v>
      </c>
      <c r="AE4" s="142">
        <v>0.16944487857631699</v>
      </c>
      <c r="AF4" s="142">
        <v>3.5663490117577301</v>
      </c>
      <c r="AG4" s="142">
        <v>0.82304281470387097</v>
      </c>
      <c r="AH4" s="142"/>
      <c r="AI4" s="142"/>
      <c r="AJ4" s="142"/>
      <c r="AK4" s="142"/>
      <c r="AL4" s="142"/>
      <c r="AM4" s="142"/>
      <c r="AN4" s="142"/>
      <c r="AO4" s="142"/>
      <c r="AP4" s="142"/>
      <c r="AQ4" s="143"/>
    </row>
    <row r="5" spans="2:43" ht="12" customHeight="1" x14ac:dyDescent="0.25">
      <c r="B5" s="141" t="s">
        <v>43</v>
      </c>
      <c r="C5" s="142" t="s">
        <v>41</v>
      </c>
      <c r="D5" s="142" t="s">
        <v>25</v>
      </c>
      <c r="E5" s="142" t="s">
        <v>25</v>
      </c>
      <c r="F5" s="142" t="s">
        <v>61</v>
      </c>
      <c r="G5" s="142" t="s">
        <v>35</v>
      </c>
      <c r="H5" s="142" t="s">
        <v>91</v>
      </c>
      <c r="I5" s="142" t="s">
        <v>25</v>
      </c>
      <c r="J5" s="142">
        <v>12.79</v>
      </c>
      <c r="K5" s="142"/>
      <c r="L5" s="142"/>
      <c r="M5" s="142"/>
      <c r="N5" s="142"/>
      <c r="O5" s="142"/>
      <c r="P5" s="142"/>
      <c r="Q5" s="142"/>
      <c r="R5" s="142"/>
      <c r="S5" s="142"/>
      <c r="T5" s="142">
        <v>7.8634946995444901</v>
      </c>
      <c r="U5" s="142">
        <v>1.7439913863760801</v>
      </c>
      <c r="V5" s="142">
        <v>0.233859281919371</v>
      </c>
      <c r="W5" s="142"/>
      <c r="X5" s="142"/>
      <c r="Y5" s="142"/>
      <c r="Z5" s="142"/>
      <c r="AA5" s="142">
        <v>2.9531587692482999</v>
      </c>
      <c r="AB5" s="142"/>
      <c r="AC5" s="142"/>
      <c r="AD5" s="142"/>
      <c r="AE5" s="142"/>
      <c r="AF5" s="142"/>
      <c r="AG5" s="142"/>
      <c r="AH5" s="142"/>
      <c r="AI5" s="142"/>
      <c r="AJ5" s="142"/>
      <c r="AK5" s="142"/>
      <c r="AL5" s="142"/>
      <c r="AM5" s="142"/>
      <c r="AN5" s="142"/>
      <c r="AO5" s="142"/>
      <c r="AP5" s="142"/>
      <c r="AQ5" s="143"/>
    </row>
    <row r="6" spans="2:43" ht="12" customHeight="1" x14ac:dyDescent="0.25">
      <c r="B6" s="141" t="s">
        <v>43</v>
      </c>
      <c r="C6" s="142" t="s">
        <v>41</v>
      </c>
      <c r="D6" s="142" t="s">
        <v>25</v>
      </c>
      <c r="E6" s="142" t="s">
        <v>25</v>
      </c>
      <c r="F6" s="142" t="s">
        <v>61</v>
      </c>
      <c r="G6" s="142" t="s">
        <v>36</v>
      </c>
      <c r="H6" s="142" t="s">
        <v>88</v>
      </c>
      <c r="I6" s="142" t="s">
        <v>25</v>
      </c>
      <c r="J6" s="142">
        <v>9.2899999999999991</v>
      </c>
      <c r="K6" s="142"/>
      <c r="L6" s="142"/>
      <c r="M6" s="142">
        <v>3.0072424409024402E-2</v>
      </c>
      <c r="N6" s="142">
        <v>0.19127048668644001</v>
      </c>
      <c r="O6" s="142"/>
      <c r="P6" s="142"/>
      <c r="Q6" s="142"/>
      <c r="R6" s="142"/>
      <c r="S6" s="142"/>
      <c r="T6" s="142"/>
      <c r="U6" s="142"/>
      <c r="V6" s="142"/>
      <c r="W6" s="142"/>
      <c r="X6" s="142"/>
      <c r="Y6" s="142"/>
      <c r="Z6" s="142"/>
      <c r="AA6" s="142"/>
      <c r="AB6" s="142"/>
      <c r="AC6" s="142"/>
      <c r="AD6" s="142">
        <v>4.5079100029332704</v>
      </c>
      <c r="AE6" s="142">
        <v>0.16944487857631699</v>
      </c>
      <c r="AF6" s="142">
        <v>3.5663490117577301</v>
      </c>
      <c r="AG6" s="142">
        <v>0.82304281470387097</v>
      </c>
      <c r="AH6" s="142"/>
      <c r="AI6" s="142"/>
      <c r="AJ6" s="142"/>
      <c r="AK6" s="142"/>
      <c r="AL6" s="142"/>
      <c r="AM6" s="142"/>
      <c r="AN6" s="142"/>
      <c r="AO6" s="142"/>
      <c r="AP6" s="142"/>
      <c r="AQ6" s="143"/>
    </row>
    <row r="7" spans="2:43" ht="12" customHeight="1" x14ac:dyDescent="0.25">
      <c r="B7" s="141" t="s">
        <v>43</v>
      </c>
      <c r="C7" s="142" t="s">
        <v>41</v>
      </c>
      <c r="D7" s="142" t="s">
        <v>25</v>
      </c>
      <c r="E7" s="142" t="s">
        <v>25</v>
      </c>
      <c r="F7" s="142" t="s">
        <v>61</v>
      </c>
      <c r="G7" s="142" t="s">
        <v>36</v>
      </c>
      <c r="H7" s="142" t="s">
        <v>91</v>
      </c>
      <c r="I7" s="142" t="s">
        <v>25</v>
      </c>
      <c r="J7" s="142">
        <v>7.91</v>
      </c>
      <c r="K7" s="142"/>
      <c r="L7" s="142"/>
      <c r="M7" s="142"/>
      <c r="N7" s="142"/>
      <c r="O7" s="142"/>
      <c r="P7" s="142"/>
      <c r="Q7" s="142"/>
      <c r="R7" s="142"/>
      <c r="S7" s="142"/>
      <c r="T7" s="142">
        <v>6.0630160267361202</v>
      </c>
      <c r="U7" s="142">
        <v>1.38228120532749</v>
      </c>
      <c r="V7" s="142">
        <v>0.16644576442730699</v>
      </c>
      <c r="W7" s="142"/>
      <c r="X7" s="142"/>
      <c r="Y7" s="142"/>
      <c r="Z7" s="142"/>
      <c r="AA7" s="142">
        <v>0.29531587692483002</v>
      </c>
      <c r="AB7" s="142"/>
      <c r="AC7" s="142"/>
      <c r="AD7" s="142"/>
      <c r="AE7" s="142"/>
      <c r="AF7" s="142"/>
      <c r="AG7" s="142"/>
      <c r="AH7" s="142"/>
      <c r="AI7" s="142"/>
      <c r="AJ7" s="142"/>
      <c r="AK7" s="142"/>
      <c r="AL7" s="142"/>
      <c r="AM7" s="142"/>
      <c r="AN7" s="142"/>
      <c r="AO7" s="142"/>
      <c r="AP7" s="142"/>
      <c r="AQ7" s="143"/>
    </row>
    <row r="8" spans="2:43" ht="12" customHeight="1" x14ac:dyDescent="0.25">
      <c r="B8" s="141" t="s">
        <v>43</v>
      </c>
      <c r="C8" s="142" t="s">
        <v>41</v>
      </c>
      <c r="D8" s="142" t="s">
        <v>25</v>
      </c>
      <c r="E8" s="142" t="s">
        <v>25</v>
      </c>
      <c r="F8" s="142" t="s">
        <v>25</v>
      </c>
      <c r="G8" s="142" t="s">
        <v>35</v>
      </c>
      <c r="H8" s="142" t="s">
        <v>88</v>
      </c>
      <c r="I8" s="142" t="s">
        <v>25</v>
      </c>
      <c r="J8" s="142">
        <v>62.17</v>
      </c>
      <c r="K8" s="142">
        <v>412.59</v>
      </c>
      <c r="L8" s="142"/>
      <c r="M8" s="142">
        <v>3.0072424409024402E-2</v>
      </c>
      <c r="N8" s="142">
        <v>0.20573904329249301</v>
      </c>
      <c r="O8" s="142"/>
      <c r="P8" s="142"/>
      <c r="Q8" s="142">
        <v>44.891646765093498</v>
      </c>
      <c r="R8" s="142">
        <v>7.9721317603751496</v>
      </c>
      <c r="S8" s="142"/>
      <c r="T8" s="142"/>
      <c r="U8" s="142"/>
      <c r="V8" s="142"/>
      <c r="W8" s="142"/>
      <c r="X8" s="142"/>
      <c r="Y8" s="142"/>
      <c r="Z8" s="142"/>
      <c r="AA8" s="142"/>
      <c r="AB8" s="142"/>
      <c r="AC8" s="142"/>
      <c r="AD8" s="142">
        <v>4.5079100029332704</v>
      </c>
      <c r="AE8" s="142">
        <v>0.16944487857631699</v>
      </c>
      <c r="AF8" s="142">
        <v>3.5663490117577301</v>
      </c>
      <c r="AG8" s="142">
        <v>0.82304281470387097</v>
      </c>
      <c r="AH8" s="142">
        <v>2.5001912038720402</v>
      </c>
      <c r="AI8" s="142">
        <v>12.041216561838599</v>
      </c>
      <c r="AJ8" s="142"/>
      <c r="AK8" s="142">
        <v>1.94038040414269E-13</v>
      </c>
      <c r="AL8" s="142">
        <v>379.11843283969102</v>
      </c>
      <c r="AM8" s="142">
        <v>7.5601968849460697</v>
      </c>
      <c r="AN8" s="142">
        <v>5.5617204745840301</v>
      </c>
      <c r="AO8" s="142"/>
      <c r="AP8" s="142"/>
      <c r="AQ8" s="143">
        <v>5.8054691462631398</v>
      </c>
    </row>
    <row r="9" spans="2:43" ht="12" customHeight="1" x14ac:dyDescent="0.25">
      <c r="B9" s="141" t="s">
        <v>43</v>
      </c>
      <c r="C9" s="142" t="s">
        <v>41</v>
      </c>
      <c r="D9" s="142" t="s">
        <v>25</v>
      </c>
      <c r="E9" s="142" t="s">
        <v>25</v>
      </c>
      <c r="F9" s="142" t="s">
        <v>25</v>
      </c>
      <c r="G9" s="142" t="s">
        <v>35</v>
      </c>
      <c r="H9" s="142" t="s">
        <v>91</v>
      </c>
      <c r="I9" s="142" t="s">
        <v>25</v>
      </c>
      <c r="J9" s="142">
        <v>12.79</v>
      </c>
      <c r="K9" s="142"/>
      <c r="L9" s="142"/>
      <c r="M9" s="142"/>
      <c r="N9" s="142"/>
      <c r="O9" s="142"/>
      <c r="P9" s="142"/>
      <c r="Q9" s="142"/>
      <c r="R9" s="142"/>
      <c r="S9" s="142"/>
      <c r="T9" s="142">
        <v>7.8634946995444901</v>
      </c>
      <c r="U9" s="142">
        <v>1.7439913863760801</v>
      </c>
      <c r="V9" s="142">
        <v>0.233859281919371</v>
      </c>
      <c r="W9" s="142"/>
      <c r="X9" s="142"/>
      <c r="Y9" s="142"/>
      <c r="Z9" s="142"/>
      <c r="AA9" s="142">
        <v>2.9531587692482999</v>
      </c>
      <c r="AB9" s="142"/>
      <c r="AC9" s="142"/>
      <c r="AD9" s="142"/>
      <c r="AE9" s="142"/>
      <c r="AF9" s="142"/>
      <c r="AG9" s="142"/>
      <c r="AH9" s="142"/>
      <c r="AI9" s="142"/>
      <c r="AJ9" s="142"/>
      <c r="AK9" s="142"/>
      <c r="AL9" s="142"/>
      <c r="AM9" s="142"/>
      <c r="AN9" s="142"/>
      <c r="AO9" s="142"/>
      <c r="AP9" s="142"/>
      <c r="AQ9" s="143"/>
    </row>
    <row r="10" spans="2:43" ht="12" customHeight="1" x14ac:dyDescent="0.25">
      <c r="B10" s="141" t="s">
        <v>43</v>
      </c>
      <c r="C10" s="142" t="s">
        <v>41</v>
      </c>
      <c r="D10" s="142" t="s">
        <v>25</v>
      </c>
      <c r="E10" s="142" t="s">
        <v>25</v>
      </c>
      <c r="F10" s="142" t="s">
        <v>25</v>
      </c>
      <c r="G10" s="142" t="s">
        <v>36</v>
      </c>
      <c r="H10" s="142" t="s">
        <v>88</v>
      </c>
      <c r="I10" s="142" t="s">
        <v>25</v>
      </c>
      <c r="J10" s="142">
        <v>62.17</v>
      </c>
      <c r="K10" s="142">
        <v>253.89</v>
      </c>
      <c r="L10" s="142"/>
      <c r="M10" s="142">
        <v>3.0072424409024402E-2</v>
      </c>
      <c r="N10" s="142">
        <v>0.20573904329249301</v>
      </c>
      <c r="O10" s="142"/>
      <c r="P10" s="142"/>
      <c r="Q10" s="142">
        <v>44.891646765093498</v>
      </c>
      <c r="R10" s="142">
        <v>7.9721317603751496</v>
      </c>
      <c r="S10" s="142"/>
      <c r="T10" s="142"/>
      <c r="U10" s="142"/>
      <c r="V10" s="142"/>
      <c r="W10" s="142"/>
      <c r="X10" s="142"/>
      <c r="Y10" s="142"/>
      <c r="Z10" s="142"/>
      <c r="AA10" s="142"/>
      <c r="AB10" s="142"/>
      <c r="AC10" s="142"/>
      <c r="AD10" s="142">
        <v>4.5079100029332704</v>
      </c>
      <c r="AE10" s="142">
        <v>0.16944487857631699</v>
      </c>
      <c r="AF10" s="142">
        <v>3.5663490117577301</v>
      </c>
      <c r="AG10" s="142">
        <v>0.82304281470387097</v>
      </c>
      <c r="AH10" s="142">
        <v>2.5001912038720402</v>
      </c>
      <c r="AI10" s="142">
        <v>12.041216561838599</v>
      </c>
      <c r="AJ10" s="142"/>
      <c r="AK10" s="142">
        <v>1.94038040414269E-13</v>
      </c>
      <c r="AL10" s="142">
        <v>220.41769351144799</v>
      </c>
      <c r="AM10" s="142">
        <v>7.5601968849460697</v>
      </c>
      <c r="AN10" s="142">
        <v>5.5617204745840301</v>
      </c>
      <c r="AO10" s="142"/>
      <c r="AP10" s="142"/>
      <c r="AQ10" s="143">
        <v>5.8054691462631398</v>
      </c>
    </row>
    <row r="11" spans="2:43" ht="12" customHeight="1" x14ac:dyDescent="0.25">
      <c r="B11" s="141" t="s">
        <v>43</v>
      </c>
      <c r="C11" s="142" t="s">
        <v>41</v>
      </c>
      <c r="D11" s="142" t="s">
        <v>25</v>
      </c>
      <c r="E11" s="142" t="s">
        <v>25</v>
      </c>
      <c r="F11" s="142" t="s">
        <v>25</v>
      </c>
      <c r="G11" s="142" t="s">
        <v>36</v>
      </c>
      <c r="H11" s="142" t="s">
        <v>91</v>
      </c>
      <c r="I11" s="142" t="s">
        <v>25</v>
      </c>
      <c r="J11" s="142">
        <v>7.91</v>
      </c>
      <c r="K11" s="142"/>
      <c r="L11" s="142"/>
      <c r="M11" s="142"/>
      <c r="N11" s="142"/>
      <c r="O11" s="142"/>
      <c r="P11" s="142"/>
      <c r="Q11" s="142"/>
      <c r="R11" s="142"/>
      <c r="S11" s="142"/>
      <c r="T11" s="142">
        <v>6.0630160267361202</v>
      </c>
      <c r="U11" s="142">
        <v>1.38228120532749</v>
      </c>
      <c r="V11" s="142">
        <v>0.16644576442730699</v>
      </c>
      <c r="W11" s="142"/>
      <c r="X11" s="142"/>
      <c r="Y11" s="142"/>
      <c r="Z11" s="142"/>
      <c r="AA11" s="142">
        <v>0.29531587692483002</v>
      </c>
      <c r="AB11" s="142"/>
      <c r="AC11" s="142"/>
      <c r="AD11" s="142"/>
      <c r="AE11" s="142"/>
      <c r="AF11" s="142"/>
      <c r="AG11" s="142"/>
      <c r="AH11" s="142"/>
      <c r="AI11" s="142"/>
      <c r="AJ11" s="142"/>
      <c r="AK11" s="142"/>
      <c r="AL11" s="142"/>
      <c r="AM11" s="142"/>
      <c r="AN11" s="142"/>
      <c r="AO11" s="142"/>
      <c r="AP11" s="142"/>
      <c r="AQ11" s="143"/>
    </row>
    <row r="12" spans="2:43" ht="12" customHeight="1" x14ac:dyDescent="0.25">
      <c r="B12" s="141" t="s">
        <v>43</v>
      </c>
      <c r="C12" s="142" t="s">
        <v>67</v>
      </c>
      <c r="D12" s="142" t="s">
        <v>25</v>
      </c>
      <c r="E12" s="142" t="s">
        <v>25</v>
      </c>
      <c r="F12" s="142" t="s">
        <v>25</v>
      </c>
      <c r="G12" s="142" t="s">
        <v>35</v>
      </c>
      <c r="H12" s="142" t="s">
        <v>91</v>
      </c>
      <c r="I12" s="142" t="s">
        <v>68</v>
      </c>
      <c r="J12" s="142">
        <v>12.79</v>
      </c>
      <c r="K12" s="142"/>
      <c r="L12" s="142"/>
      <c r="M12" s="142"/>
      <c r="N12" s="142"/>
      <c r="O12" s="142"/>
      <c r="P12" s="142"/>
      <c r="Q12" s="142"/>
      <c r="R12" s="142"/>
      <c r="S12" s="142"/>
      <c r="T12" s="142">
        <v>7.8634946995444901</v>
      </c>
      <c r="U12" s="142">
        <v>1.7439913863760801</v>
      </c>
      <c r="V12" s="142">
        <v>0.233859281919371</v>
      </c>
      <c r="W12" s="142"/>
      <c r="X12" s="142"/>
      <c r="Y12" s="142"/>
      <c r="Z12" s="142"/>
      <c r="AA12" s="142">
        <v>2.9531587692482999</v>
      </c>
      <c r="AB12" s="142"/>
      <c r="AC12" s="142"/>
      <c r="AD12" s="142"/>
      <c r="AE12" s="142"/>
      <c r="AF12" s="142"/>
      <c r="AG12" s="142"/>
      <c r="AH12" s="142"/>
      <c r="AI12" s="142"/>
      <c r="AJ12" s="142"/>
      <c r="AK12" s="142"/>
      <c r="AL12" s="142"/>
      <c r="AM12" s="142"/>
      <c r="AN12" s="142"/>
      <c r="AO12" s="142"/>
      <c r="AP12" s="142"/>
      <c r="AQ12" s="143"/>
    </row>
    <row r="13" spans="2:43" ht="12" customHeight="1" x14ac:dyDescent="0.25">
      <c r="B13" s="141" t="s">
        <v>43</v>
      </c>
      <c r="C13" s="142" t="s">
        <v>67</v>
      </c>
      <c r="D13" s="142" t="s">
        <v>25</v>
      </c>
      <c r="E13" s="142" t="s">
        <v>25</v>
      </c>
      <c r="F13" s="142" t="s">
        <v>25</v>
      </c>
      <c r="G13" s="142" t="s">
        <v>25</v>
      </c>
      <c r="H13" s="142" t="s">
        <v>88</v>
      </c>
      <c r="I13" s="142" t="s">
        <v>68</v>
      </c>
      <c r="J13" s="142">
        <v>4.68</v>
      </c>
      <c r="K13" s="142"/>
      <c r="L13" s="142"/>
      <c r="M13" s="142"/>
      <c r="N13" s="142"/>
      <c r="O13" s="142"/>
      <c r="P13" s="142"/>
      <c r="Q13" s="142"/>
      <c r="R13" s="142"/>
      <c r="S13" s="142"/>
      <c r="T13" s="142"/>
      <c r="U13" s="142"/>
      <c r="V13" s="142"/>
      <c r="W13" s="142"/>
      <c r="X13" s="142"/>
      <c r="Y13" s="142"/>
      <c r="Z13" s="142"/>
      <c r="AA13" s="142"/>
      <c r="AB13" s="142"/>
      <c r="AC13" s="142"/>
      <c r="AD13" s="142">
        <v>4.5079100029332704</v>
      </c>
      <c r="AE13" s="142">
        <v>0.16944487857631699</v>
      </c>
      <c r="AF13" s="142"/>
      <c r="AG13" s="142"/>
      <c r="AH13" s="142"/>
      <c r="AI13" s="142"/>
      <c r="AJ13" s="142"/>
      <c r="AK13" s="142"/>
      <c r="AL13" s="142"/>
      <c r="AM13" s="142"/>
      <c r="AN13" s="142"/>
      <c r="AO13" s="142"/>
      <c r="AP13" s="142"/>
      <c r="AQ13" s="143"/>
    </row>
    <row r="14" spans="2:43" ht="12" customHeight="1" x14ac:dyDescent="0.25">
      <c r="B14" s="141" t="s">
        <v>43</v>
      </c>
      <c r="C14" s="142" t="s">
        <v>67</v>
      </c>
      <c r="D14" s="142" t="s">
        <v>25</v>
      </c>
      <c r="E14" s="142" t="s">
        <v>25</v>
      </c>
      <c r="F14" s="142" t="s">
        <v>25</v>
      </c>
      <c r="G14" s="142" t="s">
        <v>36</v>
      </c>
      <c r="H14" s="142" t="s">
        <v>91</v>
      </c>
      <c r="I14" s="142" t="s">
        <v>68</v>
      </c>
      <c r="J14" s="142">
        <v>7.91</v>
      </c>
      <c r="K14" s="142"/>
      <c r="L14" s="142"/>
      <c r="M14" s="142"/>
      <c r="N14" s="142"/>
      <c r="O14" s="142"/>
      <c r="P14" s="142"/>
      <c r="Q14" s="142"/>
      <c r="R14" s="142"/>
      <c r="S14" s="142"/>
      <c r="T14" s="142">
        <v>6.0630160267361202</v>
      </c>
      <c r="U14" s="142">
        <v>1.38228120532749</v>
      </c>
      <c r="V14" s="142">
        <v>0.16644576442730699</v>
      </c>
      <c r="W14" s="142"/>
      <c r="X14" s="142"/>
      <c r="Y14" s="142"/>
      <c r="Z14" s="142"/>
      <c r="AA14" s="142">
        <v>0.29531587692483002</v>
      </c>
      <c r="AB14" s="142"/>
      <c r="AC14" s="142"/>
      <c r="AD14" s="142"/>
      <c r="AE14" s="142"/>
      <c r="AF14" s="142"/>
      <c r="AG14" s="142"/>
      <c r="AH14" s="142"/>
      <c r="AI14" s="142"/>
      <c r="AJ14" s="142"/>
      <c r="AK14" s="142"/>
      <c r="AL14" s="142"/>
      <c r="AM14" s="142"/>
      <c r="AN14" s="142"/>
      <c r="AO14" s="142"/>
      <c r="AP14" s="142"/>
      <c r="AQ14" s="143"/>
    </row>
    <row r="15" spans="2:43" ht="12" customHeight="1" x14ac:dyDescent="0.25">
      <c r="B15" s="141" t="s">
        <v>43</v>
      </c>
      <c r="C15" s="142" t="s">
        <v>64</v>
      </c>
      <c r="D15" s="142" t="s">
        <v>25</v>
      </c>
      <c r="E15" s="142" t="s">
        <v>25</v>
      </c>
      <c r="F15" s="142" t="s">
        <v>25</v>
      </c>
      <c r="G15" s="142" t="s">
        <v>25</v>
      </c>
      <c r="H15" s="142" t="s">
        <v>91</v>
      </c>
      <c r="I15" s="142" t="s">
        <v>95</v>
      </c>
      <c r="J15" s="142">
        <v>3.36</v>
      </c>
      <c r="K15" s="142"/>
      <c r="L15" s="142"/>
      <c r="M15" s="142">
        <v>0.1046</v>
      </c>
      <c r="N15" s="142">
        <v>0.26419999999999999</v>
      </c>
      <c r="O15" s="142"/>
      <c r="P15" s="142"/>
      <c r="Q15" s="142"/>
      <c r="R15" s="142"/>
      <c r="S15" s="142"/>
      <c r="T15" s="142"/>
      <c r="U15" s="142">
        <v>0.18029999999999999</v>
      </c>
      <c r="V15" s="142"/>
      <c r="W15" s="142"/>
      <c r="X15" s="142"/>
      <c r="Y15" s="142"/>
      <c r="Z15" s="142"/>
      <c r="AA15" s="142">
        <v>2.8157999999999999</v>
      </c>
      <c r="AB15" s="142"/>
      <c r="AC15" s="142"/>
      <c r="AD15" s="142"/>
      <c r="AE15" s="142"/>
      <c r="AF15" s="142"/>
      <c r="AG15" s="142"/>
      <c r="AH15" s="142"/>
      <c r="AI15" s="142"/>
      <c r="AJ15" s="142"/>
      <c r="AK15" s="142"/>
      <c r="AL15" s="142"/>
      <c r="AM15" s="142"/>
      <c r="AN15" s="142"/>
      <c r="AO15" s="142"/>
      <c r="AP15" s="142"/>
      <c r="AQ15" s="143"/>
    </row>
    <row r="16" spans="2:43" ht="12" customHeight="1" x14ac:dyDescent="0.25">
      <c r="B16" s="141" t="s">
        <v>43</v>
      </c>
      <c r="C16" s="142" t="s">
        <v>64</v>
      </c>
      <c r="D16" s="142" t="s">
        <v>25</v>
      </c>
      <c r="E16" s="142" t="s">
        <v>25</v>
      </c>
      <c r="F16" s="142" t="s">
        <v>25</v>
      </c>
      <c r="G16" s="142" t="s">
        <v>25</v>
      </c>
      <c r="H16" s="142" t="s">
        <v>91</v>
      </c>
      <c r="I16" s="142" t="s">
        <v>71</v>
      </c>
      <c r="J16" s="142">
        <v>3.13</v>
      </c>
      <c r="K16" s="142"/>
      <c r="L16" s="142"/>
      <c r="M16" s="142">
        <v>7.2400000000000006E-2</v>
      </c>
      <c r="N16" s="142">
        <v>0.18279999999999999</v>
      </c>
      <c r="O16" s="142"/>
      <c r="P16" s="142"/>
      <c r="Q16" s="142"/>
      <c r="R16" s="142"/>
      <c r="S16" s="142"/>
      <c r="T16" s="142"/>
      <c r="U16" s="142">
        <v>0.54900000000000004</v>
      </c>
      <c r="V16" s="142">
        <v>4.3700000000000003E-2</v>
      </c>
      <c r="W16" s="142"/>
      <c r="X16" s="142"/>
      <c r="Y16" s="142"/>
      <c r="Z16" s="142">
        <v>0.30480000000000002</v>
      </c>
      <c r="AA16" s="142">
        <v>1.9815</v>
      </c>
      <c r="AB16" s="142"/>
      <c r="AC16" s="142"/>
      <c r="AD16" s="142"/>
      <c r="AE16" s="142"/>
      <c r="AF16" s="142"/>
      <c r="AG16" s="142"/>
      <c r="AH16" s="142"/>
      <c r="AI16" s="142"/>
      <c r="AJ16" s="142"/>
      <c r="AK16" s="142"/>
      <c r="AL16" s="142"/>
      <c r="AM16" s="142"/>
      <c r="AN16" s="142"/>
      <c r="AO16" s="142"/>
      <c r="AP16" s="142"/>
      <c r="AQ16" s="143"/>
    </row>
    <row r="17" spans="2:43" ht="12" customHeight="1" x14ac:dyDescent="0.25">
      <c r="B17" s="141" t="s">
        <v>43</v>
      </c>
      <c r="C17" s="142" t="s">
        <v>64</v>
      </c>
      <c r="D17" s="142" t="s">
        <v>25</v>
      </c>
      <c r="E17" s="142" t="s">
        <v>25</v>
      </c>
      <c r="F17" s="142" t="s">
        <v>25</v>
      </c>
      <c r="G17" s="142" t="s">
        <v>25</v>
      </c>
      <c r="H17" s="142" t="s">
        <v>91</v>
      </c>
      <c r="I17" s="142" t="s">
        <v>70</v>
      </c>
      <c r="J17" s="142">
        <v>3.57</v>
      </c>
      <c r="K17" s="142"/>
      <c r="L17" s="142"/>
      <c r="M17" s="142">
        <v>8.3599999999999994E-2</v>
      </c>
      <c r="N17" s="142">
        <v>0.21099999999999999</v>
      </c>
      <c r="O17" s="142"/>
      <c r="P17" s="142"/>
      <c r="Q17" s="142"/>
      <c r="R17" s="142"/>
      <c r="S17" s="142"/>
      <c r="T17" s="142"/>
      <c r="U17" s="142">
        <v>0.63390000000000002</v>
      </c>
      <c r="V17" s="142">
        <v>5.04E-2</v>
      </c>
      <c r="W17" s="142"/>
      <c r="X17" s="142"/>
      <c r="Y17" s="142"/>
      <c r="Z17" s="142">
        <v>0.30480000000000002</v>
      </c>
      <c r="AA17" s="142">
        <v>2.2879</v>
      </c>
      <c r="AB17" s="142"/>
      <c r="AC17" s="142"/>
      <c r="AD17" s="142"/>
      <c r="AE17" s="142"/>
      <c r="AF17" s="142"/>
      <c r="AG17" s="142"/>
      <c r="AH17" s="142"/>
      <c r="AI17" s="142"/>
      <c r="AJ17" s="142"/>
      <c r="AK17" s="142"/>
      <c r="AL17" s="142"/>
      <c r="AM17" s="142"/>
      <c r="AN17" s="142"/>
      <c r="AO17" s="142"/>
      <c r="AP17" s="142"/>
      <c r="AQ17" s="143"/>
    </row>
    <row r="18" spans="2:43" ht="12" customHeight="1" x14ac:dyDescent="0.25">
      <c r="B18" s="141" t="s">
        <v>45</v>
      </c>
      <c r="C18" s="142" t="s">
        <v>41</v>
      </c>
      <c r="D18" s="142" t="s">
        <v>25</v>
      </c>
      <c r="E18" s="142" t="s">
        <v>25</v>
      </c>
      <c r="F18" s="142" t="s">
        <v>61</v>
      </c>
      <c r="G18" s="142" t="s">
        <v>35</v>
      </c>
      <c r="H18" s="142" t="s">
        <v>88</v>
      </c>
      <c r="I18" s="142" t="s">
        <v>25</v>
      </c>
      <c r="J18" s="142">
        <v>23.24</v>
      </c>
      <c r="K18" s="142"/>
      <c r="L18" s="142"/>
      <c r="M18" s="142">
        <v>0.21725393155117001</v>
      </c>
      <c r="N18" s="142">
        <v>0.45674691566077402</v>
      </c>
      <c r="O18" s="142"/>
      <c r="P18" s="142"/>
      <c r="Q18" s="142"/>
      <c r="R18" s="142"/>
      <c r="S18" s="142"/>
      <c r="T18" s="142"/>
      <c r="U18" s="142"/>
      <c r="V18" s="142"/>
      <c r="W18" s="142"/>
      <c r="X18" s="142"/>
      <c r="Y18" s="142"/>
      <c r="Z18" s="142"/>
      <c r="AA18" s="142"/>
      <c r="AB18" s="142"/>
      <c r="AC18" s="142"/>
      <c r="AD18" s="142">
        <v>11.6301430299569</v>
      </c>
      <c r="AE18" s="142">
        <v>0.43715783417458398</v>
      </c>
      <c r="AF18" s="142">
        <v>8.5274339867040592</v>
      </c>
      <c r="AG18" s="142">
        <v>1.96796310385764</v>
      </c>
      <c r="AH18" s="142"/>
      <c r="AI18" s="142"/>
      <c r="AJ18" s="142"/>
      <c r="AK18" s="142"/>
      <c r="AL18" s="142"/>
      <c r="AM18" s="142"/>
      <c r="AN18" s="142"/>
      <c r="AO18" s="142"/>
      <c r="AP18" s="142"/>
      <c r="AQ18" s="143"/>
    </row>
    <row r="19" spans="2:43" ht="12" customHeight="1" x14ac:dyDescent="0.25">
      <c r="B19" s="141" t="s">
        <v>45</v>
      </c>
      <c r="C19" s="142" t="s">
        <v>41</v>
      </c>
      <c r="D19" s="142" t="s">
        <v>25</v>
      </c>
      <c r="E19" s="142" t="s">
        <v>25</v>
      </c>
      <c r="F19" s="142" t="s">
        <v>61</v>
      </c>
      <c r="G19" s="142" t="s">
        <v>35</v>
      </c>
      <c r="H19" s="142" t="s">
        <v>91</v>
      </c>
      <c r="I19" s="142" t="s">
        <v>25</v>
      </c>
      <c r="J19" s="142">
        <v>26.72</v>
      </c>
      <c r="K19" s="142"/>
      <c r="L19" s="142"/>
      <c r="M19" s="142"/>
      <c r="N19" s="142"/>
      <c r="O19" s="142"/>
      <c r="P19" s="142"/>
      <c r="Q19" s="142"/>
      <c r="R19" s="142"/>
      <c r="S19" s="142"/>
      <c r="T19" s="142">
        <v>7.7836271510126398</v>
      </c>
      <c r="U19" s="142">
        <v>1.9544731054214699</v>
      </c>
      <c r="V19" s="142">
        <v>0.27323354877314199</v>
      </c>
      <c r="W19" s="142"/>
      <c r="X19" s="142"/>
      <c r="Y19" s="142"/>
      <c r="Z19" s="142"/>
      <c r="AA19" s="142">
        <v>16.7050462578019</v>
      </c>
      <c r="AB19" s="142"/>
      <c r="AC19" s="142"/>
      <c r="AD19" s="142"/>
      <c r="AE19" s="142"/>
      <c r="AF19" s="142"/>
      <c r="AG19" s="142"/>
      <c r="AH19" s="142"/>
      <c r="AI19" s="142"/>
      <c r="AJ19" s="142"/>
      <c r="AK19" s="142"/>
      <c r="AL19" s="142"/>
      <c r="AM19" s="142"/>
      <c r="AN19" s="142"/>
      <c r="AO19" s="142"/>
      <c r="AP19" s="142"/>
      <c r="AQ19" s="143"/>
    </row>
    <row r="20" spans="2:43" ht="12" customHeight="1" x14ac:dyDescent="0.25">
      <c r="B20" s="141" t="s">
        <v>45</v>
      </c>
      <c r="C20" s="142" t="s">
        <v>41</v>
      </c>
      <c r="D20" s="142" t="s">
        <v>25</v>
      </c>
      <c r="E20" s="142" t="s">
        <v>25</v>
      </c>
      <c r="F20" s="142" t="s">
        <v>61</v>
      </c>
      <c r="G20" s="142" t="s">
        <v>36</v>
      </c>
      <c r="H20" s="142" t="s">
        <v>88</v>
      </c>
      <c r="I20" s="142" t="s">
        <v>25</v>
      </c>
      <c r="J20" s="142">
        <v>23.24</v>
      </c>
      <c r="K20" s="142"/>
      <c r="L20" s="142"/>
      <c r="M20" s="142">
        <v>0.21725393155117001</v>
      </c>
      <c r="N20" s="142">
        <v>0.45674691566077402</v>
      </c>
      <c r="O20" s="142"/>
      <c r="P20" s="142"/>
      <c r="Q20" s="142"/>
      <c r="R20" s="142"/>
      <c r="S20" s="142"/>
      <c r="T20" s="142"/>
      <c r="U20" s="142"/>
      <c r="V20" s="142"/>
      <c r="W20" s="142"/>
      <c r="X20" s="142"/>
      <c r="Y20" s="142"/>
      <c r="Z20" s="142"/>
      <c r="AA20" s="142"/>
      <c r="AB20" s="142"/>
      <c r="AC20" s="142"/>
      <c r="AD20" s="142">
        <v>11.6301430299569</v>
      </c>
      <c r="AE20" s="142">
        <v>0.43715783417458398</v>
      </c>
      <c r="AF20" s="142">
        <v>8.5274339867040592</v>
      </c>
      <c r="AG20" s="142">
        <v>1.96796310385764</v>
      </c>
      <c r="AH20" s="142"/>
      <c r="AI20" s="142"/>
      <c r="AJ20" s="142"/>
      <c r="AK20" s="142"/>
      <c r="AL20" s="142"/>
      <c r="AM20" s="142"/>
      <c r="AN20" s="142"/>
      <c r="AO20" s="142"/>
      <c r="AP20" s="142"/>
      <c r="AQ20" s="143"/>
    </row>
    <row r="21" spans="2:43" ht="12" customHeight="1" x14ac:dyDescent="0.25">
      <c r="B21" s="141" t="s">
        <v>45</v>
      </c>
      <c r="C21" s="142" t="s">
        <v>41</v>
      </c>
      <c r="D21" s="142" t="s">
        <v>25</v>
      </c>
      <c r="E21" s="142" t="s">
        <v>25</v>
      </c>
      <c r="F21" s="142" t="s">
        <v>61</v>
      </c>
      <c r="G21" s="142" t="s">
        <v>36</v>
      </c>
      <c r="H21" s="142" t="s">
        <v>91</v>
      </c>
      <c r="I21" s="142" t="s">
        <v>25</v>
      </c>
      <c r="J21" s="142">
        <v>11.11</v>
      </c>
      <c r="K21" s="142"/>
      <c r="L21" s="142"/>
      <c r="M21" s="142"/>
      <c r="N21" s="142"/>
      <c r="O21" s="142"/>
      <c r="P21" s="142"/>
      <c r="Q21" s="142"/>
      <c r="R21" s="142"/>
      <c r="S21" s="142"/>
      <c r="T21" s="142">
        <v>5.0876257293118101</v>
      </c>
      <c r="U21" s="142">
        <v>1.3902405980645001</v>
      </c>
      <c r="V21" s="142">
        <v>0.17479788163871299</v>
      </c>
      <c r="W21" s="142"/>
      <c r="X21" s="142"/>
      <c r="Y21" s="142"/>
      <c r="Z21" s="142"/>
      <c r="AA21" s="142">
        <v>4.4617852677044301</v>
      </c>
      <c r="AB21" s="142"/>
      <c r="AC21" s="142"/>
      <c r="AD21" s="142"/>
      <c r="AE21" s="142"/>
      <c r="AF21" s="142"/>
      <c r="AG21" s="142"/>
      <c r="AH21" s="142"/>
      <c r="AI21" s="142"/>
      <c r="AJ21" s="142"/>
      <c r="AK21" s="142"/>
      <c r="AL21" s="142"/>
      <c r="AM21" s="142"/>
      <c r="AN21" s="142"/>
      <c r="AO21" s="142"/>
      <c r="AP21" s="142"/>
      <c r="AQ21" s="143"/>
    </row>
    <row r="22" spans="2:43" ht="12" customHeight="1" x14ac:dyDescent="0.25">
      <c r="B22" s="141" t="s">
        <v>45</v>
      </c>
      <c r="C22" s="142" t="s">
        <v>41</v>
      </c>
      <c r="D22" s="142" t="s">
        <v>25</v>
      </c>
      <c r="E22" s="142" t="s">
        <v>25</v>
      </c>
      <c r="F22" s="142" t="s">
        <v>25</v>
      </c>
      <c r="G22" s="142" t="s">
        <v>35</v>
      </c>
      <c r="H22" s="142" t="s">
        <v>88</v>
      </c>
      <c r="I22" s="142" t="s">
        <v>25</v>
      </c>
      <c r="J22" s="142">
        <v>85.95</v>
      </c>
      <c r="K22" s="142">
        <v>412.59</v>
      </c>
      <c r="L22" s="142"/>
      <c r="M22" s="142">
        <v>0.21725393155117001</v>
      </c>
      <c r="N22" s="142">
        <v>0.47121547226682697</v>
      </c>
      <c r="O22" s="142"/>
      <c r="P22" s="142"/>
      <c r="Q22" s="142">
        <v>54.730911809497599</v>
      </c>
      <c r="R22" s="142">
        <v>7.9721317603751496</v>
      </c>
      <c r="S22" s="142"/>
      <c r="T22" s="142"/>
      <c r="U22" s="142"/>
      <c r="V22" s="142"/>
      <c r="W22" s="142"/>
      <c r="X22" s="142"/>
      <c r="Y22" s="142"/>
      <c r="Z22" s="142"/>
      <c r="AA22" s="142"/>
      <c r="AB22" s="142"/>
      <c r="AC22" s="142"/>
      <c r="AD22" s="142">
        <v>11.6301430299569</v>
      </c>
      <c r="AE22" s="142">
        <v>0.43715783417458398</v>
      </c>
      <c r="AF22" s="142">
        <v>8.5274339867040592</v>
      </c>
      <c r="AG22" s="142">
        <v>1.96796310385764</v>
      </c>
      <c r="AH22" s="142">
        <v>2.5001912038720402</v>
      </c>
      <c r="AI22" s="142">
        <v>12.041216561838599</v>
      </c>
      <c r="AJ22" s="142"/>
      <c r="AK22" s="142">
        <v>1.94038040414269E-13</v>
      </c>
      <c r="AL22" s="142">
        <v>379.11843283969102</v>
      </c>
      <c r="AM22" s="142">
        <v>7.5601968849460697</v>
      </c>
      <c r="AN22" s="142">
        <v>5.5617204745840301</v>
      </c>
      <c r="AO22" s="142"/>
      <c r="AP22" s="142"/>
      <c r="AQ22" s="143">
        <v>5.8054691462631398</v>
      </c>
    </row>
    <row r="23" spans="2:43" ht="12" customHeight="1" x14ac:dyDescent="0.25">
      <c r="B23" s="141" t="s">
        <v>45</v>
      </c>
      <c r="C23" s="142" t="s">
        <v>41</v>
      </c>
      <c r="D23" s="142" t="s">
        <v>25</v>
      </c>
      <c r="E23" s="142" t="s">
        <v>25</v>
      </c>
      <c r="F23" s="142" t="s">
        <v>25</v>
      </c>
      <c r="G23" s="142" t="s">
        <v>35</v>
      </c>
      <c r="H23" s="142" t="s">
        <v>91</v>
      </c>
      <c r="I23" s="142" t="s">
        <v>25</v>
      </c>
      <c r="J23" s="142">
        <v>26.72</v>
      </c>
      <c r="K23" s="142"/>
      <c r="L23" s="142"/>
      <c r="M23" s="142"/>
      <c r="N23" s="142"/>
      <c r="O23" s="142"/>
      <c r="P23" s="142"/>
      <c r="Q23" s="142"/>
      <c r="R23" s="142"/>
      <c r="S23" s="142"/>
      <c r="T23" s="142">
        <v>7.7836271510126398</v>
      </c>
      <c r="U23" s="142">
        <v>1.9544731054214699</v>
      </c>
      <c r="V23" s="142">
        <v>0.27323354877314199</v>
      </c>
      <c r="W23" s="142"/>
      <c r="X23" s="142"/>
      <c r="Y23" s="142"/>
      <c r="Z23" s="142"/>
      <c r="AA23" s="142">
        <v>16.7050462578019</v>
      </c>
      <c r="AB23" s="142"/>
      <c r="AC23" s="142"/>
      <c r="AD23" s="142"/>
      <c r="AE23" s="142"/>
      <c r="AF23" s="142"/>
      <c r="AG23" s="142"/>
      <c r="AH23" s="142"/>
      <c r="AI23" s="142"/>
      <c r="AJ23" s="142"/>
      <c r="AK23" s="142"/>
      <c r="AL23" s="142"/>
      <c r="AM23" s="142"/>
      <c r="AN23" s="142"/>
      <c r="AO23" s="142"/>
      <c r="AP23" s="142"/>
      <c r="AQ23" s="143"/>
    </row>
    <row r="24" spans="2:43" ht="12" customHeight="1" x14ac:dyDescent="0.25">
      <c r="B24" s="141" t="s">
        <v>45</v>
      </c>
      <c r="C24" s="142" t="s">
        <v>41</v>
      </c>
      <c r="D24" s="142" t="s">
        <v>25</v>
      </c>
      <c r="E24" s="142" t="s">
        <v>25</v>
      </c>
      <c r="F24" s="142" t="s">
        <v>25</v>
      </c>
      <c r="G24" s="142" t="s">
        <v>36</v>
      </c>
      <c r="H24" s="142" t="s">
        <v>88</v>
      </c>
      <c r="I24" s="142" t="s">
        <v>25</v>
      </c>
      <c r="J24" s="142">
        <v>85.95</v>
      </c>
      <c r="K24" s="142">
        <v>253.89</v>
      </c>
      <c r="L24" s="142"/>
      <c r="M24" s="142">
        <v>0.21725393155117001</v>
      </c>
      <c r="N24" s="142">
        <v>0.47121547226682697</v>
      </c>
      <c r="O24" s="142"/>
      <c r="P24" s="142"/>
      <c r="Q24" s="142">
        <v>54.730911809497599</v>
      </c>
      <c r="R24" s="142">
        <v>7.9721317603751496</v>
      </c>
      <c r="S24" s="142"/>
      <c r="T24" s="142"/>
      <c r="U24" s="142"/>
      <c r="V24" s="142"/>
      <c r="W24" s="142"/>
      <c r="X24" s="142"/>
      <c r="Y24" s="142"/>
      <c r="Z24" s="142"/>
      <c r="AA24" s="142"/>
      <c r="AB24" s="142"/>
      <c r="AC24" s="142"/>
      <c r="AD24" s="142">
        <v>11.6301430299569</v>
      </c>
      <c r="AE24" s="142">
        <v>0.43715783417458398</v>
      </c>
      <c r="AF24" s="142">
        <v>8.5274339867040592</v>
      </c>
      <c r="AG24" s="142">
        <v>1.96796310385764</v>
      </c>
      <c r="AH24" s="142">
        <v>2.5001912038720402</v>
      </c>
      <c r="AI24" s="142">
        <v>12.041216561838599</v>
      </c>
      <c r="AJ24" s="142"/>
      <c r="AK24" s="142">
        <v>1.94038040414269E-13</v>
      </c>
      <c r="AL24" s="142">
        <v>220.41769351144799</v>
      </c>
      <c r="AM24" s="142">
        <v>7.5601968849460697</v>
      </c>
      <c r="AN24" s="142">
        <v>5.5617204745840301</v>
      </c>
      <c r="AO24" s="142"/>
      <c r="AP24" s="142"/>
      <c r="AQ24" s="143">
        <v>5.8054691462631398</v>
      </c>
    </row>
    <row r="25" spans="2:43" ht="12" customHeight="1" x14ac:dyDescent="0.25">
      <c r="B25" s="141" t="s">
        <v>45</v>
      </c>
      <c r="C25" s="142" t="s">
        <v>41</v>
      </c>
      <c r="D25" s="142" t="s">
        <v>25</v>
      </c>
      <c r="E25" s="142" t="s">
        <v>25</v>
      </c>
      <c r="F25" s="142" t="s">
        <v>25</v>
      </c>
      <c r="G25" s="142" t="s">
        <v>36</v>
      </c>
      <c r="H25" s="142" t="s">
        <v>91</v>
      </c>
      <c r="I25" s="142" t="s">
        <v>25</v>
      </c>
      <c r="J25" s="142">
        <v>11.11</v>
      </c>
      <c r="K25" s="142"/>
      <c r="L25" s="142"/>
      <c r="M25" s="142"/>
      <c r="N25" s="142"/>
      <c r="O25" s="142"/>
      <c r="P25" s="142"/>
      <c r="Q25" s="142"/>
      <c r="R25" s="142"/>
      <c r="S25" s="142"/>
      <c r="T25" s="142">
        <v>5.0876257293118101</v>
      </c>
      <c r="U25" s="142">
        <v>1.3902405980645001</v>
      </c>
      <c r="V25" s="142">
        <v>0.17479788163871299</v>
      </c>
      <c r="W25" s="142"/>
      <c r="X25" s="142"/>
      <c r="Y25" s="142"/>
      <c r="Z25" s="142"/>
      <c r="AA25" s="142">
        <v>4.4617852677044301</v>
      </c>
      <c r="AB25" s="142"/>
      <c r="AC25" s="142"/>
      <c r="AD25" s="142"/>
      <c r="AE25" s="142"/>
      <c r="AF25" s="142"/>
      <c r="AG25" s="142"/>
      <c r="AH25" s="142"/>
      <c r="AI25" s="142"/>
      <c r="AJ25" s="142"/>
      <c r="AK25" s="142"/>
      <c r="AL25" s="142"/>
      <c r="AM25" s="142"/>
      <c r="AN25" s="142"/>
      <c r="AO25" s="142"/>
      <c r="AP25" s="142"/>
      <c r="AQ25" s="143"/>
    </row>
    <row r="26" spans="2:43" ht="12" customHeight="1" x14ac:dyDescent="0.25">
      <c r="B26" s="141" t="s">
        <v>45</v>
      </c>
      <c r="C26" s="142" t="s">
        <v>23</v>
      </c>
      <c r="D26" s="142" t="s">
        <v>25</v>
      </c>
      <c r="E26" s="142" t="s">
        <v>25</v>
      </c>
      <c r="F26" s="142" t="s">
        <v>25</v>
      </c>
      <c r="G26" s="142" t="s">
        <v>25</v>
      </c>
      <c r="H26" s="142" t="s">
        <v>88</v>
      </c>
      <c r="I26" s="142" t="s">
        <v>25</v>
      </c>
      <c r="J26" s="142">
        <v>85.95</v>
      </c>
      <c r="K26" s="142">
        <v>267.11</v>
      </c>
      <c r="L26" s="142"/>
      <c r="M26" s="142">
        <v>0.21725393155117001</v>
      </c>
      <c r="N26" s="142">
        <v>0.47121547226682697</v>
      </c>
      <c r="O26" s="142"/>
      <c r="P26" s="142"/>
      <c r="Q26" s="142">
        <v>54.730911809497599</v>
      </c>
      <c r="R26" s="142">
        <v>7.9721317603751496</v>
      </c>
      <c r="S26" s="142"/>
      <c r="T26" s="142"/>
      <c r="U26" s="142"/>
      <c r="V26" s="142"/>
      <c r="W26" s="142"/>
      <c r="X26" s="142"/>
      <c r="Y26" s="142"/>
      <c r="Z26" s="142"/>
      <c r="AA26" s="142"/>
      <c r="AB26" s="142"/>
      <c r="AC26" s="142"/>
      <c r="AD26" s="142">
        <v>11.6301430299569</v>
      </c>
      <c r="AE26" s="142">
        <v>0.43715783417458398</v>
      </c>
      <c r="AF26" s="142">
        <v>8.5274339867040592</v>
      </c>
      <c r="AG26" s="142">
        <v>1.96796310385764</v>
      </c>
      <c r="AH26" s="142">
        <v>2.5001912038720402</v>
      </c>
      <c r="AI26" s="142">
        <v>12.041216561838599</v>
      </c>
      <c r="AJ26" s="142"/>
      <c r="AK26" s="142">
        <v>1.94038040414269E-13</v>
      </c>
      <c r="AL26" s="142">
        <v>233.64275512213499</v>
      </c>
      <c r="AM26" s="142">
        <v>7.5601968849460697</v>
      </c>
      <c r="AN26" s="142">
        <v>5.5617204745840301</v>
      </c>
      <c r="AO26" s="142"/>
      <c r="AP26" s="142"/>
      <c r="AQ26" s="143">
        <v>5.8054691462631398</v>
      </c>
    </row>
    <row r="27" spans="2:43" ht="12" customHeight="1" x14ac:dyDescent="0.25">
      <c r="B27" s="141" t="s">
        <v>45</v>
      </c>
      <c r="C27" s="142" t="s">
        <v>23</v>
      </c>
      <c r="D27" s="142" t="s">
        <v>25</v>
      </c>
      <c r="E27" s="142" t="s">
        <v>25</v>
      </c>
      <c r="F27" s="142" t="s">
        <v>25</v>
      </c>
      <c r="G27" s="142" t="s">
        <v>25</v>
      </c>
      <c r="H27" s="142" t="s">
        <v>91</v>
      </c>
      <c r="I27" s="142" t="s">
        <v>25</v>
      </c>
      <c r="J27" s="142">
        <v>30.35</v>
      </c>
      <c r="K27" s="142"/>
      <c r="L27" s="142"/>
      <c r="M27" s="142"/>
      <c r="N27" s="142"/>
      <c r="O27" s="142"/>
      <c r="P27" s="142"/>
      <c r="Q27" s="142"/>
      <c r="R27" s="142"/>
      <c r="S27" s="142"/>
      <c r="T27" s="142">
        <v>10.692189449908501</v>
      </c>
      <c r="U27" s="142">
        <v>2.7977265470591899</v>
      </c>
      <c r="V27" s="142">
        <v>0.371072636106756</v>
      </c>
      <c r="W27" s="142"/>
      <c r="X27" s="142"/>
      <c r="Y27" s="142"/>
      <c r="Z27" s="142"/>
      <c r="AA27" s="142">
        <v>16.489446140731602</v>
      </c>
      <c r="AB27" s="142"/>
      <c r="AC27" s="142"/>
      <c r="AD27" s="142"/>
      <c r="AE27" s="142"/>
      <c r="AF27" s="142"/>
      <c r="AG27" s="142"/>
      <c r="AH27" s="142"/>
      <c r="AI27" s="142"/>
      <c r="AJ27" s="142"/>
      <c r="AK27" s="142"/>
      <c r="AL27" s="142"/>
      <c r="AM27" s="142"/>
      <c r="AN27" s="142"/>
      <c r="AO27" s="142"/>
      <c r="AP27" s="142"/>
      <c r="AQ27" s="143"/>
    </row>
    <row r="28" spans="2:43" ht="12" customHeight="1" x14ac:dyDescent="0.25">
      <c r="B28" s="141" t="s">
        <v>45</v>
      </c>
      <c r="C28" s="142" t="s">
        <v>64</v>
      </c>
      <c r="D28" s="142" t="s">
        <v>25</v>
      </c>
      <c r="E28" s="142" t="s">
        <v>25</v>
      </c>
      <c r="F28" s="142" t="s">
        <v>25</v>
      </c>
      <c r="G28" s="142" t="s">
        <v>25</v>
      </c>
      <c r="H28" s="142" t="s">
        <v>91</v>
      </c>
      <c r="I28" s="142" t="s">
        <v>25</v>
      </c>
      <c r="J28" s="142">
        <v>3.71</v>
      </c>
      <c r="K28" s="142"/>
      <c r="L28" s="142"/>
      <c r="M28" s="142">
        <v>1.2007449344999199E-2</v>
      </c>
      <c r="N28" s="142">
        <v>4.6154695573308903E-2</v>
      </c>
      <c r="O28" s="142"/>
      <c r="P28" s="142"/>
      <c r="Q28" s="142"/>
      <c r="R28" s="142"/>
      <c r="S28" s="142"/>
      <c r="T28" s="142"/>
      <c r="U28" s="142"/>
      <c r="V28" s="142"/>
      <c r="W28" s="142"/>
      <c r="X28" s="142"/>
      <c r="Y28" s="142"/>
      <c r="Z28" s="142"/>
      <c r="AA28" s="142">
        <v>3.6472831738600302</v>
      </c>
      <c r="AB28" s="142"/>
      <c r="AC28" s="142"/>
      <c r="AD28" s="142">
        <v>1.56588909692317E-3</v>
      </c>
      <c r="AE28" s="142"/>
      <c r="AF28" s="142"/>
      <c r="AG28" s="142"/>
      <c r="AH28" s="142"/>
      <c r="AI28" s="142"/>
      <c r="AJ28" s="142"/>
      <c r="AK28" s="142"/>
      <c r="AL28" s="142"/>
      <c r="AM28" s="142"/>
      <c r="AN28" s="142"/>
      <c r="AO28" s="142"/>
      <c r="AP28" s="142"/>
      <c r="AQ28" s="143"/>
    </row>
    <row r="29" spans="2:43" ht="12" customHeight="1" x14ac:dyDescent="0.25">
      <c r="B29" s="141" t="s">
        <v>45</v>
      </c>
      <c r="C29" s="142" t="s">
        <v>34</v>
      </c>
      <c r="D29" s="142" t="s">
        <v>25</v>
      </c>
      <c r="E29" s="142" t="s">
        <v>25</v>
      </c>
      <c r="F29" s="142" t="s">
        <v>61</v>
      </c>
      <c r="G29" s="142" t="s">
        <v>35</v>
      </c>
      <c r="H29" s="142" t="s">
        <v>88</v>
      </c>
      <c r="I29" s="142" t="s">
        <v>25</v>
      </c>
      <c r="J29" s="142">
        <v>671.43</v>
      </c>
      <c r="K29" s="142"/>
      <c r="L29" s="142"/>
      <c r="M29" s="142">
        <v>0.21725393155117001</v>
      </c>
      <c r="N29" s="142">
        <v>6.1177953972620402</v>
      </c>
      <c r="O29" s="142"/>
      <c r="P29" s="142"/>
      <c r="Q29" s="142"/>
      <c r="R29" s="142"/>
      <c r="S29" s="142"/>
      <c r="T29" s="142">
        <v>187.198842826944</v>
      </c>
      <c r="U29" s="142">
        <v>47.005520373871697</v>
      </c>
      <c r="V29" s="142">
        <v>6.5677470271692604</v>
      </c>
      <c r="W29" s="142"/>
      <c r="X29" s="142"/>
      <c r="Y29" s="142"/>
      <c r="Z29" s="142"/>
      <c r="AA29" s="142">
        <v>401.75755134468199</v>
      </c>
      <c r="AB29" s="142"/>
      <c r="AC29" s="142"/>
      <c r="AD29" s="142">
        <v>11.6301430299569</v>
      </c>
      <c r="AE29" s="142">
        <v>0.43715783417458398</v>
      </c>
      <c r="AF29" s="142">
        <v>8.5274339867040592</v>
      </c>
      <c r="AG29" s="142">
        <v>1.96796310385764</v>
      </c>
      <c r="AH29" s="142"/>
      <c r="AI29" s="142"/>
      <c r="AJ29" s="142"/>
      <c r="AK29" s="142"/>
      <c r="AL29" s="142"/>
      <c r="AM29" s="142"/>
      <c r="AN29" s="142"/>
      <c r="AO29" s="142"/>
      <c r="AP29" s="142"/>
      <c r="AQ29" s="143"/>
    </row>
    <row r="30" spans="2:43" ht="12" customHeight="1" x14ac:dyDescent="0.25">
      <c r="B30" s="141" t="s">
        <v>45</v>
      </c>
      <c r="C30" s="142" t="s">
        <v>34</v>
      </c>
      <c r="D30" s="142" t="s">
        <v>25</v>
      </c>
      <c r="E30" s="142" t="s">
        <v>25</v>
      </c>
      <c r="F30" s="142" t="s">
        <v>61</v>
      </c>
      <c r="G30" s="142" t="s">
        <v>25</v>
      </c>
      <c r="H30" s="142" t="s">
        <v>91</v>
      </c>
      <c r="I30" s="142" t="s">
        <v>25</v>
      </c>
      <c r="J30" s="142">
        <v>11.11</v>
      </c>
      <c r="K30" s="142"/>
      <c r="L30" s="142"/>
      <c r="M30" s="142"/>
      <c r="N30" s="142"/>
      <c r="O30" s="142"/>
      <c r="P30" s="142"/>
      <c r="Q30" s="142"/>
      <c r="R30" s="142"/>
      <c r="S30" s="142"/>
      <c r="T30" s="142">
        <v>5.0876257293118101</v>
      </c>
      <c r="U30" s="142">
        <v>1.3902405980645001</v>
      </c>
      <c r="V30" s="142">
        <v>0.17479788163871299</v>
      </c>
      <c r="W30" s="142"/>
      <c r="X30" s="142"/>
      <c r="Y30" s="142"/>
      <c r="Z30" s="142"/>
      <c r="AA30" s="142">
        <v>4.4617852677044301</v>
      </c>
      <c r="AB30" s="142"/>
      <c r="AC30" s="142"/>
      <c r="AD30" s="142"/>
      <c r="AE30" s="142"/>
      <c r="AF30" s="142"/>
      <c r="AG30" s="142"/>
      <c r="AH30" s="142"/>
      <c r="AI30" s="142"/>
      <c r="AJ30" s="142"/>
      <c r="AK30" s="142"/>
      <c r="AL30" s="142"/>
      <c r="AM30" s="142"/>
      <c r="AN30" s="142"/>
      <c r="AO30" s="142"/>
      <c r="AP30" s="142"/>
      <c r="AQ30" s="143"/>
    </row>
    <row r="31" spans="2:43" ht="12" customHeight="1" x14ac:dyDescent="0.25">
      <c r="B31" s="141" t="s">
        <v>45</v>
      </c>
      <c r="C31" s="142" t="s">
        <v>34</v>
      </c>
      <c r="D31" s="142" t="s">
        <v>25</v>
      </c>
      <c r="E31" s="142" t="s">
        <v>25</v>
      </c>
      <c r="F31" s="142" t="s">
        <v>61</v>
      </c>
      <c r="G31" s="142" t="s">
        <v>36</v>
      </c>
      <c r="H31" s="142" t="s">
        <v>88</v>
      </c>
      <c r="I31" s="142" t="s">
        <v>25</v>
      </c>
      <c r="J31" s="142">
        <v>23.24</v>
      </c>
      <c r="K31" s="142"/>
      <c r="L31" s="142"/>
      <c r="M31" s="142">
        <v>0.21725393155117001</v>
      </c>
      <c r="N31" s="142">
        <v>0.45674691566077402</v>
      </c>
      <c r="O31" s="142"/>
      <c r="P31" s="142"/>
      <c r="Q31" s="142"/>
      <c r="R31" s="142"/>
      <c r="S31" s="142"/>
      <c r="T31" s="142"/>
      <c r="U31" s="142"/>
      <c r="V31" s="142"/>
      <c r="W31" s="142"/>
      <c r="X31" s="142"/>
      <c r="Y31" s="142"/>
      <c r="Z31" s="142"/>
      <c r="AA31" s="142"/>
      <c r="AB31" s="142"/>
      <c r="AC31" s="142"/>
      <c r="AD31" s="142">
        <v>11.6301430299569</v>
      </c>
      <c r="AE31" s="142">
        <v>0.43715783417458398</v>
      </c>
      <c r="AF31" s="142">
        <v>8.5274339867040592</v>
      </c>
      <c r="AG31" s="142">
        <v>1.96796310385764</v>
      </c>
      <c r="AH31" s="142"/>
      <c r="AI31" s="142"/>
      <c r="AJ31" s="142"/>
      <c r="AK31" s="142"/>
      <c r="AL31" s="142"/>
      <c r="AM31" s="142"/>
      <c r="AN31" s="142"/>
      <c r="AO31" s="142"/>
      <c r="AP31" s="142"/>
      <c r="AQ31" s="143"/>
    </row>
    <row r="32" spans="2:43" ht="12" customHeight="1" x14ac:dyDescent="0.25">
      <c r="B32" s="141" t="s">
        <v>45</v>
      </c>
      <c r="C32" s="142" t="s">
        <v>34</v>
      </c>
      <c r="D32" s="142" t="s">
        <v>25</v>
      </c>
      <c r="E32" s="142" t="s">
        <v>25</v>
      </c>
      <c r="F32" s="142" t="s">
        <v>25</v>
      </c>
      <c r="G32" s="142" t="s">
        <v>35</v>
      </c>
      <c r="H32" s="142" t="s">
        <v>88</v>
      </c>
      <c r="I32" s="142" t="s">
        <v>25</v>
      </c>
      <c r="J32" s="142">
        <v>734.14</v>
      </c>
      <c r="K32" s="142">
        <v>412.59</v>
      </c>
      <c r="L32" s="142"/>
      <c r="M32" s="142">
        <v>0.21725393155117001</v>
      </c>
      <c r="N32" s="142">
        <v>6.1322639538680903</v>
      </c>
      <c r="O32" s="142"/>
      <c r="P32" s="142"/>
      <c r="Q32" s="142">
        <v>54.730911809497599</v>
      </c>
      <c r="R32" s="142">
        <v>7.9721317603751496</v>
      </c>
      <c r="S32" s="142"/>
      <c r="T32" s="142">
        <v>187.198842826944</v>
      </c>
      <c r="U32" s="142">
        <v>47.005520373871697</v>
      </c>
      <c r="V32" s="142">
        <v>6.5677470271692604</v>
      </c>
      <c r="W32" s="142"/>
      <c r="X32" s="142"/>
      <c r="Y32" s="142"/>
      <c r="Z32" s="142"/>
      <c r="AA32" s="142">
        <v>401.75755134468199</v>
      </c>
      <c r="AB32" s="142"/>
      <c r="AC32" s="142"/>
      <c r="AD32" s="142">
        <v>11.6301430299569</v>
      </c>
      <c r="AE32" s="142">
        <v>0.43715783417458398</v>
      </c>
      <c r="AF32" s="142">
        <v>8.5274339867040592</v>
      </c>
      <c r="AG32" s="142">
        <v>1.96796310385764</v>
      </c>
      <c r="AH32" s="142">
        <v>2.5001912038720402</v>
      </c>
      <c r="AI32" s="142">
        <v>12.041216561838599</v>
      </c>
      <c r="AJ32" s="142"/>
      <c r="AK32" s="142">
        <v>1.94038040414269E-13</v>
      </c>
      <c r="AL32" s="142">
        <v>379.11843283969102</v>
      </c>
      <c r="AM32" s="142">
        <v>7.5601968849460697</v>
      </c>
      <c r="AN32" s="142">
        <v>5.5617204745840301</v>
      </c>
      <c r="AO32" s="142"/>
      <c r="AP32" s="142"/>
      <c r="AQ32" s="143">
        <v>5.8054691462631398</v>
      </c>
    </row>
    <row r="33" spans="2:43" ht="12" customHeight="1" x14ac:dyDescent="0.25">
      <c r="B33" s="141" t="s">
        <v>45</v>
      </c>
      <c r="C33" s="142" t="s">
        <v>34</v>
      </c>
      <c r="D33" s="142" t="s">
        <v>25</v>
      </c>
      <c r="E33" s="142" t="s">
        <v>25</v>
      </c>
      <c r="F33" s="142" t="s">
        <v>25</v>
      </c>
      <c r="G33" s="142" t="s">
        <v>25</v>
      </c>
      <c r="H33" s="142" t="s">
        <v>91</v>
      </c>
      <c r="I33" s="142" t="s">
        <v>25</v>
      </c>
      <c r="J33" s="142">
        <v>11.11</v>
      </c>
      <c r="K33" s="142"/>
      <c r="L33" s="142"/>
      <c r="M33" s="142"/>
      <c r="N33" s="142"/>
      <c r="O33" s="142"/>
      <c r="P33" s="142"/>
      <c r="Q33" s="142"/>
      <c r="R33" s="142"/>
      <c r="S33" s="142"/>
      <c r="T33" s="142">
        <v>5.0876257293118101</v>
      </c>
      <c r="U33" s="142">
        <v>1.3902405980645001</v>
      </c>
      <c r="V33" s="142">
        <v>0.17479788163871299</v>
      </c>
      <c r="W33" s="142"/>
      <c r="X33" s="142"/>
      <c r="Y33" s="142"/>
      <c r="Z33" s="142"/>
      <c r="AA33" s="142">
        <v>4.4617852677044301</v>
      </c>
      <c r="AB33" s="142"/>
      <c r="AC33" s="142"/>
      <c r="AD33" s="142"/>
      <c r="AE33" s="142"/>
      <c r="AF33" s="142"/>
      <c r="AG33" s="142"/>
      <c r="AH33" s="142"/>
      <c r="AI33" s="142"/>
      <c r="AJ33" s="142"/>
      <c r="AK33" s="142"/>
      <c r="AL33" s="142"/>
      <c r="AM33" s="142"/>
      <c r="AN33" s="142"/>
      <c r="AO33" s="142"/>
      <c r="AP33" s="142"/>
      <c r="AQ33" s="143"/>
    </row>
    <row r="34" spans="2:43" ht="12" customHeight="1" x14ac:dyDescent="0.25">
      <c r="B34" s="141" t="s">
        <v>45</v>
      </c>
      <c r="C34" s="142" t="s">
        <v>34</v>
      </c>
      <c r="D34" s="142" t="s">
        <v>25</v>
      </c>
      <c r="E34" s="142" t="s">
        <v>25</v>
      </c>
      <c r="F34" s="142" t="s">
        <v>25</v>
      </c>
      <c r="G34" s="142" t="s">
        <v>36</v>
      </c>
      <c r="H34" s="142" t="s">
        <v>88</v>
      </c>
      <c r="I34" s="142" t="s">
        <v>25</v>
      </c>
      <c r="J34" s="142">
        <v>85.95</v>
      </c>
      <c r="K34" s="142">
        <v>253.89</v>
      </c>
      <c r="L34" s="142"/>
      <c r="M34" s="142">
        <v>0.21725393155117001</v>
      </c>
      <c r="N34" s="142">
        <v>0.47121547226682697</v>
      </c>
      <c r="O34" s="142"/>
      <c r="P34" s="142"/>
      <c r="Q34" s="142">
        <v>54.730911809497599</v>
      </c>
      <c r="R34" s="142">
        <v>7.9721317603751496</v>
      </c>
      <c r="S34" s="142"/>
      <c r="T34" s="142"/>
      <c r="U34" s="142"/>
      <c r="V34" s="142"/>
      <c r="W34" s="142"/>
      <c r="X34" s="142"/>
      <c r="Y34" s="142"/>
      <c r="Z34" s="142"/>
      <c r="AA34" s="142"/>
      <c r="AB34" s="142"/>
      <c r="AC34" s="142"/>
      <c r="AD34" s="142">
        <v>11.6301430299569</v>
      </c>
      <c r="AE34" s="142">
        <v>0.43715783417458398</v>
      </c>
      <c r="AF34" s="142">
        <v>8.5274339867040592</v>
      </c>
      <c r="AG34" s="142">
        <v>1.96796310385764</v>
      </c>
      <c r="AH34" s="142">
        <v>2.5001912038720402</v>
      </c>
      <c r="AI34" s="142">
        <v>12.041216561838599</v>
      </c>
      <c r="AJ34" s="142"/>
      <c r="AK34" s="142">
        <v>1.94038040414269E-13</v>
      </c>
      <c r="AL34" s="142">
        <v>220.41769351144799</v>
      </c>
      <c r="AM34" s="142">
        <v>7.5601968849460697</v>
      </c>
      <c r="AN34" s="142">
        <v>5.5617204745840301</v>
      </c>
      <c r="AO34" s="142"/>
      <c r="AP34" s="142"/>
      <c r="AQ34" s="143">
        <v>5.8054691462631398</v>
      </c>
    </row>
    <row r="35" spans="2:43" ht="12" customHeight="1" x14ac:dyDescent="0.25">
      <c r="B35" s="141" t="s">
        <v>33</v>
      </c>
      <c r="C35" s="142" t="s">
        <v>41</v>
      </c>
      <c r="D35" s="142" t="s">
        <v>25</v>
      </c>
      <c r="E35" s="142" t="s">
        <v>25</v>
      </c>
      <c r="F35" s="142" t="s">
        <v>61</v>
      </c>
      <c r="G35" s="142" t="s">
        <v>35</v>
      </c>
      <c r="H35" s="142" t="s">
        <v>88</v>
      </c>
      <c r="I35" s="142" t="s">
        <v>25</v>
      </c>
      <c r="J35" s="142">
        <v>23.24</v>
      </c>
      <c r="K35" s="142"/>
      <c r="L35" s="142"/>
      <c r="M35" s="142">
        <v>0.21725393155117001</v>
      </c>
      <c r="N35" s="142">
        <v>0.45674691566077402</v>
      </c>
      <c r="O35" s="142"/>
      <c r="P35" s="142"/>
      <c r="Q35" s="142"/>
      <c r="R35" s="142"/>
      <c r="S35" s="142"/>
      <c r="T35" s="142"/>
      <c r="U35" s="142"/>
      <c r="V35" s="142"/>
      <c r="W35" s="142"/>
      <c r="X35" s="142"/>
      <c r="Y35" s="142"/>
      <c r="Z35" s="142"/>
      <c r="AA35" s="142"/>
      <c r="AB35" s="142"/>
      <c r="AC35" s="142"/>
      <c r="AD35" s="142">
        <v>11.6301430299569</v>
      </c>
      <c r="AE35" s="142">
        <v>0.43715783417458398</v>
      </c>
      <c r="AF35" s="142">
        <v>8.5274339867040592</v>
      </c>
      <c r="AG35" s="142">
        <v>1.96796310385764</v>
      </c>
      <c r="AH35" s="142"/>
      <c r="AI35" s="142"/>
      <c r="AJ35" s="142"/>
      <c r="AK35" s="142"/>
      <c r="AL35" s="142"/>
      <c r="AM35" s="142"/>
      <c r="AN35" s="142"/>
      <c r="AO35" s="142"/>
      <c r="AP35" s="142"/>
      <c r="AQ35" s="143"/>
    </row>
    <row r="36" spans="2:43" ht="12" customHeight="1" x14ac:dyDescent="0.25">
      <c r="B36" s="141" t="s">
        <v>33</v>
      </c>
      <c r="C36" s="142" t="s">
        <v>41</v>
      </c>
      <c r="D36" s="142" t="s">
        <v>25</v>
      </c>
      <c r="E36" s="142" t="s">
        <v>25</v>
      </c>
      <c r="F36" s="142" t="s">
        <v>61</v>
      </c>
      <c r="G36" s="142" t="s">
        <v>35</v>
      </c>
      <c r="H36" s="142" t="s">
        <v>91</v>
      </c>
      <c r="I36" s="142" t="s">
        <v>25</v>
      </c>
      <c r="J36" s="142">
        <v>26.72</v>
      </c>
      <c r="K36" s="142"/>
      <c r="L36" s="142"/>
      <c r="M36" s="142"/>
      <c r="N36" s="142"/>
      <c r="O36" s="142"/>
      <c r="P36" s="142"/>
      <c r="Q36" s="142"/>
      <c r="R36" s="142"/>
      <c r="S36" s="142"/>
      <c r="T36" s="142">
        <v>7.7836271510126398</v>
      </c>
      <c r="U36" s="142">
        <v>1.9544731054214699</v>
      </c>
      <c r="V36" s="142">
        <v>0.27323354877314199</v>
      </c>
      <c r="W36" s="142"/>
      <c r="X36" s="142"/>
      <c r="Y36" s="142"/>
      <c r="Z36" s="142"/>
      <c r="AA36" s="142">
        <v>16.7050462578019</v>
      </c>
      <c r="AB36" s="142"/>
      <c r="AC36" s="142"/>
      <c r="AD36" s="142"/>
      <c r="AE36" s="142"/>
      <c r="AF36" s="142"/>
      <c r="AG36" s="142"/>
      <c r="AH36" s="142"/>
      <c r="AI36" s="142"/>
      <c r="AJ36" s="142"/>
      <c r="AK36" s="142"/>
      <c r="AL36" s="142"/>
      <c r="AM36" s="142"/>
      <c r="AN36" s="142"/>
      <c r="AO36" s="142"/>
      <c r="AP36" s="142"/>
      <c r="AQ36" s="143"/>
    </row>
    <row r="37" spans="2:43" ht="12" customHeight="1" x14ac:dyDescent="0.25">
      <c r="B37" s="141" t="s">
        <v>33</v>
      </c>
      <c r="C37" s="142" t="s">
        <v>41</v>
      </c>
      <c r="D37" s="142" t="s">
        <v>25</v>
      </c>
      <c r="E37" s="142" t="s">
        <v>25</v>
      </c>
      <c r="F37" s="142" t="s">
        <v>61</v>
      </c>
      <c r="G37" s="142" t="s">
        <v>36</v>
      </c>
      <c r="H37" s="142" t="s">
        <v>88</v>
      </c>
      <c r="I37" s="142" t="s">
        <v>25</v>
      </c>
      <c r="J37" s="142">
        <v>23.24</v>
      </c>
      <c r="K37" s="142"/>
      <c r="L37" s="142"/>
      <c r="M37" s="142">
        <v>0.21725393155117001</v>
      </c>
      <c r="N37" s="142">
        <v>0.45674691566077402</v>
      </c>
      <c r="O37" s="142"/>
      <c r="P37" s="142"/>
      <c r="Q37" s="142"/>
      <c r="R37" s="142"/>
      <c r="S37" s="142"/>
      <c r="T37" s="142"/>
      <c r="U37" s="142"/>
      <c r="V37" s="142"/>
      <c r="W37" s="142"/>
      <c r="X37" s="142"/>
      <c r="Y37" s="142"/>
      <c r="Z37" s="142"/>
      <c r="AA37" s="142"/>
      <c r="AB37" s="142"/>
      <c r="AC37" s="142"/>
      <c r="AD37" s="142">
        <v>11.6301430299569</v>
      </c>
      <c r="AE37" s="142">
        <v>0.43715783417458398</v>
      </c>
      <c r="AF37" s="142">
        <v>8.5274339867040592</v>
      </c>
      <c r="AG37" s="142">
        <v>1.96796310385764</v>
      </c>
      <c r="AH37" s="142"/>
      <c r="AI37" s="142"/>
      <c r="AJ37" s="142"/>
      <c r="AK37" s="142"/>
      <c r="AL37" s="142"/>
      <c r="AM37" s="142"/>
      <c r="AN37" s="142"/>
      <c r="AO37" s="142"/>
      <c r="AP37" s="142"/>
      <c r="AQ37" s="143"/>
    </row>
    <row r="38" spans="2:43" ht="12" customHeight="1" x14ac:dyDescent="0.25">
      <c r="B38" s="141" t="s">
        <v>33</v>
      </c>
      <c r="C38" s="142" t="s">
        <v>41</v>
      </c>
      <c r="D38" s="142" t="s">
        <v>25</v>
      </c>
      <c r="E38" s="142" t="s">
        <v>25</v>
      </c>
      <c r="F38" s="142" t="s">
        <v>61</v>
      </c>
      <c r="G38" s="142" t="s">
        <v>36</v>
      </c>
      <c r="H38" s="142" t="s">
        <v>91</v>
      </c>
      <c r="I38" s="142" t="s">
        <v>25</v>
      </c>
      <c r="J38" s="142">
        <v>11.11</v>
      </c>
      <c r="K38" s="142"/>
      <c r="L38" s="142"/>
      <c r="M38" s="142"/>
      <c r="N38" s="142"/>
      <c r="O38" s="142"/>
      <c r="P38" s="142"/>
      <c r="Q38" s="142"/>
      <c r="R38" s="142"/>
      <c r="S38" s="142"/>
      <c r="T38" s="142">
        <v>5.0876257293118101</v>
      </c>
      <c r="U38" s="142">
        <v>1.3902405980645001</v>
      </c>
      <c r="V38" s="142">
        <v>0.17479788163871299</v>
      </c>
      <c r="W38" s="142"/>
      <c r="X38" s="142"/>
      <c r="Y38" s="142"/>
      <c r="Z38" s="142"/>
      <c r="AA38" s="142">
        <v>4.4617852677044301</v>
      </c>
      <c r="AB38" s="142"/>
      <c r="AC38" s="142"/>
      <c r="AD38" s="142"/>
      <c r="AE38" s="142"/>
      <c r="AF38" s="142"/>
      <c r="AG38" s="142"/>
      <c r="AH38" s="142"/>
      <c r="AI38" s="142"/>
      <c r="AJ38" s="142"/>
      <c r="AK38" s="142"/>
      <c r="AL38" s="142"/>
      <c r="AM38" s="142"/>
      <c r="AN38" s="142"/>
      <c r="AO38" s="142"/>
      <c r="AP38" s="142"/>
      <c r="AQ38" s="143"/>
    </row>
    <row r="39" spans="2:43" ht="12" customHeight="1" x14ac:dyDescent="0.25">
      <c r="B39" s="141" t="s">
        <v>33</v>
      </c>
      <c r="C39" s="142" t="s">
        <v>41</v>
      </c>
      <c r="D39" s="142" t="s">
        <v>25</v>
      </c>
      <c r="E39" s="142" t="s">
        <v>25</v>
      </c>
      <c r="F39" s="142" t="s">
        <v>25</v>
      </c>
      <c r="G39" s="142" t="s">
        <v>35</v>
      </c>
      <c r="H39" s="142" t="s">
        <v>88</v>
      </c>
      <c r="I39" s="142" t="s">
        <v>25</v>
      </c>
      <c r="J39" s="142">
        <v>85.95</v>
      </c>
      <c r="K39" s="142">
        <v>412.59</v>
      </c>
      <c r="L39" s="142"/>
      <c r="M39" s="142">
        <v>0.21725393155117001</v>
      </c>
      <c r="N39" s="142">
        <v>0.47121547226682697</v>
      </c>
      <c r="O39" s="142"/>
      <c r="P39" s="142"/>
      <c r="Q39" s="142">
        <v>54.730911809497599</v>
      </c>
      <c r="R39" s="142">
        <v>7.9721317603751496</v>
      </c>
      <c r="S39" s="142"/>
      <c r="T39" s="142"/>
      <c r="U39" s="142"/>
      <c r="V39" s="142"/>
      <c r="W39" s="142"/>
      <c r="X39" s="142"/>
      <c r="Y39" s="142"/>
      <c r="Z39" s="142"/>
      <c r="AA39" s="142"/>
      <c r="AB39" s="142"/>
      <c r="AC39" s="142"/>
      <c r="AD39" s="142">
        <v>11.6301430299569</v>
      </c>
      <c r="AE39" s="142">
        <v>0.43715783417458398</v>
      </c>
      <c r="AF39" s="142">
        <v>8.5274339867040592</v>
      </c>
      <c r="AG39" s="142">
        <v>1.96796310385764</v>
      </c>
      <c r="AH39" s="142">
        <v>2.5001912038720402</v>
      </c>
      <c r="AI39" s="142">
        <v>12.041216561838599</v>
      </c>
      <c r="AJ39" s="142"/>
      <c r="AK39" s="142">
        <v>1.94038040414269E-13</v>
      </c>
      <c r="AL39" s="142">
        <v>379.11843283969102</v>
      </c>
      <c r="AM39" s="142">
        <v>7.5601968849460697</v>
      </c>
      <c r="AN39" s="142">
        <v>5.5617204745840301</v>
      </c>
      <c r="AO39" s="142"/>
      <c r="AP39" s="142"/>
      <c r="AQ39" s="143">
        <v>5.8054691462631398</v>
      </c>
    </row>
    <row r="40" spans="2:43" ht="12" customHeight="1" x14ac:dyDescent="0.25">
      <c r="B40" s="141" t="s">
        <v>33</v>
      </c>
      <c r="C40" s="142" t="s">
        <v>41</v>
      </c>
      <c r="D40" s="142" t="s">
        <v>25</v>
      </c>
      <c r="E40" s="142" t="s">
        <v>25</v>
      </c>
      <c r="F40" s="142" t="s">
        <v>25</v>
      </c>
      <c r="G40" s="142" t="s">
        <v>35</v>
      </c>
      <c r="H40" s="142" t="s">
        <v>91</v>
      </c>
      <c r="I40" s="142" t="s">
        <v>25</v>
      </c>
      <c r="J40" s="142">
        <v>26.72</v>
      </c>
      <c r="K40" s="142"/>
      <c r="L40" s="142"/>
      <c r="M40" s="142"/>
      <c r="N40" s="142"/>
      <c r="O40" s="142"/>
      <c r="P40" s="142"/>
      <c r="Q40" s="142"/>
      <c r="R40" s="142"/>
      <c r="S40" s="142"/>
      <c r="T40" s="142">
        <v>7.7836271510126398</v>
      </c>
      <c r="U40" s="142">
        <v>1.9544731054214699</v>
      </c>
      <c r="V40" s="142">
        <v>0.27323354877314199</v>
      </c>
      <c r="W40" s="142"/>
      <c r="X40" s="142"/>
      <c r="Y40" s="142"/>
      <c r="Z40" s="142"/>
      <c r="AA40" s="142">
        <v>16.7050462578019</v>
      </c>
      <c r="AB40" s="142"/>
      <c r="AC40" s="142"/>
      <c r="AD40" s="142"/>
      <c r="AE40" s="142"/>
      <c r="AF40" s="142"/>
      <c r="AG40" s="142"/>
      <c r="AH40" s="142"/>
      <c r="AI40" s="142"/>
      <c r="AJ40" s="142"/>
      <c r="AK40" s="142"/>
      <c r="AL40" s="142"/>
      <c r="AM40" s="142"/>
      <c r="AN40" s="142"/>
      <c r="AO40" s="142"/>
      <c r="AP40" s="142"/>
      <c r="AQ40" s="143"/>
    </row>
    <row r="41" spans="2:43" ht="12" customHeight="1" x14ac:dyDescent="0.25">
      <c r="B41" s="141" t="s">
        <v>33</v>
      </c>
      <c r="C41" s="142" t="s">
        <v>41</v>
      </c>
      <c r="D41" s="142" t="s">
        <v>25</v>
      </c>
      <c r="E41" s="142" t="s">
        <v>25</v>
      </c>
      <c r="F41" s="142" t="s">
        <v>25</v>
      </c>
      <c r="G41" s="142" t="s">
        <v>36</v>
      </c>
      <c r="H41" s="142" t="s">
        <v>88</v>
      </c>
      <c r="I41" s="142" t="s">
        <v>25</v>
      </c>
      <c r="J41" s="142">
        <v>85.95</v>
      </c>
      <c r="K41" s="142">
        <v>253.89</v>
      </c>
      <c r="L41" s="142"/>
      <c r="M41" s="142">
        <v>0.21725393155117001</v>
      </c>
      <c r="N41" s="142">
        <v>0.47121547226682697</v>
      </c>
      <c r="O41" s="142"/>
      <c r="P41" s="142"/>
      <c r="Q41" s="142">
        <v>54.730911809497599</v>
      </c>
      <c r="R41" s="142">
        <v>7.9721317603751496</v>
      </c>
      <c r="S41" s="142"/>
      <c r="T41" s="142"/>
      <c r="U41" s="142"/>
      <c r="V41" s="142"/>
      <c r="W41" s="142"/>
      <c r="X41" s="142"/>
      <c r="Y41" s="142"/>
      <c r="Z41" s="142"/>
      <c r="AA41" s="142"/>
      <c r="AB41" s="142"/>
      <c r="AC41" s="142"/>
      <c r="AD41" s="142">
        <v>11.6301430299569</v>
      </c>
      <c r="AE41" s="142">
        <v>0.43715783417458398</v>
      </c>
      <c r="AF41" s="142">
        <v>8.5274339867040592</v>
      </c>
      <c r="AG41" s="142">
        <v>1.96796310385764</v>
      </c>
      <c r="AH41" s="142">
        <v>2.5001912038720402</v>
      </c>
      <c r="AI41" s="142">
        <v>12.041216561838599</v>
      </c>
      <c r="AJ41" s="142"/>
      <c r="AK41" s="142">
        <v>1.94038040414269E-13</v>
      </c>
      <c r="AL41" s="142">
        <v>220.41769351144799</v>
      </c>
      <c r="AM41" s="142">
        <v>7.5601968849460697</v>
      </c>
      <c r="AN41" s="142">
        <v>5.5617204745840301</v>
      </c>
      <c r="AO41" s="142"/>
      <c r="AP41" s="142"/>
      <c r="AQ41" s="143">
        <v>5.8054691462631398</v>
      </c>
    </row>
    <row r="42" spans="2:43" ht="12" customHeight="1" x14ac:dyDescent="0.25">
      <c r="B42" s="141" t="s">
        <v>33</v>
      </c>
      <c r="C42" s="142" t="s">
        <v>41</v>
      </c>
      <c r="D42" s="142" t="s">
        <v>25</v>
      </c>
      <c r="E42" s="142" t="s">
        <v>25</v>
      </c>
      <c r="F42" s="142" t="s">
        <v>25</v>
      </c>
      <c r="G42" s="142" t="s">
        <v>36</v>
      </c>
      <c r="H42" s="142" t="s">
        <v>91</v>
      </c>
      <c r="I42" s="142" t="s">
        <v>25</v>
      </c>
      <c r="J42" s="142">
        <v>11.11</v>
      </c>
      <c r="K42" s="142"/>
      <c r="L42" s="142"/>
      <c r="M42" s="142"/>
      <c r="N42" s="142"/>
      <c r="O42" s="142"/>
      <c r="P42" s="142"/>
      <c r="Q42" s="142"/>
      <c r="R42" s="142"/>
      <c r="S42" s="142"/>
      <c r="T42" s="142">
        <v>5.0876257293118101</v>
      </c>
      <c r="U42" s="142">
        <v>1.3902405980645001</v>
      </c>
      <c r="V42" s="142">
        <v>0.17479788163871299</v>
      </c>
      <c r="W42" s="142"/>
      <c r="X42" s="142"/>
      <c r="Y42" s="142"/>
      <c r="Z42" s="142"/>
      <c r="AA42" s="142">
        <v>4.4617852677044301</v>
      </c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3"/>
    </row>
    <row r="43" spans="2:43" ht="12" customHeight="1" x14ac:dyDescent="0.25">
      <c r="B43" s="141" t="s">
        <v>33</v>
      </c>
      <c r="C43" s="142" t="s">
        <v>23</v>
      </c>
      <c r="D43" s="142" t="s">
        <v>25</v>
      </c>
      <c r="E43" s="142" t="s">
        <v>25</v>
      </c>
      <c r="F43" s="142" t="s">
        <v>25</v>
      </c>
      <c r="G43" s="142" t="s">
        <v>25</v>
      </c>
      <c r="H43" s="142" t="s">
        <v>88</v>
      </c>
      <c r="I43" s="142" t="s">
        <v>25</v>
      </c>
      <c r="J43" s="142">
        <v>85.95</v>
      </c>
      <c r="K43" s="142">
        <v>267.11</v>
      </c>
      <c r="L43" s="142"/>
      <c r="M43" s="142">
        <v>0.21725393155117001</v>
      </c>
      <c r="N43" s="142">
        <v>0.47121547226682697</v>
      </c>
      <c r="O43" s="142"/>
      <c r="P43" s="142"/>
      <c r="Q43" s="142">
        <v>54.730911809497599</v>
      </c>
      <c r="R43" s="142">
        <v>7.9721317603751496</v>
      </c>
      <c r="S43" s="142"/>
      <c r="T43" s="142"/>
      <c r="U43" s="142"/>
      <c r="V43" s="142"/>
      <c r="W43" s="142"/>
      <c r="X43" s="142"/>
      <c r="Y43" s="142"/>
      <c r="Z43" s="142"/>
      <c r="AA43" s="142"/>
      <c r="AB43" s="142"/>
      <c r="AC43" s="142"/>
      <c r="AD43" s="142">
        <v>11.6301430299569</v>
      </c>
      <c r="AE43" s="142">
        <v>0.43715783417458398</v>
      </c>
      <c r="AF43" s="142">
        <v>8.5274339867040592</v>
      </c>
      <c r="AG43" s="142">
        <v>1.96796310385764</v>
      </c>
      <c r="AH43" s="142">
        <v>2.5001912038720402</v>
      </c>
      <c r="AI43" s="142">
        <v>12.041216561838599</v>
      </c>
      <c r="AJ43" s="142"/>
      <c r="AK43" s="142">
        <v>1.94038040414269E-13</v>
      </c>
      <c r="AL43" s="142">
        <v>233.64275512213499</v>
      </c>
      <c r="AM43" s="142">
        <v>7.5601968849460697</v>
      </c>
      <c r="AN43" s="142">
        <v>5.5617204745840301</v>
      </c>
      <c r="AO43" s="142"/>
      <c r="AP43" s="142"/>
      <c r="AQ43" s="143">
        <v>5.8054691462631398</v>
      </c>
    </row>
    <row r="44" spans="2:43" ht="12" customHeight="1" x14ac:dyDescent="0.25">
      <c r="B44" s="141" t="s">
        <v>33</v>
      </c>
      <c r="C44" s="142" t="s">
        <v>23</v>
      </c>
      <c r="D44" s="142" t="s">
        <v>25</v>
      </c>
      <c r="E44" s="142" t="s">
        <v>25</v>
      </c>
      <c r="F44" s="142" t="s">
        <v>25</v>
      </c>
      <c r="G44" s="142" t="s">
        <v>25</v>
      </c>
      <c r="H44" s="142" t="s">
        <v>91</v>
      </c>
      <c r="I44" s="142" t="s">
        <v>25</v>
      </c>
      <c r="J44" s="142">
        <v>30.35</v>
      </c>
      <c r="K44" s="142"/>
      <c r="L44" s="142"/>
      <c r="M44" s="142"/>
      <c r="N44" s="142"/>
      <c r="O44" s="142"/>
      <c r="P44" s="142"/>
      <c r="Q44" s="142"/>
      <c r="R44" s="142"/>
      <c r="S44" s="142"/>
      <c r="T44" s="142">
        <v>10.692189449908501</v>
      </c>
      <c r="U44" s="142">
        <v>2.7977265470591899</v>
      </c>
      <c r="V44" s="142">
        <v>0.371072636106756</v>
      </c>
      <c r="W44" s="142"/>
      <c r="X44" s="142"/>
      <c r="Y44" s="142"/>
      <c r="Z44" s="142"/>
      <c r="AA44" s="142">
        <v>16.489446140731602</v>
      </c>
      <c r="AB44" s="142"/>
      <c r="AC44" s="142"/>
      <c r="AD44" s="142"/>
      <c r="AE44" s="142"/>
      <c r="AF44" s="142"/>
      <c r="AG44" s="142"/>
      <c r="AH44" s="142"/>
      <c r="AI44" s="142"/>
      <c r="AJ44" s="142"/>
      <c r="AK44" s="142"/>
      <c r="AL44" s="142"/>
      <c r="AM44" s="142"/>
      <c r="AN44" s="142"/>
      <c r="AO44" s="142"/>
      <c r="AP44" s="142"/>
      <c r="AQ44" s="143"/>
    </row>
    <row r="45" spans="2:43" ht="12" customHeight="1" x14ac:dyDescent="0.25">
      <c r="B45" s="141" t="s">
        <v>33</v>
      </c>
      <c r="C45" s="142" t="s">
        <v>64</v>
      </c>
      <c r="D45" s="142" t="s">
        <v>25</v>
      </c>
      <c r="E45" s="142" t="s">
        <v>25</v>
      </c>
      <c r="F45" s="142" t="s">
        <v>25</v>
      </c>
      <c r="G45" s="142" t="s">
        <v>25</v>
      </c>
      <c r="H45" s="142" t="s">
        <v>91</v>
      </c>
      <c r="I45" s="142" t="s">
        <v>25</v>
      </c>
      <c r="J45" s="142">
        <v>3.71</v>
      </c>
      <c r="K45" s="142"/>
      <c r="L45" s="142"/>
      <c r="M45" s="142">
        <v>1.2007449344999199E-2</v>
      </c>
      <c r="N45" s="142">
        <v>4.6154695573308903E-2</v>
      </c>
      <c r="O45" s="142"/>
      <c r="P45" s="142"/>
      <c r="Q45" s="142"/>
      <c r="R45" s="142"/>
      <c r="S45" s="142"/>
      <c r="T45" s="142"/>
      <c r="U45" s="142"/>
      <c r="V45" s="142"/>
      <c r="W45" s="142"/>
      <c r="X45" s="142"/>
      <c r="Y45" s="142"/>
      <c r="Z45" s="142"/>
      <c r="AA45" s="142">
        <v>3.6472831738600302</v>
      </c>
      <c r="AB45" s="142"/>
      <c r="AC45" s="142"/>
      <c r="AD45" s="142">
        <v>1.56588909692317E-3</v>
      </c>
      <c r="AE45" s="142"/>
      <c r="AF45" s="142"/>
      <c r="AG45" s="142"/>
      <c r="AH45" s="142"/>
      <c r="AI45" s="142"/>
      <c r="AJ45" s="142"/>
      <c r="AK45" s="142"/>
      <c r="AL45" s="142"/>
      <c r="AM45" s="142"/>
      <c r="AN45" s="142"/>
      <c r="AO45" s="142"/>
      <c r="AP45" s="142"/>
      <c r="AQ45" s="143"/>
    </row>
    <row r="46" spans="2:43" ht="12" customHeight="1" x14ac:dyDescent="0.25">
      <c r="B46" s="141" t="s">
        <v>33</v>
      </c>
      <c r="C46" s="142" t="s">
        <v>34</v>
      </c>
      <c r="D46" s="142" t="s">
        <v>25</v>
      </c>
      <c r="E46" s="142" t="s">
        <v>25</v>
      </c>
      <c r="F46" s="142" t="s">
        <v>61</v>
      </c>
      <c r="G46" s="142" t="s">
        <v>35</v>
      </c>
      <c r="H46" s="142" t="s">
        <v>88</v>
      </c>
      <c r="I46" s="142" t="s">
        <v>25</v>
      </c>
      <c r="J46" s="142">
        <v>671.43</v>
      </c>
      <c r="K46" s="142"/>
      <c r="L46" s="142"/>
      <c r="M46" s="142">
        <v>0.21725393155117001</v>
      </c>
      <c r="N46" s="142">
        <v>6.1177953972620402</v>
      </c>
      <c r="O46" s="142"/>
      <c r="P46" s="142"/>
      <c r="Q46" s="142"/>
      <c r="R46" s="142"/>
      <c r="S46" s="142"/>
      <c r="T46" s="142">
        <v>187.198842826944</v>
      </c>
      <c r="U46" s="142">
        <v>47.005520373871697</v>
      </c>
      <c r="V46" s="142">
        <v>6.5677470271692604</v>
      </c>
      <c r="W46" s="142"/>
      <c r="X46" s="142"/>
      <c r="Y46" s="142"/>
      <c r="Z46" s="142"/>
      <c r="AA46" s="142">
        <v>401.75755134468199</v>
      </c>
      <c r="AB46" s="142"/>
      <c r="AC46" s="142"/>
      <c r="AD46" s="142">
        <v>11.6301430299569</v>
      </c>
      <c r="AE46" s="142">
        <v>0.43715783417458398</v>
      </c>
      <c r="AF46" s="142">
        <v>8.5274339867040592</v>
      </c>
      <c r="AG46" s="142">
        <v>1.96796310385764</v>
      </c>
      <c r="AH46" s="142"/>
      <c r="AI46" s="142"/>
      <c r="AJ46" s="142"/>
      <c r="AK46" s="142"/>
      <c r="AL46" s="142"/>
      <c r="AM46" s="142"/>
      <c r="AN46" s="142"/>
      <c r="AO46" s="142"/>
      <c r="AP46" s="142"/>
      <c r="AQ46" s="143"/>
    </row>
    <row r="47" spans="2:43" ht="12" customHeight="1" x14ac:dyDescent="0.25">
      <c r="B47" s="141" t="s">
        <v>33</v>
      </c>
      <c r="C47" s="142" t="s">
        <v>34</v>
      </c>
      <c r="D47" s="142" t="s">
        <v>25</v>
      </c>
      <c r="E47" s="142" t="s">
        <v>25</v>
      </c>
      <c r="F47" s="142" t="s">
        <v>61</v>
      </c>
      <c r="G47" s="142" t="s">
        <v>25</v>
      </c>
      <c r="H47" s="142" t="s">
        <v>91</v>
      </c>
      <c r="I47" s="142" t="s">
        <v>25</v>
      </c>
      <c r="J47" s="142">
        <v>11.11</v>
      </c>
      <c r="K47" s="142"/>
      <c r="L47" s="142"/>
      <c r="M47" s="142"/>
      <c r="N47" s="142"/>
      <c r="O47" s="142"/>
      <c r="P47" s="142"/>
      <c r="Q47" s="142"/>
      <c r="R47" s="142"/>
      <c r="S47" s="142"/>
      <c r="T47" s="142">
        <v>5.0876257293118101</v>
      </c>
      <c r="U47" s="142">
        <v>1.3902405980645001</v>
      </c>
      <c r="V47" s="142">
        <v>0.17479788163871299</v>
      </c>
      <c r="W47" s="142"/>
      <c r="X47" s="142"/>
      <c r="Y47" s="142"/>
      <c r="Z47" s="142"/>
      <c r="AA47" s="142">
        <v>4.4617852677044301</v>
      </c>
      <c r="AB47" s="142"/>
      <c r="AC47" s="142"/>
      <c r="AD47" s="142"/>
      <c r="AE47" s="142"/>
      <c r="AF47" s="142"/>
      <c r="AG47" s="142"/>
      <c r="AH47" s="142"/>
      <c r="AI47" s="142"/>
      <c r="AJ47" s="142"/>
      <c r="AK47" s="142"/>
      <c r="AL47" s="142"/>
      <c r="AM47" s="142"/>
      <c r="AN47" s="142"/>
      <c r="AO47" s="142"/>
      <c r="AP47" s="142"/>
      <c r="AQ47" s="143"/>
    </row>
    <row r="48" spans="2:43" ht="12" customHeight="1" x14ac:dyDescent="0.25">
      <c r="B48" s="141" t="s">
        <v>33</v>
      </c>
      <c r="C48" s="142" t="s">
        <v>34</v>
      </c>
      <c r="D48" s="142" t="s">
        <v>25</v>
      </c>
      <c r="E48" s="142" t="s">
        <v>25</v>
      </c>
      <c r="F48" s="142" t="s">
        <v>61</v>
      </c>
      <c r="G48" s="142" t="s">
        <v>36</v>
      </c>
      <c r="H48" s="142" t="s">
        <v>88</v>
      </c>
      <c r="I48" s="142" t="s">
        <v>25</v>
      </c>
      <c r="J48" s="142">
        <v>23.24</v>
      </c>
      <c r="K48" s="142"/>
      <c r="L48" s="142"/>
      <c r="M48" s="142">
        <v>0.21725393155117001</v>
      </c>
      <c r="N48" s="142">
        <v>0.45674691566077402</v>
      </c>
      <c r="O48" s="142"/>
      <c r="P48" s="142"/>
      <c r="Q48" s="142"/>
      <c r="R48" s="142"/>
      <c r="S48" s="142"/>
      <c r="T48" s="142"/>
      <c r="U48" s="142"/>
      <c r="V48" s="142"/>
      <c r="W48" s="142"/>
      <c r="X48" s="142"/>
      <c r="Y48" s="142"/>
      <c r="Z48" s="142"/>
      <c r="AA48" s="142"/>
      <c r="AB48" s="142"/>
      <c r="AC48" s="142"/>
      <c r="AD48" s="142">
        <v>11.6301430299569</v>
      </c>
      <c r="AE48" s="142">
        <v>0.43715783417458398</v>
      </c>
      <c r="AF48" s="142">
        <v>8.5274339867040592</v>
      </c>
      <c r="AG48" s="142">
        <v>1.96796310385764</v>
      </c>
      <c r="AH48" s="142"/>
      <c r="AI48" s="142"/>
      <c r="AJ48" s="142"/>
      <c r="AK48" s="142"/>
      <c r="AL48" s="142"/>
      <c r="AM48" s="142"/>
      <c r="AN48" s="142"/>
      <c r="AO48" s="142"/>
      <c r="AP48" s="142"/>
      <c r="AQ48" s="143"/>
    </row>
    <row r="49" spans="2:43" ht="12" customHeight="1" x14ac:dyDescent="0.25">
      <c r="B49" s="141" t="s">
        <v>33</v>
      </c>
      <c r="C49" s="142" t="s">
        <v>34</v>
      </c>
      <c r="D49" s="142" t="s">
        <v>25</v>
      </c>
      <c r="E49" s="142" t="s">
        <v>25</v>
      </c>
      <c r="F49" s="142" t="s">
        <v>25</v>
      </c>
      <c r="G49" s="142" t="s">
        <v>35</v>
      </c>
      <c r="H49" s="142" t="s">
        <v>88</v>
      </c>
      <c r="I49" s="142" t="s">
        <v>25</v>
      </c>
      <c r="J49" s="142">
        <v>734.14</v>
      </c>
      <c r="K49" s="142">
        <v>412.59</v>
      </c>
      <c r="L49" s="142"/>
      <c r="M49" s="142">
        <v>0.21725393155117001</v>
      </c>
      <c r="N49" s="142">
        <v>6.1322639538680903</v>
      </c>
      <c r="O49" s="142"/>
      <c r="P49" s="142"/>
      <c r="Q49" s="142">
        <v>54.730911809497599</v>
      </c>
      <c r="R49" s="142">
        <v>7.9721317603751496</v>
      </c>
      <c r="S49" s="142"/>
      <c r="T49" s="142">
        <v>187.198842826944</v>
      </c>
      <c r="U49" s="142">
        <v>47.005520373871697</v>
      </c>
      <c r="V49" s="142">
        <v>6.5677470271692604</v>
      </c>
      <c r="W49" s="142"/>
      <c r="X49" s="142"/>
      <c r="Y49" s="142"/>
      <c r="Z49" s="142"/>
      <c r="AA49" s="142">
        <v>401.75755134468199</v>
      </c>
      <c r="AB49" s="142"/>
      <c r="AC49" s="142"/>
      <c r="AD49" s="142">
        <v>11.6301430299569</v>
      </c>
      <c r="AE49" s="142">
        <v>0.43715783417458398</v>
      </c>
      <c r="AF49" s="142">
        <v>8.5274339867040592</v>
      </c>
      <c r="AG49" s="142">
        <v>1.96796310385764</v>
      </c>
      <c r="AH49" s="142">
        <v>2.5001912038720402</v>
      </c>
      <c r="AI49" s="142">
        <v>12.041216561838599</v>
      </c>
      <c r="AJ49" s="142"/>
      <c r="AK49" s="142">
        <v>1.94038040414269E-13</v>
      </c>
      <c r="AL49" s="142">
        <v>379.11843283969102</v>
      </c>
      <c r="AM49" s="142">
        <v>7.5601968849460697</v>
      </c>
      <c r="AN49" s="142">
        <v>5.5617204745840301</v>
      </c>
      <c r="AO49" s="142"/>
      <c r="AP49" s="142"/>
      <c r="AQ49" s="143">
        <v>5.8054691462631398</v>
      </c>
    </row>
    <row r="50" spans="2:43" ht="12" customHeight="1" x14ac:dyDescent="0.25">
      <c r="B50" s="141" t="s">
        <v>33</v>
      </c>
      <c r="C50" s="142" t="s">
        <v>34</v>
      </c>
      <c r="D50" s="142" t="s">
        <v>25</v>
      </c>
      <c r="E50" s="142" t="s">
        <v>25</v>
      </c>
      <c r="F50" s="142" t="s">
        <v>25</v>
      </c>
      <c r="G50" s="142" t="s">
        <v>25</v>
      </c>
      <c r="H50" s="142" t="s">
        <v>91</v>
      </c>
      <c r="I50" s="142" t="s">
        <v>25</v>
      </c>
      <c r="J50" s="142">
        <v>11.11</v>
      </c>
      <c r="K50" s="142"/>
      <c r="L50" s="142"/>
      <c r="M50" s="142"/>
      <c r="N50" s="142"/>
      <c r="O50" s="142"/>
      <c r="P50" s="142"/>
      <c r="Q50" s="142"/>
      <c r="R50" s="142"/>
      <c r="S50" s="142"/>
      <c r="T50" s="142">
        <v>5.0876257293118101</v>
      </c>
      <c r="U50" s="142">
        <v>1.3902405980645001</v>
      </c>
      <c r="V50" s="142">
        <v>0.17479788163871299</v>
      </c>
      <c r="W50" s="142"/>
      <c r="X50" s="142"/>
      <c r="Y50" s="142"/>
      <c r="Z50" s="142"/>
      <c r="AA50" s="142">
        <v>4.4617852677044301</v>
      </c>
      <c r="AB50" s="142"/>
      <c r="AC50" s="142"/>
      <c r="AD50" s="142"/>
      <c r="AE50" s="142"/>
      <c r="AF50" s="142"/>
      <c r="AG50" s="142"/>
      <c r="AH50" s="142"/>
      <c r="AI50" s="142"/>
      <c r="AJ50" s="142"/>
      <c r="AK50" s="142"/>
      <c r="AL50" s="142"/>
      <c r="AM50" s="142"/>
      <c r="AN50" s="142"/>
      <c r="AO50" s="142"/>
      <c r="AP50" s="142"/>
      <c r="AQ50" s="143"/>
    </row>
    <row r="51" spans="2:43" ht="12" customHeight="1" x14ac:dyDescent="0.25">
      <c r="B51" s="141" t="s">
        <v>33</v>
      </c>
      <c r="C51" s="142" t="s">
        <v>34</v>
      </c>
      <c r="D51" s="142" t="s">
        <v>25</v>
      </c>
      <c r="E51" s="142" t="s">
        <v>25</v>
      </c>
      <c r="F51" s="142" t="s">
        <v>25</v>
      </c>
      <c r="G51" s="142" t="s">
        <v>36</v>
      </c>
      <c r="H51" s="142" t="s">
        <v>88</v>
      </c>
      <c r="I51" s="142" t="s">
        <v>25</v>
      </c>
      <c r="J51" s="142">
        <v>85.95</v>
      </c>
      <c r="K51" s="142">
        <v>253.89</v>
      </c>
      <c r="L51" s="142"/>
      <c r="M51" s="142">
        <v>0.21725393155117001</v>
      </c>
      <c r="N51" s="142">
        <v>0.47121547226682697</v>
      </c>
      <c r="O51" s="142"/>
      <c r="P51" s="142"/>
      <c r="Q51" s="142">
        <v>54.730911809497599</v>
      </c>
      <c r="R51" s="142">
        <v>7.9721317603751496</v>
      </c>
      <c r="S51" s="142"/>
      <c r="T51" s="142"/>
      <c r="U51" s="142"/>
      <c r="V51" s="142"/>
      <c r="W51" s="142"/>
      <c r="X51" s="142"/>
      <c r="Y51" s="142"/>
      <c r="Z51" s="142"/>
      <c r="AA51" s="142"/>
      <c r="AB51" s="142"/>
      <c r="AC51" s="142"/>
      <c r="AD51" s="142">
        <v>11.6301430299569</v>
      </c>
      <c r="AE51" s="142">
        <v>0.43715783417458398</v>
      </c>
      <c r="AF51" s="142">
        <v>8.5274339867040592</v>
      </c>
      <c r="AG51" s="142">
        <v>1.96796310385764</v>
      </c>
      <c r="AH51" s="142">
        <v>2.5001912038720402</v>
      </c>
      <c r="AI51" s="142">
        <v>12.041216561838599</v>
      </c>
      <c r="AJ51" s="142"/>
      <c r="AK51" s="142">
        <v>1.94038040414269E-13</v>
      </c>
      <c r="AL51" s="142">
        <v>220.41769351144799</v>
      </c>
      <c r="AM51" s="142">
        <v>7.5601968849460697</v>
      </c>
      <c r="AN51" s="142">
        <v>5.5617204745840301</v>
      </c>
      <c r="AO51" s="142"/>
      <c r="AP51" s="142"/>
      <c r="AQ51" s="143">
        <v>5.8054691462631398</v>
      </c>
    </row>
    <row r="52" spans="2:43" ht="12" customHeight="1" x14ac:dyDescent="0.25">
      <c r="B52" s="141" t="s">
        <v>44</v>
      </c>
      <c r="C52" s="142" t="s">
        <v>41</v>
      </c>
      <c r="D52" s="142" t="s">
        <v>25</v>
      </c>
      <c r="E52" s="142" t="s">
        <v>25</v>
      </c>
      <c r="F52" s="142" t="s">
        <v>61</v>
      </c>
      <c r="G52" s="142" t="s">
        <v>35</v>
      </c>
      <c r="H52" s="142" t="s">
        <v>88</v>
      </c>
      <c r="I52" s="142" t="s">
        <v>25</v>
      </c>
      <c r="J52" s="142">
        <v>42.97</v>
      </c>
      <c r="K52" s="142"/>
      <c r="L52" s="142"/>
      <c r="M52" s="142">
        <v>0.45504567156280401</v>
      </c>
      <c r="N52" s="142">
        <v>0.83318514844080804</v>
      </c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>
        <v>24.491501950758199</v>
      </c>
      <c r="AE52" s="142">
        <v>0.92059503661286801</v>
      </c>
      <c r="AF52" s="142">
        <v>13.215882716344</v>
      </c>
      <c r="AG52" s="142">
        <v>3.0499643399441299</v>
      </c>
      <c r="AH52" s="142"/>
      <c r="AI52" s="142"/>
      <c r="AJ52" s="142"/>
      <c r="AK52" s="142"/>
      <c r="AL52" s="142"/>
      <c r="AM52" s="142"/>
      <c r="AN52" s="142"/>
      <c r="AO52" s="142"/>
      <c r="AP52" s="142"/>
      <c r="AQ52" s="143"/>
    </row>
    <row r="53" spans="2:43" ht="12" customHeight="1" x14ac:dyDescent="0.25">
      <c r="B53" s="141" t="s">
        <v>44</v>
      </c>
      <c r="C53" s="142" t="s">
        <v>41</v>
      </c>
      <c r="D53" s="142" t="s">
        <v>25</v>
      </c>
      <c r="E53" s="142" t="s">
        <v>25</v>
      </c>
      <c r="F53" s="142" t="s">
        <v>61</v>
      </c>
      <c r="G53" s="142" t="s">
        <v>35</v>
      </c>
      <c r="H53" s="142" t="s">
        <v>91</v>
      </c>
      <c r="I53" s="142" t="s">
        <v>25</v>
      </c>
      <c r="J53" s="142">
        <v>48.53</v>
      </c>
      <c r="K53" s="142"/>
      <c r="L53" s="142"/>
      <c r="M53" s="142"/>
      <c r="N53" s="142"/>
      <c r="O53" s="142"/>
      <c r="P53" s="142"/>
      <c r="Q53" s="142"/>
      <c r="R53" s="142"/>
      <c r="S53" s="142"/>
      <c r="T53" s="142">
        <v>8.6703456032165604</v>
      </c>
      <c r="U53" s="142">
        <v>2.17733610205776</v>
      </c>
      <c r="V53" s="142">
        <v>0.30425569841550798</v>
      </c>
      <c r="W53" s="142"/>
      <c r="X53" s="142"/>
      <c r="Y53" s="142"/>
      <c r="Z53" s="142"/>
      <c r="AA53" s="142">
        <v>37.379684655100299</v>
      </c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3"/>
    </row>
    <row r="54" spans="2:43" ht="12" customHeight="1" x14ac:dyDescent="0.25">
      <c r="B54" s="141" t="s">
        <v>44</v>
      </c>
      <c r="C54" s="142" t="s">
        <v>41</v>
      </c>
      <c r="D54" s="142" t="s">
        <v>25</v>
      </c>
      <c r="E54" s="142" t="s">
        <v>25</v>
      </c>
      <c r="F54" s="142" t="s">
        <v>61</v>
      </c>
      <c r="G54" s="142" t="s">
        <v>36</v>
      </c>
      <c r="H54" s="142" t="s">
        <v>88</v>
      </c>
      <c r="I54" s="142" t="s">
        <v>25</v>
      </c>
      <c r="J54" s="142">
        <v>42.97</v>
      </c>
      <c r="K54" s="142"/>
      <c r="L54" s="142"/>
      <c r="M54" s="142">
        <v>0.45504567156280401</v>
      </c>
      <c r="N54" s="142">
        <v>0.83318514844080804</v>
      </c>
      <c r="O54" s="142"/>
      <c r="P54" s="142"/>
      <c r="Q54" s="142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>
        <v>24.491501950758199</v>
      </c>
      <c r="AE54" s="142">
        <v>0.92059503661286801</v>
      </c>
      <c r="AF54" s="142">
        <v>13.215882716344</v>
      </c>
      <c r="AG54" s="142">
        <v>3.0499643399441299</v>
      </c>
      <c r="AH54" s="142"/>
      <c r="AI54" s="142"/>
      <c r="AJ54" s="142"/>
      <c r="AK54" s="142"/>
      <c r="AL54" s="142"/>
      <c r="AM54" s="142"/>
      <c r="AN54" s="142"/>
      <c r="AO54" s="142"/>
      <c r="AP54" s="142"/>
      <c r="AQ54" s="143"/>
    </row>
    <row r="55" spans="2:43" ht="12" customHeight="1" x14ac:dyDescent="0.25">
      <c r="B55" s="141" t="s">
        <v>44</v>
      </c>
      <c r="C55" s="142" t="s">
        <v>41</v>
      </c>
      <c r="D55" s="142" t="s">
        <v>25</v>
      </c>
      <c r="E55" s="142" t="s">
        <v>25</v>
      </c>
      <c r="F55" s="142" t="s">
        <v>61</v>
      </c>
      <c r="G55" s="142" t="s">
        <v>36</v>
      </c>
      <c r="H55" s="142" t="s">
        <v>91</v>
      </c>
      <c r="I55" s="142" t="s">
        <v>25</v>
      </c>
      <c r="J55" s="142">
        <v>15.52</v>
      </c>
      <c r="K55" s="142"/>
      <c r="L55" s="142"/>
      <c r="M55" s="142"/>
      <c r="N55" s="142"/>
      <c r="O55" s="142"/>
      <c r="P55" s="142"/>
      <c r="Q55" s="142"/>
      <c r="R55" s="142"/>
      <c r="S55" s="142"/>
      <c r="T55" s="142">
        <v>7.3572476399528899</v>
      </c>
      <c r="U55" s="142">
        <v>1.8947776598938899</v>
      </c>
      <c r="V55" s="142">
        <v>0.23505244152099999</v>
      </c>
      <c r="W55" s="142"/>
      <c r="X55" s="142"/>
      <c r="Y55" s="142"/>
      <c r="Z55" s="142"/>
      <c r="AA55" s="142">
        <v>6.0363438211410596</v>
      </c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3"/>
    </row>
    <row r="56" spans="2:43" ht="12" customHeight="1" x14ac:dyDescent="0.25">
      <c r="B56" s="141" t="s">
        <v>44</v>
      </c>
      <c r="C56" s="142" t="s">
        <v>41</v>
      </c>
      <c r="D56" s="142" t="s">
        <v>25</v>
      </c>
      <c r="E56" s="142" t="s">
        <v>25</v>
      </c>
      <c r="F56" s="142" t="s">
        <v>25</v>
      </c>
      <c r="G56" s="142" t="s">
        <v>35</v>
      </c>
      <c r="H56" s="142" t="s">
        <v>88</v>
      </c>
      <c r="I56" s="142" t="s">
        <v>25</v>
      </c>
      <c r="J56" s="142">
        <v>112.45</v>
      </c>
      <c r="K56" s="142">
        <v>412.59</v>
      </c>
      <c r="L56" s="142"/>
      <c r="M56" s="142">
        <v>0.45504567156280401</v>
      </c>
      <c r="N56" s="142">
        <v>0.84765370504686099</v>
      </c>
      <c r="O56" s="142"/>
      <c r="P56" s="142"/>
      <c r="Q56" s="142">
        <v>61.495406527525397</v>
      </c>
      <c r="R56" s="142">
        <v>7.9721317603751496</v>
      </c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>
        <v>24.491501950758199</v>
      </c>
      <c r="AE56" s="142">
        <v>0.92059503661286801</v>
      </c>
      <c r="AF56" s="142">
        <v>13.215882716344</v>
      </c>
      <c r="AG56" s="142">
        <v>3.0499643399441299</v>
      </c>
      <c r="AH56" s="142">
        <v>2.5001912038720402</v>
      </c>
      <c r="AI56" s="142">
        <v>12.041216561838599</v>
      </c>
      <c r="AJ56" s="142"/>
      <c r="AK56" s="142">
        <v>1.94038040414269E-13</v>
      </c>
      <c r="AL56" s="142">
        <v>379.11843283969102</v>
      </c>
      <c r="AM56" s="142">
        <v>7.5601968849460697</v>
      </c>
      <c r="AN56" s="142">
        <v>5.5617204745840301</v>
      </c>
      <c r="AO56" s="142"/>
      <c r="AP56" s="142"/>
      <c r="AQ56" s="143">
        <v>5.8054691462631398</v>
      </c>
    </row>
    <row r="57" spans="2:43" ht="12" customHeight="1" x14ac:dyDescent="0.25">
      <c r="B57" s="141" t="s">
        <v>44</v>
      </c>
      <c r="C57" s="142" t="s">
        <v>41</v>
      </c>
      <c r="D57" s="142" t="s">
        <v>25</v>
      </c>
      <c r="E57" s="142" t="s">
        <v>25</v>
      </c>
      <c r="F57" s="142" t="s">
        <v>25</v>
      </c>
      <c r="G57" s="142" t="s">
        <v>35</v>
      </c>
      <c r="H57" s="142" t="s">
        <v>91</v>
      </c>
      <c r="I57" s="142" t="s">
        <v>25</v>
      </c>
      <c r="J57" s="142">
        <v>48.53</v>
      </c>
      <c r="K57" s="142"/>
      <c r="L57" s="142"/>
      <c r="M57" s="142"/>
      <c r="N57" s="142"/>
      <c r="O57" s="142"/>
      <c r="P57" s="142"/>
      <c r="Q57" s="142"/>
      <c r="R57" s="142"/>
      <c r="S57" s="142"/>
      <c r="T57" s="142">
        <v>8.6703456032165604</v>
      </c>
      <c r="U57" s="142">
        <v>2.17733610205776</v>
      </c>
      <c r="V57" s="142">
        <v>0.30425569841550798</v>
      </c>
      <c r="W57" s="142"/>
      <c r="X57" s="142"/>
      <c r="Y57" s="142"/>
      <c r="Z57" s="142"/>
      <c r="AA57" s="142">
        <v>37.379684655100299</v>
      </c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3"/>
    </row>
    <row r="58" spans="2:43" ht="12" customHeight="1" x14ac:dyDescent="0.25">
      <c r="B58" s="141" t="s">
        <v>44</v>
      </c>
      <c r="C58" s="142" t="s">
        <v>41</v>
      </c>
      <c r="D58" s="142" t="s">
        <v>25</v>
      </c>
      <c r="E58" s="142" t="s">
        <v>25</v>
      </c>
      <c r="F58" s="142" t="s">
        <v>25</v>
      </c>
      <c r="G58" s="142" t="s">
        <v>36</v>
      </c>
      <c r="H58" s="142" t="s">
        <v>88</v>
      </c>
      <c r="I58" s="142" t="s">
        <v>25</v>
      </c>
      <c r="J58" s="142">
        <v>112.45</v>
      </c>
      <c r="K58" s="142">
        <v>253.89</v>
      </c>
      <c r="L58" s="142"/>
      <c r="M58" s="142">
        <v>0.45504567156280401</v>
      </c>
      <c r="N58" s="142">
        <v>0.84765370504686099</v>
      </c>
      <c r="O58" s="142"/>
      <c r="P58" s="142"/>
      <c r="Q58" s="142">
        <v>61.495406527525397</v>
      </c>
      <c r="R58" s="142">
        <v>7.9721317603751496</v>
      </c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>
        <v>24.491501950758199</v>
      </c>
      <c r="AE58" s="142">
        <v>0.92059503661286801</v>
      </c>
      <c r="AF58" s="142">
        <v>13.215882716344</v>
      </c>
      <c r="AG58" s="142">
        <v>3.0499643399441299</v>
      </c>
      <c r="AH58" s="142">
        <v>2.5001912038720402</v>
      </c>
      <c r="AI58" s="142">
        <v>12.041216561838599</v>
      </c>
      <c r="AJ58" s="142"/>
      <c r="AK58" s="142">
        <v>1.94038040414269E-13</v>
      </c>
      <c r="AL58" s="142">
        <v>220.41769351144799</v>
      </c>
      <c r="AM58" s="142">
        <v>7.5601968849460697</v>
      </c>
      <c r="AN58" s="142">
        <v>5.5617204745840301</v>
      </c>
      <c r="AO58" s="142"/>
      <c r="AP58" s="142"/>
      <c r="AQ58" s="143">
        <v>5.8054691462631398</v>
      </c>
    </row>
    <row r="59" spans="2:43" ht="12" customHeight="1" x14ac:dyDescent="0.25">
      <c r="B59" s="141" t="s">
        <v>44</v>
      </c>
      <c r="C59" s="142" t="s">
        <v>41</v>
      </c>
      <c r="D59" s="142" t="s">
        <v>25</v>
      </c>
      <c r="E59" s="142" t="s">
        <v>25</v>
      </c>
      <c r="F59" s="142" t="s">
        <v>25</v>
      </c>
      <c r="G59" s="142" t="s">
        <v>36</v>
      </c>
      <c r="H59" s="142" t="s">
        <v>91</v>
      </c>
      <c r="I59" s="142" t="s">
        <v>25</v>
      </c>
      <c r="J59" s="142">
        <v>15.52</v>
      </c>
      <c r="K59" s="142"/>
      <c r="L59" s="142"/>
      <c r="M59" s="142"/>
      <c r="N59" s="142"/>
      <c r="O59" s="142"/>
      <c r="P59" s="142"/>
      <c r="Q59" s="142"/>
      <c r="R59" s="142"/>
      <c r="S59" s="142"/>
      <c r="T59" s="142">
        <v>7.3572476399528899</v>
      </c>
      <c r="U59" s="142">
        <v>1.8947776598938899</v>
      </c>
      <c r="V59" s="142">
        <v>0.23505244152099999</v>
      </c>
      <c r="W59" s="142"/>
      <c r="X59" s="142"/>
      <c r="Y59" s="142"/>
      <c r="Z59" s="142"/>
      <c r="AA59" s="142">
        <v>6.0363438211410596</v>
      </c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3"/>
    </row>
    <row r="60" spans="2:43" ht="12" customHeight="1" x14ac:dyDescent="0.25">
      <c r="B60" s="141" t="s">
        <v>44</v>
      </c>
      <c r="C60" s="142" t="s">
        <v>23</v>
      </c>
      <c r="D60" s="142" t="s">
        <v>25</v>
      </c>
      <c r="E60" s="142" t="s">
        <v>25</v>
      </c>
      <c r="F60" s="142" t="s">
        <v>25</v>
      </c>
      <c r="G60" s="142" t="s">
        <v>25</v>
      </c>
      <c r="H60" s="142" t="s">
        <v>88</v>
      </c>
      <c r="I60" s="142" t="s">
        <v>25</v>
      </c>
      <c r="J60" s="142">
        <v>112.45</v>
      </c>
      <c r="K60" s="142">
        <v>267.11</v>
      </c>
      <c r="L60" s="142"/>
      <c r="M60" s="142">
        <v>0.45504567156280401</v>
      </c>
      <c r="N60" s="142">
        <v>0.84765370504686099</v>
      </c>
      <c r="O60" s="142"/>
      <c r="P60" s="142"/>
      <c r="Q60" s="142">
        <v>61.495406527525397</v>
      </c>
      <c r="R60" s="142">
        <v>7.9721317603751496</v>
      </c>
      <c r="S60" s="142"/>
      <c r="T60" s="142"/>
      <c r="U60" s="142"/>
      <c r="V60" s="142"/>
      <c r="W60" s="142"/>
      <c r="X60" s="142"/>
      <c r="Y60" s="142"/>
      <c r="Z60" s="142"/>
      <c r="AA60" s="142"/>
      <c r="AB60" s="142"/>
      <c r="AC60" s="142"/>
      <c r="AD60" s="142">
        <v>24.491501950758199</v>
      </c>
      <c r="AE60" s="142">
        <v>0.92059503661286801</v>
      </c>
      <c r="AF60" s="142">
        <v>13.215882716344</v>
      </c>
      <c r="AG60" s="142">
        <v>3.0499643399441299</v>
      </c>
      <c r="AH60" s="142">
        <v>2.5001912038720402</v>
      </c>
      <c r="AI60" s="142">
        <v>12.041216561838599</v>
      </c>
      <c r="AJ60" s="142"/>
      <c r="AK60" s="142">
        <v>1.94038040414269E-13</v>
      </c>
      <c r="AL60" s="142">
        <v>233.64275512213499</v>
      </c>
      <c r="AM60" s="142">
        <v>7.5601968849460697</v>
      </c>
      <c r="AN60" s="142">
        <v>5.5617204745840301</v>
      </c>
      <c r="AO60" s="142"/>
      <c r="AP60" s="142"/>
      <c r="AQ60" s="143">
        <v>5.8054691462631398</v>
      </c>
    </row>
    <row r="61" spans="2:43" ht="12" customHeight="1" x14ac:dyDescent="0.25">
      <c r="B61" s="141" t="s">
        <v>44</v>
      </c>
      <c r="C61" s="142" t="s">
        <v>23</v>
      </c>
      <c r="D61" s="142" t="s">
        <v>25</v>
      </c>
      <c r="E61" s="142" t="s">
        <v>25</v>
      </c>
      <c r="F61" s="142" t="s">
        <v>25</v>
      </c>
      <c r="G61" s="142" t="s">
        <v>25</v>
      </c>
      <c r="H61" s="142" t="s">
        <v>91</v>
      </c>
      <c r="I61" s="142" t="s">
        <v>25</v>
      </c>
      <c r="J61" s="142">
        <v>50.47</v>
      </c>
      <c r="K61" s="142"/>
      <c r="L61" s="142"/>
      <c r="M61" s="142"/>
      <c r="N61" s="142"/>
      <c r="O61" s="142"/>
      <c r="P61" s="142"/>
      <c r="Q61" s="142"/>
      <c r="R61" s="142"/>
      <c r="S61" s="142"/>
      <c r="T61" s="142">
        <v>13.5994939921345</v>
      </c>
      <c r="U61" s="142">
        <v>3.4627780290849599</v>
      </c>
      <c r="V61" s="142">
        <v>0.45399722842000301</v>
      </c>
      <c r="W61" s="142"/>
      <c r="X61" s="142"/>
      <c r="Y61" s="142"/>
      <c r="Z61" s="142"/>
      <c r="AA61" s="142">
        <v>32.949716772813296</v>
      </c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3"/>
    </row>
    <row r="62" spans="2:43" ht="12" customHeight="1" x14ac:dyDescent="0.25">
      <c r="B62" s="141" t="s">
        <v>44</v>
      </c>
      <c r="C62" s="142" t="s">
        <v>34</v>
      </c>
      <c r="D62" s="142" t="s">
        <v>25</v>
      </c>
      <c r="E62" s="142" t="s">
        <v>25</v>
      </c>
      <c r="F62" s="142" t="s">
        <v>61</v>
      </c>
      <c r="G62" s="142" t="s">
        <v>35</v>
      </c>
      <c r="H62" s="142" t="s">
        <v>88</v>
      </c>
      <c r="I62" s="142" t="s">
        <v>25</v>
      </c>
      <c r="J62" s="142">
        <v>1222.1400000000001</v>
      </c>
      <c r="K62" s="142"/>
      <c r="L62" s="142"/>
      <c r="M62" s="142">
        <v>0.45504567156280401</v>
      </c>
      <c r="N62" s="142">
        <v>12.8258100052829</v>
      </c>
      <c r="O62" s="142"/>
      <c r="P62" s="142"/>
      <c r="Q62" s="142"/>
      <c r="R62" s="142"/>
      <c r="S62" s="142"/>
      <c r="T62" s="142">
        <v>208.51467398825699</v>
      </c>
      <c r="U62" s="142">
        <v>52.367940136189901</v>
      </c>
      <c r="V62" s="142">
        <v>7.3176478367933697</v>
      </c>
      <c r="W62" s="142"/>
      <c r="X62" s="142"/>
      <c r="Y62" s="142"/>
      <c r="Z62" s="142"/>
      <c r="AA62" s="142">
        <v>898.98345479484101</v>
      </c>
      <c r="AB62" s="142"/>
      <c r="AC62" s="142"/>
      <c r="AD62" s="142">
        <v>24.491501950758199</v>
      </c>
      <c r="AE62" s="142">
        <v>0.92059503661286801</v>
      </c>
      <c r="AF62" s="142">
        <v>13.215882716344</v>
      </c>
      <c r="AG62" s="142">
        <v>3.0499643399441299</v>
      </c>
      <c r="AH62" s="142"/>
      <c r="AI62" s="142"/>
      <c r="AJ62" s="142"/>
      <c r="AK62" s="142"/>
      <c r="AL62" s="142"/>
      <c r="AM62" s="142"/>
      <c r="AN62" s="142"/>
      <c r="AO62" s="142"/>
      <c r="AP62" s="142"/>
      <c r="AQ62" s="143"/>
    </row>
    <row r="63" spans="2:43" ht="12" customHeight="1" x14ac:dyDescent="0.25">
      <c r="B63" s="141" t="s">
        <v>44</v>
      </c>
      <c r="C63" s="142" t="s">
        <v>34</v>
      </c>
      <c r="D63" s="142" t="s">
        <v>25</v>
      </c>
      <c r="E63" s="142" t="s">
        <v>25</v>
      </c>
      <c r="F63" s="142" t="s">
        <v>61</v>
      </c>
      <c r="G63" s="142" t="s">
        <v>25</v>
      </c>
      <c r="H63" s="142" t="s">
        <v>91</v>
      </c>
      <c r="I63" s="142" t="s">
        <v>25</v>
      </c>
      <c r="J63" s="142">
        <v>15.52</v>
      </c>
      <c r="K63" s="142"/>
      <c r="L63" s="142"/>
      <c r="M63" s="142"/>
      <c r="N63" s="142"/>
      <c r="O63" s="142"/>
      <c r="P63" s="142"/>
      <c r="Q63" s="142"/>
      <c r="R63" s="142"/>
      <c r="S63" s="142"/>
      <c r="T63" s="142">
        <v>7.3572476399528899</v>
      </c>
      <c r="U63" s="142">
        <v>1.8947776598938899</v>
      </c>
      <c r="V63" s="142">
        <v>0.23505244152099999</v>
      </c>
      <c r="W63" s="142"/>
      <c r="X63" s="142"/>
      <c r="Y63" s="142"/>
      <c r="Z63" s="142"/>
      <c r="AA63" s="142">
        <v>6.0363438211410596</v>
      </c>
      <c r="AB63" s="142"/>
      <c r="AC63" s="142"/>
      <c r="AD63" s="142"/>
      <c r="AE63" s="142"/>
      <c r="AF63" s="142"/>
      <c r="AG63" s="142"/>
      <c r="AH63" s="142"/>
      <c r="AI63" s="142"/>
      <c r="AJ63" s="142"/>
      <c r="AK63" s="142"/>
      <c r="AL63" s="142"/>
      <c r="AM63" s="142"/>
      <c r="AN63" s="142"/>
      <c r="AO63" s="142"/>
      <c r="AP63" s="142"/>
      <c r="AQ63" s="143"/>
    </row>
    <row r="64" spans="2:43" ht="12" customHeight="1" x14ac:dyDescent="0.25">
      <c r="B64" s="141" t="s">
        <v>44</v>
      </c>
      <c r="C64" s="142" t="s">
        <v>34</v>
      </c>
      <c r="D64" s="142" t="s">
        <v>25</v>
      </c>
      <c r="E64" s="142" t="s">
        <v>25</v>
      </c>
      <c r="F64" s="142" t="s">
        <v>61</v>
      </c>
      <c r="G64" s="142" t="s">
        <v>36</v>
      </c>
      <c r="H64" s="142" t="s">
        <v>88</v>
      </c>
      <c r="I64" s="142" t="s">
        <v>25</v>
      </c>
      <c r="J64" s="142">
        <v>42.97</v>
      </c>
      <c r="K64" s="142"/>
      <c r="L64" s="142"/>
      <c r="M64" s="142">
        <v>0.45504567156280401</v>
      </c>
      <c r="N64" s="142">
        <v>0.83318514844080804</v>
      </c>
      <c r="O64" s="142"/>
      <c r="P64" s="142"/>
      <c r="Q64" s="142"/>
      <c r="R64" s="142"/>
      <c r="S64" s="142"/>
      <c r="T64" s="142"/>
      <c r="U64" s="142"/>
      <c r="V64" s="142"/>
      <c r="W64" s="142"/>
      <c r="X64" s="142"/>
      <c r="Y64" s="142"/>
      <c r="Z64" s="142"/>
      <c r="AA64" s="142"/>
      <c r="AB64" s="142"/>
      <c r="AC64" s="142"/>
      <c r="AD64" s="142">
        <v>24.491501950758199</v>
      </c>
      <c r="AE64" s="142">
        <v>0.92059503661286801</v>
      </c>
      <c r="AF64" s="142">
        <v>13.215882716344</v>
      </c>
      <c r="AG64" s="142">
        <v>3.0499643399441299</v>
      </c>
      <c r="AH64" s="142"/>
      <c r="AI64" s="142"/>
      <c r="AJ64" s="142"/>
      <c r="AK64" s="142"/>
      <c r="AL64" s="142"/>
      <c r="AM64" s="142"/>
      <c r="AN64" s="142"/>
      <c r="AO64" s="142"/>
      <c r="AP64" s="142"/>
      <c r="AQ64" s="143"/>
    </row>
    <row r="65" spans="2:43" ht="12" customHeight="1" x14ac:dyDescent="0.25">
      <c r="B65" s="141" t="s">
        <v>44</v>
      </c>
      <c r="C65" s="142" t="s">
        <v>34</v>
      </c>
      <c r="D65" s="142" t="s">
        <v>25</v>
      </c>
      <c r="E65" s="142" t="s">
        <v>25</v>
      </c>
      <c r="F65" s="142" t="s">
        <v>25</v>
      </c>
      <c r="G65" s="142" t="s">
        <v>35</v>
      </c>
      <c r="H65" s="142" t="s">
        <v>88</v>
      </c>
      <c r="I65" s="142" t="s">
        <v>25</v>
      </c>
      <c r="J65" s="142">
        <v>1291.6199999999999</v>
      </c>
      <c r="K65" s="142">
        <v>412.59</v>
      </c>
      <c r="L65" s="142"/>
      <c r="M65" s="142">
        <v>0.45504567156280401</v>
      </c>
      <c r="N65" s="142">
        <v>12.840278561889001</v>
      </c>
      <c r="O65" s="142"/>
      <c r="P65" s="142"/>
      <c r="Q65" s="142">
        <v>61.495406527525397</v>
      </c>
      <c r="R65" s="142">
        <v>7.9721317603751496</v>
      </c>
      <c r="S65" s="142"/>
      <c r="T65" s="142">
        <v>208.51467398825699</v>
      </c>
      <c r="U65" s="142">
        <v>52.367940136189901</v>
      </c>
      <c r="V65" s="142">
        <v>7.3176478367933697</v>
      </c>
      <c r="W65" s="142"/>
      <c r="X65" s="142"/>
      <c r="Y65" s="142"/>
      <c r="Z65" s="142"/>
      <c r="AA65" s="142">
        <v>898.98345479484101</v>
      </c>
      <c r="AB65" s="142"/>
      <c r="AC65" s="142"/>
      <c r="AD65" s="142">
        <v>24.491501950758199</v>
      </c>
      <c r="AE65" s="142">
        <v>0.92059503661286801</v>
      </c>
      <c r="AF65" s="142">
        <v>13.215882716344</v>
      </c>
      <c r="AG65" s="142">
        <v>3.0499643399441299</v>
      </c>
      <c r="AH65" s="142">
        <v>2.5001912038720402</v>
      </c>
      <c r="AI65" s="142">
        <v>12.041216561838599</v>
      </c>
      <c r="AJ65" s="142"/>
      <c r="AK65" s="142">
        <v>1.94038040414269E-13</v>
      </c>
      <c r="AL65" s="142">
        <v>379.11843283969102</v>
      </c>
      <c r="AM65" s="142">
        <v>7.5601968849460697</v>
      </c>
      <c r="AN65" s="142">
        <v>5.5617204745840301</v>
      </c>
      <c r="AO65" s="142"/>
      <c r="AP65" s="142"/>
      <c r="AQ65" s="143">
        <v>5.8054691462631398</v>
      </c>
    </row>
    <row r="66" spans="2:43" ht="12" customHeight="1" x14ac:dyDescent="0.25">
      <c r="B66" s="141" t="s">
        <v>44</v>
      </c>
      <c r="C66" s="142" t="s">
        <v>34</v>
      </c>
      <c r="D66" s="142" t="s">
        <v>25</v>
      </c>
      <c r="E66" s="142" t="s">
        <v>25</v>
      </c>
      <c r="F66" s="142" t="s">
        <v>25</v>
      </c>
      <c r="G66" s="142" t="s">
        <v>25</v>
      </c>
      <c r="H66" s="142" t="s">
        <v>91</v>
      </c>
      <c r="I66" s="142" t="s">
        <v>25</v>
      </c>
      <c r="J66" s="142">
        <v>15.52</v>
      </c>
      <c r="K66" s="142"/>
      <c r="L66" s="142"/>
      <c r="M66" s="142"/>
      <c r="N66" s="142"/>
      <c r="O66" s="142"/>
      <c r="P66" s="142"/>
      <c r="Q66" s="142"/>
      <c r="R66" s="142"/>
      <c r="S66" s="142"/>
      <c r="T66" s="142">
        <v>7.3572476399528899</v>
      </c>
      <c r="U66" s="142">
        <v>1.8947776598938899</v>
      </c>
      <c r="V66" s="142">
        <v>0.23505244152099999</v>
      </c>
      <c r="W66" s="142"/>
      <c r="X66" s="142"/>
      <c r="Y66" s="142"/>
      <c r="Z66" s="142"/>
      <c r="AA66" s="142">
        <v>6.0363438211410596</v>
      </c>
      <c r="AB66" s="142"/>
      <c r="AC66" s="142"/>
      <c r="AD66" s="142"/>
      <c r="AE66" s="142"/>
      <c r="AF66" s="142"/>
      <c r="AG66" s="142"/>
      <c r="AH66" s="142"/>
      <c r="AI66" s="142"/>
      <c r="AJ66" s="142"/>
      <c r="AK66" s="142"/>
      <c r="AL66" s="142"/>
      <c r="AM66" s="142"/>
      <c r="AN66" s="142"/>
      <c r="AO66" s="142"/>
      <c r="AP66" s="142"/>
      <c r="AQ66" s="143"/>
    </row>
    <row r="67" spans="2:43" ht="12" customHeight="1" x14ac:dyDescent="0.25">
      <c r="B67" s="141" t="s">
        <v>44</v>
      </c>
      <c r="C67" s="142" t="s">
        <v>34</v>
      </c>
      <c r="D67" s="142" t="s">
        <v>25</v>
      </c>
      <c r="E67" s="142" t="s">
        <v>25</v>
      </c>
      <c r="F67" s="142" t="s">
        <v>25</v>
      </c>
      <c r="G67" s="142" t="s">
        <v>36</v>
      </c>
      <c r="H67" s="142" t="s">
        <v>88</v>
      </c>
      <c r="I67" s="142" t="s">
        <v>25</v>
      </c>
      <c r="J67" s="142">
        <v>112.45</v>
      </c>
      <c r="K67" s="142">
        <v>253.89</v>
      </c>
      <c r="L67" s="142"/>
      <c r="M67" s="142">
        <v>0.45504567156280401</v>
      </c>
      <c r="N67" s="142">
        <v>0.84765370504686099</v>
      </c>
      <c r="O67" s="142"/>
      <c r="P67" s="142"/>
      <c r="Q67" s="142">
        <v>61.495406527525397</v>
      </c>
      <c r="R67" s="142">
        <v>7.9721317603751496</v>
      </c>
      <c r="S67" s="142"/>
      <c r="T67" s="142"/>
      <c r="U67" s="142"/>
      <c r="V67" s="142"/>
      <c r="W67" s="142"/>
      <c r="X67" s="142"/>
      <c r="Y67" s="142"/>
      <c r="Z67" s="142"/>
      <c r="AA67" s="142"/>
      <c r="AB67" s="142"/>
      <c r="AC67" s="142"/>
      <c r="AD67" s="142">
        <v>24.491501950758199</v>
      </c>
      <c r="AE67" s="142">
        <v>0.92059503661286801</v>
      </c>
      <c r="AF67" s="142">
        <v>13.215882716344</v>
      </c>
      <c r="AG67" s="142">
        <v>3.0499643399441299</v>
      </c>
      <c r="AH67" s="142">
        <v>2.5001912038720402</v>
      </c>
      <c r="AI67" s="142">
        <v>12.041216561838599</v>
      </c>
      <c r="AJ67" s="142"/>
      <c r="AK67" s="142">
        <v>1.94038040414269E-13</v>
      </c>
      <c r="AL67" s="142">
        <v>220.41769351144799</v>
      </c>
      <c r="AM67" s="142">
        <v>7.5601968849460697</v>
      </c>
      <c r="AN67" s="142">
        <v>5.5617204745840301</v>
      </c>
      <c r="AO67" s="142"/>
      <c r="AP67" s="142"/>
      <c r="AQ67" s="143">
        <v>5.8054691462631398</v>
      </c>
    </row>
    <row r="68" spans="2:43" ht="12" customHeight="1" x14ac:dyDescent="0.25">
      <c r="B68" s="141" t="s">
        <v>97</v>
      </c>
      <c r="C68" s="142" t="s">
        <v>64</v>
      </c>
      <c r="D68" s="142" t="s">
        <v>25</v>
      </c>
      <c r="E68" s="142" t="s">
        <v>25</v>
      </c>
      <c r="F68" s="142" t="s">
        <v>98</v>
      </c>
      <c r="G68" s="142" t="s">
        <v>25</v>
      </c>
      <c r="H68" s="142" t="s">
        <v>91</v>
      </c>
      <c r="I68" s="142" t="s">
        <v>25</v>
      </c>
      <c r="J68" s="142">
        <v>2.08</v>
      </c>
      <c r="K68" s="142"/>
      <c r="L68" s="142"/>
      <c r="M68" s="142">
        <v>6.7128260117711802E-3</v>
      </c>
      <c r="N68" s="142">
        <v>2.58987163248348E-2</v>
      </c>
      <c r="O68" s="142"/>
      <c r="P68" s="142"/>
      <c r="Q68" s="142"/>
      <c r="R68" s="142"/>
      <c r="S68" s="142"/>
      <c r="T68" s="142"/>
      <c r="U68" s="142"/>
      <c r="V68" s="142"/>
      <c r="W68" s="142"/>
      <c r="X68" s="142"/>
      <c r="Y68" s="142"/>
      <c r="Z68" s="142"/>
      <c r="AA68" s="142">
        <v>2.04791395165025</v>
      </c>
      <c r="AB68" s="142"/>
      <c r="AC68" s="142"/>
      <c r="AD68" s="142"/>
      <c r="AE68" s="142"/>
      <c r="AF68" s="142"/>
      <c r="AG68" s="142"/>
      <c r="AH68" s="142"/>
      <c r="AI68" s="142"/>
      <c r="AJ68" s="142"/>
      <c r="AK68" s="142"/>
      <c r="AL68" s="142"/>
      <c r="AM68" s="142"/>
      <c r="AN68" s="142"/>
      <c r="AO68" s="142"/>
      <c r="AP68" s="142"/>
      <c r="AQ68" s="143"/>
    </row>
    <row r="69" spans="2:43" ht="12" customHeight="1" x14ac:dyDescent="0.25">
      <c r="B69" s="141" t="s">
        <v>97</v>
      </c>
      <c r="C69" s="142" t="s">
        <v>64</v>
      </c>
      <c r="D69" s="142" t="s">
        <v>25</v>
      </c>
      <c r="E69" s="142" t="s">
        <v>25</v>
      </c>
      <c r="F69" s="142" t="s">
        <v>99</v>
      </c>
      <c r="G69" s="142" t="s">
        <v>25</v>
      </c>
      <c r="H69" s="142" t="s">
        <v>91</v>
      </c>
      <c r="I69" s="142" t="s">
        <v>25</v>
      </c>
      <c r="J69" s="142">
        <v>7.66</v>
      </c>
      <c r="K69" s="142"/>
      <c r="L69" s="142"/>
      <c r="M69" s="142">
        <v>6.7128260117711802E-3</v>
      </c>
      <c r="N69" s="142">
        <v>2.58987163248348E-2</v>
      </c>
      <c r="O69" s="142"/>
      <c r="P69" s="142"/>
      <c r="Q69" s="142"/>
      <c r="R69" s="142"/>
      <c r="S69" s="142"/>
      <c r="T69" s="142"/>
      <c r="U69" s="142"/>
      <c r="V69" s="142"/>
      <c r="W69" s="142"/>
      <c r="X69" s="142"/>
      <c r="Y69" s="142"/>
      <c r="Z69" s="142"/>
      <c r="AA69" s="142">
        <v>7.6320373887177801</v>
      </c>
      <c r="AB69" s="142"/>
      <c r="AC69" s="142"/>
      <c r="AD69" s="142"/>
      <c r="AE69" s="142"/>
      <c r="AF69" s="142"/>
      <c r="AG69" s="142"/>
      <c r="AH69" s="142"/>
      <c r="AI69" s="142"/>
      <c r="AJ69" s="142"/>
      <c r="AK69" s="142"/>
      <c r="AL69" s="142"/>
      <c r="AM69" s="142"/>
      <c r="AN69" s="142"/>
      <c r="AO69" s="142"/>
      <c r="AP69" s="142"/>
      <c r="AQ69" s="143"/>
    </row>
    <row r="70" spans="2:43" ht="12" customHeight="1" x14ac:dyDescent="0.25">
      <c r="B70" s="141" t="s">
        <v>22</v>
      </c>
      <c r="C70" s="142" t="s">
        <v>37</v>
      </c>
      <c r="D70" s="142" t="s">
        <v>24</v>
      </c>
      <c r="E70" s="142" t="s">
        <v>24</v>
      </c>
      <c r="F70" s="142" t="s">
        <v>25</v>
      </c>
      <c r="G70" s="142" t="s">
        <v>35</v>
      </c>
      <c r="H70" s="142" t="s">
        <v>88</v>
      </c>
      <c r="I70" s="142" t="s">
        <v>25</v>
      </c>
      <c r="J70" s="142">
        <v>561.6</v>
      </c>
      <c r="K70" s="142">
        <v>412.59</v>
      </c>
      <c r="L70" s="142"/>
      <c r="M70" s="142">
        <v>0.42218734965342603</v>
      </c>
      <c r="N70" s="142">
        <v>4.9767715286914802</v>
      </c>
      <c r="O70" s="142"/>
      <c r="P70" s="142"/>
      <c r="Q70" s="142">
        <v>61.495406527525397</v>
      </c>
      <c r="R70" s="142">
        <v>7.9721317603751496</v>
      </c>
      <c r="S70" s="142"/>
      <c r="T70" s="142">
        <v>112.44407515781</v>
      </c>
      <c r="U70" s="142">
        <v>28.575546491323902</v>
      </c>
      <c r="V70" s="142">
        <v>3.7805261977628901</v>
      </c>
      <c r="W70" s="142"/>
      <c r="X70" s="142"/>
      <c r="Y70" s="142"/>
      <c r="Z70" s="142"/>
      <c r="AA70" s="142">
        <v>302.32454626062201</v>
      </c>
      <c r="AB70" s="142"/>
      <c r="AC70" s="142"/>
      <c r="AD70" s="142">
        <v>24.491501950758199</v>
      </c>
      <c r="AE70" s="142">
        <v>0.92059503661286801</v>
      </c>
      <c r="AF70" s="142">
        <v>11.5361593058597</v>
      </c>
      <c r="AG70" s="142">
        <v>2.66231739929666</v>
      </c>
      <c r="AH70" s="142">
        <v>2.5001912038720402</v>
      </c>
      <c r="AI70" s="142">
        <v>12.041216561838599</v>
      </c>
      <c r="AJ70" s="142"/>
      <c r="AK70" s="142">
        <v>1.94038040414269E-13</v>
      </c>
      <c r="AL70" s="142">
        <v>379.11843283969102</v>
      </c>
      <c r="AM70" s="142">
        <v>7.5601968849460697</v>
      </c>
      <c r="AN70" s="142">
        <v>5.5617204745840301</v>
      </c>
      <c r="AO70" s="142"/>
      <c r="AP70" s="142"/>
      <c r="AQ70" s="143">
        <v>5.8054691462631398</v>
      </c>
    </row>
    <row r="71" spans="2:43" ht="12" customHeight="1" x14ac:dyDescent="0.25">
      <c r="B71" s="141" t="s">
        <v>22</v>
      </c>
      <c r="C71" s="142" t="s">
        <v>37</v>
      </c>
      <c r="D71" s="142" t="s">
        <v>24</v>
      </c>
      <c r="E71" s="142" t="s">
        <v>24</v>
      </c>
      <c r="F71" s="142" t="s">
        <v>25</v>
      </c>
      <c r="G71" s="142" t="s">
        <v>38</v>
      </c>
      <c r="H71" s="142" t="s">
        <v>88</v>
      </c>
      <c r="I71" s="142" t="s">
        <v>25</v>
      </c>
      <c r="J71" s="142">
        <v>381.08</v>
      </c>
      <c r="K71" s="142">
        <v>253.89</v>
      </c>
      <c r="L71" s="142"/>
      <c r="M71" s="142">
        <v>0.42218734965342603</v>
      </c>
      <c r="N71" s="142">
        <v>3.3089636464438299</v>
      </c>
      <c r="O71" s="142"/>
      <c r="P71" s="142"/>
      <c r="Q71" s="142">
        <v>61.495406527525397</v>
      </c>
      <c r="R71" s="142">
        <v>7.9721317603751496</v>
      </c>
      <c r="S71" s="142"/>
      <c r="T71" s="142">
        <v>67.466067767684905</v>
      </c>
      <c r="U71" s="142">
        <v>17.145416332491401</v>
      </c>
      <c r="V71" s="142">
        <v>2.2681964026975701</v>
      </c>
      <c r="W71" s="142"/>
      <c r="X71" s="142"/>
      <c r="Y71" s="142"/>
      <c r="Z71" s="142"/>
      <c r="AA71" s="142">
        <v>181.39470478353201</v>
      </c>
      <c r="AB71" s="142"/>
      <c r="AC71" s="142"/>
      <c r="AD71" s="142">
        <v>24.491501950758199</v>
      </c>
      <c r="AE71" s="142">
        <v>0.92059503661286801</v>
      </c>
      <c r="AF71" s="142">
        <v>11.5361593058597</v>
      </c>
      <c r="AG71" s="142">
        <v>2.66231739929666</v>
      </c>
      <c r="AH71" s="142">
        <v>2.5001912038720402</v>
      </c>
      <c r="AI71" s="142">
        <v>12.041216561838599</v>
      </c>
      <c r="AJ71" s="142"/>
      <c r="AK71" s="142">
        <v>1.94038040414269E-13</v>
      </c>
      <c r="AL71" s="142">
        <v>220.41769351144799</v>
      </c>
      <c r="AM71" s="142">
        <v>7.5601968849460697</v>
      </c>
      <c r="AN71" s="142">
        <v>5.5617204745840301</v>
      </c>
      <c r="AO71" s="142"/>
      <c r="AP71" s="142"/>
      <c r="AQ71" s="143">
        <v>5.8054691462631398</v>
      </c>
    </row>
    <row r="72" spans="2:43" ht="12" customHeight="1" x14ac:dyDescent="0.25">
      <c r="B72" s="141" t="s">
        <v>22</v>
      </c>
      <c r="C72" s="142" t="s">
        <v>37</v>
      </c>
      <c r="D72" s="142" t="s">
        <v>24</v>
      </c>
      <c r="E72" s="142" t="s">
        <v>24</v>
      </c>
      <c r="F72" s="142" t="s">
        <v>25</v>
      </c>
      <c r="G72" s="142" t="s">
        <v>36</v>
      </c>
      <c r="H72" s="142" t="s">
        <v>88</v>
      </c>
      <c r="I72" s="142" t="s">
        <v>25</v>
      </c>
      <c r="J72" s="142">
        <v>200.57</v>
      </c>
      <c r="K72" s="142">
        <v>253.89</v>
      </c>
      <c r="L72" s="142"/>
      <c r="M72" s="142">
        <v>0.42218734965342603</v>
      </c>
      <c r="N72" s="142">
        <v>1.64115721105184</v>
      </c>
      <c r="O72" s="142"/>
      <c r="P72" s="142"/>
      <c r="Q72" s="142">
        <v>61.495406527525397</v>
      </c>
      <c r="R72" s="142">
        <v>7.9721317603751496</v>
      </c>
      <c r="S72" s="142"/>
      <c r="T72" s="142">
        <v>22.488689255895</v>
      </c>
      <c r="U72" s="142">
        <v>5.7152861736589298</v>
      </c>
      <c r="V72" s="142">
        <v>0.755866607632251</v>
      </c>
      <c r="W72" s="142"/>
      <c r="X72" s="142"/>
      <c r="Y72" s="142"/>
      <c r="Z72" s="142"/>
      <c r="AA72" s="142">
        <v>60.4648633064416</v>
      </c>
      <c r="AB72" s="142"/>
      <c r="AC72" s="142"/>
      <c r="AD72" s="142">
        <v>24.491501950758199</v>
      </c>
      <c r="AE72" s="142">
        <v>0.92059503661286801</v>
      </c>
      <c r="AF72" s="142">
        <v>11.5361593058597</v>
      </c>
      <c r="AG72" s="142">
        <v>2.66231739929666</v>
      </c>
      <c r="AH72" s="142">
        <v>2.5001912038720402</v>
      </c>
      <c r="AI72" s="142">
        <v>12.041216561838599</v>
      </c>
      <c r="AJ72" s="142"/>
      <c r="AK72" s="142">
        <v>1.94038040414269E-13</v>
      </c>
      <c r="AL72" s="142">
        <v>220.41769351144799</v>
      </c>
      <c r="AM72" s="142">
        <v>7.5601968849460697</v>
      </c>
      <c r="AN72" s="142">
        <v>5.5617204745840301</v>
      </c>
      <c r="AO72" s="142"/>
      <c r="AP72" s="142"/>
      <c r="AQ72" s="143">
        <v>5.8054691462631398</v>
      </c>
    </row>
    <row r="73" spans="2:43" ht="12" customHeight="1" x14ac:dyDescent="0.25">
      <c r="B73" s="141" t="s">
        <v>22</v>
      </c>
      <c r="C73" s="142" t="s">
        <v>23</v>
      </c>
      <c r="D73" s="142" t="s">
        <v>24</v>
      </c>
      <c r="E73" s="142" t="s">
        <v>1770</v>
      </c>
      <c r="F73" s="142" t="s">
        <v>25</v>
      </c>
      <c r="G73" s="142" t="s">
        <v>25</v>
      </c>
      <c r="H73" s="142" t="s">
        <v>88</v>
      </c>
      <c r="I73" s="142" t="s">
        <v>25</v>
      </c>
      <c r="J73" s="142">
        <v>199.17</v>
      </c>
      <c r="K73" s="142">
        <v>267.11</v>
      </c>
      <c r="L73" s="142"/>
      <c r="M73" s="142">
        <v>0.42218734965342603</v>
      </c>
      <c r="N73" s="142">
        <v>2.2557742613986602</v>
      </c>
      <c r="O73" s="142"/>
      <c r="P73" s="142"/>
      <c r="Q73" s="142"/>
      <c r="R73" s="142"/>
      <c r="S73" s="142"/>
      <c r="T73" s="142">
        <v>39.453940096394902</v>
      </c>
      <c r="U73" s="142">
        <v>10.0266239062063</v>
      </c>
      <c r="V73" s="142">
        <v>1.32619689721112</v>
      </c>
      <c r="W73" s="142"/>
      <c r="X73" s="142"/>
      <c r="Y73" s="142"/>
      <c r="Z73" s="142"/>
      <c r="AA73" s="142">
        <v>106.078818389045</v>
      </c>
      <c r="AB73" s="142"/>
      <c r="AC73" s="142"/>
      <c r="AD73" s="142">
        <v>24.491501950758199</v>
      </c>
      <c r="AE73" s="142">
        <v>0.92059503661286801</v>
      </c>
      <c r="AF73" s="142">
        <v>11.5361593058597</v>
      </c>
      <c r="AG73" s="142">
        <v>2.66231739929666</v>
      </c>
      <c r="AH73" s="142">
        <v>2.5001912038720402</v>
      </c>
      <c r="AI73" s="142">
        <v>12.041216561838599</v>
      </c>
      <c r="AJ73" s="142"/>
      <c r="AK73" s="142">
        <v>1.94038040414269E-13</v>
      </c>
      <c r="AL73" s="142">
        <v>233.64275512213499</v>
      </c>
      <c r="AM73" s="142">
        <v>7.5601968849460697</v>
      </c>
      <c r="AN73" s="142">
        <v>5.5617204745840301</v>
      </c>
      <c r="AO73" s="142"/>
      <c r="AP73" s="142"/>
      <c r="AQ73" s="143">
        <v>5.8054691462631398</v>
      </c>
    </row>
    <row r="74" spans="2:43" ht="12" customHeight="1" x14ac:dyDescent="0.25">
      <c r="B74" s="141" t="s">
        <v>22</v>
      </c>
      <c r="C74" s="142" t="s">
        <v>23</v>
      </c>
      <c r="D74" s="142" t="s">
        <v>24</v>
      </c>
      <c r="E74" s="142" t="s">
        <v>24</v>
      </c>
      <c r="F74" s="142" t="s">
        <v>25</v>
      </c>
      <c r="G74" s="142" t="s">
        <v>25</v>
      </c>
      <c r="H74" s="142" t="s">
        <v>88</v>
      </c>
      <c r="I74" s="142" t="s">
        <v>25</v>
      </c>
      <c r="J74" s="142">
        <v>268.66000000000003</v>
      </c>
      <c r="K74" s="142">
        <v>267.11</v>
      </c>
      <c r="L74" s="142"/>
      <c r="M74" s="142">
        <v>0.42218734965342603</v>
      </c>
      <c r="N74" s="142">
        <v>2.2702428180047201</v>
      </c>
      <c r="O74" s="142"/>
      <c r="P74" s="142"/>
      <c r="Q74" s="142">
        <v>61.495406527525397</v>
      </c>
      <c r="R74" s="142">
        <v>7.9721317603751496</v>
      </c>
      <c r="S74" s="142"/>
      <c r="T74" s="142">
        <v>39.453940096394902</v>
      </c>
      <c r="U74" s="142">
        <v>10.0266239062063</v>
      </c>
      <c r="V74" s="142">
        <v>1.32619689721112</v>
      </c>
      <c r="W74" s="142"/>
      <c r="X74" s="142"/>
      <c r="Y74" s="142"/>
      <c r="Z74" s="142"/>
      <c r="AA74" s="142">
        <v>106.078818389045</v>
      </c>
      <c r="AB74" s="142"/>
      <c r="AC74" s="142"/>
      <c r="AD74" s="142">
        <v>24.491501950758199</v>
      </c>
      <c r="AE74" s="142">
        <v>0.92059503661286801</v>
      </c>
      <c r="AF74" s="142">
        <v>11.5361593058597</v>
      </c>
      <c r="AG74" s="142">
        <v>2.66231739929666</v>
      </c>
      <c r="AH74" s="142">
        <v>2.5001912038720402</v>
      </c>
      <c r="AI74" s="142">
        <v>12.041216561838599</v>
      </c>
      <c r="AJ74" s="142"/>
      <c r="AK74" s="142">
        <v>1.94038040414269E-13</v>
      </c>
      <c r="AL74" s="142">
        <v>233.64275512213499</v>
      </c>
      <c r="AM74" s="142">
        <v>7.5601968849460697</v>
      </c>
      <c r="AN74" s="142">
        <v>5.5617204745840301</v>
      </c>
      <c r="AO74" s="142"/>
      <c r="AP74" s="142"/>
      <c r="AQ74" s="143">
        <v>5.8054691462631398</v>
      </c>
    </row>
    <row r="75" spans="2:43" ht="12" customHeight="1" x14ac:dyDescent="0.25">
      <c r="B75" s="141" t="s">
        <v>22</v>
      </c>
      <c r="C75" s="142" t="s">
        <v>102</v>
      </c>
      <c r="D75" s="142" t="s">
        <v>24</v>
      </c>
      <c r="E75" s="142" t="s">
        <v>1770</v>
      </c>
      <c r="F75" s="142" t="s">
        <v>25</v>
      </c>
      <c r="G75" s="142" t="s">
        <v>25</v>
      </c>
      <c r="H75" s="142" t="s">
        <v>88</v>
      </c>
      <c r="I75" s="142" t="s">
        <v>25</v>
      </c>
      <c r="J75" s="142">
        <v>199.17</v>
      </c>
      <c r="K75" s="142">
        <v>267.11</v>
      </c>
      <c r="L75" s="142"/>
      <c r="M75" s="142">
        <v>0.42218734965342603</v>
      </c>
      <c r="N75" s="142">
        <v>2.2557742613986602</v>
      </c>
      <c r="O75" s="142"/>
      <c r="P75" s="142"/>
      <c r="Q75" s="142"/>
      <c r="R75" s="142"/>
      <c r="S75" s="142"/>
      <c r="T75" s="142">
        <v>39.453940096394902</v>
      </c>
      <c r="U75" s="142">
        <v>10.0266239062063</v>
      </c>
      <c r="V75" s="142">
        <v>1.32619689721112</v>
      </c>
      <c r="W75" s="142"/>
      <c r="X75" s="142"/>
      <c r="Y75" s="142"/>
      <c r="Z75" s="142"/>
      <c r="AA75" s="142">
        <v>106.078818389045</v>
      </c>
      <c r="AB75" s="142"/>
      <c r="AC75" s="142"/>
      <c r="AD75" s="142">
        <v>24.491501950758199</v>
      </c>
      <c r="AE75" s="142">
        <v>0.92059503661286801</v>
      </c>
      <c r="AF75" s="142">
        <v>11.5361593058597</v>
      </c>
      <c r="AG75" s="142">
        <v>2.66231739929666</v>
      </c>
      <c r="AH75" s="142">
        <v>2.5001912038720402</v>
      </c>
      <c r="AI75" s="142">
        <v>12.041216561838599</v>
      </c>
      <c r="AJ75" s="142"/>
      <c r="AK75" s="142">
        <v>1.94038040414269E-13</v>
      </c>
      <c r="AL75" s="142">
        <v>233.64275512213499</v>
      </c>
      <c r="AM75" s="142">
        <v>7.5601968849460697</v>
      </c>
      <c r="AN75" s="142">
        <v>5.5617204745840301</v>
      </c>
      <c r="AO75" s="142"/>
      <c r="AP75" s="142"/>
      <c r="AQ75" s="143">
        <v>5.8054691462631398</v>
      </c>
    </row>
    <row r="76" spans="2:43" ht="12" customHeight="1" x14ac:dyDescent="0.25">
      <c r="B76" s="141" t="s">
        <v>22</v>
      </c>
      <c r="C76" s="142" t="s">
        <v>102</v>
      </c>
      <c r="D76" s="142" t="s">
        <v>24</v>
      </c>
      <c r="E76" s="142" t="s">
        <v>24</v>
      </c>
      <c r="F76" s="142" t="s">
        <v>25</v>
      </c>
      <c r="G76" s="142" t="s">
        <v>25</v>
      </c>
      <c r="H76" s="142" t="s">
        <v>88</v>
      </c>
      <c r="I76" s="142" t="s">
        <v>25</v>
      </c>
      <c r="J76" s="142">
        <v>268.66000000000003</v>
      </c>
      <c r="K76" s="142">
        <v>267.11</v>
      </c>
      <c r="L76" s="142"/>
      <c r="M76" s="142">
        <v>0.42218734965342603</v>
      </c>
      <c r="N76" s="142">
        <v>2.2702428180047201</v>
      </c>
      <c r="O76" s="142"/>
      <c r="P76" s="142"/>
      <c r="Q76" s="142">
        <v>61.495406527525397</v>
      </c>
      <c r="R76" s="142">
        <v>7.9721317603751496</v>
      </c>
      <c r="S76" s="142"/>
      <c r="T76" s="142">
        <v>39.453940096394902</v>
      </c>
      <c r="U76" s="142">
        <v>10.0266239062063</v>
      </c>
      <c r="V76" s="142">
        <v>1.32619689721112</v>
      </c>
      <c r="W76" s="142"/>
      <c r="X76" s="142"/>
      <c r="Y76" s="142"/>
      <c r="Z76" s="142"/>
      <c r="AA76" s="142">
        <v>106.078818389045</v>
      </c>
      <c r="AB76" s="142"/>
      <c r="AC76" s="142"/>
      <c r="AD76" s="142">
        <v>24.491501950758199</v>
      </c>
      <c r="AE76" s="142">
        <v>0.92059503661286801</v>
      </c>
      <c r="AF76" s="142">
        <v>11.5361593058597</v>
      </c>
      <c r="AG76" s="142">
        <v>2.66231739929666</v>
      </c>
      <c r="AH76" s="142">
        <v>2.5001912038720402</v>
      </c>
      <c r="AI76" s="142">
        <v>12.041216561838599</v>
      </c>
      <c r="AJ76" s="142"/>
      <c r="AK76" s="142">
        <v>1.94038040414269E-13</v>
      </c>
      <c r="AL76" s="142">
        <v>233.64275512213499</v>
      </c>
      <c r="AM76" s="142">
        <v>7.5601968849460697</v>
      </c>
      <c r="AN76" s="142">
        <v>5.5617204745840301</v>
      </c>
      <c r="AO76" s="142"/>
      <c r="AP76" s="142"/>
      <c r="AQ76" s="143">
        <v>5.8054691462631398</v>
      </c>
    </row>
    <row r="77" spans="2:43" ht="12" customHeight="1" x14ac:dyDescent="0.25">
      <c r="B77" s="141" t="s">
        <v>46</v>
      </c>
      <c r="C77" s="142" t="s">
        <v>37</v>
      </c>
      <c r="D77" s="142" t="s">
        <v>47</v>
      </c>
      <c r="E77" s="142" t="s">
        <v>103</v>
      </c>
      <c r="F77" s="142" t="s">
        <v>25</v>
      </c>
      <c r="G77" s="142" t="s">
        <v>35</v>
      </c>
      <c r="H77" s="142" t="s">
        <v>88</v>
      </c>
      <c r="I77" s="142" t="s">
        <v>25</v>
      </c>
      <c r="J77" s="142">
        <v>505.96</v>
      </c>
      <c r="K77" s="142">
        <v>338.32</v>
      </c>
      <c r="L77" s="142"/>
      <c r="M77" s="142">
        <v>0.346193626715809</v>
      </c>
      <c r="N77" s="142">
        <v>4.5008296453666299</v>
      </c>
      <c r="O77" s="142"/>
      <c r="P77" s="142"/>
      <c r="Q77" s="142">
        <v>50.426233352570797</v>
      </c>
      <c r="R77" s="142">
        <v>6.5371480435076199</v>
      </c>
      <c r="S77" s="142"/>
      <c r="T77" s="142">
        <v>103.527448221081</v>
      </c>
      <c r="U77" s="142">
        <v>26.3094985353273</v>
      </c>
      <c r="V77" s="142">
        <v>3.4806255318933301</v>
      </c>
      <c r="W77" s="142"/>
      <c r="X77" s="142"/>
      <c r="Y77" s="142"/>
      <c r="Z77" s="142"/>
      <c r="AA77" s="142">
        <v>278.35072526420402</v>
      </c>
      <c r="AB77" s="142"/>
      <c r="AC77" s="142"/>
      <c r="AD77" s="142">
        <v>20.083031599621801</v>
      </c>
      <c r="AE77" s="142">
        <v>0.75488793002255195</v>
      </c>
      <c r="AF77" s="142">
        <v>9.4596506308049904</v>
      </c>
      <c r="AG77" s="142">
        <v>2.18310026742326</v>
      </c>
      <c r="AH77" s="142">
        <v>2.0501567871750801</v>
      </c>
      <c r="AI77" s="142">
        <v>9.8737975807076506</v>
      </c>
      <c r="AJ77" s="142"/>
      <c r="AK77" s="142">
        <v>1.59111193139701E-13</v>
      </c>
      <c r="AL77" s="142">
        <v>310.87711492854601</v>
      </c>
      <c r="AM77" s="142">
        <v>6.1993614456557804</v>
      </c>
      <c r="AN77" s="142">
        <v>4.5606107891588996</v>
      </c>
      <c r="AO77" s="142"/>
      <c r="AP77" s="142"/>
      <c r="AQ77" s="143">
        <v>4.7604846999357804</v>
      </c>
    </row>
    <row r="78" spans="2:43" ht="12" customHeight="1" x14ac:dyDescent="0.25">
      <c r="B78" s="141" t="s">
        <v>46</v>
      </c>
      <c r="C78" s="142" t="s">
        <v>37</v>
      </c>
      <c r="D78" s="142" t="s">
        <v>47</v>
      </c>
      <c r="E78" s="142" t="s">
        <v>103</v>
      </c>
      <c r="F78" s="142" t="s">
        <v>25</v>
      </c>
      <c r="G78" s="142" t="s">
        <v>38</v>
      </c>
      <c r="H78" s="142" t="s">
        <v>88</v>
      </c>
      <c r="I78" s="142" t="s">
        <v>25</v>
      </c>
      <c r="J78" s="142">
        <v>339.76</v>
      </c>
      <c r="K78" s="142">
        <v>208.19</v>
      </c>
      <c r="L78" s="142"/>
      <c r="M78" s="142">
        <v>0.346193626715809</v>
      </c>
      <c r="N78" s="142">
        <v>2.96527614790338</v>
      </c>
      <c r="O78" s="142"/>
      <c r="P78" s="142"/>
      <c r="Q78" s="142">
        <v>50.426233352570797</v>
      </c>
      <c r="R78" s="142">
        <v>6.5371480435076199</v>
      </c>
      <c r="S78" s="142"/>
      <c r="T78" s="142">
        <v>62.116262660554803</v>
      </c>
      <c r="U78" s="142">
        <v>15.785554083373199</v>
      </c>
      <c r="V78" s="142">
        <v>2.0883753191359999</v>
      </c>
      <c r="W78" s="142"/>
      <c r="X78" s="142"/>
      <c r="Y78" s="142"/>
      <c r="Z78" s="142"/>
      <c r="AA78" s="142">
        <v>167.01041632079199</v>
      </c>
      <c r="AB78" s="142"/>
      <c r="AC78" s="142"/>
      <c r="AD78" s="142">
        <v>20.083031599621801</v>
      </c>
      <c r="AE78" s="142">
        <v>0.75488793002255195</v>
      </c>
      <c r="AF78" s="142">
        <v>9.4596506308049904</v>
      </c>
      <c r="AG78" s="142">
        <v>2.18310026742326</v>
      </c>
      <c r="AH78" s="142">
        <v>2.0501567871750801</v>
      </c>
      <c r="AI78" s="142">
        <v>9.8737975807076506</v>
      </c>
      <c r="AJ78" s="142"/>
      <c r="AK78" s="142">
        <v>1.59111193139701E-13</v>
      </c>
      <c r="AL78" s="142">
        <v>180.74250867938699</v>
      </c>
      <c r="AM78" s="142">
        <v>6.1993614456557804</v>
      </c>
      <c r="AN78" s="142">
        <v>4.5606107891588996</v>
      </c>
      <c r="AO78" s="142"/>
      <c r="AP78" s="142"/>
      <c r="AQ78" s="143">
        <v>4.7604846999357804</v>
      </c>
    </row>
    <row r="79" spans="2:43" ht="12" customHeight="1" x14ac:dyDescent="0.25">
      <c r="B79" s="141" t="s">
        <v>46</v>
      </c>
      <c r="C79" s="142" t="s">
        <v>37</v>
      </c>
      <c r="D79" s="142" t="s">
        <v>47</v>
      </c>
      <c r="E79" s="142" t="s">
        <v>103</v>
      </c>
      <c r="F79" s="142" t="s">
        <v>25</v>
      </c>
      <c r="G79" s="142" t="s">
        <v>36</v>
      </c>
      <c r="H79" s="142" t="s">
        <v>88</v>
      </c>
      <c r="I79" s="142" t="s">
        <v>25</v>
      </c>
      <c r="J79" s="142">
        <v>173.55</v>
      </c>
      <c r="K79" s="142">
        <v>208.19</v>
      </c>
      <c r="L79" s="142"/>
      <c r="M79" s="142">
        <v>0.346193626715809</v>
      </c>
      <c r="N79" s="142">
        <v>1.42972502328342</v>
      </c>
      <c r="O79" s="142"/>
      <c r="P79" s="142"/>
      <c r="Q79" s="142">
        <v>50.426233352570797</v>
      </c>
      <c r="R79" s="142">
        <v>6.5371480435076199</v>
      </c>
      <c r="S79" s="142"/>
      <c r="T79" s="142">
        <v>20.7055927802631</v>
      </c>
      <c r="U79" s="142">
        <v>5.2619722259770603</v>
      </c>
      <c r="V79" s="142">
        <v>0.69612510637866498</v>
      </c>
      <c r="W79" s="142"/>
      <c r="X79" s="142"/>
      <c r="Y79" s="142"/>
      <c r="Z79" s="142"/>
      <c r="AA79" s="142">
        <v>55.670107377380802</v>
      </c>
      <c r="AB79" s="142"/>
      <c r="AC79" s="142"/>
      <c r="AD79" s="142">
        <v>20.083031599621801</v>
      </c>
      <c r="AE79" s="142">
        <v>0.75488793002255195</v>
      </c>
      <c r="AF79" s="142">
        <v>9.4596506308049904</v>
      </c>
      <c r="AG79" s="142">
        <v>2.18310026742326</v>
      </c>
      <c r="AH79" s="142">
        <v>2.0501567871750801</v>
      </c>
      <c r="AI79" s="142">
        <v>9.8737975807076506</v>
      </c>
      <c r="AJ79" s="142"/>
      <c r="AK79" s="142">
        <v>1.59111193139701E-13</v>
      </c>
      <c r="AL79" s="142">
        <v>180.74250867938699</v>
      </c>
      <c r="AM79" s="142">
        <v>6.1993614456557804</v>
      </c>
      <c r="AN79" s="142">
        <v>4.5606107891588996</v>
      </c>
      <c r="AO79" s="142"/>
      <c r="AP79" s="142"/>
      <c r="AQ79" s="143">
        <v>4.7604846999357804</v>
      </c>
    </row>
    <row r="80" spans="2:43" ht="12" customHeight="1" x14ac:dyDescent="0.25">
      <c r="B80" s="141" t="s">
        <v>46</v>
      </c>
      <c r="C80" s="142" t="s">
        <v>37</v>
      </c>
      <c r="D80" s="142" t="s">
        <v>47</v>
      </c>
      <c r="E80" s="142" t="s">
        <v>25</v>
      </c>
      <c r="F80" s="142" t="s">
        <v>25</v>
      </c>
      <c r="G80" s="142" t="s">
        <v>35</v>
      </c>
      <c r="H80" s="142" t="s">
        <v>88</v>
      </c>
      <c r="I80" s="142" t="s">
        <v>25</v>
      </c>
      <c r="J80" s="142">
        <v>505.96</v>
      </c>
      <c r="K80" s="142">
        <v>338.32</v>
      </c>
      <c r="L80" s="142"/>
      <c r="M80" s="142">
        <v>0.346193626715809</v>
      </c>
      <c r="N80" s="142">
        <v>4.5008296453666299</v>
      </c>
      <c r="O80" s="142"/>
      <c r="P80" s="142"/>
      <c r="Q80" s="142">
        <v>50.426233352570797</v>
      </c>
      <c r="R80" s="142">
        <v>6.5371480435076199</v>
      </c>
      <c r="S80" s="142"/>
      <c r="T80" s="142">
        <v>103.527448221081</v>
      </c>
      <c r="U80" s="142">
        <v>26.3094985353273</v>
      </c>
      <c r="V80" s="142">
        <v>3.4806255318933301</v>
      </c>
      <c r="W80" s="142"/>
      <c r="X80" s="142"/>
      <c r="Y80" s="142"/>
      <c r="Z80" s="142"/>
      <c r="AA80" s="142">
        <v>278.35072526420402</v>
      </c>
      <c r="AB80" s="142"/>
      <c r="AC80" s="142"/>
      <c r="AD80" s="142">
        <v>20.083031599621801</v>
      </c>
      <c r="AE80" s="142">
        <v>0.75488793002255195</v>
      </c>
      <c r="AF80" s="142">
        <v>9.4596506308049904</v>
      </c>
      <c r="AG80" s="142">
        <v>2.18310026742326</v>
      </c>
      <c r="AH80" s="142">
        <v>2.0501567871750801</v>
      </c>
      <c r="AI80" s="142">
        <v>9.8737975807076506</v>
      </c>
      <c r="AJ80" s="142"/>
      <c r="AK80" s="142">
        <v>1.59111193139701E-13</v>
      </c>
      <c r="AL80" s="142">
        <v>310.87711492854601</v>
      </c>
      <c r="AM80" s="142">
        <v>6.1993614456557804</v>
      </c>
      <c r="AN80" s="142">
        <v>4.5606107891588996</v>
      </c>
      <c r="AO80" s="142"/>
      <c r="AP80" s="142"/>
      <c r="AQ80" s="143">
        <v>4.7604846999357804</v>
      </c>
    </row>
    <row r="81" spans="2:43" ht="12" customHeight="1" x14ac:dyDescent="0.25">
      <c r="B81" s="141" t="s">
        <v>46</v>
      </c>
      <c r="C81" s="142" t="s">
        <v>37</v>
      </c>
      <c r="D81" s="142" t="s">
        <v>47</v>
      </c>
      <c r="E81" s="142" t="s">
        <v>25</v>
      </c>
      <c r="F81" s="142" t="s">
        <v>25</v>
      </c>
      <c r="G81" s="142" t="s">
        <v>38</v>
      </c>
      <c r="H81" s="142" t="s">
        <v>88</v>
      </c>
      <c r="I81" s="142" t="s">
        <v>25</v>
      </c>
      <c r="J81" s="142">
        <v>339.76</v>
      </c>
      <c r="K81" s="142">
        <v>208.19</v>
      </c>
      <c r="L81" s="142"/>
      <c r="M81" s="142">
        <v>0.346193626715809</v>
      </c>
      <c r="N81" s="142">
        <v>2.96527614790338</v>
      </c>
      <c r="O81" s="142"/>
      <c r="P81" s="142"/>
      <c r="Q81" s="142">
        <v>50.426233352570797</v>
      </c>
      <c r="R81" s="142">
        <v>6.5371480435076199</v>
      </c>
      <c r="S81" s="142"/>
      <c r="T81" s="142">
        <v>62.116262660554803</v>
      </c>
      <c r="U81" s="142">
        <v>15.785554083373199</v>
      </c>
      <c r="V81" s="142">
        <v>2.0883753191359999</v>
      </c>
      <c r="W81" s="142"/>
      <c r="X81" s="142"/>
      <c r="Y81" s="142"/>
      <c r="Z81" s="142"/>
      <c r="AA81" s="142">
        <v>167.01041632079199</v>
      </c>
      <c r="AB81" s="142"/>
      <c r="AC81" s="142"/>
      <c r="AD81" s="142">
        <v>20.083031599621801</v>
      </c>
      <c r="AE81" s="142">
        <v>0.75488793002255195</v>
      </c>
      <c r="AF81" s="142">
        <v>9.4596506308049904</v>
      </c>
      <c r="AG81" s="142">
        <v>2.18310026742326</v>
      </c>
      <c r="AH81" s="142">
        <v>2.0501567871750801</v>
      </c>
      <c r="AI81" s="142">
        <v>9.8737975807076506</v>
      </c>
      <c r="AJ81" s="142"/>
      <c r="AK81" s="142">
        <v>1.59111193139701E-13</v>
      </c>
      <c r="AL81" s="142">
        <v>180.74250867938699</v>
      </c>
      <c r="AM81" s="142">
        <v>6.1993614456557804</v>
      </c>
      <c r="AN81" s="142">
        <v>4.5606107891588996</v>
      </c>
      <c r="AO81" s="142"/>
      <c r="AP81" s="142"/>
      <c r="AQ81" s="143">
        <v>4.7604846999357804</v>
      </c>
    </row>
    <row r="82" spans="2:43" ht="12" customHeight="1" x14ac:dyDescent="0.25">
      <c r="B82" s="141" t="s">
        <v>46</v>
      </c>
      <c r="C82" s="142" t="s">
        <v>37</v>
      </c>
      <c r="D82" s="142" t="s">
        <v>47</v>
      </c>
      <c r="E82" s="142" t="s">
        <v>25</v>
      </c>
      <c r="F82" s="142" t="s">
        <v>25</v>
      </c>
      <c r="G82" s="142" t="s">
        <v>36</v>
      </c>
      <c r="H82" s="142" t="s">
        <v>88</v>
      </c>
      <c r="I82" s="142" t="s">
        <v>25</v>
      </c>
      <c r="J82" s="142">
        <v>173.55</v>
      </c>
      <c r="K82" s="142">
        <v>208.19</v>
      </c>
      <c r="L82" s="142"/>
      <c r="M82" s="142">
        <v>0.346193626715809</v>
      </c>
      <c r="N82" s="142">
        <v>1.42972502328342</v>
      </c>
      <c r="O82" s="142"/>
      <c r="P82" s="142"/>
      <c r="Q82" s="142">
        <v>50.426233352570797</v>
      </c>
      <c r="R82" s="142">
        <v>6.5371480435076199</v>
      </c>
      <c r="S82" s="142"/>
      <c r="T82" s="142">
        <v>20.7055927802631</v>
      </c>
      <c r="U82" s="142">
        <v>5.2619722259770603</v>
      </c>
      <c r="V82" s="142">
        <v>0.69612510637866498</v>
      </c>
      <c r="W82" s="142"/>
      <c r="X82" s="142"/>
      <c r="Y82" s="142"/>
      <c r="Z82" s="142"/>
      <c r="AA82" s="142">
        <v>55.670107377380802</v>
      </c>
      <c r="AB82" s="142"/>
      <c r="AC82" s="142"/>
      <c r="AD82" s="142">
        <v>20.083031599621801</v>
      </c>
      <c r="AE82" s="142">
        <v>0.75488793002255195</v>
      </c>
      <c r="AF82" s="142">
        <v>9.4596506308049904</v>
      </c>
      <c r="AG82" s="142">
        <v>2.18310026742326</v>
      </c>
      <c r="AH82" s="142">
        <v>2.0501567871750801</v>
      </c>
      <c r="AI82" s="142">
        <v>9.8737975807076506</v>
      </c>
      <c r="AJ82" s="142"/>
      <c r="AK82" s="142">
        <v>1.59111193139701E-13</v>
      </c>
      <c r="AL82" s="142">
        <v>180.74250867938699</v>
      </c>
      <c r="AM82" s="142">
        <v>6.1993614456557804</v>
      </c>
      <c r="AN82" s="142">
        <v>4.5606107891588996</v>
      </c>
      <c r="AO82" s="142"/>
      <c r="AP82" s="142"/>
      <c r="AQ82" s="143">
        <v>4.7604846999357804</v>
      </c>
    </row>
    <row r="83" spans="2:43" ht="12" customHeight="1" x14ac:dyDescent="0.25">
      <c r="B83" s="141" t="s">
        <v>46</v>
      </c>
      <c r="C83" s="142" t="s">
        <v>37</v>
      </c>
      <c r="D83" s="142" t="s">
        <v>47</v>
      </c>
      <c r="E83" s="142" t="s">
        <v>104</v>
      </c>
      <c r="F83" s="142" t="s">
        <v>25</v>
      </c>
      <c r="G83" s="142" t="s">
        <v>35</v>
      </c>
      <c r="H83" s="142" t="s">
        <v>88</v>
      </c>
      <c r="I83" s="142" t="s">
        <v>25</v>
      </c>
      <c r="J83" s="142">
        <v>468.94</v>
      </c>
      <c r="K83" s="142">
        <v>313.57</v>
      </c>
      <c r="L83" s="142"/>
      <c r="M83" s="142">
        <v>0.32086238573660297</v>
      </c>
      <c r="N83" s="142">
        <v>4.1715006469251703</v>
      </c>
      <c r="O83" s="142"/>
      <c r="P83" s="142"/>
      <c r="Q83" s="142">
        <v>46.736508960919302</v>
      </c>
      <c r="R83" s="142">
        <v>6.0588201378851103</v>
      </c>
      <c r="S83" s="142"/>
      <c r="T83" s="142">
        <v>95.952269082953194</v>
      </c>
      <c r="U83" s="142">
        <v>24.3844132766448</v>
      </c>
      <c r="V83" s="142">
        <v>3.2259456149255201</v>
      </c>
      <c r="W83" s="142"/>
      <c r="X83" s="142"/>
      <c r="Y83" s="142"/>
      <c r="Z83" s="142"/>
      <c r="AA83" s="142">
        <v>257.98359902535998</v>
      </c>
      <c r="AB83" s="142"/>
      <c r="AC83" s="142"/>
      <c r="AD83" s="142">
        <v>18.613541482576299</v>
      </c>
      <c r="AE83" s="142">
        <v>0.69965222782577996</v>
      </c>
      <c r="AF83" s="142">
        <v>8.7674810724534105</v>
      </c>
      <c r="AG83" s="142">
        <v>2.0233612234654599</v>
      </c>
      <c r="AH83" s="142">
        <v>1.9001453149427501</v>
      </c>
      <c r="AI83" s="142">
        <v>9.1513245869973296</v>
      </c>
      <c r="AJ83" s="142"/>
      <c r="AK83" s="142">
        <v>1.4746891071484501E-13</v>
      </c>
      <c r="AL83" s="142">
        <v>288.13000895816498</v>
      </c>
      <c r="AM83" s="142">
        <v>5.7457496325590096</v>
      </c>
      <c r="AN83" s="142">
        <v>4.22690756068386</v>
      </c>
      <c r="AO83" s="142"/>
      <c r="AP83" s="142"/>
      <c r="AQ83" s="143">
        <v>4.4121565511599901</v>
      </c>
    </row>
    <row r="84" spans="2:43" ht="12" customHeight="1" x14ac:dyDescent="0.25">
      <c r="B84" s="141" t="s">
        <v>46</v>
      </c>
      <c r="C84" s="142" t="s">
        <v>37</v>
      </c>
      <c r="D84" s="142" t="s">
        <v>47</v>
      </c>
      <c r="E84" s="142" t="s">
        <v>104</v>
      </c>
      <c r="F84" s="142" t="s">
        <v>25</v>
      </c>
      <c r="G84" s="142" t="s">
        <v>38</v>
      </c>
      <c r="H84" s="142" t="s">
        <v>88</v>
      </c>
      <c r="I84" s="142" t="s">
        <v>25</v>
      </c>
      <c r="J84" s="142">
        <v>314.89999999999998</v>
      </c>
      <c r="K84" s="142">
        <v>192.95</v>
      </c>
      <c r="L84" s="142"/>
      <c r="M84" s="142">
        <v>0.32086238573660297</v>
      </c>
      <c r="N84" s="142">
        <v>2.74830472244704</v>
      </c>
      <c r="O84" s="142"/>
      <c r="P84" s="142"/>
      <c r="Q84" s="142">
        <v>46.736508960919302</v>
      </c>
      <c r="R84" s="142">
        <v>6.0588201378851103</v>
      </c>
      <c r="S84" s="142"/>
      <c r="T84" s="142">
        <v>57.571170270758103</v>
      </c>
      <c r="U84" s="142">
        <v>14.6305135406873</v>
      </c>
      <c r="V84" s="142">
        <v>1.9355673689553099</v>
      </c>
      <c r="W84" s="142"/>
      <c r="X84" s="142"/>
      <c r="Y84" s="142"/>
      <c r="Z84" s="142"/>
      <c r="AA84" s="142">
        <v>154.790141955856</v>
      </c>
      <c r="AB84" s="142"/>
      <c r="AC84" s="142"/>
      <c r="AD84" s="142">
        <v>18.613541482576299</v>
      </c>
      <c r="AE84" s="142">
        <v>0.69965222782577996</v>
      </c>
      <c r="AF84" s="142">
        <v>8.7674810724534105</v>
      </c>
      <c r="AG84" s="142">
        <v>2.0233612234654599</v>
      </c>
      <c r="AH84" s="142">
        <v>1.9001453149427501</v>
      </c>
      <c r="AI84" s="142">
        <v>9.1513245869973296</v>
      </c>
      <c r="AJ84" s="142"/>
      <c r="AK84" s="142">
        <v>1.4746891071484501E-13</v>
      </c>
      <c r="AL84" s="142">
        <v>167.51744706870099</v>
      </c>
      <c r="AM84" s="142">
        <v>5.7457496325590096</v>
      </c>
      <c r="AN84" s="142">
        <v>4.22690756068386</v>
      </c>
      <c r="AO84" s="142"/>
      <c r="AP84" s="142"/>
      <c r="AQ84" s="143">
        <v>4.4121565511599901</v>
      </c>
    </row>
    <row r="85" spans="2:43" ht="12" customHeight="1" x14ac:dyDescent="0.25">
      <c r="B85" s="141" t="s">
        <v>46</v>
      </c>
      <c r="C85" s="142" t="s">
        <v>37</v>
      </c>
      <c r="D85" s="142" t="s">
        <v>47</v>
      </c>
      <c r="E85" s="142" t="s">
        <v>104</v>
      </c>
      <c r="F85" s="142" t="s">
        <v>25</v>
      </c>
      <c r="G85" s="142" t="s">
        <v>36</v>
      </c>
      <c r="H85" s="142" t="s">
        <v>88</v>
      </c>
      <c r="I85" s="142" t="s">
        <v>25</v>
      </c>
      <c r="J85" s="142">
        <v>160.85</v>
      </c>
      <c r="K85" s="142">
        <v>192.95</v>
      </c>
      <c r="L85" s="142"/>
      <c r="M85" s="142">
        <v>0.32086238573660297</v>
      </c>
      <c r="N85" s="142">
        <v>1.3251109971895101</v>
      </c>
      <c r="O85" s="142"/>
      <c r="P85" s="142"/>
      <c r="Q85" s="142">
        <v>46.736508960919302</v>
      </c>
      <c r="R85" s="142">
        <v>6.0588201378851103</v>
      </c>
      <c r="S85" s="142"/>
      <c r="T85" s="142">
        <v>19.190549406097499</v>
      </c>
      <c r="U85" s="142">
        <v>4.8769498679787402</v>
      </c>
      <c r="V85" s="142">
        <v>0.645189122985104</v>
      </c>
      <c r="W85" s="142"/>
      <c r="X85" s="142"/>
      <c r="Y85" s="142"/>
      <c r="Z85" s="142"/>
      <c r="AA85" s="142">
        <v>51.596684886352897</v>
      </c>
      <c r="AB85" s="142"/>
      <c r="AC85" s="142"/>
      <c r="AD85" s="142">
        <v>18.613541482576299</v>
      </c>
      <c r="AE85" s="142">
        <v>0.69965222782577996</v>
      </c>
      <c r="AF85" s="142">
        <v>8.7674810724534105</v>
      </c>
      <c r="AG85" s="142">
        <v>2.0233612234654599</v>
      </c>
      <c r="AH85" s="142">
        <v>1.9001453149427501</v>
      </c>
      <c r="AI85" s="142">
        <v>9.1513245869973296</v>
      </c>
      <c r="AJ85" s="142"/>
      <c r="AK85" s="142">
        <v>1.4746891071484501E-13</v>
      </c>
      <c r="AL85" s="142">
        <v>167.51744706870099</v>
      </c>
      <c r="AM85" s="142">
        <v>5.7457496325590096</v>
      </c>
      <c r="AN85" s="142">
        <v>4.22690756068386</v>
      </c>
      <c r="AO85" s="142"/>
      <c r="AP85" s="142"/>
      <c r="AQ85" s="143">
        <v>4.4121565511599901</v>
      </c>
    </row>
    <row r="86" spans="2:43" ht="12" customHeight="1" x14ac:dyDescent="0.25">
      <c r="B86" s="141" t="s">
        <v>46</v>
      </c>
      <c r="C86" s="142" t="s">
        <v>23</v>
      </c>
      <c r="D86" s="142" t="s">
        <v>47</v>
      </c>
      <c r="E86" s="142" t="s">
        <v>103</v>
      </c>
      <c r="F86" s="142" t="s">
        <v>25</v>
      </c>
      <c r="G86" s="142" t="s">
        <v>25</v>
      </c>
      <c r="H86" s="142" t="s">
        <v>88</v>
      </c>
      <c r="I86" s="142" t="s">
        <v>25</v>
      </c>
      <c r="J86" s="142">
        <v>220.3</v>
      </c>
      <c r="K86" s="142">
        <v>219.03</v>
      </c>
      <c r="L86" s="142"/>
      <c r="M86" s="142">
        <v>0.346193626715809</v>
      </c>
      <c r="N86" s="142">
        <v>1.8615991107638701</v>
      </c>
      <c r="O86" s="142"/>
      <c r="P86" s="142"/>
      <c r="Q86" s="142">
        <v>50.426233352570797</v>
      </c>
      <c r="R86" s="142">
        <v>6.5371480435076199</v>
      </c>
      <c r="S86" s="142"/>
      <c r="T86" s="142">
        <v>32.352230879043901</v>
      </c>
      <c r="U86" s="142">
        <v>8.2218316030891607</v>
      </c>
      <c r="V86" s="142">
        <v>1.08748145571312</v>
      </c>
      <c r="W86" s="142"/>
      <c r="X86" s="142"/>
      <c r="Y86" s="142"/>
      <c r="Z86" s="142"/>
      <c r="AA86" s="142">
        <v>86.984631079016793</v>
      </c>
      <c r="AB86" s="142"/>
      <c r="AC86" s="142"/>
      <c r="AD86" s="142">
        <v>20.083031599621801</v>
      </c>
      <c r="AE86" s="142">
        <v>0.75488793002255195</v>
      </c>
      <c r="AF86" s="142">
        <v>9.4596506308049904</v>
      </c>
      <c r="AG86" s="142">
        <v>2.18310026742326</v>
      </c>
      <c r="AH86" s="142">
        <v>2.0501567871750801</v>
      </c>
      <c r="AI86" s="142">
        <v>9.8737975807076506</v>
      </c>
      <c r="AJ86" s="142"/>
      <c r="AK86" s="142">
        <v>1.59111193139701E-13</v>
      </c>
      <c r="AL86" s="142">
        <v>191.587059200151</v>
      </c>
      <c r="AM86" s="142">
        <v>6.1993614456557804</v>
      </c>
      <c r="AN86" s="142">
        <v>4.5606107891588996</v>
      </c>
      <c r="AO86" s="142"/>
      <c r="AP86" s="142"/>
      <c r="AQ86" s="143">
        <v>4.7604846999357804</v>
      </c>
    </row>
    <row r="87" spans="2:43" ht="12" customHeight="1" x14ac:dyDescent="0.25">
      <c r="B87" s="141" t="s">
        <v>46</v>
      </c>
      <c r="C87" s="142" t="s">
        <v>23</v>
      </c>
      <c r="D87" s="142" t="s">
        <v>47</v>
      </c>
      <c r="E87" s="142" t="s">
        <v>25</v>
      </c>
      <c r="F87" s="142" t="s">
        <v>25</v>
      </c>
      <c r="G87" s="142" t="s">
        <v>25</v>
      </c>
      <c r="H87" s="142" t="s">
        <v>88</v>
      </c>
      <c r="I87" s="142" t="s">
        <v>25</v>
      </c>
      <c r="J87" s="142">
        <v>220.3</v>
      </c>
      <c r="K87" s="142">
        <v>219.03</v>
      </c>
      <c r="L87" s="142"/>
      <c r="M87" s="142">
        <v>0.346193626715809</v>
      </c>
      <c r="N87" s="142">
        <v>1.8615991107638701</v>
      </c>
      <c r="O87" s="142"/>
      <c r="P87" s="142"/>
      <c r="Q87" s="142">
        <v>50.426233352570797</v>
      </c>
      <c r="R87" s="142">
        <v>6.5371480435076199</v>
      </c>
      <c r="S87" s="142"/>
      <c r="T87" s="142">
        <v>32.352230879043901</v>
      </c>
      <c r="U87" s="142">
        <v>8.2218316030891607</v>
      </c>
      <c r="V87" s="142">
        <v>1.08748145571312</v>
      </c>
      <c r="W87" s="142"/>
      <c r="X87" s="142"/>
      <c r="Y87" s="142"/>
      <c r="Z87" s="142"/>
      <c r="AA87" s="142">
        <v>86.984631079016793</v>
      </c>
      <c r="AB87" s="142"/>
      <c r="AC87" s="142"/>
      <c r="AD87" s="142">
        <v>20.083031599621801</v>
      </c>
      <c r="AE87" s="142">
        <v>0.75488793002255195</v>
      </c>
      <c r="AF87" s="142">
        <v>9.4596506308049904</v>
      </c>
      <c r="AG87" s="142">
        <v>2.18310026742326</v>
      </c>
      <c r="AH87" s="142">
        <v>2.0501567871750801</v>
      </c>
      <c r="AI87" s="142">
        <v>9.8737975807076506</v>
      </c>
      <c r="AJ87" s="142"/>
      <c r="AK87" s="142">
        <v>1.59111193139701E-13</v>
      </c>
      <c r="AL87" s="142">
        <v>191.587059200151</v>
      </c>
      <c r="AM87" s="142">
        <v>6.1993614456557804</v>
      </c>
      <c r="AN87" s="142">
        <v>4.5606107891588996</v>
      </c>
      <c r="AO87" s="142"/>
      <c r="AP87" s="142"/>
      <c r="AQ87" s="143">
        <v>4.7604846999357804</v>
      </c>
    </row>
    <row r="88" spans="2:43" ht="12" customHeight="1" x14ac:dyDescent="0.25">
      <c r="B88" s="141" t="s">
        <v>46</v>
      </c>
      <c r="C88" s="142" t="s">
        <v>23</v>
      </c>
      <c r="D88" s="142" t="s">
        <v>47</v>
      </c>
      <c r="E88" s="142" t="s">
        <v>104</v>
      </c>
      <c r="F88" s="142" t="s">
        <v>25</v>
      </c>
      <c r="G88" s="142" t="s">
        <v>25</v>
      </c>
      <c r="H88" s="142" t="s">
        <v>88</v>
      </c>
      <c r="I88" s="142" t="s">
        <v>25</v>
      </c>
      <c r="J88" s="142">
        <v>204.18</v>
      </c>
      <c r="K88" s="142">
        <v>203</v>
      </c>
      <c r="L88" s="142"/>
      <c r="M88" s="142">
        <v>0.32086238573660297</v>
      </c>
      <c r="N88" s="142">
        <v>1.72538454168359</v>
      </c>
      <c r="O88" s="142"/>
      <c r="P88" s="142"/>
      <c r="Q88" s="142">
        <v>46.736508960919302</v>
      </c>
      <c r="R88" s="142">
        <v>6.0588201378851103</v>
      </c>
      <c r="S88" s="142"/>
      <c r="T88" s="142">
        <v>29.984994473260201</v>
      </c>
      <c r="U88" s="142">
        <v>7.6202341687167801</v>
      </c>
      <c r="V88" s="142">
        <v>1.0079096418804501</v>
      </c>
      <c r="W88" s="142"/>
      <c r="X88" s="142"/>
      <c r="Y88" s="142"/>
      <c r="Z88" s="142"/>
      <c r="AA88" s="142">
        <v>80.619901975674097</v>
      </c>
      <c r="AB88" s="142"/>
      <c r="AC88" s="142"/>
      <c r="AD88" s="142">
        <v>18.613541482576299</v>
      </c>
      <c r="AE88" s="142">
        <v>0.69965222782577996</v>
      </c>
      <c r="AF88" s="142">
        <v>8.7674810724534105</v>
      </c>
      <c r="AG88" s="142">
        <v>2.0233612234654599</v>
      </c>
      <c r="AH88" s="142">
        <v>1.9001453149427501</v>
      </c>
      <c r="AI88" s="142">
        <v>9.1513245869973296</v>
      </c>
      <c r="AJ88" s="142"/>
      <c r="AK88" s="142">
        <v>1.4746891071484501E-13</v>
      </c>
      <c r="AL88" s="142">
        <v>177.568493892823</v>
      </c>
      <c r="AM88" s="142">
        <v>5.7457496325590096</v>
      </c>
      <c r="AN88" s="142">
        <v>4.22690756068386</v>
      </c>
      <c r="AO88" s="142"/>
      <c r="AP88" s="142"/>
      <c r="AQ88" s="143">
        <v>4.4121565511599901</v>
      </c>
    </row>
    <row r="89" spans="2:43" ht="12" customHeight="1" x14ac:dyDescent="0.25">
      <c r="B89" s="141" t="s">
        <v>46</v>
      </c>
      <c r="C89" s="142" t="s">
        <v>102</v>
      </c>
      <c r="D89" s="142" t="s">
        <v>47</v>
      </c>
      <c r="E89" s="142" t="s">
        <v>103</v>
      </c>
      <c r="F89" s="142" t="s">
        <v>25</v>
      </c>
      <c r="G89" s="142" t="s">
        <v>25</v>
      </c>
      <c r="H89" s="142" t="s">
        <v>88</v>
      </c>
      <c r="I89" s="142" t="s">
        <v>25</v>
      </c>
      <c r="J89" s="142">
        <v>220.3</v>
      </c>
      <c r="K89" s="142">
        <v>219.03</v>
      </c>
      <c r="L89" s="142"/>
      <c r="M89" s="142">
        <v>0.346193626715809</v>
      </c>
      <c r="N89" s="142">
        <v>1.8615991107638701</v>
      </c>
      <c r="O89" s="142"/>
      <c r="P89" s="142"/>
      <c r="Q89" s="142">
        <v>50.426233352570797</v>
      </c>
      <c r="R89" s="142">
        <v>6.5371480435076199</v>
      </c>
      <c r="S89" s="142"/>
      <c r="T89" s="142">
        <v>32.352230879043901</v>
      </c>
      <c r="U89" s="142">
        <v>8.2218316030891607</v>
      </c>
      <c r="V89" s="142">
        <v>1.08748145571312</v>
      </c>
      <c r="W89" s="142"/>
      <c r="X89" s="142"/>
      <c r="Y89" s="142"/>
      <c r="Z89" s="142"/>
      <c r="AA89" s="142">
        <v>86.984631079016793</v>
      </c>
      <c r="AB89" s="142"/>
      <c r="AC89" s="142"/>
      <c r="AD89" s="142">
        <v>20.083031599621801</v>
      </c>
      <c r="AE89" s="142">
        <v>0.75488793002255195</v>
      </c>
      <c r="AF89" s="142">
        <v>9.4596506308049904</v>
      </c>
      <c r="AG89" s="142">
        <v>2.18310026742326</v>
      </c>
      <c r="AH89" s="142">
        <v>2.0501567871750801</v>
      </c>
      <c r="AI89" s="142">
        <v>9.8737975807076506</v>
      </c>
      <c r="AJ89" s="142"/>
      <c r="AK89" s="142">
        <v>1.59111193139701E-13</v>
      </c>
      <c r="AL89" s="142">
        <v>191.587059200151</v>
      </c>
      <c r="AM89" s="142">
        <v>6.1993614456557804</v>
      </c>
      <c r="AN89" s="142">
        <v>4.5606107891588996</v>
      </c>
      <c r="AO89" s="142"/>
      <c r="AP89" s="142"/>
      <c r="AQ89" s="143">
        <v>4.7604846999357804</v>
      </c>
    </row>
    <row r="90" spans="2:43" ht="12" customHeight="1" x14ac:dyDescent="0.25">
      <c r="B90" s="141" t="s">
        <v>46</v>
      </c>
      <c r="C90" s="142" t="s">
        <v>102</v>
      </c>
      <c r="D90" s="142" t="s">
        <v>47</v>
      </c>
      <c r="E90" s="142" t="s">
        <v>25</v>
      </c>
      <c r="F90" s="142" t="s">
        <v>25</v>
      </c>
      <c r="G90" s="142" t="s">
        <v>25</v>
      </c>
      <c r="H90" s="142" t="s">
        <v>88</v>
      </c>
      <c r="I90" s="142" t="s">
        <v>25</v>
      </c>
      <c r="J90" s="142">
        <v>220.3</v>
      </c>
      <c r="K90" s="142">
        <v>219.03</v>
      </c>
      <c r="L90" s="142"/>
      <c r="M90" s="142">
        <v>0.346193626715809</v>
      </c>
      <c r="N90" s="142">
        <v>1.8615991107638701</v>
      </c>
      <c r="O90" s="142"/>
      <c r="P90" s="142"/>
      <c r="Q90" s="142">
        <v>50.426233352570797</v>
      </c>
      <c r="R90" s="142">
        <v>6.5371480435076199</v>
      </c>
      <c r="S90" s="142"/>
      <c r="T90" s="142">
        <v>32.352230879043901</v>
      </c>
      <c r="U90" s="142">
        <v>8.2218316030891607</v>
      </c>
      <c r="V90" s="142">
        <v>1.08748145571312</v>
      </c>
      <c r="W90" s="142"/>
      <c r="X90" s="142"/>
      <c r="Y90" s="142"/>
      <c r="Z90" s="142"/>
      <c r="AA90" s="142">
        <v>86.984631079016793</v>
      </c>
      <c r="AB90" s="142"/>
      <c r="AC90" s="142"/>
      <c r="AD90" s="142">
        <v>20.083031599621801</v>
      </c>
      <c r="AE90" s="142">
        <v>0.75488793002255195</v>
      </c>
      <c r="AF90" s="142">
        <v>9.4596506308049904</v>
      </c>
      <c r="AG90" s="142">
        <v>2.18310026742326</v>
      </c>
      <c r="AH90" s="142">
        <v>2.0501567871750801</v>
      </c>
      <c r="AI90" s="142">
        <v>9.8737975807076506</v>
      </c>
      <c r="AJ90" s="142"/>
      <c r="AK90" s="142">
        <v>1.59111193139701E-13</v>
      </c>
      <c r="AL90" s="142">
        <v>191.587059200151</v>
      </c>
      <c r="AM90" s="142">
        <v>6.1993614456557804</v>
      </c>
      <c r="AN90" s="142">
        <v>4.5606107891588996</v>
      </c>
      <c r="AO90" s="142"/>
      <c r="AP90" s="142"/>
      <c r="AQ90" s="143">
        <v>4.7604846999357804</v>
      </c>
    </row>
    <row r="91" spans="2:43" ht="12" customHeight="1" x14ac:dyDescent="0.25">
      <c r="B91" s="141" t="s">
        <v>46</v>
      </c>
      <c r="C91" s="142" t="s">
        <v>102</v>
      </c>
      <c r="D91" s="142" t="s">
        <v>47</v>
      </c>
      <c r="E91" s="142" t="s">
        <v>104</v>
      </c>
      <c r="F91" s="142" t="s">
        <v>25</v>
      </c>
      <c r="G91" s="142" t="s">
        <v>25</v>
      </c>
      <c r="H91" s="142" t="s">
        <v>88</v>
      </c>
      <c r="I91" s="142" t="s">
        <v>25</v>
      </c>
      <c r="J91" s="142">
        <v>204.18</v>
      </c>
      <c r="K91" s="142">
        <v>203</v>
      </c>
      <c r="L91" s="142"/>
      <c r="M91" s="142">
        <v>0.32086238573660297</v>
      </c>
      <c r="N91" s="142">
        <v>1.72538454168359</v>
      </c>
      <c r="O91" s="142"/>
      <c r="P91" s="142"/>
      <c r="Q91" s="142">
        <v>46.736508960919302</v>
      </c>
      <c r="R91" s="142">
        <v>6.0588201378851103</v>
      </c>
      <c r="S91" s="142"/>
      <c r="T91" s="142">
        <v>29.984994473260201</v>
      </c>
      <c r="U91" s="142">
        <v>7.6202341687167801</v>
      </c>
      <c r="V91" s="142">
        <v>1.0079096418804501</v>
      </c>
      <c r="W91" s="142"/>
      <c r="X91" s="142"/>
      <c r="Y91" s="142"/>
      <c r="Z91" s="142"/>
      <c r="AA91" s="142">
        <v>80.619901975674097</v>
      </c>
      <c r="AB91" s="142"/>
      <c r="AC91" s="142"/>
      <c r="AD91" s="142">
        <v>18.613541482576299</v>
      </c>
      <c r="AE91" s="142">
        <v>0.69965222782577996</v>
      </c>
      <c r="AF91" s="142">
        <v>8.7674810724534105</v>
      </c>
      <c r="AG91" s="142">
        <v>2.0233612234654599</v>
      </c>
      <c r="AH91" s="142">
        <v>1.9001453149427501</v>
      </c>
      <c r="AI91" s="142">
        <v>9.1513245869973296</v>
      </c>
      <c r="AJ91" s="142"/>
      <c r="AK91" s="142">
        <v>1.4746891071484501E-13</v>
      </c>
      <c r="AL91" s="142">
        <v>177.568493892823</v>
      </c>
      <c r="AM91" s="142">
        <v>5.7457496325590096</v>
      </c>
      <c r="AN91" s="142">
        <v>4.22690756068386</v>
      </c>
      <c r="AO91" s="142"/>
      <c r="AP91" s="142"/>
      <c r="AQ91" s="143">
        <v>4.4121565511599901</v>
      </c>
    </row>
    <row r="92" spans="2:43" ht="12" customHeight="1" x14ac:dyDescent="0.25">
      <c r="B92" s="141" t="s">
        <v>39</v>
      </c>
      <c r="C92" s="142" t="s">
        <v>37</v>
      </c>
      <c r="D92" s="142" t="s">
        <v>25</v>
      </c>
      <c r="E92" s="142" t="s">
        <v>25</v>
      </c>
      <c r="F92" s="142" t="s">
        <v>25</v>
      </c>
      <c r="G92" s="142" t="s">
        <v>35</v>
      </c>
      <c r="H92" s="142" t="s">
        <v>88</v>
      </c>
      <c r="I92" s="142" t="s">
        <v>25</v>
      </c>
      <c r="J92" s="142">
        <v>617.02</v>
      </c>
      <c r="K92" s="142">
        <v>412.59</v>
      </c>
      <c r="L92" s="142"/>
      <c r="M92" s="142">
        <v>0.42218734965342603</v>
      </c>
      <c r="N92" s="142">
        <v>5.4888166406910104</v>
      </c>
      <c r="O92" s="142"/>
      <c r="P92" s="142"/>
      <c r="Q92" s="142">
        <v>61.495406527525397</v>
      </c>
      <c r="R92" s="142">
        <v>7.9721317603751496</v>
      </c>
      <c r="S92" s="142"/>
      <c r="T92" s="142">
        <v>126.252985635465</v>
      </c>
      <c r="U92" s="142">
        <v>32.084754311374702</v>
      </c>
      <c r="V92" s="142">
        <v>4.2446652827967402</v>
      </c>
      <c r="W92" s="142"/>
      <c r="X92" s="142"/>
      <c r="Y92" s="142"/>
      <c r="Z92" s="142"/>
      <c r="AA92" s="142">
        <v>339.45210398073601</v>
      </c>
      <c r="AB92" s="142"/>
      <c r="AC92" s="142"/>
      <c r="AD92" s="142">
        <v>24.491501950758199</v>
      </c>
      <c r="AE92" s="142">
        <v>0.92059503661286801</v>
      </c>
      <c r="AF92" s="142">
        <v>11.5361593058597</v>
      </c>
      <c r="AG92" s="142">
        <v>2.66231739929666</v>
      </c>
      <c r="AH92" s="142">
        <v>2.5001912038720402</v>
      </c>
      <c r="AI92" s="142">
        <v>12.041216561838599</v>
      </c>
      <c r="AJ92" s="142"/>
      <c r="AK92" s="142">
        <v>1.94038040414269E-13</v>
      </c>
      <c r="AL92" s="142">
        <v>379.11843283969102</v>
      </c>
      <c r="AM92" s="142">
        <v>7.5601968849460697</v>
      </c>
      <c r="AN92" s="142">
        <v>5.5617204745840301</v>
      </c>
      <c r="AO92" s="142"/>
      <c r="AP92" s="142"/>
      <c r="AQ92" s="143">
        <v>5.8054691462631398</v>
      </c>
    </row>
    <row r="93" spans="2:43" ht="12" customHeight="1" x14ac:dyDescent="0.25">
      <c r="B93" s="141" t="s">
        <v>39</v>
      </c>
      <c r="C93" s="142" t="s">
        <v>37</v>
      </c>
      <c r="D93" s="142" t="s">
        <v>25</v>
      </c>
      <c r="E93" s="142" t="s">
        <v>25</v>
      </c>
      <c r="F93" s="142" t="s">
        <v>25</v>
      </c>
      <c r="G93" s="142" t="s">
        <v>38</v>
      </c>
      <c r="H93" s="142" t="s">
        <v>88</v>
      </c>
      <c r="I93" s="142" t="s">
        <v>25</v>
      </c>
      <c r="J93" s="142">
        <v>414.34</v>
      </c>
      <c r="K93" s="142">
        <v>253.89</v>
      </c>
      <c r="L93" s="142"/>
      <c r="M93" s="142">
        <v>0.42218734965342603</v>
      </c>
      <c r="N93" s="142">
        <v>3.6161904242724199</v>
      </c>
      <c r="O93" s="142"/>
      <c r="P93" s="142"/>
      <c r="Q93" s="142">
        <v>61.495406527525397</v>
      </c>
      <c r="R93" s="142">
        <v>7.9721317603751496</v>
      </c>
      <c r="S93" s="142"/>
      <c r="T93" s="142">
        <v>75.751539829944903</v>
      </c>
      <c r="U93" s="142">
        <v>19.250675711430699</v>
      </c>
      <c r="V93" s="142">
        <v>2.5467991696780401</v>
      </c>
      <c r="W93" s="142"/>
      <c r="X93" s="142"/>
      <c r="Y93" s="142"/>
      <c r="Z93" s="142"/>
      <c r="AA93" s="142">
        <v>203.67123941560001</v>
      </c>
      <c r="AB93" s="142"/>
      <c r="AC93" s="142"/>
      <c r="AD93" s="142">
        <v>24.491501950758199</v>
      </c>
      <c r="AE93" s="142">
        <v>0.92059503661286801</v>
      </c>
      <c r="AF93" s="142">
        <v>11.5361593058597</v>
      </c>
      <c r="AG93" s="142">
        <v>2.66231739929666</v>
      </c>
      <c r="AH93" s="142">
        <v>2.5001912038720402</v>
      </c>
      <c r="AI93" s="142">
        <v>12.041216561838599</v>
      </c>
      <c r="AJ93" s="142"/>
      <c r="AK93" s="142">
        <v>1.94038040414269E-13</v>
      </c>
      <c r="AL93" s="142">
        <v>220.41769351144799</v>
      </c>
      <c r="AM93" s="142">
        <v>7.5601968849460697</v>
      </c>
      <c r="AN93" s="142">
        <v>5.5617204745840301</v>
      </c>
      <c r="AO93" s="142"/>
      <c r="AP93" s="142"/>
      <c r="AQ93" s="143">
        <v>5.8054691462631398</v>
      </c>
    </row>
    <row r="94" spans="2:43" ht="12" customHeight="1" x14ac:dyDescent="0.25">
      <c r="B94" s="141" t="s">
        <v>39</v>
      </c>
      <c r="C94" s="142" t="s">
        <v>37</v>
      </c>
      <c r="D94" s="142" t="s">
        <v>25</v>
      </c>
      <c r="E94" s="142" t="s">
        <v>25</v>
      </c>
      <c r="F94" s="142" t="s">
        <v>25</v>
      </c>
      <c r="G94" s="142" t="s">
        <v>36</v>
      </c>
      <c r="H94" s="142" t="s">
        <v>88</v>
      </c>
      <c r="I94" s="142" t="s">
        <v>25</v>
      </c>
      <c r="J94" s="142">
        <v>211.65</v>
      </c>
      <c r="K94" s="142">
        <v>253.89</v>
      </c>
      <c r="L94" s="142"/>
      <c r="M94" s="142">
        <v>0.42218734965342603</v>
      </c>
      <c r="N94" s="142">
        <v>1.7435671015651399</v>
      </c>
      <c r="O94" s="142"/>
      <c r="P94" s="142"/>
      <c r="Q94" s="142">
        <v>61.495406527525397</v>
      </c>
      <c r="R94" s="142">
        <v>7.9721317603751496</v>
      </c>
      <c r="S94" s="142"/>
      <c r="T94" s="142">
        <v>25.2507229027599</v>
      </c>
      <c r="U94" s="142">
        <v>6.4170392999720303</v>
      </c>
      <c r="V94" s="142">
        <v>0.84893305655934803</v>
      </c>
      <c r="W94" s="142"/>
      <c r="X94" s="142"/>
      <c r="Y94" s="142"/>
      <c r="Z94" s="142"/>
      <c r="AA94" s="142">
        <v>67.890374850464298</v>
      </c>
      <c r="AB94" s="142"/>
      <c r="AC94" s="142"/>
      <c r="AD94" s="142">
        <v>24.491501950758199</v>
      </c>
      <c r="AE94" s="142">
        <v>0.92059503661286801</v>
      </c>
      <c r="AF94" s="142">
        <v>11.5361593058597</v>
      </c>
      <c r="AG94" s="142">
        <v>2.66231739929666</v>
      </c>
      <c r="AH94" s="142">
        <v>2.5001912038720402</v>
      </c>
      <c r="AI94" s="142">
        <v>12.041216561838599</v>
      </c>
      <c r="AJ94" s="142"/>
      <c r="AK94" s="142">
        <v>1.94038040414269E-13</v>
      </c>
      <c r="AL94" s="142">
        <v>220.41769351144799</v>
      </c>
      <c r="AM94" s="142">
        <v>7.5601968849460697</v>
      </c>
      <c r="AN94" s="142">
        <v>5.5617204745840301</v>
      </c>
      <c r="AO94" s="142"/>
      <c r="AP94" s="142"/>
      <c r="AQ94" s="143">
        <v>5.8054691462631398</v>
      </c>
    </row>
    <row r="95" spans="2:43" ht="12" customHeight="1" x14ac:dyDescent="0.25">
      <c r="B95" s="141" t="s">
        <v>39</v>
      </c>
      <c r="C95" s="142" t="s">
        <v>23</v>
      </c>
      <c r="D95" s="142" t="s">
        <v>25</v>
      </c>
      <c r="E95" s="142" t="s">
        <v>25</v>
      </c>
      <c r="F95" s="142" t="s">
        <v>25</v>
      </c>
      <c r="G95" s="142" t="s">
        <v>25</v>
      </c>
      <c r="H95" s="142" t="s">
        <v>88</v>
      </c>
      <c r="I95" s="142" t="s">
        <v>25</v>
      </c>
      <c r="J95" s="142">
        <v>268.66000000000003</v>
      </c>
      <c r="K95" s="142">
        <v>267.11</v>
      </c>
      <c r="L95" s="142"/>
      <c r="M95" s="142">
        <v>0.42218734965342603</v>
      </c>
      <c r="N95" s="142">
        <v>2.2702428180047201</v>
      </c>
      <c r="O95" s="142"/>
      <c r="P95" s="142"/>
      <c r="Q95" s="142">
        <v>61.495406527525397</v>
      </c>
      <c r="R95" s="142">
        <v>7.9721317603751496</v>
      </c>
      <c r="S95" s="142"/>
      <c r="T95" s="142">
        <v>39.453940096394902</v>
      </c>
      <c r="U95" s="142">
        <v>10.0266239062063</v>
      </c>
      <c r="V95" s="142">
        <v>1.32619689721112</v>
      </c>
      <c r="W95" s="142"/>
      <c r="X95" s="142"/>
      <c r="Y95" s="142"/>
      <c r="Z95" s="142"/>
      <c r="AA95" s="142">
        <v>106.078818389045</v>
      </c>
      <c r="AB95" s="142"/>
      <c r="AC95" s="142"/>
      <c r="AD95" s="142">
        <v>24.491501950758199</v>
      </c>
      <c r="AE95" s="142">
        <v>0.92059503661286801</v>
      </c>
      <c r="AF95" s="142">
        <v>11.5361593058597</v>
      </c>
      <c r="AG95" s="142">
        <v>2.66231739929666</v>
      </c>
      <c r="AH95" s="142">
        <v>2.5001912038720402</v>
      </c>
      <c r="AI95" s="142">
        <v>12.041216561838599</v>
      </c>
      <c r="AJ95" s="142"/>
      <c r="AK95" s="142">
        <v>1.94038040414269E-13</v>
      </c>
      <c r="AL95" s="142">
        <v>233.64275512213499</v>
      </c>
      <c r="AM95" s="142">
        <v>7.5601968849460697</v>
      </c>
      <c r="AN95" s="142">
        <v>5.5617204745840301</v>
      </c>
      <c r="AO95" s="142"/>
      <c r="AP95" s="142"/>
      <c r="AQ95" s="143">
        <v>5.8054691462631398</v>
      </c>
    </row>
    <row r="96" spans="2:43" ht="12" customHeight="1" x14ac:dyDescent="0.25">
      <c r="B96" s="141" t="s">
        <v>39</v>
      </c>
      <c r="C96" s="142" t="s">
        <v>102</v>
      </c>
      <c r="D96" s="142" t="s">
        <v>25</v>
      </c>
      <c r="E96" s="142" t="s">
        <v>25</v>
      </c>
      <c r="F96" s="142" t="s">
        <v>25</v>
      </c>
      <c r="G96" s="142" t="s">
        <v>25</v>
      </c>
      <c r="H96" s="142" t="s">
        <v>88</v>
      </c>
      <c r="I96" s="142" t="s">
        <v>25</v>
      </c>
      <c r="J96" s="142">
        <v>268.66000000000003</v>
      </c>
      <c r="K96" s="142">
        <v>267.11</v>
      </c>
      <c r="L96" s="142"/>
      <c r="M96" s="142">
        <v>0.42218734965342603</v>
      </c>
      <c r="N96" s="142">
        <v>2.2702428180047201</v>
      </c>
      <c r="O96" s="142"/>
      <c r="P96" s="142"/>
      <c r="Q96" s="142">
        <v>61.495406527525397</v>
      </c>
      <c r="R96" s="142">
        <v>7.9721317603751496</v>
      </c>
      <c r="S96" s="142"/>
      <c r="T96" s="142">
        <v>39.453940096394902</v>
      </c>
      <c r="U96" s="142">
        <v>10.0266239062063</v>
      </c>
      <c r="V96" s="142">
        <v>1.32619689721112</v>
      </c>
      <c r="W96" s="142"/>
      <c r="X96" s="142"/>
      <c r="Y96" s="142"/>
      <c r="Z96" s="142"/>
      <c r="AA96" s="142">
        <v>106.078818389045</v>
      </c>
      <c r="AB96" s="142"/>
      <c r="AC96" s="142"/>
      <c r="AD96" s="142">
        <v>24.491501950758199</v>
      </c>
      <c r="AE96" s="142">
        <v>0.92059503661286801</v>
      </c>
      <c r="AF96" s="142">
        <v>11.5361593058597</v>
      </c>
      <c r="AG96" s="142">
        <v>2.66231739929666</v>
      </c>
      <c r="AH96" s="142">
        <v>2.5001912038720402</v>
      </c>
      <c r="AI96" s="142">
        <v>12.041216561838599</v>
      </c>
      <c r="AJ96" s="142"/>
      <c r="AK96" s="142">
        <v>1.94038040414269E-13</v>
      </c>
      <c r="AL96" s="142">
        <v>233.64275512213499</v>
      </c>
      <c r="AM96" s="142">
        <v>7.5601968849460697</v>
      </c>
      <c r="AN96" s="142">
        <v>5.5617204745840301</v>
      </c>
      <c r="AO96" s="142"/>
      <c r="AP96" s="142"/>
      <c r="AQ96" s="143">
        <v>5.8054691462631398</v>
      </c>
    </row>
    <row r="97" spans="2:43" ht="12" customHeight="1" x14ac:dyDescent="0.25">
      <c r="B97" s="141" t="s">
        <v>49</v>
      </c>
      <c r="C97" s="142" t="s">
        <v>23</v>
      </c>
      <c r="D97" s="142" t="s">
        <v>50</v>
      </c>
      <c r="E97" s="142" t="s">
        <v>51</v>
      </c>
      <c r="F97" s="142" t="s">
        <v>25</v>
      </c>
      <c r="G97" s="142" t="s">
        <v>25</v>
      </c>
      <c r="H97" s="142" t="s">
        <v>88</v>
      </c>
      <c r="I97" s="142" t="s">
        <v>25</v>
      </c>
      <c r="J97" s="142">
        <v>147.76</v>
      </c>
      <c r="K97" s="142">
        <v>146.91</v>
      </c>
      <c r="L97" s="142"/>
      <c r="M97" s="142">
        <v>0.23220304230938399</v>
      </c>
      <c r="N97" s="142">
        <v>1.24863354990259</v>
      </c>
      <c r="O97" s="142"/>
      <c r="P97" s="142"/>
      <c r="Q97" s="142">
        <v>33.822473590138898</v>
      </c>
      <c r="R97" s="142">
        <v>4.3846724682063298</v>
      </c>
      <c r="S97" s="142"/>
      <c r="T97" s="142">
        <v>21.699667053017201</v>
      </c>
      <c r="U97" s="142">
        <v>5.5146431484134597</v>
      </c>
      <c r="V97" s="142">
        <v>0.72940829346611902</v>
      </c>
      <c r="W97" s="142"/>
      <c r="X97" s="142"/>
      <c r="Y97" s="142"/>
      <c r="Z97" s="142"/>
      <c r="AA97" s="142">
        <v>58.343350113974701</v>
      </c>
      <c r="AB97" s="142"/>
      <c r="AC97" s="142"/>
      <c r="AD97" s="142">
        <v>13.470326072917</v>
      </c>
      <c r="AE97" s="142">
        <v>0.50632727013707701</v>
      </c>
      <c r="AF97" s="142">
        <v>6.3448876182228604</v>
      </c>
      <c r="AG97" s="142">
        <v>1.46427456961316</v>
      </c>
      <c r="AH97" s="142">
        <v>1.37510516212962</v>
      </c>
      <c r="AI97" s="142">
        <v>6.6226691090112304</v>
      </c>
      <c r="AJ97" s="142"/>
      <c r="AK97" s="142">
        <v>1.06720922227848E-13</v>
      </c>
      <c r="AL97" s="142">
        <v>128.50351531717399</v>
      </c>
      <c r="AM97" s="142">
        <v>4.1581082867203403</v>
      </c>
      <c r="AN97" s="142">
        <v>3.0589462610212199</v>
      </c>
      <c r="AO97" s="142"/>
      <c r="AP97" s="142"/>
      <c r="AQ97" s="143">
        <v>3.1930080304447301</v>
      </c>
    </row>
    <row r="98" spans="2:43" ht="12" customHeight="1" x14ac:dyDescent="0.25">
      <c r="B98" s="144" t="s">
        <v>49</v>
      </c>
      <c r="C98" s="145" t="s">
        <v>23</v>
      </c>
      <c r="D98" s="145" t="s">
        <v>50</v>
      </c>
      <c r="E98" s="145" t="s">
        <v>105</v>
      </c>
      <c r="F98" s="145" t="s">
        <v>25</v>
      </c>
      <c r="G98" s="145" t="s">
        <v>25</v>
      </c>
      <c r="H98" s="145" t="s">
        <v>88</v>
      </c>
      <c r="I98" s="145" t="s">
        <v>25</v>
      </c>
      <c r="J98" s="145">
        <v>161.19</v>
      </c>
      <c r="K98" s="145">
        <v>160.27000000000001</v>
      </c>
      <c r="L98" s="145"/>
      <c r="M98" s="145">
        <v>0.25331240979205499</v>
      </c>
      <c r="N98" s="145">
        <v>1.36214569080283</v>
      </c>
      <c r="O98" s="145"/>
      <c r="P98" s="145"/>
      <c r="Q98" s="145">
        <v>36.897243916515201</v>
      </c>
      <c r="R98" s="145">
        <v>4.7832790562250898</v>
      </c>
      <c r="S98" s="145"/>
      <c r="T98" s="145">
        <v>23.672364057837001</v>
      </c>
      <c r="U98" s="145">
        <v>6.0159743437237703</v>
      </c>
      <c r="V98" s="145">
        <v>0.79571813832667504</v>
      </c>
      <c r="W98" s="145"/>
      <c r="X98" s="145"/>
      <c r="Y98" s="145"/>
      <c r="Z98" s="145"/>
      <c r="AA98" s="145">
        <v>63.647291033426903</v>
      </c>
      <c r="AB98" s="145"/>
      <c r="AC98" s="145"/>
      <c r="AD98" s="145">
        <v>14.6949011704549</v>
      </c>
      <c r="AE98" s="145">
        <v>0.55235702196772096</v>
      </c>
      <c r="AF98" s="145">
        <v>6.9216955835158496</v>
      </c>
      <c r="AG98" s="145">
        <v>1.5973904395780001</v>
      </c>
      <c r="AH98" s="145">
        <v>1.5001147223232301</v>
      </c>
      <c r="AI98" s="145">
        <v>7.2247299371031604</v>
      </c>
      <c r="AJ98" s="145"/>
      <c r="AK98" s="145">
        <v>1.1642282424856199E-13</v>
      </c>
      <c r="AL98" s="145">
        <v>140.185653073281</v>
      </c>
      <c r="AM98" s="145">
        <v>4.5361181309676404</v>
      </c>
      <c r="AN98" s="145">
        <v>3.3370322847504199</v>
      </c>
      <c r="AO98" s="145"/>
      <c r="AP98" s="145"/>
      <c r="AQ98" s="146">
        <v>3.4832814877578899</v>
      </c>
    </row>
  </sheetData>
  <mergeCells count="8">
    <mergeCell ref="L1:AG1"/>
    <mergeCell ref="AH1:AQ1"/>
    <mergeCell ref="L2:S2"/>
    <mergeCell ref="T2:Z2"/>
    <mergeCell ref="AB2:AC2"/>
    <mergeCell ref="AD2:AG2"/>
    <mergeCell ref="AH2:AK2"/>
    <mergeCell ref="AM2:AP2"/>
  </mergeCells>
  <phoneticPr fontId="9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37343-5369-4CD5-9EB3-E941198E5411}">
  <dimension ref="B1:AQ94"/>
  <sheetViews>
    <sheetView showGridLines="0" tabSelected="1" topLeftCell="Z1" workbookViewId="0">
      <selection activeCell="AH1" sqref="AH1:AQ1"/>
    </sheetView>
  </sheetViews>
  <sheetFormatPr defaultRowHeight="15" x14ac:dyDescent="0.25"/>
  <cols>
    <col min="2" max="2" width="12.1406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0.5703125" bestFit="1" customWidth="1"/>
    <col min="9" max="9" width="16.5703125" bestFit="1" customWidth="1"/>
    <col min="10" max="10" width="12.42578125" bestFit="1" customWidth="1"/>
    <col min="11" max="11" width="9.7109375" bestFit="1" customWidth="1"/>
    <col min="12" max="12" width="12.710937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6.7109375" bestFit="1" customWidth="1"/>
    <col min="20" max="21" width="12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7.5703125" bestFit="1" customWidth="1"/>
    <col min="29" max="29" width="16.5703125" bestFit="1" customWidth="1"/>
    <col min="30" max="30" width="12" bestFit="1" customWidth="1"/>
    <col min="31" max="31" width="17.5703125" bestFit="1" customWidth="1"/>
    <col min="32" max="32" width="12.5703125" bestFit="1" customWidth="1"/>
    <col min="33" max="33" width="10.7109375" bestFit="1" customWidth="1"/>
    <col min="34" max="34" width="9.85546875" bestFit="1" customWidth="1"/>
    <col min="35" max="35" width="12.7109375" bestFit="1" customWidth="1"/>
    <col min="36" max="36" width="12.28515625" bestFit="1" customWidth="1"/>
    <col min="37" max="37" width="12.7109375" bestFit="1" customWidth="1"/>
    <col min="38" max="38" width="12.85546875" bestFit="1" customWidth="1"/>
    <col min="39" max="39" width="15.42578125" bestFit="1" customWidth="1"/>
    <col min="40" max="40" width="17.85546875" bestFit="1" customWidth="1"/>
    <col min="41" max="41" width="13.42578125" bestFit="1" customWidth="1"/>
    <col min="42" max="42" width="14.7109375" bestFit="1" customWidth="1"/>
    <col min="43" max="43" width="12.5703125" bestFit="1" customWidth="1"/>
  </cols>
  <sheetData>
    <row r="1" spans="2:43" ht="12" customHeight="1" x14ac:dyDescent="0.25">
      <c r="L1" s="147" t="s">
        <v>1772</v>
      </c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8"/>
      <c r="AH1" s="147" t="s">
        <v>1773</v>
      </c>
      <c r="AI1" s="147"/>
      <c r="AJ1" s="147"/>
      <c r="AK1" s="147"/>
      <c r="AL1" s="147"/>
      <c r="AM1" s="147"/>
      <c r="AN1" s="147"/>
      <c r="AO1" s="147"/>
      <c r="AP1" s="147"/>
      <c r="AQ1" s="147"/>
    </row>
    <row r="2" spans="2:43" ht="12" customHeight="1" x14ac:dyDescent="0.25">
      <c r="L2" s="149" t="s">
        <v>956</v>
      </c>
      <c r="M2" s="149"/>
      <c r="N2" s="149"/>
      <c r="O2" s="149"/>
      <c r="P2" s="149"/>
      <c r="Q2" s="149"/>
      <c r="R2" s="149"/>
      <c r="S2" s="150"/>
      <c r="T2" s="149" t="s">
        <v>966</v>
      </c>
      <c r="U2" s="149"/>
      <c r="V2" s="149"/>
      <c r="W2" s="149"/>
      <c r="X2" s="149"/>
      <c r="Y2" s="149"/>
      <c r="Z2" s="150"/>
      <c r="AA2" s="151" t="s">
        <v>974</v>
      </c>
      <c r="AB2" s="149" t="s">
        <v>25</v>
      </c>
      <c r="AC2" s="150"/>
      <c r="AD2" s="149" t="s">
        <v>1771</v>
      </c>
      <c r="AE2" s="149"/>
      <c r="AF2" s="149"/>
      <c r="AG2" s="150"/>
      <c r="AH2" s="149" t="s">
        <v>956</v>
      </c>
      <c r="AI2" s="149"/>
      <c r="AJ2" s="149"/>
      <c r="AK2" s="150"/>
      <c r="AL2" s="151" t="s">
        <v>988</v>
      </c>
      <c r="AM2" s="149" t="s">
        <v>966</v>
      </c>
      <c r="AN2" s="149"/>
      <c r="AO2" s="149"/>
      <c r="AP2" s="150"/>
      <c r="AQ2" s="152" t="s">
        <v>956</v>
      </c>
    </row>
    <row r="3" spans="2:43" ht="12" customHeight="1" x14ac:dyDescent="0.25">
      <c r="B3" s="138" t="s">
        <v>1732</v>
      </c>
      <c r="C3" s="139" t="s">
        <v>1733</v>
      </c>
      <c r="D3" s="139" t="s">
        <v>3</v>
      </c>
      <c r="E3" s="139" t="s">
        <v>1191</v>
      </c>
      <c r="F3" s="139" t="s">
        <v>5</v>
      </c>
      <c r="G3" s="139" t="s">
        <v>7</v>
      </c>
      <c r="H3" s="139" t="s">
        <v>1734</v>
      </c>
      <c r="I3" s="139" t="s">
        <v>1735</v>
      </c>
      <c r="J3" s="139" t="s">
        <v>1736</v>
      </c>
      <c r="K3" s="139" t="s">
        <v>1737</v>
      </c>
      <c r="L3" s="139" t="s">
        <v>1738</v>
      </c>
      <c r="M3" s="139" t="s">
        <v>1739</v>
      </c>
      <c r="N3" s="139" t="s">
        <v>1740</v>
      </c>
      <c r="O3" s="139" t="s">
        <v>1741</v>
      </c>
      <c r="P3" s="139" t="s">
        <v>1742</v>
      </c>
      <c r="Q3" s="139" t="s">
        <v>1743</v>
      </c>
      <c r="R3" s="139" t="s">
        <v>1744</v>
      </c>
      <c r="S3" s="139" t="s">
        <v>1745</v>
      </c>
      <c r="T3" s="139" t="s">
        <v>1746</v>
      </c>
      <c r="U3" s="139" t="s">
        <v>1747</v>
      </c>
      <c r="V3" s="139" t="s">
        <v>1748</v>
      </c>
      <c r="W3" s="139" t="s">
        <v>1749</v>
      </c>
      <c r="X3" s="139" t="s">
        <v>1750</v>
      </c>
      <c r="Y3" s="139" t="s">
        <v>1751</v>
      </c>
      <c r="Z3" s="139" t="s">
        <v>1752</v>
      </c>
      <c r="AA3" s="139" t="s">
        <v>1753</v>
      </c>
      <c r="AB3" s="139" t="s">
        <v>1754</v>
      </c>
      <c r="AC3" s="139" t="s">
        <v>1755</v>
      </c>
      <c r="AD3" s="139" t="s">
        <v>1756</v>
      </c>
      <c r="AE3" s="139" t="s">
        <v>1757</v>
      </c>
      <c r="AF3" s="139" t="s">
        <v>1758</v>
      </c>
      <c r="AG3" s="139" t="s">
        <v>1759</v>
      </c>
      <c r="AH3" s="139" t="s">
        <v>1760</v>
      </c>
      <c r="AI3" s="139" t="s">
        <v>1761</v>
      </c>
      <c r="AJ3" s="139" t="s">
        <v>1762</v>
      </c>
      <c r="AK3" s="139" t="s">
        <v>1763</v>
      </c>
      <c r="AL3" s="139" t="s">
        <v>1764</v>
      </c>
      <c r="AM3" s="139" t="s">
        <v>1765</v>
      </c>
      <c r="AN3" s="139" t="s">
        <v>1766</v>
      </c>
      <c r="AO3" s="139" t="s">
        <v>1767</v>
      </c>
      <c r="AP3" s="139" t="s">
        <v>1768</v>
      </c>
      <c r="AQ3" s="140" t="s">
        <v>1769</v>
      </c>
    </row>
    <row r="4" spans="2:43" ht="12" customHeight="1" x14ac:dyDescent="0.25">
      <c r="B4" s="141" t="s">
        <v>43</v>
      </c>
      <c r="C4" s="142" t="s">
        <v>41</v>
      </c>
      <c r="D4" s="142" t="s">
        <v>25</v>
      </c>
      <c r="E4" s="142" t="s">
        <v>25</v>
      </c>
      <c r="F4" s="142" t="s">
        <v>61</v>
      </c>
      <c r="G4" s="142" t="s">
        <v>35</v>
      </c>
      <c r="H4" s="142" t="s">
        <v>88</v>
      </c>
      <c r="I4" s="142" t="s">
        <v>25</v>
      </c>
      <c r="J4" s="142">
        <v>0.74</v>
      </c>
      <c r="K4" s="142"/>
      <c r="L4" s="142"/>
      <c r="M4" s="142"/>
      <c r="N4" s="142"/>
      <c r="O4" s="142"/>
      <c r="P4" s="142"/>
      <c r="Q4" s="142"/>
      <c r="R4" s="142"/>
      <c r="S4" s="142"/>
      <c r="T4" s="142"/>
      <c r="U4" s="142"/>
      <c r="V4" s="142"/>
      <c r="W4" s="142"/>
      <c r="X4" s="142"/>
      <c r="Y4" s="142"/>
      <c r="Z4" s="142"/>
      <c r="AA4" s="142"/>
      <c r="AB4" s="142"/>
      <c r="AC4" s="142"/>
      <c r="AD4" s="142">
        <v>0.40710353921264503</v>
      </c>
      <c r="AE4" s="142">
        <v>1.5302348477451801E-2</v>
      </c>
      <c r="AF4" s="142">
        <v>0.322072380284735</v>
      </c>
      <c r="AG4" s="142"/>
      <c r="AH4" s="142"/>
      <c r="AI4" s="142"/>
      <c r="AJ4" s="142"/>
      <c r="AK4" s="142"/>
      <c r="AL4" s="142"/>
      <c r="AM4" s="142"/>
      <c r="AN4" s="142"/>
      <c r="AO4" s="142"/>
      <c r="AP4" s="142"/>
      <c r="AQ4" s="143"/>
    </row>
    <row r="5" spans="2:43" ht="12" customHeight="1" x14ac:dyDescent="0.25">
      <c r="B5" s="141" t="s">
        <v>43</v>
      </c>
      <c r="C5" s="142" t="s">
        <v>41</v>
      </c>
      <c r="D5" s="142" t="s">
        <v>25</v>
      </c>
      <c r="E5" s="142" t="s">
        <v>25</v>
      </c>
      <c r="F5" s="142" t="s">
        <v>61</v>
      </c>
      <c r="G5" s="142" t="s">
        <v>35</v>
      </c>
      <c r="H5" s="142" t="s">
        <v>91</v>
      </c>
      <c r="I5" s="142" t="s">
        <v>25</v>
      </c>
      <c r="J5" s="142">
        <v>0.45</v>
      </c>
      <c r="K5" s="142"/>
      <c r="L5" s="142"/>
      <c r="M5" s="142"/>
      <c r="N5" s="142"/>
      <c r="O5" s="142"/>
      <c r="P5" s="142"/>
      <c r="Q5" s="142"/>
      <c r="R5" s="142"/>
      <c r="S5" s="142"/>
      <c r="T5" s="142">
        <v>0.36571752226402199</v>
      </c>
      <c r="U5" s="142">
        <v>8.1129238930456704E-2</v>
      </c>
      <c r="V5" s="142"/>
      <c r="W5" s="142"/>
      <c r="X5" s="142"/>
      <c r="Y5" s="142"/>
      <c r="Z5" s="142"/>
      <c r="AA5" s="142"/>
      <c r="AB5" s="142"/>
      <c r="AC5" s="142"/>
      <c r="AD5" s="142"/>
      <c r="AE5" s="142"/>
      <c r="AF5" s="142"/>
      <c r="AG5" s="142"/>
      <c r="AH5" s="142"/>
      <c r="AI5" s="142"/>
      <c r="AJ5" s="142"/>
      <c r="AK5" s="142"/>
      <c r="AL5" s="142"/>
      <c r="AM5" s="142"/>
      <c r="AN5" s="142"/>
      <c r="AO5" s="142"/>
      <c r="AP5" s="142"/>
      <c r="AQ5" s="143"/>
    </row>
    <row r="6" spans="2:43" ht="12" customHeight="1" x14ac:dyDescent="0.25">
      <c r="B6" s="141" t="s">
        <v>43</v>
      </c>
      <c r="C6" s="142" t="s">
        <v>41</v>
      </c>
      <c r="D6" s="142" t="s">
        <v>25</v>
      </c>
      <c r="E6" s="142" t="s">
        <v>25</v>
      </c>
      <c r="F6" s="142" t="s">
        <v>61</v>
      </c>
      <c r="G6" s="142" t="s">
        <v>36</v>
      </c>
      <c r="H6" s="142" t="s">
        <v>88</v>
      </c>
      <c r="I6" s="142" t="s">
        <v>25</v>
      </c>
      <c r="J6" s="142">
        <v>0.74</v>
      </c>
      <c r="K6" s="142"/>
      <c r="L6" s="142"/>
      <c r="M6" s="142"/>
      <c r="N6" s="142"/>
      <c r="O6" s="142"/>
      <c r="P6" s="142"/>
      <c r="Q6" s="142"/>
      <c r="R6" s="142"/>
      <c r="S6" s="142"/>
      <c r="T6" s="142"/>
      <c r="U6" s="142"/>
      <c r="V6" s="142"/>
      <c r="W6" s="142"/>
      <c r="X6" s="142"/>
      <c r="Y6" s="142"/>
      <c r="Z6" s="142"/>
      <c r="AA6" s="142"/>
      <c r="AB6" s="142"/>
      <c r="AC6" s="142"/>
      <c r="AD6" s="142">
        <v>0.40710353921264503</v>
      </c>
      <c r="AE6" s="142">
        <v>1.5302348477451801E-2</v>
      </c>
      <c r="AF6" s="142">
        <v>0.322072380284735</v>
      </c>
      <c r="AG6" s="142"/>
      <c r="AH6" s="142"/>
      <c r="AI6" s="142"/>
      <c r="AJ6" s="142"/>
      <c r="AK6" s="142"/>
      <c r="AL6" s="142"/>
      <c r="AM6" s="142"/>
      <c r="AN6" s="142"/>
      <c r="AO6" s="142"/>
      <c r="AP6" s="142"/>
      <c r="AQ6" s="143"/>
    </row>
    <row r="7" spans="2:43" ht="12" customHeight="1" x14ac:dyDescent="0.25">
      <c r="B7" s="141" t="s">
        <v>43</v>
      </c>
      <c r="C7" s="142" t="s">
        <v>41</v>
      </c>
      <c r="D7" s="142" t="s">
        <v>25</v>
      </c>
      <c r="E7" s="142" t="s">
        <v>25</v>
      </c>
      <c r="F7" s="142" t="s">
        <v>61</v>
      </c>
      <c r="G7" s="142" t="s">
        <v>36</v>
      </c>
      <c r="H7" s="142" t="s">
        <v>91</v>
      </c>
      <c r="I7" s="142" t="s">
        <v>25</v>
      </c>
      <c r="J7" s="142">
        <v>0.35</v>
      </c>
      <c r="K7" s="142"/>
      <c r="L7" s="142"/>
      <c r="M7" s="142"/>
      <c r="N7" s="142"/>
      <c r="O7" s="142"/>
      <c r="P7" s="142"/>
      <c r="Q7" s="142"/>
      <c r="R7" s="142"/>
      <c r="S7" s="142"/>
      <c r="T7" s="142">
        <v>0.28198037685120297</v>
      </c>
      <c r="U7" s="142">
        <v>6.4302738564048598E-2</v>
      </c>
      <c r="V7" s="142"/>
      <c r="W7" s="142"/>
      <c r="X7" s="142"/>
      <c r="Y7" s="142"/>
      <c r="Z7" s="142"/>
      <c r="AA7" s="142"/>
      <c r="AB7" s="142"/>
      <c r="AC7" s="142"/>
      <c r="AD7" s="142"/>
      <c r="AE7" s="142"/>
      <c r="AF7" s="142"/>
      <c r="AG7" s="142"/>
      <c r="AH7" s="142"/>
      <c r="AI7" s="142"/>
      <c r="AJ7" s="142"/>
      <c r="AK7" s="142"/>
      <c r="AL7" s="142"/>
      <c r="AM7" s="142"/>
      <c r="AN7" s="142"/>
      <c r="AO7" s="142"/>
      <c r="AP7" s="142"/>
      <c r="AQ7" s="143"/>
    </row>
    <row r="8" spans="2:43" ht="12" customHeight="1" x14ac:dyDescent="0.25">
      <c r="B8" s="141" t="s">
        <v>43</v>
      </c>
      <c r="C8" s="142" t="s">
        <v>41</v>
      </c>
      <c r="D8" s="142" t="s">
        <v>25</v>
      </c>
      <c r="E8" s="142" t="s">
        <v>25</v>
      </c>
      <c r="F8" s="142" t="s">
        <v>25</v>
      </c>
      <c r="G8" s="142" t="s">
        <v>35</v>
      </c>
      <c r="H8" s="142" t="s">
        <v>88</v>
      </c>
      <c r="I8" s="142" t="s">
        <v>25</v>
      </c>
      <c r="J8" s="142">
        <v>4.7699999999999996</v>
      </c>
      <c r="K8" s="142">
        <v>16.88</v>
      </c>
      <c r="L8" s="142"/>
      <c r="M8" s="142"/>
      <c r="N8" s="142"/>
      <c r="O8" s="142"/>
      <c r="P8" s="142"/>
      <c r="Q8" s="142">
        <v>5.0199288288952504</v>
      </c>
      <c r="R8" s="142">
        <v>-0.99215351767428905</v>
      </c>
      <c r="S8" s="142"/>
      <c r="T8" s="142"/>
      <c r="U8" s="142"/>
      <c r="V8" s="142"/>
      <c r="W8" s="142"/>
      <c r="X8" s="142"/>
      <c r="Y8" s="142"/>
      <c r="Z8" s="142"/>
      <c r="AA8" s="142"/>
      <c r="AB8" s="142"/>
      <c r="AC8" s="142"/>
      <c r="AD8" s="142">
        <v>0.40710353921264503</v>
      </c>
      <c r="AE8" s="142">
        <v>1.5302348477451801E-2</v>
      </c>
      <c r="AF8" s="142">
        <v>0.322072380284735</v>
      </c>
      <c r="AG8" s="142"/>
      <c r="AH8" s="142"/>
      <c r="AI8" s="142">
        <v>-12.929924264192699</v>
      </c>
      <c r="AJ8" s="142"/>
      <c r="AK8" s="142">
        <v>-5.8434908590778596</v>
      </c>
      <c r="AL8" s="142">
        <v>34.237696779518799</v>
      </c>
      <c r="AM8" s="142">
        <v>0.63524552433182901</v>
      </c>
      <c r="AN8" s="142">
        <v>0.25866598875024099</v>
      </c>
      <c r="AO8" s="142"/>
      <c r="AP8" s="142"/>
      <c r="AQ8" s="143">
        <v>0.52428443218601695</v>
      </c>
    </row>
    <row r="9" spans="2:43" ht="12" customHeight="1" x14ac:dyDescent="0.25">
      <c r="B9" s="141" t="s">
        <v>43</v>
      </c>
      <c r="C9" s="142" t="s">
        <v>41</v>
      </c>
      <c r="D9" s="142" t="s">
        <v>25</v>
      </c>
      <c r="E9" s="142" t="s">
        <v>25</v>
      </c>
      <c r="F9" s="142" t="s">
        <v>25</v>
      </c>
      <c r="G9" s="142" t="s">
        <v>35</v>
      </c>
      <c r="H9" s="142" t="s">
        <v>91</v>
      </c>
      <c r="I9" s="142" t="s">
        <v>25</v>
      </c>
      <c r="J9" s="142">
        <v>0.45</v>
      </c>
      <c r="K9" s="142"/>
      <c r="L9" s="142"/>
      <c r="M9" s="142"/>
      <c r="N9" s="142"/>
      <c r="O9" s="142"/>
      <c r="P9" s="142"/>
      <c r="Q9" s="142"/>
      <c r="R9" s="142"/>
      <c r="S9" s="142"/>
      <c r="T9" s="142">
        <v>0.36571752226402199</v>
      </c>
      <c r="U9" s="142">
        <v>8.1129238930456704E-2</v>
      </c>
      <c r="V9" s="142"/>
      <c r="W9" s="142"/>
      <c r="X9" s="142"/>
      <c r="Y9" s="142"/>
      <c r="Z9" s="142"/>
      <c r="AA9" s="142"/>
      <c r="AB9" s="142"/>
      <c r="AC9" s="142"/>
      <c r="AD9" s="142"/>
      <c r="AE9" s="142"/>
      <c r="AF9" s="142"/>
      <c r="AG9" s="142"/>
      <c r="AH9" s="142"/>
      <c r="AI9" s="142"/>
      <c r="AJ9" s="142"/>
      <c r="AK9" s="142"/>
      <c r="AL9" s="142"/>
      <c r="AM9" s="142"/>
      <c r="AN9" s="142"/>
      <c r="AO9" s="142"/>
      <c r="AP9" s="142"/>
      <c r="AQ9" s="143"/>
    </row>
    <row r="10" spans="2:43" ht="12" customHeight="1" x14ac:dyDescent="0.25">
      <c r="B10" s="141" t="s">
        <v>43</v>
      </c>
      <c r="C10" s="142" t="s">
        <v>41</v>
      </c>
      <c r="D10" s="142" t="s">
        <v>25</v>
      </c>
      <c r="E10" s="142" t="s">
        <v>25</v>
      </c>
      <c r="F10" s="142" t="s">
        <v>25</v>
      </c>
      <c r="G10" s="142" t="s">
        <v>36</v>
      </c>
      <c r="H10" s="142" t="s">
        <v>88</v>
      </c>
      <c r="I10" s="142" t="s">
        <v>25</v>
      </c>
      <c r="J10" s="142">
        <v>4.7699999999999996</v>
      </c>
      <c r="K10" s="142">
        <v>2.5499999999999998</v>
      </c>
      <c r="L10" s="142"/>
      <c r="M10" s="142"/>
      <c r="N10" s="142"/>
      <c r="O10" s="142"/>
      <c r="P10" s="142"/>
      <c r="Q10" s="142">
        <v>5.0199288288952504</v>
      </c>
      <c r="R10" s="142">
        <v>-0.99215351767428905</v>
      </c>
      <c r="S10" s="142"/>
      <c r="T10" s="142"/>
      <c r="U10" s="142"/>
      <c r="V10" s="142"/>
      <c r="W10" s="142"/>
      <c r="X10" s="142"/>
      <c r="Y10" s="142"/>
      <c r="Z10" s="142"/>
      <c r="AA10" s="142"/>
      <c r="AB10" s="142"/>
      <c r="AC10" s="142"/>
      <c r="AD10" s="142">
        <v>0.40710353921264503</v>
      </c>
      <c r="AE10" s="142">
        <v>1.5302348477451801E-2</v>
      </c>
      <c r="AF10" s="142">
        <v>0.322072380284735</v>
      </c>
      <c r="AG10" s="142"/>
      <c r="AH10" s="142"/>
      <c r="AI10" s="142">
        <v>-12.929924264192699</v>
      </c>
      <c r="AJ10" s="142"/>
      <c r="AK10" s="142">
        <v>-5.8434908590778596</v>
      </c>
      <c r="AL10" s="142">
        <v>19.905637662511001</v>
      </c>
      <c r="AM10" s="142">
        <v>0.63524552433182901</v>
      </c>
      <c r="AN10" s="142">
        <v>0.25866598875024099</v>
      </c>
      <c r="AO10" s="142"/>
      <c r="AP10" s="142"/>
      <c r="AQ10" s="143">
        <v>0.52428443218601695</v>
      </c>
    </row>
    <row r="11" spans="2:43" ht="12" customHeight="1" x14ac:dyDescent="0.25">
      <c r="B11" s="141" t="s">
        <v>43</v>
      </c>
      <c r="C11" s="142" t="s">
        <v>41</v>
      </c>
      <c r="D11" s="142" t="s">
        <v>25</v>
      </c>
      <c r="E11" s="142" t="s">
        <v>25</v>
      </c>
      <c r="F11" s="142" t="s">
        <v>25</v>
      </c>
      <c r="G11" s="142" t="s">
        <v>36</v>
      </c>
      <c r="H11" s="142" t="s">
        <v>91</v>
      </c>
      <c r="I11" s="142" t="s">
        <v>25</v>
      </c>
      <c r="J11" s="142">
        <v>0.35</v>
      </c>
      <c r="K11" s="142"/>
      <c r="L11" s="142"/>
      <c r="M11" s="142"/>
      <c r="N11" s="142"/>
      <c r="O11" s="142"/>
      <c r="P11" s="142"/>
      <c r="Q11" s="142"/>
      <c r="R11" s="142"/>
      <c r="S11" s="142"/>
      <c r="T11" s="142">
        <v>0.28198037685120297</v>
      </c>
      <c r="U11" s="142">
        <v>6.4302738564048598E-2</v>
      </c>
      <c r="V11" s="142"/>
      <c r="W11" s="142"/>
      <c r="X11" s="142"/>
      <c r="Y11" s="142"/>
      <c r="Z11" s="142"/>
      <c r="AA11" s="142"/>
      <c r="AB11" s="142"/>
      <c r="AC11" s="142"/>
      <c r="AD11" s="142"/>
      <c r="AE11" s="142"/>
      <c r="AF11" s="142"/>
      <c r="AG11" s="142"/>
      <c r="AH11" s="142"/>
      <c r="AI11" s="142"/>
      <c r="AJ11" s="142"/>
      <c r="AK11" s="142"/>
      <c r="AL11" s="142"/>
      <c r="AM11" s="142"/>
      <c r="AN11" s="142"/>
      <c r="AO11" s="142"/>
      <c r="AP11" s="142"/>
      <c r="AQ11" s="143"/>
    </row>
    <row r="12" spans="2:43" ht="12" customHeight="1" x14ac:dyDescent="0.25">
      <c r="B12" s="141" t="s">
        <v>43</v>
      </c>
      <c r="C12" s="142" t="s">
        <v>67</v>
      </c>
      <c r="D12" s="142" t="s">
        <v>25</v>
      </c>
      <c r="E12" s="142" t="s">
        <v>25</v>
      </c>
      <c r="F12" s="142" t="s">
        <v>25</v>
      </c>
      <c r="G12" s="142" t="s">
        <v>35</v>
      </c>
      <c r="H12" s="142" t="s">
        <v>91</v>
      </c>
      <c r="I12" s="142" t="s">
        <v>68</v>
      </c>
      <c r="J12" s="142">
        <v>0.45</v>
      </c>
      <c r="K12" s="142"/>
      <c r="L12" s="142"/>
      <c r="M12" s="142"/>
      <c r="N12" s="142"/>
      <c r="O12" s="142"/>
      <c r="P12" s="142"/>
      <c r="Q12" s="142"/>
      <c r="R12" s="142"/>
      <c r="S12" s="142"/>
      <c r="T12" s="142">
        <v>0.36571752226402199</v>
      </c>
      <c r="U12" s="142">
        <v>8.1129238930456704E-2</v>
      </c>
      <c r="V12" s="142"/>
      <c r="W12" s="142"/>
      <c r="X12" s="142"/>
      <c r="Y12" s="142"/>
      <c r="Z12" s="142"/>
      <c r="AA12" s="142"/>
      <c r="AB12" s="142"/>
      <c r="AC12" s="142"/>
      <c r="AD12" s="142"/>
      <c r="AE12" s="142"/>
      <c r="AF12" s="142"/>
      <c r="AG12" s="142"/>
      <c r="AH12" s="142"/>
      <c r="AI12" s="142"/>
      <c r="AJ12" s="142"/>
      <c r="AK12" s="142"/>
      <c r="AL12" s="142"/>
      <c r="AM12" s="142"/>
      <c r="AN12" s="142"/>
      <c r="AO12" s="142"/>
      <c r="AP12" s="142"/>
      <c r="AQ12" s="143"/>
    </row>
    <row r="13" spans="2:43" ht="12" customHeight="1" x14ac:dyDescent="0.25">
      <c r="B13" s="141" t="s">
        <v>43</v>
      </c>
      <c r="C13" s="142" t="s">
        <v>67</v>
      </c>
      <c r="D13" s="142" t="s">
        <v>25</v>
      </c>
      <c r="E13" s="142" t="s">
        <v>25</v>
      </c>
      <c r="F13" s="142" t="s">
        <v>25</v>
      </c>
      <c r="G13" s="142" t="s">
        <v>25</v>
      </c>
      <c r="H13" s="142" t="s">
        <v>88</v>
      </c>
      <c r="I13" s="142" t="s">
        <v>68</v>
      </c>
      <c r="J13" s="142">
        <v>0.42</v>
      </c>
      <c r="K13" s="142"/>
      <c r="L13" s="142"/>
      <c r="M13" s="142"/>
      <c r="N13" s="142"/>
      <c r="O13" s="142"/>
      <c r="P13" s="142"/>
      <c r="Q13" s="142"/>
      <c r="R13" s="142"/>
      <c r="S13" s="142"/>
      <c r="T13" s="142"/>
      <c r="U13" s="142"/>
      <c r="V13" s="142"/>
      <c r="W13" s="142"/>
      <c r="X13" s="142"/>
      <c r="Y13" s="142"/>
      <c r="Z13" s="142"/>
      <c r="AA13" s="142"/>
      <c r="AB13" s="142"/>
      <c r="AC13" s="142"/>
      <c r="AD13" s="142">
        <v>0.40710353921264503</v>
      </c>
      <c r="AE13" s="142">
        <v>1.5302348477451801E-2</v>
      </c>
      <c r="AF13" s="142"/>
      <c r="AG13" s="142"/>
      <c r="AH13" s="142"/>
      <c r="AI13" s="142"/>
      <c r="AJ13" s="142"/>
      <c r="AK13" s="142"/>
      <c r="AL13" s="142"/>
      <c r="AM13" s="142"/>
      <c r="AN13" s="142"/>
      <c r="AO13" s="142"/>
      <c r="AP13" s="142"/>
      <c r="AQ13" s="143"/>
    </row>
    <row r="14" spans="2:43" ht="12" customHeight="1" x14ac:dyDescent="0.25">
      <c r="B14" s="141" t="s">
        <v>43</v>
      </c>
      <c r="C14" s="142" t="s">
        <v>67</v>
      </c>
      <c r="D14" s="142" t="s">
        <v>25</v>
      </c>
      <c r="E14" s="142" t="s">
        <v>25</v>
      </c>
      <c r="F14" s="142" t="s">
        <v>25</v>
      </c>
      <c r="G14" s="142" t="s">
        <v>36</v>
      </c>
      <c r="H14" s="142" t="s">
        <v>91</v>
      </c>
      <c r="I14" s="142" t="s">
        <v>68</v>
      </c>
      <c r="J14" s="142">
        <v>0.35</v>
      </c>
      <c r="K14" s="142"/>
      <c r="L14" s="142"/>
      <c r="M14" s="142"/>
      <c r="N14" s="142"/>
      <c r="O14" s="142"/>
      <c r="P14" s="142"/>
      <c r="Q14" s="142"/>
      <c r="R14" s="142"/>
      <c r="S14" s="142"/>
      <c r="T14" s="142">
        <v>0.28198037685120297</v>
      </c>
      <c r="U14" s="142">
        <v>6.4302738564048598E-2</v>
      </c>
      <c r="V14" s="142"/>
      <c r="W14" s="142"/>
      <c r="X14" s="142"/>
      <c r="Y14" s="142"/>
      <c r="Z14" s="142"/>
      <c r="AA14" s="142"/>
      <c r="AB14" s="142"/>
      <c r="AC14" s="142"/>
      <c r="AD14" s="142"/>
      <c r="AE14" s="142"/>
      <c r="AF14" s="142"/>
      <c r="AG14" s="142"/>
      <c r="AH14" s="142"/>
      <c r="AI14" s="142"/>
      <c r="AJ14" s="142"/>
      <c r="AK14" s="142"/>
      <c r="AL14" s="142"/>
      <c r="AM14" s="142"/>
      <c r="AN14" s="142"/>
      <c r="AO14" s="142"/>
      <c r="AP14" s="142"/>
      <c r="AQ14" s="143"/>
    </row>
    <row r="15" spans="2:43" ht="12" customHeight="1" x14ac:dyDescent="0.25">
      <c r="B15" s="141" t="s">
        <v>43</v>
      </c>
      <c r="C15" s="142" t="s">
        <v>64</v>
      </c>
      <c r="D15" s="142" t="s">
        <v>25</v>
      </c>
      <c r="E15" s="142" t="s">
        <v>25</v>
      </c>
      <c r="F15" s="142" t="s">
        <v>25</v>
      </c>
      <c r="G15" s="142" t="s">
        <v>25</v>
      </c>
      <c r="H15" s="142" t="s">
        <v>91</v>
      </c>
      <c r="I15" s="142" t="s">
        <v>95</v>
      </c>
      <c r="J15" s="142">
        <v>0.01</v>
      </c>
      <c r="K15" s="142"/>
      <c r="L15" s="142"/>
      <c r="M15" s="142"/>
      <c r="N15" s="142"/>
      <c r="O15" s="142"/>
      <c r="P15" s="142"/>
      <c r="Q15" s="142"/>
      <c r="R15" s="142"/>
      <c r="S15" s="142"/>
      <c r="T15" s="142"/>
      <c r="U15" s="142">
        <v>8.3874277668060607E-3</v>
      </c>
      <c r="V15" s="142"/>
      <c r="W15" s="142"/>
      <c r="X15" s="142"/>
      <c r="Y15" s="142"/>
      <c r="Z15" s="142"/>
      <c r="AA15" s="142"/>
      <c r="AB15" s="142"/>
      <c r="AC15" s="142"/>
      <c r="AD15" s="142"/>
      <c r="AE15" s="142"/>
      <c r="AF15" s="142"/>
      <c r="AG15" s="142"/>
      <c r="AH15" s="142"/>
      <c r="AI15" s="142"/>
      <c r="AJ15" s="142"/>
      <c r="AK15" s="142"/>
      <c r="AL15" s="142"/>
      <c r="AM15" s="142"/>
      <c r="AN15" s="142"/>
      <c r="AO15" s="142"/>
      <c r="AP15" s="142"/>
      <c r="AQ15" s="143"/>
    </row>
    <row r="16" spans="2:43" ht="12" customHeight="1" x14ac:dyDescent="0.25">
      <c r="B16" s="141" t="s">
        <v>43</v>
      </c>
      <c r="C16" s="142" t="s">
        <v>64</v>
      </c>
      <c r="D16" s="142" t="s">
        <v>25</v>
      </c>
      <c r="E16" s="142" t="s">
        <v>25</v>
      </c>
      <c r="F16" s="142" t="s">
        <v>25</v>
      </c>
      <c r="G16" s="142" t="s">
        <v>25</v>
      </c>
      <c r="H16" s="142" t="s">
        <v>91</v>
      </c>
      <c r="I16" s="142" t="s">
        <v>71</v>
      </c>
      <c r="J16" s="142">
        <v>0.04</v>
      </c>
      <c r="K16" s="142"/>
      <c r="L16" s="142"/>
      <c r="M16" s="142"/>
      <c r="N16" s="142"/>
      <c r="O16" s="142"/>
      <c r="P16" s="142"/>
      <c r="Q16" s="142"/>
      <c r="R16" s="142"/>
      <c r="S16" s="142"/>
      <c r="T16" s="142"/>
      <c r="U16" s="142">
        <v>2.5539089539526001E-2</v>
      </c>
      <c r="V16" s="142"/>
      <c r="W16" s="142"/>
      <c r="X16" s="142"/>
      <c r="Y16" s="142"/>
      <c r="Z16" s="142">
        <v>1.39059722597991E-2</v>
      </c>
      <c r="AA16" s="142"/>
      <c r="AB16" s="142"/>
      <c r="AC16" s="142"/>
      <c r="AD16" s="142"/>
      <c r="AE16" s="142"/>
      <c r="AF16" s="142"/>
      <c r="AG16" s="142"/>
      <c r="AH16" s="142"/>
      <c r="AI16" s="142"/>
      <c r="AJ16" s="142"/>
      <c r="AK16" s="142"/>
      <c r="AL16" s="142"/>
      <c r="AM16" s="142"/>
      <c r="AN16" s="142"/>
      <c r="AO16" s="142"/>
      <c r="AP16" s="142"/>
      <c r="AQ16" s="143"/>
    </row>
    <row r="17" spans="2:43" ht="12" customHeight="1" x14ac:dyDescent="0.25">
      <c r="B17" s="141" t="s">
        <v>43</v>
      </c>
      <c r="C17" s="142" t="s">
        <v>64</v>
      </c>
      <c r="D17" s="142" t="s">
        <v>25</v>
      </c>
      <c r="E17" s="142" t="s">
        <v>25</v>
      </c>
      <c r="F17" s="142" t="s">
        <v>25</v>
      </c>
      <c r="G17" s="142" t="s">
        <v>25</v>
      </c>
      <c r="H17" s="142" t="s">
        <v>91</v>
      </c>
      <c r="I17" s="142" t="s">
        <v>70</v>
      </c>
      <c r="J17" s="142">
        <v>0.04</v>
      </c>
      <c r="K17" s="142"/>
      <c r="L17" s="142"/>
      <c r="M17" s="142"/>
      <c r="N17" s="142"/>
      <c r="O17" s="142"/>
      <c r="P17" s="142"/>
      <c r="Q17" s="142"/>
      <c r="R17" s="142"/>
      <c r="S17" s="142"/>
      <c r="T17" s="142"/>
      <c r="U17" s="142">
        <v>2.9488577156840601E-2</v>
      </c>
      <c r="V17" s="142"/>
      <c r="W17" s="142"/>
      <c r="X17" s="142"/>
      <c r="Y17" s="142"/>
      <c r="Z17" s="142">
        <v>1.39059722597991E-2</v>
      </c>
      <c r="AA17" s="142"/>
      <c r="AB17" s="142"/>
      <c r="AC17" s="142"/>
      <c r="AD17" s="142"/>
      <c r="AE17" s="142"/>
      <c r="AF17" s="142"/>
      <c r="AG17" s="142"/>
      <c r="AH17" s="142"/>
      <c r="AI17" s="142"/>
      <c r="AJ17" s="142"/>
      <c r="AK17" s="142"/>
      <c r="AL17" s="142"/>
      <c r="AM17" s="142"/>
      <c r="AN17" s="142"/>
      <c r="AO17" s="142"/>
      <c r="AP17" s="142"/>
      <c r="AQ17" s="143"/>
    </row>
    <row r="18" spans="2:43" ht="12" customHeight="1" x14ac:dyDescent="0.25">
      <c r="B18" s="141" t="s">
        <v>45</v>
      </c>
      <c r="C18" s="142" t="s">
        <v>41</v>
      </c>
      <c r="D18" s="142" t="s">
        <v>25</v>
      </c>
      <c r="E18" s="142" t="s">
        <v>25</v>
      </c>
      <c r="F18" s="142" t="s">
        <v>61</v>
      </c>
      <c r="G18" s="142" t="s">
        <v>35</v>
      </c>
      <c r="H18" s="142" t="s">
        <v>88</v>
      </c>
      <c r="I18" s="142" t="s">
        <v>25</v>
      </c>
      <c r="J18" s="142">
        <v>1.86</v>
      </c>
      <c r="K18" s="142"/>
      <c r="L18" s="142"/>
      <c r="M18" s="142"/>
      <c r="N18" s="142"/>
      <c r="O18" s="142"/>
      <c r="P18" s="142"/>
      <c r="Q18" s="142"/>
      <c r="R18" s="142"/>
      <c r="S18" s="142"/>
      <c r="T18" s="142"/>
      <c r="U18" s="142"/>
      <c r="V18" s="142"/>
      <c r="W18" s="142"/>
      <c r="X18" s="142"/>
      <c r="Y18" s="142"/>
      <c r="Z18" s="142"/>
      <c r="AA18" s="142"/>
      <c r="AB18" s="142"/>
      <c r="AC18" s="142"/>
      <c r="AD18" s="142">
        <v>1.0503032194440201</v>
      </c>
      <c r="AE18" s="142">
        <v>3.94791602696603E-2</v>
      </c>
      <c r="AF18" s="142">
        <v>0.77010156683041497</v>
      </c>
      <c r="AG18" s="142"/>
      <c r="AH18" s="142"/>
      <c r="AI18" s="142"/>
      <c r="AJ18" s="142"/>
      <c r="AK18" s="142"/>
      <c r="AL18" s="142"/>
      <c r="AM18" s="142"/>
      <c r="AN18" s="142"/>
      <c r="AO18" s="142"/>
      <c r="AP18" s="142"/>
      <c r="AQ18" s="143"/>
    </row>
    <row r="19" spans="2:43" ht="12" customHeight="1" x14ac:dyDescent="0.25">
      <c r="B19" s="141" t="s">
        <v>45</v>
      </c>
      <c r="C19" s="142" t="s">
        <v>41</v>
      </c>
      <c r="D19" s="142" t="s">
        <v>25</v>
      </c>
      <c r="E19" s="142" t="s">
        <v>25</v>
      </c>
      <c r="F19" s="142" t="s">
        <v>61</v>
      </c>
      <c r="G19" s="142" t="s">
        <v>35</v>
      </c>
      <c r="H19" s="142" t="s">
        <v>91</v>
      </c>
      <c r="I19" s="142" t="s">
        <v>25</v>
      </c>
      <c r="J19" s="142">
        <v>0.45</v>
      </c>
      <c r="K19" s="142"/>
      <c r="L19" s="142"/>
      <c r="M19" s="142"/>
      <c r="N19" s="142"/>
      <c r="O19" s="142"/>
      <c r="P19" s="142"/>
      <c r="Q19" s="142"/>
      <c r="R19" s="142"/>
      <c r="S19" s="142"/>
      <c r="T19" s="142">
        <v>0.36200302087826303</v>
      </c>
      <c r="U19" s="142">
        <v>9.0920698801373795E-2</v>
      </c>
      <c r="V19" s="142"/>
      <c r="W19" s="142"/>
      <c r="X19" s="142"/>
      <c r="Y19" s="142"/>
      <c r="Z19" s="142"/>
      <c r="AA19" s="142"/>
      <c r="AB19" s="142"/>
      <c r="AC19" s="142"/>
      <c r="AD19" s="142"/>
      <c r="AE19" s="142"/>
      <c r="AF19" s="142"/>
      <c r="AG19" s="142"/>
      <c r="AH19" s="142"/>
      <c r="AI19" s="142"/>
      <c r="AJ19" s="142"/>
      <c r="AK19" s="142"/>
      <c r="AL19" s="142"/>
      <c r="AM19" s="142"/>
      <c r="AN19" s="142"/>
      <c r="AO19" s="142"/>
      <c r="AP19" s="142"/>
      <c r="AQ19" s="143"/>
    </row>
    <row r="20" spans="2:43" ht="12" customHeight="1" x14ac:dyDescent="0.25">
      <c r="B20" s="141" t="s">
        <v>45</v>
      </c>
      <c r="C20" s="142" t="s">
        <v>41</v>
      </c>
      <c r="D20" s="142" t="s">
        <v>25</v>
      </c>
      <c r="E20" s="142" t="s">
        <v>25</v>
      </c>
      <c r="F20" s="142" t="s">
        <v>61</v>
      </c>
      <c r="G20" s="142" t="s">
        <v>36</v>
      </c>
      <c r="H20" s="142" t="s">
        <v>88</v>
      </c>
      <c r="I20" s="142" t="s">
        <v>25</v>
      </c>
      <c r="J20" s="142">
        <v>1.86</v>
      </c>
      <c r="K20" s="142"/>
      <c r="L20" s="142"/>
      <c r="M20" s="142"/>
      <c r="N20" s="142"/>
      <c r="O20" s="142"/>
      <c r="P20" s="142"/>
      <c r="Q20" s="142"/>
      <c r="R20" s="142"/>
      <c r="S20" s="142"/>
      <c r="T20" s="142"/>
      <c r="U20" s="142"/>
      <c r="V20" s="142"/>
      <c r="W20" s="142"/>
      <c r="X20" s="142"/>
      <c r="Y20" s="142"/>
      <c r="Z20" s="142"/>
      <c r="AA20" s="142"/>
      <c r="AB20" s="142"/>
      <c r="AC20" s="142"/>
      <c r="AD20" s="142">
        <v>1.0503032194440201</v>
      </c>
      <c r="AE20" s="142">
        <v>3.94791602696603E-2</v>
      </c>
      <c r="AF20" s="142">
        <v>0.77010156683041497</v>
      </c>
      <c r="AG20" s="142"/>
      <c r="AH20" s="142"/>
      <c r="AI20" s="142"/>
      <c r="AJ20" s="142"/>
      <c r="AK20" s="142"/>
      <c r="AL20" s="142"/>
      <c r="AM20" s="142"/>
      <c r="AN20" s="142"/>
      <c r="AO20" s="142"/>
      <c r="AP20" s="142"/>
      <c r="AQ20" s="143"/>
    </row>
    <row r="21" spans="2:43" ht="12" customHeight="1" x14ac:dyDescent="0.25">
      <c r="B21" s="141" t="s">
        <v>45</v>
      </c>
      <c r="C21" s="142" t="s">
        <v>41</v>
      </c>
      <c r="D21" s="142" t="s">
        <v>25</v>
      </c>
      <c r="E21" s="142" t="s">
        <v>25</v>
      </c>
      <c r="F21" s="142" t="s">
        <v>61</v>
      </c>
      <c r="G21" s="142" t="s">
        <v>36</v>
      </c>
      <c r="H21" s="142" t="s">
        <v>91</v>
      </c>
      <c r="I21" s="142" t="s">
        <v>25</v>
      </c>
      <c r="J21" s="142">
        <v>0.3</v>
      </c>
      <c r="K21" s="142"/>
      <c r="L21" s="142"/>
      <c r="M21" s="142"/>
      <c r="N21" s="142"/>
      <c r="O21" s="142"/>
      <c r="P21" s="142"/>
      <c r="Q21" s="142"/>
      <c r="R21" s="142"/>
      <c r="S21" s="142"/>
      <c r="T21" s="142">
        <v>0.23661666307709101</v>
      </c>
      <c r="U21" s="142">
        <v>6.4673003853284894E-2</v>
      </c>
      <c r="V21" s="142"/>
      <c r="W21" s="142"/>
      <c r="X21" s="142"/>
      <c r="Y21" s="142"/>
      <c r="Z21" s="142"/>
      <c r="AA21" s="142"/>
      <c r="AB21" s="142"/>
      <c r="AC21" s="142"/>
      <c r="AD21" s="142"/>
      <c r="AE21" s="142"/>
      <c r="AF21" s="142"/>
      <c r="AG21" s="142"/>
      <c r="AH21" s="142"/>
      <c r="AI21" s="142"/>
      <c r="AJ21" s="142"/>
      <c r="AK21" s="142"/>
      <c r="AL21" s="142"/>
      <c r="AM21" s="142"/>
      <c r="AN21" s="142"/>
      <c r="AO21" s="142"/>
      <c r="AP21" s="142"/>
      <c r="AQ21" s="143"/>
    </row>
    <row r="22" spans="2:43" ht="12" customHeight="1" x14ac:dyDescent="0.25">
      <c r="B22" s="141" t="s">
        <v>45</v>
      </c>
      <c r="C22" s="142" t="s">
        <v>41</v>
      </c>
      <c r="D22" s="142" t="s">
        <v>25</v>
      </c>
      <c r="E22" s="142" t="s">
        <v>25</v>
      </c>
      <c r="F22" s="142" t="s">
        <v>25</v>
      </c>
      <c r="G22" s="142" t="s">
        <v>35</v>
      </c>
      <c r="H22" s="142" t="s">
        <v>88</v>
      </c>
      <c r="I22" s="142" t="s">
        <v>25</v>
      </c>
      <c r="J22" s="142">
        <v>6.99</v>
      </c>
      <c r="K22" s="142">
        <v>16.88</v>
      </c>
      <c r="L22" s="142"/>
      <c r="M22" s="142"/>
      <c r="N22" s="142"/>
      <c r="O22" s="142"/>
      <c r="P22" s="142"/>
      <c r="Q22" s="142">
        <v>6.1201872023517403</v>
      </c>
      <c r="R22" s="142">
        <v>-0.99215351767428905</v>
      </c>
      <c r="S22" s="142"/>
      <c r="T22" s="142"/>
      <c r="U22" s="142"/>
      <c r="V22" s="142"/>
      <c r="W22" s="142"/>
      <c r="X22" s="142"/>
      <c r="Y22" s="142"/>
      <c r="Z22" s="142"/>
      <c r="AA22" s="142"/>
      <c r="AB22" s="142"/>
      <c r="AC22" s="142"/>
      <c r="AD22" s="142">
        <v>1.0503032194440201</v>
      </c>
      <c r="AE22" s="142">
        <v>3.94791602696603E-2</v>
      </c>
      <c r="AF22" s="142">
        <v>0.77010156683041497</v>
      </c>
      <c r="AG22" s="142"/>
      <c r="AH22" s="142"/>
      <c r="AI22" s="142">
        <v>-12.929924264192699</v>
      </c>
      <c r="AJ22" s="142"/>
      <c r="AK22" s="142">
        <v>-5.8434908590778596</v>
      </c>
      <c r="AL22" s="142">
        <v>34.237696779518799</v>
      </c>
      <c r="AM22" s="142">
        <v>0.63524552433182901</v>
      </c>
      <c r="AN22" s="142">
        <v>0.25866598875024099</v>
      </c>
      <c r="AO22" s="142"/>
      <c r="AP22" s="142"/>
      <c r="AQ22" s="143">
        <v>0.52428443218601695</v>
      </c>
    </row>
    <row r="23" spans="2:43" ht="12" customHeight="1" x14ac:dyDescent="0.25">
      <c r="B23" s="141" t="s">
        <v>45</v>
      </c>
      <c r="C23" s="142" t="s">
        <v>41</v>
      </c>
      <c r="D23" s="142" t="s">
        <v>25</v>
      </c>
      <c r="E23" s="142" t="s">
        <v>25</v>
      </c>
      <c r="F23" s="142" t="s">
        <v>25</v>
      </c>
      <c r="G23" s="142" t="s">
        <v>35</v>
      </c>
      <c r="H23" s="142" t="s">
        <v>91</v>
      </c>
      <c r="I23" s="142" t="s">
        <v>25</v>
      </c>
      <c r="J23" s="142">
        <v>0.45</v>
      </c>
      <c r="K23" s="142"/>
      <c r="L23" s="142"/>
      <c r="M23" s="142"/>
      <c r="N23" s="142"/>
      <c r="O23" s="142"/>
      <c r="P23" s="142"/>
      <c r="Q23" s="142"/>
      <c r="R23" s="142"/>
      <c r="S23" s="142"/>
      <c r="T23" s="142">
        <v>0.36200302087826303</v>
      </c>
      <c r="U23" s="142">
        <v>9.0920698801373795E-2</v>
      </c>
      <c r="V23" s="142"/>
      <c r="W23" s="142"/>
      <c r="X23" s="142"/>
      <c r="Y23" s="142"/>
      <c r="Z23" s="142"/>
      <c r="AA23" s="142"/>
      <c r="AB23" s="142"/>
      <c r="AC23" s="142"/>
      <c r="AD23" s="142"/>
      <c r="AE23" s="142"/>
      <c r="AF23" s="142"/>
      <c r="AG23" s="142"/>
      <c r="AH23" s="142"/>
      <c r="AI23" s="142"/>
      <c r="AJ23" s="142"/>
      <c r="AK23" s="142"/>
      <c r="AL23" s="142"/>
      <c r="AM23" s="142"/>
      <c r="AN23" s="142"/>
      <c r="AO23" s="142"/>
      <c r="AP23" s="142"/>
      <c r="AQ23" s="143"/>
    </row>
    <row r="24" spans="2:43" ht="12" customHeight="1" x14ac:dyDescent="0.25">
      <c r="B24" s="141" t="s">
        <v>45</v>
      </c>
      <c r="C24" s="142" t="s">
        <v>41</v>
      </c>
      <c r="D24" s="142" t="s">
        <v>25</v>
      </c>
      <c r="E24" s="142" t="s">
        <v>25</v>
      </c>
      <c r="F24" s="142" t="s">
        <v>25</v>
      </c>
      <c r="G24" s="142" t="s">
        <v>36</v>
      </c>
      <c r="H24" s="142" t="s">
        <v>88</v>
      </c>
      <c r="I24" s="142" t="s">
        <v>25</v>
      </c>
      <c r="J24" s="142">
        <v>6.99</v>
      </c>
      <c r="K24" s="142">
        <v>2.5499999999999998</v>
      </c>
      <c r="L24" s="142"/>
      <c r="M24" s="142"/>
      <c r="N24" s="142"/>
      <c r="O24" s="142"/>
      <c r="P24" s="142"/>
      <c r="Q24" s="142">
        <v>6.1201872023517403</v>
      </c>
      <c r="R24" s="142">
        <v>-0.99215351767428905</v>
      </c>
      <c r="S24" s="142"/>
      <c r="T24" s="142"/>
      <c r="U24" s="142"/>
      <c r="V24" s="142"/>
      <c r="W24" s="142"/>
      <c r="X24" s="142"/>
      <c r="Y24" s="142"/>
      <c r="Z24" s="142"/>
      <c r="AA24" s="142"/>
      <c r="AB24" s="142"/>
      <c r="AC24" s="142"/>
      <c r="AD24" s="142">
        <v>1.0503032194440201</v>
      </c>
      <c r="AE24" s="142">
        <v>3.94791602696603E-2</v>
      </c>
      <c r="AF24" s="142">
        <v>0.77010156683041497</v>
      </c>
      <c r="AG24" s="142"/>
      <c r="AH24" s="142"/>
      <c r="AI24" s="142">
        <v>-12.929924264192699</v>
      </c>
      <c r="AJ24" s="142"/>
      <c r="AK24" s="142">
        <v>-5.8434908590778596</v>
      </c>
      <c r="AL24" s="142">
        <v>19.905637662511001</v>
      </c>
      <c r="AM24" s="142">
        <v>0.63524552433182901</v>
      </c>
      <c r="AN24" s="142">
        <v>0.25866598875024099</v>
      </c>
      <c r="AO24" s="142"/>
      <c r="AP24" s="142"/>
      <c r="AQ24" s="143">
        <v>0.52428443218601695</v>
      </c>
    </row>
    <row r="25" spans="2:43" ht="12" customHeight="1" x14ac:dyDescent="0.25">
      <c r="B25" s="141" t="s">
        <v>45</v>
      </c>
      <c r="C25" s="142" t="s">
        <v>41</v>
      </c>
      <c r="D25" s="142" t="s">
        <v>25</v>
      </c>
      <c r="E25" s="142" t="s">
        <v>25</v>
      </c>
      <c r="F25" s="142" t="s">
        <v>25</v>
      </c>
      <c r="G25" s="142" t="s">
        <v>36</v>
      </c>
      <c r="H25" s="142" t="s">
        <v>91</v>
      </c>
      <c r="I25" s="142" t="s">
        <v>25</v>
      </c>
      <c r="J25" s="142">
        <v>0.3</v>
      </c>
      <c r="K25" s="142"/>
      <c r="L25" s="142"/>
      <c r="M25" s="142"/>
      <c r="N25" s="142"/>
      <c r="O25" s="142"/>
      <c r="P25" s="142"/>
      <c r="Q25" s="142"/>
      <c r="R25" s="142"/>
      <c r="S25" s="142"/>
      <c r="T25" s="142">
        <v>0.23661666307709101</v>
      </c>
      <c r="U25" s="142">
        <v>6.4673003853284894E-2</v>
      </c>
      <c r="V25" s="142"/>
      <c r="W25" s="142"/>
      <c r="X25" s="142"/>
      <c r="Y25" s="142"/>
      <c r="Z25" s="142"/>
      <c r="AA25" s="142"/>
      <c r="AB25" s="142"/>
      <c r="AC25" s="142"/>
      <c r="AD25" s="142"/>
      <c r="AE25" s="142"/>
      <c r="AF25" s="142"/>
      <c r="AG25" s="142"/>
      <c r="AH25" s="142"/>
      <c r="AI25" s="142"/>
      <c r="AJ25" s="142"/>
      <c r="AK25" s="142"/>
      <c r="AL25" s="142"/>
      <c r="AM25" s="142"/>
      <c r="AN25" s="142"/>
      <c r="AO25" s="142"/>
      <c r="AP25" s="142"/>
      <c r="AQ25" s="143"/>
    </row>
    <row r="26" spans="2:43" ht="12" customHeight="1" x14ac:dyDescent="0.25">
      <c r="B26" s="141" t="s">
        <v>45</v>
      </c>
      <c r="C26" s="142" t="s">
        <v>23</v>
      </c>
      <c r="D26" s="142" t="s">
        <v>25</v>
      </c>
      <c r="E26" s="142" t="s">
        <v>25</v>
      </c>
      <c r="F26" s="142" t="s">
        <v>25</v>
      </c>
      <c r="G26" s="142" t="s">
        <v>25</v>
      </c>
      <c r="H26" s="142" t="s">
        <v>88</v>
      </c>
      <c r="I26" s="142" t="s">
        <v>25</v>
      </c>
      <c r="J26" s="142">
        <v>6.99</v>
      </c>
      <c r="K26" s="142">
        <v>3.74</v>
      </c>
      <c r="L26" s="142"/>
      <c r="M26" s="142"/>
      <c r="N26" s="142"/>
      <c r="O26" s="142"/>
      <c r="P26" s="142"/>
      <c r="Q26" s="142">
        <v>6.1201872023517403</v>
      </c>
      <c r="R26" s="142">
        <v>-0.99215351767428905</v>
      </c>
      <c r="S26" s="142"/>
      <c r="T26" s="142"/>
      <c r="U26" s="142"/>
      <c r="V26" s="142"/>
      <c r="W26" s="142"/>
      <c r="X26" s="142"/>
      <c r="Y26" s="142"/>
      <c r="Z26" s="142"/>
      <c r="AA26" s="142"/>
      <c r="AB26" s="142"/>
      <c r="AC26" s="142"/>
      <c r="AD26" s="142">
        <v>1.0503032194440201</v>
      </c>
      <c r="AE26" s="142">
        <v>3.94791602696603E-2</v>
      </c>
      <c r="AF26" s="142">
        <v>0.77010156683041497</v>
      </c>
      <c r="AG26" s="142"/>
      <c r="AH26" s="142"/>
      <c r="AI26" s="142">
        <v>-12.929924264192699</v>
      </c>
      <c r="AJ26" s="142"/>
      <c r="AK26" s="142">
        <v>-5.8434908590778596</v>
      </c>
      <c r="AL26" s="142">
        <v>21.099975922261599</v>
      </c>
      <c r="AM26" s="142">
        <v>0.63524552433182901</v>
      </c>
      <c r="AN26" s="142">
        <v>0.25866598875024099</v>
      </c>
      <c r="AO26" s="142"/>
      <c r="AP26" s="142"/>
      <c r="AQ26" s="143">
        <v>0.52428443218601695</v>
      </c>
    </row>
    <row r="27" spans="2:43" ht="12" customHeight="1" x14ac:dyDescent="0.25">
      <c r="B27" s="141" t="s">
        <v>45</v>
      </c>
      <c r="C27" s="142" t="s">
        <v>23</v>
      </c>
      <c r="D27" s="142" t="s">
        <v>25</v>
      </c>
      <c r="E27" s="142" t="s">
        <v>25</v>
      </c>
      <c r="F27" s="142" t="s">
        <v>25</v>
      </c>
      <c r="G27" s="142" t="s">
        <v>25</v>
      </c>
      <c r="H27" s="142" t="s">
        <v>91</v>
      </c>
      <c r="I27" s="142" t="s">
        <v>25</v>
      </c>
      <c r="J27" s="142">
        <v>0.63</v>
      </c>
      <c r="K27" s="142"/>
      <c r="L27" s="142"/>
      <c r="M27" s="142"/>
      <c r="N27" s="142"/>
      <c r="O27" s="142"/>
      <c r="P27" s="142"/>
      <c r="Q27" s="142"/>
      <c r="R27" s="142"/>
      <c r="S27" s="142"/>
      <c r="T27" s="142">
        <v>0.497275217013188</v>
      </c>
      <c r="U27" s="142">
        <v>0.13014824916658199</v>
      </c>
      <c r="V27" s="142"/>
      <c r="W27" s="142"/>
      <c r="X27" s="142"/>
      <c r="Y27" s="142"/>
      <c r="Z27" s="142"/>
      <c r="AA27" s="142"/>
      <c r="AB27" s="142"/>
      <c r="AC27" s="142"/>
      <c r="AD27" s="142"/>
      <c r="AE27" s="142"/>
      <c r="AF27" s="142"/>
      <c r="AG27" s="142"/>
      <c r="AH27" s="142"/>
      <c r="AI27" s="142"/>
      <c r="AJ27" s="142"/>
      <c r="AK27" s="142"/>
      <c r="AL27" s="142"/>
      <c r="AM27" s="142"/>
      <c r="AN27" s="142"/>
      <c r="AO27" s="142"/>
      <c r="AP27" s="142"/>
      <c r="AQ27" s="143"/>
    </row>
    <row r="28" spans="2:43" ht="12" customHeight="1" x14ac:dyDescent="0.25">
      <c r="B28" s="141" t="s">
        <v>45</v>
      </c>
      <c r="C28" s="142" t="s">
        <v>34</v>
      </c>
      <c r="D28" s="142" t="s">
        <v>25</v>
      </c>
      <c r="E28" s="142" t="s">
        <v>25</v>
      </c>
      <c r="F28" s="142" t="s">
        <v>61</v>
      </c>
      <c r="G28" s="142" t="s">
        <v>35</v>
      </c>
      <c r="H28" s="142" t="s">
        <v>88</v>
      </c>
      <c r="I28" s="142" t="s">
        <v>25</v>
      </c>
      <c r="J28" s="142">
        <v>12.75</v>
      </c>
      <c r="K28" s="142"/>
      <c r="L28" s="142"/>
      <c r="M28" s="142"/>
      <c r="N28" s="142"/>
      <c r="O28" s="142"/>
      <c r="P28" s="142"/>
      <c r="Q28" s="142"/>
      <c r="R28" s="142"/>
      <c r="S28" s="142"/>
      <c r="T28" s="142">
        <v>8.7062940314982296</v>
      </c>
      <c r="U28" s="142">
        <v>2.1866633764668899</v>
      </c>
      <c r="V28" s="142"/>
      <c r="W28" s="142"/>
      <c r="X28" s="142"/>
      <c r="Y28" s="142"/>
      <c r="Z28" s="142"/>
      <c r="AA28" s="142"/>
      <c r="AB28" s="142"/>
      <c r="AC28" s="142"/>
      <c r="AD28" s="142">
        <v>1.0503032194440201</v>
      </c>
      <c r="AE28" s="142">
        <v>3.94791602696603E-2</v>
      </c>
      <c r="AF28" s="142">
        <v>0.77010156683041497</v>
      </c>
      <c r="AG28" s="142"/>
      <c r="AH28" s="142"/>
      <c r="AI28" s="142"/>
      <c r="AJ28" s="142"/>
      <c r="AK28" s="142"/>
      <c r="AL28" s="142"/>
      <c r="AM28" s="142"/>
      <c r="AN28" s="142"/>
      <c r="AO28" s="142"/>
      <c r="AP28" s="142"/>
      <c r="AQ28" s="143"/>
    </row>
    <row r="29" spans="2:43" ht="12" customHeight="1" x14ac:dyDescent="0.25">
      <c r="B29" s="141" t="s">
        <v>45</v>
      </c>
      <c r="C29" s="142" t="s">
        <v>34</v>
      </c>
      <c r="D29" s="142" t="s">
        <v>25</v>
      </c>
      <c r="E29" s="142" t="s">
        <v>25</v>
      </c>
      <c r="F29" s="142" t="s">
        <v>61</v>
      </c>
      <c r="G29" s="142" t="s">
        <v>25</v>
      </c>
      <c r="H29" s="142" t="s">
        <v>91</v>
      </c>
      <c r="I29" s="142" t="s">
        <v>25</v>
      </c>
      <c r="J29" s="142">
        <v>0.3</v>
      </c>
      <c r="K29" s="142"/>
      <c r="L29" s="142"/>
      <c r="M29" s="142"/>
      <c r="N29" s="142"/>
      <c r="O29" s="142"/>
      <c r="P29" s="142"/>
      <c r="Q29" s="142"/>
      <c r="R29" s="142"/>
      <c r="S29" s="142"/>
      <c r="T29" s="142">
        <v>0.23661666307709101</v>
      </c>
      <c r="U29" s="142">
        <v>6.4673003853284894E-2</v>
      </c>
      <c r="V29" s="142"/>
      <c r="W29" s="142"/>
      <c r="X29" s="142"/>
      <c r="Y29" s="142"/>
      <c r="Z29" s="142"/>
      <c r="AA29" s="142"/>
      <c r="AB29" s="142"/>
      <c r="AC29" s="142"/>
      <c r="AD29" s="142"/>
      <c r="AE29" s="142"/>
      <c r="AF29" s="142"/>
      <c r="AG29" s="142"/>
      <c r="AH29" s="142"/>
      <c r="AI29" s="142"/>
      <c r="AJ29" s="142"/>
      <c r="AK29" s="142"/>
      <c r="AL29" s="142"/>
      <c r="AM29" s="142"/>
      <c r="AN29" s="142"/>
      <c r="AO29" s="142"/>
      <c r="AP29" s="142"/>
      <c r="AQ29" s="143"/>
    </row>
    <row r="30" spans="2:43" ht="12" customHeight="1" x14ac:dyDescent="0.25">
      <c r="B30" s="141" t="s">
        <v>45</v>
      </c>
      <c r="C30" s="142" t="s">
        <v>34</v>
      </c>
      <c r="D30" s="142" t="s">
        <v>25</v>
      </c>
      <c r="E30" s="142" t="s">
        <v>25</v>
      </c>
      <c r="F30" s="142" t="s">
        <v>61</v>
      </c>
      <c r="G30" s="142" t="s">
        <v>36</v>
      </c>
      <c r="H30" s="142" t="s">
        <v>88</v>
      </c>
      <c r="I30" s="142" t="s">
        <v>25</v>
      </c>
      <c r="J30" s="142">
        <v>1.86</v>
      </c>
      <c r="K30" s="142"/>
      <c r="L30" s="142"/>
      <c r="M30" s="142"/>
      <c r="N30" s="142"/>
      <c r="O30" s="142"/>
      <c r="P30" s="142"/>
      <c r="Q30" s="142"/>
      <c r="R30" s="142"/>
      <c r="S30" s="142"/>
      <c r="T30" s="142"/>
      <c r="U30" s="142"/>
      <c r="V30" s="142"/>
      <c r="W30" s="142"/>
      <c r="X30" s="142"/>
      <c r="Y30" s="142"/>
      <c r="Z30" s="142"/>
      <c r="AA30" s="142"/>
      <c r="AB30" s="142"/>
      <c r="AC30" s="142"/>
      <c r="AD30" s="142">
        <v>1.0503032194440201</v>
      </c>
      <c r="AE30" s="142">
        <v>3.94791602696603E-2</v>
      </c>
      <c r="AF30" s="142">
        <v>0.77010156683041497</v>
      </c>
      <c r="AG30" s="142"/>
      <c r="AH30" s="142"/>
      <c r="AI30" s="142"/>
      <c r="AJ30" s="142"/>
      <c r="AK30" s="142"/>
      <c r="AL30" s="142"/>
      <c r="AM30" s="142"/>
      <c r="AN30" s="142"/>
      <c r="AO30" s="142"/>
      <c r="AP30" s="142"/>
      <c r="AQ30" s="143"/>
    </row>
    <row r="31" spans="2:43" ht="12" customHeight="1" x14ac:dyDescent="0.25">
      <c r="B31" s="141" t="s">
        <v>45</v>
      </c>
      <c r="C31" s="142" t="s">
        <v>34</v>
      </c>
      <c r="D31" s="142" t="s">
        <v>25</v>
      </c>
      <c r="E31" s="142" t="s">
        <v>25</v>
      </c>
      <c r="F31" s="142" t="s">
        <v>25</v>
      </c>
      <c r="G31" s="142" t="s">
        <v>35</v>
      </c>
      <c r="H31" s="142" t="s">
        <v>88</v>
      </c>
      <c r="I31" s="142" t="s">
        <v>25</v>
      </c>
      <c r="J31" s="142">
        <v>17.88</v>
      </c>
      <c r="K31" s="142">
        <v>16.88</v>
      </c>
      <c r="L31" s="142"/>
      <c r="M31" s="142"/>
      <c r="N31" s="142"/>
      <c r="O31" s="142"/>
      <c r="P31" s="142"/>
      <c r="Q31" s="142">
        <v>6.1201872023517403</v>
      </c>
      <c r="R31" s="142">
        <v>-0.99215351767428905</v>
      </c>
      <c r="S31" s="142"/>
      <c r="T31" s="142">
        <v>8.7062940314982296</v>
      </c>
      <c r="U31" s="142">
        <v>2.1866633764668899</v>
      </c>
      <c r="V31" s="142"/>
      <c r="W31" s="142"/>
      <c r="X31" s="142"/>
      <c r="Y31" s="142"/>
      <c r="Z31" s="142"/>
      <c r="AA31" s="142"/>
      <c r="AB31" s="142"/>
      <c r="AC31" s="142"/>
      <c r="AD31" s="142">
        <v>1.0503032194440201</v>
      </c>
      <c r="AE31" s="142">
        <v>3.94791602696603E-2</v>
      </c>
      <c r="AF31" s="142">
        <v>0.77010156683041497</v>
      </c>
      <c r="AG31" s="142"/>
      <c r="AH31" s="142"/>
      <c r="AI31" s="142">
        <v>-12.929924264192699</v>
      </c>
      <c r="AJ31" s="142"/>
      <c r="AK31" s="142">
        <v>-5.8434908590778596</v>
      </c>
      <c r="AL31" s="142">
        <v>34.237696779518799</v>
      </c>
      <c r="AM31" s="142">
        <v>0.63524552433182901</v>
      </c>
      <c r="AN31" s="142">
        <v>0.25866598875024099</v>
      </c>
      <c r="AO31" s="142"/>
      <c r="AP31" s="142"/>
      <c r="AQ31" s="143">
        <v>0.52428443218601695</v>
      </c>
    </row>
    <row r="32" spans="2:43" ht="12" customHeight="1" x14ac:dyDescent="0.25">
      <c r="B32" s="141" t="s">
        <v>45</v>
      </c>
      <c r="C32" s="142" t="s">
        <v>34</v>
      </c>
      <c r="D32" s="142" t="s">
        <v>25</v>
      </c>
      <c r="E32" s="142" t="s">
        <v>25</v>
      </c>
      <c r="F32" s="142" t="s">
        <v>25</v>
      </c>
      <c r="G32" s="142" t="s">
        <v>25</v>
      </c>
      <c r="H32" s="142" t="s">
        <v>91</v>
      </c>
      <c r="I32" s="142" t="s">
        <v>25</v>
      </c>
      <c r="J32" s="142">
        <v>0.3</v>
      </c>
      <c r="K32" s="142"/>
      <c r="L32" s="142"/>
      <c r="M32" s="142"/>
      <c r="N32" s="142"/>
      <c r="O32" s="142"/>
      <c r="P32" s="142"/>
      <c r="Q32" s="142"/>
      <c r="R32" s="142"/>
      <c r="S32" s="142"/>
      <c r="T32" s="142">
        <v>0.23661666307709101</v>
      </c>
      <c r="U32" s="142">
        <v>6.4673003853284894E-2</v>
      </c>
      <c r="V32" s="142"/>
      <c r="W32" s="142"/>
      <c r="X32" s="142"/>
      <c r="Y32" s="142"/>
      <c r="Z32" s="142"/>
      <c r="AA32" s="142"/>
      <c r="AB32" s="142"/>
      <c r="AC32" s="142"/>
      <c r="AD32" s="142"/>
      <c r="AE32" s="142"/>
      <c r="AF32" s="142"/>
      <c r="AG32" s="142"/>
      <c r="AH32" s="142"/>
      <c r="AI32" s="142"/>
      <c r="AJ32" s="142"/>
      <c r="AK32" s="142"/>
      <c r="AL32" s="142"/>
      <c r="AM32" s="142"/>
      <c r="AN32" s="142"/>
      <c r="AO32" s="142"/>
      <c r="AP32" s="142"/>
      <c r="AQ32" s="143"/>
    </row>
    <row r="33" spans="2:43" ht="12" customHeight="1" x14ac:dyDescent="0.25">
      <c r="B33" s="141" t="s">
        <v>45</v>
      </c>
      <c r="C33" s="142" t="s">
        <v>34</v>
      </c>
      <c r="D33" s="142" t="s">
        <v>25</v>
      </c>
      <c r="E33" s="142" t="s">
        <v>25</v>
      </c>
      <c r="F33" s="142" t="s">
        <v>25</v>
      </c>
      <c r="G33" s="142" t="s">
        <v>36</v>
      </c>
      <c r="H33" s="142" t="s">
        <v>88</v>
      </c>
      <c r="I33" s="142" t="s">
        <v>25</v>
      </c>
      <c r="J33" s="142">
        <v>6.99</v>
      </c>
      <c r="K33" s="142">
        <v>2.5499999999999998</v>
      </c>
      <c r="L33" s="142"/>
      <c r="M33" s="142"/>
      <c r="N33" s="142"/>
      <c r="O33" s="142"/>
      <c r="P33" s="142"/>
      <c r="Q33" s="142">
        <v>6.1201872023517403</v>
      </c>
      <c r="R33" s="142">
        <v>-0.99215351767428905</v>
      </c>
      <c r="S33" s="142"/>
      <c r="T33" s="142"/>
      <c r="U33" s="142"/>
      <c r="V33" s="142"/>
      <c r="W33" s="142"/>
      <c r="X33" s="142"/>
      <c r="Y33" s="142"/>
      <c r="Z33" s="142"/>
      <c r="AA33" s="142"/>
      <c r="AB33" s="142"/>
      <c r="AC33" s="142"/>
      <c r="AD33" s="142">
        <v>1.0503032194440201</v>
      </c>
      <c r="AE33" s="142">
        <v>3.94791602696603E-2</v>
      </c>
      <c r="AF33" s="142">
        <v>0.77010156683041497</v>
      </c>
      <c r="AG33" s="142"/>
      <c r="AH33" s="142"/>
      <c r="AI33" s="142">
        <v>-12.929924264192699</v>
      </c>
      <c r="AJ33" s="142"/>
      <c r="AK33" s="142">
        <v>-5.8434908590778596</v>
      </c>
      <c r="AL33" s="142">
        <v>19.905637662511001</v>
      </c>
      <c r="AM33" s="142">
        <v>0.63524552433182901</v>
      </c>
      <c r="AN33" s="142">
        <v>0.25866598875024099</v>
      </c>
      <c r="AO33" s="142"/>
      <c r="AP33" s="142"/>
      <c r="AQ33" s="143">
        <v>0.52428443218601695</v>
      </c>
    </row>
    <row r="34" spans="2:43" ht="12" customHeight="1" x14ac:dyDescent="0.25">
      <c r="B34" s="141" t="s">
        <v>33</v>
      </c>
      <c r="C34" s="142" t="s">
        <v>41</v>
      </c>
      <c r="D34" s="142" t="s">
        <v>25</v>
      </c>
      <c r="E34" s="142" t="s">
        <v>25</v>
      </c>
      <c r="F34" s="142" t="s">
        <v>61</v>
      </c>
      <c r="G34" s="142" t="s">
        <v>35</v>
      </c>
      <c r="H34" s="142" t="s">
        <v>88</v>
      </c>
      <c r="I34" s="142" t="s">
        <v>25</v>
      </c>
      <c r="J34" s="142">
        <v>1.86</v>
      </c>
      <c r="K34" s="142"/>
      <c r="L34" s="142"/>
      <c r="M34" s="142"/>
      <c r="N34" s="142"/>
      <c r="O34" s="142"/>
      <c r="P34" s="142"/>
      <c r="Q34" s="142"/>
      <c r="R34" s="142"/>
      <c r="S34" s="142"/>
      <c r="T34" s="142"/>
      <c r="U34" s="142"/>
      <c r="V34" s="142"/>
      <c r="W34" s="142"/>
      <c r="X34" s="142"/>
      <c r="Y34" s="142"/>
      <c r="Z34" s="142"/>
      <c r="AA34" s="142"/>
      <c r="AB34" s="142"/>
      <c r="AC34" s="142"/>
      <c r="AD34" s="142">
        <v>1.0503032194440201</v>
      </c>
      <c r="AE34" s="142">
        <v>3.94791602696603E-2</v>
      </c>
      <c r="AF34" s="142">
        <v>0.77010156683041497</v>
      </c>
      <c r="AG34" s="142"/>
      <c r="AH34" s="142"/>
      <c r="AI34" s="142"/>
      <c r="AJ34" s="142"/>
      <c r="AK34" s="142"/>
      <c r="AL34" s="142"/>
      <c r="AM34" s="142"/>
      <c r="AN34" s="142"/>
      <c r="AO34" s="142"/>
      <c r="AP34" s="142"/>
      <c r="AQ34" s="143"/>
    </row>
    <row r="35" spans="2:43" ht="12" customHeight="1" x14ac:dyDescent="0.25">
      <c r="B35" s="141" t="s">
        <v>33</v>
      </c>
      <c r="C35" s="142" t="s">
        <v>41</v>
      </c>
      <c r="D35" s="142" t="s">
        <v>25</v>
      </c>
      <c r="E35" s="142" t="s">
        <v>25</v>
      </c>
      <c r="F35" s="142" t="s">
        <v>61</v>
      </c>
      <c r="G35" s="142" t="s">
        <v>35</v>
      </c>
      <c r="H35" s="142" t="s">
        <v>91</v>
      </c>
      <c r="I35" s="142" t="s">
        <v>25</v>
      </c>
      <c r="J35" s="142">
        <v>0.45</v>
      </c>
      <c r="K35" s="142"/>
      <c r="L35" s="142"/>
      <c r="M35" s="142"/>
      <c r="N35" s="142"/>
      <c r="O35" s="142"/>
      <c r="P35" s="142"/>
      <c r="Q35" s="142"/>
      <c r="R35" s="142"/>
      <c r="S35" s="142"/>
      <c r="T35" s="142">
        <v>0.36200302087826303</v>
      </c>
      <c r="U35" s="142">
        <v>9.0920698801373795E-2</v>
      </c>
      <c r="V35" s="142"/>
      <c r="W35" s="142"/>
      <c r="X35" s="142"/>
      <c r="Y35" s="142"/>
      <c r="Z35" s="142"/>
      <c r="AA35" s="142"/>
      <c r="AB35" s="142"/>
      <c r="AC35" s="142"/>
      <c r="AD35" s="142"/>
      <c r="AE35" s="142"/>
      <c r="AF35" s="142"/>
      <c r="AG35" s="142"/>
      <c r="AH35" s="142"/>
      <c r="AI35" s="142"/>
      <c r="AJ35" s="142"/>
      <c r="AK35" s="142"/>
      <c r="AL35" s="142"/>
      <c r="AM35" s="142"/>
      <c r="AN35" s="142"/>
      <c r="AO35" s="142"/>
      <c r="AP35" s="142"/>
      <c r="AQ35" s="143"/>
    </row>
    <row r="36" spans="2:43" ht="12" customHeight="1" x14ac:dyDescent="0.25">
      <c r="B36" s="141" t="s">
        <v>33</v>
      </c>
      <c r="C36" s="142" t="s">
        <v>41</v>
      </c>
      <c r="D36" s="142" t="s">
        <v>25</v>
      </c>
      <c r="E36" s="142" t="s">
        <v>25</v>
      </c>
      <c r="F36" s="142" t="s">
        <v>61</v>
      </c>
      <c r="G36" s="142" t="s">
        <v>36</v>
      </c>
      <c r="H36" s="142" t="s">
        <v>88</v>
      </c>
      <c r="I36" s="142" t="s">
        <v>25</v>
      </c>
      <c r="J36" s="142">
        <v>1.86</v>
      </c>
      <c r="K36" s="142"/>
      <c r="L36" s="142"/>
      <c r="M36" s="142"/>
      <c r="N36" s="142"/>
      <c r="O36" s="142"/>
      <c r="P36" s="142"/>
      <c r="Q36" s="142"/>
      <c r="R36" s="142"/>
      <c r="S36" s="142"/>
      <c r="T36" s="142"/>
      <c r="U36" s="142"/>
      <c r="V36" s="142"/>
      <c r="W36" s="142"/>
      <c r="X36" s="142"/>
      <c r="Y36" s="142"/>
      <c r="Z36" s="142"/>
      <c r="AA36" s="142"/>
      <c r="AB36" s="142"/>
      <c r="AC36" s="142"/>
      <c r="AD36" s="142">
        <v>1.0503032194440201</v>
      </c>
      <c r="AE36" s="142">
        <v>3.94791602696603E-2</v>
      </c>
      <c r="AF36" s="142">
        <v>0.77010156683041497</v>
      </c>
      <c r="AG36" s="142"/>
      <c r="AH36" s="142"/>
      <c r="AI36" s="142"/>
      <c r="AJ36" s="142"/>
      <c r="AK36" s="142"/>
      <c r="AL36" s="142"/>
      <c r="AM36" s="142"/>
      <c r="AN36" s="142"/>
      <c r="AO36" s="142"/>
      <c r="AP36" s="142"/>
      <c r="AQ36" s="143"/>
    </row>
    <row r="37" spans="2:43" ht="12" customHeight="1" x14ac:dyDescent="0.25">
      <c r="B37" s="141" t="s">
        <v>33</v>
      </c>
      <c r="C37" s="142" t="s">
        <v>41</v>
      </c>
      <c r="D37" s="142" t="s">
        <v>25</v>
      </c>
      <c r="E37" s="142" t="s">
        <v>25</v>
      </c>
      <c r="F37" s="142" t="s">
        <v>61</v>
      </c>
      <c r="G37" s="142" t="s">
        <v>36</v>
      </c>
      <c r="H37" s="142" t="s">
        <v>91</v>
      </c>
      <c r="I37" s="142" t="s">
        <v>25</v>
      </c>
      <c r="J37" s="142">
        <v>0.3</v>
      </c>
      <c r="K37" s="142"/>
      <c r="L37" s="142"/>
      <c r="M37" s="142"/>
      <c r="N37" s="142"/>
      <c r="O37" s="142"/>
      <c r="P37" s="142"/>
      <c r="Q37" s="142"/>
      <c r="R37" s="142"/>
      <c r="S37" s="142"/>
      <c r="T37" s="142">
        <v>0.23661666307709101</v>
      </c>
      <c r="U37" s="142">
        <v>6.4673003853284894E-2</v>
      </c>
      <c r="V37" s="142"/>
      <c r="W37" s="142"/>
      <c r="X37" s="142"/>
      <c r="Y37" s="142"/>
      <c r="Z37" s="142"/>
      <c r="AA37" s="142"/>
      <c r="AB37" s="142"/>
      <c r="AC37" s="142"/>
      <c r="AD37" s="142"/>
      <c r="AE37" s="142"/>
      <c r="AF37" s="142"/>
      <c r="AG37" s="142"/>
      <c r="AH37" s="142"/>
      <c r="AI37" s="142"/>
      <c r="AJ37" s="142"/>
      <c r="AK37" s="142"/>
      <c r="AL37" s="142"/>
      <c r="AM37" s="142"/>
      <c r="AN37" s="142"/>
      <c r="AO37" s="142"/>
      <c r="AP37" s="142"/>
      <c r="AQ37" s="143"/>
    </row>
    <row r="38" spans="2:43" ht="12" customHeight="1" x14ac:dyDescent="0.25">
      <c r="B38" s="141" t="s">
        <v>33</v>
      </c>
      <c r="C38" s="142" t="s">
        <v>41</v>
      </c>
      <c r="D38" s="142" t="s">
        <v>25</v>
      </c>
      <c r="E38" s="142" t="s">
        <v>25</v>
      </c>
      <c r="F38" s="142" t="s">
        <v>25</v>
      </c>
      <c r="G38" s="142" t="s">
        <v>35</v>
      </c>
      <c r="H38" s="142" t="s">
        <v>88</v>
      </c>
      <c r="I38" s="142" t="s">
        <v>25</v>
      </c>
      <c r="J38" s="142">
        <v>6.99</v>
      </c>
      <c r="K38" s="142">
        <v>16.88</v>
      </c>
      <c r="L38" s="142"/>
      <c r="M38" s="142"/>
      <c r="N38" s="142"/>
      <c r="O38" s="142"/>
      <c r="P38" s="142"/>
      <c r="Q38" s="142">
        <v>6.1201872023517403</v>
      </c>
      <c r="R38" s="142">
        <v>-0.99215351767428905</v>
      </c>
      <c r="S38" s="142"/>
      <c r="T38" s="142"/>
      <c r="U38" s="142"/>
      <c r="V38" s="142"/>
      <c r="W38" s="142"/>
      <c r="X38" s="142"/>
      <c r="Y38" s="142"/>
      <c r="Z38" s="142"/>
      <c r="AA38" s="142"/>
      <c r="AB38" s="142"/>
      <c r="AC38" s="142"/>
      <c r="AD38" s="142">
        <v>1.0503032194440201</v>
      </c>
      <c r="AE38" s="142">
        <v>3.94791602696603E-2</v>
      </c>
      <c r="AF38" s="142">
        <v>0.77010156683041497</v>
      </c>
      <c r="AG38" s="142"/>
      <c r="AH38" s="142"/>
      <c r="AI38" s="142">
        <v>-12.929924264192699</v>
      </c>
      <c r="AJ38" s="142"/>
      <c r="AK38" s="142">
        <v>-5.8434908590778596</v>
      </c>
      <c r="AL38" s="142">
        <v>34.237696779518799</v>
      </c>
      <c r="AM38" s="142">
        <v>0.63524552433182901</v>
      </c>
      <c r="AN38" s="142">
        <v>0.25866598875024099</v>
      </c>
      <c r="AO38" s="142"/>
      <c r="AP38" s="142"/>
      <c r="AQ38" s="143">
        <v>0.52428443218601695</v>
      </c>
    </row>
    <row r="39" spans="2:43" ht="12" customHeight="1" x14ac:dyDescent="0.25">
      <c r="B39" s="141" t="s">
        <v>33</v>
      </c>
      <c r="C39" s="142" t="s">
        <v>41</v>
      </c>
      <c r="D39" s="142" t="s">
        <v>25</v>
      </c>
      <c r="E39" s="142" t="s">
        <v>25</v>
      </c>
      <c r="F39" s="142" t="s">
        <v>25</v>
      </c>
      <c r="G39" s="142" t="s">
        <v>35</v>
      </c>
      <c r="H39" s="142" t="s">
        <v>91</v>
      </c>
      <c r="I39" s="142" t="s">
        <v>25</v>
      </c>
      <c r="J39" s="142">
        <v>0.45</v>
      </c>
      <c r="K39" s="142"/>
      <c r="L39" s="142"/>
      <c r="M39" s="142"/>
      <c r="N39" s="142"/>
      <c r="O39" s="142"/>
      <c r="P39" s="142"/>
      <c r="Q39" s="142"/>
      <c r="R39" s="142"/>
      <c r="S39" s="142"/>
      <c r="T39" s="142">
        <v>0.36200302087826303</v>
      </c>
      <c r="U39" s="142">
        <v>9.0920698801373795E-2</v>
      </c>
      <c r="V39" s="142"/>
      <c r="W39" s="142"/>
      <c r="X39" s="142"/>
      <c r="Y39" s="142"/>
      <c r="Z39" s="142"/>
      <c r="AA39" s="142"/>
      <c r="AB39" s="142"/>
      <c r="AC39" s="142"/>
      <c r="AD39" s="142"/>
      <c r="AE39" s="142"/>
      <c r="AF39" s="142"/>
      <c r="AG39" s="142"/>
      <c r="AH39" s="142"/>
      <c r="AI39" s="142"/>
      <c r="AJ39" s="142"/>
      <c r="AK39" s="142"/>
      <c r="AL39" s="142"/>
      <c r="AM39" s="142"/>
      <c r="AN39" s="142"/>
      <c r="AO39" s="142"/>
      <c r="AP39" s="142"/>
      <c r="AQ39" s="143"/>
    </row>
    <row r="40" spans="2:43" ht="12" customHeight="1" x14ac:dyDescent="0.25">
      <c r="B40" s="141" t="s">
        <v>33</v>
      </c>
      <c r="C40" s="142" t="s">
        <v>41</v>
      </c>
      <c r="D40" s="142" t="s">
        <v>25</v>
      </c>
      <c r="E40" s="142" t="s">
        <v>25</v>
      </c>
      <c r="F40" s="142" t="s">
        <v>25</v>
      </c>
      <c r="G40" s="142" t="s">
        <v>36</v>
      </c>
      <c r="H40" s="142" t="s">
        <v>88</v>
      </c>
      <c r="I40" s="142" t="s">
        <v>25</v>
      </c>
      <c r="J40" s="142">
        <v>6.99</v>
      </c>
      <c r="K40" s="142">
        <v>2.5499999999999998</v>
      </c>
      <c r="L40" s="142"/>
      <c r="M40" s="142"/>
      <c r="N40" s="142"/>
      <c r="O40" s="142"/>
      <c r="P40" s="142"/>
      <c r="Q40" s="142">
        <v>6.1201872023517403</v>
      </c>
      <c r="R40" s="142">
        <v>-0.99215351767428905</v>
      </c>
      <c r="S40" s="142"/>
      <c r="T40" s="142"/>
      <c r="U40" s="142"/>
      <c r="V40" s="142"/>
      <c r="W40" s="142"/>
      <c r="X40" s="142"/>
      <c r="Y40" s="142"/>
      <c r="Z40" s="142"/>
      <c r="AA40" s="142"/>
      <c r="AB40" s="142"/>
      <c r="AC40" s="142"/>
      <c r="AD40" s="142">
        <v>1.0503032194440201</v>
      </c>
      <c r="AE40" s="142">
        <v>3.94791602696603E-2</v>
      </c>
      <c r="AF40" s="142">
        <v>0.77010156683041497</v>
      </c>
      <c r="AG40" s="142"/>
      <c r="AH40" s="142"/>
      <c r="AI40" s="142">
        <v>-12.929924264192699</v>
      </c>
      <c r="AJ40" s="142"/>
      <c r="AK40" s="142">
        <v>-5.8434908590778596</v>
      </c>
      <c r="AL40" s="142">
        <v>19.905637662511001</v>
      </c>
      <c r="AM40" s="142">
        <v>0.63524552433182901</v>
      </c>
      <c r="AN40" s="142">
        <v>0.25866598875024099</v>
      </c>
      <c r="AO40" s="142"/>
      <c r="AP40" s="142"/>
      <c r="AQ40" s="143">
        <v>0.52428443218601695</v>
      </c>
    </row>
    <row r="41" spans="2:43" ht="12" customHeight="1" x14ac:dyDescent="0.25">
      <c r="B41" s="141" t="s">
        <v>33</v>
      </c>
      <c r="C41" s="142" t="s">
        <v>41</v>
      </c>
      <c r="D41" s="142" t="s">
        <v>25</v>
      </c>
      <c r="E41" s="142" t="s">
        <v>25</v>
      </c>
      <c r="F41" s="142" t="s">
        <v>25</v>
      </c>
      <c r="G41" s="142" t="s">
        <v>36</v>
      </c>
      <c r="H41" s="142" t="s">
        <v>91</v>
      </c>
      <c r="I41" s="142" t="s">
        <v>25</v>
      </c>
      <c r="J41" s="142">
        <v>0.3</v>
      </c>
      <c r="K41" s="142"/>
      <c r="L41" s="142"/>
      <c r="M41" s="142"/>
      <c r="N41" s="142"/>
      <c r="O41" s="142"/>
      <c r="P41" s="142"/>
      <c r="Q41" s="142"/>
      <c r="R41" s="142"/>
      <c r="S41" s="142"/>
      <c r="T41" s="142">
        <v>0.23661666307709101</v>
      </c>
      <c r="U41" s="142">
        <v>6.4673003853284894E-2</v>
      </c>
      <c r="V41" s="142"/>
      <c r="W41" s="142"/>
      <c r="X41" s="142"/>
      <c r="Y41" s="142"/>
      <c r="Z41" s="142"/>
      <c r="AA41" s="142"/>
      <c r="AB41" s="142"/>
      <c r="AC41" s="142"/>
      <c r="AD41" s="142"/>
      <c r="AE41" s="142"/>
      <c r="AF41" s="142"/>
      <c r="AG41" s="142"/>
      <c r="AH41" s="142"/>
      <c r="AI41" s="142"/>
      <c r="AJ41" s="142"/>
      <c r="AK41" s="142"/>
      <c r="AL41" s="142"/>
      <c r="AM41" s="142"/>
      <c r="AN41" s="142"/>
      <c r="AO41" s="142"/>
      <c r="AP41" s="142"/>
      <c r="AQ41" s="143"/>
    </row>
    <row r="42" spans="2:43" ht="12" customHeight="1" x14ac:dyDescent="0.25">
      <c r="B42" s="141" t="s">
        <v>33</v>
      </c>
      <c r="C42" s="142" t="s">
        <v>23</v>
      </c>
      <c r="D42" s="142" t="s">
        <v>25</v>
      </c>
      <c r="E42" s="142" t="s">
        <v>25</v>
      </c>
      <c r="F42" s="142" t="s">
        <v>25</v>
      </c>
      <c r="G42" s="142" t="s">
        <v>25</v>
      </c>
      <c r="H42" s="142" t="s">
        <v>88</v>
      </c>
      <c r="I42" s="142" t="s">
        <v>25</v>
      </c>
      <c r="J42" s="142">
        <v>6.99</v>
      </c>
      <c r="K42" s="142">
        <v>3.74</v>
      </c>
      <c r="L42" s="142"/>
      <c r="M42" s="142"/>
      <c r="N42" s="142"/>
      <c r="O42" s="142"/>
      <c r="P42" s="142"/>
      <c r="Q42" s="142">
        <v>6.1201872023517403</v>
      </c>
      <c r="R42" s="142">
        <v>-0.99215351767428905</v>
      </c>
      <c r="S42" s="142"/>
      <c r="T42" s="142"/>
      <c r="U42" s="142"/>
      <c r="V42" s="142"/>
      <c r="W42" s="142"/>
      <c r="X42" s="142"/>
      <c r="Y42" s="142"/>
      <c r="Z42" s="142"/>
      <c r="AA42" s="142"/>
      <c r="AB42" s="142"/>
      <c r="AC42" s="142"/>
      <c r="AD42" s="142">
        <v>1.0503032194440201</v>
      </c>
      <c r="AE42" s="142">
        <v>3.94791602696603E-2</v>
      </c>
      <c r="AF42" s="142">
        <v>0.77010156683041497</v>
      </c>
      <c r="AG42" s="142"/>
      <c r="AH42" s="142"/>
      <c r="AI42" s="142">
        <v>-12.929924264192699</v>
      </c>
      <c r="AJ42" s="142"/>
      <c r="AK42" s="142">
        <v>-5.8434908590778596</v>
      </c>
      <c r="AL42" s="142">
        <v>21.099975922261599</v>
      </c>
      <c r="AM42" s="142">
        <v>0.63524552433182901</v>
      </c>
      <c r="AN42" s="142">
        <v>0.25866598875024099</v>
      </c>
      <c r="AO42" s="142"/>
      <c r="AP42" s="142"/>
      <c r="AQ42" s="143">
        <v>0.52428443218601695</v>
      </c>
    </row>
    <row r="43" spans="2:43" ht="12" customHeight="1" x14ac:dyDescent="0.25">
      <c r="B43" s="141" t="s">
        <v>33</v>
      </c>
      <c r="C43" s="142" t="s">
        <v>23</v>
      </c>
      <c r="D43" s="142" t="s">
        <v>25</v>
      </c>
      <c r="E43" s="142" t="s">
        <v>25</v>
      </c>
      <c r="F43" s="142" t="s">
        <v>25</v>
      </c>
      <c r="G43" s="142" t="s">
        <v>25</v>
      </c>
      <c r="H43" s="142" t="s">
        <v>91</v>
      </c>
      <c r="I43" s="142" t="s">
        <v>25</v>
      </c>
      <c r="J43" s="142">
        <v>0.63</v>
      </c>
      <c r="K43" s="142"/>
      <c r="L43" s="142"/>
      <c r="M43" s="142"/>
      <c r="N43" s="142"/>
      <c r="O43" s="142"/>
      <c r="P43" s="142"/>
      <c r="Q43" s="142"/>
      <c r="R43" s="142"/>
      <c r="S43" s="142"/>
      <c r="T43" s="142">
        <v>0.497275217013188</v>
      </c>
      <c r="U43" s="142">
        <v>0.13014824916658199</v>
      </c>
      <c r="V43" s="142"/>
      <c r="W43" s="142"/>
      <c r="X43" s="142"/>
      <c r="Y43" s="142"/>
      <c r="Z43" s="142"/>
      <c r="AA43" s="142"/>
      <c r="AB43" s="142"/>
      <c r="AC43" s="142"/>
      <c r="AD43" s="142"/>
      <c r="AE43" s="142"/>
      <c r="AF43" s="142"/>
      <c r="AG43" s="142"/>
      <c r="AH43" s="142"/>
      <c r="AI43" s="142"/>
      <c r="AJ43" s="142"/>
      <c r="AK43" s="142"/>
      <c r="AL43" s="142"/>
      <c r="AM43" s="142"/>
      <c r="AN43" s="142"/>
      <c r="AO43" s="142"/>
      <c r="AP43" s="142"/>
      <c r="AQ43" s="143"/>
    </row>
    <row r="44" spans="2:43" ht="12" customHeight="1" x14ac:dyDescent="0.25">
      <c r="B44" s="141" t="s">
        <v>33</v>
      </c>
      <c r="C44" s="142" t="s">
        <v>34</v>
      </c>
      <c r="D44" s="142" t="s">
        <v>25</v>
      </c>
      <c r="E44" s="142" t="s">
        <v>25</v>
      </c>
      <c r="F44" s="142" t="s">
        <v>61</v>
      </c>
      <c r="G44" s="142" t="s">
        <v>35</v>
      </c>
      <c r="H44" s="142" t="s">
        <v>88</v>
      </c>
      <c r="I44" s="142" t="s">
        <v>25</v>
      </c>
      <c r="J44" s="142">
        <v>12.75</v>
      </c>
      <c r="K44" s="142"/>
      <c r="L44" s="142"/>
      <c r="M44" s="142"/>
      <c r="N44" s="142"/>
      <c r="O44" s="142"/>
      <c r="P44" s="142"/>
      <c r="Q44" s="142"/>
      <c r="R44" s="142"/>
      <c r="S44" s="142"/>
      <c r="T44" s="142">
        <v>8.7062940314982296</v>
      </c>
      <c r="U44" s="142">
        <v>2.1866633764668899</v>
      </c>
      <c r="V44" s="142"/>
      <c r="W44" s="142"/>
      <c r="X44" s="142"/>
      <c r="Y44" s="142"/>
      <c r="Z44" s="142"/>
      <c r="AA44" s="142"/>
      <c r="AB44" s="142"/>
      <c r="AC44" s="142"/>
      <c r="AD44" s="142">
        <v>1.0503032194440201</v>
      </c>
      <c r="AE44" s="142">
        <v>3.94791602696603E-2</v>
      </c>
      <c r="AF44" s="142">
        <v>0.77010156683041497</v>
      </c>
      <c r="AG44" s="142"/>
      <c r="AH44" s="142"/>
      <c r="AI44" s="142"/>
      <c r="AJ44" s="142"/>
      <c r="AK44" s="142"/>
      <c r="AL44" s="142"/>
      <c r="AM44" s="142"/>
      <c r="AN44" s="142"/>
      <c r="AO44" s="142"/>
      <c r="AP44" s="142"/>
      <c r="AQ44" s="143"/>
    </row>
    <row r="45" spans="2:43" ht="12" customHeight="1" x14ac:dyDescent="0.25">
      <c r="B45" s="141" t="s">
        <v>33</v>
      </c>
      <c r="C45" s="142" t="s">
        <v>34</v>
      </c>
      <c r="D45" s="142" t="s">
        <v>25</v>
      </c>
      <c r="E45" s="142" t="s">
        <v>25</v>
      </c>
      <c r="F45" s="142" t="s">
        <v>61</v>
      </c>
      <c r="G45" s="142" t="s">
        <v>25</v>
      </c>
      <c r="H45" s="142" t="s">
        <v>91</v>
      </c>
      <c r="I45" s="142" t="s">
        <v>25</v>
      </c>
      <c r="J45" s="142">
        <v>0.3</v>
      </c>
      <c r="K45" s="142"/>
      <c r="L45" s="142"/>
      <c r="M45" s="142"/>
      <c r="N45" s="142"/>
      <c r="O45" s="142"/>
      <c r="P45" s="142"/>
      <c r="Q45" s="142"/>
      <c r="R45" s="142"/>
      <c r="S45" s="142"/>
      <c r="T45" s="142">
        <v>0.23661666307709101</v>
      </c>
      <c r="U45" s="142">
        <v>6.4673003853284894E-2</v>
      </c>
      <c r="V45" s="142"/>
      <c r="W45" s="142"/>
      <c r="X45" s="142"/>
      <c r="Y45" s="142"/>
      <c r="Z45" s="142"/>
      <c r="AA45" s="142"/>
      <c r="AB45" s="142"/>
      <c r="AC45" s="142"/>
      <c r="AD45" s="142"/>
      <c r="AE45" s="142"/>
      <c r="AF45" s="142"/>
      <c r="AG45" s="142"/>
      <c r="AH45" s="142"/>
      <c r="AI45" s="142"/>
      <c r="AJ45" s="142"/>
      <c r="AK45" s="142"/>
      <c r="AL45" s="142"/>
      <c r="AM45" s="142"/>
      <c r="AN45" s="142"/>
      <c r="AO45" s="142"/>
      <c r="AP45" s="142"/>
      <c r="AQ45" s="143"/>
    </row>
    <row r="46" spans="2:43" ht="12" customHeight="1" x14ac:dyDescent="0.25">
      <c r="B46" s="141" t="s">
        <v>33</v>
      </c>
      <c r="C46" s="142" t="s">
        <v>34</v>
      </c>
      <c r="D46" s="142" t="s">
        <v>25</v>
      </c>
      <c r="E46" s="142" t="s">
        <v>25</v>
      </c>
      <c r="F46" s="142" t="s">
        <v>61</v>
      </c>
      <c r="G46" s="142" t="s">
        <v>36</v>
      </c>
      <c r="H46" s="142" t="s">
        <v>88</v>
      </c>
      <c r="I46" s="142" t="s">
        <v>25</v>
      </c>
      <c r="J46" s="142">
        <v>1.86</v>
      </c>
      <c r="K46" s="142"/>
      <c r="L46" s="142"/>
      <c r="M46" s="142"/>
      <c r="N46" s="142"/>
      <c r="O46" s="142"/>
      <c r="P46" s="142"/>
      <c r="Q46" s="142"/>
      <c r="R46" s="142"/>
      <c r="S46" s="142"/>
      <c r="T46" s="142"/>
      <c r="U46" s="142"/>
      <c r="V46" s="142"/>
      <c r="W46" s="142"/>
      <c r="X46" s="142"/>
      <c r="Y46" s="142"/>
      <c r="Z46" s="142"/>
      <c r="AA46" s="142"/>
      <c r="AB46" s="142"/>
      <c r="AC46" s="142"/>
      <c r="AD46" s="142">
        <v>1.0503032194440201</v>
      </c>
      <c r="AE46" s="142">
        <v>3.94791602696603E-2</v>
      </c>
      <c r="AF46" s="142">
        <v>0.77010156683041497</v>
      </c>
      <c r="AG46" s="142"/>
      <c r="AH46" s="142"/>
      <c r="AI46" s="142"/>
      <c r="AJ46" s="142"/>
      <c r="AK46" s="142"/>
      <c r="AL46" s="142"/>
      <c r="AM46" s="142"/>
      <c r="AN46" s="142"/>
      <c r="AO46" s="142"/>
      <c r="AP46" s="142"/>
      <c r="AQ46" s="143"/>
    </row>
    <row r="47" spans="2:43" ht="12" customHeight="1" x14ac:dyDescent="0.25">
      <c r="B47" s="141" t="s">
        <v>33</v>
      </c>
      <c r="C47" s="142" t="s">
        <v>34</v>
      </c>
      <c r="D47" s="142" t="s">
        <v>25</v>
      </c>
      <c r="E47" s="142" t="s">
        <v>25</v>
      </c>
      <c r="F47" s="142" t="s">
        <v>25</v>
      </c>
      <c r="G47" s="142" t="s">
        <v>35</v>
      </c>
      <c r="H47" s="142" t="s">
        <v>88</v>
      </c>
      <c r="I47" s="142" t="s">
        <v>25</v>
      </c>
      <c r="J47" s="142">
        <v>17.88</v>
      </c>
      <c r="K47" s="142">
        <v>16.88</v>
      </c>
      <c r="L47" s="142"/>
      <c r="M47" s="142"/>
      <c r="N47" s="142"/>
      <c r="O47" s="142"/>
      <c r="P47" s="142"/>
      <c r="Q47" s="142">
        <v>6.1201872023517403</v>
      </c>
      <c r="R47" s="142">
        <v>-0.99215351767428905</v>
      </c>
      <c r="S47" s="142"/>
      <c r="T47" s="142">
        <v>8.7062940314982296</v>
      </c>
      <c r="U47" s="142">
        <v>2.1866633764668899</v>
      </c>
      <c r="V47" s="142"/>
      <c r="W47" s="142"/>
      <c r="X47" s="142"/>
      <c r="Y47" s="142"/>
      <c r="Z47" s="142"/>
      <c r="AA47" s="142"/>
      <c r="AB47" s="142"/>
      <c r="AC47" s="142"/>
      <c r="AD47" s="142">
        <v>1.0503032194440201</v>
      </c>
      <c r="AE47" s="142">
        <v>3.94791602696603E-2</v>
      </c>
      <c r="AF47" s="142">
        <v>0.77010156683041497</v>
      </c>
      <c r="AG47" s="142"/>
      <c r="AH47" s="142"/>
      <c r="AI47" s="142">
        <v>-12.929924264192699</v>
      </c>
      <c r="AJ47" s="142"/>
      <c r="AK47" s="142">
        <v>-5.8434908590778596</v>
      </c>
      <c r="AL47" s="142">
        <v>34.237696779518799</v>
      </c>
      <c r="AM47" s="142">
        <v>0.63524552433182901</v>
      </c>
      <c r="AN47" s="142">
        <v>0.25866598875024099</v>
      </c>
      <c r="AO47" s="142"/>
      <c r="AP47" s="142"/>
      <c r="AQ47" s="143">
        <v>0.52428443218601695</v>
      </c>
    </row>
    <row r="48" spans="2:43" ht="12" customHeight="1" x14ac:dyDescent="0.25">
      <c r="B48" s="141" t="s">
        <v>33</v>
      </c>
      <c r="C48" s="142" t="s">
        <v>34</v>
      </c>
      <c r="D48" s="142" t="s">
        <v>25</v>
      </c>
      <c r="E48" s="142" t="s">
        <v>25</v>
      </c>
      <c r="F48" s="142" t="s">
        <v>25</v>
      </c>
      <c r="G48" s="142" t="s">
        <v>25</v>
      </c>
      <c r="H48" s="142" t="s">
        <v>91</v>
      </c>
      <c r="I48" s="142" t="s">
        <v>25</v>
      </c>
      <c r="J48" s="142">
        <v>0.3</v>
      </c>
      <c r="K48" s="142"/>
      <c r="L48" s="142"/>
      <c r="M48" s="142"/>
      <c r="N48" s="142"/>
      <c r="O48" s="142"/>
      <c r="P48" s="142"/>
      <c r="Q48" s="142"/>
      <c r="R48" s="142"/>
      <c r="S48" s="142"/>
      <c r="T48" s="142">
        <v>0.23661666307709101</v>
      </c>
      <c r="U48" s="142">
        <v>6.4673003853284894E-2</v>
      </c>
      <c r="V48" s="142"/>
      <c r="W48" s="142"/>
      <c r="X48" s="142"/>
      <c r="Y48" s="142"/>
      <c r="Z48" s="142"/>
      <c r="AA48" s="142"/>
      <c r="AB48" s="142"/>
      <c r="AC48" s="142"/>
      <c r="AD48" s="142"/>
      <c r="AE48" s="142"/>
      <c r="AF48" s="142"/>
      <c r="AG48" s="142"/>
      <c r="AH48" s="142"/>
      <c r="AI48" s="142"/>
      <c r="AJ48" s="142"/>
      <c r="AK48" s="142"/>
      <c r="AL48" s="142"/>
      <c r="AM48" s="142"/>
      <c r="AN48" s="142"/>
      <c r="AO48" s="142"/>
      <c r="AP48" s="142"/>
      <c r="AQ48" s="143"/>
    </row>
    <row r="49" spans="2:43" ht="12" customHeight="1" x14ac:dyDescent="0.25">
      <c r="B49" s="141" t="s">
        <v>33</v>
      </c>
      <c r="C49" s="142" t="s">
        <v>34</v>
      </c>
      <c r="D49" s="142" t="s">
        <v>25</v>
      </c>
      <c r="E49" s="142" t="s">
        <v>25</v>
      </c>
      <c r="F49" s="142" t="s">
        <v>25</v>
      </c>
      <c r="G49" s="142" t="s">
        <v>36</v>
      </c>
      <c r="H49" s="142" t="s">
        <v>88</v>
      </c>
      <c r="I49" s="142" t="s">
        <v>25</v>
      </c>
      <c r="J49" s="142">
        <v>6.99</v>
      </c>
      <c r="K49" s="142">
        <v>2.5499999999999998</v>
      </c>
      <c r="L49" s="142"/>
      <c r="M49" s="142"/>
      <c r="N49" s="142"/>
      <c r="O49" s="142"/>
      <c r="P49" s="142"/>
      <c r="Q49" s="142">
        <v>6.1201872023517403</v>
      </c>
      <c r="R49" s="142">
        <v>-0.99215351767428905</v>
      </c>
      <c r="S49" s="142"/>
      <c r="T49" s="142"/>
      <c r="U49" s="142"/>
      <c r="V49" s="142"/>
      <c r="W49" s="142"/>
      <c r="X49" s="142"/>
      <c r="Y49" s="142"/>
      <c r="Z49" s="142"/>
      <c r="AA49" s="142"/>
      <c r="AB49" s="142"/>
      <c r="AC49" s="142"/>
      <c r="AD49" s="142">
        <v>1.0503032194440201</v>
      </c>
      <c r="AE49" s="142">
        <v>3.94791602696603E-2</v>
      </c>
      <c r="AF49" s="142">
        <v>0.77010156683041497</v>
      </c>
      <c r="AG49" s="142"/>
      <c r="AH49" s="142"/>
      <c r="AI49" s="142">
        <v>-12.929924264192699</v>
      </c>
      <c r="AJ49" s="142"/>
      <c r="AK49" s="142">
        <v>-5.8434908590778596</v>
      </c>
      <c r="AL49" s="142">
        <v>19.905637662511001</v>
      </c>
      <c r="AM49" s="142">
        <v>0.63524552433182901</v>
      </c>
      <c r="AN49" s="142">
        <v>0.25866598875024099</v>
      </c>
      <c r="AO49" s="142"/>
      <c r="AP49" s="142"/>
      <c r="AQ49" s="143">
        <v>0.52428443218601695</v>
      </c>
    </row>
    <row r="50" spans="2:43" ht="12" customHeight="1" x14ac:dyDescent="0.25">
      <c r="B50" s="141" t="s">
        <v>44</v>
      </c>
      <c r="C50" s="142" t="s">
        <v>41</v>
      </c>
      <c r="D50" s="142" t="s">
        <v>25</v>
      </c>
      <c r="E50" s="142" t="s">
        <v>25</v>
      </c>
      <c r="F50" s="142" t="s">
        <v>61</v>
      </c>
      <c r="G50" s="142" t="s">
        <v>35</v>
      </c>
      <c r="H50" s="142" t="s">
        <v>88</v>
      </c>
      <c r="I50" s="142" t="s">
        <v>25</v>
      </c>
      <c r="J50" s="142">
        <v>3.49</v>
      </c>
      <c r="K50" s="142"/>
      <c r="L50" s="142"/>
      <c r="M50" s="142"/>
      <c r="N50" s="142"/>
      <c r="O50" s="142"/>
      <c r="P50" s="142"/>
      <c r="Q50" s="142"/>
      <c r="R50" s="142"/>
      <c r="S50" s="142"/>
      <c r="T50" s="142"/>
      <c r="U50" s="142"/>
      <c r="V50" s="142"/>
      <c r="W50" s="142"/>
      <c r="X50" s="142"/>
      <c r="Y50" s="142"/>
      <c r="Z50" s="142"/>
      <c r="AA50" s="142"/>
      <c r="AB50" s="142"/>
      <c r="AC50" s="142"/>
      <c r="AD50" s="142">
        <v>2.2117959582820599</v>
      </c>
      <c r="AE50" s="142">
        <v>8.3137750607892996E-2</v>
      </c>
      <c r="AF50" s="142">
        <v>1.19350932563915</v>
      </c>
      <c r="AG50" s="142"/>
      <c r="AH50" s="142"/>
      <c r="AI50" s="142"/>
      <c r="AJ50" s="142"/>
      <c r="AK50" s="142"/>
      <c r="AL50" s="142"/>
      <c r="AM50" s="142"/>
      <c r="AN50" s="142"/>
      <c r="AO50" s="142"/>
      <c r="AP50" s="142"/>
      <c r="AQ50" s="143"/>
    </row>
    <row r="51" spans="2:43" ht="12" customHeight="1" x14ac:dyDescent="0.25">
      <c r="B51" s="141" t="s">
        <v>44</v>
      </c>
      <c r="C51" s="142" t="s">
        <v>41</v>
      </c>
      <c r="D51" s="142" t="s">
        <v>25</v>
      </c>
      <c r="E51" s="142" t="s">
        <v>25</v>
      </c>
      <c r="F51" s="142" t="s">
        <v>61</v>
      </c>
      <c r="G51" s="142" t="s">
        <v>35</v>
      </c>
      <c r="H51" s="142" t="s">
        <v>91</v>
      </c>
      <c r="I51" s="142" t="s">
        <v>25</v>
      </c>
      <c r="J51" s="142">
        <v>0.5</v>
      </c>
      <c r="K51" s="142"/>
      <c r="L51" s="142"/>
      <c r="M51" s="142"/>
      <c r="N51" s="142"/>
      <c r="O51" s="142"/>
      <c r="P51" s="142"/>
      <c r="Q51" s="142"/>
      <c r="R51" s="142"/>
      <c r="S51" s="142"/>
      <c r="T51" s="142">
        <v>0.40324276067291098</v>
      </c>
      <c r="U51" s="142">
        <v>0.101288126899992</v>
      </c>
      <c r="V51" s="142"/>
      <c r="W51" s="142"/>
      <c r="X51" s="142"/>
      <c r="Y51" s="142"/>
      <c r="Z51" s="142"/>
      <c r="AA51" s="142"/>
      <c r="AB51" s="142"/>
      <c r="AC51" s="142"/>
      <c r="AD51" s="142"/>
      <c r="AE51" s="142"/>
      <c r="AF51" s="142"/>
      <c r="AG51" s="142"/>
      <c r="AH51" s="142"/>
      <c r="AI51" s="142"/>
      <c r="AJ51" s="142"/>
      <c r="AK51" s="142"/>
      <c r="AL51" s="142"/>
      <c r="AM51" s="142"/>
      <c r="AN51" s="142"/>
      <c r="AO51" s="142"/>
      <c r="AP51" s="142"/>
      <c r="AQ51" s="143"/>
    </row>
    <row r="52" spans="2:43" ht="12" customHeight="1" x14ac:dyDescent="0.25">
      <c r="B52" s="141" t="s">
        <v>44</v>
      </c>
      <c r="C52" s="142" t="s">
        <v>41</v>
      </c>
      <c r="D52" s="142" t="s">
        <v>25</v>
      </c>
      <c r="E52" s="142" t="s">
        <v>25</v>
      </c>
      <c r="F52" s="142" t="s">
        <v>61</v>
      </c>
      <c r="G52" s="142" t="s">
        <v>36</v>
      </c>
      <c r="H52" s="142" t="s">
        <v>88</v>
      </c>
      <c r="I52" s="142" t="s">
        <v>25</v>
      </c>
      <c r="J52" s="142">
        <v>3.49</v>
      </c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>
        <v>2.2117959582820599</v>
      </c>
      <c r="AE52" s="142">
        <v>8.3137750607892996E-2</v>
      </c>
      <c r="AF52" s="142">
        <v>1.19350932563915</v>
      </c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3"/>
    </row>
    <row r="53" spans="2:43" ht="12" customHeight="1" x14ac:dyDescent="0.25">
      <c r="B53" s="141" t="s">
        <v>44</v>
      </c>
      <c r="C53" s="142" t="s">
        <v>41</v>
      </c>
      <c r="D53" s="142" t="s">
        <v>25</v>
      </c>
      <c r="E53" s="142" t="s">
        <v>25</v>
      </c>
      <c r="F53" s="142" t="s">
        <v>61</v>
      </c>
      <c r="G53" s="142" t="s">
        <v>36</v>
      </c>
      <c r="H53" s="142" t="s">
        <v>91</v>
      </c>
      <c r="I53" s="142" t="s">
        <v>25</v>
      </c>
      <c r="J53" s="142">
        <v>0.43</v>
      </c>
      <c r="K53" s="142"/>
      <c r="L53" s="142"/>
      <c r="M53" s="142"/>
      <c r="N53" s="142"/>
      <c r="O53" s="142"/>
      <c r="P53" s="142"/>
      <c r="Q53" s="142"/>
      <c r="R53" s="142"/>
      <c r="S53" s="142"/>
      <c r="T53" s="142">
        <v>0.34217284812594401</v>
      </c>
      <c r="U53" s="142">
        <v>8.8143709132101095E-2</v>
      </c>
      <c r="V53" s="142"/>
      <c r="W53" s="142"/>
      <c r="X53" s="142"/>
      <c r="Y53" s="142"/>
      <c r="Z53" s="142"/>
      <c r="AA53" s="142"/>
      <c r="AB53" s="142"/>
      <c r="AC53" s="142"/>
      <c r="AD53" s="142"/>
      <c r="AE53" s="142"/>
      <c r="AF53" s="142"/>
      <c r="AG53" s="142"/>
      <c r="AH53" s="142"/>
      <c r="AI53" s="142"/>
      <c r="AJ53" s="142"/>
      <c r="AK53" s="142"/>
      <c r="AL53" s="142"/>
      <c r="AM53" s="142"/>
      <c r="AN53" s="142"/>
      <c r="AO53" s="142"/>
      <c r="AP53" s="142"/>
      <c r="AQ53" s="143"/>
    </row>
    <row r="54" spans="2:43" ht="12" customHeight="1" x14ac:dyDescent="0.25">
      <c r="B54" s="141" t="s">
        <v>44</v>
      </c>
      <c r="C54" s="142" t="s">
        <v>41</v>
      </c>
      <c r="D54" s="142" t="s">
        <v>25</v>
      </c>
      <c r="E54" s="142" t="s">
        <v>25</v>
      </c>
      <c r="F54" s="142" t="s">
        <v>25</v>
      </c>
      <c r="G54" s="142" t="s">
        <v>35</v>
      </c>
      <c r="H54" s="142" t="s">
        <v>88</v>
      </c>
      <c r="I54" s="142" t="s">
        <v>25</v>
      </c>
      <c r="J54" s="142">
        <v>9.3699999999999992</v>
      </c>
      <c r="K54" s="142">
        <v>16.88</v>
      </c>
      <c r="L54" s="142"/>
      <c r="M54" s="142"/>
      <c r="N54" s="142"/>
      <c r="O54" s="142"/>
      <c r="P54" s="142"/>
      <c r="Q54" s="142">
        <v>6.8766148341030799</v>
      </c>
      <c r="R54" s="142">
        <v>-0.99215351767428905</v>
      </c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>
        <v>2.2117959582820599</v>
      </c>
      <c r="AE54" s="142">
        <v>8.3137750607892996E-2</v>
      </c>
      <c r="AF54" s="142">
        <v>1.19350932563915</v>
      </c>
      <c r="AG54" s="142"/>
      <c r="AH54" s="142"/>
      <c r="AI54" s="142">
        <v>-12.929924264192699</v>
      </c>
      <c r="AJ54" s="142"/>
      <c r="AK54" s="142">
        <v>-5.8434908590778596</v>
      </c>
      <c r="AL54" s="142">
        <v>34.237696779518799</v>
      </c>
      <c r="AM54" s="142">
        <v>0.63524552433182901</v>
      </c>
      <c r="AN54" s="142">
        <v>0.25866598875024099</v>
      </c>
      <c r="AO54" s="142"/>
      <c r="AP54" s="142"/>
      <c r="AQ54" s="143">
        <v>0.52428443218601695</v>
      </c>
    </row>
    <row r="55" spans="2:43" ht="12" customHeight="1" x14ac:dyDescent="0.25">
      <c r="B55" s="141" t="s">
        <v>44</v>
      </c>
      <c r="C55" s="142" t="s">
        <v>41</v>
      </c>
      <c r="D55" s="142" t="s">
        <v>25</v>
      </c>
      <c r="E55" s="142" t="s">
        <v>25</v>
      </c>
      <c r="F55" s="142" t="s">
        <v>25</v>
      </c>
      <c r="G55" s="142" t="s">
        <v>35</v>
      </c>
      <c r="H55" s="142" t="s">
        <v>91</v>
      </c>
      <c r="I55" s="142" t="s">
        <v>25</v>
      </c>
      <c r="J55" s="142">
        <v>0.5</v>
      </c>
      <c r="K55" s="142"/>
      <c r="L55" s="142"/>
      <c r="M55" s="142"/>
      <c r="N55" s="142"/>
      <c r="O55" s="142"/>
      <c r="P55" s="142"/>
      <c r="Q55" s="142"/>
      <c r="R55" s="142"/>
      <c r="S55" s="142"/>
      <c r="T55" s="142">
        <v>0.40324276067291098</v>
      </c>
      <c r="U55" s="142">
        <v>0.101288126899992</v>
      </c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42"/>
      <c r="AK55" s="142"/>
      <c r="AL55" s="142"/>
      <c r="AM55" s="142"/>
      <c r="AN55" s="142"/>
      <c r="AO55" s="142"/>
      <c r="AP55" s="142"/>
      <c r="AQ55" s="143"/>
    </row>
    <row r="56" spans="2:43" ht="12" customHeight="1" x14ac:dyDescent="0.25">
      <c r="B56" s="141" t="s">
        <v>44</v>
      </c>
      <c r="C56" s="142" t="s">
        <v>41</v>
      </c>
      <c r="D56" s="142" t="s">
        <v>25</v>
      </c>
      <c r="E56" s="142" t="s">
        <v>25</v>
      </c>
      <c r="F56" s="142" t="s">
        <v>25</v>
      </c>
      <c r="G56" s="142" t="s">
        <v>36</v>
      </c>
      <c r="H56" s="142" t="s">
        <v>88</v>
      </c>
      <c r="I56" s="142" t="s">
        <v>25</v>
      </c>
      <c r="J56" s="142">
        <v>9.3699999999999992</v>
      </c>
      <c r="K56" s="142">
        <v>2.5499999999999998</v>
      </c>
      <c r="L56" s="142"/>
      <c r="M56" s="142"/>
      <c r="N56" s="142"/>
      <c r="O56" s="142"/>
      <c r="P56" s="142"/>
      <c r="Q56" s="142">
        <v>6.8766148341030799</v>
      </c>
      <c r="R56" s="142">
        <v>-0.99215351767428905</v>
      </c>
      <c r="S56" s="142"/>
      <c r="T56" s="142"/>
      <c r="U56" s="142"/>
      <c r="V56" s="142"/>
      <c r="W56" s="142"/>
      <c r="X56" s="142"/>
      <c r="Y56" s="142"/>
      <c r="Z56" s="142"/>
      <c r="AA56" s="142"/>
      <c r="AB56" s="142"/>
      <c r="AC56" s="142"/>
      <c r="AD56" s="142">
        <v>2.2117959582820599</v>
      </c>
      <c r="AE56" s="142">
        <v>8.3137750607892996E-2</v>
      </c>
      <c r="AF56" s="142">
        <v>1.19350932563915</v>
      </c>
      <c r="AG56" s="142"/>
      <c r="AH56" s="142"/>
      <c r="AI56" s="142">
        <v>-12.929924264192699</v>
      </c>
      <c r="AJ56" s="142"/>
      <c r="AK56" s="142">
        <v>-5.8434908590778596</v>
      </c>
      <c r="AL56" s="142">
        <v>19.905637662511001</v>
      </c>
      <c r="AM56" s="142">
        <v>0.63524552433182901</v>
      </c>
      <c r="AN56" s="142">
        <v>0.25866598875024099</v>
      </c>
      <c r="AO56" s="142"/>
      <c r="AP56" s="142"/>
      <c r="AQ56" s="143">
        <v>0.52428443218601695</v>
      </c>
    </row>
    <row r="57" spans="2:43" ht="12" customHeight="1" x14ac:dyDescent="0.25">
      <c r="B57" s="141" t="s">
        <v>44</v>
      </c>
      <c r="C57" s="142" t="s">
        <v>41</v>
      </c>
      <c r="D57" s="142" t="s">
        <v>25</v>
      </c>
      <c r="E57" s="142" t="s">
        <v>25</v>
      </c>
      <c r="F57" s="142" t="s">
        <v>25</v>
      </c>
      <c r="G57" s="142" t="s">
        <v>36</v>
      </c>
      <c r="H57" s="142" t="s">
        <v>91</v>
      </c>
      <c r="I57" s="142" t="s">
        <v>25</v>
      </c>
      <c r="J57" s="142">
        <v>0.43</v>
      </c>
      <c r="K57" s="142"/>
      <c r="L57" s="142"/>
      <c r="M57" s="142"/>
      <c r="N57" s="142"/>
      <c r="O57" s="142"/>
      <c r="P57" s="142"/>
      <c r="Q57" s="142"/>
      <c r="R57" s="142"/>
      <c r="S57" s="142"/>
      <c r="T57" s="142">
        <v>0.34217284812594401</v>
      </c>
      <c r="U57" s="142">
        <v>8.8143709132101095E-2</v>
      </c>
      <c r="V57" s="142"/>
      <c r="W57" s="142"/>
      <c r="X57" s="142"/>
      <c r="Y57" s="142"/>
      <c r="Z57" s="142"/>
      <c r="AA57" s="142"/>
      <c r="AB57" s="142"/>
      <c r="AC57" s="142"/>
      <c r="AD57" s="142"/>
      <c r="AE57" s="142"/>
      <c r="AF57" s="142"/>
      <c r="AG57" s="142"/>
      <c r="AH57" s="142"/>
      <c r="AI57" s="142"/>
      <c r="AJ57" s="142"/>
      <c r="AK57" s="142"/>
      <c r="AL57" s="142"/>
      <c r="AM57" s="142"/>
      <c r="AN57" s="142"/>
      <c r="AO57" s="142"/>
      <c r="AP57" s="142"/>
      <c r="AQ57" s="143"/>
    </row>
    <row r="58" spans="2:43" ht="12" customHeight="1" x14ac:dyDescent="0.25">
      <c r="B58" s="141" t="s">
        <v>44</v>
      </c>
      <c r="C58" s="142" t="s">
        <v>23</v>
      </c>
      <c r="D58" s="142" t="s">
        <v>25</v>
      </c>
      <c r="E58" s="142" t="s">
        <v>25</v>
      </c>
      <c r="F58" s="142" t="s">
        <v>25</v>
      </c>
      <c r="G58" s="142" t="s">
        <v>25</v>
      </c>
      <c r="H58" s="142" t="s">
        <v>88</v>
      </c>
      <c r="I58" s="142" t="s">
        <v>25</v>
      </c>
      <c r="J58" s="142">
        <v>9.3699999999999992</v>
      </c>
      <c r="K58" s="142">
        <v>3.74</v>
      </c>
      <c r="L58" s="142"/>
      <c r="M58" s="142"/>
      <c r="N58" s="142"/>
      <c r="O58" s="142"/>
      <c r="P58" s="142"/>
      <c r="Q58" s="142">
        <v>6.8766148341030799</v>
      </c>
      <c r="R58" s="142">
        <v>-0.99215351767428905</v>
      </c>
      <c r="S58" s="142"/>
      <c r="T58" s="142"/>
      <c r="U58" s="142"/>
      <c r="V58" s="142"/>
      <c r="W58" s="142"/>
      <c r="X58" s="142"/>
      <c r="Y58" s="142"/>
      <c r="Z58" s="142"/>
      <c r="AA58" s="142"/>
      <c r="AB58" s="142"/>
      <c r="AC58" s="142"/>
      <c r="AD58" s="142">
        <v>2.2117959582820599</v>
      </c>
      <c r="AE58" s="142">
        <v>8.3137750607892996E-2</v>
      </c>
      <c r="AF58" s="142">
        <v>1.19350932563915</v>
      </c>
      <c r="AG58" s="142"/>
      <c r="AH58" s="142"/>
      <c r="AI58" s="142">
        <v>-12.929924264192699</v>
      </c>
      <c r="AJ58" s="142"/>
      <c r="AK58" s="142">
        <v>-5.8434908590778596</v>
      </c>
      <c r="AL58" s="142">
        <v>21.099975922261599</v>
      </c>
      <c r="AM58" s="142">
        <v>0.63524552433182901</v>
      </c>
      <c r="AN58" s="142">
        <v>0.25866598875024099</v>
      </c>
      <c r="AO58" s="142"/>
      <c r="AP58" s="142"/>
      <c r="AQ58" s="143">
        <v>0.52428443218601695</v>
      </c>
    </row>
    <row r="59" spans="2:43" ht="12" customHeight="1" x14ac:dyDescent="0.25">
      <c r="B59" s="141" t="s">
        <v>44</v>
      </c>
      <c r="C59" s="142" t="s">
        <v>23</v>
      </c>
      <c r="D59" s="142" t="s">
        <v>25</v>
      </c>
      <c r="E59" s="142" t="s">
        <v>25</v>
      </c>
      <c r="F59" s="142" t="s">
        <v>25</v>
      </c>
      <c r="G59" s="142" t="s">
        <v>25</v>
      </c>
      <c r="H59" s="142" t="s">
        <v>91</v>
      </c>
      <c r="I59" s="142" t="s">
        <v>25</v>
      </c>
      <c r="J59" s="142">
        <v>0.79</v>
      </c>
      <c r="K59" s="142"/>
      <c r="L59" s="142"/>
      <c r="M59" s="142"/>
      <c r="N59" s="142"/>
      <c r="O59" s="142"/>
      <c r="P59" s="142"/>
      <c r="Q59" s="142"/>
      <c r="R59" s="142"/>
      <c r="S59" s="142"/>
      <c r="T59" s="142">
        <v>0.63248891706329802</v>
      </c>
      <c r="U59" s="142">
        <v>0.16108597111166501</v>
      </c>
      <c r="V59" s="142"/>
      <c r="W59" s="142"/>
      <c r="X59" s="142"/>
      <c r="Y59" s="142"/>
      <c r="Z59" s="142"/>
      <c r="AA59" s="142"/>
      <c r="AB59" s="142"/>
      <c r="AC59" s="142"/>
      <c r="AD59" s="142"/>
      <c r="AE59" s="142"/>
      <c r="AF59" s="142"/>
      <c r="AG59" s="142"/>
      <c r="AH59" s="142"/>
      <c r="AI59" s="142"/>
      <c r="AJ59" s="142"/>
      <c r="AK59" s="142"/>
      <c r="AL59" s="142"/>
      <c r="AM59" s="142"/>
      <c r="AN59" s="142"/>
      <c r="AO59" s="142"/>
      <c r="AP59" s="142"/>
      <c r="AQ59" s="143"/>
    </row>
    <row r="60" spans="2:43" ht="12" customHeight="1" x14ac:dyDescent="0.25">
      <c r="B60" s="141" t="s">
        <v>44</v>
      </c>
      <c r="C60" s="142" t="s">
        <v>34</v>
      </c>
      <c r="D60" s="142" t="s">
        <v>25</v>
      </c>
      <c r="E60" s="142" t="s">
        <v>25</v>
      </c>
      <c r="F60" s="142" t="s">
        <v>61</v>
      </c>
      <c r="G60" s="142" t="s">
        <v>35</v>
      </c>
      <c r="H60" s="142" t="s">
        <v>88</v>
      </c>
      <c r="I60" s="142" t="s">
        <v>25</v>
      </c>
      <c r="J60" s="142">
        <v>15.62</v>
      </c>
      <c r="K60" s="142"/>
      <c r="L60" s="142"/>
      <c r="M60" s="142"/>
      <c r="N60" s="142"/>
      <c r="O60" s="142"/>
      <c r="P60" s="142"/>
      <c r="Q60" s="142"/>
      <c r="R60" s="142"/>
      <c r="S60" s="142"/>
      <c r="T60" s="142">
        <v>9.6976564289021798</v>
      </c>
      <c r="U60" s="142">
        <v>2.4361193299429602</v>
      </c>
      <c r="V60" s="142"/>
      <c r="W60" s="142"/>
      <c r="X60" s="142"/>
      <c r="Y60" s="142"/>
      <c r="Z60" s="142"/>
      <c r="AA60" s="142"/>
      <c r="AB60" s="142"/>
      <c r="AC60" s="142"/>
      <c r="AD60" s="142">
        <v>2.2117959582820599</v>
      </c>
      <c r="AE60" s="142">
        <v>8.3137750607892996E-2</v>
      </c>
      <c r="AF60" s="142">
        <v>1.19350932563915</v>
      </c>
      <c r="AG60" s="142"/>
      <c r="AH60" s="142"/>
      <c r="AI60" s="142"/>
      <c r="AJ60" s="142"/>
      <c r="AK60" s="142"/>
      <c r="AL60" s="142"/>
      <c r="AM60" s="142"/>
      <c r="AN60" s="142"/>
      <c r="AO60" s="142"/>
      <c r="AP60" s="142"/>
      <c r="AQ60" s="143"/>
    </row>
    <row r="61" spans="2:43" ht="12" customHeight="1" x14ac:dyDescent="0.25">
      <c r="B61" s="141" t="s">
        <v>44</v>
      </c>
      <c r="C61" s="142" t="s">
        <v>34</v>
      </c>
      <c r="D61" s="142" t="s">
        <v>25</v>
      </c>
      <c r="E61" s="142" t="s">
        <v>25</v>
      </c>
      <c r="F61" s="142" t="s">
        <v>61</v>
      </c>
      <c r="G61" s="142" t="s">
        <v>25</v>
      </c>
      <c r="H61" s="142" t="s">
        <v>91</v>
      </c>
      <c r="I61" s="142" t="s">
        <v>25</v>
      </c>
      <c r="J61" s="142">
        <v>0.43</v>
      </c>
      <c r="K61" s="142"/>
      <c r="L61" s="142"/>
      <c r="M61" s="142"/>
      <c r="N61" s="142"/>
      <c r="O61" s="142"/>
      <c r="P61" s="142"/>
      <c r="Q61" s="142"/>
      <c r="R61" s="142"/>
      <c r="S61" s="142"/>
      <c r="T61" s="142">
        <v>0.34217284812594401</v>
      </c>
      <c r="U61" s="142">
        <v>8.8143709132101095E-2</v>
      </c>
      <c r="V61" s="142"/>
      <c r="W61" s="142"/>
      <c r="X61" s="142"/>
      <c r="Y61" s="142"/>
      <c r="Z61" s="142"/>
      <c r="AA61" s="142"/>
      <c r="AB61" s="142"/>
      <c r="AC61" s="142"/>
      <c r="AD61" s="142"/>
      <c r="AE61" s="142"/>
      <c r="AF61" s="142"/>
      <c r="AG61" s="142"/>
      <c r="AH61" s="142"/>
      <c r="AI61" s="142"/>
      <c r="AJ61" s="142"/>
      <c r="AK61" s="142"/>
      <c r="AL61" s="142"/>
      <c r="AM61" s="142"/>
      <c r="AN61" s="142"/>
      <c r="AO61" s="142"/>
      <c r="AP61" s="142"/>
      <c r="AQ61" s="143"/>
    </row>
    <row r="62" spans="2:43" ht="12" customHeight="1" x14ac:dyDescent="0.25">
      <c r="B62" s="141" t="s">
        <v>44</v>
      </c>
      <c r="C62" s="142" t="s">
        <v>34</v>
      </c>
      <c r="D62" s="142" t="s">
        <v>25</v>
      </c>
      <c r="E62" s="142" t="s">
        <v>25</v>
      </c>
      <c r="F62" s="142" t="s">
        <v>61</v>
      </c>
      <c r="G62" s="142" t="s">
        <v>36</v>
      </c>
      <c r="H62" s="142" t="s">
        <v>88</v>
      </c>
      <c r="I62" s="142" t="s">
        <v>25</v>
      </c>
      <c r="J62" s="142">
        <v>3.49</v>
      </c>
      <c r="K62" s="142"/>
      <c r="L62" s="142"/>
      <c r="M62" s="142"/>
      <c r="N62" s="142"/>
      <c r="O62" s="142"/>
      <c r="P62" s="142"/>
      <c r="Q62" s="142"/>
      <c r="R62" s="142"/>
      <c r="S62" s="142"/>
      <c r="T62" s="142"/>
      <c r="U62" s="142"/>
      <c r="V62" s="142"/>
      <c r="W62" s="142"/>
      <c r="X62" s="142"/>
      <c r="Y62" s="142"/>
      <c r="Z62" s="142"/>
      <c r="AA62" s="142"/>
      <c r="AB62" s="142"/>
      <c r="AC62" s="142"/>
      <c r="AD62" s="142">
        <v>2.2117959582820599</v>
      </c>
      <c r="AE62" s="142">
        <v>8.3137750607892996E-2</v>
      </c>
      <c r="AF62" s="142">
        <v>1.19350932563915</v>
      </c>
      <c r="AG62" s="142"/>
      <c r="AH62" s="142"/>
      <c r="AI62" s="142"/>
      <c r="AJ62" s="142"/>
      <c r="AK62" s="142"/>
      <c r="AL62" s="142"/>
      <c r="AM62" s="142"/>
      <c r="AN62" s="142"/>
      <c r="AO62" s="142"/>
      <c r="AP62" s="142"/>
      <c r="AQ62" s="143"/>
    </row>
    <row r="63" spans="2:43" ht="12" customHeight="1" x14ac:dyDescent="0.25">
      <c r="B63" s="141" t="s">
        <v>44</v>
      </c>
      <c r="C63" s="142" t="s">
        <v>34</v>
      </c>
      <c r="D63" s="142" t="s">
        <v>25</v>
      </c>
      <c r="E63" s="142" t="s">
        <v>25</v>
      </c>
      <c r="F63" s="142" t="s">
        <v>25</v>
      </c>
      <c r="G63" s="142" t="s">
        <v>35</v>
      </c>
      <c r="H63" s="142" t="s">
        <v>88</v>
      </c>
      <c r="I63" s="142" t="s">
        <v>25</v>
      </c>
      <c r="J63" s="142">
        <v>21.51</v>
      </c>
      <c r="K63" s="142">
        <v>16.88</v>
      </c>
      <c r="L63" s="142"/>
      <c r="M63" s="142"/>
      <c r="N63" s="142"/>
      <c r="O63" s="142"/>
      <c r="P63" s="142"/>
      <c r="Q63" s="142">
        <v>6.8766148341030799</v>
      </c>
      <c r="R63" s="142">
        <v>-0.99215351767428905</v>
      </c>
      <c r="S63" s="142"/>
      <c r="T63" s="142">
        <v>9.6976564289021798</v>
      </c>
      <c r="U63" s="142">
        <v>2.4361193299429602</v>
      </c>
      <c r="V63" s="142"/>
      <c r="W63" s="142"/>
      <c r="X63" s="142"/>
      <c r="Y63" s="142"/>
      <c r="Z63" s="142"/>
      <c r="AA63" s="142"/>
      <c r="AB63" s="142"/>
      <c r="AC63" s="142"/>
      <c r="AD63" s="142">
        <v>2.2117959582820599</v>
      </c>
      <c r="AE63" s="142">
        <v>8.3137750607892996E-2</v>
      </c>
      <c r="AF63" s="142">
        <v>1.19350932563915</v>
      </c>
      <c r="AG63" s="142"/>
      <c r="AH63" s="142"/>
      <c r="AI63" s="142">
        <v>-12.929924264192699</v>
      </c>
      <c r="AJ63" s="142"/>
      <c r="AK63" s="142">
        <v>-5.8434908590778596</v>
      </c>
      <c r="AL63" s="142">
        <v>34.237696779518799</v>
      </c>
      <c r="AM63" s="142">
        <v>0.63524552433182901</v>
      </c>
      <c r="AN63" s="142">
        <v>0.25866598875024099</v>
      </c>
      <c r="AO63" s="142"/>
      <c r="AP63" s="142"/>
      <c r="AQ63" s="143">
        <v>0.52428443218601695</v>
      </c>
    </row>
    <row r="64" spans="2:43" ht="12" customHeight="1" x14ac:dyDescent="0.25">
      <c r="B64" s="141" t="s">
        <v>44</v>
      </c>
      <c r="C64" s="142" t="s">
        <v>34</v>
      </c>
      <c r="D64" s="142" t="s">
        <v>25</v>
      </c>
      <c r="E64" s="142" t="s">
        <v>25</v>
      </c>
      <c r="F64" s="142" t="s">
        <v>25</v>
      </c>
      <c r="G64" s="142" t="s">
        <v>25</v>
      </c>
      <c r="H64" s="142" t="s">
        <v>91</v>
      </c>
      <c r="I64" s="142" t="s">
        <v>25</v>
      </c>
      <c r="J64" s="142">
        <v>0.43</v>
      </c>
      <c r="K64" s="142"/>
      <c r="L64" s="142"/>
      <c r="M64" s="142"/>
      <c r="N64" s="142"/>
      <c r="O64" s="142"/>
      <c r="P64" s="142"/>
      <c r="Q64" s="142"/>
      <c r="R64" s="142"/>
      <c r="S64" s="142"/>
      <c r="T64" s="142">
        <v>0.34217284812594401</v>
      </c>
      <c r="U64" s="142">
        <v>8.8143709132101095E-2</v>
      </c>
      <c r="V64" s="142"/>
      <c r="W64" s="142"/>
      <c r="X64" s="142"/>
      <c r="Y64" s="142"/>
      <c r="Z64" s="142"/>
      <c r="AA64" s="142"/>
      <c r="AB64" s="142"/>
      <c r="AC64" s="142"/>
      <c r="AD64" s="142"/>
      <c r="AE64" s="142"/>
      <c r="AF64" s="142"/>
      <c r="AG64" s="142"/>
      <c r="AH64" s="142"/>
      <c r="AI64" s="142"/>
      <c r="AJ64" s="142"/>
      <c r="AK64" s="142"/>
      <c r="AL64" s="142"/>
      <c r="AM64" s="142"/>
      <c r="AN64" s="142"/>
      <c r="AO64" s="142"/>
      <c r="AP64" s="142"/>
      <c r="AQ64" s="143"/>
    </row>
    <row r="65" spans="2:43" ht="12" customHeight="1" x14ac:dyDescent="0.25">
      <c r="B65" s="141" t="s">
        <v>44</v>
      </c>
      <c r="C65" s="142" t="s">
        <v>34</v>
      </c>
      <c r="D65" s="142" t="s">
        <v>25</v>
      </c>
      <c r="E65" s="142" t="s">
        <v>25</v>
      </c>
      <c r="F65" s="142" t="s">
        <v>25</v>
      </c>
      <c r="G65" s="142" t="s">
        <v>36</v>
      </c>
      <c r="H65" s="142" t="s">
        <v>88</v>
      </c>
      <c r="I65" s="142" t="s">
        <v>25</v>
      </c>
      <c r="J65" s="142">
        <v>9.3699999999999992</v>
      </c>
      <c r="K65" s="142">
        <v>2.5499999999999998</v>
      </c>
      <c r="L65" s="142"/>
      <c r="M65" s="142"/>
      <c r="N65" s="142"/>
      <c r="O65" s="142"/>
      <c r="P65" s="142"/>
      <c r="Q65" s="142">
        <v>6.8766148341030799</v>
      </c>
      <c r="R65" s="142">
        <v>-0.99215351767428905</v>
      </c>
      <c r="S65" s="142"/>
      <c r="T65" s="142"/>
      <c r="U65" s="142"/>
      <c r="V65" s="142"/>
      <c r="W65" s="142"/>
      <c r="X65" s="142"/>
      <c r="Y65" s="142"/>
      <c r="Z65" s="142"/>
      <c r="AA65" s="142"/>
      <c r="AB65" s="142"/>
      <c r="AC65" s="142"/>
      <c r="AD65" s="142">
        <v>2.2117959582820599</v>
      </c>
      <c r="AE65" s="142">
        <v>8.3137750607892996E-2</v>
      </c>
      <c r="AF65" s="142">
        <v>1.19350932563915</v>
      </c>
      <c r="AG65" s="142"/>
      <c r="AH65" s="142"/>
      <c r="AI65" s="142">
        <v>-12.929924264192699</v>
      </c>
      <c r="AJ65" s="142"/>
      <c r="AK65" s="142">
        <v>-5.8434908590778596</v>
      </c>
      <c r="AL65" s="142">
        <v>19.905637662511001</v>
      </c>
      <c r="AM65" s="142">
        <v>0.63524552433182901</v>
      </c>
      <c r="AN65" s="142">
        <v>0.25866598875024099</v>
      </c>
      <c r="AO65" s="142"/>
      <c r="AP65" s="142"/>
      <c r="AQ65" s="143">
        <v>0.52428443218601695</v>
      </c>
    </row>
    <row r="66" spans="2:43" ht="12" customHeight="1" x14ac:dyDescent="0.25">
      <c r="B66" s="141" t="s">
        <v>22</v>
      </c>
      <c r="C66" s="142" t="s">
        <v>37</v>
      </c>
      <c r="D66" s="142" t="s">
        <v>24</v>
      </c>
      <c r="E66" s="142" t="s">
        <v>24</v>
      </c>
      <c r="F66" s="142" t="s">
        <v>25</v>
      </c>
      <c r="G66" s="142" t="s">
        <v>35</v>
      </c>
      <c r="H66" s="142" t="s">
        <v>88</v>
      </c>
      <c r="I66" s="142" t="s">
        <v>25</v>
      </c>
      <c r="J66" s="142">
        <v>15.78</v>
      </c>
      <c r="K66" s="142">
        <v>16.88</v>
      </c>
      <c r="L66" s="142"/>
      <c r="M66" s="142"/>
      <c r="N66" s="142"/>
      <c r="O66" s="142"/>
      <c r="P66" s="142"/>
      <c r="Q66" s="142">
        <v>6.8766148341030799</v>
      </c>
      <c r="R66" s="142">
        <v>-0.99215351767428905</v>
      </c>
      <c r="S66" s="142"/>
      <c r="T66" s="142">
        <v>5.2295792305125897</v>
      </c>
      <c r="U66" s="142">
        <v>1.32931409924009</v>
      </c>
      <c r="V66" s="142"/>
      <c r="W66" s="142"/>
      <c r="X66" s="142"/>
      <c r="Y66" s="142"/>
      <c r="Z66" s="142"/>
      <c r="AA66" s="142"/>
      <c r="AB66" s="142"/>
      <c r="AC66" s="142"/>
      <c r="AD66" s="142">
        <v>2.2117959582820599</v>
      </c>
      <c r="AE66" s="142">
        <v>8.3137750607892996E-2</v>
      </c>
      <c r="AF66" s="142">
        <v>1.04181567051704</v>
      </c>
      <c r="AG66" s="142"/>
      <c r="AH66" s="142"/>
      <c r="AI66" s="142">
        <v>-12.929924264192699</v>
      </c>
      <c r="AJ66" s="142"/>
      <c r="AK66" s="142">
        <v>-5.8434908590778596</v>
      </c>
      <c r="AL66" s="142">
        <v>34.237696779518799</v>
      </c>
      <c r="AM66" s="142">
        <v>0.63524552433182901</v>
      </c>
      <c r="AN66" s="142">
        <v>0.25866598875024099</v>
      </c>
      <c r="AO66" s="142"/>
      <c r="AP66" s="142"/>
      <c r="AQ66" s="143">
        <v>0.52428443218601695</v>
      </c>
    </row>
    <row r="67" spans="2:43" ht="12" customHeight="1" x14ac:dyDescent="0.25">
      <c r="B67" s="141" t="s">
        <v>22</v>
      </c>
      <c r="C67" s="142" t="s">
        <v>37</v>
      </c>
      <c r="D67" s="142" t="s">
        <v>24</v>
      </c>
      <c r="E67" s="142" t="s">
        <v>24</v>
      </c>
      <c r="F67" s="142" t="s">
        <v>25</v>
      </c>
      <c r="G67" s="142" t="s">
        <v>38</v>
      </c>
      <c r="H67" s="142" t="s">
        <v>88</v>
      </c>
      <c r="I67" s="142" t="s">
        <v>25</v>
      </c>
      <c r="J67" s="142">
        <v>13.16</v>
      </c>
      <c r="K67" s="142">
        <v>2.5499999999999998</v>
      </c>
      <c r="L67" s="142"/>
      <c r="M67" s="142"/>
      <c r="N67" s="142"/>
      <c r="O67" s="142"/>
      <c r="P67" s="142"/>
      <c r="Q67" s="142">
        <v>6.8766148341030799</v>
      </c>
      <c r="R67" s="142">
        <v>-0.99215351767428905</v>
      </c>
      <c r="S67" s="142"/>
      <c r="T67" s="142">
        <v>3.1377299894821098</v>
      </c>
      <c r="U67" s="142">
        <v>0.79759257360282099</v>
      </c>
      <c r="V67" s="142"/>
      <c r="W67" s="142"/>
      <c r="X67" s="142"/>
      <c r="Y67" s="142"/>
      <c r="Z67" s="142"/>
      <c r="AA67" s="142"/>
      <c r="AB67" s="142"/>
      <c r="AC67" s="142"/>
      <c r="AD67" s="142">
        <v>2.2117959582820599</v>
      </c>
      <c r="AE67" s="142">
        <v>8.3137750607892996E-2</v>
      </c>
      <c r="AF67" s="142">
        <v>1.04181567051704</v>
      </c>
      <c r="AG67" s="142"/>
      <c r="AH67" s="142"/>
      <c r="AI67" s="142">
        <v>-12.929924264192699</v>
      </c>
      <c r="AJ67" s="142"/>
      <c r="AK67" s="142">
        <v>-5.8434908590778596</v>
      </c>
      <c r="AL67" s="142">
        <v>19.905637662511001</v>
      </c>
      <c r="AM67" s="142">
        <v>0.63524552433182901</v>
      </c>
      <c r="AN67" s="142">
        <v>0.25866598875024099</v>
      </c>
      <c r="AO67" s="142"/>
      <c r="AP67" s="142"/>
      <c r="AQ67" s="143">
        <v>0.52428443218601695</v>
      </c>
    </row>
    <row r="68" spans="2:43" ht="12" customHeight="1" x14ac:dyDescent="0.25">
      <c r="B68" s="141" t="s">
        <v>22</v>
      </c>
      <c r="C68" s="142" t="s">
        <v>37</v>
      </c>
      <c r="D68" s="142" t="s">
        <v>24</v>
      </c>
      <c r="E68" s="142" t="s">
        <v>24</v>
      </c>
      <c r="F68" s="142" t="s">
        <v>25</v>
      </c>
      <c r="G68" s="142" t="s">
        <v>36</v>
      </c>
      <c r="H68" s="142" t="s">
        <v>88</v>
      </c>
      <c r="I68" s="142" t="s">
        <v>25</v>
      </c>
      <c r="J68" s="142">
        <v>10.53</v>
      </c>
      <c r="K68" s="142">
        <v>2.5499999999999998</v>
      </c>
      <c r="L68" s="142"/>
      <c r="M68" s="142"/>
      <c r="N68" s="142"/>
      <c r="O68" s="142"/>
      <c r="P68" s="142"/>
      <c r="Q68" s="142">
        <v>6.8766148341030799</v>
      </c>
      <c r="R68" s="142">
        <v>-0.99215351767428905</v>
      </c>
      <c r="S68" s="142"/>
      <c r="T68" s="142">
        <v>1.0459099964940399</v>
      </c>
      <c r="U68" s="142">
        <v>0.265871047965556</v>
      </c>
      <c r="V68" s="142"/>
      <c r="W68" s="142"/>
      <c r="X68" s="142"/>
      <c r="Y68" s="142"/>
      <c r="Z68" s="142"/>
      <c r="AA68" s="142"/>
      <c r="AB68" s="142"/>
      <c r="AC68" s="142"/>
      <c r="AD68" s="142">
        <v>2.2117959582820599</v>
      </c>
      <c r="AE68" s="142">
        <v>8.3137750607892996E-2</v>
      </c>
      <c r="AF68" s="142">
        <v>1.04181567051704</v>
      </c>
      <c r="AG68" s="142"/>
      <c r="AH68" s="142"/>
      <c r="AI68" s="142">
        <v>-12.929924264192699</v>
      </c>
      <c r="AJ68" s="142"/>
      <c r="AK68" s="142">
        <v>-5.8434908590778596</v>
      </c>
      <c r="AL68" s="142">
        <v>19.905637662511001</v>
      </c>
      <c r="AM68" s="142">
        <v>0.63524552433182901</v>
      </c>
      <c r="AN68" s="142">
        <v>0.25866598875024099</v>
      </c>
      <c r="AO68" s="142"/>
      <c r="AP68" s="142"/>
      <c r="AQ68" s="143">
        <v>0.52428443218601695</v>
      </c>
    </row>
    <row r="69" spans="2:43" ht="12" customHeight="1" x14ac:dyDescent="0.25">
      <c r="B69" s="141" t="s">
        <v>22</v>
      </c>
      <c r="C69" s="142" t="s">
        <v>23</v>
      </c>
      <c r="D69" s="142" t="s">
        <v>24</v>
      </c>
      <c r="E69" s="142" t="s">
        <v>1770</v>
      </c>
      <c r="F69" s="142" t="s">
        <v>25</v>
      </c>
      <c r="G69" s="142" t="s">
        <v>25</v>
      </c>
      <c r="H69" s="142" t="s">
        <v>88</v>
      </c>
      <c r="I69" s="142" t="s">
        <v>25</v>
      </c>
      <c r="J69" s="142">
        <v>5.64</v>
      </c>
      <c r="K69" s="142">
        <v>3.74</v>
      </c>
      <c r="L69" s="142"/>
      <c r="M69" s="142"/>
      <c r="N69" s="142"/>
      <c r="O69" s="142"/>
      <c r="P69" s="142"/>
      <c r="Q69" s="142"/>
      <c r="R69" s="142"/>
      <c r="S69" s="142"/>
      <c r="T69" s="142">
        <v>1.8349344365225499</v>
      </c>
      <c r="U69" s="142">
        <v>0.46643141296858598</v>
      </c>
      <c r="V69" s="142"/>
      <c r="W69" s="142"/>
      <c r="X69" s="142"/>
      <c r="Y69" s="142"/>
      <c r="Z69" s="142"/>
      <c r="AA69" s="142"/>
      <c r="AB69" s="142"/>
      <c r="AC69" s="142"/>
      <c r="AD69" s="142">
        <v>2.2117959582820599</v>
      </c>
      <c r="AE69" s="142">
        <v>8.3137750607892996E-2</v>
      </c>
      <c r="AF69" s="142">
        <v>1.04181567051704</v>
      </c>
      <c r="AG69" s="142"/>
      <c r="AH69" s="142"/>
      <c r="AI69" s="142">
        <v>-12.929924264192699</v>
      </c>
      <c r="AJ69" s="142"/>
      <c r="AK69" s="142">
        <v>-5.8434908590778596</v>
      </c>
      <c r="AL69" s="142">
        <v>21.099975922261599</v>
      </c>
      <c r="AM69" s="142">
        <v>0.63524552433182901</v>
      </c>
      <c r="AN69" s="142">
        <v>0.25866598875024099</v>
      </c>
      <c r="AO69" s="142"/>
      <c r="AP69" s="142"/>
      <c r="AQ69" s="143">
        <v>0.52428443218601695</v>
      </c>
    </row>
    <row r="70" spans="2:43" ht="12" customHeight="1" x14ac:dyDescent="0.25">
      <c r="B70" s="141" t="s">
        <v>22</v>
      </c>
      <c r="C70" s="142" t="s">
        <v>23</v>
      </c>
      <c r="D70" s="142" t="s">
        <v>24</v>
      </c>
      <c r="E70" s="142" t="s">
        <v>24</v>
      </c>
      <c r="F70" s="142" t="s">
        <v>25</v>
      </c>
      <c r="G70" s="142" t="s">
        <v>25</v>
      </c>
      <c r="H70" s="142" t="s">
        <v>88</v>
      </c>
      <c r="I70" s="142" t="s">
        <v>25</v>
      </c>
      <c r="J70" s="142">
        <v>11.52</v>
      </c>
      <c r="K70" s="142">
        <v>3.74</v>
      </c>
      <c r="L70" s="142"/>
      <c r="M70" s="142"/>
      <c r="N70" s="142"/>
      <c r="O70" s="142"/>
      <c r="P70" s="142"/>
      <c r="Q70" s="142">
        <v>6.8766148341030799</v>
      </c>
      <c r="R70" s="142">
        <v>-0.99215351767428905</v>
      </c>
      <c r="S70" s="142"/>
      <c r="T70" s="142">
        <v>1.8349344365225499</v>
      </c>
      <c r="U70" s="142">
        <v>0.46643141296858598</v>
      </c>
      <c r="V70" s="142"/>
      <c r="W70" s="142"/>
      <c r="X70" s="142"/>
      <c r="Y70" s="142"/>
      <c r="Z70" s="142"/>
      <c r="AA70" s="142"/>
      <c r="AB70" s="142"/>
      <c r="AC70" s="142"/>
      <c r="AD70" s="142">
        <v>2.2117959582820599</v>
      </c>
      <c r="AE70" s="142">
        <v>8.3137750607892996E-2</v>
      </c>
      <c r="AF70" s="142">
        <v>1.04181567051704</v>
      </c>
      <c r="AG70" s="142"/>
      <c r="AH70" s="142"/>
      <c r="AI70" s="142">
        <v>-12.929924264192699</v>
      </c>
      <c r="AJ70" s="142"/>
      <c r="AK70" s="142">
        <v>-5.8434908590778596</v>
      </c>
      <c r="AL70" s="142">
        <v>21.099975922261599</v>
      </c>
      <c r="AM70" s="142">
        <v>0.63524552433182901</v>
      </c>
      <c r="AN70" s="142">
        <v>0.25866598875024099</v>
      </c>
      <c r="AO70" s="142"/>
      <c r="AP70" s="142"/>
      <c r="AQ70" s="143">
        <v>0.52428443218601695</v>
      </c>
    </row>
    <row r="71" spans="2:43" ht="12" customHeight="1" x14ac:dyDescent="0.25">
      <c r="B71" s="141" t="s">
        <v>22</v>
      </c>
      <c r="C71" s="142" t="s">
        <v>102</v>
      </c>
      <c r="D71" s="142" t="s">
        <v>24</v>
      </c>
      <c r="E71" s="142" t="s">
        <v>1770</v>
      </c>
      <c r="F71" s="142" t="s">
        <v>25</v>
      </c>
      <c r="G71" s="142" t="s">
        <v>25</v>
      </c>
      <c r="H71" s="142" t="s">
        <v>88</v>
      </c>
      <c r="I71" s="142" t="s">
        <v>25</v>
      </c>
      <c r="J71" s="142">
        <v>5.64</v>
      </c>
      <c r="K71" s="142">
        <v>3.74</v>
      </c>
      <c r="L71" s="142"/>
      <c r="M71" s="142"/>
      <c r="N71" s="142"/>
      <c r="O71" s="142"/>
      <c r="P71" s="142"/>
      <c r="Q71" s="142"/>
      <c r="R71" s="142"/>
      <c r="S71" s="142"/>
      <c r="T71" s="142">
        <v>1.8349344365225499</v>
      </c>
      <c r="U71" s="142">
        <v>0.46643141296858598</v>
      </c>
      <c r="V71" s="142"/>
      <c r="W71" s="142"/>
      <c r="X71" s="142"/>
      <c r="Y71" s="142"/>
      <c r="Z71" s="142"/>
      <c r="AA71" s="142"/>
      <c r="AB71" s="142"/>
      <c r="AC71" s="142"/>
      <c r="AD71" s="142">
        <v>2.2117959582820599</v>
      </c>
      <c r="AE71" s="142">
        <v>8.3137750607892996E-2</v>
      </c>
      <c r="AF71" s="142">
        <v>1.04181567051704</v>
      </c>
      <c r="AG71" s="142"/>
      <c r="AH71" s="142"/>
      <c r="AI71" s="142">
        <v>-12.929924264192699</v>
      </c>
      <c r="AJ71" s="142"/>
      <c r="AK71" s="142">
        <v>-5.8434908590778596</v>
      </c>
      <c r="AL71" s="142">
        <v>21.099975922261599</v>
      </c>
      <c r="AM71" s="142">
        <v>0.63524552433182901</v>
      </c>
      <c r="AN71" s="142">
        <v>0.25866598875024099</v>
      </c>
      <c r="AO71" s="142"/>
      <c r="AP71" s="142"/>
      <c r="AQ71" s="143">
        <v>0.52428443218601695</v>
      </c>
    </row>
    <row r="72" spans="2:43" ht="12" customHeight="1" x14ac:dyDescent="0.25">
      <c r="B72" s="141" t="s">
        <v>22</v>
      </c>
      <c r="C72" s="142" t="s">
        <v>102</v>
      </c>
      <c r="D72" s="142" t="s">
        <v>24</v>
      </c>
      <c r="E72" s="142" t="s">
        <v>24</v>
      </c>
      <c r="F72" s="142" t="s">
        <v>25</v>
      </c>
      <c r="G72" s="142" t="s">
        <v>25</v>
      </c>
      <c r="H72" s="142" t="s">
        <v>88</v>
      </c>
      <c r="I72" s="142" t="s">
        <v>25</v>
      </c>
      <c r="J72" s="142">
        <v>11.52</v>
      </c>
      <c r="K72" s="142">
        <v>3.74</v>
      </c>
      <c r="L72" s="142"/>
      <c r="M72" s="142"/>
      <c r="N72" s="142"/>
      <c r="O72" s="142"/>
      <c r="P72" s="142"/>
      <c r="Q72" s="142">
        <v>6.8766148341030799</v>
      </c>
      <c r="R72" s="142">
        <v>-0.99215351767428905</v>
      </c>
      <c r="S72" s="142"/>
      <c r="T72" s="142">
        <v>1.8349344365225499</v>
      </c>
      <c r="U72" s="142">
        <v>0.46643141296858598</v>
      </c>
      <c r="V72" s="142"/>
      <c r="W72" s="142"/>
      <c r="X72" s="142"/>
      <c r="Y72" s="142"/>
      <c r="Z72" s="142"/>
      <c r="AA72" s="142"/>
      <c r="AB72" s="142"/>
      <c r="AC72" s="142"/>
      <c r="AD72" s="142">
        <v>2.2117959582820599</v>
      </c>
      <c r="AE72" s="142">
        <v>8.3137750607892996E-2</v>
      </c>
      <c r="AF72" s="142">
        <v>1.04181567051704</v>
      </c>
      <c r="AG72" s="142"/>
      <c r="AH72" s="142"/>
      <c r="AI72" s="142">
        <v>-12.929924264192699</v>
      </c>
      <c r="AJ72" s="142"/>
      <c r="AK72" s="142">
        <v>-5.8434908590778596</v>
      </c>
      <c r="AL72" s="142">
        <v>21.099975922261599</v>
      </c>
      <c r="AM72" s="142">
        <v>0.63524552433182901</v>
      </c>
      <c r="AN72" s="142">
        <v>0.25866598875024099</v>
      </c>
      <c r="AO72" s="142"/>
      <c r="AP72" s="142"/>
      <c r="AQ72" s="143">
        <v>0.52428443218601695</v>
      </c>
    </row>
    <row r="73" spans="2:43" ht="12" customHeight="1" x14ac:dyDescent="0.25">
      <c r="B73" s="141" t="s">
        <v>46</v>
      </c>
      <c r="C73" s="142" t="s">
        <v>37</v>
      </c>
      <c r="D73" s="142" t="s">
        <v>47</v>
      </c>
      <c r="E73" s="142" t="s">
        <v>103</v>
      </c>
      <c r="F73" s="142" t="s">
        <v>25</v>
      </c>
      <c r="G73" s="142" t="s">
        <v>35</v>
      </c>
      <c r="H73" s="142" t="s">
        <v>88</v>
      </c>
      <c r="I73" s="142" t="s">
        <v>25</v>
      </c>
      <c r="J73" s="142">
        <v>13.6</v>
      </c>
      <c r="K73" s="142">
        <v>13.84</v>
      </c>
      <c r="L73" s="142"/>
      <c r="M73" s="142"/>
      <c r="N73" s="142"/>
      <c r="O73" s="142"/>
      <c r="P73" s="142"/>
      <c r="Q73" s="142">
        <v>5.6388241639645198</v>
      </c>
      <c r="R73" s="142">
        <v>-0.813565884492917</v>
      </c>
      <c r="S73" s="142"/>
      <c r="T73" s="142">
        <v>4.8148823514720398</v>
      </c>
      <c r="U73" s="142">
        <v>1.22389915998862</v>
      </c>
      <c r="V73" s="142"/>
      <c r="W73" s="142"/>
      <c r="X73" s="142"/>
      <c r="Y73" s="142"/>
      <c r="Z73" s="142"/>
      <c r="AA73" s="142"/>
      <c r="AB73" s="142"/>
      <c r="AC73" s="142"/>
      <c r="AD73" s="142">
        <v>1.8136726857912899</v>
      </c>
      <c r="AE73" s="142">
        <v>6.8172955498472299E-2</v>
      </c>
      <c r="AF73" s="142">
        <v>0.85428884982397002</v>
      </c>
      <c r="AG73" s="142"/>
      <c r="AH73" s="142"/>
      <c r="AI73" s="142">
        <v>-10.602537896637999</v>
      </c>
      <c r="AJ73" s="142"/>
      <c r="AK73" s="142">
        <v>-4.7916625044438499</v>
      </c>
      <c r="AL73" s="142">
        <v>28.074911359205501</v>
      </c>
      <c r="AM73" s="142">
        <v>0.52090132995210003</v>
      </c>
      <c r="AN73" s="142">
        <v>0.212106110775198</v>
      </c>
      <c r="AO73" s="142"/>
      <c r="AP73" s="142"/>
      <c r="AQ73" s="143">
        <v>0.42991323439253398</v>
      </c>
    </row>
    <row r="74" spans="2:43" ht="12" customHeight="1" x14ac:dyDescent="0.25">
      <c r="B74" s="141" t="s">
        <v>46</v>
      </c>
      <c r="C74" s="142" t="s">
        <v>37</v>
      </c>
      <c r="D74" s="142" t="s">
        <v>47</v>
      </c>
      <c r="E74" s="142" t="s">
        <v>103</v>
      </c>
      <c r="F74" s="142" t="s">
        <v>25</v>
      </c>
      <c r="G74" s="142" t="s">
        <v>38</v>
      </c>
      <c r="H74" s="142" t="s">
        <v>88</v>
      </c>
      <c r="I74" s="142" t="s">
        <v>25</v>
      </c>
      <c r="J74" s="142">
        <v>11.18</v>
      </c>
      <c r="K74" s="142">
        <v>2.09</v>
      </c>
      <c r="L74" s="142"/>
      <c r="M74" s="142"/>
      <c r="N74" s="142"/>
      <c r="O74" s="142"/>
      <c r="P74" s="142"/>
      <c r="Q74" s="142">
        <v>5.6388241639645198</v>
      </c>
      <c r="R74" s="142">
        <v>-0.813565884492917</v>
      </c>
      <c r="S74" s="142"/>
      <c r="T74" s="142">
        <v>2.8889198175253101</v>
      </c>
      <c r="U74" s="142">
        <v>0.73433274893678802</v>
      </c>
      <c r="V74" s="142"/>
      <c r="W74" s="142"/>
      <c r="X74" s="142"/>
      <c r="Y74" s="142"/>
      <c r="Z74" s="142"/>
      <c r="AA74" s="142"/>
      <c r="AB74" s="142"/>
      <c r="AC74" s="142"/>
      <c r="AD74" s="142">
        <v>1.8136726857912899</v>
      </c>
      <c r="AE74" s="142">
        <v>6.8172955498472299E-2</v>
      </c>
      <c r="AF74" s="142">
        <v>0.85428884982397002</v>
      </c>
      <c r="AG74" s="142"/>
      <c r="AH74" s="142"/>
      <c r="AI74" s="142">
        <v>-10.602537896637999</v>
      </c>
      <c r="AJ74" s="142"/>
      <c r="AK74" s="142">
        <v>-4.7916625044438499</v>
      </c>
      <c r="AL74" s="142">
        <v>16.322622883259001</v>
      </c>
      <c r="AM74" s="142">
        <v>0.52090132995210003</v>
      </c>
      <c r="AN74" s="142">
        <v>0.212106110775198</v>
      </c>
      <c r="AO74" s="142"/>
      <c r="AP74" s="142"/>
      <c r="AQ74" s="143">
        <v>0.42991323439253398</v>
      </c>
    </row>
    <row r="75" spans="2:43" ht="12" customHeight="1" x14ac:dyDescent="0.25">
      <c r="B75" s="141" t="s">
        <v>46</v>
      </c>
      <c r="C75" s="142" t="s">
        <v>37</v>
      </c>
      <c r="D75" s="142" t="s">
        <v>47</v>
      </c>
      <c r="E75" s="142" t="s">
        <v>103</v>
      </c>
      <c r="F75" s="142" t="s">
        <v>25</v>
      </c>
      <c r="G75" s="142" t="s">
        <v>36</v>
      </c>
      <c r="H75" s="142" t="s">
        <v>88</v>
      </c>
      <c r="I75" s="142" t="s">
        <v>25</v>
      </c>
      <c r="J75" s="142">
        <v>8.77</v>
      </c>
      <c r="K75" s="142">
        <v>2.09</v>
      </c>
      <c r="L75" s="142"/>
      <c r="M75" s="142"/>
      <c r="N75" s="142"/>
      <c r="O75" s="142"/>
      <c r="P75" s="142"/>
      <c r="Q75" s="142">
        <v>5.6388241639645198</v>
      </c>
      <c r="R75" s="142">
        <v>-0.813565884492917</v>
      </c>
      <c r="S75" s="142"/>
      <c r="T75" s="142">
        <v>0.96298126697336195</v>
      </c>
      <c r="U75" s="142">
        <v>0.24478320552591401</v>
      </c>
      <c r="V75" s="142"/>
      <c r="W75" s="142"/>
      <c r="X75" s="142"/>
      <c r="Y75" s="142"/>
      <c r="Z75" s="142"/>
      <c r="AA75" s="142"/>
      <c r="AB75" s="142"/>
      <c r="AC75" s="142"/>
      <c r="AD75" s="142">
        <v>1.8136726857912899</v>
      </c>
      <c r="AE75" s="142">
        <v>6.8172955498472299E-2</v>
      </c>
      <c r="AF75" s="142">
        <v>0.85428884982397002</v>
      </c>
      <c r="AG75" s="142"/>
      <c r="AH75" s="142"/>
      <c r="AI75" s="142">
        <v>-10.602537896637999</v>
      </c>
      <c r="AJ75" s="142"/>
      <c r="AK75" s="142">
        <v>-4.7916625044438499</v>
      </c>
      <c r="AL75" s="142">
        <v>16.322622883259001</v>
      </c>
      <c r="AM75" s="142">
        <v>0.52090132995210003</v>
      </c>
      <c r="AN75" s="142">
        <v>0.212106110775198</v>
      </c>
      <c r="AO75" s="142"/>
      <c r="AP75" s="142"/>
      <c r="AQ75" s="143">
        <v>0.42991323439253398</v>
      </c>
    </row>
    <row r="76" spans="2:43" ht="12" customHeight="1" x14ac:dyDescent="0.25">
      <c r="B76" s="141" t="s">
        <v>46</v>
      </c>
      <c r="C76" s="142" t="s">
        <v>37</v>
      </c>
      <c r="D76" s="142" t="s">
        <v>47</v>
      </c>
      <c r="E76" s="142" t="s">
        <v>25</v>
      </c>
      <c r="F76" s="142" t="s">
        <v>25</v>
      </c>
      <c r="G76" s="142" t="s">
        <v>35</v>
      </c>
      <c r="H76" s="142" t="s">
        <v>88</v>
      </c>
      <c r="I76" s="142" t="s">
        <v>25</v>
      </c>
      <c r="J76" s="142">
        <v>13.6</v>
      </c>
      <c r="K76" s="142">
        <v>13.84</v>
      </c>
      <c r="L76" s="142"/>
      <c r="M76" s="142"/>
      <c r="N76" s="142"/>
      <c r="O76" s="142"/>
      <c r="P76" s="142"/>
      <c r="Q76" s="142">
        <v>5.6388241639645198</v>
      </c>
      <c r="R76" s="142">
        <v>-0.813565884492917</v>
      </c>
      <c r="S76" s="142"/>
      <c r="T76" s="142">
        <v>4.8148823514720398</v>
      </c>
      <c r="U76" s="142">
        <v>1.22389915998862</v>
      </c>
      <c r="V76" s="142"/>
      <c r="W76" s="142"/>
      <c r="X76" s="142"/>
      <c r="Y76" s="142"/>
      <c r="Z76" s="142"/>
      <c r="AA76" s="142"/>
      <c r="AB76" s="142"/>
      <c r="AC76" s="142"/>
      <c r="AD76" s="142">
        <v>1.8136726857912899</v>
      </c>
      <c r="AE76" s="142">
        <v>6.8172955498472299E-2</v>
      </c>
      <c r="AF76" s="142">
        <v>0.85428884982397002</v>
      </c>
      <c r="AG76" s="142"/>
      <c r="AH76" s="142"/>
      <c r="AI76" s="142">
        <v>-10.602537896637999</v>
      </c>
      <c r="AJ76" s="142"/>
      <c r="AK76" s="142">
        <v>-4.7916625044438499</v>
      </c>
      <c r="AL76" s="142">
        <v>28.074911359205501</v>
      </c>
      <c r="AM76" s="142">
        <v>0.52090132995210003</v>
      </c>
      <c r="AN76" s="142">
        <v>0.212106110775198</v>
      </c>
      <c r="AO76" s="142"/>
      <c r="AP76" s="142"/>
      <c r="AQ76" s="143">
        <v>0.42991323439253398</v>
      </c>
    </row>
    <row r="77" spans="2:43" ht="12" customHeight="1" x14ac:dyDescent="0.25">
      <c r="B77" s="141" t="s">
        <v>46</v>
      </c>
      <c r="C77" s="142" t="s">
        <v>37</v>
      </c>
      <c r="D77" s="142" t="s">
        <v>47</v>
      </c>
      <c r="E77" s="142" t="s">
        <v>25</v>
      </c>
      <c r="F77" s="142" t="s">
        <v>25</v>
      </c>
      <c r="G77" s="142" t="s">
        <v>38</v>
      </c>
      <c r="H77" s="142" t="s">
        <v>88</v>
      </c>
      <c r="I77" s="142" t="s">
        <v>25</v>
      </c>
      <c r="J77" s="142">
        <v>11.18</v>
      </c>
      <c r="K77" s="142">
        <v>2.09</v>
      </c>
      <c r="L77" s="142"/>
      <c r="M77" s="142"/>
      <c r="N77" s="142"/>
      <c r="O77" s="142"/>
      <c r="P77" s="142"/>
      <c r="Q77" s="142">
        <v>5.6388241639645198</v>
      </c>
      <c r="R77" s="142">
        <v>-0.813565884492917</v>
      </c>
      <c r="S77" s="142"/>
      <c r="T77" s="142">
        <v>2.8889198175253101</v>
      </c>
      <c r="U77" s="142">
        <v>0.73433274893678802</v>
      </c>
      <c r="V77" s="142"/>
      <c r="W77" s="142"/>
      <c r="X77" s="142"/>
      <c r="Y77" s="142"/>
      <c r="Z77" s="142"/>
      <c r="AA77" s="142"/>
      <c r="AB77" s="142"/>
      <c r="AC77" s="142"/>
      <c r="AD77" s="142">
        <v>1.8136726857912899</v>
      </c>
      <c r="AE77" s="142">
        <v>6.8172955498472299E-2</v>
      </c>
      <c r="AF77" s="142">
        <v>0.85428884982397002</v>
      </c>
      <c r="AG77" s="142"/>
      <c r="AH77" s="142"/>
      <c r="AI77" s="142">
        <v>-10.602537896637999</v>
      </c>
      <c r="AJ77" s="142"/>
      <c r="AK77" s="142">
        <v>-4.7916625044438499</v>
      </c>
      <c r="AL77" s="142">
        <v>16.322622883259001</v>
      </c>
      <c r="AM77" s="142">
        <v>0.52090132995210003</v>
      </c>
      <c r="AN77" s="142">
        <v>0.212106110775198</v>
      </c>
      <c r="AO77" s="142"/>
      <c r="AP77" s="142"/>
      <c r="AQ77" s="143">
        <v>0.42991323439253398</v>
      </c>
    </row>
    <row r="78" spans="2:43" ht="12" customHeight="1" x14ac:dyDescent="0.25">
      <c r="B78" s="141" t="s">
        <v>46</v>
      </c>
      <c r="C78" s="142" t="s">
        <v>37</v>
      </c>
      <c r="D78" s="142" t="s">
        <v>47</v>
      </c>
      <c r="E78" s="142" t="s">
        <v>25</v>
      </c>
      <c r="F78" s="142" t="s">
        <v>25</v>
      </c>
      <c r="G78" s="142" t="s">
        <v>36</v>
      </c>
      <c r="H78" s="142" t="s">
        <v>88</v>
      </c>
      <c r="I78" s="142" t="s">
        <v>25</v>
      </c>
      <c r="J78" s="142">
        <v>8.77</v>
      </c>
      <c r="K78" s="142">
        <v>2.09</v>
      </c>
      <c r="L78" s="142"/>
      <c r="M78" s="142"/>
      <c r="N78" s="142"/>
      <c r="O78" s="142"/>
      <c r="P78" s="142"/>
      <c r="Q78" s="142">
        <v>5.6388241639645198</v>
      </c>
      <c r="R78" s="142">
        <v>-0.813565884492917</v>
      </c>
      <c r="S78" s="142"/>
      <c r="T78" s="142">
        <v>0.96298126697336195</v>
      </c>
      <c r="U78" s="142">
        <v>0.24478320552591401</v>
      </c>
      <c r="V78" s="142"/>
      <c r="W78" s="142"/>
      <c r="X78" s="142"/>
      <c r="Y78" s="142"/>
      <c r="Z78" s="142"/>
      <c r="AA78" s="142"/>
      <c r="AB78" s="142"/>
      <c r="AC78" s="142"/>
      <c r="AD78" s="142">
        <v>1.8136726857912899</v>
      </c>
      <c r="AE78" s="142">
        <v>6.8172955498472299E-2</v>
      </c>
      <c r="AF78" s="142">
        <v>0.85428884982397002</v>
      </c>
      <c r="AG78" s="142"/>
      <c r="AH78" s="142"/>
      <c r="AI78" s="142">
        <v>-10.602537896637999</v>
      </c>
      <c r="AJ78" s="142"/>
      <c r="AK78" s="142">
        <v>-4.7916625044438499</v>
      </c>
      <c r="AL78" s="142">
        <v>16.322622883259001</v>
      </c>
      <c r="AM78" s="142">
        <v>0.52090132995210003</v>
      </c>
      <c r="AN78" s="142">
        <v>0.212106110775198</v>
      </c>
      <c r="AO78" s="142"/>
      <c r="AP78" s="142"/>
      <c r="AQ78" s="143">
        <v>0.42991323439253398</v>
      </c>
    </row>
    <row r="79" spans="2:43" ht="12" customHeight="1" x14ac:dyDescent="0.25">
      <c r="B79" s="141" t="s">
        <v>46</v>
      </c>
      <c r="C79" s="142" t="s">
        <v>37</v>
      </c>
      <c r="D79" s="142" t="s">
        <v>47</v>
      </c>
      <c r="E79" s="142" t="s">
        <v>104</v>
      </c>
      <c r="F79" s="142" t="s">
        <v>25</v>
      </c>
      <c r="G79" s="142" t="s">
        <v>35</v>
      </c>
      <c r="H79" s="142" t="s">
        <v>88</v>
      </c>
      <c r="I79" s="142" t="s">
        <v>25</v>
      </c>
      <c r="J79" s="142">
        <v>12.61</v>
      </c>
      <c r="K79" s="142">
        <v>12.83</v>
      </c>
      <c r="L79" s="142"/>
      <c r="M79" s="142"/>
      <c r="N79" s="142"/>
      <c r="O79" s="142"/>
      <c r="P79" s="142"/>
      <c r="Q79" s="142">
        <v>5.2262272739183402</v>
      </c>
      <c r="R79" s="142">
        <v>-0.75403667343245895</v>
      </c>
      <c r="S79" s="142"/>
      <c r="T79" s="142">
        <v>4.4625738867301799</v>
      </c>
      <c r="U79" s="142">
        <v>1.13434556291628</v>
      </c>
      <c r="V79" s="142"/>
      <c r="W79" s="142"/>
      <c r="X79" s="142"/>
      <c r="Y79" s="142"/>
      <c r="Z79" s="142"/>
      <c r="AA79" s="142"/>
      <c r="AB79" s="142"/>
      <c r="AC79" s="142"/>
      <c r="AD79" s="142">
        <v>1.68096492829436</v>
      </c>
      <c r="AE79" s="142">
        <v>6.3184690461998705E-2</v>
      </c>
      <c r="AF79" s="142">
        <v>0.79177990959294797</v>
      </c>
      <c r="AG79" s="142"/>
      <c r="AH79" s="142"/>
      <c r="AI79" s="142">
        <v>-9.8267424407864201</v>
      </c>
      <c r="AJ79" s="142"/>
      <c r="AK79" s="142">
        <v>-4.4410530528991803</v>
      </c>
      <c r="AL79" s="142">
        <v>26.0206495524343</v>
      </c>
      <c r="AM79" s="142">
        <v>0.48278659849219002</v>
      </c>
      <c r="AN79" s="142">
        <v>0.19658615145018299</v>
      </c>
      <c r="AO79" s="142"/>
      <c r="AP79" s="142"/>
      <c r="AQ79" s="143">
        <v>0.39845616846137299</v>
      </c>
    </row>
    <row r="80" spans="2:43" ht="12" customHeight="1" x14ac:dyDescent="0.25">
      <c r="B80" s="141" t="s">
        <v>46</v>
      </c>
      <c r="C80" s="142" t="s">
        <v>37</v>
      </c>
      <c r="D80" s="142" t="s">
        <v>47</v>
      </c>
      <c r="E80" s="142" t="s">
        <v>104</v>
      </c>
      <c r="F80" s="142" t="s">
        <v>25</v>
      </c>
      <c r="G80" s="142" t="s">
        <v>38</v>
      </c>
      <c r="H80" s="142" t="s">
        <v>88</v>
      </c>
      <c r="I80" s="142" t="s">
        <v>25</v>
      </c>
      <c r="J80" s="142">
        <v>10.37</v>
      </c>
      <c r="K80" s="142">
        <v>1.94</v>
      </c>
      <c r="L80" s="142"/>
      <c r="M80" s="142"/>
      <c r="N80" s="142"/>
      <c r="O80" s="142"/>
      <c r="P80" s="142"/>
      <c r="Q80" s="142">
        <v>5.2262272739183402</v>
      </c>
      <c r="R80" s="142">
        <v>-0.75403667343245895</v>
      </c>
      <c r="S80" s="142"/>
      <c r="T80" s="142">
        <v>2.6775354406332199</v>
      </c>
      <c r="U80" s="142">
        <v>0.68060108438043798</v>
      </c>
      <c r="V80" s="142"/>
      <c r="W80" s="142"/>
      <c r="X80" s="142"/>
      <c r="Y80" s="142"/>
      <c r="Z80" s="142"/>
      <c r="AA80" s="142"/>
      <c r="AB80" s="142"/>
      <c r="AC80" s="142"/>
      <c r="AD80" s="142">
        <v>1.68096492829436</v>
      </c>
      <c r="AE80" s="142">
        <v>6.3184690461998705E-2</v>
      </c>
      <c r="AF80" s="142">
        <v>0.79177990959294797</v>
      </c>
      <c r="AG80" s="142"/>
      <c r="AH80" s="142"/>
      <c r="AI80" s="142">
        <v>-9.8267424407864201</v>
      </c>
      <c r="AJ80" s="142"/>
      <c r="AK80" s="142">
        <v>-4.4410530528991803</v>
      </c>
      <c r="AL80" s="142">
        <v>15.1282846235083</v>
      </c>
      <c r="AM80" s="142">
        <v>0.48278659849219002</v>
      </c>
      <c r="AN80" s="142">
        <v>0.19658615145018299</v>
      </c>
      <c r="AO80" s="142"/>
      <c r="AP80" s="142"/>
      <c r="AQ80" s="143">
        <v>0.39845616846137299</v>
      </c>
    </row>
    <row r="81" spans="2:43" ht="12" customHeight="1" x14ac:dyDescent="0.25">
      <c r="B81" s="141" t="s">
        <v>46</v>
      </c>
      <c r="C81" s="142" t="s">
        <v>37</v>
      </c>
      <c r="D81" s="142" t="s">
        <v>47</v>
      </c>
      <c r="E81" s="142" t="s">
        <v>104</v>
      </c>
      <c r="F81" s="142" t="s">
        <v>25</v>
      </c>
      <c r="G81" s="142" t="s">
        <v>36</v>
      </c>
      <c r="H81" s="142" t="s">
        <v>88</v>
      </c>
      <c r="I81" s="142" t="s">
        <v>25</v>
      </c>
      <c r="J81" s="142">
        <v>8.1300000000000008</v>
      </c>
      <c r="K81" s="142">
        <v>1.94</v>
      </c>
      <c r="L81" s="142"/>
      <c r="M81" s="142"/>
      <c r="N81" s="142"/>
      <c r="O81" s="142"/>
      <c r="P81" s="142"/>
      <c r="Q81" s="142">
        <v>5.2262272739183402</v>
      </c>
      <c r="R81" s="142">
        <v>-0.75403667343245895</v>
      </c>
      <c r="S81" s="142"/>
      <c r="T81" s="142">
        <v>0.89251922304848197</v>
      </c>
      <c r="U81" s="142">
        <v>0.22687223926792</v>
      </c>
      <c r="V81" s="142"/>
      <c r="W81" s="142"/>
      <c r="X81" s="142"/>
      <c r="Y81" s="142"/>
      <c r="Z81" s="142"/>
      <c r="AA81" s="142"/>
      <c r="AB81" s="142"/>
      <c r="AC81" s="142"/>
      <c r="AD81" s="142">
        <v>1.68096492829436</v>
      </c>
      <c r="AE81" s="142">
        <v>6.3184690461998705E-2</v>
      </c>
      <c r="AF81" s="142">
        <v>0.79177990959294797</v>
      </c>
      <c r="AG81" s="142"/>
      <c r="AH81" s="142"/>
      <c r="AI81" s="142">
        <v>-9.8267424407864201</v>
      </c>
      <c r="AJ81" s="142"/>
      <c r="AK81" s="142">
        <v>-4.4410530528991803</v>
      </c>
      <c r="AL81" s="142">
        <v>15.1282846235083</v>
      </c>
      <c r="AM81" s="142">
        <v>0.48278659849219002</v>
      </c>
      <c r="AN81" s="142">
        <v>0.19658615145018299</v>
      </c>
      <c r="AO81" s="142"/>
      <c r="AP81" s="142"/>
      <c r="AQ81" s="143">
        <v>0.39845616846137299</v>
      </c>
    </row>
    <row r="82" spans="2:43" ht="12" customHeight="1" x14ac:dyDescent="0.25">
      <c r="B82" s="141" t="s">
        <v>46</v>
      </c>
      <c r="C82" s="142" t="s">
        <v>23</v>
      </c>
      <c r="D82" s="142" t="s">
        <v>47</v>
      </c>
      <c r="E82" s="142" t="s">
        <v>103</v>
      </c>
      <c r="F82" s="142" t="s">
        <v>25</v>
      </c>
      <c r="G82" s="142" t="s">
        <v>25</v>
      </c>
      <c r="H82" s="142" t="s">
        <v>88</v>
      </c>
      <c r="I82" s="142" t="s">
        <v>25</v>
      </c>
      <c r="J82" s="142">
        <v>9.4499999999999993</v>
      </c>
      <c r="K82" s="142">
        <v>3.07</v>
      </c>
      <c r="L82" s="142"/>
      <c r="M82" s="142"/>
      <c r="N82" s="142"/>
      <c r="O82" s="142"/>
      <c r="P82" s="142"/>
      <c r="Q82" s="142">
        <v>5.6388241639645198</v>
      </c>
      <c r="R82" s="142">
        <v>-0.813565884492917</v>
      </c>
      <c r="S82" s="142"/>
      <c r="T82" s="142">
        <v>1.50464623794849</v>
      </c>
      <c r="U82" s="142">
        <v>0.38247375863424099</v>
      </c>
      <c r="V82" s="142"/>
      <c r="W82" s="142"/>
      <c r="X82" s="142"/>
      <c r="Y82" s="142"/>
      <c r="Z82" s="142"/>
      <c r="AA82" s="142"/>
      <c r="AB82" s="142"/>
      <c r="AC82" s="142"/>
      <c r="AD82" s="142">
        <v>1.8136726857912899</v>
      </c>
      <c r="AE82" s="142">
        <v>6.8172955498472299E-2</v>
      </c>
      <c r="AF82" s="142">
        <v>0.85428884982397002</v>
      </c>
      <c r="AG82" s="142"/>
      <c r="AH82" s="142"/>
      <c r="AI82" s="142">
        <v>-10.602537896637999</v>
      </c>
      <c r="AJ82" s="142"/>
      <c r="AK82" s="142">
        <v>-4.7916625044438499</v>
      </c>
      <c r="AL82" s="142">
        <v>17.301980256254499</v>
      </c>
      <c r="AM82" s="142">
        <v>0.52090132995210003</v>
      </c>
      <c r="AN82" s="142">
        <v>0.212106110775198</v>
      </c>
      <c r="AO82" s="142"/>
      <c r="AP82" s="142"/>
      <c r="AQ82" s="143">
        <v>0.42991323439253398</v>
      </c>
    </row>
    <row r="83" spans="2:43" ht="12" customHeight="1" x14ac:dyDescent="0.25">
      <c r="B83" s="141" t="s">
        <v>46</v>
      </c>
      <c r="C83" s="142" t="s">
        <v>23</v>
      </c>
      <c r="D83" s="142" t="s">
        <v>47</v>
      </c>
      <c r="E83" s="142" t="s">
        <v>25</v>
      </c>
      <c r="F83" s="142" t="s">
        <v>25</v>
      </c>
      <c r="G83" s="142" t="s">
        <v>25</v>
      </c>
      <c r="H83" s="142" t="s">
        <v>88</v>
      </c>
      <c r="I83" s="142" t="s">
        <v>25</v>
      </c>
      <c r="J83" s="142">
        <v>9.4499999999999993</v>
      </c>
      <c r="K83" s="142">
        <v>3.07</v>
      </c>
      <c r="L83" s="142"/>
      <c r="M83" s="142"/>
      <c r="N83" s="142"/>
      <c r="O83" s="142"/>
      <c r="P83" s="142"/>
      <c r="Q83" s="142">
        <v>5.6388241639645198</v>
      </c>
      <c r="R83" s="142">
        <v>-0.813565884492917</v>
      </c>
      <c r="S83" s="142"/>
      <c r="T83" s="142">
        <v>1.50464623794849</v>
      </c>
      <c r="U83" s="142">
        <v>0.38247375863424099</v>
      </c>
      <c r="V83" s="142"/>
      <c r="W83" s="142"/>
      <c r="X83" s="142"/>
      <c r="Y83" s="142"/>
      <c r="Z83" s="142"/>
      <c r="AA83" s="142"/>
      <c r="AB83" s="142"/>
      <c r="AC83" s="142"/>
      <c r="AD83" s="142">
        <v>1.8136726857912899</v>
      </c>
      <c r="AE83" s="142">
        <v>6.8172955498472299E-2</v>
      </c>
      <c r="AF83" s="142">
        <v>0.85428884982397002</v>
      </c>
      <c r="AG83" s="142"/>
      <c r="AH83" s="142"/>
      <c r="AI83" s="142">
        <v>-10.602537896637999</v>
      </c>
      <c r="AJ83" s="142"/>
      <c r="AK83" s="142">
        <v>-4.7916625044438499</v>
      </c>
      <c r="AL83" s="142">
        <v>17.301980256254499</v>
      </c>
      <c r="AM83" s="142">
        <v>0.52090132995210003</v>
      </c>
      <c r="AN83" s="142">
        <v>0.212106110775198</v>
      </c>
      <c r="AO83" s="142"/>
      <c r="AP83" s="142"/>
      <c r="AQ83" s="143">
        <v>0.42991323439253398</v>
      </c>
    </row>
    <row r="84" spans="2:43" ht="12" customHeight="1" x14ac:dyDescent="0.25">
      <c r="B84" s="141" t="s">
        <v>46</v>
      </c>
      <c r="C84" s="142" t="s">
        <v>23</v>
      </c>
      <c r="D84" s="142" t="s">
        <v>47</v>
      </c>
      <c r="E84" s="142" t="s">
        <v>104</v>
      </c>
      <c r="F84" s="142" t="s">
        <v>25</v>
      </c>
      <c r="G84" s="142" t="s">
        <v>25</v>
      </c>
      <c r="H84" s="142" t="s">
        <v>88</v>
      </c>
      <c r="I84" s="142" t="s">
        <v>25</v>
      </c>
      <c r="J84" s="142">
        <v>8.76</v>
      </c>
      <c r="K84" s="142">
        <v>2.85</v>
      </c>
      <c r="L84" s="142"/>
      <c r="M84" s="142"/>
      <c r="N84" s="142"/>
      <c r="O84" s="142"/>
      <c r="P84" s="142"/>
      <c r="Q84" s="142">
        <v>5.2262272739183402</v>
      </c>
      <c r="R84" s="142">
        <v>-0.75403667343245895</v>
      </c>
      <c r="S84" s="142"/>
      <c r="T84" s="142">
        <v>1.39455017175714</v>
      </c>
      <c r="U84" s="142">
        <v>0.35448787385612601</v>
      </c>
      <c r="V84" s="142"/>
      <c r="W84" s="142"/>
      <c r="X84" s="142"/>
      <c r="Y84" s="142"/>
      <c r="Z84" s="142"/>
      <c r="AA84" s="142"/>
      <c r="AB84" s="142"/>
      <c r="AC84" s="142"/>
      <c r="AD84" s="142">
        <v>1.68096492829436</v>
      </c>
      <c r="AE84" s="142">
        <v>6.3184690461998705E-2</v>
      </c>
      <c r="AF84" s="142">
        <v>0.79177990959294797</v>
      </c>
      <c r="AG84" s="142"/>
      <c r="AH84" s="142"/>
      <c r="AI84" s="142">
        <v>-9.8267424407864201</v>
      </c>
      <c r="AJ84" s="142"/>
      <c r="AK84" s="142">
        <v>-4.4410530528991803</v>
      </c>
      <c r="AL84" s="142">
        <v>16.0359817009188</v>
      </c>
      <c r="AM84" s="142">
        <v>0.48278659849219002</v>
      </c>
      <c r="AN84" s="142">
        <v>0.19658615145018299</v>
      </c>
      <c r="AO84" s="142"/>
      <c r="AP84" s="142"/>
      <c r="AQ84" s="143">
        <v>0.39845616846137299</v>
      </c>
    </row>
    <row r="85" spans="2:43" ht="12" customHeight="1" x14ac:dyDescent="0.25">
      <c r="B85" s="141" t="s">
        <v>46</v>
      </c>
      <c r="C85" s="142" t="s">
        <v>102</v>
      </c>
      <c r="D85" s="142" t="s">
        <v>47</v>
      </c>
      <c r="E85" s="142" t="s">
        <v>103</v>
      </c>
      <c r="F85" s="142" t="s">
        <v>25</v>
      </c>
      <c r="G85" s="142" t="s">
        <v>25</v>
      </c>
      <c r="H85" s="142" t="s">
        <v>88</v>
      </c>
      <c r="I85" s="142" t="s">
        <v>25</v>
      </c>
      <c r="J85" s="142">
        <v>9.4499999999999993</v>
      </c>
      <c r="K85" s="142">
        <v>3.07</v>
      </c>
      <c r="L85" s="142"/>
      <c r="M85" s="142"/>
      <c r="N85" s="142"/>
      <c r="O85" s="142"/>
      <c r="P85" s="142"/>
      <c r="Q85" s="142">
        <v>5.6388241639645198</v>
      </c>
      <c r="R85" s="142">
        <v>-0.813565884492917</v>
      </c>
      <c r="S85" s="142"/>
      <c r="T85" s="142">
        <v>1.50464623794849</v>
      </c>
      <c r="U85" s="142">
        <v>0.38247375863424099</v>
      </c>
      <c r="V85" s="142"/>
      <c r="W85" s="142"/>
      <c r="X85" s="142"/>
      <c r="Y85" s="142"/>
      <c r="Z85" s="142"/>
      <c r="AA85" s="142"/>
      <c r="AB85" s="142"/>
      <c r="AC85" s="142"/>
      <c r="AD85" s="142">
        <v>1.8136726857912899</v>
      </c>
      <c r="AE85" s="142">
        <v>6.8172955498472299E-2</v>
      </c>
      <c r="AF85" s="142">
        <v>0.85428884982397002</v>
      </c>
      <c r="AG85" s="142"/>
      <c r="AH85" s="142"/>
      <c r="AI85" s="142">
        <v>-10.602537896637999</v>
      </c>
      <c r="AJ85" s="142"/>
      <c r="AK85" s="142">
        <v>-4.7916625044438499</v>
      </c>
      <c r="AL85" s="142">
        <v>17.301980256254499</v>
      </c>
      <c r="AM85" s="142">
        <v>0.52090132995210003</v>
      </c>
      <c r="AN85" s="142">
        <v>0.212106110775198</v>
      </c>
      <c r="AO85" s="142"/>
      <c r="AP85" s="142"/>
      <c r="AQ85" s="143">
        <v>0.42991323439253398</v>
      </c>
    </row>
    <row r="86" spans="2:43" ht="12" customHeight="1" x14ac:dyDescent="0.25">
      <c r="B86" s="141" t="s">
        <v>46</v>
      </c>
      <c r="C86" s="142" t="s">
        <v>102</v>
      </c>
      <c r="D86" s="142" t="s">
        <v>47</v>
      </c>
      <c r="E86" s="142" t="s">
        <v>25</v>
      </c>
      <c r="F86" s="142" t="s">
        <v>25</v>
      </c>
      <c r="G86" s="142" t="s">
        <v>25</v>
      </c>
      <c r="H86" s="142" t="s">
        <v>88</v>
      </c>
      <c r="I86" s="142" t="s">
        <v>25</v>
      </c>
      <c r="J86" s="142">
        <v>9.4499999999999993</v>
      </c>
      <c r="K86" s="142">
        <v>3.07</v>
      </c>
      <c r="L86" s="142"/>
      <c r="M86" s="142"/>
      <c r="N86" s="142"/>
      <c r="O86" s="142"/>
      <c r="P86" s="142"/>
      <c r="Q86" s="142">
        <v>5.6388241639645198</v>
      </c>
      <c r="R86" s="142">
        <v>-0.813565884492917</v>
      </c>
      <c r="S86" s="142"/>
      <c r="T86" s="142">
        <v>1.50464623794849</v>
      </c>
      <c r="U86" s="142">
        <v>0.38247375863424099</v>
      </c>
      <c r="V86" s="142"/>
      <c r="W86" s="142"/>
      <c r="X86" s="142"/>
      <c r="Y86" s="142"/>
      <c r="Z86" s="142"/>
      <c r="AA86" s="142"/>
      <c r="AB86" s="142"/>
      <c r="AC86" s="142"/>
      <c r="AD86" s="142">
        <v>1.8136726857912899</v>
      </c>
      <c r="AE86" s="142">
        <v>6.8172955498472299E-2</v>
      </c>
      <c r="AF86" s="142">
        <v>0.85428884982397002</v>
      </c>
      <c r="AG86" s="142"/>
      <c r="AH86" s="142"/>
      <c r="AI86" s="142">
        <v>-10.602537896637999</v>
      </c>
      <c r="AJ86" s="142"/>
      <c r="AK86" s="142">
        <v>-4.7916625044438499</v>
      </c>
      <c r="AL86" s="142">
        <v>17.301980256254499</v>
      </c>
      <c r="AM86" s="142">
        <v>0.52090132995210003</v>
      </c>
      <c r="AN86" s="142">
        <v>0.212106110775198</v>
      </c>
      <c r="AO86" s="142"/>
      <c r="AP86" s="142"/>
      <c r="AQ86" s="143">
        <v>0.42991323439253398</v>
      </c>
    </row>
    <row r="87" spans="2:43" ht="12" customHeight="1" x14ac:dyDescent="0.25">
      <c r="B87" s="141" t="s">
        <v>46</v>
      </c>
      <c r="C87" s="142" t="s">
        <v>102</v>
      </c>
      <c r="D87" s="142" t="s">
        <v>47</v>
      </c>
      <c r="E87" s="142" t="s">
        <v>104</v>
      </c>
      <c r="F87" s="142" t="s">
        <v>25</v>
      </c>
      <c r="G87" s="142" t="s">
        <v>25</v>
      </c>
      <c r="H87" s="142" t="s">
        <v>88</v>
      </c>
      <c r="I87" s="142" t="s">
        <v>25</v>
      </c>
      <c r="J87" s="142">
        <v>8.76</v>
      </c>
      <c r="K87" s="142">
        <v>2.85</v>
      </c>
      <c r="L87" s="142"/>
      <c r="M87" s="142"/>
      <c r="N87" s="142"/>
      <c r="O87" s="142"/>
      <c r="P87" s="142"/>
      <c r="Q87" s="142">
        <v>5.2262272739183402</v>
      </c>
      <c r="R87" s="142">
        <v>-0.75403667343245895</v>
      </c>
      <c r="S87" s="142"/>
      <c r="T87" s="142">
        <v>1.39455017175714</v>
      </c>
      <c r="U87" s="142">
        <v>0.35448787385612601</v>
      </c>
      <c r="V87" s="142"/>
      <c r="W87" s="142"/>
      <c r="X87" s="142"/>
      <c r="Y87" s="142"/>
      <c r="Z87" s="142"/>
      <c r="AA87" s="142"/>
      <c r="AB87" s="142"/>
      <c r="AC87" s="142"/>
      <c r="AD87" s="142">
        <v>1.68096492829436</v>
      </c>
      <c r="AE87" s="142">
        <v>6.3184690461998705E-2</v>
      </c>
      <c r="AF87" s="142">
        <v>0.79177990959294797</v>
      </c>
      <c r="AG87" s="142"/>
      <c r="AH87" s="142"/>
      <c r="AI87" s="142">
        <v>-9.8267424407864201</v>
      </c>
      <c r="AJ87" s="142"/>
      <c r="AK87" s="142">
        <v>-4.4410530528991803</v>
      </c>
      <c r="AL87" s="142">
        <v>16.0359817009188</v>
      </c>
      <c r="AM87" s="142">
        <v>0.48278659849219002</v>
      </c>
      <c r="AN87" s="142">
        <v>0.19658615145018299</v>
      </c>
      <c r="AO87" s="142"/>
      <c r="AP87" s="142"/>
      <c r="AQ87" s="143">
        <v>0.39845616846137299</v>
      </c>
    </row>
    <row r="88" spans="2:43" ht="12" customHeight="1" x14ac:dyDescent="0.25">
      <c r="B88" s="141" t="s">
        <v>39</v>
      </c>
      <c r="C88" s="142" t="s">
        <v>37</v>
      </c>
      <c r="D88" s="142" t="s">
        <v>25</v>
      </c>
      <c r="E88" s="142" t="s">
        <v>25</v>
      </c>
      <c r="F88" s="142" t="s">
        <v>25</v>
      </c>
      <c r="G88" s="142" t="s">
        <v>35</v>
      </c>
      <c r="H88" s="142" t="s">
        <v>88</v>
      </c>
      <c r="I88" s="142" t="s">
        <v>25</v>
      </c>
      <c r="J88" s="142">
        <v>16.59</v>
      </c>
      <c r="K88" s="142">
        <v>16.88</v>
      </c>
      <c r="L88" s="142"/>
      <c r="M88" s="142"/>
      <c r="N88" s="142"/>
      <c r="O88" s="142"/>
      <c r="P88" s="142"/>
      <c r="Q88" s="142">
        <v>6.8766148341030799</v>
      </c>
      <c r="R88" s="142">
        <v>-0.99215351767428905</v>
      </c>
      <c r="S88" s="142"/>
      <c r="T88" s="142">
        <v>5.8718077456976099</v>
      </c>
      <c r="U88" s="142">
        <v>1.49255995120563</v>
      </c>
      <c r="V88" s="142"/>
      <c r="W88" s="142"/>
      <c r="X88" s="142"/>
      <c r="Y88" s="142"/>
      <c r="Z88" s="142"/>
      <c r="AA88" s="142"/>
      <c r="AB88" s="142"/>
      <c r="AC88" s="142"/>
      <c r="AD88" s="142">
        <v>2.2117959582820599</v>
      </c>
      <c r="AE88" s="142">
        <v>8.3137750607892996E-2</v>
      </c>
      <c r="AF88" s="142">
        <v>1.04181567051704</v>
      </c>
      <c r="AG88" s="142"/>
      <c r="AH88" s="142"/>
      <c r="AI88" s="142">
        <v>-12.929924264192699</v>
      </c>
      <c r="AJ88" s="142"/>
      <c r="AK88" s="142">
        <v>-5.8434908590778596</v>
      </c>
      <c r="AL88" s="142">
        <v>34.237696779518799</v>
      </c>
      <c r="AM88" s="142">
        <v>0.63524552433182901</v>
      </c>
      <c r="AN88" s="142">
        <v>0.25866598875024099</v>
      </c>
      <c r="AO88" s="142"/>
      <c r="AP88" s="142"/>
      <c r="AQ88" s="143">
        <v>0.52428443218601695</v>
      </c>
    </row>
    <row r="89" spans="2:43" ht="12" customHeight="1" x14ac:dyDescent="0.25">
      <c r="B89" s="141" t="s">
        <v>39</v>
      </c>
      <c r="C89" s="142" t="s">
        <v>37</v>
      </c>
      <c r="D89" s="142" t="s">
        <v>25</v>
      </c>
      <c r="E89" s="142" t="s">
        <v>25</v>
      </c>
      <c r="F89" s="142" t="s">
        <v>25</v>
      </c>
      <c r="G89" s="142" t="s">
        <v>38</v>
      </c>
      <c r="H89" s="142" t="s">
        <v>88</v>
      </c>
      <c r="I89" s="142" t="s">
        <v>25</v>
      </c>
      <c r="J89" s="142">
        <v>13.64</v>
      </c>
      <c r="K89" s="142">
        <v>2.5499999999999998</v>
      </c>
      <c r="L89" s="142"/>
      <c r="M89" s="142"/>
      <c r="N89" s="142"/>
      <c r="O89" s="142"/>
      <c r="P89" s="142"/>
      <c r="Q89" s="142">
        <v>6.8766148341030799</v>
      </c>
      <c r="R89" s="142">
        <v>-0.99215351767428905</v>
      </c>
      <c r="S89" s="142"/>
      <c r="T89" s="142">
        <v>3.5230729482015999</v>
      </c>
      <c r="U89" s="142">
        <v>0.89552774260584</v>
      </c>
      <c r="V89" s="142"/>
      <c r="W89" s="142"/>
      <c r="X89" s="142"/>
      <c r="Y89" s="142"/>
      <c r="Z89" s="142"/>
      <c r="AA89" s="142"/>
      <c r="AB89" s="142"/>
      <c r="AC89" s="142"/>
      <c r="AD89" s="142">
        <v>2.2117959582820599</v>
      </c>
      <c r="AE89" s="142">
        <v>8.3137750607892996E-2</v>
      </c>
      <c r="AF89" s="142">
        <v>1.04181567051704</v>
      </c>
      <c r="AG89" s="142"/>
      <c r="AH89" s="142"/>
      <c r="AI89" s="142">
        <v>-12.929924264192699</v>
      </c>
      <c r="AJ89" s="142"/>
      <c r="AK89" s="142">
        <v>-5.8434908590778596</v>
      </c>
      <c r="AL89" s="142">
        <v>19.905637662511001</v>
      </c>
      <c r="AM89" s="142">
        <v>0.63524552433182901</v>
      </c>
      <c r="AN89" s="142">
        <v>0.25866598875024099</v>
      </c>
      <c r="AO89" s="142"/>
      <c r="AP89" s="142"/>
      <c r="AQ89" s="143">
        <v>0.52428443218601695</v>
      </c>
    </row>
    <row r="90" spans="2:43" ht="12" customHeight="1" x14ac:dyDescent="0.25">
      <c r="B90" s="141" t="s">
        <v>39</v>
      </c>
      <c r="C90" s="142" t="s">
        <v>37</v>
      </c>
      <c r="D90" s="142" t="s">
        <v>25</v>
      </c>
      <c r="E90" s="142" t="s">
        <v>25</v>
      </c>
      <c r="F90" s="142" t="s">
        <v>25</v>
      </c>
      <c r="G90" s="142" t="s">
        <v>36</v>
      </c>
      <c r="H90" s="142" t="s">
        <v>88</v>
      </c>
      <c r="I90" s="142" t="s">
        <v>25</v>
      </c>
      <c r="J90" s="142">
        <v>10.69</v>
      </c>
      <c r="K90" s="142">
        <v>2.5499999999999998</v>
      </c>
      <c r="L90" s="142"/>
      <c r="M90" s="142"/>
      <c r="N90" s="142"/>
      <c r="O90" s="142"/>
      <c r="P90" s="142"/>
      <c r="Q90" s="142">
        <v>6.8766148341030799</v>
      </c>
      <c r="R90" s="142">
        <v>-0.99215351767428905</v>
      </c>
      <c r="S90" s="142"/>
      <c r="T90" s="142">
        <v>1.1743673987479999</v>
      </c>
      <c r="U90" s="142">
        <v>0.298516104299895</v>
      </c>
      <c r="V90" s="142"/>
      <c r="W90" s="142"/>
      <c r="X90" s="142"/>
      <c r="Y90" s="142"/>
      <c r="Z90" s="142"/>
      <c r="AA90" s="142"/>
      <c r="AB90" s="142"/>
      <c r="AC90" s="142"/>
      <c r="AD90" s="142">
        <v>2.2117959582820599</v>
      </c>
      <c r="AE90" s="142">
        <v>8.3137750607892996E-2</v>
      </c>
      <c r="AF90" s="142">
        <v>1.04181567051704</v>
      </c>
      <c r="AG90" s="142"/>
      <c r="AH90" s="142"/>
      <c r="AI90" s="142">
        <v>-12.929924264192699</v>
      </c>
      <c r="AJ90" s="142"/>
      <c r="AK90" s="142">
        <v>-5.8434908590778596</v>
      </c>
      <c r="AL90" s="142">
        <v>19.905637662511001</v>
      </c>
      <c r="AM90" s="142">
        <v>0.63524552433182901</v>
      </c>
      <c r="AN90" s="142">
        <v>0.25866598875024099</v>
      </c>
      <c r="AO90" s="142"/>
      <c r="AP90" s="142"/>
      <c r="AQ90" s="143">
        <v>0.52428443218601695</v>
      </c>
    </row>
    <row r="91" spans="2:43" ht="12" customHeight="1" x14ac:dyDescent="0.25">
      <c r="B91" s="141" t="s">
        <v>39</v>
      </c>
      <c r="C91" s="142" t="s">
        <v>23</v>
      </c>
      <c r="D91" s="142" t="s">
        <v>25</v>
      </c>
      <c r="E91" s="142" t="s">
        <v>25</v>
      </c>
      <c r="F91" s="142" t="s">
        <v>25</v>
      </c>
      <c r="G91" s="142" t="s">
        <v>25</v>
      </c>
      <c r="H91" s="142" t="s">
        <v>88</v>
      </c>
      <c r="I91" s="142" t="s">
        <v>25</v>
      </c>
      <c r="J91" s="142">
        <v>11.52</v>
      </c>
      <c r="K91" s="142">
        <v>3.74</v>
      </c>
      <c r="L91" s="142"/>
      <c r="M91" s="142"/>
      <c r="N91" s="142"/>
      <c r="O91" s="142"/>
      <c r="P91" s="142"/>
      <c r="Q91" s="142">
        <v>6.8766148341030799</v>
      </c>
      <c r="R91" s="142">
        <v>-0.99215351767428905</v>
      </c>
      <c r="S91" s="142"/>
      <c r="T91" s="142">
        <v>1.8349344365225499</v>
      </c>
      <c r="U91" s="142">
        <v>0.46643141296858598</v>
      </c>
      <c r="V91" s="142"/>
      <c r="W91" s="142"/>
      <c r="X91" s="142"/>
      <c r="Y91" s="142"/>
      <c r="Z91" s="142"/>
      <c r="AA91" s="142"/>
      <c r="AB91" s="142"/>
      <c r="AC91" s="142"/>
      <c r="AD91" s="142">
        <v>2.2117959582820599</v>
      </c>
      <c r="AE91" s="142">
        <v>8.3137750607892996E-2</v>
      </c>
      <c r="AF91" s="142">
        <v>1.04181567051704</v>
      </c>
      <c r="AG91" s="142"/>
      <c r="AH91" s="142"/>
      <c r="AI91" s="142">
        <v>-12.929924264192699</v>
      </c>
      <c r="AJ91" s="142"/>
      <c r="AK91" s="142">
        <v>-5.8434908590778596</v>
      </c>
      <c r="AL91" s="142">
        <v>21.099975922261599</v>
      </c>
      <c r="AM91" s="142">
        <v>0.63524552433182901</v>
      </c>
      <c r="AN91" s="142">
        <v>0.25866598875024099</v>
      </c>
      <c r="AO91" s="142"/>
      <c r="AP91" s="142"/>
      <c r="AQ91" s="143">
        <v>0.52428443218601695</v>
      </c>
    </row>
    <row r="92" spans="2:43" ht="12" customHeight="1" x14ac:dyDescent="0.25">
      <c r="B92" s="141" t="s">
        <v>39</v>
      </c>
      <c r="C92" s="142" t="s">
        <v>102</v>
      </c>
      <c r="D92" s="142" t="s">
        <v>25</v>
      </c>
      <c r="E92" s="142" t="s">
        <v>25</v>
      </c>
      <c r="F92" s="142" t="s">
        <v>25</v>
      </c>
      <c r="G92" s="142" t="s">
        <v>25</v>
      </c>
      <c r="H92" s="142" t="s">
        <v>88</v>
      </c>
      <c r="I92" s="142" t="s">
        <v>25</v>
      </c>
      <c r="J92" s="142">
        <v>11.52</v>
      </c>
      <c r="K92" s="142">
        <v>3.74</v>
      </c>
      <c r="L92" s="142"/>
      <c r="M92" s="142"/>
      <c r="N92" s="142"/>
      <c r="O92" s="142"/>
      <c r="P92" s="142"/>
      <c r="Q92" s="142">
        <v>6.8766148341030799</v>
      </c>
      <c r="R92" s="142">
        <v>-0.99215351767428905</v>
      </c>
      <c r="S92" s="142"/>
      <c r="T92" s="142">
        <v>1.8349344365225499</v>
      </c>
      <c r="U92" s="142">
        <v>0.46643141296858598</v>
      </c>
      <c r="V92" s="142"/>
      <c r="W92" s="142"/>
      <c r="X92" s="142"/>
      <c r="Y92" s="142"/>
      <c r="Z92" s="142"/>
      <c r="AA92" s="142"/>
      <c r="AB92" s="142"/>
      <c r="AC92" s="142"/>
      <c r="AD92" s="142">
        <v>2.2117959582820599</v>
      </c>
      <c r="AE92" s="142">
        <v>8.3137750607892996E-2</v>
      </c>
      <c r="AF92" s="142">
        <v>1.04181567051704</v>
      </c>
      <c r="AG92" s="142"/>
      <c r="AH92" s="142"/>
      <c r="AI92" s="142">
        <v>-12.929924264192699</v>
      </c>
      <c r="AJ92" s="142"/>
      <c r="AK92" s="142">
        <v>-5.8434908590778596</v>
      </c>
      <c r="AL92" s="142">
        <v>21.099975922261599</v>
      </c>
      <c r="AM92" s="142">
        <v>0.63524552433182901</v>
      </c>
      <c r="AN92" s="142">
        <v>0.25866598875024099</v>
      </c>
      <c r="AO92" s="142"/>
      <c r="AP92" s="142"/>
      <c r="AQ92" s="143">
        <v>0.52428443218601695</v>
      </c>
    </row>
    <row r="93" spans="2:43" ht="12" customHeight="1" x14ac:dyDescent="0.25">
      <c r="B93" s="141" t="s">
        <v>49</v>
      </c>
      <c r="C93" s="142" t="s">
        <v>23</v>
      </c>
      <c r="D93" s="142" t="s">
        <v>50</v>
      </c>
      <c r="E93" s="142" t="s">
        <v>51</v>
      </c>
      <c r="F93" s="142" t="s">
        <v>25</v>
      </c>
      <c r="G93" s="142" t="s">
        <v>25</v>
      </c>
      <c r="H93" s="142" t="s">
        <v>88</v>
      </c>
      <c r="I93" s="142" t="s">
        <v>25</v>
      </c>
      <c r="J93" s="142">
        <v>6.34</v>
      </c>
      <c r="K93" s="142">
        <v>2.06</v>
      </c>
      <c r="L93" s="142"/>
      <c r="M93" s="142"/>
      <c r="N93" s="142"/>
      <c r="O93" s="142"/>
      <c r="P93" s="142"/>
      <c r="Q93" s="142">
        <v>3.7821381587566898</v>
      </c>
      <c r="R93" s="142">
        <v>-0.54568443472085904</v>
      </c>
      <c r="S93" s="142"/>
      <c r="T93" s="142">
        <v>1.0092139400874001</v>
      </c>
      <c r="U93" s="142">
        <v>0.25653727713272301</v>
      </c>
      <c r="V93" s="142"/>
      <c r="W93" s="142"/>
      <c r="X93" s="142"/>
      <c r="Y93" s="142"/>
      <c r="Z93" s="142"/>
      <c r="AA93" s="142"/>
      <c r="AB93" s="142"/>
      <c r="AC93" s="142"/>
      <c r="AD93" s="142">
        <v>1.2164877770551299</v>
      </c>
      <c r="AE93" s="142">
        <v>4.5725762834341203E-2</v>
      </c>
      <c r="AF93" s="142">
        <v>0.57299861878436997</v>
      </c>
      <c r="AG93" s="142"/>
      <c r="AH93" s="142"/>
      <c r="AI93" s="142">
        <v>-7.1114583453059597</v>
      </c>
      <c r="AJ93" s="142"/>
      <c r="AK93" s="142">
        <v>-3.21391997249283</v>
      </c>
      <c r="AL93" s="142">
        <v>11.6049867572439</v>
      </c>
      <c r="AM93" s="142">
        <v>0.34938503838250601</v>
      </c>
      <c r="AN93" s="142">
        <v>0.142266293812633</v>
      </c>
      <c r="AO93" s="142"/>
      <c r="AP93" s="142"/>
      <c r="AQ93" s="143">
        <v>0.28835643770230901</v>
      </c>
    </row>
    <row r="94" spans="2:43" ht="12" customHeight="1" x14ac:dyDescent="0.25">
      <c r="B94" s="144" t="s">
        <v>49</v>
      </c>
      <c r="C94" s="145" t="s">
        <v>23</v>
      </c>
      <c r="D94" s="145" t="s">
        <v>50</v>
      </c>
      <c r="E94" s="145" t="s">
        <v>105</v>
      </c>
      <c r="F94" s="145" t="s">
        <v>25</v>
      </c>
      <c r="G94" s="145" t="s">
        <v>25</v>
      </c>
      <c r="H94" s="145" t="s">
        <v>88</v>
      </c>
      <c r="I94" s="145" t="s">
        <v>25</v>
      </c>
      <c r="J94" s="145">
        <v>6.91</v>
      </c>
      <c r="K94" s="145">
        <v>2.25</v>
      </c>
      <c r="L94" s="145"/>
      <c r="M94" s="145"/>
      <c r="N94" s="145"/>
      <c r="O94" s="145"/>
      <c r="P94" s="145"/>
      <c r="Q94" s="145">
        <v>4.1259689004618503</v>
      </c>
      <c r="R94" s="145">
        <v>-0.59529211060457299</v>
      </c>
      <c r="S94" s="145"/>
      <c r="T94" s="145">
        <v>1.1009606619135299</v>
      </c>
      <c r="U94" s="145">
        <v>0.279858847781152</v>
      </c>
      <c r="V94" s="145"/>
      <c r="W94" s="145"/>
      <c r="X94" s="145"/>
      <c r="Y94" s="145"/>
      <c r="Z94" s="145"/>
      <c r="AA94" s="145"/>
      <c r="AB94" s="145"/>
      <c r="AC94" s="145"/>
      <c r="AD94" s="145">
        <v>1.3270775749692301</v>
      </c>
      <c r="AE94" s="145">
        <v>4.9882650364735798E-2</v>
      </c>
      <c r="AF94" s="145">
        <v>0.62508940231022203</v>
      </c>
      <c r="AG94" s="145"/>
      <c r="AH94" s="145"/>
      <c r="AI94" s="145">
        <v>-7.75795455851559</v>
      </c>
      <c r="AJ94" s="145"/>
      <c r="AK94" s="145">
        <v>-3.50609451544672</v>
      </c>
      <c r="AL94" s="145">
        <v>12.659985553357</v>
      </c>
      <c r="AM94" s="145">
        <v>0.38114731459909701</v>
      </c>
      <c r="AN94" s="145">
        <v>0.15519959325014501</v>
      </c>
      <c r="AO94" s="145"/>
      <c r="AP94" s="145"/>
      <c r="AQ94" s="146">
        <v>0.31457065931160999</v>
      </c>
    </row>
  </sheetData>
  <mergeCells count="8">
    <mergeCell ref="L1:AG1"/>
    <mergeCell ref="AH1:AQ1"/>
    <mergeCell ref="L2:S2"/>
    <mergeCell ref="T2:Z2"/>
    <mergeCell ref="AB2:AC2"/>
    <mergeCell ref="AD2:AG2"/>
    <mergeCell ref="AH2:AK2"/>
    <mergeCell ref="AM2:AP2"/>
  </mergeCells>
  <phoneticPr fontId="9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30</vt:i4>
      </vt:variant>
    </vt:vector>
  </HeadingPairs>
  <TitlesOfParts>
    <vt:vector size="30" baseType="lpstr">
      <vt:lpstr>Mercado_Receita</vt:lpstr>
      <vt:lpstr>EVENTOS</vt:lpstr>
      <vt:lpstr>TAR FIN</vt:lpstr>
      <vt:lpstr>MERCADO TUSD</vt:lpstr>
      <vt:lpstr>MERCADO TE</vt:lpstr>
      <vt:lpstr>CUSTOS</vt:lpstr>
      <vt:lpstr>TRANSICAO</vt:lpstr>
      <vt:lpstr>TR TUSD</vt:lpstr>
      <vt:lpstr>TUSD BE</vt:lpstr>
      <vt:lpstr>TUSD BF</vt:lpstr>
      <vt:lpstr>TUSD CVA</vt:lpstr>
      <vt:lpstr>TR TE</vt:lpstr>
      <vt:lpstr>TE BE</vt:lpstr>
      <vt:lpstr>TE BF</vt:lpstr>
      <vt:lpstr>TE CVA</vt:lpstr>
      <vt:lpstr>EFEITO</vt:lpstr>
      <vt:lpstr>SUBSIDIO</vt:lpstr>
      <vt:lpstr>TabDinEfeito</vt:lpstr>
      <vt:lpstr>TabDinSubsidio</vt:lpstr>
      <vt:lpstr>TABELAS REH</vt:lpstr>
      <vt:lpstr>CONSISTENCIA</vt:lpstr>
      <vt:lpstr>TUSD</vt:lpstr>
      <vt:lpstr>TE</vt:lpstr>
      <vt:lpstr>RESUMO TUSD</vt:lpstr>
      <vt:lpstr>RESUMO TE</vt:lpstr>
      <vt:lpstr>Descontos</vt:lpstr>
      <vt:lpstr>ERD</vt:lpstr>
      <vt:lpstr>TA - Aplicação</vt:lpstr>
      <vt:lpstr>TA - BE</vt:lpstr>
      <vt:lpstr>TA - CVA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Administrador</cp:lastModifiedBy>
  <dcterms:created xsi:type="dcterms:W3CDTF">2020-10-13T19:16:14Z</dcterms:created>
  <dcterms:modified xsi:type="dcterms:W3CDTF">2020-10-17T23:55:53Z</dcterms:modified>
</cp:coreProperties>
</file>